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13_ncr:1_{2EA50851-0151-4FAB-84DD-C8AE36668FC6}" xr6:coauthVersionLast="47" xr6:coauthVersionMax="47" xr10:uidLastSave="{00000000-0000-0000-0000-000000000000}"/>
  <bookViews>
    <workbookView xWindow="-110" yWindow="-110" windowWidth="23260" windowHeight="14860" tabRatio="500" activeTab="1" xr2:uid="{00000000-000D-0000-FFFF-FFFF00000000}"/>
  </bookViews>
  <sheets>
    <sheet name="README" sheetId="1" r:id="rId1"/>
    <sheet name="Change Log" sheetId="19" r:id="rId2"/>
    <sheet name="Settings" sheetId="2" r:id="rId3"/>
    <sheet name="Items" sheetId="3" r:id="rId4"/>
    <sheet name="Staff Directory" sheetId="4" r:id="rId5"/>
    <sheet name="Vendors" sheetId="5" r:id="rId6"/>
    <sheet name="Holidays" sheetId="6" r:id="rId7"/>
    <sheet name="Receipts" sheetId="7" r:id="rId8"/>
    <sheet name="Issues" sheetId="8" r:id="rId9"/>
    <sheet name="Lot Balance" sheetId="9" r:id="rId10"/>
    <sheet name="Item Balance" sheetId="10" r:id="rId11"/>
    <sheet name="Alerts - Low Stock" sheetId="11" r:id="rId12"/>
    <sheet name="Alerts - Expiry" sheetId="12" r:id="rId13"/>
    <sheet name="Alerts - Over Quota" sheetId="18" r:id="rId14"/>
    <sheet name="Staff Summary" sheetId="13" r:id="rId15"/>
    <sheet name="Monthly Summary" sheetId="14" r:id="rId16"/>
    <sheet name="Dashboard" sheetId="15" r:id="rId17"/>
    <sheet name="Office Supplies" sheetId="16" r:id="rId18"/>
    <sheet name="Professional Services" sheetId="17" r:id="rId19"/>
  </sheets>
  <definedNames>
    <definedName name="_xlnm._FilterDatabase" localSheetId="12" hidden="1">'Alerts - Expiry'!$A$5:$J$1000</definedName>
    <definedName name="_xlnm._FilterDatabase" localSheetId="11" hidden="1">'Alerts - Low Stock'!$A$5:$J$600</definedName>
    <definedName name="_xlnm._FilterDatabase" localSheetId="8" hidden="1">Issues!$A$4:$Q$1977</definedName>
    <definedName name="_xlnm._FilterDatabase" localSheetId="10" hidden="1">'Item Balance'!$A$4:$Q$600</definedName>
    <definedName name="_xlnm._FilterDatabase" localSheetId="3" hidden="1">Items!$A$4:$I$597</definedName>
    <definedName name="_xlnm._FilterDatabase" localSheetId="9" hidden="1">'Lot Balance'!$A$4:$Q$1000</definedName>
    <definedName name="_xlnm._FilterDatabase" localSheetId="17" hidden="1">'Office Supplies'!$A$4:$L$400</definedName>
    <definedName name="_xlnm._FilterDatabase" localSheetId="18" hidden="1">'Professional Services'!$A$4:$J$200</definedName>
    <definedName name="_xlnm._FilterDatabase" localSheetId="7" hidden="1">Receipts!$A$4:$K$192</definedName>
    <definedName name="_xlnm._FilterDatabase" localSheetId="4" hidden="1">'Staff Directory'!$A$4:$G$594</definedName>
    <definedName name="_xlnm._FilterDatabase" localSheetId="14" hidden="1">'Staff Summary'!$A$4:$J$600</definedName>
    <definedName name="_xlnm._FilterDatabase" localSheetId="5" hidden="1">Vendors!$A$4:$H$100</definedName>
    <definedName name="HolidayDates">Holidays!$B$5:$B$60</definedName>
    <definedName name="StaffNames">'Staff Directory'!$B$5:INDEX('Staff Directory'!$B$5:$B$594,MAX(1,COUNTA('Staff Directory'!$B$5:$B$594)))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69" i="19" l="1"/>
  <c r="A68" i="19"/>
  <c r="I200" i="17"/>
  <c r="H200" i="17"/>
  <c r="I199" i="17"/>
  <c r="H199" i="17"/>
  <c r="I198" i="17"/>
  <c r="H198" i="17"/>
  <c r="I197" i="17"/>
  <c r="H197" i="17"/>
  <c r="I196" i="17"/>
  <c r="H196" i="17"/>
  <c r="I195" i="17"/>
  <c r="H195" i="17"/>
  <c r="I194" i="17"/>
  <c r="H194" i="17"/>
  <c r="I193" i="17"/>
  <c r="H193" i="17"/>
  <c r="I192" i="17"/>
  <c r="H192" i="17"/>
  <c r="I191" i="17"/>
  <c r="H191" i="17"/>
  <c r="I190" i="17"/>
  <c r="H190" i="17"/>
  <c r="I189" i="17"/>
  <c r="H189" i="17"/>
  <c r="I188" i="17"/>
  <c r="H188" i="17"/>
  <c r="I187" i="17"/>
  <c r="H187" i="17"/>
  <c r="I186" i="17"/>
  <c r="H186" i="17"/>
  <c r="I185" i="17"/>
  <c r="H185" i="17"/>
  <c r="I184" i="17"/>
  <c r="H184" i="17"/>
  <c r="I183" i="17"/>
  <c r="H183" i="17"/>
  <c r="I182" i="17"/>
  <c r="H182" i="17"/>
  <c r="I181" i="17"/>
  <c r="H181" i="17"/>
  <c r="I180" i="17"/>
  <c r="H180" i="17"/>
  <c r="I179" i="17"/>
  <c r="H179" i="17"/>
  <c r="I178" i="17"/>
  <c r="H178" i="17"/>
  <c r="I177" i="17"/>
  <c r="H177" i="17"/>
  <c r="I176" i="17"/>
  <c r="H176" i="17"/>
  <c r="I175" i="17"/>
  <c r="H175" i="17"/>
  <c r="I174" i="17"/>
  <c r="H174" i="17"/>
  <c r="I173" i="17"/>
  <c r="H173" i="17"/>
  <c r="I172" i="17"/>
  <c r="H172" i="17"/>
  <c r="I171" i="17"/>
  <c r="H171" i="17"/>
  <c r="I170" i="17"/>
  <c r="H170" i="17"/>
  <c r="I169" i="17"/>
  <c r="H169" i="17"/>
  <c r="I168" i="17"/>
  <c r="H168" i="17"/>
  <c r="I167" i="17"/>
  <c r="H167" i="17"/>
  <c r="I166" i="17"/>
  <c r="H166" i="17"/>
  <c r="I165" i="17"/>
  <c r="H165" i="17"/>
  <c r="I164" i="17"/>
  <c r="H164" i="17"/>
  <c r="I163" i="17"/>
  <c r="H163" i="17"/>
  <c r="I162" i="17"/>
  <c r="H162" i="17"/>
  <c r="I161" i="17"/>
  <c r="H161" i="17"/>
  <c r="I160" i="17"/>
  <c r="H160" i="17"/>
  <c r="I159" i="17"/>
  <c r="H159" i="17"/>
  <c r="I158" i="17"/>
  <c r="H158" i="17"/>
  <c r="I157" i="17"/>
  <c r="H157" i="17"/>
  <c r="I156" i="17"/>
  <c r="H156" i="17"/>
  <c r="I155" i="17"/>
  <c r="H155" i="17"/>
  <c r="I154" i="17"/>
  <c r="H154" i="17"/>
  <c r="I153" i="17"/>
  <c r="H153" i="17"/>
  <c r="I152" i="17"/>
  <c r="H152" i="17"/>
  <c r="I151" i="17"/>
  <c r="H151" i="17"/>
  <c r="I150" i="17"/>
  <c r="H150" i="17"/>
  <c r="I149" i="17"/>
  <c r="H149" i="17"/>
  <c r="I148" i="17"/>
  <c r="H148" i="17"/>
  <c r="I147" i="17"/>
  <c r="H147" i="17"/>
  <c r="I146" i="17"/>
  <c r="H146" i="17"/>
  <c r="I145" i="17"/>
  <c r="H145" i="17"/>
  <c r="I144" i="17"/>
  <c r="H144" i="17"/>
  <c r="I143" i="17"/>
  <c r="H143" i="17"/>
  <c r="I142" i="17"/>
  <c r="H142" i="17"/>
  <c r="I141" i="17"/>
  <c r="H141" i="17"/>
  <c r="I140" i="17"/>
  <c r="H140" i="17"/>
  <c r="I139" i="17"/>
  <c r="H139" i="17"/>
  <c r="I138" i="17"/>
  <c r="H138" i="17"/>
  <c r="I137" i="17"/>
  <c r="H137" i="17"/>
  <c r="I136" i="17"/>
  <c r="H136" i="17"/>
  <c r="I135" i="17"/>
  <c r="H135" i="17"/>
  <c r="I134" i="17"/>
  <c r="H134" i="17"/>
  <c r="I133" i="17"/>
  <c r="H133" i="17"/>
  <c r="I132" i="17"/>
  <c r="H132" i="17"/>
  <c r="I131" i="17"/>
  <c r="H131" i="17"/>
  <c r="I130" i="17"/>
  <c r="H130" i="17"/>
  <c r="I129" i="17"/>
  <c r="H129" i="17"/>
  <c r="I128" i="17"/>
  <c r="H128" i="17"/>
  <c r="I127" i="17"/>
  <c r="H127" i="17"/>
  <c r="I126" i="17"/>
  <c r="H126" i="17"/>
  <c r="I125" i="17"/>
  <c r="H125" i="17"/>
  <c r="I124" i="17"/>
  <c r="H124" i="17"/>
  <c r="I123" i="17"/>
  <c r="H123" i="17"/>
  <c r="I122" i="17"/>
  <c r="H122" i="17"/>
  <c r="I121" i="17"/>
  <c r="H121" i="17"/>
  <c r="I120" i="17"/>
  <c r="H120" i="17"/>
  <c r="I119" i="17"/>
  <c r="H119" i="17"/>
  <c r="I118" i="17"/>
  <c r="H118" i="17"/>
  <c r="I117" i="17"/>
  <c r="H117" i="17"/>
  <c r="I116" i="17"/>
  <c r="H116" i="17"/>
  <c r="I115" i="17"/>
  <c r="H115" i="17"/>
  <c r="I114" i="17"/>
  <c r="H114" i="17"/>
  <c r="I113" i="17"/>
  <c r="H113" i="17"/>
  <c r="I112" i="17"/>
  <c r="H112" i="17"/>
  <c r="I111" i="17"/>
  <c r="H111" i="17"/>
  <c r="I110" i="17"/>
  <c r="H110" i="17"/>
  <c r="I109" i="17"/>
  <c r="H109" i="17"/>
  <c r="I108" i="17"/>
  <c r="H108" i="17"/>
  <c r="I107" i="17"/>
  <c r="H107" i="17"/>
  <c r="I106" i="17"/>
  <c r="H106" i="17"/>
  <c r="I105" i="17"/>
  <c r="H105" i="17"/>
  <c r="I104" i="17"/>
  <c r="H104" i="17"/>
  <c r="I103" i="17"/>
  <c r="H103" i="17"/>
  <c r="I102" i="17"/>
  <c r="H102" i="17"/>
  <c r="I101" i="17"/>
  <c r="H101" i="17"/>
  <c r="I100" i="17"/>
  <c r="H100" i="17"/>
  <c r="I99" i="17"/>
  <c r="H99" i="17"/>
  <c r="I98" i="17"/>
  <c r="H98" i="17"/>
  <c r="I97" i="17"/>
  <c r="H97" i="17"/>
  <c r="I96" i="17"/>
  <c r="H96" i="17"/>
  <c r="I95" i="17"/>
  <c r="H95" i="17"/>
  <c r="I94" i="17"/>
  <c r="H94" i="17"/>
  <c r="I93" i="17"/>
  <c r="H93" i="17"/>
  <c r="I92" i="17"/>
  <c r="H92" i="17"/>
  <c r="I91" i="17"/>
  <c r="H91" i="17"/>
  <c r="I90" i="17"/>
  <c r="H90" i="17"/>
  <c r="I89" i="17"/>
  <c r="H89" i="17"/>
  <c r="I88" i="17"/>
  <c r="H88" i="17"/>
  <c r="I87" i="17"/>
  <c r="H87" i="17"/>
  <c r="I86" i="17"/>
  <c r="H86" i="17"/>
  <c r="I85" i="17"/>
  <c r="H85" i="17"/>
  <c r="I84" i="17"/>
  <c r="H84" i="17"/>
  <c r="I83" i="17"/>
  <c r="H83" i="17"/>
  <c r="I82" i="17"/>
  <c r="H82" i="17"/>
  <c r="I81" i="17"/>
  <c r="H81" i="17"/>
  <c r="I80" i="17"/>
  <c r="H80" i="17"/>
  <c r="I79" i="17"/>
  <c r="H79" i="17"/>
  <c r="I78" i="17"/>
  <c r="H78" i="17"/>
  <c r="I77" i="17"/>
  <c r="H77" i="17"/>
  <c r="I76" i="17"/>
  <c r="H76" i="17"/>
  <c r="I75" i="17"/>
  <c r="H75" i="17"/>
  <c r="I74" i="17"/>
  <c r="H74" i="17"/>
  <c r="I73" i="17"/>
  <c r="H73" i="17"/>
  <c r="I72" i="17"/>
  <c r="H72" i="17"/>
  <c r="I71" i="17"/>
  <c r="H71" i="17"/>
  <c r="I70" i="17"/>
  <c r="H70" i="17"/>
  <c r="I69" i="17"/>
  <c r="H69" i="17"/>
  <c r="I68" i="17"/>
  <c r="H68" i="17"/>
  <c r="I67" i="17"/>
  <c r="H67" i="17"/>
  <c r="I66" i="17"/>
  <c r="H66" i="17"/>
  <c r="I65" i="17"/>
  <c r="H65" i="17"/>
  <c r="I64" i="17"/>
  <c r="H64" i="17"/>
  <c r="I63" i="17"/>
  <c r="H63" i="17"/>
  <c r="I62" i="17"/>
  <c r="H62" i="17"/>
  <c r="I61" i="17"/>
  <c r="H61" i="17"/>
  <c r="I60" i="17"/>
  <c r="H60" i="17"/>
  <c r="I59" i="17"/>
  <c r="H59" i="17"/>
  <c r="I58" i="17"/>
  <c r="H58" i="17"/>
  <c r="I57" i="17"/>
  <c r="H57" i="17"/>
  <c r="I56" i="17"/>
  <c r="H56" i="17"/>
  <c r="I55" i="17"/>
  <c r="H55" i="17"/>
  <c r="I54" i="17"/>
  <c r="H54" i="17"/>
  <c r="I53" i="17"/>
  <c r="H53" i="17"/>
  <c r="I52" i="17"/>
  <c r="H52" i="17"/>
  <c r="I51" i="17"/>
  <c r="H51" i="17"/>
  <c r="I50" i="17"/>
  <c r="H50" i="17"/>
  <c r="I49" i="17"/>
  <c r="H49" i="17"/>
  <c r="I48" i="17"/>
  <c r="H48" i="17"/>
  <c r="I47" i="17"/>
  <c r="H47" i="17"/>
  <c r="I46" i="17"/>
  <c r="H46" i="17"/>
  <c r="I45" i="17"/>
  <c r="H45" i="17"/>
  <c r="I44" i="17"/>
  <c r="H44" i="17"/>
  <c r="I43" i="17"/>
  <c r="H43" i="17"/>
  <c r="I42" i="17"/>
  <c r="H42" i="17"/>
  <c r="I41" i="17"/>
  <c r="H41" i="17"/>
  <c r="I40" i="17"/>
  <c r="H40" i="17"/>
  <c r="I39" i="17"/>
  <c r="H39" i="17"/>
  <c r="I38" i="17"/>
  <c r="H38" i="17"/>
  <c r="I37" i="17"/>
  <c r="H37" i="17"/>
  <c r="I36" i="17"/>
  <c r="H36" i="17"/>
  <c r="I35" i="17"/>
  <c r="H35" i="17"/>
  <c r="I34" i="17"/>
  <c r="H34" i="17"/>
  <c r="I33" i="17"/>
  <c r="H33" i="17"/>
  <c r="I32" i="17"/>
  <c r="H32" i="17"/>
  <c r="I31" i="17"/>
  <c r="H31" i="17"/>
  <c r="I30" i="17"/>
  <c r="H30" i="17"/>
  <c r="I29" i="17"/>
  <c r="H29" i="17"/>
  <c r="I28" i="17"/>
  <c r="H28" i="17"/>
  <c r="I27" i="17"/>
  <c r="H27" i="17"/>
  <c r="I26" i="17"/>
  <c r="H26" i="17"/>
  <c r="I25" i="17"/>
  <c r="H25" i="17"/>
  <c r="I24" i="17"/>
  <c r="H24" i="17"/>
  <c r="I23" i="17"/>
  <c r="H23" i="17"/>
  <c r="I22" i="17"/>
  <c r="H22" i="17"/>
  <c r="I21" i="17"/>
  <c r="H21" i="17"/>
  <c r="I20" i="17"/>
  <c r="H20" i="17"/>
  <c r="I19" i="17"/>
  <c r="H19" i="17"/>
  <c r="I18" i="17"/>
  <c r="H18" i="17"/>
  <c r="I17" i="17"/>
  <c r="H17" i="17"/>
  <c r="I16" i="17"/>
  <c r="H16" i="17"/>
  <c r="I15" i="17"/>
  <c r="H15" i="17"/>
  <c r="I14" i="17"/>
  <c r="H14" i="17"/>
  <c r="I13" i="17"/>
  <c r="H13" i="17"/>
  <c r="I12" i="17"/>
  <c r="H12" i="17"/>
  <c r="I11" i="17"/>
  <c r="H11" i="17"/>
  <c r="I10" i="17"/>
  <c r="H10" i="17"/>
  <c r="I9" i="17"/>
  <c r="H9" i="17"/>
  <c r="I8" i="17"/>
  <c r="H8" i="17"/>
  <c r="I7" i="17"/>
  <c r="H7" i="17"/>
  <c r="I6" i="17"/>
  <c r="H6" i="17"/>
  <c r="I5" i="17"/>
  <c r="H5" i="17"/>
  <c r="E202" i="17"/>
  <c r="E270" i="4"/>
  <c r="E269" i="4"/>
  <c r="E268" i="4"/>
  <c r="E267" i="4"/>
  <c r="E266" i="4"/>
  <c r="E265" i="4"/>
  <c r="E264" i="4"/>
  <c r="E263" i="4"/>
  <c r="E262" i="4"/>
  <c r="E261" i="4"/>
  <c r="E260" i="4"/>
  <c r="E259" i="4"/>
  <c r="E258" i="4"/>
  <c r="E257" i="4"/>
  <c r="E256" i="4"/>
  <c r="E255" i="4"/>
  <c r="E254" i="4"/>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J1303" i="8"/>
  <c r="J41" i="8"/>
  <c r="J40" i="8"/>
  <c r="Q1927" i="8"/>
  <c r="Q1928" i="8"/>
  <c r="Q1929" i="8"/>
  <c r="Q1930" i="8"/>
  <c r="Q1931" i="8"/>
  <c r="Q1932" i="8"/>
  <c r="Q1933" i="8"/>
  <c r="Q1934" i="8"/>
  <c r="Q1935" i="8"/>
  <c r="Q1936" i="8"/>
  <c r="Q1937" i="8"/>
  <c r="Q1938" i="8"/>
  <c r="Q1939" i="8"/>
  <c r="Q1940" i="8"/>
  <c r="Q1941" i="8"/>
  <c r="Q1942" i="8"/>
  <c r="Q1943" i="8"/>
  <c r="Q1944" i="8"/>
  <c r="Q1945" i="8"/>
  <c r="Q1946" i="8"/>
  <c r="Q1947" i="8"/>
  <c r="Q1948" i="8"/>
  <c r="Q1949" i="8"/>
  <c r="Q1950" i="8"/>
  <c r="Q1951" i="8"/>
  <c r="Q1952" i="8"/>
  <c r="Q1953" i="8"/>
  <c r="Q1954" i="8"/>
  <c r="Q1955" i="8"/>
  <c r="Q1956" i="8"/>
  <c r="Q1957" i="8"/>
  <c r="Q1958" i="8"/>
  <c r="Q1959" i="8"/>
  <c r="Q1960" i="8"/>
  <c r="Q1961" i="8"/>
  <c r="Q1962" i="8"/>
  <c r="Q1963" i="8"/>
  <c r="Q1964" i="8"/>
  <c r="Q1965" i="8"/>
  <c r="Q1966" i="8"/>
  <c r="Q1967" i="8"/>
  <c r="Q1968" i="8"/>
  <c r="Q1969" i="8"/>
  <c r="Q1970" i="8"/>
  <c r="Q1971" i="8"/>
  <c r="Q1972" i="8"/>
  <c r="Q1973" i="8"/>
  <c r="Q1974" i="8"/>
  <c r="Q1975" i="8"/>
  <c r="Q1976" i="8"/>
  <c r="Q1977" i="8"/>
  <c r="N1927" i="8"/>
  <c r="O1927" i="8" s="1"/>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I1927" i="8"/>
  <c r="J1927" i="8" s="1"/>
  <c r="L1927" i="8" s="1"/>
  <c r="I1928" i="8"/>
  <c r="J1928" i="8" s="1"/>
  <c r="L1928" i="8" s="1"/>
  <c r="I1929" i="8"/>
  <c r="J1929" i="8" s="1"/>
  <c r="L1929" i="8" s="1"/>
  <c r="I1930" i="8"/>
  <c r="J1930" i="8" s="1"/>
  <c r="L1930" i="8" s="1"/>
  <c r="I1931" i="8"/>
  <c r="J1931" i="8" s="1"/>
  <c r="L1931" i="8" s="1"/>
  <c r="I1932" i="8"/>
  <c r="J1932" i="8" s="1"/>
  <c r="L1932" i="8" s="1"/>
  <c r="I1933" i="8"/>
  <c r="J1933" i="8" s="1"/>
  <c r="L1933" i="8" s="1"/>
  <c r="I1934" i="8"/>
  <c r="J1934" i="8" s="1"/>
  <c r="L1934" i="8" s="1"/>
  <c r="I1935" i="8"/>
  <c r="J1935" i="8" s="1"/>
  <c r="L1935" i="8" s="1"/>
  <c r="I1936" i="8"/>
  <c r="J1936" i="8" s="1"/>
  <c r="L1936" i="8" s="1"/>
  <c r="I1937" i="8"/>
  <c r="J1937" i="8" s="1"/>
  <c r="L1937" i="8" s="1"/>
  <c r="I1938" i="8"/>
  <c r="J1938" i="8" s="1"/>
  <c r="L1938" i="8" s="1"/>
  <c r="I1939" i="8"/>
  <c r="J1939" i="8" s="1"/>
  <c r="L1939" i="8" s="1"/>
  <c r="I1940" i="8"/>
  <c r="J1940" i="8" s="1"/>
  <c r="L1940" i="8" s="1"/>
  <c r="I1941" i="8"/>
  <c r="J1941" i="8" s="1"/>
  <c r="L1941" i="8" s="1"/>
  <c r="I1942" i="8"/>
  <c r="J1942" i="8" s="1"/>
  <c r="L1942" i="8" s="1"/>
  <c r="I1943" i="8"/>
  <c r="J1943" i="8" s="1"/>
  <c r="L1943" i="8" s="1"/>
  <c r="I1944" i="8"/>
  <c r="J1944" i="8" s="1"/>
  <c r="L1944" i="8" s="1"/>
  <c r="I1945" i="8"/>
  <c r="J1945" i="8" s="1"/>
  <c r="L1945" i="8" s="1"/>
  <c r="I1946" i="8"/>
  <c r="J1946" i="8" s="1"/>
  <c r="L1946" i="8" s="1"/>
  <c r="I1947" i="8"/>
  <c r="J1947" i="8" s="1"/>
  <c r="L1947" i="8" s="1"/>
  <c r="I1948" i="8"/>
  <c r="J1948" i="8" s="1"/>
  <c r="L1948" i="8" s="1"/>
  <c r="I1949" i="8"/>
  <c r="J1949" i="8" s="1"/>
  <c r="L1949" i="8" s="1"/>
  <c r="I1950" i="8"/>
  <c r="J1950" i="8" s="1"/>
  <c r="L1950" i="8" s="1"/>
  <c r="I1951" i="8"/>
  <c r="J1951" i="8" s="1"/>
  <c r="L1951" i="8" s="1"/>
  <c r="I1952" i="8"/>
  <c r="J1952" i="8" s="1"/>
  <c r="L1952" i="8" s="1"/>
  <c r="I1953" i="8"/>
  <c r="J1953" i="8" s="1"/>
  <c r="L1953" i="8" s="1"/>
  <c r="I1954" i="8"/>
  <c r="J1954" i="8" s="1"/>
  <c r="L1954" i="8" s="1"/>
  <c r="I1955" i="8"/>
  <c r="J1955" i="8" s="1"/>
  <c r="L1955" i="8" s="1"/>
  <c r="I1956" i="8"/>
  <c r="J1956" i="8" s="1"/>
  <c r="L1956" i="8" s="1"/>
  <c r="I1957" i="8"/>
  <c r="J1957" i="8" s="1"/>
  <c r="L1957" i="8" s="1"/>
  <c r="I1958" i="8"/>
  <c r="J1958" i="8" s="1"/>
  <c r="L1958" i="8" s="1"/>
  <c r="I1959" i="8"/>
  <c r="J1959" i="8" s="1"/>
  <c r="L1959" i="8" s="1"/>
  <c r="I1960" i="8"/>
  <c r="J1960" i="8" s="1"/>
  <c r="L1960" i="8" s="1"/>
  <c r="I1961" i="8"/>
  <c r="J1961" i="8" s="1"/>
  <c r="L1961" i="8" s="1"/>
  <c r="I1962" i="8"/>
  <c r="J1962" i="8" s="1"/>
  <c r="L1962" i="8" s="1"/>
  <c r="I1963" i="8"/>
  <c r="J1963" i="8" s="1"/>
  <c r="L1963" i="8" s="1"/>
  <c r="I1964" i="8"/>
  <c r="J1964" i="8" s="1"/>
  <c r="L1964" i="8" s="1"/>
  <c r="I1965" i="8"/>
  <c r="J1965" i="8" s="1"/>
  <c r="L1965" i="8" s="1"/>
  <c r="I1966" i="8"/>
  <c r="J1966" i="8" s="1"/>
  <c r="L1966" i="8" s="1"/>
  <c r="I1967" i="8"/>
  <c r="J1967" i="8" s="1"/>
  <c r="L1967" i="8" s="1"/>
  <c r="I1968" i="8"/>
  <c r="J1968" i="8" s="1"/>
  <c r="L1968" i="8" s="1"/>
  <c r="I1969" i="8"/>
  <c r="J1969" i="8" s="1"/>
  <c r="L1969" i="8" s="1"/>
  <c r="I1970" i="8"/>
  <c r="J1970" i="8" s="1"/>
  <c r="L1970" i="8" s="1"/>
  <c r="I1971" i="8"/>
  <c r="J1971" i="8" s="1"/>
  <c r="L1971" i="8" s="1"/>
  <c r="I1972" i="8"/>
  <c r="J1972" i="8" s="1"/>
  <c r="L1972" i="8" s="1"/>
  <c r="I1973" i="8"/>
  <c r="J1973" i="8" s="1"/>
  <c r="L1973" i="8" s="1"/>
  <c r="I1974" i="8"/>
  <c r="J1974" i="8" s="1"/>
  <c r="L1974" i="8" s="1"/>
  <c r="I1975" i="8"/>
  <c r="J1975" i="8" s="1"/>
  <c r="L1975" i="8" s="1"/>
  <c r="I1976" i="8"/>
  <c r="J1976" i="8" s="1"/>
  <c r="L1976" i="8" s="1"/>
  <c r="I1977" i="8"/>
  <c r="J1977" i="8" s="1"/>
  <c r="L1977" i="8" s="1"/>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T1927" i="8"/>
  <c r="T1928" i="8"/>
  <c r="T1929" i="8"/>
  <c r="T1930" i="8"/>
  <c r="T1931" i="8"/>
  <c r="T1932" i="8"/>
  <c r="T1933" i="8"/>
  <c r="T1934" i="8"/>
  <c r="T1935" i="8"/>
  <c r="T1936" i="8"/>
  <c r="T1937" i="8"/>
  <c r="T1938" i="8"/>
  <c r="T1939" i="8"/>
  <c r="T1940" i="8"/>
  <c r="T1941" i="8"/>
  <c r="T1942" i="8"/>
  <c r="T1943" i="8"/>
  <c r="T1944" i="8"/>
  <c r="T1945" i="8"/>
  <c r="T1946" i="8"/>
  <c r="T1947" i="8"/>
  <c r="T1948" i="8"/>
  <c r="T1949" i="8"/>
  <c r="T1950" i="8"/>
  <c r="T1951" i="8"/>
  <c r="T1952" i="8"/>
  <c r="T1953" i="8"/>
  <c r="T1954" i="8"/>
  <c r="T1955" i="8"/>
  <c r="T1956" i="8"/>
  <c r="T1957" i="8"/>
  <c r="T1958" i="8"/>
  <c r="T1959" i="8"/>
  <c r="T1960" i="8"/>
  <c r="T1961" i="8"/>
  <c r="T1962" i="8"/>
  <c r="T1963" i="8"/>
  <c r="T1964" i="8"/>
  <c r="T1965" i="8"/>
  <c r="T1966" i="8"/>
  <c r="T1967" i="8"/>
  <c r="T1968" i="8"/>
  <c r="T1969" i="8"/>
  <c r="T1970" i="8"/>
  <c r="T1971" i="8"/>
  <c r="T1972" i="8"/>
  <c r="T1973" i="8"/>
  <c r="T1974" i="8"/>
  <c r="T1975" i="8"/>
  <c r="T1976" i="8"/>
  <c r="T1977" i="8"/>
  <c r="I1540" i="8"/>
  <c r="J1540" i="8" s="1"/>
  <c r="I1541" i="8"/>
  <c r="J1541" i="8" s="1"/>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541" i="8"/>
  <c r="G1541"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303" i="8"/>
  <c r="I1304" i="8"/>
  <c r="J1304" i="8" s="1"/>
  <c r="I1305" i="8"/>
  <c r="J1305" i="8" s="1"/>
  <c r="I1306" i="8"/>
  <c r="J1306" i="8" s="1"/>
  <c r="I1307" i="8"/>
  <c r="J1307" i="8" s="1"/>
  <c r="I1308" i="8"/>
  <c r="J1308" i="8" s="1"/>
  <c r="I1309" i="8"/>
  <c r="J1309" i="8" s="1"/>
  <c r="I1310" i="8"/>
  <c r="J1310" i="8" s="1"/>
  <c r="I1311" i="8"/>
  <c r="J1311" i="8" s="1"/>
  <c r="I1312" i="8"/>
  <c r="J1312" i="8" s="1"/>
  <c r="I1313" i="8"/>
  <c r="J1313" i="8" s="1"/>
  <c r="I1314" i="8"/>
  <c r="J1314" i="8" s="1"/>
  <c r="I1315" i="8"/>
  <c r="J1315" i="8" s="1"/>
  <c r="I1316" i="8"/>
  <c r="J1316" i="8" s="1"/>
  <c r="I1317" i="8"/>
  <c r="J1317" i="8" s="1"/>
  <c r="I1318" i="8"/>
  <c r="J1318" i="8" s="1"/>
  <c r="I1319" i="8"/>
  <c r="J1319" i="8" s="1"/>
  <c r="I1320" i="8"/>
  <c r="J1320" i="8" s="1"/>
  <c r="I1321" i="8"/>
  <c r="J1321" i="8" s="1"/>
  <c r="I1322" i="8"/>
  <c r="J1322" i="8" s="1"/>
  <c r="I1323" i="8"/>
  <c r="J1323" i="8" s="1"/>
  <c r="I1324" i="8"/>
  <c r="J1324" i="8" s="1"/>
  <c r="I1325" i="8"/>
  <c r="J1325" i="8" s="1"/>
  <c r="I1326" i="8"/>
  <c r="J1326" i="8" s="1"/>
  <c r="I1327" i="8"/>
  <c r="J1327" i="8" s="1"/>
  <c r="I1328" i="8"/>
  <c r="J1328" i="8" s="1"/>
  <c r="I1329" i="8"/>
  <c r="J1329" i="8" s="1"/>
  <c r="I1330" i="8"/>
  <c r="J1330" i="8" s="1"/>
  <c r="I1331" i="8"/>
  <c r="J1331" i="8" s="1"/>
  <c r="I1332" i="8"/>
  <c r="J1332" i="8" s="1"/>
  <c r="I1333" i="8"/>
  <c r="J1333" i="8" s="1"/>
  <c r="I1334" i="8"/>
  <c r="J1334" i="8" s="1"/>
  <c r="I1335" i="8"/>
  <c r="J1335" i="8" s="1"/>
  <c r="I1336" i="8"/>
  <c r="J1336" i="8" s="1"/>
  <c r="I1337" i="8"/>
  <c r="J1337" i="8" s="1"/>
  <c r="I1338" i="8"/>
  <c r="J1338" i="8" s="1"/>
  <c r="I1339" i="8"/>
  <c r="J1339" i="8" s="1"/>
  <c r="I1340" i="8"/>
  <c r="J1340" i="8" s="1"/>
  <c r="I1341" i="8"/>
  <c r="J1341" i="8" s="1"/>
  <c r="I1342" i="8"/>
  <c r="J1342" i="8" s="1"/>
  <c r="I1343" i="8"/>
  <c r="J1343" i="8" s="1"/>
  <c r="I1344" i="8"/>
  <c r="J1344" i="8" s="1"/>
  <c r="I1345" i="8"/>
  <c r="J1345" i="8" s="1"/>
  <c r="I1346" i="8"/>
  <c r="J1346" i="8" s="1"/>
  <c r="I1347" i="8"/>
  <c r="J1347" i="8" s="1"/>
  <c r="I1348" i="8"/>
  <c r="J1348" i="8" s="1"/>
  <c r="I1349" i="8"/>
  <c r="J1349" i="8" s="1"/>
  <c r="I1350" i="8"/>
  <c r="J1350" i="8" s="1"/>
  <c r="I1351" i="8"/>
  <c r="J1351" i="8" s="1"/>
  <c r="I1352" i="8"/>
  <c r="J1352" i="8" s="1"/>
  <c r="I1353" i="8"/>
  <c r="J1353" i="8" s="1"/>
  <c r="I1354" i="8"/>
  <c r="J1354" i="8" s="1"/>
  <c r="I1355" i="8"/>
  <c r="J1355" i="8" s="1"/>
  <c r="I1356" i="8"/>
  <c r="J1356" i="8" s="1"/>
  <c r="I1357" i="8"/>
  <c r="J1357" i="8" s="1"/>
  <c r="I1358" i="8"/>
  <c r="J1358" i="8" s="1"/>
  <c r="I1359" i="8"/>
  <c r="J1359" i="8" s="1"/>
  <c r="I1360" i="8"/>
  <c r="J1360" i="8" s="1"/>
  <c r="I1361" i="8"/>
  <c r="J1361" i="8" s="1"/>
  <c r="I1362" i="8"/>
  <c r="J1362" i="8" s="1"/>
  <c r="I1363" i="8"/>
  <c r="J1363" i="8" s="1"/>
  <c r="I1364" i="8"/>
  <c r="J1364" i="8" s="1"/>
  <c r="I1365" i="8"/>
  <c r="J1365" i="8" s="1"/>
  <c r="I1366" i="8"/>
  <c r="J1366" i="8" s="1"/>
  <c r="I1367" i="8"/>
  <c r="J1367" i="8" s="1"/>
  <c r="I1368" i="8"/>
  <c r="J1368" i="8" s="1"/>
  <c r="AJ1368" i="8" s="1"/>
  <c r="AK1368" i="8" s="1"/>
  <c r="I1369" i="8"/>
  <c r="J1369" i="8" s="1"/>
  <c r="I1370" i="8"/>
  <c r="J1370" i="8" s="1"/>
  <c r="I1371" i="8"/>
  <c r="J1371" i="8" s="1"/>
  <c r="I1372" i="8"/>
  <c r="J1372" i="8" s="1"/>
  <c r="I1373" i="8"/>
  <c r="J1373" i="8" s="1"/>
  <c r="I1374" i="8"/>
  <c r="J1374" i="8" s="1"/>
  <c r="I1375" i="8"/>
  <c r="J1375" i="8" s="1"/>
  <c r="I1376" i="8"/>
  <c r="J1376" i="8" s="1"/>
  <c r="I1377" i="8"/>
  <c r="J1377" i="8" s="1"/>
  <c r="I1378" i="8"/>
  <c r="J1378" i="8" s="1"/>
  <c r="I1379" i="8"/>
  <c r="J1379" i="8" s="1"/>
  <c r="I1380" i="8"/>
  <c r="J1380" i="8" s="1"/>
  <c r="I1381" i="8"/>
  <c r="J1381" i="8" s="1"/>
  <c r="I1382" i="8"/>
  <c r="J1382" i="8" s="1"/>
  <c r="I1383" i="8"/>
  <c r="J1383" i="8" s="1"/>
  <c r="I1384" i="8"/>
  <c r="J1384" i="8" s="1"/>
  <c r="I1385" i="8"/>
  <c r="J1385" i="8" s="1"/>
  <c r="I1386" i="8"/>
  <c r="J1386" i="8" s="1"/>
  <c r="I1387" i="8"/>
  <c r="J1387" i="8" s="1"/>
  <c r="I1388" i="8"/>
  <c r="J1388" i="8" s="1"/>
  <c r="I1389" i="8"/>
  <c r="J1389" i="8" s="1"/>
  <c r="I1390" i="8"/>
  <c r="J1390" i="8" s="1"/>
  <c r="I1391" i="8"/>
  <c r="J1391" i="8" s="1"/>
  <c r="I1392" i="8"/>
  <c r="J1392" i="8" s="1"/>
  <c r="I1393" i="8"/>
  <c r="J1393" i="8" s="1"/>
  <c r="I1394" i="8"/>
  <c r="J1394" i="8" s="1"/>
  <c r="I1395" i="8"/>
  <c r="J1395" i="8" s="1"/>
  <c r="I1396" i="8"/>
  <c r="J1396" i="8" s="1"/>
  <c r="I1397" i="8"/>
  <c r="J1397" i="8" s="1"/>
  <c r="I1398" i="8"/>
  <c r="J1398" i="8" s="1"/>
  <c r="I1399" i="8"/>
  <c r="J1399" i="8" s="1"/>
  <c r="I1400" i="8"/>
  <c r="J1400" i="8" s="1"/>
  <c r="I1401" i="8"/>
  <c r="J1401" i="8" s="1"/>
  <c r="I1402" i="8"/>
  <c r="J1402" i="8" s="1"/>
  <c r="I1403" i="8"/>
  <c r="J1403" i="8" s="1"/>
  <c r="I1404" i="8"/>
  <c r="J1404" i="8" s="1"/>
  <c r="I1405" i="8"/>
  <c r="J1405" i="8" s="1"/>
  <c r="I1406" i="8"/>
  <c r="J1406" i="8" s="1"/>
  <c r="I1407" i="8"/>
  <c r="J1407" i="8" s="1"/>
  <c r="AJ1407" i="8" s="1"/>
  <c r="AK1407" i="8" s="1"/>
  <c r="I1408" i="8"/>
  <c r="J1408" i="8" s="1"/>
  <c r="I1409" i="8"/>
  <c r="J1409" i="8" s="1"/>
  <c r="I1410" i="8"/>
  <c r="J1410" i="8" s="1"/>
  <c r="I1411" i="8"/>
  <c r="J1411" i="8" s="1"/>
  <c r="I1412" i="8"/>
  <c r="J1412" i="8" s="1"/>
  <c r="I1413" i="8"/>
  <c r="J1413" i="8" s="1"/>
  <c r="I1414" i="8"/>
  <c r="J1414" i="8" s="1"/>
  <c r="I1415" i="8"/>
  <c r="J1415" i="8" s="1"/>
  <c r="I1416" i="8"/>
  <c r="J1416" i="8" s="1"/>
  <c r="I1417" i="8"/>
  <c r="J1417" i="8" s="1"/>
  <c r="I1418" i="8"/>
  <c r="J1418" i="8" s="1"/>
  <c r="I1419" i="8"/>
  <c r="J1419" i="8" s="1"/>
  <c r="I1420" i="8"/>
  <c r="J1420" i="8" s="1"/>
  <c r="I1421" i="8"/>
  <c r="J1421" i="8" s="1"/>
  <c r="I1422" i="8"/>
  <c r="J1422" i="8" s="1"/>
  <c r="I1423" i="8"/>
  <c r="J1423" i="8" s="1"/>
  <c r="I1424" i="8"/>
  <c r="J1424" i="8" s="1"/>
  <c r="I1425" i="8"/>
  <c r="J1425" i="8" s="1"/>
  <c r="I1426" i="8"/>
  <c r="J1426" i="8" s="1"/>
  <c r="I1427" i="8"/>
  <c r="J1427" i="8" s="1"/>
  <c r="I1428" i="8"/>
  <c r="J1428" i="8" s="1"/>
  <c r="I1429" i="8"/>
  <c r="J1429" i="8" s="1"/>
  <c r="I1430" i="8"/>
  <c r="J1430" i="8" s="1"/>
  <c r="I1431" i="8"/>
  <c r="J1431" i="8" s="1"/>
  <c r="I1432" i="8"/>
  <c r="J1432" i="8" s="1"/>
  <c r="I1433" i="8"/>
  <c r="J1433" i="8" s="1"/>
  <c r="I1434" i="8"/>
  <c r="J1434" i="8" s="1"/>
  <c r="I1435" i="8"/>
  <c r="J1435" i="8" s="1"/>
  <c r="I1436" i="8"/>
  <c r="J1436" i="8" s="1"/>
  <c r="I1437" i="8"/>
  <c r="J1437" i="8" s="1"/>
  <c r="I1438" i="8"/>
  <c r="J1438" i="8" s="1"/>
  <c r="I1439" i="8"/>
  <c r="J1439" i="8" s="1"/>
  <c r="I1440" i="8"/>
  <c r="J1440" i="8" s="1"/>
  <c r="I1441" i="8"/>
  <c r="J1441" i="8" s="1"/>
  <c r="I1442" i="8"/>
  <c r="J1442" i="8" s="1"/>
  <c r="I1443" i="8"/>
  <c r="J1443" i="8" s="1"/>
  <c r="I1444" i="8"/>
  <c r="J1444" i="8" s="1"/>
  <c r="I1445" i="8"/>
  <c r="J1445" i="8" s="1"/>
  <c r="I1446" i="8"/>
  <c r="J1446" i="8" s="1"/>
  <c r="I1447" i="8"/>
  <c r="J1447" i="8" s="1"/>
  <c r="I1448" i="8"/>
  <c r="J1448" i="8" s="1"/>
  <c r="I1449" i="8"/>
  <c r="J1449" i="8" s="1"/>
  <c r="I1450" i="8"/>
  <c r="J1450" i="8" s="1"/>
  <c r="I1451" i="8"/>
  <c r="J1451" i="8" s="1"/>
  <c r="I1452" i="8"/>
  <c r="J1452" i="8" s="1"/>
  <c r="I1453" i="8"/>
  <c r="J1453" i="8" s="1"/>
  <c r="I1454" i="8"/>
  <c r="J1454" i="8" s="1"/>
  <c r="I1455" i="8"/>
  <c r="J1455" i="8" s="1"/>
  <c r="I1456" i="8"/>
  <c r="J1456" i="8" s="1"/>
  <c r="I1457" i="8"/>
  <c r="J1457" i="8" s="1"/>
  <c r="I1458" i="8"/>
  <c r="J1458" i="8" s="1"/>
  <c r="I1459" i="8"/>
  <c r="J1459" i="8" s="1"/>
  <c r="I1460" i="8"/>
  <c r="J1460" i="8" s="1"/>
  <c r="I1461" i="8"/>
  <c r="J1461" i="8" s="1"/>
  <c r="I1462" i="8"/>
  <c r="J1462" i="8" s="1"/>
  <c r="I1463" i="8"/>
  <c r="J1463" i="8" s="1"/>
  <c r="I1464" i="8"/>
  <c r="J1464" i="8" s="1"/>
  <c r="I1465" i="8"/>
  <c r="J1465" i="8" s="1"/>
  <c r="I1466" i="8"/>
  <c r="J1466" i="8" s="1"/>
  <c r="I1467" i="8"/>
  <c r="J1467" i="8" s="1"/>
  <c r="I1468" i="8"/>
  <c r="J1468" i="8" s="1"/>
  <c r="I1469" i="8"/>
  <c r="J1469" i="8" s="1"/>
  <c r="I1470" i="8"/>
  <c r="J1470" i="8" s="1"/>
  <c r="I1471" i="8"/>
  <c r="J1471" i="8" s="1"/>
  <c r="I1472" i="8"/>
  <c r="J1472" i="8" s="1"/>
  <c r="I1473" i="8"/>
  <c r="J1473" i="8" s="1"/>
  <c r="I1474" i="8"/>
  <c r="J1474" i="8" s="1"/>
  <c r="I1475" i="8"/>
  <c r="J1475" i="8" s="1"/>
  <c r="I1476" i="8"/>
  <c r="J1476" i="8" s="1"/>
  <c r="I1477" i="8"/>
  <c r="J1477" i="8" s="1"/>
  <c r="I1478" i="8"/>
  <c r="J1478" i="8" s="1"/>
  <c r="I1479" i="8"/>
  <c r="J1479" i="8" s="1"/>
  <c r="I1480" i="8"/>
  <c r="J1480" i="8" s="1"/>
  <c r="I1481" i="8"/>
  <c r="J1481" i="8" s="1"/>
  <c r="I1482" i="8"/>
  <c r="J1482" i="8" s="1"/>
  <c r="I1483" i="8"/>
  <c r="J1483" i="8" s="1"/>
  <c r="I1484" i="8"/>
  <c r="J1484" i="8" s="1"/>
  <c r="I1485" i="8"/>
  <c r="J1485" i="8" s="1"/>
  <c r="I1486" i="8"/>
  <c r="J1486" i="8" s="1"/>
  <c r="I1487" i="8"/>
  <c r="J1487" i="8" s="1"/>
  <c r="I1488" i="8"/>
  <c r="J1488" i="8" s="1"/>
  <c r="I1489" i="8"/>
  <c r="J1489" i="8" s="1"/>
  <c r="I1490" i="8"/>
  <c r="J1490" i="8" s="1"/>
  <c r="I1491" i="8"/>
  <c r="J1491" i="8" s="1"/>
  <c r="I1492" i="8"/>
  <c r="J1492" i="8" s="1"/>
  <c r="I1493" i="8"/>
  <c r="J1493" i="8" s="1"/>
  <c r="I1494" i="8"/>
  <c r="J1494" i="8" s="1"/>
  <c r="I1495" i="8"/>
  <c r="J1495" i="8" s="1"/>
  <c r="I1496" i="8"/>
  <c r="J1496" i="8" s="1"/>
  <c r="I1497" i="8"/>
  <c r="J1497" i="8" s="1"/>
  <c r="I1498" i="8"/>
  <c r="J1498" i="8" s="1"/>
  <c r="I1499" i="8"/>
  <c r="J1499" i="8" s="1"/>
  <c r="I1500" i="8"/>
  <c r="J1500" i="8" s="1"/>
  <c r="I1501" i="8"/>
  <c r="J1501" i="8" s="1"/>
  <c r="I1502" i="8"/>
  <c r="J1502" i="8" s="1"/>
  <c r="I1503" i="8"/>
  <c r="J1503" i="8" s="1"/>
  <c r="I1504" i="8"/>
  <c r="J1504" i="8" s="1"/>
  <c r="I1505" i="8"/>
  <c r="J1505" i="8" s="1"/>
  <c r="I1506" i="8"/>
  <c r="J1506" i="8" s="1"/>
  <c r="I1507" i="8"/>
  <c r="J1507" i="8" s="1"/>
  <c r="I1508" i="8"/>
  <c r="J1508" i="8" s="1"/>
  <c r="I1509" i="8"/>
  <c r="J1509" i="8" s="1"/>
  <c r="I1510" i="8"/>
  <c r="J1510" i="8" s="1"/>
  <c r="I1511" i="8"/>
  <c r="J1511" i="8" s="1"/>
  <c r="I1512" i="8"/>
  <c r="J1512" i="8" s="1"/>
  <c r="I1513" i="8"/>
  <c r="J1513" i="8" s="1"/>
  <c r="I1514" i="8"/>
  <c r="J1514" i="8" s="1"/>
  <c r="I1515" i="8"/>
  <c r="J1515" i="8" s="1"/>
  <c r="I1516" i="8"/>
  <c r="J1516" i="8" s="1"/>
  <c r="I1517" i="8"/>
  <c r="J1517" i="8" s="1"/>
  <c r="I1518" i="8"/>
  <c r="J1518" i="8" s="1"/>
  <c r="I1519" i="8"/>
  <c r="J1519" i="8" s="1"/>
  <c r="I1520" i="8"/>
  <c r="J1520" i="8" s="1"/>
  <c r="I1521" i="8"/>
  <c r="J1521" i="8" s="1"/>
  <c r="I1522" i="8"/>
  <c r="J1522" i="8" s="1"/>
  <c r="I1523" i="8"/>
  <c r="J1523" i="8" s="1"/>
  <c r="I1524" i="8"/>
  <c r="J1524" i="8" s="1"/>
  <c r="I1525" i="8"/>
  <c r="J1525" i="8" s="1"/>
  <c r="I1526" i="8"/>
  <c r="J1526" i="8" s="1"/>
  <c r="I1527" i="8"/>
  <c r="J1527" i="8" s="1"/>
  <c r="I1528" i="8"/>
  <c r="J1528" i="8" s="1"/>
  <c r="I1529" i="8"/>
  <c r="J1529" i="8" s="1"/>
  <c r="I1530" i="8"/>
  <c r="J1530" i="8" s="1"/>
  <c r="I1531" i="8"/>
  <c r="J1531" i="8" s="1"/>
  <c r="I1532" i="8"/>
  <c r="J1532" i="8" s="1"/>
  <c r="I1533" i="8"/>
  <c r="J1533" i="8" s="1"/>
  <c r="I1534" i="8"/>
  <c r="J1534" i="8" s="1"/>
  <c r="I1535" i="8"/>
  <c r="J1535" i="8" s="1"/>
  <c r="I1536" i="8"/>
  <c r="J1536" i="8" s="1"/>
  <c r="I1537" i="8"/>
  <c r="J1537" i="8" s="1"/>
  <c r="I1538" i="8"/>
  <c r="J1538" i="8" s="1"/>
  <c r="I1539" i="8"/>
  <c r="J1539" i="8" s="1"/>
  <c r="I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303"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774" i="8"/>
  <c r="I775" i="8"/>
  <c r="J775" i="8" s="1"/>
  <c r="I776" i="8"/>
  <c r="J776" i="8" s="1"/>
  <c r="I777" i="8"/>
  <c r="J777" i="8" s="1"/>
  <c r="I778" i="8"/>
  <c r="J778" i="8" s="1"/>
  <c r="I779" i="8"/>
  <c r="J779" i="8" s="1"/>
  <c r="I780" i="8"/>
  <c r="J780" i="8" s="1"/>
  <c r="I781" i="8"/>
  <c r="J781" i="8" s="1"/>
  <c r="I782" i="8"/>
  <c r="J782" i="8" s="1"/>
  <c r="I783" i="8"/>
  <c r="J783" i="8" s="1"/>
  <c r="I784" i="8"/>
  <c r="J784" i="8" s="1"/>
  <c r="I785" i="8"/>
  <c r="J785" i="8" s="1"/>
  <c r="I786" i="8"/>
  <c r="J786" i="8" s="1"/>
  <c r="I787" i="8"/>
  <c r="J787" i="8" s="1"/>
  <c r="I788" i="8"/>
  <c r="J788" i="8" s="1"/>
  <c r="I789" i="8"/>
  <c r="J789" i="8" s="1"/>
  <c r="I790" i="8"/>
  <c r="J790" i="8" s="1"/>
  <c r="I791" i="8"/>
  <c r="J791" i="8" s="1"/>
  <c r="I792" i="8"/>
  <c r="J792" i="8" s="1"/>
  <c r="I793" i="8"/>
  <c r="J793" i="8" s="1"/>
  <c r="I794" i="8"/>
  <c r="J794" i="8" s="1"/>
  <c r="I795" i="8"/>
  <c r="J795" i="8" s="1"/>
  <c r="I796" i="8"/>
  <c r="J796" i="8" s="1"/>
  <c r="I797" i="8"/>
  <c r="J797" i="8" s="1"/>
  <c r="I798" i="8"/>
  <c r="J798" i="8" s="1"/>
  <c r="I799" i="8"/>
  <c r="J799" i="8" s="1"/>
  <c r="I800" i="8"/>
  <c r="J800" i="8" s="1"/>
  <c r="I801" i="8"/>
  <c r="J801" i="8" s="1"/>
  <c r="I802" i="8"/>
  <c r="J802" i="8" s="1"/>
  <c r="I803" i="8"/>
  <c r="J803" i="8" s="1"/>
  <c r="I804" i="8"/>
  <c r="J804" i="8" s="1"/>
  <c r="I805" i="8"/>
  <c r="J805" i="8" s="1"/>
  <c r="I806" i="8"/>
  <c r="J806" i="8" s="1"/>
  <c r="I807" i="8"/>
  <c r="J807" i="8" s="1"/>
  <c r="I808" i="8"/>
  <c r="J808" i="8" s="1"/>
  <c r="I809" i="8"/>
  <c r="J809" i="8" s="1"/>
  <c r="I810" i="8"/>
  <c r="J810" i="8" s="1"/>
  <c r="I811" i="8"/>
  <c r="J811" i="8" s="1"/>
  <c r="I812" i="8"/>
  <c r="J812" i="8" s="1"/>
  <c r="I813" i="8"/>
  <c r="J813" i="8" s="1"/>
  <c r="I814" i="8"/>
  <c r="J814" i="8" s="1"/>
  <c r="I815" i="8"/>
  <c r="J815" i="8" s="1"/>
  <c r="I816" i="8"/>
  <c r="J816" i="8" s="1"/>
  <c r="I817" i="8"/>
  <c r="J817" i="8" s="1"/>
  <c r="I818" i="8"/>
  <c r="J818" i="8" s="1"/>
  <c r="I819" i="8"/>
  <c r="J819" i="8" s="1"/>
  <c r="I820" i="8"/>
  <c r="J820" i="8" s="1"/>
  <c r="I821" i="8"/>
  <c r="J821" i="8" s="1"/>
  <c r="I822" i="8"/>
  <c r="J822" i="8" s="1"/>
  <c r="I823" i="8"/>
  <c r="J823" i="8" s="1"/>
  <c r="I824" i="8"/>
  <c r="J824" i="8" s="1"/>
  <c r="I825" i="8"/>
  <c r="J825" i="8" s="1"/>
  <c r="I826" i="8"/>
  <c r="J826" i="8" s="1"/>
  <c r="I827" i="8"/>
  <c r="J827" i="8" s="1"/>
  <c r="I828" i="8"/>
  <c r="J828" i="8" s="1"/>
  <c r="I829" i="8"/>
  <c r="J829" i="8" s="1"/>
  <c r="I830" i="8"/>
  <c r="J830" i="8" s="1"/>
  <c r="I831" i="8"/>
  <c r="J831" i="8" s="1"/>
  <c r="I832" i="8"/>
  <c r="J832" i="8" s="1"/>
  <c r="I833" i="8"/>
  <c r="J833" i="8" s="1"/>
  <c r="I834" i="8"/>
  <c r="J834" i="8" s="1"/>
  <c r="I835" i="8"/>
  <c r="J835" i="8" s="1"/>
  <c r="I836" i="8"/>
  <c r="J836" i="8" s="1"/>
  <c r="I837" i="8"/>
  <c r="J837" i="8" s="1"/>
  <c r="I838" i="8"/>
  <c r="J838" i="8" s="1"/>
  <c r="I839" i="8"/>
  <c r="J839" i="8" s="1"/>
  <c r="I840" i="8"/>
  <c r="J840" i="8" s="1"/>
  <c r="I841" i="8"/>
  <c r="J841" i="8" s="1"/>
  <c r="I842" i="8"/>
  <c r="J842" i="8" s="1"/>
  <c r="I843" i="8"/>
  <c r="J843" i="8" s="1"/>
  <c r="I844" i="8"/>
  <c r="J844" i="8" s="1"/>
  <c r="I845" i="8"/>
  <c r="J845" i="8" s="1"/>
  <c r="I846" i="8"/>
  <c r="J846" i="8" s="1"/>
  <c r="I847" i="8"/>
  <c r="J847" i="8" s="1"/>
  <c r="I848" i="8"/>
  <c r="J848" i="8" s="1"/>
  <c r="I849" i="8"/>
  <c r="J849" i="8" s="1"/>
  <c r="I850" i="8"/>
  <c r="J850" i="8" s="1"/>
  <c r="I851" i="8"/>
  <c r="J851" i="8" s="1"/>
  <c r="I852" i="8"/>
  <c r="J852" i="8" s="1"/>
  <c r="I853" i="8"/>
  <c r="J853" i="8" s="1"/>
  <c r="I854" i="8"/>
  <c r="J854" i="8" s="1"/>
  <c r="I855" i="8"/>
  <c r="J855" i="8" s="1"/>
  <c r="I856" i="8"/>
  <c r="J856" i="8" s="1"/>
  <c r="I857" i="8"/>
  <c r="J857" i="8" s="1"/>
  <c r="I858" i="8"/>
  <c r="J858" i="8" s="1"/>
  <c r="I859" i="8"/>
  <c r="J859" i="8" s="1"/>
  <c r="I860" i="8"/>
  <c r="J860" i="8" s="1"/>
  <c r="I861" i="8"/>
  <c r="J861" i="8" s="1"/>
  <c r="I862" i="8"/>
  <c r="J862" i="8" s="1"/>
  <c r="I863" i="8"/>
  <c r="J863" i="8" s="1"/>
  <c r="I864" i="8"/>
  <c r="J864" i="8" s="1"/>
  <c r="I865" i="8"/>
  <c r="J865" i="8" s="1"/>
  <c r="I866" i="8"/>
  <c r="J866" i="8" s="1"/>
  <c r="I867" i="8"/>
  <c r="J867" i="8" s="1"/>
  <c r="I868" i="8"/>
  <c r="J868" i="8" s="1"/>
  <c r="I869" i="8"/>
  <c r="J869" i="8" s="1"/>
  <c r="I870" i="8"/>
  <c r="J870" i="8" s="1"/>
  <c r="I871" i="8"/>
  <c r="J871" i="8" s="1"/>
  <c r="I872" i="8"/>
  <c r="J872" i="8" s="1"/>
  <c r="I873" i="8"/>
  <c r="J873" i="8" s="1"/>
  <c r="I874" i="8"/>
  <c r="J874" i="8" s="1"/>
  <c r="I875" i="8"/>
  <c r="J875" i="8" s="1"/>
  <c r="I876" i="8"/>
  <c r="J876" i="8" s="1"/>
  <c r="I877" i="8"/>
  <c r="J877" i="8" s="1"/>
  <c r="I878" i="8"/>
  <c r="J878" i="8" s="1"/>
  <c r="I879" i="8"/>
  <c r="J879" i="8" s="1"/>
  <c r="I880" i="8"/>
  <c r="J880" i="8" s="1"/>
  <c r="I881" i="8"/>
  <c r="J881" i="8" s="1"/>
  <c r="I882" i="8"/>
  <c r="J882" i="8" s="1"/>
  <c r="I883" i="8"/>
  <c r="J883" i="8" s="1"/>
  <c r="I884" i="8"/>
  <c r="J884" i="8" s="1"/>
  <c r="I885" i="8"/>
  <c r="J885" i="8" s="1"/>
  <c r="I886" i="8"/>
  <c r="J886" i="8" s="1"/>
  <c r="I887" i="8"/>
  <c r="J887" i="8" s="1"/>
  <c r="I888" i="8"/>
  <c r="J888" i="8" s="1"/>
  <c r="I889" i="8"/>
  <c r="J889" i="8" s="1"/>
  <c r="I890" i="8"/>
  <c r="J890" i="8" s="1"/>
  <c r="I891" i="8"/>
  <c r="J891" i="8" s="1"/>
  <c r="I892" i="8"/>
  <c r="J892" i="8" s="1"/>
  <c r="I893" i="8"/>
  <c r="J893" i="8" s="1"/>
  <c r="I894" i="8"/>
  <c r="J894" i="8" s="1"/>
  <c r="I895" i="8"/>
  <c r="J895" i="8" s="1"/>
  <c r="I896" i="8"/>
  <c r="J896" i="8" s="1"/>
  <c r="I897" i="8"/>
  <c r="J897" i="8" s="1"/>
  <c r="I898" i="8"/>
  <c r="J898" i="8" s="1"/>
  <c r="I899" i="8"/>
  <c r="J899" i="8" s="1"/>
  <c r="I900" i="8"/>
  <c r="J900" i="8" s="1"/>
  <c r="I901" i="8"/>
  <c r="J901" i="8" s="1"/>
  <c r="I902" i="8"/>
  <c r="J902" i="8" s="1"/>
  <c r="I903" i="8"/>
  <c r="J903" i="8" s="1"/>
  <c r="I904" i="8"/>
  <c r="J904" i="8" s="1"/>
  <c r="I905" i="8"/>
  <c r="J905" i="8" s="1"/>
  <c r="I906" i="8"/>
  <c r="J906" i="8" s="1"/>
  <c r="I907" i="8"/>
  <c r="J907" i="8" s="1"/>
  <c r="I908" i="8"/>
  <c r="J908" i="8" s="1"/>
  <c r="I909" i="8"/>
  <c r="J909" i="8" s="1"/>
  <c r="I910" i="8"/>
  <c r="J910" i="8" s="1"/>
  <c r="I911" i="8"/>
  <c r="J911" i="8" s="1"/>
  <c r="I912" i="8"/>
  <c r="J912" i="8" s="1"/>
  <c r="I913" i="8"/>
  <c r="J913" i="8" s="1"/>
  <c r="I914" i="8"/>
  <c r="J914" i="8" s="1"/>
  <c r="I915" i="8"/>
  <c r="J915" i="8" s="1"/>
  <c r="I916" i="8"/>
  <c r="J916" i="8" s="1"/>
  <c r="I917" i="8"/>
  <c r="J917" i="8" s="1"/>
  <c r="I918" i="8"/>
  <c r="J918" i="8" s="1"/>
  <c r="I919" i="8"/>
  <c r="J919" i="8" s="1"/>
  <c r="I920" i="8"/>
  <c r="J920" i="8" s="1"/>
  <c r="I921" i="8"/>
  <c r="J921" i="8" s="1"/>
  <c r="I922" i="8"/>
  <c r="J922" i="8" s="1"/>
  <c r="I923" i="8"/>
  <c r="J923" i="8" s="1"/>
  <c r="I924" i="8"/>
  <c r="J924" i="8" s="1"/>
  <c r="I925" i="8"/>
  <c r="J925" i="8" s="1"/>
  <c r="I926" i="8"/>
  <c r="J926" i="8" s="1"/>
  <c r="I927" i="8"/>
  <c r="J927" i="8" s="1"/>
  <c r="I928" i="8"/>
  <c r="J928" i="8" s="1"/>
  <c r="I929" i="8"/>
  <c r="J929" i="8" s="1"/>
  <c r="I930" i="8"/>
  <c r="J930" i="8" s="1"/>
  <c r="I931" i="8"/>
  <c r="J931" i="8" s="1"/>
  <c r="I932" i="8"/>
  <c r="J932" i="8" s="1"/>
  <c r="I933" i="8"/>
  <c r="J933" i="8" s="1"/>
  <c r="I934" i="8"/>
  <c r="J934" i="8" s="1"/>
  <c r="I935" i="8"/>
  <c r="J935" i="8" s="1"/>
  <c r="I936" i="8"/>
  <c r="J936" i="8" s="1"/>
  <c r="I937" i="8"/>
  <c r="J937" i="8" s="1"/>
  <c r="I938" i="8"/>
  <c r="J938" i="8" s="1"/>
  <c r="I939" i="8"/>
  <c r="J939" i="8" s="1"/>
  <c r="I940" i="8"/>
  <c r="J940" i="8" s="1"/>
  <c r="I941" i="8"/>
  <c r="J941" i="8" s="1"/>
  <c r="I942" i="8"/>
  <c r="J942" i="8" s="1"/>
  <c r="I943" i="8"/>
  <c r="J943" i="8" s="1"/>
  <c r="I944" i="8"/>
  <c r="J944" i="8" s="1"/>
  <c r="I945" i="8"/>
  <c r="J945" i="8" s="1"/>
  <c r="I946" i="8"/>
  <c r="J946" i="8" s="1"/>
  <c r="I947" i="8"/>
  <c r="J947" i="8" s="1"/>
  <c r="I948" i="8"/>
  <c r="J948" i="8" s="1"/>
  <c r="I949" i="8"/>
  <c r="J949" i="8" s="1"/>
  <c r="I950" i="8"/>
  <c r="J950" i="8" s="1"/>
  <c r="I951" i="8"/>
  <c r="J951" i="8" s="1"/>
  <c r="I952" i="8"/>
  <c r="J952" i="8" s="1"/>
  <c r="I953" i="8"/>
  <c r="J953" i="8" s="1"/>
  <c r="I954" i="8"/>
  <c r="J954" i="8" s="1"/>
  <c r="I955" i="8"/>
  <c r="J955" i="8" s="1"/>
  <c r="I956" i="8"/>
  <c r="J956" i="8" s="1"/>
  <c r="I957" i="8"/>
  <c r="J957" i="8" s="1"/>
  <c r="I958" i="8"/>
  <c r="J958" i="8" s="1"/>
  <c r="I959" i="8"/>
  <c r="J959" i="8" s="1"/>
  <c r="I960" i="8"/>
  <c r="J960" i="8" s="1"/>
  <c r="I961" i="8"/>
  <c r="J961" i="8" s="1"/>
  <c r="I962" i="8"/>
  <c r="J962" i="8" s="1"/>
  <c r="I963" i="8"/>
  <c r="J963" i="8" s="1"/>
  <c r="I964" i="8"/>
  <c r="J964" i="8" s="1"/>
  <c r="I965" i="8"/>
  <c r="J965" i="8" s="1"/>
  <c r="I966" i="8"/>
  <c r="J966" i="8" s="1"/>
  <c r="I967" i="8"/>
  <c r="J967" i="8" s="1"/>
  <c r="I968" i="8"/>
  <c r="J968" i="8" s="1"/>
  <c r="I969" i="8"/>
  <c r="J969" i="8" s="1"/>
  <c r="I970" i="8"/>
  <c r="J970" i="8" s="1"/>
  <c r="I971" i="8"/>
  <c r="J971" i="8" s="1"/>
  <c r="I972" i="8"/>
  <c r="J972" i="8" s="1"/>
  <c r="I973" i="8"/>
  <c r="J973" i="8" s="1"/>
  <c r="I974" i="8"/>
  <c r="J974" i="8" s="1"/>
  <c r="I975" i="8"/>
  <c r="J975" i="8" s="1"/>
  <c r="I976" i="8"/>
  <c r="J976" i="8" s="1"/>
  <c r="I977" i="8"/>
  <c r="J977" i="8" s="1"/>
  <c r="I978" i="8"/>
  <c r="J978" i="8" s="1"/>
  <c r="I979" i="8"/>
  <c r="J979" i="8" s="1"/>
  <c r="I980" i="8"/>
  <c r="J980" i="8" s="1"/>
  <c r="I981" i="8"/>
  <c r="J981" i="8" s="1"/>
  <c r="I982" i="8"/>
  <c r="J982" i="8" s="1"/>
  <c r="I983" i="8"/>
  <c r="J983" i="8" s="1"/>
  <c r="I984" i="8"/>
  <c r="J984" i="8" s="1"/>
  <c r="I985" i="8"/>
  <c r="J985" i="8" s="1"/>
  <c r="I986" i="8"/>
  <c r="J986" i="8" s="1"/>
  <c r="I987" i="8"/>
  <c r="J987" i="8" s="1"/>
  <c r="I988" i="8"/>
  <c r="J988" i="8" s="1"/>
  <c r="I989" i="8"/>
  <c r="J989" i="8" s="1"/>
  <c r="AJ989" i="8" s="1"/>
  <c r="AK989" i="8" s="1"/>
  <c r="I990" i="8"/>
  <c r="J990" i="8" s="1"/>
  <c r="I991" i="8"/>
  <c r="J991" i="8" s="1"/>
  <c r="I992" i="8"/>
  <c r="J992" i="8" s="1"/>
  <c r="I993" i="8"/>
  <c r="J993" i="8" s="1"/>
  <c r="I994" i="8"/>
  <c r="J994" i="8" s="1"/>
  <c r="I995" i="8"/>
  <c r="J995" i="8" s="1"/>
  <c r="I996" i="8"/>
  <c r="J996" i="8" s="1"/>
  <c r="I997" i="8"/>
  <c r="J997" i="8" s="1"/>
  <c r="I998" i="8"/>
  <c r="J998" i="8" s="1"/>
  <c r="I999" i="8"/>
  <c r="J999" i="8" s="1"/>
  <c r="I1000" i="8"/>
  <c r="J1000" i="8" s="1"/>
  <c r="I1001" i="8"/>
  <c r="J1001" i="8" s="1"/>
  <c r="I1002" i="8"/>
  <c r="J1002" i="8" s="1"/>
  <c r="I1003" i="8"/>
  <c r="J1003" i="8" s="1"/>
  <c r="I1004" i="8"/>
  <c r="J1004" i="8" s="1"/>
  <c r="I1005" i="8"/>
  <c r="J1005" i="8" s="1"/>
  <c r="I1006" i="8"/>
  <c r="J1006" i="8" s="1"/>
  <c r="I1007" i="8"/>
  <c r="J1007" i="8" s="1"/>
  <c r="I1008" i="8"/>
  <c r="J1008" i="8" s="1"/>
  <c r="I1009" i="8"/>
  <c r="J1009" i="8" s="1"/>
  <c r="I1010" i="8"/>
  <c r="J1010" i="8" s="1"/>
  <c r="I1011" i="8"/>
  <c r="J1011" i="8" s="1"/>
  <c r="I1012" i="8"/>
  <c r="J1012" i="8" s="1"/>
  <c r="I1013" i="8"/>
  <c r="J1013" i="8" s="1"/>
  <c r="I1014" i="8"/>
  <c r="J1014" i="8" s="1"/>
  <c r="I1015" i="8"/>
  <c r="J1015" i="8" s="1"/>
  <c r="I1016" i="8"/>
  <c r="J1016" i="8" s="1"/>
  <c r="I1017" i="8"/>
  <c r="J1017" i="8" s="1"/>
  <c r="I1018" i="8"/>
  <c r="J1018" i="8" s="1"/>
  <c r="I1019" i="8"/>
  <c r="J1019" i="8" s="1"/>
  <c r="I1020" i="8"/>
  <c r="J1020" i="8" s="1"/>
  <c r="I1021" i="8"/>
  <c r="J1021" i="8" s="1"/>
  <c r="I1022" i="8"/>
  <c r="J1022" i="8" s="1"/>
  <c r="I1023" i="8"/>
  <c r="J1023" i="8" s="1"/>
  <c r="I1024" i="8"/>
  <c r="J1024" i="8" s="1"/>
  <c r="I1025" i="8"/>
  <c r="J1025" i="8" s="1"/>
  <c r="I1026" i="8"/>
  <c r="J1026" i="8" s="1"/>
  <c r="I1027" i="8"/>
  <c r="J1027" i="8" s="1"/>
  <c r="I1028" i="8"/>
  <c r="J1028" i="8" s="1"/>
  <c r="I1029" i="8"/>
  <c r="J1029" i="8" s="1"/>
  <c r="I1030" i="8"/>
  <c r="J1030" i="8" s="1"/>
  <c r="I1031" i="8"/>
  <c r="J1031" i="8" s="1"/>
  <c r="I1032" i="8"/>
  <c r="J1032" i="8" s="1"/>
  <c r="I1033" i="8"/>
  <c r="J1033" i="8" s="1"/>
  <c r="I1034" i="8"/>
  <c r="J1034" i="8" s="1"/>
  <c r="I1035" i="8"/>
  <c r="J1035" i="8" s="1"/>
  <c r="I1036" i="8"/>
  <c r="J1036" i="8" s="1"/>
  <c r="I1037" i="8"/>
  <c r="J1037" i="8" s="1"/>
  <c r="I1038" i="8"/>
  <c r="J1038" i="8" s="1"/>
  <c r="I1039" i="8"/>
  <c r="J1039" i="8" s="1"/>
  <c r="I1040" i="8"/>
  <c r="J1040" i="8" s="1"/>
  <c r="I1041" i="8"/>
  <c r="J1041" i="8" s="1"/>
  <c r="I1042" i="8"/>
  <c r="J1042" i="8" s="1"/>
  <c r="I1043" i="8"/>
  <c r="J1043" i="8" s="1"/>
  <c r="I1044" i="8"/>
  <c r="J1044" i="8" s="1"/>
  <c r="I1045" i="8"/>
  <c r="J1045" i="8" s="1"/>
  <c r="I1046" i="8"/>
  <c r="J1046" i="8" s="1"/>
  <c r="I1047" i="8"/>
  <c r="J1047" i="8" s="1"/>
  <c r="I1048" i="8"/>
  <c r="J1048" i="8" s="1"/>
  <c r="I1049" i="8"/>
  <c r="J1049" i="8" s="1"/>
  <c r="I1050" i="8"/>
  <c r="J1050" i="8" s="1"/>
  <c r="I1051" i="8"/>
  <c r="J1051" i="8" s="1"/>
  <c r="I1052" i="8"/>
  <c r="J1052" i="8" s="1"/>
  <c r="I1053" i="8"/>
  <c r="J1053" i="8" s="1"/>
  <c r="I1054" i="8"/>
  <c r="J1054" i="8" s="1"/>
  <c r="I1055" i="8"/>
  <c r="J1055" i="8" s="1"/>
  <c r="I1056" i="8"/>
  <c r="J1056" i="8" s="1"/>
  <c r="I1057" i="8"/>
  <c r="J1057" i="8" s="1"/>
  <c r="I1058" i="8"/>
  <c r="J1058" i="8" s="1"/>
  <c r="I1059" i="8"/>
  <c r="J1059" i="8" s="1"/>
  <c r="I1060" i="8"/>
  <c r="J1060" i="8" s="1"/>
  <c r="I1061" i="8"/>
  <c r="J1061" i="8" s="1"/>
  <c r="I1062" i="8"/>
  <c r="J1062" i="8" s="1"/>
  <c r="I1063" i="8"/>
  <c r="J1063" i="8" s="1"/>
  <c r="I1064" i="8"/>
  <c r="J1064" i="8" s="1"/>
  <c r="I1065" i="8"/>
  <c r="J1065" i="8" s="1"/>
  <c r="I1066" i="8"/>
  <c r="J1066" i="8" s="1"/>
  <c r="I1067" i="8"/>
  <c r="J1067" i="8" s="1"/>
  <c r="I1068" i="8"/>
  <c r="J1068" i="8" s="1"/>
  <c r="I1069" i="8"/>
  <c r="J1069" i="8" s="1"/>
  <c r="I1070" i="8"/>
  <c r="J1070" i="8" s="1"/>
  <c r="I1071" i="8"/>
  <c r="J1071" i="8" s="1"/>
  <c r="I1072" i="8"/>
  <c r="J1072" i="8" s="1"/>
  <c r="I1073" i="8"/>
  <c r="J1073" i="8" s="1"/>
  <c r="I1074" i="8"/>
  <c r="J1074" i="8" s="1"/>
  <c r="I1075" i="8"/>
  <c r="J1075" i="8" s="1"/>
  <c r="I1076" i="8"/>
  <c r="J1076" i="8" s="1"/>
  <c r="I1077" i="8"/>
  <c r="J1077" i="8" s="1"/>
  <c r="I1078" i="8"/>
  <c r="J1078" i="8" s="1"/>
  <c r="I1079" i="8"/>
  <c r="J1079" i="8" s="1"/>
  <c r="I1080" i="8"/>
  <c r="J1080" i="8" s="1"/>
  <c r="I1081" i="8"/>
  <c r="J1081" i="8" s="1"/>
  <c r="I1082" i="8"/>
  <c r="J1082" i="8" s="1"/>
  <c r="I1083" i="8"/>
  <c r="J1083" i="8" s="1"/>
  <c r="I1084" i="8"/>
  <c r="J1084" i="8" s="1"/>
  <c r="I1085" i="8"/>
  <c r="J1085" i="8" s="1"/>
  <c r="I1086" i="8"/>
  <c r="J1086" i="8" s="1"/>
  <c r="I1087" i="8"/>
  <c r="J1087" i="8" s="1"/>
  <c r="I1088" i="8"/>
  <c r="J1088" i="8" s="1"/>
  <c r="I1089" i="8"/>
  <c r="J1089" i="8" s="1"/>
  <c r="I1090" i="8"/>
  <c r="J1090" i="8" s="1"/>
  <c r="I1091" i="8"/>
  <c r="J1091" i="8" s="1"/>
  <c r="I1092" i="8"/>
  <c r="J1092" i="8" s="1"/>
  <c r="I1093" i="8"/>
  <c r="J1093" i="8" s="1"/>
  <c r="I1094" i="8"/>
  <c r="J1094" i="8" s="1"/>
  <c r="I1095" i="8"/>
  <c r="J1095" i="8" s="1"/>
  <c r="I1096" i="8"/>
  <c r="J1096" i="8" s="1"/>
  <c r="I1097" i="8"/>
  <c r="J1097" i="8" s="1"/>
  <c r="I1098" i="8"/>
  <c r="J1098" i="8" s="1"/>
  <c r="I1099" i="8"/>
  <c r="J1099" i="8" s="1"/>
  <c r="I1100" i="8"/>
  <c r="J1100" i="8" s="1"/>
  <c r="I1101" i="8"/>
  <c r="J1101" i="8" s="1"/>
  <c r="I1102" i="8"/>
  <c r="J1102" i="8" s="1"/>
  <c r="I1103" i="8"/>
  <c r="J1103" i="8" s="1"/>
  <c r="I1104" i="8"/>
  <c r="J1104" i="8" s="1"/>
  <c r="I1105" i="8"/>
  <c r="J1105" i="8" s="1"/>
  <c r="I1106" i="8"/>
  <c r="J1106" i="8" s="1"/>
  <c r="I1107" i="8"/>
  <c r="J1107" i="8" s="1"/>
  <c r="I1108" i="8"/>
  <c r="J1108" i="8" s="1"/>
  <c r="I1109" i="8"/>
  <c r="J1109" i="8" s="1"/>
  <c r="I1110" i="8"/>
  <c r="J1110" i="8" s="1"/>
  <c r="I1111" i="8"/>
  <c r="J1111" i="8" s="1"/>
  <c r="I1112" i="8"/>
  <c r="J1112" i="8" s="1"/>
  <c r="I1113" i="8"/>
  <c r="J1113" i="8" s="1"/>
  <c r="I1114" i="8"/>
  <c r="J1114" i="8" s="1"/>
  <c r="I1115" i="8"/>
  <c r="J1115" i="8" s="1"/>
  <c r="I1116" i="8"/>
  <c r="J1116" i="8" s="1"/>
  <c r="I1117" i="8"/>
  <c r="J1117" i="8" s="1"/>
  <c r="I1118" i="8"/>
  <c r="J1118" i="8" s="1"/>
  <c r="I1119" i="8"/>
  <c r="J1119" i="8" s="1"/>
  <c r="I1120" i="8"/>
  <c r="J1120" i="8" s="1"/>
  <c r="I1121" i="8"/>
  <c r="J1121" i="8" s="1"/>
  <c r="I1122" i="8"/>
  <c r="J1122" i="8" s="1"/>
  <c r="I1123" i="8"/>
  <c r="J1123" i="8" s="1"/>
  <c r="I1124" i="8"/>
  <c r="J1124" i="8" s="1"/>
  <c r="I1125" i="8"/>
  <c r="J1125" i="8" s="1"/>
  <c r="I1126" i="8"/>
  <c r="J1126" i="8" s="1"/>
  <c r="I1127" i="8"/>
  <c r="J1127" i="8" s="1"/>
  <c r="I1128" i="8"/>
  <c r="J1128" i="8" s="1"/>
  <c r="I1129" i="8"/>
  <c r="J1129" i="8" s="1"/>
  <c r="I1130" i="8"/>
  <c r="J1130" i="8" s="1"/>
  <c r="I1131" i="8"/>
  <c r="J1131" i="8" s="1"/>
  <c r="I1132" i="8"/>
  <c r="J1132" i="8" s="1"/>
  <c r="I1133" i="8"/>
  <c r="J1133" i="8" s="1"/>
  <c r="I1134" i="8"/>
  <c r="J1134" i="8" s="1"/>
  <c r="I1135" i="8"/>
  <c r="J1135" i="8" s="1"/>
  <c r="I1136" i="8"/>
  <c r="J1136" i="8" s="1"/>
  <c r="I1137" i="8"/>
  <c r="J1137" i="8" s="1"/>
  <c r="I1138" i="8"/>
  <c r="J1138" i="8" s="1"/>
  <c r="I1139" i="8"/>
  <c r="J1139" i="8" s="1"/>
  <c r="I1140" i="8"/>
  <c r="J1140" i="8" s="1"/>
  <c r="I1141" i="8"/>
  <c r="J1141" i="8" s="1"/>
  <c r="I1142" i="8"/>
  <c r="J1142" i="8" s="1"/>
  <c r="I1143" i="8"/>
  <c r="J1143" i="8" s="1"/>
  <c r="I1144" i="8"/>
  <c r="J1144" i="8" s="1"/>
  <c r="I1145" i="8"/>
  <c r="J1145" i="8" s="1"/>
  <c r="I1146" i="8"/>
  <c r="J1146" i="8" s="1"/>
  <c r="I1147" i="8"/>
  <c r="J1147" i="8" s="1"/>
  <c r="I1148" i="8"/>
  <c r="J1148" i="8" s="1"/>
  <c r="I1149" i="8"/>
  <c r="J1149" i="8" s="1"/>
  <c r="I1150" i="8"/>
  <c r="J1150" i="8" s="1"/>
  <c r="I1151" i="8"/>
  <c r="J1151" i="8" s="1"/>
  <c r="I1152" i="8"/>
  <c r="J1152" i="8" s="1"/>
  <c r="I1153" i="8"/>
  <c r="J1153" i="8" s="1"/>
  <c r="I1154" i="8"/>
  <c r="J1154" i="8" s="1"/>
  <c r="I1155" i="8"/>
  <c r="J1155" i="8" s="1"/>
  <c r="I1156" i="8"/>
  <c r="J1156" i="8" s="1"/>
  <c r="I1157" i="8"/>
  <c r="J1157" i="8" s="1"/>
  <c r="I1158" i="8"/>
  <c r="J1158" i="8" s="1"/>
  <c r="I1159" i="8"/>
  <c r="J1159" i="8" s="1"/>
  <c r="I1160" i="8"/>
  <c r="J1160" i="8" s="1"/>
  <c r="I1161" i="8"/>
  <c r="J1161" i="8" s="1"/>
  <c r="I1162" i="8"/>
  <c r="J1162" i="8" s="1"/>
  <c r="I1163" i="8"/>
  <c r="J1163" i="8" s="1"/>
  <c r="I1164" i="8"/>
  <c r="J1164" i="8" s="1"/>
  <c r="I1165" i="8"/>
  <c r="J1165" i="8" s="1"/>
  <c r="I1166" i="8"/>
  <c r="J1166" i="8" s="1"/>
  <c r="I1167" i="8"/>
  <c r="J1167" i="8" s="1"/>
  <c r="I1168" i="8"/>
  <c r="J1168" i="8" s="1"/>
  <c r="I1169" i="8"/>
  <c r="J1169" i="8" s="1"/>
  <c r="I1170" i="8"/>
  <c r="J1170" i="8" s="1"/>
  <c r="I1171" i="8"/>
  <c r="J1171" i="8" s="1"/>
  <c r="I1172" i="8"/>
  <c r="J1172" i="8" s="1"/>
  <c r="I1173" i="8"/>
  <c r="J1173" i="8" s="1"/>
  <c r="I1174" i="8"/>
  <c r="J1174" i="8" s="1"/>
  <c r="I1175" i="8"/>
  <c r="J1175" i="8" s="1"/>
  <c r="I1176" i="8"/>
  <c r="J1176" i="8" s="1"/>
  <c r="I1177" i="8"/>
  <c r="J1177" i="8" s="1"/>
  <c r="I1178" i="8"/>
  <c r="J1178" i="8" s="1"/>
  <c r="I1179" i="8"/>
  <c r="J1179" i="8" s="1"/>
  <c r="I1180" i="8"/>
  <c r="J1180" i="8" s="1"/>
  <c r="I1181" i="8"/>
  <c r="J1181" i="8" s="1"/>
  <c r="I1182" i="8"/>
  <c r="J1182" i="8" s="1"/>
  <c r="I1183" i="8"/>
  <c r="J1183" i="8" s="1"/>
  <c r="I1184" i="8"/>
  <c r="J1184" i="8" s="1"/>
  <c r="I1185" i="8"/>
  <c r="J1185" i="8" s="1"/>
  <c r="I1186" i="8"/>
  <c r="J1186" i="8" s="1"/>
  <c r="I1187" i="8"/>
  <c r="J1187" i="8" s="1"/>
  <c r="I1188" i="8"/>
  <c r="J1188" i="8" s="1"/>
  <c r="I1189" i="8"/>
  <c r="J1189" i="8" s="1"/>
  <c r="I1190" i="8"/>
  <c r="J1190" i="8" s="1"/>
  <c r="I1191" i="8"/>
  <c r="J1191" i="8" s="1"/>
  <c r="I1192" i="8"/>
  <c r="J1192" i="8" s="1"/>
  <c r="I1193" i="8"/>
  <c r="J1193" i="8" s="1"/>
  <c r="I1194" i="8"/>
  <c r="J1194" i="8" s="1"/>
  <c r="I1195" i="8"/>
  <c r="J1195" i="8" s="1"/>
  <c r="I1196" i="8"/>
  <c r="J1196" i="8" s="1"/>
  <c r="I1197" i="8"/>
  <c r="J1197" i="8" s="1"/>
  <c r="I1198" i="8"/>
  <c r="J1198" i="8" s="1"/>
  <c r="I1199" i="8"/>
  <c r="J1199" i="8" s="1"/>
  <c r="I1200" i="8"/>
  <c r="J1200" i="8" s="1"/>
  <c r="I1201" i="8"/>
  <c r="J1201" i="8" s="1"/>
  <c r="I1202" i="8"/>
  <c r="J1202" i="8" s="1"/>
  <c r="I1203" i="8"/>
  <c r="J1203" i="8" s="1"/>
  <c r="I1204" i="8"/>
  <c r="J1204" i="8" s="1"/>
  <c r="I1205" i="8"/>
  <c r="J1205" i="8" s="1"/>
  <c r="I1206" i="8"/>
  <c r="J1206" i="8" s="1"/>
  <c r="I1207" i="8"/>
  <c r="J1207" i="8" s="1"/>
  <c r="I1208" i="8"/>
  <c r="J1208" i="8" s="1"/>
  <c r="I1209" i="8"/>
  <c r="J1209" i="8" s="1"/>
  <c r="I1210" i="8"/>
  <c r="J1210" i="8" s="1"/>
  <c r="I1211" i="8"/>
  <c r="J1211" i="8" s="1"/>
  <c r="I1212" i="8"/>
  <c r="J1212" i="8" s="1"/>
  <c r="I1213" i="8"/>
  <c r="J1213" i="8" s="1"/>
  <c r="I1214" i="8"/>
  <c r="J1214" i="8" s="1"/>
  <c r="I1215" i="8"/>
  <c r="J1215" i="8" s="1"/>
  <c r="I1216" i="8"/>
  <c r="J1216" i="8" s="1"/>
  <c r="I1217" i="8"/>
  <c r="J1217" i="8" s="1"/>
  <c r="I1218" i="8"/>
  <c r="J1218" i="8" s="1"/>
  <c r="I1219" i="8"/>
  <c r="J1219" i="8" s="1"/>
  <c r="I1220" i="8"/>
  <c r="J1220" i="8" s="1"/>
  <c r="I1221" i="8"/>
  <c r="J1221" i="8" s="1"/>
  <c r="I1222" i="8"/>
  <c r="J1222" i="8" s="1"/>
  <c r="I1223" i="8"/>
  <c r="J1223" i="8" s="1"/>
  <c r="I1224" i="8"/>
  <c r="J1224" i="8" s="1"/>
  <c r="I1225" i="8"/>
  <c r="J1225" i="8" s="1"/>
  <c r="I1226" i="8"/>
  <c r="J1226" i="8" s="1"/>
  <c r="I1227" i="8"/>
  <c r="J1227" i="8" s="1"/>
  <c r="I1228" i="8"/>
  <c r="J1228" i="8" s="1"/>
  <c r="I1229" i="8"/>
  <c r="J1229" i="8" s="1"/>
  <c r="I1230" i="8"/>
  <c r="J1230" i="8" s="1"/>
  <c r="I1231" i="8"/>
  <c r="J1231" i="8" s="1"/>
  <c r="I1232" i="8"/>
  <c r="J1232" i="8" s="1"/>
  <c r="I1233" i="8"/>
  <c r="J1233" i="8" s="1"/>
  <c r="I1234" i="8"/>
  <c r="J1234" i="8" s="1"/>
  <c r="I1235" i="8"/>
  <c r="J1235" i="8" s="1"/>
  <c r="I1236" i="8"/>
  <c r="J1236" i="8" s="1"/>
  <c r="I1237" i="8"/>
  <c r="J1237" i="8" s="1"/>
  <c r="I1238" i="8"/>
  <c r="J1238" i="8" s="1"/>
  <c r="I1239" i="8"/>
  <c r="J1239" i="8" s="1"/>
  <c r="I1240" i="8"/>
  <c r="J1240" i="8" s="1"/>
  <c r="I1241" i="8"/>
  <c r="J1241" i="8" s="1"/>
  <c r="I1242" i="8"/>
  <c r="J1242" i="8" s="1"/>
  <c r="I1243" i="8"/>
  <c r="J1243" i="8" s="1"/>
  <c r="I1244" i="8"/>
  <c r="J1244" i="8" s="1"/>
  <c r="I1245" i="8"/>
  <c r="J1245" i="8" s="1"/>
  <c r="I1246" i="8"/>
  <c r="J1246" i="8" s="1"/>
  <c r="I1247" i="8"/>
  <c r="J1247" i="8" s="1"/>
  <c r="I1248" i="8"/>
  <c r="J1248" i="8" s="1"/>
  <c r="I1249" i="8"/>
  <c r="J1249" i="8" s="1"/>
  <c r="I1250" i="8"/>
  <c r="J1250" i="8" s="1"/>
  <c r="I1251" i="8"/>
  <c r="J1251" i="8" s="1"/>
  <c r="I1252" i="8"/>
  <c r="J1252" i="8" s="1"/>
  <c r="I1253" i="8"/>
  <c r="J1253" i="8" s="1"/>
  <c r="I1254" i="8"/>
  <c r="J1254" i="8" s="1"/>
  <c r="I1255" i="8"/>
  <c r="J1255" i="8" s="1"/>
  <c r="I1256" i="8"/>
  <c r="J1256" i="8" s="1"/>
  <c r="I1257" i="8"/>
  <c r="J1257" i="8" s="1"/>
  <c r="I1258" i="8"/>
  <c r="J1258" i="8" s="1"/>
  <c r="I1259" i="8"/>
  <c r="J1259" i="8" s="1"/>
  <c r="I1260" i="8"/>
  <c r="J1260" i="8" s="1"/>
  <c r="I1261" i="8"/>
  <c r="J1261" i="8" s="1"/>
  <c r="I1262" i="8"/>
  <c r="J1262" i="8" s="1"/>
  <c r="I1263" i="8"/>
  <c r="J1263" i="8" s="1"/>
  <c r="I1264" i="8"/>
  <c r="J1264" i="8" s="1"/>
  <c r="I1265" i="8"/>
  <c r="J1265" i="8" s="1"/>
  <c r="AJ1265" i="8" s="1"/>
  <c r="AK1265" i="8" s="1"/>
  <c r="I1266" i="8"/>
  <c r="J1266" i="8" s="1"/>
  <c r="I1267" i="8"/>
  <c r="J1267" i="8" s="1"/>
  <c r="I1268" i="8"/>
  <c r="J1268" i="8" s="1"/>
  <c r="I1269" i="8"/>
  <c r="J1269" i="8" s="1"/>
  <c r="I1270" i="8"/>
  <c r="J1270" i="8" s="1"/>
  <c r="I1271" i="8"/>
  <c r="J1271" i="8" s="1"/>
  <c r="I1272" i="8"/>
  <c r="J1272" i="8" s="1"/>
  <c r="I1273" i="8"/>
  <c r="J1273" i="8" s="1"/>
  <c r="I1274" i="8"/>
  <c r="J1274" i="8" s="1"/>
  <c r="I1275" i="8"/>
  <c r="J1275" i="8" s="1"/>
  <c r="I1276" i="8"/>
  <c r="J1276" i="8" s="1"/>
  <c r="I1277" i="8"/>
  <c r="J1277" i="8" s="1"/>
  <c r="I1278" i="8"/>
  <c r="J1278" i="8" s="1"/>
  <c r="I1279" i="8"/>
  <c r="J1279" i="8" s="1"/>
  <c r="I1280" i="8"/>
  <c r="J1280" i="8" s="1"/>
  <c r="I1281" i="8"/>
  <c r="J1281" i="8" s="1"/>
  <c r="I1282" i="8"/>
  <c r="J1282" i="8" s="1"/>
  <c r="I1283" i="8"/>
  <c r="J1283" i="8" s="1"/>
  <c r="I1284" i="8"/>
  <c r="J1284" i="8" s="1"/>
  <c r="I1285" i="8"/>
  <c r="J1285" i="8" s="1"/>
  <c r="I1286" i="8"/>
  <c r="J1286" i="8" s="1"/>
  <c r="I1287" i="8"/>
  <c r="J1287" i="8" s="1"/>
  <c r="I1288" i="8"/>
  <c r="J1288" i="8" s="1"/>
  <c r="I1289" i="8"/>
  <c r="J1289" i="8" s="1"/>
  <c r="I1290" i="8"/>
  <c r="J1290" i="8" s="1"/>
  <c r="I1291" i="8"/>
  <c r="J1291" i="8" s="1"/>
  <c r="I1292" i="8"/>
  <c r="J1292" i="8" s="1"/>
  <c r="I1293" i="8"/>
  <c r="J1293" i="8" s="1"/>
  <c r="I1294" i="8"/>
  <c r="J1294" i="8" s="1"/>
  <c r="I1295" i="8"/>
  <c r="J1295" i="8" s="1"/>
  <c r="I1296" i="8"/>
  <c r="J1296" i="8" s="1"/>
  <c r="I1297" i="8"/>
  <c r="J1297" i="8" s="1"/>
  <c r="I1298" i="8"/>
  <c r="J1298" i="8" s="1"/>
  <c r="I1299" i="8"/>
  <c r="J1299" i="8" s="1"/>
  <c r="I1300" i="8"/>
  <c r="J1300" i="8" s="1"/>
  <c r="I1301" i="8"/>
  <c r="J1301" i="8" s="1"/>
  <c r="I1302" i="8"/>
  <c r="J1302" i="8" s="1"/>
  <c r="I774" i="8"/>
  <c r="J774" i="8" s="1"/>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774" i="8"/>
  <c r="H772" i="8"/>
  <c r="H773"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5" i="8"/>
  <c r="I6" i="8"/>
  <c r="J6" i="8" s="1"/>
  <c r="I7" i="8"/>
  <c r="J7" i="8" s="1"/>
  <c r="I8" i="8"/>
  <c r="J8" i="8" s="1"/>
  <c r="I9" i="8"/>
  <c r="J9" i="8" s="1"/>
  <c r="I10" i="8"/>
  <c r="J10" i="8" s="1"/>
  <c r="I11" i="8"/>
  <c r="J11" i="8" s="1"/>
  <c r="I12" i="8"/>
  <c r="J12" i="8" s="1"/>
  <c r="I13" i="8"/>
  <c r="J13" i="8" s="1"/>
  <c r="I14" i="8"/>
  <c r="J14" i="8" s="1"/>
  <c r="I15" i="8"/>
  <c r="J15" i="8" s="1"/>
  <c r="I16" i="8"/>
  <c r="J16" i="8" s="1"/>
  <c r="I17" i="8"/>
  <c r="J17" i="8" s="1"/>
  <c r="I18" i="8"/>
  <c r="J18" i="8" s="1"/>
  <c r="I19" i="8"/>
  <c r="J19" i="8" s="1"/>
  <c r="I20" i="8"/>
  <c r="J20" i="8" s="1"/>
  <c r="I21" i="8"/>
  <c r="J21" i="8" s="1"/>
  <c r="I22" i="8"/>
  <c r="J22" i="8" s="1"/>
  <c r="I23" i="8"/>
  <c r="J23" i="8" s="1"/>
  <c r="I24" i="8"/>
  <c r="J24" i="8" s="1"/>
  <c r="I25" i="8"/>
  <c r="J25" i="8" s="1"/>
  <c r="I26" i="8"/>
  <c r="J26" i="8" s="1"/>
  <c r="I27" i="8"/>
  <c r="J27" i="8" s="1"/>
  <c r="I28" i="8"/>
  <c r="J28" i="8" s="1"/>
  <c r="I29" i="8"/>
  <c r="J29" i="8" s="1"/>
  <c r="AJ29" i="8" s="1"/>
  <c r="AK29" i="8" s="1"/>
  <c r="I30" i="8"/>
  <c r="J30" i="8" s="1"/>
  <c r="I31" i="8"/>
  <c r="J31" i="8" s="1"/>
  <c r="I32" i="8"/>
  <c r="J32" i="8" s="1"/>
  <c r="I33" i="8"/>
  <c r="J33" i="8" s="1"/>
  <c r="I34" i="8"/>
  <c r="J34" i="8" s="1"/>
  <c r="I35" i="8"/>
  <c r="J35" i="8" s="1"/>
  <c r="I36" i="8"/>
  <c r="J36" i="8" s="1"/>
  <c r="I37" i="8"/>
  <c r="J37" i="8" s="1"/>
  <c r="I38" i="8"/>
  <c r="J38" i="8" s="1"/>
  <c r="I39" i="8"/>
  <c r="J39" i="8" s="1"/>
  <c r="I40" i="8"/>
  <c r="I41" i="8"/>
  <c r="I42" i="8"/>
  <c r="J42" i="8" s="1"/>
  <c r="I43" i="8"/>
  <c r="J43" i="8" s="1"/>
  <c r="I44" i="8"/>
  <c r="J44" i="8" s="1"/>
  <c r="I45" i="8"/>
  <c r="J45" i="8" s="1"/>
  <c r="I46" i="8"/>
  <c r="J46" i="8" s="1"/>
  <c r="I47" i="8"/>
  <c r="J47" i="8" s="1"/>
  <c r="I48" i="8"/>
  <c r="J48" i="8" s="1"/>
  <c r="I49" i="8"/>
  <c r="J49" i="8" s="1"/>
  <c r="I50" i="8"/>
  <c r="J50" i="8" s="1"/>
  <c r="I51" i="8"/>
  <c r="J51" i="8" s="1"/>
  <c r="I52" i="8"/>
  <c r="J52" i="8" s="1"/>
  <c r="I53" i="8"/>
  <c r="J53" i="8" s="1"/>
  <c r="I54" i="8"/>
  <c r="J54" i="8" s="1"/>
  <c r="I55" i="8"/>
  <c r="J55" i="8" s="1"/>
  <c r="I56" i="8"/>
  <c r="J56" i="8" s="1"/>
  <c r="I57" i="8"/>
  <c r="J57" i="8" s="1"/>
  <c r="I58" i="8"/>
  <c r="J58" i="8" s="1"/>
  <c r="I59" i="8"/>
  <c r="J59" i="8" s="1"/>
  <c r="I60" i="8"/>
  <c r="J60" i="8" s="1"/>
  <c r="I61" i="8"/>
  <c r="J61" i="8" s="1"/>
  <c r="I62" i="8"/>
  <c r="J62" i="8" s="1"/>
  <c r="I63" i="8"/>
  <c r="J63" i="8" s="1"/>
  <c r="I64" i="8"/>
  <c r="J64" i="8" s="1"/>
  <c r="I65" i="8"/>
  <c r="J65" i="8" s="1"/>
  <c r="I66" i="8"/>
  <c r="J66" i="8" s="1"/>
  <c r="I67" i="8"/>
  <c r="J67" i="8" s="1"/>
  <c r="I68" i="8"/>
  <c r="J68" i="8" s="1"/>
  <c r="I69" i="8"/>
  <c r="J69" i="8" s="1"/>
  <c r="I70" i="8"/>
  <c r="J70" i="8" s="1"/>
  <c r="I71" i="8"/>
  <c r="J71" i="8" s="1"/>
  <c r="I72" i="8"/>
  <c r="J72" i="8" s="1"/>
  <c r="I73" i="8"/>
  <c r="J73" i="8" s="1"/>
  <c r="I74" i="8"/>
  <c r="J74" i="8" s="1"/>
  <c r="I75" i="8"/>
  <c r="J75" i="8" s="1"/>
  <c r="I76" i="8"/>
  <c r="J76" i="8" s="1"/>
  <c r="I77" i="8"/>
  <c r="J77" i="8" s="1"/>
  <c r="I78" i="8"/>
  <c r="J78" i="8" s="1"/>
  <c r="I79" i="8"/>
  <c r="J79" i="8" s="1"/>
  <c r="I80" i="8"/>
  <c r="J80" i="8" s="1"/>
  <c r="I81" i="8"/>
  <c r="J81" i="8" s="1"/>
  <c r="I82" i="8"/>
  <c r="J82" i="8" s="1"/>
  <c r="I83" i="8"/>
  <c r="J83" i="8" s="1"/>
  <c r="I84" i="8"/>
  <c r="J84" i="8" s="1"/>
  <c r="I85" i="8"/>
  <c r="J85" i="8" s="1"/>
  <c r="I86" i="8"/>
  <c r="J86" i="8" s="1"/>
  <c r="I87" i="8"/>
  <c r="J87" i="8" s="1"/>
  <c r="I88" i="8"/>
  <c r="J88" i="8" s="1"/>
  <c r="I89" i="8"/>
  <c r="J89" i="8" s="1"/>
  <c r="I90" i="8"/>
  <c r="J90" i="8" s="1"/>
  <c r="I91" i="8"/>
  <c r="J91" i="8" s="1"/>
  <c r="I92" i="8"/>
  <c r="J92" i="8" s="1"/>
  <c r="I93" i="8"/>
  <c r="J93" i="8" s="1"/>
  <c r="I94" i="8"/>
  <c r="J94" i="8" s="1"/>
  <c r="I95" i="8"/>
  <c r="J95" i="8" s="1"/>
  <c r="I96" i="8"/>
  <c r="J96" i="8" s="1"/>
  <c r="I97" i="8"/>
  <c r="J97" i="8" s="1"/>
  <c r="I98" i="8"/>
  <c r="J98" i="8" s="1"/>
  <c r="I99" i="8"/>
  <c r="J99" i="8" s="1"/>
  <c r="I100" i="8"/>
  <c r="J100" i="8" s="1"/>
  <c r="I101" i="8"/>
  <c r="J101" i="8" s="1"/>
  <c r="I102" i="8"/>
  <c r="J102" i="8" s="1"/>
  <c r="I103" i="8"/>
  <c r="J103" i="8" s="1"/>
  <c r="I104" i="8"/>
  <c r="J104" i="8" s="1"/>
  <c r="I105" i="8"/>
  <c r="J105" i="8" s="1"/>
  <c r="I106" i="8"/>
  <c r="J106" i="8" s="1"/>
  <c r="I107" i="8"/>
  <c r="J107" i="8" s="1"/>
  <c r="I108" i="8"/>
  <c r="J108" i="8" s="1"/>
  <c r="I109" i="8"/>
  <c r="J109" i="8" s="1"/>
  <c r="I110" i="8"/>
  <c r="J110" i="8" s="1"/>
  <c r="I111" i="8"/>
  <c r="J111" i="8" s="1"/>
  <c r="I112" i="8"/>
  <c r="J112" i="8" s="1"/>
  <c r="I113" i="8"/>
  <c r="J113" i="8" s="1"/>
  <c r="I114" i="8"/>
  <c r="J114" i="8" s="1"/>
  <c r="I115" i="8"/>
  <c r="J115" i="8" s="1"/>
  <c r="I116" i="8"/>
  <c r="J116" i="8" s="1"/>
  <c r="I117" i="8"/>
  <c r="J117" i="8" s="1"/>
  <c r="I118" i="8"/>
  <c r="J118" i="8" s="1"/>
  <c r="I119" i="8"/>
  <c r="J119" i="8" s="1"/>
  <c r="I120" i="8"/>
  <c r="J120" i="8" s="1"/>
  <c r="I121" i="8"/>
  <c r="J121" i="8" s="1"/>
  <c r="I122" i="8"/>
  <c r="J122" i="8" s="1"/>
  <c r="I123" i="8"/>
  <c r="J123" i="8" s="1"/>
  <c r="I124" i="8"/>
  <c r="J124" i="8" s="1"/>
  <c r="I125" i="8"/>
  <c r="J125" i="8" s="1"/>
  <c r="I126" i="8"/>
  <c r="J126" i="8" s="1"/>
  <c r="I127" i="8"/>
  <c r="J127" i="8" s="1"/>
  <c r="I128" i="8"/>
  <c r="J128" i="8" s="1"/>
  <c r="I129" i="8"/>
  <c r="J129" i="8" s="1"/>
  <c r="I130" i="8"/>
  <c r="J130" i="8" s="1"/>
  <c r="I131" i="8"/>
  <c r="J131" i="8" s="1"/>
  <c r="I132" i="8"/>
  <c r="J132" i="8" s="1"/>
  <c r="I133" i="8"/>
  <c r="J133" i="8" s="1"/>
  <c r="I134" i="8"/>
  <c r="J134" i="8" s="1"/>
  <c r="I135" i="8"/>
  <c r="J135" i="8" s="1"/>
  <c r="I136" i="8"/>
  <c r="J136" i="8" s="1"/>
  <c r="I137" i="8"/>
  <c r="J137" i="8" s="1"/>
  <c r="I138" i="8"/>
  <c r="J138" i="8" s="1"/>
  <c r="I139" i="8"/>
  <c r="J139" i="8" s="1"/>
  <c r="I140" i="8"/>
  <c r="J140" i="8" s="1"/>
  <c r="I141" i="8"/>
  <c r="J141" i="8" s="1"/>
  <c r="I142" i="8"/>
  <c r="J142" i="8" s="1"/>
  <c r="I143" i="8"/>
  <c r="J143" i="8" s="1"/>
  <c r="I144" i="8"/>
  <c r="J144" i="8" s="1"/>
  <c r="I145" i="8"/>
  <c r="J145" i="8" s="1"/>
  <c r="I146" i="8"/>
  <c r="J146" i="8" s="1"/>
  <c r="I147" i="8"/>
  <c r="J147" i="8" s="1"/>
  <c r="I148" i="8"/>
  <c r="J148" i="8" s="1"/>
  <c r="I149" i="8"/>
  <c r="J149" i="8" s="1"/>
  <c r="I150" i="8"/>
  <c r="J150" i="8" s="1"/>
  <c r="I151" i="8"/>
  <c r="J151" i="8" s="1"/>
  <c r="I152" i="8"/>
  <c r="J152" i="8" s="1"/>
  <c r="I153" i="8"/>
  <c r="J153" i="8" s="1"/>
  <c r="I154" i="8"/>
  <c r="J154" i="8" s="1"/>
  <c r="I155" i="8"/>
  <c r="J155" i="8" s="1"/>
  <c r="I156" i="8"/>
  <c r="J156" i="8" s="1"/>
  <c r="I157" i="8"/>
  <c r="J157" i="8" s="1"/>
  <c r="AJ157" i="8" s="1"/>
  <c r="AK157" i="8" s="1"/>
  <c r="I158" i="8"/>
  <c r="J158" i="8" s="1"/>
  <c r="I159" i="8"/>
  <c r="J159" i="8" s="1"/>
  <c r="I160" i="8"/>
  <c r="J160" i="8" s="1"/>
  <c r="I161" i="8"/>
  <c r="J161" i="8" s="1"/>
  <c r="I162" i="8"/>
  <c r="J162" i="8" s="1"/>
  <c r="I163" i="8"/>
  <c r="J163" i="8" s="1"/>
  <c r="I164" i="8"/>
  <c r="J164" i="8" s="1"/>
  <c r="I165" i="8"/>
  <c r="J165" i="8" s="1"/>
  <c r="I166" i="8"/>
  <c r="J166" i="8" s="1"/>
  <c r="I167" i="8"/>
  <c r="J167" i="8" s="1"/>
  <c r="I168" i="8"/>
  <c r="J168" i="8" s="1"/>
  <c r="I169" i="8"/>
  <c r="J169" i="8" s="1"/>
  <c r="I170" i="8"/>
  <c r="J170" i="8" s="1"/>
  <c r="I171" i="8"/>
  <c r="J171" i="8" s="1"/>
  <c r="I172" i="8"/>
  <c r="J172" i="8" s="1"/>
  <c r="I173" i="8"/>
  <c r="J173" i="8" s="1"/>
  <c r="I174" i="8"/>
  <c r="J174" i="8" s="1"/>
  <c r="I175" i="8"/>
  <c r="J175" i="8" s="1"/>
  <c r="I176" i="8"/>
  <c r="J176" i="8" s="1"/>
  <c r="I177" i="8"/>
  <c r="J177" i="8" s="1"/>
  <c r="I178" i="8"/>
  <c r="J178" i="8" s="1"/>
  <c r="I179" i="8"/>
  <c r="J179" i="8" s="1"/>
  <c r="I180" i="8"/>
  <c r="J180" i="8" s="1"/>
  <c r="I181" i="8"/>
  <c r="J181" i="8" s="1"/>
  <c r="I182" i="8"/>
  <c r="J182" i="8" s="1"/>
  <c r="I183" i="8"/>
  <c r="J183" i="8" s="1"/>
  <c r="I184" i="8"/>
  <c r="J184" i="8" s="1"/>
  <c r="I185" i="8"/>
  <c r="J185" i="8" s="1"/>
  <c r="I186" i="8"/>
  <c r="J186" i="8" s="1"/>
  <c r="I187" i="8"/>
  <c r="J187" i="8" s="1"/>
  <c r="I188" i="8"/>
  <c r="J188" i="8" s="1"/>
  <c r="I189" i="8"/>
  <c r="J189" i="8" s="1"/>
  <c r="I190" i="8"/>
  <c r="J190" i="8" s="1"/>
  <c r="I191" i="8"/>
  <c r="J191" i="8" s="1"/>
  <c r="I192" i="8"/>
  <c r="J192" i="8" s="1"/>
  <c r="I193" i="8"/>
  <c r="J193" i="8" s="1"/>
  <c r="I194" i="8"/>
  <c r="J194" i="8" s="1"/>
  <c r="I195" i="8"/>
  <c r="J195" i="8" s="1"/>
  <c r="I196" i="8"/>
  <c r="J196" i="8" s="1"/>
  <c r="I197" i="8"/>
  <c r="J197" i="8" s="1"/>
  <c r="I198" i="8"/>
  <c r="J198" i="8" s="1"/>
  <c r="I199" i="8"/>
  <c r="J199" i="8" s="1"/>
  <c r="I200" i="8"/>
  <c r="J200" i="8" s="1"/>
  <c r="I201" i="8"/>
  <c r="J201" i="8" s="1"/>
  <c r="I202" i="8"/>
  <c r="J202" i="8" s="1"/>
  <c r="I203" i="8"/>
  <c r="J203" i="8" s="1"/>
  <c r="I204" i="8"/>
  <c r="J204" i="8" s="1"/>
  <c r="I205" i="8"/>
  <c r="J205" i="8" s="1"/>
  <c r="I206" i="8"/>
  <c r="J206" i="8" s="1"/>
  <c r="I207" i="8"/>
  <c r="J207" i="8" s="1"/>
  <c r="I208" i="8"/>
  <c r="J208" i="8" s="1"/>
  <c r="I209" i="8"/>
  <c r="J209" i="8" s="1"/>
  <c r="I210" i="8"/>
  <c r="J210" i="8" s="1"/>
  <c r="I211" i="8"/>
  <c r="J211" i="8" s="1"/>
  <c r="I212" i="8"/>
  <c r="J212" i="8" s="1"/>
  <c r="I213" i="8"/>
  <c r="J213" i="8" s="1"/>
  <c r="I214" i="8"/>
  <c r="J214" i="8" s="1"/>
  <c r="I215" i="8"/>
  <c r="J215" i="8" s="1"/>
  <c r="I216" i="8"/>
  <c r="J216" i="8" s="1"/>
  <c r="I217" i="8"/>
  <c r="J217" i="8" s="1"/>
  <c r="I218" i="8"/>
  <c r="J218" i="8" s="1"/>
  <c r="I219" i="8"/>
  <c r="J219" i="8" s="1"/>
  <c r="I220" i="8"/>
  <c r="J220" i="8" s="1"/>
  <c r="I221" i="8"/>
  <c r="J221" i="8" s="1"/>
  <c r="I222" i="8"/>
  <c r="J222" i="8" s="1"/>
  <c r="I223" i="8"/>
  <c r="J223" i="8" s="1"/>
  <c r="I224" i="8"/>
  <c r="J224" i="8" s="1"/>
  <c r="I225" i="8"/>
  <c r="J225" i="8" s="1"/>
  <c r="I226" i="8"/>
  <c r="J226" i="8" s="1"/>
  <c r="I227" i="8"/>
  <c r="J227" i="8" s="1"/>
  <c r="I228" i="8"/>
  <c r="J228" i="8" s="1"/>
  <c r="I229" i="8"/>
  <c r="J229" i="8" s="1"/>
  <c r="I230" i="8"/>
  <c r="J230" i="8" s="1"/>
  <c r="I231" i="8"/>
  <c r="J231" i="8" s="1"/>
  <c r="I232" i="8"/>
  <c r="J232" i="8" s="1"/>
  <c r="I233" i="8"/>
  <c r="J233" i="8" s="1"/>
  <c r="I234" i="8"/>
  <c r="J234" i="8" s="1"/>
  <c r="I235" i="8"/>
  <c r="J235" i="8" s="1"/>
  <c r="I236" i="8"/>
  <c r="J236" i="8" s="1"/>
  <c r="I237" i="8"/>
  <c r="J237" i="8" s="1"/>
  <c r="I238" i="8"/>
  <c r="J238" i="8" s="1"/>
  <c r="I239" i="8"/>
  <c r="J239" i="8" s="1"/>
  <c r="I240" i="8"/>
  <c r="J240" i="8" s="1"/>
  <c r="I241" i="8"/>
  <c r="J241" i="8" s="1"/>
  <c r="I242" i="8"/>
  <c r="J242" i="8" s="1"/>
  <c r="I243" i="8"/>
  <c r="J243" i="8" s="1"/>
  <c r="I244" i="8"/>
  <c r="J244" i="8" s="1"/>
  <c r="I245" i="8"/>
  <c r="J245" i="8" s="1"/>
  <c r="I246" i="8"/>
  <c r="J246" i="8" s="1"/>
  <c r="I247" i="8"/>
  <c r="J247" i="8" s="1"/>
  <c r="I248" i="8"/>
  <c r="J248" i="8" s="1"/>
  <c r="I249" i="8"/>
  <c r="J249" i="8" s="1"/>
  <c r="I250" i="8"/>
  <c r="J250" i="8" s="1"/>
  <c r="I251" i="8"/>
  <c r="J251" i="8" s="1"/>
  <c r="I252" i="8"/>
  <c r="J252" i="8" s="1"/>
  <c r="I253" i="8"/>
  <c r="J253" i="8" s="1"/>
  <c r="I254" i="8"/>
  <c r="J254" i="8" s="1"/>
  <c r="I255" i="8"/>
  <c r="J255" i="8" s="1"/>
  <c r="I256" i="8"/>
  <c r="J256" i="8" s="1"/>
  <c r="I257" i="8"/>
  <c r="J257" i="8" s="1"/>
  <c r="I258" i="8"/>
  <c r="J258" i="8" s="1"/>
  <c r="I259" i="8"/>
  <c r="J259" i="8" s="1"/>
  <c r="I260" i="8"/>
  <c r="J260" i="8" s="1"/>
  <c r="I261" i="8"/>
  <c r="J261" i="8" s="1"/>
  <c r="I262" i="8"/>
  <c r="J262" i="8" s="1"/>
  <c r="I263" i="8"/>
  <c r="J263" i="8" s="1"/>
  <c r="I264" i="8"/>
  <c r="J264" i="8" s="1"/>
  <c r="I265" i="8"/>
  <c r="J265" i="8" s="1"/>
  <c r="I266" i="8"/>
  <c r="J266" i="8" s="1"/>
  <c r="I267" i="8"/>
  <c r="J267" i="8" s="1"/>
  <c r="I268" i="8"/>
  <c r="J268" i="8" s="1"/>
  <c r="I269" i="8"/>
  <c r="J269" i="8" s="1"/>
  <c r="I270" i="8"/>
  <c r="J270" i="8" s="1"/>
  <c r="I271" i="8"/>
  <c r="J271" i="8" s="1"/>
  <c r="I272" i="8"/>
  <c r="J272" i="8" s="1"/>
  <c r="I273" i="8"/>
  <c r="J273" i="8" s="1"/>
  <c r="I274" i="8"/>
  <c r="J274" i="8" s="1"/>
  <c r="I275" i="8"/>
  <c r="J275" i="8" s="1"/>
  <c r="I276" i="8"/>
  <c r="J276" i="8" s="1"/>
  <c r="I277" i="8"/>
  <c r="J277" i="8" s="1"/>
  <c r="I278" i="8"/>
  <c r="J278" i="8" s="1"/>
  <c r="I279" i="8"/>
  <c r="J279" i="8" s="1"/>
  <c r="I280" i="8"/>
  <c r="J280" i="8" s="1"/>
  <c r="I281" i="8"/>
  <c r="J281" i="8" s="1"/>
  <c r="I282" i="8"/>
  <c r="J282" i="8" s="1"/>
  <c r="I283" i="8"/>
  <c r="J283" i="8" s="1"/>
  <c r="I284" i="8"/>
  <c r="J284" i="8" s="1"/>
  <c r="I285" i="8"/>
  <c r="J285" i="8" s="1"/>
  <c r="I286" i="8"/>
  <c r="J286" i="8" s="1"/>
  <c r="I287" i="8"/>
  <c r="J287" i="8" s="1"/>
  <c r="I288" i="8"/>
  <c r="J288" i="8" s="1"/>
  <c r="I289" i="8"/>
  <c r="J289" i="8" s="1"/>
  <c r="I290" i="8"/>
  <c r="J290" i="8" s="1"/>
  <c r="I291" i="8"/>
  <c r="J291" i="8" s="1"/>
  <c r="I292" i="8"/>
  <c r="J292" i="8" s="1"/>
  <c r="I293" i="8"/>
  <c r="J293" i="8" s="1"/>
  <c r="I294" i="8"/>
  <c r="J294" i="8" s="1"/>
  <c r="I295" i="8"/>
  <c r="J295" i="8" s="1"/>
  <c r="I296" i="8"/>
  <c r="J296" i="8" s="1"/>
  <c r="I297" i="8"/>
  <c r="J297" i="8" s="1"/>
  <c r="I298" i="8"/>
  <c r="J298" i="8" s="1"/>
  <c r="I299" i="8"/>
  <c r="J299" i="8" s="1"/>
  <c r="I300" i="8"/>
  <c r="J300" i="8" s="1"/>
  <c r="I301" i="8"/>
  <c r="J301" i="8" s="1"/>
  <c r="I302" i="8"/>
  <c r="J302" i="8" s="1"/>
  <c r="I303" i="8"/>
  <c r="J303" i="8" s="1"/>
  <c r="I304" i="8"/>
  <c r="J304" i="8" s="1"/>
  <c r="I305" i="8"/>
  <c r="J305" i="8" s="1"/>
  <c r="I306" i="8"/>
  <c r="J306" i="8" s="1"/>
  <c r="I307" i="8"/>
  <c r="J307" i="8" s="1"/>
  <c r="I308" i="8"/>
  <c r="J308" i="8" s="1"/>
  <c r="I309" i="8"/>
  <c r="J309" i="8" s="1"/>
  <c r="I310" i="8"/>
  <c r="J310" i="8" s="1"/>
  <c r="I311" i="8"/>
  <c r="J311" i="8" s="1"/>
  <c r="I312" i="8"/>
  <c r="J312" i="8" s="1"/>
  <c r="I313" i="8"/>
  <c r="J313" i="8" s="1"/>
  <c r="I314" i="8"/>
  <c r="J314" i="8" s="1"/>
  <c r="I315" i="8"/>
  <c r="J315" i="8" s="1"/>
  <c r="I316" i="8"/>
  <c r="J316" i="8" s="1"/>
  <c r="I317" i="8"/>
  <c r="J317" i="8" s="1"/>
  <c r="I318" i="8"/>
  <c r="J318" i="8" s="1"/>
  <c r="I319" i="8"/>
  <c r="J319" i="8" s="1"/>
  <c r="I320" i="8"/>
  <c r="J320" i="8" s="1"/>
  <c r="I321" i="8"/>
  <c r="J321" i="8" s="1"/>
  <c r="I322" i="8"/>
  <c r="J322" i="8" s="1"/>
  <c r="I323" i="8"/>
  <c r="J323" i="8" s="1"/>
  <c r="I324" i="8"/>
  <c r="J324" i="8" s="1"/>
  <c r="I325" i="8"/>
  <c r="J325" i="8" s="1"/>
  <c r="I326" i="8"/>
  <c r="J326" i="8" s="1"/>
  <c r="I327" i="8"/>
  <c r="J327" i="8" s="1"/>
  <c r="I328" i="8"/>
  <c r="J328" i="8" s="1"/>
  <c r="I329" i="8"/>
  <c r="J329" i="8" s="1"/>
  <c r="I330" i="8"/>
  <c r="J330" i="8" s="1"/>
  <c r="I331" i="8"/>
  <c r="J331" i="8" s="1"/>
  <c r="I332" i="8"/>
  <c r="J332" i="8" s="1"/>
  <c r="I333" i="8"/>
  <c r="J333" i="8" s="1"/>
  <c r="I334" i="8"/>
  <c r="J334" i="8" s="1"/>
  <c r="I335" i="8"/>
  <c r="J335" i="8" s="1"/>
  <c r="I336" i="8"/>
  <c r="J336" i="8" s="1"/>
  <c r="I337" i="8"/>
  <c r="J337" i="8" s="1"/>
  <c r="I338" i="8"/>
  <c r="J338" i="8" s="1"/>
  <c r="I339" i="8"/>
  <c r="J339" i="8" s="1"/>
  <c r="I340" i="8"/>
  <c r="J340" i="8" s="1"/>
  <c r="I341" i="8"/>
  <c r="J341" i="8" s="1"/>
  <c r="I342" i="8"/>
  <c r="J342" i="8" s="1"/>
  <c r="I343" i="8"/>
  <c r="J343" i="8" s="1"/>
  <c r="I344" i="8"/>
  <c r="J344" i="8" s="1"/>
  <c r="I345" i="8"/>
  <c r="J345" i="8" s="1"/>
  <c r="I346" i="8"/>
  <c r="J346" i="8" s="1"/>
  <c r="I347" i="8"/>
  <c r="J347" i="8" s="1"/>
  <c r="I348" i="8"/>
  <c r="J348" i="8" s="1"/>
  <c r="I349" i="8"/>
  <c r="J349" i="8" s="1"/>
  <c r="I350" i="8"/>
  <c r="J350" i="8" s="1"/>
  <c r="I351" i="8"/>
  <c r="J351" i="8" s="1"/>
  <c r="I352" i="8"/>
  <c r="J352" i="8" s="1"/>
  <c r="I353" i="8"/>
  <c r="J353" i="8" s="1"/>
  <c r="I354" i="8"/>
  <c r="J354" i="8" s="1"/>
  <c r="I355" i="8"/>
  <c r="J355" i="8" s="1"/>
  <c r="I356" i="8"/>
  <c r="J356" i="8" s="1"/>
  <c r="I357" i="8"/>
  <c r="J357" i="8" s="1"/>
  <c r="I358" i="8"/>
  <c r="J358" i="8" s="1"/>
  <c r="I359" i="8"/>
  <c r="J359" i="8" s="1"/>
  <c r="I360" i="8"/>
  <c r="J360" i="8" s="1"/>
  <c r="I361" i="8"/>
  <c r="J361" i="8" s="1"/>
  <c r="I362" i="8"/>
  <c r="J362" i="8" s="1"/>
  <c r="I363" i="8"/>
  <c r="J363" i="8" s="1"/>
  <c r="I364" i="8"/>
  <c r="J364" i="8" s="1"/>
  <c r="I365" i="8"/>
  <c r="J365" i="8" s="1"/>
  <c r="I366" i="8"/>
  <c r="J366" i="8" s="1"/>
  <c r="I367" i="8"/>
  <c r="J367" i="8" s="1"/>
  <c r="I368" i="8"/>
  <c r="J368" i="8" s="1"/>
  <c r="I369" i="8"/>
  <c r="J369" i="8" s="1"/>
  <c r="I370" i="8"/>
  <c r="J370" i="8" s="1"/>
  <c r="I371" i="8"/>
  <c r="J371" i="8" s="1"/>
  <c r="I372" i="8"/>
  <c r="J372" i="8" s="1"/>
  <c r="I373" i="8"/>
  <c r="J373" i="8" s="1"/>
  <c r="I374" i="8"/>
  <c r="J374" i="8" s="1"/>
  <c r="I375" i="8"/>
  <c r="J375" i="8" s="1"/>
  <c r="I376" i="8"/>
  <c r="J376" i="8" s="1"/>
  <c r="I377" i="8"/>
  <c r="J377" i="8" s="1"/>
  <c r="I378" i="8"/>
  <c r="J378" i="8" s="1"/>
  <c r="I379" i="8"/>
  <c r="J379" i="8" s="1"/>
  <c r="I380" i="8"/>
  <c r="J380" i="8" s="1"/>
  <c r="AJ380" i="8" s="1"/>
  <c r="AK380" i="8" s="1"/>
  <c r="I381" i="8"/>
  <c r="J381" i="8" s="1"/>
  <c r="I382" i="8"/>
  <c r="J382" i="8" s="1"/>
  <c r="I383" i="8"/>
  <c r="J383" i="8" s="1"/>
  <c r="I384" i="8"/>
  <c r="J384" i="8" s="1"/>
  <c r="I385" i="8"/>
  <c r="J385" i="8" s="1"/>
  <c r="I386" i="8"/>
  <c r="J386" i="8" s="1"/>
  <c r="I387" i="8"/>
  <c r="J387" i="8" s="1"/>
  <c r="I388" i="8"/>
  <c r="J388" i="8" s="1"/>
  <c r="I389" i="8"/>
  <c r="J389" i="8" s="1"/>
  <c r="I390" i="8"/>
  <c r="J390" i="8" s="1"/>
  <c r="I391" i="8"/>
  <c r="J391" i="8" s="1"/>
  <c r="I392" i="8"/>
  <c r="J392" i="8" s="1"/>
  <c r="I393" i="8"/>
  <c r="J393" i="8" s="1"/>
  <c r="I394" i="8"/>
  <c r="J394" i="8" s="1"/>
  <c r="I395" i="8"/>
  <c r="J395" i="8" s="1"/>
  <c r="I396" i="8"/>
  <c r="J396" i="8" s="1"/>
  <c r="I397" i="8"/>
  <c r="J397" i="8" s="1"/>
  <c r="I398" i="8"/>
  <c r="J398" i="8" s="1"/>
  <c r="I399" i="8"/>
  <c r="J399" i="8" s="1"/>
  <c r="I400" i="8"/>
  <c r="J400" i="8" s="1"/>
  <c r="I401" i="8"/>
  <c r="J401" i="8" s="1"/>
  <c r="I402" i="8"/>
  <c r="J402" i="8" s="1"/>
  <c r="I403" i="8"/>
  <c r="J403" i="8" s="1"/>
  <c r="I404" i="8"/>
  <c r="J404" i="8" s="1"/>
  <c r="I405" i="8"/>
  <c r="J405" i="8" s="1"/>
  <c r="I406" i="8"/>
  <c r="J406" i="8" s="1"/>
  <c r="I407" i="8"/>
  <c r="J407" i="8" s="1"/>
  <c r="I408" i="8"/>
  <c r="J408" i="8" s="1"/>
  <c r="I409" i="8"/>
  <c r="J409" i="8" s="1"/>
  <c r="I410" i="8"/>
  <c r="J410" i="8" s="1"/>
  <c r="I411" i="8"/>
  <c r="J411" i="8" s="1"/>
  <c r="I412" i="8"/>
  <c r="J412" i="8" s="1"/>
  <c r="I413" i="8"/>
  <c r="J413" i="8" s="1"/>
  <c r="I414" i="8"/>
  <c r="J414" i="8" s="1"/>
  <c r="I415" i="8"/>
  <c r="J415" i="8" s="1"/>
  <c r="I416" i="8"/>
  <c r="J416" i="8" s="1"/>
  <c r="I417" i="8"/>
  <c r="J417" i="8" s="1"/>
  <c r="I418" i="8"/>
  <c r="J418" i="8" s="1"/>
  <c r="I419" i="8"/>
  <c r="J419" i="8" s="1"/>
  <c r="I420" i="8"/>
  <c r="J420" i="8" s="1"/>
  <c r="I421" i="8"/>
  <c r="J421" i="8" s="1"/>
  <c r="I422" i="8"/>
  <c r="J422" i="8" s="1"/>
  <c r="I423" i="8"/>
  <c r="J423" i="8" s="1"/>
  <c r="I424" i="8"/>
  <c r="J424" i="8" s="1"/>
  <c r="I425" i="8"/>
  <c r="J425" i="8" s="1"/>
  <c r="I426" i="8"/>
  <c r="J426" i="8" s="1"/>
  <c r="I427" i="8"/>
  <c r="J427" i="8" s="1"/>
  <c r="I428" i="8"/>
  <c r="J428" i="8" s="1"/>
  <c r="I429" i="8"/>
  <c r="J429" i="8" s="1"/>
  <c r="I430" i="8"/>
  <c r="J430" i="8" s="1"/>
  <c r="I431" i="8"/>
  <c r="J431" i="8" s="1"/>
  <c r="I432" i="8"/>
  <c r="J432" i="8" s="1"/>
  <c r="I433" i="8"/>
  <c r="J433" i="8" s="1"/>
  <c r="I434" i="8"/>
  <c r="J434" i="8" s="1"/>
  <c r="I435" i="8"/>
  <c r="J435" i="8" s="1"/>
  <c r="I436" i="8"/>
  <c r="J436" i="8" s="1"/>
  <c r="I437" i="8"/>
  <c r="J437" i="8" s="1"/>
  <c r="I438" i="8"/>
  <c r="J438" i="8" s="1"/>
  <c r="I439" i="8"/>
  <c r="J439" i="8" s="1"/>
  <c r="I440" i="8"/>
  <c r="J440" i="8" s="1"/>
  <c r="I441" i="8"/>
  <c r="J441" i="8" s="1"/>
  <c r="I442" i="8"/>
  <c r="J442" i="8" s="1"/>
  <c r="I443" i="8"/>
  <c r="J443" i="8" s="1"/>
  <c r="I444" i="8"/>
  <c r="J444" i="8" s="1"/>
  <c r="I445" i="8"/>
  <c r="J445" i="8" s="1"/>
  <c r="I446" i="8"/>
  <c r="J446" i="8" s="1"/>
  <c r="I447" i="8"/>
  <c r="J447" i="8" s="1"/>
  <c r="I448" i="8"/>
  <c r="J448" i="8" s="1"/>
  <c r="I449" i="8"/>
  <c r="J449" i="8" s="1"/>
  <c r="I450" i="8"/>
  <c r="J450" i="8" s="1"/>
  <c r="I451" i="8"/>
  <c r="J451" i="8" s="1"/>
  <c r="I452" i="8"/>
  <c r="J452" i="8" s="1"/>
  <c r="I453" i="8"/>
  <c r="J453" i="8" s="1"/>
  <c r="I454" i="8"/>
  <c r="J454" i="8" s="1"/>
  <c r="I455" i="8"/>
  <c r="J455" i="8" s="1"/>
  <c r="I456" i="8"/>
  <c r="J456" i="8" s="1"/>
  <c r="I457" i="8"/>
  <c r="J457" i="8" s="1"/>
  <c r="I458" i="8"/>
  <c r="J458" i="8" s="1"/>
  <c r="I459" i="8"/>
  <c r="J459" i="8" s="1"/>
  <c r="I460" i="8"/>
  <c r="J460" i="8" s="1"/>
  <c r="I461" i="8"/>
  <c r="J461" i="8" s="1"/>
  <c r="I462" i="8"/>
  <c r="J462" i="8" s="1"/>
  <c r="I463" i="8"/>
  <c r="J463" i="8" s="1"/>
  <c r="I464" i="8"/>
  <c r="J464" i="8" s="1"/>
  <c r="I465" i="8"/>
  <c r="J465" i="8" s="1"/>
  <c r="I466" i="8"/>
  <c r="J466" i="8" s="1"/>
  <c r="I467" i="8"/>
  <c r="J467" i="8" s="1"/>
  <c r="I468" i="8"/>
  <c r="J468" i="8" s="1"/>
  <c r="I469" i="8"/>
  <c r="J469" i="8" s="1"/>
  <c r="I470" i="8"/>
  <c r="J470" i="8" s="1"/>
  <c r="I471" i="8"/>
  <c r="J471" i="8" s="1"/>
  <c r="I472" i="8"/>
  <c r="J472" i="8" s="1"/>
  <c r="I473" i="8"/>
  <c r="J473" i="8" s="1"/>
  <c r="I474" i="8"/>
  <c r="J474" i="8" s="1"/>
  <c r="I475" i="8"/>
  <c r="J475" i="8" s="1"/>
  <c r="I476" i="8"/>
  <c r="J476" i="8" s="1"/>
  <c r="I477" i="8"/>
  <c r="J477" i="8" s="1"/>
  <c r="I478" i="8"/>
  <c r="J478" i="8" s="1"/>
  <c r="I479" i="8"/>
  <c r="J479" i="8" s="1"/>
  <c r="I480" i="8"/>
  <c r="J480" i="8" s="1"/>
  <c r="I481" i="8"/>
  <c r="J481" i="8" s="1"/>
  <c r="I482" i="8"/>
  <c r="J482" i="8" s="1"/>
  <c r="I483" i="8"/>
  <c r="J483" i="8" s="1"/>
  <c r="I484" i="8"/>
  <c r="J484" i="8" s="1"/>
  <c r="I485" i="8"/>
  <c r="J485" i="8" s="1"/>
  <c r="I486" i="8"/>
  <c r="J486" i="8" s="1"/>
  <c r="I487" i="8"/>
  <c r="J487" i="8" s="1"/>
  <c r="I488" i="8"/>
  <c r="J488" i="8" s="1"/>
  <c r="I489" i="8"/>
  <c r="J489" i="8" s="1"/>
  <c r="I490" i="8"/>
  <c r="J490" i="8" s="1"/>
  <c r="I491" i="8"/>
  <c r="J491" i="8" s="1"/>
  <c r="I492" i="8"/>
  <c r="J492" i="8" s="1"/>
  <c r="I493" i="8"/>
  <c r="J493" i="8" s="1"/>
  <c r="I494" i="8"/>
  <c r="J494" i="8" s="1"/>
  <c r="I495" i="8"/>
  <c r="J495" i="8" s="1"/>
  <c r="I496" i="8"/>
  <c r="J496" i="8" s="1"/>
  <c r="I497" i="8"/>
  <c r="J497" i="8" s="1"/>
  <c r="I498" i="8"/>
  <c r="J498" i="8" s="1"/>
  <c r="I499" i="8"/>
  <c r="J499" i="8" s="1"/>
  <c r="I500" i="8"/>
  <c r="J500" i="8" s="1"/>
  <c r="I501" i="8"/>
  <c r="J501" i="8" s="1"/>
  <c r="I502" i="8"/>
  <c r="J502" i="8" s="1"/>
  <c r="I503" i="8"/>
  <c r="J503" i="8" s="1"/>
  <c r="I504" i="8"/>
  <c r="J504" i="8" s="1"/>
  <c r="I505" i="8"/>
  <c r="J505" i="8" s="1"/>
  <c r="I506" i="8"/>
  <c r="J506" i="8" s="1"/>
  <c r="I507" i="8"/>
  <c r="J507" i="8" s="1"/>
  <c r="I508" i="8"/>
  <c r="J508" i="8" s="1"/>
  <c r="I509" i="8"/>
  <c r="J509" i="8" s="1"/>
  <c r="I510" i="8"/>
  <c r="J510" i="8" s="1"/>
  <c r="I511" i="8"/>
  <c r="J511" i="8" s="1"/>
  <c r="I512" i="8"/>
  <c r="J512" i="8" s="1"/>
  <c r="I513" i="8"/>
  <c r="J513" i="8" s="1"/>
  <c r="I514" i="8"/>
  <c r="J514" i="8" s="1"/>
  <c r="I515" i="8"/>
  <c r="J515" i="8" s="1"/>
  <c r="I516" i="8"/>
  <c r="J516" i="8" s="1"/>
  <c r="I517" i="8"/>
  <c r="J517" i="8" s="1"/>
  <c r="I518" i="8"/>
  <c r="J518" i="8" s="1"/>
  <c r="I519" i="8"/>
  <c r="J519" i="8" s="1"/>
  <c r="AJ519" i="8" s="1"/>
  <c r="AK519" i="8" s="1"/>
  <c r="I520" i="8"/>
  <c r="J520" i="8" s="1"/>
  <c r="I521" i="8"/>
  <c r="J521" i="8" s="1"/>
  <c r="I522" i="8"/>
  <c r="J522" i="8" s="1"/>
  <c r="I523" i="8"/>
  <c r="J523" i="8" s="1"/>
  <c r="I524" i="8"/>
  <c r="J524" i="8" s="1"/>
  <c r="AJ524" i="8" s="1"/>
  <c r="AK524" i="8" s="1"/>
  <c r="I525" i="8"/>
  <c r="J525" i="8" s="1"/>
  <c r="I526" i="8"/>
  <c r="J526" i="8" s="1"/>
  <c r="I527" i="8"/>
  <c r="J527" i="8" s="1"/>
  <c r="AJ527" i="8" s="1"/>
  <c r="AK527" i="8" s="1"/>
  <c r="I528" i="8"/>
  <c r="J528" i="8" s="1"/>
  <c r="AJ528" i="8" s="1"/>
  <c r="AK528" i="8" s="1"/>
  <c r="I529" i="8"/>
  <c r="J529" i="8" s="1"/>
  <c r="AJ529" i="8" s="1"/>
  <c r="AK529" i="8" s="1"/>
  <c r="I530" i="8"/>
  <c r="J530" i="8" s="1"/>
  <c r="I531" i="8"/>
  <c r="J531" i="8" s="1"/>
  <c r="I532" i="8"/>
  <c r="J532" i="8" s="1"/>
  <c r="I533" i="8"/>
  <c r="J533" i="8" s="1"/>
  <c r="I534" i="8"/>
  <c r="J534" i="8" s="1"/>
  <c r="I535" i="8"/>
  <c r="J535" i="8" s="1"/>
  <c r="I536" i="8"/>
  <c r="J536" i="8" s="1"/>
  <c r="I537" i="8"/>
  <c r="J537" i="8" s="1"/>
  <c r="I538" i="8"/>
  <c r="J538" i="8" s="1"/>
  <c r="I539" i="8"/>
  <c r="J539" i="8" s="1"/>
  <c r="I540" i="8"/>
  <c r="J540" i="8" s="1"/>
  <c r="I541" i="8"/>
  <c r="J541" i="8" s="1"/>
  <c r="I542" i="8"/>
  <c r="J542" i="8" s="1"/>
  <c r="I543" i="8"/>
  <c r="J543" i="8" s="1"/>
  <c r="I544" i="8"/>
  <c r="J544" i="8" s="1"/>
  <c r="I545" i="8"/>
  <c r="J545" i="8" s="1"/>
  <c r="I546" i="8"/>
  <c r="J546" i="8" s="1"/>
  <c r="I547" i="8"/>
  <c r="J547" i="8" s="1"/>
  <c r="AJ547" i="8" s="1"/>
  <c r="AK547" i="8" s="1"/>
  <c r="I548" i="8"/>
  <c r="J548" i="8" s="1"/>
  <c r="I549" i="8"/>
  <c r="J549" i="8" s="1"/>
  <c r="I550" i="8"/>
  <c r="J550" i="8" s="1"/>
  <c r="I551" i="8"/>
  <c r="J551" i="8" s="1"/>
  <c r="I552" i="8"/>
  <c r="J552" i="8" s="1"/>
  <c r="I553" i="8"/>
  <c r="J553" i="8" s="1"/>
  <c r="I554" i="8"/>
  <c r="J554" i="8" s="1"/>
  <c r="I555" i="8"/>
  <c r="J555" i="8" s="1"/>
  <c r="I556" i="8"/>
  <c r="J556" i="8" s="1"/>
  <c r="I557" i="8"/>
  <c r="J557" i="8" s="1"/>
  <c r="I558" i="8"/>
  <c r="J558" i="8" s="1"/>
  <c r="I559" i="8"/>
  <c r="J559" i="8" s="1"/>
  <c r="I560" i="8"/>
  <c r="J560" i="8" s="1"/>
  <c r="I561" i="8"/>
  <c r="J561" i="8" s="1"/>
  <c r="I562" i="8"/>
  <c r="J562" i="8" s="1"/>
  <c r="I563" i="8"/>
  <c r="J563" i="8" s="1"/>
  <c r="I564" i="8"/>
  <c r="J564" i="8" s="1"/>
  <c r="I565" i="8"/>
  <c r="J565" i="8" s="1"/>
  <c r="I566" i="8"/>
  <c r="J566" i="8" s="1"/>
  <c r="I567" i="8"/>
  <c r="J567" i="8" s="1"/>
  <c r="I568" i="8"/>
  <c r="J568" i="8" s="1"/>
  <c r="I569" i="8"/>
  <c r="J569" i="8" s="1"/>
  <c r="I570" i="8"/>
  <c r="J570" i="8" s="1"/>
  <c r="I571" i="8"/>
  <c r="J571" i="8" s="1"/>
  <c r="I572" i="8"/>
  <c r="J572" i="8" s="1"/>
  <c r="I573" i="8"/>
  <c r="J573" i="8" s="1"/>
  <c r="I574" i="8"/>
  <c r="J574" i="8" s="1"/>
  <c r="I575" i="8"/>
  <c r="J575" i="8" s="1"/>
  <c r="I576" i="8"/>
  <c r="J576" i="8" s="1"/>
  <c r="I577" i="8"/>
  <c r="J577" i="8" s="1"/>
  <c r="I578" i="8"/>
  <c r="J578" i="8" s="1"/>
  <c r="I579" i="8"/>
  <c r="J579" i="8" s="1"/>
  <c r="I580" i="8"/>
  <c r="J580" i="8" s="1"/>
  <c r="I581" i="8"/>
  <c r="J581" i="8" s="1"/>
  <c r="I582" i="8"/>
  <c r="J582" i="8" s="1"/>
  <c r="I583" i="8"/>
  <c r="J583" i="8" s="1"/>
  <c r="I584" i="8"/>
  <c r="J584" i="8" s="1"/>
  <c r="I585" i="8"/>
  <c r="J585" i="8" s="1"/>
  <c r="I586" i="8"/>
  <c r="J586" i="8" s="1"/>
  <c r="I587" i="8"/>
  <c r="J587" i="8" s="1"/>
  <c r="I588" i="8"/>
  <c r="J588" i="8" s="1"/>
  <c r="I589" i="8"/>
  <c r="J589" i="8" s="1"/>
  <c r="I590" i="8"/>
  <c r="J590" i="8" s="1"/>
  <c r="I591" i="8"/>
  <c r="J591" i="8" s="1"/>
  <c r="I592" i="8"/>
  <c r="J592" i="8" s="1"/>
  <c r="AJ592" i="8" s="1"/>
  <c r="AK592" i="8" s="1"/>
  <c r="I593" i="8"/>
  <c r="J593" i="8" s="1"/>
  <c r="I594" i="8"/>
  <c r="J594" i="8" s="1"/>
  <c r="I595" i="8"/>
  <c r="J595" i="8" s="1"/>
  <c r="I596" i="8"/>
  <c r="J596" i="8" s="1"/>
  <c r="I597" i="8"/>
  <c r="J597" i="8" s="1"/>
  <c r="I598" i="8"/>
  <c r="J598" i="8" s="1"/>
  <c r="I599" i="8"/>
  <c r="J599" i="8" s="1"/>
  <c r="I600" i="8"/>
  <c r="J600" i="8" s="1"/>
  <c r="I601" i="8"/>
  <c r="J601" i="8" s="1"/>
  <c r="I602" i="8"/>
  <c r="J602" i="8" s="1"/>
  <c r="I603" i="8"/>
  <c r="J603" i="8" s="1"/>
  <c r="I604" i="8"/>
  <c r="J604" i="8" s="1"/>
  <c r="I605" i="8"/>
  <c r="J605" i="8" s="1"/>
  <c r="I606" i="8"/>
  <c r="J606" i="8" s="1"/>
  <c r="I607" i="8"/>
  <c r="J607" i="8" s="1"/>
  <c r="I608" i="8"/>
  <c r="J608" i="8" s="1"/>
  <c r="I609" i="8"/>
  <c r="J609" i="8" s="1"/>
  <c r="I610" i="8"/>
  <c r="J610" i="8" s="1"/>
  <c r="I611" i="8"/>
  <c r="J611" i="8" s="1"/>
  <c r="I612" i="8"/>
  <c r="J612" i="8" s="1"/>
  <c r="I613" i="8"/>
  <c r="J613" i="8" s="1"/>
  <c r="I614" i="8"/>
  <c r="J614" i="8" s="1"/>
  <c r="I615" i="8"/>
  <c r="J615" i="8" s="1"/>
  <c r="I616" i="8"/>
  <c r="J616" i="8" s="1"/>
  <c r="I617" i="8"/>
  <c r="J617" i="8" s="1"/>
  <c r="I618" i="8"/>
  <c r="J618" i="8" s="1"/>
  <c r="I619" i="8"/>
  <c r="J619" i="8" s="1"/>
  <c r="I620" i="8"/>
  <c r="J620" i="8" s="1"/>
  <c r="I621" i="8"/>
  <c r="J621" i="8" s="1"/>
  <c r="I622" i="8"/>
  <c r="J622" i="8" s="1"/>
  <c r="I623" i="8"/>
  <c r="J623" i="8" s="1"/>
  <c r="I624" i="8"/>
  <c r="J624" i="8" s="1"/>
  <c r="I625" i="8"/>
  <c r="J625" i="8" s="1"/>
  <c r="I626" i="8"/>
  <c r="J626" i="8" s="1"/>
  <c r="I627" i="8"/>
  <c r="J627" i="8" s="1"/>
  <c r="I628" i="8"/>
  <c r="J628" i="8" s="1"/>
  <c r="I629" i="8"/>
  <c r="J629" i="8" s="1"/>
  <c r="I630" i="8"/>
  <c r="J630" i="8" s="1"/>
  <c r="I631" i="8"/>
  <c r="J631" i="8" s="1"/>
  <c r="I632" i="8"/>
  <c r="J632" i="8" s="1"/>
  <c r="I633" i="8"/>
  <c r="J633" i="8" s="1"/>
  <c r="I634" i="8"/>
  <c r="J634" i="8" s="1"/>
  <c r="I635" i="8"/>
  <c r="J635" i="8" s="1"/>
  <c r="I636" i="8"/>
  <c r="J636" i="8" s="1"/>
  <c r="I637" i="8"/>
  <c r="J637" i="8" s="1"/>
  <c r="I638" i="8"/>
  <c r="J638" i="8" s="1"/>
  <c r="I639" i="8"/>
  <c r="J639" i="8" s="1"/>
  <c r="I640" i="8"/>
  <c r="J640" i="8" s="1"/>
  <c r="I641" i="8"/>
  <c r="J641" i="8" s="1"/>
  <c r="I642" i="8"/>
  <c r="J642" i="8" s="1"/>
  <c r="I643" i="8"/>
  <c r="J643" i="8" s="1"/>
  <c r="I644" i="8"/>
  <c r="J644" i="8" s="1"/>
  <c r="I645" i="8"/>
  <c r="J645" i="8" s="1"/>
  <c r="I646" i="8"/>
  <c r="J646" i="8" s="1"/>
  <c r="I647" i="8"/>
  <c r="J647" i="8" s="1"/>
  <c r="I648" i="8"/>
  <c r="J648" i="8" s="1"/>
  <c r="I649" i="8"/>
  <c r="J649" i="8" s="1"/>
  <c r="I650" i="8"/>
  <c r="J650" i="8" s="1"/>
  <c r="I651" i="8"/>
  <c r="J651" i="8" s="1"/>
  <c r="I652" i="8"/>
  <c r="J652" i="8" s="1"/>
  <c r="I653" i="8"/>
  <c r="J653" i="8" s="1"/>
  <c r="I654" i="8"/>
  <c r="J654" i="8" s="1"/>
  <c r="I655" i="8"/>
  <c r="J655" i="8" s="1"/>
  <c r="I656" i="8"/>
  <c r="J656" i="8" s="1"/>
  <c r="I657" i="8"/>
  <c r="J657" i="8" s="1"/>
  <c r="I658" i="8"/>
  <c r="J658" i="8" s="1"/>
  <c r="I659" i="8"/>
  <c r="J659" i="8" s="1"/>
  <c r="I660" i="8"/>
  <c r="J660" i="8" s="1"/>
  <c r="I661" i="8"/>
  <c r="J661" i="8" s="1"/>
  <c r="I662" i="8"/>
  <c r="J662" i="8" s="1"/>
  <c r="I663" i="8"/>
  <c r="J663" i="8" s="1"/>
  <c r="I664" i="8"/>
  <c r="J664" i="8" s="1"/>
  <c r="I665" i="8"/>
  <c r="J665" i="8" s="1"/>
  <c r="I666" i="8"/>
  <c r="J666" i="8" s="1"/>
  <c r="I667" i="8"/>
  <c r="J667" i="8" s="1"/>
  <c r="I668" i="8"/>
  <c r="J668" i="8" s="1"/>
  <c r="I669" i="8"/>
  <c r="J669" i="8" s="1"/>
  <c r="I670" i="8"/>
  <c r="J670" i="8" s="1"/>
  <c r="I671" i="8"/>
  <c r="J671" i="8" s="1"/>
  <c r="I672" i="8"/>
  <c r="J672" i="8" s="1"/>
  <c r="I673" i="8"/>
  <c r="J673" i="8" s="1"/>
  <c r="I674" i="8"/>
  <c r="J674" i="8" s="1"/>
  <c r="I675" i="8"/>
  <c r="J675" i="8" s="1"/>
  <c r="I676" i="8"/>
  <c r="J676" i="8" s="1"/>
  <c r="I677" i="8"/>
  <c r="J677" i="8" s="1"/>
  <c r="I678" i="8"/>
  <c r="J678" i="8" s="1"/>
  <c r="I679" i="8"/>
  <c r="J679" i="8" s="1"/>
  <c r="I680" i="8"/>
  <c r="J680" i="8" s="1"/>
  <c r="I681" i="8"/>
  <c r="J681" i="8" s="1"/>
  <c r="I682" i="8"/>
  <c r="J682" i="8" s="1"/>
  <c r="I683" i="8"/>
  <c r="J683" i="8" s="1"/>
  <c r="I684" i="8"/>
  <c r="J684" i="8" s="1"/>
  <c r="I685" i="8"/>
  <c r="J685" i="8" s="1"/>
  <c r="I686" i="8"/>
  <c r="J686" i="8" s="1"/>
  <c r="I687" i="8"/>
  <c r="J687" i="8" s="1"/>
  <c r="I688" i="8"/>
  <c r="J688" i="8" s="1"/>
  <c r="I689" i="8"/>
  <c r="J689" i="8" s="1"/>
  <c r="I690" i="8"/>
  <c r="J690" i="8" s="1"/>
  <c r="I691" i="8"/>
  <c r="J691" i="8" s="1"/>
  <c r="I692" i="8"/>
  <c r="J692" i="8" s="1"/>
  <c r="I693" i="8"/>
  <c r="J693" i="8" s="1"/>
  <c r="I694" i="8"/>
  <c r="J694" i="8" s="1"/>
  <c r="I695" i="8"/>
  <c r="J695" i="8" s="1"/>
  <c r="I696" i="8"/>
  <c r="J696" i="8" s="1"/>
  <c r="I697" i="8"/>
  <c r="J697" i="8" s="1"/>
  <c r="I698" i="8"/>
  <c r="J698" i="8" s="1"/>
  <c r="I699" i="8"/>
  <c r="J699" i="8" s="1"/>
  <c r="I700" i="8"/>
  <c r="J700" i="8" s="1"/>
  <c r="I701" i="8"/>
  <c r="J701" i="8" s="1"/>
  <c r="I702" i="8"/>
  <c r="J702" i="8" s="1"/>
  <c r="I703" i="8"/>
  <c r="J703" i="8" s="1"/>
  <c r="I704" i="8"/>
  <c r="J704" i="8" s="1"/>
  <c r="I705" i="8"/>
  <c r="J705" i="8" s="1"/>
  <c r="I706" i="8"/>
  <c r="J706" i="8" s="1"/>
  <c r="I707" i="8"/>
  <c r="J707" i="8" s="1"/>
  <c r="I708" i="8"/>
  <c r="J708" i="8" s="1"/>
  <c r="I709" i="8"/>
  <c r="J709" i="8" s="1"/>
  <c r="I710" i="8"/>
  <c r="J710" i="8" s="1"/>
  <c r="I711" i="8"/>
  <c r="J711" i="8" s="1"/>
  <c r="I712" i="8"/>
  <c r="J712" i="8" s="1"/>
  <c r="I713" i="8"/>
  <c r="J713" i="8" s="1"/>
  <c r="I714" i="8"/>
  <c r="J714" i="8" s="1"/>
  <c r="I715" i="8"/>
  <c r="J715" i="8" s="1"/>
  <c r="I716" i="8"/>
  <c r="J716" i="8" s="1"/>
  <c r="I717" i="8"/>
  <c r="J717" i="8" s="1"/>
  <c r="I718" i="8"/>
  <c r="J718" i="8" s="1"/>
  <c r="I719" i="8"/>
  <c r="J719" i="8" s="1"/>
  <c r="I720" i="8"/>
  <c r="J720" i="8" s="1"/>
  <c r="I721" i="8"/>
  <c r="J721" i="8" s="1"/>
  <c r="I722" i="8"/>
  <c r="J722" i="8" s="1"/>
  <c r="I723" i="8"/>
  <c r="J723" i="8" s="1"/>
  <c r="I724" i="8"/>
  <c r="J724" i="8" s="1"/>
  <c r="I725" i="8"/>
  <c r="J725" i="8" s="1"/>
  <c r="I726" i="8"/>
  <c r="J726" i="8" s="1"/>
  <c r="I727" i="8"/>
  <c r="J727" i="8" s="1"/>
  <c r="I728" i="8"/>
  <c r="J728" i="8" s="1"/>
  <c r="I729" i="8"/>
  <c r="J729" i="8" s="1"/>
  <c r="I730" i="8"/>
  <c r="J730" i="8" s="1"/>
  <c r="I731" i="8"/>
  <c r="J731" i="8" s="1"/>
  <c r="I732" i="8"/>
  <c r="J732" i="8" s="1"/>
  <c r="I733" i="8"/>
  <c r="J733" i="8" s="1"/>
  <c r="I734" i="8"/>
  <c r="J734" i="8" s="1"/>
  <c r="I735" i="8"/>
  <c r="J735" i="8" s="1"/>
  <c r="I736" i="8"/>
  <c r="J736" i="8" s="1"/>
  <c r="I737" i="8"/>
  <c r="J737" i="8" s="1"/>
  <c r="I738" i="8"/>
  <c r="J738" i="8" s="1"/>
  <c r="I739" i="8"/>
  <c r="J739" i="8" s="1"/>
  <c r="I740" i="8"/>
  <c r="J740" i="8" s="1"/>
  <c r="I741" i="8"/>
  <c r="J741" i="8" s="1"/>
  <c r="I742" i="8"/>
  <c r="J742" i="8" s="1"/>
  <c r="I743" i="8"/>
  <c r="J743" i="8" s="1"/>
  <c r="I744" i="8"/>
  <c r="J744" i="8" s="1"/>
  <c r="I745" i="8"/>
  <c r="J745" i="8" s="1"/>
  <c r="I746" i="8"/>
  <c r="J746" i="8" s="1"/>
  <c r="I747" i="8"/>
  <c r="J747" i="8" s="1"/>
  <c r="I748" i="8"/>
  <c r="J748" i="8" s="1"/>
  <c r="I749" i="8"/>
  <c r="J749" i="8" s="1"/>
  <c r="I750" i="8"/>
  <c r="J750" i="8" s="1"/>
  <c r="I751" i="8"/>
  <c r="J751" i="8" s="1"/>
  <c r="I752" i="8"/>
  <c r="J752" i="8" s="1"/>
  <c r="I753" i="8"/>
  <c r="J753" i="8" s="1"/>
  <c r="I754" i="8"/>
  <c r="J754" i="8" s="1"/>
  <c r="I755" i="8"/>
  <c r="J755" i="8" s="1"/>
  <c r="I756" i="8"/>
  <c r="J756" i="8" s="1"/>
  <c r="I757" i="8"/>
  <c r="J757" i="8" s="1"/>
  <c r="I758" i="8"/>
  <c r="J758" i="8" s="1"/>
  <c r="I759" i="8"/>
  <c r="J759" i="8" s="1"/>
  <c r="I760" i="8"/>
  <c r="J760" i="8" s="1"/>
  <c r="I761" i="8"/>
  <c r="J761" i="8" s="1"/>
  <c r="I762" i="8"/>
  <c r="J762" i="8" s="1"/>
  <c r="I763" i="8"/>
  <c r="J763" i="8" s="1"/>
  <c r="I764" i="8"/>
  <c r="J764" i="8" s="1"/>
  <c r="I765" i="8"/>
  <c r="J765" i="8" s="1"/>
  <c r="I766" i="8"/>
  <c r="J766" i="8" s="1"/>
  <c r="I767" i="8"/>
  <c r="J767" i="8" s="1"/>
  <c r="I768" i="8"/>
  <c r="J768" i="8" s="1"/>
  <c r="I769" i="8"/>
  <c r="J769" i="8" s="1"/>
  <c r="I770" i="8"/>
  <c r="J770" i="8" s="1"/>
  <c r="I771" i="8"/>
  <c r="J771" i="8" s="1"/>
  <c r="I772" i="8"/>
  <c r="J772" i="8" s="1"/>
  <c r="I773" i="8"/>
  <c r="J773" i="8" s="1"/>
  <c r="I5" i="8"/>
  <c r="J5" i="8" s="1"/>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5" i="8"/>
  <c r="E190" i="7"/>
  <c r="E191" i="7"/>
  <c r="E192" i="7"/>
  <c r="F190" i="7"/>
  <c r="F191" i="7"/>
  <c r="F192" i="7"/>
  <c r="J190" i="7"/>
  <c r="J191" i="7"/>
  <c r="J192" i="7"/>
  <c r="K192" i="7" s="1"/>
  <c r="K190" i="7"/>
  <c r="K191"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K183" i="7" s="1"/>
  <c r="J184" i="7"/>
  <c r="K184" i="7" s="1"/>
  <c r="J185" i="7"/>
  <c r="J186" i="7"/>
  <c r="J187" i="7"/>
  <c r="J188" i="7"/>
  <c r="J189"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5" i="7"/>
  <c r="K186" i="7"/>
  <c r="K187" i="7"/>
  <c r="K188" i="7"/>
  <c r="K189" i="7"/>
  <c r="H2000" i="9"/>
  <c r="I2000" i="9" s="1"/>
  <c r="G2000" i="9"/>
  <c r="B2000" i="9"/>
  <c r="A2000" i="9"/>
  <c r="H1999" i="9"/>
  <c r="I1999" i="9" s="1"/>
  <c r="G1999" i="9"/>
  <c r="B1999" i="9"/>
  <c r="A1999" i="9"/>
  <c r="H1998" i="9"/>
  <c r="I1998" i="9" s="1"/>
  <c r="G1998" i="9"/>
  <c r="B1998" i="9"/>
  <c r="A1998" i="9"/>
  <c r="H1997" i="9"/>
  <c r="I1997" i="9" s="1"/>
  <c r="G1997" i="9"/>
  <c r="B1997" i="9"/>
  <c r="A1997" i="9"/>
  <c r="H1996" i="9"/>
  <c r="I1996" i="9" s="1"/>
  <c r="G1996" i="9"/>
  <c r="B1996" i="9"/>
  <c r="A1996" i="9"/>
  <c r="H1995" i="9"/>
  <c r="I1995" i="9" s="1"/>
  <c r="G1995" i="9"/>
  <c r="B1995" i="9"/>
  <c r="A1995" i="9"/>
  <c r="H1994" i="9"/>
  <c r="I1994" i="9" s="1"/>
  <c r="G1994" i="9"/>
  <c r="B1994" i="9"/>
  <c r="A1994" i="9"/>
  <c r="H1993" i="9"/>
  <c r="I1993" i="9" s="1"/>
  <c r="G1993" i="9"/>
  <c r="B1993" i="9"/>
  <c r="A1993" i="9"/>
  <c r="H1992" i="9"/>
  <c r="I1992" i="9" s="1"/>
  <c r="G1992" i="9"/>
  <c r="B1992" i="9"/>
  <c r="A1992" i="9"/>
  <c r="H1991" i="9"/>
  <c r="I1991" i="9" s="1"/>
  <c r="G1991" i="9"/>
  <c r="B1991" i="9"/>
  <c r="A1991" i="9"/>
  <c r="H1990" i="9"/>
  <c r="I1990" i="9" s="1"/>
  <c r="G1990" i="9"/>
  <c r="B1990" i="9"/>
  <c r="A1990" i="9"/>
  <c r="H1989" i="9"/>
  <c r="I1989" i="9" s="1"/>
  <c r="G1989" i="9"/>
  <c r="B1989" i="9"/>
  <c r="A1989" i="9"/>
  <c r="H1988" i="9"/>
  <c r="I1988" i="9" s="1"/>
  <c r="G1988" i="9"/>
  <c r="B1988" i="9"/>
  <c r="A1988" i="9"/>
  <c r="H1987" i="9"/>
  <c r="I1987" i="9" s="1"/>
  <c r="G1987" i="9"/>
  <c r="B1987" i="9"/>
  <c r="A1987" i="9"/>
  <c r="H1986" i="9"/>
  <c r="I1986" i="9" s="1"/>
  <c r="G1986" i="9"/>
  <c r="B1986" i="9"/>
  <c r="A1986" i="9"/>
  <c r="H1985" i="9"/>
  <c r="I1985" i="9" s="1"/>
  <c r="G1985" i="9"/>
  <c r="B1985" i="9"/>
  <c r="A1985" i="9"/>
  <c r="H1984" i="9"/>
  <c r="I1984" i="9" s="1"/>
  <c r="G1984" i="9"/>
  <c r="B1984" i="9"/>
  <c r="A1984" i="9"/>
  <c r="H1983" i="9"/>
  <c r="I1983" i="9" s="1"/>
  <c r="G1983" i="9"/>
  <c r="B1983" i="9"/>
  <c r="A1983" i="9"/>
  <c r="H1982" i="9"/>
  <c r="I1982" i="9" s="1"/>
  <c r="G1982" i="9"/>
  <c r="B1982" i="9"/>
  <c r="A1982" i="9"/>
  <c r="H1981" i="9"/>
  <c r="I1981" i="9" s="1"/>
  <c r="G1981" i="9"/>
  <c r="B1981" i="9"/>
  <c r="A1981" i="9"/>
  <c r="H1980" i="9"/>
  <c r="I1980" i="9" s="1"/>
  <c r="G1980" i="9"/>
  <c r="B1980" i="9"/>
  <c r="A1980" i="9"/>
  <c r="H1979" i="9"/>
  <c r="I1979" i="9" s="1"/>
  <c r="G1979" i="9"/>
  <c r="B1979" i="9"/>
  <c r="A1979" i="9"/>
  <c r="H1978" i="9"/>
  <c r="I1978" i="9" s="1"/>
  <c r="G1978" i="9"/>
  <c r="B1978" i="9"/>
  <c r="A1978" i="9"/>
  <c r="H1977" i="9"/>
  <c r="I1977" i="9" s="1"/>
  <c r="G1977" i="9"/>
  <c r="B1977" i="9"/>
  <c r="A1977" i="9"/>
  <c r="H1976" i="9"/>
  <c r="I1976" i="9" s="1"/>
  <c r="G1976" i="9"/>
  <c r="B1976" i="9"/>
  <c r="A1976" i="9"/>
  <c r="H1975" i="9"/>
  <c r="I1975" i="9" s="1"/>
  <c r="G1975" i="9"/>
  <c r="B1975" i="9"/>
  <c r="A1975" i="9"/>
  <c r="H1974" i="9"/>
  <c r="I1974" i="9" s="1"/>
  <c r="G1974" i="9"/>
  <c r="B1974" i="9"/>
  <c r="A1974" i="9"/>
  <c r="H1973" i="9"/>
  <c r="I1973" i="9" s="1"/>
  <c r="G1973" i="9"/>
  <c r="B1973" i="9"/>
  <c r="A1973" i="9"/>
  <c r="H1972" i="9"/>
  <c r="I1972" i="9" s="1"/>
  <c r="G1972" i="9"/>
  <c r="B1972" i="9"/>
  <c r="A1972" i="9"/>
  <c r="H1971" i="9"/>
  <c r="I1971" i="9" s="1"/>
  <c r="G1971" i="9"/>
  <c r="B1971" i="9"/>
  <c r="A1971" i="9"/>
  <c r="H1970" i="9"/>
  <c r="I1970" i="9" s="1"/>
  <c r="G1970" i="9"/>
  <c r="B1970" i="9"/>
  <c r="A1970" i="9"/>
  <c r="H1969" i="9"/>
  <c r="I1969" i="9" s="1"/>
  <c r="G1969" i="9"/>
  <c r="B1969" i="9"/>
  <c r="A1969" i="9"/>
  <c r="H1968" i="9"/>
  <c r="I1968" i="9" s="1"/>
  <c r="G1968" i="9"/>
  <c r="B1968" i="9"/>
  <c r="A1968" i="9"/>
  <c r="H1967" i="9"/>
  <c r="I1967" i="9" s="1"/>
  <c r="G1967" i="9"/>
  <c r="B1967" i="9"/>
  <c r="A1967" i="9"/>
  <c r="H1966" i="9"/>
  <c r="I1966" i="9" s="1"/>
  <c r="G1966" i="9"/>
  <c r="B1966" i="9"/>
  <c r="A1966" i="9"/>
  <c r="H1965" i="9"/>
  <c r="I1965" i="9" s="1"/>
  <c r="G1965" i="9"/>
  <c r="B1965" i="9"/>
  <c r="A1965" i="9"/>
  <c r="H1964" i="9"/>
  <c r="I1964" i="9" s="1"/>
  <c r="G1964" i="9"/>
  <c r="B1964" i="9"/>
  <c r="A1964" i="9"/>
  <c r="H1963" i="9"/>
  <c r="I1963" i="9" s="1"/>
  <c r="G1963" i="9"/>
  <c r="B1963" i="9"/>
  <c r="A1963" i="9"/>
  <c r="H1962" i="9"/>
  <c r="I1962" i="9" s="1"/>
  <c r="G1962" i="9"/>
  <c r="B1962" i="9"/>
  <c r="A1962" i="9"/>
  <c r="H1961" i="9"/>
  <c r="I1961" i="9" s="1"/>
  <c r="G1961" i="9"/>
  <c r="B1961" i="9"/>
  <c r="A1961" i="9"/>
  <c r="H1960" i="9"/>
  <c r="I1960" i="9" s="1"/>
  <c r="G1960" i="9"/>
  <c r="B1960" i="9"/>
  <c r="A1960" i="9"/>
  <c r="H1959" i="9"/>
  <c r="I1959" i="9" s="1"/>
  <c r="G1959" i="9"/>
  <c r="B1959" i="9"/>
  <c r="A1959" i="9"/>
  <c r="H1958" i="9"/>
  <c r="I1958" i="9" s="1"/>
  <c r="G1958" i="9"/>
  <c r="B1958" i="9"/>
  <c r="A1958" i="9"/>
  <c r="H1957" i="9"/>
  <c r="I1957" i="9" s="1"/>
  <c r="G1957" i="9"/>
  <c r="B1957" i="9"/>
  <c r="A1957" i="9"/>
  <c r="H1956" i="9"/>
  <c r="I1956" i="9" s="1"/>
  <c r="G1956" i="9"/>
  <c r="B1956" i="9"/>
  <c r="A1956" i="9"/>
  <c r="H1955" i="9"/>
  <c r="I1955" i="9" s="1"/>
  <c r="G1955" i="9"/>
  <c r="B1955" i="9"/>
  <c r="A1955" i="9"/>
  <c r="H1954" i="9"/>
  <c r="I1954" i="9" s="1"/>
  <c r="G1954" i="9"/>
  <c r="B1954" i="9"/>
  <c r="A1954" i="9"/>
  <c r="H1953" i="9"/>
  <c r="I1953" i="9" s="1"/>
  <c r="G1953" i="9"/>
  <c r="B1953" i="9"/>
  <c r="A1953" i="9"/>
  <c r="H1952" i="9"/>
  <c r="I1952" i="9" s="1"/>
  <c r="G1952" i="9"/>
  <c r="B1952" i="9"/>
  <c r="A1952" i="9"/>
  <c r="H1951" i="9"/>
  <c r="I1951" i="9" s="1"/>
  <c r="G1951" i="9"/>
  <c r="B1951" i="9"/>
  <c r="A1951" i="9"/>
  <c r="H1950" i="9"/>
  <c r="I1950" i="9" s="1"/>
  <c r="G1950" i="9"/>
  <c r="B1950" i="9"/>
  <c r="A1950" i="9"/>
  <c r="H1949" i="9"/>
  <c r="I1949" i="9" s="1"/>
  <c r="G1949" i="9"/>
  <c r="B1949" i="9"/>
  <c r="A1949" i="9"/>
  <c r="H1948" i="9"/>
  <c r="I1948" i="9" s="1"/>
  <c r="G1948" i="9"/>
  <c r="B1948" i="9"/>
  <c r="A1948" i="9"/>
  <c r="K1948" i="9" s="1"/>
  <c r="H1947" i="9"/>
  <c r="I1947" i="9" s="1"/>
  <c r="G1947" i="9"/>
  <c r="B1947" i="9"/>
  <c r="A1947" i="9"/>
  <c r="H1946" i="9"/>
  <c r="I1946" i="9" s="1"/>
  <c r="G1946" i="9"/>
  <c r="B1946" i="9"/>
  <c r="A1946" i="9"/>
  <c r="H1945" i="9"/>
  <c r="I1945" i="9" s="1"/>
  <c r="G1945" i="9"/>
  <c r="B1945" i="9"/>
  <c r="A1945" i="9"/>
  <c r="H1944" i="9"/>
  <c r="I1944" i="9" s="1"/>
  <c r="G1944" i="9"/>
  <c r="B1944" i="9"/>
  <c r="A1944" i="9"/>
  <c r="H1943" i="9"/>
  <c r="I1943" i="9" s="1"/>
  <c r="G1943" i="9"/>
  <c r="B1943" i="9"/>
  <c r="A1943" i="9"/>
  <c r="H1942" i="9"/>
  <c r="I1942" i="9" s="1"/>
  <c r="G1942" i="9"/>
  <c r="B1942" i="9"/>
  <c r="A1942" i="9"/>
  <c r="H1941" i="9"/>
  <c r="I1941" i="9" s="1"/>
  <c r="G1941" i="9"/>
  <c r="B1941" i="9"/>
  <c r="A1941" i="9"/>
  <c r="H1940" i="9"/>
  <c r="I1940" i="9" s="1"/>
  <c r="G1940" i="9"/>
  <c r="B1940" i="9"/>
  <c r="A1940" i="9"/>
  <c r="H1939" i="9"/>
  <c r="I1939" i="9" s="1"/>
  <c r="G1939" i="9"/>
  <c r="B1939" i="9"/>
  <c r="A1939" i="9"/>
  <c r="H1938" i="9"/>
  <c r="I1938" i="9" s="1"/>
  <c r="G1938" i="9"/>
  <c r="B1938" i="9"/>
  <c r="A1938" i="9"/>
  <c r="H1937" i="9"/>
  <c r="I1937" i="9" s="1"/>
  <c r="G1937" i="9"/>
  <c r="B1937" i="9"/>
  <c r="A1937" i="9"/>
  <c r="H1936" i="9"/>
  <c r="I1936" i="9" s="1"/>
  <c r="G1936" i="9"/>
  <c r="B1936" i="9"/>
  <c r="A1936" i="9"/>
  <c r="H1935" i="9"/>
  <c r="I1935" i="9" s="1"/>
  <c r="G1935" i="9"/>
  <c r="B1935" i="9"/>
  <c r="A1935" i="9"/>
  <c r="H1934" i="9"/>
  <c r="I1934" i="9" s="1"/>
  <c r="G1934" i="9"/>
  <c r="B1934" i="9"/>
  <c r="A1934" i="9"/>
  <c r="H1933" i="9"/>
  <c r="I1933" i="9" s="1"/>
  <c r="G1933" i="9"/>
  <c r="B1933" i="9"/>
  <c r="A1933" i="9"/>
  <c r="H1932" i="9"/>
  <c r="I1932" i="9" s="1"/>
  <c r="G1932" i="9"/>
  <c r="B1932" i="9"/>
  <c r="A1932" i="9"/>
  <c r="H1931" i="9"/>
  <c r="I1931" i="9" s="1"/>
  <c r="G1931" i="9"/>
  <c r="B1931" i="9"/>
  <c r="A1931" i="9"/>
  <c r="H1930" i="9"/>
  <c r="I1930" i="9" s="1"/>
  <c r="G1930" i="9"/>
  <c r="B1930" i="9"/>
  <c r="A1930" i="9"/>
  <c r="H1929" i="9"/>
  <c r="I1929" i="9" s="1"/>
  <c r="G1929" i="9"/>
  <c r="B1929" i="9"/>
  <c r="A1929" i="9"/>
  <c r="H1928" i="9"/>
  <c r="I1928" i="9" s="1"/>
  <c r="G1928" i="9"/>
  <c r="B1928" i="9"/>
  <c r="A1928" i="9"/>
  <c r="H1927" i="9"/>
  <c r="I1927" i="9" s="1"/>
  <c r="G1927" i="9"/>
  <c r="B1927" i="9"/>
  <c r="A1927" i="9"/>
  <c r="H1926" i="9"/>
  <c r="I1926" i="9" s="1"/>
  <c r="G1926" i="9"/>
  <c r="B1926" i="9"/>
  <c r="A1926" i="9"/>
  <c r="H1925" i="9"/>
  <c r="I1925" i="9" s="1"/>
  <c r="G1925" i="9"/>
  <c r="B1925" i="9"/>
  <c r="A1925" i="9"/>
  <c r="H1924" i="9"/>
  <c r="I1924" i="9" s="1"/>
  <c r="G1924" i="9"/>
  <c r="B1924" i="9"/>
  <c r="A1924" i="9"/>
  <c r="H1923" i="9"/>
  <c r="I1923" i="9" s="1"/>
  <c r="G1923" i="9"/>
  <c r="B1923" i="9"/>
  <c r="A1923" i="9"/>
  <c r="H1922" i="9"/>
  <c r="I1922" i="9" s="1"/>
  <c r="G1922" i="9"/>
  <c r="B1922" i="9"/>
  <c r="A1922" i="9"/>
  <c r="H1921" i="9"/>
  <c r="I1921" i="9" s="1"/>
  <c r="G1921" i="9"/>
  <c r="B1921" i="9"/>
  <c r="A1921" i="9"/>
  <c r="H1920" i="9"/>
  <c r="I1920" i="9" s="1"/>
  <c r="G1920" i="9"/>
  <c r="B1920" i="9"/>
  <c r="A1920" i="9"/>
  <c r="H1919" i="9"/>
  <c r="I1919" i="9" s="1"/>
  <c r="G1919" i="9"/>
  <c r="B1919" i="9"/>
  <c r="A1919" i="9"/>
  <c r="H1918" i="9"/>
  <c r="I1918" i="9" s="1"/>
  <c r="G1918" i="9"/>
  <c r="B1918" i="9"/>
  <c r="A1918" i="9"/>
  <c r="H1917" i="9"/>
  <c r="I1917" i="9" s="1"/>
  <c r="G1917" i="9"/>
  <c r="B1917" i="9"/>
  <c r="A1917" i="9"/>
  <c r="H1916" i="9"/>
  <c r="I1916" i="9" s="1"/>
  <c r="G1916" i="9"/>
  <c r="B1916" i="9"/>
  <c r="A1916" i="9"/>
  <c r="H1915" i="9"/>
  <c r="I1915" i="9" s="1"/>
  <c r="G1915" i="9"/>
  <c r="B1915" i="9"/>
  <c r="A1915" i="9"/>
  <c r="H1914" i="9"/>
  <c r="I1914" i="9" s="1"/>
  <c r="G1914" i="9"/>
  <c r="B1914" i="9"/>
  <c r="A1914" i="9"/>
  <c r="H1913" i="9"/>
  <c r="I1913" i="9" s="1"/>
  <c r="G1913" i="9"/>
  <c r="B1913" i="9"/>
  <c r="A1913" i="9"/>
  <c r="H1912" i="9"/>
  <c r="I1912" i="9" s="1"/>
  <c r="G1912" i="9"/>
  <c r="B1912" i="9"/>
  <c r="A1912" i="9"/>
  <c r="H1911" i="9"/>
  <c r="I1911" i="9" s="1"/>
  <c r="G1911" i="9"/>
  <c r="B1911" i="9"/>
  <c r="A1911" i="9"/>
  <c r="H1910" i="9"/>
  <c r="I1910" i="9" s="1"/>
  <c r="G1910" i="9"/>
  <c r="B1910" i="9"/>
  <c r="A1910" i="9"/>
  <c r="H1909" i="9"/>
  <c r="I1909" i="9" s="1"/>
  <c r="G1909" i="9"/>
  <c r="B1909" i="9"/>
  <c r="A1909" i="9"/>
  <c r="L1909" i="9" s="1"/>
  <c r="H1908" i="9"/>
  <c r="I1908" i="9" s="1"/>
  <c r="G1908" i="9"/>
  <c r="B1908" i="9"/>
  <c r="A1908" i="9"/>
  <c r="H1907" i="9"/>
  <c r="I1907" i="9" s="1"/>
  <c r="G1907" i="9"/>
  <c r="B1907" i="9"/>
  <c r="A1907" i="9"/>
  <c r="H1906" i="9"/>
  <c r="I1906" i="9" s="1"/>
  <c r="G1906" i="9"/>
  <c r="B1906" i="9"/>
  <c r="A1906" i="9"/>
  <c r="H1905" i="9"/>
  <c r="I1905" i="9" s="1"/>
  <c r="G1905" i="9"/>
  <c r="B1905" i="9"/>
  <c r="A1905" i="9"/>
  <c r="H1904" i="9"/>
  <c r="I1904" i="9" s="1"/>
  <c r="G1904" i="9"/>
  <c r="B1904" i="9"/>
  <c r="A1904" i="9"/>
  <c r="H1903" i="9"/>
  <c r="I1903" i="9" s="1"/>
  <c r="G1903" i="9"/>
  <c r="B1903" i="9"/>
  <c r="A1903" i="9"/>
  <c r="H1902" i="9"/>
  <c r="I1902" i="9" s="1"/>
  <c r="G1902" i="9"/>
  <c r="B1902" i="9"/>
  <c r="A1902" i="9"/>
  <c r="H1901" i="9"/>
  <c r="I1901" i="9" s="1"/>
  <c r="G1901" i="9"/>
  <c r="B1901" i="9"/>
  <c r="A1901" i="9"/>
  <c r="H1900" i="9"/>
  <c r="I1900" i="9" s="1"/>
  <c r="G1900" i="9"/>
  <c r="B1900" i="9"/>
  <c r="A1900" i="9"/>
  <c r="H1899" i="9"/>
  <c r="I1899" i="9" s="1"/>
  <c r="G1899" i="9"/>
  <c r="B1899" i="9"/>
  <c r="A1899" i="9"/>
  <c r="H1898" i="9"/>
  <c r="I1898" i="9" s="1"/>
  <c r="G1898" i="9"/>
  <c r="B1898" i="9"/>
  <c r="A1898" i="9"/>
  <c r="H1897" i="9"/>
  <c r="I1897" i="9" s="1"/>
  <c r="G1897" i="9"/>
  <c r="B1897" i="9"/>
  <c r="A1897" i="9"/>
  <c r="H1896" i="9"/>
  <c r="I1896" i="9" s="1"/>
  <c r="G1896" i="9"/>
  <c r="B1896" i="9"/>
  <c r="A1896" i="9"/>
  <c r="H1895" i="9"/>
  <c r="I1895" i="9" s="1"/>
  <c r="G1895" i="9"/>
  <c r="B1895" i="9"/>
  <c r="A1895" i="9"/>
  <c r="H1894" i="9"/>
  <c r="I1894" i="9" s="1"/>
  <c r="G1894" i="9"/>
  <c r="B1894" i="9"/>
  <c r="A1894" i="9"/>
  <c r="H1893" i="9"/>
  <c r="I1893" i="9" s="1"/>
  <c r="G1893" i="9"/>
  <c r="B1893" i="9"/>
  <c r="A1893" i="9"/>
  <c r="H1892" i="9"/>
  <c r="I1892" i="9" s="1"/>
  <c r="G1892" i="9"/>
  <c r="B1892" i="9"/>
  <c r="A1892" i="9"/>
  <c r="H1891" i="9"/>
  <c r="I1891" i="9" s="1"/>
  <c r="G1891" i="9"/>
  <c r="B1891" i="9"/>
  <c r="A1891" i="9"/>
  <c r="H1890" i="9"/>
  <c r="I1890" i="9" s="1"/>
  <c r="G1890" i="9"/>
  <c r="B1890" i="9"/>
  <c r="A1890" i="9"/>
  <c r="H1889" i="9"/>
  <c r="I1889" i="9" s="1"/>
  <c r="G1889" i="9"/>
  <c r="B1889" i="9"/>
  <c r="A1889" i="9"/>
  <c r="H1888" i="9"/>
  <c r="I1888" i="9" s="1"/>
  <c r="G1888" i="9"/>
  <c r="B1888" i="9"/>
  <c r="A1888" i="9"/>
  <c r="H1887" i="9"/>
  <c r="I1887" i="9" s="1"/>
  <c r="G1887" i="9"/>
  <c r="B1887" i="9"/>
  <c r="A1887" i="9"/>
  <c r="H1886" i="9"/>
  <c r="I1886" i="9" s="1"/>
  <c r="G1886" i="9"/>
  <c r="B1886" i="9"/>
  <c r="A1886" i="9"/>
  <c r="H1885" i="9"/>
  <c r="I1885" i="9" s="1"/>
  <c r="G1885" i="9"/>
  <c r="B1885" i="9"/>
  <c r="A1885" i="9"/>
  <c r="H1884" i="9"/>
  <c r="I1884" i="9" s="1"/>
  <c r="G1884" i="9"/>
  <c r="B1884" i="9"/>
  <c r="A1884" i="9"/>
  <c r="H1883" i="9"/>
  <c r="I1883" i="9" s="1"/>
  <c r="G1883" i="9"/>
  <c r="B1883" i="9"/>
  <c r="A1883" i="9"/>
  <c r="H1882" i="9"/>
  <c r="I1882" i="9" s="1"/>
  <c r="G1882" i="9"/>
  <c r="B1882" i="9"/>
  <c r="A1882" i="9"/>
  <c r="H1881" i="9"/>
  <c r="I1881" i="9" s="1"/>
  <c r="G1881" i="9"/>
  <c r="B1881" i="9"/>
  <c r="A1881" i="9"/>
  <c r="H1880" i="9"/>
  <c r="I1880" i="9" s="1"/>
  <c r="G1880" i="9"/>
  <c r="B1880" i="9"/>
  <c r="A1880" i="9"/>
  <c r="H1879" i="9"/>
  <c r="I1879" i="9" s="1"/>
  <c r="G1879" i="9"/>
  <c r="B1879" i="9"/>
  <c r="A1879" i="9"/>
  <c r="H1878" i="9"/>
  <c r="I1878" i="9" s="1"/>
  <c r="G1878" i="9"/>
  <c r="B1878" i="9"/>
  <c r="A1878" i="9"/>
  <c r="H1877" i="9"/>
  <c r="I1877" i="9" s="1"/>
  <c r="G1877" i="9"/>
  <c r="B1877" i="9"/>
  <c r="A1877" i="9"/>
  <c r="H1876" i="9"/>
  <c r="I1876" i="9" s="1"/>
  <c r="G1876" i="9"/>
  <c r="B1876" i="9"/>
  <c r="A1876" i="9"/>
  <c r="H1875" i="9"/>
  <c r="I1875" i="9" s="1"/>
  <c r="G1875" i="9"/>
  <c r="B1875" i="9"/>
  <c r="A1875" i="9"/>
  <c r="H1874" i="9"/>
  <c r="I1874" i="9" s="1"/>
  <c r="G1874" i="9"/>
  <c r="B1874" i="9"/>
  <c r="A1874" i="9"/>
  <c r="H1873" i="9"/>
  <c r="I1873" i="9" s="1"/>
  <c r="G1873" i="9"/>
  <c r="B1873" i="9"/>
  <c r="A1873" i="9"/>
  <c r="H1872" i="9"/>
  <c r="I1872" i="9" s="1"/>
  <c r="G1872" i="9"/>
  <c r="B1872" i="9"/>
  <c r="A1872" i="9"/>
  <c r="H1871" i="9"/>
  <c r="I1871" i="9" s="1"/>
  <c r="G1871" i="9"/>
  <c r="B1871" i="9"/>
  <c r="A1871" i="9"/>
  <c r="H1870" i="9"/>
  <c r="I1870" i="9" s="1"/>
  <c r="G1870" i="9"/>
  <c r="B1870" i="9"/>
  <c r="A1870" i="9"/>
  <c r="H1869" i="9"/>
  <c r="I1869" i="9" s="1"/>
  <c r="G1869" i="9"/>
  <c r="B1869" i="9"/>
  <c r="A1869" i="9"/>
  <c r="H1868" i="9"/>
  <c r="I1868" i="9" s="1"/>
  <c r="G1868" i="9"/>
  <c r="B1868" i="9"/>
  <c r="A1868" i="9"/>
  <c r="H1867" i="9"/>
  <c r="I1867" i="9" s="1"/>
  <c r="G1867" i="9"/>
  <c r="B1867" i="9"/>
  <c r="A1867" i="9"/>
  <c r="H1866" i="9"/>
  <c r="I1866" i="9" s="1"/>
  <c r="G1866" i="9"/>
  <c r="B1866" i="9"/>
  <c r="A1866" i="9"/>
  <c r="H1865" i="9"/>
  <c r="I1865" i="9" s="1"/>
  <c r="G1865" i="9"/>
  <c r="B1865" i="9"/>
  <c r="A1865" i="9"/>
  <c r="H1864" i="9"/>
  <c r="I1864" i="9" s="1"/>
  <c r="G1864" i="9"/>
  <c r="B1864" i="9"/>
  <c r="A1864" i="9"/>
  <c r="H1863" i="9"/>
  <c r="I1863" i="9" s="1"/>
  <c r="G1863" i="9"/>
  <c r="B1863" i="9"/>
  <c r="A1863" i="9"/>
  <c r="H1862" i="9"/>
  <c r="I1862" i="9" s="1"/>
  <c r="G1862" i="9"/>
  <c r="B1862" i="9"/>
  <c r="A1862" i="9"/>
  <c r="H1861" i="9"/>
  <c r="I1861" i="9" s="1"/>
  <c r="G1861" i="9"/>
  <c r="B1861" i="9"/>
  <c r="A1861" i="9"/>
  <c r="H1860" i="9"/>
  <c r="I1860" i="9" s="1"/>
  <c r="G1860" i="9"/>
  <c r="B1860" i="9"/>
  <c r="A1860" i="9"/>
  <c r="H1859" i="9"/>
  <c r="I1859" i="9" s="1"/>
  <c r="G1859" i="9"/>
  <c r="B1859" i="9"/>
  <c r="A1859" i="9"/>
  <c r="H1858" i="9"/>
  <c r="I1858" i="9" s="1"/>
  <c r="G1858" i="9"/>
  <c r="B1858" i="9"/>
  <c r="A1858" i="9"/>
  <c r="H1857" i="9"/>
  <c r="I1857" i="9" s="1"/>
  <c r="G1857" i="9"/>
  <c r="B1857" i="9"/>
  <c r="A1857" i="9"/>
  <c r="H1856" i="9"/>
  <c r="I1856" i="9" s="1"/>
  <c r="G1856" i="9"/>
  <c r="B1856" i="9"/>
  <c r="A1856" i="9"/>
  <c r="H1855" i="9"/>
  <c r="I1855" i="9" s="1"/>
  <c r="G1855" i="9"/>
  <c r="B1855" i="9"/>
  <c r="A1855" i="9"/>
  <c r="O1855" i="9" s="1"/>
  <c r="H1854" i="9"/>
  <c r="I1854" i="9" s="1"/>
  <c r="G1854" i="9"/>
  <c r="B1854" i="9"/>
  <c r="A1854" i="9"/>
  <c r="H1853" i="9"/>
  <c r="I1853" i="9" s="1"/>
  <c r="G1853" i="9"/>
  <c r="B1853" i="9"/>
  <c r="A1853" i="9"/>
  <c r="H1852" i="9"/>
  <c r="I1852" i="9" s="1"/>
  <c r="G1852" i="9"/>
  <c r="B1852" i="9"/>
  <c r="A1852" i="9"/>
  <c r="H1851" i="9"/>
  <c r="I1851" i="9" s="1"/>
  <c r="G1851" i="9"/>
  <c r="B1851" i="9"/>
  <c r="A1851" i="9"/>
  <c r="H1850" i="9"/>
  <c r="I1850" i="9" s="1"/>
  <c r="G1850" i="9"/>
  <c r="B1850" i="9"/>
  <c r="A1850" i="9"/>
  <c r="H1849" i="9"/>
  <c r="I1849" i="9" s="1"/>
  <c r="G1849" i="9"/>
  <c r="B1849" i="9"/>
  <c r="A1849" i="9"/>
  <c r="H1848" i="9"/>
  <c r="I1848" i="9" s="1"/>
  <c r="G1848" i="9"/>
  <c r="B1848" i="9"/>
  <c r="A1848" i="9"/>
  <c r="H1847" i="9"/>
  <c r="I1847" i="9" s="1"/>
  <c r="G1847" i="9"/>
  <c r="B1847" i="9"/>
  <c r="A1847" i="9"/>
  <c r="H1846" i="9"/>
  <c r="I1846" i="9" s="1"/>
  <c r="G1846" i="9"/>
  <c r="B1846" i="9"/>
  <c r="A1846" i="9"/>
  <c r="H1845" i="9"/>
  <c r="I1845" i="9" s="1"/>
  <c r="G1845" i="9"/>
  <c r="B1845" i="9"/>
  <c r="A1845" i="9"/>
  <c r="H1844" i="9"/>
  <c r="I1844" i="9" s="1"/>
  <c r="G1844" i="9"/>
  <c r="B1844" i="9"/>
  <c r="A1844" i="9"/>
  <c r="H1843" i="9"/>
  <c r="I1843" i="9" s="1"/>
  <c r="G1843" i="9"/>
  <c r="B1843" i="9"/>
  <c r="A1843" i="9"/>
  <c r="H1842" i="9"/>
  <c r="I1842" i="9" s="1"/>
  <c r="G1842" i="9"/>
  <c r="B1842" i="9"/>
  <c r="A1842" i="9"/>
  <c r="H1841" i="9"/>
  <c r="I1841" i="9" s="1"/>
  <c r="G1841" i="9"/>
  <c r="B1841" i="9"/>
  <c r="A1841" i="9"/>
  <c r="H1840" i="9"/>
  <c r="I1840" i="9" s="1"/>
  <c r="G1840" i="9"/>
  <c r="B1840" i="9"/>
  <c r="A1840" i="9"/>
  <c r="H1839" i="9"/>
  <c r="I1839" i="9" s="1"/>
  <c r="G1839" i="9"/>
  <c r="B1839" i="9"/>
  <c r="A1839" i="9"/>
  <c r="H1838" i="9"/>
  <c r="I1838" i="9" s="1"/>
  <c r="G1838" i="9"/>
  <c r="B1838" i="9"/>
  <c r="A1838" i="9"/>
  <c r="H1837" i="9"/>
  <c r="I1837" i="9" s="1"/>
  <c r="G1837" i="9"/>
  <c r="B1837" i="9"/>
  <c r="A1837" i="9"/>
  <c r="H1836" i="9"/>
  <c r="I1836" i="9" s="1"/>
  <c r="G1836" i="9"/>
  <c r="B1836" i="9"/>
  <c r="A1836" i="9"/>
  <c r="H1835" i="9"/>
  <c r="I1835" i="9" s="1"/>
  <c r="G1835" i="9"/>
  <c r="B1835" i="9"/>
  <c r="A1835" i="9"/>
  <c r="D1835" i="9" s="1"/>
  <c r="H1834" i="9"/>
  <c r="I1834" i="9" s="1"/>
  <c r="G1834" i="9"/>
  <c r="B1834" i="9"/>
  <c r="A1834" i="9"/>
  <c r="H1833" i="9"/>
  <c r="I1833" i="9" s="1"/>
  <c r="G1833" i="9"/>
  <c r="B1833" i="9"/>
  <c r="A1833" i="9"/>
  <c r="H1832" i="9"/>
  <c r="I1832" i="9" s="1"/>
  <c r="G1832" i="9"/>
  <c r="B1832" i="9"/>
  <c r="A1832" i="9"/>
  <c r="H1831" i="9"/>
  <c r="I1831" i="9" s="1"/>
  <c r="G1831" i="9"/>
  <c r="B1831" i="9"/>
  <c r="A1831" i="9"/>
  <c r="H1830" i="9"/>
  <c r="I1830" i="9" s="1"/>
  <c r="G1830" i="9"/>
  <c r="B1830" i="9"/>
  <c r="A1830" i="9"/>
  <c r="H1829" i="9"/>
  <c r="I1829" i="9" s="1"/>
  <c r="G1829" i="9"/>
  <c r="B1829" i="9"/>
  <c r="A1829" i="9"/>
  <c r="H1828" i="9"/>
  <c r="I1828" i="9" s="1"/>
  <c r="G1828" i="9"/>
  <c r="B1828" i="9"/>
  <c r="A1828" i="9"/>
  <c r="H1827" i="9"/>
  <c r="I1827" i="9" s="1"/>
  <c r="G1827" i="9"/>
  <c r="B1827" i="9"/>
  <c r="A1827" i="9"/>
  <c r="H1826" i="9"/>
  <c r="I1826" i="9" s="1"/>
  <c r="G1826" i="9"/>
  <c r="B1826" i="9"/>
  <c r="A1826" i="9"/>
  <c r="H1825" i="9"/>
  <c r="I1825" i="9" s="1"/>
  <c r="G1825" i="9"/>
  <c r="B1825" i="9"/>
  <c r="A1825" i="9"/>
  <c r="H1824" i="9"/>
  <c r="I1824" i="9" s="1"/>
  <c r="G1824" i="9"/>
  <c r="B1824" i="9"/>
  <c r="A1824" i="9"/>
  <c r="H1823" i="9"/>
  <c r="I1823" i="9" s="1"/>
  <c r="G1823" i="9"/>
  <c r="B1823" i="9"/>
  <c r="A1823" i="9"/>
  <c r="H1822" i="9"/>
  <c r="I1822" i="9" s="1"/>
  <c r="G1822" i="9"/>
  <c r="B1822" i="9"/>
  <c r="A1822" i="9"/>
  <c r="H1821" i="9"/>
  <c r="I1821" i="9" s="1"/>
  <c r="G1821" i="9"/>
  <c r="B1821" i="9"/>
  <c r="A1821" i="9"/>
  <c r="H1820" i="9"/>
  <c r="I1820" i="9" s="1"/>
  <c r="G1820" i="9"/>
  <c r="B1820" i="9"/>
  <c r="A1820" i="9"/>
  <c r="H1819" i="9"/>
  <c r="I1819" i="9" s="1"/>
  <c r="G1819" i="9"/>
  <c r="B1819" i="9"/>
  <c r="A1819" i="9"/>
  <c r="H1818" i="9"/>
  <c r="I1818" i="9" s="1"/>
  <c r="G1818" i="9"/>
  <c r="B1818" i="9"/>
  <c r="A1818" i="9"/>
  <c r="H1817" i="9"/>
  <c r="I1817" i="9" s="1"/>
  <c r="G1817" i="9"/>
  <c r="B1817" i="9"/>
  <c r="A1817" i="9"/>
  <c r="H1816" i="9"/>
  <c r="I1816" i="9" s="1"/>
  <c r="G1816" i="9"/>
  <c r="B1816" i="9"/>
  <c r="A1816" i="9"/>
  <c r="H1815" i="9"/>
  <c r="I1815" i="9" s="1"/>
  <c r="G1815" i="9"/>
  <c r="B1815" i="9"/>
  <c r="A1815" i="9"/>
  <c r="H1814" i="9"/>
  <c r="I1814" i="9" s="1"/>
  <c r="G1814" i="9"/>
  <c r="B1814" i="9"/>
  <c r="A1814" i="9"/>
  <c r="H1813" i="9"/>
  <c r="I1813" i="9" s="1"/>
  <c r="G1813" i="9"/>
  <c r="B1813" i="9"/>
  <c r="A1813" i="9"/>
  <c r="H1812" i="9"/>
  <c r="I1812" i="9" s="1"/>
  <c r="G1812" i="9"/>
  <c r="B1812" i="9"/>
  <c r="A1812" i="9"/>
  <c r="H1811" i="9"/>
  <c r="I1811" i="9" s="1"/>
  <c r="G1811" i="9"/>
  <c r="B1811" i="9"/>
  <c r="A1811" i="9"/>
  <c r="H1810" i="9"/>
  <c r="I1810" i="9" s="1"/>
  <c r="G1810" i="9"/>
  <c r="B1810" i="9"/>
  <c r="A1810" i="9"/>
  <c r="H1809" i="9"/>
  <c r="I1809" i="9" s="1"/>
  <c r="G1809" i="9"/>
  <c r="B1809" i="9"/>
  <c r="A1809" i="9"/>
  <c r="H1808" i="9"/>
  <c r="I1808" i="9" s="1"/>
  <c r="G1808" i="9"/>
  <c r="B1808" i="9"/>
  <c r="A1808" i="9"/>
  <c r="H1807" i="9"/>
  <c r="I1807" i="9" s="1"/>
  <c r="G1807" i="9"/>
  <c r="B1807" i="9"/>
  <c r="A1807" i="9"/>
  <c r="H1806" i="9"/>
  <c r="I1806" i="9" s="1"/>
  <c r="G1806" i="9"/>
  <c r="B1806" i="9"/>
  <c r="A1806" i="9"/>
  <c r="H1805" i="9"/>
  <c r="I1805" i="9" s="1"/>
  <c r="G1805" i="9"/>
  <c r="B1805" i="9"/>
  <c r="A1805" i="9"/>
  <c r="H1804" i="9"/>
  <c r="I1804" i="9" s="1"/>
  <c r="G1804" i="9"/>
  <c r="B1804" i="9"/>
  <c r="A1804" i="9"/>
  <c r="H1803" i="9"/>
  <c r="I1803" i="9" s="1"/>
  <c r="G1803" i="9"/>
  <c r="B1803" i="9"/>
  <c r="A1803" i="9"/>
  <c r="H1802" i="9"/>
  <c r="I1802" i="9" s="1"/>
  <c r="G1802" i="9"/>
  <c r="B1802" i="9"/>
  <c r="A1802" i="9"/>
  <c r="H1801" i="9"/>
  <c r="I1801" i="9" s="1"/>
  <c r="G1801" i="9"/>
  <c r="B1801" i="9"/>
  <c r="A1801" i="9"/>
  <c r="H1800" i="9"/>
  <c r="I1800" i="9" s="1"/>
  <c r="G1800" i="9"/>
  <c r="B1800" i="9"/>
  <c r="A1800" i="9"/>
  <c r="H1799" i="9"/>
  <c r="I1799" i="9" s="1"/>
  <c r="G1799" i="9"/>
  <c r="B1799" i="9"/>
  <c r="A1799" i="9"/>
  <c r="H1798" i="9"/>
  <c r="I1798" i="9" s="1"/>
  <c r="G1798" i="9"/>
  <c r="B1798" i="9"/>
  <c r="A1798" i="9"/>
  <c r="H1797" i="9"/>
  <c r="I1797" i="9" s="1"/>
  <c r="G1797" i="9"/>
  <c r="B1797" i="9"/>
  <c r="A1797" i="9"/>
  <c r="H1796" i="9"/>
  <c r="I1796" i="9" s="1"/>
  <c r="G1796" i="9"/>
  <c r="B1796" i="9"/>
  <c r="A1796" i="9"/>
  <c r="H1795" i="9"/>
  <c r="I1795" i="9" s="1"/>
  <c r="G1795" i="9"/>
  <c r="B1795" i="9"/>
  <c r="A1795" i="9"/>
  <c r="H1794" i="9"/>
  <c r="I1794" i="9" s="1"/>
  <c r="G1794" i="9"/>
  <c r="B1794" i="9"/>
  <c r="A1794" i="9"/>
  <c r="H1793" i="9"/>
  <c r="I1793" i="9" s="1"/>
  <c r="G1793" i="9"/>
  <c r="B1793" i="9"/>
  <c r="A1793" i="9"/>
  <c r="H1792" i="9"/>
  <c r="I1792" i="9" s="1"/>
  <c r="G1792" i="9"/>
  <c r="B1792" i="9"/>
  <c r="A1792" i="9"/>
  <c r="H1791" i="9"/>
  <c r="I1791" i="9" s="1"/>
  <c r="G1791" i="9"/>
  <c r="B1791" i="9"/>
  <c r="A1791" i="9"/>
  <c r="H1790" i="9"/>
  <c r="I1790" i="9" s="1"/>
  <c r="G1790" i="9"/>
  <c r="B1790" i="9"/>
  <c r="A1790" i="9"/>
  <c r="H1789" i="9"/>
  <c r="I1789" i="9" s="1"/>
  <c r="G1789" i="9"/>
  <c r="B1789" i="9"/>
  <c r="A1789" i="9"/>
  <c r="H1788" i="9"/>
  <c r="I1788" i="9" s="1"/>
  <c r="G1788" i="9"/>
  <c r="B1788" i="9"/>
  <c r="A1788" i="9"/>
  <c r="P1788" i="9" s="1"/>
  <c r="H1787" i="9"/>
  <c r="I1787" i="9" s="1"/>
  <c r="G1787" i="9"/>
  <c r="B1787" i="9"/>
  <c r="A1787" i="9"/>
  <c r="H1786" i="9"/>
  <c r="I1786" i="9" s="1"/>
  <c r="G1786" i="9"/>
  <c r="B1786" i="9"/>
  <c r="A1786" i="9"/>
  <c r="H1785" i="9"/>
  <c r="I1785" i="9" s="1"/>
  <c r="G1785" i="9"/>
  <c r="B1785" i="9"/>
  <c r="A1785" i="9"/>
  <c r="H1784" i="9"/>
  <c r="I1784" i="9" s="1"/>
  <c r="G1784" i="9"/>
  <c r="B1784" i="9"/>
  <c r="A1784" i="9"/>
  <c r="H1783" i="9"/>
  <c r="I1783" i="9" s="1"/>
  <c r="G1783" i="9"/>
  <c r="B1783" i="9"/>
  <c r="A1783" i="9"/>
  <c r="H1782" i="9"/>
  <c r="I1782" i="9" s="1"/>
  <c r="G1782" i="9"/>
  <c r="B1782" i="9"/>
  <c r="A1782" i="9"/>
  <c r="H1781" i="9"/>
  <c r="I1781" i="9" s="1"/>
  <c r="G1781" i="9"/>
  <c r="B1781" i="9"/>
  <c r="A1781" i="9"/>
  <c r="H1780" i="9"/>
  <c r="I1780" i="9" s="1"/>
  <c r="G1780" i="9"/>
  <c r="B1780" i="9"/>
  <c r="A1780" i="9"/>
  <c r="H1779" i="9"/>
  <c r="I1779" i="9" s="1"/>
  <c r="G1779" i="9"/>
  <c r="B1779" i="9"/>
  <c r="A1779" i="9"/>
  <c r="H1778" i="9"/>
  <c r="I1778" i="9" s="1"/>
  <c r="G1778" i="9"/>
  <c r="B1778" i="9"/>
  <c r="A1778" i="9"/>
  <c r="H1777" i="9"/>
  <c r="I1777" i="9" s="1"/>
  <c r="G1777" i="9"/>
  <c r="B1777" i="9"/>
  <c r="A1777" i="9"/>
  <c r="H1776" i="9"/>
  <c r="I1776" i="9" s="1"/>
  <c r="G1776" i="9"/>
  <c r="B1776" i="9"/>
  <c r="A1776" i="9"/>
  <c r="H1775" i="9"/>
  <c r="I1775" i="9" s="1"/>
  <c r="G1775" i="9"/>
  <c r="B1775" i="9"/>
  <c r="A1775" i="9"/>
  <c r="H1774" i="9"/>
  <c r="I1774" i="9" s="1"/>
  <c r="G1774" i="9"/>
  <c r="B1774" i="9"/>
  <c r="A1774" i="9"/>
  <c r="H1773" i="9"/>
  <c r="I1773" i="9" s="1"/>
  <c r="G1773" i="9"/>
  <c r="B1773" i="9"/>
  <c r="A1773" i="9"/>
  <c r="H1772" i="9"/>
  <c r="I1772" i="9" s="1"/>
  <c r="G1772" i="9"/>
  <c r="B1772" i="9"/>
  <c r="A1772" i="9"/>
  <c r="H1771" i="9"/>
  <c r="I1771" i="9" s="1"/>
  <c r="G1771" i="9"/>
  <c r="B1771" i="9"/>
  <c r="A1771" i="9"/>
  <c r="H1770" i="9"/>
  <c r="I1770" i="9" s="1"/>
  <c r="G1770" i="9"/>
  <c r="B1770" i="9"/>
  <c r="A1770" i="9"/>
  <c r="H1769" i="9"/>
  <c r="I1769" i="9" s="1"/>
  <c r="G1769" i="9"/>
  <c r="B1769" i="9"/>
  <c r="A1769" i="9"/>
  <c r="H1768" i="9"/>
  <c r="I1768" i="9" s="1"/>
  <c r="G1768" i="9"/>
  <c r="B1768" i="9"/>
  <c r="A1768" i="9"/>
  <c r="H1767" i="9"/>
  <c r="I1767" i="9" s="1"/>
  <c r="G1767" i="9"/>
  <c r="B1767" i="9"/>
  <c r="A1767" i="9"/>
  <c r="H1766" i="9"/>
  <c r="I1766" i="9" s="1"/>
  <c r="G1766" i="9"/>
  <c r="B1766" i="9"/>
  <c r="A1766" i="9"/>
  <c r="H1765" i="9"/>
  <c r="I1765" i="9" s="1"/>
  <c r="G1765" i="9"/>
  <c r="B1765" i="9"/>
  <c r="A1765" i="9"/>
  <c r="H1764" i="9"/>
  <c r="I1764" i="9" s="1"/>
  <c r="G1764" i="9"/>
  <c r="B1764" i="9"/>
  <c r="A1764" i="9"/>
  <c r="H1763" i="9"/>
  <c r="I1763" i="9" s="1"/>
  <c r="G1763" i="9"/>
  <c r="B1763" i="9"/>
  <c r="A1763" i="9"/>
  <c r="H1762" i="9"/>
  <c r="I1762" i="9" s="1"/>
  <c r="G1762" i="9"/>
  <c r="B1762" i="9"/>
  <c r="A1762" i="9"/>
  <c r="H1761" i="9"/>
  <c r="I1761" i="9" s="1"/>
  <c r="G1761" i="9"/>
  <c r="B1761" i="9"/>
  <c r="A1761" i="9"/>
  <c r="H1760" i="9"/>
  <c r="I1760" i="9" s="1"/>
  <c r="G1760" i="9"/>
  <c r="B1760" i="9"/>
  <c r="A1760" i="9"/>
  <c r="H1759" i="9"/>
  <c r="I1759" i="9" s="1"/>
  <c r="G1759" i="9"/>
  <c r="B1759" i="9"/>
  <c r="A1759" i="9"/>
  <c r="H1758" i="9"/>
  <c r="I1758" i="9" s="1"/>
  <c r="G1758" i="9"/>
  <c r="B1758" i="9"/>
  <c r="A1758" i="9"/>
  <c r="H1757" i="9"/>
  <c r="I1757" i="9" s="1"/>
  <c r="G1757" i="9"/>
  <c r="B1757" i="9"/>
  <c r="A1757" i="9"/>
  <c r="H1756" i="9"/>
  <c r="I1756" i="9" s="1"/>
  <c r="G1756" i="9"/>
  <c r="B1756" i="9"/>
  <c r="A1756" i="9"/>
  <c r="H1755" i="9"/>
  <c r="I1755" i="9" s="1"/>
  <c r="G1755" i="9"/>
  <c r="B1755" i="9"/>
  <c r="A1755" i="9"/>
  <c r="H1754" i="9"/>
  <c r="I1754" i="9" s="1"/>
  <c r="G1754" i="9"/>
  <c r="B1754" i="9"/>
  <c r="A1754" i="9"/>
  <c r="H1753" i="9"/>
  <c r="I1753" i="9" s="1"/>
  <c r="G1753" i="9"/>
  <c r="B1753" i="9"/>
  <c r="A1753" i="9"/>
  <c r="H1752" i="9"/>
  <c r="I1752" i="9" s="1"/>
  <c r="G1752" i="9"/>
  <c r="B1752" i="9"/>
  <c r="A1752" i="9"/>
  <c r="H1751" i="9"/>
  <c r="I1751" i="9" s="1"/>
  <c r="G1751" i="9"/>
  <c r="B1751" i="9"/>
  <c r="A1751" i="9"/>
  <c r="H1750" i="9"/>
  <c r="I1750" i="9" s="1"/>
  <c r="G1750" i="9"/>
  <c r="B1750" i="9"/>
  <c r="A1750" i="9"/>
  <c r="H1749" i="9"/>
  <c r="I1749" i="9" s="1"/>
  <c r="G1749" i="9"/>
  <c r="B1749" i="9"/>
  <c r="A1749" i="9"/>
  <c r="H1748" i="9"/>
  <c r="I1748" i="9" s="1"/>
  <c r="G1748" i="9"/>
  <c r="B1748" i="9"/>
  <c r="A1748" i="9"/>
  <c r="H1747" i="9"/>
  <c r="I1747" i="9" s="1"/>
  <c r="G1747" i="9"/>
  <c r="B1747" i="9"/>
  <c r="A1747" i="9"/>
  <c r="H1746" i="9"/>
  <c r="I1746" i="9" s="1"/>
  <c r="G1746" i="9"/>
  <c r="B1746" i="9"/>
  <c r="A1746" i="9"/>
  <c r="H1745" i="9"/>
  <c r="I1745" i="9" s="1"/>
  <c r="G1745" i="9"/>
  <c r="B1745" i="9"/>
  <c r="A1745" i="9"/>
  <c r="H1744" i="9"/>
  <c r="I1744" i="9" s="1"/>
  <c r="G1744" i="9"/>
  <c r="B1744" i="9"/>
  <c r="A1744" i="9"/>
  <c r="H1743" i="9"/>
  <c r="I1743" i="9" s="1"/>
  <c r="G1743" i="9"/>
  <c r="B1743" i="9"/>
  <c r="A1743" i="9"/>
  <c r="H1742" i="9"/>
  <c r="I1742" i="9" s="1"/>
  <c r="G1742" i="9"/>
  <c r="B1742" i="9"/>
  <c r="A1742" i="9"/>
  <c r="H1741" i="9"/>
  <c r="I1741" i="9" s="1"/>
  <c r="G1741" i="9"/>
  <c r="B1741" i="9"/>
  <c r="A1741" i="9"/>
  <c r="H1740" i="9"/>
  <c r="I1740" i="9" s="1"/>
  <c r="G1740" i="9"/>
  <c r="B1740" i="9"/>
  <c r="A1740" i="9"/>
  <c r="H1739" i="9"/>
  <c r="I1739" i="9" s="1"/>
  <c r="G1739" i="9"/>
  <c r="B1739" i="9"/>
  <c r="A1739" i="9"/>
  <c r="H1738" i="9"/>
  <c r="I1738" i="9" s="1"/>
  <c r="G1738" i="9"/>
  <c r="B1738" i="9"/>
  <c r="A1738" i="9"/>
  <c r="H1737" i="9"/>
  <c r="I1737" i="9" s="1"/>
  <c r="G1737" i="9"/>
  <c r="B1737" i="9"/>
  <c r="A1737" i="9"/>
  <c r="H1736" i="9"/>
  <c r="I1736" i="9" s="1"/>
  <c r="G1736" i="9"/>
  <c r="B1736" i="9"/>
  <c r="A1736" i="9"/>
  <c r="H1735" i="9"/>
  <c r="I1735" i="9" s="1"/>
  <c r="G1735" i="9"/>
  <c r="B1735" i="9"/>
  <c r="A1735" i="9"/>
  <c r="H1734" i="9"/>
  <c r="I1734" i="9" s="1"/>
  <c r="G1734" i="9"/>
  <c r="B1734" i="9"/>
  <c r="A1734" i="9"/>
  <c r="H1733" i="9"/>
  <c r="I1733" i="9" s="1"/>
  <c r="G1733" i="9"/>
  <c r="B1733" i="9"/>
  <c r="A1733" i="9"/>
  <c r="H1732" i="9"/>
  <c r="I1732" i="9" s="1"/>
  <c r="G1732" i="9"/>
  <c r="B1732" i="9"/>
  <c r="A1732" i="9"/>
  <c r="H1731" i="9"/>
  <c r="I1731" i="9" s="1"/>
  <c r="G1731" i="9"/>
  <c r="B1731" i="9"/>
  <c r="A1731" i="9"/>
  <c r="H1730" i="9"/>
  <c r="I1730" i="9" s="1"/>
  <c r="G1730" i="9"/>
  <c r="B1730" i="9"/>
  <c r="A1730" i="9"/>
  <c r="H1729" i="9"/>
  <c r="I1729" i="9" s="1"/>
  <c r="G1729" i="9"/>
  <c r="B1729" i="9"/>
  <c r="A1729" i="9"/>
  <c r="H1728" i="9"/>
  <c r="I1728" i="9" s="1"/>
  <c r="G1728" i="9"/>
  <c r="B1728" i="9"/>
  <c r="A1728" i="9"/>
  <c r="H1727" i="9"/>
  <c r="I1727" i="9" s="1"/>
  <c r="G1727" i="9"/>
  <c r="B1727" i="9"/>
  <c r="A1727" i="9"/>
  <c r="H1726" i="9"/>
  <c r="I1726" i="9" s="1"/>
  <c r="G1726" i="9"/>
  <c r="B1726" i="9"/>
  <c r="A1726" i="9"/>
  <c r="H1725" i="9"/>
  <c r="I1725" i="9" s="1"/>
  <c r="G1725" i="9"/>
  <c r="B1725" i="9"/>
  <c r="A1725" i="9"/>
  <c r="H1724" i="9"/>
  <c r="I1724" i="9" s="1"/>
  <c r="G1724" i="9"/>
  <c r="B1724" i="9"/>
  <c r="A1724" i="9"/>
  <c r="H1723" i="9"/>
  <c r="I1723" i="9" s="1"/>
  <c r="G1723" i="9"/>
  <c r="B1723" i="9"/>
  <c r="A1723" i="9"/>
  <c r="H1722" i="9"/>
  <c r="I1722" i="9" s="1"/>
  <c r="G1722" i="9"/>
  <c r="B1722" i="9"/>
  <c r="A1722" i="9"/>
  <c r="H1721" i="9"/>
  <c r="I1721" i="9" s="1"/>
  <c r="G1721" i="9"/>
  <c r="B1721" i="9"/>
  <c r="A1721" i="9"/>
  <c r="H1720" i="9"/>
  <c r="I1720" i="9" s="1"/>
  <c r="G1720" i="9"/>
  <c r="B1720" i="9"/>
  <c r="A1720" i="9"/>
  <c r="H1719" i="9"/>
  <c r="I1719" i="9" s="1"/>
  <c r="G1719" i="9"/>
  <c r="B1719" i="9"/>
  <c r="A1719" i="9"/>
  <c r="H1718" i="9"/>
  <c r="I1718" i="9" s="1"/>
  <c r="G1718" i="9"/>
  <c r="B1718" i="9"/>
  <c r="A1718" i="9"/>
  <c r="H1717" i="9"/>
  <c r="I1717" i="9" s="1"/>
  <c r="G1717" i="9"/>
  <c r="B1717" i="9"/>
  <c r="A1717" i="9"/>
  <c r="H1716" i="9"/>
  <c r="I1716" i="9" s="1"/>
  <c r="G1716" i="9"/>
  <c r="B1716" i="9"/>
  <c r="A1716" i="9"/>
  <c r="H1715" i="9"/>
  <c r="I1715" i="9" s="1"/>
  <c r="G1715" i="9"/>
  <c r="B1715" i="9"/>
  <c r="A1715" i="9"/>
  <c r="H1714" i="9"/>
  <c r="I1714" i="9" s="1"/>
  <c r="G1714" i="9"/>
  <c r="B1714" i="9"/>
  <c r="A1714" i="9"/>
  <c r="H1713" i="9"/>
  <c r="I1713" i="9" s="1"/>
  <c r="G1713" i="9"/>
  <c r="B1713" i="9"/>
  <c r="A1713" i="9"/>
  <c r="H1712" i="9"/>
  <c r="I1712" i="9" s="1"/>
  <c r="G1712" i="9"/>
  <c r="B1712" i="9"/>
  <c r="A1712" i="9"/>
  <c r="H1711" i="9"/>
  <c r="I1711" i="9" s="1"/>
  <c r="G1711" i="9"/>
  <c r="B1711" i="9"/>
  <c r="A1711" i="9"/>
  <c r="H1710" i="9"/>
  <c r="I1710" i="9" s="1"/>
  <c r="G1710" i="9"/>
  <c r="B1710" i="9"/>
  <c r="A1710" i="9"/>
  <c r="H1709" i="9"/>
  <c r="I1709" i="9" s="1"/>
  <c r="G1709" i="9"/>
  <c r="B1709" i="9"/>
  <c r="A1709" i="9"/>
  <c r="H1708" i="9"/>
  <c r="I1708" i="9" s="1"/>
  <c r="G1708" i="9"/>
  <c r="B1708" i="9"/>
  <c r="A1708" i="9"/>
  <c r="H1707" i="9"/>
  <c r="I1707" i="9" s="1"/>
  <c r="G1707" i="9"/>
  <c r="B1707" i="9"/>
  <c r="A1707" i="9"/>
  <c r="H1706" i="9"/>
  <c r="I1706" i="9" s="1"/>
  <c r="G1706" i="9"/>
  <c r="B1706" i="9"/>
  <c r="A1706" i="9"/>
  <c r="H1705" i="9"/>
  <c r="I1705" i="9" s="1"/>
  <c r="G1705" i="9"/>
  <c r="B1705" i="9"/>
  <c r="A1705" i="9"/>
  <c r="H1704" i="9"/>
  <c r="I1704" i="9" s="1"/>
  <c r="G1704" i="9"/>
  <c r="B1704" i="9"/>
  <c r="A1704" i="9"/>
  <c r="H1703" i="9"/>
  <c r="I1703" i="9" s="1"/>
  <c r="G1703" i="9"/>
  <c r="B1703" i="9"/>
  <c r="A1703" i="9"/>
  <c r="H1702" i="9"/>
  <c r="I1702" i="9" s="1"/>
  <c r="G1702" i="9"/>
  <c r="B1702" i="9"/>
  <c r="A1702" i="9"/>
  <c r="H1701" i="9"/>
  <c r="I1701" i="9" s="1"/>
  <c r="G1701" i="9"/>
  <c r="B1701" i="9"/>
  <c r="A1701" i="9"/>
  <c r="H1700" i="9"/>
  <c r="I1700" i="9" s="1"/>
  <c r="G1700" i="9"/>
  <c r="B1700" i="9"/>
  <c r="A1700" i="9"/>
  <c r="H1699" i="9"/>
  <c r="I1699" i="9" s="1"/>
  <c r="G1699" i="9"/>
  <c r="B1699" i="9"/>
  <c r="A1699" i="9"/>
  <c r="H1698" i="9"/>
  <c r="I1698" i="9" s="1"/>
  <c r="G1698" i="9"/>
  <c r="B1698" i="9"/>
  <c r="A1698" i="9"/>
  <c r="H1697" i="9"/>
  <c r="I1697" i="9" s="1"/>
  <c r="G1697" i="9"/>
  <c r="B1697" i="9"/>
  <c r="A1697" i="9"/>
  <c r="H1696" i="9"/>
  <c r="I1696" i="9" s="1"/>
  <c r="G1696" i="9"/>
  <c r="B1696" i="9"/>
  <c r="A1696" i="9"/>
  <c r="H1695" i="9"/>
  <c r="I1695" i="9" s="1"/>
  <c r="G1695" i="9"/>
  <c r="B1695" i="9"/>
  <c r="A1695" i="9"/>
  <c r="H1694" i="9"/>
  <c r="I1694" i="9" s="1"/>
  <c r="G1694" i="9"/>
  <c r="B1694" i="9"/>
  <c r="A1694" i="9"/>
  <c r="H1693" i="9"/>
  <c r="I1693" i="9" s="1"/>
  <c r="G1693" i="9"/>
  <c r="B1693" i="9"/>
  <c r="A1693" i="9"/>
  <c r="H1692" i="9"/>
  <c r="I1692" i="9" s="1"/>
  <c r="G1692" i="9"/>
  <c r="B1692" i="9"/>
  <c r="A1692" i="9"/>
  <c r="H1691" i="9"/>
  <c r="I1691" i="9" s="1"/>
  <c r="G1691" i="9"/>
  <c r="B1691" i="9"/>
  <c r="A1691" i="9"/>
  <c r="H1690" i="9"/>
  <c r="I1690" i="9" s="1"/>
  <c r="G1690" i="9"/>
  <c r="B1690" i="9"/>
  <c r="A1690" i="9"/>
  <c r="H1689" i="9"/>
  <c r="I1689" i="9" s="1"/>
  <c r="G1689" i="9"/>
  <c r="B1689" i="9"/>
  <c r="A1689" i="9"/>
  <c r="H1688" i="9"/>
  <c r="I1688" i="9" s="1"/>
  <c r="G1688" i="9"/>
  <c r="B1688" i="9"/>
  <c r="A1688" i="9"/>
  <c r="H1687" i="9"/>
  <c r="I1687" i="9" s="1"/>
  <c r="G1687" i="9"/>
  <c r="B1687" i="9"/>
  <c r="A1687" i="9"/>
  <c r="H1686" i="9"/>
  <c r="I1686" i="9" s="1"/>
  <c r="G1686" i="9"/>
  <c r="B1686" i="9"/>
  <c r="A1686" i="9"/>
  <c r="H1685" i="9"/>
  <c r="I1685" i="9" s="1"/>
  <c r="G1685" i="9"/>
  <c r="B1685" i="9"/>
  <c r="A1685" i="9"/>
  <c r="H1684" i="9"/>
  <c r="I1684" i="9" s="1"/>
  <c r="G1684" i="9"/>
  <c r="B1684" i="9"/>
  <c r="A1684" i="9"/>
  <c r="H1683" i="9"/>
  <c r="I1683" i="9" s="1"/>
  <c r="G1683" i="9"/>
  <c r="B1683" i="9"/>
  <c r="A1683" i="9"/>
  <c r="H1682" i="9"/>
  <c r="I1682" i="9" s="1"/>
  <c r="G1682" i="9"/>
  <c r="B1682" i="9"/>
  <c r="A1682" i="9"/>
  <c r="H1681" i="9"/>
  <c r="I1681" i="9" s="1"/>
  <c r="G1681" i="9"/>
  <c r="B1681" i="9"/>
  <c r="A1681" i="9"/>
  <c r="H1680" i="9"/>
  <c r="I1680" i="9" s="1"/>
  <c r="G1680" i="9"/>
  <c r="B1680" i="9"/>
  <c r="A1680" i="9"/>
  <c r="H1679" i="9"/>
  <c r="I1679" i="9" s="1"/>
  <c r="G1679" i="9"/>
  <c r="B1679" i="9"/>
  <c r="A1679" i="9"/>
  <c r="H1678" i="9"/>
  <c r="I1678" i="9" s="1"/>
  <c r="G1678" i="9"/>
  <c r="B1678" i="9"/>
  <c r="A1678" i="9"/>
  <c r="H1677" i="9"/>
  <c r="I1677" i="9" s="1"/>
  <c r="G1677" i="9"/>
  <c r="B1677" i="9"/>
  <c r="A1677" i="9"/>
  <c r="H1676" i="9"/>
  <c r="I1676" i="9" s="1"/>
  <c r="G1676" i="9"/>
  <c r="B1676" i="9"/>
  <c r="A1676" i="9"/>
  <c r="H1675" i="9"/>
  <c r="I1675" i="9" s="1"/>
  <c r="G1675" i="9"/>
  <c r="B1675" i="9"/>
  <c r="A1675" i="9"/>
  <c r="H1674" i="9"/>
  <c r="I1674" i="9" s="1"/>
  <c r="G1674" i="9"/>
  <c r="B1674" i="9"/>
  <c r="A1674" i="9"/>
  <c r="H1673" i="9"/>
  <c r="I1673" i="9" s="1"/>
  <c r="G1673" i="9"/>
  <c r="B1673" i="9"/>
  <c r="A1673" i="9"/>
  <c r="H1672" i="9"/>
  <c r="I1672" i="9" s="1"/>
  <c r="G1672" i="9"/>
  <c r="B1672" i="9"/>
  <c r="A1672" i="9"/>
  <c r="H1671" i="9"/>
  <c r="I1671" i="9" s="1"/>
  <c r="G1671" i="9"/>
  <c r="B1671" i="9"/>
  <c r="A1671" i="9"/>
  <c r="H1670" i="9"/>
  <c r="I1670" i="9" s="1"/>
  <c r="G1670" i="9"/>
  <c r="B1670" i="9"/>
  <c r="A1670" i="9"/>
  <c r="H1669" i="9"/>
  <c r="I1669" i="9" s="1"/>
  <c r="G1669" i="9"/>
  <c r="B1669" i="9"/>
  <c r="A1669" i="9"/>
  <c r="H1668" i="9"/>
  <c r="I1668" i="9" s="1"/>
  <c r="G1668" i="9"/>
  <c r="B1668" i="9"/>
  <c r="A1668" i="9"/>
  <c r="H1667" i="9"/>
  <c r="I1667" i="9" s="1"/>
  <c r="G1667" i="9"/>
  <c r="B1667" i="9"/>
  <c r="A1667" i="9"/>
  <c r="H1666" i="9"/>
  <c r="I1666" i="9" s="1"/>
  <c r="G1666" i="9"/>
  <c r="B1666" i="9"/>
  <c r="A1666" i="9"/>
  <c r="H1665" i="9"/>
  <c r="I1665" i="9" s="1"/>
  <c r="G1665" i="9"/>
  <c r="B1665" i="9"/>
  <c r="A1665" i="9"/>
  <c r="H1664" i="9"/>
  <c r="I1664" i="9" s="1"/>
  <c r="G1664" i="9"/>
  <c r="B1664" i="9"/>
  <c r="A1664" i="9"/>
  <c r="H1663" i="9"/>
  <c r="I1663" i="9" s="1"/>
  <c r="G1663" i="9"/>
  <c r="B1663" i="9"/>
  <c r="A1663" i="9"/>
  <c r="H1662" i="9"/>
  <c r="I1662" i="9" s="1"/>
  <c r="G1662" i="9"/>
  <c r="B1662" i="9"/>
  <c r="A1662" i="9"/>
  <c r="H1661" i="9"/>
  <c r="I1661" i="9" s="1"/>
  <c r="G1661" i="9"/>
  <c r="B1661" i="9"/>
  <c r="A1661" i="9"/>
  <c r="H1660" i="9"/>
  <c r="I1660" i="9" s="1"/>
  <c r="G1660" i="9"/>
  <c r="B1660" i="9"/>
  <c r="A1660" i="9"/>
  <c r="H1659" i="9"/>
  <c r="I1659" i="9" s="1"/>
  <c r="G1659" i="9"/>
  <c r="B1659" i="9"/>
  <c r="A1659" i="9"/>
  <c r="H1658" i="9"/>
  <c r="I1658" i="9" s="1"/>
  <c r="G1658" i="9"/>
  <c r="B1658" i="9"/>
  <c r="A1658" i="9"/>
  <c r="H1657" i="9"/>
  <c r="I1657" i="9" s="1"/>
  <c r="G1657" i="9"/>
  <c r="B1657" i="9"/>
  <c r="A1657" i="9"/>
  <c r="H1656" i="9"/>
  <c r="I1656" i="9" s="1"/>
  <c r="G1656" i="9"/>
  <c r="B1656" i="9"/>
  <c r="A1656" i="9"/>
  <c r="H1655" i="9"/>
  <c r="I1655" i="9" s="1"/>
  <c r="G1655" i="9"/>
  <c r="B1655" i="9"/>
  <c r="A1655" i="9"/>
  <c r="H1654" i="9"/>
  <c r="I1654" i="9" s="1"/>
  <c r="G1654" i="9"/>
  <c r="B1654" i="9"/>
  <c r="A1654" i="9"/>
  <c r="H1653" i="9"/>
  <c r="I1653" i="9" s="1"/>
  <c r="G1653" i="9"/>
  <c r="B1653" i="9"/>
  <c r="A1653" i="9"/>
  <c r="H1652" i="9"/>
  <c r="I1652" i="9" s="1"/>
  <c r="G1652" i="9"/>
  <c r="B1652" i="9"/>
  <c r="A1652" i="9"/>
  <c r="H1651" i="9"/>
  <c r="I1651" i="9" s="1"/>
  <c r="G1651" i="9"/>
  <c r="B1651" i="9"/>
  <c r="A1651" i="9"/>
  <c r="H1650" i="9"/>
  <c r="I1650" i="9" s="1"/>
  <c r="G1650" i="9"/>
  <c r="B1650" i="9"/>
  <c r="A1650" i="9"/>
  <c r="H1649" i="9"/>
  <c r="I1649" i="9" s="1"/>
  <c r="G1649" i="9"/>
  <c r="B1649" i="9"/>
  <c r="A1649" i="9"/>
  <c r="H1648" i="9"/>
  <c r="I1648" i="9" s="1"/>
  <c r="G1648" i="9"/>
  <c r="B1648" i="9"/>
  <c r="A1648" i="9"/>
  <c r="H1647" i="9"/>
  <c r="I1647" i="9" s="1"/>
  <c r="G1647" i="9"/>
  <c r="B1647" i="9"/>
  <c r="A1647" i="9"/>
  <c r="H1646" i="9"/>
  <c r="I1646" i="9" s="1"/>
  <c r="G1646" i="9"/>
  <c r="B1646" i="9"/>
  <c r="A1646" i="9"/>
  <c r="H1645" i="9"/>
  <c r="I1645" i="9" s="1"/>
  <c r="G1645" i="9"/>
  <c r="B1645" i="9"/>
  <c r="A1645" i="9"/>
  <c r="H1644" i="9"/>
  <c r="I1644" i="9" s="1"/>
  <c r="G1644" i="9"/>
  <c r="B1644" i="9"/>
  <c r="A1644" i="9"/>
  <c r="H1643" i="9"/>
  <c r="I1643" i="9" s="1"/>
  <c r="G1643" i="9"/>
  <c r="B1643" i="9"/>
  <c r="A1643" i="9"/>
  <c r="H1642" i="9"/>
  <c r="I1642" i="9" s="1"/>
  <c r="G1642" i="9"/>
  <c r="B1642" i="9"/>
  <c r="A1642" i="9"/>
  <c r="H1641" i="9"/>
  <c r="I1641" i="9" s="1"/>
  <c r="G1641" i="9"/>
  <c r="B1641" i="9"/>
  <c r="A1641" i="9"/>
  <c r="H1640" i="9"/>
  <c r="I1640" i="9" s="1"/>
  <c r="G1640" i="9"/>
  <c r="B1640" i="9"/>
  <c r="A1640" i="9"/>
  <c r="H1639" i="9"/>
  <c r="I1639" i="9" s="1"/>
  <c r="G1639" i="9"/>
  <c r="B1639" i="9"/>
  <c r="A1639" i="9"/>
  <c r="H1638" i="9"/>
  <c r="I1638" i="9" s="1"/>
  <c r="G1638" i="9"/>
  <c r="B1638" i="9"/>
  <c r="A1638" i="9"/>
  <c r="H1637" i="9"/>
  <c r="I1637" i="9" s="1"/>
  <c r="G1637" i="9"/>
  <c r="B1637" i="9"/>
  <c r="A1637" i="9"/>
  <c r="H1636" i="9"/>
  <c r="I1636" i="9" s="1"/>
  <c r="G1636" i="9"/>
  <c r="B1636" i="9"/>
  <c r="A1636" i="9"/>
  <c r="H1635" i="9"/>
  <c r="I1635" i="9" s="1"/>
  <c r="G1635" i="9"/>
  <c r="B1635" i="9"/>
  <c r="A1635" i="9"/>
  <c r="H1634" i="9"/>
  <c r="I1634" i="9" s="1"/>
  <c r="G1634" i="9"/>
  <c r="B1634" i="9"/>
  <c r="A1634" i="9"/>
  <c r="H1633" i="9"/>
  <c r="I1633" i="9" s="1"/>
  <c r="G1633" i="9"/>
  <c r="B1633" i="9"/>
  <c r="A1633" i="9"/>
  <c r="H1632" i="9"/>
  <c r="I1632" i="9" s="1"/>
  <c r="G1632" i="9"/>
  <c r="B1632" i="9"/>
  <c r="A1632" i="9"/>
  <c r="H1631" i="9"/>
  <c r="I1631" i="9" s="1"/>
  <c r="G1631" i="9"/>
  <c r="B1631" i="9"/>
  <c r="A1631" i="9"/>
  <c r="H1630" i="9"/>
  <c r="I1630" i="9" s="1"/>
  <c r="G1630" i="9"/>
  <c r="B1630" i="9"/>
  <c r="A1630" i="9"/>
  <c r="H1629" i="9"/>
  <c r="I1629" i="9" s="1"/>
  <c r="G1629" i="9"/>
  <c r="B1629" i="9"/>
  <c r="A1629" i="9"/>
  <c r="H1628" i="9"/>
  <c r="I1628" i="9" s="1"/>
  <c r="G1628" i="9"/>
  <c r="B1628" i="9"/>
  <c r="A1628" i="9"/>
  <c r="H1627" i="9"/>
  <c r="I1627" i="9" s="1"/>
  <c r="G1627" i="9"/>
  <c r="B1627" i="9"/>
  <c r="A1627" i="9"/>
  <c r="H1626" i="9"/>
  <c r="I1626" i="9" s="1"/>
  <c r="G1626" i="9"/>
  <c r="B1626" i="9"/>
  <c r="A1626" i="9"/>
  <c r="M1626" i="9" s="1"/>
  <c r="H1625" i="9"/>
  <c r="I1625" i="9" s="1"/>
  <c r="G1625" i="9"/>
  <c r="B1625" i="9"/>
  <c r="A1625" i="9"/>
  <c r="H1624" i="9"/>
  <c r="I1624" i="9" s="1"/>
  <c r="G1624" i="9"/>
  <c r="B1624" i="9"/>
  <c r="A1624" i="9"/>
  <c r="H1623" i="9"/>
  <c r="I1623" i="9" s="1"/>
  <c r="G1623" i="9"/>
  <c r="B1623" i="9"/>
  <c r="A1623" i="9"/>
  <c r="H1622" i="9"/>
  <c r="I1622" i="9" s="1"/>
  <c r="G1622" i="9"/>
  <c r="B1622" i="9"/>
  <c r="A1622" i="9"/>
  <c r="H1621" i="9"/>
  <c r="I1621" i="9" s="1"/>
  <c r="G1621" i="9"/>
  <c r="B1621" i="9"/>
  <c r="A1621" i="9"/>
  <c r="H1620" i="9"/>
  <c r="I1620" i="9" s="1"/>
  <c r="G1620" i="9"/>
  <c r="B1620" i="9"/>
  <c r="A1620" i="9"/>
  <c r="H1619" i="9"/>
  <c r="I1619" i="9" s="1"/>
  <c r="G1619" i="9"/>
  <c r="B1619" i="9"/>
  <c r="A1619" i="9"/>
  <c r="H1618" i="9"/>
  <c r="I1618" i="9" s="1"/>
  <c r="G1618" i="9"/>
  <c r="B1618" i="9"/>
  <c r="A1618" i="9"/>
  <c r="H1617" i="9"/>
  <c r="I1617" i="9" s="1"/>
  <c r="G1617" i="9"/>
  <c r="B1617" i="9"/>
  <c r="A1617" i="9"/>
  <c r="H1616" i="9"/>
  <c r="I1616" i="9" s="1"/>
  <c r="G1616" i="9"/>
  <c r="B1616" i="9"/>
  <c r="A1616" i="9"/>
  <c r="H1615" i="9"/>
  <c r="I1615" i="9" s="1"/>
  <c r="G1615" i="9"/>
  <c r="B1615" i="9"/>
  <c r="A1615" i="9"/>
  <c r="H1614" i="9"/>
  <c r="I1614" i="9" s="1"/>
  <c r="G1614" i="9"/>
  <c r="B1614" i="9"/>
  <c r="A1614" i="9"/>
  <c r="H1613" i="9"/>
  <c r="I1613" i="9" s="1"/>
  <c r="G1613" i="9"/>
  <c r="B1613" i="9"/>
  <c r="A1613" i="9"/>
  <c r="H1612" i="9"/>
  <c r="I1612" i="9" s="1"/>
  <c r="G1612" i="9"/>
  <c r="B1612" i="9"/>
  <c r="A1612" i="9"/>
  <c r="H1611" i="9"/>
  <c r="I1611" i="9" s="1"/>
  <c r="G1611" i="9"/>
  <c r="B1611" i="9"/>
  <c r="A1611" i="9"/>
  <c r="H1610" i="9"/>
  <c r="I1610" i="9" s="1"/>
  <c r="G1610" i="9"/>
  <c r="B1610" i="9"/>
  <c r="A1610" i="9"/>
  <c r="H1609" i="9"/>
  <c r="I1609" i="9" s="1"/>
  <c r="G1609" i="9"/>
  <c r="B1609" i="9"/>
  <c r="A1609" i="9"/>
  <c r="H1608" i="9"/>
  <c r="I1608" i="9" s="1"/>
  <c r="G1608" i="9"/>
  <c r="B1608" i="9"/>
  <c r="A1608" i="9"/>
  <c r="H1607" i="9"/>
  <c r="I1607" i="9" s="1"/>
  <c r="G1607" i="9"/>
  <c r="B1607" i="9"/>
  <c r="A1607" i="9"/>
  <c r="H1606" i="9"/>
  <c r="I1606" i="9" s="1"/>
  <c r="G1606" i="9"/>
  <c r="B1606" i="9"/>
  <c r="A1606" i="9"/>
  <c r="H1605" i="9"/>
  <c r="I1605" i="9" s="1"/>
  <c r="G1605" i="9"/>
  <c r="B1605" i="9"/>
  <c r="A1605" i="9"/>
  <c r="O1605" i="9" s="1"/>
  <c r="H1604" i="9"/>
  <c r="I1604" i="9" s="1"/>
  <c r="G1604" i="9"/>
  <c r="B1604" i="9"/>
  <c r="A1604" i="9"/>
  <c r="H1603" i="9"/>
  <c r="I1603" i="9" s="1"/>
  <c r="G1603" i="9"/>
  <c r="B1603" i="9"/>
  <c r="A1603" i="9"/>
  <c r="H1602" i="9"/>
  <c r="I1602" i="9" s="1"/>
  <c r="G1602" i="9"/>
  <c r="B1602" i="9"/>
  <c r="A1602" i="9"/>
  <c r="H1601" i="9"/>
  <c r="I1601" i="9" s="1"/>
  <c r="G1601" i="9"/>
  <c r="B1601" i="9"/>
  <c r="A1601" i="9"/>
  <c r="H1600" i="9"/>
  <c r="I1600" i="9" s="1"/>
  <c r="G1600" i="9"/>
  <c r="B1600" i="9"/>
  <c r="A1600" i="9"/>
  <c r="H1599" i="9"/>
  <c r="I1599" i="9" s="1"/>
  <c r="G1599" i="9"/>
  <c r="B1599" i="9"/>
  <c r="A1599" i="9"/>
  <c r="H1598" i="9"/>
  <c r="I1598" i="9" s="1"/>
  <c r="G1598" i="9"/>
  <c r="B1598" i="9"/>
  <c r="A1598" i="9"/>
  <c r="H1597" i="9"/>
  <c r="I1597" i="9" s="1"/>
  <c r="G1597" i="9"/>
  <c r="B1597" i="9"/>
  <c r="A1597" i="9"/>
  <c r="H1596" i="9"/>
  <c r="I1596" i="9" s="1"/>
  <c r="G1596" i="9"/>
  <c r="B1596" i="9"/>
  <c r="A1596" i="9"/>
  <c r="H1595" i="9"/>
  <c r="I1595" i="9" s="1"/>
  <c r="G1595" i="9"/>
  <c r="B1595" i="9"/>
  <c r="A1595" i="9"/>
  <c r="H1594" i="9"/>
  <c r="I1594" i="9" s="1"/>
  <c r="G1594" i="9"/>
  <c r="B1594" i="9"/>
  <c r="A1594" i="9"/>
  <c r="H1593" i="9"/>
  <c r="I1593" i="9" s="1"/>
  <c r="G1593" i="9"/>
  <c r="B1593" i="9"/>
  <c r="A1593" i="9"/>
  <c r="H1592" i="9"/>
  <c r="I1592" i="9" s="1"/>
  <c r="G1592" i="9"/>
  <c r="B1592" i="9"/>
  <c r="A1592" i="9"/>
  <c r="H1591" i="9"/>
  <c r="I1591" i="9" s="1"/>
  <c r="G1591" i="9"/>
  <c r="B1591" i="9"/>
  <c r="A1591" i="9"/>
  <c r="H1590" i="9"/>
  <c r="I1590" i="9" s="1"/>
  <c r="G1590" i="9"/>
  <c r="B1590" i="9"/>
  <c r="A1590" i="9"/>
  <c r="C1590" i="9" s="1"/>
  <c r="H1589" i="9"/>
  <c r="I1589" i="9" s="1"/>
  <c r="G1589" i="9"/>
  <c r="B1589" i="9"/>
  <c r="A1589" i="9"/>
  <c r="H1588" i="9"/>
  <c r="I1588" i="9" s="1"/>
  <c r="G1588" i="9"/>
  <c r="B1588" i="9"/>
  <c r="A1588" i="9"/>
  <c r="H1587" i="9"/>
  <c r="I1587" i="9" s="1"/>
  <c r="G1587" i="9"/>
  <c r="B1587" i="9"/>
  <c r="A1587" i="9"/>
  <c r="H1586" i="9"/>
  <c r="I1586" i="9" s="1"/>
  <c r="G1586" i="9"/>
  <c r="B1586" i="9"/>
  <c r="A1586" i="9"/>
  <c r="H1585" i="9"/>
  <c r="I1585" i="9" s="1"/>
  <c r="G1585" i="9"/>
  <c r="B1585" i="9"/>
  <c r="A1585" i="9"/>
  <c r="H1584" i="9"/>
  <c r="I1584" i="9" s="1"/>
  <c r="G1584" i="9"/>
  <c r="B1584" i="9"/>
  <c r="A1584" i="9"/>
  <c r="H1583" i="9"/>
  <c r="I1583" i="9" s="1"/>
  <c r="G1583" i="9"/>
  <c r="B1583" i="9"/>
  <c r="A1583" i="9"/>
  <c r="C1583" i="9" s="1"/>
  <c r="H1582" i="9"/>
  <c r="I1582" i="9" s="1"/>
  <c r="G1582" i="9"/>
  <c r="B1582" i="9"/>
  <c r="A1582" i="9"/>
  <c r="H1581" i="9"/>
  <c r="I1581" i="9" s="1"/>
  <c r="G1581" i="9"/>
  <c r="B1581" i="9"/>
  <c r="A1581" i="9"/>
  <c r="H1580" i="9"/>
  <c r="I1580" i="9" s="1"/>
  <c r="G1580" i="9"/>
  <c r="B1580" i="9"/>
  <c r="A1580" i="9"/>
  <c r="H1579" i="9"/>
  <c r="I1579" i="9" s="1"/>
  <c r="G1579" i="9"/>
  <c r="B1579" i="9"/>
  <c r="A1579" i="9"/>
  <c r="H1578" i="9"/>
  <c r="I1578" i="9" s="1"/>
  <c r="G1578" i="9"/>
  <c r="B1578" i="9"/>
  <c r="A1578" i="9"/>
  <c r="H1577" i="9"/>
  <c r="I1577" i="9" s="1"/>
  <c r="G1577" i="9"/>
  <c r="B1577" i="9"/>
  <c r="A1577" i="9"/>
  <c r="H1576" i="9"/>
  <c r="I1576" i="9" s="1"/>
  <c r="G1576" i="9"/>
  <c r="B1576" i="9"/>
  <c r="A1576" i="9"/>
  <c r="H1575" i="9"/>
  <c r="I1575" i="9" s="1"/>
  <c r="G1575" i="9"/>
  <c r="B1575" i="9"/>
  <c r="A1575" i="9"/>
  <c r="H1574" i="9"/>
  <c r="I1574" i="9" s="1"/>
  <c r="G1574" i="9"/>
  <c r="B1574" i="9"/>
  <c r="A1574" i="9"/>
  <c r="H1573" i="9"/>
  <c r="I1573" i="9" s="1"/>
  <c r="G1573" i="9"/>
  <c r="B1573" i="9"/>
  <c r="A1573" i="9"/>
  <c r="H1572" i="9"/>
  <c r="I1572" i="9" s="1"/>
  <c r="G1572" i="9"/>
  <c r="B1572" i="9"/>
  <c r="A1572" i="9"/>
  <c r="H1571" i="9"/>
  <c r="I1571" i="9" s="1"/>
  <c r="G1571" i="9"/>
  <c r="B1571" i="9"/>
  <c r="A1571" i="9"/>
  <c r="H1570" i="9"/>
  <c r="I1570" i="9" s="1"/>
  <c r="G1570" i="9"/>
  <c r="B1570" i="9"/>
  <c r="A1570" i="9"/>
  <c r="H1569" i="9"/>
  <c r="I1569" i="9" s="1"/>
  <c r="G1569" i="9"/>
  <c r="B1569" i="9"/>
  <c r="A1569" i="9"/>
  <c r="H1568" i="9"/>
  <c r="I1568" i="9" s="1"/>
  <c r="G1568" i="9"/>
  <c r="B1568" i="9"/>
  <c r="A1568" i="9"/>
  <c r="H1567" i="9"/>
  <c r="I1567" i="9" s="1"/>
  <c r="G1567" i="9"/>
  <c r="B1567" i="9"/>
  <c r="A1567" i="9"/>
  <c r="H1566" i="9"/>
  <c r="I1566" i="9" s="1"/>
  <c r="G1566" i="9"/>
  <c r="B1566" i="9"/>
  <c r="A1566" i="9"/>
  <c r="H1565" i="9"/>
  <c r="I1565" i="9" s="1"/>
  <c r="G1565" i="9"/>
  <c r="B1565" i="9"/>
  <c r="A1565" i="9"/>
  <c r="H1564" i="9"/>
  <c r="I1564" i="9" s="1"/>
  <c r="G1564" i="9"/>
  <c r="B1564" i="9"/>
  <c r="A1564" i="9"/>
  <c r="H1563" i="9"/>
  <c r="I1563" i="9" s="1"/>
  <c r="G1563" i="9"/>
  <c r="B1563" i="9"/>
  <c r="A1563" i="9"/>
  <c r="H1562" i="9"/>
  <c r="I1562" i="9" s="1"/>
  <c r="G1562" i="9"/>
  <c r="B1562" i="9"/>
  <c r="A1562" i="9"/>
  <c r="H1561" i="9"/>
  <c r="I1561" i="9" s="1"/>
  <c r="G1561" i="9"/>
  <c r="B1561" i="9"/>
  <c r="A1561" i="9"/>
  <c r="H1560" i="9"/>
  <c r="I1560" i="9" s="1"/>
  <c r="G1560" i="9"/>
  <c r="B1560" i="9"/>
  <c r="A1560" i="9"/>
  <c r="H1559" i="9"/>
  <c r="I1559" i="9" s="1"/>
  <c r="G1559" i="9"/>
  <c r="B1559" i="9"/>
  <c r="A1559" i="9"/>
  <c r="H1558" i="9"/>
  <c r="I1558" i="9" s="1"/>
  <c r="G1558" i="9"/>
  <c r="B1558" i="9"/>
  <c r="A1558" i="9"/>
  <c r="C1558" i="9" s="1"/>
  <c r="H1557" i="9"/>
  <c r="I1557" i="9" s="1"/>
  <c r="G1557" i="9"/>
  <c r="B1557" i="9"/>
  <c r="A1557" i="9"/>
  <c r="N1557" i="9" s="1"/>
  <c r="H1556" i="9"/>
  <c r="I1556" i="9" s="1"/>
  <c r="G1556" i="9"/>
  <c r="B1556" i="9"/>
  <c r="A1556" i="9"/>
  <c r="H1555" i="9"/>
  <c r="I1555" i="9" s="1"/>
  <c r="G1555" i="9"/>
  <c r="B1555" i="9"/>
  <c r="A1555" i="9"/>
  <c r="H1554" i="9"/>
  <c r="I1554" i="9" s="1"/>
  <c r="G1554" i="9"/>
  <c r="B1554" i="9"/>
  <c r="A1554" i="9"/>
  <c r="H1553" i="9"/>
  <c r="I1553" i="9" s="1"/>
  <c r="G1553" i="9"/>
  <c r="B1553" i="9"/>
  <c r="A1553" i="9"/>
  <c r="H1552" i="9"/>
  <c r="I1552" i="9" s="1"/>
  <c r="G1552" i="9"/>
  <c r="B1552" i="9"/>
  <c r="A1552" i="9"/>
  <c r="H1551" i="9"/>
  <c r="I1551" i="9" s="1"/>
  <c r="G1551" i="9"/>
  <c r="B1551" i="9"/>
  <c r="A1551" i="9"/>
  <c r="H1550" i="9"/>
  <c r="I1550" i="9" s="1"/>
  <c r="G1550" i="9"/>
  <c r="B1550" i="9"/>
  <c r="A1550" i="9"/>
  <c r="H1549" i="9"/>
  <c r="I1549" i="9" s="1"/>
  <c r="G1549" i="9"/>
  <c r="B1549" i="9"/>
  <c r="A1549" i="9"/>
  <c r="H1548" i="9"/>
  <c r="I1548" i="9" s="1"/>
  <c r="G1548" i="9"/>
  <c r="B1548" i="9"/>
  <c r="A1548" i="9"/>
  <c r="H1547" i="9"/>
  <c r="I1547" i="9" s="1"/>
  <c r="G1547" i="9"/>
  <c r="B1547" i="9"/>
  <c r="A1547" i="9"/>
  <c r="H1546" i="9"/>
  <c r="I1546" i="9" s="1"/>
  <c r="G1546" i="9"/>
  <c r="B1546" i="9"/>
  <c r="A1546" i="9"/>
  <c r="H1545" i="9"/>
  <c r="I1545" i="9" s="1"/>
  <c r="G1545" i="9"/>
  <c r="B1545" i="9"/>
  <c r="A1545" i="9"/>
  <c r="H1544" i="9"/>
  <c r="I1544" i="9" s="1"/>
  <c r="G1544" i="9"/>
  <c r="B1544" i="9"/>
  <c r="A1544" i="9"/>
  <c r="H1543" i="9"/>
  <c r="I1543" i="9" s="1"/>
  <c r="G1543" i="9"/>
  <c r="B1543" i="9"/>
  <c r="A1543" i="9"/>
  <c r="H1542" i="9"/>
  <c r="I1542" i="9" s="1"/>
  <c r="G1542" i="9"/>
  <c r="B1542" i="9"/>
  <c r="A1542" i="9"/>
  <c r="H1541" i="9"/>
  <c r="I1541" i="9" s="1"/>
  <c r="G1541" i="9"/>
  <c r="B1541" i="9"/>
  <c r="A1541" i="9"/>
  <c r="H1540" i="9"/>
  <c r="I1540" i="9" s="1"/>
  <c r="G1540" i="9"/>
  <c r="B1540" i="9"/>
  <c r="A1540" i="9"/>
  <c r="H1539" i="9"/>
  <c r="I1539" i="9" s="1"/>
  <c r="G1539" i="9"/>
  <c r="B1539" i="9"/>
  <c r="A1539" i="9"/>
  <c r="H1538" i="9"/>
  <c r="I1538" i="9" s="1"/>
  <c r="G1538" i="9"/>
  <c r="B1538" i="9"/>
  <c r="A1538" i="9"/>
  <c r="H1537" i="9"/>
  <c r="I1537" i="9" s="1"/>
  <c r="G1537" i="9"/>
  <c r="B1537" i="9"/>
  <c r="A1537" i="9"/>
  <c r="H1536" i="9"/>
  <c r="I1536" i="9" s="1"/>
  <c r="G1536" i="9"/>
  <c r="B1536" i="9"/>
  <c r="A1536" i="9"/>
  <c r="H1535" i="9"/>
  <c r="I1535" i="9" s="1"/>
  <c r="G1535" i="9"/>
  <c r="B1535" i="9"/>
  <c r="A1535" i="9"/>
  <c r="H1534" i="9"/>
  <c r="I1534" i="9" s="1"/>
  <c r="G1534" i="9"/>
  <c r="B1534" i="9"/>
  <c r="A1534" i="9"/>
  <c r="H1533" i="9"/>
  <c r="I1533" i="9" s="1"/>
  <c r="G1533" i="9"/>
  <c r="B1533" i="9"/>
  <c r="A1533" i="9"/>
  <c r="H1532" i="9"/>
  <c r="I1532" i="9" s="1"/>
  <c r="G1532" i="9"/>
  <c r="B1532" i="9"/>
  <c r="A1532" i="9"/>
  <c r="H1531" i="9"/>
  <c r="I1531" i="9" s="1"/>
  <c r="G1531" i="9"/>
  <c r="B1531" i="9"/>
  <c r="A1531" i="9"/>
  <c r="H1530" i="9"/>
  <c r="I1530" i="9" s="1"/>
  <c r="G1530" i="9"/>
  <c r="B1530" i="9"/>
  <c r="A1530" i="9"/>
  <c r="H1529" i="9"/>
  <c r="I1529" i="9" s="1"/>
  <c r="G1529" i="9"/>
  <c r="B1529" i="9"/>
  <c r="A1529" i="9"/>
  <c r="H1528" i="9"/>
  <c r="I1528" i="9" s="1"/>
  <c r="G1528" i="9"/>
  <c r="B1528" i="9"/>
  <c r="A1528" i="9"/>
  <c r="H1527" i="9"/>
  <c r="I1527" i="9" s="1"/>
  <c r="G1527" i="9"/>
  <c r="B1527" i="9"/>
  <c r="A1527" i="9"/>
  <c r="H1526" i="9"/>
  <c r="I1526" i="9" s="1"/>
  <c r="G1526" i="9"/>
  <c r="B1526" i="9"/>
  <c r="A1526" i="9"/>
  <c r="H1525" i="9"/>
  <c r="I1525" i="9" s="1"/>
  <c r="G1525" i="9"/>
  <c r="B1525" i="9"/>
  <c r="A1525" i="9"/>
  <c r="H1524" i="9"/>
  <c r="I1524" i="9" s="1"/>
  <c r="G1524" i="9"/>
  <c r="B1524" i="9"/>
  <c r="A1524" i="9"/>
  <c r="H1523" i="9"/>
  <c r="I1523" i="9" s="1"/>
  <c r="G1523" i="9"/>
  <c r="B1523" i="9"/>
  <c r="A1523" i="9"/>
  <c r="H1522" i="9"/>
  <c r="I1522" i="9" s="1"/>
  <c r="G1522" i="9"/>
  <c r="B1522" i="9"/>
  <c r="A1522" i="9"/>
  <c r="H1521" i="9"/>
  <c r="I1521" i="9" s="1"/>
  <c r="G1521" i="9"/>
  <c r="B1521" i="9"/>
  <c r="A1521" i="9"/>
  <c r="H1520" i="9"/>
  <c r="I1520" i="9" s="1"/>
  <c r="G1520" i="9"/>
  <c r="B1520" i="9"/>
  <c r="A1520" i="9"/>
  <c r="H1519" i="9"/>
  <c r="I1519" i="9" s="1"/>
  <c r="G1519" i="9"/>
  <c r="B1519" i="9"/>
  <c r="A1519" i="9"/>
  <c r="H1518" i="9"/>
  <c r="I1518" i="9" s="1"/>
  <c r="G1518" i="9"/>
  <c r="B1518" i="9"/>
  <c r="A1518" i="9"/>
  <c r="H1517" i="9"/>
  <c r="I1517" i="9" s="1"/>
  <c r="G1517" i="9"/>
  <c r="B1517" i="9"/>
  <c r="A1517" i="9"/>
  <c r="H1516" i="9"/>
  <c r="I1516" i="9" s="1"/>
  <c r="G1516" i="9"/>
  <c r="B1516" i="9"/>
  <c r="A1516" i="9"/>
  <c r="H1515" i="9"/>
  <c r="I1515" i="9" s="1"/>
  <c r="G1515" i="9"/>
  <c r="B1515" i="9"/>
  <c r="A1515" i="9"/>
  <c r="H1514" i="9"/>
  <c r="I1514" i="9" s="1"/>
  <c r="G1514" i="9"/>
  <c r="B1514" i="9"/>
  <c r="A1514" i="9"/>
  <c r="H1513" i="9"/>
  <c r="I1513" i="9" s="1"/>
  <c r="G1513" i="9"/>
  <c r="B1513" i="9"/>
  <c r="A1513" i="9"/>
  <c r="H1512" i="9"/>
  <c r="I1512" i="9" s="1"/>
  <c r="G1512" i="9"/>
  <c r="B1512" i="9"/>
  <c r="A1512" i="9"/>
  <c r="H1511" i="9"/>
  <c r="I1511" i="9" s="1"/>
  <c r="G1511" i="9"/>
  <c r="B1511" i="9"/>
  <c r="A1511" i="9"/>
  <c r="H1510" i="9"/>
  <c r="I1510" i="9" s="1"/>
  <c r="G1510" i="9"/>
  <c r="B1510" i="9"/>
  <c r="A1510" i="9"/>
  <c r="H1509" i="9"/>
  <c r="I1509" i="9" s="1"/>
  <c r="G1509" i="9"/>
  <c r="B1509" i="9"/>
  <c r="A1509" i="9"/>
  <c r="H1508" i="9"/>
  <c r="I1508" i="9" s="1"/>
  <c r="G1508" i="9"/>
  <c r="B1508" i="9"/>
  <c r="A1508" i="9"/>
  <c r="H1507" i="9"/>
  <c r="I1507" i="9" s="1"/>
  <c r="G1507" i="9"/>
  <c r="B1507" i="9"/>
  <c r="A1507" i="9"/>
  <c r="H1506" i="9"/>
  <c r="I1506" i="9" s="1"/>
  <c r="G1506" i="9"/>
  <c r="B1506" i="9"/>
  <c r="A1506" i="9"/>
  <c r="H1505" i="9"/>
  <c r="I1505" i="9" s="1"/>
  <c r="G1505" i="9"/>
  <c r="B1505" i="9"/>
  <c r="A1505" i="9"/>
  <c r="H1504" i="9"/>
  <c r="I1504" i="9" s="1"/>
  <c r="G1504" i="9"/>
  <c r="B1504" i="9"/>
  <c r="A1504" i="9"/>
  <c r="H1503" i="9"/>
  <c r="I1503" i="9" s="1"/>
  <c r="G1503" i="9"/>
  <c r="B1503" i="9"/>
  <c r="A1503" i="9"/>
  <c r="H1502" i="9"/>
  <c r="I1502" i="9" s="1"/>
  <c r="G1502" i="9"/>
  <c r="B1502" i="9"/>
  <c r="A1502" i="9"/>
  <c r="H1501" i="9"/>
  <c r="I1501" i="9" s="1"/>
  <c r="G1501" i="9"/>
  <c r="B1501" i="9"/>
  <c r="A1501" i="9"/>
  <c r="H1500" i="9"/>
  <c r="I1500" i="9" s="1"/>
  <c r="G1500" i="9"/>
  <c r="B1500" i="9"/>
  <c r="A1500" i="9"/>
  <c r="H1499" i="9"/>
  <c r="I1499" i="9" s="1"/>
  <c r="G1499" i="9"/>
  <c r="B1499" i="9"/>
  <c r="A1499" i="9"/>
  <c r="H1498" i="9"/>
  <c r="I1498" i="9" s="1"/>
  <c r="G1498" i="9"/>
  <c r="B1498" i="9"/>
  <c r="A1498" i="9"/>
  <c r="H1497" i="9"/>
  <c r="I1497" i="9" s="1"/>
  <c r="G1497" i="9"/>
  <c r="B1497" i="9"/>
  <c r="A1497" i="9"/>
  <c r="C1497" i="9" s="1"/>
  <c r="H1496" i="9"/>
  <c r="I1496" i="9" s="1"/>
  <c r="G1496" i="9"/>
  <c r="B1496" i="9"/>
  <c r="A1496" i="9"/>
  <c r="H1495" i="9"/>
  <c r="I1495" i="9" s="1"/>
  <c r="G1495" i="9"/>
  <c r="B1495" i="9"/>
  <c r="A1495" i="9"/>
  <c r="H1494" i="9"/>
  <c r="I1494" i="9" s="1"/>
  <c r="G1494" i="9"/>
  <c r="B1494" i="9"/>
  <c r="A1494" i="9"/>
  <c r="H1493" i="9"/>
  <c r="I1493" i="9" s="1"/>
  <c r="G1493" i="9"/>
  <c r="B1493" i="9"/>
  <c r="A1493" i="9"/>
  <c r="H1492" i="9"/>
  <c r="I1492" i="9" s="1"/>
  <c r="G1492" i="9"/>
  <c r="B1492" i="9"/>
  <c r="A1492" i="9"/>
  <c r="H1491" i="9"/>
  <c r="I1491" i="9" s="1"/>
  <c r="G1491" i="9"/>
  <c r="B1491" i="9"/>
  <c r="A1491" i="9"/>
  <c r="H1490" i="9"/>
  <c r="I1490" i="9" s="1"/>
  <c r="G1490" i="9"/>
  <c r="B1490" i="9"/>
  <c r="A1490" i="9"/>
  <c r="H1489" i="9"/>
  <c r="I1489" i="9" s="1"/>
  <c r="G1489" i="9"/>
  <c r="B1489" i="9"/>
  <c r="A1489" i="9"/>
  <c r="H1488" i="9"/>
  <c r="I1488" i="9" s="1"/>
  <c r="G1488" i="9"/>
  <c r="B1488" i="9"/>
  <c r="A1488" i="9"/>
  <c r="H1487" i="9"/>
  <c r="I1487" i="9" s="1"/>
  <c r="G1487" i="9"/>
  <c r="B1487" i="9"/>
  <c r="A1487" i="9"/>
  <c r="H1486" i="9"/>
  <c r="I1486" i="9" s="1"/>
  <c r="G1486" i="9"/>
  <c r="B1486" i="9"/>
  <c r="A1486" i="9"/>
  <c r="H1485" i="9"/>
  <c r="I1485" i="9" s="1"/>
  <c r="G1485" i="9"/>
  <c r="B1485" i="9"/>
  <c r="A1485" i="9"/>
  <c r="H1484" i="9"/>
  <c r="I1484" i="9" s="1"/>
  <c r="G1484" i="9"/>
  <c r="B1484" i="9"/>
  <c r="A1484" i="9"/>
  <c r="H1483" i="9"/>
  <c r="I1483" i="9" s="1"/>
  <c r="G1483" i="9"/>
  <c r="B1483" i="9"/>
  <c r="A1483" i="9"/>
  <c r="H1482" i="9"/>
  <c r="I1482" i="9" s="1"/>
  <c r="G1482" i="9"/>
  <c r="B1482" i="9"/>
  <c r="A1482" i="9"/>
  <c r="H1481" i="9"/>
  <c r="I1481" i="9" s="1"/>
  <c r="G1481" i="9"/>
  <c r="B1481" i="9"/>
  <c r="A1481" i="9"/>
  <c r="H1480" i="9"/>
  <c r="I1480" i="9" s="1"/>
  <c r="G1480" i="9"/>
  <c r="B1480" i="9"/>
  <c r="A1480" i="9"/>
  <c r="H1479" i="9"/>
  <c r="I1479" i="9" s="1"/>
  <c r="G1479" i="9"/>
  <c r="B1479" i="9"/>
  <c r="A1479" i="9"/>
  <c r="H1478" i="9"/>
  <c r="I1478" i="9" s="1"/>
  <c r="G1478" i="9"/>
  <c r="B1478" i="9"/>
  <c r="A1478" i="9"/>
  <c r="H1477" i="9"/>
  <c r="I1477" i="9" s="1"/>
  <c r="G1477" i="9"/>
  <c r="B1477" i="9"/>
  <c r="A1477" i="9"/>
  <c r="H1476" i="9"/>
  <c r="I1476" i="9" s="1"/>
  <c r="G1476" i="9"/>
  <c r="B1476" i="9"/>
  <c r="A1476" i="9"/>
  <c r="H1475" i="9"/>
  <c r="I1475" i="9" s="1"/>
  <c r="G1475" i="9"/>
  <c r="B1475" i="9"/>
  <c r="A1475" i="9"/>
  <c r="H1474" i="9"/>
  <c r="I1474" i="9" s="1"/>
  <c r="G1474" i="9"/>
  <c r="B1474" i="9"/>
  <c r="A1474" i="9"/>
  <c r="H1473" i="9"/>
  <c r="I1473" i="9" s="1"/>
  <c r="G1473" i="9"/>
  <c r="B1473" i="9"/>
  <c r="A1473" i="9"/>
  <c r="H1472" i="9"/>
  <c r="I1472" i="9" s="1"/>
  <c r="G1472" i="9"/>
  <c r="B1472" i="9"/>
  <c r="A1472" i="9"/>
  <c r="H1471" i="9"/>
  <c r="I1471" i="9" s="1"/>
  <c r="G1471" i="9"/>
  <c r="B1471" i="9"/>
  <c r="A1471" i="9"/>
  <c r="H1470" i="9"/>
  <c r="I1470" i="9" s="1"/>
  <c r="G1470" i="9"/>
  <c r="B1470" i="9"/>
  <c r="A1470" i="9"/>
  <c r="H1469" i="9"/>
  <c r="I1469" i="9" s="1"/>
  <c r="G1469" i="9"/>
  <c r="B1469" i="9"/>
  <c r="A1469" i="9"/>
  <c r="H1468" i="9"/>
  <c r="I1468" i="9" s="1"/>
  <c r="G1468" i="9"/>
  <c r="B1468" i="9"/>
  <c r="A1468" i="9"/>
  <c r="H1467" i="9"/>
  <c r="I1467" i="9" s="1"/>
  <c r="G1467" i="9"/>
  <c r="B1467" i="9"/>
  <c r="A1467" i="9"/>
  <c r="H1466" i="9"/>
  <c r="I1466" i="9" s="1"/>
  <c r="G1466" i="9"/>
  <c r="B1466" i="9"/>
  <c r="A1466" i="9"/>
  <c r="H1465" i="9"/>
  <c r="I1465" i="9" s="1"/>
  <c r="G1465" i="9"/>
  <c r="B1465" i="9"/>
  <c r="A1465" i="9"/>
  <c r="M1465" i="9" s="1"/>
  <c r="H1464" i="9"/>
  <c r="I1464" i="9" s="1"/>
  <c r="G1464" i="9"/>
  <c r="B1464" i="9"/>
  <c r="A1464" i="9"/>
  <c r="H1463" i="9"/>
  <c r="I1463" i="9" s="1"/>
  <c r="G1463" i="9"/>
  <c r="B1463" i="9"/>
  <c r="A1463" i="9"/>
  <c r="D1463" i="9" s="1"/>
  <c r="H1462" i="9"/>
  <c r="I1462" i="9" s="1"/>
  <c r="G1462" i="9"/>
  <c r="B1462" i="9"/>
  <c r="A1462" i="9"/>
  <c r="K1462" i="9" s="1"/>
  <c r="H1461" i="9"/>
  <c r="I1461" i="9" s="1"/>
  <c r="G1461" i="9"/>
  <c r="B1461" i="9"/>
  <c r="A1461" i="9"/>
  <c r="H1460" i="9"/>
  <c r="I1460" i="9" s="1"/>
  <c r="G1460" i="9"/>
  <c r="B1460" i="9"/>
  <c r="A1460" i="9"/>
  <c r="H1459" i="9"/>
  <c r="I1459" i="9" s="1"/>
  <c r="G1459" i="9"/>
  <c r="B1459" i="9"/>
  <c r="A1459" i="9"/>
  <c r="H1458" i="9"/>
  <c r="I1458" i="9" s="1"/>
  <c r="G1458" i="9"/>
  <c r="B1458" i="9"/>
  <c r="A1458" i="9"/>
  <c r="J1458" i="9" s="1"/>
  <c r="H1457" i="9"/>
  <c r="I1457" i="9" s="1"/>
  <c r="G1457" i="9"/>
  <c r="B1457" i="9"/>
  <c r="A1457" i="9"/>
  <c r="H1456" i="9"/>
  <c r="I1456" i="9" s="1"/>
  <c r="G1456" i="9"/>
  <c r="B1456" i="9"/>
  <c r="A1456" i="9"/>
  <c r="H1455" i="9"/>
  <c r="I1455" i="9" s="1"/>
  <c r="G1455" i="9"/>
  <c r="B1455" i="9"/>
  <c r="A1455" i="9"/>
  <c r="H1454" i="9"/>
  <c r="I1454" i="9" s="1"/>
  <c r="G1454" i="9"/>
  <c r="B1454" i="9"/>
  <c r="A1454" i="9"/>
  <c r="H1453" i="9"/>
  <c r="I1453" i="9" s="1"/>
  <c r="G1453" i="9"/>
  <c r="B1453" i="9"/>
  <c r="A1453" i="9"/>
  <c r="H1452" i="9"/>
  <c r="I1452" i="9" s="1"/>
  <c r="G1452" i="9"/>
  <c r="B1452" i="9"/>
  <c r="A1452" i="9"/>
  <c r="H1451" i="9"/>
  <c r="I1451" i="9" s="1"/>
  <c r="G1451" i="9"/>
  <c r="B1451" i="9"/>
  <c r="A1451" i="9"/>
  <c r="H1450" i="9"/>
  <c r="I1450" i="9" s="1"/>
  <c r="G1450" i="9"/>
  <c r="B1450" i="9"/>
  <c r="A1450" i="9"/>
  <c r="H1449" i="9"/>
  <c r="I1449" i="9" s="1"/>
  <c r="G1449" i="9"/>
  <c r="B1449" i="9"/>
  <c r="A1449" i="9"/>
  <c r="H1448" i="9"/>
  <c r="I1448" i="9" s="1"/>
  <c r="G1448" i="9"/>
  <c r="B1448" i="9"/>
  <c r="A1448" i="9"/>
  <c r="H1447" i="9"/>
  <c r="I1447" i="9" s="1"/>
  <c r="G1447" i="9"/>
  <c r="B1447" i="9"/>
  <c r="A1447" i="9"/>
  <c r="H1446" i="9"/>
  <c r="I1446" i="9" s="1"/>
  <c r="G1446" i="9"/>
  <c r="B1446" i="9"/>
  <c r="A1446" i="9"/>
  <c r="H1445" i="9"/>
  <c r="I1445" i="9" s="1"/>
  <c r="G1445" i="9"/>
  <c r="B1445" i="9"/>
  <c r="A1445" i="9"/>
  <c r="H1444" i="9"/>
  <c r="I1444" i="9" s="1"/>
  <c r="G1444" i="9"/>
  <c r="B1444" i="9"/>
  <c r="A1444" i="9"/>
  <c r="H1443" i="9"/>
  <c r="I1443" i="9" s="1"/>
  <c r="G1443" i="9"/>
  <c r="B1443" i="9"/>
  <c r="A1443" i="9"/>
  <c r="H1442" i="9"/>
  <c r="I1442" i="9" s="1"/>
  <c r="G1442" i="9"/>
  <c r="B1442" i="9"/>
  <c r="A1442" i="9"/>
  <c r="H1441" i="9"/>
  <c r="I1441" i="9" s="1"/>
  <c r="G1441" i="9"/>
  <c r="B1441" i="9"/>
  <c r="A1441" i="9"/>
  <c r="H1440" i="9"/>
  <c r="I1440" i="9" s="1"/>
  <c r="G1440" i="9"/>
  <c r="B1440" i="9"/>
  <c r="A1440" i="9"/>
  <c r="H1439" i="9"/>
  <c r="I1439" i="9" s="1"/>
  <c r="G1439" i="9"/>
  <c r="B1439" i="9"/>
  <c r="A1439" i="9"/>
  <c r="H1438" i="9"/>
  <c r="I1438" i="9" s="1"/>
  <c r="G1438" i="9"/>
  <c r="B1438" i="9"/>
  <c r="A1438" i="9"/>
  <c r="H1437" i="9"/>
  <c r="I1437" i="9" s="1"/>
  <c r="G1437" i="9"/>
  <c r="B1437" i="9"/>
  <c r="A1437" i="9"/>
  <c r="H1436" i="9"/>
  <c r="I1436" i="9" s="1"/>
  <c r="G1436" i="9"/>
  <c r="B1436" i="9"/>
  <c r="A1436" i="9"/>
  <c r="H1435" i="9"/>
  <c r="I1435" i="9" s="1"/>
  <c r="G1435" i="9"/>
  <c r="B1435" i="9"/>
  <c r="A1435" i="9"/>
  <c r="H1434" i="9"/>
  <c r="I1434" i="9" s="1"/>
  <c r="G1434" i="9"/>
  <c r="B1434" i="9"/>
  <c r="A1434" i="9"/>
  <c r="H1433" i="9"/>
  <c r="I1433" i="9" s="1"/>
  <c r="G1433" i="9"/>
  <c r="B1433" i="9"/>
  <c r="A1433" i="9"/>
  <c r="H1432" i="9"/>
  <c r="I1432" i="9" s="1"/>
  <c r="G1432" i="9"/>
  <c r="B1432" i="9"/>
  <c r="A1432" i="9"/>
  <c r="H1431" i="9"/>
  <c r="I1431" i="9" s="1"/>
  <c r="G1431" i="9"/>
  <c r="B1431" i="9"/>
  <c r="A1431" i="9"/>
  <c r="H1430" i="9"/>
  <c r="I1430" i="9" s="1"/>
  <c r="G1430" i="9"/>
  <c r="B1430" i="9"/>
  <c r="A1430" i="9"/>
  <c r="H1429" i="9"/>
  <c r="I1429" i="9" s="1"/>
  <c r="G1429" i="9"/>
  <c r="B1429" i="9"/>
  <c r="A1429" i="9"/>
  <c r="H1428" i="9"/>
  <c r="I1428" i="9" s="1"/>
  <c r="G1428" i="9"/>
  <c r="B1428" i="9"/>
  <c r="A1428" i="9"/>
  <c r="H1427" i="9"/>
  <c r="I1427" i="9" s="1"/>
  <c r="G1427" i="9"/>
  <c r="B1427" i="9"/>
  <c r="A1427" i="9"/>
  <c r="H1426" i="9"/>
  <c r="I1426" i="9" s="1"/>
  <c r="G1426" i="9"/>
  <c r="B1426" i="9"/>
  <c r="A1426" i="9"/>
  <c r="H1425" i="9"/>
  <c r="I1425" i="9" s="1"/>
  <c r="G1425" i="9"/>
  <c r="B1425" i="9"/>
  <c r="A1425" i="9"/>
  <c r="H1424" i="9"/>
  <c r="I1424" i="9" s="1"/>
  <c r="G1424" i="9"/>
  <c r="B1424" i="9"/>
  <c r="A1424" i="9"/>
  <c r="E1424" i="9" s="1"/>
  <c r="H1423" i="9"/>
  <c r="I1423" i="9" s="1"/>
  <c r="G1423" i="9"/>
  <c r="B1423" i="9"/>
  <c r="A1423" i="9"/>
  <c r="H1422" i="9"/>
  <c r="I1422" i="9" s="1"/>
  <c r="G1422" i="9"/>
  <c r="B1422" i="9"/>
  <c r="A1422" i="9"/>
  <c r="E1422" i="9" s="1"/>
  <c r="H1421" i="9"/>
  <c r="I1421" i="9" s="1"/>
  <c r="G1421" i="9"/>
  <c r="B1421" i="9"/>
  <c r="A1421" i="9"/>
  <c r="H1420" i="9"/>
  <c r="I1420" i="9" s="1"/>
  <c r="G1420" i="9"/>
  <c r="B1420" i="9"/>
  <c r="A1420" i="9"/>
  <c r="H1419" i="9"/>
  <c r="I1419" i="9" s="1"/>
  <c r="G1419" i="9"/>
  <c r="B1419" i="9"/>
  <c r="A1419" i="9"/>
  <c r="H1418" i="9"/>
  <c r="I1418" i="9" s="1"/>
  <c r="G1418" i="9"/>
  <c r="B1418" i="9"/>
  <c r="A1418" i="9"/>
  <c r="H1417" i="9"/>
  <c r="I1417" i="9" s="1"/>
  <c r="G1417" i="9"/>
  <c r="B1417" i="9"/>
  <c r="A1417" i="9"/>
  <c r="H1416" i="9"/>
  <c r="I1416" i="9" s="1"/>
  <c r="G1416" i="9"/>
  <c r="B1416" i="9"/>
  <c r="A1416" i="9"/>
  <c r="H1415" i="9"/>
  <c r="I1415" i="9" s="1"/>
  <c r="G1415" i="9"/>
  <c r="B1415" i="9"/>
  <c r="A1415" i="9"/>
  <c r="H1414" i="9"/>
  <c r="I1414" i="9" s="1"/>
  <c r="G1414" i="9"/>
  <c r="B1414" i="9"/>
  <c r="A1414" i="9"/>
  <c r="H1413" i="9"/>
  <c r="I1413" i="9" s="1"/>
  <c r="G1413" i="9"/>
  <c r="B1413" i="9"/>
  <c r="A1413" i="9"/>
  <c r="H1412" i="9"/>
  <c r="I1412" i="9" s="1"/>
  <c r="G1412" i="9"/>
  <c r="B1412" i="9"/>
  <c r="A1412" i="9"/>
  <c r="H1411" i="9"/>
  <c r="I1411" i="9" s="1"/>
  <c r="G1411" i="9"/>
  <c r="B1411" i="9"/>
  <c r="A1411" i="9"/>
  <c r="C1411" i="9" s="1"/>
  <c r="H1410" i="9"/>
  <c r="I1410" i="9" s="1"/>
  <c r="G1410" i="9"/>
  <c r="B1410" i="9"/>
  <c r="A1410" i="9"/>
  <c r="H1409" i="9"/>
  <c r="I1409" i="9" s="1"/>
  <c r="G1409" i="9"/>
  <c r="B1409" i="9"/>
  <c r="A1409" i="9"/>
  <c r="H1408" i="9"/>
  <c r="I1408" i="9" s="1"/>
  <c r="G1408" i="9"/>
  <c r="B1408" i="9"/>
  <c r="A1408" i="9"/>
  <c r="H1407" i="9"/>
  <c r="I1407" i="9" s="1"/>
  <c r="G1407" i="9"/>
  <c r="B1407" i="9"/>
  <c r="A1407" i="9"/>
  <c r="H1406" i="9"/>
  <c r="I1406" i="9" s="1"/>
  <c r="G1406" i="9"/>
  <c r="B1406" i="9"/>
  <c r="A1406" i="9"/>
  <c r="H1405" i="9"/>
  <c r="I1405" i="9" s="1"/>
  <c r="G1405" i="9"/>
  <c r="B1405" i="9"/>
  <c r="A1405" i="9"/>
  <c r="H1404" i="9"/>
  <c r="I1404" i="9" s="1"/>
  <c r="G1404" i="9"/>
  <c r="B1404" i="9"/>
  <c r="A1404" i="9"/>
  <c r="H1403" i="9"/>
  <c r="I1403" i="9" s="1"/>
  <c r="G1403" i="9"/>
  <c r="B1403" i="9"/>
  <c r="A1403" i="9"/>
  <c r="H1402" i="9"/>
  <c r="I1402" i="9" s="1"/>
  <c r="G1402" i="9"/>
  <c r="B1402" i="9"/>
  <c r="A1402" i="9"/>
  <c r="H1401" i="9"/>
  <c r="I1401" i="9" s="1"/>
  <c r="G1401" i="9"/>
  <c r="B1401" i="9"/>
  <c r="A1401" i="9"/>
  <c r="H1400" i="9"/>
  <c r="I1400" i="9" s="1"/>
  <c r="G1400" i="9"/>
  <c r="B1400" i="9"/>
  <c r="A1400" i="9"/>
  <c r="H1399" i="9"/>
  <c r="I1399" i="9" s="1"/>
  <c r="G1399" i="9"/>
  <c r="B1399" i="9"/>
  <c r="A1399" i="9"/>
  <c r="H1398" i="9"/>
  <c r="I1398" i="9" s="1"/>
  <c r="G1398" i="9"/>
  <c r="B1398" i="9"/>
  <c r="A1398" i="9"/>
  <c r="H1397" i="9"/>
  <c r="I1397" i="9" s="1"/>
  <c r="G1397" i="9"/>
  <c r="B1397" i="9"/>
  <c r="A1397" i="9"/>
  <c r="C1397" i="9" s="1"/>
  <c r="H1396" i="9"/>
  <c r="I1396" i="9" s="1"/>
  <c r="G1396" i="9"/>
  <c r="B1396" i="9"/>
  <c r="A1396" i="9"/>
  <c r="H1395" i="9"/>
  <c r="I1395" i="9" s="1"/>
  <c r="G1395" i="9"/>
  <c r="B1395" i="9"/>
  <c r="A1395" i="9"/>
  <c r="H1394" i="9"/>
  <c r="I1394" i="9" s="1"/>
  <c r="G1394" i="9"/>
  <c r="B1394" i="9"/>
  <c r="A1394" i="9"/>
  <c r="H1393" i="9"/>
  <c r="I1393" i="9" s="1"/>
  <c r="G1393" i="9"/>
  <c r="B1393" i="9"/>
  <c r="A1393" i="9"/>
  <c r="H1392" i="9"/>
  <c r="I1392" i="9" s="1"/>
  <c r="G1392" i="9"/>
  <c r="B1392" i="9"/>
  <c r="A1392" i="9"/>
  <c r="H1391" i="9"/>
  <c r="I1391" i="9" s="1"/>
  <c r="G1391" i="9"/>
  <c r="B1391" i="9"/>
  <c r="A1391" i="9"/>
  <c r="D1391" i="9" s="1"/>
  <c r="H1390" i="9"/>
  <c r="I1390" i="9" s="1"/>
  <c r="G1390" i="9"/>
  <c r="B1390" i="9"/>
  <c r="A1390" i="9"/>
  <c r="H1389" i="9"/>
  <c r="I1389" i="9" s="1"/>
  <c r="G1389" i="9"/>
  <c r="B1389" i="9"/>
  <c r="A1389" i="9"/>
  <c r="H1388" i="9"/>
  <c r="I1388" i="9" s="1"/>
  <c r="G1388" i="9"/>
  <c r="B1388" i="9"/>
  <c r="A1388" i="9"/>
  <c r="H1387" i="9"/>
  <c r="I1387" i="9" s="1"/>
  <c r="G1387" i="9"/>
  <c r="B1387" i="9"/>
  <c r="A1387" i="9"/>
  <c r="H1386" i="9"/>
  <c r="I1386" i="9" s="1"/>
  <c r="G1386" i="9"/>
  <c r="B1386" i="9"/>
  <c r="A1386" i="9"/>
  <c r="H1385" i="9"/>
  <c r="I1385" i="9" s="1"/>
  <c r="G1385" i="9"/>
  <c r="B1385" i="9"/>
  <c r="A1385" i="9"/>
  <c r="H1384" i="9"/>
  <c r="I1384" i="9" s="1"/>
  <c r="G1384" i="9"/>
  <c r="B1384" i="9"/>
  <c r="A1384" i="9"/>
  <c r="H1383" i="9"/>
  <c r="I1383" i="9" s="1"/>
  <c r="G1383" i="9"/>
  <c r="B1383" i="9"/>
  <c r="A1383" i="9"/>
  <c r="H1382" i="9"/>
  <c r="I1382" i="9" s="1"/>
  <c r="G1382" i="9"/>
  <c r="B1382" i="9"/>
  <c r="A1382" i="9"/>
  <c r="H1381" i="9"/>
  <c r="I1381" i="9" s="1"/>
  <c r="G1381" i="9"/>
  <c r="B1381" i="9"/>
  <c r="A1381" i="9"/>
  <c r="H1380" i="9"/>
  <c r="I1380" i="9" s="1"/>
  <c r="G1380" i="9"/>
  <c r="B1380" i="9"/>
  <c r="A1380" i="9"/>
  <c r="H1379" i="9"/>
  <c r="I1379" i="9" s="1"/>
  <c r="G1379" i="9"/>
  <c r="B1379" i="9"/>
  <c r="A1379" i="9"/>
  <c r="H1378" i="9"/>
  <c r="I1378" i="9" s="1"/>
  <c r="G1378" i="9"/>
  <c r="B1378" i="9"/>
  <c r="A1378" i="9"/>
  <c r="H1377" i="9"/>
  <c r="I1377" i="9" s="1"/>
  <c r="G1377" i="9"/>
  <c r="B1377" i="9"/>
  <c r="A1377" i="9"/>
  <c r="K1377" i="9" s="1"/>
  <c r="H1376" i="9"/>
  <c r="I1376" i="9" s="1"/>
  <c r="G1376" i="9"/>
  <c r="B1376" i="9"/>
  <c r="A1376" i="9"/>
  <c r="H1375" i="9"/>
  <c r="I1375" i="9" s="1"/>
  <c r="G1375" i="9"/>
  <c r="B1375" i="9"/>
  <c r="A1375" i="9"/>
  <c r="H1374" i="9"/>
  <c r="I1374" i="9" s="1"/>
  <c r="G1374" i="9"/>
  <c r="B1374" i="9"/>
  <c r="A1374" i="9"/>
  <c r="H1373" i="9"/>
  <c r="I1373" i="9" s="1"/>
  <c r="G1373" i="9"/>
  <c r="B1373" i="9"/>
  <c r="A1373" i="9"/>
  <c r="H1372" i="9"/>
  <c r="I1372" i="9" s="1"/>
  <c r="G1372" i="9"/>
  <c r="B1372" i="9"/>
  <c r="A1372" i="9"/>
  <c r="H1371" i="9"/>
  <c r="I1371" i="9" s="1"/>
  <c r="G1371" i="9"/>
  <c r="B1371" i="9"/>
  <c r="A1371" i="9"/>
  <c r="H1370" i="9"/>
  <c r="I1370" i="9" s="1"/>
  <c r="G1370" i="9"/>
  <c r="B1370" i="9"/>
  <c r="A1370" i="9"/>
  <c r="H1369" i="9"/>
  <c r="I1369" i="9" s="1"/>
  <c r="G1369" i="9"/>
  <c r="B1369" i="9"/>
  <c r="A1369" i="9"/>
  <c r="H1368" i="9"/>
  <c r="I1368" i="9" s="1"/>
  <c r="G1368" i="9"/>
  <c r="B1368" i="9"/>
  <c r="A1368" i="9"/>
  <c r="H1367" i="9"/>
  <c r="I1367" i="9" s="1"/>
  <c r="G1367" i="9"/>
  <c r="B1367" i="9"/>
  <c r="A1367" i="9"/>
  <c r="H1366" i="9"/>
  <c r="I1366" i="9" s="1"/>
  <c r="G1366" i="9"/>
  <c r="B1366" i="9"/>
  <c r="A1366" i="9"/>
  <c r="H1365" i="9"/>
  <c r="I1365" i="9" s="1"/>
  <c r="G1365" i="9"/>
  <c r="B1365" i="9"/>
  <c r="A1365" i="9"/>
  <c r="H1364" i="9"/>
  <c r="I1364" i="9" s="1"/>
  <c r="G1364" i="9"/>
  <c r="B1364" i="9"/>
  <c r="A1364" i="9"/>
  <c r="H1363" i="9"/>
  <c r="I1363" i="9" s="1"/>
  <c r="G1363" i="9"/>
  <c r="B1363" i="9"/>
  <c r="A1363" i="9"/>
  <c r="H1362" i="9"/>
  <c r="I1362" i="9" s="1"/>
  <c r="G1362" i="9"/>
  <c r="B1362" i="9"/>
  <c r="A1362" i="9"/>
  <c r="H1361" i="9"/>
  <c r="I1361" i="9" s="1"/>
  <c r="G1361" i="9"/>
  <c r="B1361" i="9"/>
  <c r="A1361" i="9"/>
  <c r="H1360" i="9"/>
  <c r="I1360" i="9" s="1"/>
  <c r="G1360" i="9"/>
  <c r="B1360" i="9"/>
  <c r="A1360" i="9"/>
  <c r="H1359" i="9"/>
  <c r="I1359" i="9" s="1"/>
  <c r="G1359" i="9"/>
  <c r="B1359" i="9"/>
  <c r="A1359" i="9"/>
  <c r="H1358" i="9"/>
  <c r="I1358" i="9" s="1"/>
  <c r="G1358" i="9"/>
  <c r="B1358" i="9"/>
  <c r="A1358" i="9"/>
  <c r="H1357" i="9"/>
  <c r="I1357" i="9" s="1"/>
  <c r="G1357" i="9"/>
  <c r="B1357" i="9"/>
  <c r="A1357" i="9"/>
  <c r="H1356" i="9"/>
  <c r="I1356" i="9" s="1"/>
  <c r="G1356" i="9"/>
  <c r="B1356" i="9"/>
  <c r="A1356" i="9"/>
  <c r="H1355" i="9"/>
  <c r="I1355" i="9" s="1"/>
  <c r="G1355" i="9"/>
  <c r="B1355" i="9"/>
  <c r="A1355" i="9"/>
  <c r="H1354" i="9"/>
  <c r="I1354" i="9" s="1"/>
  <c r="G1354" i="9"/>
  <c r="B1354" i="9"/>
  <c r="A1354" i="9"/>
  <c r="H1353" i="9"/>
  <c r="I1353" i="9" s="1"/>
  <c r="G1353" i="9"/>
  <c r="B1353" i="9"/>
  <c r="A1353" i="9"/>
  <c r="H1352" i="9"/>
  <c r="I1352" i="9" s="1"/>
  <c r="G1352" i="9"/>
  <c r="B1352" i="9"/>
  <c r="A1352" i="9"/>
  <c r="H1351" i="9"/>
  <c r="I1351" i="9" s="1"/>
  <c r="G1351" i="9"/>
  <c r="B1351" i="9"/>
  <c r="A1351" i="9"/>
  <c r="H1350" i="9"/>
  <c r="I1350" i="9" s="1"/>
  <c r="G1350" i="9"/>
  <c r="B1350" i="9"/>
  <c r="A1350" i="9"/>
  <c r="H1349" i="9"/>
  <c r="I1349" i="9" s="1"/>
  <c r="G1349" i="9"/>
  <c r="B1349" i="9"/>
  <c r="A1349" i="9"/>
  <c r="H1348" i="9"/>
  <c r="I1348" i="9" s="1"/>
  <c r="G1348" i="9"/>
  <c r="B1348" i="9"/>
  <c r="A1348" i="9"/>
  <c r="H1347" i="9"/>
  <c r="I1347" i="9" s="1"/>
  <c r="G1347" i="9"/>
  <c r="B1347" i="9"/>
  <c r="A1347" i="9"/>
  <c r="H1346" i="9"/>
  <c r="I1346" i="9" s="1"/>
  <c r="G1346" i="9"/>
  <c r="B1346" i="9"/>
  <c r="A1346" i="9"/>
  <c r="H1345" i="9"/>
  <c r="I1345" i="9" s="1"/>
  <c r="G1345" i="9"/>
  <c r="B1345" i="9"/>
  <c r="A1345" i="9"/>
  <c r="H1344" i="9"/>
  <c r="I1344" i="9" s="1"/>
  <c r="G1344" i="9"/>
  <c r="B1344" i="9"/>
  <c r="A1344" i="9"/>
  <c r="H1343" i="9"/>
  <c r="I1343" i="9" s="1"/>
  <c r="G1343" i="9"/>
  <c r="B1343" i="9"/>
  <c r="A1343" i="9"/>
  <c r="H1342" i="9"/>
  <c r="I1342" i="9" s="1"/>
  <c r="G1342" i="9"/>
  <c r="B1342" i="9"/>
  <c r="A1342" i="9"/>
  <c r="H1341" i="9"/>
  <c r="I1341" i="9" s="1"/>
  <c r="G1341" i="9"/>
  <c r="B1341" i="9"/>
  <c r="A1341" i="9"/>
  <c r="H1340" i="9"/>
  <c r="I1340" i="9" s="1"/>
  <c r="G1340" i="9"/>
  <c r="B1340" i="9"/>
  <c r="A1340" i="9"/>
  <c r="H1339" i="9"/>
  <c r="I1339" i="9" s="1"/>
  <c r="G1339" i="9"/>
  <c r="B1339" i="9"/>
  <c r="A1339" i="9"/>
  <c r="H1338" i="9"/>
  <c r="I1338" i="9" s="1"/>
  <c r="G1338" i="9"/>
  <c r="B1338" i="9"/>
  <c r="A1338" i="9"/>
  <c r="H1337" i="9"/>
  <c r="I1337" i="9" s="1"/>
  <c r="G1337" i="9"/>
  <c r="B1337" i="9"/>
  <c r="A1337" i="9"/>
  <c r="H1336" i="9"/>
  <c r="I1336" i="9" s="1"/>
  <c r="G1336" i="9"/>
  <c r="B1336" i="9"/>
  <c r="A1336" i="9"/>
  <c r="H1335" i="9"/>
  <c r="I1335" i="9" s="1"/>
  <c r="G1335" i="9"/>
  <c r="B1335" i="9"/>
  <c r="A1335" i="9"/>
  <c r="H1334" i="9"/>
  <c r="I1334" i="9" s="1"/>
  <c r="G1334" i="9"/>
  <c r="B1334" i="9"/>
  <c r="A1334" i="9"/>
  <c r="H1333" i="9"/>
  <c r="I1333" i="9" s="1"/>
  <c r="G1333" i="9"/>
  <c r="B1333" i="9"/>
  <c r="A1333" i="9"/>
  <c r="H1332" i="9"/>
  <c r="I1332" i="9" s="1"/>
  <c r="G1332" i="9"/>
  <c r="B1332" i="9"/>
  <c r="A1332" i="9"/>
  <c r="H1331" i="9"/>
  <c r="I1331" i="9" s="1"/>
  <c r="G1331" i="9"/>
  <c r="B1331" i="9"/>
  <c r="A1331" i="9"/>
  <c r="H1330" i="9"/>
  <c r="I1330" i="9" s="1"/>
  <c r="G1330" i="9"/>
  <c r="B1330" i="9"/>
  <c r="A1330" i="9"/>
  <c r="H1329" i="9"/>
  <c r="I1329" i="9" s="1"/>
  <c r="G1329" i="9"/>
  <c r="B1329" i="9"/>
  <c r="A1329" i="9"/>
  <c r="H1328" i="9"/>
  <c r="I1328" i="9" s="1"/>
  <c r="G1328" i="9"/>
  <c r="B1328" i="9"/>
  <c r="A1328" i="9"/>
  <c r="H1327" i="9"/>
  <c r="I1327" i="9" s="1"/>
  <c r="G1327" i="9"/>
  <c r="B1327" i="9"/>
  <c r="A1327" i="9"/>
  <c r="H1326" i="9"/>
  <c r="I1326" i="9" s="1"/>
  <c r="G1326" i="9"/>
  <c r="B1326" i="9"/>
  <c r="A1326" i="9"/>
  <c r="H1325" i="9"/>
  <c r="I1325" i="9" s="1"/>
  <c r="G1325" i="9"/>
  <c r="B1325" i="9"/>
  <c r="A1325" i="9"/>
  <c r="H1324" i="9"/>
  <c r="I1324" i="9" s="1"/>
  <c r="G1324" i="9"/>
  <c r="B1324" i="9"/>
  <c r="A1324" i="9"/>
  <c r="H1323" i="9"/>
  <c r="I1323" i="9" s="1"/>
  <c r="G1323" i="9"/>
  <c r="B1323" i="9"/>
  <c r="A1323" i="9"/>
  <c r="H1322" i="9"/>
  <c r="I1322" i="9" s="1"/>
  <c r="G1322" i="9"/>
  <c r="B1322" i="9"/>
  <c r="A1322" i="9"/>
  <c r="H1321" i="9"/>
  <c r="I1321" i="9" s="1"/>
  <c r="G1321" i="9"/>
  <c r="B1321" i="9"/>
  <c r="A1321" i="9"/>
  <c r="H1320" i="9"/>
  <c r="I1320" i="9" s="1"/>
  <c r="G1320" i="9"/>
  <c r="B1320" i="9"/>
  <c r="A1320" i="9"/>
  <c r="H1319" i="9"/>
  <c r="I1319" i="9" s="1"/>
  <c r="G1319" i="9"/>
  <c r="B1319" i="9"/>
  <c r="A1319" i="9"/>
  <c r="N1319" i="9" s="1"/>
  <c r="H1318" i="9"/>
  <c r="I1318" i="9" s="1"/>
  <c r="G1318" i="9"/>
  <c r="B1318" i="9"/>
  <c r="A1318" i="9"/>
  <c r="H1317" i="9"/>
  <c r="I1317" i="9" s="1"/>
  <c r="G1317" i="9"/>
  <c r="B1317" i="9"/>
  <c r="A1317" i="9"/>
  <c r="H1316" i="9"/>
  <c r="I1316" i="9" s="1"/>
  <c r="G1316" i="9"/>
  <c r="B1316" i="9"/>
  <c r="A1316" i="9"/>
  <c r="H1315" i="9"/>
  <c r="I1315" i="9" s="1"/>
  <c r="G1315" i="9"/>
  <c r="B1315" i="9"/>
  <c r="A1315" i="9"/>
  <c r="H1314" i="9"/>
  <c r="I1314" i="9" s="1"/>
  <c r="G1314" i="9"/>
  <c r="B1314" i="9"/>
  <c r="A1314" i="9"/>
  <c r="H1313" i="9"/>
  <c r="I1313" i="9" s="1"/>
  <c r="G1313" i="9"/>
  <c r="B1313" i="9"/>
  <c r="A1313" i="9"/>
  <c r="H1312" i="9"/>
  <c r="I1312" i="9" s="1"/>
  <c r="G1312" i="9"/>
  <c r="B1312" i="9"/>
  <c r="A1312" i="9"/>
  <c r="H1311" i="9"/>
  <c r="I1311" i="9" s="1"/>
  <c r="G1311" i="9"/>
  <c r="B1311" i="9"/>
  <c r="A1311" i="9"/>
  <c r="H1310" i="9"/>
  <c r="I1310" i="9" s="1"/>
  <c r="G1310" i="9"/>
  <c r="B1310" i="9"/>
  <c r="A1310" i="9"/>
  <c r="H1309" i="9"/>
  <c r="I1309" i="9" s="1"/>
  <c r="G1309" i="9"/>
  <c r="B1309" i="9"/>
  <c r="A1309" i="9"/>
  <c r="H1308" i="9"/>
  <c r="I1308" i="9" s="1"/>
  <c r="G1308" i="9"/>
  <c r="B1308" i="9"/>
  <c r="A1308" i="9"/>
  <c r="H1307" i="9"/>
  <c r="I1307" i="9" s="1"/>
  <c r="G1307" i="9"/>
  <c r="B1307" i="9"/>
  <c r="A1307" i="9"/>
  <c r="H1306" i="9"/>
  <c r="I1306" i="9" s="1"/>
  <c r="G1306" i="9"/>
  <c r="B1306" i="9"/>
  <c r="A1306" i="9"/>
  <c r="H1305" i="9"/>
  <c r="I1305" i="9" s="1"/>
  <c r="G1305" i="9"/>
  <c r="B1305" i="9"/>
  <c r="A1305" i="9"/>
  <c r="H1304" i="9"/>
  <c r="I1304" i="9" s="1"/>
  <c r="G1304" i="9"/>
  <c r="B1304" i="9"/>
  <c r="A1304" i="9"/>
  <c r="H1303" i="9"/>
  <c r="I1303" i="9" s="1"/>
  <c r="G1303" i="9"/>
  <c r="B1303" i="9"/>
  <c r="A1303" i="9"/>
  <c r="H1302" i="9"/>
  <c r="I1302" i="9" s="1"/>
  <c r="G1302" i="9"/>
  <c r="B1302" i="9"/>
  <c r="A1302" i="9"/>
  <c r="H1301" i="9"/>
  <c r="I1301" i="9" s="1"/>
  <c r="G1301" i="9"/>
  <c r="B1301" i="9"/>
  <c r="A1301" i="9"/>
  <c r="H1300" i="9"/>
  <c r="I1300" i="9" s="1"/>
  <c r="G1300" i="9"/>
  <c r="B1300" i="9"/>
  <c r="A1300" i="9"/>
  <c r="H1299" i="9"/>
  <c r="I1299" i="9" s="1"/>
  <c r="G1299" i="9"/>
  <c r="B1299" i="9"/>
  <c r="A1299" i="9"/>
  <c r="H1298" i="9"/>
  <c r="I1298" i="9" s="1"/>
  <c r="G1298" i="9"/>
  <c r="B1298" i="9"/>
  <c r="A1298" i="9"/>
  <c r="C1298" i="9" s="1"/>
  <c r="H1297" i="9"/>
  <c r="I1297" i="9" s="1"/>
  <c r="G1297" i="9"/>
  <c r="B1297" i="9"/>
  <c r="A1297" i="9"/>
  <c r="H1296" i="9"/>
  <c r="I1296" i="9" s="1"/>
  <c r="G1296" i="9"/>
  <c r="B1296" i="9"/>
  <c r="A1296" i="9"/>
  <c r="C1296" i="9" s="1"/>
  <c r="H1295" i="9"/>
  <c r="I1295" i="9" s="1"/>
  <c r="G1295" i="9"/>
  <c r="B1295" i="9"/>
  <c r="A1295" i="9"/>
  <c r="H1294" i="9"/>
  <c r="I1294" i="9" s="1"/>
  <c r="G1294" i="9"/>
  <c r="B1294" i="9"/>
  <c r="A1294" i="9"/>
  <c r="C1294" i="9" s="1"/>
  <c r="H1293" i="9"/>
  <c r="I1293" i="9" s="1"/>
  <c r="G1293" i="9"/>
  <c r="B1293" i="9"/>
  <c r="A1293" i="9"/>
  <c r="H1292" i="9"/>
  <c r="I1292" i="9" s="1"/>
  <c r="G1292" i="9"/>
  <c r="B1292" i="9"/>
  <c r="A1292" i="9"/>
  <c r="C1292" i="9" s="1"/>
  <c r="H1291" i="9"/>
  <c r="I1291" i="9" s="1"/>
  <c r="G1291" i="9"/>
  <c r="B1291" i="9"/>
  <c r="A1291" i="9"/>
  <c r="H1290" i="9"/>
  <c r="I1290" i="9" s="1"/>
  <c r="G1290" i="9"/>
  <c r="B1290" i="9"/>
  <c r="A1290" i="9"/>
  <c r="H1289" i="9"/>
  <c r="I1289" i="9" s="1"/>
  <c r="G1289" i="9"/>
  <c r="B1289" i="9"/>
  <c r="A1289" i="9"/>
  <c r="H1288" i="9"/>
  <c r="I1288" i="9" s="1"/>
  <c r="G1288" i="9"/>
  <c r="B1288" i="9"/>
  <c r="A1288" i="9"/>
  <c r="H1287" i="9"/>
  <c r="I1287" i="9" s="1"/>
  <c r="G1287" i="9"/>
  <c r="B1287" i="9"/>
  <c r="A1287" i="9"/>
  <c r="H1286" i="9"/>
  <c r="I1286" i="9" s="1"/>
  <c r="G1286" i="9"/>
  <c r="B1286" i="9"/>
  <c r="A1286" i="9"/>
  <c r="C1286" i="9" s="1"/>
  <c r="H1285" i="9"/>
  <c r="I1285" i="9" s="1"/>
  <c r="G1285" i="9"/>
  <c r="B1285" i="9"/>
  <c r="A1285" i="9"/>
  <c r="H1284" i="9"/>
  <c r="I1284" i="9" s="1"/>
  <c r="G1284" i="9"/>
  <c r="B1284" i="9"/>
  <c r="A1284" i="9"/>
  <c r="H1283" i="9"/>
  <c r="I1283" i="9" s="1"/>
  <c r="G1283" i="9"/>
  <c r="B1283" i="9"/>
  <c r="A1283" i="9"/>
  <c r="H1282" i="9"/>
  <c r="I1282" i="9" s="1"/>
  <c r="G1282" i="9"/>
  <c r="B1282" i="9"/>
  <c r="A1282" i="9"/>
  <c r="H1281" i="9"/>
  <c r="I1281" i="9" s="1"/>
  <c r="G1281" i="9"/>
  <c r="B1281" i="9"/>
  <c r="A1281" i="9"/>
  <c r="H1280" i="9"/>
  <c r="I1280" i="9" s="1"/>
  <c r="G1280" i="9"/>
  <c r="B1280" i="9"/>
  <c r="A1280" i="9"/>
  <c r="H1279" i="9"/>
  <c r="I1279" i="9" s="1"/>
  <c r="G1279" i="9"/>
  <c r="B1279" i="9"/>
  <c r="A1279" i="9"/>
  <c r="H1278" i="9"/>
  <c r="I1278" i="9" s="1"/>
  <c r="G1278" i="9"/>
  <c r="B1278" i="9"/>
  <c r="A1278" i="9"/>
  <c r="H1277" i="9"/>
  <c r="I1277" i="9" s="1"/>
  <c r="G1277" i="9"/>
  <c r="B1277" i="9"/>
  <c r="A1277" i="9"/>
  <c r="H1276" i="9"/>
  <c r="I1276" i="9" s="1"/>
  <c r="G1276" i="9"/>
  <c r="B1276" i="9"/>
  <c r="A1276" i="9"/>
  <c r="H1275" i="9"/>
  <c r="I1275" i="9" s="1"/>
  <c r="G1275" i="9"/>
  <c r="B1275" i="9"/>
  <c r="A1275" i="9"/>
  <c r="C1275" i="9" s="1"/>
  <c r="H1274" i="9"/>
  <c r="I1274" i="9" s="1"/>
  <c r="G1274" i="9"/>
  <c r="B1274" i="9"/>
  <c r="A1274" i="9"/>
  <c r="H1273" i="9"/>
  <c r="I1273" i="9" s="1"/>
  <c r="G1273" i="9"/>
  <c r="B1273" i="9"/>
  <c r="A1273" i="9"/>
  <c r="H1272" i="9"/>
  <c r="I1272" i="9" s="1"/>
  <c r="G1272" i="9"/>
  <c r="B1272" i="9"/>
  <c r="A1272" i="9"/>
  <c r="H1271" i="9"/>
  <c r="I1271" i="9" s="1"/>
  <c r="G1271" i="9"/>
  <c r="B1271" i="9"/>
  <c r="A1271" i="9"/>
  <c r="H1270" i="9"/>
  <c r="I1270" i="9" s="1"/>
  <c r="G1270" i="9"/>
  <c r="B1270" i="9"/>
  <c r="A1270" i="9"/>
  <c r="H1269" i="9"/>
  <c r="I1269" i="9" s="1"/>
  <c r="G1269" i="9"/>
  <c r="B1269" i="9"/>
  <c r="A1269" i="9"/>
  <c r="H1268" i="9"/>
  <c r="I1268" i="9" s="1"/>
  <c r="G1268" i="9"/>
  <c r="B1268" i="9"/>
  <c r="A1268" i="9"/>
  <c r="H1267" i="9"/>
  <c r="I1267" i="9" s="1"/>
  <c r="G1267" i="9"/>
  <c r="B1267" i="9"/>
  <c r="A1267" i="9"/>
  <c r="H1266" i="9"/>
  <c r="I1266" i="9" s="1"/>
  <c r="G1266" i="9"/>
  <c r="B1266" i="9"/>
  <c r="A1266" i="9"/>
  <c r="H1265" i="9"/>
  <c r="I1265" i="9" s="1"/>
  <c r="G1265" i="9"/>
  <c r="B1265" i="9"/>
  <c r="A1265" i="9"/>
  <c r="J1265" i="9" s="1"/>
  <c r="H1264" i="9"/>
  <c r="I1264" i="9" s="1"/>
  <c r="G1264" i="9"/>
  <c r="B1264" i="9"/>
  <c r="A1264" i="9"/>
  <c r="H1263" i="9"/>
  <c r="I1263" i="9" s="1"/>
  <c r="G1263" i="9"/>
  <c r="B1263" i="9"/>
  <c r="A1263" i="9"/>
  <c r="H1262" i="9"/>
  <c r="I1262" i="9" s="1"/>
  <c r="G1262" i="9"/>
  <c r="B1262" i="9"/>
  <c r="A1262" i="9"/>
  <c r="H1261" i="9"/>
  <c r="I1261" i="9" s="1"/>
  <c r="G1261" i="9"/>
  <c r="B1261" i="9"/>
  <c r="A1261" i="9"/>
  <c r="H1260" i="9"/>
  <c r="I1260" i="9" s="1"/>
  <c r="G1260" i="9"/>
  <c r="B1260" i="9"/>
  <c r="A1260" i="9"/>
  <c r="H1259" i="9"/>
  <c r="I1259" i="9" s="1"/>
  <c r="G1259" i="9"/>
  <c r="B1259" i="9"/>
  <c r="A1259" i="9"/>
  <c r="C1259" i="9" s="1"/>
  <c r="H1258" i="9"/>
  <c r="I1258" i="9" s="1"/>
  <c r="G1258" i="9"/>
  <c r="B1258" i="9"/>
  <c r="A1258" i="9"/>
  <c r="H1257" i="9"/>
  <c r="I1257" i="9" s="1"/>
  <c r="G1257" i="9"/>
  <c r="B1257" i="9"/>
  <c r="A1257" i="9"/>
  <c r="H1256" i="9"/>
  <c r="I1256" i="9" s="1"/>
  <c r="G1256" i="9"/>
  <c r="B1256" i="9"/>
  <c r="A1256" i="9"/>
  <c r="H1255" i="9"/>
  <c r="I1255" i="9" s="1"/>
  <c r="G1255" i="9"/>
  <c r="B1255" i="9"/>
  <c r="A1255" i="9"/>
  <c r="H1254" i="9"/>
  <c r="I1254" i="9" s="1"/>
  <c r="G1254" i="9"/>
  <c r="B1254" i="9"/>
  <c r="A1254" i="9"/>
  <c r="H1253" i="9"/>
  <c r="I1253" i="9" s="1"/>
  <c r="G1253" i="9"/>
  <c r="B1253" i="9"/>
  <c r="A1253" i="9"/>
  <c r="H1252" i="9"/>
  <c r="I1252" i="9" s="1"/>
  <c r="G1252" i="9"/>
  <c r="B1252" i="9"/>
  <c r="A1252" i="9"/>
  <c r="H1251" i="9"/>
  <c r="I1251" i="9" s="1"/>
  <c r="G1251" i="9"/>
  <c r="B1251" i="9"/>
  <c r="A1251" i="9"/>
  <c r="H1250" i="9"/>
  <c r="I1250" i="9" s="1"/>
  <c r="G1250" i="9"/>
  <c r="B1250" i="9"/>
  <c r="A1250" i="9"/>
  <c r="H1249" i="9"/>
  <c r="I1249" i="9" s="1"/>
  <c r="G1249" i="9"/>
  <c r="B1249" i="9"/>
  <c r="A1249" i="9"/>
  <c r="H1248" i="9"/>
  <c r="I1248" i="9" s="1"/>
  <c r="G1248" i="9"/>
  <c r="B1248" i="9"/>
  <c r="A1248" i="9"/>
  <c r="H1247" i="9"/>
  <c r="I1247" i="9" s="1"/>
  <c r="G1247" i="9"/>
  <c r="B1247" i="9"/>
  <c r="A1247" i="9"/>
  <c r="H1246" i="9"/>
  <c r="I1246" i="9" s="1"/>
  <c r="G1246" i="9"/>
  <c r="B1246" i="9"/>
  <c r="A1246" i="9"/>
  <c r="H1245" i="9"/>
  <c r="I1245" i="9" s="1"/>
  <c r="G1245" i="9"/>
  <c r="B1245" i="9"/>
  <c r="A1245" i="9"/>
  <c r="H1244" i="9"/>
  <c r="I1244" i="9" s="1"/>
  <c r="G1244" i="9"/>
  <c r="B1244" i="9"/>
  <c r="A1244" i="9"/>
  <c r="H1243" i="9"/>
  <c r="I1243" i="9" s="1"/>
  <c r="G1243" i="9"/>
  <c r="B1243" i="9"/>
  <c r="A1243" i="9"/>
  <c r="H1242" i="9"/>
  <c r="I1242" i="9" s="1"/>
  <c r="G1242" i="9"/>
  <c r="B1242" i="9"/>
  <c r="A1242" i="9"/>
  <c r="H1241" i="9"/>
  <c r="I1241" i="9" s="1"/>
  <c r="G1241" i="9"/>
  <c r="B1241" i="9"/>
  <c r="A1241" i="9"/>
  <c r="H1240" i="9"/>
  <c r="I1240" i="9" s="1"/>
  <c r="G1240" i="9"/>
  <c r="B1240" i="9"/>
  <c r="A1240" i="9"/>
  <c r="H1239" i="9"/>
  <c r="I1239" i="9" s="1"/>
  <c r="G1239" i="9"/>
  <c r="B1239" i="9"/>
  <c r="A1239" i="9"/>
  <c r="H1238" i="9"/>
  <c r="I1238" i="9" s="1"/>
  <c r="G1238" i="9"/>
  <c r="B1238" i="9"/>
  <c r="A1238" i="9"/>
  <c r="H1237" i="9"/>
  <c r="I1237" i="9" s="1"/>
  <c r="G1237" i="9"/>
  <c r="B1237" i="9"/>
  <c r="A1237" i="9"/>
  <c r="H1236" i="9"/>
  <c r="I1236" i="9" s="1"/>
  <c r="G1236" i="9"/>
  <c r="B1236" i="9"/>
  <c r="A1236" i="9"/>
  <c r="H1235" i="9"/>
  <c r="I1235" i="9" s="1"/>
  <c r="G1235" i="9"/>
  <c r="B1235" i="9"/>
  <c r="A1235" i="9"/>
  <c r="H1234" i="9"/>
  <c r="I1234" i="9" s="1"/>
  <c r="G1234" i="9"/>
  <c r="B1234" i="9"/>
  <c r="A1234" i="9"/>
  <c r="H1233" i="9"/>
  <c r="I1233" i="9" s="1"/>
  <c r="G1233" i="9"/>
  <c r="B1233" i="9"/>
  <c r="A1233" i="9"/>
  <c r="H1232" i="9"/>
  <c r="I1232" i="9" s="1"/>
  <c r="G1232" i="9"/>
  <c r="B1232" i="9"/>
  <c r="A1232" i="9"/>
  <c r="H1231" i="9"/>
  <c r="I1231" i="9" s="1"/>
  <c r="G1231" i="9"/>
  <c r="B1231" i="9"/>
  <c r="A1231" i="9"/>
  <c r="H1230" i="9"/>
  <c r="I1230" i="9" s="1"/>
  <c r="G1230" i="9"/>
  <c r="B1230" i="9"/>
  <c r="A1230" i="9"/>
  <c r="H1229" i="9"/>
  <c r="I1229" i="9" s="1"/>
  <c r="G1229" i="9"/>
  <c r="B1229" i="9"/>
  <c r="A1229" i="9"/>
  <c r="H1228" i="9"/>
  <c r="I1228" i="9" s="1"/>
  <c r="G1228" i="9"/>
  <c r="B1228" i="9"/>
  <c r="A1228" i="9"/>
  <c r="D1228" i="9" s="1"/>
  <c r="H1227" i="9"/>
  <c r="I1227" i="9" s="1"/>
  <c r="G1227" i="9"/>
  <c r="B1227" i="9"/>
  <c r="A1227" i="9"/>
  <c r="H1226" i="9"/>
  <c r="I1226" i="9" s="1"/>
  <c r="G1226" i="9"/>
  <c r="B1226" i="9"/>
  <c r="A1226" i="9"/>
  <c r="H1225" i="9"/>
  <c r="I1225" i="9" s="1"/>
  <c r="G1225" i="9"/>
  <c r="B1225" i="9"/>
  <c r="A1225" i="9"/>
  <c r="H1224" i="9"/>
  <c r="I1224" i="9" s="1"/>
  <c r="G1224" i="9"/>
  <c r="B1224" i="9"/>
  <c r="A1224" i="9"/>
  <c r="H1223" i="9"/>
  <c r="I1223" i="9" s="1"/>
  <c r="G1223" i="9"/>
  <c r="B1223" i="9"/>
  <c r="A1223" i="9"/>
  <c r="H1222" i="9"/>
  <c r="I1222" i="9" s="1"/>
  <c r="G1222" i="9"/>
  <c r="B1222" i="9"/>
  <c r="A1222" i="9"/>
  <c r="H1221" i="9"/>
  <c r="I1221" i="9" s="1"/>
  <c r="G1221" i="9"/>
  <c r="B1221" i="9"/>
  <c r="A1221" i="9"/>
  <c r="H1220" i="9"/>
  <c r="I1220" i="9" s="1"/>
  <c r="G1220" i="9"/>
  <c r="B1220" i="9"/>
  <c r="A1220" i="9"/>
  <c r="H1219" i="9"/>
  <c r="I1219" i="9" s="1"/>
  <c r="G1219" i="9"/>
  <c r="B1219" i="9"/>
  <c r="A1219" i="9"/>
  <c r="H1218" i="9"/>
  <c r="I1218" i="9" s="1"/>
  <c r="G1218" i="9"/>
  <c r="B1218" i="9"/>
  <c r="A1218" i="9"/>
  <c r="H1217" i="9"/>
  <c r="I1217" i="9" s="1"/>
  <c r="G1217" i="9"/>
  <c r="B1217" i="9"/>
  <c r="A1217" i="9"/>
  <c r="H1216" i="9"/>
  <c r="I1216" i="9" s="1"/>
  <c r="G1216" i="9"/>
  <c r="B1216" i="9"/>
  <c r="A1216" i="9"/>
  <c r="H1215" i="9"/>
  <c r="I1215" i="9" s="1"/>
  <c r="G1215" i="9"/>
  <c r="B1215" i="9"/>
  <c r="A1215" i="9"/>
  <c r="H1214" i="9"/>
  <c r="I1214" i="9" s="1"/>
  <c r="G1214" i="9"/>
  <c r="B1214" i="9"/>
  <c r="A1214" i="9"/>
  <c r="H1213" i="9"/>
  <c r="I1213" i="9" s="1"/>
  <c r="G1213" i="9"/>
  <c r="B1213" i="9"/>
  <c r="A1213" i="9"/>
  <c r="H1212" i="9"/>
  <c r="I1212" i="9" s="1"/>
  <c r="G1212" i="9"/>
  <c r="B1212" i="9"/>
  <c r="A1212" i="9"/>
  <c r="H1211" i="9"/>
  <c r="I1211" i="9" s="1"/>
  <c r="G1211" i="9"/>
  <c r="B1211" i="9"/>
  <c r="A1211" i="9"/>
  <c r="H1210" i="9"/>
  <c r="I1210" i="9" s="1"/>
  <c r="G1210" i="9"/>
  <c r="B1210" i="9"/>
  <c r="A1210" i="9"/>
  <c r="H1209" i="9"/>
  <c r="I1209" i="9" s="1"/>
  <c r="G1209" i="9"/>
  <c r="B1209" i="9"/>
  <c r="A1209" i="9"/>
  <c r="H1208" i="9"/>
  <c r="I1208" i="9" s="1"/>
  <c r="G1208" i="9"/>
  <c r="B1208" i="9"/>
  <c r="A1208" i="9"/>
  <c r="H1207" i="9"/>
  <c r="I1207" i="9" s="1"/>
  <c r="G1207" i="9"/>
  <c r="B1207" i="9"/>
  <c r="A1207" i="9"/>
  <c r="H1206" i="9"/>
  <c r="I1206" i="9" s="1"/>
  <c r="G1206" i="9"/>
  <c r="B1206" i="9"/>
  <c r="A1206" i="9"/>
  <c r="C1206" i="9" s="1"/>
  <c r="H1205" i="9"/>
  <c r="I1205" i="9" s="1"/>
  <c r="G1205" i="9"/>
  <c r="B1205" i="9"/>
  <c r="A1205" i="9"/>
  <c r="H1204" i="9"/>
  <c r="I1204" i="9" s="1"/>
  <c r="G1204" i="9"/>
  <c r="B1204" i="9"/>
  <c r="A1204" i="9"/>
  <c r="H1203" i="9"/>
  <c r="I1203" i="9" s="1"/>
  <c r="G1203" i="9"/>
  <c r="B1203" i="9"/>
  <c r="A1203" i="9"/>
  <c r="H1202" i="9"/>
  <c r="I1202" i="9" s="1"/>
  <c r="G1202" i="9"/>
  <c r="B1202" i="9"/>
  <c r="A1202" i="9"/>
  <c r="H1201" i="9"/>
  <c r="I1201" i="9" s="1"/>
  <c r="G1201" i="9"/>
  <c r="B1201" i="9"/>
  <c r="A1201" i="9"/>
  <c r="H1200" i="9"/>
  <c r="I1200" i="9" s="1"/>
  <c r="G1200" i="9"/>
  <c r="B1200" i="9"/>
  <c r="A1200" i="9"/>
  <c r="H1199" i="9"/>
  <c r="I1199" i="9" s="1"/>
  <c r="G1199" i="9"/>
  <c r="B1199" i="9"/>
  <c r="A1199" i="9"/>
  <c r="H1198" i="9"/>
  <c r="I1198" i="9" s="1"/>
  <c r="G1198" i="9"/>
  <c r="B1198" i="9"/>
  <c r="A1198" i="9"/>
  <c r="H1197" i="9"/>
  <c r="I1197" i="9" s="1"/>
  <c r="G1197" i="9"/>
  <c r="B1197" i="9"/>
  <c r="A1197" i="9"/>
  <c r="H1196" i="9"/>
  <c r="I1196" i="9" s="1"/>
  <c r="G1196" i="9"/>
  <c r="B1196" i="9"/>
  <c r="A1196" i="9"/>
  <c r="H1195" i="9"/>
  <c r="I1195" i="9" s="1"/>
  <c r="G1195" i="9"/>
  <c r="B1195" i="9"/>
  <c r="A1195" i="9"/>
  <c r="H1194" i="9"/>
  <c r="I1194" i="9" s="1"/>
  <c r="G1194" i="9"/>
  <c r="B1194" i="9"/>
  <c r="A1194" i="9"/>
  <c r="C1194" i="9" s="1"/>
  <c r="H1193" i="9"/>
  <c r="I1193" i="9" s="1"/>
  <c r="G1193" i="9"/>
  <c r="B1193" i="9"/>
  <c r="A1193" i="9"/>
  <c r="C1193" i="9" s="1"/>
  <c r="H1192" i="9"/>
  <c r="I1192" i="9" s="1"/>
  <c r="G1192" i="9"/>
  <c r="B1192" i="9"/>
  <c r="A1192" i="9"/>
  <c r="H1191" i="9"/>
  <c r="I1191" i="9" s="1"/>
  <c r="G1191" i="9"/>
  <c r="B1191" i="9"/>
  <c r="A1191" i="9"/>
  <c r="H1190" i="9"/>
  <c r="I1190" i="9" s="1"/>
  <c r="G1190" i="9"/>
  <c r="B1190" i="9"/>
  <c r="A1190" i="9"/>
  <c r="H1189" i="9"/>
  <c r="I1189" i="9" s="1"/>
  <c r="G1189" i="9"/>
  <c r="B1189" i="9"/>
  <c r="A1189" i="9"/>
  <c r="H1188" i="9"/>
  <c r="I1188" i="9" s="1"/>
  <c r="G1188" i="9"/>
  <c r="B1188" i="9"/>
  <c r="A1188" i="9"/>
  <c r="H1187" i="9"/>
  <c r="I1187" i="9" s="1"/>
  <c r="G1187" i="9"/>
  <c r="B1187" i="9"/>
  <c r="A1187" i="9"/>
  <c r="H1186" i="9"/>
  <c r="I1186" i="9" s="1"/>
  <c r="G1186" i="9"/>
  <c r="B1186" i="9"/>
  <c r="A1186" i="9"/>
  <c r="H1185" i="9"/>
  <c r="I1185" i="9" s="1"/>
  <c r="G1185" i="9"/>
  <c r="B1185" i="9"/>
  <c r="A1185" i="9"/>
  <c r="H1184" i="9"/>
  <c r="I1184" i="9" s="1"/>
  <c r="G1184" i="9"/>
  <c r="B1184" i="9"/>
  <c r="A1184" i="9"/>
  <c r="H1183" i="9"/>
  <c r="I1183" i="9" s="1"/>
  <c r="G1183" i="9"/>
  <c r="B1183" i="9"/>
  <c r="A1183" i="9"/>
  <c r="H1182" i="9"/>
  <c r="I1182" i="9" s="1"/>
  <c r="G1182" i="9"/>
  <c r="B1182" i="9"/>
  <c r="A1182" i="9"/>
  <c r="H1181" i="9"/>
  <c r="I1181" i="9" s="1"/>
  <c r="G1181" i="9"/>
  <c r="B1181" i="9"/>
  <c r="A1181" i="9"/>
  <c r="H1180" i="9"/>
  <c r="I1180" i="9" s="1"/>
  <c r="G1180" i="9"/>
  <c r="B1180" i="9"/>
  <c r="A1180" i="9"/>
  <c r="H1179" i="9"/>
  <c r="I1179" i="9" s="1"/>
  <c r="G1179" i="9"/>
  <c r="B1179" i="9"/>
  <c r="A1179" i="9"/>
  <c r="H1178" i="9"/>
  <c r="I1178" i="9" s="1"/>
  <c r="G1178" i="9"/>
  <c r="B1178" i="9"/>
  <c r="A1178" i="9"/>
  <c r="H1177" i="9"/>
  <c r="I1177" i="9" s="1"/>
  <c r="G1177" i="9"/>
  <c r="B1177" i="9"/>
  <c r="A1177" i="9"/>
  <c r="H1176" i="9"/>
  <c r="I1176" i="9" s="1"/>
  <c r="G1176" i="9"/>
  <c r="B1176" i="9"/>
  <c r="A1176" i="9"/>
  <c r="H1175" i="9"/>
  <c r="I1175" i="9" s="1"/>
  <c r="G1175" i="9"/>
  <c r="B1175" i="9"/>
  <c r="A1175" i="9"/>
  <c r="H1174" i="9"/>
  <c r="I1174" i="9" s="1"/>
  <c r="G1174" i="9"/>
  <c r="B1174" i="9"/>
  <c r="A1174" i="9"/>
  <c r="H1173" i="9"/>
  <c r="I1173" i="9" s="1"/>
  <c r="G1173" i="9"/>
  <c r="B1173" i="9"/>
  <c r="A1173" i="9"/>
  <c r="H1172" i="9"/>
  <c r="I1172" i="9" s="1"/>
  <c r="G1172" i="9"/>
  <c r="B1172" i="9"/>
  <c r="A1172" i="9"/>
  <c r="H1171" i="9"/>
  <c r="I1171" i="9" s="1"/>
  <c r="G1171" i="9"/>
  <c r="B1171" i="9"/>
  <c r="A1171" i="9"/>
  <c r="H1170" i="9"/>
  <c r="I1170" i="9" s="1"/>
  <c r="G1170" i="9"/>
  <c r="B1170" i="9"/>
  <c r="A1170" i="9"/>
  <c r="H1169" i="9"/>
  <c r="I1169" i="9" s="1"/>
  <c r="G1169" i="9"/>
  <c r="B1169" i="9"/>
  <c r="A1169" i="9"/>
  <c r="H1168" i="9"/>
  <c r="I1168" i="9" s="1"/>
  <c r="G1168" i="9"/>
  <c r="B1168" i="9"/>
  <c r="A1168" i="9"/>
  <c r="H1167" i="9"/>
  <c r="I1167" i="9" s="1"/>
  <c r="G1167" i="9"/>
  <c r="B1167" i="9"/>
  <c r="A1167" i="9"/>
  <c r="H1166" i="9"/>
  <c r="I1166" i="9" s="1"/>
  <c r="G1166" i="9"/>
  <c r="B1166" i="9"/>
  <c r="A1166" i="9"/>
  <c r="H1165" i="9"/>
  <c r="I1165" i="9" s="1"/>
  <c r="G1165" i="9"/>
  <c r="B1165" i="9"/>
  <c r="A1165" i="9"/>
  <c r="H1164" i="9"/>
  <c r="I1164" i="9" s="1"/>
  <c r="G1164" i="9"/>
  <c r="B1164" i="9"/>
  <c r="A1164" i="9"/>
  <c r="H1163" i="9"/>
  <c r="I1163" i="9" s="1"/>
  <c r="G1163" i="9"/>
  <c r="B1163" i="9"/>
  <c r="A1163" i="9"/>
  <c r="H1162" i="9"/>
  <c r="I1162" i="9" s="1"/>
  <c r="G1162" i="9"/>
  <c r="B1162" i="9"/>
  <c r="A1162" i="9"/>
  <c r="H1161" i="9"/>
  <c r="I1161" i="9" s="1"/>
  <c r="G1161" i="9"/>
  <c r="B1161" i="9"/>
  <c r="A1161" i="9"/>
  <c r="H1160" i="9"/>
  <c r="I1160" i="9" s="1"/>
  <c r="G1160" i="9"/>
  <c r="B1160" i="9"/>
  <c r="A1160" i="9"/>
  <c r="H1159" i="9"/>
  <c r="I1159" i="9" s="1"/>
  <c r="G1159" i="9"/>
  <c r="B1159" i="9"/>
  <c r="A1159" i="9"/>
  <c r="H1158" i="9"/>
  <c r="I1158" i="9" s="1"/>
  <c r="G1158" i="9"/>
  <c r="B1158" i="9"/>
  <c r="A1158" i="9"/>
  <c r="H1157" i="9"/>
  <c r="I1157" i="9" s="1"/>
  <c r="G1157" i="9"/>
  <c r="B1157" i="9"/>
  <c r="A1157" i="9"/>
  <c r="H1156" i="9"/>
  <c r="I1156" i="9" s="1"/>
  <c r="G1156" i="9"/>
  <c r="B1156" i="9"/>
  <c r="A1156" i="9"/>
  <c r="H1155" i="9"/>
  <c r="I1155" i="9" s="1"/>
  <c r="G1155" i="9"/>
  <c r="B1155" i="9"/>
  <c r="A1155" i="9"/>
  <c r="H1154" i="9"/>
  <c r="I1154" i="9" s="1"/>
  <c r="G1154" i="9"/>
  <c r="B1154" i="9"/>
  <c r="A1154" i="9"/>
  <c r="H1153" i="9"/>
  <c r="I1153" i="9" s="1"/>
  <c r="G1153" i="9"/>
  <c r="B1153" i="9"/>
  <c r="A1153" i="9"/>
  <c r="H1152" i="9"/>
  <c r="I1152" i="9" s="1"/>
  <c r="G1152" i="9"/>
  <c r="B1152" i="9"/>
  <c r="A1152" i="9"/>
  <c r="H1151" i="9"/>
  <c r="I1151" i="9" s="1"/>
  <c r="G1151" i="9"/>
  <c r="B1151" i="9"/>
  <c r="A1151" i="9"/>
  <c r="H1150" i="9"/>
  <c r="I1150" i="9" s="1"/>
  <c r="G1150" i="9"/>
  <c r="B1150" i="9"/>
  <c r="A1150" i="9"/>
  <c r="H1149" i="9"/>
  <c r="I1149" i="9" s="1"/>
  <c r="G1149" i="9"/>
  <c r="B1149" i="9"/>
  <c r="A1149" i="9"/>
  <c r="H1148" i="9"/>
  <c r="I1148" i="9" s="1"/>
  <c r="G1148" i="9"/>
  <c r="B1148" i="9"/>
  <c r="A1148" i="9"/>
  <c r="H1147" i="9"/>
  <c r="I1147" i="9" s="1"/>
  <c r="G1147" i="9"/>
  <c r="B1147" i="9"/>
  <c r="A1147" i="9"/>
  <c r="H1146" i="9"/>
  <c r="I1146" i="9" s="1"/>
  <c r="G1146" i="9"/>
  <c r="B1146" i="9"/>
  <c r="A1146" i="9"/>
  <c r="H1145" i="9"/>
  <c r="I1145" i="9" s="1"/>
  <c r="G1145" i="9"/>
  <c r="B1145" i="9"/>
  <c r="A1145" i="9"/>
  <c r="H1144" i="9"/>
  <c r="I1144" i="9" s="1"/>
  <c r="G1144" i="9"/>
  <c r="B1144" i="9"/>
  <c r="A1144" i="9"/>
  <c r="H1143" i="9"/>
  <c r="I1143" i="9" s="1"/>
  <c r="G1143" i="9"/>
  <c r="B1143" i="9"/>
  <c r="A1143" i="9"/>
  <c r="H1142" i="9"/>
  <c r="I1142" i="9" s="1"/>
  <c r="G1142" i="9"/>
  <c r="B1142" i="9"/>
  <c r="A1142" i="9"/>
  <c r="H1141" i="9"/>
  <c r="I1141" i="9" s="1"/>
  <c r="G1141" i="9"/>
  <c r="B1141" i="9"/>
  <c r="A1141" i="9"/>
  <c r="H1140" i="9"/>
  <c r="I1140" i="9" s="1"/>
  <c r="G1140" i="9"/>
  <c r="B1140" i="9"/>
  <c r="A1140" i="9"/>
  <c r="H1139" i="9"/>
  <c r="I1139" i="9" s="1"/>
  <c r="G1139" i="9"/>
  <c r="B1139" i="9"/>
  <c r="A1139" i="9"/>
  <c r="H1138" i="9"/>
  <c r="I1138" i="9" s="1"/>
  <c r="G1138" i="9"/>
  <c r="B1138" i="9"/>
  <c r="A1138" i="9"/>
  <c r="H1137" i="9"/>
  <c r="I1137" i="9" s="1"/>
  <c r="G1137" i="9"/>
  <c r="B1137" i="9"/>
  <c r="A1137" i="9"/>
  <c r="H1136" i="9"/>
  <c r="I1136" i="9" s="1"/>
  <c r="G1136" i="9"/>
  <c r="B1136" i="9"/>
  <c r="A1136" i="9"/>
  <c r="H1135" i="9"/>
  <c r="I1135" i="9" s="1"/>
  <c r="G1135" i="9"/>
  <c r="B1135" i="9"/>
  <c r="A1135" i="9"/>
  <c r="H1134" i="9"/>
  <c r="I1134" i="9" s="1"/>
  <c r="G1134" i="9"/>
  <c r="B1134" i="9"/>
  <c r="A1134" i="9"/>
  <c r="H1133" i="9"/>
  <c r="I1133" i="9" s="1"/>
  <c r="G1133" i="9"/>
  <c r="B1133" i="9"/>
  <c r="A1133" i="9"/>
  <c r="H1132" i="9"/>
  <c r="I1132" i="9" s="1"/>
  <c r="G1132" i="9"/>
  <c r="B1132" i="9"/>
  <c r="A1132" i="9"/>
  <c r="H1131" i="9"/>
  <c r="I1131" i="9" s="1"/>
  <c r="G1131" i="9"/>
  <c r="B1131" i="9"/>
  <c r="A1131" i="9"/>
  <c r="H1130" i="9"/>
  <c r="I1130" i="9" s="1"/>
  <c r="G1130" i="9"/>
  <c r="B1130" i="9"/>
  <c r="A1130" i="9"/>
  <c r="H1129" i="9"/>
  <c r="I1129" i="9" s="1"/>
  <c r="G1129" i="9"/>
  <c r="B1129" i="9"/>
  <c r="A1129" i="9"/>
  <c r="H1128" i="9"/>
  <c r="I1128" i="9" s="1"/>
  <c r="G1128" i="9"/>
  <c r="B1128" i="9"/>
  <c r="A1128" i="9"/>
  <c r="H1127" i="9"/>
  <c r="I1127" i="9" s="1"/>
  <c r="G1127" i="9"/>
  <c r="B1127" i="9"/>
  <c r="A1127" i="9"/>
  <c r="H1126" i="9"/>
  <c r="I1126" i="9" s="1"/>
  <c r="G1126" i="9"/>
  <c r="B1126" i="9"/>
  <c r="A1126" i="9"/>
  <c r="H1125" i="9"/>
  <c r="I1125" i="9" s="1"/>
  <c r="G1125" i="9"/>
  <c r="B1125" i="9"/>
  <c r="A1125" i="9"/>
  <c r="H1124" i="9"/>
  <c r="I1124" i="9" s="1"/>
  <c r="G1124" i="9"/>
  <c r="B1124" i="9"/>
  <c r="A1124" i="9"/>
  <c r="H1123" i="9"/>
  <c r="I1123" i="9" s="1"/>
  <c r="G1123" i="9"/>
  <c r="B1123" i="9"/>
  <c r="A1123" i="9"/>
  <c r="H1122" i="9"/>
  <c r="I1122" i="9" s="1"/>
  <c r="G1122" i="9"/>
  <c r="B1122" i="9"/>
  <c r="A1122" i="9"/>
  <c r="H1121" i="9"/>
  <c r="I1121" i="9" s="1"/>
  <c r="G1121" i="9"/>
  <c r="B1121" i="9"/>
  <c r="A1121" i="9"/>
  <c r="H1120" i="9"/>
  <c r="I1120" i="9" s="1"/>
  <c r="G1120" i="9"/>
  <c r="B1120" i="9"/>
  <c r="A1120" i="9"/>
  <c r="H1119" i="9"/>
  <c r="I1119" i="9" s="1"/>
  <c r="G1119" i="9"/>
  <c r="B1119" i="9"/>
  <c r="A1119" i="9"/>
  <c r="H1118" i="9"/>
  <c r="I1118" i="9" s="1"/>
  <c r="G1118" i="9"/>
  <c r="B1118" i="9"/>
  <c r="A1118" i="9"/>
  <c r="H1117" i="9"/>
  <c r="I1117" i="9" s="1"/>
  <c r="G1117" i="9"/>
  <c r="B1117" i="9"/>
  <c r="A1117" i="9"/>
  <c r="H1116" i="9"/>
  <c r="I1116" i="9" s="1"/>
  <c r="G1116" i="9"/>
  <c r="B1116" i="9"/>
  <c r="A1116" i="9"/>
  <c r="H1115" i="9"/>
  <c r="I1115" i="9" s="1"/>
  <c r="G1115" i="9"/>
  <c r="B1115" i="9"/>
  <c r="A1115" i="9"/>
  <c r="C1115" i="9" s="1"/>
  <c r="H1114" i="9"/>
  <c r="I1114" i="9" s="1"/>
  <c r="G1114" i="9"/>
  <c r="B1114" i="9"/>
  <c r="A1114" i="9"/>
  <c r="H1113" i="9"/>
  <c r="I1113" i="9" s="1"/>
  <c r="G1113" i="9"/>
  <c r="B1113" i="9"/>
  <c r="A1113" i="9"/>
  <c r="H1112" i="9"/>
  <c r="I1112" i="9" s="1"/>
  <c r="G1112" i="9"/>
  <c r="B1112" i="9"/>
  <c r="A1112" i="9"/>
  <c r="H1111" i="9"/>
  <c r="I1111" i="9" s="1"/>
  <c r="G1111" i="9"/>
  <c r="B1111" i="9"/>
  <c r="A1111" i="9"/>
  <c r="H1110" i="9"/>
  <c r="I1110" i="9" s="1"/>
  <c r="G1110" i="9"/>
  <c r="B1110" i="9"/>
  <c r="A1110" i="9"/>
  <c r="H1109" i="9"/>
  <c r="I1109" i="9" s="1"/>
  <c r="G1109" i="9"/>
  <c r="B1109" i="9"/>
  <c r="A1109" i="9"/>
  <c r="H1108" i="9"/>
  <c r="I1108" i="9" s="1"/>
  <c r="G1108" i="9"/>
  <c r="B1108" i="9"/>
  <c r="A1108" i="9"/>
  <c r="H1107" i="9"/>
  <c r="I1107" i="9" s="1"/>
  <c r="G1107" i="9"/>
  <c r="B1107" i="9"/>
  <c r="A1107" i="9"/>
  <c r="H1106" i="9"/>
  <c r="I1106" i="9" s="1"/>
  <c r="G1106" i="9"/>
  <c r="B1106" i="9"/>
  <c r="A1106" i="9"/>
  <c r="H1105" i="9"/>
  <c r="I1105" i="9" s="1"/>
  <c r="G1105" i="9"/>
  <c r="B1105" i="9"/>
  <c r="A1105" i="9"/>
  <c r="H1104" i="9"/>
  <c r="I1104" i="9" s="1"/>
  <c r="G1104" i="9"/>
  <c r="B1104" i="9"/>
  <c r="A1104" i="9"/>
  <c r="H1103" i="9"/>
  <c r="I1103" i="9" s="1"/>
  <c r="G1103" i="9"/>
  <c r="B1103" i="9"/>
  <c r="A1103" i="9"/>
  <c r="H1102" i="9"/>
  <c r="I1102" i="9" s="1"/>
  <c r="G1102" i="9"/>
  <c r="B1102" i="9"/>
  <c r="A1102" i="9"/>
  <c r="H1101" i="9"/>
  <c r="I1101" i="9" s="1"/>
  <c r="G1101" i="9"/>
  <c r="B1101" i="9"/>
  <c r="A1101" i="9"/>
  <c r="H1100" i="9"/>
  <c r="I1100" i="9" s="1"/>
  <c r="G1100" i="9"/>
  <c r="B1100" i="9"/>
  <c r="A1100" i="9"/>
  <c r="H1099" i="9"/>
  <c r="I1099" i="9" s="1"/>
  <c r="G1099" i="9"/>
  <c r="B1099" i="9"/>
  <c r="A1099" i="9"/>
  <c r="H1098" i="9"/>
  <c r="I1098" i="9" s="1"/>
  <c r="G1098" i="9"/>
  <c r="B1098" i="9"/>
  <c r="A1098" i="9"/>
  <c r="H1097" i="9"/>
  <c r="I1097" i="9" s="1"/>
  <c r="G1097" i="9"/>
  <c r="B1097" i="9"/>
  <c r="A1097" i="9"/>
  <c r="H1096" i="9"/>
  <c r="I1096" i="9" s="1"/>
  <c r="G1096" i="9"/>
  <c r="B1096" i="9"/>
  <c r="A1096" i="9"/>
  <c r="H1095" i="9"/>
  <c r="I1095" i="9" s="1"/>
  <c r="G1095" i="9"/>
  <c r="B1095" i="9"/>
  <c r="A1095" i="9"/>
  <c r="H1094" i="9"/>
  <c r="I1094" i="9" s="1"/>
  <c r="G1094" i="9"/>
  <c r="B1094" i="9"/>
  <c r="A1094" i="9"/>
  <c r="H1093" i="9"/>
  <c r="I1093" i="9" s="1"/>
  <c r="G1093" i="9"/>
  <c r="B1093" i="9"/>
  <c r="A1093" i="9"/>
  <c r="H1092" i="9"/>
  <c r="I1092" i="9" s="1"/>
  <c r="G1092" i="9"/>
  <c r="B1092" i="9"/>
  <c r="A1092" i="9"/>
  <c r="H1091" i="9"/>
  <c r="I1091" i="9" s="1"/>
  <c r="G1091" i="9"/>
  <c r="B1091" i="9"/>
  <c r="A1091" i="9"/>
  <c r="H1090" i="9"/>
  <c r="I1090" i="9" s="1"/>
  <c r="G1090" i="9"/>
  <c r="B1090" i="9"/>
  <c r="A1090" i="9"/>
  <c r="H1089" i="9"/>
  <c r="I1089" i="9" s="1"/>
  <c r="G1089" i="9"/>
  <c r="B1089" i="9"/>
  <c r="A1089" i="9"/>
  <c r="H1088" i="9"/>
  <c r="I1088" i="9" s="1"/>
  <c r="G1088" i="9"/>
  <c r="B1088" i="9"/>
  <c r="A1088" i="9"/>
  <c r="H1087" i="9"/>
  <c r="I1087" i="9" s="1"/>
  <c r="G1087" i="9"/>
  <c r="B1087" i="9"/>
  <c r="A1087" i="9"/>
  <c r="H1086" i="9"/>
  <c r="I1086" i="9" s="1"/>
  <c r="G1086" i="9"/>
  <c r="B1086" i="9"/>
  <c r="A1086" i="9"/>
  <c r="H1085" i="9"/>
  <c r="I1085" i="9" s="1"/>
  <c r="G1085" i="9"/>
  <c r="B1085" i="9"/>
  <c r="A1085" i="9"/>
  <c r="H1084" i="9"/>
  <c r="I1084" i="9" s="1"/>
  <c r="G1084" i="9"/>
  <c r="B1084" i="9"/>
  <c r="A1084" i="9"/>
  <c r="H1083" i="9"/>
  <c r="I1083" i="9" s="1"/>
  <c r="G1083" i="9"/>
  <c r="B1083" i="9"/>
  <c r="A1083" i="9"/>
  <c r="H1082" i="9"/>
  <c r="I1082" i="9" s="1"/>
  <c r="G1082" i="9"/>
  <c r="B1082" i="9"/>
  <c r="A1082" i="9"/>
  <c r="H1081" i="9"/>
  <c r="I1081" i="9" s="1"/>
  <c r="G1081" i="9"/>
  <c r="B1081" i="9"/>
  <c r="A1081" i="9"/>
  <c r="H1080" i="9"/>
  <c r="I1080" i="9" s="1"/>
  <c r="G1080" i="9"/>
  <c r="B1080" i="9"/>
  <c r="A1080" i="9"/>
  <c r="H1079" i="9"/>
  <c r="I1079" i="9" s="1"/>
  <c r="G1079" i="9"/>
  <c r="B1079" i="9"/>
  <c r="A1079" i="9"/>
  <c r="H1078" i="9"/>
  <c r="I1078" i="9" s="1"/>
  <c r="G1078" i="9"/>
  <c r="B1078" i="9"/>
  <c r="A1078" i="9"/>
  <c r="H1077" i="9"/>
  <c r="I1077" i="9" s="1"/>
  <c r="G1077" i="9"/>
  <c r="B1077" i="9"/>
  <c r="A1077" i="9"/>
  <c r="H1076" i="9"/>
  <c r="I1076" i="9" s="1"/>
  <c r="G1076" i="9"/>
  <c r="B1076" i="9"/>
  <c r="A1076" i="9"/>
  <c r="H1075" i="9"/>
  <c r="I1075" i="9" s="1"/>
  <c r="G1075" i="9"/>
  <c r="B1075" i="9"/>
  <c r="A1075" i="9"/>
  <c r="H1074" i="9"/>
  <c r="I1074" i="9" s="1"/>
  <c r="G1074" i="9"/>
  <c r="B1074" i="9"/>
  <c r="A1074" i="9"/>
  <c r="H1073" i="9"/>
  <c r="I1073" i="9" s="1"/>
  <c r="G1073" i="9"/>
  <c r="B1073" i="9"/>
  <c r="A1073" i="9"/>
  <c r="H1072" i="9"/>
  <c r="I1072" i="9" s="1"/>
  <c r="G1072" i="9"/>
  <c r="B1072" i="9"/>
  <c r="A1072" i="9"/>
  <c r="H1071" i="9"/>
  <c r="I1071" i="9" s="1"/>
  <c r="G1071" i="9"/>
  <c r="B1071" i="9"/>
  <c r="A1071" i="9"/>
  <c r="H1070" i="9"/>
  <c r="I1070" i="9" s="1"/>
  <c r="G1070" i="9"/>
  <c r="B1070" i="9"/>
  <c r="A1070" i="9"/>
  <c r="H1069" i="9"/>
  <c r="I1069" i="9" s="1"/>
  <c r="G1069" i="9"/>
  <c r="B1069" i="9"/>
  <c r="A1069" i="9"/>
  <c r="H1068" i="9"/>
  <c r="I1068" i="9" s="1"/>
  <c r="G1068" i="9"/>
  <c r="B1068" i="9"/>
  <c r="A1068" i="9"/>
  <c r="H1067" i="9"/>
  <c r="I1067" i="9" s="1"/>
  <c r="G1067" i="9"/>
  <c r="B1067" i="9"/>
  <c r="A1067" i="9"/>
  <c r="H1066" i="9"/>
  <c r="I1066" i="9" s="1"/>
  <c r="G1066" i="9"/>
  <c r="B1066" i="9"/>
  <c r="A1066" i="9"/>
  <c r="H1065" i="9"/>
  <c r="I1065" i="9" s="1"/>
  <c r="G1065" i="9"/>
  <c r="B1065" i="9"/>
  <c r="A1065" i="9"/>
  <c r="H1064" i="9"/>
  <c r="I1064" i="9" s="1"/>
  <c r="G1064" i="9"/>
  <c r="B1064" i="9"/>
  <c r="A1064" i="9"/>
  <c r="H1063" i="9"/>
  <c r="I1063" i="9" s="1"/>
  <c r="G1063" i="9"/>
  <c r="B1063" i="9"/>
  <c r="A1063" i="9"/>
  <c r="H1062" i="9"/>
  <c r="I1062" i="9" s="1"/>
  <c r="G1062" i="9"/>
  <c r="B1062" i="9"/>
  <c r="A1062" i="9"/>
  <c r="H1061" i="9"/>
  <c r="I1061" i="9" s="1"/>
  <c r="G1061" i="9"/>
  <c r="B1061" i="9"/>
  <c r="A1061" i="9"/>
  <c r="H1060" i="9"/>
  <c r="I1060" i="9" s="1"/>
  <c r="G1060" i="9"/>
  <c r="B1060" i="9"/>
  <c r="A1060" i="9"/>
  <c r="H1059" i="9"/>
  <c r="I1059" i="9" s="1"/>
  <c r="G1059" i="9"/>
  <c r="B1059" i="9"/>
  <c r="A1059" i="9"/>
  <c r="H1058" i="9"/>
  <c r="I1058" i="9" s="1"/>
  <c r="G1058" i="9"/>
  <c r="B1058" i="9"/>
  <c r="A1058" i="9"/>
  <c r="H1057" i="9"/>
  <c r="I1057" i="9" s="1"/>
  <c r="G1057" i="9"/>
  <c r="B1057" i="9"/>
  <c r="A1057" i="9"/>
  <c r="H1056" i="9"/>
  <c r="I1056" i="9" s="1"/>
  <c r="G1056" i="9"/>
  <c r="B1056" i="9"/>
  <c r="A1056" i="9"/>
  <c r="C1056" i="9" s="1"/>
  <c r="H1055" i="9"/>
  <c r="I1055" i="9" s="1"/>
  <c r="G1055" i="9"/>
  <c r="B1055" i="9"/>
  <c r="A1055" i="9"/>
  <c r="H1054" i="9"/>
  <c r="I1054" i="9" s="1"/>
  <c r="G1054" i="9"/>
  <c r="B1054" i="9"/>
  <c r="A1054" i="9"/>
  <c r="H1053" i="9"/>
  <c r="I1053" i="9" s="1"/>
  <c r="G1053" i="9"/>
  <c r="B1053" i="9"/>
  <c r="A1053" i="9"/>
  <c r="H1052" i="9"/>
  <c r="I1052" i="9" s="1"/>
  <c r="G1052" i="9"/>
  <c r="B1052" i="9"/>
  <c r="A1052" i="9"/>
  <c r="H1051" i="9"/>
  <c r="I1051" i="9" s="1"/>
  <c r="G1051" i="9"/>
  <c r="B1051" i="9"/>
  <c r="A1051" i="9"/>
  <c r="H1050" i="9"/>
  <c r="I1050" i="9" s="1"/>
  <c r="G1050" i="9"/>
  <c r="B1050" i="9"/>
  <c r="A1050" i="9"/>
  <c r="H1049" i="9"/>
  <c r="I1049" i="9" s="1"/>
  <c r="G1049" i="9"/>
  <c r="B1049" i="9"/>
  <c r="A1049" i="9"/>
  <c r="H1048" i="9"/>
  <c r="I1048" i="9" s="1"/>
  <c r="G1048" i="9"/>
  <c r="B1048" i="9"/>
  <c r="A1048" i="9"/>
  <c r="H1047" i="9"/>
  <c r="I1047" i="9" s="1"/>
  <c r="G1047" i="9"/>
  <c r="B1047" i="9"/>
  <c r="A1047" i="9"/>
  <c r="H1046" i="9"/>
  <c r="I1046" i="9" s="1"/>
  <c r="G1046" i="9"/>
  <c r="B1046" i="9"/>
  <c r="A1046" i="9"/>
  <c r="H1045" i="9"/>
  <c r="I1045" i="9" s="1"/>
  <c r="G1045" i="9"/>
  <c r="B1045" i="9"/>
  <c r="A1045" i="9"/>
  <c r="H1044" i="9"/>
  <c r="I1044" i="9" s="1"/>
  <c r="G1044" i="9"/>
  <c r="B1044" i="9"/>
  <c r="A1044" i="9"/>
  <c r="H1043" i="9"/>
  <c r="I1043" i="9" s="1"/>
  <c r="G1043" i="9"/>
  <c r="B1043" i="9"/>
  <c r="A1043" i="9"/>
  <c r="H1042" i="9"/>
  <c r="I1042" i="9" s="1"/>
  <c r="G1042" i="9"/>
  <c r="B1042" i="9"/>
  <c r="A1042" i="9"/>
  <c r="H1041" i="9"/>
  <c r="I1041" i="9" s="1"/>
  <c r="G1041" i="9"/>
  <c r="B1041" i="9"/>
  <c r="A1041" i="9"/>
  <c r="H1040" i="9"/>
  <c r="I1040" i="9" s="1"/>
  <c r="G1040" i="9"/>
  <c r="B1040" i="9"/>
  <c r="A1040" i="9"/>
  <c r="H1039" i="9"/>
  <c r="I1039" i="9" s="1"/>
  <c r="G1039" i="9"/>
  <c r="B1039" i="9"/>
  <c r="A1039" i="9"/>
  <c r="H1038" i="9"/>
  <c r="I1038" i="9" s="1"/>
  <c r="G1038" i="9"/>
  <c r="B1038" i="9"/>
  <c r="A1038" i="9"/>
  <c r="H1037" i="9"/>
  <c r="I1037" i="9" s="1"/>
  <c r="G1037" i="9"/>
  <c r="B1037" i="9"/>
  <c r="A1037" i="9"/>
  <c r="H1036" i="9"/>
  <c r="I1036" i="9" s="1"/>
  <c r="G1036" i="9"/>
  <c r="B1036" i="9"/>
  <c r="A1036" i="9"/>
  <c r="H1035" i="9"/>
  <c r="I1035" i="9" s="1"/>
  <c r="G1035" i="9"/>
  <c r="B1035" i="9"/>
  <c r="A1035" i="9"/>
  <c r="H1034" i="9"/>
  <c r="I1034" i="9" s="1"/>
  <c r="G1034" i="9"/>
  <c r="B1034" i="9"/>
  <c r="A1034" i="9"/>
  <c r="H1033" i="9"/>
  <c r="I1033" i="9" s="1"/>
  <c r="G1033" i="9"/>
  <c r="B1033" i="9"/>
  <c r="A1033" i="9"/>
  <c r="H1032" i="9"/>
  <c r="I1032" i="9" s="1"/>
  <c r="G1032" i="9"/>
  <c r="B1032" i="9"/>
  <c r="A1032" i="9"/>
  <c r="H1031" i="9"/>
  <c r="I1031" i="9" s="1"/>
  <c r="G1031" i="9"/>
  <c r="B1031" i="9"/>
  <c r="A1031" i="9"/>
  <c r="H1030" i="9"/>
  <c r="I1030" i="9" s="1"/>
  <c r="G1030" i="9"/>
  <c r="B1030" i="9"/>
  <c r="A1030" i="9"/>
  <c r="H1029" i="9"/>
  <c r="I1029" i="9" s="1"/>
  <c r="G1029" i="9"/>
  <c r="B1029" i="9"/>
  <c r="A1029" i="9"/>
  <c r="H1028" i="9"/>
  <c r="I1028" i="9" s="1"/>
  <c r="G1028" i="9"/>
  <c r="B1028" i="9"/>
  <c r="A1028" i="9"/>
  <c r="H1027" i="9"/>
  <c r="I1027" i="9" s="1"/>
  <c r="G1027" i="9"/>
  <c r="B1027" i="9"/>
  <c r="A1027" i="9"/>
  <c r="H1026" i="9"/>
  <c r="I1026" i="9" s="1"/>
  <c r="G1026" i="9"/>
  <c r="B1026" i="9"/>
  <c r="A1026" i="9"/>
  <c r="H1025" i="9"/>
  <c r="I1025" i="9" s="1"/>
  <c r="G1025" i="9"/>
  <c r="B1025" i="9"/>
  <c r="A1025" i="9"/>
  <c r="H1024" i="9"/>
  <c r="I1024" i="9" s="1"/>
  <c r="G1024" i="9"/>
  <c r="B1024" i="9"/>
  <c r="A1024" i="9"/>
  <c r="H1023" i="9"/>
  <c r="I1023" i="9" s="1"/>
  <c r="G1023" i="9"/>
  <c r="B1023" i="9"/>
  <c r="A1023" i="9"/>
  <c r="H1022" i="9"/>
  <c r="I1022" i="9" s="1"/>
  <c r="G1022" i="9"/>
  <c r="B1022" i="9"/>
  <c r="A1022" i="9"/>
  <c r="H1021" i="9"/>
  <c r="I1021" i="9" s="1"/>
  <c r="G1021" i="9"/>
  <c r="B1021" i="9"/>
  <c r="A1021" i="9"/>
  <c r="H1020" i="9"/>
  <c r="I1020" i="9" s="1"/>
  <c r="G1020" i="9"/>
  <c r="B1020" i="9"/>
  <c r="A1020" i="9"/>
  <c r="H1019" i="9"/>
  <c r="I1019" i="9" s="1"/>
  <c r="G1019" i="9"/>
  <c r="B1019" i="9"/>
  <c r="A1019" i="9"/>
  <c r="H1018" i="9"/>
  <c r="I1018" i="9" s="1"/>
  <c r="G1018" i="9"/>
  <c r="B1018" i="9"/>
  <c r="A1018" i="9"/>
  <c r="H1017" i="9"/>
  <c r="I1017" i="9" s="1"/>
  <c r="G1017" i="9"/>
  <c r="B1017" i="9"/>
  <c r="A1017" i="9"/>
  <c r="H1016" i="9"/>
  <c r="I1016" i="9" s="1"/>
  <c r="G1016" i="9"/>
  <c r="B1016" i="9"/>
  <c r="A1016" i="9"/>
  <c r="H1015" i="9"/>
  <c r="I1015" i="9" s="1"/>
  <c r="G1015" i="9"/>
  <c r="B1015" i="9"/>
  <c r="A1015" i="9"/>
  <c r="H1014" i="9"/>
  <c r="I1014" i="9" s="1"/>
  <c r="G1014" i="9"/>
  <c r="B1014" i="9"/>
  <c r="A1014" i="9"/>
  <c r="H1013" i="9"/>
  <c r="I1013" i="9" s="1"/>
  <c r="G1013" i="9"/>
  <c r="B1013" i="9"/>
  <c r="A1013" i="9"/>
  <c r="H1012" i="9"/>
  <c r="I1012" i="9" s="1"/>
  <c r="G1012" i="9"/>
  <c r="B1012" i="9"/>
  <c r="A1012" i="9"/>
  <c r="C1012" i="9" s="1"/>
  <c r="H1011" i="9"/>
  <c r="I1011" i="9" s="1"/>
  <c r="G1011" i="9"/>
  <c r="B1011" i="9"/>
  <c r="A1011" i="9"/>
  <c r="H1010" i="9"/>
  <c r="I1010" i="9" s="1"/>
  <c r="G1010" i="9"/>
  <c r="B1010" i="9"/>
  <c r="A1010" i="9"/>
  <c r="H1009" i="9"/>
  <c r="I1009" i="9" s="1"/>
  <c r="G1009" i="9"/>
  <c r="B1009" i="9"/>
  <c r="A1009" i="9"/>
  <c r="H1008" i="9"/>
  <c r="I1008" i="9" s="1"/>
  <c r="G1008" i="9"/>
  <c r="B1008" i="9"/>
  <c r="A1008" i="9"/>
  <c r="H1007" i="9"/>
  <c r="I1007" i="9" s="1"/>
  <c r="G1007" i="9"/>
  <c r="B1007" i="9"/>
  <c r="A1007" i="9"/>
  <c r="H1006" i="9"/>
  <c r="I1006" i="9" s="1"/>
  <c r="G1006" i="9"/>
  <c r="B1006" i="9"/>
  <c r="A1006" i="9"/>
  <c r="H1005" i="9"/>
  <c r="I1005" i="9" s="1"/>
  <c r="G1005" i="9"/>
  <c r="B1005" i="9"/>
  <c r="A1005" i="9"/>
  <c r="H1004" i="9"/>
  <c r="I1004" i="9" s="1"/>
  <c r="G1004" i="9"/>
  <c r="B1004" i="9"/>
  <c r="A1004" i="9"/>
  <c r="H1003" i="9"/>
  <c r="I1003" i="9" s="1"/>
  <c r="G1003" i="9"/>
  <c r="B1003" i="9"/>
  <c r="A1003" i="9"/>
  <c r="H1002" i="9"/>
  <c r="I1002" i="9" s="1"/>
  <c r="G1002" i="9"/>
  <c r="B1002" i="9"/>
  <c r="A1002" i="9"/>
  <c r="H1001" i="9"/>
  <c r="I1001" i="9" s="1"/>
  <c r="G1001" i="9"/>
  <c r="B1001" i="9"/>
  <c r="A1001" i="9"/>
  <c r="H1000" i="9"/>
  <c r="I1000" i="9" s="1"/>
  <c r="G1000" i="9"/>
  <c r="B1000" i="9"/>
  <c r="A1000" i="9"/>
  <c r="H999" i="9"/>
  <c r="I999" i="9" s="1"/>
  <c r="G999" i="9"/>
  <c r="B999" i="9"/>
  <c r="A999" i="9"/>
  <c r="H998" i="9"/>
  <c r="I998" i="9" s="1"/>
  <c r="G998" i="9"/>
  <c r="B998" i="9"/>
  <c r="A998" i="9"/>
  <c r="H997" i="9"/>
  <c r="I997" i="9" s="1"/>
  <c r="G997" i="9"/>
  <c r="B997" i="9"/>
  <c r="A997" i="9"/>
  <c r="H996" i="9"/>
  <c r="I996" i="9" s="1"/>
  <c r="G996" i="9"/>
  <c r="B996" i="9"/>
  <c r="A996" i="9"/>
  <c r="H995" i="9"/>
  <c r="I995" i="9" s="1"/>
  <c r="G995" i="9"/>
  <c r="B995" i="9"/>
  <c r="A995" i="9"/>
  <c r="H994" i="9"/>
  <c r="I994" i="9" s="1"/>
  <c r="G994" i="9"/>
  <c r="B994" i="9"/>
  <c r="A994" i="9"/>
  <c r="H993" i="9"/>
  <c r="I993" i="9" s="1"/>
  <c r="G993" i="9"/>
  <c r="B993" i="9"/>
  <c r="A993" i="9"/>
  <c r="H992" i="9"/>
  <c r="I992" i="9" s="1"/>
  <c r="G992" i="9"/>
  <c r="B992" i="9"/>
  <c r="A992" i="9"/>
  <c r="H991" i="9"/>
  <c r="I991" i="9" s="1"/>
  <c r="G991" i="9"/>
  <c r="B991" i="9"/>
  <c r="A991" i="9"/>
  <c r="H990" i="9"/>
  <c r="I990" i="9" s="1"/>
  <c r="G990" i="9"/>
  <c r="B990" i="9"/>
  <c r="A990" i="9"/>
  <c r="H989" i="9"/>
  <c r="I989" i="9" s="1"/>
  <c r="G989" i="9"/>
  <c r="B989" i="9"/>
  <c r="A989" i="9"/>
  <c r="H988" i="9"/>
  <c r="I988" i="9" s="1"/>
  <c r="G988" i="9"/>
  <c r="B988" i="9"/>
  <c r="A988" i="9"/>
  <c r="H987" i="9"/>
  <c r="I987" i="9" s="1"/>
  <c r="G987" i="9"/>
  <c r="B987" i="9"/>
  <c r="A987" i="9"/>
  <c r="H986" i="9"/>
  <c r="I986" i="9" s="1"/>
  <c r="G986" i="9"/>
  <c r="B986" i="9"/>
  <c r="A986" i="9"/>
  <c r="H985" i="9"/>
  <c r="I985" i="9" s="1"/>
  <c r="G985" i="9"/>
  <c r="B985" i="9"/>
  <c r="A985" i="9"/>
  <c r="H984" i="9"/>
  <c r="I984" i="9" s="1"/>
  <c r="G984" i="9"/>
  <c r="B984" i="9"/>
  <c r="A984" i="9"/>
  <c r="H983" i="9"/>
  <c r="I983" i="9" s="1"/>
  <c r="G983" i="9"/>
  <c r="B983" i="9"/>
  <c r="A983" i="9"/>
  <c r="H982" i="9"/>
  <c r="I982" i="9" s="1"/>
  <c r="G982" i="9"/>
  <c r="B982" i="9"/>
  <c r="A982" i="9"/>
  <c r="H981" i="9"/>
  <c r="I981" i="9" s="1"/>
  <c r="G981" i="9"/>
  <c r="B981" i="9"/>
  <c r="A981" i="9"/>
  <c r="H980" i="9"/>
  <c r="I980" i="9" s="1"/>
  <c r="G980" i="9"/>
  <c r="B980" i="9"/>
  <c r="A980" i="9"/>
  <c r="H979" i="9"/>
  <c r="I979" i="9" s="1"/>
  <c r="G979" i="9"/>
  <c r="B979" i="9"/>
  <c r="A979" i="9"/>
  <c r="H978" i="9"/>
  <c r="I978" i="9" s="1"/>
  <c r="G978" i="9"/>
  <c r="B978" i="9"/>
  <c r="A978" i="9"/>
  <c r="H977" i="9"/>
  <c r="I977" i="9" s="1"/>
  <c r="G977" i="9"/>
  <c r="B977" i="9"/>
  <c r="A977" i="9"/>
  <c r="H976" i="9"/>
  <c r="I976" i="9" s="1"/>
  <c r="G976" i="9"/>
  <c r="B976" i="9"/>
  <c r="A976" i="9"/>
  <c r="H975" i="9"/>
  <c r="I975" i="9" s="1"/>
  <c r="G975" i="9"/>
  <c r="B975" i="9"/>
  <c r="A975" i="9"/>
  <c r="H974" i="9"/>
  <c r="I974" i="9" s="1"/>
  <c r="G974" i="9"/>
  <c r="B974" i="9"/>
  <c r="A974" i="9"/>
  <c r="H973" i="9"/>
  <c r="I973" i="9" s="1"/>
  <c r="G973" i="9"/>
  <c r="B973" i="9"/>
  <c r="A973" i="9"/>
  <c r="H972" i="9"/>
  <c r="I972" i="9" s="1"/>
  <c r="G972" i="9"/>
  <c r="B972" i="9"/>
  <c r="A972" i="9"/>
  <c r="H971" i="9"/>
  <c r="I971" i="9" s="1"/>
  <c r="G971" i="9"/>
  <c r="B971" i="9"/>
  <c r="A971" i="9"/>
  <c r="H970" i="9"/>
  <c r="I970" i="9" s="1"/>
  <c r="G970" i="9"/>
  <c r="B970" i="9"/>
  <c r="A970" i="9"/>
  <c r="C970" i="9" s="1"/>
  <c r="H969" i="9"/>
  <c r="I969" i="9" s="1"/>
  <c r="G969" i="9"/>
  <c r="B969" i="9"/>
  <c r="A969" i="9"/>
  <c r="H968" i="9"/>
  <c r="I968" i="9" s="1"/>
  <c r="G968" i="9"/>
  <c r="B968" i="9"/>
  <c r="A968" i="9"/>
  <c r="H967" i="9"/>
  <c r="I967" i="9" s="1"/>
  <c r="G967" i="9"/>
  <c r="B967" i="9"/>
  <c r="A967" i="9"/>
  <c r="H966" i="9"/>
  <c r="I966" i="9" s="1"/>
  <c r="G966" i="9"/>
  <c r="B966" i="9"/>
  <c r="A966" i="9"/>
  <c r="E966" i="9" s="1"/>
  <c r="H965" i="9"/>
  <c r="I965" i="9" s="1"/>
  <c r="G965" i="9"/>
  <c r="B965" i="9"/>
  <c r="A965" i="9"/>
  <c r="H964" i="9"/>
  <c r="I964" i="9" s="1"/>
  <c r="G964" i="9"/>
  <c r="B964" i="9"/>
  <c r="A964" i="9"/>
  <c r="H963" i="9"/>
  <c r="I963" i="9" s="1"/>
  <c r="G963" i="9"/>
  <c r="B963" i="9"/>
  <c r="A963" i="9"/>
  <c r="H962" i="9"/>
  <c r="I962" i="9" s="1"/>
  <c r="G962" i="9"/>
  <c r="B962" i="9"/>
  <c r="A962" i="9"/>
  <c r="H961" i="9"/>
  <c r="I961" i="9" s="1"/>
  <c r="G961" i="9"/>
  <c r="B961" i="9"/>
  <c r="A961" i="9"/>
  <c r="H960" i="9"/>
  <c r="I960" i="9" s="1"/>
  <c r="G960" i="9"/>
  <c r="B960" i="9"/>
  <c r="A960" i="9"/>
  <c r="H959" i="9"/>
  <c r="I959" i="9" s="1"/>
  <c r="G959" i="9"/>
  <c r="B959" i="9"/>
  <c r="A959" i="9"/>
  <c r="H958" i="9"/>
  <c r="I958" i="9" s="1"/>
  <c r="G958" i="9"/>
  <c r="B958" i="9"/>
  <c r="A958" i="9"/>
  <c r="H957" i="9"/>
  <c r="I957" i="9" s="1"/>
  <c r="G957" i="9"/>
  <c r="B957" i="9"/>
  <c r="A957" i="9"/>
  <c r="C957" i="9" s="1"/>
  <c r="H956" i="9"/>
  <c r="I956" i="9" s="1"/>
  <c r="G956" i="9"/>
  <c r="B956" i="9"/>
  <c r="A956" i="9"/>
  <c r="H955" i="9"/>
  <c r="I955" i="9" s="1"/>
  <c r="G955" i="9"/>
  <c r="B955" i="9"/>
  <c r="A955" i="9"/>
  <c r="H954" i="9"/>
  <c r="I954" i="9" s="1"/>
  <c r="G954" i="9"/>
  <c r="B954" i="9"/>
  <c r="A954" i="9"/>
  <c r="H953" i="9"/>
  <c r="I953" i="9" s="1"/>
  <c r="G953" i="9"/>
  <c r="B953" i="9"/>
  <c r="A953" i="9"/>
  <c r="H952" i="9"/>
  <c r="I952" i="9" s="1"/>
  <c r="G952" i="9"/>
  <c r="B952" i="9"/>
  <c r="A952" i="9"/>
  <c r="H951" i="9"/>
  <c r="I951" i="9" s="1"/>
  <c r="G951" i="9"/>
  <c r="B951" i="9"/>
  <c r="A951" i="9"/>
  <c r="H950" i="9"/>
  <c r="I950" i="9" s="1"/>
  <c r="G950" i="9"/>
  <c r="B950" i="9"/>
  <c r="A950" i="9"/>
  <c r="H949" i="9"/>
  <c r="I949" i="9" s="1"/>
  <c r="G949" i="9"/>
  <c r="B949" i="9"/>
  <c r="A949" i="9"/>
  <c r="H948" i="9"/>
  <c r="I948" i="9" s="1"/>
  <c r="G948" i="9"/>
  <c r="B948" i="9"/>
  <c r="A948" i="9"/>
  <c r="H947" i="9"/>
  <c r="I947" i="9" s="1"/>
  <c r="G947" i="9"/>
  <c r="B947" i="9"/>
  <c r="A947" i="9"/>
  <c r="H946" i="9"/>
  <c r="I946" i="9" s="1"/>
  <c r="G946" i="9"/>
  <c r="B946" i="9"/>
  <c r="A946" i="9"/>
  <c r="H945" i="9"/>
  <c r="I945" i="9" s="1"/>
  <c r="G945" i="9"/>
  <c r="B945" i="9"/>
  <c r="A945" i="9"/>
  <c r="H944" i="9"/>
  <c r="I944" i="9" s="1"/>
  <c r="G944" i="9"/>
  <c r="B944" i="9"/>
  <c r="A944" i="9"/>
  <c r="H943" i="9"/>
  <c r="I943" i="9" s="1"/>
  <c r="G943" i="9"/>
  <c r="B943" i="9"/>
  <c r="A943" i="9"/>
  <c r="H942" i="9"/>
  <c r="I942" i="9" s="1"/>
  <c r="G942" i="9"/>
  <c r="B942" i="9"/>
  <c r="A942" i="9"/>
  <c r="H941" i="9"/>
  <c r="I941" i="9" s="1"/>
  <c r="G941" i="9"/>
  <c r="B941" i="9"/>
  <c r="A941" i="9"/>
  <c r="H940" i="9"/>
  <c r="I940" i="9" s="1"/>
  <c r="G940" i="9"/>
  <c r="B940" i="9"/>
  <c r="A940" i="9"/>
  <c r="H939" i="9"/>
  <c r="I939" i="9" s="1"/>
  <c r="G939" i="9"/>
  <c r="B939" i="9"/>
  <c r="A939" i="9"/>
  <c r="H938" i="9"/>
  <c r="I938" i="9" s="1"/>
  <c r="G938" i="9"/>
  <c r="B938" i="9"/>
  <c r="A938" i="9"/>
  <c r="H937" i="9"/>
  <c r="I937" i="9" s="1"/>
  <c r="G937" i="9"/>
  <c r="B937" i="9"/>
  <c r="A937" i="9"/>
  <c r="H936" i="9"/>
  <c r="I936" i="9" s="1"/>
  <c r="G936" i="9"/>
  <c r="B936" i="9"/>
  <c r="A936" i="9"/>
  <c r="C936" i="9" s="1"/>
  <c r="H935" i="9"/>
  <c r="I935" i="9" s="1"/>
  <c r="G935" i="9"/>
  <c r="B935" i="9"/>
  <c r="A935" i="9"/>
  <c r="H934" i="9"/>
  <c r="I934" i="9" s="1"/>
  <c r="G934" i="9"/>
  <c r="B934" i="9"/>
  <c r="A934" i="9"/>
  <c r="H933" i="9"/>
  <c r="I933" i="9" s="1"/>
  <c r="G933" i="9"/>
  <c r="B933" i="9"/>
  <c r="A933" i="9"/>
  <c r="H932" i="9"/>
  <c r="I932" i="9" s="1"/>
  <c r="G932" i="9"/>
  <c r="B932" i="9"/>
  <c r="A932" i="9"/>
  <c r="H931" i="9"/>
  <c r="I931" i="9" s="1"/>
  <c r="G931" i="9"/>
  <c r="B931" i="9"/>
  <c r="A931" i="9"/>
  <c r="H930" i="9"/>
  <c r="I930" i="9" s="1"/>
  <c r="G930" i="9"/>
  <c r="B930" i="9"/>
  <c r="A930" i="9"/>
  <c r="H929" i="9"/>
  <c r="I929" i="9" s="1"/>
  <c r="G929" i="9"/>
  <c r="B929" i="9"/>
  <c r="A929" i="9"/>
  <c r="H928" i="9"/>
  <c r="I928" i="9" s="1"/>
  <c r="G928" i="9"/>
  <c r="B928" i="9"/>
  <c r="A928" i="9"/>
  <c r="H927" i="9"/>
  <c r="I927" i="9" s="1"/>
  <c r="G927" i="9"/>
  <c r="B927" i="9"/>
  <c r="A927" i="9"/>
  <c r="H926" i="9"/>
  <c r="I926" i="9" s="1"/>
  <c r="G926" i="9"/>
  <c r="B926" i="9"/>
  <c r="A926" i="9"/>
  <c r="H925" i="9"/>
  <c r="I925" i="9" s="1"/>
  <c r="G925" i="9"/>
  <c r="B925" i="9"/>
  <c r="A925" i="9"/>
  <c r="H924" i="9"/>
  <c r="I924" i="9" s="1"/>
  <c r="G924" i="9"/>
  <c r="B924" i="9"/>
  <c r="A924" i="9"/>
  <c r="C924" i="9" s="1"/>
  <c r="H923" i="9"/>
  <c r="I923" i="9" s="1"/>
  <c r="G923" i="9"/>
  <c r="B923" i="9"/>
  <c r="A923" i="9"/>
  <c r="H922" i="9"/>
  <c r="I922" i="9" s="1"/>
  <c r="G922" i="9"/>
  <c r="B922" i="9"/>
  <c r="A922" i="9"/>
  <c r="H921" i="9"/>
  <c r="I921" i="9" s="1"/>
  <c r="G921" i="9"/>
  <c r="B921" i="9"/>
  <c r="A921" i="9"/>
  <c r="H920" i="9"/>
  <c r="I920" i="9" s="1"/>
  <c r="G920" i="9"/>
  <c r="B920" i="9"/>
  <c r="A920" i="9"/>
  <c r="H919" i="9"/>
  <c r="I919" i="9" s="1"/>
  <c r="G919" i="9"/>
  <c r="B919" i="9"/>
  <c r="A919" i="9"/>
  <c r="H918" i="9"/>
  <c r="I918" i="9" s="1"/>
  <c r="G918" i="9"/>
  <c r="B918" i="9"/>
  <c r="A918" i="9"/>
  <c r="H917" i="9"/>
  <c r="I917" i="9" s="1"/>
  <c r="G917" i="9"/>
  <c r="B917" i="9"/>
  <c r="A917" i="9"/>
  <c r="H916" i="9"/>
  <c r="I916" i="9" s="1"/>
  <c r="G916" i="9"/>
  <c r="B916" i="9"/>
  <c r="A916" i="9"/>
  <c r="H915" i="9"/>
  <c r="I915" i="9" s="1"/>
  <c r="G915" i="9"/>
  <c r="B915" i="9"/>
  <c r="A915" i="9"/>
  <c r="H914" i="9"/>
  <c r="I914" i="9" s="1"/>
  <c r="G914" i="9"/>
  <c r="B914" i="9"/>
  <c r="A914" i="9"/>
  <c r="H913" i="9"/>
  <c r="I913" i="9" s="1"/>
  <c r="G913" i="9"/>
  <c r="B913" i="9"/>
  <c r="A913" i="9"/>
  <c r="H912" i="9"/>
  <c r="I912" i="9" s="1"/>
  <c r="G912" i="9"/>
  <c r="B912" i="9"/>
  <c r="A912" i="9"/>
  <c r="H911" i="9"/>
  <c r="I911" i="9" s="1"/>
  <c r="G911" i="9"/>
  <c r="B911" i="9"/>
  <c r="A911" i="9"/>
  <c r="H910" i="9"/>
  <c r="I910" i="9" s="1"/>
  <c r="G910" i="9"/>
  <c r="B910" i="9"/>
  <c r="A910" i="9"/>
  <c r="H909" i="9"/>
  <c r="I909" i="9" s="1"/>
  <c r="G909" i="9"/>
  <c r="B909" i="9"/>
  <c r="A909" i="9"/>
  <c r="H908" i="9"/>
  <c r="I908" i="9" s="1"/>
  <c r="G908" i="9"/>
  <c r="B908" i="9"/>
  <c r="A908" i="9"/>
  <c r="H907" i="9"/>
  <c r="I907" i="9" s="1"/>
  <c r="G907" i="9"/>
  <c r="B907" i="9"/>
  <c r="A907" i="9"/>
  <c r="H906" i="9"/>
  <c r="I906" i="9" s="1"/>
  <c r="G906" i="9"/>
  <c r="B906" i="9"/>
  <c r="A906" i="9"/>
  <c r="H905" i="9"/>
  <c r="I905" i="9" s="1"/>
  <c r="G905" i="9"/>
  <c r="B905" i="9"/>
  <c r="A905" i="9"/>
  <c r="H904" i="9"/>
  <c r="I904" i="9" s="1"/>
  <c r="G904" i="9"/>
  <c r="B904" i="9"/>
  <c r="A904" i="9"/>
  <c r="H903" i="9"/>
  <c r="I903" i="9" s="1"/>
  <c r="G903" i="9"/>
  <c r="B903" i="9"/>
  <c r="A903" i="9"/>
  <c r="H902" i="9"/>
  <c r="I902" i="9" s="1"/>
  <c r="G902" i="9"/>
  <c r="B902" i="9"/>
  <c r="A902" i="9"/>
  <c r="H901" i="9"/>
  <c r="I901" i="9" s="1"/>
  <c r="G901" i="9"/>
  <c r="B901" i="9"/>
  <c r="A901" i="9"/>
  <c r="H900" i="9"/>
  <c r="I900" i="9" s="1"/>
  <c r="G900" i="9"/>
  <c r="B900" i="9"/>
  <c r="A900" i="9"/>
  <c r="H899" i="9"/>
  <c r="I899" i="9" s="1"/>
  <c r="G899" i="9"/>
  <c r="B899" i="9"/>
  <c r="A899" i="9"/>
  <c r="H898" i="9"/>
  <c r="I898" i="9" s="1"/>
  <c r="G898" i="9"/>
  <c r="B898" i="9"/>
  <c r="A898" i="9"/>
  <c r="H897" i="9"/>
  <c r="I897" i="9" s="1"/>
  <c r="G897" i="9"/>
  <c r="B897" i="9"/>
  <c r="A897" i="9"/>
  <c r="H896" i="9"/>
  <c r="I896" i="9" s="1"/>
  <c r="G896" i="9"/>
  <c r="B896" i="9"/>
  <c r="A896" i="9"/>
  <c r="H895" i="9"/>
  <c r="I895" i="9" s="1"/>
  <c r="G895" i="9"/>
  <c r="B895" i="9"/>
  <c r="A895" i="9"/>
  <c r="H894" i="9"/>
  <c r="I894" i="9" s="1"/>
  <c r="G894" i="9"/>
  <c r="B894" i="9"/>
  <c r="A894" i="9"/>
  <c r="H893" i="9"/>
  <c r="I893" i="9" s="1"/>
  <c r="G893" i="9"/>
  <c r="B893" i="9"/>
  <c r="A893" i="9"/>
  <c r="H892" i="9"/>
  <c r="I892" i="9" s="1"/>
  <c r="G892" i="9"/>
  <c r="B892" i="9"/>
  <c r="A892" i="9"/>
  <c r="H891" i="9"/>
  <c r="I891" i="9" s="1"/>
  <c r="G891" i="9"/>
  <c r="B891" i="9"/>
  <c r="A891" i="9"/>
  <c r="H890" i="9"/>
  <c r="I890" i="9" s="1"/>
  <c r="G890" i="9"/>
  <c r="B890" i="9"/>
  <c r="A890" i="9"/>
  <c r="H889" i="9"/>
  <c r="I889" i="9" s="1"/>
  <c r="G889" i="9"/>
  <c r="B889" i="9"/>
  <c r="A889" i="9"/>
  <c r="H888" i="9"/>
  <c r="I888" i="9" s="1"/>
  <c r="G888" i="9"/>
  <c r="B888" i="9"/>
  <c r="A888" i="9"/>
  <c r="H887" i="9"/>
  <c r="I887" i="9" s="1"/>
  <c r="G887" i="9"/>
  <c r="B887" i="9"/>
  <c r="A887" i="9"/>
  <c r="H886" i="9"/>
  <c r="I886" i="9" s="1"/>
  <c r="G886" i="9"/>
  <c r="B886" i="9"/>
  <c r="A886" i="9"/>
  <c r="H885" i="9"/>
  <c r="I885" i="9" s="1"/>
  <c r="G885" i="9"/>
  <c r="B885" i="9"/>
  <c r="A885" i="9"/>
  <c r="H884" i="9"/>
  <c r="I884" i="9" s="1"/>
  <c r="G884" i="9"/>
  <c r="B884" i="9"/>
  <c r="A884" i="9"/>
  <c r="H883" i="9"/>
  <c r="I883" i="9" s="1"/>
  <c r="G883" i="9"/>
  <c r="B883" i="9"/>
  <c r="A883" i="9"/>
  <c r="H882" i="9"/>
  <c r="I882" i="9" s="1"/>
  <c r="G882" i="9"/>
  <c r="B882" i="9"/>
  <c r="A882" i="9"/>
  <c r="H881" i="9"/>
  <c r="I881" i="9" s="1"/>
  <c r="G881" i="9"/>
  <c r="B881" i="9"/>
  <c r="A881" i="9"/>
  <c r="H880" i="9"/>
  <c r="I880" i="9" s="1"/>
  <c r="G880" i="9"/>
  <c r="B880" i="9"/>
  <c r="A880" i="9"/>
  <c r="H879" i="9"/>
  <c r="I879" i="9" s="1"/>
  <c r="G879" i="9"/>
  <c r="B879" i="9"/>
  <c r="A879" i="9"/>
  <c r="H878" i="9"/>
  <c r="I878" i="9" s="1"/>
  <c r="G878" i="9"/>
  <c r="B878" i="9"/>
  <c r="A878" i="9"/>
  <c r="H877" i="9"/>
  <c r="I877" i="9" s="1"/>
  <c r="G877" i="9"/>
  <c r="B877" i="9"/>
  <c r="A877" i="9"/>
  <c r="H876" i="9"/>
  <c r="I876" i="9" s="1"/>
  <c r="G876" i="9"/>
  <c r="B876" i="9"/>
  <c r="A876" i="9"/>
  <c r="H875" i="9"/>
  <c r="I875" i="9" s="1"/>
  <c r="G875" i="9"/>
  <c r="B875" i="9"/>
  <c r="A875" i="9"/>
  <c r="H874" i="9"/>
  <c r="I874" i="9" s="1"/>
  <c r="G874" i="9"/>
  <c r="B874" i="9"/>
  <c r="A874" i="9"/>
  <c r="H873" i="9"/>
  <c r="I873" i="9" s="1"/>
  <c r="G873" i="9"/>
  <c r="B873" i="9"/>
  <c r="A873" i="9"/>
  <c r="H872" i="9"/>
  <c r="I872" i="9" s="1"/>
  <c r="G872" i="9"/>
  <c r="B872" i="9"/>
  <c r="A872" i="9"/>
  <c r="H871" i="9"/>
  <c r="I871" i="9" s="1"/>
  <c r="G871" i="9"/>
  <c r="B871" i="9"/>
  <c r="A871" i="9"/>
  <c r="H870" i="9"/>
  <c r="I870" i="9" s="1"/>
  <c r="G870" i="9"/>
  <c r="B870" i="9"/>
  <c r="A870" i="9"/>
  <c r="L870" i="9" s="1"/>
  <c r="H869" i="9"/>
  <c r="I869" i="9" s="1"/>
  <c r="G869" i="9"/>
  <c r="B869" i="9"/>
  <c r="A869" i="9"/>
  <c r="H868" i="9"/>
  <c r="I868" i="9" s="1"/>
  <c r="G868" i="9"/>
  <c r="B868" i="9"/>
  <c r="A868" i="9"/>
  <c r="H867" i="9"/>
  <c r="I867" i="9" s="1"/>
  <c r="G867" i="9"/>
  <c r="B867" i="9"/>
  <c r="A867" i="9"/>
  <c r="H866" i="9"/>
  <c r="I866" i="9" s="1"/>
  <c r="G866" i="9"/>
  <c r="B866" i="9"/>
  <c r="A866" i="9"/>
  <c r="H865" i="9"/>
  <c r="I865" i="9" s="1"/>
  <c r="G865" i="9"/>
  <c r="B865" i="9"/>
  <c r="A865" i="9"/>
  <c r="H864" i="9"/>
  <c r="I864" i="9" s="1"/>
  <c r="G864" i="9"/>
  <c r="B864" i="9"/>
  <c r="A864" i="9"/>
  <c r="H863" i="9"/>
  <c r="I863" i="9" s="1"/>
  <c r="G863" i="9"/>
  <c r="B863" i="9"/>
  <c r="A863" i="9"/>
  <c r="H862" i="9"/>
  <c r="I862" i="9" s="1"/>
  <c r="G862" i="9"/>
  <c r="B862" i="9"/>
  <c r="A862" i="9"/>
  <c r="H861" i="9"/>
  <c r="I861" i="9" s="1"/>
  <c r="G861" i="9"/>
  <c r="B861" i="9"/>
  <c r="A861" i="9"/>
  <c r="H860" i="9"/>
  <c r="I860" i="9" s="1"/>
  <c r="G860" i="9"/>
  <c r="B860" i="9"/>
  <c r="A860" i="9"/>
  <c r="H859" i="9"/>
  <c r="I859" i="9" s="1"/>
  <c r="G859" i="9"/>
  <c r="B859" i="9"/>
  <c r="A859" i="9"/>
  <c r="H858" i="9"/>
  <c r="I858" i="9" s="1"/>
  <c r="G858" i="9"/>
  <c r="B858" i="9"/>
  <c r="A858" i="9"/>
  <c r="H857" i="9"/>
  <c r="I857" i="9" s="1"/>
  <c r="G857" i="9"/>
  <c r="B857" i="9"/>
  <c r="A857" i="9"/>
  <c r="H856" i="9"/>
  <c r="I856" i="9" s="1"/>
  <c r="G856" i="9"/>
  <c r="B856" i="9"/>
  <c r="A856" i="9"/>
  <c r="H855" i="9"/>
  <c r="I855" i="9" s="1"/>
  <c r="G855" i="9"/>
  <c r="B855" i="9"/>
  <c r="A855" i="9"/>
  <c r="H854" i="9"/>
  <c r="I854" i="9" s="1"/>
  <c r="G854" i="9"/>
  <c r="B854" i="9"/>
  <c r="A854" i="9"/>
  <c r="H853" i="9"/>
  <c r="I853" i="9" s="1"/>
  <c r="G853" i="9"/>
  <c r="B853" i="9"/>
  <c r="A853" i="9"/>
  <c r="H852" i="9"/>
  <c r="I852" i="9" s="1"/>
  <c r="G852" i="9"/>
  <c r="B852" i="9"/>
  <c r="A852" i="9"/>
  <c r="H851" i="9"/>
  <c r="I851" i="9" s="1"/>
  <c r="G851" i="9"/>
  <c r="B851" i="9"/>
  <c r="A851" i="9"/>
  <c r="H850" i="9"/>
  <c r="I850" i="9" s="1"/>
  <c r="G850" i="9"/>
  <c r="B850" i="9"/>
  <c r="A850" i="9"/>
  <c r="H849" i="9"/>
  <c r="I849" i="9" s="1"/>
  <c r="G849" i="9"/>
  <c r="B849" i="9"/>
  <c r="A849" i="9"/>
  <c r="H848" i="9"/>
  <c r="I848" i="9" s="1"/>
  <c r="G848" i="9"/>
  <c r="B848" i="9"/>
  <c r="A848" i="9"/>
  <c r="H847" i="9"/>
  <c r="I847" i="9" s="1"/>
  <c r="G847" i="9"/>
  <c r="B847" i="9"/>
  <c r="A847" i="9"/>
  <c r="H846" i="9"/>
  <c r="I846" i="9" s="1"/>
  <c r="G846" i="9"/>
  <c r="B846" i="9"/>
  <c r="A846" i="9"/>
  <c r="H845" i="9"/>
  <c r="I845" i="9" s="1"/>
  <c r="G845" i="9"/>
  <c r="B845" i="9"/>
  <c r="A845" i="9"/>
  <c r="H844" i="9"/>
  <c r="I844" i="9" s="1"/>
  <c r="G844" i="9"/>
  <c r="B844" i="9"/>
  <c r="A844" i="9"/>
  <c r="H843" i="9"/>
  <c r="I843" i="9" s="1"/>
  <c r="G843" i="9"/>
  <c r="B843" i="9"/>
  <c r="A843" i="9"/>
  <c r="H842" i="9"/>
  <c r="I842" i="9" s="1"/>
  <c r="G842" i="9"/>
  <c r="B842" i="9"/>
  <c r="A842" i="9"/>
  <c r="D842" i="9" s="1"/>
  <c r="H841" i="9"/>
  <c r="I841" i="9" s="1"/>
  <c r="G841" i="9"/>
  <c r="B841" i="9"/>
  <c r="A841" i="9"/>
  <c r="H840" i="9"/>
  <c r="I840" i="9" s="1"/>
  <c r="G840" i="9"/>
  <c r="B840" i="9"/>
  <c r="A840" i="9"/>
  <c r="H839" i="9"/>
  <c r="I839" i="9" s="1"/>
  <c r="G839" i="9"/>
  <c r="B839" i="9"/>
  <c r="A839" i="9"/>
  <c r="H838" i="9"/>
  <c r="I838" i="9" s="1"/>
  <c r="G838" i="9"/>
  <c r="B838" i="9"/>
  <c r="A838" i="9"/>
  <c r="H837" i="9"/>
  <c r="I837" i="9" s="1"/>
  <c r="G837" i="9"/>
  <c r="B837" i="9"/>
  <c r="A837" i="9"/>
  <c r="C837" i="9" s="1"/>
  <c r="H836" i="9"/>
  <c r="I836" i="9" s="1"/>
  <c r="G836" i="9"/>
  <c r="B836" i="9"/>
  <c r="A836" i="9"/>
  <c r="H835" i="9"/>
  <c r="I835" i="9" s="1"/>
  <c r="G835" i="9"/>
  <c r="B835" i="9"/>
  <c r="A835" i="9"/>
  <c r="H834" i="9"/>
  <c r="I834" i="9" s="1"/>
  <c r="G834" i="9"/>
  <c r="B834" i="9"/>
  <c r="A834" i="9"/>
  <c r="H833" i="9"/>
  <c r="I833" i="9" s="1"/>
  <c r="G833" i="9"/>
  <c r="B833" i="9"/>
  <c r="A833" i="9"/>
  <c r="H832" i="9"/>
  <c r="I832" i="9" s="1"/>
  <c r="G832" i="9"/>
  <c r="B832" i="9"/>
  <c r="A832" i="9"/>
  <c r="H831" i="9"/>
  <c r="I831" i="9" s="1"/>
  <c r="G831" i="9"/>
  <c r="B831" i="9"/>
  <c r="A831" i="9"/>
  <c r="H830" i="9"/>
  <c r="I830" i="9" s="1"/>
  <c r="G830" i="9"/>
  <c r="B830" i="9"/>
  <c r="A830" i="9"/>
  <c r="H829" i="9"/>
  <c r="I829" i="9" s="1"/>
  <c r="G829" i="9"/>
  <c r="B829" i="9"/>
  <c r="A829" i="9"/>
  <c r="H828" i="9"/>
  <c r="I828" i="9" s="1"/>
  <c r="G828" i="9"/>
  <c r="B828" i="9"/>
  <c r="A828" i="9"/>
  <c r="H827" i="9"/>
  <c r="I827" i="9" s="1"/>
  <c r="G827" i="9"/>
  <c r="B827" i="9"/>
  <c r="A827" i="9"/>
  <c r="H826" i="9"/>
  <c r="I826" i="9" s="1"/>
  <c r="G826" i="9"/>
  <c r="B826" i="9"/>
  <c r="A826" i="9"/>
  <c r="H825" i="9"/>
  <c r="I825" i="9" s="1"/>
  <c r="G825" i="9"/>
  <c r="B825" i="9"/>
  <c r="A825" i="9"/>
  <c r="H824" i="9"/>
  <c r="I824" i="9" s="1"/>
  <c r="G824" i="9"/>
  <c r="B824" i="9"/>
  <c r="A824" i="9"/>
  <c r="H823" i="9"/>
  <c r="I823" i="9" s="1"/>
  <c r="G823" i="9"/>
  <c r="B823" i="9"/>
  <c r="A823" i="9"/>
  <c r="H822" i="9"/>
  <c r="I822" i="9" s="1"/>
  <c r="G822" i="9"/>
  <c r="B822" i="9"/>
  <c r="A822" i="9"/>
  <c r="H821" i="9"/>
  <c r="I821" i="9" s="1"/>
  <c r="G821" i="9"/>
  <c r="B821" i="9"/>
  <c r="A821" i="9"/>
  <c r="H820" i="9"/>
  <c r="I820" i="9" s="1"/>
  <c r="G820" i="9"/>
  <c r="B820" i="9"/>
  <c r="A820" i="9"/>
  <c r="H819" i="9"/>
  <c r="I819" i="9" s="1"/>
  <c r="G819" i="9"/>
  <c r="B819" i="9"/>
  <c r="A819" i="9"/>
  <c r="H818" i="9"/>
  <c r="I818" i="9" s="1"/>
  <c r="G818" i="9"/>
  <c r="B818" i="9"/>
  <c r="A818" i="9"/>
  <c r="H817" i="9"/>
  <c r="I817" i="9" s="1"/>
  <c r="G817" i="9"/>
  <c r="B817" i="9"/>
  <c r="A817" i="9"/>
  <c r="H816" i="9"/>
  <c r="I816" i="9" s="1"/>
  <c r="G816" i="9"/>
  <c r="B816" i="9"/>
  <c r="A816" i="9"/>
  <c r="H815" i="9"/>
  <c r="I815" i="9" s="1"/>
  <c r="G815" i="9"/>
  <c r="B815" i="9"/>
  <c r="A815" i="9"/>
  <c r="H814" i="9"/>
  <c r="I814" i="9" s="1"/>
  <c r="G814" i="9"/>
  <c r="B814" i="9"/>
  <c r="A814" i="9"/>
  <c r="H813" i="9"/>
  <c r="I813" i="9" s="1"/>
  <c r="G813" i="9"/>
  <c r="B813" i="9"/>
  <c r="A813" i="9"/>
  <c r="H812" i="9"/>
  <c r="I812" i="9" s="1"/>
  <c r="G812" i="9"/>
  <c r="B812" i="9"/>
  <c r="A812" i="9"/>
  <c r="H811" i="9"/>
  <c r="I811" i="9" s="1"/>
  <c r="G811" i="9"/>
  <c r="B811" i="9"/>
  <c r="A811" i="9"/>
  <c r="H810" i="9"/>
  <c r="I810" i="9" s="1"/>
  <c r="G810" i="9"/>
  <c r="B810" i="9"/>
  <c r="A810" i="9"/>
  <c r="H809" i="9"/>
  <c r="I809" i="9" s="1"/>
  <c r="G809" i="9"/>
  <c r="B809" i="9"/>
  <c r="A809" i="9"/>
  <c r="H808" i="9"/>
  <c r="I808" i="9" s="1"/>
  <c r="G808" i="9"/>
  <c r="B808" i="9"/>
  <c r="A808" i="9"/>
  <c r="H807" i="9"/>
  <c r="I807" i="9" s="1"/>
  <c r="G807" i="9"/>
  <c r="B807" i="9"/>
  <c r="A807" i="9"/>
  <c r="H806" i="9"/>
  <c r="I806" i="9" s="1"/>
  <c r="G806" i="9"/>
  <c r="B806" i="9"/>
  <c r="A806" i="9"/>
  <c r="H805" i="9"/>
  <c r="I805" i="9" s="1"/>
  <c r="G805" i="9"/>
  <c r="B805" i="9"/>
  <c r="A805" i="9"/>
  <c r="H804" i="9"/>
  <c r="I804" i="9" s="1"/>
  <c r="G804" i="9"/>
  <c r="B804" i="9"/>
  <c r="A804" i="9"/>
  <c r="H803" i="9"/>
  <c r="I803" i="9" s="1"/>
  <c r="G803" i="9"/>
  <c r="B803" i="9"/>
  <c r="A803" i="9"/>
  <c r="H802" i="9"/>
  <c r="I802" i="9" s="1"/>
  <c r="G802" i="9"/>
  <c r="B802" i="9"/>
  <c r="A802" i="9"/>
  <c r="H801" i="9"/>
  <c r="I801" i="9" s="1"/>
  <c r="G801" i="9"/>
  <c r="B801" i="9"/>
  <c r="A801" i="9"/>
  <c r="H800" i="9"/>
  <c r="I800" i="9" s="1"/>
  <c r="G800" i="9"/>
  <c r="B800" i="9"/>
  <c r="A800" i="9"/>
  <c r="H799" i="9"/>
  <c r="I799" i="9" s="1"/>
  <c r="G799" i="9"/>
  <c r="B799" i="9"/>
  <c r="A799" i="9"/>
  <c r="H798" i="9"/>
  <c r="I798" i="9" s="1"/>
  <c r="G798" i="9"/>
  <c r="B798" i="9"/>
  <c r="A798" i="9"/>
  <c r="H797" i="9"/>
  <c r="I797" i="9" s="1"/>
  <c r="G797" i="9"/>
  <c r="B797" i="9"/>
  <c r="A797" i="9"/>
  <c r="M797" i="9" s="1"/>
  <c r="H796" i="9"/>
  <c r="I796" i="9" s="1"/>
  <c r="G796" i="9"/>
  <c r="B796" i="9"/>
  <c r="A796" i="9"/>
  <c r="H795" i="9"/>
  <c r="I795" i="9" s="1"/>
  <c r="G795" i="9"/>
  <c r="B795" i="9"/>
  <c r="A795" i="9"/>
  <c r="H794" i="9"/>
  <c r="I794" i="9" s="1"/>
  <c r="G794" i="9"/>
  <c r="B794" i="9"/>
  <c r="A794" i="9"/>
  <c r="H793" i="9"/>
  <c r="I793" i="9" s="1"/>
  <c r="G793" i="9"/>
  <c r="B793" i="9"/>
  <c r="A793" i="9"/>
  <c r="H792" i="9"/>
  <c r="I792" i="9" s="1"/>
  <c r="G792" i="9"/>
  <c r="B792" i="9"/>
  <c r="A792" i="9"/>
  <c r="H791" i="9"/>
  <c r="I791" i="9" s="1"/>
  <c r="G791" i="9"/>
  <c r="B791" i="9"/>
  <c r="A791" i="9"/>
  <c r="H790" i="9"/>
  <c r="I790" i="9" s="1"/>
  <c r="G790" i="9"/>
  <c r="B790" i="9"/>
  <c r="A790" i="9"/>
  <c r="C790" i="9" s="1"/>
  <c r="H789" i="9"/>
  <c r="I789" i="9" s="1"/>
  <c r="G789" i="9"/>
  <c r="B789" i="9"/>
  <c r="A789" i="9"/>
  <c r="H788" i="9"/>
  <c r="I788" i="9" s="1"/>
  <c r="G788" i="9"/>
  <c r="B788" i="9"/>
  <c r="A788" i="9"/>
  <c r="H787" i="9"/>
  <c r="I787" i="9" s="1"/>
  <c r="G787" i="9"/>
  <c r="B787" i="9"/>
  <c r="A787" i="9"/>
  <c r="E787" i="9" s="1"/>
  <c r="H786" i="9"/>
  <c r="I786" i="9" s="1"/>
  <c r="G786" i="9"/>
  <c r="B786" i="9"/>
  <c r="A786" i="9"/>
  <c r="H785" i="9"/>
  <c r="I785" i="9" s="1"/>
  <c r="G785" i="9"/>
  <c r="B785" i="9"/>
  <c r="A785" i="9"/>
  <c r="H784" i="9"/>
  <c r="I784" i="9" s="1"/>
  <c r="G784" i="9"/>
  <c r="B784" i="9"/>
  <c r="A784" i="9"/>
  <c r="H783" i="9"/>
  <c r="I783" i="9" s="1"/>
  <c r="G783" i="9"/>
  <c r="B783" i="9"/>
  <c r="A783" i="9"/>
  <c r="H782" i="9"/>
  <c r="I782" i="9" s="1"/>
  <c r="G782" i="9"/>
  <c r="B782" i="9"/>
  <c r="A782" i="9"/>
  <c r="H781" i="9"/>
  <c r="I781" i="9" s="1"/>
  <c r="G781" i="9"/>
  <c r="B781" i="9"/>
  <c r="A781" i="9"/>
  <c r="H780" i="9"/>
  <c r="I780" i="9" s="1"/>
  <c r="G780" i="9"/>
  <c r="B780" i="9"/>
  <c r="A780" i="9"/>
  <c r="H779" i="9"/>
  <c r="I779" i="9" s="1"/>
  <c r="G779" i="9"/>
  <c r="B779" i="9"/>
  <c r="A779" i="9"/>
  <c r="H778" i="9"/>
  <c r="I778" i="9" s="1"/>
  <c r="G778" i="9"/>
  <c r="B778" i="9"/>
  <c r="A778" i="9"/>
  <c r="H777" i="9"/>
  <c r="I777" i="9" s="1"/>
  <c r="G777" i="9"/>
  <c r="B777" i="9"/>
  <c r="A777" i="9"/>
  <c r="H776" i="9"/>
  <c r="I776" i="9" s="1"/>
  <c r="G776" i="9"/>
  <c r="B776" i="9"/>
  <c r="A776" i="9"/>
  <c r="H775" i="9"/>
  <c r="I775" i="9" s="1"/>
  <c r="G775" i="9"/>
  <c r="B775" i="9"/>
  <c r="A775" i="9"/>
  <c r="H774" i="9"/>
  <c r="I774" i="9" s="1"/>
  <c r="G774" i="9"/>
  <c r="B774" i="9"/>
  <c r="A774" i="9"/>
  <c r="H773" i="9"/>
  <c r="I773" i="9" s="1"/>
  <c r="G773" i="9"/>
  <c r="B773" i="9"/>
  <c r="A773" i="9"/>
  <c r="H772" i="9"/>
  <c r="I772" i="9" s="1"/>
  <c r="G772" i="9"/>
  <c r="B772" i="9"/>
  <c r="A772" i="9"/>
  <c r="H771" i="9"/>
  <c r="I771" i="9" s="1"/>
  <c r="G771" i="9"/>
  <c r="B771" i="9"/>
  <c r="A771" i="9"/>
  <c r="H770" i="9"/>
  <c r="I770" i="9" s="1"/>
  <c r="G770" i="9"/>
  <c r="B770" i="9"/>
  <c r="A770" i="9"/>
  <c r="H769" i="9"/>
  <c r="I769" i="9" s="1"/>
  <c r="G769" i="9"/>
  <c r="B769" i="9"/>
  <c r="A769" i="9"/>
  <c r="H768" i="9"/>
  <c r="I768" i="9" s="1"/>
  <c r="G768" i="9"/>
  <c r="B768" i="9"/>
  <c r="A768" i="9"/>
  <c r="H767" i="9"/>
  <c r="I767" i="9" s="1"/>
  <c r="G767" i="9"/>
  <c r="B767" i="9"/>
  <c r="A767" i="9"/>
  <c r="H766" i="9"/>
  <c r="I766" i="9" s="1"/>
  <c r="G766" i="9"/>
  <c r="B766" i="9"/>
  <c r="A766" i="9"/>
  <c r="H765" i="9"/>
  <c r="I765" i="9" s="1"/>
  <c r="G765" i="9"/>
  <c r="B765" i="9"/>
  <c r="A765" i="9"/>
  <c r="H764" i="9"/>
  <c r="I764" i="9" s="1"/>
  <c r="G764" i="9"/>
  <c r="B764" i="9"/>
  <c r="A764" i="9"/>
  <c r="H763" i="9"/>
  <c r="I763" i="9" s="1"/>
  <c r="G763" i="9"/>
  <c r="B763" i="9"/>
  <c r="A763" i="9"/>
  <c r="H762" i="9"/>
  <c r="I762" i="9" s="1"/>
  <c r="G762" i="9"/>
  <c r="B762" i="9"/>
  <c r="A762" i="9"/>
  <c r="H761" i="9"/>
  <c r="I761" i="9" s="1"/>
  <c r="G761" i="9"/>
  <c r="B761" i="9"/>
  <c r="A761" i="9"/>
  <c r="H760" i="9"/>
  <c r="I760" i="9" s="1"/>
  <c r="G760" i="9"/>
  <c r="B760" i="9"/>
  <c r="A760" i="9"/>
  <c r="H759" i="9"/>
  <c r="I759" i="9" s="1"/>
  <c r="G759" i="9"/>
  <c r="B759" i="9"/>
  <c r="A759" i="9"/>
  <c r="H758" i="9"/>
  <c r="I758" i="9" s="1"/>
  <c r="G758" i="9"/>
  <c r="B758" i="9"/>
  <c r="A758" i="9"/>
  <c r="H757" i="9"/>
  <c r="I757" i="9" s="1"/>
  <c r="G757" i="9"/>
  <c r="B757" i="9"/>
  <c r="A757" i="9"/>
  <c r="H756" i="9"/>
  <c r="I756" i="9" s="1"/>
  <c r="G756" i="9"/>
  <c r="B756" i="9"/>
  <c r="A756" i="9"/>
  <c r="H755" i="9"/>
  <c r="I755" i="9" s="1"/>
  <c r="G755" i="9"/>
  <c r="B755" i="9"/>
  <c r="A755" i="9"/>
  <c r="H754" i="9"/>
  <c r="I754" i="9" s="1"/>
  <c r="G754" i="9"/>
  <c r="B754" i="9"/>
  <c r="A754" i="9"/>
  <c r="H753" i="9"/>
  <c r="I753" i="9" s="1"/>
  <c r="G753" i="9"/>
  <c r="B753" i="9"/>
  <c r="A753" i="9"/>
  <c r="H752" i="9"/>
  <c r="I752" i="9" s="1"/>
  <c r="G752" i="9"/>
  <c r="B752" i="9"/>
  <c r="A752" i="9"/>
  <c r="H751" i="9"/>
  <c r="I751" i="9" s="1"/>
  <c r="G751" i="9"/>
  <c r="B751" i="9"/>
  <c r="A751" i="9"/>
  <c r="H750" i="9"/>
  <c r="I750" i="9" s="1"/>
  <c r="G750" i="9"/>
  <c r="B750" i="9"/>
  <c r="A750" i="9"/>
  <c r="H749" i="9"/>
  <c r="I749" i="9" s="1"/>
  <c r="G749" i="9"/>
  <c r="B749" i="9"/>
  <c r="A749" i="9"/>
  <c r="H748" i="9"/>
  <c r="I748" i="9" s="1"/>
  <c r="G748" i="9"/>
  <c r="B748" i="9"/>
  <c r="A748" i="9"/>
  <c r="H747" i="9"/>
  <c r="I747" i="9" s="1"/>
  <c r="G747" i="9"/>
  <c r="B747" i="9"/>
  <c r="A747" i="9"/>
  <c r="H746" i="9"/>
  <c r="I746" i="9" s="1"/>
  <c r="G746" i="9"/>
  <c r="B746" i="9"/>
  <c r="A746" i="9"/>
  <c r="H745" i="9"/>
  <c r="I745" i="9" s="1"/>
  <c r="G745" i="9"/>
  <c r="B745" i="9"/>
  <c r="A745" i="9"/>
  <c r="H744" i="9"/>
  <c r="I744" i="9" s="1"/>
  <c r="G744" i="9"/>
  <c r="B744" i="9"/>
  <c r="A744" i="9"/>
  <c r="H743" i="9"/>
  <c r="I743" i="9" s="1"/>
  <c r="G743" i="9"/>
  <c r="B743" i="9"/>
  <c r="A743" i="9"/>
  <c r="H742" i="9"/>
  <c r="I742" i="9" s="1"/>
  <c r="G742" i="9"/>
  <c r="B742" i="9"/>
  <c r="A742" i="9"/>
  <c r="H741" i="9"/>
  <c r="I741" i="9" s="1"/>
  <c r="G741" i="9"/>
  <c r="B741" i="9"/>
  <c r="A741" i="9"/>
  <c r="H740" i="9"/>
  <c r="I740" i="9" s="1"/>
  <c r="G740" i="9"/>
  <c r="B740" i="9"/>
  <c r="A740" i="9"/>
  <c r="H739" i="9"/>
  <c r="I739" i="9" s="1"/>
  <c r="G739" i="9"/>
  <c r="B739" i="9"/>
  <c r="A739" i="9"/>
  <c r="H738" i="9"/>
  <c r="I738" i="9" s="1"/>
  <c r="G738" i="9"/>
  <c r="B738" i="9"/>
  <c r="A738" i="9"/>
  <c r="H737" i="9"/>
  <c r="I737" i="9" s="1"/>
  <c r="G737" i="9"/>
  <c r="B737" i="9"/>
  <c r="A737" i="9"/>
  <c r="H736" i="9"/>
  <c r="I736" i="9" s="1"/>
  <c r="G736" i="9"/>
  <c r="B736" i="9"/>
  <c r="A736" i="9"/>
  <c r="H735" i="9"/>
  <c r="I735" i="9" s="1"/>
  <c r="G735" i="9"/>
  <c r="B735" i="9"/>
  <c r="A735" i="9"/>
  <c r="H734" i="9"/>
  <c r="I734" i="9" s="1"/>
  <c r="G734" i="9"/>
  <c r="B734" i="9"/>
  <c r="A734" i="9"/>
  <c r="H733" i="9"/>
  <c r="I733" i="9" s="1"/>
  <c r="G733" i="9"/>
  <c r="B733" i="9"/>
  <c r="A733" i="9"/>
  <c r="H732" i="9"/>
  <c r="I732" i="9" s="1"/>
  <c r="G732" i="9"/>
  <c r="B732" i="9"/>
  <c r="A732" i="9"/>
  <c r="H731" i="9"/>
  <c r="I731" i="9" s="1"/>
  <c r="G731" i="9"/>
  <c r="B731" i="9"/>
  <c r="A731" i="9"/>
  <c r="H730" i="9"/>
  <c r="I730" i="9" s="1"/>
  <c r="G730" i="9"/>
  <c r="B730" i="9"/>
  <c r="A730" i="9"/>
  <c r="H729" i="9"/>
  <c r="I729" i="9" s="1"/>
  <c r="G729" i="9"/>
  <c r="B729" i="9"/>
  <c r="A729" i="9"/>
  <c r="H728" i="9"/>
  <c r="I728" i="9" s="1"/>
  <c r="G728" i="9"/>
  <c r="B728" i="9"/>
  <c r="A728" i="9"/>
  <c r="H727" i="9"/>
  <c r="I727" i="9" s="1"/>
  <c r="G727" i="9"/>
  <c r="B727" i="9"/>
  <c r="A727" i="9"/>
  <c r="H726" i="9"/>
  <c r="I726" i="9" s="1"/>
  <c r="G726" i="9"/>
  <c r="B726" i="9"/>
  <c r="A726" i="9"/>
  <c r="H725" i="9"/>
  <c r="I725" i="9" s="1"/>
  <c r="G725" i="9"/>
  <c r="B725" i="9"/>
  <c r="A725" i="9"/>
  <c r="H724" i="9"/>
  <c r="I724" i="9" s="1"/>
  <c r="G724" i="9"/>
  <c r="B724" i="9"/>
  <c r="A724" i="9"/>
  <c r="H723" i="9"/>
  <c r="I723" i="9" s="1"/>
  <c r="G723" i="9"/>
  <c r="B723" i="9"/>
  <c r="A723" i="9"/>
  <c r="H722" i="9"/>
  <c r="I722" i="9" s="1"/>
  <c r="G722" i="9"/>
  <c r="B722" i="9"/>
  <c r="A722" i="9"/>
  <c r="H721" i="9"/>
  <c r="I721" i="9" s="1"/>
  <c r="G721" i="9"/>
  <c r="B721" i="9"/>
  <c r="A721" i="9"/>
  <c r="H720" i="9"/>
  <c r="I720" i="9" s="1"/>
  <c r="G720" i="9"/>
  <c r="B720" i="9"/>
  <c r="A720" i="9"/>
  <c r="H719" i="9"/>
  <c r="I719" i="9" s="1"/>
  <c r="G719" i="9"/>
  <c r="B719" i="9"/>
  <c r="A719" i="9"/>
  <c r="H718" i="9"/>
  <c r="I718" i="9" s="1"/>
  <c r="G718" i="9"/>
  <c r="B718" i="9"/>
  <c r="A718" i="9"/>
  <c r="H717" i="9"/>
  <c r="I717" i="9" s="1"/>
  <c r="G717" i="9"/>
  <c r="B717" i="9"/>
  <c r="A717" i="9"/>
  <c r="H716" i="9"/>
  <c r="I716" i="9" s="1"/>
  <c r="G716" i="9"/>
  <c r="B716" i="9"/>
  <c r="A716" i="9"/>
  <c r="H715" i="9"/>
  <c r="I715" i="9" s="1"/>
  <c r="G715" i="9"/>
  <c r="B715" i="9"/>
  <c r="A715" i="9"/>
  <c r="H714" i="9"/>
  <c r="I714" i="9" s="1"/>
  <c r="G714" i="9"/>
  <c r="B714" i="9"/>
  <c r="A714" i="9"/>
  <c r="H713" i="9"/>
  <c r="I713" i="9" s="1"/>
  <c r="G713" i="9"/>
  <c r="B713" i="9"/>
  <c r="A713" i="9"/>
  <c r="H712" i="9"/>
  <c r="I712" i="9" s="1"/>
  <c r="G712" i="9"/>
  <c r="B712" i="9"/>
  <c r="A712" i="9"/>
  <c r="H711" i="9"/>
  <c r="I711" i="9" s="1"/>
  <c r="G711" i="9"/>
  <c r="B711" i="9"/>
  <c r="A711" i="9"/>
  <c r="H710" i="9"/>
  <c r="I710" i="9" s="1"/>
  <c r="G710" i="9"/>
  <c r="B710" i="9"/>
  <c r="A710" i="9"/>
  <c r="H709" i="9"/>
  <c r="I709" i="9" s="1"/>
  <c r="G709" i="9"/>
  <c r="B709" i="9"/>
  <c r="A709" i="9"/>
  <c r="H708" i="9"/>
  <c r="I708" i="9" s="1"/>
  <c r="G708" i="9"/>
  <c r="B708" i="9"/>
  <c r="A708" i="9"/>
  <c r="H707" i="9"/>
  <c r="I707" i="9" s="1"/>
  <c r="G707" i="9"/>
  <c r="B707" i="9"/>
  <c r="A707" i="9"/>
  <c r="H706" i="9"/>
  <c r="I706" i="9" s="1"/>
  <c r="G706" i="9"/>
  <c r="B706" i="9"/>
  <c r="A706" i="9"/>
  <c r="H705" i="9"/>
  <c r="I705" i="9" s="1"/>
  <c r="G705" i="9"/>
  <c r="B705" i="9"/>
  <c r="A705" i="9"/>
  <c r="H704" i="9"/>
  <c r="I704" i="9" s="1"/>
  <c r="G704" i="9"/>
  <c r="B704" i="9"/>
  <c r="A704" i="9"/>
  <c r="H703" i="9"/>
  <c r="I703" i="9" s="1"/>
  <c r="G703" i="9"/>
  <c r="B703" i="9"/>
  <c r="A703" i="9"/>
  <c r="H702" i="9"/>
  <c r="I702" i="9" s="1"/>
  <c r="G702" i="9"/>
  <c r="B702" i="9"/>
  <c r="A702" i="9"/>
  <c r="H701" i="9"/>
  <c r="I701" i="9" s="1"/>
  <c r="G701" i="9"/>
  <c r="B701" i="9"/>
  <c r="A701" i="9"/>
  <c r="H700" i="9"/>
  <c r="I700" i="9" s="1"/>
  <c r="G700" i="9"/>
  <c r="B700" i="9"/>
  <c r="A700" i="9"/>
  <c r="H699" i="9"/>
  <c r="I699" i="9" s="1"/>
  <c r="G699" i="9"/>
  <c r="B699" i="9"/>
  <c r="A699" i="9"/>
  <c r="H698" i="9"/>
  <c r="I698" i="9" s="1"/>
  <c r="G698" i="9"/>
  <c r="B698" i="9"/>
  <c r="A698" i="9"/>
  <c r="H697" i="9"/>
  <c r="I697" i="9" s="1"/>
  <c r="G697" i="9"/>
  <c r="B697" i="9"/>
  <c r="A697" i="9"/>
  <c r="H696" i="9"/>
  <c r="I696" i="9" s="1"/>
  <c r="G696" i="9"/>
  <c r="B696" i="9"/>
  <c r="A696" i="9"/>
  <c r="H695" i="9"/>
  <c r="I695" i="9" s="1"/>
  <c r="G695" i="9"/>
  <c r="B695" i="9"/>
  <c r="A695" i="9"/>
  <c r="H694" i="9"/>
  <c r="I694" i="9" s="1"/>
  <c r="G694" i="9"/>
  <c r="B694" i="9"/>
  <c r="A694" i="9"/>
  <c r="H693" i="9"/>
  <c r="I693" i="9" s="1"/>
  <c r="G693" i="9"/>
  <c r="B693" i="9"/>
  <c r="A693" i="9"/>
  <c r="H692" i="9"/>
  <c r="I692" i="9" s="1"/>
  <c r="G692" i="9"/>
  <c r="B692" i="9"/>
  <c r="A692" i="9"/>
  <c r="H691" i="9"/>
  <c r="I691" i="9" s="1"/>
  <c r="G691" i="9"/>
  <c r="B691" i="9"/>
  <c r="A691" i="9"/>
  <c r="H690" i="9"/>
  <c r="I690" i="9" s="1"/>
  <c r="G690" i="9"/>
  <c r="B690" i="9"/>
  <c r="A690" i="9"/>
  <c r="H689" i="9"/>
  <c r="I689" i="9" s="1"/>
  <c r="G689" i="9"/>
  <c r="B689" i="9"/>
  <c r="A689" i="9"/>
  <c r="H688" i="9"/>
  <c r="I688" i="9" s="1"/>
  <c r="G688" i="9"/>
  <c r="B688" i="9"/>
  <c r="A688" i="9"/>
  <c r="H687" i="9"/>
  <c r="I687" i="9" s="1"/>
  <c r="G687" i="9"/>
  <c r="B687" i="9"/>
  <c r="A687" i="9"/>
  <c r="H686" i="9"/>
  <c r="I686" i="9" s="1"/>
  <c r="G686" i="9"/>
  <c r="B686" i="9"/>
  <c r="A686" i="9"/>
  <c r="H685" i="9"/>
  <c r="I685" i="9" s="1"/>
  <c r="G685" i="9"/>
  <c r="B685" i="9"/>
  <c r="A685" i="9"/>
  <c r="H684" i="9"/>
  <c r="I684" i="9" s="1"/>
  <c r="G684" i="9"/>
  <c r="B684" i="9"/>
  <c r="A684" i="9"/>
  <c r="H683" i="9"/>
  <c r="I683" i="9" s="1"/>
  <c r="G683" i="9"/>
  <c r="B683" i="9"/>
  <c r="A683" i="9"/>
  <c r="H682" i="9"/>
  <c r="I682" i="9" s="1"/>
  <c r="G682" i="9"/>
  <c r="B682" i="9"/>
  <c r="A682" i="9"/>
  <c r="H681" i="9"/>
  <c r="I681" i="9" s="1"/>
  <c r="G681" i="9"/>
  <c r="B681" i="9"/>
  <c r="A681" i="9"/>
  <c r="H680" i="9"/>
  <c r="I680" i="9" s="1"/>
  <c r="G680" i="9"/>
  <c r="B680" i="9"/>
  <c r="A680" i="9"/>
  <c r="H679" i="9"/>
  <c r="I679" i="9" s="1"/>
  <c r="G679" i="9"/>
  <c r="B679" i="9"/>
  <c r="A679" i="9"/>
  <c r="H678" i="9"/>
  <c r="I678" i="9" s="1"/>
  <c r="G678" i="9"/>
  <c r="B678" i="9"/>
  <c r="A678" i="9"/>
  <c r="H677" i="9"/>
  <c r="I677" i="9" s="1"/>
  <c r="G677" i="9"/>
  <c r="B677" i="9"/>
  <c r="A677" i="9"/>
  <c r="H676" i="9"/>
  <c r="I676" i="9" s="1"/>
  <c r="G676" i="9"/>
  <c r="B676" i="9"/>
  <c r="A676" i="9"/>
  <c r="H675" i="9"/>
  <c r="I675" i="9" s="1"/>
  <c r="G675" i="9"/>
  <c r="B675" i="9"/>
  <c r="A675" i="9"/>
  <c r="H674" i="9"/>
  <c r="I674" i="9" s="1"/>
  <c r="G674" i="9"/>
  <c r="B674" i="9"/>
  <c r="A674" i="9"/>
  <c r="H673" i="9"/>
  <c r="I673" i="9" s="1"/>
  <c r="G673" i="9"/>
  <c r="B673" i="9"/>
  <c r="A673" i="9"/>
  <c r="H672" i="9"/>
  <c r="I672" i="9" s="1"/>
  <c r="G672" i="9"/>
  <c r="B672" i="9"/>
  <c r="A672" i="9"/>
  <c r="H671" i="9"/>
  <c r="I671" i="9" s="1"/>
  <c r="G671" i="9"/>
  <c r="B671" i="9"/>
  <c r="A671" i="9"/>
  <c r="H670" i="9"/>
  <c r="I670" i="9" s="1"/>
  <c r="G670" i="9"/>
  <c r="B670" i="9"/>
  <c r="A670" i="9"/>
  <c r="H669" i="9"/>
  <c r="I669" i="9" s="1"/>
  <c r="G669" i="9"/>
  <c r="B669" i="9"/>
  <c r="A669" i="9"/>
  <c r="H668" i="9"/>
  <c r="I668" i="9" s="1"/>
  <c r="G668" i="9"/>
  <c r="B668" i="9"/>
  <c r="A668" i="9"/>
  <c r="H667" i="9"/>
  <c r="I667" i="9" s="1"/>
  <c r="G667" i="9"/>
  <c r="B667" i="9"/>
  <c r="A667" i="9"/>
  <c r="H666" i="9"/>
  <c r="I666" i="9" s="1"/>
  <c r="G666" i="9"/>
  <c r="B666" i="9"/>
  <c r="A666" i="9"/>
  <c r="H665" i="9"/>
  <c r="I665" i="9" s="1"/>
  <c r="G665" i="9"/>
  <c r="B665" i="9"/>
  <c r="A665" i="9"/>
  <c r="H664" i="9"/>
  <c r="I664" i="9" s="1"/>
  <c r="G664" i="9"/>
  <c r="B664" i="9"/>
  <c r="A664" i="9"/>
  <c r="H663" i="9"/>
  <c r="I663" i="9" s="1"/>
  <c r="G663" i="9"/>
  <c r="B663" i="9"/>
  <c r="A663" i="9"/>
  <c r="C663" i="9" s="1"/>
  <c r="H662" i="9"/>
  <c r="I662" i="9" s="1"/>
  <c r="G662" i="9"/>
  <c r="B662" i="9"/>
  <c r="A662" i="9"/>
  <c r="H661" i="9"/>
  <c r="I661" i="9" s="1"/>
  <c r="G661" i="9"/>
  <c r="B661" i="9"/>
  <c r="A661" i="9"/>
  <c r="H660" i="9"/>
  <c r="I660" i="9" s="1"/>
  <c r="G660" i="9"/>
  <c r="B660" i="9"/>
  <c r="A660" i="9"/>
  <c r="H659" i="9"/>
  <c r="I659" i="9" s="1"/>
  <c r="G659" i="9"/>
  <c r="B659" i="9"/>
  <c r="A659" i="9"/>
  <c r="H658" i="9"/>
  <c r="I658" i="9" s="1"/>
  <c r="G658" i="9"/>
  <c r="B658" i="9"/>
  <c r="A658" i="9"/>
  <c r="H657" i="9"/>
  <c r="I657" i="9" s="1"/>
  <c r="G657" i="9"/>
  <c r="B657" i="9"/>
  <c r="A657" i="9"/>
  <c r="H656" i="9"/>
  <c r="I656" i="9" s="1"/>
  <c r="G656" i="9"/>
  <c r="B656" i="9"/>
  <c r="A656" i="9"/>
  <c r="H655" i="9"/>
  <c r="I655" i="9" s="1"/>
  <c r="G655" i="9"/>
  <c r="B655" i="9"/>
  <c r="A655" i="9"/>
  <c r="H654" i="9"/>
  <c r="I654" i="9" s="1"/>
  <c r="G654" i="9"/>
  <c r="B654" i="9"/>
  <c r="A654" i="9"/>
  <c r="H653" i="9"/>
  <c r="I653" i="9" s="1"/>
  <c r="G653" i="9"/>
  <c r="B653" i="9"/>
  <c r="A653" i="9"/>
  <c r="H652" i="9"/>
  <c r="I652" i="9" s="1"/>
  <c r="G652" i="9"/>
  <c r="B652" i="9"/>
  <c r="A652" i="9"/>
  <c r="E652" i="9" s="1"/>
  <c r="H651" i="9"/>
  <c r="I651" i="9" s="1"/>
  <c r="G651" i="9"/>
  <c r="B651" i="9"/>
  <c r="A651" i="9"/>
  <c r="H650" i="9"/>
  <c r="I650" i="9" s="1"/>
  <c r="G650" i="9"/>
  <c r="B650" i="9"/>
  <c r="A650" i="9"/>
  <c r="H649" i="9"/>
  <c r="I649" i="9" s="1"/>
  <c r="G649" i="9"/>
  <c r="B649" i="9"/>
  <c r="A649" i="9"/>
  <c r="H648" i="9"/>
  <c r="I648" i="9" s="1"/>
  <c r="G648" i="9"/>
  <c r="B648" i="9"/>
  <c r="A648" i="9"/>
  <c r="H647" i="9"/>
  <c r="I647" i="9" s="1"/>
  <c r="G647" i="9"/>
  <c r="B647" i="9"/>
  <c r="A647" i="9"/>
  <c r="H646" i="9"/>
  <c r="I646" i="9" s="1"/>
  <c r="G646" i="9"/>
  <c r="B646" i="9"/>
  <c r="A646" i="9"/>
  <c r="H645" i="9"/>
  <c r="I645" i="9" s="1"/>
  <c r="G645" i="9"/>
  <c r="B645" i="9"/>
  <c r="A645" i="9"/>
  <c r="H644" i="9"/>
  <c r="I644" i="9" s="1"/>
  <c r="G644" i="9"/>
  <c r="B644" i="9"/>
  <c r="A644" i="9"/>
  <c r="H643" i="9"/>
  <c r="I643" i="9" s="1"/>
  <c r="G643" i="9"/>
  <c r="B643" i="9"/>
  <c r="A643" i="9"/>
  <c r="H642" i="9"/>
  <c r="I642" i="9" s="1"/>
  <c r="G642" i="9"/>
  <c r="B642" i="9"/>
  <c r="A642" i="9"/>
  <c r="H641" i="9"/>
  <c r="I641" i="9" s="1"/>
  <c r="G641" i="9"/>
  <c r="B641" i="9"/>
  <c r="A641" i="9"/>
  <c r="H640" i="9"/>
  <c r="I640" i="9" s="1"/>
  <c r="G640" i="9"/>
  <c r="B640" i="9"/>
  <c r="A640" i="9"/>
  <c r="H639" i="9"/>
  <c r="I639" i="9" s="1"/>
  <c r="G639" i="9"/>
  <c r="B639" i="9"/>
  <c r="A639" i="9"/>
  <c r="H638" i="9"/>
  <c r="I638" i="9" s="1"/>
  <c r="G638" i="9"/>
  <c r="B638" i="9"/>
  <c r="A638" i="9"/>
  <c r="H637" i="9"/>
  <c r="I637" i="9" s="1"/>
  <c r="G637" i="9"/>
  <c r="B637" i="9"/>
  <c r="A637" i="9"/>
  <c r="H636" i="9"/>
  <c r="I636" i="9" s="1"/>
  <c r="G636" i="9"/>
  <c r="B636" i="9"/>
  <c r="A636" i="9"/>
  <c r="H635" i="9"/>
  <c r="I635" i="9" s="1"/>
  <c r="G635" i="9"/>
  <c r="B635" i="9"/>
  <c r="A635" i="9"/>
  <c r="H634" i="9"/>
  <c r="I634" i="9" s="1"/>
  <c r="G634" i="9"/>
  <c r="B634" i="9"/>
  <c r="A634" i="9"/>
  <c r="H633" i="9"/>
  <c r="I633" i="9" s="1"/>
  <c r="G633" i="9"/>
  <c r="B633" i="9"/>
  <c r="A633" i="9"/>
  <c r="H632" i="9"/>
  <c r="I632" i="9" s="1"/>
  <c r="G632" i="9"/>
  <c r="B632" i="9"/>
  <c r="A632" i="9"/>
  <c r="H631" i="9"/>
  <c r="I631" i="9" s="1"/>
  <c r="G631" i="9"/>
  <c r="B631" i="9"/>
  <c r="A631" i="9"/>
  <c r="H630" i="9"/>
  <c r="I630" i="9" s="1"/>
  <c r="G630" i="9"/>
  <c r="B630" i="9"/>
  <c r="A630" i="9"/>
  <c r="H629" i="9"/>
  <c r="I629" i="9" s="1"/>
  <c r="G629" i="9"/>
  <c r="B629" i="9"/>
  <c r="A629" i="9"/>
  <c r="H628" i="9"/>
  <c r="I628" i="9" s="1"/>
  <c r="G628" i="9"/>
  <c r="B628" i="9"/>
  <c r="A628" i="9"/>
  <c r="H627" i="9"/>
  <c r="I627" i="9" s="1"/>
  <c r="G627" i="9"/>
  <c r="B627" i="9"/>
  <c r="A627" i="9"/>
  <c r="H626" i="9"/>
  <c r="I626" i="9" s="1"/>
  <c r="G626" i="9"/>
  <c r="B626" i="9"/>
  <c r="A626" i="9"/>
  <c r="H625" i="9"/>
  <c r="I625" i="9" s="1"/>
  <c r="G625" i="9"/>
  <c r="B625" i="9"/>
  <c r="A625" i="9"/>
  <c r="H624" i="9"/>
  <c r="I624" i="9" s="1"/>
  <c r="G624" i="9"/>
  <c r="B624" i="9"/>
  <c r="A624" i="9"/>
  <c r="H623" i="9"/>
  <c r="I623" i="9" s="1"/>
  <c r="G623" i="9"/>
  <c r="B623" i="9"/>
  <c r="A623" i="9"/>
  <c r="H622" i="9"/>
  <c r="I622" i="9" s="1"/>
  <c r="G622" i="9"/>
  <c r="B622" i="9"/>
  <c r="A622" i="9"/>
  <c r="H621" i="9"/>
  <c r="I621" i="9" s="1"/>
  <c r="G621" i="9"/>
  <c r="B621" i="9"/>
  <c r="A621" i="9"/>
  <c r="H620" i="9"/>
  <c r="I620" i="9" s="1"/>
  <c r="G620" i="9"/>
  <c r="B620" i="9"/>
  <c r="A620" i="9"/>
  <c r="H619" i="9"/>
  <c r="I619" i="9" s="1"/>
  <c r="G619" i="9"/>
  <c r="B619" i="9"/>
  <c r="A619" i="9"/>
  <c r="H618" i="9"/>
  <c r="I618" i="9" s="1"/>
  <c r="G618" i="9"/>
  <c r="B618" i="9"/>
  <c r="A618" i="9"/>
  <c r="H617" i="9"/>
  <c r="I617" i="9" s="1"/>
  <c r="G617" i="9"/>
  <c r="B617" i="9"/>
  <c r="A617" i="9"/>
  <c r="H616" i="9"/>
  <c r="I616" i="9" s="1"/>
  <c r="G616" i="9"/>
  <c r="B616" i="9"/>
  <c r="A616" i="9"/>
  <c r="H615" i="9"/>
  <c r="I615" i="9" s="1"/>
  <c r="G615" i="9"/>
  <c r="B615" i="9"/>
  <c r="A615" i="9"/>
  <c r="H614" i="9"/>
  <c r="I614" i="9" s="1"/>
  <c r="G614" i="9"/>
  <c r="B614" i="9"/>
  <c r="A614" i="9"/>
  <c r="H613" i="9"/>
  <c r="I613" i="9" s="1"/>
  <c r="G613" i="9"/>
  <c r="B613" i="9"/>
  <c r="A613" i="9"/>
  <c r="H612" i="9"/>
  <c r="I612" i="9" s="1"/>
  <c r="G612" i="9"/>
  <c r="B612" i="9"/>
  <c r="A612" i="9"/>
  <c r="H611" i="9"/>
  <c r="I611" i="9" s="1"/>
  <c r="G611" i="9"/>
  <c r="B611" i="9"/>
  <c r="A611" i="9"/>
  <c r="H610" i="9"/>
  <c r="I610" i="9" s="1"/>
  <c r="G610" i="9"/>
  <c r="B610" i="9"/>
  <c r="A610" i="9"/>
  <c r="H609" i="9"/>
  <c r="I609" i="9" s="1"/>
  <c r="G609" i="9"/>
  <c r="B609" i="9"/>
  <c r="A609" i="9"/>
  <c r="H608" i="9"/>
  <c r="I608" i="9" s="1"/>
  <c r="G608" i="9"/>
  <c r="B608" i="9"/>
  <c r="A608" i="9"/>
  <c r="H607" i="9"/>
  <c r="I607" i="9" s="1"/>
  <c r="G607" i="9"/>
  <c r="B607" i="9"/>
  <c r="A607" i="9"/>
  <c r="E607" i="9" s="1"/>
  <c r="H606" i="9"/>
  <c r="I606" i="9" s="1"/>
  <c r="G606" i="9"/>
  <c r="B606" i="9"/>
  <c r="A606" i="9"/>
  <c r="H605" i="9"/>
  <c r="I605" i="9" s="1"/>
  <c r="G605" i="9"/>
  <c r="B605" i="9"/>
  <c r="A605" i="9"/>
  <c r="H604" i="9"/>
  <c r="I604" i="9" s="1"/>
  <c r="G604" i="9"/>
  <c r="B604" i="9"/>
  <c r="A604" i="9"/>
  <c r="H603" i="9"/>
  <c r="I603" i="9" s="1"/>
  <c r="G603" i="9"/>
  <c r="B603" i="9"/>
  <c r="A603" i="9"/>
  <c r="H602" i="9"/>
  <c r="I602" i="9" s="1"/>
  <c r="G602" i="9"/>
  <c r="B602" i="9"/>
  <c r="A602" i="9"/>
  <c r="H601" i="9"/>
  <c r="I601" i="9" s="1"/>
  <c r="G601" i="9"/>
  <c r="B601" i="9"/>
  <c r="A601" i="9"/>
  <c r="H600" i="9"/>
  <c r="I600" i="9" s="1"/>
  <c r="G600" i="9"/>
  <c r="B600" i="9"/>
  <c r="A600" i="9"/>
  <c r="H599" i="9"/>
  <c r="I599" i="9" s="1"/>
  <c r="G599" i="9"/>
  <c r="B599" i="9"/>
  <c r="A599" i="9"/>
  <c r="L599" i="9" s="1"/>
  <c r="H598" i="9"/>
  <c r="I598" i="9" s="1"/>
  <c r="G598" i="9"/>
  <c r="B598" i="9"/>
  <c r="A598" i="9"/>
  <c r="H597" i="9"/>
  <c r="I597" i="9" s="1"/>
  <c r="G597" i="9"/>
  <c r="B597" i="9"/>
  <c r="A597" i="9"/>
  <c r="H596" i="9"/>
  <c r="I596" i="9" s="1"/>
  <c r="G596" i="9"/>
  <c r="B596" i="9"/>
  <c r="A596" i="9"/>
  <c r="H595" i="9"/>
  <c r="I595" i="9" s="1"/>
  <c r="G595" i="9"/>
  <c r="B595" i="9"/>
  <c r="A595" i="9"/>
  <c r="H594" i="9"/>
  <c r="I594" i="9" s="1"/>
  <c r="G594" i="9"/>
  <c r="B594" i="9"/>
  <c r="A594" i="9"/>
  <c r="H593" i="9"/>
  <c r="I593" i="9" s="1"/>
  <c r="G593" i="9"/>
  <c r="B593" i="9"/>
  <c r="A593" i="9"/>
  <c r="H592" i="9"/>
  <c r="I592" i="9" s="1"/>
  <c r="G592" i="9"/>
  <c r="B592" i="9"/>
  <c r="A592" i="9"/>
  <c r="H591" i="9"/>
  <c r="I591" i="9" s="1"/>
  <c r="G591" i="9"/>
  <c r="B591" i="9"/>
  <c r="A591" i="9"/>
  <c r="H590" i="9"/>
  <c r="I590" i="9" s="1"/>
  <c r="G590" i="9"/>
  <c r="B590" i="9"/>
  <c r="A590" i="9"/>
  <c r="H589" i="9"/>
  <c r="I589" i="9" s="1"/>
  <c r="G589" i="9"/>
  <c r="B589" i="9"/>
  <c r="A589" i="9"/>
  <c r="D589" i="9" s="1"/>
  <c r="H588" i="9"/>
  <c r="I588" i="9" s="1"/>
  <c r="G588" i="9"/>
  <c r="B588" i="9"/>
  <c r="A588" i="9"/>
  <c r="H587" i="9"/>
  <c r="I587" i="9" s="1"/>
  <c r="G587" i="9"/>
  <c r="B587" i="9"/>
  <c r="A587" i="9"/>
  <c r="H586" i="9"/>
  <c r="I586" i="9" s="1"/>
  <c r="G586" i="9"/>
  <c r="B586" i="9"/>
  <c r="A586" i="9"/>
  <c r="H585" i="9"/>
  <c r="I585" i="9" s="1"/>
  <c r="G585" i="9"/>
  <c r="B585" i="9"/>
  <c r="A585" i="9"/>
  <c r="H584" i="9"/>
  <c r="I584" i="9" s="1"/>
  <c r="G584" i="9"/>
  <c r="B584" i="9"/>
  <c r="A584" i="9"/>
  <c r="H583" i="9"/>
  <c r="I583" i="9" s="1"/>
  <c r="G583" i="9"/>
  <c r="B583" i="9"/>
  <c r="A583" i="9"/>
  <c r="H582" i="9"/>
  <c r="I582" i="9" s="1"/>
  <c r="G582" i="9"/>
  <c r="B582" i="9"/>
  <c r="A582" i="9"/>
  <c r="H581" i="9"/>
  <c r="I581" i="9" s="1"/>
  <c r="G581" i="9"/>
  <c r="B581" i="9"/>
  <c r="A581" i="9"/>
  <c r="H580" i="9"/>
  <c r="I580" i="9" s="1"/>
  <c r="G580" i="9"/>
  <c r="B580" i="9"/>
  <c r="A580" i="9"/>
  <c r="F580" i="9" s="1"/>
  <c r="H579" i="9"/>
  <c r="I579" i="9" s="1"/>
  <c r="G579" i="9"/>
  <c r="B579" i="9"/>
  <c r="A579" i="9"/>
  <c r="H578" i="9"/>
  <c r="I578" i="9" s="1"/>
  <c r="G578" i="9"/>
  <c r="B578" i="9"/>
  <c r="A578" i="9"/>
  <c r="H577" i="9"/>
  <c r="I577" i="9" s="1"/>
  <c r="G577" i="9"/>
  <c r="B577" i="9"/>
  <c r="A577" i="9"/>
  <c r="H576" i="9"/>
  <c r="I576" i="9" s="1"/>
  <c r="G576" i="9"/>
  <c r="B576" i="9"/>
  <c r="A576" i="9"/>
  <c r="C576" i="9" s="1"/>
  <c r="H575" i="9"/>
  <c r="I575" i="9" s="1"/>
  <c r="G575" i="9"/>
  <c r="B575" i="9"/>
  <c r="A575" i="9"/>
  <c r="H574" i="9"/>
  <c r="I574" i="9" s="1"/>
  <c r="G574" i="9"/>
  <c r="B574" i="9"/>
  <c r="A574" i="9"/>
  <c r="H573" i="9"/>
  <c r="I573" i="9" s="1"/>
  <c r="G573" i="9"/>
  <c r="B573" i="9"/>
  <c r="A573" i="9"/>
  <c r="H572" i="9"/>
  <c r="I572" i="9" s="1"/>
  <c r="G572" i="9"/>
  <c r="B572" i="9"/>
  <c r="A572" i="9"/>
  <c r="H571" i="9"/>
  <c r="I571" i="9" s="1"/>
  <c r="G571" i="9"/>
  <c r="B571" i="9"/>
  <c r="A571" i="9"/>
  <c r="H570" i="9"/>
  <c r="I570" i="9" s="1"/>
  <c r="G570" i="9"/>
  <c r="B570" i="9"/>
  <c r="A570" i="9"/>
  <c r="H569" i="9"/>
  <c r="I569" i="9" s="1"/>
  <c r="G569" i="9"/>
  <c r="B569" i="9"/>
  <c r="A569" i="9"/>
  <c r="H568" i="9"/>
  <c r="I568" i="9" s="1"/>
  <c r="G568" i="9"/>
  <c r="B568" i="9"/>
  <c r="A568" i="9"/>
  <c r="H567" i="9"/>
  <c r="I567" i="9" s="1"/>
  <c r="G567" i="9"/>
  <c r="B567" i="9"/>
  <c r="A567" i="9"/>
  <c r="H566" i="9"/>
  <c r="I566" i="9" s="1"/>
  <c r="G566" i="9"/>
  <c r="B566" i="9"/>
  <c r="A566" i="9"/>
  <c r="H565" i="9"/>
  <c r="I565" i="9" s="1"/>
  <c r="G565" i="9"/>
  <c r="B565" i="9"/>
  <c r="A565" i="9"/>
  <c r="H564" i="9"/>
  <c r="I564" i="9" s="1"/>
  <c r="G564" i="9"/>
  <c r="B564" i="9"/>
  <c r="A564" i="9"/>
  <c r="H563" i="9"/>
  <c r="I563" i="9" s="1"/>
  <c r="G563" i="9"/>
  <c r="B563" i="9"/>
  <c r="A563" i="9"/>
  <c r="H562" i="9"/>
  <c r="I562" i="9" s="1"/>
  <c r="G562" i="9"/>
  <c r="B562" i="9"/>
  <c r="A562" i="9"/>
  <c r="H561" i="9"/>
  <c r="I561" i="9" s="1"/>
  <c r="G561" i="9"/>
  <c r="B561" i="9"/>
  <c r="A561" i="9"/>
  <c r="H560" i="9"/>
  <c r="I560" i="9" s="1"/>
  <c r="G560" i="9"/>
  <c r="B560" i="9"/>
  <c r="A560" i="9"/>
  <c r="H559" i="9"/>
  <c r="I559" i="9" s="1"/>
  <c r="G559" i="9"/>
  <c r="B559" i="9"/>
  <c r="A559" i="9"/>
  <c r="H558" i="9"/>
  <c r="I558" i="9" s="1"/>
  <c r="G558" i="9"/>
  <c r="B558" i="9"/>
  <c r="A558" i="9"/>
  <c r="H557" i="9"/>
  <c r="I557" i="9" s="1"/>
  <c r="G557" i="9"/>
  <c r="B557" i="9"/>
  <c r="A557" i="9"/>
  <c r="H556" i="9"/>
  <c r="I556" i="9" s="1"/>
  <c r="G556" i="9"/>
  <c r="B556" i="9"/>
  <c r="A556" i="9"/>
  <c r="H555" i="9"/>
  <c r="I555" i="9" s="1"/>
  <c r="G555" i="9"/>
  <c r="B555" i="9"/>
  <c r="A555" i="9"/>
  <c r="H554" i="9"/>
  <c r="I554" i="9" s="1"/>
  <c r="G554" i="9"/>
  <c r="B554" i="9"/>
  <c r="A554" i="9"/>
  <c r="H553" i="9"/>
  <c r="I553" i="9" s="1"/>
  <c r="G553" i="9"/>
  <c r="B553" i="9"/>
  <c r="A553" i="9"/>
  <c r="H552" i="9"/>
  <c r="I552" i="9" s="1"/>
  <c r="G552" i="9"/>
  <c r="B552" i="9"/>
  <c r="A552" i="9"/>
  <c r="H551" i="9"/>
  <c r="I551" i="9" s="1"/>
  <c r="G551" i="9"/>
  <c r="B551" i="9"/>
  <c r="A551" i="9"/>
  <c r="H550" i="9"/>
  <c r="I550" i="9" s="1"/>
  <c r="G550" i="9"/>
  <c r="B550" i="9"/>
  <c r="A550" i="9"/>
  <c r="H549" i="9"/>
  <c r="I549" i="9" s="1"/>
  <c r="G549" i="9"/>
  <c r="B549" i="9"/>
  <c r="A549" i="9"/>
  <c r="H548" i="9"/>
  <c r="I548" i="9" s="1"/>
  <c r="G548" i="9"/>
  <c r="B548" i="9"/>
  <c r="A548" i="9"/>
  <c r="H547" i="9"/>
  <c r="I547" i="9" s="1"/>
  <c r="G547" i="9"/>
  <c r="B547" i="9"/>
  <c r="A547" i="9"/>
  <c r="H546" i="9"/>
  <c r="I546" i="9" s="1"/>
  <c r="G546" i="9"/>
  <c r="B546" i="9"/>
  <c r="A546" i="9"/>
  <c r="H545" i="9"/>
  <c r="I545" i="9" s="1"/>
  <c r="G545" i="9"/>
  <c r="B545" i="9"/>
  <c r="A545" i="9"/>
  <c r="H544" i="9"/>
  <c r="I544" i="9" s="1"/>
  <c r="G544" i="9"/>
  <c r="B544" i="9"/>
  <c r="A544" i="9"/>
  <c r="H543" i="9"/>
  <c r="I543" i="9" s="1"/>
  <c r="G543" i="9"/>
  <c r="B543" i="9"/>
  <c r="A543" i="9"/>
  <c r="H542" i="9"/>
  <c r="I542" i="9" s="1"/>
  <c r="G542" i="9"/>
  <c r="B542" i="9"/>
  <c r="A542" i="9"/>
  <c r="H541" i="9"/>
  <c r="I541" i="9" s="1"/>
  <c r="G541" i="9"/>
  <c r="B541" i="9"/>
  <c r="A541" i="9"/>
  <c r="H540" i="9"/>
  <c r="I540" i="9" s="1"/>
  <c r="G540" i="9"/>
  <c r="B540" i="9"/>
  <c r="A540" i="9"/>
  <c r="H539" i="9"/>
  <c r="I539" i="9" s="1"/>
  <c r="G539" i="9"/>
  <c r="B539" i="9"/>
  <c r="A539" i="9"/>
  <c r="H538" i="9"/>
  <c r="I538" i="9" s="1"/>
  <c r="G538" i="9"/>
  <c r="B538" i="9"/>
  <c r="A538" i="9"/>
  <c r="C538" i="9" s="1"/>
  <c r="H537" i="9"/>
  <c r="I537" i="9" s="1"/>
  <c r="G537" i="9"/>
  <c r="B537" i="9"/>
  <c r="A537" i="9"/>
  <c r="H536" i="9"/>
  <c r="I536" i="9" s="1"/>
  <c r="G536" i="9"/>
  <c r="B536" i="9"/>
  <c r="A536" i="9"/>
  <c r="H535" i="9"/>
  <c r="I535" i="9" s="1"/>
  <c r="G535" i="9"/>
  <c r="B535" i="9"/>
  <c r="A535" i="9"/>
  <c r="H534" i="9"/>
  <c r="I534" i="9" s="1"/>
  <c r="G534" i="9"/>
  <c r="B534" i="9"/>
  <c r="A534" i="9"/>
  <c r="H533" i="9"/>
  <c r="I533" i="9" s="1"/>
  <c r="G533" i="9"/>
  <c r="B533" i="9"/>
  <c r="A533" i="9"/>
  <c r="H532" i="9"/>
  <c r="I532" i="9" s="1"/>
  <c r="G532" i="9"/>
  <c r="B532" i="9"/>
  <c r="A532" i="9"/>
  <c r="H531" i="9"/>
  <c r="I531" i="9" s="1"/>
  <c r="G531" i="9"/>
  <c r="B531" i="9"/>
  <c r="A531" i="9"/>
  <c r="H530" i="9"/>
  <c r="I530" i="9" s="1"/>
  <c r="G530" i="9"/>
  <c r="B530" i="9"/>
  <c r="A530" i="9"/>
  <c r="H529" i="9"/>
  <c r="I529" i="9" s="1"/>
  <c r="G529" i="9"/>
  <c r="B529" i="9"/>
  <c r="A529" i="9"/>
  <c r="H528" i="9"/>
  <c r="I528" i="9" s="1"/>
  <c r="G528" i="9"/>
  <c r="B528" i="9"/>
  <c r="A528" i="9"/>
  <c r="H527" i="9"/>
  <c r="I527" i="9" s="1"/>
  <c r="G527" i="9"/>
  <c r="B527" i="9"/>
  <c r="A527" i="9"/>
  <c r="H526" i="9"/>
  <c r="I526" i="9" s="1"/>
  <c r="G526" i="9"/>
  <c r="B526" i="9"/>
  <c r="A526" i="9"/>
  <c r="H525" i="9"/>
  <c r="I525" i="9" s="1"/>
  <c r="G525" i="9"/>
  <c r="B525" i="9"/>
  <c r="A525" i="9"/>
  <c r="H524" i="9"/>
  <c r="I524" i="9" s="1"/>
  <c r="G524" i="9"/>
  <c r="B524" i="9"/>
  <c r="A524" i="9"/>
  <c r="H523" i="9"/>
  <c r="I523" i="9" s="1"/>
  <c r="G523" i="9"/>
  <c r="B523" i="9"/>
  <c r="A523" i="9"/>
  <c r="H522" i="9"/>
  <c r="I522" i="9" s="1"/>
  <c r="G522" i="9"/>
  <c r="B522" i="9"/>
  <c r="A522" i="9"/>
  <c r="H521" i="9"/>
  <c r="I521" i="9" s="1"/>
  <c r="G521" i="9"/>
  <c r="B521" i="9"/>
  <c r="A521" i="9"/>
  <c r="H520" i="9"/>
  <c r="I520" i="9" s="1"/>
  <c r="G520" i="9"/>
  <c r="B520" i="9"/>
  <c r="A520" i="9"/>
  <c r="H519" i="9"/>
  <c r="I519" i="9" s="1"/>
  <c r="G519" i="9"/>
  <c r="B519" i="9"/>
  <c r="A519" i="9"/>
  <c r="H518" i="9"/>
  <c r="I518" i="9" s="1"/>
  <c r="G518" i="9"/>
  <c r="B518" i="9"/>
  <c r="A518" i="9"/>
  <c r="H517" i="9"/>
  <c r="I517" i="9" s="1"/>
  <c r="G517" i="9"/>
  <c r="B517" i="9"/>
  <c r="A517" i="9"/>
  <c r="H516" i="9"/>
  <c r="I516" i="9" s="1"/>
  <c r="G516" i="9"/>
  <c r="B516" i="9"/>
  <c r="A516" i="9"/>
  <c r="H515" i="9"/>
  <c r="I515" i="9" s="1"/>
  <c r="G515" i="9"/>
  <c r="B515" i="9"/>
  <c r="A515" i="9"/>
  <c r="H514" i="9"/>
  <c r="I514" i="9" s="1"/>
  <c r="G514" i="9"/>
  <c r="B514" i="9"/>
  <c r="A514" i="9"/>
  <c r="H513" i="9"/>
  <c r="I513" i="9" s="1"/>
  <c r="G513" i="9"/>
  <c r="B513" i="9"/>
  <c r="A513" i="9"/>
  <c r="H512" i="9"/>
  <c r="I512" i="9" s="1"/>
  <c r="G512" i="9"/>
  <c r="B512" i="9"/>
  <c r="A512" i="9"/>
  <c r="H511" i="9"/>
  <c r="I511" i="9" s="1"/>
  <c r="G511" i="9"/>
  <c r="B511" i="9"/>
  <c r="A511" i="9"/>
  <c r="H510" i="9"/>
  <c r="I510" i="9" s="1"/>
  <c r="G510" i="9"/>
  <c r="B510" i="9"/>
  <c r="A510" i="9"/>
  <c r="J510" i="9" s="1"/>
  <c r="H509" i="9"/>
  <c r="I509" i="9" s="1"/>
  <c r="G509" i="9"/>
  <c r="B509" i="9"/>
  <c r="A509" i="9"/>
  <c r="H508" i="9"/>
  <c r="I508" i="9" s="1"/>
  <c r="G508" i="9"/>
  <c r="B508" i="9"/>
  <c r="A508" i="9"/>
  <c r="H507" i="9"/>
  <c r="I507" i="9" s="1"/>
  <c r="G507" i="9"/>
  <c r="B507" i="9"/>
  <c r="A507" i="9"/>
  <c r="H506" i="9"/>
  <c r="I506" i="9" s="1"/>
  <c r="G506" i="9"/>
  <c r="B506" i="9"/>
  <c r="A506" i="9"/>
  <c r="H505" i="9"/>
  <c r="I505" i="9" s="1"/>
  <c r="G505" i="9"/>
  <c r="B505" i="9"/>
  <c r="A505" i="9"/>
  <c r="H504" i="9"/>
  <c r="I504" i="9" s="1"/>
  <c r="G504" i="9"/>
  <c r="B504" i="9"/>
  <c r="A504" i="9"/>
  <c r="H503" i="9"/>
  <c r="I503" i="9" s="1"/>
  <c r="G503" i="9"/>
  <c r="B503" i="9"/>
  <c r="A503" i="9"/>
  <c r="H502" i="9"/>
  <c r="I502" i="9" s="1"/>
  <c r="G502" i="9"/>
  <c r="B502" i="9"/>
  <c r="A502" i="9"/>
  <c r="H501" i="9"/>
  <c r="I501" i="9" s="1"/>
  <c r="G501" i="9"/>
  <c r="B501" i="9"/>
  <c r="A501" i="9"/>
  <c r="H500" i="9"/>
  <c r="I500" i="9" s="1"/>
  <c r="G500" i="9"/>
  <c r="B500" i="9"/>
  <c r="A500" i="9"/>
  <c r="H499" i="9"/>
  <c r="I499" i="9" s="1"/>
  <c r="G499" i="9"/>
  <c r="B499" i="9"/>
  <c r="A499" i="9"/>
  <c r="H498" i="9"/>
  <c r="I498" i="9" s="1"/>
  <c r="G498" i="9"/>
  <c r="B498" i="9"/>
  <c r="A498" i="9"/>
  <c r="H497" i="9"/>
  <c r="I497" i="9" s="1"/>
  <c r="G497" i="9"/>
  <c r="B497" i="9"/>
  <c r="A497" i="9"/>
  <c r="H496" i="9"/>
  <c r="I496" i="9" s="1"/>
  <c r="G496" i="9"/>
  <c r="B496" i="9"/>
  <c r="A496" i="9"/>
  <c r="H495" i="9"/>
  <c r="I495" i="9" s="1"/>
  <c r="G495" i="9"/>
  <c r="B495" i="9"/>
  <c r="A495" i="9"/>
  <c r="H494" i="9"/>
  <c r="I494" i="9" s="1"/>
  <c r="G494" i="9"/>
  <c r="B494" i="9"/>
  <c r="A494" i="9"/>
  <c r="H493" i="9"/>
  <c r="I493" i="9" s="1"/>
  <c r="G493" i="9"/>
  <c r="B493" i="9"/>
  <c r="A493" i="9"/>
  <c r="H492" i="9"/>
  <c r="I492" i="9" s="1"/>
  <c r="G492" i="9"/>
  <c r="B492" i="9"/>
  <c r="A492" i="9"/>
  <c r="H491" i="9"/>
  <c r="I491" i="9" s="1"/>
  <c r="G491" i="9"/>
  <c r="B491" i="9"/>
  <c r="A491" i="9"/>
  <c r="H490" i="9"/>
  <c r="I490" i="9" s="1"/>
  <c r="G490" i="9"/>
  <c r="B490" i="9"/>
  <c r="A490" i="9"/>
  <c r="H489" i="9"/>
  <c r="I489" i="9" s="1"/>
  <c r="G489" i="9"/>
  <c r="B489" i="9"/>
  <c r="A489" i="9"/>
  <c r="H488" i="9"/>
  <c r="I488" i="9" s="1"/>
  <c r="G488" i="9"/>
  <c r="B488" i="9"/>
  <c r="A488" i="9"/>
  <c r="H487" i="9"/>
  <c r="I487" i="9" s="1"/>
  <c r="G487" i="9"/>
  <c r="B487" i="9"/>
  <c r="A487" i="9"/>
  <c r="H486" i="9"/>
  <c r="I486" i="9" s="1"/>
  <c r="G486" i="9"/>
  <c r="B486" i="9"/>
  <c r="A486" i="9"/>
  <c r="H485" i="9"/>
  <c r="I485" i="9" s="1"/>
  <c r="G485" i="9"/>
  <c r="B485" i="9"/>
  <c r="A485" i="9"/>
  <c r="H484" i="9"/>
  <c r="I484" i="9" s="1"/>
  <c r="G484" i="9"/>
  <c r="B484" i="9"/>
  <c r="A484" i="9"/>
  <c r="H483" i="9"/>
  <c r="I483" i="9" s="1"/>
  <c r="G483" i="9"/>
  <c r="B483" i="9"/>
  <c r="A483" i="9"/>
  <c r="H482" i="9"/>
  <c r="I482" i="9" s="1"/>
  <c r="G482" i="9"/>
  <c r="B482" i="9"/>
  <c r="A482" i="9"/>
  <c r="H481" i="9"/>
  <c r="I481" i="9" s="1"/>
  <c r="G481" i="9"/>
  <c r="B481" i="9"/>
  <c r="A481" i="9"/>
  <c r="H480" i="9"/>
  <c r="I480" i="9" s="1"/>
  <c r="G480" i="9"/>
  <c r="B480" i="9"/>
  <c r="A480" i="9"/>
  <c r="H479" i="9"/>
  <c r="I479" i="9" s="1"/>
  <c r="G479" i="9"/>
  <c r="B479" i="9"/>
  <c r="A479" i="9"/>
  <c r="H478" i="9"/>
  <c r="I478" i="9" s="1"/>
  <c r="G478" i="9"/>
  <c r="B478" i="9"/>
  <c r="A478" i="9"/>
  <c r="H477" i="9"/>
  <c r="I477" i="9" s="1"/>
  <c r="G477" i="9"/>
  <c r="B477" i="9"/>
  <c r="A477" i="9"/>
  <c r="H476" i="9"/>
  <c r="I476" i="9" s="1"/>
  <c r="G476" i="9"/>
  <c r="B476" i="9"/>
  <c r="A476" i="9"/>
  <c r="H475" i="9"/>
  <c r="I475" i="9" s="1"/>
  <c r="G475" i="9"/>
  <c r="B475" i="9"/>
  <c r="A475" i="9"/>
  <c r="H474" i="9"/>
  <c r="I474" i="9" s="1"/>
  <c r="G474" i="9"/>
  <c r="B474" i="9"/>
  <c r="A474" i="9"/>
  <c r="H473" i="9"/>
  <c r="I473" i="9" s="1"/>
  <c r="G473" i="9"/>
  <c r="B473" i="9"/>
  <c r="A473" i="9"/>
  <c r="H472" i="9"/>
  <c r="I472" i="9" s="1"/>
  <c r="G472" i="9"/>
  <c r="B472" i="9"/>
  <c r="A472" i="9"/>
  <c r="H471" i="9"/>
  <c r="I471" i="9" s="1"/>
  <c r="G471" i="9"/>
  <c r="B471" i="9"/>
  <c r="A471" i="9"/>
  <c r="H470" i="9"/>
  <c r="I470" i="9" s="1"/>
  <c r="G470" i="9"/>
  <c r="B470" i="9"/>
  <c r="A470" i="9"/>
  <c r="H469" i="9"/>
  <c r="I469" i="9" s="1"/>
  <c r="G469" i="9"/>
  <c r="B469" i="9"/>
  <c r="A469" i="9"/>
  <c r="H468" i="9"/>
  <c r="I468" i="9" s="1"/>
  <c r="G468" i="9"/>
  <c r="B468" i="9"/>
  <c r="A468" i="9"/>
  <c r="H467" i="9"/>
  <c r="I467" i="9" s="1"/>
  <c r="G467" i="9"/>
  <c r="B467" i="9"/>
  <c r="A467" i="9"/>
  <c r="H466" i="9"/>
  <c r="I466" i="9" s="1"/>
  <c r="G466" i="9"/>
  <c r="B466" i="9"/>
  <c r="A466" i="9"/>
  <c r="H465" i="9"/>
  <c r="I465" i="9" s="1"/>
  <c r="G465" i="9"/>
  <c r="B465" i="9"/>
  <c r="A465" i="9"/>
  <c r="H464" i="9"/>
  <c r="I464" i="9" s="1"/>
  <c r="G464" i="9"/>
  <c r="B464" i="9"/>
  <c r="A464" i="9"/>
  <c r="H463" i="9"/>
  <c r="I463" i="9" s="1"/>
  <c r="G463" i="9"/>
  <c r="B463" i="9"/>
  <c r="A463" i="9"/>
  <c r="H462" i="9"/>
  <c r="I462" i="9" s="1"/>
  <c r="G462" i="9"/>
  <c r="B462" i="9"/>
  <c r="A462" i="9"/>
  <c r="H461" i="9"/>
  <c r="I461" i="9" s="1"/>
  <c r="G461" i="9"/>
  <c r="B461" i="9"/>
  <c r="A461" i="9"/>
  <c r="H460" i="9"/>
  <c r="I460" i="9" s="1"/>
  <c r="G460" i="9"/>
  <c r="B460" i="9"/>
  <c r="A460" i="9"/>
  <c r="H459" i="9"/>
  <c r="I459" i="9" s="1"/>
  <c r="G459" i="9"/>
  <c r="B459" i="9"/>
  <c r="A459" i="9"/>
  <c r="H458" i="9"/>
  <c r="I458" i="9" s="1"/>
  <c r="G458" i="9"/>
  <c r="B458" i="9"/>
  <c r="A458" i="9"/>
  <c r="H457" i="9"/>
  <c r="I457" i="9" s="1"/>
  <c r="G457" i="9"/>
  <c r="B457" i="9"/>
  <c r="A457" i="9"/>
  <c r="H456" i="9"/>
  <c r="I456" i="9" s="1"/>
  <c r="G456" i="9"/>
  <c r="B456" i="9"/>
  <c r="A456" i="9"/>
  <c r="H455" i="9"/>
  <c r="I455" i="9" s="1"/>
  <c r="G455" i="9"/>
  <c r="B455" i="9"/>
  <c r="A455" i="9"/>
  <c r="H454" i="9"/>
  <c r="I454" i="9" s="1"/>
  <c r="G454" i="9"/>
  <c r="B454" i="9"/>
  <c r="A454" i="9"/>
  <c r="H453" i="9"/>
  <c r="I453" i="9" s="1"/>
  <c r="G453" i="9"/>
  <c r="B453" i="9"/>
  <c r="A453" i="9"/>
  <c r="H452" i="9"/>
  <c r="I452" i="9" s="1"/>
  <c r="G452" i="9"/>
  <c r="B452" i="9"/>
  <c r="A452" i="9"/>
  <c r="H451" i="9"/>
  <c r="I451" i="9" s="1"/>
  <c r="G451" i="9"/>
  <c r="B451" i="9"/>
  <c r="A451" i="9"/>
  <c r="H450" i="9"/>
  <c r="I450" i="9" s="1"/>
  <c r="G450" i="9"/>
  <c r="B450" i="9"/>
  <c r="A450" i="9"/>
  <c r="H449" i="9"/>
  <c r="I449" i="9" s="1"/>
  <c r="G449" i="9"/>
  <c r="B449" i="9"/>
  <c r="A449" i="9"/>
  <c r="H448" i="9"/>
  <c r="I448" i="9" s="1"/>
  <c r="G448" i="9"/>
  <c r="B448" i="9"/>
  <c r="A448" i="9"/>
  <c r="H447" i="9"/>
  <c r="I447" i="9" s="1"/>
  <c r="G447" i="9"/>
  <c r="B447" i="9"/>
  <c r="A447" i="9"/>
  <c r="H446" i="9"/>
  <c r="I446" i="9" s="1"/>
  <c r="G446" i="9"/>
  <c r="B446" i="9"/>
  <c r="A446" i="9"/>
  <c r="H445" i="9"/>
  <c r="I445" i="9" s="1"/>
  <c r="G445" i="9"/>
  <c r="B445" i="9"/>
  <c r="A445" i="9"/>
  <c r="H444" i="9"/>
  <c r="I444" i="9" s="1"/>
  <c r="G444" i="9"/>
  <c r="B444" i="9"/>
  <c r="A444" i="9"/>
  <c r="H443" i="9"/>
  <c r="I443" i="9" s="1"/>
  <c r="G443" i="9"/>
  <c r="B443" i="9"/>
  <c r="A443" i="9"/>
  <c r="H442" i="9"/>
  <c r="I442" i="9" s="1"/>
  <c r="G442" i="9"/>
  <c r="B442" i="9"/>
  <c r="A442" i="9"/>
  <c r="H441" i="9"/>
  <c r="I441" i="9" s="1"/>
  <c r="G441" i="9"/>
  <c r="B441" i="9"/>
  <c r="A441" i="9"/>
  <c r="H440" i="9"/>
  <c r="I440" i="9" s="1"/>
  <c r="G440" i="9"/>
  <c r="B440" i="9"/>
  <c r="A440" i="9"/>
  <c r="H439" i="9"/>
  <c r="I439" i="9" s="1"/>
  <c r="G439" i="9"/>
  <c r="B439" i="9"/>
  <c r="A439" i="9"/>
  <c r="H438" i="9"/>
  <c r="I438" i="9" s="1"/>
  <c r="G438" i="9"/>
  <c r="B438" i="9"/>
  <c r="A438" i="9"/>
  <c r="H437" i="9"/>
  <c r="I437" i="9" s="1"/>
  <c r="G437" i="9"/>
  <c r="B437" i="9"/>
  <c r="A437" i="9"/>
  <c r="H436" i="9"/>
  <c r="I436" i="9" s="1"/>
  <c r="G436" i="9"/>
  <c r="B436" i="9"/>
  <c r="A436" i="9"/>
  <c r="H435" i="9"/>
  <c r="I435" i="9" s="1"/>
  <c r="G435" i="9"/>
  <c r="B435" i="9"/>
  <c r="A435" i="9"/>
  <c r="H434" i="9"/>
  <c r="I434" i="9" s="1"/>
  <c r="G434" i="9"/>
  <c r="B434" i="9"/>
  <c r="A434" i="9"/>
  <c r="H433" i="9"/>
  <c r="I433" i="9" s="1"/>
  <c r="G433" i="9"/>
  <c r="B433" i="9"/>
  <c r="A433" i="9"/>
  <c r="H432" i="9"/>
  <c r="I432" i="9" s="1"/>
  <c r="G432" i="9"/>
  <c r="B432" i="9"/>
  <c r="A432" i="9"/>
  <c r="H431" i="9"/>
  <c r="I431" i="9" s="1"/>
  <c r="G431" i="9"/>
  <c r="B431" i="9"/>
  <c r="A431" i="9"/>
  <c r="H430" i="9"/>
  <c r="I430" i="9" s="1"/>
  <c r="G430" i="9"/>
  <c r="B430" i="9"/>
  <c r="A430" i="9"/>
  <c r="H429" i="9"/>
  <c r="I429" i="9" s="1"/>
  <c r="G429" i="9"/>
  <c r="B429" i="9"/>
  <c r="A429" i="9"/>
  <c r="H428" i="9"/>
  <c r="I428" i="9" s="1"/>
  <c r="G428" i="9"/>
  <c r="B428" i="9"/>
  <c r="A428" i="9"/>
  <c r="H427" i="9"/>
  <c r="I427" i="9" s="1"/>
  <c r="G427" i="9"/>
  <c r="B427" i="9"/>
  <c r="A427" i="9"/>
  <c r="H426" i="9"/>
  <c r="I426" i="9" s="1"/>
  <c r="G426" i="9"/>
  <c r="B426" i="9"/>
  <c r="A426" i="9"/>
  <c r="H425" i="9"/>
  <c r="I425" i="9" s="1"/>
  <c r="G425" i="9"/>
  <c r="B425" i="9"/>
  <c r="A425" i="9"/>
  <c r="H424" i="9"/>
  <c r="I424" i="9" s="1"/>
  <c r="G424" i="9"/>
  <c r="B424" i="9"/>
  <c r="A424" i="9"/>
  <c r="H423" i="9"/>
  <c r="I423" i="9" s="1"/>
  <c r="G423" i="9"/>
  <c r="B423" i="9"/>
  <c r="A423" i="9"/>
  <c r="H422" i="9"/>
  <c r="I422" i="9" s="1"/>
  <c r="G422" i="9"/>
  <c r="B422" i="9"/>
  <c r="A422" i="9"/>
  <c r="H421" i="9"/>
  <c r="I421" i="9" s="1"/>
  <c r="G421" i="9"/>
  <c r="B421" i="9"/>
  <c r="A421" i="9"/>
  <c r="H420" i="9"/>
  <c r="I420" i="9" s="1"/>
  <c r="G420" i="9"/>
  <c r="B420" i="9"/>
  <c r="A420" i="9"/>
  <c r="H419" i="9"/>
  <c r="I419" i="9" s="1"/>
  <c r="G419" i="9"/>
  <c r="B419" i="9"/>
  <c r="A419" i="9"/>
  <c r="H418" i="9"/>
  <c r="I418" i="9" s="1"/>
  <c r="G418" i="9"/>
  <c r="B418" i="9"/>
  <c r="A418" i="9"/>
  <c r="H417" i="9"/>
  <c r="I417" i="9" s="1"/>
  <c r="G417" i="9"/>
  <c r="B417" i="9"/>
  <c r="A417" i="9"/>
  <c r="H416" i="9"/>
  <c r="I416" i="9" s="1"/>
  <c r="G416" i="9"/>
  <c r="B416" i="9"/>
  <c r="A416" i="9"/>
  <c r="H415" i="9"/>
  <c r="I415" i="9" s="1"/>
  <c r="G415" i="9"/>
  <c r="B415" i="9"/>
  <c r="A415" i="9"/>
  <c r="H414" i="9"/>
  <c r="I414" i="9" s="1"/>
  <c r="G414" i="9"/>
  <c r="B414" i="9"/>
  <c r="A414" i="9"/>
  <c r="H413" i="9"/>
  <c r="I413" i="9" s="1"/>
  <c r="G413" i="9"/>
  <c r="B413" i="9"/>
  <c r="A413" i="9"/>
  <c r="H412" i="9"/>
  <c r="I412" i="9" s="1"/>
  <c r="G412" i="9"/>
  <c r="B412" i="9"/>
  <c r="A412" i="9"/>
  <c r="H411" i="9"/>
  <c r="I411" i="9" s="1"/>
  <c r="G411" i="9"/>
  <c r="B411" i="9"/>
  <c r="A411" i="9"/>
  <c r="H410" i="9"/>
  <c r="I410" i="9" s="1"/>
  <c r="G410" i="9"/>
  <c r="B410" i="9"/>
  <c r="A410" i="9"/>
  <c r="H409" i="9"/>
  <c r="I409" i="9" s="1"/>
  <c r="G409" i="9"/>
  <c r="B409" i="9"/>
  <c r="A409" i="9"/>
  <c r="H408" i="9"/>
  <c r="I408" i="9" s="1"/>
  <c r="G408" i="9"/>
  <c r="B408" i="9"/>
  <c r="A408" i="9"/>
  <c r="H407" i="9"/>
  <c r="I407" i="9" s="1"/>
  <c r="G407" i="9"/>
  <c r="B407" i="9"/>
  <c r="A407" i="9"/>
  <c r="H406" i="9"/>
  <c r="I406" i="9" s="1"/>
  <c r="G406" i="9"/>
  <c r="B406" i="9"/>
  <c r="A406" i="9"/>
  <c r="H405" i="9"/>
  <c r="I405" i="9" s="1"/>
  <c r="G405" i="9"/>
  <c r="B405" i="9"/>
  <c r="A405" i="9"/>
  <c r="H404" i="9"/>
  <c r="I404" i="9" s="1"/>
  <c r="G404" i="9"/>
  <c r="B404" i="9"/>
  <c r="A404" i="9"/>
  <c r="H403" i="9"/>
  <c r="I403" i="9" s="1"/>
  <c r="G403" i="9"/>
  <c r="B403" i="9"/>
  <c r="A403" i="9"/>
  <c r="H402" i="9"/>
  <c r="I402" i="9" s="1"/>
  <c r="G402" i="9"/>
  <c r="B402" i="9"/>
  <c r="A402" i="9"/>
  <c r="H401" i="9"/>
  <c r="I401" i="9" s="1"/>
  <c r="G401" i="9"/>
  <c r="B401" i="9"/>
  <c r="A401" i="9"/>
  <c r="H400" i="9"/>
  <c r="I400" i="9" s="1"/>
  <c r="G400" i="9"/>
  <c r="B400" i="9"/>
  <c r="A400" i="9"/>
  <c r="H399" i="9"/>
  <c r="I399" i="9" s="1"/>
  <c r="G399" i="9"/>
  <c r="B399" i="9"/>
  <c r="A399" i="9"/>
  <c r="H398" i="9"/>
  <c r="I398" i="9" s="1"/>
  <c r="G398" i="9"/>
  <c r="B398" i="9"/>
  <c r="A398" i="9"/>
  <c r="H397" i="9"/>
  <c r="I397" i="9" s="1"/>
  <c r="G397" i="9"/>
  <c r="B397" i="9"/>
  <c r="A397" i="9"/>
  <c r="H396" i="9"/>
  <c r="I396" i="9" s="1"/>
  <c r="G396" i="9"/>
  <c r="B396" i="9"/>
  <c r="A396" i="9"/>
  <c r="H395" i="9"/>
  <c r="I395" i="9" s="1"/>
  <c r="G395" i="9"/>
  <c r="B395" i="9"/>
  <c r="A395" i="9"/>
  <c r="H394" i="9"/>
  <c r="I394" i="9" s="1"/>
  <c r="G394" i="9"/>
  <c r="B394" i="9"/>
  <c r="A394" i="9"/>
  <c r="H393" i="9"/>
  <c r="I393" i="9" s="1"/>
  <c r="G393" i="9"/>
  <c r="B393" i="9"/>
  <c r="A393" i="9"/>
  <c r="H392" i="9"/>
  <c r="I392" i="9" s="1"/>
  <c r="G392" i="9"/>
  <c r="B392" i="9"/>
  <c r="A392" i="9"/>
  <c r="H391" i="9"/>
  <c r="I391" i="9" s="1"/>
  <c r="G391" i="9"/>
  <c r="B391" i="9"/>
  <c r="A391" i="9"/>
  <c r="H390" i="9"/>
  <c r="I390" i="9" s="1"/>
  <c r="G390" i="9"/>
  <c r="B390" i="9"/>
  <c r="A390" i="9"/>
  <c r="H389" i="9"/>
  <c r="I389" i="9" s="1"/>
  <c r="G389" i="9"/>
  <c r="B389" i="9"/>
  <c r="A389" i="9"/>
  <c r="H388" i="9"/>
  <c r="I388" i="9" s="1"/>
  <c r="G388" i="9"/>
  <c r="B388" i="9"/>
  <c r="A388" i="9"/>
  <c r="H387" i="9"/>
  <c r="I387" i="9" s="1"/>
  <c r="G387" i="9"/>
  <c r="B387" i="9"/>
  <c r="A387" i="9"/>
  <c r="H386" i="9"/>
  <c r="I386" i="9" s="1"/>
  <c r="G386" i="9"/>
  <c r="B386" i="9"/>
  <c r="A386" i="9"/>
  <c r="H385" i="9"/>
  <c r="I385" i="9" s="1"/>
  <c r="G385" i="9"/>
  <c r="B385" i="9"/>
  <c r="A385" i="9"/>
  <c r="H384" i="9"/>
  <c r="I384" i="9" s="1"/>
  <c r="G384" i="9"/>
  <c r="B384" i="9"/>
  <c r="A384" i="9"/>
  <c r="H383" i="9"/>
  <c r="I383" i="9" s="1"/>
  <c r="G383" i="9"/>
  <c r="B383" i="9"/>
  <c r="A383" i="9"/>
  <c r="H382" i="9"/>
  <c r="I382" i="9" s="1"/>
  <c r="G382" i="9"/>
  <c r="B382" i="9"/>
  <c r="A382" i="9"/>
  <c r="H381" i="9"/>
  <c r="I381" i="9" s="1"/>
  <c r="G381" i="9"/>
  <c r="B381" i="9"/>
  <c r="A381" i="9"/>
  <c r="H380" i="9"/>
  <c r="I380" i="9" s="1"/>
  <c r="G380" i="9"/>
  <c r="B380" i="9"/>
  <c r="A380" i="9"/>
  <c r="H379" i="9"/>
  <c r="I379" i="9" s="1"/>
  <c r="G379" i="9"/>
  <c r="B379" i="9"/>
  <c r="A379" i="9"/>
  <c r="H378" i="9"/>
  <c r="I378" i="9" s="1"/>
  <c r="G378" i="9"/>
  <c r="B378" i="9"/>
  <c r="A378" i="9"/>
  <c r="H377" i="9"/>
  <c r="I377" i="9" s="1"/>
  <c r="G377" i="9"/>
  <c r="B377" i="9"/>
  <c r="A377" i="9"/>
  <c r="H376" i="9"/>
  <c r="I376" i="9" s="1"/>
  <c r="G376" i="9"/>
  <c r="B376" i="9"/>
  <c r="A376" i="9"/>
  <c r="H375" i="9"/>
  <c r="I375" i="9" s="1"/>
  <c r="G375" i="9"/>
  <c r="B375" i="9"/>
  <c r="A375" i="9"/>
  <c r="H374" i="9"/>
  <c r="I374" i="9" s="1"/>
  <c r="G374" i="9"/>
  <c r="B374" i="9"/>
  <c r="A374" i="9"/>
  <c r="H373" i="9"/>
  <c r="I373" i="9" s="1"/>
  <c r="G373" i="9"/>
  <c r="B373" i="9"/>
  <c r="A373" i="9"/>
  <c r="H372" i="9"/>
  <c r="I372" i="9" s="1"/>
  <c r="G372" i="9"/>
  <c r="B372" i="9"/>
  <c r="A372" i="9"/>
  <c r="H371" i="9"/>
  <c r="I371" i="9" s="1"/>
  <c r="G371" i="9"/>
  <c r="B371" i="9"/>
  <c r="A371" i="9"/>
  <c r="H370" i="9"/>
  <c r="I370" i="9" s="1"/>
  <c r="G370" i="9"/>
  <c r="B370" i="9"/>
  <c r="A370" i="9"/>
  <c r="H369" i="9"/>
  <c r="I369" i="9" s="1"/>
  <c r="G369" i="9"/>
  <c r="B369" i="9"/>
  <c r="A369" i="9"/>
  <c r="H368" i="9"/>
  <c r="I368" i="9" s="1"/>
  <c r="G368" i="9"/>
  <c r="B368" i="9"/>
  <c r="A368" i="9"/>
  <c r="H367" i="9"/>
  <c r="I367" i="9" s="1"/>
  <c r="G367" i="9"/>
  <c r="B367" i="9"/>
  <c r="A367" i="9"/>
  <c r="H366" i="9"/>
  <c r="I366" i="9" s="1"/>
  <c r="G366" i="9"/>
  <c r="B366" i="9"/>
  <c r="A366" i="9"/>
  <c r="H365" i="9"/>
  <c r="I365" i="9" s="1"/>
  <c r="G365" i="9"/>
  <c r="B365" i="9"/>
  <c r="A365" i="9"/>
  <c r="H364" i="9"/>
  <c r="I364" i="9" s="1"/>
  <c r="G364" i="9"/>
  <c r="B364" i="9"/>
  <c r="A364" i="9"/>
  <c r="H363" i="9"/>
  <c r="I363" i="9" s="1"/>
  <c r="G363" i="9"/>
  <c r="B363" i="9"/>
  <c r="A363" i="9"/>
  <c r="H362" i="9"/>
  <c r="I362" i="9" s="1"/>
  <c r="G362" i="9"/>
  <c r="B362" i="9"/>
  <c r="A362" i="9"/>
  <c r="H361" i="9"/>
  <c r="I361" i="9" s="1"/>
  <c r="G361" i="9"/>
  <c r="B361" i="9"/>
  <c r="A361" i="9"/>
  <c r="H360" i="9"/>
  <c r="I360" i="9" s="1"/>
  <c r="G360" i="9"/>
  <c r="B360" i="9"/>
  <c r="A360" i="9"/>
  <c r="H359" i="9"/>
  <c r="I359" i="9" s="1"/>
  <c r="G359" i="9"/>
  <c r="B359" i="9"/>
  <c r="A359" i="9"/>
  <c r="H358" i="9"/>
  <c r="I358" i="9" s="1"/>
  <c r="G358" i="9"/>
  <c r="B358" i="9"/>
  <c r="A358" i="9"/>
  <c r="H357" i="9"/>
  <c r="I357" i="9" s="1"/>
  <c r="G357" i="9"/>
  <c r="B357" i="9"/>
  <c r="A357" i="9"/>
  <c r="H356" i="9"/>
  <c r="I356" i="9" s="1"/>
  <c r="G356" i="9"/>
  <c r="B356" i="9"/>
  <c r="A356" i="9"/>
  <c r="H355" i="9"/>
  <c r="I355" i="9" s="1"/>
  <c r="G355" i="9"/>
  <c r="B355" i="9"/>
  <c r="A355" i="9"/>
  <c r="H354" i="9"/>
  <c r="I354" i="9" s="1"/>
  <c r="G354" i="9"/>
  <c r="B354" i="9"/>
  <c r="A354" i="9"/>
  <c r="H353" i="9"/>
  <c r="I353" i="9" s="1"/>
  <c r="G353" i="9"/>
  <c r="B353" i="9"/>
  <c r="A353" i="9"/>
  <c r="H352" i="9"/>
  <c r="I352" i="9" s="1"/>
  <c r="G352" i="9"/>
  <c r="B352" i="9"/>
  <c r="A352" i="9"/>
  <c r="H351" i="9"/>
  <c r="I351" i="9" s="1"/>
  <c r="G351" i="9"/>
  <c r="B351" i="9"/>
  <c r="A351" i="9"/>
  <c r="H350" i="9"/>
  <c r="I350" i="9" s="1"/>
  <c r="G350" i="9"/>
  <c r="B350" i="9"/>
  <c r="A350" i="9"/>
  <c r="H349" i="9"/>
  <c r="I349" i="9" s="1"/>
  <c r="G349" i="9"/>
  <c r="B349" i="9"/>
  <c r="A349" i="9"/>
  <c r="H348" i="9"/>
  <c r="I348" i="9" s="1"/>
  <c r="G348" i="9"/>
  <c r="B348" i="9"/>
  <c r="A348" i="9"/>
  <c r="H347" i="9"/>
  <c r="I347" i="9" s="1"/>
  <c r="G347" i="9"/>
  <c r="B347" i="9"/>
  <c r="A347" i="9"/>
  <c r="H346" i="9"/>
  <c r="I346" i="9" s="1"/>
  <c r="G346" i="9"/>
  <c r="B346" i="9"/>
  <c r="A346" i="9"/>
  <c r="H345" i="9"/>
  <c r="I345" i="9" s="1"/>
  <c r="G345" i="9"/>
  <c r="B345" i="9"/>
  <c r="A345" i="9"/>
  <c r="H344" i="9"/>
  <c r="I344" i="9" s="1"/>
  <c r="G344" i="9"/>
  <c r="B344" i="9"/>
  <c r="A344" i="9"/>
  <c r="H343" i="9"/>
  <c r="I343" i="9" s="1"/>
  <c r="G343" i="9"/>
  <c r="B343" i="9"/>
  <c r="A343" i="9"/>
  <c r="H342" i="9"/>
  <c r="I342" i="9" s="1"/>
  <c r="G342" i="9"/>
  <c r="B342" i="9"/>
  <c r="A342" i="9"/>
  <c r="H341" i="9"/>
  <c r="I341" i="9" s="1"/>
  <c r="G341" i="9"/>
  <c r="B341" i="9"/>
  <c r="A341" i="9"/>
  <c r="H340" i="9"/>
  <c r="I340" i="9" s="1"/>
  <c r="G340" i="9"/>
  <c r="B340" i="9"/>
  <c r="A340" i="9"/>
  <c r="H339" i="9"/>
  <c r="I339" i="9" s="1"/>
  <c r="G339" i="9"/>
  <c r="B339" i="9"/>
  <c r="A339" i="9"/>
  <c r="H338" i="9"/>
  <c r="I338" i="9" s="1"/>
  <c r="G338" i="9"/>
  <c r="B338" i="9"/>
  <c r="A338" i="9"/>
  <c r="H337" i="9"/>
  <c r="I337" i="9" s="1"/>
  <c r="G337" i="9"/>
  <c r="B337" i="9"/>
  <c r="A337" i="9"/>
  <c r="H336" i="9"/>
  <c r="I336" i="9" s="1"/>
  <c r="G336" i="9"/>
  <c r="B336" i="9"/>
  <c r="A336" i="9"/>
  <c r="H335" i="9"/>
  <c r="I335" i="9" s="1"/>
  <c r="G335" i="9"/>
  <c r="B335" i="9"/>
  <c r="A335" i="9"/>
  <c r="H334" i="9"/>
  <c r="I334" i="9" s="1"/>
  <c r="G334" i="9"/>
  <c r="B334" i="9"/>
  <c r="A334" i="9"/>
  <c r="H333" i="9"/>
  <c r="I333" i="9" s="1"/>
  <c r="G333" i="9"/>
  <c r="B333" i="9"/>
  <c r="A333" i="9"/>
  <c r="H332" i="9"/>
  <c r="I332" i="9" s="1"/>
  <c r="G332" i="9"/>
  <c r="B332" i="9"/>
  <c r="A332" i="9"/>
  <c r="H331" i="9"/>
  <c r="I331" i="9" s="1"/>
  <c r="G331" i="9"/>
  <c r="B331" i="9"/>
  <c r="A331" i="9"/>
  <c r="H330" i="9"/>
  <c r="I330" i="9" s="1"/>
  <c r="G330" i="9"/>
  <c r="B330" i="9"/>
  <c r="A330" i="9"/>
  <c r="H329" i="9"/>
  <c r="I329" i="9" s="1"/>
  <c r="G329" i="9"/>
  <c r="B329" i="9"/>
  <c r="A329" i="9"/>
  <c r="H328" i="9"/>
  <c r="I328" i="9" s="1"/>
  <c r="G328" i="9"/>
  <c r="B328" i="9"/>
  <c r="A328" i="9"/>
  <c r="H327" i="9"/>
  <c r="I327" i="9" s="1"/>
  <c r="G327" i="9"/>
  <c r="B327" i="9"/>
  <c r="A327" i="9"/>
  <c r="H326" i="9"/>
  <c r="I326" i="9" s="1"/>
  <c r="G326" i="9"/>
  <c r="B326" i="9"/>
  <c r="A326" i="9"/>
  <c r="H325" i="9"/>
  <c r="I325" i="9" s="1"/>
  <c r="G325" i="9"/>
  <c r="B325" i="9"/>
  <c r="A325" i="9"/>
  <c r="H324" i="9"/>
  <c r="I324" i="9" s="1"/>
  <c r="G324" i="9"/>
  <c r="B324" i="9"/>
  <c r="A324" i="9"/>
  <c r="H323" i="9"/>
  <c r="I323" i="9" s="1"/>
  <c r="G323" i="9"/>
  <c r="B323" i="9"/>
  <c r="A323" i="9"/>
  <c r="H322" i="9"/>
  <c r="I322" i="9" s="1"/>
  <c r="G322" i="9"/>
  <c r="B322" i="9"/>
  <c r="A322" i="9"/>
  <c r="H321" i="9"/>
  <c r="I321" i="9" s="1"/>
  <c r="G321" i="9"/>
  <c r="B321" i="9"/>
  <c r="A321" i="9"/>
  <c r="H320" i="9"/>
  <c r="I320" i="9" s="1"/>
  <c r="G320" i="9"/>
  <c r="B320" i="9"/>
  <c r="A320" i="9"/>
  <c r="H319" i="9"/>
  <c r="I319" i="9" s="1"/>
  <c r="G319" i="9"/>
  <c r="B319" i="9"/>
  <c r="A319" i="9"/>
  <c r="H318" i="9"/>
  <c r="I318" i="9" s="1"/>
  <c r="G318" i="9"/>
  <c r="B318" i="9"/>
  <c r="A318" i="9"/>
  <c r="H317" i="9"/>
  <c r="I317" i="9" s="1"/>
  <c r="G317" i="9"/>
  <c r="B317" i="9"/>
  <c r="A317" i="9"/>
  <c r="H316" i="9"/>
  <c r="I316" i="9" s="1"/>
  <c r="G316" i="9"/>
  <c r="B316" i="9"/>
  <c r="A316" i="9"/>
  <c r="H315" i="9"/>
  <c r="I315" i="9" s="1"/>
  <c r="G315" i="9"/>
  <c r="B315" i="9"/>
  <c r="A315" i="9"/>
  <c r="H314" i="9"/>
  <c r="I314" i="9" s="1"/>
  <c r="G314" i="9"/>
  <c r="B314" i="9"/>
  <c r="A314" i="9"/>
  <c r="H313" i="9"/>
  <c r="I313" i="9" s="1"/>
  <c r="G313" i="9"/>
  <c r="B313" i="9"/>
  <c r="A313" i="9"/>
  <c r="H312" i="9"/>
  <c r="I312" i="9" s="1"/>
  <c r="G312" i="9"/>
  <c r="B312" i="9"/>
  <c r="A312" i="9"/>
  <c r="H311" i="9"/>
  <c r="I311" i="9" s="1"/>
  <c r="G311" i="9"/>
  <c r="B311" i="9"/>
  <c r="A311" i="9"/>
  <c r="H310" i="9"/>
  <c r="I310" i="9" s="1"/>
  <c r="G310" i="9"/>
  <c r="B310" i="9"/>
  <c r="A310" i="9"/>
  <c r="H309" i="9"/>
  <c r="I309" i="9" s="1"/>
  <c r="G309" i="9"/>
  <c r="B309" i="9"/>
  <c r="A309" i="9"/>
  <c r="H308" i="9"/>
  <c r="I308" i="9" s="1"/>
  <c r="G308" i="9"/>
  <c r="B308" i="9"/>
  <c r="A308" i="9"/>
  <c r="H307" i="9"/>
  <c r="I307" i="9" s="1"/>
  <c r="G307" i="9"/>
  <c r="B307" i="9"/>
  <c r="A307" i="9"/>
  <c r="H306" i="9"/>
  <c r="I306" i="9" s="1"/>
  <c r="G306" i="9"/>
  <c r="B306" i="9"/>
  <c r="A306" i="9"/>
  <c r="H305" i="9"/>
  <c r="I305" i="9" s="1"/>
  <c r="G305" i="9"/>
  <c r="B305" i="9"/>
  <c r="A305" i="9"/>
  <c r="H304" i="9"/>
  <c r="I304" i="9" s="1"/>
  <c r="G304" i="9"/>
  <c r="B304" i="9"/>
  <c r="A304" i="9"/>
  <c r="H303" i="9"/>
  <c r="I303" i="9" s="1"/>
  <c r="G303" i="9"/>
  <c r="B303" i="9"/>
  <c r="A303" i="9"/>
  <c r="H302" i="9"/>
  <c r="I302" i="9" s="1"/>
  <c r="G302" i="9"/>
  <c r="B302" i="9"/>
  <c r="A302" i="9"/>
  <c r="H301" i="9"/>
  <c r="I301" i="9" s="1"/>
  <c r="G301" i="9"/>
  <c r="B301" i="9"/>
  <c r="A301" i="9"/>
  <c r="H300" i="9"/>
  <c r="I300" i="9" s="1"/>
  <c r="G300" i="9"/>
  <c r="B300" i="9"/>
  <c r="A300" i="9"/>
  <c r="H299" i="9"/>
  <c r="I299" i="9" s="1"/>
  <c r="G299" i="9"/>
  <c r="B299" i="9"/>
  <c r="A299" i="9"/>
  <c r="H298" i="9"/>
  <c r="I298" i="9" s="1"/>
  <c r="G298" i="9"/>
  <c r="B298" i="9"/>
  <c r="A298" i="9"/>
  <c r="H297" i="9"/>
  <c r="I297" i="9" s="1"/>
  <c r="G297" i="9"/>
  <c r="B297" i="9"/>
  <c r="A297" i="9"/>
  <c r="H296" i="9"/>
  <c r="I296" i="9" s="1"/>
  <c r="G296" i="9"/>
  <c r="B296" i="9"/>
  <c r="A296" i="9"/>
  <c r="H295" i="9"/>
  <c r="I295" i="9" s="1"/>
  <c r="G295" i="9"/>
  <c r="B295" i="9"/>
  <c r="A295" i="9"/>
  <c r="H294" i="9"/>
  <c r="I294" i="9" s="1"/>
  <c r="G294" i="9"/>
  <c r="B294" i="9"/>
  <c r="A294" i="9"/>
  <c r="H293" i="9"/>
  <c r="I293" i="9" s="1"/>
  <c r="G293" i="9"/>
  <c r="B293" i="9"/>
  <c r="A293" i="9"/>
  <c r="H292" i="9"/>
  <c r="I292" i="9" s="1"/>
  <c r="G292" i="9"/>
  <c r="B292" i="9"/>
  <c r="A292" i="9"/>
  <c r="H291" i="9"/>
  <c r="I291" i="9" s="1"/>
  <c r="G291" i="9"/>
  <c r="B291" i="9"/>
  <c r="A291" i="9"/>
  <c r="H290" i="9"/>
  <c r="I290" i="9" s="1"/>
  <c r="G290" i="9"/>
  <c r="B290" i="9"/>
  <c r="A290" i="9"/>
  <c r="H289" i="9"/>
  <c r="I289" i="9" s="1"/>
  <c r="G289" i="9"/>
  <c r="B289" i="9"/>
  <c r="A289" i="9"/>
  <c r="H288" i="9"/>
  <c r="I288" i="9" s="1"/>
  <c r="G288" i="9"/>
  <c r="B288" i="9"/>
  <c r="A288" i="9"/>
  <c r="H287" i="9"/>
  <c r="I287" i="9" s="1"/>
  <c r="G287" i="9"/>
  <c r="B287" i="9"/>
  <c r="A287" i="9"/>
  <c r="H286" i="9"/>
  <c r="I286" i="9" s="1"/>
  <c r="G286" i="9"/>
  <c r="B286" i="9"/>
  <c r="A286" i="9"/>
  <c r="H285" i="9"/>
  <c r="I285" i="9" s="1"/>
  <c r="G285" i="9"/>
  <c r="B285" i="9"/>
  <c r="A285" i="9"/>
  <c r="H284" i="9"/>
  <c r="I284" i="9" s="1"/>
  <c r="G284" i="9"/>
  <c r="B284" i="9"/>
  <c r="A284" i="9"/>
  <c r="H283" i="9"/>
  <c r="I283" i="9" s="1"/>
  <c r="G283" i="9"/>
  <c r="B283" i="9"/>
  <c r="A283" i="9"/>
  <c r="H282" i="9"/>
  <c r="I282" i="9" s="1"/>
  <c r="G282" i="9"/>
  <c r="B282" i="9"/>
  <c r="A282" i="9"/>
  <c r="H281" i="9"/>
  <c r="I281" i="9" s="1"/>
  <c r="G281" i="9"/>
  <c r="B281" i="9"/>
  <c r="A281" i="9"/>
  <c r="H280" i="9"/>
  <c r="I280" i="9" s="1"/>
  <c r="G280" i="9"/>
  <c r="B280" i="9"/>
  <c r="A280" i="9"/>
  <c r="H279" i="9"/>
  <c r="I279" i="9" s="1"/>
  <c r="G279" i="9"/>
  <c r="B279" i="9"/>
  <c r="A279" i="9"/>
  <c r="H278" i="9"/>
  <c r="I278" i="9" s="1"/>
  <c r="G278" i="9"/>
  <c r="B278" i="9"/>
  <c r="A278" i="9"/>
  <c r="H277" i="9"/>
  <c r="I277" i="9" s="1"/>
  <c r="G277" i="9"/>
  <c r="B277" i="9"/>
  <c r="A277" i="9"/>
  <c r="H276" i="9"/>
  <c r="I276" i="9" s="1"/>
  <c r="G276" i="9"/>
  <c r="B276" i="9"/>
  <c r="A276" i="9"/>
  <c r="H275" i="9"/>
  <c r="I275" i="9" s="1"/>
  <c r="G275" i="9"/>
  <c r="B275" i="9"/>
  <c r="A275" i="9"/>
  <c r="H274" i="9"/>
  <c r="I274" i="9" s="1"/>
  <c r="G274" i="9"/>
  <c r="B274" i="9"/>
  <c r="A274" i="9"/>
  <c r="H273" i="9"/>
  <c r="I273" i="9" s="1"/>
  <c r="G273" i="9"/>
  <c r="B273" i="9"/>
  <c r="A273" i="9"/>
  <c r="H272" i="9"/>
  <c r="I272" i="9" s="1"/>
  <c r="G272" i="9"/>
  <c r="B272" i="9"/>
  <c r="A272" i="9"/>
  <c r="H271" i="9"/>
  <c r="I271" i="9" s="1"/>
  <c r="G271" i="9"/>
  <c r="B271" i="9"/>
  <c r="A271" i="9"/>
  <c r="H270" i="9"/>
  <c r="I270" i="9" s="1"/>
  <c r="G270" i="9"/>
  <c r="B270" i="9"/>
  <c r="A270" i="9"/>
  <c r="H269" i="9"/>
  <c r="I269" i="9" s="1"/>
  <c r="G269" i="9"/>
  <c r="B269" i="9"/>
  <c r="A269" i="9"/>
  <c r="H268" i="9"/>
  <c r="I268" i="9" s="1"/>
  <c r="G268" i="9"/>
  <c r="B268" i="9"/>
  <c r="A268" i="9"/>
  <c r="H267" i="9"/>
  <c r="I267" i="9" s="1"/>
  <c r="G267" i="9"/>
  <c r="B267" i="9"/>
  <c r="A267" i="9"/>
  <c r="H266" i="9"/>
  <c r="I266" i="9" s="1"/>
  <c r="G266" i="9"/>
  <c r="B266" i="9"/>
  <c r="A266" i="9"/>
  <c r="H265" i="9"/>
  <c r="I265" i="9" s="1"/>
  <c r="G265" i="9"/>
  <c r="B265" i="9"/>
  <c r="A265" i="9"/>
  <c r="H264" i="9"/>
  <c r="I264" i="9" s="1"/>
  <c r="G264" i="9"/>
  <c r="B264" i="9"/>
  <c r="A264" i="9"/>
  <c r="H263" i="9"/>
  <c r="I263" i="9" s="1"/>
  <c r="G263" i="9"/>
  <c r="B263" i="9"/>
  <c r="A263" i="9"/>
  <c r="H262" i="9"/>
  <c r="I262" i="9" s="1"/>
  <c r="G262" i="9"/>
  <c r="B262" i="9"/>
  <c r="A262" i="9"/>
  <c r="H261" i="9"/>
  <c r="I261" i="9" s="1"/>
  <c r="G261" i="9"/>
  <c r="B261" i="9"/>
  <c r="A261" i="9"/>
  <c r="H260" i="9"/>
  <c r="I260" i="9" s="1"/>
  <c r="G260" i="9"/>
  <c r="B260" i="9"/>
  <c r="A260" i="9"/>
  <c r="H259" i="9"/>
  <c r="I259" i="9" s="1"/>
  <c r="G259" i="9"/>
  <c r="B259" i="9"/>
  <c r="A259" i="9"/>
  <c r="H258" i="9"/>
  <c r="I258" i="9" s="1"/>
  <c r="G258" i="9"/>
  <c r="B258" i="9"/>
  <c r="A258" i="9"/>
  <c r="H257" i="9"/>
  <c r="I257" i="9" s="1"/>
  <c r="G257" i="9"/>
  <c r="B257" i="9"/>
  <c r="A257" i="9"/>
  <c r="H256" i="9"/>
  <c r="I256" i="9" s="1"/>
  <c r="G256" i="9"/>
  <c r="B256" i="9"/>
  <c r="A256" i="9"/>
  <c r="H255" i="9"/>
  <c r="I255" i="9" s="1"/>
  <c r="G255" i="9"/>
  <c r="B255" i="9"/>
  <c r="A255" i="9"/>
  <c r="H254" i="9"/>
  <c r="I254" i="9" s="1"/>
  <c r="G254" i="9"/>
  <c r="B254" i="9"/>
  <c r="A254" i="9"/>
  <c r="H253" i="9"/>
  <c r="I253" i="9" s="1"/>
  <c r="G253" i="9"/>
  <c r="B253" i="9"/>
  <c r="A253" i="9"/>
  <c r="H252" i="9"/>
  <c r="I252" i="9" s="1"/>
  <c r="G252" i="9"/>
  <c r="B252" i="9"/>
  <c r="A252" i="9"/>
  <c r="H251" i="9"/>
  <c r="I251" i="9" s="1"/>
  <c r="G251" i="9"/>
  <c r="B251" i="9"/>
  <c r="A251" i="9"/>
  <c r="H250" i="9"/>
  <c r="I250" i="9" s="1"/>
  <c r="G250" i="9"/>
  <c r="B250" i="9"/>
  <c r="A250" i="9"/>
  <c r="H249" i="9"/>
  <c r="I249" i="9" s="1"/>
  <c r="G249" i="9"/>
  <c r="B249" i="9"/>
  <c r="A249" i="9"/>
  <c r="H248" i="9"/>
  <c r="I248" i="9" s="1"/>
  <c r="G248" i="9"/>
  <c r="B248" i="9"/>
  <c r="A248" i="9"/>
  <c r="H247" i="9"/>
  <c r="I247" i="9" s="1"/>
  <c r="G247" i="9"/>
  <c r="B247" i="9"/>
  <c r="A247" i="9"/>
  <c r="H246" i="9"/>
  <c r="I246" i="9" s="1"/>
  <c r="G246" i="9"/>
  <c r="B246" i="9"/>
  <c r="A246" i="9"/>
  <c r="H245" i="9"/>
  <c r="I245" i="9" s="1"/>
  <c r="G245" i="9"/>
  <c r="B245" i="9"/>
  <c r="A245" i="9"/>
  <c r="H244" i="9"/>
  <c r="I244" i="9" s="1"/>
  <c r="G244" i="9"/>
  <c r="B244" i="9"/>
  <c r="A244" i="9"/>
  <c r="H243" i="9"/>
  <c r="I243" i="9" s="1"/>
  <c r="G243" i="9"/>
  <c r="B243" i="9"/>
  <c r="A243" i="9"/>
  <c r="H242" i="9"/>
  <c r="I242" i="9" s="1"/>
  <c r="G242" i="9"/>
  <c r="B242" i="9"/>
  <c r="A242" i="9"/>
  <c r="H241" i="9"/>
  <c r="I241" i="9" s="1"/>
  <c r="G241" i="9"/>
  <c r="B241" i="9"/>
  <c r="A241" i="9"/>
  <c r="H240" i="9"/>
  <c r="I240" i="9" s="1"/>
  <c r="G240" i="9"/>
  <c r="B240" i="9"/>
  <c r="A240" i="9"/>
  <c r="H239" i="9"/>
  <c r="I239" i="9" s="1"/>
  <c r="G239" i="9"/>
  <c r="B239" i="9"/>
  <c r="A239" i="9"/>
  <c r="H238" i="9"/>
  <c r="I238" i="9" s="1"/>
  <c r="G238" i="9"/>
  <c r="B238" i="9"/>
  <c r="A238" i="9"/>
  <c r="H237" i="9"/>
  <c r="I237" i="9" s="1"/>
  <c r="G237" i="9"/>
  <c r="B237" i="9"/>
  <c r="A237" i="9"/>
  <c r="H236" i="9"/>
  <c r="I236" i="9" s="1"/>
  <c r="G236" i="9"/>
  <c r="B236" i="9"/>
  <c r="A236" i="9"/>
  <c r="H235" i="9"/>
  <c r="I235" i="9" s="1"/>
  <c r="G235" i="9"/>
  <c r="B235" i="9"/>
  <c r="A235" i="9"/>
  <c r="H234" i="9"/>
  <c r="I234" i="9" s="1"/>
  <c r="G234" i="9"/>
  <c r="B234" i="9"/>
  <c r="A234" i="9"/>
  <c r="H233" i="9"/>
  <c r="I233" i="9" s="1"/>
  <c r="G233" i="9"/>
  <c r="B233" i="9"/>
  <c r="A233" i="9"/>
  <c r="H232" i="9"/>
  <c r="I232" i="9" s="1"/>
  <c r="G232" i="9"/>
  <c r="B232" i="9"/>
  <c r="A232" i="9"/>
  <c r="H231" i="9"/>
  <c r="I231" i="9" s="1"/>
  <c r="G231" i="9"/>
  <c r="B231" i="9"/>
  <c r="A231" i="9"/>
  <c r="H230" i="9"/>
  <c r="I230" i="9" s="1"/>
  <c r="G230" i="9"/>
  <c r="B230" i="9"/>
  <c r="A230" i="9"/>
  <c r="H229" i="9"/>
  <c r="I229" i="9" s="1"/>
  <c r="G229" i="9"/>
  <c r="B229" i="9"/>
  <c r="A229" i="9"/>
  <c r="H228" i="9"/>
  <c r="I228" i="9" s="1"/>
  <c r="G228" i="9"/>
  <c r="B228" i="9"/>
  <c r="A228" i="9"/>
  <c r="H227" i="9"/>
  <c r="I227" i="9" s="1"/>
  <c r="G227" i="9"/>
  <c r="B227" i="9"/>
  <c r="A227" i="9"/>
  <c r="H226" i="9"/>
  <c r="I226" i="9" s="1"/>
  <c r="G226" i="9"/>
  <c r="B226" i="9"/>
  <c r="A226" i="9"/>
  <c r="H225" i="9"/>
  <c r="I225" i="9" s="1"/>
  <c r="G225" i="9"/>
  <c r="B225" i="9"/>
  <c r="A225" i="9"/>
  <c r="H224" i="9"/>
  <c r="I224" i="9" s="1"/>
  <c r="G224" i="9"/>
  <c r="B224" i="9"/>
  <c r="A224" i="9"/>
  <c r="H223" i="9"/>
  <c r="I223" i="9" s="1"/>
  <c r="G223" i="9"/>
  <c r="B223" i="9"/>
  <c r="A223" i="9"/>
  <c r="H222" i="9"/>
  <c r="I222" i="9" s="1"/>
  <c r="G222" i="9"/>
  <c r="B222" i="9"/>
  <c r="A222" i="9"/>
  <c r="H221" i="9"/>
  <c r="I221" i="9" s="1"/>
  <c r="G221" i="9"/>
  <c r="B221" i="9"/>
  <c r="A221" i="9"/>
  <c r="H220" i="9"/>
  <c r="I220" i="9" s="1"/>
  <c r="G220" i="9"/>
  <c r="B220" i="9"/>
  <c r="A220" i="9"/>
  <c r="H219" i="9"/>
  <c r="I219" i="9" s="1"/>
  <c r="G219" i="9"/>
  <c r="B219" i="9"/>
  <c r="A219" i="9"/>
  <c r="H218" i="9"/>
  <c r="I218" i="9" s="1"/>
  <c r="G218" i="9"/>
  <c r="B218" i="9"/>
  <c r="A218" i="9"/>
  <c r="H217" i="9"/>
  <c r="I217" i="9" s="1"/>
  <c r="G217" i="9"/>
  <c r="B217" i="9"/>
  <c r="A217" i="9"/>
  <c r="H216" i="9"/>
  <c r="I216" i="9" s="1"/>
  <c r="G216" i="9"/>
  <c r="B216" i="9"/>
  <c r="A216" i="9"/>
  <c r="H215" i="9"/>
  <c r="I215" i="9" s="1"/>
  <c r="G215" i="9"/>
  <c r="B215" i="9"/>
  <c r="A215" i="9"/>
  <c r="H214" i="9"/>
  <c r="I214" i="9" s="1"/>
  <c r="G214" i="9"/>
  <c r="B214" i="9"/>
  <c r="A214" i="9"/>
  <c r="H213" i="9"/>
  <c r="I213" i="9" s="1"/>
  <c r="G213" i="9"/>
  <c r="B213" i="9"/>
  <c r="A213" i="9"/>
  <c r="H212" i="9"/>
  <c r="I212" i="9" s="1"/>
  <c r="G212" i="9"/>
  <c r="B212" i="9"/>
  <c r="A212" i="9"/>
  <c r="H211" i="9"/>
  <c r="I211" i="9" s="1"/>
  <c r="G211" i="9"/>
  <c r="B211" i="9"/>
  <c r="A211" i="9"/>
  <c r="H210" i="9"/>
  <c r="I210" i="9" s="1"/>
  <c r="G210" i="9"/>
  <c r="B210" i="9"/>
  <c r="A210" i="9"/>
  <c r="H209" i="9"/>
  <c r="I209" i="9" s="1"/>
  <c r="G209" i="9"/>
  <c r="B209" i="9"/>
  <c r="A209" i="9"/>
  <c r="H208" i="9"/>
  <c r="I208" i="9" s="1"/>
  <c r="G208" i="9"/>
  <c r="B208" i="9"/>
  <c r="A208" i="9"/>
  <c r="H207" i="9"/>
  <c r="I207" i="9" s="1"/>
  <c r="G207" i="9"/>
  <c r="B207" i="9"/>
  <c r="A207" i="9"/>
  <c r="H206" i="9"/>
  <c r="I206" i="9" s="1"/>
  <c r="G206" i="9"/>
  <c r="B206" i="9"/>
  <c r="A206" i="9"/>
  <c r="H205" i="9"/>
  <c r="I205" i="9" s="1"/>
  <c r="G205" i="9"/>
  <c r="B205" i="9"/>
  <c r="A205" i="9"/>
  <c r="H204" i="9"/>
  <c r="I204" i="9" s="1"/>
  <c r="G204" i="9"/>
  <c r="B204" i="9"/>
  <c r="A204" i="9"/>
  <c r="H203" i="9"/>
  <c r="I203" i="9" s="1"/>
  <c r="G203" i="9"/>
  <c r="B203" i="9"/>
  <c r="A203" i="9"/>
  <c r="H202" i="9"/>
  <c r="I202" i="9" s="1"/>
  <c r="G202" i="9"/>
  <c r="B202" i="9"/>
  <c r="A202" i="9"/>
  <c r="H201" i="9"/>
  <c r="I201" i="9" s="1"/>
  <c r="G201" i="9"/>
  <c r="B201" i="9"/>
  <c r="A201" i="9"/>
  <c r="H200" i="9"/>
  <c r="I200" i="9" s="1"/>
  <c r="G200" i="9"/>
  <c r="B200" i="9"/>
  <c r="A200" i="9"/>
  <c r="H199" i="9"/>
  <c r="I199" i="9" s="1"/>
  <c r="G199" i="9"/>
  <c r="B199" i="9"/>
  <c r="A199" i="9"/>
  <c r="H198" i="9"/>
  <c r="I198" i="9" s="1"/>
  <c r="G198" i="9"/>
  <c r="B198" i="9"/>
  <c r="A198" i="9"/>
  <c r="H197" i="9"/>
  <c r="I197" i="9" s="1"/>
  <c r="G197" i="9"/>
  <c r="B197" i="9"/>
  <c r="A197" i="9"/>
  <c r="H196" i="9"/>
  <c r="I196" i="9" s="1"/>
  <c r="G196" i="9"/>
  <c r="B196" i="9"/>
  <c r="A196" i="9"/>
  <c r="H195" i="9"/>
  <c r="I195" i="9" s="1"/>
  <c r="G195" i="9"/>
  <c r="B195" i="9"/>
  <c r="A195" i="9"/>
  <c r="H194" i="9"/>
  <c r="I194" i="9" s="1"/>
  <c r="G194" i="9"/>
  <c r="B194" i="9"/>
  <c r="A194" i="9"/>
  <c r="H193" i="9"/>
  <c r="I193" i="9" s="1"/>
  <c r="G193" i="9"/>
  <c r="B193" i="9"/>
  <c r="A193" i="9"/>
  <c r="H192" i="9"/>
  <c r="I192" i="9" s="1"/>
  <c r="G192" i="9"/>
  <c r="B192" i="9"/>
  <c r="A192" i="9"/>
  <c r="H191" i="9"/>
  <c r="I191" i="9" s="1"/>
  <c r="G191" i="9"/>
  <c r="B191" i="9"/>
  <c r="A191" i="9"/>
  <c r="H190" i="9"/>
  <c r="I190" i="9" s="1"/>
  <c r="G190" i="9"/>
  <c r="B190" i="9"/>
  <c r="A190" i="9"/>
  <c r="H189" i="9"/>
  <c r="I189" i="9" s="1"/>
  <c r="G189" i="9"/>
  <c r="B189" i="9"/>
  <c r="A189" i="9"/>
  <c r="H188" i="9"/>
  <c r="I188" i="9" s="1"/>
  <c r="G188" i="9"/>
  <c r="B188" i="9"/>
  <c r="A188" i="9"/>
  <c r="H187" i="9"/>
  <c r="I187" i="9" s="1"/>
  <c r="G187" i="9"/>
  <c r="B187" i="9"/>
  <c r="A187" i="9"/>
  <c r="H186" i="9"/>
  <c r="I186" i="9" s="1"/>
  <c r="G186" i="9"/>
  <c r="B186" i="9"/>
  <c r="A186" i="9"/>
  <c r="H185" i="9"/>
  <c r="I185" i="9" s="1"/>
  <c r="G185" i="9"/>
  <c r="B185" i="9"/>
  <c r="A185" i="9"/>
  <c r="H184" i="9"/>
  <c r="I184" i="9" s="1"/>
  <c r="G184" i="9"/>
  <c r="B184" i="9"/>
  <c r="A184" i="9"/>
  <c r="H183" i="9"/>
  <c r="I183" i="9" s="1"/>
  <c r="G183" i="9"/>
  <c r="B183" i="9"/>
  <c r="A183" i="9"/>
  <c r="H182" i="9"/>
  <c r="I182" i="9" s="1"/>
  <c r="G182" i="9"/>
  <c r="B182" i="9"/>
  <c r="A182" i="9"/>
  <c r="H181" i="9"/>
  <c r="I181" i="9" s="1"/>
  <c r="G181" i="9"/>
  <c r="B181" i="9"/>
  <c r="A181" i="9"/>
  <c r="H180" i="9"/>
  <c r="I180" i="9" s="1"/>
  <c r="G180" i="9"/>
  <c r="B180" i="9"/>
  <c r="A180" i="9"/>
  <c r="H179" i="9"/>
  <c r="I179" i="9" s="1"/>
  <c r="G179" i="9"/>
  <c r="B179" i="9"/>
  <c r="A179" i="9"/>
  <c r="H178" i="9"/>
  <c r="I178" i="9" s="1"/>
  <c r="G178" i="9"/>
  <c r="B178" i="9"/>
  <c r="A178" i="9"/>
  <c r="H177" i="9"/>
  <c r="I177" i="9" s="1"/>
  <c r="G177" i="9"/>
  <c r="B177" i="9"/>
  <c r="A177" i="9"/>
  <c r="H176" i="9"/>
  <c r="I176" i="9" s="1"/>
  <c r="G176" i="9"/>
  <c r="B176" i="9"/>
  <c r="A176" i="9"/>
  <c r="H175" i="9"/>
  <c r="I175" i="9" s="1"/>
  <c r="G175" i="9"/>
  <c r="B175" i="9"/>
  <c r="A175" i="9"/>
  <c r="H174" i="9"/>
  <c r="I174" i="9" s="1"/>
  <c r="G174" i="9"/>
  <c r="B174" i="9"/>
  <c r="A174" i="9"/>
  <c r="H173" i="9"/>
  <c r="I173" i="9" s="1"/>
  <c r="G173" i="9"/>
  <c r="B173" i="9"/>
  <c r="A173" i="9"/>
  <c r="H172" i="9"/>
  <c r="I172" i="9" s="1"/>
  <c r="G172" i="9"/>
  <c r="B172" i="9"/>
  <c r="A172" i="9"/>
  <c r="H171" i="9"/>
  <c r="I171" i="9" s="1"/>
  <c r="G171" i="9"/>
  <c r="B171" i="9"/>
  <c r="A171" i="9"/>
  <c r="H170" i="9"/>
  <c r="I170" i="9" s="1"/>
  <c r="G170" i="9"/>
  <c r="B170" i="9"/>
  <c r="A170" i="9"/>
  <c r="H169" i="9"/>
  <c r="I169" i="9" s="1"/>
  <c r="G169" i="9"/>
  <c r="B169" i="9"/>
  <c r="A169" i="9"/>
  <c r="H168" i="9"/>
  <c r="I168" i="9" s="1"/>
  <c r="G168" i="9"/>
  <c r="B168" i="9"/>
  <c r="A168" i="9"/>
  <c r="H167" i="9"/>
  <c r="I167" i="9" s="1"/>
  <c r="G167" i="9"/>
  <c r="B167" i="9"/>
  <c r="A167" i="9"/>
  <c r="H166" i="9"/>
  <c r="I166" i="9" s="1"/>
  <c r="G166" i="9"/>
  <c r="B166" i="9"/>
  <c r="A166" i="9"/>
  <c r="H165" i="9"/>
  <c r="I165" i="9" s="1"/>
  <c r="G165" i="9"/>
  <c r="B165" i="9"/>
  <c r="A165" i="9"/>
  <c r="H164" i="9"/>
  <c r="I164" i="9" s="1"/>
  <c r="G164" i="9"/>
  <c r="B164" i="9"/>
  <c r="A164" i="9"/>
  <c r="H163" i="9"/>
  <c r="I163" i="9" s="1"/>
  <c r="G163" i="9"/>
  <c r="B163" i="9"/>
  <c r="A163" i="9"/>
  <c r="H162" i="9"/>
  <c r="I162" i="9" s="1"/>
  <c r="G162" i="9"/>
  <c r="B162" i="9"/>
  <c r="A162" i="9"/>
  <c r="H161" i="9"/>
  <c r="I161" i="9" s="1"/>
  <c r="G161" i="9"/>
  <c r="B161" i="9"/>
  <c r="A161" i="9"/>
  <c r="H160" i="9"/>
  <c r="I160" i="9" s="1"/>
  <c r="G160" i="9"/>
  <c r="B160" i="9"/>
  <c r="A160" i="9"/>
  <c r="H159" i="9"/>
  <c r="I159" i="9" s="1"/>
  <c r="G159" i="9"/>
  <c r="B159" i="9"/>
  <c r="A159" i="9"/>
  <c r="H158" i="9"/>
  <c r="I158" i="9" s="1"/>
  <c r="G158" i="9"/>
  <c r="B158" i="9"/>
  <c r="A158" i="9"/>
  <c r="H157" i="9"/>
  <c r="I157" i="9" s="1"/>
  <c r="G157" i="9"/>
  <c r="B157" i="9"/>
  <c r="A157" i="9"/>
  <c r="H156" i="9"/>
  <c r="I156" i="9" s="1"/>
  <c r="G156" i="9"/>
  <c r="B156" i="9"/>
  <c r="A156" i="9"/>
  <c r="H155" i="9"/>
  <c r="I155" i="9" s="1"/>
  <c r="G155" i="9"/>
  <c r="B155" i="9"/>
  <c r="A155" i="9"/>
  <c r="H154" i="9"/>
  <c r="I154" i="9" s="1"/>
  <c r="G154" i="9"/>
  <c r="B154" i="9"/>
  <c r="A154" i="9"/>
  <c r="H153" i="9"/>
  <c r="I153" i="9" s="1"/>
  <c r="G153" i="9"/>
  <c r="B153" i="9"/>
  <c r="A153" i="9"/>
  <c r="H152" i="9"/>
  <c r="I152" i="9" s="1"/>
  <c r="G152" i="9"/>
  <c r="B152" i="9"/>
  <c r="A152" i="9"/>
  <c r="H151" i="9"/>
  <c r="I151" i="9" s="1"/>
  <c r="G151" i="9"/>
  <c r="B151" i="9"/>
  <c r="A151" i="9"/>
  <c r="H150" i="9"/>
  <c r="I150" i="9" s="1"/>
  <c r="G150" i="9"/>
  <c r="B150" i="9"/>
  <c r="A150" i="9"/>
  <c r="H149" i="9"/>
  <c r="I149" i="9" s="1"/>
  <c r="G149" i="9"/>
  <c r="B149" i="9"/>
  <c r="A149" i="9"/>
  <c r="H148" i="9"/>
  <c r="I148" i="9" s="1"/>
  <c r="G148" i="9"/>
  <c r="B148" i="9"/>
  <c r="A148" i="9"/>
  <c r="H147" i="9"/>
  <c r="I147" i="9" s="1"/>
  <c r="G147" i="9"/>
  <c r="B147" i="9"/>
  <c r="A147" i="9"/>
  <c r="H146" i="9"/>
  <c r="I146" i="9" s="1"/>
  <c r="G146" i="9"/>
  <c r="B146" i="9"/>
  <c r="A146" i="9"/>
  <c r="H145" i="9"/>
  <c r="I145" i="9" s="1"/>
  <c r="G145" i="9"/>
  <c r="B145" i="9"/>
  <c r="A145" i="9"/>
  <c r="H144" i="9"/>
  <c r="I144" i="9" s="1"/>
  <c r="G144" i="9"/>
  <c r="B144" i="9"/>
  <c r="A144" i="9"/>
  <c r="H143" i="9"/>
  <c r="I143" i="9" s="1"/>
  <c r="G143" i="9"/>
  <c r="B143" i="9"/>
  <c r="A143" i="9"/>
  <c r="H142" i="9"/>
  <c r="I142" i="9" s="1"/>
  <c r="G142" i="9"/>
  <c r="B142" i="9"/>
  <c r="A142" i="9"/>
  <c r="H141" i="9"/>
  <c r="I141" i="9" s="1"/>
  <c r="G141" i="9"/>
  <c r="B141" i="9"/>
  <c r="A141" i="9"/>
  <c r="H140" i="9"/>
  <c r="I140" i="9" s="1"/>
  <c r="G140" i="9"/>
  <c r="B140" i="9"/>
  <c r="A140" i="9"/>
  <c r="H139" i="9"/>
  <c r="I139" i="9" s="1"/>
  <c r="G139" i="9"/>
  <c r="B139" i="9"/>
  <c r="A139" i="9"/>
  <c r="H138" i="9"/>
  <c r="I138" i="9" s="1"/>
  <c r="G138" i="9"/>
  <c r="B138" i="9"/>
  <c r="A138" i="9"/>
  <c r="H137" i="9"/>
  <c r="I137" i="9" s="1"/>
  <c r="G137" i="9"/>
  <c r="B137" i="9"/>
  <c r="A137" i="9"/>
  <c r="H136" i="9"/>
  <c r="I136" i="9" s="1"/>
  <c r="G136" i="9"/>
  <c r="B136" i="9"/>
  <c r="A136" i="9"/>
  <c r="H135" i="9"/>
  <c r="I135" i="9" s="1"/>
  <c r="G135" i="9"/>
  <c r="B135" i="9"/>
  <c r="A135" i="9"/>
  <c r="H134" i="9"/>
  <c r="I134" i="9" s="1"/>
  <c r="G134" i="9"/>
  <c r="B134" i="9"/>
  <c r="A134" i="9"/>
  <c r="H133" i="9"/>
  <c r="I133" i="9" s="1"/>
  <c r="G133" i="9"/>
  <c r="B133" i="9"/>
  <c r="A133" i="9"/>
  <c r="H132" i="9"/>
  <c r="I132" i="9" s="1"/>
  <c r="G132" i="9"/>
  <c r="B132" i="9"/>
  <c r="A132" i="9"/>
  <c r="H131" i="9"/>
  <c r="I131" i="9" s="1"/>
  <c r="G131" i="9"/>
  <c r="B131" i="9"/>
  <c r="A131" i="9"/>
  <c r="H130" i="9"/>
  <c r="I130" i="9" s="1"/>
  <c r="G130" i="9"/>
  <c r="B130" i="9"/>
  <c r="A130" i="9"/>
  <c r="H129" i="9"/>
  <c r="I129" i="9" s="1"/>
  <c r="G129" i="9"/>
  <c r="B129" i="9"/>
  <c r="A129" i="9"/>
  <c r="H128" i="9"/>
  <c r="I128" i="9" s="1"/>
  <c r="G128" i="9"/>
  <c r="B128" i="9"/>
  <c r="A128" i="9"/>
  <c r="H127" i="9"/>
  <c r="I127" i="9" s="1"/>
  <c r="G127" i="9"/>
  <c r="B127" i="9"/>
  <c r="A127" i="9"/>
  <c r="H126" i="9"/>
  <c r="I126" i="9" s="1"/>
  <c r="G126" i="9"/>
  <c r="B126" i="9"/>
  <c r="A126" i="9"/>
  <c r="H125" i="9"/>
  <c r="I125" i="9" s="1"/>
  <c r="G125" i="9"/>
  <c r="B125" i="9"/>
  <c r="A125" i="9"/>
  <c r="H124" i="9"/>
  <c r="I124" i="9" s="1"/>
  <c r="G124" i="9"/>
  <c r="B124" i="9"/>
  <c r="A124" i="9"/>
  <c r="H123" i="9"/>
  <c r="I123" i="9" s="1"/>
  <c r="G123" i="9"/>
  <c r="B123" i="9"/>
  <c r="A123" i="9"/>
  <c r="H122" i="9"/>
  <c r="I122" i="9" s="1"/>
  <c r="G122" i="9"/>
  <c r="B122" i="9"/>
  <c r="A122" i="9"/>
  <c r="H121" i="9"/>
  <c r="I121" i="9" s="1"/>
  <c r="G121" i="9"/>
  <c r="B121" i="9"/>
  <c r="A121" i="9"/>
  <c r="H120" i="9"/>
  <c r="I120" i="9" s="1"/>
  <c r="G120" i="9"/>
  <c r="B120" i="9"/>
  <c r="A120" i="9"/>
  <c r="H119" i="9"/>
  <c r="I119" i="9" s="1"/>
  <c r="G119" i="9"/>
  <c r="B119" i="9"/>
  <c r="A119" i="9"/>
  <c r="H118" i="9"/>
  <c r="I118" i="9" s="1"/>
  <c r="G118" i="9"/>
  <c r="B118" i="9"/>
  <c r="A118" i="9"/>
  <c r="H117" i="9"/>
  <c r="I117" i="9" s="1"/>
  <c r="G117" i="9"/>
  <c r="B117" i="9"/>
  <c r="A117" i="9"/>
  <c r="H116" i="9"/>
  <c r="I116" i="9" s="1"/>
  <c r="G116" i="9"/>
  <c r="B116" i="9"/>
  <c r="A116" i="9"/>
  <c r="H115" i="9"/>
  <c r="I115" i="9" s="1"/>
  <c r="G115" i="9"/>
  <c r="B115" i="9"/>
  <c r="A115" i="9"/>
  <c r="H114" i="9"/>
  <c r="I114" i="9" s="1"/>
  <c r="G114" i="9"/>
  <c r="B114" i="9"/>
  <c r="A114" i="9"/>
  <c r="H113" i="9"/>
  <c r="I113" i="9" s="1"/>
  <c r="G113" i="9"/>
  <c r="B113" i="9"/>
  <c r="A113" i="9"/>
  <c r="H112" i="9"/>
  <c r="I112" i="9" s="1"/>
  <c r="G112" i="9"/>
  <c r="B112" i="9"/>
  <c r="A112" i="9"/>
  <c r="H111" i="9"/>
  <c r="I111" i="9" s="1"/>
  <c r="G111" i="9"/>
  <c r="B111" i="9"/>
  <c r="A111" i="9"/>
  <c r="H110" i="9"/>
  <c r="I110" i="9" s="1"/>
  <c r="G110" i="9"/>
  <c r="B110" i="9"/>
  <c r="A110" i="9"/>
  <c r="H109" i="9"/>
  <c r="I109" i="9" s="1"/>
  <c r="G109" i="9"/>
  <c r="B109" i="9"/>
  <c r="A109" i="9"/>
  <c r="H108" i="9"/>
  <c r="I108" i="9" s="1"/>
  <c r="G108" i="9"/>
  <c r="B108" i="9"/>
  <c r="A108" i="9"/>
  <c r="H107" i="9"/>
  <c r="I107" i="9" s="1"/>
  <c r="G107" i="9"/>
  <c r="B107" i="9"/>
  <c r="A107" i="9"/>
  <c r="H106" i="9"/>
  <c r="I106" i="9" s="1"/>
  <c r="G106" i="9"/>
  <c r="B106" i="9"/>
  <c r="A106" i="9"/>
  <c r="H105" i="9"/>
  <c r="I105" i="9" s="1"/>
  <c r="G105" i="9"/>
  <c r="B105" i="9"/>
  <c r="A105" i="9"/>
  <c r="H104" i="9"/>
  <c r="I104" i="9" s="1"/>
  <c r="G104" i="9"/>
  <c r="B104" i="9"/>
  <c r="A104" i="9"/>
  <c r="H103" i="9"/>
  <c r="I103" i="9" s="1"/>
  <c r="G103" i="9"/>
  <c r="B103" i="9"/>
  <c r="A103" i="9"/>
  <c r="H102" i="9"/>
  <c r="I102" i="9" s="1"/>
  <c r="G102" i="9"/>
  <c r="B102" i="9"/>
  <c r="A102" i="9"/>
  <c r="H101" i="9"/>
  <c r="I101" i="9" s="1"/>
  <c r="G101" i="9"/>
  <c r="B101" i="9"/>
  <c r="A101" i="9"/>
  <c r="H100" i="9"/>
  <c r="I100" i="9" s="1"/>
  <c r="G100" i="9"/>
  <c r="B100" i="9"/>
  <c r="A100" i="9"/>
  <c r="H99" i="9"/>
  <c r="I99" i="9" s="1"/>
  <c r="G99" i="9"/>
  <c r="B99" i="9"/>
  <c r="A99" i="9"/>
  <c r="H98" i="9"/>
  <c r="I98" i="9" s="1"/>
  <c r="G98" i="9"/>
  <c r="B98" i="9"/>
  <c r="A98" i="9"/>
  <c r="H97" i="9"/>
  <c r="I97" i="9" s="1"/>
  <c r="G97" i="9"/>
  <c r="B97" i="9"/>
  <c r="A97" i="9"/>
  <c r="H96" i="9"/>
  <c r="I96" i="9" s="1"/>
  <c r="G96" i="9"/>
  <c r="B96" i="9"/>
  <c r="A96" i="9"/>
  <c r="H95" i="9"/>
  <c r="I95" i="9" s="1"/>
  <c r="G95" i="9"/>
  <c r="B95" i="9"/>
  <c r="A95" i="9"/>
  <c r="H94" i="9"/>
  <c r="I94" i="9" s="1"/>
  <c r="G94" i="9"/>
  <c r="B94" i="9"/>
  <c r="A94" i="9"/>
  <c r="H93" i="9"/>
  <c r="I93" i="9" s="1"/>
  <c r="G93" i="9"/>
  <c r="B93" i="9"/>
  <c r="A93" i="9"/>
  <c r="H92" i="9"/>
  <c r="I92" i="9" s="1"/>
  <c r="G92" i="9"/>
  <c r="B92" i="9"/>
  <c r="A92" i="9"/>
  <c r="H91" i="9"/>
  <c r="I91" i="9" s="1"/>
  <c r="G91" i="9"/>
  <c r="B91" i="9"/>
  <c r="A91" i="9"/>
  <c r="H90" i="9"/>
  <c r="I90" i="9" s="1"/>
  <c r="G90" i="9"/>
  <c r="B90" i="9"/>
  <c r="A90" i="9"/>
  <c r="H89" i="9"/>
  <c r="I89" i="9" s="1"/>
  <c r="G89" i="9"/>
  <c r="B89" i="9"/>
  <c r="A89" i="9"/>
  <c r="H88" i="9"/>
  <c r="I88" i="9" s="1"/>
  <c r="G88" i="9"/>
  <c r="B88" i="9"/>
  <c r="A88" i="9"/>
  <c r="H87" i="9"/>
  <c r="I87" i="9" s="1"/>
  <c r="G87" i="9"/>
  <c r="B87" i="9"/>
  <c r="A87" i="9"/>
  <c r="H86" i="9"/>
  <c r="I86" i="9" s="1"/>
  <c r="G86" i="9"/>
  <c r="B86" i="9"/>
  <c r="A86" i="9"/>
  <c r="H85" i="9"/>
  <c r="I85" i="9" s="1"/>
  <c r="G85" i="9"/>
  <c r="B85" i="9"/>
  <c r="A85" i="9"/>
  <c r="H84" i="9"/>
  <c r="I84" i="9" s="1"/>
  <c r="G84" i="9"/>
  <c r="B84" i="9"/>
  <c r="A84" i="9"/>
  <c r="H83" i="9"/>
  <c r="I83" i="9" s="1"/>
  <c r="G83" i="9"/>
  <c r="B83" i="9"/>
  <c r="A83" i="9"/>
  <c r="H82" i="9"/>
  <c r="I82" i="9" s="1"/>
  <c r="G82" i="9"/>
  <c r="B82" i="9"/>
  <c r="A82" i="9"/>
  <c r="H81" i="9"/>
  <c r="I81" i="9" s="1"/>
  <c r="G81" i="9"/>
  <c r="B81" i="9"/>
  <c r="A81" i="9"/>
  <c r="H80" i="9"/>
  <c r="I80" i="9" s="1"/>
  <c r="G80" i="9"/>
  <c r="B80" i="9"/>
  <c r="A80" i="9"/>
  <c r="H79" i="9"/>
  <c r="I79" i="9" s="1"/>
  <c r="G79" i="9"/>
  <c r="B79" i="9"/>
  <c r="A79" i="9"/>
  <c r="H78" i="9"/>
  <c r="I78" i="9" s="1"/>
  <c r="G78" i="9"/>
  <c r="B78" i="9"/>
  <c r="A78" i="9"/>
  <c r="H77" i="9"/>
  <c r="I77" i="9" s="1"/>
  <c r="G77" i="9"/>
  <c r="B77" i="9"/>
  <c r="A77" i="9"/>
  <c r="H76" i="9"/>
  <c r="I76" i="9" s="1"/>
  <c r="G76" i="9"/>
  <c r="B76" i="9"/>
  <c r="A76" i="9"/>
  <c r="H75" i="9"/>
  <c r="I75" i="9" s="1"/>
  <c r="G75" i="9"/>
  <c r="B75" i="9"/>
  <c r="A75" i="9"/>
  <c r="H74" i="9"/>
  <c r="I74" i="9" s="1"/>
  <c r="G74" i="9"/>
  <c r="B74" i="9"/>
  <c r="A74" i="9"/>
  <c r="H73" i="9"/>
  <c r="I73" i="9" s="1"/>
  <c r="G73" i="9"/>
  <c r="B73" i="9"/>
  <c r="A73" i="9"/>
  <c r="H72" i="9"/>
  <c r="I72" i="9" s="1"/>
  <c r="G72" i="9"/>
  <c r="B72" i="9"/>
  <c r="A72" i="9"/>
  <c r="H71" i="9"/>
  <c r="I71" i="9" s="1"/>
  <c r="G71" i="9"/>
  <c r="B71" i="9"/>
  <c r="A71" i="9"/>
  <c r="H70" i="9"/>
  <c r="I70" i="9" s="1"/>
  <c r="G70" i="9"/>
  <c r="B70" i="9"/>
  <c r="A70" i="9"/>
  <c r="H69" i="9"/>
  <c r="I69" i="9" s="1"/>
  <c r="G69" i="9"/>
  <c r="B69" i="9"/>
  <c r="A69" i="9"/>
  <c r="H68" i="9"/>
  <c r="I68" i="9" s="1"/>
  <c r="G68" i="9"/>
  <c r="B68" i="9"/>
  <c r="A68" i="9"/>
  <c r="H67" i="9"/>
  <c r="I67" i="9" s="1"/>
  <c r="G67" i="9"/>
  <c r="B67" i="9"/>
  <c r="A67" i="9"/>
  <c r="H66" i="9"/>
  <c r="I66" i="9" s="1"/>
  <c r="G66" i="9"/>
  <c r="B66" i="9"/>
  <c r="A66" i="9"/>
  <c r="H65" i="9"/>
  <c r="I65" i="9" s="1"/>
  <c r="G65" i="9"/>
  <c r="B65" i="9"/>
  <c r="A65" i="9"/>
  <c r="H64" i="9"/>
  <c r="I64" i="9" s="1"/>
  <c r="G64" i="9"/>
  <c r="B64" i="9"/>
  <c r="A64" i="9"/>
  <c r="H63" i="9"/>
  <c r="I63" i="9" s="1"/>
  <c r="G63" i="9"/>
  <c r="B63" i="9"/>
  <c r="A63" i="9"/>
  <c r="H62" i="9"/>
  <c r="I62" i="9" s="1"/>
  <c r="G62" i="9"/>
  <c r="B62" i="9"/>
  <c r="A62" i="9"/>
  <c r="H61" i="9"/>
  <c r="I61" i="9" s="1"/>
  <c r="G61" i="9"/>
  <c r="B61" i="9"/>
  <c r="A61" i="9"/>
  <c r="H60" i="9"/>
  <c r="I60" i="9" s="1"/>
  <c r="G60" i="9"/>
  <c r="B60" i="9"/>
  <c r="A60" i="9"/>
  <c r="H59" i="9"/>
  <c r="I59" i="9" s="1"/>
  <c r="G59" i="9"/>
  <c r="B59" i="9"/>
  <c r="A59" i="9"/>
  <c r="H58" i="9"/>
  <c r="I58" i="9" s="1"/>
  <c r="G58" i="9"/>
  <c r="B58" i="9"/>
  <c r="A58" i="9"/>
  <c r="H57" i="9"/>
  <c r="I57" i="9" s="1"/>
  <c r="G57" i="9"/>
  <c r="B57" i="9"/>
  <c r="A57" i="9"/>
  <c r="H56" i="9"/>
  <c r="I56" i="9" s="1"/>
  <c r="G56" i="9"/>
  <c r="B56" i="9"/>
  <c r="A56" i="9"/>
  <c r="H55" i="9"/>
  <c r="I55" i="9" s="1"/>
  <c r="G55" i="9"/>
  <c r="B55" i="9"/>
  <c r="A55" i="9"/>
  <c r="H54" i="9"/>
  <c r="I54" i="9" s="1"/>
  <c r="G54" i="9"/>
  <c r="B54" i="9"/>
  <c r="A54" i="9"/>
  <c r="H53" i="9"/>
  <c r="I53" i="9" s="1"/>
  <c r="G53" i="9"/>
  <c r="B53" i="9"/>
  <c r="A53" i="9"/>
  <c r="H52" i="9"/>
  <c r="I52" i="9" s="1"/>
  <c r="G52" i="9"/>
  <c r="B52" i="9"/>
  <c r="A52" i="9"/>
  <c r="H51" i="9"/>
  <c r="I51" i="9" s="1"/>
  <c r="G51" i="9"/>
  <c r="B51" i="9"/>
  <c r="A51" i="9"/>
  <c r="H50" i="9"/>
  <c r="I50" i="9" s="1"/>
  <c r="G50" i="9"/>
  <c r="B50" i="9"/>
  <c r="A50" i="9"/>
  <c r="H49" i="9"/>
  <c r="I49" i="9" s="1"/>
  <c r="G49" i="9"/>
  <c r="B49" i="9"/>
  <c r="A49" i="9"/>
  <c r="H48" i="9"/>
  <c r="I48" i="9" s="1"/>
  <c r="G48" i="9"/>
  <c r="B48" i="9"/>
  <c r="A48" i="9"/>
  <c r="H47" i="9"/>
  <c r="I47" i="9" s="1"/>
  <c r="G47" i="9"/>
  <c r="B47" i="9"/>
  <c r="A47" i="9"/>
  <c r="H46" i="9"/>
  <c r="I46" i="9" s="1"/>
  <c r="G46" i="9"/>
  <c r="B46" i="9"/>
  <c r="A46" i="9"/>
  <c r="H45" i="9"/>
  <c r="I45" i="9" s="1"/>
  <c r="G45" i="9"/>
  <c r="B45" i="9"/>
  <c r="A45" i="9"/>
  <c r="H44" i="9"/>
  <c r="I44" i="9" s="1"/>
  <c r="G44" i="9"/>
  <c r="B44" i="9"/>
  <c r="A44" i="9"/>
  <c r="H43" i="9"/>
  <c r="I43" i="9" s="1"/>
  <c r="G43" i="9"/>
  <c r="B43" i="9"/>
  <c r="A43" i="9"/>
  <c r="H42" i="9"/>
  <c r="I42" i="9" s="1"/>
  <c r="G42" i="9"/>
  <c r="B42" i="9"/>
  <c r="A42" i="9"/>
  <c r="H41" i="9"/>
  <c r="I41" i="9" s="1"/>
  <c r="G41" i="9"/>
  <c r="B41" i="9"/>
  <c r="A41" i="9"/>
  <c r="H40" i="9"/>
  <c r="I40" i="9" s="1"/>
  <c r="G40" i="9"/>
  <c r="B40" i="9"/>
  <c r="A40" i="9"/>
  <c r="H39" i="9"/>
  <c r="I39" i="9" s="1"/>
  <c r="G39" i="9"/>
  <c r="B39" i="9"/>
  <c r="A39" i="9"/>
  <c r="H38" i="9"/>
  <c r="I38" i="9" s="1"/>
  <c r="G38" i="9"/>
  <c r="B38" i="9"/>
  <c r="A38" i="9"/>
  <c r="H37" i="9"/>
  <c r="I37" i="9" s="1"/>
  <c r="G37" i="9"/>
  <c r="B37" i="9"/>
  <c r="A37" i="9"/>
  <c r="H36" i="9"/>
  <c r="I36" i="9" s="1"/>
  <c r="G36" i="9"/>
  <c r="B36" i="9"/>
  <c r="A36" i="9"/>
  <c r="H35" i="9"/>
  <c r="I35" i="9" s="1"/>
  <c r="G35" i="9"/>
  <c r="B35" i="9"/>
  <c r="A35" i="9"/>
  <c r="H34" i="9"/>
  <c r="I34" i="9" s="1"/>
  <c r="G34" i="9"/>
  <c r="B34" i="9"/>
  <c r="A34" i="9"/>
  <c r="H33" i="9"/>
  <c r="I33" i="9" s="1"/>
  <c r="G33" i="9"/>
  <c r="B33" i="9"/>
  <c r="A33" i="9"/>
  <c r="H32" i="9"/>
  <c r="I32" i="9" s="1"/>
  <c r="G32" i="9"/>
  <c r="B32" i="9"/>
  <c r="A32" i="9"/>
  <c r="H31" i="9"/>
  <c r="I31" i="9" s="1"/>
  <c r="G31" i="9"/>
  <c r="B31" i="9"/>
  <c r="A31" i="9"/>
  <c r="H30" i="9"/>
  <c r="I30" i="9" s="1"/>
  <c r="G30" i="9"/>
  <c r="B30" i="9"/>
  <c r="A30" i="9"/>
  <c r="H29" i="9"/>
  <c r="I29" i="9" s="1"/>
  <c r="G29" i="9"/>
  <c r="B29" i="9"/>
  <c r="A29" i="9"/>
  <c r="H28" i="9"/>
  <c r="I28" i="9" s="1"/>
  <c r="G28" i="9"/>
  <c r="B28" i="9"/>
  <c r="A28" i="9"/>
  <c r="H27" i="9"/>
  <c r="I27" i="9" s="1"/>
  <c r="G27" i="9"/>
  <c r="B27" i="9"/>
  <c r="A27" i="9"/>
  <c r="H26" i="9"/>
  <c r="I26" i="9" s="1"/>
  <c r="G26" i="9"/>
  <c r="B26" i="9"/>
  <c r="A26" i="9"/>
  <c r="H25" i="9"/>
  <c r="I25" i="9" s="1"/>
  <c r="G25" i="9"/>
  <c r="B25" i="9"/>
  <c r="A25" i="9"/>
  <c r="H24" i="9"/>
  <c r="I24" i="9" s="1"/>
  <c r="G24" i="9"/>
  <c r="B24" i="9"/>
  <c r="A24" i="9"/>
  <c r="H23" i="9"/>
  <c r="I23" i="9" s="1"/>
  <c r="G23" i="9"/>
  <c r="B23" i="9"/>
  <c r="A23" i="9"/>
  <c r="H22" i="9"/>
  <c r="I22" i="9" s="1"/>
  <c r="G22" i="9"/>
  <c r="B22" i="9"/>
  <c r="A22" i="9"/>
  <c r="H21" i="9"/>
  <c r="I21" i="9" s="1"/>
  <c r="G21" i="9"/>
  <c r="B21" i="9"/>
  <c r="A21" i="9"/>
  <c r="H20" i="9"/>
  <c r="I20" i="9" s="1"/>
  <c r="G20" i="9"/>
  <c r="B20" i="9"/>
  <c r="A20" i="9"/>
  <c r="H19" i="9"/>
  <c r="I19" i="9" s="1"/>
  <c r="G19" i="9"/>
  <c r="B19" i="9"/>
  <c r="A19" i="9"/>
  <c r="H18" i="9"/>
  <c r="I18" i="9" s="1"/>
  <c r="G18" i="9"/>
  <c r="B18" i="9"/>
  <c r="A18" i="9"/>
  <c r="H17" i="9"/>
  <c r="I17" i="9" s="1"/>
  <c r="G17" i="9"/>
  <c r="B17" i="9"/>
  <c r="A17" i="9"/>
  <c r="H16" i="9"/>
  <c r="I16" i="9" s="1"/>
  <c r="G16" i="9"/>
  <c r="B16" i="9"/>
  <c r="A16" i="9"/>
  <c r="H15" i="9"/>
  <c r="I15" i="9" s="1"/>
  <c r="G15" i="9"/>
  <c r="B15" i="9"/>
  <c r="A15" i="9"/>
  <c r="H14" i="9"/>
  <c r="I14" i="9" s="1"/>
  <c r="G14" i="9"/>
  <c r="B14" i="9"/>
  <c r="A14" i="9"/>
  <c r="H13" i="9"/>
  <c r="I13" i="9" s="1"/>
  <c r="G13" i="9"/>
  <c r="B13" i="9"/>
  <c r="A13" i="9"/>
  <c r="H12" i="9"/>
  <c r="I12" i="9" s="1"/>
  <c r="G12" i="9"/>
  <c r="B12" i="9"/>
  <c r="A12" i="9"/>
  <c r="H11" i="9"/>
  <c r="I11" i="9" s="1"/>
  <c r="G11" i="9"/>
  <c r="B11" i="9"/>
  <c r="A11" i="9"/>
  <c r="H10" i="9"/>
  <c r="I10" i="9" s="1"/>
  <c r="G10" i="9"/>
  <c r="B10" i="9"/>
  <c r="A10" i="9"/>
  <c r="H9" i="9"/>
  <c r="I9" i="9" s="1"/>
  <c r="G9" i="9"/>
  <c r="B9" i="9"/>
  <c r="A9" i="9"/>
  <c r="H8" i="9"/>
  <c r="I8" i="9" s="1"/>
  <c r="G8" i="9"/>
  <c r="B8" i="9"/>
  <c r="A8" i="9"/>
  <c r="H7" i="9"/>
  <c r="I7" i="9" s="1"/>
  <c r="G7" i="9"/>
  <c r="B7" i="9"/>
  <c r="A7" i="9"/>
  <c r="H6" i="9"/>
  <c r="I6" i="9" s="1"/>
  <c r="G6" i="9"/>
  <c r="B6" i="9"/>
  <c r="A6" i="9"/>
  <c r="AN1936" i="8"/>
  <c r="AN1937" i="8"/>
  <c r="AN1938" i="8"/>
  <c r="AN1939" i="8"/>
  <c r="AN1940" i="8"/>
  <c r="AN1941" i="8"/>
  <c r="AN1942" i="8"/>
  <c r="AN1943" i="8"/>
  <c r="AN1944" i="8"/>
  <c r="AN1945" i="8"/>
  <c r="AN1946" i="8"/>
  <c r="AN1947" i="8"/>
  <c r="AN1948" i="8"/>
  <c r="AN1949" i="8"/>
  <c r="AN1950" i="8"/>
  <c r="AN1951" i="8"/>
  <c r="AN1952" i="8"/>
  <c r="AN1953" i="8"/>
  <c r="AN1954" i="8"/>
  <c r="AN1955" i="8"/>
  <c r="AN1956" i="8"/>
  <c r="AN1957" i="8"/>
  <c r="AN1958" i="8"/>
  <c r="AN1959" i="8"/>
  <c r="AN1960" i="8"/>
  <c r="AN1961" i="8"/>
  <c r="AN1962" i="8"/>
  <c r="AN1963" i="8"/>
  <c r="AN1964" i="8"/>
  <c r="AN1965" i="8"/>
  <c r="AN1966" i="8"/>
  <c r="AN1967" i="8"/>
  <c r="AN1968" i="8"/>
  <c r="AN1969" i="8"/>
  <c r="AN1970" i="8"/>
  <c r="AN1971" i="8"/>
  <c r="AN1972" i="8"/>
  <c r="AN1973" i="8"/>
  <c r="AN1974" i="8"/>
  <c r="AN1975" i="8"/>
  <c r="AN1976" i="8"/>
  <c r="AN1977"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AJ1936" i="8"/>
  <c r="AK1936" i="8"/>
  <c r="AL1936" i="8" a="1"/>
  <c r="AM1936" i="8" a="1"/>
  <c r="AJ1937" i="8"/>
  <c r="AK1937" i="8"/>
  <c r="AL1937" i="8" a="1"/>
  <c r="AM1937" i="8" a="1"/>
  <c r="AJ1938" i="8"/>
  <c r="AK1938" i="8"/>
  <c r="AL1938" i="8" a="1"/>
  <c r="AM1938" i="8" a="1"/>
  <c r="AJ1939" i="8"/>
  <c r="AK1939" i="8"/>
  <c r="AL1939" i="8" a="1"/>
  <c r="AM1939" i="8" a="1"/>
  <c r="AJ1940" i="8"/>
  <c r="AK1940" i="8"/>
  <c r="AL1940" i="8" a="1"/>
  <c r="AM1940" i="8" a="1"/>
  <c r="AJ1941" i="8"/>
  <c r="AK1941" i="8"/>
  <c r="AL1941" i="8" a="1"/>
  <c r="AM1941" i="8" a="1"/>
  <c r="AJ1942" i="8"/>
  <c r="AK1942" i="8"/>
  <c r="AL1942" i="8" a="1"/>
  <c r="AM1942" i="8" a="1"/>
  <c r="AJ1943" i="8"/>
  <c r="AK1943" i="8"/>
  <c r="AL1943" i="8" a="1"/>
  <c r="AM1943" i="8" a="1"/>
  <c r="AJ1944" i="8"/>
  <c r="AK1944" i="8"/>
  <c r="AL1944" i="8" a="1"/>
  <c r="AM1944" i="8" a="1"/>
  <c r="AJ1945" i="8"/>
  <c r="AK1945" i="8"/>
  <c r="AL1945" i="8" a="1"/>
  <c r="AM1945" i="8" a="1"/>
  <c r="AJ1946" i="8"/>
  <c r="AK1946" i="8"/>
  <c r="AL1946" i="8" a="1"/>
  <c r="AM1946" i="8" a="1"/>
  <c r="AJ1947" i="8"/>
  <c r="AK1947" i="8"/>
  <c r="AL1947" i="8" a="1"/>
  <c r="AM1947" i="8" a="1"/>
  <c r="AJ1948" i="8"/>
  <c r="AK1948" i="8"/>
  <c r="AL1948" i="8" a="1"/>
  <c r="AM1948" i="8" a="1"/>
  <c r="AJ1949" i="8"/>
  <c r="AK1949" i="8"/>
  <c r="AL1949" i="8" a="1"/>
  <c r="AM1949" i="8" a="1"/>
  <c r="AJ1950" i="8"/>
  <c r="AK1950" i="8"/>
  <c r="AL1950" i="8" a="1"/>
  <c r="AM1950" i="8" a="1"/>
  <c r="AJ1951" i="8"/>
  <c r="AK1951" i="8"/>
  <c r="AL1951" i="8" a="1"/>
  <c r="AM1951" i="8" a="1"/>
  <c r="AJ1952" i="8"/>
  <c r="AK1952" i="8"/>
  <c r="AL1952" i="8" a="1"/>
  <c r="AM1952" i="8" a="1"/>
  <c r="AJ1953" i="8"/>
  <c r="AK1953" i="8"/>
  <c r="AL1953" i="8" a="1"/>
  <c r="AM1953" i="8" a="1"/>
  <c r="AJ1954" i="8"/>
  <c r="AK1954" i="8"/>
  <c r="AL1954" i="8" a="1"/>
  <c r="AM1954" i="8" a="1"/>
  <c r="AJ1955" i="8"/>
  <c r="AK1955" i="8"/>
  <c r="AL1955" i="8" a="1"/>
  <c r="AM1955" i="8" a="1"/>
  <c r="AJ1956" i="8"/>
  <c r="AK1956" i="8"/>
  <c r="AL1956" i="8" a="1"/>
  <c r="AM1956" i="8" a="1"/>
  <c r="AJ1957" i="8"/>
  <c r="AK1957" i="8"/>
  <c r="AL1957" i="8" a="1"/>
  <c r="AM1957" i="8" a="1"/>
  <c r="AJ1958" i="8"/>
  <c r="AK1958" i="8"/>
  <c r="AL1958" i="8" a="1"/>
  <c r="AM1958" i="8" a="1"/>
  <c r="AJ1959" i="8"/>
  <c r="AK1959" i="8"/>
  <c r="AL1959" i="8" a="1"/>
  <c r="AM1959" i="8" a="1"/>
  <c r="AJ1960" i="8"/>
  <c r="AK1960" i="8"/>
  <c r="AL1960" i="8" a="1"/>
  <c r="AM1960" i="8" a="1"/>
  <c r="AJ1961" i="8"/>
  <c r="AK1961" i="8"/>
  <c r="AL1961" i="8" a="1"/>
  <c r="AM1961" i="8" a="1"/>
  <c r="AJ1962" i="8"/>
  <c r="AK1962" i="8"/>
  <c r="AL1962" i="8" a="1"/>
  <c r="AM1962" i="8" a="1"/>
  <c r="AJ1963" i="8"/>
  <c r="AK1963" i="8"/>
  <c r="AL1963" i="8" a="1"/>
  <c r="AM1963" i="8" a="1"/>
  <c r="AJ1964" i="8"/>
  <c r="AK1964" i="8"/>
  <c r="AL1964" i="8" a="1"/>
  <c r="AM1964" i="8" a="1"/>
  <c r="AJ1965" i="8"/>
  <c r="AK1965" i="8"/>
  <c r="AL1965" i="8" a="1"/>
  <c r="AM1965" i="8" a="1"/>
  <c r="AJ1966" i="8"/>
  <c r="AK1966" i="8"/>
  <c r="AL1966" i="8" a="1"/>
  <c r="AM1966" i="8" a="1"/>
  <c r="AJ1967" i="8"/>
  <c r="AK1967" i="8"/>
  <c r="AL1967" i="8" a="1"/>
  <c r="AM1967" i="8" a="1"/>
  <c r="AJ1968" i="8"/>
  <c r="AK1968" i="8"/>
  <c r="AL1968" i="8" a="1"/>
  <c r="AM1968" i="8" a="1"/>
  <c r="AJ1969" i="8"/>
  <c r="AK1969" i="8"/>
  <c r="AL1969" i="8" a="1"/>
  <c r="AM1969" i="8" a="1"/>
  <c r="AJ1970" i="8"/>
  <c r="AK1970" i="8"/>
  <c r="AL1970" i="8" a="1"/>
  <c r="AM1970" i="8" a="1"/>
  <c r="AJ1971" i="8"/>
  <c r="AK1971" i="8"/>
  <c r="AL1971" i="8" a="1"/>
  <c r="AM1971" i="8" a="1"/>
  <c r="AJ1972" i="8"/>
  <c r="AK1972" i="8"/>
  <c r="AL1972" i="8" a="1"/>
  <c r="AM1972" i="8" a="1"/>
  <c r="AJ1973" i="8"/>
  <c r="AK1973" i="8"/>
  <c r="AL1973" i="8" a="1"/>
  <c r="AM1973" i="8" a="1"/>
  <c r="AJ1974" i="8"/>
  <c r="AK1974" i="8"/>
  <c r="AL1974" i="8" a="1"/>
  <c r="AM1974" i="8" a="1"/>
  <c r="AJ1975" i="8"/>
  <c r="AK1975" i="8"/>
  <c r="AL1975" i="8" a="1"/>
  <c r="AM1975" i="8" a="1"/>
  <c r="AJ1976" i="8"/>
  <c r="AK1976" i="8"/>
  <c r="AL1976" i="8" a="1"/>
  <c r="AM1976" i="8" a="1"/>
  <c r="AJ1977" i="8"/>
  <c r="AK1977" i="8"/>
  <c r="AL1977" i="8" a="1"/>
  <c r="AM1977" i="8" a="1"/>
  <c r="M5" i="8"/>
  <c r="A123" i="10"/>
  <c r="A122" i="10"/>
  <c r="A121" i="10"/>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D1956" i="8"/>
  <c r="D1957" i="8"/>
  <c r="D1958" i="8"/>
  <c r="D1959" i="8"/>
  <c r="D1960" i="8"/>
  <c r="D1961" i="8"/>
  <c r="D1962" i="8"/>
  <c r="D1963" i="8"/>
  <c r="D1964" i="8"/>
  <c r="D1965" i="8"/>
  <c r="D1966" i="8"/>
  <c r="D1967" i="8"/>
  <c r="D1968" i="8"/>
  <c r="D1969" i="8"/>
  <c r="D1970" i="8"/>
  <c r="D1971" i="8"/>
  <c r="D1972" i="8"/>
  <c r="D1973" i="8"/>
  <c r="D1974" i="8"/>
  <c r="D1975" i="8"/>
  <c r="D1976" i="8"/>
  <c r="D1977" i="8"/>
  <c r="E1956" i="8"/>
  <c r="E1957" i="8"/>
  <c r="E1958" i="8"/>
  <c r="E1959" i="8"/>
  <c r="E1960" i="8"/>
  <c r="E1961" i="8"/>
  <c r="E1962" i="8"/>
  <c r="E1963" i="8"/>
  <c r="E1964" i="8"/>
  <c r="E1965" i="8"/>
  <c r="E1966" i="8"/>
  <c r="E1967" i="8"/>
  <c r="E1968" i="8"/>
  <c r="E1969" i="8"/>
  <c r="E1970" i="8"/>
  <c r="E1971" i="8"/>
  <c r="E1972" i="8"/>
  <c r="E1973" i="8"/>
  <c r="E1974" i="8"/>
  <c r="E1975" i="8"/>
  <c r="E1976" i="8"/>
  <c r="E197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R1928" i="8"/>
  <c r="R1929" i="8"/>
  <c r="R1930" i="8"/>
  <c r="R1931" i="8"/>
  <c r="R1932" i="8"/>
  <c r="R1933" i="8"/>
  <c r="R1934" i="8"/>
  <c r="R1935" i="8"/>
  <c r="R1936" i="8"/>
  <c r="R1937" i="8"/>
  <c r="R1938" i="8"/>
  <c r="R1939" i="8"/>
  <c r="R1940" i="8"/>
  <c r="R1941" i="8"/>
  <c r="R1942" i="8"/>
  <c r="R1943" i="8"/>
  <c r="R1944" i="8"/>
  <c r="R1945" i="8"/>
  <c r="R1946" i="8"/>
  <c r="R1947" i="8"/>
  <c r="R1948" i="8"/>
  <c r="R1949" i="8"/>
  <c r="R1950" i="8"/>
  <c r="R1951" i="8"/>
  <c r="R1952" i="8"/>
  <c r="R1953" i="8"/>
  <c r="R1954" i="8"/>
  <c r="R1955" i="8"/>
  <c r="R1956" i="8"/>
  <c r="R1957" i="8"/>
  <c r="R1958" i="8"/>
  <c r="R1959" i="8"/>
  <c r="R1960" i="8"/>
  <c r="R1961" i="8"/>
  <c r="R1962" i="8"/>
  <c r="R1963" i="8"/>
  <c r="R1964" i="8"/>
  <c r="R1965" i="8"/>
  <c r="R1966" i="8"/>
  <c r="R1967" i="8"/>
  <c r="R1968" i="8"/>
  <c r="R1969" i="8"/>
  <c r="R1970" i="8"/>
  <c r="R1971" i="8"/>
  <c r="R1972" i="8"/>
  <c r="R1973" i="8"/>
  <c r="R1974" i="8"/>
  <c r="R1975" i="8"/>
  <c r="R1976" i="8"/>
  <c r="R1977" i="8"/>
  <c r="AA1936" i="8"/>
  <c r="AA1937" i="8"/>
  <c r="AA1938" i="8"/>
  <c r="AA1939" i="8"/>
  <c r="AA1940" i="8"/>
  <c r="AA1941" i="8"/>
  <c r="AA1942" i="8"/>
  <c r="AA1943" i="8"/>
  <c r="AA1944" i="8"/>
  <c r="AA1945" i="8"/>
  <c r="AA1946" i="8"/>
  <c r="AA1947" i="8"/>
  <c r="AA1948" i="8"/>
  <c r="AA1949" i="8"/>
  <c r="AA1950" i="8"/>
  <c r="AA1951" i="8"/>
  <c r="AA1952" i="8"/>
  <c r="AA1953" i="8"/>
  <c r="AA1954" i="8"/>
  <c r="AA1955" i="8"/>
  <c r="AA1956" i="8"/>
  <c r="AA1957" i="8"/>
  <c r="AA1958" i="8"/>
  <c r="AA1959" i="8"/>
  <c r="AA1960" i="8"/>
  <c r="AA1961" i="8"/>
  <c r="AA1962" i="8"/>
  <c r="AA1963" i="8"/>
  <c r="AA1964" i="8"/>
  <c r="AA1965" i="8"/>
  <c r="AA1966" i="8"/>
  <c r="AA1967" i="8"/>
  <c r="AA1968" i="8"/>
  <c r="AA1969" i="8"/>
  <c r="AA1970" i="8"/>
  <c r="AA1971" i="8"/>
  <c r="AA1972" i="8"/>
  <c r="AA1973" i="8"/>
  <c r="AA1974" i="8"/>
  <c r="AA1975" i="8"/>
  <c r="AA1976" i="8"/>
  <c r="AA1977" i="8"/>
  <c r="AB1936" i="8"/>
  <c r="AD1936" i="8" s="1"/>
  <c r="AB1937" i="8"/>
  <c r="AD1937" i="8" s="1"/>
  <c r="AB1938" i="8"/>
  <c r="AD1938" i="8" s="1"/>
  <c r="AB1939" i="8"/>
  <c r="AD1939" i="8" s="1"/>
  <c r="AB1940" i="8"/>
  <c r="AD1940" i="8" s="1"/>
  <c r="AB1941" i="8"/>
  <c r="AD1941" i="8" s="1"/>
  <c r="AB1942" i="8"/>
  <c r="AD1942" i="8" s="1"/>
  <c r="AB1943" i="8"/>
  <c r="AD1943" i="8" s="1"/>
  <c r="AB1944" i="8"/>
  <c r="AD1944" i="8" s="1"/>
  <c r="AB1945" i="8"/>
  <c r="AD1945" i="8" s="1"/>
  <c r="AB1946" i="8"/>
  <c r="AD1946" i="8" s="1"/>
  <c r="AB1947" i="8"/>
  <c r="AD1947" i="8" s="1"/>
  <c r="AB1948" i="8"/>
  <c r="AD1948" i="8" s="1"/>
  <c r="AB1949" i="8"/>
  <c r="AD1949" i="8" s="1"/>
  <c r="AB1950" i="8"/>
  <c r="AD1950" i="8" s="1"/>
  <c r="AB1951" i="8"/>
  <c r="AD1951" i="8" s="1"/>
  <c r="AB1952" i="8"/>
  <c r="AD1952" i="8" s="1"/>
  <c r="AB1953" i="8"/>
  <c r="AD1953" i="8" s="1"/>
  <c r="AB1954" i="8"/>
  <c r="AD1954" i="8" s="1"/>
  <c r="AB1955" i="8"/>
  <c r="AD1955" i="8" s="1"/>
  <c r="AB1956" i="8"/>
  <c r="AD1956" i="8" s="1"/>
  <c r="AB1957" i="8"/>
  <c r="AD1957" i="8" s="1"/>
  <c r="AB1958" i="8"/>
  <c r="AD1958" i="8" s="1"/>
  <c r="AB1959" i="8"/>
  <c r="AD1959" i="8" s="1"/>
  <c r="AB1960" i="8"/>
  <c r="AD1960" i="8" s="1"/>
  <c r="AB1961" i="8"/>
  <c r="AD1961" i="8" s="1"/>
  <c r="AB1962" i="8"/>
  <c r="AD1962" i="8" s="1"/>
  <c r="AB1963" i="8"/>
  <c r="AD1963" i="8" s="1"/>
  <c r="AB1964" i="8"/>
  <c r="AD1964" i="8" s="1"/>
  <c r="AB1965" i="8"/>
  <c r="AD1965" i="8" s="1"/>
  <c r="AB1966" i="8"/>
  <c r="AD1966" i="8" s="1"/>
  <c r="AB1967" i="8"/>
  <c r="AD1967" i="8" s="1"/>
  <c r="AB1968" i="8"/>
  <c r="AD1968" i="8" s="1"/>
  <c r="AB1969" i="8"/>
  <c r="AD1969" i="8" s="1"/>
  <c r="AB1970" i="8"/>
  <c r="AD1970" i="8" s="1"/>
  <c r="AB1971" i="8"/>
  <c r="AD1971" i="8" s="1"/>
  <c r="AB1972" i="8"/>
  <c r="AD1972" i="8" s="1"/>
  <c r="AB1973" i="8"/>
  <c r="AD1973" i="8" s="1"/>
  <c r="AB1974" i="8"/>
  <c r="AD1974" i="8" s="1"/>
  <c r="AB1975" i="8"/>
  <c r="AD1975" i="8" s="1"/>
  <c r="AB1976" i="8"/>
  <c r="AD1976" i="8" s="1"/>
  <c r="AB1977" i="8"/>
  <c r="AD1977" i="8" s="1"/>
  <c r="AC1936" i="8"/>
  <c r="AC1937" i="8"/>
  <c r="AC1939" i="8"/>
  <c r="AC1940" i="8"/>
  <c r="AC1941" i="8"/>
  <c r="AC1942" i="8"/>
  <c r="AC1943" i="8"/>
  <c r="AC1944" i="8"/>
  <c r="AC1946" i="8"/>
  <c r="AC1947" i="8"/>
  <c r="AC1948" i="8"/>
  <c r="AC1949" i="8"/>
  <c r="AC1950" i="8"/>
  <c r="AC1951" i="8"/>
  <c r="AC1952" i="8"/>
  <c r="AC1953" i="8"/>
  <c r="AC1954" i="8"/>
  <c r="AC1955" i="8"/>
  <c r="AC1956" i="8"/>
  <c r="AC1957" i="8"/>
  <c r="AC1958" i="8"/>
  <c r="AC1959" i="8"/>
  <c r="AC1960" i="8"/>
  <c r="AC1961" i="8"/>
  <c r="AC1962" i="8"/>
  <c r="AC1963" i="8"/>
  <c r="AC1964" i="8"/>
  <c r="AC1965" i="8"/>
  <c r="AC1966" i="8"/>
  <c r="AC1967" i="8"/>
  <c r="AC1968" i="8"/>
  <c r="AC1969" i="8"/>
  <c r="AC1970" i="8"/>
  <c r="AC1971" i="8"/>
  <c r="AC1972" i="8"/>
  <c r="AC1974" i="8"/>
  <c r="AC1976" i="8"/>
  <c r="AC1977" i="8"/>
  <c r="AG1936" i="8"/>
  <c r="AG1937" i="8"/>
  <c r="AG1938" i="8"/>
  <c r="AG1939" i="8"/>
  <c r="AG1940" i="8"/>
  <c r="AG1941" i="8"/>
  <c r="AG1942" i="8"/>
  <c r="AG1943" i="8"/>
  <c r="AG1944" i="8"/>
  <c r="AG1945" i="8"/>
  <c r="AG1946" i="8"/>
  <c r="AG1947" i="8"/>
  <c r="AG1948" i="8"/>
  <c r="AG1949" i="8"/>
  <c r="AG1950" i="8"/>
  <c r="AG1951" i="8"/>
  <c r="AG1952" i="8"/>
  <c r="AG1953" i="8"/>
  <c r="AG1954" i="8"/>
  <c r="AG1955" i="8"/>
  <c r="AG1956" i="8"/>
  <c r="AG1957" i="8"/>
  <c r="AG1958" i="8"/>
  <c r="AG1959" i="8"/>
  <c r="AG1960" i="8"/>
  <c r="AG1961" i="8"/>
  <c r="AG1962" i="8"/>
  <c r="AG1963" i="8"/>
  <c r="AG1964" i="8"/>
  <c r="AG1965" i="8"/>
  <c r="AG1966" i="8"/>
  <c r="AG1967" i="8"/>
  <c r="AG1968" i="8"/>
  <c r="AG1969" i="8"/>
  <c r="AG1970" i="8"/>
  <c r="AG1971" i="8"/>
  <c r="AG1972" i="8"/>
  <c r="AG1973" i="8"/>
  <c r="AG1974" i="8"/>
  <c r="AG1975" i="8"/>
  <c r="AG1976" i="8"/>
  <c r="AG1977" i="8"/>
  <c r="AH1936" i="8"/>
  <c r="AH1937" i="8"/>
  <c r="AH1938" i="8"/>
  <c r="AH1939" i="8"/>
  <c r="AH1940" i="8"/>
  <c r="AH1941" i="8"/>
  <c r="AH1942" i="8"/>
  <c r="AH1943" i="8"/>
  <c r="AH1944" i="8"/>
  <c r="AH1945" i="8"/>
  <c r="AH1946" i="8"/>
  <c r="AH1947" i="8"/>
  <c r="AH1948" i="8"/>
  <c r="AH1949" i="8"/>
  <c r="AH1950" i="8"/>
  <c r="AH1951" i="8"/>
  <c r="AH1952" i="8"/>
  <c r="AH1953" i="8"/>
  <c r="AH1954" i="8"/>
  <c r="AH1955" i="8"/>
  <c r="AH1956" i="8"/>
  <c r="AH1957" i="8"/>
  <c r="AH1958" i="8"/>
  <c r="AH1959" i="8"/>
  <c r="AH1960" i="8"/>
  <c r="AH1961" i="8"/>
  <c r="AH1962" i="8"/>
  <c r="AH1963" i="8"/>
  <c r="AH1964" i="8"/>
  <c r="AH1965" i="8"/>
  <c r="AH1966" i="8"/>
  <c r="AH1967" i="8"/>
  <c r="AH1968" i="8"/>
  <c r="AH1969" i="8"/>
  <c r="AH1970" i="8"/>
  <c r="AH1971" i="8"/>
  <c r="AH1972" i="8"/>
  <c r="AH1973" i="8"/>
  <c r="AH1974" i="8"/>
  <c r="AH1975" i="8"/>
  <c r="AH1976" i="8"/>
  <c r="AH1977" i="8"/>
  <c r="R1927" i="8"/>
  <c r="A263" i="4"/>
  <c r="A263" i="13" s="1"/>
  <c r="A264" i="4"/>
  <c r="A264" i="13" s="1"/>
  <c r="A265" i="4"/>
  <c r="A265" i="13" s="1"/>
  <c r="A266" i="4"/>
  <c r="A266" i="13" s="1"/>
  <c r="A267" i="4"/>
  <c r="A268" i="4"/>
  <c r="A268" i="13" s="1"/>
  <c r="A269" i="4"/>
  <c r="A269" i="13" s="1"/>
  <c r="A270" i="4"/>
  <c r="A270" i="13" s="1"/>
  <c r="A262" i="4"/>
  <c r="A262" i="13" s="1"/>
  <c r="A261" i="4"/>
  <c r="A261" i="13" s="1"/>
  <c r="A249" i="4"/>
  <c r="A249" i="13" s="1"/>
  <c r="A250" i="4"/>
  <c r="A250" i="13" s="1"/>
  <c r="A251" i="4"/>
  <c r="A251" i="13" s="1"/>
  <c r="A252" i="4"/>
  <c r="A252" i="13" s="1"/>
  <c r="A253" i="4"/>
  <c r="A253" i="13" s="1"/>
  <c r="A254" i="4"/>
  <c r="A254" i="13" s="1"/>
  <c r="A255" i="4"/>
  <c r="A255" i="13" s="1"/>
  <c r="A256" i="4"/>
  <c r="A256" i="13" s="1"/>
  <c r="A257" i="4"/>
  <c r="A257" i="13" s="1"/>
  <c r="A258" i="4"/>
  <c r="A258" i="13" s="1"/>
  <c r="A259" i="4"/>
  <c r="A259" i="13" s="1"/>
  <c r="A260" i="4"/>
  <c r="A260" i="13" s="1"/>
  <c r="A248" i="4"/>
  <c r="A248" i="13" s="1"/>
  <c r="A242" i="4"/>
  <c r="A242" i="13" s="1"/>
  <c r="B392" i="8"/>
  <c r="B393" i="8"/>
  <c r="B490" i="8"/>
  <c r="B491" i="8"/>
  <c r="B492" i="8"/>
  <c r="B493" i="8"/>
  <c r="B547" i="8"/>
  <c r="B687" i="8"/>
  <c r="B851"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1196" i="8"/>
  <c r="B1197" i="8"/>
  <c r="B1198"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99" i="8"/>
  <c r="B1700" i="8"/>
  <c r="B1701" i="8"/>
  <c r="B1702" i="8"/>
  <c r="B1703" i="8"/>
  <c r="B1704" i="8"/>
  <c r="B1723" i="8"/>
  <c r="B1724" i="8"/>
  <c r="B1769" i="8"/>
  <c r="B1770" i="8"/>
  <c r="B1771" i="8"/>
  <c r="B1772" i="8"/>
  <c r="B1835" i="8"/>
  <c r="B1836" i="8"/>
  <c r="B1837" i="8"/>
  <c r="B1838" i="8"/>
  <c r="B1839" i="8"/>
  <c r="B1840" i="8"/>
  <c r="B1841" i="8"/>
  <c r="B1845" i="8"/>
  <c r="B1846" i="8"/>
  <c r="N78" i="8"/>
  <c r="O78" i="8" s="1"/>
  <c r="N79" i="8"/>
  <c r="O79" i="8" s="1"/>
  <c r="N80" i="8"/>
  <c r="O80" i="8" s="1"/>
  <c r="N81" i="8"/>
  <c r="O81" i="8" s="1"/>
  <c r="N82" i="8"/>
  <c r="O82" i="8" s="1"/>
  <c r="N83" i="8"/>
  <c r="O83" i="8" s="1"/>
  <c r="N84" i="8"/>
  <c r="O84" i="8" s="1"/>
  <c r="N85" i="8"/>
  <c r="O85" i="8" s="1"/>
  <c r="N86" i="8"/>
  <c r="O86" i="8" s="1"/>
  <c r="N87" i="8"/>
  <c r="O87" i="8" s="1"/>
  <c r="N88" i="8"/>
  <c r="O88" i="8" s="1"/>
  <c r="N89" i="8"/>
  <c r="O89" i="8" s="1"/>
  <c r="N90" i="8"/>
  <c r="O90" i="8" s="1"/>
  <c r="N91" i="8"/>
  <c r="O91" i="8" s="1"/>
  <c r="N92" i="8"/>
  <c r="O92" i="8" s="1"/>
  <c r="N93" i="8"/>
  <c r="O93" i="8" s="1"/>
  <c r="N94" i="8"/>
  <c r="O94" i="8" s="1"/>
  <c r="N95" i="8"/>
  <c r="O95" i="8" s="1"/>
  <c r="N96" i="8"/>
  <c r="O96" i="8" s="1"/>
  <c r="N97" i="8"/>
  <c r="O97" i="8" s="1"/>
  <c r="N98" i="8"/>
  <c r="O98" i="8" s="1"/>
  <c r="N99" i="8"/>
  <c r="O99" i="8" s="1"/>
  <c r="N100" i="8"/>
  <c r="O100" i="8" s="1"/>
  <c r="N101" i="8"/>
  <c r="O101" i="8" s="1"/>
  <c r="N102" i="8"/>
  <c r="O102" i="8" s="1"/>
  <c r="N103" i="8"/>
  <c r="O103" i="8" s="1"/>
  <c r="N104" i="8"/>
  <c r="O104" i="8" s="1"/>
  <c r="N105" i="8"/>
  <c r="O105" i="8" s="1"/>
  <c r="N106" i="8"/>
  <c r="O106" i="8" s="1"/>
  <c r="N107" i="8"/>
  <c r="O107" i="8" s="1"/>
  <c r="N108" i="8"/>
  <c r="O108" i="8" s="1"/>
  <c r="N109" i="8"/>
  <c r="O109" i="8" s="1"/>
  <c r="N110" i="8"/>
  <c r="O110" i="8" s="1"/>
  <c r="N111" i="8"/>
  <c r="O111" i="8" s="1"/>
  <c r="N112" i="8"/>
  <c r="O112" i="8" s="1"/>
  <c r="N113" i="8"/>
  <c r="O113" i="8" s="1"/>
  <c r="N114" i="8"/>
  <c r="O114" i="8" s="1"/>
  <c r="N115" i="8"/>
  <c r="O115" i="8" s="1"/>
  <c r="N116" i="8"/>
  <c r="O116" i="8" s="1"/>
  <c r="N117" i="8"/>
  <c r="O117" i="8" s="1"/>
  <c r="N118" i="8"/>
  <c r="O118" i="8" s="1"/>
  <c r="N119" i="8"/>
  <c r="O119" i="8" s="1"/>
  <c r="N120" i="8"/>
  <c r="O120" i="8" s="1"/>
  <c r="N121" i="8"/>
  <c r="O121" i="8" s="1"/>
  <c r="N122" i="8"/>
  <c r="O122" i="8" s="1"/>
  <c r="N123" i="8"/>
  <c r="O123" i="8" s="1"/>
  <c r="N124" i="8"/>
  <c r="O124" i="8" s="1"/>
  <c r="N125" i="8"/>
  <c r="O125" i="8" s="1"/>
  <c r="N126" i="8"/>
  <c r="O126" i="8" s="1"/>
  <c r="N127" i="8"/>
  <c r="O127" i="8" s="1"/>
  <c r="N128" i="8"/>
  <c r="O128" i="8" s="1"/>
  <c r="N129" i="8"/>
  <c r="O129" i="8" s="1"/>
  <c r="N130" i="8"/>
  <c r="O130" i="8" s="1"/>
  <c r="N131" i="8"/>
  <c r="O131" i="8" s="1"/>
  <c r="N132" i="8"/>
  <c r="O132" i="8" s="1"/>
  <c r="N133" i="8"/>
  <c r="O133" i="8" s="1"/>
  <c r="N134" i="8"/>
  <c r="O134" i="8" s="1"/>
  <c r="N135" i="8"/>
  <c r="O135" i="8" s="1"/>
  <c r="N136" i="8"/>
  <c r="O136" i="8" s="1"/>
  <c r="N137" i="8"/>
  <c r="O137" i="8" s="1"/>
  <c r="N138" i="8"/>
  <c r="O138" i="8" s="1"/>
  <c r="N139" i="8"/>
  <c r="O139" i="8" s="1"/>
  <c r="N140" i="8"/>
  <c r="O140" i="8" s="1"/>
  <c r="N141" i="8"/>
  <c r="O141" i="8" s="1"/>
  <c r="N142" i="8"/>
  <c r="O142" i="8" s="1"/>
  <c r="N143" i="8"/>
  <c r="O143" i="8" s="1"/>
  <c r="N144" i="8"/>
  <c r="O144" i="8" s="1"/>
  <c r="N145" i="8"/>
  <c r="O145" i="8" s="1"/>
  <c r="N146" i="8"/>
  <c r="O146" i="8" s="1"/>
  <c r="N147" i="8"/>
  <c r="O147" i="8" s="1"/>
  <c r="N148" i="8"/>
  <c r="O148" i="8" s="1"/>
  <c r="N149" i="8"/>
  <c r="O149" i="8" s="1"/>
  <c r="N150" i="8"/>
  <c r="O150" i="8" s="1"/>
  <c r="N151" i="8"/>
  <c r="O151" i="8" s="1"/>
  <c r="N152" i="8"/>
  <c r="O152" i="8" s="1"/>
  <c r="N153" i="8"/>
  <c r="O153" i="8" s="1"/>
  <c r="N154" i="8"/>
  <c r="O154" i="8" s="1"/>
  <c r="N155" i="8"/>
  <c r="O155" i="8" s="1"/>
  <c r="N156" i="8"/>
  <c r="O156" i="8" s="1"/>
  <c r="N157" i="8"/>
  <c r="O157" i="8" s="1"/>
  <c r="N158" i="8"/>
  <c r="O158" i="8" s="1"/>
  <c r="N159" i="8"/>
  <c r="O159" i="8" s="1"/>
  <c r="N160" i="8"/>
  <c r="O160" i="8" s="1"/>
  <c r="N161" i="8"/>
  <c r="O161" i="8" s="1"/>
  <c r="N162" i="8"/>
  <c r="O162" i="8" s="1"/>
  <c r="N163" i="8"/>
  <c r="O163" i="8" s="1"/>
  <c r="N164" i="8"/>
  <c r="O164" i="8" s="1"/>
  <c r="N165" i="8"/>
  <c r="O165" i="8" s="1"/>
  <c r="N166" i="8"/>
  <c r="O166" i="8" s="1"/>
  <c r="N167" i="8"/>
  <c r="O167" i="8" s="1"/>
  <c r="N168" i="8"/>
  <c r="O168" i="8" s="1"/>
  <c r="N169" i="8"/>
  <c r="O169" i="8" s="1"/>
  <c r="N170" i="8"/>
  <c r="O170" i="8" s="1"/>
  <c r="N171" i="8"/>
  <c r="O171" i="8" s="1"/>
  <c r="N172" i="8"/>
  <c r="O172" i="8" s="1"/>
  <c r="N173" i="8"/>
  <c r="O173" i="8" s="1"/>
  <c r="N174" i="8"/>
  <c r="O174" i="8" s="1"/>
  <c r="N175" i="8"/>
  <c r="O175" i="8" s="1"/>
  <c r="N176" i="8"/>
  <c r="O176" i="8" s="1"/>
  <c r="N177" i="8"/>
  <c r="O177" i="8" s="1"/>
  <c r="N178" i="8"/>
  <c r="O178" i="8" s="1"/>
  <c r="N179" i="8"/>
  <c r="O179" i="8" s="1"/>
  <c r="N180" i="8"/>
  <c r="O180" i="8" s="1"/>
  <c r="N181" i="8"/>
  <c r="O181" i="8" s="1"/>
  <c r="N182" i="8"/>
  <c r="O182" i="8" s="1"/>
  <c r="N183" i="8"/>
  <c r="O183" i="8" s="1"/>
  <c r="N184" i="8"/>
  <c r="O184" i="8" s="1"/>
  <c r="N185" i="8"/>
  <c r="O185" i="8" s="1"/>
  <c r="N186" i="8"/>
  <c r="O186" i="8" s="1"/>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O594" i="8" s="1"/>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O643" i="8" s="1"/>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O978" i="8" s="1"/>
  <c r="N979" i="8"/>
  <c r="O979" i="8" s="1"/>
  <c r="N980" i="8"/>
  <c r="O980" i="8" s="1"/>
  <c r="N981" i="8"/>
  <c r="O981" i="8" s="1"/>
  <c r="N982" i="8"/>
  <c r="O982" i="8" s="1"/>
  <c r="N983" i="8"/>
  <c r="O983" i="8" s="1"/>
  <c r="N984" i="8"/>
  <c r="O984" i="8" s="1"/>
  <c r="N985" i="8"/>
  <c r="O985" i="8" s="1"/>
  <c r="N986" i="8"/>
  <c r="O986" i="8" s="1"/>
  <c r="N987" i="8"/>
  <c r="O987" i="8" s="1"/>
  <c r="N988" i="8"/>
  <c r="O988" i="8" s="1"/>
  <c r="N989" i="8"/>
  <c r="O989" i="8" s="1"/>
  <c r="N990" i="8"/>
  <c r="O990" i="8" s="1"/>
  <c r="N991" i="8"/>
  <c r="O991" i="8" s="1"/>
  <c r="N992" i="8"/>
  <c r="O992" i="8" s="1"/>
  <c r="N993" i="8"/>
  <c r="O993" i="8" s="1"/>
  <c r="N994" i="8"/>
  <c r="O994" i="8" s="1"/>
  <c r="N995" i="8"/>
  <c r="O995" i="8" s="1"/>
  <c r="N996" i="8"/>
  <c r="O996" i="8" s="1"/>
  <c r="N997" i="8"/>
  <c r="O997" i="8" s="1"/>
  <c r="N998" i="8"/>
  <c r="O998" i="8" s="1"/>
  <c r="N999" i="8"/>
  <c r="O999" i="8" s="1"/>
  <c r="N1000" i="8"/>
  <c r="O1000" i="8" s="1"/>
  <c r="N1001" i="8"/>
  <c r="O1001" i="8" s="1"/>
  <c r="N1002" i="8"/>
  <c r="O1002" i="8" s="1"/>
  <c r="N1003" i="8"/>
  <c r="O1003" i="8" s="1"/>
  <c r="N1004" i="8"/>
  <c r="O1004" i="8" s="1"/>
  <c r="N1005" i="8"/>
  <c r="O1005" i="8" s="1"/>
  <c r="N1006" i="8"/>
  <c r="O1006" i="8" s="1"/>
  <c r="N1007" i="8"/>
  <c r="O1007" i="8" s="1"/>
  <c r="N1008" i="8"/>
  <c r="O1008" i="8" s="1"/>
  <c r="N1009" i="8"/>
  <c r="O1009" i="8" s="1"/>
  <c r="N1010" i="8"/>
  <c r="O1010" i="8" s="1"/>
  <c r="N1011" i="8"/>
  <c r="O1011" i="8" s="1"/>
  <c r="N1012" i="8"/>
  <c r="O1012" i="8" s="1"/>
  <c r="N1013" i="8"/>
  <c r="O1013" i="8" s="1"/>
  <c r="N1014" i="8"/>
  <c r="O1014" i="8" s="1"/>
  <c r="N1015" i="8"/>
  <c r="O1015" i="8" s="1"/>
  <c r="N1016" i="8"/>
  <c r="O1016" i="8" s="1"/>
  <c r="N1017" i="8"/>
  <c r="O1017" i="8" s="1"/>
  <c r="N1018" i="8"/>
  <c r="O1018" i="8" s="1"/>
  <c r="N1019" i="8"/>
  <c r="O1019" i="8" s="1"/>
  <c r="N1020" i="8"/>
  <c r="O1020" i="8" s="1"/>
  <c r="N1021" i="8"/>
  <c r="O1021" i="8" s="1"/>
  <c r="N1022" i="8"/>
  <c r="O1022" i="8" s="1"/>
  <c r="N1023" i="8"/>
  <c r="O1023" i="8" s="1"/>
  <c r="N1024" i="8"/>
  <c r="O1024" i="8" s="1"/>
  <c r="N1025" i="8"/>
  <c r="O1025" i="8" s="1"/>
  <c r="N1026" i="8"/>
  <c r="O1026" i="8" s="1"/>
  <c r="N1027" i="8"/>
  <c r="O1027" i="8" s="1"/>
  <c r="N1028" i="8"/>
  <c r="O1028" i="8" s="1"/>
  <c r="N1029" i="8"/>
  <c r="O1029" i="8" s="1"/>
  <c r="N1030" i="8"/>
  <c r="O1030" i="8" s="1"/>
  <c r="N1031" i="8"/>
  <c r="O1031" i="8" s="1"/>
  <c r="N1032" i="8"/>
  <c r="O1032" i="8" s="1"/>
  <c r="N1033" i="8"/>
  <c r="O1033" i="8" s="1"/>
  <c r="N1034" i="8"/>
  <c r="O1034" i="8" s="1"/>
  <c r="N1035" i="8"/>
  <c r="O1035" i="8" s="1"/>
  <c r="N1036" i="8"/>
  <c r="O1036" i="8" s="1"/>
  <c r="N1037" i="8"/>
  <c r="O1037" i="8" s="1"/>
  <c r="N1038" i="8"/>
  <c r="O1038" i="8" s="1"/>
  <c r="N1039" i="8"/>
  <c r="O1039" i="8" s="1"/>
  <c r="N1040" i="8"/>
  <c r="O1040" i="8" s="1"/>
  <c r="N1041" i="8"/>
  <c r="O1041" i="8" s="1"/>
  <c r="N1042" i="8"/>
  <c r="O1042" i="8" s="1"/>
  <c r="N1043" i="8"/>
  <c r="O1043" i="8" s="1"/>
  <c r="N1044" i="8"/>
  <c r="O1044" i="8" s="1"/>
  <c r="N1045" i="8"/>
  <c r="O1045" i="8" s="1"/>
  <c r="N1046" i="8"/>
  <c r="O1046" i="8" s="1"/>
  <c r="N1047" i="8"/>
  <c r="O1047" i="8" s="1"/>
  <c r="N1048" i="8"/>
  <c r="O1048" i="8" s="1"/>
  <c r="N1049" i="8"/>
  <c r="O1049" i="8" s="1"/>
  <c r="N1050" i="8"/>
  <c r="O1050" i="8" s="1"/>
  <c r="N1051" i="8"/>
  <c r="O1051" i="8" s="1"/>
  <c r="N1052" i="8"/>
  <c r="O1052" i="8" s="1"/>
  <c r="N1053" i="8"/>
  <c r="O1053" i="8" s="1"/>
  <c r="N1054" i="8"/>
  <c r="O1054" i="8" s="1"/>
  <c r="N1055" i="8"/>
  <c r="O1055" i="8" s="1"/>
  <c r="N1056" i="8"/>
  <c r="O1056" i="8" s="1"/>
  <c r="N1057" i="8"/>
  <c r="O1057" i="8" s="1"/>
  <c r="N1058" i="8"/>
  <c r="O1058" i="8" s="1"/>
  <c r="N1059" i="8"/>
  <c r="O1059" i="8" s="1"/>
  <c r="N1060" i="8"/>
  <c r="O1060" i="8" s="1"/>
  <c r="N1061" i="8"/>
  <c r="O1061" i="8" s="1"/>
  <c r="N1062" i="8"/>
  <c r="O1062" i="8" s="1"/>
  <c r="N1063" i="8"/>
  <c r="O1063" i="8" s="1"/>
  <c r="N1064" i="8"/>
  <c r="O1064" i="8" s="1"/>
  <c r="N1065" i="8"/>
  <c r="O1065" i="8" s="1"/>
  <c r="N1066" i="8"/>
  <c r="O1066" i="8" s="1"/>
  <c r="N1067" i="8"/>
  <c r="O1067" i="8" s="1"/>
  <c r="N1068" i="8"/>
  <c r="O1068" i="8" s="1"/>
  <c r="N1069" i="8"/>
  <c r="O1069" i="8" s="1"/>
  <c r="N1070" i="8"/>
  <c r="O1070" i="8" s="1"/>
  <c r="N1071" i="8"/>
  <c r="O1071" i="8" s="1"/>
  <c r="N1072" i="8"/>
  <c r="O1072" i="8" s="1"/>
  <c r="N1073" i="8"/>
  <c r="O1073" i="8" s="1"/>
  <c r="N1074" i="8"/>
  <c r="O1074" i="8" s="1"/>
  <c r="N1075" i="8"/>
  <c r="O1075" i="8" s="1"/>
  <c r="N1076" i="8"/>
  <c r="O1076" i="8" s="1"/>
  <c r="N1077" i="8"/>
  <c r="O1077" i="8" s="1"/>
  <c r="N1078" i="8"/>
  <c r="O1078" i="8" s="1"/>
  <c r="N1079" i="8"/>
  <c r="O1079" i="8" s="1"/>
  <c r="N1080" i="8"/>
  <c r="O1080" i="8" s="1"/>
  <c r="N1081" i="8"/>
  <c r="O1081" i="8" s="1"/>
  <c r="N1082" i="8"/>
  <c r="O1082" i="8" s="1"/>
  <c r="N1083" i="8"/>
  <c r="O1083" i="8" s="1"/>
  <c r="N1084" i="8"/>
  <c r="O1084" i="8" s="1"/>
  <c r="N1085" i="8"/>
  <c r="O1085" i="8" s="1"/>
  <c r="N1086" i="8"/>
  <c r="O1086" i="8" s="1"/>
  <c r="N1087" i="8"/>
  <c r="O1087" i="8" s="1"/>
  <c r="N1088" i="8"/>
  <c r="O1088" i="8" s="1"/>
  <c r="N1089" i="8"/>
  <c r="O1089" i="8" s="1"/>
  <c r="N1090" i="8"/>
  <c r="O1090" i="8" s="1"/>
  <c r="N1091" i="8"/>
  <c r="O1091" i="8" s="1"/>
  <c r="N1092" i="8"/>
  <c r="O1092" i="8" s="1"/>
  <c r="N1093" i="8"/>
  <c r="O1093" i="8" s="1"/>
  <c r="N1094" i="8"/>
  <c r="O1094" i="8" s="1"/>
  <c r="N1095" i="8"/>
  <c r="O1095" i="8" s="1"/>
  <c r="N1096" i="8"/>
  <c r="O1096" i="8" s="1"/>
  <c r="N1097" i="8"/>
  <c r="O1097" i="8" s="1"/>
  <c r="N1098" i="8"/>
  <c r="O1098" i="8" s="1"/>
  <c r="N1099" i="8"/>
  <c r="O1099" i="8" s="1"/>
  <c r="N1100" i="8"/>
  <c r="O1100" i="8" s="1"/>
  <c r="N1101" i="8"/>
  <c r="O1101" i="8" s="1"/>
  <c r="N1102" i="8"/>
  <c r="O1102" i="8" s="1"/>
  <c r="N1103" i="8"/>
  <c r="O1103" i="8" s="1"/>
  <c r="N1104" i="8"/>
  <c r="O1104" i="8" s="1"/>
  <c r="N1105" i="8"/>
  <c r="O1105" i="8" s="1"/>
  <c r="N1106" i="8"/>
  <c r="O1106" i="8" s="1"/>
  <c r="N1107" i="8"/>
  <c r="O1107" i="8" s="1"/>
  <c r="N1108" i="8"/>
  <c r="O1108" i="8" s="1"/>
  <c r="N1109" i="8"/>
  <c r="O1109" i="8" s="1"/>
  <c r="N1110" i="8"/>
  <c r="O1110" i="8" s="1"/>
  <c r="N1111" i="8"/>
  <c r="O1111" i="8" s="1"/>
  <c r="N1112" i="8"/>
  <c r="O1112" i="8" s="1"/>
  <c r="N1113" i="8"/>
  <c r="O1113" i="8" s="1"/>
  <c r="N1114" i="8"/>
  <c r="O1114" i="8" s="1"/>
  <c r="N1115" i="8"/>
  <c r="O1115" i="8" s="1"/>
  <c r="N1116" i="8"/>
  <c r="O1116" i="8" s="1"/>
  <c r="N1117" i="8"/>
  <c r="O1117" i="8" s="1"/>
  <c r="N1118" i="8"/>
  <c r="O1118" i="8" s="1"/>
  <c r="N1119" i="8"/>
  <c r="O1119" i="8" s="1"/>
  <c r="N1120" i="8"/>
  <c r="O1120" i="8" s="1"/>
  <c r="N1121" i="8"/>
  <c r="O1121" i="8" s="1"/>
  <c r="N1122" i="8"/>
  <c r="O1122" i="8" s="1"/>
  <c r="N1123" i="8"/>
  <c r="O1123" i="8" s="1"/>
  <c r="N1124" i="8"/>
  <c r="O1124" i="8" s="1"/>
  <c r="N1125" i="8"/>
  <c r="O1125" i="8" s="1"/>
  <c r="N1126" i="8"/>
  <c r="O1126" i="8" s="1"/>
  <c r="N1127" i="8"/>
  <c r="O1127" i="8" s="1"/>
  <c r="N1128" i="8"/>
  <c r="O1128" i="8" s="1"/>
  <c r="N1129" i="8"/>
  <c r="O1129" i="8" s="1"/>
  <c r="N1130" i="8"/>
  <c r="O1130" i="8" s="1"/>
  <c r="N1131" i="8"/>
  <c r="O1131" i="8" s="1"/>
  <c r="N1132" i="8"/>
  <c r="O1132" i="8" s="1"/>
  <c r="N1133" i="8"/>
  <c r="O1133" i="8" s="1"/>
  <c r="N1134" i="8"/>
  <c r="O1134" i="8" s="1"/>
  <c r="N1135" i="8"/>
  <c r="O1135" i="8" s="1"/>
  <c r="N1136" i="8"/>
  <c r="O1136" i="8" s="1"/>
  <c r="N1137" i="8"/>
  <c r="O1137" i="8" s="1"/>
  <c r="N1138" i="8"/>
  <c r="O1138" i="8" s="1"/>
  <c r="N1139" i="8"/>
  <c r="O1139" i="8" s="1"/>
  <c r="N1140" i="8"/>
  <c r="O1140" i="8" s="1"/>
  <c r="N1141" i="8"/>
  <c r="O1141" i="8" s="1"/>
  <c r="N1142" i="8"/>
  <c r="O1142" i="8" s="1"/>
  <c r="N1143" i="8"/>
  <c r="O1143" i="8" s="1"/>
  <c r="N1144" i="8"/>
  <c r="O1144" i="8" s="1"/>
  <c r="N1145" i="8"/>
  <c r="O1145" i="8" s="1"/>
  <c r="N1146" i="8"/>
  <c r="O1146" i="8" s="1"/>
  <c r="N1147" i="8"/>
  <c r="O1147" i="8" s="1"/>
  <c r="N1148" i="8"/>
  <c r="O1148" i="8" s="1"/>
  <c r="N1149" i="8"/>
  <c r="O1149" i="8" s="1"/>
  <c r="N1150" i="8"/>
  <c r="O1150" i="8" s="1"/>
  <c r="N1151" i="8"/>
  <c r="O1151" i="8" s="1"/>
  <c r="N1152" i="8"/>
  <c r="O1152" i="8" s="1"/>
  <c r="N1153" i="8"/>
  <c r="O1153" i="8" s="1"/>
  <c r="N1154" i="8"/>
  <c r="O1154" i="8" s="1"/>
  <c r="N1155" i="8"/>
  <c r="O1155" i="8" s="1"/>
  <c r="N1156" i="8"/>
  <c r="O1156" i="8" s="1"/>
  <c r="N1157" i="8"/>
  <c r="O1157" i="8" s="1"/>
  <c r="N1158" i="8"/>
  <c r="O1158" i="8" s="1"/>
  <c r="N1159" i="8"/>
  <c r="O1159" i="8" s="1"/>
  <c r="N1160" i="8"/>
  <c r="O1160" i="8" s="1"/>
  <c r="N1161" i="8"/>
  <c r="O1161" i="8" s="1"/>
  <c r="N1162" i="8"/>
  <c r="O1162" i="8" s="1"/>
  <c r="N1163" i="8"/>
  <c r="O1163" i="8" s="1"/>
  <c r="N1164" i="8"/>
  <c r="O1164" i="8" s="1"/>
  <c r="N1165" i="8"/>
  <c r="O1165" i="8" s="1"/>
  <c r="N1166" i="8"/>
  <c r="O1166" i="8" s="1"/>
  <c r="N1167" i="8"/>
  <c r="O1167" i="8" s="1"/>
  <c r="N1168" i="8"/>
  <c r="O1168" i="8" s="1"/>
  <c r="N1169" i="8"/>
  <c r="O1169" i="8" s="1"/>
  <c r="N1170" i="8"/>
  <c r="O1170" i="8" s="1"/>
  <c r="N1171" i="8"/>
  <c r="O1171" i="8" s="1"/>
  <c r="N1172" i="8"/>
  <c r="O1172" i="8" s="1"/>
  <c r="N1173" i="8"/>
  <c r="O1173" i="8" s="1"/>
  <c r="N1174" i="8"/>
  <c r="O1174" i="8" s="1"/>
  <c r="N1175" i="8"/>
  <c r="O1175" i="8" s="1"/>
  <c r="N1176" i="8"/>
  <c r="O1176" i="8" s="1"/>
  <c r="N1177" i="8"/>
  <c r="O1177" i="8" s="1"/>
  <c r="N1178" i="8"/>
  <c r="O1178" i="8" s="1"/>
  <c r="N1179" i="8"/>
  <c r="O1179" i="8" s="1"/>
  <c r="N1180" i="8"/>
  <c r="O1180" i="8" s="1"/>
  <c r="N1181" i="8"/>
  <c r="O1181" i="8" s="1"/>
  <c r="N1182" i="8"/>
  <c r="O1182" i="8" s="1"/>
  <c r="N1183" i="8"/>
  <c r="O1183" i="8" s="1"/>
  <c r="N1184" i="8"/>
  <c r="O1184" i="8" s="1"/>
  <c r="N1185" i="8"/>
  <c r="O1185" i="8" s="1"/>
  <c r="N1186" i="8"/>
  <c r="O1186" i="8" s="1"/>
  <c r="N1187" i="8"/>
  <c r="O1187" i="8" s="1"/>
  <c r="N1188" i="8"/>
  <c r="O1188" i="8" s="1"/>
  <c r="N1189" i="8"/>
  <c r="O1189" i="8" s="1"/>
  <c r="N1190" i="8"/>
  <c r="O1190" i="8" s="1"/>
  <c r="N1191" i="8"/>
  <c r="O1191" i="8" s="1"/>
  <c r="N1192" i="8"/>
  <c r="O1192" i="8" s="1"/>
  <c r="N1193" i="8"/>
  <c r="O1193" i="8" s="1"/>
  <c r="N1194" i="8"/>
  <c r="O1194" i="8" s="1"/>
  <c r="N1195" i="8"/>
  <c r="O1195" i="8" s="1"/>
  <c r="N1196" i="8"/>
  <c r="O1196" i="8" s="1"/>
  <c r="N1197" i="8"/>
  <c r="O1197" i="8" s="1"/>
  <c r="N1198" i="8"/>
  <c r="O1198" i="8" s="1"/>
  <c r="N1199" i="8"/>
  <c r="O1199" i="8" s="1"/>
  <c r="N1200" i="8"/>
  <c r="O1200" i="8" s="1"/>
  <c r="N1201" i="8"/>
  <c r="O1201" i="8" s="1"/>
  <c r="N1202" i="8"/>
  <c r="O1202" i="8" s="1"/>
  <c r="N1203" i="8"/>
  <c r="O1203" i="8" s="1"/>
  <c r="N1204" i="8"/>
  <c r="O1204" i="8" s="1"/>
  <c r="N1205" i="8"/>
  <c r="O1205" i="8" s="1"/>
  <c r="N1206" i="8"/>
  <c r="O1206" i="8" s="1"/>
  <c r="N1207" i="8"/>
  <c r="O1207" i="8" s="1"/>
  <c r="N1208" i="8"/>
  <c r="O1208" i="8" s="1"/>
  <c r="N1209" i="8"/>
  <c r="O1209" i="8" s="1"/>
  <c r="N1210" i="8"/>
  <c r="O1210" i="8" s="1"/>
  <c r="N1211" i="8"/>
  <c r="O1211" i="8" s="1"/>
  <c r="N1212" i="8"/>
  <c r="O1212" i="8" s="1"/>
  <c r="N1213" i="8"/>
  <c r="O1213" i="8" s="1"/>
  <c r="N1214" i="8"/>
  <c r="O1214" i="8" s="1"/>
  <c r="N1215" i="8"/>
  <c r="O1215" i="8" s="1"/>
  <c r="N1216" i="8"/>
  <c r="O1216" i="8" s="1"/>
  <c r="N1217" i="8"/>
  <c r="O1217" i="8" s="1"/>
  <c r="N1218" i="8"/>
  <c r="O1218" i="8" s="1"/>
  <c r="N1219" i="8"/>
  <c r="O1219" i="8" s="1"/>
  <c r="N1220" i="8"/>
  <c r="O1220" i="8" s="1"/>
  <c r="N1221" i="8"/>
  <c r="O1221" i="8" s="1"/>
  <c r="N1222" i="8"/>
  <c r="O1222" i="8" s="1"/>
  <c r="N1223" i="8"/>
  <c r="O1223" i="8" s="1"/>
  <c r="N1224" i="8"/>
  <c r="O1224" i="8" s="1"/>
  <c r="N1225" i="8"/>
  <c r="O1225" i="8" s="1"/>
  <c r="N1226" i="8"/>
  <c r="O1226" i="8" s="1"/>
  <c r="N1227" i="8"/>
  <c r="O1227" i="8" s="1"/>
  <c r="N1228" i="8"/>
  <c r="O1228" i="8" s="1"/>
  <c r="N1229" i="8"/>
  <c r="O1229" i="8" s="1"/>
  <c r="N1230" i="8"/>
  <c r="O1230" i="8" s="1"/>
  <c r="N1231" i="8"/>
  <c r="O1231" i="8" s="1"/>
  <c r="N1232" i="8"/>
  <c r="O1232" i="8" s="1"/>
  <c r="N1233" i="8"/>
  <c r="O1233" i="8" s="1"/>
  <c r="N1234" i="8"/>
  <c r="O1234" i="8" s="1"/>
  <c r="N1235" i="8"/>
  <c r="O1235" i="8" s="1"/>
  <c r="N1236" i="8"/>
  <c r="O1236" i="8" s="1"/>
  <c r="N1237" i="8"/>
  <c r="O1237" i="8" s="1"/>
  <c r="N1238" i="8"/>
  <c r="O1238" i="8" s="1"/>
  <c r="N1239" i="8"/>
  <c r="O1239" i="8" s="1"/>
  <c r="N1240" i="8"/>
  <c r="O1240" i="8" s="1"/>
  <c r="N1241" i="8"/>
  <c r="O1241" i="8" s="1"/>
  <c r="N1242" i="8"/>
  <c r="O1242" i="8" s="1"/>
  <c r="N1243" i="8"/>
  <c r="O1243" i="8" s="1"/>
  <c r="N1244" i="8"/>
  <c r="O1244" i="8" s="1"/>
  <c r="N1245" i="8"/>
  <c r="O1245" i="8" s="1"/>
  <c r="N1246" i="8"/>
  <c r="O1246" i="8" s="1"/>
  <c r="N1247" i="8"/>
  <c r="O1247" i="8" s="1"/>
  <c r="N1248" i="8"/>
  <c r="O1248" i="8" s="1"/>
  <c r="N1249" i="8"/>
  <c r="O1249" i="8" s="1"/>
  <c r="N1250" i="8"/>
  <c r="O1250" i="8" s="1"/>
  <c r="N1251" i="8"/>
  <c r="O1251" i="8" s="1"/>
  <c r="N1252" i="8"/>
  <c r="O1252" i="8" s="1"/>
  <c r="N1253" i="8"/>
  <c r="O1253" i="8" s="1"/>
  <c r="N1254" i="8"/>
  <c r="O1254" i="8" s="1"/>
  <c r="N1255" i="8"/>
  <c r="O1255" i="8" s="1"/>
  <c r="N1256" i="8"/>
  <c r="O1256" i="8" s="1"/>
  <c r="N1257" i="8"/>
  <c r="O1257" i="8" s="1"/>
  <c r="N1258" i="8"/>
  <c r="O1258" i="8" s="1"/>
  <c r="N1259" i="8"/>
  <c r="O1259" i="8" s="1"/>
  <c r="N1260" i="8"/>
  <c r="O1260" i="8" s="1"/>
  <c r="N1261" i="8"/>
  <c r="O1261" i="8" s="1"/>
  <c r="N1262" i="8"/>
  <c r="O1262" i="8" s="1"/>
  <c r="N1263" i="8"/>
  <c r="O1263" i="8" s="1"/>
  <c r="N1264" i="8"/>
  <c r="O1264" i="8" s="1"/>
  <c r="N1265" i="8"/>
  <c r="O1265" i="8" s="1"/>
  <c r="N1266" i="8"/>
  <c r="O1266" i="8" s="1"/>
  <c r="N1267" i="8"/>
  <c r="O1267" i="8" s="1"/>
  <c r="N1268" i="8"/>
  <c r="O1268" i="8" s="1"/>
  <c r="N1269" i="8"/>
  <c r="O1269" i="8" s="1"/>
  <c r="N1270" i="8"/>
  <c r="O1270" i="8" s="1"/>
  <c r="N1271" i="8"/>
  <c r="O1271" i="8" s="1"/>
  <c r="N1272" i="8"/>
  <c r="O1272" i="8" s="1"/>
  <c r="N1273" i="8"/>
  <c r="O1273" i="8" s="1"/>
  <c r="N1274" i="8"/>
  <c r="O1274" i="8" s="1"/>
  <c r="N1275" i="8"/>
  <c r="O1275" i="8" s="1"/>
  <c r="N1276" i="8"/>
  <c r="O1276" i="8" s="1"/>
  <c r="N1277" i="8"/>
  <c r="O1277" i="8" s="1"/>
  <c r="N1278" i="8"/>
  <c r="O1278" i="8" s="1"/>
  <c r="N1279" i="8"/>
  <c r="O1279" i="8" s="1"/>
  <c r="N1280" i="8"/>
  <c r="O1280" i="8" s="1"/>
  <c r="N1281" i="8"/>
  <c r="O1281" i="8" s="1"/>
  <c r="N1282" i="8"/>
  <c r="O1282" i="8" s="1"/>
  <c r="N1283" i="8"/>
  <c r="O1283" i="8" s="1"/>
  <c r="N1284" i="8"/>
  <c r="O1284" i="8" s="1"/>
  <c r="N1285" i="8"/>
  <c r="O1285" i="8" s="1"/>
  <c r="N1286" i="8"/>
  <c r="O1286" i="8" s="1"/>
  <c r="N1287" i="8"/>
  <c r="O1287" i="8" s="1"/>
  <c r="N1288" i="8"/>
  <c r="O1288" i="8" s="1"/>
  <c r="N1289" i="8"/>
  <c r="O1289" i="8" s="1"/>
  <c r="N1290" i="8"/>
  <c r="O1290" i="8" s="1"/>
  <c r="N1291" i="8"/>
  <c r="O1291" i="8" s="1"/>
  <c r="N1292" i="8"/>
  <c r="O1292" i="8" s="1"/>
  <c r="N1293" i="8"/>
  <c r="O1293" i="8" s="1"/>
  <c r="N1294" i="8"/>
  <c r="O1294" i="8" s="1"/>
  <c r="N1295" i="8"/>
  <c r="O1295" i="8" s="1"/>
  <c r="N1296" i="8"/>
  <c r="O1296" i="8" s="1"/>
  <c r="N1297" i="8"/>
  <c r="O1297" i="8" s="1"/>
  <c r="N1298" i="8"/>
  <c r="O1298" i="8" s="1"/>
  <c r="N1299" i="8"/>
  <c r="O1299" i="8" s="1"/>
  <c r="N1300" i="8"/>
  <c r="O1300" i="8" s="1"/>
  <c r="N1301" i="8"/>
  <c r="O1301" i="8" s="1"/>
  <c r="N1302" i="8"/>
  <c r="O1302" i="8" s="1"/>
  <c r="N1303" i="8"/>
  <c r="O1303" i="8" s="1"/>
  <c r="N1304" i="8"/>
  <c r="O1304" i="8" s="1"/>
  <c r="N1305" i="8"/>
  <c r="O1305" i="8" s="1"/>
  <c r="N1306" i="8"/>
  <c r="O1306" i="8" s="1"/>
  <c r="N1307" i="8"/>
  <c r="O1307" i="8" s="1"/>
  <c r="N1308" i="8"/>
  <c r="O1308" i="8" s="1"/>
  <c r="N1309" i="8"/>
  <c r="O1309" i="8" s="1"/>
  <c r="N1310" i="8"/>
  <c r="O1310" i="8" s="1"/>
  <c r="N1311" i="8"/>
  <c r="O1311" i="8" s="1"/>
  <c r="N1312" i="8"/>
  <c r="O1312" i="8" s="1"/>
  <c r="N1313" i="8"/>
  <c r="O1313" i="8" s="1"/>
  <c r="N1314" i="8"/>
  <c r="O1314" i="8" s="1"/>
  <c r="N1315" i="8"/>
  <c r="O1315" i="8" s="1"/>
  <c r="N1316" i="8"/>
  <c r="O1316" i="8" s="1"/>
  <c r="N1317" i="8"/>
  <c r="O1317" i="8" s="1"/>
  <c r="N1318" i="8"/>
  <c r="O1318" i="8" s="1"/>
  <c r="N1319" i="8"/>
  <c r="O1319" i="8" s="1"/>
  <c r="N1320" i="8"/>
  <c r="O1320" i="8" s="1"/>
  <c r="N1321" i="8"/>
  <c r="O1321" i="8" s="1"/>
  <c r="N1322" i="8"/>
  <c r="O1322" i="8" s="1"/>
  <c r="N1323" i="8"/>
  <c r="O1323" i="8" s="1"/>
  <c r="N1324" i="8"/>
  <c r="O1324" i="8" s="1"/>
  <c r="N1325" i="8"/>
  <c r="O1325" i="8" s="1"/>
  <c r="N1326" i="8"/>
  <c r="O1326" i="8" s="1"/>
  <c r="N1327" i="8"/>
  <c r="O1327" i="8" s="1"/>
  <c r="N1328" i="8"/>
  <c r="O1328" i="8" s="1"/>
  <c r="N1329" i="8"/>
  <c r="O1329" i="8" s="1"/>
  <c r="N1330" i="8"/>
  <c r="O1330" i="8" s="1"/>
  <c r="N1331" i="8"/>
  <c r="O1331" i="8" s="1"/>
  <c r="N1332" i="8"/>
  <c r="O1332" i="8" s="1"/>
  <c r="N1333" i="8"/>
  <c r="O1333" i="8" s="1"/>
  <c r="N1334" i="8"/>
  <c r="O1334" i="8" s="1"/>
  <c r="N1335" i="8"/>
  <c r="O1335" i="8" s="1"/>
  <c r="N1336" i="8"/>
  <c r="O1336" i="8" s="1"/>
  <c r="N1337" i="8"/>
  <c r="O1337" i="8" s="1"/>
  <c r="N1338" i="8"/>
  <c r="O1338" i="8" s="1"/>
  <c r="N1339" i="8"/>
  <c r="O1339" i="8" s="1"/>
  <c r="N1340" i="8"/>
  <c r="O1340" i="8" s="1"/>
  <c r="N1341" i="8"/>
  <c r="O1341" i="8" s="1"/>
  <c r="N1342" i="8"/>
  <c r="O1342" i="8" s="1"/>
  <c r="N1343" i="8"/>
  <c r="O1343" i="8" s="1"/>
  <c r="N1344" i="8"/>
  <c r="O1344" i="8" s="1"/>
  <c r="N1345" i="8"/>
  <c r="O1345" i="8" s="1"/>
  <c r="N1346" i="8"/>
  <c r="O1346" i="8" s="1"/>
  <c r="N1347" i="8"/>
  <c r="O1347" i="8" s="1"/>
  <c r="N1348" i="8"/>
  <c r="O1348" i="8" s="1"/>
  <c r="N1349" i="8"/>
  <c r="O1349" i="8" s="1"/>
  <c r="N1350" i="8"/>
  <c r="O1350" i="8" s="1"/>
  <c r="N1351" i="8"/>
  <c r="O1351" i="8" s="1"/>
  <c r="N1352" i="8"/>
  <c r="O1352" i="8" s="1"/>
  <c r="N1353" i="8"/>
  <c r="O1353" i="8" s="1"/>
  <c r="N1354" i="8"/>
  <c r="O1354" i="8" s="1"/>
  <c r="N1355" i="8"/>
  <c r="O1355" i="8" s="1"/>
  <c r="N1356" i="8"/>
  <c r="O1356" i="8" s="1"/>
  <c r="N1357" i="8"/>
  <c r="O1357" i="8" s="1"/>
  <c r="N1358" i="8"/>
  <c r="O1358" i="8" s="1"/>
  <c r="N1359" i="8"/>
  <c r="O1359" i="8" s="1"/>
  <c r="N1360" i="8"/>
  <c r="O1360" i="8" s="1"/>
  <c r="N1361" i="8"/>
  <c r="O1361" i="8" s="1"/>
  <c r="N1362" i="8"/>
  <c r="O1362" i="8" s="1"/>
  <c r="N1363" i="8"/>
  <c r="O1363" i="8" s="1"/>
  <c r="N1364" i="8"/>
  <c r="O1364" i="8" s="1"/>
  <c r="N1365" i="8"/>
  <c r="O1365" i="8" s="1"/>
  <c r="N1366" i="8"/>
  <c r="O1366" i="8" s="1"/>
  <c r="N1367" i="8"/>
  <c r="O1367" i="8" s="1"/>
  <c r="N1368" i="8"/>
  <c r="O1368" i="8" s="1"/>
  <c r="N1369" i="8"/>
  <c r="O1369" i="8" s="1"/>
  <c r="N1370" i="8"/>
  <c r="O1370" i="8" s="1"/>
  <c r="N1371" i="8"/>
  <c r="O1371" i="8" s="1"/>
  <c r="N1372" i="8"/>
  <c r="O1372" i="8" s="1"/>
  <c r="N1373" i="8"/>
  <c r="O1373" i="8" s="1"/>
  <c r="N1374" i="8"/>
  <c r="O1374" i="8" s="1"/>
  <c r="N1375" i="8"/>
  <c r="O1375" i="8" s="1"/>
  <c r="N1376" i="8"/>
  <c r="O1376" i="8" s="1"/>
  <c r="N1377" i="8"/>
  <c r="O1377" i="8" s="1"/>
  <c r="N1378" i="8"/>
  <c r="O1378" i="8" s="1"/>
  <c r="N1379" i="8"/>
  <c r="O1379" i="8" s="1"/>
  <c r="N1380" i="8"/>
  <c r="O1380" i="8" s="1"/>
  <c r="N1381" i="8"/>
  <c r="O1381" i="8" s="1"/>
  <c r="N1382" i="8"/>
  <c r="O1382" i="8" s="1"/>
  <c r="N1383" i="8"/>
  <c r="O1383" i="8" s="1"/>
  <c r="N1384" i="8"/>
  <c r="O1384" i="8" s="1"/>
  <c r="N1385" i="8"/>
  <c r="O1385" i="8" s="1"/>
  <c r="N1386" i="8"/>
  <c r="O1386" i="8" s="1"/>
  <c r="N1387" i="8"/>
  <c r="O1387" i="8" s="1"/>
  <c r="N1388" i="8"/>
  <c r="O1388" i="8" s="1"/>
  <c r="N1389" i="8"/>
  <c r="O1389" i="8" s="1"/>
  <c r="N1390" i="8"/>
  <c r="O1390" i="8" s="1"/>
  <c r="N1391" i="8"/>
  <c r="O1391" i="8" s="1"/>
  <c r="N1392" i="8"/>
  <c r="O1392" i="8" s="1"/>
  <c r="N1393" i="8"/>
  <c r="O1393" i="8" s="1"/>
  <c r="N1394" i="8"/>
  <c r="O1394" i="8" s="1"/>
  <c r="N1395" i="8"/>
  <c r="O1395" i="8" s="1"/>
  <c r="N1396" i="8"/>
  <c r="O1396" i="8" s="1"/>
  <c r="N1397" i="8"/>
  <c r="O1397" i="8" s="1"/>
  <c r="N1398" i="8"/>
  <c r="O1398" i="8" s="1"/>
  <c r="N1399" i="8"/>
  <c r="O1399" i="8" s="1"/>
  <c r="N1400" i="8"/>
  <c r="O1400" i="8" s="1"/>
  <c r="N1401" i="8"/>
  <c r="O1401" i="8" s="1"/>
  <c r="N1402" i="8"/>
  <c r="O1402" i="8" s="1"/>
  <c r="N1403" i="8"/>
  <c r="O1403" i="8" s="1"/>
  <c r="N1404" i="8"/>
  <c r="O1404" i="8" s="1"/>
  <c r="N1405" i="8"/>
  <c r="O1405" i="8" s="1"/>
  <c r="N1406" i="8"/>
  <c r="O1406" i="8" s="1"/>
  <c r="N1407" i="8"/>
  <c r="O1407" i="8" s="1"/>
  <c r="N1408" i="8"/>
  <c r="O1408" i="8" s="1"/>
  <c r="N1409" i="8"/>
  <c r="O1409" i="8" s="1"/>
  <c r="N1410" i="8"/>
  <c r="O1410" i="8" s="1"/>
  <c r="N1411" i="8"/>
  <c r="O1411" i="8" s="1"/>
  <c r="N1412" i="8"/>
  <c r="O1412" i="8" s="1"/>
  <c r="N1413" i="8"/>
  <c r="O1413" i="8" s="1"/>
  <c r="N1414" i="8"/>
  <c r="O1414" i="8" s="1"/>
  <c r="N1415" i="8"/>
  <c r="O1415" i="8" s="1"/>
  <c r="N1416" i="8"/>
  <c r="O1416" i="8" s="1"/>
  <c r="N1417" i="8"/>
  <c r="O1417" i="8" s="1"/>
  <c r="N1418" i="8"/>
  <c r="O1418" i="8" s="1"/>
  <c r="N1419" i="8"/>
  <c r="O1419" i="8" s="1"/>
  <c r="N1420" i="8"/>
  <c r="O1420" i="8" s="1"/>
  <c r="N1421" i="8"/>
  <c r="O1421" i="8" s="1"/>
  <c r="N1422" i="8"/>
  <c r="O1422" i="8" s="1"/>
  <c r="N1423" i="8"/>
  <c r="O1423" i="8" s="1"/>
  <c r="N1424" i="8"/>
  <c r="O1424" i="8" s="1"/>
  <c r="N1425" i="8"/>
  <c r="O1425" i="8" s="1"/>
  <c r="N1426" i="8"/>
  <c r="O1426" i="8" s="1"/>
  <c r="N1427" i="8"/>
  <c r="O1427" i="8" s="1"/>
  <c r="N1428" i="8"/>
  <c r="O1428" i="8" s="1"/>
  <c r="N1429" i="8"/>
  <c r="O1429" i="8" s="1"/>
  <c r="N1430" i="8"/>
  <c r="O1430" i="8" s="1"/>
  <c r="N1431" i="8"/>
  <c r="O1431" i="8" s="1"/>
  <c r="N1432" i="8"/>
  <c r="O1432" i="8" s="1"/>
  <c r="N1433" i="8"/>
  <c r="O1433" i="8" s="1"/>
  <c r="N1434" i="8"/>
  <c r="O1434" i="8" s="1"/>
  <c r="N1435" i="8"/>
  <c r="O1435" i="8" s="1"/>
  <c r="N1436" i="8"/>
  <c r="O1436" i="8" s="1"/>
  <c r="N1437" i="8"/>
  <c r="O1437" i="8" s="1"/>
  <c r="N1438" i="8"/>
  <c r="O1438" i="8" s="1"/>
  <c r="N1439" i="8"/>
  <c r="O1439" i="8" s="1"/>
  <c r="N1440" i="8"/>
  <c r="O1440" i="8" s="1"/>
  <c r="N1441" i="8"/>
  <c r="O1441" i="8" s="1"/>
  <c r="N1442" i="8"/>
  <c r="O1442" i="8" s="1"/>
  <c r="N1443" i="8"/>
  <c r="O1443" i="8" s="1"/>
  <c r="N1444" i="8"/>
  <c r="O1444" i="8" s="1"/>
  <c r="N1445" i="8"/>
  <c r="O1445" i="8" s="1"/>
  <c r="N1446" i="8"/>
  <c r="O1446" i="8" s="1"/>
  <c r="N1447" i="8"/>
  <c r="O1447" i="8" s="1"/>
  <c r="N1448" i="8"/>
  <c r="O1448" i="8" s="1"/>
  <c r="N1449" i="8"/>
  <c r="O1449" i="8" s="1"/>
  <c r="N1450" i="8"/>
  <c r="O1450" i="8" s="1"/>
  <c r="N1451" i="8"/>
  <c r="O1451" i="8" s="1"/>
  <c r="N1452" i="8"/>
  <c r="O1452" i="8" s="1"/>
  <c r="N1453" i="8"/>
  <c r="O1453" i="8" s="1"/>
  <c r="N1454" i="8"/>
  <c r="O1454" i="8" s="1"/>
  <c r="N1455" i="8"/>
  <c r="O1455" i="8" s="1"/>
  <c r="N1456" i="8"/>
  <c r="O1456" i="8" s="1"/>
  <c r="N1457" i="8"/>
  <c r="O1457" i="8" s="1"/>
  <c r="N1458" i="8"/>
  <c r="O1458" i="8" s="1"/>
  <c r="N1459" i="8"/>
  <c r="O1459" i="8" s="1"/>
  <c r="N1460" i="8"/>
  <c r="O1460" i="8" s="1"/>
  <c r="N1461" i="8"/>
  <c r="O1461" i="8" s="1"/>
  <c r="N1462" i="8"/>
  <c r="O1462" i="8" s="1"/>
  <c r="N1463" i="8"/>
  <c r="O1463" i="8" s="1"/>
  <c r="N1464" i="8"/>
  <c r="O1464" i="8" s="1"/>
  <c r="N1465" i="8"/>
  <c r="O1465" i="8" s="1"/>
  <c r="N1466" i="8"/>
  <c r="O1466" i="8" s="1"/>
  <c r="N1467" i="8"/>
  <c r="O1467" i="8" s="1"/>
  <c r="N1468" i="8"/>
  <c r="O1468" i="8" s="1"/>
  <c r="N1469" i="8"/>
  <c r="O1469" i="8" s="1"/>
  <c r="N1470" i="8"/>
  <c r="O1470" i="8" s="1"/>
  <c r="N1471" i="8"/>
  <c r="O1471" i="8" s="1"/>
  <c r="N1472" i="8"/>
  <c r="O1472" i="8" s="1"/>
  <c r="N1473" i="8"/>
  <c r="O1473" i="8" s="1"/>
  <c r="N1474" i="8"/>
  <c r="O1474" i="8" s="1"/>
  <c r="N1475" i="8"/>
  <c r="O1475" i="8" s="1"/>
  <c r="N1476" i="8"/>
  <c r="O1476" i="8" s="1"/>
  <c r="N1477" i="8"/>
  <c r="O1477" i="8" s="1"/>
  <c r="N1478" i="8"/>
  <c r="O1478" i="8" s="1"/>
  <c r="N1479" i="8"/>
  <c r="O1479" i="8" s="1"/>
  <c r="N1480" i="8"/>
  <c r="O1480" i="8" s="1"/>
  <c r="N1481" i="8"/>
  <c r="O1481" i="8" s="1"/>
  <c r="N1482" i="8"/>
  <c r="O1482" i="8" s="1"/>
  <c r="N1483" i="8"/>
  <c r="O1483" i="8" s="1"/>
  <c r="N1484" i="8"/>
  <c r="O1484" i="8" s="1"/>
  <c r="N1485" i="8"/>
  <c r="O1485" i="8" s="1"/>
  <c r="N1486" i="8"/>
  <c r="O1486" i="8" s="1"/>
  <c r="N1487" i="8"/>
  <c r="O1487" i="8" s="1"/>
  <c r="N1488" i="8"/>
  <c r="O1488" i="8" s="1"/>
  <c r="N1489" i="8"/>
  <c r="O1489" i="8" s="1"/>
  <c r="N1490" i="8"/>
  <c r="O1490" i="8" s="1"/>
  <c r="N1491" i="8"/>
  <c r="O1491" i="8" s="1"/>
  <c r="N1492" i="8"/>
  <c r="O1492" i="8" s="1"/>
  <c r="N1493" i="8"/>
  <c r="O1493" i="8" s="1"/>
  <c r="N1494" i="8"/>
  <c r="O1494" i="8" s="1"/>
  <c r="N1495" i="8"/>
  <c r="O1495" i="8" s="1"/>
  <c r="N1496" i="8"/>
  <c r="O1496" i="8" s="1"/>
  <c r="N1497" i="8"/>
  <c r="O1497" i="8" s="1"/>
  <c r="N1498" i="8"/>
  <c r="O1498" i="8" s="1"/>
  <c r="N1499" i="8"/>
  <c r="O1499" i="8" s="1"/>
  <c r="N1500" i="8"/>
  <c r="O1500" i="8" s="1"/>
  <c r="N1501" i="8"/>
  <c r="O1501" i="8" s="1"/>
  <c r="N1502" i="8"/>
  <c r="O1502" i="8" s="1"/>
  <c r="N1503" i="8"/>
  <c r="O1503" i="8" s="1"/>
  <c r="N1504" i="8"/>
  <c r="O1504" i="8" s="1"/>
  <c r="N1505" i="8"/>
  <c r="O1505" i="8" s="1"/>
  <c r="N1506" i="8"/>
  <c r="O1506" i="8" s="1"/>
  <c r="N1507" i="8"/>
  <c r="O1507" i="8" s="1"/>
  <c r="N1508" i="8"/>
  <c r="O1508" i="8" s="1"/>
  <c r="N1509" i="8"/>
  <c r="O1509" i="8" s="1"/>
  <c r="N1510" i="8"/>
  <c r="O1510" i="8" s="1"/>
  <c r="N1511" i="8"/>
  <c r="O1511" i="8" s="1"/>
  <c r="N1512" i="8"/>
  <c r="O1512" i="8" s="1"/>
  <c r="N1513" i="8"/>
  <c r="O1513" i="8" s="1"/>
  <c r="N1514" i="8"/>
  <c r="O1514" i="8" s="1"/>
  <c r="N1515" i="8"/>
  <c r="O1515" i="8" s="1"/>
  <c r="N1516" i="8"/>
  <c r="O1516" i="8" s="1"/>
  <c r="N1517" i="8"/>
  <c r="O1517" i="8" s="1"/>
  <c r="N1518" i="8"/>
  <c r="O1518" i="8" s="1"/>
  <c r="N1519" i="8"/>
  <c r="O1519" i="8" s="1"/>
  <c r="N1520" i="8"/>
  <c r="O1520" i="8" s="1"/>
  <c r="N1521" i="8"/>
  <c r="O1521" i="8" s="1"/>
  <c r="N1522" i="8"/>
  <c r="O1522" i="8" s="1"/>
  <c r="N1523" i="8"/>
  <c r="O1523" i="8" s="1"/>
  <c r="N1524" i="8"/>
  <c r="O1524" i="8" s="1"/>
  <c r="N1525" i="8"/>
  <c r="O1525" i="8" s="1"/>
  <c r="N1526" i="8"/>
  <c r="O1526" i="8" s="1"/>
  <c r="N1527" i="8"/>
  <c r="O1527" i="8" s="1"/>
  <c r="N1528" i="8"/>
  <c r="O1528" i="8" s="1"/>
  <c r="N1529" i="8"/>
  <c r="O1529" i="8" s="1"/>
  <c r="N1530" i="8"/>
  <c r="O1530" i="8" s="1"/>
  <c r="N1531" i="8"/>
  <c r="O1531" i="8" s="1"/>
  <c r="N1532" i="8"/>
  <c r="O1532" i="8" s="1"/>
  <c r="N1533" i="8"/>
  <c r="O1533" i="8" s="1"/>
  <c r="N1534" i="8"/>
  <c r="O1534" i="8" s="1"/>
  <c r="N1535" i="8"/>
  <c r="O1535" i="8" s="1"/>
  <c r="N1536" i="8"/>
  <c r="O1536" i="8" s="1"/>
  <c r="N1537" i="8"/>
  <c r="O1537" i="8" s="1"/>
  <c r="N1538" i="8"/>
  <c r="O1538" i="8" s="1"/>
  <c r="N1539" i="8"/>
  <c r="O1539" i="8" s="1"/>
  <c r="N1540" i="8"/>
  <c r="O1540" i="8" s="1"/>
  <c r="N1541" i="8"/>
  <c r="O1541" i="8" s="1"/>
  <c r="N1542" i="8"/>
  <c r="O1542" i="8" s="1"/>
  <c r="N1543" i="8"/>
  <c r="O1543" i="8" s="1"/>
  <c r="N1544" i="8"/>
  <c r="O1544" i="8" s="1"/>
  <c r="N1545" i="8"/>
  <c r="O1545" i="8" s="1"/>
  <c r="N1546" i="8"/>
  <c r="O1546" i="8" s="1"/>
  <c r="N1547" i="8"/>
  <c r="O1547" i="8" s="1"/>
  <c r="N1548" i="8"/>
  <c r="O1548" i="8" s="1"/>
  <c r="N1549" i="8"/>
  <c r="O1549" i="8" s="1"/>
  <c r="N1550" i="8"/>
  <c r="O1550" i="8" s="1"/>
  <c r="N1551" i="8"/>
  <c r="O1551" i="8" s="1"/>
  <c r="N1552" i="8"/>
  <c r="O1552" i="8" s="1"/>
  <c r="N1553" i="8"/>
  <c r="O1553" i="8" s="1"/>
  <c r="N1554" i="8"/>
  <c r="O1554" i="8" s="1"/>
  <c r="N1555" i="8"/>
  <c r="O1555" i="8" s="1"/>
  <c r="N1556" i="8"/>
  <c r="O1556" i="8" s="1"/>
  <c r="N1557" i="8"/>
  <c r="O1557" i="8" s="1"/>
  <c r="N1558" i="8"/>
  <c r="O1558" i="8" s="1"/>
  <c r="N1559" i="8"/>
  <c r="O1559" i="8" s="1"/>
  <c r="N1560" i="8"/>
  <c r="O1560" i="8" s="1"/>
  <c r="N1561" i="8"/>
  <c r="O1561" i="8" s="1"/>
  <c r="N1562" i="8"/>
  <c r="O1562" i="8" s="1"/>
  <c r="N1563" i="8"/>
  <c r="O1563" i="8" s="1"/>
  <c r="N1564" i="8"/>
  <c r="O1564" i="8" s="1"/>
  <c r="N1565" i="8"/>
  <c r="O1565" i="8" s="1"/>
  <c r="N1566" i="8"/>
  <c r="O1566" i="8" s="1"/>
  <c r="N1567" i="8"/>
  <c r="O1567" i="8" s="1"/>
  <c r="N1568" i="8"/>
  <c r="O1568" i="8" s="1"/>
  <c r="N1569" i="8"/>
  <c r="O1569" i="8" s="1"/>
  <c r="N1570" i="8"/>
  <c r="O1570" i="8" s="1"/>
  <c r="N1571" i="8"/>
  <c r="O1571" i="8" s="1"/>
  <c r="N1572" i="8"/>
  <c r="O1572" i="8" s="1"/>
  <c r="N1573" i="8"/>
  <c r="O1573" i="8" s="1"/>
  <c r="N1574" i="8"/>
  <c r="O1574" i="8" s="1"/>
  <c r="N1575" i="8"/>
  <c r="O1575" i="8" s="1"/>
  <c r="N1576" i="8"/>
  <c r="O1576" i="8" s="1"/>
  <c r="N1577" i="8"/>
  <c r="O1577" i="8" s="1"/>
  <c r="N1578" i="8"/>
  <c r="O1578" i="8" s="1"/>
  <c r="N1579" i="8"/>
  <c r="O1579" i="8" s="1"/>
  <c r="N1580" i="8"/>
  <c r="O1580" i="8" s="1"/>
  <c r="N1581" i="8"/>
  <c r="O1581" i="8" s="1"/>
  <c r="N1582" i="8"/>
  <c r="O1582" i="8" s="1"/>
  <c r="N1583" i="8"/>
  <c r="O1583" i="8" s="1"/>
  <c r="N1584" i="8"/>
  <c r="O1584" i="8" s="1"/>
  <c r="N1585" i="8"/>
  <c r="O1585" i="8" s="1"/>
  <c r="N1586" i="8"/>
  <c r="O1586" i="8" s="1"/>
  <c r="N1587" i="8"/>
  <c r="O1587" i="8" s="1"/>
  <c r="N1588" i="8"/>
  <c r="O1588" i="8" s="1"/>
  <c r="N1589" i="8"/>
  <c r="O1589" i="8" s="1"/>
  <c r="N1590" i="8"/>
  <c r="O1590" i="8" s="1"/>
  <c r="N1591" i="8"/>
  <c r="O1591" i="8" s="1"/>
  <c r="N1592" i="8"/>
  <c r="O1592" i="8" s="1"/>
  <c r="N1593" i="8"/>
  <c r="O1593" i="8" s="1"/>
  <c r="N1594" i="8"/>
  <c r="O1594" i="8" s="1"/>
  <c r="N1595" i="8"/>
  <c r="O1595" i="8" s="1"/>
  <c r="N1596" i="8"/>
  <c r="O1596" i="8" s="1"/>
  <c r="N1597" i="8"/>
  <c r="O1597" i="8" s="1"/>
  <c r="N1598" i="8"/>
  <c r="O1598" i="8" s="1"/>
  <c r="N1599" i="8"/>
  <c r="O1599" i="8" s="1"/>
  <c r="N1600" i="8"/>
  <c r="O1600" i="8" s="1"/>
  <c r="N1601" i="8"/>
  <c r="O1601" i="8" s="1"/>
  <c r="N1602" i="8"/>
  <c r="O1602" i="8" s="1"/>
  <c r="N1603" i="8"/>
  <c r="O1603" i="8" s="1"/>
  <c r="N1604" i="8"/>
  <c r="O1604" i="8" s="1"/>
  <c r="N1605" i="8"/>
  <c r="O1605" i="8" s="1"/>
  <c r="N1606" i="8"/>
  <c r="O1606" i="8" s="1"/>
  <c r="N1607" i="8"/>
  <c r="O1607" i="8" s="1"/>
  <c r="N1608" i="8"/>
  <c r="O1608" i="8" s="1"/>
  <c r="N1609" i="8"/>
  <c r="O1609" i="8" s="1"/>
  <c r="N1610" i="8"/>
  <c r="O1610" i="8" s="1"/>
  <c r="N1611" i="8"/>
  <c r="O1611" i="8" s="1"/>
  <c r="N1612" i="8"/>
  <c r="O1612" i="8" s="1"/>
  <c r="N1613" i="8"/>
  <c r="O1613" i="8" s="1"/>
  <c r="N1614" i="8"/>
  <c r="O1614" i="8" s="1"/>
  <c r="N1615" i="8"/>
  <c r="O1615" i="8" s="1"/>
  <c r="N1616" i="8"/>
  <c r="O1616" i="8" s="1"/>
  <c r="N1617" i="8"/>
  <c r="O1617" i="8" s="1"/>
  <c r="N1618" i="8"/>
  <c r="O1618" i="8" s="1"/>
  <c r="N1619" i="8"/>
  <c r="O1619" i="8" s="1"/>
  <c r="N1620" i="8"/>
  <c r="O1620" i="8" s="1"/>
  <c r="N1621" i="8"/>
  <c r="O1621" i="8" s="1"/>
  <c r="N1622" i="8"/>
  <c r="O1622" i="8" s="1"/>
  <c r="N1623" i="8"/>
  <c r="O1623" i="8" s="1"/>
  <c r="N1624" i="8"/>
  <c r="O1624" i="8" s="1"/>
  <c r="N1625" i="8"/>
  <c r="O1625" i="8" s="1"/>
  <c r="N1626" i="8"/>
  <c r="O1626" i="8" s="1"/>
  <c r="N1627" i="8"/>
  <c r="O1627" i="8" s="1"/>
  <c r="N1628" i="8"/>
  <c r="O1628" i="8" s="1"/>
  <c r="N1629" i="8"/>
  <c r="O1629" i="8" s="1"/>
  <c r="N1630" i="8"/>
  <c r="O1630" i="8" s="1"/>
  <c r="N1631" i="8"/>
  <c r="O1631" i="8" s="1"/>
  <c r="N1632" i="8"/>
  <c r="O1632" i="8" s="1"/>
  <c r="N1633" i="8"/>
  <c r="O1633" i="8" s="1"/>
  <c r="N1634" i="8"/>
  <c r="O1634" i="8" s="1"/>
  <c r="N1635" i="8"/>
  <c r="O1635" i="8" s="1"/>
  <c r="N1636" i="8"/>
  <c r="O1636" i="8" s="1"/>
  <c r="N1637" i="8"/>
  <c r="O1637" i="8" s="1"/>
  <c r="N1638" i="8"/>
  <c r="O1638" i="8" s="1"/>
  <c r="N1639" i="8"/>
  <c r="O1639" i="8" s="1"/>
  <c r="N1640" i="8"/>
  <c r="O1640" i="8" s="1"/>
  <c r="N1641" i="8"/>
  <c r="O1641" i="8" s="1"/>
  <c r="N1642" i="8"/>
  <c r="O1642" i="8" s="1"/>
  <c r="N1643" i="8"/>
  <c r="O1643" i="8" s="1"/>
  <c r="N1644" i="8"/>
  <c r="O1644" i="8" s="1"/>
  <c r="N1645" i="8"/>
  <c r="O1645" i="8" s="1"/>
  <c r="N1646" i="8"/>
  <c r="O1646" i="8" s="1"/>
  <c r="N1647" i="8"/>
  <c r="O1647" i="8" s="1"/>
  <c r="N1648" i="8"/>
  <c r="O1648" i="8" s="1"/>
  <c r="N1649" i="8"/>
  <c r="O1649" i="8" s="1"/>
  <c r="N1650" i="8"/>
  <c r="O1650" i="8" s="1"/>
  <c r="N1651" i="8"/>
  <c r="O1651" i="8" s="1"/>
  <c r="N1652" i="8"/>
  <c r="O1652" i="8" s="1"/>
  <c r="N1653" i="8"/>
  <c r="O1653" i="8" s="1"/>
  <c r="N1654" i="8"/>
  <c r="O1654" i="8" s="1"/>
  <c r="N1655" i="8"/>
  <c r="O1655" i="8" s="1"/>
  <c r="N1656" i="8"/>
  <c r="O1656" i="8" s="1"/>
  <c r="N1657" i="8"/>
  <c r="O1657" i="8" s="1"/>
  <c r="N1658" i="8"/>
  <c r="O1658" i="8" s="1"/>
  <c r="N1659" i="8"/>
  <c r="O1659" i="8" s="1"/>
  <c r="N1660" i="8"/>
  <c r="O1660" i="8" s="1"/>
  <c r="N1661" i="8"/>
  <c r="O1661" i="8" s="1"/>
  <c r="N1662" i="8"/>
  <c r="O1662" i="8" s="1"/>
  <c r="N1663" i="8"/>
  <c r="O1663" i="8" s="1"/>
  <c r="N1664" i="8"/>
  <c r="O1664" i="8" s="1"/>
  <c r="N1665" i="8"/>
  <c r="O1665" i="8" s="1"/>
  <c r="N1666" i="8"/>
  <c r="O1666" i="8" s="1"/>
  <c r="N1667" i="8"/>
  <c r="O1667" i="8" s="1"/>
  <c r="N1668" i="8"/>
  <c r="O1668" i="8" s="1"/>
  <c r="N1669" i="8"/>
  <c r="O1669" i="8" s="1"/>
  <c r="N1670" i="8"/>
  <c r="O1670" i="8" s="1"/>
  <c r="N1671" i="8"/>
  <c r="O1671" i="8" s="1"/>
  <c r="N1672" i="8"/>
  <c r="O1672" i="8" s="1"/>
  <c r="N1673" i="8"/>
  <c r="O1673" i="8" s="1"/>
  <c r="N1674" i="8"/>
  <c r="O1674" i="8" s="1"/>
  <c r="N1675" i="8"/>
  <c r="O1675" i="8" s="1"/>
  <c r="N1676" i="8"/>
  <c r="O1676" i="8" s="1"/>
  <c r="N1677" i="8"/>
  <c r="O1677" i="8" s="1"/>
  <c r="N1678" i="8"/>
  <c r="O1678" i="8" s="1"/>
  <c r="N1679" i="8"/>
  <c r="O1679" i="8" s="1"/>
  <c r="N1680" i="8"/>
  <c r="O1680" i="8" s="1"/>
  <c r="N1681" i="8"/>
  <c r="O1681" i="8" s="1"/>
  <c r="N1682" i="8"/>
  <c r="O1682" i="8" s="1"/>
  <c r="N1683" i="8"/>
  <c r="O1683" i="8" s="1"/>
  <c r="N1684" i="8"/>
  <c r="O1684" i="8" s="1"/>
  <c r="N1685" i="8"/>
  <c r="O1685" i="8" s="1"/>
  <c r="N1686" i="8"/>
  <c r="O1686" i="8" s="1"/>
  <c r="N1687" i="8"/>
  <c r="O1687" i="8" s="1"/>
  <c r="N1688" i="8"/>
  <c r="O1688" i="8" s="1"/>
  <c r="N1689" i="8"/>
  <c r="O1689" i="8" s="1"/>
  <c r="N1690" i="8"/>
  <c r="O1690" i="8" s="1"/>
  <c r="N1691" i="8"/>
  <c r="O1691" i="8" s="1"/>
  <c r="N1692" i="8"/>
  <c r="O1692" i="8" s="1"/>
  <c r="N1693" i="8"/>
  <c r="O1693" i="8" s="1"/>
  <c r="N1694" i="8"/>
  <c r="O1694" i="8" s="1"/>
  <c r="N1695" i="8"/>
  <c r="O1695" i="8" s="1"/>
  <c r="N1696" i="8"/>
  <c r="O1696" i="8" s="1"/>
  <c r="N1697" i="8"/>
  <c r="O1697" i="8" s="1"/>
  <c r="N1698" i="8"/>
  <c r="O1698" i="8" s="1"/>
  <c r="N1699" i="8"/>
  <c r="O1699" i="8" s="1"/>
  <c r="N1700" i="8"/>
  <c r="O1700" i="8" s="1"/>
  <c r="N1701" i="8"/>
  <c r="O1701" i="8" s="1"/>
  <c r="N1702" i="8"/>
  <c r="O1702" i="8" s="1"/>
  <c r="N1703" i="8"/>
  <c r="O1703" i="8" s="1"/>
  <c r="N1704" i="8"/>
  <c r="O1704" i="8" s="1"/>
  <c r="N1705" i="8"/>
  <c r="O1705" i="8" s="1"/>
  <c r="N1706" i="8"/>
  <c r="O1706" i="8" s="1"/>
  <c r="N1707" i="8"/>
  <c r="O1707" i="8" s="1"/>
  <c r="N1708" i="8"/>
  <c r="O1708" i="8" s="1"/>
  <c r="N1709" i="8"/>
  <c r="O1709" i="8" s="1"/>
  <c r="N1710" i="8"/>
  <c r="O1710" i="8" s="1"/>
  <c r="N1711" i="8"/>
  <c r="O1711" i="8" s="1"/>
  <c r="N1712" i="8"/>
  <c r="O1712" i="8" s="1"/>
  <c r="N1713" i="8"/>
  <c r="O1713" i="8" s="1"/>
  <c r="N1714" i="8"/>
  <c r="O1714" i="8" s="1"/>
  <c r="N1715" i="8"/>
  <c r="O1715" i="8" s="1"/>
  <c r="N1716" i="8"/>
  <c r="O1716" i="8" s="1"/>
  <c r="N1717" i="8"/>
  <c r="O1717" i="8" s="1"/>
  <c r="N1718" i="8"/>
  <c r="O1718" i="8" s="1"/>
  <c r="N1719" i="8"/>
  <c r="O1719" i="8" s="1"/>
  <c r="N1720" i="8"/>
  <c r="O1720" i="8" s="1"/>
  <c r="N1721" i="8"/>
  <c r="O1721" i="8" s="1"/>
  <c r="N1722" i="8"/>
  <c r="O1722" i="8" s="1"/>
  <c r="N1723" i="8"/>
  <c r="O1723" i="8" s="1"/>
  <c r="N1724" i="8"/>
  <c r="O1724" i="8" s="1"/>
  <c r="N1725" i="8"/>
  <c r="O1725" i="8" s="1"/>
  <c r="N1726" i="8"/>
  <c r="O1726" i="8" s="1"/>
  <c r="N1727" i="8"/>
  <c r="O1727" i="8" s="1"/>
  <c r="N1728" i="8"/>
  <c r="O1728" i="8" s="1"/>
  <c r="N1729" i="8"/>
  <c r="O1729" i="8" s="1"/>
  <c r="N1730" i="8"/>
  <c r="O1730" i="8" s="1"/>
  <c r="N1731" i="8"/>
  <c r="O1731" i="8" s="1"/>
  <c r="N1732" i="8"/>
  <c r="O1732" i="8" s="1"/>
  <c r="N1733" i="8"/>
  <c r="O1733" i="8" s="1"/>
  <c r="N1734" i="8"/>
  <c r="O1734" i="8" s="1"/>
  <c r="N1735" i="8"/>
  <c r="O1735" i="8" s="1"/>
  <c r="N1736" i="8"/>
  <c r="O1736" i="8" s="1"/>
  <c r="N1737" i="8"/>
  <c r="O1737" i="8" s="1"/>
  <c r="N1738" i="8"/>
  <c r="O1738" i="8" s="1"/>
  <c r="N1739" i="8"/>
  <c r="O1739" i="8" s="1"/>
  <c r="N1740" i="8"/>
  <c r="O1740" i="8" s="1"/>
  <c r="N1741" i="8"/>
  <c r="O1741" i="8" s="1"/>
  <c r="N1742" i="8"/>
  <c r="O1742" i="8" s="1"/>
  <c r="N1743" i="8"/>
  <c r="O1743" i="8" s="1"/>
  <c r="N1744" i="8"/>
  <c r="O1744" i="8" s="1"/>
  <c r="N1745" i="8"/>
  <c r="O1745" i="8" s="1"/>
  <c r="N1746" i="8"/>
  <c r="O1746" i="8" s="1"/>
  <c r="N1747" i="8"/>
  <c r="O1747" i="8" s="1"/>
  <c r="N1748" i="8"/>
  <c r="O1748" i="8" s="1"/>
  <c r="N1749" i="8"/>
  <c r="O1749" i="8" s="1"/>
  <c r="N1750" i="8"/>
  <c r="O1750" i="8" s="1"/>
  <c r="N1751" i="8"/>
  <c r="O1751" i="8" s="1"/>
  <c r="N1752" i="8"/>
  <c r="O1752" i="8" s="1"/>
  <c r="N1753" i="8"/>
  <c r="O1753" i="8" s="1"/>
  <c r="N1754" i="8"/>
  <c r="O1754" i="8" s="1"/>
  <c r="N1755" i="8"/>
  <c r="O1755" i="8" s="1"/>
  <c r="N1756" i="8"/>
  <c r="O1756" i="8" s="1"/>
  <c r="N1757" i="8"/>
  <c r="O1757" i="8" s="1"/>
  <c r="N1758" i="8"/>
  <c r="O1758" i="8" s="1"/>
  <c r="N1759" i="8"/>
  <c r="O1759" i="8" s="1"/>
  <c r="N1760" i="8"/>
  <c r="O1760" i="8" s="1"/>
  <c r="N1761" i="8"/>
  <c r="O1761" i="8" s="1"/>
  <c r="N1762" i="8"/>
  <c r="O1762" i="8" s="1"/>
  <c r="N1763" i="8"/>
  <c r="O1763" i="8" s="1"/>
  <c r="N1764" i="8"/>
  <c r="O1764" i="8" s="1"/>
  <c r="N1765" i="8"/>
  <c r="O1765" i="8" s="1"/>
  <c r="N1766" i="8"/>
  <c r="O1766" i="8" s="1"/>
  <c r="N1767" i="8"/>
  <c r="O1767" i="8" s="1"/>
  <c r="N1768" i="8"/>
  <c r="O1768" i="8" s="1"/>
  <c r="N1769" i="8"/>
  <c r="O1769" i="8" s="1"/>
  <c r="N1770" i="8"/>
  <c r="O1770" i="8" s="1"/>
  <c r="N1771" i="8"/>
  <c r="O1771" i="8" s="1"/>
  <c r="N1772" i="8"/>
  <c r="O1772" i="8" s="1"/>
  <c r="N1773" i="8"/>
  <c r="O1773" i="8" s="1"/>
  <c r="N1774" i="8"/>
  <c r="O1774" i="8" s="1"/>
  <c r="N1775" i="8"/>
  <c r="O1775" i="8" s="1"/>
  <c r="N1776" i="8"/>
  <c r="O1776" i="8" s="1"/>
  <c r="N1777" i="8"/>
  <c r="O1777" i="8" s="1"/>
  <c r="N1778" i="8"/>
  <c r="O1778" i="8" s="1"/>
  <c r="N1779" i="8"/>
  <c r="O1779" i="8" s="1"/>
  <c r="N1780" i="8"/>
  <c r="O1780" i="8" s="1"/>
  <c r="N1781" i="8"/>
  <c r="O1781" i="8" s="1"/>
  <c r="N1782" i="8"/>
  <c r="O1782" i="8" s="1"/>
  <c r="N1783" i="8"/>
  <c r="O1783" i="8" s="1"/>
  <c r="N1784" i="8"/>
  <c r="O1784" i="8" s="1"/>
  <c r="N1785" i="8"/>
  <c r="O1785" i="8" s="1"/>
  <c r="N1786" i="8"/>
  <c r="O1786" i="8" s="1"/>
  <c r="N1787" i="8"/>
  <c r="O1787" i="8" s="1"/>
  <c r="N1788" i="8"/>
  <c r="O1788" i="8" s="1"/>
  <c r="N1789" i="8"/>
  <c r="O1789" i="8" s="1"/>
  <c r="N1790" i="8"/>
  <c r="O1790" i="8" s="1"/>
  <c r="N1791" i="8"/>
  <c r="O1791" i="8" s="1"/>
  <c r="N1792" i="8"/>
  <c r="O1792" i="8" s="1"/>
  <c r="N1793" i="8"/>
  <c r="O1793" i="8" s="1"/>
  <c r="N1794" i="8"/>
  <c r="O1794" i="8" s="1"/>
  <c r="N1795" i="8"/>
  <c r="O1795" i="8" s="1"/>
  <c r="N1796" i="8"/>
  <c r="O1796" i="8" s="1"/>
  <c r="N1797" i="8"/>
  <c r="O1797" i="8" s="1"/>
  <c r="N1798" i="8"/>
  <c r="O1798" i="8" s="1"/>
  <c r="N1799" i="8"/>
  <c r="O1799" i="8" s="1"/>
  <c r="N1800" i="8"/>
  <c r="O1800" i="8" s="1"/>
  <c r="N1801" i="8"/>
  <c r="O1801" i="8" s="1"/>
  <c r="N1802" i="8"/>
  <c r="O1802" i="8" s="1"/>
  <c r="N1803" i="8"/>
  <c r="O1803" i="8" s="1"/>
  <c r="N1804" i="8"/>
  <c r="O1804" i="8" s="1"/>
  <c r="N1805" i="8"/>
  <c r="O1805" i="8" s="1"/>
  <c r="N1806" i="8"/>
  <c r="O1806" i="8" s="1"/>
  <c r="N1807" i="8"/>
  <c r="O1807" i="8" s="1"/>
  <c r="N1808" i="8"/>
  <c r="O1808" i="8" s="1"/>
  <c r="N1809" i="8"/>
  <c r="O1809" i="8" s="1"/>
  <c r="N1810" i="8"/>
  <c r="O1810" i="8" s="1"/>
  <c r="N1811" i="8"/>
  <c r="O1811" i="8" s="1"/>
  <c r="N1812" i="8"/>
  <c r="O1812" i="8" s="1"/>
  <c r="N1813" i="8"/>
  <c r="O1813" i="8" s="1"/>
  <c r="N1814" i="8"/>
  <c r="O1814" i="8" s="1"/>
  <c r="N1815" i="8"/>
  <c r="O1815" i="8" s="1"/>
  <c r="N1816" i="8"/>
  <c r="O1816" i="8" s="1"/>
  <c r="N1817" i="8"/>
  <c r="O1817" i="8" s="1"/>
  <c r="N1818" i="8"/>
  <c r="O1818" i="8" s="1"/>
  <c r="N1819" i="8"/>
  <c r="O1819" i="8" s="1"/>
  <c r="N1820" i="8"/>
  <c r="O1820" i="8" s="1"/>
  <c r="N1821" i="8"/>
  <c r="O1821" i="8" s="1"/>
  <c r="N1822" i="8"/>
  <c r="O1822" i="8" s="1"/>
  <c r="N1823" i="8"/>
  <c r="O1823" i="8" s="1"/>
  <c r="N1824" i="8"/>
  <c r="O1824" i="8" s="1"/>
  <c r="N1825" i="8"/>
  <c r="O1825" i="8" s="1"/>
  <c r="N1826" i="8"/>
  <c r="O1826" i="8" s="1"/>
  <c r="N1827" i="8"/>
  <c r="O1827" i="8" s="1"/>
  <c r="N1828" i="8"/>
  <c r="O1828" i="8" s="1"/>
  <c r="N1829" i="8"/>
  <c r="O1829" i="8" s="1"/>
  <c r="N1830" i="8"/>
  <c r="O1830" i="8" s="1"/>
  <c r="N1831" i="8"/>
  <c r="O1831" i="8" s="1"/>
  <c r="N1832" i="8"/>
  <c r="O1832" i="8" s="1"/>
  <c r="N1833" i="8"/>
  <c r="O1833" i="8" s="1"/>
  <c r="N1834" i="8"/>
  <c r="O1834" i="8" s="1"/>
  <c r="N1835" i="8"/>
  <c r="O1835" i="8" s="1"/>
  <c r="N1836" i="8"/>
  <c r="O1836" i="8" s="1"/>
  <c r="N1837" i="8"/>
  <c r="O1837" i="8" s="1"/>
  <c r="N1838" i="8"/>
  <c r="O1838" i="8" s="1"/>
  <c r="N1839" i="8"/>
  <c r="O1839" i="8" s="1"/>
  <c r="N1840" i="8"/>
  <c r="O1840" i="8" s="1"/>
  <c r="N1841" i="8"/>
  <c r="O1841" i="8" s="1"/>
  <c r="N1842" i="8"/>
  <c r="O1842" i="8" s="1"/>
  <c r="N1843" i="8"/>
  <c r="O1843" i="8" s="1"/>
  <c r="N1844" i="8"/>
  <c r="O1844" i="8" s="1"/>
  <c r="N1845" i="8"/>
  <c r="O1845" i="8" s="1"/>
  <c r="N1846" i="8"/>
  <c r="O1846" i="8" s="1"/>
  <c r="N1847" i="8"/>
  <c r="O1847" i="8" s="1"/>
  <c r="N1848" i="8"/>
  <c r="O1848" i="8" s="1"/>
  <c r="N1849" i="8"/>
  <c r="O1849" i="8" s="1"/>
  <c r="N1850" i="8"/>
  <c r="O1850" i="8" s="1"/>
  <c r="N1851" i="8"/>
  <c r="O1851" i="8" s="1"/>
  <c r="N1852" i="8"/>
  <c r="O1852" i="8" s="1"/>
  <c r="N1853" i="8"/>
  <c r="O1853" i="8" s="1"/>
  <c r="N1854" i="8"/>
  <c r="O1854" i="8" s="1"/>
  <c r="N1855" i="8"/>
  <c r="O1855" i="8" s="1"/>
  <c r="N1856" i="8"/>
  <c r="O1856" i="8" s="1"/>
  <c r="N1857" i="8"/>
  <c r="O1857" i="8" s="1"/>
  <c r="N1858" i="8"/>
  <c r="O1858" i="8" s="1"/>
  <c r="N1859" i="8"/>
  <c r="O1859" i="8" s="1"/>
  <c r="N1860" i="8"/>
  <c r="O1860" i="8" s="1"/>
  <c r="N1861" i="8"/>
  <c r="O1861" i="8" s="1"/>
  <c r="N1862" i="8"/>
  <c r="O1862" i="8" s="1"/>
  <c r="N1863" i="8"/>
  <c r="O1863" i="8" s="1"/>
  <c r="N1864" i="8"/>
  <c r="O1864" i="8" s="1"/>
  <c r="N1865" i="8"/>
  <c r="O1865" i="8" s="1"/>
  <c r="N1866" i="8"/>
  <c r="O1866" i="8" s="1"/>
  <c r="N1867" i="8"/>
  <c r="O1867" i="8" s="1"/>
  <c r="N1868" i="8"/>
  <c r="O1868" i="8" s="1"/>
  <c r="N1869" i="8"/>
  <c r="O1869" i="8" s="1"/>
  <c r="N1870" i="8"/>
  <c r="O1870" i="8" s="1"/>
  <c r="N1871" i="8"/>
  <c r="O1871" i="8" s="1"/>
  <c r="N1872" i="8"/>
  <c r="O1872" i="8" s="1"/>
  <c r="N1873" i="8"/>
  <c r="O1873" i="8" s="1"/>
  <c r="N1874" i="8"/>
  <c r="O1874" i="8" s="1"/>
  <c r="N1875" i="8"/>
  <c r="O1875" i="8" s="1"/>
  <c r="N1876" i="8"/>
  <c r="O1876" i="8" s="1"/>
  <c r="N1877" i="8"/>
  <c r="O1877" i="8" s="1"/>
  <c r="N1878" i="8"/>
  <c r="O1878" i="8" s="1"/>
  <c r="N1879" i="8"/>
  <c r="O1879" i="8" s="1"/>
  <c r="N1880" i="8"/>
  <c r="O1880" i="8" s="1"/>
  <c r="N1881" i="8"/>
  <c r="O1881" i="8" s="1"/>
  <c r="N1882" i="8"/>
  <c r="O1882" i="8" s="1"/>
  <c r="N1883" i="8"/>
  <c r="O1883" i="8" s="1"/>
  <c r="N1884" i="8"/>
  <c r="O1884" i="8" s="1"/>
  <c r="N1885" i="8"/>
  <c r="O1885" i="8" s="1"/>
  <c r="N1886" i="8"/>
  <c r="O1886" i="8" s="1"/>
  <c r="N1887" i="8"/>
  <c r="O1887" i="8" s="1"/>
  <c r="N1888" i="8"/>
  <c r="O1888" i="8" s="1"/>
  <c r="N1889" i="8"/>
  <c r="O1889" i="8" s="1"/>
  <c r="N1890" i="8"/>
  <c r="O1890" i="8" s="1"/>
  <c r="N1891" i="8"/>
  <c r="O1891" i="8" s="1"/>
  <c r="N1892" i="8"/>
  <c r="O1892" i="8" s="1"/>
  <c r="N1893" i="8"/>
  <c r="O1893" i="8" s="1"/>
  <c r="N1894" i="8"/>
  <c r="O1894" i="8" s="1"/>
  <c r="N1895" i="8"/>
  <c r="O1895" i="8" s="1"/>
  <c r="N1896" i="8"/>
  <c r="O1896" i="8" s="1"/>
  <c r="N1897" i="8"/>
  <c r="O1897" i="8" s="1"/>
  <c r="N1898" i="8"/>
  <c r="O1898" i="8" s="1"/>
  <c r="N1899" i="8"/>
  <c r="O1899" i="8" s="1"/>
  <c r="N1900" i="8"/>
  <c r="O1900" i="8" s="1"/>
  <c r="N1901" i="8"/>
  <c r="O1901" i="8" s="1"/>
  <c r="N1902" i="8"/>
  <c r="O1902" i="8" s="1"/>
  <c r="N1903" i="8"/>
  <c r="O1903" i="8" s="1"/>
  <c r="N1904" i="8"/>
  <c r="O1904" i="8" s="1"/>
  <c r="N1905" i="8"/>
  <c r="O1905" i="8" s="1"/>
  <c r="N1906" i="8"/>
  <c r="O1906" i="8" s="1"/>
  <c r="N1907" i="8"/>
  <c r="O1907" i="8" s="1"/>
  <c r="N1908" i="8"/>
  <c r="O1908" i="8" s="1"/>
  <c r="N1909" i="8"/>
  <c r="O1909" i="8" s="1"/>
  <c r="N1910" i="8"/>
  <c r="O1910" i="8" s="1"/>
  <c r="N1911" i="8"/>
  <c r="O1911" i="8" s="1"/>
  <c r="N1912" i="8"/>
  <c r="O1912" i="8" s="1"/>
  <c r="N1913" i="8"/>
  <c r="O1913" i="8" s="1"/>
  <c r="N1914" i="8"/>
  <c r="O1914" i="8" s="1"/>
  <c r="N1915" i="8"/>
  <c r="O1915" i="8" s="1"/>
  <c r="N1916" i="8"/>
  <c r="O1916" i="8" s="1"/>
  <c r="N1917" i="8"/>
  <c r="O1917" i="8" s="1"/>
  <c r="N1918" i="8"/>
  <c r="O1918" i="8" s="1"/>
  <c r="N1919" i="8"/>
  <c r="O1919" i="8" s="1"/>
  <c r="N1920" i="8"/>
  <c r="O1920" i="8" s="1"/>
  <c r="N1921" i="8"/>
  <c r="O1921" i="8" s="1"/>
  <c r="N1922" i="8"/>
  <c r="O1922" i="8" s="1"/>
  <c r="N1923" i="8"/>
  <c r="O1923" i="8" s="1"/>
  <c r="N1924" i="8"/>
  <c r="O1924" i="8" s="1"/>
  <c r="N1925" i="8"/>
  <c r="O1925" i="8" s="1"/>
  <c r="N1926" i="8"/>
  <c r="O1926" i="8" s="1"/>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Q1002" i="8"/>
  <c r="Q1003" i="8"/>
  <c r="Q1004" i="8"/>
  <c r="Q1005" i="8"/>
  <c r="Q1006" i="8"/>
  <c r="Q1007" i="8"/>
  <c r="Q1008" i="8"/>
  <c r="Q1009" i="8"/>
  <c r="Q1010" i="8"/>
  <c r="Q1011" i="8"/>
  <c r="Q1012" i="8"/>
  <c r="Q1013" i="8"/>
  <c r="Q1014" i="8"/>
  <c r="Q1015" i="8"/>
  <c r="Q1016" i="8"/>
  <c r="Q1017" i="8"/>
  <c r="Q1018" i="8"/>
  <c r="Q1019" i="8"/>
  <c r="Q1020" i="8"/>
  <c r="Q1021" i="8"/>
  <c r="Q1022" i="8"/>
  <c r="Q1023" i="8"/>
  <c r="Q1024" i="8"/>
  <c r="Q1025" i="8"/>
  <c r="Q1026" i="8"/>
  <c r="Q1027" i="8"/>
  <c r="Q1028" i="8"/>
  <c r="Q1029" i="8"/>
  <c r="Q1030" i="8"/>
  <c r="Q1031" i="8"/>
  <c r="Q1032" i="8"/>
  <c r="Q1033" i="8"/>
  <c r="Q1034" i="8"/>
  <c r="Q1035" i="8"/>
  <c r="Q1036" i="8"/>
  <c r="Q1037" i="8"/>
  <c r="Q1038" i="8"/>
  <c r="Q1039" i="8"/>
  <c r="Q1040" i="8"/>
  <c r="Q1041" i="8"/>
  <c r="Q1042" i="8"/>
  <c r="Q1043" i="8"/>
  <c r="Q1044" i="8"/>
  <c r="Q1045" i="8"/>
  <c r="Q1046" i="8"/>
  <c r="Q1047" i="8"/>
  <c r="Q1048" i="8"/>
  <c r="Q1049" i="8"/>
  <c r="Q1050" i="8"/>
  <c r="Q1051" i="8"/>
  <c r="Q1052" i="8"/>
  <c r="Q1053" i="8"/>
  <c r="Q1054" i="8"/>
  <c r="Q1055" i="8"/>
  <c r="Q1056" i="8"/>
  <c r="Q1057" i="8"/>
  <c r="Q1058" i="8"/>
  <c r="Q1059" i="8"/>
  <c r="Q1060" i="8"/>
  <c r="Q1061" i="8"/>
  <c r="Q1062" i="8"/>
  <c r="Q1063" i="8"/>
  <c r="Q1064" i="8"/>
  <c r="Q1065" i="8"/>
  <c r="Q1066" i="8"/>
  <c r="Q1067" i="8"/>
  <c r="Q1068" i="8"/>
  <c r="Q1069" i="8"/>
  <c r="Q1070" i="8"/>
  <c r="Q1071" i="8"/>
  <c r="Q1072" i="8"/>
  <c r="Q1073" i="8"/>
  <c r="Q1074" i="8"/>
  <c r="Q1075" i="8"/>
  <c r="Q1076" i="8"/>
  <c r="Q1077" i="8"/>
  <c r="Q1078" i="8"/>
  <c r="Q1079" i="8"/>
  <c r="Q1080" i="8"/>
  <c r="Q1081" i="8"/>
  <c r="Q1082" i="8"/>
  <c r="Q1083" i="8"/>
  <c r="Q1084" i="8"/>
  <c r="Q1085" i="8"/>
  <c r="Q1086" i="8"/>
  <c r="Q1087" i="8"/>
  <c r="Q1088" i="8"/>
  <c r="Q1089" i="8"/>
  <c r="Q1090" i="8"/>
  <c r="Q1091" i="8"/>
  <c r="Q1092" i="8"/>
  <c r="Q1093" i="8"/>
  <c r="Q1094" i="8"/>
  <c r="Q1095" i="8"/>
  <c r="Q1096" i="8"/>
  <c r="Q1097" i="8"/>
  <c r="Q1098" i="8"/>
  <c r="Q1099" i="8"/>
  <c r="Q1100" i="8"/>
  <c r="Q1101" i="8"/>
  <c r="Q1102" i="8"/>
  <c r="Q1103" i="8"/>
  <c r="Q1104" i="8"/>
  <c r="Q1105" i="8"/>
  <c r="Q1106" i="8"/>
  <c r="Q1107" i="8"/>
  <c r="Q1108" i="8"/>
  <c r="Q1109" i="8"/>
  <c r="Q1110" i="8"/>
  <c r="Q1111" i="8"/>
  <c r="Q1112" i="8"/>
  <c r="Q1113" i="8"/>
  <c r="Q1114" i="8"/>
  <c r="Q1115" i="8"/>
  <c r="Q1116" i="8"/>
  <c r="Q1117" i="8"/>
  <c r="Q1118" i="8"/>
  <c r="Q1119" i="8"/>
  <c r="Q1120" i="8"/>
  <c r="Q1121" i="8"/>
  <c r="Q1122" i="8"/>
  <c r="Q1123" i="8"/>
  <c r="Q1124" i="8"/>
  <c r="Q1125" i="8"/>
  <c r="Q1126" i="8"/>
  <c r="Q1127" i="8"/>
  <c r="Q1128" i="8"/>
  <c r="Q1129" i="8"/>
  <c r="Q1130" i="8"/>
  <c r="Q1131" i="8"/>
  <c r="Q1132" i="8"/>
  <c r="Q1133" i="8"/>
  <c r="Q1134" i="8"/>
  <c r="Q1135" i="8"/>
  <c r="Q1136" i="8"/>
  <c r="Q1137" i="8"/>
  <c r="Q1138" i="8"/>
  <c r="Q1139" i="8"/>
  <c r="Q1140" i="8"/>
  <c r="Q1141" i="8"/>
  <c r="Q1142" i="8"/>
  <c r="Q1143" i="8"/>
  <c r="Q1144" i="8"/>
  <c r="Q1145" i="8"/>
  <c r="Q1146" i="8"/>
  <c r="Q1147" i="8"/>
  <c r="Q1148" i="8"/>
  <c r="Q1149" i="8"/>
  <c r="Q1150" i="8"/>
  <c r="Q1151" i="8"/>
  <c r="Q1152" i="8"/>
  <c r="Q1153" i="8"/>
  <c r="Q1154" i="8"/>
  <c r="Q1155" i="8"/>
  <c r="Q1156" i="8"/>
  <c r="Q1157" i="8"/>
  <c r="Q1158" i="8"/>
  <c r="Q1159" i="8"/>
  <c r="Q1160" i="8"/>
  <c r="Q1161" i="8"/>
  <c r="Q1162" i="8"/>
  <c r="Q1163" i="8"/>
  <c r="Q1164" i="8"/>
  <c r="Q1165" i="8"/>
  <c r="Q1166" i="8"/>
  <c r="Q1167" i="8"/>
  <c r="Q1168" i="8"/>
  <c r="Q1169" i="8"/>
  <c r="Q1170" i="8"/>
  <c r="Q1171" i="8"/>
  <c r="Q1172" i="8"/>
  <c r="Q1173" i="8"/>
  <c r="Q1174" i="8"/>
  <c r="Q1175" i="8"/>
  <c r="Q1176" i="8"/>
  <c r="Q1177" i="8"/>
  <c r="Q1178" i="8"/>
  <c r="Q1179" i="8"/>
  <c r="Q1180" i="8"/>
  <c r="Q1181" i="8"/>
  <c r="Q1182" i="8"/>
  <c r="Q1183" i="8"/>
  <c r="Q1184" i="8"/>
  <c r="Q1185" i="8"/>
  <c r="Q1186" i="8"/>
  <c r="Q1187" i="8"/>
  <c r="Q1188" i="8"/>
  <c r="Q1189" i="8"/>
  <c r="Q1190" i="8"/>
  <c r="Q1191" i="8"/>
  <c r="Q1192" i="8"/>
  <c r="Q1193" i="8"/>
  <c r="Q1194" i="8"/>
  <c r="Q1195" i="8"/>
  <c r="Q1196" i="8"/>
  <c r="Q1197" i="8"/>
  <c r="Q1198" i="8"/>
  <c r="Q1199" i="8"/>
  <c r="Q1200" i="8"/>
  <c r="Q1201" i="8"/>
  <c r="Q1202" i="8"/>
  <c r="Q1203" i="8"/>
  <c r="Q1204" i="8"/>
  <c r="Q1205" i="8"/>
  <c r="Q1206" i="8"/>
  <c r="Q1207" i="8"/>
  <c r="Q1208" i="8"/>
  <c r="Q1209" i="8"/>
  <c r="Q1210" i="8"/>
  <c r="Q1211" i="8"/>
  <c r="Q1212" i="8"/>
  <c r="Q1213" i="8"/>
  <c r="Q1214" i="8"/>
  <c r="Q1215" i="8"/>
  <c r="Q1216" i="8"/>
  <c r="Q1217" i="8"/>
  <c r="Q1218" i="8"/>
  <c r="Q1219" i="8"/>
  <c r="Q1220" i="8"/>
  <c r="Q1221" i="8"/>
  <c r="Q1222" i="8"/>
  <c r="Q1223" i="8"/>
  <c r="Q1224" i="8"/>
  <c r="Q1225" i="8"/>
  <c r="Q1226" i="8"/>
  <c r="Q1227" i="8"/>
  <c r="Q1228" i="8"/>
  <c r="Q1229" i="8"/>
  <c r="Q1230" i="8"/>
  <c r="Q1231" i="8"/>
  <c r="Q1232" i="8"/>
  <c r="Q1233" i="8"/>
  <c r="Q1234" i="8"/>
  <c r="Q1235" i="8"/>
  <c r="Q1236" i="8"/>
  <c r="Q1237" i="8"/>
  <c r="Q1238" i="8"/>
  <c r="Q1239" i="8"/>
  <c r="Q1240" i="8"/>
  <c r="Q1241" i="8"/>
  <c r="Q1242" i="8"/>
  <c r="Q1243" i="8"/>
  <c r="Q1244" i="8"/>
  <c r="Q1245" i="8"/>
  <c r="Q1246" i="8"/>
  <c r="Q1247" i="8"/>
  <c r="Q1248" i="8"/>
  <c r="Q1249" i="8"/>
  <c r="Q1250" i="8"/>
  <c r="Q1251" i="8"/>
  <c r="Q1252" i="8"/>
  <c r="Q1253" i="8"/>
  <c r="Q1254" i="8"/>
  <c r="Q1255" i="8"/>
  <c r="Q1256" i="8"/>
  <c r="Q1257" i="8"/>
  <c r="Q1258" i="8"/>
  <c r="Q1259" i="8"/>
  <c r="Q1260" i="8"/>
  <c r="Q1261" i="8"/>
  <c r="Q1262" i="8"/>
  <c r="Q1263" i="8"/>
  <c r="Q1264" i="8"/>
  <c r="Q1265" i="8"/>
  <c r="Q1266" i="8"/>
  <c r="Q1267" i="8"/>
  <c r="Q1268" i="8"/>
  <c r="Q1269" i="8"/>
  <c r="Q1270" i="8"/>
  <c r="Q1271" i="8"/>
  <c r="Q1272" i="8"/>
  <c r="Q1273" i="8"/>
  <c r="Q1274" i="8"/>
  <c r="Q1275" i="8"/>
  <c r="Q1276" i="8"/>
  <c r="Q1277" i="8"/>
  <c r="Q1278" i="8"/>
  <c r="Q1279" i="8"/>
  <c r="Q1280" i="8"/>
  <c r="Q1281" i="8"/>
  <c r="Q1282" i="8"/>
  <c r="Q1283" i="8"/>
  <c r="Q1284" i="8"/>
  <c r="Q1285" i="8"/>
  <c r="Q1286" i="8"/>
  <c r="Q1287" i="8"/>
  <c r="Q1288" i="8"/>
  <c r="Q1289" i="8"/>
  <c r="Q1290" i="8"/>
  <c r="Q1291" i="8"/>
  <c r="Q1292" i="8"/>
  <c r="Q1293" i="8"/>
  <c r="Q1294" i="8"/>
  <c r="Q1295" i="8"/>
  <c r="Q1296" i="8"/>
  <c r="Q1297" i="8"/>
  <c r="Q1298" i="8"/>
  <c r="Q1299" i="8"/>
  <c r="Q1300" i="8"/>
  <c r="Q1301" i="8"/>
  <c r="Q1302" i="8"/>
  <c r="Q1303" i="8"/>
  <c r="Q1304" i="8"/>
  <c r="Q1305" i="8"/>
  <c r="Q1306" i="8"/>
  <c r="Q1307" i="8"/>
  <c r="Q1308" i="8"/>
  <c r="Q1309" i="8"/>
  <c r="Q1310" i="8"/>
  <c r="Q1311" i="8"/>
  <c r="Q1312" i="8"/>
  <c r="Q1313" i="8"/>
  <c r="Q1314" i="8"/>
  <c r="Q1315" i="8"/>
  <c r="Q1316" i="8"/>
  <c r="Q1317" i="8"/>
  <c r="Q1318" i="8"/>
  <c r="Q1319" i="8"/>
  <c r="Q1320" i="8"/>
  <c r="Q1321" i="8"/>
  <c r="Q1322" i="8"/>
  <c r="Q1323" i="8"/>
  <c r="Q1324" i="8"/>
  <c r="Q1325" i="8"/>
  <c r="Q1326" i="8"/>
  <c r="Q1327" i="8"/>
  <c r="Q1328" i="8"/>
  <c r="Q1329" i="8"/>
  <c r="Q1330" i="8"/>
  <c r="Q1331" i="8"/>
  <c r="Q1332" i="8"/>
  <c r="Q1333" i="8"/>
  <c r="Q1334" i="8"/>
  <c r="Q1335" i="8"/>
  <c r="Q1336" i="8"/>
  <c r="Q1337" i="8"/>
  <c r="Q1338" i="8"/>
  <c r="Q1339" i="8"/>
  <c r="Q1340" i="8"/>
  <c r="Q1341" i="8"/>
  <c r="Q1342" i="8"/>
  <c r="Q1343" i="8"/>
  <c r="Q1344" i="8"/>
  <c r="Q1345" i="8"/>
  <c r="Q1346" i="8"/>
  <c r="Q1347" i="8"/>
  <c r="Q1348" i="8"/>
  <c r="Q1349" i="8"/>
  <c r="Q1350" i="8"/>
  <c r="Q1351" i="8"/>
  <c r="Q1352" i="8"/>
  <c r="Q1353" i="8"/>
  <c r="Q1354" i="8"/>
  <c r="Q1355" i="8"/>
  <c r="Q1356" i="8"/>
  <c r="Q1357" i="8"/>
  <c r="Q1358" i="8"/>
  <c r="Q1359" i="8"/>
  <c r="Q1360" i="8"/>
  <c r="Q1361" i="8"/>
  <c r="Q1362" i="8"/>
  <c r="Q1363" i="8"/>
  <c r="Q1364" i="8"/>
  <c r="Q1365" i="8"/>
  <c r="Q1366" i="8"/>
  <c r="Q1367" i="8"/>
  <c r="Q1368" i="8"/>
  <c r="Q1369" i="8"/>
  <c r="Q1370" i="8"/>
  <c r="Q1371" i="8"/>
  <c r="Q1372" i="8"/>
  <c r="Q1373" i="8"/>
  <c r="Q1374" i="8"/>
  <c r="Q1375" i="8"/>
  <c r="Q1376" i="8"/>
  <c r="Q1377" i="8"/>
  <c r="Q1378" i="8"/>
  <c r="Q1379" i="8"/>
  <c r="Q1380" i="8"/>
  <c r="Q1381" i="8"/>
  <c r="Q1382" i="8"/>
  <c r="Q1383" i="8"/>
  <c r="Q1384" i="8"/>
  <c r="Q1385" i="8"/>
  <c r="Q1386" i="8"/>
  <c r="Q1387" i="8"/>
  <c r="Q1388" i="8"/>
  <c r="Q1389" i="8"/>
  <c r="Q1390" i="8"/>
  <c r="Q1391" i="8"/>
  <c r="Q1392" i="8"/>
  <c r="Q1393" i="8"/>
  <c r="Q1394" i="8"/>
  <c r="Q1395" i="8"/>
  <c r="Q1396" i="8"/>
  <c r="Q1397" i="8"/>
  <c r="Q1398" i="8"/>
  <c r="Q1399" i="8"/>
  <c r="Q1400" i="8"/>
  <c r="Q1401" i="8"/>
  <c r="Q1402" i="8"/>
  <c r="Q1403" i="8"/>
  <c r="Q1404" i="8"/>
  <c r="Q1405" i="8"/>
  <c r="Q1406" i="8"/>
  <c r="Q1407" i="8"/>
  <c r="Q1408" i="8"/>
  <c r="Q1409" i="8"/>
  <c r="Q1410" i="8"/>
  <c r="Q1411" i="8"/>
  <c r="Q1412" i="8"/>
  <c r="Q1413" i="8"/>
  <c r="Q1414" i="8"/>
  <c r="Q1415" i="8"/>
  <c r="Q1416" i="8"/>
  <c r="Q1417" i="8"/>
  <c r="Q1418" i="8"/>
  <c r="Q1419" i="8"/>
  <c r="Q1420" i="8"/>
  <c r="Q1421" i="8"/>
  <c r="Q1422" i="8"/>
  <c r="Q1423" i="8"/>
  <c r="Q1424" i="8"/>
  <c r="Q1425" i="8"/>
  <c r="Q1426" i="8"/>
  <c r="Q1427" i="8"/>
  <c r="Q1428" i="8"/>
  <c r="Q1429" i="8"/>
  <c r="Q1430" i="8"/>
  <c r="Q1431" i="8"/>
  <c r="Q1432" i="8"/>
  <c r="Q1433" i="8"/>
  <c r="Q1434" i="8"/>
  <c r="Q1435" i="8"/>
  <c r="Q1436" i="8"/>
  <c r="Q1437" i="8"/>
  <c r="Q1438" i="8"/>
  <c r="Q1439" i="8"/>
  <c r="Q1440" i="8"/>
  <c r="Q1441" i="8"/>
  <c r="Q1442" i="8"/>
  <c r="Q1443" i="8"/>
  <c r="Q1444" i="8"/>
  <c r="Q1445" i="8"/>
  <c r="Q1446" i="8"/>
  <c r="Q1447" i="8"/>
  <c r="Q1448" i="8"/>
  <c r="Q1449" i="8"/>
  <c r="Q1450" i="8"/>
  <c r="Q1451" i="8"/>
  <c r="Q1452" i="8"/>
  <c r="Q1453" i="8"/>
  <c r="Q1454" i="8"/>
  <c r="Q1455" i="8"/>
  <c r="Q1456" i="8"/>
  <c r="Q1457" i="8"/>
  <c r="Q1458" i="8"/>
  <c r="Q1459" i="8"/>
  <c r="Q1460" i="8"/>
  <c r="Q1461" i="8"/>
  <c r="Q1462" i="8"/>
  <c r="Q1463" i="8"/>
  <c r="Q1464" i="8"/>
  <c r="Q1465" i="8"/>
  <c r="Q1466" i="8"/>
  <c r="Q1467" i="8"/>
  <c r="Q1468" i="8"/>
  <c r="Q1469" i="8"/>
  <c r="Q1470" i="8"/>
  <c r="Q1471" i="8"/>
  <c r="Q1472" i="8"/>
  <c r="Q1473" i="8"/>
  <c r="Q1474" i="8"/>
  <c r="Q1475" i="8"/>
  <c r="Q1476" i="8"/>
  <c r="Q1477" i="8"/>
  <c r="Q1478" i="8"/>
  <c r="Q1479" i="8"/>
  <c r="Q1480" i="8"/>
  <c r="Q1481" i="8"/>
  <c r="Q1482" i="8"/>
  <c r="Q1483" i="8"/>
  <c r="Q1484" i="8"/>
  <c r="Q1485" i="8"/>
  <c r="Q1486" i="8"/>
  <c r="Q1487" i="8"/>
  <c r="Q1488" i="8"/>
  <c r="Q1489" i="8"/>
  <c r="Q1490" i="8"/>
  <c r="Q1491" i="8"/>
  <c r="Q1492" i="8"/>
  <c r="Q1493" i="8"/>
  <c r="Q1494" i="8"/>
  <c r="Q1495" i="8"/>
  <c r="Q1496" i="8"/>
  <c r="Q1497" i="8"/>
  <c r="Q1498" i="8"/>
  <c r="Q1499" i="8"/>
  <c r="Q1500" i="8"/>
  <c r="Q1501" i="8"/>
  <c r="Q1502" i="8"/>
  <c r="Q1503" i="8"/>
  <c r="Q1504" i="8"/>
  <c r="Q1505" i="8"/>
  <c r="Q1506" i="8"/>
  <c r="Q1507" i="8"/>
  <c r="Q1508" i="8"/>
  <c r="Q1509" i="8"/>
  <c r="Q1510" i="8"/>
  <c r="Q1511" i="8"/>
  <c r="Q1512" i="8"/>
  <c r="Q1513" i="8"/>
  <c r="Q1514" i="8"/>
  <c r="Q1515" i="8"/>
  <c r="Q1516" i="8"/>
  <c r="Q1517" i="8"/>
  <c r="Q1518" i="8"/>
  <c r="Q1519" i="8"/>
  <c r="Q1520" i="8"/>
  <c r="Q1521" i="8"/>
  <c r="Q1522" i="8"/>
  <c r="Q1523" i="8"/>
  <c r="Q1524" i="8"/>
  <c r="Q1525" i="8"/>
  <c r="Q1526" i="8"/>
  <c r="Q1527" i="8"/>
  <c r="Q1528" i="8"/>
  <c r="Q1529" i="8"/>
  <c r="Q1530" i="8"/>
  <c r="Q1531" i="8"/>
  <c r="Q1532" i="8"/>
  <c r="Q1533" i="8"/>
  <c r="Q1534" i="8"/>
  <c r="Q1535" i="8"/>
  <c r="Q1536" i="8"/>
  <c r="Q1537" i="8"/>
  <c r="Q1538" i="8"/>
  <c r="Q1539" i="8"/>
  <c r="Q1540" i="8"/>
  <c r="Q1541" i="8"/>
  <c r="Q1542" i="8"/>
  <c r="Q1543" i="8"/>
  <c r="Q1544" i="8"/>
  <c r="Q1545" i="8"/>
  <c r="Q1546" i="8"/>
  <c r="Q1547" i="8"/>
  <c r="Q1548" i="8"/>
  <c r="Q1549" i="8"/>
  <c r="Q1550" i="8"/>
  <c r="Q1551" i="8"/>
  <c r="Q1552" i="8"/>
  <c r="Q1553" i="8"/>
  <c r="Q1554" i="8"/>
  <c r="Q1555" i="8"/>
  <c r="Q1556" i="8"/>
  <c r="Q1557" i="8"/>
  <c r="Q1558" i="8"/>
  <c r="Q1559" i="8"/>
  <c r="Q1560" i="8"/>
  <c r="Q1561" i="8"/>
  <c r="Q1562" i="8"/>
  <c r="Q1563" i="8"/>
  <c r="Q1564" i="8"/>
  <c r="Q1565" i="8"/>
  <c r="Q1566" i="8"/>
  <c r="Q1567" i="8"/>
  <c r="Q1568" i="8"/>
  <c r="Q1569" i="8"/>
  <c r="Q1570" i="8"/>
  <c r="Q1571" i="8"/>
  <c r="Q1572" i="8"/>
  <c r="Q1573" i="8"/>
  <c r="Q1574" i="8"/>
  <c r="Q1575" i="8"/>
  <c r="Q1576" i="8"/>
  <c r="Q1577" i="8"/>
  <c r="Q1578" i="8"/>
  <c r="Q1579" i="8"/>
  <c r="Q1580" i="8"/>
  <c r="Q1581" i="8"/>
  <c r="Q1582" i="8"/>
  <c r="Q1583" i="8"/>
  <c r="Q1584" i="8"/>
  <c r="Q1585" i="8"/>
  <c r="Q1586" i="8"/>
  <c r="Q1587" i="8"/>
  <c r="Q1588" i="8"/>
  <c r="Q1589" i="8"/>
  <c r="Q1590" i="8"/>
  <c r="Q1591" i="8"/>
  <c r="Q1592" i="8"/>
  <c r="Q1593" i="8"/>
  <c r="Q1594" i="8"/>
  <c r="Q1595" i="8"/>
  <c r="Q1596" i="8"/>
  <c r="Q1597" i="8"/>
  <c r="Q1598" i="8"/>
  <c r="Q1599" i="8"/>
  <c r="Q1600" i="8"/>
  <c r="Q1601" i="8"/>
  <c r="Q1602" i="8"/>
  <c r="Q1603" i="8"/>
  <c r="Q1604" i="8"/>
  <c r="Q1605" i="8"/>
  <c r="Q1606" i="8"/>
  <c r="Q1607" i="8"/>
  <c r="Q1608" i="8"/>
  <c r="Q1609" i="8"/>
  <c r="Q1610" i="8"/>
  <c r="Q1611" i="8"/>
  <c r="Q1612" i="8"/>
  <c r="Q1613" i="8"/>
  <c r="Q1614" i="8"/>
  <c r="Q1615" i="8"/>
  <c r="Q1616" i="8"/>
  <c r="Q1617" i="8"/>
  <c r="Q1618" i="8"/>
  <c r="Q1619" i="8"/>
  <c r="Q1620" i="8"/>
  <c r="Q1621" i="8"/>
  <c r="Q1622" i="8"/>
  <c r="Q1623" i="8"/>
  <c r="Q1624" i="8"/>
  <c r="Q1625" i="8"/>
  <c r="Q1626" i="8"/>
  <c r="Q1627" i="8"/>
  <c r="Q1628" i="8"/>
  <c r="Q1629" i="8"/>
  <c r="Q1630" i="8"/>
  <c r="Q1631" i="8"/>
  <c r="Q1632" i="8"/>
  <c r="Q1633" i="8"/>
  <c r="Q1634" i="8"/>
  <c r="Q1635" i="8"/>
  <c r="Q1636" i="8"/>
  <c r="Q1637" i="8"/>
  <c r="Q1638" i="8"/>
  <c r="Q1639" i="8"/>
  <c r="Q1640" i="8"/>
  <c r="Q1641" i="8"/>
  <c r="Q1642" i="8"/>
  <c r="Q1643" i="8"/>
  <c r="Q1644" i="8"/>
  <c r="Q1645" i="8"/>
  <c r="Q1646" i="8"/>
  <c r="Q1647" i="8"/>
  <c r="Q1648" i="8"/>
  <c r="Q1649" i="8"/>
  <c r="Q1650" i="8"/>
  <c r="Q1651" i="8"/>
  <c r="Q1652" i="8"/>
  <c r="Q1653" i="8"/>
  <c r="Q1654" i="8"/>
  <c r="Q1655" i="8"/>
  <c r="Q1656" i="8"/>
  <c r="Q1657" i="8"/>
  <c r="Q1658" i="8"/>
  <c r="Q1659" i="8"/>
  <c r="Q1660" i="8"/>
  <c r="Q1661" i="8"/>
  <c r="Q1662" i="8"/>
  <c r="Q1663" i="8"/>
  <c r="Q1664" i="8"/>
  <c r="Q1665" i="8"/>
  <c r="Q1666" i="8"/>
  <c r="Q1667" i="8"/>
  <c r="Q1668" i="8"/>
  <c r="Q1669" i="8"/>
  <c r="Q1670" i="8"/>
  <c r="Q1671" i="8"/>
  <c r="Q1672" i="8"/>
  <c r="Q1673" i="8"/>
  <c r="Q1674" i="8"/>
  <c r="Q1675" i="8"/>
  <c r="Q1676" i="8"/>
  <c r="Q1677" i="8"/>
  <c r="Q1678" i="8"/>
  <c r="Q1679" i="8"/>
  <c r="Q1680" i="8"/>
  <c r="Q1681" i="8"/>
  <c r="Q1682" i="8"/>
  <c r="Q1683" i="8"/>
  <c r="Q1684" i="8"/>
  <c r="Q1685" i="8"/>
  <c r="Q1686" i="8"/>
  <c r="Q1687" i="8"/>
  <c r="Q1688" i="8"/>
  <c r="Q1689" i="8"/>
  <c r="Q1690" i="8"/>
  <c r="Q1691" i="8"/>
  <c r="Q1692" i="8"/>
  <c r="Q1693" i="8"/>
  <c r="Q1694" i="8"/>
  <c r="Q1695" i="8"/>
  <c r="Q1696" i="8"/>
  <c r="Q1697" i="8"/>
  <c r="Q1698" i="8"/>
  <c r="Q1699" i="8"/>
  <c r="Q1700" i="8"/>
  <c r="Q1701" i="8"/>
  <c r="Q1702" i="8"/>
  <c r="Q1703" i="8"/>
  <c r="Q1704" i="8"/>
  <c r="Q1705" i="8"/>
  <c r="Q1706" i="8"/>
  <c r="Q1707" i="8"/>
  <c r="Q1708" i="8"/>
  <c r="Q1709" i="8"/>
  <c r="Q1710" i="8"/>
  <c r="Q1711" i="8"/>
  <c r="Q1712" i="8"/>
  <c r="Q1713" i="8"/>
  <c r="Q1714" i="8"/>
  <c r="Q1715" i="8"/>
  <c r="Q1716" i="8"/>
  <c r="Q1717" i="8"/>
  <c r="Q1718" i="8"/>
  <c r="Q1719" i="8"/>
  <c r="Q1720" i="8"/>
  <c r="Q1721" i="8"/>
  <c r="Q1722" i="8"/>
  <c r="Q1723" i="8"/>
  <c r="Q1724" i="8"/>
  <c r="Q1725" i="8"/>
  <c r="Q1726" i="8"/>
  <c r="Q1727" i="8"/>
  <c r="Q1728" i="8"/>
  <c r="Q1729" i="8"/>
  <c r="Q1730" i="8"/>
  <c r="Q1731" i="8"/>
  <c r="Q1732" i="8"/>
  <c r="Q1733" i="8"/>
  <c r="Q1734" i="8"/>
  <c r="Q1735" i="8"/>
  <c r="Q1736" i="8"/>
  <c r="Q1737" i="8"/>
  <c r="Q1738" i="8"/>
  <c r="Q1739" i="8"/>
  <c r="Q1740" i="8"/>
  <c r="Q1741" i="8"/>
  <c r="Q1742" i="8"/>
  <c r="Q1743" i="8"/>
  <c r="Q1744" i="8"/>
  <c r="Q1745" i="8"/>
  <c r="Q1746" i="8"/>
  <c r="Q1747" i="8"/>
  <c r="Q1748" i="8"/>
  <c r="Q1749" i="8"/>
  <c r="Q1750" i="8"/>
  <c r="Q1751" i="8"/>
  <c r="Q1752" i="8"/>
  <c r="Q1753" i="8"/>
  <c r="Q1754" i="8"/>
  <c r="Q1755" i="8"/>
  <c r="Q1756" i="8"/>
  <c r="Q1757" i="8"/>
  <c r="Q1758" i="8"/>
  <c r="Q1759" i="8"/>
  <c r="Q1760" i="8"/>
  <c r="Q1761" i="8"/>
  <c r="Q1762" i="8"/>
  <c r="Q1763" i="8"/>
  <c r="Q1764" i="8"/>
  <c r="Q1765" i="8"/>
  <c r="Q1766" i="8"/>
  <c r="Q1767" i="8"/>
  <c r="Q1768" i="8"/>
  <c r="Q1769" i="8"/>
  <c r="Q1770" i="8"/>
  <c r="Q1771" i="8"/>
  <c r="Q1772" i="8"/>
  <c r="Q1773" i="8"/>
  <c r="Q1774" i="8"/>
  <c r="Q1775" i="8"/>
  <c r="Q1776" i="8"/>
  <c r="Q1777" i="8"/>
  <c r="Q1778" i="8"/>
  <c r="Q1779" i="8"/>
  <c r="Q1780" i="8"/>
  <c r="Q1781" i="8"/>
  <c r="Q1782" i="8"/>
  <c r="Q1783" i="8"/>
  <c r="Q1784" i="8"/>
  <c r="Q1785" i="8"/>
  <c r="Q1786" i="8"/>
  <c r="Q1787" i="8"/>
  <c r="Q1788" i="8"/>
  <c r="Q1789" i="8"/>
  <c r="Q1790" i="8"/>
  <c r="Q1791" i="8"/>
  <c r="Q1792" i="8"/>
  <c r="Q1793" i="8"/>
  <c r="Q1794" i="8"/>
  <c r="Q1795" i="8"/>
  <c r="Q1796" i="8"/>
  <c r="Q1797" i="8"/>
  <c r="Q1798" i="8"/>
  <c r="Q1799" i="8"/>
  <c r="Q1800" i="8"/>
  <c r="Q1801" i="8"/>
  <c r="Q1802" i="8"/>
  <c r="Q1803" i="8"/>
  <c r="Q1804" i="8"/>
  <c r="Q1805" i="8"/>
  <c r="Q1806" i="8"/>
  <c r="Q1807" i="8"/>
  <c r="Q1808" i="8"/>
  <c r="Q1809" i="8"/>
  <c r="Q1810" i="8"/>
  <c r="Q1811" i="8"/>
  <c r="Q1812" i="8"/>
  <c r="Q1813" i="8"/>
  <c r="Q1814" i="8"/>
  <c r="Q1815" i="8"/>
  <c r="Q1816" i="8"/>
  <c r="Q1817" i="8"/>
  <c r="Q1818" i="8"/>
  <c r="Q1819" i="8"/>
  <c r="Q1820" i="8"/>
  <c r="Q1821" i="8"/>
  <c r="Q1822" i="8"/>
  <c r="Q1823" i="8"/>
  <c r="Q1824" i="8"/>
  <c r="Q1825" i="8"/>
  <c r="Q1826" i="8"/>
  <c r="Q1827" i="8"/>
  <c r="Q1828" i="8"/>
  <c r="Q1829" i="8"/>
  <c r="Q1830" i="8"/>
  <c r="Q1831" i="8"/>
  <c r="Q1832" i="8"/>
  <c r="Q1833" i="8"/>
  <c r="Q1834" i="8"/>
  <c r="Q1835" i="8"/>
  <c r="Q1836" i="8"/>
  <c r="Q1837" i="8"/>
  <c r="Q1838" i="8"/>
  <c r="Q1839" i="8"/>
  <c r="Q1840" i="8"/>
  <c r="Q1841" i="8"/>
  <c r="Q1842" i="8"/>
  <c r="Q1843" i="8"/>
  <c r="Q1844" i="8"/>
  <c r="Q1845" i="8"/>
  <c r="Q1846" i="8"/>
  <c r="Q1847" i="8"/>
  <c r="Q1848" i="8"/>
  <c r="Q1849" i="8"/>
  <c r="Q1850" i="8"/>
  <c r="Q1851" i="8"/>
  <c r="Q1852" i="8"/>
  <c r="Q1853" i="8"/>
  <c r="Q1854" i="8"/>
  <c r="Q1855" i="8"/>
  <c r="Q1856" i="8"/>
  <c r="Q1857" i="8"/>
  <c r="Q1858" i="8"/>
  <c r="Q1859" i="8"/>
  <c r="Q1860" i="8"/>
  <c r="Q1861" i="8"/>
  <c r="Q1862" i="8"/>
  <c r="Q1863" i="8"/>
  <c r="Q1864" i="8"/>
  <c r="Q1865" i="8"/>
  <c r="Q1866" i="8"/>
  <c r="Q1867" i="8"/>
  <c r="Q1868" i="8"/>
  <c r="Q1869" i="8"/>
  <c r="Q1870" i="8"/>
  <c r="Q1871" i="8"/>
  <c r="Q1872" i="8"/>
  <c r="Q1873" i="8"/>
  <c r="Q1874" i="8"/>
  <c r="Q1875" i="8"/>
  <c r="Q1876" i="8"/>
  <c r="Q1877" i="8"/>
  <c r="Q1878" i="8"/>
  <c r="Q1879" i="8"/>
  <c r="Q1880" i="8"/>
  <c r="Q1881" i="8"/>
  <c r="Q1882" i="8"/>
  <c r="Q1883" i="8"/>
  <c r="Q1884" i="8"/>
  <c r="Q1885" i="8"/>
  <c r="Q1886" i="8"/>
  <c r="Q1887" i="8"/>
  <c r="Q1888" i="8"/>
  <c r="Q1889" i="8"/>
  <c r="Q1890" i="8"/>
  <c r="Q1891" i="8"/>
  <c r="Q1892" i="8"/>
  <c r="Q1893" i="8"/>
  <c r="Q1894" i="8"/>
  <c r="Q1895" i="8"/>
  <c r="Q1896" i="8"/>
  <c r="Q1897" i="8"/>
  <c r="Q1898" i="8"/>
  <c r="Q1899" i="8"/>
  <c r="Q1900" i="8"/>
  <c r="Q1901" i="8"/>
  <c r="Q1902" i="8"/>
  <c r="Q1903" i="8"/>
  <c r="Q1904" i="8"/>
  <c r="Q1905" i="8"/>
  <c r="Q1906" i="8"/>
  <c r="Q1907" i="8"/>
  <c r="Q1908" i="8"/>
  <c r="Q1909" i="8"/>
  <c r="Q1910" i="8"/>
  <c r="Q1911" i="8"/>
  <c r="Q1912" i="8"/>
  <c r="Q1913" i="8"/>
  <c r="Q1914" i="8"/>
  <c r="Q1915" i="8"/>
  <c r="Q1916" i="8"/>
  <c r="Q1917" i="8"/>
  <c r="Q1918" i="8"/>
  <c r="Q1919" i="8"/>
  <c r="Q1920" i="8"/>
  <c r="Q1921" i="8"/>
  <c r="Q1922" i="8"/>
  <c r="Q1923" i="8"/>
  <c r="Q1924" i="8"/>
  <c r="Q1925" i="8"/>
  <c r="Q1926"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R808" i="8"/>
  <c r="R809" i="8"/>
  <c r="R810" i="8"/>
  <c r="R811" i="8"/>
  <c r="R812" i="8"/>
  <c r="R813" i="8"/>
  <c r="R814" i="8"/>
  <c r="R815" i="8"/>
  <c r="R816" i="8"/>
  <c r="R817" i="8"/>
  <c r="R818" i="8"/>
  <c r="R819" i="8"/>
  <c r="R820" i="8"/>
  <c r="R821" i="8"/>
  <c r="R822" i="8"/>
  <c r="R823" i="8"/>
  <c r="R824" i="8"/>
  <c r="R825" i="8"/>
  <c r="R826" i="8"/>
  <c r="R827" i="8"/>
  <c r="R828" i="8"/>
  <c r="R829" i="8"/>
  <c r="R830" i="8"/>
  <c r="R831" i="8"/>
  <c r="R832" i="8"/>
  <c r="R833" i="8"/>
  <c r="R834" i="8"/>
  <c r="R835" i="8"/>
  <c r="R836" i="8"/>
  <c r="R837" i="8"/>
  <c r="R838" i="8"/>
  <c r="R839" i="8"/>
  <c r="R840" i="8"/>
  <c r="R841" i="8"/>
  <c r="R842" i="8"/>
  <c r="R843" i="8"/>
  <c r="R844" i="8"/>
  <c r="R845" i="8"/>
  <c r="R846" i="8"/>
  <c r="R847" i="8"/>
  <c r="R848" i="8"/>
  <c r="R849" i="8"/>
  <c r="R850" i="8"/>
  <c r="R851" i="8"/>
  <c r="R852" i="8"/>
  <c r="R853" i="8"/>
  <c r="R854" i="8"/>
  <c r="R855" i="8"/>
  <c r="R856" i="8"/>
  <c r="R857" i="8"/>
  <c r="R858" i="8"/>
  <c r="R859" i="8"/>
  <c r="R860" i="8"/>
  <c r="R861" i="8"/>
  <c r="R862" i="8"/>
  <c r="R863" i="8"/>
  <c r="R864" i="8"/>
  <c r="R865" i="8"/>
  <c r="R866" i="8"/>
  <c r="R867" i="8"/>
  <c r="R868" i="8"/>
  <c r="R869" i="8"/>
  <c r="R870" i="8"/>
  <c r="R871" i="8"/>
  <c r="R872" i="8"/>
  <c r="R873" i="8"/>
  <c r="R874" i="8"/>
  <c r="R875" i="8"/>
  <c r="R876" i="8"/>
  <c r="R877" i="8"/>
  <c r="R878" i="8"/>
  <c r="R879" i="8"/>
  <c r="R880" i="8"/>
  <c r="R881" i="8"/>
  <c r="R882" i="8"/>
  <c r="R883" i="8"/>
  <c r="R884" i="8"/>
  <c r="R885" i="8"/>
  <c r="R886" i="8"/>
  <c r="R887" i="8"/>
  <c r="R888" i="8"/>
  <c r="R889" i="8"/>
  <c r="R890" i="8"/>
  <c r="R891" i="8"/>
  <c r="R892" i="8"/>
  <c r="R893" i="8"/>
  <c r="R894" i="8"/>
  <c r="R895" i="8"/>
  <c r="R896" i="8"/>
  <c r="R897" i="8"/>
  <c r="R898" i="8"/>
  <c r="R899" i="8"/>
  <c r="R900" i="8"/>
  <c r="R901" i="8"/>
  <c r="R902" i="8"/>
  <c r="R903" i="8"/>
  <c r="R904" i="8"/>
  <c r="R905" i="8"/>
  <c r="R906" i="8"/>
  <c r="R907" i="8"/>
  <c r="R908" i="8"/>
  <c r="R909" i="8"/>
  <c r="R910" i="8"/>
  <c r="R911" i="8"/>
  <c r="R912" i="8"/>
  <c r="R913" i="8"/>
  <c r="R914" i="8"/>
  <c r="R915" i="8"/>
  <c r="R916" i="8"/>
  <c r="R917" i="8"/>
  <c r="R918" i="8"/>
  <c r="R919" i="8"/>
  <c r="R920" i="8"/>
  <c r="R921" i="8"/>
  <c r="R922" i="8"/>
  <c r="R923" i="8"/>
  <c r="R924" i="8"/>
  <c r="R925" i="8"/>
  <c r="R926" i="8"/>
  <c r="R927" i="8"/>
  <c r="R928" i="8"/>
  <c r="R929" i="8"/>
  <c r="R930" i="8"/>
  <c r="R931" i="8"/>
  <c r="R932" i="8"/>
  <c r="R933" i="8"/>
  <c r="R934" i="8"/>
  <c r="R935" i="8"/>
  <c r="R936" i="8"/>
  <c r="R937" i="8"/>
  <c r="R938" i="8"/>
  <c r="R939" i="8"/>
  <c r="R940" i="8"/>
  <c r="R941" i="8"/>
  <c r="R942" i="8"/>
  <c r="R943" i="8"/>
  <c r="R944" i="8"/>
  <c r="R945" i="8"/>
  <c r="R946" i="8"/>
  <c r="R947" i="8"/>
  <c r="R948" i="8"/>
  <c r="R949" i="8"/>
  <c r="R950" i="8"/>
  <c r="R951" i="8"/>
  <c r="R952" i="8"/>
  <c r="R953" i="8"/>
  <c r="R954" i="8"/>
  <c r="R955" i="8"/>
  <c r="R956" i="8"/>
  <c r="R957" i="8"/>
  <c r="R958" i="8"/>
  <c r="R959" i="8"/>
  <c r="R960" i="8"/>
  <c r="R961" i="8"/>
  <c r="R962" i="8"/>
  <c r="R963" i="8"/>
  <c r="R964" i="8"/>
  <c r="R965" i="8"/>
  <c r="R966" i="8"/>
  <c r="R967" i="8"/>
  <c r="R968" i="8"/>
  <c r="R969" i="8"/>
  <c r="R970" i="8"/>
  <c r="R971" i="8"/>
  <c r="R972" i="8"/>
  <c r="R973" i="8"/>
  <c r="R974" i="8"/>
  <c r="R975" i="8"/>
  <c r="R976" i="8"/>
  <c r="R977" i="8"/>
  <c r="R978" i="8"/>
  <c r="R979" i="8"/>
  <c r="R980" i="8"/>
  <c r="R981" i="8"/>
  <c r="R982" i="8"/>
  <c r="R983" i="8"/>
  <c r="R984" i="8"/>
  <c r="R985" i="8"/>
  <c r="R986" i="8"/>
  <c r="R987" i="8"/>
  <c r="R988" i="8"/>
  <c r="R989" i="8"/>
  <c r="R990" i="8"/>
  <c r="R991" i="8"/>
  <c r="R992" i="8"/>
  <c r="R993" i="8"/>
  <c r="R994" i="8"/>
  <c r="R995" i="8"/>
  <c r="R996" i="8"/>
  <c r="R997" i="8"/>
  <c r="R998" i="8"/>
  <c r="R999" i="8"/>
  <c r="R1000" i="8"/>
  <c r="R1001" i="8"/>
  <c r="R1002" i="8"/>
  <c r="R1003" i="8"/>
  <c r="R1004" i="8"/>
  <c r="R1005" i="8"/>
  <c r="R1006" i="8"/>
  <c r="R1007" i="8"/>
  <c r="R1008" i="8"/>
  <c r="R1009" i="8"/>
  <c r="R1010" i="8"/>
  <c r="R1011" i="8"/>
  <c r="R1012" i="8"/>
  <c r="R1013" i="8"/>
  <c r="R1014" i="8"/>
  <c r="R1015" i="8"/>
  <c r="R1016" i="8"/>
  <c r="R1017" i="8"/>
  <c r="R1018" i="8"/>
  <c r="R1019" i="8"/>
  <c r="R1020" i="8"/>
  <c r="R1021" i="8"/>
  <c r="R1022" i="8"/>
  <c r="R1023" i="8"/>
  <c r="R1024" i="8"/>
  <c r="R1025" i="8"/>
  <c r="R1026" i="8"/>
  <c r="R1027" i="8"/>
  <c r="R1028" i="8"/>
  <c r="R1029" i="8"/>
  <c r="R1030" i="8"/>
  <c r="R1031" i="8"/>
  <c r="R1032" i="8"/>
  <c r="R1033" i="8"/>
  <c r="R1034" i="8"/>
  <c r="R1035" i="8"/>
  <c r="R1036" i="8"/>
  <c r="R1037" i="8"/>
  <c r="R1038" i="8"/>
  <c r="R1039" i="8"/>
  <c r="R1040" i="8"/>
  <c r="R1041" i="8"/>
  <c r="R1042" i="8"/>
  <c r="R1043" i="8"/>
  <c r="R1044" i="8"/>
  <c r="R1045" i="8"/>
  <c r="R1046" i="8"/>
  <c r="R1047" i="8"/>
  <c r="R1048" i="8"/>
  <c r="R1049" i="8"/>
  <c r="R1050" i="8"/>
  <c r="R1051" i="8"/>
  <c r="R1052" i="8"/>
  <c r="R1053" i="8"/>
  <c r="R1054" i="8"/>
  <c r="R1055" i="8"/>
  <c r="R1056" i="8"/>
  <c r="R1057" i="8"/>
  <c r="R1058" i="8"/>
  <c r="R1059" i="8"/>
  <c r="R1060" i="8"/>
  <c r="R1061" i="8"/>
  <c r="R1062" i="8"/>
  <c r="R1063" i="8"/>
  <c r="R1064" i="8"/>
  <c r="R1065" i="8"/>
  <c r="R1066" i="8"/>
  <c r="R1067" i="8"/>
  <c r="R1068" i="8"/>
  <c r="R1069" i="8"/>
  <c r="R1070" i="8"/>
  <c r="R1071" i="8"/>
  <c r="R1072" i="8"/>
  <c r="R1073" i="8"/>
  <c r="R1074" i="8"/>
  <c r="R1075" i="8"/>
  <c r="R1076" i="8"/>
  <c r="R1077" i="8"/>
  <c r="R1078" i="8"/>
  <c r="R1079" i="8"/>
  <c r="R1080" i="8"/>
  <c r="R1081" i="8"/>
  <c r="R1082" i="8"/>
  <c r="R1083" i="8"/>
  <c r="R1084" i="8"/>
  <c r="R1085" i="8"/>
  <c r="R1086" i="8"/>
  <c r="R1087" i="8"/>
  <c r="R1088" i="8"/>
  <c r="R1089" i="8"/>
  <c r="R1090" i="8"/>
  <c r="R1091" i="8"/>
  <c r="R1092" i="8"/>
  <c r="R1093" i="8"/>
  <c r="R1094" i="8"/>
  <c r="R1095" i="8"/>
  <c r="R1096" i="8"/>
  <c r="R1097" i="8"/>
  <c r="R1098" i="8"/>
  <c r="R1099" i="8"/>
  <c r="R1100" i="8"/>
  <c r="R1101" i="8"/>
  <c r="R1102" i="8"/>
  <c r="R1103" i="8"/>
  <c r="R1104" i="8"/>
  <c r="R1105" i="8"/>
  <c r="R1106" i="8"/>
  <c r="R1107" i="8"/>
  <c r="R1108" i="8"/>
  <c r="R1109" i="8"/>
  <c r="R1110" i="8"/>
  <c r="R1111" i="8"/>
  <c r="R1112" i="8"/>
  <c r="R1113" i="8"/>
  <c r="R1114" i="8"/>
  <c r="R1115" i="8"/>
  <c r="R1116" i="8"/>
  <c r="R1117" i="8"/>
  <c r="R1118" i="8"/>
  <c r="R1119" i="8"/>
  <c r="R1120" i="8"/>
  <c r="R1121" i="8"/>
  <c r="R1122" i="8"/>
  <c r="R1123" i="8"/>
  <c r="R1124" i="8"/>
  <c r="R1125" i="8"/>
  <c r="R1126" i="8"/>
  <c r="R1127" i="8"/>
  <c r="R1128" i="8"/>
  <c r="R1129" i="8"/>
  <c r="R1130" i="8"/>
  <c r="R1131" i="8"/>
  <c r="R1132" i="8"/>
  <c r="R1133" i="8"/>
  <c r="R1134" i="8"/>
  <c r="R1135" i="8"/>
  <c r="R1136" i="8"/>
  <c r="R1137" i="8"/>
  <c r="R1138" i="8"/>
  <c r="R1139" i="8"/>
  <c r="R1140" i="8"/>
  <c r="R1141" i="8"/>
  <c r="R1142" i="8"/>
  <c r="R1143" i="8"/>
  <c r="R1144" i="8"/>
  <c r="R1145" i="8"/>
  <c r="R1146" i="8"/>
  <c r="R1147" i="8"/>
  <c r="R1148" i="8"/>
  <c r="R1149" i="8"/>
  <c r="R1150" i="8"/>
  <c r="R1151" i="8"/>
  <c r="R1152" i="8"/>
  <c r="R1153" i="8"/>
  <c r="R1154" i="8"/>
  <c r="R1155" i="8"/>
  <c r="R1156" i="8"/>
  <c r="R1157" i="8"/>
  <c r="R1158" i="8"/>
  <c r="R1159" i="8"/>
  <c r="R1160" i="8"/>
  <c r="R1161" i="8"/>
  <c r="R1162" i="8"/>
  <c r="R1163" i="8"/>
  <c r="R1164" i="8"/>
  <c r="R1165" i="8"/>
  <c r="R1166" i="8"/>
  <c r="R1167" i="8"/>
  <c r="R1168" i="8"/>
  <c r="R1169" i="8"/>
  <c r="R1170" i="8"/>
  <c r="R1171" i="8"/>
  <c r="R1172" i="8"/>
  <c r="R1173" i="8"/>
  <c r="R1174" i="8"/>
  <c r="R1175" i="8"/>
  <c r="R1176" i="8"/>
  <c r="R1177" i="8"/>
  <c r="R1178" i="8"/>
  <c r="R1179" i="8"/>
  <c r="R1180" i="8"/>
  <c r="R1181" i="8"/>
  <c r="R1182" i="8"/>
  <c r="R1183" i="8"/>
  <c r="R1184" i="8"/>
  <c r="R1185" i="8"/>
  <c r="R1186" i="8"/>
  <c r="R1187" i="8"/>
  <c r="R1188" i="8"/>
  <c r="R1189" i="8"/>
  <c r="R1190" i="8"/>
  <c r="R1191" i="8"/>
  <c r="R1192" i="8"/>
  <c r="R1193" i="8"/>
  <c r="R1194" i="8"/>
  <c r="R1195" i="8"/>
  <c r="R1196" i="8"/>
  <c r="R1197" i="8"/>
  <c r="R1198" i="8"/>
  <c r="R1199" i="8"/>
  <c r="R1200" i="8"/>
  <c r="R1201" i="8"/>
  <c r="R1202" i="8"/>
  <c r="R1203" i="8"/>
  <c r="R1204" i="8"/>
  <c r="R1205" i="8"/>
  <c r="R1206" i="8"/>
  <c r="R1207" i="8"/>
  <c r="R1208" i="8"/>
  <c r="R1209" i="8"/>
  <c r="R1210" i="8"/>
  <c r="R1211" i="8"/>
  <c r="R1212" i="8"/>
  <c r="R1213" i="8"/>
  <c r="R1214" i="8"/>
  <c r="R1215" i="8"/>
  <c r="R1216" i="8"/>
  <c r="R1217" i="8"/>
  <c r="R1218" i="8"/>
  <c r="R1219" i="8"/>
  <c r="R1220" i="8"/>
  <c r="R1221" i="8"/>
  <c r="R1222" i="8"/>
  <c r="R1223" i="8"/>
  <c r="R1224" i="8"/>
  <c r="R1225" i="8"/>
  <c r="R1226" i="8"/>
  <c r="R1227" i="8"/>
  <c r="R1228" i="8"/>
  <c r="R1229" i="8"/>
  <c r="R1230" i="8"/>
  <c r="R1231" i="8"/>
  <c r="R1232" i="8"/>
  <c r="R1233" i="8"/>
  <c r="R1234" i="8"/>
  <c r="R1235" i="8"/>
  <c r="R1236" i="8"/>
  <c r="R1237" i="8"/>
  <c r="R1238" i="8"/>
  <c r="R1239" i="8"/>
  <c r="R1240" i="8"/>
  <c r="R1241" i="8"/>
  <c r="R1242" i="8"/>
  <c r="R1243" i="8"/>
  <c r="R1244" i="8"/>
  <c r="R1245" i="8"/>
  <c r="R1246" i="8"/>
  <c r="R1247" i="8"/>
  <c r="R1248" i="8"/>
  <c r="R1249" i="8"/>
  <c r="R1250" i="8"/>
  <c r="R1251" i="8"/>
  <c r="R1252" i="8"/>
  <c r="R1253" i="8"/>
  <c r="R1254" i="8"/>
  <c r="R1255" i="8"/>
  <c r="R1256" i="8"/>
  <c r="R1257" i="8"/>
  <c r="R1258" i="8"/>
  <c r="R1259" i="8"/>
  <c r="R1260" i="8"/>
  <c r="R1261" i="8"/>
  <c r="R1262" i="8"/>
  <c r="R1263" i="8"/>
  <c r="R1264" i="8"/>
  <c r="R1265" i="8"/>
  <c r="R1266" i="8"/>
  <c r="R1267" i="8"/>
  <c r="R1268" i="8"/>
  <c r="R1269" i="8"/>
  <c r="R1270" i="8"/>
  <c r="R1271" i="8"/>
  <c r="R1272" i="8"/>
  <c r="R1273" i="8"/>
  <c r="R1274" i="8"/>
  <c r="R1275" i="8"/>
  <c r="R1276" i="8"/>
  <c r="R1277" i="8"/>
  <c r="R1278" i="8"/>
  <c r="R1279" i="8"/>
  <c r="R1280" i="8"/>
  <c r="R1281" i="8"/>
  <c r="R1282" i="8"/>
  <c r="R1283" i="8"/>
  <c r="R1284" i="8"/>
  <c r="R1285" i="8"/>
  <c r="R1286" i="8"/>
  <c r="R1287" i="8"/>
  <c r="R1288" i="8"/>
  <c r="R1289" i="8"/>
  <c r="R1290" i="8"/>
  <c r="R1291" i="8"/>
  <c r="R1292" i="8"/>
  <c r="R1293" i="8"/>
  <c r="R1294" i="8"/>
  <c r="R1295" i="8"/>
  <c r="R1296" i="8"/>
  <c r="R1297" i="8"/>
  <c r="R1298" i="8"/>
  <c r="R1299" i="8"/>
  <c r="R1300" i="8"/>
  <c r="R1301" i="8"/>
  <c r="R1302" i="8"/>
  <c r="R1303" i="8"/>
  <c r="R1304" i="8"/>
  <c r="R1305" i="8"/>
  <c r="R1306" i="8"/>
  <c r="R1307" i="8"/>
  <c r="R1308" i="8"/>
  <c r="R1309" i="8"/>
  <c r="R1310" i="8"/>
  <c r="R1311" i="8"/>
  <c r="R1312" i="8"/>
  <c r="R1313" i="8"/>
  <c r="R1314" i="8"/>
  <c r="R1315" i="8"/>
  <c r="R1316" i="8"/>
  <c r="R1317" i="8"/>
  <c r="R1318" i="8"/>
  <c r="R1319" i="8"/>
  <c r="R1320" i="8"/>
  <c r="R1321" i="8"/>
  <c r="R1322" i="8"/>
  <c r="R1323" i="8"/>
  <c r="R1324" i="8"/>
  <c r="R1325" i="8"/>
  <c r="R1326" i="8"/>
  <c r="R1327" i="8"/>
  <c r="R1328" i="8"/>
  <c r="R1329" i="8"/>
  <c r="R1330" i="8"/>
  <c r="R1331" i="8"/>
  <c r="R1332" i="8"/>
  <c r="R1333" i="8"/>
  <c r="R1334" i="8"/>
  <c r="R1335" i="8"/>
  <c r="R1336" i="8"/>
  <c r="R1337" i="8"/>
  <c r="R1338" i="8"/>
  <c r="R1339" i="8"/>
  <c r="R1340" i="8"/>
  <c r="R1341" i="8"/>
  <c r="R1342" i="8"/>
  <c r="R1343" i="8"/>
  <c r="R1344" i="8"/>
  <c r="R1345" i="8"/>
  <c r="R1346" i="8"/>
  <c r="R1347" i="8"/>
  <c r="R1348" i="8"/>
  <c r="R1349" i="8"/>
  <c r="R1350" i="8"/>
  <c r="R1351" i="8"/>
  <c r="R1352" i="8"/>
  <c r="R1353" i="8"/>
  <c r="R1354" i="8"/>
  <c r="R1355" i="8"/>
  <c r="R1356" i="8"/>
  <c r="R1357" i="8"/>
  <c r="R1358" i="8"/>
  <c r="R1359" i="8"/>
  <c r="R1360" i="8"/>
  <c r="R1361" i="8"/>
  <c r="R1362" i="8"/>
  <c r="R1363" i="8"/>
  <c r="R1364" i="8"/>
  <c r="R1365" i="8"/>
  <c r="R1366" i="8"/>
  <c r="R1367" i="8"/>
  <c r="R1368" i="8"/>
  <c r="R1369" i="8"/>
  <c r="R1370" i="8"/>
  <c r="R1371" i="8"/>
  <c r="R1372" i="8"/>
  <c r="R1373" i="8"/>
  <c r="R1374" i="8"/>
  <c r="R1375" i="8"/>
  <c r="R1376" i="8"/>
  <c r="R1377" i="8"/>
  <c r="R1378" i="8"/>
  <c r="R1379" i="8"/>
  <c r="R1380" i="8"/>
  <c r="R1381" i="8"/>
  <c r="R1382" i="8"/>
  <c r="R1383" i="8"/>
  <c r="R1384" i="8"/>
  <c r="R1385" i="8"/>
  <c r="R1386" i="8"/>
  <c r="R1387" i="8"/>
  <c r="R1388" i="8"/>
  <c r="R1389" i="8"/>
  <c r="R1390" i="8"/>
  <c r="R1391" i="8"/>
  <c r="R1392" i="8"/>
  <c r="R1393" i="8"/>
  <c r="R1394" i="8"/>
  <c r="R1395" i="8"/>
  <c r="R1396" i="8"/>
  <c r="R1397" i="8"/>
  <c r="R1398" i="8"/>
  <c r="R1399" i="8"/>
  <c r="R1400" i="8"/>
  <c r="R1401" i="8"/>
  <c r="R1402" i="8"/>
  <c r="R1403" i="8"/>
  <c r="R1404" i="8"/>
  <c r="R1405" i="8"/>
  <c r="R1406" i="8"/>
  <c r="R1407" i="8"/>
  <c r="R1408" i="8"/>
  <c r="R1409" i="8"/>
  <c r="R1410" i="8"/>
  <c r="R1411" i="8"/>
  <c r="R1412" i="8"/>
  <c r="R1413" i="8"/>
  <c r="R1414" i="8"/>
  <c r="R1415" i="8"/>
  <c r="R1416" i="8"/>
  <c r="R1417" i="8"/>
  <c r="R1418" i="8"/>
  <c r="R1419" i="8"/>
  <c r="R1420" i="8"/>
  <c r="R1421" i="8"/>
  <c r="R1422" i="8"/>
  <c r="R1423" i="8"/>
  <c r="R1424" i="8"/>
  <c r="R1425" i="8"/>
  <c r="R1426" i="8"/>
  <c r="R1427" i="8"/>
  <c r="R1428" i="8"/>
  <c r="R1429" i="8"/>
  <c r="R1430" i="8"/>
  <c r="R1431" i="8"/>
  <c r="R1432" i="8"/>
  <c r="R1433" i="8"/>
  <c r="R1434" i="8"/>
  <c r="R1435" i="8"/>
  <c r="R1436" i="8"/>
  <c r="R1437" i="8"/>
  <c r="R1438" i="8"/>
  <c r="R1439" i="8"/>
  <c r="R1440" i="8"/>
  <c r="R1441" i="8"/>
  <c r="R1442" i="8"/>
  <c r="R1443" i="8"/>
  <c r="R1444" i="8"/>
  <c r="R1445" i="8"/>
  <c r="R1446" i="8"/>
  <c r="R1447" i="8"/>
  <c r="R1448" i="8"/>
  <c r="R1449" i="8"/>
  <c r="R1450" i="8"/>
  <c r="R1451" i="8"/>
  <c r="R1452" i="8"/>
  <c r="R1453" i="8"/>
  <c r="R1454" i="8"/>
  <c r="R1455" i="8"/>
  <c r="R1456" i="8"/>
  <c r="R1457" i="8"/>
  <c r="R1458" i="8"/>
  <c r="R1459" i="8"/>
  <c r="R1460" i="8"/>
  <c r="R1461" i="8"/>
  <c r="R1462" i="8"/>
  <c r="R1463" i="8"/>
  <c r="R1464" i="8"/>
  <c r="R1465" i="8"/>
  <c r="R1466" i="8"/>
  <c r="R1467" i="8"/>
  <c r="R1468" i="8"/>
  <c r="R1469" i="8"/>
  <c r="R1470" i="8"/>
  <c r="R1471" i="8"/>
  <c r="R1472" i="8"/>
  <c r="R1473" i="8"/>
  <c r="R1474" i="8"/>
  <c r="R1475" i="8"/>
  <c r="R1476" i="8"/>
  <c r="R1477" i="8"/>
  <c r="R1478" i="8"/>
  <c r="R1479" i="8"/>
  <c r="R1480" i="8"/>
  <c r="R1481" i="8"/>
  <c r="R1482" i="8"/>
  <c r="R1483" i="8"/>
  <c r="R1484" i="8"/>
  <c r="R1485" i="8"/>
  <c r="R1486" i="8"/>
  <c r="R1487" i="8"/>
  <c r="R1488" i="8"/>
  <c r="R1489" i="8"/>
  <c r="R1490" i="8"/>
  <c r="R1491" i="8"/>
  <c r="R1492" i="8"/>
  <c r="R1493" i="8"/>
  <c r="R1494" i="8"/>
  <c r="R1495" i="8"/>
  <c r="R1496" i="8"/>
  <c r="R1497" i="8"/>
  <c r="R1498" i="8"/>
  <c r="R1499" i="8"/>
  <c r="R1500" i="8"/>
  <c r="R1501" i="8"/>
  <c r="R1502" i="8"/>
  <c r="R1503" i="8"/>
  <c r="R1504" i="8"/>
  <c r="R1505" i="8"/>
  <c r="R1506" i="8"/>
  <c r="R1507" i="8"/>
  <c r="R1508" i="8"/>
  <c r="R1509" i="8"/>
  <c r="R1510" i="8"/>
  <c r="R1511" i="8"/>
  <c r="R1512" i="8"/>
  <c r="R1513" i="8"/>
  <c r="R1514" i="8"/>
  <c r="R1515" i="8"/>
  <c r="R1516" i="8"/>
  <c r="R1517" i="8"/>
  <c r="R1518" i="8"/>
  <c r="R1519" i="8"/>
  <c r="R1520" i="8"/>
  <c r="R1521" i="8"/>
  <c r="R1522" i="8"/>
  <c r="R1523" i="8"/>
  <c r="R1524" i="8"/>
  <c r="R1525" i="8"/>
  <c r="R1526" i="8"/>
  <c r="R1527" i="8"/>
  <c r="R1528" i="8"/>
  <c r="R1529" i="8"/>
  <c r="R1530" i="8"/>
  <c r="R1531" i="8"/>
  <c r="R1532" i="8"/>
  <c r="R1533" i="8"/>
  <c r="R1534" i="8"/>
  <c r="R1535" i="8"/>
  <c r="R1536" i="8"/>
  <c r="R1537" i="8"/>
  <c r="R1538" i="8"/>
  <c r="R1539" i="8"/>
  <c r="R1540" i="8"/>
  <c r="R1541" i="8"/>
  <c r="R1542" i="8"/>
  <c r="R1543" i="8"/>
  <c r="R1544" i="8"/>
  <c r="R1545" i="8"/>
  <c r="R1546" i="8"/>
  <c r="R1547" i="8"/>
  <c r="R1548" i="8"/>
  <c r="R1549" i="8"/>
  <c r="R1550" i="8"/>
  <c r="R1551" i="8"/>
  <c r="R1552" i="8"/>
  <c r="R1553" i="8"/>
  <c r="R1554" i="8"/>
  <c r="R1555" i="8"/>
  <c r="R1556" i="8"/>
  <c r="R1557" i="8"/>
  <c r="R1558" i="8"/>
  <c r="R1559" i="8"/>
  <c r="R1560" i="8"/>
  <c r="R1561" i="8"/>
  <c r="R1562" i="8"/>
  <c r="R1563" i="8"/>
  <c r="R1564" i="8"/>
  <c r="R1565" i="8"/>
  <c r="R1566" i="8"/>
  <c r="R1567" i="8"/>
  <c r="R1568" i="8"/>
  <c r="R1569" i="8"/>
  <c r="R1570" i="8"/>
  <c r="R1571" i="8"/>
  <c r="R1572" i="8"/>
  <c r="R1573" i="8"/>
  <c r="R1574" i="8"/>
  <c r="R1575" i="8"/>
  <c r="R1576" i="8"/>
  <c r="R1577" i="8"/>
  <c r="R1578" i="8"/>
  <c r="R1579" i="8"/>
  <c r="R1580" i="8"/>
  <c r="R1581" i="8"/>
  <c r="R1582" i="8"/>
  <c r="R1583" i="8"/>
  <c r="R1584" i="8"/>
  <c r="R1585" i="8"/>
  <c r="R1586" i="8"/>
  <c r="R1587" i="8"/>
  <c r="R1588" i="8"/>
  <c r="R1589" i="8"/>
  <c r="R1590" i="8"/>
  <c r="R1591" i="8"/>
  <c r="R1592" i="8"/>
  <c r="R1593" i="8"/>
  <c r="R1594" i="8"/>
  <c r="R1595" i="8"/>
  <c r="R1596" i="8"/>
  <c r="R1597" i="8"/>
  <c r="R1598" i="8"/>
  <c r="R1599" i="8"/>
  <c r="R1600" i="8"/>
  <c r="R1601" i="8"/>
  <c r="R1602" i="8"/>
  <c r="R1603" i="8"/>
  <c r="R1604" i="8"/>
  <c r="R1605" i="8"/>
  <c r="R1606" i="8"/>
  <c r="R1607" i="8"/>
  <c r="R1608" i="8"/>
  <c r="R1609" i="8"/>
  <c r="R1610" i="8"/>
  <c r="R1611" i="8"/>
  <c r="R1612" i="8"/>
  <c r="R1613" i="8"/>
  <c r="R1614" i="8"/>
  <c r="R1615" i="8"/>
  <c r="R1616" i="8"/>
  <c r="R1617" i="8"/>
  <c r="R1618" i="8"/>
  <c r="R1619" i="8"/>
  <c r="R1620" i="8"/>
  <c r="R1621" i="8"/>
  <c r="R1622" i="8"/>
  <c r="R1623" i="8"/>
  <c r="R1624" i="8"/>
  <c r="R1625" i="8"/>
  <c r="R1626" i="8"/>
  <c r="R1627" i="8"/>
  <c r="R1628" i="8"/>
  <c r="R1629" i="8"/>
  <c r="R1630" i="8"/>
  <c r="R1631" i="8"/>
  <c r="R1632" i="8"/>
  <c r="R1633" i="8"/>
  <c r="R1634" i="8"/>
  <c r="R1635" i="8"/>
  <c r="R1636" i="8"/>
  <c r="R1637" i="8"/>
  <c r="R1638" i="8"/>
  <c r="R1639" i="8"/>
  <c r="R1640" i="8"/>
  <c r="R1641" i="8"/>
  <c r="R1642" i="8"/>
  <c r="R1643" i="8"/>
  <c r="R1644" i="8"/>
  <c r="R1645" i="8"/>
  <c r="R1646" i="8"/>
  <c r="R1647" i="8"/>
  <c r="R1648" i="8"/>
  <c r="R1649" i="8"/>
  <c r="R1650" i="8"/>
  <c r="R1651" i="8"/>
  <c r="R1652" i="8"/>
  <c r="R1653" i="8"/>
  <c r="R1654" i="8"/>
  <c r="R1655" i="8"/>
  <c r="R1656" i="8"/>
  <c r="R1657" i="8"/>
  <c r="R1658" i="8"/>
  <c r="R1659" i="8"/>
  <c r="R1660" i="8"/>
  <c r="R1661" i="8"/>
  <c r="R1662" i="8"/>
  <c r="R1663" i="8"/>
  <c r="R1664" i="8"/>
  <c r="R1665" i="8"/>
  <c r="R1666" i="8"/>
  <c r="R1667" i="8"/>
  <c r="R1668" i="8"/>
  <c r="R1669" i="8"/>
  <c r="R1670" i="8"/>
  <c r="R1671" i="8"/>
  <c r="R1672" i="8"/>
  <c r="R1673" i="8"/>
  <c r="R1674" i="8"/>
  <c r="R1675" i="8"/>
  <c r="R1676" i="8"/>
  <c r="R1677" i="8"/>
  <c r="R1678" i="8"/>
  <c r="R1679" i="8"/>
  <c r="R1680" i="8"/>
  <c r="R1681" i="8"/>
  <c r="R1682" i="8"/>
  <c r="R1683" i="8"/>
  <c r="R1684" i="8"/>
  <c r="R1685" i="8"/>
  <c r="R1686" i="8"/>
  <c r="R1687" i="8"/>
  <c r="R1688" i="8"/>
  <c r="R1689" i="8"/>
  <c r="R1690" i="8"/>
  <c r="R1691" i="8"/>
  <c r="R1692" i="8"/>
  <c r="R1693" i="8"/>
  <c r="R1694" i="8"/>
  <c r="R1695" i="8"/>
  <c r="R1696" i="8"/>
  <c r="R1697" i="8"/>
  <c r="R1698" i="8"/>
  <c r="R1699" i="8"/>
  <c r="R1700" i="8"/>
  <c r="R1701" i="8"/>
  <c r="R1702" i="8"/>
  <c r="R1703" i="8"/>
  <c r="R1704" i="8"/>
  <c r="R1705" i="8"/>
  <c r="R1706" i="8"/>
  <c r="R1707" i="8"/>
  <c r="R1708" i="8"/>
  <c r="R1709" i="8"/>
  <c r="R1710" i="8"/>
  <c r="R1711" i="8"/>
  <c r="R1712" i="8"/>
  <c r="R1713" i="8"/>
  <c r="R1714" i="8"/>
  <c r="R1715" i="8"/>
  <c r="R1716" i="8"/>
  <c r="R1717" i="8"/>
  <c r="R1718" i="8"/>
  <c r="R1719" i="8"/>
  <c r="R1720" i="8"/>
  <c r="R1721" i="8"/>
  <c r="R1722" i="8"/>
  <c r="R1723" i="8"/>
  <c r="R1724" i="8"/>
  <c r="R1725" i="8"/>
  <c r="R1726" i="8"/>
  <c r="R1727" i="8"/>
  <c r="R1728" i="8"/>
  <c r="R1729" i="8"/>
  <c r="R1730" i="8"/>
  <c r="R1731" i="8"/>
  <c r="R1732" i="8"/>
  <c r="R1733" i="8"/>
  <c r="R1734" i="8"/>
  <c r="R1735" i="8"/>
  <c r="R1736" i="8"/>
  <c r="R1737" i="8"/>
  <c r="R1738" i="8"/>
  <c r="R1739" i="8"/>
  <c r="R1740" i="8"/>
  <c r="R1741" i="8"/>
  <c r="R1742" i="8"/>
  <c r="R1743" i="8"/>
  <c r="R1744" i="8"/>
  <c r="R1745" i="8"/>
  <c r="R1746" i="8"/>
  <c r="R1747" i="8"/>
  <c r="R1748" i="8"/>
  <c r="R1749" i="8"/>
  <c r="R1750" i="8"/>
  <c r="R1751" i="8"/>
  <c r="R1752" i="8"/>
  <c r="R1753" i="8"/>
  <c r="R1754" i="8"/>
  <c r="R1755" i="8"/>
  <c r="R1756" i="8"/>
  <c r="R1757" i="8"/>
  <c r="R1758" i="8"/>
  <c r="R1759" i="8"/>
  <c r="R1760" i="8"/>
  <c r="R1761" i="8"/>
  <c r="R1762" i="8"/>
  <c r="R1763" i="8"/>
  <c r="R1764" i="8"/>
  <c r="R1765" i="8"/>
  <c r="R1766" i="8"/>
  <c r="R1767" i="8"/>
  <c r="R1768" i="8"/>
  <c r="R1769" i="8"/>
  <c r="R1770" i="8"/>
  <c r="R1771" i="8"/>
  <c r="R1772" i="8"/>
  <c r="R1773" i="8"/>
  <c r="R1774" i="8"/>
  <c r="R1775" i="8"/>
  <c r="R1776" i="8"/>
  <c r="R1777" i="8"/>
  <c r="R1778" i="8"/>
  <c r="R1779" i="8"/>
  <c r="R1780" i="8"/>
  <c r="R1781" i="8"/>
  <c r="R1782" i="8"/>
  <c r="R1783" i="8"/>
  <c r="R1784" i="8"/>
  <c r="R1785" i="8"/>
  <c r="R1786" i="8"/>
  <c r="R1787" i="8"/>
  <c r="R1788" i="8"/>
  <c r="R1789" i="8"/>
  <c r="R1790" i="8"/>
  <c r="R1791" i="8"/>
  <c r="R1792" i="8"/>
  <c r="R1793" i="8"/>
  <c r="R1794" i="8"/>
  <c r="R1795" i="8"/>
  <c r="R1796" i="8"/>
  <c r="R1797" i="8"/>
  <c r="R1798" i="8"/>
  <c r="R1799" i="8"/>
  <c r="R1800" i="8"/>
  <c r="R1801" i="8"/>
  <c r="R1802" i="8"/>
  <c r="R1803" i="8"/>
  <c r="R1804" i="8"/>
  <c r="R1805" i="8"/>
  <c r="R1806" i="8"/>
  <c r="R1807" i="8"/>
  <c r="R1808" i="8"/>
  <c r="R1809" i="8"/>
  <c r="R1810" i="8"/>
  <c r="R1811" i="8"/>
  <c r="R1812" i="8"/>
  <c r="R1813" i="8"/>
  <c r="R1814" i="8"/>
  <c r="R1815" i="8"/>
  <c r="R1816" i="8"/>
  <c r="R1817" i="8"/>
  <c r="R1818" i="8"/>
  <c r="R1819" i="8"/>
  <c r="R1820" i="8"/>
  <c r="R1821" i="8"/>
  <c r="R1822" i="8"/>
  <c r="R1823" i="8"/>
  <c r="R1824" i="8"/>
  <c r="R1825" i="8"/>
  <c r="R1826" i="8"/>
  <c r="R1827" i="8"/>
  <c r="R1828" i="8"/>
  <c r="R1829" i="8"/>
  <c r="R1830" i="8"/>
  <c r="R1831" i="8"/>
  <c r="R1832" i="8"/>
  <c r="R1833" i="8"/>
  <c r="R1834" i="8"/>
  <c r="R1835" i="8"/>
  <c r="R1836" i="8"/>
  <c r="R1837" i="8"/>
  <c r="R1838" i="8"/>
  <c r="R1839" i="8"/>
  <c r="R1840" i="8"/>
  <c r="R1841" i="8"/>
  <c r="R1842" i="8"/>
  <c r="R1843" i="8"/>
  <c r="R1844" i="8"/>
  <c r="R1845" i="8"/>
  <c r="R1846" i="8"/>
  <c r="R1847" i="8"/>
  <c r="R1848" i="8"/>
  <c r="R1849" i="8"/>
  <c r="R1850" i="8"/>
  <c r="R1851" i="8"/>
  <c r="R1852" i="8"/>
  <c r="R1853" i="8"/>
  <c r="R1854" i="8"/>
  <c r="R1855" i="8"/>
  <c r="R1856" i="8"/>
  <c r="R1857" i="8"/>
  <c r="R1858" i="8"/>
  <c r="R1859" i="8"/>
  <c r="R1860" i="8"/>
  <c r="R1861" i="8"/>
  <c r="R1862" i="8"/>
  <c r="R1863" i="8"/>
  <c r="R1864" i="8"/>
  <c r="R1865" i="8"/>
  <c r="R1866" i="8"/>
  <c r="R1867" i="8"/>
  <c r="R1868" i="8"/>
  <c r="R1869" i="8"/>
  <c r="R1870" i="8"/>
  <c r="R1871" i="8"/>
  <c r="R1872" i="8"/>
  <c r="R1873" i="8"/>
  <c r="R1874" i="8"/>
  <c r="R1875" i="8"/>
  <c r="R1876" i="8"/>
  <c r="R1877" i="8"/>
  <c r="R1878" i="8"/>
  <c r="R1879" i="8"/>
  <c r="R1880" i="8"/>
  <c r="R1881" i="8"/>
  <c r="R1882" i="8"/>
  <c r="R1883" i="8"/>
  <c r="R1884" i="8"/>
  <c r="R1885" i="8"/>
  <c r="R1886" i="8"/>
  <c r="R1887" i="8"/>
  <c r="R1888" i="8"/>
  <c r="R1889" i="8"/>
  <c r="R1890" i="8"/>
  <c r="R1891" i="8"/>
  <c r="R1892" i="8"/>
  <c r="R1893" i="8"/>
  <c r="R1894" i="8"/>
  <c r="R1895" i="8"/>
  <c r="R1896" i="8"/>
  <c r="R1897" i="8"/>
  <c r="R1898" i="8"/>
  <c r="R1899" i="8"/>
  <c r="R1900" i="8"/>
  <c r="R1901" i="8"/>
  <c r="R1902" i="8"/>
  <c r="R1903" i="8"/>
  <c r="R1904" i="8"/>
  <c r="R1905" i="8"/>
  <c r="R1906" i="8"/>
  <c r="R1907" i="8"/>
  <c r="R1908" i="8"/>
  <c r="R1909" i="8"/>
  <c r="R1910" i="8"/>
  <c r="R1911" i="8"/>
  <c r="R1912" i="8"/>
  <c r="R1913" i="8"/>
  <c r="R1914" i="8"/>
  <c r="R1915" i="8"/>
  <c r="R1916" i="8"/>
  <c r="R1917" i="8"/>
  <c r="R1918" i="8"/>
  <c r="R1919" i="8"/>
  <c r="R1920" i="8"/>
  <c r="R1921" i="8"/>
  <c r="R1922" i="8"/>
  <c r="R1923" i="8"/>
  <c r="R1924" i="8"/>
  <c r="R1925" i="8"/>
  <c r="R1926" i="8"/>
  <c r="F14" i="15" a="1"/>
  <c r="I5" i="15"/>
  <c r="J127" i="7"/>
  <c r="K127" i="7" s="1"/>
  <c r="F127" i="7"/>
  <c r="E127" i="7"/>
  <c r="J126" i="7"/>
  <c r="K126" i="7" s="1"/>
  <c r="F126" i="7"/>
  <c r="E126" i="7"/>
  <c r="J125" i="7"/>
  <c r="K125" i="7" s="1"/>
  <c r="F125" i="7"/>
  <c r="E125" i="7"/>
  <c r="J124" i="7"/>
  <c r="K124" i="7" s="1"/>
  <c r="F124" i="7"/>
  <c r="E124" i="7"/>
  <c r="J123" i="7"/>
  <c r="K123" i="7" s="1"/>
  <c r="F123" i="7"/>
  <c r="E123" i="7"/>
  <c r="J122" i="7"/>
  <c r="K122" i="7" s="1"/>
  <c r="F122" i="7"/>
  <c r="E122" i="7"/>
  <c r="J121" i="7"/>
  <c r="K121" i="7" s="1"/>
  <c r="F121" i="7"/>
  <c r="E121" i="7"/>
  <c r="J120" i="7"/>
  <c r="K120" i="7" s="1"/>
  <c r="F120" i="7"/>
  <c r="E120" i="7"/>
  <c r="J119" i="7"/>
  <c r="K119" i="7" s="1"/>
  <c r="F119" i="7"/>
  <c r="E119" i="7"/>
  <c r="J118" i="7"/>
  <c r="K118" i="7" s="1"/>
  <c r="F118" i="7"/>
  <c r="E118" i="7"/>
  <c r="J117" i="7"/>
  <c r="K117" i="7" s="1"/>
  <c r="F117" i="7"/>
  <c r="E117" i="7"/>
  <c r="J116" i="7"/>
  <c r="K116" i="7" s="1"/>
  <c r="F116" i="7"/>
  <c r="E116" i="7"/>
  <c r="J115" i="7"/>
  <c r="K115" i="7" s="1"/>
  <c r="F115" i="7"/>
  <c r="E115" i="7"/>
  <c r="J114" i="7"/>
  <c r="K114" i="7" s="1"/>
  <c r="F114" i="7"/>
  <c r="E114" i="7"/>
  <c r="J113" i="7"/>
  <c r="K113" i="7" s="1"/>
  <c r="F113" i="7"/>
  <c r="E113" i="7"/>
  <c r="J112" i="7"/>
  <c r="K112" i="7" s="1"/>
  <c r="F112" i="7"/>
  <c r="E112" i="7"/>
  <c r="J111" i="7"/>
  <c r="K111" i="7" s="1"/>
  <c r="F111" i="7"/>
  <c r="E111" i="7"/>
  <c r="J110" i="7"/>
  <c r="K110" i="7" s="1"/>
  <c r="F110" i="7"/>
  <c r="E110" i="7"/>
  <c r="J109" i="7"/>
  <c r="K109" i="7" s="1"/>
  <c r="F109" i="7"/>
  <c r="E109" i="7"/>
  <c r="J108" i="7"/>
  <c r="K108" i="7" s="1"/>
  <c r="F108" i="7"/>
  <c r="E108" i="7"/>
  <c r="J107" i="7"/>
  <c r="K107" i="7" s="1"/>
  <c r="F107" i="7"/>
  <c r="E107" i="7"/>
  <c r="J106" i="7"/>
  <c r="K106" i="7" s="1"/>
  <c r="F106" i="7"/>
  <c r="E106" i="7"/>
  <c r="J105" i="7"/>
  <c r="K105" i="7" s="1"/>
  <c r="F105" i="7"/>
  <c r="E105" i="7"/>
  <c r="J104" i="7"/>
  <c r="K104" i="7" s="1"/>
  <c r="F104" i="7"/>
  <c r="E104" i="7"/>
  <c r="J103" i="7"/>
  <c r="K103" i="7" s="1"/>
  <c r="F103" i="7"/>
  <c r="E103" i="7"/>
  <c r="J102" i="7"/>
  <c r="K102" i="7" s="1"/>
  <c r="F102" i="7"/>
  <c r="E102" i="7"/>
  <c r="J101" i="7"/>
  <c r="K101" i="7" s="1"/>
  <c r="F101" i="7"/>
  <c r="E101" i="7"/>
  <c r="J100" i="7"/>
  <c r="K100" i="7" s="1"/>
  <c r="F100" i="7"/>
  <c r="E100" i="7"/>
  <c r="J99" i="7"/>
  <c r="K99" i="7" s="1"/>
  <c r="F99" i="7"/>
  <c r="E99" i="7"/>
  <c r="J98" i="7"/>
  <c r="K98" i="7" s="1"/>
  <c r="F98" i="7"/>
  <c r="E98" i="7"/>
  <c r="J97" i="7"/>
  <c r="K97" i="7" s="1"/>
  <c r="F97" i="7"/>
  <c r="E97" i="7"/>
  <c r="J96" i="7"/>
  <c r="K96" i="7" s="1"/>
  <c r="F96" i="7"/>
  <c r="E96" i="7"/>
  <c r="J95" i="7"/>
  <c r="K95" i="7" s="1"/>
  <c r="F95" i="7"/>
  <c r="E95" i="7"/>
  <c r="J94" i="7"/>
  <c r="K94" i="7" s="1"/>
  <c r="F94" i="7"/>
  <c r="E94" i="7"/>
  <c r="J93" i="7"/>
  <c r="K93" i="7" s="1"/>
  <c r="F93" i="7"/>
  <c r="E93" i="7"/>
  <c r="J92" i="7"/>
  <c r="K92" i="7" s="1"/>
  <c r="F92" i="7"/>
  <c r="E92" i="7"/>
  <c r="J91" i="7"/>
  <c r="K91" i="7" s="1"/>
  <c r="F91" i="7"/>
  <c r="E91" i="7"/>
  <c r="J90" i="7"/>
  <c r="K90" i="7" s="1"/>
  <c r="F90" i="7"/>
  <c r="E90" i="7"/>
  <c r="J89" i="7"/>
  <c r="K89" i="7" s="1"/>
  <c r="F89" i="7"/>
  <c r="E89" i="7"/>
  <c r="J88" i="7"/>
  <c r="K88" i="7" s="1"/>
  <c r="F88" i="7"/>
  <c r="E88" i="7"/>
  <c r="J87" i="7"/>
  <c r="K87" i="7" s="1"/>
  <c r="F87" i="7"/>
  <c r="E87" i="7"/>
  <c r="J86" i="7"/>
  <c r="K86" i="7" s="1"/>
  <c r="F86" i="7"/>
  <c r="E86" i="7"/>
  <c r="J85" i="7"/>
  <c r="K85" i="7" s="1"/>
  <c r="F85" i="7"/>
  <c r="E85" i="7"/>
  <c r="J84" i="7"/>
  <c r="K84" i="7" s="1"/>
  <c r="F84" i="7"/>
  <c r="E84" i="7"/>
  <c r="J83" i="7"/>
  <c r="K83" i="7" s="1"/>
  <c r="F83" i="7"/>
  <c r="E83" i="7"/>
  <c r="J82" i="7"/>
  <c r="K82" i="7" s="1"/>
  <c r="F82" i="7"/>
  <c r="E82" i="7"/>
  <c r="J81" i="7"/>
  <c r="K81" i="7" s="1"/>
  <c r="F81" i="7"/>
  <c r="E81" i="7"/>
  <c r="J80" i="7"/>
  <c r="K80" i="7" s="1"/>
  <c r="F80" i="7"/>
  <c r="E80" i="7"/>
  <c r="J79" i="7"/>
  <c r="K79" i="7" s="1"/>
  <c r="F79" i="7"/>
  <c r="E79" i="7"/>
  <c r="J78" i="7"/>
  <c r="K78" i="7" s="1"/>
  <c r="F78" i="7"/>
  <c r="E78" i="7"/>
  <c r="J77" i="7"/>
  <c r="K77" i="7" s="1"/>
  <c r="F77" i="7"/>
  <c r="E77" i="7"/>
  <c r="J76" i="7"/>
  <c r="K76" i="7" s="1"/>
  <c r="F76" i="7"/>
  <c r="E76" i="7"/>
  <c r="J75" i="7"/>
  <c r="K75" i="7" s="1"/>
  <c r="F75" i="7"/>
  <c r="E75" i="7"/>
  <c r="J74" i="7"/>
  <c r="K74" i="7" s="1"/>
  <c r="F74" i="7"/>
  <c r="E74" i="7"/>
  <c r="J73" i="7"/>
  <c r="K73" i="7" s="1"/>
  <c r="F73" i="7"/>
  <c r="E73" i="7"/>
  <c r="J72" i="7"/>
  <c r="K72" i="7" s="1"/>
  <c r="F72" i="7"/>
  <c r="E72" i="7"/>
  <c r="J71" i="7"/>
  <c r="K71" i="7" s="1"/>
  <c r="F71" i="7"/>
  <c r="E71" i="7"/>
  <c r="J70" i="7"/>
  <c r="K70" i="7" s="1"/>
  <c r="F70" i="7"/>
  <c r="E70" i="7"/>
  <c r="J69" i="7"/>
  <c r="K69" i="7" s="1"/>
  <c r="F69" i="7"/>
  <c r="E69" i="7"/>
  <c r="J68" i="7"/>
  <c r="K68" i="7" s="1"/>
  <c r="F68" i="7"/>
  <c r="E68" i="7"/>
  <c r="J67" i="7"/>
  <c r="K67" i="7" s="1"/>
  <c r="F67" i="7"/>
  <c r="E67" i="7"/>
  <c r="J66" i="7"/>
  <c r="K66" i="7" s="1"/>
  <c r="F66" i="7"/>
  <c r="E66" i="7"/>
  <c r="J65" i="7"/>
  <c r="K65" i="7" s="1"/>
  <c r="F65" i="7"/>
  <c r="E65" i="7"/>
  <c r="J64" i="7"/>
  <c r="K64" i="7" s="1"/>
  <c r="F64" i="7"/>
  <c r="E64" i="7"/>
  <c r="J63" i="7"/>
  <c r="K63" i="7" s="1"/>
  <c r="F63" i="7"/>
  <c r="E63" i="7"/>
  <c r="J62" i="7"/>
  <c r="K62" i="7" s="1"/>
  <c r="F62" i="7"/>
  <c r="E62" i="7"/>
  <c r="J61" i="7"/>
  <c r="K61" i="7" s="1"/>
  <c r="F61" i="7"/>
  <c r="E61" i="7"/>
  <c r="J60" i="7"/>
  <c r="K60" i="7" s="1"/>
  <c r="F60" i="7"/>
  <c r="E60" i="7"/>
  <c r="J59" i="7"/>
  <c r="K59" i="7" s="1"/>
  <c r="F59" i="7"/>
  <c r="E59" i="7"/>
  <c r="J58" i="7"/>
  <c r="K58" i="7" s="1"/>
  <c r="F58" i="7"/>
  <c r="E58" i="7"/>
  <c r="J57" i="7"/>
  <c r="K57" i="7" s="1"/>
  <c r="F57" i="7"/>
  <c r="E57" i="7"/>
  <c r="J56" i="7"/>
  <c r="K56" i="7" s="1"/>
  <c r="F56" i="7"/>
  <c r="E56" i="7"/>
  <c r="J55" i="7"/>
  <c r="K55" i="7" s="1"/>
  <c r="F55" i="7"/>
  <c r="E55" i="7"/>
  <c r="J54" i="7"/>
  <c r="K54" i="7" s="1"/>
  <c r="F54" i="7"/>
  <c r="E54" i="7"/>
  <c r="J53" i="7"/>
  <c r="K53" i="7" s="1"/>
  <c r="F53" i="7"/>
  <c r="E53" i="7"/>
  <c r="J52" i="7"/>
  <c r="K52" i="7" s="1"/>
  <c r="F52" i="7"/>
  <c r="E52" i="7"/>
  <c r="J51" i="7"/>
  <c r="K51" i="7" s="1"/>
  <c r="F51" i="7"/>
  <c r="E51" i="7"/>
  <c r="J50" i="7"/>
  <c r="K50" i="7" s="1"/>
  <c r="F50" i="7"/>
  <c r="E50" i="7"/>
  <c r="J49" i="7"/>
  <c r="K49" i="7" s="1"/>
  <c r="F49" i="7"/>
  <c r="E49" i="7"/>
  <c r="J48" i="7"/>
  <c r="K48" i="7" s="1"/>
  <c r="F48" i="7"/>
  <c r="E48" i="7"/>
  <c r="J47" i="7"/>
  <c r="K47" i="7" s="1"/>
  <c r="F47" i="7"/>
  <c r="E47" i="7"/>
  <c r="J46" i="7"/>
  <c r="K46" i="7" s="1"/>
  <c r="F46" i="7"/>
  <c r="E46" i="7"/>
  <c r="J45" i="7"/>
  <c r="K45" i="7" s="1"/>
  <c r="F45" i="7"/>
  <c r="E45" i="7"/>
  <c r="J44" i="7"/>
  <c r="K44" i="7" s="1"/>
  <c r="F44" i="7"/>
  <c r="E44" i="7"/>
  <c r="J43" i="7"/>
  <c r="K43" i="7" s="1"/>
  <c r="F43" i="7"/>
  <c r="E43" i="7"/>
  <c r="J42" i="7"/>
  <c r="K42" i="7" s="1"/>
  <c r="F42" i="7"/>
  <c r="E42" i="7"/>
  <c r="J41" i="7"/>
  <c r="K41" i="7" s="1"/>
  <c r="F41" i="7"/>
  <c r="E41" i="7"/>
  <c r="J40" i="7"/>
  <c r="K40" i="7" s="1"/>
  <c r="F40" i="7"/>
  <c r="E40" i="7"/>
  <c r="J39" i="7"/>
  <c r="K39" i="7" s="1"/>
  <c r="F39" i="7"/>
  <c r="E39" i="7"/>
  <c r="J38" i="7"/>
  <c r="K38" i="7" s="1"/>
  <c r="F38" i="7"/>
  <c r="E38" i="7"/>
  <c r="J37" i="7"/>
  <c r="K37" i="7" s="1"/>
  <c r="F37" i="7"/>
  <c r="E37" i="7"/>
  <c r="J36" i="7"/>
  <c r="K36" i="7" s="1"/>
  <c r="F36" i="7"/>
  <c r="E36" i="7"/>
  <c r="J35" i="7"/>
  <c r="K35" i="7" s="1"/>
  <c r="F35" i="7"/>
  <c r="E35" i="7"/>
  <c r="J34" i="7"/>
  <c r="K34" i="7" s="1"/>
  <c r="F34" i="7"/>
  <c r="E34" i="7"/>
  <c r="J33" i="7"/>
  <c r="K33" i="7" s="1"/>
  <c r="F33" i="7"/>
  <c r="E33" i="7"/>
  <c r="J32" i="7"/>
  <c r="K32" i="7" s="1"/>
  <c r="F32" i="7"/>
  <c r="E32" i="7"/>
  <c r="J31" i="7"/>
  <c r="K31" i="7" s="1"/>
  <c r="F31" i="7"/>
  <c r="E31" i="7"/>
  <c r="J30" i="7"/>
  <c r="K30" i="7" s="1"/>
  <c r="F30" i="7"/>
  <c r="E30" i="7"/>
  <c r="J29" i="7"/>
  <c r="K29" i="7" s="1"/>
  <c r="F29" i="7"/>
  <c r="E29" i="7"/>
  <c r="J28" i="7"/>
  <c r="K28" i="7" s="1"/>
  <c r="F28" i="7"/>
  <c r="E28" i="7"/>
  <c r="J27" i="7"/>
  <c r="K27" i="7" s="1"/>
  <c r="F27" i="7"/>
  <c r="E27" i="7"/>
  <c r="J26" i="7"/>
  <c r="K26" i="7" s="1"/>
  <c r="F26" i="7"/>
  <c r="E26" i="7"/>
  <c r="J25" i="7"/>
  <c r="K25" i="7" s="1"/>
  <c r="F25" i="7"/>
  <c r="E25" i="7"/>
  <c r="J24" i="7"/>
  <c r="K24" i="7" s="1"/>
  <c r="F24" i="7"/>
  <c r="E24" i="7"/>
  <c r="J23" i="7"/>
  <c r="K23" i="7" s="1"/>
  <c r="F23" i="7"/>
  <c r="E23" i="7"/>
  <c r="J22" i="7"/>
  <c r="K22" i="7" s="1"/>
  <c r="F22" i="7"/>
  <c r="E22" i="7"/>
  <c r="J21" i="7"/>
  <c r="K21" i="7" s="1"/>
  <c r="F21" i="7"/>
  <c r="E21" i="7"/>
  <c r="J20" i="7"/>
  <c r="K20" i="7" s="1"/>
  <c r="F20" i="7"/>
  <c r="E20" i="7"/>
  <c r="J19" i="7"/>
  <c r="K19" i="7" s="1"/>
  <c r="F19" i="7"/>
  <c r="E19" i="7"/>
  <c r="J18" i="7"/>
  <c r="K18" i="7" s="1"/>
  <c r="F18" i="7"/>
  <c r="E18" i="7"/>
  <c r="J17" i="7"/>
  <c r="K17" i="7" s="1"/>
  <c r="F17" i="7"/>
  <c r="E17" i="7"/>
  <c r="J16" i="7"/>
  <c r="K16" i="7" s="1"/>
  <c r="F16" i="7"/>
  <c r="E16" i="7"/>
  <c r="J15" i="7"/>
  <c r="K15" i="7" s="1"/>
  <c r="F15" i="7"/>
  <c r="E15" i="7"/>
  <c r="J14" i="7"/>
  <c r="K14" i="7" s="1"/>
  <c r="F14" i="7"/>
  <c r="E14" i="7"/>
  <c r="J13" i="7"/>
  <c r="K13" i="7" s="1"/>
  <c r="F13" i="7"/>
  <c r="E13" i="7"/>
  <c r="J12" i="7"/>
  <c r="K12" i="7" s="1"/>
  <c r="F12" i="7"/>
  <c r="E12" i="7"/>
  <c r="J11" i="7"/>
  <c r="K11" i="7" s="1"/>
  <c r="F11" i="7"/>
  <c r="E11" i="7"/>
  <c r="J10" i="7"/>
  <c r="K10" i="7" s="1"/>
  <c r="F10" i="7"/>
  <c r="E10" i="7"/>
  <c r="J9" i="7"/>
  <c r="K9" i="7" s="1"/>
  <c r="F9" i="7"/>
  <c r="E9" i="7"/>
  <c r="J8" i="7"/>
  <c r="K8" i="7" s="1"/>
  <c r="F8" i="7"/>
  <c r="E8" i="7"/>
  <c r="J7" i="7"/>
  <c r="K7" i="7" s="1"/>
  <c r="F7" i="7"/>
  <c r="E7" i="7"/>
  <c r="J6" i="7"/>
  <c r="K6" i="7" s="1"/>
  <c r="F6" i="7"/>
  <c r="E6" i="7"/>
  <c r="J5" i="7"/>
  <c r="K5" i="7" s="1"/>
  <c r="F5" i="7"/>
  <c r="E5" i="7"/>
  <c r="A600" i="10"/>
  <c r="A599" i="10"/>
  <c r="A598" i="10"/>
  <c r="A597" i="10"/>
  <c r="Q597" i="10" s="1"/>
  <c r="A596" i="10"/>
  <c r="A595" i="10"/>
  <c r="Q595" i="10" s="1"/>
  <c r="A594" i="10"/>
  <c r="A593" i="10"/>
  <c r="A592" i="10"/>
  <c r="A591" i="10"/>
  <c r="A590" i="10"/>
  <c r="Q590" i="10" s="1"/>
  <c r="A589" i="10"/>
  <c r="A588" i="10"/>
  <c r="Q588" i="10" s="1"/>
  <c r="A587" i="10"/>
  <c r="A586" i="10"/>
  <c r="A585" i="10"/>
  <c r="Q585" i="10" s="1"/>
  <c r="A584" i="10"/>
  <c r="A583" i="10"/>
  <c r="A582" i="10"/>
  <c r="A581" i="10"/>
  <c r="Q581" i="10" s="1"/>
  <c r="A580" i="10"/>
  <c r="A579" i="10"/>
  <c r="A578" i="10"/>
  <c r="A577" i="10"/>
  <c r="A576" i="10"/>
  <c r="Q576" i="10" s="1"/>
  <c r="A575" i="10"/>
  <c r="Q575" i="10" s="1"/>
  <c r="A574" i="10"/>
  <c r="A573" i="10"/>
  <c r="Q573" i="10" s="1"/>
  <c r="A572" i="10"/>
  <c r="A571" i="10"/>
  <c r="A570" i="10"/>
  <c r="A569" i="10"/>
  <c r="A568" i="10"/>
  <c r="A567" i="10"/>
  <c r="Q567" i="10" s="1"/>
  <c r="A566" i="10"/>
  <c r="Q566" i="10" s="1"/>
  <c r="A565" i="10"/>
  <c r="A564" i="10"/>
  <c r="Q564" i="10" s="1"/>
  <c r="A563" i="10"/>
  <c r="Q563" i="10" s="1"/>
  <c r="A562" i="10"/>
  <c r="A561" i="10"/>
  <c r="A560" i="10"/>
  <c r="A559" i="10"/>
  <c r="A558" i="10"/>
  <c r="A557" i="10"/>
  <c r="Q557" i="10" s="1"/>
  <c r="A556" i="10"/>
  <c r="A555" i="10"/>
  <c r="Q555" i="10" s="1"/>
  <c r="A554" i="10"/>
  <c r="A553" i="10"/>
  <c r="Q553" i="10" s="1"/>
  <c r="A552" i="10"/>
  <c r="A551" i="10"/>
  <c r="Q551" i="10" s="1"/>
  <c r="A550" i="10"/>
  <c r="L550" i="10" s="1"/>
  <c r="A549" i="10"/>
  <c r="A548" i="10"/>
  <c r="A547" i="10"/>
  <c r="A546" i="10"/>
  <c r="Q546" i="10" s="1"/>
  <c r="A545" i="10"/>
  <c r="A544" i="10"/>
  <c r="Q544" i="10" s="1"/>
  <c r="A543" i="10"/>
  <c r="A542" i="10"/>
  <c r="A541" i="10"/>
  <c r="Q541" i="10" s="1"/>
  <c r="A540" i="10"/>
  <c r="Q540" i="10" s="1"/>
  <c r="A539" i="10"/>
  <c r="A538" i="10"/>
  <c r="A537" i="10"/>
  <c r="A536" i="10"/>
  <c r="A535" i="10"/>
  <c r="A534" i="10"/>
  <c r="A533" i="10"/>
  <c r="A532" i="10"/>
  <c r="A531" i="10"/>
  <c r="A530" i="10"/>
  <c r="A529" i="10"/>
  <c r="Q529" i="10" s="1"/>
  <c r="A528" i="10"/>
  <c r="A527" i="10"/>
  <c r="Q527" i="10" s="1"/>
  <c r="A526" i="10"/>
  <c r="A525" i="10"/>
  <c r="Q525" i="10" s="1"/>
  <c r="A524" i="10"/>
  <c r="Q524" i="10" s="1"/>
  <c r="A523" i="10"/>
  <c r="A522" i="10"/>
  <c r="A521" i="10"/>
  <c r="P521" i="10" s="1"/>
  <c r="A520" i="10"/>
  <c r="Q520" i="10" s="1"/>
  <c r="A519" i="10"/>
  <c r="A518" i="10"/>
  <c r="Q518" i="10" s="1"/>
  <c r="A517" i="10"/>
  <c r="A516" i="10"/>
  <c r="A515" i="10"/>
  <c r="P515" i="10" s="1"/>
  <c r="A514" i="10"/>
  <c r="Q514" i="10" s="1"/>
  <c r="A513" i="10"/>
  <c r="A512" i="10"/>
  <c r="A511" i="10"/>
  <c r="Q511" i="10" s="1"/>
  <c r="A510" i="10"/>
  <c r="A509" i="10"/>
  <c r="A508" i="10"/>
  <c r="Q508" i="10" s="1"/>
  <c r="A507" i="10"/>
  <c r="A506" i="10"/>
  <c r="A505" i="10"/>
  <c r="A504" i="10"/>
  <c r="Q504" i="10" s="1"/>
  <c r="A503" i="10"/>
  <c r="A502" i="10"/>
  <c r="A501" i="10"/>
  <c r="A500" i="10"/>
  <c r="Q500" i="10" s="1"/>
  <c r="A499" i="10"/>
  <c r="A498" i="10"/>
  <c r="A497" i="10"/>
  <c r="Q497" i="10" s="1"/>
  <c r="A496" i="10"/>
  <c r="A495" i="10"/>
  <c r="Q495" i="10" s="1"/>
  <c r="A494" i="10"/>
  <c r="A493" i="10"/>
  <c r="Q493" i="10" s="1"/>
  <c r="A492" i="10"/>
  <c r="A491" i="10"/>
  <c r="A490" i="10"/>
  <c r="A489" i="10"/>
  <c r="Q489" i="10" s="1"/>
  <c r="A488" i="10"/>
  <c r="A487" i="10"/>
  <c r="A486" i="10"/>
  <c r="A485" i="10"/>
  <c r="P485" i="10" s="1"/>
  <c r="A484" i="10"/>
  <c r="Q484" i="10" s="1"/>
  <c r="A483" i="10"/>
  <c r="A482" i="10"/>
  <c r="Q482" i="10" s="1"/>
  <c r="A481" i="10"/>
  <c r="Q481" i="10" s="1"/>
  <c r="A480" i="10"/>
  <c r="A479" i="10"/>
  <c r="A478" i="10"/>
  <c r="A477" i="10"/>
  <c r="A476" i="10"/>
  <c r="Q476" i="10" s="1"/>
  <c r="A475" i="10"/>
  <c r="A474" i="10"/>
  <c r="A473" i="10"/>
  <c r="A472" i="10"/>
  <c r="Q472" i="10" s="1"/>
  <c r="A471" i="10"/>
  <c r="A470" i="10"/>
  <c r="Q470" i="10" s="1"/>
  <c r="A469" i="10"/>
  <c r="A468" i="10"/>
  <c r="Q468" i="10" s="1"/>
  <c r="A467" i="10"/>
  <c r="A466" i="10"/>
  <c r="Q466" i="10" s="1"/>
  <c r="A465" i="10"/>
  <c r="A464" i="10"/>
  <c r="A463" i="10"/>
  <c r="A462" i="10"/>
  <c r="Q462" i="10" s="1"/>
  <c r="A461" i="10"/>
  <c r="A460" i="10"/>
  <c r="A459" i="10"/>
  <c r="Q459" i="10" s="1"/>
  <c r="A458" i="10"/>
  <c r="A457" i="10"/>
  <c r="A456" i="10"/>
  <c r="A455" i="10"/>
  <c r="A454" i="10"/>
  <c r="Q454" i="10" s="1"/>
  <c r="A453" i="10"/>
  <c r="A452" i="10"/>
  <c r="Q452" i="10" s="1"/>
  <c r="A451" i="10"/>
  <c r="Q451" i="10" s="1"/>
  <c r="A450" i="10"/>
  <c r="Q450" i="10" s="1"/>
  <c r="A449" i="10"/>
  <c r="Q449" i="10" s="1"/>
  <c r="A448" i="10"/>
  <c r="Q448" i="10" s="1"/>
  <c r="A447" i="10"/>
  <c r="Q447" i="10" s="1"/>
  <c r="A446" i="10"/>
  <c r="Q446" i="10" s="1"/>
  <c r="A445" i="10"/>
  <c r="A444" i="10"/>
  <c r="A443" i="10"/>
  <c r="A442" i="10"/>
  <c r="A441" i="10"/>
  <c r="A440" i="10"/>
  <c r="A439" i="10"/>
  <c r="A438" i="10"/>
  <c r="A437" i="10"/>
  <c r="A436" i="10"/>
  <c r="A435" i="10"/>
  <c r="A434" i="10"/>
  <c r="A433" i="10"/>
  <c r="Q433" i="10" s="1"/>
  <c r="A432" i="10"/>
  <c r="A431" i="10"/>
  <c r="Q431" i="10" s="1"/>
  <c r="A430" i="10"/>
  <c r="A429" i="10"/>
  <c r="A428" i="10"/>
  <c r="Q428" i="10" s="1"/>
  <c r="A427" i="10"/>
  <c r="P427" i="10" s="1"/>
  <c r="A426" i="10"/>
  <c r="A425" i="10"/>
  <c r="A424" i="10"/>
  <c r="A423" i="10"/>
  <c r="Q423" i="10" s="1"/>
  <c r="A422" i="10"/>
  <c r="Q422" i="10" s="1"/>
  <c r="A421" i="10"/>
  <c r="A420" i="10"/>
  <c r="Q420" i="10" s="1"/>
  <c r="A419" i="10"/>
  <c r="A418" i="10"/>
  <c r="A417" i="10"/>
  <c r="A416" i="10"/>
  <c r="A415" i="10"/>
  <c r="A414" i="10"/>
  <c r="A413" i="10"/>
  <c r="A412" i="10"/>
  <c r="Q412" i="10" s="1"/>
  <c r="A411" i="10"/>
  <c r="A410" i="10"/>
  <c r="Q410" i="10" s="1"/>
  <c r="A409" i="10"/>
  <c r="Q409" i="10" s="1"/>
  <c r="A408" i="10"/>
  <c r="A407" i="10"/>
  <c r="A406" i="10"/>
  <c r="Q406" i="10" s="1"/>
  <c r="A405" i="10"/>
  <c r="Q405" i="10" s="1"/>
  <c r="A404" i="10"/>
  <c r="A403" i="10"/>
  <c r="Q403" i="10" s="1"/>
  <c r="A402" i="10"/>
  <c r="A401" i="10"/>
  <c r="Q401" i="10" s="1"/>
  <c r="A400" i="10"/>
  <c r="P400" i="10" s="1"/>
  <c r="A399" i="10"/>
  <c r="A398" i="10"/>
  <c r="A397" i="10"/>
  <c r="A396" i="10"/>
  <c r="A395" i="10"/>
  <c r="A394" i="10"/>
  <c r="A393" i="10"/>
  <c r="A392" i="10"/>
  <c r="Q392" i="10" s="1"/>
  <c r="A391" i="10"/>
  <c r="A390" i="10"/>
  <c r="A389" i="10"/>
  <c r="A388" i="10"/>
  <c r="P388" i="10" s="1"/>
  <c r="A387" i="10"/>
  <c r="A386" i="10"/>
  <c r="A385" i="10"/>
  <c r="A384" i="10"/>
  <c r="A383" i="10"/>
  <c r="A382" i="10"/>
  <c r="Q382" i="10" s="1"/>
  <c r="A381" i="10"/>
  <c r="A380" i="10"/>
  <c r="A379" i="10"/>
  <c r="Q379" i="10" s="1"/>
  <c r="A378" i="10"/>
  <c r="A377" i="10"/>
  <c r="A376" i="10"/>
  <c r="A375" i="10"/>
  <c r="P375" i="10" s="1"/>
  <c r="A374" i="10"/>
  <c r="Q374" i="10" s="1"/>
  <c r="A373" i="10"/>
  <c r="A372" i="10"/>
  <c r="A371" i="10"/>
  <c r="A370" i="10"/>
  <c r="A369" i="10"/>
  <c r="Q369" i="10" s="1"/>
  <c r="A368" i="10"/>
  <c r="Q368" i="10" s="1"/>
  <c r="A367" i="10"/>
  <c r="A366" i="10"/>
  <c r="A365" i="10"/>
  <c r="Q365" i="10" s="1"/>
  <c r="A364" i="10"/>
  <c r="Q364" i="10" s="1"/>
  <c r="A363" i="10"/>
  <c r="Q363" i="10" s="1"/>
  <c r="A362" i="10"/>
  <c r="A361" i="10"/>
  <c r="Q361" i="10" s="1"/>
  <c r="A360" i="10"/>
  <c r="A359" i="10"/>
  <c r="A358" i="10"/>
  <c r="A357" i="10"/>
  <c r="A356" i="10"/>
  <c r="A355" i="10"/>
  <c r="Q355" i="10" s="1"/>
  <c r="A354" i="10"/>
  <c r="A353" i="10"/>
  <c r="A352" i="10"/>
  <c r="A351" i="10"/>
  <c r="A350" i="10"/>
  <c r="A349" i="10"/>
  <c r="Q349" i="10" s="1"/>
  <c r="A348" i="10"/>
  <c r="A347" i="10"/>
  <c r="A346" i="10"/>
  <c r="A345" i="10"/>
  <c r="A344" i="10"/>
  <c r="A343" i="10"/>
  <c r="Q343" i="10" s="1"/>
  <c r="A342" i="10"/>
  <c r="Q342" i="10" s="1"/>
  <c r="A341" i="10"/>
  <c r="A340" i="10"/>
  <c r="Q340" i="10" s="1"/>
  <c r="A339" i="10"/>
  <c r="A338" i="10"/>
  <c r="A337" i="10"/>
  <c r="A336" i="10"/>
  <c r="A335" i="10"/>
  <c r="Q335" i="10" s="1"/>
  <c r="A334" i="10"/>
  <c r="Q334" i="10" s="1"/>
  <c r="A333" i="10"/>
  <c r="Q333" i="10" s="1"/>
  <c r="A332" i="10"/>
  <c r="Q332" i="10" s="1"/>
  <c r="A331" i="10"/>
  <c r="Q331" i="10" s="1"/>
  <c r="A330" i="10"/>
  <c r="A329" i="10"/>
  <c r="A328" i="10"/>
  <c r="A327" i="10"/>
  <c r="A326" i="10"/>
  <c r="A325" i="10"/>
  <c r="Q325" i="10" s="1"/>
  <c r="A324" i="10"/>
  <c r="A323" i="10"/>
  <c r="A322" i="10"/>
  <c r="A321" i="10"/>
  <c r="Q321" i="10" s="1"/>
  <c r="A320" i="10"/>
  <c r="A319" i="10"/>
  <c r="A318" i="10"/>
  <c r="A317" i="10"/>
  <c r="A316" i="10"/>
  <c r="P316" i="10" s="1"/>
  <c r="A315" i="10"/>
  <c r="Q315" i="10" s="1"/>
  <c r="A314" i="10"/>
  <c r="A313" i="10"/>
  <c r="A312" i="10"/>
  <c r="A311" i="10"/>
  <c r="A310" i="10"/>
  <c r="A309" i="10"/>
  <c r="A308" i="10"/>
  <c r="Q308" i="10" s="1"/>
  <c r="A307" i="10"/>
  <c r="A306" i="10"/>
  <c r="A305" i="10"/>
  <c r="A304" i="10"/>
  <c r="A303" i="10"/>
  <c r="A302" i="10"/>
  <c r="Q302" i="10" s="1"/>
  <c r="A301" i="10"/>
  <c r="A300" i="10"/>
  <c r="A299" i="10"/>
  <c r="A298" i="10"/>
  <c r="Q298" i="10" s="1"/>
  <c r="A297" i="10"/>
  <c r="Q297" i="10" s="1"/>
  <c r="A296" i="10"/>
  <c r="A295" i="10"/>
  <c r="A294" i="10"/>
  <c r="A293" i="10"/>
  <c r="M293" i="10" s="1"/>
  <c r="A292" i="10"/>
  <c r="P292" i="10" s="1"/>
  <c r="A291" i="10"/>
  <c r="A290" i="10"/>
  <c r="A289" i="10"/>
  <c r="A288" i="10"/>
  <c r="Q288" i="10" s="1"/>
  <c r="A287" i="10"/>
  <c r="A286" i="10"/>
  <c r="A285" i="10"/>
  <c r="Q285" i="10" s="1"/>
  <c r="A284" i="10"/>
  <c r="A283" i="10"/>
  <c r="A282" i="10"/>
  <c r="Q282" i="10" s="1"/>
  <c r="A281" i="10"/>
  <c r="A280" i="10"/>
  <c r="A279" i="10"/>
  <c r="A278" i="10"/>
  <c r="A277" i="10"/>
  <c r="A276" i="10"/>
  <c r="Q276" i="10" s="1"/>
  <c r="A275" i="10"/>
  <c r="A274" i="10"/>
  <c r="A273" i="10"/>
  <c r="A272" i="10"/>
  <c r="A271" i="10"/>
  <c r="A270" i="10"/>
  <c r="A269" i="10"/>
  <c r="Q269" i="10" s="1"/>
  <c r="A268" i="10"/>
  <c r="Q268" i="10" s="1"/>
  <c r="A267" i="10"/>
  <c r="A266" i="10"/>
  <c r="A265" i="10"/>
  <c r="A264" i="10"/>
  <c r="A263" i="10"/>
  <c r="A262" i="10"/>
  <c r="P262" i="10" s="1"/>
  <c r="A261" i="10"/>
  <c r="A260" i="10"/>
  <c r="Q260" i="10" s="1"/>
  <c r="A259" i="10"/>
  <c r="A258" i="10"/>
  <c r="A257" i="10"/>
  <c r="Q257" i="10" s="1"/>
  <c r="A256" i="10"/>
  <c r="Q256" i="10" s="1"/>
  <c r="A255" i="10"/>
  <c r="A254" i="10"/>
  <c r="A253" i="10"/>
  <c r="A252" i="10"/>
  <c r="A251" i="10"/>
  <c r="A250" i="10"/>
  <c r="A249" i="10"/>
  <c r="A248" i="10"/>
  <c r="A247" i="10"/>
  <c r="A246" i="10"/>
  <c r="A245" i="10"/>
  <c r="Q245" i="10" s="1"/>
  <c r="A244" i="10"/>
  <c r="A243" i="10"/>
  <c r="A242" i="10"/>
  <c r="Q242" i="10" s="1"/>
  <c r="A241" i="10"/>
  <c r="P241" i="10" s="1"/>
  <c r="A240" i="10"/>
  <c r="Q240" i="10" s="1"/>
  <c r="A239" i="10"/>
  <c r="A238" i="10"/>
  <c r="A237" i="10"/>
  <c r="A236" i="10"/>
  <c r="A235" i="10"/>
  <c r="A234" i="10"/>
  <c r="Q234" i="10" s="1"/>
  <c r="A233" i="10"/>
  <c r="A232" i="10"/>
  <c r="Q232" i="10" s="1"/>
  <c r="A231" i="10"/>
  <c r="A230" i="10"/>
  <c r="A229" i="10"/>
  <c r="A228" i="10"/>
  <c r="P228" i="10" s="1"/>
  <c r="A227" i="10"/>
  <c r="Q227" i="10" s="1"/>
  <c r="A226" i="10"/>
  <c r="A225" i="10"/>
  <c r="Q225" i="10" s="1"/>
  <c r="A224" i="10"/>
  <c r="A223" i="10"/>
  <c r="A222" i="10"/>
  <c r="A221" i="10"/>
  <c r="A220" i="10"/>
  <c r="A219" i="10"/>
  <c r="A218" i="10"/>
  <c r="A217" i="10"/>
  <c r="A216" i="10"/>
  <c r="A215" i="10"/>
  <c r="Q215" i="10" s="1"/>
  <c r="A214" i="10"/>
  <c r="A213" i="10"/>
  <c r="A212" i="10"/>
  <c r="Q212" i="10" s="1"/>
  <c r="A211" i="10"/>
  <c r="A210" i="10"/>
  <c r="M210" i="10" s="1"/>
  <c r="A209" i="10"/>
  <c r="A208" i="10"/>
  <c r="Q208" i="10" s="1"/>
  <c r="A207" i="10"/>
  <c r="A206" i="10"/>
  <c r="A205" i="10"/>
  <c r="A204" i="10"/>
  <c r="A203" i="10"/>
  <c r="Q203" i="10" s="1"/>
  <c r="A202" i="10"/>
  <c r="A201" i="10"/>
  <c r="A200" i="10"/>
  <c r="A199" i="10"/>
  <c r="A198" i="10"/>
  <c r="A197" i="10"/>
  <c r="A196" i="10"/>
  <c r="Q196" i="10" s="1"/>
  <c r="A195" i="10"/>
  <c r="A194" i="10"/>
  <c r="P194" i="10" s="1"/>
  <c r="A193" i="10"/>
  <c r="A192" i="10"/>
  <c r="Q192" i="10" s="1"/>
  <c r="A191" i="10"/>
  <c r="A190" i="10"/>
  <c r="A189" i="10"/>
  <c r="A188" i="10"/>
  <c r="Q188" i="10" s="1"/>
  <c r="A187" i="10"/>
  <c r="A186" i="10"/>
  <c r="A185" i="10"/>
  <c r="A184" i="10"/>
  <c r="A183" i="10"/>
  <c r="A182" i="10"/>
  <c r="Q182" i="10" s="1"/>
  <c r="A181" i="10"/>
  <c r="Q181" i="10" s="1"/>
  <c r="A180" i="10"/>
  <c r="A179" i="10"/>
  <c r="A178" i="10"/>
  <c r="A177" i="10"/>
  <c r="A176" i="10"/>
  <c r="Q176" i="10" s="1"/>
  <c r="A175" i="10"/>
  <c r="A174" i="10"/>
  <c r="A173" i="10"/>
  <c r="A172" i="10"/>
  <c r="A171" i="10"/>
  <c r="A170" i="10"/>
  <c r="A169" i="10"/>
  <c r="A168" i="10"/>
  <c r="Q168" i="10" s="1"/>
  <c r="A167" i="10"/>
  <c r="A166" i="10"/>
  <c r="A165" i="10"/>
  <c r="A164" i="10"/>
  <c r="A163" i="10"/>
  <c r="Q163" i="10" s="1"/>
  <c r="A162" i="10"/>
  <c r="Q162" i="10" s="1"/>
  <c r="A161" i="10"/>
  <c r="Q161" i="10" s="1"/>
  <c r="A160" i="10"/>
  <c r="Q160" i="10" s="1"/>
  <c r="A159" i="10"/>
  <c r="A158" i="10"/>
  <c r="M158" i="10" s="1"/>
  <c r="A157" i="10"/>
  <c r="A156" i="10"/>
  <c r="A155" i="10"/>
  <c r="A154" i="10"/>
  <c r="A153" i="10"/>
  <c r="A152" i="10"/>
  <c r="Q152" i="10" s="1"/>
  <c r="A151" i="10"/>
  <c r="A150" i="10"/>
  <c r="Q150" i="10" s="1"/>
  <c r="A149" i="10"/>
  <c r="A148" i="10"/>
  <c r="A147" i="10"/>
  <c r="A146" i="10"/>
  <c r="A145" i="10"/>
  <c r="Q145" i="10" s="1"/>
  <c r="A144" i="10"/>
  <c r="Q144" i="10" s="1"/>
  <c r="A143" i="10"/>
  <c r="A142" i="10"/>
  <c r="A141" i="10"/>
  <c r="Q141" i="10" s="1"/>
  <c r="A140" i="10"/>
  <c r="Q140" i="10" s="1"/>
  <c r="A139" i="10"/>
  <c r="A138" i="10"/>
  <c r="Q138" i="10" s="1"/>
  <c r="A137" i="10"/>
  <c r="Q137" i="10" s="1"/>
  <c r="A136" i="10"/>
  <c r="Q136" i="10" s="1"/>
  <c r="A135" i="10"/>
  <c r="Q135" i="10" s="1"/>
  <c r="A134" i="10"/>
  <c r="Q134" i="10" s="1"/>
  <c r="A133" i="10"/>
  <c r="A132" i="10"/>
  <c r="A131" i="10"/>
  <c r="A130" i="10"/>
  <c r="A129" i="10"/>
  <c r="A128" i="10"/>
  <c r="A127" i="10"/>
  <c r="A126" i="10"/>
  <c r="A125" i="10"/>
  <c r="A124" i="10"/>
  <c r="A120" i="10"/>
  <c r="A119" i="10"/>
  <c r="A118" i="10"/>
  <c r="A117" i="10"/>
  <c r="A116" i="10"/>
  <c r="A115" i="10"/>
  <c r="A114" i="10"/>
  <c r="A113" i="10"/>
  <c r="A112" i="10"/>
  <c r="A111" i="10"/>
  <c r="A110" i="10"/>
  <c r="A109" i="10"/>
  <c r="H109" i="10" s="1"/>
  <c r="A108" i="10"/>
  <c r="A107" i="10"/>
  <c r="H107" i="10" s="1"/>
  <c r="A106" i="10"/>
  <c r="A105" i="10"/>
  <c r="H105" i="10" s="1"/>
  <c r="A104" i="10"/>
  <c r="A103" i="10"/>
  <c r="A102" i="10"/>
  <c r="A101" i="10"/>
  <c r="A100" i="10"/>
  <c r="A99" i="10"/>
  <c r="A98" i="10"/>
  <c r="H98" i="10" s="1"/>
  <c r="A97" i="10"/>
  <c r="A96" i="10"/>
  <c r="A95" i="10"/>
  <c r="A94" i="10"/>
  <c r="A93" i="10"/>
  <c r="A92" i="10"/>
  <c r="A91" i="10"/>
  <c r="H91" i="10" s="1"/>
  <c r="A90" i="10"/>
  <c r="H90" i="10" s="1"/>
  <c r="A89" i="10"/>
  <c r="A88" i="10"/>
  <c r="A87" i="10"/>
  <c r="A86" i="10"/>
  <c r="A85" i="10"/>
  <c r="A84" i="10"/>
  <c r="H84" i="10" s="1"/>
  <c r="A83" i="10"/>
  <c r="H83" i="10" s="1"/>
  <c r="A82" i="10"/>
  <c r="H82" i="10" s="1"/>
  <c r="A81" i="10"/>
  <c r="A80" i="10"/>
  <c r="A79" i="10"/>
  <c r="A78" i="10"/>
  <c r="H78" i="10" s="1"/>
  <c r="A77" i="10"/>
  <c r="A76" i="10"/>
  <c r="A75" i="10"/>
  <c r="A74" i="10"/>
  <c r="A73" i="10"/>
  <c r="A72" i="10"/>
  <c r="A71" i="10"/>
  <c r="H71" i="10" s="1"/>
  <c r="A70" i="10"/>
  <c r="A69" i="10"/>
  <c r="A68" i="10"/>
  <c r="A67" i="10"/>
  <c r="A66" i="10"/>
  <c r="A65" i="10"/>
  <c r="H65" i="10" s="1"/>
  <c r="A64" i="10"/>
  <c r="H64" i="10" s="1"/>
  <c r="A63" i="10"/>
  <c r="A62" i="10"/>
  <c r="A61" i="10"/>
  <c r="A60" i="10"/>
  <c r="A59" i="10"/>
  <c r="A58" i="10"/>
  <c r="A57" i="10"/>
  <c r="H57" i="10" s="1"/>
  <c r="A56" i="10"/>
  <c r="A55" i="10"/>
  <c r="A54" i="10"/>
  <c r="A53" i="10"/>
  <c r="H53" i="10" s="1"/>
  <c r="A52" i="10"/>
  <c r="H52" i="10" s="1"/>
  <c r="A51" i="10"/>
  <c r="A50" i="10"/>
  <c r="A49" i="10"/>
  <c r="A48" i="10"/>
  <c r="A47" i="10"/>
  <c r="A46" i="10"/>
  <c r="A45" i="10"/>
  <c r="A44" i="10"/>
  <c r="A43" i="10"/>
  <c r="A42" i="10"/>
  <c r="A41" i="10"/>
  <c r="A40" i="10"/>
  <c r="A39" i="10"/>
  <c r="A38" i="10"/>
  <c r="A37" i="10"/>
  <c r="A36" i="10"/>
  <c r="H36" i="10" s="1"/>
  <c r="A35" i="10"/>
  <c r="A34" i="10"/>
  <c r="A33" i="10"/>
  <c r="A32" i="10"/>
  <c r="A31" i="10"/>
  <c r="H31" i="10" s="1"/>
  <c r="A30" i="10"/>
  <c r="A29" i="10"/>
  <c r="H29" i="10" s="1"/>
  <c r="A28" i="10"/>
  <c r="A27" i="10"/>
  <c r="A26" i="10"/>
  <c r="H26" i="10" s="1"/>
  <c r="A25" i="10"/>
  <c r="A24" i="10"/>
  <c r="A23" i="10"/>
  <c r="A22" i="10"/>
  <c r="A21" i="10"/>
  <c r="A20" i="10"/>
  <c r="A19" i="10"/>
  <c r="A18" i="10"/>
  <c r="A17" i="10"/>
  <c r="A16" i="10"/>
  <c r="A15" i="10"/>
  <c r="H15" i="10" s="1"/>
  <c r="A14" i="10"/>
  <c r="A13" i="10"/>
  <c r="A12" i="10"/>
  <c r="H12" i="10" s="1"/>
  <c r="A11" i="10"/>
  <c r="A10" i="10"/>
  <c r="A9" i="10"/>
  <c r="A8" i="10"/>
  <c r="A7" i="10"/>
  <c r="A6" i="10"/>
  <c r="A5" i="10"/>
  <c r="H5" i="10" s="1"/>
  <c r="A5" i="9"/>
  <c r="B5" i="9"/>
  <c r="G5" i="9"/>
  <c r="H5" i="9"/>
  <c r="I5" i="9" s="1"/>
  <c r="A555" i="13"/>
  <c r="A556" i="13"/>
  <c r="A557" i="13"/>
  <c r="A558" i="13"/>
  <c r="J558" i="13" s="1"/>
  <c r="A559" i="13"/>
  <c r="J559" i="13" s="1"/>
  <c r="A560" i="13"/>
  <c r="A561" i="13"/>
  <c r="A562" i="13"/>
  <c r="A563" i="13"/>
  <c r="J563" i="13" s="1"/>
  <c r="A564" i="13"/>
  <c r="J564" i="13" s="1"/>
  <c r="A565" i="13"/>
  <c r="I565" i="13" s="1"/>
  <c r="J565" i="13"/>
  <c r="A566" i="13"/>
  <c r="A567" i="13"/>
  <c r="A568" i="13"/>
  <c r="J568" i="13" s="1"/>
  <c r="A569" i="13"/>
  <c r="A570" i="13"/>
  <c r="A571" i="13"/>
  <c r="A572" i="13"/>
  <c r="J572" i="13" s="1"/>
  <c r="A573" i="13"/>
  <c r="J573" i="13" s="1"/>
  <c r="A574" i="13"/>
  <c r="J574" i="13" s="1"/>
  <c r="A575" i="13"/>
  <c r="A576" i="13"/>
  <c r="A577" i="13"/>
  <c r="A578" i="13"/>
  <c r="A579" i="13"/>
  <c r="J579" i="13" s="1"/>
  <c r="A580" i="13"/>
  <c r="A581" i="13"/>
  <c r="A582" i="13"/>
  <c r="J582" i="13" s="1"/>
  <c r="A583" i="13"/>
  <c r="J583" i="13" s="1"/>
  <c r="A584" i="13"/>
  <c r="A585" i="13"/>
  <c r="A586" i="13"/>
  <c r="A587" i="13"/>
  <c r="A588" i="13"/>
  <c r="A589" i="13"/>
  <c r="A590" i="13"/>
  <c r="A591" i="13"/>
  <c r="A592" i="13"/>
  <c r="A593" i="13"/>
  <c r="A594" i="13"/>
  <c r="J594" i="13" s="1"/>
  <c r="A595" i="13"/>
  <c r="J595" i="13" s="1"/>
  <c r="A596" i="13"/>
  <c r="A597" i="13"/>
  <c r="A598" i="13"/>
  <c r="J598" i="13" s="1"/>
  <c r="A599" i="13"/>
  <c r="A600" i="13"/>
  <c r="A405" i="13"/>
  <c r="A406" i="13"/>
  <c r="A407" i="13"/>
  <c r="A408" i="13"/>
  <c r="J408" i="13" s="1"/>
  <c r="A409" i="13"/>
  <c r="A410" i="13"/>
  <c r="A411" i="13"/>
  <c r="J411" i="13" s="1"/>
  <c r="A412" i="13"/>
  <c r="H412" i="13" s="1"/>
  <c r="I412" i="13"/>
  <c r="J412" i="13"/>
  <c r="A413" i="13"/>
  <c r="A414" i="13"/>
  <c r="J414" i="13" s="1"/>
  <c r="A415" i="13"/>
  <c r="J415" i="13" s="1"/>
  <c r="A416" i="13"/>
  <c r="A417" i="13"/>
  <c r="A418" i="13"/>
  <c r="A419" i="13"/>
  <c r="J419" i="13" s="1"/>
  <c r="A420" i="13"/>
  <c r="A421" i="13"/>
  <c r="A422" i="13"/>
  <c r="A423" i="13"/>
  <c r="J423" i="13" s="1"/>
  <c r="A424" i="13"/>
  <c r="A425" i="13"/>
  <c r="A426" i="13"/>
  <c r="A427" i="13"/>
  <c r="A428" i="13"/>
  <c r="J428" i="13" s="1"/>
  <c r="A429" i="13"/>
  <c r="J429" i="13" s="1"/>
  <c r="A430" i="13"/>
  <c r="J430" i="13" s="1"/>
  <c r="A431" i="13"/>
  <c r="J431" i="13" s="1"/>
  <c r="A432" i="13"/>
  <c r="A433" i="13"/>
  <c r="A434" i="13"/>
  <c r="J434" i="13" s="1"/>
  <c r="A435" i="13"/>
  <c r="A436" i="13"/>
  <c r="A437" i="13"/>
  <c r="J437" i="13" s="1"/>
  <c r="A438" i="13"/>
  <c r="J438" i="13" s="1"/>
  <c r="A439" i="13"/>
  <c r="J439" i="13" s="1"/>
  <c r="A440" i="13"/>
  <c r="J440" i="13" s="1"/>
  <c r="A441" i="13"/>
  <c r="J441" i="13" s="1"/>
  <c r="A442" i="13"/>
  <c r="J442" i="13" s="1"/>
  <c r="A443" i="13"/>
  <c r="J443" i="13" s="1"/>
  <c r="A444" i="13"/>
  <c r="A445" i="13"/>
  <c r="J445" i="13" s="1"/>
  <c r="A446" i="13"/>
  <c r="A447" i="13"/>
  <c r="J447" i="13" s="1"/>
  <c r="A448" i="13"/>
  <c r="J448" i="13" s="1"/>
  <c r="A449" i="13"/>
  <c r="A450" i="13"/>
  <c r="A451" i="13"/>
  <c r="A452" i="13"/>
  <c r="J452" i="13" s="1"/>
  <c r="A453" i="13"/>
  <c r="J453" i="13" s="1"/>
  <c r="A454" i="13"/>
  <c r="A455" i="13"/>
  <c r="A456" i="13"/>
  <c r="A457" i="13"/>
  <c r="J457" i="13" s="1"/>
  <c r="A458" i="13"/>
  <c r="A459" i="13"/>
  <c r="A460" i="13"/>
  <c r="J460" i="13" s="1"/>
  <c r="A461" i="13"/>
  <c r="A462" i="13"/>
  <c r="A463" i="13"/>
  <c r="A464" i="13"/>
  <c r="A465" i="13"/>
  <c r="A466" i="13"/>
  <c r="J466" i="13" s="1"/>
  <c r="A467" i="13"/>
  <c r="A468" i="13"/>
  <c r="A469" i="13"/>
  <c r="A470" i="13"/>
  <c r="I470" i="13" s="1"/>
  <c r="A471" i="13"/>
  <c r="A472" i="13"/>
  <c r="J472" i="13" s="1"/>
  <c r="A473" i="13"/>
  <c r="A474" i="13"/>
  <c r="A475" i="13"/>
  <c r="J475" i="13" s="1"/>
  <c r="A476" i="13"/>
  <c r="A477" i="13"/>
  <c r="J477" i="13" s="1"/>
  <c r="A478" i="13"/>
  <c r="J478" i="13" s="1"/>
  <c r="A479" i="13"/>
  <c r="J479" i="13" s="1"/>
  <c r="A480" i="13"/>
  <c r="A481" i="13"/>
  <c r="J481" i="13" s="1"/>
  <c r="A482" i="13"/>
  <c r="A483" i="13"/>
  <c r="A484" i="13"/>
  <c r="A485" i="13"/>
  <c r="J485" i="13" s="1"/>
  <c r="A486" i="13"/>
  <c r="A487" i="13"/>
  <c r="A488" i="13"/>
  <c r="J488" i="13" s="1"/>
  <c r="A489" i="13"/>
  <c r="A490" i="13"/>
  <c r="A491" i="13"/>
  <c r="A492" i="13"/>
  <c r="A493" i="13"/>
  <c r="J493" i="13" s="1"/>
  <c r="A494" i="13"/>
  <c r="J494" i="13" s="1"/>
  <c r="A495" i="13"/>
  <c r="A496" i="13"/>
  <c r="A497" i="13"/>
  <c r="A498" i="13"/>
  <c r="J498" i="13" s="1"/>
  <c r="A499" i="13"/>
  <c r="A500" i="13"/>
  <c r="J500" i="13" s="1"/>
  <c r="A501" i="13"/>
  <c r="J501" i="13" s="1"/>
  <c r="A502" i="13"/>
  <c r="A503" i="13"/>
  <c r="J503" i="13" s="1"/>
  <c r="A504" i="13"/>
  <c r="A505" i="13"/>
  <c r="J505" i="13" s="1"/>
  <c r="A506" i="13"/>
  <c r="J506" i="13" s="1"/>
  <c r="A507" i="13"/>
  <c r="A508" i="13"/>
  <c r="A509" i="13"/>
  <c r="J509" i="13" s="1"/>
  <c r="A510" i="13"/>
  <c r="A511" i="13"/>
  <c r="A512" i="13"/>
  <c r="A513" i="13"/>
  <c r="A514" i="13"/>
  <c r="J514" i="13" s="1"/>
  <c r="A515" i="13"/>
  <c r="A516" i="13"/>
  <c r="A517" i="13"/>
  <c r="J517" i="13" s="1"/>
  <c r="A518" i="13"/>
  <c r="A519" i="13"/>
  <c r="J519" i="13" s="1"/>
  <c r="A520" i="13"/>
  <c r="A521" i="13"/>
  <c r="A522" i="13"/>
  <c r="A523" i="13"/>
  <c r="A524" i="13"/>
  <c r="A525" i="13"/>
  <c r="A526" i="13"/>
  <c r="A527" i="13"/>
  <c r="A528" i="13"/>
  <c r="J528" i="13" s="1"/>
  <c r="A529" i="13"/>
  <c r="J529" i="13" s="1"/>
  <c r="A530" i="13"/>
  <c r="A531" i="13"/>
  <c r="A532" i="13"/>
  <c r="J532" i="13" s="1"/>
  <c r="A533" i="13"/>
  <c r="A534" i="13"/>
  <c r="J534" i="13" s="1"/>
  <c r="A535" i="13"/>
  <c r="A536" i="13"/>
  <c r="A537" i="13"/>
  <c r="J537" i="13" s="1"/>
  <c r="A538" i="13"/>
  <c r="A539" i="13"/>
  <c r="J539" i="13" s="1"/>
  <c r="A540" i="13"/>
  <c r="A541" i="13"/>
  <c r="A542" i="13"/>
  <c r="A543" i="13"/>
  <c r="A544" i="13"/>
  <c r="A545" i="13"/>
  <c r="A546" i="13"/>
  <c r="A547" i="13"/>
  <c r="A548" i="13"/>
  <c r="A549" i="13"/>
  <c r="A550" i="13"/>
  <c r="A551" i="13"/>
  <c r="A552" i="13"/>
  <c r="J552" i="13" s="1"/>
  <c r="A553" i="13"/>
  <c r="J553" i="13" s="1"/>
  <c r="A554" i="13"/>
  <c r="A355" i="13"/>
  <c r="A356" i="13"/>
  <c r="A357" i="13"/>
  <c r="J357" i="13" s="1"/>
  <c r="A358" i="13"/>
  <c r="A359" i="13"/>
  <c r="J359" i="13" s="1"/>
  <c r="A360" i="13"/>
  <c r="A361" i="13"/>
  <c r="J361" i="13" s="1"/>
  <c r="A362" i="13"/>
  <c r="A363" i="13"/>
  <c r="A364" i="13"/>
  <c r="A365" i="13"/>
  <c r="A366" i="13"/>
  <c r="A367" i="13"/>
  <c r="A368" i="13"/>
  <c r="A369" i="13"/>
  <c r="A370" i="13"/>
  <c r="A371" i="13"/>
  <c r="J371" i="13" s="1"/>
  <c r="A372" i="13"/>
  <c r="J372" i="13" s="1"/>
  <c r="A373" i="13"/>
  <c r="J373" i="13" s="1"/>
  <c r="A374" i="13"/>
  <c r="A375" i="13"/>
  <c r="J375" i="13" s="1"/>
  <c r="A376" i="13"/>
  <c r="A377" i="13"/>
  <c r="A378" i="13"/>
  <c r="J378" i="13" s="1"/>
  <c r="A379" i="13"/>
  <c r="A380" i="13"/>
  <c r="J380" i="13" s="1"/>
  <c r="A381" i="13"/>
  <c r="J381" i="13" s="1"/>
  <c r="A382" i="13"/>
  <c r="J382" i="13" s="1"/>
  <c r="A383" i="13"/>
  <c r="A384" i="13"/>
  <c r="A385" i="13"/>
  <c r="A386" i="13"/>
  <c r="J386" i="13" s="1"/>
  <c r="A387" i="13"/>
  <c r="A388" i="13"/>
  <c r="A389" i="13"/>
  <c r="A390" i="13"/>
  <c r="A391" i="13"/>
  <c r="J391" i="13" s="1"/>
  <c r="A392" i="13"/>
  <c r="J392" i="13" s="1"/>
  <c r="A393" i="13"/>
  <c r="J393" i="13" s="1"/>
  <c r="A394" i="13"/>
  <c r="A395" i="13"/>
  <c r="A396" i="13"/>
  <c r="A397" i="13"/>
  <c r="A398" i="13"/>
  <c r="J398" i="13" s="1"/>
  <c r="A399" i="13"/>
  <c r="A400" i="13"/>
  <c r="A401" i="13"/>
  <c r="A402" i="13"/>
  <c r="A403" i="13"/>
  <c r="A404" i="13"/>
  <c r="A271" i="13"/>
  <c r="J271" i="13" s="1"/>
  <c r="A272" i="13"/>
  <c r="A273" i="13"/>
  <c r="A274" i="13"/>
  <c r="A275" i="13"/>
  <c r="A276" i="13"/>
  <c r="A277" i="13"/>
  <c r="A278" i="13"/>
  <c r="A279" i="13"/>
  <c r="A280" i="13"/>
  <c r="J280" i="13" s="1"/>
  <c r="A281" i="13"/>
  <c r="J281" i="13" s="1"/>
  <c r="A282" i="13"/>
  <c r="A283" i="13"/>
  <c r="A284" i="13"/>
  <c r="J284" i="13" s="1"/>
  <c r="A285" i="13"/>
  <c r="J285" i="13" s="1"/>
  <c r="A286" i="13"/>
  <c r="A287" i="13"/>
  <c r="A288" i="13"/>
  <c r="A289" i="13"/>
  <c r="J289" i="13" s="1"/>
  <c r="A290" i="13"/>
  <c r="J290" i="13" s="1"/>
  <c r="A291" i="13"/>
  <c r="A292" i="13"/>
  <c r="A293" i="13"/>
  <c r="A294" i="13"/>
  <c r="J294" i="13" s="1"/>
  <c r="A295" i="13"/>
  <c r="I295" i="13" s="1"/>
  <c r="A296" i="13"/>
  <c r="A297" i="13"/>
  <c r="J297" i="13" s="1"/>
  <c r="A298" i="13"/>
  <c r="A299" i="13"/>
  <c r="A300" i="13"/>
  <c r="A301" i="13"/>
  <c r="J301" i="13" s="1"/>
  <c r="A302" i="13"/>
  <c r="J302" i="13" s="1"/>
  <c r="A303" i="13"/>
  <c r="A304" i="13"/>
  <c r="A305" i="13"/>
  <c r="J305" i="13" s="1"/>
  <c r="A306" i="13"/>
  <c r="A307" i="13"/>
  <c r="J307" i="13" s="1"/>
  <c r="A308" i="13"/>
  <c r="J308" i="13" s="1"/>
  <c r="A309" i="13"/>
  <c r="A310" i="13"/>
  <c r="A311" i="13"/>
  <c r="A312" i="13"/>
  <c r="J312" i="13" s="1"/>
  <c r="A313" i="13"/>
  <c r="J313" i="13" s="1"/>
  <c r="A314" i="13"/>
  <c r="A315" i="13"/>
  <c r="A316" i="13"/>
  <c r="J316" i="13" s="1"/>
  <c r="A317" i="13"/>
  <c r="I317" i="13" s="1"/>
  <c r="A318" i="13"/>
  <c r="A319" i="13"/>
  <c r="J319" i="13" s="1"/>
  <c r="A320" i="13"/>
  <c r="A321" i="13"/>
  <c r="J321" i="13" s="1"/>
  <c r="A322" i="13"/>
  <c r="A323" i="13"/>
  <c r="A324" i="13"/>
  <c r="A325" i="13"/>
  <c r="A326" i="13"/>
  <c r="J326" i="13" s="1"/>
  <c r="A327" i="13"/>
  <c r="J327" i="13" s="1"/>
  <c r="A328" i="13"/>
  <c r="A329" i="13"/>
  <c r="A330" i="13"/>
  <c r="A331" i="13"/>
  <c r="A332" i="13"/>
  <c r="A333" i="13"/>
  <c r="A334" i="13"/>
  <c r="A335" i="13"/>
  <c r="J335" i="13" s="1"/>
  <c r="A336" i="13"/>
  <c r="A337" i="13"/>
  <c r="A338" i="13"/>
  <c r="A339" i="13"/>
  <c r="A340" i="13"/>
  <c r="A341" i="13"/>
  <c r="A342" i="13"/>
  <c r="J342" i="13" s="1"/>
  <c r="A343" i="13"/>
  <c r="A344" i="13"/>
  <c r="A345" i="13"/>
  <c r="J345" i="13" s="1"/>
  <c r="A346" i="13"/>
  <c r="A347" i="13"/>
  <c r="A348" i="13"/>
  <c r="A349" i="13"/>
  <c r="J349" i="13" s="1"/>
  <c r="A350" i="13"/>
  <c r="A351" i="13"/>
  <c r="J351" i="13" s="1"/>
  <c r="A352" i="13"/>
  <c r="J352" i="13" s="1"/>
  <c r="A353" i="13"/>
  <c r="A354" i="13"/>
  <c r="J354" i="13" s="1"/>
  <c r="A5" i="14"/>
  <c r="B5" i="14"/>
  <c r="C5" i="14" s="1"/>
  <c r="A6" i="14"/>
  <c r="B6" i="14"/>
  <c r="C6" i="14" s="1"/>
  <c r="A7" i="14"/>
  <c r="B7" i="14"/>
  <c r="A8" i="14"/>
  <c r="B8" i="14"/>
  <c r="C8" i="14" s="1"/>
  <c r="A9" i="14"/>
  <c r="B9" i="14"/>
  <c r="C9" i="14" s="1"/>
  <c r="A10" i="14"/>
  <c r="B10" i="14"/>
  <c r="A11" i="14"/>
  <c r="B11" i="14"/>
  <c r="C11" i="14" s="1"/>
  <c r="A12" i="14"/>
  <c r="B12" i="14"/>
  <c r="A13" i="14"/>
  <c r="B13" i="14"/>
  <c r="C13" i="14" s="1"/>
  <c r="A14" i="14"/>
  <c r="B14" i="14"/>
  <c r="C14" i="14" s="1"/>
  <c r="A15" i="14"/>
  <c r="B15" i="14"/>
  <c r="A16" i="14"/>
  <c r="B16" i="14"/>
  <c r="A19" i="14"/>
  <c r="B19" i="14"/>
  <c r="A20" i="14"/>
  <c r="B20" i="14"/>
  <c r="A21" i="14"/>
  <c r="B21" i="14"/>
  <c r="A22" i="14"/>
  <c r="B22" i="14"/>
  <c r="A24" i="14"/>
  <c r="B24" i="14"/>
  <c r="I6" i="15"/>
  <c r="F15" i="15" a="1"/>
  <c r="F18" i="15" a="1"/>
  <c r="N5" i="8"/>
  <c r="O5" i="8" s="1"/>
  <c r="Q5" i="8"/>
  <c r="R5" i="8"/>
  <c r="A244" i="4"/>
  <c r="A244" i="13" s="1"/>
  <c r="A245" i="4"/>
  <c r="A246" i="4"/>
  <c r="A247" i="4"/>
  <c r="A243" i="4"/>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A6" i="4"/>
  <c r="A7" i="4"/>
  <c r="A7" i="13" s="1"/>
  <c r="A8" i="4"/>
  <c r="A9" i="4"/>
  <c r="A9" i="13" s="1"/>
  <c r="A10" i="4"/>
  <c r="A11" i="4"/>
  <c r="A11" i="13" s="1"/>
  <c r="A12" i="4"/>
  <c r="A13" i="4"/>
  <c r="A14" i="4"/>
  <c r="A15" i="4"/>
  <c r="A16" i="4"/>
  <c r="A17" i="4"/>
  <c r="A17" i="13" s="1"/>
  <c r="A18" i="4"/>
  <c r="A19" i="4"/>
  <c r="A20" i="4"/>
  <c r="A21" i="4"/>
  <c r="A22" i="4"/>
  <c r="A22" i="13" s="1"/>
  <c r="A23" i="4"/>
  <c r="A24" i="4"/>
  <c r="A25" i="4"/>
  <c r="A26" i="4"/>
  <c r="A26" i="13" s="1"/>
  <c r="A27" i="4"/>
  <c r="A28" i="4"/>
  <c r="A29" i="4"/>
  <c r="A30" i="4"/>
  <c r="A30" i="13" s="1"/>
  <c r="A31" i="4"/>
  <c r="A31" i="13" s="1"/>
  <c r="A32" i="4"/>
  <c r="A33" i="4"/>
  <c r="A34" i="4"/>
  <c r="A35" i="4"/>
  <c r="B614" i="8" s="1"/>
  <c r="A36" i="4"/>
  <c r="A37" i="4"/>
  <c r="A38" i="4"/>
  <c r="A39" i="4"/>
  <c r="B850" i="8" s="1"/>
  <c r="A40" i="4"/>
  <c r="A40" i="13" s="1"/>
  <c r="A41" i="4"/>
  <c r="A42" i="4"/>
  <c r="A43" i="4"/>
  <c r="A43" i="13" s="1"/>
  <c r="A44" i="4"/>
  <c r="A45" i="4"/>
  <c r="A46" i="4"/>
  <c r="A47" i="4"/>
  <c r="A47" i="13" s="1"/>
  <c r="A48" i="4"/>
  <c r="A49" i="4"/>
  <c r="A49" i="13" s="1"/>
  <c r="A50" i="4"/>
  <c r="A51" i="4"/>
  <c r="A52" i="4"/>
  <c r="A53" i="4"/>
  <c r="A54" i="4"/>
  <c r="A55" i="4"/>
  <c r="A56" i="4"/>
  <c r="A57" i="4"/>
  <c r="A57" i="13" s="1"/>
  <c r="A58" i="4"/>
  <c r="A58" i="13" s="1"/>
  <c r="A59" i="4"/>
  <c r="A60" i="4"/>
  <c r="A60" i="13" s="1"/>
  <c r="A61" i="4"/>
  <c r="A61" i="13" s="1"/>
  <c r="A62" i="4"/>
  <c r="A63" i="4"/>
  <c r="A64" i="4"/>
  <c r="A65" i="4"/>
  <c r="A66" i="4"/>
  <c r="A67" i="4"/>
  <c r="A67" i="13" s="1"/>
  <c r="A68" i="4"/>
  <c r="A69" i="4"/>
  <c r="A69" i="13" s="1"/>
  <c r="A70" i="4"/>
  <c r="A71" i="4"/>
  <c r="A71" i="13" s="1"/>
  <c r="A72" i="4"/>
  <c r="A73" i="4"/>
  <c r="A73" i="13" s="1"/>
  <c r="A74" i="4"/>
  <c r="A75" i="4"/>
  <c r="A76" i="4"/>
  <c r="A77" i="4"/>
  <c r="A78" i="4"/>
  <c r="A78" i="13" s="1"/>
  <c r="A79" i="4"/>
  <c r="A79" i="13" s="1"/>
  <c r="A80" i="4"/>
  <c r="A81" i="4"/>
  <c r="A82" i="4"/>
  <c r="A83" i="4"/>
  <c r="A84" i="4"/>
  <c r="A85" i="4"/>
  <c r="A86" i="4"/>
  <c r="A87" i="4"/>
  <c r="A88" i="4"/>
  <c r="A89" i="4"/>
  <c r="A90" i="4"/>
  <c r="A90" i="13" s="1"/>
  <c r="A91" i="4"/>
  <c r="A91" i="13" s="1"/>
  <c r="A92" i="4"/>
  <c r="A92" i="13" s="1"/>
  <c r="A93" i="4"/>
  <c r="A94" i="4"/>
  <c r="A95" i="4"/>
  <c r="A96" i="4"/>
  <c r="A97" i="4"/>
  <c r="A98" i="4"/>
  <c r="A98" i="13" s="1"/>
  <c r="A99" i="4"/>
  <c r="A100" i="4"/>
  <c r="A101" i="4"/>
  <c r="A101" i="13" s="1"/>
  <c r="A102" i="4"/>
  <c r="A103" i="4"/>
  <c r="A104" i="4"/>
  <c r="A105" i="4"/>
  <c r="A106" i="4"/>
  <c r="A107" i="4"/>
  <c r="A108" i="4"/>
  <c r="A109" i="4"/>
  <c r="A109" i="13" s="1"/>
  <c r="D109" i="13" s="1"/>
  <c r="A110" i="4"/>
  <c r="A111" i="4"/>
  <c r="B1199" i="8" s="1"/>
  <c r="A112" i="4"/>
  <c r="A113" i="4"/>
  <c r="A114" i="4"/>
  <c r="A114" i="13" s="1"/>
  <c r="A115" i="4"/>
  <c r="A116" i="4"/>
  <c r="A117" i="4"/>
  <c r="A118" i="4"/>
  <c r="A119" i="4"/>
  <c r="A119" i="13" s="1"/>
  <c r="A120" i="4"/>
  <c r="A121" i="4"/>
  <c r="A122" i="4"/>
  <c r="A123" i="4"/>
  <c r="A124" i="4"/>
  <c r="A124" i="13" s="1"/>
  <c r="A125" i="4"/>
  <c r="A126" i="4"/>
  <c r="A127" i="4"/>
  <c r="A127" i="13" s="1"/>
  <c r="A128" i="4"/>
  <c r="A129" i="4"/>
  <c r="A129" i="13" s="1"/>
  <c r="A130" i="4"/>
  <c r="A131" i="4"/>
  <c r="A132" i="4"/>
  <c r="A132" i="13" s="1"/>
  <c r="A133" i="4"/>
  <c r="A134" i="4"/>
  <c r="A135" i="4"/>
  <c r="A136" i="4"/>
  <c r="A137" i="4"/>
  <c r="A137" i="13" s="1"/>
  <c r="A138" i="4"/>
  <c r="A139" i="4"/>
  <c r="A140" i="4"/>
  <c r="A140" i="13" s="1"/>
  <c r="A141" i="4"/>
  <c r="A142" i="4"/>
  <c r="A142" i="13" s="1"/>
  <c r="A143" i="4"/>
  <c r="A144" i="4"/>
  <c r="A145" i="4"/>
  <c r="A145" i="13" s="1"/>
  <c r="A146" i="4"/>
  <c r="A146" i="13" s="1"/>
  <c r="A147" i="4"/>
  <c r="A148" i="4"/>
  <c r="A148" i="13" s="1"/>
  <c r="D148" i="13" s="1"/>
  <c r="A149" i="4"/>
  <c r="A150" i="4"/>
  <c r="A151" i="4"/>
  <c r="A152" i="4"/>
  <c r="A153" i="4"/>
  <c r="A154" i="4"/>
  <c r="A155" i="4"/>
  <c r="A156" i="4"/>
  <c r="A156" i="13" s="1"/>
  <c r="A157" i="4"/>
  <c r="A157" i="13" s="1"/>
  <c r="A158" i="4"/>
  <c r="A158" i="13" s="1"/>
  <c r="A159" i="4"/>
  <c r="A159" i="13" s="1"/>
  <c r="A160" i="4"/>
  <c r="A161" i="4"/>
  <c r="A162" i="4"/>
  <c r="A163" i="4"/>
  <c r="A163" i="13" s="1"/>
  <c r="A164" i="4"/>
  <c r="A164" i="13" s="1"/>
  <c r="A165" i="4"/>
  <c r="A166" i="4"/>
  <c r="A167" i="4"/>
  <c r="A168" i="4"/>
  <c r="A168" i="13" s="1"/>
  <c r="A169" i="4"/>
  <c r="A170" i="4"/>
  <c r="A171" i="4"/>
  <c r="A172" i="4"/>
  <c r="A173" i="4"/>
  <c r="A173" i="13" s="1"/>
  <c r="A174" i="4"/>
  <c r="B781" i="8" s="1"/>
  <c r="A175" i="4"/>
  <c r="A176" i="4"/>
  <c r="A177" i="4"/>
  <c r="A178" i="4"/>
  <c r="A178" i="13" s="1"/>
  <c r="A179" i="4"/>
  <c r="A179" i="13" s="1"/>
  <c r="A180" i="4"/>
  <c r="A181" i="4"/>
  <c r="A182" i="4"/>
  <c r="A183" i="4"/>
  <c r="A184" i="4"/>
  <c r="A185" i="4"/>
  <c r="A185" i="13" s="1"/>
  <c r="A186" i="4"/>
  <c r="A187" i="4"/>
  <c r="A188" i="4"/>
  <c r="A189" i="4"/>
  <c r="A190" i="4"/>
  <c r="A190" i="13" s="1"/>
  <c r="A191" i="4"/>
  <c r="A191" i="13" s="1"/>
  <c r="A192" i="4"/>
  <c r="A193" i="4"/>
  <c r="A194" i="4"/>
  <c r="A195" i="4"/>
  <c r="A196" i="4"/>
  <c r="A197" i="4"/>
  <c r="A198" i="4"/>
  <c r="A199" i="4"/>
  <c r="A200" i="4"/>
  <c r="A201" i="4"/>
  <c r="A202" i="4"/>
  <c r="A203" i="4"/>
  <c r="A204" i="4"/>
  <c r="A205" i="4"/>
  <c r="A206" i="4"/>
  <c r="A207" i="4"/>
  <c r="A208" i="4"/>
  <c r="A209" i="4"/>
  <c r="A210" i="4"/>
  <c r="A211" i="4"/>
  <c r="A211" i="13" s="1"/>
  <c r="A212" i="4"/>
  <c r="A213" i="4"/>
  <c r="A213" i="13" s="1"/>
  <c r="A214" i="4"/>
  <c r="A214" i="13" s="1"/>
  <c r="A215" i="4"/>
  <c r="A216" i="4"/>
  <c r="A217" i="4"/>
  <c r="A218" i="4"/>
  <c r="A219" i="4"/>
  <c r="A220" i="4"/>
  <c r="A221" i="4"/>
  <c r="A221" i="13" s="1"/>
  <c r="A222" i="4"/>
  <c r="A223" i="4"/>
  <c r="A224" i="4"/>
  <c r="A225" i="4"/>
  <c r="A226" i="4"/>
  <c r="A227" i="4"/>
  <c r="A228" i="4"/>
  <c r="A229" i="4"/>
  <c r="A230" i="4"/>
  <c r="A231" i="4"/>
  <c r="A232" i="4"/>
  <c r="A233" i="4"/>
  <c r="A233" i="13" s="1"/>
  <c r="A234" i="4"/>
  <c r="A234" i="13" s="1"/>
  <c r="A235" i="4"/>
  <c r="A236" i="4"/>
  <c r="A237" i="4"/>
  <c r="A238" i="4"/>
  <c r="A238" i="13" s="1"/>
  <c r="A239" i="4"/>
  <c r="A240" i="4"/>
  <c r="A241" i="4"/>
  <c r="A241" i="13" s="1"/>
  <c r="A5" i="4"/>
  <c r="A5" i="13" s="1"/>
  <c r="G200" i="17"/>
  <c r="C200" i="17"/>
  <c r="G199" i="17"/>
  <c r="C199" i="17"/>
  <c r="G198" i="17"/>
  <c r="C198" i="17"/>
  <c r="G197" i="17"/>
  <c r="C197" i="17"/>
  <c r="G196" i="17"/>
  <c r="C196" i="17"/>
  <c r="G195" i="17"/>
  <c r="C195" i="17"/>
  <c r="G194" i="17"/>
  <c r="C194" i="17"/>
  <c r="G193" i="17"/>
  <c r="C193" i="17"/>
  <c r="G192" i="17"/>
  <c r="C192" i="17"/>
  <c r="G191" i="17"/>
  <c r="C191" i="17"/>
  <c r="G190" i="17"/>
  <c r="C190" i="17"/>
  <c r="G189" i="17"/>
  <c r="C189" i="17"/>
  <c r="G188" i="17"/>
  <c r="C188" i="17"/>
  <c r="G187" i="17"/>
  <c r="C187" i="17"/>
  <c r="G186" i="17"/>
  <c r="C186" i="17"/>
  <c r="G185" i="17"/>
  <c r="C185" i="17"/>
  <c r="G184" i="17"/>
  <c r="C184" i="17"/>
  <c r="G183" i="17"/>
  <c r="C183" i="17"/>
  <c r="G182" i="17"/>
  <c r="C182" i="17"/>
  <c r="G181" i="17"/>
  <c r="C181" i="17"/>
  <c r="G180" i="17"/>
  <c r="C180" i="17"/>
  <c r="G179" i="17"/>
  <c r="C179" i="17"/>
  <c r="G178" i="17"/>
  <c r="C178" i="17"/>
  <c r="G177" i="17"/>
  <c r="C177" i="17"/>
  <c r="G176" i="17"/>
  <c r="C176" i="17"/>
  <c r="G175" i="17"/>
  <c r="C175" i="17"/>
  <c r="G174" i="17"/>
  <c r="C174" i="17"/>
  <c r="G173" i="17"/>
  <c r="C173" i="17"/>
  <c r="G172" i="17"/>
  <c r="C172" i="17"/>
  <c r="G171" i="17"/>
  <c r="C171" i="17"/>
  <c r="G170" i="17"/>
  <c r="C170" i="17"/>
  <c r="G169" i="17"/>
  <c r="C169" i="17"/>
  <c r="G168" i="17"/>
  <c r="C168" i="17"/>
  <c r="G167" i="17"/>
  <c r="C167" i="17"/>
  <c r="G166" i="17"/>
  <c r="C166" i="17"/>
  <c r="G165" i="17"/>
  <c r="C165" i="17"/>
  <c r="G164" i="17"/>
  <c r="C164" i="17"/>
  <c r="G163" i="17"/>
  <c r="C163" i="17"/>
  <c r="G162" i="17"/>
  <c r="C162" i="17"/>
  <c r="G161" i="17"/>
  <c r="C161" i="17"/>
  <c r="G160" i="17"/>
  <c r="C160" i="17"/>
  <c r="G159" i="17"/>
  <c r="C159" i="17"/>
  <c r="G158" i="17"/>
  <c r="C158" i="17"/>
  <c r="G157" i="17"/>
  <c r="C157" i="17"/>
  <c r="G156" i="17"/>
  <c r="C156" i="17"/>
  <c r="G155" i="17"/>
  <c r="C155" i="17"/>
  <c r="G154" i="17"/>
  <c r="C154" i="17"/>
  <c r="G153" i="17"/>
  <c r="C153" i="17"/>
  <c r="G152" i="17"/>
  <c r="C152" i="17"/>
  <c r="G151" i="17"/>
  <c r="C151" i="17"/>
  <c r="G150" i="17"/>
  <c r="C150" i="17"/>
  <c r="G149" i="17"/>
  <c r="C149" i="17"/>
  <c r="G148" i="17"/>
  <c r="C148" i="17"/>
  <c r="G147" i="17"/>
  <c r="C147" i="17"/>
  <c r="G146" i="17"/>
  <c r="C146" i="17"/>
  <c r="G145" i="17"/>
  <c r="C145" i="17"/>
  <c r="G144" i="17"/>
  <c r="C144" i="17"/>
  <c r="G143" i="17"/>
  <c r="C143" i="17"/>
  <c r="G142" i="17"/>
  <c r="C142" i="17"/>
  <c r="G141" i="17"/>
  <c r="C141" i="17"/>
  <c r="G140" i="17"/>
  <c r="C140" i="17"/>
  <c r="G139" i="17"/>
  <c r="C139" i="17"/>
  <c r="G138" i="17"/>
  <c r="C138" i="17"/>
  <c r="G137" i="17"/>
  <c r="C137" i="17"/>
  <c r="G136" i="17"/>
  <c r="C136" i="17"/>
  <c r="G135" i="17"/>
  <c r="C135" i="17"/>
  <c r="G134" i="17"/>
  <c r="C134" i="17"/>
  <c r="G133" i="17"/>
  <c r="C133" i="17"/>
  <c r="G132" i="17"/>
  <c r="C132" i="17"/>
  <c r="G131" i="17"/>
  <c r="C131" i="17"/>
  <c r="G130" i="17"/>
  <c r="C130" i="17"/>
  <c r="G129" i="17"/>
  <c r="C129" i="17"/>
  <c r="G128" i="17"/>
  <c r="C128" i="17"/>
  <c r="G127" i="17"/>
  <c r="C127" i="17"/>
  <c r="G126" i="17"/>
  <c r="C126" i="17"/>
  <c r="G125" i="17"/>
  <c r="C125" i="17"/>
  <c r="G124" i="17"/>
  <c r="C124" i="17"/>
  <c r="G123" i="17"/>
  <c r="C123" i="17"/>
  <c r="G122" i="17"/>
  <c r="C122" i="17"/>
  <c r="G121" i="17"/>
  <c r="C121" i="17"/>
  <c r="G120" i="17"/>
  <c r="C120" i="17"/>
  <c r="G119" i="17"/>
  <c r="C119" i="17"/>
  <c r="G118" i="17"/>
  <c r="C118" i="17"/>
  <c r="G117" i="17"/>
  <c r="C117" i="17"/>
  <c r="G116" i="17"/>
  <c r="C116" i="17"/>
  <c r="G115" i="17"/>
  <c r="C115" i="17"/>
  <c r="G114" i="17"/>
  <c r="C114" i="17"/>
  <c r="G113" i="17"/>
  <c r="C113" i="17"/>
  <c r="G112" i="17"/>
  <c r="C112" i="17"/>
  <c r="G111" i="17"/>
  <c r="C111" i="17"/>
  <c r="G110" i="17"/>
  <c r="C110" i="17"/>
  <c r="G109" i="17"/>
  <c r="C109" i="17"/>
  <c r="G108" i="17"/>
  <c r="C108" i="17"/>
  <c r="G107" i="17"/>
  <c r="C107" i="17"/>
  <c r="G106" i="17"/>
  <c r="C106" i="17"/>
  <c r="G105" i="17"/>
  <c r="C105" i="17"/>
  <c r="G104" i="17"/>
  <c r="C104" i="17"/>
  <c r="G103" i="17"/>
  <c r="C103" i="17"/>
  <c r="G102" i="17"/>
  <c r="C102" i="17"/>
  <c r="G101" i="17"/>
  <c r="C101" i="17"/>
  <c r="G100" i="17"/>
  <c r="C100" i="17"/>
  <c r="G99" i="17"/>
  <c r="C99" i="17"/>
  <c r="G98" i="17"/>
  <c r="C98" i="17"/>
  <c r="G97" i="17"/>
  <c r="C97" i="17"/>
  <c r="G96" i="17"/>
  <c r="C96" i="17"/>
  <c r="G95" i="17"/>
  <c r="C95" i="17"/>
  <c r="G94" i="17"/>
  <c r="C94" i="17"/>
  <c r="G93" i="17"/>
  <c r="C93" i="17"/>
  <c r="G92" i="17"/>
  <c r="C92" i="17"/>
  <c r="G91" i="17"/>
  <c r="C91" i="17"/>
  <c r="G90" i="17"/>
  <c r="C90" i="17"/>
  <c r="G89" i="17"/>
  <c r="C89" i="17"/>
  <c r="G88" i="17"/>
  <c r="C88" i="17"/>
  <c r="G87" i="17"/>
  <c r="C87" i="17"/>
  <c r="G86" i="17"/>
  <c r="C86" i="17"/>
  <c r="G85" i="17"/>
  <c r="C85" i="17"/>
  <c r="G84" i="17"/>
  <c r="C84" i="17"/>
  <c r="G83" i="17"/>
  <c r="C83" i="17"/>
  <c r="G82" i="17"/>
  <c r="C82" i="17"/>
  <c r="G81" i="17"/>
  <c r="C81" i="17"/>
  <c r="G80" i="17"/>
  <c r="C80" i="17"/>
  <c r="G79" i="17"/>
  <c r="C79" i="17"/>
  <c r="G78" i="17"/>
  <c r="C78" i="17"/>
  <c r="G77" i="17"/>
  <c r="C77" i="17"/>
  <c r="G76" i="17"/>
  <c r="C76" i="17"/>
  <c r="G75" i="17"/>
  <c r="C75" i="17"/>
  <c r="G74" i="17"/>
  <c r="C74" i="17"/>
  <c r="G73" i="17"/>
  <c r="C73" i="17"/>
  <c r="G72" i="17"/>
  <c r="C72" i="17"/>
  <c r="G71" i="17"/>
  <c r="C71" i="17"/>
  <c r="G70" i="17"/>
  <c r="C70" i="17"/>
  <c r="G69" i="17"/>
  <c r="C69" i="17"/>
  <c r="G68" i="17"/>
  <c r="C68" i="17"/>
  <c r="G67" i="17"/>
  <c r="C67" i="17"/>
  <c r="G66" i="17"/>
  <c r="C66" i="17"/>
  <c r="G65" i="17"/>
  <c r="C65" i="17"/>
  <c r="G64" i="17"/>
  <c r="C64" i="17"/>
  <c r="G63" i="17"/>
  <c r="C63" i="17"/>
  <c r="G62" i="17"/>
  <c r="C62" i="17"/>
  <c r="G61" i="17"/>
  <c r="C61" i="17"/>
  <c r="G60" i="17"/>
  <c r="C60" i="17"/>
  <c r="G59" i="17"/>
  <c r="C59" i="17"/>
  <c r="G58" i="17"/>
  <c r="C58" i="17"/>
  <c r="G57" i="17"/>
  <c r="C57" i="17"/>
  <c r="G56" i="17"/>
  <c r="C56" i="17"/>
  <c r="G55" i="17"/>
  <c r="C55" i="17"/>
  <c r="G54" i="17"/>
  <c r="C54" i="17"/>
  <c r="G53" i="17"/>
  <c r="C53" i="17"/>
  <c r="G52" i="17"/>
  <c r="C52" i="17"/>
  <c r="G51" i="17"/>
  <c r="C51" i="17"/>
  <c r="G50" i="17"/>
  <c r="C50" i="17"/>
  <c r="G49" i="17"/>
  <c r="C49" i="17"/>
  <c r="G48" i="17"/>
  <c r="C48" i="17"/>
  <c r="G47" i="17"/>
  <c r="C47" i="17"/>
  <c r="G46" i="17"/>
  <c r="C46" i="17"/>
  <c r="G45" i="17"/>
  <c r="C45" i="17"/>
  <c r="G44" i="17"/>
  <c r="C44" i="17"/>
  <c r="G43" i="17"/>
  <c r="C43" i="17"/>
  <c r="G42" i="17"/>
  <c r="C42" i="17"/>
  <c r="G41" i="17"/>
  <c r="C41" i="17"/>
  <c r="G40" i="17"/>
  <c r="C40" i="17"/>
  <c r="G39" i="17"/>
  <c r="C39" i="17"/>
  <c r="G38" i="17"/>
  <c r="C38" i="17"/>
  <c r="G37" i="17"/>
  <c r="C37" i="17"/>
  <c r="G36" i="17"/>
  <c r="C36" i="17"/>
  <c r="G35" i="17"/>
  <c r="C35" i="17"/>
  <c r="G34" i="17"/>
  <c r="C34" i="17"/>
  <c r="G33" i="17"/>
  <c r="C33" i="17"/>
  <c r="G32" i="17"/>
  <c r="C32" i="17"/>
  <c r="G31" i="17"/>
  <c r="C31" i="17"/>
  <c r="G30" i="17"/>
  <c r="C30" i="17"/>
  <c r="G29" i="17"/>
  <c r="C29" i="17"/>
  <c r="G28" i="17"/>
  <c r="C28" i="17"/>
  <c r="G27" i="17"/>
  <c r="C27" i="17"/>
  <c r="G26" i="17"/>
  <c r="C26" i="17"/>
  <c r="G25" i="17"/>
  <c r="C25" i="17"/>
  <c r="G24" i="17"/>
  <c r="C24" i="17"/>
  <c r="G23" i="17"/>
  <c r="C23" i="17"/>
  <c r="G22" i="17"/>
  <c r="C22" i="17"/>
  <c r="G21" i="17"/>
  <c r="C21" i="17"/>
  <c r="G20" i="17"/>
  <c r="C20" i="17"/>
  <c r="G19" i="17"/>
  <c r="C19" i="17"/>
  <c r="G18" i="17"/>
  <c r="C18" i="17"/>
  <c r="G17" i="17"/>
  <c r="C17" i="17"/>
  <c r="G16" i="17"/>
  <c r="C16" i="17"/>
  <c r="G15" i="17"/>
  <c r="C15" i="17"/>
  <c r="G14" i="17"/>
  <c r="C14" i="17"/>
  <c r="G13" i="17"/>
  <c r="C13" i="17"/>
  <c r="G12" i="17"/>
  <c r="C12" i="17"/>
  <c r="G11" i="17"/>
  <c r="C11" i="17"/>
  <c r="G10" i="17"/>
  <c r="C10" i="17"/>
  <c r="G9" i="17"/>
  <c r="C9" i="17"/>
  <c r="G8" i="17"/>
  <c r="C8" i="17"/>
  <c r="G7" i="17"/>
  <c r="C7" i="17"/>
  <c r="G6" i="17"/>
  <c r="C6" i="17"/>
  <c r="G5" i="17"/>
  <c r="C5" i="17"/>
  <c r="Q77" i="8"/>
  <c r="N77" i="8"/>
  <c r="O77" i="8" s="1"/>
  <c r="Q76" i="8"/>
  <c r="N76" i="8"/>
  <c r="O76" i="8" s="1"/>
  <c r="Q75" i="8"/>
  <c r="N75" i="8"/>
  <c r="O75" i="8" s="1"/>
  <c r="Q74" i="8"/>
  <c r="N74" i="8"/>
  <c r="O74" i="8" s="1"/>
  <c r="Q73" i="8"/>
  <c r="N73" i="8"/>
  <c r="O73" i="8" s="1"/>
  <c r="Q72" i="8"/>
  <c r="N72" i="8"/>
  <c r="O72" i="8" s="1"/>
  <c r="Q71" i="8"/>
  <c r="N71" i="8"/>
  <c r="O71" i="8" s="1"/>
  <c r="Q70" i="8"/>
  <c r="N70" i="8"/>
  <c r="O70" i="8" s="1"/>
  <c r="Q69" i="8"/>
  <c r="N69" i="8"/>
  <c r="O69" i="8" s="1"/>
  <c r="Q68" i="8"/>
  <c r="N68" i="8"/>
  <c r="O68" i="8" s="1"/>
  <c r="Q67" i="8"/>
  <c r="N67" i="8"/>
  <c r="O67" i="8" s="1"/>
  <c r="Q66" i="8"/>
  <c r="N66" i="8"/>
  <c r="O66" i="8" s="1"/>
  <c r="Q65" i="8"/>
  <c r="N65" i="8"/>
  <c r="O65" i="8" s="1"/>
  <c r="Q64" i="8"/>
  <c r="N64" i="8"/>
  <c r="O64" i="8" s="1"/>
  <c r="Q63" i="8"/>
  <c r="N63" i="8"/>
  <c r="O63" i="8" s="1"/>
  <c r="Q62" i="8"/>
  <c r="N62" i="8"/>
  <c r="O62" i="8" s="1"/>
  <c r="Q61" i="8"/>
  <c r="N61" i="8"/>
  <c r="O61" i="8" s="1"/>
  <c r="Q60" i="8"/>
  <c r="N60" i="8"/>
  <c r="O60" i="8" s="1"/>
  <c r="Q59" i="8"/>
  <c r="N59" i="8"/>
  <c r="O59" i="8" s="1"/>
  <c r="Q58" i="8"/>
  <c r="N58" i="8"/>
  <c r="O58" i="8" s="1"/>
  <c r="Q57" i="8"/>
  <c r="N57" i="8"/>
  <c r="O57" i="8" s="1"/>
  <c r="Q56" i="8"/>
  <c r="N56" i="8"/>
  <c r="O56" i="8" s="1"/>
  <c r="Q55" i="8"/>
  <c r="N55" i="8"/>
  <c r="O55" i="8" s="1"/>
  <c r="Q54" i="8"/>
  <c r="N54" i="8"/>
  <c r="O54" i="8" s="1"/>
  <c r="Q53" i="8"/>
  <c r="N53" i="8"/>
  <c r="O53" i="8" s="1"/>
  <c r="Q52" i="8"/>
  <c r="N52" i="8"/>
  <c r="O52" i="8" s="1"/>
  <c r="Q51" i="8"/>
  <c r="N51" i="8"/>
  <c r="O51" i="8" s="1"/>
  <c r="Q50" i="8"/>
  <c r="N50" i="8"/>
  <c r="O50" i="8" s="1"/>
  <c r="Q49" i="8"/>
  <c r="N49" i="8"/>
  <c r="O49" i="8" s="1"/>
  <c r="Q48" i="8"/>
  <c r="N48" i="8"/>
  <c r="O48" i="8" s="1"/>
  <c r="Q47" i="8"/>
  <c r="N47" i="8"/>
  <c r="O47" i="8" s="1"/>
  <c r="Q46" i="8"/>
  <c r="N46" i="8"/>
  <c r="O46" i="8" s="1"/>
  <c r="Q45" i="8"/>
  <c r="N45" i="8"/>
  <c r="O45" i="8" s="1"/>
  <c r="Q44" i="8"/>
  <c r="N44" i="8"/>
  <c r="O44" i="8" s="1"/>
  <c r="Q43" i="8"/>
  <c r="N43" i="8"/>
  <c r="O43" i="8" s="1"/>
  <c r="Q42" i="8"/>
  <c r="N42" i="8"/>
  <c r="O42" i="8" s="1"/>
  <c r="Q41" i="8"/>
  <c r="N41" i="8"/>
  <c r="O41" i="8" s="1"/>
  <c r="Q40" i="8"/>
  <c r="N40" i="8"/>
  <c r="O40" i="8" s="1"/>
  <c r="Q39" i="8"/>
  <c r="N39" i="8"/>
  <c r="O39" i="8" s="1"/>
  <c r="Q38" i="8"/>
  <c r="N38" i="8"/>
  <c r="O38" i="8" s="1"/>
  <c r="Q37" i="8"/>
  <c r="N37" i="8"/>
  <c r="O37" i="8" s="1"/>
  <c r="Q36" i="8"/>
  <c r="N36" i="8"/>
  <c r="O36" i="8" s="1"/>
  <c r="Q35" i="8"/>
  <c r="N35" i="8"/>
  <c r="O35" i="8" s="1"/>
  <c r="Q34" i="8"/>
  <c r="N34" i="8"/>
  <c r="O34" i="8" s="1"/>
  <c r="Q33" i="8"/>
  <c r="N33" i="8"/>
  <c r="O33" i="8" s="1"/>
  <c r="Q32" i="8"/>
  <c r="N32" i="8"/>
  <c r="O32" i="8" s="1"/>
  <c r="Q31" i="8"/>
  <c r="N31" i="8"/>
  <c r="O31" i="8" s="1"/>
  <c r="Q30" i="8"/>
  <c r="N30" i="8"/>
  <c r="O30" i="8" s="1"/>
  <c r="Q29" i="8"/>
  <c r="N29" i="8"/>
  <c r="O29" i="8" s="1"/>
  <c r="Q28" i="8"/>
  <c r="N28" i="8"/>
  <c r="O28" i="8" s="1"/>
  <c r="Q27" i="8"/>
  <c r="N27" i="8"/>
  <c r="O27" i="8" s="1"/>
  <c r="Q26" i="8"/>
  <c r="N26" i="8"/>
  <c r="O26" i="8" s="1"/>
  <c r="Q25" i="8"/>
  <c r="N25" i="8"/>
  <c r="O25" i="8" s="1"/>
  <c r="Q24" i="8"/>
  <c r="N24" i="8"/>
  <c r="O24" i="8" s="1"/>
  <c r="Q23" i="8"/>
  <c r="N23" i="8"/>
  <c r="O23" i="8" s="1"/>
  <c r="Q22" i="8"/>
  <c r="N22" i="8"/>
  <c r="O22" i="8" s="1"/>
  <c r="Q21" i="8"/>
  <c r="N21" i="8"/>
  <c r="O21" i="8" s="1"/>
  <c r="Q20" i="8"/>
  <c r="N20" i="8"/>
  <c r="O20" i="8" s="1"/>
  <c r="Q19" i="8"/>
  <c r="N19" i="8"/>
  <c r="O19" i="8" s="1"/>
  <c r="Q18" i="8"/>
  <c r="N18" i="8"/>
  <c r="O18" i="8" s="1"/>
  <c r="Q17" i="8"/>
  <c r="N17" i="8"/>
  <c r="O17" i="8" s="1"/>
  <c r="Q16" i="8"/>
  <c r="N16" i="8"/>
  <c r="O16" i="8" s="1"/>
  <c r="Q15" i="8"/>
  <c r="N15" i="8"/>
  <c r="O15" i="8" s="1"/>
  <c r="Q14" i="8"/>
  <c r="N14" i="8"/>
  <c r="O14" i="8" s="1"/>
  <c r="Q13" i="8"/>
  <c r="N13" i="8"/>
  <c r="O13" i="8" s="1"/>
  <c r="Q12" i="8"/>
  <c r="N12" i="8"/>
  <c r="O12" i="8" s="1"/>
  <c r="Q11" i="8"/>
  <c r="N11" i="8"/>
  <c r="O11" i="8" s="1"/>
  <c r="Q10" i="8"/>
  <c r="N10" i="8"/>
  <c r="O10" i="8" s="1"/>
  <c r="Q9" i="8"/>
  <c r="N9" i="8"/>
  <c r="O9" i="8" s="1"/>
  <c r="Q8" i="8"/>
  <c r="N8" i="8"/>
  <c r="O8" i="8" s="1"/>
  <c r="Q7" i="8"/>
  <c r="N7" i="8"/>
  <c r="O7" i="8" s="1"/>
  <c r="Q6" i="8"/>
  <c r="N6" i="8"/>
  <c r="O6" i="8" s="1"/>
  <c r="J286" i="13" l="1"/>
  <c r="I286" i="13"/>
  <c r="G580" i="13"/>
  <c r="I580" i="13"/>
  <c r="J580" i="13"/>
  <c r="H580" i="13"/>
  <c r="F412" i="13"/>
  <c r="G412" i="13"/>
  <c r="I416" i="13"/>
  <c r="J416" i="13"/>
  <c r="H443" i="13"/>
  <c r="I443" i="13"/>
  <c r="H286" i="13"/>
  <c r="G286" i="13"/>
  <c r="P576" i="10"/>
  <c r="M576" i="10"/>
  <c r="L576" i="10"/>
  <c r="J576" i="10"/>
  <c r="I576" i="10"/>
  <c r="G11" i="14"/>
  <c r="F11" i="14"/>
  <c r="I567" i="13"/>
  <c r="J567" i="13"/>
  <c r="Q318" i="10"/>
  <c r="P318" i="10"/>
  <c r="AJ431" i="8"/>
  <c r="AK431" i="8" s="1"/>
  <c r="AC1938" i="8"/>
  <c r="AE1938" i="8" s="1"/>
  <c r="AF1938" i="8" s="1"/>
  <c r="AJ512" i="8"/>
  <c r="AK512" i="8" s="1"/>
  <c r="AJ516" i="8"/>
  <c r="AK516" i="8" s="1"/>
  <c r="AJ508" i="8"/>
  <c r="AK508" i="8" s="1"/>
  <c r="AJ504" i="8"/>
  <c r="AK504" i="8" s="1"/>
  <c r="AJ484" i="8"/>
  <c r="AK484" i="8" s="1"/>
  <c r="AJ499" i="8"/>
  <c r="AK499" i="8" s="1"/>
  <c r="AJ495" i="8"/>
  <c r="AK495" i="8" s="1"/>
  <c r="AJ492" i="8"/>
  <c r="AK492" i="8" s="1"/>
  <c r="AJ510" i="8"/>
  <c r="AK510" i="8" s="1"/>
  <c r="AJ506" i="8"/>
  <c r="AK506" i="8" s="1"/>
  <c r="AJ486" i="8"/>
  <c r="AK486" i="8" s="1"/>
  <c r="AJ481" i="8"/>
  <c r="AK481" i="8" s="1"/>
  <c r="AJ517" i="8"/>
  <c r="AK517" i="8" s="1"/>
  <c r="AJ485" i="8"/>
  <c r="AK485" i="8" s="1"/>
  <c r="AJ513" i="8"/>
  <c r="AK513" i="8" s="1"/>
  <c r="AJ500" i="8"/>
  <c r="AK500" i="8" s="1"/>
  <c r="AJ509" i="8"/>
  <c r="AK509" i="8" s="1"/>
  <c r="AJ505" i="8"/>
  <c r="AK505" i="8" s="1"/>
  <c r="AJ496" i="8"/>
  <c r="AK496" i="8" s="1"/>
  <c r="AJ493" i="8"/>
  <c r="AK493" i="8" s="1"/>
  <c r="AJ488" i="8"/>
  <c r="AK488" i="8" s="1"/>
  <c r="T1542" i="8"/>
  <c r="J1542" i="8"/>
  <c r="T1543" i="8"/>
  <c r="J1543" i="8"/>
  <c r="T1544" i="8"/>
  <c r="J1544" i="8"/>
  <c r="T1545" i="8"/>
  <c r="J1545" i="8"/>
  <c r="T1546" i="8"/>
  <c r="J1546" i="8"/>
  <c r="T1547" i="8"/>
  <c r="J1547" i="8"/>
  <c r="T1548" i="8"/>
  <c r="J1548" i="8"/>
  <c r="T1549" i="8"/>
  <c r="J1549" i="8"/>
  <c r="T1550" i="8"/>
  <c r="J1550" i="8"/>
  <c r="T1551" i="8"/>
  <c r="J1551" i="8"/>
  <c r="T1552" i="8"/>
  <c r="J1552" i="8"/>
  <c r="T1553" i="8"/>
  <c r="J1553" i="8"/>
  <c r="L1553" i="8" s="1"/>
  <c r="T1554" i="8"/>
  <c r="J1554" i="8"/>
  <c r="L1554" i="8" s="1"/>
  <c r="T1555" i="8"/>
  <c r="J1555" i="8"/>
  <c r="L1555" i="8" s="1"/>
  <c r="T1556" i="8"/>
  <c r="J1556" i="8"/>
  <c r="L1556" i="8" s="1"/>
  <c r="T1557" i="8"/>
  <c r="J1557" i="8"/>
  <c r="L1557" i="8" s="1"/>
  <c r="T1558" i="8"/>
  <c r="J1558" i="8"/>
  <c r="L1558" i="8" s="1"/>
  <c r="T1559" i="8"/>
  <c r="J1559" i="8"/>
  <c r="L1559" i="8" s="1"/>
  <c r="T1560" i="8"/>
  <c r="J1560" i="8"/>
  <c r="L1560" i="8" s="1"/>
  <c r="T1561" i="8"/>
  <c r="J1561" i="8"/>
  <c r="L1561" i="8" s="1"/>
  <c r="T1562" i="8"/>
  <c r="J1562" i="8"/>
  <c r="L1562" i="8" s="1"/>
  <c r="T1563" i="8"/>
  <c r="J1563" i="8"/>
  <c r="T1564" i="8"/>
  <c r="J1564" i="8"/>
  <c r="L1564" i="8" s="1"/>
  <c r="T1565" i="8"/>
  <c r="J1565" i="8"/>
  <c r="L1565" i="8" s="1"/>
  <c r="T1566" i="8"/>
  <c r="J1566" i="8"/>
  <c r="L1566" i="8" s="1"/>
  <c r="T1567" i="8"/>
  <c r="J1567" i="8"/>
  <c r="L1567" i="8" s="1"/>
  <c r="T1568" i="8"/>
  <c r="J1568" i="8"/>
  <c r="L1568" i="8" s="1"/>
  <c r="T1569" i="8"/>
  <c r="J1569" i="8"/>
  <c r="L1569" i="8" s="1"/>
  <c r="T1570" i="8"/>
  <c r="J1570" i="8"/>
  <c r="L1570" i="8" s="1"/>
  <c r="T1571" i="8"/>
  <c r="J1571" i="8"/>
  <c r="L1571" i="8" s="1"/>
  <c r="T1572" i="8"/>
  <c r="J1572" i="8"/>
  <c r="L1572" i="8" s="1"/>
  <c r="T1573" i="8"/>
  <c r="J1573" i="8"/>
  <c r="L1573" i="8" s="1"/>
  <c r="T1574" i="8"/>
  <c r="J1574" i="8"/>
  <c r="L1574" i="8" s="1"/>
  <c r="T1575" i="8"/>
  <c r="J1575" i="8"/>
  <c r="L1575" i="8" s="1"/>
  <c r="T1576" i="8"/>
  <c r="J1576" i="8"/>
  <c r="L1576" i="8" s="1"/>
  <c r="T1577" i="8"/>
  <c r="J1577" i="8"/>
  <c r="L1577" i="8" s="1"/>
  <c r="T1578" i="8"/>
  <c r="J1578" i="8"/>
  <c r="L1578" i="8" s="1"/>
  <c r="T1579" i="8"/>
  <c r="J1579" i="8"/>
  <c r="L1579" i="8" s="1"/>
  <c r="T1580" i="8"/>
  <c r="J1580" i="8"/>
  <c r="L1580" i="8" s="1"/>
  <c r="T1581" i="8"/>
  <c r="J1581" i="8"/>
  <c r="L1581" i="8" s="1"/>
  <c r="T1582" i="8"/>
  <c r="J1582" i="8"/>
  <c r="L1582" i="8" s="1"/>
  <c r="T1583" i="8"/>
  <c r="J1583" i="8"/>
  <c r="L1583" i="8" s="1"/>
  <c r="T1584" i="8"/>
  <c r="J1584" i="8"/>
  <c r="L1584" i="8" s="1"/>
  <c r="T1585" i="8"/>
  <c r="J1585" i="8"/>
  <c r="L1585" i="8" s="1"/>
  <c r="T1586" i="8"/>
  <c r="J1586" i="8"/>
  <c r="L1586" i="8" s="1"/>
  <c r="T1587" i="8"/>
  <c r="J1587" i="8"/>
  <c r="T1588" i="8"/>
  <c r="J1588" i="8"/>
  <c r="L1588" i="8" s="1"/>
  <c r="T1589" i="8"/>
  <c r="J1589" i="8"/>
  <c r="T1590" i="8"/>
  <c r="J1590" i="8"/>
  <c r="L1590" i="8" s="1"/>
  <c r="T1591" i="8"/>
  <c r="J1591" i="8"/>
  <c r="L1591" i="8" s="1"/>
  <c r="T1592" i="8"/>
  <c r="J1592" i="8"/>
  <c r="L1592" i="8" s="1"/>
  <c r="T1593" i="8"/>
  <c r="J1593" i="8"/>
  <c r="L1593" i="8" s="1"/>
  <c r="T1594" i="8"/>
  <c r="J1594" i="8"/>
  <c r="L1594" i="8" s="1"/>
  <c r="T1595" i="8"/>
  <c r="J1595" i="8"/>
  <c r="L1595" i="8" s="1"/>
  <c r="T1596" i="8"/>
  <c r="J1596" i="8"/>
  <c r="L1596" i="8" s="1"/>
  <c r="T1597" i="8"/>
  <c r="J1597" i="8"/>
  <c r="L1597" i="8" s="1"/>
  <c r="T1598" i="8"/>
  <c r="J1598" i="8"/>
  <c r="L1598" i="8" s="1"/>
  <c r="T1599" i="8"/>
  <c r="J1599" i="8"/>
  <c r="L1599" i="8" s="1"/>
  <c r="T1600" i="8"/>
  <c r="J1600" i="8"/>
  <c r="L1600" i="8" s="1"/>
  <c r="T1601" i="8"/>
  <c r="J1601" i="8"/>
  <c r="T1602" i="8"/>
  <c r="J1602" i="8"/>
  <c r="L1602" i="8" s="1"/>
  <c r="T1603" i="8"/>
  <c r="J1603" i="8"/>
  <c r="L1603" i="8" s="1"/>
  <c r="T1604" i="8"/>
  <c r="J1604" i="8"/>
  <c r="L1604" i="8" s="1"/>
  <c r="T1605" i="8"/>
  <c r="J1605" i="8"/>
  <c r="L1605" i="8" s="1"/>
  <c r="T1606" i="8"/>
  <c r="J1606" i="8"/>
  <c r="L1606" i="8" s="1"/>
  <c r="T1607" i="8"/>
  <c r="J1607" i="8"/>
  <c r="L1607" i="8" s="1"/>
  <c r="T1608" i="8"/>
  <c r="J1608" i="8"/>
  <c r="L1608" i="8" s="1"/>
  <c r="T1609" i="8"/>
  <c r="J1609" i="8"/>
  <c r="L1609" i="8" s="1"/>
  <c r="T1610" i="8"/>
  <c r="J1610" i="8"/>
  <c r="L1610" i="8" s="1"/>
  <c r="T1611" i="8"/>
  <c r="J1611" i="8"/>
  <c r="L1611" i="8" s="1"/>
  <c r="T1612" i="8"/>
  <c r="J1612" i="8"/>
  <c r="T1613" i="8"/>
  <c r="J1613" i="8"/>
  <c r="L1613" i="8" s="1"/>
  <c r="T1614" i="8"/>
  <c r="J1614" i="8"/>
  <c r="T1615" i="8"/>
  <c r="J1615" i="8"/>
  <c r="T1616" i="8"/>
  <c r="J1616" i="8"/>
  <c r="L1616" i="8" s="1"/>
  <c r="T1617" i="8"/>
  <c r="J1617" i="8"/>
  <c r="L1617" i="8" s="1"/>
  <c r="T1618" i="8"/>
  <c r="J1618" i="8"/>
  <c r="L1618" i="8" s="1"/>
  <c r="T1619" i="8"/>
  <c r="J1619" i="8"/>
  <c r="L1619" i="8" s="1"/>
  <c r="T1620" i="8"/>
  <c r="J1620" i="8"/>
  <c r="L1620" i="8" s="1"/>
  <c r="T1621" i="8"/>
  <c r="J1621" i="8"/>
  <c r="L1621" i="8" s="1"/>
  <c r="T1622" i="8"/>
  <c r="J1622" i="8"/>
  <c r="L1622" i="8" s="1"/>
  <c r="T1623" i="8"/>
  <c r="J1623" i="8"/>
  <c r="L1623" i="8" s="1"/>
  <c r="T1624" i="8"/>
  <c r="J1624" i="8"/>
  <c r="L1624" i="8" s="1"/>
  <c r="T1625" i="8"/>
  <c r="J1625" i="8"/>
  <c r="L1625" i="8" s="1"/>
  <c r="T1626" i="8"/>
  <c r="J1626" i="8"/>
  <c r="L1626" i="8" s="1"/>
  <c r="T1627" i="8"/>
  <c r="J1627" i="8"/>
  <c r="L1627" i="8" s="1"/>
  <c r="T1628" i="8"/>
  <c r="J1628" i="8"/>
  <c r="L1628" i="8" s="1"/>
  <c r="T1629" i="8"/>
  <c r="J1629" i="8"/>
  <c r="L1629" i="8" s="1"/>
  <c r="T1630" i="8"/>
  <c r="J1630" i="8"/>
  <c r="L1630" i="8" s="1"/>
  <c r="T1631" i="8"/>
  <c r="J1631" i="8"/>
  <c r="L1631" i="8" s="1"/>
  <c r="T1632" i="8"/>
  <c r="J1632" i="8"/>
  <c r="L1632" i="8" s="1"/>
  <c r="T1633" i="8"/>
  <c r="J1633" i="8"/>
  <c r="L1633" i="8" s="1"/>
  <c r="T1634" i="8"/>
  <c r="J1634" i="8"/>
  <c r="L1634" i="8" s="1"/>
  <c r="T1635" i="8"/>
  <c r="J1635" i="8"/>
  <c r="L1635" i="8" s="1"/>
  <c r="T1636" i="8"/>
  <c r="J1636" i="8"/>
  <c r="L1636" i="8" s="1"/>
  <c r="T1637" i="8"/>
  <c r="J1637" i="8"/>
  <c r="L1637" i="8" s="1"/>
  <c r="T1638" i="8"/>
  <c r="J1638" i="8"/>
  <c r="L1638" i="8" s="1"/>
  <c r="T1639" i="8"/>
  <c r="J1639" i="8"/>
  <c r="L1639" i="8" s="1"/>
  <c r="T1640" i="8"/>
  <c r="J1640" i="8"/>
  <c r="L1640" i="8" s="1"/>
  <c r="T1641" i="8"/>
  <c r="J1641" i="8"/>
  <c r="L1641" i="8" s="1"/>
  <c r="T1642" i="8"/>
  <c r="J1642" i="8"/>
  <c r="L1642" i="8" s="1"/>
  <c r="T1643" i="8"/>
  <c r="J1643" i="8"/>
  <c r="L1643" i="8" s="1"/>
  <c r="T1644" i="8"/>
  <c r="J1644" i="8"/>
  <c r="L1644" i="8" s="1"/>
  <c r="T1645" i="8"/>
  <c r="J1645" i="8"/>
  <c r="L1645" i="8" s="1"/>
  <c r="T1646" i="8"/>
  <c r="J1646" i="8"/>
  <c r="L1646" i="8" s="1"/>
  <c r="T1647" i="8"/>
  <c r="J1647" i="8"/>
  <c r="L1647" i="8" s="1"/>
  <c r="T1648" i="8"/>
  <c r="J1648" i="8"/>
  <c r="L1648" i="8" s="1"/>
  <c r="T1649" i="8"/>
  <c r="J1649" i="8"/>
  <c r="L1649" i="8" s="1"/>
  <c r="T1650" i="8"/>
  <c r="J1650" i="8"/>
  <c r="L1650" i="8" s="1"/>
  <c r="T1651" i="8"/>
  <c r="J1651" i="8"/>
  <c r="L1651" i="8" s="1"/>
  <c r="T1652" i="8"/>
  <c r="J1652" i="8"/>
  <c r="L1652" i="8" s="1"/>
  <c r="T1653" i="8"/>
  <c r="J1653" i="8"/>
  <c r="L1653" i="8" s="1"/>
  <c r="T1654" i="8"/>
  <c r="J1654" i="8"/>
  <c r="L1654" i="8" s="1"/>
  <c r="T1655" i="8"/>
  <c r="J1655" i="8"/>
  <c r="L1655" i="8" s="1"/>
  <c r="T1656" i="8"/>
  <c r="J1656" i="8"/>
  <c r="L1656" i="8" s="1"/>
  <c r="T1657" i="8"/>
  <c r="J1657" i="8"/>
  <c r="L1657" i="8" s="1"/>
  <c r="T1658" i="8"/>
  <c r="J1658" i="8"/>
  <c r="L1658" i="8" s="1"/>
  <c r="T1659" i="8"/>
  <c r="J1659" i="8"/>
  <c r="L1659" i="8" s="1"/>
  <c r="T1660" i="8"/>
  <c r="J1660" i="8"/>
  <c r="L1660" i="8" s="1"/>
  <c r="T1661" i="8"/>
  <c r="J1661" i="8"/>
  <c r="L1661" i="8" s="1"/>
  <c r="T1662" i="8"/>
  <c r="J1662" i="8"/>
  <c r="L1662" i="8" s="1"/>
  <c r="T1663" i="8"/>
  <c r="J1663" i="8"/>
  <c r="L1663" i="8" s="1"/>
  <c r="T1664" i="8"/>
  <c r="J1664" i="8"/>
  <c r="L1664" i="8" s="1"/>
  <c r="T1665" i="8"/>
  <c r="J1665" i="8"/>
  <c r="L1665" i="8" s="1"/>
  <c r="T1666" i="8"/>
  <c r="J1666" i="8"/>
  <c r="L1666" i="8" s="1"/>
  <c r="T1667" i="8"/>
  <c r="J1667" i="8"/>
  <c r="L1667" i="8" s="1"/>
  <c r="T1668" i="8"/>
  <c r="J1668" i="8"/>
  <c r="L1668" i="8" s="1"/>
  <c r="T1669" i="8"/>
  <c r="J1669" i="8"/>
  <c r="L1669" i="8" s="1"/>
  <c r="T1670" i="8"/>
  <c r="J1670" i="8"/>
  <c r="L1670" i="8" s="1"/>
  <c r="T1671" i="8"/>
  <c r="J1671" i="8"/>
  <c r="L1671" i="8" s="1"/>
  <c r="T1672" i="8"/>
  <c r="J1672" i="8"/>
  <c r="L1672" i="8" s="1"/>
  <c r="T1673" i="8"/>
  <c r="J1673" i="8"/>
  <c r="L1673" i="8" s="1"/>
  <c r="T1674" i="8"/>
  <c r="J1674" i="8"/>
  <c r="L1674" i="8" s="1"/>
  <c r="T1675" i="8"/>
  <c r="J1675" i="8"/>
  <c r="L1675" i="8" s="1"/>
  <c r="T1676" i="8"/>
  <c r="J1676" i="8"/>
  <c r="L1676" i="8" s="1"/>
  <c r="T1677" i="8"/>
  <c r="J1677" i="8"/>
  <c r="L1677" i="8" s="1"/>
  <c r="T1678" i="8"/>
  <c r="J1678" i="8"/>
  <c r="L1678" i="8" s="1"/>
  <c r="T1679" i="8"/>
  <c r="J1679" i="8"/>
  <c r="L1679" i="8" s="1"/>
  <c r="T1680" i="8"/>
  <c r="J1680" i="8"/>
  <c r="L1680" i="8" s="1"/>
  <c r="T1681" i="8"/>
  <c r="J1681" i="8"/>
  <c r="L1681" i="8" s="1"/>
  <c r="T1682" i="8"/>
  <c r="J1682" i="8"/>
  <c r="L1682" i="8" s="1"/>
  <c r="T1683" i="8"/>
  <c r="J1683" i="8"/>
  <c r="L1683" i="8" s="1"/>
  <c r="T1684" i="8"/>
  <c r="J1684" i="8"/>
  <c r="L1684" i="8" s="1"/>
  <c r="T1685" i="8"/>
  <c r="J1685" i="8"/>
  <c r="L1685" i="8" s="1"/>
  <c r="T1686" i="8"/>
  <c r="J1686" i="8"/>
  <c r="L1686" i="8" s="1"/>
  <c r="T1687" i="8"/>
  <c r="J1687" i="8"/>
  <c r="L1687" i="8" s="1"/>
  <c r="T1688" i="8"/>
  <c r="J1688" i="8"/>
  <c r="L1688" i="8" s="1"/>
  <c r="T1689" i="8"/>
  <c r="J1689" i="8"/>
  <c r="L1689" i="8" s="1"/>
  <c r="T1690" i="8"/>
  <c r="J1690" i="8"/>
  <c r="L1690" i="8" s="1"/>
  <c r="T1691" i="8"/>
  <c r="J1691" i="8"/>
  <c r="L1691" i="8" s="1"/>
  <c r="T1692" i="8"/>
  <c r="J1692" i="8"/>
  <c r="L1692" i="8" s="1"/>
  <c r="T1693" i="8"/>
  <c r="J1693" i="8"/>
  <c r="L1693" i="8" s="1"/>
  <c r="T1694" i="8"/>
  <c r="J1694" i="8"/>
  <c r="L1694" i="8" s="1"/>
  <c r="T1695" i="8"/>
  <c r="J1695" i="8"/>
  <c r="L1695" i="8" s="1"/>
  <c r="T1696" i="8"/>
  <c r="J1696" i="8"/>
  <c r="L1696" i="8" s="1"/>
  <c r="T1697" i="8"/>
  <c r="J1697" i="8"/>
  <c r="L1697" i="8" s="1"/>
  <c r="T1698" i="8"/>
  <c r="J1698" i="8"/>
  <c r="L1698" i="8" s="1"/>
  <c r="T1699" i="8"/>
  <c r="J1699" i="8"/>
  <c r="L1699" i="8" s="1"/>
  <c r="T1700" i="8"/>
  <c r="J1700" i="8"/>
  <c r="L1700" i="8" s="1"/>
  <c r="T1701" i="8"/>
  <c r="J1701" i="8"/>
  <c r="L1701" i="8" s="1"/>
  <c r="T1702" i="8"/>
  <c r="J1702" i="8"/>
  <c r="L1702" i="8" s="1"/>
  <c r="T1703" i="8"/>
  <c r="J1703" i="8"/>
  <c r="L1703" i="8" s="1"/>
  <c r="T1704" i="8"/>
  <c r="J1704" i="8"/>
  <c r="L1704" i="8" s="1"/>
  <c r="T1705" i="8"/>
  <c r="J1705" i="8"/>
  <c r="L1705" i="8" s="1"/>
  <c r="T1706" i="8"/>
  <c r="J1706" i="8"/>
  <c r="L1706" i="8" s="1"/>
  <c r="T1707" i="8"/>
  <c r="J1707" i="8"/>
  <c r="L1707" i="8" s="1"/>
  <c r="T1708" i="8"/>
  <c r="J1708" i="8"/>
  <c r="L1708" i="8" s="1"/>
  <c r="T1709" i="8"/>
  <c r="J1709" i="8"/>
  <c r="L1709" i="8" s="1"/>
  <c r="T1710" i="8"/>
  <c r="J1710" i="8"/>
  <c r="L1710" i="8" s="1"/>
  <c r="T1711" i="8"/>
  <c r="J1711" i="8"/>
  <c r="L1711" i="8" s="1"/>
  <c r="T1712" i="8"/>
  <c r="J1712" i="8"/>
  <c r="L1712" i="8" s="1"/>
  <c r="T1713" i="8"/>
  <c r="J1713" i="8"/>
  <c r="L1713" i="8" s="1"/>
  <c r="T1714" i="8"/>
  <c r="J1714" i="8"/>
  <c r="L1714" i="8" s="1"/>
  <c r="T1715" i="8"/>
  <c r="J1715" i="8"/>
  <c r="L1715" i="8" s="1"/>
  <c r="T1716" i="8"/>
  <c r="J1716" i="8"/>
  <c r="L1716" i="8" s="1"/>
  <c r="T1717" i="8"/>
  <c r="J1717" i="8"/>
  <c r="L1717" i="8" s="1"/>
  <c r="T1718" i="8"/>
  <c r="J1718" i="8"/>
  <c r="L1718" i="8" s="1"/>
  <c r="T1719" i="8"/>
  <c r="J1719" i="8"/>
  <c r="L1719" i="8" s="1"/>
  <c r="T1720" i="8"/>
  <c r="J1720" i="8"/>
  <c r="L1720" i="8" s="1"/>
  <c r="T1721" i="8"/>
  <c r="J1721" i="8"/>
  <c r="L1721" i="8" s="1"/>
  <c r="T1722" i="8"/>
  <c r="J1722" i="8"/>
  <c r="L1722" i="8" s="1"/>
  <c r="T1723" i="8"/>
  <c r="J1723" i="8"/>
  <c r="L1723" i="8" s="1"/>
  <c r="T1724" i="8"/>
  <c r="J1724" i="8"/>
  <c r="L1724" i="8" s="1"/>
  <c r="T1725" i="8"/>
  <c r="J1725" i="8"/>
  <c r="L1725" i="8" s="1"/>
  <c r="T1726" i="8"/>
  <c r="J1726" i="8"/>
  <c r="L1726" i="8" s="1"/>
  <c r="T1727" i="8"/>
  <c r="J1727" i="8"/>
  <c r="L1727" i="8" s="1"/>
  <c r="T1728" i="8"/>
  <c r="J1728" i="8"/>
  <c r="L1728" i="8" s="1"/>
  <c r="T1729" i="8"/>
  <c r="J1729" i="8"/>
  <c r="L1729" i="8" s="1"/>
  <c r="T1730" i="8"/>
  <c r="J1730" i="8"/>
  <c r="L1730" i="8" s="1"/>
  <c r="T1731" i="8"/>
  <c r="J1731" i="8"/>
  <c r="L1731" i="8" s="1"/>
  <c r="T1732" i="8"/>
  <c r="J1732" i="8"/>
  <c r="L1732" i="8" s="1"/>
  <c r="T1733" i="8"/>
  <c r="J1733" i="8"/>
  <c r="L1733" i="8" s="1"/>
  <c r="T1734" i="8"/>
  <c r="J1734" i="8"/>
  <c r="L1734" i="8" s="1"/>
  <c r="T1735" i="8"/>
  <c r="J1735" i="8"/>
  <c r="L1735" i="8" s="1"/>
  <c r="T1736" i="8"/>
  <c r="J1736" i="8"/>
  <c r="L1736" i="8" s="1"/>
  <c r="T1737" i="8"/>
  <c r="J1737" i="8"/>
  <c r="L1737" i="8" s="1"/>
  <c r="T1738" i="8"/>
  <c r="J1738" i="8"/>
  <c r="L1738" i="8" s="1"/>
  <c r="T1739" i="8"/>
  <c r="J1739" i="8"/>
  <c r="L1739" i="8" s="1"/>
  <c r="T1740" i="8"/>
  <c r="J1740" i="8"/>
  <c r="L1740" i="8" s="1"/>
  <c r="T1741" i="8"/>
  <c r="J1741" i="8"/>
  <c r="L1741" i="8" s="1"/>
  <c r="T1742" i="8"/>
  <c r="J1742" i="8"/>
  <c r="L1742" i="8" s="1"/>
  <c r="T1743" i="8"/>
  <c r="J1743" i="8"/>
  <c r="L1743" i="8" s="1"/>
  <c r="T1744" i="8"/>
  <c r="J1744" i="8"/>
  <c r="L1744" i="8" s="1"/>
  <c r="T1745" i="8"/>
  <c r="J1745" i="8"/>
  <c r="L1745" i="8" s="1"/>
  <c r="T1746" i="8"/>
  <c r="J1746" i="8"/>
  <c r="L1746" i="8" s="1"/>
  <c r="T1747" i="8"/>
  <c r="J1747" i="8"/>
  <c r="L1747" i="8" s="1"/>
  <c r="T1748" i="8"/>
  <c r="J1748" i="8"/>
  <c r="L1748" i="8" s="1"/>
  <c r="T1749" i="8"/>
  <c r="J1749" i="8"/>
  <c r="L1749" i="8" s="1"/>
  <c r="T1750" i="8"/>
  <c r="J1750" i="8"/>
  <c r="T1751" i="8"/>
  <c r="J1751" i="8"/>
  <c r="T1752" i="8"/>
  <c r="J1752" i="8"/>
  <c r="T1753" i="8"/>
  <c r="J1753" i="8"/>
  <c r="T1754" i="8"/>
  <c r="J1754" i="8"/>
  <c r="T1755" i="8"/>
  <c r="J1755" i="8"/>
  <c r="T1756" i="8"/>
  <c r="J1756" i="8"/>
  <c r="T1757" i="8"/>
  <c r="J1757" i="8"/>
  <c r="T1758" i="8"/>
  <c r="J1758" i="8"/>
  <c r="T1759" i="8"/>
  <c r="J1759" i="8"/>
  <c r="T1760" i="8"/>
  <c r="J1760" i="8"/>
  <c r="T1761" i="8"/>
  <c r="J1761" i="8"/>
  <c r="T1762" i="8"/>
  <c r="J1762" i="8"/>
  <c r="T1763" i="8"/>
  <c r="J1763" i="8"/>
  <c r="T1764" i="8"/>
  <c r="J1764" i="8"/>
  <c r="T1765" i="8"/>
  <c r="J1765" i="8"/>
  <c r="T1766" i="8"/>
  <c r="J1766" i="8"/>
  <c r="T1767" i="8"/>
  <c r="J1767" i="8"/>
  <c r="T1768" i="8"/>
  <c r="J1768" i="8"/>
  <c r="T1769" i="8"/>
  <c r="J1769" i="8"/>
  <c r="T1770" i="8"/>
  <c r="J1770" i="8"/>
  <c r="T1771" i="8"/>
  <c r="J1771" i="8"/>
  <c r="T1772" i="8"/>
  <c r="J1772" i="8"/>
  <c r="T1773" i="8"/>
  <c r="J1773" i="8"/>
  <c r="T1774" i="8"/>
  <c r="J1774" i="8"/>
  <c r="T1775" i="8"/>
  <c r="J1775" i="8"/>
  <c r="T1776" i="8"/>
  <c r="J1776" i="8"/>
  <c r="T1777" i="8"/>
  <c r="J1777" i="8"/>
  <c r="T1778" i="8"/>
  <c r="J1778" i="8"/>
  <c r="T1779" i="8"/>
  <c r="J1779" i="8"/>
  <c r="T1780" i="8"/>
  <c r="J1780" i="8"/>
  <c r="T1781" i="8"/>
  <c r="J1781" i="8"/>
  <c r="T1782" i="8"/>
  <c r="J1782" i="8"/>
  <c r="T1783" i="8"/>
  <c r="J1783" i="8"/>
  <c r="T1784" i="8"/>
  <c r="J1784" i="8"/>
  <c r="T1785" i="8"/>
  <c r="J1785" i="8"/>
  <c r="T1786" i="8"/>
  <c r="J1786" i="8"/>
  <c r="T1787" i="8"/>
  <c r="J1787" i="8"/>
  <c r="T1788" i="8"/>
  <c r="J1788" i="8"/>
  <c r="T1789" i="8"/>
  <c r="J1789" i="8"/>
  <c r="T1790" i="8"/>
  <c r="J1790" i="8"/>
  <c r="T1791" i="8"/>
  <c r="J1791" i="8"/>
  <c r="T1792" i="8"/>
  <c r="J1792" i="8"/>
  <c r="T1793" i="8"/>
  <c r="J1793" i="8"/>
  <c r="T1794" i="8"/>
  <c r="J1794" i="8"/>
  <c r="AJ1794" i="8" s="1"/>
  <c r="AK1794" i="8" s="1"/>
  <c r="T1795" i="8"/>
  <c r="J1795" i="8"/>
  <c r="T1796" i="8"/>
  <c r="J1796" i="8"/>
  <c r="T1797" i="8"/>
  <c r="J1797" i="8"/>
  <c r="T1798" i="8"/>
  <c r="J1798" i="8"/>
  <c r="T1799" i="8"/>
  <c r="J1799" i="8"/>
  <c r="T1800" i="8"/>
  <c r="J1800" i="8"/>
  <c r="T1801" i="8"/>
  <c r="J1801" i="8"/>
  <c r="T1802" i="8"/>
  <c r="J1802" i="8"/>
  <c r="T1803" i="8"/>
  <c r="J1803" i="8"/>
  <c r="T1804" i="8"/>
  <c r="J1804" i="8"/>
  <c r="H24" i="10" s="1"/>
  <c r="T1805" i="8"/>
  <c r="J1805" i="8"/>
  <c r="T1806" i="8"/>
  <c r="J1806" i="8"/>
  <c r="T1807" i="8"/>
  <c r="J1807" i="8"/>
  <c r="T1808" i="8"/>
  <c r="J1808" i="8"/>
  <c r="T1809" i="8"/>
  <c r="J1809" i="8"/>
  <c r="T1810" i="8"/>
  <c r="J1810" i="8"/>
  <c r="T1811" i="8"/>
  <c r="J1811" i="8"/>
  <c r="T1812" i="8"/>
  <c r="J1812" i="8"/>
  <c r="T1813" i="8"/>
  <c r="J1813" i="8"/>
  <c r="T1814" i="8"/>
  <c r="J1814" i="8"/>
  <c r="T1815" i="8"/>
  <c r="J1815" i="8"/>
  <c r="T1816" i="8"/>
  <c r="J1816" i="8"/>
  <c r="T1817" i="8"/>
  <c r="J1817" i="8"/>
  <c r="T1818" i="8"/>
  <c r="J1818" i="8"/>
  <c r="T1819" i="8"/>
  <c r="J1819" i="8"/>
  <c r="T1820" i="8"/>
  <c r="J1820" i="8"/>
  <c r="T1821" i="8"/>
  <c r="J1821" i="8"/>
  <c r="T1822" i="8"/>
  <c r="J1822" i="8"/>
  <c r="T1823" i="8"/>
  <c r="J1823" i="8"/>
  <c r="T1824" i="8"/>
  <c r="J1824" i="8"/>
  <c r="T1825" i="8"/>
  <c r="J1825" i="8"/>
  <c r="T1826" i="8"/>
  <c r="J1826" i="8"/>
  <c r="T1827" i="8"/>
  <c r="J1827" i="8"/>
  <c r="T1828" i="8"/>
  <c r="J1828" i="8"/>
  <c r="T1829" i="8"/>
  <c r="J1829" i="8"/>
  <c r="T1830" i="8"/>
  <c r="J1830" i="8"/>
  <c r="T1831" i="8"/>
  <c r="J1831" i="8"/>
  <c r="T1832" i="8"/>
  <c r="J1832" i="8"/>
  <c r="T1833" i="8"/>
  <c r="J1833" i="8"/>
  <c r="T1834" i="8"/>
  <c r="J1834" i="8"/>
  <c r="T1835" i="8"/>
  <c r="J1835" i="8"/>
  <c r="T1836" i="8"/>
  <c r="J1836" i="8"/>
  <c r="T1837" i="8"/>
  <c r="J1837" i="8"/>
  <c r="T1838" i="8"/>
  <c r="J1838" i="8"/>
  <c r="T1839" i="8"/>
  <c r="J1839" i="8"/>
  <c r="T1840" i="8"/>
  <c r="J1840" i="8"/>
  <c r="T1841" i="8"/>
  <c r="J1841" i="8"/>
  <c r="T1842" i="8"/>
  <c r="J1842" i="8"/>
  <c r="T1843" i="8"/>
  <c r="J1843" i="8"/>
  <c r="T1844" i="8"/>
  <c r="J1844" i="8"/>
  <c r="T1845" i="8"/>
  <c r="J1845" i="8"/>
  <c r="T1846" i="8"/>
  <c r="J1846" i="8"/>
  <c r="T1847" i="8"/>
  <c r="J1847" i="8"/>
  <c r="L1847" i="8" s="1"/>
  <c r="T1848" i="8"/>
  <c r="J1848" i="8"/>
  <c r="L1848" i="8" s="1"/>
  <c r="T1849" i="8"/>
  <c r="J1849" i="8"/>
  <c r="L1849" i="8" s="1"/>
  <c r="T1850" i="8"/>
  <c r="J1850" i="8"/>
  <c r="L1850" i="8" s="1"/>
  <c r="T1851" i="8"/>
  <c r="J1851" i="8"/>
  <c r="L1851" i="8" s="1"/>
  <c r="T1852" i="8"/>
  <c r="J1852" i="8"/>
  <c r="L1852" i="8" s="1"/>
  <c r="T1853" i="8"/>
  <c r="J1853" i="8"/>
  <c r="L1853" i="8" s="1"/>
  <c r="T1854" i="8"/>
  <c r="J1854" i="8"/>
  <c r="L1854" i="8" s="1"/>
  <c r="T1855" i="8"/>
  <c r="J1855" i="8"/>
  <c r="L1855" i="8" s="1"/>
  <c r="T1856" i="8"/>
  <c r="J1856" i="8"/>
  <c r="L1856" i="8" s="1"/>
  <c r="T1857" i="8"/>
  <c r="J1857" i="8"/>
  <c r="L1857" i="8" s="1"/>
  <c r="T1858" i="8"/>
  <c r="J1858" i="8"/>
  <c r="L1858" i="8" s="1"/>
  <c r="T1859" i="8"/>
  <c r="J1859" i="8"/>
  <c r="L1859" i="8" s="1"/>
  <c r="T1860" i="8"/>
  <c r="J1860" i="8"/>
  <c r="L1860" i="8" s="1"/>
  <c r="T1861" i="8"/>
  <c r="J1861" i="8"/>
  <c r="L1861" i="8" s="1"/>
  <c r="T1862" i="8"/>
  <c r="J1862" i="8"/>
  <c r="L1862" i="8" s="1"/>
  <c r="T1863" i="8"/>
  <c r="J1863" i="8"/>
  <c r="L1863" i="8" s="1"/>
  <c r="T1864" i="8"/>
  <c r="J1864" i="8"/>
  <c r="L1864" i="8" s="1"/>
  <c r="T1865" i="8"/>
  <c r="J1865" i="8"/>
  <c r="L1865" i="8" s="1"/>
  <c r="T1866" i="8"/>
  <c r="J1866" i="8"/>
  <c r="L1866" i="8" s="1"/>
  <c r="T1867" i="8"/>
  <c r="J1867" i="8"/>
  <c r="L1867" i="8" s="1"/>
  <c r="T1868" i="8"/>
  <c r="J1868" i="8"/>
  <c r="L1868" i="8" s="1"/>
  <c r="T1869" i="8"/>
  <c r="J1869" i="8"/>
  <c r="L1869" i="8" s="1"/>
  <c r="T1870" i="8"/>
  <c r="J1870" i="8"/>
  <c r="L1870" i="8" s="1"/>
  <c r="T1871" i="8"/>
  <c r="J1871" i="8"/>
  <c r="T1872" i="8"/>
  <c r="J1872" i="8"/>
  <c r="T1873" i="8"/>
  <c r="J1873" i="8"/>
  <c r="T1874" i="8"/>
  <c r="J1874" i="8"/>
  <c r="T1875" i="8"/>
  <c r="J1875" i="8"/>
  <c r="T1876" i="8"/>
  <c r="J1876" i="8"/>
  <c r="T1877" i="8"/>
  <c r="J1877" i="8"/>
  <c r="T1878" i="8"/>
  <c r="J1878" i="8"/>
  <c r="T1879" i="8"/>
  <c r="J1879" i="8"/>
  <c r="T1880" i="8"/>
  <c r="J1880" i="8"/>
  <c r="T1881" i="8"/>
  <c r="J1881" i="8"/>
  <c r="T1882" i="8"/>
  <c r="J1882" i="8"/>
  <c r="T1883" i="8"/>
  <c r="J1883" i="8"/>
  <c r="T1884" i="8"/>
  <c r="J1884" i="8"/>
  <c r="T1885" i="8"/>
  <c r="J1885" i="8"/>
  <c r="T1886" i="8"/>
  <c r="J1886" i="8"/>
  <c r="T1887" i="8"/>
  <c r="J1887" i="8"/>
  <c r="T1888" i="8"/>
  <c r="J1888" i="8"/>
  <c r="T1889" i="8"/>
  <c r="J1889" i="8"/>
  <c r="T1890" i="8"/>
  <c r="J1890" i="8"/>
  <c r="T1891" i="8"/>
  <c r="J1891" i="8"/>
  <c r="T1892" i="8"/>
  <c r="J1892" i="8"/>
  <c r="T1893" i="8"/>
  <c r="J1893" i="8"/>
  <c r="T1894" i="8"/>
  <c r="J1894" i="8"/>
  <c r="T1895" i="8"/>
  <c r="J1895" i="8"/>
  <c r="T1896" i="8"/>
  <c r="J1896" i="8"/>
  <c r="T1897" i="8"/>
  <c r="J1897" i="8"/>
  <c r="T1898" i="8"/>
  <c r="J1898" i="8"/>
  <c r="T1899" i="8"/>
  <c r="J1899" i="8"/>
  <c r="T1900" i="8"/>
  <c r="J1900" i="8"/>
  <c r="T1901" i="8"/>
  <c r="J1901" i="8"/>
  <c r="T1902" i="8"/>
  <c r="J1902" i="8"/>
  <c r="T1903" i="8"/>
  <c r="J1903" i="8"/>
  <c r="T1904" i="8"/>
  <c r="J1904" i="8"/>
  <c r="T1905" i="8"/>
  <c r="J1905" i="8"/>
  <c r="T1906" i="8"/>
  <c r="J1906" i="8"/>
  <c r="T1907" i="8"/>
  <c r="J1907" i="8"/>
  <c r="T1908" i="8"/>
  <c r="J1908" i="8"/>
  <c r="T1909" i="8"/>
  <c r="J1909" i="8"/>
  <c r="T1910" i="8"/>
  <c r="J1910" i="8"/>
  <c r="T1911" i="8"/>
  <c r="J1911" i="8"/>
  <c r="T1912" i="8"/>
  <c r="J1912" i="8"/>
  <c r="T1913" i="8"/>
  <c r="J1913" i="8"/>
  <c r="T1914" i="8"/>
  <c r="J1914" i="8"/>
  <c r="T1915" i="8"/>
  <c r="J1915" i="8"/>
  <c r="T1916" i="8"/>
  <c r="J1916" i="8"/>
  <c r="T1917" i="8"/>
  <c r="J1917" i="8"/>
  <c r="T1918" i="8"/>
  <c r="J1918" i="8"/>
  <c r="T1919" i="8"/>
  <c r="J1919" i="8"/>
  <c r="T1920" i="8"/>
  <c r="J1920" i="8"/>
  <c r="T1921" i="8"/>
  <c r="J1921" i="8"/>
  <c r="T1922" i="8"/>
  <c r="J1922" i="8"/>
  <c r="T1923" i="8"/>
  <c r="J1923" i="8"/>
  <c r="T1924" i="8"/>
  <c r="J1924" i="8"/>
  <c r="T1925" i="8"/>
  <c r="J1925" i="8"/>
  <c r="T1926" i="8"/>
  <c r="J1926" i="8"/>
  <c r="AJ1895" i="8"/>
  <c r="AK1895" i="8" s="1"/>
  <c r="AJ1867" i="8"/>
  <c r="AK1867" i="8" s="1"/>
  <c r="AJ1850" i="8"/>
  <c r="AK1850" i="8" s="1"/>
  <c r="AJ1826" i="8"/>
  <c r="AK1826" i="8" s="1"/>
  <c r="AJ1812" i="8"/>
  <c r="AK1812" i="8" s="1"/>
  <c r="AJ1762" i="8"/>
  <c r="AK1762" i="8" s="1"/>
  <c r="AJ1739" i="8"/>
  <c r="AK1739" i="8" s="1"/>
  <c r="AJ1730" i="8"/>
  <c r="AK1730" i="8" s="1"/>
  <c r="AJ1722" i="8"/>
  <c r="AK1722" i="8" s="1"/>
  <c r="AJ1695" i="8"/>
  <c r="AK1695" i="8" s="1"/>
  <c r="AJ1686" i="8"/>
  <c r="AK1686" i="8" s="1"/>
  <c r="AJ1678" i="8"/>
  <c r="AK1678" i="8" s="1"/>
  <c r="AJ1658" i="8"/>
  <c r="AK1658" i="8" s="1"/>
  <c r="AJ1639" i="8"/>
  <c r="AK1639" i="8" s="1"/>
  <c r="AJ1436" i="8"/>
  <c r="AK1436" i="8" s="1"/>
  <c r="AJ1421" i="8"/>
  <c r="AK1421" i="8" s="1"/>
  <c r="AJ1402" i="8"/>
  <c r="AK1402" i="8" s="1"/>
  <c r="AJ816" i="8"/>
  <c r="AK816" i="8" s="1"/>
  <c r="AJ812" i="8"/>
  <c r="AK812" i="8" s="1"/>
  <c r="AJ803" i="8"/>
  <c r="AK803" i="8" s="1"/>
  <c r="AJ792" i="8"/>
  <c r="AK792" i="8" s="1"/>
  <c r="AJ784" i="8"/>
  <c r="AK784" i="8" s="1"/>
  <c r="AJ782" i="8"/>
  <c r="AK782" i="8" s="1"/>
  <c r="AJ1822" i="8"/>
  <c r="AK1822" i="8" s="1"/>
  <c r="AJ1807" i="8"/>
  <c r="AK1807" i="8" s="1"/>
  <c r="AJ1764" i="8"/>
  <c r="AK1764" i="8" s="1"/>
  <c r="AJ1744" i="8"/>
  <c r="AK1744" i="8" s="1"/>
  <c r="AJ1713" i="8"/>
  <c r="AK1713" i="8" s="1"/>
  <c r="AJ1691" i="8"/>
  <c r="AK1691" i="8" s="1"/>
  <c r="AJ1675" i="8"/>
  <c r="AK1675" i="8" s="1"/>
  <c r="AJ1663" i="8"/>
  <c r="AK1663" i="8" s="1"/>
  <c r="AJ1633" i="8"/>
  <c r="AK1633" i="8" s="1"/>
  <c r="AJ1625" i="8"/>
  <c r="AK1625" i="8" s="1"/>
  <c r="AJ1508" i="8"/>
  <c r="AK1508" i="8" s="1"/>
  <c r="AJ1494" i="8"/>
  <c r="AK1494" i="8" s="1"/>
  <c r="AJ1475" i="8"/>
  <c r="AK1475" i="8" s="1"/>
  <c r="AJ1470" i="8"/>
  <c r="AK1470" i="8" s="1"/>
  <c r="AJ1462" i="8"/>
  <c r="AK1462" i="8" s="1"/>
  <c r="AJ1453" i="8"/>
  <c r="AK1453" i="8" s="1"/>
  <c r="AJ1446" i="8"/>
  <c r="AK1446" i="8" s="1"/>
  <c r="AJ1431" i="8"/>
  <c r="AK1431" i="8" s="1"/>
  <c r="AJ1401" i="8"/>
  <c r="AK1401" i="8" s="1"/>
  <c r="AJ807" i="8"/>
  <c r="AK807" i="8" s="1"/>
  <c r="AJ797" i="8"/>
  <c r="AK797" i="8" s="1"/>
  <c r="AJ788" i="8"/>
  <c r="AK788" i="8" s="1"/>
  <c r="AJ783" i="8"/>
  <c r="AK783" i="8" s="1"/>
  <c r="AJ781" i="8"/>
  <c r="AK781" i="8" s="1"/>
  <c r="AJ1782" i="8"/>
  <c r="AK1782" i="8" s="1"/>
  <c r="AJ1708" i="8"/>
  <c r="AK1708" i="8" s="1"/>
  <c r="AJ1628" i="8"/>
  <c r="AK1628" i="8" s="1"/>
  <c r="AJ1620" i="8"/>
  <c r="AK1620" i="8" s="1"/>
  <c r="AJ1502" i="8"/>
  <c r="AK1502" i="8" s="1"/>
  <c r="AJ1468" i="8"/>
  <c r="AK1468" i="8" s="1"/>
  <c r="AJ1450" i="8"/>
  <c r="AK1450" i="8" s="1"/>
  <c r="AJ1441" i="8"/>
  <c r="AK1441" i="8" s="1"/>
  <c r="AJ1926" i="8"/>
  <c r="AK1926" i="8" s="1"/>
  <c r="AJ1916" i="8"/>
  <c r="AK1916" i="8" s="1"/>
  <c r="AJ1902" i="8"/>
  <c r="AK1902" i="8" s="1"/>
  <c r="AJ1876" i="8"/>
  <c r="AK1876" i="8" s="1"/>
  <c r="AJ1862" i="8"/>
  <c r="AK1862" i="8" s="1"/>
  <c r="AJ1816" i="8"/>
  <c r="AK1816" i="8" s="1"/>
  <c r="AJ1799" i="8"/>
  <c r="AK1799" i="8" s="1"/>
  <c r="AJ1741" i="8"/>
  <c r="AK1741" i="8" s="1"/>
  <c r="AJ1696" i="8"/>
  <c r="AK1696" i="8" s="1"/>
  <c r="AJ1668" i="8"/>
  <c r="AK1668" i="8" s="1"/>
  <c r="AJ1647" i="8"/>
  <c r="AK1647" i="8" s="1"/>
  <c r="AJ1615" i="8"/>
  <c r="AK1615" i="8" s="1"/>
  <c r="AJ1477" i="8"/>
  <c r="AK1477" i="8" s="1"/>
  <c r="AJ1469" i="8"/>
  <c r="AK1469" i="8" s="1"/>
  <c r="AJ1457" i="8"/>
  <c r="AK1457" i="8" s="1"/>
  <c r="AJ1921" i="8"/>
  <c r="AK1921" i="8" s="1"/>
  <c r="AJ1880" i="8"/>
  <c r="AK1880" i="8" s="1"/>
  <c r="AJ1827" i="8"/>
  <c r="AK1827" i="8" s="1"/>
  <c r="AJ1763" i="8"/>
  <c r="AK1763" i="8" s="1"/>
  <c r="AJ1748" i="8"/>
  <c r="AK1748" i="8" s="1"/>
  <c r="AJ1735" i="8"/>
  <c r="AK1735" i="8" s="1"/>
  <c r="AJ1718" i="8"/>
  <c r="AK1718" i="8" s="1"/>
  <c r="AJ1672" i="8"/>
  <c r="AK1672" i="8" s="1"/>
  <c r="AJ1664" i="8"/>
  <c r="AK1664" i="8" s="1"/>
  <c r="AJ1652" i="8"/>
  <c r="AK1652" i="8" s="1"/>
  <c r="AJ1643" i="8"/>
  <c r="AK1643" i="8" s="1"/>
  <c r="AJ1635" i="8"/>
  <c r="AK1635" i="8" s="1"/>
  <c r="AJ1514" i="8"/>
  <c r="AK1514" i="8" s="1"/>
  <c r="AJ1497" i="8"/>
  <c r="AK1497" i="8" s="1"/>
  <c r="AJ1491" i="8"/>
  <c r="AK1491" i="8" s="1"/>
  <c r="AJ1481" i="8"/>
  <c r="AK1481" i="8" s="1"/>
  <c r="AJ933" i="8"/>
  <c r="AK933" i="8" s="1"/>
  <c r="AJ873" i="8"/>
  <c r="AK873" i="8" s="1"/>
  <c r="AJ1211" i="8"/>
  <c r="AK1211" i="8" s="1"/>
  <c r="AJ897" i="8"/>
  <c r="AK897" i="8" s="1"/>
  <c r="AJ885" i="8"/>
  <c r="AK885" i="8" s="1"/>
  <c r="AJ957" i="8"/>
  <c r="AK957" i="8" s="1"/>
  <c r="AJ1529" i="8"/>
  <c r="AK1529" i="8" s="1"/>
  <c r="AJ1517" i="8"/>
  <c r="AK1517" i="8" s="1"/>
  <c r="AJ969" i="8"/>
  <c r="AK969" i="8" s="1"/>
  <c r="AJ945" i="8"/>
  <c r="AK945" i="8" s="1"/>
  <c r="AJ921" i="8"/>
  <c r="AK921" i="8" s="1"/>
  <c r="AJ1071" i="8"/>
  <c r="AK1071" i="8" s="1"/>
  <c r="AJ1909" i="8"/>
  <c r="AK1909" i="8" s="1"/>
  <c r="AJ537" i="8"/>
  <c r="AK537" i="8" s="1"/>
  <c r="AJ469" i="8"/>
  <c r="AK469" i="8" s="1"/>
  <c r="AJ462" i="8"/>
  <c r="AK462" i="8" s="1"/>
  <c r="AJ447" i="8"/>
  <c r="AK447" i="8" s="1"/>
  <c r="AJ444" i="8"/>
  <c r="AK444" i="8" s="1"/>
  <c r="AJ441" i="8"/>
  <c r="AK441" i="8" s="1"/>
  <c r="AJ420" i="8"/>
  <c r="AK420" i="8" s="1"/>
  <c r="AJ414" i="8"/>
  <c r="AK414" i="8" s="1"/>
  <c r="AJ406" i="8"/>
  <c r="AK406" i="8" s="1"/>
  <c r="AJ401" i="8"/>
  <c r="AK401" i="8" s="1"/>
  <c r="AJ394" i="8"/>
  <c r="AK394" i="8" s="1"/>
  <c r="AJ385" i="8"/>
  <c r="AK385" i="8" s="1"/>
  <c r="AJ370" i="8"/>
  <c r="AK370" i="8" s="1"/>
  <c r="AJ365" i="8"/>
  <c r="AK365" i="8" s="1"/>
  <c r="AJ360" i="8"/>
  <c r="AK360" i="8" s="1"/>
  <c r="AJ355" i="8"/>
  <c r="AK355" i="8" s="1"/>
  <c r="AJ350" i="8"/>
  <c r="AK350" i="8" s="1"/>
  <c r="AJ1935" i="8"/>
  <c r="AK1935" i="8" s="1"/>
  <c r="AJ1912" i="8"/>
  <c r="AK1912" i="8" s="1"/>
  <c r="AJ1835" i="8"/>
  <c r="AK1835" i="8" s="1"/>
  <c r="AJ1808" i="8"/>
  <c r="AK1808" i="8" s="1"/>
  <c r="AJ1800" i="8"/>
  <c r="AK1800" i="8" s="1"/>
  <c r="AJ1719" i="8"/>
  <c r="AK1719" i="8" s="1"/>
  <c r="AJ1673" i="8"/>
  <c r="AK1673" i="8" s="1"/>
  <c r="AJ1636" i="8"/>
  <c r="AK1636" i="8" s="1"/>
  <c r="AJ1575" i="8"/>
  <c r="AK1575" i="8" s="1"/>
  <c r="AJ1563" i="8"/>
  <c r="AK1563" i="8" s="1"/>
  <c r="AJ1515" i="8"/>
  <c r="AK1515" i="8" s="1"/>
  <c r="AJ1500" i="8"/>
  <c r="AK1500" i="8" s="1"/>
  <c r="AJ1495" i="8"/>
  <c r="AK1495" i="8" s="1"/>
  <c r="AJ1471" i="8"/>
  <c r="AK1471" i="8" s="1"/>
  <c r="AJ1432" i="8"/>
  <c r="AK1432" i="8" s="1"/>
  <c r="AJ1417" i="8"/>
  <c r="AK1417" i="8" s="1"/>
  <c r="AJ1296" i="8"/>
  <c r="AK1296" i="8" s="1"/>
  <c r="AJ1247" i="8"/>
  <c r="AK1247" i="8" s="1"/>
  <c r="AJ1232" i="8"/>
  <c r="AK1232" i="8" s="1"/>
  <c r="AJ1225" i="8"/>
  <c r="AK1225" i="8" s="1"/>
  <c r="AJ1204" i="8"/>
  <c r="AK1204" i="8" s="1"/>
  <c r="AJ1115" i="8"/>
  <c r="AK1115" i="8" s="1"/>
  <c r="AJ967" i="8"/>
  <c r="AK967" i="8" s="1"/>
  <c r="AJ931" i="8"/>
  <c r="AK931" i="8" s="1"/>
  <c r="AJ883" i="8"/>
  <c r="AK883" i="8" s="1"/>
  <c r="AJ871" i="8"/>
  <c r="AK871" i="8" s="1"/>
  <c r="AJ852" i="8"/>
  <c r="AK852" i="8" s="1"/>
  <c r="AJ831" i="8"/>
  <c r="AK831" i="8" s="1"/>
  <c r="AJ808" i="8"/>
  <c r="AK808" i="8" s="1"/>
  <c r="AJ798" i="8"/>
  <c r="AK798" i="8" s="1"/>
  <c r="AJ789" i="8"/>
  <c r="AK789" i="8" s="1"/>
  <c r="AJ740" i="8"/>
  <c r="AK740" i="8" s="1"/>
  <c r="AJ716" i="8"/>
  <c r="AK716" i="8" s="1"/>
  <c r="AJ693" i="8"/>
  <c r="AK693" i="8" s="1"/>
  <c r="AJ691" i="8"/>
  <c r="AK691" i="8" s="1"/>
  <c r="AJ688" i="8"/>
  <c r="AK688" i="8" s="1"/>
  <c r="AJ686" i="8"/>
  <c r="AK686" i="8" s="1"/>
  <c r="AJ684" i="8"/>
  <c r="AK684" i="8" s="1"/>
  <c r="AJ670" i="8"/>
  <c r="AK670" i="8" s="1"/>
  <c r="AJ656" i="8"/>
  <c r="AK656" i="8" s="1"/>
  <c r="AJ650" i="8"/>
  <c r="AK650" i="8" s="1"/>
  <c r="AJ637" i="8"/>
  <c r="AK637" i="8" s="1"/>
  <c r="AJ629" i="8"/>
  <c r="AK629" i="8" s="1"/>
  <c r="AJ605" i="8"/>
  <c r="AK605" i="8" s="1"/>
  <c r="AJ575" i="8"/>
  <c r="AK575" i="8" s="1"/>
  <c r="AJ555" i="8"/>
  <c r="AK555" i="8" s="1"/>
  <c r="AJ1889" i="8"/>
  <c r="AK1889" i="8" s="1"/>
  <c r="AJ1854" i="8"/>
  <c r="AK1854" i="8" s="1"/>
  <c r="AJ1777" i="8"/>
  <c r="AK1777" i="8" s="1"/>
  <c r="AJ1759" i="8"/>
  <c r="AK1759" i="8" s="1"/>
  <c r="AJ1742" i="8"/>
  <c r="AK1742" i="8" s="1"/>
  <c r="AJ1705" i="8"/>
  <c r="AK1705" i="8" s="1"/>
  <c r="AJ1699" i="8"/>
  <c r="AK1699" i="8" s="1"/>
  <c r="AJ1621" i="8"/>
  <c r="AK1621" i="8" s="1"/>
  <c r="AJ1442" i="8"/>
  <c r="AK1442" i="8" s="1"/>
  <c r="AJ1396" i="8"/>
  <c r="AK1396" i="8" s="1"/>
  <c r="AJ1384" i="8"/>
  <c r="AK1384" i="8" s="1"/>
  <c r="AJ1378" i="8"/>
  <c r="AK1378" i="8" s="1"/>
  <c r="AJ1269" i="8"/>
  <c r="AK1269" i="8" s="1"/>
  <c r="AJ1176" i="8"/>
  <c r="AK1176" i="8" s="1"/>
  <c r="AJ1144" i="8"/>
  <c r="AK1144" i="8" s="1"/>
  <c r="AJ1141" i="8"/>
  <c r="AK1141" i="8" s="1"/>
  <c r="AJ1102" i="8"/>
  <c r="AK1102" i="8" s="1"/>
  <c r="AJ1072" i="8"/>
  <c r="AK1072" i="8" s="1"/>
  <c r="AJ1005" i="8"/>
  <c r="AK1005" i="8" s="1"/>
  <c r="AJ997" i="8"/>
  <c r="AK997" i="8" s="1"/>
  <c r="AJ994" i="8"/>
  <c r="AK994" i="8" s="1"/>
  <c r="AJ985" i="8"/>
  <c r="AK985" i="8" s="1"/>
  <c r="AJ907" i="8"/>
  <c r="AK907" i="8" s="1"/>
  <c r="AJ866" i="8"/>
  <c r="AK866" i="8" s="1"/>
  <c r="AJ847" i="8"/>
  <c r="AK847" i="8" s="1"/>
  <c r="AJ835" i="8"/>
  <c r="AK835" i="8" s="1"/>
  <c r="AJ824" i="8"/>
  <c r="AK824" i="8" s="1"/>
  <c r="AJ817" i="8"/>
  <c r="AK817" i="8" s="1"/>
  <c r="AJ813" i="8"/>
  <c r="AK813" i="8" s="1"/>
  <c r="AJ785" i="8"/>
  <c r="AK785" i="8" s="1"/>
  <c r="AJ776" i="8"/>
  <c r="AK776" i="8" s="1"/>
  <c r="AJ769" i="8"/>
  <c r="AK769" i="8" s="1"/>
  <c r="AJ748" i="8"/>
  <c r="AK748" i="8" s="1"/>
  <c r="AJ744" i="8"/>
  <c r="AK744" i="8" s="1"/>
  <c r="AJ731" i="8"/>
  <c r="AK731" i="8" s="1"/>
  <c r="AJ727" i="8"/>
  <c r="AK727" i="8" s="1"/>
  <c r="AJ709" i="8"/>
  <c r="AK709" i="8" s="1"/>
  <c r="AJ659" i="8"/>
  <c r="AK659" i="8" s="1"/>
  <c r="AJ653" i="8"/>
  <c r="AK653" i="8" s="1"/>
  <c r="AJ641" i="8"/>
  <c r="AK641" i="8" s="1"/>
  <c r="AJ573" i="8"/>
  <c r="AK573" i="8" s="1"/>
  <c r="AJ568" i="8"/>
  <c r="AK568" i="8" s="1"/>
  <c r="AJ560" i="8"/>
  <c r="AK560" i="8" s="1"/>
  <c r="AJ558" i="8"/>
  <c r="AK558" i="8" s="1"/>
  <c r="AJ552" i="8"/>
  <c r="AK552" i="8" s="1"/>
  <c r="AJ531" i="8"/>
  <c r="AK531" i="8" s="1"/>
  <c r="AJ530" i="8"/>
  <c r="AK530" i="8" s="1"/>
  <c r="AJ1910" i="8"/>
  <c r="AK1910" i="8" s="1"/>
  <c r="AJ1903" i="8"/>
  <c r="AK1903" i="8" s="1"/>
  <c r="AJ1881" i="8"/>
  <c r="AK1881" i="8" s="1"/>
  <c r="AJ1868" i="8"/>
  <c r="AK1868" i="8" s="1"/>
  <c r="AJ1823" i="8"/>
  <c r="AK1823" i="8" s="1"/>
  <c r="AJ1773" i="8"/>
  <c r="AK1773" i="8" s="1"/>
  <c r="AJ1753" i="8"/>
  <c r="AK1753" i="8" s="1"/>
  <c r="AJ1731" i="8"/>
  <c r="AK1731" i="8" s="1"/>
  <c r="AJ1693" i="8"/>
  <c r="AK1693" i="8" s="1"/>
  <c r="AJ1687" i="8"/>
  <c r="AK1687" i="8" s="1"/>
  <c r="AJ1648" i="8"/>
  <c r="AK1648" i="8" s="1"/>
  <c r="AJ1498" i="8"/>
  <c r="AK1498" i="8" s="1"/>
  <c r="AJ1377" i="8"/>
  <c r="AK1377" i="8" s="1"/>
  <c r="AJ1353" i="8"/>
  <c r="AK1353" i="8" s="1"/>
  <c r="AJ1348" i="8"/>
  <c r="AK1348" i="8" s="1"/>
  <c r="AJ1338" i="8"/>
  <c r="AK1338" i="8" s="1"/>
  <c r="AJ1320" i="8"/>
  <c r="AK1320" i="8" s="1"/>
  <c r="AJ1240" i="8"/>
  <c r="AK1240" i="8" s="1"/>
  <c r="AJ1205" i="8"/>
  <c r="AK1205" i="8" s="1"/>
  <c r="AJ1170" i="8"/>
  <c r="AK1170" i="8" s="1"/>
  <c r="AJ1159" i="8"/>
  <c r="AK1159" i="8" s="1"/>
  <c r="AJ1135" i="8"/>
  <c r="AK1135" i="8" s="1"/>
  <c r="AJ1108" i="8"/>
  <c r="AK1108" i="8" s="1"/>
  <c r="AJ1046" i="8"/>
  <c r="AK1046" i="8" s="1"/>
  <c r="AJ1934" i="8"/>
  <c r="AK1934" i="8" s="1"/>
  <c r="AJ1911" i="8"/>
  <c r="AK1911" i="8" s="1"/>
  <c r="AJ1898" i="8"/>
  <c r="AK1898" i="8" s="1"/>
  <c r="AJ1858" i="8"/>
  <c r="AK1858" i="8" s="1"/>
  <c r="AJ1813" i="8"/>
  <c r="AK1813" i="8" s="1"/>
  <c r="AJ1765" i="8"/>
  <c r="AK1765" i="8" s="1"/>
  <c r="AJ1679" i="8"/>
  <c r="AK1679" i="8" s="1"/>
  <c r="AJ1676" i="8"/>
  <c r="AK1676" i="8" s="1"/>
  <c r="AJ1665" i="8"/>
  <c r="AK1665" i="8" s="1"/>
  <c r="AJ1653" i="8"/>
  <c r="AK1653" i="8" s="1"/>
  <c r="AJ1644" i="8"/>
  <c r="AK1644" i="8" s="1"/>
  <c r="AJ1527" i="8"/>
  <c r="AK1527" i="8" s="1"/>
  <c r="AJ1503" i="8"/>
  <c r="AK1503" i="8" s="1"/>
  <c r="AJ1492" i="8"/>
  <c r="AK1492" i="8" s="1"/>
  <c r="AJ1486" i="8"/>
  <c r="AK1486" i="8" s="1"/>
  <c r="AJ1451" i="8"/>
  <c r="AK1451" i="8" s="1"/>
  <c r="AJ1413" i="8"/>
  <c r="AK1413" i="8" s="1"/>
  <c r="AJ1358" i="8"/>
  <c r="AK1358" i="8" s="1"/>
  <c r="AJ1334" i="8"/>
  <c r="AK1334" i="8" s="1"/>
  <c r="AJ1299" i="8"/>
  <c r="AK1299" i="8" s="1"/>
  <c r="AJ1278" i="8"/>
  <c r="AK1278" i="8" s="1"/>
  <c r="AJ1253" i="8"/>
  <c r="AK1253" i="8" s="1"/>
  <c r="AJ1246" i="8"/>
  <c r="AK1246" i="8" s="1"/>
  <c r="AJ1221" i="8"/>
  <c r="AK1221" i="8" s="1"/>
  <c r="AJ1217" i="8"/>
  <c r="AK1217" i="8" s="1"/>
  <c r="AJ1209" i="8"/>
  <c r="AK1209" i="8" s="1"/>
  <c r="AJ1200" i="8"/>
  <c r="AK1200" i="8" s="1"/>
  <c r="AJ1188" i="8"/>
  <c r="AK1188" i="8" s="1"/>
  <c r="AJ1164" i="8"/>
  <c r="AK1164" i="8" s="1"/>
  <c r="AJ1152" i="8"/>
  <c r="AK1152" i="8" s="1"/>
  <c r="AJ1139" i="8"/>
  <c r="AK1139" i="8" s="1"/>
  <c r="AJ1082" i="8"/>
  <c r="AK1082" i="8" s="1"/>
  <c r="AJ1078" i="8"/>
  <c r="AK1078" i="8" s="1"/>
  <c r="AJ1039" i="8"/>
  <c r="AK1039" i="8" s="1"/>
  <c r="AJ1028" i="8"/>
  <c r="AK1028" i="8" s="1"/>
  <c r="AJ1011" i="8"/>
  <c r="AK1011" i="8" s="1"/>
  <c r="AJ983" i="8"/>
  <c r="AK983" i="8" s="1"/>
  <c r="AJ1842" i="8"/>
  <c r="AK1842" i="8" s="1"/>
  <c r="AJ1795" i="8"/>
  <c r="AK1795" i="8" s="1"/>
  <c r="AJ1783" i="8"/>
  <c r="AK1783" i="8" s="1"/>
  <c r="AJ1656" i="8"/>
  <c r="AK1656" i="8" s="1"/>
  <c r="AJ1463" i="8"/>
  <c r="AK1463" i="8" s="1"/>
  <c r="AJ1382" i="8"/>
  <c r="AK1382" i="8" s="1"/>
  <c r="AJ1342" i="8"/>
  <c r="AK1342" i="8" s="1"/>
  <c r="AJ1331" i="8"/>
  <c r="AK1331" i="8" s="1"/>
  <c r="AJ1291" i="8"/>
  <c r="AK1291" i="8" s="1"/>
  <c r="AJ1281" i="8"/>
  <c r="AK1281" i="8" s="1"/>
  <c r="AJ1239" i="8"/>
  <c r="AK1239" i="8" s="1"/>
  <c r="AJ1213" i="8"/>
  <c r="AK1213" i="8" s="1"/>
  <c r="AJ1194" i="8"/>
  <c r="AK1194" i="8" s="1"/>
  <c r="AJ1181" i="8"/>
  <c r="AK1181" i="8" s="1"/>
  <c r="AJ1157" i="8"/>
  <c r="AK1157" i="8" s="1"/>
  <c r="AJ1151" i="8"/>
  <c r="AK1151" i="8" s="1"/>
  <c r="AJ1147" i="8"/>
  <c r="AK1147" i="8" s="1"/>
  <c r="AJ1050" i="8"/>
  <c r="AK1050" i="8" s="1"/>
  <c r="AJ1017" i="8"/>
  <c r="AK1017" i="8" s="1"/>
  <c r="AJ979" i="8"/>
  <c r="AK979" i="8" s="1"/>
  <c r="AJ449" i="8"/>
  <c r="AK449" i="8" s="1"/>
  <c r="AJ1518" i="8"/>
  <c r="AK1518" i="8" s="1"/>
  <c r="AJ1473" i="8"/>
  <c r="AK1473" i="8" s="1"/>
  <c r="AJ1385" i="8"/>
  <c r="AK1385" i="8" s="1"/>
  <c r="AJ970" i="8"/>
  <c r="AK970" i="8" s="1"/>
  <c r="AJ958" i="8"/>
  <c r="AK958" i="8" s="1"/>
  <c r="AJ946" i="8"/>
  <c r="AK946" i="8" s="1"/>
  <c r="AJ922" i="8"/>
  <c r="AK922" i="8" s="1"/>
  <c r="AJ910" i="8"/>
  <c r="AK910" i="8" s="1"/>
  <c r="AJ898" i="8"/>
  <c r="AK898" i="8" s="1"/>
  <c r="AJ886" i="8"/>
  <c r="AK886" i="8" s="1"/>
  <c r="AJ742" i="8"/>
  <c r="AK742" i="8" s="1"/>
  <c r="AJ699" i="8"/>
  <c r="AK699" i="8" s="1"/>
  <c r="AJ648" i="8"/>
  <c r="AK648" i="8" s="1"/>
  <c r="AJ639" i="8"/>
  <c r="AK639" i="8" s="1"/>
  <c r="AJ1870" i="8"/>
  <c r="AK1870" i="8" s="1"/>
  <c r="AJ1785" i="8"/>
  <c r="AK1785" i="8" s="1"/>
  <c r="AJ1389" i="8"/>
  <c r="AK1389" i="8" s="1"/>
  <c r="AJ1364" i="8"/>
  <c r="AK1364" i="8" s="1"/>
  <c r="AJ1275" i="8"/>
  <c r="AK1275" i="8" s="1"/>
  <c r="AJ934" i="8"/>
  <c r="AK934" i="8" s="1"/>
  <c r="AJ874" i="8"/>
  <c r="AK874" i="8" s="1"/>
  <c r="AJ698" i="8"/>
  <c r="AK698" i="8" s="1"/>
  <c r="AJ634" i="8"/>
  <c r="AK634" i="8" s="1"/>
  <c r="AJ601" i="8"/>
  <c r="AK601" i="8" s="1"/>
  <c r="AJ472" i="8"/>
  <c r="AK472" i="8" s="1"/>
  <c r="AJ463" i="8"/>
  <c r="AK463" i="8" s="1"/>
  <c r="AJ1831" i="8"/>
  <c r="AK1831" i="8" s="1"/>
  <c r="AJ1806" i="8"/>
  <c r="AK1806" i="8" s="1"/>
  <c r="AJ1684" i="8"/>
  <c r="AK1684" i="8" s="1"/>
  <c r="AJ1590" i="8"/>
  <c r="AK1590" i="8" s="1"/>
  <c r="AJ1578" i="8"/>
  <c r="AK1578" i="8" s="1"/>
  <c r="AJ1542" i="8"/>
  <c r="AK1542" i="8" s="1"/>
  <c r="AJ1424" i="8"/>
  <c r="AK1424" i="8" s="1"/>
  <c r="AJ1924" i="8"/>
  <c r="AK1924" i="8" s="1"/>
  <c r="AJ1685" i="8"/>
  <c r="AK1685" i="8" s="1"/>
  <c r="AJ1602" i="8"/>
  <c r="AK1602" i="8" s="1"/>
  <c r="AJ1566" i="8"/>
  <c r="AK1566" i="8" s="1"/>
  <c r="AJ1362" i="8"/>
  <c r="AK1362" i="8" s="1"/>
  <c r="AJ1554" i="8"/>
  <c r="AK1554" i="8" s="1"/>
  <c r="AJ1530" i="8"/>
  <c r="AK1530" i="8" s="1"/>
  <c r="AJ1393" i="8"/>
  <c r="AK1393" i="8" s="1"/>
  <c r="AJ1363" i="8"/>
  <c r="AK1363" i="8" s="1"/>
  <c r="AJ1350" i="8"/>
  <c r="AK1350" i="8" s="1"/>
  <c r="AJ541" i="8"/>
  <c r="AK541" i="8" s="1"/>
  <c r="AJ478" i="8"/>
  <c r="AK478" i="8" s="1"/>
  <c r="AJ461" i="8"/>
  <c r="AK461" i="8" s="1"/>
  <c r="AJ454" i="8"/>
  <c r="AK454" i="8" s="1"/>
  <c r="AJ450" i="8"/>
  <c r="AK450" i="8" s="1"/>
  <c r="AJ446" i="8"/>
  <c r="AK446" i="8" s="1"/>
  <c r="AJ440" i="8"/>
  <c r="AK440" i="8" s="1"/>
  <c r="AJ436" i="8"/>
  <c r="AK436" i="8" s="1"/>
  <c r="AJ433" i="8"/>
  <c r="AK433" i="8" s="1"/>
  <c r="AJ429" i="8"/>
  <c r="AK429" i="8" s="1"/>
  <c r="AJ425" i="8"/>
  <c r="AK425" i="8" s="1"/>
  <c r="AJ415" i="8"/>
  <c r="AK415" i="8" s="1"/>
  <c r="AJ403" i="8"/>
  <c r="AK403" i="8" s="1"/>
  <c r="AJ399" i="8"/>
  <c r="AK399" i="8" s="1"/>
  <c r="AJ393" i="8"/>
  <c r="AK393" i="8" s="1"/>
  <c r="AJ392" i="8"/>
  <c r="AK392" i="8" s="1"/>
  <c r="AJ387" i="8"/>
  <c r="AK387" i="8" s="1"/>
  <c r="AJ382" i="8"/>
  <c r="AK382" i="8" s="1"/>
  <c r="AJ377" i="8"/>
  <c r="AK377" i="8" s="1"/>
  <c r="AJ372" i="8"/>
  <c r="AK372" i="8" s="1"/>
  <c r="AJ367" i="8"/>
  <c r="AK367" i="8" s="1"/>
  <c r="AJ362" i="8"/>
  <c r="AK362" i="8" s="1"/>
  <c r="AJ357" i="8"/>
  <c r="AK357" i="8" s="1"/>
  <c r="AJ352" i="8"/>
  <c r="AK352" i="8" s="1"/>
  <c r="AJ344" i="8"/>
  <c r="AK344" i="8" s="1"/>
  <c r="AJ338" i="8"/>
  <c r="AK338" i="8" s="1"/>
  <c r="AJ334" i="8"/>
  <c r="AK334" i="8" s="1"/>
  <c r="AJ1919" i="8"/>
  <c r="AK1919" i="8" s="1"/>
  <c r="AJ1840" i="8"/>
  <c r="AK1840" i="8" s="1"/>
  <c r="AJ1832" i="8"/>
  <c r="AK1832" i="8" s="1"/>
  <c r="AJ1771" i="8"/>
  <c r="AK1771" i="8" s="1"/>
  <c r="AJ1747" i="8"/>
  <c r="AK1747" i="8" s="1"/>
  <c r="AJ1666" i="8"/>
  <c r="AK1666" i="8" s="1"/>
  <c r="AJ1623" i="8"/>
  <c r="AK1623" i="8" s="1"/>
  <c r="AJ1613" i="8"/>
  <c r="AK1613" i="8" s="1"/>
  <c r="AJ1511" i="8"/>
  <c r="AK1511" i="8" s="1"/>
  <c r="AJ1455" i="8"/>
  <c r="AK1455" i="8" s="1"/>
  <c r="AJ1448" i="8"/>
  <c r="AK1448" i="8" s="1"/>
  <c r="AJ1444" i="8"/>
  <c r="AK1444" i="8" s="1"/>
  <c r="AJ1429" i="8"/>
  <c r="AK1429" i="8" s="1"/>
  <c r="AJ1394" i="8"/>
  <c r="AK1394" i="8" s="1"/>
  <c r="AJ1365" i="8"/>
  <c r="AK1365" i="8" s="1"/>
  <c r="AJ1336" i="8"/>
  <c r="AK1336" i="8" s="1"/>
  <c r="AJ1306" i="8"/>
  <c r="AK1306" i="8" s="1"/>
  <c r="AJ1271" i="8"/>
  <c r="AK1271" i="8" s="1"/>
  <c r="AJ1255" i="8"/>
  <c r="AK1255" i="8" s="1"/>
  <c r="AJ1223" i="8"/>
  <c r="AK1223" i="8" s="1"/>
  <c r="AJ1219" i="8"/>
  <c r="AK1219" i="8" s="1"/>
  <c r="AJ1183" i="8"/>
  <c r="AK1183" i="8" s="1"/>
  <c r="AJ1166" i="8"/>
  <c r="AK1166" i="8" s="1"/>
  <c r="AJ1126" i="8"/>
  <c r="AK1126" i="8" s="1"/>
  <c r="AJ1119" i="8"/>
  <c r="AK1119" i="8" s="1"/>
  <c r="AJ1033" i="8"/>
  <c r="AK1033" i="8" s="1"/>
  <c r="AJ944" i="8"/>
  <c r="AK944" i="8" s="1"/>
  <c r="AJ920" i="8"/>
  <c r="AK920" i="8" s="1"/>
  <c r="AJ908" i="8"/>
  <c r="AK908" i="8" s="1"/>
  <c r="AJ896" i="8"/>
  <c r="AK896" i="8" s="1"/>
  <c r="AJ854" i="8"/>
  <c r="AK854" i="8" s="1"/>
  <c r="AJ786" i="8"/>
  <c r="AK786" i="8" s="1"/>
  <c r="AJ779" i="8"/>
  <c r="AK779" i="8" s="1"/>
  <c r="AJ768" i="8"/>
  <c r="AK768" i="8" s="1"/>
  <c r="AJ755" i="8"/>
  <c r="AK755" i="8" s="1"/>
  <c r="AJ738" i="8"/>
  <c r="AK738" i="8" s="1"/>
  <c r="AJ734" i="8"/>
  <c r="AK734" i="8" s="1"/>
  <c r="AJ722" i="8"/>
  <c r="AK722" i="8" s="1"/>
  <c r="AJ718" i="8"/>
  <c r="AK718" i="8" s="1"/>
  <c r="AJ712" i="8"/>
  <c r="AK712" i="8" s="1"/>
  <c r="AJ695" i="8"/>
  <c r="AK695" i="8" s="1"/>
  <c r="AJ690" i="8"/>
  <c r="AK690" i="8" s="1"/>
  <c r="AJ675" i="8"/>
  <c r="AK675" i="8" s="1"/>
  <c r="AJ672" i="8"/>
  <c r="AK672" i="8" s="1"/>
  <c r="AJ664" i="8"/>
  <c r="AK664" i="8" s="1"/>
  <c r="AJ640" i="8"/>
  <c r="AK640" i="8" s="1"/>
  <c r="AJ635" i="8"/>
  <c r="AK635" i="8" s="1"/>
  <c r="AJ631" i="8"/>
  <c r="AK631" i="8" s="1"/>
  <c r="AJ574" i="8"/>
  <c r="AK574" i="8" s="1"/>
  <c r="AJ566" i="8"/>
  <c r="AK566" i="8" s="1"/>
  <c r="AJ559" i="8"/>
  <c r="AK559" i="8" s="1"/>
  <c r="AJ553" i="8"/>
  <c r="AK553" i="8" s="1"/>
  <c r="AJ550" i="8"/>
  <c r="AK550" i="8" s="1"/>
  <c r="AJ1929" i="8"/>
  <c r="AK1929" i="8" s="1"/>
  <c r="AJ1879" i="8"/>
  <c r="AK1879" i="8" s="1"/>
  <c r="AJ1865" i="8"/>
  <c r="AK1865" i="8" s="1"/>
  <c r="AJ1860" i="8"/>
  <c r="AK1860" i="8" s="1"/>
  <c r="AJ1856" i="8"/>
  <c r="AK1856" i="8" s="1"/>
  <c r="AJ1848" i="8"/>
  <c r="AK1848" i="8" s="1"/>
  <c r="AJ1819" i="8"/>
  <c r="AK1819" i="8" s="1"/>
  <c r="AJ1797" i="8"/>
  <c r="AK1797" i="8" s="1"/>
  <c r="AJ1681" i="8"/>
  <c r="AK1681" i="8" s="1"/>
  <c r="AJ1650" i="8"/>
  <c r="AK1650" i="8" s="1"/>
  <c r="AJ1618" i="8"/>
  <c r="AK1618" i="8" s="1"/>
  <c r="AJ1600" i="8"/>
  <c r="AK1600" i="8" s="1"/>
  <c r="AJ1501" i="8"/>
  <c r="AK1501" i="8" s="1"/>
  <c r="AJ1483" i="8"/>
  <c r="AK1483" i="8" s="1"/>
  <c r="AJ1374" i="8"/>
  <c r="AK1374" i="8" s="1"/>
  <c r="AJ1332" i="8"/>
  <c r="AK1332" i="8" s="1"/>
  <c r="AJ1294" i="8"/>
  <c r="AK1294" i="8" s="1"/>
  <c r="AJ1288" i="8"/>
  <c r="AK1288" i="8" s="1"/>
  <c r="AJ1259" i="8"/>
  <c r="AK1259" i="8" s="1"/>
  <c r="AJ1198" i="8"/>
  <c r="AK1198" i="8" s="1"/>
  <c r="AJ1192" i="8"/>
  <c r="AK1192" i="8" s="1"/>
  <c r="AJ1169" i="8"/>
  <c r="AK1169" i="8" s="1"/>
  <c r="AJ1149" i="8"/>
  <c r="AK1149" i="8" s="1"/>
  <c r="AJ1137" i="8"/>
  <c r="AK1137" i="8" s="1"/>
  <c r="AJ1106" i="8"/>
  <c r="AK1106" i="8" s="1"/>
  <c r="AJ1093" i="8"/>
  <c r="AK1093" i="8" s="1"/>
  <c r="AJ1084" i="8"/>
  <c r="AK1084" i="8" s="1"/>
  <c r="AJ1080" i="8"/>
  <c r="AK1080" i="8" s="1"/>
  <c r="AJ1060" i="8"/>
  <c r="AK1060" i="8" s="1"/>
  <c r="AJ1044" i="8"/>
  <c r="AK1044" i="8" s="1"/>
  <c r="AJ1036" i="8"/>
  <c r="AK1036" i="8" s="1"/>
  <c r="AJ1013" i="8"/>
  <c r="AK1013" i="8" s="1"/>
  <c r="AJ992" i="8"/>
  <c r="AK992" i="8" s="1"/>
  <c r="AJ956" i="8"/>
  <c r="AK956" i="8" s="1"/>
  <c r="AJ932" i="8"/>
  <c r="AK932" i="8" s="1"/>
  <c r="AJ884" i="8"/>
  <c r="AK884" i="8" s="1"/>
  <c r="AJ872" i="8"/>
  <c r="AK872" i="8" s="1"/>
  <c r="AJ864" i="8"/>
  <c r="AK864" i="8" s="1"/>
  <c r="AJ861" i="8"/>
  <c r="AK861" i="8" s="1"/>
  <c r="AJ857" i="8"/>
  <c r="AK857" i="8" s="1"/>
  <c r="AJ844" i="8"/>
  <c r="AK844" i="8" s="1"/>
  <c r="AJ840" i="8"/>
  <c r="AK840" i="8" s="1"/>
  <c r="AJ837" i="8"/>
  <c r="AK837" i="8" s="1"/>
  <c r="AJ833" i="8"/>
  <c r="AK833" i="8" s="1"/>
  <c r="AJ826" i="8"/>
  <c r="AK826" i="8" s="1"/>
  <c r="AJ819" i="8"/>
  <c r="AK819" i="8" s="1"/>
  <c r="AJ814" i="8"/>
  <c r="AK814" i="8" s="1"/>
  <c r="AJ810" i="8"/>
  <c r="AK810" i="8" s="1"/>
  <c r="AJ800" i="8"/>
  <c r="AK800" i="8" s="1"/>
  <c r="AJ795" i="8"/>
  <c r="AK795" i="8" s="1"/>
  <c r="AJ764" i="8"/>
  <c r="AK764" i="8" s="1"/>
  <c r="AJ746" i="8"/>
  <c r="AK746" i="8" s="1"/>
  <c r="AJ707" i="8"/>
  <c r="AK707" i="8" s="1"/>
  <c r="AJ702" i="8"/>
  <c r="AK702" i="8" s="1"/>
  <c r="AJ700" i="8"/>
  <c r="AK700" i="8" s="1"/>
  <c r="AJ682" i="8"/>
  <c r="AK682" i="8" s="1"/>
  <c r="AJ678" i="8"/>
  <c r="AK678" i="8" s="1"/>
  <c r="AJ661" i="8"/>
  <c r="AK661" i="8" s="1"/>
  <c r="AJ643" i="8"/>
  <c r="AK643" i="8" s="1"/>
  <c r="AJ627" i="8"/>
  <c r="AK627" i="8" s="1"/>
  <c r="AJ602" i="8"/>
  <c r="AK602" i="8" s="1"/>
  <c r="AJ595" i="8"/>
  <c r="AK595" i="8" s="1"/>
  <c r="AJ583" i="8"/>
  <c r="AK583" i="8" s="1"/>
  <c r="AJ577" i="8"/>
  <c r="AK577" i="8" s="1"/>
  <c r="AJ570" i="8"/>
  <c r="AK570" i="8" s="1"/>
  <c r="AJ562" i="8"/>
  <c r="AK562" i="8" s="1"/>
  <c r="AJ556" i="8"/>
  <c r="AK556" i="8" s="1"/>
  <c r="AJ545" i="8"/>
  <c r="AK545" i="8" s="1"/>
  <c r="AJ535" i="8"/>
  <c r="AK535" i="8" s="1"/>
  <c r="AJ533" i="8"/>
  <c r="AK533" i="8" s="1"/>
  <c r="AJ474" i="8"/>
  <c r="AK474" i="8" s="1"/>
  <c r="AJ470" i="8"/>
  <c r="AK470" i="8" s="1"/>
  <c r="AJ457" i="8"/>
  <c r="AK457" i="8" s="1"/>
  <c r="AJ442" i="8"/>
  <c r="AK442" i="8" s="1"/>
  <c r="AJ1907" i="8"/>
  <c r="AK1907" i="8" s="1"/>
  <c r="AJ1874" i="8"/>
  <c r="AK1874" i="8" s="1"/>
  <c r="AJ1814" i="8"/>
  <c r="AK1814" i="8" s="1"/>
  <c r="AJ1802" i="8"/>
  <c r="AK1802" i="8" s="1"/>
  <c r="AJ1779" i="8"/>
  <c r="AK1779" i="8" s="1"/>
  <c r="AJ1751" i="8"/>
  <c r="AK1751" i="8" s="1"/>
  <c r="AJ1727" i="8"/>
  <c r="AK1727" i="8" s="1"/>
  <c r="AJ1716" i="8"/>
  <c r="AK1716" i="8" s="1"/>
  <c r="AJ1701" i="8"/>
  <c r="AK1701" i="8" s="1"/>
  <c r="AJ1698" i="8"/>
  <c r="AK1698" i="8" s="1"/>
  <c r="AJ1689" i="8"/>
  <c r="AK1689" i="8" s="1"/>
  <c r="AJ1645" i="8"/>
  <c r="AK1645" i="8" s="1"/>
  <c r="AJ1641" i="8"/>
  <c r="AK1641" i="8" s="1"/>
  <c r="AJ1552" i="8"/>
  <c r="AK1552" i="8" s="1"/>
  <c r="AJ1516" i="8"/>
  <c r="AK1516" i="8" s="1"/>
  <c r="AJ1480" i="8"/>
  <c r="AK1480" i="8" s="1"/>
  <c r="AJ1434" i="8"/>
  <c r="AK1434" i="8" s="1"/>
  <c r="AJ1415" i="8"/>
  <c r="AK1415" i="8" s="1"/>
  <c r="AJ1411" i="8"/>
  <c r="AK1411" i="8" s="1"/>
  <c r="AJ1366" i="8"/>
  <c r="AK1366" i="8" s="1"/>
  <c r="AJ1360" i="8"/>
  <c r="AK1360" i="8" s="1"/>
  <c r="AJ1310" i="8"/>
  <c r="AK1310" i="8" s="1"/>
  <c r="AJ1276" i="8"/>
  <c r="AK1276" i="8" s="1"/>
  <c r="AJ1268" i="8"/>
  <c r="AK1268" i="8" s="1"/>
  <c r="AJ1229" i="8"/>
  <c r="AK1229" i="8" s="1"/>
  <c r="AJ1215" i="8"/>
  <c r="AK1215" i="8" s="1"/>
  <c r="AJ1210" i="8"/>
  <c r="AK1210" i="8" s="1"/>
  <c r="AJ1186" i="8"/>
  <c r="AK1186" i="8" s="1"/>
  <c r="AJ1142" i="8"/>
  <c r="AK1142" i="8" s="1"/>
  <c r="AJ1113" i="8"/>
  <c r="AK1113" i="8" s="1"/>
  <c r="AJ1088" i="8"/>
  <c r="AK1088" i="8" s="1"/>
  <c r="AJ1075" i="8"/>
  <c r="AK1075" i="8" s="1"/>
  <c r="AJ1056" i="8"/>
  <c r="AK1056" i="8" s="1"/>
  <c r="AJ1052" i="8"/>
  <c r="AK1052" i="8" s="1"/>
  <c r="AJ1894" i="8"/>
  <c r="AK1894" i="8" s="1"/>
  <c r="AJ1891" i="8"/>
  <c r="AK1891" i="8" s="1"/>
  <c r="AJ1888" i="8"/>
  <c r="AK1888" i="8" s="1"/>
  <c r="AJ1883" i="8"/>
  <c r="AK1883" i="8" s="1"/>
  <c r="AJ1871" i="8"/>
  <c r="AK1871" i="8" s="1"/>
  <c r="AJ1788" i="8"/>
  <c r="AK1788" i="8" s="1"/>
  <c r="AJ1775" i="8"/>
  <c r="AK1775" i="8" s="1"/>
  <c r="AJ1733" i="8"/>
  <c r="AK1733" i="8" s="1"/>
  <c r="AJ1637" i="8"/>
  <c r="AK1637" i="8" s="1"/>
  <c r="AJ1627" i="8"/>
  <c r="AK1627" i="8" s="1"/>
  <c r="AJ1528" i="8"/>
  <c r="AK1528" i="8" s="1"/>
  <c r="AJ1507" i="8"/>
  <c r="AK1507" i="8" s="1"/>
  <c r="AJ1489" i="8"/>
  <c r="AK1489" i="8" s="1"/>
  <c r="AJ1465" i="8"/>
  <c r="AK1465" i="8" s="1"/>
  <c r="AJ1425" i="8"/>
  <c r="AK1425" i="8" s="1"/>
  <c r="AJ1419" i="8"/>
  <c r="AK1419" i="8" s="1"/>
  <c r="AJ1405" i="8"/>
  <c r="AK1405" i="8" s="1"/>
  <c r="AJ1390" i="8"/>
  <c r="AK1390" i="8" s="1"/>
  <c r="AJ1344" i="8"/>
  <c r="AK1344" i="8" s="1"/>
  <c r="AJ1340" i="8"/>
  <c r="AK1340" i="8" s="1"/>
  <c r="AJ1318" i="8"/>
  <c r="AK1318" i="8" s="1"/>
  <c r="AJ1249" i="8"/>
  <c r="AK1249" i="8" s="1"/>
  <c r="AJ1242" i="8"/>
  <c r="AK1242" i="8" s="1"/>
  <c r="AJ1160" i="8"/>
  <c r="AK1160" i="8" s="1"/>
  <c r="AJ1158" i="8"/>
  <c r="AK1158" i="8" s="1"/>
  <c r="AJ1145" i="8"/>
  <c r="AK1145" i="8" s="1"/>
  <c r="AJ1131" i="8"/>
  <c r="AK1131" i="8" s="1"/>
  <c r="AJ1109" i="8"/>
  <c r="AK1109" i="8" s="1"/>
  <c r="AJ1098" i="8"/>
  <c r="AK1098" i="8" s="1"/>
  <c r="AJ1068" i="8"/>
  <c r="AK1068" i="8" s="1"/>
  <c r="AJ1064" i="8"/>
  <c r="AK1064" i="8" s="1"/>
  <c r="AJ1048" i="8"/>
  <c r="AK1048" i="8" s="1"/>
  <c r="AJ1018" i="8"/>
  <c r="AK1018" i="8" s="1"/>
  <c r="AJ1006" i="8"/>
  <c r="AK1006" i="8" s="1"/>
  <c r="AJ1002" i="8"/>
  <c r="AK1002" i="8" s="1"/>
  <c r="AJ999" i="8"/>
  <c r="AK999" i="8" s="1"/>
  <c r="AJ987" i="8"/>
  <c r="AK987" i="8" s="1"/>
  <c r="AJ968" i="8"/>
  <c r="AK968" i="8" s="1"/>
  <c r="AJ1933" i="8"/>
  <c r="AK1933" i="8" s="1"/>
  <c r="AJ1914" i="8"/>
  <c r="AK1914" i="8" s="1"/>
  <c r="AJ1906" i="8"/>
  <c r="AK1906" i="8" s="1"/>
  <c r="AJ1900" i="8"/>
  <c r="AK1900" i="8" s="1"/>
  <c r="AJ1837" i="8"/>
  <c r="AK1837" i="8" s="1"/>
  <c r="AJ1810" i="8"/>
  <c r="AK1810" i="8" s="1"/>
  <c r="AJ1767" i="8"/>
  <c r="AK1767" i="8" s="1"/>
  <c r="AJ1756" i="8"/>
  <c r="AK1756" i="8" s="1"/>
  <c r="AJ1706" i="8"/>
  <c r="AK1706" i="8" s="1"/>
  <c r="AJ1697" i="8"/>
  <c r="AK1697" i="8" s="1"/>
  <c r="AJ1661" i="8"/>
  <c r="AK1661" i="8" s="1"/>
  <c r="AJ1588" i="8"/>
  <c r="AK1588" i="8" s="1"/>
  <c r="AJ1576" i="8"/>
  <c r="AK1576" i="8" s="1"/>
  <c r="AJ1564" i="8"/>
  <c r="AK1564" i="8" s="1"/>
  <c r="AJ1540" i="8"/>
  <c r="AK1540" i="8" s="1"/>
  <c r="AJ1487" i="8"/>
  <c r="AK1487" i="8" s="1"/>
  <c r="AJ1460" i="8"/>
  <c r="AK1460" i="8" s="1"/>
  <c r="AJ1439" i="8"/>
  <c r="AK1439" i="8" s="1"/>
  <c r="AJ1386" i="8"/>
  <c r="AK1386" i="8" s="1"/>
  <c r="AJ1380" i="8"/>
  <c r="AK1380" i="8" s="1"/>
  <c r="AJ1346" i="8"/>
  <c r="AK1346" i="8" s="1"/>
  <c r="AJ1327" i="8"/>
  <c r="AK1327" i="8" s="1"/>
  <c r="AJ1322" i="8"/>
  <c r="AK1322" i="8" s="1"/>
  <c r="AJ1234" i="8"/>
  <c r="AK1234" i="8" s="1"/>
  <c r="AJ1202" i="8"/>
  <c r="AK1202" i="8" s="1"/>
  <c r="AJ1178" i="8"/>
  <c r="AK1178" i="8" s="1"/>
  <c r="AJ1174" i="8"/>
  <c r="AK1174" i="8" s="1"/>
  <c r="AJ1171" i="8"/>
  <c r="AK1171" i="8" s="1"/>
  <c r="AJ1155" i="8"/>
  <c r="AK1155" i="8" s="1"/>
  <c r="AJ1121" i="8"/>
  <c r="AK1121" i="8" s="1"/>
  <c r="AJ1041" i="8"/>
  <c r="AK1041" i="8" s="1"/>
  <c r="AJ1023" i="8"/>
  <c r="AK1023" i="8" s="1"/>
  <c r="AJ984" i="8"/>
  <c r="AK984" i="8" s="1"/>
  <c r="AJ542" i="8"/>
  <c r="AK542" i="8" s="1"/>
  <c r="AJ536" i="8"/>
  <c r="AK536" i="8" s="1"/>
  <c r="AJ458" i="8"/>
  <c r="AK458" i="8" s="1"/>
  <c r="AJ443" i="8"/>
  <c r="AK443" i="8" s="1"/>
  <c r="AJ437" i="8"/>
  <c r="AK437" i="8" s="1"/>
  <c r="AJ434" i="8"/>
  <c r="AK434" i="8" s="1"/>
  <c r="AJ430" i="8"/>
  <c r="AK430" i="8" s="1"/>
  <c r="AJ422" i="8"/>
  <c r="AK422" i="8" s="1"/>
  <c r="AJ419" i="8"/>
  <c r="AK419" i="8" s="1"/>
  <c r="AJ416" i="8"/>
  <c r="AK416" i="8" s="1"/>
  <c r="AJ412" i="8"/>
  <c r="AK412" i="8" s="1"/>
  <c r="AJ408" i="8"/>
  <c r="AK408" i="8" s="1"/>
  <c r="AJ400" i="8"/>
  <c r="AK400" i="8" s="1"/>
  <c r="AJ388" i="8"/>
  <c r="AK388" i="8" s="1"/>
  <c r="AJ383" i="8"/>
  <c r="AK383" i="8" s="1"/>
  <c r="AJ378" i="8"/>
  <c r="AK378" i="8" s="1"/>
  <c r="AJ373" i="8"/>
  <c r="AK373" i="8" s="1"/>
  <c r="AJ368" i="8"/>
  <c r="AK368" i="8" s="1"/>
  <c r="AJ363" i="8"/>
  <c r="AK363" i="8" s="1"/>
  <c r="AJ358" i="8"/>
  <c r="AK358" i="8" s="1"/>
  <c r="AJ353" i="8"/>
  <c r="AK353" i="8" s="1"/>
  <c r="AJ348" i="8"/>
  <c r="AK348" i="8" s="1"/>
  <c r="AJ345" i="8"/>
  <c r="AK345" i="8" s="1"/>
  <c r="AJ339" i="8"/>
  <c r="AK339" i="8" s="1"/>
  <c r="AJ1930" i="8"/>
  <c r="AK1930" i="8" s="1"/>
  <c r="AJ1915" i="8"/>
  <c r="AK1915" i="8" s="1"/>
  <c r="AJ1884" i="8"/>
  <c r="AK1884" i="8" s="1"/>
  <c r="AJ1619" i="8"/>
  <c r="AK1619" i="8" s="1"/>
  <c r="AJ1461" i="8"/>
  <c r="AK1461" i="8" s="1"/>
  <c r="AJ1452" i="8"/>
  <c r="AK1452" i="8" s="1"/>
  <c r="AJ1412" i="8"/>
  <c r="AK1412" i="8" s="1"/>
  <c r="AJ1375" i="8"/>
  <c r="AK1375" i="8" s="1"/>
  <c r="AJ1361" i="8"/>
  <c r="AK1361" i="8" s="1"/>
  <c r="AJ1355" i="8"/>
  <c r="AK1355" i="8" s="1"/>
  <c r="AJ1345" i="8"/>
  <c r="AK1345" i="8" s="1"/>
  <c r="AJ1341" i="8"/>
  <c r="AK1341" i="8" s="1"/>
  <c r="AJ1319" i="8"/>
  <c r="AK1319" i="8" s="1"/>
  <c r="AJ1311" i="8"/>
  <c r="AK1311" i="8" s="1"/>
  <c r="AJ1260" i="8"/>
  <c r="AK1260" i="8" s="1"/>
  <c r="AJ1243" i="8"/>
  <c r="AK1243" i="8" s="1"/>
  <c r="AJ1216" i="8"/>
  <c r="AK1216" i="8" s="1"/>
  <c r="AJ1212" i="8"/>
  <c r="AK1212" i="8" s="1"/>
  <c r="AJ1187" i="8"/>
  <c r="AK1187" i="8" s="1"/>
  <c r="AJ1179" i="8"/>
  <c r="AK1179" i="8" s="1"/>
  <c r="AJ1163" i="8"/>
  <c r="AK1163" i="8" s="1"/>
  <c r="AJ1150" i="8"/>
  <c r="AK1150" i="8" s="1"/>
  <c r="AJ1146" i="8"/>
  <c r="AK1146" i="8" s="1"/>
  <c r="AJ1132" i="8"/>
  <c r="AK1132" i="8" s="1"/>
  <c r="AJ1101" i="8"/>
  <c r="AK1101" i="8" s="1"/>
  <c r="AJ1085" i="8"/>
  <c r="AK1085" i="8" s="1"/>
  <c r="AJ1081" i="8"/>
  <c r="AK1081" i="8" s="1"/>
  <c r="AJ1061" i="8"/>
  <c r="AK1061" i="8" s="1"/>
  <c r="AJ1029" i="8"/>
  <c r="AK1029" i="8" s="1"/>
  <c r="AJ1019" i="8"/>
  <c r="AK1019" i="8" s="1"/>
  <c r="AJ1000" i="8"/>
  <c r="AK1000" i="8" s="1"/>
  <c r="AJ996" i="8"/>
  <c r="AK996" i="8" s="1"/>
  <c r="AJ993" i="8"/>
  <c r="AK993" i="8" s="1"/>
  <c r="AJ869" i="8"/>
  <c r="AK869" i="8" s="1"/>
  <c r="AJ867" i="8"/>
  <c r="AK867" i="8" s="1"/>
  <c r="AJ865" i="8"/>
  <c r="AK865" i="8" s="1"/>
  <c r="AJ862" i="8"/>
  <c r="AK862" i="8" s="1"/>
  <c r="AJ858" i="8"/>
  <c r="AK858" i="8" s="1"/>
  <c r="AJ841" i="8"/>
  <c r="AK841" i="8" s="1"/>
  <c r="AJ834" i="8"/>
  <c r="AK834" i="8" s="1"/>
  <c r="AJ827" i="8"/>
  <c r="AK827" i="8" s="1"/>
  <c r="AJ811" i="8"/>
  <c r="AK811" i="8" s="1"/>
  <c r="AJ806" i="8"/>
  <c r="AK806" i="8" s="1"/>
  <c r="AJ801" i="8"/>
  <c r="AK801" i="8" s="1"/>
  <c r="AJ796" i="8"/>
  <c r="AK796" i="8" s="1"/>
  <c r="AJ791" i="8"/>
  <c r="AK791" i="8" s="1"/>
  <c r="AJ777" i="8"/>
  <c r="AK777" i="8" s="1"/>
  <c r="AJ747" i="8"/>
  <c r="AK747" i="8" s="1"/>
  <c r="AJ743" i="8"/>
  <c r="AK743" i="8" s="1"/>
  <c r="AJ708" i="8"/>
  <c r="AK708" i="8" s="1"/>
  <c r="AJ662" i="8"/>
  <c r="AK662" i="8" s="1"/>
  <c r="AJ658" i="8"/>
  <c r="AK658" i="8" s="1"/>
  <c r="AJ652" i="8"/>
  <c r="AK652" i="8" s="1"/>
  <c r="AJ649" i="8"/>
  <c r="AK649" i="8" s="1"/>
  <c r="AJ628" i="8"/>
  <c r="AK628" i="8" s="1"/>
  <c r="AJ603" i="8"/>
  <c r="AK603" i="8" s="1"/>
  <c r="AJ596" i="8"/>
  <c r="AK596" i="8" s="1"/>
  <c r="AJ584" i="8"/>
  <c r="AK584" i="8" s="1"/>
  <c r="AJ578" i="8"/>
  <c r="AK578" i="8" s="1"/>
  <c r="AJ567" i="8"/>
  <c r="AK567" i="8" s="1"/>
  <c r="AJ557" i="8"/>
  <c r="AK557" i="8" s="1"/>
  <c r="AJ1925" i="8"/>
  <c r="AK1925" i="8" s="1"/>
  <c r="AJ1901" i="8"/>
  <c r="AK1901" i="8" s="1"/>
  <c r="AJ1875" i="8"/>
  <c r="AK1875" i="8" s="1"/>
  <c r="AJ1841" i="8"/>
  <c r="AK1841" i="8" s="1"/>
  <c r="AJ1815" i="8"/>
  <c r="AK1815" i="8" s="1"/>
  <c r="AJ1803" i="8"/>
  <c r="AK1803" i="8" s="1"/>
  <c r="AJ1772" i="8"/>
  <c r="AK1772" i="8" s="1"/>
  <c r="AJ1752" i="8"/>
  <c r="AK1752" i="8" s="1"/>
  <c r="AJ1728" i="8"/>
  <c r="AK1728" i="8" s="1"/>
  <c r="AJ1709" i="8"/>
  <c r="AK1709" i="8" s="1"/>
  <c r="AJ1707" i="8"/>
  <c r="AK1707" i="8" s="1"/>
  <c r="AJ1671" i="8"/>
  <c r="AK1671" i="8" s="1"/>
  <c r="AJ1646" i="8"/>
  <c r="AK1646" i="8" s="1"/>
  <c r="AJ1505" i="8"/>
  <c r="AK1505" i="8" s="1"/>
  <c r="AJ1490" i="8"/>
  <c r="AK1490" i="8" s="1"/>
  <c r="AJ1485" i="8"/>
  <c r="AK1485" i="8" s="1"/>
  <c r="AJ1440" i="8"/>
  <c r="AK1440" i="8" s="1"/>
  <c r="AJ1416" i="8"/>
  <c r="AK1416" i="8" s="1"/>
  <c r="AJ1371" i="8"/>
  <c r="AK1371" i="8" s="1"/>
  <c r="AJ1347" i="8"/>
  <c r="AK1347" i="8" s="1"/>
  <c r="AJ1328" i="8"/>
  <c r="AK1328" i="8" s="1"/>
  <c r="AJ1315" i="8"/>
  <c r="AK1315" i="8" s="1"/>
  <c r="AJ1280" i="8"/>
  <c r="AK1280" i="8" s="1"/>
  <c r="AJ1230" i="8"/>
  <c r="AK1230" i="8" s="1"/>
  <c r="AJ1207" i="8"/>
  <c r="AK1207" i="8" s="1"/>
  <c r="AJ1114" i="8"/>
  <c r="AK1114" i="8" s="1"/>
  <c r="AJ1110" i="8"/>
  <c r="AK1110" i="8" s="1"/>
  <c r="AJ1089" i="8"/>
  <c r="AK1089" i="8" s="1"/>
  <c r="AJ1076" i="8"/>
  <c r="AK1076" i="8" s="1"/>
  <c r="AJ1049" i="8"/>
  <c r="AK1049" i="8" s="1"/>
  <c r="AJ1027" i="8"/>
  <c r="AK1027" i="8" s="1"/>
  <c r="AJ1016" i="8"/>
  <c r="AK1016" i="8" s="1"/>
  <c r="AJ1009" i="8"/>
  <c r="AK1009" i="8" s="1"/>
  <c r="AJ988" i="8"/>
  <c r="AK988" i="8" s="1"/>
  <c r="AJ855" i="8"/>
  <c r="AK855" i="8" s="1"/>
  <c r="AJ845" i="8"/>
  <c r="AK845" i="8" s="1"/>
  <c r="AJ838" i="8"/>
  <c r="AK838" i="8" s="1"/>
  <c r="AJ820" i="8"/>
  <c r="AK820" i="8" s="1"/>
  <c r="AJ815" i="8"/>
  <c r="AK815" i="8" s="1"/>
  <c r="AJ787" i="8"/>
  <c r="AK787" i="8" s="1"/>
  <c r="AJ780" i="8"/>
  <c r="AK780" i="8" s="1"/>
  <c r="AJ771" i="8"/>
  <c r="AK771" i="8" s="1"/>
  <c r="AJ765" i="8"/>
  <c r="AK765" i="8" s="1"/>
  <c r="AJ756" i="8"/>
  <c r="AK756" i="8" s="1"/>
  <c r="AJ750" i="8"/>
  <c r="AK750" i="8" s="1"/>
  <c r="AJ739" i="8"/>
  <c r="AK739" i="8" s="1"/>
  <c r="AJ735" i="8"/>
  <c r="AK735" i="8" s="1"/>
  <c r="AJ729" i="8"/>
  <c r="AK729" i="8" s="1"/>
  <c r="AJ726" i="8"/>
  <c r="AK726" i="8" s="1"/>
  <c r="AJ723" i="8"/>
  <c r="AK723" i="8" s="1"/>
  <c r="AJ719" i="8"/>
  <c r="AK719" i="8" s="1"/>
  <c r="AJ715" i="8"/>
  <c r="AK715" i="8" s="1"/>
  <c r="AJ713" i="8"/>
  <c r="AK713" i="8" s="1"/>
  <c r="AJ692" i="8"/>
  <c r="AK692" i="8" s="1"/>
  <c r="AJ685" i="8"/>
  <c r="AK685" i="8" s="1"/>
  <c r="AJ679" i="8"/>
  <c r="AK679" i="8" s="1"/>
  <c r="AJ673" i="8"/>
  <c r="AK673" i="8" s="1"/>
  <c r="AJ655" i="8"/>
  <c r="AK655" i="8" s="1"/>
  <c r="AJ644" i="8"/>
  <c r="AK644" i="8" s="1"/>
  <c r="AJ632" i="8"/>
  <c r="AK632" i="8" s="1"/>
  <c r="AJ590" i="8"/>
  <c r="AK590" i="8" s="1"/>
  <c r="AJ571" i="8"/>
  <c r="AK571" i="8" s="1"/>
  <c r="AJ563" i="8"/>
  <c r="AK563" i="8" s="1"/>
  <c r="AJ554" i="8"/>
  <c r="AK554" i="8" s="1"/>
  <c r="AJ551" i="8"/>
  <c r="AK551" i="8" s="1"/>
  <c r="AJ546" i="8"/>
  <c r="AK546" i="8" s="1"/>
  <c r="AJ475" i="8"/>
  <c r="AK475" i="8" s="1"/>
  <c r="AJ468" i="8"/>
  <c r="AK468" i="8" s="1"/>
  <c r="AJ465" i="8"/>
  <c r="AK465" i="8" s="1"/>
  <c r="AJ451" i="8"/>
  <c r="AK451" i="8" s="1"/>
  <c r="AJ1866" i="8"/>
  <c r="AK1866" i="8" s="1"/>
  <c r="AJ1861" i="8"/>
  <c r="AK1861" i="8" s="1"/>
  <c r="AJ1857" i="8"/>
  <c r="AK1857" i="8" s="1"/>
  <c r="AJ1811" i="8"/>
  <c r="AK1811" i="8" s="1"/>
  <c r="AJ1743" i="8"/>
  <c r="AK1743" i="8" s="1"/>
  <c r="AJ1721" i="8"/>
  <c r="AK1721" i="8" s="1"/>
  <c r="AJ1674" i="8"/>
  <c r="AK1674" i="8" s="1"/>
  <c r="AJ1667" i="8"/>
  <c r="AK1667" i="8" s="1"/>
  <c r="AJ1651" i="8"/>
  <c r="AK1651" i="8" s="1"/>
  <c r="AJ1638" i="8"/>
  <c r="AK1638" i="8" s="1"/>
  <c r="AJ1614" i="8"/>
  <c r="AK1614" i="8" s="1"/>
  <c r="AJ1512" i="8"/>
  <c r="AK1512" i="8" s="1"/>
  <c r="AJ1430" i="8"/>
  <c r="AK1430" i="8" s="1"/>
  <c r="AJ1426" i="8"/>
  <c r="AK1426" i="8" s="1"/>
  <c r="AJ1420" i="8"/>
  <c r="AK1420" i="8" s="1"/>
  <c r="AJ1406" i="8"/>
  <c r="AK1406" i="8" s="1"/>
  <c r="AJ1399" i="8"/>
  <c r="AK1399" i="8" s="1"/>
  <c r="AJ1395" i="8"/>
  <c r="AK1395" i="8" s="1"/>
  <c r="AJ1391" i="8"/>
  <c r="AK1391" i="8" s="1"/>
  <c r="AJ1387" i="8"/>
  <c r="AK1387" i="8" s="1"/>
  <c r="AJ1383" i="8"/>
  <c r="AK1383" i="8" s="1"/>
  <c r="AJ1381" i="8"/>
  <c r="AK1381" i="8" s="1"/>
  <c r="AJ1357" i="8"/>
  <c r="AK1357" i="8" s="1"/>
  <c r="AJ1337" i="8"/>
  <c r="AK1337" i="8" s="1"/>
  <c r="AJ1333" i="8"/>
  <c r="AK1333" i="8" s="1"/>
  <c r="AJ1304" i="8"/>
  <c r="AK1304" i="8" s="1"/>
  <c r="AJ1235" i="8"/>
  <c r="AK1235" i="8" s="1"/>
  <c r="AJ1226" i="8"/>
  <c r="AK1226" i="8" s="1"/>
  <c r="AJ1220" i="8"/>
  <c r="AK1220" i="8" s="1"/>
  <c r="AJ1193" i="8"/>
  <c r="AK1193" i="8" s="1"/>
  <c r="AJ1175" i="8"/>
  <c r="AK1175" i="8" s="1"/>
  <c r="AJ1138" i="8"/>
  <c r="AK1138" i="8" s="1"/>
  <c r="AJ1122" i="8"/>
  <c r="AK1122" i="8" s="1"/>
  <c r="AJ1099" i="8"/>
  <c r="AK1099" i="8" s="1"/>
  <c r="AJ1091" i="8"/>
  <c r="AK1091" i="8" s="1"/>
  <c r="AJ1853" i="8"/>
  <c r="AK1853" i="8" s="1"/>
  <c r="AJ1849" i="8"/>
  <c r="AK1849" i="8" s="1"/>
  <c r="AJ1844" i="8"/>
  <c r="AK1844" i="8" s="1"/>
  <c r="AJ1768" i="8"/>
  <c r="AK1768" i="8" s="1"/>
  <c r="AJ1738" i="8"/>
  <c r="AK1738" i="8" s="1"/>
  <c r="AJ1682" i="8"/>
  <c r="AK1682" i="8" s="1"/>
  <c r="AJ1662" i="8"/>
  <c r="AK1662" i="8" s="1"/>
  <c r="AJ1631" i="8"/>
  <c r="AK1631" i="8" s="1"/>
  <c r="AJ1624" i="8"/>
  <c r="AK1624" i="8" s="1"/>
  <c r="AJ1351" i="8"/>
  <c r="AK1351" i="8" s="1"/>
  <c r="AJ1323" i="8"/>
  <c r="AK1323" i="8" s="1"/>
  <c r="AJ1295" i="8"/>
  <c r="AK1295" i="8" s="1"/>
  <c r="AJ1290" i="8"/>
  <c r="AK1290" i="8" s="1"/>
  <c r="AJ1283" i="8"/>
  <c r="AK1283" i="8" s="1"/>
  <c r="AJ1238" i="8"/>
  <c r="AK1238" i="8" s="1"/>
  <c r="AJ1224" i="8"/>
  <c r="AK1224" i="8" s="1"/>
  <c r="AJ1203" i="8"/>
  <c r="AK1203" i="8" s="1"/>
  <c r="AJ1195" i="8"/>
  <c r="AK1195" i="8" s="1"/>
  <c r="AJ1167" i="8"/>
  <c r="AK1167" i="8" s="1"/>
  <c r="AJ1127" i="8"/>
  <c r="AK1127" i="8" s="1"/>
  <c r="AJ1117" i="8"/>
  <c r="AK1117" i="8" s="1"/>
  <c r="AJ1094" i="8"/>
  <c r="AK1094" i="8" s="1"/>
  <c r="AJ1065" i="8"/>
  <c r="AK1065" i="8" s="1"/>
  <c r="AJ1057" i="8"/>
  <c r="AK1057" i="8" s="1"/>
  <c r="AJ1053" i="8"/>
  <c r="AK1053" i="8" s="1"/>
  <c r="AJ1045" i="8"/>
  <c r="AK1045" i="8" s="1"/>
  <c r="AJ1042" i="8"/>
  <c r="AK1042" i="8" s="1"/>
  <c r="AJ1024" i="8"/>
  <c r="AK1024" i="8" s="1"/>
  <c r="AJ1014" i="8"/>
  <c r="AK1014" i="8" s="1"/>
  <c r="AJ1897" i="8"/>
  <c r="AK1897" i="8" s="1"/>
  <c r="AJ1846" i="8"/>
  <c r="AK1846" i="8" s="1"/>
  <c r="AJ1833" i="8"/>
  <c r="AK1833" i="8" s="1"/>
  <c r="AJ1820" i="8"/>
  <c r="AK1820" i="8" s="1"/>
  <c r="AJ1798" i="8"/>
  <c r="AK1798" i="8" s="1"/>
  <c r="AJ1789" i="8"/>
  <c r="AK1789" i="8" s="1"/>
  <c r="AJ1780" i="8"/>
  <c r="AK1780" i="8" s="1"/>
  <c r="AJ1776" i="8"/>
  <c r="AK1776" i="8" s="1"/>
  <c r="AJ1760" i="8"/>
  <c r="AK1760" i="8" s="1"/>
  <c r="AJ1734" i="8"/>
  <c r="AK1734" i="8" s="1"/>
  <c r="AJ1717" i="8"/>
  <c r="AK1717" i="8" s="1"/>
  <c r="AJ1710" i="8"/>
  <c r="AK1710" i="8" s="1"/>
  <c r="AJ1702" i="8"/>
  <c r="AK1702" i="8" s="1"/>
  <c r="AJ1694" i="8"/>
  <c r="AK1694" i="8" s="1"/>
  <c r="AJ1690" i="8"/>
  <c r="AK1690" i="8" s="1"/>
  <c r="AJ1474" i="8"/>
  <c r="AK1474" i="8" s="1"/>
  <c r="AJ1456" i="8"/>
  <c r="AK1456" i="8" s="1"/>
  <c r="AJ1449" i="8"/>
  <c r="AK1449" i="8" s="1"/>
  <c r="AJ1445" i="8"/>
  <c r="AK1445" i="8" s="1"/>
  <c r="AJ1435" i="8"/>
  <c r="AK1435" i="8" s="1"/>
  <c r="AJ1367" i="8"/>
  <c r="AK1367" i="8" s="1"/>
  <c r="AJ1307" i="8"/>
  <c r="AK1307" i="8" s="1"/>
  <c r="AJ1277" i="8"/>
  <c r="AK1277" i="8" s="1"/>
  <c r="AJ1256" i="8"/>
  <c r="AK1256" i="8" s="1"/>
  <c r="AJ1250" i="8"/>
  <c r="AK1250" i="8" s="1"/>
  <c r="AJ1189" i="8"/>
  <c r="AK1189" i="8" s="1"/>
  <c r="AJ1143" i="8"/>
  <c r="AK1143" i="8" s="1"/>
  <c r="AJ1140" i="8"/>
  <c r="AK1140" i="8" s="1"/>
  <c r="AJ1107" i="8"/>
  <c r="AK1107" i="8" s="1"/>
  <c r="AJ1069" i="8"/>
  <c r="AK1069" i="8" s="1"/>
  <c r="AJ1037" i="8"/>
  <c r="AK1037" i="8" s="1"/>
  <c r="AJ1034" i="8"/>
  <c r="AK1034" i="8" s="1"/>
  <c r="AJ1030" i="8"/>
  <c r="AK1030" i="8" s="1"/>
  <c r="AJ1007" i="8"/>
  <c r="AK1007" i="8" s="1"/>
  <c r="AJ1003" i="8"/>
  <c r="AK1003" i="8" s="1"/>
  <c r="AJ534" i="8"/>
  <c r="AK534" i="8" s="1"/>
  <c r="AJ471" i="8"/>
  <c r="AK471" i="8" s="1"/>
  <c r="AJ452" i="8"/>
  <c r="AK452" i="8" s="1"/>
  <c r="AJ438" i="8"/>
  <c r="AK438" i="8" s="1"/>
  <c r="AJ427" i="8"/>
  <c r="AK427" i="8" s="1"/>
  <c r="AJ417" i="8"/>
  <c r="AK417" i="8" s="1"/>
  <c r="AJ397" i="8"/>
  <c r="AK397" i="8" s="1"/>
  <c r="AJ375" i="8"/>
  <c r="AK375" i="8" s="1"/>
  <c r="AJ336" i="8"/>
  <c r="AK336" i="8" s="1"/>
  <c r="AJ1927" i="8"/>
  <c r="AK1927" i="8" s="1"/>
  <c r="AJ1922" i="8"/>
  <c r="AK1922" i="8" s="1"/>
  <c r="AJ1863" i="8"/>
  <c r="AK1863" i="8" s="1"/>
  <c r="AJ1845" i="8"/>
  <c r="AK1845" i="8" s="1"/>
  <c r="AJ1790" i="8"/>
  <c r="AK1790" i="8" s="1"/>
  <c r="AJ1509" i="8"/>
  <c r="AK1509" i="8" s="1"/>
  <c r="AJ1458" i="8"/>
  <c r="AK1458" i="8" s="1"/>
  <c r="AJ1388" i="8"/>
  <c r="AK1388" i="8" s="1"/>
  <c r="AJ1316" i="8"/>
  <c r="AK1316" i="8" s="1"/>
  <c r="AJ1092" i="8"/>
  <c r="AK1092" i="8" s="1"/>
  <c r="AJ1058" i="8"/>
  <c r="AK1058" i="8" s="1"/>
  <c r="AJ1025" i="8"/>
  <c r="AK1025" i="8" s="1"/>
  <c r="AJ1008" i="8"/>
  <c r="AK1008" i="8" s="1"/>
  <c r="AJ990" i="8"/>
  <c r="AK990" i="8" s="1"/>
  <c r="AJ856" i="8"/>
  <c r="AK856" i="8" s="1"/>
  <c r="AJ823" i="8"/>
  <c r="AK823" i="8" s="1"/>
  <c r="AJ821" i="8"/>
  <c r="AK821" i="8" s="1"/>
  <c r="AJ766" i="8"/>
  <c r="AK766" i="8" s="1"/>
  <c r="AJ647" i="8"/>
  <c r="AK647" i="8" s="1"/>
  <c r="AJ645" i="8"/>
  <c r="AK645" i="8" s="1"/>
  <c r="AJ594" i="8"/>
  <c r="AK594" i="8" s="1"/>
  <c r="AJ572" i="8"/>
  <c r="AK572" i="8" s="1"/>
  <c r="AJ1851" i="8"/>
  <c r="AK1851" i="8" s="1"/>
  <c r="AJ1723" i="8"/>
  <c r="AK1723" i="8" s="1"/>
  <c r="AJ1539" i="8"/>
  <c r="AK1539" i="8" s="1"/>
  <c r="AJ1392" i="8"/>
  <c r="AK1392" i="8" s="1"/>
  <c r="AJ1312" i="8"/>
  <c r="AK1312" i="8" s="1"/>
  <c r="AJ1236" i="8"/>
  <c r="AK1236" i="8" s="1"/>
  <c r="AJ1129" i="8"/>
  <c r="AK1129" i="8" s="1"/>
  <c r="AJ1120" i="8"/>
  <c r="AK1120" i="8" s="1"/>
  <c r="AJ1001" i="8"/>
  <c r="AK1001" i="8" s="1"/>
  <c r="AJ943" i="8"/>
  <c r="AK943" i="8" s="1"/>
  <c r="AJ919" i="8"/>
  <c r="AK919" i="8" s="1"/>
  <c r="AJ868" i="8"/>
  <c r="AK868" i="8" s="1"/>
  <c r="AJ859" i="8"/>
  <c r="AK859" i="8" s="1"/>
  <c r="AJ851" i="8"/>
  <c r="AK851" i="8" s="1"/>
  <c r="AJ822" i="8"/>
  <c r="AK822" i="8" s="1"/>
  <c r="AJ804" i="8"/>
  <c r="AK804" i="8" s="1"/>
  <c r="AJ753" i="8"/>
  <c r="AK753" i="8" s="1"/>
  <c r="AJ751" i="8"/>
  <c r="AK751" i="8" s="1"/>
  <c r="AJ711" i="8"/>
  <c r="AK711" i="8" s="1"/>
  <c r="AJ705" i="8"/>
  <c r="AK705" i="8" s="1"/>
  <c r="AJ683" i="8"/>
  <c r="AK683" i="8" s="1"/>
  <c r="AJ466" i="8"/>
  <c r="AK466" i="8" s="1"/>
  <c r="AJ455" i="8"/>
  <c r="AK455" i="8" s="1"/>
  <c r="AJ1791" i="8"/>
  <c r="AK1791" i="8" s="1"/>
  <c r="AJ1769" i="8"/>
  <c r="AK1769" i="8" s="1"/>
  <c r="AJ1740" i="8"/>
  <c r="AK1740" i="8" s="1"/>
  <c r="AJ1736" i="8"/>
  <c r="AK1736" i="8" s="1"/>
  <c r="AJ1551" i="8"/>
  <c r="AK1551" i="8" s="1"/>
  <c r="AJ1488" i="8"/>
  <c r="AK1488" i="8" s="1"/>
  <c r="AJ1482" i="8"/>
  <c r="AK1482" i="8" s="1"/>
  <c r="AJ1369" i="8"/>
  <c r="AK1369" i="8" s="1"/>
  <c r="AJ1300" i="8"/>
  <c r="AK1300" i="8" s="1"/>
  <c r="AJ1258" i="8"/>
  <c r="AK1258" i="8" s="1"/>
  <c r="AJ1095" i="8"/>
  <c r="AK1095" i="8" s="1"/>
  <c r="AJ1066" i="8"/>
  <c r="AK1066" i="8" s="1"/>
  <c r="AJ1062" i="8"/>
  <c r="AK1062" i="8" s="1"/>
  <c r="AJ1749" i="8"/>
  <c r="AK1749" i="8" s="1"/>
  <c r="AJ1692" i="8"/>
  <c r="AK1692" i="8" s="1"/>
  <c r="AJ1422" i="8"/>
  <c r="AK1422" i="8" s="1"/>
  <c r="AJ1273" i="8"/>
  <c r="AK1273" i="8" s="1"/>
  <c r="AJ1184" i="8"/>
  <c r="AK1184" i="8" s="1"/>
  <c r="AJ1035" i="8"/>
  <c r="AK1035" i="8" s="1"/>
  <c r="AJ1031" i="8"/>
  <c r="AK1031" i="8" s="1"/>
  <c r="AJ1021" i="8"/>
  <c r="AK1021" i="8" s="1"/>
  <c r="AJ1877" i="8"/>
  <c r="AK1877" i="8" s="1"/>
  <c r="AJ1872" i="8"/>
  <c r="AK1872" i="8" s="1"/>
  <c r="AJ1817" i="8"/>
  <c r="AK1817" i="8" s="1"/>
  <c r="AJ1725" i="8"/>
  <c r="AK1725" i="8" s="1"/>
  <c r="AJ1632" i="8"/>
  <c r="AK1632" i="8" s="1"/>
  <c r="AJ1629" i="8"/>
  <c r="AK1629" i="8" s="1"/>
  <c r="AJ1478" i="8"/>
  <c r="AK1478" i="8" s="1"/>
  <c r="AJ1227" i="8"/>
  <c r="AK1227" i="8" s="1"/>
  <c r="AJ1125" i="8"/>
  <c r="AK1125" i="8" s="1"/>
  <c r="AJ955" i="8"/>
  <c r="AK955" i="8" s="1"/>
  <c r="AJ413" i="8"/>
  <c r="AK413" i="8" s="1"/>
  <c r="AJ1408" i="8"/>
  <c r="AK1408" i="8" s="1"/>
  <c r="AJ1264" i="8"/>
  <c r="AK1264" i="8" s="1"/>
  <c r="AJ1251" i="8"/>
  <c r="AK1251" i="8" s="1"/>
  <c r="AJ1208" i="8"/>
  <c r="AK1208" i="8" s="1"/>
  <c r="AJ1156" i="8"/>
  <c r="AK1156" i="8" s="1"/>
  <c r="AJ982" i="8"/>
  <c r="AK982" i="8" s="1"/>
  <c r="AJ850" i="8"/>
  <c r="AK850" i="8" s="1"/>
  <c r="AJ761" i="8"/>
  <c r="AK761" i="8" s="1"/>
  <c r="AJ759" i="8"/>
  <c r="AK759" i="8" s="1"/>
  <c r="AJ757" i="8"/>
  <c r="AK757" i="8" s="1"/>
  <c r="AJ736" i="8"/>
  <c r="AK736" i="8" s="1"/>
  <c r="AJ730" i="8"/>
  <c r="AK730" i="8" s="1"/>
  <c r="AJ697" i="8"/>
  <c r="AK697" i="8" s="1"/>
  <c r="AJ625" i="8"/>
  <c r="AK625" i="8" s="1"/>
  <c r="AJ623" i="8"/>
  <c r="AK623" i="8" s="1"/>
  <c r="AJ621" i="8"/>
  <c r="AK621" i="8" s="1"/>
  <c r="AJ619" i="8"/>
  <c r="AK619" i="8" s="1"/>
  <c r="AJ617" i="8"/>
  <c r="AK617" i="8" s="1"/>
  <c r="AJ615" i="8"/>
  <c r="AK615" i="8" s="1"/>
  <c r="AJ613" i="8"/>
  <c r="AK613" i="8" s="1"/>
  <c r="AJ611" i="8"/>
  <c r="AK611" i="8" s="1"/>
  <c r="AJ609" i="8"/>
  <c r="AK609" i="8" s="1"/>
  <c r="AJ607" i="8"/>
  <c r="AK607" i="8" s="1"/>
  <c r="AJ598" i="8"/>
  <c r="AK598" i="8" s="1"/>
  <c r="AJ593" i="8"/>
  <c r="AK593" i="8" s="1"/>
  <c r="AJ580" i="8"/>
  <c r="AK580" i="8" s="1"/>
  <c r="AJ1885" i="8"/>
  <c r="AK1885" i="8" s="1"/>
  <c r="AJ1298" i="8"/>
  <c r="AK1298" i="8" s="1"/>
  <c r="AJ1245" i="8"/>
  <c r="AK1245" i="8" s="1"/>
  <c r="AJ1133" i="8"/>
  <c r="AK1133" i="8" s="1"/>
  <c r="AJ981" i="8"/>
  <c r="AK981" i="8" s="1"/>
  <c r="AJ760" i="8"/>
  <c r="AK760" i="8" s="1"/>
  <c r="AJ758" i="8"/>
  <c r="AK758" i="8" s="1"/>
  <c r="AJ704" i="8"/>
  <c r="AK704" i="8" s="1"/>
  <c r="AJ669" i="8"/>
  <c r="AK669" i="8" s="1"/>
  <c r="AJ624" i="8"/>
  <c r="AK624" i="8" s="1"/>
  <c r="AJ622" i="8"/>
  <c r="AK622" i="8" s="1"/>
  <c r="AJ620" i="8"/>
  <c r="AK620" i="8" s="1"/>
  <c r="AJ618" i="8"/>
  <c r="AK618" i="8" s="1"/>
  <c r="AJ616" i="8"/>
  <c r="AK616" i="8" s="1"/>
  <c r="AJ614" i="8"/>
  <c r="AK614" i="8" s="1"/>
  <c r="AJ612" i="8"/>
  <c r="AK612" i="8" s="1"/>
  <c r="AJ610" i="8"/>
  <c r="AK610" i="8" s="1"/>
  <c r="AJ608" i="8"/>
  <c r="AK608" i="8" s="1"/>
  <c r="AJ604" i="8"/>
  <c r="AK604" i="8" s="1"/>
  <c r="AJ588" i="8"/>
  <c r="AK588" i="8" s="1"/>
  <c r="AJ1761" i="8"/>
  <c r="AK1761" i="8" s="1"/>
  <c r="AJ1757" i="8"/>
  <c r="AK1757" i="8" s="1"/>
  <c r="AJ1329" i="8"/>
  <c r="AK1329" i="8" s="1"/>
  <c r="AJ1262" i="8"/>
  <c r="AK1262" i="8" s="1"/>
  <c r="AJ1252" i="8"/>
  <c r="AK1252" i="8" s="1"/>
  <c r="AJ1244" i="8"/>
  <c r="AK1244" i="8" s="1"/>
  <c r="AJ1758" i="8"/>
  <c r="AK1758" i="8" s="1"/>
  <c r="AJ1499" i="8"/>
  <c r="AK1499" i="8" s="1"/>
  <c r="AJ1400" i="8"/>
  <c r="AK1400" i="8" s="1"/>
  <c r="AJ1330" i="8"/>
  <c r="AK1330" i="8" s="1"/>
  <c r="AJ980" i="8"/>
  <c r="AK980" i="8" s="1"/>
  <c r="AJ1908" i="8"/>
  <c r="AK1908" i="8" s="1"/>
  <c r="AJ1825" i="8"/>
  <c r="AK1825" i="8" s="1"/>
  <c r="AJ1263" i="8"/>
  <c r="AK1263" i="8" s="1"/>
  <c r="AJ1134" i="8"/>
  <c r="AK1134" i="8" s="1"/>
  <c r="AJ526" i="8"/>
  <c r="AK526" i="8" s="1"/>
  <c r="AJ86" i="8"/>
  <c r="AK86" i="8" s="1"/>
  <c r="AJ396" i="8"/>
  <c r="AK396" i="8" s="1"/>
  <c r="AJ389" i="8"/>
  <c r="AK389" i="8" s="1"/>
  <c r="AJ384" i="8"/>
  <c r="AK384" i="8" s="1"/>
  <c r="AJ379" i="8"/>
  <c r="AK379" i="8" s="1"/>
  <c r="AJ374" i="8"/>
  <c r="AK374" i="8" s="1"/>
  <c r="AJ369" i="8"/>
  <c r="AK369" i="8" s="1"/>
  <c r="AJ364" i="8"/>
  <c r="AK364" i="8" s="1"/>
  <c r="AJ359" i="8"/>
  <c r="AK359" i="8" s="1"/>
  <c r="AJ354" i="8"/>
  <c r="AK354" i="8" s="1"/>
  <c r="AJ349" i="8"/>
  <c r="AK349" i="8" s="1"/>
  <c r="AJ346" i="8"/>
  <c r="AK346" i="8" s="1"/>
  <c r="AJ341" i="8"/>
  <c r="AK341" i="8" s="1"/>
  <c r="AJ335" i="8"/>
  <c r="AK335" i="8" s="1"/>
  <c r="AJ332" i="8"/>
  <c r="AK332" i="8" s="1"/>
  <c r="AJ1598" i="8"/>
  <c r="AK1598" i="8" s="1"/>
  <c r="AJ1526" i="8"/>
  <c r="AK1526" i="8" s="1"/>
  <c r="AJ954" i="8"/>
  <c r="AK954" i="8" s="1"/>
  <c r="AJ942" i="8"/>
  <c r="AK942" i="8" s="1"/>
  <c r="AJ918" i="8"/>
  <c r="AK918" i="8" s="1"/>
  <c r="AJ772" i="8"/>
  <c r="AK772" i="8" s="1"/>
  <c r="AJ966" i="8"/>
  <c r="AK966" i="8" s="1"/>
  <c r="AJ930" i="8"/>
  <c r="AK930" i="8" s="1"/>
  <c r="AJ906" i="8"/>
  <c r="AK906" i="8" s="1"/>
  <c r="AJ894" i="8"/>
  <c r="AK894" i="8" s="1"/>
  <c r="AJ882" i="8"/>
  <c r="AK882" i="8" s="1"/>
  <c r="AJ773" i="8"/>
  <c r="AK773" i="8" s="1"/>
  <c r="AJ1562" i="8"/>
  <c r="AK1562" i="8" s="1"/>
  <c r="AJ1586" i="8"/>
  <c r="AK1586" i="8" s="1"/>
  <c r="AJ1550" i="8"/>
  <c r="AK1550" i="8" s="1"/>
  <c r="AJ1538" i="8"/>
  <c r="AK1538" i="8" s="1"/>
  <c r="AJ978" i="8"/>
  <c r="AK978" i="8" s="1"/>
  <c r="AJ1610" i="8"/>
  <c r="AK1610" i="8" s="1"/>
  <c r="AJ1574" i="8"/>
  <c r="AK1574" i="8" s="1"/>
  <c r="AJ591" i="8"/>
  <c r="AK591" i="8" s="1"/>
  <c r="AJ606" i="8"/>
  <c r="AK606" i="8" s="1"/>
  <c r="AJ597" i="8"/>
  <c r="AK597" i="8" s="1"/>
  <c r="AJ586" i="8"/>
  <c r="AK586" i="8" s="1"/>
  <c r="AJ1261" i="8"/>
  <c r="AK1261" i="8" s="1"/>
  <c r="AJ494" i="8"/>
  <c r="AK494" i="8" s="1"/>
  <c r="AJ895" i="8"/>
  <c r="AK895" i="8" s="1"/>
  <c r="AJ1437" i="8"/>
  <c r="AK1437" i="8" s="1"/>
  <c r="AJ109" i="8"/>
  <c r="AK109" i="8" s="1"/>
  <c r="AJ426" i="8"/>
  <c r="AK426" i="8" s="1"/>
  <c r="AJ405" i="8"/>
  <c r="AK405" i="8" s="1"/>
  <c r="AJ1522" i="8"/>
  <c r="AK1522" i="8" s="1"/>
  <c r="AJ1466" i="8"/>
  <c r="AK1466" i="8" s="1"/>
  <c r="AJ1172" i="8"/>
  <c r="AK1172" i="8" s="1"/>
  <c r="AJ1010" i="8"/>
  <c r="AK1010" i="8" s="1"/>
  <c r="AJ950" i="8"/>
  <c r="AK950" i="8" s="1"/>
  <c r="AJ926" i="8"/>
  <c r="AK926" i="8" s="1"/>
  <c r="AJ914" i="8"/>
  <c r="AK914" i="8" s="1"/>
  <c r="AJ902" i="8"/>
  <c r="AK902" i="8" s="1"/>
  <c r="AJ890" i="8"/>
  <c r="AK890" i="8" s="1"/>
  <c r="AJ829" i="8"/>
  <c r="AK829" i="8" s="1"/>
  <c r="AJ666" i="8"/>
  <c r="AK666" i="8" s="1"/>
  <c r="AJ1920" i="8"/>
  <c r="AK1920" i="8" s="1"/>
  <c r="AJ1606" i="8"/>
  <c r="AK1606" i="8" s="1"/>
  <c r="AJ938" i="8"/>
  <c r="AK938" i="8" s="1"/>
  <c r="AJ878" i="8"/>
  <c r="AK878" i="8" s="1"/>
  <c r="AJ870" i="8"/>
  <c r="AK870" i="8" s="1"/>
  <c r="AJ696" i="8"/>
  <c r="AK696" i="8" s="1"/>
  <c r="AJ665" i="8"/>
  <c r="AK665" i="8" s="1"/>
  <c r="AJ579" i="8"/>
  <c r="AK579" i="8" s="1"/>
  <c r="AJ1594" i="8"/>
  <c r="AK1594" i="8" s="1"/>
  <c r="AJ1582" i="8"/>
  <c r="AK1582" i="8" s="1"/>
  <c r="AJ1558" i="8"/>
  <c r="AK1558" i="8" s="1"/>
  <c r="AJ1546" i="8"/>
  <c r="AK1546" i="8" s="1"/>
  <c r="AJ1257" i="8"/>
  <c r="AK1257" i="8" s="1"/>
  <c r="AJ974" i="8"/>
  <c r="AK974" i="8" s="1"/>
  <c r="AJ962" i="8"/>
  <c r="AK962" i="8" s="1"/>
  <c r="AJ1729" i="8"/>
  <c r="AK1729" i="8" s="1"/>
  <c r="AJ1570" i="8"/>
  <c r="AK1570" i="8" s="1"/>
  <c r="AJ1534" i="8"/>
  <c r="AK1534" i="8" s="1"/>
  <c r="AJ1376" i="8"/>
  <c r="AK1376" i="8" s="1"/>
  <c r="AJ253" i="8"/>
  <c r="AK253" i="8" s="1"/>
  <c r="AJ501" i="8"/>
  <c r="AK501" i="8" s="1"/>
  <c r="AJ489" i="8"/>
  <c r="AK489" i="8" s="1"/>
  <c r="AJ521" i="8"/>
  <c r="AK521" i="8" s="1"/>
  <c r="AJ340" i="8"/>
  <c r="AK340" i="8" s="1"/>
  <c r="AJ317" i="8"/>
  <c r="AK317" i="8" s="1"/>
  <c r="AJ313" i="8"/>
  <c r="AK313" i="8" s="1"/>
  <c r="AJ1821" i="8"/>
  <c r="AK1821" i="8" s="1"/>
  <c r="AJ1591" i="8"/>
  <c r="AK1591" i="8" s="1"/>
  <c r="AJ1567" i="8"/>
  <c r="AK1567" i="8" s="1"/>
  <c r="AJ1289" i="8"/>
  <c r="AK1289" i="8" s="1"/>
  <c r="AJ1004" i="8"/>
  <c r="AK1004" i="8" s="1"/>
  <c r="AJ923" i="8"/>
  <c r="AK923" i="8" s="1"/>
  <c r="AJ911" i="8"/>
  <c r="AK911" i="8" s="1"/>
  <c r="AJ899" i="8"/>
  <c r="AK899" i="8" s="1"/>
  <c r="AJ887" i="8"/>
  <c r="AK887" i="8" s="1"/>
  <c r="AJ668" i="8"/>
  <c r="AK668" i="8" s="1"/>
  <c r="AJ1543" i="8"/>
  <c r="AK1543" i="8" s="1"/>
  <c r="AJ1272" i="8"/>
  <c r="AK1272" i="8" s="1"/>
  <c r="AJ1124" i="8"/>
  <c r="AK1124" i="8" s="1"/>
  <c r="AJ935" i="8"/>
  <c r="AK935" i="8" s="1"/>
  <c r="AJ875" i="8"/>
  <c r="AK875" i="8" s="1"/>
  <c r="AJ802" i="8"/>
  <c r="AK802" i="8" s="1"/>
  <c r="AJ667" i="8"/>
  <c r="AK667" i="8" s="1"/>
  <c r="AJ636" i="8"/>
  <c r="AK636" i="8" s="1"/>
  <c r="AJ585" i="8"/>
  <c r="AK585" i="8" s="1"/>
  <c r="AJ1931" i="8"/>
  <c r="AK1931" i="8" s="1"/>
  <c r="AJ1703" i="8"/>
  <c r="AK1703" i="8" s="1"/>
  <c r="AJ1603" i="8"/>
  <c r="AK1603" i="8" s="1"/>
  <c r="AJ1484" i="8"/>
  <c r="AK1484" i="8" s="1"/>
  <c r="AJ1128" i="8"/>
  <c r="AK1128" i="8" s="1"/>
  <c r="AJ1834" i="8"/>
  <c r="AK1834" i="8" s="1"/>
  <c r="AJ1579" i="8"/>
  <c r="AK1579" i="8" s="1"/>
  <c r="AJ1555" i="8"/>
  <c r="AK1555" i="8" s="1"/>
  <c r="AJ1531" i="8"/>
  <c r="AK1531" i="8" s="1"/>
  <c r="AJ1519" i="8"/>
  <c r="AK1519" i="8" s="1"/>
  <c r="AJ1513" i="8"/>
  <c r="AK1513" i="8" s="1"/>
  <c r="AJ1314" i="8"/>
  <c r="AK1314" i="8" s="1"/>
  <c r="AJ1123" i="8"/>
  <c r="AK1123" i="8" s="1"/>
  <c r="AJ971" i="8"/>
  <c r="AK971" i="8" s="1"/>
  <c r="AJ959" i="8"/>
  <c r="AK959" i="8" s="1"/>
  <c r="AJ947" i="8"/>
  <c r="AK947" i="8" s="1"/>
  <c r="AJ1231" i="8"/>
  <c r="AK1231" i="8" s="1"/>
  <c r="AJ328" i="8"/>
  <c r="AK328" i="8" s="1"/>
  <c r="AJ710" i="8"/>
  <c r="AK710" i="8" s="1"/>
  <c r="AJ587" i="8"/>
  <c r="AK587" i="8" s="1"/>
  <c r="AJ1070" i="8"/>
  <c r="AK1070" i="8" s="1"/>
  <c r="AJ515" i="8"/>
  <c r="AK515" i="8" s="1"/>
  <c r="AJ511" i="8"/>
  <c r="AK511" i="8" s="1"/>
  <c r="AJ507" i="8"/>
  <c r="AK507" i="8" s="1"/>
  <c r="AJ503" i="8"/>
  <c r="AK503" i="8" s="1"/>
  <c r="AJ491" i="8"/>
  <c r="AK491" i="8" s="1"/>
  <c r="AJ487" i="8"/>
  <c r="AK487" i="8" s="1"/>
  <c r="AJ483" i="8"/>
  <c r="AK483" i="8" s="1"/>
  <c r="AJ544" i="8"/>
  <c r="AK544" i="8" s="1"/>
  <c r="AJ480" i="8"/>
  <c r="AK480" i="8" s="1"/>
  <c r="AJ473" i="8"/>
  <c r="AK473" i="8" s="1"/>
  <c r="AJ467" i="8"/>
  <c r="AK467" i="8" s="1"/>
  <c r="AJ464" i="8"/>
  <c r="AK464" i="8" s="1"/>
  <c r="AJ456" i="8"/>
  <c r="AK456" i="8" s="1"/>
  <c r="AJ448" i="8"/>
  <c r="AK448" i="8" s="1"/>
  <c r="AJ445" i="8"/>
  <c r="AK445" i="8" s="1"/>
  <c r="AJ439" i="8"/>
  <c r="AK439" i="8" s="1"/>
  <c r="AJ428" i="8"/>
  <c r="AK428" i="8" s="1"/>
  <c r="AJ424" i="8"/>
  <c r="AK424" i="8" s="1"/>
  <c r="AJ421" i="8"/>
  <c r="AK421" i="8" s="1"/>
  <c r="AJ418" i="8"/>
  <c r="AK418" i="8" s="1"/>
  <c r="AJ411" i="8"/>
  <c r="AK411" i="8" s="1"/>
  <c r="AJ410" i="8"/>
  <c r="AK410" i="8" s="1"/>
  <c r="AJ407" i="8"/>
  <c r="AK407" i="8" s="1"/>
  <c r="AJ402" i="8"/>
  <c r="AK402" i="8" s="1"/>
  <c r="AJ398" i="8"/>
  <c r="AK398" i="8" s="1"/>
  <c r="AJ395" i="8"/>
  <c r="AK395" i="8" s="1"/>
  <c r="AJ386" i="8"/>
  <c r="AK386" i="8" s="1"/>
  <c r="AJ376" i="8"/>
  <c r="AK376" i="8" s="1"/>
  <c r="AJ371" i="8"/>
  <c r="AK371" i="8" s="1"/>
  <c r="AJ366" i="8"/>
  <c r="AK366" i="8" s="1"/>
  <c r="AJ361" i="8"/>
  <c r="AK361" i="8" s="1"/>
  <c r="AJ356" i="8"/>
  <c r="AK356" i="8" s="1"/>
  <c r="AJ351" i="8"/>
  <c r="AK351" i="8" s="1"/>
  <c r="AJ343" i="8"/>
  <c r="AK343" i="8" s="1"/>
  <c r="AJ337" i="8"/>
  <c r="AK337" i="8" s="1"/>
  <c r="AJ330" i="8"/>
  <c r="AK330" i="8" s="1"/>
  <c r="AJ324" i="8"/>
  <c r="AK324" i="8" s="1"/>
  <c r="AJ310" i="8"/>
  <c r="AK310" i="8" s="1"/>
  <c r="AJ305" i="8"/>
  <c r="AK305" i="8" s="1"/>
  <c r="AJ300" i="8"/>
  <c r="AK300" i="8" s="1"/>
  <c r="AJ296" i="8"/>
  <c r="AK296" i="8" s="1"/>
  <c r="AJ1905" i="8"/>
  <c r="AK1905" i="8" s="1"/>
  <c r="AJ1890" i="8"/>
  <c r="AK1890" i="8" s="1"/>
  <c r="AJ1873" i="8"/>
  <c r="AK1873" i="8" s="1"/>
  <c r="AJ1859" i="8"/>
  <c r="AK1859" i="8" s="1"/>
  <c r="AJ1793" i="8"/>
  <c r="AK1793" i="8" s="1"/>
  <c r="AJ1784" i="8"/>
  <c r="AK1784" i="8" s="1"/>
  <c r="AJ1778" i="8"/>
  <c r="AK1778" i="8" s="1"/>
  <c r="AJ1774" i="8"/>
  <c r="AK1774" i="8" s="1"/>
  <c r="AJ1755" i="8"/>
  <c r="AK1755" i="8" s="1"/>
  <c r="AJ1750" i="8"/>
  <c r="AK1750" i="8" s="1"/>
  <c r="AJ1715" i="8"/>
  <c r="AK1715" i="8" s="1"/>
  <c r="AJ1711" i="8"/>
  <c r="AK1711" i="8" s="1"/>
  <c r="AJ1649" i="8"/>
  <c r="AK1649" i="8" s="1"/>
  <c r="AJ1630" i="8"/>
  <c r="AK1630" i="8" s="1"/>
  <c r="AJ1504" i="8"/>
  <c r="AK1504" i="8" s="1"/>
  <c r="AJ1398" i="8"/>
  <c r="AK1398" i="8" s="1"/>
  <c r="AJ1379" i="8"/>
  <c r="AK1379" i="8" s="1"/>
  <c r="AJ1349" i="8"/>
  <c r="AK1349" i="8" s="1"/>
  <c r="AJ1325" i="8"/>
  <c r="AK1325" i="8" s="1"/>
  <c r="AJ1279" i="8"/>
  <c r="AK1279" i="8" s="1"/>
  <c r="AJ1274" i="8"/>
  <c r="AK1274" i="8" s="1"/>
  <c r="AJ1267" i="8"/>
  <c r="AK1267" i="8" s="1"/>
  <c r="AJ1237" i="8"/>
  <c r="AK1237" i="8" s="1"/>
  <c r="AJ1191" i="8"/>
  <c r="AK1191" i="8" s="1"/>
  <c r="AJ1136" i="8"/>
  <c r="AK1136" i="8" s="1"/>
  <c r="AJ1105" i="8"/>
  <c r="AK1105" i="8" s="1"/>
  <c r="AJ1097" i="8"/>
  <c r="AK1097" i="8" s="1"/>
  <c r="AJ1087" i="8"/>
  <c r="AK1087" i="8" s="1"/>
  <c r="AJ1067" i="8"/>
  <c r="AK1067" i="8" s="1"/>
  <c r="AJ1022" i="8"/>
  <c r="AK1022" i="8" s="1"/>
  <c r="AJ986" i="8"/>
  <c r="AK986" i="8" s="1"/>
  <c r="AJ860" i="8"/>
  <c r="AK860" i="8" s="1"/>
  <c r="AJ848" i="8"/>
  <c r="AK848" i="8" s="1"/>
  <c r="AJ843" i="8"/>
  <c r="AK843" i="8" s="1"/>
  <c r="AJ836" i="8"/>
  <c r="AK836" i="8" s="1"/>
  <c r="AJ832" i="8"/>
  <c r="AK832" i="8" s="1"/>
  <c r="AJ825" i="8"/>
  <c r="AK825" i="8" s="1"/>
  <c r="AJ809" i="8"/>
  <c r="AK809" i="8" s="1"/>
  <c r="AJ799" i="8"/>
  <c r="AK799" i="8" s="1"/>
  <c r="AJ790" i="8"/>
  <c r="AK790" i="8" s="1"/>
  <c r="AJ775" i="8"/>
  <c r="AK775" i="8" s="1"/>
  <c r="AJ770" i="8"/>
  <c r="AK770" i="8" s="1"/>
  <c r="AJ763" i="8"/>
  <c r="AK763" i="8" s="1"/>
  <c r="AJ752" i="8"/>
  <c r="AK752" i="8" s="1"/>
  <c r="AJ745" i="8"/>
  <c r="AK745" i="8" s="1"/>
  <c r="AJ732" i="8"/>
  <c r="AK732" i="8" s="1"/>
  <c r="AJ728" i="8"/>
  <c r="AK728" i="8" s="1"/>
  <c r="AJ706" i="8"/>
  <c r="AK706" i="8" s="1"/>
  <c r="AJ681" i="8"/>
  <c r="AK681" i="8" s="1"/>
  <c r="AJ677" i="8"/>
  <c r="AK677" i="8" s="1"/>
  <c r="AJ660" i="8"/>
  <c r="AK660" i="8" s="1"/>
  <c r="AJ654" i="8"/>
  <c r="AK654" i="8" s="1"/>
  <c r="AJ651" i="8"/>
  <c r="AK651" i="8" s="1"/>
  <c r="AJ642" i="8"/>
  <c r="AK642" i="8" s="1"/>
  <c r="AJ600" i="8"/>
  <c r="AK600" i="8" s="1"/>
  <c r="AJ589" i="8"/>
  <c r="AK589" i="8" s="1"/>
  <c r="AJ582" i="8"/>
  <c r="AK582" i="8" s="1"/>
  <c r="AJ576" i="8"/>
  <c r="AK576" i="8" s="1"/>
  <c r="AJ569" i="8"/>
  <c r="AK569" i="8" s="1"/>
  <c r="AJ561" i="8"/>
  <c r="AK561" i="8" s="1"/>
  <c r="AJ1904" i="8"/>
  <c r="AK1904" i="8" s="1"/>
  <c r="AJ1882" i="8"/>
  <c r="AK1882" i="8" s="1"/>
  <c r="AJ1836" i="8"/>
  <c r="AK1836" i="8" s="1"/>
  <c r="AJ1830" i="8"/>
  <c r="AK1830" i="8" s="1"/>
  <c r="AJ1787" i="8"/>
  <c r="AK1787" i="8" s="1"/>
  <c r="AJ1754" i="8"/>
  <c r="AK1754" i="8" s="1"/>
  <c r="AJ1737" i="8"/>
  <c r="AK1737" i="8" s="1"/>
  <c r="AJ1732" i="8"/>
  <c r="AK1732" i="8" s="1"/>
  <c r="AJ1655" i="8"/>
  <c r="AK1655" i="8" s="1"/>
  <c r="AJ1612" i="8"/>
  <c r="AK1612" i="8" s="1"/>
  <c r="AJ1423" i="8"/>
  <c r="AK1423" i="8" s="1"/>
  <c r="AJ1359" i="8"/>
  <c r="AK1359" i="8" s="1"/>
  <c r="AJ1354" i="8"/>
  <c r="AK1354" i="8" s="1"/>
  <c r="AJ1343" i="8"/>
  <c r="AK1343" i="8" s="1"/>
  <c r="AJ1335" i="8"/>
  <c r="AK1335" i="8" s="1"/>
  <c r="AJ1321" i="8"/>
  <c r="AK1321" i="8" s="1"/>
  <c r="AJ1302" i="8"/>
  <c r="AK1302" i="8" s="1"/>
  <c r="AJ1254" i="8"/>
  <c r="AK1254" i="8" s="1"/>
  <c r="AJ1248" i="8"/>
  <c r="AK1248" i="8" s="1"/>
  <c r="AJ1241" i="8"/>
  <c r="AK1241" i="8" s="1"/>
  <c r="AJ1201" i="8"/>
  <c r="AK1201" i="8" s="1"/>
  <c r="AJ1182" i="8"/>
  <c r="AK1182" i="8" s="1"/>
  <c r="AJ1154" i="8"/>
  <c r="AK1154" i="8" s="1"/>
  <c r="AJ1055" i="8"/>
  <c r="AK1055" i="8" s="1"/>
  <c r="AJ1051" i="8"/>
  <c r="AK1051" i="8" s="1"/>
  <c r="AJ1040" i="8"/>
  <c r="AK1040" i="8" s="1"/>
  <c r="AJ1032" i="8"/>
  <c r="AK1032" i="8" s="1"/>
  <c r="AJ853" i="8"/>
  <c r="AK853" i="8" s="1"/>
  <c r="AJ849" i="8"/>
  <c r="AK849" i="8" s="1"/>
  <c r="AJ818" i="8"/>
  <c r="AK818" i="8" s="1"/>
  <c r="AJ805" i="8"/>
  <c r="AK805" i="8" s="1"/>
  <c r="AJ794" i="8"/>
  <c r="AK794" i="8" s="1"/>
  <c r="AJ767" i="8"/>
  <c r="AK767" i="8" s="1"/>
  <c r="AJ754" i="8"/>
  <c r="AK754" i="8" s="1"/>
  <c r="AJ749" i="8"/>
  <c r="AK749" i="8" s="1"/>
  <c r="AJ741" i="8"/>
  <c r="AK741" i="8" s="1"/>
  <c r="AJ733" i="8"/>
  <c r="AK733" i="8" s="1"/>
  <c r="AJ721" i="8"/>
  <c r="AK721" i="8" s="1"/>
  <c r="AJ717" i="8"/>
  <c r="AK717" i="8" s="1"/>
  <c r="AJ694" i="8"/>
  <c r="AK694" i="8" s="1"/>
  <c r="AJ689" i="8"/>
  <c r="AK689" i="8" s="1"/>
  <c r="AJ687" i="8"/>
  <c r="AK687" i="8" s="1"/>
  <c r="AJ671" i="8"/>
  <c r="AK671" i="8" s="1"/>
  <c r="AJ657" i="8"/>
  <c r="AK657" i="8" s="1"/>
  <c r="AJ638" i="8"/>
  <c r="AK638" i="8" s="1"/>
  <c r="AJ630" i="8"/>
  <c r="AK630" i="8" s="1"/>
  <c r="AJ565" i="8"/>
  <c r="AK565" i="8" s="1"/>
  <c r="AJ549" i="8"/>
  <c r="AK549" i="8" s="1"/>
  <c r="AJ540" i="8"/>
  <c r="AK540" i="8" s="1"/>
  <c r="AJ538" i="8"/>
  <c r="AK538" i="8" s="1"/>
  <c r="AJ477" i="8"/>
  <c r="AK477" i="8" s="1"/>
  <c r="AJ460" i="8"/>
  <c r="AK460" i="8" s="1"/>
  <c r="AJ453" i="8"/>
  <c r="AK453" i="8" s="1"/>
  <c r="AJ1923" i="8"/>
  <c r="AK1923" i="8" s="1"/>
  <c r="AJ1918" i="8"/>
  <c r="AK1918" i="8" s="1"/>
  <c r="AJ1913" i="8"/>
  <c r="AK1913" i="8" s="1"/>
  <c r="AJ1899" i="8"/>
  <c r="AK1899" i="8" s="1"/>
  <c r="AJ1878" i="8"/>
  <c r="AK1878" i="8" s="1"/>
  <c r="AJ1852" i="8"/>
  <c r="AK1852" i="8" s="1"/>
  <c r="AJ1843" i="8"/>
  <c r="AK1843" i="8" s="1"/>
  <c r="AJ1818" i="8"/>
  <c r="AK1818" i="8" s="1"/>
  <c r="AJ1796" i="8"/>
  <c r="AK1796" i="8" s="1"/>
  <c r="AJ1766" i="8"/>
  <c r="AK1766" i="8" s="1"/>
  <c r="AJ1746" i="8"/>
  <c r="AK1746" i="8" s="1"/>
  <c r="AJ1724" i="8"/>
  <c r="AK1724" i="8" s="1"/>
  <c r="AJ1680" i="8"/>
  <c r="AK1680" i="8" s="1"/>
  <c r="AJ1670" i="8"/>
  <c r="AK1670" i="8" s="1"/>
  <c r="AJ1654" i="8"/>
  <c r="AK1654" i="8" s="1"/>
  <c r="AJ1617" i="8"/>
  <c r="AK1617" i="8" s="1"/>
  <c r="AJ1493" i="8"/>
  <c r="AK1493" i="8" s="1"/>
  <c r="AJ1464" i="8"/>
  <c r="AK1464" i="8" s="1"/>
  <c r="AJ1459" i="8"/>
  <c r="AK1459" i="8" s="1"/>
  <c r="AJ1404" i="8"/>
  <c r="AK1404" i="8" s="1"/>
  <c r="AJ1373" i="8"/>
  <c r="AK1373" i="8" s="1"/>
  <c r="AJ1292" i="8"/>
  <c r="AK1292" i="8" s="1"/>
  <c r="AJ1286" i="8"/>
  <c r="AK1286" i="8" s="1"/>
  <c r="AJ1282" i="8"/>
  <c r="AK1282" i="8" s="1"/>
  <c r="AJ1270" i="8"/>
  <c r="AK1270" i="8" s="1"/>
  <c r="AJ1197" i="8"/>
  <c r="AK1197" i="8" s="1"/>
  <c r="AJ1165" i="8"/>
  <c r="AK1165" i="8" s="1"/>
  <c r="AJ1162" i="8"/>
  <c r="AK1162" i="8" s="1"/>
  <c r="AJ1153" i="8"/>
  <c r="AK1153" i="8" s="1"/>
  <c r="AJ1148" i="8"/>
  <c r="AK1148" i="8" s="1"/>
  <c r="AJ1083" i="8"/>
  <c r="AK1083" i="8" s="1"/>
  <c r="AJ1079" i="8"/>
  <c r="AK1079" i="8" s="1"/>
  <c r="AJ1839" i="8"/>
  <c r="AK1839" i="8" s="1"/>
  <c r="AJ1824" i="8"/>
  <c r="AK1824" i="8" s="1"/>
  <c r="AJ1809" i="8"/>
  <c r="AK1809" i="8" s="1"/>
  <c r="AJ1792" i="8"/>
  <c r="AK1792" i="8" s="1"/>
  <c r="AJ1726" i="8"/>
  <c r="AK1726" i="8" s="1"/>
  <c r="AJ1720" i="8"/>
  <c r="AK1720" i="8" s="1"/>
  <c r="AJ1712" i="8"/>
  <c r="AK1712" i="8" s="1"/>
  <c r="AJ1688" i="8"/>
  <c r="AK1688" i="8" s="1"/>
  <c r="AJ1677" i="8"/>
  <c r="AK1677" i="8" s="1"/>
  <c r="AJ1657" i="8"/>
  <c r="AK1657" i="8" s="1"/>
  <c r="AJ1510" i="8"/>
  <c r="AK1510" i="8" s="1"/>
  <c r="AJ1496" i="8"/>
  <c r="AK1496" i="8" s="1"/>
  <c r="AJ1443" i="8"/>
  <c r="AK1443" i="8" s="1"/>
  <c r="AJ1438" i="8"/>
  <c r="AK1438" i="8" s="1"/>
  <c r="AJ1433" i="8"/>
  <c r="AK1433" i="8" s="1"/>
  <c r="AJ1428" i="8"/>
  <c r="AK1428" i="8" s="1"/>
  <c r="AJ1326" i="8"/>
  <c r="AK1326" i="8" s="1"/>
  <c r="AJ1309" i="8"/>
  <c r="AK1309" i="8" s="1"/>
  <c r="AJ1233" i="8"/>
  <c r="AK1233" i="8" s="1"/>
  <c r="AJ1228" i="8"/>
  <c r="AK1228" i="8" s="1"/>
  <c r="AJ1214" i="8"/>
  <c r="AK1214" i="8" s="1"/>
  <c r="AJ1177" i="8"/>
  <c r="AK1177" i="8" s="1"/>
  <c r="AJ1112" i="8"/>
  <c r="AK1112" i="8" s="1"/>
  <c r="AJ1103" i="8"/>
  <c r="AK1103" i="8" s="1"/>
  <c r="AJ1074" i="8"/>
  <c r="AK1074" i="8" s="1"/>
  <c r="AJ1059" i="8"/>
  <c r="AK1059" i="8" s="1"/>
  <c r="AJ995" i="8"/>
  <c r="AK995" i="8" s="1"/>
  <c r="AJ991" i="8"/>
  <c r="AK991" i="8" s="1"/>
  <c r="AJ1928" i="8"/>
  <c r="AK1928" i="8" s="1"/>
  <c r="AJ1893" i="8"/>
  <c r="AK1893" i="8" s="1"/>
  <c r="AJ1887" i="8"/>
  <c r="AK1887" i="8" s="1"/>
  <c r="AJ1869" i="8"/>
  <c r="AK1869" i="8" s="1"/>
  <c r="AJ1864" i="8"/>
  <c r="AK1864" i="8" s="1"/>
  <c r="AJ1855" i="8"/>
  <c r="AK1855" i="8" s="1"/>
  <c r="AJ1805" i="8"/>
  <c r="AK1805" i="8" s="1"/>
  <c r="AJ1801" i="8"/>
  <c r="AK1801" i="8" s="1"/>
  <c r="AJ1770" i="8"/>
  <c r="AK1770" i="8" s="1"/>
  <c r="AJ1700" i="8"/>
  <c r="AK1700" i="8" s="1"/>
  <c r="AJ1622" i="8"/>
  <c r="AK1622" i="8" s="1"/>
  <c r="AJ1472" i="8"/>
  <c r="AK1472" i="8" s="1"/>
  <c r="AJ1418" i="8"/>
  <c r="AK1418" i="8" s="1"/>
  <c r="AJ1414" i="8"/>
  <c r="AK1414" i="8" s="1"/>
  <c r="AJ1410" i="8"/>
  <c r="AK1410" i="8" s="1"/>
  <c r="AJ1397" i="8"/>
  <c r="AK1397" i="8" s="1"/>
  <c r="AJ1370" i="8"/>
  <c r="AK1370" i="8" s="1"/>
  <c r="AJ1339" i="8"/>
  <c r="AK1339" i="8" s="1"/>
  <c r="AJ1317" i="8"/>
  <c r="AK1317" i="8" s="1"/>
  <c r="AJ1313" i="8"/>
  <c r="AK1313" i="8" s="1"/>
  <c r="AJ1301" i="8"/>
  <c r="AK1301" i="8" s="1"/>
  <c r="AJ1297" i="8"/>
  <c r="AK1297" i="8" s="1"/>
  <c r="AJ1293" i="8"/>
  <c r="AK1293" i="8" s="1"/>
  <c r="AJ1287" i="8"/>
  <c r="AK1287" i="8" s="1"/>
  <c r="AJ1222" i="8"/>
  <c r="AK1222" i="8" s="1"/>
  <c r="AJ1218" i="8"/>
  <c r="AK1218" i="8" s="1"/>
  <c r="AJ1206" i="8"/>
  <c r="AK1206" i="8" s="1"/>
  <c r="AJ1185" i="8"/>
  <c r="AK1185" i="8" s="1"/>
  <c r="AJ1130" i="8"/>
  <c r="AK1130" i="8" s="1"/>
  <c r="AJ1116" i="8"/>
  <c r="AK1116" i="8" s="1"/>
  <c r="AJ1077" i="8"/>
  <c r="AK1077" i="8" s="1"/>
  <c r="AJ1073" i="8"/>
  <c r="AK1073" i="8" s="1"/>
  <c r="AJ1063" i="8"/>
  <c r="AK1063" i="8" s="1"/>
  <c r="AJ1047" i="8"/>
  <c r="AK1047" i="8" s="1"/>
  <c r="AJ1026" i="8"/>
  <c r="AK1026" i="8" s="1"/>
  <c r="AJ1012" i="8"/>
  <c r="AK1012" i="8" s="1"/>
  <c r="AJ998" i="8"/>
  <c r="AK998" i="8" s="1"/>
  <c r="AJ390" i="8"/>
  <c r="AK390" i="8" s="1"/>
  <c r="AJ703" i="8"/>
  <c r="AK703" i="8" s="1"/>
  <c r="AJ701" i="8"/>
  <c r="AK701" i="8" s="1"/>
  <c r="AJ1601" i="8"/>
  <c r="AK1601" i="8" s="1"/>
  <c r="AJ1020" i="8"/>
  <c r="AK1020" i="8" s="1"/>
  <c r="AJ909" i="8"/>
  <c r="AK909" i="8" s="1"/>
  <c r="AJ278" i="8"/>
  <c r="AK278" i="8" s="1"/>
  <c r="AJ391" i="8"/>
  <c r="AK391" i="8" s="1"/>
  <c r="AJ1180" i="8"/>
  <c r="AK1180" i="8" s="1"/>
  <c r="AJ1352" i="8"/>
  <c r="AK1352" i="8" s="1"/>
  <c r="AJ404" i="8"/>
  <c r="AK404" i="8" s="1"/>
  <c r="AJ1557" i="8"/>
  <c r="AK1557" i="8" s="1"/>
  <c r="AJ961" i="8"/>
  <c r="AK961" i="8" s="1"/>
  <c r="AJ925" i="8"/>
  <c r="AK925" i="8" s="1"/>
  <c r="AJ901" i="8"/>
  <c r="AK901" i="8" s="1"/>
  <c r="AJ889" i="8"/>
  <c r="AK889" i="8" s="1"/>
  <c r="AJ846" i="8"/>
  <c r="AK846" i="8" s="1"/>
  <c r="AJ937" i="8"/>
  <c r="AK937" i="8" s="1"/>
  <c r="AJ913" i="8"/>
  <c r="AK913" i="8" s="1"/>
  <c r="AJ877" i="8"/>
  <c r="AK877" i="8" s="1"/>
  <c r="AJ828" i="8"/>
  <c r="AK828" i="8" s="1"/>
  <c r="AJ523" i="8"/>
  <c r="AK523" i="8" s="1"/>
  <c r="AJ1605" i="8"/>
  <c r="AK1605" i="8" s="1"/>
  <c r="AJ1581" i="8"/>
  <c r="AK1581" i="8" s="1"/>
  <c r="AJ1569" i="8"/>
  <c r="AK1569" i="8" s="1"/>
  <c r="AJ1533" i="8"/>
  <c r="AK1533" i="8" s="1"/>
  <c r="AJ1593" i="8"/>
  <c r="AK1593" i="8" s="1"/>
  <c r="AJ1545" i="8"/>
  <c r="AK1545" i="8" s="1"/>
  <c r="AJ1521" i="8"/>
  <c r="AK1521" i="8" s="1"/>
  <c r="AJ1467" i="8"/>
  <c r="AK1467" i="8" s="1"/>
  <c r="AJ973" i="8"/>
  <c r="AK973" i="8" s="1"/>
  <c r="AJ949" i="8"/>
  <c r="AK949" i="8" s="1"/>
  <c r="AJ409" i="8"/>
  <c r="AK409" i="8" s="1"/>
  <c r="AJ1804" i="8"/>
  <c r="AK1804" i="8" s="1"/>
  <c r="AJ518" i="8"/>
  <c r="AK518" i="8" s="1"/>
  <c r="AJ1608" i="8"/>
  <c r="AK1608" i="8" s="1"/>
  <c r="AJ964" i="8"/>
  <c r="AK964" i="8" s="1"/>
  <c r="AJ940" i="8"/>
  <c r="AK940" i="8" s="1"/>
  <c r="AJ916" i="8"/>
  <c r="AK916" i="8" s="1"/>
  <c r="AJ724" i="8"/>
  <c r="AK724" i="8" s="1"/>
  <c r="AJ1572" i="8"/>
  <c r="AK1572" i="8" s="1"/>
  <c r="AJ1548" i="8"/>
  <c r="AK1548" i="8" s="1"/>
  <c r="AJ928" i="8"/>
  <c r="AK928" i="8" s="1"/>
  <c r="AJ904" i="8"/>
  <c r="AK904" i="8" s="1"/>
  <c r="AJ892" i="8"/>
  <c r="AK892" i="8" s="1"/>
  <c r="AJ880" i="8"/>
  <c r="AK880" i="8" s="1"/>
  <c r="AJ1596" i="8"/>
  <c r="AK1596" i="8" s="1"/>
  <c r="AJ1584" i="8"/>
  <c r="AK1584" i="8" s="1"/>
  <c r="AJ976" i="8"/>
  <c r="AK976" i="8" s="1"/>
  <c r="AJ1560" i="8"/>
  <c r="AK1560" i="8" s="1"/>
  <c r="AJ1536" i="8"/>
  <c r="AK1536" i="8" s="1"/>
  <c r="AJ1524" i="8"/>
  <c r="AK1524" i="8" s="1"/>
  <c r="AJ952" i="8"/>
  <c r="AK952" i="8" s="1"/>
  <c r="AJ1580" i="8"/>
  <c r="AK1580" i="8" s="1"/>
  <c r="AJ972" i="8"/>
  <c r="AK972" i="8" s="1"/>
  <c r="AJ948" i="8"/>
  <c r="AK948" i="8" s="1"/>
  <c r="AJ924" i="8"/>
  <c r="AK924" i="8" s="1"/>
  <c r="AJ912" i="8"/>
  <c r="AK912" i="8" s="1"/>
  <c r="AJ900" i="8"/>
  <c r="AK900" i="8" s="1"/>
  <c r="AJ888" i="8"/>
  <c r="AK888" i="8" s="1"/>
  <c r="AJ1556" i="8"/>
  <c r="AK1556" i="8" s="1"/>
  <c r="AJ960" i="8"/>
  <c r="AK960" i="8" s="1"/>
  <c r="AJ936" i="8"/>
  <c r="AK936" i="8" s="1"/>
  <c r="AJ876" i="8"/>
  <c r="AK876" i="8" s="1"/>
  <c r="AJ520" i="8"/>
  <c r="AK520" i="8" s="1"/>
  <c r="AJ1568" i="8"/>
  <c r="AK1568" i="8" s="1"/>
  <c r="AJ1532" i="8"/>
  <c r="AK1532" i="8" s="1"/>
  <c r="AJ1520" i="8"/>
  <c r="AK1520" i="8" s="1"/>
  <c r="AJ1592" i="8"/>
  <c r="AK1592" i="8" s="1"/>
  <c r="AJ1544" i="8"/>
  <c r="AK1544" i="8" s="1"/>
  <c r="AJ1604" i="8"/>
  <c r="AK1604" i="8" s="1"/>
  <c r="AJ522" i="8"/>
  <c r="AK522" i="8" s="1"/>
  <c r="AJ1595" i="8"/>
  <c r="AK1595" i="8" s="1"/>
  <c r="AJ1571" i="8"/>
  <c r="AK1571" i="8" s="1"/>
  <c r="AJ1547" i="8"/>
  <c r="AK1547" i="8" s="1"/>
  <c r="AJ951" i="8"/>
  <c r="AK951" i="8" s="1"/>
  <c r="AJ927" i="8"/>
  <c r="AK927" i="8" s="1"/>
  <c r="AJ903" i="8"/>
  <c r="AK903" i="8" s="1"/>
  <c r="AJ891" i="8"/>
  <c r="AK891" i="8" s="1"/>
  <c r="AJ1535" i="8"/>
  <c r="AK1535" i="8" s="1"/>
  <c r="AJ963" i="8"/>
  <c r="AK963" i="8" s="1"/>
  <c r="AJ939" i="8"/>
  <c r="AK939" i="8" s="1"/>
  <c r="AJ915" i="8"/>
  <c r="AK915" i="8" s="1"/>
  <c r="AJ879" i="8"/>
  <c r="AK879" i="8" s="1"/>
  <c r="AJ1607" i="8"/>
  <c r="AK1607" i="8" s="1"/>
  <c r="AJ1559" i="8"/>
  <c r="AK1559" i="8" s="1"/>
  <c r="AJ1523" i="8"/>
  <c r="AK1523" i="8" s="1"/>
  <c r="AJ1583" i="8"/>
  <c r="AK1583" i="8" s="1"/>
  <c r="AJ975" i="8"/>
  <c r="AK975" i="8" s="1"/>
  <c r="AJ1704" i="8"/>
  <c r="AK1704" i="8" s="1"/>
  <c r="AJ1585" i="8"/>
  <c r="AK1585" i="8" s="1"/>
  <c r="AJ977" i="8"/>
  <c r="AK977" i="8" s="1"/>
  <c r="AJ929" i="8"/>
  <c r="AK929" i="8" s="1"/>
  <c r="AJ905" i="8"/>
  <c r="AK905" i="8" s="1"/>
  <c r="AJ893" i="8"/>
  <c r="AK893" i="8" s="1"/>
  <c r="AJ881" i="8"/>
  <c r="AK881" i="8" s="1"/>
  <c r="AJ1561" i="8"/>
  <c r="AK1561" i="8" s="1"/>
  <c r="AJ941" i="8"/>
  <c r="AK941" i="8" s="1"/>
  <c r="AJ917" i="8"/>
  <c r="AK917" i="8" s="1"/>
  <c r="AJ830" i="8"/>
  <c r="AK830" i="8" s="1"/>
  <c r="AJ525" i="8"/>
  <c r="AK525" i="8" s="1"/>
  <c r="AJ1537" i="8"/>
  <c r="AK1537" i="8" s="1"/>
  <c r="AJ1525" i="8"/>
  <c r="AK1525" i="8" s="1"/>
  <c r="AJ1781" i="8"/>
  <c r="AK1781" i="8" s="1"/>
  <c r="AJ1609" i="8"/>
  <c r="AK1609" i="8" s="1"/>
  <c r="AJ1597" i="8"/>
  <c r="AK1597" i="8" s="1"/>
  <c r="AJ1573" i="8"/>
  <c r="AK1573" i="8" s="1"/>
  <c r="AJ965" i="8"/>
  <c r="AK965" i="8" s="1"/>
  <c r="AJ953" i="8"/>
  <c r="AK953" i="8" s="1"/>
  <c r="AJ1549" i="8"/>
  <c r="AK1549" i="8" s="1"/>
  <c r="AJ1479" i="8"/>
  <c r="AK1479" i="8" s="1"/>
  <c r="AJ1038" i="8"/>
  <c r="AK1038" i="8" s="1"/>
  <c r="AJ646" i="8"/>
  <c r="AK646" i="8" s="1"/>
  <c r="AJ514" i="8"/>
  <c r="AK514" i="8" s="1"/>
  <c r="AJ502" i="8"/>
  <c r="AK502" i="8" s="1"/>
  <c r="AJ490" i="8"/>
  <c r="AK490" i="8" s="1"/>
  <c r="AJ482" i="8"/>
  <c r="AK482" i="8" s="1"/>
  <c r="AJ539" i="8"/>
  <c r="AK539" i="8" s="1"/>
  <c r="AJ532" i="8"/>
  <c r="AK532" i="8" s="1"/>
  <c r="AJ476" i="8"/>
  <c r="AK476" i="8" s="1"/>
  <c r="AJ435" i="8"/>
  <c r="AK435" i="8" s="1"/>
  <c r="AJ432" i="8"/>
  <c r="AK432" i="8" s="1"/>
  <c r="AJ423" i="8"/>
  <c r="AK423" i="8" s="1"/>
  <c r="AJ381" i="8"/>
  <c r="AK381" i="8" s="1"/>
  <c r="AJ347" i="8"/>
  <c r="AK347" i="8" s="1"/>
  <c r="AJ342" i="8"/>
  <c r="AK342" i="8" s="1"/>
  <c r="AJ1886" i="8"/>
  <c r="AK1886" i="8" s="1"/>
  <c r="AJ1669" i="8"/>
  <c r="AK1669" i="8" s="1"/>
  <c r="AJ1626" i="8"/>
  <c r="AK1626" i="8" s="1"/>
  <c r="AJ1372" i="8"/>
  <c r="AK1372" i="8" s="1"/>
  <c r="AJ1284" i="8"/>
  <c r="AK1284" i="8" s="1"/>
  <c r="AJ1196" i="8"/>
  <c r="AK1196" i="8" s="1"/>
  <c r="AJ1111" i="8"/>
  <c r="AK1111" i="8" s="1"/>
  <c r="AJ1054" i="8"/>
  <c r="AK1054" i="8" s="1"/>
  <c r="AJ1015" i="8"/>
  <c r="AK1015" i="8" s="1"/>
  <c r="AJ839" i="8"/>
  <c r="AK839" i="8" s="1"/>
  <c r="AJ720" i="8"/>
  <c r="AK720" i="8" s="1"/>
  <c r="AJ714" i="8"/>
  <c r="AK714" i="8" s="1"/>
  <c r="AJ680" i="8"/>
  <c r="AK680" i="8" s="1"/>
  <c r="AJ674" i="8"/>
  <c r="AK674" i="8" s="1"/>
  <c r="AJ633" i="8"/>
  <c r="AK633" i="8" s="1"/>
  <c r="AJ564" i="8"/>
  <c r="AK564" i="8" s="1"/>
  <c r="AJ1932" i="8"/>
  <c r="AK1932" i="8" s="1"/>
  <c r="AJ1917" i="8"/>
  <c r="AK1917" i="8" s="1"/>
  <c r="AJ1892" i="8"/>
  <c r="AK1892" i="8" s="1"/>
  <c r="AJ1683" i="8"/>
  <c r="AK1683" i="8" s="1"/>
  <c r="AJ1659" i="8"/>
  <c r="AK1659" i="8" s="1"/>
  <c r="AJ1642" i="8"/>
  <c r="AK1642" i="8" s="1"/>
  <c r="AJ1616" i="8"/>
  <c r="AK1616" i="8" s="1"/>
  <c r="AJ1427" i="8"/>
  <c r="AK1427" i="8" s="1"/>
  <c r="AJ1324" i="8"/>
  <c r="AK1324" i="8" s="1"/>
  <c r="AJ1308" i="8"/>
  <c r="AK1308" i="8" s="1"/>
  <c r="AJ1285" i="8"/>
  <c r="AK1285" i="8" s="1"/>
  <c r="AJ1266" i="8"/>
  <c r="AK1266" i="8" s="1"/>
  <c r="AJ1173" i="8"/>
  <c r="AK1173" i="8" s="1"/>
  <c r="AJ1168" i="8"/>
  <c r="AK1168" i="8" s="1"/>
  <c r="AJ1100" i="8"/>
  <c r="AK1100" i="8" s="1"/>
  <c r="AJ1096" i="8"/>
  <c r="AK1096" i="8" s="1"/>
  <c r="AJ863" i="8"/>
  <c r="AK863" i="8" s="1"/>
  <c r="AJ842" i="8"/>
  <c r="AK842" i="8" s="1"/>
  <c r="AJ793" i="8"/>
  <c r="AK793" i="8" s="1"/>
  <c r="AJ778" i="8"/>
  <c r="AK778" i="8" s="1"/>
  <c r="AJ762" i="8"/>
  <c r="AK762" i="8" s="1"/>
  <c r="AJ737" i="8"/>
  <c r="AK737" i="8" s="1"/>
  <c r="AJ725" i="8"/>
  <c r="AK725" i="8" s="1"/>
  <c r="AJ676" i="8"/>
  <c r="AK676" i="8" s="1"/>
  <c r="AJ663" i="8"/>
  <c r="AK663" i="8" s="1"/>
  <c r="AJ626" i="8"/>
  <c r="AK626" i="8" s="1"/>
  <c r="AJ599" i="8"/>
  <c r="AK599" i="8" s="1"/>
  <c r="AJ581" i="8"/>
  <c r="AK581" i="8" s="1"/>
  <c r="AJ548" i="8"/>
  <c r="AK548" i="8" s="1"/>
  <c r="AJ543" i="8"/>
  <c r="AK543" i="8" s="1"/>
  <c r="AJ479" i="8"/>
  <c r="AK479" i="8" s="1"/>
  <c r="AJ459" i="8"/>
  <c r="AK459" i="8" s="1"/>
  <c r="AJ1896" i="8"/>
  <c r="AK1896" i="8" s="1"/>
  <c r="AJ1847" i="8"/>
  <c r="AK1847" i="8" s="1"/>
  <c r="AJ1838" i="8"/>
  <c r="AK1838" i="8" s="1"/>
  <c r="AJ1828" i="8"/>
  <c r="AK1828" i="8" s="1"/>
  <c r="AJ1660" i="8"/>
  <c r="AK1660" i="8" s="1"/>
  <c r="AJ1611" i="8"/>
  <c r="AK1611" i="8" s="1"/>
  <c r="AJ1599" i="8"/>
  <c r="AK1599" i="8" s="1"/>
  <c r="AJ1476" i="8"/>
  <c r="AK1476" i="8" s="1"/>
  <c r="AJ1190" i="8"/>
  <c r="AK1190" i="8" s="1"/>
  <c r="AJ1118" i="8"/>
  <c r="AK1118" i="8" s="1"/>
  <c r="AJ1104" i="8"/>
  <c r="AK1104" i="8" s="1"/>
  <c r="AJ5" i="8"/>
  <c r="AK5" i="8" s="1"/>
  <c r="AJ1829" i="8"/>
  <c r="AK1829" i="8" s="1"/>
  <c r="AJ1786" i="8"/>
  <c r="AK1786" i="8" s="1"/>
  <c r="AJ1640" i="8"/>
  <c r="AK1640" i="8" s="1"/>
  <c r="AJ1634" i="8"/>
  <c r="AK1634" i="8" s="1"/>
  <c r="AJ1587" i="8"/>
  <c r="AK1587" i="8" s="1"/>
  <c r="AJ1447" i="8"/>
  <c r="AK1447" i="8" s="1"/>
  <c r="AJ1409" i="8"/>
  <c r="AK1409" i="8" s="1"/>
  <c r="AJ1403" i="8"/>
  <c r="AK1403" i="8" s="1"/>
  <c r="AJ1356" i="8"/>
  <c r="AK1356" i="8" s="1"/>
  <c r="AJ1305" i="8"/>
  <c r="AK1305" i="8" s="1"/>
  <c r="AJ1090" i="8"/>
  <c r="AK1090" i="8" s="1"/>
  <c r="AJ1086" i="8"/>
  <c r="AK1086" i="8" s="1"/>
  <c r="AJ1745" i="8"/>
  <c r="AK1745" i="8" s="1"/>
  <c r="AJ1714" i="8"/>
  <c r="AK1714" i="8" s="1"/>
  <c r="AJ1506" i="8"/>
  <c r="AK1506" i="8" s="1"/>
  <c r="AJ1454" i="8"/>
  <c r="AK1454" i="8" s="1"/>
  <c r="AJ1199" i="8"/>
  <c r="AK1199" i="8" s="1"/>
  <c r="AJ1161" i="8"/>
  <c r="AK1161" i="8" s="1"/>
  <c r="AJ1043" i="8"/>
  <c r="AK1043" i="8" s="1"/>
  <c r="D580" i="13"/>
  <c r="E580" i="13"/>
  <c r="F580" i="13"/>
  <c r="I410" i="13"/>
  <c r="J410" i="13"/>
  <c r="I413" i="13"/>
  <c r="J413" i="13"/>
  <c r="H422" i="13"/>
  <c r="I422" i="13"/>
  <c r="J422" i="13"/>
  <c r="D443" i="13"/>
  <c r="F443" i="13"/>
  <c r="G443" i="13"/>
  <c r="E443" i="13"/>
  <c r="H452" i="13"/>
  <c r="I452" i="13"/>
  <c r="I504" i="13"/>
  <c r="J504" i="13"/>
  <c r="I507" i="13"/>
  <c r="J507" i="13"/>
  <c r="J356" i="13"/>
  <c r="I356" i="13"/>
  <c r="I368" i="13"/>
  <c r="J368" i="13"/>
  <c r="J317" i="13"/>
  <c r="H317" i="13"/>
  <c r="F13" i="14"/>
  <c r="G13" i="14"/>
  <c r="C21" i="14"/>
  <c r="G14" i="14"/>
  <c r="F14" i="14"/>
  <c r="B1930" i="8"/>
  <c r="B1931" i="8"/>
  <c r="B1928" i="8"/>
  <c r="B1929" i="8"/>
  <c r="B1927" i="8"/>
  <c r="B1933" i="8"/>
  <c r="B1932" i="8"/>
  <c r="B1935" i="8"/>
  <c r="B1934" i="8"/>
  <c r="AJ498" i="8"/>
  <c r="AK498" i="8" s="1"/>
  <c r="AJ497" i="8"/>
  <c r="AK497" i="8" s="1"/>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5" i="8"/>
  <c r="AJ260" i="8"/>
  <c r="AK260" i="8" s="1"/>
  <c r="AJ261" i="8"/>
  <c r="AK261" i="8" s="1"/>
  <c r="AJ270" i="8"/>
  <c r="AK270" i="8" s="1"/>
  <c r="AJ266" i="8"/>
  <c r="AK266" i="8" s="1"/>
  <c r="AJ239" i="8"/>
  <c r="AK239" i="8" s="1"/>
  <c r="AJ234" i="8"/>
  <c r="AK234" i="8" s="1"/>
  <c r="AJ228" i="8"/>
  <c r="AK228" i="8" s="1"/>
  <c r="AJ275" i="8"/>
  <c r="AK275" i="8" s="1"/>
  <c r="AJ291" i="8"/>
  <c r="AK291" i="8" s="1"/>
  <c r="AJ256" i="8"/>
  <c r="AK256" i="8" s="1"/>
  <c r="AJ265" i="8"/>
  <c r="AK265" i="8" s="1"/>
  <c r="AJ251" i="8"/>
  <c r="AK251" i="8" s="1"/>
  <c r="AJ287" i="8"/>
  <c r="AK287" i="8" s="1"/>
  <c r="AJ244" i="8"/>
  <c r="AK244" i="8" s="1"/>
  <c r="AJ180" i="8"/>
  <c r="AK180" i="8" s="1"/>
  <c r="AJ280" i="8"/>
  <c r="AK280" i="8" s="1"/>
  <c r="AJ263" i="8"/>
  <c r="AK263" i="8" s="1"/>
  <c r="AJ124" i="8"/>
  <c r="AK124" i="8" s="1"/>
  <c r="AJ147" i="8"/>
  <c r="AK147" i="8" s="1"/>
  <c r="AJ277" i="8"/>
  <c r="AK277" i="8" s="1"/>
  <c r="AJ284" i="8"/>
  <c r="AK284" i="8" s="1"/>
  <c r="AJ185" i="8"/>
  <c r="AK185" i="8" s="1"/>
  <c r="AJ235" i="8"/>
  <c r="AK235" i="8" s="1"/>
  <c r="AJ191" i="8"/>
  <c r="AK191" i="8" s="1"/>
  <c r="AJ186" i="8"/>
  <c r="AK186" i="8" s="1"/>
  <c r="AJ142" i="8"/>
  <c r="AK142" i="8" s="1"/>
  <c r="AJ218" i="8"/>
  <c r="AK218" i="8" s="1"/>
  <c r="AJ221" i="8"/>
  <c r="AK221" i="8" s="1"/>
  <c r="AJ246" i="8"/>
  <c r="AK246" i="8" s="1"/>
  <c r="AJ308" i="8"/>
  <c r="AK308" i="8" s="1"/>
  <c r="AJ214" i="8"/>
  <c r="AK214" i="8" s="1"/>
  <c r="AJ148" i="8"/>
  <c r="AK148" i="8" s="1"/>
  <c r="AJ202" i="8"/>
  <c r="AK202" i="8" s="1"/>
  <c r="AJ226" i="8"/>
  <c r="AK226" i="8" s="1"/>
  <c r="AJ209" i="8"/>
  <c r="AK209" i="8" s="1"/>
  <c r="AJ232" i="8"/>
  <c r="AK232" i="8" s="1"/>
  <c r="AJ294" i="8"/>
  <c r="AK294" i="8" s="1"/>
  <c r="AJ237" i="8"/>
  <c r="AK237" i="8" s="1"/>
  <c r="AJ205" i="8"/>
  <c r="AK205" i="8" s="1"/>
  <c r="AJ199" i="8"/>
  <c r="AK199" i="8" s="1"/>
  <c r="AJ196" i="8"/>
  <c r="AK196" i="8" s="1"/>
  <c r="AJ249" i="8"/>
  <c r="AK249" i="8" s="1"/>
  <c r="AJ285" i="8"/>
  <c r="AK285" i="8" s="1"/>
  <c r="AJ254" i="8"/>
  <c r="AK254" i="8" s="1"/>
  <c r="AJ258" i="8"/>
  <c r="AK258" i="8" s="1"/>
  <c r="AJ242" i="8"/>
  <c r="AK242" i="8" s="1"/>
  <c r="AJ298" i="8"/>
  <c r="AK298" i="8" s="1"/>
  <c r="AJ153" i="8"/>
  <c r="AK153" i="8" s="1"/>
  <c r="AJ230" i="8"/>
  <c r="AK230" i="8" s="1"/>
  <c r="AJ289" i="8"/>
  <c r="AK289" i="8" s="1"/>
  <c r="AJ303" i="8"/>
  <c r="AK303" i="8" s="1"/>
  <c r="AJ312" i="8"/>
  <c r="AK312" i="8" s="1"/>
  <c r="AJ158" i="8"/>
  <c r="AK158" i="8" s="1"/>
  <c r="AJ163" i="8"/>
  <c r="AK163" i="8" s="1"/>
  <c r="AJ169" i="8"/>
  <c r="AK169" i="8" s="1"/>
  <c r="AJ171" i="8"/>
  <c r="AK171" i="8" s="1"/>
  <c r="AJ173" i="8"/>
  <c r="AK173" i="8" s="1"/>
  <c r="AJ175" i="8"/>
  <c r="AK175" i="8" s="1"/>
  <c r="AJ176" i="8"/>
  <c r="AK176" i="8" s="1"/>
  <c r="AJ174" i="8"/>
  <c r="AK174" i="8" s="1"/>
  <c r="AJ172" i="8"/>
  <c r="AK172" i="8" s="1"/>
  <c r="AJ168" i="8"/>
  <c r="AK168" i="8" s="1"/>
  <c r="AJ170" i="8"/>
  <c r="AK170" i="8" s="1"/>
  <c r="AJ322" i="8"/>
  <c r="AK322" i="8" s="1"/>
  <c r="AJ156" i="8"/>
  <c r="AK156" i="8" s="1"/>
  <c r="AJ42" i="8"/>
  <c r="AK42" i="8" s="1"/>
  <c r="AJ271" i="8"/>
  <c r="AK271" i="8" s="1"/>
  <c r="AJ262" i="8"/>
  <c r="AK262" i="8" s="1"/>
  <c r="AJ179" i="8"/>
  <c r="AK179" i="8" s="1"/>
  <c r="AJ327" i="8"/>
  <c r="AK327" i="8" s="1"/>
  <c r="AJ279" i="8"/>
  <c r="AK279" i="8" s="1"/>
  <c r="AJ236" i="8"/>
  <c r="AK236" i="8" s="1"/>
  <c r="AJ206" i="8"/>
  <c r="AK206" i="8" s="1"/>
  <c r="AJ250" i="8"/>
  <c r="AK250" i="8" s="1"/>
  <c r="AJ255" i="8"/>
  <c r="AK255" i="8" s="1"/>
  <c r="AJ281" i="8"/>
  <c r="AK281" i="8" s="1"/>
  <c r="AJ181" i="8"/>
  <c r="AK181" i="8" s="1"/>
  <c r="AJ286" i="8"/>
  <c r="AK286" i="8" s="1"/>
  <c r="AJ295" i="8"/>
  <c r="AK295" i="8" s="1"/>
  <c r="AJ309" i="8"/>
  <c r="AK309" i="8" s="1"/>
  <c r="AJ314" i="8"/>
  <c r="AK314" i="8" s="1"/>
  <c r="AJ318" i="8"/>
  <c r="AK318" i="8" s="1"/>
  <c r="AJ189" i="8"/>
  <c r="AK189" i="8" s="1"/>
  <c r="AJ198" i="8"/>
  <c r="AK198" i="8" s="1"/>
  <c r="AJ183" i="8"/>
  <c r="AK183" i="8" s="1"/>
  <c r="AJ201" i="8"/>
  <c r="AK201" i="8" s="1"/>
  <c r="AJ217" i="8"/>
  <c r="AK217" i="8" s="1"/>
  <c r="AJ267" i="8"/>
  <c r="AK267" i="8" s="1"/>
  <c r="AJ224" i="8"/>
  <c r="AK224" i="8" s="1"/>
  <c r="AJ272" i="8"/>
  <c r="AK272" i="8" s="1"/>
  <c r="AJ331" i="8"/>
  <c r="AK331" i="8" s="1"/>
  <c r="AJ207" i="8"/>
  <c r="AK207" i="8" s="1"/>
  <c r="AJ212" i="8"/>
  <c r="AK212" i="8" s="1"/>
  <c r="AJ229" i="8"/>
  <c r="AK229" i="8" s="1"/>
  <c r="AJ282" i="8"/>
  <c r="AK282" i="8" s="1"/>
  <c r="AJ240" i="8"/>
  <c r="AK240" i="8" s="1"/>
  <c r="AJ248" i="8"/>
  <c r="AK248" i="8" s="1"/>
  <c r="AJ315" i="8"/>
  <c r="AK315" i="8" s="1"/>
  <c r="AJ320" i="8"/>
  <c r="AK320" i="8" s="1"/>
  <c r="AJ306" i="8"/>
  <c r="AK306" i="8" s="1"/>
  <c r="AJ292" i="8"/>
  <c r="AK292" i="8" s="1"/>
  <c r="AJ194" i="8"/>
  <c r="AK194" i="8" s="1"/>
  <c r="AJ301" i="8"/>
  <c r="AK301" i="8" s="1"/>
  <c r="AJ325" i="8"/>
  <c r="AK325" i="8" s="1"/>
  <c r="AJ211" i="8"/>
  <c r="AK211" i="8" s="1"/>
  <c r="AJ223" i="8"/>
  <c r="AK223" i="8" s="1"/>
  <c r="AJ216" i="8"/>
  <c r="AK216" i="8" s="1"/>
  <c r="AJ188" i="8"/>
  <c r="AK188" i="8" s="1"/>
  <c r="AJ182" i="8"/>
  <c r="AK182" i="8" s="1"/>
  <c r="AJ178" i="8"/>
  <c r="AK178" i="8" s="1"/>
  <c r="AJ319" i="8"/>
  <c r="AK319" i="8" s="1"/>
  <c r="AJ193" i="8"/>
  <c r="AK193" i="8" s="1"/>
  <c r="AJ329" i="8"/>
  <c r="AK329" i="8" s="1"/>
  <c r="AJ264" i="8"/>
  <c r="AK264" i="8" s="1"/>
  <c r="AJ299" i="8"/>
  <c r="AK299" i="8" s="1"/>
  <c r="AJ210" i="8"/>
  <c r="AK210" i="8" s="1"/>
  <c r="AJ269" i="8"/>
  <c r="AK269" i="8" s="1"/>
  <c r="AJ273" i="8"/>
  <c r="AK273" i="8" s="1"/>
  <c r="AJ238" i="8"/>
  <c r="AK238" i="8" s="1"/>
  <c r="AJ231" i="8"/>
  <c r="AK231" i="8" s="1"/>
  <c r="AJ192" i="8"/>
  <c r="AK192" i="8" s="1"/>
  <c r="AJ304" i="8"/>
  <c r="AK304" i="8" s="1"/>
  <c r="AJ247" i="8"/>
  <c r="AK247" i="8" s="1"/>
  <c r="AJ187" i="8"/>
  <c r="AK187" i="8" s="1"/>
  <c r="AJ259" i="8"/>
  <c r="AK259" i="8" s="1"/>
  <c r="AJ177" i="8"/>
  <c r="AK177" i="8" s="1"/>
  <c r="AJ323" i="8"/>
  <c r="AK323" i="8" s="1"/>
  <c r="AJ274" i="8"/>
  <c r="AK274" i="8" s="1"/>
  <c r="AJ241" i="8"/>
  <c r="AK241" i="8" s="1"/>
  <c r="AJ167" i="8"/>
  <c r="AK167" i="8" s="1"/>
  <c r="AJ276" i="8"/>
  <c r="AK276" i="8" s="1"/>
  <c r="AJ195" i="8"/>
  <c r="AK195" i="8" s="1"/>
  <c r="AJ190" i="8"/>
  <c r="AK190" i="8" s="1"/>
  <c r="AJ225" i="8"/>
  <c r="AK225" i="8" s="1"/>
  <c r="AJ204" i="8"/>
  <c r="AK204" i="8" s="1"/>
  <c r="AJ245" i="8"/>
  <c r="AK245" i="8" s="1"/>
  <c r="AJ208" i="8"/>
  <c r="AK208" i="8" s="1"/>
  <c r="AJ288" i="8"/>
  <c r="AK288" i="8" s="1"/>
  <c r="AJ252" i="8"/>
  <c r="AK252" i="8" s="1"/>
  <c r="AJ257" i="8"/>
  <c r="AK257" i="8" s="1"/>
  <c r="AJ268" i="8"/>
  <c r="AK268" i="8" s="1"/>
  <c r="AJ307" i="8"/>
  <c r="AK307" i="8" s="1"/>
  <c r="AJ311" i="8"/>
  <c r="AK311" i="8" s="1"/>
  <c r="AJ213" i="8"/>
  <c r="AK213" i="8" s="1"/>
  <c r="AJ283" i="8"/>
  <c r="AK283" i="8" s="1"/>
  <c r="AJ316" i="8"/>
  <c r="AK316" i="8" s="1"/>
  <c r="AJ220" i="8"/>
  <c r="AK220" i="8" s="1"/>
  <c r="AJ184" i="8"/>
  <c r="AK184" i="8" s="1"/>
  <c r="AJ321" i="8"/>
  <c r="AK321" i="8" s="1"/>
  <c r="AJ293" i="8"/>
  <c r="AK293" i="8" s="1"/>
  <c r="AJ297" i="8"/>
  <c r="AK297" i="8" s="1"/>
  <c r="AJ326" i="8"/>
  <c r="AK326" i="8" s="1"/>
  <c r="AJ302" i="8"/>
  <c r="AK302" i="8" s="1"/>
  <c r="AJ227" i="8"/>
  <c r="AK227" i="8" s="1"/>
  <c r="AJ290" i="8"/>
  <c r="AK290" i="8" s="1"/>
  <c r="AJ219" i="8"/>
  <c r="AK219" i="8" s="1"/>
  <c r="AJ243" i="8"/>
  <c r="AK243" i="8" s="1"/>
  <c r="AJ222" i="8"/>
  <c r="AK222" i="8" s="1"/>
  <c r="AJ203" i="8"/>
  <c r="AK203" i="8" s="1"/>
  <c r="AJ333" i="8"/>
  <c r="AK333" i="8" s="1"/>
  <c r="AJ197" i="8"/>
  <c r="AK197" i="8" s="1"/>
  <c r="AJ233" i="8"/>
  <c r="AK233" i="8" s="1"/>
  <c r="AJ200" i="8"/>
  <c r="AK200" i="8" s="1"/>
  <c r="AJ215" i="8"/>
  <c r="AK215" i="8" s="1"/>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303"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AJ108" i="8"/>
  <c r="AK108" i="8" s="1"/>
  <c r="AJ100" i="8"/>
  <c r="AK100" i="8" s="1"/>
  <c r="AJ129" i="8"/>
  <c r="AK129" i="8" s="1"/>
  <c r="AJ113" i="8"/>
  <c r="AK113" i="8" s="1"/>
  <c r="AJ125" i="8"/>
  <c r="AK125" i="8" s="1"/>
  <c r="AJ120" i="8"/>
  <c r="AK120" i="8" s="1"/>
  <c r="AJ116" i="8"/>
  <c r="AK116" i="8" s="1"/>
  <c r="AJ103" i="8"/>
  <c r="AK103" i="8" s="1"/>
  <c r="AJ137" i="8"/>
  <c r="AK137" i="8" s="1"/>
  <c r="AJ92" i="8"/>
  <c r="AK92" i="8" s="1"/>
  <c r="AJ134" i="8"/>
  <c r="AK134" i="8" s="1"/>
  <c r="AJ106" i="8"/>
  <c r="AK106" i="8" s="1"/>
  <c r="AJ87" i="8"/>
  <c r="AK87" i="8" s="1"/>
  <c r="AJ81" i="8"/>
  <c r="AK81" i="8" s="1"/>
  <c r="AJ80" i="8"/>
  <c r="AK80" i="8" s="1"/>
  <c r="AJ88" i="8"/>
  <c r="AK88" i="8" s="1"/>
  <c r="AJ46" i="8"/>
  <c r="AK46" i="8" s="1"/>
  <c r="AJ95" i="8"/>
  <c r="AK95" i="8" s="1"/>
  <c r="AJ45" i="8"/>
  <c r="AK45" i="8" s="1"/>
  <c r="AJ28" i="8"/>
  <c r="AK28" i="8" s="1"/>
  <c r="AJ30" i="8"/>
  <c r="AK30" i="8" s="1"/>
  <c r="AJ24" i="8"/>
  <c r="AK24" i="8" s="1"/>
  <c r="AJ126" i="8"/>
  <c r="AK126" i="8" s="1"/>
  <c r="AJ82" i="8"/>
  <c r="AK82" i="8" s="1"/>
  <c r="AJ130" i="8"/>
  <c r="AK130" i="8" s="1"/>
  <c r="AJ70" i="8"/>
  <c r="AK70" i="8" s="1"/>
  <c r="AJ78" i="8"/>
  <c r="AK78" i="8" s="1"/>
  <c r="AJ44" i="8"/>
  <c r="AK44" i="8" s="1"/>
  <c r="AJ33" i="8"/>
  <c r="AK33" i="8" s="1"/>
  <c r="AJ117" i="8"/>
  <c r="AK117" i="8" s="1"/>
  <c r="AJ47" i="8"/>
  <c r="AK47" i="8" s="1"/>
  <c r="AJ51" i="8"/>
  <c r="AK51" i="8" s="1"/>
  <c r="AJ58" i="8"/>
  <c r="AK58" i="8" s="1"/>
  <c r="AJ21" i="8"/>
  <c r="AK21" i="8" s="1"/>
  <c r="AJ89" i="8"/>
  <c r="AK89" i="8" s="1"/>
  <c r="AJ64" i="8"/>
  <c r="AK64" i="8" s="1"/>
  <c r="AJ121" i="8"/>
  <c r="AK121" i="8" s="1"/>
  <c r="AJ12" i="8"/>
  <c r="AK12" i="8" s="1"/>
  <c r="AJ107" i="8"/>
  <c r="AK107" i="8" s="1"/>
  <c r="AJ10" i="8"/>
  <c r="AK10" i="8" s="1"/>
  <c r="AJ63" i="8"/>
  <c r="AK63" i="8" s="1"/>
  <c r="AJ102" i="8"/>
  <c r="AK102" i="8" s="1"/>
  <c r="AJ19" i="8"/>
  <c r="AK19" i="8" s="1"/>
  <c r="AJ32" i="8"/>
  <c r="AK32" i="8" s="1"/>
  <c r="AJ53" i="8"/>
  <c r="AK53" i="8" s="1"/>
  <c r="AJ98" i="8"/>
  <c r="AK98" i="8" s="1"/>
  <c r="AJ59" i="8"/>
  <c r="AK59" i="8" s="1"/>
  <c r="AJ136" i="8"/>
  <c r="AK136" i="8" s="1"/>
  <c r="AJ140" i="8"/>
  <c r="AK140" i="8" s="1"/>
  <c r="AJ145" i="8"/>
  <c r="AK145" i="8" s="1"/>
  <c r="AJ166" i="8"/>
  <c r="AK166" i="8" s="1"/>
  <c r="AJ79" i="8"/>
  <c r="AK79" i="8" s="1"/>
  <c r="AJ22" i="8"/>
  <c r="AK22" i="8" s="1"/>
  <c r="AJ26" i="8"/>
  <c r="AK26" i="8" s="1"/>
  <c r="AJ38" i="8"/>
  <c r="AK38" i="8" s="1"/>
  <c r="AJ49" i="8"/>
  <c r="AK49" i="8" s="1"/>
  <c r="AJ57" i="8"/>
  <c r="AK57" i="8" s="1"/>
  <c r="AJ66" i="8"/>
  <c r="AK66" i="8" s="1"/>
  <c r="AJ71" i="8"/>
  <c r="AK71" i="8" s="1"/>
  <c r="AJ84" i="8"/>
  <c r="AK84" i="8" s="1"/>
  <c r="AJ13" i="8"/>
  <c r="AK13" i="8" s="1"/>
  <c r="AJ90" i="8"/>
  <c r="AK90" i="8" s="1"/>
  <c r="AJ34" i="8"/>
  <c r="AK34" i="8" s="1"/>
  <c r="AJ105" i="8"/>
  <c r="AK105" i="8" s="1"/>
  <c r="AJ161" i="8"/>
  <c r="AK161" i="8" s="1"/>
  <c r="AJ151" i="8"/>
  <c r="AK151" i="8" s="1"/>
  <c r="AJ118" i="8"/>
  <c r="AK118" i="8" s="1"/>
  <c r="AJ128" i="8"/>
  <c r="AK128" i="8" s="1"/>
  <c r="AJ132" i="8"/>
  <c r="AK132" i="8" s="1"/>
  <c r="AJ40" i="8"/>
  <c r="AK40" i="8" s="1"/>
  <c r="AJ139" i="8"/>
  <c r="AK139" i="8" s="1"/>
  <c r="AJ56" i="8"/>
  <c r="AK56" i="8" s="1"/>
  <c r="AJ122" i="8"/>
  <c r="AK122" i="8" s="1"/>
  <c r="AJ9" i="8"/>
  <c r="AK9" i="8" s="1"/>
  <c r="AJ62" i="8"/>
  <c r="AK62" i="8" s="1"/>
  <c r="AJ41" i="8"/>
  <c r="AK41" i="8" s="1"/>
  <c r="AJ94" i="8"/>
  <c r="AK94" i="8" s="1"/>
  <c r="AJ77" i="8"/>
  <c r="AK77" i="8" s="1"/>
  <c r="AJ74" i="8"/>
  <c r="AK74" i="8" s="1"/>
  <c r="AJ76" i="8"/>
  <c r="AK76" i="8" s="1"/>
  <c r="AJ37" i="8"/>
  <c r="AK37" i="8" s="1"/>
  <c r="AJ25" i="8"/>
  <c r="AK25" i="8" s="1"/>
  <c r="AJ52" i="8"/>
  <c r="AK52" i="8" s="1"/>
  <c r="AJ15" i="8"/>
  <c r="AK15" i="8" s="1"/>
  <c r="AJ131" i="8"/>
  <c r="AK131" i="8" s="1"/>
  <c r="AJ18" i="8"/>
  <c r="AK18" i="8" s="1"/>
  <c r="AJ97" i="8"/>
  <c r="AK97" i="8" s="1"/>
  <c r="AJ83" i="8"/>
  <c r="AK83" i="8" s="1"/>
  <c r="AJ48" i="8"/>
  <c r="AK48" i="8" s="1"/>
  <c r="AJ110" i="8"/>
  <c r="AK110" i="8" s="1"/>
  <c r="AJ31" i="8"/>
  <c r="AK31" i="8" s="1"/>
  <c r="AJ72" i="8"/>
  <c r="AK72" i="8" s="1"/>
  <c r="AJ155" i="8"/>
  <c r="AK155" i="8" s="1"/>
  <c r="AJ127" i="8"/>
  <c r="AK127" i="8" s="1"/>
  <c r="AJ165" i="8"/>
  <c r="AK165" i="8" s="1"/>
  <c r="AJ150" i="8"/>
  <c r="AK150" i="8" s="1"/>
  <c r="AJ144" i="8"/>
  <c r="AK144" i="8" s="1"/>
  <c r="AJ160" i="8"/>
  <c r="AK160" i="8" s="1"/>
  <c r="AJ14" i="8"/>
  <c r="AK14" i="8" s="1"/>
  <c r="AJ55" i="8"/>
  <c r="AK55" i="8" s="1"/>
  <c r="AJ65" i="8"/>
  <c r="AK65" i="8" s="1"/>
  <c r="AJ36" i="8"/>
  <c r="AK36" i="8" s="1"/>
  <c r="AJ138" i="8"/>
  <c r="AK138" i="8" s="1"/>
  <c r="AJ17" i="8"/>
  <c r="AK17" i="8" s="1"/>
  <c r="AJ93" i="8"/>
  <c r="AK93" i="8" s="1"/>
  <c r="AJ101" i="8"/>
  <c r="AK101" i="8" s="1"/>
  <c r="AJ43" i="8"/>
  <c r="AK43" i="8" s="1"/>
  <c r="AJ61" i="8"/>
  <c r="AK61" i="8" s="1"/>
  <c r="AJ96" i="8"/>
  <c r="AK96" i="8" s="1"/>
  <c r="AJ75" i="8"/>
  <c r="AK75" i="8" s="1"/>
  <c r="AJ114" i="8"/>
  <c r="AK114" i="8" s="1"/>
  <c r="AJ104" i="8"/>
  <c r="AK104" i="8" s="1"/>
  <c r="AJ149" i="8"/>
  <c r="AK149" i="8" s="1"/>
  <c r="AJ154" i="8"/>
  <c r="AK154" i="8" s="1"/>
  <c r="AJ8" i="8"/>
  <c r="AK8" i="8" s="1"/>
  <c r="AJ68" i="8"/>
  <c r="AK68" i="8" s="1"/>
  <c r="AJ135" i="8"/>
  <c r="AK135" i="8" s="1"/>
  <c r="AJ143" i="8"/>
  <c r="AK143" i="8" s="1"/>
  <c r="AJ73" i="8"/>
  <c r="AK73" i="8" s="1"/>
  <c r="AJ159" i="8"/>
  <c r="AK159" i="8" s="1"/>
  <c r="AJ164" i="8"/>
  <c r="AK164" i="8" s="1"/>
  <c r="AJ112" i="8"/>
  <c r="AK112" i="8" s="1"/>
  <c r="AJ7" i="8"/>
  <c r="AK7" i="8" s="1"/>
  <c r="AJ20" i="8"/>
  <c r="AK20" i="8" s="1"/>
  <c r="AJ91" i="8"/>
  <c r="AK91" i="8" s="1"/>
  <c r="AJ99" i="8"/>
  <c r="AK99" i="8" s="1"/>
  <c r="AJ67" i="8"/>
  <c r="AK67" i="8" s="1"/>
  <c r="AJ16" i="8"/>
  <c r="AK16" i="8" s="1"/>
  <c r="AJ69" i="8"/>
  <c r="AK69" i="8" s="1"/>
  <c r="AJ27" i="8"/>
  <c r="AK27" i="8" s="1"/>
  <c r="AJ6" i="8"/>
  <c r="AK6" i="8" s="1"/>
  <c r="AJ162" i="8"/>
  <c r="AK162" i="8" s="1"/>
  <c r="AJ133" i="8"/>
  <c r="AK133" i="8" s="1"/>
  <c r="AJ123" i="8"/>
  <c r="AK123" i="8" s="1"/>
  <c r="AJ111" i="8"/>
  <c r="AK111" i="8" s="1"/>
  <c r="AJ50" i="8"/>
  <c r="AK50" i="8" s="1"/>
  <c r="AJ54" i="8"/>
  <c r="AK54" i="8" s="1"/>
  <c r="AJ119" i="8"/>
  <c r="AK119" i="8" s="1"/>
  <c r="AJ146" i="8"/>
  <c r="AK146" i="8" s="1"/>
  <c r="AJ60" i="8"/>
  <c r="AK60" i="8" s="1"/>
  <c r="AJ23" i="8"/>
  <c r="AK23" i="8" s="1"/>
  <c r="AJ39" i="8"/>
  <c r="AK39" i="8" s="1"/>
  <c r="AJ152" i="8"/>
  <c r="AK152" i="8" s="1"/>
  <c r="AJ35" i="8"/>
  <c r="AK35" i="8" s="1"/>
  <c r="AJ141" i="8"/>
  <c r="AK141" i="8" s="1"/>
  <c r="AJ85" i="8"/>
  <c r="AK85" i="8" s="1"/>
  <c r="AJ11" i="8"/>
  <c r="AK11" i="8" s="1"/>
  <c r="AJ115" i="8"/>
  <c r="AK115" i="8" s="1"/>
  <c r="S1970" i="8"/>
  <c r="U1970" i="8" s="1"/>
  <c r="V1970" i="8" s="1"/>
  <c r="W1970" i="8" s="1"/>
  <c r="X1970" i="8" s="1"/>
  <c r="S1937" i="8"/>
  <c r="S1939" i="8"/>
  <c r="S1941" i="8"/>
  <c r="S1942" i="8"/>
  <c r="S1943" i="8"/>
  <c r="S1945" i="8"/>
  <c r="S1946" i="8"/>
  <c r="S1949" i="8"/>
  <c r="S1952" i="8"/>
  <c r="S1955" i="8"/>
  <c r="S1958" i="8"/>
  <c r="U1958" i="8" s="1"/>
  <c r="V1958" i="8" s="1"/>
  <c r="W1958" i="8" s="1"/>
  <c r="X1958" i="8" s="1"/>
  <c r="S1960" i="8"/>
  <c r="U1960" i="8" s="1"/>
  <c r="V1960" i="8" s="1"/>
  <c r="W1960" i="8" s="1"/>
  <c r="X1960" i="8" s="1"/>
  <c r="S1965" i="8"/>
  <c r="U1965" i="8" s="1"/>
  <c r="V1965" i="8" s="1"/>
  <c r="W1965" i="8" s="1"/>
  <c r="X1965" i="8" s="1"/>
  <c r="S1968" i="8"/>
  <c r="U1968" i="8" s="1"/>
  <c r="V1968" i="8" s="1"/>
  <c r="W1968" i="8" s="1"/>
  <c r="X1968" i="8" s="1"/>
  <c r="S1971" i="8"/>
  <c r="U1971" i="8" s="1"/>
  <c r="V1971" i="8" s="1"/>
  <c r="W1971" i="8" s="1"/>
  <c r="X1971" i="8" s="1"/>
  <c r="S1974" i="8"/>
  <c r="U1974" i="8" s="1"/>
  <c r="V1974" i="8" s="1"/>
  <c r="W1974" i="8" s="1"/>
  <c r="X1974" i="8" s="1"/>
  <c r="S1977" i="8"/>
  <c r="U1977" i="8" s="1"/>
  <c r="V1977" i="8" s="1"/>
  <c r="W1977" i="8" s="1"/>
  <c r="X1977" i="8" s="1"/>
  <c r="S1936" i="8"/>
  <c r="S1938" i="8"/>
  <c r="S1940" i="8"/>
  <c r="S1947" i="8"/>
  <c r="S1950" i="8"/>
  <c r="S1953" i="8"/>
  <c r="S1956" i="8"/>
  <c r="U1956" i="8" s="1"/>
  <c r="V1956" i="8" s="1"/>
  <c r="W1956" i="8" s="1"/>
  <c r="X1956" i="8" s="1"/>
  <c r="S1959" i="8"/>
  <c r="U1959" i="8" s="1"/>
  <c r="V1959" i="8" s="1"/>
  <c r="W1959" i="8" s="1"/>
  <c r="X1959" i="8" s="1"/>
  <c r="S1962" i="8"/>
  <c r="U1962" i="8" s="1"/>
  <c r="V1962" i="8" s="1"/>
  <c r="W1962" i="8" s="1"/>
  <c r="X1962" i="8" s="1"/>
  <c r="S1964" i="8"/>
  <c r="U1964" i="8" s="1"/>
  <c r="V1964" i="8" s="1"/>
  <c r="W1964" i="8" s="1"/>
  <c r="X1964" i="8" s="1"/>
  <c r="S1967" i="8"/>
  <c r="U1967" i="8" s="1"/>
  <c r="V1967" i="8" s="1"/>
  <c r="W1967" i="8" s="1"/>
  <c r="X1967" i="8" s="1"/>
  <c r="S1972" i="8"/>
  <c r="U1972" i="8" s="1"/>
  <c r="V1972" i="8" s="1"/>
  <c r="W1972" i="8" s="1"/>
  <c r="X1972" i="8" s="1"/>
  <c r="S1976" i="8"/>
  <c r="U1976" i="8" s="1"/>
  <c r="V1976" i="8" s="1"/>
  <c r="W1976" i="8" s="1"/>
  <c r="X1976" i="8" s="1"/>
  <c r="S1944" i="8"/>
  <c r="S1948" i="8"/>
  <c r="S1951" i="8"/>
  <c r="S1954" i="8"/>
  <c r="S1957" i="8"/>
  <c r="U1957" i="8" s="1"/>
  <c r="V1957" i="8" s="1"/>
  <c r="W1957" i="8" s="1"/>
  <c r="X1957" i="8" s="1"/>
  <c r="S1961" i="8"/>
  <c r="U1961" i="8" s="1"/>
  <c r="V1961" i="8" s="1"/>
  <c r="W1961" i="8" s="1"/>
  <c r="X1961" i="8" s="1"/>
  <c r="S1963" i="8"/>
  <c r="U1963" i="8" s="1"/>
  <c r="V1963" i="8" s="1"/>
  <c r="W1963" i="8" s="1"/>
  <c r="X1963" i="8" s="1"/>
  <c r="S1966" i="8"/>
  <c r="U1966" i="8" s="1"/>
  <c r="V1966" i="8" s="1"/>
  <c r="W1966" i="8" s="1"/>
  <c r="X1966" i="8" s="1"/>
  <c r="S1969" i="8"/>
  <c r="U1969" i="8" s="1"/>
  <c r="V1969" i="8" s="1"/>
  <c r="W1969" i="8" s="1"/>
  <c r="X1969" i="8" s="1"/>
  <c r="S1973" i="8"/>
  <c r="U1973" i="8" s="1"/>
  <c r="V1973" i="8" s="1"/>
  <c r="W1973" i="8" s="1"/>
  <c r="X1973" i="8" s="1"/>
  <c r="S1975" i="8"/>
  <c r="U1975" i="8" s="1"/>
  <c r="V1975" i="8" s="1"/>
  <c r="W1975" i="8" s="1"/>
  <c r="X1975" i="8" s="1"/>
  <c r="I370" i="13"/>
  <c r="J370" i="13"/>
  <c r="H308" i="13"/>
  <c r="I308" i="13"/>
  <c r="AE1936" i="8"/>
  <c r="AF1936" i="8" s="1"/>
  <c r="AE1941" i="8"/>
  <c r="AF1941" i="8" s="1"/>
  <c r="AE1948" i="8"/>
  <c r="AF1948" i="8" s="1"/>
  <c r="AE1953" i="8"/>
  <c r="AF1953" i="8" s="1"/>
  <c r="AE1959" i="8"/>
  <c r="AF1959" i="8" s="1"/>
  <c r="AE1964" i="8"/>
  <c r="AF1964" i="8" s="1"/>
  <c r="AE1970" i="8"/>
  <c r="AF1970" i="8" s="1"/>
  <c r="AE1976" i="8"/>
  <c r="AF1976" i="8" s="1"/>
  <c r="AE1939" i="8"/>
  <c r="AF1939" i="8" s="1"/>
  <c r="AE1944" i="8"/>
  <c r="AF1944" i="8" s="1"/>
  <c r="AE1951" i="8"/>
  <c r="AF1951" i="8" s="1"/>
  <c r="AE1958" i="8"/>
  <c r="AF1958" i="8" s="1"/>
  <c r="AE1963" i="8"/>
  <c r="AF1963" i="8" s="1"/>
  <c r="AE1969" i="8"/>
  <c r="AF1969" i="8" s="1"/>
  <c r="AE1940" i="8"/>
  <c r="AF1940" i="8" s="1"/>
  <c r="AE1949" i="8"/>
  <c r="AF1949" i="8" s="1"/>
  <c r="AE1955" i="8"/>
  <c r="AF1955" i="8" s="1"/>
  <c r="AE1960" i="8"/>
  <c r="AF1960" i="8" s="1"/>
  <c r="AE1966" i="8"/>
  <c r="AF1966" i="8" s="1"/>
  <c r="AE1972" i="8"/>
  <c r="AF1972" i="8" s="1"/>
  <c r="AE1942" i="8"/>
  <c r="AF1942" i="8" s="1"/>
  <c r="AE1947" i="8"/>
  <c r="AF1947" i="8" s="1"/>
  <c r="AE1954" i="8"/>
  <c r="AF1954" i="8" s="1"/>
  <c r="AE1965" i="8"/>
  <c r="AF1965" i="8" s="1"/>
  <c r="AE1971" i="8"/>
  <c r="AF1971" i="8" s="1"/>
  <c r="AE1977" i="8"/>
  <c r="AF1977" i="8" s="1"/>
  <c r="AE1937" i="8"/>
  <c r="AF1937" i="8" s="1"/>
  <c r="AE1943" i="8"/>
  <c r="AF1943" i="8" s="1"/>
  <c r="AE1950" i="8"/>
  <c r="AF1950" i="8" s="1"/>
  <c r="AE1956" i="8"/>
  <c r="AF1956" i="8" s="1"/>
  <c r="AE1962" i="8"/>
  <c r="AF1962" i="8" s="1"/>
  <c r="AE1968" i="8"/>
  <c r="AF1968" i="8" s="1"/>
  <c r="AE1974" i="8"/>
  <c r="AF1974" i="8" s="1"/>
  <c r="AE1946" i="8"/>
  <c r="AF1946" i="8" s="1"/>
  <c r="AE1952" i="8"/>
  <c r="AF1952" i="8" s="1"/>
  <c r="AE1957" i="8"/>
  <c r="AF1957" i="8" s="1"/>
  <c r="AE1961" i="8"/>
  <c r="AF1961" i="8" s="1"/>
  <c r="AE1967" i="8"/>
  <c r="AF1967" i="8" s="1"/>
  <c r="D1936" i="8"/>
  <c r="U1936" i="8"/>
  <c r="V1936" i="8" s="1"/>
  <c r="W1936" i="8" s="1"/>
  <c r="X1936" i="8" s="1"/>
  <c r="E1936" i="8"/>
  <c r="U1937" i="8"/>
  <c r="V1937" i="8" s="1"/>
  <c r="W1937" i="8" s="1"/>
  <c r="X1937" i="8" s="1"/>
  <c r="D1937" i="8"/>
  <c r="E1937" i="8"/>
  <c r="U1938" i="8"/>
  <c r="V1938" i="8" s="1"/>
  <c r="W1938" i="8" s="1"/>
  <c r="X1938" i="8" s="1"/>
  <c r="D1938" i="8"/>
  <c r="E1938" i="8"/>
  <c r="U1939" i="8"/>
  <c r="V1939" i="8" s="1"/>
  <c r="W1939" i="8" s="1"/>
  <c r="X1939" i="8" s="1"/>
  <c r="D1939" i="8"/>
  <c r="E1939" i="8"/>
  <c r="U1940" i="8"/>
  <c r="V1940" i="8" s="1"/>
  <c r="W1940" i="8" s="1"/>
  <c r="X1940" i="8" s="1"/>
  <c r="D1940" i="8"/>
  <c r="E1940" i="8"/>
  <c r="E1941" i="8"/>
  <c r="D1941" i="8"/>
  <c r="U1941" i="8"/>
  <c r="V1941" i="8" s="1"/>
  <c r="W1941" i="8" s="1"/>
  <c r="X1941" i="8" s="1"/>
  <c r="E1942" i="8"/>
  <c r="D1942" i="8"/>
  <c r="U1942" i="8"/>
  <c r="V1942" i="8" s="1"/>
  <c r="W1942" i="8" s="1"/>
  <c r="X1942" i="8" s="1"/>
  <c r="D1943" i="8"/>
  <c r="U1943" i="8"/>
  <c r="V1943" i="8" s="1"/>
  <c r="W1943" i="8" s="1"/>
  <c r="X1943" i="8" s="1"/>
  <c r="E1943" i="8"/>
  <c r="D1944" i="8"/>
  <c r="U1944" i="8"/>
  <c r="V1944" i="8" s="1"/>
  <c r="W1944" i="8" s="1"/>
  <c r="X1944" i="8" s="1"/>
  <c r="E1944" i="8"/>
  <c r="E1945" i="8"/>
  <c r="D1945" i="8"/>
  <c r="U1945" i="8"/>
  <c r="V1945" i="8" s="1"/>
  <c r="W1945" i="8" s="1"/>
  <c r="X1945" i="8" s="1"/>
  <c r="E1946" i="8"/>
  <c r="D1946" i="8"/>
  <c r="U1946" i="8"/>
  <c r="V1946" i="8" s="1"/>
  <c r="W1946" i="8" s="1"/>
  <c r="X1946" i="8" s="1"/>
  <c r="E1947" i="8"/>
  <c r="D1947" i="8"/>
  <c r="U1947" i="8"/>
  <c r="V1947" i="8" s="1"/>
  <c r="W1947" i="8" s="1"/>
  <c r="X1947" i="8" s="1"/>
  <c r="E1948" i="8"/>
  <c r="D1948" i="8"/>
  <c r="U1948" i="8"/>
  <c r="V1948" i="8" s="1"/>
  <c r="W1948" i="8" s="1"/>
  <c r="X1948" i="8" s="1"/>
  <c r="E1949" i="8"/>
  <c r="D1949" i="8"/>
  <c r="U1949" i="8"/>
  <c r="V1949" i="8" s="1"/>
  <c r="W1949" i="8" s="1"/>
  <c r="X1949" i="8" s="1"/>
  <c r="E1950" i="8"/>
  <c r="D1950" i="8"/>
  <c r="U1950" i="8"/>
  <c r="V1950" i="8" s="1"/>
  <c r="W1950" i="8" s="1"/>
  <c r="X1950" i="8" s="1"/>
  <c r="E1951" i="8"/>
  <c r="D1951" i="8"/>
  <c r="U1951" i="8"/>
  <c r="V1951" i="8" s="1"/>
  <c r="W1951" i="8" s="1"/>
  <c r="X1951" i="8" s="1"/>
  <c r="E1952" i="8"/>
  <c r="D1952" i="8"/>
  <c r="U1952" i="8"/>
  <c r="V1952" i="8" s="1"/>
  <c r="W1952" i="8" s="1"/>
  <c r="X1952" i="8" s="1"/>
  <c r="E1953" i="8"/>
  <c r="D1953" i="8"/>
  <c r="U1953" i="8"/>
  <c r="V1953" i="8" s="1"/>
  <c r="W1953" i="8" s="1"/>
  <c r="X1953" i="8" s="1"/>
  <c r="E1954" i="8"/>
  <c r="D1954" i="8"/>
  <c r="U1954" i="8"/>
  <c r="V1954" i="8" s="1"/>
  <c r="W1954" i="8" s="1"/>
  <c r="X1954" i="8" s="1"/>
  <c r="E1955" i="8"/>
  <c r="D1955" i="8"/>
  <c r="U1955" i="8"/>
  <c r="V1955" i="8" s="1"/>
  <c r="W1955" i="8" s="1"/>
  <c r="X1955" i="8" s="1"/>
  <c r="E286" i="13"/>
  <c r="F286" i="13"/>
  <c r="T1541" i="8"/>
  <c r="AJ1303" i="8"/>
  <c r="AK1303" i="8" s="1"/>
  <c r="AJ774" i="8"/>
  <c r="AK774" i="8" s="1"/>
  <c r="L774" i="8"/>
  <c r="AC1945" i="8"/>
  <c r="AE1945" i="8" s="1"/>
  <c r="AF1945" i="8" s="1"/>
  <c r="K1648" i="9"/>
  <c r="D1648" i="9"/>
  <c r="C1648" i="9"/>
  <c r="D1495" i="9"/>
  <c r="C1495" i="9"/>
  <c r="E1019" i="9"/>
  <c r="C1019" i="9"/>
  <c r="F948" i="9"/>
  <c r="E948" i="9"/>
  <c r="E578" i="9"/>
  <c r="C578" i="9"/>
  <c r="Q484" i="9"/>
  <c r="P484" i="9"/>
  <c r="O484" i="9"/>
  <c r="N484" i="9"/>
  <c r="Q2000" i="9"/>
  <c r="P2000" i="9"/>
  <c r="O2000" i="9"/>
  <c r="N2000" i="9"/>
  <c r="M2000" i="9"/>
  <c r="L2000" i="9"/>
  <c r="K2000" i="9"/>
  <c r="J2000" i="9"/>
  <c r="F2000" i="9"/>
  <c r="E2000" i="9"/>
  <c r="D2000" i="9"/>
  <c r="C2000" i="9"/>
  <c r="Q1999" i="9"/>
  <c r="P1999" i="9"/>
  <c r="O1999" i="9"/>
  <c r="N1999" i="9"/>
  <c r="M1999" i="9"/>
  <c r="L1999" i="9"/>
  <c r="K1999" i="9"/>
  <c r="J1999" i="9"/>
  <c r="F1999" i="9"/>
  <c r="E1999" i="9"/>
  <c r="D1999" i="9"/>
  <c r="C1999" i="9"/>
  <c r="P1998" i="9"/>
  <c r="O1998" i="9"/>
  <c r="N1998" i="9"/>
  <c r="M1998" i="9"/>
  <c r="L1998" i="9"/>
  <c r="K1998" i="9"/>
  <c r="J1998" i="9"/>
  <c r="Q1998" i="9"/>
  <c r="F1998" i="9"/>
  <c r="E1998" i="9"/>
  <c r="D1998" i="9"/>
  <c r="C1998" i="9"/>
  <c r="Q1997" i="9"/>
  <c r="P1997" i="9"/>
  <c r="O1997" i="9"/>
  <c r="N1997" i="9"/>
  <c r="M1997" i="9"/>
  <c r="L1997" i="9"/>
  <c r="K1997" i="9"/>
  <c r="J1997" i="9"/>
  <c r="F1997" i="9"/>
  <c r="E1997" i="9"/>
  <c r="D1997" i="9"/>
  <c r="C1997" i="9"/>
  <c r="P1996" i="9"/>
  <c r="O1996" i="9"/>
  <c r="N1996" i="9"/>
  <c r="M1996" i="9"/>
  <c r="L1996" i="9"/>
  <c r="K1996" i="9"/>
  <c r="J1996" i="9"/>
  <c r="Q1996" i="9"/>
  <c r="F1996" i="9"/>
  <c r="E1996" i="9"/>
  <c r="D1996" i="9"/>
  <c r="C1996" i="9"/>
  <c r="Q1995" i="9"/>
  <c r="P1995" i="9"/>
  <c r="O1995" i="9"/>
  <c r="N1995" i="9"/>
  <c r="M1995" i="9"/>
  <c r="L1995" i="9"/>
  <c r="K1995" i="9"/>
  <c r="J1995" i="9"/>
  <c r="F1995" i="9"/>
  <c r="E1995" i="9"/>
  <c r="D1995" i="9"/>
  <c r="C1995" i="9"/>
  <c r="Q1994" i="9"/>
  <c r="P1994" i="9"/>
  <c r="O1994" i="9"/>
  <c r="N1994" i="9"/>
  <c r="M1994" i="9"/>
  <c r="L1994" i="9"/>
  <c r="K1994" i="9"/>
  <c r="J1994" i="9"/>
  <c r="F1994" i="9"/>
  <c r="E1994" i="9"/>
  <c r="D1994" i="9"/>
  <c r="C1994" i="9"/>
  <c r="P1993" i="9"/>
  <c r="O1993" i="9"/>
  <c r="N1993" i="9"/>
  <c r="M1993" i="9"/>
  <c r="L1993" i="9"/>
  <c r="K1993" i="9"/>
  <c r="J1993" i="9"/>
  <c r="Q1993" i="9"/>
  <c r="F1993" i="9"/>
  <c r="E1993" i="9"/>
  <c r="D1993" i="9"/>
  <c r="C1993" i="9"/>
  <c r="Q1992" i="9"/>
  <c r="P1992" i="9"/>
  <c r="O1992" i="9"/>
  <c r="N1992" i="9"/>
  <c r="M1992" i="9"/>
  <c r="L1992" i="9"/>
  <c r="K1992" i="9"/>
  <c r="J1992" i="9"/>
  <c r="F1992" i="9"/>
  <c r="E1992" i="9"/>
  <c r="D1992" i="9"/>
  <c r="C1992" i="9"/>
  <c r="P1991" i="9"/>
  <c r="O1991" i="9"/>
  <c r="N1991" i="9"/>
  <c r="M1991" i="9"/>
  <c r="L1991" i="9"/>
  <c r="K1991" i="9"/>
  <c r="J1991" i="9"/>
  <c r="Q1991" i="9"/>
  <c r="F1991" i="9"/>
  <c r="E1991" i="9"/>
  <c r="D1991" i="9"/>
  <c r="C1991" i="9"/>
  <c r="Q1990" i="9"/>
  <c r="P1990" i="9"/>
  <c r="O1990" i="9"/>
  <c r="N1990" i="9"/>
  <c r="M1990" i="9"/>
  <c r="L1990" i="9"/>
  <c r="K1990" i="9"/>
  <c r="J1990" i="9"/>
  <c r="F1990" i="9"/>
  <c r="E1990" i="9"/>
  <c r="D1990" i="9"/>
  <c r="C1990" i="9"/>
  <c r="Q1989" i="9"/>
  <c r="P1989" i="9"/>
  <c r="O1989" i="9"/>
  <c r="N1989" i="9"/>
  <c r="M1989" i="9"/>
  <c r="L1989" i="9"/>
  <c r="K1989" i="9"/>
  <c r="J1989" i="9"/>
  <c r="F1989" i="9"/>
  <c r="E1989" i="9"/>
  <c r="D1989" i="9"/>
  <c r="C1989" i="9"/>
  <c r="P1988" i="9"/>
  <c r="O1988" i="9"/>
  <c r="N1988" i="9"/>
  <c r="M1988" i="9"/>
  <c r="L1988" i="9"/>
  <c r="K1988" i="9"/>
  <c r="J1988" i="9"/>
  <c r="Q1988" i="9"/>
  <c r="F1988" i="9"/>
  <c r="E1988" i="9"/>
  <c r="D1988" i="9"/>
  <c r="C1988" i="9"/>
  <c r="Q1987" i="9"/>
  <c r="P1987" i="9"/>
  <c r="O1987" i="9"/>
  <c r="N1987" i="9"/>
  <c r="M1987" i="9"/>
  <c r="L1987" i="9"/>
  <c r="K1987" i="9"/>
  <c r="J1987" i="9"/>
  <c r="F1987" i="9"/>
  <c r="E1987" i="9"/>
  <c r="D1987" i="9"/>
  <c r="C1987" i="9"/>
  <c r="P1986" i="9"/>
  <c r="O1986" i="9"/>
  <c r="N1986" i="9"/>
  <c r="M1986" i="9"/>
  <c r="L1986" i="9"/>
  <c r="K1986" i="9"/>
  <c r="J1986" i="9"/>
  <c r="Q1986" i="9"/>
  <c r="F1986" i="9"/>
  <c r="E1986" i="9"/>
  <c r="D1986" i="9"/>
  <c r="C1986" i="9"/>
  <c r="Q1985" i="9"/>
  <c r="P1985" i="9"/>
  <c r="O1985" i="9"/>
  <c r="N1985" i="9"/>
  <c r="M1985" i="9"/>
  <c r="L1985" i="9"/>
  <c r="K1985" i="9"/>
  <c r="J1985" i="9"/>
  <c r="F1985" i="9"/>
  <c r="E1985" i="9"/>
  <c r="D1985" i="9"/>
  <c r="C1985" i="9"/>
  <c r="P1984" i="9"/>
  <c r="O1984" i="9"/>
  <c r="N1984" i="9"/>
  <c r="M1984" i="9"/>
  <c r="L1984" i="9"/>
  <c r="K1984" i="9"/>
  <c r="J1984" i="9"/>
  <c r="Q1984" i="9"/>
  <c r="F1984" i="9"/>
  <c r="E1984" i="9"/>
  <c r="D1984" i="9"/>
  <c r="C1984" i="9"/>
  <c r="Q1983" i="9"/>
  <c r="P1983" i="9"/>
  <c r="O1983" i="9"/>
  <c r="N1983" i="9"/>
  <c r="M1983" i="9"/>
  <c r="L1983" i="9"/>
  <c r="K1983" i="9"/>
  <c r="J1983" i="9"/>
  <c r="F1983" i="9"/>
  <c r="E1983" i="9"/>
  <c r="D1983" i="9"/>
  <c r="C1983" i="9"/>
  <c r="P1982" i="9"/>
  <c r="O1982" i="9"/>
  <c r="N1982" i="9"/>
  <c r="M1982" i="9"/>
  <c r="L1982" i="9"/>
  <c r="K1982" i="9"/>
  <c r="J1982" i="9"/>
  <c r="Q1982" i="9"/>
  <c r="F1982" i="9"/>
  <c r="E1982" i="9"/>
  <c r="D1982" i="9"/>
  <c r="C1982" i="9"/>
  <c r="Q1981" i="9"/>
  <c r="P1981" i="9"/>
  <c r="O1981" i="9"/>
  <c r="N1981" i="9"/>
  <c r="M1981" i="9"/>
  <c r="L1981" i="9"/>
  <c r="K1981" i="9"/>
  <c r="J1981" i="9"/>
  <c r="F1981" i="9"/>
  <c r="E1981" i="9"/>
  <c r="D1981" i="9"/>
  <c r="C1981" i="9"/>
  <c r="Q1980" i="9"/>
  <c r="P1980" i="9"/>
  <c r="O1980" i="9"/>
  <c r="N1980" i="9"/>
  <c r="M1980" i="9"/>
  <c r="L1980" i="9"/>
  <c r="K1980" i="9"/>
  <c r="J1980" i="9"/>
  <c r="F1980" i="9"/>
  <c r="E1980" i="9"/>
  <c r="D1980" i="9"/>
  <c r="C1980" i="9"/>
  <c r="P1979" i="9"/>
  <c r="O1979" i="9"/>
  <c r="N1979" i="9"/>
  <c r="M1979" i="9"/>
  <c r="L1979" i="9"/>
  <c r="K1979" i="9"/>
  <c r="J1979" i="9"/>
  <c r="Q1979" i="9"/>
  <c r="F1979" i="9"/>
  <c r="E1979" i="9"/>
  <c r="D1979" i="9"/>
  <c r="C1979" i="9"/>
  <c r="Q1978" i="9"/>
  <c r="P1978" i="9"/>
  <c r="O1978" i="9"/>
  <c r="N1978" i="9"/>
  <c r="M1978" i="9"/>
  <c r="L1978" i="9"/>
  <c r="K1978" i="9"/>
  <c r="J1978" i="9"/>
  <c r="F1978" i="9"/>
  <c r="E1978" i="9"/>
  <c r="D1978" i="9"/>
  <c r="C1978" i="9"/>
  <c r="P1977" i="9"/>
  <c r="O1977" i="9"/>
  <c r="N1977" i="9"/>
  <c r="M1977" i="9"/>
  <c r="L1977" i="9"/>
  <c r="K1977" i="9"/>
  <c r="J1977" i="9"/>
  <c r="Q1977" i="9"/>
  <c r="F1977" i="9"/>
  <c r="E1977" i="9"/>
  <c r="D1977" i="9"/>
  <c r="C1977" i="9"/>
  <c r="Q1976" i="9"/>
  <c r="P1976" i="9"/>
  <c r="O1976" i="9"/>
  <c r="N1976" i="9"/>
  <c r="M1976" i="9"/>
  <c r="L1976" i="9"/>
  <c r="K1976" i="9"/>
  <c r="J1976" i="9"/>
  <c r="F1976" i="9"/>
  <c r="E1976" i="9"/>
  <c r="D1976" i="9"/>
  <c r="C1976" i="9"/>
  <c r="Q1975" i="9"/>
  <c r="P1975" i="9"/>
  <c r="O1975" i="9"/>
  <c r="N1975" i="9"/>
  <c r="M1975" i="9"/>
  <c r="L1975" i="9"/>
  <c r="K1975" i="9"/>
  <c r="J1975" i="9"/>
  <c r="F1975" i="9"/>
  <c r="E1975" i="9"/>
  <c r="D1975" i="9"/>
  <c r="C1975" i="9"/>
  <c r="P1974" i="9"/>
  <c r="O1974" i="9"/>
  <c r="N1974" i="9"/>
  <c r="M1974" i="9"/>
  <c r="L1974" i="9"/>
  <c r="K1974" i="9"/>
  <c r="J1974" i="9"/>
  <c r="Q1974" i="9"/>
  <c r="F1974" i="9"/>
  <c r="E1974" i="9"/>
  <c r="D1974" i="9"/>
  <c r="C1974" i="9"/>
  <c r="Q1973" i="9"/>
  <c r="P1973" i="9"/>
  <c r="O1973" i="9"/>
  <c r="N1973" i="9"/>
  <c r="M1973" i="9"/>
  <c r="L1973" i="9"/>
  <c r="K1973" i="9"/>
  <c r="J1973" i="9"/>
  <c r="F1973" i="9"/>
  <c r="E1973" i="9"/>
  <c r="D1973" i="9"/>
  <c r="C1973" i="9"/>
  <c r="P1972" i="9"/>
  <c r="O1972" i="9"/>
  <c r="N1972" i="9"/>
  <c r="M1972" i="9"/>
  <c r="L1972" i="9"/>
  <c r="K1972" i="9"/>
  <c r="J1972" i="9"/>
  <c r="Q1972" i="9"/>
  <c r="F1972" i="9"/>
  <c r="E1972" i="9"/>
  <c r="D1972" i="9"/>
  <c r="C1972" i="9"/>
  <c r="Q1971" i="9"/>
  <c r="P1971" i="9"/>
  <c r="O1971" i="9"/>
  <c r="N1971" i="9"/>
  <c r="M1971" i="9"/>
  <c r="L1971" i="9"/>
  <c r="K1971" i="9"/>
  <c r="J1971" i="9"/>
  <c r="F1971" i="9"/>
  <c r="E1971" i="9"/>
  <c r="D1971" i="9"/>
  <c r="C1971" i="9"/>
  <c r="Q1970" i="9"/>
  <c r="P1970" i="9"/>
  <c r="O1970" i="9"/>
  <c r="N1970" i="9"/>
  <c r="M1970" i="9"/>
  <c r="L1970" i="9"/>
  <c r="K1970" i="9"/>
  <c r="J1970" i="9"/>
  <c r="F1970" i="9"/>
  <c r="E1970" i="9"/>
  <c r="D1970" i="9"/>
  <c r="C1970" i="9"/>
  <c r="P1969" i="9"/>
  <c r="O1969" i="9"/>
  <c r="N1969" i="9"/>
  <c r="M1969" i="9"/>
  <c r="L1969" i="9"/>
  <c r="K1969" i="9"/>
  <c r="J1969" i="9"/>
  <c r="Q1969" i="9"/>
  <c r="F1969" i="9"/>
  <c r="E1969" i="9"/>
  <c r="D1969" i="9"/>
  <c r="C1969" i="9"/>
  <c r="Q1968" i="9"/>
  <c r="P1968" i="9"/>
  <c r="O1968" i="9"/>
  <c r="N1968" i="9"/>
  <c r="M1968" i="9"/>
  <c r="L1968" i="9"/>
  <c r="K1968" i="9"/>
  <c r="J1968" i="9"/>
  <c r="F1968" i="9"/>
  <c r="E1968" i="9"/>
  <c r="D1968" i="9"/>
  <c r="C1968" i="9"/>
  <c r="P1967" i="9"/>
  <c r="O1967" i="9"/>
  <c r="N1967" i="9"/>
  <c r="M1967" i="9"/>
  <c r="L1967" i="9"/>
  <c r="K1967" i="9"/>
  <c r="J1967" i="9"/>
  <c r="Q1967" i="9"/>
  <c r="F1967" i="9"/>
  <c r="E1967" i="9"/>
  <c r="D1967" i="9"/>
  <c r="C1967" i="9"/>
  <c r="Q1966" i="9"/>
  <c r="P1966" i="9"/>
  <c r="O1966" i="9"/>
  <c r="N1966" i="9"/>
  <c r="M1966" i="9"/>
  <c r="L1966" i="9"/>
  <c r="K1966" i="9"/>
  <c r="J1966" i="9"/>
  <c r="F1966" i="9"/>
  <c r="E1966" i="9"/>
  <c r="D1966" i="9"/>
  <c r="C1966" i="9"/>
  <c r="P1965" i="9"/>
  <c r="O1965" i="9"/>
  <c r="N1965" i="9"/>
  <c r="M1965" i="9"/>
  <c r="L1965" i="9"/>
  <c r="K1965" i="9"/>
  <c r="J1965" i="9"/>
  <c r="Q1965" i="9"/>
  <c r="F1965" i="9"/>
  <c r="E1965" i="9"/>
  <c r="D1965" i="9"/>
  <c r="C1965" i="9"/>
  <c r="Q1964" i="9"/>
  <c r="P1964" i="9"/>
  <c r="O1964" i="9"/>
  <c r="N1964" i="9"/>
  <c r="M1964" i="9"/>
  <c r="L1964" i="9"/>
  <c r="K1964" i="9"/>
  <c r="J1964" i="9"/>
  <c r="F1964" i="9"/>
  <c r="E1964" i="9"/>
  <c r="D1964" i="9"/>
  <c r="C1964" i="9"/>
  <c r="P1963" i="9"/>
  <c r="O1963" i="9"/>
  <c r="N1963" i="9"/>
  <c r="M1963" i="9"/>
  <c r="L1963" i="9"/>
  <c r="K1963" i="9"/>
  <c r="J1963" i="9"/>
  <c r="Q1963" i="9"/>
  <c r="F1963" i="9"/>
  <c r="E1963" i="9"/>
  <c r="D1963" i="9"/>
  <c r="C1963" i="9"/>
  <c r="Q1962" i="9"/>
  <c r="P1962" i="9"/>
  <c r="O1962" i="9"/>
  <c r="N1962" i="9"/>
  <c r="M1962" i="9"/>
  <c r="L1962" i="9"/>
  <c r="K1962" i="9"/>
  <c r="J1962" i="9"/>
  <c r="F1962" i="9"/>
  <c r="E1962" i="9"/>
  <c r="D1962" i="9"/>
  <c r="C1962" i="9"/>
  <c r="P1961" i="9"/>
  <c r="O1961" i="9"/>
  <c r="N1961" i="9"/>
  <c r="M1961" i="9"/>
  <c r="L1961" i="9"/>
  <c r="K1961" i="9"/>
  <c r="J1961" i="9"/>
  <c r="Q1961" i="9"/>
  <c r="F1961" i="9"/>
  <c r="E1961" i="9"/>
  <c r="D1961" i="9"/>
  <c r="C1961" i="9"/>
  <c r="Q1960" i="9"/>
  <c r="P1960" i="9"/>
  <c r="O1960" i="9"/>
  <c r="N1960" i="9"/>
  <c r="M1960" i="9"/>
  <c r="L1960" i="9"/>
  <c r="K1960" i="9"/>
  <c r="J1960" i="9"/>
  <c r="F1960" i="9"/>
  <c r="E1960" i="9"/>
  <c r="D1960" i="9"/>
  <c r="C1960" i="9"/>
  <c r="P1959" i="9"/>
  <c r="O1959" i="9"/>
  <c r="N1959" i="9"/>
  <c r="M1959" i="9"/>
  <c r="L1959" i="9"/>
  <c r="K1959" i="9"/>
  <c r="J1959" i="9"/>
  <c r="Q1959" i="9"/>
  <c r="F1959" i="9"/>
  <c r="E1959" i="9"/>
  <c r="D1959" i="9"/>
  <c r="C1959" i="9"/>
  <c r="Q1958" i="9"/>
  <c r="P1958" i="9"/>
  <c r="O1958" i="9"/>
  <c r="N1958" i="9"/>
  <c r="M1958" i="9"/>
  <c r="L1958" i="9"/>
  <c r="K1958" i="9"/>
  <c r="J1958" i="9"/>
  <c r="F1958" i="9"/>
  <c r="E1958" i="9"/>
  <c r="D1958" i="9"/>
  <c r="C1958" i="9"/>
  <c r="Q1957" i="9"/>
  <c r="P1957" i="9"/>
  <c r="O1957" i="9"/>
  <c r="N1957" i="9"/>
  <c r="M1957" i="9"/>
  <c r="L1957" i="9"/>
  <c r="K1957" i="9"/>
  <c r="J1957" i="9"/>
  <c r="F1957" i="9"/>
  <c r="E1957" i="9"/>
  <c r="D1957" i="9"/>
  <c r="C1957" i="9"/>
  <c r="P1956" i="9"/>
  <c r="O1956" i="9"/>
  <c r="N1956" i="9"/>
  <c r="M1956" i="9"/>
  <c r="L1956" i="9"/>
  <c r="K1956" i="9"/>
  <c r="J1956" i="9"/>
  <c r="Q1956" i="9"/>
  <c r="F1956" i="9"/>
  <c r="E1956" i="9"/>
  <c r="D1956" i="9"/>
  <c r="C1956" i="9"/>
  <c r="P1955" i="9"/>
  <c r="O1955" i="9"/>
  <c r="N1955" i="9"/>
  <c r="M1955" i="9"/>
  <c r="L1955" i="9"/>
  <c r="K1955" i="9"/>
  <c r="J1955" i="9"/>
  <c r="Q1955" i="9"/>
  <c r="F1955" i="9"/>
  <c r="E1955" i="9"/>
  <c r="D1955" i="9"/>
  <c r="C1955" i="9"/>
  <c r="Q1954" i="9"/>
  <c r="P1954" i="9"/>
  <c r="O1954" i="9"/>
  <c r="N1954" i="9"/>
  <c r="M1954" i="9"/>
  <c r="L1954" i="9"/>
  <c r="K1954" i="9"/>
  <c r="J1954" i="9"/>
  <c r="F1954" i="9"/>
  <c r="E1954" i="9"/>
  <c r="D1954" i="9"/>
  <c r="C1954" i="9"/>
  <c r="P1953" i="9"/>
  <c r="O1953" i="9"/>
  <c r="N1953" i="9"/>
  <c r="M1953" i="9"/>
  <c r="L1953" i="9"/>
  <c r="K1953" i="9"/>
  <c r="J1953" i="9"/>
  <c r="Q1953" i="9"/>
  <c r="F1953" i="9"/>
  <c r="E1953" i="9"/>
  <c r="D1953" i="9"/>
  <c r="C1953" i="9"/>
  <c r="Q1952" i="9"/>
  <c r="P1952" i="9"/>
  <c r="O1952" i="9"/>
  <c r="N1952" i="9"/>
  <c r="M1952" i="9"/>
  <c r="L1952" i="9"/>
  <c r="K1952" i="9"/>
  <c r="J1952" i="9"/>
  <c r="F1952" i="9"/>
  <c r="E1952" i="9"/>
  <c r="D1952" i="9"/>
  <c r="C1952" i="9"/>
  <c r="Q1951" i="9"/>
  <c r="P1951" i="9"/>
  <c r="O1951" i="9"/>
  <c r="N1951" i="9"/>
  <c r="M1951" i="9"/>
  <c r="L1951" i="9"/>
  <c r="K1951" i="9"/>
  <c r="J1951" i="9"/>
  <c r="F1951" i="9"/>
  <c r="E1951" i="9"/>
  <c r="D1951" i="9"/>
  <c r="C1951" i="9"/>
  <c r="P1950" i="9"/>
  <c r="O1950" i="9"/>
  <c r="N1950" i="9"/>
  <c r="M1950" i="9"/>
  <c r="L1950" i="9"/>
  <c r="K1950" i="9"/>
  <c r="J1950" i="9"/>
  <c r="Q1950" i="9"/>
  <c r="F1950" i="9"/>
  <c r="E1950" i="9"/>
  <c r="D1950" i="9"/>
  <c r="C1950" i="9"/>
  <c r="P1949" i="9"/>
  <c r="O1949" i="9"/>
  <c r="N1949" i="9"/>
  <c r="M1949" i="9"/>
  <c r="L1949" i="9"/>
  <c r="K1949" i="9"/>
  <c r="J1949" i="9"/>
  <c r="Q1949" i="9"/>
  <c r="F1949" i="9"/>
  <c r="E1949" i="9"/>
  <c r="D1949" i="9"/>
  <c r="C1949" i="9"/>
  <c r="Q1948" i="9"/>
  <c r="P1948" i="9"/>
  <c r="O1948" i="9"/>
  <c r="N1948" i="9"/>
  <c r="M1948" i="9"/>
  <c r="L1948" i="9"/>
  <c r="F1948" i="9"/>
  <c r="C1948" i="9"/>
  <c r="D1948" i="9"/>
  <c r="E1948" i="9"/>
  <c r="J1948" i="9"/>
  <c r="E1947" i="9"/>
  <c r="C1947" i="9"/>
  <c r="O1947" i="9"/>
  <c r="Q1947" i="9"/>
  <c r="N1947" i="9"/>
  <c r="P1947" i="9"/>
  <c r="D1947" i="9"/>
  <c r="M1947" i="9"/>
  <c r="L1947" i="9"/>
  <c r="K1947" i="9"/>
  <c r="J1947" i="9"/>
  <c r="F1947" i="9"/>
  <c r="Q1946" i="9"/>
  <c r="P1946" i="9"/>
  <c r="O1946" i="9"/>
  <c r="N1946" i="9"/>
  <c r="M1946" i="9"/>
  <c r="L1946" i="9"/>
  <c r="F1946" i="9"/>
  <c r="E1946" i="9"/>
  <c r="D1946" i="9"/>
  <c r="C1946" i="9"/>
  <c r="J1946" i="9"/>
  <c r="K1946" i="9"/>
  <c r="P1945" i="9"/>
  <c r="O1945" i="9"/>
  <c r="M1945" i="9"/>
  <c r="C1945" i="9"/>
  <c r="E1945" i="9"/>
  <c r="Q1945" i="9"/>
  <c r="L1945" i="9"/>
  <c r="K1945" i="9"/>
  <c r="J1945" i="9"/>
  <c r="F1945" i="9"/>
  <c r="D1945" i="9"/>
  <c r="N1945" i="9"/>
  <c r="Q1944" i="9"/>
  <c r="O1944" i="9"/>
  <c r="L1944" i="9"/>
  <c r="J1944" i="9"/>
  <c r="N1944" i="9"/>
  <c r="P1944" i="9"/>
  <c r="K1944" i="9"/>
  <c r="C1944" i="9"/>
  <c r="D1944" i="9"/>
  <c r="E1944" i="9"/>
  <c r="F1944" i="9"/>
  <c r="M1944" i="9"/>
  <c r="P1943" i="9"/>
  <c r="N1943" i="9"/>
  <c r="Q1943" i="9"/>
  <c r="L1943" i="9"/>
  <c r="J1943" i="9"/>
  <c r="F1943" i="9"/>
  <c r="E1943" i="9"/>
  <c r="D1943" i="9"/>
  <c r="C1943" i="9"/>
  <c r="K1943" i="9"/>
  <c r="M1943" i="9"/>
  <c r="O1943" i="9"/>
  <c r="P1942" i="9"/>
  <c r="M1942" i="9"/>
  <c r="J1942" i="9"/>
  <c r="F1942" i="9"/>
  <c r="E1942" i="9"/>
  <c r="D1942" i="9"/>
  <c r="O1942" i="9"/>
  <c r="C1942" i="9"/>
  <c r="K1942" i="9"/>
  <c r="L1942" i="9"/>
  <c r="N1942" i="9"/>
  <c r="Q1942" i="9"/>
  <c r="E1941" i="9"/>
  <c r="C1941" i="9"/>
  <c r="D1941" i="9"/>
  <c r="F1941" i="9"/>
  <c r="K1941" i="9"/>
  <c r="L1941" i="9"/>
  <c r="N1941" i="9"/>
  <c r="Q1941" i="9"/>
  <c r="P1941" i="9"/>
  <c r="O1941" i="9"/>
  <c r="M1941" i="9"/>
  <c r="J1941" i="9"/>
  <c r="D1940" i="9"/>
  <c r="C1940" i="9"/>
  <c r="F1940" i="9"/>
  <c r="J1940" i="9"/>
  <c r="N1940" i="9"/>
  <c r="E1940" i="9"/>
  <c r="L1940" i="9"/>
  <c r="O1940" i="9"/>
  <c r="Q1940" i="9"/>
  <c r="M1940" i="9"/>
  <c r="P1940" i="9"/>
  <c r="K1940" i="9"/>
  <c r="F1939" i="9"/>
  <c r="D1939" i="9"/>
  <c r="J1939" i="9"/>
  <c r="N1939" i="9"/>
  <c r="C1939" i="9"/>
  <c r="P1939" i="9"/>
  <c r="L1939" i="9"/>
  <c r="K1939" i="9"/>
  <c r="M1939" i="9"/>
  <c r="O1939" i="9"/>
  <c r="Q1939" i="9"/>
  <c r="E1939" i="9"/>
  <c r="L1938" i="9"/>
  <c r="J1938" i="9"/>
  <c r="E1938" i="9"/>
  <c r="D1938" i="9"/>
  <c r="F1938" i="9"/>
  <c r="C1938" i="9"/>
  <c r="P1938" i="9"/>
  <c r="M1938" i="9"/>
  <c r="K1938" i="9"/>
  <c r="Q1938" i="9"/>
  <c r="O1938" i="9"/>
  <c r="N1938" i="9"/>
  <c r="C1937" i="9"/>
  <c r="D1937" i="9"/>
  <c r="E1937" i="9"/>
  <c r="F1937" i="9"/>
  <c r="M1937" i="9"/>
  <c r="P1937" i="9"/>
  <c r="J1937" i="9"/>
  <c r="K1937" i="9"/>
  <c r="L1937" i="9"/>
  <c r="Q1937" i="9"/>
  <c r="N1937" i="9"/>
  <c r="O1937" i="9"/>
  <c r="N1936" i="9"/>
  <c r="D1936" i="9"/>
  <c r="C1936" i="9"/>
  <c r="E1936" i="9"/>
  <c r="F1936" i="9"/>
  <c r="J1936" i="9"/>
  <c r="K1936" i="9"/>
  <c r="L1936" i="9"/>
  <c r="M1936" i="9"/>
  <c r="O1936" i="9"/>
  <c r="P1936" i="9"/>
  <c r="Q1936" i="9"/>
  <c r="Q1935" i="9"/>
  <c r="P1935" i="9"/>
  <c r="M1935" i="9"/>
  <c r="N1935" i="9"/>
  <c r="L1935" i="9"/>
  <c r="K1935" i="9"/>
  <c r="J1935" i="9"/>
  <c r="D1935" i="9"/>
  <c r="C1935" i="9"/>
  <c r="E1935" i="9"/>
  <c r="O1935" i="9"/>
  <c r="F1935" i="9"/>
  <c r="Q1934" i="9"/>
  <c r="F1934" i="9"/>
  <c r="O1934" i="9"/>
  <c r="P1934" i="9"/>
  <c r="D1934" i="9"/>
  <c r="L1934" i="9"/>
  <c r="E1934" i="9"/>
  <c r="J1934" i="9"/>
  <c r="K1934" i="9"/>
  <c r="M1934" i="9"/>
  <c r="N1934" i="9"/>
  <c r="C1934" i="9"/>
  <c r="D1933" i="9"/>
  <c r="Q1933" i="9"/>
  <c r="P1933" i="9"/>
  <c r="O1933" i="9"/>
  <c r="N1933" i="9"/>
  <c r="M1933" i="9"/>
  <c r="L1933" i="9"/>
  <c r="K1933" i="9"/>
  <c r="J1933" i="9"/>
  <c r="C1933" i="9"/>
  <c r="F1933" i="9"/>
  <c r="E1933" i="9"/>
  <c r="O1932" i="9"/>
  <c r="P1932" i="9"/>
  <c r="Q1932" i="9"/>
  <c r="J1932" i="9"/>
  <c r="C1932" i="9"/>
  <c r="D1932" i="9"/>
  <c r="E1932" i="9"/>
  <c r="F1932" i="9"/>
  <c r="K1932" i="9"/>
  <c r="L1932" i="9"/>
  <c r="M1932" i="9"/>
  <c r="N1932" i="9"/>
  <c r="Q1931" i="9"/>
  <c r="P1931" i="9"/>
  <c r="O1931" i="9"/>
  <c r="N1931" i="9"/>
  <c r="L1931" i="9"/>
  <c r="K1931" i="9"/>
  <c r="J1931" i="9"/>
  <c r="F1931" i="9"/>
  <c r="E1931" i="9"/>
  <c r="D1931" i="9"/>
  <c r="C1931" i="9"/>
  <c r="M1931" i="9"/>
  <c r="Q1930" i="9"/>
  <c r="P1930" i="9"/>
  <c r="O1930" i="9"/>
  <c r="N1930" i="9"/>
  <c r="M1930" i="9"/>
  <c r="L1930" i="9"/>
  <c r="J1930" i="9"/>
  <c r="K1930" i="9"/>
  <c r="F1930" i="9"/>
  <c r="D1930" i="9"/>
  <c r="C1930" i="9"/>
  <c r="E1930" i="9"/>
  <c r="Q1929" i="9"/>
  <c r="C1929" i="9"/>
  <c r="D1929" i="9"/>
  <c r="E1929" i="9"/>
  <c r="F1929" i="9"/>
  <c r="J1929" i="9"/>
  <c r="K1929" i="9"/>
  <c r="L1929" i="9"/>
  <c r="M1929" i="9"/>
  <c r="N1929" i="9"/>
  <c r="O1929" i="9"/>
  <c r="P1929" i="9"/>
  <c r="E1928" i="9"/>
  <c r="C1928" i="9"/>
  <c r="P1928" i="9"/>
  <c r="O1928" i="9"/>
  <c r="Q1928" i="9"/>
  <c r="N1928" i="9"/>
  <c r="D1928" i="9"/>
  <c r="M1928" i="9"/>
  <c r="L1928" i="9"/>
  <c r="K1928" i="9"/>
  <c r="J1928" i="9"/>
  <c r="F1928" i="9"/>
  <c r="E1927" i="9"/>
  <c r="F1927" i="9"/>
  <c r="J1927" i="9"/>
  <c r="D1927" i="9"/>
  <c r="K1927" i="9"/>
  <c r="M1927" i="9"/>
  <c r="N1927" i="9"/>
  <c r="O1927" i="9"/>
  <c r="P1927" i="9"/>
  <c r="Q1927" i="9"/>
  <c r="C1927" i="9"/>
  <c r="L1927" i="9"/>
  <c r="L1926" i="9"/>
  <c r="E1926" i="9"/>
  <c r="P1926" i="9"/>
  <c r="Q1926" i="9"/>
  <c r="O1926" i="9"/>
  <c r="N1926" i="9"/>
  <c r="K1926" i="9"/>
  <c r="D1926" i="9"/>
  <c r="C1926" i="9"/>
  <c r="J1926" i="9"/>
  <c r="F1926" i="9"/>
  <c r="M1926" i="9"/>
  <c r="D1925" i="9"/>
  <c r="F1925" i="9"/>
  <c r="J1925" i="9"/>
  <c r="L1925" i="9"/>
  <c r="N1925" i="9"/>
  <c r="P1925" i="9"/>
  <c r="O1925" i="9"/>
  <c r="M1925" i="9"/>
  <c r="K1925" i="9"/>
  <c r="E1925" i="9"/>
  <c r="C1925" i="9"/>
  <c r="Q1925" i="9"/>
  <c r="O1924" i="9"/>
  <c r="M1924" i="9"/>
  <c r="C1924" i="9"/>
  <c r="J1924" i="9"/>
  <c r="F1924" i="9"/>
  <c r="D1924" i="9"/>
  <c r="N1924" i="9"/>
  <c r="L1924" i="9"/>
  <c r="K1924" i="9"/>
  <c r="E1924" i="9"/>
  <c r="Q1924" i="9"/>
  <c r="P1924" i="9"/>
  <c r="P1923" i="9"/>
  <c r="O1923" i="9"/>
  <c r="M1923" i="9"/>
  <c r="K1923" i="9"/>
  <c r="J1923" i="9"/>
  <c r="Q1923" i="9"/>
  <c r="N1923" i="9"/>
  <c r="L1923" i="9"/>
  <c r="C1923" i="9"/>
  <c r="D1923" i="9"/>
  <c r="E1923" i="9"/>
  <c r="F1923" i="9"/>
  <c r="F1922" i="9"/>
  <c r="E1922" i="9"/>
  <c r="C1922" i="9"/>
  <c r="M1922" i="9"/>
  <c r="Q1922" i="9"/>
  <c r="K1922" i="9"/>
  <c r="J1922" i="9"/>
  <c r="D1922" i="9"/>
  <c r="N1922" i="9"/>
  <c r="L1922" i="9"/>
  <c r="P1922" i="9"/>
  <c r="O1922" i="9"/>
  <c r="N1921" i="9"/>
  <c r="L1921" i="9"/>
  <c r="F1921" i="9"/>
  <c r="E1921" i="9"/>
  <c r="O1921" i="9"/>
  <c r="M1921" i="9"/>
  <c r="K1921" i="9"/>
  <c r="J1921" i="9"/>
  <c r="D1921" i="9"/>
  <c r="C1921" i="9"/>
  <c r="P1921" i="9"/>
  <c r="Q1921" i="9"/>
  <c r="P1920" i="9"/>
  <c r="N1920" i="9"/>
  <c r="L1920" i="9"/>
  <c r="J1920" i="9"/>
  <c r="E1920" i="9"/>
  <c r="F1920" i="9"/>
  <c r="Q1920" i="9"/>
  <c r="K1920" i="9"/>
  <c r="O1920" i="9"/>
  <c r="M1920" i="9"/>
  <c r="D1920" i="9"/>
  <c r="C1920" i="9"/>
  <c r="E1919" i="9"/>
  <c r="N1919" i="9"/>
  <c r="M1919" i="9"/>
  <c r="Q1919" i="9"/>
  <c r="J1919" i="9"/>
  <c r="P1919" i="9"/>
  <c r="O1919" i="9"/>
  <c r="L1919" i="9"/>
  <c r="K1919" i="9"/>
  <c r="C1919" i="9"/>
  <c r="D1919" i="9"/>
  <c r="F1919" i="9"/>
  <c r="N1918" i="9"/>
  <c r="P1918" i="9"/>
  <c r="Q1918" i="9"/>
  <c r="K1918" i="9"/>
  <c r="D1918" i="9"/>
  <c r="M1918" i="9"/>
  <c r="O1918" i="9"/>
  <c r="C1918" i="9"/>
  <c r="E1918" i="9"/>
  <c r="F1918" i="9"/>
  <c r="J1918" i="9"/>
  <c r="L1918" i="9"/>
  <c r="C1917" i="9"/>
  <c r="K1917" i="9"/>
  <c r="P1917" i="9"/>
  <c r="O1917" i="9"/>
  <c r="N1917" i="9"/>
  <c r="E1917" i="9"/>
  <c r="M1917" i="9"/>
  <c r="D1917" i="9"/>
  <c r="F1917" i="9"/>
  <c r="J1917" i="9"/>
  <c r="L1917" i="9"/>
  <c r="Q1917" i="9"/>
  <c r="D1916" i="9"/>
  <c r="C1916" i="9"/>
  <c r="E1916" i="9"/>
  <c r="K1916" i="9"/>
  <c r="L1916" i="9"/>
  <c r="N1916" i="9"/>
  <c r="Q1916" i="9"/>
  <c r="F1916" i="9"/>
  <c r="J1916" i="9"/>
  <c r="M1916" i="9"/>
  <c r="O1916" i="9"/>
  <c r="P1916" i="9"/>
  <c r="F1915" i="9"/>
  <c r="D1915" i="9"/>
  <c r="E1915" i="9"/>
  <c r="L1915" i="9"/>
  <c r="J1915" i="9"/>
  <c r="Q1915" i="9"/>
  <c r="P1915" i="9"/>
  <c r="M1915" i="9"/>
  <c r="K1915" i="9"/>
  <c r="O1915" i="9"/>
  <c r="C1915" i="9"/>
  <c r="N1915" i="9"/>
  <c r="P1914" i="9"/>
  <c r="O1914" i="9"/>
  <c r="C1914" i="9"/>
  <c r="E1914" i="9"/>
  <c r="J1914" i="9"/>
  <c r="L1914" i="9"/>
  <c r="M1914" i="9"/>
  <c r="K1914" i="9"/>
  <c r="F1914" i="9"/>
  <c r="D1914" i="9"/>
  <c r="N1914" i="9"/>
  <c r="Q1914" i="9"/>
  <c r="C1913" i="9"/>
  <c r="F1913" i="9"/>
  <c r="M1913" i="9"/>
  <c r="P1913" i="9"/>
  <c r="J1913" i="9"/>
  <c r="D1913" i="9"/>
  <c r="K1913" i="9"/>
  <c r="L1913" i="9"/>
  <c r="N1913" i="9"/>
  <c r="O1913" i="9"/>
  <c r="Q1913" i="9"/>
  <c r="E1913" i="9"/>
  <c r="M1912" i="9"/>
  <c r="P1912" i="9"/>
  <c r="K1912" i="9"/>
  <c r="O1912" i="9"/>
  <c r="F1912" i="9"/>
  <c r="Q1912" i="9"/>
  <c r="E1912" i="9"/>
  <c r="N1912" i="9"/>
  <c r="C1912" i="9"/>
  <c r="D1912" i="9"/>
  <c r="J1912" i="9"/>
  <c r="L1912" i="9"/>
  <c r="F1911" i="9"/>
  <c r="J1911" i="9"/>
  <c r="L1911" i="9"/>
  <c r="N1911" i="9"/>
  <c r="Q1911" i="9"/>
  <c r="D1911" i="9"/>
  <c r="C1911" i="9"/>
  <c r="K1911" i="9"/>
  <c r="M1911" i="9"/>
  <c r="O1911" i="9"/>
  <c r="P1911" i="9"/>
  <c r="E1911" i="9"/>
  <c r="M1910" i="9"/>
  <c r="P1910" i="9"/>
  <c r="E1910" i="9"/>
  <c r="F1910" i="9"/>
  <c r="J1910" i="9"/>
  <c r="Q1910" i="9"/>
  <c r="N1910" i="9"/>
  <c r="D1910" i="9"/>
  <c r="K1910" i="9"/>
  <c r="L1910" i="9"/>
  <c r="O1910" i="9"/>
  <c r="C1910" i="9"/>
  <c r="N1909" i="9"/>
  <c r="Q1909" i="9"/>
  <c r="P1909" i="9"/>
  <c r="O1909" i="9"/>
  <c r="M1909" i="9"/>
  <c r="J1909" i="9"/>
  <c r="K1909" i="9"/>
  <c r="F1909" i="9"/>
  <c r="E1909" i="9"/>
  <c r="D1909" i="9"/>
  <c r="C1909" i="9"/>
  <c r="F1908" i="9"/>
  <c r="M1908" i="9"/>
  <c r="N1908" i="9"/>
  <c r="O1908" i="9"/>
  <c r="L1908" i="9"/>
  <c r="J1908" i="9"/>
  <c r="K1908" i="9"/>
  <c r="P1908" i="9"/>
  <c r="Q1908" i="9"/>
  <c r="C1908" i="9"/>
  <c r="D1908" i="9"/>
  <c r="E1908" i="9"/>
  <c r="P1907" i="9"/>
  <c r="O1907" i="9"/>
  <c r="N1907" i="9"/>
  <c r="K1907" i="9"/>
  <c r="L1907" i="9"/>
  <c r="J1907" i="9"/>
  <c r="F1907" i="9"/>
  <c r="D1907" i="9"/>
  <c r="C1907" i="9"/>
  <c r="Q1907" i="9"/>
  <c r="M1907" i="9"/>
  <c r="E1907" i="9"/>
  <c r="P1906" i="9"/>
  <c r="O1906" i="9"/>
  <c r="N1906" i="9"/>
  <c r="M1906" i="9"/>
  <c r="L1906" i="9"/>
  <c r="K1906" i="9"/>
  <c r="J1906" i="9"/>
  <c r="Q1906" i="9"/>
  <c r="D1906" i="9"/>
  <c r="C1906" i="9"/>
  <c r="E1906" i="9"/>
  <c r="F1906" i="9"/>
  <c r="C1905" i="9"/>
  <c r="F1905" i="9"/>
  <c r="N1905" i="9"/>
  <c r="D1905" i="9"/>
  <c r="M1905" i="9"/>
  <c r="K1905" i="9"/>
  <c r="E1905" i="9"/>
  <c r="P1905" i="9"/>
  <c r="O1905" i="9"/>
  <c r="Q1905" i="9"/>
  <c r="L1905" i="9"/>
  <c r="J1905" i="9"/>
  <c r="L1904" i="9"/>
  <c r="F1904" i="9"/>
  <c r="E1904" i="9"/>
  <c r="P1904" i="9"/>
  <c r="O1904" i="9"/>
  <c r="Q1904" i="9"/>
  <c r="N1904" i="9"/>
  <c r="M1904" i="9"/>
  <c r="J1904" i="9"/>
  <c r="D1904" i="9"/>
  <c r="C1904" i="9"/>
  <c r="K1904" i="9"/>
  <c r="N1903" i="9"/>
  <c r="Q1903" i="9"/>
  <c r="O1903" i="9"/>
  <c r="M1903" i="9"/>
  <c r="K1903" i="9"/>
  <c r="J1903" i="9"/>
  <c r="P1903" i="9"/>
  <c r="L1903" i="9"/>
  <c r="F1903" i="9"/>
  <c r="D1903" i="9"/>
  <c r="E1903" i="9"/>
  <c r="C1903" i="9"/>
  <c r="M1902" i="9"/>
  <c r="F1902" i="9"/>
  <c r="O1902" i="9"/>
  <c r="E1902" i="9"/>
  <c r="Q1902" i="9"/>
  <c r="P1902" i="9"/>
  <c r="N1902" i="9"/>
  <c r="K1902" i="9"/>
  <c r="L1902" i="9"/>
  <c r="C1902" i="9"/>
  <c r="J1902" i="9"/>
  <c r="D1902" i="9"/>
  <c r="Q1901" i="9"/>
  <c r="O1901" i="9"/>
  <c r="M1901" i="9"/>
  <c r="K1901" i="9"/>
  <c r="D1901" i="9"/>
  <c r="F1901" i="9"/>
  <c r="E1901" i="9"/>
  <c r="P1901" i="9"/>
  <c r="N1901" i="9"/>
  <c r="J1901" i="9"/>
  <c r="L1901" i="9"/>
  <c r="C1901" i="9"/>
  <c r="D1900" i="9"/>
  <c r="C1900" i="9"/>
  <c r="P1900" i="9"/>
  <c r="K1900" i="9"/>
  <c r="L1900" i="9"/>
  <c r="O1900" i="9"/>
  <c r="Q1900" i="9"/>
  <c r="N1900" i="9"/>
  <c r="M1900" i="9"/>
  <c r="J1900" i="9"/>
  <c r="F1900" i="9"/>
  <c r="E1900" i="9"/>
  <c r="D1899" i="9"/>
  <c r="K1899" i="9"/>
  <c r="E1899" i="9"/>
  <c r="F1899" i="9"/>
  <c r="J1899" i="9"/>
  <c r="N1899" i="9"/>
  <c r="L1899" i="9"/>
  <c r="M1899" i="9"/>
  <c r="O1899" i="9"/>
  <c r="Q1899" i="9"/>
  <c r="P1899" i="9"/>
  <c r="C1899" i="9"/>
  <c r="K1898" i="9"/>
  <c r="D1898" i="9"/>
  <c r="J1898" i="9"/>
  <c r="L1898" i="9"/>
  <c r="M1898" i="9"/>
  <c r="E1898" i="9"/>
  <c r="F1898" i="9"/>
  <c r="O1898" i="9"/>
  <c r="N1898" i="9"/>
  <c r="P1898" i="9"/>
  <c r="C1898" i="9"/>
  <c r="Q1898" i="9"/>
  <c r="K1897" i="9"/>
  <c r="L1897" i="9"/>
  <c r="O1897" i="9"/>
  <c r="Q1897" i="9"/>
  <c r="N1897" i="9"/>
  <c r="P1897" i="9"/>
  <c r="D1897" i="9"/>
  <c r="M1897" i="9"/>
  <c r="E1897" i="9"/>
  <c r="C1897" i="9"/>
  <c r="F1897" i="9"/>
  <c r="J1897" i="9"/>
  <c r="F1896" i="9"/>
  <c r="O1896" i="9"/>
  <c r="L1896" i="9"/>
  <c r="J1896" i="9"/>
  <c r="D1896" i="9"/>
  <c r="Q1896" i="9"/>
  <c r="P1896" i="9"/>
  <c r="N1896" i="9"/>
  <c r="M1896" i="9"/>
  <c r="K1896" i="9"/>
  <c r="E1896" i="9"/>
  <c r="C1896" i="9"/>
  <c r="K1895" i="9"/>
  <c r="M1895" i="9"/>
  <c r="O1895" i="9"/>
  <c r="Q1895" i="9"/>
  <c r="F1895" i="9"/>
  <c r="C1895" i="9"/>
  <c r="P1895" i="9"/>
  <c r="E1895" i="9"/>
  <c r="N1895" i="9"/>
  <c r="L1895" i="9"/>
  <c r="J1895" i="9"/>
  <c r="D1895" i="9"/>
  <c r="N1894" i="9"/>
  <c r="L1894" i="9"/>
  <c r="J1894" i="9"/>
  <c r="E1894" i="9"/>
  <c r="C1894" i="9"/>
  <c r="Q1894" i="9"/>
  <c r="P1894" i="9"/>
  <c r="O1894" i="9"/>
  <c r="M1894" i="9"/>
  <c r="K1894" i="9"/>
  <c r="F1894" i="9"/>
  <c r="D1894" i="9"/>
  <c r="D1893" i="9"/>
  <c r="C1893" i="9"/>
  <c r="F1893" i="9"/>
  <c r="J1893" i="9"/>
  <c r="L1893" i="9"/>
  <c r="O1893" i="9"/>
  <c r="Q1893" i="9"/>
  <c r="P1893" i="9"/>
  <c r="N1893" i="9"/>
  <c r="M1893" i="9"/>
  <c r="K1893" i="9"/>
  <c r="E1893" i="9"/>
  <c r="P1892" i="9"/>
  <c r="C1892" i="9"/>
  <c r="K1892" i="9"/>
  <c r="F1892" i="9"/>
  <c r="E1892" i="9"/>
  <c r="Q1892" i="9"/>
  <c r="N1892" i="9"/>
  <c r="L1892" i="9"/>
  <c r="O1892" i="9"/>
  <c r="M1892" i="9"/>
  <c r="J1892" i="9"/>
  <c r="D1892" i="9"/>
  <c r="P1891" i="9"/>
  <c r="N1891" i="9"/>
  <c r="M1891" i="9"/>
  <c r="J1891" i="9"/>
  <c r="D1891" i="9"/>
  <c r="Q1891" i="9"/>
  <c r="O1891" i="9"/>
  <c r="L1891" i="9"/>
  <c r="K1891" i="9"/>
  <c r="F1891" i="9"/>
  <c r="E1891" i="9"/>
  <c r="C1891" i="9"/>
  <c r="E1890" i="9"/>
  <c r="J1890" i="9"/>
  <c r="L1890" i="9"/>
  <c r="Q1890" i="9"/>
  <c r="N1890" i="9"/>
  <c r="C1890" i="9"/>
  <c r="P1890" i="9"/>
  <c r="O1890" i="9"/>
  <c r="M1890" i="9"/>
  <c r="K1890" i="9"/>
  <c r="D1890" i="9"/>
  <c r="F1890" i="9"/>
  <c r="M1889" i="9"/>
  <c r="K1889" i="9"/>
  <c r="D1889" i="9"/>
  <c r="C1889" i="9"/>
  <c r="E1889" i="9"/>
  <c r="Q1889" i="9"/>
  <c r="P1889" i="9"/>
  <c r="O1889" i="9"/>
  <c r="N1889" i="9"/>
  <c r="L1889" i="9"/>
  <c r="J1889" i="9"/>
  <c r="F1889" i="9"/>
  <c r="F1888" i="9"/>
  <c r="N1888" i="9"/>
  <c r="Q1888" i="9"/>
  <c r="O1888" i="9"/>
  <c r="L1888" i="9"/>
  <c r="J1888" i="9"/>
  <c r="E1888" i="9"/>
  <c r="C1888" i="9"/>
  <c r="P1888" i="9"/>
  <c r="D1888" i="9"/>
  <c r="M1888" i="9"/>
  <c r="K1888" i="9"/>
  <c r="M1887" i="9"/>
  <c r="J1887" i="9"/>
  <c r="F1887" i="9"/>
  <c r="D1887" i="9"/>
  <c r="C1887" i="9"/>
  <c r="E1887" i="9"/>
  <c r="P1887" i="9"/>
  <c r="N1887" i="9"/>
  <c r="Q1887" i="9"/>
  <c r="O1887" i="9"/>
  <c r="L1887" i="9"/>
  <c r="K1887" i="9"/>
  <c r="Q1886" i="9"/>
  <c r="J1886" i="9"/>
  <c r="K1886" i="9"/>
  <c r="N1886" i="9"/>
  <c r="L1886" i="9"/>
  <c r="D1886" i="9"/>
  <c r="F1886" i="9"/>
  <c r="E1886" i="9"/>
  <c r="C1886" i="9"/>
  <c r="P1886" i="9"/>
  <c r="M1886" i="9"/>
  <c r="O1886" i="9"/>
  <c r="C1885" i="9"/>
  <c r="J1885" i="9"/>
  <c r="P1885" i="9"/>
  <c r="O1885" i="9"/>
  <c r="L1885" i="9"/>
  <c r="K1885" i="9"/>
  <c r="F1885" i="9"/>
  <c r="E1885" i="9"/>
  <c r="D1885" i="9"/>
  <c r="M1885" i="9"/>
  <c r="N1885" i="9"/>
  <c r="Q1885" i="9"/>
  <c r="P1884" i="9"/>
  <c r="O1884" i="9"/>
  <c r="N1884" i="9"/>
  <c r="L1884" i="9"/>
  <c r="J1884" i="9"/>
  <c r="F1884" i="9"/>
  <c r="E1884" i="9"/>
  <c r="C1884" i="9"/>
  <c r="K1884" i="9"/>
  <c r="M1884" i="9"/>
  <c r="Q1884" i="9"/>
  <c r="D1884" i="9"/>
  <c r="F1883" i="9"/>
  <c r="E1883" i="9"/>
  <c r="D1883" i="9"/>
  <c r="C1883" i="9"/>
  <c r="P1883" i="9"/>
  <c r="O1883" i="9"/>
  <c r="Q1883" i="9"/>
  <c r="N1883" i="9"/>
  <c r="M1883" i="9"/>
  <c r="K1883" i="9"/>
  <c r="L1883" i="9"/>
  <c r="J1883" i="9"/>
  <c r="K1882" i="9"/>
  <c r="P1882" i="9"/>
  <c r="M1882" i="9"/>
  <c r="Q1882" i="9"/>
  <c r="E1882" i="9"/>
  <c r="D1882" i="9"/>
  <c r="C1882" i="9"/>
  <c r="L1882" i="9"/>
  <c r="N1882" i="9"/>
  <c r="O1882" i="9"/>
  <c r="F1882" i="9"/>
  <c r="J1882" i="9"/>
  <c r="L1881" i="9"/>
  <c r="K1881" i="9"/>
  <c r="J1881" i="9"/>
  <c r="E1881" i="9"/>
  <c r="P1881" i="9"/>
  <c r="M1881" i="9"/>
  <c r="N1881" i="9"/>
  <c r="O1881" i="9"/>
  <c r="F1881" i="9"/>
  <c r="D1881" i="9"/>
  <c r="C1881" i="9"/>
  <c r="Q1881" i="9"/>
  <c r="N1880" i="9"/>
  <c r="M1880" i="9"/>
  <c r="K1880" i="9"/>
  <c r="J1880" i="9"/>
  <c r="E1880" i="9"/>
  <c r="C1880" i="9"/>
  <c r="Q1880" i="9"/>
  <c r="O1880" i="9"/>
  <c r="L1880" i="9"/>
  <c r="F1880" i="9"/>
  <c r="D1880" i="9"/>
  <c r="P1880" i="9"/>
  <c r="C1879" i="9"/>
  <c r="E1879" i="9"/>
  <c r="F1879" i="9"/>
  <c r="J1879" i="9"/>
  <c r="O1879" i="9"/>
  <c r="P1879" i="9"/>
  <c r="Q1879" i="9"/>
  <c r="N1879" i="9"/>
  <c r="M1879" i="9"/>
  <c r="K1879" i="9"/>
  <c r="L1879" i="9"/>
  <c r="D1879" i="9"/>
  <c r="D1878" i="9"/>
  <c r="P1878" i="9"/>
  <c r="N1878" i="9"/>
  <c r="L1878" i="9"/>
  <c r="F1878" i="9"/>
  <c r="E1878" i="9"/>
  <c r="J1878" i="9"/>
  <c r="K1878" i="9"/>
  <c r="M1878" i="9"/>
  <c r="O1878" i="9"/>
  <c r="Q1878" i="9"/>
  <c r="C1878" i="9"/>
  <c r="P1877" i="9"/>
  <c r="N1877" i="9"/>
  <c r="L1877" i="9"/>
  <c r="J1877" i="9"/>
  <c r="F1877" i="9"/>
  <c r="E1877" i="9"/>
  <c r="D1877" i="9"/>
  <c r="C1877" i="9"/>
  <c r="Q1877" i="9"/>
  <c r="O1877" i="9"/>
  <c r="M1877" i="9"/>
  <c r="K1877" i="9"/>
  <c r="Q1876" i="9"/>
  <c r="O1876" i="9"/>
  <c r="M1876" i="9"/>
  <c r="K1876" i="9"/>
  <c r="D1876" i="9"/>
  <c r="F1876" i="9"/>
  <c r="J1876" i="9"/>
  <c r="P1876" i="9"/>
  <c r="N1876" i="9"/>
  <c r="L1876" i="9"/>
  <c r="E1876" i="9"/>
  <c r="C1876" i="9"/>
  <c r="P1875" i="9"/>
  <c r="L1875" i="9"/>
  <c r="N1875" i="9"/>
  <c r="Q1875" i="9"/>
  <c r="F1875" i="9"/>
  <c r="K1875" i="9"/>
  <c r="M1875" i="9"/>
  <c r="O1875" i="9"/>
  <c r="D1875" i="9"/>
  <c r="C1875" i="9"/>
  <c r="J1875" i="9"/>
  <c r="E1875" i="9"/>
  <c r="C1874" i="9"/>
  <c r="E1874" i="9"/>
  <c r="J1874" i="9"/>
  <c r="L1874" i="9"/>
  <c r="N1874" i="9"/>
  <c r="P1874" i="9"/>
  <c r="D1874" i="9"/>
  <c r="F1874" i="9"/>
  <c r="K1874" i="9"/>
  <c r="M1874" i="9"/>
  <c r="O1874" i="9"/>
  <c r="Q1874" i="9"/>
  <c r="N1873" i="9"/>
  <c r="Q1873" i="9"/>
  <c r="M1873" i="9"/>
  <c r="D1873" i="9"/>
  <c r="E1873" i="9"/>
  <c r="O1873" i="9"/>
  <c r="P1873" i="9"/>
  <c r="C1873" i="9"/>
  <c r="F1873" i="9"/>
  <c r="J1873" i="9"/>
  <c r="K1873" i="9"/>
  <c r="L1873" i="9"/>
  <c r="E1872" i="9"/>
  <c r="D1872" i="9"/>
  <c r="C1872" i="9"/>
  <c r="M1872" i="9"/>
  <c r="N1872" i="9"/>
  <c r="Q1872" i="9"/>
  <c r="K1872" i="9"/>
  <c r="F1872" i="9"/>
  <c r="J1872" i="9"/>
  <c r="L1872" i="9"/>
  <c r="O1872" i="9"/>
  <c r="P1872" i="9"/>
  <c r="N1871" i="9"/>
  <c r="P1871" i="9"/>
  <c r="Q1871" i="9"/>
  <c r="E1871" i="9"/>
  <c r="D1871" i="9"/>
  <c r="L1871" i="9"/>
  <c r="M1871" i="9"/>
  <c r="K1871" i="9"/>
  <c r="C1871" i="9"/>
  <c r="F1871" i="9"/>
  <c r="J1871" i="9"/>
  <c r="O1871" i="9"/>
  <c r="P1870" i="9"/>
  <c r="D1870" i="9"/>
  <c r="F1870" i="9"/>
  <c r="J1870" i="9"/>
  <c r="K1870" i="9"/>
  <c r="N1870" i="9"/>
  <c r="O1870" i="9"/>
  <c r="Q1870" i="9"/>
  <c r="L1870" i="9"/>
  <c r="C1870" i="9"/>
  <c r="E1870" i="9"/>
  <c r="M1870" i="9"/>
  <c r="J1869" i="9"/>
  <c r="L1869" i="9"/>
  <c r="O1869" i="9"/>
  <c r="P1869" i="9"/>
  <c r="E1869" i="9"/>
  <c r="Q1869" i="9"/>
  <c r="N1869" i="9"/>
  <c r="K1869" i="9"/>
  <c r="D1869" i="9"/>
  <c r="F1869" i="9"/>
  <c r="C1869" i="9"/>
  <c r="M1869" i="9"/>
  <c r="C1868" i="9"/>
  <c r="Q1868" i="9"/>
  <c r="N1868" i="9"/>
  <c r="E1868" i="9"/>
  <c r="F1868" i="9"/>
  <c r="J1868" i="9"/>
  <c r="L1868" i="9"/>
  <c r="O1868" i="9"/>
  <c r="M1868" i="9"/>
  <c r="K1868" i="9"/>
  <c r="D1868" i="9"/>
  <c r="P1868" i="9"/>
  <c r="L1867" i="9"/>
  <c r="N1867" i="9"/>
  <c r="E1867" i="9"/>
  <c r="D1867" i="9"/>
  <c r="F1867" i="9"/>
  <c r="Q1867" i="9"/>
  <c r="P1867" i="9"/>
  <c r="O1867" i="9"/>
  <c r="M1867" i="9"/>
  <c r="K1867" i="9"/>
  <c r="J1867" i="9"/>
  <c r="C1867" i="9"/>
  <c r="O1866" i="9"/>
  <c r="Q1866" i="9"/>
  <c r="M1866" i="9"/>
  <c r="D1866" i="9"/>
  <c r="K1866" i="9"/>
  <c r="P1866" i="9"/>
  <c r="N1866" i="9"/>
  <c r="L1866" i="9"/>
  <c r="J1866" i="9"/>
  <c r="F1866" i="9"/>
  <c r="E1866" i="9"/>
  <c r="C1866" i="9"/>
  <c r="L1865" i="9"/>
  <c r="D1865" i="9"/>
  <c r="E1865" i="9"/>
  <c r="C1865" i="9"/>
  <c r="F1865" i="9"/>
  <c r="J1865" i="9"/>
  <c r="M1865" i="9"/>
  <c r="O1865" i="9"/>
  <c r="P1865" i="9"/>
  <c r="Q1865" i="9"/>
  <c r="K1865" i="9"/>
  <c r="N1865" i="9"/>
  <c r="Q1864" i="9"/>
  <c r="O1864" i="9"/>
  <c r="M1864" i="9"/>
  <c r="K1864" i="9"/>
  <c r="F1864" i="9"/>
  <c r="C1864" i="9"/>
  <c r="P1864" i="9"/>
  <c r="E1864" i="9"/>
  <c r="J1864" i="9"/>
  <c r="L1864" i="9"/>
  <c r="N1864" i="9"/>
  <c r="D1864" i="9"/>
  <c r="L1863" i="9"/>
  <c r="K1863" i="9"/>
  <c r="D1863" i="9"/>
  <c r="Q1863" i="9"/>
  <c r="C1863" i="9"/>
  <c r="F1863" i="9"/>
  <c r="J1863" i="9"/>
  <c r="M1863" i="9"/>
  <c r="N1863" i="9"/>
  <c r="O1863" i="9"/>
  <c r="P1863" i="9"/>
  <c r="E1863" i="9"/>
  <c r="J1862" i="9"/>
  <c r="N1862" i="9"/>
  <c r="Q1862" i="9"/>
  <c r="L1862" i="9"/>
  <c r="C1862" i="9"/>
  <c r="E1862" i="9"/>
  <c r="F1862" i="9"/>
  <c r="K1862" i="9"/>
  <c r="M1862" i="9"/>
  <c r="O1862" i="9"/>
  <c r="P1862" i="9"/>
  <c r="D1862" i="9"/>
  <c r="D1861" i="9"/>
  <c r="C1861" i="9"/>
  <c r="P1861" i="9"/>
  <c r="N1861" i="9"/>
  <c r="L1861" i="9"/>
  <c r="J1861" i="9"/>
  <c r="O1861" i="9"/>
  <c r="F1861" i="9"/>
  <c r="Q1861" i="9"/>
  <c r="E1861" i="9"/>
  <c r="M1861" i="9"/>
  <c r="K1861" i="9"/>
  <c r="Q1860" i="9"/>
  <c r="N1860" i="9"/>
  <c r="L1860" i="9"/>
  <c r="E1860" i="9"/>
  <c r="K1860" i="9"/>
  <c r="M1860" i="9"/>
  <c r="P1860" i="9"/>
  <c r="C1860" i="9"/>
  <c r="D1860" i="9"/>
  <c r="F1860" i="9"/>
  <c r="J1860" i="9"/>
  <c r="O1860" i="9"/>
  <c r="O1859" i="9"/>
  <c r="L1859" i="9"/>
  <c r="J1859" i="9"/>
  <c r="D1859" i="9"/>
  <c r="C1859" i="9"/>
  <c r="E1859" i="9"/>
  <c r="F1859" i="9"/>
  <c r="K1859" i="9"/>
  <c r="M1859" i="9"/>
  <c r="N1859" i="9"/>
  <c r="Q1859" i="9"/>
  <c r="P1859" i="9"/>
  <c r="J1858" i="9"/>
  <c r="M1858" i="9"/>
  <c r="O1858" i="9"/>
  <c r="Q1858" i="9"/>
  <c r="D1858" i="9"/>
  <c r="N1858" i="9"/>
  <c r="P1858" i="9"/>
  <c r="C1858" i="9"/>
  <c r="E1858" i="9"/>
  <c r="L1858" i="9"/>
  <c r="K1858" i="9"/>
  <c r="F1858" i="9"/>
  <c r="L1857" i="9"/>
  <c r="F1857" i="9"/>
  <c r="E1857" i="9"/>
  <c r="D1857" i="9"/>
  <c r="J1857" i="9"/>
  <c r="C1857" i="9"/>
  <c r="M1857" i="9"/>
  <c r="N1857" i="9"/>
  <c r="P1857" i="9"/>
  <c r="Q1857" i="9"/>
  <c r="O1857" i="9"/>
  <c r="K1857" i="9"/>
  <c r="P1856" i="9"/>
  <c r="O1856" i="9"/>
  <c r="M1856" i="9"/>
  <c r="D1856" i="9"/>
  <c r="F1856" i="9"/>
  <c r="L1856" i="9"/>
  <c r="N1856" i="9"/>
  <c r="Q1856" i="9"/>
  <c r="E1856" i="9"/>
  <c r="C1856" i="9"/>
  <c r="J1856" i="9"/>
  <c r="K1856" i="9"/>
  <c r="F1855" i="9"/>
  <c r="E1855" i="9"/>
  <c r="D1855" i="9"/>
  <c r="C1855" i="9"/>
  <c r="J1855" i="9"/>
  <c r="L1855" i="9"/>
  <c r="M1855" i="9"/>
  <c r="N1855" i="9"/>
  <c r="P1855" i="9"/>
  <c r="K1855" i="9"/>
  <c r="Q1855" i="9"/>
  <c r="Q1854" i="9"/>
  <c r="P1854" i="9"/>
  <c r="O1854" i="9"/>
  <c r="N1854" i="9"/>
  <c r="M1854" i="9"/>
  <c r="L1854" i="9"/>
  <c r="K1854" i="9"/>
  <c r="J1854" i="9"/>
  <c r="F1854" i="9"/>
  <c r="E1854" i="9"/>
  <c r="D1854" i="9"/>
  <c r="C1854" i="9"/>
  <c r="Q1853" i="9"/>
  <c r="J1853" i="9"/>
  <c r="F1853" i="9"/>
  <c r="P1853" i="9"/>
  <c r="D1853" i="9"/>
  <c r="C1853" i="9"/>
  <c r="O1853" i="9"/>
  <c r="N1853" i="9"/>
  <c r="M1853" i="9"/>
  <c r="L1853" i="9"/>
  <c r="K1853" i="9"/>
  <c r="E1853" i="9"/>
  <c r="J1852" i="9"/>
  <c r="F1852" i="9"/>
  <c r="E1852" i="9"/>
  <c r="D1852" i="9"/>
  <c r="C1852" i="9"/>
  <c r="M1852" i="9"/>
  <c r="Q1852" i="9"/>
  <c r="O1852" i="9"/>
  <c r="N1852" i="9"/>
  <c r="P1852" i="9"/>
  <c r="L1852" i="9"/>
  <c r="K1852" i="9"/>
  <c r="K1851" i="9"/>
  <c r="J1851" i="9"/>
  <c r="F1851" i="9"/>
  <c r="E1851" i="9"/>
  <c r="D1851" i="9"/>
  <c r="C1851" i="9"/>
  <c r="M1851" i="9"/>
  <c r="L1851" i="9"/>
  <c r="Q1851" i="9"/>
  <c r="P1851" i="9"/>
  <c r="O1851" i="9"/>
  <c r="N1851" i="9"/>
  <c r="P1850" i="9"/>
  <c r="O1850" i="9"/>
  <c r="L1850" i="9"/>
  <c r="K1850" i="9"/>
  <c r="F1850" i="9"/>
  <c r="C1850" i="9"/>
  <c r="N1850" i="9"/>
  <c r="M1850" i="9"/>
  <c r="J1850" i="9"/>
  <c r="E1850" i="9"/>
  <c r="D1850" i="9"/>
  <c r="Q1850" i="9"/>
  <c r="P1849" i="9"/>
  <c r="N1849" i="9"/>
  <c r="L1849" i="9"/>
  <c r="J1849" i="9"/>
  <c r="E1849" i="9"/>
  <c r="C1849" i="9"/>
  <c r="Q1849" i="9"/>
  <c r="O1849" i="9"/>
  <c r="D1849" i="9"/>
  <c r="K1849" i="9"/>
  <c r="F1849" i="9"/>
  <c r="M1849" i="9"/>
  <c r="N1848" i="9"/>
  <c r="L1848" i="9"/>
  <c r="J1848" i="9"/>
  <c r="F1848" i="9"/>
  <c r="E1848" i="9"/>
  <c r="C1848" i="9"/>
  <c r="Q1848" i="9"/>
  <c r="O1848" i="9"/>
  <c r="M1848" i="9"/>
  <c r="K1848" i="9"/>
  <c r="D1848" i="9"/>
  <c r="P1848" i="9"/>
  <c r="E1847" i="9"/>
  <c r="P1847" i="9"/>
  <c r="F1847" i="9"/>
  <c r="N1847" i="9"/>
  <c r="L1847" i="9"/>
  <c r="Q1847" i="9"/>
  <c r="J1847" i="9"/>
  <c r="D1847" i="9"/>
  <c r="C1847" i="9"/>
  <c r="K1847" i="9"/>
  <c r="O1847" i="9"/>
  <c r="M1847" i="9"/>
  <c r="D1846" i="9"/>
  <c r="C1846" i="9"/>
  <c r="Q1846" i="9"/>
  <c r="O1846" i="9"/>
  <c r="L1846" i="9"/>
  <c r="J1846" i="9"/>
  <c r="F1846" i="9"/>
  <c r="E1846" i="9"/>
  <c r="P1846" i="9"/>
  <c r="N1846" i="9"/>
  <c r="M1846" i="9"/>
  <c r="K1846" i="9"/>
  <c r="D1845" i="9"/>
  <c r="O1845" i="9"/>
  <c r="M1845" i="9"/>
  <c r="L1845" i="9"/>
  <c r="J1845" i="9"/>
  <c r="F1845" i="9"/>
  <c r="E1845" i="9"/>
  <c r="N1845" i="9"/>
  <c r="C1845" i="9"/>
  <c r="P1845" i="9"/>
  <c r="Q1845" i="9"/>
  <c r="K1845" i="9"/>
  <c r="C1844" i="9"/>
  <c r="E1844" i="9"/>
  <c r="J1844" i="9"/>
  <c r="F1844" i="9"/>
  <c r="L1844" i="9"/>
  <c r="N1844" i="9"/>
  <c r="K1844" i="9"/>
  <c r="D1844" i="9"/>
  <c r="Q1844" i="9"/>
  <c r="O1844" i="9"/>
  <c r="M1844" i="9"/>
  <c r="P1844" i="9"/>
  <c r="Q1843" i="9"/>
  <c r="J1843" i="9"/>
  <c r="F1843" i="9"/>
  <c r="D1843" i="9"/>
  <c r="C1843" i="9"/>
  <c r="L1843" i="9"/>
  <c r="E1843" i="9"/>
  <c r="P1843" i="9"/>
  <c r="O1843" i="9"/>
  <c r="N1843" i="9"/>
  <c r="M1843" i="9"/>
  <c r="K1843" i="9"/>
  <c r="C1842" i="9"/>
  <c r="M1842" i="9"/>
  <c r="K1842" i="9"/>
  <c r="J1842" i="9"/>
  <c r="P1842" i="9"/>
  <c r="O1842" i="9"/>
  <c r="Q1842" i="9"/>
  <c r="N1842" i="9"/>
  <c r="L1842" i="9"/>
  <c r="E1842" i="9"/>
  <c r="F1842" i="9"/>
  <c r="D1842" i="9"/>
  <c r="C1841" i="9"/>
  <c r="F1841" i="9"/>
  <c r="E1841" i="9"/>
  <c r="K1841" i="9"/>
  <c r="M1841" i="9"/>
  <c r="O1841" i="9"/>
  <c r="Q1841" i="9"/>
  <c r="P1841" i="9"/>
  <c r="N1841" i="9"/>
  <c r="L1841" i="9"/>
  <c r="J1841" i="9"/>
  <c r="D1841" i="9"/>
  <c r="P1840" i="9"/>
  <c r="D1840" i="9"/>
  <c r="K1840" i="9"/>
  <c r="M1840" i="9"/>
  <c r="O1840" i="9"/>
  <c r="Q1840" i="9"/>
  <c r="N1840" i="9"/>
  <c r="L1840" i="9"/>
  <c r="J1840" i="9"/>
  <c r="F1840" i="9"/>
  <c r="E1840" i="9"/>
  <c r="C1840" i="9"/>
  <c r="Q1839" i="9"/>
  <c r="O1839" i="9"/>
  <c r="M1839" i="9"/>
  <c r="K1839" i="9"/>
  <c r="J1839" i="9"/>
  <c r="E1839" i="9"/>
  <c r="C1839" i="9"/>
  <c r="P1839" i="9"/>
  <c r="N1839" i="9"/>
  <c r="L1839" i="9"/>
  <c r="F1839" i="9"/>
  <c r="D1839" i="9"/>
  <c r="M1838" i="9"/>
  <c r="N1838" i="9"/>
  <c r="P1838" i="9"/>
  <c r="K1838" i="9"/>
  <c r="D1838" i="9"/>
  <c r="Q1838" i="9"/>
  <c r="O1838" i="9"/>
  <c r="L1838" i="9"/>
  <c r="J1838" i="9"/>
  <c r="F1838" i="9"/>
  <c r="E1838" i="9"/>
  <c r="C1838" i="9"/>
  <c r="Q1837" i="9"/>
  <c r="O1837" i="9"/>
  <c r="N1837" i="9"/>
  <c r="M1837" i="9"/>
  <c r="J1837" i="9"/>
  <c r="D1837" i="9"/>
  <c r="P1837" i="9"/>
  <c r="L1837" i="9"/>
  <c r="K1837" i="9"/>
  <c r="F1837" i="9"/>
  <c r="E1837" i="9"/>
  <c r="C1837" i="9"/>
  <c r="K1836" i="9"/>
  <c r="J1836" i="9"/>
  <c r="F1836" i="9"/>
  <c r="E1836" i="9"/>
  <c r="P1836" i="9"/>
  <c r="D1836" i="9"/>
  <c r="N1836" i="9"/>
  <c r="M1836" i="9"/>
  <c r="Q1836" i="9"/>
  <c r="O1836" i="9"/>
  <c r="L1836" i="9"/>
  <c r="C1836" i="9"/>
  <c r="C1835" i="9"/>
  <c r="F1835" i="9"/>
  <c r="J1835" i="9"/>
  <c r="L1835" i="9"/>
  <c r="N1835" i="9"/>
  <c r="Q1835" i="9"/>
  <c r="O1835" i="9"/>
  <c r="M1835" i="9"/>
  <c r="K1835" i="9"/>
  <c r="P1835" i="9"/>
  <c r="E1835" i="9"/>
  <c r="D1834" i="9"/>
  <c r="O1834" i="9"/>
  <c r="N1834" i="9"/>
  <c r="P1834" i="9"/>
  <c r="Q1834" i="9"/>
  <c r="K1834" i="9"/>
  <c r="L1834" i="9"/>
  <c r="J1834" i="9"/>
  <c r="C1834" i="9"/>
  <c r="M1834" i="9"/>
  <c r="E1834" i="9"/>
  <c r="F1834" i="9"/>
  <c r="L1833" i="9"/>
  <c r="K1833" i="9"/>
  <c r="J1833" i="9"/>
  <c r="F1833" i="9"/>
  <c r="M1833" i="9"/>
  <c r="E1833" i="9"/>
  <c r="D1833" i="9"/>
  <c r="C1833" i="9"/>
  <c r="O1833" i="9"/>
  <c r="N1833" i="9"/>
  <c r="P1833" i="9"/>
  <c r="Q1833" i="9"/>
  <c r="Q1832" i="9"/>
  <c r="P1832" i="9"/>
  <c r="O1832" i="9"/>
  <c r="E1832" i="9"/>
  <c r="D1832" i="9"/>
  <c r="C1832" i="9"/>
  <c r="M1832" i="9"/>
  <c r="L1832" i="9"/>
  <c r="K1832" i="9"/>
  <c r="N1832" i="9"/>
  <c r="F1832" i="9"/>
  <c r="J1832" i="9"/>
  <c r="K1831" i="9"/>
  <c r="N1831" i="9"/>
  <c r="Q1831" i="9"/>
  <c r="P1831" i="9"/>
  <c r="O1831" i="9"/>
  <c r="M1831" i="9"/>
  <c r="L1831" i="9"/>
  <c r="J1831" i="9"/>
  <c r="F1831" i="9"/>
  <c r="E1831" i="9"/>
  <c r="D1831" i="9"/>
  <c r="C1831" i="9"/>
  <c r="F1830" i="9"/>
  <c r="E1830" i="9"/>
  <c r="D1830" i="9"/>
  <c r="C1830" i="9"/>
  <c r="Q1830" i="9"/>
  <c r="P1830" i="9"/>
  <c r="M1830" i="9"/>
  <c r="O1830" i="9"/>
  <c r="N1830" i="9"/>
  <c r="K1830" i="9"/>
  <c r="L1830" i="9"/>
  <c r="J1830" i="9"/>
  <c r="D1829" i="9"/>
  <c r="C1829" i="9"/>
  <c r="Q1829" i="9"/>
  <c r="P1829" i="9"/>
  <c r="O1829" i="9"/>
  <c r="N1829" i="9"/>
  <c r="M1829" i="9"/>
  <c r="L1829" i="9"/>
  <c r="K1829" i="9"/>
  <c r="J1829" i="9"/>
  <c r="F1829" i="9"/>
  <c r="E1829" i="9"/>
  <c r="F1828" i="9"/>
  <c r="E1828" i="9"/>
  <c r="J1828" i="9"/>
  <c r="D1828" i="9"/>
  <c r="C1828" i="9"/>
  <c r="Q1828" i="9"/>
  <c r="L1828" i="9"/>
  <c r="K1828" i="9"/>
  <c r="M1828" i="9"/>
  <c r="N1828" i="9"/>
  <c r="O1828" i="9"/>
  <c r="P1828" i="9"/>
  <c r="F1827" i="9"/>
  <c r="N1827" i="9"/>
  <c r="P1827" i="9"/>
  <c r="O1827" i="9"/>
  <c r="M1827" i="9"/>
  <c r="L1827" i="9"/>
  <c r="C1827" i="9"/>
  <c r="E1827" i="9"/>
  <c r="D1827" i="9"/>
  <c r="J1827" i="9"/>
  <c r="K1827" i="9"/>
  <c r="Q1827" i="9"/>
  <c r="L1826" i="9"/>
  <c r="K1826" i="9"/>
  <c r="J1826" i="9"/>
  <c r="F1826" i="9"/>
  <c r="Q1826" i="9"/>
  <c r="P1826" i="9"/>
  <c r="E1826" i="9"/>
  <c r="D1826" i="9"/>
  <c r="C1826" i="9"/>
  <c r="O1826" i="9"/>
  <c r="N1826" i="9"/>
  <c r="M1826" i="9"/>
  <c r="L1825" i="9"/>
  <c r="M1825" i="9"/>
  <c r="N1825" i="9"/>
  <c r="C1825" i="9"/>
  <c r="O1825" i="9"/>
  <c r="P1825" i="9"/>
  <c r="Q1825" i="9"/>
  <c r="E1825" i="9"/>
  <c r="F1825" i="9"/>
  <c r="J1825" i="9"/>
  <c r="K1825" i="9"/>
  <c r="D1825" i="9"/>
  <c r="C1824" i="9"/>
  <c r="D1824" i="9"/>
  <c r="E1824" i="9"/>
  <c r="F1824" i="9"/>
  <c r="J1824" i="9"/>
  <c r="K1824" i="9"/>
  <c r="L1824" i="9"/>
  <c r="M1824" i="9"/>
  <c r="N1824" i="9"/>
  <c r="O1824" i="9"/>
  <c r="P1824" i="9"/>
  <c r="Q1824" i="9"/>
  <c r="C1823" i="9"/>
  <c r="D1823" i="9"/>
  <c r="E1823" i="9"/>
  <c r="F1823" i="9"/>
  <c r="J1823" i="9"/>
  <c r="K1823" i="9"/>
  <c r="L1823" i="9"/>
  <c r="O1823" i="9"/>
  <c r="P1823" i="9"/>
  <c r="Q1823" i="9"/>
  <c r="N1823" i="9"/>
  <c r="M1823" i="9"/>
  <c r="P1822" i="9"/>
  <c r="Q1822" i="9"/>
  <c r="L1822" i="9"/>
  <c r="C1822" i="9"/>
  <c r="D1822" i="9"/>
  <c r="E1822" i="9"/>
  <c r="F1822" i="9"/>
  <c r="J1822" i="9"/>
  <c r="K1822" i="9"/>
  <c r="M1822" i="9"/>
  <c r="N1822" i="9"/>
  <c r="O1822" i="9"/>
  <c r="C1821" i="9"/>
  <c r="D1821" i="9"/>
  <c r="E1821" i="9"/>
  <c r="F1821" i="9"/>
  <c r="J1821" i="9"/>
  <c r="K1821" i="9"/>
  <c r="L1821" i="9"/>
  <c r="N1821" i="9"/>
  <c r="O1821" i="9"/>
  <c r="P1821" i="9"/>
  <c r="Q1821" i="9"/>
  <c r="M1821" i="9"/>
  <c r="Q1820" i="9"/>
  <c r="K1820" i="9"/>
  <c r="J1820" i="9"/>
  <c r="F1820" i="9"/>
  <c r="E1820" i="9"/>
  <c r="D1820" i="9"/>
  <c r="C1820" i="9"/>
  <c r="L1820" i="9"/>
  <c r="M1820" i="9"/>
  <c r="N1820" i="9"/>
  <c r="O1820" i="9"/>
  <c r="P1820" i="9"/>
  <c r="P1819" i="9"/>
  <c r="Q1819" i="9"/>
  <c r="F1819" i="9"/>
  <c r="O1819" i="9"/>
  <c r="N1819" i="9"/>
  <c r="M1819" i="9"/>
  <c r="L1819" i="9"/>
  <c r="J1819" i="9"/>
  <c r="K1819" i="9"/>
  <c r="C1819" i="9"/>
  <c r="D1819" i="9"/>
  <c r="E1819" i="9"/>
  <c r="L1818" i="9"/>
  <c r="M1818" i="9"/>
  <c r="N1818" i="9"/>
  <c r="O1818" i="9"/>
  <c r="P1818" i="9"/>
  <c r="Q1818" i="9"/>
  <c r="D1818" i="9"/>
  <c r="C1818" i="9"/>
  <c r="J1818" i="9"/>
  <c r="F1818" i="9"/>
  <c r="E1818" i="9"/>
  <c r="K1818" i="9"/>
  <c r="K1817" i="9"/>
  <c r="J1817" i="9"/>
  <c r="L1817" i="9"/>
  <c r="M1817" i="9"/>
  <c r="O1817" i="9"/>
  <c r="P1817" i="9"/>
  <c r="Q1817" i="9"/>
  <c r="C1817" i="9"/>
  <c r="D1817" i="9"/>
  <c r="E1817" i="9"/>
  <c r="F1817" i="9"/>
  <c r="N1817" i="9"/>
  <c r="N1816" i="9"/>
  <c r="O1816" i="9"/>
  <c r="P1816" i="9"/>
  <c r="Q1816" i="9"/>
  <c r="L1816" i="9"/>
  <c r="K1816" i="9"/>
  <c r="J1816" i="9"/>
  <c r="F1816" i="9"/>
  <c r="M1816" i="9"/>
  <c r="E1816" i="9"/>
  <c r="D1816" i="9"/>
  <c r="C1816" i="9"/>
  <c r="L1815" i="9"/>
  <c r="N1815" i="9"/>
  <c r="M1815" i="9"/>
  <c r="K1815" i="9"/>
  <c r="J1815" i="9"/>
  <c r="F1815" i="9"/>
  <c r="E1815" i="9"/>
  <c r="D1815" i="9"/>
  <c r="C1815" i="9"/>
  <c r="Q1815" i="9"/>
  <c r="O1815" i="9"/>
  <c r="P1815" i="9"/>
  <c r="O1814" i="9"/>
  <c r="E1814" i="9"/>
  <c r="D1814" i="9"/>
  <c r="C1814" i="9"/>
  <c r="Q1814" i="9"/>
  <c r="P1814" i="9"/>
  <c r="F1814" i="9"/>
  <c r="J1814" i="9"/>
  <c r="N1814" i="9"/>
  <c r="K1814" i="9"/>
  <c r="L1814" i="9"/>
  <c r="M1814" i="9"/>
  <c r="N1813" i="9"/>
  <c r="M1813" i="9"/>
  <c r="L1813" i="9"/>
  <c r="K1813" i="9"/>
  <c r="C1813" i="9"/>
  <c r="D1813" i="9"/>
  <c r="E1813" i="9"/>
  <c r="J1813" i="9"/>
  <c r="F1813" i="9"/>
  <c r="Q1813" i="9"/>
  <c r="O1813" i="9"/>
  <c r="P1813" i="9"/>
  <c r="D1812" i="9"/>
  <c r="E1812" i="9"/>
  <c r="F1812" i="9"/>
  <c r="K1812" i="9"/>
  <c r="L1812" i="9"/>
  <c r="M1812" i="9"/>
  <c r="N1812" i="9"/>
  <c r="O1812" i="9"/>
  <c r="P1812" i="9"/>
  <c r="Q1812" i="9"/>
  <c r="J1812" i="9"/>
  <c r="C1812" i="9"/>
  <c r="J1811" i="9"/>
  <c r="Q1811" i="9"/>
  <c r="P1811" i="9"/>
  <c r="O1811" i="9"/>
  <c r="M1811" i="9"/>
  <c r="L1811" i="9"/>
  <c r="K1811" i="9"/>
  <c r="N1811" i="9"/>
  <c r="F1811" i="9"/>
  <c r="E1811" i="9"/>
  <c r="D1811" i="9"/>
  <c r="C1811" i="9"/>
  <c r="D1810" i="9"/>
  <c r="C1810" i="9"/>
  <c r="F1810" i="9"/>
  <c r="E1810" i="9"/>
  <c r="Q1810" i="9"/>
  <c r="O1810" i="9"/>
  <c r="N1810" i="9"/>
  <c r="M1810" i="9"/>
  <c r="L1810" i="9"/>
  <c r="K1810" i="9"/>
  <c r="P1810" i="9"/>
  <c r="J1810" i="9"/>
  <c r="C1809" i="9"/>
  <c r="D1809" i="9"/>
  <c r="Q1809" i="9"/>
  <c r="P1809" i="9"/>
  <c r="O1809" i="9"/>
  <c r="E1809" i="9"/>
  <c r="F1809" i="9"/>
  <c r="N1809" i="9"/>
  <c r="M1809" i="9"/>
  <c r="L1809" i="9"/>
  <c r="K1809" i="9"/>
  <c r="J1809" i="9"/>
  <c r="Q1808" i="9"/>
  <c r="P1808" i="9"/>
  <c r="O1808" i="9"/>
  <c r="N1808" i="9"/>
  <c r="M1808" i="9"/>
  <c r="K1808" i="9"/>
  <c r="J1808" i="9"/>
  <c r="L1808" i="9"/>
  <c r="F1808" i="9"/>
  <c r="E1808" i="9"/>
  <c r="D1808" i="9"/>
  <c r="C1808" i="9"/>
  <c r="Q1807" i="9"/>
  <c r="P1807" i="9"/>
  <c r="O1807" i="9"/>
  <c r="N1807" i="9"/>
  <c r="M1807" i="9"/>
  <c r="L1807" i="9"/>
  <c r="K1807" i="9"/>
  <c r="J1807" i="9"/>
  <c r="F1807" i="9"/>
  <c r="E1807" i="9"/>
  <c r="D1807" i="9"/>
  <c r="C1807" i="9"/>
  <c r="D1806" i="9"/>
  <c r="E1806" i="9"/>
  <c r="M1806" i="9"/>
  <c r="J1806" i="9"/>
  <c r="K1806" i="9"/>
  <c r="L1806" i="9"/>
  <c r="F1806" i="9"/>
  <c r="C1806" i="9"/>
  <c r="Q1806" i="9"/>
  <c r="P1806" i="9"/>
  <c r="O1806" i="9"/>
  <c r="N1806" i="9"/>
  <c r="K1805" i="9"/>
  <c r="M1805" i="9"/>
  <c r="N1805" i="9"/>
  <c r="O1805" i="9"/>
  <c r="P1805" i="9"/>
  <c r="Q1805" i="9"/>
  <c r="L1805" i="9"/>
  <c r="C1805" i="9"/>
  <c r="D1805" i="9"/>
  <c r="E1805" i="9"/>
  <c r="F1805" i="9"/>
  <c r="J1805" i="9"/>
  <c r="O1804" i="9"/>
  <c r="C1804" i="9"/>
  <c r="D1804" i="9"/>
  <c r="E1804" i="9"/>
  <c r="F1804" i="9"/>
  <c r="J1804" i="9"/>
  <c r="K1804" i="9"/>
  <c r="L1804" i="9"/>
  <c r="M1804" i="9"/>
  <c r="N1804" i="9"/>
  <c r="P1804" i="9"/>
  <c r="Q1804" i="9"/>
  <c r="M1803" i="9"/>
  <c r="N1803" i="9"/>
  <c r="O1803" i="9"/>
  <c r="P1803" i="9"/>
  <c r="Q1803" i="9"/>
  <c r="L1803" i="9"/>
  <c r="J1803" i="9"/>
  <c r="F1803" i="9"/>
  <c r="K1803" i="9"/>
  <c r="C1803" i="9"/>
  <c r="E1803" i="9"/>
  <c r="D1803" i="9"/>
  <c r="K1802" i="9"/>
  <c r="L1802" i="9"/>
  <c r="N1802" i="9"/>
  <c r="Q1802" i="9"/>
  <c r="O1802" i="9"/>
  <c r="J1802" i="9"/>
  <c r="P1802" i="9"/>
  <c r="F1802" i="9"/>
  <c r="E1802" i="9"/>
  <c r="D1802" i="9"/>
  <c r="C1802" i="9"/>
  <c r="M1802" i="9"/>
  <c r="P1801" i="9"/>
  <c r="O1801" i="9"/>
  <c r="N1801" i="9"/>
  <c r="M1801" i="9"/>
  <c r="L1801" i="9"/>
  <c r="K1801" i="9"/>
  <c r="J1801" i="9"/>
  <c r="F1801" i="9"/>
  <c r="E1801" i="9"/>
  <c r="Q1801" i="9"/>
  <c r="C1801" i="9"/>
  <c r="D1801" i="9"/>
  <c r="Q1800" i="9"/>
  <c r="P1800" i="9"/>
  <c r="O1800" i="9"/>
  <c r="N1800" i="9"/>
  <c r="M1800" i="9"/>
  <c r="L1800" i="9"/>
  <c r="J1800" i="9"/>
  <c r="F1800" i="9"/>
  <c r="E1800" i="9"/>
  <c r="D1800" i="9"/>
  <c r="C1800" i="9"/>
  <c r="K1800" i="9"/>
  <c r="O1799" i="9"/>
  <c r="N1799" i="9"/>
  <c r="M1799" i="9"/>
  <c r="L1799" i="9"/>
  <c r="K1799" i="9"/>
  <c r="J1799" i="9"/>
  <c r="Q1799" i="9"/>
  <c r="F1799" i="9"/>
  <c r="E1799" i="9"/>
  <c r="D1799" i="9"/>
  <c r="C1799" i="9"/>
  <c r="P1799" i="9"/>
  <c r="P1798" i="9"/>
  <c r="O1798" i="9"/>
  <c r="N1798" i="9"/>
  <c r="M1798" i="9"/>
  <c r="Q1798" i="9"/>
  <c r="L1798" i="9"/>
  <c r="K1798" i="9"/>
  <c r="J1798" i="9"/>
  <c r="F1798" i="9"/>
  <c r="E1798" i="9"/>
  <c r="D1798" i="9"/>
  <c r="C1798" i="9"/>
  <c r="Q1797" i="9"/>
  <c r="P1797" i="9"/>
  <c r="O1797" i="9"/>
  <c r="N1797" i="9"/>
  <c r="M1797" i="9"/>
  <c r="L1797" i="9"/>
  <c r="K1797" i="9"/>
  <c r="J1797" i="9"/>
  <c r="F1797" i="9"/>
  <c r="E1797" i="9"/>
  <c r="D1797" i="9"/>
  <c r="C1797" i="9"/>
  <c r="P1796" i="9"/>
  <c r="O1796" i="9"/>
  <c r="N1796" i="9"/>
  <c r="M1796" i="9"/>
  <c r="L1796" i="9"/>
  <c r="K1796" i="9"/>
  <c r="J1796" i="9"/>
  <c r="Q1796" i="9"/>
  <c r="F1796" i="9"/>
  <c r="E1796" i="9"/>
  <c r="D1796" i="9"/>
  <c r="C1796" i="9"/>
  <c r="Q1795" i="9"/>
  <c r="P1795" i="9"/>
  <c r="O1795" i="9"/>
  <c r="N1795" i="9"/>
  <c r="M1795" i="9"/>
  <c r="L1795" i="9"/>
  <c r="K1795" i="9"/>
  <c r="J1795" i="9"/>
  <c r="F1795" i="9"/>
  <c r="E1795" i="9"/>
  <c r="D1795" i="9"/>
  <c r="C1795" i="9"/>
  <c r="Q1794" i="9"/>
  <c r="O1794" i="9"/>
  <c r="N1794" i="9"/>
  <c r="M1794" i="9"/>
  <c r="L1794" i="9"/>
  <c r="K1794" i="9"/>
  <c r="J1794" i="9"/>
  <c r="P1794" i="9"/>
  <c r="F1794" i="9"/>
  <c r="E1794" i="9"/>
  <c r="D1794" i="9"/>
  <c r="C1794" i="9"/>
  <c r="F1793" i="9"/>
  <c r="L1793" i="9"/>
  <c r="K1793" i="9"/>
  <c r="J1793" i="9"/>
  <c r="M1793" i="9"/>
  <c r="O1793" i="9"/>
  <c r="N1793" i="9"/>
  <c r="E1793" i="9"/>
  <c r="D1793" i="9"/>
  <c r="C1793" i="9"/>
  <c r="P1793" i="9"/>
  <c r="Q1793" i="9"/>
  <c r="M1792" i="9"/>
  <c r="N1792" i="9"/>
  <c r="O1792" i="9"/>
  <c r="Q1792" i="9"/>
  <c r="P1792" i="9"/>
  <c r="F1792" i="9"/>
  <c r="C1792" i="9"/>
  <c r="D1792" i="9"/>
  <c r="E1792" i="9"/>
  <c r="J1792" i="9"/>
  <c r="K1792" i="9"/>
  <c r="L1792" i="9"/>
  <c r="J1791" i="9"/>
  <c r="L1791" i="9"/>
  <c r="N1791" i="9"/>
  <c r="P1791" i="9"/>
  <c r="D1791" i="9"/>
  <c r="F1791" i="9"/>
  <c r="K1791" i="9"/>
  <c r="M1791" i="9"/>
  <c r="O1791" i="9"/>
  <c r="Q1791" i="9"/>
  <c r="E1791" i="9"/>
  <c r="C1791" i="9"/>
  <c r="M1790" i="9"/>
  <c r="O1790" i="9"/>
  <c r="P1790" i="9"/>
  <c r="D1790" i="9"/>
  <c r="E1790" i="9"/>
  <c r="K1790" i="9"/>
  <c r="L1790" i="9"/>
  <c r="Q1790" i="9"/>
  <c r="N1790" i="9"/>
  <c r="J1790" i="9"/>
  <c r="F1790" i="9"/>
  <c r="C1790" i="9"/>
  <c r="O1789" i="9"/>
  <c r="Q1789" i="9"/>
  <c r="L1789" i="9"/>
  <c r="K1789" i="9"/>
  <c r="D1789" i="9"/>
  <c r="P1789" i="9"/>
  <c r="N1789" i="9"/>
  <c r="M1789" i="9"/>
  <c r="J1789" i="9"/>
  <c r="F1789" i="9"/>
  <c r="E1789" i="9"/>
  <c r="C1789" i="9"/>
  <c r="D1788" i="9"/>
  <c r="E1788" i="9"/>
  <c r="F1788" i="9"/>
  <c r="N1788" i="9"/>
  <c r="M1788" i="9"/>
  <c r="J1788" i="9"/>
  <c r="K1788" i="9"/>
  <c r="L1788" i="9"/>
  <c r="O1788" i="9"/>
  <c r="C1788" i="9"/>
  <c r="Q1788" i="9"/>
  <c r="F1787" i="9"/>
  <c r="E1787" i="9"/>
  <c r="D1787" i="9"/>
  <c r="C1787" i="9"/>
  <c r="O1787" i="9"/>
  <c r="J1787" i="9"/>
  <c r="Q1787" i="9"/>
  <c r="N1787" i="9"/>
  <c r="M1787" i="9"/>
  <c r="L1787" i="9"/>
  <c r="K1787" i="9"/>
  <c r="P1787" i="9"/>
  <c r="J1786" i="9"/>
  <c r="K1786" i="9"/>
  <c r="M1786" i="9"/>
  <c r="Q1786" i="9"/>
  <c r="P1786" i="9"/>
  <c r="N1786" i="9"/>
  <c r="L1786" i="9"/>
  <c r="C1786" i="9"/>
  <c r="D1786" i="9"/>
  <c r="E1786" i="9"/>
  <c r="O1786" i="9"/>
  <c r="F1786" i="9"/>
  <c r="D1785" i="9"/>
  <c r="L1785" i="9"/>
  <c r="C1785" i="9"/>
  <c r="E1785" i="9"/>
  <c r="F1785" i="9"/>
  <c r="J1785" i="9"/>
  <c r="K1785" i="9"/>
  <c r="M1785" i="9"/>
  <c r="N1785" i="9"/>
  <c r="O1785" i="9"/>
  <c r="P1785" i="9"/>
  <c r="Q1785" i="9"/>
  <c r="M1784" i="9"/>
  <c r="N1784" i="9"/>
  <c r="Q1784" i="9"/>
  <c r="P1784" i="9"/>
  <c r="L1784" i="9"/>
  <c r="O1784" i="9"/>
  <c r="K1784" i="9"/>
  <c r="C1784" i="9"/>
  <c r="D1784" i="9"/>
  <c r="E1784" i="9"/>
  <c r="F1784" i="9"/>
  <c r="J1784" i="9"/>
  <c r="C1783" i="9"/>
  <c r="E1783" i="9"/>
  <c r="K1783" i="9"/>
  <c r="L1783" i="9"/>
  <c r="M1783" i="9"/>
  <c r="O1783" i="9"/>
  <c r="Q1783" i="9"/>
  <c r="P1783" i="9"/>
  <c r="N1783" i="9"/>
  <c r="J1783" i="9"/>
  <c r="F1783" i="9"/>
  <c r="D1783" i="9"/>
  <c r="C1782" i="9"/>
  <c r="E1782" i="9"/>
  <c r="F1782" i="9"/>
  <c r="J1782" i="9"/>
  <c r="L1782" i="9"/>
  <c r="N1782" i="9"/>
  <c r="P1782" i="9"/>
  <c r="M1782" i="9"/>
  <c r="Q1782" i="9"/>
  <c r="O1782" i="9"/>
  <c r="K1782" i="9"/>
  <c r="D1782" i="9"/>
  <c r="P1781" i="9"/>
  <c r="D1781" i="9"/>
  <c r="C1781" i="9"/>
  <c r="N1781" i="9"/>
  <c r="L1781" i="9"/>
  <c r="J1781" i="9"/>
  <c r="E1781" i="9"/>
  <c r="K1781" i="9"/>
  <c r="M1781" i="9"/>
  <c r="O1781" i="9"/>
  <c r="F1781" i="9"/>
  <c r="Q1781" i="9"/>
  <c r="M1780" i="9"/>
  <c r="K1780" i="9"/>
  <c r="F1780" i="9"/>
  <c r="D1780" i="9"/>
  <c r="C1780" i="9"/>
  <c r="Q1780" i="9"/>
  <c r="N1780" i="9"/>
  <c r="L1780" i="9"/>
  <c r="J1780" i="9"/>
  <c r="E1780" i="9"/>
  <c r="O1780" i="9"/>
  <c r="P1780" i="9"/>
  <c r="L1779" i="9"/>
  <c r="C1779" i="9"/>
  <c r="E1779" i="9"/>
  <c r="J1779" i="9"/>
  <c r="O1779" i="9"/>
  <c r="Q1779" i="9"/>
  <c r="P1779" i="9"/>
  <c r="N1779" i="9"/>
  <c r="M1779" i="9"/>
  <c r="K1779" i="9"/>
  <c r="F1779" i="9"/>
  <c r="D1779" i="9"/>
  <c r="N1778" i="9"/>
  <c r="Q1778" i="9"/>
  <c r="C1778" i="9"/>
  <c r="D1778" i="9"/>
  <c r="J1778" i="9"/>
  <c r="L1778" i="9"/>
  <c r="E1778" i="9"/>
  <c r="F1778" i="9"/>
  <c r="K1778" i="9"/>
  <c r="M1778" i="9"/>
  <c r="P1778" i="9"/>
  <c r="O1778" i="9"/>
  <c r="N1777" i="9"/>
  <c r="C1777" i="9"/>
  <c r="E1777" i="9"/>
  <c r="P1777" i="9"/>
  <c r="F1777" i="9"/>
  <c r="J1777" i="9"/>
  <c r="M1777" i="9"/>
  <c r="O1777" i="9"/>
  <c r="Q1777" i="9"/>
  <c r="K1777" i="9"/>
  <c r="L1777" i="9"/>
  <c r="D1777" i="9"/>
  <c r="J1776" i="9"/>
  <c r="L1776" i="9"/>
  <c r="O1776" i="9"/>
  <c r="Q1776" i="9"/>
  <c r="C1776" i="9"/>
  <c r="P1776" i="9"/>
  <c r="N1776" i="9"/>
  <c r="M1776" i="9"/>
  <c r="K1776" i="9"/>
  <c r="F1776" i="9"/>
  <c r="E1776" i="9"/>
  <c r="D1776" i="9"/>
  <c r="K1775" i="9"/>
  <c r="N1775" i="9"/>
  <c r="P1775" i="9"/>
  <c r="F1775" i="9"/>
  <c r="E1775" i="9"/>
  <c r="L1775" i="9"/>
  <c r="Q1775" i="9"/>
  <c r="O1775" i="9"/>
  <c r="M1775" i="9"/>
  <c r="J1775" i="9"/>
  <c r="D1775" i="9"/>
  <c r="C1775" i="9"/>
  <c r="P1774" i="9"/>
  <c r="L1774" i="9"/>
  <c r="N1774" i="9"/>
  <c r="D1774" i="9"/>
  <c r="F1774" i="9"/>
  <c r="K1774" i="9"/>
  <c r="O1774" i="9"/>
  <c r="M1774" i="9"/>
  <c r="Q1774" i="9"/>
  <c r="C1774" i="9"/>
  <c r="E1774" i="9"/>
  <c r="J1774" i="9"/>
  <c r="K1773" i="9"/>
  <c r="P1773" i="9"/>
  <c r="D1773" i="9"/>
  <c r="J1773" i="9"/>
  <c r="O1773" i="9"/>
  <c r="L1773" i="9"/>
  <c r="N1773" i="9"/>
  <c r="Q1773" i="9"/>
  <c r="M1773" i="9"/>
  <c r="F1773" i="9"/>
  <c r="E1773" i="9"/>
  <c r="C1773" i="9"/>
  <c r="L1772" i="9"/>
  <c r="P1772" i="9"/>
  <c r="N1772" i="9"/>
  <c r="J1772" i="9"/>
  <c r="M1772" i="9"/>
  <c r="K1772" i="9"/>
  <c r="E1772" i="9"/>
  <c r="C1772" i="9"/>
  <c r="F1772" i="9"/>
  <c r="D1772" i="9"/>
  <c r="Q1772" i="9"/>
  <c r="O1772" i="9"/>
  <c r="C1771" i="9"/>
  <c r="K1771" i="9"/>
  <c r="M1771" i="9"/>
  <c r="O1771" i="9"/>
  <c r="Q1771" i="9"/>
  <c r="L1771" i="9"/>
  <c r="P1771" i="9"/>
  <c r="N1771" i="9"/>
  <c r="J1771" i="9"/>
  <c r="F1771" i="9"/>
  <c r="E1771" i="9"/>
  <c r="D1771" i="9"/>
  <c r="K1770" i="9"/>
  <c r="D1770" i="9"/>
  <c r="M1770" i="9"/>
  <c r="P1770" i="9"/>
  <c r="Q1770" i="9"/>
  <c r="O1770" i="9"/>
  <c r="N1770" i="9"/>
  <c r="L1770" i="9"/>
  <c r="J1770" i="9"/>
  <c r="F1770" i="9"/>
  <c r="E1770" i="9"/>
  <c r="C1770" i="9"/>
  <c r="N1769" i="9"/>
  <c r="P1769" i="9"/>
  <c r="O1769" i="9"/>
  <c r="M1769" i="9"/>
  <c r="J1769" i="9"/>
  <c r="F1769" i="9"/>
  <c r="Q1769" i="9"/>
  <c r="L1769" i="9"/>
  <c r="K1769" i="9"/>
  <c r="C1769" i="9"/>
  <c r="E1769" i="9"/>
  <c r="D1769" i="9"/>
  <c r="C1768" i="9"/>
  <c r="N1768" i="9"/>
  <c r="K1768" i="9"/>
  <c r="P1768" i="9"/>
  <c r="Q1768" i="9"/>
  <c r="L1768" i="9"/>
  <c r="O1768" i="9"/>
  <c r="M1768" i="9"/>
  <c r="J1768" i="9"/>
  <c r="F1768" i="9"/>
  <c r="D1768" i="9"/>
  <c r="E1768" i="9"/>
  <c r="D1767" i="9"/>
  <c r="F1767" i="9"/>
  <c r="K1767" i="9"/>
  <c r="M1767" i="9"/>
  <c r="O1767" i="9"/>
  <c r="P1767" i="9"/>
  <c r="Q1767" i="9"/>
  <c r="N1767" i="9"/>
  <c r="L1767" i="9"/>
  <c r="J1767" i="9"/>
  <c r="E1767" i="9"/>
  <c r="C1767" i="9"/>
  <c r="J1766" i="9"/>
  <c r="F1766" i="9"/>
  <c r="D1766" i="9"/>
  <c r="K1766" i="9"/>
  <c r="M1766" i="9"/>
  <c r="O1766" i="9"/>
  <c r="P1766" i="9"/>
  <c r="Q1766" i="9"/>
  <c r="E1766" i="9"/>
  <c r="C1766" i="9"/>
  <c r="N1766" i="9"/>
  <c r="L1766" i="9"/>
  <c r="K1765" i="9"/>
  <c r="Q1765" i="9"/>
  <c r="O1765" i="9"/>
  <c r="P1765" i="9"/>
  <c r="F1765" i="9"/>
  <c r="E1765" i="9"/>
  <c r="C1765" i="9"/>
  <c r="D1765" i="9"/>
  <c r="J1765" i="9"/>
  <c r="L1765" i="9"/>
  <c r="M1765" i="9"/>
  <c r="N1765" i="9"/>
  <c r="F1764" i="9"/>
  <c r="K1764" i="9"/>
  <c r="J1764" i="9"/>
  <c r="D1764" i="9"/>
  <c r="L1764" i="9"/>
  <c r="O1764" i="9"/>
  <c r="P1764" i="9"/>
  <c r="N1764" i="9"/>
  <c r="M1764" i="9"/>
  <c r="Q1764" i="9"/>
  <c r="E1764" i="9"/>
  <c r="C1764" i="9"/>
  <c r="J1763" i="9"/>
  <c r="F1763" i="9"/>
  <c r="P1763" i="9"/>
  <c r="O1763" i="9"/>
  <c r="N1763" i="9"/>
  <c r="M1763" i="9"/>
  <c r="D1763" i="9"/>
  <c r="C1763" i="9"/>
  <c r="L1763" i="9"/>
  <c r="K1763" i="9"/>
  <c r="E1763" i="9"/>
  <c r="Q1763" i="9"/>
  <c r="P1762" i="9"/>
  <c r="O1762" i="9"/>
  <c r="F1762" i="9"/>
  <c r="K1762" i="9"/>
  <c r="L1762" i="9"/>
  <c r="M1762" i="9"/>
  <c r="N1762" i="9"/>
  <c r="D1762" i="9"/>
  <c r="J1762" i="9"/>
  <c r="Q1762" i="9"/>
  <c r="C1762" i="9"/>
  <c r="E1762" i="9"/>
  <c r="Q1761" i="9"/>
  <c r="N1761" i="9"/>
  <c r="L1761" i="9"/>
  <c r="J1761" i="9"/>
  <c r="F1761" i="9"/>
  <c r="M1761" i="9"/>
  <c r="K1761" i="9"/>
  <c r="C1761" i="9"/>
  <c r="P1761" i="9"/>
  <c r="E1761" i="9"/>
  <c r="D1761" i="9"/>
  <c r="O1761" i="9"/>
  <c r="L1760" i="9"/>
  <c r="M1760" i="9"/>
  <c r="E1760" i="9"/>
  <c r="C1760" i="9"/>
  <c r="Q1760" i="9"/>
  <c r="N1760" i="9"/>
  <c r="J1760" i="9"/>
  <c r="K1760" i="9"/>
  <c r="F1760" i="9"/>
  <c r="D1760" i="9"/>
  <c r="P1760" i="9"/>
  <c r="O1760" i="9"/>
  <c r="K1759" i="9"/>
  <c r="J1759" i="9"/>
  <c r="C1759" i="9"/>
  <c r="D1759" i="9"/>
  <c r="E1759" i="9"/>
  <c r="F1759" i="9"/>
  <c r="N1759" i="9"/>
  <c r="Q1759" i="9"/>
  <c r="P1759" i="9"/>
  <c r="O1759" i="9"/>
  <c r="L1759" i="9"/>
  <c r="M1759" i="9"/>
  <c r="P1758" i="9"/>
  <c r="N1758" i="9"/>
  <c r="M1758" i="9"/>
  <c r="D1758" i="9"/>
  <c r="K1758" i="9"/>
  <c r="C1758" i="9"/>
  <c r="E1758" i="9"/>
  <c r="J1758" i="9"/>
  <c r="L1758" i="9"/>
  <c r="O1758" i="9"/>
  <c r="Q1758" i="9"/>
  <c r="F1758" i="9"/>
  <c r="D1757" i="9"/>
  <c r="F1757" i="9"/>
  <c r="J1757" i="9"/>
  <c r="M1757" i="9"/>
  <c r="N1757" i="9"/>
  <c r="P1757" i="9"/>
  <c r="C1757" i="9"/>
  <c r="O1757" i="9"/>
  <c r="L1757" i="9"/>
  <c r="K1757" i="9"/>
  <c r="E1757" i="9"/>
  <c r="Q1757" i="9"/>
  <c r="O1756" i="9"/>
  <c r="M1756" i="9"/>
  <c r="E1756" i="9"/>
  <c r="C1756" i="9"/>
  <c r="L1756" i="9"/>
  <c r="F1756" i="9"/>
  <c r="J1756" i="9"/>
  <c r="P1756" i="9"/>
  <c r="K1756" i="9"/>
  <c r="N1756" i="9"/>
  <c r="D1756" i="9"/>
  <c r="Q1756" i="9"/>
  <c r="O1755" i="9"/>
  <c r="J1755" i="9"/>
  <c r="Q1755" i="9"/>
  <c r="D1755" i="9"/>
  <c r="C1755" i="9"/>
  <c r="N1755" i="9"/>
  <c r="F1755" i="9"/>
  <c r="L1755" i="9"/>
  <c r="M1755" i="9"/>
  <c r="K1755" i="9"/>
  <c r="P1755" i="9"/>
  <c r="E1755" i="9"/>
  <c r="D1754" i="9"/>
  <c r="F1754" i="9"/>
  <c r="K1754" i="9"/>
  <c r="M1754" i="9"/>
  <c r="O1754" i="9"/>
  <c r="Q1754" i="9"/>
  <c r="P1754" i="9"/>
  <c r="N1754" i="9"/>
  <c r="J1754" i="9"/>
  <c r="C1754" i="9"/>
  <c r="L1754" i="9"/>
  <c r="E1754" i="9"/>
  <c r="C1753" i="9"/>
  <c r="E1753" i="9"/>
  <c r="J1753" i="9"/>
  <c r="M1753" i="9"/>
  <c r="N1753" i="9"/>
  <c r="P1753" i="9"/>
  <c r="Q1753" i="9"/>
  <c r="O1753" i="9"/>
  <c r="L1753" i="9"/>
  <c r="K1753" i="9"/>
  <c r="D1753" i="9"/>
  <c r="F1753" i="9"/>
  <c r="M1752" i="9"/>
  <c r="N1752" i="9"/>
  <c r="E1752" i="9"/>
  <c r="C1752" i="9"/>
  <c r="Q1752" i="9"/>
  <c r="O1752" i="9"/>
  <c r="P1752" i="9"/>
  <c r="L1752" i="9"/>
  <c r="D1752" i="9"/>
  <c r="K1752" i="9"/>
  <c r="J1752" i="9"/>
  <c r="F1752" i="9"/>
  <c r="M1751" i="9"/>
  <c r="J1751" i="9"/>
  <c r="F1751" i="9"/>
  <c r="C1751" i="9"/>
  <c r="O1751" i="9"/>
  <c r="Q1751" i="9"/>
  <c r="P1751" i="9"/>
  <c r="D1751" i="9"/>
  <c r="E1751" i="9"/>
  <c r="K1751" i="9"/>
  <c r="L1751" i="9"/>
  <c r="N1751" i="9"/>
  <c r="P1750" i="9"/>
  <c r="F1750" i="9"/>
  <c r="O1750" i="9"/>
  <c r="Q1750" i="9"/>
  <c r="K1750" i="9"/>
  <c r="D1750" i="9"/>
  <c r="C1750" i="9"/>
  <c r="E1750" i="9"/>
  <c r="J1750" i="9"/>
  <c r="M1750" i="9"/>
  <c r="N1750" i="9"/>
  <c r="L1750" i="9"/>
  <c r="P1749" i="9"/>
  <c r="O1749" i="9"/>
  <c r="K1749" i="9"/>
  <c r="E1749" i="9"/>
  <c r="C1749" i="9"/>
  <c r="D1749" i="9"/>
  <c r="M1749" i="9"/>
  <c r="Q1749" i="9"/>
  <c r="N1749" i="9"/>
  <c r="L1749" i="9"/>
  <c r="J1749" i="9"/>
  <c r="F1749" i="9"/>
  <c r="P1748" i="9"/>
  <c r="L1748" i="9"/>
  <c r="J1748" i="9"/>
  <c r="F1748" i="9"/>
  <c r="D1748" i="9"/>
  <c r="C1748" i="9"/>
  <c r="E1748" i="9"/>
  <c r="K1748" i="9"/>
  <c r="M1748" i="9"/>
  <c r="N1748" i="9"/>
  <c r="O1748" i="9"/>
  <c r="Q1748" i="9"/>
  <c r="E1747" i="9"/>
  <c r="C1747" i="9"/>
  <c r="D1747" i="9"/>
  <c r="J1747" i="9"/>
  <c r="K1747" i="9"/>
  <c r="M1747" i="9"/>
  <c r="O1747" i="9"/>
  <c r="P1747" i="9"/>
  <c r="Q1747" i="9"/>
  <c r="N1747" i="9"/>
  <c r="L1747" i="9"/>
  <c r="F1747" i="9"/>
  <c r="Q1746" i="9"/>
  <c r="C1746" i="9"/>
  <c r="E1746" i="9"/>
  <c r="K1746" i="9"/>
  <c r="M1746" i="9"/>
  <c r="O1746" i="9"/>
  <c r="P1746" i="9"/>
  <c r="D1746" i="9"/>
  <c r="F1746" i="9"/>
  <c r="J1746" i="9"/>
  <c r="L1746" i="9"/>
  <c r="N1746" i="9"/>
  <c r="N1745" i="9"/>
  <c r="L1745" i="9"/>
  <c r="D1745" i="9"/>
  <c r="K1745" i="9"/>
  <c r="M1745" i="9"/>
  <c r="O1745" i="9"/>
  <c r="P1745" i="9"/>
  <c r="Q1745" i="9"/>
  <c r="C1745" i="9"/>
  <c r="E1745" i="9"/>
  <c r="F1745" i="9"/>
  <c r="J1745" i="9"/>
  <c r="Q1744" i="9"/>
  <c r="O1744" i="9"/>
  <c r="M1744" i="9"/>
  <c r="K1744" i="9"/>
  <c r="D1744" i="9"/>
  <c r="C1744" i="9"/>
  <c r="E1744" i="9"/>
  <c r="F1744" i="9"/>
  <c r="J1744" i="9"/>
  <c r="L1744" i="9"/>
  <c r="N1744" i="9"/>
  <c r="P1744" i="9"/>
  <c r="P1743" i="9"/>
  <c r="O1743" i="9"/>
  <c r="N1743" i="9"/>
  <c r="L1743" i="9"/>
  <c r="J1743" i="9"/>
  <c r="F1743" i="9"/>
  <c r="E1743" i="9"/>
  <c r="C1743" i="9"/>
  <c r="Q1743" i="9"/>
  <c r="M1743" i="9"/>
  <c r="D1743" i="9"/>
  <c r="K1743" i="9"/>
  <c r="P1742" i="9"/>
  <c r="O1742" i="9"/>
  <c r="N1742" i="9"/>
  <c r="M1742" i="9"/>
  <c r="K1742" i="9"/>
  <c r="E1742" i="9"/>
  <c r="C1742" i="9"/>
  <c r="L1742" i="9"/>
  <c r="Q1742" i="9"/>
  <c r="D1742" i="9"/>
  <c r="F1742" i="9"/>
  <c r="J1742" i="9"/>
  <c r="Q1741" i="9"/>
  <c r="M1741" i="9"/>
  <c r="J1741" i="9"/>
  <c r="O1741" i="9"/>
  <c r="L1741" i="9"/>
  <c r="E1741" i="9"/>
  <c r="N1741" i="9"/>
  <c r="P1741" i="9"/>
  <c r="D1741" i="9"/>
  <c r="K1741" i="9"/>
  <c r="F1741" i="9"/>
  <c r="C1741" i="9"/>
  <c r="D1740" i="9"/>
  <c r="E1740" i="9"/>
  <c r="C1740" i="9"/>
  <c r="F1740" i="9"/>
  <c r="Q1740" i="9"/>
  <c r="P1740" i="9"/>
  <c r="N1740" i="9"/>
  <c r="J1740" i="9"/>
  <c r="L1740" i="9"/>
  <c r="O1740" i="9"/>
  <c r="M1740" i="9"/>
  <c r="K1740" i="9"/>
  <c r="M1739" i="9"/>
  <c r="P1739" i="9"/>
  <c r="O1739" i="9"/>
  <c r="N1739" i="9"/>
  <c r="K1739" i="9"/>
  <c r="D1739" i="9"/>
  <c r="L1739" i="9"/>
  <c r="J1739" i="9"/>
  <c r="Q1739" i="9"/>
  <c r="C1739" i="9"/>
  <c r="F1739" i="9"/>
  <c r="E1739" i="9"/>
  <c r="P1738" i="9"/>
  <c r="N1738" i="9"/>
  <c r="L1738" i="9"/>
  <c r="J1738" i="9"/>
  <c r="O1738" i="9"/>
  <c r="M1738" i="9"/>
  <c r="C1738" i="9"/>
  <c r="E1738" i="9"/>
  <c r="K1738" i="9"/>
  <c r="D1738" i="9"/>
  <c r="F1738" i="9"/>
  <c r="Q1738" i="9"/>
  <c r="Q1737" i="9"/>
  <c r="C1737" i="9"/>
  <c r="E1737" i="9"/>
  <c r="M1737" i="9"/>
  <c r="O1737" i="9"/>
  <c r="K1737" i="9"/>
  <c r="D1737" i="9"/>
  <c r="F1737" i="9"/>
  <c r="P1737" i="9"/>
  <c r="L1737" i="9"/>
  <c r="N1737" i="9"/>
  <c r="J1737" i="9"/>
  <c r="F1736" i="9"/>
  <c r="D1736" i="9"/>
  <c r="C1736" i="9"/>
  <c r="P1736" i="9"/>
  <c r="Q1736" i="9"/>
  <c r="O1736" i="9"/>
  <c r="M1736" i="9"/>
  <c r="E1736" i="9"/>
  <c r="K1736" i="9"/>
  <c r="J1736" i="9"/>
  <c r="L1736" i="9"/>
  <c r="N1736" i="9"/>
  <c r="K1735" i="9"/>
  <c r="F1735" i="9"/>
  <c r="C1735" i="9"/>
  <c r="M1735" i="9"/>
  <c r="J1735" i="9"/>
  <c r="D1735" i="9"/>
  <c r="O1735" i="9"/>
  <c r="E1735" i="9"/>
  <c r="P1735" i="9"/>
  <c r="Q1735" i="9"/>
  <c r="N1735" i="9"/>
  <c r="L1735" i="9"/>
  <c r="J1734" i="9"/>
  <c r="O1734" i="9"/>
  <c r="N1734" i="9"/>
  <c r="P1734" i="9"/>
  <c r="E1734" i="9"/>
  <c r="C1734" i="9"/>
  <c r="L1734" i="9"/>
  <c r="D1734" i="9"/>
  <c r="F1734" i="9"/>
  <c r="K1734" i="9"/>
  <c r="M1734" i="9"/>
  <c r="Q1734" i="9"/>
  <c r="D1733" i="9"/>
  <c r="F1733" i="9"/>
  <c r="J1733" i="9"/>
  <c r="N1733" i="9"/>
  <c r="P1733" i="9"/>
  <c r="L1733" i="9"/>
  <c r="M1733" i="9"/>
  <c r="E1733" i="9"/>
  <c r="K1733" i="9"/>
  <c r="O1733" i="9"/>
  <c r="Q1733" i="9"/>
  <c r="C1733" i="9"/>
  <c r="Q1732" i="9"/>
  <c r="J1732" i="9"/>
  <c r="O1732" i="9"/>
  <c r="D1732" i="9"/>
  <c r="F1732" i="9"/>
  <c r="L1732" i="9"/>
  <c r="P1732" i="9"/>
  <c r="N1732" i="9"/>
  <c r="K1732" i="9"/>
  <c r="C1732" i="9"/>
  <c r="E1732" i="9"/>
  <c r="M1732" i="9"/>
  <c r="J1731" i="9"/>
  <c r="O1731" i="9"/>
  <c r="K1731" i="9"/>
  <c r="Q1731" i="9"/>
  <c r="M1731" i="9"/>
  <c r="N1731" i="9"/>
  <c r="P1731" i="9"/>
  <c r="D1731" i="9"/>
  <c r="C1731" i="9"/>
  <c r="L1731" i="9"/>
  <c r="F1731" i="9"/>
  <c r="E1731" i="9"/>
  <c r="K1730" i="9"/>
  <c r="M1730" i="9"/>
  <c r="O1730" i="9"/>
  <c r="P1730" i="9"/>
  <c r="C1730" i="9"/>
  <c r="E1730" i="9"/>
  <c r="D1730" i="9"/>
  <c r="F1730" i="9"/>
  <c r="Q1730" i="9"/>
  <c r="N1730" i="9"/>
  <c r="L1730" i="9"/>
  <c r="J1730" i="9"/>
  <c r="D1729" i="9"/>
  <c r="F1729" i="9"/>
  <c r="J1729" i="9"/>
  <c r="L1729" i="9"/>
  <c r="Q1729" i="9"/>
  <c r="N1729" i="9"/>
  <c r="P1729" i="9"/>
  <c r="C1729" i="9"/>
  <c r="E1729" i="9"/>
  <c r="K1729" i="9"/>
  <c r="M1729" i="9"/>
  <c r="O1729" i="9"/>
  <c r="F1728" i="9"/>
  <c r="K1728" i="9"/>
  <c r="C1728" i="9"/>
  <c r="D1728" i="9"/>
  <c r="J1728" i="9"/>
  <c r="L1728" i="9"/>
  <c r="N1728" i="9"/>
  <c r="Q1728" i="9"/>
  <c r="P1728" i="9"/>
  <c r="E1728" i="9"/>
  <c r="O1728" i="9"/>
  <c r="M1728" i="9"/>
  <c r="Q1727" i="9"/>
  <c r="E1727" i="9"/>
  <c r="F1727" i="9"/>
  <c r="M1727" i="9"/>
  <c r="O1727" i="9"/>
  <c r="P1727" i="9"/>
  <c r="K1727" i="9"/>
  <c r="C1727" i="9"/>
  <c r="D1727" i="9"/>
  <c r="J1727" i="9"/>
  <c r="L1727" i="9"/>
  <c r="N1727" i="9"/>
  <c r="O1726" i="9"/>
  <c r="L1726" i="9"/>
  <c r="C1726" i="9"/>
  <c r="J1726" i="9"/>
  <c r="M1726" i="9"/>
  <c r="N1726" i="9"/>
  <c r="F1726" i="9"/>
  <c r="P1726" i="9"/>
  <c r="D1726" i="9"/>
  <c r="E1726" i="9"/>
  <c r="K1726" i="9"/>
  <c r="Q1726" i="9"/>
  <c r="E1725" i="9"/>
  <c r="M1725" i="9"/>
  <c r="O1725" i="9"/>
  <c r="Q1725" i="9"/>
  <c r="P1725" i="9"/>
  <c r="K1725" i="9"/>
  <c r="C1725" i="9"/>
  <c r="D1725" i="9"/>
  <c r="F1725" i="9"/>
  <c r="J1725" i="9"/>
  <c r="L1725" i="9"/>
  <c r="N1725" i="9"/>
  <c r="C1724" i="9"/>
  <c r="O1724" i="9"/>
  <c r="J1724" i="9"/>
  <c r="F1724" i="9"/>
  <c r="P1724" i="9"/>
  <c r="E1724" i="9"/>
  <c r="D1724" i="9"/>
  <c r="K1724" i="9"/>
  <c r="M1724" i="9"/>
  <c r="N1724" i="9"/>
  <c r="Q1724" i="9"/>
  <c r="L1724" i="9"/>
  <c r="D1723" i="9"/>
  <c r="K1723" i="9"/>
  <c r="L1723" i="9"/>
  <c r="Q1723" i="9"/>
  <c r="P1723" i="9"/>
  <c r="O1723" i="9"/>
  <c r="N1723" i="9"/>
  <c r="M1723" i="9"/>
  <c r="J1723" i="9"/>
  <c r="F1723" i="9"/>
  <c r="E1723" i="9"/>
  <c r="C1723" i="9"/>
  <c r="C1722" i="9"/>
  <c r="P1722" i="9"/>
  <c r="O1722" i="9"/>
  <c r="M1722" i="9"/>
  <c r="K1722" i="9"/>
  <c r="F1722" i="9"/>
  <c r="E1722" i="9"/>
  <c r="Q1722" i="9"/>
  <c r="N1722" i="9"/>
  <c r="L1722" i="9"/>
  <c r="J1722" i="9"/>
  <c r="D1722" i="9"/>
  <c r="J1721" i="9"/>
  <c r="L1721" i="9"/>
  <c r="O1721" i="9"/>
  <c r="C1721" i="9"/>
  <c r="K1721" i="9"/>
  <c r="M1721" i="9"/>
  <c r="N1721" i="9"/>
  <c r="P1721" i="9"/>
  <c r="Q1721" i="9"/>
  <c r="D1721" i="9"/>
  <c r="E1721" i="9"/>
  <c r="F1721" i="9"/>
  <c r="O1720" i="9"/>
  <c r="E1720" i="9"/>
  <c r="P1720" i="9"/>
  <c r="D1720" i="9"/>
  <c r="C1720" i="9"/>
  <c r="F1720" i="9"/>
  <c r="J1720" i="9"/>
  <c r="M1720" i="9"/>
  <c r="N1720" i="9"/>
  <c r="Q1720" i="9"/>
  <c r="L1720" i="9"/>
  <c r="K1720" i="9"/>
  <c r="C1719" i="9"/>
  <c r="N1719" i="9"/>
  <c r="P1719" i="9"/>
  <c r="F1719" i="9"/>
  <c r="D1719" i="9"/>
  <c r="K1719" i="9"/>
  <c r="E1719" i="9"/>
  <c r="M1719" i="9"/>
  <c r="Q1719" i="9"/>
  <c r="O1719" i="9"/>
  <c r="L1719" i="9"/>
  <c r="J1719" i="9"/>
  <c r="M1718" i="9"/>
  <c r="N1718" i="9"/>
  <c r="Q1718" i="9"/>
  <c r="P1718" i="9"/>
  <c r="O1718" i="9"/>
  <c r="L1718" i="9"/>
  <c r="J1718" i="9"/>
  <c r="F1718" i="9"/>
  <c r="E1718" i="9"/>
  <c r="D1718" i="9"/>
  <c r="C1718" i="9"/>
  <c r="K1718" i="9"/>
  <c r="P1717" i="9"/>
  <c r="K1717" i="9"/>
  <c r="F1717" i="9"/>
  <c r="C1717" i="9"/>
  <c r="M1717" i="9"/>
  <c r="Q1717" i="9"/>
  <c r="L1717" i="9"/>
  <c r="O1717" i="9"/>
  <c r="N1717" i="9"/>
  <c r="J1717" i="9"/>
  <c r="E1717" i="9"/>
  <c r="D1717" i="9"/>
  <c r="O1716" i="9"/>
  <c r="M1716" i="9"/>
  <c r="K1716" i="9"/>
  <c r="F1716" i="9"/>
  <c r="E1716" i="9"/>
  <c r="D1716" i="9"/>
  <c r="C1716" i="9"/>
  <c r="J1716" i="9"/>
  <c r="L1716" i="9"/>
  <c r="Q1716" i="9"/>
  <c r="P1716" i="9"/>
  <c r="N1716" i="9"/>
  <c r="F1715" i="9"/>
  <c r="M1715" i="9"/>
  <c r="J1715" i="9"/>
  <c r="L1715" i="9"/>
  <c r="O1715" i="9"/>
  <c r="Q1715" i="9"/>
  <c r="K1715" i="9"/>
  <c r="C1715" i="9"/>
  <c r="E1715" i="9"/>
  <c r="P1715" i="9"/>
  <c r="N1715" i="9"/>
  <c r="D1715" i="9"/>
  <c r="E1714" i="9"/>
  <c r="Q1714" i="9"/>
  <c r="O1714" i="9"/>
  <c r="M1714" i="9"/>
  <c r="K1714" i="9"/>
  <c r="F1714" i="9"/>
  <c r="D1714" i="9"/>
  <c r="C1714" i="9"/>
  <c r="J1714" i="9"/>
  <c r="L1714" i="9"/>
  <c r="N1714" i="9"/>
  <c r="P1714" i="9"/>
  <c r="Q1713" i="9"/>
  <c r="O1713" i="9"/>
  <c r="M1713" i="9"/>
  <c r="J1713" i="9"/>
  <c r="D1713" i="9"/>
  <c r="N1713" i="9"/>
  <c r="F1713" i="9"/>
  <c r="P1713" i="9"/>
  <c r="E1713" i="9"/>
  <c r="K1713" i="9"/>
  <c r="C1713" i="9"/>
  <c r="L1713" i="9"/>
  <c r="L1712" i="9"/>
  <c r="J1712" i="9"/>
  <c r="F1712" i="9"/>
  <c r="D1712" i="9"/>
  <c r="E1712" i="9"/>
  <c r="Q1712" i="9"/>
  <c r="C1712" i="9"/>
  <c r="M1712" i="9"/>
  <c r="N1712" i="9"/>
  <c r="K1712" i="9"/>
  <c r="O1712" i="9"/>
  <c r="P1712" i="9"/>
  <c r="C1711" i="9"/>
  <c r="E1711" i="9"/>
  <c r="J1711" i="9"/>
  <c r="K1711" i="9"/>
  <c r="L1711" i="9"/>
  <c r="O1711" i="9"/>
  <c r="Q1711" i="9"/>
  <c r="F1711" i="9"/>
  <c r="P1711" i="9"/>
  <c r="M1711" i="9"/>
  <c r="N1711" i="9"/>
  <c r="D1711" i="9"/>
  <c r="L1710" i="9"/>
  <c r="C1710" i="9"/>
  <c r="Q1710" i="9"/>
  <c r="O1710" i="9"/>
  <c r="J1710" i="9"/>
  <c r="F1710" i="9"/>
  <c r="E1710" i="9"/>
  <c r="P1710" i="9"/>
  <c r="N1710" i="9"/>
  <c r="M1710" i="9"/>
  <c r="K1710" i="9"/>
  <c r="D1710" i="9"/>
  <c r="J1709" i="9"/>
  <c r="K1709" i="9"/>
  <c r="M1709" i="9"/>
  <c r="O1709" i="9"/>
  <c r="Q1709" i="9"/>
  <c r="C1709" i="9"/>
  <c r="E1709" i="9"/>
  <c r="P1709" i="9"/>
  <c r="N1709" i="9"/>
  <c r="L1709" i="9"/>
  <c r="F1709" i="9"/>
  <c r="D1709" i="9"/>
  <c r="K1708" i="9"/>
  <c r="D1708" i="9"/>
  <c r="J1708" i="9"/>
  <c r="L1708" i="9"/>
  <c r="E1708" i="9"/>
  <c r="P1708" i="9"/>
  <c r="O1708" i="9"/>
  <c r="N1708" i="9"/>
  <c r="M1708" i="9"/>
  <c r="Q1708" i="9"/>
  <c r="F1708" i="9"/>
  <c r="C1708" i="9"/>
  <c r="Q1707" i="9"/>
  <c r="O1707" i="9"/>
  <c r="C1707" i="9"/>
  <c r="E1707" i="9"/>
  <c r="F1707" i="9"/>
  <c r="P1707" i="9"/>
  <c r="D1707" i="9"/>
  <c r="K1707" i="9"/>
  <c r="M1707" i="9"/>
  <c r="N1707" i="9"/>
  <c r="L1707" i="9"/>
  <c r="J1707" i="9"/>
  <c r="C1706" i="9"/>
  <c r="E1706" i="9"/>
  <c r="M1706" i="9"/>
  <c r="O1706" i="9"/>
  <c r="Q1706" i="9"/>
  <c r="N1706" i="9"/>
  <c r="L1706" i="9"/>
  <c r="J1706" i="9"/>
  <c r="F1706" i="9"/>
  <c r="D1706" i="9"/>
  <c r="K1706" i="9"/>
  <c r="P1706" i="9"/>
  <c r="P1705" i="9"/>
  <c r="M1705" i="9"/>
  <c r="N1705" i="9"/>
  <c r="L1705" i="9"/>
  <c r="J1705" i="9"/>
  <c r="F1705" i="9"/>
  <c r="E1705" i="9"/>
  <c r="Q1705" i="9"/>
  <c r="O1705" i="9"/>
  <c r="C1705" i="9"/>
  <c r="K1705" i="9"/>
  <c r="D1705" i="9"/>
  <c r="C1704" i="9"/>
  <c r="D1704" i="9"/>
  <c r="E1704" i="9"/>
  <c r="F1704" i="9"/>
  <c r="K1704" i="9"/>
  <c r="M1704" i="9"/>
  <c r="N1704" i="9"/>
  <c r="P1704" i="9"/>
  <c r="J1704" i="9"/>
  <c r="L1704" i="9"/>
  <c r="O1704" i="9"/>
  <c r="Q1704" i="9"/>
  <c r="C1703" i="9"/>
  <c r="D1703" i="9"/>
  <c r="K1703" i="9"/>
  <c r="M1703" i="9"/>
  <c r="N1703" i="9"/>
  <c r="P1703" i="9"/>
  <c r="O1703" i="9"/>
  <c r="L1703" i="9"/>
  <c r="J1703" i="9"/>
  <c r="F1703" i="9"/>
  <c r="E1703" i="9"/>
  <c r="Q1703" i="9"/>
  <c r="P1702" i="9"/>
  <c r="C1702" i="9"/>
  <c r="E1702" i="9"/>
  <c r="F1702" i="9"/>
  <c r="K1702" i="9"/>
  <c r="L1702" i="9"/>
  <c r="O1702" i="9"/>
  <c r="Q1702" i="9"/>
  <c r="N1702" i="9"/>
  <c r="M1702" i="9"/>
  <c r="J1702" i="9"/>
  <c r="D1702" i="9"/>
  <c r="K1701" i="9"/>
  <c r="E1701" i="9"/>
  <c r="C1701" i="9"/>
  <c r="D1701" i="9"/>
  <c r="F1701" i="9"/>
  <c r="J1701" i="9"/>
  <c r="O1701" i="9"/>
  <c r="N1701" i="9"/>
  <c r="M1701" i="9"/>
  <c r="L1701" i="9"/>
  <c r="Q1701" i="9"/>
  <c r="P1701" i="9"/>
  <c r="K1700" i="9"/>
  <c r="C1700" i="9"/>
  <c r="P1700" i="9"/>
  <c r="D1700" i="9"/>
  <c r="E1700" i="9"/>
  <c r="F1700" i="9"/>
  <c r="J1700" i="9"/>
  <c r="O1700" i="9"/>
  <c r="L1700" i="9"/>
  <c r="Q1700" i="9"/>
  <c r="N1700" i="9"/>
  <c r="M1700" i="9"/>
  <c r="N1699" i="9"/>
  <c r="L1699" i="9"/>
  <c r="K1699" i="9"/>
  <c r="E1699" i="9"/>
  <c r="C1699" i="9"/>
  <c r="F1699" i="9"/>
  <c r="J1699" i="9"/>
  <c r="M1699" i="9"/>
  <c r="O1699" i="9"/>
  <c r="P1699" i="9"/>
  <c r="Q1699" i="9"/>
  <c r="D1699" i="9"/>
  <c r="N1698" i="9"/>
  <c r="P1698" i="9"/>
  <c r="Q1698" i="9"/>
  <c r="O1698" i="9"/>
  <c r="M1698" i="9"/>
  <c r="C1698" i="9"/>
  <c r="K1698" i="9"/>
  <c r="J1698" i="9"/>
  <c r="F1698" i="9"/>
  <c r="E1698" i="9"/>
  <c r="L1698" i="9"/>
  <c r="D1698" i="9"/>
  <c r="J1697" i="9"/>
  <c r="F1697" i="9"/>
  <c r="D1697" i="9"/>
  <c r="C1697" i="9"/>
  <c r="M1697" i="9"/>
  <c r="E1697" i="9"/>
  <c r="K1697" i="9"/>
  <c r="L1697" i="9"/>
  <c r="N1697" i="9"/>
  <c r="P1697" i="9"/>
  <c r="O1697" i="9"/>
  <c r="Q1697" i="9"/>
  <c r="Q1696" i="9"/>
  <c r="N1696" i="9"/>
  <c r="L1696" i="9"/>
  <c r="J1696" i="9"/>
  <c r="F1696" i="9"/>
  <c r="E1696" i="9"/>
  <c r="C1696" i="9"/>
  <c r="K1696" i="9"/>
  <c r="P1696" i="9"/>
  <c r="O1696" i="9"/>
  <c r="M1696" i="9"/>
  <c r="D1696" i="9"/>
  <c r="E1695" i="9"/>
  <c r="K1695" i="9"/>
  <c r="M1695" i="9"/>
  <c r="P1695" i="9"/>
  <c r="N1695" i="9"/>
  <c r="L1695" i="9"/>
  <c r="F1695" i="9"/>
  <c r="D1695" i="9"/>
  <c r="C1695" i="9"/>
  <c r="J1695" i="9"/>
  <c r="Q1695" i="9"/>
  <c r="O1695" i="9"/>
  <c r="J1694" i="9"/>
  <c r="F1694" i="9"/>
  <c r="E1694" i="9"/>
  <c r="D1694" i="9"/>
  <c r="K1694" i="9"/>
  <c r="Q1694" i="9"/>
  <c r="N1694" i="9"/>
  <c r="P1694" i="9"/>
  <c r="O1694" i="9"/>
  <c r="L1694" i="9"/>
  <c r="M1694" i="9"/>
  <c r="C1694" i="9"/>
  <c r="C1693" i="9"/>
  <c r="F1693" i="9"/>
  <c r="K1693" i="9"/>
  <c r="M1693" i="9"/>
  <c r="O1693" i="9"/>
  <c r="Q1693" i="9"/>
  <c r="P1693" i="9"/>
  <c r="N1693" i="9"/>
  <c r="L1693" i="9"/>
  <c r="J1693" i="9"/>
  <c r="E1693" i="9"/>
  <c r="D1693" i="9"/>
  <c r="Q1692" i="9"/>
  <c r="E1692" i="9"/>
  <c r="D1692" i="9"/>
  <c r="L1692" i="9"/>
  <c r="J1692" i="9"/>
  <c r="C1692" i="9"/>
  <c r="P1692" i="9"/>
  <c r="N1692" i="9"/>
  <c r="O1692" i="9"/>
  <c r="M1692" i="9"/>
  <c r="K1692" i="9"/>
  <c r="F1692" i="9"/>
  <c r="J1691" i="9"/>
  <c r="K1691" i="9"/>
  <c r="F1691" i="9"/>
  <c r="E1691" i="9"/>
  <c r="C1691" i="9"/>
  <c r="D1691" i="9"/>
  <c r="L1691" i="9"/>
  <c r="P1691" i="9"/>
  <c r="O1691" i="9"/>
  <c r="N1691" i="9"/>
  <c r="Q1691" i="9"/>
  <c r="M1691" i="9"/>
  <c r="K1690" i="9"/>
  <c r="J1690" i="9"/>
  <c r="C1690" i="9"/>
  <c r="Q1690" i="9"/>
  <c r="O1690" i="9"/>
  <c r="M1690" i="9"/>
  <c r="P1690" i="9"/>
  <c r="D1690" i="9"/>
  <c r="N1690" i="9"/>
  <c r="E1690" i="9"/>
  <c r="F1690" i="9"/>
  <c r="L1690" i="9"/>
  <c r="M1689" i="9"/>
  <c r="L1689" i="9"/>
  <c r="F1689" i="9"/>
  <c r="C1689" i="9"/>
  <c r="D1689" i="9"/>
  <c r="E1689" i="9"/>
  <c r="O1689" i="9"/>
  <c r="Q1689" i="9"/>
  <c r="P1689" i="9"/>
  <c r="N1689" i="9"/>
  <c r="K1689" i="9"/>
  <c r="J1689" i="9"/>
  <c r="D1688" i="9"/>
  <c r="K1688" i="9"/>
  <c r="L1688" i="9"/>
  <c r="Q1688" i="9"/>
  <c r="P1688" i="9"/>
  <c r="O1688" i="9"/>
  <c r="N1688" i="9"/>
  <c r="M1688" i="9"/>
  <c r="J1688" i="9"/>
  <c r="F1688" i="9"/>
  <c r="E1688" i="9"/>
  <c r="C1688" i="9"/>
  <c r="J1687" i="9"/>
  <c r="F1687" i="9"/>
  <c r="D1687" i="9"/>
  <c r="N1687" i="9"/>
  <c r="P1687" i="9"/>
  <c r="Q1687" i="9"/>
  <c r="O1687" i="9"/>
  <c r="M1687" i="9"/>
  <c r="K1687" i="9"/>
  <c r="L1687" i="9"/>
  <c r="E1687" i="9"/>
  <c r="C1687" i="9"/>
  <c r="L1686" i="9"/>
  <c r="F1686" i="9"/>
  <c r="J1686" i="9"/>
  <c r="O1686" i="9"/>
  <c r="P1686" i="9"/>
  <c r="D1686" i="9"/>
  <c r="K1686" i="9"/>
  <c r="E1686" i="9"/>
  <c r="C1686" i="9"/>
  <c r="Q1686" i="9"/>
  <c r="N1686" i="9"/>
  <c r="M1686" i="9"/>
  <c r="O1685" i="9"/>
  <c r="K1685" i="9"/>
  <c r="D1685" i="9"/>
  <c r="P1685" i="9"/>
  <c r="N1685" i="9"/>
  <c r="L1685" i="9"/>
  <c r="J1685" i="9"/>
  <c r="F1685" i="9"/>
  <c r="M1685" i="9"/>
  <c r="E1685" i="9"/>
  <c r="C1685" i="9"/>
  <c r="Q1685" i="9"/>
  <c r="P1684" i="9"/>
  <c r="J1684" i="9"/>
  <c r="E1684" i="9"/>
  <c r="L1684" i="9"/>
  <c r="C1684" i="9"/>
  <c r="O1684" i="9"/>
  <c r="Q1684" i="9"/>
  <c r="N1684" i="9"/>
  <c r="M1684" i="9"/>
  <c r="D1684" i="9"/>
  <c r="K1684" i="9"/>
  <c r="F1684" i="9"/>
  <c r="E1683" i="9"/>
  <c r="C1683" i="9"/>
  <c r="D1683" i="9"/>
  <c r="F1683" i="9"/>
  <c r="L1683" i="9"/>
  <c r="N1683" i="9"/>
  <c r="Q1683" i="9"/>
  <c r="J1683" i="9"/>
  <c r="P1683" i="9"/>
  <c r="O1683" i="9"/>
  <c r="M1683" i="9"/>
  <c r="K1683" i="9"/>
  <c r="D1682" i="9"/>
  <c r="J1682" i="9"/>
  <c r="L1682" i="9"/>
  <c r="O1682" i="9"/>
  <c r="C1682" i="9"/>
  <c r="F1682" i="9"/>
  <c r="K1682" i="9"/>
  <c r="M1682" i="9"/>
  <c r="N1682" i="9"/>
  <c r="P1682" i="9"/>
  <c r="Q1682" i="9"/>
  <c r="E1682" i="9"/>
  <c r="L1681" i="9"/>
  <c r="F1681" i="9"/>
  <c r="E1681" i="9"/>
  <c r="D1681" i="9"/>
  <c r="C1681" i="9"/>
  <c r="M1681" i="9"/>
  <c r="N1681" i="9"/>
  <c r="K1681" i="9"/>
  <c r="P1681" i="9"/>
  <c r="O1681" i="9"/>
  <c r="Q1681" i="9"/>
  <c r="J1681" i="9"/>
  <c r="P1680" i="9"/>
  <c r="F1680" i="9"/>
  <c r="O1680" i="9"/>
  <c r="M1680" i="9"/>
  <c r="K1680" i="9"/>
  <c r="D1680" i="9"/>
  <c r="C1680" i="9"/>
  <c r="N1680" i="9"/>
  <c r="Q1680" i="9"/>
  <c r="L1680" i="9"/>
  <c r="J1680" i="9"/>
  <c r="E1680" i="9"/>
  <c r="N1679" i="9"/>
  <c r="L1679" i="9"/>
  <c r="K1679" i="9"/>
  <c r="E1679" i="9"/>
  <c r="D1679" i="9"/>
  <c r="Q1679" i="9"/>
  <c r="P1679" i="9"/>
  <c r="O1679" i="9"/>
  <c r="M1679" i="9"/>
  <c r="J1679" i="9"/>
  <c r="F1679" i="9"/>
  <c r="C1679" i="9"/>
  <c r="Q1678" i="9"/>
  <c r="J1678" i="9"/>
  <c r="C1678" i="9"/>
  <c r="D1678" i="9"/>
  <c r="L1678" i="9"/>
  <c r="F1678" i="9"/>
  <c r="N1678" i="9"/>
  <c r="P1678" i="9"/>
  <c r="O1678" i="9"/>
  <c r="M1678" i="9"/>
  <c r="K1678" i="9"/>
  <c r="E1678" i="9"/>
  <c r="J1677" i="9"/>
  <c r="D1677" i="9"/>
  <c r="E1677" i="9"/>
  <c r="F1677" i="9"/>
  <c r="M1677" i="9"/>
  <c r="O1677" i="9"/>
  <c r="P1677" i="9"/>
  <c r="N1677" i="9"/>
  <c r="L1677" i="9"/>
  <c r="K1677" i="9"/>
  <c r="Q1677" i="9"/>
  <c r="C1677" i="9"/>
  <c r="Q1676" i="9"/>
  <c r="J1676" i="9"/>
  <c r="P1676" i="9"/>
  <c r="O1676" i="9"/>
  <c r="N1676" i="9"/>
  <c r="L1676" i="9"/>
  <c r="C1676" i="9"/>
  <c r="D1676" i="9"/>
  <c r="E1676" i="9"/>
  <c r="F1676" i="9"/>
  <c r="K1676" i="9"/>
  <c r="M1676" i="9"/>
  <c r="F1675" i="9"/>
  <c r="D1675" i="9"/>
  <c r="C1675" i="9"/>
  <c r="E1675" i="9"/>
  <c r="J1675" i="9"/>
  <c r="K1675" i="9"/>
  <c r="L1675" i="9"/>
  <c r="M1675" i="9"/>
  <c r="N1675" i="9"/>
  <c r="O1675" i="9"/>
  <c r="P1675" i="9"/>
  <c r="Q1675" i="9"/>
  <c r="M1674" i="9"/>
  <c r="O1674" i="9"/>
  <c r="P1674" i="9"/>
  <c r="N1674" i="9"/>
  <c r="Q1674" i="9"/>
  <c r="L1674" i="9"/>
  <c r="J1674" i="9"/>
  <c r="F1674" i="9"/>
  <c r="K1674" i="9"/>
  <c r="D1674" i="9"/>
  <c r="E1674" i="9"/>
  <c r="C1674" i="9"/>
  <c r="J1673" i="9"/>
  <c r="F1673" i="9"/>
  <c r="E1673" i="9"/>
  <c r="D1673" i="9"/>
  <c r="O1673" i="9"/>
  <c r="P1673" i="9"/>
  <c r="N1673" i="9"/>
  <c r="L1673" i="9"/>
  <c r="Q1673" i="9"/>
  <c r="M1673" i="9"/>
  <c r="K1673" i="9"/>
  <c r="C1673" i="9"/>
  <c r="D1672" i="9"/>
  <c r="P1672" i="9"/>
  <c r="J1672" i="9"/>
  <c r="K1672" i="9"/>
  <c r="M1672" i="9"/>
  <c r="N1672" i="9"/>
  <c r="F1672" i="9"/>
  <c r="Q1672" i="9"/>
  <c r="L1672" i="9"/>
  <c r="O1672" i="9"/>
  <c r="E1672" i="9"/>
  <c r="C1672" i="9"/>
  <c r="E1671" i="9"/>
  <c r="F1671" i="9"/>
  <c r="J1671" i="9"/>
  <c r="Q1671" i="9"/>
  <c r="O1671" i="9"/>
  <c r="M1671" i="9"/>
  <c r="K1671" i="9"/>
  <c r="D1671" i="9"/>
  <c r="C1671" i="9"/>
  <c r="P1671" i="9"/>
  <c r="N1671" i="9"/>
  <c r="L1671" i="9"/>
  <c r="L1670" i="9"/>
  <c r="N1670" i="9"/>
  <c r="J1670" i="9"/>
  <c r="O1670" i="9"/>
  <c r="Q1670" i="9"/>
  <c r="E1670" i="9"/>
  <c r="D1670" i="9"/>
  <c r="C1670" i="9"/>
  <c r="F1670" i="9"/>
  <c r="P1670" i="9"/>
  <c r="M1670" i="9"/>
  <c r="K1670" i="9"/>
  <c r="E1669" i="9"/>
  <c r="F1669" i="9"/>
  <c r="J1669" i="9"/>
  <c r="O1669" i="9"/>
  <c r="Q1669" i="9"/>
  <c r="C1669" i="9"/>
  <c r="K1669" i="9"/>
  <c r="L1669" i="9"/>
  <c r="N1669" i="9"/>
  <c r="M1669" i="9"/>
  <c r="P1669" i="9"/>
  <c r="D1669" i="9"/>
  <c r="O1668" i="9"/>
  <c r="Q1668" i="9"/>
  <c r="L1668" i="9"/>
  <c r="M1668" i="9"/>
  <c r="P1668" i="9"/>
  <c r="C1668" i="9"/>
  <c r="F1668" i="9"/>
  <c r="N1668" i="9"/>
  <c r="K1668" i="9"/>
  <c r="J1668" i="9"/>
  <c r="E1668" i="9"/>
  <c r="D1668" i="9"/>
  <c r="D1667" i="9"/>
  <c r="F1667" i="9"/>
  <c r="K1667" i="9"/>
  <c r="L1667" i="9"/>
  <c r="O1667" i="9"/>
  <c r="P1667" i="9"/>
  <c r="Q1667" i="9"/>
  <c r="N1667" i="9"/>
  <c r="M1667" i="9"/>
  <c r="J1667" i="9"/>
  <c r="E1667" i="9"/>
  <c r="C1667" i="9"/>
  <c r="D1666" i="9"/>
  <c r="N1666" i="9"/>
  <c r="L1666" i="9"/>
  <c r="F1666" i="9"/>
  <c r="C1666" i="9"/>
  <c r="J1666" i="9"/>
  <c r="P1666" i="9"/>
  <c r="Q1666" i="9"/>
  <c r="O1666" i="9"/>
  <c r="M1666" i="9"/>
  <c r="K1666" i="9"/>
  <c r="E1666" i="9"/>
  <c r="Q1665" i="9"/>
  <c r="E1665" i="9"/>
  <c r="F1665" i="9"/>
  <c r="M1665" i="9"/>
  <c r="N1665" i="9"/>
  <c r="K1665" i="9"/>
  <c r="P1665" i="9"/>
  <c r="O1665" i="9"/>
  <c r="L1665" i="9"/>
  <c r="J1665" i="9"/>
  <c r="D1665" i="9"/>
  <c r="C1665" i="9"/>
  <c r="F1664" i="9"/>
  <c r="C1664" i="9"/>
  <c r="J1664" i="9"/>
  <c r="L1664" i="9"/>
  <c r="N1664" i="9"/>
  <c r="Q1664" i="9"/>
  <c r="O1664" i="9"/>
  <c r="M1664" i="9"/>
  <c r="K1664" i="9"/>
  <c r="E1664" i="9"/>
  <c r="D1664" i="9"/>
  <c r="P1664" i="9"/>
  <c r="L1663" i="9"/>
  <c r="N1663" i="9"/>
  <c r="Q1663" i="9"/>
  <c r="F1663" i="9"/>
  <c r="J1663" i="9"/>
  <c r="O1663" i="9"/>
  <c r="M1663" i="9"/>
  <c r="P1663" i="9"/>
  <c r="D1663" i="9"/>
  <c r="E1663" i="9"/>
  <c r="C1663" i="9"/>
  <c r="K1663" i="9"/>
  <c r="O1662" i="9"/>
  <c r="P1662" i="9"/>
  <c r="J1662" i="9"/>
  <c r="D1662" i="9"/>
  <c r="E1662" i="9"/>
  <c r="F1662" i="9"/>
  <c r="L1662" i="9"/>
  <c r="N1662" i="9"/>
  <c r="Q1662" i="9"/>
  <c r="C1662" i="9"/>
  <c r="K1662" i="9"/>
  <c r="M1662" i="9"/>
  <c r="Q1661" i="9"/>
  <c r="C1661" i="9"/>
  <c r="J1661" i="9"/>
  <c r="L1661" i="9"/>
  <c r="P1661" i="9"/>
  <c r="O1661" i="9"/>
  <c r="E1661" i="9"/>
  <c r="N1661" i="9"/>
  <c r="M1661" i="9"/>
  <c r="K1661" i="9"/>
  <c r="F1661" i="9"/>
  <c r="D1661" i="9"/>
  <c r="L1660" i="9"/>
  <c r="C1660" i="9"/>
  <c r="Q1660" i="9"/>
  <c r="N1660" i="9"/>
  <c r="J1660" i="9"/>
  <c r="F1660" i="9"/>
  <c r="E1660" i="9"/>
  <c r="P1660" i="9"/>
  <c r="O1660" i="9"/>
  <c r="M1660" i="9"/>
  <c r="K1660" i="9"/>
  <c r="D1660" i="9"/>
  <c r="N1659" i="9"/>
  <c r="L1659" i="9"/>
  <c r="F1659" i="9"/>
  <c r="C1659" i="9"/>
  <c r="M1659" i="9"/>
  <c r="E1659" i="9"/>
  <c r="D1659" i="9"/>
  <c r="K1659" i="9"/>
  <c r="J1659" i="9"/>
  <c r="P1659" i="9"/>
  <c r="Q1659" i="9"/>
  <c r="O1659" i="9"/>
  <c r="Q1658" i="9"/>
  <c r="D1658" i="9"/>
  <c r="E1658" i="9"/>
  <c r="M1658" i="9"/>
  <c r="K1658" i="9"/>
  <c r="C1658" i="9"/>
  <c r="P1658" i="9"/>
  <c r="F1658" i="9"/>
  <c r="J1658" i="9"/>
  <c r="L1658" i="9"/>
  <c r="N1658" i="9"/>
  <c r="O1658" i="9"/>
  <c r="P1657" i="9"/>
  <c r="D1657" i="9"/>
  <c r="J1657" i="9"/>
  <c r="L1657" i="9"/>
  <c r="O1657" i="9"/>
  <c r="Q1657" i="9"/>
  <c r="C1657" i="9"/>
  <c r="N1657" i="9"/>
  <c r="M1657" i="9"/>
  <c r="K1657" i="9"/>
  <c r="F1657" i="9"/>
  <c r="E1657" i="9"/>
  <c r="J1656" i="9"/>
  <c r="F1656" i="9"/>
  <c r="D1656" i="9"/>
  <c r="L1656" i="9"/>
  <c r="N1656" i="9"/>
  <c r="P1656" i="9"/>
  <c r="O1656" i="9"/>
  <c r="E1656" i="9"/>
  <c r="C1656" i="9"/>
  <c r="M1656" i="9"/>
  <c r="K1656" i="9"/>
  <c r="Q1656" i="9"/>
  <c r="N1655" i="9"/>
  <c r="L1655" i="9"/>
  <c r="O1655" i="9"/>
  <c r="Q1655" i="9"/>
  <c r="F1655" i="9"/>
  <c r="C1655" i="9"/>
  <c r="P1655" i="9"/>
  <c r="D1655" i="9"/>
  <c r="K1655" i="9"/>
  <c r="J1655" i="9"/>
  <c r="M1655" i="9"/>
  <c r="E1655" i="9"/>
  <c r="E1654" i="9"/>
  <c r="C1654" i="9"/>
  <c r="F1654" i="9"/>
  <c r="J1654" i="9"/>
  <c r="L1654" i="9"/>
  <c r="N1654" i="9"/>
  <c r="P1654" i="9"/>
  <c r="M1654" i="9"/>
  <c r="K1654" i="9"/>
  <c r="Q1654" i="9"/>
  <c r="O1654" i="9"/>
  <c r="D1654" i="9"/>
  <c r="N1653" i="9"/>
  <c r="L1653" i="9"/>
  <c r="J1653" i="9"/>
  <c r="D1653" i="9"/>
  <c r="E1653" i="9"/>
  <c r="C1653" i="9"/>
  <c r="F1653" i="9"/>
  <c r="M1653" i="9"/>
  <c r="K1653" i="9"/>
  <c r="O1653" i="9"/>
  <c r="P1653" i="9"/>
  <c r="Q1653" i="9"/>
  <c r="F1652" i="9"/>
  <c r="E1652" i="9"/>
  <c r="C1652" i="9"/>
  <c r="N1652" i="9"/>
  <c r="P1652" i="9"/>
  <c r="L1652" i="9"/>
  <c r="K1652" i="9"/>
  <c r="D1652" i="9"/>
  <c r="M1652" i="9"/>
  <c r="O1652" i="9"/>
  <c r="Q1652" i="9"/>
  <c r="J1652" i="9"/>
  <c r="C1651" i="9"/>
  <c r="D1651" i="9"/>
  <c r="F1651" i="9"/>
  <c r="P1651" i="9"/>
  <c r="M1651" i="9"/>
  <c r="N1651" i="9"/>
  <c r="E1651" i="9"/>
  <c r="J1651" i="9"/>
  <c r="O1651" i="9"/>
  <c r="L1651" i="9"/>
  <c r="Q1651" i="9"/>
  <c r="K1651" i="9"/>
  <c r="M1650" i="9"/>
  <c r="E1650" i="9"/>
  <c r="C1650" i="9"/>
  <c r="P1650" i="9"/>
  <c r="D1650" i="9"/>
  <c r="F1650" i="9"/>
  <c r="J1650" i="9"/>
  <c r="L1650" i="9"/>
  <c r="O1650" i="9"/>
  <c r="Q1650" i="9"/>
  <c r="K1650" i="9"/>
  <c r="N1650" i="9"/>
  <c r="M1649" i="9"/>
  <c r="Q1649" i="9"/>
  <c r="N1649" i="9"/>
  <c r="K1649" i="9"/>
  <c r="L1649" i="9"/>
  <c r="D1649" i="9"/>
  <c r="F1649" i="9"/>
  <c r="J1649" i="9"/>
  <c r="E1649" i="9"/>
  <c r="P1649" i="9"/>
  <c r="C1649" i="9"/>
  <c r="O1649" i="9"/>
  <c r="F1648" i="9"/>
  <c r="J1648" i="9"/>
  <c r="L1648" i="9"/>
  <c r="N1648" i="9"/>
  <c r="O1648" i="9"/>
  <c r="Q1648" i="9"/>
  <c r="M1648" i="9"/>
  <c r="P1648" i="9"/>
  <c r="E1648" i="9"/>
  <c r="O1647" i="9"/>
  <c r="P1647" i="9"/>
  <c r="Q1647" i="9"/>
  <c r="L1647" i="9"/>
  <c r="C1647" i="9"/>
  <c r="D1647" i="9"/>
  <c r="E1647" i="9"/>
  <c r="F1647" i="9"/>
  <c r="J1647" i="9"/>
  <c r="K1647" i="9"/>
  <c r="M1647" i="9"/>
  <c r="N1647" i="9"/>
  <c r="Q1646" i="9"/>
  <c r="D1646" i="9"/>
  <c r="K1646" i="9"/>
  <c r="M1646" i="9"/>
  <c r="C1646" i="9"/>
  <c r="L1646" i="9"/>
  <c r="J1646" i="9"/>
  <c r="O1646" i="9"/>
  <c r="E1646" i="9"/>
  <c r="F1646" i="9"/>
  <c r="P1646" i="9"/>
  <c r="N1646" i="9"/>
  <c r="L1645" i="9"/>
  <c r="F1645" i="9"/>
  <c r="K1645" i="9"/>
  <c r="M1645" i="9"/>
  <c r="O1645" i="9"/>
  <c r="P1645" i="9"/>
  <c r="Q1645" i="9"/>
  <c r="N1645" i="9"/>
  <c r="D1645" i="9"/>
  <c r="J1645" i="9"/>
  <c r="E1645" i="9"/>
  <c r="C1645" i="9"/>
  <c r="L1644" i="9"/>
  <c r="Q1644" i="9"/>
  <c r="O1644" i="9"/>
  <c r="J1644" i="9"/>
  <c r="F1644" i="9"/>
  <c r="E1644" i="9"/>
  <c r="K1644" i="9"/>
  <c r="P1644" i="9"/>
  <c r="N1644" i="9"/>
  <c r="D1644" i="9"/>
  <c r="C1644" i="9"/>
  <c r="M1644" i="9"/>
  <c r="E1643" i="9"/>
  <c r="J1643" i="9"/>
  <c r="M1643" i="9"/>
  <c r="F1643" i="9"/>
  <c r="D1643" i="9"/>
  <c r="K1643" i="9"/>
  <c r="N1643" i="9"/>
  <c r="P1643" i="9"/>
  <c r="Q1643" i="9"/>
  <c r="L1643" i="9"/>
  <c r="O1643" i="9"/>
  <c r="C1643" i="9"/>
  <c r="D1642" i="9"/>
  <c r="E1642" i="9"/>
  <c r="J1642" i="9"/>
  <c r="M1642" i="9"/>
  <c r="F1642" i="9"/>
  <c r="O1642" i="9"/>
  <c r="P1642" i="9"/>
  <c r="Q1642" i="9"/>
  <c r="C1642" i="9"/>
  <c r="L1642" i="9"/>
  <c r="N1642" i="9"/>
  <c r="K1642" i="9"/>
  <c r="J1641" i="9"/>
  <c r="O1641" i="9"/>
  <c r="K1641" i="9"/>
  <c r="F1641" i="9"/>
  <c r="E1641" i="9"/>
  <c r="D1641" i="9"/>
  <c r="Q1641" i="9"/>
  <c r="P1641" i="9"/>
  <c r="N1641" i="9"/>
  <c r="L1641" i="9"/>
  <c r="M1641" i="9"/>
  <c r="C1641" i="9"/>
  <c r="C1640" i="9"/>
  <c r="M1640" i="9"/>
  <c r="E1640" i="9"/>
  <c r="P1640" i="9"/>
  <c r="F1640" i="9"/>
  <c r="J1640" i="9"/>
  <c r="L1640" i="9"/>
  <c r="Q1640" i="9"/>
  <c r="D1640" i="9"/>
  <c r="K1640" i="9"/>
  <c r="N1640" i="9"/>
  <c r="O1640" i="9"/>
  <c r="E1639" i="9"/>
  <c r="F1639" i="9"/>
  <c r="D1639" i="9"/>
  <c r="K1639" i="9"/>
  <c r="O1639" i="9"/>
  <c r="L1639" i="9"/>
  <c r="P1639" i="9"/>
  <c r="N1639" i="9"/>
  <c r="J1639" i="9"/>
  <c r="M1639" i="9"/>
  <c r="C1639" i="9"/>
  <c r="Q1639" i="9"/>
  <c r="F1638" i="9"/>
  <c r="D1638" i="9"/>
  <c r="Q1638" i="9"/>
  <c r="E1638" i="9"/>
  <c r="L1638" i="9"/>
  <c r="K1638" i="9"/>
  <c r="N1638" i="9"/>
  <c r="P1638" i="9"/>
  <c r="C1638" i="9"/>
  <c r="M1638" i="9"/>
  <c r="O1638" i="9"/>
  <c r="J1638" i="9"/>
  <c r="F1637" i="9"/>
  <c r="J1637" i="9"/>
  <c r="M1637" i="9"/>
  <c r="O1637" i="9"/>
  <c r="Q1637" i="9"/>
  <c r="L1637" i="9"/>
  <c r="P1637" i="9"/>
  <c r="N1637" i="9"/>
  <c r="K1637" i="9"/>
  <c r="C1637" i="9"/>
  <c r="D1637" i="9"/>
  <c r="E1637" i="9"/>
  <c r="Q1636" i="9"/>
  <c r="M1636" i="9"/>
  <c r="O1636" i="9"/>
  <c r="L1636" i="9"/>
  <c r="J1636" i="9"/>
  <c r="F1636" i="9"/>
  <c r="P1636" i="9"/>
  <c r="N1636" i="9"/>
  <c r="C1636" i="9"/>
  <c r="K1636" i="9"/>
  <c r="E1636" i="9"/>
  <c r="D1636" i="9"/>
  <c r="M1635" i="9"/>
  <c r="K1635" i="9"/>
  <c r="C1635" i="9"/>
  <c r="N1635" i="9"/>
  <c r="F1635" i="9"/>
  <c r="E1635" i="9"/>
  <c r="Q1635" i="9"/>
  <c r="D1635" i="9"/>
  <c r="J1635" i="9"/>
  <c r="L1635" i="9"/>
  <c r="P1635" i="9"/>
  <c r="O1635" i="9"/>
  <c r="C1634" i="9"/>
  <c r="K1634" i="9"/>
  <c r="N1634" i="9"/>
  <c r="P1634" i="9"/>
  <c r="F1634" i="9"/>
  <c r="D1634" i="9"/>
  <c r="E1634" i="9"/>
  <c r="Q1634" i="9"/>
  <c r="O1634" i="9"/>
  <c r="L1634" i="9"/>
  <c r="J1634" i="9"/>
  <c r="M1634" i="9"/>
  <c r="E1633" i="9"/>
  <c r="F1633" i="9"/>
  <c r="M1633" i="9"/>
  <c r="P1633" i="9"/>
  <c r="Q1633" i="9"/>
  <c r="J1633" i="9"/>
  <c r="N1633" i="9"/>
  <c r="D1633" i="9"/>
  <c r="C1633" i="9"/>
  <c r="L1633" i="9"/>
  <c r="O1633" i="9"/>
  <c r="K1633" i="9"/>
  <c r="K1632" i="9"/>
  <c r="J1632" i="9"/>
  <c r="C1632" i="9"/>
  <c r="D1632" i="9"/>
  <c r="N1632" i="9"/>
  <c r="E1632" i="9"/>
  <c r="P1632" i="9"/>
  <c r="F1632" i="9"/>
  <c r="Q1632" i="9"/>
  <c r="L1632" i="9"/>
  <c r="M1632" i="9"/>
  <c r="O1632" i="9"/>
  <c r="O1631" i="9"/>
  <c r="E1631" i="9"/>
  <c r="F1631" i="9"/>
  <c r="J1631" i="9"/>
  <c r="L1631" i="9"/>
  <c r="P1631" i="9"/>
  <c r="C1631" i="9"/>
  <c r="M1631" i="9"/>
  <c r="Q1631" i="9"/>
  <c r="D1631" i="9"/>
  <c r="K1631" i="9"/>
  <c r="N1631" i="9"/>
  <c r="Q1630" i="9"/>
  <c r="F1630" i="9"/>
  <c r="L1630" i="9"/>
  <c r="O1630" i="9"/>
  <c r="C1630" i="9"/>
  <c r="K1630" i="9"/>
  <c r="N1630" i="9"/>
  <c r="P1630" i="9"/>
  <c r="M1630" i="9"/>
  <c r="D1630" i="9"/>
  <c r="J1630" i="9"/>
  <c r="E1630" i="9"/>
  <c r="O1629" i="9"/>
  <c r="L1629" i="9"/>
  <c r="D1629" i="9"/>
  <c r="F1629" i="9"/>
  <c r="Q1629" i="9"/>
  <c r="E1629" i="9"/>
  <c r="M1629" i="9"/>
  <c r="J1629" i="9"/>
  <c r="C1629" i="9"/>
  <c r="P1629" i="9"/>
  <c r="N1629" i="9"/>
  <c r="K1629" i="9"/>
  <c r="P1628" i="9"/>
  <c r="N1628" i="9"/>
  <c r="L1628" i="9"/>
  <c r="Q1628" i="9"/>
  <c r="O1628" i="9"/>
  <c r="J1628" i="9"/>
  <c r="M1628" i="9"/>
  <c r="K1628" i="9"/>
  <c r="F1628" i="9"/>
  <c r="E1628" i="9"/>
  <c r="D1628" i="9"/>
  <c r="C1628" i="9"/>
  <c r="Q1627" i="9"/>
  <c r="P1627" i="9"/>
  <c r="M1627" i="9"/>
  <c r="J1627" i="9"/>
  <c r="C1627" i="9"/>
  <c r="N1627" i="9"/>
  <c r="K1627" i="9"/>
  <c r="D1627" i="9"/>
  <c r="E1627" i="9"/>
  <c r="F1627" i="9"/>
  <c r="L1627" i="9"/>
  <c r="O1627" i="9"/>
  <c r="P1626" i="9"/>
  <c r="J1626" i="9"/>
  <c r="F1626" i="9"/>
  <c r="D1626" i="9"/>
  <c r="K1626" i="9"/>
  <c r="E1626" i="9"/>
  <c r="O1626" i="9"/>
  <c r="L1626" i="9"/>
  <c r="N1626" i="9"/>
  <c r="Q1626" i="9"/>
  <c r="C1626" i="9"/>
  <c r="J1625" i="9"/>
  <c r="F1625" i="9"/>
  <c r="D1625" i="9"/>
  <c r="C1625" i="9"/>
  <c r="P1625" i="9"/>
  <c r="E1625" i="9"/>
  <c r="Q1625" i="9"/>
  <c r="O1625" i="9"/>
  <c r="N1625" i="9"/>
  <c r="M1625" i="9"/>
  <c r="L1625" i="9"/>
  <c r="K1625" i="9"/>
  <c r="N1624" i="9"/>
  <c r="O1624" i="9"/>
  <c r="D1624" i="9"/>
  <c r="K1624" i="9"/>
  <c r="M1624" i="9"/>
  <c r="F1624" i="9"/>
  <c r="E1624" i="9"/>
  <c r="C1624" i="9"/>
  <c r="P1624" i="9"/>
  <c r="J1624" i="9"/>
  <c r="L1624" i="9"/>
  <c r="Q1624" i="9"/>
  <c r="C1623" i="9"/>
  <c r="Q1623" i="9"/>
  <c r="P1623" i="9"/>
  <c r="N1623" i="9"/>
  <c r="L1623" i="9"/>
  <c r="J1623" i="9"/>
  <c r="F1623" i="9"/>
  <c r="D1623" i="9"/>
  <c r="E1623" i="9"/>
  <c r="M1623" i="9"/>
  <c r="O1623" i="9"/>
  <c r="K1623" i="9"/>
  <c r="M1622" i="9"/>
  <c r="C1622" i="9"/>
  <c r="L1622" i="9"/>
  <c r="P1622" i="9"/>
  <c r="K1622" i="9"/>
  <c r="N1622" i="9"/>
  <c r="Q1622" i="9"/>
  <c r="E1622" i="9"/>
  <c r="F1622" i="9"/>
  <c r="J1622" i="9"/>
  <c r="D1622" i="9"/>
  <c r="O1622" i="9"/>
  <c r="F1621" i="9"/>
  <c r="E1621" i="9"/>
  <c r="D1621" i="9"/>
  <c r="L1621" i="9"/>
  <c r="C1621" i="9"/>
  <c r="Q1621" i="9"/>
  <c r="N1621" i="9"/>
  <c r="K1621" i="9"/>
  <c r="P1621" i="9"/>
  <c r="O1621" i="9"/>
  <c r="M1621" i="9"/>
  <c r="J1621" i="9"/>
  <c r="M1620" i="9"/>
  <c r="F1620" i="9"/>
  <c r="D1620" i="9"/>
  <c r="J1620" i="9"/>
  <c r="P1620" i="9"/>
  <c r="N1620" i="9"/>
  <c r="C1620" i="9"/>
  <c r="K1620" i="9"/>
  <c r="E1620" i="9"/>
  <c r="Q1620" i="9"/>
  <c r="O1620" i="9"/>
  <c r="L1620" i="9"/>
  <c r="M1619" i="9"/>
  <c r="Q1619" i="9"/>
  <c r="J1619" i="9"/>
  <c r="L1619" i="9"/>
  <c r="P1619" i="9"/>
  <c r="N1619" i="9"/>
  <c r="K1619" i="9"/>
  <c r="F1619" i="9"/>
  <c r="E1619" i="9"/>
  <c r="D1619" i="9"/>
  <c r="O1619" i="9"/>
  <c r="C1619" i="9"/>
  <c r="O1618" i="9"/>
  <c r="E1618" i="9"/>
  <c r="J1618" i="9"/>
  <c r="M1618" i="9"/>
  <c r="P1618" i="9"/>
  <c r="Q1618" i="9"/>
  <c r="C1618" i="9"/>
  <c r="D1618" i="9"/>
  <c r="F1618" i="9"/>
  <c r="K1618" i="9"/>
  <c r="N1618" i="9"/>
  <c r="L1618" i="9"/>
  <c r="F1617" i="9"/>
  <c r="D1617" i="9"/>
  <c r="K1617" i="9"/>
  <c r="E1617" i="9"/>
  <c r="J1617" i="9"/>
  <c r="O1617" i="9"/>
  <c r="M1617" i="9"/>
  <c r="C1617" i="9"/>
  <c r="P1617" i="9"/>
  <c r="N1617" i="9"/>
  <c r="Q1617" i="9"/>
  <c r="L1617" i="9"/>
  <c r="C1616" i="9"/>
  <c r="E1616" i="9"/>
  <c r="F1616" i="9"/>
  <c r="M1616" i="9"/>
  <c r="Q1616" i="9"/>
  <c r="P1616" i="9"/>
  <c r="L1616" i="9"/>
  <c r="J1616" i="9"/>
  <c r="O1616" i="9"/>
  <c r="N1616" i="9"/>
  <c r="K1616" i="9"/>
  <c r="D1616" i="9"/>
  <c r="J1615" i="9"/>
  <c r="O1615" i="9"/>
  <c r="Q1615" i="9"/>
  <c r="C1615" i="9"/>
  <c r="P1615" i="9"/>
  <c r="N1615" i="9"/>
  <c r="L1615" i="9"/>
  <c r="D1615" i="9"/>
  <c r="M1615" i="9"/>
  <c r="E1615" i="9"/>
  <c r="F1615" i="9"/>
  <c r="K1615" i="9"/>
  <c r="N1614" i="9"/>
  <c r="K1614" i="9"/>
  <c r="L1614" i="9"/>
  <c r="F1614" i="9"/>
  <c r="C1614" i="9"/>
  <c r="E1614" i="9"/>
  <c r="J1614" i="9"/>
  <c r="M1614" i="9"/>
  <c r="O1614" i="9"/>
  <c r="D1614" i="9"/>
  <c r="P1614" i="9"/>
  <c r="Q1614" i="9"/>
  <c r="C1613" i="9"/>
  <c r="K1613" i="9"/>
  <c r="N1613" i="9"/>
  <c r="Q1613" i="9"/>
  <c r="D1613" i="9"/>
  <c r="P1613" i="9"/>
  <c r="M1613" i="9"/>
  <c r="O1613" i="9"/>
  <c r="L1613" i="9"/>
  <c r="J1613" i="9"/>
  <c r="E1613" i="9"/>
  <c r="F1613" i="9"/>
  <c r="D1612" i="9"/>
  <c r="K1612" i="9"/>
  <c r="M1612" i="9"/>
  <c r="O1612" i="9"/>
  <c r="Q1612" i="9"/>
  <c r="N1612" i="9"/>
  <c r="J1612" i="9"/>
  <c r="C1612" i="9"/>
  <c r="P1612" i="9"/>
  <c r="E1612" i="9"/>
  <c r="F1612" i="9"/>
  <c r="L1612" i="9"/>
  <c r="Q1611" i="9"/>
  <c r="N1611" i="9"/>
  <c r="K1611" i="9"/>
  <c r="E1611" i="9"/>
  <c r="D1611" i="9"/>
  <c r="J1611" i="9"/>
  <c r="M1611" i="9"/>
  <c r="C1611" i="9"/>
  <c r="F1611" i="9"/>
  <c r="L1611" i="9"/>
  <c r="O1611" i="9"/>
  <c r="P1611" i="9"/>
  <c r="K1610" i="9"/>
  <c r="C1610" i="9"/>
  <c r="J1610" i="9"/>
  <c r="M1610" i="9"/>
  <c r="P1610" i="9"/>
  <c r="N1610" i="9"/>
  <c r="Q1610" i="9"/>
  <c r="D1610" i="9"/>
  <c r="F1610" i="9"/>
  <c r="E1610" i="9"/>
  <c r="L1610" i="9"/>
  <c r="O1610" i="9"/>
  <c r="E1609" i="9"/>
  <c r="K1609" i="9"/>
  <c r="D1609" i="9"/>
  <c r="J1609" i="9"/>
  <c r="N1609" i="9"/>
  <c r="Q1609" i="9"/>
  <c r="C1609" i="9"/>
  <c r="M1609" i="9"/>
  <c r="O1609" i="9"/>
  <c r="P1609" i="9"/>
  <c r="L1609" i="9"/>
  <c r="F1609" i="9"/>
  <c r="O1608" i="9"/>
  <c r="F1608" i="9"/>
  <c r="N1608" i="9"/>
  <c r="K1608" i="9"/>
  <c r="Q1608" i="9"/>
  <c r="D1608" i="9"/>
  <c r="E1608" i="9"/>
  <c r="L1608" i="9"/>
  <c r="P1608" i="9"/>
  <c r="C1608" i="9"/>
  <c r="M1608" i="9"/>
  <c r="J1608" i="9"/>
  <c r="L1607" i="9"/>
  <c r="F1607" i="9"/>
  <c r="K1607" i="9"/>
  <c r="C1607" i="9"/>
  <c r="O1607" i="9"/>
  <c r="D1607" i="9"/>
  <c r="P1607" i="9"/>
  <c r="J1607" i="9"/>
  <c r="Q1607" i="9"/>
  <c r="E1607" i="9"/>
  <c r="M1607" i="9"/>
  <c r="N1607" i="9"/>
  <c r="P1606" i="9"/>
  <c r="J1606" i="9"/>
  <c r="E1606" i="9"/>
  <c r="M1606" i="9"/>
  <c r="Q1606" i="9"/>
  <c r="D1606" i="9"/>
  <c r="F1606" i="9"/>
  <c r="K1606" i="9"/>
  <c r="N1606" i="9"/>
  <c r="O1606" i="9"/>
  <c r="L1606" i="9"/>
  <c r="C1606" i="9"/>
  <c r="K1605" i="9"/>
  <c r="J1605" i="9"/>
  <c r="N1605" i="9"/>
  <c r="P1605" i="9"/>
  <c r="Q1605" i="9"/>
  <c r="L1605" i="9"/>
  <c r="M1605" i="9"/>
  <c r="F1605" i="9"/>
  <c r="E1605" i="9"/>
  <c r="D1605" i="9"/>
  <c r="C1605" i="9"/>
  <c r="N1604" i="9"/>
  <c r="J1604" i="9"/>
  <c r="D1604" i="9"/>
  <c r="L1604" i="9"/>
  <c r="P1604" i="9"/>
  <c r="K1604" i="9"/>
  <c r="F1604" i="9"/>
  <c r="E1604" i="9"/>
  <c r="C1604" i="9"/>
  <c r="Q1604" i="9"/>
  <c r="O1604" i="9"/>
  <c r="M1604" i="9"/>
  <c r="F1603" i="9"/>
  <c r="C1603" i="9"/>
  <c r="D1603" i="9"/>
  <c r="J1603" i="9"/>
  <c r="M1603" i="9"/>
  <c r="O1603" i="9"/>
  <c r="E1603" i="9"/>
  <c r="P1603" i="9"/>
  <c r="L1603" i="9"/>
  <c r="Q1603" i="9"/>
  <c r="N1603" i="9"/>
  <c r="K1603" i="9"/>
  <c r="F1602" i="9"/>
  <c r="D1602" i="9"/>
  <c r="C1602" i="9"/>
  <c r="J1602" i="9"/>
  <c r="M1602" i="9"/>
  <c r="Q1602" i="9"/>
  <c r="O1602" i="9"/>
  <c r="N1602" i="9"/>
  <c r="E1602" i="9"/>
  <c r="K1602" i="9"/>
  <c r="P1602" i="9"/>
  <c r="L1602" i="9"/>
  <c r="L1601" i="9"/>
  <c r="J1601" i="9"/>
  <c r="N1601" i="9"/>
  <c r="K1601" i="9"/>
  <c r="D1601" i="9"/>
  <c r="P1601" i="9"/>
  <c r="Q1601" i="9"/>
  <c r="O1601" i="9"/>
  <c r="M1601" i="9"/>
  <c r="F1601" i="9"/>
  <c r="E1601" i="9"/>
  <c r="C1601" i="9"/>
  <c r="N1600" i="9"/>
  <c r="J1600" i="9"/>
  <c r="Q1600" i="9"/>
  <c r="M1600" i="9"/>
  <c r="F1600" i="9"/>
  <c r="P1600" i="9"/>
  <c r="D1600" i="9"/>
  <c r="C1600" i="9"/>
  <c r="O1600" i="9"/>
  <c r="E1600" i="9"/>
  <c r="L1600" i="9"/>
  <c r="K1600" i="9"/>
  <c r="P1599" i="9"/>
  <c r="M1599" i="9"/>
  <c r="J1599" i="9"/>
  <c r="O1599" i="9"/>
  <c r="C1599" i="9"/>
  <c r="K1599" i="9"/>
  <c r="E1599" i="9"/>
  <c r="N1599" i="9"/>
  <c r="F1599" i="9"/>
  <c r="Q1599" i="9"/>
  <c r="L1599" i="9"/>
  <c r="D1599" i="9"/>
  <c r="Q1598" i="9"/>
  <c r="M1598" i="9"/>
  <c r="J1598" i="9"/>
  <c r="C1598" i="9"/>
  <c r="E1598" i="9"/>
  <c r="F1598" i="9"/>
  <c r="K1598" i="9"/>
  <c r="N1598" i="9"/>
  <c r="P1598" i="9"/>
  <c r="O1598" i="9"/>
  <c r="L1598" i="9"/>
  <c r="D1598" i="9"/>
  <c r="Q1597" i="9"/>
  <c r="N1597" i="9"/>
  <c r="K1597" i="9"/>
  <c r="C1597" i="9"/>
  <c r="P1597" i="9"/>
  <c r="L1597" i="9"/>
  <c r="E1597" i="9"/>
  <c r="J1597" i="9"/>
  <c r="M1597" i="9"/>
  <c r="D1597" i="9"/>
  <c r="F1597" i="9"/>
  <c r="O1597" i="9"/>
  <c r="Q1596" i="9"/>
  <c r="K1596" i="9"/>
  <c r="F1596" i="9"/>
  <c r="M1596" i="9"/>
  <c r="P1596" i="9"/>
  <c r="E1596" i="9"/>
  <c r="D1596" i="9"/>
  <c r="J1596" i="9"/>
  <c r="L1596" i="9"/>
  <c r="O1596" i="9"/>
  <c r="C1596" i="9"/>
  <c r="N1596" i="9"/>
  <c r="N1595" i="9"/>
  <c r="Q1595" i="9"/>
  <c r="D1595" i="9"/>
  <c r="K1595" i="9"/>
  <c r="F1595" i="9"/>
  <c r="J1595" i="9"/>
  <c r="C1595" i="9"/>
  <c r="M1595" i="9"/>
  <c r="O1595" i="9"/>
  <c r="P1595" i="9"/>
  <c r="E1595" i="9"/>
  <c r="L1595" i="9"/>
  <c r="L1594" i="9"/>
  <c r="O1594" i="9"/>
  <c r="F1594" i="9"/>
  <c r="M1594" i="9"/>
  <c r="K1594" i="9"/>
  <c r="D1594" i="9"/>
  <c r="E1594" i="9"/>
  <c r="Q1594" i="9"/>
  <c r="N1594" i="9"/>
  <c r="P1594" i="9"/>
  <c r="C1594" i="9"/>
  <c r="J1594" i="9"/>
  <c r="J1593" i="9"/>
  <c r="Q1593" i="9"/>
  <c r="F1593" i="9"/>
  <c r="N1593" i="9"/>
  <c r="D1593" i="9"/>
  <c r="L1593" i="9"/>
  <c r="P1593" i="9"/>
  <c r="C1593" i="9"/>
  <c r="E1593" i="9"/>
  <c r="K1593" i="9"/>
  <c r="M1593" i="9"/>
  <c r="O1593" i="9"/>
  <c r="D1592" i="9"/>
  <c r="K1592" i="9"/>
  <c r="C1592" i="9"/>
  <c r="N1592" i="9"/>
  <c r="Q1592" i="9"/>
  <c r="P1592" i="9"/>
  <c r="E1592" i="9"/>
  <c r="O1592" i="9"/>
  <c r="M1592" i="9"/>
  <c r="J1592" i="9"/>
  <c r="F1592" i="9"/>
  <c r="L1592" i="9"/>
  <c r="K1591" i="9"/>
  <c r="N1591" i="9"/>
  <c r="Q1591" i="9"/>
  <c r="F1591" i="9"/>
  <c r="C1591" i="9"/>
  <c r="J1591" i="9"/>
  <c r="M1591" i="9"/>
  <c r="O1591" i="9"/>
  <c r="D1591" i="9"/>
  <c r="L1591" i="9"/>
  <c r="P1591" i="9"/>
  <c r="E1591" i="9"/>
  <c r="M1590" i="9"/>
  <c r="F1590" i="9"/>
  <c r="E1590" i="9"/>
  <c r="O1590" i="9"/>
  <c r="K1590" i="9"/>
  <c r="D1590" i="9"/>
  <c r="L1590" i="9"/>
  <c r="J1590" i="9"/>
  <c r="P1590" i="9"/>
  <c r="Q1590" i="9"/>
  <c r="N1590" i="9"/>
  <c r="J1589" i="9"/>
  <c r="Q1589" i="9"/>
  <c r="K1589" i="9"/>
  <c r="D1589" i="9"/>
  <c r="E1589" i="9"/>
  <c r="M1589" i="9"/>
  <c r="O1589" i="9"/>
  <c r="F1589" i="9"/>
  <c r="C1589" i="9"/>
  <c r="N1589" i="9"/>
  <c r="P1589" i="9"/>
  <c r="L1589" i="9"/>
  <c r="O1588" i="9"/>
  <c r="N1588" i="9"/>
  <c r="J1588" i="9"/>
  <c r="E1588" i="9"/>
  <c r="K1588" i="9"/>
  <c r="M1588" i="9"/>
  <c r="P1588" i="9"/>
  <c r="Q1588" i="9"/>
  <c r="C1588" i="9"/>
  <c r="F1588" i="9"/>
  <c r="L1588" i="9"/>
  <c r="D1588" i="9"/>
  <c r="M1587" i="9"/>
  <c r="K1587" i="9"/>
  <c r="C1587" i="9"/>
  <c r="D1587" i="9"/>
  <c r="P1587" i="9"/>
  <c r="Q1587" i="9"/>
  <c r="O1587" i="9"/>
  <c r="F1587" i="9"/>
  <c r="N1587" i="9"/>
  <c r="J1587" i="9"/>
  <c r="E1587" i="9"/>
  <c r="L1587" i="9"/>
  <c r="N1586" i="9"/>
  <c r="D1586" i="9"/>
  <c r="M1586" i="9"/>
  <c r="F1586" i="9"/>
  <c r="E1586" i="9"/>
  <c r="C1586" i="9"/>
  <c r="P1586" i="9"/>
  <c r="O1586" i="9"/>
  <c r="Q1586" i="9"/>
  <c r="J1586" i="9"/>
  <c r="K1586" i="9"/>
  <c r="L1586" i="9"/>
  <c r="L1585" i="9"/>
  <c r="F1585" i="9"/>
  <c r="C1585" i="9"/>
  <c r="J1585" i="9"/>
  <c r="M1585" i="9"/>
  <c r="E1585" i="9"/>
  <c r="D1585" i="9"/>
  <c r="K1585" i="9"/>
  <c r="N1585" i="9"/>
  <c r="Q1585" i="9"/>
  <c r="P1585" i="9"/>
  <c r="O1585" i="9"/>
  <c r="J1584" i="9"/>
  <c r="E1584" i="9"/>
  <c r="K1584" i="9"/>
  <c r="P1584" i="9"/>
  <c r="Q1584" i="9"/>
  <c r="O1584" i="9"/>
  <c r="M1584" i="9"/>
  <c r="N1584" i="9"/>
  <c r="F1584" i="9"/>
  <c r="L1584" i="9"/>
  <c r="C1584" i="9"/>
  <c r="D1584" i="9"/>
  <c r="M1583" i="9"/>
  <c r="D1583" i="9"/>
  <c r="F1583" i="9"/>
  <c r="J1583" i="9"/>
  <c r="L1583" i="9"/>
  <c r="O1583" i="9"/>
  <c r="Q1583" i="9"/>
  <c r="P1583" i="9"/>
  <c r="K1583" i="9"/>
  <c r="E1583" i="9"/>
  <c r="N1583" i="9"/>
  <c r="K1582" i="9"/>
  <c r="D1582" i="9"/>
  <c r="E1582" i="9"/>
  <c r="F1582" i="9"/>
  <c r="J1582" i="9"/>
  <c r="L1582" i="9"/>
  <c r="O1582" i="9"/>
  <c r="P1582" i="9"/>
  <c r="Q1582" i="9"/>
  <c r="N1582" i="9"/>
  <c r="C1582" i="9"/>
  <c r="M1582" i="9"/>
  <c r="N1581" i="9"/>
  <c r="D1581" i="9"/>
  <c r="F1581" i="9"/>
  <c r="J1581" i="9"/>
  <c r="L1581" i="9"/>
  <c r="O1581" i="9"/>
  <c r="Q1581" i="9"/>
  <c r="C1581" i="9"/>
  <c r="E1581" i="9"/>
  <c r="K1581" i="9"/>
  <c r="M1581" i="9"/>
  <c r="P1581" i="9"/>
  <c r="P1580" i="9"/>
  <c r="N1580" i="9"/>
  <c r="J1580" i="9"/>
  <c r="E1580" i="9"/>
  <c r="C1580" i="9"/>
  <c r="F1580" i="9"/>
  <c r="M1580" i="9"/>
  <c r="Q1580" i="9"/>
  <c r="O1580" i="9"/>
  <c r="K1580" i="9"/>
  <c r="L1580" i="9"/>
  <c r="D1580" i="9"/>
  <c r="Q1579" i="9"/>
  <c r="N1579" i="9"/>
  <c r="J1579" i="9"/>
  <c r="F1579" i="9"/>
  <c r="C1579" i="9"/>
  <c r="P1579" i="9"/>
  <c r="O1579" i="9"/>
  <c r="L1579" i="9"/>
  <c r="M1579" i="9"/>
  <c r="D1579" i="9"/>
  <c r="E1579" i="9"/>
  <c r="K1579" i="9"/>
  <c r="P1578" i="9"/>
  <c r="O1578" i="9"/>
  <c r="L1578" i="9"/>
  <c r="D1578" i="9"/>
  <c r="K1578" i="9"/>
  <c r="N1578" i="9"/>
  <c r="Q1578" i="9"/>
  <c r="C1578" i="9"/>
  <c r="E1578" i="9"/>
  <c r="M1578" i="9"/>
  <c r="J1578" i="9"/>
  <c r="F1578" i="9"/>
  <c r="P1577" i="9"/>
  <c r="L1577" i="9"/>
  <c r="C1577" i="9"/>
  <c r="N1577" i="9"/>
  <c r="Q1577" i="9"/>
  <c r="F1577" i="9"/>
  <c r="K1577" i="9"/>
  <c r="M1577" i="9"/>
  <c r="E1577" i="9"/>
  <c r="J1577" i="9"/>
  <c r="O1577" i="9"/>
  <c r="D1577" i="9"/>
  <c r="K1576" i="9"/>
  <c r="E1576" i="9"/>
  <c r="C1576" i="9"/>
  <c r="J1576" i="9"/>
  <c r="Q1576" i="9"/>
  <c r="M1576" i="9"/>
  <c r="L1576" i="9"/>
  <c r="D1576" i="9"/>
  <c r="N1576" i="9"/>
  <c r="F1576" i="9"/>
  <c r="P1576" i="9"/>
  <c r="O1576" i="9"/>
  <c r="L1575" i="9"/>
  <c r="C1575" i="9"/>
  <c r="D1575" i="9"/>
  <c r="F1575" i="9"/>
  <c r="J1575" i="9"/>
  <c r="P1575" i="9"/>
  <c r="M1575" i="9"/>
  <c r="E1575" i="9"/>
  <c r="N1575" i="9"/>
  <c r="O1575" i="9"/>
  <c r="K1575" i="9"/>
  <c r="Q1575" i="9"/>
  <c r="F1574" i="9"/>
  <c r="D1574" i="9"/>
  <c r="Q1574" i="9"/>
  <c r="C1574" i="9"/>
  <c r="E1574" i="9"/>
  <c r="K1574" i="9"/>
  <c r="N1574" i="9"/>
  <c r="O1574" i="9"/>
  <c r="J1574" i="9"/>
  <c r="P1574" i="9"/>
  <c r="M1574" i="9"/>
  <c r="L1574" i="9"/>
  <c r="O1573" i="9"/>
  <c r="K1573" i="9"/>
  <c r="E1573" i="9"/>
  <c r="Q1573" i="9"/>
  <c r="N1573" i="9"/>
  <c r="P1573" i="9"/>
  <c r="J1573" i="9"/>
  <c r="C1573" i="9"/>
  <c r="L1573" i="9"/>
  <c r="F1573" i="9"/>
  <c r="D1573" i="9"/>
  <c r="M1573" i="9"/>
  <c r="F1572" i="9"/>
  <c r="D1572" i="9"/>
  <c r="C1572" i="9"/>
  <c r="L1572" i="9"/>
  <c r="N1572" i="9"/>
  <c r="E1572" i="9"/>
  <c r="P1572" i="9"/>
  <c r="J1572" i="9"/>
  <c r="Q1572" i="9"/>
  <c r="O1572" i="9"/>
  <c r="K1572" i="9"/>
  <c r="M1572" i="9"/>
  <c r="N1571" i="9"/>
  <c r="K1571" i="9"/>
  <c r="L1571" i="9"/>
  <c r="C1571" i="9"/>
  <c r="J1571" i="9"/>
  <c r="P1571" i="9"/>
  <c r="M1571" i="9"/>
  <c r="D1571" i="9"/>
  <c r="O1571" i="9"/>
  <c r="F1571" i="9"/>
  <c r="Q1571" i="9"/>
  <c r="E1571" i="9"/>
  <c r="K1570" i="9"/>
  <c r="M1570" i="9"/>
  <c r="O1570" i="9"/>
  <c r="Q1570" i="9"/>
  <c r="J1570" i="9"/>
  <c r="C1570" i="9"/>
  <c r="P1570" i="9"/>
  <c r="N1570" i="9"/>
  <c r="D1570" i="9"/>
  <c r="F1570" i="9"/>
  <c r="L1570" i="9"/>
  <c r="E1570" i="9"/>
  <c r="E1569" i="9"/>
  <c r="D1569" i="9"/>
  <c r="J1569" i="9"/>
  <c r="M1569" i="9"/>
  <c r="F1569" i="9"/>
  <c r="N1569" i="9"/>
  <c r="P1569" i="9"/>
  <c r="Q1569" i="9"/>
  <c r="O1569" i="9"/>
  <c r="K1569" i="9"/>
  <c r="C1569" i="9"/>
  <c r="L1569" i="9"/>
  <c r="M1568" i="9"/>
  <c r="E1568" i="9"/>
  <c r="N1568" i="9"/>
  <c r="J1568" i="9"/>
  <c r="C1568" i="9"/>
  <c r="K1568" i="9"/>
  <c r="P1568" i="9"/>
  <c r="D1568" i="9"/>
  <c r="Q1568" i="9"/>
  <c r="F1568" i="9"/>
  <c r="L1568" i="9"/>
  <c r="O1568" i="9"/>
  <c r="P1567" i="9"/>
  <c r="J1567" i="9"/>
  <c r="E1567" i="9"/>
  <c r="C1567" i="9"/>
  <c r="D1567" i="9"/>
  <c r="K1567" i="9"/>
  <c r="L1567" i="9"/>
  <c r="Q1567" i="9"/>
  <c r="M1567" i="9"/>
  <c r="O1567" i="9"/>
  <c r="N1567" i="9"/>
  <c r="F1567" i="9"/>
  <c r="L1566" i="9"/>
  <c r="C1566" i="9"/>
  <c r="O1566" i="9"/>
  <c r="K1566" i="9"/>
  <c r="Q1566" i="9"/>
  <c r="N1566" i="9"/>
  <c r="J1566" i="9"/>
  <c r="E1566" i="9"/>
  <c r="D1566" i="9"/>
  <c r="F1566" i="9"/>
  <c r="M1566" i="9"/>
  <c r="P1566" i="9"/>
  <c r="P1565" i="9"/>
  <c r="O1565" i="9"/>
  <c r="F1565" i="9"/>
  <c r="D1565" i="9"/>
  <c r="N1565" i="9"/>
  <c r="J1565" i="9"/>
  <c r="M1565" i="9"/>
  <c r="L1565" i="9"/>
  <c r="C1565" i="9"/>
  <c r="K1565" i="9"/>
  <c r="E1565" i="9"/>
  <c r="Q1565" i="9"/>
  <c r="O1564" i="9"/>
  <c r="K1564" i="9"/>
  <c r="E1564" i="9"/>
  <c r="C1564" i="9"/>
  <c r="N1564" i="9"/>
  <c r="J1564" i="9"/>
  <c r="P1564" i="9"/>
  <c r="M1564" i="9"/>
  <c r="F1564" i="9"/>
  <c r="D1564" i="9"/>
  <c r="Q1564" i="9"/>
  <c r="L1564" i="9"/>
  <c r="P1563" i="9"/>
  <c r="K1563" i="9"/>
  <c r="F1563" i="9"/>
  <c r="D1563" i="9"/>
  <c r="J1563" i="9"/>
  <c r="N1563" i="9"/>
  <c r="Q1563" i="9"/>
  <c r="C1563" i="9"/>
  <c r="O1563" i="9"/>
  <c r="E1563" i="9"/>
  <c r="L1563" i="9"/>
  <c r="M1563" i="9"/>
  <c r="Q1562" i="9"/>
  <c r="O1562" i="9"/>
  <c r="F1562" i="9"/>
  <c r="C1562" i="9"/>
  <c r="E1562" i="9"/>
  <c r="M1562" i="9"/>
  <c r="K1562" i="9"/>
  <c r="D1562" i="9"/>
  <c r="P1562" i="9"/>
  <c r="L1562" i="9"/>
  <c r="N1562" i="9"/>
  <c r="J1562" i="9"/>
  <c r="P1561" i="9"/>
  <c r="N1561" i="9"/>
  <c r="L1561" i="9"/>
  <c r="C1561" i="9"/>
  <c r="F1561" i="9"/>
  <c r="O1561" i="9"/>
  <c r="Q1561" i="9"/>
  <c r="M1561" i="9"/>
  <c r="J1561" i="9"/>
  <c r="E1561" i="9"/>
  <c r="K1561" i="9"/>
  <c r="D1561" i="9"/>
  <c r="Q1560" i="9"/>
  <c r="N1560" i="9"/>
  <c r="K1560" i="9"/>
  <c r="F1560" i="9"/>
  <c r="D1560" i="9"/>
  <c r="O1560" i="9"/>
  <c r="M1560" i="9"/>
  <c r="P1560" i="9"/>
  <c r="E1560" i="9"/>
  <c r="J1560" i="9"/>
  <c r="C1560" i="9"/>
  <c r="L1560" i="9"/>
  <c r="N1559" i="9"/>
  <c r="J1559" i="9"/>
  <c r="F1559" i="9"/>
  <c r="D1559" i="9"/>
  <c r="O1559" i="9"/>
  <c r="M1559" i="9"/>
  <c r="C1559" i="9"/>
  <c r="K1559" i="9"/>
  <c r="E1559" i="9"/>
  <c r="L1559" i="9"/>
  <c r="Q1559" i="9"/>
  <c r="P1559" i="9"/>
  <c r="N1558" i="9"/>
  <c r="K1558" i="9"/>
  <c r="E1558" i="9"/>
  <c r="L1558" i="9"/>
  <c r="F1558" i="9"/>
  <c r="Q1558" i="9"/>
  <c r="D1558" i="9"/>
  <c r="O1558" i="9"/>
  <c r="P1558" i="9"/>
  <c r="M1558" i="9"/>
  <c r="J1558" i="9"/>
  <c r="O1557" i="9"/>
  <c r="L1557" i="9"/>
  <c r="Q1557" i="9"/>
  <c r="F1557" i="9"/>
  <c r="P1557" i="9"/>
  <c r="J1557" i="9"/>
  <c r="E1557" i="9"/>
  <c r="C1557" i="9"/>
  <c r="M1557" i="9"/>
  <c r="K1557" i="9"/>
  <c r="D1557" i="9"/>
  <c r="F1556" i="9"/>
  <c r="L1556" i="9"/>
  <c r="Q1556" i="9"/>
  <c r="C1556" i="9"/>
  <c r="D1556" i="9"/>
  <c r="P1556" i="9"/>
  <c r="O1556" i="9"/>
  <c r="N1556" i="9"/>
  <c r="M1556" i="9"/>
  <c r="K1556" i="9"/>
  <c r="J1556" i="9"/>
  <c r="E1556" i="9"/>
  <c r="C1555" i="9"/>
  <c r="F1555" i="9"/>
  <c r="M1555" i="9"/>
  <c r="P1555" i="9"/>
  <c r="O1555" i="9"/>
  <c r="K1555" i="9"/>
  <c r="E1555" i="9"/>
  <c r="D1555" i="9"/>
  <c r="Q1555" i="9"/>
  <c r="N1555" i="9"/>
  <c r="L1555" i="9"/>
  <c r="J1555" i="9"/>
  <c r="L1554" i="9"/>
  <c r="E1554" i="9"/>
  <c r="C1554" i="9"/>
  <c r="O1554" i="9"/>
  <c r="K1554" i="9"/>
  <c r="F1554" i="9"/>
  <c r="D1554" i="9"/>
  <c r="N1554" i="9"/>
  <c r="Q1554" i="9"/>
  <c r="M1554" i="9"/>
  <c r="P1554" i="9"/>
  <c r="J1554" i="9"/>
  <c r="F1553" i="9"/>
  <c r="L1553" i="9"/>
  <c r="P1553" i="9"/>
  <c r="O1553" i="9"/>
  <c r="M1553" i="9"/>
  <c r="D1553" i="9"/>
  <c r="K1553" i="9"/>
  <c r="Q1553" i="9"/>
  <c r="N1553" i="9"/>
  <c r="J1553" i="9"/>
  <c r="C1553" i="9"/>
  <c r="E1553" i="9"/>
  <c r="F1552" i="9"/>
  <c r="N1552" i="9"/>
  <c r="K1552" i="9"/>
  <c r="E1552" i="9"/>
  <c r="P1552" i="9"/>
  <c r="O1552" i="9"/>
  <c r="M1552" i="9"/>
  <c r="Q1552" i="9"/>
  <c r="L1552" i="9"/>
  <c r="C1552" i="9"/>
  <c r="J1552" i="9"/>
  <c r="D1552" i="9"/>
  <c r="P1551" i="9"/>
  <c r="M1551" i="9"/>
  <c r="J1551" i="9"/>
  <c r="Q1551" i="9"/>
  <c r="O1551" i="9"/>
  <c r="F1551" i="9"/>
  <c r="N1551" i="9"/>
  <c r="E1551" i="9"/>
  <c r="C1551" i="9"/>
  <c r="K1551" i="9"/>
  <c r="D1551" i="9"/>
  <c r="L1551" i="9"/>
  <c r="M1550" i="9"/>
  <c r="D1550" i="9"/>
  <c r="E1550" i="9"/>
  <c r="Q1550" i="9"/>
  <c r="J1550" i="9"/>
  <c r="F1550" i="9"/>
  <c r="C1550" i="9"/>
  <c r="N1550" i="9"/>
  <c r="K1550" i="9"/>
  <c r="P1550" i="9"/>
  <c r="O1550" i="9"/>
  <c r="L1550" i="9"/>
  <c r="F1549" i="9"/>
  <c r="E1549" i="9"/>
  <c r="D1549" i="9"/>
  <c r="Q1549" i="9"/>
  <c r="C1549" i="9"/>
  <c r="L1549" i="9"/>
  <c r="J1549" i="9"/>
  <c r="O1549" i="9"/>
  <c r="M1549" i="9"/>
  <c r="P1549" i="9"/>
  <c r="N1549" i="9"/>
  <c r="K1549" i="9"/>
  <c r="C1548" i="9"/>
  <c r="L1548" i="9"/>
  <c r="M1548" i="9"/>
  <c r="J1548" i="9"/>
  <c r="F1548" i="9"/>
  <c r="D1548" i="9"/>
  <c r="P1548" i="9"/>
  <c r="K1548" i="9"/>
  <c r="N1548" i="9"/>
  <c r="E1548" i="9"/>
  <c r="Q1548" i="9"/>
  <c r="O1548" i="9"/>
  <c r="K1547" i="9"/>
  <c r="C1547" i="9"/>
  <c r="L1547" i="9"/>
  <c r="F1547" i="9"/>
  <c r="E1547" i="9"/>
  <c r="N1547" i="9"/>
  <c r="J1547" i="9"/>
  <c r="D1547" i="9"/>
  <c r="O1547" i="9"/>
  <c r="P1547" i="9"/>
  <c r="M1547" i="9"/>
  <c r="Q1547" i="9"/>
  <c r="P1546" i="9"/>
  <c r="L1546" i="9"/>
  <c r="Q1546" i="9"/>
  <c r="N1546" i="9"/>
  <c r="M1546" i="9"/>
  <c r="J1546" i="9"/>
  <c r="C1546" i="9"/>
  <c r="E1546" i="9"/>
  <c r="O1546" i="9"/>
  <c r="K1546" i="9"/>
  <c r="F1546" i="9"/>
  <c r="D1546" i="9"/>
  <c r="P1545" i="9"/>
  <c r="C1545" i="9"/>
  <c r="F1545" i="9"/>
  <c r="J1545" i="9"/>
  <c r="M1545" i="9"/>
  <c r="D1545" i="9"/>
  <c r="E1545" i="9"/>
  <c r="N1545" i="9"/>
  <c r="Q1545" i="9"/>
  <c r="K1545" i="9"/>
  <c r="L1545" i="9"/>
  <c r="O1545" i="9"/>
  <c r="L1544" i="9"/>
  <c r="E1544" i="9"/>
  <c r="Q1544" i="9"/>
  <c r="K1544" i="9"/>
  <c r="C1544" i="9"/>
  <c r="P1544" i="9"/>
  <c r="O1544" i="9"/>
  <c r="M1544" i="9"/>
  <c r="J1544" i="9"/>
  <c r="F1544" i="9"/>
  <c r="D1544" i="9"/>
  <c r="N1544" i="9"/>
  <c r="C1543" i="9"/>
  <c r="F1543" i="9"/>
  <c r="L1543" i="9"/>
  <c r="J1543" i="9"/>
  <c r="E1543" i="9"/>
  <c r="P1543" i="9"/>
  <c r="Q1543" i="9"/>
  <c r="N1543" i="9"/>
  <c r="K1543" i="9"/>
  <c r="O1543" i="9"/>
  <c r="M1543" i="9"/>
  <c r="D1543" i="9"/>
  <c r="M1542" i="9"/>
  <c r="Q1542" i="9"/>
  <c r="P1542" i="9"/>
  <c r="O1542" i="9"/>
  <c r="K1542" i="9"/>
  <c r="C1542" i="9"/>
  <c r="N1542" i="9"/>
  <c r="D1542" i="9"/>
  <c r="J1542" i="9"/>
  <c r="L1542" i="9"/>
  <c r="F1542" i="9"/>
  <c r="E1542" i="9"/>
  <c r="L1541" i="9"/>
  <c r="O1541" i="9"/>
  <c r="M1541" i="9"/>
  <c r="J1541" i="9"/>
  <c r="E1541" i="9"/>
  <c r="Q1541" i="9"/>
  <c r="P1541" i="9"/>
  <c r="N1541" i="9"/>
  <c r="D1541" i="9"/>
  <c r="F1541" i="9"/>
  <c r="K1541" i="9"/>
  <c r="C1541" i="9"/>
  <c r="E1540" i="9"/>
  <c r="P1540" i="9"/>
  <c r="L1540" i="9"/>
  <c r="M1540" i="9"/>
  <c r="O1540" i="9"/>
  <c r="D1540" i="9"/>
  <c r="K1540" i="9"/>
  <c r="J1540" i="9"/>
  <c r="N1540" i="9"/>
  <c r="Q1540" i="9"/>
  <c r="C1540" i="9"/>
  <c r="F1540" i="9"/>
  <c r="J1539" i="9"/>
  <c r="P1539" i="9"/>
  <c r="N1539" i="9"/>
  <c r="Q1539" i="9"/>
  <c r="L1539" i="9"/>
  <c r="D1539" i="9"/>
  <c r="M1539" i="9"/>
  <c r="C1539" i="9"/>
  <c r="E1539" i="9"/>
  <c r="F1539" i="9"/>
  <c r="K1539" i="9"/>
  <c r="O1539" i="9"/>
  <c r="L1538" i="9"/>
  <c r="O1538" i="9"/>
  <c r="E1538" i="9"/>
  <c r="Q1538" i="9"/>
  <c r="K1538" i="9"/>
  <c r="D1538" i="9"/>
  <c r="N1538" i="9"/>
  <c r="C1538" i="9"/>
  <c r="F1538" i="9"/>
  <c r="J1538" i="9"/>
  <c r="M1538" i="9"/>
  <c r="P1538" i="9"/>
  <c r="L1537" i="9"/>
  <c r="O1537" i="9"/>
  <c r="P1537" i="9"/>
  <c r="N1537" i="9"/>
  <c r="K1537" i="9"/>
  <c r="E1537" i="9"/>
  <c r="Q1537" i="9"/>
  <c r="J1537" i="9"/>
  <c r="C1537" i="9"/>
  <c r="M1537" i="9"/>
  <c r="F1537" i="9"/>
  <c r="D1537" i="9"/>
  <c r="O1536" i="9"/>
  <c r="E1536" i="9"/>
  <c r="N1536" i="9"/>
  <c r="J1536" i="9"/>
  <c r="D1536" i="9"/>
  <c r="F1536" i="9"/>
  <c r="Q1536" i="9"/>
  <c r="K1536" i="9"/>
  <c r="P1536" i="9"/>
  <c r="L1536" i="9"/>
  <c r="C1536" i="9"/>
  <c r="M1536" i="9"/>
  <c r="C1535" i="9"/>
  <c r="E1535" i="9"/>
  <c r="J1535" i="9"/>
  <c r="K1535" i="9"/>
  <c r="N1535" i="9"/>
  <c r="P1535" i="9"/>
  <c r="O1535" i="9"/>
  <c r="D1535" i="9"/>
  <c r="F1535" i="9"/>
  <c r="L1535" i="9"/>
  <c r="Q1535" i="9"/>
  <c r="M1535" i="9"/>
  <c r="J1534" i="9"/>
  <c r="Q1534" i="9"/>
  <c r="M1534" i="9"/>
  <c r="N1534" i="9"/>
  <c r="K1534" i="9"/>
  <c r="O1534" i="9"/>
  <c r="P1534" i="9"/>
  <c r="C1534" i="9"/>
  <c r="E1534" i="9"/>
  <c r="F1534" i="9"/>
  <c r="L1534" i="9"/>
  <c r="D1534" i="9"/>
  <c r="Q1533" i="9"/>
  <c r="C1533" i="9"/>
  <c r="E1533" i="9"/>
  <c r="F1533" i="9"/>
  <c r="K1533" i="9"/>
  <c r="N1533" i="9"/>
  <c r="O1533" i="9"/>
  <c r="L1533" i="9"/>
  <c r="P1533" i="9"/>
  <c r="M1533" i="9"/>
  <c r="J1533" i="9"/>
  <c r="D1533" i="9"/>
  <c r="D1532" i="9"/>
  <c r="M1532" i="9"/>
  <c r="E1532" i="9"/>
  <c r="C1532" i="9"/>
  <c r="K1532" i="9"/>
  <c r="P1532" i="9"/>
  <c r="J1532" i="9"/>
  <c r="Q1532" i="9"/>
  <c r="N1532" i="9"/>
  <c r="L1532" i="9"/>
  <c r="F1532" i="9"/>
  <c r="O1532" i="9"/>
  <c r="Q1531" i="9"/>
  <c r="K1531" i="9"/>
  <c r="F1531" i="9"/>
  <c r="C1531" i="9"/>
  <c r="O1531" i="9"/>
  <c r="M1531" i="9"/>
  <c r="E1531" i="9"/>
  <c r="P1531" i="9"/>
  <c r="D1531" i="9"/>
  <c r="N1531" i="9"/>
  <c r="J1531" i="9"/>
  <c r="L1531" i="9"/>
  <c r="Q1530" i="9"/>
  <c r="P1530" i="9"/>
  <c r="M1530" i="9"/>
  <c r="J1530" i="9"/>
  <c r="D1530" i="9"/>
  <c r="N1530" i="9"/>
  <c r="F1530" i="9"/>
  <c r="C1530" i="9"/>
  <c r="E1530" i="9"/>
  <c r="K1530" i="9"/>
  <c r="L1530" i="9"/>
  <c r="O1530" i="9"/>
  <c r="J1529" i="9"/>
  <c r="C1529" i="9"/>
  <c r="O1529" i="9"/>
  <c r="K1529" i="9"/>
  <c r="D1529" i="9"/>
  <c r="E1529" i="9"/>
  <c r="F1529" i="9"/>
  <c r="L1529" i="9"/>
  <c r="N1529" i="9"/>
  <c r="P1529" i="9"/>
  <c r="Q1529" i="9"/>
  <c r="M1529" i="9"/>
  <c r="P1528" i="9"/>
  <c r="N1528" i="9"/>
  <c r="Q1528" i="9"/>
  <c r="L1528" i="9"/>
  <c r="J1528" i="9"/>
  <c r="C1528" i="9"/>
  <c r="F1528" i="9"/>
  <c r="K1528" i="9"/>
  <c r="E1528" i="9"/>
  <c r="D1528" i="9"/>
  <c r="M1528" i="9"/>
  <c r="O1528" i="9"/>
  <c r="L1527" i="9"/>
  <c r="C1527" i="9"/>
  <c r="E1527" i="9"/>
  <c r="F1527" i="9"/>
  <c r="K1527" i="9"/>
  <c r="M1527" i="9"/>
  <c r="D1527" i="9"/>
  <c r="N1527" i="9"/>
  <c r="J1527" i="9"/>
  <c r="P1527" i="9"/>
  <c r="Q1527" i="9"/>
  <c r="O1527" i="9"/>
  <c r="D1526" i="9"/>
  <c r="M1526" i="9"/>
  <c r="J1526" i="9"/>
  <c r="F1526" i="9"/>
  <c r="E1526" i="9"/>
  <c r="C1526" i="9"/>
  <c r="P1526" i="9"/>
  <c r="L1526" i="9"/>
  <c r="N1526" i="9"/>
  <c r="Q1526" i="9"/>
  <c r="K1526" i="9"/>
  <c r="O1526" i="9"/>
  <c r="K1525" i="9"/>
  <c r="M1525" i="9"/>
  <c r="D1525" i="9"/>
  <c r="J1525" i="9"/>
  <c r="N1525" i="9"/>
  <c r="Q1525" i="9"/>
  <c r="O1525" i="9"/>
  <c r="E1525" i="9"/>
  <c r="F1525" i="9"/>
  <c r="L1525" i="9"/>
  <c r="P1525" i="9"/>
  <c r="C1525" i="9"/>
  <c r="P1524" i="9"/>
  <c r="D1524" i="9"/>
  <c r="C1524" i="9"/>
  <c r="K1524" i="9"/>
  <c r="N1524" i="9"/>
  <c r="F1524" i="9"/>
  <c r="E1524" i="9"/>
  <c r="J1524" i="9"/>
  <c r="L1524" i="9"/>
  <c r="M1524" i="9"/>
  <c r="Q1524" i="9"/>
  <c r="O1524" i="9"/>
  <c r="M1523" i="9"/>
  <c r="J1523" i="9"/>
  <c r="F1523" i="9"/>
  <c r="L1523" i="9"/>
  <c r="E1523" i="9"/>
  <c r="Q1523" i="9"/>
  <c r="K1523" i="9"/>
  <c r="D1523" i="9"/>
  <c r="C1523" i="9"/>
  <c r="P1523" i="9"/>
  <c r="O1523" i="9"/>
  <c r="N1523" i="9"/>
  <c r="L1522" i="9"/>
  <c r="C1522" i="9"/>
  <c r="Q1522" i="9"/>
  <c r="K1522" i="9"/>
  <c r="N1522" i="9"/>
  <c r="D1522" i="9"/>
  <c r="F1522" i="9"/>
  <c r="J1522" i="9"/>
  <c r="O1522" i="9"/>
  <c r="P1522" i="9"/>
  <c r="M1522" i="9"/>
  <c r="E1522" i="9"/>
  <c r="E1521" i="9"/>
  <c r="C1521" i="9"/>
  <c r="P1521" i="9"/>
  <c r="M1521" i="9"/>
  <c r="F1521" i="9"/>
  <c r="K1521" i="9"/>
  <c r="L1521" i="9"/>
  <c r="N1521" i="9"/>
  <c r="Q1521" i="9"/>
  <c r="D1521" i="9"/>
  <c r="J1521" i="9"/>
  <c r="O1521" i="9"/>
  <c r="D1520" i="9"/>
  <c r="Q1520" i="9"/>
  <c r="C1520" i="9"/>
  <c r="E1520" i="9"/>
  <c r="F1520" i="9"/>
  <c r="L1520" i="9"/>
  <c r="O1520" i="9"/>
  <c r="K1520" i="9"/>
  <c r="P1520" i="9"/>
  <c r="M1520" i="9"/>
  <c r="J1520" i="9"/>
  <c r="N1520" i="9"/>
  <c r="L1519" i="9"/>
  <c r="F1519" i="9"/>
  <c r="E1519" i="9"/>
  <c r="K1519" i="9"/>
  <c r="M1519" i="9"/>
  <c r="Q1519" i="9"/>
  <c r="P1519" i="9"/>
  <c r="C1519" i="9"/>
  <c r="J1519" i="9"/>
  <c r="N1519" i="9"/>
  <c r="O1519" i="9"/>
  <c r="D1519" i="9"/>
  <c r="L1518" i="9"/>
  <c r="Q1518" i="9"/>
  <c r="M1518" i="9"/>
  <c r="P1518" i="9"/>
  <c r="N1518" i="9"/>
  <c r="O1518" i="9"/>
  <c r="D1518" i="9"/>
  <c r="E1518" i="9"/>
  <c r="F1518" i="9"/>
  <c r="C1518" i="9"/>
  <c r="J1518" i="9"/>
  <c r="K1518" i="9"/>
  <c r="N1517" i="9"/>
  <c r="K1517" i="9"/>
  <c r="Q1517" i="9"/>
  <c r="C1517" i="9"/>
  <c r="D1517" i="9"/>
  <c r="F1517" i="9"/>
  <c r="L1517" i="9"/>
  <c r="O1517" i="9"/>
  <c r="M1517" i="9"/>
  <c r="P1517" i="9"/>
  <c r="E1517" i="9"/>
  <c r="J1517" i="9"/>
  <c r="Q1516" i="9"/>
  <c r="N1516" i="9"/>
  <c r="K1516" i="9"/>
  <c r="E1516" i="9"/>
  <c r="C1516" i="9"/>
  <c r="D1516" i="9"/>
  <c r="M1516" i="9"/>
  <c r="L1516" i="9"/>
  <c r="P1516" i="9"/>
  <c r="O1516" i="9"/>
  <c r="J1516" i="9"/>
  <c r="F1516" i="9"/>
  <c r="Q1515" i="9"/>
  <c r="N1515" i="9"/>
  <c r="K1515" i="9"/>
  <c r="F1515" i="9"/>
  <c r="E1515" i="9"/>
  <c r="D1515" i="9"/>
  <c r="C1515" i="9"/>
  <c r="J1515" i="9"/>
  <c r="L1515" i="9"/>
  <c r="M1515" i="9"/>
  <c r="P1515" i="9"/>
  <c r="O1515" i="9"/>
  <c r="Q1514" i="9"/>
  <c r="M1514" i="9"/>
  <c r="D1514" i="9"/>
  <c r="E1514" i="9"/>
  <c r="F1514" i="9"/>
  <c r="K1514" i="9"/>
  <c r="L1514" i="9"/>
  <c r="O1514" i="9"/>
  <c r="J1514" i="9"/>
  <c r="N1514" i="9"/>
  <c r="P1514" i="9"/>
  <c r="C1514" i="9"/>
  <c r="O1513" i="9"/>
  <c r="Q1513" i="9"/>
  <c r="C1513" i="9"/>
  <c r="E1513" i="9"/>
  <c r="F1513" i="9"/>
  <c r="J1513" i="9"/>
  <c r="L1513" i="9"/>
  <c r="P1513" i="9"/>
  <c r="D1513" i="9"/>
  <c r="K1513" i="9"/>
  <c r="N1513" i="9"/>
  <c r="M1513" i="9"/>
  <c r="Q1512" i="9"/>
  <c r="O1512" i="9"/>
  <c r="F1512" i="9"/>
  <c r="E1512" i="9"/>
  <c r="C1512" i="9"/>
  <c r="P1512" i="9"/>
  <c r="N1512" i="9"/>
  <c r="M1512" i="9"/>
  <c r="D1512" i="9"/>
  <c r="J1512" i="9"/>
  <c r="L1512" i="9"/>
  <c r="K1512" i="9"/>
  <c r="Q1511" i="9"/>
  <c r="P1511" i="9"/>
  <c r="O1511" i="9"/>
  <c r="N1511" i="9"/>
  <c r="K1511" i="9"/>
  <c r="C1511" i="9"/>
  <c r="M1511" i="9"/>
  <c r="E1511" i="9"/>
  <c r="F1511" i="9"/>
  <c r="J1511" i="9"/>
  <c r="L1511" i="9"/>
  <c r="D1511" i="9"/>
  <c r="C1510" i="9"/>
  <c r="D1510" i="9"/>
  <c r="J1510" i="9"/>
  <c r="K1510" i="9"/>
  <c r="O1510" i="9"/>
  <c r="P1510" i="9"/>
  <c r="N1510" i="9"/>
  <c r="F1510" i="9"/>
  <c r="E1510" i="9"/>
  <c r="L1510" i="9"/>
  <c r="M1510" i="9"/>
  <c r="Q1510" i="9"/>
  <c r="O1509" i="9"/>
  <c r="P1509" i="9"/>
  <c r="K1509" i="9"/>
  <c r="E1509" i="9"/>
  <c r="D1509" i="9"/>
  <c r="C1509" i="9"/>
  <c r="L1509" i="9"/>
  <c r="F1509" i="9"/>
  <c r="Q1509" i="9"/>
  <c r="N1509" i="9"/>
  <c r="J1509" i="9"/>
  <c r="M1509" i="9"/>
  <c r="J1508" i="9"/>
  <c r="Q1508" i="9"/>
  <c r="K1508" i="9"/>
  <c r="F1508" i="9"/>
  <c r="D1508" i="9"/>
  <c r="M1508" i="9"/>
  <c r="E1508" i="9"/>
  <c r="P1508" i="9"/>
  <c r="O1508" i="9"/>
  <c r="N1508" i="9"/>
  <c r="C1508" i="9"/>
  <c r="L1508" i="9"/>
  <c r="F1507" i="9"/>
  <c r="M1507" i="9"/>
  <c r="J1507" i="9"/>
  <c r="C1507" i="9"/>
  <c r="N1507" i="9"/>
  <c r="Q1507" i="9"/>
  <c r="L1507" i="9"/>
  <c r="E1507" i="9"/>
  <c r="K1507" i="9"/>
  <c r="D1507" i="9"/>
  <c r="P1507" i="9"/>
  <c r="O1507" i="9"/>
  <c r="N1506" i="9"/>
  <c r="F1506" i="9"/>
  <c r="D1506" i="9"/>
  <c r="C1506" i="9"/>
  <c r="M1506" i="9"/>
  <c r="E1506" i="9"/>
  <c r="Q1506" i="9"/>
  <c r="J1506" i="9"/>
  <c r="P1506" i="9"/>
  <c r="O1506" i="9"/>
  <c r="L1506" i="9"/>
  <c r="K1506" i="9"/>
  <c r="F1505" i="9"/>
  <c r="D1505" i="9"/>
  <c r="P1505" i="9"/>
  <c r="K1505" i="9"/>
  <c r="Q1505" i="9"/>
  <c r="O1505" i="9"/>
  <c r="M1505" i="9"/>
  <c r="C1505" i="9"/>
  <c r="L1505" i="9"/>
  <c r="N1505" i="9"/>
  <c r="J1505" i="9"/>
  <c r="E1505" i="9"/>
  <c r="C1504" i="9"/>
  <c r="M1504" i="9"/>
  <c r="F1504" i="9"/>
  <c r="D1504" i="9"/>
  <c r="E1504" i="9"/>
  <c r="L1504" i="9"/>
  <c r="O1504" i="9"/>
  <c r="P1504" i="9"/>
  <c r="Q1504" i="9"/>
  <c r="N1504" i="9"/>
  <c r="K1504" i="9"/>
  <c r="J1504" i="9"/>
  <c r="N1503" i="9"/>
  <c r="M1503" i="9"/>
  <c r="C1503" i="9"/>
  <c r="K1503" i="9"/>
  <c r="O1503" i="9"/>
  <c r="J1503" i="9"/>
  <c r="D1503" i="9"/>
  <c r="Q1503" i="9"/>
  <c r="P1503" i="9"/>
  <c r="L1503" i="9"/>
  <c r="F1503" i="9"/>
  <c r="E1503" i="9"/>
  <c r="M1502" i="9"/>
  <c r="P1502" i="9"/>
  <c r="Q1502" i="9"/>
  <c r="N1502" i="9"/>
  <c r="K1502" i="9"/>
  <c r="C1502" i="9"/>
  <c r="F1502" i="9"/>
  <c r="D1502" i="9"/>
  <c r="L1502" i="9"/>
  <c r="O1502" i="9"/>
  <c r="J1502" i="9"/>
  <c r="E1502" i="9"/>
  <c r="N1501" i="9"/>
  <c r="L1501" i="9"/>
  <c r="E1501" i="9"/>
  <c r="Q1501" i="9"/>
  <c r="M1501" i="9"/>
  <c r="C1501" i="9"/>
  <c r="D1501" i="9"/>
  <c r="F1501" i="9"/>
  <c r="P1501" i="9"/>
  <c r="O1501" i="9"/>
  <c r="J1501" i="9"/>
  <c r="K1501" i="9"/>
  <c r="M1500" i="9"/>
  <c r="J1500" i="9"/>
  <c r="E1500" i="9"/>
  <c r="Q1500" i="9"/>
  <c r="C1500" i="9"/>
  <c r="N1500" i="9"/>
  <c r="O1500" i="9"/>
  <c r="P1500" i="9"/>
  <c r="L1500" i="9"/>
  <c r="F1500" i="9"/>
  <c r="D1500" i="9"/>
  <c r="K1500" i="9"/>
  <c r="P1499" i="9"/>
  <c r="C1499" i="9"/>
  <c r="K1499" i="9"/>
  <c r="O1499" i="9"/>
  <c r="J1499" i="9"/>
  <c r="D1499" i="9"/>
  <c r="L1499" i="9"/>
  <c r="Q1499" i="9"/>
  <c r="N1499" i="9"/>
  <c r="F1499" i="9"/>
  <c r="E1499" i="9"/>
  <c r="M1499" i="9"/>
  <c r="K1498" i="9"/>
  <c r="O1498" i="9"/>
  <c r="M1498" i="9"/>
  <c r="D1498" i="9"/>
  <c r="F1498" i="9"/>
  <c r="L1498" i="9"/>
  <c r="Q1498" i="9"/>
  <c r="P1498" i="9"/>
  <c r="C1498" i="9"/>
  <c r="E1498" i="9"/>
  <c r="J1498" i="9"/>
  <c r="N1498" i="9"/>
  <c r="F1497" i="9"/>
  <c r="N1497" i="9"/>
  <c r="K1497" i="9"/>
  <c r="D1497" i="9"/>
  <c r="Q1497" i="9"/>
  <c r="J1497" i="9"/>
  <c r="E1497" i="9"/>
  <c r="O1497" i="9"/>
  <c r="M1497" i="9"/>
  <c r="P1497" i="9"/>
  <c r="L1497" i="9"/>
  <c r="E1496" i="9"/>
  <c r="F1496" i="9"/>
  <c r="C1496" i="9"/>
  <c r="J1496" i="9"/>
  <c r="N1496" i="9"/>
  <c r="O1496" i="9"/>
  <c r="M1496" i="9"/>
  <c r="L1496" i="9"/>
  <c r="K1496" i="9"/>
  <c r="Q1496" i="9"/>
  <c r="D1496" i="9"/>
  <c r="P1496" i="9"/>
  <c r="Q1495" i="9"/>
  <c r="M1495" i="9"/>
  <c r="K1495" i="9"/>
  <c r="E1495" i="9"/>
  <c r="J1495" i="9"/>
  <c r="N1495" i="9"/>
  <c r="P1495" i="9"/>
  <c r="F1495" i="9"/>
  <c r="O1495" i="9"/>
  <c r="L1495" i="9"/>
  <c r="O1494" i="9"/>
  <c r="K1494" i="9"/>
  <c r="E1494" i="9"/>
  <c r="C1494" i="9"/>
  <c r="F1494" i="9"/>
  <c r="L1494" i="9"/>
  <c r="P1494" i="9"/>
  <c r="N1494" i="9"/>
  <c r="Q1494" i="9"/>
  <c r="M1494" i="9"/>
  <c r="J1494" i="9"/>
  <c r="D1494" i="9"/>
  <c r="P1493" i="9"/>
  <c r="O1493" i="9"/>
  <c r="M1493" i="9"/>
  <c r="C1493" i="9"/>
  <c r="E1493" i="9"/>
  <c r="K1493" i="9"/>
  <c r="N1493" i="9"/>
  <c r="Q1493" i="9"/>
  <c r="J1493" i="9"/>
  <c r="L1493" i="9"/>
  <c r="F1493" i="9"/>
  <c r="D1493" i="9"/>
  <c r="Q1492" i="9"/>
  <c r="L1492" i="9"/>
  <c r="P1492" i="9"/>
  <c r="K1492" i="9"/>
  <c r="O1492" i="9"/>
  <c r="D1492" i="9"/>
  <c r="E1492" i="9"/>
  <c r="M1492" i="9"/>
  <c r="N1492" i="9"/>
  <c r="J1492" i="9"/>
  <c r="C1492" i="9"/>
  <c r="F1492" i="9"/>
  <c r="L1491" i="9"/>
  <c r="E1491" i="9"/>
  <c r="O1491" i="9"/>
  <c r="K1491" i="9"/>
  <c r="C1491" i="9"/>
  <c r="P1491" i="9"/>
  <c r="M1491" i="9"/>
  <c r="F1491" i="9"/>
  <c r="D1491" i="9"/>
  <c r="Q1491" i="9"/>
  <c r="N1491" i="9"/>
  <c r="J1491" i="9"/>
  <c r="K1490" i="9"/>
  <c r="O1490" i="9"/>
  <c r="L1490" i="9"/>
  <c r="J1490" i="9"/>
  <c r="C1490" i="9"/>
  <c r="F1490" i="9"/>
  <c r="D1490" i="9"/>
  <c r="E1490" i="9"/>
  <c r="M1490" i="9"/>
  <c r="Q1490" i="9"/>
  <c r="N1490" i="9"/>
  <c r="P1490" i="9"/>
  <c r="Q1489" i="9"/>
  <c r="N1489" i="9"/>
  <c r="M1489" i="9"/>
  <c r="O1489" i="9"/>
  <c r="D1489" i="9"/>
  <c r="F1489" i="9"/>
  <c r="L1489" i="9"/>
  <c r="K1489" i="9"/>
  <c r="P1489" i="9"/>
  <c r="C1489" i="9"/>
  <c r="J1489" i="9"/>
  <c r="E1489" i="9"/>
  <c r="Q1488" i="9"/>
  <c r="K1488" i="9"/>
  <c r="M1488" i="9"/>
  <c r="L1488" i="9"/>
  <c r="E1488" i="9"/>
  <c r="C1488" i="9"/>
  <c r="F1488" i="9"/>
  <c r="J1488" i="9"/>
  <c r="P1488" i="9"/>
  <c r="N1488" i="9"/>
  <c r="O1488" i="9"/>
  <c r="D1488" i="9"/>
  <c r="F1487" i="9"/>
  <c r="D1487" i="9"/>
  <c r="N1487" i="9"/>
  <c r="J1487" i="9"/>
  <c r="K1487" i="9"/>
  <c r="E1487" i="9"/>
  <c r="Q1487" i="9"/>
  <c r="C1487" i="9"/>
  <c r="M1487" i="9"/>
  <c r="O1487" i="9"/>
  <c r="P1487" i="9"/>
  <c r="L1487" i="9"/>
  <c r="D1486" i="9"/>
  <c r="J1486" i="9"/>
  <c r="Q1486" i="9"/>
  <c r="O1486" i="9"/>
  <c r="N1486" i="9"/>
  <c r="L1486" i="9"/>
  <c r="C1486" i="9"/>
  <c r="F1486" i="9"/>
  <c r="K1486" i="9"/>
  <c r="E1486" i="9"/>
  <c r="M1486" i="9"/>
  <c r="P1486" i="9"/>
  <c r="E1485" i="9"/>
  <c r="P1485" i="9"/>
  <c r="J1485" i="9"/>
  <c r="M1485" i="9"/>
  <c r="Q1485" i="9"/>
  <c r="D1485" i="9"/>
  <c r="F1485" i="9"/>
  <c r="L1485" i="9"/>
  <c r="N1485" i="9"/>
  <c r="K1485" i="9"/>
  <c r="C1485" i="9"/>
  <c r="O1485" i="9"/>
  <c r="P1484" i="9"/>
  <c r="D1484" i="9"/>
  <c r="K1484" i="9"/>
  <c r="O1484" i="9"/>
  <c r="Q1484" i="9"/>
  <c r="M1484" i="9"/>
  <c r="E1484" i="9"/>
  <c r="J1484" i="9"/>
  <c r="F1484" i="9"/>
  <c r="C1484" i="9"/>
  <c r="L1484" i="9"/>
  <c r="N1484" i="9"/>
  <c r="D1483" i="9"/>
  <c r="P1483" i="9"/>
  <c r="M1483" i="9"/>
  <c r="N1483" i="9"/>
  <c r="F1483" i="9"/>
  <c r="J1483" i="9"/>
  <c r="C1483" i="9"/>
  <c r="E1483" i="9"/>
  <c r="Q1483" i="9"/>
  <c r="O1483" i="9"/>
  <c r="L1483" i="9"/>
  <c r="K1483" i="9"/>
  <c r="Q1482" i="9"/>
  <c r="O1482" i="9"/>
  <c r="D1482" i="9"/>
  <c r="K1482" i="9"/>
  <c r="M1482" i="9"/>
  <c r="L1482" i="9"/>
  <c r="E1482" i="9"/>
  <c r="C1482" i="9"/>
  <c r="F1482" i="9"/>
  <c r="N1482" i="9"/>
  <c r="J1482" i="9"/>
  <c r="P1482" i="9"/>
  <c r="J1481" i="9"/>
  <c r="F1481" i="9"/>
  <c r="D1481" i="9"/>
  <c r="P1481" i="9"/>
  <c r="M1481" i="9"/>
  <c r="O1481" i="9"/>
  <c r="Q1481" i="9"/>
  <c r="N1481" i="9"/>
  <c r="E1481" i="9"/>
  <c r="C1481" i="9"/>
  <c r="K1481" i="9"/>
  <c r="L1481" i="9"/>
  <c r="N1480" i="9"/>
  <c r="O1480" i="9"/>
  <c r="L1480" i="9"/>
  <c r="P1480" i="9"/>
  <c r="J1480" i="9"/>
  <c r="F1480" i="9"/>
  <c r="D1480" i="9"/>
  <c r="M1480" i="9"/>
  <c r="E1480" i="9"/>
  <c r="Q1480" i="9"/>
  <c r="C1480" i="9"/>
  <c r="K1480" i="9"/>
  <c r="D1479" i="9"/>
  <c r="L1479" i="9"/>
  <c r="N1479" i="9"/>
  <c r="K1479" i="9"/>
  <c r="J1479" i="9"/>
  <c r="E1479" i="9"/>
  <c r="M1479" i="9"/>
  <c r="P1479" i="9"/>
  <c r="Q1479" i="9"/>
  <c r="O1479" i="9"/>
  <c r="F1479" i="9"/>
  <c r="C1479" i="9"/>
  <c r="K1478" i="9"/>
  <c r="F1478" i="9"/>
  <c r="C1478" i="9"/>
  <c r="D1478" i="9"/>
  <c r="N1478" i="9"/>
  <c r="L1478" i="9"/>
  <c r="O1478" i="9"/>
  <c r="J1478" i="9"/>
  <c r="M1478" i="9"/>
  <c r="Q1478" i="9"/>
  <c r="E1478" i="9"/>
  <c r="P1478" i="9"/>
  <c r="L1477" i="9"/>
  <c r="O1477" i="9"/>
  <c r="C1477" i="9"/>
  <c r="F1477" i="9"/>
  <c r="M1477" i="9"/>
  <c r="Q1477" i="9"/>
  <c r="P1477" i="9"/>
  <c r="D1477" i="9"/>
  <c r="E1477" i="9"/>
  <c r="K1477" i="9"/>
  <c r="J1477" i="9"/>
  <c r="N1477" i="9"/>
  <c r="L1476" i="9"/>
  <c r="D1476" i="9"/>
  <c r="K1476" i="9"/>
  <c r="P1476" i="9"/>
  <c r="F1476" i="9"/>
  <c r="C1476" i="9"/>
  <c r="E1476" i="9"/>
  <c r="N1476" i="9"/>
  <c r="O1476" i="9"/>
  <c r="Q1476" i="9"/>
  <c r="J1476" i="9"/>
  <c r="M1476" i="9"/>
  <c r="O1475" i="9"/>
  <c r="E1475" i="9"/>
  <c r="P1475" i="9"/>
  <c r="F1475" i="9"/>
  <c r="Q1475" i="9"/>
  <c r="J1475" i="9"/>
  <c r="M1475" i="9"/>
  <c r="N1475" i="9"/>
  <c r="L1475" i="9"/>
  <c r="D1475" i="9"/>
  <c r="C1475" i="9"/>
  <c r="K1475" i="9"/>
  <c r="P1474" i="9"/>
  <c r="J1474" i="9"/>
  <c r="C1474" i="9"/>
  <c r="Q1474" i="9"/>
  <c r="M1474" i="9"/>
  <c r="O1474" i="9"/>
  <c r="D1474" i="9"/>
  <c r="N1474" i="9"/>
  <c r="L1474" i="9"/>
  <c r="F1474" i="9"/>
  <c r="E1474" i="9"/>
  <c r="K1474" i="9"/>
  <c r="N1473" i="9"/>
  <c r="K1473" i="9"/>
  <c r="M1473" i="9"/>
  <c r="J1473" i="9"/>
  <c r="D1473" i="9"/>
  <c r="E1473" i="9"/>
  <c r="F1473" i="9"/>
  <c r="C1473" i="9"/>
  <c r="Q1473" i="9"/>
  <c r="L1473" i="9"/>
  <c r="P1473" i="9"/>
  <c r="O1473" i="9"/>
  <c r="D1472" i="9"/>
  <c r="O1472" i="9"/>
  <c r="F1472" i="9"/>
  <c r="J1472" i="9"/>
  <c r="Q1472" i="9"/>
  <c r="E1472" i="9"/>
  <c r="L1472" i="9"/>
  <c r="P1472" i="9"/>
  <c r="K1472" i="9"/>
  <c r="N1472" i="9"/>
  <c r="M1472" i="9"/>
  <c r="C1472" i="9"/>
  <c r="K1471" i="9"/>
  <c r="O1471" i="9"/>
  <c r="F1471" i="9"/>
  <c r="N1471" i="9"/>
  <c r="J1471" i="9"/>
  <c r="C1471" i="9"/>
  <c r="L1471" i="9"/>
  <c r="Q1471" i="9"/>
  <c r="D1471" i="9"/>
  <c r="E1471" i="9"/>
  <c r="M1471" i="9"/>
  <c r="P1471" i="9"/>
  <c r="K1470" i="9"/>
  <c r="P1470" i="9"/>
  <c r="E1470" i="9"/>
  <c r="M1470" i="9"/>
  <c r="O1470" i="9"/>
  <c r="Q1470" i="9"/>
  <c r="D1470" i="9"/>
  <c r="C1470" i="9"/>
  <c r="J1470" i="9"/>
  <c r="L1470" i="9"/>
  <c r="N1470" i="9"/>
  <c r="F1470" i="9"/>
  <c r="Q1469" i="9"/>
  <c r="D1469" i="9"/>
  <c r="P1469" i="9"/>
  <c r="M1469" i="9"/>
  <c r="K1469" i="9"/>
  <c r="C1469" i="9"/>
  <c r="N1469" i="9"/>
  <c r="L1469" i="9"/>
  <c r="O1469" i="9"/>
  <c r="J1469" i="9"/>
  <c r="F1469" i="9"/>
  <c r="E1469" i="9"/>
  <c r="K1468" i="9"/>
  <c r="M1468" i="9"/>
  <c r="E1468" i="9"/>
  <c r="J1468" i="9"/>
  <c r="N1468" i="9"/>
  <c r="C1468" i="9"/>
  <c r="F1468" i="9"/>
  <c r="O1468" i="9"/>
  <c r="L1468" i="9"/>
  <c r="Q1468" i="9"/>
  <c r="P1468" i="9"/>
  <c r="D1468" i="9"/>
  <c r="D1467" i="9"/>
  <c r="E1467" i="9"/>
  <c r="C1467" i="9"/>
  <c r="F1467" i="9"/>
  <c r="K1467" i="9"/>
  <c r="J1467" i="9"/>
  <c r="P1467" i="9"/>
  <c r="O1467" i="9"/>
  <c r="M1467" i="9"/>
  <c r="N1467" i="9"/>
  <c r="Q1467" i="9"/>
  <c r="L1467" i="9"/>
  <c r="M1466" i="9"/>
  <c r="D1466" i="9"/>
  <c r="N1466" i="9"/>
  <c r="K1466" i="9"/>
  <c r="E1466" i="9"/>
  <c r="J1466" i="9"/>
  <c r="C1466" i="9"/>
  <c r="O1466" i="9"/>
  <c r="Q1466" i="9"/>
  <c r="L1466" i="9"/>
  <c r="F1466" i="9"/>
  <c r="P1466" i="9"/>
  <c r="Q1465" i="9"/>
  <c r="P1465" i="9"/>
  <c r="L1465" i="9"/>
  <c r="D1465" i="9"/>
  <c r="E1465" i="9"/>
  <c r="J1465" i="9"/>
  <c r="O1465" i="9"/>
  <c r="C1465" i="9"/>
  <c r="F1465" i="9"/>
  <c r="K1465" i="9"/>
  <c r="N1465" i="9"/>
  <c r="L1464" i="9"/>
  <c r="F1464" i="9"/>
  <c r="D1464" i="9"/>
  <c r="J1464" i="9"/>
  <c r="C1464" i="9"/>
  <c r="K1464" i="9"/>
  <c r="M1464" i="9"/>
  <c r="P1464" i="9"/>
  <c r="N1464" i="9"/>
  <c r="E1464" i="9"/>
  <c r="Q1464" i="9"/>
  <c r="O1464" i="9"/>
  <c r="F1463" i="9"/>
  <c r="M1463" i="9"/>
  <c r="P1463" i="9"/>
  <c r="K1463" i="9"/>
  <c r="Q1463" i="9"/>
  <c r="N1463" i="9"/>
  <c r="C1463" i="9"/>
  <c r="L1463" i="9"/>
  <c r="J1463" i="9"/>
  <c r="O1463" i="9"/>
  <c r="E1463" i="9"/>
  <c r="L1462" i="9"/>
  <c r="N1462" i="9"/>
  <c r="Q1462" i="9"/>
  <c r="E1462" i="9"/>
  <c r="P1462" i="9"/>
  <c r="O1462" i="9"/>
  <c r="M1462" i="9"/>
  <c r="F1462" i="9"/>
  <c r="D1462" i="9"/>
  <c r="C1462" i="9"/>
  <c r="J1462" i="9"/>
  <c r="L1461" i="9"/>
  <c r="F1461" i="9"/>
  <c r="E1461" i="9"/>
  <c r="D1461" i="9"/>
  <c r="C1461" i="9"/>
  <c r="Q1461" i="9"/>
  <c r="K1461" i="9"/>
  <c r="O1461" i="9"/>
  <c r="N1461" i="9"/>
  <c r="M1461" i="9"/>
  <c r="J1461" i="9"/>
  <c r="P1461" i="9"/>
  <c r="P1460" i="9"/>
  <c r="Q1460" i="9"/>
  <c r="E1460" i="9"/>
  <c r="N1460" i="9"/>
  <c r="L1460" i="9"/>
  <c r="J1460" i="9"/>
  <c r="F1460" i="9"/>
  <c r="C1460" i="9"/>
  <c r="D1460" i="9"/>
  <c r="K1460" i="9"/>
  <c r="M1460" i="9"/>
  <c r="O1460" i="9"/>
  <c r="P1459" i="9"/>
  <c r="O1459" i="9"/>
  <c r="N1459" i="9"/>
  <c r="L1459" i="9"/>
  <c r="J1459" i="9"/>
  <c r="D1459" i="9"/>
  <c r="F1459" i="9"/>
  <c r="C1459" i="9"/>
  <c r="Q1459" i="9"/>
  <c r="M1459" i="9"/>
  <c r="K1459" i="9"/>
  <c r="E1459" i="9"/>
  <c r="D1458" i="9"/>
  <c r="E1458" i="9"/>
  <c r="F1458" i="9"/>
  <c r="K1458" i="9"/>
  <c r="M1458" i="9"/>
  <c r="O1458" i="9"/>
  <c r="P1458" i="9"/>
  <c r="C1458" i="9"/>
  <c r="L1458" i="9"/>
  <c r="N1458" i="9"/>
  <c r="Q1458" i="9"/>
  <c r="L1457" i="9"/>
  <c r="K1457" i="9"/>
  <c r="J1457" i="9"/>
  <c r="Q1457" i="9"/>
  <c r="M1457" i="9"/>
  <c r="F1457" i="9"/>
  <c r="D1457" i="9"/>
  <c r="C1457" i="9"/>
  <c r="E1457" i="9"/>
  <c r="P1457" i="9"/>
  <c r="N1457" i="9"/>
  <c r="O1457" i="9"/>
  <c r="N1456" i="9"/>
  <c r="C1456" i="9"/>
  <c r="D1456" i="9"/>
  <c r="E1456" i="9"/>
  <c r="K1456" i="9"/>
  <c r="L1456" i="9"/>
  <c r="M1456" i="9"/>
  <c r="O1456" i="9"/>
  <c r="Q1456" i="9"/>
  <c r="F1456" i="9"/>
  <c r="P1456" i="9"/>
  <c r="J1456" i="9"/>
  <c r="K1455" i="9"/>
  <c r="M1455" i="9"/>
  <c r="N1455" i="9"/>
  <c r="P1455" i="9"/>
  <c r="Q1455" i="9"/>
  <c r="O1455" i="9"/>
  <c r="L1455" i="9"/>
  <c r="J1455" i="9"/>
  <c r="F1455" i="9"/>
  <c r="C1455" i="9"/>
  <c r="E1455" i="9"/>
  <c r="D1455" i="9"/>
  <c r="K1454" i="9"/>
  <c r="D1454" i="9"/>
  <c r="O1454" i="9"/>
  <c r="L1454" i="9"/>
  <c r="J1454" i="9"/>
  <c r="F1454" i="9"/>
  <c r="E1454" i="9"/>
  <c r="C1454" i="9"/>
  <c r="M1454" i="9"/>
  <c r="N1454" i="9"/>
  <c r="Q1454" i="9"/>
  <c r="P1454" i="9"/>
  <c r="F1453" i="9"/>
  <c r="K1453" i="9"/>
  <c r="M1453" i="9"/>
  <c r="O1453" i="9"/>
  <c r="P1453" i="9"/>
  <c r="D1453" i="9"/>
  <c r="J1453" i="9"/>
  <c r="L1453" i="9"/>
  <c r="N1453" i="9"/>
  <c r="Q1453" i="9"/>
  <c r="C1453" i="9"/>
  <c r="E1453" i="9"/>
  <c r="Q1452" i="9"/>
  <c r="N1452" i="9"/>
  <c r="E1452" i="9"/>
  <c r="O1452" i="9"/>
  <c r="P1452" i="9"/>
  <c r="D1452" i="9"/>
  <c r="F1452" i="9"/>
  <c r="C1452" i="9"/>
  <c r="K1452" i="9"/>
  <c r="J1452" i="9"/>
  <c r="L1452" i="9"/>
  <c r="M1452" i="9"/>
  <c r="K1451" i="9"/>
  <c r="N1451" i="9"/>
  <c r="Q1451" i="9"/>
  <c r="L1451" i="9"/>
  <c r="D1451" i="9"/>
  <c r="E1451" i="9"/>
  <c r="M1451" i="9"/>
  <c r="J1451" i="9"/>
  <c r="C1451" i="9"/>
  <c r="O1451" i="9"/>
  <c r="P1451" i="9"/>
  <c r="F1451" i="9"/>
  <c r="K1450" i="9"/>
  <c r="N1450" i="9"/>
  <c r="P1450" i="9"/>
  <c r="Q1450" i="9"/>
  <c r="O1450" i="9"/>
  <c r="L1450" i="9"/>
  <c r="J1450" i="9"/>
  <c r="E1450" i="9"/>
  <c r="C1450" i="9"/>
  <c r="M1450" i="9"/>
  <c r="D1450" i="9"/>
  <c r="F1450" i="9"/>
  <c r="D1449" i="9"/>
  <c r="E1449" i="9"/>
  <c r="N1449" i="9"/>
  <c r="P1449" i="9"/>
  <c r="C1449" i="9"/>
  <c r="J1449" i="9"/>
  <c r="L1449" i="9"/>
  <c r="F1449" i="9"/>
  <c r="K1449" i="9"/>
  <c r="M1449" i="9"/>
  <c r="O1449" i="9"/>
  <c r="Q1449" i="9"/>
  <c r="K1448" i="9"/>
  <c r="Q1448" i="9"/>
  <c r="O1448" i="9"/>
  <c r="M1448" i="9"/>
  <c r="L1448" i="9"/>
  <c r="J1448" i="9"/>
  <c r="D1448" i="9"/>
  <c r="F1448" i="9"/>
  <c r="C1448" i="9"/>
  <c r="E1448" i="9"/>
  <c r="N1448" i="9"/>
  <c r="P1448" i="9"/>
  <c r="N1447" i="9"/>
  <c r="E1447" i="9"/>
  <c r="J1447" i="9"/>
  <c r="L1447" i="9"/>
  <c r="P1447" i="9"/>
  <c r="Q1447" i="9"/>
  <c r="M1447" i="9"/>
  <c r="D1447" i="9"/>
  <c r="F1447" i="9"/>
  <c r="K1447" i="9"/>
  <c r="O1447" i="9"/>
  <c r="C1447" i="9"/>
  <c r="O1446" i="9"/>
  <c r="Q1446" i="9"/>
  <c r="L1446" i="9"/>
  <c r="K1446" i="9"/>
  <c r="D1446" i="9"/>
  <c r="C1446" i="9"/>
  <c r="F1446" i="9"/>
  <c r="E1446" i="9"/>
  <c r="J1446" i="9"/>
  <c r="M1446" i="9"/>
  <c r="N1446" i="9"/>
  <c r="P1446" i="9"/>
  <c r="P1445" i="9"/>
  <c r="C1445" i="9"/>
  <c r="F1445" i="9"/>
  <c r="K1445" i="9"/>
  <c r="M1445" i="9"/>
  <c r="O1445" i="9"/>
  <c r="D1445" i="9"/>
  <c r="E1445" i="9"/>
  <c r="J1445" i="9"/>
  <c r="L1445" i="9"/>
  <c r="N1445" i="9"/>
  <c r="Q1445" i="9"/>
  <c r="D1444" i="9"/>
  <c r="C1444" i="9"/>
  <c r="L1444" i="9"/>
  <c r="K1444" i="9"/>
  <c r="J1444" i="9"/>
  <c r="F1444" i="9"/>
  <c r="E1444" i="9"/>
  <c r="N1444" i="9"/>
  <c r="Q1444" i="9"/>
  <c r="M1444" i="9"/>
  <c r="O1444" i="9"/>
  <c r="P1444" i="9"/>
  <c r="Q1443" i="9"/>
  <c r="N1443" i="9"/>
  <c r="M1443" i="9"/>
  <c r="P1443" i="9"/>
  <c r="O1443" i="9"/>
  <c r="J1443" i="9"/>
  <c r="F1443" i="9"/>
  <c r="K1443" i="9"/>
  <c r="E1443" i="9"/>
  <c r="D1443" i="9"/>
  <c r="C1443" i="9"/>
  <c r="L1443" i="9"/>
  <c r="F1442" i="9"/>
  <c r="K1442" i="9"/>
  <c r="E1442" i="9"/>
  <c r="C1442" i="9"/>
  <c r="Q1442" i="9"/>
  <c r="D1442" i="9"/>
  <c r="L1442" i="9"/>
  <c r="O1442" i="9"/>
  <c r="N1442" i="9"/>
  <c r="M1442" i="9"/>
  <c r="J1442" i="9"/>
  <c r="P1442" i="9"/>
  <c r="J1441" i="9"/>
  <c r="K1441" i="9"/>
  <c r="N1441" i="9"/>
  <c r="P1441" i="9"/>
  <c r="C1441" i="9"/>
  <c r="L1441" i="9"/>
  <c r="O1441" i="9"/>
  <c r="M1441" i="9"/>
  <c r="Q1441" i="9"/>
  <c r="F1441" i="9"/>
  <c r="E1441" i="9"/>
  <c r="D1441" i="9"/>
  <c r="Q1440" i="9"/>
  <c r="M1440" i="9"/>
  <c r="D1440" i="9"/>
  <c r="J1440" i="9"/>
  <c r="K1440" i="9"/>
  <c r="N1440" i="9"/>
  <c r="P1440" i="9"/>
  <c r="O1440" i="9"/>
  <c r="L1440" i="9"/>
  <c r="F1440" i="9"/>
  <c r="E1440" i="9"/>
  <c r="C1440" i="9"/>
  <c r="K1439" i="9"/>
  <c r="E1439" i="9"/>
  <c r="Q1439" i="9"/>
  <c r="F1439" i="9"/>
  <c r="C1439" i="9"/>
  <c r="D1439" i="9"/>
  <c r="L1439" i="9"/>
  <c r="P1439" i="9"/>
  <c r="O1439" i="9"/>
  <c r="M1439" i="9"/>
  <c r="J1439" i="9"/>
  <c r="N1439" i="9"/>
  <c r="O1438" i="9"/>
  <c r="L1438" i="9"/>
  <c r="F1438" i="9"/>
  <c r="Q1438" i="9"/>
  <c r="M1438" i="9"/>
  <c r="J1438" i="9"/>
  <c r="D1438" i="9"/>
  <c r="P1438" i="9"/>
  <c r="N1438" i="9"/>
  <c r="K1438" i="9"/>
  <c r="E1438" i="9"/>
  <c r="C1438" i="9"/>
  <c r="P1437" i="9"/>
  <c r="L1437" i="9"/>
  <c r="C1437" i="9"/>
  <c r="N1437" i="9"/>
  <c r="Q1437" i="9"/>
  <c r="J1437" i="9"/>
  <c r="D1437" i="9"/>
  <c r="E1437" i="9"/>
  <c r="F1437" i="9"/>
  <c r="K1437" i="9"/>
  <c r="O1437" i="9"/>
  <c r="M1437" i="9"/>
  <c r="P1436" i="9"/>
  <c r="M1436" i="9"/>
  <c r="K1436" i="9"/>
  <c r="D1436" i="9"/>
  <c r="F1436" i="9"/>
  <c r="J1436" i="9"/>
  <c r="N1436" i="9"/>
  <c r="Q1436" i="9"/>
  <c r="E1436" i="9"/>
  <c r="C1436" i="9"/>
  <c r="L1436" i="9"/>
  <c r="O1436" i="9"/>
  <c r="P1435" i="9"/>
  <c r="L1435" i="9"/>
  <c r="J1435" i="9"/>
  <c r="D1435" i="9"/>
  <c r="Q1435" i="9"/>
  <c r="N1435" i="9"/>
  <c r="K1435" i="9"/>
  <c r="F1435" i="9"/>
  <c r="E1435" i="9"/>
  <c r="O1435" i="9"/>
  <c r="M1435" i="9"/>
  <c r="C1435" i="9"/>
  <c r="O1434" i="9"/>
  <c r="L1434" i="9"/>
  <c r="F1434" i="9"/>
  <c r="Q1434" i="9"/>
  <c r="D1434" i="9"/>
  <c r="C1434" i="9"/>
  <c r="P1434" i="9"/>
  <c r="M1434" i="9"/>
  <c r="J1434" i="9"/>
  <c r="E1434" i="9"/>
  <c r="K1434" i="9"/>
  <c r="N1434" i="9"/>
  <c r="P1433" i="9"/>
  <c r="N1433" i="9"/>
  <c r="M1433" i="9"/>
  <c r="O1433" i="9"/>
  <c r="F1433" i="9"/>
  <c r="Q1433" i="9"/>
  <c r="D1433" i="9"/>
  <c r="C1433" i="9"/>
  <c r="J1433" i="9"/>
  <c r="K1433" i="9"/>
  <c r="L1433" i="9"/>
  <c r="E1433" i="9"/>
  <c r="E1432" i="9"/>
  <c r="L1432" i="9"/>
  <c r="P1432" i="9"/>
  <c r="N1432" i="9"/>
  <c r="K1432" i="9"/>
  <c r="D1432" i="9"/>
  <c r="Q1432" i="9"/>
  <c r="O1432" i="9"/>
  <c r="M1432" i="9"/>
  <c r="J1432" i="9"/>
  <c r="C1432" i="9"/>
  <c r="F1432" i="9"/>
  <c r="K1431" i="9"/>
  <c r="P1431" i="9"/>
  <c r="E1431" i="9"/>
  <c r="L1431" i="9"/>
  <c r="N1431" i="9"/>
  <c r="J1431" i="9"/>
  <c r="M1431" i="9"/>
  <c r="O1431" i="9"/>
  <c r="Q1431" i="9"/>
  <c r="C1431" i="9"/>
  <c r="D1431" i="9"/>
  <c r="F1431" i="9"/>
  <c r="O1430" i="9"/>
  <c r="P1430" i="9"/>
  <c r="Q1430" i="9"/>
  <c r="K1430" i="9"/>
  <c r="N1430" i="9"/>
  <c r="L1430" i="9"/>
  <c r="D1430" i="9"/>
  <c r="C1430" i="9"/>
  <c r="E1430" i="9"/>
  <c r="F1430" i="9"/>
  <c r="M1430" i="9"/>
  <c r="J1430" i="9"/>
  <c r="L1429" i="9"/>
  <c r="C1429" i="9"/>
  <c r="F1429" i="9"/>
  <c r="E1429" i="9"/>
  <c r="D1429" i="9"/>
  <c r="K1429" i="9"/>
  <c r="N1429" i="9"/>
  <c r="O1429" i="9"/>
  <c r="P1429" i="9"/>
  <c r="Q1429" i="9"/>
  <c r="M1429" i="9"/>
  <c r="J1429" i="9"/>
  <c r="Q1428" i="9"/>
  <c r="P1428" i="9"/>
  <c r="O1428" i="9"/>
  <c r="N1428" i="9"/>
  <c r="M1428" i="9"/>
  <c r="D1428" i="9"/>
  <c r="L1428" i="9"/>
  <c r="J1428" i="9"/>
  <c r="C1428" i="9"/>
  <c r="K1428" i="9"/>
  <c r="F1428" i="9"/>
  <c r="E1428" i="9"/>
  <c r="P1427" i="9"/>
  <c r="M1427" i="9"/>
  <c r="J1427" i="9"/>
  <c r="O1427" i="9"/>
  <c r="N1427" i="9"/>
  <c r="K1427" i="9"/>
  <c r="D1427" i="9"/>
  <c r="C1427" i="9"/>
  <c r="E1427" i="9"/>
  <c r="F1427" i="9"/>
  <c r="L1427" i="9"/>
  <c r="Q1427" i="9"/>
  <c r="M1426" i="9"/>
  <c r="N1426" i="9"/>
  <c r="Q1426" i="9"/>
  <c r="C1426" i="9"/>
  <c r="L1426" i="9"/>
  <c r="J1426" i="9"/>
  <c r="E1426" i="9"/>
  <c r="D1426" i="9"/>
  <c r="O1426" i="9"/>
  <c r="P1426" i="9"/>
  <c r="F1426" i="9"/>
  <c r="K1426" i="9"/>
  <c r="Q1425" i="9"/>
  <c r="E1425" i="9"/>
  <c r="C1425" i="9"/>
  <c r="J1425" i="9"/>
  <c r="D1425" i="9"/>
  <c r="F1425" i="9"/>
  <c r="O1425" i="9"/>
  <c r="N1425" i="9"/>
  <c r="P1425" i="9"/>
  <c r="L1425" i="9"/>
  <c r="M1425" i="9"/>
  <c r="K1425" i="9"/>
  <c r="L1424" i="9"/>
  <c r="C1424" i="9"/>
  <c r="F1424" i="9"/>
  <c r="J1424" i="9"/>
  <c r="P1424" i="9"/>
  <c r="N1424" i="9"/>
  <c r="K1424" i="9"/>
  <c r="O1424" i="9"/>
  <c r="M1424" i="9"/>
  <c r="D1424" i="9"/>
  <c r="Q1424" i="9"/>
  <c r="P1423" i="9"/>
  <c r="J1423" i="9"/>
  <c r="C1423" i="9"/>
  <c r="K1423" i="9"/>
  <c r="N1423" i="9"/>
  <c r="Q1423" i="9"/>
  <c r="M1423" i="9"/>
  <c r="L1423" i="9"/>
  <c r="F1423" i="9"/>
  <c r="D1423" i="9"/>
  <c r="E1423" i="9"/>
  <c r="O1423" i="9"/>
  <c r="K1422" i="9"/>
  <c r="D1422" i="9"/>
  <c r="Q1422" i="9"/>
  <c r="C1422" i="9"/>
  <c r="J1422" i="9"/>
  <c r="M1422" i="9"/>
  <c r="L1422" i="9"/>
  <c r="P1422" i="9"/>
  <c r="O1422" i="9"/>
  <c r="N1422" i="9"/>
  <c r="F1422" i="9"/>
  <c r="O1421" i="9"/>
  <c r="P1421" i="9"/>
  <c r="N1421" i="9"/>
  <c r="D1421" i="9"/>
  <c r="L1421" i="9"/>
  <c r="K1421" i="9"/>
  <c r="J1421" i="9"/>
  <c r="Q1421" i="9"/>
  <c r="C1421" i="9"/>
  <c r="E1421" i="9"/>
  <c r="F1421" i="9"/>
  <c r="M1421" i="9"/>
  <c r="F1420" i="9"/>
  <c r="O1420" i="9"/>
  <c r="N1420" i="9"/>
  <c r="K1420" i="9"/>
  <c r="E1420" i="9"/>
  <c r="D1420" i="9"/>
  <c r="P1420" i="9"/>
  <c r="M1420" i="9"/>
  <c r="J1420" i="9"/>
  <c r="C1420" i="9"/>
  <c r="Q1420" i="9"/>
  <c r="L1420" i="9"/>
  <c r="P1419" i="9"/>
  <c r="N1419" i="9"/>
  <c r="K1419" i="9"/>
  <c r="D1419" i="9"/>
  <c r="Q1419" i="9"/>
  <c r="M1419" i="9"/>
  <c r="F1419" i="9"/>
  <c r="E1419" i="9"/>
  <c r="C1419" i="9"/>
  <c r="O1419" i="9"/>
  <c r="L1419" i="9"/>
  <c r="J1419" i="9"/>
  <c r="C1418" i="9"/>
  <c r="E1418" i="9"/>
  <c r="N1418" i="9"/>
  <c r="D1418" i="9"/>
  <c r="F1418" i="9"/>
  <c r="Q1418" i="9"/>
  <c r="K1418" i="9"/>
  <c r="O1418" i="9"/>
  <c r="L1418" i="9"/>
  <c r="J1418" i="9"/>
  <c r="P1418" i="9"/>
  <c r="M1418" i="9"/>
  <c r="D1417" i="9"/>
  <c r="O1417" i="9"/>
  <c r="N1417" i="9"/>
  <c r="L1417" i="9"/>
  <c r="F1417" i="9"/>
  <c r="E1417" i="9"/>
  <c r="C1417" i="9"/>
  <c r="K1417" i="9"/>
  <c r="Q1417" i="9"/>
  <c r="J1417" i="9"/>
  <c r="M1417" i="9"/>
  <c r="P1417" i="9"/>
  <c r="N1416" i="9"/>
  <c r="K1416" i="9"/>
  <c r="D1416" i="9"/>
  <c r="E1416" i="9"/>
  <c r="Q1416" i="9"/>
  <c r="L1416" i="9"/>
  <c r="O1416" i="9"/>
  <c r="M1416" i="9"/>
  <c r="J1416" i="9"/>
  <c r="C1416" i="9"/>
  <c r="F1416" i="9"/>
  <c r="P1416" i="9"/>
  <c r="N1415" i="9"/>
  <c r="C1415" i="9"/>
  <c r="F1415" i="9"/>
  <c r="K1415" i="9"/>
  <c r="P1415" i="9"/>
  <c r="Q1415" i="9"/>
  <c r="J1415" i="9"/>
  <c r="L1415" i="9"/>
  <c r="E1415" i="9"/>
  <c r="M1415" i="9"/>
  <c r="D1415" i="9"/>
  <c r="O1415" i="9"/>
  <c r="C1414" i="9"/>
  <c r="L1414" i="9"/>
  <c r="O1414" i="9"/>
  <c r="E1414" i="9"/>
  <c r="F1414" i="9"/>
  <c r="K1414" i="9"/>
  <c r="D1414" i="9"/>
  <c r="J1414" i="9"/>
  <c r="M1414" i="9"/>
  <c r="Q1414" i="9"/>
  <c r="P1414" i="9"/>
  <c r="N1414" i="9"/>
  <c r="O1413" i="9"/>
  <c r="E1413" i="9"/>
  <c r="P1413" i="9"/>
  <c r="N1413" i="9"/>
  <c r="K1413" i="9"/>
  <c r="F1413" i="9"/>
  <c r="Q1413" i="9"/>
  <c r="J1413" i="9"/>
  <c r="M1413" i="9"/>
  <c r="C1413" i="9"/>
  <c r="L1413" i="9"/>
  <c r="D1413" i="9"/>
  <c r="M1412" i="9"/>
  <c r="N1412" i="9"/>
  <c r="P1412" i="9"/>
  <c r="F1412" i="9"/>
  <c r="C1412" i="9"/>
  <c r="L1412" i="9"/>
  <c r="K1412" i="9"/>
  <c r="D1412" i="9"/>
  <c r="Q1412" i="9"/>
  <c r="O1412" i="9"/>
  <c r="J1412" i="9"/>
  <c r="E1412" i="9"/>
  <c r="K1411" i="9"/>
  <c r="F1411" i="9"/>
  <c r="E1411" i="9"/>
  <c r="J1411" i="9"/>
  <c r="N1411" i="9"/>
  <c r="Q1411" i="9"/>
  <c r="M1411" i="9"/>
  <c r="P1411" i="9"/>
  <c r="D1411" i="9"/>
  <c r="O1411" i="9"/>
  <c r="L1411" i="9"/>
  <c r="C1410" i="9"/>
  <c r="F1410" i="9"/>
  <c r="L1410" i="9"/>
  <c r="M1410" i="9"/>
  <c r="O1410" i="9"/>
  <c r="J1410" i="9"/>
  <c r="D1410" i="9"/>
  <c r="P1410" i="9"/>
  <c r="N1410" i="9"/>
  <c r="K1410" i="9"/>
  <c r="Q1410" i="9"/>
  <c r="E1410" i="9"/>
  <c r="F1409" i="9"/>
  <c r="P1409" i="9"/>
  <c r="N1409" i="9"/>
  <c r="K1409" i="9"/>
  <c r="L1409" i="9"/>
  <c r="D1409" i="9"/>
  <c r="O1409" i="9"/>
  <c r="M1409" i="9"/>
  <c r="J1409" i="9"/>
  <c r="C1409" i="9"/>
  <c r="E1409" i="9"/>
  <c r="Q1409" i="9"/>
  <c r="J1408" i="9"/>
  <c r="P1408" i="9"/>
  <c r="M1408" i="9"/>
  <c r="O1408" i="9"/>
  <c r="K1408" i="9"/>
  <c r="E1408" i="9"/>
  <c r="L1408" i="9"/>
  <c r="N1408" i="9"/>
  <c r="Q1408" i="9"/>
  <c r="C1408" i="9"/>
  <c r="D1408" i="9"/>
  <c r="F1408" i="9"/>
  <c r="P1407" i="9"/>
  <c r="E1407" i="9"/>
  <c r="F1407" i="9"/>
  <c r="K1407" i="9"/>
  <c r="N1407" i="9"/>
  <c r="O1407" i="9"/>
  <c r="Q1407" i="9"/>
  <c r="L1407" i="9"/>
  <c r="J1407" i="9"/>
  <c r="D1407" i="9"/>
  <c r="C1407" i="9"/>
  <c r="M1407" i="9"/>
  <c r="K1406" i="9"/>
  <c r="C1406" i="9"/>
  <c r="E1406" i="9"/>
  <c r="F1406" i="9"/>
  <c r="O1406" i="9"/>
  <c r="P1406" i="9"/>
  <c r="N1406" i="9"/>
  <c r="L1406" i="9"/>
  <c r="Q1406" i="9"/>
  <c r="D1406" i="9"/>
  <c r="M1406" i="9"/>
  <c r="J1406" i="9"/>
  <c r="E1405" i="9"/>
  <c r="J1405" i="9"/>
  <c r="L1405" i="9"/>
  <c r="O1405" i="9"/>
  <c r="Q1405" i="9"/>
  <c r="N1405" i="9"/>
  <c r="K1405" i="9"/>
  <c r="C1405" i="9"/>
  <c r="D1405" i="9"/>
  <c r="F1405" i="9"/>
  <c r="M1405" i="9"/>
  <c r="P1405" i="9"/>
  <c r="M1404" i="9"/>
  <c r="L1404" i="9"/>
  <c r="N1404" i="9"/>
  <c r="O1404" i="9"/>
  <c r="F1404" i="9"/>
  <c r="K1404" i="9"/>
  <c r="J1404" i="9"/>
  <c r="D1404" i="9"/>
  <c r="C1404" i="9"/>
  <c r="Q1404" i="9"/>
  <c r="E1404" i="9"/>
  <c r="P1404" i="9"/>
  <c r="F1403" i="9"/>
  <c r="D1403" i="9"/>
  <c r="L1403" i="9"/>
  <c r="P1403" i="9"/>
  <c r="M1403" i="9"/>
  <c r="O1403" i="9"/>
  <c r="Q1403" i="9"/>
  <c r="N1403" i="9"/>
  <c r="J1403" i="9"/>
  <c r="C1403" i="9"/>
  <c r="E1403" i="9"/>
  <c r="K1403" i="9"/>
  <c r="P1402" i="9"/>
  <c r="N1402" i="9"/>
  <c r="K1402" i="9"/>
  <c r="D1402" i="9"/>
  <c r="C1402" i="9"/>
  <c r="M1402" i="9"/>
  <c r="O1402" i="9"/>
  <c r="Q1402" i="9"/>
  <c r="L1402" i="9"/>
  <c r="J1402" i="9"/>
  <c r="F1402" i="9"/>
  <c r="E1402" i="9"/>
  <c r="P1401" i="9"/>
  <c r="K1401" i="9"/>
  <c r="F1401" i="9"/>
  <c r="E1401" i="9"/>
  <c r="M1401" i="9"/>
  <c r="C1401" i="9"/>
  <c r="O1401" i="9"/>
  <c r="Q1401" i="9"/>
  <c r="N1401" i="9"/>
  <c r="L1401" i="9"/>
  <c r="J1401" i="9"/>
  <c r="D1401" i="9"/>
  <c r="E1400" i="9"/>
  <c r="C1400" i="9"/>
  <c r="K1400" i="9"/>
  <c r="P1400" i="9"/>
  <c r="N1400" i="9"/>
  <c r="L1400" i="9"/>
  <c r="Q1400" i="9"/>
  <c r="O1400" i="9"/>
  <c r="M1400" i="9"/>
  <c r="J1400" i="9"/>
  <c r="F1400" i="9"/>
  <c r="D1400" i="9"/>
  <c r="L1399" i="9"/>
  <c r="O1399" i="9"/>
  <c r="Q1399" i="9"/>
  <c r="M1399" i="9"/>
  <c r="K1399" i="9"/>
  <c r="F1399" i="9"/>
  <c r="N1399" i="9"/>
  <c r="C1399" i="9"/>
  <c r="P1399" i="9"/>
  <c r="J1399" i="9"/>
  <c r="D1399" i="9"/>
  <c r="E1399" i="9"/>
  <c r="Q1398" i="9"/>
  <c r="O1398" i="9"/>
  <c r="M1398" i="9"/>
  <c r="K1398" i="9"/>
  <c r="J1398" i="9"/>
  <c r="F1398" i="9"/>
  <c r="D1398" i="9"/>
  <c r="P1398" i="9"/>
  <c r="N1398" i="9"/>
  <c r="L1398" i="9"/>
  <c r="E1398" i="9"/>
  <c r="C1398" i="9"/>
  <c r="J1397" i="9"/>
  <c r="P1397" i="9"/>
  <c r="M1397" i="9"/>
  <c r="D1397" i="9"/>
  <c r="E1397" i="9"/>
  <c r="F1397" i="9"/>
  <c r="Q1397" i="9"/>
  <c r="N1397" i="9"/>
  <c r="K1397" i="9"/>
  <c r="O1397" i="9"/>
  <c r="L1397" i="9"/>
  <c r="N1396" i="9"/>
  <c r="K1396" i="9"/>
  <c r="E1396" i="9"/>
  <c r="P1396" i="9"/>
  <c r="J1396" i="9"/>
  <c r="M1396" i="9"/>
  <c r="Q1396" i="9"/>
  <c r="O1396" i="9"/>
  <c r="L1396" i="9"/>
  <c r="F1396" i="9"/>
  <c r="D1396" i="9"/>
  <c r="C1396" i="9"/>
  <c r="D1395" i="9"/>
  <c r="C1395" i="9"/>
  <c r="F1395" i="9"/>
  <c r="J1395" i="9"/>
  <c r="M1395" i="9"/>
  <c r="Q1395" i="9"/>
  <c r="K1395" i="9"/>
  <c r="P1395" i="9"/>
  <c r="E1395" i="9"/>
  <c r="O1395" i="9"/>
  <c r="N1395" i="9"/>
  <c r="L1395" i="9"/>
  <c r="M1394" i="9"/>
  <c r="O1394" i="9"/>
  <c r="P1394" i="9"/>
  <c r="N1394" i="9"/>
  <c r="K1394" i="9"/>
  <c r="F1394" i="9"/>
  <c r="E1394" i="9"/>
  <c r="C1394" i="9"/>
  <c r="Q1394" i="9"/>
  <c r="D1394" i="9"/>
  <c r="J1394" i="9"/>
  <c r="L1394" i="9"/>
  <c r="N1393" i="9"/>
  <c r="L1393" i="9"/>
  <c r="D1393" i="9"/>
  <c r="J1393" i="9"/>
  <c r="P1393" i="9"/>
  <c r="F1393" i="9"/>
  <c r="M1393" i="9"/>
  <c r="O1393" i="9"/>
  <c r="C1393" i="9"/>
  <c r="E1393" i="9"/>
  <c r="K1393" i="9"/>
  <c r="Q1393" i="9"/>
  <c r="C1392" i="9"/>
  <c r="K1392" i="9"/>
  <c r="N1392" i="9"/>
  <c r="Q1392" i="9"/>
  <c r="P1392" i="9"/>
  <c r="M1392" i="9"/>
  <c r="F1392" i="9"/>
  <c r="O1392" i="9"/>
  <c r="L1392" i="9"/>
  <c r="J1392" i="9"/>
  <c r="D1392" i="9"/>
  <c r="E1392" i="9"/>
  <c r="C1391" i="9"/>
  <c r="K1391" i="9"/>
  <c r="N1391" i="9"/>
  <c r="P1391" i="9"/>
  <c r="E1391" i="9"/>
  <c r="F1391" i="9"/>
  <c r="J1391" i="9"/>
  <c r="L1391" i="9"/>
  <c r="M1391" i="9"/>
  <c r="O1391" i="9"/>
  <c r="Q1391" i="9"/>
  <c r="M1390" i="9"/>
  <c r="O1390" i="9"/>
  <c r="L1390" i="9"/>
  <c r="N1390" i="9"/>
  <c r="Q1390" i="9"/>
  <c r="P1390" i="9"/>
  <c r="E1390" i="9"/>
  <c r="F1390" i="9"/>
  <c r="J1390" i="9"/>
  <c r="K1390" i="9"/>
  <c r="D1390" i="9"/>
  <c r="C1390" i="9"/>
  <c r="P1389" i="9"/>
  <c r="M1389" i="9"/>
  <c r="D1389" i="9"/>
  <c r="O1389" i="9"/>
  <c r="J1389" i="9"/>
  <c r="C1389" i="9"/>
  <c r="L1389" i="9"/>
  <c r="Q1389" i="9"/>
  <c r="N1389" i="9"/>
  <c r="K1389" i="9"/>
  <c r="F1389" i="9"/>
  <c r="E1389" i="9"/>
  <c r="L1388" i="9"/>
  <c r="C1388" i="9"/>
  <c r="N1388" i="9"/>
  <c r="P1388" i="9"/>
  <c r="M1388" i="9"/>
  <c r="K1388" i="9"/>
  <c r="J1388" i="9"/>
  <c r="F1388" i="9"/>
  <c r="E1388" i="9"/>
  <c r="D1388" i="9"/>
  <c r="Q1388" i="9"/>
  <c r="O1388" i="9"/>
  <c r="L1387" i="9"/>
  <c r="K1387" i="9"/>
  <c r="E1387" i="9"/>
  <c r="J1387" i="9"/>
  <c r="C1387" i="9"/>
  <c r="N1387" i="9"/>
  <c r="Q1387" i="9"/>
  <c r="D1387" i="9"/>
  <c r="O1387" i="9"/>
  <c r="M1387" i="9"/>
  <c r="P1387" i="9"/>
  <c r="F1387" i="9"/>
  <c r="P1386" i="9"/>
  <c r="O1386" i="9"/>
  <c r="J1386" i="9"/>
  <c r="C1386" i="9"/>
  <c r="L1386" i="9"/>
  <c r="D1386" i="9"/>
  <c r="Q1386" i="9"/>
  <c r="M1386" i="9"/>
  <c r="N1386" i="9"/>
  <c r="K1386" i="9"/>
  <c r="F1386" i="9"/>
  <c r="E1386" i="9"/>
  <c r="O1385" i="9"/>
  <c r="J1385" i="9"/>
  <c r="D1385" i="9"/>
  <c r="E1385" i="9"/>
  <c r="F1385" i="9"/>
  <c r="L1385" i="9"/>
  <c r="P1385" i="9"/>
  <c r="C1385" i="9"/>
  <c r="M1385" i="9"/>
  <c r="Q1385" i="9"/>
  <c r="N1385" i="9"/>
  <c r="K1385" i="9"/>
  <c r="L1384" i="9"/>
  <c r="D1384" i="9"/>
  <c r="M1384" i="9"/>
  <c r="F1384" i="9"/>
  <c r="C1384" i="9"/>
  <c r="E1384" i="9"/>
  <c r="J1384" i="9"/>
  <c r="Q1384" i="9"/>
  <c r="O1384" i="9"/>
  <c r="K1384" i="9"/>
  <c r="P1384" i="9"/>
  <c r="N1384" i="9"/>
  <c r="P1383" i="9"/>
  <c r="N1383" i="9"/>
  <c r="F1383" i="9"/>
  <c r="D1383" i="9"/>
  <c r="Q1383" i="9"/>
  <c r="M1383" i="9"/>
  <c r="K1383" i="9"/>
  <c r="O1383" i="9"/>
  <c r="E1383" i="9"/>
  <c r="C1383" i="9"/>
  <c r="J1383" i="9"/>
  <c r="L1383" i="9"/>
  <c r="C1382" i="9"/>
  <c r="P1382" i="9"/>
  <c r="N1382" i="9"/>
  <c r="K1382" i="9"/>
  <c r="D1382" i="9"/>
  <c r="M1382" i="9"/>
  <c r="E1382" i="9"/>
  <c r="F1382" i="9"/>
  <c r="J1382" i="9"/>
  <c r="L1382" i="9"/>
  <c r="O1382" i="9"/>
  <c r="Q1382" i="9"/>
  <c r="Q1381" i="9"/>
  <c r="K1381" i="9"/>
  <c r="O1381" i="9"/>
  <c r="P1381" i="9"/>
  <c r="C1381" i="9"/>
  <c r="E1381" i="9"/>
  <c r="F1381" i="9"/>
  <c r="D1381" i="9"/>
  <c r="M1381" i="9"/>
  <c r="N1381" i="9"/>
  <c r="L1381" i="9"/>
  <c r="J1381" i="9"/>
  <c r="C1380" i="9"/>
  <c r="N1380" i="9"/>
  <c r="P1380" i="9"/>
  <c r="O1380" i="9"/>
  <c r="K1380" i="9"/>
  <c r="L1380" i="9"/>
  <c r="D1380" i="9"/>
  <c r="E1380" i="9"/>
  <c r="F1380" i="9"/>
  <c r="J1380" i="9"/>
  <c r="M1380" i="9"/>
  <c r="Q1380" i="9"/>
  <c r="D1379" i="9"/>
  <c r="M1379" i="9"/>
  <c r="F1379" i="9"/>
  <c r="L1379" i="9"/>
  <c r="O1379" i="9"/>
  <c r="P1379" i="9"/>
  <c r="C1379" i="9"/>
  <c r="Q1379" i="9"/>
  <c r="N1379" i="9"/>
  <c r="K1379" i="9"/>
  <c r="J1379" i="9"/>
  <c r="E1379" i="9"/>
  <c r="P1378" i="9"/>
  <c r="N1378" i="9"/>
  <c r="D1378" i="9"/>
  <c r="K1378" i="9"/>
  <c r="M1378" i="9"/>
  <c r="Q1378" i="9"/>
  <c r="O1378" i="9"/>
  <c r="L1378" i="9"/>
  <c r="J1378" i="9"/>
  <c r="F1378" i="9"/>
  <c r="E1378" i="9"/>
  <c r="C1378" i="9"/>
  <c r="Q1377" i="9"/>
  <c r="J1377" i="9"/>
  <c r="N1377" i="9"/>
  <c r="C1377" i="9"/>
  <c r="M1377" i="9"/>
  <c r="P1377" i="9"/>
  <c r="L1377" i="9"/>
  <c r="F1377" i="9"/>
  <c r="E1377" i="9"/>
  <c r="D1377" i="9"/>
  <c r="O1377" i="9"/>
  <c r="M1376" i="9"/>
  <c r="D1376" i="9"/>
  <c r="N1376" i="9"/>
  <c r="F1376" i="9"/>
  <c r="E1376" i="9"/>
  <c r="P1376" i="9"/>
  <c r="Q1376" i="9"/>
  <c r="C1376" i="9"/>
  <c r="O1376" i="9"/>
  <c r="K1376" i="9"/>
  <c r="J1376" i="9"/>
  <c r="L1376" i="9"/>
  <c r="M1375" i="9"/>
  <c r="O1375" i="9"/>
  <c r="E1375" i="9"/>
  <c r="J1375" i="9"/>
  <c r="K1375" i="9"/>
  <c r="Q1375" i="9"/>
  <c r="P1375" i="9"/>
  <c r="N1375" i="9"/>
  <c r="L1375" i="9"/>
  <c r="F1375" i="9"/>
  <c r="D1375" i="9"/>
  <c r="C1375" i="9"/>
  <c r="Q1374" i="9"/>
  <c r="J1374" i="9"/>
  <c r="D1374" i="9"/>
  <c r="P1374" i="9"/>
  <c r="N1374" i="9"/>
  <c r="K1374" i="9"/>
  <c r="L1374" i="9"/>
  <c r="E1374" i="9"/>
  <c r="O1374" i="9"/>
  <c r="M1374" i="9"/>
  <c r="C1374" i="9"/>
  <c r="F1374" i="9"/>
  <c r="M1373" i="9"/>
  <c r="F1373" i="9"/>
  <c r="D1373" i="9"/>
  <c r="C1373" i="9"/>
  <c r="O1373" i="9"/>
  <c r="K1373" i="9"/>
  <c r="J1373" i="9"/>
  <c r="E1373" i="9"/>
  <c r="L1373" i="9"/>
  <c r="N1373" i="9"/>
  <c r="Q1373" i="9"/>
  <c r="P1373" i="9"/>
  <c r="E1372" i="9"/>
  <c r="F1372" i="9"/>
  <c r="C1372" i="9"/>
  <c r="K1372" i="9"/>
  <c r="O1372" i="9"/>
  <c r="P1372" i="9"/>
  <c r="N1372" i="9"/>
  <c r="Q1372" i="9"/>
  <c r="L1372" i="9"/>
  <c r="J1372" i="9"/>
  <c r="D1372" i="9"/>
  <c r="M1372" i="9"/>
  <c r="M1371" i="9"/>
  <c r="L1371" i="9"/>
  <c r="J1371" i="9"/>
  <c r="Q1371" i="9"/>
  <c r="O1371" i="9"/>
  <c r="P1371" i="9"/>
  <c r="K1371" i="9"/>
  <c r="F1371" i="9"/>
  <c r="C1371" i="9"/>
  <c r="N1371" i="9"/>
  <c r="D1371" i="9"/>
  <c r="E1371" i="9"/>
  <c r="K1370" i="9"/>
  <c r="O1370" i="9"/>
  <c r="Q1370" i="9"/>
  <c r="N1370" i="9"/>
  <c r="L1370" i="9"/>
  <c r="E1370" i="9"/>
  <c r="P1370" i="9"/>
  <c r="M1370" i="9"/>
  <c r="D1370" i="9"/>
  <c r="J1370" i="9"/>
  <c r="F1370" i="9"/>
  <c r="C1370" i="9"/>
  <c r="Q1369" i="9"/>
  <c r="K1369" i="9"/>
  <c r="D1369" i="9"/>
  <c r="C1369" i="9"/>
  <c r="J1369" i="9"/>
  <c r="M1369" i="9"/>
  <c r="P1369" i="9"/>
  <c r="L1369" i="9"/>
  <c r="O1369" i="9"/>
  <c r="N1369" i="9"/>
  <c r="E1369" i="9"/>
  <c r="F1369" i="9"/>
  <c r="Q1368" i="9"/>
  <c r="P1368" i="9"/>
  <c r="N1368" i="9"/>
  <c r="K1368" i="9"/>
  <c r="M1368" i="9"/>
  <c r="D1368" i="9"/>
  <c r="E1368" i="9"/>
  <c r="L1368" i="9"/>
  <c r="O1368" i="9"/>
  <c r="F1368" i="9"/>
  <c r="C1368" i="9"/>
  <c r="J1368" i="9"/>
  <c r="K1367" i="9"/>
  <c r="M1367" i="9"/>
  <c r="D1367" i="9"/>
  <c r="F1367" i="9"/>
  <c r="O1367" i="9"/>
  <c r="Q1367" i="9"/>
  <c r="L1367" i="9"/>
  <c r="J1367" i="9"/>
  <c r="E1367" i="9"/>
  <c r="C1367" i="9"/>
  <c r="N1367" i="9"/>
  <c r="P1367" i="9"/>
  <c r="C1366" i="9"/>
  <c r="J1366" i="9"/>
  <c r="L1366" i="9"/>
  <c r="O1366" i="9"/>
  <c r="P1366" i="9"/>
  <c r="Q1366" i="9"/>
  <c r="K1366" i="9"/>
  <c r="D1366" i="9"/>
  <c r="E1366" i="9"/>
  <c r="F1366" i="9"/>
  <c r="N1366" i="9"/>
  <c r="M1366" i="9"/>
  <c r="E1365" i="9"/>
  <c r="L1365" i="9"/>
  <c r="N1365" i="9"/>
  <c r="Q1365" i="9"/>
  <c r="K1365" i="9"/>
  <c r="O1365" i="9"/>
  <c r="M1365" i="9"/>
  <c r="J1365" i="9"/>
  <c r="D1365" i="9"/>
  <c r="C1365" i="9"/>
  <c r="P1365" i="9"/>
  <c r="F1365" i="9"/>
  <c r="Q1364" i="9"/>
  <c r="J1364" i="9"/>
  <c r="F1364" i="9"/>
  <c r="E1364" i="9"/>
  <c r="O1364" i="9"/>
  <c r="L1364" i="9"/>
  <c r="C1364" i="9"/>
  <c r="N1364" i="9"/>
  <c r="K1364" i="9"/>
  <c r="D1364" i="9"/>
  <c r="M1364" i="9"/>
  <c r="P1364" i="9"/>
  <c r="Q1363" i="9"/>
  <c r="O1363" i="9"/>
  <c r="L1363" i="9"/>
  <c r="J1363" i="9"/>
  <c r="C1363" i="9"/>
  <c r="D1363" i="9"/>
  <c r="K1363" i="9"/>
  <c r="M1363" i="9"/>
  <c r="N1363" i="9"/>
  <c r="P1363" i="9"/>
  <c r="E1363" i="9"/>
  <c r="F1363" i="9"/>
  <c r="Q1362" i="9"/>
  <c r="M1362" i="9"/>
  <c r="J1362" i="9"/>
  <c r="O1362" i="9"/>
  <c r="L1362" i="9"/>
  <c r="N1362" i="9"/>
  <c r="D1362" i="9"/>
  <c r="E1362" i="9"/>
  <c r="F1362" i="9"/>
  <c r="K1362" i="9"/>
  <c r="P1362" i="9"/>
  <c r="C1362" i="9"/>
  <c r="K1361" i="9"/>
  <c r="P1361" i="9"/>
  <c r="N1361" i="9"/>
  <c r="L1361" i="9"/>
  <c r="J1361" i="9"/>
  <c r="D1361" i="9"/>
  <c r="E1361" i="9"/>
  <c r="C1361" i="9"/>
  <c r="M1361" i="9"/>
  <c r="O1361" i="9"/>
  <c r="F1361" i="9"/>
  <c r="Q1361" i="9"/>
  <c r="Q1360" i="9"/>
  <c r="J1360" i="9"/>
  <c r="C1360" i="9"/>
  <c r="F1360" i="9"/>
  <c r="L1360" i="9"/>
  <c r="E1360" i="9"/>
  <c r="K1360" i="9"/>
  <c r="N1360" i="9"/>
  <c r="P1360" i="9"/>
  <c r="O1360" i="9"/>
  <c r="M1360" i="9"/>
  <c r="D1360" i="9"/>
  <c r="O1359" i="9"/>
  <c r="L1359" i="9"/>
  <c r="C1359" i="9"/>
  <c r="D1359" i="9"/>
  <c r="J1359" i="9"/>
  <c r="N1359" i="9"/>
  <c r="Q1359" i="9"/>
  <c r="E1359" i="9"/>
  <c r="K1359" i="9"/>
  <c r="M1359" i="9"/>
  <c r="P1359" i="9"/>
  <c r="F1359" i="9"/>
  <c r="Q1358" i="9"/>
  <c r="L1358" i="9"/>
  <c r="J1358" i="9"/>
  <c r="F1358" i="9"/>
  <c r="E1358" i="9"/>
  <c r="P1358" i="9"/>
  <c r="M1358" i="9"/>
  <c r="O1358" i="9"/>
  <c r="C1358" i="9"/>
  <c r="D1358" i="9"/>
  <c r="K1358" i="9"/>
  <c r="N1358" i="9"/>
  <c r="O1357" i="9"/>
  <c r="M1357" i="9"/>
  <c r="D1357" i="9"/>
  <c r="F1357" i="9"/>
  <c r="N1357" i="9"/>
  <c r="E1357" i="9"/>
  <c r="P1357" i="9"/>
  <c r="L1357" i="9"/>
  <c r="J1357" i="9"/>
  <c r="C1357" i="9"/>
  <c r="K1357" i="9"/>
  <c r="Q1357" i="9"/>
  <c r="P1356" i="9"/>
  <c r="M1356" i="9"/>
  <c r="J1356" i="9"/>
  <c r="D1356" i="9"/>
  <c r="L1356" i="9"/>
  <c r="C1356" i="9"/>
  <c r="E1356" i="9"/>
  <c r="K1356" i="9"/>
  <c r="Q1356" i="9"/>
  <c r="F1356" i="9"/>
  <c r="N1356" i="9"/>
  <c r="O1356" i="9"/>
  <c r="P1355" i="9"/>
  <c r="O1355" i="9"/>
  <c r="D1355" i="9"/>
  <c r="K1355" i="9"/>
  <c r="M1355" i="9"/>
  <c r="J1355" i="9"/>
  <c r="C1355" i="9"/>
  <c r="Q1355" i="9"/>
  <c r="L1355" i="9"/>
  <c r="N1355" i="9"/>
  <c r="E1355" i="9"/>
  <c r="F1355" i="9"/>
  <c r="N1354" i="9"/>
  <c r="F1354" i="9"/>
  <c r="Q1354" i="9"/>
  <c r="P1354" i="9"/>
  <c r="J1354" i="9"/>
  <c r="M1354" i="9"/>
  <c r="K1354" i="9"/>
  <c r="L1354" i="9"/>
  <c r="D1354" i="9"/>
  <c r="C1354" i="9"/>
  <c r="E1354" i="9"/>
  <c r="O1354" i="9"/>
  <c r="D1353" i="9"/>
  <c r="K1353" i="9"/>
  <c r="N1353" i="9"/>
  <c r="P1353" i="9"/>
  <c r="Q1353" i="9"/>
  <c r="M1353" i="9"/>
  <c r="F1353" i="9"/>
  <c r="O1353" i="9"/>
  <c r="L1353" i="9"/>
  <c r="J1353" i="9"/>
  <c r="E1353" i="9"/>
  <c r="C1353" i="9"/>
  <c r="J1352" i="9"/>
  <c r="F1352" i="9"/>
  <c r="D1352" i="9"/>
  <c r="N1352" i="9"/>
  <c r="K1352" i="9"/>
  <c r="Q1352" i="9"/>
  <c r="L1352" i="9"/>
  <c r="O1352" i="9"/>
  <c r="P1352" i="9"/>
  <c r="M1352" i="9"/>
  <c r="E1352" i="9"/>
  <c r="C1352" i="9"/>
  <c r="C1351" i="9"/>
  <c r="P1351" i="9"/>
  <c r="M1351" i="9"/>
  <c r="J1351" i="9"/>
  <c r="N1351" i="9"/>
  <c r="F1351" i="9"/>
  <c r="E1351" i="9"/>
  <c r="K1351" i="9"/>
  <c r="D1351" i="9"/>
  <c r="Q1351" i="9"/>
  <c r="O1351" i="9"/>
  <c r="L1351" i="9"/>
  <c r="D1350" i="9"/>
  <c r="C1350" i="9"/>
  <c r="E1350" i="9"/>
  <c r="Q1350" i="9"/>
  <c r="O1350" i="9"/>
  <c r="L1350" i="9"/>
  <c r="P1350" i="9"/>
  <c r="N1350" i="9"/>
  <c r="K1350" i="9"/>
  <c r="M1350" i="9"/>
  <c r="J1350" i="9"/>
  <c r="F1350" i="9"/>
  <c r="M1349" i="9"/>
  <c r="D1349" i="9"/>
  <c r="Q1349" i="9"/>
  <c r="L1349" i="9"/>
  <c r="O1349" i="9"/>
  <c r="J1349" i="9"/>
  <c r="F1349" i="9"/>
  <c r="E1349" i="9"/>
  <c r="C1349" i="9"/>
  <c r="P1349" i="9"/>
  <c r="K1349" i="9"/>
  <c r="N1349" i="9"/>
  <c r="N1348" i="9"/>
  <c r="K1348" i="9"/>
  <c r="E1348" i="9"/>
  <c r="D1348" i="9"/>
  <c r="P1348" i="9"/>
  <c r="Q1348" i="9"/>
  <c r="O1348" i="9"/>
  <c r="M1348" i="9"/>
  <c r="J1348" i="9"/>
  <c r="L1348" i="9"/>
  <c r="F1348" i="9"/>
  <c r="C1348" i="9"/>
  <c r="P1347" i="9"/>
  <c r="L1347" i="9"/>
  <c r="F1347" i="9"/>
  <c r="E1347" i="9"/>
  <c r="D1347" i="9"/>
  <c r="C1347" i="9"/>
  <c r="Q1347" i="9"/>
  <c r="N1347" i="9"/>
  <c r="K1347" i="9"/>
  <c r="O1347" i="9"/>
  <c r="M1347" i="9"/>
  <c r="J1347" i="9"/>
  <c r="Q1346" i="9"/>
  <c r="O1346" i="9"/>
  <c r="L1346" i="9"/>
  <c r="J1346" i="9"/>
  <c r="M1346" i="9"/>
  <c r="E1346" i="9"/>
  <c r="D1346" i="9"/>
  <c r="F1346" i="9"/>
  <c r="P1346" i="9"/>
  <c r="K1346" i="9"/>
  <c r="N1346" i="9"/>
  <c r="C1346" i="9"/>
  <c r="Q1345" i="9"/>
  <c r="M1345" i="9"/>
  <c r="C1345" i="9"/>
  <c r="O1345" i="9"/>
  <c r="J1345" i="9"/>
  <c r="F1345" i="9"/>
  <c r="L1345" i="9"/>
  <c r="E1345" i="9"/>
  <c r="P1345" i="9"/>
  <c r="N1345" i="9"/>
  <c r="K1345" i="9"/>
  <c r="D1345" i="9"/>
  <c r="P1344" i="9"/>
  <c r="M1344" i="9"/>
  <c r="D1344" i="9"/>
  <c r="C1344" i="9"/>
  <c r="O1344" i="9"/>
  <c r="J1344" i="9"/>
  <c r="F1344" i="9"/>
  <c r="E1344" i="9"/>
  <c r="L1344" i="9"/>
  <c r="K1344" i="9"/>
  <c r="N1344" i="9"/>
  <c r="Q1344" i="9"/>
  <c r="P1343" i="9"/>
  <c r="J1343" i="9"/>
  <c r="M1343" i="9"/>
  <c r="Q1343" i="9"/>
  <c r="C1343" i="9"/>
  <c r="O1343" i="9"/>
  <c r="D1343" i="9"/>
  <c r="L1343" i="9"/>
  <c r="E1343" i="9"/>
  <c r="F1343" i="9"/>
  <c r="K1343" i="9"/>
  <c r="N1343" i="9"/>
  <c r="F1342" i="9"/>
  <c r="D1342" i="9"/>
  <c r="L1342" i="9"/>
  <c r="Q1342" i="9"/>
  <c r="E1342" i="9"/>
  <c r="K1342" i="9"/>
  <c r="N1342" i="9"/>
  <c r="C1342" i="9"/>
  <c r="O1342" i="9"/>
  <c r="M1342" i="9"/>
  <c r="J1342" i="9"/>
  <c r="P1342" i="9"/>
  <c r="M1341" i="9"/>
  <c r="K1341" i="9"/>
  <c r="J1341" i="9"/>
  <c r="C1341" i="9"/>
  <c r="D1341" i="9"/>
  <c r="E1341" i="9"/>
  <c r="F1341" i="9"/>
  <c r="L1341" i="9"/>
  <c r="O1341" i="9"/>
  <c r="P1341" i="9"/>
  <c r="N1341" i="9"/>
  <c r="Q1341" i="9"/>
  <c r="Q1340" i="9"/>
  <c r="N1340" i="9"/>
  <c r="M1340" i="9"/>
  <c r="J1340" i="9"/>
  <c r="F1340" i="9"/>
  <c r="C1340" i="9"/>
  <c r="O1340" i="9"/>
  <c r="D1340" i="9"/>
  <c r="L1340" i="9"/>
  <c r="P1340" i="9"/>
  <c r="K1340" i="9"/>
  <c r="E1340" i="9"/>
  <c r="Q1339" i="9"/>
  <c r="K1339" i="9"/>
  <c r="F1339" i="9"/>
  <c r="E1339" i="9"/>
  <c r="D1339" i="9"/>
  <c r="M1339" i="9"/>
  <c r="P1339" i="9"/>
  <c r="O1339" i="9"/>
  <c r="L1339" i="9"/>
  <c r="N1339" i="9"/>
  <c r="J1339" i="9"/>
  <c r="C1339" i="9"/>
  <c r="O1338" i="9"/>
  <c r="L1338" i="9"/>
  <c r="K1338" i="9"/>
  <c r="F1338" i="9"/>
  <c r="E1338" i="9"/>
  <c r="D1338" i="9"/>
  <c r="J1338" i="9"/>
  <c r="M1338" i="9"/>
  <c r="P1338" i="9"/>
  <c r="Q1338" i="9"/>
  <c r="N1338" i="9"/>
  <c r="C1338" i="9"/>
  <c r="J1337" i="9"/>
  <c r="E1337" i="9"/>
  <c r="F1337" i="9"/>
  <c r="O1337" i="9"/>
  <c r="N1337" i="9"/>
  <c r="K1337" i="9"/>
  <c r="D1337" i="9"/>
  <c r="L1337" i="9"/>
  <c r="P1337" i="9"/>
  <c r="M1337" i="9"/>
  <c r="Q1337" i="9"/>
  <c r="C1337" i="9"/>
  <c r="J1336" i="9"/>
  <c r="O1336" i="9"/>
  <c r="D1336" i="9"/>
  <c r="E1336" i="9"/>
  <c r="M1336" i="9"/>
  <c r="P1336" i="9"/>
  <c r="L1336" i="9"/>
  <c r="F1336" i="9"/>
  <c r="Q1336" i="9"/>
  <c r="N1336" i="9"/>
  <c r="K1336" i="9"/>
  <c r="C1336" i="9"/>
  <c r="O1335" i="9"/>
  <c r="L1335" i="9"/>
  <c r="E1335" i="9"/>
  <c r="P1335" i="9"/>
  <c r="M1335" i="9"/>
  <c r="J1335" i="9"/>
  <c r="F1335" i="9"/>
  <c r="D1335" i="9"/>
  <c r="C1335" i="9"/>
  <c r="Q1335" i="9"/>
  <c r="N1335" i="9"/>
  <c r="K1335" i="9"/>
  <c r="J1334" i="9"/>
  <c r="K1334" i="9"/>
  <c r="M1334" i="9"/>
  <c r="F1334" i="9"/>
  <c r="L1334" i="9"/>
  <c r="O1334" i="9"/>
  <c r="Q1334" i="9"/>
  <c r="N1334" i="9"/>
  <c r="E1334" i="9"/>
  <c r="D1334" i="9"/>
  <c r="C1334" i="9"/>
  <c r="P1334" i="9"/>
  <c r="L1333" i="9"/>
  <c r="J1333" i="9"/>
  <c r="E1333" i="9"/>
  <c r="D1333" i="9"/>
  <c r="M1333" i="9"/>
  <c r="N1333" i="9"/>
  <c r="O1333" i="9"/>
  <c r="Q1333" i="9"/>
  <c r="K1333" i="9"/>
  <c r="F1333" i="9"/>
  <c r="C1333" i="9"/>
  <c r="P1333" i="9"/>
  <c r="P1332" i="9"/>
  <c r="O1332" i="9"/>
  <c r="N1332" i="9"/>
  <c r="L1332" i="9"/>
  <c r="F1332" i="9"/>
  <c r="E1332" i="9"/>
  <c r="C1332" i="9"/>
  <c r="D1332" i="9"/>
  <c r="J1332" i="9"/>
  <c r="K1332" i="9"/>
  <c r="M1332" i="9"/>
  <c r="Q1332" i="9"/>
  <c r="J1331" i="9"/>
  <c r="E1331" i="9"/>
  <c r="F1331" i="9"/>
  <c r="O1331" i="9"/>
  <c r="M1331" i="9"/>
  <c r="P1331" i="9"/>
  <c r="K1331" i="9"/>
  <c r="C1331" i="9"/>
  <c r="D1331" i="9"/>
  <c r="L1331" i="9"/>
  <c r="N1331" i="9"/>
  <c r="Q1331" i="9"/>
  <c r="M1330" i="9"/>
  <c r="J1330" i="9"/>
  <c r="F1330" i="9"/>
  <c r="E1330" i="9"/>
  <c r="Q1330" i="9"/>
  <c r="O1330" i="9"/>
  <c r="P1330" i="9"/>
  <c r="N1330" i="9"/>
  <c r="L1330" i="9"/>
  <c r="K1330" i="9"/>
  <c r="C1330" i="9"/>
  <c r="D1330" i="9"/>
  <c r="P1329" i="9"/>
  <c r="C1329" i="9"/>
  <c r="L1329" i="9"/>
  <c r="N1329" i="9"/>
  <c r="E1329" i="9"/>
  <c r="F1329" i="9"/>
  <c r="J1329" i="9"/>
  <c r="K1329" i="9"/>
  <c r="M1329" i="9"/>
  <c r="O1329" i="9"/>
  <c r="D1329" i="9"/>
  <c r="Q1329" i="9"/>
  <c r="K1328" i="9"/>
  <c r="E1328" i="9"/>
  <c r="F1328" i="9"/>
  <c r="J1328" i="9"/>
  <c r="L1328" i="9"/>
  <c r="Q1328" i="9"/>
  <c r="P1328" i="9"/>
  <c r="N1328" i="9"/>
  <c r="M1328" i="9"/>
  <c r="O1328" i="9"/>
  <c r="D1328" i="9"/>
  <c r="C1328" i="9"/>
  <c r="C1327" i="9"/>
  <c r="Q1327" i="9"/>
  <c r="K1327" i="9"/>
  <c r="D1327" i="9"/>
  <c r="O1327" i="9"/>
  <c r="J1327" i="9"/>
  <c r="M1327" i="9"/>
  <c r="P1327" i="9"/>
  <c r="N1327" i="9"/>
  <c r="L1327" i="9"/>
  <c r="F1327" i="9"/>
  <c r="E1327" i="9"/>
  <c r="Q1326" i="9"/>
  <c r="C1326" i="9"/>
  <c r="P1326" i="9"/>
  <c r="O1326" i="9"/>
  <c r="L1326" i="9"/>
  <c r="D1326" i="9"/>
  <c r="J1326" i="9"/>
  <c r="F1326" i="9"/>
  <c r="E1326" i="9"/>
  <c r="K1326" i="9"/>
  <c r="M1326" i="9"/>
  <c r="N1326" i="9"/>
  <c r="F1325" i="9"/>
  <c r="J1325" i="9"/>
  <c r="Q1325" i="9"/>
  <c r="O1325" i="9"/>
  <c r="L1325" i="9"/>
  <c r="D1325" i="9"/>
  <c r="P1325" i="9"/>
  <c r="N1325" i="9"/>
  <c r="K1325" i="9"/>
  <c r="E1325" i="9"/>
  <c r="C1325" i="9"/>
  <c r="M1325" i="9"/>
  <c r="O1324" i="9"/>
  <c r="M1324" i="9"/>
  <c r="E1324" i="9"/>
  <c r="D1324" i="9"/>
  <c r="C1324" i="9"/>
  <c r="J1324" i="9"/>
  <c r="F1324" i="9"/>
  <c r="K1324" i="9"/>
  <c r="N1324" i="9"/>
  <c r="P1324" i="9"/>
  <c r="Q1324" i="9"/>
  <c r="L1324" i="9"/>
  <c r="Q1323" i="9"/>
  <c r="E1323" i="9"/>
  <c r="C1323" i="9"/>
  <c r="D1323" i="9"/>
  <c r="F1323" i="9"/>
  <c r="J1323" i="9"/>
  <c r="K1323" i="9"/>
  <c r="L1323" i="9"/>
  <c r="M1323" i="9"/>
  <c r="N1323" i="9"/>
  <c r="O1323" i="9"/>
  <c r="P1323" i="9"/>
  <c r="Q1322" i="9"/>
  <c r="C1322" i="9"/>
  <c r="D1322" i="9"/>
  <c r="E1322" i="9"/>
  <c r="F1322" i="9"/>
  <c r="J1322" i="9"/>
  <c r="K1322" i="9"/>
  <c r="L1322" i="9"/>
  <c r="M1322" i="9"/>
  <c r="P1322" i="9"/>
  <c r="O1322" i="9"/>
  <c r="N1322" i="9"/>
  <c r="Q1321" i="9"/>
  <c r="D1321" i="9"/>
  <c r="J1321" i="9"/>
  <c r="F1321" i="9"/>
  <c r="E1321" i="9"/>
  <c r="C1321" i="9"/>
  <c r="L1321" i="9"/>
  <c r="M1321" i="9"/>
  <c r="P1321" i="9"/>
  <c r="O1321" i="9"/>
  <c r="N1321" i="9"/>
  <c r="K1321" i="9"/>
  <c r="Q1320" i="9"/>
  <c r="D1320" i="9"/>
  <c r="K1320" i="9"/>
  <c r="M1320" i="9"/>
  <c r="N1320" i="9"/>
  <c r="O1320" i="9"/>
  <c r="P1320" i="9"/>
  <c r="F1320" i="9"/>
  <c r="C1320" i="9"/>
  <c r="E1320" i="9"/>
  <c r="J1320" i="9"/>
  <c r="L1320" i="9"/>
  <c r="P1319" i="9"/>
  <c r="O1319" i="9"/>
  <c r="C1319" i="9"/>
  <c r="M1319" i="9"/>
  <c r="E1319" i="9"/>
  <c r="K1319" i="9"/>
  <c r="D1319" i="9"/>
  <c r="Q1319" i="9"/>
  <c r="F1319" i="9"/>
  <c r="L1319" i="9"/>
  <c r="J1319" i="9"/>
  <c r="J1318" i="9"/>
  <c r="F1318" i="9"/>
  <c r="C1318" i="9"/>
  <c r="D1318" i="9"/>
  <c r="K1318" i="9"/>
  <c r="M1318" i="9"/>
  <c r="N1318" i="9"/>
  <c r="L1318" i="9"/>
  <c r="Q1318" i="9"/>
  <c r="P1318" i="9"/>
  <c r="O1318" i="9"/>
  <c r="E1318" i="9"/>
  <c r="J1317" i="9"/>
  <c r="M1317" i="9"/>
  <c r="Q1317" i="9"/>
  <c r="D1317" i="9"/>
  <c r="O1317" i="9"/>
  <c r="C1317" i="9"/>
  <c r="K1317" i="9"/>
  <c r="N1317" i="9"/>
  <c r="P1317" i="9"/>
  <c r="L1317" i="9"/>
  <c r="E1317" i="9"/>
  <c r="F1317" i="9"/>
  <c r="Q1316" i="9"/>
  <c r="M1316" i="9"/>
  <c r="J1316" i="9"/>
  <c r="F1316" i="9"/>
  <c r="K1316" i="9"/>
  <c r="D1316" i="9"/>
  <c r="L1316" i="9"/>
  <c r="C1316" i="9"/>
  <c r="O1316" i="9"/>
  <c r="P1316" i="9"/>
  <c r="N1316" i="9"/>
  <c r="E1316" i="9"/>
  <c r="C1315" i="9"/>
  <c r="E1315" i="9"/>
  <c r="O1315" i="9"/>
  <c r="L1315" i="9"/>
  <c r="F1315" i="9"/>
  <c r="Q1315" i="9"/>
  <c r="M1315" i="9"/>
  <c r="J1315" i="9"/>
  <c r="D1315" i="9"/>
  <c r="P1315" i="9"/>
  <c r="N1315" i="9"/>
  <c r="K1315" i="9"/>
  <c r="O1314" i="9"/>
  <c r="N1314" i="9"/>
  <c r="K1314" i="9"/>
  <c r="F1314" i="9"/>
  <c r="L1314" i="9"/>
  <c r="P1314" i="9"/>
  <c r="E1314" i="9"/>
  <c r="J1314" i="9"/>
  <c r="M1314" i="9"/>
  <c r="Q1314" i="9"/>
  <c r="C1314" i="9"/>
  <c r="D1314" i="9"/>
  <c r="L1313" i="9"/>
  <c r="F1313" i="9"/>
  <c r="D1313" i="9"/>
  <c r="K1313" i="9"/>
  <c r="N1313" i="9"/>
  <c r="P1313" i="9"/>
  <c r="E1313" i="9"/>
  <c r="J1313" i="9"/>
  <c r="M1313" i="9"/>
  <c r="O1313" i="9"/>
  <c r="Q1313" i="9"/>
  <c r="C1313" i="9"/>
  <c r="P1312" i="9"/>
  <c r="M1312" i="9"/>
  <c r="F1312" i="9"/>
  <c r="D1312" i="9"/>
  <c r="C1312" i="9"/>
  <c r="Q1312" i="9"/>
  <c r="O1312" i="9"/>
  <c r="E1312" i="9"/>
  <c r="L1312" i="9"/>
  <c r="J1312" i="9"/>
  <c r="K1312" i="9"/>
  <c r="N1312" i="9"/>
  <c r="Q1311" i="9"/>
  <c r="J1311" i="9"/>
  <c r="C1311" i="9"/>
  <c r="O1311" i="9"/>
  <c r="K1311" i="9"/>
  <c r="F1311" i="9"/>
  <c r="D1311" i="9"/>
  <c r="M1311" i="9"/>
  <c r="P1311" i="9"/>
  <c r="E1311" i="9"/>
  <c r="L1311" i="9"/>
  <c r="N1311" i="9"/>
  <c r="C1310" i="9"/>
  <c r="N1310" i="9"/>
  <c r="Q1310" i="9"/>
  <c r="K1310" i="9"/>
  <c r="E1310" i="9"/>
  <c r="F1310" i="9"/>
  <c r="J1310" i="9"/>
  <c r="L1310" i="9"/>
  <c r="O1310" i="9"/>
  <c r="P1310" i="9"/>
  <c r="M1310" i="9"/>
  <c r="D1310" i="9"/>
  <c r="P1309" i="9"/>
  <c r="J1309" i="9"/>
  <c r="M1309" i="9"/>
  <c r="N1309" i="9"/>
  <c r="Q1309" i="9"/>
  <c r="C1309" i="9"/>
  <c r="O1309" i="9"/>
  <c r="E1309" i="9"/>
  <c r="K1309" i="9"/>
  <c r="D1309" i="9"/>
  <c r="L1309" i="9"/>
  <c r="F1309" i="9"/>
  <c r="M1308" i="9"/>
  <c r="D1308" i="9"/>
  <c r="F1308" i="9"/>
  <c r="L1308" i="9"/>
  <c r="C1308" i="9"/>
  <c r="K1308" i="9"/>
  <c r="N1308" i="9"/>
  <c r="P1308" i="9"/>
  <c r="E1308" i="9"/>
  <c r="Q1308" i="9"/>
  <c r="J1308" i="9"/>
  <c r="O1308" i="9"/>
  <c r="K1307" i="9"/>
  <c r="Q1307" i="9"/>
  <c r="P1307" i="9"/>
  <c r="N1307" i="9"/>
  <c r="J1307" i="9"/>
  <c r="L1307" i="9"/>
  <c r="D1307" i="9"/>
  <c r="C1307" i="9"/>
  <c r="F1307" i="9"/>
  <c r="M1307" i="9"/>
  <c r="O1307" i="9"/>
  <c r="E1307" i="9"/>
  <c r="D1306" i="9"/>
  <c r="P1306" i="9"/>
  <c r="L1306" i="9"/>
  <c r="Q1306" i="9"/>
  <c r="E1306" i="9"/>
  <c r="C1306" i="9"/>
  <c r="J1306" i="9"/>
  <c r="O1306" i="9"/>
  <c r="K1306" i="9"/>
  <c r="N1306" i="9"/>
  <c r="M1306" i="9"/>
  <c r="F1306" i="9"/>
  <c r="P1305" i="9"/>
  <c r="C1305" i="9"/>
  <c r="D1305" i="9"/>
  <c r="J1305" i="9"/>
  <c r="N1305" i="9"/>
  <c r="O1305" i="9"/>
  <c r="L1305" i="9"/>
  <c r="F1305" i="9"/>
  <c r="M1305" i="9"/>
  <c r="Q1305" i="9"/>
  <c r="K1305" i="9"/>
  <c r="E1305" i="9"/>
  <c r="C1304" i="9"/>
  <c r="O1304" i="9"/>
  <c r="K1304" i="9"/>
  <c r="J1304" i="9"/>
  <c r="F1304" i="9"/>
  <c r="E1304" i="9"/>
  <c r="Q1304" i="9"/>
  <c r="N1304" i="9"/>
  <c r="D1304" i="9"/>
  <c r="M1304" i="9"/>
  <c r="P1304" i="9"/>
  <c r="L1304" i="9"/>
  <c r="Q1303" i="9"/>
  <c r="L1303" i="9"/>
  <c r="F1303" i="9"/>
  <c r="D1303" i="9"/>
  <c r="O1303" i="9"/>
  <c r="K1303" i="9"/>
  <c r="M1303" i="9"/>
  <c r="C1303" i="9"/>
  <c r="E1303" i="9"/>
  <c r="J1303" i="9"/>
  <c r="N1303" i="9"/>
  <c r="P1303" i="9"/>
  <c r="C1302" i="9"/>
  <c r="Q1302" i="9"/>
  <c r="O1302" i="9"/>
  <c r="E1302" i="9"/>
  <c r="M1302" i="9"/>
  <c r="L1302" i="9"/>
  <c r="D1302" i="9"/>
  <c r="K1302" i="9"/>
  <c r="N1302" i="9"/>
  <c r="J1302" i="9"/>
  <c r="F1302" i="9"/>
  <c r="P1302" i="9"/>
  <c r="K1301" i="9"/>
  <c r="M1301" i="9"/>
  <c r="O1301" i="9"/>
  <c r="P1301" i="9"/>
  <c r="N1301" i="9"/>
  <c r="L1301" i="9"/>
  <c r="C1301" i="9"/>
  <c r="E1301" i="9"/>
  <c r="Q1301" i="9"/>
  <c r="J1301" i="9"/>
  <c r="F1301" i="9"/>
  <c r="D1301" i="9"/>
  <c r="L1300" i="9"/>
  <c r="N1300" i="9"/>
  <c r="O1300" i="9"/>
  <c r="J1300" i="9"/>
  <c r="P1300" i="9"/>
  <c r="C1300" i="9"/>
  <c r="M1300" i="9"/>
  <c r="Q1300" i="9"/>
  <c r="K1300" i="9"/>
  <c r="E1300" i="9"/>
  <c r="D1300" i="9"/>
  <c r="F1300" i="9"/>
  <c r="C1299" i="9"/>
  <c r="F1299" i="9"/>
  <c r="M1299" i="9"/>
  <c r="O1299" i="9"/>
  <c r="L1299" i="9"/>
  <c r="P1299" i="9"/>
  <c r="E1299" i="9"/>
  <c r="Q1299" i="9"/>
  <c r="N1299" i="9"/>
  <c r="K1299" i="9"/>
  <c r="D1299" i="9"/>
  <c r="J1299" i="9"/>
  <c r="P1298" i="9"/>
  <c r="J1298" i="9"/>
  <c r="D1298" i="9"/>
  <c r="N1298" i="9"/>
  <c r="K1298" i="9"/>
  <c r="E1298" i="9"/>
  <c r="Q1298" i="9"/>
  <c r="M1298" i="9"/>
  <c r="L1298" i="9"/>
  <c r="O1298" i="9"/>
  <c r="F1298" i="9"/>
  <c r="F1297" i="9"/>
  <c r="C1297" i="9"/>
  <c r="E1297" i="9"/>
  <c r="J1297" i="9"/>
  <c r="O1297" i="9"/>
  <c r="L1297" i="9"/>
  <c r="N1297" i="9"/>
  <c r="Q1297" i="9"/>
  <c r="P1297" i="9"/>
  <c r="M1297" i="9"/>
  <c r="K1297" i="9"/>
  <c r="D1297" i="9"/>
  <c r="P1296" i="9"/>
  <c r="M1296" i="9"/>
  <c r="D1296" i="9"/>
  <c r="K1296" i="9"/>
  <c r="N1296" i="9"/>
  <c r="Q1296" i="9"/>
  <c r="J1296" i="9"/>
  <c r="F1296" i="9"/>
  <c r="E1296" i="9"/>
  <c r="O1296" i="9"/>
  <c r="L1296" i="9"/>
  <c r="M1295" i="9"/>
  <c r="C1295" i="9"/>
  <c r="F1295" i="9"/>
  <c r="D1295" i="9"/>
  <c r="O1295" i="9"/>
  <c r="L1295" i="9"/>
  <c r="Q1295" i="9"/>
  <c r="K1295" i="9"/>
  <c r="E1295" i="9"/>
  <c r="P1295" i="9"/>
  <c r="J1295" i="9"/>
  <c r="N1295" i="9"/>
  <c r="Q1294" i="9"/>
  <c r="L1294" i="9"/>
  <c r="P1294" i="9"/>
  <c r="D1294" i="9"/>
  <c r="J1294" i="9"/>
  <c r="M1294" i="9"/>
  <c r="E1294" i="9"/>
  <c r="F1294" i="9"/>
  <c r="K1294" i="9"/>
  <c r="N1294" i="9"/>
  <c r="O1294" i="9"/>
  <c r="N1293" i="9"/>
  <c r="P1293" i="9"/>
  <c r="F1293" i="9"/>
  <c r="E1293" i="9"/>
  <c r="Q1293" i="9"/>
  <c r="C1293" i="9"/>
  <c r="J1293" i="9"/>
  <c r="K1293" i="9"/>
  <c r="L1293" i="9"/>
  <c r="D1293" i="9"/>
  <c r="O1293" i="9"/>
  <c r="M1293" i="9"/>
  <c r="Q1292" i="9"/>
  <c r="M1292" i="9"/>
  <c r="K1292" i="9"/>
  <c r="F1292" i="9"/>
  <c r="E1292" i="9"/>
  <c r="L1292" i="9"/>
  <c r="N1292" i="9"/>
  <c r="P1292" i="9"/>
  <c r="O1292" i="9"/>
  <c r="J1292" i="9"/>
  <c r="D1292" i="9"/>
  <c r="C1291" i="9"/>
  <c r="E1291" i="9"/>
  <c r="J1291" i="9"/>
  <c r="M1291" i="9"/>
  <c r="P1291" i="9"/>
  <c r="Q1291" i="9"/>
  <c r="N1291" i="9"/>
  <c r="K1291" i="9"/>
  <c r="D1291" i="9"/>
  <c r="O1291" i="9"/>
  <c r="F1291" i="9"/>
  <c r="L1291" i="9"/>
  <c r="D1290" i="9"/>
  <c r="E1290" i="9"/>
  <c r="C1290" i="9"/>
  <c r="Q1290" i="9"/>
  <c r="L1290" i="9"/>
  <c r="O1290" i="9"/>
  <c r="J1290" i="9"/>
  <c r="M1290" i="9"/>
  <c r="K1290" i="9"/>
  <c r="P1290" i="9"/>
  <c r="N1290" i="9"/>
  <c r="F1290" i="9"/>
  <c r="P1289" i="9"/>
  <c r="C1289" i="9"/>
  <c r="F1289" i="9"/>
  <c r="J1289" i="9"/>
  <c r="Q1289" i="9"/>
  <c r="L1289" i="9"/>
  <c r="D1289" i="9"/>
  <c r="K1289" i="9"/>
  <c r="M1289" i="9"/>
  <c r="O1289" i="9"/>
  <c r="N1289" i="9"/>
  <c r="E1289" i="9"/>
  <c r="E1288" i="9"/>
  <c r="C1288" i="9"/>
  <c r="L1288" i="9"/>
  <c r="J1288" i="9"/>
  <c r="Q1288" i="9"/>
  <c r="M1288" i="9"/>
  <c r="F1288" i="9"/>
  <c r="K1288" i="9"/>
  <c r="N1288" i="9"/>
  <c r="P1288" i="9"/>
  <c r="O1288" i="9"/>
  <c r="D1288" i="9"/>
  <c r="Q1287" i="9"/>
  <c r="M1287" i="9"/>
  <c r="N1287" i="9"/>
  <c r="C1287" i="9"/>
  <c r="D1287" i="9"/>
  <c r="F1287" i="9"/>
  <c r="J1287" i="9"/>
  <c r="K1287" i="9"/>
  <c r="E1287" i="9"/>
  <c r="P1287" i="9"/>
  <c r="O1287" i="9"/>
  <c r="L1287" i="9"/>
  <c r="Q1286" i="9"/>
  <c r="K1286" i="9"/>
  <c r="M1286" i="9"/>
  <c r="O1286" i="9"/>
  <c r="L1286" i="9"/>
  <c r="F1286" i="9"/>
  <c r="D1286" i="9"/>
  <c r="E1286" i="9"/>
  <c r="J1286" i="9"/>
  <c r="N1286" i="9"/>
  <c r="P1286" i="9"/>
  <c r="O1285" i="9"/>
  <c r="N1285" i="9"/>
  <c r="K1285" i="9"/>
  <c r="L1285" i="9"/>
  <c r="D1285" i="9"/>
  <c r="C1285" i="9"/>
  <c r="P1285" i="9"/>
  <c r="E1285" i="9"/>
  <c r="F1285" i="9"/>
  <c r="M1285" i="9"/>
  <c r="Q1285" i="9"/>
  <c r="J1285" i="9"/>
  <c r="P1284" i="9"/>
  <c r="N1284" i="9"/>
  <c r="D1284" i="9"/>
  <c r="C1284" i="9"/>
  <c r="J1284" i="9"/>
  <c r="O1284" i="9"/>
  <c r="M1284" i="9"/>
  <c r="Q1284" i="9"/>
  <c r="L1284" i="9"/>
  <c r="E1284" i="9"/>
  <c r="F1284" i="9"/>
  <c r="K1284" i="9"/>
  <c r="D1283" i="9"/>
  <c r="Q1283" i="9"/>
  <c r="J1283" i="9"/>
  <c r="E1283" i="9"/>
  <c r="C1283" i="9"/>
  <c r="K1283" i="9"/>
  <c r="N1283" i="9"/>
  <c r="O1283" i="9"/>
  <c r="M1283" i="9"/>
  <c r="F1283" i="9"/>
  <c r="P1283" i="9"/>
  <c r="L1283" i="9"/>
  <c r="D1282" i="9"/>
  <c r="J1282" i="9"/>
  <c r="O1282" i="9"/>
  <c r="C1282" i="9"/>
  <c r="Q1282" i="9"/>
  <c r="F1282" i="9"/>
  <c r="P1282" i="9"/>
  <c r="M1282" i="9"/>
  <c r="K1282" i="9"/>
  <c r="E1282" i="9"/>
  <c r="N1282" i="9"/>
  <c r="L1282" i="9"/>
  <c r="N1281" i="9"/>
  <c r="K1281" i="9"/>
  <c r="E1281" i="9"/>
  <c r="Q1281" i="9"/>
  <c r="F1281" i="9"/>
  <c r="L1281" i="9"/>
  <c r="D1281" i="9"/>
  <c r="C1281" i="9"/>
  <c r="J1281" i="9"/>
  <c r="M1281" i="9"/>
  <c r="P1281" i="9"/>
  <c r="O1281" i="9"/>
  <c r="O1280" i="9"/>
  <c r="J1280" i="9"/>
  <c r="F1280" i="9"/>
  <c r="D1280" i="9"/>
  <c r="K1280" i="9"/>
  <c r="N1280" i="9"/>
  <c r="M1280" i="9"/>
  <c r="Q1280" i="9"/>
  <c r="L1280" i="9"/>
  <c r="P1280" i="9"/>
  <c r="C1280" i="9"/>
  <c r="E1280" i="9"/>
  <c r="N1279" i="9"/>
  <c r="K1279" i="9"/>
  <c r="F1279" i="9"/>
  <c r="D1279" i="9"/>
  <c r="M1279" i="9"/>
  <c r="Q1279" i="9"/>
  <c r="J1279" i="9"/>
  <c r="E1279" i="9"/>
  <c r="L1279" i="9"/>
  <c r="O1279" i="9"/>
  <c r="C1279" i="9"/>
  <c r="P1279" i="9"/>
  <c r="Q1278" i="9"/>
  <c r="M1278" i="9"/>
  <c r="C1278" i="9"/>
  <c r="F1278" i="9"/>
  <c r="K1278" i="9"/>
  <c r="O1278" i="9"/>
  <c r="E1278" i="9"/>
  <c r="P1278" i="9"/>
  <c r="L1278" i="9"/>
  <c r="D1278" i="9"/>
  <c r="J1278" i="9"/>
  <c r="N1278" i="9"/>
  <c r="P1277" i="9"/>
  <c r="K1277" i="9"/>
  <c r="F1277" i="9"/>
  <c r="C1277" i="9"/>
  <c r="J1277" i="9"/>
  <c r="D1277" i="9"/>
  <c r="E1277" i="9"/>
  <c r="L1277" i="9"/>
  <c r="Q1277" i="9"/>
  <c r="N1277" i="9"/>
  <c r="O1277" i="9"/>
  <c r="M1277" i="9"/>
  <c r="K1276" i="9"/>
  <c r="E1276" i="9"/>
  <c r="Q1276" i="9"/>
  <c r="D1276" i="9"/>
  <c r="M1276" i="9"/>
  <c r="L1276" i="9"/>
  <c r="J1276" i="9"/>
  <c r="N1276" i="9"/>
  <c r="C1276" i="9"/>
  <c r="F1276" i="9"/>
  <c r="O1276" i="9"/>
  <c r="P1276" i="9"/>
  <c r="Q1275" i="9"/>
  <c r="J1275" i="9"/>
  <c r="D1275" i="9"/>
  <c r="E1275" i="9"/>
  <c r="M1275" i="9"/>
  <c r="P1275" i="9"/>
  <c r="K1275" i="9"/>
  <c r="F1275" i="9"/>
  <c r="L1275" i="9"/>
  <c r="O1275" i="9"/>
  <c r="N1275" i="9"/>
  <c r="J1274" i="9"/>
  <c r="P1274" i="9"/>
  <c r="N1274" i="9"/>
  <c r="K1274" i="9"/>
  <c r="F1274" i="9"/>
  <c r="C1274" i="9"/>
  <c r="E1274" i="9"/>
  <c r="L1274" i="9"/>
  <c r="O1274" i="9"/>
  <c r="Q1274" i="9"/>
  <c r="M1274" i="9"/>
  <c r="D1274" i="9"/>
  <c r="K1273" i="9"/>
  <c r="M1273" i="9"/>
  <c r="Q1273" i="9"/>
  <c r="P1273" i="9"/>
  <c r="E1273" i="9"/>
  <c r="L1273" i="9"/>
  <c r="D1273" i="9"/>
  <c r="F1273" i="9"/>
  <c r="J1273" i="9"/>
  <c r="C1273" i="9"/>
  <c r="N1273" i="9"/>
  <c r="O1273" i="9"/>
  <c r="Q1272" i="9"/>
  <c r="L1272" i="9"/>
  <c r="D1272" i="9"/>
  <c r="C1272" i="9"/>
  <c r="F1272" i="9"/>
  <c r="K1272" i="9"/>
  <c r="N1272" i="9"/>
  <c r="M1272" i="9"/>
  <c r="J1272" i="9"/>
  <c r="O1272" i="9"/>
  <c r="E1272" i="9"/>
  <c r="P1272" i="9"/>
  <c r="E1271" i="9"/>
  <c r="D1271" i="9"/>
  <c r="N1271" i="9"/>
  <c r="P1271" i="9"/>
  <c r="J1271" i="9"/>
  <c r="Q1271" i="9"/>
  <c r="M1271" i="9"/>
  <c r="L1271" i="9"/>
  <c r="F1271" i="9"/>
  <c r="O1271" i="9"/>
  <c r="K1271" i="9"/>
  <c r="C1271" i="9"/>
  <c r="C1270" i="9"/>
  <c r="M1270" i="9"/>
  <c r="Q1270" i="9"/>
  <c r="L1270" i="9"/>
  <c r="O1270" i="9"/>
  <c r="P1270" i="9"/>
  <c r="E1270" i="9"/>
  <c r="J1270" i="9"/>
  <c r="N1270" i="9"/>
  <c r="D1270" i="9"/>
  <c r="K1270" i="9"/>
  <c r="F1270" i="9"/>
  <c r="J1269" i="9"/>
  <c r="O1269" i="9"/>
  <c r="P1269" i="9"/>
  <c r="E1269" i="9"/>
  <c r="F1269" i="9"/>
  <c r="N1269" i="9"/>
  <c r="Q1269" i="9"/>
  <c r="K1269" i="9"/>
  <c r="M1269" i="9"/>
  <c r="C1269" i="9"/>
  <c r="L1269" i="9"/>
  <c r="D1269" i="9"/>
  <c r="K1268" i="9"/>
  <c r="M1268" i="9"/>
  <c r="Q1268" i="9"/>
  <c r="O1268" i="9"/>
  <c r="L1268" i="9"/>
  <c r="C1268" i="9"/>
  <c r="N1268" i="9"/>
  <c r="E1268" i="9"/>
  <c r="F1268" i="9"/>
  <c r="J1268" i="9"/>
  <c r="D1268" i="9"/>
  <c r="P1268" i="9"/>
  <c r="N1267" i="9"/>
  <c r="O1267" i="9"/>
  <c r="J1267" i="9"/>
  <c r="P1267" i="9"/>
  <c r="M1267" i="9"/>
  <c r="E1267" i="9"/>
  <c r="K1267" i="9"/>
  <c r="F1267" i="9"/>
  <c r="C1267" i="9"/>
  <c r="D1267" i="9"/>
  <c r="L1267" i="9"/>
  <c r="Q1267" i="9"/>
  <c r="L1266" i="9"/>
  <c r="O1266" i="9"/>
  <c r="C1266" i="9"/>
  <c r="D1266" i="9"/>
  <c r="N1266" i="9"/>
  <c r="Q1266" i="9"/>
  <c r="E1266" i="9"/>
  <c r="K1266" i="9"/>
  <c r="P1266" i="9"/>
  <c r="M1266" i="9"/>
  <c r="F1266" i="9"/>
  <c r="J1266" i="9"/>
  <c r="O1265" i="9"/>
  <c r="K1265" i="9"/>
  <c r="F1265" i="9"/>
  <c r="C1265" i="9"/>
  <c r="D1265" i="9"/>
  <c r="M1265" i="9"/>
  <c r="L1265" i="9"/>
  <c r="Q1265" i="9"/>
  <c r="N1265" i="9"/>
  <c r="E1265" i="9"/>
  <c r="P1265" i="9"/>
  <c r="D1264" i="9"/>
  <c r="F1264" i="9"/>
  <c r="P1264" i="9"/>
  <c r="M1264" i="9"/>
  <c r="O1264" i="9"/>
  <c r="L1264" i="9"/>
  <c r="K1264" i="9"/>
  <c r="N1264" i="9"/>
  <c r="C1264" i="9"/>
  <c r="Q1264" i="9"/>
  <c r="E1264" i="9"/>
  <c r="J1264" i="9"/>
  <c r="Q1263" i="9"/>
  <c r="L1263" i="9"/>
  <c r="O1263" i="9"/>
  <c r="J1263" i="9"/>
  <c r="D1263" i="9"/>
  <c r="E1263" i="9"/>
  <c r="P1263" i="9"/>
  <c r="C1263" i="9"/>
  <c r="F1263" i="9"/>
  <c r="K1263" i="9"/>
  <c r="M1263" i="9"/>
  <c r="N1263" i="9"/>
  <c r="K1262" i="9"/>
  <c r="N1262" i="9"/>
  <c r="Q1262" i="9"/>
  <c r="M1262" i="9"/>
  <c r="P1262" i="9"/>
  <c r="L1262" i="9"/>
  <c r="D1262" i="9"/>
  <c r="O1262" i="9"/>
  <c r="E1262" i="9"/>
  <c r="F1262" i="9"/>
  <c r="J1262" i="9"/>
  <c r="C1262" i="9"/>
  <c r="N1261" i="9"/>
  <c r="K1261" i="9"/>
  <c r="E1261" i="9"/>
  <c r="F1261" i="9"/>
  <c r="C1261" i="9"/>
  <c r="O1261" i="9"/>
  <c r="Q1261" i="9"/>
  <c r="M1261" i="9"/>
  <c r="J1261" i="9"/>
  <c r="D1261" i="9"/>
  <c r="L1261" i="9"/>
  <c r="P1261" i="9"/>
  <c r="K1260" i="9"/>
  <c r="C1260" i="9"/>
  <c r="F1260" i="9"/>
  <c r="D1260" i="9"/>
  <c r="M1260" i="9"/>
  <c r="Q1260" i="9"/>
  <c r="O1260" i="9"/>
  <c r="P1260" i="9"/>
  <c r="N1260" i="9"/>
  <c r="L1260" i="9"/>
  <c r="J1260" i="9"/>
  <c r="E1260" i="9"/>
  <c r="J1259" i="9"/>
  <c r="Q1259" i="9"/>
  <c r="L1259" i="9"/>
  <c r="O1259" i="9"/>
  <c r="M1259" i="9"/>
  <c r="N1259" i="9"/>
  <c r="F1259" i="9"/>
  <c r="D1259" i="9"/>
  <c r="E1259" i="9"/>
  <c r="P1259" i="9"/>
  <c r="K1259" i="9"/>
  <c r="F1258" i="9"/>
  <c r="K1258" i="9"/>
  <c r="N1258" i="9"/>
  <c r="P1258" i="9"/>
  <c r="C1258" i="9"/>
  <c r="L1258" i="9"/>
  <c r="Q1258" i="9"/>
  <c r="O1258" i="9"/>
  <c r="J1258" i="9"/>
  <c r="E1258" i="9"/>
  <c r="M1258" i="9"/>
  <c r="D1258" i="9"/>
  <c r="K1257" i="9"/>
  <c r="Q1257" i="9"/>
  <c r="O1257" i="9"/>
  <c r="D1257" i="9"/>
  <c r="E1257" i="9"/>
  <c r="F1257" i="9"/>
  <c r="L1257" i="9"/>
  <c r="P1257" i="9"/>
  <c r="N1257" i="9"/>
  <c r="C1257" i="9"/>
  <c r="J1257" i="9"/>
  <c r="M1257" i="9"/>
  <c r="E1256" i="9"/>
  <c r="F1256" i="9"/>
  <c r="Q1256" i="9"/>
  <c r="J1256" i="9"/>
  <c r="M1256" i="9"/>
  <c r="D1256" i="9"/>
  <c r="L1256" i="9"/>
  <c r="O1256" i="9"/>
  <c r="K1256" i="9"/>
  <c r="C1256" i="9"/>
  <c r="N1256" i="9"/>
  <c r="P1256" i="9"/>
  <c r="M1255" i="9"/>
  <c r="O1255" i="9"/>
  <c r="K1255" i="9"/>
  <c r="Q1255" i="9"/>
  <c r="C1255" i="9"/>
  <c r="F1255" i="9"/>
  <c r="L1255" i="9"/>
  <c r="P1255" i="9"/>
  <c r="N1255" i="9"/>
  <c r="E1255" i="9"/>
  <c r="D1255" i="9"/>
  <c r="J1255" i="9"/>
  <c r="O1254" i="9"/>
  <c r="K1254" i="9"/>
  <c r="D1254" i="9"/>
  <c r="C1254" i="9"/>
  <c r="L1254" i="9"/>
  <c r="N1254" i="9"/>
  <c r="Q1254" i="9"/>
  <c r="M1254" i="9"/>
  <c r="E1254" i="9"/>
  <c r="F1254" i="9"/>
  <c r="J1254" i="9"/>
  <c r="P1254" i="9"/>
  <c r="M1253" i="9"/>
  <c r="O1253" i="9"/>
  <c r="Q1253" i="9"/>
  <c r="L1253" i="9"/>
  <c r="J1253" i="9"/>
  <c r="E1253" i="9"/>
  <c r="D1253" i="9"/>
  <c r="K1253" i="9"/>
  <c r="N1253" i="9"/>
  <c r="C1253" i="9"/>
  <c r="P1253" i="9"/>
  <c r="F1253" i="9"/>
  <c r="E1252" i="9"/>
  <c r="C1252" i="9"/>
  <c r="Q1252" i="9"/>
  <c r="K1252" i="9"/>
  <c r="L1252" i="9"/>
  <c r="D1252" i="9"/>
  <c r="N1252" i="9"/>
  <c r="J1252" i="9"/>
  <c r="F1252" i="9"/>
  <c r="M1252" i="9"/>
  <c r="O1252" i="9"/>
  <c r="P1252" i="9"/>
  <c r="L1251" i="9"/>
  <c r="N1251" i="9"/>
  <c r="Q1251" i="9"/>
  <c r="E1251" i="9"/>
  <c r="F1251" i="9"/>
  <c r="J1251" i="9"/>
  <c r="O1251" i="9"/>
  <c r="P1251" i="9"/>
  <c r="C1251" i="9"/>
  <c r="M1251" i="9"/>
  <c r="K1251" i="9"/>
  <c r="D1251" i="9"/>
  <c r="Q1250" i="9"/>
  <c r="D1250" i="9"/>
  <c r="O1250" i="9"/>
  <c r="L1250" i="9"/>
  <c r="N1250" i="9"/>
  <c r="C1250" i="9"/>
  <c r="J1250" i="9"/>
  <c r="M1250" i="9"/>
  <c r="F1250" i="9"/>
  <c r="K1250" i="9"/>
  <c r="P1250" i="9"/>
  <c r="E1250" i="9"/>
  <c r="E1249" i="9"/>
  <c r="L1249" i="9"/>
  <c r="P1249" i="9"/>
  <c r="J1249" i="9"/>
  <c r="D1249" i="9"/>
  <c r="F1249" i="9"/>
  <c r="K1249" i="9"/>
  <c r="Q1249" i="9"/>
  <c r="N1249" i="9"/>
  <c r="O1249" i="9"/>
  <c r="C1249" i="9"/>
  <c r="M1249" i="9"/>
  <c r="F1248" i="9"/>
  <c r="D1248" i="9"/>
  <c r="C1248" i="9"/>
  <c r="K1248" i="9"/>
  <c r="Q1248" i="9"/>
  <c r="O1248" i="9"/>
  <c r="P1248" i="9"/>
  <c r="E1248" i="9"/>
  <c r="N1248" i="9"/>
  <c r="M1248" i="9"/>
  <c r="J1248" i="9"/>
  <c r="L1248" i="9"/>
  <c r="C1247" i="9"/>
  <c r="P1247" i="9"/>
  <c r="K1247" i="9"/>
  <c r="F1247" i="9"/>
  <c r="D1247" i="9"/>
  <c r="M1247" i="9"/>
  <c r="Q1247" i="9"/>
  <c r="E1247" i="9"/>
  <c r="J1247" i="9"/>
  <c r="N1247" i="9"/>
  <c r="O1247" i="9"/>
  <c r="L1247" i="9"/>
  <c r="D1246" i="9"/>
  <c r="J1246" i="9"/>
  <c r="M1246" i="9"/>
  <c r="E1246" i="9"/>
  <c r="Q1246" i="9"/>
  <c r="F1246" i="9"/>
  <c r="K1246" i="9"/>
  <c r="N1246" i="9"/>
  <c r="P1246" i="9"/>
  <c r="O1246" i="9"/>
  <c r="L1246" i="9"/>
  <c r="C1246" i="9"/>
  <c r="K1245" i="9"/>
  <c r="O1245" i="9"/>
  <c r="D1245" i="9"/>
  <c r="F1245" i="9"/>
  <c r="N1245" i="9"/>
  <c r="P1245" i="9"/>
  <c r="Q1245" i="9"/>
  <c r="J1245" i="9"/>
  <c r="C1245" i="9"/>
  <c r="M1245" i="9"/>
  <c r="L1245" i="9"/>
  <c r="E1245" i="9"/>
  <c r="N1244" i="9"/>
  <c r="J1244" i="9"/>
  <c r="K1244" i="9"/>
  <c r="P1244" i="9"/>
  <c r="C1244" i="9"/>
  <c r="F1244" i="9"/>
  <c r="L1244" i="9"/>
  <c r="O1244" i="9"/>
  <c r="D1244" i="9"/>
  <c r="E1244" i="9"/>
  <c r="M1244" i="9"/>
  <c r="Q1244" i="9"/>
  <c r="M1243" i="9"/>
  <c r="P1243" i="9"/>
  <c r="K1243" i="9"/>
  <c r="L1243" i="9"/>
  <c r="D1243" i="9"/>
  <c r="Q1243" i="9"/>
  <c r="C1243" i="9"/>
  <c r="N1243" i="9"/>
  <c r="J1243" i="9"/>
  <c r="O1243" i="9"/>
  <c r="F1243" i="9"/>
  <c r="E1243" i="9"/>
  <c r="N1242" i="9"/>
  <c r="C1242" i="9"/>
  <c r="Q1242" i="9"/>
  <c r="P1242" i="9"/>
  <c r="F1242" i="9"/>
  <c r="O1242" i="9"/>
  <c r="L1242" i="9"/>
  <c r="D1242" i="9"/>
  <c r="E1242" i="9"/>
  <c r="K1242" i="9"/>
  <c r="M1242" i="9"/>
  <c r="J1242" i="9"/>
  <c r="J1241" i="9"/>
  <c r="L1241" i="9"/>
  <c r="N1241" i="9"/>
  <c r="K1241" i="9"/>
  <c r="M1241" i="9"/>
  <c r="O1241" i="9"/>
  <c r="P1241" i="9"/>
  <c r="Q1241" i="9"/>
  <c r="C1241" i="9"/>
  <c r="D1241" i="9"/>
  <c r="F1241" i="9"/>
  <c r="E1241" i="9"/>
  <c r="C1240" i="9"/>
  <c r="D1240" i="9"/>
  <c r="M1240" i="9"/>
  <c r="P1240" i="9"/>
  <c r="Q1240" i="9"/>
  <c r="O1240" i="9"/>
  <c r="L1240" i="9"/>
  <c r="E1240" i="9"/>
  <c r="K1240" i="9"/>
  <c r="F1240" i="9"/>
  <c r="J1240" i="9"/>
  <c r="N1240" i="9"/>
  <c r="M1239" i="9"/>
  <c r="O1239" i="9"/>
  <c r="D1239" i="9"/>
  <c r="K1239" i="9"/>
  <c r="P1239" i="9"/>
  <c r="Q1239" i="9"/>
  <c r="E1239" i="9"/>
  <c r="L1239" i="9"/>
  <c r="F1239" i="9"/>
  <c r="C1239" i="9"/>
  <c r="N1239" i="9"/>
  <c r="J1239" i="9"/>
  <c r="C1238" i="9"/>
  <c r="L1238" i="9"/>
  <c r="O1238" i="9"/>
  <c r="J1238" i="9"/>
  <c r="M1238" i="9"/>
  <c r="N1238" i="9"/>
  <c r="Q1238" i="9"/>
  <c r="K1238" i="9"/>
  <c r="E1238" i="9"/>
  <c r="P1238" i="9"/>
  <c r="F1238" i="9"/>
  <c r="D1238" i="9"/>
  <c r="O1237" i="9"/>
  <c r="E1237" i="9"/>
  <c r="Q1237" i="9"/>
  <c r="N1237" i="9"/>
  <c r="D1237" i="9"/>
  <c r="L1237" i="9"/>
  <c r="M1237" i="9"/>
  <c r="P1237" i="9"/>
  <c r="K1237" i="9"/>
  <c r="J1237" i="9"/>
  <c r="F1237" i="9"/>
  <c r="C1237" i="9"/>
  <c r="P1236" i="9"/>
  <c r="F1236" i="9"/>
  <c r="K1236" i="9"/>
  <c r="J1236" i="9"/>
  <c r="O1236" i="9"/>
  <c r="M1236" i="9"/>
  <c r="D1236" i="9"/>
  <c r="C1236" i="9"/>
  <c r="Q1236" i="9"/>
  <c r="N1236" i="9"/>
  <c r="L1236" i="9"/>
  <c r="E1236" i="9"/>
  <c r="E1235" i="9"/>
  <c r="K1235" i="9"/>
  <c r="P1235" i="9"/>
  <c r="Q1235" i="9"/>
  <c r="O1235" i="9"/>
  <c r="L1235" i="9"/>
  <c r="J1235" i="9"/>
  <c r="N1235" i="9"/>
  <c r="M1235" i="9"/>
  <c r="F1235" i="9"/>
  <c r="D1235" i="9"/>
  <c r="C1235" i="9"/>
  <c r="E1234" i="9"/>
  <c r="Q1234" i="9"/>
  <c r="K1234" i="9"/>
  <c r="F1234" i="9"/>
  <c r="D1234" i="9"/>
  <c r="C1234" i="9"/>
  <c r="M1234" i="9"/>
  <c r="O1234" i="9"/>
  <c r="P1234" i="9"/>
  <c r="N1234" i="9"/>
  <c r="J1234" i="9"/>
  <c r="L1234" i="9"/>
  <c r="D1233" i="9"/>
  <c r="K1233" i="9"/>
  <c r="O1233" i="9"/>
  <c r="J1233" i="9"/>
  <c r="N1233" i="9"/>
  <c r="Q1233" i="9"/>
  <c r="L1233" i="9"/>
  <c r="P1233" i="9"/>
  <c r="M1233" i="9"/>
  <c r="E1233" i="9"/>
  <c r="F1233" i="9"/>
  <c r="C1233" i="9"/>
  <c r="M1232" i="9"/>
  <c r="K1232" i="9"/>
  <c r="F1232" i="9"/>
  <c r="D1232" i="9"/>
  <c r="O1232" i="9"/>
  <c r="L1232" i="9"/>
  <c r="P1232" i="9"/>
  <c r="Q1232" i="9"/>
  <c r="E1232" i="9"/>
  <c r="J1232" i="9"/>
  <c r="N1232" i="9"/>
  <c r="C1232" i="9"/>
  <c r="O1231" i="9"/>
  <c r="M1231" i="9"/>
  <c r="K1231" i="9"/>
  <c r="P1231" i="9"/>
  <c r="F1231" i="9"/>
  <c r="C1231" i="9"/>
  <c r="J1231" i="9"/>
  <c r="E1231" i="9"/>
  <c r="N1231" i="9"/>
  <c r="L1231" i="9"/>
  <c r="Q1231" i="9"/>
  <c r="D1231" i="9"/>
  <c r="Q1230" i="9"/>
  <c r="N1230" i="9"/>
  <c r="L1230" i="9"/>
  <c r="E1230" i="9"/>
  <c r="J1230" i="9"/>
  <c r="F1230" i="9"/>
  <c r="M1230" i="9"/>
  <c r="O1230" i="9"/>
  <c r="P1230" i="9"/>
  <c r="D1230" i="9"/>
  <c r="C1230" i="9"/>
  <c r="K1230" i="9"/>
  <c r="L1229" i="9"/>
  <c r="D1229" i="9"/>
  <c r="F1229" i="9"/>
  <c r="K1229" i="9"/>
  <c r="N1229" i="9"/>
  <c r="O1229" i="9"/>
  <c r="J1229" i="9"/>
  <c r="P1229" i="9"/>
  <c r="M1229" i="9"/>
  <c r="E1229" i="9"/>
  <c r="C1229" i="9"/>
  <c r="Q1229" i="9"/>
  <c r="O1228" i="9"/>
  <c r="N1228" i="9"/>
  <c r="Q1228" i="9"/>
  <c r="C1228" i="9"/>
  <c r="M1228" i="9"/>
  <c r="P1228" i="9"/>
  <c r="K1228" i="9"/>
  <c r="F1228" i="9"/>
  <c r="E1228" i="9"/>
  <c r="J1228" i="9"/>
  <c r="L1228" i="9"/>
  <c r="C1227" i="9"/>
  <c r="Q1227" i="9"/>
  <c r="L1227" i="9"/>
  <c r="K1227" i="9"/>
  <c r="E1227" i="9"/>
  <c r="J1227" i="9"/>
  <c r="D1227" i="9"/>
  <c r="F1227" i="9"/>
  <c r="M1227" i="9"/>
  <c r="P1227" i="9"/>
  <c r="N1227" i="9"/>
  <c r="O1227" i="9"/>
  <c r="O1226" i="9"/>
  <c r="J1226" i="9"/>
  <c r="Q1226" i="9"/>
  <c r="L1226" i="9"/>
  <c r="K1226" i="9"/>
  <c r="D1226" i="9"/>
  <c r="F1226" i="9"/>
  <c r="C1226" i="9"/>
  <c r="E1226" i="9"/>
  <c r="M1226" i="9"/>
  <c r="P1226" i="9"/>
  <c r="N1226" i="9"/>
  <c r="J1225" i="9"/>
  <c r="F1225" i="9"/>
  <c r="D1225" i="9"/>
  <c r="E1225" i="9"/>
  <c r="K1225" i="9"/>
  <c r="P1225" i="9"/>
  <c r="L1225" i="9"/>
  <c r="Q1225" i="9"/>
  <c r="C1225" i="9"/>
  <c r="M1225" i="9"/>
  <c r="O1225" i="9"/>
  <c r="N1225" i="9"/>
  <c r="Q1224" i="9"/>
  <c r="J1224" i="9"/>
  <c r="P1224" i="9"/>
  <c r="M1224" i="9"/>
  <c r="D1224" i="9"/>
  <c r="C1224" i="9"/>
  <c r="F1224" i="9"/>
  <c r="L1224" i="9"/>
  <c r="E1224" i="9"/>
  <c r="O1224" i="9"/>
  <c r="N1224" i="9"/>
  <c r="K1224" i="9"/>
  <c r="M1223" i="9"/>
  <c r="D1223" i="9"/>
  <c r="C1223" i="9"/>
  <c r="O1223" i="9"/>
  <c r="P1223" i="9"/>
  <c r="F1223" i="9"/>
  <c r="K1223" i="9"/>
  <c r="N1223" i="9"/>
  <c r="Q1223" i="9"/>
  <c r="E1223" i="9"/>
  <c r="J1223" i="9"/>
  <c r="L1223" i="9"/>
  <c r="J1222" i="9"/>
  <c r="F1222" i="9"/>
  <c r="M1222" i="9"/>
  <c r="P1222" i="9"/>
  <c r="D1222" i="9"/>
  <c r="N1222" i="9"/>
  <c r="K1222" i="9"/>
  <c r="O1222" i="9"/>
  <c r="L1222" i="9"/>
  <c r="E1222" i="9"/>
  <c r="C1222" i="9"/>
  <c r="Q1222" i="9"/>
  <c r="N1221" i="9"/>
  <c r="J1221" i="9"/>
  <c r="Q1221" i="9"/>
  <c r="F1221" i="9"/>
  <c r="D1221" i="9"/>
  <c r="O1221" i="9"/>
  <c r="M1221" i="9"/>
  <c r="L1221" i="9"/>
  <c r="C1221" i="9"/>
  <c r="E1221" i="9"/>
  <c r="P1221" i="9"/>
  <c r="K1221" i="9"/>
  <c r="K1220" i="9"/>
  <c r="N1220" i="9"/>
  <c r="L1220" i="9"/>
  <c r="Q1220" i="9"/>
  <c r="E1220" i="9"/>
  <c r="D1220" i="9"/>
  <c r="F1220" i="9"/>
  <c r="O1220" i="9"/>
  <c r="C1220" i="9"/>
  <c r="J1220" i="9"/>
  <c r="M1220" i="9"/>
  <c r="P1220" i="9"/>
  <c r="Q1219" i="9"/>
  <c r="N1219" i="9"/>
  <c r="C1219" i="9"/>
  <c r="L1219" i="9"/>
  <c r="F1219" i="9"/>
  <c r="E1219" i="9"/>
  <c r="M1219" i="9"/>
  <c r="J1219" i="9"/>
  <c r="D1219" i="9"/>
  <c r="K1219" i="9"/>
  <c r="O1219" i="9"/>
  <c r="P1219" i="9"/>
  <c r="D1218" i="9"/>
  <c r="K1218" i="9"/>
  <c r="L1218" i="9"/>
  <c r="P1218" i="9"/>
  <c r="O1218" i="9"/>
  <c r="M1218" i="9"/>
  <c r="J1218" i="9"/>
  <c r="C1218" i="9"/>
  <c r="Q1218" i="9"/>
  <c r="N1218" i="9"/>
  <c r="F1218" i="9"/>
  <c r="E1218" i="9"/>
  <c r="J1217" i="9"/>
  <c r="F1217" i="9"/>
  <c r="N1217" i="9"/>
  <c r="K1217" i="9"/>
  <c r="P1217" i="9"/>
  <c r="L1217" i="9"/>
  <c r="C1217" i="9"/>
  <c r="O1217" i="9"/>
  <c r="D1217" i="9"/>
  <c r="Q1217" i="9"/>
  <c r="M1217" i="9"/>
  <c r="E1217" i="9"/>
  <c r="M1216" i="9"/>
  <c r="P1216" i="9"/>
  <c r="O1216" i="9"/>
  <c r="Q1216" i="9"/>
  <c r="N1216" i="9"/>
  <c r="J1216" i="9"/>
  <c r="K1216" i="9"/>
  <c r="E1216" i="9"/>
  <c r="D1216" i="9"/>
  <c r="C1216" i="9"/>
  <c r="F1216" i="9"/>
  <c r="L1216" i="9"/>
  <c r="E1215" i="9"/>
  <c r="L1215" i="9"/>
  <c r="O1215" i="9"/>
  <c r="P1215" i="9"/>
  <c r="F1215" i="9"/>
  <c r="K1215" i="9"/>
  <c r="Q1215" i="9"/>
  <c r="N1215" i="9"/>
  <c r="D1215" i="9"/>
  <c r="C1215" i="9"/>
  <c r="J1215" i="9"/>
  <c r="M1215" i="9"/>
  <c r="J1214" i="9"/>
  <c r="N1214" i="9"/>
  <c r="L1214" i="9"/>
  <c r="P1214" i="9"/>
  <c r="Q1214" i="9"/>
  <c r="M1214" i="9"/>
  <c r="D1214" i="9"/>
  <c r="O1214" i="9"/>
  <c r="K1214" i="9"/>
  <c r="F1214" i="9"/>
  <c r="E1214" i="9"/>
  <c r="C1214" i="9"/>
  <c r="P1213" i="9"/>
  <c r="M1213" i="9"/>
  <c r="O1213" i="9"/>
  <c r="K1213" i="9"/>
  <c r="Q1213" i="9"/>
  <c r="L1213" i="9"/>
  <c r="J1213" i="9"/>
  <c r="E1213" i="9"/>
  <c r="N1213" i="9"/>
  <c r="D1213" i="9"/>
  <c r="F1213" i="9"/>
  <c r="C1213" i="9"/>
  <c r="N1212" i="9"/>
  <c r="P1212" i="9"/>
  <c r="M1212" i="9"/>
  <c r="O1212" i="9"/>
  <c r="K1212" i="9"/>
  <c r="L1212" i="9"/>
  <c r="Q1212" i="9"/>
  <c r="J1212" i="9"/>
  <c r="C1212" i="9"/>
  <c r="D1212" i="9"/>
  <c r="E1212" i="9"/>
  <c r="F1212" i="9"/>
  <c r="M1211" i="9"/>
  <c r="P1211" i="9"/>
  <c r="O1211" i="9"/>
  <c r="N1211" i="9"/>
  <c r="E1211" i="9"/>
  <c r="L1211" i="9"/>
  <c r="J1211" i="9"/>
  <c r="F1211" i="9"/>
  <c r="D1211" i="9"/>
  <c r="C1211" i="9"/>
  <c r="K1211" i="9"/>
  <c r="Q1211" i="9"/>
  <c r="M1210" i="9"/>
  <c r="J1210" i="9"/>
  <c r="K1210" i="9"/>
  <c r="N1210" i="9"/>
  <c r="P1210" i="9"/>
  <c r="E1210" i="9"/>
  <c r="Q1210" i="9"/>
  <c r="C1210" i="9"/>
  <c r="D1210" i="9"/>
  <c r="F1210" i="9"/>
  <c r="L1210" i="9"/>
  <c r="O1210" i="9"/>
  <c r="J1209" i="9"/>
  <c r="N1209" i="9"/>
  <c r="M1209" i="9"/>
  <c r="E1209" i="9"/>
  <c r="O1209" i="9"/>
  <c r="P1209" i="9"/>
  <c r="K1209" i="9"/>
  <c r="F1209" i="9"/>
  <c r="D1209" i="9"/>
  <c r="C1209" i="9"/>
  <c r="Q1209" i="9"/>
  <c r="L1209" i="9"/>
  <c r="J1208" i="9"/>
  <c r="K1208" i="9"/>
  <c r="N1208" i="9"/>
  <c r="P1208" i="9"/>
  <c r="C1208" i="9"/>
  <c r="F1208" i="9"/>
  <c r="D1208" i="9"/>
  <c r="E1208" i="9"/>
  <c r="L1208" i="9"/>
  <c r="Q1208" i="9"/>
  <c r="M1208" i="9"/>
  <c r="O1208" i="9"/>
  <c r="Q1207" i="9"/>
  <c r="M1207" i="9"/>
  <c r="P1207" i="9"/>
  <c r="C1207" i="9"/>
  <c r="K1207" i="9"/>
  <c r="D1207" i="9"/>
  <c r="F1207" i="9"/>
  <c r="J1207" i="9"/>
  <c r="E1207" i="9"/>
  <c r="O1207" i="9"/>
  <c r="N1207" i="9"/>
  <c r="L1207" i="9"/>
  <c r="F1206" i="9"/>
  <c r="D1206" i="9"/>
  <c r="E1206" i="9"/>
  <c r="K1206" i="9"/>
  <c r="N1206" i="9"/>
  <c r="O1206" i="9"/>
  <c r="P1206" i="9"/>
  <c r="L1206" i="9"/>
  <c r="J1206" i="9"/>
  <c r="Q1206" i="9"/>
  <c r="M1206" i="9"/>
  <c r="M1205" i="9"/>
  <c r="Q1205" i="9"/>
  <c r="E1205" i="9"/>
  <c r="N1205" i="9"/>
  <c r="K1205" i="9"/>
  <c r="L1205" i="9"/>
  <c r="J1205" i="9"/>
  <c r="P1205" i="9"/>
  <c r="O1205" i="9"/>
  <c r="F1205" i="9"/>
  <c r="C1205" i="9"/>
  <c r="D1205" i="9"/>
  <c r="N1204" i="9"/>
  <c r="Q1204" i="9"/>
  <c r="M1204" i="9"/>
  <c r="F1204" i="9"/>
  <c r="D1204" i="9"/>
  <c r="O1204" i="9"/>
  <c r="K1204" i="9"/>
  <c r="L1204" i="9"/>
  <c r="P1204" i="9"/>
  <c r="C1204" i="9"/>
  <c r="J1204" i="9"/>
  <c r="E1204" i="9"/>
  <c r="F1203" i="9"/>
  <c r="P1203" i="9"/>
  <c r="M1203" i="9"/>
  <c r="N1203" i="9"/>
  <c r="K1203" i="9"/>
  <c r="C1203" i="9"/>
  <c r="L1203" i="9"/>
  <c r="E1203" i="9"/>
  <c r="O1203" i="9"/>
  <c r="J1203" i="9"/>
  <c r="Q1203" i="9"/>
  <c r="D1203" i="9"/>
  <c r="N1202" i="9"/>
  <c r="J1202" i="9"/>
  <c r="E1202" i="9"/>
  <c r="L1202" i="9"/>
  <c r="O1202" i="9"/>
  <c r="K1202" i="9"/>
  <c r="F1202" i="9"/>
  <c r="D1202" i="9"/>
  <c r="Q1202" i="9"/>
  <c r="M1202" i="9"/>
  <c r="C1202" i="9"/>
  <c r="P1202" i="9"/>
  <c r="L1201" i="9"/>
  <c r="O1201" i="9"/>
  <c r="J1201" i="9"/>
  <c r="Q1201" i="9"/>
  <c r="P1201" i="9"/>
  <c r="D1201" i="9"/>
  <c r="M1201" i="9"/>
  <c r="N1201" i="9"/>
  <c r="F1201" i="9"/>
  <c r="C1201" i="9"/>
  <c r="K1201" i="9"/>
  <c r="E1201" i="9"/>
  <c r="N1200" i="9"/>
  <c r="K1200" i="9"/>
  <c r="P1200" i="9"/>
  <c r="O1200" i="9"/>
  <c r="M1200" i="9"/>
  <c r="D1200" i="9"/>
  <c r="Q1200" i="9"/>
  <c r="C1200" i="9"/>
  <c r="E1200" i="9"/>
  <c r="F1200" i="9"/>
  <c r="J1200" i="9"/>
  <c r="L1200" i="9"/>
  <c r="C1199" i="9"/>
  <c r="M1199" i="9"/>
  <c r="D1199" i="9"/>
  <c r="Q1199" i="9"/>
  <c r="L1199" i="9"/>
  <c r="E1199" i="9"/>
  <c r="F1199" i="9"/>
  <c r="N1199" i="9"/>
  <c r="K1199" i="9"/>
  <c r="O1199" i="9"/>
  <c r="P1199" i="9"/>
  <c r="J1199" i="9"/>
  <c r="N1198" i="9"/>
  <c r="P1198" i="9"/>
  <c r="O1198" i="9"/>
  <c r="L1198" i="9"/>
  <c r="M1198" i="9"/>
  <c r="D1198" i="9"/>
  <c r="F1198" i="9"/>
  <c r="K1198" i="9"/>
  <c r="C1198" i="9"/>
  <c r="E1198" i="9"/>
  <c r="J1198" i="9"/>
  <c r="Q1198" i="9"/>
  <c r="O1197" i="9"/>
  <c r="P1197" i="9"/>
  <c r="J1197" i="9"/>
  <c r="N1197" i="9"/>
  <c r="C1197" i="9"/>
  <c r="F1197" i="9"/>
  <c r="Q1197" i="9"/>
  <c r="L1197" i="9"/>
  <c r="D1197" i="9"/>
  <c r="K1197" i="9"/>
  <c r="E1197" i="9"/>
  <c r="M1197" i="9"/>
  <c r="P1196" i="9"/>
  <c r="O1196" i="9"/>
  <c r="J1196" i="9"/>
  <c r="F1196" i="9"/>
  <c r="N1196" i="9"/>
  <c r="E1196" i="9"/>
  <c r="K1196" i="9"/>
  <c r="Q1196" i="9"/>
  <c r="L1196" i="9"/>
  <c r="M1196" i="9"/>
  <c r="D1196" i="9"/>
  <c r="C1196" i="9"/>
  <c r="P1195" i="9"/>
  <c r="N1195" i="9"/>
  <c r="C1195" i="9"/>
  <c r="J1195" i="9"/>
  <c r="D1195" i="9"/>
  <c r="L1195" i="9"/>
  <c r="F1195" i="9"/>
  <c r="M1195" i="9"/>
  <c r="K1195" i="9"/>
  <c r="Q1195" i="9"/>
  <c r="O1195" i="9"/>
  <c r="E1195" i="9"/>
  <c r="Q1194" i="9"/>
  <c r="M1194" i="9"/>
  <c r="P1194" i="9"/>
  <c r="K1194" i="9"/>
  <c r="F1194" i="9"/>
  <c r="L1194" i="9"/>
  <c r="O1194" i="9"/>
  <c r="E1194" i="9"/>
  <c r="D1194" i="9"/>
  <c r="N1194" i="9"/>
  <c r="J1194" i="9"/>
  <c r="J1193" i="9"/>
  <c r="Q1193" i="9"/>
  <c r="O1193" i="9"/>
  <c r="F1193" i="9"/>
  <c r="E1193" i="9"/>
  <c r="K1193" i="9"/>
  <c r="N1193" i="9"/>
  <c r="P1193" i="9"/>
  <c r="L1193" i="9"/>
  <c r="D1193" i="9"/>
  <c r="M1193" i="9"/>
  <c r="L1192" i="9"/>
  <c r="N1192" i="9"/>
  <c r="E1192" i="9"/>
  <c r="F1192" i="9"/>
  <c r="D1192" i="9"/>
  <c r="C1192" i="9"/>
  <c r="P1192" i="9"/>
  <c r="M1192" i="9"/>
  <c r="Q1192" i="9"/>
  <c r="K1192" i="9"/>
  <c r="O1192" i="9"/>
  <c r="J1192" i="9"/>
  <c r="Q1191" i="9"/>
  <c r="D1191" i="9"/>
  <c r="F1191" i="9"/>
  <c r="J1191" i="9"/>
  <c r="N1191" i="9"/>
  <c r="C1191" i="9"/>
  <c r="K1191" i="9"/>
  <c r="P1191" i="9"/>
  <c r="E1191" i="9"/>
  <c r="L1191" i="9"/>
  <c r="O1191" i="9"/>
  <c r="M1191" i="9"/>
  <c r="Q1190" i="9"/>
  <c r="K1190" i="9"/>
  <c r="C1190" i="9"/>
  <c r="D1190" i="9"/>
  <c r="F1190" i="9"/>
  <c r="E1190" i="9"/>
  <c r="P1190" i="9"/>
  <c r="J1190" i="9"/>
  <c r="N1190" i="9"/>
  <c r="M1190" i="9"/>
  <c r="O1190" i="9"/>
  <c r="L1190" i="9"/>
  <c r="J1189" i="9"/>
  <c r="F1189" i="9"/>
  <c r="D1189" i="9"/>
  <c r="O1189" i="9"/>
  <c r="E1189" i="9"/>
  <c r="Q1189" i="9"/>
  <c r="M1189" i="9"/>
  <c r="N1189" i="9"/>
  <c r="L1189" i="9"/>
  <c r="K1189" i="9"/>
  <c r="P1189" i="9"/>
  <c r="C1189" i="9"/>
  <c r="P1188" i="9"/>
  <c r="O1188" i="9"/>
  <c r="M1188" i="9"/>
  <c r="K1188" i="9"/>
  <c r="C1188" i="9"/>
  <c r="E1188" i="9"/>
  <c r="L1188" i="9"/>
  <c r="Q1188" i="9"/>
  <c r="N1188" i="9"/>
  <c r="D1188" i="9"/>
  <c r="F1188" i="9"/>
  <c r="J1188" i="9"/>
  <c r="J1187" i="9"/>
  <c r="F1187" i="9"/>
  <c r="C1187" i="9"/>
  <c r="K1187" i="9"/>
  <c r="L1187" i="9"/>
  <c r="O1187" i="9"/>
  <c r="P1187" i="9"/>
  <c r="D1187" i="9"/>
  <c r="E1187" i="9"/>
  <c r="M1187" i="9"/>
  <c r="Q1187" i="9"/>
  <c r="N1187" i="9"/>
  <c r="P1186" i="9"/>
  <c r="N1186" i="9"/>
  <c r="J1186" i="9"/>
  <c r="F1186" i="9"/>
  <c r="C1186" i="9"/>
  <c r="E1186" i="9"/>
  <c r="K1186" i="9"/>
  <c r="Q1186" i="9"/>
  <c r="M1186" i="9"/>
  <c r="L1186" i="9"/>
  <c r="O1186" i="9"/>
  <c r="D1186" i="9"/>
  <c r="J1185" i="9"/>
  <c r="P1185" i="9"/>
  <c r="M1185" i="9"/>
  <c r="F1185" i="9"/>
  <c r="D1185" i="9"/>
  <c r="N1185" i="9"/>
  <c r="K1185" i="9"/>
  <c r="C1185" i="9"/>
  <c r="O1185" i="9"/>
  <c r="Q1185" i="9"/>
  <c r="L1185" i="9"/>
  <c r="E1185" i="9"/>
  <c r="M1184" i="9"/>
  <c r="F1184" i="9"/>
  <c r="D1184" i="9"/>
  <c r="E1184" i="9"/>
  <c r="J1184" i="9"/>
  <c r="L1184" i="9"/>
  <c r="P1184" i="9"/>
  <c r="C1184" i="9"/>
  <c r="Q1184" i="9"/>
  <c r="N1184" i="9"/>
  <c r="K1184" i="9"/>
  <c r="O1184" i="9"/>
  <c r="K1183" i="9"/>
  <c r="F1183" i="9"/>
  <c r="E1183" i="9"/>
  <c r="L1183" i="9"/>
  <c r="N1183" i="9"/>
  <c r="J1183" i="9"/>
  <c r="O1183" i="9"/>
  <c r="P1183" i="9"/>
  <c r="D1183" i="9"/>
  <c r="C1183" i="9"/>
  <c r="M1183" i="9"/>
  <c r="Q1183" i="9"/>
  <c r="M1182" i="9"/>
  <c r="F1182" i="9"/>
  <c r="E1182" i="9"/>
  <c r="K1182" i="9"/>
  <c r="Q1182" i="9"/>
  <c r="P1182" i="9"/>
  <c r="D1182" i="9"/>
  <c r="J1182" i="9"/>
  <c r="L1182" i="9"/>
  <c r="N1182" i="9"/>
  <c r="O1182" i="9"/>
  <c r="C1182" i="9"/>
  <c r="M1181" i="9"/>
  <c r="Q1181" i="9"/>
  <c r="L1181" i="9"/>
  <c r="P1181" i="9"/>
  <c r="K1181" i="9"/>
  <c r="O1181" i="9"/>
  <c r="C1181" i="9"/>
  <c r="F1181" i="9"/>
  <c r="J1181" i="9"/>
  <c r="N1181" i="9"/>
  <c r="E1181" i="9"/>
  <c r="D1181" i="9"/>
  <c r="D1180" i="9"/>
  <c r="O1180" i="9"/>
  <c r="K1180" i="9"/>
  <c r="F1180" i="9"/>
  <c r="L1180" i="9"/>
  <c r="Q1180" i="9"/>
  <c r="M1180" i="9"/>
  <c r="E1180" i="9"/>
  <c r="P1180" i="9"/>
  <c r="C1180" i="9"/>
  <c r="N1180" i="9"/>
  <c r="J1180" i="9"/>
  <c r="K1179" i="9"/>
  <c r="E1179" i="9"/>
  <c r="D1179" i="9"/>
  <c r="F1179" i="9"/>
  <c r="L1179" i="9"/>
  <c r="Q1179" i="9"/>
  <c r="J1179" i="9"/>
  <c r="M1179" i="9"/>
  <c r="C1179" i="9"/>
  <c r="P1179" i="9"/>
  <c r="O1179" i="9"/>
  <c r="N1179" i="9"/>
  <c r="P1178" i="9"/>
  <c r="D1178" i="9"/>
  <c r="O1178" i="9"/>
  <c r="N1178" i="9"/>
  <c r="Q1178" i="9"/>
  <c r="J1178" i="9"/>
  <c r="F1178" i="9"/>
  <c r="K1178" i="9"/>
  <c r="C1178" i="9"/>
  <c r="L1178" i="9"/>
  <c r="M1178" i="9"/>
  <c r="E1178" i="9"/>
  <c r="P1177" i="9"/>
  <c r="M1177" i="9"/>
  <c r="E1177" i="9"/>
  <c r="C1177" i="9"/>
  <c r="N1177" i="9"/>
  <c r="F1177" i="9"/>
  <c r="D1177" i="9"/>
  <c r="Q1177" i="9"/>
  <c r="K1177" i="9"/>
  <c r="O1177" i="9"/>
  <c r="L1177" i="9"/>
  <c r="J1177" i="9"/>
  <c r="Q1176" i="9"/>
  <c r="O1176" i="9"/>
  <c r="L1176" i="9"/>
  <c r="E1176" i="9"/>
  <c r="C1176" i="9"/>
  <c r="K1176" i="9"/>
  <c r="M1176" i="9"/>
  <c r="P1176" i="9"/>
  <c r="D1176" i="9"/>
  <c r="N1176" i="9"/>
  <c r="J1176" i="9"/>
  <c r="F1176" i="9"/>
  <c r="L1175" i="9"/>
  <c r="P1175" i="9"/>
  <c r="F1175" i="9"/>
  <c r="D1175" i="9"/>
  <c r="E1175" i="9"/>
  <c r="J1175" i="9"/>
  <c r="C1175" i="9"/>
  <c r="K1175" i="9"/>
  <c r="O1175" i="9"/>
  <c r="Q1175" i="9"/>
  <c r="N1175" i="9"/>
  <c r="M1175" i="9"/>
  <c r="O1174" i="9"/>
  <c r="F1174" i="9"/>
  <c r="D1174" i="9"/>
  <c r="C1174" i="9"/>
  <c r="J1174" i="9"/>
  <c r="E1174" i="9"/>
  <c r="L1174" i="9"/>
  <c r="N1174" i="9"/>
  <c r="M1174" i="9"/>
  <c r="Q1174" i="9"/>
  <c r="K1174" i="9"/>
  <c r="P1174" i="9"/>
  <c r="P1173" i="9"/>
  <c r="O1173" i="9"/>
  <c r="F1173" i="9"/>
  <c r="M1173" i="9"/>
  <c r="Q1173" i="9"/>
  <c r="K1173" i="9"/>
  <c r="E1173" i="9"/>
  <c r="C1173" i="9"/>
  <c r="D1173" i="9"/>
  <c r="L1173" i="9"/>
  <c r="N1173" i="9"/>
  <c r="J1173" i="9"/>
  <c r="M1172" i="9"/>
  <c r="O1172" i="9"/>
  <c r="P1172" i="9"/>
  <c r="K1172" i="9"/>
  <c r="D1172" i="9"/>
  <c r="J1172" i="9"/>
  <c r="Q1172" i="9"/>
  <c r="N1172" i="9"/>
  <c r="L1172" i="9"/>
  <c r="E1172" i="9"/>
  <c r="C1172" i="9"/>
  <c r="F1172" i="9"/>
  <c r="M1171" i="9"/>
  <c r="C1171" i="9"/>
  <c r="F1171" i="9"/>
  <c r="K1171" i="9"/>
  <c r="J1171" i="9"/>
  <c r="N1171" i="9"/>
  <c r="Q1171" i="9"/>
  <c r="P1171" i="9"/>
  <c r="O1171" i="9"/>
  <c r="L1171" i="9"/>
  <c r="E1171" i="9"/>
  <c r="D1171" i="9"/>
  <c r="K1170" i="9"/>
  <c r="F1170" i="9"/>
  <c r="E1170" i="9"/>
  <c r="N1170" i="9"/>
  <c r="O1170" i="9"/>
  <c r="P1170" i="9"/>
  <c r="D1170" i="9"/>
  <c r="Q1170" i="9"/>
  <c r="C1170" i="9"/>
  <c r="M1170" i="9"/>
  <c r="L1170" i="9"/>
  <c r="J1170" i="9"/>
  <c r="J1169" i="9"/>
  <c r="F1169" i="9"/>
  <c r="D1169" i="9"/>
  <c r="L1169" i="9"/>
  <c r="Q1169" i="9"/>
  <c r="N1169" i="9"/>
  <c r="P1169" i="9"/>
  <c r="K1169" i="9"/>
  <c r="E1169" i="9"/>
  <c r="C1169" i="9"/>
  <c r="M1169" i="9"/>
  <c r="O1169" i="9"/>
  <c r="D1168" i="9"/>
  <c r="F1168" i="9"/>
  <c r="J1168" i="9"/>
  <c r="N1168" i="9"/>
  <c r="M1168" i="9"/>
  <c r="O1168" i="9"/>
  <c r="Q1168" i="9"/>
  <c r="L1168" i="9"/>
  <c r="C1168" i="9"/>
  <c r="E1168" i="9"/>
  <c r="K1168" i="9"/>
  <c r="P1168" i="9"/>
  <c r="D1167" i="9"/>
  <c r="L1167" i="9"/>
  <c r="N1167" i="9"/>
  <c r="P1167" i="9"/>
  <c r="K1167" i="9"/>
  <c r="F1167" i="9"/>
  <c r="E1167" i="9"/>
  <c r="J1167" i="9"/>
  <c r="M1167" i="9"/>
  <c r="Q1167" i="9"/>
  <c r="C1167" i="9"/>
  <c r="O1167" i="9"/>
  <c r="P1166" i="9"/>
  <c r="O1166" i="9"/>
  <c r="M1166" i="9"/>
  <c r="J1166" i="9"/>
  <c r="N1166" i="9"/>
  <c r="K1166" i="9"/>
  <c r="F1166" i="9"/>
  <c r="E1166" i="9"/>
  <c r="C1166" i="9"/>
  <c r="D1166" i="9"/>
  <c r="L1166" i="9"/>
  <c r="Q1166" i="9"/>
  <c r="M1165" i="9"/>
  <c r="E1165" i="9"/>
  <c r="O1165" i="9"/>
  <c r="D1165" i="9"/>
  <c r="L1165" i="9"/>
  <c r="K1165" i="9"/>
  <c r="N1165" i="9"/>
  <c r="F1165" i="9"/>
  <c r="J1165" i="9"/>
  <c r="Q1165" i="9"/>
  <c r="C1165" i="9"/>
  <c r="P1165" i="9"/>
  <c r="Q1164" i="9"/>
  <c r="P1164" i="9"/>
  <c r="M1164" i="9"/>
  <c r="F1164" i="9"/>
  <c r="D1164" i="9"/>
  <c r="E1164" i="9"/>
  <c r="K1164" i="9"/>
  <c r="O1164" i="9"/>
  <c r="L1164" i="9"/>
  <c r="C1164" i="9"/>
  <c r="N1164" i="9"/>
  <c r="J1164" i="9"/>
  <c r="D1163" i="9"/>
  <c r="Q1163" i="9"/>
  <c r="O1163" i="9"/>
  <c r="L1163" i="9"/>
  <c r="E1163" i="9"/>
  <c r="J1163" i="9"/>
  <c r="K1163" i="9"/>
  <c r="P1163" i="9"/>
  <c r="N1163" i="9"/>
  <c r="M1163" i="9"/>
  <c r="F1163" i="9"/>
  <c r="C1163" i="9"/>
  <c r="N1162" i="9"/>
  <c r="L1162" i="9"/>
  <c r="O1162" i="9"/>
  <c r="P1162" i="9"/>
  <c r="K1162" i="9"/>
  <c r="Q1162" i="9"/>
  <c r="M1162" i="9"/>
  <c r="E1162" i="9"/>
  <c r="C1162" i="9"/>
  <c r="F1162" i="9"/>
  <c r="D1162" i="9"/>
  <c r="J1162" i="9"/>
  <c r="N1161" i="9"/>
  <c r="J1161" i="9"/>
  <c r="Q1161" i="9"/>
  <c r="L1161" i="9"/>
  <c r="F1161" i="9"/>
  <c r="C1161" i="9"/>
  <c r="O1161" i="9"/>
  <c r="E1161" i="9"/>
  <c r="P1161" i="9"/>
  <c r="M1161" i="9"/>
  <c r="K1161" i="9"/>
  <c r="D1161" i="9"/>
  <c r="L1160" i="9"/>
  <c r="C1160" i="9"/>
  <c r="Q1160" i="9"/>
  <c r="E1160" i="9"/>
  <c r="K1160" i="9"/>
  <c r="N1160" i="9"/>
  <c r="F1160" i="9"/>
  <c r="P1160" i="9"/>
  <c r="M1160" i="9"/>
  <c r="D1160" i="9"/>
  <c r="O1160" i="9"/>
  <c r="J1160" i="9"/>
  <c r="P1159" i="9"/>
  <c r="O1159" i="9"/>
  <c r="K1159" i="9"/>
  <c r="F1159" i="9"/>
  <c r="Q1159" i="9"/>
  <c r="E1159" i="9"/>
  <c r="N1159" i="9"/>
  <c r="J1159" i="9"/>
  <c r="M1159" i="9"/>
  <c r="D1159" i="9"/>
  <c r="L1159" i="9"/>
  <c r="C1159" i="9"/>
  <c r="J1158" i="9"/>
  <c r="L1158" i="9"/>
  <c r="D1158" i="9"/>
  <c r="K1158" i="9"/>
  <c r="Q1158" i="9"/>
  <c r="N1158" i="9"/>
  <c r="C1158" i="9"/>
  <c r="F1158" i="9"/>
  <c r="M1158" i="9"/>
  <c r="E1158" i="9"/>
  <c r="P1158" i="9"/>
  <c r="O1158" i="9"/>
  <c r="M1157" i="9"/>
  <c r="F1157" i="9"/>
  <c r="C1157" i="9"/>
  <c r="O1157" i="9"/>
  <c r="P1157" i="9"/>
  <c r="E1157" i="9"/>
  <c r="J1157" i="9"/>
  <c r="L1157" i="9"/>
  <c r="D1157" i="9"/>
  <c r="K1157" i="9"/>
  <c r="N1157" i="9"/>
  <c r="Q1157" i="9"/>
  <c r="L1156" i="9"/>
  <c r="D1156" i="9"/>
  <c r="C1156" i="9"/>
  <c r="F1156" i="9"/>
  <c r="J1156" i="9"/>
  <c r="M1156" i="9"/>
  <c r="Q1156" i="9"/>
  <c r="K1156" i="9"/>
  <c r="N1156" i="9"/>
  <c r="O1156" i="9"/>
  <c r="P1156" i="9"/>
  <c r="E1156" i="9"/>
  <c r="Q1155" i="9"/>
  <c r="K1155" i="9"/>
  <c r="E1155" i="9"/>
  <c r="C1155" i="9"/>
  <c r="O1155" i="9"/>
  <c r="L1155" i="9"/>
  <c r="D1155" i="9"/>
  <c r="N1155" i="9"/>
  <c r="F1155" i="9"/>
  <c r="J1155" i="9"/>
  <c r="M1155" i="9"/>
  <c r="P1155" i="9"/>
  <c r="L1154" i="9"/>
  <c r="C1154" i="9"/>
  <c r="Q1154" i="9"/>
  <c r="M1154" i="9"/>
  <c r="J1154" i="9"/>
  <c r="F1154" i="9"/>
  <c r="D1154" i="9"/>
  <c r="E1154" i="9"/>
  <c r="P1154" i="9"/>
  <c r="O1154" i="9"/>
  <c r="N1154" i="9"/>
  <c r="K1154" i="9"/>
  <c r="P1153" i="9"/>
  <c r="O1153" i="9"/>
  <c r="J1153" i="9"/>
  <c r="Q1153" i="9"/>
  <c r="M1153" i="9"/>
  <c r="E1153" i="9"/>
  <c r="C1153" i="9"/>
  <c r="D1153" i="9"/>
  <c r="K1153" i="9"/>
  <c r="F1153" i="9"/>
  <c r="L1153" i="9"/>
  <c r="N1153" i="9"/>
  <c r="P1152" i="9"/>
  <c r="O1152" i="9"/>
  <c r="K1152" i="9"/>
  <c r="C1152" i="9"/>
  <c r="D1152" i="9"/>
  <c r="M1152" i="9"/>
  <c r="L1152" i="9"/>
  <c r="F1152" i="9"/>
  <c r="E1152" i="9"/>
  <c r="J1152" i="9"/>
  <c r="N1152" i="9"/>
  <c r="Q1152" i="9"/>
  <c r="K1151" i="9"/>
  <c r="N1151" i="9"/>
  <c r="P1151" i="9"/>
  <c r="D1151" i="9"/>
  <c r="L1151" i="9"/>
  <c r="M1151" i="9"/>
  <c r="J1151" i="9"/>
  <c r="F1151" i="9"/>
  <c r="C1151" i="9"/>
  <c r="E1151" i="9"/>
  <c r="O1151" i="9"/>
  <c r="Q1151" i="9"/>
  <c r="F1150" i="9"/>
  <c r="Q1150" i="9"/>
  <c r="E1150" i="9"/>
  <c r="M1150" i="9"/>
  <c r="J1150" i="9"/>
  <c r="D1150" i="9"/>
  <c r="O1150" i="9"/>
  <c r="K1150" i="9"/>
  <c r="C1150" i="9"/>
  <c r="L1150" i="9"/>
  <c r="N1150" i="9"/>
  <c r="P1150" i="9"/>
  <c r="O1149" i="9"/>
  <c r="N1149" i="9"/>
  <c r="J1149" i="9"/>
  <c r="E1149" i="9"/>
  <c r="C1149" i="9"/>
  <c r="Q1149" i="9"/>
  <c r="L1149" i="9"/>
  <c r="D1149" i="9"/>
  <c r="F1149" i="9"/>
  <c r="M1149" i="9"/>
  <c r="K1149" i="9"/>
  <c r="P1149" i="9"/>
  <c r="O1148" i="9"/>
  <c r="Q1148" i="9"/>
  <c r="C1148" i="9"/>
  <c r="L1148" i="9"/>
  <c r="P1148" i="9"/>
  <c r="N1148" i="9"/>
  <c r="D1148" i="9"/>
  <c r="E1148" i="9"/>
  <c r="F1148" i="9"/>
  <c r="J1148" i="9"/>
  <c r="K1148" i="9"/>
  <c r="M1148" i="9"/>
  <c r="P1147" i="9"/>
  <c r="Q1147" i="9"/>
  <c r="E1147" i="9"/>
  <c r="L1147" i="9"/>
  <c r="D1147" i="9"/>
  <c r="F1147" i="9"/>
  <c r="C1147" i="9"/>
  <c r="J1147" i="9"/>
  <c r="M1147" i="9"/>
  <c r="O1147" i="9"/>
  <c r="K1147" i="9"/>
  <c r="N1147" i="9"/>
  <c r="M1146" i="9"/>
  <c r="O1146" i="9"/>
  <c r="J1146" i="9"/>
  <c r="D1146" i="9"/>
  <c r="P1146" i="9"/>
  <c r="N1146" i="9"/>
  <c r="K1146" i="9"/>
  <c r="C1146" i="9"/>
  <c r="E1146" i="9"/>
  <c r="F1146" i="9"/>
  <c r="L1146" i="9"/>
  <c r="Q1146" i="9"/>
  <c r="C1145" i="9"/>
  <c r="M1145" i="9"/>
  <c r="K1145" i="9"/>
  <c r="N1145" i="9"/>
  <c r="Q1145" i="9"/>
  <c r="L1145" i="9"/>
  <c r="O1145" i="9"/>
  <c r="J1145" i="9"/>
  <c r="E1145" i="9"/>
  <c r="D1145" i="9"/>
  <c r="P1145" i="9"/>
  <c r="F1145" i="9"/>
  <c r="J1144" i="9"/>
  <c r="M1144" i="9"/>
  <c r="C1144" i="9"/>
  <c r="E1144" i="9"/>
  <c r="Q1144" i="9"/>
  <c r="P1144" i="9"/>
  <c r="L1144" i="9"/>
  <c r="F1144" i="9"/>
  <c r="D1144" i="9"/>
  <c r="N1144" i="9"/>
  <c r="K1144" i="9"/>
  <c r="O1144" i="9"/>
  <c r="P1143" i="9"/>
  <c r="D1143" i="9"/>
  <c r="E1143" i="9"/>
  <c r="C1143" i="9"/>
  <c r="M1143" i="9"/>
  <c r="K1143" i="9"/>
  <c r="N1143" i="9"/>
  <c r="Q1143" i="9"/>
  <c r="J1143" i="9"/>
  <c r="F1143" i="9"/>
  <c r="O1143" i="9"/>
  <c r="L1143" i="9"/>
  <c r="D1142" i="9"/>
  <c r="F1142" i="9"/>
  <c r="M1142" i="9"/>
  <c r="P1142" i="9"/>
  <c r="Q1142" i="9"/>
  <c r="L1142" i="9"/>
  <c r="O1142" i="9"/>
  <c r="J1142" i="9"/>
  <c r="N1142" i="9"/>
  <c r="K1142" i="9"/>
  <c r="C1142" i="9"/>
  <c r="E1142" i="9"/>
  <c r="O1141" i="9"/>
  <c r="P1141" i="9"/>
  <c r="N1141" i="9"/>
  <c r="F1141" i="9"/>
  <c r="E1141" i="9"/>
  <c r="Q1141" i="9"/>
  <c r="L1141" i="9"/>
  <c r="K1141" i="9"/>
  <c r="M1141" i="9"/>
  <c r="J1141" i="9"/>
  <c r="C1141" i="9"/>
  <c r="D1141" i="9"/>
  <c r="N1140" i="9"/>
  <c r="Q1140" i="9"/>
  <c r="D1140" i="9"/>
  <c r="K1140" i="9"/>
  <c r="F1140" i="9"/>
  <c r="P1140" i="9"/>
  <c r="O1140" i="9"/>
  <c r="M1140" i="9"/>
  <c r="J1140" i="9"/>
  <c r="E1140" i="9"/>
  <c r="C1140" i="9"/>
  <c r="L1140" i="9"/>
  <c r="D1139" i="9"/>
  <c r="M1139" i="9"/>
  <c r="O1139" i="9"/>
  <c r="J1139" i="9"/>
  <c r="E1139" i="9"/>
  <c r="P1139" i="9"/>
  <c r="L1139" i="9"/>
  <c r="C1139" i="9"/>
  <c r="F1139" i="9"/>
  <c r="N1139" i="9"/>
  <c r="Q1139" i="9"/>
  <c r="K1139" i="9"/>
  <c r="E1138" i="9"/>
  <c r="M1138" i="9"/>
  <c r="O1138" i="9"/>
  <c r="K1138" i="9"/>
  <c r="F1138" i="9"/>
  <c r="D1138" i="9"/>
  <c r="P1138" i="9"/>
  <c r="L1138" i="9"/>
  <c r="Q1138" i="9"/>
  <c r="J1138" i="9"/>
  <c r="N1138" i="9"/>
  <c r="C1138" i="9"/>
  <c r="P1137" i="9"/>
  <c r="O1137" i="9"/>
  <c r="C1137" i="9"/>
  <c r="J1137" i="9"/>
  <c r="D1137" i="9"/>
  <c r="F1137" i="9"/>
  <c r="M1137" i="9"/>
  <c r="Q1137" i="9"/>
  <c r="L1137" i="9"/>
  <c r="E1137" i="9"/>
  <c r="K1137" i="9"/>
  <c r="N1137" i="9"/>
  <c r="P1136" i="9"/>
  <c r="M1136" i="9"/>
  <c r="F1136" i="9"/>
  <c r="D1136" i="9"/>
  <c r="C1136" i="9"/>
  <c r="O1136" i="9"/>
  <c r="Q1136" i="9"/>
  <c r="E1136" i="9"/>
  <c r="L1136" i="9"/>
  <c r="J1136" i="9"/>
  <c r="N1136" i="9"/>
  <c r="K1136" i="9"/>
  <c r="P1135" i="9"/>
  <c r="M1135" i="9"/>
  <c r="F1135" i="9"/>
  <c r="D1135" i="9"/>
  <c r="K1135" i="9"/>
  <c r="L1135" i="9"/>
  <c r="C1135" i="9"/>
  <c r="E1135" i="9"/>
  <c r="J1135" i="9"/>
  <c r="Q1135" i="9"/>
  <c r="O1135" i="9"/>
  <c r="N1135" i="9"/>
  <c r="L1134" i="9"/>
  <c r="F1134" i="9"/>
  <c r="D1134" i="9"/>
  <c r="E1134" i="9"/>
  <c r="O1134" i="9"/>
  <c r="J1134" i="9"/>
  <c r="K1134" i="9"/>
  <c r="N1134" i="9"/>
  <c r="Q1134" i="9"/>
  <c r="P1134" i="9"/>
  <c r="M1134" i="9"/>
  <c r="C1134" i="9"/>
  <c r="L1133" i="9"/>
  <c r="J1133" i="9"/>
  <c r="E1133" i="9"/>
  <c r="C1133" i="9"/>
  <c r="P1133" i="9"/>
  <c r="N1133" i="9"/>
  <c r="O1133" i="9"/>
  <c r="M1133" i="9"/>
  <c r="D1133" i="9"/>
  <c r="F1133" i="9"/>
  <c r="Q1133" i="9"/>
  <c r="K1133" i="9"/>
  <c r="Q1132" i="9"/>
  <c r="N1132" i="9"/>
  <c r="K1132" i="9"/>
  <c r="F1132" i="9"/>
  <c r="D1132" i="9"/>
  <c r="O1132" i="9"/>
  <c r="L1132" i="9"/>
  <c r="C1132" i="9"/>
  <c r="M1132" i="9"/>
  <c r="E1132" i="9"/>
  <c r="P1132" i="9"/>
  <c r="J1132" i="9"/>
  <c r="Q1131" i="9"/>
  <c r="L1131" i="9"/>
  <c r="P1131" i="9"/>
  <c r="C1131" i="9"/>
  <c r="O1131" i="9"/>
  <c r="J1131" i="9"/>
  <c r="E1131" i="9"/>
  <c r="M1131" i="9"/>
  <c r="D1131" i="9"/>
  <c r="F1131" i="9"/>
  <c r="K1131" i="9"/>
  <c r="N1131" i="9"/>
  <c r="Q1130" i="9"/>
  <c r="J1130" i="9"/>
  <c r="C1130" i="9"/>
  <c r="D1130" i="9"/>
  <c r="M1130" i="9"/>
  <c r="E1130" i="9"/>
  <c r="L1130" i="9"/>
  <c r="O1130" i="9"/>
  <c r="P1130" i="9"/>
  <c r="N1130" i="9"/>
  <c r="K1130" i="9"/>
  <c r="F1130" i="9"/>
  <c r="N1129" i="9"/>
  <c r="K1129" i="9"/>
  <c r="F1129" i="9"/>
  <c r="C1129" i="9"/>
  <c r="J1129" i="9"/>
  <c r="E1129" i="9"/>
  <c r="P1129" i="9"/>
  <c r="O1129" i="9"/>
  <c r="L1129" i="9"/>
  <c r="D1129" i="9"/>
  <c r="Q1129" i="9"/>
  <c r="M1129" i="9"/>
  <c r="O1128" i="9"/>
  <c r="K1128" i="9"/>
  <c r="F1128" i="9"/>
  <c r="D1128" i="9"/>
  <c r="N1128" i="9"/>
  <c r="J1128" i="9"/>
  <c r="C1128" i="9"/>
  <c r="E1128" i="9"/>
  <c r="P1128" i="9"/>
  <c r="Q1128" i="9"/>
  <c r="L1128" i="9"/>
  <c r="M1128" i="9"/>
  <c r="N1127" i="9"/>
  <c r="L1127" i="9"/>
  <c r="M1127" i="9"/>
  <c r="J1127" i="9"/>
  <c r="E1127" i="9"/>
  <c r="C1127" i="9"/>
  <c r="O1127" i="9"/>
  <c r="Q1127" i="9"/>
  <c r="P1127" i="9"/>
  <c r="F1127" i="9"/>
  <c r="K1127" i="9"/>
  <c r="D1127" i="9"/>
  <c r="M1126" i="9"/>
  <c r="E1126" i="9"/>
  <c r="F1126" i="9"/>
  <c r="D1126" i="9"/>
  <c r="P1126" i="9"/>
  <c r="O1126" i="9"/>
  <c r="J1126" i="9"/>
  <c r="K1126" i="9"/>
  <c r="N1126" i="9"/>
  <c r="Q1126" i="9"/>
  <c r="L1126" i="9"/>
  <c r="C1126" i="9"/>
  <c r="J1125" i="9"/>
  <c r="F1125" i="9"/>
  <c r="K1125" i="9"/>
  <c r="Q1125" i="9"/>
  <c r="N1125" i="9"/>
  <c r="C1125" i="9"/>
  <c r="O1125" i="9"/>
  <c r="P1125" i="9"/>
  <c r="E1125" i="9"/>
  <c r="M1125" i="9"/>
  <c r="L1125" i="9"/>
  <c r="D1125" i="9"/>
  <c r="E1124" i="9"/>
  <c r="P1124" i="9"/>
  <c r="O1124" i="9"/>
  <c r="L1124" i="9"/>
  <c r="C1124" i="9"/>
  <c r="K1124" i="9"/>
  <c r="M1124" i="9"/>
  <c r="D1124" i="9"/>
  <c r="F1124" i="9"/>
  <c r="J1124" i="9"/>
  <c r="N1124" i="9"/>
  <c r="Q1124" i="9"/>
  <c r="P1123" i="9"/>
  <c r="O1123" i="9"/>
  <c r="D1123" i="9"/>
  <c r="L1123" i="9"/>
  <c r="J1123" i="9"/>
  <c r="N1123" i="9"/>
  <c r="F1123" i="9"/>
  <c r="K1123" i="9"/>
  <c r="M1123" i="9"/>
  <c r="Q1123" i="9"/>
  <c r="E1123" i="9"/>
  <c r="C1123" i="9"/>
  <c r="F1122" i="9"/>
  <c r="D1122" i="9"/>
  <c r="K1122" i="9"/>
  <c r="N1122" i="9"/>
  <c r="Q1122" i="9"/>
  <c r="E1122" i="9"/>
  <c r="J1122" i="9"/>
  <c r="P1122" i="9"/>
  <c r="M1122" i="9"/>
  <c r="L1122" i="9"/>
  <c r="O1122" i="9"/>
  <c r="C1122" i="9"/>
  <c r="P1121" i="9"/>
  <c r="Q1121" i="9"/>
  <c r="K1121" i="9"/>
  <c r="N1121" i="9"/>
  <c r="L1121" i="9"/>
  <c r="D1121" i="9"/>
  <c r="O1121" i="9"/>
  <c r="J1121" i="9"/>
  <c r="F1121" i="9"/>
  <c r="C1121" i="9"/>
  <c r="E1121" i="9"/>
  <c r="M1121" i="9"/>
  <c r="F1120" i="9"/>
  <c r="J1120" i="9"/>
  <c r="D1120" i="9"/>
  <c r="M1120" i="9"/>
  <c r="P1120" i="9"/>
  <c r="K1120" i="9"/>
  <c r="Q1120" i="9"/>
  <c r="L1120" i="9"/>
  <c r="N1120" i="9"/>
  <c r="O1120" i="9"/>
  <c r="C1120" i="9"/>
  <c r="E1120" i="9"/>
  <c r="M1119" i="9"/>
  <c r="O1119" i="9"/>
  <c r="C1119" i="9"/>
  <c r="D1119" i="9"/>
  <c r="E1119" i="9"/>
  <c r="F1119" i="9"/>
  <c r="J1119" i="9"/>
  <c r="K1119" i="9"/>
  <c r="P1119" i="9"/>
  <c r="Q1119" i="9"/>
  <c r="N1119" i="9"/>
  <c r="L1119" i="9"/>
  <c r="F1118" i="9"/>
  <c r="L1118" i="9"/>
  <c r="C1118" i="9"/>
  <c r="Q1118" i="9"/>
  <c r="K1118" i="9"/>
  <c r="N1118" i="9"/>
  <c r="J1118" i="9"/>
  <c r="O1118" i="9"/>
  <c r="M1118" i="9"/>
  <c r="P1118" i="9"/>
  <c r="E1118" i="9"/>
  <c r="D1118" i="9"/>
  <c r="C1117" i="9"/>
  <c r="F1117" i="9"/>
  <c r="J1117" i="9"/>
  <c r="Q1117" i="9"/>
  <c r="K1117" i="9"/>
  <c r="N1117" i="9"/>
  <c r="D1117" i="9"/>
  <c r="O1117" i="9"/>
  <c r="L1117" i="9"/>
  <c r="M1117" i="9"/>
  <c r="P1117" i="9"/>
  <c r="E1117" i="9"/>
  <c r="E1116" i="9"/>
  <c r="Q1116" i="9"/>
  <c r="L1116" i="9"/>
  <c r="J1116" i="9"/>
  <c r="C1116" i="9"/>
  <c r="N1116" i="9"/>
  <c r="O1116" i="9"/>
  <c r="K1116" i="9"/>
  <c r="F1116" i="9"/>
  <c r="M1116" i="9"/>
  <c r="D1116" i="9"/>
  <c r="P1116" i="9"/>
  <c r="O1115" i="9"/>
  <c r="Q1115" i="9"/>
  <c r="P1115" i="9"/>
  <c r="E1115" i="9"/>
  <c r="K1115" i="9"/>
  <c r="N1115" i="9"/>
  <c r="J1115" i="9"/>
  <c r="D1115" i="9"/>
  <c r="F1115" i="9"/>
  <c r="L1115" i="9"/>
  <c r="M1115" i="9"/>
  <c r="Q1114" i="9"/>
  <c r="F1114" i="9"/>
  <c r="D1114" i="9"/>
  <c r="J1114" i="9"/>
  <c r="M1114" i="9"/>
  <c r="P1114" i="9"/>
  <c r="N1114" i="9"/>
  <c r="K1114" i="9"/>
  <c r="E1114" i="9"/>
  <c r="O1114" i="9"/>
  <c r="C1114" i="9"/>
  <c r="L1114" i="9"/>
  <c r="M1113" i="9"/>
  <c r="D1113" i="9"/>
  <c r="O1113" i="9"/>
  <c r="L1113" i="9"/>
  <c r="C1113" i="9"/>
  <c r="Q1113" i="9"/>
  <c r="P1113" i="9"/>
  <c r="K1113" i="9"/>
  <c r="F1113" i="9"/>
  <c r="J1113" i="9"/>
  <c r="N1113" i="9"/>
  <c r="E1113" i="9"/>
  <c r="N1112" i="9"/>
  <c r="D1112" i="9"/>
  <c r="F1112" i="9"/>
  <c r="O1112" i="9"/>
  <c r="C1112" i="9"/>
  <c r="K1112" i="9"/>
  <c r="L1112" i="9"/>
  <c r="E1112" i="9"/>
  <c r="J1112" i="9"/>
  <c r="P1112" i="9"/>
  <c r="M1112" i="9"/>
  <c r="Q1112" i="9"/>
  <c r="F1111" i="9"/>
  <c r="O1111" i="9"/>
  <c r="C1111" i="9"/>
  <c r="L1111" i="9"/>
  <c r="Q1111" i="9"/>
  <c r="P1111" i="9"/>
  <c r="D1111" i="9"/>
  <c r="N1111" i="9"/>
  <c r="J1111" i="9"/>
  <c r="E1111" i="9"/>
  <c r="M1111" i="9"/>
  <c r="K1111" i="9"/>
  <c r="N1110" i="9"/>
  <c r="P1110" i="9"/>
  <c r="K1110" i="9"/>
  <c r="L1110" i="9"/>
  <c r="D1110" i="9"/>
  <c r="F1110" i="9"/>
  <c r="J1110" i="9"/>
  <c r="M1110" i="9"/>
  <c r="E1110" i="9"/>
  <c r="C1110" i="9"/>
  <c r="O1110" i="9"/>
  <c r="Q1110" i="9"/>
  <c r="K1109" i="9"/>
  <c r="L1109" i="9"/>
  <c r="C1109" i="9"/>
  <c r="P1109" i="9"/>
  <c r="J1109" i="9"/>
  <c r="D1109" i="9"/>
  <c r="Q1109" i="9"/>
  <c r="N1109" i="9"/>
  <c r="F1109" i="9"/>
  <c r="E1109" i="9"/>
  <c r="M1109" i="9"/>
  <c r="O1109" i="9"/>
  <c r="P1108" i="9"/>
  <c r="L1108" i="9"/>
  <c r="D1108" i="9"/>
  <c r="E1108" i="9"/>
  <c r="M1108" i="9"/>
  <c r="J1108" i="9"/>
  <c r="O1108" i="9"/>
  <c r="F1108" i="9"/>
  <c r="K1108" i="9"/>
  <c r="N1108" i="9"/>
  <c r="Q1108" i="9"/>
  <c r="C1108" i="9"/>
  <c r="M1107" i="9"/>
  <c r="K1107" i="9"/>
  <c r="N1107" i="9"/>
  <c r="D1107" i="9"/>
  <c r="P1107" i="9"/>
  <c r="O1107" i="9"/>
  <c r="E1107" i="9"/>
  <c r="C1107" i="9"/>
  <c r="F1107" i="9"/>
  <c r="J1107" i="9"/>
  <c r="L1107" i="9"/>
  <c r="Q1107" i="9"/>
  <c r="J1106" i="9"/>
  <c r="M1106" i="9"/>
  <c r="O1106" i="9"/>
  <c r="P1106" i="9"/>
  <c r="L1106" i="9"/>
  <c r="C1106" i="9"/>
  <c r="Q1106" i="9"/>
  <c r="N1106" i="9"/>
  <c r="K1106" i="9"/>
  <c r="E1106" i="9"/>
  <c r="F1106" i="9"/>
  <c r="D1106" i="9"/>
  <c r="L1105" i="9"/>
  <c r="K1105" i="9"/>
  <c r="N1105" i="9"/>
  <c r="J1105" i="9"/>
  <c r="C1105" i="9"/>
  <c r="E1105" i="9"/>
  <c r="O1105" i="9"/>
  <c r="Q1105" i="9"/>
  <c r="M1105" i="9"/>
  <c r="F1105" i="9"/>
  <c r="D1105" i="9"/>
  <c r="P1105" i="9"/>
  <c r="C1104" i="9"/>
  <c r="J1104" i="9"/>
  <c r="N1104" i="9"/>
  <c r="K1104" i="9"/>
  <c r="P1104" i="9"/>
  <c r="F1104" i="9"/>
  <c r="M1104" i="9"/>
  <c r="E1104" i="9"/>
  <c r="O1104" i="9"/>
  <c r="L1104" i="9"/>
  <c r="D1104" i="9"/>
  <c r="Q1104" i="9"/>
  <c r="D1103" i="9"/>
  <c r="M1103" i="9"/>
  <c r="Q1103" i="9"/>
  <c r="K1103" i="9"/>
  <c r="N1103" i="9"/>
  <c r="E1103" i="9"/>
  <c r="L1103" i="9"/>
  <c r="P1103" i="9"/>
  <c r="O1103" i="9"/>
  <c r="J1103" i="9"/>
  <c r="F1103" i="9"/>
  <c r="C1103" i="9"/>
  <c r="O1102" i="9"/>
  <c r="J1102" i="9"/>
  <c r="L1102" i="9"/>
  <c r="C1102" i="9"/>
  <c r="Q1102" i="9"/>
  <c r="N1102" i="9"/>
  <c r="P1102" i="9"/>
  <c r="M1102" i="9"/>
  <c r="D1102" i="9"/>
  <c r="E1102" i="9"/>
  <c r="F1102" i="9"/>
  <c r="K1102" i="9"/>
  <c r="J1101" i="9"/>
  <c r="P1101" i="9"/>
  <c r="Q1101" i="9"/>
  <c r="M1101" i="9"/>
  <c r="L1101" i="9"/>
  <c r="F1101" i="9"/>
  <c r="E1101" i="9"/>
  <c r="N1101" i="9"/>
  <c r="D1101" i="9"/>
  <c r="K1101" i="9"/>
  <c r="O1101" i="9"/>
  <c r="C1101" i="9"/>
  <c r="O1100" i="9"/>
  <c r="F1100" i="9"/>
  <c r="E1100" i="9"/>
  <c r="J1100" i="9"/>
  <c r="C1100" i="9"/>
  <c r="L1100" i="9"/>
  <c r="P1100" i="9"/>
  <c r="Q1100" i="9"/>
  <c r="D1100" i="9"/>
  <c r="M1100" i="9"/>
  <c r="K1100" i="9"/>
  <c r="N1100" i="9"/>
  <c r="J1099" i="9"/>
  <c r="O1099" i="9"/>
  <c r="M1099" i="9"/>
  <c r="C1099" i="9"/>
  <c r="K1099" i="9"/>
  <c r="F1099" i="9"/>
  <c r="P1099" i="9"/>
  <c r="D1099" i="9"/>
  <c r="E1099" i="9"/>
  <c r="Q1099" i="9"/>
  <c r="L1099" i="9"/>
  <c r="N1099" i="9"/>
  <c r="Q1098" i="9"/>
  <c r="N1098" i="9"/>
  <c r="P1098" i="9"/>
  <c r="J1098" i="9"/>
  <c r="O1098" i="9"/>
  <c r="K1098" i="9"/>
  <c r="E1098" i="9"/>
  <c r="M1098" i="9"/>
  <c r="L1098" i="9"/>
  <c r="C1098" i="9"/>
  <c r="F1098" i="9"/>
  <c r="D1098" i="9"/>
  <c r="C1097" i="9"/>
  <c r="J1097" i="9"/>
  <c r="F1097" i="9"/>
  <c r="Q1097" i="9"/>
  <c r="M1097" i="9"/>
  <c r="E1097" i="9"/>
  <c r="O1097" i="9"/>
  <c r="P1097" i="9"/>
  <c r="K1097" i="9"/>
  <c r="D1097" i="9"/>
  <c r="N1097" i="9"/>
  <c r="L1097" i="9"/>
  <c r="P1096" i="9"/>
  <c r="N1096" i="9"/>
  <c r="K1096" i="9"/>
  <c r="E1096" i="9"/>
  <c r="L1096" i="9"/>
  <c r="Q1096" i="9"/>
  <c r="D1096" i="9"/>
  <c r="C1096" i="9"/>
  <c r="F1096" i="9"/>
  <c r="J1096" i="9"/>
  <c r="O1096" i="9"/>
  <c r="M1096" i="9"/>
  <c r="M1095" i="9"/>
  <c r="O1095" i="9"/>
  <c r="P1095" i="9"/>
  <c r="L1095" i="9"/>
  <c r="J1095" i="9"/>
  <c r="E1095" i="9"/>
  <c r="K1095" i="9"/>
  <c r="Q1095" i="9"/>
  <c r="N1095" i="9"/>
  <c r="D1095" i="9"/>
  <c r="F1095" i="9"/>
  <c r="C1095" i="9"/>
  <c r="E1094" i="9"/>
  <c r="L1094" i="9"/>
  <c r="C1094" i="9"/>
  <c r="M1094" i="9"/>
  <c r="P1094" i="9"/>
  <c r="N1094" i="9"/>
  <c r="D1094" i="9"/>
  <c r="Q1094" i="9"/>
  <c r="O1094" i="9"/>
  <c r="J1094" i="9"/>
  <c r="F1094" i="9"/>
  <c r="K1094" i="9"/>
  <c r="P1093" i="9"/>
  <c r="K1093" i="9"/>
  <c r="N1093" i="9"/>
  <c r="Q1093" i="9"/>
  <c r="O1093" i="9"/>
  <c r="J1093" i="9"/>
  <c r="C1093" i="9"/>
  <c r="D1093" i="9"/>
  <c r="M1093" i="9"/>
  <c r="L1093" i="9"/>
  <c r="F1093" i="9"/>
  <c r="E1093" i="9"/>
  <c r="D1092" i="9"/>
  <c r="K1092" i="9"/>
  <c r="M1092" i="9"/>
  <c r="F1092" i="9"/>
  <c r="Q1092" i="9"/>
  <c r="P1092" i="9"/>
  <c r="C1092" i="9"/>
  <c r="N1092" i="9"/>
  <c r="L1092" i="9"/>
  <c r="O1092" i="9"/>
  <c r="J1092" i="9"/>
  <c r="E1092" i="9"/>
  <c r="M1091" i="9"/>
  <c r="Q1091" i="9"/>
  <c r="D1091" i="9"/>
  <c r="F1091" i="9"/>
  <c r="J1091" i="9"/>
  <c r="O1091" i="9"/>
  <c r="L1091" i="9"/>
  <c r="C1091" i="9"/>
  <c r="K1091" i="9"/>
  <c r="N1091" i="9"/>
  <c r="P1091" i="9"/>
  <c r="E1091" i="9"/>
  <c r="E1090" i="9"/>
  <c r="K1090" i="9"/>
  <c r="C1090" i="9"/>
  <c r="Q1090" i="9"/>
  <c r="M1090" i="9"/>
  <c r="O1090" i="9"/>
  <c r="L1090" i="9"/>
  <c r="F1090" i="9"/>
  <c r="D1090" i="9"/>
  <c r="N1090" i="9"/>
  <c r="P1090" i="9"/>
  <c r="J1090" i="9"/>
  <c r="O1089" i="9"/>
  <c r="D1089" i="9"/>
  <c r="K1089" i="9"/>
  <c r="M1089" i="9"/>
  <c r="Q1089" i="9"/>
  <c r="E1089" i="9"/>
  <c r="L1089" i="9"/>
  <c r="C1089" i="9"/>
  <c r="F1089" i="9"/>
  <c r="J1089" i="9"/>
  <c r="P1089" i="9"/>
  <c r="N1089" i="9"/>
  <c r="P1088" i="9"/>
  <c r="K1088" i="9"/>
  <c r="O1088" i="9"/>
  <c r="L1088" i="9"/>
  <c r="C1088" i="9"/>
  <c r="F1088" i="9"/>
  <c r="N1088" i="9"/>
  <c r="Q1088" i="9"/>
  <c r="M1088" i="9"/>
  <c r="D1088" i="9"/>
  <c r="J1088" i="9"/>
  <c r="E1088" i="9"/>
  <c r="D1087" i="9"/>
  <c r="F1087" i="9"/>
  <c r="P1087" i="9"/>
  <c r="M1087" i="9"/>
  <c r="J1087" i="9"/>
  <c r="O1087" i="9"/>
  <c r="K1087" i="9"/>
  <c r="L1087" i="9"/>
  <c r="Q1087" i="9"/>
  <c r="C1087" i="9"/>
  <c r="E1087" i="9"/>
  <c r="N1087" i="9"/>
  <c r="D1086" i="9"/>
  <c r="J1086" i="9"/>
  <c r="M1086" i="9"/>
  <c r="K1086" i="9"/>
  <c r="O1086" i="9"/>
  <c r="P1086" i="9"/>
  <c r="E1086" i="9"/>
  <c r="L1086" i="9"/>
  <c r="N1086" i="9"/>
  <c r="Q1086" i="9"/>
  <c r="F1086" i="9"/>
  <c r="C1086" i="9"/>
  <c r="P1085" i="9"/>
  <c r="D1085" i="9"/>
  <c r="F1085" i="9"/>
  <c r="J1085" i="9"/>
  <c r="M1085" i="9"/>
  <c r="L1085" i="9"/>
  <c r="Q1085" i="9"/>
  <c r="O1085" i="9"/>
  <c r="K1085" i="9"/>
  <c r="N1085" i="9"/>
  <c r="E1085" i="9"/>
  <c r="C1085" i="9"/>
  <c r="L1084" i="9"/>
  <c r="M1084" i="9"/>
  <c r="Q1084" i="9"/>
  <c r="C1084" i="9"/>
  <c r="O1084" i="9"/>
  <c r="J1084" i="9"/>
  <c r="P1084" i="9"/>
  <c r="N1084" i="9"/>
  <c r="E1084" i="9"/>
  <c r="K1084" i="9"/>
  <c r="F1084" i="9"/>
  <c r="D1084" i="9"/>
  <c r="D1083" i="9"/>
  <c r="F1083" i="9"/>
  <c r="O1083" i="9"/>
  <c r="L1083" i="9"/>
  <c r="P1083" i="9"/>
  <c r="J1083" i="9"/>
  <c r="E1083" i="9"/>
  <c r="C1083" i="9"/>
  <c r="Q1083" i="9"/>
  <c r="N1083" i="9"/>
  <c r="K1083" i="9"/>
  <c r="M1083" i="9"/>
  <c r="L1082" i="9"/>
  <c r="J1082" i="9"/>
  <c r="O1082" i="9"/>
  <c r="C1082" i="9"/>
  <c r="Q1082" i="9"/>
  <c r="P1082" i="9"/>
  <c r="M1082" i="9"/>
  <c r="K1082" i="9"/>
  <c r="E1082" i="9"/>
  <c r="F1082" i="9"/>
  <c r="D1082" i="9"/>
  <c r="N1082" i="9"/>
  <c r="M1081" i="9"/>
  <c r="F1081" i="9"/>
  <c r="D1081" i="9"/>
  <c r="E1081" i="9"/>
  <c r="J1081" i="9"/>
  <c r="Q1081" i="9"/>
  <c r="L1081" i="9"/>
  <c r="K1081" i="9"/>
  <c r="O1081" i="9"/>
  <c r="P1081" i="9"/>
  <c r="N1081" i="9"/>
  <c r="C1081" i="9"/>
  <c r="Q1080" i="9"/>
  <c r="N1080" i="9"/>
  <c r="J1080" i="9"/>
  <c r="E1080" i="9"/>
  <c r="P1080" i="9"/>
  <c r="O1080" i="9"/>
  <c r="L1080" i="9"/>
  <c r="C1080" i="9"/>
  <c r="K1080" i="9"/>
  <c r="M1080" i="9"/>
  <c r="F1080" i="9"/>
  <c r="D1080" i="9"/>
  <c r="Q1079" i="9"/>
  <c r="L1079" i="9"/>
  <c r="F1079" i="9"/>
  <c r="D1079" i="9"/>
  <c r="N1079" i="9"/>
  <c r="K1079" i="9"/>
  <c r="M1079" i="9"/>
  <c r="P1079" i="9"/>
  <c r="O1079" i="9"/>
  <c r="J1079" i="9"/>
  <c r="E1079" i="9"/>
  <c r="C1079" i="9"/>
  <c r="O1078" i="9"/>
  <c r="L1078" i="9"/>
  <c r="C1078" i="9"/>
  <c r="J1078" i="9"/>
  <c r="D1078" i="9"/>
  <c r="F1078" i="9"/>
  <c r="N1078" i="9"/>
  <c r="P1078" i="9"/>
  <c r="K1078" i="9"/>
  <c r="E1078" i="9"/>
  <c r="M1078" i="9"/>
  <c r="Q1078" i="9"/>
  <c r="N1077" i="9"/>
  <c r="Q1077" i="9"/>
  <c r="O1077" i="9"/>
  <c r="J1077" i="9"/>
  <c r="L1077" i="9"/>
  <c r="M1077" i="9"/>
  <c r="P1077" i="9"/>
  <c r="E1077" i="9"/>
  <c r="C1077" i="9"/>
  <c r="F1077" i="9"/>
  <c r="D1077" i="9"/>
  <c r="K1077" i="9"/>
  <c r="N1076" i="9"/>
  <c r="P1076" i="9"/>
  <c r="F1076" i="9"/>
  <c r="D1076" i="9"/>
  <c r="E1076" i="9"/>
  <c r="K1076" i="9"/>
  <c r="C1076" i="9"/>
  <c r="J1076" i="9"/>
  <c r="L1076" i="9"/>
  <c r="Q1076" i="9"/>
  <c r="M1076" i="9"/>
  <c r="O1076" i="9"/>
  <c r="N1075" i="9"/>
  <c r="Q1075" i="9"/>
  <c r="F1075" i="9"/>
  <c r="D1075" i="9"/>
  <c r="J1075" i="9"/>
  <c r="O1075" i="9"/>
  <c r="L1075" i="9"/>
  <c r="P1075" i="9"/>
  <c r="C1075" i="9"/>
  <c r="K1075" i="9"/>
  <c r="M1075" i="9"/>
  <c r="E1075" i="9"/>
  <c r="D1074" i="9"/>
  <c r="F1074" i="9"/>
  <c r="J1074" i="9"/>
  <c r="Q1074" i="9"/>
  <c r="N1074" i="9"/>
  <c r="M1074" i="9"/>
  <c r="P1074" i="9"/>
  <c r="O1074" i="9"/>
  <c r="K1074" i="9"/>
  <c r="C1074" i="9"/>
  <c r="E1074" i="9"/>
  <c r="L1074" i="9"/>
  <c r="E1073" i="9"/>
  <c r="K1073" i="9"/>
  <c r="L1073" i="9"/>
  <c r="C1073" i="9"/>
  <c r="O1073" i="9"/>
  <c r="P1073" i="9"/>
  <c r="M1073" i="9"/>
  <c r="J1073" i="9"/>
  <c r="N1073" i="9"/>
  <c r="Q1073" i="9"/>
  <c r="F1073" i="9"/>
  <c r="D1073" i="9"/>
  <c r="C1072" i="9"/>
  <c r="P1072" i="9"/>
  <c r="N1072" i="9"/>
  <c r="F1072" i="9"/>
  <c r="D1072" i="9"/>
  <c r="Q1072" i="9"/>
  <c r="M1072" i="9"/>
  <c r="J1072" i="9"/>
  <c r="L1072" i="9"/>
  <c r="O1072" i="9"/>
  <c r="E1072" i="9"/>
  <c r="K1072" i="9"/>
  <c r="F1071" i="9"/>
  <c r="P1071" i="9"/>
  <c r="O1071" i="9"/>
  <c r="M1071" i="9"/>
  <c r="J1071" i="9"/>
  <c r="E1071" i="9"/>
  <c r="C1071" i="9"/>
  <c r="L1071" i="9"/>
  <c r="D1071" i="9"/>
  <c r="K1071" i="9"/>
  <c r="N1071" i="9"/>
  <c r="Q1071" i="9"/>
  <c r="C1070" i="9"/>
  <c r="F1070" i="9"/>
  <c r="O1070" i="9"/>
  <c r="P1070" i="9"/>
  <c r="M1070" i="9"/>
  <c r="Q1070" i="9"/>
  <c r="N1070" i="9"/>
  <c r="L1070" i="9"/>
  <c r="E1070" i="9"/>
  <c r="D1070" i="9"/>
  <c r="K1070" i="9"/>
  <c r="J1070" i="9"/>
  <c r="O1069" i="9"/>
  <c r="E1069" i="9"/>
  <c r="C1069" i="9"/>
  <c r="P1069" i="9"/>
  <c r="K1069" i="9"/>
  <c r="J1069" i="9"/>
  <c r="Q1069" i="9"/>
  <c r="L1069" i="9"/>
  <c r="F1069" i="9"/>
  <c r="M1069" i="9"/>
  <c r="N1069" i="9"/>
  <c r="D1069" i="9"/>
  <c r="Q1068" i="9"/>
  <c r="M1068" i="9"/>
  <c r="N1068" i="9"/>
  <c r="K1068" i="9"/>
  <c r="E1068" i="9"/>
  <c r="J1068" i="9"/>
  <c r="D1068" i="9"/>
  <c r="F1068" i="9"/>
  <c r="L1068" i="9"/>
  <c r="O1068" i="9"/>
  <c r="P1068" i="9"/>
  <c r="C1068" i="9"/>
  <c r="E1067" i="9"/>
  <c r="K1067" i="9"/>
  <c r="N1067" i="9"/>
  <c r="D1067" i="9"/>
  <c r="P1067" i="9"/>
  <c r="M1067" i="9"/>
  <c r="J1067" i="9"/>
  <c r="F1067" i="9"/>
  <c r="C1067" i="9"/>
  <c r="L1067" i="9"/>
  <c r="O1067" i="9"/>
  <c r="Q1067" i="9"/>
  <c r="L1066" i="9"/>
  <c r="Q1066" i="9"/>
  <c r="K1066" i="9"/>
  <c r="P1066" i="9"/>
  <c r="N1066" i="9"/>
  <c r="F1066" i="9"/>
  <c r="M1066" i="9"/>
  <c r="J1066" i="9"/>
  <c r="E1066" i="9"/>
  <c r="C1066" i="9"/>
  <c r="O1066" i="9"/>
  <c r="D1066" i="9"/>
  <c r="J1065" i="9"/>
  <c r="F1065" i="9"/>
  <c r="C1065" i="9"/>
  <c r="K1065" i="9"/>
  <c r="L1065" i="9"/>
  <c r="M1065" i="9"/>
  <c r="P1065" i="9"/>
  <c r="N1065" i="9"/>
  <c r="D1065" i="9"/>
  <c r="E1065" i="9"/>
  <c r="Q1065" i="9"/>
  <c r="O1065" i="9"/>
  <c r="C1064" i="9"/>
  <c r="O1064" i="9"/>
  <c r="Q1064" i="9"/>
  <c r="L1064" i="9"/>
  <c r="J1064" i="9"/>
  <c r="E1064" i="9"/>
  <c r="F1064" i="9"/>
  <c r="D1064" i="9"/>
  <c r="N1064" i="9"/>
  <c r="K1064" i="9"/>
  <c r="M1064" i="9"/>
  <c r="P1064" i="9"/>
  <c r="E1063" i="9"/>
  <c r="L1063" i="9"/>
  <c r="C1063" i="9"/>
  <c r="Q1063" i="9"/>
  <c r="P1063" i="9"/>
  <c r="O1063" i="9"/>
  <c r="K1063" i="9"/>
  <c r="F1063" i="9"/>
  <c r="D1063" i="9"/>
  <c r="J1063" i="9"/>
  <c r="N1063" i="9"/>
  <c r="M1063" i="9"/>
  <c r="M1062" i="9"/>
  <c r="Q1062" i="9"/>
  <c r="N1062" i="9"/>
  <c r="C1062" i="9"/>
  <c r="J1062" i="9"/>
  <c r="E1062" i="9"/>
  <c r="F1062" i="9"/>
  <c r="L1062" i="9"/>
  <c r="K1062" i="9"/>
  <c r="P1062" i="9"/>
  <c r="O1062" i="9"/>
  <c r="D1062" i="9"/>
  <c r="N1061" i="9"/>
  <c r="M1061" i="9"/>
  <c r="Q1061" i="9"/>
  <c r="O1061" i="9"/>
  <c r="K1061" i="9"/>
  <c r="J1061" i="9"/>
  <c r="F1061" i="9"/>
  <c r="D1061" i="9"/>
  <c r="C1061" i="9"/>
  <c r="E1061" i="9"/>
  <c r="P1061" i="9"/>
  <c r="L1061" i="9"/>
  <c r="P1060" i="9"/>
  <c r="M1060" i="9"/>
  <c r="J1060" i="9"/>
  <c r="C1060" i="9"/>
  <c r="D1060" i="9"/>
  <c r="K1060" i="9"/>
  <c r="O1060" i="9"/>
  <c r="N1060" i="9"/>
  <c r="Q1060" i="9"/>
  <c r="L1060" i="9"/>
  <c r="F1060" i="9"/>
  <c r="E1060" i="9"/>
  <c r="D1059" i="9"/>
  <c r="F1059" i="9"/>
  <c r="Q1059" i="9"/>
  <c r="J1059" i="9"/>
  <c r="O1059" i="9"/>
  <c r="N1059" i="9"/>
  <c r="C1059" i="9"/>
  <c r="P1059" i="9"/>
  <c r="L1059" i="9"/>
  <c r="E1059" i="9"/>
  <c r="M1059" i="9"/>
  <c r="K1059" i="9"/>
  <c r="P1058" i="9"/>
  <c r="N1058" i="9"/>
  <c r="C1058" i="9"/>
  <c r="J1058" i="9"/>
  <c r="M1058" i="9"/>
  <c r="O1058" i="9"/>
  <c r="L1058" i="9"/>
  <c r="Q1058" i="9"/>
  <c r="F1058" i="9"/>
  <c r="E1058" i="9"/>
  <c r="D1058" i="9"/>
  <c r="K1058" i="9"/>
  <c r="F1057" i="9"/>
  <c r="O1057" i="9"/>
  <c r="Q1057" i="9"/>
  <c r="P1057" i="9"/>
  <c r="K1057" i="9"/>
  <c r="N1057" i="9"/>
  <c r="M1057" i="9"/>
  <c r="D1057" i="9"/>
  <c r="E1057" i="9"/>
  <c r="C1057" i="9"/>
  <c r="J1057" i="9"/>
  <c r="L1057" i="9"/>
  <c r="Q1056" i="9"/>
  <c r="D1056" i="9"/>
  <c r="L1056" i="9"/>
  <c r="P1056" i="9"/>
  <c r="J1056" i="9"/>
  <c r="M1056" i="9"/>
  <c r="F1056" i="9"/>
  <c r="E1056" i="9"/>
  <c r="K1056" i="9"/>
  <c r="N1056" i="9"/>
  <c r="O1056" i="9"/>
  <c r="P1055" i="9"/>
  <c r="D1055" i="9"/>
  <c r="N1055" i="9"/>
  <c r="K1055" i="9"/>
  <c r="J1055" i="9"/>
  <c r="C1055" i="9"/>
  <c r="L1055" i="9"/>
  <c r="E1055" i="9"/>
  <c r="F1055" i="9"/>
  <c r="M1055" i="9"/>
  <c r="Q1055" i="9"/>
  <c r="O1055" i="9"/>
  <c r="N1054" i="9"/>
  <c r="L1054" i="9"/>
  <c r="F1054" i="9"/>
  <c r="E1054" i="9"/>
  <c r="C1054" i="9"/>
  <c r="M1054" i="9"/>
  <c r="D1054" i="9"/>
  <c r="J1054" i="9"/>
  <c r="Q1054" i="9"/>
  <c r="P1054" i="9"/>
  <c r="K1054" i="9"/>
  <c r="O1054" i="9"/>
  <c r="Q1053" i="9"/>
  <c r="N1053" i="9"/>
  <c r="L1053" i="9"/>
  <c r="J1053" i="9"/>
  <c r="C1053" i="9"/>
  <c r="E1053" i="9"/>
  <c r="F1053" i="9"/>
  <c r="K1053" i="9"/>
  <c r="O1053" i="9"/>
  <c r="P1053" i="9"/>
  <c r="M1053" i="9"/>
  <c r="D1053" i="9"/>
  <c r="Q1052" i="9"/>
  <c r="N1052" i="9"/>
  <c r="K1052" i="9"/>
  <c r="D1052" i="9"/>
  <c r="C1052" i="9"/>
  <c r="E1052" i="9"/>
  <c r="F1052" i="9"/>
  <c r="J1052" i="9"/>
  <c r="O1052" i="9"/>
  <c r="P1052" i="9"/>
  <c r="L1052" i="9"/>
  <c r="M1052" i="9"/>
  <c r="O1051" i="9"/>
  <c r="M1051" i="9"/>
  <c r="J1051" i="9"/>
  <c r="L1051" i="9"/>
  <c r="Q1051" i="9"/>
  <c r="E1051" i="9"/>
  <c r="P1051" i="9"/>
  <c r="N1051" i="9"/>
  <c r="K1051" i="9"/>
  <c r="D1051" i="9"/>
  <c r="C1051" i="9"/>
  <c r="F1051" i="9"/>
  <c r="O1050" i="9"/>
  <c r="L1050" i="9"/>
  <c r="J1050" i="9"/>
  <c r="P1050" i="9"/>
  <c r="C1050" i="9"/>
  <c r="D1050" i="9"/>
  <c r="E1050" i="9"/>
  <c r="F1050" i="9"/>
  <c r="M1050" i="9"/>
  <c r="Q1050" i="9"/>
  <c r="K1050" i="9"/>
  <c r="N1050" i="9"/>
  <c r="P1049" i="9"/>
  <c r="M1049" i="9"/>
  <c r="J1049" i="9"/>
  <c r="K1049" i="9"/>
  <c r="N1049" i="9"/>
  <c r="D1049" i="9"/>
  <c r="C1049" i="9"/>
  <c r="O1049" i="9"/>
  <c r="L1049" i="9"/>
  <c r="Q1049" i="9"/>
  <c r="F1049" i="9"/>
  <c r="E1049" i="9"/>
  <c r="P1048" i="9"/>
  <c r="M1048" i="9"/>
  <c r="J1048" i="9"/>
  <c r="C1048" i="9"/>
  <c r="K1048" i="9"/>
  <c r="E1048" i="9"/>
  <c r="Q1048" i="9"/>
  <c r="O1048" i="9"/>
  <c r="D1048" i="9"/>
  <c r="F1048" i="9"/>
  <c r="L1048" i="9"/>
  <c r="N1048" i="9"/>
  <c r="Q1047" i="9"/>
  <c r="M1047" i="9"/>
  <c r="O1047" i="9"/>
  <c r="D1047" i="9"/>
  <c r="E1047" i="9"/>
  <c r="L1047" i="9"/>
  <c r="N1047" i="9"/>
  <c r="P1047" i="9"/>
  <c r="C1047" i="9"/>
  <c r="F1047" i="9"/>
  <c r="J1047" i="9"/>
  <c r="K1047" i="9"/>
  <c r="F1046" i="9"/>
  <c r="K1046" i="9"/>
  <c r="E1046" i="9"/>
  <c r="D1046" i="9"/>
  <c r="J1046" i="9"/>
  <c r="L1046" i="9"/>
  <c r="O1046" i="9"/>
  <c r="Q1046" i="9"/>
  <c r="M1046" i="9"/>
  <c r="N1046" i="9"/>
  <c r="P1046" i="9"/>
  <c r="C1046" i="9"/>
  <c r="O1045" i="9"/>
  <c r="L1045" i="9"/>
  <c r="J1045" i="9"/>
  <c r="E1045" i="9"/>
  <c r="K1045" i="9"/>
  <c r="N1045" i="9"/>
  <c r="Q1045" i="9"/>
  <c r="C1045" i="9"/>
  <c r="F1045" i="9"/>
  <c r="M1045" i="9"/>
  <c r="P1045" i="9"/>
  <c r="D1045" i="9"/>
  <c r="O1044" i="9"/>
  <c r="L1044" i="9"/>
  <c r="D1044" i="9"/>
  <c r="K1044" i="9"/>
  <c r="P1044" i="9"/>
  <c r="M1044" i="9"/>
  <c r="J1044" i="9"/>
  <c r="E1044" i="9"/>
  <c r="Q1044" i="9"/>
  <c r="N1044" i="9"/>
  <c r="F1044" i="9"/>
  <c r="C1044" i="9"/>
  <c r="L1043" i="9"/>
  <c r="K1043" i="9"/>
  <c r="E1043" i="9"/>
  <c r="C1043" i="9"/>
  <c r="J1043" i="9"/>
  <c r="P1043" i="9"/>
  <c r="N1043" i="9"/>
  <c r="Q1043" i="9"/>
  <c r="O1043" i="9"/>
  <c r="M1043" i="9"/>
  <c r="F1043" i="9"/>
  <c r="D1043" i="9"/>
  <c r="E1042" i="9"/>
  <c r="C1042" i="9"/>
  <c r="Q1042" i="9"/>
  <c r="P1042" i="9"/>
  <c r="N1042" i="9"/>
  <c r="L1042" i="9"/>
  <c r="K1042" i="9"/>
  <c r="M1042" i="9"/>
  <c r="F1042" i="9"/>
  <c r="D1042" i="9"/>
  <c r="J1042" i="9"/>
  <c r="O1042" i="9"/>
  <c r="K1041" i="9"/>
  <c r="D1041" i="9"/>
  <c r="P1041" i="9"/>
  <c r="O1041" i="9"/>
  <c r="L1041" i="9"/>
  <c r="Q1041" i="9"/>
  <c r="M1041" i="9"/>
  <c r="J1041" i="9"/>
  <c r="F1041" i="9"/>
  <c r="E1041" i="9"/>
  <c r="C1041" i="9"/>
  <c r="N1041" i="9"/>
  <c r="M1040" i="9"/>
  <c r="P1040" i="9"/>
  <c r="K1040" i="9"/>
  <c r="L1040" i="9"/>
  <c r="E1040" i="9"/>
  <c r="Q1040" i="9"/>
  <c r="N1040" i="9"/>
  <c r="C1040" i="9"/>
  <c r="O1040" i="9"/>
  <c r="D1040" i="9"/>
  <c r="F1040" i="9"/>
  <c r="J1040" i="9"/>
  <c r="P1039" i="9"/>
  <c r="N1039" i="9"/>
  <c r="K1039" i="9"/>
  <c r="E1039" i="9"/>
  <c r="C1039" i="9"/>
  <c r="J1039" i="9"/>
  <c r="M1039" i="9"/>
  <c r="D1039" i="9"/>
  <c r="L1039" i="9"/>
  <c r="O1039" i="9"/>
  <c r="Q1039" i="9"/>
  <c r="F1039" i="9"/>
  <c r="O1038" i="9"/>
  <c r="L1038" i="9"/>
  <c r="P1038" i="9"/>
  <c r="N1038" i="9"/>
  <c r="J1038" i="9"/>
  <c r="C1038" i="9"/>
  <c r="D1038" i="9"/>
  <c r="F1038" i="9"/>
  <c r="M1038" i="9"/>
  <c r="Q1038" i="9"/>
  <c r="K1038" i="9"/>
  <c r="E1038" i="9"/>
  <c r="O1037" i="9"/>
  <c r="K1037" i="9"/>
  <c r="D1037" i="9"/>
  <c r="E1037" i="9"/>
  <c r="J1037" i="9"/>
  <c r="P1037" i="9"/>
  <c r="N1037" i="9"/>
  <c r="M1037" i="9"/>
  <c r="C1037" i="9"/>
  <c r="Q1037" i="9"/>
  <c r="L1037" i="9"/>
  <c r="F1037" i="9"/>
  <c r="N1036" i="9"/>
  <c r="K1036" i="9"/>
  <c r="D1036" i="9"/>
  <c r="Q1036" i="9"/>
  <c r="O1036" i="9"/>
  <c r="L1036" i="9"/>
  <c r="C1036" i="9"/>
  <c r="E1036" i="9"/>
  <c r="J1036" i="9"/>
  <c r="F1036" i="9"/>
  <c r="M1036" i="9"/>
  <c r="P1036" i="9"/>
  <c r="N1035" i="9"/>
  <c r="F1035" i="9"/>
  <c r="D1035" i="9"/>
  <c r="J1035" i="9"/>
  <c r="M1035" i="9"/>
  <c r="K1035" i="9"/>
  <c r="E1035" i="9"/>
  <c r="O1035" i="9"/>
  <c r="C1035" i="9"/>
  <c r="P1035" i="9"/>
  <c r="Q1035" i="9"/>
  <c r="L1035" i="9"/>
  <c r="O1034" i="9"/>
  <c r="J1034" i="9"/>
  <c r="D1034" i="9"/>
  <c r="M1034" i="9"/>
  <c r="F1034" i="9"/>
  <c r="L1034" i="9"/>
  <c r="C1034" i="9"/>
  <c r="E1034" i="9"/>
  <c r="N1034" i="9"/>
  <c r="Q1034" i="9"/>
  <c r="K1034" i="9"/>
  <c r="P1034" i="9"/>
  <c r="N1033" i="9"/>
  <c r="C1033" i="9"/>
  <c r="D1033" i="9"/>
  <c r="Q1033" i="9"/>
  <c r="P1033" i="9"/>
  <c r="O1033" i="9"/>
  <c r="J1033" i="9"/>
  <c r="L1033" i="9"/>
  <c r="E1033" i="9"/>
  <c r="M1033" i="9"/>
  <c r="K1033" i="9"/>
  <c r="F1033" i="9"/>
  <c r="Q1032" i="9"/>
  <c r="N1032" i="9"/>
  <c r="J1032" i="9"/>
  <c r="E1032" i="9"/>
  <c r="L1032" i="9"/>
  <c r="O1032" i="9"/>
  <c r="P1032" i="9"/>
  <c r="C1032" i="9"/>
  <c r="K1032" i="9"/>
  <c r="D1032" i="9"/>
  <c r="M1032" i="9"/>
  <c r="F1032" i="9"/>
  <c r="L1031" i="9"/>
  <c r="O1031" i="9"/>
  <c r="N1031" i="9"/>
  <c r="D1031" i="9"/>
  <c r="E1031" i="9"/>
  <c r="M1031" i="9"/>
  <c r="P1031" i="9"/>
  <c r="Q1031" i="9"/>
  <c r="J1031" i="9"/>
  <c r="K1031" i="9"/>
  <c r="C1031" i="9"/>
  <c r="F1031" i="9"/>
  <c r="F1030" i="9"/>
  <c r="D1030" i="9"/>
  <c r="M1030" i="9"/>
  <c r="O1030" i="9"/>
  <c r="K1030" i="9"/>
  <c r="C1030" i="9"/>
  <c r="N1030" i="9"/>
  <c r="L1030" i="9"/>
  <c r="E1030" i="9"/>
  <c r="J1030" i="9"/>
  <c r="P1030" i="9"/>
  <c r="Q1030" i="9"/>
  <c r="C1029" i="9"/>
  <c r="O1029" i="9"/>
  <c r="M1029" i="9"/>
  <c r="P1029" i="9"/>
  <c r="K1029" i="9"/>
  <c r="N1029" i="9"/>
  <c r="Q1029" i="9"/>
  <c r="J1029" i="9"/>
  <c r="F1029" i="9"/>
  <c r="D1029" i="9"/>
  <c r="E1029" i="9"/>
  <c r="L1029" i="9"/>
  <c r="Q1028" i="9"/>
  <c r="N1028" i="9"/>
  <c r="J1028" i="9"/>
  <c r="F1028" i="9"/>
  <c r="E1028" i="9"/>
  <c r="M1028" i="9"/>
  <c r="L1028" i="9"/>
  <c r="D1028" i="9"/>
  <c r="O1028" i="9"/>
  <c r="K1028" i="9"/>
  <c r="C1028" i="9"/>
  <c r="P1028" i="9"/>
  <c r="M1027" i="9"/>
  <c r="J1027" i="9"/>
  <c r="L1027" i="9"/>
  <c r="O1027" i="9"/>
  <c r="Q1027" i="9"/>
  <c r="P1027" i="9"/>
  <c r="N1027" i="9"/>
  <c r="E1027" i="9"/>
  <c r="D1027" i="9"/>
  <c r="F1027" i="9"/>
  <c r="K1027" i="9"/>
  <c r="C1027" i="9"/>
  <c r="M1026" i="9"/>
  <c r="J1026" i="9"/>
  <c r="D1026" i="9"/>
  <c r="C1026" i="9"/>
  <c r="K1026" i="9"/>
  <c r="L1026" i="9"/>
  <c r="E1026" i="9"/>
  <c r="F1026" i="9"/>
  <c r="O1026" i="9"/>
  <c r="Q1026" i="9"/>
  <c r="N1026" i="9"/>
  <c r="P1026" i="9"/>
  <c r="M1025" i="9"/>
  <c r="C1025" i="9"/>
  <c r="K1025" i="9"/>
  <c r="F1025" i="9"/>
  <c r="J1025" i="9"/>
  <c r="Q1025" i="9"/>
  <c r="E1025" i="9"/>
  <c r="L1025" i="9"/>
  <c r="D1025" i="9"/>
  <c r="O1025" i="9"/>
  <c r="P1025" i="9"/>
  <c r="N1025" i="9"/>
  <c r="Q1024" i="9"/>
  <c r="L1024" i="9"/>
  <c r="E1024" i="9"/>
  <c r="C1024" i="9"/>
  <c r="D1024" i="9"/>
  <c r="F1024" i="9"/>
  <c r="K1024" i="9"/>
  <c r="O1024" i="9"/>
  <c r="P1024" i="9"/>
  <c r="N1024" i="9"/>
  <c r="M1024" i="9"/>
  <c r="J1024" i="9"/>
  <c r="P1023" i="9"/>
  <c r="J1023" i="9"/>
  <c r="C1023" i="9"/>
  <c r="O1023" i="9"/>
  <c r="L1023" i="9"/>
  <c r="K1023" i="9"/>
  <c r="D1023" i="9"/>
  <c r="F1023" i="9"/>
  <c r="Q1023" i="9"/>
  <c r="N1023" i="9"/>
  <c r="M1023" i="9"/>
  <c r="E1023" i="9"/>
  <c r="L1022" i="9"/>
  <c r="F1022" i="9"/>
  <c r="D1022" i="9"/>
  <c r="C1022" i="9"/>
  <c r="P1022" i="9"/>
  <c r="O1022" i="9"/>
  <c r="M1022" i="9"/>
  <c r="E1022" i="9"/>
  <c r="K1022" i="9"/>
  <c r="J1022" i="9"/>
  <c r="Q1022" i="9"/>
  <c r="N1022" i="9"/>
  <c r="L1021" i="9"/>
  <c r="D1021" i="9"/>
  <c r="C1021" i="9"/>
  <c r="M1021" i="9"/>
  <c r="P1021" i="9"/>
  <c r="N1021" i="9"/>
  <c r="F1021" i="9"/>
  <c r="Q1021" i="9"/>
  <c r="O1021" i="9"/>
  <c r="J1021" i="9"/>
  <c r="E1021" i="9"/>
  <c r="K1021" i="9"/>
  <c r="P1020" i="9"/>
  <c r="O1020" i="9"/>
  <c r="N1020" i="9"/>
  <c r="M1020" i="9"/>
  <c r="F1020" i="9"/>
  <c r="D1020" i="9"/>
  <c r="C1020" i="9"/>
  <c r="J1020" i="9"/>
  <c r="Q1020" i="9"/>
  <c r="L1020" i="9"/>
  <c r="K1020" i="9"/>
  <c r="E1020" i="9"/>
  <c r="Q1019" i="9"/>
  <c r="K1019" i="9"/>
  <c r="O1019" i="9"/>
  <c r="D1019" i="9"/>
  <c r="P1019" i="9"/>
  <c r="L1019" i="9"/>
  <c r="F1019" i="9"/>
  <c r="J1019" i="9"/>
  <c r="N1019" i="9"/>
  <c r="M1019" i="9"/>
  <c r="E1018" i="9"/>
  <c r="M1018" i="9"/>
  <c r="P1018" i="9"/>
  <c r="N1018" i="9"/>
  <c r="K1018" i="9"/>
  <c r="D1018" i="9"/>
  <c r="O1018" i="9"/>
  <c r="C1018" i="9"/>
  <c r="F1018" i="9"/>
  <c r="L1018" i="9"/>
  <c r="J1018" i="9"/>
  <c r="Q1018" i="9"/>
  <c r="L1017" i="9"/>
  <c r="E1017" i="9"/>
  <c r="M1017" i="9"/>
  <c r="P1017" i="9"/>
  <c r="O1017" i="9"/>
  <c r="K1017" i="9"/>
  <c r="D1017" i="9"/>
  <c r="C1017" i="9"/>
  <c r="N1017" i="9"/>
  <c r="Q1017" i="9"/>
  <c r="J1017" i="9"/>
  <c r="F1017" i="9"/>
  <c r="Q1016" i="9"/>
  <c r="K1016" i="9"/>
  <c r="C1016" i="9"/>
  <c r="J1016" i="9"/>
  <c r="N1016" i="9"/>
  <c r="P1016" i="9"/>
  <c r="D1016" i="9"/>
  <c r="F1016" i="9"/>
  <c r="E1016" i="9"/>
  <c r="M1016" i="9"/>
  <c r="O1016" i="9"/>
  <c r="L1016" i="9"/>
  <c r="J1015" i="9"/>
  <c r="M1015" i="9"/>
  <c r="L1015" i="9"/>
  <c r="E1015" i="9"/>
  <c r="C1015" i="9"/>
  <c r="K1015" i="9"/>
  <c r="P1015" i="9"/>
  <c r="Q1015" i="9"/>
  <c r="D1015" i="9"/>
  <c r="F1015" i="9"/>
  <c r="N1015" i="9"/>
  <c r="O1015" i="9"/>
  <c r="F1014" i="9"/>
  <c r="D1014" i="9"/>
  <c r="K1014" i="9"/>
  <c r="N1014" i="9"/>
  <c r="P1014" i="9"/>
  <c r="Q1014" i="9"/>
  <c r="O1014" i="9"/>
  <c r="J1014" i="9"/>
  <c r="E1014" i="9"/>
  <c r="L1014" i="9"/>
  <c r="C1014" i="9"/>
  <c r="M1014" i="9"/>
  <c r="Q1013" i="9"/>
  <c r="F1013" i="9"/>
  <c r="N1013" i="9"/>
  <c r="L1013" i="9"/>
  <c r="K1013" i="9"/>
  <c r="D1013" i="9"/>
  <c r="O1013" i="9"/>
  <c r="J1013" i="9"/>
  <c r="P1013" i="9"/>
  <c r="E1013" i="9"/>
  <c r="C1013" i="9"/>
  <c r="M1013" i="9"/>
  <c r="D1012" i="9"/>
  <c r="L1012" i="9"/>
  <c r="K1012" i="9"/>
  <c r="O1012" i="9"/>
  <c r="E1012" i="9"/>
  <c r="F1012" i="9"/>
  <c r="J1012" i="9"/>
  <c r="N1012" i="9"/>
  <c r="Q1012" i="9"/>
  <c r="M1012" i="9"/>
  <c r="P1012" i="9"/>
  <c r="M1011" i="9"/>
  <c r="Q1011" i="9"/>
  <c r="K1011" i="9"/>
  <c r="D1011" i="9"/>
  <c r="O1011" i="9"/>
  <c r="J1011" i="9"/>
  <c r="E1011" i="9"/>
  <c r="C1011" i="9"/>
  <c r="P1011" i="9"/>
  <c r="L1011" i="9"/>
  <c r="F1011" i="9"/>
  <c r="N1011" i="9"/>
  <c r="K1010" i="9"/>
  <c r="J1010" i="9"/>
  <c r="N1010" i="9"/>
  <c r="D1010" i="9"/>
  <c r="P1010" i="9"/>
  <c r="Q1010" i="9"/>
  <c r="O1010" i="9"/>
  <c r="L1010" i="9"/>
  <c r="C1010" i="9"/>
  <c r="E1010" i="9"/>
  <c r="F1010" i="9"/>
  <c r="M1010" i="9"/>
  <c r="C1009" i="9"/>
  <c r="J1009" i="9"/>
  <c r="N1009" i="9"/>
  <c r="O1009" i="9"/>
  <c r="Q1009" i="9"/>
  <c r="D1009" i="9"/>
  <c r="L1009" i="9"/>
  <c r="M1009" i="9"/>
  <c r="K1009" i="9"/>
  <c r="F1009" i="9"/>
  <c r="E1009" i="9"/>
  <c r="P1009" i="9"/>
  <c r="K1008" i="9"/>
  <c r="P1008" i="9"/>
  <c r="O1008" i="9"/>
  <c r="F1008" i="9"/>
  <c r="D1008" i="9"/>
  <c r="C1008" i="9"/>
  <c r="E1008" i="9"/>
  <c r="M1008" i="9"/>
  <c r="N1008" i="9"/>
  <c r="J1008" i="9"/>
  <c r="Q1008" i="9"/>
  <c r="L1008" i="9"/>
  <c r="M1007" i="9"/>
  <c r="D1007" i="9"/>
  <c r="E1007" i="9"/>
  <c r="Q1007" i="9"/>
  <c r="J1007" i="9"/>
  <c r="L1007" i="9"/>
  <c r="K1007" i="9"/>
  <c r="C1007" i="9"/>
  <c r="F1007" i="9"/>
  <c r="O1007" i="9"/>
  <c r="N1007" i="9"/>
  <c r="P1007" i="9"/>
  <c r="P1006" i="9"/>
  <c r="C1006" i="9"/>
  <c r="E1006" i="9"/>
  <c r="L1006" i="9"/>
  <c r="N1006" i="9"/>
  <c r="M1006" i="9"/>
  <c r="O1006" i="9"/>
  <c r="Q1006" i="9"/>
  <c r="K1006" i="9"/>
  <c r="J1006" i="9"/>
  <c r="F1006" i="9"/>
  <c r="D1006" i="9"/>
  <c r="O1005" i="9"/>
  <c r="K1005" i="9"/>
  <c r="F1005" i="9"/>
  <c r="D1005" i="9"/>
  <c r="J1005" i="9"/>
  <c r="N1005" i="9"/>
  <c r="Q1005" i="9"/>
  <c r="L1005" i="9"/>
  <c r="E1005" i="9"/>
  <c r="C1005" i="9"/>
  <c r="M1005" i="9"/>
  <c r="P1005" i="9"/>
  <c r="D1004" i="9"/>
  <c r="F1004" i="9"/>
  <c r="K1004" i="9"/>
  <c r="Q1004" i="9"/>
  <c r="O1004" i="9"/>
  <c r="L1004" i="9"/>
  <c r="J1004" i="9"/>
  <c r="N1004" i="9"/>
  <c r="P1004" i="9"/>
  <c r="C1004" i="9"/>
  <c r="E1004" i="9"/>
  <c r="M1004" i="9"/>
  <c r="N1003" i="9"/>
  <c r="J1003" i="9"/>
  <c r="F1003" i="9"/>
  <c r="D1003" i="9"/>
  <c r="E1003" i="9"/>
  <c r="O1003" i="9"/>
  <c r="K1003" i="9"/>
  <c r="C1003" i="9"/>
  <c r="L1003" i="9"/>
  <c r="Q1003" i="9"/>
  <c r="P1003" i="9"/>
  <c r="M1003" i="9"/>
  <c r="O1002" i="9"/>
  <c r="L1002" i="9"/>
  <c r="C1002" i="9"/>
  <c r="E1002" i="9"/>
  <c r="J1002" i="9"/>
  <c r="N1002" i="9"/>
  <c r="D1002" i="9"/>
  <c r="K1002" i="9"/>
  <c r="P1002" i="9"/>
  <c r="M1002" i="9"/>
  <c r="F1002" i="9"/>
  <c r="Q1002" i="9"/>
  <c r="O1001" i="9"/>
  <c r="N1001" i="9"/>
  <c r="K1001" i="9"/>
  <c r="F1001" i="9"/>
  <c r="D1001" i="9"/>
  <c r="C1001" i="9"/>
  <c r="L1001" i="9"/>
  <c r="Q1001" i="9"/>
  <c r="M1001" i="9"/>
  <c r="E1001" i="9"/>
  <c r="P1001" i="9"/>
  <c r="J1001" i="9"/>
  <c r="P1000" i="9"/>
  <c r="Q1000" i="9"/>
  <c r="C1000" i="9"/>
  <c r="N1000" i="9"/>
  <c r="K1000" i="9"/>
  <c r="F1000" i="9"/>
  <c r="O1000" i="9"/>
  <c r="D1000" i="9"/>
  <c r="E1000" i="9"/>
  <c r="L1000" i="9"/>
  <c r="M1000" i="9"/>
  <c r="J1000" i="9"/>
  <c r="E999" i="9"/>
  <c r="O999" i="9"/>
  <c r="N999" i="9"/>
  <c r="L999" i="9"/>
  <c r="P999" i="9"/>
  <c r="K999" i="9"/>
  <c r="F999" i="9"/>
  <c r="D999" i="9"/>
  <c r="C999" i="9"/>
  <c r="J999" i="9"/>
  <c r="M999" i="9"/>
  <c r="Q999" i="9"/>
  <c r="Q998" i="9"/>
  <c r="M998" i="9"/>
  <c r="J998" i="9"/>
  <c r="F998" i="9"/>
  <c r="E998" i="9"/>
  <c r="K998" i="9"/>
  <c r="C998" i="9"/>
  <c r="N998" i="9"/>
  <c r="O998" i="9"/>
  <c r="L998" i="9"/>
  <c r="P998" i="9"/>
  <c r="D998" i="9"/>
  <c r="Q997" i="9"/>
  <c r="N997" i="9"/>
  <c r="K997" i="9"/>
  <c r="E997" i="9"/>
  <c r="F997" i="9"/>
  <c r="D997" i="9"/>
  <c r="L997" i="9"/>
  <c r="P997" i="9"/>
  <c r="C997" i="9"/>
  <c r="O997" i="9"/>
  <c r="M997" i="9"/>
  <c r="J997" i="9"/>
  <c r="O996" i="9"/>
  <c r="K996" i="9"/>
  <c r="D996" i="9"/>
  <c r="M996" i="9"/>
  <c r="P996" i="9"/>
  <c r="N996" i="9"/>
  <c r="L996" i="9"/>
  <c r="J996" i="9"/>
  <c r="F996" i="9"/>
  <c r="E996" i="9"/>
  <c r="C996" i="9"/>
  <c r="Q996" i="9"/>
  <c r="M995" i="9"/>
  <c r="C995" i="9"/>
  <c r="J995" i="9"/>
  <c r="L995" i="9"/>
  <c r="O995" i="9"/>
  <c r="Q995" i="9"/>
  <c r="P995" i="9"/>
  <c r="N995" i="9"/>
  <c r="K995" i="9"/>
  <c r="F995" i="9"/>
  <c r="E995" i="9"/>
  <c r="D995" i="9"/>
  <c r="Q994" i="9"/>
  <c r="P994" i="9"/>
  <c r="O994" i="9"/>
  <c r="N994" i="9"/>
  <c r="C994" i="9"/>
  <c r="K994" i="9"/>
  <c r="M994" i="9"/>
  <c r="J994" i="9"/>
  <c r="F994" i="9"/>
  <c r="D994" i="9"/>
  <c r="E994" i="9"/>
  <c r="L994" i="9"/>
  <c r="F993" i="9"/>
  <c r="E993" i="9"/>
  <c r="C993" i="9"/>
  <c r="D993" i="9"/>
  <c r="P993" i="9"/>
  <c r="N993" i="9"/>
  <c r="M993" i="9"/>
  <c r="J993" i="9"/>
  <c r="L993" i="9"/>
  <c r="O993" i="9"/>
  <c r="Q993" i="9"/>
  <c r="K993" i="9"/>
  <c r="Q992" i="9"/>
  <c r="K992" i="9"/>
  <c r="N992" i="9"/>
  <c r="D992" i="9"/>
  <c r="L992" i="9"/>
  <c r="J992" i="9"/>
  <c r="F992" i="9"/>
  <c r="E992" i="9"/>
  <c r="O992" i="9"/>
  <c r="P992" i="9"/>
  <c r="M992" i="9"/>
  <c r="C992" i="9"/>
  <c r="N991" i="9"/>
  <c r="J991" i="9"/>
  <c r="C991" i="9"/>
  <c r="K991" i="9"/>
  <c r="M991" i="9"/>
  <c r="F991" i="9"/>
  <c r="E991" i="9"/>
  <c r="D991" i="9"/>
  <c r="O991" i="9"/>
  <c r="L991" i="9"/>
  <c r="P991" i="9"/>
  <c r="Q991" i="9"/>
  <c r="P990" i="9"/>
  <c r="F990" i="9"/>
  <c r="L990" i="9"/>
  <c r="N990" i="9"/>
  <c r="O990" i="9"/>
  <c r="E990" i="9"/>
  <c r="J990" i="9"/>
  <c r="Q990" i="9"/>
  <c r="M990" i="9"/>
  <c r="C990" i="9"/>
  <c r="K990" i="9"/>
  <c r="D990" i="9"/>
  <c r="K989" i="9"/>
  <c r="F989" i="9"/>
  <c r="E989" i="9"/>
  <c r="O989" i="9"/>
  <c r="C989" i="9"/>
  <c r="D989" i="9"/>
  <c r="Q989" i="9"/>
  <c r="N989" i="9"/>
  <c r="P989" i="9"/>
  <c r="M989" i="9"/>
  <c r="J989" i="9"/>
  <c r="L989" i="9"/>
  <c r="F988" i="9"/>
  <c r="K988" i="9"/>
  <c r="N988" i="9"/>
  <c r="Q988" i="9"/>
  <c r="O988" i="9"/>
  <c r="P988" i="9"/>
  <c r="L988" i="9"/>
  <c r="C988" i="9"/>
  <c r="D988" i="9"/>
  <c r="J988" i="9"/>
  <c r="M988" i="9"/>
  <c r="E988" i="9"/>
  <c r="D987" i="9"/>
  <c r="F987" i="9"/>
  <c r="O987" i="9"/>
  <c r="L987" i="9"/>
  <c r="J987" i="9"/>
  <c r="C987" i="9"/>
  <c r="Q987" i="9"/>
  <c r="M987" i="9"/>
  <c r="E987" i="9"/>
  <c r="P987" i="9"/>
  <c r="N987" i="9"/>
  <c r="K987" i="9"/>
  <c r="M986" i="9"/>
  <c r="N986" i="9"/>
  <c r="L986" i="9"/>
  <c r="F986" i="9"/>
  <c r="E986" i="9"/>
  <c r="C986" i="9"/>
  <c r="O986" i="9"/>
  <c r="J986" i="9"/>
  <c r="Q986" i="9"/>
  <c r="P986" i="9"/>
  <c r="D986" i="9"/>
  <c r="K986" i="9"/>
  <c r="F985" i="9"/>
  <c r="E985" i="9"/>
  <c r="C985" i="9"/>
  <c r="K985" i="9"/>
  <c r="Q985" i="9"/>
  <c r="P985" i="9"/>
  <c r="M985" i="9"/>
  <c r="N985" i="9"/>
  <c r="D985" i="9"/>
  <c r="L985" i="9"/>
  <c r="O985" i="9"/>
  <c r="J985" i="9"/>
  <c r="F984" i="9"/>
  <c r="D984" i="9"/>
  <c r="L984" i="9"/>
  <c r="O984" i="9"/>
  <c r="P984" i="9"/>
  <c r="N984" i="9"/>
  <c r="J984" i="9"/>
  <c r="K984" i="9"/>
  <c r="E984" i="9"/>
  <c r="M984" i="9"/>
  <c r="Q984" i="9"/>
  <c r="C984" i="9"/>
  <c r="N983" i="9"/>
  <c r="O983" i="9"/>
  <c r="P983" i="9"/>
  <c r="M983" i="9"/>
  <c r="L983" i="9"/>
  <c r="E983" i="9"/>
  <c r="J983" i="9"/>
  <c r="C983" i="9"/>
  <c r="F983" i="9"/>
  <c r="Q983" i="9"/>
  <c r="D983" i="9"/>
  <c r="K983" i="9"/>
  <c r="Q982" i="9"/>
  <c r="E982" i="9"/>
  <c r="C982" i="9"/>
  <c r="J982" i="9"/>
  <c r="M982" i="9"/>
  <c r="P982" i="9"/>
  <c r="F982" i="9"/>
  <c r="D982" i="9"/>
  <c r="K982" i="9"/>
  <c r="N982" i="9"/>
  <c r="L982" i="9"/>
  <c r="O982" i="9"/>
  <c r="F981" i="9"/>
  <c r="D981" i="9"/>
  <c r="C981" i="9"/>
  <c r="J981" i="9"/>
  <c r="M981" i="9"/>
  <c r="O981" i="9"/>
  <c r="N981" i="9"/>
  <c r="K981" i="9"/>
  <c r="E981" i="9"/>
  <c r="Q981" i="9"/>
  <c r="L981" i="9"/>
  <c r="P981" i="9"/>
  <c r="F980" i="9"/>
  <c r="C980" i="9"/>
  <c r="K980" i="9"/>
  <c r="M980" i="9"/>
  <c r="P980" i="9"/>
  <c r="Q980" i="9"/>
  <c r="N980" i="9"/>
  <c r="O980" i="9"/>
  <c r="L980" i="9"/>
  <c r="J980" i="9"/>
  <c r="E980" i="9"/>
  <c r="D980" i="9"/>
  <c r="O979" i="9"/>
  <c r="L979" i="9"/>
  <c r="K979" i="9"/>
  <c r="D979" i="9"/>
  <c r="J979" i="9"/>
  <c r="F979" i="9"/>
  <c r="Q979" i="9"/>
  <c r="E979" i="9"/>
  <c r="C979" i="9"/>
  <c r="P979" i="9"/>
  <c r="M979" i="9"/>
  <c r="N979" i="9"/>
  <c r="N978" i="9"/>
  <c r="K978" i="9"/>
  <c r="F978" i="9"/>
  <c r="D978" i="9"/>
  <c r="C978" i="9"/>
  <c r="L978" i="9"/>
  <c r="O978" i="9"/>
  <c r="M978" i="9"/>
  <c r="E978" i="9"/>
  <c r="J978" i="9"/>
  <c r="P978" i="9"/>
  <c r="Q978" i="9"/>
  <c r="M977" i="9"/>
  <c r="E977" i="9"/>
  <c r="L977" i="9"/>
  <c r="P977" i="9"/>
  <c r="C977" i="9"/>
  <c r="K977" i="9"/>
  <c r="D977" i="9"/>
  <c r="F977" i="9"/>
  <c r="J977" i="9"/>
  <c r="N977" i="9"/>
  <c r="Q977" i="9"/>
  <c r="O977" i="9"/>
  <c r="P976" i="9"/>
  <c r="N976" i="9"/>
  <c r="F976" i="9"/>
  <c r="K976" i="9"/>
  <c r="J976" i="9"/>
  <c r="L976" i="9"/>
  <c r="Q976" i="9"/>
  <c r="O976" i="9"/>
  <c r="C976" i="9"/>
  <c r="E976" i="9"/>
  <c r="M976" i="9"/>
  <c r="D976" i="9"/>
  <c r="D975" i="9"/>
  <c r="K975" i="9"/>
  <c r="F975" i="9"/>
  <c r="J975" i="9"/>
  <c r="M975" i="9"/>
  <c r="Q975" i="9"/>
  <c r="P975" i="9"/>
  <c r="O975" i="9"/>
  <c r="L975" i="9"/>
  <c r="N975" i="9"/>
  <c r="C975" i="9"/>
  <c r="E975" i="9"/>
  <c r="L974" i="9"/>
  <c r="D974" i="9"/>
  <c r="M974" i="9"/>
  <c r="J974" i="9"/>
  <c r="E974" i="9"/>
  <c r="O974" i="9"/>
  <c r="N974" i="9"/>
  <c r="P974" i="9"/>
  <c r="F974" i="9"/>
  <c r="K974" i="9"/>
  <c r="Q974" i="9"/>
  <c r="C974" i="9"/>
  <c r="K973" i="9"/>
  <c r="E973" i="9"/>
  <c r="D973" i="9"/>
  <c r="L973" i="9"/>
  <c r="O973" i="9"/>
  <c r="P973" i="9"/>
  <c r="Q973" i="9"/>
  <c r="N973" i="9"/>
  <c r="J973" i="9"/>
  <c r="F973" i="9"/>
  <c r="C973" i="9"/>
  <c r="M973" i="9"/>
  <c r="J972" i="9"/>
  <c r="E972" i="9"/>
  <c r="F972" i="9"/>
  <c r="P972" i="9"/>
  <c r="D972" i="9"/>
  <c r="Q972" i="9"/>
  <c r="O972" i="9"/>
  <c r="K972" i="9"/>
  <c r="M972" i="9"/>
  <c r="L972" i="9"/>
  <c r="N972" i="9"/>
  <c r="C972" i="9"/>
  <c r="C971" i="9"/>
  <c r="D971" i="9"/>
  <c r="F971" i="9"/>
  <c r="J971" i="9"/>
  <c r="Q971" i="9"/>
  <c r="K971" i="9"/>
  <c r="L971" i="9"/>
  <c r="E971" i="9"/>
  <c r="O971" i="9"/>
  <c r="M971" i="9"/>
  <c r="P971" i="9"/>
  <c r="N971" i="9"/>
  <c r="E970" i="9"/>
  <c r="P970" i="9"/>
  <c r="N970" i="9"/>
  <c r="K970" i="9"/>
  <c r="D970" i="9"/>
  <c r="L970" i="9"/>
  <c r="M970" i="9"/>
  <c r="F970" i="9"/>
  <c r="J970" i="9"/>
  <c r="O970" i="9"/>
  <c r="Q970" i="9"/>
  <c r="C969" i="9"/>
  <c r="Q969" i="9"/>
  <c r="E969" i="9"/>
  <c r="F969" i="9"/>
  <c r="J969" i="9"/>
  <c r="P969" i="9"/>
  <c r="M969" i="9"/>
  <c r="O969" i="9"/>
  <c r="L969" i="9"/>
  <c r="N969" i="9"/>
  <c r="K969" i="9"/>
  <c r="D969" i="9"/>
  <c r="E968" i="9"/>
  <c r="C968" i="9"/>
  <c r="O968" i="9"/>
  <c r="K968" i="9"/>
  <c r="N968" i="9"/>
  <c r="P968" i="9"/>
  <c r="L968" i="9"/>
  <c r="J968" i="9"/>
  <c r="F968" i="9"/>
  <c r="D968" i="9"/>
  <c r="Q968" i="9"/>
  <c r="M968" i="9"/>
  <c r="K967" i="9"/>
  <c r="N967" i="9"/>
  <c r="J967" i="9"/>
  <c r="O967" i="9"/>
  <c r="F967" i="9"/>
  <c r="Q967" i="9"/>
  <c r="M967" i="9"/>
  <c r="C967" i="9"/>
  <c r="P967" i="9"/>
  <c r="L967" i="9"/>
  <c r="E967" i="9"/>
  <c r="D967" i="9"/>
  <c r="C966" i="9"/>
  <c r="O966" i="9"/>
  <c r="Q966" i="9"/>
  <c r="K966" i="9"/>
  <c r="J966" i="9"/>
  <c r="F966" i="9"/>
  <c r="D966" i="9"/>
  <c r="P966" i="9"/>
  <c r="M966" i="9"/>
  <c r="L966" i="9"/>
  <c r="N966" i="9"/>
  <c r="D965" i="9"/>
  <c r="Q965" i="9"/>
  <c r="M965" i="9"/>
  <c r="K965" i="9"/>
  <c r="L965" i="9"/>
  <c r="C965" i="9"/>
  <c r="F965" i="9"/>
  <c r="P965" i="9"/>
  <c r="E965" i="9"/>
  <c r="N965" i="9"/>
  <c r="O965" i="9"/>
  <c r="J965" i="9"/>
  <c r="M964" i="9"/>
  <c r="E964" i="9"/>
  <c r="L964" i="9"/>
  <c r="F964" i="9"/>
  <c r="C964" i="9"/>
  <c r="N964" i="9"/>
  <c r="O964" i="9"/>
  <c r="J964" i="9"/>
  <c r="P964" i="9"/>
  <c r="Q964" i="9"/>
  <c r="D964" i="9"/>
  <c r="K964" i="9"/>
  <c r="C963" i="9"/>
  <c r="Q963" i="9"/>
  <c r="P963" i="9"/>
  <c r="O963" i="9"/>
  <c r="E963" i="9"/>
  <c r="L963" i="9"/>
  <c r="K963" i="9"/>
  <c r="N963" i="9"/>
  <c r="F963" i="9"/>
  <c r="J963" i="9"/>
  <c r="M963" i="9"/>
  <c r="D963" i="9"/>
  <c r="E962" i="9"/>
  <c r="J962" i="9"/>
  <c r="N962" i="9"/>
  <c r="Q962" i="9"/>
  <c r="K962" i="9"/>
  <c r="L962" i="9"/>
  <c r="F962" i="9"/>
  <c r="D962" i="9"/>
  <c r="C962" i="9"/>
  <c r="M962" i="9"/>
  <c r="P962" i="9"/>
  <c r="O962" i="9"/>
  <c r="J961" i="9"/>
  <c r="D961" i="9"/>
  <c r="P961" i="9"/>
  <c r="M961" i="9"/>
  <c r="K961" i="9"/>
  <c r="L961" i="9"/>
  <c r="Q961" i="9"/>
  <c r="N961" i="9"/>
  <c r="F961" i="9"/>
  <c r="E961" i="9"/>
  <c r="C961" i="9"/>
  <c r="O961" i="9"/>
  <c r="Q960" i="9"/>
  <c r="O960" i="9"/>
  <c r="K960" i="9"/>
  <c r="C960" i="9"/>
  <c r="N960" i="9"/>
  <c r="E960" i="9"/>
  <c r="L960" i="9"/>
  <c r="M960" i="9"/>
  <c r="J960" i="9"/>
  <c r="P960" i="9"/>
  <c r="F960" i="9"/>
  <c r="D960" i="9"/>
  <c r="J959" i="9"/>
  <c r="D959" i="9"/>
  <c r="P959" i="9"/>
  <c r="N959" i="9"/>
  <c r="F959" i="9"/>
  <c r="E959" i="9"/>
  <c r="K959" i="9"/>
  <c r="L959" i="9"/>
  <c r="Q959" i="9"/>
  <c r="M959" i="9"/>
  <c r="O959" i="9"/>
  <c r="C959" i="9"/>
  <c r="O958" i="9"/>
  <c r="P958" i="9"/>
  <c r="N958" i="9"/>
  <c r="D958" i="9"/>
  <c r="J958" i="9"/>
  <c r="M958" i="9"/>
  <c r="Q958" i="9"/>
  <c r="F958" i="9"/>
  <c r="E958" i="9"/>
  <c r="C958" i="9"/>
  <c r="L958" i="9"/>
  <c r="K958" i="9"/>
  <c r="D957" i="9"/>
  <c r="M957" i="9"/>
  <c r="L957" i="9"/>
  <c r="O957" i="9"/>
  <c r="J957" i="9"/>
  <c r="P957" i="9"/>
  <c r="K957" i="9"/>
  <c r="N957" i="9"/>
  <c r="Q957" i="9"/>
  <c r="E957" i="9"/>
  <c r="F957" i="9"/>
  <c r="M956" i="9"/>
  <c r="Q956" i="9"/>
  <c r="J956" i="9"/>
  <c r="D956" i="9"/>
  <c r="P956" i="9"/>
  <c r="K956" i="9"/>
  <c r="O956" i="9"/>
  <c r="L956" i="9"/>
  <c r="C956" i="9"/>
  <c r="E956" i="9"/>
  <c r="F956" i="9"/>
  <c r="N956" i="9"/>
  <c r="C955" i="9"/>
  <c r="N955" i="9"/>
  <c r="L955" i="9"/>
  <c r="E955" i="9"/>
  <c r="J955" i="9"/>
  <c r="F955" i="9"/>
  <c r="D955" i="9"/>
  <c r="K955" i="9"/>
  <c r="M955" i="9"/>
  <c r="O955" i="9"/>
  <c r="P955" i="9"/>
  <c r="Q955" i="9"/>
  <c r="M954" i="9"/>
  <c r="O954" i="9"/>
  <c r="Q954" i="9"/>
  <c r="N954" i="9"/>
  <c r="L954" i="9"/>
  <c r="J954" i="9"/>
  <c r="E954" i="9"/>
  <c r="C954" i="9"/>
  <c r="P954" i="9"/>
  <c r="F954" i="9"/>
  <c r="K954" i="9"/>
  <c r="D954" i="9"/>
  <c r="O953" i="9"/>
  <c r="L953" i="9"/>
  <c r="N953" i="9"/>
  <c r="P953" i="9"/>
  <c r="D953" i="9"/>
  <c r="J953" i="9"/>
  <c r="M953" i="9"/>
  <c r="Q953" i="9"/>
  <c r="K953" i="9"/>
  <c r="F953" i="9"/>
  <c r="E953" i="9"/>
  <c r="C953" i="9"/>
  <c r="C952" i="9"/>
  <c r="J952" i="9"/>
  <c r="N952" i="9"/>
  <c r="K952" i="9"/>
  <c r="L952" i="9"/>
  <c r="Q952" i="9"/>
  <c r="F952" i="9"/>
  <c r="D952" i="9"/>
  <c r="M952" i="9"/>
  <c r="O952" i="9"/>
  <c r="E952" i="9"/>
  <c r="P952" i="9"/>
  <c r="D951" i="9"/>
  <c r="C951" i="9"/>
  <c r="E951" i="9"/>
  <c r="L951" i="9"/>
  <c r="Q951" i="9"/>
  <c r="K951" i="9"/>
  <c r="O951" i="9"/>
  <c r="N951" i="9"/>
  <c r="J951" i="9"/>
  <c r="F951" i="9"/>
  <c r="M951" i="9"/>
  <c r="P951" i="9"/>
  <c r="E950" i="9"/>
  <c r="C950" i="9"/>
  <c r="F950" i="9"/>
  <c r="J950" i="9"/>
  <c r="L950" i="9"/>
  <c r="N950" i="9"/>
  <c r="O950" i="9"/>
  <c r="K950" i="9"/>
  <c r="D950" i="9"/>
  <c r="P950" i="9"/>
  <c r="Q950" i="9"/>
  <c r="M950" i="9"/>
  <c r="L949" i="9"/>
  <c r="N949" i="9"/>
  <c r="P949" i="9"/>
  <c r="K949" i="9"/>
  <c r="F949" i="9"/>
  <c r="E949" i="9"/>
  <c r="D949" i="9"/>
  <c r="J949" i="9"/>
  <c r="Q949" i="9"/>
  <c r="O949" i="9"/>
  <c r="M949" i="9"/>
  <c r="C949" i="9"/>
  <c r="O948" i="9"/>
  <c r="K948" i="9"/>
  <c r="N948" i="9"/>
  <c r="Q948" i="9"/>
  <c r="P948" i="9"/>
  <c r="C948" i="9"/>
  <c r="D948" i="9"/>
  <c r="J948" i="9"/>
  <c r="M948" i="9"/>
  <c r="L948" i="9"/>
  <c r="C947" i="9"/>
  <c r="F947" i="9"/>
  <c r="Q947" i="9"/>
  <c r="N947" i="9"/>
  <c r="D947" i="9"/>
  <c r="L947" i="9"/>
  <c r="O947" i="9"/>
  <c r="P947" i="9"/>
  <c r="M947" i="9"/>
  <c r="J947" i="9"/>
  <c r="E947" i="9"/>
  <c r="K947" i="9"/>
  <c r="N946" i="9"/>
  <c r="J946" i="9"/>
  <c r="L946" i="9"/>
  <c r="M946" i="9"/>
  <c r="E946" i="9"/>
  <c r="Q946" i="9"/>
  <c r="O946" i="9"/>
  <c r="P946" i="9"/>
  <c r="K946" i="9"/>
  <c r="F946" i="9"/>
  <c r="D946" i="9"/>
  <c r="C946" i="9"/>
  <c r="M945" i="9"/>
  <c r="J945" i="9"/>
  <c r="P945" i="9"/>
  <c r="K945" i="9"/>
  <c r="N945" i="9"/>
  <c r="D945" i="9"/>
  <c r="Q945" i="9"/>
  <c r="O945" i="9"/>
  <c r="L945" i="9"/>
  <c r="C945" i="9"/>
  <c r="F945" i="9"/>
  <c r="E945" i="9"/>
  <c r="N944" i="9"/>
  <c r="K944" i="9"/>
  <c r="P944" i="9"/>
  <c r="F944" i="9"/>
  <c r="L944" i="9"/>
  <c r="Q944" i="9"/>
  <c r="D944" i="9"/>
  <c r="C944" i="9"/>
  <c r="J944" i="9"/>
  <c r="O944" i="9"/>
  <c r="M944" i="9"/>
  <c r="E944" i="9"/>
  <c r="F943" i="9"/>
  <c r="Q943" i="9"/>
  <c r="P943" i="9"/>
  <c r="K943" i="9"/>
  <c r="J943" i="9"/>
  <c r="N943" i="9"/>
  <c r="M943" i="9"/>
  <c r="D943" i="9"/>
  <c r="O943" i="9"/>
  <c r="L943" i="9"/>
  <c r="E943" i="9"/>
  <c r="C943" i="9"/>
  <c r="E942" i="9"/>
  <c r="K942" i="9"/>
  <c r="O942" i="9"/>
  <c r="Q942" i="9"/>
  <c r="N942" i="9"/>
  <c r="J942" i="9"/>
  <c r="D942" i="9"/>
  <c r="C942" i="9"/>
  <c r="F942" i="9"/>
  <c r="L942" i="9"/>
  <c r="P942" i="9"/>
  <c r="M942" i="9"/>
  <c r="L941" i="9"/>
  <c r="Q941" i="9"/>
  <c r="D941" i="9"/>
  <c r="K941" i="9"/>
  <c r="C941" i="9"/>
  <c r="M941" i="9"/>
  <c r="N941" i="9"/>
  <c r="P941" i="9"/>
  <c r="O941" i="9"/>
  <c r="J941" i="9"/>
  <c r="F941" i="9"/>
  <c r="E941" i="9"/>
  <c r="M940" i="9"/>
  <c r="O940" i="9"/>
  <c r="P940" i="9"/>
  <c r="K940" i="9"/>
  <c r="L940" i="9"/>
  <c r="D940" i="9"/>
  <c r="C940" i="9"/>
  <c r="E940" i="9"/>
  <c r="Q940" i="9"/>
  <c r="N940" i="9"/>
  <c r="J940" i="9"/>
  <c r="F940" i="9"/>
  <c r="J939" i="9"/>
  <c r="N939" i="9"/>
  <c r="P939" i="9"/>
  <c r="M939" i="9"/>
  <c r="K939" i="9"/>
  <c r="C939" i="9"/>
  <c r="D939" i="9"/>
  <c r="L939" i="9"/>
  <c r="Q939" i="9"/>
  <c r="F939" i="9"/>
  <c r="E939" i="9"/>
  <c r="O939" i="9"/>
  <c r="J938" i="9"/>
  <c r="D938" i="9"/>
  <c r="F938" i="9"/>
  <c r="L938" i="9"/>
  <c r="Q938" i="9"/>
  <c r="O938" i="9"/>
  <c r="N938" i="9"/>
  <c r="E938" i="9"/>
  <c r="P938" i="9"/>
  <c r="M938" i="9"/>
  <c r="K938" i="9"/>
  <c r="C938" i="9"/>
  <c r="P937" i="9"/>
  <c r="N937" i="9"/>
  <c r="J937" i="9"/>
  <c r="F937" i="9"/>
  <c r="E937" i="9"/>
  <c r="C937" i="9"/>
  <c r="K937" i="9"/>
  <c r="Q937" i="9"/>
  <c r="M937" i="9"/>
  <c r="D937" i="9"/>
  <c r="O937" i="9"/>
  <c r="L937" i="9"/>
  <c r="J936" i="9"/>
  <c r="L936" i="9"/>
  <c r="M936" i="9"/>
  <c r="D936" i="9"/>
  <c r="O936" i="9"/>
  <c r="K936" i="9"/>
  <c r="F936" i="9"/>
  <c r="E936" i="9"/>
  <c r="Q936" i="9"/>
  <c r="P936" i="9"/>
  <c r="N936" i="9"/>
  <c r="J935" i="9"/>
  <c r="F935" i="9"/>
  <c r="E935" i="9"/>
  <c r="D935" i="9"/>
  <c r="N935" i="9"/>
  <c r="M935" i="9"/>
  <c r="Q935" i="9"/>
  <c r="P935" i="9"/>
  <c r="K935" i="9"/>
  <c r="C935" i="9"/>
  <c r="O935" i="9"/>
  <c r="L935" i="9"/>
  <c r="C934" i="9"/>
  <c r="D934" i="9"/>
  <c r="F934" i="9"/>
  <c r="J934" i="9"/>
  <c r="M934" i="9"/>
  <c r="E934" i="9"/>
  <c r="K934" i="9"/>
  <c r="Q934" i="9"/>
  <c r="N934" i="9"/>
  <c r="L934" i="9"/>
  <c r="P934" i="9"/>
  <c r="O934" i="9"/>
  <c r="O933" i="9"/>
  <c r="M933" i="9"/>
  <c r="K933" i="9"/>
  <c r="D933" i="9"/>
  <c r="C933" i="9"/>
  <c r="L933" i="9"/>
  <c r="Q933" i="9"/>
  <c r="P933" i="9"/>
  <c r="F933" i="9"/>
  <c r="J933" i="9"/>
  <c r="N933" i="9"/>
  <c r="E933" i="9"/>
  <c r="Q932" i="9"/>
  <c r="O932" i="9"/>
  <c r="K932" i="9"/>
  <c r="E932" i="9"/>
  <c r="C932" i="9"/>
  <c r="D932" i="9"/>
  <c r="F932" i="9"/>
  <c r="L932" i="9"/>
  <c r="N932" i="9"/>
  <c r="J932" i="9"/>
  <c r="P932" i="9"/>
  <c r="M932" i="9"/>
  <c r="J931" i="9"/>
  <c r="P931" i="9"/>
  <c r="N931" i="9"/>
  <c r="K931" i="9"/>
  <c r="M931" i="9"/>
  <c r="Q931" i="9"/>
  <c r="F931" i="9"/>
  <c r="D931" i="9"/>
  <c r="E931" i="9"/>
  <c r="L931" i="9"/>
  <c r="O931" i="9"/>
  <c r="C931" i="9"/>
  <c r="L930" i="9"/>
  <c r="C930" i="9"/>
  <c r="N930" i="9"/>
  <c r="O930" i="9"/>
  <c r="P930" i="9"/>
  <c r="E930" i="9"/>
  <c r="Q930" i="9"/>
  <c r="K930" i="9"/>
  <c r="M930" i="9"/>
  <c r="D930" i="9"/>
  <c r="F930" i="9"/>
  <c r="J930" i="9"/>
  <c r="J929" i="9"/>
  <c r="P929" i="9"/>
  <c r="E929" i="9"/>
  <c r="D929" i="9"/>
  <c r="F929" i="9"/>
  <c r="K929" i="9"/>
  <c r="N929" i="9"/>
  <c r="L929" i="9"/>
  <c r="O929" i="9"/>
  <c r="Q929" i="9"/>
  <c r="M929" i="9"/>
  <c r="C929" i="9"/>
  <c r="Q928" i="9"/>
  <c r="L928" i="9"/>
  <c r="O928" i="9"/>
  <c r="M928" i="9"/>
  <c r="F928" i="9"/>
  <c r="J928" i="9"/>
  <c r="K928" i="9"/>
  <c r="D928" i="9"/>
  <c r="C928" i="9"/>
  <c r="E928" i="9"/>
  <c r="N928" i="9"/>
  <c r="P928" i="9"/>
  <c r="P927" i="9"/>
  <c r="O927" i="9"/>
  <c r="K927" i="9"/>
  <c r="E927" i="9"/>
  <c r="M927" i="9"/>
  <c r="Q927" i="9"/>
  <c r="F927" i="9"/>
  <c r="N927" i="9"/>
  <c r="J927" i="9"/>
  <c r="L927" i="9"/>
  <c r="C927" i="9"/>
  <c r="D927" i="9"/>
  <c r="J926" i="9"/>
  <c r="L926" i="9"/>
  <c r="Q926" i="9"/>
  <c r="K926" i="9"/>
  <c r="C926" i="9"/>
  <c r="D926" i="9"/>
  <c r="F926" i="9"/>
  <c r="M926" i="9"/>
  <c r="N926" i="9"/>
  <c r="P926" i="9"/>
  <c r="E926" i="9"/>
  <c r="O926" i="9"/>
  <c r="J925" i="9"/>
  <c r="F925" i="9"/>
  <c r="K925" i="9"/>
  <c r="Q925" i="9"/>
  <c r="M925" i="9"/>
  <c r="O925" i="9"/>
  <c r="N925" i="9"/>
  <c r="D925" i="9"/>
  <c r="C925" i="9"/>
  <c r="E925" i="9"/>
  <c r="L925" i="9"/>
  <c r="P925" i="9"/>
  <c r="F924" i="9"/>
  <c r="J924" i="9"/>
  <c r="M924" i="9"/>
  <c r="O924" i="9"/>
  <c r="K924" i="9"/>
  <c r="N924" i="9"/>
  <c r="Q924" i="9"/>
  <c r="P924" i="9"/>
  <c r="D924" i="9"/>
  <c r="L924" i="9"/>
  <c r="E924" i="9"/>
  <c r="Q923" i="9"/>
  <c r="L923" i="9"/>
  <c r="C923" i="9"/>
  <c r="J923" i="9"/>
  <c r="N923" i="9"/>
  <c r="E923" i="9"/>
  <c r="O923" i="9"/>
  <c r="D923" i="9"/>
  <c r="F923" i="9"/>
  <c r="K923" i="9"/>
  <c r="M923" i="9"/>
  <c r="P923" i="9"/>
  <c r="Q922" i="9"/>
  <c r="K922" i="9"/>
  <c r="E922" i="9"/>
  <c r="D922" i="9"/>
  <c r="F922" i="9"/>
  <c r="C922" i="9"/>
  <c r="L922" i="9"/>
  <c r="O922" i="9"/>
  <c r="M922" i="9"/>
  <c r="P922" i="9"/>
  <c r="J922" i="9"/>
  <c r="N922" i="9"/>
  <c r="Q921" i="9"/>
  <c r="O921" i="9"/>
  <c r="N921" i="9"/>
  <c r="K921" i="9"/>
  <c r="F921" i="9"/>
  <c r="D921" i="9"/>
  <c r="E921" i="9"/>
  <c r="L921" i="9"/>
  <c r="P921" i="9"/>
  <c r="J921" i="9"/>
  <c r="M921" i="9"/>
  <c r="C921" i="9"/>
  <c r="N920" i="9"/>
  <c r="L920" i="9"/>
  <c r="E920" i="9"/>
  <c r="C920" i="9"/>
  <c r="F920" i="9"/>
  <c r="D920" i="9"/>
  <c r="J920" i="9"/>
  <c r="M920" i="9"/>
  <c r="O920" i="9"/>
  <c r="P920" i="9"/>
  <c r="Q920" i="9"/>
  <c r="K920" i="9"/>
  <c r="J919" i="9"/>
  <c r="F919" i="9"/>
  <c r="E919" i="9"/>
  <c r="D919" i="9"/>
  <c r="L919" i="9"/>
  <c r="P919" i="9"/>
  <c r="O919" i="9"/>
  <c r="M919" i="9"/>
  <c r="Q919" i="9"/>
  <c r="K919" i="9"/>
  <c r="C919" i="9"/>
  <c r="N919" i="9"/>
  <c r="M918" i="9"/>
  <c r="J918" i="9"/>
  <c r="N918" i="9"/>
  <c r="L918" i="9"/>
  <c r="O918" i="9"/>
  <c r="P918" i="9"/>
  <c r="D918" i="9"/>
  <c r="F918" i="9"/>
  <c r="K918" i="9"/>
  <c r="Q918" i="9"/>
  <c r="E918" i="9"/>
  <c r="C918" i="9"/>
  <c r="O917" i="9"/>
  <c r="K917" i="9"/>
  <c r="N917" i="9"/>
  <c r="Q917" i="9"/>
  <c r="J917" i="9"/>
  <c r="F917" i="9"/>
  <c r="D917" i="9"/>
  <c r="C917" i="9"/>
  <c r="E917" i="9"/>
  <c r="M917" i="9"/>
  <c r="L917" i="9"/>
  <c r="P917" i="9"/>
  <c r="Q916" i="9"/>
  <c r="L916" i="9"/>
  <c r="N916" i="9"/>
  <c r="E916" i="9"/>
  <c r="O916" i="9"/>
  <c r="K916" i="9"/>
  <c r="F916" i="9"/>
  <c r="D916" i="9"/>
  <c r="M916" i="9"/>
  <c r="C916" i="9"/>
  <c r="J916" i="9"/>
  <c r="P916" i="9"/>
  <c r="M915" i="9"/>
  <c r="J915" i="9"/>
  <c r="C915" i="9"/>
  <c r="Q915" i="9"/>
  <c r="K915" i="9"/>
  <c r="E915" i="9"/>
  <c r="L915" i="9"/>
  <c r="F915" i="9"/>
  <c r="D915" i="9"/>
  <c r="N915" i="9"/>
  <c r="P915" i="9"/>
  <c r="O915" i="9"/>
  <c r="Q914" i="9"/>
  <c r="L914" i="9"/>
  <c r="E914" i="9"/>
  <c r="P914" i="9"/>
  <c r="M914" i="9"/>
  <c r="J914" i="9"/>
  <c r="F914" i="9"/>
  <c r="D914" i="9"/>
  <c r="C914" i="9"/>
  <c r="O914" i="9"/>
  <c r="N914" i="9"/>
  <c r="K914" i="9"/>
  <c r="C913" i="9"/>
  <c r="M913" i="9"/>
  <c r="D913" i="9"/>
  <c r="F913" i="9"/>
  <c r="N913" i="9"/>
  <c r="O913" i="9"/>
  <c r="P913" i="9"/>
  <c r="J913" i="9"/>
  <c r="Q913" i="9"/>
  <c r="L913" i="9"/>
  <c r="K913" i="9"/>
  <c r="E913" i="9"/>
  <c r="Q912" i="9"/>
  <c r="D912" i="9"/>
  <c r="F912" i="9"/>
  <c r="O912" i="9"/>
  <c r="N912" i="9"/>
  <c r="L912" i="9"/>
  <c r="J912" i="9"/>
  <c r="E912" i="9"/>
  <c r="C912" i="9"/>
  <c r="P912" i="9"/>
  <c r="M912" i="9"/>
  <c r="K912" i="9"/>
  <c r="N911" i="9"/>
  <c r="P911" i="9"/>
  <c r="M911" i="9"/>
  <c r="C911" i="9"/>
  <c r="F911" i="9"/>
  <c r="J911" i="9"/>
  <c r="O911" i="9"/>
  <c r="L911" i="9"/>
  <c r="K911" i="9"/>
  <c r="E911" i="9"/>
  <c r="Q911" i="9"/>
  <c r="D911" i="9"/>
  <c r="Q910" i="9"/>
  <c r="D910" i="9"/>
  <c r="L910" i="9"/>
  <c r="O910" i="9"/>
  <c r="N910" i="9"/>
  <c r="M910" i="9"/>
  <c r="C910" i="9"/>
  <c r="J910" i="9"/>
  <c r="P910" i="9"/>
  <c r="K910" i="9"/>
  <c r="F910" i="9"/>
  <c r="E910" i="9"/>
  <c r="L909" i="9"/>
  <c r="C909" i="9"/>
  <c r="K909" i="9"/>
  <c r="N909" i="9"/>
  <c r="Q909" i="9"/>
  <c r="J909" i="9"/>
  <c r="P909" i="9"/>
  <c r="F909" i="9"/>
  <c r="M909" i="9"/>
  <c r="E909" i="9"/>
  <c r="D909" i="9"/>
  <c r="O909" i="9"/>
  <c r="L908" i="9"/>
  <c r="D908" i="9"/>
  <c r="K908" i="9"/>
  <c r="O908" i="9"/>
  <c r="M908" i="9"/>
  <c r="F908" i="9"/>
  <c r="P908" i="9"/>
  <c r="N908" i="9"/>
  <c r="C908" i="9"/>
  <c r="E908" i="9"/>
  <c r="J908" i="9"/>
  <c r="Q908" i="9"/>
  <c r="N907" i="9"/>
  <c r="C907" i="9"/>
  <c r="F907" i="9"/>
  <c r="M907" i="9"/>
  <c r="O907" i="9"/>
  <c r="L907" i="9"/>
  <c r="K907" i="9"/>
  <c r="P907" i="9"/>
  <c r="J907" i="9"/>
  <c r="D907" i="9"/>
  <c r="E907" i="9"/>
  <c r="Q907" i="9"/>
  <c r="K906" i="9"/>
  <c r="D906" i="9"/>
  <c r="J906" i="9"/>
  <c r="Q906" i="9"/>
  <c r="M906" i="9"/>
  <c r="E906" i="9"/>
  <c r="C906" i="9"/>
  <c r="N906" i="9"/>
  <c r="O906" i="9"/>
  <c r="P906" i="9"/>
  <c r="L906" i="9"/>
  <c r="F906" i="9"/>
  <c r="K905" i="9"/>
  <c r="E905" i="9"/>
  <c r="C905" i="9"/>
  <c r="J905" i="9"/>
  <c r="P905" i="9"/>
  <c r="L905" i="9"/>
  <c r="O905" i="9"/>
  <c r="N905" i="9"/>
  <c r="D905" i="9"/>
  <c r="F905" i="9"/>
  <c r="Q905" i="9"/>
  <c r="M905" i="9"/>
  <c r="C904" i="9"/>
  <c r="K904" i="9"/>
  <c r="E904" i="9"/>
  <c r="F904" i="9"/>
  <c r="M904" i="9"/>
  <c r="Q904" i="9"/>
  <c r="D904" i="9"/>
  <c r="O904" i="9"/>
  <c r="N904" i="9"/>
  <c r="L904" i="9"/>
  <c r="J904" i="9"/>
  <c r="P904" i="9"/>
  <c r="F903" i="9"/>
  <c r="D903" i="9"/>
  <c r="L903" i="9"/>
  <c r="Q903" i="9"/>
  <c r="P903" i="9"/>
  <c r="J903" i="9"/>
  <c r="E903" i="9"/>
  <c r="O903" i="9"/>
  <c r="M903" i="9"/>
  <c r="N903" i="9"/>
  <c r="C903" i="9"/>
  <c r="K903" i="9"/>
  <c r="O902" i="9"/>
  <c r="J902" i="9"/>
  <c r="C902" i="9"/>
  <c r="E902" i="9"/>
  <c r="L902" i="9"/>
  <c r="N902" i="9"/>
  <c r="P902" i="9"/>
  <c r="F902" i="9"/>
  <c r="D902" i="9"/>
  <c r="K902" i="9"/>
  <c r="M902" i="9"/>
  <c r="Q902" i="9"/>
  <c r="E901" i="9"/>
  <c r="O901" i="9"/>
  <c r="K901" i="9"/>
  <c r="C901" i="9"/>
  <c r="D901" i="9"/>
  <c r="F901" i="9"/>
  <c r="L901" i="9"/>
  <c r="M901" i="9"/>
  <c r="N901" i="9"/>
  <c r="Q901" i="9"/>
  <c r="J901" i="9"/>
  <c r="P901" i="9"/>
  <c r="P900" i="9"/>
  <c r="J900" i="9"/>
  <c r="F900" i="9"/>
  <c r="K900" i="9"/>
  <c r="Q900" i="9"/>
  <c r="L900" i="9"/>
  <c r="M900" i="9"/>
  <c r="D900" i="9"/>
  <c r="E900" i="9"/>
  <c r="N900" i="9"/>
  <c r="O900" i="9"/>
  <c r="C900" i="9"/>
  <c r="L899" i="9"/>
  <c r="E899" i="9"/>
  <c r="F899" i="9"/>
  <c r="J899" i="9"/>
  <c r="P899" i="9"/>
  <c r="C899" i="9"/>
  <c r="D899" i="9"/>
  <c r="N899" i="9"/>
  <c r="M899" i="9"/>
  <c r="K899" i="9"/>
  <c r="O899" i="9"/>
  <c r="Q899" i="9"/>
  <c r="M898" i="9"/>
  <c r="E898" i="9"/>
  <c r="C898" i="9"/>
  <c r="K898" i="9"/>
  <c r="D898" i="9"/>
  <c r="F898" i="9"/>
  <c r="P898" i="9"/>
  <c r="O898" i="9"/>
  <c r="L898" i="9"/>
  <c r="Q898" i="9"/>
  <c r="N898" i="9"/>
  <c r="J898" i="9"/>
  <c r="C897" i="9"/>
  <c r="K897" i="9"/>
  <c r="O897" i="9"/>
  <c r="P897" i="9"/>
  <c r="N897" i="9"/>
  <c r="M897" i="9"/>
  <c r="J897" i="9"/>
  <c r="Q897" i="9"/>
  <c r="F897" i="9"/>
  <c r="E897" i="9"/>
  <c r="D897" i="9"/>
  <c r="L897" i="9"/>
  <c r="F896" i="9"/>
  <c r="L896" i="9"/>
  <c r="E896" i="9"/>
  <c r="Q896" i="9"/>
  <c r="M896" i="9"/>
  <c r="P896" i="9"/>
  <c r="D896" i="9"/>
  <c r="N896" i="9"/>
  <c r="C896" i="9"/>
  <c r="K896" i="9"/>
  <c r="O896" i="9"/>
  <c r="J896" i="9"/>
  <c r="P895" i="9"/>
  <c r="F895" i="9"/>
  <c r="O895" i="9"/>
  <c r="J895" i="9"/>
  <c r="L895" i="9"/>
  <c r="M895" i="9"/>
  <c r="N895" i="9"/>
  <c r="E895" i="9"/>
  <c r="C895" i="9"/>
  <c r="Q895" i="9"/>
  <c r="K895" i="9"/>
  <c r="D895" i="9"/>
  <c r="D894" i="9"/>
  <c r="J894" i="9"/>
  <c r="K894" i="9"/>
  <c r="P894" i="9"/>
  <c r="L894" i="9"/>
  <c r="Q894" i="9"/>
  <c r="M894" i="9"/>
  <c r="N894" i="9"/>
  <c r="F894" i="9"/>
  <c r="E894" i="9"/>
  <c r="C894" i="9"/>
  <c r="O894" i="9"/>
  <c r="C893" i="9"/>
  <c r="P893" i="9"/>
  <c r="N893" i="9"/>
  <c r="K893" i="9"/>
  <c r="Q893" i="9"/>
  <c r="O893" i="9"/>
  <c r="M893" i="9"/>
  <c r="D893" i="9"/>
  <c r="L893" i="9"/>
  <c r="J893" i="9"/>
  <c r="F893" i="9"/>
  <c r="E893" i="9"/>
  <c r="K892" i="9"/>
  <c r="C892" i="9"/>
  <c r="L892" i="9"/>
  <c r="P892" i="9"/>
  <c r="O892" i="9"/>
  <c r="F892" i="9"/>
  <c r="D892" i="9"/>
  <c r="N892" i="9"/>
  <c r="M892" i="9"/>
  <c r="J892" i="9"/>
  <c r="Q892" i="9"/>
  <c r="E892" i="9"/>
  <c r="M891" i="9"/>
  <c r="N891" i="9"/>
  <c r="K891" i="9"/>
  <c r="E891" i="9"/>
  <c r="Q891" i="9"/>
  <c r="D891" i="9"/>
  <c r="F891" i="9"/>
  <c r="J891" i="9"/>
  <c r="L891" i="9"/>
  <c r="O891" i="9"/>
  <c r="C891" i="9"/>
  <c r="P891" i="9"/>
  <c r="K890" i="9"/>
  <c r="E890" i="9"/>
  <c r="C890" i="9"/>
  <c r="F890" i="9"/>
  <c r="J890" i="9"/>
  <c r="N890" i="9"/>
  <c r="P890" i="9"/>
  <c r="O890" i="9"/>
  <c r="D890" i="9"/>
  <c r="M890" i="9"/>
  <c r="Q890" i="9"/>
  <c r="L890" i="9"/>
  <c r="F889" i="9"/>
  <c r="K889" i="9"/>
  <c r="D889" i="9"/>
  <c r="C889" i="9"/>
  <c r="O889" i="9"/>
  <c r="L889" i="9"/>
  <c r="E889" i="9"/>
  <c r="M889" i="9"/>
  <c r="P889" i="9"/>
  <c r="Q889" i="9"/>
  <c r="N889" i="9"/>
  <c r="J889" i="9"/>
  <c r="O888" i="9"/>
  <c r="E888" i="9"/>
  <c r="F888" i="9"/>
  <c r="J888" i="9"/>
  <c r="N888" i="9"/>
  <c r="P888" i="9"/>
  <c r="Q888" i="9"/>
  <c r="M888" i="9"/>
  <c r="L888" i="9"/>
  <c r="C888" i="9"/>
  <c r="D888" i="9"/>
  <c r="K888" i="9"/>
  <c r="N887" i="9"/>
  <c r="C887" i="9"/>
  <c r="L887" i="9"/>
  <c r="E887" i="9"/>
  <c r="K887" i="9"/>
  <c r="M887" i="9"/>
  <c r="O887" i="9"/>
  <c r="P887" i="9"/>
  <c r="F887" i="9"/>
  <c r="D887" i="9"/>
  <c r="Q887" i="9"/>
  <c r="J887" i="9"/>
  <c r="P886" i="9"/>
  <c r="K886" i="9"/>
  <c r="N886" i="9"/>
  <c r="F886" i="9"/>
  <c r="L886" i="9"/>
  <c r="J886" i="9"/>
  <c r="Q886" i="9"/>
  <c r="D886" i="9"/>
  <c r="O886" i="9"/>
  <c r="M886" i="9"/>
  <c r="C886" i="9"/>
  <c r="E886" i="9"/>
  <c r="F885" i="9"/>
  <c r="D885" i="9"/>
  <c r="P885" i="9"/>
  <c r="M885" i="9"/>
  <c r="O885" i="9"/>
  <c r="N885" i="9"/>
  <c r="K885" i="9"/>
  <c r="L885" i="9"/>
  <c r="Q885" i="9"/>
  <c r="J885" i="9"/>
  <c r="E885" i="9"/>
  <c r="C885" i="9"/>
  <c r="Q884" i="9"/>
  <c r="F884" i="9"/>
  <c r="J884" i="9"/>
  <c r="P884" i="9"/>
  <c r="D884" i="9"/>
  <c r="N884" i="9"/>
  <c r="L884" i="9"/>
  <c r="M884" i="9"/>
  <c r="O884" i="9"/>
  <c r="E884" i="9"/>
  <c r="K884" i="9"/>
  <c r="C884" i="9"/>
  <c r="L883" i="9"/>
  <c r="D883" i="9"/>
  <c r="F883" i="9"/>
  <c r="O883" i="9"/>
  <c r="M883" i="9"/>
  <c r="C883" i="9"/>
  <c r="N883" i="9"/>
  <c r="J883" i="9"/>
  <c r="E883" i="9"/>
  <c r="P883" i="9"/>
  <c r="Q883" i="9"/>
  <c r="K883" i="9"/>
  <c r="N882" i="9"/>
  <c r="F882" i="9"/>
  <c r="C882" i="9"/>
  <c r="E882" i="9"/>
  <c r="K882" i="9"/>
  <c r="D882" i="9"/>
  <c r="O882" i="9"/>
  <c r="J882" i="9"/>
  <c r="M882" i="9"/>
  <c r="P882" i="9"/>
  <c r="Q882" i="9"/>
  <c r="L882" i="9"/>
  <c r="O881" i="9"/>
  <c r="Q881" i="9"/>
  <c r="L881" i="9"/>
  <c r="F881" i="9"/>
  <c r="D881" i="9"/>
  <c r="C881" i="9"/>
  <c r="P881" i="9"/>
  <c r="N881" i="9"/>
  <c r="J881" i="9"/>
  <c r="K881" i="9"/>
  <c r="M881" i="9"/>
  <c r="E881" i="9"/>
  <c r="Q880" i="9"/>
  <c r="J880" i="9"/>
  <c r="F880" i="9"/>
  <c r="E880" i="9"/>
  <c r="C880" i="9"/>
  <c r="K880" i="9"/>
  <c r="M880" i="9"/>
  <c r="O880" i="9"/>
  <c r="N880" i="9"/>
  <c r="L880" i="9"/>
  <c r="P880" i="9"/>
  <c r="D880" i="9"/>
  <c r="Q879" i="9"/>
  <c r="C879" i="9"/>
  <c r="D879" i="9"/>
  <c r="K879" i="9"/>
  <c r="P879" i="9"/>
  <c r="M879" i="9"/>
  <c r="E879" i="9"/>
  <c r="F879" i="9"/>
  <c r="L879" i="9"/>
  <c r="J879" i="9"/>
  <c r="O879" i="9"/>
  <c r="N879" i="9"/>
  <c r="M878" i="9"/>
  <c r="D878" i="9"/>
  <c r="Q878" i="9"/>
  <c r="L878" i="9"/>
  <c r="N878" i="9"/>
  <c r="K878" i="9"/>
  <c r="C878" i="9"/>
  <c r="O878" i="9"/>
  <c r="J878" i="9"/>
  <c r="F878" i="9"/>
  <c r="E878" i="9"/>
  <c r="P878" i="9"/>
  <c r="N877" i="9"/>
  <c r="M877" i="9"/>
  <c r="C877" i="9"/>
  <c r="O877" i="9"/>
  <c r="L877" i="9"/>
  <c r="K877" i="9"/>
  <c r="J877" i="9"/>
  <c r="Q877" i="9"/>
  <c r="F877" i="9"/>
  <c r="E877" i="9"/>
  <c r="D877" i="9"/>
  <c r="P877" i="9"/>
  <c r="M876" i="9"/>
  <c r="D876" i="9"/>
  <c r="C876" i="9"/>
  <c r="P876" i="9"/>
  <c r="O876" i="9"/>
  <c r="L876" i="9"/>
  <c r="Q876" i="9"/>
  <c r="N876" i="9"/>
  <c r="K876" i="9"/>
  <c r="E876" i="9"/>
  <c r="J876" i="9"/>
  <c r="F876" i="9"/>
  <c r="P875" i="9"/>
  <c r="M875" i="9"/>
  <c r="K875" i="9"/>
  <c r="F875" i="9"/>
  <c r="C875" i="9"/>
  <c r="D875" i="9"/>
  <c r="L875" i="9"/>
  <c r="Q875" i="9"/>
  <c r="J875" i="9"/>
  <c r="E875" i="9"/>
  <c r="N875" i="9"/>
  <c r="O875" i="9"/>
  <c r="C874" i="9"/>
  <c r="D874" i="9"/>
  <c r="P874" i="9"/>
  <c r="L874" i="9"/>
  <c r="F874" i="9"/>
  <c r="K874" i="9"/>
  <c r="M874" i="9"/>
  <c r="O874" i="9"/>
  <c r="Q874" i="9"/>
  <c r="E874" i="9"/>
  <c r="J874" i="9"/>
  <c r="N874" i="9"/>
  <c r="L873" i="9"/>
  <c r="O873" i="9"/>
  <c r="J873" i="9"/>
  <c r="Q873" i="9"/>
  <c r="E873" i="9"/>
  <c r="K873" i="9"/>
  <c r="N873" i="9"/>
  <c r="C873" i="9"/>
  <c r="D873" i="9"/>
  <c r="F873" i="9"/>
  <c r="P873" i="9"/>
  <c r="M873" i="9"/>
  <c r="K872" i="9"/>
  <c r="L872" i="9"/>
  <c r="D872" i="9"/>
  <c r="M872" i="9"/>
  <c r="O872" i="9"/>
  <c r="N872" i="9"/>
  <c r="P872" i="9"/>
  <c r="C872" i="9"/>
  <c r="Q872" i="9"/>
  <c r="J872" i="9"/>
  <c r="E872" i="9"/>
  <c r="F872" i="9"/>
  <c r="O871" i="9"/>
  <c r="F871" i="9"/>
  <c r="L871" i="9"/>
  <c r="P871" i="9"/>
  <c r="M871" i="9"/>
  <c r="J871" i="9"/>
  <c r="C871" i="9"/>
  <c r="Q871" i="9"/>
  <c r="N871" i="9"/>
  <c r="K871" i="9"/>
  <c r="E871" i="9"/>
  <c r="D871" i="9"/>
  <c r="Q870" i="9"/>
  <c r="F870" i="9"/>
  <c r="M870" i="9"/>
  <c r="D870" i="9"/>
  <c r="J870" i="9"/>
  <c r="E870" i="9"/>
  <c r="C870" i="9"/>
  <c r="O870" i="9"/>
  <c r="N870" i="9"/>
  <c r="K870" i="9"/>
  <c r="P870" i="9"/>
  <c r="C869" i="9"/>
  <c r="E869" i="9"/>
  <c r="D869" i="9"/>
  <c r="L869" i="9"/>
  <c r="F869" i="9"/>
  <c r="J869" i="9"/>
  <c r="M869" i="9"/>
  <c r="O869" i="9"/>
  <c r="P869" i="9"/>
  <c r="N869" i="9"/>
  <c r="K869" i="9"/>
  <c r="Q869" i="9"/>
  <c r="K868" i="9"/>
  <c r="O868" i="9"/>
  <c r="M868" i="9"/>
  <c r="Q868" i="9"/>
  <c r="P868" i="9"/>
  <c r="N868" i="9"/>
  <c r="C868" i="9"/>
  <c r="D868" i="9"/>
  <c r="J868" i="9"/>
  <c r="E868" i="9"/>
  <c r="F868" i="9"/>
  <c r="L868" i="9"/>
  <c r="E867" i="9"/>
  <c r="L867" i="9"/>
  <c r="C867" i="9"/>
  <c r="Q867" i="9"/>
  <c r="O867" i="9"/>
  <c r="M867" i="9"/>
  <c r="K867" i="9"/>
  <c r="F867" i="9"/>
  <c r="P867" i="9"/>
  <c r="N867" i="9"/>
  <c r="J867" i="9"/>
  <c r="D867" i="9"/>
  <c r="C866" i="9"/>
  <c r="E866" i="9"/>
  <c r="M866" i="9"/>
  <c r="Q866" i="9"/>
  <c r="O866" i="9"/>
  <c r="N866" i="9"/>
  <c r="P866" i="9"/>
  <c r="J866" i="9"/>
  <c r="K866" i="9"/>
  <c r="F866" i="9"/>
  <c r="D866" i="9"/>
  <c r="L866" i="9"/>
  <c r="E865" i="9"/>
  <c r="F865" i="9"/>
  <c r="K865" i="9"/>
  <c r="N865" i="9"/>
  <c r="P865" i="9"/>
  <c r="O865" i="9"/>
  <c r="Q865" i="9"/>
  <c r="M865" i="9"/>
  <c r="C865" i="9"/>
  <c r="J865" i="9"/>
  <c r="D865" i="9"/>
  <c r="L865" i="9"/>
  <c r="K864" i="9"/>
  <c r="E864" i="9"/>
  <c r="C864" i="9"/>
  <c r="Q864" i="9"/>
  <c r="L864" i="9"/>
  <c r="D864" i="9"/>
  <c r="F864" i="9"/>
  <c r="J864" i="9"/>
  <c r="M864" i="9"/>
  <c r="O864" i="9"/>
  <c r="P864" i="9"/>
  <c r="N864" i="9"/>
  <c r="C863" i="9"/>
  <c r="L863" i="9"/>
  <c r="J863" i="9"/>
  <c r="E863" i="9"/>
  <c r="Q863" i="9"/>
  <c r="N863" i="9"/>
  <c r="P863" i="9"/>
  <c r="M863" i="9"/>
  <c r="K863" i="9"/>
  <c r="F863" i="9"/>
  <c r="D863" i="9"/>
  <c r="O863" i="9"/>
  <c r="M862" i="9"/>
  <c r="N862" i="9"/>
  <c r="Q862" i="9"/>
  <c r="L862" i="9"/>
  <c r="F862" i="9"/>
  <c r="C862" i="9"/>
  <c r="O862" i="9"/>
  <c r="D862" i="9"/>
  <c r="J862" i="9"/>
  <c r="K862" i="9"/>
  <c r="P862" i="9"/>
  <c r="E862" i="9"/>
  <c r="J861" i="9"/>
  <c r="D861" i="9"/>
  <c r="F861" i="9"/>
  <c r="M861" i="9"/>
  <c r="L861" i="9"/>
  <c r="P861" i="9"/>
  <c r="O861" i="9"/>
  <c r="C861" i="9"/>
  <c r="Q861" i="9"/>
  <c r="E861" i="9"/>
  <c r="N861" i="9"/>
  <c r="K861" i="9"/>
  <c r="D860" i="9"/>
  <c r="J860" i="9"/>
  <c r="O860" i="9"/>
  <c r="M860" i="9"/>
  <c r="E860" i="9"/>
  <c r="N860" i="9"/>
  <c r="L860" i="9"/>
  <c r="P860" i="9"/>
  <c r="F860" i="9"/>
  <c r="K860" i="9"/>
  <c r="C860" i="9"/>
  <c r="Q860" i="9"/>
  <c r="Q859" i="9"/>
  <c r="O859" i="9"/>
  <c r="K859" i="9"/>
  <c r="J859" i="9"/>
  <c r="L859" i="9"/>
  <c r="N859" i="9"/>
  <c r="P859" i="9"/>
  <c r="M859" i="9"/>
  <c r="C859" i="9"/>
  <c r="F859" i="9"/>
  <c r="D859" i="9"/>
  <c r="E859" i="9"/>
  <c r="P858" i="9"/>
  <c r="O858" i="9"/>
  <c r="K858" i="9"/>
  <c r="E858" i="9"/>
  <c r="D858" i="9"/>
  <c r="N858" i="9"/>
  <c r="L858" i="9"/>
  <c r="J858" i="9"/>
  <c r="Q858" i="9"/>
  <c r="M858" i="9"/>
  <c r="F858" i="9"/>
  <c r="C858" i="9"/>
  <c r="M857" i="9"/>
  <c r="E857" i="9"/>
  <c r="O857" i="9"/>
  <c r="J857" i="9"/>
  <c r="K857" i="9"/>
  <c r="L857" i="9"/>
  <c r="Q857" i="9"/>
  <c r="F857" i="9"/>
  <c r="P857" i="9"/>
  <c r="C857" i="9"/>
  <c r="N857" i="9"/>
  <c r="D857" i="9"/>
  <c r="O856" i="9"/>
  <c r="L856" i="9"/>
  <c r="F856" i="9"/>
  <c r="J856" i="9"/>
  <c r="Q856" i="9"/>
  <c r="K856" i="9"/>
  <c r="N856" i="9"/>
  <c r="E856" i="9"/>
  <c r="C856" i="9"/>
  <c r="D856" i="9"/>
  <c r="P856" i="9"/>
  <c r="M856" i="9"/>
  <c r="O855" i="9"/>
  <c r="N855" i="9"/>
  <c r="D855" i="9"/>
  <c r="F855" i="9"/>
  <c r="J855" i="9"/>
  <c r="M855" i="9"/>
  <c r="P855" i="9"/>
  <c r="K855" i="9"/>
  <c r="C855" i="9"/>
  <c r="E855" i="9"/>
  <c r="L855" i="9"/>
  <c r="Q855" i="9"/>
  <c r="E854" i="9"/>
  <c r="J854" i="9"/>
  <c r="F854" i="9"/>
  <c r="M854" i="9"/>
  <c r="C854" i="9"/>
  <c r="D854" i="9"/>
  <c r="K854" i="9"/>
  <c r="Q854" i="9"/>
  <c r="P854" i="9"/>
  <c r="N854" i="9"/>
  <c r="O854" i="9"/>
  <c r="L854" i="9"/>
  <c r="P853" i="9"/>
  <c r="K853" i="9"/>
  <c r="F853" i="9"/>
  <c r="E853" i="9"/>
  <c r="O853" i="9"/>
  <c r="L853" i="9"/>
  <c r="C853" i="9"/>
  <c r="N853" i="9"/>
  <c r="Q853" i="9"/>
  <c r="M853" i="9"/>
  <c r="J853" i="9"/>
  <c r="D853" i="9"/>
  <c r="K852" i="9"/>
  <c r="P852" i="9"/>
  <c r="N852" i="9"/>
  <c r="L852" i="9"/>
  <c r="D852" i="9"/>
  <c r="M852" i="9"/>
  <c r="O852" i="9"/>
  <c r="Q852" i="9"/>
  <c r="J852" i="9"/>
  <c r="F852" i="9"/>
  <c r="E852" i="9"/>
  <c r="C852" i="9"/>
  <c r="M851" i="9"/>
  <c r="O851" i="9"/>
  <c r="C851" i="9"/>
  <c r="E851" i="9"/>
  <c r="D851" i="9"/>
  <c r="P851" i="9"/>
  <c r="L851" i="9"/>
  <c r="J851" i="9"/>
  <c r="F851" i="9"/>
  <c r="K851" i="9"/>
  <c r="N851" i="9"/>
  <c r="Q851" i="9"/>
  <c r="O850" i="9"/>
  <c r="L850" i="9"/>
  <c r="J850" i="9"/>
  <c r="Q850" i="9"/>
  <c r="F850" i="9"/>
  <c r="M850" i="9"/>
  <c r="E850" i="9"/>
  <c r="P850" i="9"/>
  <c r="N850" i="9"/>
  <c r="K850" i="9"/>
  <c r="D850" i="9"/>
  <c r="C850" i="9"/>
  <c r="M849" i="9"/>
  <c r="C849" i="9"/>
  <c r="L849" i="9"/>
  <c r="N849" i="9"/>
  <c r="J849" i="9"/>
  <c r="F849" i="9"/>
  <c r="D849" i="9"/>
  <c r="O849" i="9"/>
  <c r="Q849" i="9"/>
  <c r="K849" i="9"/>
  <c r="E849" i="9"/>
  <c r="P849" i="9"/>
  <c r="P848" i="9"/>
  <c r="F848" i="9"/>
  <c r="E848" i="9"/>
  <c r="D848" i="9"/>
  <c r="O848" i="9"/>
  <c r="L848" i="9"/>
  <c r="J848" i="9"/>
  <c r="Q848" i="9"/>
  <c r="K848" i="9"/>
  <c r="M848" i="9"/>
  <c r="C848" i="9"/>
  <c r="N848" i="9"/>
  <c r="P847" i="9"/>
  <c r="K847" i="9"/>
  <c r="C847" i="9"/>
  <c r="N847" i="9"/>
  <c r="E847" i="9"/>
  <c r="J847" i="9"/>
  <c r="M847" i="9"/>
  <c r="D847" i="9"/>
  <c r="O847" i="9"/>
  <c r="F847" i="9"/>
  <c r="L847" i="9"/>
  <c r="Q847" i="9"/>
  <c r="Q846" i="9"/>
  <c r="N846" i="9"/>
  <c r="J846" i="9"/>
  <c r="F846" i="9"/>
  <c r="D846" i="9"/>
  <c r="C846" i="9"/>
  <c r="K846" i="9"/>
  <c r="L846" i="9"/>
  <c r="O846" i="9"/>
  <c r="P846" i="9"/>
  <c r="E846" i="9"/>
  <c r="M846" i="9"/>
  <c r="O845" i="9"/>
  <c r="M845" i="9"/>
  <c r="J845" i="9"/>
  <c r="F845" i="9"/>
  <c r="D845" i="9"/>
  <c r="P845" i="9"/>
  <c r="N845" i="9"/>
  <c r="K845" i="9"/>
  <c r="E845" i="9"/>
  <c r="C845" i="9"/>
  <c r="L845" i="9"/>
  <c r="Q845" i="9"/>
  <c r="J844" i="9"/>
  <c r="Q844" i="9"/>
  <c r="N844" i="9"/>
  <c r="L844" i="9"/>
  <c r="O844" i="9"/>
  <c r="P844" i="9"/>
  <c r="E844" i="9"/>
  <c r="D844" i="9"/>
  <c r="K844" i="9"/>
  <c r="M844" i="9"/>
  <c r="C844" i="9"/>
  <c r="F844" i="9"/>
  <c r="E843" i="9"/>
  <c r="F843" i="9"/>
  <c r="J843" i="9"/>
  <c r="N843" i="9"/>
  <c r="P843" i="9"/>
  <c r="O843" i="9"/>
  <c r="L843" i="9"/>
  <c r="K843" i="9"/>
  <c r="C843" i="9"/>
  <c r="D843" i="9"/>
  <c r="M843" i="9"/>
  <c r="Q843" i="9"/>
  <c r="C842" i="9"/>
  <c r="M842" i="9"/>
  <c r="J842" i="9"/>
  <c r="F842" i="9"/>
  <c r="E842" i="9"/>
  <c r="O842" i="9"/>
  <c r="K842" i="9"/>
  <c r="P842" i="9"/>
  <c r="N842" i="9"/>
  <c r="L842" i="9"/>
  <c r="Q842" i="9"/>
  <c r="J841" i="9"/>
  <c r="D841" i="9"/>
  <c r="M841" i="9"/>
  <c r="O841" i="9"/>
  <c r="F841" i="9"/>
  <c r="C841" i="9"/>
  <c r="K841" i="9"/>
  <c r="N841" i="9"/>
  <c r="Q841" i="9"/>
  <c r="E841" i="9"/>
  <c r="P841" i="9"/>
  <c r="L841" i="9"/>
  <c r="F840" i="9"/>
  <c r="D840" i="9"/>
  <c r="K840" i="9"/>
  <c r="O840" i="9"/>
  <c r="Q840" i="9"/>
  <c r="N840" i="9"/>
  <c r="L840" i="9"/>
  <c r="C840" i="9"/>
  <c r="J840" i="9"/>
  <c r="M840" i="9"/>
  <c r="P840" i="9"/>
  <c r="E840" i="9"/>
  <c r="Q839" i="9"/>
  <c r="L839" i="9"/>
  <c r="P839" i="9"/>
  <c r="E839" i="9"/>
  <c r="F839" i="9"/>
  <c r="J839" i="9"/>
  <c r="N839" i="9"/>
  <c r="M839" i="9"/>
  <c r="K839" i="9"/>
  <c r="D839" i="9"/>
  <c r="C839" i="9"/>
  <c r="O839" i="9"/>
  <c r="P838" i="9"/>
  <c r="N838" i="9"/>
  <c r="Q838" i="9"/>
  <c r="L838" i="9"/>
  <c r="C838" i="9"/>
  <c r="J838" i="9"/>
  <c r="O838" i="9"/>
  <c r="M838" i="9"/>
  <c r="F838" i="9"/>
  <c r="E838" i="9"/>
  <c r="D838" i="9"/>
  <c r="K838" i="9"/>
  <c r="Q837" i="9"/>
  <c r="O837" i="9"/>
  <c r="M837" i="9"/>
  <c r="J837" i="9"/>
  <c r="F837" i="9"/>
  <c r="E837" i="9"/>
  <c r="D837" i="9"/>
  <c r="K837" i="9"/>
  <c r="N837" i="9"/>
  <c r="P837" i="9"/>
  <c r="L837" i="9"/>
  <c r="E836" i="9"/>
  <c r="L836" i="9"/>
  <c r="F836" i="9"/>
  <c r="Q836" i="9"/>
  <c r="K836" i="9"/>
  <c r="D836" i="9"/>
  <c r="C836" i="9"/>
  <c r="J836" i="9"/>
  <c r="M836" i="9"/>
  <c r="N836" i="9"/>
  <c r="P836" i="9"/>
  <c r="O836" i="9"/>
  <c r="K835" i="9"/>
  <c r="Q835" i="9"/>
  <c r="L835" i="9"/>
  <c r="D835" i="9"/>
  <c r="J835" i="9"/>
  <c r="N835" i="9"/>
  <c r="O835" i="9"/>
  <c r="F835" i="9"/>
  <c r="C835" i="9"/>
  <c r="E835" i="9"/>
  <c r="M835" i="9"/>
  <c r="P835" i="9"/>
  <c r="K834" i="9"/>
  <c r="L834" i="9"/>
  <c r="E834" i="9"/>
  <c r="C834" i="9"/>
  <c r="J834" i="9"/>
  <c r="P834" i="9"/>
  <c r="N834" i="9"/>
  <c r="D834" i="9"/>
  <c r="M834" i="9"/>
  <c r="O834" i="9"/>
  <c r="F834" i="9"/>
  <c r="Q834" i="9"/>
  <c r="M833" i="9"/>
  <c r="J833" i="9"/>
  <c r="L833" i="9"/>
  <c r="N833" i="9"/>
  <c r="P833" i="9"/>
  <c r="F833" i="9"/>
  <c r="E833" i="9"/>
  <c r="D833" i="9"/>
  <c r="O833" i="9"/>
  <c r="K833" i="9"/>
  <c r="C833" i="9"/>
  <c r="Q833" i="9"/>
  <c r="N832" i="9"/>
  <c r="O832" i="9"/>
  <c r="D832" i="9"/>
  <c r="P832" i="9"/>
  <c r="J832" i="9"/>
  <c r="C832" i="9"/>
  <c r="Q832" i="9"/>
  <c r="K832" i="9"/>
  <c r="M832" i="9"/>
  <c r="E832" i="9"/>
  <c r="F832" i="9"/>
  <c r="L832" i="9"/>
  <c r="F831" i="9"/>
  <c r="L831" i="9"/>
  <c r="D831" i="9"/>
  <c r="N831" i="9"/>
  <c r="O831" i="9"/>
  <c r="M831" i="9"/>
  <c r="C831" i="9"/>
  <c r="P831" i="9"/>
  <c r="Q831" i="9"/>
  <c r="K831" i="9"/>
  <c r="E831" i="9"/>
  <c r="J831" i="9"/>
  <c r="O830" i="9"/>
  <c r="E830" i="9"/>
  <c r="C830" i="9"/>
  <c r="K830" i="9"/>
  <c r="Q830" i="9"/>
  <c r="N830" i="9"/>
  <c r="F830" i="9"/>
  <c r="J830" i="9"/>
  <c r="M830" i="9"/>
  <c r="L830" i="9"/>
  <c r="D830" i="9"/>
  <c r="P830" i="9"/>
  <c r="Q829" i="9"/>
  <c r="M829" i="9"/>
  <c r="J829" i="9"/>
  <c r="D829" i="9"/>
  <c r="E829" i="9"/>
  <c r="L829" i="9"/>
  <c r="O829" i="9"/>
  <c r="P829" i="9"/>
  <c r="K829" i="9"/>
  <c r="F829" i="9"/>
  <c r="C829" i="9"/>
  <c r="N829" i="9"/>
  <c r="O828" i="9"/>
  <c r="Q828" i="9"/>
  <c r="D828" i="9"/>
  <c r="F828" i="9"/>
  <c r="N828" i="9"/>
  <c r="K828" i="9"/>
  <c r="M828" i="9"/>
  <c r="C828" i="9"/>
  <c r="P828" i="9"/>
  <c r="E828" i="9"/>
  <c r="J828" i="9"/>
  <c r="L828" i="9"/>
  <c r="L827" i="9"/>
  <c r="O827" i="9"/>
  <c r="K827" i="9"/>
  <c r="Q827" i="9"/>
  <c r="P827" i="9"/>
  <c r="E827" i="9"/>
  <c r="F827" i="9"/>
  <c r="J827" i="9"/>
  <c r="N827" i="9"/>
  <c r="M827" i="9"/>
  <c r="C827" i="9"/>
  <c r="D827" i="9"/>
  <c r="J826" i="9"/>
  <c r="F826" i="9"/>
  <c r="E826" i="9"/>
  <c r="O826" i="9"/>
  <c r="P826" i="9"/>
  <c r="N826" i="9"/>
  <c r="L826" i="9"/>
  <c r="Q826" i="9"/>
  <c r="D826" i="9"/>
  <c r="C826" i="9"/>
  <c r="K826" i="9"/>
  <c r="M826" i="9"/>
  <c r="F825" i="9"/>
  <c r="O825" i="9"/>
  <c r="L825" i="9"/>
  <c r="E825" i="9"/>
  <c r="N825" i="9"/>
  <c r="K825" i="9"/>
  <c r="D825" i="9"/>
  <c r="Q825" i="9"/>
  <c r="P825" i="9"/>
  <c r="M825" i="9"/>
  <c r="J825" i="9"/>
  <c r="C825" i="9"/>
  <c r="Q824" i="9"/>
  <c r="M824" i="9"/>
  <c r="P824" i="9"/>
  <c r="L824" i="9"/>
  <c r="E824" i="9"/>
  <c r="C824" i="9"/>
  <c r="N824" i="9"/>
  <c r="K824" i="9"/>
  <c r="D824" i="9"/>
  <c r="F824" i="9"/>
  <c r="J824" i="9"/>
  <c r="O824" i="9"/>
  <c r="F823" i="9"/>
  <c r="M823" i="9"/>
  <c r="P823" i="9"/>
  <c r="K823" i="9"/>
  <c r="Q823" i="9"/>
  <c r="L823" i="9"/>
  <c r="O823" i="9"/>
  <c r="C823" i="9"/>
  <c r="D823" i="9"/>
  <c r="J823" i="9"/>
  <c r="N823" i="9"/>
  <c r="E823" i="9"/>
  <c r="F822" i="9"/>
  <c r="Q822" i="9"/>
  <c r="J822" i="9"/>
  <c r="E822" i="9"/>
  <c r="C822" i="9"/>
  <c r="P822" i="9"/>
  <c r="O822" i="9"/>
  <c r="M822" i="9"/>
  <c r="K822" i="9"/>
  <c r="N822" i="9"/>
  <c r="D822" i="9"/>
  <c r="L822" i="9"/>
  <c r="F821" i="9"/>
  <c r="K821" i="9"/>
  <c r="Q821" i="9"/>
  <c r="D821" i="9"/>
  <c r="J821" i="9"/>
  <c r="N821" i="9"/>
  <c r="L821" i="9"/>
  <c r="P821" i="9"/>
  <c r="O821" i="9"/>
  <c r="M821" i="9"/>
  <c r="C821" i="9"/>
  <c r="E821" i="9"/>
  <c r="D820" i="9"/>
  <c r="N820" i="9"/>
  <c r="Q820" i="9"/>
  <c r="L820" i="9"/>
  <c r="M820" i="9"/>
  <c r="E820" i="9"/>
  <c r="C820" i="9"/>
  <c r="P820" i="9"/>
  <c r="O820" i="9"/>
  <c r="J820" i="9"/>
  <c r="K820" i="9"/>
  <c r="F820" i="9"/>
  <c r="F819" i="9"/>
  <c r="M819" i="9"/>
  <c r="O819" i="9"/>
  <c r="N819" i="9"/>
  <c r="Q819" i="9"/>
  <c r="L819" i="9"/>
  <c r="P819" i="9"/>
  <c r="C819" i="9"/>
  <c r="K819" i="9"/>
  <c r="D819" i="9"/>
  <c r="J819" i="9"/>
  <c r="E819" i="9"/>
  <c r="N818" i="9"/>
  <c r="K818" i="9"/>
  <c r="M818" i="9"/>
  <c r="F818" i="9"/>
  <c r="L818" i="9"/>
  <c r="O818" i="9"/>
  <c r="P818" i="9"/>
  <c r="E818" i="9"/>
  <c r="D818" i="9"/>
  <c r="C818" i="9"/>
  <c r="J818" i="9"/>
  <c r="Q818" i="9"/>
  <c r="F817" i="9"/>
  <c r="E817" i="9"/>
  <c r="M817" i="9"/>
  <c r="Q817" i="9"/>
  <c r="P817" i="9"/>
  <c r="O817" i="9"/>
  <c r="C817" i="9"/>
  <c r="L817" i="9"/>
  <c r="J817" i="9"/>
  <c r="K817" i="9"/>
  <c r="D817" i="9"/>
  <c r="N817" i="9"/>
  <c r="M816" i="9"/>
  <c r="N816" i="9"/>
  <c r="Q816" i="9"/>
  <c r="L816" i="9"/>
  <c r="P816" i="9"/>
  <c r="K816" i="9"/>
  <c r="E816" i="9"/>
  <c r="D816" i="9"/>
  <c r="C816" i="9"/>
  <c r="F816" i="9"/>
  <c r="J816" i="9"/>
  <c r="O816" i="9"/>
  <c r="M815" i="9"/>
  <c r="L815" i="9"/>
  <c r="O815" i="9"/>
  <c r="K815" i="9"/>
  <c r="E815" i="9"/>
  <c r="C815" i="9"/>
  <c r="Q815" i="9"/>
  <c r="D815" i="9"/>
  <c r="F815" i="9"/>
  <c r="J815" i="9"/>
  <c r="N815" i="9"/>
  <c r="P815" i="9"/>
  <c r="P814" i="9"/>
  <c r="N814" i="9"/>
  <c r="E814" i="9"/>
  <c r="J814" i="9"/>
  <c r="K814" i="9"/>
  <c r="C814" i="9"/>
  <c r="O814" i="9"/>
  <c r="L814" i="9"/>
  <c r="F814" i="9"/>
  <c r="M814" i="9"/>
  <c r="Q814" i="9"/>
  <c r="D814" i="9"/>
  <c r="D813" i="9"/>
  <c r="F813" i="9"/>
  <c r="Q813" i="9"/>
  <c r="K813" i="9"/>
  <c r="M813" i="9"/>
  <c r="J813" i="9"/>
  <c r="E813" i="9"/>
  <c r="C813" i="9"/>
  <c r="O813" i="9"/>
  <c r="P813" i="9"/>
  <c r="L813" i="9"/>
  <c r="N813" i="9"/>
  <c r="L812" i="9"/>
  <c r="E812" i="9"/>
  <c r="Q812" i="9"/>
  <c r="N812" i="9"/>
  <c r="J812" i="9"/>
  <c r="M812" i="9"/>
  <c r="F812" i="9"/>
  <c r="D812" i="9"/>
  <c r="C812" i="9"/>
  <c r="K812" i="9"/>
  <c r="P812" i="9"/>
  <c r="O812" i="9"/>
  <c r="F811" i="9"/>
  <c r="J811" i="9"/>
  <c r="L811" i="9"/>
  <c r="M811" i="9"/>
  <c r="D811" i="9"/>
  <c r="Q811" i="9"/>
  <c r="N811" i="9"/>
  <c r="P811" i="9"/>
  <c r="K811" i="9"/>
  <c r="O811" i="9"/>
  <c r="E811" i="9"/>
  <c r="C811" i="9"/>
  <c r="D810" i="9"/>
  <c r="K810" i="9"/>
  <c r="J810" i="9"/>
  <c r="O810" i="9"/>
  <c r="L810" i="9"/>
  <c r="P810" i="9"/>
  <c r="C810" i="9"/>
  <c r="E810" i="9"/>
  <c r="M810" i="9"/>
  <c r="Q810" i="9"/>
  <c r="N810" i="9"/>
  <c r="F810" i="9"/>
  <c r="L809" i="9"/>
  <c r="K809" i="9"/>
  <c r="Q809" i="9"/>
  <c r="E809" i="9"/>
  <c r="M809" i="9"/>
  <c r="O809" i="9"/>
  <c r="F809" i="9"/>
  <c r="D809" i="9"/>
  <c r="P809" i="9"/>
  <c r="N809" i="9"/>
  <c r="C809" i="9"/>
  <c r="J809" i="9"/>
  <c r="P808" i="9"/>
  <c r="O808" i="9"/>
  <c r="L808" i="9"/>
  <c r="J808" i="9"/>
  <c r="K808" i="9"/>
  <c r="E808" i="9"/>
  <c r="M808" i="9"/>
  <c r="Q808" i="9"/>
  <c r="N808" i="9"/>
  <c r="C808" i="9"/>
  <c r="F808" i="9"/>
  <c r="D808" i="9"/>
  <c r="F807" i="9"/>
  <c r="D807" i="9"/>
  <c r="C807" i="9"/>
  <c r="E807" i="9"/>
  <c r="J807" i="9"/>
  <c r="M807" i="9"/>
  <c r="K807" i="9"/>
  <c r="P807" i="9"/>
  <c r="L807" i="9"/>
  <c r="O807" i="9"/>
  <c r="Q807" i="9"/>
  <c r="N807" i="9"/>
  <c r="P806" i="9"/>
  <c r="K806" i="9"/>
  <c r="D806" i="9"/>
  <c r="L806" i="9"/>
  <c r="E806" i="9"/>
  <c r="C806" i="9"/>
  <c r="F806" i="9"/>
  <c r="Q806" i="9"/>
  <c r="N806" i="9"/>
  <c r="J806" i="9"/>
  <c r="M806" i="9"/>
  <c r="O806" i="9"/>
  <c r="N805" i="9"/>
  <c r="K805" i="9"/>
  <c r="E805" i="9"/>
  <c r="J805" i="9"/>
  <c r="F805" i="9"/>
  <c r="M805" i="9"/>
  <c r="C805" i="9"/>
  <c r="O805" i="9"/>
  <c r="L805" i="9"/>
  <c r="D805" i="9"/>
  <c r="Q805" i="9"/>
  <c r="P805" i="9"/>
  <c r="N804" i="9"/>
  <c r="L804" i="9"/>
  <c r="F804" i="9"/>
  <c r="E804" i="9"/>
  <c r="D804" i="9"/>
  <c r="O804" i="9"/>
  <c r="J804" i="9"/>
  <c r="K804" i="9"/>
  <c r="C804" i="9"/>
  <c r="P804" i="9"/>
  <c r="M804" i="9"/>
  <c r="Q804" i="9"/>
  <c r="P803" i="9"/>
  <c r="M803" i="9"/>
  <c r="F803" i="9"/>
  <c r="E803" i="9"/>
  <c r="N803" i="9"/>
  <c r="K803" i="9"/>
  <c r="D803" i="9"/>
  <c r="C803" i="9"/>
  <c r="L803" i="9"/>
  <c r="J803" i="9"/>
  <c r="O803" i="9"/>
  <c r="Q803" i="9"/>
  <c r="P802" i="9"/>
  <c r="E802" i="9"/>
  <c r="N802" i="9"/>
  <c r="O802" i="9"/>
  <c r="K802" i="9"/>
  <c r="L802" i="9"/>
  <c r="C802" i="9"/>
  <c r="D802" i="9"/>
  <c r="Q802" i="9"/>
  <c r="F802" i="9"/>
  <c r="J802" i="9"/>
  <c r="M802" i="9"/>
  <c r="E801" i="9"/>
  <c r="K801" i="9"/>
  <c r="O801" i="9"/>
  <c r="L801" i="9"/>
  <c r="J801" i="9"/>
  <c r="C801" i="9"/>
  <c r="P801" i="9"/>
  <c r="D801" i="9"/>
  <c r="F801" i="9"/>
  <c r="M801" i="9"/>
  <c r="Q801" i="9"/>
  <c r="N801" i="9"/>
  <c r="F800" i="9"/>
  <c r="Q800" i="9"/>
  <c r="E800" i="9"/>
  <c r="J800" i="9"/>
  <c r="M800" i="9"/>
  <c r="N800" i="9"/>
  <c r="L800" i="9"/>
  <c r="P800" i="9"/>
  <c r="D800" i="9"/>
  <c r="K800" i="9"/>
  <c r="O800" i="9"/>
  <c r="C800" i="9"/>
  <c r="E799" i="9"/>
  <c r="P799" i="9"/>
  <c r="F799" i="9"/>
  <c r="J799" i="9"/>
  <c r="O799" i="9"/>
  <c r="Q799" i="9"/>
  <c r="L799" i="9"/>
  <c r="M799" i="9"/>
  <c r="K799" i="9"/>
  <c r="N799" i="9"/>
  <c r="C799" i="9"/>
  <c r="D799" i="9"/>
  <c r="Q798" i="9"/>
  <c r="M798" i="9"/>
  <c r="O798" i="9"/>
  <c r="P798" i="9"/>
  <c r="F798" i="9"/>
  <c r="J798" i="9"/>
  <c r="E798" i="9"/>
  <c r="K798" i="9"/>
  <c r="N798" i="9"/>
  <c r="D798" i="9"/>
  <c r="L798" i="9"/>
  <c r="C798" i="9"/>
  <c r="D797" i="9"/>
  <c r="F797" i="9"/>
  <c r="P797" i="9"/>
  <c r="J797" i="9"/>
  <c r="N797" i="9"/>
  <c r="C797" i="9"/>
  <c r="L797" i="9"/>
  <c r="Q797" i="9"/>
  <c r="E797" i="9"/>
  <c r="K797" i="9"/>
  <c r="O797" i="9"/>
  <c r="E796" i="9"/>
  <c r="D796" i="9"/>
  <c r="N796" i="9"/>
  <c r="M796" i="9"/>
  <c r="Q796" i="9"/>
  <c r="C796" i="9"/>
  <c r="O796" i="9"/>
  <c r="P796" i="9"/>
  <c r="L796" i="9"/>
  <c r="J796" i="9"/>
  <c r="F796" i="9"/>
  <c r="K796" i="9"/>
  <c r="F795" i="9"/>
  <c r="C795" i="9"/>
  <c r="L795" i="9"/>
  <c r="M795" i="9"/>
  <c r="O795" i="9"/>
  <c r="D795" i="9"/>
  <c r="E795" i="9"/>
  <c r="J795" i="9"/>
  <c r="N795" i="9"/>
  <c r="P795" i="9"/>
  <c r="Q795" i="9"/>
  <c r="K795" i="9"/>
  <c r="C794" i="9"/>
  <c r="P794" i="9"/>
  <c r="M794" i="9"/>
  <c r="J794" i="9"/>
  <c r="D794" i="9"/>
  <c r="L794" i="9"/>
  <c r="E794" i="9"/>
  <c r="F794" i="9"/>
  <c r="O794" i="9"/>
  <c r="K794" i="9"/>
  <c r="N794" i="9"/>
  <c r="Q794" i="9"/>
  <c r="Q793" i="9"/>
  <c r="F793" i="9"/>
  <c r="L793" i="9"/>
  <c r="J793" i="9"/>
  <c r="P793" i="9"/>
  <c r="K793" i="9"/>
  <c r="C793" i="9"/>
  <c r="O793" i="9"/>
  <c r="M793" i="9"/>
  <c r="N793" i="9"/>
  <c r="D793" i="9"/>
  <c r="E793" i="9"/>
  <c r="Q792" i="9"/>
  <c r="O792" i="9"/>
  <c r="L792" i="9"/>
  <c r="C792" i="9"/>
  <c r="E792" i="9"/>
  <c r="F792" i="9"/>
  <c r="K792" i="9"/>
  <c r="M792" i="9"/>
  <c r="P792" i="9"/>
  <c r="N792" i="9"/>
  <c r="J792" i="9"/>
  <c r="D792" i="9"/>
  <c r="J791" i="9"/>
  <c r="L791" i="9"/>
  <c r="K791" i="9"/>
  <c r="E791" i="9"/>
  <c r="D791" i="9"/>
  <c r="O791" i="9"/>
  <c r="M791" i="9"/>
  <c r="P791" i="9"/>
  <c r="N791" i="9"/>
  <c r="Q791" i="9"/>
  <c r="C791" i="9"/>
  <c r="F791" i="9"/>
  <c r="O790" i="9"/>
  <c r="M790" i="9"/>
  <c r="K790" i="9"/>
  <c r="L790" i="9"/>
  <c r="J790" i="9"/>
  <c r="D790" i="9"/>
  <c r="Q790" i="9"/>
  <c r="F790" i="9"/>
  <c r="E790" i="9"/>
  <c r="P790" i="9"/>
  <c r="N790" i="9"/>
  <c r="E789" i="9"/>
  <c r="K789" i="9"/>
  <c r="L789" i="9"/>
  <c r="J789" i="9"/>
  <c r="M789" i="9"/>
  <c r="Q789" i="9"/>
  <c r="O789" i="9"/>
  <c r="N789" i="9"/>
  <c r="P789" i="9"/>
  <c r="C789" i="9"/>
  <c r="D789" i="9"/>
  <c r="F789" i="9"/>
  <c r="E788" i="9"/>
  <c r="J788" i="9"/>
  <c r="M788" i="9"/>
  <c r="O788" i="9"/>
  <c r="Q788" i="9"/>
  <c r="F788" i="9"/>
  <c r="K788" i="9"/>
  <c r="P788" i="9"/>
  <c r="L788" i="9"/>
  <c r="N788" i="9"/>
  <c r="C788" i="9"/>
  <c r="D788" i="9"/>
  <c r="D787" i="9"/>
  <c r="P787" i="9"/>
  <c r="F787" i="9"/>
  <c r="J787" i="9"/>
  <c r="N787" i="9"/>
  <c r="O787" i="9"/>
  <c r="Q787" i="9"/>
  <c r="M787" i="9"/>
  <c r="K787" i="9"/>
  <c r="L787" i="9"/>
  <c r="C787" i="9"/>
  <c r="F786" i="9"/>
  <c r="E786" i="9"/>
  <c r="Q786" i="9"/>
  <c r="N786" i="9"/>
  <c r="J786" i="9"/>
  <c r="D786" i="9"/>
  <c r="M786" i="9"/>
  <c r="C786" i="9"/>
  <c r="K786" i="9"/>
  <c r="P786" i="9"/>
  <c r="O786" i="9"/>
  <c r="L786" i="9"/>
  <c r="K785" i="9"/>
  <c r="C785" i="9"/>
  <c r="O785" i="9"/>
  <c r="L785" i="9"/>
  <c r="M785" i="9"/>
  <c r="F785" i="9"/>
  <c r="E785" i="9"/>
  <c r="P785" i="9"/>
  <c r="N785" i="9"/>
  <c r="Q785" i="9"/>
  <c r="J785" i="9"/>
  <c r="D785" i="9"/>
  <c r="O784" i="9"/>
  <c r="J784" i="9"/>
  <c r="D784" i="9"/>
  <c r="E784" i="9"/>
  <c r="F784" i="9"/>
  <c r="L784" i="9"/>
  <c r="K784" i="9"/>
  <c r="N784" i="9"/>
  <c r="Q784" i="9"/>
  <c r="P784" i="9"/>
  <c r="C784" i="9"/>
  <c r="M784" i="9"/>
  <c r="Q783" i="9"/>
  <c r="O783" i="9"/>
  <c r="L783" i="9"/>
  <c r="F783" i="9"/>
  <c r="D783" i="9"/>
  <c r="C783" i="9"/>
  <c r="K783" i="9"/>
  <c r="E783" i="9"/>
  <c r="J783" i="9"/>
  <c r="M783" i="9"/>
  <c r="P783" i="9"/>
  <c r="N783" i="9"/>
  <c r="O782" i="9"/>
  <c r="C782" i="9"/>
  <c r="J782" i="9"/>
  <c r="M782" i="9"/>
  <c r="P782" i="9"/>
  <c r="K782" i="9"/>
  <c r="N782" i="9"/>
  <c r="Q782" i="9"/>
  <c r="E782" i="9"/>
  <c r="D782" i="9"/>
  <c r="L782" i="9"/>
  <c r="F782" i="9"/>
  <c r="N781" i="9"/>
  <c r="K781" i="9"/>
  <c r="C781" i="9"/>
  <c r="J781" i="9"/>
  <c r="M781" i="9"/>
  <c r="O781" i="9"/>
  <c r="D781" i="9"/>
  <c r="E781" i="9"/>
  <c r="F781" i="9"/>
  <c r="Q781" i="9"/>
  <c r="L781" i="9"/>
  <c r="P781" i="9"/>
  <c r="E780" i="9"/>
  <c r="D780" i="9"/>
  <c r="F780" i="9"/>
  <c r="C780" i="9"/>
  <c r="M780" i="9"/>
  <c r="O780" i="9"/>
  <c r="N780" i="9"/>
  <c r="Q780" i="9"/>
  <c r="P780" i="9"/>
  <c r="K780" i="9"/>
  <c r="L780" i="9"/>
  <c r="J780" i="9"/>
  <c r="D779" i="9"/>
  <c r="N779" i="9"/>
  <c r="P779" i="9"/>
  <c r="L779" i="9"/>
  <c r="J779" i="9"/>
  <c r="E779" i="9"/>
  <c r="F779" i="9"/>
  <c r="K779" i="9"/>
  <c r="Q779" i="9"/>
  <c r="C779" i="9"/>
  <c r="M779" i="9"/>
  <c r="O779" i="9"/>
  <c r="Q778" i="9"/>
  <c r="D778" i="9"/>
  <c r="L778" i="9"/>
  <c r="C778" i="9"/>
  <c r="M778" i="9"/>
  <c r="N778" i="9"/>
  <c r="E778" i="9"/>
  <c r="K778" i="9"/>
  <c r="O778" i="9"/>
  <c r="J778" i="9"/>
  <c r="P778" i="9"/>
  <c r="F778" i="9"/>
  <c r="J777" i="9"/>
  <c r="L777" i="9"/>
  <c r="N777" i="9"/>
  <c r="K777" i="9"/>
  <c r="C777" i="9"/>
  <c r="D777" i="9"/>
  <c r="M777" i="9"/>
  <c r="P777" i="9"/>
  <c r="Q777" i="9"/>
  <c r="O777" i="9"/>
  <c r="F777" i="9"/>
  <c r="E777" i="9"/>
  <c r="N776" i="9"/>
  <c r="P776" i="9"/>
  <c r="M776" i="9"/>
  <c r="K776" i="9"/>
  <c r="D776" i="9"/>
  <c r="Q776" i="9"/>
  <c r="C776" i="9"/>
  <c r="E776" i="9"/>
  <c r="F776" i="9"/>
  <c r="J776" i="9"/>
  <c r="L776" i="9"/>
  <c r="O776" i="9"/>
  <c r="D775" i="9"/>
  <c r="J775" i="9"/>
  <c r="L775" i="9"/>
  <c r="N775" i="9"/>
  <c r="Q775" i="9"/>
  <c r="M775" i="9"/>
  <c r="E775" i="9"/>
  <c r="F775" i="9"/>
  <c r="P775" i="9"/>
  <c r="O775" i="9"/>
  <c r="K775" i="9"/>
  <c r="C775" i="9"/>
  <c r="P774" i="9"/>
  <c r="F774" i="9"/>
  <c r="O774" i="9"/>
  <c r="E774" i="9"/>
  <c r="J774" i="9"/>
  <c r="D774" i="9"/>
  <c r="L774" i="9"/>
  <c r="N774" i="9"/>
  <c r="K774" i="9"/>
  <c r="Q774" i="9"/>
  <c r="M774" i="9"/>
  <c r="C774" i="9"/>
  <c r="E773" i="9"/>
  <c r="C773" i="9"/>
  <c r="L773" i="9"/>
  <c r="Q773" i="9"/>
  <c r="O773" i="9"/>
  <c r="M773" i="9"/>
  <c r="J773" i="9"/>
  <c r="F773" i="9"/>
  <c r="P773" i="9"/>
  <c r="N773" i="9"/>
  <c r="K773" i="9"/>
  <c r="D773" i="9"/>
  <c r="J772" i="9"/>
  <c r="E772" i="9"/>
  <c r="M772" i="9"/>
  <c r="P772" i="9"/>
  <c r="L772" i="9"/>
  <c r="C772" i="9"/>
  <c r="Q772" i="9"/>
  <c r="O772" i="9"/>
  <c r="K772" i="9"/>
  <c r="N772" i="9"/>
  <c r="F772" i="9"/>
  <c r="D772" i="9"/>
  <c r="P771" i="9"/>
  <c r="E771" i="9"/>
  <c r="C771" i="9"/>
  <c r="O771" i="9"/>
  <c r="K771" i="9"/>
  <c r="D771" i="9"/>
  <c r="L771" i="9"/>
  <c r="M771" i="9"/>
  <c r="N771" i="9"/>
  <c r="J771" i="9"/>
  <c r="F771" i="9"/>
  <c r="Q771" i="9"/>
  <c r="C770" i="9"/>
  <c r="D770" i="9"/>
  <c r="F770" i="9"/>
  <c r="K770" i="9"/>
  <c r="Q770" i="9"/>
  <c r="M770" i="9"/>
  <c r="O770" i="9"/>
  <c r="L770" i="9"/>
  <c r="P770" i="9"/>
  <c r="N770" i="9"/>
  <c r="J770" i="9"/>
  <c r="E770" i="9"/>
  <c r="C769" i="9"/>
  <c r="D769" i="9"/>
  <c r="F769" i="9"/>
  <c r="Q769" i="9"/>
  <c r="N769" i="9"/>
  <c r="O769" i="9"/>
  <c r="K769" i="9"/>
  <c r="M769" i="9"/>
  <c r="P769" i="9"/>
  <c r="L769" i="9"/>
  <c r="E769" i="9"/>
  <c r="J769" i="9"/>
  <c r="O768" i="9"/>
  <c r="C768" i="9"/>
  <c r="L768" i="9"/>
  <c r="D768" i="9"/>
  <c r="J768" i="9"/>
  <c r="M768" i="9"/>
  <c r="E768" i="9"/>
  <c r="F768" i="9"/>
  <c r="K768" i="9"/>
  <c r="N768" i="9"/>
  <c r="Q768" i="9"/>
  <c r="P768" i="9"/>
  <c r="L767" i="9"/>
  <c r="J767" i="9"/>
  <c r="F767" i="9"/>
  <c r="D767" i="9"/>
  <c r="K767" i="9"/>
  <c r="Q767" i="9"/>
  <c r="O767" i="9"/>
  <c r="P767" i="9"/>
  <c r="M767" i="9"/>
  <c r="E767" i="9"/>
  <c r="C767" i="9"/>
  <c r="N767" i="9"/>
  <c r="P766" i="9"/>
  <c r="C766" i="9"/>
  <c r="J766" i="9"/>
  <c r="L766" i="9"/>
  <c r="D766" i="9"/>
  <c r="Q766" i="9"/>
  <c r="O766" i="9"/>
  <c r="K766" i="9"/>
  <c r="M766" i="9"/>
  <c r="N766" i="9"/>
  <c r="F766" i="9"/>
  <c r="E766" i="9"/>
  <c r="D765" i="9"/>
  <c r="P765" i="9"/>
  <c r="M765" i="9"/>
  <c r="J765" i="9"/>
  <c r="Q765" i="9"/>
  <c r="O765" i="9"/>
  <c r="L765" i="9"/>
  <c r="N765" i="9"/>
  <c r="K765" i="9"/>
  <c r="F765" i="9"/>
  <c r="E765" i="9"/>
  <c r="C765" i="9"/>
  <c r="D764" i="9"/>
  <c r="L764" i="9"/>
  <c r="O764" i="9"/>
  <c r="P764" i="9"/>
  <c r="M764" i="9"/>
  <c r="J764" i="9"/>
  <c r="F764" i="9"/>
  <c r="E764" i="9"/>
  <c r="Q764" i="9"/>
  <c r="N764" i="9"/>
  <c r="K764" i="9"/>
  <c r="C764" i="9"/>
  <c r="C763" i="9"/>
  <c r="F763" i="9"/>
  <c r="L763" i="9"/>
  <c r="O763" i="9"/>
  <c r="E763" i="9"/>
  <c r="Q763" i="9"/>
  <c r="N763" i="9"/>
  <c r="K763" i="9"/>
  <c r="D763" i="9"/>
  <c r="P763" i="9"/>
  <c r="M763" i="9"/>
  <c r="J763" i="9"/>
  <c r="C762" i="9"/>
  <c r="M762" i="9"/>
  <c r="O762" i="9"/>
  <c r="E762" i="9"/>
  <c r="P762" i="9"/>
  <c r="D762" i="9"/>
  <c r="N762" i="9"/>
  <c r="K762" i="9"/>
  <c r="F762" i="9"/>
  <c r="L762" i="9"/>
  <c r="Q762" i="9"/>
  <c r="J762" i="9"/>
  <c r="Q761" i="9"/>
  <c r="P761" i="9"/>
  <c r="M761" i="9"/>
  <c r="K761" i="9"/>
  <c r="F761" i="9"/>
  <c r="N761" i="9"/>
  <c r="O761" i="9"/>
  <c r="L761" i="9"/>
  <c r="J761" i="9"/>
  <c r="D761" i="9"/>
  <c r="C761" i="9"/>
  <c r="E761" i="9"/>
  <c r="L760" i="9"/>
  <c r="Q760" i="9"/>
  <c r="C760" i="9"/>
  <c r="E760" i="9"/>
  <c r="F760" i="9"/>
  <c r="K760" i="9"/>
  <c r="O760" i="9"/>
  <c r="P760" i="9"/>
  <c r="N760" i="9"/>
  <c r="M760" i="9"/>
  <c r="J760" i="9"/>
  <c r="D760" i="9"/>
  <c r="F759" i="9"/>
  <c r="D759" i="9"/>
  <c r="J759" i="9"/>
  <c r="N759" i="9"/>
  <c r="P759" i="9"/>
  <c r="M759" i="9"/>
  <c r="L759" i="9"/>
  <c r="O759" i="9"/>
  <c r="C759" i="9"/>
  <c r="E759" i="9"/>
  <c r="Q759" i="9"/>
  <c r="K759" i="9"/>
  <c r="L758" i="9"/>
  <c r="D758" i="9"/>
  <c r="E758" i="9"/>
  <c r="O758" i="9"/>
  <c r="Q758" i="9"/>
  <c r="N758" i="9"/>
  <c r="J758" i="9"/>
  <c r="F758" i="9"/>
  <c r="C758" i="9"/>
  <c r="K758" i="9"/>
  <c r="M758" i="9"/>
  <c r="P758" i="9"/>
  <c r="L757" i="9"/>
  <c r="M757" i="9"/>
  <c r="N757" i="9"/>
  <c r="E757" i="9"/>
  <c r="J757" i="9"/>
  <c r="P757" i="9"/>
  <c r="D757" i="9"/>
  <c r="Q757" i="9"/>
  <c r="O757" i="9"/>
  <c r="K757" i="9"/>
  <c r="F757" i="9"/>
  <c r="C757" i="9"/>
  <c r="E756" i="9"/>
  <c r="K756" i="9"/>
  <c r="N756" i="9"/>
  <c r="C756" i="9"/>
  <c r="M756" i="9"/>
  <c r="Q756" i="9"/>
  <c r="F756" i="9"/>
  <c r="L756" i="9"/>
  <c r="D756" i="9"/>
  <c r="J756" i="9"/>
  <c r="O756" i="9"/>
  <c r="P756" i="9"/>
  <c r="K755" i="9"/>
  <c r="O755" i="9"/>
  <c r="P755" i="9"/>
  <c r="J755" i="9"/>
  <c r="N755" i="9"/>
  <c r="Q755" i="9"/>
  <c r="C755" i="9"/>
  <c r="E755" i="9"/>
  <c r="M755" i="9"/>
  <c r="D755" i="9"/>
  <c r="F755" i="9"/>
  <c r="L755" i="9"/>
  <c r="F754" i="9"/>
  <c r="L754" i="9"/>
  <c r="C754" i="9"/>
  <c r="E754" i="9"/>
  <c r="Q754" i="9"/>
  <c r="M754" i="9"/>
  <c r="N754" i="9"/>
  <c r="K754" i="9"/>
  <c r="P754" i="9"/>
  <c r="O754" i="9"/>
  <c r="D754" i="9"/>
  <c r="J754" i="9"/>
  <c r="P753" i="9"/>
  <c r="K753" i="9"/>
  <c r="C753" i="9"/>
  <c r="L753" i="9"/>
  <c r="O753" i="9"/>
  <c r="Q753" i="9"/>
  <c r="M753" i="9"/>
  <c r="F753" i="9"/>
  <c r="D753" i="9"/>
  <c r="N753" i="9"/>
  <c r="E753" i="9"/>
  <c r="J753" i="9"/>
  <c r="F752" i="9"/>
  <c r="L752" i="9"/>
  <c r="O752" i="9"/>
  <c r="E752" i="9"/>
  <c r="C752" i="9"/>
  <c r="D752" i="9"/>
  <c r="J752" i="9"/>
  <c r="M752" i="9"/>
  <c r="P752" i="9"/>
  <c r="Q752" i="9"/>
  <c r="N752" i="9"/>
  <c r="K752" i="9"/>
  <c r="F751" i="9"/>
  <c r="L751" i="9"/>
  <c r="P751" i="9"/>
  <c r="J751" i="9"/>
  <c r="N751" i="9"/>
  <c r="M751" i="9"/>
  <c r="Q751" i="9"/>
  <c r="C751" i="9"/>
  <c r="D751" i="9"/>
  <c r="E751" i="9"/>
  <c r="K751" i="9"/>
  <c r="O751" i="9"/>
  <c r="M750" i="9"/>
  <c r="O750" i="9"/>
  <c r="F750" i="9"/>
  <c r="C750" i="9"/>
  <c r="D750" i="9"/>
  <c r="L750" i="9"/>
  <c r="N750" i="9"/>
  <c r="P750" i="9"/>
  <c r="K750" i="9"/>
  <c r="E750" i="9"/>
  <c r="J750" i="9"/>
  <c r="Q750" i="9"/>
  <c r="E749" i="9"/>
  <c r="M749" i="9"/>
  <c r="J749" i="9"/>
  <c r="Q749" i="9"/>
  <c r="O749" i="9"/>
  <c r="L749" i="9"/>
  <c r="K749" i="9"/>
  <c r="P749" i="9"/>
  <c r="C749" i="9"/>
  <c r="N749" i="9"/>
  <c r="D749" i="9"/>
  <c r="F749" i="9"/>
  <c r="M748" i="9"/>
  <c r="E748" i="9"/>
  <c r="J748" i="9"/>
  <c r="N748" i="9"/>
  <c r="Q748" i="9"/>
  <c r="L748" i="9"/>
  <c r="K748" i="9"/>
  <c r="F748" i="9"/>
  <c r="D748" i="9"/>
  <c r="O748" i="9"/>
  <c r="P748" i="9"/>
  <c r="C748" i="9"/>
  <c r="O747" i="9"/>
  <c r="Q747" i="9"/>
  <c r="D747" i="9"/>
  <c r="K747" i="9"/>
  <c r="M747" i="9"/>
  <c r="L747" i="9"/>
  <c r="N747" i="9"/>
  <c r="C747" i="9"/>
  <c r="F747" i="9"/>
  <c r="P747" i="9"/>
  <c r="E747" i="9"/>
  <c r="J747" i="9"/>
  <c r="E746" i="9"/>
  <c r="K746" i="9"/>
  <c r="M746" i="9"/>
  <c r="N746" i="9"/>
  <c r="P746" i="9"/>
  <c r="Q746" i="9"/>
  <c r="O746" i="9"/>
  <c r="L746" i="9"/>
  <c r="C746" i="9"/>
  <c r="D746" i="9"/>
  <c r="F746" i="9"/>
  <c r="J746" i="9"/>
  <c r="E745" i="9"/>
  <c r="L745" i="9"/>
  <c r="P745" i="9"/>
  <c r="O745" i="9"/>
  <c r="J745" i="9"/>
  <c r="D745" i="9"/>
  <c r="F745" i="9"/>
  <c r="Q745" i="9"/>
  <c r="M745" i="9"/>
  <c r="C745" i="9"/>
  <c r="K745" i="9"/>
  <c r="N745" i="9"/>
  <c r="M744" i="9"/>
  <c r="N744" i="9"/>
  <c r="L744" i="9"/>
  <c r="E744" i="9"/>
  <c r="Q744" i="9"/>
  <c r="J744" i="9"/>
  <c r="F744" i="9"/>
  <c r="D744" i="9"/>
  <c r="C744" i="9"/>
  <c r="K744" i="9"/>
  <c r="P744" i="9"/>
  <c r="O744" i="9"/>
  <c r="N743" i="9"/>
  <c r="P743" i="9"/>
  <c r="Q743" i="9"/>
  <c r="M743" i="9"/>
  <c r="F743" i="9"/>
  <c r="E743" i="9"/>
  <c r="C743" i="9"/>
  <c r="L743" i="9"/>
  <c r="D743" i="9"/>
  <c r="J743" i="9"/>
  <c r="O743" i="9"/>
  <c r="K743" i="9"/>
  <c r="M742" i="9"/>
  <c r="P742" i="9"/>
  <c r="E742" i="9"/>
  <c r="F742" i="9"/>
  <c r="K742" i="9"/>
  <c r="D742" i="9"/>
  <c r="L742" i="9"/>
  <c r="N742" i="9"/>
  <c r="Q742" i="9"/>
  <c r="C742" i="9"/>
  <c r="J742" i="9"/>
  <c r="O742" i="9"/>
  <c r="D741" i="9"/>
  <c r="P741" i="9"/>
  <c r="F741" i="9"/>
  <c r="M741" i="9"/>
  <c r="O741" i="9"/>
  <c r="L741" i="9"/>
  <c r="N741" i="9"/>
  <c r="Q741" i="9"/>
  <c r="K741" i="9"/>
  <c r="C741" i="9"/>
  <c r="E741" i="9"/>
  <c r="J741" i="9"/>
  <c r="E740" i="9"/>
  <c r="D740" i="9"/>
  <c r="F740" i="9"/>
  <c r="J740" i="9"/>
  <c r="O740" i="9"/>
  <c r="M740" i="9"/>
  <c r="K740" i="9"/>
  <c r="C740" i="9"/>
  <c r="L740" i="9"/>
  <c r="Q740" i="9"/>
  <c r="N740" i="9"/>
  <c r="P740" i="9"/>
  <c r="L739" i="9"/>
  <c r="O739" i="9"/>
  <c r="P739" i="9"/>
  <c r="N739" i="9"/>
  <c r="D739" i="9"/>
  <c r="M739" i="9"/>
  <c r="C739" i="9"/>
  <c r="E739" i="9"/>
  <c r="F739" i="9"/>
  <c r="J739" i="9"/>
  <c r="K739" i="9"/>
  <c r="Q739" i="9"/>
  <c r="D738" i="9"/>
  <c r="P738" i="9"/>
  <c r="E738" i="9"/>
  <c r="M738" i="9"/>
  <c r="N738" i="9"/>
  <c r="C738" i="9"/>
  <c r="O738" i="9"/>
  <c r="Q738" i="9"/>
  <c r="K738" i="9"/>
  <c r="F738" i="9"/>
  <c r="L738" i="9"/>
  <c r="J738" i="9"/>
  <c r="D737" i="9"/>
  <c r="F737" i="9"/>
  <c r="L737" i="9"/>
  <c r="N737" i="9"/>
  <c r="Q737" i="9"/>
  <c r="J737" i="9"/>
  <c r="M737" i="9"/>
  <c r="O737" i="9"/>
  <c r="P737" i="9"/>
  <c r="C737" i="9"/>
  <c r="K737" i="9"/>
  <c r="E737" i="9"/>
  <c r="F736" i="9"/>
  <c r="J736" i="9"/>
  <c r="N736" i="9"/>
  <c r="L736" i="9"/>
  <c r="C736" i="9"/>
  <c r="M736" i="9"/>
  <c r="Q736" i="9"/>
  <c r="P736" i="9"/>
  <c r="D736" i="9"/>
  <c r="E736" i="9"/>
  <c r="K736" i="9"/>
  <c r="O736" i="9"/>
  <c r="M735" i="9"/>
  <c r="P735" i="9"/>
  <c r="N735" i="9"/>
  <c r="C735" i="9"/>
  <c r="Q735" i="9"/>
  <c r="K735" i="9"/>
  <c r="L735" i="9"/>
  <c r="E735" i="9"/>
  <c r="O735" i="9"/>
  <c r="J735" i="9"/>
  <c r="F735" i="9"/>
  <c r="D735" i="9"/>
  <c r="C734" i="9"/>
  <c r="D734" i="9"/>
  <c r="Q734" i="9"/>
  <c r="L734" i="9"/>
  <c r="K734" i="9"/>
  <c r="F734" i="9"/>
  <c r="N734" i="9"/>
  <c r="P734" i="9"/>
  <c r="E734" i="9"/>
  <c r="J734" i="9"/>
  <c r="M734" i="9"/>
  <c r="O734" i="9"/>
  <c r="Q733" i="9"/>
  <c r="N733" i="9"/>
  <c r="K733" i="9"/>
  <c r="L733" i="9"/>
  <c r="P733" i="9"/>
  <c r="F733" i="9"/>
  <c r="D733" i="9"/>
  <c r="E733" i="9"/>
  <c r="M733" i="9"/>
  <c r="O733" i="9"/>
  <c r="J733" i="9"/>
  <c r="C733" i="9"/>
  <c r="O732" i="9"/>
  <c r="P732" i="9"/>
  <c r="Q732" i="9"/>
  <c r="L732" i="9"/>
  <c r="D732" i="9"/>
  <c r="J732" i="9"/>
  <c r="C732" i="9"/>
  <c r="F732" i="9"/>
  <c r="M732" i="9"/>
  <c r="E732" i="9"/>
  <c r="K732" i="9"/>
  <c r="N732" i="9"/>
  <c r="F731" i="9"/>
  <c r="L731" i="9"/>
  <c r="D731" i="9"/>
  <c r="M731" i="9"/>
  <c r="K731" i="9"/>
  <c r="O731" i="9"/>
  <c r="P731" i="9"/>
  <c r="C731" i="9"/>
  <c r="Q731" i="9"/>
  <c r="N731" i="9"/>
  <c r="J731" i="9"/>
  <c r="E731" i="9"/>
  <c r="J730" i="9"/>
  <c r="F730" i="9"/>
  <c r="M730" i="9"/>
  <c r="D730" i="9"/>
  <c r="E730" i="9"/>
  <c r="P730" i="9"/>
  <c r="K730" i="9"/>
  <c r="O730" i="9"/>
  <c r="Q730" i="9"/>
  <c r="C730" i="9"/>
  <c r="N730" i="9"/>
  <c r="L730" i="9"/>
  <c r="M729" i="9"/>
  <c r="C729" i="9"/>
  <c r="L729" i="9"/>
  <c r="Q729" i="9"/>
  <c r="P729" i="9"/>
  <c r="E729" i="9"/>
  <c r="F729" i="9"/>
  <c r="J729" i="9"/>
  <c r="D729" i="9"/>
  <c r="N729" i="9"/>
  <c r="O729" i="9"/>
  <c r="K729" i="9"/>
  <c r="J728" i="9"/>
  <c r="F728" i="9"/>
  <c r="D728" i="9"/>
  <c r="C728" i="9"/>
  <c r="Q728" i="9"/>
  <c r="P728" i="9"/>
  <c r="O728" i="9"/>
  <c r="E728" i="9"/>
  <c r="L728" i="9"/>
  <c r="K728" i="9"/>
  <c r="N728" i="9"/>
  <c r="M728" i="9"/>
  <c r="L727" i="9"/>
  <c r="O727" i="9"/>
  <c r="J727" i="9"/>
  <c r="E727" i="9"/>
  <c r="K727" i="9"/>
  <c r="D727" i="9"/>
  <c r="M727" i="9"/>
  <c r="Q727" i="9"/>
  <c r="N727" i="9"/>
  <c r="F727" i="9"/>
  <c r="P727" i="9"/>
  <c r="C727" i="9"/>
  <c r="J726" i="9"/>
  <c r="L726" i="9"/>
  <c r="O726" i="9"/>
  <c r="Q726" i="9"/>
  <c r="K726" i="9"/>
  <c r="M726" i="9"/>
  <c r="C726" i="9"/>
  <c r="P726" i="9"/>
  <c r="N726" i="9"/>
  <c r="F726" i="9"/>
  <c r="D726" i="9"/>
  <c r="E726" i="9"/>
  <c r="Q725" i="9"/>
  <c r="M725" i="9"/>
  <c r="N725" i="9"/>
  <c r="P725" i="9"/>
  <c r="J725" i="9"/>
  <c r="O725" i="9"/>
  <c r="K725" i="9"/>
  <c r="D725" i="9"/>
  <c r="L725" i="9"/>
  <c r="C725" i="9"/>
  <c r="E725" i="9"/>
  <c r="F725" i="9"/>
  <c r="C724" i="9"/>
  <c r="M724" i="9"/>
  <c r="K724" i="9"/>
  <c r="F724" i="9"/>
  <c r="O724" i="9"/>
  <c r="J724" i="9"/>
  <c r="N724" i="9"/>
  <c r="Q724" i="9"/>
  <c r="P724" i="9"/>
  <c r="L724" i="9"/>
  <c r="E724" i="9"/>
  <c r="D724" i="9"/>
  <c r="P723" i="9"/>
  <c r="N723" i="9"/>
  <c r="J723" i="9"/>
  <c r="E723" i="9"/>
  <c r="K723" i="9"/>
  <c r="D723" i="9"/>
  <c r="Q723" i="9"/>
  <c r="M723" i="9"/>
  <c r="F723" i="9"/>
  <c r="C723" i="9"/>
  <c r="L723" i="9"/>
  <c r="O723" i="9"/>
  <c r="D722" i="9"/>
  <c r="M722" i="9"/>
  <c r="E722" i="9"/>
  <c r="N722" i="9"/>
  <c r="Q722" i="9"/>
  <c r="F722" i="9"/>
  <c r="C722" i="9"/>
  <c r="O722" i="9"/>
  <c r="P722" i="9"/>
  <c r="J722" i="9"/>
  <c r="L722" i="9"/>
  <c r="K722" i="9"/>
  <c r="F721" i="9"/>
  <c r="E721" i="9"/>
  <c r="D721" i="9"/>
  <c r="K721" i="9"/>
  <c r="N721" i="9"/>
  <c r="J721" i="9"/>
  <c r="M721" i="9"/>
  <c r="O721" i="9"/>
  <c r="P721" i="9"/>
  <c r="C721" i="9"/>
  <c r="L721" i="9"/>
  <c r="Q721" i="9"/>
  <c r="Q720" i="9"/>
  <c r="M720" i="9"/>
  <c r="E720" i="9"/>
  <c r="K720" i="9"/>
  <c r="D720" i="9"/>
  <c r="C720" i="9"/>
  <c r="N720" i="9"/>
  <c r="J720" i="9"/>
  <c r="F720" i="9"/>
  <c r="L720" i="9"/>
  <c r="O720" i="9"/>
  <c r="P720" i="9"/>
  <c r="K719" i="9"/>
  <c r="C719" i="9"/>
  <c r="E719" i="9"/>
  <c r="J719" i="9"/>
  <c r="N719" i="9"/>
  <c r="O719" i="9"/>
  <c r="L719" i="9"/>
  <c r="P719" i="9"/>
  <c r="Q719" i="9"/>
  <c r="M719" i="9"/>
  <c r="F719" i="9"/>
  <c r="D719" i="9"/>
  <c r="J718" i="9"/>
  <c r="C718" i="9"/>
  <c r="E718" i="9"/>
  <c r="M718" i="9"/>
  <c r="N718" i="9"/>
  <c r="P718" i="9"/>
  <c r="L718" i="9"/>
  <c r="Q718" i="9"/>
  <c r="F718" i="9"/>
  <c r="K718" i="9"/>
  <c r="O718" i="9"/>
  <c r="D718" i="9"/>
  <c r="E717" i="9"/>
  <c r="J717" i="9"/>
  <c r="C717" i="9"/>
  <c r="D717" i="9"/>
  <c r="O717" i="9"/>
  <c r="F717" i="9"/>
  <c r="K717" i="9"/>
  <c r="L717" i="9"/>
  <c r="N717" i="9"/>
  <c r="Q717" i="9"/>
  <c r="P717" i="9"/>
  <c r="M717" i="9"/>
  <c r="Q716" i="9"/>
  <c r="E716" i="9"/>
  <c r="J716" i="9"/>
  <c r="N716" i="9"/>
  <c r="O716" i="9"/>
  <c r="L716" i="9"/>
  <c r="F716" i="9"/>
  <c r="C716" i="9"/>
  <c r="K716" i="9"/>
  <c r="P716" i="9"/>
  <c r="M716" i="9"/>
  <c r="D716" i="9"/>
  <c r="P715" i="9"/>
  <c r="K715" i="9"/>
  <c r="F715" i="9"/>
  <c r="D715" i="9"/>
  <c r="C715" i="9"/>
  <c r="E715" i="9"/>
  <c r="Q715" i="9"/>
  <c r="M715" i="9"/>
  <c r="N715" i="9"/>
  <c r="J715" i="9"/>
  <c r="L715" i="9"/>
  <c r="O715" i="9"/>
  <c r="L714" i="9"/>
  <c r="C714" i="9"/>
  <c r="F714" i="9"/>
  <c r="E714" i="9"/>
  <c r="N714" i="9"/>
  <c r="M714" i="9"/>
  <c r="K714" i="9"/>
  <c r="O714" i="9"/>
  <c r="J714" i="9"/>
  <c r="P714" i="9"/>
  <c r="D714" i="9"/>
  <c r="Q714" i="9"/>
  <c r="Q713" i="9"/>
  <c r="J713" i="9"/>
  <c r="M713" i="9"/>
  <c r="L713" i="9"/>
  <c r="C713" i="9"/>
  <c r="K713" i="9"/>
  <c r="E713" i="9"/>
  <c r="F713" i="9"/>
  <c r="D713" i="9"/>
  <c r="N713" i="9"/>
  <c r="P713" i="9"/>
  <c r="O713" i="9"/>
  <c r="K712" i="9"/>
  <c r="Q712" i="9"/>
  <c r="J712" i="9"/>
  <c r="P712" i="9"/>
  <c r="E712" i="9"/>
  <c r="C712" i="9"/>
  <c r="L712" i="9"/>
  <c r="D712" i="9"/>
  <c r="F712" i="9"/>
  <c r="O712" i="9"/>
  <c r="N712" i="9"/>
  <c r="M712" i="9"/>
  <c r="F711" i="9"/>
  <c r="Q711" i="9"/>
  <c r="O711" i="9"/>
  <c r="K711" i="9"/>
  <c r="M711" i="9"/>
  <c r="E711" i="9"/>
  <c r="J711" i="9"/>
  <c r="P711" i="9"/>
  <c r="N711" i="9"/>
  <c r="D711" i="9"/>
  <c r="L711" i="9"/>
  <c r="C711" i="9"/>
  <c r="Q710" i="9"/>
  <c r="N710" i="9"/>
  <c r="F710" i="9"/>
  <c r="L710" i="9"/>
  <c r="P710" i="9"/>
  <c r="J710" i="9"/>
  <c r="M710" i="9"/>
  <c r="D710" i="9"/>
  <c r="C710" i="9"/>
  <c r="E710" i="9"/>
  <c r="K710" i="9"/>
  <c r="O710" i="9"/>
  <c r="M709" i="9"/>
  <c r="F709" i="9"/>
  <c r="Q709" i="9"/>
  <c r="N709" i="9"/>
  <c r="C709" i="9"/>
  <c r="K709" i="9"/>
  <c r="L709" i="9"/>
  <c r="D709" i="9"/>
  <c r="E709" i="9"/>
  <c r="J709" i="9"/>
  <c r="O709" i="9"/>
  <c r="P709" i="9"/>
  <c r="Q708" i="9"/>
  <c r="N708" i="9"/>
  <c r="D708" i="9"/>
  <c r="M708" i="9"/>
  <c r="L708" i="9"/>
  <c r="P708" i="9"/>
  <c r="K708" i="9"/>
  <c r="C708" i="9"/>
  <c r="E708" i="9"/>
  <c r="F708" i="9"/>
  <c r="J708" i="9"/>
  <c r="O708" i="9"/>
  <c r="N707" i="9"/>
  <c r="J707" i="9"/>
  <c r="D707" i="9"/>
  <c r="P707" i="9"/>
  <c r="O707" i="9"/>
  <c r="Q707" i="9"/>
  <c r="K707" i="9"/>
  <c r="F707" i="9"/>
  <c r="L707" i="9"/>
  <c r="E707" i="9"/>
  <c r="M707" i="9"/>
  <c r="C707" i="9"/>
  <c r="O706" i="9"/>
  <c r="N706" i="9"/>
  <c r="M706" i="9"/>
  <c r="J706" i="9"/>
  <c r="F706" i="9"/>
  <c r="D706" i="9"/>
  <c r="E706" i="9"/>
  <c r="P706" i="9"/>
  <c r="C706" i="9"/>
  <c r="L706" i="9"/>
  <c r="Q706" i="9"/>
  <c r="K706" i="9"/>
  <c r="K705" i="9"/>
  <c r="O705" i="9"/>
  <c r="D705" i="9"/>
  <c r="J705" i="9"/>
  <c r="Q705" i="9"/>
  <c r="N705" i="9"/>
  <c r="M705" i="9"/>
  <c r="C705" i="9"/>
  <c r="E705" i="9"/>
  <c r="L705" i="9"/>
  <c r="F705" i="9"/>
  <c r="P705" i="9"/>
  <c r="K704" i="9"/>
  <c r="L704" i="9"/>
  <c r="N704" i="9"/>
  <c r="M704" i="9"/>
  <c r="P704" i="9"/>
  <c r="E704" i="9"/>
  <c r="C704" i="9"/>
  <c r="D704" i="9"/>
  <c r="F704" i="9"/>
  <c r="J704" i="9"/>
  <c r="Q704" i="9"/>
  <c r="O704" i="9"/>
  <c r="C703" i="9"/>
  <c r="F703" i="9"/>
  <c r="N703" i="9"/>
  <c r="Q703" i="9"/>
  <c r="J703" i="9"/>
  <c r="K703" i="9"/>
  <c r="E703" i="9"/>
  <c r="M703" i="9"/>
  <c r="D703" i="9"/>
  <c r="P703" i="9"/>
  <c r="O703" i="9"/>
  <c r="L703" i="9"/>
  <c r="D702" i="9"/>
  <c r="Q702" i="9"/>
  <c r="N702" i="9"/>
  <c r="L702" i="9"/>
  <c r="E702" i="9"/>
  <c r="C702" i="9"/>
  <c r="P702" i="9"/>
  <c r="K702" i="9"/>
  <c r="O702" i="9"/>
  <c r="M702" i="9"/>
  <c r="J702" i="9"/>
  <c r="F702" i="9"/>
  <c r="F701" i="9"/>
  <c r="Q701" i="9"/>
  <c r="K701" i="9"/>
  <c r="D701" i="9"/>
  <c r="P701" i="9"/>
  <c r="M701" i="9"/>
  <c r="J701" i="9"/>
  <c r="E701" i="9"/>
  <c r="L701" i="9"/>
  <c r="N701" i="9"/>
  <c r="O701" i="9"/>
  <c r="C701" i="9"/>
  <c r="O700" i="9"/>
  <c r="K700" i="9"/>
  <c r="F700" i="9"/>
  <c r="M700" i="9"/>
  <c r="J700" i="9"/>
  <c r="D700" i="9"/>
  <c r="L700" i="9"/>
  <c r="E700" i="9"/>
  <c r="C700" i="9"/>
  <c r="N700" i="9"/>
  <c r="P700" i="9"/>
  <c r="Q700" i="9"/>
  <c r="O699" i="9"/>
  <c r="D699" i="9"/>
  <c r="J699" i="9"/>
  <c r="C699" i="9"/>
  <c r="F699" i="9"/>
  <c r="K699" i="9"/>
  <c r="M699" i="9"/>
  <c r="N699" i="9"/>
  <c r="P699" i="9"/>
  <c r="E699" i="9"/>
  <c r="Q699" i="9"/>
  <c r="L699" i="9"/>
  <c r="D698" i="9"/>
  <c r="K698" i="9"/>
  <c r="F698" i="9"/>
  <c r="C698" i="9"/>
  <c r="J698" i="9"/>
  <c r="L698" i="9"/>
  <c r="N698" i="9"/>
  <c r="Q698" i="9"/>
  <c r="E698" i="9"/>
  <c r="M698" i="9"/>
  <c r="O698" i="9"/>
  <c r="P698" i="9"/>
  <c r="P697" i="9"/>
  <c r="M697" i="9"/>
  <c r="E697" i="9"/>
  <c r="Q697" i="9"/>
  <c r="K697" i="9"/>
  <c r="D697" i="9"/>
  <c r="O697" i="9"/>
  <c r="L697" i="9"/>
  <c r="F697" i="9"/>
  <c r="C697" i="9"/>
  <c r="J697" i="9"/>
  <c r="N697" i="9"/>
  <c r="K696" i="9"/>
  <c r="E696" i="9"/>
  <c r="D696" i="9"/>
  <c r="J696" i="9"/>
  <c r="F696" i="9"/>
  <c r="O696" i="9"/>
  <c r="Q696" i="9"/>
  <c r="N696" i="9"/>
  <c r="L696" i="9"/>
  <c r="M696" i="9"/>
  <c r="C696" i="9"/>
  <c r="P696" i="9"/>
  <c r="N695" i="9"/>
  <c r="L695" i="9"/>
  <c r="O695" i="9"/>
  <c r="E695" i="9"/>
  <c r="C695" i="9"/>
  <c r="D695" i="9"/>
  <c r="F695" i="9"/>
  <c r="K695" i="9"/>
  <c r="Q695" i="9"/>
  <c r="M695" i="9"/>
  <c r="P695" i="9"/>
  <c r="J695" i="9"/>
  <c r="Q694" i="9"/>
  <c r="N694" i="9"/>
  <c r="P694" i="9"/>
  <c r="O694" i="9"/>
  <c r="J694" i="9"/>
  <c r="F694" i="9"/>
  <c r="C694" i="9"/>
  <c r="K694" i="9"/>
  <c r="M694" i="9"/>
  <c r="D694" i="9"/>
  <c r="L694" i="9"/>
  <c r="E694" i="9"/>
  <c r="N693" i="9"/>
  <c r="C693" i="9"/>
  <c r="D693" i="9"/>
  <c r="M693" i="9"/>
  <c r="J693" i="9"/>
  <c r="Q693" i="9"/>
  <c r="E693" i="9"/>
  <c r="L693" i="9"/>
  <c r="P693" i="9"/>
  <c r="K693" i="9"/>
  <c r="F693" i="9"/>
  <c r="O693" i="9"/>
  <c r="Q692" i="9"/>
  <c r="N692" i="9"/>
  <c r="J692" i="9"/>
  <c r="E692" i="9"/>
  <c r="C692" i="9"/>
  <c r="K692" i="9"/>
  <c r="P692" i="9"/>
  <c r="O692" i="9"/>
  <c r="L692" i="9"/>
  <c r="F692" i="9"/>
  <c r="D692" i="9"/>
  <c r="M692" i="9"/>
  <c r="C691" i="9"/>
  <c r="E691" i="9"/>
  <c r="L691" i="9"/>
  <c r="D691" i="9"/>
  <c r="F691" i="9"/>
  <c r="N691" i="9"/>
  <c r="P691" i="9"/>
  <c r="O691" i="9"/>
  <c r="Q691" i="9"/>
  <c r="K691" i="9"/>
  <c r="M691" i="9"/>
  <c r="J691" i="9"/>
  <c r="M690" i="9"/>
  <c r="O690" i="9"/>
  <c r="D690" i="9"/>
  <c r="F690" i="9"/>
  <c r="L690" i="9"/>
  <c r="K690" i="9"/>
  <c r="Q690" i="9"/>
  <c r="N690" i="9"/>
  <c r="J690" i="9"/>
  <c r="E690" i="9"/>
  <c r="C690" i="9"/>
  <c r="P690" i="9"/>
  <c r="P689" i="9"/>
  <c r="O689" i="9"/>
  <c r="J689" i="9"/>
  <c r="E689" i="9"/>
  <c r="K689" i="9"/>
  <c r="Q689" i="9"/>
  <c r="M689" i="9"/>
  <c r="C689" i="9"/>
  <c r="L689" i="9"/>
  <c r="D689" i="9"/>
  <c r="N689" i="9"/>
  <c r="F689" i="9"/>
  <c r="M688" i="9"/>
  <c r="D688" i="9"/>
  <c r="J688" i="9"/>
  <c r="F688" i="9"/>
  <c r="K688" i="9"/>
  <c r="P688" i="9"/>
  <c r="O688" i="9"/>
  <c r="L688" i="9"/>
  <c r="E688" i="9"/>
  <c r="C688" i="9"/>
  <c r="N688" i="9"/>
  <c r="Q688" i="9"/>
  <c r="O687" i="9"/>
  <c r="P687" i="9"/>
  <c r="F687" i="9"/>
  <c r="D687" i="9"/>
  <c r="C687" i="9"/>
  <c r="L687" i="9"/>
  <c r="Q687" i="9"/>
  <c r="N687" i="9"/>
  <c r="K687" i="9"/>
  <c r="J687" i="9"/>
  <c r="E687" i="9"/>
  <c r="M687" i="9"/>
  <c r="O686" i="9"/>
  <c r="K686" i="9"/>
  <c r="P686" i="9"/>
  <c r="F686" i="9"/>
  <c r="L686" i="9"/>
  <c r="J686" i="9"/>
  <c r="C686" i="9"/>
  <c r="D686" i="9"/>
  <c r="E686" i="9"/>
  <c r="M686" i="9"/>
  <c r="Q686" i="9"/>
  <c r="N686" i="9"/>
  <c r="O685" i="9"/>
  <c r="K685" i="9"/>
  <c r="Q685" i="9"/>
  <c r="N685" i="9"/>
  <c r="J685" i="9"/>
  <c r="P685" i="9"/>
  <c r="D685" i="9"/>
  <c r="L685" i="9"/>
  <c r="F685" i="9"/>
  <c r="M685" i="9"/>
  <c r="E685" i="9"/>
  <c r="C685" i="9"/>
  <c r="E684" i="9"/>
  <c r="K684" i="9"/>
  <c r="C684" i="9"/>
  <c r="Q684" i="9"/>
  <c r="M684" i="9"/>
  <c r="J684" i="9"/>
  <c r="N684" i="9"/>
  <c r="P684" i="9"/>
  <c r="O684" i="9"/>
  <c r="L684" i="9"/>
  <c r="F684" i="9"/>
  <c r="D684" i="9"/>
  <c r="L683" i="9"/>
  <c r="P683" i="9"/>
  <c r="C683" i="9"/>
  <c r="F683" i="9"/>
  <c r="K683" i="9"/>
  <c r="O683" i="9"/>
  <c r="M683" i="9"/>
  <c r="Q683" i="9"/>
  <c r="J683" i="9"/>
  <c r="E683" i="9"/>
  <c r="D683" i="9"/>
  <c r="N683" i="9"/>
  <c r="D682" i="9"/>
  <c r="K682" i="9"/>
  <c r="C682" i="9"/>
  <c r="M682" i="9"/>
  <c r="P682" i="9"/>
  <c r="O682" i="9"/>
  <c r="L682" i="9"/>
  <c r="Q682" i="9"/>
  <c r="N682" i="9"/>
  <c r="J682" i="9"/>
  <c r="E682" i="9"/>
  <c r="F682" i="9"/>
  <c r="C681" i="9"/>
  <c r="Q681" i="9"/>
  <c r="L681" i="9"/>
  <c r="F681" i="9"/>
  <c r="D681" i="9"/>
  <c r="M681" i="9"/>
  <c r="O681" i="9"/>
  <c r="E681" i="9"/>
  <c r="J681" i="9"/>
  <c r="P681" i="9"/>
  <c r="N681" i="9"/>
  <c r="K681" i="9"/>
  <c r="L680" i="9"/>
  <c r="K680" i="9"/>
  <c r="Q680" i="9"/>
  <c r="D680" i="9"/>
  <c r="J680" i="9"/>
  <c r="C680" i="9"/>
  <c r="N680" i="9"/>
  <c r="F680" i="9"/>
  <c r="O680" i="9"/>
  <c r="P680" i="9"/>
  <c r="E680" i="9"/>
  <c r="M680" i="9"/>
  <c r="O679" i="9"/>
  <c r="M679" i="9"/>
  <c r="F679" i="9"/>
  <c r="C679" i="9"/>
  <c r="L679" i="9"/>
  <c r="D679" i="9"/>
  <c r="K679" i="9"/>
  <c r="E679" i="9"/>
  <c r="J679" i="9"/>
  <c r="N679" i="9"/>
  <c r="P679" i="9"/>
  <c r="Q679" i="9"/>
  <c r="E678" i="9"/>
  <c r="N678" i="9"/>
  <c r="O678" i="9"/>
  <c r="K678" i="9"/>
  <c r="L678" i="9"/>
  <c r="P678" i="9"/>
  <c r="M678" i="9"/>
  <c r="Q678" i="9"/>
  <c r="J678" i="9"/>
  <c r="F678" i="9"/>
  <c r="D678" i="9"/>
  <c r="C678" i="9"/>
  <c r="D677" i="9"/>
  <c r="M677" i="9"/>
  <c r="F677" i="9"/>
  <c r="J677" i="9"/>
  <c r="Q677" i="9"/>
  <c r="O677" i="9"/>
  <c r="L677" i="9"/>
  <c r="E677" i="9"/>
  <c r="C677" i="9"/>
  <c r="P677" i="9"/>
  <c r="N677" i="9"/>
  <c r="K677" i="9"/>
  <c r="C676" i="9"/>
  <c r="K676" i="9"/>
  <c r="N676" i="9"/>
  <c r="P676" i="9"/>
  <c r="M676" i="9"/>
  <c r="J676" i="9"/>
  <c r="D676" i="9"/>
  <c r="E676" i="9"/>
  <c r="Q676" i="9"/>
  <c r="F676" i="9"/>
  <c r="O676" i="9"/>
  <c r="L676" i="9"/>
  <c r="L675" i="9"/>
  <c r="D675" i="9"/>
  <c r="M675" i="9"/>
  <c r="J675" i="9"/>
  <c r="F675" i="9"/>
  <c r="C675" i="9"/>
  <c r="N675" i="9"/>
  <c r="E675" i="9"/>
  <c r="K675" i="9"/>
  <c r="O675" i="9"/>
  <c r="P675" i="9"/>
  <c r="Q675" i="9"/>
  <c r="D674" i="9"/>
  <c r="F674" i="9"/>
  <c r="M674" i="9"/>
  <c r="E674" i="9"/>
  <c r="N674" i="9"/>
  <c r="J674" i="9"/>
  <c r="C674" i="9"/>
  <c r="L674" i="9"/>
  <c r="O674" i="9"/>
  <c r="Q674" i="9"/>
  <c r="K674" i="9"/>
  <c r="P674" i="9"/>
  <c r="E673" i="9"/>
  <c r="J673" i="9"/>
  <c r="N673" i="9"/>
  <c r="P673" i="9"/>
  <c r="Q673" i="9"/>
  <c r="M673" i="9"/>
  <c r="L673" i="9"/>
  <c r="K673" i="9"/>
  <c r="D673" i="9"/>
  <c r="O673" i="9"/>
  <c r="C673" i="9"/>
  <c r="F673" i="9"/>
  <c r="J672" i="9"/>
  <c r="C672" i="9"/>
  <c r="E672" i="9"/>
  <c r="L672" i="9"/>
  <c r="N672" i="9"/>
  <c r="D672" i="9"/>
  <c r="Q672" i="9"/>
  <c r="F672" i="9"/>
  <c r="K672" i="9"/>
  <c r="P672" i="9"/>
  <c r="O672" i="9"/>
  <c r="M672" i="9"/>
  <c r="K671" i="9"/>
  <c r="O671" i="9"/>
  <c r="P671" i="9"/>
  <c r="L671" i="9"/>
  <c r="D671" i="9"/>
  <c r="C671" i="9"/>
  <c r="Q671" i="9"/>
  <c r="N671" i="9"/>
  <c r="M671" i="9"/>
  <c r="J671" i="9"/>
  <c r="E671" i="9"/>
  <c r="F671" i="9"/>
  <c r="L670" i="9"/>
  <c r="D670" i="9"/>
  <c r="F670" i="9"/>
  <c r="C670" i="9"/>
  <c r="Q670" i="9"/>
  <c r="M670" i="9"/>
  <c r="P670" i="9"/>
  <c r="E670" i="9"/>
  <c r="N670" i="9"/>
  <c r="J670" i="9"/>
  <c r="O670" i="9"/>
  <c r="K670" i="9"/>
  <c r="K669" i="9"/>
  <c r="E669" i="9"/>
  <c r="J669" i="9"/>
  <c r="N669" i="9"/>
  <c r="Q669" i="9"/>
  <c r="L669" i="9"/>
  <c r="D669" i="9"/>
  <c r="F669" i="9"/>
  <c r="O669" i="9"/>
  <c r="M669" i="9"/>
  <c r="C669" i="9"/>
  <c r="P669" i="9"/>
  <c r="F668" i="9"/>
  <c r="Q668" i="9"/>
  <c r="N668" i="9"/>
  <c r="K668" i="9"/>
  <c r="D668" i="9"/>
  <c r="P668" i="9"/>
  <c r="M668" i="9"/>
  <c r="J668" i="9"/>
  <c r="E668" i="9"/>
  <c r="C668" i="9"/>
  <c r="O668" i="9"/>
  <c r="L668" i="9"/>
  <c r="P667" i="9"/>
  <c r="O667" i="9"/>
  <c r="K667" i="9"/>
  <c r="C667" i="9"/>
  <c r="Q667" i="9"/>
  <c r="D667" i="9"/>
  <c r="L667" i="9"/>
  <c r="J667" i="9"/>
  <c r="N667" i="9"/>
  <c r="E667" i="9"/>
  <c r="F667" i="9"/>
  <c r="M667" i="9"/>
  <c r="O666" i="9"/>
  <c r="K666" i="9"/>
  <c r="F666" i="9"/>
  <c r="M666" i="9"/>
  <c r="P666" i="9"/>
  <c r="N666" i="9"/>
  <c r="Q666" i="9"/>
  <c r="L666" i="9"/>
  <c r="J666" i="9"/>
  <c r="E666" i="9"/>
  <c r="D666" i="9"/>
  <c r="C666" i="9"/>
  <c r="P665" i="9"/>
  <c r="K665" i="9"/>
  <c r="F665" i="9"/>
  <c r="N665" i="9"/>
  <c r="Q665" i="9"/>
  <c r="J665" i="9"/>
  <c r="C665" i="9"/>
  <c r="E665" i="9"/>
  <c r="L665" i="9"/>
  <c r="M665" i="9"/>
  <c r="D665" i="9"/>
  <c r="O665" i="9"/>
  <c r="O664" i="9"/>
  <c r="L664" i="9"/>
  <c r="C664" i="9"/>
  <c r="M664" i="9"/>
  <c r="D664" i="9"/>
  <c r="P664" i="9"/>
  <c r="N664" i="9"/>
  <c r="J664" i="9"/>
  <c r="K664" i="9"/>
  <c r="E664" i="9"/>
  <c r="F664" i="9"/>
  <c r="Q664" i="9"/>
  <c r="P663" i="9"/>
  <c r="N663" i="9"/>
  <c r="L663" i="9"/>
  <c r="F663" i="9"/>
  <c r="K663" i="9"/>
  <c r="Q663" i="9"/>
  <c r="D663" i="9"/>
  <c r="O663" i="9"/>
  <c r="M663" i="9"/>
  <c r="E663" i="9"/>
  <c r="J663" i="9"/>
  <c r="O662" i="9"/>
  <c r="N662" i="9"/>
  <c r="F662" i="9"/>
  <c r="M662" i="9"/>
  <c r="Q662" i="9"/>
  <c r="K662" i="9"/>
  <c r="E662" i="9"/>
  <c r="J662" i="9"/>
  <c r="L662" i="9"/>
  <c r="P662" i="9"/>
  <c r="C662" i="9"/>
  <c r="D662" i="9"/>
  <c r="O661" i="9"/>
  <c r="N661" i="9"/>
  <c r="E661" i="9"/>
  <c r="K661" i="9"/>
  <c r="L661" i="9"/>
  <c r="P661" i="9"/>
  <c r="Q661" i="9"/>
  <c r="M661" i="9"/>
  <c r="J661" i="9"/>
  <c r="F661" i="9"/>
  <c r="D661" i="9"/>
  <c r="C661" i="9"/>
  <c r="M660" i="9"/>
  <c r="Q660" i="9"/>
  <c r="K660" i="9"/>
  <c r="D660" i="9"/>
  <c r="F660" i="9"/>
  <c r="E660" i="9"/>
  <c r="C660" i="9"/>
  <c r="L660" i="9"/>
  <c r="O660" i="9"/>
  <c r="N660" i="9"/>
  <c r="P660" i="9"/>
  <c r="J660" i="9"/>
  <c r="L659" i="9"/>
  <c r="O659" i="9"/>
  <c r="K659" i="9"/>
  <c r="N659" i="9"/>
  <c r="J659" i="9"/>
  <c r="F659" i="9"/>
  <c r="C659" i="9"/>
  <c r="D659" i="9"/>
  <c r="E659" i="9"/>
  <c r="Q659" i="9"/>
  <c r="P659" i="9"/>
  <c r="M659" i="9"/>
  <c r="C658" i="9"/>
  <c r="Q658" i="9"/>
  <c r="P658" i="9"/>
  <c r="O658" i="9"/>
  <c r="F658" i="9"/>
  <c r="K658" i="9"/>
  <c r="N658" i="9"/>
  <c r="J658" i="9"/>
  <c r="L658" i="9"/>
  <c r="E658" i="9"/>
  <c r="M658" i="9"/>
  <c r="D658" i="9"/>
  <c r="F657" i="9"/>
  <c r="P657" i="9"/>
  <c r="J657" i="9"/>
  <c r="M657" i="9"/>
  <c r="N657" i="9"/>
  <c r="O657" i="9"/>
  <c r="Q657" i="9"/>
  <c r="L657" i="9"/>
  <c r="K657" i="9"/>
  <c r="C657" i="9"/>
  <c r="E657" i="9"/>
  <c r="D657" i="9"/>
  <c r="M656" i="9"/>
  <c r="K656" i="9"/>
  <c r="O656" i="9"/>
  <c r="P656" i="9"/>
  <c r="C656" i="9"/>
  <c r="D656" i="9"/>
  <c r="J656" i="9"/>
  <c r="F656" i="9"/>
  <c r="L656" i="9"/>
  <c r="N656" i="9"/>
  <c r="Q656" i="9"/>
  <c r="E656" i="9"/>
  <c r="O655" i="9"/>
  <c r="M655" i="9"/>
  <c r="Q655" i="9"/>
  <c r="C655" i="9"/>
  <c r="K655" i="9"/>
  <c r="P655" i="9"/>
  <c r="D655" i="9"/>
  <c r="F655" i="9"/>
  <c r="E655" i="9"/>
  <c r="J655" i="9"/>
  <c r="N655" i="9"/>
  <c r="L655" i="9"/>
  <c r="F654" i="9"/>
  <c r="J654" i="9"/>
  <c r="C654" i="9"/>
  <c r="M654" i="9"/>
  <c r="P654" i="9"/>
  <c r="N654" i="9"/>
  <c r="Q654" i="9"/>
  <c r="L654" i="9"/>
  <c r="K654" i="9"/>
  <c r="D654" i="9"/>
  <c r="E654" i="9"/>
  <c r="O654" i="9"/>
  <c r="D653" i="9"/>
  <c r="F653" i="9"/>
  <c r="K653" i="9"/>
  <c r="Q653" i="9"/>
  <c r="L653" i="9"/>
  <c r="C653" i="9"/>
  <c r="M653" i="9"/>
  <c r="O653" i="9"/>
  <c r="P653" i="9"/>
  <c r="J653" i="9"/>
  <c r="E653" i="9"/>
  <c r="N653" i="9"/>
  <c r="M652" i="9"/>
  <c r="Q652" i="9"/>
  <c r="L652" i="9"/>
  <c r="C652" i="9"/>
  <c r="O652" i="9"/>
  <c r="K652" i="9"/>
  <c r="N652" i="9"/>
  <c r="J652" i="9"/>
  <c r="F652" i="9"/>
  <c r="P652" i="9"/>
  <c r="D652" i="9"/>
  <c r="O651" i="9"/>
  <c r="P651" i="9"/>
  <c r="N651" i="9"/>
  <c r="K651" i="9"/>
  <c r="L651" i="9"/>
  <c r="J651" i="9"/>
  <c r="E651" i="9"/>
  <c r="D651" i="9"/>
  <c r="F651" i="9"/>
  <c r="C651" i="9"/>
  <c r="M651" i="9"/>
  <c r="Q651" i="9"/>
  <c r="C650" i="9"/>
  <c r="F650" i="9"/>
  <c r="J650" i="9"/>
  <c r="Q650" i="9"/>
  <c r="D650" i="9"/>
  <c r="O650" i="9"/>
  <c r="E650" i="9"/>
  <c r="P650" i="9"/>
  <c r="M650" i="9"/>
  <c r="L650" i="9"/>
  <c r="N650" i="9"/>
  <c r="K650" i="9"/>
  <c r="J649" i="9"/>
  <c r="F649" i="9"/>
  <c r="Q649" i="9"/>
  <c r="M649" i="9"/>
  <c r="C649" i="9"/>
  <c r="E649" i="9"/>
  <c r="K649" i="9"/>
  <c r="L649" i="9"/>
  <c r="D649" i="9"/>
  <c r="P649" i="9"/>
  <c r="N649" i="9"/>
  <c r="O649" i="9"/>
  <c r="J648" i="9"/>
  <c r="L648" i="9"/>
  <c r="O648" i="9"/>
  <c r="Q648" i="9"/>
  <c r="M648" i="9"/>
  <c r="E648" i="9"/>
  <c r="P648" i="9"/>
  <c r="C648" i="9"/>
  <c r="D648" i="9"/>
  <c r="F648" i="9"/>
  <c r="N648" i="9"/>
  <c r="K648" i="9"/>
  <c r="E647" i="9"/>
  <c r="L647" i="9"/>
  <c r="P647" i="9"/>
  <c r="M647" i="9"/>
  <c r="N647" i="9"/>
  <c r="J647" i="9"/>
  <c r="C647" i="9"/>
  <c r="F647" i="9"/>
  <c r="K647" i="9"/>
  <c r="Q647" i="9"/>
  <c r="O647" i="9"/>
  <c r="D647" i="9"/>
  <c r="C646" i="9"/>
  <c r="F646" i="9"/>
  <c r="D646" i="9"/>
  <c r="J646" i="9"/>
  <c r="P646" i="9"/>
  <c r="K646" i="9"/>
  <c r="M646" i="9"/>
  <c r="N646" i="9"/>
  <c r="E646" i="9"/>
  <c r="L646" i="9"/>
  <c r="O646" i="9"/>
  <c r="Q646" i="9"/>
  <c r="J645" i="9"/>
  <c r="M645" i="9"/>
  <c r="N645" i="9"/>
  <c r="E645" i="9"/>
  <c r="P645" i="9"/>
  <c r="L645" i="9"/>
  <c r="F645" i="9"/>
  <c r="D645" i="9"/>
  <c r="K645" i="9"/>
  <c r="Q645" i="9"/>
  <c r="O645" i="9"/>
  <c r="C645" i="9"/>
  <c r="C644" i="9"/>
  <c r="O644" i="9"/>
  <c r="E644" i="9"/>
  <c r="J644" i="9"/>
  <c r="N644" i="9"/>
  <c r="D644" i="9"/>
  <c r="K644" i="9"/>
  <c r="F644" i="9"/>
  <c r="P644" i="9"/>
  <c r="L644" i="9"/>
  <c r="M644" i="9"/>
  <c r="Q644" i="9"/>
  <c r="D643" i="9"/>
  <c r="F643" i="9"/>
  <c r="J643" i="9"/>
  <c r="N643" i="9"/>
  <c r="Q643" i="9"/>
  <c r="M643" i="9"/>
  <c r="E643" i="9"/>
  <c r="K643" i="9"/>
  <c r="O643" i="9"/>
  <c r="P643" i="9"/>
  <c r="L643" i="9"/>
  <c r="C643" i="9"/>
  <c r="M642" i="9"/>
  <c r="P642" i="9"/>
  <c r="K642" i="9"/>
  <c r="C642" i="9"/>
  <c r="J642" i="9"/>
  <c r="N642" i="9"/>
  <c r="F642" i="9"/>
  <c r="O642" i="9"/>
  <c r="L642" i="9"/>
  <c r="Q642" i="9"/>
  <c r="E642" i="9"/>
  <c r="D642" i="9"/>
  <c r="M641" i="9"/>
  <c r="F641" i="9"/>
  <c r="K641" i="9"/>
  <c r="D641" i="9"/>
  <c r="N641" i="9"/>
  <c r="Q641" i="9"/>
  <c r="J641" i="9"/>
  <c r="C641" i="9"/>
  <c r="E641" i="9"/>
  <c r="L641" i="9"/>
  <c r="P641" i="9"/>
  <c r="O641" i="9"/>
  <c r="E640" i="9"/>
  <c r="F640" i="9"/>
  <c r="N640" i="9"/>
  <c r="J640" i="9"/>
  <c r="Q640" i="9"/>
  <c r="M640" i="9"/>
  <c r="P640" i="9"/>
  <c r="O640" i="9"/>
  <c r="C640" i="9"/>
  <c r="L640" i="9"/>
  <c r="D640" i="9"/>
  <c r="K640" i="9"/>
  <c r="P639" i="9"/>
  <c r="N639" i="9"/>
  <c r="E639" i="9"/>
  <c r="K639" i="9"/>
  <c r="Q639" i="9"/>
  <c r="O639" i="9"/>
  <c r="D639" i="9"/>
  <c r="C639" i="9"/>
  <c r="M639" i="9"/>
  <c r="L639" i="9"/>
  <c r="J639" i="9"/>
  <c r="F639" i="9"/>
  <c r="L638" i="9"/>
  <c r="Q638" i="9"/>
  <c r="K638" i="9"/>
  <c r="M638" i="9"/>
  <c r="C638" i="9"/>
  <c r="P638" i="9"/>
  <c r="E638" i="9"/>
  <c r="F638" i="9"/>
  <c r="J638" i="9"/>
  <c r="N638" i="9"/>
  <c r="O638" i="9"/>
  <c r="D638" i="9"/>
  <c r="D637" i="9"/>
  <c r="L637" i="9"/>
  <c r="Q637" i="9"/>
  <c r="K637" i="9"/>
  <c r="P637" i="9"/>
  <c r="C637" i="9"/>
  <c r="N637" i="9"/>
  <c r="O637" i="9"/>
  <c r="M637" i="9"/>
  <c r="J637" i="9"/>
  <c r="F637" i="9"/>
  <c r="E637" i="9"/>
  <c r="M636" i="9"/>
  <c r="L636" i="9"/>
  <c r="O636" i="9"/>
  <c r="Q636" i="9"/>
  <c r="N636" i="9"/>
  <c r="K636" i="9"/>
  <c r="P636" i="9"/>
  <c r="E636" i="9"/>
  <c r="J636" i="9"/>
  <c r="F636" i="9"/>
  <c r="D636" i="9"/>
  <c r="C636" i="9"/>
  <c r="D635" i="9"/>
  <c r="E635" i="9"/>
  <c r="K635" i="9"/>
  <c r="J635" i="9"/>
  <c r="F635" i="9"/>
  <c r="M635" i="9"/>
  <c r="N635" i="9"/>
  <c r="O635" i="9"/>
  <c r="P635" i="9"/>
  <c r="C635" i="9"/>
  <c r="Q635" i="9"/>
  <c r="L635" i="9"/>
  <c r="Q634" i="9"/>
  <c r="C634" i="9"/>
  <c r="N634" i="9"/>
  <c r="P634" i="9"/>
  <c r="E634" i="9"/>
  <c r="D634" i="9"/>
  <c r="O634" i="9"/>
  <c r="M634" i="9"/>
  <c r="J634" i="9"/>
  <c r="K634" i="9"/>
  <c r="L634" i="9"/>
  <c r="F634" i="9"/>
  <c r="L633" i="9"/>
  <c r="C633" i="9"/>
  <c r="Q633" i="9"/>
  <c r="J633" i="9"/>
  <c r="F633" i="9"/>
  <c r="K633" i="9"/>
  <c r="D633" i="9"/>
  <c r="N633" i="9"/>
  <c r="O633" i="9"/>
  <c r="M633" i="9"/>
  <c r="P633" i="9"/>
  <c r="E633" i="9"/>
  <c r="F632" i="9"/>
  <c r="J632" i="9"/>
  <c r="P632" i="9"/>
  <c r="Q632" i="9"/>
  <c r="L632" i="9"/>
  <c r="N632" i="9"/>
  <c r="C632" i="9"/>
  <c r="K632" i="9"/>
  <c r="O632" i="9"/>
  <c r="D632" i="9"/>
  <c r="E632" i="9"/>
  <c r="M632" i="9"/>
  <c r="J631" i="9"/>
  <c r="M631" i="9"/>
  <c r="P631" i="9"/>
  <c r="E631" i="9"/>
  <c r="F631" i="9"/>
  <c r="K631" i="9"/>
  <c r="L631" i="9"/>
  <c r="O631" i="9"/>
  <c r="D631" i="9"/>
  <c r="Q631" i="9"/>
  <c r="N631" i="9"/>
  <c r="C631" i="9"/>
  <c r="D630" i="9"/>
  <c r="F630" i="9"/>
  <c r="M630" i="9"/>
  <c r="P630" i="9"/>
  <c r="L630" i="9"/>
  <c r="Q630" i="9"/>
  <c r="K630" i="9"/>
  <c r="O630" i="9"/>
  <c r="J630" i="9"/>
  <c r="C630" i="9"/>
  <c r="E630" i="9"/>
  <c r="N630" i="9"/>
  <c r="N629" i="9"/>
  <c r="C629" i="9"/>
  <c r="O629" i="9"/>
  <c r="M629" i="9"/>
  <c r="D629" i="9"/>
  <c r="E629" i="9"/>
  <c r="F629" i="9"/>
  <c r="J629" i="9"/>
  <c r="K629" i="9"/>
  <c r="Q629" i="9"/>
  <c r="P629" i="9"/>
  <c r="L629" i="9"/>
  <c r="K628" i="9"/>
  <c r="L628" i="9"/>
  <c r="N628" i="9"/>
  <c r="P628" i="9"/>
  <c r="E628" i="9"/>
  <c r="O628" i="9"/>
  <c r="M628" i="9"/>
  <c r="D628" i="9"/>
  <c r="J628" i="9"/>
  <c r="F628" i="9"/>
  <c r="C628" i="9"/>
  <c r="Q628" i="9"/>
  <c r="O627" i="9"/>
  <c r="C627" i="9"/>
  <c r="D627" i="9"/>
  <c r="Q627" i="9"/>
  <c r="J627" i="9"/>
  <c r="L627" i="9"/>
  <c r="K627" i="9"/>
  <c r="N627" i="9"/>
  <c r="F627" i="9"/>
  <c r="E627" i="9"/>
  <c r="P627" i="9"/>
  <c r="M627" i="9"/>
  <c r="D626" i="9"/>
  <c r="Q626" i="9"/>
  <c r="L626" i="9"/>
  <c r="N626" i="9"/>
  <c r="M626" i="9"/>
  <c r="E626" i="9"/>
  <c r="K626" i="9"/>
  <c r="C626" i="9"/>
  <c r="F626" i="9"/>
  <c r="P626" i="9"/>
  <c r="O626" i="9"/>
  <c r="J626" i="9"/>
  <c r="O625" i="9"/>
  <c r="K625" i="9"/>
  <c r="E625" i="9"/>
  <c r="C625" i="9"/>
  <c r="D625" i="9"/>
  <c r="M625" i="9"/>
  <c r="Q625" i="9"/>
  <c r="L625" i="9"/>
  <c r="F625" i="9"/>
  <c r="P625" i="9"/>
  <c r="N625" i="9"/>
  <c r="J625" i="9"/>
  <c r="F624" i="9"/>
  <c r="D624" i="9"/>
  <c r="O624" i="9"/>
  <c r="C624" i="9"/>
  <c r="E624" i="9"/>
  <c r="Q624" i="9"/>
  <c r="K624" i="9"/>
  <c r="N624" i="9"/>
  <c r="L624" i="9"/>
  <c r="P624" i="9"/>
  <c r="M624" i="9"/>
  <c r="J624" i="9"/>
  <c r="E623" i="9"/>
  <c r="P623" i="9"/>
  <c r="D623" i="9"/>
  <c r="F623" i="9"/>
  <c r="C623" i="9"/>
  <c r="K623" i="9"/>
  <c r="M623" i="9"/>
  <c r="O623" i="9"/>
  <c r="Q623" i="9"/>
  <c r="N623" i="9"/>
  <c r="L623" i="9"/>
  <c r="J623" i="9"/>
  <c r="J622" i="9"/>
  <c r="F622" i="9"/>
  <c r="K622" i="9"/>
  <c r="M622" i="9"/>
  <c r="L622" i="9"/>
  <c r="Q622" i="9"/>
  <c r="O622" i="9"/>
  <c r="C622" i="9"/>
  <c r="D622" i="9"/>
  <c r="E622" i="9"/>
  <c r="N622" i="9"/>
  <c r="P622" i="9"/>
  <c r="K621" i="9"/>
  <c r="D621" i="9"/>
  <c r="C621" i="9"/>
  <c r="P621" i="9"/>
  <c r="M621" i="9"/>
  <c r="O621" i="9"/>
  <c r="L621" i="9"/>
  <c r="J621" i="9"/>
  <c r="N621" i="9"/>
  <c r="Q621" i="9"/>
  <c r="F621" i="9"/>
  <c r="E621" i="9"/>
  <c r="P620" i="9"/>
  <c r="O620" i="9"/>
  <c r="C620" i="9"/>
  <c r="E620" i="9"/>
  <c r="F620" i="9"/>
  <c r="N620" i="9"/>
  <c r="J620" i="9"/>
  <c r="K620" i="9"/>
  <c r="Q620" i="9"/>
  <c r="L620" i="9"/>
  <c r="D620" i="9"/>
  <c r="M620" i="9"/>
  <c r="J619" i="9"/>
  <c r="F619" i="9"/>
  <c r="L619" i="9"/>
  <c r="O619" i="9"/>
  <c r="P619" i="9"/>
  <c r="E619" i="9"/>
  <c r="M619" i="9"/>
  <c r="Q619" i="9"/>
  <c r="K619" i="9"/>
  <c r="D619" i="9"/>
  <c r="C619" i="9"/>
  <c r="N619" i="9"/>
  <c r="C618" i="9"/>
  <c r="M618" i="9"/>
  <c r="P618" i="9"/>
  <c r="L618" i="9"/>
  <c r="O618" i="9"/>
  <c r="J618" i="9"/>
  <c r="E618" i="9"/>
  <c r="Q618" i="9"/>
  <c r="N618" i="9"/>
  <c r="K618" i="9"/>
  <c r="F618" i="9"/>
  <c r="D618" i="9"/>
  <c r="L617" i="9"/>
  <c r="Q617" i="9"/>
  <c r="P617" i="9"/>
  <c r="N617" i="9"/>
  <c r="K617" i="9"/>
  <c r="E617" i="9"/>
  <c r="D617" i="9"/>
  <c r="O617" i="9"/>
  <c r="M617" i="9"/>
  <c r="J617" i="9"/>
  <c r="F617" i="9"/>
  <c r="C617" i="9"/>
  <c r="E616" i="9"/>
  <c r="C616" i="9"/>
  <c r="Q616" i="9"/>
  <c r="P616" i="9"/>
  <c r="M616" i="9"/>
  <c r="J616" i="9"/>
  <c r="F616" i="9"/>
  <c r="O616" i="9"/>
  <c r="L616" i="9"/>
  <c r="K616" i="9"/>
  <c r="D616" i="9"/>
  <c r="N616" i="9"/>
  <c r="P615" i="9"/>
  <c r="N615" i="9"/>
  <c r="Q615" i="9"/>
  <c r="C615" i="9"/>
  <c r="E615" i="9"/>
  <c r="J615" i="9"/>
  <c r="O615" i="9"/>
  <c r="L615" i="9"/>
  <c r="D615" i="9"/>
  <c r="F615" i="9"/>
  <c r="K615" i="9"/>
  <c r="M615" i="9"/>
  <c r="P614" i="9"/>
  <c r="F614" i="9"/>
  <c r="C614" i="9"/>
  <c r="E614" i="9"/>
  <c r="M614" i="9"/>
  <c r="O614" i="9"/>
  <c r="Q614" i="9"/>
  <c r="D614" i="9"/>
  <c r="J614" i="9"/>
  <c r="K614" i="9"/>
  <c r="L614" i="9"/>
  <c r="N614" i="9"/>
  <c r="P613" i="9"/>
  <c r="F613" i="9"/>
  <c r="D613" i="9"/>
  <c r="Q613" i="9"/>
  <c r="O613" i="9"/>
  <c r="K613" i="9"/>
  <c r="M613" i="9"/>
  <c r="C613" i="9"/>
  <c r="J613" i="9"/>
  <c r="N613" i="9"/>
  <c r="L613" i="9"/>
  <c r="E613" i="9"/>
  <c r="Q612" i="9"/>
  <c r="L612" i="9"/>
  <c r="E612" i="9"/>
  <c r="P612" i="9"/>
  <c r="N612" i="9"/>
  <c r="J612" i="9"/>
  <c r="O612" i="9"/>
  <c r="F612" i="9"/>
  <c r="D612" i="9"/>
  <c r="K612" i="9"/>
  <c r="M612" i="9"/>
  <c r="C612" i="9"/>
  <c r="J611" i="9"/>
  <c r="P611" i="9"/>
  <c r="N611" i="9"/>
  <c r="K611" i="9"/>
  <c r="C611" i="9"/>
  <c r="L611" i="9"/>
  <c r="D611" i="9"/>
  <c r="F611" i="9"/>
  <c r="Q611" i="9"/>
  <c r="E611" i="9"/>
  <c r="M611" i="9"/>
  <c r="O611" i="9"/>
  <c r="F610" i="9"/>
  <c r="Q610" i="9"/>
  <c r="M610" i="9"/>
  <c r="N610" i="9"/>
  <c r="E610" i="9"/>
  <c r="O610" i="9"/>
  <c r="L610" i="9"/>
  <c r="P610" i="9"/>
  <c r="C610" i="9"/>
  <c r="K610" i="9"/>
  <c r="D610" i="9"/>
  <c r="J610" i="9"/>
  <c r="C609" i="9"/>
  <c r="E609" i="9"/>
  <c r="J609" i="9"/>
  <c r="K609" i="9"/>
  <c r="N609" i="9"/>
  <c r="P609" i="9"/>
  <c r="D609" i="9"/>
  <c r="L609" i="9"/>
  <c r="M609" i="9"/>
  <c r="Q609" i="9"/>
  <c r="O609" i="9"/>
  <c r="F609" i="9"/>
  <c r="E608" i="9"/>
  <c r="K608" i="9"/>
  <c r="F608" i="9"/>
  <c r="J608" i="9"/>
  <c r="L608" i="9"/>
  <c r="C608" i="9"/>
  <c r="N608" i="9"/>
  <c r="P608" i="9"/>
  <c r="M608" i="9"/>
  <c r="Q608" i="9"/>
  <c r="D608" i="9"/>
  <c r="O608" i="9"/>
  <c r="J607" i="9"/>
  <c r="O607" i="9"/>
  <c r="P607" i="9"/>
  <c r="N607" i="9"/>
  <c r="K607" i="9"/>
  <c r="F607" i="9"/>
  <c r="Q607" i="9"/>
  <c r="L607" i="9"/>
  <c r="C607" i="9"/>
  <c r="M607" i="9"/>
  <c r="D607" i="9"/>
  <c r="K606" i="9"/>
  <c r="O606" i="9"/>
  <c r="Q606" i="9"/>
  <c r="C606" i="9"/>
  <c r="D606" i="9"/>
  <c r="F606" i="9"/>
  <c r="J606" i="9"/>
  <c r="M606" i="9"/>
  <c r="N606" i="9"/>
  <c r="P606" i="9"/>
  <c r="E606" i="9"/>
  <c r="L606" i="9"/>
  <c r="E605" i="9"/>
  <c r="D605" i="9"/>
  <c r="M605" i="9"/>
  <c r="L605" i="9"/>
  <c r="J605" i="9"/>
  <c r="C605" i="9"/>
  <c r="K605" i="9"/>
  <c r="Q605" i="9"/>
  <c r="N605" i="9"/>
  <c r="P605" i="9"/>
  <c r="O605" i="9"/>
  <c r="F605" i="9"/>
  <c r="Q604" i="9"/>
  <c r="P604" i="9"/>
  <c r="N604" i="9"/>
  <c r="M604" i="9"/>
  <c r="K604" i="9"/>
  <c r="F604" i="9"/>
  <c r="E604" i="9"/>
  <c r="D604" i="9"/>
  <c r="C604" i="9"/>
  <c r="O604" i="9"/>
  <c r="L604" i="9"/>
  <c r="J604" i="9"/>
  <c r="K603" i="9"/>
  <c r="J603" i="9"/>
  <c r="P603" i="9"/>
  <c r="N603" i="9"/>
  <c r="L603" i="9"/>
  <c r="F603" i="9"/>
  <c r="E603" i="9"/>
  <c r="D603" i="9"/>
  <c r="Q603" i="9"/>
  <c r="O603" i="9"/>
  <c r="M603" i="9"/>
  <c r="C603" i="9"/>
  <c r="N602" i="9"/>
  <c r="L602" i="9"/>
  <c r="E602" i="9"/>
  <c r="Q602" i="9"/>
  <c r="M602" i="9"/>
  <c r="J602" i="9"/>
  <c r="F602" i="9"/>
  <c r="C602" i="9"/>
  <c r="D602" i="9"/>
  <c r="K602" i="9"/>
  <c r="P602" i="9"/>
  <c r="O602" i="9"/>
  <c r="K601" i="9"/>
  <c r="F601" i="9"/>
  <c r="Q601" i="9"/>
  <c r="E601" i="9"/>
  <c r="C601" i="9"/>
  <c r="N601" i="9"/>
  <c r="J601" i="9"/>
  <c r="O601" i="9"/>
  <c r="L601" i="9"/>
  <c r="D601" i="9"/>
  <c r="P601" i="9"/>
  <c r="M601" i="9"/>
  <c r="Q600" i="9"/>
  <c r="E600" i="9"/>
  <c r="J600" i="9"/>
  <c r="M600" i="9"/>
  <c r="O600" i="9"/>
  <c r="P600" i="9"/>
  <c r="L600" i="9"/>
  <c r="F600" i="9"/>
  <c r="N600" i="9"/>
  <c r="K600" i="9"/>
  <c r="C600" i="9"/>
  <c r="D600" i="9"/>
  <c r="D599" i="9"/>
  <c r="J599" i="9"/>
  <c r="M599" i="9"/>
  <c r="Q599" i="9"/>
  <c r="C599" i="9"/>
  <c r="O599" i="9"/>
  <c r="N599" i="9"/>
  <c r="K599" i="9"/>
  <c r="F599" i="9"/>
  <c r="E599" i="9"/>
  <c r="P599" i="9"/>
  <c r="P598" i="9"/>
  <c r="K598" i="9"/>
  <c r="F598" i="9"/>
  <c r="E598" i="9"/>
  <c r="L598" i="9"/>
  <c r="M598" i="9"/>
  <c r="N598" i="9"/>
  <c r="O598" i="9"/>
  <c r="Q598" i="9"/>
  <c r="D598" i="9"/>
  <c r="C598" i="9"/>
  <c r="J598" i="9"/>
  <c r="O597" i="9"/>
  <c r="L597" i="9"/>
  <c r="J597" i="9"/>
  <c r="F597" i="9"/>
  <c r="P597" i="9"/>
  <c r="Q597" i="9"/>
  <c r="N597" i="9"/>
  <c r="M597" i="9"/>
  <c r="K597" i="9"/>
  <c r="E597" i="9"/>
  <c r="C597" i="9"/>
  <c r="D597" i="9"/>
  <c r="C596" i="9"/>
  <c r="J596" i="9"/>
  <c r="M596" i="9"/>
  <c r="O596" i="9"/>
  <c r="D596" i="9"/>
  <c r="L596" i="9"/>
  <c r="N596" i="9"/>
  <c r="E596" i="9"/>
  <c r="F596" i="9"/>
  <c r="P596" i="9"/>
  <c r="K596" i="9"/>
  <c r="Q596" i="9"/>
  <c r="F595" i="9"/>
  <c r="C595" i="9"/>
  <c r="J595" i="9"/>
  <c r="M595" i="9"/>
  <c r="O595" i="9"/>
  <c r="K595" i="9"/>
  <c r="N595" i="9"/>
  <c r="Q595" i="9"/>
  <c r="P595" i="9"/>
  <c r="D595" i="9"/>
  <c r="E595" i="9"/>
  <c r="L595" i="9"/>
  <c r="L594" i="9"/>
  <c r="O594" i="9"/>
  <c r="F594" i="9"/>
  <c r="D594" i="9"/>
  <c r="K594" i="9"/>
  <c r="N594" i="9"/>
  <c r="C594" i="9"/>
  <c r="Q594" i="9"/>
  <c r="E594" i="9"/>
  <c r="J594" i="9"/>
  <c r="M594" i="9"/>
  <c r="P594" i="9"/>
  <c r="O593" i="9"/>
  <c r="M593" i="9"/>
  <c r="J593" i="9"/>
  <c r="C593" i="9"/>
  <c r="F593" i="9"/>
  <c r="L593" i="9"/>
  <c r="Q593" i="9"/>
  <c r="N593" i="9"/>
  <c r="K593" i="9"/>
  <c r="D593" i="9"/>
  <c r="P593" i="9"/>
  <c r="E593" i="9"/>
  <c r="Q592" i="9"/>
  <c r="N592" i="9"/>
  <c r="K592" i="9"/>
  <c r="C592" i="9"/>
  <c r="O592" i="9"/>
  <c r="M592" i="9"/>
  <c r="J592" i="9"/>
  <c r="E592" i="9"/>
  <c r="L592" i="9"/>
  <c r="P592" i="9"/>
  <c r="D592" i="9"/>
  <c r="F592" i="9"/>
  <c r="O591" i="9"/>
  <c r="M591" i="9"/>
  <c r="F591" i="9"/>
  <c r="E591" i="9"/>
  <c r="D591" i="9"/>
  <c r="C591" i="9"/>
  <c r="J591" i="9"/>
  <c r="P591" i="9"/>
  <c r="L591" i="9"/>
  <c r="Q591" i="9"/>
  <c r="N591" i="9"/>
  <c r="K591" i="9"/>
  <c r="O590" i="9"/>
  <c r="F590" i="9"/>
  <c r="J590" i="9"/>
  <c r="C590" i="9"/>
  <c r="L590" i="9"/>
  <c r="N590" i="9"/>
  <c r="P590" i="9"/>
  <c r="K590" i="9"/>
  <c r="E590" i="9"/>
  <c r="Q590" i="9"/>
  <c r="M590" i="9"/>
  <c r="D590" i="9"/>
  <c r="Q589" i="9"/>
  <c r="P589" i="9"/>
  <c r="M589" i="9"/>
  <c r="J589" i="9"/>
  <c r="F589" i="9"/>
  <c r="E589" i="9"/>
  <c r="K589" i="9"/>
  <c r="C589" i="9"/>
  <c r="O589" i="9"/>
  <c r="L589" i="9"/>
  <c r="N589" i="9"/>
  <c r="M588" i="9"/>
  <c r="J588" i="9"/>
  <c r="C588" i="9"/>
  <c r="E588" i="9"/>
  <c r="D588" i="9"/>
  <c r="F588" i="9"/>
  <c r="N588" i="9"/>
  <c r="O588" i="9"/>
  <c r="P588" i="9"/>
  <c r="Q588" i="9"/>
  <c r="L588" i="9"/>
  <c r="K588" i="9"/>
  <c r="P587" i="9"/>
  <c r="K587" i="9"/>
  <c r="D587" i="9"/>
  <c r="F587" i="9"/>
  <c r="E587" i="9"/>
  <c r="C587" i="9"/>
  <c r="Q587" i="9"/>
  <c r="N587" i="9"/>
  <c r="O587" i="9"/>
  <c r="M587" i="9"/>
  <c r="J587" i="9"/>
  <c r="L587" i="9"/>
  <c r="Q586" i="9"/>
  <c r="J586" i="9"/>
  <c r="F586" i="9"/>
  <c r="D586" i="9"/>
  <c r="L586" i="9"/>
  <c r="K586" i="9"/>
  <c r="O586" i="9"/>
  <c r="C586" i="9"/>
  <c r="M586" i="9"/>
  <c r="N586" i="9"/>
  <c r="P586" i="9"/>
  <c r="E586" i="9"/>
  <c r="P585" i="9"/>
  <c r="K585" i="9"/>
  <c r="D585" i="9"/>
  <c r="C585" i="9"/>
  <c r="F585" i="9"/>
  <c r="Q585" i="9"/>
  <c r="J585" i="9"/>
  <c r="O585" i="9"/>
  <c r="M585" i="9"/>
  <c r="E585" i="9"/>
  <c r="N585" i="9"/>
  <c r="L585" i="9"/>
  <c r="P584" i="9"/>
  <c r="J584" i="9"/>
  <c r="K584" i="9"/>
  <c r="F584" i="9"/>
  <c r="E584" i="9"/>
  <c r="D584" i="9"/>
  <c r="C584" i="9"/>
  <c r="Q584" i="9"/>
  <c r="O584" i="9"/>
  <c r="N584" i="9"/>
  <c r="M584" i="9"/>
  <c r="L584" i="9"/>
  <c r="D583" i="9"/>
  <c r="L583" i="9"/>
  <c r="C583" i="9"/>
  <c r="E583" i="9"/>
  <c r="J583" i="9"/>
  <c r="Q583" i="9"/>
  <c r="K583" i="9"/>
  <c r="P583" i="9"/>
  <c r="M583" i="9"/>
  <c r="O583" i="9"/>
  <c r="N583" i="9"/>
  <c r="F583" i="9"/>
  <c r="P582" i="9"/>
  <c r="O582" i="9"/>
  <c r="E582" i="9"/>
  <c r="M582" i="9"/>
  <c r="F582" i="9"/>
  <c r="L582" i="9"/>
  <c r="Q582" i="9"/>
  <c r="D582" i="9"/>
  <c r="C582" i="9"/>
  <c r="K582" i="9"/>
  <c r="J582" i="9"/>
  <c r="N582" i="9"/>
  <c r="C581" i="9"/>
  <c r="J581" i="9"/>
  <c r="O581" i="9"/>
  <c r="F581" i="9"/>
  <c r="K581" i="9"/>
  <c r="L581" i="9"/>
  <c r="Q581" i="9"/>
  <c r="M581" i="9"/>
  <c r="N581" i="9"/>
  <c r="P581" i="9"/>
  <c r="E581" i="9"/>
  <c r="D581" i="9"/>
  <c r="E580" i="9"/>
  <c r="P580" i="9"/>
  <c r="D580" i="9"/>
  <c r="L580" i="9"/>
  <c r="N580" i="9"/>
  <c r="M580" i="9"/>
  <c r="Q580" i="9"/>
  <c r="J580" i="9"/>
  <c r="O580" i="9"/>
  <c r="K580" i="9"/>
  <c r="C580" i="9"/>
  <c r="O579" i="9"/>
  <c r="J579" i="9"/>
  <c r="D579" i="9"/>
  <c r="E579" i="9"/>
  <c r="F579" i="9"/>
  <c r="L579" i="9"/>
  <c r="P579" i="9"/>
  <c r="C579" i="9"/>
  <c r="N579" i="9"/>
  <c r="Q579" i="9"/>
  <c r="M579" i="9"/>
  <c r="K579" i="9"/>
  <c r="L578" i="9"/>
  <c r="K578" i="9"/>
  <c r="F578" i="9"/>
  <c r="P578" i="9"/>
  <c r="N578" i="9"/>
  <c r="Q578" i="9"/>
  <c r="O578" i="9"/>
  <c r="D578" i="9"/>
  <c r="J578" i="9"/>
  <c r="M578" i="9"/>
  <c r="N577" i="9"/>
  <c r="L577" i="9"/>
  <c r="J577" i="9"/>
  <c r="K577" i="9"/>
  <c r="F577" i="9"/>
  <c r="M577" i="9"/>
  <c r="C577" i="9"/>
  <c r="E577" i="9"/>
  <c r="P577" i="9"/>
  <c r="D577" i="9"/>
  <c r="Q577" i="9"/>
  <c r="O577" i="9"/>
  <c r="D576" i="9"/>
  <c r="O576" i="9"/>
  <c r="F576" i="9"/>
  <c r="Q576" i="9"/>
  <c r="M576" i="9"/>
  <c r="E576" i="9"/>
  <c r="L576" i="9"/>
  <c r="P576" i="9"/>
  <c r="K576" i="9"/>
  <c r="N576" i="9"/>
  <c r="J576" i="9"/>
  <c r="L575" i="9"/>
  <c r="D575" i="9"/>
  <c r="N575" i="9"/>
  <c r="Q575" i="9"/>
  <c r="F575" i="9"/>
  <c r="P575" i="9"/>
  <c r="O575" i="9"/>
  <c r="M575" i="9"/>
  <c r="J575" i="9"/>
  <c r="E575" i="9"/>
  <c r="C575" i="9"/>
  <c r="K575" i="9"/>
  <c r="L574" i="9"/>
  <c r="D574" i="9"/>
  <c r="F574" i="9"/>
  <c r="P574" i="9"/>
  <c r="K574" i="9"/>
  <c r="J574" i="9"/>
  <c r="M574" i="9"/>
  <c r="Q574" i="9"/>
  <c r="N574" i="9"/>
  <c r="O574" i="9"/>
  <c r="E574" i="9"/>
  <c r="C574" i="9"/>
  <c r="C573" i="9"/>
  <c r="K573" i="9"/>
  <c r="O573" i="9"/>
  <c r="N573" i="9"/>
  <c r="L573" i="9"/>
  <c r="D573" i="9"/>
  <c r="P573" i="9"/>
  <c r="J573" i="9"/>
  <c r="M573" i="9"/>
  <c r="Q573" i="9"/>
  <c r="F573" i="9"/>
  <c r="E573" i="9"/>
  <c r="E572" i="9"/>
  <c r="O572" i="9"/>
  <c r="L572" i="9"/>
  <c r="P572" i="9"/>
  <c r="K572" i="9"/>
  <c r="N572" i="9"/>
  <c r="Q572" i="9"/>
  <c r="M572" i="9"/>
  <c r="J572" i="9"/>
  <c r="F572" i="9"/>
  <c r="D572" i="9"/>
  <c r="C572" i="9"/>
  <c r="P571" i="9"/>
  <c r="N571" i="9"/>
  <c r="O571" i="9"/>
  <c r="J571" i="9"/>
  <c r="E571" i="9"/>
  <c r="C571" i="9"/>
  <c r="F571" i="9"/>
  <c r="D571" i="9"/>
  <c r="M571" i="9"/>
  <c r="K571" i="9"/>
  <c r="Q571" i="9"/>
  <c r="L571" i="9"/>
  <c r="C570" i="9"/>
  <c r="D570" i="9"/>
  <c r="K570" i="9"/>
  <c r="Q570" i="9"/>
  <c r="M570" i="9"/>
  <c r="P570" i="9"/>
  <c r="N570" i="9"/>
  <c r="L570" i="9"/>
  <c r="O570" i="9"/>
  <c r="J570" i="9"/>
  <c r="F570" i="9"/>
  <c r="E570" i="9"/>
  <c r="E569" i="9"/>
  <c r="M569" i="9"/>
  <c r="C569" i="9"/>
  <c r="D569" i="9"/>
  <c r="O569" i="9"/>
  <c r="J569" i="9"/>
  <c r="F569" i="9"/>
  <c r="L569" i="9"/>
  <c r="Q569" i="9"/>
  <c r="N569" i="9"/>
  <c r="P569" i="9"/>
  <c r="K569" i="9"/>
  <c r="D568" i="9"/>
  <c r="P568" i="9"/>
  <c r="K568" i="9"/>
  <c r="O568" i="9"/>
  <c r="N568" i="9"/>
  <c r="J568" i="9"/>
  <c r="L568" i="9"/>
  <c r="E568" i="9"/>
  <c r="C568" i="9"/>
  <c r="F568" i="9"/>
  <c r="M568" i="9"/>
  <c r="Q568" i="9"/>
  <c r="D567" i="9"/>
  <c r="C567" i="9"/>
  <c r="P567" i="9"/>
  <c r="M567" i="9"/>
  <c r="E567" i="9"/>
  <c r="F567" i="9"/>
  <c r="L567" i="9"/>
  <c r="Q567" i="9"/>
  <c r="K567" i="9"/>
  <c r="O567" i="9"/>
  <c r="J567" i="9"/>
  <c r="N567" i="9"/>
  <c r="K566" i="9"/>
  <c r="L566" i="9"/>
  <c r="M566" i="9"/>
  <c r="Q566" i="9"/>
  <c r="N566" i="9"/>
  <c r="D566" i="9"/>
  <c r="P566" i="9"/>
  <c r="O566" i="9"/>
  <c r="C566" i="9"/>
  <c r="F566" i="9"/>
  <c r="E566" i="9"/>
  <c r="J566" i="9"/>
  <c r="D565" i="9"/>
  <c r="L565" i="9"/>
  <c r="C565" i="9"/>
  <c r="P565" i="9"/>
  <c r="M565" i="9"/>
  <c r="F565" i="9"/>
  <c r="J565" i="9"/>
  <c r="Q565" i="9"/>
  <c r="N565" i="9"/>
  <c r="K565" i="9"/>
  <c r="O565" i="9"/>
  <c r="E565" i="9"/>
  <c r="D564" i="9"/>
  <c r="K564" i="9"/>
  <c r="O564" i="9"/>
  <c r="E564" i="9"/>
  <c r="C564" i="9"/>
  <c r="P564" i="9"/>
  <c r="L564" i="9"/>
  <c r="N564" i="9"/>
  <c r="J564" i="9"/>
  <c r="F564" i="9"/>
  <c r="Q564" i="9"/>
  <c r="M564" i="9"/>
  <c r="P563" i="9"/>
  <c r="Q563" i="9"/>
  <c r="C563" i="9"/>
  <c r="L563" i="9"/>
  <c r="M563" i="9"/>
  <c r="O563" i="9"/>
  <c r="N563" i="9"/>
  <c r="D563" i="9"/>
  <c r="K563" i="9"/>
  <c r="E563" i="9"/>
  <c r="F563" i="9"/>
  <c r="J563" i="9"/>
  <c r="Q562" i="9"/>
  <c r="P562" i="9"/>
  <c r="M562" i="9"/>
  <c r="F562" i="9"/>
  <c r="E562" i="9"/>
  <c r="L562" i="9"/>
  <c r="D562" i="9"/>
  <c r="J562" i="9"/>
  <c r="K562" i="9"/>
  <c r="N562" i="9"/>
  <c r="O562" i="9"/>
  <c r="C562" i="9"/>
  <c r="K561" i="9"/>
  <c r="F561" i="9"/>
  <c r="D561" i="9"/>
  <c r="L561" i="9"/>
  <c r="M561" i="9"/>
  <c r="P561" i="9"/>
  <c r="O561" i="9"/>
  <c r="C561" i="9"/>
  <c r="E561" i="9"/>
  <c r="Q561" i="9"/>
  <c r="N561" i="9"/>
  <c r="J561" i="9"/>
  <c r="L560" i="9"/>
  <c r="D560" i="9"/>
  <c r="N560" i="9"/>
  <c r="J560" i="9"/>
  <c r="F560" i="9"/>
  <c r="M560" i="9"/>
  <c r="E560" i="9"/>
  <c r="K560" i="9"/>
  <c r="P560" i="9"/>
  <c r="O560" i="9"/>
  <c r="Q560" i="9"/>
  <c r="C560" i="9"/>
  <c r="J559" i="9"/>
  <c r="N559" i="9"/>
  <c r="D559" i="9"/>
  <c r="C559" i="9"/>
  <c r="L559" i="9"/>
  <c r="O559" i="9"/>
  <c r="P559" i="9"/>
  <c r="K559" i="9"/>
  <c r="F559" i="9"/>
  <c r="Q559" i="9"/>
  <c r="M559" i="9"/>
  <c r="E559" i="9"/>
  <c r="P558" i="9"/>
  <c r="N558" i="9"/>
  <c r="L558" i="9"/>
  <c r="K558" i="9"/>
  <c r="Q558" i="9"/>
  <c r="J558" i="9"/>
  <c r="F558" i="9"/>
  <c r="E558" i="9"/>
  <c r="D558" i="9"/>
  <c r="O558" i="9"/>
  <c r="M558" i="9"/>
  <c r="C558" i="9"/>
  <c r="O557" i="9"/>
  <c r="Q557" i="9"/>
  <c r="P557" i="9"/>
  <c r="J557" i="9"/>
  <c r="C557" i="9"/>
  <c r="N557" i="9"/>
  <c r="K557" i="9"/>
  <c r="D557" i="9"/>
  <c r="F557" i="9"/>
  <c r="L557" i="9"/>
  <c r="M557" i="9"/>
  <c r="E557" i="9"/>
  <c r="D556" i="9"/>
  <c r="J556" i="9"/>
  <c r="N556" i="9"/>
  <c r="K556" i="9"/>
  <c r="L556" i="9"/>
  <c r="P556" i="9"/>
  <c r="F556" i="9"/>
  <c r="E556" i="9"/>
  <c r="Q556" i="9"/>
  <c r="M556" i="9"/>
  <c r="C556" i="9"/>
  <c r="O556" i="9"/>
  <c r="N555" i="9"/>
  <c r="Q555" i="9"/>
  <c r="F555" i="9"/>
  <c r="J555" i="9"/>
  <c r="E555" i="9"/>
  <c r="D555" i="9"/>
  <c r="P555" i="9"/>
  <c r="O555" i="9"/>
  <c r="L555" i="9"/>
  <c r="K555" i="9"/>
  <c r="C555" i="9"/>
  <c r="M555" i="9"/>
  <c r="E554" i="9"/>
  <c r="F554" i="9"/>
  <c r="K554" i="9"/>
  <c r="M554" i="9"/>
  <c r="O554" i="9"/>
  <c r="P554" i="9"/>
  <c r="C554" i="9"/>
  <c r="D554" i="9"/>
  <c r="J554" i="9"/>
  <c r="L554" i="9"/>
  <c r="N554" i="9"/>
  <c r="Q554" i="9"/>
  <c r="O553" i="9"/>
  <c r="L553" i="9"/>
  <c r="J553" i="9"/>
  <c r="F553" i="9"/>
  <c r="E553" i="9"/>
  <c r="D553" i="9"/>
  <c r="C553" i="9"/>
  <c r="Q553" i="9"/>
  <c r="K553" i="9"/>
  <c r="P553" i="9"/>
  <c r="M553" i="9"/>
  <c r="N553" i="9"/>
  <c r="C552" i="9"/>
  <c r="J552" i="9"/>
  <c r="N552" i="9"/>
  <c r="O552" i="9"/>
  <c r="L552" i="9"/>
  <c r="M552" i="9"/>
  <c r="F552" i="9"/>
  <c r="E552" i="9"/>
  <c r="D552" i="9"/>
  <c r="K552" i="9"/>
  <c r="Q552" i="9"/>
  <c r="P552" i="9"/>
  <c r="O551" i="9"/>
  <c r="C551" i="9"/>
  <c r="E551" i="9"/>
  <c r="J551" i="9"/>
  <c r="N551" i="9"/>
  <c r="M551" i="9"/>
  <c r="D551" i="9"/>
  <c r="F551" i="9"/>
  <c r="K551" i="9"/>
  <c r="P551" i="9"/>
  <c r="L551" i="9"/>
  <c r="Q551" i="9"/>
  <c r="K550" i="9"/>
  <c r="O550" i="9"/>
  <c r="P550" i="9"/>
  <c r="C550" i="9"/>
  <c r="Q550" i="9"/>
  <c r="N550" i="9"/>
  <c r="L550" i="9"/>
  <c r="F550" i="9"/>
  <c r="M550" i="9"/>
  <c r="J550" i="9"/>
  <c r="E550" i="9"/>
  <c r="D550" i="9"/>
  <c r="C549" i="9"/>
  <c r="O549" i="9"/>
  <c r="K549" i="9"/>
  <c r="F549" i="9"/>
  <c r="D549" i="9"/>
  <c r="N549" i="9"/>
  <c r="J549" i="9"/>
  <c r="P549" i="9"/>
  <c r="M549" i="9"/>
  <c r="E549" i="9"/>
  <c r="Q549" i="9"/>
  <c r="L549" i="9"/>
  <c r="M548" i="9"/>
  <c r="N548" i="9"/>
  <c r="J548" i="9"/>
  <c r="D548" i="9"/>
  <c r="E548" i="9"/>
  <c r="Q548" i="9"/>
  <c r="L548" i="9"/>
  <c r="P548" i="9"/>
  <c r="O548" i="9"/>
  <c r="K548" i="9"/>
  <c r="F548" i="9"/>
  <c r="C548" i="9"/>
  <c r="Q547" i="9"/>
  <c r="F547" i="9"/>
  <c r="L547" i="9"/>
  <c r="O547" i="9"/>
  <c r="P547" i="9"/>
  <c r="J547" i="9"/>
  <c r="E547" i="9"/>
  <c r="M547" i="9"/>
  <c r="C547" i="9"/>
  <c r="D547" i="9"/>
  <c r="K547" i="9"/>
  <c r="N547" i="9"/>
  <c r="F546" i="9"/>
  <c r="D546" i="9"/>
  <c r="K546" i="9"/>
  <c r="P546" i="9"/>
  <c r="O546" i="9"/>
  <c r="C546" i="9"/>
  <c r="M546" i="9"/>
  <c r="E546" i="9"/>
  <c r="N546" i="9"/>
  <c r="L546" i="9"/>
  <c r="Q546" i="9"/>
  <c r="J546" i="9"/>
  <c r="O545" i="9"/>
  <c r="J545" i="9"/>
  <c r="D545" i="9"/>
  <c r="Q545" i="9"/>
  <c r="P545" i="9"/>
  <c r="L545" i="9"/>
  <c r="F545" i="9"/>
  <c r="M545" i="9"/>
  <c r="E545" i="9"/>
  <c r="C545" i="9"/>
  <c r="K545" i="9"/>
  <c r="N545" i="9"/>
  <c r="O544" i="9"/>
  <c r="P544" i="9"/>
  <c r="K544" i="9"/>
  <c r="Q544" i="9"/>
  <c r="J544" i="9"/>
  <c r="E544" i="9"/>
  <c r="C544" i="9"/>
  <c r="D544" i="9"/>
  <c r="F544" i="9"/>
  <c r="N544" i="9"/>
  <c r="L544" i="9"/>
  <c r="M544" i="9"/>
  <c r="K543" i="9"/>
  <c r="N543" i="9"/>
  <c r="O543" i="9"/>
  <c r="M543" i="9"/>
  <c r="L543" i="9"/>
  <c r="F543" i="9"/>
  <c r="D543" i="9"/>
  <c r="E543" i="9"/>
  <c r="P543" i="9"/>
  <c r="C543" i="9"/>
  <c r="J543" i="9"/>
  <c r="Q543" i="9"/>
  <c r="K542" i="9"/>
  <c r="O542" i="9"/>
  <c r="M542" i="9"/>
  <c r="C542" i="9"/>
  <c r="E542" i="9"/>
  <c r="P542" i="9"/>
  <c r="Q542" i="9"/>
  <c r="F542" i="9"/>
  <c r="L542" i="9"/>
  <c r="N542" i="9"/>
  <c r="J542" i="9"/>
  <c r="D542" i="9"/>
  <c r="K541" i="9"/>
  <c r="O541" i="9"/>
  <c r="M541" i="9"/>
  <c r="F541" i="9"/>
  <c r="D541" i="9"/>
  <c r="E541" i="9"/>
  <c r="P541" i="9"/>
  <c r="N541" i="9"/>
  <c r="J541" i="9"/>
  <c r="C541" i="9"/>
  <c r="Q541" i="9"/>
  <c r="L541" i="9"/>
  <c r="C540" i="9"/>
  <c r="F540" i="9"/>
  <c r="E540" i="9"/>
  <c r="D540" i="9"/>
  <c r="L540" i="9"/>
  <c r="K540" i="9"/>
  <c r="P540" i="9"/>
  <c r="J540" i="9"/>
  <c r="N540" i="9"/>
  <c r="M540" i="9"/>
  <c r="Q540" i="9"/>
  <c r="O540" i="9"/>
  <c r="Q539" i="9"/>
  <c r="M539" i="9"/>
  <c r="J539" i="9"/>
  <c r="D539" i="9"/>
  <c r="P539" i="9"/>
  <c r="F539" i="9"/>
  <c r="L539" i="9"/>
  <c r="C539" i="9"/>
  <c r="E539" i="9"/>
  <c r="K539" i="9"/>
  <c r="N539" i="9"/>
  <c r="O539" i="9"/>
  <c r="F538" i="9"/>
  <c r="L538" i="9"/>
  <c r="N538" i="9"/>
  <c r="O538" i="9"/>
  <c r="P538" i="9"/>
  <c r="K538" i="9"/>
  <c r="M538" i="9"/>
  <c r="D538" i="9"/>
  <c r="Q538" i="9"/>
  <c r="J538" i="9"/>
  <c r="E538" i="9"/>
  <c r="K537" i="9"/>
  <c r="N537" i="9"/>
  <c r="O537" i="9"/>
  <c r="L537" i="9"/>
  <c r="Q537" i="9"/>
  <c r="E537" i="9"/>
  <c r="D537" i="9"/>
  <c r="C537" i="9"/>
  <c r="M537" i="9"/>
  <c r="P537" i="9"/>
  <c r="F537" i="9"/>
  <c r="J537" i="9"/>
  <c r="N536" i="9"/>
  <c r="J536" i="9"/>
  <c r="D536" i="9"/>
  <c r="K536" i="9"/>
  <c r="C536" i="9"/>
  <c r="F536" i="9"/>
  <c r="L536" i="9"/>
  <c r="P536" i="9"/>
  <c r="E536" i="9"/>
  <c r="Q536" i="9"/>
  <c r="O536" i="9"/>
  <c r="M536" i="9"/>
  <c r="M535" i="9"/>
  <c r="C535" i="9"/>
  <c r="Q535" i="9"/>
  <c r="K535" i="9"/>
  <c r="D535" i="9"/>
  <c r="E535" i="9"/>
  <c r="J535" i="9"/>
  <c r="N535" i="9"/>
  <c r="L535" i="9"/>
  <c r="P535" i="9"/>
  <c r="F535" i="9"/>
  <c r="O535" i="9"/>
  <c r="L534" i="9"/>
  <c r="Q534" i="9"/>
  <c r="N534" i="9"/>
  <c r="E534" i="9"/>
  <c r="F534" i="9"/>
  <c r="J534" i="9"/>
  <c r="P534" i="9"/>
  <c r="M534" i="9"/>
  <c r="C534" i="9"/>
  <c r="K534" i="9"/>
  <c r="O534" i="9"/>
  <c r="D534" i="9"/>
  <c r="M533" i="9"/>
  <c r="E533" i="9"/>
  <c r="K533" i="9"/>
  <c r="Q533" i="9"/>
  <c r="C533" i="9"/>
  <c r="D533" i="9"/>
  <c r="P533" i="9"/>
  <c r="F533" i="9"/>
  <c r="L533" i="9"/>
  <c r="J533" i="9"/>
  <c r="N533" i="9"/>
  <c r="O533" i="9"/>
  <c r="P532" i="9"/>
  <c r="M532" i="9"/>
  <c r="E532" i="9"/>
  <c r="O532" i="9"/>
  <c r="F532" i="9"/>
  <c r="D532" i="9"/>
  <c r="C532" i="9"/>
  <c r="L532" i="9"/>
  <c r="J532" i="9"/>
  <c r="Q532" i="9"/>
  <c r="K532" i="9"/>
  <c r="N532" i="9"/>
  <c r="Q531" i="9"/>
  <c r="L531" i="9"/>
  <c r="K531" i="9"/>
  <c r="D531" i="9"/>
  <c r="E531" i="9"/>
  <c r="F531" i="9"/>
  <c r="J531" i="9"/>
  <c r="P531" i="9"/>
  <c r="C531" i="9"/>
  <c r="O531" i="9"/>
  <c r="N531" i="9"/>
  <c r="M531" i="9"/>
  <c r="M530" i="9"/>
  <c r="J530" i="9"/>
  <c r="E530" i="9"/>
  <c r="C530" i="9"/>
  <c r="O530" i="9"/>
  <c r="Q530" i="9"/>
  <c r="F530" i="9"/>
  <c r="D530" i="9"/>
  <c r="P530" i="9"/>
  <c r="K530" i="9"/>
  <c r="L530" i="9"/>
  <c r="N530" i="9"/>
  <c r="P529" i="9"/>
  <c r="M529" i="9"/>
  <c r="D529" i="9"/>
  <c r="C529" i="9"/>
  <c r="E529" i="9"/>
  <c r="L529" i="9"/>
  <c r="Q529" i="9"/>
  <c r="J529" i="9"/>
  <c r="O529" i="9"/>
  <c r="N529" i="9"/>
  <c r="F529" i="9"/>
  <c r="K529" i="9"/>
  <c r="P528" i="9"/>
  <c r="O528" i="9"/>
  <c r="M528" i="9"/>
  <c r="L528" i="9"/>
  <c r="Q528" i="9"/>
  <c r="F528" i="9"/>
  <c r="D528" i="9"/>
  <c r="C528" i="9"/>
  <c r="E528" i="9"/>
  <c r="J528" i="9"/>
  <c r="K528" i="9"/>
  <c r="N528" i="9"/>
  <c r="Q527" i="9"/>
  <c r="J527" i="9"/>
  <c r="C527" i="9"/>
  <c r="L527" i="9"/>
  <c r="P527" i="9"/>
  <c r="D527" i="9"/>
  <c r="M527" i="9"/>
  <c r="N527" i="9"/>
  <c r="O527" i="9"/>
  <c r="K527" i="9"/>
  <c r="E527" i="9"/>
  <c r="F527" i="9"/>
  <c r="P526" i="9"/>
  <c r="M526" i="9"/>
  <c r="D526" i="9"/>
  <c r="E526" i="9"/>
  <c r="Q526" i="9"/>
  <c r="N526" i="9"/>
  <c r="J526" i="9"/>
  <c r="L526" i="9"/>
  <c r="C526" i="9"/>
  <c r="F526" i="9"/>
  <c r="K526" i="9"/>
  <c r="O526" i="9"/>
  <c r="L525" i="9"/>
  <c r="C525" i="9"/>
  <c r="E525" i="9"/>
  <c r="J525" i="9"/>
  <c r="M525" i="9"/>
  <c r="P525" i="9"/>
  <c r="D525" i="9"/>
  <c r="O525" i="9"/>
  <c r="F525" i="9"/>
  <c r="K525" i="9"/>
  <c r="N525" i="9"/>
  <c r="Q525" i="9"/>
  <c r="L524" i="9"/>
  <c r="F524" i="9"/>
  <c r="D524" i="9"/>
  <c r="C524" i="9"/>
  <c r="Q524" i="9"/>
  <c r="E524" i="9"/>
  <c r="P524" i="9"/>
  <c r="O524" i="9"/>
  <c r="K524" i="9"/>
  <c r="J524" i="9"/>
  <c r="N524" i="9"/>
  <c r="M524" i="9"/>
  <c r="C523" i="9"/>
  <c r="L523" i="9"/>
  <c r="O523" i="9"/>
  <c r="K523" i="9"/>
  <c r="F523" i="9"/>
  <c r="D523" i="9"/>
  <c r="N523" i="9"/>
  <c r="P523" i="9"/>
  <c r="Q523" i="9"/>
  <c r="M523" i="9"/>
  <c r="E523" i="9"/>
  <c r="J523" i="9"/>
  <c r="D522" i="9"/>
  <c r="C522" i="9"/>
  <c r="E522" i="9"/>
  <c r="O522" i="9"/>
  <c r="P522" i="9"/>
  <c r="M522" i="9"/>
  <c r="J522" i="9"/>
  <c r="K522" i="9"/>
  <c r="L522" i="9"/>
  <c r="N522" i="9"/>
  <c r="Q522" i="9"/>
  <c r="F522" i="9"/>
  <c r="N521" i="9"/>
  <c r="C521" i="9"/>
  <c r="M521" i="9"/>
  <c r="P521" i="9"/>
  <c r="L521" i="9"/>
  <c r="Q521" i="9"/>
  <c r="D521" i="9"/>
  <c r="O521" i="9"/>
  <c r="J521" i="9"/>
  <c r="K521" i="9"/>
  <c r="E521" i="9"/>
  <c r="F521" i="9"/>
  <c r="D520" i="9"/>
  <c r="F520" i="9"/>
  <c r="K520" i="9"/>
  <c r="M520" i="9"/>
  <c r="O520" i="9"/>
  <c r="Q520" i="9"/>
  <c r="C520" i="9"/>
  <c r="N520" i="9"/>
  <c r="P520" i="9"/>
  <c r="J520" i="9"/>
  <c r="E520" i="9"/>
  <c r="L520" i="9"/>
  <c r="N519" i="9"/>
  <c r="L519" i="9"/>
  <c r="J519" i="9"/>
  <c r="O519" i="9"/>
  <c r="F519" i="9"/>
  <c r="D519" i="9"/>
  <c r="E519" i="9"/>
  <c r="M519" i="9"/>
  <c r="Q519" i="9"/>
  <c r="P519" i="9"/>
  <c r="K519" i="9"/>
  <c r="C519" i="9"/>
  <c r="K518" i="9"/>
  <c r="L518" i="9"/>
  <c r="P518" i="9"/>
  <c r="O518" i="9"/>
  <c r="C518" i="9"/>
  <c r="D518" i="9"/>
  <c r="F518" i="9"/>
  <c r="J518" i="9"/>
  <c r="M518" i="9"/>
  <c r="N518" i="9"/>
  <c r="Q518" i="9"/>
  <c r="E518" i="9"/>
  <c r="D517" i="9"/>
  <c r="M517" i="9"/>
  <c r="O517" i="9"/>
  <c r="P517" i="9"/>
  <c r="N517" i="9"/>
  <c r="K517" i="9"/>
  <c r="E517" i="9"/>
  <c r="Q517" i="9"/>
  <c r="C517" i="9"/>
  <c r="F517" i="9"/>
  <c r="J517" i="9"/>
  <c r="L517" i="9"/>
  <c r="N516" i="9"/>
  <c r="D516" i="9"/>
  <c r="P516" i="9"/>
  <c r="J516" i="9"/>
  <c r="Q516" i="9"/>
  <c r="M516" i="9"/>
  <c r="L516" i="9"/>
  <c r="C516" i="9"/>
  <c r="K516" i="9"/>
  <c r="F516" i="9"/>
  <c r="E516" i="9"/>
  <c r="O516" i="9"/>
  <c r="K515" i="9"/>
  <c r="O515" i="9"/>
  <c r="E515" i="9"/>
  <c r="L515" i="9"/>
  <c r="P515" i="9"/>
  <c r="Q515" i="9"/>
  <c r="N515" i="9"/>
  <c r="F515" i="9"/>
  <c r="M515" i="9"/>
  <c r="J515" i="9"/>
  <c r="D515" i="9"/>
  <c r="C515" i="9"/>
  <c r="E514" i="9"/>
  <c r="N514" i="9"/>
  <c r="K514" i="9"/>
  <c r="F514" i="9"/>
  <c r="C514" i="9"/>
  <c r="P514" i="9"/>
  <c r="L514" i="9"/>
  <c r="Q514" i="9"/>
  <c r="M514" i="9"/>
  <c r="D514" i="9"/>
  <c r="O514" i="9"/>
  <c r="J514" i="9"/>
  <c r="F513" i="9"/>
  <c r="K513" i="9"/>
  <c r="N513" i="9"/>
  <c r="J513" i="9"/>
  <c r="P513" i="9"/>
  <c r="E513" i="9"/>
  <c r="D513" i="9"/>
  <c r="Q513" i="9"/>
  <c r="L513" i="9"/>
  <c r="M513" i="9"/>
  <c r="C513" i="9"/>
  <c r="O513" i="9"/>
  <c r="J512" i="9"/>
  <c r="F512" i="9"/>
  <c r="L512" i="9"/>
  <c r="O512" i="9"/>
  <c r="N512" i="9"/>
  <c r="P512" i="9"/>
  <c r="D512" i="9"/>
  <c r="M512" i="9"/>
  <c r="K512" i="9"/>
  <c r="Q512" i="9"/>
  <c r="C512" i="9"/>
  <c r="E512" i="9"/>
  <c r="D511" i="9"/>
  <c r="M511" i="9"/>
  <c r="O511" i="9"/>
  <c r="C511" i="9"/>
  <c r="L511" i="9"/>
  <c r="N511" i="9"/>
  <c r="E511" i="9"/>
  <c r="F511" i="9"/>
  <c r="J511" i="9"/>
  <c r="Q511" i="9"/>
  <c r="P511" i="9"/>
  <c r="K511" i="9"/>
  <c r="P510" i="9"/>
  <c r="N510" i="9"/>
  <c r="D510" i="9"/>
  <c r="E510" i="9"/>
  <c r="K510" i="9"/>
  <c r="Q510" i="9"/>
  <c r="M510" i="9"/>
  <c r="F510" i="9"/>
  <c r="O510" i="9"/>
  <c r="L510" i="9"/>
  <c r="C510" i="9"/>
  <c r="K509" i="9"/>
  <c r="M509" i="9"/>
  <c r="P509" i="9"/>
  <c r="N509" i="9"/>
  <c r="O509" i="9"/>
  <c r="L509" i="9"/>
  <c r="F509" i="9"/>
  <c r="E509" i="9"/>
  <c r="D509" i="9"/>
  <c r="C509" i="9"/>
  <c r="J509" i="9"/>
  <c r="Q509" i="9"/>
  <c r="D508" i="9"/>
  <c r="P508" i="9"/>
  <c r="O508" i="9"/>
  <c r="M508" i="9"/>
  <c r="F508" i="9"/>
  <c r="C508" i="9"/>
  <c r="E508" i="9"/>
  <c r="K508" i="9"/>
  <c r="Q508" i="9"/>
  <c r="N508" i="9"/>
  <c r="L508" i="9"/>
  <c r="J508" i="9"/>
  <c r="P507" i="9"/>
  <c r="O507" i="9"/>
  <c r="L507" i="9"/>
  <c r="Q507" i="9"/>
  <c r="M507" i="9"/>
  <c r="E507" i="9"/>
  <c r="K507" i="9"/>
  <c r="C507" i="9"/>
  <c r="D507" i="9"/>
  <c r="F507" i="9"/>
  <c r="J507" i="9"/>
  <c r="N507" i="9"/>
  <c r="D506" i="9"/>
  <c r="J506" i="9"/>
  <c r="L506" i="9"/>
  <c r="N506" i="9"/>
  <c r="E506" i="9"/>
  <c r="C506" i="9"/>
  <c r="P506" i="9"/>
  <c r="K506" i="9"/>
  <c r="Q506" i="9"/>
  <c r="O506" i="9"/>
  <c r="M506" i="9"/>
  <c r="F506" i="9"/>
  <c r="L505" i="9"/>
  <c r="J505" i="9"/>
  <c r="P505" i="9"/>
  <c r="M505" i="9"/>
  <c r="F505" i="9"/>
  <c r="E505" i="9"/>
  <c r="D505" i="9"/>
  <c r="K505" i="9"/>
  <c r="N505" i="9"/>
  <c r="O505" i="9"/>
  <c r="Q505" i="9"/>
  <c r="C505" i="9"/>
  <c r="N504" i="9"/>
  <c r="K504" i="9"/>
  <c r="C504" i="9"/>
  <c r="O504" i="9"/>
  <c r="J504" i="9"/>
  <c r="M504" i="9"/>
  <c r="P504" i="9"/>
  <c r="D504" i="9"/>
  <c r="E504" i="9"/>
  <c r="F504" i="9"/>
  <c r="Q504" i="9"/>
  <c r="L504" i="9"/>
  <c r="E503" i="9"/>
  <c r="F503" i="9"/>
  <c r="L503" i="9"/>
  <c r="O503" i="9"/>
  <c r="Q503" i="9"/>
  <c r="N503" i="9"/>
  <c r="K503" i="9"/>
  <c r="C503" i="9"/>
  <c r="J503" i="9"/>
  <c r="D503" i="9"/>
  <c r="M503" i="9"/>
  <c r="P503" i="9"/>
  <c r="K502" i="9"/>
  <c r="P502" i="9"/>
  <c r="Q502" i="9"/>
  <c r="D502" i="9"/>
  <c r="F502" i="9"/>
  <c r="E502" i="9"/>
  <c r="C502" i="9"/>
  <c r="N502" i="9"/>
  <c r="L502" i="9"/>
  <c r="J502" i="9"/>
  <c r="O502" i="9"/>
  <c r="M502" i="9"/>
  <c r="O501" i="9"/>
  <c r="N501" i="9"/>
  <c r="L501" i="9"/>
  <c r="C501" i="9"/>
  <c r="P501" i="9"/>
  <c r="M501" i="9"/>
  <c r="J501" i="9"/>
  <c r="D501" i="9"/>
  <c r="E501" i="9"/>
  <c r="F501" i="9"/>
  <c r="K501" i="9"/>
  <c r="Q501" i="9"/>
  <c r="K500" i="9"/>
  <c r="L500" i="9"/>
  <c r="O500" i="9"/>
  <c r="Q500" i="9"/>
  <c r="M500" i="9"/>
  <c r="N500" i="9"/>
  <c r="D500" i="9"/>
  <c r="P500" i="9"/>
  <c r="C500" i="9"/>
  <c r="E500" i="9"/>
  <c r="F500" i="9"/>
  <c r="J500" i="9"/>
  <c r="J499" i="9"/>
  <c r="L499" i="9"/>
  <c r="P499" i="9"/>
  <c r="D499" i="9"/>
  <c r="E499" i="9"/>
  <c r="F499" i="9"/>
  <c r="K499" i="9"/>
  <c r="M499" i="9"/>
  <c r="Q499" i="9"/>
  <c r="N499" i="9"/>
  <c r="C499" i="9"/>
  <c r="O499" i="9"/>
  <c r="D498" i="9"/>
  <c r="E498" i="9"/>
  <c r="F498" i="9"/>
  <c r="L498" i="9"/>
  <c r="P498" i="9"/>
  <c r="M498" i="9"/>
  <c r="O498" i="9"/>
  <c r="J498" i="9"/>
  <c r="K498" i="9"/>
  <c r="N498" i="9"/>
  <c r="Q498" i="9"/>
  <c r="C498" i="9"/>
  <c r="F497" i="9"/>
  <c r="E497" i="9"/>
  <c r="D497" i="9"/>
  <c r="Q497" i="9"/>
  <c r="O497" i="9"/>
  <c r="L497" i="9"/>
  <c r="C497" i="9"/>
  <c r="J497" i="9"/>
  <c r="M497" i="9"/>
  <c r="P497" i="9"/>
  <c r="N497" i="9"/>
  <c r="K497" i="9"/>
  <c r="F496" i="9"/>
  <c r="Q496" i="9"/>
  <c r="N496" i="9"/>
  <c r="M496" i="9"/>
  <c r="O496" i="9"/>
  <c r="L496" i="9"/>
  <c r="E496" i="9"/>
  <c r="D496" i="9"/>
  <c r="C496" i="9"/>
  <c r="J496" i="9"/>
  <c r="K496" i="9"/>
  <c r="P496" i="9"/>
  <c r="E495" i="9"/>
  <c r="F495" i="9"/>
  <c r="M495" i="9"/>
  <c r="C495" i="9"/>
  <c r="P495" i="9"/>
  <c r="Q495" i="9"/>
  <c r="N495" i="9"/>
  <c r="K495" i="9"/>
  <c r="J495" i="9"/>
  <c r="D495" i="9"/>
  <c r="L495" i="9"/>
  <c r="O495" i="9"/>
  <c r="O494" i="9"/>
  <c r="K494" i="9"/>
  <c r="P494" i="9"/>
  <c r="Q494" i="9"/>
  <c r="M494" i="9"/>
  <c r="J494" i="9"/>
  <c r="F494" i="9"/>
  <c r="E494" i="9"/>
  <c r="D494" i="9"/>
  <c r="C494" i="9"/>
  <c r="L494" i="9"/>
  <c r="N494" i="9"/>
  <c r="D493" i="9"/>
  <c r="E493" i="9"/>
  <c r="F493" i="9"/>
  <c r="K493" i="9"/>
  <c r="M493" i="9"/>
  <c r="P493" i="9"/>
  <c r="C493" i="9"/>
  <c r="J493" i="9"/>
  <c r="L493" i="9"/>
  <c r="O493" i="9"/>
  <c r="Q493" i="9"/>
  <c r="N493" i="9"/>
  <c r="F492" i="9"/>
  <c r="N492" i="9"/>
  <c r="O492" i="9"/>
  <c r="M492" i="9"/>
  <c r="J492" i="9"/>
  <c r="P492" i="9"/>
  <c r="L492" i="9"/>
  <c r="C492" i="9"/>
  <c r="Q492" i="9"/>
  <c r="D492" i="9"/>
  <c r="K492" i="9"/>
  <c r="E492" i="9"/>
  <c r="L491" i="9"/>
  <c r="M491" i="9"/>
  <c r="J491" i="9"/>
  <c r="E491" i="9"/>
  <c r="D491" i="9"/>
  <c r="Q491" i="9"/>
  <c r="N491" i="9"/>
  <c r="K491" i="9"/>
  <c r="F491" i="9"/>
  <c r="C491" i="9"/>
  <c r="P491" i="9"/>
  <c r="O491" i="9"/>
  <c r="N490" i="9"/>
  <c r="P490" i="9"/>
  <c r="E490" i="9"/>
  <c r="J490" i="9"/>
  <c r="F490" i="9"/>
  <c r="Q490" i="9"/>
  <c r="L490" i="9"/>
  <c r="D490" i="9"/>
  <c r="M490" i="9"/>
  <c r="C490" i="9"/>
  <c r="O490" i="9"/>
  <c r="K490" i="9"/>
  <c r="K489" i="9"/>
  <c r="L489" i="9"/>
  <c r="P489" i="9"/>
  <c r="M489" i="9"/>
  <c r="O489" i="9"/>
  <c r="E489" i="9"/>
  <c r="D489" i="9"/>
  <c r="J489" i="9"/>
  <c r="N489" i="9"/>
  <c r="Q489" i="9"/>
  <c r="C489" i="9"/>
  <c r="F489" i="9"/>
  <c r="C488" i="9"/>
  <c r="J488" i="9"/>
  <c r="F488" i="9"/>
  <c r="P488" i="9"/>
  <c r="M488" i="9"/>
  <c r="D488" i="9"/>
  <c r="E488" i="9"/>
  <c r="N488" i="9"/>
  <c r="L488" i="9"/>
  <c r="O488" i="9"/>
  <c r="Q488" i="9"/>
  <c r="K488" i="9"/>
  <c r="J487" i="9"/>
  <c r="M487" i="9"/>
  <c r="N487" i="9"/>
  <c r="Q487" i="9"/>
  <c r="O487" i="9"/>
  <c r="C487" i="9"/>
  <c r="K487" i="9"/>
  <c r="D487" i="9"/>
  <c r="L487" i="9"/>
  <c r="P487" i="9"/>
  <c r="E487" i="9"/>
  <c r="F487" i="9"/>
  <c r="E486" i="9"/>
  <c r="F486" i="9"/>
  <c r="J486" i="9"/>
  <c r="O486" i="9"/>
  <c r="Q486" i="9"/>
  <c r="C486" i="9"/>
  <c r="M486" i="9"/>
  <c r="D486" i="9"/>
  <c r="L486" i="9"/>
  <c r="P486" i="9"/>
  <c r="N486" i="9"/>
  <c r="K486" i="9"/>
  <c r="P485" i="9"/>
  <c r="D485" i="9"/>
  <c r="N485" i="9"/>
  <c r="Q485" i="9"/>
  <c r="L485" i="9"/>
  <c r="C485" i="9"/>
  <c r="J485" i="9"/>
  <c r="F485" i="9"/>
  <c r="K485" i="9"/>
  <c r="E485" i="9"/>
  <c r="M485" i="9"/>
  <c r="O485" i="9"/>
  <c r="L484" i="9"/>
  <c r="E484" i="9"/>
  <c r="D484" i="9"/>
  <c r="C484" i="9"/>
  <c r="M484" i="9"/>
  <c r="F484" i="9"/>
  <c r="J484" i="9"/>
  <c r="K484" i="9"/>
  <c r="P483" i="9"/>
  <c r="F483" i="9"/>
  <c r="E483" i="9"/>
  <c r="D483" i="9"/>
  <c r="C483" i="9"/>
  <c r="O483" i="9"/>
  <c r="Q483" i="9"/>
  <c r="M483" i="9"/>
  <c r="N483" i="9"/>
  <c r="L483" i="9"/>
  <c r="K483" i="9"/>
  <c r="J483" i="9"/>
  <c r="L482" i="9"/>
  <c r="C482" i="9"/>
  <c r="D482" i="9"/>
  <c r="E482" i="9"/>
  <c r="M482" i="9"/>
  <c r="F482" i="9"/>
  <c r="K482" i="9"/>
  <c r="Q482" i="9"/>
  <c r="P482" i="9"/>
  <c r="O482" i="9"/>
  <c r="N482" i="9"/>
  <c r="J482" i="9"/>
  <c r="L481" i="9"/>
  <c r="Q481" i="9"/>
  <c r="P481" i="9"/>
  <c r="O481" i="9"/>
  <c r="N481" i="9"/>
  <c r="M481" i="9"/>
  <c r="K481" i="9"/>
  <c r="J481" i="9"/>
  <c r="F481" i="9"/>
  <c r="E481" i="9"/>
  <c r="D481" i="9"/>
  <c r="C481" i="9"/>
  <c r="P480" i="9"/>
  <c r="O480" i="9"/>
  <c r="N480" i="9"/>
  <c r="M480" i="9"/>
  <c r="L480" i="9"/>
  <c r="K480" i="9"/>
  <c r="J480" i="9"/>
  <c r="E480" i="9"/>
  <c r="D480" i="9"/>
  <c r="C480" i="9"/>
  <c r="F480" i="9"/>
  <c r="Q480" i="9"/>
  <c r="C479" i="9"/>
  <c r="D479" i="9"/>
  <c r="E479" i="9"/>
  <c r="F479" i="9"/>
  <c r="J479" i="9"/>
  <c r="K479" i="9"/>
  <c r="M479" i="9"/>
  <c r="N479" i="9"/>
  <c r="O479" i="9"/>
  <c r="P479" i="9"/>
  <c r="Q479" i="9"/>
  <c r="L479" i="9"/>
  <c r="Q478" i="9"/>
  <c r="D478" i="9"/>
  <c r="E478" i="9"/>
  <c r="J478" i="9"/>
  <c r="M478" i="9"/>
  <c r="K478" i="9"/>
  <c r="L478" i="9"/>
  <c r="C478" i="9"/>
  <c r="N478" i="9"/>
  <c r="O478" i="9"/>
  <c r="P478" i="9"/>
  <c r="F478" i="9"/>
  <c r="P477" i="9"/>
  <c r="C477" i="9"/>
  <c r="D477" i="9"/>
  <c r="E477" i="9"/>
  <c r="F477" i="9"/>
  <c r="J477" i="9"/>
  <c r="K477" i="9"/>
  <c r="L477" i="9"/>
  <c r="M477" i="9"/>
  <c r="N477" i="9"/>
  <c r="O477" i="9"/>
  <c r="Q477" i="9"/>
  <c r="Q476" i="9"/>
  <c r="N476" i="9"/>
  <c r="M476" i="9"/>
  <c r="L476" i="9"/>
  <c r="K476" i="9"/>
  <c r="J476" i="9"/>
  <c r="C476" i="9"/>
  <c r="E476" i="9"/>
  <c r="D476" i="9"/>
  <c r="F476" i="9"/>
  <c r="P476" i="9"/>
  <c r="O476" i="9"/>
  <c r="F475" i="9"/>
  <c r="Q475" i="9"/>
  <c r="P475" i="9"/>
  <c r="O475" i="9"/>
  <c r="N475" i="9"/>
  <c r="M475" i="9"/>
  <c r="L475" i="9"/>
  <c r="K475" i="9"/>
  <c r="J475" i="9"/>
  <c r="E475" i="9"/>
  <c r="D475" i="9"/>
  <c r="C475" i="9"/>
  <c r="C474" i="9"/>
  <c r="D474" i="9"/>
  <c r="E474" i="9"/>
  <c r="F474" i="9"/>
  <c r="J474" i="9"/>
  <c r="K474" i="9"/>
  <c r="L474" i="9"/>
  <c r="N474" i="9"/>
  <c r="Q474" i="9"/>
  <c r="P474" i="9"/>
  <c r="O474" i="9"/>
  <c r="M474" i="9"/>
  <c r="P473" i="9"/>
  <c r="O473" i="9"/>
  <c r="N473" i="9"/>
  <c r="J473" i="9"/>
  <c r="M473" i="9"/>
  <c r="L473" i="9"/>
  <c r="K473" i="9"/>
  <c r="C473" i="9"/>
  <c r="F473" i="9"/>
  <c r="E473" i="9"/>
  <c r="D473" i="9"/>
  <c r="Q473" i="9"/>
  <c r="N472" i="9"/>
  <c r="M472" i="9"/>
  <c r="L472" i="9"/>
  <c r="K472" i="9"/>
  <c r="J472" i="9"/>
  <c r="Q472" i="9"/>
  <c r="P472" i="9"/>
  <c r="D472" i="9"/>
  <c r="C472" i="9"/>
  <c r="O472" i="9"/>
  <c r="E472" i="9"/>
  <c r="F472" i="9"/>
  <c r="O471" i="9"/>
  <c r="Q471" i="9"/>
  <c r="P471" i="9"/>
  <c r="N471" i="9"/>
  <c r="M471" i="9"/>
  <c r="L471" i="9"/>
  <c r="K471" i="9"/>
  <c r="F471" i="9"/>
  <c r="E471" i="9"/>
  <c r="D471" i="9"/>
  <c r="C471" i="9"/>
  <c r="J471" i="9"/>
  <c r="N470" i="9"/>
  <c r="M470" i="9"/>
  <c r="L470" i="9"/>
  <c r="K470" i="9"/>
  <c r="J470" i="9"/>
  <c r="F470" i="9"/>
  <c r="D470" i="9"/>
  <c r="E470" i="9"/>
  <c r="Q470" i="9"/>
  <c r="P470" i="9"/>
  <c r="C470" i="9"/>
  <c r="O470" i="9"/>
  <c r="F469" i="9"/>
  <c r="C469" i="9"/>
  <c r="D469" i="9"/>
  <c r="E469" i="9"/>
  <c r="J469" i="9"/>
  <c r="L469" i="9"/>
  <c r="M469" i="9"/>
  <c r="N469" i="9"/>
  <c r="O469" i="9"/>
  <c r="P469" i="9"/>
  <c r="Q469" i="9"/>
  <c r="K469" i="9"/>
  <c r="K468" i="9"/>
  <c r="J468" i="9"/>
  <c r="D468" i="9"/>
  <c r="F468" i="9"/>
  <c r="E468" i="9"/>
  <c r="C468" i="9"/>
  <c r="L468" i="9"/>
  <c r="M468" i="9"/>
  <c r="N468" i="9"/>
  <c r="O468" i="9"/>
  <c r="P468" i="9"/>
  <c r="Q468" i="9"/>
  <c r="J467" i="9"/>
  <c r="K467" i="9"/>
  <c r="L467" i="9"/>
  <c r="M467" i="9"/>
  <c r="N467" i="9"/>
  <c r="O467" i="9"/>
  <c r="P467" i="9"/>
  <c r="Q467" i="9"/>
  <c r="C467" i="9"/>
  <c r="D467" i="9"/>
  <c r="E467" i="9"/>
  <c r="F467" i="9"/>
  <c r="K466" i="9"/>
  <c r="J466" i="9"/>
  <c r="D466" i="9"/>
  <c r="E466" i="9"/>
  <c r="Q466" i="9"/>
  <c r="F466" i="9"/>
  <c r="P466" i="9"/>
  <c r="M466" i="9"/>
  <c r="O466" i="9"/>
  <c r="C466" i="9"/>
  <c r="N466" i="9"/>
  <c r="L466" i="9"/>
  <c r="L465" i="9"/>
  <c r="K465" i="9"/>
  <c r="J465" i="9"/>
  <c r="F465" i="9"/>
  <c r="D465" i="9"/>
  <c r="C465" i="9"/>
  <c r="E465" i="9"/>
  <c r="Q465" i="9"/>
  <c r="P465" i="9"/>
  <c r="O465" i="9"/>
  <c r="N465" i="9"/>
  <c r="M465" i="9"/>
  <c r="L464" i="9"/>
  <c r="M464" i="9"/>
  <c r="N464" i="9"/>
  <c r="O464" i="9"/>
  <c r="P464" i="9"/>
  <c r="J464" i="9"/>
  <c r="F464" i="9"/>
  <c r="D464" i="9"/>
  <c r="Q464" i="9"/>
  <c r="C464" i="9"/>
  <c r="K464" i="9"/>
  <c r="E464" i="9"/>
  <c r="P463" i="9"/>
  <c r="O463" i="9"/>
  <c r="N463" i="9"/>
  <c r="M463" i="9"/>
  <c r="L463" i="9"/>
  <c r="C463" i="9"/>
  <c r="D463" i="9"/>
  <c r="E463" i="9"/>
  <c r="J463" i="9"/>
  <c r="K463" i="9"/>
  <c r="F463" i="9"/>
  <c r="Q463" i="9"/>
  <c r="C462" i="9"/>
  <c r="K462" i="9"/>
  <c r="D462" i="9"/>
  <c r="E462" i="9"/>
  <c r="F462" i="9"/>
  <c r="J462" i="9"/>
  <c r="L462" i="9"/>
  <c r="M462" i="9"/>
  <c r="N462" i="9"/>
  <c r="O462" i="9"/>
  <c r="P462" i="9"/>
  <c r="Q462" i="9"/>
  <c r="L461" i="9"/>
  <c r="Q461" i="9"/>
  <c r="P461" i="9"/>
  <c r="O461" i="9"/>
  <c r="N461" i="9"/>
  <c r="M461" i="9"/>
  <c r="K461" i="9"/>
  <c r="F461" i="9"/>
  <c r="E461" i="9"/>
  <c r="D461" i="9"/>
  <c r="C461" i="9"/>
  <c r="J461" i="9"/>
  <c r="E460" i="9"/>
  <c r="C460" i="9"/>
  <c r="D460" i="9"/>
  <c r="F460" i="9"/>
  <c r="J460" i="9"/>
  <c r="K460" i="9"/>
  <c r="L460" i="9"/>
  <c r="M460" i="9"/>
  <c r="N460" i="9"/>
  <c r="O460" i="9"/>
  <c r="P460" i="9"/>
  <c r="Q460" i="9"/>
  <c r="D459" i="9"/>
  <c r="C459" i="9"/>
  <c r="P459" i="9"/>
  <c r="O459" i="9"/>
  <c r="N459" i="9"/>
  <c r="M459" i="9"/>
  <c r="Q459" i="9"/>
  <c r="J459" i="9"/>
  <c r="L459" i="9"/>
  <c r="K459" i="9"/>
  <c r="F459" i="9"/>
  <c r="E459" i="9"/>
  <c r="Q458" i="9"/>
  <c r="D458" i="9"/>
  <c r="C458" i="9"/>
  <c r="P458" i="9"/>
  <c r="O458" i="9"/>
  <c r="N458" i="9"/>
  <c r="M458" i="9"/>
  <c r="L458" i="9"/>
  <c r="K458" i="9"/>
  <c r="J458" i="9"/>
  <c r="F458" i="9"/>
  <c r="E458" i="9"/>
  <c r="K457" i="9"/>
  <c r="Q457" i="9"/>
  <c r="P457" i="9"/>
  <c r="O457" i="9"/>
  <c r="N457" i="9"/>
  <c r="M457" i="9"/>
  <c r="L457" i="9"/>
  <c r="J457" i="9"/>
  <c r="F457" i="9"/>
  <c r="E457" i="9"/>
  <c r="D457" i="9"/>
  <c r="C457" i="9"/>
  <c r="C456" i="9"/>
  <c r="P456" i="9"/>
  <c r="Q456" i="9"/>
  <c r="O456" i="9"/>
  <c r="N456" i="9"/>
  <c r="M456" i="9"/>
  <c r="L456" i="9"/>
  <c r="K456" i="9"/>
  <c r="J456" i="9"/>
  <c r="F456" i="9"/>
  <c r="E456" i="9"/>
  <c r="D456" i="9"/>
  <c r="C455" i="9"/>
  <c r="Q455" i="9"/>
  <c r="P455" i="9"/>
  <c r="O455" i="9"/>
  <c r="N455" i="9"/>
  <c r="M455" i="9"/>
  <c r="L455" i="9"/>
  <c r="K455" i="9"/>
  <c r="J455" i="9"/>
  <c r="F455" i="9"/>
  <c r="E455" i="9"/>
  <c r="D455" i="9"/>
  <c r="Q454" i="9"/>
  <c r="P454" i="9"/>
  <c r="O454" i="9"/>
  <c r="N454" i="9"/>
  <c r="M454" i="9"/>
  <c r="L454" i="9"/>
  <c r="K454" i="9"/>
  <c r="J454" i="9"/>
  <c r="F454" i="9"/>
  <c r="E454" i="9"/>
  <c r="D454" i="9"/>
  <c r="C454" i="9"/>
  <c r="C453" i="9"/>
  <c r="Q453" i="9"/>
  <c r="P453" i="9"/>
  <c r="O453" i="9"/>
  <c r="N453" i="9"/>
  <c r="M453" i="9"/>
  <c r="L453" i="9"/>
  <c r="K453" i="9"/>
  <c r="J453" i="9"/>
  <c r="F453" i="9"/>
  <c r="E453" i="9"/>
  <c r="D453" i="9"/>
  <c r="C452" i="9"/>
  <c r="Q452" i="9"/>
  <c r="P452" i="9"/>
  <c r="O452" i="9"/>
  <c r="N452" i="9"/>
  <c r="M452" i="9"/>
  <c r="L452" i="9"/>
  <c r="K452" i="9"/>
  <c r="J452" i="9"/>
  <c r="F452" i="9"/>
  <c r="E452" i="9"/>
  <c r="D452" i="9"/>
  <c r="M451" i="9"/>
  <c r="C451" i="9"/>
  <c r="Q451" i="9"/>
  <c r="P451" i="9"/>
  <c r="O451" i="9"/>
  <c r="N451" i="9"/>
  <c r="E451" i="9"/>
  <c r="L451" i="9"/>
  <c r="K451" i="9"/>
  <c r="J451" i="9"/>
  <c r="F451" i="9"/>
  <c r="D451" i="9"/>
  <c r="E450" i="9"/>
  <c r="P450" i="9"/>
  <c r="Q450" i="9"/>
  <c r="C450" i="9"/>
  <c r="O450" i="9"/>
  <c r="N450" i="9"/>
  <c r="M450" i="9"/>
  <c r="L450" i="9"/>
  <c r="K450" i="9"/>
  <c r="J450" i="9"/>
  <c r="F450" i="9"/>
  <c r="D450" i="9"/>
  <c r="L449" i="9"/>
  <c r="Q449" i="9"/>
  <c r="P449" i="9"/>
  <c r="O449" i="9"/>
  <c r="N449" i="9"/>
  <c r="M449" i="9"/>
  <c r="K449" i="9"/>
  <c r="J449" i="9"/>
  <c r="F449" i="9"/>
  <c r="E449" i="9"/>
  <c r="D449" i="9"/>
  <c r="C449" i="9"/>
  <c r="Q448" i="9"/>
  <c r="P448" i="9"/>
  <c r="O448" i="9"/>
  <c r="N448" i="9"/>
  <c r="M448" i="9"/>
  <c r="L448" i="9"/>
  <c r="K448" i="9"/>
  <c r="J448" i="9"/>
  <c r="F448" i="9"/>
  <c r="E448" i="9"/>
  <c r="D448" i="9"/>
  <c r="C448" i="9"/>
  <c r="C447" i="9"/>
  <c r="Q447" i="9"/>
  <c r="P447" i="9"/>
  <c r="O447" i="9"/>
  <c r="N447" i="9"/>
  <c r="M447" i="9"/>
  <c r="L447" i="9"/>
  <c r="K447" i="9"/>
  <c r="J447" i="9"/>
  <c r="F447" i="9"/>
  <c r="E447" i="9"/>
  <c r="D447" i="9"/>
  <c r="J446" i="9"/>
  <c r="Q446" i="9"/>
  <c r="P446" i="9"/>
  <c r="O446" i="9"/>
  <c r="N446" i="9"/>
  <c r="M446" i="9"/>
  <c r="L446" i="9"/>
  <c r="K446" i="9"/>
  <c r="F446" i="9"/>
  <c r="E446" i="9"/>
  <c r="D446" i="9"/>
  <c r="C446" i="9"/>
  <c r="O445" i="9"/>
  <c r="Q445" i="9"/>
  <c r="P445" i="9"/>
  <c r="N445" i="9"/>
  <c r="M445" i="9"/>
  <c r="L445" i="9"/>
  <c r="K445" i="9"/>
  <c r="J445" i="9"/>
  <c r="F445" i="9"/>
  <c r="E445" i="9"/>
  <c r="D445" i="9"/>
  <c r="C445" i="9"/>
  <c r="Q444" i="9"/>
  <c r="P444" i="9"/>
  <c r="O444" i="9"/>
  <c r="N444" i="9"/>
  <c r="M444" i="9"/>
  <c r="L444" i="9"/>
  <c r="K444" i="9"/>
  <c r="J444" i="9"/>
  <c r="F444" i="9"/>
  <c r="E444" i="9"/>
  <c r="D444" i="9"/>
  <c r="C444" i="9"/>
  <c r="Q443" i="9"/>
  <c r="P443" i="9"/>
  <c r="O443" i="9"/>
  <c r="N443" i="9"/>
  <c r="M443" i="9"/>
  <c r="L443" i="9"/>
  <c r="K443" i="9"/>
  <c r="J443" i="9"/>
  <c r="F443" i="9"/>
  <c r="E443" i="9"/>
  <c r="D443" i="9"/>
  <c r="C443" i="9"/>
  <c r="Q442" i="9"/>
  <c r="P442" i="9"/>
  <c r="O442" i="9"/>
  <c r="N442" i="9"/>
  <c r="M442" i="9"/>
  <c r="L442" i="9"/>
  <c r="K442" i="9"/>
  <c r="J442" i="9"/>
  <c r="F442" i="9"/>
  <c r="E442" i="9"/>
  <c r="D442" i="9"/>
  <c r="C442" i="9"/>
  <c r="E441" i="9"/>
  <c r="D441" i="9"/>
  <c r="C441" i="9"/>
  <c r="L441" i="9"/>
  <c r="K441" i="9"/>
  <c r="J441" i="9"/>
  <c r="F441" i="9"/>
  <c r="Q441" i="9"/>
  <c r="P441" i="9"/>
  <c r="O441" i="9"/>
  <c r="N441" i="9"/>
  <c r="M441" i="9"/>
  <c r="D440" i="9"/>
  <c r="N440" i="9"/>
  <c r="M440" i="9"/>
  <c r="L440" i="9"/>
  <c r="K440" i="9"/>
  <c r="C440" i="9"/>
  <c r="F440" i="9"/>
  <c r="E440" i="9"/>
  <c r="J440" i="9"/>
  <c r="Q440" i="9"/>
  <c r="P440" i="9"/>
  <c r="O440" i="9"/>
  <c r="N439" i="9"/>
  <c r="M439" i="9"/>
  <c r="L439" i="9"/>
  <c r="J439" i="9"/>
  <c r="F439" i="9"/>
  <c r="D439" i="9"/>
  <c r="E439" i="9"/>
  <c r="Q439" i="9"/>
  <c r="P439" i="9"/>
  <c r="O439" i="9"/>
  <c r="C439" i="9"/>
  <c r="K439" i="9"/>
  <c r="O438" i="9"/>
  <c r="Q438" i="9"/>
  <c r="C438" i="9"/>
  <c r="D438" i="9"/>
  <c r="E438" i="9"/>
  <c r="F438" i="9"/>
  <c r="P438" i="9"/>
  <c r="J438" i="9"/>
  <c r="K438" i="9"/>
  <c r="L438" i="9"/>
  <c r="M438" i="9"/>
  <c r="N438" i="9"/>
  <c r="O437" i="9"/>
  <c r="E437" i="9"/>
  <c r="P437" i="9"/>
  <c r="J437" i="9"/>
  <c r="K437" i="9"/>
  <c r="Q437" i="9"/>
  <c r="L437" i="9"/>
  <c r="M437" i="9"/>
  <c r="F437" i="9"/>
  <c r="C437" i="9"/>
  <c r="D437" i="9"/>
  <c r="N437" i="9"/>
  <c r="F436" i="9"/>
  <c r="J436" i="9"/>
  <c r="K436" i="9"/>
  <c r="L436" i="9"/>
  <c r="C436" i="9"/>
  <c r="N436" i="9"/>
  <c r="O436" i="9"/>
  <c r="P436" i="9"/>
  <c r="Q436" i="9"/>
  <c r="D436" i="9"/>
  <c r="E436" i="9"/>
  <c r="M436" i="9"/>
  <c r="J435" i="9"/>
  <c r="L435" i="9"/>
  <c r="M435" i="9"/>
  <c r="N435" i="9"/>
  <c r="O435" i="9"/>
  <c r="P435" i="9"/>
  <c r="Q435" i="9"/>
  <c r="K435" i="9"/>
  <c r="C435" i="9"/>
  <c r="D435" i="9"/>
  <c r="E435" i="9"/>
  <c r="F435" i="9"/>
  <c r="O434" i="9"/>
  <c r="N434" i="9"/>
  <c r="J434" i="9"/>
  <c r="F434" i="9"/>
  <c r="E434" i="9"/>
  <c r="C434" i="9"/>
  <c r="M434" i="9"/>
  <c r="D434" i="9"/>
  <c r="Q434" i="9"/>
  <c r="P434" i="9"/>
  <c r="K434" i="9"/>
  <c r="L434" i="9"/>
  <c r="Q433" i="9"/>
  <c r="L433" i="9"/>
  <c r="J433" i="9"/>
  <c r="F433" i="9"/>
  <c r="E433" i="9"/>
  <c r="D433" i="9"/>
  <c r="C433" i="9"/>
  <c r="N433" i="9"/>
  <c r="O433" i="9"/>
  <c r="P433" i="9"/>
  <c r="M433" i="9"/>
  <c r="K433" i="9"/>
  <c r="C432" i="9"/>
  <c r="D432" i="9"/>
  <c r="E432" i="9"/>
  <c r="M432" i="9"/>
  <c r="Q432" i="9"/>
  <c r="P432" i="9"/>
  <c r="O432" i="9"/>
  <c r="N432" i="9"/>
  <c r="L432" i="9"/>
  <c r="K432" i="9"/>
  <c r="J432" i="9"/>
  <c r="F432" i="9"/>
  <c r="K431" i="9"/>
  <c r="L431" i="9"/>
  <c r="M431" i="9"/>
  <c r="N431" i="9"/>
  <c r="O431" i="9"/>
  <c r="Q431" i="9"/>
  <c r="P431" i="9"/>
  <c r="C431" i="9"/>
  <c r="D431" i="9"/>
  <c r="E431" i="9"/>
  <c r="F431" i="9"/>
  <c r="J431" i="9"/>
  <c r="N430" i="9"/>
  <c r="O430" i="9"/>
  <c r="P430" i="9"/>
  <c r="Q430" i="9"/>
  <c r="D430" i="9"/>
  <c r="E430" i="9"/>
  <c r="F430" i="9"/>
  <c r="C430" i="9"/>
  <c r="J430" i="9"/>
  <c r="K430" i="9"/>
  <c r="L430" i="9"/>
  <c r="M430" i="9"/>
  <c r="C429" i="9"/>
  <c r="E429" i="9"/>
  <c r="D429" i="9"/>
  <c r="Q429" i="9"/>
  <c r="P429" i="9"/>
  <c r="J429" i="9"/>
  <c r="O429" i="9"/>
  <c r="N429" i="9"/>
  <c r="M429" i="9"/>
  <c r="L429" i="9"/>
  <c r="K429" i="9"/>
  <c r="F429" i="9"/>
  <c r="M428" i="9"/>
  <c r="L428" i="9"/>
  <c r="K428" i="9"/>
  <c r="E428" i="9"/>
  <c r="D428" i="9"/>
  <c r="C428" i="9"/>
  <c r="O428" i="9"/>
  <c r="P428" i="9"/>
  <c r="Q428" i="9"/>
  <c r="F428" i="9"/>
  <c r="J428" i="9"/>
  <c r="N428" i="9"/>
  <c r="Q427" i="9"/>
  <c r="C427" i="9"/>
  <c r="D427" i="9"/>
  <c r="E427" i="9"/>
  <c r="F427" i="9"/>
  <c r="J427" i="9"/>
  <c r="K427" i="9"/>
  <c r="L427" i="9"/>
  <c r="M427" i="9"/>
  <c r="N427" i="9"/>
  <c r="O427" i="9"/>
  <c r="P427" i="9"/>
  <c r="D426" i="9"/>
  <c r="P426" i="9"/>
  <c r="O426" i="9"/>
  <c r="N426" i="9"/>
  <c r="M426" i="9"/>
  <c r="C426" i="9"/>
  <c r="K426" i="9"/>
  <c r="J426" i="9"/>
  <c r="L426" i="9"/>
  <c r="F426" i="9"/>
  <c r="E426" i="9"/>
  <c r="Q426" i="9"/>
  <c r="C425" i="9"/>
  <c r="Q425" i="9"/>
  <c r="P425" i="9"/>
  <c r="O425" i="9"/>
  <c r="N425" i="9"/>
  <c r="M425" i="9"/>
  <c r="L425" i="9"/>
  <c r="K425" i="9"/>
  <c r="J425" i="9"/>
  <c r="F425" i="9"/>
  <c r="E425" i="9"/>
  <c r="D425" i="9"/>
  <c r="C424" i="9"/>
  <c r="D424" i="9"/>
  <c r="Q424" i="9"/>
  <c r="P424" i="9"/>
  <c r="O424" i="9"/>
  <c r="N424" i="9"/>
  <c r="M424" i="9"/>
  <c r="L424" i="9"/>
  <c r="K424" i="9"/>
  <c r="J424" i="9"/>
  <c r="F424" i="9"/>
  <c r="E424" i="9"/>
  <c r="D423" i="9"/>
  <c r="E423" i="9"/>
  <c r="F423" i="9"/>
  <c r="J423" i="9"/>
  <c r="Q423" i="9"/>
  <c r="K423" i="9"/>
  <c r="L423" i="9"/>
  <c r="M423" i="9"/>
  <c r="N423" i="9"/>
  <c r="O423" i="9"/>
  <c r="P423" i="9"/>
  <c r="C423" i="9"/>
  <c r="Q422" i="9"/>
  <c r="P422" i="9"/>
  <c r="O422" i="9"/>
  <c r="N422" i="9"/>
  <c r="M422" i="9"/>
  <c r="L422" i="9"/>
  <c r="K422" i="9"/>
  <c r="J422" i="9"/>
  <c r="F422" i="9"/>
  <c r="E422" i="9"/>
  <c r="D422" i="9"/>
  <c r="C422" i="9"/>
  <c r="C421" i="9"/>
  <c r="J421" i="9"/>
  <c r="K421" i="9"/>
  <c r="L421" i="9"/>
  <c r="M421" i="9"/>
  <c r="O421" i="9"/>
  <c r="D421" i="9"/>
  <c r="E421" i="9"/>
  <c r="Q421" i="9"/>
  <c r="F421" i="9"/>
  <c r="P421" i="9"/>
  <c r="N421" i="9"/>
  <c r="J420" i="9"/>
  <c r="F420" i="9"/>
  <c r="E420" i="9"/>
  <c r="D420" i="9"/>
  <c r="C420" i="9"/>
  <c r="Q420" i="9"/>
  <c r="P420" i="9"/>
  <c r="O420" i="9"/>
  <c r="N420" i="9"/>
  <c r="M420" i="9"/>
  <c r="L420" i="9"/>
  <c r="K420" i="9"/>
  <c r="J419" i="9"/>
  <c r="F419" i="9"/>
  <c r="E419" i="9"/>
  <c r="D419" i="9"/>
  <c r="C419" i="9"/>
  <c r="Q419" i="9"/>
  <c r="P419" i="9"/>
  <c r="O419" i="9"/>
  <c r="N419" i="9"/>
  <c r="M419" i="9"/>
  <c r="L419" i="9"/>
  <c r="K419" i="9"/>
  <c r="C418" i="9"/>
  <c r="D418" i="9"/>
  <c r="F418" i="9"/>
  <c r="J418" i="9"/>
  <c r="E418" i="9"/>
  <c r="Q418" i="9"/>
  <c r="P418" i="9"/>
  <c r="O418" i="9"/>
  <c r="N418" i="9"/>
  <c r="M418" i="9"/>
  <c r="L418" i="9"/>
  <c r="K418" i="9"/>
  <c r="M417" i="9"/>
  <c r="N417" i="9"/>
  <c r="O417" i="9"/>
  <c r="P417" i="9"/>
  <c r="Q417" i="9"/>
  <c r="C417" i="9"/>
  <c r="D417" i="9"/>
  <c r="E417" i="9"/>
  <c r="F417" i="9"/>
  <c r="J417" i="9"/>
  <c r="K417" i="9"/>
  <c r="L417" i="9"/>
  <c r="C416" i="9"/>
  <c r="D416" i="9"/>
  <c r="Q416" i="9"/>
  <c r="P416" i="9"/>
  <c r="O416" i="9"/>
  <c r="N416" i="9"/>
  <c r="M416" i="9"/>
  <c r="L416" i="9"/>
  <c r="K416" i="9"/>
  <c r="J416" i="9"/>
  <c r="E416" i="9"/>
  <c r="F416" i="9"/>
  <c r="Q415" i="9"/>
  <c r="P415" i="9"/>
  <c r="O415" i="9"/>
  <c r="N415" i="9"/>
  <c r="M415" i="9"/>
  <c r="L415" i="9"/>
  <c r="K415" i="9"/>
  <c r="J415" i="9"/>
  <c r="C415" i="9"/>
  <c r="D415" i="9"/>
  <c r="E415" i="9"/>
  <c r="F415" i="9"/>
  <c r="N414" i="9"/>
  <c r="Q414" i="9"/>
  <c r="P414" i="9"/>
  <c r="O414" i="9"/>
  <c r="M414" i="9"/>
  <c r="L414" i="9"/>
  <c r="K414" i="9"/>
  <c r="J414" i="9"/>
  <c r="E414" i="9"/>
  <c r="D414" i="9"/>
  <c r="C414" i="9"/>
  <c r="F414" i="9"/>
  <c r="C413" i="9"/>
  <c r="E413" i="9"/>
  <c r="F413" i="9"/>
  <c r="J413" i="9"/>
  <c r="K413" i="9"/>
  <c r="L413" i="9"/>
  <c r="P413" i="9"/>
  <c r="D413" i="9"/>
  <c r="Q413" i="9"/>
  <c r="M413" i="9"/>
  <c r="O413" i="9"/>
  <c r="N413" i="9"/>
  <c r="O412" i="9"/>
  <c r="P412" i="9"/>
  <c r="Q412" i="9"/>
  <c r="D412" i="9"/>
  <c r="J412" i="9"/>
  <c r="E412" i="9"/>
  <c r="F412" i="9"/>
  <c r="C412" i="9"/>
  <c r="L412" i="9"/>
  <c r="M412" i="9"/>
  <c r="N412" i="9"/>
  <c r="K412" i="9"/>
  <c r="O411" i="9"/>
  <c r="Q411" i="9"/>
  <c r="P411" i="9"/>
  <c r="C411" i="9"/>
  <c r="D411" i="9"/>
  <c r="E411" i="9"/>
  <c r="F411" i="9"/>
  <c r="J411" i="9"/>
  <c r="K411" i="9"/>
  <c r="L411" i="9"/>
  <c r="M411" i="9"/>
  <c r="N411" i="9"/>
  <c r="L410" i="9"/>
  <c r="M410" i="9"/>
  <c r="C410" i="9"/>
  <c r="K410" i="9"/>
  <c r="J410" i="9"/>
  <c r="N410" i="9"/>
  <c r="O410" i="9"/>
  <c r="P410" i="9"/>
  <c r="F410" i="9"/>
  <c r="E410" i="9"/>
  <c r="D410" i="9"/>
  <c r="Q410" i="9"/>
  <c r="F409" i="9"/>
  <c r="K409" i="9"/>
  <c r="E409" i="9"/>
  <c r="D409" i="9"/>
  <c r="C409" i="9"/>
  <c r="Q409" i="9"/>
  <c r="J409" i="9"/>
  <c r="L409" i="9"/>
  <c r="M409" i="9"/>
  <c r="N409" i="9"/>
  <c r="O409" i="9"/>
  <c r="P409" i="9"/>
  <c r="J408" i="9"/>
  <c r="Q408" i="9"/>
  <c r="F408" i="9"/>
  <c r="E408" i="9"/>
  <c r="D408" i="9"/>
  <c r="C408" i="9"/>
  <c r="K408" i="9"/>
  <c r="P408" i="9"/>
  <c r="O408" i="9"/>
  <c r="N408" i="9"/>
  <c r="M408" i="9"/>
  <c r="L408" i="9"/>
  <c r="E407" i="9"/>
  <c r="D407" i="9"/>
  <c r="M407" i="9"/>
  <c r="N407" i="9"/>
  <c r="O407" i="9"/>
  <c r="C407" i="9"/>
  <c r="Q407" i="9"/>
  <c r="L407" i="9"/>
  <c r="K407" i="9"/>
  <c r="J407" i="9"/>
  <c r="F407" i="9"/>
  <c r="P407" i="9"/>
  <c r="D406" i="9"/>
  <c r="Q406" i="9"/>
  <c r="P406" i="9"/>
  <c r="O406" i="9"/>
  <c r="M406" i="9"/>
  <c r="L406" i="9"/>
  <c r="K406" i="9"/>
  <c r="J406" i="9"/>
  <c r="F406" i="9"/>
  <c r="E406" i="9"/>
  <c r="C406" i="9"/>
  <c r="N406" i="9"/>
  <c r="C405" i="9"/>
  <c r="O405" i="9"/>
  <c r="J405" i="9"/>
  <c r="K405" i="9"/>
  <c r="L405" i="9"/>
  <c r="Q405" i="9"/>
  <c r="P405" i="9"/>
  <c r="F405" i="9"/>
  <c r="M405" i="9"/>
  <c r="E405" i="9"/>
  <c r="D405" i="9"/>
  <c r="N405" i="9"/>
  <c r="N404" i="9"/>
  <c r="D404" i="9"/>
  <c r="E404" i="9"/>
  <c r="F404" i="9"/>
  <c r="J404" i="9"/>
  <c r="Q404" i="9"/>
  <c r="K404" i="9"/>
  <c r="P404" i="9"/>
  <c r="L404" i="9"/>
  <c r="O404" i="9"/>
  <c r="M404" i="9"/>
  <c r="C404" i="9"/>
  <c r="L403" i="9"/>
  <c r="M403" i="9"/>
  <c r="N403" i="9"/>
  <c r="O403" i="9"/>
  <c r="P403" i="9"/>
  <c r="Q403" i="9"/>
  <c r="J403" i="9"/>
  <c r="K403" i="9"/>
  <c r="D403" i="9"/>
  <c r="E403" i="9"/>
  <c r="F403" i="9"/>
  <c r="C403" i="9"/>
  <c r="J402" i="9"/>
  <c r="K402" i="9"/>
  <c r="L402" i="9"/>
  <c r="M402" i="9"/>
  <c r="N402" i="9"/>
  <c r="O402" i="9"/>
  <c r="P402" i="9"/>
  <c r="Q402" i="9"/>
  <c r="C402" i="9"/>
  <c r="E402" i="9"/>
  <c r="D402" i="9"/>
  <c r="F402" i="9"/>
  <c r="C401" i="9"/>
  <c r="Q401" i="9"/>
  <c r="P401" i="9"/>
  <c r="O401" i="9"/>
  <c r="N401" i="9"/>
  <c r="M401" i="9"/>
  <c r="L401" i="9"/>
  <c r="K401" i="9"/>
  <c r="J401" i="9"/>
  <c r="F401" i="9"/>
  <c r="E401" i="9"/>
  <c r="D401" i="9"/>
  <c r="D400" i="9"/>
  <c r="M400" i="9"/>
  <c r="L400" i="9"/>
  <c r="K400" i="9"/>
  <c r="F400" i="9"/>
  <c r="E400" i="9"/>
  <c r="C400" i="9"/>
  <c r="J400" i="9"/>
  <c r="N400" i="9"/>
  <c r="O400" i="9"/>
  <c r="P400" i="9"/>
  <c r="Q400" i="9"/>
  <c r="P399" i="9"/>
  <c r="O399" i="9"/>
  <c r="N399" i="9"/>
  <c r="M399" i="9"/>
  <c r="L399" i="9"/>
  <c r="K399" i="9"/>
  <c r="J399" i="9"/>
  <c r="F399" i="9"/>
  <c r="E399" i="9"/>
  <c r="D399" i="9"/>
  <c r="C399" i="9"/>
  <c r="Q399" i="9"/>
  <c r="M398" i="9"/>
  <c r="L398" i="9"/>
  <c r="K398" i="9"/>
  <c r="J398" i="9"/>
  <c r="F398" i="9"/>
  <c r="E398" i="9"/>
  <c r="D398" i="9"/>
  <c r="C398" i="9"/>
  <c r="Q398" i="9"/>
  <c r="P398" i="9"/>
  <c r="O398" i="9"/>
  <c r="N398" i="9"/>
  <c r="N397" i="9"/>
  <c r="M397" i="9"/>
  <c r="L397" i="9"/>
  <c r="J397" i="9"/>
  <c r="F397" i="9"/>
  <c r="E397" i="9"/>
  <c r="D397" i="9"/>
  <c r="C397" i="9"/>
  <c r="K397" i="9"/>
  <c r="Q397" i="9"/>
  <c r="P397" i="9"/>
  <c r="O397" i="9"/>
  <c r="Q396" i="9"/>
  <c r="E396" i="9"/>
  <c r="P396" i="9"/>
  <c r="O396" i="9"/>
  <c r="N396" i="9"/>
  <c r="M396" i="9"/>
  <c r="C396" i="9"/>
  <c r="F396" i="9"/>
  <c r="J396" i="9"/>
  <c r="K396" i="9"/>
  <c r="D396" i="9"/>
  <c r="L396" i="9"/>
  <c r="J395" i="9"/>
  <c r="F395" i="9"/>
  <c r="E395" i="9"/>
  <c r="D395" i="9"/>
  <c r="C395" i="9"/>
  <c r="O395" i="9"/>
  <c r="L395" i="9"/>
  <c r="M395" i="9"/>
  <c r="N395" i="9"/>
  <c r="P395" i="9"/>
  <c r="Q395" i="9"/>
  <c r="K395" i="9"/>
  <c r="D394" i="9"/>
  <c r="M394" i="9"/>
  <c r="C394" i="9"/>
  <c r="E394" i="9"/>
  <c r="J394" i="9"/>
  <c r="K394" i="9"/>
  <c r="L394" i="9"/>
  <c r="N394" i="9"/>
  <c r="O394" i="9"/>
  <c r="P394" i="9"/>
  <c r="Q394" i="9"/>
  <c r="F394" i="9"/>
  <c r="J393" i="9"/>
  <c r="K393" i="9"/>
  <c r="L393" i="9"/>
  <c r="N393" i="9"/>
  <c r="O393" i="9"/>
  <c r="P393" i="9"/>
  <c r="Q393" i="9"/>
  <c r="D393" i="9"/>
  <c r="E393" i="9"/>
  <c r="F393" i="9"/>
  <c r="M393" i="9"/>
  <c r="C393" i="9"/>
  <c r="E392" i="9"/>
  <c r="F392" i="9"/>
  <c r="J392" i="9"/>
  <c r="K392" i="9"/>
  <c r="M392" i="9"/>
  <c r="N392" i="9"/>
  <c r="O392" i="9"/>
  <c r="P392" i="9"/>
  <c r="Q392" i="9"/>
  <c r="L392" i="9"/>
  <c r="C392" i="9"/>
  <c r="D392" i="9"/>
  <c r="E391" i="9"/>
  <c r="F391" i="9"/>
  <c r="J391" i="9"/>
  <c r="K391" i="9"/>
  <c r="L391" i="9"/>
  <c r="M391" i="9"/>
  <c r="N391" i="9"/>
  <c r="P391" i="9"/>
  <c r="Q391" i="9"/>
  <c r="D391" i="9"/>
  <c r="O391" i="9"/>
  <c r="C391" i="9"/>
  <c r="L390" i="9"/>
  <c r="J390" i="9"/>
  <c r="F390" i="9"/>
  <c r="E390" i="9"/>
  <c r="D390" i="9"/>
  <c r="C390" i="9"/>
  <c r="K390" i="9"/>
  <c r="Q390" i="9"/>
  <c r="P390" i="9"/>
  <c r="O390" i="9"/>
  <c r="N390" i="9"/>
  <c r="M390" i="9"/>
  <c r="O389" i="9"/>
  <c r="F389" i="9"/>
  <c r="P389" i="9"/>
  <c r="Q389" i="9"/>
  <c r="N389" i="9"/>
  <c r="M389" i="9"/>
  <c r="L389" i="9"/>
  <c r="K389" i="9"/>
  <c r="J389" i="9"/>
  <c r="E389" i="9"/>
  <c r="D389" i="9"/>
  <c r="C389" i="9"/>
  <c r="M388" i="9"/>
  <c r="L388" i="9"/>
  <c r="K388" i="9"/>
  <c r="J388" i="9"/>
  <c r="F388" i="9"/>
  <c r="E388" i="9"/>
  <c r="D388" i="9"/>
  <c r="C388" i="9"/>
  <c r="Q388" i="9"/>
  <c r="P388" i="9"/>
  <c r="O388" i="9"/>
  <c r="N388" i="9"/>
  <c r="N387" i="9"/>
  <c r="M387" i="9"/>
  <c r="L387" i="9"/>
  <c r="K387" i="9"/>
  <c r="J387" i="9"/>
  <c r="F387" i="9"/>
  <c r="E387" i="9"/>
  <c r="C387" i="9"/>
  <c r="D387" i="9"/>
  <c r="Q387" i="9"/>
  <c r="P387" i="9"/>
  <c r="O387" i="9"/>
  <c r="D386" i="9"/>
  <c r="L386" i="9"/>
  <c r="K386" i="9"/>
  <c r="J386" i="9"/>
  <c r="F386" i="9"/>
  <c r="E386" i="9"/>
  <c r="C386" i="9"/>
  <c r="Q386" i="9"/>
  <c r="P386" i="9"/>
  <c r="O386" i="9"/>
  <c r="N386" i="9"/>
  <c r="M386" i="9"/>
  <c r="E385" i="9"/>
  <c r="L385" i="9"/>
  <c r="K385" i="9"/>
  <c r="J385" i="9"/>
  <c r="C385" i="9"/>
  <c r="F385" i="9"/>
  <c r="D385" i="9"/>
  <c r="Q385" i="9"/>
  <c r="P385" i="9"/>
  <c r="O385" i="9"/>
  <c r="N385" i="9"/>
  <c r="M385" i="9"/>
  <c r="C384" i="9"/>
  <c r="D384" i="9"/>
  <c r="E384" i="9"/>
  <c r="F384" i="9"/>
  <c r="L384" i="9"/>
  <c r="M384" i="9"/>
  <c r="N384" i="9"/>
  <c r="J384" i="9"/>
  <c r="O384" i="9"/>
  <c r="P384" i="9"/>
  <c r="Q384" i="9"/>
  <c r="K384" i="9"/>
  <c r="F383" i="9"/>
  <c r="K383" i="9"/>
  <c r="L383" i="9"/>
  <c r="M383" i="9"/>
  <c r="N383" i="9"/>
  <c r="P383" i="9"/>
  <c r="Q383" i="9"/>
  <c r="O383" i="9"/>
  <c r="J383" i="9"/>
  <c r="C383" i="9"/>
  <c r="D383" i="9"/>
  <c r="E383" i="9"/>
  <c r="M382" i="9"/>
  <c r="N382" i="9"/>
  <c r="C382" i="9"/>
  <c r="L382" i="9"/>
  <c r="K382" i="9"/>
  <c r="J382" i="9"/>
  <c r="F382" i="9"/>
  <c r="E382" i="9"/>
  <c r="D382" i="9"/>
  <c r="Q382" i="9"/>
  <c r="P382" i="9"/>
  <c r="O382" i="9"/>
  <c r="J381" i="9"/>
  <c r="Q381" i="9"/>
  <c r="P381" i="9"/>
  <c r="O381" i="9"/>
  <c r="N381" i="9"/>
  <c r="M381" i="9"/>
  <c r="L381" i="9"/>
  <c r="K381" i="9"/>
  <c r="F381" i="9"/>
  <c r="E381" i="9"/>
  <c r="D381" i="9"/>
  <c r="C381" i="9"/>
  <c r="M380" i="9"/>
  <c r="L380" i="9"/>
  <c r="K380" i="9"/>
  <c r="J380" i="9"/>
  <c r="F380" i="9"/>
  <c r="E380" i="9"/>
  <c r="D380" i="9"/>
  <c r="C380" i="9"/>
  <c r="Q380" i="9"/>
  <c r="P380" i="9"/>
  <c r="O380" i="9"/>
  <c r="N380" i="9"/>
  <c r="N379" i="9"/>
  <c r="M379" i="9"/>
  <c r="K379" i="9"/>
  <c r="J379" i="9"/>
  <c r="F379" i="9"/>
  <c r="E379" i="9"/>
  <c r="D379" i="9"/>
  <c r="C379" i="9"/>
  <c r="L379" i="9"/>
  <c r="Q379" i="9"/>
  <c r="P379" i="9"/>
  <c r="O379" i="9"/>
  <c r="F378" i="9"/>
  <c r="C378" i="9"/>
  <c r="D378" i="9"/>
  <c r="E378" i="9"/>
  <c r="N378" i="9"/>
  <c r="Q378" i="9"/>
  <c r="P378" i="9"/>
  <c r="O378" i="9"/>
  <c r="M378" i="9"/>
  <c r="L378" i="9"/>
  <c r="K378" i="9"/>
  <c r="J378" i="9"/>
  <c r="P377" i="9"/>
  <c r="Q377" i="9"/>
  <c r="N377" i="9"/>
  <c r="O377" i="9"/>
  <c r="L377" i="9"/>
  <c r="K377" i="9"/>
  <c r="J377" i="9"/>
  <c r="E377" i="9"/>
  <c r="D377" i="9"/>
  <c r="C377" i="9"/>
  <c r="F377" i="9"/>
  <c r="M377" i="9"/>
  <c r="C376" i="9"/>
  <c r="D376" i="9"/>
  <c r="E376" i="9"/>
  <c r="F376" i="9"/>
  <c r="J376" i="9"/>
  <c r="K376" i="9"/>
  <c r="L376" i="9"/>
  <c r="M376" i="9"/>
  <c r="P376" i="9"/>
  <c r="Q376" i="9"/>
  <c r="O376" i="9"/>
  <c r="N376" i="9"/>
  <c r="N375" i="9"/>
  <c r="L375" i="9"/>
  <c r="Q375" i="9"/>
  <c r="K375" i="9"/>
  <c r="J375" i="9"/>
  <c r="O375" i="9"/>
  <c r="F375" i="9"/>
  <c r="E375" i="9"/>
  <c r="D375" i="9"/>
  <c r="C375" i="9"/>
  <c r="M375" i="9"/>
  <c r="P375" i="9"/>
  <c r="E374" i="9"/>
  <c r="F374" i="9"/>
  <c r="J374" i="9"/>
  <c r="K374" i="9"/>
  <c r="L374" i="9"/>
  <c r="M374" i="9"/>
  <c r="N374" i="9"/>
  <c r="O374" i="9"/>
  <c r="P374" i="9"/>
  <c r="Q374" i="9"/>
  <c r="C374" i="9"/>
  <c r="D374" i="9"/>
  <c r="N373" i="9"/>
  <c r="C373" i="9"/>
  <c r="E373" i="9"/>
  <c r="P373" i="9"/>
  <c r="O373" i="9"/>
  <c r="M373" i="9"/>
  <c r="F373" i="9"/>
  <c r="J373" i="9"/>
  <c r="K373" i="9"/>
  <c r="D373" i="9"/>
  <c r="L373" i="9"/>
  <c r="Q373" i="9"/>
  <c r="J372" i="9"/>
  <c r="K372" i="9"/>
  <c r="L372" i="9"/>
  <c r="M372" i="9"/>
  <c r="N372" i="9"/>
  <c r="O372" i="9"/>
  <c r="P372" i="9"/>
  <c r="Q372" i="9"/>
  <c r="C372" i="9"/>
  <c r="F372" i="9"/>
  <c r="E372" i="9"/>
  <c r="D372" i="9"/>
  <c r="N371" i="9"/>
  <c r="M371" i="9"/>
  <c r="L371" i="9"/>
  <c r="K371" i="9"/>
  <c r="J371" i="9"/>
  <c r="D371" i="9"/>
  <c r="F371" i="9"/>
  <c r="E371" i="9"/>
  <c r="C371" i="9"/>
  <c r="Q371" i="9"/>
  <c r="P371" i="9"/>
  <c r="O371" i="9"/>
  <c r="Q370" i="9"/>
  <c r="P370" i="9"/>
  <c r="O370" i="9"/>
  <c r="M370" i="9"/>
  <c r="L370" i="9"/>
  <c r="K370" i="9"/>
  <c r="J370" i="9"/>
  <c r="N370" i="9"/>
  <c r="F370" i="9"/>
  <c r="C370" i="9"/>
  <c r="E370" i="9"/>
  <c r="D370" i="9"/>
  <c r="L369" i="9"/>
  <c r="E369" i="9"/>
  <c r="F369" i="9"/>
  <c r="D369" i="9"/>
  <c r="C369" i="9"/>
  <c r="J369" i="9"/>
  <c r="K369" i="9"/>
  <c r="M369" i="9"/>
  <c r="N369" i="9"/>
  <c r="O369" i="9"/>
  <c r="P369" i="9"/>
  <c r="Q369" i="9"/>
  <c r="C368" i="9"/>
  <c r="D368" i="9"/>
  <c r="E368" i="9"/>
  <c r="J368" i="9"/>
  <c r="K368" i="9"/>
  <c r="L368" i="9"/>
  <c r="M368" i="9"/>
  <c r="N368" i="9"/>
  <c r="O368" i="9"/>
  <c r="P368" i="9"/>
  <c r="Q368" i="9"/>
  <c r="F368" i="9"/>
  <c r="E367" i="9"/>
  <c r="D367" i="9"/>
  <c r="F367" i="9"/>
  <c r="C367" i="9"/>
  <c r="Q367" i="9"/>
  <c r="P367" i="9"/>
  <c r="O367" i="9"/>
  <c r="N367" i="9"/>
  <c r="M367" i="9"/>
  <c r="L367" i="9"/>
  <c r="K367" i="9"/>
  <c r="J367" i="9"/>
  <c r="O366" i="9"/>
  <c r="L366" i="9"/>
  <c r="C366" i="9"/>
  <c r="D366" i="9"/>
  <c r="E366" i="9"/>
  <c r="F366" i="9"/>
  <c r="J366" i="9"/>
  <c r="K366" i="9"/>
  <c r="M366" i="9"/>
  <c r="N366" i="9"/>
  <c r="P366" i="9"/>
  <c r="Q366" i="9"/>
  <c r="F365" i="9"/>
  <c r="P365" i="9"/>
  <c r="Q365" i="9"/>
  <c r="D365" i="9"/>
  <c r="E365" i="9"/>
  <c r="J365" i="9"/>
  <c r="K365" i="9"/>
  <c r="C365" i="9"/>
  <c r="L365" i="9"/>
  <c r="M365" i="9"/>
  <c r="N365" i="9"/>
  <c r="O365" i="9"/>
  <c r="C364" i="9"/>
  <c r="D364" i="9"/>
  <c r="E364" i="9"/>
  <c r="F364" i="9"/>
  <c r="J364" i="9"/>
  <c r="K364" i="9"/>
  <c r="M364" i="9"/>
  <c r="N364" i="9"/>
  <c r="Q364" i="9"/>
  <c r="P364" i="9"/>
  <c r="O364" i="9"/>
  <c r="L364" i="9"/>
  <c r="P363" i="9"/>
  <c r="Q363" i="9"/>
  <c r="K363" i="9"/>
  <c r="C363" i="9"/>
  <c r="D363" i="9"/>
  <c r="E363" i="9"/>
  <c r="F363" i="9"/>
  <c r="J363" i="9"/>
  <c r="L363" i="9"/>
  <c r="M363" i="9"/>
  <c r="N363" i="9"/>
  <c r="O363" i="9"/>
  <c r="D362" i="9"/>
  <c r="F362" i="9"/>
  <c r="Q362" i="9"/>
  <c r="P362" i="9"/>
  <c r="O362" i="9"/>
  <c r="N362" i="9"/>
  <c r="M362" i="9"/>
  <c r="L362" i="9"/>
  <c r="K362" i="9"/>
  <c r="E362" i="9"/>
  <c r="J362" i="9"/>
  <c r="C362" i="9"/>
  <c r="L361" i="9"/>
  <c r="K361" i="9"/>
  <c r="J361" i="9"/>
  <c r="F361" i="9"/>
  <c r="E361" i="9"/>
  <c r="D361" i="9"/>
  <c r="C361" i="9"/>
  <c r="M361" i="9"/>
  <c r="N361" i="9"/>
  <c r="O361" i="9"/>
  <c r="P361" i="9"/>
  <c r="Q361" i="9"/>
  <c r="C360" i="9"/>
  <c r="J360" i="9"/>
  <c r="K360" i="9"/>
  <c r="L360" i="9"/>
  <c r="M360" i="9"/>
  <c r="D360" i="9"/>
  <c r="E360" i="9"/>
  <c r="N360" i="9"/>
  <c r="O360" i="9"/>
  <c r="P360" i="9"/>
  <c r="Q360" i="9"/>
  <c r="F360" i="9"/>
  <c r="N359" i="9"/>
  <c r="M359" i="9"/>
  <c r="L359" i="9"/>
  <c r="K359" i="9"/>
  <c r="J359" i="9"/>
  <c r="F359" i="9"/>
  <c r="E359" i="9"/>
  <c r="Q359" i="9"/>
  <c r="P359" i="9"/>
  <c r="D359" i="9"/>
  <c r="C359" i="9"/>
  <c r="O359" i="9"/>
  <c r="F358" i="9"/>
  <c r="E358" i="9"/>
  <c r="D358" i="9"/>
  <c r="C358" i="9"/>
  <c r="J358" i="9"/>
  <c r="K358" i="9"/>
  <c r="L358" i="9"/>
  <c r="M358" i="9"/>
  <c r="N358" i="9"/>
  <c r="O358" i="9"/>
  <c r="P358" i="9"/>
  <c r="Q358" i="9"/>
  <c r="J357" i="9"/>
  <c r="K357" i="9"/>
  <c r="L357" i="9"/>
  <c r="M357" i="9"/>
  <c r="N357" i="9"/>
  <c r="P357" i="9"/>
  <c r="C357" i="9"/>
  <c r="D357" i="9"/>
  <c r="O357" i="9"/>
  <c r="F357" i="9"/>
  <c r="E357" i="9"/>
  <c r="Q357" i="9"/>
  <c r="L356" i="9"/>
  <c r="K356" i="9"/>
  <c r="J356" i="9"/>
  <c r="F356" i="9"/>
  <c r="E356" i="9"/>
  <c r="D356" i="9"/>
  <c r="C356" i="9"/>
  <c r="O356" i="9"/>
  <c r="Q356" i="9"/>
  <c r="P356" i="9"/>
  <c r="N356" i="9"/>
  <c r="M356" i="9"/>
  <c r="C355" i="9"/>
  <c r="D355" i="9"/>
  <c r="E355" i="9"/>
  <c r="F355" i="9"/>
  <c r="K355" i="9"/>
  <c r="Q355" i="9"/>
  <c r="J355" i="9"/>
  <c r="L355" i="9"/>
  <c r="M355" i="9"/>
  <c r="N355" i="9"/>
  <c r="O355" i="9"/>
  <c r="P355" i="9"/>
  <c r="N354" i="9"/>
  <c r="M354" i="9"/>
  <c r="L354" i="9"/>
  <c r="K354" i="9"/>
  <c r="J354" i="9"/>
  <c r="O354" i="9"/>
  <c r="F354" i="9"/>
  <c r="E354" i="9"/>
  <c r="D354" i="9"/>
  <c r="C354" i="9"/>
  <c r="P354" i="9"/>
  <c r="Q354" i="9"/>
  <c r="J353" i="9"/>
  <c r="F353" i="9"/>
  <c r="E353" i="9"/>
  <c r="D353" i="9"/>
  <c r="K353" i="9"/>
  <c r="C353" i="9"/>
  <c r="L353" i="9"/>
  <c r="M353" i="9"/>
  <c r="N353" i="9"/>
  <c r="O353" i="9"/>
  <c r="P353" i="9"/>
  <c r="Q353" i="9"/>
  <c r="Q352" i="9"/>
  <c r="P352" i="9"/>
  <c r="O352" i="9"/>
  <c r="N352" i="9"/>
  <c r="M352" i="9"/>
  <c r="L352" i="9"/>
  <c r="F352" i="9"/>
  <c r="E352" i="9"/>
  <c r="K352" i="9"/>
  <c r="D352" i="9"/>
  <c r="J352" i="9"/>
  <c r="C352" i="9"/>
  <c r="K351" i="9"/>
  <c r="L351" i="9"/>
  <c r="M351" i="9"/>
  <c r="N351" i="9"/>
  <c r="O351" i="9"/>
  <c r="P351" i="9"/>
  <c r="Q351" i="9"/>
  <c r="C351" i="9"/>
  <c r="D351" i="9"/>
  <c r="E351" i="9"/>
  <c r="F351" i="9"/>
  <c r="J351" i="9"/>
  <c r="D350" i="9"/>
  <c r="K350" i="9"/>
  <c r="M350" i="9"/>
  <c r="J350" i="9"/>
  <c r="O350" i="9"/>
  <c r="P350" i="9"/>
  <c r="Q350" i="9"/>
  <c r="N350" i="9"/>
  <c r="L350" i="9"/>
  <c r="C350" i="9"/>
  <c r="F350" i="9"/>
  <c r="E350" i="9"/>
  <c r="J349" i="9"/>
  <c r="K349" i="9"/>
  <c r="L349" i="9"/>
  <c r="N349" i="9"/>
  <c r="C349" i="9"/>
  <c r="D349" i="9"/>
  <c r="M349" i="9"/>
  <c r="E349" i="9"/>
  <c r="Q349" i="9"/>
  <c r="P349" i="9"/>
  <c r="O349" i="9"/>
  <c r="F349" i="9"/>
  <c r="D348" i="9"/>
  <c r="F348" i="9"/>
  <c r="J348" i="9"/>
  <c r="Q348" i="9"/>
  <c r="O348" i="9"/>
  <c r="N348" i="9"/>
  <c r="P348" i="9"/>
  <c r="M348" i="9"/>
  <c r="L348" i="9"/>
  <c r="K348" i="9"/>
  <c r="C348" i="9"/>
  <c r="E348" i="9"/>
  <c r="K347" i="9"/>
  <c r="L347" i="9"/>
  <c r="M347" i="9"/>
  <c r="N347" i="9"/>
  <c r="O347" i="9"/>
  <c r="Q347" i="9"/>
  <c r="P347" i="9"/>
  <c r="C347" i="9"/>
  <c r="D347" i="9"/>
  <c r="E347" i="9"/>
  <c r="F347" i="9"/>
  <c r="J347" i="9"/>
  <c r="M346" i="9"/>
  <c r="L346" i="9"/>
  <c r="K346" i="9"/>
  <c r="J346" i="9"/>
  <c r="D346" i="9"/>
  <c r="C346" i="9"/>
  <c r="E346" i="9"/>
  <c r="F346" i="9"/>
  <c r="Q346" i="9"/>
  <c r="P346" i="9"/>
  <c r="O346" i="9"/>
  <c r="N346" i="9"/>
  <c r="M345" i="9"/>
  <c r="N345" i="9"/>
  <c r="O345" i="9"/>
  <c r="P345" i="9"/>
  <c r="Q345" i="9"/>
  <c r="C345" i="9"/>
  <c r="D345" i="9"/>
  <c r="E345" i="9"/>
  <c r="F345" i="9"/>
  <c r="K345" i="9"/>
  <c r="L345" i="9"/>
  <c r="J345" i="9"/>
  <c r="L344" i="9"/>
  <c r="C344" i="9"/>
  <c r="D344" i="9"/>
  <c r="E344" i="9"/>
  <c r="F344" i="9"/>
  <c r="J344" i="9"/>
  <c r="K344" i="9"/>
  <c r="M344" i="9"/>
  <c r="N344" i="9"/>
  <c r="O344" i="9"/>
  <c r="Q344" i="9"/>
  <c r="P344" i="9"/>
  <c r="O343" i="9"/>
  <c r="L343" i="9"/>
  <c r="K343" i="9"/>
  <c r="D343" i="9"/>
  <c r="F343" i="9"/>
  <c r="E343" i="9"/>
  <c r="M343" i="9"/>
  <c r="N343" i="9"/>
  <c r="C343" i="9"/>
  <c r="J343" i="9"/>
  <c r="P343" i="9"/>
  <c r="Q343" i="9"/>
  <c r="J342" i="9"/>
  <c r="F342" i="9"/>
  <c r="E342" i="9"/>
  <c r="D342" i="9"/>
  <c r="C342" i="9"/>
  <c r="M342" i="9"/>
  <c r="K342" i="9"/>
  <c r="N342" i="9"/>
  <c r="L342" i="9"/>
  <c r="Q342" i="9"/>
  <c r="P342" i="9"/>
  <c r="O342" i="9"/>
  <c r="M341" i="9"/>
  <c r="N341" i="9"/>
  <c r="D341" i="9"/>
  <c r="P341" i="9"/>
  <c r="F341" i="9"/>
  <c r="J341" i="9"/>
  <c r="K341" i="9"/>
  <c r="L341" i="9"/>
  <c r="O341" i="9"/>
  <c r="Q341" i="9"/>
  <c r="E341" i="9"/>
  <c r="C341" i="9"/>
  <c r="Q340" i="9"/>
  <c r="P340" i="9"/>
  <c r="O340" i="9"/>
  <c r="N340" i="9"/>
  <c r="M340" i="9"/>
  <c r="L340" i="9"/>
  <c r="K340" i="9"/>
  <c r="J340" i="9"/>
  <c r="F340" i="9"/>
  <c r="E340" i="9"/>
  <c r="C340" i="9"/>
  <c r="D340" i="9"/>
  <c r="F339" i="9"/>
  <c r="E339" i="9"/>
  <c r="D339" i="9"/>
  <c r="C339" i="9"/>
  <c r="J339" i="9"/>
  <c r="K339" i="9"/>
  <c r="L339" i="9"/>
  <c r="M339" i="9"/>
  <c r="N339" i="9"/>
  <c r="O339" i="9"/>
  <c r="P339" i="9"/>
  <c r="Q339" i="9"/>
  <c r="N338" i="9"/>
  <c r="J338" i="9"/>
  <c r="K338" i="9"/>
  <c r="L338" i="9"/>
  <c r="M338" i="9"/>
  <c r="Q338" i="9"/>
  <c r="P338" i="9"/>
  <c r="O338" i="9"/>
  <c r="C338" i="9"/>
  <c r="D338" i="9"/>
  <c r="E338" i="9"/>
  <c r="F338" i="9"/>
  <c r="D337" i="9"/>
  <c r="E337" i="9"/>
  <c r="J337" i="9"/>
  <c r="K337" i="9"/>
  <c r="L337" i="9"/>
  <c r="M337" i="9"/>
  <c r="O337" i="9"/>
  <c r="P337" i="9"/>
  <c r="Q337" i="9"/>
  <c r="F337" i="9"/>
  <c r="C337" i="9"/>
  <c r="N337" i="9"/>
  <c r="P336" i="9"/>
  <c r="L336" i="9"/>
  <c r="Q336" i="9"/>
  <c r="N336" i="9"/>
  <c r="K336" i="9"/>
  <c r="J336" i="9"/>
  <c r="O336" i="9"/>
  <c r="F336" i="9"/>
  <c r="E336" i="9"/>
  <c r="D336" i="9"/>
  <c r="C336" i="9"/>
  <c r="M336" i="9"/>
  <c r="L335" i="9"/>
  <c r="M335" i="9"/>
  <c r="C335" i="9"/>
  <c r="D335" i="9"/>
  <c r="E335" i="9"/>
  <c r="F335" i="9"/>
  <c r="J335" i="9"/>
  <c r="Q335" i="9"/>
  <c r="P335" i="9"/>
  <c r="O335" i="9"/>
  <c r="N335" i="9"/>
  <c r="K335" i="9"/>
  <c r="F334" i="9"/>
  <c r="E334" i="9"/>
  <c r="D334" i="9"/>
  <c r="C334" i="9"/>
  <c r="Q334" i="9"/>
  <c r="P334" i="9"/>
  <c r="O334" i="9"/>
  <c r="N334" i="9"/>
  <c r="M334" i="9"/>
  <c r="L334" i="9"/>
  <c r="K334" i="9"/>
  <c r="J334" i="9"/>
  <c r="J333" i="9"/>
  <c r="K333" i="9"/>
  <c r="P333" i="9"/>
  <c r="L333" i="9"/>
  <c r="M333" i="9"/>
  <c r="N333" i="9"/>
  <c r="D333" i="9"/>
  <c r="Q333" i="9"/>
  <c r="E333" i="9"/>
  <c r="F333" i="9"/>
  <c r="O333" i="9"/>
  <c r="C333" i="9"/>
  <c r="M332" i="9"/>
  <c r="N332" i="9"/>
  <c r="O332" i="9"/>
  <c r="P332" i="9"/>
  <c r="Q332" i="9"/>
  <c r="L332" i="9"/>
  <c r="K332" i="9"/>
  <c r="J332" i="9"/>
  <c r="F332" i="9"/>
  <c r="E332" i="9"/>
  <c r="D332" i="9"/>
  <c r="C332" i="9"/>
  <c r="C331" i="9"/>
  <c r="Q331" i="9"/>
  <c r="L331" i="9"/>
  <c r="K331" i="9"/>
  <c r="J331" i="9"/>
  <c r="F331" i="9"/>
  <c r="E331" i="9"/>
  <c r="D331" i="9"/>
  <c r="P331" i="9"/>
  <c r="O331" i="9"/>
  <c r="N331" i="9"/>
  <c r="M331" i="9"/>
  <c r="Q330" i="9"/>
  <c r="O330" i="9"/>
  <c r="N330" i="9"/>
  <c r="M330" i="9"/>
  <c r="L330" i="9"/>
  <c r="K330" i="9"/>
  <c r="J330" i="9"/>
  <c r="F330" i="9"/>
  <c r="E330" i="9"/>
  <c r="D330" i="9"/>
  <c r="C330" i="9"/>
  <c r="P330" i="9"/>
  <c r="C329" i="9"/>
  <c r="D329" i="9"/>
  <c r="E329" i="9"/>
  <c r="M329" i="9"/>
  <c r="F329" i="9"/>
  <c r="J329" i="9"/>
  <c r="L329" i="9"/>
  <c r="N329" i="9"/>
  <c r="O329" i="9"/>
  <c r="P329" i="9"/>
  <c r="Q329" i="9"/>
  <c r="K329" i="9"/>
  <c r="P328" i="9"/>
  <c r="Q328" i="9"/>
  <c r="J328" i="9"/>
  <c r="F328" i="9"/>
  <c r="E328" i="9"/>
  <c r="D328" i="9"/>
  <c r="C328" i="9"/>
  <c r="L328" i="9"/>
  <c r="K328" i="9"/>
  <c r="M328" i="9"/>
  <c r="N328" i="9"/>
  <c r="O328" i="9"/>
  <c r="L327" i="9"/>
  <c r="M327" i="9"/>
  <c r="N327" i="9"/>
  <c r="O327" i="9"/>
  <c r="P327" i="9"/>
  <c r="Q327" i="9"/>
  <c r="D327" i="9"/>
  <c r="C327" i="9"/>
  <c r="E327" i="9"/>
  <c r="F327" i="9"/>
  <c r="J327" i="9"/>
  <c r="K327" i="9"/>
  <c r="C326" i="9"/>
  <c r="N326" i="9"/>
  <c r="O326" i="9"/>
  <c r="P326" i="9"/>
  <c r="Q326" i="9"/>
  <c r="M326" i="9"/>
  <c r="D326" i="9"/>
  <c r="E326" i="9"/>
  <c r="F326" i="9"/>
  <c r="J326" i="9"/>
  <c r="K326" i="9"/>
  <c r="L326" i="9"/>
  <c r="C325" i="9"/>
  <c r="D325" i="9"/>
  <c r="E325" i="9"/>
  <c r="F325" i="9"/>
  <c r="J325" i="9"/>
  <c r="K325" i="9"/>
  <c r="L325" i="9"/>
  <c r="M325" i="9"/>
  <c r="N325" i="9"/>
  <c r="O325" i="9"/>
  <c r="P325" i="9"/>
  <c r="Q325" i="9"/>
  <c r="C324" i="9"/>
  <c r="Q324" i="9"/>
  <c r="F324" i="9"/>
  <c r="E324" i="9"/>
  <c r="O324" i="9"/>
  <c r="N324" i="9"/>
  <c r="D324" i="9"/>
  <c r="P324" i="9"/>
  <c r="M324" i="9"/>
  <c r="L324" i="9"/>
  <c r="K324" i="9"/>
  <c r="J324" i="9"/>
  <c r="J323" i="9"/>
  <c r="F323" i="9"/>
  <c r="E323" i="9"/>
  <c r="D323" i="9"/>
  <c r="C323" i="9"/>
  <c r="Q323" i="9"/>
  <c r="O323" i="9"/>
  <c r="P323" i="9"/>
  <c r="N323" i="9"/>
  <c r="M323" i="9"/>
  <c r="L323" i="9"/>
  <c r="K323" i="9"/>
  <c r="P322" i="9"/>
  <c r="O322" i="9"/>
  <c r="N322" i="9"/>
  <c r="M322" i="9"/>
  <c r="L322" i="9"/>
  <c r="J322" i="9"/>
  <c r="F322" i="9"/>
  <c r="E322" i="9"/>
  <c r="D322" i="9"/>
  <c r="C322" i="9"/>
  <c r="Q322" i="9"/>
  <c r="K322" i="9"/>
  <c r="P321" i="9"/>
  <c r="O321" i="9"/>
  <c r="M321" i="9"/>
  <c r="N321" i="9"/>
  <c r="Q321" i="9"/>
  <c r="L321" i="9"/>
  <c r="K321" i="9"/>
  <c r="J321" i="9"/>
  <c r="F321" i="9"/>
  <c r="E321" i="9"/>
  <c r="D321" i="9"/>
  <c r="C321" i="9"/>
  <c r="O320" i="9"/>
  <c r="N320" i="9"/>
  <c r="M320" i="9"/>
  <c r="L320" i="9"/>
  <c r="K320" i="9"/>
  <c r="J320" i="9"/>
  <c r="F320" i="9"/>
  <c r="E320" i="9"/>
  <c r="D320" i="9"/>
  <c r="P320" i="9"/>
  <c r="Q320" i="9"/>
  <c r="C320" i="9"/>
  <c r="J319" i="9"/>
  <c r="K319" i="9"/>
  <c r="L319" i="9"/>
  <c r="M319" i="9"/>
  <c r="N319" i="9"/>
  <c r="O319" i="9"/>
  <c r="P319" i="9"/>
  <c r="Q319" i="9"/>
  <c r="F319" i="9"/>
  <c r="C319" i="9"/>
  <c r="D319" i="9"/>
  <c r="E319" i="9"/>
  <c r="D318" i="9"/>
  <c r="C318" i="9"/>
  <c r="Q318" i="9"/>
  <c r="P318" i="9"/>
  <c r="O318" i="9"/>
  <c r="N318" i="9"/>
  <c r="M318" i="9"/>
  <c r="L318" i="9"/>
  <c r="K318" i="9"/>
  <c r="J318" i="9"/>
  <c r="F318" i="9"/>
  <c r="E318" i="9"/>
  <c r="M317" i="9"/>
  <c r="Q317" i="9"/>
  <c r="P317" i="9"/>
  <c r="O317" i="9"/>
  <c r="N317" i="9"/>
  <c r="L317" i="9"/>
  <c r="K317" i="9"/>
  <c r="J317" i="9"/>
  <c r="F317" i="9"/>
  <c r="E317" i="9"/>
  <c r="D317" i="9"/>
  <c r="C317" i="9"/>
  <c r="L316" i="9"/>
  <c r="M316" i="9"/>
  <c r="N316" i="9"/>
  <c r="O316" i="9"/>
  <c r="P316" i="9"/>
  <c r="C316" i="9"/>
  <c r="D316" i="9"/>
  <c r="E316" i="9"/>
  <c r="F316" i="9"/>
  <c r="Q316" i="9"/>
  <c r="J316" i="9"/>
  <c r="K316" i="9"/>
  <c r="D315" i="9"/>
  <c r="F315" i="9"/>
  <c r="Q315" i="9"/>
  <c r="P315" i="9"/>
  <c r="O315" i="9"/>
  <c r="N315" i="9"/>
  <c r="M315" i="9"/>
  <c r="L315" i="9"/>
  <c r="K315" i="9"/>
  <c r="J315" i="9"/>
  <c r="C315" i="9"/>
  <c r="E315" i="9"/>
  <c r="P314" i="9"/>
  <c r="Q314" i="9"/>
  <c r="F314" i="9"/>
  <c r="M314" i="9"/>
  <c r="C314" i="9"/>
  <c r="D314" i="9"/>
  <c r="E314" i="9"/>
  <c r="J314" i="9"/>
  <c r="K314" i="9"/>
  <c r="L314" i="9"/>
  <c r="N314" i="9"/>
  <c r="O314" i="9"/>
  <c r="C313" i="9"/>
  <c r="D313" i="9"/>
  <c r="P313" i="9"/>
  <c r="E313" i="9"/>
  <c r="F313" i="9"/>
  <c r="J313" i="9"/>
  <c r="K313" i="9"/>
  <c r="L313" i="9"/>
  <c r="M313" i="9"/>
  <c r="N313" i="9"/>
  <c r="O313" i="9"/>
  <c r="Q313" i="9"/>
  <c r="M312" i="9"/>
  <c r="Q312" i="9"/>
  <c r="F312" i="9"/>
  <c r="P312" i="9"/>
  <c r="O312" i="9"/>
  <c r="N312" i="9"/>
  <c r="L312" i="9"/>
  <c r="K312" i="9"/>
  <c r="J312" i="9"/>
  <c r="E312" i="9"/>
  <c r="D312" i="9"/>
  <c r="C312" i="9"/>
  <c r="C311" i="9"/>
  <c r="F311" i="9"/>
  <c r="O311" i="9"/>
  <c r="D311" i="9"/>
  <c r="E311" i="9"/>
  <c r="Q311" i="9"/>
  <c r="P311" i="9"/>
  <c r="N311" i="9"/>
  <c r="M311" i="9"/>
  <c r="L311" i="9"/>
  <c r="K311" i="9"/>
  <c r="J311" i="9"/>
  <c r="C310" i="9"/>
  <c r="O310" i="9"/>
  <c r="P310" i="9"/>
  <c r="N310" i="9"/>
  <c r="Q310" i="9"/>
  <c r="E310" i="9"/>
  <c r="M310" i="9"/>
  <c r="L310" i="9"/>
  <c r="K310" i="9"/>
  <c r="J310" i="9"/>
  <c r="F310" i="9"/>
  <c r="D310" i="9"/>
  <c r="E309" i="9"/>
  <c r="O309" i="9"/>
  <c r="D309" i="9"/>
  <c r="C309" i="9"/>
  <c r="N309" i="9"/>
  <c r="K309" i="9"/>
  <c r="M309" i="9"/>
  <c r="P309" i="9"/>
  <c r="Q309" i="9"/>
  <c r="J309" i="9"/>
  <c r="L309" i="9"/>
  <c r="F309" i="9"/>
  <c r="L308" i="9"/>
  <c r="N308" i="9"/>
  <c r="O308" i="9"/>
  <c r="P308" i="9"/>
  <c r="Q308" i="9"/>
  <c r="C308" i="9"/>
  <c r="F308" i="9"/>
  <c r="M308" i="9"/>
  <c r="J308" i="9"/>
  <c r="D308" i="9"/>
  <c r="K308" i="9"/>
  <c r="E308" i="9"/>
  <c r="M307" i="9"/>
  <c r="N307" i="9"/>
  <c r="O307" i="9"/>
  <c r="P307" i="9"/>
  <c r="Q307" i="9"/>
  <c r="F307" i="9"/>
  <c r="C307" i="9"/>
  <c r="D307" i="9"/>
  <c r="E307" i="9"/>
  <c r="J307" i="9"/>
  <c r="K307" i="9"/>
  <c r="L307" i="9"/>
  <c r="P306" i="9"/>
  <c r="K306" i="9"/>
  <c r="E306" i="9"/>
  <c r="F306" i="9"/>
  <c r="C306" i="9"/>
  <c r="D306" i="9"/>
  <c r="N306" i="9"/>
  <c r="M306" i="9"/>
  <c r="L306" i="9"/>
  <c r="Q306" i="9"/>
  <c r="J306" i="9"/>
  <c r="O306" i="9"/>
  <c r="Q305" i="9"/>
  <c r="P305" i="9"/>
  <c r="L305" i="9"/>
  <c r="O305" i="9"/>
  <c r="N305" i="9"/>
  <c r="M305" i="9"/>
  <c r="K305" i="9"/>
  <c r="J305" i="9"/>
  <c r="F305" i="9"/>
  <c r="E305" i="9"/>
  <c r="D305" i="9"/>
  <c r="C305" i="9"/>
  <c r="E304" i="9"/>
  <c r="D304" i="9"/>
  <c r="C304" i="9"/>
  <c r="O304" i="9"/>
  <c r="N304" i="9"/>
  <c r="Q304" i="9"/>
  <c r="K304" i="9"/>
  <c r="P304" i="9"/>
  <c r="M304" i="9"/>
  <c r="L304" i="9"/>
  <c r="J304" i="9"/>
  <c r="F304" i="9"/>
  <c r="M303" i="9"/>
  <c r="L303" i="9"/>
  <c r="K303" i="9"/>
  <c r="J303" i="9"/>
  <c r="D303" i="9"/>
  <c r="Q303" i="9"/>
  <c r="O303" i="9"/>
  <c r="N303" i="9"/>
  <c r="C303" i="9"/>
  <c r="E303" i="9"/>
  <c r="F303" i="9"/>
  <c r="P303" i="9"/>
  <c r="L302" i="9"/>
  <c r="N302" i="9"/>
  <c r="O302" i="9"/>
  <c r="D302" i="9"/>
  <c r="P302" i="9"/>
  <c r="Q302" i="9"/>
  <c r="E302" i="9"/>
  <c r="F302" i="9"/>
  <c r="J302" i="9"/>
  <c r="C302" i="9"/>
  <c r="M302" i="9"/>
  <c r="K302" i="9"/>
  <c r="K301" i="9"/>
  <c r="J301" i="9"/>
  <c r="F301" i="9"/>
  <c r="E301" i="9"/>
  <c r="D301" i="9"/>
  <c r="C301" i="9"/>
  <c r="O301" i="9"/>
  <c r="Q301" i="9"/>
  <c r="P301" i="9"/>
  <c r="N301" i="9"/>
  <c r="M301" i="9"/>
  <c r="L301" i="9"/>
  <c r="M300" i="9"/>
  <c r="Q300" i="9"/>
  <c r="P300" i="9"/>
  <c r="O300" i="9"/>
  <c r="N300" i="9"/>
  <c r="L300" i="9"/>
  <c r="K300" i="9"/>
  <c r="J300" i="9"/>
  <c r="F300" i="9"/>
  <c r="E300" i="9"/>
  <c r="D300" i="9"/>
  <c r="C300" i="9"/>
  <c r="L299" i="9"/>
  <c r="O299" i="9"/>
  <c r="M299" i="9"/>
  <c r="C299" i="9"/>
  <c r="D299" i="9"/>
  <c r="E299" i="9"/>
  <c r="F299" i="9"/>
  <c r="P299" i="9"/>
  <c r="J299" i="9"/>
  <c r="N299" i="9"/>
  <c r="K299" i="9"/>
  <c r="Q299" i="9"/>
  <c r="C298" i="9"/>
  <c r="E298" i="9"/>
  <c r="F298" i="9"/>
  <c r="K298" i="9"/>
  <c r="L298" i="9"/>
  <c r="M298" i="9"/>
  <c r="J298" i="9"/>
  <c r="D298" i="9"/>
  <c r="P298" i="9"/>
  <c r="Q298" i="9"/>
  <c r="O298" i="9"/>
  <c r="N298" i="9"/>
  <c r="K297" i="9"/>
  <c r="J297" i="9"/>
  <c r="P297" i="9"/>
  <c r="F297" i="9"/>
  <c r="O297" i="9"/>
  <c r="N297" i="9"/>
  <c r="Q297" i="9"/>
  <c r="M297" i="9"/>
  <c r="L297" i="9"/>
  <c r="C297" i="9"/>
  <c r="D297" i="9"/>
  <c r="E297" i="9"/>
  <c r="L296" i="9"/>
  <c r="C296" i="9"/>
  <c r="E296" i="9"/>
  <c r="F296" i="9"/>
  <c r="J296" i="9"/>
  <c r="K296" i="9"/>
  <c r="N296" i="9"/>
  <c r="O296" i="9"/>
  <c r="P296" i="9"/>
  <c r="Q296" i="9"/>
  <c r="D296" i="9"/>
  <c r="M296" i="9"/>
  <c r="E295" i="9"/>
  <c r="F295" i="9"/>
  <c r="J295" i="9"/>
  <c r="K295" i="9"/>
  <c r="L295" i="9"/>
  <c r="M295" i="9"/>
  <c r="N295" i="9"/>
  <c r="O295" i="9"/>
  <c r="P295" i="9"/>
  <c r="Q295" i="9"/>
  <c r="C295" i="9"/>
  <c r="D295" i="9"/>
  <c r="M294" i="9"/>
  <c r="Q294" i="9"/>
  <c r="P294" i="9"/>
  <c r="O294" i="9"/>
  <c r="D294" i="9"/>
  <c r="N294" i="9"/>
  <c r="F294" i="9"/>
  <c r="L294" i="9"/>
  <c r="K294" i="9"/>
  <c r="J294" i="9"/>
  <c r="C294" i="9"/>
  <c r="E294" i="9"/>
  <c r="N293" i="9"/>
  <c r="P293" i="9"/>
  <c r="C293" i="9"/>
  <c r="Q293" i="9"/>
  <c r="O293" i="9"/>
  <c r="M293" i="9"/>
  <c r="L293" i="9"/>
  <c r="K293" i="9"/>
  <c r="J293" i="9"/>
  <c r="F293" i="9"/>
  <c r="E293" i="9"/>
  <c r="D293" i="9"/>
  <c r="Q292" i="9"/>
  <c r="P292" i="9"/>
  <c r="O292" i="9"/>
  <c r="N292" i="9"/>
  <c r="M292" i="9"/>
  <c r="L292" i="9"/>
  <c r="K292" i="9"/>
  <c r="J292" i="9"/>
  <c r="F292" i="9"/>
  <c r="E292" i="9"/>
  <c r="D292" i="9"/>
  <c r="C292" i="9"/>
  <c r="Q291" i="9"/>
  <c r="P291" i="9"/>
  <c r="O291" i="9"/>
  <c r="N291" i="9"/>
  <c r="M291" i="9"/>
  <c r="L291" i="9"/>
  <c r="K291" i="9"/>
  <c r="J291" i="9"/>
  <c r="F291" i="9"/>
  <c r="E291" i="9"/>
  <c r="D291" i="9"/>
  <c r="C291" i="9"/>
  <c r="F290" i="9"/>
  <c r="J290" i="9"/>
  <c r="K290" i="9"/>
  <c r="L290" i="9"/>
  <c r="M290" i="9"/>
  <c r="N290" i="9"/>
  <c r="O290" i="9"/>
  <c r="P290" i="9"/>
  <c r="C290" i="9"/>
  <c r="D290" i="9"/>
  <c r="E290" i="9"/>
  <c r="Q290" i="9"/>
  <c r="E289" i="9"/>
  <c r="F289" i="9"/>
  <c r="J289" i="9"/>
  <c r="K289" i="9"/>
  <c r="L289" i="9"/>
  <c r="M289" i="9"/>
  <c r="N289" i="9"/>
  <c r="O289" i="9"/>
  <c r="P289" i="9"/>
  <c r="Q289" i="9"/>
  <c r="C289" i="9"/>
  <c r="D289" i="9"/>
  <c r="K288" i="9"/>
  <c r="Q288" i="9"/>
  <c r="C288" i="9"/>
  <c r="D288" i="9"/>
  <c r="E288" i="9"/>
  <c r="F288" i="9"/>
  <c r="J288" i="9"/>
  <c r="L288" i="9"/>
  <c r="M288" i="9"/>
  <c r="N288" i="9"/>
  <c r="O288" i="9"/>
  <c r="P288" i="9"/>
  <c r="O287" i="9"/>
  <c r="N287" i="9"/>
  <c r="M287" i="9"/>
  <c r="L287" i="9"/>
  <c r="D287" i="9"/>
  <c r="J287" i="9"/>
  <c r="F287" i="9"/>
  <c r="E287" i="9"/>
  <c r="C287" i="9"/>
  <c r="Q287" i="9"/>
  <c r="P287" i="9"/>
  <c r="K287" i="9"/>
  <c r="L286" i="9"/>
  <c r="J286" i="9"/>
  <c r="K286" i="9"/>
  <c r="F286" i="9"/>
  <c r="Q286" i="9"/>
  <c r="M286" i="9"/>
  <c r="N286" i="9"/>
  <c r="O286" i="9"/>
  <c r="P286" i="9"/>
  <c r="E286" i="9"/>
  <c r="D286" i="9"/>
  <c r="C286" i="9"/>
  <c r="L285" i="9"/>
  <c r="Q285" i="9"/>
  <c r="P285" i="9"/>
  <c r="F285" i="9"/>
  <c r="E285" i="9"/>
  <c r="J285" i="9"/>
  <c r="K285" i="9"/>
  <c r="D285" i="9"/>
  <c r="C285" i="9"/>
  <c r="M285" i="9"/>
  <c r="N285" i="9"/>
  <c r="O285" i="9"/>
  <c r="C284" i="9"/>
  <c r="D284" i="9"/>
  <c r="E284" i="9"/>
  <c r="F284" i="9"/>
  <c r="Q284" i="9"/>
  <c r="P284" i="9"/>
  <c r="O284" i="9"/>
  <c r="N284" i="9"/>
  <c r="M284" i="9"/>
  <c r="L284" i="9"/>
  <c r="K284" i="9"/>
  <c r="J284" i="9"/>
  <c r="O283" i="9"/>
  <c r="N283" i="9"/>
  <c r="L283" i="9"/>
  <c r="K283" i="9"/>
  <c r="J283" i="9"/>
  <c r="F283" i="9"/>
  <c r="E283" i="9"/>
  <c r="D283" i="9"/>
  <c r="C283" i="9"/>
  <c r="M283" i="9"/>
  <c r="Q283" i="9"/>
  <c r="P283" i="9"/>
  <c r="P282" i="9"/>
  <c r="Q282" i="9"/>
  <c r="E282" i="9"/>
  <c r="D282" i="9"/>
  <c r="C282" i="9"/>
  <c r="F282" i="9"/>
  <c r="J282" i="9"/>
  <c r="K282" i="9"/>
  <c r="L282" i="9"/>
  <c r="M282" i="9"/>
  <c r="N282" i="9"/>
  <c r="O282" i="9"/>
  <c r="J281" i="9"/>
  <c r="Q281" i="9"/>
  <c r="P281" i="9"/>
  <c r="O281" i="9"/>
  <c r="N281" i="9"/>
  <c r="M281" i="9"/>
  <c r="L281" i="9"/>
  <c r="K281" i="9"/>
  <c r="F281" i="9"/>
  <c r="E281" i="9"/>
  <c r="D281" i="9"/>
  <c r="C281" i="9"/>
  <c r="K280" i="9"/>
  <c r="J280" i="9"/>
  <c r="F280" i="9"/>
  <c r="E280" i="9"/>
  <c r="D280" i="9"/>
  <c r="C280" i="9"/>
  <c r="Q280" i="9"/>
  <c r="P280" i="9"/>
  <c r="O280" i="9"/>
  <c r="N280" i="9"/>
  <c r="M280" i="9"/>
  <c r="L280" i="9"/>
  <c r="D279" i="9"/>
  <c r="C279" i="9"/>
  <c r="M279" i="9"/>
  <c r="N279" i="9"/>
  <c r="O279" i="9"/>
  <c r="L279" i="9"/>
  <c r="P279" i="9"/>
  <c r="Q279" i="9"/>
  <c r="K279" i="9"/>
  <c r="J279" i="9"/>
  <c r="F279" i="9"/>
  <c r="E279" i="9"/>
  <c r="Q278" i="9"/>
  <c r="P278" i="9"/>
  <c r="O278" i="9"/>
  <c r="N278" i="9"/>
  <c r="M278" i="9"/>
  <c r="L278" i="9"/>
  <c r="K278" i="9"/>
  <c r="J278" i="9"/>
  <c r="F278" i="9"/>
  <c r="E278" i="9"/>
  <c r="D278" i="9"/>
  <c r="C278" i="9"/>
  <c r="C277" i="9"/>
  <c r="Q277" i="9"/>
  <c r="P277" i="9"/>
  <c r="O277" i="9"/>
  <c r="N277" i="9"/>
  <c r="M277" i="9"/>
  <c r="L277" i="9"/>
  <c r="K277" i="9"/>
  <c r="J277" i="9"/>
  <c r="F277" i="9"/>
  <c r="E277" i="9"/>
  <c r="D277" i="9"/>
  <c r="C276" i="9"/>
  <c r="P276" i="9"/>
  <c r="D276" i="9"/>
  <c r="E276" i="9"/>
  <c r="F276" i="9"/>
  <c r="J276" i="9"/>
  <c r="K276" i="9"/>
  <c r="L276" i="9"/>
  <c r="M276" i="9"/>
  <c r="N276" i="9"/>
  <c r="O276" i="9"/>
  <c r="Q276" i="9"/>
  <c r="C275" i="9"/>
  <c r="D275" i="9"/>
  <c r="E275" i="9"/>
  <c r="F275" i="9"/>
  <c r="J275" i="9"/>
  <c r="K275" i="9"/>
  <c r="L275" i="9"/>
  <c r="M275" i="9"/>
  <c r="Q275" i="9"/>
  <c r="N275" i="9"/>
  <c r="O275" i="9"/>
  <c r="P275" i="9"/>
  <c r="C274" i="9"/>
  <c r="D274" i="9"/>
  <c r="E274" i="9"/>
  <c r="F274" i="9"/>
  <c r="J274" i="9"/>
  <c r="K274" i="9"/>
  <c r="L274" i="9"/>
  <c r="M274" i="9"/>
  <c r="N274" i="9"/>
  <c r="P274" i="9"/>
  <c r="Q274" i="9"/>
  <c r="O274" i="9"/>
  <c r="P273" i="9"/>
  <c r="Q273" i="9"/>
  <c r="D273" i="9"/>
  <c r="E273" i="9"/>
  <c r="F273" i="9"/>
  <c r="C273" i="9"/>
  <c r="K273" i="9"/>
  <c r="L273" i="9"/>
  <c r="M273" i="9"/>
  <c r="N273" i="9"/>
  <c r="O273" i="9"/>
  <c r="J273" i="9"/>
  <c r="C272" i="9"/>
  <c r="E272" i="9"/>
  <c r="F272" i="9"/>
  <c r="J272" i="9"/>
  <c r="K272" i="9"/>
  <c r="L272" i="9"/>
  <c r="M272" i="9"/>
  <c r="N272" i="9"/>
  <c r="O272" i="9"/>
  <c r="D272" i="9"/>
  <c r="P272" i="9"/>
  <c r="Q272" i="9"/>
  <c r="Q271" i="9"/>
  <c r="P271" i="9"/>
  <c r="O271" i="9"/>
  <c r="N271" i="9"/>
  <c r="M271" i="9"/>
  <c r="L271" i="9"/>
  <c r="K271" i="9"/>
  <c r="J271" i="9"/>
  <c r="F271" i="9"/>
  <c r="E271" i="9"/>
  <c r="D271" i="9"/>
  <c r="C271" i="9"/>
  <c r="Q270" i="9"/>
  <c r="P270" i="9"/>
  <c r="O270" i="9"/>
  <c r="N270" i="9"/>
  <c r="M270" i="9"/>
  <c r="F270" i="9"/>
  <c r="E270" i="9"/>
  <c r="D270" i="9"/>
  <c r="C270" i="9"/>
  <c r="K270" i="9"/>
  <c r="J270" i="9"/>
  <c r="L270" i="9"/>
  <c r="Q269" i="9"/>
  <c r="P269" i="9"/>
  <c r="O269" i="9"/>
  <c r="N269" i="9"/>
  <c r="M269" i="9"/>
  <c r="L269" i="9"/>
  <c r="K269" i="9"/>
  <c r="J269" i="9"/>
  <c r="F269" i="9"/>
  <c r="E269" i="9"/>
  <c r="D269" i="9"/>
  <c r="C269" i="9"/>
  <c r="P268" i="9"/>
  <c r="C268" i="9"/>
  <c r="D268" i="9"/>
  <c r="E268" i="9"/>
  <c r="F268" i="9"/>
  <c r="Q268" i="9"/>
  <c r="J268" i="9"/>
  <c r="O268" i="9"/>
  <c r="K268" i="9"/>
  <c r="L268" i="9"/>
  <c r="M268" i="9"/>
  <c r="N268" i="9"/>
  <c r="O267" i="9"/>
  <c r="Q267" i="9"/>
  <c r="N267" i="9"/>
  <c r="M267" i="9"/>
  <c r="L267" i="9"/>
  <c r="K267" i="9"/>
  <c r="J267" i="9"/>
  <c r="F267" i="9"/>
  <c r="E267" i="9"/>
  <c r="D267" i="9"/>
  <c r="C267" i="9"/>
  <c r="P267" i="9"/>
  <c r="O266" i="9"/>
  <c r="N266" i="9"/>
  <c r="M266" i="9"/>
  <c r="L266" i="9"/>
  <c r="K266" i="9"/>
  <c r="J266" i="9"/>
  <c r="Q266" i="9"/>
  <c r="F266" i="9"/>
  <c r="E266" i="9"/>
  <c r="D266" i="9"/>
  <c r="C266" i="9"/>
  <c r="P266" i="9"/>
  <c r="P265" i="9"/>
  <c r="N265" i="9"/>
  <c r="M265" i="9"/>
  <c r="L265" i="9"/>
  <c r="K265" i="9"/>
  <c r="J265" i="9"/>
  <c r="O265" i="9"/>
  <c r="F265" i="9"/>
  <c r="E265" i="9"/>
  <c r="D265" i="9"/>
  <c r="Q265" i="9"/>
  <c r="C265" i="9"/>
  <c r="C264" i="9"/>
  <c r="D264" i="9"/>
  <c r="E264" i="9"/>
  <c r="F264" i="9"/>
  <c r="J264" i="9"/>
  <c r="K264" i="9"/>
  <c r="L264" i="9"/>
  <c r="N264" i="9"/>
  <c r="O264" i="9"/>
  <c r="P264" i="9"/>
  <c r="Q264" i="9"/>
  <c r="M264" i="9"/>
  <c r="K263" i="9"/>
  <c r="C263" i="9"/>
  <c r="D263" i="9"/>
  <c r="O263" i="9"/>
  <c r="E263" i="9"/>
  <c r="F263" i="9"/>
  <c r="J263" i="9"/>
  <c r="L263" i="9"/>
  <c r="M263" i="9"/>
  <c r="N263" i="9"/>
  <c r="P263" i="9"/>
  <c r="Q263" i="9"/>
  <c r="F262" i="9"/>
  <c r="Q262" i="9"/>
  <c r="C262" i="9"/>
  <c r="D262" i="9"/>
  <c r="E262" i="9"/>
  <c r="J262" i="9"/>
  <c r="K262" i="9"/>
  <c r="L262" i="9"/>
  <c r="M262" i="9"/>
  <c r="N262" i="9"/>
  <c r="O262" i="9"/>
  <c r="P262" i="9"/>
  <c r="O261" i="9"/>
  <c r="J261" i="9"/>
  <c r="P261" i="9"/>
  <c r="M261" i="9"/>
  <c r="K261" i="9"/>
  <c r="N261" i="9"/>
  <c r="Q261" i="9"/>
  <c r="F261" i="9"/>
  <c r="E261" i="9"/>
  <c r="D261" i="9"/>
  <c r="C261" i="9"/>
  <c r="L261" i="9"/>
  <c r="Q260" i="9"/>
  <c r="O260" i="9"/>
  <c r="N260" i="9"/>
  <c r="M260" i="9"/>
  <c r="L260" i="9"/>
  <c r="K260" i="9"/>
  <c r="P260" i="9"/>
  <c r="F260" i="9"/>
  <c r="E260" i="9"/>
  <c r="D260" i="9"/>
  <c r="C260" i="9"/>
  <c r="J260" i="9"/>
  <c r="Q259" i="9"/>
  <c r="C259" i="9"/>
  <c r="D259" i="9"/>
  <c r="E259" i="9"/>
  <c r="F259" i="9"/>
  <c r="J259" i="9"/>
  <c r="K259" i="9"/>
  <c r="L259" i="9"/>
  <c r="M259" i="9"/>
  <c r="N259" i="9"/>
  <c r="O259" i="9"/>
  <c r="P259" i="9"/>
  <c r="L258" i="9"/>
  <c r="Q258" i="9"/>
  <c r="P258" i="9"/>
  <c r="O258" i="9"/>
  <c r="N258" i="9"/>
  <c r="M258" i="9"/>
  <c r="D258" i="9"/>
  <c r="K258" i="9"/>
  <c r="J258" i="9"/>
  <c r="F258" i="9"/>
  <c r="E258" i="9"/>
  <c r="C258" i="9"/>
  <c r="C257" i="9"/>
  <c r="Q257" i="9"/>
  <c r="P257" i="9"/>
  <c r="O257" i="9"/>
  <c r="N257" i="9"/>
  <c r="M257" i="9"/>
  <c r="L257" i="9"/>
  <c r="K257" i="9"/>
  <c r="J257" i="9"/>
  <c r="F257" i="9"/>
  <c r="E257" i="9"/>
  <c r="D257" i="9"/>
  <c r="D256" i="9"/>
  <c r="P256" i="9"/>
  <c r="O256" i="9"/>
  <c r="N256" i="9"/>
  <c r="M256" i="9"/>
  <c r="L256" i="9"/>
  <c r="K256" i="9"/>
  <c r="J256" i="9"/>
  <c r="F256" i="9"/>
  <c r="E256" i="9"/>
  <c r="Q256" i="9"/>
  <c r="C256" i="9"/>
  <c r="F255" i="9"/>
  <c r="Q255" i="9"/>
  <c r="P255" i="9"/>
  <c r="O255" i="9"/>
  <c r="N255" i="9"/>
  <c r="M255" i="9"/>
  <c r="L255" i="9"/>
  <c r="K255" i="9"/>
  <c r="J255" i="9"/>
  <c r="E255" i="9"/>
  <c r="D255" i="9"/>
  <c r="C255" i="9"/>
  <c r="F254" i="9"/>
  <c r="C254" i="9"/>
  <c r="D254" i="9"/>
  <c r="E254" i="9"/>
  <c r="Q254" i="9"/>
  <c r="P254" i="9"/>
  <c r="O254" i="9"/>
  <c r="M254" i="9"/>
  <c r="L254" i="9"/>
  <c r="K254" i="9"/>
  <c r="N254" i="9"/>
  <c r="J254" i="9"/>
  <c r="J253" i="9"/>
  <c r="F253" i="9"/>
  <c r="E253" i="9"/>
  <c r="D253" i="9"/>
  <c r="C253" i="9"/>
  <c r="P253" i="9"/>
  <c r="M253" i="9"/>
  <c r="N253" i="9"/>
  <c r="O253" i="9"/>
  <c r="Q253" i="9"/>
  <c r="K253" i="9"/>
  <c r="L253" i="9"/>
  <c r="Q252" i="9"/>
  <c r="P252" i="9"/>
  <c r="O252" i="9"/>
  <c r="N252" i="9"/>
  <c r="M252" i="9"/>
  <c r="L252" i="9"/>
  <c r="K252" i="9"/>
  <c r="F252" i="9"/>
  <c r="E252" i="9"/>
  <c r="D252" i="9"/>
  <c r="C252" i="9"/>
  <c r="J252" i="9"/>
  <c r="K251" i="9"/>
  <c r="Q251" i="9"/>
  <c r="J251" i="9"/>
  <c r="F251" i="9"/>
  <c r="E251" i="9"/>
  <c r="D251" i="9"/>
  <c r="C251" i="9"/>
  <c r="N251" i="9"/>
  <c r="O251" i="9"/>
  <c r="M251" i="9"/>
  <c r="L251" i="9"/>
  <c r="P251" i="9"/>
  <c r="K250" i="9"/>
  <c r="E250" i="9"/>
  <c r="Q250" i="9"/>
  <c r="P250" i="9"/>
  <c r="O250" i="9"/>
  <c r="N250" i="9"/>
  <c r="M250" i="9"/>
  <c r="L250" i="9"/>
  <c r="J250" i="9"/>
  <c r="F250" i="9"/>
  <c r="D250" i="9"/>
  <c r="C250" i="9"/>
  <c r="K249" i="9"/>
  <c r="F249" i="9"/>
  <c r="D249" i="9"/>
  <c r="C249" i="9"/>
  <c r="J249" i="9"/>
  <c r="L249" i="9"/>
  <c r="M249" i="9"/>
  <c r="N249" i="9"/>
  <c r="Q249" i="9"/>
  <c r="E249" i="9"/>
  <c r="P249" i="9"/>
  <c r="O249" i="9"/>
  <c r="Q248" i="9"/>
  <c r="J248" i="9"/>
  <c r="O248" i="9"/>
  <c r="N248" i="9"/>
  <c r="M248" i="9"/>
  <c r="L248" i="9"/>
  <c r="K248" i="9"/>
  <c r="P248" i="9"/>
  <c r="E248" i="9"/>
  <c r="F248" i="9"/>
  <c r="D248" i="9"/>
  <c r="C248" i="9"/>
  <c r="C247" i="9"/>
  <c r="J247" i="9"/>
  <c r="M247" i="9"/>
  <c r="Q247" i="9"/>
  <c r="P247" i="9"/>
  <c r="O247" i="9"/>
  <c r="N247" i="9"/>
  <c r="K247" i="9"/>
  <c r="L247" i="9"/>
  <c r="F247" i="9"/>
  <c r="E247" i="9"/>
  <c r="D247" i="9"/>
  <c r="J246" i="9"/>
  <c r="F246" i="9"/>
  <c r="E246" i="9"/>
  <c r="D246" i="9"/>
  <c r="C246" i="9"/>
  <c r="Q246" i="9"/>
  <c r="M246" i="9"/>
  <c r="K246" i="9"/>
  <c r="L246" i="9"/>
  <c r="O246" i="9"/>
  <c r="P246" i="9"/>
  <c r="N246" i="9"/>
  <c r="Q245" i="9"/>
  <c r="F245" i="9"/>
  <c r="E245" i="9"/>
  <c r="D245" i="9"/>
  <c r="C245" i="9"/>
  <c r="P245" i="9"/>
  <c r="O245" i="9"/>
  <c r="N245" i="9"/>
  <c r="M245" i="9"/>
  <c r="L245" i="9"/>
  <c r="K245" i="9"/>
  <c r="J245" i="9"/>
  <c r="J244" i="9"/>
  <c r="K244" i="9"/>
  <c r="M244" i="9"/>
  <c r="N244" i="9"/>
  <c r="O244" i="9"/>
  <c r="P244" i="9"/>
  <c r="L244" i="9"/>
  <c r="Q244" i="9"/>
  <c r="C244" i="9"/>
  <c r="D244" i="9"/>
  <c r="E244" i="9"/>
  <c r="F244" i="9"/>
  <c r="K243" i="9"/>
  <c r="J243" i="9"/>
  <c r="F243" i="9"/>
  <c r="E243" i="9"/>
  <c r="D243" i="9"/>
  <c r="C243" i="9"/>
  <c r="L243" i="9"/>
  <c r="M243" i="9"/>
  <c r="N243" i="9"/>
  <c r="O243" i="9"/>
  <c r="P243" i="9"/>
  <c r="Q243" i="9"/>
  <c r="Q242" i="9"/>
  <c r="P242" i="9"/>
  <c r="O242" i="9"/>
  <c r="N242" i="9"/>
  <c r="M242" i="9"/>
  <c r="L242" i="9"/>
  <c r="J242" i="9"/>
  <c r="F242" i="9"/>
  <c r="E242" i="9"/>
  <c r="D242" i="9"/>
  <c r="C242" i="9"/>
  <c r="K242" i="9"/>
  <c r="P241" i="9"/>
  <c r="O241" i="9"/>
  <c r="N241" i="9"/>
  <c r="M241" i="9"/>
  <c r="L241" i="9"/>
  <c r="K241" i="9"/>
  <c r="J241" i="9"/>
  <c r="Q241" i="9"/>
  <c r="F241" i="9"/>
  <c r="E241" i="9"/>
  <c r="D241" i="9"/>
  <c r="C241" i="9"/>
  <c r="Q240" i="9"/>
  <c r="J240" i="9"/>
  <c r="F240" i="9"/>
  <c r="E240" i="9"/>
  <c r="D240" i="9"/>
  <c r="C240" i="9"/>
  <c r="P240" i="9"/>
  <c r="O240" i="9"/>
  <c r="N240" i="9"/>
  <c r="M240" i="9"/>
  <c r="L240" i="9"/>
  <c r="K240" i="9"/>
  <c r="K239" i="9"/>
  <c r="J239" i="9"/>
  <c r="F239" i="9"/>
  <c r="E239" i="9"/>
  <c r="D239" i="9"/>
  <c r="C239" i="9"/>
  <c r="O239" i="9"/>
  <c r="M239" i="9"/>
  <c r="N239" i="9"/>
  <c r="P239" i="9"/>
  <c r="Q239" i="9"/>
  <c r="L239" i="9"/>
  <c r="C238" i="9"/>
  <c r="E238" i="9"/>
  <c r="F238" i="9"/>
  <c r="J238" i="9"/>
  <c r="D238" i="9"/>
  <c r="K238" i="9"/>
  <c r="L238" i="9"/>
  <c r="M238" i="9"/>
  <c r="N238" i="9"/>
  <c r="O238" i="9"/>
  <c r="P238" i="9"/>
  <c r="Q238" i="9"/>
  <c r="P237" i="9"/>
  <c r="J237" i="9"/>
  <c r="Q237" i="9"/>
  <c r="F237" i="9"/>
  <c r="E237" i="9"/>
  <c r="D237" i="9"/>
  <c r="O237" i="9"/>
  <c r="C237" i="9"/>
  <c r="N237" i="9"/>
  <c r="M237" i="9"/>
  <c r="L237" i="9"/>
  <c r="K237" i="9"/>
  <c r="K236" i="9"/>
  <c r="J236" i="9"/>
  <c r="F236" i="9"/>
  <c r="E236" i="9"/>
  <c r="D236" i="9"/>
  <c r="C236" i="9"/>
  <c r="Q236" i="9"/>
  <c r="P236" i="9"/>
  <c r="O236" i="9"/>
  <c r="N236" i="9"/>
  <c r="M236" i="9"/>
  <c r="L236" i="9"/>
  <c r="C235" i="9"/>
  <c r="E235" i="9"/>
  <c r="J235" i="9"/>
  <c r="K235" i="9"/>
  <c r="D235" i="9"/>
  <c r="L235" i="9"/>
  <c r="M235" i="9"/>
  <c r="N235" i="9"/>
  <c r="O235" i="9"/>
  <c r="Q235" i="9"/>
  <c r="F235" i="9"/>
  <c r="P235" i="9"/>
  <c r="L234" i="9"/>
  <c r="K234" i="9"/>
  <c r="J234" i="9"/>
  <c r="F234" i="9"/>
  <c r="E234" i="9"/>
  <c r="C234" i="9"/>
  <c r="D234" i="9"/>
  <c r="Q234" i="9"/>
  <c r="P234" i="9"/>
  <c r="O234" i="9"/>
  <c r="N234" i="9"/>
  <c r="M234" i="9"/>
  <c r="Q233" i="9"/>
  <c r="P233" i="9"/>
  <c r="O233" i="9"/>
  <c r="N233" i="9"/>
  <c r="M233" i="9"/>
  <c r="L233" i="9"/>
  <c r="C233" i="9"/>
  <c r="D233" i="9"/>
  <c r="E233" i="9"/>
  <c r="F233" i="9"/>
  <c r="J233" i="9"/>
  <c r="K233" i="9"/>
  <c r="E232" i="9"/>
  <c r="D232" i="9"/>
  <c r="C232" i="9"/>
  <c r="O232" i="9"/>
  <c r="N232" i="9"/>
  <c r="P232" i="9"/>
  <c r="Q232" i="9"/>
  <c r="L232" i="9"/>
  <c r="K232" i="9"/>
  <c r="M232" i="9"/>
  <c r="J232" i="9"/>
  <c r="F232" i="9"/>
  <c r="K231" i="9"/>
  <c r="J231" i="9"/>
  <c r="Q231" i="9"/>
  <c r="F231" i="9"/>
  <c r="E231" i="9"/>
  <c r="D231" i="9"/>
  <c r="C231" i="9"/>
  <c r="P231" i="9"/>
  <c r="O231" i="9"/>
  <c r="N231" i="9"/>
  <c r="M231" i="9"/>
  <c r="L231" i="9"/>
  <c r="L230" i="9"/>
  <c r="Q230" i="9"/>
  <c r="J230" i="9"/>
  <c r="C230" i="9"/>
  <c r="F230" i="9"/>
  <c r="E230" i="9"/>
  <c r="D230" i="9"/>
  <c r="P230" i="9"/>
  <c r="O230" i="9"/>
  <c r="N230" i="9"/>
  <c r="M230" i="9"/>
  <c r="K230" i="9"/>
  <c r="K229" i="9"/>
  <c r="L229" i="9"/>
  <c r="M229" i="9"/>
  <c r="N229" i="9"/>
  <c r="O229" i="9"/>
  <c r="P229" i="9"/>
  <c r="Q229" i="9"/>
  <c r="C229" i="9"/>
  <c r="D229" i="9"/>
  <c r="E229" i="9"/>
  <c r="F229" i="9"/>
  <c r="J229" i="9"/>
  <c r="C228" i="9"/>
  <c r="D228" i="9"/>
  <c r="E228" i="9"/>
  <c r="F228" i="9"/>
  <c r="J228" i="9"/>
  <c r="K228" i="9"/>
  <c r="L228" i="9"/>
  <c r="M228" i="9"/>
  <c r="N228" i="9"/>
  <c r="O228" i="9"/>
  <c r="P228" i="9"/>
  <c r="Q228" i="9"/>
  <c r="M227" i="9"/>
  <c r="L227" i="9"/>
  <c r="K227" i="9"/>
  <c r="J227" i="9"/>
  <c r="F227" i="9"/>
  <c r="E227" i="9"/>
  <c r="D227" i="9"/>
  <c r="C227" i="9"/>
  <c r="Q227" i="9"/>
  <c r="P227" i="9"/>
  <c r="N227" i="9"/>
  <c r="O227" i="9"/>
  <c r="Q226" i="9"/>
  <c r="P226" i="9"/>
  <c r="O226" i="9"/>
  <c r="N226" i="9"/>
  <c r="M226" i="9"/>
  <c r="J226" i="9"/>
  <c r="F226" i="9"/>
  <c r="E226" i="9"/>
  <c r="D226" i="9"/>
  <c r="C226" i="9"/>
  <c r="L226" i="9"/>
  <c r="K226" i="9"/>
  <c r="Q225" i="9"/>
  <c r="P225" i="9"/>
  <c r="O225" i="9"/>
  <c r="N225" i="9"/>
  <c r="M225" i="9"/>
  <c r="L225" i="9"/>
  <c r="K225" i="9"/>
  <c r="J225" i="9"/>
  <c r="F225" i="9"/>
  <c r="E225" i="9"/>
  <c r="D225" i="9"/>
  <c r="C225" i="9"/>
  <c r="Q224" i="9"/>
  <c r="P224" i="9"/>
  <c r="O224" i="9"/>
  <c r="N224" i="9"/>
  <c r="M224" i="9"/>
  <c r="L224" i="9"/>
  <c r="K224" i="9"/>
  <c r="J224" i="9"/>
  <c r="D224" i="9"/>
  <c r="C224" i="9"/>
  <c r="F224" i="9"/>
  <c r="E224" i="9"/>
  <c r="D223" i="9"/>
  <c r="M223" i="9"/>
  <c r="E223" i="9"/>
  <c r="F223" i="9"/>
  <c r="J223" i="9"/>
  <c r="K223" i="9"/>
  <c r="L223" i="9"/>
  <c r="N223" i="9"/>
  <c r="P223" i="9"/>
  <c r="Q223" i="9"/>
  <c r="C223" i="9"/>
  <c r="O223" i="9"/>
  <c r="Q222" i="9"/>
  <c r="M222" i="9"/>
  <c r="N222" i="9"/>
  <c r="E222" i="9"/>
  <c r="D222" i="9"/>
  <c r="C222" i="9"/>
  <c r="L222" i="9"/>
  <c r="K222" i="9"/>
  <c r="J222" i="9"/>
  <c r="O222" i="9"/>
  <c r="P222" i="9"/>
  <c r="F222" i="9"/>
  <c r="Q221" i="9"/>
  <c r="F221" i="9"/>
  <c r="E221" i="9"/>
  <c r="D221" i="9"/>
  <c r="C221" i="9"/>
  <c r="K221" i="9"/>
  <c r="P221" i="9"/>
  <c r="O221" i="9"/>
  <c r="N221" i="9"/>
  <c r="M221" i="9"/>
  <c r="L221" i="9"/>
  <c r="J221" i="9"/>
  <c r="K220" i="9"/>
  <c r="J220" i="9"/>
  <c r="F220" i="9"/>
  <c r="N220" i="9"/>
  <c r="E220" i="9"/>
  <c r="D220" i="9"/>
  <c r="C220" i="9"/>
  <c r="O220" i="9"/>
  <c r="Q220" i="9"/>
  <c r="P220" i="9"/>
  <c r="M220" i="9"/>
  <c r="L220" i="9"/>
  <c r="K219" i="9"/>
  <c r="J219" i="9"/>
  <c r="F219" i="9"/>
  <c r="E219" i="9"/>
  <c r="D219" i="9"/>
  <c r="C219" i="9"/>
  <c r="Q219" i="9"/>
  <c r="P219" i="9"/>
  <c r="O219" i="9"/>
  <c r="N219" i="9"/>
  <c r="M219" i="9"/>
  <c r="L219" i="9"/>
  <c r="F218" i="9"/>
  <c r="E218" i="9"/>
  <c r="K218" i="9"/>
  <c r="L218" i="9"/>
  <c r="M218" i="9"/>
  <c r="N218" i="9"/>
  <c r="O218" i="9"/>
  <c r="P218" i="9"/>
  <c r="J218" i="9"/>
  <c r="Q218" i="9"/>
  <c r="C218" i="9"/>
  <c r="D218" i="9"/>
  <c r="L217" i="9"/>
  <c r="K217" i="9"/>
  <c r="J217" i="9"/>
  <c r="F217" i="9"/>
  <c r="E217" i="9"/>
  <c r="D217" i="9"/>
  <c r="C217" i="9"/>
  <c r="Q217" i="9"/>
  <c r="P217" i="9"/>
  <c r="O217" i="9"/>
  <c r="N217" i="9"/>
  <c r="M217" i="9"/>
  <c r="K216" i="9"/>
  <c r="J216" i="9"/>
  <c r="F216" i="9"/>
  <c r="E216" i="9"/>
  <c r="D216" i="9"/>
  <c r="C216" i="9"/>
  <c r="Q216" i="9"/>
  <c r="O216" i="9"/>
  <c r="P216" i="9"/>
  <c r="N216" i="9"/>
  <c r="M216" i="9"/>
  <c r="L216" i="9"/>
  <c r="D215" i="9"/>
  <c r="E215" i="9"/>
  <c r="F215" i="9"/>
  <c r="J215" i="9"/>
  <c r="K215" i="9"/>
  <c r="L215" i="9"/>
  <c r="M215" i="9"/>
  <c r="N215" i="9"/>
  <c r="O215" i="9"/>
  <c r="P215" i="9"/>
  <c r="Q215" i="9"/>
  <c r="C215" i="9"/>
  <c r="K214" i="9"/>
  <c r="J214" i="9"/>
  <c r="Q214" i="9"/>
  <c r="F214" i="9"/>
  <c r="E214" i="9"/>
  <c r="D214" i="9"/>
  <c r="C214" i="9"/>
  <c r="M214" i="9"/>
  <c r="P214" i="9"/>
  <c r="O214" i="9"/>
  <c r="N214" i="9"/>
  <c r="L214" i="9"/>
  <c r="Q213" i="9"/>
  <c r="F213" i="9"/>
  <c r="E213" i="9"/>
  <c r="D213" i="9"/>
  <c r="C213" i="9"/>
  <c r="P213" i="9"/>
  <c r="O213" i="9"/>
  <c r="N213" i="9"/>
  <c r="M213" i="9"/>
  <c r="L213" i="9"/>
  <c r="K213" i="9"/>
  <c r="J213" i="9"/>
  <c r="J212" i="9"/>
  <c r="E212" i="9"/>
  <c r="F212" i="9"/>
  <c r="P212" i="9"/>
  <c r="D212" i="9"/>
  <c r="C212" i="9"/>
  <c r="Q212" i="9"/>
  <c r="O212" i="9"/>
  <c r="N212" i="9"/>
  <c r="M212" i="9"/>
  <c r="K212" i="9"/>
  <c r="L212" i="9"/>
  <c r="F211" i="9"/>
  <c r="E211" i="9"/>
  <c r="D211" i="9"/>
  <c r="C211" i="9"/>
  <c r="Q211" i="9"/>
  <c r="P211" i="9"/>
  <c r="O211" i="9"/>
  <c r="N211" i="9"/>
  <c r="M211" i="9"/>
  <c r="L211" i="9"/>
  <c r="K211" i="9"/>
  <c r="J211" i="9"/>
  <c r="K210" i="9"/>
  <c r="M210" i="9"/>
  <c r="N210" i="9"/>
  <c r="O210" i="9"/>
  <c r="P210" i="9"/>
  <c r="L210" i="9"/>
  <c r="Q210" i="9"/>
  <c r="C210" i="9"/>
  <c r="D210" i="9"/>
  <c r="E210" i="9"/>
  <c r="F210" i="9"/>
  <c r="J210" i="9"/>
  <c r="K209" i="9"/>
  <c r="J209" i="9"/>
  <c r="F209" i="9"/>
  <c r="E209" i="9"/>
  <c r="D209" i="9"/>
  <c r="C209" i="9"/>
  <c r="L209" i="9"/>
  <c r="M209" i="9"/>
  <c r="N209" i="9"/>
  <c r="O209" i="9"/>
  <c r="P209" i="9"/>
  <c r="Q209" i="9"/>
  <c r="Q208" i="9"/>
  <c r="P208" i="9"/>
  <c r="O208" i="9"/>
  <c r="N208" i="9"/>
  <c r="M208" i="9"/>
  <c r="L208" i="9"/>
  <c r="J208" i="9"/>
  <c r="F208" i="9"/>
  <c r="E208" i="9"/>
  <c r="D208" i="9"/>
  <c r="C208" i="9"/>
  <c r="K208" i="9"/>
  <c r="P207" i="9"/>
  <c r="O207" i="9"/>
  <c r="N207" i="9"/>
  <c r="M207" i="9"/>
  <c r="L207" i="9"/>
  <c r="K207" i="9"/>
  <c r="J207" i="9"/>
  <c r="Q207" i="9"/>
  <c r="F207" i="9"/>
  <c r="E207" i="9"/>
  <c r="D207" i="9"/>
  <c r="C207" i="9"/>
  <c r="Q206" i="9"/>
  <c r="J206" i="9"/>
  <c r="F206" i="9"/>
  <c r="E206" i="9"/>
  <c r="D206" i="9"/>
  <c r="C206" i="9"/>
  <c r="P206" i="9"/>
  <c r="O206" i="9"/>
  <c r="N206" i="9"/>
  <c r="M206" i="9"/>
  <c r="L206" i="9"/>
  <c r="K206" i="9"/>
  <c r="J205" i="9"/>
  <c r="F205" i="9"/>
  <c r="E205" i="9"/>
  <c r="D205" i="9"/>
  <c r="C205" i="9"/>
  <c r="K205" i="9"/>
  <c r="O205" i="9"/>
  <c r="L205" i="9"/>
  <c r="M205" i="9"/>
  <c r="N205" i="9"/>
  <c r="P205" i="9"/>
  <c r="Q205" i="9"/>
  <c r="Q204" i="9"/>
  <c r="N204" i="9"/>
  <c r="C204" i="9"/>
  <c r="D204" i="9"/>
  <c r="E204" i="9"/>
  <c r="F204" i="9"/>
  <c r="J204" i="9"/>
  <c r="K204" i="9"/>
  <c r="L204" i="9"/>
  <c r="M204" i="9"/>
  <c r="O204" i="9"/>
  <c r="P204" i="9"/>
  <c r="J203" i="9"/>
  <c r="P203" i="9"/>
  <c r="F203" i="9"/>
  <c r="E203" i="9"/>
  <c r="D203" i="9"/>
  <c r="C203" i="9"/>
  <c r="N203" i="9"/>
  <c r="L203" i="9"/>
  <c r="Q203" i="9"/>
  <c r="M203" i="9"/>
  <c r="O203" i="9"/>
  <c r="K203" i="9"/>
  <c r="K202" i="9"/>
  <c r="J202" i="9"/>
  <c r="F202" i="9"/>
  <c r="E202" i="9"/>
  <c r="D202" i="9"/>
  <c r="C202" i="9"/>
  <c r="Q202" i="9"/>
  <c r="P202" i="9"/>
  <c r="O202" i="9"/>
  <c r="N202" i="9"/>
  <c r="M202" i="9"/>
  <c r="L202" i="9"/>
  <c r="E201" i="9"/>
  <c r="L201" i="9"/>
  <c r="M201" i="9"/>
  <c r="N201" i="9"/>
  <c r="F201" i="9"/>
  <c r="O201" i="9"/>
  <c r="P201" i="9"/>
  <c r="Q201" i="9"/>
  <c r="C201" i="9"/>
  <c r="D201" i="9"/>
  <c r="J201" i="9"/>
  <c r="K201" i="9"/>
  <c r="L200" i="9"/>
  <c r="K200" i="9"/>
  <c r="J200" i="9"/>
  <c r="F200" i="9"/>
  <c r="E200" i="9"/>
  <c r="D200" i="9"/>
  <c r="C200" i="9"/>
  <c r="M200" i="9"/>
  <c r="N200" i="9"/>
  <c r="O200" i="9"/>
  <c r="P200" i="9"/>
  <c r="Q200" i="9"/>
  <c r="P199" i="9"/>
  <c r="O199" i="9"/>
  <c r="N199" i="9"/>
  <c r="L199" i="9"/>
  <c r="K199" i="9"/>
  <c r="J199" i="9"/>
  <c r="M199" i="9"/>
  <c r="C199" i="9"/>
  <c r="D199" i="9"/>
  <c r="E199" i="9"/>
  <c r="F199" i="9"/>
  <c r="Q199" i="9"/>
  <c r="C198" i="9"/>
  <c r="P198" i="9"/>
  <c r="D198" i="9"/>
  <c r="O198" i="9"/>
  <c r="N198" i="9"/>
  <c r="M198" i="9"/>
  <c r="L198" i="9"/>
  <c r="K198" i="9"/>
  <c r="J198" i="9"/>
  <c r="F198" i="9"/>
  <c r="E198" i="9"/>
  <c r="Q198" i="9"/>
  <c r="M197" i="9"/>
  <c r="N197" i="9"/>
  <c r="O197" i="9"/>
  <c r="P197" i="9"/>
  <c r="Q197" i="9"/>
  <c r="D197" i="9"/>
  <c r="E197" i="9"/>
  <c r="F197" i="9"/>
  <c r="J197" i="9"/>
  <c r="K197" i="9"/>
  <c r="L197" i="9"/>
  <c r="C197" i="9"/>
  <c r="E196" i="9"/>
  <c r="C196" i="9"/>
  <c r="D196" i="9"/>
  <c r="J196" i="9"/>
  <c r="P196" i="9"/>
  <c r="O196" i="9"/>
  <c r="N196" i="9"/>
  <c r="M196" i="9"/>
  <c r="L196" i="9"/>
  <c r="K196" i="9"/>
  <c r="F196" i="9"/>
  <c r="Q196" i="9"/>
  <c r="F195" i="9"/>
  <c r="E195" i="9"/>
  <c r="D195" i="9"/>
  <c r="C195" i="9"/>
  <c r="N195" i="9"/>
  <c r="O195" i="9"/>
  <c r="M195" i="9"/>
  <c r="P195" i="9"/>
  <c r="Q195" i="9"/>
  <c r="L195" i="9"/>
  <c r="K195" i="9"/>
  <c r="J195" i="9"/>
  <c r="L194" i="9"/>
  <c r="K194" i="9"/>
  <c r="J194" i="9"/>
  <c r="F194" i="9"/>
  <c r="E194" i="9"/>
  <c r="D194" i="9"/>
  <c r="C194" i="9"/>
  <c r="Q194" i="9"/>
  <c r="P194" i="9"/>
  <c r="O194" i="9"/>
  <c r="N194" i="9"/>
  <c r="M194" i="9"/>
  <c r="J193" i="9"/>
  <c r="F193" i="9"/>
  <c r="E193" i="9"/>
  <c r="D193" i="9"/>
  <c r="C193" i="9"/>
  <c r="P193" i="9"/>
  <c r="Q193" i="9"/>
  <c r="O193" i="9"/>
  <c r="N193" i="9"/>
  <c r="M193" i="9"/>
  <c r="L193" i="9"/>
  <c r="K193" i="9"/>
  <c r="N192" i="9"/>
  <c r="M192" i="9"/>
  <c r="L192" i="9"/>
  <c r="K192" i="9"/>
  <c r="J192" i="9"/>
  <c r="F192" i="9"/>
  <c r="Q192" i="9"/>
  <c r="O192" i="9"/>
  <c r="C192" i="9"/>
  <c r="D192" i="9"/>
  <c r="E192" i="9"/>
  <c r="P192" i="9"/>
  <c r="J191" i="9"/>
  <c r="K191" i="9"/>
  <c r="L191" i="9"/>
  <c r="C191" i="9"/>
  <c r="M191" i="9"/>
  <c r="N191" i="9"/>
  <c r="O191" i="9"/>
  <c r="P191" i="9"/>
  <c r="Q191" i="9"/>
  <c r="D191" i="9"/>
  <c r="E191" i="9"/>
  <c r="F191" i="9"/>
  <c r="Q190" i="9"/>
  <c r="P190" i="9"/>
  <c r="O190" i="9"/>
  <c r="N190" i="9"/>
  <c r="M190" i="9"/>
  <c r="L190" i="9"/>
  <c r="K190" i="9"/>
  <c r="F190" i="9"/>
  <c r="E190" i="9"/>
  <c r="D190" i="9"/>
  <c r="C190" i="9"/>
  <c r="J190" i="9"/>
  <c r="K189" i="9"/>
  <c r="J189" i="9"/>
  <c r="E189" i="9"/>
  <c r="D189" i="9"/>
  <c r="C189" i="9"/>
  <c r="K188" i="9"/>
  <c r="J188" i="9"/>
  <c r="E188" i="9"/>
  <c r="D188" i="9"/>
  <c r="C188" i="9"/>
  <c r="K187" i="9"/>
  <c r="J187" i="9"/>
  <c r="E187" i="9"/>
  <c r="D187" i="9"/>
  <c r="C187" i="9"/>
  <c r="C186" i="9"/>
  <c r="E186" i="9"/>
  <c r="D186" i="9"/>
  <c r="J186" i="9"/>
  <c r="K186" i="9"/>
  <c r="C185" i="9"/>
  <c r="D185" i="9"/>
  <c r="E185" i="9"/>
  <c r="J185" i="9"/>
  <c r="K185" i="9"/>
  <c r="J184" i="9"/>
  <c r="E184" i="9"/>
  <c r="D184" i="9"/>
  <c r="K184" i="9"/>
  <c r="L184" i="9" s="1"/>
  <c r="C184" i="9"/>
  <c r="J183" i="9"/>
  <c r="C183" i="9"/>
  <c r="D183" i="9"/>
  <c r="E183" i="9"/>
  <c r="F183" i="9" s="1"/>
  <c r="K183" i="9"/>
  <c r="L183" i="9" s="1"/>
  <c r="O183" i="9" s="1"/>
  <c r="J182" i="9"/>
  <c r="K182" i="9"/>
  <c r="C182" i="9"/>
  <c r="D182" i="9"/>
  <c r="E182" i="9"/>
  <c r="F182" i="9" s="1"/>
  <c r="D181" i="9"/>
  <c r="K181" i="9"/>
  <c r="J181" i="9"/>
  <c r="C181" i="9"/>
  <c r="E181" i="9"/>
  <c r="F181" i="9" s="1"/>
  <c r="E180" i="9"/>
  <c r="D180" i="9"/>
  <c r="J180" i="9"/>
  <c r="K180" i="9"/>
  <c r="C180" i="9"/>
  <c r="C179" i="9"/>
  <c r="D179" i="9"/>
  <c r="E179" i="9"/>
  <c r="J179" i="9"/>
  <c r="K179" i="9"/>
  <c r="D178" i="9"/>
  <c r="C178" i="9"/>
  <c r="K178" i="9"/>
  <c r="E178" i="9"/>
  <c r="F178" i="9" s="1"/>
  <c r="J178" i="9"/>
  <c r="E177" i="9"/>
  <c r="D177" i="9"/>
  <c r="C177" i="9"/>
  <c r="K177" i="9"/>
  <c r="J177" i="9"/>
  <c r="F177" i="9"/>
  <c r="E176" i="9"/>
  <c r="K176" i="9"/>
  <c r="J176" i="9"/>
  <c r="C176" i="9"/>
  <c r="D176" i="9"/>
  <c r="J175" i="9"/>
  <c r="K175" i="9"/>
  <c r="E175" i="9"/>
  <c r="D175" i="9"/>
  <c r="C175" i="9"/>
  <c r="C174" i="9"/>
  <c r="E174" i="9"/>
  <c r="J174" i="9"/>
  <c r="K174" i="9"/>
  <c r="D174" i="9"/>
  <c r="C173" i="9"/>
  <c r="K173" i="9"/>
  <c r="J173" i="9"/>
  <c r="D173" i="9"/>
  <c r="E173" i="9"/>
  <c r="F173" i="9" s="1"/>
  <c r="E172" i="9"/>
  <c r="J172" i="9"/>
  <c r="K172" i="9"/>
  <c r="D172" i="9"/>
  <c r="C172" i="9"/>
  <c r="J171" i="9"/>
  <c r="E171" i="9"/>
  <c r="D171" i="9"/>
  <c r="K171" i="9"/>
  <c r="C171" i="9"/>
  <c r="K170" i="9"/>
  <c r="J170" i="9"/>
  <c r="E170" i="9"/>
  <c r="D170" i="9"/>
  <c r="C170" i="9"/>
  <c r="K169" i="9"/>
  <c r="C169" i="9"/>
  <c r="D169" i="9"/>
  <c r="E169" i="9"/>
  <c r="F169" i="9" s="1"/>
  <c r="J169" i="9"/>
  <c r="K168" i="9"/>
  <c r="J168" i="9"/>
  <c r="C168" i="9"/>
  <c r="D168" i="9"/>
  <c r="E168" i="9"/>
  <c r="F168" i="9" s="1"/>
  <c r="J167" i="9"/>
  <c r="E167" i="9"/>
  <c r="C167" i="9"/>
  <c r="D167" i="9"/>
  <c r="K167" i="9"/>
  <c r="E166" i="9"/>
  <c r="J166" i="9"/>
  <c r="K166" i="9"/>
  <c r="C166" i="9"/>
  <c r="D166" i="9"/>
  <c r="K165" i="9"/>
  <c r="J165" i="9"/>
  <c r="E165" i="9"/>
  <c r="D165" i="9"/>
  <c r="C165" i="9"/>
  <c r="D164" i="9"/>
  <c r="E164" i="9"/>
  <c r="F164" i="9" s="1"/>
  <c r="J164" i="9"/>
  <c r="K164" i="9"/>
  <c r="C164" i="9"/>
  <c r="K163" i="9"/>
  <c r="J163" i="9"/>
  <c r="E163" i="9"/>
  <c r="C163" i="9"/>
  <c r="D163" i="9"/>
  <c r="F163" i="9"/>
  <c r="K162" i="9"/>
  <c r="J162" i="9"/>
  <c r="E162" i="9"/>
  <c r="D162" i="9"/>
  <c r="C162" i="9"/>
  <c r="K161" i="9"/>
  <c r="J161" i="9"/>
  <c r="E161" i="9"/>
  <c r="D161" i="9"/>
  <c r="C161" i="9"/>
  <c r="K160" i="9"/>
  <c r="J160" i="9"/>
  <c r="D160" i="9"/>
  <c r="C160" i="9"/>
  <c r="E160" i="9"/>
  <c r="K159" i="9"/>
  <c r="J159" i="9"/>
  <c r="E159" i="9"/>
  <c r="D159" i="9"/>
  <c r="C159" i="9"/>
  <c r="K158" i="9"/>
  <c r="J158" i="9"/>
  <c r="E158" i="9"/>
  <c r="D158" i="9"/>
  <c r="C158" i="9"/>
  <c r="K157" i="9"/>
  <c r="J157" i="9"/>
  <c r="E157" i="9"/>
  <c r="D157" i="9"/>
  <c r="C157" i="9"/>
  <c r="K156" i="9"/>
  <c r="J156" i="9"/>
  <c r="E156" i="9"/>
  <c r="D156" i="9"/>
  <c r="C156" i="9"/>
  <c r="E155" i="9"/>
  <c r="D155" i="9"/>
  <c r="C155" i="9"/>
  <c r="K155" i="9"/>
  <c r="J155" i="9"/>
  <c r="K154" i="9"/>
  <c r="J154" i="9"/>
  <c r="E154" i="9"/>
  <c r="C154" i="9"/>
  <c r="D154" i="9"/>
  <c r="C153" i="9"/>
  <c r="J153" i="9"/>
  <c r="D153" i="9"/>
  <c r="K153" i="9"/>
  <c r="E153" i="9"/>
  <c r="F153" i="9" s="1"/>
  <c r="J152" i="9"/>
  <c r="K152" i="9"/>
  <c r="E152" i="9"/>
  <c r="C152" i="9"/>
  <c r="D152" i="9"/>
  <c r="F152" i="9" s="1"/>
  <c r="J151" i="9"/>
  <c r="C151" i="9"/>
  <c r="D151" i="9"/>
  <c r="K151" i="9"/>
  <c r="E151" i="9"/>
  <c r="F151" i="9" s="1"/>
  <c r="D150" i="9"/>
  <c r="C150" i="9"/>
  <c r="K150" i="9"/>
  <c r="J150" i="9"/>
  <c r="E150" i="9"/>
  <c r="F150" i="9" s="1"/>
  <c r="E149" i="9"/>
  <c r="J149" i="9"/>
  <c r="K149" i="9"/>
  <c r="C149" i="9"/>
  <c r="D149" i="9"/>
  <c r="C148" i="9"/>
  <c r="K148" i="9"/>
  <c r="J148" i="9"/>
  <c r="E148" i="9"/>
  <c r="D148" i="9"/>
  <c r="D147" i="9"/>
  <c r="C147" i="9"/>
  <c r="K147" i="9"/>
  <c r="J147" i="9"/>
  <c r="E147" i="9"/>
  <c r="F147" i="9" s="1"/>
  <c r="C146" i="9"/>
  <c r="D146" i="9"/>
  <c r="E146" i="9"/>
  <c r="F146" i="9" s="1"/>
  <c r="J146" i="9"/>
  <c r="K146" i="9"/>
  <c r="K145" i="9"/>
  <c r="J145" i="9"/>
  <c r="C145" i="9"/>
  <c r="D145" i="9"/>
  <c r="E145" i="9"/>
  <c r="K144" i="9"/>
  <c r="J144" i="9"/>
  <c r="E144" i="9"/>
  <c r="D144" i="9"/>
  <c r="C144" i="9"/>
  <c r="F144" i="9"/>
  <c r="E143" i="9"/>
  <c r="C143" i="9"/>
  <c r="J143" i="9"/>
  <c r="K143" i="9"/>
  <c r="D143" i="9"/>
  <c r="K142" i="9"/>
  <c r="J142" i="9"/>
  <c r="D142" i="9"/>
  <c r="C142" i="9"/>
  <c r="E142" i="9"/>
  <c r="J141" i="9"/>
  <c r="K141" i="9"/>
  <c r="C141" i="9"/>
  <c r="D141" i="9"/>
  <c r="E141" i="9"/>
  <c r="F141" i="9" s="1"/>
  <c r="E140" i="9"/>
  <c r="K140" i="9"/>
  <c r="D140" i="9"/>
  <c r="J140" i="9"/>
  <c r="C140" i="9"/>
  <c r="E139" i="9"/>
  <c r="J139" i="9"/>
  <c r="C139" i="9"/>
  <c r="D139" i="9"/>
  <c r="K139" i="9"/>
  <c r="D138" i="9"/>
  <c r="C138" i="9"/>
  <c r="E138" i="9"/>
  <c r="F138" i="9" s="1"/>
  <c r="J138" i="9"/>
  <c r="K138" i="9"/>
  <c r="K137" i="9"/>
  <c r="J137" i="9"/>
  <c r="E137" i="9"/>
  <c r="D137" i="9"/>
  <c r="C137" i="9"/>
  <c r="D136" i="9"/>
  <c r="C136" i="9"/>
  <c r="K136" i="9"/>
  <c r="J136" i="9"/>
  <c r="E136" i="9"/>
  <c r="C135" i="9"/>
  <c r="D135" i="9"/>
  <c r="E135" i="9"/>
  <c r="F135" i="9" s="1"/>
  <c r="J135" i="9"/>
  <c r="K135" i="9"/>
  <c r="D134" i="9"/>
  <c r="E134" i="9"/>
  <c r="F134" i="9" s="1"/>
  <c r="K134" i="9"/>
  <c r="J134" i="9"/>
  <c r="C134" i="9"/>
  <c r="K133" i="9"/>
  <c r="J133" i="9"/>
  <c r="E133" i="9"/>
  <c r="C133" i="9"/>
  <c r="D133" i="9"/>
  <c r="F133" i="9" s="1"/>
  <c r="K132" i="9"/>
  <c r="J132" i="9"/>
  <c r="E132" i="9"/>
  <c r="D132" i="9"/>
  <c r="C132" i="9"/>
  <c r="K131" i="9"/>
  <c r="J131" i="9"/>
  <c r="E131" i="9"/>
  <c r="D131" i="9"/>
  <c r="C131" i="9"/>
  <c r="K130" i="9"/>
  <c r="J130" i="9"/>
  <c r="E130" i="9"/>
  <c r="D130" i="9"/>
  <c r="C130" i="9"/>
  <c r="J129" i="9"/>
  <c r="E129" i="9"/>
  <c r="C129" i="9"/>
  <c r="D129" i="9"/>
  <c r="K129" i="9"/>
  <c r="L129" i="9" s="1"/>
  <c r="O129" i="9" s="1"/>
  <c r="L127" i="10" s="1"/>
  <c r="M127" i="10" s="1"/>
  <c r="C128" i="9"/>
  <c r="D128" i="9"/>
  <c r="E128" i="9"/>
  <c r="F128" i="9" s="1"/>
  <c r="J128" i="9"/>
  <c r="K128" i="9"/>
  <c r="K127" i="9"/>
  <c r="E127" i="9"/>
  <c r="J127" i="9"/>
  <c r="D127" i="9"/>
  <c r="C127" i="9"/>
  <c r="D126" i="9"/>
  <c r="C126" i="9"/>
  <c r="J126" i="9"/>
  <c r="K126" i="9"/>
  <c r="E126" i="9"/>
  <c r="F126" i="9" s="1"/>
  <c r="J125" i="9"/>
  <c r="K125" i="9"/>
  <c r="E125" i="9"/>
  <c r="D125" i="9"/>
  <c r="C125" i="9"/>
  <c r="F125" i="9"/>
  <c r="J124" i="9"/>
  <c r="K124" i="9"/>
  <c r="E124" i="9"/>
  <c r="D124" i="9"/>
  <c r="C124" i="9"/>
  <c r="C123" i="9"/>
  <c r="D123" i="9"/>
  <c r="E123" i="9"/>
  <c r="F123" i="9" s="1"/>
  <c r="J123" i="9"/>
  <c r="K123" i="9"/>
  <c r="C122" i="9"/>
  <c r="D122" i="9"/>
  <c r="E122" i="9"/>
  <c r="F122" i="9" s="1"/>
  <c r="J122" i="9"/>
  <c r="K122" i="9"/>
  <c r="J121" i="9"/>
  <c r="K121" i="9"/>
  <c r="C121" i="9"/>
  <c r="D121" i="9"/>
  <c r="E121" i="9"/>
  <c r="F121" i="9" s="1"/>
  <c r="J120" i="9"/>
  <c r="C120" i="9"/>
  <c r="K120" i="9"/>
  <c r="D120" i="9"/>
  <c r="E120" i="9"/>
  <c r="F120" i="9" s="1"/>
  <c r="K119" i="9"/>
  <c r="C119" i="9"/>
  <c r="E119" i="9"/>
  <c r="D119" i="9"/>
  <c r="J119" i="9"/>
  <c r="D118" i="9"/>
  <c r="E118" i="9"/>
  <c r="F118" i="9" s="1"/>
  <c r="J118" i="9"/>
  <c r="K118" i="9"/>
  <c r="C118" i="9"/>
  <c r="K117" i="9"/>
  <c r="J117" i="9"/>
  <c r="E117" i="9"/>
  <c r="D117" i="9"/>
  <c r="C117" i="9"/>
  <c r="J116" i="9"/>
  <c r="K116" i="9"/>
  <c r="E116" i="9"/>
  <c r="D116" i="9"/>
  <c r="C116" i="9"/>
  <c r="C115" i="9"/>
  <c r="D115" i="9"/>
  <c r="E115" i="9"/>
  <c r="F115" i="9" s="1"/>
  <c r="J115" i="9"/>
  <c r="K115" i="9"/>
  <c r="J114" i="9"/>
  <c r="K114" i="9"/>
  <c r="C114" i="9"/>
  <c r="D114" i="9"/>
  <c r="E114" i="9"/>
  <c r="F114" i="9" s="1"/>
  <c r="E113" i="9"/>
  <c r="C113" i="9"/>
  <c r="J113" i="9"/>
  <c r="K113" i="9"/>
  <c r="D113" i="9"/>
  <c r="K112" i="9"/>
  <c r="J112" i="9"/>
  <c r="E112" i="9"/>
  <c r="D112" i="9"/>
  <c r="C112" i="9"/>
  <c r="J111" i="9"/>
  <c r="K111" i="9"/>
  <c r="D111" i="9"/>
  <c r="C111" i="9"/>
  <c r="E111" i="9"/>
  <c r="D110" i="9"/>
  <c r="K110" i="9"/>
  <c r="J110" i="9"/>
  <c r="E110" i="9"/>
  <c r="F110" i="9" s="1"/>
  <c r="C110" i="9"/>
  <c r="C109" i="9"/>
  <c r="K109" i="9"/>
  <c r="J109" i="9"/>
  <c r="E109" i="9"/>
  <c r="D109" i="9"/>
  <c r="D108" i="9"/>
  <c r="C108" i="9"/>
  <c r="J108" i="9"/>
  <c r="K108" i="9"/>
  <c r="L108" i="9" s="1"/>
  <c r="O108" i="9" s="1"/>
  <c r="E108" i="9"/>
  <c r="F108" i="9" s="1"/>
  <c r="K107" i="9"/>
  <c r="J107" i="9"/>
  <c r="E107" i="9"/>
  <c r="D107" i="9"/>
  <c r="C107" i="9"/>
  <c r="J106" i="9"/>
  <c r="C106" i="9"/>
  <c r="D106" i="9"/>
  <c r="E106" i="9"/>
  <c r="K106" i="9"/>
  <c r="J105" i="9"/>
  <c r="E105" i="9"/>
  <c r="D105" i="9"/>
  <c r="C105" i="9"/>
  <c r="K105" i="9"/>
  <c r="C104" i="9"/>
  <c r="D104" i="9"/>
  <c r="E104" i="9"/>
  <c r="F104" i="9" s="1"/>
  <c r="J104" i="9"/>
  <c r="K104" i="9"/>
  <c r="L104" i="9" s="1"/>
  <c r="O104" i="9" s="1"/>
  <c r="J103" i="9"/>
  <c r="K103" i="9"/>
  <c r="C103" i="9"/>
  <c r="D103" i="9"/>
  <c r="E103" i="9"/>
  <c r="J102" i="9"/>
  <c r="K102" i="9"/>
  <c r="C102" i="9"/>
  <c r="D102" i="9"/>
  <c r="E102" i="9"/>
  <c r="F102" i="9" s="1"/>
  <c r="D101" i="9"/>
  <c r="E101" i="9"/>
  <c r="J101" i="9"/>
  <c r="K101" i="9"/>
  <c r="L101" i="9" s="1"/>
  <c r="O101" i="9" s="1"/>
  <c r="C101" i="9"/>
  <c r="F101" i="9"/>
  <c r="K100" i="9"/>
  <c r="J100" i="9"/>
  <c r="E100" i="9"/>
  <c r="D100" i="9"/>
  <c r="C100" i="9"/>
  <c r="K99" i="9"/>
  <c r="J99" i="9"/>
  <c r="E99" i="9"/>
  <c r="C99" i="9"/>
  <c r="D99" i="9"/>
  <c r="K98" i="9"/>
  <c r="E98" i="9"/>
  <c r="D98" i="9"/>
  <c r="C98" i="9"/>
  <c r="J98" i="9"/>
  <c r="K97" i="9"/>
  <c r="J97" i="9"/>
  <c r="E97" i="9"/>
  <c r="D97" i="9"/>
  <c r="C97" i="9"/>
  <c r="C96" i="9"/>
  <c r="K96" i="9"/>
  <c r="J96" i="9"/>
  <c r="E96" i="9"/>
  <c r="D96" i="9"/>
  <c r="K95" i="9"/>
  <c r="J95" i="9"/>
  <c r="C95" i="9"/>
  <c r="D95" i="9"/>
  <c r="E95" i="9"/>
  <c r="K94" i="9"/>
  <c r="J94" i="9"/>
  <c r="E94" i="9"/>
  <c r="C94" i="9"/>
  <c r="D94" i="9"/>
  <c r="J93" i="9"/>
  <c r="D93" i="9"/>
  <c r="E93" i="9"/>
  <c r="F93" i="9" s="1"/>
  <c r="K93" i="9"/>
  <c r="C93" i="9"/>
  <c r="C92" i="9"/>
  <c r="K92" i="9"/>
  <c r="J92" i="9"/>
  <c r="E92" i="9"/>
  <c r="D92" i="9"/>
  <c r="D91" i="9"/>
  <c r="E91" i="9"/>
  <c r="F91" i="9" s="1"/>
  <c r="J91" i="9"/>
  <c r="K91" i="9"/>
  <c r="C91" i="9"/>
  <c r="E90" i="9"/>
  <c r="D90" i="9"/>
  <c r="J90" i="9"/>
  <c r="K90" i="9"/>
  <c r="C90" i="9"/>
  <c r="C89" i="9"/>
  <c r="D89" i="9"/>
  <c r="K89" i="9"/>
  <c r="J89" i="9"/>
  <c r="E89" i="9"/>
  <c r="F89" i="9" s="1"/>
  <c r="K88" i="9"/>
  <c r="J88" i="9"/>
  <c r="E88" i="9"/>
  <c r="D88" i="9"/>
  <c r="C88" i="9"/>
  <c r="K87" i="9"/>
  <c r="J87" i="9"/>
  <c r="E87" i="9"/>
  <c r="D87" i="9"/>
  <c r="C87" i="9"/>
  <c r="K86" i="9"/>
  <c r="J86" i="9"/>
  <c r="C86" i="9"/>
  <c r="E86" i="9"/>
  <c r="D86" i="9"/>
  <c r="C85" i="9"/>
  <c r="D85" i="9"/>
  <c r="E85" i="9"/>
  <c r="F85" i="9" s="1"/>
  <c r="J85" i="9"/>
  <c r="K85" i="9"/>
  <c r="L85" i="9" s="1"/>
  <c r="O85" i="9" s="1"/>
  <c r="C84" i="9"/>
  <c r="D84" i="9"/>
  <c r="E84" i="9"/>
  <c r="F84" i="9" s="1"/>
  <c r="J84" i="9"/>
  <c r="K84" i="9"/>
  <c r="L84" i="9" s="1"/>
  <c r="O84" i="9" s="1"/>
  <c r="C83" i="9"/>
  <c r="D83" i="9"/>
  <c r="E83" i="9"/>
  <c r="F83" i="9" s="1"/>
  <c r="J83" i="9"/>
  <c r="K83" i="9"/>
  <c r="K82" i="9"/>
  <c r="J82" i="9"/>
  <c r="E82" i="9"/>
  <c r="C82" i="9"/>
  <c r="D82" i="9"/>
  <c r="J81" i="9"/>
  <c r="K81" i="9"/>
  <c r="E81" i="9"/>
  <c r="D81" i="9"/>
  <c r="C81" i="9"/>
  <c r="C80" i="9"/>
  <c r="D80" i="9"/>
  <c r="E80" i="9"/>
  <c r="F80" i="9" s="1"/>
  <c r="J80" i="9"/>
  <c r="K80" i="9"/>
  <c r="K79" i="9"/>
  <c r="J79" i="9"/>
  <c r="E79" i="9"/>
  <c r="D79" i="9"/>
  <c r="C79" i="9"/>
  <c r="J78" i="9"/>
  <c r="K78" i="9"/>
  <c r="E78" i="9"/>
  <c r="D78" i="9"/>
  <c r="C78" i="9"/>
  <c r="K77" i="9"/>
  <c r="J77" i="9"/>
  <c r="C77" i="9"/>
  <c r="D77" i="9"/>
  <c r="E77" i="9"/>
  <c r="F77" i="9" s="1"/>
  <c r="J76" i="9"/>
  <c r="E76" i="9"/>
  <c r="D76" i="9"/>
  <c r="C76" i="9"/>
  <c r="K76" i="9"/>
  <c r="K75" i="9"/>
  <c r="J75" i="9"/>
  <c r="E75" i="9"/>
  <c r="D75" i="9"/>
  <c r="C75" i="9"/>
  <c r="J74" i="9"/>
  <c r="K74" i="9"/>
  <c r="E74" i="9"/>
  <c r="D74" i="9"/>
  <c r="C74" i="9"/>
  <c r="K73" i="9"/>
  <c r="J73" i="9"/>
  <c r="E73" i="9"/>
  <c r="C73" i="9"/>
  <c r="D73" i="9"/>
  <c r="C72" i="9"/>
  <c r="D72" i="9"/>
  <c r="J72" i="9"/>
  <c r="K72" i="9"/>
  <c r="E72" i="9"/>
  <c r="F72" i="9" s="1"/>
  <c r="K71" i="9"/>
  <c r="J71" i="9"/>
  <c r="C71" i="9"/>
  <c r="E71" i="9"/>
  <c r="D71" i="9"/>
  <c r="C70" i="9"/>
  <c r="K70" i="9"/>
  <c r="J70" i="9"/>
  <c r="E70" i="9"/>
  <c r="D70" i="9"/>
  <c r="C69" i="9"/>
  <c r="D69" i="9"/>
  <c r="E69" i="9"/>
  <c r="F69" i="9" s="1"/>
  <c r="J69" i="9"/>
  <c r="K69" i="9"/>
  <c r="C68" i="9"/>
  <c r="D68" i="9"/>
  <c r="E68" i="9"/>
  <c r="F68" i="9" s="1"/>
  <c r="J68" i="9"/>
  <c r="K68" i="9"/>
  <c r="J67" i="9"/>
  <c r="E67" i="9"/>
  <c r="C67" i="9"/>
  <c r="K67" i="9"/>
  <c r="D67" i="9"/>
  <c r="C66" i="9"/>
  <c r="E66" i="9"/>
  <c r="D66" i="9"/>
  <c r="J66" i="9"/>
  <c r="K66" i="9"/>
  <c r="K65" i="9"/>
  <c r="C65" i="9"/>
  <c r="J65" i="9"/>
  <c r="E65" i="9"/>
  <c r="D65" i="9"/>
  <c r="C64" i="9"/>
  <c r="J64" i="9"/>
  <c r="K64" i="9"/>
  <c r="E64" i="9"/>
  <c r="D64" i="9"/>
  <c r="J63" i="9"/>
  <c r="E63" i="9"/>
  <c r="D63" i="9"/>
  <c r="C63" i="9"/>
  <c r="K63" i="9"/>
  <c r="J62" i="9"/>
  <c r="E62" i="9"/>
  <c r="C62" i="9"/>
  <c r="D62" i="9"/>
  <c r="K62" i="9"/>
  <c r="J61" i="9"/>
  <c r="E61" i="9"/>
  <c r="D61" i="9"/>
  <c r="C61" i="9"/>
  <c r="F61" i="9"/>
  <c r="K61" i="9"/>
  <c r="E60" i="9"/>
  <c r="J60" i="9"/>
  <c r="K60" i="9"/>
  <c r="D60" i="9"/>
  <c r="C60" i="9"/>
  <c r="C59" i="9"/>
  <c r="D59" i="9"/>
  <c r="E59" i="9"/>
  <c r="F59" i="9" s="1"/>
  <c r="J59" i="9"/>
  <c r="K59" i="9"/>
  <c r="J58" i="9"/>
  <c r="K58" i="9"/>
  <c r="C58" i="9"/>
  <c r="D58" i="9"/>
  <c r="E58" i="9"/>
  <c r="K57" i="9"/>
  <c r="E57" i="9"/>
  <c r="D57" i="9"/>
  <c r="C57" i="9"/>
  <c r="J57" i="9"/>
  <c r="C56" i="9"/>
  <c r="D56" i="9"/>
  <c r="E56" i="9"/>
  <c r="F56" i="9" s="1"/>
  <c r="K56" i="9"/>
  <c r="J56" i="9"/>
  <c r="E55" i="9"/>
  <c r="D55" i="9"/>
  <c r="C55" i="9"/>
  <c r="K55" i="9"/>
  <c r="J55" i="9"/>
  <c r="K54" i="9"/>
  <c r="C54" i="9"/>
  <c r="D54" i="9"/>
  <c r="E54" i="9"/>
  <c r="F54" i="9" s="1"/>
  <c r="J54" i="9"/>
  <c r="J53" i="9"/>
  <c r="K53" i="9"/>
  <c r="E53" i="9"/>
  <c r="D53" i="9"/>
  <c r="C53" i="9"/>
  <c r="J52" i="9"/>
  <c r="K52" i="9"/>
  <c r="C52" i="9"/>
  <c r="D52" i="9"/>
  <c r="E52" i="9"/>
  <c r="C51" i="9"/>
  <c r="D51" i="9"/>
  <c r="E51" i="9"/>
  <c r="F51" i="9" s="1"/>
  <c r="J51" i="9"/>
  <c r="K51" i="9"/>
  <c r="K50" i="9"/>
  <c r="C50" i="9"/>
  <c r="J50" i="9"/>
  <c r="E50" i="9"/>
  <c r="D50" i="9"/>
  <c r="K49" i="9"/>
  <c r="J49" i="9"/>
  <c r="E49" i="9"/>
  <c r="D49" i="9"/>
  <c r="C49" i="9"/>
  <c r="C48" i="9"/>
  <c r="D48" i="9"/>
  <c r="E48" i="9"/>
  <c r="F48" i="9" s="1"/>
  <c r="J48" i="9"/>
  <c r="K48" i="9"/>
  <c r="K47" i="9"/>
  <c r="J47" i="9"/>
  <c r="E47" i="9"/>
  <c r="D47" i="9"/>
  <c r="C47" i="9"/>
  <c r="F47" i="9"/>
  <c r="E46" i="9"/>
  <c r="C46" i="9"/>
  <c r="D46" i="9"/>
  <c r="F46" i="9" s="1"/>
  <c r="J46" i="9"/>
  <c r="K46" i="9"/>
  <c r="K45" i="9"/>
  <c r="J45" i="9"/>
  <c r="E45" i="9"/>
  <c r="D45" i="9"/>
  <c r="C45" i="9"/>
  <c r="K44" i="9"/>
  <c r="J44" i="9"/>
  <c r="D44" i="9"/>
  <c r="E44" i="9"/>
  <c r="F44" i="9" s="1"/>
  <c r="C44" i="9"/>
  <c r="K43" i="9"/>
  <c r="J43" i="9"/>
  <c r="C43" i="9"/>
  <c r="E43" i="9"/>
  <c r="D43" i="9"/>
  <c r="J42" i="9"/>
  <c r="K42" i="9"/>
  <c r="E42" i="9"/>
  <c r="C42" i="9"/>
  <c r="D42" i="9"/>
  <c r="E41" i="9"/>
  <c r="K41" i="9"/>
  <c r="J41" i="9"/>
  <c r="C41" i="9"/>
  <c r="D41" i="9"/>
  <c r="K40" i="9"/>
  <c r="D40" i="9"/>
  <c r="E40" i="9"/>
  <c r="F40" i="9" s="1"/>
  <c r="J40" i="9"/>
  <c r="C40" i="9"/>
  <c r="C39" i="9"/>
  <c r="D39" i="9"/>
  <c r="E39" i="9"/>
  <c r="F39" i="9" s="1"/>
  <c r="J39" i="9"/>
  <c r="K39" i="9"/>
  <c r="C38" i="9"/>
  <c r="D38" i="9"/>
  <c r="E38" i="9"/>
  <c r="F38" i="9" s="1"/>
  <c r="K38" i="9"/>
  <c r="J38" i="9"/>
  <c r="K37" i="9"/>
  <c r="C37" i="9"/>
  <c r="D37" i="9"/>
  <c r="E37" i="9"/>
  <c r="F37" i="9" s="1"/>
  <c r="J37" i="9"/>
  <c r="K36" i="9"/>
  <c r="J36" i="9"/>
  <c r="E36" i="9"/>
  <c r="D36" i="9"/>
  <c r="C36" i="9"/>
  <c r="E35" i="9"/>
  <c r="K35" i="9"/>
  <c r="J35" i="9"/>
  <c r="D35" i="9"/>
  <c r="C35" i="9"/>
  <c r="K34" i="9"/>
  <c r="J34" i="9"/>
  <c r="E34" i="9"/>
  <c r="C34" i="9"/>
  <c r="D34" i="9"/>
  <c r="E33" i="9"/>
  <c r="D33" i="9"/>
  <c r="C33" i="9"/>
  <c r="K33" i="9"/>
  <c r="J33" i="9"/>
  <c r="F33" i="9"/>
  <c r="J32" i="9"/>
  <c r="K32" i="9"/>
  <c r="E32" i="9"/>
  <c r="D32" i="9"/>
  <c r="C32" i="9"/>
  <c r="K31" i="9"/>
  <c r="J31" i="9"/>
  <c r="E31" i="9"/>
  <c r="D31" i="9"/>
  <c r="C31" i="9"/>
  <c r="K30" i="9"/>
  <c r="J30" i="9"/>
  <c r="E30" i="9"/>
  <c r="D30" i="9"/>
  <c r="C30" i="9"/>
  <c r="K29" i="9"/>
  <c r="J29" i="9"/>
  <c r="E29" i="9"/>
  <c r="D29" i="9"/>
  <c r="C29" i="9"/>
  <c r="E28" i="9"/>
  <c r="D28" i="9"/>
  <c r="C28" i="9"/>
  <c r="K28" i="9"/>
  <c r="J28" i="9"/>
  <c r="K27" i="9"/>
  <c r="J27" i="9"/>
  <c r="C27" i="9"/>
  <c r="D27" i="9"/>
  <c r="E27" i="9"/>
  <c r="F27" i="9" s="1"/>
  <c r="J26" i="9"/>
  <c r="E26" i="9"/>
  <c r="D26" i="9"/>
  <c r="C26" i="9"/>
  <c r="K26" i="9"/>
  <c r="K25" i="9"/>
  <c r="J25" i="9"/>
  <c r="E25" i="9"/>
  <c r="D25" i="9"/>
  <c r="C25" i="9"/>
  <c r="C24" i="9"/>
  <c r="E24" i="9"/>
  <c r="J24" i="9"/>
  <c r="D24" i="9"/>
  <c r="K24" i="9"/>
  <c r="L24" i="9" s="1"/>
  <c r="O24" i="9" s="1"/>
  <c r="K23" i="9"/>
  <c r="J23" i="9"/>
  <c r="E23" i="9"/>
  <c r="D23" i="9"/>
  <c r="C23" i="9"/>
  <c r="F23" i="9"/>
  <c r="C22" i="9"/>
  <c r="D22" i="9"/>
  <c r="E22" i="9"/>
  <c r="F22" i="9" s="1"/>
  <c r="J22" i="9"/>
  <c r="K22" i="9"/>
  <c r="L22" i="9" s="1"/>
  <c r="O22" i="9" s="1"/>
  <c r="K21" i="9"/>
  <c r="J21" i="9"/>
  <c r="E21" i="9"/>
  <c r="D21" i="9"/>
  <c r="C21" i="9"/>
  <c r="K20" i="9"/>
  <c r="J20" i="9"/>
  <c r="E20" i="9"/>
  <c r="D20" i="9"/>
  <c r="C20" i="9"/>
  <c r="K19" i="9"/>
  <c r="J19" i="9"/>
  <c r="E19" i="9"/>
  <c r="D19" i="9"/>
  <c r="C19" i="9"/>
  <c r="D18" i="9"/>
  <c r="E18" i="9"/>
  <c r="F18" i="9" s="1"/>
  <c r="J18" i="9"/>
  <c r="K18" i="9"/>
  <c r="L18" i="9" s="1"/>
  <c r="O18" i="9" s="1"/>
  <c r="C18" i="9"/>
  <c r="C17" i="9"/>
  <c r="D17" i="9"/>
  <c r="E17" i="9"/>
  <c r="F17" i="9" s="1"/>
  <c r="J17" i="9"/>
  <c r="K17" i="9"/>
  <c r="L17" i="9" s="1"/>
  <c r="O17" i="9" s="1"/>
  <c r="J16" i="9"/>
  <c r="K16" i="9"/>
  <c r="E16" i="9"/>
  <c r="D16" i="9"/>
  <c r="C16" i="9"/>
  <c r="K15" i="9"/>
  <c r="J15" i="9"/>
  <c r="E15" i="9"/>
  <c r="D15" i="9"/>
  <c r="C15" i="9"/>
  <c r="K14" i="9"/>
  <c r="J14" i="9"/>
  <c r="E14" i="9"/>
  <c r="D14" i="9"/>
  <c r="C14" i="9"/>
  <c r="D13" i="9"/>
  <c r="C13" i="9"/>
  <c r="E13" i="9"/>
  <c r="F13" i="9" s="1"/>
  <c r="J13" i="9"/>
  <c r="K13" i="9"/>
  <c r="L13" i="9" s="1"/>
  <c r="O13" i="9" s="1"/>
  <c r="E12" i="9"/>
  <c r="D12" i="9"/>
  <c r="K12" i="9"/>
  <c r="L12" i="9" s="1"/>
  <c r="O12" i="9" s="1"/>
  <c r="F12" i="9"/>
  <c r="J12" i="9"/>
  <c r="C12" i="9"/>
  <c r="C11" i="9"/>
  <c r="D11" i="9"/>
  <c r="E11" i="9"/>
  <c r="F11" i="9" s="1"/>
  <c r="J11" i="9"/>
  <c r="K11" i="9"/>
  <c r="L11" i="9" s="1"/>
  <c r="O11" i="9" s="1"/>
  <c r="C10" i="9"/>
  <c r="E10" i="9"/>
  <c r="D10" i="9"/>
  <c r="J10" i="9"/>
  <c r="K10" i="9"/>
  <c r="L10" i="9" s="1"/>
  <c r="E9" i="9"/>
  <c r="C9" i="9"/>
  <c r="D9" i="9"/>
  <c r="K9" i="9"/>
  <c r="J9" i="9"/>
  <c r="F9" i="9"/>
  <c r="E8" i="9"/>
  <c r="D8" i="9"/>
  <c r="C8" i="9"/>
  <c r="K8" i="9"/>
  <c r="L8" i="9" s="1"/>
  <c r="O8" i="9" s="1"/>
  <c r="J8" i="9"/>
  <c r="C7" i="9"/>
  <c r="D7" i="9"/>
  <c r="E7" i="9"/>
  <c r="K7" i="9"/>
  <c r="J7" i="9"/>
  <c r="J6" i="9"/>
  <c r="K6" i="9"/>
  <c r="C6" i="9"/>
  <c r="D6" i="9"/>
  <c r="E6" i="9"/>
  <c r="P121" i="10"/>
  <c r="Q121" i="10"/>
  <c r="M121" i="10"/>
  <c r="P206" i="10"/>
  <c r="Q206" i="10"/>
  <c r="P445" i="10"/>
  <c r="Q445" i="10"/>
  <c r="P410" i="10"/>
  <c r="M410" i="10"/>
  <c r="L206" i="10"/>
  <c r="M206" i="10"/>
  <c r="F51" i="10"/>
  <c r="H51" i="10"/>
  <c r="L445" i="10"/>
  <c r="M445" i="10"/>
  <c r="C123" i="10"/>
  <c r="E123" i="10"/>
  <c r="K123" i="10"/>
  <c r="B123" i="10"/>
  <c r="G123" i="10"/>
  <c r="H123" i="10"/>
  <c r="D123" i="10"/>
  <c r="F123" i="10"/>
  <c r="H122" i="10"/>
  <c r="C122" i="10"/>
  <c r="D122" i="10"/>
  <c r="F122" i="10"/>
  <c r="G122" i="10"/>
  <c r="K122" i="10"/>
  <c r="E122" i="10"/>
  <c r="B122" i="10"/>
  <c r="C121" i="10"/>
  <c r="J121" i="10"/>
  <c r="H121" i="10"/>
  <c r="F121" i="10"/>
  <c r="B121" i="10"/>
  <c r="E121" i="10"/>
  <c r="G121" i="10"/>
  <c r="I121" i="10"/>
  <c r="K121" i="10"/>
  <c r="D121" i="10"/>
  <c r="L121" i="10"/>
  <c r="N121" i="10"/>
  <c r="O121" i="10" a="1"/>
  <c r="M566" i="10"/>
  <c r="P566" i="10"/>
  <c r="Q543" i="10"/>
  <c r="P543" i="10"/>
  <c r="P542" i="10"/>
  <c r="Q542" i="10"/>
  <c r="Q485" i="10"/>
  <c r="M485" i="10"/>
  <c r="P458" i="10"/>
  <c r="Q458" i="10"/>
  <c r="P373" i="10"/>
  <c r="Q373" i="10"/>
  <c r="M286" i="10"/>
  <c r="P286" i="10"/>
  <c r="Q286" i="10"/>
  <c r="P259" i="10"/>
  <c r="Q259" i="10"/>
  <c r="Q185" i="10"/>
  <c r="P185" i="10"/>
  <c r="P175" i="10"/>
  <c r="Q175" i="10"/>
  <c r="M175" i="10"/>
  <c r="B77" i="8"/>
  <c r="A267" i="13"/>
  <c r="L565" i="10"/>
  <c r="M565" i="10"/>
  <c r="P565" i="10"/>
  <c r="Q565" i="10"/>
  <c r="J542" i="10"/>
  <c r="L542" i="10"/>
  <c r="M542" i="10"/>
  <c r="P526" i="10"/>
  <c r="Q526" i="10"/>
  <c r="M507" i="10"/>
  <c r="Q507" i="10"/>
  <c r="P505" i="10"/>
  <c r="Q505" i="10"/>
  <c r="L485" i="10"/>
  <c r="J485" i="10"/>
  <c r="P480" i="10"/>
  <c r="Q480" i="10"/>
  <c r="L469" i="10"/>
  <c r="Q469" i="10"/>
  <c r="P469" i="10"/>
  <c r="M469" i="10"/>
  <c r="J458" i="10"/>
  <c r="M458" i="10"/>
  <c r="L458" i="10"/>
  <c r="P451" i="10"/>
  <c r="M451" i="10"/>
  <c r="P435" i="10"/>
  <c r="Q435" i="10"/>
  <c r="L431" i="10"/>
  <c r="M431" i="10"/>
  <c r="P431" i="10"/>
  <c r="M430" i="10"/>
  <c r="P430" i="10"/>
  <c r="Q430" i="10"/>
  <c r="P418" i="10"/>
  <c r="Q418" i="10"/>
  <c r="H410" i="10"/>
  <c r="I410" i="10"/>
  <c r="L410" i="10"/>
  <c r="J410" i="10"/>
  <c r="M403" i="10"/>
  <c r="P403" i="10"/>
  <c r="P389" i="10"/>
  <c r="Q389" i="10"/>
  <c r="M383" i="10"/>
  <c r="Q383" i="10"/>
  <c r="P383" i="10"/>
  <c r="M351" i="10"/>
  <c r="P351" i="10"/>
  <c r="Q351" i="10"/>
  <c r="L334" i="10"/>
  <c r="P334" i="10"/>
  <c r="M334" i="10"/>
  <c r="M318" i="10"/>
  <c r="J318" i="10"/>
  <c r="L318" i="10"/>
  <c r="P283" i="10"/>
  <c r="Q283" i="10"/>
  <c r="J259" i="10"/>
  <c r="M259" i="10"/>
  <c r="P254" i="10"/>
  <c r="Q254" i="10"/>
  <c r="P191" i="10"/>
  <c r="Q191" i="10"/>
  <c r="I185" i="10"/>
  <c r="J185" i="10"/>
  <c r="M185" i="10"/>
  <c r="L185" i="10"/>
  <c r="F175" i="10"/>
  <c r="J175" i="10"/>
  <c r="H175" i="10"/>
  <c r="I175" i="10"/>
  <c r="L175" i="10"/>
  <c r="P160" i="10"/>
  <c r="M160" i="10"/>
  <c r="L123" i="10"/>
  <c r="M123" i="10" s="1"/>
  <c r="L122" i="10"/>
  <c r="M122" i="10" s="1"/>
  <c r="E5" i="9"/>
  <c r="AN29" i="8"/>
  <c r="AN28" i="8"/>
  <c r="AN42" i="8"/>
  <c r="AN46" i="8"/>
  <c r="AN45" i="8"/>
  <c r="AN7" i="8"/>
  <c r="M592" i="10"/>
  <c r="Q592" i="10"/>
  <c r="P592" i="10"/>
  <c r="L592" i="10"/>
  <c r="M558" i="10"/>
  <c r="P558" i="10"/>
  <c r="Q558" i="10"/>
  <c r="P552" i="10"/>
  <c r="Q552" i="10"/>
  <c r="L517" i="10"/>
  <c r="M517" i="10"/>
  <c r="Q517" i="10"/>
  <c r="P517" i="10"/>
  <c r="P507" i="10"/>
  <c r="L507" i="10"/>
  <c r="M501" i="10"/>
  <c r="P501" i="10"/>
  <c r="Q501" i="10"/>
  <c r="L495" i="10"/>
  <c r="M495" i="10"/>
  <c r="P495" i="10"/>
  <c r="H485" i="10"/>
  <c r="I485" i="10"/>
  <c r="P473" i="10"/>
  <c r="Q473" i="10"/>
  <c r="P465" i="10"/>
  <c r="Q465" i="10"/>
  <c r="M465" i="10"/>
  <c r="P436" i="10"/>
  <c r="M436" i="10"/>
  <c r="Q436" i="10"/>
  <c r="M397" i="10"/>
  <c r="Q397" i="10"/>
  <c r="P397" i="10"/>
  <c r="Q348" i="10"/>
  <c r="M348" i="10"/>
  <c r="P348" i="10"/>
  <c r="M323" i="10"/>
  <c r="Q323" i="10"/>
  <c r="P323" i="10"/>
  <c r="M321" i="10"/>
  <c r="P321" i="10"/>
  <c r="P224" i="10"/>
  <c r="Q224" i="10"/>
  <c r="P218" i="10"/>
  <c r="Q218" i="10"/>
  <c r="P216" i="10"/>
  <c r="Q216" i="10"/>
  <c r="P180" i="10"/>
  <c r="Q180" i="10"/>
  <c r="P144" i="10"/>
  <c r="M144" i="10"/>
  <c r="F565" i="13"/>
  <c r="H565" i="13"/>
  <c r="G565" i="13"/>
  <c r="E567" i="13"/>
  <c r="F567" i="13"/>
  <c r="G567" i="13"/>
  <c r="H567" i="13"/>
  <c r="J569" i="13"/>
  <c r="H569" i="13"/>
  <c r="I569" i="13"/>
  <c r="D588" i="13"/>
  <c r="G588" i="13"/>
  <c r="F588" i="13"/>
  <c r="I588" i="13"/>
  <c r="J588" i="13"/>
  <c r="E588" i="13"/>
  <c r="H588" i="13"/>
  <c r="H589" i="13"/>
  <c r="J589" i="13"/>
  <c r="I589" i="13"/>
  <c r="F592" i="13"/>
  <c r="H592" i="13"/>
  <c r="I592" i="13"/>
  <c r="J592" i="13"/>
  <c r="G592" i="13"/>
  <c r="H417" i="13"/>
  <c r="I417" i="13"/>
  <c r="J417" i="13"/>
  <c r="H432" i="13"/>
  <c r="I432" i="13"/>
  <c r="J432" i="13"/>
  <c r="F452" i="13"/>
  <c r="G452" i="13"/>
  <c r="I465" i="13"/>
  <c r="J465" i="13"/>
  <c r="G479" i="13"/>
  <c r="I479" i="13"/>
  <c r="H479" i="13"/>
  <c r="G504" i="13"/>
  <c r="H504" i="13"/>
  <c r="I510" i="13"/>
  <c r="J510" i="13"/>
  <c r="G523" i="13"/>
  <c r="I523" i="13"/>
  <c r="J523" i="13"/>
  <c r="H523" i="13"/>
  <c r="I527" i="13"/>
  <c r="J527" i="13"/>
  <c r="J541" i="13"/>
  <c r="I541" i="13"/>
  <c r="F356" i="13"/>
  <c r="H356" i="13"/>
  <c r="G356" i="13"/>
  <c r="I358" i="13"/>
  <c r="J358" i="13"/>
  <c r="I360" i="13"/>
  <c r="J360" i="13"/>
  <c r="H271" i="13"/>
  <c r="I271" i="13"/>
  <c r="H295" i="13"/>
  <c r="J295" i="13"/>
  <c r="F317" i="13"/>
  <c r="G317" i="13"/>
  <c r="AC1975" i="8"/>
  <c r="AE1975" i="8" s="1"/>
  <c r="AF1975" i="8" s="1"/>
  <c r="P591" i="10"/>
  <c r="Q591" i="10"/>
  <c r="P570" i="10"/>
  <c r="M570" i="10"/>
  <c r="Q570" i="10"/>
  <c r="P561" i="10"/>
  <c r="Q561" i="10"/>
  <c r="Q486" i="10"/>
  <c r="P486" i="10"/>
  <c r="M472" i="10"/>
  <c r="P472" i="10"/>
  <c r="Q457" i="10"/>
  <c r="P457" i="10"/>
  <c r="P444" i="10"/>
  <c r="Q444" i="10"/>
  <c r="L383" i="10"/>
  <c r="J383" i="10"/>
  <c r="M382" i="10"/>
  <c r="P382" i="10"/>
  <c r="M373" i="10"/>
  <c r="L373" i="10"/>
  <c r="P372" i="10"/>
  <c r="Q372" i="10"/>
  <c r="J348" i="10"/>
  <c r="L348" i="10"/>
  <c r="L335" i="10"/>
  <c r="M335" i="10"/>
  <c r="P335" i="10"/>
  <c r="P322" i="10"/>
  <c r="Q322" i="10"/>
  <c r="M302" i="10"/>
  <c r="P302" i="10"/>
  <c r="P299" i="10"/>
  <c r="Q299" i="10"/>
  <c r="L254" i="10"/>
  <c r="M254" i="10"/>
  <c r="P238" i="10"/>
  <c r="Q238" i="10"/>
  <c r="Q231" i="10"/>
  <c r="P231" i="10"/>
  <c r="P201" i="10"/>
  <c r="Q201" i="10"/>
  <c r="P198" i="10"/>
  <c r="Q198" i="10"/>
  <c r="L170" i="10"/>
  <c r="M170" i="10"/>
  <c r="P170" i="10"/>
  <c r="Q170" i="10"/>
  <c r="M147" i="10"/>
  <c r="Q147" i="10"/>
  <c r="P147" i="10"/>
  <c r="M134" i="10"/>
  <c r="P134" i="10"/>
  <c r="F61" i="10"/>
  <c r="H61" i="10"/>
  <c r="D50" i="10"/>
  <c r="E50" i="10"/>
  <c r="F50" i="10"/>
  <c r="E30" i="10"/>
  <c r="H30" i="10"/>
  <c r="I383" i="13"/>
  <c r="J383" i="13"/>
  <c r="I390" i="13"/>
  <c r="J390" i="13"/>
  <c r="H395" i="13"/>
  <c r="J395" i="13"/>
  <c r="I395" i="13"/>
  <c r="B50" i="10"/>
  <c r="C50" i="10"/>
  <c r="F555" i="13"/>
  <c r="H555" i="13"/>
  <c r="J555" i="13"/>
  <c r="G555" i="13"/>
  <c r="I555" i="13"/>
  <c r="E556" i="13"/>
  <c r="F556" i="13"/>
  <c r="I556" i="13"/>
  <c r="G556" i="13"/>
  <c r="J556" i="13"/>
  <c r="H556" i="13"/>
  <c r="I558" i="13"/>
  <c r="H558" i="13"/>
  <c r="F561" i="13"/>
  <c r="J561" i="13"/>
  <c r="H561" i="13"/>
  <c r="I561" i="13"/>
  <c r="G561" i="13"/>
  <c r="E565" i="13"/>
  <c r="D565" i="13"/>
  <c r="G573" i="13"/>
  <c r="I573" i="13"/>
  <c r="H573" i="13"/>
  <c r="I577" i="13"/>
  <c r="J577" i="13"/>
  <c r="I584" i="13"/>
  <c r="J584" i="13"/>
  <c r="I593" i="13"/>
  <c r="J593" i="13"/>
  <c r="I596" i="13"/>
  <c r="J596" i="13"/>
  <c r="J406" i="13"/>
  <c r="I406" i="13"/>
  <c r="H406" i="13"/>
  <c r="F409" i="13"/>
  <c r="H409" i="13"/>
  <c r="G409" i="13"/>
  <c r="J409" i="13"/>
  <c r="I409" i="13"/>
  <c r="D412" i="13"/>
  <c r="E412" i="13"/>
  <c r="H413" i="13"/>
  <c r="G413" i="13"/>
  <c r="G414" i="13"/>
  <c r="I414" i="13"/>
  <c r="H414" i="13"/>
  <c r="G416" i="13"/>
  <c r="H416" i="13"/>
  <c r="G422" i="13"/>
  <c r="E422" i="13"/>
  <c r="D422" i="13"/>
  <c r="F422" i="13"/>
  <c r="I424" i="13"/>
  <c r="J424" i="13"/>
  <c r="H428" i="13"/>
  <c r="I428" i="13"/>
  <c r="H431" i="13"/>
  <c r="I431" i="13"/>
  <c r="H447" i="13"/>
  <c r="G447" i="13"/>
  <c r="I447" i="13"/>
  <c r="H459" i="13"/>
  <c r="J459" i="13"/>
  <c r="I459" i="13"/>
  <c r="I462" i="13"/>
  <c r="J462" i="13"/>
  <c r="H462" i="13"/>
  <c r="G468" i="13"/>
  <c r="I468" i="13"/>
  <c r="H468" i="13"/>
  <c r="J468" i="13"/>
  <c r="J473" i="13"/>
  <c r="I473" i="13"/>
  <c r="G488" i="13"/>
  <c r="I488" i="13"/>
  <c r="H488" i="13"/>
  <c r="I489" i="13"/>
  <c r="J489" i="13"/>
  <c r="H495" i="13"/>
  <c r="J495" i="13"/>
  <c r="I495" i="13"/>
  <c r="H502" i="13"/>
  <c r="I502" i="13"/>
  <c r="J502" i="13"/>
  <c r="E513" i="13"/>
  <c r="H513" i="13"/>
  <c r="J513" i="13"/>
  <c r="G513" i="13"/>
  <c r="F513" i="13"/>
  <c r="I513" i="13"/>
  <c r="H516" i="13"/>
  <c r="J516" i="13"/>
  <c r="I516" i="13"/>
  <c r="I521" i="13"/>
  <c r="J521" i="13"/>
  <c r="H530" i="13"/>
  <c r="J530" i="13"/>
  <c r="G530" i="13"/>
  <c r="I530" i="13"/>
  <c r="F532" i="13"/>
  <c r="H532" i="13"/>
  <c r="I532" i="13"/>
  <c r="G532" i="13"/>
  <c r="I538" i="13"/>
  <c r="J538" i="13"/>
  <c r="I550" i="13"/>
  <c r="H550" i="13"/>
  <c r="J550" i="13"/>
  <c r="G360" i="13"/>
  <c r="H360" i="13"/>
  <c r="J366" i="13"/>
  <c r="I366" i="13"/>
  <c r="F368" i="13"/>
  <c r="H368" i="13"/>
  <c r="G368" i="13"/>
  <c r="J369" i="13"/>
  <c r="I369" i="13"/>
  <c r="F370" i="13"/>
  <c r="G370" i="13"/>
  <c r="H370" i="13"/>
  <c r="H373" i="13"/>
  <c r="I373" i="13"/>
  <c r="H375" i="13"/>
  <c r="I375" i="13"/>
  <c r="H377" i="13"/>
  <c r="J377" i="13"/>
  <c r="I377" i="13"/>
  <c r="E383" i="13"/>
  <c r="F383" i="13"/>
  <c r="H383" i="13"/>
  <c r="G383" i="13"/>
  <c r="J387" i="13"/>
  <c r="I387" i="13"/>
  <c r="I388" i="13"/>
  <c r="J388" i="13"/>
  <c r="G390" i="13"/>
  <c r="H390" i="13"/>
  <c r="G295" i="13"/>
  <c r="F295" i="13"/>
  <c r="J298" i="13"/>
  <c r="I298" i="13"/>
  <c r="I306" i="13"/>
  <c r="J306" i="13"/>
  <c r="H327" i="13"/>
  <c r="I327" i="13"/>
  <c r="F339" i="13"/>
  <c r="G339" i="13"/>
  <c r="I339" i="13"/>
  <c r="H339" i="13"/>
  <c r="J339" i="13"/>
  <c r="I343" i="13"/>
  <c r="J343" i="13"/>
  <c r="H351" i="13"/>
  <c r="I351" i="13"/>
  <c r="L126" i="10"/>
  <c r="M126" i="10" s="1"/>
  <c r="L130" i="10"/>
  <c r="M130" i="10" s="1"/>
  <c r="Q600" i="10"/>
  <c r="P600" i="10"/>
  <c r="Q596" i="10"/>
  <c r="P596" i="10"/>
  <c r="I592" i="10"/>
  <c r="J592" i="10"/>
  <c r="P587" i="10"/>
  <c r="Q587" i="10"/>
  <c r="F576" i="10"/>
  <c r="H576" i="10"/>
  <c r="P574" i="10"/>
  <c r="Q574" i="10"/>
  <c r="L573" i="10"/>
  <c r="P573" i="10"/>
  <c r="M573" i="10"/>
  <c r="P568" i="10"/>
  <c r="Q568" i="10"/>
  <c r="I566" i="10"/>
  <c r="J566" i="10"/>
  <c r="L566" i="10"/>
  <c r="J561" i="10"/>
  <c r="L561" i="10"/>
  <c r="M561" i="10"/>
  <c r="J552" i="10"/>
  <c r="L552" i="10"/>
  <c r="M552" i="10"/>
  <c r="P547" i="10"/>
  <c r="Q547" i="10"/>
  <c r="L543" i="10"/>
  <c r="M543" i="10"/>
  <c r="F542" i="10"/>
  <c r="I542" i="10"/>
  <c r="H542" i="10"/>
  <c r="L526" i="10"/>
  <c r="M526" i="10"/>
  <c r="P523" i="10"/>
  <c r="Q523" i="10"/>
  <c r="Q516" i="10"/>
  <c r="P516" i="10"/>
  <c r="M516" i="10"/>
  <c r="M513" i="10"/>
  <c r="Q513" i="10"/>
  <c r="P513" i="10"/>
  <c r="M511" i="10"/>
  <c r="L511" i="10"/>
  <c r="P511" i="10"/>
  <c r="P509" i="10"/>
  <c r="Q509" i="10"/>
  <c r="I507" i="10"/>
  <c r="J507" i="10"/>
  <c r="M491" i="10"/>
  <c r="P491" i="10"/>
  <c r="Q491" i="10"/>
  <c r="M487" i="10"/>
  <c r="P487" i="10"/>
  <c r="Q487" i="10"/>
  <c r="M486" i="10"/>
  <c r="L486" i="10"/>
  <c r="D485" i="10"/>
  <c r="F485" i="10"/>
  <c r="E485" i="10"/>
  <c r="M482" i="10"/>
  <c r="P482" i="10"/>
  <c r="J480" i="10"/>
  <c r="L480" i="10"/>
  <c r="M480" i="10"/>
  <c r="Q474" i="10"/>
  <c r="P474" i="10"/>
  <c r="M474" i="10"/>
  <c r="J469" i="10"/>
  <c r="I469" i="10"/>
  <c r="M457" i="10"/>
  <c r="J457" i="10"/>
  <c r="I457" i="10"/>
  <c r="L457" i="10"/>
  <c r="M452" i="10"/>
  <c r="P452" i="10"/>
  <c r="I451" i="10"/>
  <c r="L451" i="10"/>
  <c r="J451" i="10"/>
  <c r="L444" i="10"/>
  <c r="M444" i="10"/>
  <c r="Q429" i="10"/>
  <c r="P429" i="10"/>
  <c r="M416" i="10"/>
  <c r="Q416" i="10"/>
  <c r="P416" i="10"/>
  <c r="L389" i="10"/>
  <c r="M389" i="10"/>
  <c r="P385" i="10"/>
  <c r="Q385" i="10"/>
  <c r="H373" i="10"/>
  <c r="I373" i="10"/>
  <c r="J373" i="10"/>
  <c r="P362" i="10"/>
  <c r="Q362" i="10"/>
  <c r="P359" i="10"/>
  <c r="Q359" i="10"/>
  <c r="P329" i="10"/>
  <c r="Q329" i="10"/>
  <c r="J321" i="10"/>
  <c r="I321" i="10"/>
  <c r="L321" i="10"/>
  <c r="D318" i="10"/>
  <c r="F318" i="10"/>
  <c r="H318" i="10"/>
  <c r="I318" i="10"/>
  <c r="E318" i="10"/>
  <c r="P312" i="10"/>
  <c r="Q312" i="10"/>
  <c r="P304" i="10"/>
  <c r="Q304" i="10"/>
  <c r="I302" i="10"/>
  <c r="L302" i="10"/>
  <c r="J302" i="10"/>
  <c r="J299" i="10"/>
  <c r="L299" i="10"/>
  <c r="M299" i="10"/>
  <c r="L285" i="10"/>
  <c r="P285" i="10"/>
  <c r="M285" i="10"/>
  <c r="P279" i="10"/>
  <c r="Q279" i="10"/>
  <c r="P275" i="10"/>
  <c r="Q275" i="10"/>
  <c r="P270" i="10"/>
  <c r="Q270" i="10"/>
  <c r="L268" i="10"/>
  <c r="P268" i="10"/>
  <c r="M268" i="10"/>
  <c r="P261" i="10"/>
  <c r="Q261" i="10"/>
  <c r="M240" i="10"/>
  <c r="P240" i="10"/>
  <c r="P227" i="10"/>
  <c r="M227" i="10"/>
  <c r="M222" i="10"/>
  <c r="P222" i="10"/>
  <c r="Q222" i="10"/>
  <c r="M218" i="10"/>
  <c r="J218" i="10"/>
  <c r="L218" i="10"/>
  <c r="L215" i="10"/>
  <c r="P215" i="10"/>
  <c r="M215" i="10"/>
  <c r="M198" i="10"/>
  <c r="L198" i="10"/>
  <c r="L191" i="10"/>
  <c r="M191" i="10"/>
  <c r="P189" i="10"/>
  <c r="Q189" i="10"/>
  <c r="F185" i="10"/>
  <c r="H185" i="10"/>
  <c r="M171" i="10"/>
  <c r="Q171" i="10"/>
  <c r="J160" i="10"/>
  <c r="L160" i="10"/>
  <c r="P159" i="10"/>
  <c r="Q159" i="10"/>
  <c r="P157" i="10"/>
  <c r="Q157" i="10"/>
  <c r="Q155" i="10"/>
  <c r="M155" i="10"/>
  <c r="P155" i="10"/>
  <c r="M153" i="10"/>
  <c r="Q153" i="10"/>
  <c r="P153" i="10"/>
  <c r="J150" i="10"/>
  <c r="M150" i="10"/>
  <c r="P150" i="10"/>
  <c r="L150" i="10"/>
  <c r="P149" i="10"/>
  <c r="Q149" i="10"/>
  <c r="M148" i="10"/>
  <c r="Q148" i="10"/>
  <c r="P148" i="10"/>
  <c r="P143" i="10"/>
  <c r="Q143" i="10"/>
  <c r="D5" i="9"/>
  <c r="C5" i="9"/>
  <c r="H559" i="13"/>
  <c r="I559" i="13"/>
  <c r="G566" i="13"/>
  <c r="I566" i="13"/>
  <c r="J566" i="13"/>
  <c r="H566" i="13"/>
  <c r="F569" i="13"/>
  <c r="D569" i="13"/>
  <c r="E569" i="13"/>
  <c r="G569" i="13"/>
  <c r="F582" i="13"/>
  <c r="I582" i="13"/>
  <c r="G582" i="13"/>
  <c r="H582" i="13"/>
  <c r="F589" i="13"/>
  <c r="G589" i="13"/>
  <c r="H591" i="13"/>
  <c r="J591" i="13"/>
  <c r="I591" i="13"/>
  <c r="E592" i="13"/>
  <c r="D592" i="13"/>
  <c r="D593" i="13"/>
  <c r="F593" i="13"/>
  <c r="H593" i="13"/>
  <c r="E593" i="13"/>
  <c r="G593" i="13"/>
  <c r="F595" i="13"/>
  <c r="H595" i="13"/>
  <c r="I595" i="13"/>
  <c r="G595" i="13"/>
  <c r="G598" i="13"/>
  <c r="H598" i="13"/>
  <c r="I598" i="13"/>
  <c r="H599" i="13"/>
  <c r="I599" i="13"/>
  <c r="J599" i="13"/>
  <c r="I600" i="13"/>
  <c r="J600" i="13"/>
  <c r="J405" i="13"/>
  <c r="I405" i="13"/>
  <c r="E406" i="13"/>
  <c r="G406" i="13"/>
  <c r="F406" i="13"/>
  <c r="G410" i="13"/>
  <c r="H410" i="13"/>
  <c r="E413" i="13"/>
  <c r="F413" i="13"/>
  <c r="F417" i="13"/>
  <c r="G417" i="13"/>
  <c r="G427" i="13"/>
  <c r="H427" i="13"/>
  <c r="I427" i="13"/>
  <c r="J427" i="13"/>
  <c r="F428" i="13"/>
  <c r="G428" i="13"/>
  <c r="I429" i="13"/>
  <c r="H429" i="13"/>
  <c r="E431" i="13"/>
  <c r="F431" i="13"/>
  <c r="G431" i="13"/>
  <c r="I434" i="13"/>
  <c r="G434" i="13"/>
  <c r="H434" i="13"/>
  <c r="D447" i="13"/>
  <c r="F447" i="13"/>
  <c r="E447" i="13"/>
  <c r="H457" i="13"/>
  <c r="I457" i="13"/>
  <c r="F462" i="13"/>
  <c r="G462" i="13"/>
  <c r="F465" i="13"/>
  <c r="G465" i="13"/>
  <c r="H465" i="13"/>
  <c r="H475" i="13"/>
  <c r="I475" i="13"/>
  <c r="F485" i="13"/>
  <c r="I485" i="13"/>
  <c r="H485" i="13"/>
  <c r="G485" i="13"/>
  <c r="F489" i="13"/>
  <c r="H489" i="13"/>
  <c r="G489" i="13"/>
  <c r="H492" i="13"/>
  <c r="J492" i="13"/>
  <c r="I492" i="13"/>
  <c r="I496" i="13"/>
  <c r="J496" i="13"/>
  <c r="I499" i="13"/>
  <c r="J499" i="13"/>
  <c r="I500" i="13"/>
  <c r="H500" i="13"/>
  <c r="G500" i="13"/>
  <c r="J508" i="13"/>
  <c r="I508" i="13"/>
  <c r="G510" i="13"/>
  <c r="H510" i="13"/>
  <c r="E518" i="13"/>
  <c r="I518" i="13"/>
  <c r="G518" i="13"/>
  <c r="F518" i="13"/>
  <c r="H518" i="13"/>
  <c r="J518" i="13"/>
  <c r="D523" i="13"/>
  <c r="E523" i="13"/>
  <c r="F523" i="13"/>
  <c r="H525" i="13"/>
  <c r="I525" i="13"/>
  <c r="J525" i="13"/>
  <c r="I535" i="13"/>
  <c r="J535" i="13"/>
  <c r="G541" i="13"/>
  <c r="H541" i="13"/>
  <c r="I549" i="13"/>
  <c r="J549" i="13"/>
  <c r="H358" i="13"/>
  <c r="G358" i="13"/>
  <c r="I365" i="13"/>
  <c r="J365" i="13"/>
  <c r="G366" i="13"/>
  <c r="H366" i="13"/>
  <c r="B368" i="13"/>
  <c r="E368" i="13"/>
  <c r="D368" i="13"/>
  <c r="C368" i="13"/>
  <c r="F369" i="13"/>
  <c r="G369" i="13"/>
  <c r="H369" i="13"/>
  <c r="F377" i="13"/>
  <c r="G377" i="13"/>
  <c r="E388" i="13"/>
  <c r="G388" i="13"/>
  <c r="D388" i="13"/>
  <c r="F388" i="13"/>
  <c r="H388" i="13"/>
  <c r="G392" i="13"/>
  <c r="H392" i="13"/>
  <c r="I392" i="13"/>
  <c r="I394" i="13"/>
  <c r="J394" i="13"/>
  <c r="F395" i="13"/>
  <c r="G395" i="13"/>
  <c r="E395" i="13"/>
  <c r="I399" i="13"/>
  <c r="J399" i="13"/>
  <c r="H399" i="13"/>
  <c r="H400" i="13"/>
  <c r="J400" i="13"/>
  <c r="I400" i="13"/>
  <c r="B286" i="13"/>
  <c r="C286" i="13"/>
  <c r="D286" i="13"/>
  <c r="I288" i="13"/>
  <c r="J288" i="13"/>
  <c r="F298" i="13"/>
  <c r="H298" i="13"/>
  <c r="G298" i="13"/>
  <c r="J299" i="13"/>
  <c r="I299" i="13"/>
  <c r="F308" i="13"/>
  <c r="G308" i="13"/>
  <c r="J310" i="13"/>
  <c r="I310" i="13"/>
  <c r="H323" i="13"/>
  <c r="J323" i="13"/>
  <c r="I323" i="13"/>
  <c r="I332" i="13"/>
  <c r="J332" i="13"/>
  <c r="H340" i="13"/>
  <c r="J340" i="13"/>
  <c r="I340" i="13"/>
  <c r="AC1973" i="8"/>
  <c r="AE1973" i="8" s="1"/>
  <c r="AF1973" i="8" s="1"/>
  <c r="T41" i="8"/>
  <c r="T40" i="8"/>
  <c r="T5" i="8"/>
  <c r="T77" i="8"/>
  <c r="T76" i="8"/>
  <c r="T75" i="8"/>
  <c r="T74" i="8"/>
  <c r="T73" i="8"/>
  <c r="T72" i="8"/>
  <c r="T71" i="8"/>
  <c r="T70" i="8"/>
  <c r="T69" i="8"/>
  <c r="T68" i="8"/>
  <c r="T67" i="8"/>
  <c r="T66" i="8"/>
  <c r="T65" i="8"/>
  <c r="T64" i="8"/>
  <c r="T63" i="8"/>
  <c r="T62" i="8"/>
  <c r="T61" i="8"/>
  <c r="T60" i="8"/>
  <c r="T59" i="8"/>
  <c r="T58" i="8"/>
  <c r="T57" i="8"/>
  <c r="T56" i="8"/>
  <c r="T55" i="8"/>
  <c r="T54" i="8"/>
  <c r="T53" i="8"/>
  <c r="T52" i="8"/>
  <c r="T51" i="8"/>
  <c r="T50" i="8"/>
  <c r="T49" i="8"/>
  <c r="T48" i="8"/>
  <c r="T47" i="8"/>
  <c r="T46" i="8"/>
  <c r="T45" i="8"/>
  <c r="T44" i="8"/>
  <c r="T43" i="8"/>
  <c r="T42" i="8"/>
  <c r="T39" i="8"/>
  <c r="T38" i="8"/>
  <c r="T37" i="8"/>
  <c r="T36" i="8"/>
  <c r="T35" i="8"/>
  <c r="T34" i="8"/>
  <c r="T33" i="8"/>
  <c r="T32" i="8"/>
  <c r="T31" i="8"/>
  <c r="T30" i="8"/>
  <c r="T29" i="8"/>
  <c r="T28" i="8"/>
  <c r="T27" i="8"/>
  <c r="T26" i="8"/>
  <c r="T25" i="8"/>
  <c r="T24" i="8"/>
  <c r="T23" i="8"/>
  <c r="T22" i="8"/>
  <c r="T21" i="8"/>
  <c r="T20" i="8"/>
  <c r="T19" i="8"/>
  <c r="T18" i="8"/>
  <c r="T17" i="8"/>
  <c r="T16" i="8"/>
  <c r="T15" i="8"/>
  <c r="T14" i="8"/>
  <c r="T13" i="8"/>
  <c r="T12" i="8"/>
  <c r="T11" i="8"/>
  <c r="T10" i="8"/>
  <c r="T9" i="8"/>
  <c r="T8" i="8"/>
  <c r="T7" i="8"/>
  <c r="T6"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T355" i="8"/>
  <c r="T356" i="8"/>
  <c r="T357" i="8"/>
  <c r="T358" i="8"/>
  <c r="T359" i="8"/>
  <c r="T360" i="8"/>
  <c r="T361" i="8"/>
  <c r="T362" i="8"/>
  <c r="T363" i="8"/>
  <c r="T364" i="8"/>
  <c r="T365" i="8"/>
  <c r="T366" i="8"/>
  <c r="T367" i="8"/>
  <c r="T368" i="8"/>
  <c r="T369" i="8"/>
  <c r="T370" i="8"/>
  <c r="T371" i="8"/>
  <c r="T372" i="8"/>
  <c r="T373" i="8"/>
  <c r="T374" i="8"/>
  <c r="T375" i="8"/>
  <c r="T376" i="8"/>
  <c r="T377" i="8"/>
  <c r="T378" i="8"/>
  <c r="T379" i="8"/>
  <c r="T380" i="8"/>
  <c r="T381" i="8"/>
  <c r="T382" i="8"/>
  <c r="T383" i="8"/>
  <c r="T384" i="8"/>
  <c r="T385" i="8"/>
  <c r="T386" i="8"/>
  <c r="T387" i="8"/>
  <c r="T388" i="8"/>
  <c r="T389" i="8"/>
  <c r="T391" i="8"/>
  <c r="T392" i="8"/>
  <c r="T393" i="8"/>
  <c r="T394" i="8"/>
  <c r="T395" i="8"/>
  <c r="T396" i="8"/>
  <c r="T397" i="8"/>
  <c r="T398" i="8"/>
  <c r="T399" i="8"/>
  <c r="T400" i="8"/>
  <c r="T401" i="8"/>
  <c r="T402" i="8"/>
  <c r="T403" i="8"/>
  <c r="T404" i="8"/>
  <c r="T405" i="8"/>
  <c r="T406" i="8"/>
  <c r="T407" i="8"/>
  <c r="T408" i="8"/>
  <c r="T409" i="8"/>
  <c r="T410" i="8"/>
  <c r="T411" i="8"/>
  <c r="T412" i="8"/>
  <c r="T413" i="8"/>
  <c r="T414" i="8"/>
  <c r="T415" i="8"/>
  <c r="T416" i="8"/>
  <c r="T417" i="8"/>
  <c r="T418" i="8"/>
  <c r="T419" i="8"/>
  <c r="T420" i="8"/>
  <c r="T421" i="8"/>
  <c r="T422" i="8"/>
  <c r="T423" i="8"/>
  <c r="T424" i="8"/>
  <c r="T425" i="8"/>
  <c r="T426" i="8"/>
  <c r="T427" i="8"/>
  <c r="T428" i="8"/>
  <c r="T429" i="8"/>
  <c r="T430" i="8"/>
  <c r="T431" i="8"/>
  <c r="T432" i="8"/>
  <c r="T433" i="8"/>
  <c r="T434" i="8"/>
  <c r="T435" i="8"/>
  <c r="T436" i="8"/>
  <c r="T437" i="8"/>
  <c r="T438" i="8"/>
  <c r="T439" i="8"/>
  <c r="T440" i="8"/>
  <c r="T441" i="8"/>
  <c r="T442" i="8"/>
  <c r="T443" i="8"/>
  <c r="T444" i="8"/>
  <c r="T445" i="8"/>
  <c r="T446" i="8"/>
  <c r="T447" i="8"/>
  <c r="T448" i="8"/>
  <c r="T449" i="8"/>
  <c r="T450" i="8"/>
  <c r="T451" i="8"/>
  <c r="T452" i="8"/>
  <c r="T453" i="8"/>
  <c r="T454" i="8"/>
  <c r="T455" i="8"/>
  <c r="T456" i="8"/>
  <c r="T457" i="8"/>
  <c r="T458" i="8"/>
  <c r="T459" i="8"/>
  <c r="T460" i="8"/>
  <c r="T461" i="8"/>
  <c r="T462" i="8"/>
  <c r="T463" i="8"/>
  <c r="T464" i="8"/>
  <c r="T465" i="8"/>
  <c r="T466" i="8"/>
  <c r="T467" i="8"/>
  <c r="T468" i="8"/>
  <c r="T469" i="8"/>
  <c r="T470" i="8"/>
  <c r="T471" i="8"/>
  <c r="T472" i="8"/>
  <c r="T473" i="8"/>
  <c r="T474" i="8"/>
  <c r="T475" i="8"/>
  <c r="T476" i="8"/>
  <c r="T477" i="8"/>
  <c r="T478" i="8"/>
  <c r="T479" i="8"/>
  <c r="T480" i="8"/>
  <c r="T481" i="8"/>
  <c r="T482" i="8"/>
  <c r="T483" i="8"/>
  <c r="T484" i="8"/>
  <c r="T485" i="8"/>
  <c r="T486" i="8"/>
  <c r="T487" i="8"/>
  <c r="T488" i="8"/>
  <c r="T489" i="8"/>
  <c r="T490" i="8"/>
  <c r="T491" i="8"/>
  <c r="T492" i="8"/>
  <c r="T493" i="8"/>
  <c r="T494" i="8"/>
  <c r="T495" i="8"/>
  <c r="T496" i="8"/>
  <c r="T497" i="8"/>
  <c r="T498" i="8"/>
  <c r="T499" i="8"/>
  <c r="T500" i="8"/>
  <c r="T501" i="8"/>
  <c r="T502" i="8"/>
  <c r="T503" i="8"/>
  <c r="T504" i="8"/>
  <c r="T505" i="8"/>
  <c r="T506" i="8"/>
  <c r="T507" i="8"/>
  <c r="T508" i="8"/>
  <c r="T509" i="8"/>
  <c r="T510" i="8"/>
  <c r="T511" i="8"/>
  <c r="T512" i="8"/>
  <c r="T513" i="8"/>
  <c r="T514" i="8"/>
  <c r="T515" i="8"/>
  <c r="T516" i="8"/>
  <c r="T517" i="8"/>
  <c r="T518" i="8"/>
  <c r="T519" i="8"/>
  <c r="T520" i="8"/>
  <c r="T521" i="8"/>
  <c r="T522" i="8"/>
  <c r="T523" i="8"/>
  <c r="T524" i="8"/>
  <c r="T525" i="8"/>
  <c r="T526" i="8"/>
  <c r="T527" i="8"/>
  <c r="T528" i="8"/>
  <c r="T529" i="8"/>
  <c r="T530" i="8"/>
  <c r="T531" i="8"/>
  <c r="T532" i="8"/>
  <c r="T533" i="8"/>
  <c r="T534" i="8"/>
  <c r="T535" i="8"/>
  <c r="T536" i="8"/>
  <c r="T537" i="8"/>
  <c r="T538" i="8"/>
  <c r="T539" i="8"/>
  <c r="T540" i="8"/>
  <c r="T541" i="8"/>
  <c r="T542" i="8"/>
  <c r="T543" i="8"/>
  <c r="T544" i="8"/>
  <c r="T545" i="8"/>
  <c r="T546" i="8"/>
  <c r="T547" i="8"/>
  <c r="T548" i="8"/>
  <c r="T549" i="8"/>
  <c r="T550" i="8"/>
  <c r="T551" i="8"/>
  <c r="T552" i="8"/>
  <c r="T553" i="8"/>
  <c r="T554" i="8"/>
  <c r="T555" i="8"/>
  <c r="T556" i="8"/>
  <c r="T557" i="8"/>
  <c r="T558" i="8"/>
  <c r="T559" i="8"/>
  <c r="T560" i="8"/>
  <c r="T561" i="8"/>
  <c r="T562" i="8"/>
  <c r="T563" i="8"/>
  <c r="T564" i="8"/>
  <c r="T565" i="8"/>
  <c r="T566" i="8"/>
  <c r="T567" i="8"/>
  <c r="T568" i="8"/>
  <c r="T569" i="8"/>
  <c r="T570" i="8"/>
  <c r="T571" i="8"/>
  <c r="T572" i="8"/>
  <c r="T573" i="8"/>
  <c r="T574" i="8"/>
  <c r="T575" i="8"/>
  <c r="T576" i="8"/>
  <c r="T577" i="8"/>
  <c r="T578" i="8"/>
  <c r="T579" i="8"/>
  <c r="T580" i="8"/>
  <c r="T581" i="8"/>
  <c r="T582" i="8"/>
  <c r="T583" i="8"/>
  <c r="T584" i="8"/>
  <c r="T585" i="8"/>
  <c r="T586" i="8"/>
  <c r="T587" i="8"/>
  <c r="T588" i="8"/>
  <c r="T589" i="8"/>
  <c r="T590" i="8"/>
  <c r="T591" i="8"/>
  <c r="T592" i="8"/>
  <c r="T593" i="8"/>
  <c r="T594" i="8"/>
  <c r="T595" i="8"/>
  <c r="T596" i="8"/>
  <c r="T597" i="8"/>
  <c r="T598" i="8"/>
  <c r="T599" i="8"/>
  <c r="T600" i="8"/>
  <c r="T601" i="8"/>
  <c r="T602" i="8"/>
  <c r="T603" i="8"/>
  <c r="T604" i="8"/>
  <c r="T605" i="8"/>
  <c r="T606" i="8"/>
  <c r="T607" i="8"/>
  <c r="T608" i="8"/>
  <c r="T609" i="8"/>
  <c r="T610" i="8"/>
  <c r="T611" i="8"/>
  <c r="T612" i="8"/>
  <c r="T613" i="8"/>
  <c r="T614" i="8"/>
  <c r="T615" i="8"/>
  <c r="T616" i="8"/>
  <c r="T617" i="8"/>
  <c r="T618" i="8"/>
  <c r="T619" i="8"/>
  <c r="T620" i="8"/>
  <c r="T621" i="8"/>
  <c r="T622" i="8"/>
  <c r="T623" i="8"/>
  <c r="T624" i="8"/>
  <c r="T625" i="8"/>
  <c r="T626" i="8"/>
  <c r="T627" i="8"/>
  <c r="T628" i="8"/>
  <c r="T629" i="8"/>
  <c r="T630" i="8"/>
  <c r="T631" i="8"/>
  <c r="T632" i="8"/>
  <c r="T633" i="8"/>
  <c r="T634" i="8"/>
  <c r="T635" i="8"/>
  <c r="T636" i="8"/>
  <c r="T637" i="8"/>
  <c r="T638" i="8"/>
  <c r="T639" i="8"/>
  <c r="T640" i="8"/>
  <c r="T641" i="8"/>
  <c r="T642" i="8"/>
  <c r="T643" i="8"/>
  <c r="T644" i="8"/>
  <c r="T645" i="8"/>
  <c r="T646" i="8"/>
  <c r="T647" i="8"/>
  <c r="T648" i="8"/>
  <c r="T649" i="8"/>
  <c r="T650" i="8"/>
  <c r="T651" i="8"/>
  <c r="T652" i="8"/>
  <c r="T653" i="8"/>
  <c r="T654" i="8"/>
  <c r="T655" i="8"/>
  <c r="T656" i="8"/>
  <c r="T657" i="8"/>
  <c r="T658" i="8"/>
  <c r="T659" i="8"/>
  <c r="T660" i="8"/>
  <c r="T661" i="8"/>
  <c r="T662" i="8"/>
  <c r="T663" i="8"/>
  <c r="T664" i="8"/>
  <c r="T665" i="8"/>
  <c r="T666" i="8"/>
  <c r="T667" i="8"/>
  <c r="T668" i="8"/>
  <c r="T669" i="8"/>
  <c r="T670" i="8"/>
  <c r="T671" i="8"/>
  <c r="T672" i="8"/>
  <c r="T673" i="8"/>
  <c r="T674" i="8"/>
  <c r="T675" i="8"/>
  <c r="T676" i="8"/>
  <c r="T677" i="8"/>
  <c r="T678" i="8"/>
  <c r="T679" i="8"/>
  <c r="T680" i="8"/>
  <c r="T681" i="8"/>
  <c r="T682" i="8"/>
  <c r="T683" i="8"/>
  <c r="T684" i="8"/>
  <c r="T685" i="8"/>
  <c r="T686" i="8"/>
  <c r="T687" i="8"/>
  <c r="T688" i="8"/>
  <c r="T689" i="8"/>
  <c r="T690" i="8"/>
  <c r="T691" i="8"/>
  <c r="T692" i="8"/>
  <c r="T693" i="8"/>
  <c r="T694" i="8"/>
  <c r="T695" i="8"/>
  <c r="T696" i="8"/>
  <c r="T697" i="8"/>
  <c r="T698" i="8"/>
  <c r="T699" i="8"/>
  <c r="T700" i="8"/>
  <c r="T701" i="8"/>
  <c r="T702" i="8"/>
  <c r="T703" i="8"/>
  <c r="T704" i="8"/>
  <c r="T705" i="8"/>
  <c r="T706" i="8"/>
  <c r="T707" i="8"/>
  <c r="T708" i="8"/>
  <c r="T709" i="8"/>
  <c r="T710" i="8"/>
  <c r="T711" i="8"/>
  <c r="T712" i="8"/>
  <c r="T713" i="8"/>
  <c r="T714" i="8"/>
  <c r="T715" i="8"/>
  <c r="T716" i="8"/>
  <c r="T717" i="8"/>
  <c r="T718" i="8"/>
  <c r="T719" i="8"/>
  <c r="T720" i="8"/>
  <c r="T721" i="8"/>
  <c r="T722" i="8"/>
  <c r="T723" i="8"/>
  <c r="T724" i="8"/>
  <c r="T725" i="8"/>
  <c r="T726" i="8"/>
  <c r="T727" i="8"/>
  <c r="T728" i="8"/>
  <c r="T729" i="8"/>
  <c r="T730" i="8"/>
  <c r="T731" i="8"/>
  <c r="T732" i="8"/>
  <c r="T733" i="8"/>
  <c r="T734" i="8"/>
  <c r="T735" i="8"/>
  <c r="T736" i="8"/>
  <c r="T737" i="8"/>
  <c r="T738" i="8"/>
  <c r="T739" i="8"/>
  <c r="T740" i="8"/>
  <c r="T741" i="8"/>
  <c r="T742" i="8"/>
  <c r="T743" i="8"/>
  <c r="T744" i="8"/>
  <c r="T745" i="8"/>
  <c r="T746" i="8"/>
  <c r="T747" i="8"/>
  <c r="T748" i="8"/>
  <c r="T749" i="8"/>
  <c r="T750" i="8"/>
  <c r="T751" i="8"/>
  <c r="T752" i="8"/>
  <c r="T753" i="8"/>
  <c r="T754" i="8"/>
  <c r="T755" i="8"/>
  <c r="T756" i="8"/>
  <c r="T757" i="8"/>
  <c r="T758" i="8"/>
  <c r="T759" i="8"/>
  <c r="T760" i="8"/>
  <c r="T761" i="8"/>
  <c r="T762" i="8"/>
  <c r="T763" i="8"/>
  <c r="T764" i="8"/>
  <c r="T765" i="8"/>
  <c r="T766" i="8"/>
  <c r="T767" i="8"/>
  <c r="T768" i="8"/>
  <c r="T769" i="8"/>
  <c r="T770" i="8"/>
  <c r="T771" i="8"/>
  <c r="T772" i="8"/>
  <c r="T773" i="8"/>
  <c r="T774" i="8"/>
  <c r="T775" i="8"/>
  <c r="T776" i="8"/>
  <c r="T777" i="8"/>
  <c r="T778" i="8"/>
  <c r="T779" i="8"/>
  <c r="T780" i="8"/>
  <c r="T781" i="8"/>
  <c r="T782" i="8"/>
  <c r="T783" i="8"/>
  <c r="T784" i="8"/>
  <c r="T785" i="8"/>
  <c r="T786" i="8"/>
  <c r="T787" i="8"/>
  <c r="T788" i="8"/>
  <c r="T789" i="8"/>
  <c r="T790" i="8"/>
  <c r="T791" i="8"/>
  <c r="T792" i="8"/>
  <c r="T793" i="8"/>
  <c r="T794" i="8"/>
  <c r="T795" i="8"/>
  <c r="T796" i="8"/>
  <c r="T797" i="8"/>
  <c r="T798" i="8"/>
  <c r="T799" i="8"/>
  <c r="T800" i="8"/>
  <c r="T801" i="8"/>
  <c r="T802" i="8"/>
  <c r="T803" i="8"/>
  <c r="T804" i="8"/>
  <c r="T805" i="8"/>
  <c r="T806" i="8"/>
  <c r="T807" i="8"/>
  <c r="T808" i="8"/>
  <c r="T809" i="8"/>
  <c r="T810" i="8"/>
  <c r="T811" i="8"/>
  <c r="T812" i="8"/>
  <c r="T813" i="8"/>
  <c r="T814" i="8"/>
  <c r="T815" i="8"/>
  <c r="T816" i="8"/>
  <c r="T817" i="8"/>
  <c r="T818" i="8"/>
  <c r="T819" i="8"/>
  <c r="T820" i="8"/>
  <c r="T821" i="8"/>
  <c r="T822" i="8"/>
  <c r="T823" i="8"/>
  <c r="T824" i="8"/>
  <c r="T825" i="8"/>
  <c r="T826" i="8"/>
  <c r="T827" i="8"/>
  <c r="T828" i="8"/>
  <c r="T829" i="8"/>
  <c r="T830" i="8"/>
  <c r="T831" i="8"/>
  <c r="T832" i="8"/>
  <c r="T833" i="8"/>
  <c r="T834" i="8"/>
  <c r="T835" i="8"/>
  <c r="T836" i="8"/>
  <c r="T837" i="8"/>
  <c r="T838" i="8"/>
  <c r="T839" i="8"/>
  <c r="T840" i="8"/>
  <c r="T841" i="8"/>
  <c r="T842" i="8"/>
  <c r="T843" i="8"/>
  <c r="T844" i="8"/>
  <c r="T845" i="8"/>
  <c r="T846" i="8"/>
  <c r="T847" i="8"/>
  <c r="T848" i="8"/>
  <c r="T849" i="8"/>
  <c r="T850" i="8"/>
  <c r="T851" i="8"/>
  <c r="T852" i="8"/>
  <c r="T853" i="8"/>
  <c r="T854" i="8"/>
  <c r="T855" i="8"/>
  <c r="T856" i="8"/>
  <c r="T857" i="8"/>
  <c r="T858" i="8"/>
  <c r="T859" i="8"/>
  <c r="T860" i="8"/>
  <c r="T861" i="8"/>
  <c r="T862" i="8"/>
  <c r="T863" i="8"/>
  <c r="T864" i="8"/>
  <c r="T865" i="8"/>
  <c r="T866" i="8"/>
  <c r="T867" i="8"/>
  <c r="T868" i="8"/>
  <c r="T869" i="8"/>
  <c r="T870" i="8"/>
  <c r="T871" i="8"/>
  <c r="T872" i="8"/>
  <c r="T873" i="8"/>
  <c r="T874" i="8"/>
  <c r="T875" i="8"/>
  <c r="T876" i="8"/>
  <c r="T877" i="8"/>
  <c r="T878" i="8"/>
  <c r="T879" i="8"/>
  <c r="T880" i="8"/>
  <c r="T881" i="8"/>
  <c r="T882" i="8"/>
  <c r="T883" i="8"/>
  <c r="T884" i="8"/>
  <c r="T885" i="8"/>
  <c r="T886" i="8"/>
  <c r="T887" i="8"/>
  <c r="T888" i="8"/>
  <c r="T889" i="8"/>
  <c r="T890" i="8"/>
  <c r="T891" i="8"/>
  <c r="T892" i="8"/>
  <c r="T893" i="8"/>
  <c r="T894" i="8"/>
  <c r="T895" i="8"/>
  <c r="T896" i="8"/>
  <c r="T897" i="8"/>
  <c r="T898" i="8"/>
  <c r="T899" i="8"/>
  <c r="T900" i="8"/>
  <c r="T901" i="8"/>
  <c r="T902" i="8"/>
  <c r="T903" i="8"/>
  <c r="T904" i="8"/>
  <c r="T905" i="8"/>
  <c r="T906" i="8"/>
  <c r="T907" i="8"/>
  <c r="T908" i="8"/>
  <c r="T909" i="8"/>
  <c r="T910" i="8"/>
  <c r="T911" i="8"/>
  <c r="T912" i="8"/>
  <c r="T913" i="8"/>
  <c r="T914" i="8"/>
  <c r="T915" i="8"/>
  <c r="T916" i="8"/>
  <c r="T917" i="8"/>
  <c r="T918" i="8"/>
  <c r="T919" i="8"/>
  <c r="T920" i="8"/>
  <c r="T921" i="8"/>
  <c r="T922" i="8"/>
  <c r="T923" i="8"/>
  <c r="T924" i="8"/>
  <c r="T925" i="8"/>
  <c r="T926" i="8"/>
  <c r="T927" i="8"/>
  <c r="T928" i="8"/>
  <c r="T929" i="8"/>
  <c r="T930" i="8"/>
  <c r="T931" i="8"/>
  <c r="T932" i="8"/>
  <c r="T933" i="8"/>
  <c r="T934" i="8"/>
  <c r="T935" i="8"/>
  <c r="T936" i="8"/>
  <c r="T937" i="8"/>
  <c r="T938" i="8"/>
  <c r="T939" i="8"/>
  <c r="T940" i="8"/>
  <c r="T941" i="8"/>
  <c r="T942" i="8"/>
  <c r="T943" i="8"/>
  <c r="T944" i="8"/>
  <c r="T945" i="8"/>
  <c r="T946" i="8"/>
  <c r="T947" i="8"/>
  <c r="T948" i="8"/>
  <c r="T949" i="8"/>
  <c r="T950" i="8"/>
  <c r="T951" i="8"/>
  <c r="T952" i="8"/>
  <c r="T953" i="8"/>
  <c r="T954" i="8"/>
  <c r="T955" i="8"/>
  <c r="T956" i="8"/>
  <c r="T957" i="8"/>
  <c r="T958" i="8"/>
  <c r="T959" i="8"/>
  <c r="T960" i="8"/>
  <c r="T961" i="8"/>
  <c r="T962" i="8"/>
  <c r="T963" i="8"/>
  <c r="T964" i="8"/>
  <c r="T965" i="8"/>
  <c r="T966" i="8"/>
  <c r="T967" i="8"/>
  <c r="T968" i="8"/>
  <c r="T969" i="8"/>
  <c r="T970" i="8"/>
  <c r="T971" i="8"/>
  <c r="T972" i="8"/>
  <c r="T973" i="8"/>
  <c r="T974" i="8"/>
  <c r="T975" i="8"/>
  <c r="T976" i="8"/>
  <c r="T977" i="8"/>
  <c r="T978" i="8"/>
  <c r="T979" i="8"/>
  <c r="T980" i="8"/>
  <c r="T981" i="8"/>
  <c r="T982" i="8"/>
  <c r="T983" i="8"/>
  <c r="T984" i="8"/>
  <c r="T985" i="8"/>
  <c r="T986" i="8"/>
  <c r="T987" i="8"/>
  <c r="T988" i="8"/>
  <c r="T989" i="8"/>
  <c r="T990" i="8"/>
  <c r="T991" i="8"/>
  <c r="T992" i="8"/>
  <c r="T993" i="8"/>
  <c r="T994" i="8"/>
  <c r="T995" i="8"/>
  <c r="T996" i="8"/>
  <c r="T997" i="8"/>
  <c r="T998" i="8"/>
  <c r="T999" i="8"/>
  <c r="T1000" i="8"/>
  <c r="T1001" i="8"/>
  <c r="T1002" i="8"/>
  <c r="T1003" i="8"/>
  <c r="T1004" i="8"/>
  <c r="T1005" i="8"/>
  <c r="T1006" i="8"/>
  <c r="T1007" i="8"/>
  <c r="T1008" i="8"/>
  <c r="T1009" i="8"/>
  <c r="T1010" i="8"/>
  <c r="T1011" i="8"/>
  <c r="T1012" i="8"/>
  <c r="T1013" i="8"/>
  <c r="T1014" i="8"/>
  <c r="T1015" i="8"/>
  <c r="T1016" i="8"/>
  <c r="T1017" i="8"/>
  <c r="T1018" i="8"/>
  <c r="T1019" i="8"/>
  <c r="T1020" i="8"/>
  <c r="T1021" i="8"/>
  <c r="T1022" i="8"/>
  <c r="T1023" i="8"/>
  <c r="T1024" i="8"/>
  <c r="T1025" i="8"/>
  <c r="T1026" i="8"/>
  <c r="T1027" i="8"/>
  <c r="T1028" i="8"/>
  <c r="T1029" i="8"/>
  <c r="T1030" i="8"/>
  <c r="T1031" i="8"/>
  <c r="T1032" i="8"/>
  <c r="T1033" i="8"/>
  <c r="T1034" i="8"/>
  <c r="T1035" i="8"/>
  <c r="T1036" i="8"/>
  <c r="T1037" i="8"/>
  <c r="T1038" i="8"/>
  <c r="T1039" i="8"/>
  <c r="T1040" i="8"/>
  <c r="T1041" i="8"/>
  <c r="T1042" i="8"/>
  <c r="T1043" i="8"/>
  <c r="T1044" i="8"/>
  <c r="T1045" i="8"/>
  <c r="T1046" i="8"/>
  <c r="T1047" i="8"/>
  <c r="T1048" i="8"/>
  <c r="T1049" i="8"/>
  <c r="T1050" i="8"/>
  <c r="T1051" i="8"/>
  <c r="T1052" i="8"/>
  <c r="T1053" i="8"/>
  <c r="T1054" i="8"/>
  <c r="T1055" i="8"/>
  <c r="T1056" i="8"/>
  <c r="T1057" i="8"/>
  <c r="T1058" i="8"/>
  <c r="T1059" i="8"/>
  <c r="T1060" i="8"/>
  <c r="T1061" i="8"/>
  <c r="T1062" i="8"/>
  <c r="T1063" i="8"/>
  <c r="T1064" i="8"/>
  <c r="T1065" i="8"/>
  <c r="T1066" i="8"/>
  <c r="T1067" i="8"/>
  <c r="T1068" i="8"/>
  <c r="T1069" i="8"/>
  <c r="T1070" i="8"/>
  <c r="T1071" i="8"/>
  <c r="T1072" i="8"/>
  <c r="T1073" i="8"/>
  <c r="T1074" i="8"/>
  <c r="T1075" i="8"/>
  <c r="T1076" i="8"/>
  <c r="T1077" i="8"/>
  <c r="T1078" i="8"/>
  <c r="T1079" i="8"/>
  <c r="T1080" i="8"/>
  <c r="T1081" i="8"/>
  <c r="T1082" i="8"/>
  <c r="T1083" i="8"/>
  <c r="T1084" i="8"/>
  <c r="T1085" i="8"/>
  <c r="T1086" i="8"/>
  <c r="T1087" i="8"/>
  <c r="T1088" i="8"/>
  <c r="T1089" i="8"/>
  <c r="T1090" i="8"/>
  <c r="T1091" i="8"/>
  <c r="T1092" i="8"/>
  <c r="T1093" i="8"/>
  <c r="T1094" i="8"/>
  <c r="T1095" i="8"/>
  <c r="T1096" i="8"/>
  <c r="T1097" i="8"/>
  <c r="T1098" i="8"/>
  <c r="T1099" i="8"/>
  <c r="T1100" i="8"/>
  <c r="T1101" i="8"/>
  <c r="T1102" i="8"/>
  <c r="T1103" i="8"/>
  <c r="T1104" i="8"/>
  <c r="T1105" i="8"/>
  <c r="T1106" i="8"/>
  <c r="T1107" i="8"/>
  <c r="T1108" i="8"/>
  <c r="T1109" i="8"/>
  <c r="T1110" i="8"/>
  <c r="T1111" i="8"/>
  <c r="T1112" i="8"/>
  <c r="T1113" i="8"/>
  <c r="T1114" i="8"/>
  <c r="T1115" i="8"/>
  <c r="T1116" i="8"/>
  <c r="T1117" i="8"/>
  <c r="T1118" i="8"/>
  <c r="T1119" i="8"/>
  <c r="T1120" i="8"/>
  <c r="T1121" i="8"/>
  <c r="T1122" i="8"/>
  <c r="T1123" i="8"/>
  <c r="T1124" i="8"/>
  <c r="T1125" i="8"/>
  <c r="T1126" i="8"/>
  <c r="T1127" i="8"/>
  <c r="T1128" i="8"/>
  <c r="T1129" i="8"/>
  <c r="T1130" i="8"/>
  <c r="T1131" i="8"/>
  <c r="T1132" i="8"/>
  <c r="T1133" i="8"/>
  <c r="T1134" i="8"/>
  <c r="T1135" i="8"/>
  <c r="T1136" i="8"/>
  <c r="T1137" i="8"/>
  <c r="T1138" i="8"/>
  <c r="T1139" i="8"/>
  <c r="T1140" i="8"/>
  <c r="T1141" i="8"/>
  <c r="T1142" i="8"/>
  <c r="T1143" i="8"/>
  <c r="T1144" i="8"/>
  <c r="T1145" i="8"/>
  <c r="T1146" i="8"/>
  <c r="T1147" i="8"/>
  <c r="T1148" i="8"/>
  <c r="T1149" i="8"/>
  <c r="T1150" i="8"/>
  <c r="T1151" i="8"/>
  <c r="T1152" i="8"/>
  <c r="T1153" i="8"/>
  <c r="T1154" i="8"/>
  <c r="T1155" i="8"/>
  <c r="T1156" i="8"/>
  <c r="T1157" i="8"/>
  <c r="T1158" i="8"/>
  <c r="T1159" i="8"/>
  <c r="T1160" i="8"/>
  <c r="T1161" i="8"/>
  <c r="T1162" i="8"/>
  <c r="T1163" i="8"/>
  <c r="T1164" i="8"/>
  <c r="T1165" i="8"/>
  <c r="T1166" i="8"/>
  <c r="T1167" i="8"/>
  <c r="T1168" i="8"/>
  <c r="T1169" i="8"/>
  <c r="T1170" i="8"/>
  <c r="T1171" i="8"/>
  <c r="T1172" i="8"/>
  <c r="T1173" i="8"/>
  <c r="T1174" i="8"/>
  <c r="T1175" i="8"/>
  <c r="T1176" i="8"/>
  <c r="T1177" i="8"/>
  <c r="T1178" i="8"/>
  <c r="T1179" i="8"/>
  <c r="T1180" i="8"/>
  <c r="T1181" i="8"/>
  <c r="T1182" i="8"/>
  <c r="T1183" i="8"/>
  <c r="T1184" i="8"/>
  <c r="T1185" i="8"/>
  <c r="T1186" i="8"/>
  <c r="T1187" i="8"/>
  <c r="T1188" i="8"/>
  <c r="T1189" i="8"/>
  <c r="T1190" i="8"/>
  <c r="T1191" i="8"/>
  <c r="T1192" i="8"/>
  <c r="T1193" i="8"/>
  <c r="T1194" i="8"/>
  <c r="T1195" i="8"/>
  <c r="T1196" i="8"/>
  <c r="T1197" i="8"/>
  <c r="T1198" i="8"/>
  <c r="T1199" i="8"/>
  <c r="T1200" i="8"/>
  <c r="T1201" i="8"/>
  <c r="T1202" i="8"/>
  <c r="T1203" i="8"/>
  <c r="T1204" i="8"/>
  <c r="T1205" i="8"/>
  <c r="T1206" i="8"/>
  <c r="T1207" i="8"/>
  <c r="T1208" i="8"/>
  <c r="T1209" i="8"/>
  <c r="T1210" i="8"/>
  <c r="T1211" i="8"/>
  <c r="T1212" i="8"/>
  <c r="T1213" i="8"/>
  <c r="T1214" i="8"/>
  <c r="T1215" i="8"/>
  <c r="T1216" i="8"/>
  <c r="T1217" i="8"/>
  <c r="T1218" i="8"/>
  <c r="T1219" i="8"/>
  <c r="T1220" i="8"/>
  <c r="T1221" i="8"/>
  <c r="T1222" i="8"/>
  <c r="T1223" i="8"/>
  <c r="T1224" i="8"/>
  <c r="T1225" i="8"/>
  <c r="T1226" i="8"/>
  <c r="T1227" i="8"/>
  <c r="T1228" i="8"/>
  <c r="T1229" i="8"/>
  <c r="T1230" i="8"/>
  <c r="T1231" i="8"/>
  <c r="T1232" i="8"/>
  <c r="T1233" i="8"/>
  <c r="T1234" i="8"/>
  <c r="T1235" i="8"/>
  <c r="T1236" i="8"/>
  <c r="T1237" i="8"/>
  <c r="T1238" i="8"/>
  <c r="T1239" i="8"/>
  <c r="T1240" i="8"/>
  <c r="T1241" i="8"/>
  <c r="T1242" i="8"/>
  <c r="T1243" i="8"/>
  <c r="T1244" i="8"/>
  <c r="T1245" i="8"/>
  <c r="T1246" i="8"/>
  <c r="T1247" i="8"/>
  <c r="T1248" i="8"/>
  <c r="T1249" i="8"/>
  <c r="T1250" i="8"/>
  <c r="T1251" i="8"/>
  <c r="T1252" i="8"/>
  <c r="T1253" i="8"/>
  <c r="T1254" i="8"/>
  <c r="T1255" i="8"/>
  <c r="T1256" i="8"/>
  <c r="T1257" i="8"/>
  <c r="T1258" i="8"/>
  <c r="T1259" i="8"/>
  <c r="T1260" i="8"/>
  <c r="T1261" i="8"/>
  <c r="T1262" i="8"/>
  <c r="T1263" i="8"/>
  <c r="T1264" i="8"/>
  <c r="T1265" i="8"/>
  <c r="T1266" i="8"/>
  <c r="T1267" i="8"/>
  <c r="T1268" i="8"/>
  <c r="T1269" i="8"/>
  <c r="T1270" i="8"/>
  <c r="T1271" i="8"/>
  <c r="T1272" i="8"/>
  <c r="T1273" i="8"/>
  <c r="T1274" i="8"/>
  <c r="T1275" i="8"/>
  <c r="T1276" i="8"/>
  <c r="T1277" i="8"/>
  <c r="T1278" i="8"/>
  <c r="T1279" i="8"/>
  <c r="T1280" i="8"/>
  <c r="T1281" i="8"/>
  <c r="T1282" i="8"/>
  <c r="T1283" i="8"/>
  <c r="T1284" i="8"/>
  <c r="T1285" i="8"/>
  <c r="T1286" i="8"/>
  <c r="T1287" i="8"/>
  <c r="T1288" i="8"/>
  <c r="T1289" i="8"/>
  <c r="T1290" i="8"/>
  <c r="T1291" i="8"/>
  <c r="T1292" i="8"/>
  <c r="T1293" i="8"/>
  <c r="T1294" i="8"/>
  <c r="T1295" i="8"/>
  <c r="T1296" i="8"/>
  <c r="T1297" i="8"/>
  <c r="T1298" i="8"/>
  <c r="T1299" i="8"/>
  <c r="T1300" i="8"/>
  <c r="T1301" i="8"/>
  <c r="T1302" i="8"/>
  <c r="T1303" i="8"/>
  <c r="T1304" i="8"/>
  <c r="T1305" i="8"/>
  <c r="T1306" i="8"/>
  <c r="T1307" i="8"/>
  <c r="T1308" i="8"/>
  <c r="T1309" i="8"/>
  <c r="T1310" i="8"/>
  <c r="T1311" i="8"/>
  <c r="T1312" i="8"/>
  <c r="T1313" i="8"/>
  <c r="T1314" i="8"/>
  <c r="T1315" i="8"/>
  <c r="T1316" i="8"/>
  <c r="T1317" i="8"/>
  <c r="T1318" i="8"/>
  <c r="T1319" i="8"/>
  <c r="T1320" i="8"/>
  <c r="T1321" i="8"/>
  <c r="T1322" i="8"/>
  <c r="T1323" i="8"/>
  <c r="T1324" i="8"/>
  <c r="T1325" i="8"/>
  <c r="T1326" i="8"/>
  <c r="T1327" i="8"/>
  <c r="T1328" i="8"/>
  <c r="T1329" i="8"/>
  <c r="T1330" i="8"/>
  <c r="T1331" i="8"/>
  <c r="T1332" i="8"/>
  <c r="T1333" i="8"/>
  <c r="T1334" i="8"/>
  <c r="T1335" i="8"/>
  <c r="T1336" i="8"/>
  <c r="T1337" i="8"/>
  <c r="T1338" i="8"/>
  <c r="T1339" i="8"/>
  <c r="T1340" i="8"/>
  <c r="T1341" i="8"/>
  <c r="T1342" i="8"/>
  <c r="T1343" i="8"/>
  <c r="T1344" i="8"/>
  <c r="T1345" i="8"/>
  <c r="T1346" i="8"/>
  <c r="T1347" i="8"/>
  <c r="T1348" i="8"/>
  <c r="T1349" i="8"/>
  <c r="T1350" i="8"/>
  <c r="T1351" i="8"/>
  <c r="T1352" i="8"/>
  <c r="T1353" i="8"/>
  <c r="T1354" i="8"/>
  <c r="T1355" i="8"/>
  <c r="T1356" i="8"/>
  <c r="T1357" i="8"/>
  <c r="T1358" i="8"/>
  <c r="T1359" i="8"/>
  <c r="T1360" i="8"/>
  <c r="T1361" i="8"/>
  <c r="T1362" i="8"/>
  <c r="T1363" i="8"/>
  <c r="T1364" i="8"/>
  <c r="T1365" i="8"/>
  <c r="T1366" i="8"/>
  <c r="T1367" i="8"/>
  <c r="T1368" i="8"/>
  <c r="T1369" i="8"/>
  <c r="T1370" i="8"/>
  <c r="T1371" i="8"/>
  <c r="T1372" i="8"/>
  <c r="T1373" i="8"/>
  <c r="T1374" i="8"/>
  <c r="T1375" i="8"/>
  <c r="T1376" i="8"/>
  <c r="T1377" i="8"/>
  <c r="T1378" i="8"/>
  <c r="T1379" i="8"/>
  <c r="T1380" i="8"/>
  <c r="T1381" i="8"/>
  <c r="T1382" i="8"/>
  <c r="T1383" i="8"/>
  <c r="T1384" i="8"/>
  <c r="T1385" i="8"/>
  <c r="T1386" i="8"/>
  <c r="T1387" i="8"/>
  <c r="T1388" i="8"/>
  <c r="T1389" i="8"/>
  <c r="T1390" i="8"/>
  <c r="T1391" i="8"/>
  <c r="T1392" i="8"/>
  <c r="T1393" i="8"/>
  <c r="T1394" i="8"/>
  <c r="T1395" i="8"/>
  <c r="T1396" i="8"/>
  <c r="T1397" i="8"/>
  <c r="T1398" i="8"/>
  <c r="T1399" i="8"/>
  <c r="T1400" i="8"/>
  <c r="T1401" i="8"/>
  <c r="T1402" i="8"/>
  <c r="T1403" i="8"/>
  <c r="T1404" i="8"/>
  <c r="T1405" i="8"/>
  <c r="T1406" i="8"/>
  <c r="T1407" i="8"/>
  <c r="T1408" i="8"/>
  <c r="T1409" i="8"/>
  <c r="T1410" i="8"/>
  <c r="T1411" i="8"/>
  <c r="T1412" i="8"/>
  <c r="T1413" i="8"/>
  <c r="T1414" i="8"/>
  <c r="T1415" i="8"/>
  <c r="T1416" i="8"/>
  <c r="T1417" i="8"/>
  <c r="T1418" i="8"/>
  <c r="T1419" i="8"/>
  <c r="T1420" i="8"/>
  <c r="T1421" i="8"/>
  <c r="T1422" i="8"/>
  <c r="T1423" i="8"/>
  <c r="T1424" i="8"/>
  <c r="T1425" i="8"/>
  <c r="T1426" i="8"/>
  <c r="T1427" i="8"/>
  <c r="T1428" i="8"/>
  <c r="T1429" i="8"/>
  <c r="T1430" i="8"/>
  <c r="T1431" i="8"/>
  <c r="T1432" i="8"/>
  <c r="T1433" i="8"/>
  <c r="T1434" i="8"/>
  <c r="T1435" i="8"/>
  <c r="T1436" i="8"/>
  <c r="T1437" i="8"/>
  <c r="T1438" i="8"/>
  <c r="T1439" i="8"/>
  <c r="T1440" i="8"/>
  <c r="T1441" i="8"/>
  <c r="T1442" i="8"/>
  <c r="T1443" i="8"/>
  <c r="T1444" i="8"/>
  <c r="T1445" i="8"/>
  <c r="T1446" i="8"/>
  <c r="T1447" i="8"/>
  <c r="T1448" i="8"/>
  <c r="T1449" i="8"/>
  <c r="T1450" i="8"/>
  <c r="T1451" i="8"/>
  <c r="T1452" i="8"/>
  <c r="T1453" i="8"/>
  <c r="T1454" i="8"/>
  <c r="T1455" i="8"/>
  <c r="T1456" i="8"/>
  <c r="T1457" i="8"/>
  <c r="T1458" i="8"/>
  <c r="T1459" i="8"/>
  <c r="T1460" i="8"/>
  <c r="T1461" i="8"/>
  <c r="T1462" i="8"/>
  <c r="T1463" i="8"/>
  <c r="T1464" i="8"/>
  <c r="T1465" i="8"/>
  <c r="T1466" i="8"/>
  <c r="T1467" i="8"/>
  <c r="T1468" i="8"/>
  <c r="T1469" i="8"/>
  <c r="T1470" i="8"/>
  <c r="T1471" i="8"/>
  <c r="T1472" i="8"/>
  <c r="T1473" i="8"/>
  <c r="T1474" i="8"/>
  <c r="T1475" i="8"/>
  <c r="T1476" i="8"/>
  <c r="T1477" i="8"/>
  <c r="T1478" i="8"/>
  <c r="T1479" i="8"/>
  <c r="T1480" i="8"/>
  <c r="T1481" i="8"/>
  <c r="T1482" i="8"/>
  <c r="T1483" i="8"/>
  <c r="T1484" i="8"/>
  <c r="T1485" i="8"/>
  <c r="T1486" i="8"/>
  <c r="T1487" i="8"/>
  <c r="T1488" i="8"/>
  <c r="T1489" i="8"/>
  <c r="T1490" i="8"/>
  <c r="T1491" i="8"/>
  <c r="T1492" i="8"/>
  <c r="T1493" i="8"/>
  <c r="T1494" i="8"/>
  <c r="T1495" i="8"/>
  <c r="T1496" i="8"/>
  <c r="T1497" i="8"/>
  <c r="T1498" i="8"/>
  <c r="T1499" i="8"/>
  <c r="T1500" i="8"/>
  <c r="T1501" i="8"/>
  <c r="T1502" i="8"/>
  <c r="T1503" i="8"/>
  <c r="T1504" i="8"/>
  <c r="T1505" i="8"/>
  <c r="T1506" i="8"/>
  <c r="T1507" i="8"/>
  <c r="T1508" i="8"/>
  <c r="T1509" i="8"/>
  <c r="T1510" i="8"/>
  <c r="T1511" i="8"/>
  <c r="T1512" i="8"/>
  <c r="T1513" i="8"/>
  <c r="T1514" i="8"/>
  <c r="T1515" i="8"/>
  <c r="T1516" i="8"/>
  <c r="T1517" i="8"/>
  <c r="T1518" i="8"/>
  <c r="T1519" i="8"/>
  <c r="T1520" i="8"/>
  <c r="T1521" i="8"/>
  <c r="T1522" i="8"/>
  <c r="T1523" i="8"/>
  <c r="T1524" i="8"/>
  <c r="T1525" i="8"/>
  <c r="T1526" i="8"/>
  <c r="T1527" i="8"/>
  <c r="T1528" i="8"/>
  <c r="T1529" i="8"/>
  <c r="T1530" i="8"/>
  <c r="T1531" i="8"/>
  <c r="T1532" i="8"/>
  <c r="T1533" i="8"/>
  <c r="T1534" i="8"/>
  <c r="T1535" i="8"/>
  <c r="T1536" i="8"/>
  <c r="T1537" i="8"/>
  <c r="T1538" i="8"/>
  <c r="T1539" i="8"/>
  <c r="T1540" i="8"/>
  <c r="T390" i="8"/>
  <c r="D1199" i="8"/>
  <c r="AB1199" i="8" s="1"/>
  <c r="L124" i="10"/>
  <c r="M124" i="10" s="1"/>
  <c r="M600" i="10"/>
  <c r="L600" i="10"/>
  <c r="J600" i="10"/>
  <c r="J580" i="10"/>
  <c r="P580" i="10"/>
  <c r="L580" i="10"/>
  <c r="Q580" i="10"/>
  <c r="M580" i="10"/>
  <c r="Q578" i="10"/>
  <c r="M578" i="10"/>
  <c r="P578" i="10"/>
  <c r="L570" i="10"/>
  <c r="I570" i="10"/>
  <c r="H570" i="10"/>
  <c r="J570" i="10"/>
  <c r="I565" i="10"/>
  <c r="H565" i="10"/>
  <c r="J565" i="10"/>
  <c r="L564" i="10"/>
  <c r="P564" i="10"/>
  <c r="M564" i="10"/>
  <c r="J559" i="10"/>
  <c r="P559" i="10"/>
  <c r="L559" i="10"/>
  <c r="Q559" i="10"/>
  <c r="M559" i="10"/>
  <c r="I558" i="10"/>
  <c r="L558" i="10"/>
  <c r="J558" i="10"/>
  <c r="L547" i="10"/>
  <c r="M547" i="10"/>
  <c r="M541" i="10"/>
  <c r="P541" i="10"/>
  <c r="P535" i="10"/>
  <c r="Q535" i="10"/>
  <c r="P530" i="10"/>
  <c r="Q530" i="10"/>
  <c r="M525" i="10"/>
  <c r="P525" i="10"/>
  <c r="I516" i="10"/>
  <c r="L516" i="10"/>
  <c r="P510" i="10"/>
  <c r="Q510" i="10"/>
  <c r="L505" i="10"/>
  <c r="M505" i="10"/>
  <c r="J501" i="10"/>
  <c r="L501" i="10"/>
  <c r="I501" i="10"/>
  <c r="M499" i="10"/>
  <c r="Q499" i="10"/>
  <c r="P499" i="10"/>
  <c r="Q478" i="10"/>
  <c r="P478" i="10"/>
  <c r="M478" i="10"/>
  <c r="L473" i="10"/>
  <c r="M473" i="10"/>
  <c r="H472" i="10"/>
  <c r="L472" i="10"/>
  <c r="J472" i="10"/>
  <c r="M466" i="10"/>
  <c r="P466" i="10"/>
  <c r="L466" i="10"/>
  <c r="M460" i="10"/>
  <c r="Q460" i="10"/>
  <c r="P460" i="10"/>
  <c r="J460" i="10"/>
  <c r="L460" i="10"/>
  <c r="P456" i="10"/>
  <c r="Q456" i="10"/>
  <c r="F448" i="10"/>
  <c r="J448" i="10"/>
  <c r="I448" i="10"/>
  <c r="M448" i="10"/>
  <c r="P448" i="10"/>
  <c r="L448" i="10"/>
  <c r="H448" i="10"/>
  <c r="Q441" i="10"/>
  <c r="P441" i="10"/>
  <c r="L435" i="10"/>
  <c r="M435" i="10"/>
  <c r="L433" i="10"/>
  <c r="M433" i="10"/>
  <c r="P433" i="10"/>
  <c r="J430" i="10"/>
  <c r="L430" i="10"/>
  <c r="L416" i="10"/>
  <c r="H416" i="10"/>
  <c r="Q404" i="10"/>
  <c r="P404" i="10"/>
  <c r="J397" i="10"/>
  <c r="L397" i="10"/>
  <c r="Q396" i="10"/>
  <c r="P396" i="10"/>
  <c r="F383" i="10"/>
  <c r="H383" i="10"/>
  <c r="I383" i="10"/>
  <c r="J382" i="10"/>
  <c r="L382" i="10"/>
  <c r="P378" i="10"/>
  <c r="M378" i="10"/>
  <c r="Q378" i="10"/>
  <c r="J372" i="10"/>
  <c r="M372" i="10"/>
  <c r="L372" i="10"/>
  <c r="Q339" i="10"/>
  <c r="P339" i="10"/>
  <c r="M338" i="10"/>
  <c r="P338" i="10"/>
  <c r="Q338" i="10"/>
  <c r="L304" i="10"/>
  <c r="M304" i="10"/>
  <c r="P294" i="10"/>
  <c r="Q294" i="10"/>
  <c r="M292" i="10"/>
  <c r="Q292" i="10"/>
  <c r="L283" i="10"/>
  <c r="M283" i="10"/>
  <c r="P274" i="10"/>
  <c r="Q274" i="10"/>
  <c r="Q265" i="10"/>
  <c r="P265" i="10"/>
  <c r="P264" i="10"/>
  <c r="M264" i="10"/>
  <c r="Q264" i="10"/>
  <c r="J261" i="10"/>
  <c r="M261" i="10"/>
  <c r="L261" i="10"/>
  <c r="I259" i="10"/>
  <c r="L259" i="10"/>
  <c r="M258" i="10"/>
  <c r="P258" i="10"/>
  <c r="Q258" i="10"/>
  <c r="M251" i="10"/>
  <c r="P251" i="10"/>
  <c r="Q251" i="10"/>
  <c r="M248" i="10"/>
  <c r="P248" i="10"/>
  <c r="Q248" i="10"/>
  <c r="P243" i="10"/>
  <c r="Q243" i="10"/>
  <c r="L227" i="10"/>
  <c r="J227" i="10"/>
  <c r="I227" i="10"/>
  <c r="H215" i="10"/>
  <c r="I215" i="10"/>
  <c r="J215" i="10"/>
  <c r="J206" i="10"/>
  <c r="I206" i="10"/>
  <c r="D198" i="10"/>
  <c r="H198" i="10"/>
  <c r="E198" i="10"/>
  <c r="I198" i="10"/>
  <c r="J198" i="10"/>
  <c r="F198" i="10"/>
  <c r="J180" i="10"/>
  <c r="L180" i="10"/>
  <c r="M180" i="10"/>
  <c r="P178" i="10"/>
  <c r="Q178" i="10"/>
  <c r="P177" i="10"/>
  <c r="Q177" i="10"/>
  <c r="L172" i="10"/>
  <c r="Q172" i="10"/>
  <c r="P172" i="10"/>
  <c r="M172" i="10"/>
  <c r="M168" i="10"/>
  <c r="P168" i="10"/>
  <c r="M165" i="10"/>
  <c r="P165" i="10"/>
  <c r="L165" i="10"/>
  <c r="Q165" i="10"/>
  <c r="M157" i="10"/>
  <c r="L157" i="10"/>
  <c r="J155" i="10"/>
  <c r="L155" i="10"/>
  <c r="P151" i="10"/>
  <c r="Q151" i="10"/>
  <c r="J148" i="10"/>
  <c r="L148" i="10"/>
  <c r="I147" i="10"/>
  <c r="J147" i="10"/>
  <c r="L147" i="10"/>
  <c r="P142" i="10"/>
  <c r="Q142" i="10"/>
  <c r="L141" i="10"/>
  <c r="M141" i="10"/>
  <c r="P141" i="10"/>
  <c r="M135" i="10"/>
  <c r="P135" i="10"/>
  <c r="J134" i="10"/>
  <c r="L134" i="10"/>
  <c r="Q133" i="10"/>
  <c r="P133" i="10"/>
  <c r="C12" i="14"/>
  <c r="B1254" i="8"/>
  <c r="B1884" i="8"/>
  <c r="B1882" i="8"/>
  <c r="B1257" i="8"/>
  <c r="B1255" i="8"/>
  <c r="B1253" i="8"/>
  <c r="B1256" i="8"/>
  <c r="B1885" i="8"/>
  <c r="B1883" i="8"/>
  <c r="B1881" i="8"/>
  <c r="B1754" i="8"/>
  <c r="B1753" i="8"/>
  <c r="B1755" i="8"/>
  <c r="B1758" i="8"/>
  <c r="B1757" i="8"/>
  <c r="B1171" i="8"/>
  <c r="B1756" i="8"/>
  <c r="B1172" i="8"/>
  <c r="B1763" i="8"/>
  <c r="B1170" i="8"/>
  <c r="B1069" i="8"/>
  <c r="B1391" i="8"/>
  <c r="B1388" i="8"/>
  <c r="B1067" i="8"/>
  <c r="B1390" i="8"/>
  <c r="B1389" i="8"/>
  <c r="B1070" i="8"/>
  <c r="B1068" i="8"/>
  <c r="B1066" i="8"/>
  <c r="B734" i="8"/>
  <c r="B736" i="8"/>
  <c r="B732" i="8"/>
  <c r="B731" i="8"/>
  <c r="B735" i="8"/>
  <c r="B733" i="8"/>
  <c r="B1807" i="8"/>
  <c r="B1805" i="8"/>
  <c r="B1827" i="8"/>
  <c r="B1806" i="8"/>
  <c r="B1804" i="8"/>
  <c r="B1246" i="8"/>
  <c r="B1247" i="8"/>
  <c r="B1250" i="8"/>
  <c r="B1252" i="8"/>
  <c r="B1249" i="8"/>
  <c r="B1251" i="8"/>
  <c r="B1248" i="8"/>
  <c r="B1262" i="8"/>
  <c r="B1258" i="8"/>
  <c r="B1265" i="8"/>
  <c r="B1260" i="8"/>
  <c r="B1264" i="8"/>
  <c r="B1259" i="8"/>
  <c r="B1261" i="8"/>
  <c r="B1263" i="8"/>
  <c r="B1327" i="8"/>
  <c r="B1325" i="8"/>
  <c r="B1328" i="8"/>
  <c r="B1324" i="8"/>
  <c r="B1326" i="8"/>
  <c r="B1330" i="8"/>
  <c r="B1329" i="8"/>
  <c r="B1761" i="8"/>
  <c r="B1759" i="8"/>
  <c r="B979" i="8"/>
  <c r="B1764" i="8"/>
  <c r="B1760" i="8"/>
  <c r="B980" i="8"/>
  <c r="B1242" i="8"/>
  <c r="B1239" i="8"/>
  <c r="B1241" i="8"/>
  <c r="B1243" i="8"/>
  <c r="B1245" i="8"/>
  <c r="B1240" i="8"/>
  <c r="B1244" i="8"/>
  <c r="B768" i="8"/>
  <c r="B766" i="8"/>
  <c r="B767" i="8"/>
  <c r="B78" i="8"/>
  <c r="B173" i="8"/>
  <c r="B1499" i="8"/>
  <c r="B1498" i="8"/>
  <c r="B1809" i="8"/>
  <c r="B1138" i="8"/>
  <c r="B1135" i="8"/>
  <c r="B1811" i="8"/>
  <c r="B1137" i="8"/>
  <c r="B1136" i="8"/>
  <c r="B1808" i="8"/>
  <c r="B1812" i="8"/>
  <c r="B1810" i="8"/>
  <c r="B613" i="8"/>
  <c r="B1208" i="8"/>
  <c r="B1206" i="8"/>
  <c r="B1205" i="8"/>
  <c r="B1204" i="8"/>
  <c r="B1207" i="8"/>
  <c r="B615" i="8"/>
  <c r="B1792" i="8"/>
  <c r="B1790" i="8"/>
  <c r="B1793" i="8"/>
  <c r="B1134" i="8"/>
  <c r="B1791" i="8"/>
  <c r="B1794" i="8"/>
  <c r="B1129" i="8"/>
  <c r="B1131" i="8"/>
  <c r="B1132" i="8"/>
  <c r="B1130" i="8"/>
  <c r="B1133" i="8"/>
  <c r="E850" i="8"/>
  <c r="D850" i="8"/>
  <c r="AB850" i="8" s="1"/>
  <c r="B1392" i="8"/>
  <c r="B1394" i="8"/>
  <c r="B1395" i="8"/>
  <c r="B1393" i="8"/>
  <c r="B1910" i="8"/>
  <c r="B1911" i="8"/>
  <c r="B1349" i="8"/>
  <c r="B1350" i="8"/>
  <c r="B1352" i="8"/>
  <c r="B1348" i="8"/>
  <c r="B1071" i="8"/>
  <c r="B1351" i="8"/>
  <c r="B1654" i="8"/>
  <c r="B1655" i="8"/>
  <c r="B1653" i="8"/>
  <c r="B728" i="8"/>
  <c r="B727" i="8"/>
  <c r="B1823" i="8"/>
  <c r="B1298" i="8"/>
  <c r="B1824" i="8"/>
  <c r="B1826" i="8"/>
  <c r="B1297" i="8"/>
  <c r="B1296" i="8"/>
  <c r="B730" i="8"/>
  <c r="B729" i="8"/>
  <c r="B1825" i="8"/>
  <c r="B624" i="8"/>
  <c r="B1152" i="8"/>
  <c r="B1156" i="8"/>
  <c r="B1151" i="8"/>
  <c r="B1153" i="8"/>
  <c r="B1155" i="8"/>
  <c r="B1154" i="8"/>
  <c r="B625" i="8"/>
  <c r="B848" i="8"/>
  <c r="B849" i="8"/>
  <c r="B1397" i="8"/>
  <c r="B1399" i="8"/>
  <c r="B1396" i="8"/>
  <c r="B1400" i="8"/>
  <c r="B1398" i="8"/>
  <c r="B847" i="8"/>
  <c r="B981" i="8"/>
  <c r="B1403" i="8"/>
  <c r="B1405" i="8"/>
  <c r="B1407" i="8"/>
  <c r="B1408" i="8"/>
  <c r="B1406" i="8"/>
  <c r="B1404" i="8"/>
  <c r="B982" i="8"/>
  <c r="B617" i="8"/>
  <c r="B1908" i="8"/>
  <c r="B1909" i="8"/>
  <c r="B1907" i="8"/>
  <c r="B1905" i="8"/>
  <c r="B1903" i="8"/>
  <c r="B1906" i="8"/>
  <c r="B1904" i="8"/>
  <c r="M588" i="10"/>
  <c r="P588" i="10"/>
  <c r="L587" i="10"/>
  <c r="M587" i="10"/>
  <c r="M575" i="10"/>
  <c r="P575" i="10"/>
  <c r="L568" i="10"/>
  <c r="M568" i="10"/>
  <c r="M567" i="10"/>
  <c r="P567" i="10"/>
  <c r="F561" i="10"/>
  <c r="I561" i="10"/>
  <c r="I547" i="10"/>
  <c r="J547" i="10"/>
  <c r="J546" i="10"/>
  <c r="L546" i="10"/>
  <c r="M546" i="10"/>
  <c r="P546" i="10"/>
  <c r="L530" i="10"/>
  <c r="M530" i="10"/>
  <c r="J524" i="10"/>
  <c r="L524" i="10"/>
  <c r="M524" i="10"/>
  <c r="P524" i="10"/>
  <c r="M514" i="10"/>
  <c r="P514" i="10"/>
  <c r="M504" i="10"/>
  <c r="P504" i="10"/>
  <c r="M502" i="10"/>
  <c r="P502" i="10"/>
  <c r="Q502" i="10"/>
  <c r="M500" i="10"/>
  <c r="P500" i="10"/>
  <c r="F14" i="10"/>
  <c r="H14" i="10"/>
  <c r="F11" i="10"/>
  <c r="H11" i="10"/>
  <c r="A59" i="13"/>
  <c r="B757" i="8"/>
  <c r="B758" i="8"/>
  <c r="B759" i="8"/>
  <c r="B760" i="8"/>
  <c r="B761" i="8"/>
  <c r="A245" i="13"/>
  <c r="B875" i="8"/>
  <c r="B881" i="8"/>
  <c r="B882" i="8"/>
  <c r="B1639" i="8"/>
  <c r="B1638" i="8"/>
  <c r="B1636" i="8"/>
  <c r="B871" i="8"/>
  <c r="B872" i="8"/>
  <c r="B873" i="8"/>
  <c r="B874" i="8"/>
  <c r="B1637" i="8"/>
  <c r="B876" i="8"/>
  <c r="B877" i="8"/>
  <c r="B878" i="8"/>
  <c r="B879" i="8"/>
  <c r="B880" i="8"/>
  <c r="A246" i="13"/>
  <c r="B893" i="8"/>
  <c r="B894" i="8"/>
  <c r="B887" i="8"/>
  <c r="B883" i="8"/>
  <c r="B884" i="8"/>
  <c r="B885" i="8"/>
  <c r="B886" i="8"/>
  <c r="B888" i="8"/>
  <c r="B889" i="8"/>
  <c r="B890" i="8"/>
  <c r="B891" i="8"/>
  <c r="B892" i="8"/>
  <c r="B1633" i="8"/>
  <c r="B1632" i="8"/>
  <c r="B895" i="8"/>
  <c r="B896" i="8"/>
  <c r="B897" i="8"/>
  <c r="B898" i="8"/>
  <c r="B899" i="8"/>
  <c r="B901" i="8"/>
  <c r="B902" i="8"/>
  <c r="B903" i="8"/>
  <c r="B904" i="8"/>
  <c r="B900" i="8"/>
  <c r="B906" i="8"/>
  <c r="B905" i="8"/>
  <c r="A243" i="13"/>
  <c r="B1022" i="8"/>
  <c r="B1023" i="8"/>
  <c r="B1024" i="8"/>
  <c r="B1021" i="8"/>
  <c r="A65" i="13"/>
  <c r="D1840" i="8"/>
  <c r="AB1840" i="8" s="1"/>
  <c r="D1839" i="8"/>
  <c r="AB1839" i="8" s="1"/>
  <c r="D1838" i="8"/>
  <c r="AB1838" i="8" s="1"/>
  <c r="D1837" i="8"/>
  <c r="AB1837" i="8" s="1"/>
  <c r="D1836" i="8"/>
  <c r="AB1836" i="8" s="1"/>
  <c r="D1835" i="8"/>
  <c r="AB1835" i="8" s="1"/>
  <c r="D1772" i="8"/>
  <c r="AB1772" i="8" s="1"/>
  <c r="D1771" i="8"/>
  <c r="AB1771" i="8" s="1"/>
  <c r="D1770" i="8"/>
  <c r="AB1770" i="8" s="1"/>
  <c r="D1724" i="8"/>
  <c r="AB1724" i="8" s="1"/>
  <c r="D1723" i="8"/>
  <c r="AB1723" i="8" s="1"/>
  <c r="D1704" i="8"/>
  <c r="AB1704" i="8" s="1"/>
  <c r="E939" i="8"/>
  <c r="E940" i="8"/>
  <c r="E941" i="8"/>
  <c r="D974" i="8"/>
  <c r="AB974" i="8" s="1"/>
  <c r="D1703" i="8"/>
  <c r="AB1703" i="8" s="1"/>
  <c r="D973" i="8"/>
  <c r="AB973" i="8" s="1"/>
  <c r="E942" i="8"/>
  <c r="E943" i="8"/>
  <c r="E944" i="8"/>
  <c r="E945" i="8"/>
  <c r="D972" i="8"/>
  <c r="AB972" i="8" s="1"/>
  <c r="D971" i="8"/>
  <c r="AB971" i="8" s="1"/>
  <c r="D970" i="8"/>
  <c r="AB970" i="8" s="1"/>
  <c r="D969" i="8"/>
  <c r="AB969" i="8" s="1"/>
  <c r="D968" i="8"/>
  <c r="AB968" i="8" s="1"/>
  <c r="D1702" i="8"/>
  <c r="AB1702" i="8" s="1"/>
  <c r="D1701" i="8"/>
  <c r="AB1701" i="8" s="1"/>
  <c r="D1700" i="8"/>
  <c r="AB1700" i="8" s="1"/>
  <c r="D1699" i="8"/>
  <c r="AB1699" i="8" s="1"/>
  <c r="D1610" i="8"/>
  <c r="AB1610" i="8" s="1"/>
  <c r="D1609" i="8"/>
  <c r="AB1609" i="8" s="1"/>
  <c r="D1608" i="8"/>
  <c r="AB1608" i="8" s="1"/>
  <c r="D1607" i="8"/>
  <c r="AB1607" i="8" s="1"/>
  <c r="D1606" i="8"/>
  <c r="AB1606" i="8" s="1"/>
  <c r="D1605" i="8"/>
  <c r="AB1605" i="8" s="1"/>
  <c r="D967" i="8"/>
  <c r="AB967" i="8" s="1"/>
  <c r="D966" i="8"/>
  <c r="AB966" i="8" s="1"/>
  <c r="D965" i="8"/>
  <c r="AB965" i="8" s="1"/>
  <c r="D964" i="8"/>
  <c r="AB964" i="8" s="1"/>
  <c r="D963" i="8"/>
  <c r="AB963" i="8" s="1"/>
  <c r="D962" i="8"/>
  <c r="AB962" i="8" s="1"/>
  <c r="D961" i="8"/>
  <c r="AB961" i="8" s="1"/>
  <c r="D960" i="8"/>
  <c r="AB960" i="8" s="1"/>
  <c r="D959" i="8"/>
  <c r="AB959" i="8" s="1"/>
  <c r="D958" i="8"/>
  <c r="AB958" i="8" s="1"/>
  <c r="D957" i="8"/>
  <c r="AB957" i="8" s="1"/>
  <c r="D956" i="8"/>
  <c r="AB956" i="8" s="1"/>
  <c r="D955" i="8"/>
  <c r="AB955" i="8" s="1"/>
  <c r="D954" i="8"/>
  <c r="AB954" i="8" s="1"/>
  <c r="D953" i="8"/>
  <c r="AB953" i="8" s="1"/>
  <c r="D952" i="8"/>
  <c r="AB952" i="8" s="1"/>
  <c r="D951" i="8"/>
  <c r="AB951" i="8" s="1"/>
  <c r="D950" i="8"/>
  <c r="AB950" i="8" s="1"/>
  <c r="D949" i="8"/>
  <c r="AB949" i="8" s="1"/>
  <c r="D948" i="8"/>
  <c r="AB948" i="8" s="1"/>
  <c r="D947" i="8"/>
  <c r="AB947" i="8" s="1"/>
  <c r="D946" i="8"/>
  <c r="AB946" i="8" s="1"/>
  <c r="D945" i="8"/>
  <c r="AB945" i="8" s="1"/>
  <c r="D944" i="8"/>
  <c r="AB944" i="8" s="1"/>
  <c r="D943" i="8"/>
  <c r="AB943" i="8" s="1"/>
  <c r="D942" i="8"/>
  <c r="AB942" i="8" s="1"/>
  <c r="D941" i="8"/>
  <c r="AB941" i="8" s="1"/>
  <c r="D940" i="8"/>
  <c r="AB940" i="8" s="1"/>
  <c r="D939" i="8"/>
  <c r="AB939" i="8" s="1"/>
  <c r="D938" i="8"/>
  <c r="AB938" i="8" s="1"/>
  <c r="D937" i="8"/>
  <c r="AB937" i="8" s="1"/>
  <c r="D936" i="8"/>
  <c r="AB936" i="8" s="1"/>
  <c r="D935" i="8"/>
  <c r="AB935" i="8" s="1"/>
  <c r="D934" i="8"/>
  <c r="AB934" i="8" s="1"/>
  <c r="E946" i="8"/>
  <c r="E947" i="8"/>
  <c r="E948" i="8"/>
  <c r="E949" i="8"/>
  <c r="E950" i="8"/>
  <c r="E951" i="8"/>
  <c r="E952" i="8"/>
  <c r="E953" i="8"/>
  <c r="E954" i="8"/>
  <c r="D933" i="8"/>
  <c r="AB933" i="8" s="1"/>
  <c r="D932" i="8"/>
  <c r="AB932" i="8" s="1"/>
  <c r="D931" i="8"/>
  <c r="AB931" i="8" s="1"/>
  <c r="D930" i="8"/>
  <c r="AB930" i="8" s="1"/>
  <c r="D929" i="8"/>
  <c r="AB929" i="8" s="1"/>
  <c r="D928" i="8"/>
  <c r="AB928" i="8" s="1"/>
  <c r="D927" i="8"/>
  <c r="AB927" i="8" s="1"/>
  <c r="D1604" i="8"/>
  <c r="AB1604" i="8" s="1"/>
  <c r="D1603" i="8"/>
  <c r="AB1603" i="8" s="1"/>
  <c r="D1602" i="8"/>
  <c r="AB1602" i="8" s="1"/>
  <c r="D926" i="8"/>
  <c r="AB926" i="8" s="1"/>
  <c r="D925" i="8"/>
  <c r="AB925" i="8" s="1"/>
  <c r="D1769" i="8"/>
  <c r="AB1769" i="8" s="1"/>
  <c r="E955" i="8"/>
  <c r="E956" i="8"/>
  <c r="E957" i="8"/>
  <c r="D924" i="8"/>
  <c r="AB924" i="8" s="1"/>
  <c r="D923" i="8"/>
  <c r="AB923" i="8" s="1"/>
  <c r="D922" i="8"/>
  <c r="AB922" i="8" s="1"/>
  <c r="D921" i="8"/>
  <c r="AB921" i="8" s="1"/>
  <c r="D920" i="8"/>
  <c r="AB920" i="8" s="1"/>
  <c r="D1575" i="8"/>
  <c r="AB1575" i="8" s="1"/>
  <c r="D919" i="8"/>
  <c r="AB919" i="8" s="1"/>
  <c r="D918" i="8"/>
  <c r="AB918" i="8" s="1"/>
  <c r="D917" i="8"/>
  <c r="AB917" i="8" s="1"/>
  <c r="D916" i="8"/>
  <c r="AB916" i="8" s="1"/>
  <c r="D915" i="8"/>
  <c r="AB915" i="8" s="1"/>
  <c r="D1601" i="8"/>
  <c r="AB1601" i="8" s="1"/>
  <c r="D1600" i="8"/>
  <c r="AB1600" i="8" s="1"/>
  <c r="D1599" i="8"/>
  <c r="AB1599" i="8" s="1"/>
  <c r="D1598" i="8"/>
  <c r="AB1598" i="8" s="1"/>
  <c r="D1597" i="8"/>
  <c r="AB1597" i="8" s="1"/>
  <c r="D1596" i="8"/>
  <c r="AB1596" i="8" s="1"/>
  <c r="D1595" i="8"/>
  <c r="AB1595" i="8" s="1"/>
  <c r="D914" i="8"/>
  <c r="AB914" i="8" s="1"/>
  <c r="D913" i="8"/>
  <c r="AB913" i="8" s="1"/>
  <c r="D912" i="8"/>
  <c r="AB912" i="8" s="1"/>
  <c r="D911" i="8"/>
  <c r="AB911" i="8" s="1"/>
  <c r="D1594" i="8"/>
  <c r="AB1594" i="8" s="1"/>
  <c r="D1593" i="8"/>
  <c r="AB1593" i="8" s="1"/>
  <c r="D1592" i="8"/>
  <c r="AB1592" i="8" s="1"/>
  <c r="D1591" i="8"/>
  <c r="AB1591" i="8" s="1"/>
  <c r="D1590" i="8"/>
  <c r="AB1590" i="8" s="1"/>
  <c r="D1589" i="8"/>
  <c r="AB1589" i="8" s="1"/>
  <c r="D910" i="8"/>
  <c r="AB910" i="8" s="1"/>
  <c r="D909" i="8"/>
  <c r="AB909" i="8" s="1"/>
  <c r="D908" i="8"/>
  <c r="AB908" i="8" s="1"/>
  <c r="D907" i="8"/>
  <c r="AB907" i="8" s="1"/>
  <c r="E958" i="8"/>
  <c r="E959" i="8"/>
  <c r="E960" i="8"/>
  <c r="E961" i="8"/>
  <c r="D1539" i="8"/>
  <c r="AB1539" i="8" s="1"/>
  <c r="E962" i="8"/>
  <c r="D851" i="8"/>
  <c r="D687" i="8"/>
  <c r="D547" i="8"/>
  <c r="D493" i="8"/>
  <c r="AB493" i="8" s="1"/>
  <c r="D492" i="8"/>
  <c r="AB492" i="8" s="1"/>
  <c r="D491" i="8"/>
  <c r="AB491" i="8" s="1"/>
  <c r="D490" i="8"/>
  <c r="AB490" i="8" s="1"/>
  <c r="D393" i="8"/>
  <c r="D392" i="8"/>
  <c r="E963" i="8"/>
  <c r="E964" i="8"/>
  <c r="E965" i="8"/>
  <c r="D1588" i="8"/>
  <c r="AB1588" i="8" s="1"/>
  <c r="E966" i="8"/>
  <c r="E967" i="8"/>
  <c r="E968" i="8"/>
  <c r="E969" i="8"/>
  <c r="E970" i="8"/>
  <c r="E971" i="8"/>
  <c r="E972" i="8"/>
  <c r="E973" i="8"/>
  <c r="E974" i="8"/>
  <c r="E975" i="8"/>
  <c r="E976" i="8"/>
  <c r="E977" i="8"/>
  <c r="D1587" i="8"/>
  <c r="AB1587" i="8" s="1"/>
  <c r="D1586" i="8"/>
  <c r="AB1586" i="8" s="1"/>
  <c r="D1585" i="8"/>
  <c r="AB1585" i="8" s="1"/>
  <c r="D1584" i="8"/>
  <c r="AB1584" i="8" s="1"/>
  <c r="D1583" i="8"/>
  <c r="AB1583" i="8" s="1"/>
  <c r="D1582" i="8"/>
  <c r="AB1582" i="8" s="1"/>
  <c r="D1581" i="8"/>
  <c r="AB1581" i="8" s="1"/>
  <c r="D1580" i="8"/>
  <c r="AB1580" i="8" s="1"/>
  <c r="E978" i="8"/>
  <c r="D1579" i="8"/>
  <c r="AB1579" i="8" s="1"/>
  <c r="D1578" i="8"/>
  <c r="AB1578" i="8" s="1"/>
  <c r="D1577" i="8"/>
  <c r="AB1577" i="8" s="1"/>
  <c r="D1576" i="8"/>
  <c r="AB1576" i="8" s="1"/>
  <c r="D1574" i="8"/>
  <c r="AB1574" i="8" s="1"/>
  <c r="D1573" i="8"/>
  <c r="AB1573" i="8" s="1"/>
  <c r="D1572" i="8"/>
  <c r="AB1572" i="8" s="1"/>
  <c r="D1571" i="8"/>
  <c r="AB1571" i="8" s="1"/>
  <c r="D1570" i="8"/>
  <c r="AB1570" i="8" s="1"/>
  <c r="D1569" i="8"/>
  <c r="AB1569" i="8" s="1"/>
  <c r="E922" i="8"/>
  <c r="D1568" i="8"/>
  <c r="AB1568" i="8" s="1"/>
  <c r="D1567" i="8"/>
  <c r="AB1567" i="8" s="1"/>
  <c r="D1566" i="8"/>
  <c r="AB1566" i="8" s="1"/>
  <c r="D1565" i="8"/>
  <c r="AB1565" i="8" s="1"/>
  <c r="D1564" i="8"/>
  <c r="AB1564" i="8" s="1"/>
  <c r="D1563" i="8"/>
  <c r="AB1563" i="8" s="1"/>
  <c r="D1562" i="8"/>
  <c r="AB1562" i="8" s="1"/>
  <c r="D1561" i="8"/>
  <c r="AB1561" i="8" s="1"/>
  <c r="D1560" i="8"/>
  <c r="AB1560" i="8" s="1"/>
  <c r="D1559" i="8"/>
  <c r="AB1559" i="8" s="1"/>
  <c r="D1558" i="8"/>
  <c r="AB1558" i="8" s="1"/>
  <c r="D1557" i="8"/>
  <c r="AB1557" i="8" s="1"/>
  <c r="D1556" i="8"/>
  <c r="AB1556" i="8" s="1"/>
  <c r="D1555" i="8"/>
  <c r="AB1555" i="8" s="1"/>
  <c r="D1554" i="8"/>
  <c r="AB1554" i="8" s="1"/>
  <c r="D1553" i="8"/>
  <c r="AB1553" i="8" s="1"/>
  <c r="D1552" i="8"/>
  <c r="AB1552" i="8" s="1"/>
  <c r="D1551" i="8"/>
  <c r="AB1551" i="8" s="1"/>
  <c r="D1550" i="8"/>
  <c r="AB1550" i="8" s="1"/>
  <c r="D1549" i="8"/>
  <c r="AB1549" i="8" s="1"/>
  <c r="D1548" i="8"/>
  <c r="AB1548" i="8" s="1"/>
  <c r="D1547" i="8"/>
  <c r="AB1547" i="8" s="1"/>
  <c r="D1546" i="8"/>
  <c r="AB1546" i="8" s="1"/>
  <c r="D1545" i="8"/>
  <c r="AB1545" i="8" s="1"/>
  <c r="D1544" i="8"/>
  <c r="AB1544" i="8" s="1"/>
  <c r="D1543" i="8"/>
  <c r="AB1543" i="8" s="1"/>
  <c r="D1542" i="8"/>
  <c r="AB1542" i="8" s="1"/>
  <c r="D1541" i="8"/>
  <c r="AB1541" i="8" s="1"/>
  <c r="D1540" i="8"/>
  <c r="AB1540" i="8" s="1"/>
  <c r="D1538" i="8"/>
  <c r="AB1538" i="8" s="1"/>
  <c r="D1537" i="8"/>
  <c r="AB1537" i="8" s="1"/>
  <c r="D1536" i="8"/>
  <c r="AB1536" i="8" s="1"/>
  <c r="D1535" i="8"/>
  <c r="AB1535" i="8" s="1"/>
  <c r="D1534" i="8"/>
  <c r="AB1534" i="8" s="1"/>
  <c r="D1533" i="8"/>
  <c r="AB1533" i="8" s="1"/>
  <c r="D1532" i="8"/>
  <c r="AB1532" i="8" s="1"/>
  <c r="D1531" i="8"/>
  <c r="AB1531" i="8" s="1"/>
  <c r="D1530" i="8"/>
  <c r="AB1530" i="8" s="1"/>
  <c r="D1529" i="8"/>
  <c r="AB1529" i="8" s="1"/>
  <c r="D1528" i="8"/>
  <c r="AB1528" i="8" s="1"/>
  <c r="D1527" i="8"/>
  <c r="AB1527" i="8" s="1"/>
  <c r="D1526" i="8"/>
  <c r="AB1526" i="8" s="1"/>
  <c r="D1525" i="8"/>
  <c r="AB1525" i="8" s="1"/>
  <c r="D1524" i="8"/>
  <c r="AB1524" i="8" s="1"/>
  <c r="D1523" i="8"/>
  <c r="AB1523" i="8" s="1"/>
  <c r="D1522" i="8"/>
  <c r="AB1522" i="8" s="1"/>
  <c r="D1521" i="8"/>
  <c r="AB1521" i="8" s="1"/>
  <c r="D1520" i="8"/>
  <c r="AB1520" i="8" s="1"/>
  <c r="D1519" i="8"/>
  <c r="AB1519" i="8" s="1"/>
  <c r="D1518" i="8"/>
  <c r="AB1518" i="8" s="1"/>
  <c r="D1517" i="8"/>
  <c r="AB1517" i="8" s="1"/>
  <c r="D1516" i="8"/>
  <c r="AB1516" i="8" s="1"/>
  <c r="D1515" i="8"/>
  <c r="AB1515" i="8" s="1"/>
  <c r="D1198" i="8"/>
  <c r="AB1198" i="8" s="1"/>
  <c r="D1197" i="8"/>
  <c r="AB1197" i="8" s="1"/>
  <c r="D1196" i="8"/>
  <c r="AB1196" i="8" s="1"/>
  <c r="D978" i="8"/>
  <c r="AB978" i="8" s="1"/>
  <c r="D977" i="8"/>
  <c r="AB977" i="8" s="1"/>
  <c r="D976" i="8"/>
  <c r="AB976" i="8" s="1"/>
  <c r="D975" i="8"/>
  <c r="AB975" i="8" s="1"/>
  <c r="D1841" i="8"/>
  <c r="AB1841" i="8" s="1"/>
  <c r="D1845" i="8"/>
  <c r="AB1845" i="8" s="1"/>
  <c r="D1846" i="8"/>
  <c r="AB1846" i="8" s="1"/>
  <c r="E392" i="8"/>
  <c r="E393" i="8"/>
  <c r="E490" i="8"/>
  <c r="E491" i="8"/>
  <c r="E492" i="8"/>
  <c r="E493" i="8"/>
  <c r="E547" i="8"/>
  <c r="E687" i="8"/>
  <c r="E851" i="8"/>
  <c r="E907" i="8"/>
  <c r="E908" i="8"/>
  <c r="E909" i="8"/>
  <c r="E910" i="8"/>
  <c r="E911" i="8"/>
  <c r="E912" i="8"/>
  <c r="E913" i="8"/>
  <c r="E914" i="8"/>
  <c r="E915" i="8"/>
  <c r="E916" i="8"/>
  <c r="E917" i="8"/>
  <c r="E918" i="8"/>
  <c r="E919" i="8"/>
  <c r="E920" i="8"/>
  <c r="E921" i="8"/>
  <c r="E923" i="8"/>
  <c r="E924" i="8"/>
  <c r="E925" i="8"/>
  <c r="E926" i="8"/>
  <c r="E927" i="8"/>
  <c r="E928" i="8"/>
  <c r="E929" i="8"/>
  <c r="E930" i="8"/>
  <c r="E931" i="8"/>
  <c r="E932" i="8"/>
  <c r="E933" i="8"/>
  <c r="E934" i="8"/>
  <c r="E935" i="8"/>
  <c r="E936" i="8"/>
  <c r="E937" i="8"/>
  <c r="E938" i="8"/>
  <c r="A68" i="13"/>
  <c r="B778" i="8"/>
  <c r="B779" i="8"/>
  <c r="B780" i="8"/>
  <c r="B1346" i="8"/>
  <c r="B1347" i="8"/>
  <c r="B1108" i="8"/>
  <c r="B1109" i="8"/>
  <c r="B1110" i="8"/>
  <c r="B1708" i="8"/>
  <c r="B1707" i="8"/>
  <c r="B1705" i="8"/>
  <c r="B1706" i="8"/>
  <c r="B1747" i="8"/>
  <c r="B1745" i="8"/>
  <c r="B1118" i="8"/>
  <c r="B1119" i="8"/>
  <c r="B1748" i="8"/>
  <c r="B1746" i="8"/>
  <c r="B1477" i="8"/>
  <c r="B1476" i="8"/>
  <c r="B1016" i="8"/>
  <c r="B1015" i="8"/>
  <c r="B1615" i="8"/>
  <c r="B1614" i="8"/>
  <c r="B1613" i="8"/>
  <c r="B1105" i="8"/>
  <c r="B1107" i="8"/>
  <c r="B1612" i="8"/>
  <c r="B1104" i="8"/>
  <c r="B1611" i="8"/>
  <c r="B1106" i="8"/>
  <c r="B1049" i="8"/>
  <c r="B1046" i="8"/>
  <c r="B1047" i="8"/>
  <c r="B1048" i="8"/>
  <c r="B254" i="8"/>
  <c r="B870" i="8"/>
  <c r="B869" i="8"/>
  <c r="B868" i="8"/>
  <c r="B1471" i="8"/>
  <c r="B1039" i="8"/>
  <c r="B1040" i="8"/>
  <c r="B1041" i="8"/>
  <c r="B1042" i="8"/>
  <c r="B1472" i="8"/>
  <c r="B1475" i="8"/>
  <c r="B1474" i="8"/>
  <c r="B1473" i="8"/>
  <c r="A85" i="13"/>
  <c r="B789" i="8"/>
  <c r="B790" i="8"/>
  <c r="B791" i="8"/>
  <c r="B792" i="8"/>
  <c r="B1784" i="8"/>
  <c r="B1783" i="8"/>
  <c r="B1785" i="8"/>
  <c r="A86" i="13"/>
  <c r="B1744" i="8"/>
  <c r="B1743" i="8"/>
  <c r="B1742" i="8"/>
  <c r="B1194" i="8"/>
  <c r="B1195" i="8"/>
  <c r="B1832" i="8"/>
  <c r="B1290" i="8"/>
  <c r="B1289" i="8"/>
  <c r="B1834" i="8"/>
  <c r="B1469" i="8"/>
  <c r="B1829" i="8"/>
  <c r="B1830" i="8"/>
  <c r="B1831" i="8"/>
  <c r="B1288" i="8"/>
  <c r="B1287" i="8"/>
  <c r="B1286" i="8"/>
  <c r="B1284" i="8"/>
  <c r="B1828" i="8"/>
  <c r="B1285" i="8"/>
  <c r="B1833" i="8"/>
  <c r="B1343" i="8"/>
  <c r="B1342" i="8"/>
  <c r="B1913" i="8"/>
  <c r="B852" i="8"/>
  <c r="B853" i="8"/>
  <c r="B854" i="8"/>
  <c r="B1914" i="8"/>
  <c r="B1915" i="8"/>
  <c r="B1916" i="8"/>
  <c r="B855" i="8"/>
  <c r="B1345" i="8"/>
  <c r="B1912" i="8"/>
  <c r="B1344" i="8"/>
  <c r="B1126" i="8"/>
  <c r="B1128" i="8"/>
  <c r="B1127" i="8"/>
  <c r="B1125" i="8"/>
  <c r="B1876" i="8"/>
  <c r="B1875" i="8"/>
  <c r="B1874" i="8"/>
  <c r="B1873" i="8"/>
  <c r="B1872" i="8"/>
  <c r="B1017" i="8"/>
  <c r="B1018" i="8"/>
  <c r="B1020" i="8"/>
  <c r="B1019" i="8"/>
  <c r="B1292" i="8"/>
  <c r="B1291" i="8"/>
  <c r="B1870" i="8"/>
  <c r="B1868" i="8"/>
  <c r="B1293" i="8"/>
  <c r="B1871" i="8"/>
  <c r="B1470" i="8"/>
  <c r="B1295" i="8"/>
  <c r="B1294" i="8"/>
  <c r="B1869" i="8"/>
  <c r="A95" i="13"/>
  <c r="B1423" i="8"/>
  <c r="B1426" i="8"/>
  <c r="B1425" i="8"/>
  <c r="B1422" i="8"/>
  <c r="B1424" i="8"/>
  <c r="B1145" i="8"/>
  <c r="B1695" i="8"/>
  <c r="B1694" i="8"/>
  <c r="B1693" i="8"/>
  <c r="B1146" i="8"/>
  <c r="B1144" i="8"/>
  <c r="B1918" i="8"/>
  <c r="B1372" i="8"/>
  <c r="B1373" i="8"/>
  <c r="B1374" i="8"/>
  <c r="B1375" i="8"/>
  <c r="B1376" i="8"/>
  <c r="B842" i="8"/>
  <c r="B843" i="8"/>
  <c r="B844" i="8"/>
  <c r="B845" i="8"/>
  <c r="B846" i="8"/>
  <c r="B1921" i="8"/>
  <c r="B1920" i="8"/>
  <c r="B1919" i="8"/>
  <c r="B1917" i="8"/>
  <c r="B1167" i="8"/>
  <c r="B1165" i="8"/>
  <c r="B1166" i="8"/>
  <c r="B1164" i="8"/>
  <c r="B1861" i="8"/>
  <c r="B1862" i="8"/>
  <c r="B1176" i="8"/>
  <c r="B1177" i="8"/>
  <c r="B1860" i="8"/>
  <c r="B1859" i="8"/>
  <c r="B1179" i="8"/>
  <c r="B1178" i="8"/>
  <c r="B1858" i="8"/>
  <c r="B1402" i="8"/>
  <c r="B1238" i="8"/>
  <c r="B1237" i="8"/>
  <c r="B1236" i="8"/>
  <c r="B1334" i="8"/>
  <c r="B1335" i="8"/>
  <c r="B1336" i="8"/>
  <c r="B1337" i="8"/>
  <c r="B1161" i="8"/>
  <c r="B1162" i="8"/>
  <c r="B1163" i="8"/>
  <c r="B1626" i="8"/>
  <c r="B1627" i="8"/>
  <c r="B1628" i="8"/>
  <c r="B1821" i="8"/>
  <c r="B1818" i="8"/>
  <c r="B1230" i="8"/>
  <c r="B1229" i="8"/>
  <c r="B1228" i="8"/>
  <c r="B1227" i="8"/>
  <c r="B1822" i="8"/>
  <c r="B1820" i="8"/>
  <c r="B1819" i="8"/>
  <c r="B1817" i="8"/>
  <c r="B1231" i="8"/>
  <c r="A106" i="13"/>
  <c r="B1799" i="8"/>
  <c r="B1795" i="8"/>
  <c r="B1796" i="8"/>
  <c r="B1797" i="8"/>
  <c r="B1798" i="8"/>
  <c r="B1751" i="8"/>
  <c r="B1749" i="8"/>
  <c r="B753" i="8"/>
  <c r="B1752" i="8"/>
  <c r="B755" i="8"/>
  <c r="B1184" i="8"/>
  <c r="B782" i="8"/>
  <c r="B1750" i="8"/>
  <c r="B1186" i="8"/>
  <c r="B1187" i="8"/>
  <c r="B1185" i="8"/>
  <c r="B756" i="8"/>
  <c r="B754" i="8"/>
  <c r="A108" i="13"/>
  <c r="B1842" i="8"/>
  <c r="B748" i="8"/>
  <c r="B749" i="8"/>
  <c r="B750" i="8"/>
  <c r="B1843" i="8"/>
  <c r="B1844" i="8"/>
  <c r="B1366" i="8"/>
  <c r="B1368" i="8"/>
  <c r="B1367" i="8"/>
  <c r="B1362" i="8"/>
  <c r="B1363" i="8"/>
  <c r="B1364" i="8"/>
  <c r="B1365" i="8"/>
  <c r="B1697" i="8"/>
  <c r="B1383" i="8"/>
  <c r="B1382" i="8"/>
  <c r="B1661" i="8"/>
  <c r="B1175" i="8"/>
  <c r="B1174" i="8"/>
  <c r="B1173" i="8"/>
  <c r="B1663" i="8"/>
  <c r="B1662" i="8"/>
  <c r="B1660" i="8"/>
  <c r="B1659" i="8"/>
  <c r="B1202" i="8"/>
  <c r="B1203" i="8"/>
  <c r="B1201" i="8"/>
  <c r="B1200" i="8"/>
  <c r="B1056" i="8"/>
  <c r="B1652" i="8"/>
  <c r="B1649" i="8"/>
  <c r="B1648" i="8"/>
  <c r="B1651" i="8"/>
  <c r="B1650" i="8"/>
  <c r="B1054" i="8"/>
  <c r="B1055" i="8"/>
  <c r="B1057" i="8"/>
  <c r="B1782" i="8"/>
  <c r="B994" i="8"/>
  <c r="B995" i="8"/>
  <c r="B1780" i="8"/>
  <c r="B1778" i="8"/>
  <c r="B1779" i="8"/>
  <c r="B996" i="8"/>
  <c r="B1781" i="8"/>
  <c r="B1777" i="8"/>
  <c r="B1317" i="8"/>
  <c r="B1318" i="8"/>
  <c r="B1319" i="8"/>
  <c r="B804" i="8"/>
  <c r="B805" i="8"/>
  <c r="B1853" i="8"/>
  <c r="B807" i="8"/>
  <c r="B1852" i="8"/>
  <c r="B1851" i="8"/>
  <c r="B806" i="8"/>
  <c r="B1316" i="8"/>
  <c r="B313" i="8"/>
  <c r="B1122" i="8"/>
  <c r="B1121" i="8"/>
  <c r="B1120" i="8"/>
  <c r="B1512" i="8"/>
  <c r="B1511" i="8"/>
  <c r="B1510" i="8"/>
  <c r="B1509" i="8"/>
  <c r="B1513" i="8"/>
  <c r="B1514" i="8"/>
  <c r="B1124" i="8"/>
  <c r="B1123" i="8"/>
  <c r="B863" i="8"/>
  <c r="B1454" i="8"/>
  <c r="B1455" i="8"/>
  <c r="B1457" i="8"/>
  <c r="B864" i="8"/>
  <c r="B1456" i="8"/>
  <c r="B865" i="8"/>
  <c r="B1008" i="8"/>
  <c r="B1440" i="8"/>
  <c r="B1441" i="8"/>
  <c r="B1437" i="8"/>
  <c r="B1010" i="8"/>
  <c r="B1438" i="8"/>
  <c r="B1439" i="8"/>
  <c r="B1009" i="8"/>
  <c r="B1665" i="8"/>
  <c r="B1666" i="8"/>
  <c r="B1005" i="8"/>
  <c r="B1667" i="8"/>
  <c r="B1668" i="8"/>
  <c r="B1006" i="8"/>
  <c r="B1007" i="8"/>
  <c r="B1266" i="8"/>
  <c r="B1892" i="8"/>
  <c r="B1893" i="8"/>
  <c r="B1894" i="8"/>
  <c r="B1895" i="8"/>
  <c r="B1268" i="8"/>
  <c r="B1267" i="8"/>
  <c r="B1734" i="8"/>
  <c r="B1732" i="8"/>
  <c r="B1733" i="8"/>
  <c r="B1000" i="8"/>
  <c r="B999" i="8"/>
  <c r="B998" i="8"/>
  <c r="B997" i="8"/>
  <c r="B1735" i="8"/>
  <c r="B1731" i="8"/>
  <c r="B1089" i="8"/>
  <c r="B1088" i="8"/>
  <c r="B1087" i="8"/>
  <c r="B1086" i="8"/>
  <c r="B1617" i="8"/>
  <c r="B1618" i="8"/>
  <c r="B1616" i="8"/>
  <c r="B1619" i="8"/>
  <c r="B1620" i="8"/>
  <c r="B1053" i="8"/>
  <c r="B1052" i="8"/>
  <c r="B1051" i="8"/>
  <c r="B1050" i="8"/>
  <c r="B1361" i="8"/>
  <c r="B1360" i="8"/>
  <c r="B1359" i="8"/>
  <c r="B1358" i="8"/>
  <c r="B1635" i="8"/>
  <c r="B1634" i="8"/>
  <c r="B1111" i="8"/>
  <c r="B1112" i="8"/>
  <c r="B1113" i="8"/>
  <c r="B1114" i="8"/>
  <c r="B1217" i="8"/>
  <c r="B1774" i="8"/>
  <c r="B1776" i="8"/>
  <c r="B1773" i="8"/>
  <c r="B1775" i="8"/>
  <c r="B1220" i="8"/>
  <c r="B1219" i="8"/>
  <c r="B1218" i="8"/>
  <c r="B1090" i="8"/>
  <c r="B1091" i="8"/>
  <c r="B1168" i="8"/>
  <c r="B1686" i="8"/>
  <c r="B1685" i="8"/>
  <c r="B1683" i="8"/>
  <c r="B1169" i="8"/>
  <c r="B1684" i="8"/>
  <c r="B1212" i="8"/>
  <c r="B1210" i="8"/>
  <c r="B1209" i="8"/>
  <c r="B1211" i="8"/>
  <c r="B1100" i="8"/>
  <c r="B1101" i="8"/>
  <c r="B1387" i="8"/>
  <c r="B1384" i="8"/>
  <c r="B1385" i="8"/>
  <c r="B1386" i="8"/>
  <c r="B1357" i="8"/>
  <c r="B1896" i="8"/>
  <c r="B1897" i="8"/>
  <c r="B1356" i="8"/>
  <c r="B1222" i="8"/>
  <c r="B1223" i="8"/>
  <c r="B1224" i="8"/>
  <c r="B1221" i="8"/>
  <c r="B572" i="8"/>
  <c r="B1095" i="8"/>
  <c r="B1740" i="8"/>
  <c r="B1741" i="8"/>
  <c r="B1452" i="8"/>
  <c r="B1453" i="8"/>
  <c r="B1451" i="8"/>
  <c r="A150" i="13"/>
  <c r="B1158" i="8"/>
  <c r="B1160" i="8"/>
  <c r="B1157" i="8"/>
  <c r="B1159" i="8"/>
  <c r="B686" i="8"/>
  <c r="B1500" i="8"/>
  <c r="B1502" i="8"/>
  <c r="B1501" i="8"/>
  <c r="B1508" i="8"/>
  <c r="B1507" i="8"/>
  <c r="B1506" i="8"/>
  <c r="B1691" i="8"/>
  <c r="B1690" i="8"/>
  <c r="B1063" i="8"/>
  <c r="B1688" i="8"/>
  <c r="B1065" i="8"/>
  <c r="B1064" i="8"/>
  <c r="B1687" i="8"/>
  <c r="B1062" i="8"/>
  <c r="B1689" i="8"/>
  <c r="B773" i="8"/>
  <c r="B774" i="8"/>
  <c r="B775" i="8"/>
  <c r="B776" i="8"/>
  <c r="B777" i="8"/>
  <c r="B1300" i="8"/>
  <c r="B1301" i="8"/>
  <c r="B1302" i="8"/>
  <c r="B1304" i="8"/>
  <c r="B1303" i="8"/>
  <c r="B772" i="8"/>
  <c r="B1180" i="8"/>
  <c r="B1299" i="8"/>
  <c r="A155" i="13"/>
  <c r="B1664" i="8"/>
  <c r="B1698" i="8"/>
  <c r="B1629" i="8"/>
  <c r="B1630" i="8"/>
  <c r="B1631" i="8"/>
  <c r="A160" i="13"/>
  <c r="B1730" i="8"/>
  <c r="B1729" i="8"/>
  <c r="B1728" i="8"/>
  <c r="B1727" i="8"/>
  <c r="B1726" i="8"/>
  <c r="B1725" i="8"/>
  <c r="B1274" i="8"/>
  <c r="B1276" i="8"/>
  <c r="B1277" i="8"/>
  <c r="B1275" i="8"/>
  <c r="B1273" i="8"/>
  <c r="B798" i="8"/>
  <c r="B799" i="8"/>
  <c r="B800" i="8"/>
  <c r="B801" i="8"/>
  <c r="B802" i="8"/>
  <c r="B1272" i="8"/>
  <c r="B1269" i="8"/>
  <c r="B1271" i="8"/>
  <c r="B1270" i="8"/>
  <c r="B803" i="8"/>
  <c r="B1181" i="8"/>
  <c r="B1182" i="8"/>
  <c r="B1183" i="8"/>
  <c r="B1492" i="8"/>
  <c r="B1493" i="8"/>
  <c r="B1494" i="8"/>
  <c r="B1415" i="8"/>
  <c r="B1413" i="8"/>
  <c r="B1414" i="8"/>
  <c r="B1416" i="8"/>
  <c r="B796" i="8"/>
  <c r="B795" i="8"/>
  <c r="B1888" i="8"/>
  <c r="B1886" i="8"/>
  <c r="B797" i="8"/>
  <c r="B1887" i="8"/>
  <c r="B793" i="8"/>
  <c r="B794" i="8"/>
  <c r="B861" i="8"/>
  <c r="B860" i="8"/>
  <c r="B859" i="8"/>
  <c r="B862" i="8"/>
  <c r="B1421" i="8"/>
  <c r="B1420" i="8"/>
  <c r="B1419" i="8"/>
  <c r="B1418" i="8"/>
  <c r="B1417" i="8"/>
  <c r="A170" i="13"/>
  <c r="B1379" i="8"/>
  <c r="B1768" i="8"/>
  <c r="B1767" i="8"/>
  <c r="B1766" i="8"/>
  <c r="B1765" i="8"/>
  <c r="B1381" i="8"/>
  <c r="B1378" i="8"/>
  <c r="B1380" i="8"/>
  <c r="B1079" i="8"/>
  <c r="B1078" i="8"/>
  <c r="B1679" i="8"/>
  <c r="B1681" i="8"/>
  <c r="B1682" i="8"/>
  <c r="B1081" i="8"/>
  <c r="B1080" i="8"/>
  <c r="B1680" i="8"/>
  <c r="B1696" i="8"/>
  <c r="B1624" i="8"/>
  <c r="B989" i="8"/>
  <c r="B1622" i="8"/>
  <c r="B986" i="8"/>
  <c r="B1621" i="8"/>
  <c r="B987" i="8"/>
  <c r="B985" i="8"/>
  <c r="B1625" i="8"/>
  <c r="B988" i="8"/>
  <c r="B1623" i="8"/>
  <c r="E781" i="8"/>
  <c r="D781" i="8"/>
  <c r="AB781" i="8" s="1"/>
  <c r="B1736" i="8"/>
  <c r="B1737" i="8"/>
  <c r="B1738" i="8"/>
  <c r="B1739" i="8"/>
  <c r="A176" i="13"/>
  <c r="B1879" i="8"/>
  <c r="B1878" i="8"/>
  <c r="B1877" i="8"/>
  <c r="B857" i="8"/>
  <c r="B1880" i="8"/>
  <c r="B856" i="8"/>
  <c r="B858" i="8"/>
  <c r="B1280" i="8"/>
  <c r="B1279" i="8"/>
  <c r="B1278" i="8"/>
  <c r="B1714" i="8"/>
  <c r="B1718" i="8"/>
  <c r="B1717" i="8"/>
  <c r="B1716" i="8"/>
  <c r="B1715" i="8"/>
  <c r="B1645" i="8"/>
  <c r="B1644" i="8"/>
  <c r="B1647" i="8"/>
  <c r="B1646" i="8"/>
  <c r="B1059" i="8"/>
  <c r="B1060" i="8"/>
  <c r="B1061" i="8"/>
  <c r="B1058" i="8"/>
  <c r="B1140" i="8"/>
  <c r="B1505" i="8"/>
  <c r="B1504" i="8"/>
  <c r="B1503" i="8"/>
  <c r="B1139" i="8"/>
  <c r="A187" i="13"/>
  <c r="B993" i="8"/>
  <c r="B992" i="8"/>
  <c r="B991" i="8"/>
  <c r="B990" i="8"/>
  <c r="B1863" i="8"/>
  <c r="B1864" i="8"/>
  <c r="B1865" i="8"/>
  <c r="B1867" i="8"/>
  <c r="B1866" i="8"/>
  <c r="A188" i="13"/>
  <c r="B1188" i="8"/>
  <c r="B1189" i="8"/>
  <c r="B1004" i="8"/>
  <c r="B1003" i="8"/>
  <c r="B1002" i="8"/>
  <c r="B1001" i="8"/>
  <c r="B1482" i="8"/>
  <c r="B1483" i="8"/>
  <c r="B1485" i="8"/>
  <c r="B1484" i="8"/>
  <c r="B1093" i="8"/>
  <c r="B1094" i="8"/>
  <c r="B1491" i="8"/>
  <c r="B1490" i="8"/>
  <c r="B1488" i="8"/>
  <c r="B1489" i="8"/>
  <c r="B1092" i="8"/>
  <c r="B1855" i="8"/>
  <c r="B811" i="8"/>
  <c r="B1322" i="8"/>
  <c r="B808" i="8"/>
  <c r="B812" i="8"/>
  <c r="B1854" i="8"/>
  <c r="B1321" i="8"/>
  <c r="B809" i="8"/>
  <c r="B810" i="8"/>
  <c r="B1323" i="8"/>
  <c r="B1320" i="8"/>
  <c r="B1857" i="8"/>
  <c r="B1856" i="8"/>
  <c r="B1692" i="8"/>
  <c r="B1481" i="8"/>
  <c r="B1480" i="8"/>
  <c r="B1479" i="8"/>
  <c r="B1478" i="8"/>
  <c r="B1038" i="8"/>
  <c r="B1037" i="8"/>
  <c r="B1036" i="8"/>
  <c r="B1035" i="8"/>
  <c r="B1442" i="8"/>
  <c r="B983" i="8"/>
  <c r="B984" i="8"/>
  <c r="B1443" i="8"/>
  <c r="B1444" i="8"/>
  <c r="B1445" i="8"/>
  <c r="B1446" i="8"/>
  <c r="B1307" i="8"/>
  <c r="B1306" i="8"/>
  <c r="B1305" i="8"/>
  <c r="B1850" i="8"/>
  <c r="B1849" i="8"/>
  <c r="B1847" i="8"/>
  <c r="B1848" i="8"/>
  <c r="B1014" i="8"/>
  <c r="B1013" i="8"/>
  <c r="B1677" i="8"/>
  <c r="B1676" i="8"/>
  <c r="B1678" i="8"/>
  <c r="B1012" i="8"/>
  <c r="B1011" i="8"/>
  <c r="B1309" i="8"/>
  <c r="B1308" i="8"/>
  <c r="B1311" i="8"/>
  <c r="B1310" i="8"/>
  <c r="B1032" i="8"/>
  <c r="B1031" i="8"/>
  <c r="B1460" i="8"/>
  <c r="B1033" i="8"/>
  <c r="B1034" i="8"/>
  <c r="B1459" i="8"/>
  <c r="B1462" i="8"/>
  <c r="B1461" i="8"/>
  <c r="B1458" i="8"/>
  <c r="B1314" i="8"/>
  <c r="B1313" i="8"/>
  <c r="B1312" i="8"/>
  <c r="B1315" i="8"/>
  <c r="B1355" i="8"/>
  <c r="B1354" i="8"/>
  <c r="B1353" i="8"/>
  <c r="B784" i="8"/>
  <c r="B1711" i="8"/>
  <c r="B1712" i="8"/>
  <c r="B1710" i="8"/>
  <c r="B1713" i="8"/>
  <c r="B821" i="8"/>
  <c r="B822" i="8"/>
  <c r="B1709" i="8"/>
  <c r="B823" i="8"/>
  <c r="B1333" i="8"/>
  <c r="B1332" i="8"/>
  <c r="B1331" i="8"/>
  <c r="B1813" i="8"/>
  <c r="B1814" i="8"/>
  <c r="B1815" i="8"/>
  <c r="B1816" i="8"/>
  <c r="B1225" i="8"/>
  <c r="B1226" i="8"/>
  <c r="A206" i="13"/>
  <c r="B1434" i="8"/>
  <c r="B1433" i="8"/>
  <c r="B1432" i="8"/>
  <c r="B1436" i="8"/>
  <c r="B834" i="8"/>
  <c r="B831" i="8"/>
  <c r="B832" i="8"/>
  <c r="B833" i="8"/>
  <c r="B1435" i="8"/>
  <c r="B837" i="8"/>
  <c r="B836" i="8"/>
  <c r="B835" i="8"/>
  <c r="B1899" i="8"/>
  <c r="B1341" i="8"/>
  <c r="B1340" i="8"/>
  <c r="B1339" i="8"/>
  <c r="B1338" i="8"/>
  <c r="B1077" i="8"/>
  <c r="B1898" i="8"/>
  <c r="B1900" i="8"/>
  <c r="B1901" i="8"/>
  <c r="B1902" i="8"/>
  <c r="B838" i="8"/>
  <c r="B1213" i="8"/>
  <c r="B1214" i="8"/>
  <c r="B1215" i="8"/>
  <c r="B1216" i="8"/>
  <c r="B1427" i="8"/>
  <c r="B1428" i="8"/>
  <c r="B1429" i="8"/>
  <c r="B1099" i="8"/>
  <c r="B1430" i="8"/>
  <c r="B1431" i="8"/>
  <c r="B1097" i="8"/>
  <c r="B1096" i="8"/>
  <c r="B1098" i="8"/>
  <c r="B1640" i="8"/>
  <c r="B1641" i="8"/>
  <c r="A215" i="13"/>
  <c r="B1410" i="8"/>
  <c r="B1409" i="8"/>
  <c r="B1401" i="8"/>
  <c r="B1412" i="8"/>
  <c r="B1411" i="8"/>
  <c r="B1043" i="8"/>
  <c r="B1044" i="8"/>
  <c r="B1045" i="8"/>
  <c r="B1026" i="8"/>
  <c r="B1027" i="8"/>
  <c r="B1025" i="8"/>
  <c r="B1926" i="8"/>
  <c r="B1371" i="8"/>
  <c r="B1370" i="8"/>
  <c r="B1369" i="8"/>
  <c r="B1924" i="8"/>
  <c r="B1923" i="8"/>
  <c r="B1922" i="8"/>
  <c r="B1925" i="8"/>
  <c r="B1762" i="8"/>
  <c r="B1377" i="8"/>
  <c r="B867" i="8"/>
  <c r="B866" i="8"/>
  <c r="A222" i="13"/>
  <c r="B1643" i="8"/>
  <c r="B1642" i="8"/>
  <c r="A223" i="13"/>
  <c r="B1082" i="8"/>
  <c r="B1083" i="8"/>
  <c r="B1084" i="8"/>
  <c r="B1085" i="8"/>
  <c r="A224" i="13"/>
  <c r="B1148" i="8"/>
  <c r="B1147" i="8"/>
  <c r="B1149" i="8"/>
  <c r="B1150" i="8"/>
  <c r="A225" i="13"/>
  <c r="B1116" i="8"/>
  <c r="B1117" i="8"/>
  <c r="B820" i="8"/>
  <c r="B818" i="8"/>
  <c r="B817" i="8"/>
  <c r="B819" i="8"/>
  <c r="B1235" i="8"/>
  <c r="B1234" i="8"/>
  <c r="B1233" i="8"/>
  <c r="B1115" i="8"/>
  <c r="B1232" i="8"/>
  <c r="A226" i="13"/>
  <c r="B1720" i="8"/>
  <c r="B1719" i="8"/>
  <c r="B1721" i="8"/>
  <c r="B1722" i="8"/>
  <c r="B1281" i="8"/>
  <c r="B1283" i="8"/>
  <c r="B1282" i="8"/>
  <c r="A228" i="13"/>
  <c r="B1669" i="8"/>
  <c r="B1670" i="8"/>
  <c r="B1671" i="8"/>
  <c r="B1672" i="8"/>
  <c r="B1141" i="8"/>
  <c r="B1142" i="8"/>
  <c r="B1143" i="8"/>
  <c r="B1487" i="8"/>
  <c r="B1486" i="8"/>
  <c r="B839" i="8"/>
  <c r="B840" i="8"/>
  <c r="B841" i="8"/>
  <c r="B1449" i="8"/>
  <c r="B1450" i="8"/>
  <c r="B1447" i="8"/>
  <c r="B1448" i="8"/>
  <c r="B1656" i="8"/>
  <c r="B1658" i="8"/>
  <c r="B1657" i="8"/>
  <c r="B1103" i="8"/>
  <c r="B1102" i="8"/>
  <c r="A232" i="13"/>
  <c r="B814" i="8"/>
  <c r="B1801" i="8"/>
  <c r="B813" i="8"/>
  <c r="B815" i="8"/>
  <c r="B816" i="8"/>
  <c r="B1800" i="8"/>
  <c r="B1803" i="8"/>
  <c r="B1802" i="8"/>
  <c r="B1466" i="8"/>
  <c r="B1465" i="8"/>
  <c r="B1464" i="8"/>
  <c r="B829" i="8"/>
  <c r="B1468" i="8"/>
  <c r="B1463" i="8"/>
  <c r="B828" i="8"/>
  <c r="B1467" i="8"/>
  <c r="B830" i="8"/>
  <c r="B827" i="8"/>
  <c r="B824" i="8"/>
  <c r="B825" i="8"/>
  <c r="B826" i="8"/>
  <c r="B1496" i="8"/>
  <c r="B1497" i="8"/>
  <c r="B1891" i="8"/>
  <c r="B1890" i="8"/>
  <c r="B1495" i="8"/>
  <c r="B1889" i="8"/>
  <c r="B1789" i="8"/>
  <c r="B1787" i="8"/>
  <c r="B1193" i="8"/>
  <c r="B1192" i="8"/>
  <c r="B1191" i="8"/>
  <c r="B1190" i="8"/>
  <c r="B1786" i="8"/>
  <c r="B1788" i="8"/>
  <c r="B1075" i="8"/>
  <c r="B1074" i="8"/>
  <c r="B1073" i="8"/>
  <c r="B1072" i="8"/>
  <c r="B1076" i="8"/>
  <c r="B1030" i="8"/>
  <c r="B1029" i="8"/>
  <c r="B1028" i="8"/>
  <c r="B1675" i="8"/>
  <c r="B1674" i="8"/>
  <c r="B1673" i="8"/>
  <c r="A6" i="13"/>
  <c r="B577" i="8"/>
  <c r="B580" i="8"/>
  <c r="B579" i="8"/>
  <c r="B578" i="8"/>
  <c r="B576" i="8"/>
  <c r="B575" i="8"/>
  <c r="B694" i="8"/>
  <c r="B693" i="8"/>
  <c r="B697" i="8"/>
  <c r="B696" i="8"/>
  <c r="B695" i="8"/>
  <c r="B431" i="8"/>
  <c r="B430" i="8"/>
  <c r="B429" i="8"/>
  <c r="B428" i="8"/>
  <c r="B427" i="8"/>
  <c r="B607" i="8"/>
  <c r="A12" i="13"/>
  <c r="B608" i="8"/>
  <c r="B411" i="8"/>
  <c r="B410" i="8"/>
  <c r="B409" i="8"/>
  <c r="B704" i="8"/>
  <c r="A16" i="13"/>
  <c r="B598" i="8"/>
  <c r="B595" i="8"/>
  <c r="B594" i="8"/>
  <c r="B597" i="8"/>
  <c r="B596" i="8"/>
  <c r="A19" i="13"/>
  <c r="B609" i="8"/>
  <c r="A20" i="13"/>
  <c r="B610" i="8"/>
  <c r="A21" i="13"/>
  <c r="B586" i="8"/>
  <c r="B585" i="8"/>
  <c r="B584" i="8"/>
  <c r="B588" i="8"/>
  <c r="B587" i="8"/>
  <c r="B581" i="8"/>
  <c r="B582" i="8"/>
  <c r="B583" i="8"/>
  <c r="A23" i="13"/>
  <c r="B611" i="8"/>
  <c r="A28" i="13"/>
  <c r="B612" i="8"/>
  <c r="B669" i="8"/>
  <c r="B668" i="8"/>
  <c r="B667" i="8"/>
  <c r="B666" i="8"/>
  <c r="B664" i="8"/>
  <c r="B663" i="8"/>
  <c r="B665" i="8"/>
  <c r="E614" i="8"/>
  <c r="D614" i="8"/>
  <c r="AB614" i="8" s="1"/>
  <c r="A37" i="13"/>
  <c r="B616" i="8"/>
  <c r="B413" i="8"/>
  <c r="B412" i="8"/>
  <c r="A41" i="13"/>
  <c r="B618" i="8"/>
  <c r="B705" i="8"/>
  <c r="B708" i="8"/>
  <c r="B707" i="8"/>
  <c r="B706" i="8"/>
  <c r="A44" i="13"/>
  <c r="B605" i="8"/>
  <c r="B606" i="8"/>
  <c r="A45" i="13"/>
  <c r="B619" i="8"/>
  <c r="B710" i="8"/>
  <c r="B709" i="8"/>
  <c r="B589" i="8"/>
  <c r="B590" i="8"/>
  <c r="B591" i="8"/>
  <c r="B592" i="8"/>
  <c r="B593" i="8"/>
  <c r="A48" i="13"/>
  <c r="B620" i="8"/>
  <c r="A51" i="13"/>
  <c r="B621" i="8"/>
  <c r="A52" i="13"/>
  <c r="B622" i="8"/>
  <c r="A53" i="13"/>
  <c r="B623" i="8"/>
  <c r="A62" i="13"/>
  <c r="B600" i="8"/>
  <c r="B601" i="8"/>
  <c r="B602" i="8"/>
  <c r="B603" i="8"/>
  <c r="B604" i="8"/>
  <c r="B599" i="8"/>
  <c r="A64" i="13"/>
  <c r="B528" i="8"/>
  <c r="B529" i="8"/>
  <c r="B527" i="8"/>
  <c r="B514" i="8"/>
  <c r="B515" i="8"/>
  <c r="B516" i="8"/>
  <c r="B517" i="8"/>
  <c r="B518" i="8"/>
  <c r="B520" i="8"/>
  <c r="B521" i="8"/>
  <c r="B522" i="8"/>
  <c r="B523" i="8"/>
  <c r="B519" i="8"/>
  <c r="B524" i="8"/>
  <c r="B525" i="8"/>
  <c r="B526" i="8"/>
  <c r="A70" i="13"/>
  <c r="B443" i="8"/>
  <c r="B441" i="8"/>
  <c r="B442" i="8"/>
  <c r="B533" i="8"/>
  <c r="B532" i="8"/>
  <c r="B714" i="8"/>
  <c r="B715" i="8"/>
  <c r="A77" i="13"/>
  <c r="B541" i="8"/>
  <c r="B539" i="8"/>
  <c r="B540" i="8"/>
  <c r="B542" i="8"/>
  <c r="A82" i="13"/>
  <c r="B447" i="8"/>
  <c r="B451" i="8"/>
  <c r="B448" i="8"/>
  <c r="B449" i="8"/>
  <c r="B450" i="8"/>
  <c r="A83" i="13"/>
  <c r="B643" i="8"/>
  <c r="B644" i="8"/>
  <c r="B642" i="8"/>
  <c r="B641" i="8"/>
  <c r="A84" i="13"/>
  <c r="B654" i="8"/>
  <c r="B653" i="8"/>
  <c r="B655" i="8"/>
  <c r="B635" i="8"/>
  <c r="B634" i="8"/>
  <c r="B633" i="8"/>
  <c r="B636" i="8"/>
  <c r="A89" i="13"/>
  <c r="B398" i="8"/>
  <c r="B397" i="8"/>
  <c r="B399" i="8"/>
  <c r="B400" i="8"/>
  <c r="B637" i="8"/>
  <c r="B638" i="8"/>
  <c r="B639" i="8"/>
  <c r="B640" i="8"/>
  <c r="A96" i="13"/>
  <c r="B684" i="8"/>
  <c r="B685" i="8"/>
  <c r="A97" i="13"/>
  <c r="B423" i="8"/>
  <c r="B426" i="8"/>
  <c r="B425" i="8"/>
  <c r="B424" i="8"/>
  <c r="A99" i="13"/>
  <c r="B408" i="8"/>
  <c r="B407" i="8"/>
  <c r="B406" i="8"/>
  <c r="B717" i="8"/>
  <c r="B719" i="8"/>
  <c r="B716" i="8"/>
  <c r="B718" i="8"/>
  <c r="A102" i="13"/>
  <c r="B683" i="8"/>
  <c r="B711" i="8"/>
  <c r="B713" i="8"/>
  <c r="B712" i="8"/>
  <c r="A110" i="13"/>
  <c r="B699" i="8"/>
  <c r="B701" i="8"/>
  <c r="B698" i="8"/>
  <c r="B700" i="8"/>
  <c r="B647" i="8"/>
  <c r="B648" i="8"/>
  <c r="B649" i="8"/>
  <c r="B530" i="8"/>
  <c r="A113" i="13"/>
  <c r="B384" i="8"/>
  <c r="B383" i="8"/>
  <c r="B382" i="8"/>
  <c r="B381" i="8"/>
  <c r="A116" i="13"/>
  <c r="B502" i="8"/>
  <c r="B503" i="8"/>
  <c r="B504" i="8"/>
  <c r="B505" i="8"/>
  <c r="A117" i="13"/>
  <c r="B570" i="8"/>
  <c r="B571" i="8"/>
  <c r="B568" i="8"/>
  <c r="B569" i="8"/>
  <c r="B376" i="8"/>
  <c r="B377" i="8"/>
  <c r="B378" i="8"/>
  <c r="B379" i="8"/>
  <c r="B380" i="8"/>
  <c r="B375" i="8"/>
  <c r="A121" i="13"/>
  <c r="B437" i="8"/>
  <c r="B435" i="8"/>
  <c r="B436" i="8"/>
  <c r="B497" i="8"/>
  <c r="B496" i="8"/>
  <c r="B495" i="8"/>
  <c r="B494" i="8"/>
  <c r="B573" i="8"/>
  <c r="B574" i="8"/>
  <c r="A125" i="13"/>
  <c r="B461" i="8"/>
  <c r="B460" i="8"/>
  <c r="B459" i="8"/>
  <c r="B553" i="8"/>
  <c r="B552" i="8"/>
  <c r="B554" i="8"/>
  <c r="B482" i="8"/>
  <c r="B485" i="8"/>
  <c r="B484" i="8"/>
  <c r="B483" i="8"/>
  <c r="A131" i="13"/>
  <c r="B551" i="8"/>
  <c r="B550" i="8"/>
  <c r="B549" i="8"/>
  <c r="B548" i="8"/>
  <c r="B670" i="8"/>
  <c r="B671" i="8"/>
  <c r="B673" i="8"/>
  <c r="B672" i="8"/>
  <c r="B726" i="8"/>
  <c r="B725" i="8"/>
  <c r="B674" i="8"/>
  <c r="B675" i="8"/>
  <c r="A139" i="13"/>
  <c r="B659" i="8"/>
  <c r="B660" i="8"/>
  <c r="B661" i="8"/>
  <c r="B662" i="8"/>
  <c r="A143" i="13"/>
  <c r="B564" i="8"/>
  <c r="B566" i="8"/>
  <c r="B567" i="8"/>
  <c r="B565" i="8"/>
  <c r="A144" i="13"/>
  <c r="B677" i="8"/>
  <c r="B679" i="8"/>
  <c r="B678" i="8"/>
  <c r="B676" i="8"/>
  <c r="A149" i="13"/>
  <c r="B629" i="8"/>
  <c r="B632" i="8"/>
  <c r="B630" i="8"/>
  <c r="B631" i="8"/>
  <c r="B680" i="8"/>
  <c r="B681" i="8"/>
  <c r="B682" i="8"/>
  <c r="A153" i="13"/>
  <c r="B563" i="8"/>
  <c r="B562" i="8"/>
  <c r="B561" i="8"/>
  <c r="B560" i="8"/>
  <c r="B390" i="8"/>
  <c r="B391" i="8"/>
  <c r="B703" i="8"/>
  <c r="A161" i="13"/>
  <c r="B473" i="8"/>
  <c r="B474" i="8"/>
  <c r="B475" i="8"/>
  <c r="B471" i="8"/>
  <c r="B472" i="8"/>
  <c r="A165" i="13"/>
  <c r="B688" i="8"/>
  <c r="B689" i="8"/>
  <c r="B690" i="8"/>
  <c r="B744" i="8"/>
  <c r="B745" i="8"/>
  <c r="B746" i="8"/>
  <c r="B747" i="8"/>
  <c r="A169" i="13"/>
  <c r="B456" i="8"/>
  <c r="B455" i="8"/>
  <c r="B458" i="8"/>
  <c r="B457" i="8"/>
  <c r="B557" i="8"/>
  <c r="B556" i="8"/>
  <c r="B555" i="8"/>
  <c r="B510" i="8"/>
  <c r="B511" i="8"/>
  <c r="B512" i="8"/>
  <c r="B513" i="8"/>
  <c r="B752" i="8"/>
  <c r="B751" i="8"/>
  <c r="A177" i="13"/>
  <c r="B741" i="8"/>
  <c r="B742" i="8"/>
  <c r="B743" i="8"/>
  <c r="B465" i="8"/>
  <c r="B462" i="8"/>
  <c r="B463" i="8"/>
  <c r="B464" i="8"/>
  <c r="B740" i="8"/>
  <c r="B658" i="8"/>
  <c r="B656" i="8"/>
  <c r="B657" i="8"/>
  <c r="B692" i="8"/>
  <c r="B691" i="8"/>
  <c r="A184" i="13"/>
  <c r="B453" i="8"/>
  <c r="B452" i="8"/>
  <c r="B454" i="8"/>
  <c r="A186" i="13"/>
  <c r="B486" i="8"/>
  <c r="B487" i="8"/>
  <c r="B488" i="8"/>
  <c r="B489" i="8"/>
  <c r="B501" i="8"/>
  <c r="B500" i="8"/>
  <c r="B499" i="8"/>
  <c r="B498" i="8"/>
  <c r="B534" i="8"/>
  <c r="B535" i="8"/>
  <c r="B536" i="8"/>
  <c r="A193" i="13"/>
  <c r="B389" i="8"/>
  <c r="B385" i="8"/>
  <c r="B386" i="8"/>
  <c r="B387" i="8"/>
  <c r="B388" i="8"/>
  <c r="B645" i="8"/>
  <c r="B646" i="8"/>
  <c r="A195" i="13"/>
  <c r="B444" i="8"/>
  <c r="B445" i="8"/>
  <c r="B446" i="8"/>
  <c r="B739" i="8"/>
  <c r="B738" i="8"/>
  <c r="B737" i="8"/>
  <c r="B724" i="8"/>
  <c r="B723" i="8"/>
  <c r="B720" i="8"/>
  <c r="B721" i="8"/>
  <c r="B722" i="8"/>
  <c r="A200" i="13"/>
  <c r="B440" i="8"/>
  <c r="B438" i="8"/>
  <c r="B439" i="8"/>
  <c r="A201" i="13"/>
  <c r="B418" i="8"/>
  <c r="B417" i="8"/>
  <c r="B419" i="8"/>
  <c r="A202" i="13"/>
  <c r="B651" i="8"/>
  <c r="B650" i="8"/>
  <c r="B652" i="8"/>
  <c r="A204" i="13"/>
  <c r="B769" i="8"/>
  <c r="B770" i="8"/>
  <c r="B771" i="8"/>
  <c r="A205" i="13"/>
  <c r="B531" i="8"/>
  <c r="B702" i="8"/>
  <c r="A210" i="13"/>
  <c r="B546" i="8"/>
  <c r="B545" i="8"/>
  <c r="B543" i="8"/>
  <c r="B544" i="8"/>
  <c r="A212" i="13"/>
  <c r="B478" i="8"/>
  <c r="B476" i="8"/>
  <c r="B477" i="8"/>
  <c r="A216" i="13"/>
  <c r="B422" i="8"/>
  <c r="B421" i="8"/>
  <c r="B420" i="8"/>
  <c r="B627" i="8"/>
  <c r="B628" i="8"/>
  <c r="B626" i="8"/>
  <c r="B468" i="8"/>
  <c r="B466" i="8"/>
  <c r="B467" i="8"/>
  <c r="A219" i="13"/>
  <c r="B479" i="8"/>
  <c r="B481" i="8"/>
  <c r="B480" i="8"/>
  <c r="A220" i="13"/>
  <c r="B469" i="8"/>
  <c r="B470" i="8"/>
  <c r="B559" i="8"/>
  <c r="B558" i="8"/>
  <c r="A230" i="13"/>
  <c r="B432" i="8"/>
  <c r="B433" i="8"/>
  <c r="B434" i="8"/>
  <c r="A231" i="13"/>
  <c r="B538" i="8"/>
  <c r="B537" i="8"/>
  <c r="A235" i="13"/>
  <c r="B402" i="8"/>
  <c r="B401" i="8"/>
  <c r="B405" i="8"/>
  <c r="B404" i="8"/>
  <c r="B403" i="8"/>
  <c r="B394" i="8"/>
  <c r="B395" i="8"/>
  <c r="B396" i="8"/>
  <c r="B788" i="8"/>
  <c r="B785" i="8"/>
  <c r="B786" i="8"/>
  <c r="B787" i="8"/>
  <c r="B762" i="8"/>
  <c r="B783" i="8"/>
  <c r="B763" i="8"/>
  <c r="B765" i="8"/>
  <c r="B764" i="8"/>
  <c r="A239" i="13"/>
  <c r="B507" i="8"/>
  <c r="B506" i="8"/>
  <c r="B508" i="8"/>
  <c r="B509" i="8"/>
  <c r="A240" i="13"/>
  <c r="B414" i="8"/>
  <c r="B415" i="8"/>
  <c r="B416" i="8"/>
  <c r="B266" i="8"/>
  <c r="B264" i="8"/>
  <c r="B265" i="8"/>
  <c r="B267" i="8"/>
  <c r="B268" i="8"/>
  <c r="A36" i="13"/>
  <c r="B319" i="8"/>
  <c r="B318" i="8"/>
  <c r="B322" i="8"/>
  <c r="B321" i="8"/>
  <c r="B320" i="8"/>
  <c r="A54" i="13"/>
  <c r="B324" i="8"/>
  <c r="B323" i="8"/>
  <c r="B328" i="8"/>
  <c r="B325" i="8"/>
  <c r="B326" i="8"/>
  <c r="B327" i="8"/>
  <c r="A56" i="13"/>
  <c r="B259" i="8"/>
  <c r="B260" i="8"/>
  <c r="B261" i="8"/>
  <c r="B262" i="8"/>
  <c r="B263" i="8"/>
  <c r="A63" i="13"/>
  <c r="B279" i="8"/>
  <c r="B280" i="8"/>
  <c r="B274" i="8"/>
  <c r="B273" i="8"/>
  <c r="B275" i="8"/>
  <c r="B276" i="8"/>
  <c r="B277" i="8"/>
  <c r="B278" i="8"/>
  <c r="A88" i="13"/>
  <c r="B355" i="8"/>
  <c r="B356" i="8"/>
  <c r="B357" i="8"/>
  <c r="B358" i="8"/>
  <c r="B359" i="8"/>
  <c r="A100" i="13"/>
  <c r="B303" i="8"/>
  <c r="B302" i="8"/>
  <c r="B300" i="8"/>
  <c r="B299" i="8"/>
  <c r="B301" i="8"/>
  <c r="A103" i="13"/>
  <c r="B330" i="8"/>
  <c r="B332" i="8"/>
  <c r="B331" i="8"/>
  <c r="B329" i="8"/>
  <c r="A105" i="13"/>
  <c r="B282" i="8"/>
  <c r="B281" i="8"/>
  <c r="B284" i="8"/>
  <c r="B283" i="8"/>
  <c r="B285" i="8"/>
  <c r="B336" i="8"/>
  <c r="B337" i="8"/>
  <c r="B338" i="8"/>
  <c r="B341" i="8"/>
  <c r="B339" i="8"/>
  <c r="B340" i="8"/>
  <c r="A115" i="13"/>
  <c r="B360" i="8"/>
  <c r="B361" i="8"/>
  <c r="B362" i="8"/>
  <c r="B363" i="8"/>
  <c r="B364" i="8"/>
  <c r="A130" i="13"/>
  <c r="B365" i="8"/>
  <c r="B366" i="8"/>
  <c r="B367" i="8"/>
  <c r="B368" i="8"/>
  <c r="B369" i="8"/>
  <c r="B304" i="8"/>
  <c r="B305" i="8"/>
  <c r="B306" i="8"/>
  <c r="B307" i="8"/>
  <c r="B308" i="8"/>
  <c r="A154" i="13"/>
  <c r="B269" i="8"/>
  <c r="B270" i="8"/>
  <c r="B271" i="8"/>
  <c r="B272" i="8"/>
  <c r="B312" i="8"/>
  <c r="B309" i="8"/>
  <c r="B310" i="8"/>
  <c r="B311" i="8"/>
  <c r="A167" i="13"/>
  <c r="B290" i="8"/>
  <c r="B293" i="8"/>
  <c r="B294" i="8"/>
  <c r="B291" i="8"/>
  <c r="B292" i="8"/>
  <c r="A175" i="13"/>
  <c r="B295" i="8"/>
  <c r="B296" i="8"/>
  <c r="B297" i="8"/>
  <c r="B298" i="8"/>
  <c r="A189" i="13"/>
  <c r="B316" i="8"/>
  <c r="B317" i="8"/>
  <c r="B315" i="8"/>
  <c r="B314" i="8"/>
  <c r="A196" i="13"/>
  <c r="B333" i="8"/>
  <c r="B334" i="8"/>
  <c r="B335" i="8"/>
  <c r="B348" i="8"/>
  <c r="B349" i="8"/>
  <c r="B347" i="8"/>
  <c r="B352" i="8"/>
  <c r="B351" i="8"/>
  <c r="B350" i="8"/>
  <c r="B354" i="8"/>
  <c r="B353" i="8"/>
  <c r="A208" i="13"/>
  <c r="B374" i="8"/>
  <c r="B370" i="8"/>
  <c r="B371" i="8"/>
  <c r="B372" i="8"/>
  <c r="B373" i="8"/>
  <c r="A218" i="13"/>
  <c r="B286" i="8"/>
  <c r="B287" i="8"/>
  <c r="B289" i="8"/>
  <c r="B288" i="8"/>
  <c r="A237" i="13"/>
  <c r="B345" i="8"/>
  <c r="B344" i="8"/>
  <c r="B343" i="8"/>
  <c r="B342" i="8"/>
  <c r="B346" i="8"/>
  <c r="A81" i="13"/>
  <c r="B250" i="8"/>
  <c r="B251" i="8"/>
  <c r="B252" i="8"/>
  <c r="B253" i="8"/>
  <c r="A128" i="13"/>
  <c r="B222" i="8"/>
  <c r="B223" i="8"/>
  <c r="B224" i="8"/>
  <c r="B225" i="8"/>
  <c r="B226" i="8"/>
  <c r="A133" i="13"/>
  <c r="B238" i="8"/>
  <c r="B240" i="8"/>
  <c r="B239" i="8"/>
  <c r="B242" i="8"/>
  <c r="B241" i="8"/>
  <c r="A134" i="13"/>
  <c r="B246" i="8"/>
  <c r="B245" i="8"/>
  <c r="B244" i="8"/>
  <c r="B243" i="8"/>
  <c r="A135" i="13"/>
  <c r="B233" i="8"/>
  <c r="B234" i="8"/>
  <c r="B235" i="8"/>
  <c r="A138" i="13"/>
  <c r="B221" i="8"/>
  <c r="B219" i="8"/>
  <c r="B220" i="8"/>
  <c r="B247" i="8"/>
  <c r="B248" i="8"/>
  <c r="B249" i="8"/>
  <c r="A152" i="13"/>
  <c r="B230" i="8"/>
  <c r="B229" i="8"/>
  <c r="B228" i="8"/>
  <c r="B227" i="8"/>
  <c r="A174" i="13"/>
  <c r="B255" i="8"/>
  <c r="B256" i="8"/>
  <c r="B257" i="8"/>
  <c r="B258" i="8"/>
  <c r="A182" i="13"/>
  <c r="B232" i="8"/>
  <c r="B231" i="8"/>
  <c r="A194" i="13"/>
  <c r="B237" i="8"/>
  <c r="B236" i="8"/>
  <c r="A8" i="13"/>
  <c r="B156" i="8"/>
  <c r="B157" i="8"/>
  <c r="B158" i="8"/>
  <c r="B155" i="8"/>
  <c r="B154" i="8"/>
  <c r="A13" i="13"/>
  <c r="B174" i="8"/>
  <c r="A14" i="13"/>
  <c r="B88" i="8"/>
  <c r="A15" i="13"/>
  <c r="B166" i="8"/>
  <c r="B167" i="8"/>
  <c r="B168" i="8"/>
  <c r="B165" i="8"/>
  <c r="B164" i="8"/>
  <c r="A18" i="13"/>
  <c r="B171" i="8"/>
  <c r="A24" i="13"/>
  <c r="B170" i="8"/>
  <c r="A25" i="13"/>
  <c r="B159" i="8"/>
  <c r="B160" i="8"/>
  <c r="B161" i="8"/>
  <c r="B162" i="8"/>
  <c r="B163" i="8"/>
  <c r="A27" i="13"/>
  <c r="B79" i="8"/>
  <c r="B80" i="8"/>
  <c r="A32" i="13"/>
  <c r="B175" i="8"/>
  <c r="A33" i="13"/>
  <c r="B180" i="8"/>
  <c r="B179" i="8"/>
  <c r="B178" i="8"/>
  <c r="B177" i="8"/>
  <c r="A34" i="13"/>
  <c r="B176" i="8"/>
  <c r="A38" i="13"/>
  <c r="B169" i="8"/>
  <c r="A39" i="13"/>
  <c r="B81" i="8"/>
  <c r="A42" i="13"/>
  <c r="B84" i="8"/>
  <c r="B85" i="8"/>
  <c r="B87" i="8"/>
  <c r="B86" i="8"/>
  <c r="B82" i="8"/>
  <c r="B83" i="8"/>
  <c r="A46" i="13"/>
  <c r="B95" i="8"/>
  <c r="B94" i="8"/>
  <c r="B93" i="8"/>
  <c r="A55" i="13"/>
  <c r="B172" i="8"/>
  <c r="A72" i="13"/>
  <c r="B197" i="8"/>
  <c r="B198" i="8"/>
  <c r="B199" i="8"/>
  <c r="A74" i="13"/>
  <c r="B107" i="8"/>
  <c r="B108" i="8"/>
  <c r="B205" i="8"/>
  <c r="B203" i="8"/>
  <c r="B204" i="8"/>
  <c r="A76" i="13"/>
  <c r="B115" i="8"/>
  <c r="B116" i="8"/>
  <c r="B114" i="8"/>
  <c r="A87" i="13"/>
  <c r="B121" i="8"/>
  <c r="B122" i="8"/>
  <c r="B123" i="8"/>
  <c r="B124" i="8"/>
  <c r="B125" i="8"/>
  <c r="B151" i="8"/>
  <c r="B150" i="8"/>
  <c r="B149" i="8"/>
  <c r="B153" i="8"/>
  <c r="B152" i="8"/>
  <c r="A104" i="13"/>
  <c r="B117" i="8"/>
  <c r="B118" i="8"/>
  <c r="B119" i="8"/>
  <c r="B120" i="8"/>
  <c r="A111" i="13"/>
  <c r="B201" i="8"/>
  <c r="B200" i="8"/>
  <c r="B202" i="8"/>
  <c r="A112" i="13"/>
  <c r="B134" i="8"/>
  <c r="B131" i="8"/>
  <c r="B130" i="8"/>
  <c r="B132" i="8"/>
  <c r="B133" i="8"/>
  <c r="A120" i="13"/>
  <c r="B183" i="8"/>
  <c r="B186" i="8"/>
  <c r="B184" i="8"/>
  <c r="B181" i="8"/>
  <c r="B182" i="8"/>
  <c r="B185" i="8"/>
  <c r="A122" i="13"/>
  <c r="B112" i="8"/>
  <c r="B113" i="8"/>
  <c r="B111" i="8"/>
  <c r="B110" i="8"/>
  <c r="B109" i="8"/>
  <c r="A123" i="13"/>
  <c r="B101" i="8"/>
  <c r="B103" i="8"/>
  <c r="B102" i="8"/>
  <c r="A126" i="13"/>
  <c r="B137" i="8"/>
  <c r="B135" i="8"/>
  <c r="B136" i="8"/>
  <c r="A136" i="13"/>
  <c r="B187" i="8"/>
  <c r="B188" i="8"/>
  <c r="B189" i="8"/>
  <c r="B190" i="8"/>
  <c r="B191" i="8"/>
  <c r="A147" i="13"/>
  <c r="B129" i="8"/>
  <c r="B128" i="8"/>
  <c r="B127" i="8"/>
  <c r="B126" i="8"/>
  <c r="B145" i="8"/>
  <c r="B146" i="8"/>
  <c r="B147" i="8"/>
  <c r="B143" i="8"/>
  <c r="B148" i="8"/>
  <c r="B144" i="8"/>
  <c r="A171" i="13"/>
  <c r="B211" i="8"/>
  <c r="B212" i="8"/>
  <c r="B210" i="8"/>
  <c r="B213" i="8"/>
  <c r="B214" i="8"/>
  <c r="A172" i="13"/>
  <c r="B98" i="8"/>
  <c r="B96" i="8"/>
  <c r="B100" i="8"/>
  <c r="B99" i="8"/>
  <c r="B97" i="8"/>
  <c r="A180" i="13"/>
  <c r="B194" i="8"/>
  <c r="B195" i="8"/>
  <c r="B196" i="8"/>
  <c r="B192" i="8"/>
  <c r="B193" i="8"/>
  <c r="B207" i="8"/>
  <c r="B208" i="8"/>
  <c r="B209" i="8"/>
  <c r="B206" i="8"/>
  <c r="A198" i="13"/>
  <c r="B138" i="8"/>
  <c r="B139" i="8"/>
  <c r="B140" i="8"/>
  <c r="B141" i="8"/>
  <c r="B142" i="8"/>
  <c r="A199" i="13"/>
  <c r="B218" i="8"/>
  <c r="B215" i="8"/>
  <c r="B216" i="8"/>
  <c r="B217" i="8"/>
  <c r="B91" i="8"/>
  <c r="B90" i="8"/>
  <c r="B92" i="8"/>
  <c r="B89" i="8"/>
  <c r="A229" i="13"/>
  <c r="B105" i="8"/>
  <c r="B106" i="8"/>
  <c r="B104" i="8"/>
  <c r="E1196" i="8"/>
  <c r="E1197" i="8"/>
  <c r="E1198" i="8"/>
  <c r="E1199"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99" i="8"/>
  <c r="E1700" i="8"/>
  <c r="E1701" i="8"/>
  <c r="E1702" i="8"/>
  <c r="E1703" i="8"/>
  <c r="E1704" i="8"/>
  <c r="E1723" i="8"/>
  <c r="E1724" i="8"/>
  <c r="E1769" i="8"/>
  <c r="E1770" i="8"/>
  <c r="E1771" i="8"/>
  <c r="E1772" i="8"/>
  <c r="E1835" i="8"/>
  <c r="E1836" i="8"/>
  <c r="E1837" i="8"/>
  <c r="E1838" i="8"/>
  <c r="E1839" i="8"/>
  <c r="E1840" i="8"/>
  <c r="E1841" i="8"/>
  <c r="E1845" i="8"/>
  <c r="E1846" i="8"/>
  <c r="G527" i="13"/>
  <c r="H527" i="13"/>
  <c r="F550" i="13"/>
  <c r="G550" i="13"/>
  <c r="I279" i="13"/>
  <c r="J279" i="13"/>
  <c r="E12" i="10"/>
  <c r="F12" i="10"/>
  <c r="F558" i="13"/>
  <c r="G558" i="13"/>
  <c r="H583" i="13"/>
  <c r="I583" i="13"/>
  <c r="G596" i="13"/>
  <c r="H596" i="13"/>
  <c r="H408" i="13"/>
  <c r="I408" i="13"/>
  <c r="B412" i="13"/>
  <c r="C412" i="13"/>
  <c r="I435" i="13"/>
  <c r="J435" i="13"/>
  <c r="H453" i="13"/>
  <c r="I453" i="13"/>
  <c r="I490" i="13"/>
  <c r="J490" i="13"/>
  <c r="G507" i="13"/>
  <c r="H507" i="13"/>
  <c r="G508" i="13"/>
  <c r="H508" i="13"/>
  <c r="J511" i="13"/>
  <c r="I511" i="13"/>
  <c r="F516" i="13"/>
  <c r="G516" i="13"/>
  <c r="H534" i="13"/>
  <c r="I534" i="13"/>
  <c r="H537" i="13"/>
  <c r="I537" i="13"/>
  <c r="F373" i="13"/>
  <c r="G373" i="13"/>
  <c r="I277" i="13"/>
  <c r="J277" i="13"/>
  <c r="F559" i="13"/>
  <c r="G559" i="13"/>
  <c r="E573" i="13"/>
  <c r="F573" i="13"/>
  <c r="I574" i="13"/>
  <c r="H574" i="13"/>
  <c r="G577" i="13"/>
  <c r="H577" i="13"/>
  <c r="I581" i="13"/>
  <c r="J581" i="13"/>
  <c r="D582" i="13"/>
  <c r="E582" i="13"/>
  <c r="J586" i="13"/>
  <c r="I586" i="13"/>
  <c r="J587" i="13"/>
  <c r="I587" i="13"/>
  <c r="I597" i="13"/>
  <c r="J597" i="13"/>
  <c r="F600" i="13"/>
  <c r="G600" i="13"/>
  <c r="H600" i="13"/>
  <c r="D414" i="13"/>
  <c r="E414" i="13"/>
  <c r="F414" i="13"/>
  <c r="F432" i="13"/>
  <c r="G432" i="13"/>
  <c r="J433" i="13"/>
  <c r="I433" i="13"/>
  <c r="F434" i="13"/>
  <c r="E434" i="13"/>
  <c r="J444" i="13"/>
  <c r="I444" i="13"/>
  <c r="I446" i="13"/>
  <c r="J446" i="13"/>
  <c r="F448" i="13"/>
  <c r="I448" i="13"/>
  <c r="H448" i="13"/>
  <c r="G448" i="13"/>
  <c r="J454" i="13"/>
  <c r="H454" i="13"/>
  <c r="I454" i="13"/>
  <c r="E459" i="13"/>
  <c r="G459" i="13"/>
  <c r="F459" i="13"/>
  <c r="I461" i="13"/>
  <c r="J461" i="13"/>
  <c r="H464" i="13"/>
  <c r="I464" i="13"/>
  <c r="J464" i="13"/>
  <c r="H467" i="13"/>
  <c r="J467" i="13"/>
  <c r="I467" i="13"/>
  <c r="J469" i="13"/>
  <c r="I469" i="13"/>
  <c r="F495" i="13"/>
  <c r="G495" i="13"/>
  <c r="H501" i="13"/>
  <c r="I501" i="13"/>
  <c r="H503" i="13"/>
  <c r="I503" i="13"/>
  <c r="G515" i="13"/>
  <c r="I515" i="13"/>
  <c r="J515" i="13"/>
  <c r="H515" i="13"/>
  <c r="F519" i="13"/>
  <c r="I519" i="13"/>
  <c r="H519" i="13"/>
  <c r="G519" i="13"/>
  <c r="E527" i="13"/>
  <c r="F527" i="13"/>
  <c r="D535" i="13"/>
  <c r="E535" i="13"/>
  <c r="F535" i="13"/>
  <c r="H535" i="13"/>
  <c r="G535" i="13"/>
  <c r="G538" i="13"/>
  <c r="H538" i="13"/>
  <c r="D358" i="13"/>
  <c r="E358" i="13"/>
  <c r="F358" i="13"/>
  <c r="F375" i="13"/>
  <c r="G375" i="13"/>
  <c r="G378" i="13"/>
  <c r="H378" i="13"/>
  <c r="I378" i="13"/>
  <c r="I379" i="13"/>
  <c r="J379" i="13"/>
  <c r="I384" i="13"/>
  <c r="J384" i="13"/>
  <c r="H398" i="13"/>
  <c r="I398" i="13"/>
  <c r="G288" i="13"/>
  <c r="H288" i="13"/>
  <c r="G310" i="13"/>
  <c r="H310" i="13"/>
  <c r="H312" i="13"/>
  <c r="I312" i="13"/>
  <c r="I329" i="13"/>
  <c r="J329" i="13"/>
  <c r="G332" i="13"/>
  <c r="H332" i="13"/>
  <c r="F340" i="13"/>
  <c r="G340" i="13"/>
  <c r="G345" i="13"/>
  <c r="H345" i="13"/>
  <c r="I345" i="13"/>
  <c r="F351" i="13"/>
  <c r="G351" i="13"/>
  <c r="P522" i="10"/>
  <c r="Q522" i="10"/>
  <c r="L509" i="10"/>
  <c r="M509" i="10"/>
  <c r="I505" i="10"/>
  <c r="J505" i="10"/>
  <c r="M481" i="10"/>
  <c r="P481" i="10"/>
  <c r="M343" i="10"/>
  <c r="P343" i="10"/>
  <c r="L329" i="10"/>
  <c r="M329" i="10"/>
  <c r="Q311" i="10"/>
  <c r="P311" i="10"/>
  <c r="I286" i="10"/>
  <c r="L286" i="10"/>
  <c r="L274" i="10"/>
  <c r="M274" i="10"/>
  <c r="L216" i="10"/>
  <c r="M216" i="10"/>
  <c r="M179" i="10"/>
  <c r="P179" i="10"/>
  <c r="Q179" i="10"/>
  <c r="H148" i="10"/>
  <c r="I148" i="10"/>
  <c r="J142" i="10"/>
  <c r="M142" i="10"/>
  <c r="M140" i="10"/>
  <c r="P140" i="10"/>
  <c r="J133" i="10"/>
  <c r="L133" i="10"/>
  <c r="M133" i="10"/>
  <c r="F560" i="13"/>
  <c r="H560" i="13"/>
  <c r="G560" i="13"/>
  <c r="I560" i="13"/>
  <c r="J560" i="13"/>
  <c r="I562" i="13"/>
  <c r="H562" i="13"/>
  <c r="J562" i="13"/>
  <c r="B567" i="13"/>
  <c r="C567" i="13"/>
  <c r="D567" i="13"/>
  <c r="B569" i="13"/>
  <c r="C569" i="13"/>
  <c r="I570" i="13"/>
  <c r="J570" i="13"/>
  <c r="F574" i="13"/>
  <c r="G574" i="13"/>
  <c r="G581" i="13"/>
  <c r="H581" i="13"/>
  <c r="G583" i="13"/>
  <c r="F583" i="13"/>
  <c r="F584" i="13"/>
  <c r="H584" i="13"/>
  <c r="G584" i="13"/>
  <c r="J585" i="13"/>
  <c r="I585" i="13"/>
  <c r="H586" i="13"/>
  <c r="G586" i="13"/>
  <c r="G587" i="13"/>
  <c r="H587" i="13"/>
  <c r="D589" i="13"/>
  <c r="E589" i="13"/>
  <c r="E591" i="13"/>
  <c r="F591" i="13"/>
  <c r="G591" i="13"/>
  <c r="H594" i="13"/>
  <c r="I594" i="13"/>
  <c r="D595" i="13"/>
  <c r="E595" i="13"/>
  <c r="D596" i="13"/>
  <c r="E596" i="13"/>
  <c r="F596" i="13"/>
  <c r="G597" i="13"/>
  <c r="H597" i="13"/>
  <c r="D598" i="13"/>
  <c r="E598" i="13"/>
  <c r="F598" i="13"/>
  <c r="D599" i="13"/>
  <c r="G599" i="13"/>
  <c r="E599" i="13"/>
  <c r="F599" i="13"/>
  <c r="D600" i="13"/>
  <c r="E600" i="13"/>
  <c r="F405" i="13"/>
  <c r="H405" i="13"/>
  <c r="G405" i="13"/>
  <c r="B406" i="13"/>
  <c r="C406" i="13"/>
  <c r="D406" i="13"/>
  <c r="D408" i="13"/>
  <c r="G408" i="13"/>
  <c r="E408" i="13"/>
  <c r="F408" i="13"/>
  <c r="D410" i="13"/>
  <c r="F410" i="13"/>
  <c r="E410" i="13"/>
  <c r="I411" i="13"/>
  <c r="H411" i="13"/>
  <c r="B413" i="13"/>
  <c r="C413" i="13"/>
  <c r="D413" i="13"/>
  <c r="E416" i="13"/>
  <c r="F416" i="13"/>
  <c r="H419" i="13"/>
  <c r="I419" i="13"/>
  <c r="J421" i="13"/>
  <c r="I421" i="13"/>
  <c r="H421" i="13"/>
  <c r="G421" i="13"/>
  <c r="B422" i="13"/>
  <c r="C422" i="13"/>
  <c r="I423" i="13"/>
  <c r="H423" i="13"/>
  <c r="G424" i="13"/>
  <c r="F424" i="13"/>
  <c r="H424" i="13"/>
  <c r="J425" i="13"/>
  <c r="I425" i="13"/>
  <c r="H426" i="13"/>
  <c r="J426" i="13"/>
  <c r="I426" i="13"/>
  <c r="D427" i="13"/>
  <c r="F427" i="13"/>
  <c r="E427" i="13"/>
  <c r="E428" i="13"/>
  <c r="D428" i="13"/>
  <c r="E429" i="13"/>
  <c r="F429" i="13"/>
  <c r="G429" i="13"/>
  <c r="G430" i="13"/>
  <c r="I430" i="13"/>
  <c r="H430" i="13"/>
  <c r="H433" i="13"/>
  <c r="G433" i="13"/>
  <c r="B434" i="13"/>
  <c r="C434" i="13"/>
  <c r="D434" i="13"/>
  <c r="H435" i="13"/>
  <c r="E435" i="13"/>
  <c r="G435" i="13"/>
  <c r="F435" i="13"/>
  <c r="H436" i="13"/>
  <c r="J436" i="13"/>
  <c r="I436" i="13"/>
  <c r="G444" i="13"/>
  <c r="H444" i="13"/>
  <c r="H445" i="13"/>
  <c r="I445" i="13"/>
  <c r="I449" i="13"/>
  <c r="H449" i="13"/>
  <c r="J449" i="13"/>
  <c r="J450" i="13"/>
  <c r="I450" i="13"/>
  <c r="I451" i="13"/>
  <c r="J451" i="13"/>
  <c r="F453" i="13"/>
  <c r="G453" i="13"/>
  <c r="F454" i="13"/>
  <c r="G454" i="13"/>
  <c r="I456" i="13"/>
  <c r="H456" i="13"/>
  <c r="J456" i="13"/>
  <c r="H458" i="13"/>
  <c r="I458" i="13"/>
  <c r="J458" i="13"/>
  <c r="H460" i="13"/>
  <c r="I460" i="13"/>
  <c r="H466" i="13"/>
  <c r="I466" i="13"/>
  <c r="D468" i="13"/>
  <c r="F468" i="13"/>
  <c r="E468" i="13"/>
  <c r="F469" i="13"/>
  <c r="G469" i="13"/>
  <c r="H469" i="13"/>
  <c r="E470" i="13"/>
  <c r="G470" i="13"/>
  <c r="F470" i="13"/>
  <c r="H470" i="13"/>
  <c r="J470" i="13"/>
  <c r="G473" i="13"/>
  <c r="H473" i="13"/>
  <c r="H477" i="13"/>
  <c r="I477" i="13"/>
  <c r="E485" i="13"/>
  <c r="D485" i="13"/>
  <c r="F492" i="13"/>
  <c r="G492" i="13"/>
  <c r="G493" i="13"/>
  <c r="I493" i="13"/>
  <c r="H493" i="13"/>
  <c r="H494" i="13"/>
  <c r="I494" i="13"/>
  <c r="D495" i="13"/>
  <c r="E495" i="13"/>
  <c r="F496" i="13"/>
  <c r="G496" i="13"/>
  <c r="H496" i="13"/>
  <c r="H498" i="13"/>
  <c r="I498" i="13"/>
  <c r="G499" i="13"/>
  <c r="H499" i="13"/>
  <c r="E500" i="13"/>
  <c r="F500" i="13"/>
  <c r="G502" i="13"/>
  <c r="F502" i="13"/>
  <c r="D504" i="13"/>
  <c r="F504" i="13"/>
  <c r="E504" i="13"/>
  <c r="H506" i="13"/>
  <c r="I506" i="13"/>
  <c r="D507" i="13"/>
  <c r="F507" i="13"/>
  <c r="E507" i="13"/>
  <c r="B513" i="13"/>
  <c r="C513" i="13"/>
  <c r="D513" i="13"/>
  <c r="H520" i="13"/>
  <c r="J520" i="13"/>
  <c r="I520" i="13"/>
  <c r="I522" i="13"/>
  <c r="J522" i="13"/>
  <c r="F525" i="13"/>
  <c r="G525" i="13"/>
  <c r="I526" i="13"/>
  <c r="J526" i="13"/>
  <c r="I528" i="13"/>
  <c r="H528" i="13"/>
  <c r="F534" i="13"/>
  <c r="G534" i="13"/>
  <c r="I536" i="13"/>
  <c r="J536" i="13"/>
  <c r="F539" i="13"/>
  <c r="I539" i="13"/>
  <c r="G539" i="13"/>
  <c r="H539" i="13"/>
  <c r="D541" i="13"/>
  <c r="F541" i="13"/>
  <c r="E541" i="13"/>
  <c r="H543" i="13"/>
  <c r="I543" i="13"/>
  <c r="J543" i="13"/>
  <c r="H552" i="13"/>
  <c r="I552" i="13"/>
  <c r="G553" i="13"/>
  <c r="H553" i="13"/>
  <c r="I553" i="13"/>
  <c r="H355" i="13"/>
  <c r="J355" i="13"/>
  <c r="I355" i="13"/>
  <c r="I362" i="13"/>
  <c r="J362" i="13"/>
  <c r="I363" i="13"/>
  <c r="J363" i="13"/>
  <c r="D370" i="13"/>
  <c r="E370" i="13"/>
  <c r="F400" i="13"/>
  <c r="G400" i="13"/>
  <c r="H401" i="13"/>
  <c r="J401" i="13"/>
  <c r="I401" i="13"/>
  <c r="I402" i="13"/>
  <c r="J402" i="13"/>
  <c r="G279" i="13"/>
  <c r="H279" i="13"/>
  <c r="H281" i="13"/>
  <c r="I281" i="13"/>
  <c r="I282" i="13"/>
  <c r="J282" i="13"/>
  <c r="I293" i="13"/>
  <c r="J293" i="13"/>
  <c r="G299" i="13"/>
  <c r="H299" i="13"/>
  <c r="H304" i="13"/>
  <c r="J304" i="13"/>
  <c r="I304" i="13"/>
  <c r="D310" i="13"/>
  <c r="E310" i="13"/>
  <c r="F310" i="13"/>
  <c r="D317" i="13"/>
  <c r="E317" i="13"/>
  <c r="I322" i="13"/>
  <c r="J322" i="13"/>
  <c r="H328" i="13"/>
  <c r="J328" i="13"/>
  <c r="I328" i="13"/>
  <c r="D340" i="13"/>
  <c r="E340" i="13"/>
  <c r="J341" i="13"/>
  <c r="I341" i="13"/>
  <c r="G343" i="13"/>
  <c r="H343" i="13"/>
  <c r="H348" i="13"/>
  <c r="J348" i="13"/>
  <c r="I348" i="13"/>
  <c r="I353" i="13"/>
  <c r="J353" i="13"/>
  <c r="F6" i="14"/>
  <c r="A803" i="12"/>
  <c r="A804" i="12"/>
  <c r="A805" i="12"/>
  <c r="A707" i="12"/>
  <c r="A708" i="12"/>
  <c r="A709" i="12"/>
  <c r="A710" i="12"/>
  <c r="A712" i="12"/>
  <c r="A713" i="12"/>
  <c r="A715" i="12"/>
  <c r="A716" i="12"/>
  <c r="A717" i="12"/>
  <c r="A718" i="12"/>
  <c r="A720" i="12"/>
  <c r="A721" i="12"/>
  <c r="A722" i="12"/>
  <c r="A724" i="12"/>
  <c r="A726" i="12"/>
  <c r="A727" i="12"/>
  <c r="A728" i="12"/>
  <c r="A729" i="12"/>
  <c r="A730" i="12"/>
  <c r="A731" i="12"/>
  <c r="A732" i="12"/>
  <c r="A733" i="12"/>
  <c r="A734" i="12"/>
  <c r="A735" i="12"/>
  <c r="A736" i="12"/>
  <c r="A737" i="12"/>
  <c r="A739" i="12"/>
  <c r="A741" i="12"/>
  <c r="A743" i="12"/>
  <c r="A744" i="12"/>
  <c r="A745" i="12"/>
  <c r="A746" i="12"/>
  <c r="A747" i="12"/>
  <c r="A748" i="12"/>
  <c r="A749" i="12"/>
  <c r="A750" i="12"/>
  <c r="A751" i="12"/>
  <c r="A752" i="12"/>
  <c r="A753" i="12"/>
  <c r="A754" i="12"/>
  <c r="A755" i="12"/>
  <c r="A756" i="12"/>
  <c r="A759" i="12"/>
  <c r="A760" i="12"/>
  <c r="A761" i="12"/>
  <c r="A762" i="12"/>
  <c r="A764" i="12"/>
  <c r="A766" i="12"/>
  <c r="A767" i="12"/>
  <c r="A769" i="12"/>
  <c r="A770" i="12"/>
  <c r="A771" i="12"/>
  <c r="A773" i="12"/>
  <c r="A774" i="12"/>
  <c r="A778" i="12"/>
  <c r="A779" i="12"/>
  <c r="A780" i="12"/>
  <c r="A781" i="12"/>
  <c r="A783" i="12"/>
  <c r="A784" i="12"/>
  <c r="A785" i="12"/>
  <c r="A786" i="12"/>
  <c r="A787" i="12"/>
  <c r="A788" i="12"/>
  <c r="A789" i="12"/>
  <c r="A791" i="12"/>
  <c r="A792" i="12"/>
  <c r="A793" i="12"/>
  <c r="A694" i="12"/>
  <c r="A695" i="12"/>
  <c r="A696" i="12"/>
  <c r="A697" i="12"/>
  <c r="A698" i="12"/>
  <c r="A699" i="12"/>
  <c r="A700" i="12"/>
  <c r="A701" i="12"/>
  <c r="A702" i="12"/>
  <c r="A704" i="12"/>
  <c r="A705" i="12"/>
  <c r="A620" i="12"/>
  <c r="A622" i="12"/>
  <c r="A625" i="12"/>
  <c r="A626" i="12"/>
  <c r="A629" i="12"/>
  <c r="A630" i="12"/>
  <c r="A631" i="12"/>
  <c r="A633" i="12"/>
  <c r="A634" i="12"/>
  <c r="A635" i="12"/>
  <c r="A636" i="12"/>
  <c r="A637" i="12"/>
  <c r="A638" i="12"/>
  <c r="A639" i="12"/>
  <c r="A640" i="12"/>
  <c r="A641" i="12"/>
  <c r="A642" i="12"/>
  <c r="A643" i="12"/>
  <c r="A644" i="12"/>
  <c r="A645" i="12"/>
  <c r="A646" i="12"/>
  <c r="A647" i="12"/>
  <c r="A648" i="12"/>
  <c r="A649" i="12"/>
  <c r="A650" i="12"/>
  <c r="A652" i="12"/>
  <c r="A655" i="12"/>
  <c r="A656" i="12"/>
  <c r="A657" i="12"/>
  <c r="A658" i="12"/>
  <c r="A659" i="12"/>
  <c r="A660" i="12"/>
  <c r="A661" i="12"/>
  <c r="A662" i="12"/>
  <c r="A663" i="12"/>
  <c r="A664" i="12"/>
  <c r="A665" i="12"/>
  <c r="A666" i="12"/>
  <c r="A670" i="12"/>
  <c r="A671" i="12"/>
  <c r="A672" i="12"/>
  <c r="A673" i="12"/>
  <c r="A674" i="12"/>
  <c r="A675" i="12"/>
  <c r="A676" i="12"/>
  <c r="A677" i="12"/>
  <c r="A678" i="12"/>
  <c r="A679" i="12"/>
  <c r="A680" i="12"/>
  <c r="A681" i="12"/>
  <c r="A682" i="12"/>
  <c r="A683" i="12"/>
  <c r="A685" i="12"/>
  <c r="A686" i="12"/>
  <c r="A687" i="12"/>
  <c r="A688" i="12"/>
  <c r="A689" i="12"/>
  <c r="A691" i="12"/>
  <c r="A692" i="12"/>
  <c r="A693" i="12"/>
  <c r="D561" i="13"/>
  <c r="E561" i="13"/>
  <c r="I563" i="13"/>
  <c r="H563" i="13"/>
  <c r="B565" i="13"/>
  <c r="C565" i="13"/>
  <c r="H570" i="13"/>
  <c r="G570" i="13"/>
  <c r="D571" i="13"/>
  <c r="G571" i="13"/>
  <c r="H571" i="13"/>
  <c r="I571" i="13"/>
  <c r="J571" i="13"/>
  <c r="E571" i="13"/>
  <c r="F571" i="13"/>
  <c r="B580" i="13"/>
  <c r="C580" i="13"/>
  <c r="E583" i="13"/>
  <c r="D583" i="13"/>
  <c r="E586" i="13"/>
  <c r="F586" i="13"/>
  <c r="B592" i="13"/>
  <c r="C592" i="13"/>
  <c r="E597" i="13"/>
  <c r="F597" i="13"/>
  <c r="I407" i="13"/>
  <c r="J407" i="13"/>
  <c r="F411" i="13"/>
  <c r="G411" i="13"/>
  <c r="E421" i="13"/>
  <c r="F421" i="13"/>
  <c r="F423" i="13"/>
  <c r="G423" i="13"/>
  <c r="D424" i="13"/>
  <c r="E424" i="13"/>
  <c r="G425" i="13"/>
  <c r="H425" i="13"/>
  <c r="B428" i="13"/>
  <c r="C428" i="13"/>
  <c r="D432" i="13"/>
  <c r="E432" i="13"/>
  <c r="E433" i="13"/>
  <c r="F433" i="13"/>
  <c r="B435" i="13"/>
  <c r="D435" i="13"/>
  <c r="C435" i="13"/>
  <c r="G440" i="13"/>
  <c r="I440" i="13"/>
  <c r="H440" i="13"/>
  <c r="G441" i="13"/>
  <c r="H441" i="13"/>
  <c r="I441" i="13"/>
  <c r="E449" i="13"/>
  <c r="F449" i="13"/>
  <c r="G449" i="13"/>
  <c r="D450" i="13"/>
  <c r="E450" i="13"/>
  <c r="F450" i="13"/>
  <c r="G450" i="13"/>
  <c r="H450" i="13"/>
  <c r="G451" i="13"/>
  <c r="H451" i="13"/>
  <c r="D452" i="13"/>
  <c r="E452" i="13"/>
  <c r="F456" i="13"/>
  <c r="G456" i="13"/>
  <c r="G461" i="13"/>
  <c r="H461" i="13"/>
  <c r="J463" i="13"/>
  <c r="I463" i="13"/>
  <c r="H474" i="13"/>
  <c r="I474" i="13"/>
  <c r="J474" i="13"/>
  <c r="D482" i="13"/>
  <c r="J482" i="13"/>
  <c r="E482" i="13"/>
  <c r="F482" i="13"/>
  <c r="G482" i="13"/>
  <c r="H482" i="13"/>
  <c r="I482" i="13"/>
  <c r="F515" i="13"/>
  <c r="E515" i="13"/>
  <c r="D516" i="13"/>
  <c r="E516" i="13"/>
  <c r="I524" i="13"/>
  <c r="J524" i="13"/>
  <c r="I551" i="13"/>
  <c r="J551" i="13"/>
  <c r="I554" i="13"/>
  <c r="J554" i="13"/>
  <c r="H371" i="13"/>
  <c r="I371" i="13"/>
  <c r="G384" i="13"/>
  <c r="H384" i="13"/>
  <c r="G394" i="13"/>
  <c r="H394" i="13"/>
  <c r="H325" i="13"/>
  <c r="I325" i="13"/>
  <c r="J325" i="13"/>
  <c r="A742" i="12"/>
  <c r="D453" i="13"/>
  <c r="E453" i="13"/>
  <c r="D456" i="13"/>
  <c r="E456" i="13"/>
  <c r="B459" i="13"/>
  <c r="C459" i="13"/>
  <c r="D459" i="13"/>
  <c r="F460" i="13"/>
  <c r="G460" i="13"/>
  <c r="G463" i="13"/>
  <c r="H463" i="13"/>
  <c r="D465" i="13"/>
  <c r="E465" i="13"/>
  <c r="F466" i="13"/>
  <c r="G466" i="13"/>
  <c r="F467" i="13"/>
  <c r="G467" i="13"/>
  <c r="E469" i="13"/>
  <c r="D469" i="13"/>
  <c r="F475" i="13"/>
  <c r="G475" i="13"/>
  <c r="I478" i="13"/>
  <c r="H478" i="13"/>
  <c r="E479" i="13"/>
  <c r="F479" i="13"/>
  <c r="I480" i="13"/>
  <c r="J480" i="13"/>
  <c r="I486" i="13"/>
  <c r="J486" i="13"/>
  <c r="I487" i="13"/>
  <c r="J487" i="13"/>
  <c r="G490" i="13"/>
  <c r="H490" i="13"/>
  <c r="H491" i="13"/>
  <c r="J491" i="13"/>
  <c r="I491" i="13"/>
  <c r="H497" i="13"/>
  <c r="J497" i="13"/>
  <c r="I497" i="13"/>
  <c r="F498" i="13"/>
  <c r="G498" i="13"/>
  <c r="F501" i="13"/>
  <c r="G501" i="13"/>
  <c r="D502" i="13"/>
  <c r="E502" i="13"/>
  <c r="B507" i="13"/>
  <c r="C507" i="13"/>
  <c r="G509" i="13"/>
  <c r="I509" i="13"/>
  <c r="H509" i="13"/>
  <c r="E510" i="13"/>
  <c r="F510" i="13"/>
  <c r="E511" i="13"/>
  <c r="F511" i="13"/>
  <c r="G511" i="13"/>
  <c r="H511" i="13"/>
  <c r="H512" i="13"/>
  <c r="I512" i="13"/>
  <c r="J512" i="13"/>
  <c r="B518" i="13"/>
  <c r="D518" i="13"/>
  <c r="C518" i="13"/>
  <c r="D519" i="13"/>
  <c r="E519" i="13"/>
  <c r="F520" i="13"/>
  <c r="G520" i="13"/>
  <c r="G521" i="13"/>
  <c r="H521" i="13"/>
  <c r="G522" i="13"/>
  <c r="H522" i="13"/>
  <c r="B523" i="13"/>
  <c r="C523" i="13"/>
  <c r="G526" i="13"/>
  <c r="H526" i="13"/>
  <c r="F528" i="13"/>
  <c r="G528" i="13"/>
  <c r="H529" i="13"/>
  <c r="I529" i="13"/>
  <c r="E530" i="13"/>
  <c r="F530" i="13"/>
  <c r="D532" i="13"/>
  <c r="E532" i="13"/>
  <c r="I533" i="13"/>
  <c r="J533" i="13"/>
  <c r="G536" i="13"/>
  <c r="H536" i="13"/>
  <c r="F537" i="13"/>
  <c r="G537" i="13"/>
  <c r="G540" i="13"/>
  <c r="I540" i="13"/>
  <c r="J540" i="13"/>
  <c r="H540" i="13"/>
  <c r="I542" i="13"/>
  <c r="J542" i="13"/>
  <c r="I545" i="13"/>
  <c r="J545" i="13"/>
  <c r="I548" i="13"/>
  <c r="J548" i="13"/>
  <c r="E355" i="13"/>
  <c r="F355" i="13"/>
  <c r="G355" i="13"/>
  <c r="F371" i="13"/>
  <c r="G371" i="13"/>
  <c r="I376" i="13"/>
  <c r="J376" i="13"/>
  <c r="E377" i="13"/>
  <c r="D377" i="13"/>
  <c r="G379" i="13"/>
  <c r="H379" i="13"/>
  <c r="I385" i="13"/>
  <c r="J385" i="13"/>
  <c r="H393" i="13"/>
  <c r="I393" i="13"/>
  <c r="F398" i="13"/>
  <c r="G398" i="13"/>
  <c r="G399" i="13"/>
  <c r="F399" i="13"/>
  <c r="F401" i="13"/>
  <c r="G401" i="13"/>
  <c r="F402" i="13"/>
  <c r="G402" i="13"/>
  <c r="H402" i="13"/>
  <c r="E271" i="13"/>
  <c r="F271" i="13"/>
  <c r="G271" i="13"/>
  <c r="H280" i="13"/>
  <c r="I280" i="13"/>
  <c r="F282" i="13"/>
  <c r="G282" i="13"/>
  <c r="H282" i="13"/>
  <c r="I289" i="13"/>
  <c r="H289" i="13"/>
  <c r="I318" i="13"/>
  <c r="J318" i="13"/>
  <c r="I324" i="13"/>
  <c r="J324" i="13"/>
  <c r="G335" i="13"/>
  <c r="I335" i="13"/>
  <c r="H335" i="13"/>
  <c r="G341" i="13"/>
  <c r="H341" i="13"/>
  <c r="H342" i="13"/>
  <c r="I342" i="13"/>
  <c r="E348" i="13"/>
  <c r="G348" i="13"/>
  <c r="F348" i="13"/>
  <c r="H354" i="13"/>
  <c r="I354" i="13"/>
  <c r="D5" i="14"/>
  <c r="A995" i="12"/>
  <c r="A997" i="12"/>
  <c r="A998" i="12"/>
  <c r="A999" i="12"/>
  <c r="A1000" i="12"/>
  <c r="A1001" i="12"/>
  <c r="A906" i="12"/>
  <c r="A907" i="12"/>
  <c r="A909" i="12"/>
  <c r="A910" i="12"/>
  <c r="A911" i="12"/>
  <c r="A912" i="12"/>
  <c r="A913" i="12"/>
  <c r="A914" i="12"/>
  <c r="A915" i="12"/>
  <c r="A916" i="12"/>
  <c r="A917" i="12"/>
  <c r="A919" i="12"/>
  <c r="A920" i="12"/>
  <c r="A921" i="12"/>
  <c r="A922" i="12"/>
  <c r="A925" i="12"/>
  <c r="A926" i="12"/>
  <c r="A927" i="12"/>
  <c r="A928" i="12"/>
  <c r="A929" i="12"/>
  <c r="A930" i="12"/>
  <c r="A931" i="12"/>
  <c r="A932" i="12"/>
  <c r="A933" i="12"/>
  <c r="A934" i="12"/>
  <c r="A936" i="12"/>
  <c r="A937" i="12"/>
  <c r="A939" i="12"/>
  <c r="A941" i="12"/>
  <c r="A942" i="12"/>
  <c r="A943" i="12"/>
  <c r="A945" i="12"/>
  <c r="A946" i="12"/>
  <c r="A948" i="12"/>
  <c r="A949" i="12"/>
  <c r="A952" i="12"/>
  <c r="A954" i="12"/>
  <c r="A955" i="12"/>
  <c r="A956" i="12"/>
  <c r="A957" i="12"/>
  <c r="A958" i="12"/>
  <c r="A959" i="12"/>
  <c r="A960" i="12"/>
  <c r="A961" i="12"/>
  <c r="A963" i="12"/>
  <c r="A964" i="12"/>
  <c r="A965" i="12"/>
  <c r="A966" i="12"/>
  <c r="A967" i="12"/>
  <c r="A969" i="12"/>
  <c r="A970" i="12"/>
  <c r="A972" i="12"/>
  <c r="A973" i="12"/>
  <c r="A974" i="12"/>
  <c r="A975" i="12"/>
  <c r="A976" i="12"/>
  <c r="A977" i="12"/>
  <c r="A978" i="12"/>
  <c r="A979" i="12"/>
  <c r="A980" i="12"/>
  <c r="A981" i="12"/>
  <c r="A982" i="12"/>
  <c r="A983" i="12"/>
  <c r="A984" i="12"/>
  <c r="A986" i="12"/>
  <c r="A987" i="12"/>
  <c r="A988" i="12"/>
  <c r="A990" i="12"/>
  <c r="A991" i="12"/>
  <c r="A992" i="12"/>
  <c r="A993" i="12"/>
  <c r="A894" i="12"/>
  <c r="A895" i="12"/>
  <c r="A896" i="12"/>
  <c r="A897" i="12"/>
  <c r="A898" i="12"/>
  <c r="A901" i="12"/>
  <c r="A902" i="12"/>
  <c r="A903" i="12"/>
  <c r="A904" i="12"/>
  <c r="A905" i="12"/>
  <c r="A806" i="12"/>
  <c r="A808" i="12"/>
  <c r="A809" i="12"/>
  <c r="A810" i="12"/>
  <c r="A812" i="12"/>
  <c r="A813" i="12"/>
  <c r="A814" i="12"/>
  <c r="A815" i="12"/>
  <c r="A816" i="12"/>
  <c r="A818" i="12"/>
  <c r="A819" i="12"/>
  <c r="A820" i="12"/>
  <c r="A821" i="12"/>
  <c r="A823" i="12"/>
  <c r="A824" i="12"/>
  <c r="A825" i="12"/>
  <c r="A829" i="12"/>
  <c r="A830" i="12"/>
  <c r="A831" i="12"/>
  <c r="A832" i="12"/>
  <c r="A833" i="12"/>
  <c r="A834" i="12"/>
  <c r="A835" i="12"/>
  <c r="A836" i="12"/>
  <c r="A838" i="12"/>
  <c r="A840" i="12"/>
  <c r="A841" i="12"/>
  <c r="A842" i="12"/>
  <c r="A843" i="12"/>
  <c r="A844" i="12"/>
  <c r="A845" i="12"/>
  <c r="A846" i="12"/>
  <c r="A847" i="12"/>
  <c r="A848" i="12"/>
  <c r="A850" i="12"/>
  <c r="A851" i="12"/>
  <c r="A852" i="12"/>
  <c r="A853" i="12"/>
  <c r="A854" i="12"/>
  <c r="A855" i="12"/>
  <c r="A856" i="12"/>
  <c r="A859" i="12"/>
  <c r="A861" i="12"/>
  <c r="A862" i="12"/>
  <c r="A868" i="12"/>
  <c r="A869" i="12"/>
  <c r="A871" i="12"/>
  <c r="A872" i="12"/>
  <c r="A873" i="12"/>
  <c r="A874" i="12"/>
  <c r="A875" i="12"/>
  <c r="A876" i="12"/>
  <c r="A878" i="12"/>
  <c r="A879" i="12"/>
  <c r="A880" i="12"/>
  <c r="A881" i="12"/>
  <c r="A882" i="12"/>
  <c r="A883" i="12"/>
  <c r="A884" i="12"/>
  <c r="A886" i="12"/>
  <c r="A887" i="12"/>
  <c r="A888" i="12"/>
  <c r="A889" i="12"/>
  <c r="A890" i="12"/>
  <c r="A891" i="12"/>
  <c r="A893" i="12"/>
  <c r="A794" i="12"/>
  <c r="A796" i="12"/>
  <c r="A797" i="12"/>
  <c r="A798" i="12"/>
  <c r="A799" i="12"/>
  <c r="A800" i="12"/>
  <c r="A802" i="12"/>
  <c r="A606" i="12"/>
  <c r="A607" i="12"/>
  <c r="A608" i="12"/>
  <c r="A609" i="12"/>
  <c r="A610" i="12"/>
  <c r="A611" i="12"/>
  <c r="A612" i="12"/>
  <c r="A613" i="12"/>
  <c r="A614" i="12"/>
  <c r="A615" i="12"/>
  <c r="A617" i="12"/>
  <c r="A618" i="12"/>
  <c r="A594" i="12"/>
  <c r="A595" i="12"/>
  <c r="A596" i="12"/>
  <c r="A597" i="12"/>
  <c r="A598" i="12"/>
  <c r="A599" i="12"/>
  <c r="A600" i="12"/>
  <c r="A602" i="12"/>
  <c r="A603" i="12"/>
  <c r="A605" i="12"/>
  <c r="A546" i="12"/>
  <c r="A547" i="12"/>
  <c r="A548" i="12"/>
  <c r="A549" i="12"/>
  <c r="A550" i="12"/>
  <c r="A551" i="12"/>
  <c r="A552" i="12"/>
  <c r="A553" i="12"/>
  <c r="A556" i="12"/>
  <c r="A558" i="12"/>
  <c r="A559" i="12"/>
  <c r="A560" i="12"/>
  <c r="A562" i="12"/>
  <c r="A563" i="12"/>
  <c r="A564" i="12"/>
  <c r="A565" i="12"/>
  <c r="A566" i="12"/>
  <c r="A567" i="12"/>
  <c r="A568" i="12"/>
  <c r="A569" i="12"/>
  <c r="A570" i="12"/>
  <c r="A572" i="12"/>
  <c r="A574" i="12"/>
  <c r="A575" i="12"/>
  <c r="A576" i="12"/>
  <c r="A577" i="12"/>
  <c r="A579" i="12"/>
  <c r="A582" i="12"/>
  <c r="A584" i="12"/>
  <c r="A585" i="12"/>
  <c r="A588" i="12"/>
  <c r="A589" i="12"/>
  <c r="A590" i="12"/>
  <c r="A591" i="12"/>
  <c r="A592" i="12"/>
  <c r="A507" i="12"/>
  <c r="A508" i="12"/>
  <c r="A509" i="12"/>
  <c r="A511" i="12"/>
  <c r="A513" i="12"/>
  <c r="A514" i="12"/>
  <c r="A516" i="12"/>
  <c r="A518" i="12"/>
  <c r="A519" i="12"/>
  <c r="A522" i="12"/>
  <c r="A523" i="12"/>
  <c r="A525" i="12"/>
  <c r="A526" i="12"/>
  <c r="A527" i="12"/>
  <c r="A530" i="12"/>
  <c r="A532" i="12"/>
  <c r="A535" i="12"/>
  <c r="A537" i="12"/>
  <c r="A539" i="12"/>
  <c r="A540" i="12"/>
  <c r="A541" i="12"/>
  <c r="A542" i="12"/>
  <c r="A494" i="12"/>
  <c r="A495" i="12"/>
  <c r="A497" i="12"/>
  <c r="A498" i="12"/>
  <c r="A499" i="12"/>
  <c r="A500" i="12"/>
  <c r="A501" i="12"/>
  <c r="A502" i="12"/>
  <c r="A407" i="12"/>
  <c r="A408" i="12"/>
  <c r="A409" i="12"/>
  <c r="A410" i="12"/>
  <c r="A412" i="12"/>
  <c r="A413" i="12"/>
  <c r="A414" i="12"/>
  <c r="A415" i="12"/>
  <c r="A416" i="12"/>
  <c r="A417" i="12"/>
  <c r="A418" i="12"/>
  <c r="A419" i="12"/>
  <c r="A420" i="12"/>
  <c r="A422" i="12"/>
  <c r="A424" i="12"/>
  <c r="A425" i="12"/>
  <c r="A426" i="12"/>
  <c r="A428" i="12"/>
  <c r="A429" i="12"/>
  <c r="A430" i="12"/>
  <c r="A431" i="12"/>
  <c r="A433" i="12"/>
  <c r="A436" i="12"/>
  <c r="A437" i="12"/>
  <c r="A439" i="12"/>
  <c r="A441" i="12"/>
  <c r="A443" i="12"/>
  <c r="A444" i="12"/>
  <c r="A446" i="12"/>
  <c r="A447" i="12"/>
  <c r="A449" i="12"/>
  <c r="A450" i="12"/>
  <c r="A451" i="12"/>
  <c r="A452" i="12"/>
  <c r="A457" i="12"/>
  <c r="A459" i="12"/>
  <c r="A460" i="12"/>
  <c r="A461" i="12"/>
  <c r="A463" i="12"/>
  <c r="A464" i="12"/>
  <c r="A466" i="12"/>
  <c r="A467" i="12"/>
  <c r="A469" i="12"/>
  <c r="A470" i="12"/>
  <c r="A471" i="12"/>
  <c r="A472" i="12"/>
  <c r="A473" i="12"/>
  <c r="A474" i="12"/>
  <c r="A475" i="12"/>
  <c r="A476" i="12"/>
  <c r="A477" i="12"/>
  <c r="A478" i="12"/>
  <c r="A480" i="12"/>
  <c r="A481" i="12"/>
  <c r="A482" i="12"/>
  <c r="A483" i="12"/>
  <c r="A485" i="12"/>
  <c r="A486" i="12"/>
  <c r="A488" i="12"/>
  <c r="A489" i="12"/>
  <c r="A490" i="12"/>
  <c r="A493" i="12"/>
  <c r="A395" i="12"/>
  <c r="A396" i="12"/>
  <c r="A397" i="12"/>
  <c r="A400" i="12"/>
  <c r="A401" i="12"/>
  <c r="A405" i="12"/>
  <c r="A306" i="12"/>
  <c r="A307" i="12"/>
  <c r="A308" i="12"/>
  <c r="A309" i="12"/>
  <c r="A310" i="12"/>
  <c r="A312" i="12"/>
  <c r="A313" i="12"/>
  <c r="A314" i="12"/>
  <c r="A315" i="12"/>
  <c r="A317" i="12"/>
  <c r="A318" i="12"/>
  <c r="A319" i="12"/>
  <c r="A320" i="12"/>
  <c r="A323" i="12"/>
  <c r="A324" i="12"/>
  <c r="A325" i="12"/>
  <c r="A326" i="12"/>
  <c r="A327" i="12"/>
  <c r="A329" i="12"/>
  <c r="A330" i="12"/>
  <c r="A331" i="12"/>
  <c r="A332" i="12"/>
  <c r="A335" i="12"/>
  <c r="A336" i="12"/>
  <c r="A338" i="12"/>
  <c r="A339" i="12"/>
  <c r="A340" i="12"/>
  <c r="A341" i="12"/>
  <c r="A343" i="12"/>
  <c r="A347" i="12"/>
  <c r="A348" i="12"/>
  <c r="A349" i="12"/>
  <c r="A350" i="12"/>
  <c r="A351" i="12"/>
  <c r="A352" i="12"/>
  <c r="A353" i="12"/>
  <c r="A354" i="12"/>
  <c r="A357" i="12"/>
  <c r="A358" i="12"/>
  <c r="A361" i="12"/>
  <c r="A362" i="12"/>
  <c r="A363" i="12"/>
  <c r="A365" i="12"/>
  <c r="A366" i="12"/>
  <c r="A367" i="12"/>
  <c r="A368" i="12"/>
  <c r="A369" i="12"/>
  <c r="A371" i="12"/>
  <c r="A372" i="12"/>
  <c r="A373" i="12"/>
  <c r="A374" i="12"/>
  <c r="A375" i="12"/>
  <c r="A376" i="12"/>
  <c r="A378" i="12"/>
  <c r="A380" i="12"/>
  <c r="A381" i="12"/>
  <c r="A383" i="12"/>
  <c r="A384" i="12"/>
  <c r="A385" i="12"/>
  <c r="A386" i="12"/>
  <c r="A387" i="12"/>
  <c r="A389" i="12"/>
  <c r="A390" i="12"/>
  <c r="A392" i="12"/>
  <c r="A393" i="12"/>
  <c r="A294" i="12"/>
  <c r="A295" i="12"/>
  <c r="A296" i="12"/>
  <c r="A298" i="12"/>
  <c r="A299" i="12"/>
  <c r="A300" i="12"/>
  <c r="A301" i="12"/>
  <c r="A302" i="12"/>
  <c r="A303" i="12"/>
  <c r="A304" i="12"/>
  <c r="A207" i="12"/>
  <c r="A208" i="12"/>
  <c r="A209" i="12"/>
  <c r="A210" i="12"/>
  <c r="A211" i="12"/>
  <c r="A213" i="12"/>
  <c r="A214" i="12"/>
  <c r="A216" i="12"/>
  <c r="A217" i="12"/>
  <c r="A218" i="12"/>
  <c r="A219" i="12"/>
  <c r="A220" i="12"/>
  <c r="A221" i="12"/>
  <c r="A222" i="12"/>
  <c r="A223" i="12"/>
  <c r="A224" i="12"/>
  <c r="A226" i="12"/>
  <c r="A227" i="12"/>
  <c r="A231" i="12"/>
  <c r="A232" i="12"/>
  <c r="A236" i="12"/>
  <c r="A238" i="12"/>
  <c r="A240" i="12"/>
  <c r="A241" i="12"/>
  <c r="A242" i="12"/>
  <c r="A244" i="12"/>
  <c r="A245" i="12"/>
  <c r="A246" i="12"/>
  <c r="A247" i="12"/>
  <c r="A248" i="12"/>
  <c r="A249" i="12"/>
  <c r="A250" i="12"/>
  <c r="A252" i="12"/>
  <c r="A255" i="12"/>
  <c r="A256" i="12"/>
  <c r="A258" i="12"/>
  <c r="A259" i="12"/>
  <c r="A260" i="12"/>
  <c r="A261" i="12"/>
  <c r="A262" i="12"/>
  <c r="A263"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194" i="12"/>
  <c r="A195" i="12"/>
  <c r="A196" i="12"/>
  <c r="A197" i="12"/>
  <c r="A198" i="12"/>
  <c r="A199" i="12"/>
  <c r="A200" i="12"/>
  <c r="A201" i="12"/>
  <c r="A202" i="12"/>
  <c r="A203" i="12"/>
  <c r="A204" i="12"/>
  <c r="A205" i="12"/>
  <c r="A106" i="12"/>
  <c r="A108" i="12"/>
  <c r="A109" i="12"/>
  <c r="A113" i="12"/>
  <c r="A114" i="12"/>
  <c r="A115" i="12"/>
  <c r="A117" i="12"/>
  <c r="A118" i="12"/>
  <c r="A119" i="12"/>
  <c r="A120" i="12"/>
  <c r="A121" i="12"/>
  <c r="A122" i="12"/>
  <c r="A123" i="12"/>
  <c r="A124" i="12"/>
  <c r="A125" i="12"/>
  <c r="A127" i="12"/>
  <c r="A128" i="12"/>
  <c r="A129" i="12"/>
  <c r="A130" i="12"/>
  <c r="A131" i="12"/>
  <c r="A132" i="12"/>
  <c r="A133" i="12"/>
  <c r="A134" i="12"/>
  <c r="A135" i="12"/>
  <c r="A136" i="12"/>
  <c r="A137" i="12"/>
  <c r="A138" i="12"/>
  <c r="A139" i="12"/>
  <c r="A140" i="12"/>
  <c r="A141" i="12"/>
  <c r="A142" i="12"/>
  <c r="A143" i="12"/>
  <c r="A145" i="12"/>
  <c r="A146" i="12"/>
  <c r="A147" i="12"/>
  <c r="A148" i="12"/>
  <c r="A149" i="12"/>
  <c r="A150" i="12"/>
  <c r="A152" i="12"/>
  <c r="A153" i="12"/>
  <c r="A154" i="12"/>
  <c r="A155" i="12"/>
  <c r="A156" i="12"/>
  <c r="A157" i="12"/>
  <c r="A158" i="12"/>
  <c r="A159" i="12"/>
  <c r="A160" i="12"/>
  <c r="A161" i="12"/>
  <c r="A162" i="12"/>
  <c r="A163" i="12"/>
  <c r="A164" i="12"/>
  <c r="A165" i="12"/>
  <c r="A166" i="12"/>
  <c r="A167" i="12"/>
  <c r="A168" i="12"/>
  <c r="A169" i="12"/>
  <c r="A171" i="12"/>
  <c r="A172" i="12"/>
  <c r="A173" i="12"/>
  <c r="A174" i="12"/>
  <c r="A175" i="12"/>
  <c r="A176" i="12"/>
  <c r="A177" i="12"/>
  <c r="A178" i="12"/>
  <c r="A179" i="12"/>
  <c r="A180" i="12"/>
  <c r="A181" i="12"/>
  <c r="A183" i="12"/>
  <c r="A184" i="12"/>
  <c r="A185" i="12"/>
  <c r="A186" i="12"/>
  <c r="A188" i="12"/>
  <c r="A189" i="12"/>
  <c r="A190" i="12"/>
  <c r="A191" i="12"/>
  <c r="A192" i="12"/>
  <c r="A193" i="12"/>
  <c r="A94" i="12"/>
  <c r="A95" i="12"/>
  <c r="A96" i="12"/>
  <c r="A97" i="12"/>
  <c r="A98" i="12"/>
  <c r="A99" i="12"/>
  <c r="A100" i="12"/>
  <c r="A101" i="12"/>
  <c r="A102" i="12"/>
  <c r="A103" i="12"/>
  <c r="A104" i="12"/>
  <c r="A105" i="12"/>
  <c r="K5" i="9"/>
  <c r="J5" i="9"/>
  <c r="A16" i="12"/>
  <c r="A18" i="12"/>
  <c r="A21" i="12"/>
  <c r="A22" i="12"/>
  <c r="A23" i="12"/>
  <c r="A34" i="12"/>
  <c r="A36" i="12"/>
  <c r="A37" i="12"/>
  <c r="A66" i="12"/>
  <c r="A67" i="12"/>
  <c r="A68" i="12"/>
  <c r="A70" i="12"/>
  <c r="A74" i="12"/>
  <c r="A76" i="12"/>
  <c r="A77" i="12"/>
  <c r="A78" i="12"/>
  <c r="A79" i="12"/>
  <c r="A80" i="12"/>
  <c r="A81" i="12"/>
  <c r="A82" i="12"/>
  <c r="A83" i="12"/>
  <c r="A84" i="12"/>
  <c r="A85" i="12"/>
  <c r="A86" i="12"/>
  <c r="A87" i="12"/>
  <c r="A88" i="12"/>
  <c r="A89" i="12"/>
  <c r="A90" i="12"/>
  <c r="A91" i="12"/>
  <c r="A92" i="12"/>
  <c r="A93" i="12"/>
  <c r="D356" i="13"/>
  <c r="E356" i="13"/>
  <c r="C356" i="13"/>
  <c r="B356" i="13"/>
  <c r="E360" i="13"/>
  <c r="F360" i="13"/>
  <c r="D362" i="13"/>
  <c r="E362" i="13"/>
  <c r="F362" i="13"/>
  <c r="G362" i="13"/>
  <c r="H362" i="13"/>
  <c r="G363" i="13"/>
  <c r="H363" i="13"/>
  <c r="D366" i="13"/>
  <c r="E366" i="13"/>
  <c r="F366" i="13"/>
  <c r="F367" i="13"/>
  <c r="J367" i="13"/>
  <c r="I367" i="13"/>
  <c r="H367" i="13"/>
  <c r="G367" i="13"/>
  <c r="E369" i="13"/>
  <c r="D369" i="13"/>
  <c r="H374" i="13"/>
  <c r="J374" i="13"/>
  <c r="I374" i="13"/>
  <c r="D375" i="13"/>
  <c r="E375" i="13"/>
  <c r="F376" i="13"/>
  <c r="H376" i="13"/>
  <c r="G376" i="13"/>
  <c r="G380" i="13"/>
  <c r="I380" i="13"/>
  <c r="H380" i="13"/>
  <c r="H381" i="13"/>
  <c r="I381" i="13"/>
  <c r="B383" i="13"/>
  <c r="C383" i="13"/>
  <c r="D383" i="13"/>
  <c r="D384" i="13"/>
  <c r="E384" i="13"/>
  <c r="F384" i="13"/>
  <c r="G386" i="13"/>
  <c r="H386" i="13"/>
  <c r="I386" i="13"/>
  <c r="G387" i="13"/>
  <c r="H387" i="13"/>
  <c r="B388" i="13"/>
  <c r="C388" i="13"/>
  <c r="E394" i="13"/>
  <c r="F394" i="13"/>
  <c r="J397" i="13"/>
  <c r="I397" i="13"/>
  <c r="D399" i="13"/>
  <c r="E399" i="13"/>
  <c r="E400" i="13"/>
  <c r="D400" i="13"/>
  <c r="J403" i="13"/>
  <c r="I403" i="13"/>
  <c r="D264" i="13"/>
  <c r="F289" i="13"/>
  <c r="G289" i="13"/>
  <c r="G293" i="13"/>
  <c r="H293" i="13"/>
  <c r="G300" i="13"/>
  <c r="H300" i="13"/>
  <c r="J300" i="13"/>
  <c r="I300" i="13"/>
  <c r="F306" i="13"/>
  <c r="G306" i="13"/>
  <c r="H306" i="13"/>
  <c r="I311" i="13"/>
  <c r="J311" i="13"/>
  <c r="F312" i="13"/>
  <c r="G312" i="13"/>
  <c r="I314" i="13"/>
  <c r="J314" i="13"/>
  <c r="F327" i="13"/>
  <c r="G327" i="13"/>
  <c r="H329" i="13"/>
  <c r="G329" i="13"/>
  <c r="D332" i="13"/>
  <c r="F332" i="13"/>
  <c r="E332" i="13"/>
  <c r="I333" i="13"/>
  <c r="J333" i="13"/>
  <c r="I336" i="13"/>
  <c r="J336" i="13"/>
  <c r="J346" i="13"/>
  <c r="I346" i="13"/>
  <c r="H346" i="13"/>
  <c r="H352" i="13"/>
  <c r="I352" i="13"/>
  <c r="E6" i="14"/>
  <c r="D6" i="14"/>
  <c r="C7" i="14"/>
  <c r="D8" i="14"/>
  <c r="E8" i="14"/>
  <c r="E9" i="14"/>
  <c r="D9" i="14"/>
  <c r="C10" i="14"/>
  <c r="E11" i="14"/>
  <c r="D11" i="14"/>
  <c r="E12" i="14"/>
  <c r="D12" i="14"/>
  <c r="E13" i="14"/>
  <c r="D13" i="14"/>
  <c r="E14" i="14"/>
  <c r="D14" i="14"/>
  <c r="C15" i="14"/>
  <c r="C16" i="14"/>
  <c r="E5" i="14"/>
  <c r="E542" i="10"/>
  <c r="D542" i="10"/>
  <c r="J513" i="10"/>
  <c r="L513" i="10"/>
  <c r="J499" i="10"/>
  <c r="L499" i="10"/>
  <c r="J474" i="10"/>
  <c r="L474" i="10"/>
  <c r="I473" i="10"/>
  <c r="J473" i="10"/>
  <c r="J465" i="10"/>
  <c r="L465" i="10"/>
  <c r="H444" i="10"/>
  <c r="J444" i="10"/>
  <c r="M385" i="10"/>
  <c r="L385" i="10"/>
  <c r="F321" i="10"/>
  <c r="H321" i="10"/>
  <c r="P226" i="10"/>
  <c r="Q226" i="10"/>
  <c r="P219" i="10"/>
  <c r="Q219" i="10"/>
  <c r="L177" i="10"/>
  <c r="M177" i="10"/>
  <c r="P174" i="10"/>
  <c r="Q174" i="10"/>
  <c r="L149" i="10"/>
  <c r="M149" i="10"/>
  <c r="E105" i="10"/>
  <c r="F105" i="10"/>
  <c r="A1023" i="12"/>
  <c r="A1022" i="12"/>
  <c r="A1021" i="12"/>
  <c r="A1020" i="12"/>
  <c r="A1019" i="12"/>
  <c r="A1018" i="12"/>
  <c r="A1017" i="12"/>
  <c r="A1016" i="12"/>
  <c r="A1015" i="12"/>
  <c r="A1014" i="12"/>
  <c r="A1013" i="12"/>
  <c r="A1012" i="12"/>
  <c r="A1011" i="12"/>
  <c r="A1010" i="12"/>
  <c r="A1009" i="12"/>
  <c r="A1008" i="12"/>
  <c r="A1007" i="12"/>
  <c r="A1006" i="12"/>
  <c r="A1005" i="12"/>
  <c r="A1004" i="12"/>
  <c r="A1003" i="12"/>
  <c r="A1002" i="12"/>
  <c r="I600" i="10"/>
  <c r="H600" i="10"/>
  <c r="L598" i="10"/>
  <c r="M598" i="10"/>
  <c r="Q598" i="10"/>
  <c r="P598" i="10"/>
  <c r="M595" i="10"/>
  <c r="P595" i="10"/>
  <c r="L593" i="10"/>
  <c r="M593" i="10"/>
  <c r="P593" i="10"/>
  <c r="Q593" i="10"/>
  <c r="H592" i="10"/>
  <c r="F592" i="10"/>
  <c r="J586" i="10"/>
  <c r="L586" i="10"/>
  <c r="M586" i="10"/>
  <c r="P586" i="10"/>
  <c r="Q586" i="10"/>
  <c r="P579" i="10"/>
  <c r="Q579" i="10"/>
  <c r="L579" i="10"/>
  <c r="M579" i="10"/>
  <c r="P577" i="10"/>
  <c r="M577" i="10"/>
  <c r="L577" i="10"/>
  <c r="Q577" i="10"/>
  <c r="L574" i="10"/>
  <c r="M574" i="10"/>
  <c r="P572" i="10"/>
  <c r="Q572" i="10"/>
  <c r="E570" i="10"/>
  <c r="F570" i="10"/>
  <c r="L567" i="10"/>
  <c r="J567" i="10"/>
  <c r="J563" i="10"/>
  <c r="P563" i="10"/>
  <c r="M563" i="10"/>
  <c r="L563" i="10"/>
  <c r="H559" i="10"/>
  <c r="I559" i="10"/>
  <c r="E558" i="10"/>
  <c r="F558" i="10"/>
  <c r="H558" i="10"/>
  <c r="M557" i="10"/>
  <c r="P557" i="10"/>
  <c r="L557" i="10"/>
  <c r="M556" i="10"/>
  <c r="P556" i="10"/>
  <c r="Q556" i="10"/>
  <c r="M554" i="10"/>
  <c r="J554" i="10"/>
  <c r="Q554" i="10"/>
  <c r="H554" i="10"/>
  <c r="F554" i="10"/>
  <c r="I554" i="10"/>
  <c r="L554" i="10"/>
  <c r="P554" i="10"/>
  <c r="P551" i="10"/>
  <c r="M551" i="10"/>
  <c r="P550" i="10"/>
  <c r="Q550" i="10"/>
  <c r="M550" i="10"/>
  <c r="Q549" i="10"/>
  <c r="P549" i="10"/>
  <c r="F546" i="10"/>
  <c r="I546" i="10"/>
  <c r="H546" i="10"/>
  <c r="L545" i="10"/>
  <c r="Q545" i="10"/>
  <c r="P545" i="10"/>
  <c r="M545" i="10"/>
  <c r="I543" i="10"/>
  <c r="J543" i="10"/>
  <c r="L540" i="10"/>
  <c r="P540" i="10"/>
  <c r="M540" i="10"/>
  <c r="P538" i="10"/>
  <c r="Q538" i="10"/>
  <c r="I535" i="10"/>
  <c r="J535" i="10"/>
  <c r="M535" i="10"/>
  <c r="L535" i="10"/>
  <c r="P532" i="10"/>
  <c r="Q532" i="10"/>
  <c r="P531" i="10"/>
  <c r="M531" i="10"/>
  <c r="Q531" i="10"/>
  <c r="Q528" i="10"/>
  <c r="M528" i="10"/>
  <c r="P528" i="10"/>
  <c r="H524" i="10"/>
  <c r="I524" i="10"/>
  <c r="L523" i="10"/>
  <c r="M523" i="10"/>
  <c r="M522" i="10"/>
  <c r="J522" i="10"/>
  <c r="I522" i="10"/>
  <c r="L522" i="10"/>
  <c r="M519" i="10"/>
  <c r="Q519" i="10"/>
  <c r="P519" i="10"/>
  <c r="M518" i="10"/>
  <c r="P518" i="10"/>
  <c r="H516" i="10"/>
  <c r="J516" i="10"/>
  <c r="Q515" i="10"/>
  <c r="M515" i="10"/>
  <c r="I514" i="10"/>
  <c r="L514" i="10"/>
  <c r="J514" i="10"/>
  <c r="Q512" i="10"/>
  <c r="M512" i="10"/>
  <c r="P512" i="10"/>
  <c r="H510" i="10"/>
  <c r="L510" i="10"/>
  <c r="J510" i="10"/>
  <c r="M510" i="10"/>
  <c r="I510" i="10"/>
  <c r="P506" i="10"/>
  <c r="Q506" i="10"/>
  <c r="I504" i="10"/>
  <c r="L504" i="10"/>
  <c r="J504" i="10"/>
  <c r="P503" i="10"/>
  <c r="M503" i="10"/>
  <c r="Q503" i="10"/>
  <c r="J502" i="10"/>
  <c r="L502" i="10"/>
  <c r="F501" i="10"/>
  <c r="H501" i="10"/>
  <c r="M494" i="10"/>
  <c r="P494" i="10"/>
  <c r="Q494" i="10"/>
  <c r="J489" i="10"/>
  <c r="P489" i="10"/>
  <c r="M489" i="10"/>
  <c r="L489" i="10"/>
  <c r="M488" i="10"/>
  <c r="Q488" i="10"/>
  <c r="P488" i="10"/>
  <c r="I486" i="10"/>
  <c r="J486" i="10"/>
  <c r="H486" i="10"/>
  <c r="M484" i="10"/>
  <c r="P484" i="10"/>
  <c r="L484" i="10"/>
  <c r="P476" i="10"/>
  <c r="M476" i="10"/>
  <c r="F472" i="10"/>
  <c r="I472" i="10"/>
  <c r="L468" i="10"/>
  <c r="M468" i="10"/>
  <c r="P468" i="10"/>
  <c r="P461" i="10"/>
  <c r="Q461" i="10"/>
  <c r="H457" i="10"/>
  <c r="F457" i="10"/>
  <c r="L456" i="10"/>
  <c r="M456" i="10"/>
  <c r="M454" i="10"/>
  <c r="P454" i="10"/>
  <c r="H452" i="10"/>
  <c r="I452" i="10"/>
  <c r="J452" i="10"/>
  <c r="L452" i="10"/>
  <c r="P449" i="10"/>
  <c r="M449" i="10"/>
  <c r="P442" i="10"/>
  <c r="Q442" i="10"/>
  <c r="M442" i="10"/>
  <c r="J442" i="10"/>
  <c r="L442" i="10"/>
  <c r="J441" i="10"/>
  <c r="L441" i="10"/>
  <c r="M441" i="10"/>
  <c r="J436" i="10"/>
  <c r="L436" i="10"/>
  <c r="P432" i="10"/>
  <c r="Q432" i="10"/>
  <c r="J431" i="10"/>
  <c r="H431" i="10"/>
  <c r="F431" i="10"/>
  <c r="I431" i="10"/>
  <c r="L429" i="10"/>
  <c r="M429" i="10"/>
  <c r="J427" i="10"/>
  <c r="M427" i="10"/>
  <c r="L427" i="10"/>
  <c r="Q427" i="10"/>
  <c r="P425" i="10"/>
  <c r="M425" i="10"/>
  <c r="Q425" i="10"/>
  <c r="P423" i="10"/>
  <c r="M423" i="10"/>
  <c r="L423" i="10"/>
  <c r="P422" i="10"/>
  <c r="M422" i="10"/>
  <c r="L422" i="10"/>
  <c r="M421" i="10"/>
  <c r="Q421" i="10"/>
  <c r="P419" i="10"/>
  <c r="M419" i="10"/>
  <c r="L419" i="10"/>
  <c r="Q419" i="10"/>
  <c r="L418" i="10"/>
  <c r="M418" i="10"/>
  <c r="J417" i="10"/>
  <c r="Q417" i="10"/>
  <c r="L417" i="10"/>
  <c r="M417" i="10"/>
  <c r="P417" i="10"/>
  <c r="P414" i="10"/>
  <c r="Q414" i="10"/>
  <c r="P413" i="10"/>
  <c r="Q413" i="10"/>
  <c r="M405" i="10"/>
  <c r="P405" i="10"/>
  <c r="L403" i="10"/>
  <c r="J403" i="10"/>
  <c r="Q402" i="10"/>
  <c r="P402" i="10"/>
  <c r="Q400" i="10"/>
  <c r="L400" i="10"/>
  <c r="M400" i="10"/>
  <c r="L392" i="10"/>
  <c r="P392" i="10"/>
  <c r="M392" i="10"/>
  <c r="P384" i="10"/>
  <c r="Q384" i="10"/>
  <c r="H382" i="10"/>
  <c r="I382" i="10"/>
  <c r="M375" i="10"/>
  <c r="Q375" i="10"/>
  <c r="L374" i="10"/>
  <c r="P374" i="10"/>
  <c r="M374" i="10"/>
  <c r="P368" i="10"/>
  <c r="M368" i="10"/>
  <c r="M362" i="10"/>
  <c r="L362" i="10"/>
  <c r="M356" i="10"/>
  <c r="P356" i="10"/>
  <c r="Q356" i="10"/>
  <c r="M354" i="10"/>
  <c r="Q354" i="10"/>
  <c r="P354" i="10"/>
  <c r="P353" i="10"/>
  <c r="Q353" i="10"/>
  <c r="H348" i="10"/>
  <c r="D348" i="10"/>
  <c r="F348" i="10"/>
  <c r="I348" i="10"/>
  <c r="E348" i="10"/>
  <c r="M339" i="10"/>
  <c r="L339" i="10"/>
  <c r="J334" i="10"/>
  <c r="I334" i="10"/>
  <c r="L330" i="10"/>
  <c r="M330" i="10"/>
  <c r="Q330" i="10"/>
  <c r="P330" i="10"/>
  <c r="F329" i="10"/>
  <c r="H329" i="10"/>
  <c r="J329" i="10"/>
  <c r="I329" i="10"/>
  <c r="J327" i="10"/>
  <c r="P327" i="10"/>
  <c r="M327" i="10"/>
  <c r="Q327" i="10"/>
  <c r="L327" i="10"/>
  <c r="P324" i="10"/>
  <c r="Q324" i="10"/>
  <c r="L323" i="10"/>
  <c r="I323" i="10"/>
  <c r="M322" i="10"/>
  <c r="L322" i="10"/>
  <c r="L314" i="10"/>
  <c r="Q314" i="10"/>
  <c r="P314" i="10"/>
  <c r="M314" i="10"/>
  <c r="M313" i="10"/>
  <c r="Q313" i="10"/>
  <c r="P313" i="10"/>
  <c r="M311" i="10"/>
  <c r="L311" i="10"/>
  <c r="M305" i="10"/>
  <c r="Q305" i="10"/>
  <c r="P305" i="10"/>
  <c r="M300" i="10"/>
  <c r="Q300" i="10"/>
  <c r="P296" i="10"/>
  <c r="Q296" i="10"/>
  <c r="P295" i="10"/>
  <c r="L295" i="10"/>
  <c r="M295" i="10"/>
  <c r="Q295" i="10"/>
  <c r="L294" i="10"/>
  <c r="M294" i="10"/>
  <c r="P284" i="10"/>
  <c r="M284" i="10"/>
  <c r="Q284" i="10"/>
  <c r="J282" i="10"/>
  <c r="M282" i="10"/>
  <c r="P282" i="10"/>
  <c r="L282" i="10"/>
  <c r="Q280" i="10"/>
  <c r="P280" i="10"/>
  <c r="Q278" i="10"/>
  <c r="P278" i="10"/>
  <c r="I275" i="10"/>
  <c r="M275" i="10"/>
  <c r="J275" i="10"/>
  <c r="L275" i="10"/>
  <c r="Q271" i="10"/>
  <c r="P271" i="10"/>
  <c r="M270" i="10"/>
  <c r="L270" i="10"/>
  <c r="I268" i="10"/>
  <c r="J268" i="10"/>
  <c r="M267" i="10"/>
  <c r="Q267" i="10"/>
  <c r="P267" i="10"/>
  <c r="M266" i="10"/>
  <c r="P266" i="10"/>
  <c r="Q266" i="10"/>
  <c r="M262" i="10"/>
  <c r="L262" i="10"/>
  <c r="Q262" i="10"/>
  <c r="P253" i="10"/>
  <c r="Q253" i="10"/>
  <c r="Q239" i="10"/>
  <c r="P239" i="10"/>
  <c r="Q236" i="10"/>
  <c r="P236" i="10"/>
  <c r="M236" i="10"/>
  <c r="P235" i="10"/>
  <c r="Q235" i="10"/>
  <c r="I218" i="10"/>
  <c r="H218" i="10"/>
  <c r="Q213" i="10"/>
  <c r="P213" i="10"/>
  <c r="P210" i="10"/>
  <c r="Q210" i="10"/>
  <c r="Q209" i="10"/>
  <c r="P209" i="10"/>
  <c r="J205" i="10"/>
  <c r="M205" i="10"/>
  <c r="Q205" i="10"/>
  <c r="P205" i="10"/>
  <c r="H203" i="10"/>
  <c r="I203" i="10"/>
  <c r="P203" i="10"/>
  <c r="J203" i="10"/>
  <c r="M203" i="10"/>
  <c r="L203" i="10"/>
  <c r="M201" i="10"/>
  <c r="L201" i="10"/>
  <c r="Q200" i="10"/>
  <c r="P200" i="10"/>
  <c r="P193" i="10"/>
  <c r="M193" i="10"/>
  <c r="Q193" i="10"/>
  <c r="J187" i="10"/>
  <c r="Q187" i="10"/>
  <c r="M187" i="10"/>
  <c r="P187" i="10"/>
  <c r="M184" i="10"/>
  <c r="Q184" i="10"/>
  <c r="L184" i="10"/>
  <c r="P184" i="10"/>
  <c r="P183" i="10"/>
  <c r="Q183" i="10"/>
  <c r="M183" i="10"/>
  <c r="P182" i="10"/>
  <c r="M182" i="10"/>
  <c r="H180" i="10"/>
  <c r="I180" i="10"/>
  <c r="J178" i="10"/>
  <c r="M178" i="10"/>
  <c r="L178" i="10"/>
  <c r="Q173" i="10"/>
  <c r="J173" i="10"/>
  <c r="P173" i="10"/>
  <c r="M173" i="10"/>
  <c r="L173" i="10"/>
  <c r="P171" i="10"/>
  <c r="L171" i="10"/>
  <c r="H170" i="10"/>
  <c r="J170" i="10"/>
  <c r="F170" i="10"/>
  <c r="I170" i="10"/>
  <c r="E170" i="10"/>
  <c r="P167" i="10"/>
  <c r="Q167" i="10"/>
  <c r="L167" i="10"/>
  <c r="M167" i="10"/>
  <c r="M166" i="10"/>
  <c r="P166" i="10"/>
  <c r="Q166" i="10"/>
  <c r="L166" i="10"/>
  <c r="J166" i="10"/>
  <c r="J165" i="10"/>
  <c r="I165" i="10"/>
  <c r="I156" i="10"/>
  <c r="J156" i="10"/>
  <c r="M156" i="10"/>
  <c r="Q156" i="10"/>
  <c r="L156" i="10"/>
  <c r="P156" i="10"/>
  <c r="P154" i="10"/>
  <c r="Q154" i="10"/>
  <c r="J153" i="10"/>
  <c r="L153" i="10"/>
  <c r="M152" i="10"/>
  <c r="P152" i="10"/>
  <c r="L151" i="10"/>
  <c r="M151" i="10"/>
  <c r="L145" i="10"/>
  <c r="M145" i="10"/>
  <c r="P145" i="10"/>
  <c r="F140" i="10"/>
  <c r="I140" i="10"/>
  <c r="J140" i="10"/>
  <c r="H140" i="10"/>
  <c r="L140" i="10"/>
  <c r="Q139" i="10"/>
  <c r="P139" i="10"/>
  <c r="J138" i="10"/>
  <c r="L138" i="10"/>
  <c r="P138" i="10"/>
  <c r="M138" i="10"/>
  <c r="L137" i="10"/>
  <c r="P137" i="10"/>
  <c r="M137" i="10"/>
  <c r="M136" i="10"/>
  <c r="P136" i="10"/>
  <c r="L136" i="10"/>
  <c r="E130" i="10"/>
  <c r="H130" i="10"/>
  <c r="F130" i="10"/>
  <c r="L125" i="10"/>
  <c r="M125" i="10" s="1"/>
  <c r="F73" i="10"/>
  <c r="F72" i="10"/>
  <c r="H72" i="10"/>
  <c r="F54" i="10"/>
  <c r="H54" i="10"/>
  <c r="F10" i="10"/>
  <c r="H10" i="10"/>
  <c r="E9" i="10"/>
  <c r="F9" i="10"/>
  <c r="H8" i="10"/>
  <c r="D8" i="10"/>
  <c r="F8" i="10"/>
  <c r="E8" i="10"/>
  <c r="E6" i="10"/>
  <c r="F6" i="10"/>
  <c r="H6" i="10"/>
  <c r="E5" i="10"/>
  <c r="F5" i="10"/>
  <c r="A1163" i="12"/>
  <c r="A1162" i="12"/>
  <c r="A1161" i="12"/>
  <c r="A1160" i="12"/>
  <c r="A1159" i="12"/>
  <c r="A1158" i="12"/>
  <c r="A1157" i="12"/>
  <c r="A1156" i="12"/>
  <c r="A1155" i="12"/>
  <c r="A1154" i="12"/>
  <c r="A1153" i="12"/>
  <c r="A1152" i="12"/>
  <c r="A1151" i="12"/>
  <c r="A1150" i="12"/>
  <c r="A1149" i="12"/>
  <c r="A1148" i="12"/>
  <c r="A1147" i="12"/>
  <c r="A1146" i="12"/>
  <c r="A1145" i="12"/>
  <c r="A1144" i="12"/>
  <c r="A1143" i="12"/>
  <c r="A1142" i="12"/>
  <c r="A1141" i="12"/>
  <c r="A1140" i="12"/>
  <c r="A1139" i="12"/>
  <c r="A1138" i="12"/>
  <c r="A1137" i="12"/>
  <c r="A1136" i="12"/>
  <c r="A1134" i="12"/>
  <c r="A1133" i="12"/>
  <c r="A1132" i="12"/>
  <c r="A1131" i="12"/>
  <c r="A1130" i="12"/>
  <c r="A1129" i="12"/>
  <c r="A1128" i="12"/>
  <c r="A1127" i="12"/>
  <c r="A1126" i="12"/>
  <c r="A1125" i="12"/>
  <c r="A1124" i="12"/>
  <c r="A1123" i="12"/>
  <c r="A1122" i="12"/>
  <c r="A1121" i="12"/>
  <c r="A1120" i="12"/>
  <c r="A1119" i="12"/>
  <c r="A1118" i="12"/>
  <c r="A1117" i="12"/>
  <c r="A1116" i="12"/>
  <c r="A1115" i="12"/>
  <c r="A1114" i="12"/>
  <c r="A1113" i="12"/>
  <c r="A1112" i="12"/>
  <c r="A1111" i="12"/>
  <c r="A1110" i="12"/>
  <c r="A1109" i="12"/>
  <c r="A1108" i="12"/>
  <c r="A1107" i="12"/>
  <c r="A1106" i="12"/>
  <c r="A1105" i="12"/>
  <c r="A1104" i="12"/>
  <c r="A1103" i="12"/>
  <c r="A1102" i="12"/>
  <c r="A1101" i="12"/>
  <c r="A1100" i="12"/>
  <c r="A1099" i="12"/>
  <c r="A1098" i="12"/>
  <c r="A1097" i="12"/>
  <c r="A1096" i="12"/>
  <c r="A1095" i="12"/>
  <c r="A1094" i="12"/>
  <c r="A1093" i="12"/>
  <c r="A1092" i="12"/>
  <c r="A1091" i="12"/>
  <c r="A1090" i="12"/>
  <c r="A1089" i="12"/>
  <c r="A1088" i="12"/>
  <c r="A1087" i="12"/>
  <c r="A1086" i="12"/>
  <c r="A1085" i="12"/>
  <c r="A1084" i="12"/>
  <c r="A1083" i="12"/>
  <c r="A1082" i="12"/>
  <c r="A1081" i="12"/>
  <c r="A1080" i="12"/>
  <c r="A1079" i="12"/>
  <c r="A1078" i="12"/>
  <c r="A1077" i="12"/>
  <c r="A1076" i="12"/>
  <c r="A1075" i="12"/>
  <c r="A1074" i="12"/>
  <c r="A1073" i="12"/>
  <c r="A1072" i="12"/>
  <c r="A1071" i="12"/>
  <c r="A1070" i="12"/>
  <c r="A1069" i="12"/>
  <c r="A1068" i="12"/>
  <c r="A1067" i="12"/>
  <c r="A1066" i="12"/>
  <c r="A1065" i="12"/>
  <c r="A1064" i="12"/>
  <c r="A1063" i="12"/>
  <c r="A1062" i="12"/>
  <c r="A1061" i="12"/>
  <c r="A1060" i="12"/>
  <c r="A1059" i="12"/>
  <c r="A1058" i="12"/>
  <c r="A1057" i="12"/>
  <c r="A1056" i="12"/>
  <c r="A1055" i="12"/>
  <c r="A1054" i="12"/>
  <c r="A1053" i="12"/>
  <c r="A1052" i="12"/>
  <c r="A1051" i="12"/>
  <c r="A1050" i="12"/>
  <c r="A1049" i="12"/>
  <c r="A1048" i="12"/>
  <c r="A1047" i="12"/>
  <c r="A1046" i="12"/>
  <c r="A1045" i="12"/>
  <c r="A1044" i="12"/>
  <c r="A1043" i="12"/>
  <c r="A1042" i="12"/>
  <c r="A1041" i="12"/>
  <c r="A1040" i="12"/>
  <c r="A1039" i="12"/>
  <c r="A1038" i="12"/>
  <c r="A1036" i="12"/>
  <c r="A1035" i="12"/>
  <c r="A1034" i="12"/>
  <c r="A1033" i="12"/>
  <c r="A1032" i="12"/>
  <c r="A1031" i="12"/>
  <c r="A1030" i="12"/>
  <c r="A1029" i="12"/>
  <c r="A1028" i="12"/>
  <c r="A1027" i="12"/>
  <c r="A1026" i="12"/>
  <c r="A1025" i="12"/>
  <c r="A1024" i="12"/>
  <c r="D558" i="13"/>
  <c r="E558" i="13"/>
  <c r="D559" i="13"/>
  <c r="E559" i="13"/>
  <c r="D560" i="13"/>
  <c r="E560" i="13"/>
  <c r="F562" i="13"/>
  <c r="G562" i="13"/>
  <c r="E563" i="13"/>
  <c r="F563" i="13"/>
  <c r="G563" i="13"/>
  <c r="G564" i="13"/>
  <c r="H564" i="13"/>
  <c r="I564" i="13"/>
  <c r="E566" i="13"/>
  <c r="F566" i="13"/>
  <c r="H568" i="13"/>
  <c r="I568" i="13"/>
  <c r="D570" i="13"/>
  <c r="E570" i="13"/>
  <c r="F570" i="13"/>
  <c r="D574" i="13"/>
  <c r="E574" i="13"/>
  <c r="H575" i="13"/>
  <c r="J575" i="13"/>
  <c r="I575" i="13"/>
  <c r="J576" i="13"/>
  <c r="H576" i="13"/>
  <c r="I576" i="13"/>
  <c r="B583" i="13"/>
  <c r="C583" i="13"/>
  <c r="G585" i="13"/>
  <c r="H585" i="13"/>
  <c r="D587" i="13"/>
  <c r="E587" i="13"/>
  <c r="F587" i="13"/>
  <c r="B588" i="13"/>
  <c r="C588" i="13"/>
  <c r="J590" i="13"/>
  <c r="I590" i="13"/>
  <c r="H590" i="13"/>
  <c r="B596" i="13"/>
  <c r="C596" i="13"/>
  <c r="B600" i="13"/>
  <c r="C600" i="13"/>
  <c r="D409" i="13"/>
  <c r="E409" i="13"/>
  <c r="H415" i="13"/>
  <c r="G415" i="13"/>
  <c r="I415" i="13"/>
  <c r="I418" i="13"/>
  <c r="J418" i="13"/>
  <c r="H418" i="13"/>
  <c r="G419" i="13"/>
  <c r="F419" i="13"/>
  <c r="J420" i="13"/>
  <c r="I420" i="13"/>
  <c r="D425" i="13"/>
  <c r="F425" i="13"/>
  <c r="E425" i="13"/>
  <c r="F426" i="13"/>
  <c r="G426" i="13"/>
  <c r="E430" i="13"/>
  <c r="F430" i="13"/>
  <c r="B431" i="13"/>
  <c r="D431" i="13"/>
  <c r="C431" i="13"/>
  <c r="G436" i="13"/>
  <c r="F436" i="13"/>
  <c r="G438" i="13"/>
  <c r="I438" i="13"/>
  <c r="H438" i="13"/>
  <c r="H439" i="13"/>
  <c r="I439" i="13"/>
  <c r="E441" i="13"/>
  <c r="F441" i="13"/>
  <c r="B443" i="13"/>
  <c r="C443" i="13"/>
  <c r="D444" i="13"/>
  <c r="F444" i="13"/>
  <c r="E444" i="13"/>
  <c r="F445" i="13"/>
  <c r="G445" i="13"/>
  <c r="G446" i="13"/>
  <c r="H446" i="13"/>
  <c r="B447" i="13"/>
  <c r="C447" i="13"/>
  <c r="D448" i="13"/>
  <c r="E448" i="13"/>
  <c r="D451" i="13"/>
  <c r="E451" i="13"/>
  <c r="F451" i="13"/>
  <c r="D454" i="13"/>
  <c r="E454" i="13"/>
  <c r="F457" i="13"/>
  <c r="G457" i="13"/>
  <c r="E457" i="13"/>
  <c r="D460" i="13"/>
  <c r="E460" i="13"/>
  <c r="D462" i="13"/>
  <c r="E462" i="13"/>
  <c r="D467" i="13"/>
  <c r="E467" i="13"/>
  <c r="B469" i="13"/>
  <c r="C469" i="13"/>
  <c r="I471" i="13"/>
  <c r="J471" i="13"/>
  <c r="I472" i="13"/>
  <c r="H472" i="13"/>
  <c r="E474" i="13"/>
  <c r="G474" i="13"/>
  <c r="F474" i="13"/>
  <c r="J476" i="13"/>
  <c r="I476" i="13"/>
  <c r="F478" i="13"/>
  <c r="G478" i="13"/>
  <c r="H481" i="13"/>
  <c r="I481" i="13"/>
  <c r="I483" i="13"/>
  <c r="J483" i="13"/>
  <c r="D488" i="13"/>
  <c r="E488" i="13"/>
  <c r="F488" i="13"/>
  <c r="D489" i="13"/>
  <c r="E489" i="13"/>
  <c r="D492" i="13"/>
  <c r="E492" i="13"/>
  <c r="F494" i="13"/>
  <c r="G494" i="13"/>
  <c r="D496" i="13"/>
  <c r="E496" i="13"/>
  <c r="E499" i="13"/>
  <c r="F499" i="13"/>
  <c r="D501" i="13"/>
  <c r="E501" i="13"/>
  <c r="B504" i="13"/>
  <c r="C504" i="13"/>
  <c r="G505" i="13"/>
  <c r="H505" i="13"/>
  <c r="I505" i="13"/>
  <c r="F506" i="13"/>
  <c r="G506" i="13"/>
  <c r="E508" i="13"/>
  <c r="F508" i="13"/>
  <c r="B516" i="13"/>
  <c r="C516" i="13"/>
  <c r="H517" i="13"/>
  <c r="I517" i="13"/>
  <c r="D520" i="13"/>
  <c r="E520" i="13"/>
  <c r="H524" i="13"/>
  <c r="G524" i="13"/>
  <c r="D525" i="13"/>
  <c r="E525" i="13"/>
  <c r="I531" i="13"/>
  <c r="J531" i="13"/>
  <c r="E538" i="13"/>
  <c r="F538" i="13"/>
  <c r="F543" i="13"/>
  <c r="G543" i="13"/>
  <c r="J544" i="13"/>
  <c r="I544" i="13"/>
  <c r="D550" i="13"/>
  <c r="E550" i="13"/>
  <c r="G551" i="13"/>
  <c r="H551" i="13"/>
  <c r="H359" i="13"/>
  <c r="I359" i="13"/>
  <c r="H361" i="13"/>
  <c r="I361" i="13"/>
  <c r="G365" i="13"/>
  <c r="H365" i="13"/>
  <c r="D371" i="13"/>
  <c r="E371" i="13"/>
  <c r="E378" i="13"/>
  <c r="F378" i="13"/>
  <c r="F379" i="13"/>
  <c r="E379" i="13"/>
  <c r="G385" i="13"/>
  <c r="H385" i="13"/>
  <c r="E393" i="13"/>
  <c r="G393" i="13"/>
  <c r="I396" i="13"/>
  <c r="J396" i="13"/>
  <c r="G397" i="13"/>
  <c r="H397" i="13"/>
  <c r="D401" i="13"/>
  <c r="E401" i="13"/>
  <c r="F403" i="13"/>
  <c r="G403" i="13"/>
  <c r="H403" i="13"/>
  <c r="D252" i="13"/>
  <c r="F280" i="13"/>
  <c r="G280" i="13"/>
  <c r="H284" i="13"/>
  <c r="I284" i="13"/>
  <c r="H285" i="13"/>
  <c r="I285" i="13"/>
  <c r="H290" i="13"/>
  <c r="I290" i="13"/>
  <c r="I296" i="13"/>
  <c r="J296" i="13"/>
  <c r="D298" i="13"/>
  <c r="E298" i="13"/>
  <c r="D299" i="13"/>
  <c r="F299" i="13"/>
  <c r="E299" i="13"/>
  <c r="G301" i="13"/>
  <c r="I301" i="13"/>
  <c r="H301" i="13"/>
  <c r="H302" i="13"/>
  <c r="I302" i="13"/>
  <c r="F311" i="13"/>
  <c r="H311" i="13"/>
  <c r="G311" i="13"/>
  <c r="E329" i="13"/>
  <c r="F329" i="13"/>
  <c r="H331" i="13"/>
  <c r="J331" i="13"/>
  <c r="I331" i="13"/>
  <c r="D341" i="13"/>
  <c r="E341" i="13"/>
  <c r="F341" i="13"/>
  <c r="F342" i="13"/>
  <c r="G342" i="13"/>
  <c r="H344" i="13"/>
  <c r="J344" i="13"/>
  <c r="I344" i="13"/>
  <c r="F346" i="13"/>
  <c r="G346" i="13"/>
  <c r="H349" i="13"/>
  <c r="I349" i="13"/>
  <c r="G349" i="13"/>
  <c r="I350" i="13"/>
  <c r="J350" i="13"/>
  <c r="F353" i="13"/>
  <c r="G353" i="13"/>
  <c r="H353" i="13"/>
  <c r="E600" i="10"/>
  <c r="F600" i="10"/>
  <c r="J598" i="10"/>
  <c r="H598" i="10"/>
  <c r="J597" i="10"/>
  <c r="M597" i="10"/>
  <c r="L597" i="10"/>
  <c r="P597" i="10"/>
  <c r="H596" i="10"/>
  <c r="I596" i="10"/>
  <c r="J596" i="10"/>
  <c r="M596" i="10"/>
  <c r="L596" i="10"/>
  <c r="J595" i="10"/>
  <c r="L595" i="10"/>
  <c r="J594" i="10"/>
  <c r="L594" i="10"/>
  <c r="P594" i="10"/>
  <c r="M594" i="10"/>
  <c r="Q594" i="10"/>
  <c r="F593" i="10"/>
  <c r="J593" i="10"/>
  <c r="I593" i="10"/>
  <c r="E593" i="10"/>
  <c r="H593" i="10"/>
  <c r="J591" i="10"/>
  <c r="L591" i="10"/>
  <c r="M591" i="10"/>
  <c r="P589" i="10"/>
  <c r="Q589" i="10"/>
  <c r="I584" i="10"/>
  <c r="J584" i="10"/>
  <c r="L584" i="10"/>
  <c r="P584" i="10"/>
  <c r="Q584" i="10"/>
  <c r="M584" i="10"/>
  <c r="P583" i="10"/>
  <c r="Q583" i="10"/>
  <c r="H577" i="10"/>
  <c r="J577" i="10"/>
  <c r="I577" i="10"/>
  <c r="E576" i="10"/>
  <c r="D576" i="10"/>
  <c r="J575" i="10"/>
  <c r="L575" i="10"/>
  <c r="I573" i="10"/>
  <c r="H573" i="10"/>
  <c r="J573" i="10"/>
  <c r="J568" i="10"/>
  <c r="I568" i="10"/>
  <c r="H567" i="10"/>
  <c r="I567" i="10"/>
  <c r="P562" i="10"/>
  <c r="Q562" i="10"/>
  <c r="E561" i="10"/>
  <c r="H561" i="10"/>
  <c r="P548" i="10"/>
  <c r="Q548" i="10"/>
  <c r="H547" i="10"/>
  <c r="F547" i="10"/>
  <c r="P544" i="10"/>
  <c r="M544" i="10"/>
  <c r="L544" i="10"/>
  <c r="J541" i="10"/>
  <c r="L541" i="10"/>
  <c r="P539" i="10"/>
  <c r="Q539" i="10"/>
  <c r="J538" i="10"/>
  <c r="L538" i="10"/>
  <c r="M538" i="10"/>
  <c r="P537" i="10"/>
  <c r="Q537" i="10"/>
  <c r="Q534" i="10"/>
  <c r="P534" i="10"/>
  <c r="L532" i="10"/>
  <c r="M532" i="10"/>
  <c r="L531" i="10"/>
  <c r="J531" i="10"/>
  <c r="F530" i="10"/>
  <c r="I530" i="10"/>
  <c r="J530" i="10"/>
  <c r="H530" i="10"/>
  <c r="H525" i="10"/>
  <c r="L525" i="10"/>
  <c r="J525" i="10"/>
  <c r="D524" i="10"/>
  <c r="F524" i="10"/>
  <c r="E524" i="10"/>
  <c r="F522" i="10"/>
  <c r="H522" i="10"/>
  <c r="F515" i="10"/>
  <c r="J515" i="10"/>
  <c r="I515" i="10"/>
  <c r="L515" i="10"/>
  <c r="H515" i="10"/>
  <c r="H513" i="10"/>
  <c r="I513" i="10"/>
  <c r="L512" i="10"/>
  <c r="H512" i="10"/>
  <c r="J512" i="10"/>
  <c r="I508" i="10"/>
  <c r="L508" i="10"/>
  <c r="M508" i="10"/>
  <c r="P508" i="10"/>
  <c r="J508" i="10"/>
  <c r="L506" i="10"/>
  <c r="M506" i="10"/>
  <c r="I503" i="10"/>
  <c r="H503" i="10"/>
  <c r="J503" i="10"/>
  <c r="L503" i="10"/>
  <c r="H500" i="10"/>
  <c r="I500" i="10"/>
  <c r="L500" i="10"/>
  <c r="J500" i="10"/>
  <c r="P498" i="10"/>
  <c r="Q498" i="10"/>
  <c r="M497" i="10"/>
  <c r="P497" i="10"/>
  <c r="L494" i="10"/>
  <c r="H494" i="10"/>
  <c r="I494" i="10"/>
  <c r="J494" i="10"/>
  <c r="H491" i="10"/>
  <c r="L491" i="10"/>
  <c r="I491" i="10"/>
  <c r="J491" i="10"/>
  <c r="J487" i="10"/>
  <c r="L487" i="10"/>
  <c r="I487" i="10"/>
  <c r="E486" i="10"/>
  <c r="F486" i="10"/>
  <c r="J481" i="10"/>
  <c r="L481" i="10"/>
  <c r="J478" i="10"/>
  <c r="L478" i="10"/>
  <c r="L476" i="10"/>
  <c r="J476" i="10"/>
  <c r="I476" i="10"/>
  <c r="H476" i="10"/>
  <c r="E473" i="10"/>
  <c r="F473" i="10"/>
  <c r="H473" i="10"/>
  <c r="L470" i="10"/>
  <c r="M470" i="10"/>
  <c r="P470" i="10"/>
  <c r="Q467" i="10"/>
  <c r="P467" i="10"/>
  <c r="J466" i="10"/>
  <c r="I466" i="10"/>
  <c r="Q463" i="10"/>
  <c r="P463" i="10"/>
  <c r="P462" i="10"/>
  <c r="M462" i="10"/>
  <c r="H460" i="10"/>
  <c r="I460" i="10"/>
  <c r="L459" i="10"/>
  <c r="P459" i="10"/>
  <c r="M459" i="10"/>
  <c r="F458" i="10"/>
  <c r="I458" i="10"/>
  <c r="D457" i="10"/>
  <c r="E457" i="10"/>
  <c r="L454" i="10"/>
  <c r="H454" i="10"/>
  <c r="J454" i="10"/>
  <c r="H449" i="10"/>
  <c r="L449" i="10"/>
  <c r="I449" i="10"/>
  <c r="J449" i="10"/>
  <c r="I442" i="10"/>
  <c r="H442" i="10"/>
  <c r="P439" i="10"/>
  <c r="Q439" i="10"/>
  <c r="F436" i="10"/>
  <c r="H436" i="10"/>
  <c r="I436" i="10"/>
  <c r="Q434" i="10"/>
  <c r="P434" i="10"/>
  <c r="I430" i="10"/>
  <c r="H430" i="10"/>
  <c r="M426" i="10"/>
  <c r="P426" i="10"/>
  <c r="Q426" i="10"/>
  <c r="L426" i="10"/>
  <c r="H425" i="10"/>
  <c r="I425" i="10"/>
  <c r="J425" i="10"/>
  <c r="L425" i="10"/>
  <c r="I423" i="10"/>
  <c r="J423" i="10"/>
  <c r="J416" i="10"/>
  <c r="I416" i="10"/>
  <c r="H403" i="10"/>
  <c r="I403" i="10"/>
  <c r="M402" i="10"/>
  <c r="L402" i="10"/>
  <c r="P395" i="10"/>
  <c r="M395" i="10"/>
  <c r="Q395" i="10"/>
  <c r="L394" i="10"/>
  <c r="Q394" i="10"/>
  <c r="M394" i="10"/>
  <c r="P394" i="10"/>
  <c r="M393" i="10"/>
  <c r="P393" i="10"/>
  <c r="Q393" i="10"/>
  <c r="J392" i="10"/>
  <c r="I392" i="10"/>
  <c r="L391" i="10"/>
  <c r="P391" i="10"/>
  <c r="Q391" i="10"/>
  <c r="M391" i="10"/>
  <c r="Q390" i="10"/>
  <c r="M390" i="10"/>
  <c r="P390" i="10"/>
  <c r="P387" i="10"/>
  <c r="M387" i="10"/>
  <c r="Q387" i="10"/>
  <c r="Q386" i="10"/>
  <c r="L386" i="10"/>
  <c r="P386" i="10"/>
  <c r="J385" i="10"/>
  <c r="I385" i="10"/>
  <c r="J384" i="10"/>
  <c r="L384" i="10"/>
  <c r="M384" i="10"/>
  <c r="M380" i="10"/>
  <c r="Q380" i="10"/>
  <c r="L378" i="10"/>
  <c r="J378" i="10"/>
  <c r="P377" i="10"/>
  <c r="Q377" i="10"/>
  <c r="P376" i="10"/>
  <c r="Q376" i="10"/>
  <c r="L376" i="10"/>
  <c r="M376" i="10"/>
  <c r="H375" i="10"/>
  <c r="L375" i="10"/>
  <c r="I375" i="10"/>
  <c r="J375" i="10"/>
  <c r="H374" i="10"/>
  <c r="I374" i="10"/>
  <c r="J374" i="10"/>
  <c r="H372" i="10"/>
  <c r="I372" i="10"/>
  <c r="Q370" i="10"/>
  <c r="M370" i="10"/>
  <c r="P370" i="10"/>
  <c r="I368" i="10"/>
  <c r="L368" i="10"/>
  <c r="J368" i="10"/>
  <c r="M367" i="10"/>
  <c r="L367" i="10"/>
  <c r="Q367" i="10"/>
  <c r="P367" i="10"/>
  <c r="M363" i="10"/>
  <c r="P363" i="10"/>
  <c r="L363" i="10"/>
  <c r="H362" i="10"/>
  <c r="J362" i="10"/>
  <c r="I362" i="10"/>
  <c r="J351" i="10"/>
  <c r="L351" i="10"/>
  <c r="L349" i="10"/>
  <c r="P349" i="10"/>
  <c r="M349" i="10"/>
  <c r="P346" i="10"/>
  <c r="Q346" i="10"/>
  <c r="I339" i="10"/>
  <c r="J339" i="10"/>
  <c r="D329" i="10"/>
  <c r="E329" i="10"/>
  <c r="L325" i="10"/>
  <c r="P325" i="10"/>
  <c r="M325" i="10"/>
  <c r="B318" i="10"/>
  <c r="C318" i="10"/>
  <c r="Q317" i="10"/>
  <c r="P317" i="10"/>
  <c r="M317" i="10"/>
  <c r="H316" i="10"/>
  <c r="L316" i="10"/>
  <c r="M316" i="10"/>
  <c r="Q316" i="10"/>
  <c r="J312" i="10"/>
  <c r="L312" i="10"/>
  <c r="M312" i="10"/>
  <c r="P306" i="10"/>
  <c r="Q306" i="10"/>
  <c r="I304" i="10"/>
  <c r="J304" i="10"/>
  <c r="P301" i="10"/>
  <c r="Q301" i="10"/>
  <c r="H299" i="10"/>
  <c r="I299" i="10"/>
  <c r="M296" i="10"/>
  <c r="L296" i="10"/>
  <c r="J295" i="10"/>
  <c r="I295" i="10"/>
  <c r="J292" i="10"/>
  <c r="L292" i="10"/>
  <c r="Q290" i="10"/>
  <c r="P290" i="10"/>
  <c r="P289" i="10"/>
  <c r="Q289" i="10"/>
  <c r="F285" i="10"/>
  <c r="I285" i="10"/>
  <c r="H285" i="10"/>
  <c r="J285" i="10"/>
  <c r="M281" i="10"/>
  <c r="Q281" i="10"/>
  <c r="P281" i="10"/>
  <c r="L281" i="10"/>
  <c r="L280" i="10"/>
  <c r="M280" i="10"/>
  <c r="I274" i="10"/>
  <c r="J274" i="10"/>
  <c r="M271" i="10"/>
  <c r="I271" i="10"/>
  <c r="M256" i="10"/>
  <c r="L256" i="10"/>
  <c r="P256" i="10"/>
  <c r="I254" i="10"/>
  <c r="J254" i="10"/>
  <c r="L253" i="10"/>
  <c r="M253" i="10"/>
  <c r="L251" i="10"/>
  <c r="I251" i="10"/>
  <c r="J251" i="10"/>
  <c r="P250" i="10"/>
  <c r="Q250" i="10"/>
  <c r="M249" i="10"/>
  <c r="Q249" i="10"/>
  <c r="P249" i="10"/>
  <c r="I248" i="10"/>
  <c r="J248" i="10"/>
  <c r="L248" i="10"/>
  <c r="P247" i="10"/>
  <c r="Q247" i="10"/>
  <c r="L245" i="10"/>
  <c r="P245" i="10"/>
  <c r="M245" i="10"/>
  <c r="J245" i="10"/>
  <c r="L243" i="10"/>
  <c r="M243" i="10"/>
  <c r="Q241" i="10"/>
  <c r="J241" i="10"/>
  <c r="M241" i="10"/>
  <c r="L241" i="10"/>
  <c r="H240" i="10"/>
  <c r="I240" i="10"/>
  <c r="J240" i="10"/>
  <c r="L240" i="10"/>
  <c r="L238" i="10"/>
  <c r="M238" i="10"/>
  <c r="M237" i="10"/>
  <c r="L237" i="10"/>
  <c r="P237" i="10"/>
  <c r="Q237" i="10"/>
  <c r="L231" i="10"/>
  <c r="M231" i="10"/>
  <c r="J231" i="10"/>
  <c r="P229" i="10"/>
  <c r="Q229" i="10"/>
  <c r="M228" i="10"/>
  <c r="Q228" i="10"/>
  <c r="L228" i="10"/>
  <c r="H227" i="10"/>
  <c r="F227" i="10"/>
  <c r="L226" i="10"/>
  <c r="M226" i="10"/>
  <c r="M224" i="10"/>
  <c r="I224" i="10"/>
  <c r="Q223" i="10"/>
  <c r="P223" i="10"/>
  <c r="Q221" i="10"/>
  <c r="P221" i="10"/>
  <c r="E215" i="10"/>
  <c r="F215" i="10"/>
  <c r="M213" i="10"/>
  <c r="L213" i="10"/>
  <c r="I212" i="10"/>
  <c r="J212" i="10"/>
  <c r="L212" i="10"/>
  <c r="P212" i="10"/>
  <c r="H212" i="10"/>
  <c r="M212" i="10"/>
  <c r="J210" i="10"/>
  <c r="L210" i="10"/>
  <c r="J209" i="10"/>
  <c r="M209" i="10"/>
  <c r="L209" i="10"/>
  <c r="F206" i="10"/>
  <c r="H206" i="10"/>
  <c r="J201" i="10"/>
  <c r="I201" i="10"/>
  <c r="P199" i="10"/>
  <c r="L199" i="10"/>
  <c r="Q199" i="10"/>
  <c r="M197" i="10"/>
  <c r="Q197" i="10"/>
  <c r="P197" i="10"/>
  <c r="M196" i="10"/>
  <c r="P196" i="10"/>
  <c r="J196" i="10"/>
  <c r="L196" i="10"/>
  <c r="L195" i="10"/>
  <c r="Q195" i="10"/>
  <c r="P195" i="10"/>
  <c r="M195" i="10"/>
  <c r="Q194" i="10"/>
  <c r="L194" i="10"/>
  <c r="M194" i="10"/>
  <c r="J193" i="10"/>
  <c r="L193" i="10"/>
  <c r="L192" i="10"/>
  <c r="M192" i="10"/>
  <c r="P192" i="10"/>
  <c r="J184" i="10"/>
  <c r="F184" i="10"/>
  <c r="H184" i="10"/>
  <c r="I184" i="10"/>
  <c r="L183" i="10"/>
  <c r="J183" i="10"/>
  <c r="I183" i="10"/>
  <c r="F180" i="10"/>
  <c r="E180" i="10"/>
  <c r="D180" i="10"/>
  <c r="I179" i="10"/>
  <c r="L179" i="10"/>
  <c r="J179" i="10"/>
  <c r="P169" i="10"/>
  <c r="Q169" i="10"/>
  <c r="I168" i="10"/>
  <c r="L168" i="10"/>
  <c r="H168" i="10"/>
  <c r="J168" i="10"/>
  <c r="F167" i="10"/>
  <c r="H167" i="10"/>
  <c r="J167" i="10"/>
  <c r="I167" i="10"/>
  <c r="E166" i="10"/>
  <c r="F166" i="10"/>
  <c r="I166" i="10"/>
  <c r="H166" i="10"/>
  <c r="H165" i="10"/>
  <c r="F165" i="10"/>
  <c r="E165" i="10"/>
  <c r="P164" i="10"/>
  <c r="Q164" i="10"/>
  <c r="E160" i="10"/>
  <c r="I160" i="10"/>
  <c r="F160" i="10"/>
  <c r="H160" i="10"/>
  <c r="F153" i="10"/>
  <c r="H153" i="10"/>
  <c r="I153" i="10"/>
  <c r="H151" i="10"/>
  <c r="J151" i="10"/>
  <c r="I151" i="10"/>
  <c r="H149" i="10"/>
  <c r="I149" i="10"/>
  <c r="J149" i="10"/>
  <c r="E148" i="10"/>
  <c r="F148" i="10"/>
  <c r="I144" i="10"/>
  <c r="J144" i="10"/>
  <c r="J139" i="10"/>
  <c r="L139" i="10"/>
  <c r="M139" i="10"/>
  <c r="I137" i="10"/>
  <c r="J137" i="10"/>
  <c r="H136" i="10"/>
  <c r="I136" i="10"/>
  <c r="J136" i="10"/>
  <c r="H134" i="10"/>
  <c r="I134" i="10"/>
  <c r="H131" i="10"/>
  <c r="F126" i="10"/>
  <c r="H106" i="10"/>
  <c r="F106" i="10"/>
  <c r="C105" i="10"/>
  <c r="D105" i="10"/>
  <c r="F104" i="10"/>
  <c r="H104" i="10"/>
  <c r="E64" i="10"/>
  <c r="F64" i="10"/>
  <c r="H46" i="10"/>
  <c r="F46" i="10"/>
  <c r="C45" i="10"/>
  <c r="D45" i="10"/>
  <c r="E45" i="10"/>
  <c r="F45" i="10"/>
  <c r="H45" i="10"/>
  <c r="F44" i="10"/>
  <c r="H44" i="10"/>
  <c r="F37" i="10"/>
  <c r="F34" i="10"/>
  <c r="C23" i="10"/>
  <c r="F23" i="10"/>
  <c r="F20" i="10"/>
  <c r="E20" i="10"/>
  <c r="F16" i="10"/>
  <c r="H16" i="10"/>
  <c r="A1301" i="12"/>
  <c r="A1300" i="12"/>
  <c r="A1299" i="12"/>
  <c r="A1298" i="12"/>
  <c r="A1297" i="12"/>
  <c r="A1296" i="12"/>
  <c r="A1295" i="12"/>
  <c r="A1294" i="12"/>
  <c r="A1293" i="12"/>
  <c r="A1292" i="12"/>
  <c r="A1291" i="12"/>
  <c r="A1290" i="12"/>
  <c r="A1289" i="12"/>
  <c r="A1288" i="12"/>
  <c r="A1287" i="12"/>
  <c r="A1286" i="12"/>
  <c r="A1285" i="12"/>
  <c r="A1284" i="12"/>
  <c r="A1283" i="12"/>
  <c r="A1282" i="12"/>
  <c r="A1281" i="12"/>
  <c r="A1280" i="12"/>
  <c r="A1279" i="12"/>
  <c r="A1278" i="12"/>
  <c r="A1277" i="12"/>
  <c r="A1276" i="12"/>
  <c r="A1275" i="12"/>
  <c r="A1274" i="12"/>
  <c r="A1273" i="12"/>
  <c r="A1272" i="12"/>
  <c r="A1271" i="12"/>
  <c r="A1270" i="12"/>
  <c r="A1269" i="12"/>
  <c r="A1268" i="12"/>
  <c r="A1267" i="12"/>
  <c r="A1266" i="12"/>
  <c r="A1265" i="12"/>
  <c r="A1264" i="12"/>
  <c r="A1263" i="12"/>
  <c r="A1262" i="12"/>
  <c r="A1261" i="12"/>
  <c r="A1260" i="12"/>
  <c r="A1259" i="12"/>
  <c r="A1258" i="12"/>
  <c r="A1257" i="12"/>
  <c r="A1256" i="12"/>
  <c r="A1255" i="12"/>
  <c r="A1254" i="12"/>
  <c r="A1253" i="12"/>
  <c r="A1252" i="12"/>
  <c r="A1251" i="12"/>
  <c r="A1250" i="12"/>
  <c r="A1249" i="12"/>
  <c r="A1248" i="12"/>
  <c r="A1247" i="12"/>
  <c r="A1246" i="12"/>
  <c r="A1245" i="12"/>
  <c r="A1244" i="12"/>
  <c r="A1243" i="12"/>
  <c r="A1242" i="12"/>
  <c r="A1241" i="12"/>
  <c r="A1240" i="12"/>
  <c r="A1239" i="12"/>
  <c r="A1238" i="12"/>
  <c r="A1237" i="12"/>
  <c r="A1236" i="12"/>
  <c r="A1235" i="12"/>
  <c r="A1234" i="12"/>
  <c r="A1233" i="12"/>
  <c r="A1232" i="12"/>
  <c r="A1231" i="12"/>
  <c r="A1230" i="12"/>
  <c r="A1229" i="12"/>
  <c r="A1228" i="12"/>
  <c r="A1227" i="12"/>
  <c r="A1226" i="12"/>
  <c r="A1225" i="12"/>
  <c r="A1224" i="12"/>
  <c r="A1223" i="12"/>
  <c r="A1222" i="12"/>
  <c r="A1221" i="12"/>
  <c r="A1220" i="12"/>
  <c r="A1219" i="12"/>
  <c r="A1218" i="12"/>
  <c r="A1217" i="12"/>
  <c r="A1216" i="12"/>
  <c r="A1215" i="12"/>
  <c r="A1214" i="12"/>
  <c r="A1213" i="12"/>
  <c r="A1212" i="12"/>
  <c r="A1211" i="12"/>
  <c r="A1210" i="12"/>
  <c r="A1209" i="12"/>
  <c r="A1208" i="12"/>
  <c r="A1207" i="12"/>
  <c r="A1206" i="12"/>
  <c r="A1205" i="12"/>
  <c r="A1204" i="12"/>
  <c r="A1203" i="12"/>
  <c r="A1202" i="12"/>
  <c r="A1201" i="12"/>
  <c r="A1200" i="12"/>
  <c r="A1199" i="12"/>
  <c r="A1198" i="12"/>
  <c r="A1197" i="12"/>
  <c r="A1196" i="12"/>
  <c r="A1195" i="12"/>
  <c r="A1194" i="12"/>
  <c r="A1193" i="12"/>
  <c r="A1192" i="12"/>
  <c r="A1191" i="12"/>
  <c r="A1190" i="12"/>
  <c r="A1189" i="12"/>
  <c r="A1188" i="12"/>
  <c r="A1187" i="12"/>
  <c r="A1186" i="12"/>
  <c r="A1185" i="12"/>
  <c r="A1184" i="12"/>
  <c r="A1183" i="12"/>
  <c r="A1182" i="12"/>
  <c r="A1181" i="12"/>
  <c r="A1180" i="12"/>
  <c r="A1179" i="12"/>
  <c r="A1178" i="12"/>
  <c r="A1177" i="12"/>
  <c r="A1176" i="12"/>
  <c r="A1175" i="12"/>
  <c r="A1174" i="12"/>
  <c r="A1173" i="12"/>
  <c r="A1172" i="12"/>
  <c r="A1171" i="12"/>
  <c r="A1170" i="12"/>
  <c r="A1169" i="12"/>
  <c r="A1168" i="12"/>
  <c r="A1167" i="12"/>
  <c r="A1166" i="12"/>
  <c r="A1165" i="12"/>
  <c r="A1164" i="12"/>
  <c r="A503" i="12"/>
  <c r="A1608" i="12"/>
  <c r="A1607" i="12"/>
  <c r="A1606" i="12"/>
  <c r="A1605" i="12"/>
  <c r="A1604" i="12"/>
  <c r="A1603" i="12"/>
  <c r="A1602" i="12"/>
  <c r="A1601" i="12"/>
  <c r="A1600" i="12"/>
  <c r="A1599" i="12"/>
  <c r="A1598" i="12"/>
  <c r="A1597" i="12"/>
  <c r="A1596" i="12"/>
  <c r="A1595" i="12"/>
  <c r="A1594" i="12"/>
  <c r="A1593" i="12"/>
  <c r="A1592" i="12"/>
  <c r="A1591" i="12"/>
  <c r="A1590" i="12"/>
  <c r="A1589" i="12"/>
  <c r="A1588" i="12"/>
  <c r="A1587" i="12"/>
  <c r="A1586" i="12"/>
  <c r="A1585" i="12"/>
  <c r="A1584" i="12"/>
  <c r="A1583" i="12"/>
  <c r="A1582" i="12"/>
  <c r="A1581" i="12"/>
  <c r="A1580" i="12"/>
  <c r="A1579" i="12"/>
  <c r="A1578" i="12"/>
  <c r="A1577" i="12"/>
  <c r="A1576" i="12"/>
  <c r="A1575" i="12"/>
  <c r="A1574" i="12"/>
  <c r="A1573" i="12"/>
  <c r="A1572" i="12"/>
  <c r="A1571" i="12"/>
  <c r="A1570" i="12"/>
  <c r="A1569" i="12"/>
  <c r="A1568" i="12"/>
  <c r="A1567" i="12"/>
  <c r="A1566" i="12"/>
  <c r="A1565" i="12"/>
  <c r="A1564" i="12"/>
  <c r="A1563" i="12"/>
  <c r="A1562" i="12"/>
  <c r="A1561" i="12"/>
  <c r="A1560" i="12"/>
  <c r="A1559" i="12"/>
  <c r="A1558" i="12"/>
  <c r="A1557" i="12"/>
  <c r="A1556" i="12"/>
  <c r="A1555" i="12"/>
  <c r="A1554" i="12"/>
  <c r="A1553" i="12"/>
  <c r="A1552" i="12"/>
  <c r="A1551" i="12"/>
  <c r="A1550" i="12"/>
  <c r="A1549" i="12"/>
  <c r="A1548" i="12"/>
  <c r="A1547" i="12"/>
  <c r="A1546" i="12"/>
  <c r="A1545" i="12"/>
  <c r="A1544" i="12"/>
  <c r="A1543" i="12"/>
  <c r="A1542" i="12"/>
  <c r="A1541" i="12"/>
  <c r="A1540" i="12"/>
  <c r="A1539" i="12"/>
  <c r="A1538" i="12"/>
  <c r="A1537" i="12"/>
  <c r="A1536" i="12"/>
  <c r="A1535" i="12"/>
  <c r="A1534" i="12"/>
  <c r="A1533" i="12"/>
  <c r="A1532" i="12"/>
  <c r="A1531" i="12"/>
  <c r="A1530" i="12"/>
  <c r="A1529" i="12"/>
  <c r="A1528" i="12"/>
  <c r="A1527" i="12"/>
  <c r="A1526" i="12"/>
  <c r="A1525" i="12"/>
  <c r="A1524" i="12"/>
  <c r="A1523" i="12"/>
  <c r="A1522" i="12"/>
  <c r="A1521" i="12"/>
  <c r="A1520" i="12"/>
  <c r="A1519" i="12"/>
  <c r="A1518" i="12"/>
  <c r="A1517" i="12"/>
  <c r="A1516" i="12"/>
  <c r="A1515" i="12"/>
  <c r="A1514" i="12"/>
  <c r="A1513" i="12"/>
  <c r="A1512" i="12"/>
  <c r="A1511" i="12"/>
  <c r="A1510" i="12"/>
  <c r="A1509" i="12"/>
  <c r="A1508" i="12"/>
  <c r="A1507" i="12"/>
  <c r="A1506" i="12"/>
  <c r="A1505" i="12"/>
  <c r="A1504" i="12"/>
  <c r="A1503" i="12"/>
  <c r="A1502" i="12"/>
  <c r="A1501" i="12"/>
  <c r="A1500" i="12"/>
  <c r="A1499" i="12"/>
  <c r="A1498" i="12"/>
  <c r="A1497" i="12"/>
  <c r="A1496" i="12"/>
  <c r="A1495" i="12"/>
  <c r="A1494" i="12"/>
  <c r="A1493" i="12"/>
  <c r="A1492" i="12"/>
  <c r="A1491" i="12"/>
  <c r="A1490" i="12"/>
  <c r="A1489" i="12"/>
  <c r="A1488" i="12"/>
  <c r="A1487" i="12"/>
  <c r="A1486" i="12"/>
  <c r="A1485" i="12"/>
  <c r="A1484" i="12"/>
  <c r="A1483" i="12"/>
  <c r="A1482" i="12"/>
  <c r="A1481" i="12"/>
  <c r="A1480" i="12"/>
  <c r="A1479" i="12"/>
  <c r="A1478" i="12"/>
  <c r="A1477" i="12"/>
  <c r="A1476" i="12"/>
  <c r="A1475" i="12"/>
  <c r="A1474" i="12"/>
  <c r="A1473" i="12"/>
  <c r="A1472" i="12"/>
  <c r="A1471" i="12"/>
  <c r="A1470" i="12"/>
  <c r="A1469" i="12"/>
  <c r="A1468" i="12"/>
  <c r="A1467" i="12"/>
  <c r="A1466" i="12"/>
  <c r="A1465" i="12"/>
  <c r="A1464" i="12"/>
  <c r="A1463" i="12"/>
  <c r="A1462" i="12"/>
  <c r="A1461" i="12"/>
  <c r="A1460" i="12"/>
  <c r="A1459" i="12"/>
  <c r="A1458" i="12"/>
  <c r="A1457" i="12"/>
  <c r="A1456" i="12"/>
  <c r="A1455" i="12"/>
  <c r="A1454" i="12"/>
  <c r="A1453" i="12"/>
  <c r="A1452" i="12"/>
  <c r="A1451" i="12"/>
  <c r="A1450" i="12"/>
  <c r="A1449" i="12"/>
  <c r="A1448" i="12"/>
  <c r="A1447" i="12"/>
  <c r="A1446" i="12"/>
  <c r="A1445" i="12"/>
  <c r="A1444" i="12"/>
  <c r="A1443" i="12"/>
  <c r="A1442" i="12"/>
  <c r="A1441" i="12"/>
  <c r="A1440" i="12"/>
  <c r="A1439" i="12"/>
  <c r="A1438" i="12"/>
  <c r="A1437" i="12"/>
  <c r="A1436" i="12"/>
  <c r="A1435" i="12"/>
  <c r="A1434" i="12"/>
  <c r="A1433" i="12"/>
  <c r="A1432" i="12"/>
  <c r="A1431" i="12"/>
  <c r="A1430" i="12"/>
  <c r="A1429" i="12"/>
  <c r="A1428" i="12"/>
  <c r="A1427" i="12"/>
  <c r="A1426" i="12"/>
  <c r="A1425" i="12"/>
  <c r="A1424" i="12"/>
  <c r="A1423" i="12"/>
  <c r="A1422" i="12"/>
  <c r="A1421" i="12"/>
  <c r="A1420" i="12"/>
  <c r="A1419" i="12"/>
  <c r="A1418" i="12"/>
  <c r="A1417" i="12"/>
  <c r="A1416" i="12"/>
  <c r="A1415" i="12"/>
  <c r="A1414" i="12"/>
  <c r="A1413" i="12"/>
  <c r="A1412" i="12"/>
  <c r="A1411" i="12"/>
  <c r="A1410" i="12"/>
  <c r="A1409" i="12"/>
  <c r="A1408" i="12"/>
  <c r="A1407" i="12"/>
  <c r="A1406" i="12"/>
  <c r="A1405" i="12"/>
  <c r="A1404" i="12"/>
  <c r="A1403" i="12"/>
  <c r="A1402" i="12"/>
  <c r="A1401" i="12"/>
  <c r="A1400" i="12"/>
  <c r="A1399" i="12"/>
  <c r="A1398" i="12"/>
  <c r="A1397" i="12"/>
  <c r="A1396" i="12"/>
  <c r="A1395" i="12"/>
  <c r="A1394" i="12"/>
  <c r="A1393" i="12"/>
  <c r="A1392" i="12"/>
  <c r="A1391" i="12"/>
  <c r="A1390" i="12"/>
  <c r="A1389" i="12"/>
  <c r="A1388" i="12"/>
  <c r="A1387" i="12"/>
  <c r="A1386" i="12"/>
  <c r="A1385" i="12"/>
  <c r="A1384" i="12"/>
  <c r="A1383" i="12"/>
  <c r="A1382" i="12"/>
  <c r="A1381" i="12"/>
  <c r="A1380" i="12"/>
  <c r="A1379" i="12"/>
  <c r="A1378" i="12"/>
  <c r="A1377" i="12"/>
  <c r="A1376" i="12"/>
  <c r="A1375" i="12"/>
  <c r="A1374" i="12"/>
  <c r="A1373" i="12"/>
  <c r="A1372" i="12"/>
  <c r="A1371" i="12"/>
  <c r="A1370" i="12"/>
  <c r="A1369" i="12"/>
  <c r="A1368" i="12"/>
  <c r="A1367" i="12"/>
  <c r="A1366" i="12"/>
  <c r="A1365" i="12"/>
  <c r="A1364" i="12"/>
  <c r="A1363" i="12"/>
  <c r="A1362" i="12"/>
  <c r="A1361" i="12"/>
  <c r="A1360" i="12"/>
  <c r="A1359" i="12"/>
  <c r="A1358" i="12"/>
  <c r="A1357" i="12"/>
  <c r="A1356" i="12"/>
  <c r="A1355" i="12"/>
  <c r="A1354" i="12"/>
  <c r="A1353" i="12"/>
  <c r="A1352" i="12"/>
  <c r="A1351" i="12"/>
  <c r="A1350" i="12"/>
  <c r="A1349" i="12"/>
  <c r="A1348" i="12"/>
  <c r="A1347" i="12"/>
  <c r="A1346" i="12"/>
  <c r="A1345" i="12"/>
  <c r="A1344" i="12"/>
  <c r="A1343" i="12"/>
  <c r="A1342" i="12"/>
  <c r="A1341" i="12"/>
  <c r="A1340" i="12"/>
  <c r="A1339" i="12"/>
  <c r="A1338" i="12"/>
  <c r="A1337" i="12"/>
  <c r="A1336" i="12"/>
  <c r="A1335" i="12"/>
  <c r="A1334" i="12"/>
  <c r="A1333" i="12"/>
  <c r="A1332" i="12"/>
  <c r="A1331" i="12"/>
  <c r="A1330" i="12"/>
  <c r="A1329" i="12"/>
  <c r="A1328" i="12"/>
  <c r="A1327" i="12"/>
  <c r="A1326" i="12"/>
  <c r="A1325" i="12"/>
  <c r="A1324" i="12"/>
  <c r="A1323" i="12"/>
  <c r="A1322" i="12"/>
  <c r="A1321" i="12"/>
  <c r="A1320" i="12"/>
  <c r="A1319" i="12"/>
  <c r="A1318" i="12"/>
  <c r="A1317" i="12"/>
  <c r="A1316" i="12"/>
  <c r="A1315" i="12"/>
  <c r="A1314" i="12"/>
  <c r="A1313" i="12"/>
  <c r="A1312" i="12"/>
  <c r="A1311" i="12"/>
  <c r="A1310" i="12"/>
  <c r="A1309" i="12"/>
  <c r="A1308" i="12"/>
  <c r="A1307" i="12"/>
  <c r="A1306" i="12"/>
  <c r="A1305" i="12"/>
  <c r="A1304" i="12"/>
  <c r="A1303" i="12"/>
  <c r="A1302" i="12"/>
  <c r="A554" i="12"/>
  <c r="B600" i="10"/>
  <c r="C600" i="10"/>
  <c r="D600" i="10"/>
  <c r="M599" i="10"/>
  <c r="Q599" i="10"/>
  <c r="P599" i="10"/>
  <c r="F598" i="10"/>
  <c r="E598" i="10"/>
  <c r="I598" i="10"/>
  <c r="H597" i="10"/>
  <c r="I597" i="10"/>
  <c r="D593" i="10"/>
  <c r="C593" i="10"/>
  <c r="C592" i="10"/>
  <c r="E592" i="10"/>
  <c r="I590" i="10"/>
  <c r="H590" i="10"/>
  <c r="P590" i="10"/>
  <c r="M590" i="10"/>
  <c r="J590" i="10"/>
  <c r="L590" i="10"/>
  <c r="J589" i="10"/>
  <c r="M589" i="10"/>
  <c r="L589" i="10"/>
  <c r="H588" i="10"/>
  <c r="I588" i="10"/>
  <c r="L588" i="10"/>
  <c r="J588" i="10"/>
  <c r="I587" i="10"/>
  <c r="H587" i="10"/>
  <c r="J587" i="10"/>
  <c r="F586" i="10"/>
  <c r="I586" i="10"/>
  <c r="H586" i="10"/>
  <c r="P585" i="10"/>
  <c r="M585" i="10"/>
  <c r="H584" i="10"/>
  <c r="D584" i="10"/>
  <c r="F584" i="10"/>
  <c r="E584" i="10"/>
  <c r="D582" i="10"/>
  <c r="M582" i="10"/>
  <c r="P582" i="10"/>
  <c r="J582" i="10"/>
  <c r="F582" i="10"/>
  <c r="L582" i="10"/>
  <c r="E582" i="10"/>
  <c r="Q582" i="10"/>
  <c r="H582" i="10"/>
  <c r="I582" i="10"/>
  <c r="P581" i="10"/>
  <c r="M581" i="10"/>
  <c r="L581" i="10"/>
  <c r="H580" i="10"/>
  <c r="I580" i="10"/>
  <c r="F580" i="10"/>
  <c r="J579" i="10"/>
  <c r="H579" i="10"/>
  <c r="I579" i="10"/>
  <c r="I578" i="10"/>
  <c r="J578" i="10"/>
  <c r="L578" i="10"/>
  <c r="H578" i="10"/>
  <c r="F574" i="10"/>
  <c r="H574" i="10"/>
  <c r="J574" i="10"/>
  <c r="I574" i="10"/>
  <c r="C573" i="10"/>
  <c r="D573" i="10"/>
  <c r="E573" i="10"/>
  <c r="F573" i="10"/>
  <c r="M572" i="10"/>
  <c r="L572" i="10"/>
  <c r="M571" i="10"/>
  <c r="L571" i="10"/>
  <c r="P571" i="10"/>
  <c r="Q571" i="10"/>
  <c r="M569" i="10"/>
  <c r="L569" i="10"/>
  <c r="P569" i="10"/>
  <c r="Q569" i="10"/>
  <c r="C568" i="10"/>
  <c r="D568" i="10"/>
  <c r="H568" i="10"/>
  <c r="F568" i="10"/>
  <c r="E568" i="10"/>
  <c r="E567" i="10"/>
  <c r="C567" i="10"/>
  <c r="D567" i="10"/>
  <c r="F567" i="10"/>
  <c r="B567" i="10"/>
  <c r="F566" i="10"/>
  <c r="H566" i="10"/>
  <c r="E565" i="10"/>
  <c r="F565" i="10"/>
  <c r="J564" i="10"/>
  <c r="I564" i="10"/>
  <c r="H564" i="10"/>
  <c r="I563" i="10"/>
  <c r="H563" i="10"/>
  <c r="L562" i="10"/>
  <c r="M562" i="10"/>
  <c r="C561" i="10"/>
  <c r="D561" i="10"/>
  <c r="I560" i="10"/>
  <c r="Q560" i="10"/>
  <c r="M560" i="10"/>
  <c r="P560" i="10"/>
  <c r="L560" i="10"/>
  <c r="J560" i="10"/>
  <c r="H557" i="10"/>
  <c r="I557" i="10"/>
  <c r="J557" i="10"/>
  <c r="D556" i="10"/>
  <c r="I556" i="10"/>
  <c r="F556" i="10"/>
  <c r="H556" i="10"/>
  <c r="J556" i="10"/>
  <c r="E556" i="10"/>
  <c r="L556" i="10"/>
  <c r="H555" i="10"/>
  <c r="E555" i="10"/>
  <c r="I555" i="10"/>
  <c r="P555" i="10"/>
  <c r="L555" i="10"/>
  <c r="F555" i="10"/>
  <c r="M555" i="10"/>
  <c r="D555" i="10"/>
  <c r="J555" i="10"/>
  <c r="P553" i="10"/>
  <c r="L553" i="10"/>
  <c r="M553" i="10"/>
  <c r="F552" i="10"/>
  <c r="I552" i="10"/>
  <c r="H552" i="10"/>
  <c r="L551" i="10"/>
  <c r="J551" i="10"/>
  <c r="J550" i="10"/>
  <c r="I550" i="10"/>
  <c r="F549" i="10"/>
  <c r="I549" i="10"/>
  <c r="E549" i="10"/>
  <c r="H549" i="10"/>
  <c r="L549" i="10"/>
  <c r="M549" i="10"/>
  <c r="J549" i="10"/>
  <c r="M548" i="10"/>
  <c r="I548" i="10"/>
  <c r="L548" i="10"/>
  <c r="J548" i="10"/>
  <c r="D546" i="10"/>
  <c r="E546" i="10"/>
  <c r="E545" i="10"/>
  <c r="F545" i="10"/>
  <c r="I545" i="10"/>
  <c r="J545" i="10"/>
  <c r="H545" i="10"/>
  <c r="I544" i="10"/>
  <c r="H544" i="10"/>
  <c r="J544" i="10"/>
  <c r="D543" i="10"/>
  <c r="E543" i="10"/>
  <c r="F543" i="10"/>
  <c r="H543" i="10"/>
  <c r="C540" i="10"/>
  <c r="H540" i="10"/>
  <c r="E540" i="10"/>
  <c r="F540" i="10"/>
  <c r="J540" i="10"/>
  <c r="D540" i="10"/>
  <c r="I540" i="10"/>
  <c r="L539" i="10"/>
  <c r="M539" i="10"/>
  <c r="I538" i="10"/>
  <c r="H538" i="10"/>
  <c r="M537" i="10"/>
  <c r="L537" i="10"/>
  <c r="Q536" i="10"/>
  <c r="P536" i="10"/>
  <c r="L536" i="10"/>
  <c r="M536" i="10"/>
  <c r="I536" i="10"/>
  <c r="J536" i="10"/>
  <c r="D535" i="10"/>
  <c r="H535" i="10"/>
  <c r="F535" i="10"/>
  <c r="E535" i="10"/>
  <c r="L534" i="10"/>
  <c r="M534" i="10"/>
  <c r="J534" i="10"/>
  <c r="Q533" i="10"/>
  <c r="M533" i="10"/>
  <c r="P533" i="10"/>
  <c r="L533" i="10"/>
  <c r="H531" i="10"/>
  <c r="I531" i="10"/>
  <c r="P529" i="10"/>
  <c r="M529" i="10"/>
  <c r="I526" i="10"/>
  <c r="H526" i="10"/>
  <c r="F526" i="10"/>
  <c r="J526" i="10"/>
  <c r="F525" i="10"/>
  <c r="I525" i="10"/>
  <c r="L521" i="10"/>
  <c r="J521" i="10"/>
  <c r="Q521" i="10"/>
  <c r="M521" i="10"/>
  <c r="L520" i="10"/>
  <c r="M520" i="10"/>
  <c r="P520" i="10"/>
  <c r="I519" i="10"/>
  <c r="J519" i="10"/>
  <c r="H519" i="10"/>
  <c r="L519" i="10"/>
  <c r="E516" i="10"/>
  <c r="F516" i="10"/>
  <c r="F514" i="10"/>
  <c r="H514" i="10"/>
  <c r="E512" i="10"/>
  <c r="I512" i="10"/>
  <c r="D510" i="10"/>
  <c r="E510" i="10"/>
  <c r="F510" i="10"/>
  <c r="E509" i="10"/>
  <c r="I509" i="10"/>
  <c r="F509" i="10"/>
  <c r="J509" i="10"/>
  <c r="H509" i="10"/>
  <c r="H505" i="10"/>
  <c r="F505" i="10"/>
  <c r="D505" i="10"/>
  <c r="E505" i="10"/>
  <c r="F504" i="10"/>
  <c r="H504" i="10"/>
  <c r="E504" i="10"/>
  <c r="C503" i="10"/>
  <c r="F503" i="10"/>
  <c r="D503" i="10"/>
  <c r="E503" i="10"/>
  <c r="H502" i="10"/>
  <c r="I502" i="10"/>
  <c r="L498" i="10"/>
  <c r="M498" i="10"/>
  <c r="E497" i="10"/>
  <c r="H497" i="10"/>
  <c r="L497" i="10"/>
  <c r="I497" i="10"/>
  <c r="F497" i="10"/>
  <c r="J497" i="10"/>
  <c r="L496" i="10"/>
  <c r="P496" i="10"/>
  <c r="J496" i="10"/>
  <c r="M496" i="10"/>
  <c r="Q496" i="10"/>
  <c r="F496" i="10"/>
  <c r="J495" i="10"/>
  <c r="I495" i="10"/>
  <c r="F494" i="10"/>
  <c r="D494" i="10"/>
  <c r="E494" i="10"/>
  <c r="I493" i="10"/>
  <c r="M493" i="10"/>
  <c r="J493" i="10"/>
  <c r="P493" i="10"/>
  <c r="L493" i="10"/>
  <c r="H493" i="10"/>
  <c r="D491" i="10"/>
  <c r="F491" i="10"/>
  <c r="E491" i="10"/>
  <c r="F489" i="10"/>
  <c r="H489" i="10"/>
  <c r="I489" i="10"/>
  <c r="I488" i="10"/>
  <c r="J488" i="10"/>
  <c r="L488" i="10"/>
  <c r="H488" i="10"/>
  <c r="C487" i="10"/>
  <c r="F487" i="10"/>
  <c r="E487" i="10"/>
  <c r="H487" i="10"/>
  <c r="D487" i="10"/>
  <c r="H484" i="10"/>
  <c r="J484" i="10"/>
  <c r="I484" i="10"/>
  <c r="L483" i="10"/>
  <c r="Q483" i="10"/>
  <c r="P483" i="10"/>
  <c r="M483" i="10"/>
  <c r="D480" i="10"/>
  <c r="I480" i="10"/>
  <c r="I478" i="10"/>
  <c r="H478" i="10"/>
  <c r="M475" i="10"/>
  <c r="L475" i="10"/>
  <c r="P475" i="10"/>
  <c r="Q475" i="10"/>
  <c r="D472" i="10"/>
  <c r="E472" i="10"/>
  <c r="P471" i="10"/>
  <c r="Q471" i="10"/>
  <c r="L471" i="10"/>
  <c r="J471" i="10"/>
  <c r="M471" i="10"/>
  <c r="F470" i="10"/>
  <c r="I470" i="10"/>
  <c r="J470" i="10"/>
  <c r="H470" i="10"/>
  <c r="F469" i="10"/>
  <c r="H469" i="10"/>
  <c r="I468" i="10"/>
  <c r="J468" i="10"/>
  <c r="J467" i="10"/>
  <c r="L467" i="10"/>
  <c r="M467" i="10"/>
  <c r="I467" i="10"/>
  <c r="D466" i="10"/>
  <c r="H466" i="10"/>
  <c r="E466" i="10"/>
  <c r="F466" i="10"/>
  <c r="L464" i="10"/>
  <c r="Q464" i="10"/>
  <c r="P464" i="10"/>
  <c r="M464" i="10"/>
  <c r="L463" i="10"/>
  <c r="M463" i="10"/>
  <c r="J462" i="10"/>
  <c r="L462" i="10"/>
  <c r="J461" i="10"/>
  <c r="L461" i="10"/>
  <c r="M461" i="10"/>
  <c r="I461" i="10"/>
  <c r="C460" i="10"/>
  <c r="F460" i="10"/>
  <c r="D460" i="10"/>
  <c r="E460" i="10"/>
  <c r="H459" i="10"/>
  <c r="I459" i="10"/>
  <c r="J459" i="10"/>
  <c r="J456" i="10"/>
  <c r="I456" i="10"/>
  <c r="E455" i="10"/>
  <c r="P455" i="10"/>
  <c r="I455" i="10"/>
  <c r="M455" i="10"/>
  <c r="H455" i="10"/>
  <c r="Q455" i="10"/>
  <c r="L455" i="10"/>
  <c r="F455" i="10"/>
  <c r="J455" i="10"/>
  <c r="B454" i="10"/>
  <c r="C454" i="10"/>
  <c r="I454" i="10"/>
  <c r="E454" i="10"/>
  <c r="F454" i="10"/>
  <c r="D454" i="10"/>
  <c r="P453" i="10"/>
  <c r="M453" i="10"/>
  <c r="J453" i="10"/>
  <c r="Q453" i="10"/>
  <c r="I453" i="10"/>
  <c r="L453" i="10"/>
  <c r="H453" i="10"/>
  <c r="E452" i="10"/>
  <c r="D452" i="10"/>
  <c r="F452" i="10"/>
  <c r="F451" i="10"/>
  <c r="H451" i="10"/>
  <c r="M450" i="10"/>
  <c r="J450" i="10"/>
  <c r="L450" i="10"/>
  <c r="P450" i="10"/>
  <c r="P447" i="10"/>
  <c r="J447" i="10"/>
  <c r="M447" i="10"/>
  <c r="I447" i="10"/>
  <c r="L447" i="10"/>
  <c r="J445" i="10"/>
  <c r="H445" i="10"/>
  <c r="I445" i="10"/>
  <c r="F445" i="10"/>
  <c r="F444" i="10"/>
  <c r="I444" i="10"/>
  <c r="Q443" i="10"/>
  <c r="P443" i="10"/>
  <c r="E442" i="10"/>
  <c r="F442" i="10"/>
  <c r="D442" i="10"/>
  <c r="F441" i="10"/>
  <c r="I441" i="10"/>
  <c r="H441" i="10"/>
  <c r="L440" i="10"/>
  <c r="Q440" i="10"/>
  <c r="M440" i="10"/>
  <c r="P440" i="10"/>
  <c r="P438" i="10"/>
  <c r="M438" i="10"/>
  <c r="Q438" i="10"/>
  <c r="M437" i="10"/>
  <c r="L437" i="10"/>
  <c r="Q437" i="10"/>
  <c r="P437" i="10"/>
  <c r="L434" i="10"/>
  <c r="M434" i="10"/>
  <c r="J434" i="10"/>
  <c r="H427" i="10"/>
  <c r="I427" i="10"/>
  <c r="P424" i="10"/>
  <c r="Q424" i="10"/>
  <c r="F422" i="10"/>
  <c r="H422" i="10"/>
  <c r="J422" i="10"/>
  <c r="I422" i="10"/>
  <c r="L421" i="10"/>
  <c r="P421" i="10"/>
  <c r="J421" i="10"/>
  <c r="H417" i="10"/>
  <c r="I417" i="10"/>
  <c r="M415" i="10"/>
  <c r="Q415" i="10"/>
  <c r="P415" i="10"/>
  <c r="I414" i="10"/>
  <c r="J414" i="10"/>
  <c r="L414" i="10"/>
  <c r="M414" i="10"/>
  <c r="P411" i="10"/>
  <c r="Q411" i="10"/>
  <c r="M409" i="10"/>
  <c r="P409" i="10"/>
  <c r="Q407" i="10"/>
  <c r="P407" i="10"/>
  <c r="L406" i="10"/>
  <c r="H406" i="10"/>
  <c r="P406" i="10"/>
  <c r="M406" i="10"/>
  <c r="I406" i="10"/>
  <c r="J406" i="10"/>
  <c r="H405" i="10"/>
  <c r="J405" i="10"/>
  <c r="I405" i="10"/>
  <c r="L405" i="10"/>
  <c r="M404" i="10"/>
  <c r="L404" i="10"/>
  <c r="H400" i="10"/>
  <c r="I400" i="10"/>
  <c r="J400" i="10"/>
  <c r="M399" i="10"/>
  <c r="P399" i="10"/>
  <c r="Q399" i="10"/>
  <c r="J396" i="10"/>
  <c r="M396" i="10"/>
  <c r="H396" i="10"/>
  <c r="I396" i="10"/>
  <c r="L396" i="10"/>
  <c r="I390" i="10"/>
  <c r="J390" i="10"/>
  <c r="L390" i="10"/>
  <c r="Q388" i="10"/>
  <c r="M388" i="10"/>
  <c r="J386" i="10"/>
  <c r="M386" i="10"/>
  <c r="F385" i="10"/>
  <c r="H385" i="10"/>
  <c r="P380" i="10"/>
  <c r="J380" i="10"/>
  <c r="L380" i="10"/>
  <c r="I376" i="10"/>
  <c r="H376" i="10"/>
  <c r="J376" i="10"/>
  <c r="E375" i="10"/>
  <c r="F375" i="10"/>
  <c r="F373" i="10"/>
  <c r="E373" i="10"/>
  <c r="Q371" i="10"/>
  <c r="P371" i="10"/>
  <c r="M371" i="10"/>
  <c r="H370" i="10"/>
  <c r="J370" i="10"/>
  <c r="I370" i="10"/>
  <c r="L370" i="10"/>
  <c r="H366" i="10"/>
  <c r="P366" i="10"/>
  <c r="Q366" i="10"/>
  <c r="I366" i="10"/>
  <c r="L366" i="10"/>
  <c r="M366" i="10"/>
  <c r="J366" i="10"/>
  <c r="J364" i="10"/>
  <c r="P364" i="10"/>
  <c r="M364" i="10"/>
  <c r="L364" i="10"/>
  <c r="J363" i="10"/>
  <c r="I363" i="10"/>
  <c r="H363" i="10"/>
  <c r="P360" i="10"/>
  <c r="Q360" i="10"/>
  <c r="M358" i="10"/>
  <c r="P358" i="10"/>
  <c r="Q358" i="10"/>
  <c r="M357" i="10"/>
  <c r="Q357" i="10"/>
  <c r="P357" i="10"/>
  <c r="J354" i="10"/>
  <c r="L354" i="10"/>
  <c r="J353" i="10"/>
  <c r="L353" i="10"/>
  <c r="M353" i="10"/>
  <c r="P352" i="10"/>
  <c r="Q352" i="10"/>
  <c r="P347" i="10"/>
  <c r="Q347" i="10"/>
  <c r="M346" i="10"/>
  <c r="L346" i="10"/>
  <c r="F345" i="10"/>
  <c r="M345" i="10"/>
  <c r="Q345" i="10"/>
  <c r="P345" i="10"/>
  <c r="H345" i="10"/>
  <c r="J345" i="10"/>
  <c r="I345" i="10"/>
  <c r="L345" i="10"/>
  <c r="Q344" i="10"/>
  <c r="P344" i="10"/>
  <c r="J343" i="10"/>
  <c r="L343" i="10"/>
  <c r="M342" i="10"/>
  <c r="H342" i="10"/>
  <c r="P342" i="10"/>
  <c r="P341" i="10"/>
  <c r="J341" i="10"/>
  <c r="Q341" i="10"/>
  <c r="L341" i="10"/>
  <c r="M341" i="10"/>
  <c r="I338" i="10"/>
  <c r="L338" i="10"/>
  <c r="J338" i="10"/>
  <c r="M336" i="10"/>
  <c r="P336" i="10"/>
  <c r="Q336" i="10"/>
  <c r="I333" i="10"/>
  <c r="P333" i="10"/>
  <c r="L333" i="10"/>
  <c r="M333" i="10"/>
  <c r="P332" i="10"/>
  <c r="M332" i="10"/>
  <c r="I330" i="10"/>
  <c r="J330" i="10"/>
  <c r="M326" i="10"/>
  <c r="L326" i="10"/>
  <c r="Q326" i="10"/>
  <c r="P326" i="10"/>
  <c r="J323" i="10"/>
  <c r="H323" i="10"/>
  <c r="I322" i="10"/>
  <c r="J322" i="10"/>
  <c r="P320" i="10"/>
  <c r="Q320" i="10"/>
  <c r="P319" i="10"/>
  <c r="Q319" i="10"/>
  <c r="D317" i="10"/>
  <c r="L317" i="10"/>
  <c r="E317" i="10"/>
  <c r="F317" i="10"/>
  <c r="I317" i="10"/>
  <c r="H317" i="10"/>
  <c r="J317" i="10"/>
  <c r="L315" i="10"/>
  <c r="J315" i="10"/>
  <c r="P315" i="10"/>
  <c r="M315" i="10"/>
  <c r="H314" i="10"/>
  <c r="I314" i="10"/>
  <c r="J314" i="10"/>
  <c r="L313" i="10"/>
  <c r="J313" i="10"/>
  <c r="I311" i="10"/>
  <c r="J311" i="10"/>
  <c r="H311" i="10"/>
  <c r="Q310" i="10"/>
  <c r="L310" i="10"/>
  <c r="P310" i="10"/>
  <c r="M310" i="10"/>
  <c r="Q309" i="10"/>
  <c r="P309" i="10"/>
  <c r="M309" i="10"/>
  <c r="M308" i="10"/>
  <c r="P308" i="10"/>
  <c r="J305" i="10"/>
  <c r="L305" i="10"/>
  <c r="P303" i="10"/>
  <c r="M303" i="10"/>
  <c r="Q303" i="10"/>
  <c r="E302" i="10"/>
  <c r="F302" i="10"/>
  <c r="H302" i="10"/>
  <c r="P300" i="10"/>
  <c r="J300" i="10"/>
  <c r="L300" i="10"/>
  <c r="E299" i="10"/>
  <c r="D299" i="10"/>
  <c r="F299" i="10"/>
  <c r="P298" i="10"/>
  <c r="M298" i="10"/>
  <c r="L298" i="10"/>
  <c r="I296" i="10"/>
  <c r="H296" i="10"/>
  <c r="J296" i="10"/>
  <c r="H295" i="10"/>
  <c r="F295" i="10"/>
  <c r="H294" i="10"/>
  <c r="I294" i="10"/>
  <c r="J294" i="10"/>
  <c r="Q293" i="10"/>
  <c r="P293" i="10"/>
  <c r="F292" i="10"/>
  <c r="H292" i="10"/>
  <c r="I292" i="10"/>
  <c r="M290" i="10"/>
  <c r="L290" i="10"/>
  <c r="M288" i="10"/>
  <c r="J288" i="10"/>
  <c r="P288" i="10"/>
  <c r="L288" i="10"/>
  <c r="H286" i="10"/>
  <c r="J286" i="10"/>
  <c r="J284" i="10"/>
  <c r="L284" i="10"/>
  <c r="I283" i="10"/>
  <c r="J283" i="10"/>
  <c r="H283" i="10"/>
  <c r="F283" i="10"/>
  <c r="J281" i="10"/>
  <c r="I281" i="10"/>
  <c r="H280" i="10"/>
  <c r="J280" i="10"/>
  <c r="I280" i="10"/>
  <c r="L279" i="10"/>
  <c r="M279" i="10"/>
  <c r="I278" i="10"/>
  <c r="M278" i="10"/>
  <c r="L278" i="10"/>
  <c r="J278" i="10"/>
  <c r="Q277" i="10"/>
  <c r="P277" i="10"/>
  <c r="I276" i="10"/>
  <c r="P276" i="10"/>
  <c r="M276" i="10"/>
  <c r="J276" i="10"/>
  <c r="H276" i="10"/>
  <c r="L276" i="10"/>
  <c r="E274" i="10"/>
  <c r="F274" i="10"/>
  <c r="H274" i="10"/>
  <c r="I273" i="10"/>
  <c r="M273" i="10"/>
  <c r="F273" i="10"/>
  <c r="Q273" i="10"/>
  <c r="J273" i="10"/>
  <c r="H273" i="10"/>
  <c r="L273" i="10"/>
  <c r="P273" i="10"/>
  <c r="P272" i="10"/>
  <c r="Q272" i="10"/>
  <c r="L271" i="10"/>
  <c r="J271" i="10"/>
  <c r="I270" i="10"/>
  <c r="J270" i="10"/>
  <c r="P269" i="10"/>
  <c r="M269" i="10"/>
  <c r="L269" i="10"/>
  <c r="J269" i="10"/>
  <c r="E268" i="10"/>
  <c r="F268" i="10"/>
  <c r="H268" i="10"/>
  <c r="L265" i="10"/>
  <c r="J265" i="10"/>
  <c r="M265" i="10"/>
  <c r="J264" i="10"/>
  <c r="L264" i="10"/>
  <c r="P263" i="10"/>
  <c r="M263" i="10"/>
  <c r="Q263" i="10"/>
  <c r="J262" i="10"/>
  <c r="I262" i="10"/>
  <c r="H261" i="10"/>
  <c r="F261" i="10"/>
  <c r="I261" i="10"/>
  <c r="M260" i="10"/>
  <c r="P260" i="10"/>
  <c r="L260" i="10"/>
  <c r="H259" i="10"/>
  <c r="F259" i="10"/>
  <c r="E259" i="10"/>
  <c r="H258" i="10"/>
  <c r="F258" i="10"/>
  <c r="J258" i="10"/>
  <c r="L258" i="10"/>
  <c r="I258" i="10"/>
  <c r="M257" i="10"/>
  <c r="P257" i="10"/>
  <c r="J256" i="10"/>
  <c r="I256" i="10"/>
  <c r="E256" i="10"/>
  <c r="H256" i="10"/>
  <c r="F256" i="10"/>
  <c r="D254" i="10"/>
  <c r="H254" i="10"/>
  <c r="E254" i="10"/>
  <c r="F254" i="10"/>
  <c r="I253" i="10"/>
  <c r="J253" i="10"/>
  <c r="H253" i="10"/>
  <c r="P252" i="10"/>
  <c r="L252" i="10"/>
  <c r="Q252" i="10"/>
  <c r="M252" i="10"/>
  <c r="F251" i="10"/>
  <c r="H251" i="10"/>
  <c r="M247" i="10"/>
  <c r="L247" i="10"/>
  <c r="J246" i="10"/>
  <c r="Q246" i="10"/>
  <c r="M246" i="10"/>
  <c r="I246" i="10"/>
  <c r="P246" i="10"/>
  <c r="H246" i="10"/>
  <c r="L246" i="10"/>
  <c r="I245" i="10"/>
  <c r="H245" i="10"/>
  <c r="L242" i="10"/>
  <c r="M242" i="10"/>
  <c r="P242" i="10"/>
  <c r="I242" i="10"/>
  <c r="J242" i="10"/>
  <c r="M239" i="10"/>
  <c r="L239" i="10"/>
  <c r="J238" i="10"/>
  <c r="I238" i="10"/>
  <c r="F237" i="10"/>
  <c r="I237" i="10"/>
  <c r="J237" i="10"/>
  <c r="H237" i="10"/>
  <c r="J234" i="10"/>
  <c r="M234" i="10"/>
  <c r="P234" i="10"/>
  <c r="L234" i="10"/>
  <c r="H234" i="10"/>
  <c r="M233" i="10"/>
  <c r="Q233" i="10"/>
  <c r="P233" i="10"/>
  <c r="M232" i="10"/>
  <c r="P232" i="10"/>
  <c r="E231" i="10"/>
  <c r="F231" i="10"/>
  <c r="C231" i="10"/>
  <c r="D231" i="10"/>
  <c r="I231" i="10"/>
  <c r="H231" i="10"/>
  <c r="P230" i="10"/>
  <c r="Q230" i="10"/>
  <c r="M230" i="10"/>
  <c r="I229" i="10"/>
  <c r="M229" i="10"/>
  <c r="L229" i="10"/>
  <c r="J229" i="10"/>
  <c r="E227" i="10"/>
  <c r="D227" i="10"/>
  <c r="I226" i="10"/>
  <c r="J226" i="10"/>
  <c r="F226" i="10"/>
  <c r="H226" i="10"/>
  <c r="E226" i="10"/>
  <c r="L224" i="10"/>
  <c r="H224" i="10"/>
  <c r="F224" i="10"/>
  <c r="J224" i="10"/>
  <c r="F223" i="10"/>
  <c r="I223" i="10"/>
  <c r="M223" i="10"/>
  <c r="H223" i="10"/>
  <c r="J223" i="10"/>
  <c r="L223" i="10"/>
  <c r="L222" i="10"/>
  <c r="J222" i="10"/>
  <c r="I222" i="10"/>
  <c r="M221" i="10"/>
  <c r="L221" i="10"/>
  <c r="P220" i="10"/>
  <c r="L220" i="10"/>
  <c r="M220" i="10"/>
  <c r="Q220" i="10"/>
  <c r="M219" i="10"/>
  <c r="L219" i="10"/>
  <c r="E218" i="10"/>
  <c r="F218" i="10"/>
  <c r="H213" i="10"/>
  <c r="J213" i="10"/>
  <c r="I213" i="10"/>
  <c r="D212" i="10"/>
  <c r="E212" i="10"/>
  <c r="F212" i="10"/>
  <c r="H210" i="10"/>
  <c r="F210" i="10"/>
  <c r="E210" i="10"/>
  <c r="I210" i="10"/>
  <c r="H205" i="10"/>
  <c r="I205" i="10"/>
  <c r="L205" i="10"/>
  <c r="E203" i="10"/>
  <c r="F203" i="10"/>
  <c r="M200" i="10"/>
  <c r="J200" i="10"/>
  <c r="L200" i="10"/>
  <c r="F199" i="10"/>
  <c r="H199" i="10"/>
  <c r="M199" i="10"/>
  <c r="I199" i="10"/>
  <c r="J199" i="10"/>
  <c r="L197" i="10"/>
  <c r="I197" i="10"/>
  <c r="J197" i="10"/>
  <c r="H196" i="10"/>
  <c r="I196" i="10"/>
  <c r="F195" i="10"/>
  <c r="H195" i="10"/>
  <c r="J195" i="10"/>
  <c r="I195" i="10"/>
  <c r="E193" i="10"/>
  <c r="H193" i="10"/>
  <c r="I193" i="10"/>
  <c r="F193" i="10"/>
  <c r="I191" i="10"/>
  <c r="H191" i="10"/>
  <c r="J191" i="10"/>
  <c r="F190" i="10"/>
  <c r="E190" i="10"/>
  <c r="L188" i="10"/>
  <c r="P188" i="10"/>
  <c r="J188" i="10"/>
  <c r="M188" i="10"/>
  <c r="F187" i="10"/>
  <c r="L187" i="10"/>
  <c r="I187" i="10"/>
  <c r="H187" i="10"/>
  <c r="Q186" i="10"/>
  <c r="I186" i="10"/>
  <c r="M186" i="10"/>
  <c r="P186" i="10"/>
  <c r="H186" i="10"/>
  <c r="L186" i="10"/>
  <c r="J186" i="10"/>
  <c r="D185" i="10"/>
  <c r="E185" i="10"/>
  <c r="C185" i="10"/>
  <c r="D184" i="10"/>
  <c r="E184" i="10"/>
  <c r="H183" i="10"/>
  <c r="D183" i="10"/>
  <c r="L182" i="10"/>
  <c r="J182" i="10"/>
  <c r="I182" i="10"/>
  <c r="H182" i="10"/>
  <c r="P181" i="10"/>
  <c r="L181" i="10"/>
  <c r="M181" i="10"/>
  <c r="I178" i="10"/>
  <c r="H178" i="10"/>
  <c r="E178" i="10"/>
  <c r="F178" i="10"/>
  <c r="J177" i="10"/>
  <c r="I177" i="10"/>
  <c r="J176" i="10"/>
  <c r="L176" i="10"/>
  <c r="P176" i="10"/>
  <c r="M176" i="10"/>
  <c r="I176" i="10"/>
  <c r="C175" i="10"/>
  <c r="E175" i="10"/>
  <c r="J174" i="10"/>
  <c r="L174" i="10"/>
  <c r="M174" i="10"/>
  <c r="H172" i="10"/>
  <c r="J172" i="10"/>
  <c r="I172" i="10"/>
  <c r="E171" i="10"/>
  <c r="F171" i="10"/>
  <c r="J171" i="10"/>
  <c r="I171" i="10"/>
  <c r="H171" i="10"/>
  <c r="C170" i="10"/>
  <c r="D170" i="10"/>
  <c r="I169" i="10"/>
  <c r="J169" i="10"/>
  <c r="H169" i="10"/>
  <c r="F169" i="10"/>
  <c r="L169" i="10"/>
  <c r="M169" i="10"/>
  <c r="E168" i="10"/>
  <c r="F168" i="10"/>
  <c r="E167" i="10"/>
  <c r="D167" i="10"/>
  <c r="C165" i="10"/>
  <c r="D165" i="10"/>
  <c r="M164" i="10"/>
  <c r="L164" i="10"/>
  <c r="L163" i="10"/>
  <c r="J163" i="10"/>
  <c r="H163" i="10"/>
  <c r="I163" i="10"/>
  <c r="M163" i="10"/>
  <c r="F163" i="10"/>
  <c r="P163" i="10"/>
  <c r="P162" i="10"/>
  <c r="M162" i="10"/>
  <c r="M161" i="10"/>
  <c r="P161" i="10"/>
  <c r="M159" i="10"/>
  <c r="L159" i="10"/>
  <c r="J159" i="10"/>
  <c r="P158" i="10"/>
  <c r="Q158" i="10"/>
  <c r="L158" i="10"/>
  <c r="H157" i="10"/>
  <c r="F157" i="10"/>
  <c r="I157" i="10"/>
  <c r="E157" i="10"/>
  <c r="J157" i="10"/>
  <c r="F156" i="10"/>
  <c r="H156" i="10"/>
  <c r="M154" i="10"/>
  <c r="L154" i="10"/>
  <c r="D153" i="10"/>
  <c r="E153" i="10"/>
  <c r="I152" i="10"/>
  <c r="H152" i="10"/>
  <c r="L152" i="10"/>
  <c r="J152" i="10"/>
  <c r="I150" i="10"/>
  <c r="H150" i="10"/>
  <c r="E149" i="10"/>
  <c r="F149" i="10"/>
  <c r="J146" i="10"/>
  <c r="P146" i="10"/>
  <c r="M146" i="10"/>
  <c r="L146" i="10"/>
  <c r="Q146" i="10"/>
  <c r="H145" i="10"/>
  <c r="I145" i="10"/>
  <c r="J145" i="10"/>
  <c r="I143" i="10"/>
  <c r="L143" i="10"/>
  <c r="J143" i="10"/>
  <c r="M143" i="10"/>
  <c r="J141" i="10"/>
  <c r="I141" i="10"/>
  <c r="I138" i="10"/>
  <c r="H138" i="10"/>
  <c r="E137" i="10"/>
  <c r="F137" i="10"/>
  <c r="H137" i="10"/>
  <c r="F135" i="10"/>
  <c r="E135" i="10"/>
  <c r="I135" i="10"/>
  <c r="H135" i="10"/>
  <c r="J135" i="10"/>
  <c r="L135" i="10"/>
  <c r="I133" i="10"/>
  <c r="H133" i="10"/>
  <c r="F133" i="10"/>
  <c r="E133" i="10"/>
  <c r="F132" i="10"/>
  <c r="H132" i="10"/>
  <c r="L129" i="10"/>
  <c r="M129" i="10" s="1"/>
  <c r="H127" i="10"/>
  <c r="F127" i="10"/>
  <c r="E126" i="10"/>
  <c r="D126" i="10"/>
  <c r="H125" i="10"/>
  <c r="F125" i="10"/>
  <c r="F124" i="10"/>
  <c r="E124" i="10"/>
  <c r="E108" i="10"/>
  <c r="H108" i="10"/>
  <c r="C108" i="10"/>
  <c r="D108" i="10"/>
  <c r="F108" i="10"/>
  <c r="E107" i="10"/>
  <c r="D107" i="10"/>
  <c r="F107" i="10"/>
  <c r="C107" i="10"/>
  <c r="B107" i="10"/>
  <c r="D106" i="10"/>
  <c r="C106" i="10"/>
  <c r="E106" i="10"/>
  <c r="F103" i="10"/>
  <c r="E103" i="10"/>
  <c r="H103" i="10"/>
  <c r="D103" i="10"/>
  <c r="H102" i="10"/>
  <c r="F102" i="10"/>
  <c r="E102" i="10"/>
  <c r="F101" i="10"/>
  <c r="H101" i="10"/>
  <c r="H99" i="10"/>
  <c r="F99" i="10"/>
  <c r="E98" i="10"/>
  <c r="F98" i="10"/>
  <c r="D98" i="10"/>
  <c r="E97" i="10"/>
  <c r="F97" i="10"/>
  <c r="H97" i="10"/>
  <c r="H96" i="10"/>
  <c r="E96" i="10"/>
  <c r="F96" i="10"/>
  <c r="D96" i="10"/>
  <c r="F84" i="10"/>
  <c r="D84" i="10"/>
  <c r="B84" i="10"/>
  <c r="C84" i="10"/>
  <c r="E84" i="10"/>
  <c r="F81" i="10"/>
  <c r="D81" i="10"/>
  <c r="H81" i="10"/>
  <c r="E81" i="10"/>
  <c r="C81" i="10"/>
  <c r="B81" i="10"/>
  <c r="F76" i="10"/>
  <c r="E76" i="10"/>
  <c r="H76" i="10"/>
  <c r="D72" i="10"/>
  <c r="E72" i="10"/>
  <c r="H69" i="10"/>
  <c r="F69" i="10"/>
  <c r="D69" i="10"/>
  <c r="E69" i="10"/>
  <c r="E67" i="10"/>
  <c r="H67" i="10"/>
  <c r="F67" i="10"/>
  <c r="F66" i="10"/>
  <c r="H66" i="10"/>
  <c r="F65" i="10"/>
  <c r="D65" i="10"/>
  <c r="C65" i="10"/>
  <c r="E65" i="10"/>
  <c r="D61" i="10"/>
  <c r="E61" i="10"/>
  <c r="C61" i="10"/>
  <c r="F53" i="10"/>
  <c r="C53" i="10"/>
  <c r="B53" i="10"/>
  <c r="D53" i="10"/>
  <c r="E53" i="10"/>
  <c r="E49" i="10"/>
  <c r="F49" i="10"/>
  <c r="E47" i="10"/>
  <c r="C47" i="10"/>
  <c r="H47" i="10"/>
  <c r="F47" i="10"/>
  <c r="D47" i="10"/>
  <c r="E43" i="10"/>
  <c r="H43" i="10"/>
  <c r="F43" i="10"/>
  <c r="D43" i="10"/>
  <c r="H42" i="10"/>
  <c r="F42" i="10"/>
  <c r="F41" i="10"/>
  <c r="C31" i="10"/>
  <c r="F31" i="10"/>
  <c r="E31" i="10"/>
  <c r="D30" i="10"/>
  <c r="C30" i="10"/>
  <c r="F30" i="10"/>
  <c r="E28" i="10"/>
  <c r="F28" i="10"/>
  <c r="F27" i="10"/>
  <c r="D27" i="10"/>
  <c r="E27" i="10"/>
  <c r="D26" i="10"/>
  <c r="E26" i="10"/>
  <c r="B23" i="10"/>
  <c r="D23" i="10"/>
  <c r="E23" i="10"/>
  <c r="F19" i="10"/>
  <c r="H19" i="10"/>
  <c r="D16" i="10"/>
  <c r="E16" i="10"/>
  <c r="D14" i="10"/>
  <c r="E14" i="10"/>
  <c r="C14" i="10"/>
  <c r="A1912" i="12"/>
  <c r="A1911" i="12"/>
  <c r="A1910" i="12"/>
  <c r="A1909" i="12"/>
  <c r="A1908" i="12"/>
  <c r="A1907" i="12"/>
  <c r="A1906" i="12"/>
  <c r="A1905" i="12"/>
  <c r="A1904" i="12"/>
  <c r="A1903" i="12"/>
  <c r="A1902" i="12"/>
  <c r="A1901" i="12"/>
  <c r="A1900" i="12"/>
  <c r="A1899" i="12"/>
  <c r="A1898" i="12"/>
  <c r="A1897" i="12"/>
  <c r="A1896" i="12"/>
  <c r="A1895" i="12"/>
  <c r="A1894" i="12"/>
  <c r="A1893" i="12"/>
  <c r="A1892" i="12"/>
  <c r="A1891" i="12"/>
  <c r="A1890" i="12"/>
  <c r="A1889" i="12"/>
  <c r="A1888" i="12"/>
  <c r="A1887" i="12"/>
  <c r="A1886" i="12"/>
  <c r="A1885" i="12"/>
  <c r="A1884" i="12"/>
  <c r="A1883" i="12"/>
  <c r="A1882" i="12"/>
  <c r="A1881" i="12"/>
  <c r="A1880" i="12"/>
  <c r="A1879" i="12"/>
  <c r="A1878" i="12"/>
  <c r="A1877" i="12"/>
  <c r="A1876" i="12"/>
  <c r="A1875" i="12"/>
  <c r="A1874" i="12"/>
  <c r="A1873" i="12"/>
  <c r="A1872" i="12"/>
  <c r="A1871" i="12"/>
  <c r="A1870" i="12"/>
  <c r="A1869" i="12"/>
  <c r="A1868" i="12"/>
  <c r="A1867" i="12"/>
  <c r="A1866" i="12"/>
  <c r="A1865" i="12"/>
  <c r="A1864" i="12"/>
  <c r="A1863" i="12"/>
  <c r="A1862" i="12"/>
  <c r="A1861" i="12"/>
  <c r="A1860" i="12"/>
  <c r="A1859" i="12"/>
  <c r="A1858" i="12"/>
  <c r="A1857" i="12"/>
  <c r="A1856" i="12"/>
  <c r="A1855" i="12"/>
  <c r="A1854" i="12"/>
  <c r="A1853" i="12"/>
  <c r="A1852" i="12"/>
  <c r="A1851" i="12"/>
  <c r="A1850" i="12"/>
  <c r="A1849" i="12"/>
  <c r="A1848" i="12"/>
  <c r="A1847" i="12"/>
  <c r="A1846" i="12"/>
  <c r="A1845" i="12"/>
  <c r="A1844" i="12"/>
  <c r="A1843" i="12"/>
  <c r="A1842" i="12"/>
  <c r="A1841" i="12"/>
  <c r="A1840" i="12"/>
  <c r="A1839" i="12"/>
  <c r="A1838" i="12"/>
  <c r="A1837" i="12"/>
  <c r="A1836" i="12"/>
  <c r="A1835" i="12"/>
  <c r="A1834" i="12"/>
  <c r="A1833" i="12"/>
  <c r="A1832" i="12"/>
  <c r="A1831" i="12"/>
  <c r="A1830" i="12"/>
  <c r="A1829" i="12"/>
  <c r="A1828" i="12"/>
  <c r="A1827" i="12"/>
  <c r="A1826" i="12"/>
  <c r="A1825" i="12"/>
  <c r="A1824" i="12"/>
  <c r="A1823" i="12"/>
  <c r="A1822" i="12"/>
  <c r="A1821" i="12"/>
  <c r="A1820" i="12"/>
  <c r="A1819" i="12"/>
  <c r="A1818" i="12"/>
  <c r="A1817" i="12"/>
  <c r="A1816" i="12"/>
  <c r="A1815" i="12"/>
  <c r="A1814" i="12"/>
  <c r="A1813" i="12"/>
  <c r="A1812" i="12"/>
  <c r="A1811" i="12"/>
  <c r="A1810" i="12"/>
  <c r="A1809" i="12"/>
  <c r="A1808" i="12"/>
  <c r="A1807" i="12"/>
  <c r="A1806" i="12"/>
  <c r="A1805" i="12"/>
  <c r="A1804" i="12"/>
  <c r="A1803" i="12"/>
  <c r="A1802" i="12"/>
  <c r="A1801" i="12"/>
  <c r="A1800" i="12"/>
  <c r="A1799" i="12"/>
  <c r="A1798" i="12"/>
  <c r="A1797" i="12"/>
  <c r="A1796" i="12"/>
  <c r="A1795" i="12"/>
  <c r="A1794" i="12"/>
  <c r="A1793" i="12"/>
  <c r="A1792" i="12"/>
  <c r="A1791" i="12"/>
  <c r="A1790" i="12"/>
  <c r="A1789" i="12"/>
  <c r="A1788" i="12"/>
  <c r="A1787" i="12"/>
  <c r="A1786" i="12"/>
  <c r="A1785" i="12"/>
  <c r="A1784" i="12"/>
  <c r="A1783" i="12"/>
  <c r="A1782" i="12"/>
  <c r="A1781" i="12"/>
  <c r="A1780" i="12"/>
  <c r="A1779" i="12"/>
  <c r="A1778" i="12"/>
  <c r="A1777" i="12"/>
  <c r="A1776" i="12"/>
  <c r="A1775" i="12"/>
  <c r="A1774" i="12"/>
  <c r="A1773" i="12"/>
  <c r="A1772" i="12"/>
  <c r="A1771" i="12"/>
  <c r="A1770" i="12"/>
  <c r="A1769" i="12"/>
  <c r="A1768" i="12"/>
  <c r="A1767" i="12"/>
  <c r="A1766" i="12"/>
  <c r="A1765" i="12"/>
  <c r="A1764" i="12"/>
  <c r="A1763" i="12"/>
  <c r="A1762" i="12"/>
  <c r="A1761" i="12"/>
  <c r="A1760" i="12"/>
  <c r="A1759" i="12"/>
  <c r="A1758" i="12"/>
  <c r="A1757" i="12"/>
  <c r="A1756" i="12"/>
  <c r="A1755" i="12"/>
  <c r="A1754" i="12"/>
  <c r="A1753" i="12"/>
  <c r="A1752" i="12"/>
  <c r="A1751" i="12"/>
  <c r="A1750" i="12"/>
  <c r="A1749" i="12"/>
  <c r="A1748" i="12"/>
  <c r="A1747" i="12"/>
  <c r="A1746" i="12"/>
  <c r="A1745" i="12"/>
  <c r="A1744" i="12"/>
  <c r="A1743" i="12"/>
  <c r="A1742" i="12"/>
  <c r="A1741" i="12"/>
  <c r="A1740" i="12"/>
  <c r="A1739" i="12"/>
  <c r="A1738" i="12"/>
  <c r="A1737" i="12"/>
  <c r="A1736" i="12"/>
  <c r="A1735" i="12"/>
  <c r="A1734" i="12"/>
  <c r="A1733" i="12"/>
  <c r="A1732" i="12"/>
  <c r="A1731" i="12"/>
  <c r="A1730" i="12"/>
  <c r="A1729" i="12"/>
  <c r="A1728" i="12"/>
  <c r="A1727" i="12"/>
  <c r="A1726" i="12"/>
  <c r="A1725" i="12"/>
  <c r="A1724" i="12"/>
  <c r="A1723" i="12"/>
  <c r="A1722" i="12"/>
  <c r="A1721" i="12"/>
  <c r="A1720" i="12"/>
  <c r="A1719" i="12"/>
  <c r="A1718" i="12"/>
  <c r="A1717" i="12"/>
  <c r="A1716" i="12"/>
  <c r="A1715" i="12"/>
  <c r="A1714" i="12"/>
  <c r="A1713" i="12"/>
  <c r="A1712" i="12"/>
  <c r="A1711" i="12"/>
  <c r="A1710" i="12"/>
  <c r="A1709" i="12"/>
  <c r="A1708" i="12"/>
  <c r="A1707" i="12"/>
  <c r="A1706" i="12"/>
  <c r="A1705" i="12"/>
  <c r="A1704" i="12"/>
  <c r="A1703" i="12"/>
  <c r="A1702" i="12"/>
  <c r="A1701" i="12"/>
  <c r="A1700" i="12"/>
  <c r="A1699" i="12"/>
  <c r="A1698" i="12"/>
  <c r="A1697" i="12"/>
  <c r="A1696" i="12"/>
  <c r="A1695" i="12"/>
  <c r="A1694" i="12"/>
  <c r="A1693" i="12"/>
  <c r="A1692" i="12"/>
  <c r="A1691" i="12"/>
  <c r="A1690" i="12"/>
  <c r="A1689" i="12"/>
  <c r="A1688" i="12"/>
  <c r="A1687" i="12"/>
  <c r="A1686" i="12"/>
  <c r="A1685" i="12"/>
  <c r="A1684" i="12"/>
  <c r="A1683" i="12"/>
  <c r="A1682" i="12"/>
  <c r="A1681" i="12"/>
  <c r="A1680" i="12"/>
  <c r="A1679" i="12"/>
  <c r="A1678" i="12"/>
  <c r="A1677" i="12"/>
  <c r="A1676" i="12"/>
  <c r="A1675" i="12"/>
  <c r="A1674" i="12"/>
  <c r="A1673" i="12"/>
  <c r="A1672" i="12"/>
  <c r="A1671" i="12"/>
  <c r="A1670" i="12"/>
  <c r="A1669" i="12"/>
  <c r="A1668" i="12"/>
  <c r="A1667" i="12"/>
  <c r="A1666" i="12"/>
  <c r="A1665" i="12"/>
  <c r="A1664" i="12"/>
  <c r="A1663" i="12"/>
  <c r="A1662" i="12"/>
  <c r="A1661" i="12"/>
  <c r="A1660" i="12"/>
  <c r="A1659" i="12"/>
  <c r="A1658" i="12"/>
  <c r="A1657" i="12"/>
  <c r="A1656" i="12"/>
  <c r="A1655" i="12"/>
  <c r="A1654" i="12"/>
  <c r="A1653" i="12"/>
  <c r="A1652" i="12"/>
  <c r="A1651" i="12"/>
  <c r="A1650" i="12"/>
  <c r="A1649" i="12"/>
  <c r="A1648" i="12"/>
  <c r="A1647" i="12"/>
  <c r="A1646" i="12"/>
  <c r="A1645" i="12"/>
  <c r="A1644" i="12"/>
  <c r="A1643" i="12"/>
  <c r="A1642" i="12"/>
  <c r="A1641" i="12"/>
  <c r="A1640" i="12"/>
  <c r="A1639" i="12"/>
  <c r="A1638" i="12"/>
  <c r="A1637" i="12"/>
  <c r="A1636" i="12"/>
  <c r="A1635" i="12"/>
  <c r="A1634" i="12"/>
  <c r="A1633" i="12"/>
  <c r="A1632" i="12"/>
  <c r="A1631" i="12"/>
  <c r="A1630" i="12"/>
  <c r="A1629" i="12"/>
  <c r="A1628" i="12"/>
  <c r="A1627" i="12"/>
  <c r="A1626" i="12"/>
  <c r="A1625" i="12"/>
  <c r="A1624" i="12"/>
  <c r="A1623" i="12"/>
  <c r="A1622" i="12"/>
  <c r="A1621" i="12"/>
  <c r="A1620" i="12"/>
  <c r="A1619" i="12"/>
  <c r="A1618" i="12"/>
  <c r="A1617" i="12"/>
  <c r="A1616" i="12"/>
  <c r="A1615" i="12"/>
  <c r="A1614" i="12"/>
  <c r="A1613" i="12"/>
  <c r="A1612" i="12"/>
  <c r="A1611" i="12"/>
  <c r="A1610" i="12"/>
  <c r="A1609" i="12"/>
  <c r="D598" i="10"/>
  <c r="C598" i="10"/>
  <c r="E597" i="10"/>
  <c r="F597" i="10"/>
  <c r="F596" i="10"/>
  <c r="E596" i="10"/>
  <c r="F595" i="10"/>
  <c r="I595" i="10"/>
  <c r="E595" i="10"/>
  <c r="H595" i="10"/>
  <c r="H594" i="10"/>
  <c r="F594" i="10"/>
  <c r="I594" i="10"/>
  <c r="D592" i="10"/>
  <c r="B592" i="10"/>
  <c r="I589" i="10"/>
  <c r="H589" i="10"/>
  <c r="F589" i="10"/>
  <c r="F587" i="10"/>
  <c r="E587" i="10"/>
  <c r="D587" i="10"/>
  <c r="I585" i="10"/>
  <c r="L585" i="10"/>
  <c r="J585" i="10"/>
  <c r="M583" i="10"/>
  <c r="F583" i="10"/>
  <c r="L583" i="10"/>
  <c r="H583" i="10"/>
  <c r="J583" i="10"/>
  <c r="I583" i="10"/>
  <c r="J581" i="10"/>
  <c r="H581" i="10"/>
  <c r="F581" i="10"/>
  <c r="I581" i="10"/>
  <c r="C580" i="10"/>
  <c r="E580" i="10"/>
  <c r="D580" i="10"/>
  <c r="E579" i="10"/>
  <c r="D579" i="10"/>
  <c r="F579" i="10"/>
  <c r="E578" i="10"/>
  <c r="F578" i="10"/>
  <c r="D577" i="10"/>
  <c r="F577" i="10"/>
  <c r="E577" i="10"/>
  <c r="C576" i="10"/>
  <c r="B576" i="10"/>
  <c r="H572" i="10"/>
  <c r="E572" i="10"/>
  <c r="I572" i="10"/>
  <c r="D572" i="10"/>
  <c r="J572" i="10"/>
  <c r="F572" i="10"/>
  <c r="E571" i="10"/>
  <c r="J571" i="10"/>
  <c r="I571" i="10"/>
  <c r="F571" i="10"/>
  <c r="H571" i="10"/>
  <c r="C570" i="10"/>
  <c r="D570" i="10"/>
  <c r="I569" i="10"/>
  <c r="J569" i="10"/>
  <c r="D566" i="10"/>
  <c r="E566" i="10"/>
  <c r="C565" i="10"/>
  <c r="D565" i="10"/>
  <c r="B565" i="10"/>
  <c r="D564" i="10"/>
  <c r="F564" i="10"/>
  <c r="E564" i="10"/>
  <c r="D563" i="10"/>
  <c r="E563" i="10"/>
  <c r="F563" i="10"/>
  <c r="I562" i="10"/>
  <c r="H562" i="10"/>
  <c r="J562" i="10"/>
  <c r="D559" i="10"/>
  <c r="F559" i="10"/>
  <c r="E559" i="10"/>
  <c r="J553" i="10"/>
  <c r="I553" i="10"/>
  <c r="F553" i="10"/>
  <c r="D553" i="10"/>
  <c r="H553" i="10"/>
  <c r="E553" i="10"/>
  <c r="D552" i="10"/>
  <c r="E552" i="10"/>
  <c r="C552" i="10"/>
  <c r="H551" i="10"/>
  <c r="F551" i="10"/>
  <c r="I551" i="10"/>
  <c r="H550" i="10"/>
  <c r="F550" i="10"/>
  <c r="C549" i="10"/>
  <c r="D549" i="10"/>
  <c r="H548" i="10"/>
  <c r="F548" i="10"/>
  <c r="D548" i="10"/>
  <c r="E548" i="10"/>
  <c r="D547" i="10"/>
  <c r="E547" i="10"/>
  <c r="B542" i="10"/>
  <c r="C542" i="10"/>
  <c r="I541" i="10"/>
  <c r="D541" i="10"/>
  <c r="F541" i="10"/>
  <c r="E541" i="10"/>
  <c r="H541" i="10"/>
  <c r="D539" i="10"/>
  <c r="F539" i="10"/>
  <c r="J539" i="10"/>
  <c r="I539" i="10"/>
  <c r="E539" i="10"/>
  <c r="H539" i="10"/>
  <c r="F537" i="10"/>
  <c r="H537" i="10"/>
  <c r="J537" i="10"/>
  <c r="E537" i="10"/>
  <c r="I537" i="10"/>
  <c r="H536" i="10"/>
  <c r="F536" i="10"/>
  <c r="E534" i="10"/>
  <c r="I534" i="10"/>
  <c r="F534" i="10"/>
  <c r="H534" i="10"/>
  <c r="J533" i="10"/>
  <c r="H533" i="10"/>
  <c r="I533" i="10"/>
  <c r="F532" i="10"/>
  <c r="H532" i="10"/>
  <c r="E532" i="10"/>
  <c r="I532" i="10"/>
  <c r="J532" i="10"/>
  <c r="B531" i="10"/>
  <c r="D531" i="10"/>
  <c r="E531" i="10"/>
  <c r="C531" i="10"/>
  <c r="F531" i="10"/>
  <c r="J529" i="10"/>
  <c r="I529" i="10"/>
  <c r="F529" i="10"/>
  <c r="L529" i="10"/>
  <c r="H529" i="10"/>
  <c r="L528" i="10"/>
  <c r="J528" i="10"/>
  <c r="J527" i="10"/>
  <c r="L527" i="10"/>
  <c r="P527" i="10"/>
  <c r="M527" i="10"/>
  <c r="D526" i="10"/>
  <c r="E526" i="10"/>
  <c r="C526" i="10"/>
  <c r="D525" i="10"/>
  <c r="E525" i="10"/>
  <c r="J523" i="10"/>
  <c r="I523" i="10"/>
  <c r="E522" i="10"/>
  <c r="D522" i="10"/>
  <c r="I521" i="10"/>
  <c r="F521" i="10"/>
  <c r="H521" i="10"/>
  <c r="J520" i="10"/>
  <c r="H520" i="10"/>
  <c r="I520" i="10"/>
  <c r="F520" i="10"/>
  <c r="E519" i="10"/>
  <c r="D519" i="10"/>
  <c r="C519" i="10"/>
  <c r="F519" i="10"/>
  <c r="H518" i="10"/>
  <c r="F518" i="10"/>
  <c r="L518" i="10"/>
  <c r="J518" i="10"/>
  <c r="I518" i="10"/>
  <c r="I517" i="10"/>
  <c r="H517" i="10"/>
  <c r="J517" i="10"/>
  <c r="D515" i="10"/>
  <c r="E515" i="10"/>
  <c r="C513" i="10"/>
  <c r="F513" i="10"/>
  <c r="E513" i="10"/>
  <c r="D513" i="10"/>
  <c r="J511" i="10"/>
  <c r="F511" i="10"/>
  <c r="H511" i="10"/>
  <c r="I511" i="10"/>
  <c r="E508" i="10"/>
  <c r="D508" i="10"/>
  <c r="H508" i="10"/>
  <c r="F508" i="10"/>
  <c r="F507" i="10"/>
  <c r="H507" i="10"/>
  <c r="J506" i="10"/>
  <c r="H506" i="10"/>
  <c r="E506" i="10"/>
  <c r="I506" i="10"/>
  <c r="B505" i="10"/>
  <c r="C505" i="10"/>
  <c r="F502" i="10"/>
  <c r="E502" i="10"/>
  <c r="D501" i="10"/>
  <c r="E501" i="10"/>
  <c r="E500" i="10"/>
  <c r="F500" i="10"/>
  <c r="H499" i="10"/>
  <c r="I499" i="10"/>
  <c r="J498" i="10"/>
  <c r="I498" i="10"/>
  <c r="H498" i="10"/>
  <c r="H496" i="10"/>
  <c r="E496" i="10"/>
  <c r="I496" i="10"/>
  <c r="C495" i="10"/>
  <c r="E495" i="10"/>
  <c r="D495" i="10"/>
  <c r="H495" i="10"/>
  <c r="F495" i="10"/>
  <c r="F493" i="10"/>
  <c r="E493" i="10"/>
  <c r="P490" i="10"/>
  <c r="M490" i="10"/>
  <c r="L490" i="10"/>
  <c r="Q490" i="10"/>
  <c r="D489" i="10"/>
  <c r="E489" i="10"/>
  <c r="D488" i="10"/>
  <c r="C488" i="10"/>
  <c r="F488" i="10"/>
  <c r="E488" i="10"/>
  <c r="I483" i="10"/>
  <c r="J483" i="10"/>
  <c r="J482" i="10"/>
  <c r="L482" i="10"/>
  <c r="E481" i="10"/>
  <c r="I481" i="10"/>
  <c r="H481" i="10"/>
  <c r="F481" i="10"/>
  <c r="P479" i="10"/>
  <c r="M479" i="10"/>
  <c r="Q479" i="10"/>
  <c r="D478" i="10"/>
  <c r="F478" i="10"/>
  <c r="J477" i="10"/>
  <c r="H477" i="10"/>
  <c r="L477" i="10"/>
  <c r="F477" i="10"/>
  <c r="P477" i="10"/>
  <c r="M477" i="10"/>
  <c r="I477" i="10"/>
  <c r="Q477" i="10"/>
  <c r="F476" i="10"/>
  <c r="E476" i="10"/>
  <c r="D476" i="10"/>
  <c r="H475" i="10"/>
  <c r="J475" i="10"/>
  <c r="F475" i="10"/>
  <c r="I475" i="10"/>
  <c r="I474" i="10"/>
  <c r="H474" i="10"/>
  <c r="H471" i="10"/>
  <c r="I471" i="10"/>
  <c r="H467" i="10"/>
  <c r="D467" i="10"/>
  <c r="E467" i="10"/>
  <c r="F467" i="10"/>
  <c r="I465" i="10"/>
  <c r="H465" i="10"/>
  <c r="F463" i="10"/>
  <c r="J463" i="10"/>
  <c r="I463" i="10"/>
  <c r="H463" i="10"/>
  <c r="H462" i="10"/>
  <c r="F462" i="10"/>
  <c r="I462" i="10"/>
  <c r="H461" i="10"/>
  <c r="F461" i="10"/>
  <c r="F459" i="10"/>
  <c r="E459" i="10"/>
  <c r="H458" i="10"/>
  <c r="E458" i="10"/>
  <c r="H456" i="10"/>
  <c r="F456" i="10"/>
  <c r="E453" i="10"/>
  <c r="F453" i="10"/>
  <c r="I450" i="10"/>
  <c r="H450" i="10"/>
  <c r="F450" i="10"/>
  <c r="E450" i="10"/>
  <c r="F449" i="10"/>
  <c r="E449" i="10"/>
  <c r="E447" i="10"/>
  <c r="F447" i="10"/>
  <c r="H447" i="10"/>
  <c r="D445" i="10"/>
  <c r="E445" i="10"/>
  <c r="J443" i="10"/>
  <c r="M443" i="10"/>
  <c r="H439" i="10"/>
  <c r="J439" i="10"/>
  <c r="I439" i="10"/>
  <c r="L439" i="10"/>
  <c r="F439" i="10"/>
  <c r="M439" i="10"/>
  <c r="I438" i="10"/>
  <c r="J438" i="10"/>
  <c r="L438" i="10"/>
  <c r="H438" i="10"/>
  <c r="I437" i="10"/>
  <c r="J437" i="10"/>
  <c r="H437" i="10"/>
  <c r="I435" i="10"/>
  <c r="H435" i="10"/>
  <c r="J435" i="10"/>
  <c r="J433" i="10"/>
  <c r="I433" i="10"/>
  <c r="M432" i="10"/>
  <c r="J432" i="10"/>
  <c r="L432" i="10"/>
  <c r="H432" i="10"/>
  <c r="H429" i="10"/>
  <c r="J429" i="10"/>
  <c r="L428" i="10"/>
  <c r="M428" i="10"/>
  <c r="P428" i="10"/>
  <c r="J426" i="10"/>
  <c r="I426" i="10"/>
  <c r="J424" i="10"/>
  <c r="M424" i="10"/>
  <c r="L424" i="10"/>
  <c r="F423" i="10"/>
  <c r="H423" i="10"/>
  <c r="I421" i="10"/>
  <c r="H421" i="10"/>
  <c r="F421" i="10"/>
  <c r="P420" i="10"/>
  <c r="M420" i="10"/>
  <c r="L420" i="10"/>
  <c r="H419" i="10"/>
  <c r="I419" i="10"/>
  <c r="J419" i="10"/>
  <c r="I418" i="10"/>
  <c r="F418" i="10"/>
  <c r="H418" i="10"/>
  <c r="J418" i="10"/>
  <c r="M413" i="10"/>
  <c r="L413" i="10"/>
  <c r="J413" i="10"/>
  <c r="M412" i="10"/>
  <c r="P412" i="10"/>
  <c r="L412" i="10"/>
  <c r="J412" i="10"/>
  <c r="M411" i="10"/>
  <c r="L411" i="10"/>
  <c r="F410" i="10"/>
  <c r="C410" i="10"/>
  <c r="E410" i="10"/>
  <c r="D410" i="10"/>
  <c r="Q408" i="10"/>
  <c r="P408" i="10"/>
  <c r="J407" i="10"/>
  <c r="H407" i="10"/>
  <c r="L407" i="10"/>
  <c r="I407" i="10"/>
  <c r="M407" i="10"/>
  <c r="F406" i="10"/>
  <c r="E406" i="10"/>
  <c r="F405" i="10"/>
  <c r="D405" i="10"/>
  <c r="E405" i="10"/>
  <c r="I402" i="10"/>
  <c r="J402" i="10"/>
  <c r="E402" i="10"/>
  <c r="H402" i="10"/>
  <c r="H399" i="10"/>
  <c r="I399" i="10"/>
  <c r="J399" i="10"/>
  <c r="L399" i="10"/>
  <c r="P398" i="10"/>
  <c r="M398" i="10"/>
  <c r="L398" i="10"/>
  <c r="Q398" i="10"/>
  <c r="J398" i="10"/>
  <c r="E396" i="10"/>
  <c r="F396" i="10"/>
  <c r="L395" i="10"/>
  <c r="J395" i="10"/>
  <c r="L393" i="10"/>
  <c r="J393" i="10"/>
  <c r="E392" i="10"/>
  <c r="H392" i="10"/>
  <c r="F392" i="10"/>
  <c r="H391" i="10"/>
  <c r="I391" i="10"/>
  <c r="J391" i="10"/>
  <c r="F390" i="10"/>
  <c r="H390" i="10"/>
  <c r="J389" i="10"/>
  <c r="I389" i="10"/>
  <c r="L388" i="10"/>
  <c r="J388" i="10"/>
  <c r="L387" i="10"/>
  <c r="J387" i="10"/>
  <c r="I387" i="10"/>
  <c r="H387" i="10"/>
  <c r="I386" i="10"/>
  <c r="H386" i="10"/>
  <c r="I380" i="10"/>
  <c r="H380" i="10"/>
  <c r="J379" i="10"/>
  <c r="M379" i="10"/>
  <c r="L379" i="10"/>
  <c r="P379" i="10"/>
  <c r="H378" i="10"/>
  <c r="I378" i="10"/>
  <c r="L377" i="10"/>
  <c r="M377" i="10"/>
  <c r="F374" i="10"/>
  <c r="D374" i="10"/>
  <c r="E374" i="10"/>
  <c r="F372" i="10"/>
  <c r="E372" i="10"/>
  <c r="H371" i="10"/>
  <c r="J371" i="10"/>
  <c r="I371" i="10"/>
  <c r="L371" i="10"/>
  <c r="H364" i="10"/>
  <c r="I364" i="10"/>
  <c r="E362" i="10"/>
  <c r="D362" i="10"/>
  <c r="F362" i="10"/>
  <c r="I360" i="10"/>
  <c r="L360" i="10"/>
  <c r="M360" i="10"/>
  <c r="J360" i="10"/>
  <c r="L357" i="10"/>
  <c r="J357" i="10"/>
  <c r="I356" i="10"/>
  <c r="L356" i="10"/>
  <c r="J356" i="10"/>
  <c r="P355" i="10"/>
  <c r="L355" i="10"/>
  <c r="J355" i="10"/>
  <c r="I355" i="10"/>
  <c r="M355" i="10"/>
  <c r="I354" i="10"/>
  <c r="F354" i="10"/>
  <c r="J347" i="10"/>
  <c r="M347" i="10"/>
  <c r="L347" i="10"/>
  <c r="H347" i="10"/>
  <c r="I347" i="10"/>
  <c r="M344" i="10"/>
  <c r="L344" i="10"/>
  <c r="H343" i="10"/>
  <c r="E343" i="10"/>
  <c r="F343" i="10"/>
  <c r="I343" i="10"/>
  <c r="C343" i="10"/>
  <c r="D343" i="10"/>
  <c r="L342" i="10"/>
  <c r="J342" i="10"/>
  <c r="I342" i="10"/>
  <c r="H341" i="10"/>
  <c r="I341" i="10"/>
  <c r="J340" i="10"/>
  <c r="M340" i="10"/>
  <c r="L340" i="10"/>
  <c r="I340" i="10"/>
  <c r="P340" i="10"/>
  <c r="E339" i="10"/>
  <c r="F339" i="10"/>
  <c r="H339" i="10"/>
  <c r="H335" i="10"/>
  <c r="I335" i="10"/>
  <c r="F335" i="10"/>
  <c r="J335" i="10"/>
  <c r="J333" i="10"/>
  <c r="H333" i="10"/>
  <c r="E333" i="10"/>
  <c r="F333" i="10"/>
  <c r="J332" i="10"/>
  <c r="L332" i="10"/>
  <c r="M331" i="10"/>
  <c r="P331" i="10"/>
  <c r="P328" i="10"/>
  <c r="I328" i="10"/>
  <c r="H328" i="10"/>
  <c r="J328" i="10"/>
  <c r="M328" i="10"/>
  <c r="Q328" i="10"/>
  <c r="L328" i="10"/>
  <c r="F328" i="10"/>
  <c r="F327" i="10"/>
  <c r="I327" i="10"/>
  <c r="H327" i="10"/>
  <c r="E327" i="10"/>
  <c r="H326" i="10"/>
  <c r="I326" i="10"/>
  <c r="F326" i="10"/>
  <c r="J326" i="10"/>
  <c r="M324" i="10"/>
  <c r="L324" i="10"/>
  <c r="E321" i="10"/>
  <c r="D321" i="10"/>
  <c r="L320" i="10"/>
  <c r="J320" i="10"/>
  <c r="M320" i="10"/>
  <c r="M319" i="10"/>
  <c r="L319" i="10"/>
  <c r="I316" i="10"/>
  <c r="J316" i="10"/>
  <c r="F316" i="10"/>
  <c r="F315" i="10"/>
  <c r="I315" i="10"/>
  <c r="H315" i="10"/>
  <c r="I313" i="10"/>
  <c r="H313" i="10"/>
  <c r="I312" i="10"/>
  <c r="H312" i="10"/>
  <c r="F311" i="10"/>
  <c r="E311" i="10"/>
  <c r="J310" i="10"/>
  <c r="H310" i="10"/>
  <c r="I310" i="10"/>
  <c r="J309" i="10"/>
  <c r="I309" i="10"/>
  <c r="L309" i="10"/>
  <c r="J308" i="10"/>
  <c r="L308" i="10"/>
  <c r="L307" i="10"/>
  <c r="P307" i="10"/>
  <c r="Q307" i="10"/>
  <c r="M307" i="10"/>
  <c r="L306" i="10"/>
  <c r="J306" i="10"/>
  <c r="I306" i="10"/>
  <c r="M306" i="10"/>
  <c r="H306" i="10"/>
  <c r="I305" i="10"/>
  <c r="H305" i="10"/>
  <c r="H304" i="10"/>
  <c r="F304" i="10"/>
  <c r="J303" i="10"/>
  <c r="L303" i="10"/>
  <c r="I301" i="10"/>
  <c r="J301" i="10"/>
  <c r="H301" i="10"/>
  <c r="L301" i="10"/>
  <c r="M301" i="10"/>
  <c r="F300" i="10"/>
  <c r="H300" i="10"/>
  <c r="I300" i="10"/>
  <c r="H298" i="10"/>
  <c r="J298" i="10"/>
  <c r="I298" i="10"/>
  <c r="M297" i="10"/>
  <c r="I297" i="10"/>
  <c r="H297" i="10"/>
  <c r="J297" i="10"/>
  <c r="P297" i="10"/>
  <c r="L297" i="10"/>
  <c r="E296" i="10"/>
  <c r="F296" i="10"/>
  <c r="D294" i="10"/>
  <c r="F294" i="10"/>
  <c r="F293" i="10"/>
  <c r="H293" i="10"/>
  <c r="L293" i="10"/>
  <c r="J293" i="10"/>
  <c r="I293" i="10"/>
  <c r="L291" i="10"/>
  <c r="H291" i="10"/>
  <c r="Q291" i="10"/>
  <c r="M291" i="10"/>
  <c r="J291" i="10"/>
  <c r="I291" i="10"/>
  <c r="P291" i="10"/>
  <c r="J290" i="10"/>
  <c r="I290" i="10"/>
  <c r="H290" i="10"/>
  <c r="L289" i="10"/>
  <c r="J289" i="10"/>
  <c r="M289" i="10"/>
  <c r="F289" i="10"/>
  <c r="D289" i="10"/>
  <c r="I289" i="10"/>
  <c r="H289" i="10"/>
  <c r="E289" i="10"/>
  <c r="I288" i="10"/>
  <c r="H288" i="10"/>
  <c r="Q287" i="10"/>
  <c r="M287" i="10"/>
  <c r="P287" i="10"/>
  <c r="E285" i="10"/>
  <c r="D285" i="10"/>
  <c r="F284" i="10"/>
  <c r="I284" i="10"/>
  <c r="E284" i="10"/>
  <c r="H284" i="10"/>
  <c r="E283" i="10"/>
  <c r="D283" i="10"/>
  <c r="H282" i="10"/>
  <c r="I282" i="10"/>
  <c r="F281" i="10"/>
  <c r="H281" i="10"/>
  <c r="E281" i="10"/>
  <c r="J279" i="10"/>
  <c r="H279" i="10"/>
  <c r="F278" i="10"/>
  <c r="E278" i="10"/>
  <c r="D278" i="10"/>
  <c r="H278" i="10"/>
  <c r="M277" i="10"/>
  <c r="L277" i="10"/>
  <c r="F275" i="10"/>
  <c r="E275" i="10"/>
  <c r="H275" i="10"/>
  <c r="I272" i="10"/>
  <c r="L272" i="10"/>
  <c r="M272" i="10"/>
  <c r="H272" i="10"/>
  <c r="J272" i="10"/>
  <c r="H271" i="10"/>
  <c r="E271" i="10"/>
  <c r="D271" i="10"/>
  <c r="F271" i="10"/>
  <c r="F270" i="10"/>
  <c r="H270" i="10"/>
  <c r="I269" i="10"/>
  <c r="H269" i="10"/>
  <c r="L267" i="10"/>
  <c r="J267" i="10"/>
  <c r="I267" i="10"/>
  <c r="L266" i="10"/>
  <c r="I266" i="10"/>
  <c r="J266" i="10"/>
  <c r="H265" i="10"/>
  <c r="I265" i="10"/>
  <c r="I263" i="10"/>
  <c r="J263" i="10"/>
  <c r="L263" i="10"/>
  <c r="J260" i="10"/>
  <c r="H260" i="10"/>
  <c r="I260" i="10"/>
  <c r="C258" i="10"/>
  <c r="D258" i="10"/>
  <c r="E258" i="10"/>
  <c r="L257" i="10"/>
  <c r="J257" i="10"/>
  <c r="H257" i="10"/>
  <c r="F257" i="10"/>
  <c r="I257" i="10"/>
  <c r="M255" i="10"/>
  <c r="P255" i="10"/>
  <c r="Q255" i="10"/>
  <c r="L255" i="10"/>
  <c r="F252" i="10"/>
  <c r="H252" i="10"/>
  <c r="I252" i="10"/>
  <c r="E252" i="10"/>
  <c r="J252" i="10"/>
  <c r="E251" i="10"/>
  <c r="D251" i="10"/>
  <c r="C251" i="10"/>
  <c r="B251" i="10"/>
  <c r="J250" i="10"/>
  <c r="L250" i="10"/>
  <c r="I250" i="10"/>
  <c r="M250" i="10"/>
  <c r="I249" i="10"/>
  <c r="L249" i="10"/>
  <c r="J249" i="10"/>
  <c r="H249" i="10"/>
  <c r="F249" i="10"/>
  <c r="F248" i="10"/>
  <c r="H248" i="10"/>
  <c r="J247" i="10"/>
  <c r="F247" i="10"/>
  <c r="I247" i="10"/>
  <c r="H247" i="10"/>
  <c r="E246" i="10"/>
  <c r="F246" i="10"/>
  <c r="D246" i="10"/>
  <c r="F245" i="10"/>
  <c r="E245" i="10"/>
  <c r="D245" i="10"/>
  <c r="Q244" i="10"/>
  <c r="F244" i="10"/>
  <c r="J244" i="10"/>
  <c r="M244" i="10"/>
  <c r="H244" i="10"/>
  <c r="P244" i="10"/>
  <c r="I244" i="10"/>
  <c r="L244" i="10"/>
  <c r="C243" i="10"/>
  <c r="J243" i="10"/>
  <c r="F243" i="10"/>
  <c r="D243" i="10"/>
  <c r="E243" i="10"/>
  <c r="I243" i="10"/>
  <c r="H243" i="10"/>
  <c r="E242" i="10"/>
  <c r="H242" i="10"/>
  <c r="F242" i="10"/>
  <c r="H241" i="10"/>
  <c r="I241" i="10"/>
  <c r="I239" i="10"/>
  <c r="J239" i="10"/>
  <c r="F238" i="10"/>
  <c r="H238" i="10"/>
  <c r="H236" i="10"/>
  <c r="L236" i="10"/>
  <c r="J236" i="10"/>
  <c r="I236" i="10"/>
  <c r="M235" i="10"/>
  <c r="J235" i="10"/>
  <c r="L235" i="10"/>
  <c r="F234" i="10"/>
  <c r="I234" i="10"/>
  <c r="E234" i="10"/>
  <c r="J233" i="10"/>
  <c r="E233" i="10"/>
  <c r="H233" i="10"/>
  <c r="L233" i="10"/>
  <c r="I233" i="10"/>
  <c r="H232" i="10"/>
  <c r="E232" i="10"/>
  <c r="J232" i="10"/>
  <c r="L232" i="10"/>
  <c r="I232" i="10"/>
  <c r="F232" i="10"/>
  <c r="I230" i="10"/>
  <c r="J230" i="10"/>
  <c r="L230" i="10"/>
  <c r="J228" i="10"/>
  <c r="I228" i="10"/>
  <c r="H228" i="10"/>
  <c r="P225" i="10"/>
  <c r="M225" i="10"/>
  <c r="J221" i="10"/>
  <c r="I221" i="10"/>
  <c r="J220" i="10"/>
  <c r="H220" i="10"/>
  <c r="F220" i="10"/>
  <c r="I220" i="10"/>
  <c r="F219" i="10"/>
  <c r="D219" i="10"/>
  <c r="I219" i="10"/>
  <c r="E219" i="10"/>
  <c r="J219" i="10"/>
  <c r="H219" i="10"/>
  <c r="Q217" i="10"/>
  <c r="P217" i="10"/>
  <c r="J216" i="10"/>
  <c r="I216" i="10"/>
  <c r="Q214" i="10"/>
  <c r="P214" i="10"/>
  <c r="D213" i="10"/>
  <c r="E213" i="10"/>
  <c r="F213" i="10"/>
  <c r="I209" i="10"/>
  <c r="H209" i="10"/>
  <c r="E209" i="10"/>
  <c r="F209" i="10"/>
  <c r="I208" i="10"/>
  <c r="L208" i="10"/>
  <c r="J208" i="10"/>
  <c r="H208" i="10"/>
  <c r="P208" i="10"/>
  <c r="F208" i="10"/>
  <c r="M208" i="10"/>
  <c r="D206" i="10"/>
  <c r="E206" i="10"/>
  <c r="P202" i="10"/>
  <c r="Q202" i="10"/>
  <c r="E200" i="10"/>
  <c r="I200" i="10"/>
  <c r="H200" i="10"/>
  <c r="F200" i="10"/>
  <c r="E197" i="10"/>
  <c r="D197" i="10"/>
  <c r="F197" i="10"/>
  <c r="H197" i="10"/>
  <c r="E196" i="10"/>
  <c r="F196" i="10"/>
  <c r="J194" i="10"/>
  <c r="I194" i="10"/>
  <c r="H194" i="10"/>
  <c r="J192" i="10"/>
  <c r="H192" i="10"/>
  <c r="I192" i="10"/>
  <c r="H189" i="10"/>
  <c r="E189" i="10"/>
  <c r="K189" i="10"/>
  <c r="G189" i="10"/>
  <c r="M189" i="10"/>
  <c r="I189" i="10"/>
  <c r="J189" i="10"/>
  <c r="L189" i="10"/>
  <c r="F189" i="10"/>
  <c r="H188" i="10"/>
  <c r="G188" i="10"/>
  <c r="I188" i="10"/>
  <c r="F188" i="10"/>
  <c r="K188" i="10"/>
  <c r="G187" i="10"/>
  <c r="K187" i="10"/>
  <c r="E186" i="10"/>
  <c r="D186" i="10"/>
  <c r="F186" i="10"/>
  <c r="K186" i="10"/>
  <c r="G186" i="10"/>
  <c r="K185" i="10"/>
  <c r="G185" i="10"/>
  <c r="K184" i="10"/>
  <c r="G184" i="10"/>
  <c r="E183" i="10"/>
  <c r="F183" i="10"/>
  <c r="K183" i="10"/>
  <c r="G183" i="10"/>
  <c r="E182" i="10"/>
  <c r="K182" i="10"/>
  <c r="F182" i="10"/>
  <c r="G182" i="10"/>
  <c r="H181" i="10"/>
  <c r="E181" i="10"/>
  <c r="D181" i="10"/>
  <c r="K181" i="10"/>
  <c r="G181" i="10"/>
  <c r="J181" i="10"/>
  <c r="I181" i="10"/>
  <c r="F181" i="10"/>
  <c r="G180" i="10"/>
  <c r="K180" i="10"/>
  <c r="F179" i="10"/>
  <c r="K179" i="10"/>
  <c r="H179" i="10"/>
  <c r="G179" i="10"/>
  <c r="K178" i="10"/>
  <c r="G178" i="10"/>
  <c r="D178" i="10"/>
  <c r="K177" i="10"/>
  <c r="F177" i="10"/>
  <c r="G177" i="10"/>
  <c r="H177" i="10"/>
  <c r="F176" i="10"/>
  <c r="G176" i="10"/>
  <c r="E176" i="10"/>
  <c r="K176" i="10"/>
  <c r="H176" i="10"/>
  <c r="D176" i="10"/>
  <c r="K175" i="10"/>
  <c r="G175" i="10"/>
  <c r="D175" i="10"/>
  <c r="E174" i="10"/>
  <c r="F174" i="10"/>
  <c r="I174" i="10"/>
  <c r="G174" i="10"/>
  <c r="H174" i="10"/>
  <c r="K174" i="10"/>
  <c r="H173" i="10"/>
  <c r="E173" i="10"/>
  <c r="D173" i="10"/>
  <c r="F173" i="10"/>
  <c r="I173" i="10"/>
  <c r="K173" i="10"/>
  <c r="G173" i="10"/>
  <c r="K172" i="10"/>
  <c r="F172" i="10"/>
  <c r="E172" i="10"/>
  <c r="G172" i="10"/>
  <c r="G171" i="10"/>
  <c r="D171" i="10"/>
  <c r="K171" i="10"/>
  <c r="G170" i="10"/>
  <c r="K170" i="10"/>
  <c r="G169" i="10"/>
  <c r="E169" i="10"/>
  <c r="K169" i="10"/>
  <c r="K168" i="10"/>
  <c r="G168" i="10"/>
  <c r="D168" i="10"/>
  <c r="G167" i="10"/>
  <c r="K167" i="10"/>
  <c r="G166" i="10"/>
  <c r="D166" i="10"/>
  <c r="K166" i="10"/>
  <c r="A166" i="11"/>
  <c r="K165" i="10"/>
  <c r="B165" i="10"/>
  <c r="G165" i="10"/>
  <c r="H164" i="10"/>
  <c r="F164" i="10"/>
  <c r="E164" i="10"/>
  <c r="K164" i="10"/>
  <c r="J164" i="10"/>
  <c r="I164" i="10"/>
  <c r="G164" i="10"/>
  <c r="D164" i="10"/>
  <c r="E163" i="10"/>
  <c r="G163" i="10"/>
  <c r="K163" i="10"/>
  <c r="D163" i="10"/>
  <c r="L162" i="10"/>
  <c r="I162" i="10"/>
  <c r="K162" i="10"/>
  <c r="J162" i="10"/>
  <c r="G162" i="10"/>
  <c r="H162" i="10"/>
  <c r="I161" i="10"/>
  <c r="L161" i="10"/>
  <c r="F161" i="10"/>
  <c r="K161" i="10"/>
  <c r="J161" i="10"/>
  <c r="H161" i="10"/>
  <c r="G161" i="10"/>
  <c r="E161" i="10"/>
  <c r="A161" i="11"/>
  <c r="C160" i="10"/>
  <c r="K160" i="10"/>
  <c r="D160" i="10"/>
  <c r="G160" i="10"/>
  <c r="B160" i="10"/>
  <c r="I159" i="10"/>
  <c r="K159" i="10"/>
  <c r="G159" i="10"/>
  <c r="H159" i="10"/>
  <c r="F159" i="10"/>
  <c r="K158" i="10"/>
  <c r="J158" i="10"/>
  <c r="D158" i="10"/>
  <c r="G158" i="10"/>
  <c r="E158" i="10"/>
  <c r="F158" i="10"/>
  <c r="I158" i="10"/>
  <c r="H158" i="10"/>
  <c r="C157" i="10"/>
  <c r="D157" i="10"/>
  <c r="G157" i="10"/>
  <c r="K157" i="10"/>
  <c r="D156" i="10"/>
  <c r="K156" i="10"/>
  <c r="E156" i="10"/>
  <c r="G156" i="10"/>
  <c r="K155" i="10"/>
  <c r="E155" i="10"/>
  <c r="H155" i="10"/>
  <c r="I155" i="10"/>
  <c r="F155" i="10"/>
  <c r="G155" i="10"/>
  <c r="I154" i="10"/>
  <c r="G154" i="10"/>
  <c r="D154" i="10"/>
  <c r="F154" i="10"/>
  <c r="E154" i="10"/>
  <c r="H154" i="10"/>
  <c r="J154" i="10"/>
  <c r="K154" i="10"/>
  <c r="G153" i="10"/>
  <c r="K153" i="10"/>
  <c r="K152" i="10"/>
  <c r="F152" i="10"/>
  <c r="E152" i="10"/>
  <c r="G152" i="10"/>
  <c r="E151" i="10"/>
  <c r="F151" i="10"/>
  <c r="C151" i="10"/>
  <c r="D151" i="10"/>
  <c r="G151" i="10"/>
  <c r="K151" i="10"/>
  <c r="F150" i="10"/>
  <c r="E150" i="10"/>
  <c r="K150" i="10"/>
  <c r="D150" i="10"/>
  <c r="G150" i="10"/>
  <c r="G149" i="10"/>
  <c r="D149" i="10"/>
  <c r="K149" i="10"/>
  <c r="D148" i="10"/>
  <c r="K148" i="10"/>
  <c r="C148" i="10"/>
  <c r="G148" i="10"/>
  <c r="H147" i="10"/>
  <c r="E147" i="10"/>
  <c r="F147" i="10"/>
  <c r="G147" i="10"/>
  <c r="K147" i="10"/>
  <c r="G146" i="10"/>
  <c r="H146" i="10"/>
  <c r="I146" i="10"/>
  <c r="K146" i="10"/>
  <c r="K145" i="10"/>
  <c r="E145" i="10"/>
  <c r="D145" i="10"/>
  <c r="F145" i="10"/>
  <c r="G145" i="10"/>
  <c r="G144" i="10"/>
  <c r="L144" i="10"/>
  <c r="F144" i="10"/>
  <c r="H144" i="10"/>
  <c r="K144" i="10"/>
  <c r="G143" i="10"/>
  <c r="K143" i="10"/>
  <c r="H143" i="10"/>
  <c r="L142" i="10"/>
  <c r="F142" i="10"/>
  <c r="E142" i="10"/>
  <c r="G142" i="10"/>
  <c r="I142" i="10"/>
  <c r="H142" i="10"/>
  <c r="K142" i="10"/>
  <c r="G141" i="10"/>
  <c r="K141" i="10"/>
  <c r="E141" i="10"/>
  <c r="F141" i="10"/>
  <c r="H141" i="10"/>
  <c r="G140" i="10"/>
  <c r="K140" i="10"/>
  <c r="C140" i="10"/>
  <c r="E140" i="10"/>
  <c r="D140" i="10"/>
  <c r="H139" i="10"/>
  <c r="E139" i="10"/>
  <c r="D139" i="10"/>
  <c r="G139" i="10"/>
  <c r="I139" i="10"/>
  <c r="K139" i="10"/>
  <c r="F139" i="10"/>
  <c r="G138" i="10"/>
  <c r="D138" i="10"/>
  <c r="F138" i="10"/>
  <c r="K138" i="10"/>
  <c r="E138" i="10"/>
  <c r="G137" i="10"/>
  <c r="K137" i="10"/>
  <c r="D137" i="10"/>
  <c r="D136" i="10"/>
  <c r="F136" i="10"/>
  <c r="G136" i="10"/>
  <c r="K136" i="10"/>
  <c r="E136" i="10"/>
  <c r="C135" i="10"/>
  <c r="D135" i="10"/>
  <c r="K135" i="10"/>
  <c r="G135" i="10"/>
  <c r="G134" i="10"/>
  <c r="C134" i="10"/>
  <c r="F134" i="10"/>
  <c r="E134" i="10"/>
  <c r="D134" i="10"/>
  <c r="K134" i="10"/>
  <c r="G133" i="10"/>
  <c r="D133" i="10"/>
  <c r="K133" i="10"/>
  <c r="C132" i="10"/>
  <c r="E132" i="10"/>
  <c r="G132" i="10"/>
  <c r="D132" i="10"/>
  <c r="K132" i="10"/>
  <c r="E131" i="10"/>
  <c r="G131" i="10"/>
  <c r="K131" i="10"/>
  <c r="F131" i="10"/>
  <c r="G130" i="10"/>
  <c r="D130" i="10"/>
  <c r="K130" i="10"/>
  <c r="G129" i="10"/>
  <c r="K129" i="10"/>
  <c r="F129" i="10"/>
  <c r="E128" i="10"/>
  <c r="H128" i="10"/>
  <c r="F128" i="10"/>
  <c r="K128" i="10"/>
  <c r="G128" i="10"/>
  <c r="G127" i="10"/>
  <c r="E127" i="10"/>
  <c r="K127" i="10"/>
  <c r="G126" i="10"/>
  <c r="C126" i="10"/>
  <c r="K126" i="10"/>
  <c r="K125" i="10"/>
  <c r="G125" i="10"/>
  <c r="E125" i="10"/>
  <c r="G124" i="10"/>
  <c r="K124" i="10"/>
  <c r="A124" i="11"/>
  <c r="G120" i="10"/>
  <c r="K120" i="10"/>
  <c r="D120" i="10"/>
  <c r="G119" i="10"/>
  <c r="K119" i="10"/>
  <c r="H118" i="10"/>
  <c r="G118" i="10"/>
  <c r="K118" i="10"/>
  <c r="A118" i="11"/>
  <c r="E117" i="10"/>
  <c r="D117" i="10"/>
  <c r="K117" i="10"/>
  <c r="C117" i="10"/>
  <c r="C118" i="11" s="1"/>
  <c r="G117" i="10"/>
  <c r="B117" i="10"/>
  <c r="B118" i="11" s="1"/>
  <c r="H117" i="10"/>
  <c r="F117" i="10"/>
  <c r="E118" i="11" s="1"/>
  <c r="A117" i="11"/>
  <c r="E116" i="10"/>
  <c r="G116" i="10"/>
  <c r="C116" i="10"/>
  <c r="B116" i="10"/>
  <c r="K116" i="10"/>
  <c r="F116" i="10"/>
  <c r="D116" i="10"/>
  <c r="H116" i="10"/>
  <c r="A116" i="11"/>
  <c r="K115" i="10"/>
  <c r="H115" i="10"/>
  <c r="C115" i="10"/>
  <c r="C116" i="11" s="1"/>
  <c r="F115" i="10"/>
  <c r="D115" i="10"/>
  <c r="B115" i="10"/>
  <c r="B116" i="11" s="1"/>
  <c r="E115" i="10"/>
  <c r="G116" i="11" s="1"/>
  <c r="G115" i="10"/>
  <c r="G114" i="10"/>
  <c r="K114" i="10"/>
  <c r="K113" i="10"/>
  <c r="F113" i="10"/>
  <c r="G113" i="10"/>
  <c r="E113" i="10"/>
  <c r="C113" i="10"/>
  <c r="H113" i="10"/>
  <c r="D113" i="10"/>
  <c r="A113" i="11"/>
  <c r="D112" i="10"/>
  <c r="F112" i="10"/>
  <c r="E112" i="10"/>
  <c r="C112" i="10"/>
  <c r="G112" i="10"/>
  <c r="K112" i="10"/>
  <c r="H112" i="10"/>
  <c r="B112" i="10"/>
  <c r="B113" i="11" s="1"/>
  <c r="A112" i="11"/>
  <c r="B111" i="10"/>
  <c r="B112" i="11" s="1"/>
  <c r="D111" i="10"/>
  <c r="I112" i="11" s="1"/>
  <c r="K111" i="10"/>
  <c r="H111" i="10"/>
  <c r="F111" i="10"/>
  <c r="E112" i="11" s="1"/>
  <c r="E111" i="10"/>
  <c r="G112" i="11" s="1"/>
  <c r="G111" i="10"/>
  <c r="C111" i="10"/>
  <c r="C112" i="11" s="1"/>
  <c r="A111" i="11"/>
  <c r="F110" i="10"/>
  <c r="B110" i="10"/>
  <c r="B111" i="11" s="1"/>
  <c r="D110" i="10"/>
  <c r="I111" i="11" s="1"/>
  <c r="C110" i="10"/>
  <c r="C111" i="11" s="1"/>
  <c r="E110" i="10"/>
  <c r="G111" i="11" s="1"/>
  <c r="H110" i="10"/>
  <c r="K110" i="10"/>
  <c r="G110" i="10"/>
  <c r="A110" i="11"/>
  <c r="G109" i="10"/>
  <c r="I109" i="10" s="1"/>
  <c r="C109" i="10"/>
  <c r="C110" i="11" s="1"/>
  <c r="E109" i="10"/>
  <c r="G110" i="11" s="1"/>
  <c r="D109" i="10"/>
  <c r="I110" i="11" s="1"/>
  <c r="F109" i="10"/>
  <c r="E110" i="11" s="1"/>
  <c r="B109" i="10"/>
  <c r="B110" i="11" s="1"/>
  <c r="K109" i="10"/>
  <c r="K108" i="10"/>
  <c r="G108" i="10"/>
  <c r="B108" i="10"/>
  <c r="A108" i="11"/>
  <c r="G107" i="10"/>
  <c r="I107" i="10" s="1"/>
  <c r="K107" i="10"/>
  <c r="B106" i="10"/>
  <c r="K106" i="10"/>
  <c r="G106" i="10"/>
  <c r="G105" i="10"/>
  <c r="I105" i="10" s="1"/>
  <c r="B105" i="10"/>
  <c r="K105" i="10"/>
  <c r="A105" i="11"/>
  <c r="B104" i="10"/>
  <c r="E104" i="10"/>
  <c r="C104" i="10"/>
  <c r="D104" i="10"/>
  <c r="I105" i="11" s="1"/>
  <c r="G104" i="10"/>
  <c r="K104" i="10"/>
  <c r="A104" i="11"/>
  <c r="B103" i="10"/>
  <c r="C103" i="10"/>
  <c r="K103" i="10"/>
  <c r="G103" i="10"/>
  <c r="A103" i="11"/>
  <c r="B102" i="10"/>
  <c r="G102" i="10"/>
  <c r="K102" i="10"/>
  <c r="C102" i="10"/>
  <c r="C103" i="11" s="1"/>
  <c r="D102" i="10"/>
  <c r="I103" i="11" s="1"/>
  <c r="A102" i="11"/>
  <c r="G101" i="10"/>
  <c r="D101" i="10"/>
  <c r="B101" i="10"/>
  <c r="B102" i="11" s="1"/>
  <c r="K101" i="10"/>
  <c r="C101" i="10"/>
  <c r="C102" i="11" s="1"/>
  <c r="E101" i="10"/>
  <c r="G102" i="11" s="1"/>
  <c r="A101" i="11"/>
  <c r="G100" i="10"/>
  <c r="F100" i="10"/>
  <c r="E101" i="11" s="1"/>
  <c r="E100" i="10"/>
  <c r="G101" i="11" s="1"/>
  <c r="K100" i="10"/>
  <c r="H100" i="10"/>
  <c r="B100" i="10"/>
  <c r="B101" i="11" s="1"/>
  <c r="C100" i="10"/>
  <c r="C101" i="11" s="1"/>
  <c r="D100" i="10"/>
  <c r="I101" i="11" s="1"/>
  <c r="A100" i="11"/>
  <c r="E99" i="10"/>
  <c r="G99" i="10"/>
  <c r="C99" i="10"/>
  <c r="C100" i="11" s="1"/>
  <c r="K99" i="10"/>
  <c r="B99" i="10"/>
  <c r="B100" i="11" s="1"/>
  <c r="D99" i="10"/>
  <c r="I100" i="11" s="1"/>
  <c r="A99" i="11"/>
  <c r="C98" i="10"/>
  <c r="C99" i="11" s="1"/>
  <c r="B98" i="10"/>
  <c r="B99" i="11" s="1"/>
  <c r="G98" i="10"/>
  <c r="I98" i="10" s="1"/>
  <c r="K98" i="10"/>
  <c r="A98" i="11"/>
  <c r="K97" i="10"/>
  <c r="D97" i="10"/>
  <c r="G97" i="10"/>
  <c r="C97" i="10"/>
  <c r="C98" i="11" s="1"/>
  <c r="B97" i="10"/>
  <c r="B98" i="11" s="1"/>
  <c r="A97" i="11"/>
  <c r="G96" i="10"/>
  <c r="K96" i="10"/>
  <c r="B96" i="10"/>
  <c r="B97" i="11" s="1"/>
  <c r="C96" i="10"/>
  <c r="C97" i="11" s="1"/>
  <c r="H95" i="10"/>
  <c r="C95" i="10"/>
  <c r="D95" i="10"/>
  <c r="F95" i="10"/>
  <c r="K95" i="10"/>
  <c r="G95" i="10"/>
  <c r="E95" i="10"/>
  <c r="E94" i="10"/>
  <c r="H94" i="10"/>
  <c r="K94" i="10"/>
  <c r="F94" i="10"/>
  <c r="G94" i="10"/>
  <c r="D94" i="10"/>
  <c r="H93" i="10"/>
  <c r="K93" i="10"/>
  <c r="G93" i="10"/>
  <c r="F92" i="10"/>
  <c r="E92" i="10"/>
  <c r="H92" i="10"/>
  <c r="G92" i="10"/>
  <c r="K92" i="10"/>
  <c r="F91" i="10"/>
  <c r="E91" i="10"/>
  <c r="K91" i="10"/>
  <c r="G91" i="10"/>
  <c r="I91" i="10" s="1"/>
  <c r="G90" i="10"/>
  <c r="I90" i="10" s="1"/>
  <c r="E90" i="10"/>
  <c r="D90" i="10"/>
  <c r="F90" i="10"/>
  <c r="K90" i="10"/>
  <c r="E89" i="10"/>
  <c r="G89" i="10"/>
  <c r="K89" i="10"/>
  <c r="H89" i="10"/>
  <c r="F89" i="10"/>
  <c r="K88" i="10"/>
  <c r="H88" i="10"/>
  <c r="G88" i="10"/>
  <c r="K87" i="10"/>
  <c r="G87" i="10"/>
  <c r="H87" i="10"/>
  <c r="K86" i="10"/>
  <c r="G86" i="10"/>
  <c r="K85" i="10"/>
  <c r="G85" i="10"/>
  <c r="A85" i="11"/>
  <c r="G84" i="10"/>
  <c r="I84" i="10" s="1"/>
  <c r="K84" i="10"/>
  <c r="K83" i="10"/>
  <c r="E83" i="10"/>
  <c r="D83" i="10"/>
  <c r="G83" i="10"/>
  <c r="I83" i="10" s="1"/>
  <c r="F83" i="10"/>
  <c r="K82" i="10"/>
  <c r="F82" i="10"/>
  <c r="G82" i="10"/>
  <c r="I82" i="10" s="1"/>
  <c r="A82" i="11"/>
  <c r="K81" i="10"/>
  <c r="G81" i="10"/>
  <c r="K80" i="10"/>
  <c r="H80" i="10"/>
  <c r="G80" i="10"/>
  <c r="E79" i="10"/>
  <c r="D79" i="10"/>
  <c r="G79" i="10"/>
  <c r="K79" i="10"/>
  <c r="F79" i="10"/>
  <c r="H79" i="10"/>
  <c r="G78" i="10"/>
  <c r="I78" i="10" s="1"/>
  <c r="K78" i="10"/>
  <c r="D78" i="10"/>
  <c r="E78" i="10"/>
  <c r="F78" i="10"/>
  <c r="A78" i="11"/>
  <c r="B77" i="10"/>
  <c r="K77" i="10"/>
  <c r="D77" i="10"/>
  <c r="C77" i="10"/>
  <c r="F77" i="10"/>
  <c r="H77" i="10"/>
  <c r="G77" i="10"/>
  <c r="E77" i="10"/>
  <c r="G78" i="11" s="1"/>
  <c r="A77" i="11"/>
  <c r="B76" i="10"/>
  <c r="C76" i="10"/>
  <c r="D76" i="10"/>
  <c r="G76" i="10"/>
  <c r="K76" i="10"/>
  <c r="G75" i="10"/>
  <c r="K75" i="10"/>
  <c r="H75" i="10"/>
  <c r="A75" i="11"/>
  <c r="E74" i="10"/>
  <c r="C74" i="10"/>
  <c r="K74" i="10"/>
  <c r="G74" i="10"/>
  <c r="F74" i="10"/>
  <c r="E75" i="11" s="1"/>
  <c r="B74" i="10"/>
  <c r="B75" i="11" s="1"/>
  <c r="D74" i="10"/>
  <c r="I75" i="11" s="1"/>
  <c r="A74" i="11"/>
  <c r="B73" i="10"/>
  <c r="K73" i="10"/>
  <c r="C73" i="10"/>
  <c r="C74" i="11" s="1"/>
  <c r="G73" i="10"/>
  <c r="D73" i="10"/>
  <c r="I74" i="11" s="1"/>
  <c r="E73" i="10"/>
  <c r="G74" i="11" s="1"/>
  <c r="A73" i="11"/>
  <c r="G72" i="10"/>
  <c r="K72" i="10"/>
  <c r="C72" i="10"/>
  <c r="C73" i="11" s="1"/>
  <c r="B72" i="10"/>
  <c r="A72" i="11"/>
  <c r="K71" i="10"/>
  <c r="D71" i="10"/>
  <c r="G71" i="10"/>
  <c r="I71" i="10" s="1"/>
  <c r="B71" i="10"/>
  <c r="C71" i="10"/>
  <c r="E71" i="10"/>
  <c r="G72" i="11" s="1"/>
  <c r="F71" i="10"/>
  <c r="E72" i="11" s="1"/>
  <c r="A71" i="11"/>
  <c r="C70" i="10"/>
  <c r="H70" i="10"/>
  <c r="G70" i="10"/>
  <c r="K70" i="10"/>
  <c r="D70" i="10"/>
  <c r="I71" i="11" s="1"/>
  <c r="B70" i="10"/>
  <c r="B71" i="11" s="1"/>
  <c r="E70" i="10"/>
  <c r="G71" i="11" s="1"/>
  <c r="F70" i="10"/>
  <c r="E71" i="11" s="1"/>
  <c r="A70" i="11"/>
  <c r="B69" i="10"/>
  <c r="C69" i="10"/>
  <c r="K69" i="10"/>
  <c r="G69" i="10"/>
  <c r="A69" i="11"/>
  <c r="D68" i="10"/>
  <c r="C68" i="10"/>
  <c r="C69" i="11" s="1"/>
  <c r="F68" i="10"/>
  <c r="E69" i="11" s="1"/>
  <c r="H68" i="10"/>
  <c r="G68" i="10"/>
  <c r="B68" i="10"/>
  <c r="B69" i="11" s="1"/>
  <c r="E68" i="10"/>
  <c r="G69" i="11" s="1"/>
  <c r="K68" i="10"/>
  <c r="A68" i="11"/>
  <c r="C67" i="10"/>
  <c r="C68" i="11" s="1"/>
  <c r="B67" i="10"/>
  <c r="B68" i="11" s="1"/>
  <c r="K67" i="10"/>
  <c r="G67" i="10"/>
  <c r="D67" i="10"/>
  <c r="I68" i="11" s="1"/>
  <c r="A67" i="11"/>
  <c r="D66" i="10"/>
  <c r="B66" i="10"/>
  <c r="C66" i="10"/>
  <c r="C67" i="11" s="1"/>
  <c r="E66" i="10"/>
  <c r="G66" i="10"/>
  <c r="K66" i="10"/>
  <c r="A66" i="11"/>
  <c r="G65" i="10"/>
  <c r="I65" i="10" s="1"/>
  <c r="B65" i="10"/>
  <c r="K65" i="10"/>
  <c r="A65" i="11"/>
  <c r="K64" i="10"/>
  <c r="G64" i="10"/>
  <c r="I64" i="10" s="1"/>
  <c r="C64" i="10"/>
  <c r="C65" i="11" s="1"/>
  <c r="B64" i="10"/>
  <c r="B65" i="11" s="1"/>
  <c r="D64" i="10"/>
  <c r="I65" i="11" s="1"/>
  <c r="A64" i="11"/>
  <c r="E63" i="10"/>
  <c r="C63" i="10"/>
  <c r="F63" i="10"/>
  <c r="E64" i="11" s="1"/>
  <c r="H63" i="10"/>
  <c r="D63" i="10"/>
  <c r="I64" i="11" s="1"/>
  <c r="G63" i="10"/>
  <c r="K63" i="10"/>
  <c r="B63" i="10"/>
  <c r="B64" i="11" s="1"/>
  <c r="G62" i="10"/>
  <c r="H62" i="10"/>
  <c r="K62" i="10"/>
  <c r="A62" i="11"/>
  <c r="B61" i="10"/>
  <c r="G61" i="10"/>
  <c r="K61" i="10"/>
  <c r="K60" i="10"/>
  <c r="G60" i="10"/>
  <c r="H60" i="10"/>
  <c r="H59" i="10"/>
  <c r="K59" i="10"/>
  <c r="G59" i="10"/>
  <c r="F58" i="10"/>
  <c r="G58" i="10"/>
  <c r="K58" i="10"/>
  <c r="H58" i="10"/>
  <c r="K57" i="10"/>
  <c r="E57" i="10"/>
  <c r="G57" i="10"/>
  <c r="I57" i="10" s="1"/>
  <c r="F57" i="10"/>
  <c r="G56" i="10"/>
  <c r="F56" i="10"/>
  <c r="H56" i="10"/>
  <c r="K56" i="10"/>
  <c r="A56" i="11"/>
  <c r="G55" i="10"/>
  <c r="H55" i="10"/>
  <c r="E55" i="10"/>
  <c r="C55" i="10"/>
  <c r="C56" i="11" s="1"/>
  <c r="D55" i="10"/>
  <c r="I56" i="11" s="1"/>
  <c r="K55" i="10"/>
  <c r="F55" i="10"/>
  <c r="B55" i="10"/>
  <c r="A55" i="11"/>
  <c r="E54" i="10"/>
  <c r="G54" i="10"/>
  <c r="D54" i="10"/>
  <c r="B54" i="10"/>
  <c r="C54" i="10"/>
  <c r="K54" i="10"/>
  <c r="A54" i="11"/>
  <c r="G53" i="10"/>
  <c r="I53" i="10" s="1"/>
  <c r="K53" i="10"/>
  <c r="A53" i="11"/>
  <c r="D52" i="10"/>
  <c r="I53" i="11" s="1"/>
  <c r="E52" i="10"/>
  <c r="F52" i="10"/>
  <c r="C52" i="10"/>
  <c r="G52" i="10"/>
  <c r="I52" i="10" s="1"/>
  <c r="B52" i="10"/>
  <c r="K52" i="10"/>
  <c r="A52" i="11"/>
  <c r="K51" i="10"/>
  <c r="E51" i="10"/>
  <c r="G51" i="10"/>
  <c r="C51" i="10"/>
  <c r="D51" i="10"/>
  <c r="I52" i="11" s="1"/>
  <c r="B51" i="10"/>
  <c r="B52" i="11" s="1"/>
  <c r="A51" i="11"/>
  <c r="G50" i="10"/>
  <c r="K50" i="10"/>
  <c r="A50" i="11"/>
  <c r="G49" i="10"/>
  <c r="C49" i="10"/>
  <c r="C50" i="11" s="1"/>
  <c r="K49" i="10"/>
  <c r="B49" i="10"/>
  <c r="B50" i="11" s="1"/>
  <c r="D49" i="10"/>
  <c r="I50" i="11" s="1"/>
  <c r="A49" i="11"/>
  <c r="B48" i="10"/>
  <c r="B49" i="11" s="1"/>
  <c r="D48" i="10"/>
  <c r="I49" i="11" s="1"/>
  <c r="H48" i="10"/>
  <c r="G48" i="10"/>
  <c r="K48" i="10"/>
  <c r="F48" i="10"/>
  <c r="E49" i="11" s="1"/>
  <c r="C48" i="10"/>
  <c r="C49" i="11" s="1"/>
  <c r="E48" i="10"/>
  <c r="G49" i="11" s="1"/>
  <c r="A48" i="11"/>
  <c r="K47" i="10"/>
  <c r="G47" i="10"/>
  <c r="B47" i="10"/>
  <c r="B48" i="11" s="1"/>
  <c r="A47" i="11"/>
  <c r="B46" i="10"/>
  <c r="B47" i="11" s="1"/>
  <c r="G46" i="10"/>
  <c r="D46" i="10"/>
  <c r="I47" i="11" s="1"/>
  <c r="C46" i="10"/>
  <c r="C47" i="11" s="1"/>
  <c r="E46" i="10"/>
  <c r="G47" i="11" s="1"/>
  <c r="K46" i="10"/>
  <c r="A46" i="11"/>
  <c r="B45" i="10"/>
  <c r="G45" i="10"/>
  <c r="K45" i="10"/>
  <c r="A45" i="11"/>
  <c r="K44" i="10"/>
  <c r="G44" i="10"/>
  <c r="B44" i="10"/>
  <c r="D44" i="10"/>
  <c r="C44" i="10"/>
  <c r="E44" i="10"/>
  <c r="A44" i="11"/>
  <c r="B43" i="10"/>
  <c r="C43" i="10"/>
  <c r="C44" i="11" s="1"/>
  <c r="G43" i="10"/>
  <c r="K43" i="10"/>
  <c r="G42" i="10"/>
  <c r="E42" i="10"/>
  <c r="K42" i="10"/>
  <c r="D42" i="10"/>
  <c r="E41" i="10"/>
  <c r="G41" i="10"/>
  <c r="D41" i="10"/>
  <c r="K41" i="10"/>
  <c r="A41" i="11"/>
  <c r="D40" i="10"/>
  <c r="C40" i="10"/>
  <c r="C41" i="11" s="1"/>
  <c r="F40" i="10"/>
  <c r="E41" i="11" s="1"/>
  <c r="B40" i="10"/>
  <c r="B41" i="11" s="1"/>
  <c r="E40" i="10"/>
  <c r="G41" i="11" s="1"/>
  <c r="K40" i="10"/>
  <c r="G40" i="10"/>
  <c r="A40" i="11"/>
  <c r="D39" i="10"/>
  <c r="I40" i="11" s="1"/>
  <c r="B39" i="10"/>
  <c r="B40" i="11" s="1"/>
  <c r="G39" i="10"/>
  <c r="E39" i="10"/>
  <c r="G40" i="11" s="1"/>
  <c r="K39" i="10"/>
  <c r="F39" i="10"/>
  <c r="E40" i="11" s="1"/>
  <c r="H39" i="10"/>
  <c r="C39" i="10"/>
  <c r="C40" i="11" s="1"/>
  <c r="K38" i="10"/>
  <c r="H38" i="10"/>
  <c r="G38" i="10"/>
  <c r="F38" i="10"/>
  <c r="E37" i="10"/>
  <c r="K37" i="10"/>
  <c r="G37" i="10"/>
  <c r="D37" i="10"/>
  <c r="G36" i="10"/>
  <c r="I36" i="10" s="1"/>
  <c r="F36" i="10"/>
  <c r="K36" i="10"/>
  <c r="D36" i="10"/>
  <c r="E36" i="10"/>
  <c r="G35" i="10"/>
  <c r="E35" i="10"/>
  <c r="K35" i="10"/>
  <c r="F35" i="10"/>
  <c r="G34" i="10"/>
  <c r="K34" i="10"/>
  <c r="E34" i="10"/>
  <c r="D33" i="10"/>
  <c r="G33" i="10"/>
  <c r="K33" i="10"/>
  <c r="E33" i="10"/>
  <c r="F33" i="10"/>
  <c r="G32" i="10"/>
  <c r="K32" i="10"/>
  <c r="H32" i="10"/>
  <c r="D32" i="10"/>
  <c r="F32" i="10"/>
  <c r="E32" i="10"/>
  <c r="A32" i="11"/>
  <c r="G31" i="10"/>
  <c r="I31" i="10" s="1"/>
  <c r="B31" i="10"/>
  <c r="K31" i="10"/>
  <c r="D31" i="10"/>
  <c r="I32" i="11" s="1"/>
  <c r="A31" i="11"/>
  <c r="G30" i="10"/>
  <c r="K30" i="10"/>
  <c r="B30" i="10"/>
  <c r="B31" i="11" s="1"/>
  <c r="G29" i="10"/>
  <c r="I29" i="10" s="1"/>
  <c r="K29" i="10"/>
  <c r="F29" i="10"/>
  <c r="E29" i="10"/>
  <c r="A29" i="11"/>
  <c r="G28" i="10"/>
  <c r="D28" i="10"/>
  <c r="C28" i="10"/>
  <c r="C29" i="11" s="1"/>
  <c r="B28" i="10"/>
  <c r="B29" i="11" s="1"/>
  <c r="K28" i="10"/>
  <c r="A28" i="11"/>
  <c r="K27" i="10"/>
  <c r="C27" i="10"/>
  <c r="C28" i="11" s="1"/>
  <c r="G27" i="10"/>
  <c r="B27" i="10"/>
  <c r="B28" i="11" s="1"/>
  <c r="A27" i="11"/>
  <c r="F26" i="10"/>
  <c r="B26" i="10"/>
  <c r="B27" i="11" s="1"/>
  <c r="G26" i="10"/>
  <c r="I26" i="10" s="1"/>
  <c r="C26" i="10"/>
  <c r="C27" i="11" s="1"/>
  <c r="K26" i="10"/>
  <c r="G25" i="10"/>
  <c r="K25" i="10"/>
  <c r="F25" i="10"/>
  <c r="E25" i="10"/>
  <c r="H25" i="10"/>
  <c r="K24" i="10"/>
  <c r="G24" i="10"/>
  <c r="F24" i="10"/>
  <c r="A24" i="11"/>
  <c r="K23" i="10"/>
  <c r="G23" i="10"/>
  <c r="K22" i="10"/>
  <c r="G22" i="10"/>
  <c r="A22" i="11"/>
  <c r="D21" i="10"/>
  <c r="I22" i="11" s="1"/>
  <c r="C21" i="10"/>
  <c r="C22" i="11" s="1"/>
  <c r="B21" i="10"/>
  <c r="B22" i="11" s="1"/>
  <c r="G21" i="10"/>
  <c r="K21" i="10"/>
  <c r="F21" i="10"/>
  <c r="E22" i="11" s="1"/>
  <c r="E21" i="10"/>
  <c r="G22" i="11" s="1"/>
  <c r="A21" i="11"/>
  <c r="C20" i="10"/>
  <c r="G20" i="10"/>
  <c r="K20" i="10"/>
  <c r="D20" i="10"/>
  <c r="I21" i="11" s="1"/>
  <c r="B20" i="10"/>
  <c r="B21" i="11" s="1"/>
  <c r="A20" i="11"/>
  <c r="D19" i="10"/>
  <c r="G19" i="10"/>
  <c r="E19" i="10"/>
  <c r="G20" i="11" s="1"/>
  <c r="B19" i="10"/>
  <c r="B20" i="11" s="1"/>
  <c r="K19" i="10"/>
  <c r="C19" i="10"/>
  <c r="C20" i="11" s="1"/>
  <c r="G18" i="10"/>
  <c r="K18" i="10"/>
  <c r="H18" i="10"/>
  <c r="K17" i="10"/>
  <c r="G17" i="10"/>
  <c r="G16" i="10"/>
  <c r="K16" i="10"/>
  <c r="C16" i="10"/>
  <c r="A16" i="11"/>
  <c r="E15" i="10"/>
  <c r="B15" i="10"/>
  <c r="F15" i="10"/>
  <c r="K15" i="10"/>
  <c r="C15" i="10"/>
  <c r="G15" i="10"/>
  <c r="I15" i="10" s="1"/>
  <c r="D15" i="10"/>
  <c r="I16" i="11" s="1"/>
  <c r="A15" i="11"/>
  <c r="B14" i="10"/>
  <c r="B15" i="11" s="1"/>
  <c r="K14" i="10"/>
  <c r="G14" i="10"/>
  <c r="A14" i="11"/>
  <c r="G13" i="10"/>
  <c r="H13" i="10"/>
  <c r="K13" i="10"/>
  <c r="D13" i="10"/>
  <c r="I14" i="11" s="1"/>
  <c r="C13" i="10"/>
  <c r="C14" i="11" s="1"/>
  <c r="F13" i="10"/>
  <c r="E14" i="11" s="1"/>
  <c r="B13" i="10"/>
  <c r="B14" i="11" s="1"/>
  <c r="E13" i="10"/>
  <c r="G14" i="11" s="1"/>
  <c r="K12" i="10"/>
  <c r="C12" i="10"/>
  <c r="D12" i="10"/>
  <c r="G12" i="10"/>
  <c r="I12" i="10" s="1"/>
  <c r="B12" i="10"/>
  <c r="A12" i="11"/>
  <c r="C11" i="10"/>
  <c r="E11" i="10"/>
  <c r="G11" i="10"/>
  <c r="K11" i="10"/>
  <c r="B11" i="10"/>
  <c r="B12" i="11" s="1"/>
  <c r="D11" i="10"/>
  <c r="I12" i="11" s="1"/>
  <c r="A11" i="11"/>
  <c r="K10" i="10"/>
  <c r="G10" i="10"/>
  <c r="C10" i="10"/>
  <c r="C11" i="11" s="1"/>
  <c r="E10" i="10"/>
  <c r="G11" i="11" s="1"/>
  <c r="B10" i="10"/>
  <c r="B11" i="11" s="1"/>
  <c r="D10" i="10"/>
  <c r="I11" i="11" s="1"/>
  <c r="A10" i="11"/>
  <c r="G9" i="10"/>
  <c r="K9" i="10"/>
  <c r="D9" i="10"/>
  <c r="I10" i="11" s="1"/>
  <c r="C9" i="10"/>
  <c r="C10" i="11" s="1"/>
  <c r="B9" i="10"/>
  <c r="B10" i="11" s="1"/>
  <c r="A9" i="11"/>
  <c r="G8" i="10"/>
  <c r="B8" i="10"/>
  <c r="B9" i="11" s="1"/>
  <c r="C8" i="10"/>
  <c r="C9" i="11" s="1"/>
  <c r="K8" i="10"/>
  <c r="E7" i="10"/>
  <c r="F7" i="10"/>
  <c r="K7" i="10"/>
  <c r="G7" i="10"/>
  <c r="A7" i="11"/>
  <c r="C6" i="10"/>
  <c r="D6" i="10"/>
  <c r="I7" i="11" s="1"/>
  <c r="K6" i="10"/>
  <c r="G6" i="10"/>
  <c r="B6" i="10"/>
  <c r="B7" i="11" s="1"/>
  <c r="B5" i="10"/>
  <c r="G5" i="10"/>
  <c r="I5" i="10" s="1"/>
  <c r="C5" i="10"/>
  <c r="K5" i="10"/>
  <c r="D5" i="10"/>
  <c r="A2001" i="12"/>
  <c r="A2000" i="12"/>
  <c r="A1999" i="12"/>
  <c r="A1998" i="12"/>
  <c r="A1997" i="12"/>
  <c r="A1996" i="12"/>
  <c r="A1995" i="12"/>
  <c r="A1994" i="12"/>
  <c r="A1993" i="12"/>
  <c r="A1992" i="12"/>
  <c r="A1991" i="12"/>
  <c r="A1990" i="12"/>
  <c r="A1989" i="12"/>
  <c r="A1988" i="12"/>
  <c r="A1987" i="12"/>
  <c r="A1986" i="12"/>
  <c r="A1985" i="12"/>
  <c r="A1984" i="12"/>
  <c r="A1983" i="12"/>
  <c r="A1982" i="12"/>
  <c r="A1981" i="12"/>
  <c r="A1980" i="12"/>
  <c r="A1979" i="12"/>
  <c r="A1978" i="12"/>
  <c r="A1977" i="12"/>
  <c r="A1976" i="12"/>
  <c r="A1975" i="12"/>
  <c r="A1974" i="12"/>
  <c r="A1973" i="12"/>
  <c r="A1972" i="12"/>
  <c r="A1971" i="12"/>
  <c r="A1970" i="12"/>
  <c r="A1969" i="12"/>
  <c r="A1968" i="12"/>
  <c r="A1967" i="12"/>
  <c r="A1966" i="12"/>
  <c r="A1965" i="12"/>
  <c r="A1964" i="12"/>
  <c r="A1963" i="12"/>
  <c r="A1962" i="12"/>
  <c r="A1961" i="12"/>
  <c r="A1960" i="12"/>
  <c r="A1959" i="12"/>
  <c r="A1958" i="12"/>
  <c r="A1957" i="12"/>
  <c r="A1956" i="12"/>
  <c r="A1955" i="12"/>
  <c r="A1954" i="12"/>
  <c r="A1953" i="12"/>
  <c r="A1952" i="12"/>
  <c r="A1951" i="12"/>
  <c r="A1950" i="12"/>
  <c r="A1949" i="12"/>
  <c r="A1948" i="12"/>
  <c r="A1947" i="12"/>
  <c r="A1946" i="12"/>
  <c r="A1945" i="12"/>
  <c r="A1944" i="12"/>
  <c r="A1943" i="12"/>
  <c r="A1942" i="12"/>
  <c r="A1941" i="12"/>
  <c r="A1940" i="12"/>
  <c r="A1939" i="12"/>
  <c r="A1938" i="12"/>
  <c r="A1937" i="12"/>
  <c r="A1936" i="12"/>
  <c r="A1935" i="12"/>
  <c r="A1934" i="12"/>
  <c r="A1933" i="12"/>
  <c r="A1932" i="12"/>
  <c r="A1931" i="12"/>
  <c r="A1930" i="12"/>
  <c r="A1929" i="12"/>
  <c r="A1928" i="12"/>
  <c r="A1927" i="12"/>
  <c r="A1926" i="12"/>
  <c r="A1925" i="12"/>
  <c r="A1924" i="12"/>
  <c r="A1923" i="12"/>
  <c r="A1922" i="12"/>
  <c r="A1921" i="12"/>
  <c r="A1920" i="12"/>
  <c r="A1919" i="12"/>
  <c r="A1918" i="12"/>
  <c r="A1917" i="12"/>
  <c r="A1916" i="12"/>
  <c r="A1915" i="12"/>
  <c r="A1914" i="12"/>
  <c r="A1913" i="12"/>
  <c r="A738" i="12"/>
  <c r="E390" i="13"/>
  <c r="F390" i="13"/>
  <c r="H391" i="13"/>
  <c r="I391" i="13"/>
  <c r="B399" i="13"/>
  <c r="C399" i="13"/>
  <c r="B402" i="13"/>
  <c r="E402" i="13"/>
  <c r="C402" i="13"/>
  <c r="D402" i="13"/>
  <c r="D258" i="13"/>
  <c r="D269" i="13"/>
  <c r="F277" i="13"/>
  <c r="H277" i="13"/>
  <c r="G277" i="13"/>
  <c r="D282" i="13"/>
  <c r="E282" i="13"/>
  <c r="H283" i="13"/>
  <c r="I283" i="13"/>
  <c r="J283" i="13"/>
  <c r="H303" i="13"/>
  <c r="J303" i="13"/>
  <c r="I303" i="13"/>
  <c r="I315" i="13"/>
  <c r="J315" i="13"/>
  <c r="G318" i="13"/>
  <c r="H318" i="13"/>
  <c r="F323" i="13"/>
  <c r="G323" i="13"/>
  <c r="F324" i="13"/>
  <c r="H324" i="13"/>
  <c r="G324" i="13"/>
  <c r="I326" i="13"/>
  <c r="H326" i="13"/>
  <c r="F328" i="13"/>
  <c r="G328" i="13"/>
  <c r="F333" i="13"/>
  <c r="H333" i="13"/>
  <c r="G333" i="13"/>
  <c r="G336" i="13"/>
  <c r="H336" i="13"/>
  <c r="I337" i="13"/>
  <c r="J337" i="13"/>
  <c r="J347" i="13"/>
  <c r="I347" i="13"/>
  <c r="D349" i="13"/>
  <c r="E349" i="13"/>
  <c r="F349" i="13"/>
  <c r="E350" i="13"/>
  <c r="F350" i="13"/>
  <c r="G350" i="13"/>
  <c r="H350" i="13"/>
  <c r="D351" i="13"/>
  <c r="E351" i="13"/>
  <c r="F354" i="13"/>
  <c r="G354" i="13"/>
  <c r="G600" i="10"/>
  <c r="K600" i="10"/>
  <c r="D599" i="10"/>
  <c r="E599" i="10"/>
  <c r="J599" i="10"/>
  <c r="L599" i="10"/>
  <c r="G599" i="10"/>
  <c r="K599" i="10"/>
  <c r="H599" i="10"/>
  <c r="I599" i="10"/>
  <c r="F599" i="10"/>
  <c r="B599" i="10"/>
  <c r="C599" i="10"/>
  <c r="K598" i="10"/>
  <c r="G598" i="10"/>
  <c r="B598" i="10"/>
  <c r="B597" i="10"/>
  <c r="G597" i="10"/>
  <c r="C597" i="10"/>
  <c r="K597" i="10"/>
  <c r="D597" i="10"/>
  <c r="D596" i="10"/>
  <c r="B596" i="10"/>
  <c r="K596" i="10"/>
  <c r="G596" i="10"/>
  <c r="C596" i="10"/>
  <c r="D595" i="10"/>
  <c r="G595" i="10"/>
  <c r="B595" i="10"/>
  <c r="K595" i="10"/>
  <c r="C595" i="10"/>
  <c r="B594" i="10"/>
  <c r="D594" i="10"/>
  <c r="G594" i="10"/>
  <c r="K594" i="10"/>
  <c r="E594" i="10"/>
  <c r="C594" i="10"/>
  <c r="B593" i="10"/>
  <c r="G593" i="10"/>
  <c r="K593" i="10"/>
  <c r="G592" i="10"/>
  <c r="K592" i="10"/>
  <c r="F591" i="10"/>
  <c r="D591" i="10"/>
  <c r="G591" i="10"/>
  <c r="K591" i="10"/>
  <c r="B591" i="10"/>
  <c r="H591" i="10"/>
  <c r="E591" i="10"/>
  <c r="I591" i="10"/>
  <c r="C591" i="10"/>
  <c r="K590" i="10"/>
  <c r="G590" i="10"/>
  <c r="D590" i="10"/>
  <c r="E590" i="10"/>
  <c r="C590" i="10"/>
  <c r="B590" i="10"/>
  <c r="F590" i="10"/>
  <c r="K589" i="10"/>
  <c r="B589" i="10"/>
  <c r="E589" i="10"/>
  <c r="C589" i="10"/>
  <c r="G589" i="10"/>
  <c r="D589" i="10"/>
  <c r="G588" i="10"/>
  <c r="E588" i="10"/>
  <c r="C588" i="10"/>
  <c r="D588" i="10"/>
  <c r="B588" i="10"/>
  <c r="F588" i="10"/>
  <c r="K588" i="10"/>
  <c r="G587" i="10"/>
  <c r="K587" i="10"/>
  <c r="C587" i="10"/>
  <c r="B587" i="10"/>
  <c r="B586" i="10"/>
  <c r="E586" i="10"/>
  <c r="K586" i="10"/>
  <c r="C586" i="10"/>
  <c r="D586" i="10"/>
  <c r="G586" i="10"/>
  <c r="B585" i="10"/>
  <c r="H585" i="10"/>
  <c r="K585" i="10"/>
  <c r="F585" i="10"/>
  <c r="E585" i="10"/>
  <c r="D585" i="10"/>
  <c r="G585" i="10"/>
  <c r="C585" i="10"/>
  <c r="K584" i="10"/>
  <c r="C584" i="10"/>
  <c r="B584" i="10"/>
  <c r="G584" i="10"/>
  <c r="D583" i="10"/>
  <c r="B583" i="10"/>
  <c r="K583" i="10"/>
  <c r="G583" i="10"/>
  <c r="E583" i="10"/>
  <c r="C583" i="10"/>
  <c r="C582" i="10"/>
  <c r="K582" i="10"/>
  <c r="G582" i="10"/>
  <c r="B582" i="10"/>
  <c r="C581" i="10"/>
  <c r="B581" i="10"/>
  <c r="K581" i="10"/>
  <c r="D581" i="10"/>
  <c r="G581" i="10"/>
  <c r="E581" i="10"/>
  <c r="B580" i="10"/>
  <c r="K580" i="10"/>
  <c r="G580" i="10"/>
  <c r="C579" i="10"/>
  <c r="K579" i="10"/>
  <c r="B579" i="10"/>
  <c r="G579" i="10"/>
  <c r="D578" i="10"/>
  <c r="B578" i="10"/>
  <c r="K578" i="10"/>
  <c r="G578" i="10"/>
  <c r="C578" i="10"/>
  <c r="B577" i="10"/>
  <c r="K577" i="10"/>
  <c r="C577" i="10"/>
  <c r="G577" i="10"/>
  <c r="G576" i="10"/>
  <c r="K576" i="10"/>
  <c r="D575" i="10"/>
  <c r="K575" i="10"/>
  <c r="I575" i="10"/>
  <c r="G575" i="10"/>
  <c r="F575" i="10"/>
  <c r="H575" i="10"/>
  <c r="B575" i="10"/>
  <c r="C575" i="10"/>
  <c r="E575" i="10"/>
  <c r="D574" i="10"/>
  <c r="K574" i="10"/>
  <c r="B574" i="10"/>
  <c r="G574" i="10"/>
  <c r="E574" i="10"/>
  <c r="C574" i="10"/>
  <c r="K573" i="10"/>
  <c r="B573" i="10"/>
  <c r="G573" i="10"/>
  <c r="G572" i="10"/>
  <c r="K572" i="10"/>
  <c r="C572" i="10"/>
  <c r="B572" i="10"/>
  <c r="K571" i="10"/>
  <c r="C571" i="10"/>
  <c r="G571" i="10"/>
  <c r="D571" i="10"/>
  <c r="B571" i="10"/>
  <c r="G570" i="10"/>
  <c r="K570" i="10"/>
  <c r="B570" i="10"/>
  <c r="K569" i="10"/>
  <c r="F569" i="10"/>
  <c r="G569" i="10"/>
  <c r="H569" i="10"/>
  <c r="D569" i="10"/>
  <c r="B569" i="10"/>
  <c r="E569" i="10"/>
  <c r="C569" i="10"/>
  <c r="G568" i="10"/>
  <c r="K568" i="10"/>
  <c r="B568" i="10"/>
  <c r="G567" i="10"/>
  <c r="K567" i="10"/>
  <c r="G566" i="10"/>
  <c r="C566" i="10"/>
  <c r="B566" i="10"/>
  <c r="K566" i="10"/>
  <c r="K565" i="10"/>
  <c r="G565" i="10"/>
  <c r="C564" i="10"/>
  <c r="G564" i="10"/>
  <c r="B564" i="10"/>
  <c r="K564" i="10"/>
  <c r="B563" i="10"/>
  <c r="G563" i="10"/>
  <c r="K563" i="10"/>
  <c r="C563" i="10"/>
  <c r="B562" i="10"/>
  <c r="E562" i="10"/>
  <c r="C562" i="10"/>
  <c r="K562" i="10"/>
  <c r="F562" i="10"/>
  <c r="G562" i="10"/>
  <c r="D562" i="10"/>
  <c r="B561" i="10"/>
  <c r="K561" i="10"/>
  <c r="G561" i="10"/>
  <c r="C560" i="10"/>
  <c r="F560" i="10"/>
  <c r="B560" i="10"/>
  <c r="D560" i="10"/>
  <c r="G560" i="10"/>
  <c r="K560" i="10"/>
  <c r="E560" i="10"/>
  <c r="H560" i="10"/>
  <c r="G559" i="10"/>
  <c r="C559" i="10"/>
  <c r="K559" i="10"/>
  <c r="B559" i="10"/>
  <c r="K558" i="10"/>
  <c r="D558" i="10"/>
  <c r="G558" i="10"/>
  <c r="B558" i="10"/>
  <c r="C558" i="10"/>
  <c r="F557" i="10"/>
  <c r="K557" i="10"/>
  <c r="C557" i="10"/>
  <c r="G557" i="10"/>
  <c r="D557" i="10"/>
  <c r="B557" i="10"/>
  <c r="E557" i="10"/>
  <c r="K556" i="10"/>
  <c r="B556" i="10"/>
  <c r="C556" i="10"/>
  <c r="G556" i="10"/>
  <c r="B555" i="10"/>
  <c r="K555" i="10"/>
  <c r="G555" i="10"/>
  <c r="C555" i="10"/>
  <c r="E554" i="10"/>
  <c r="C554" i="10"/>
  <c r="D554" i="10"/>
  <c r="K554" i="10"/>
  <c r="G554" i="10"/>
  <c r="B554" i="10"/>
  <c r="K553" i="10"/>
  <c r="C553" i="10"/>
  <c r="G553" i="10"/>
  <c r="B553" i="10"/>
  <c r="B552" i="10"/>
  <c r="G552" i="10"/>
  <c r="K552" i="10"/>
  <c r="D551" i="10"/>
  <c r="G551" i="10"/>
  <c r="K551" i="10"/>
  <c r="B551" i="10"/>
  <c r="E551" i="10"/>
  <c r="C551" i="10"/>
  <c r="E550" i="10"/>
  <c r="G550" i="10"/>
  <c r="K550" i="10"/>
  <c r="C550" i="10"/>
  <c r="D550" i="10"/>
  <c r="B550" i="10"/>
  <c r="B549" i="10"/>
  <c r="G549" i="10"/>
  <c r="K549" i="10"/>
  <c r="G548" i="10"/>
  <c r="K548" i="10"/>
  <c r="C548" i="10"/>
  <c r="B548" i="10"/>
  <c r="G547" i="10"/>
  <c r="B547" i="10"/>
  <c r="K547" i="10"/>
  <c r="C547" i="10"/>
  <c r="B546" i="10"/>
  <c r="K546" i="10"/>
  <c r="C546" i="10"/>
  <c r="G546" i="10"/>
  <c r="G545" i="10"/>
  <c r="C545" i="10"/>
  <c r="K545" i="10"/>
  <c r="B545" i="10"/>
  <c r="D545" i="10"/>
  <c r="C544" i="10"/>
  <c r="K544" i="10"/>
  <c r="D544" i="10"/>
  <c r="B544" i="10"/>
  <c r="G544" i="10"/>
  <c r="E544" i="10"/>
  <c r="F544" i="10"/>
  <c r="K543" i="10"/>
  <c r="G543" i="10"/>
  <c r="B543" i="10"/>
  <c r="C543" i="10"/>
  <c r="G542" i="10"/>
  <c r="K542" i="10"/>
  <c r="G541" i="10"/>
  <c r="C541" i="10"/>
  <c r="B541" i="10"/>
  <c r="K541" i="10"/>
  <c r="G540" i="10"/>
  <c r="B540" i="10"/>
  <c r="K540" i="10"/>
  <c r="C539" i="10"/>
  <c r="G539" i="10"/>
  <c r="B539" i="10"/>
  <c r="K539" i="10"/>
  <c r="G538" i="10"/>
  <c r="K538" i="10"/>
  <c r="E538" i="10"/>
  <c r="D538" i="10"/>
  <c r="B538" i="10"/>
  <c r="F538" i="10"/>
  <c r="C538" i="10"/>
  <c r="B537" i="10"/>
  <c r="C537" i="10"/>
  <c r="K537" i="10"/>
  <c r="G537" i="10"/>
  <c r="D537" i="10"/>
  <c r="C536" i="10"/>
  <c r="K536" i="10"/>
  <c r="E536" i="10"/>
  <c r="B536" i="10"/>
  <c r="D536" i="10"/>
  <c r="G536" i="10"/>
  <c r="C535" i="10"/>
  <c r="G535" i="10"/>
  <c r="K535" i="10"/>
  <c r="B535" i="10"/>
  <c r="C534" i="10"/>
  <c r="G534" i="10"/>
  <c r="B534" i="10"/>
  <c r="K534" i="10"/>
  <c r="D534" i="10"/>
  <c r="E533" i="10"/>
  <c r="G533" i="10"/>
  <c r="K533" i="10"/>
  <c r="B533" i="10"/>
  <c r="D533" i="10"/>
  <c r="C533" i="10"/>
  <c r="F533" i="10"/>
  <c r="D532" i="10"/>
  <c r="K532" i="10"/>
  <c r="G532" i="10"/>
  <c r="B532" i="10"/>
  <c r="C532" i="10"/>
  <c r="K531" i="10"/>
  <c r="G531" i="10"/>
  <c r="G530" i="10"/>
  <c r="C530" i="10"/>
  <c r="K530" i="10"/>
  <c r="E530" i="10"/>
  <c r="B530" i="10"/>
  <c r="D530" i="10"/>
  <c r="E529" i="10"/>
  <c r="C529" i="10"/>
  <c r="B529" i="10"/>
  <c r="K529" i="10"/>
  <c r="G529" i="10"/>
  <c r="D529" i="10"/>
  <c r="I528" i="10"/>
  <c r="E528" i="10"/>
  <c r="C528" i="10"/>
  <c r="F528" i="10"/>
  <c r="D528" i="10"/>
  <c r="G528" i="10"/>
  <c r="H528" i="10"/>
  <c r="K528" i="10"/>
  <c r="B528" i="10"/>
  <c r="E527" i="10"/>
  <c r="C527" i="10"/>
  <c r="I527" i="10"/>
  <c r="D527" i="10"/>
  <c r="B527" i="10"/>
  <c r="H527" i="10"/>
  <c r="F527" i="10"/>
  <c r="K527" i="10"/>
  <c r="G527" i="10"/>
  <c r="B526" i="10"/>
  <c r="K526" i="10"/>
  <c r="G526" i="10"/>
  <c r="K525" i="10"/>
  <c r="B525" i="10"/>
  <c r="C525" i="10"/>
  <c r="G525" i="10"/>
  <c r="B524" i="10"/>
  <c r="C524" i="10"/>
  <c r="G524" i="10"/>
  <c r="K524" i="10"/>
  <c r="C523" i="10"/>
  <c r="K523" i="10"/>
  <c r="E523" i="10"/>
  <c r="G523" i="10"/>
  <c r="F523" i="10"/>
  <c r="B523" i="10"/>
  <c r="D523" i="10"/>
  <c r="H523" i="10"/>
  <c r="C522" i="10"/>
  <c r="B522" i="10"/>
  <c r="G522" i="10"/>
  <c r="K522" i="10"/>
  <c r="K521" i="10"/>
  <c r="B521" i="10"/>
  <c r="G521" i="10"/>
  <c r="D521" i="10"/>
  <c r="E521" i="10"/>
  <c r="C521" i="10"/>
  <c r="B520" i="10"/>
  <c r="D520" i="10"/>
  <c r="G520" i="10"/>
  <c r="C520" i="10"/>
  <c r="K520" i="10"/>
  <c r="E520" i="10"/>
  <c r="K519" i="10"/>
  <c r="B519" i="10"/>
  <c r="G519" i="10"/>
  <c r="D518" i="10"/>
  <c r="E518" i="10"/>
  <c r="B518" i="10"/>
  <c r="C518" i="10"/>
  <c r="G518" i="10"/>
  <c r="K518" i="10"/>
  <c r="C517" i="10"/>
  <c r="G517" i="10"/>
  <c r="F517" i="10"/>
  <c r="D517" i="10"/>
  <c r="K517" i="10"/>
  <c r="B517" i="10"/>
  <c r="E517" i="10"/>
  <c r="D516" i="10"/>
  <c r="B516" i="10"/>
  <c r="G516" i="10"/>
  <c r="C516" i="10"/>
  <c r="K516" i="10"/>
  <c r="K515" i="10"/>
  <c r="G515" i="10"/>
  <c r="C515" i="10"/>
  <c r="B515" i="10"/>
  <c r="C514" i="10"/>
  <c r="D514" i="10"/>
  <c r="G514" i="10"/>
  <c r="E514" i="10"/>
  <c r="B514" i="10"/>
  <c r="K514" i="10"/>
  <c r="B513" i="10"/>
  <c r="K513" i="10"/>
  <c r="G513" i="10"/>
  <c r="B512" i="10"/>
  <c r="C512" i="10"/>
  <c r="K512" i="10"/>
  <c r="F512" i="10"/>
  <c r="D512" i="10"/>
  <c r="G512" i="10"/>
  <c r="E511" i="10"/>
  <c r="D511" i="10"/>
  <c r="K511" i="10"/>
  <c r="G511" i="10"/>
  <c r="B511" i="10"/>
  <c r="C511" i="10"/>
  <c r="B510" i="10"/>
  <c r="G510" i="10"/>
  <c r="K510" i="10"/>
  <c r="C510" i="10"/>
  <c r="G509" i="10"/>
  <c r="C509" i="10"/>
  <c r="K509" i="10"/>
  <c r="B509" i="10"/>
  <c r="D509" i="10"/>
  <c r="B508" i="10"/>
  <c r="C508" i="10"/>
  <c r="K508" i="10"/>
  <c r="G508" i="10"/>
  <c r="B507" i="10"/>
  <c r="D507" i="10"/>
  <c r="K507" i="10"/>
  <c r="E507" i="10"/>
  <c r="C507" i="10"/>
  <c r="G507" i="10"/>
  <c r="F506" i="10"/>
  <c r="C506" i="10"/>
  <c r="K506" i="10"/>
  <c r="B506" i="10"/>
  <c r="G506" i="10"/>
  <c r="D506" i="10"/>
  <c r="G505" i="10"/>
  <c r="K505" i="10"/>
  <c r="G504" i="10"/>
  <c r="K504" i="10"/>
  <c r="D504" i="10"/>
  <c r="C504" i="10"/>
  <c r="B504" i="10"/>
  <c r="G503" i="10"/>
  <c r="K503" i="10"/>
  <c r="B503" i="10"/>
  <c r="B502" i="10"/>
  <c r="G502" i="10"/>
  <c r="K502" i="10"/>
  <c r="C502" i="10"/>
  <c r="D502" i="10"/>
  <c r="G501" i="10"/>
  <c r="C501" i="10"/>
  <c r="B501" i="10"/>
  <c r="K501" i="10"/>
  <c r="G500" i="10"/>
  <c r="C500" i="10"/>
  <c r="K500" i="10"/>
  <c r="B500" i="10"/>
  <c r="D500" i="10"/>
  <c r="C499" i="10"/>
  <c r="E499" i="10"/>
  <c r="F499" i="10"/>
  <c r="K499" i="10"/>
  <c r="D499" i="10"/>
  <c r="G499" i="10"/>
  <c r="B499" i="10"/>
  <c r="C498" i="10"/>
  <c r="D498" i="10"/>
  <c r="F498" i="10"/>
  <c r="E498" i="10"/>
  <c r="B498" i="10"/>
  <c r="K498" i="10"/>
  <c r="G498" i="10"/>
  <c r="C497" i="10"/>
  <c r="D497" i="10"/>
  <c r="B497" i="10"/>
  <c r="K497" i="10"/>
  <c r="G497" i="10"/>
  <c r="D496" i="10"/>
  <c r="G496" i="10"/>
  <c r="C496" i="10"/>
  <c r="B496" i="10"/>
  <c r="K496" i="10"/>
  <c r="G495" i="10"/>
  <c r="K495" i="10"/>
  <c r="B495" i="10"/>
  <c r="A495" i="11"/>
  <c r="G494" i="10"/>
  <c r="C494" i="10"/>
  <c r="K494" i="10"/>
  <c r="B494" i="10"/>
  <c r="A494" i="11"/>
  <c r="D493" i="10"/>
  <c r="C493" i="10"/>
  <c r="G493" i="10"/>
  <c r="K493" i="10"/>
  <c r="B493" i="10"/>
  <c r="G492" i="10"/>
  <c r="K492" i="10"/>
  <c r="A492" i="11"/>
  <c r="B491" i="10"/>
  <c r="C491" i="10"/>
  <c r="K491" i="10"/>
  <c r="G491" i="10"/>
  <c r="A491" i="11"/>
  <c r="B490" i="10"/>
  <c r="E490" i="10"/>
  <c r="F490" i="10"/>
  <c r="D490" i="10"/>
  <c r="K490" i="10"/>
  <c r="G490" i="10"/>
  <c r="I490" i="10"/>
  <c r="C490" i="10"/>
  <c r="J490" i="10"/>
  <c r="H490" i="10"/>
  <c r="A490" i="11"/>
  <c r="G489" i="10"/>
  <c r="B489" i="10"/>
  <c r="K489" i="10"/>
  <c r="C489" i="10"/>
  <c r="A489" i="11"/>
  <c r="G488" i="10"/>
  <c r="B488" i="10"/>
  <c r="K488" i="10"/>
  <c r="A488" i="11"/>
  <c r="K487" i="10"/>
  <c r="B487" i="10"/>
  <c r="G487" i="10"/>
  <c r="A487" i="11"/>
  <c r="G486" i="10"/>
  <c r="C486" i="10"/>
  <c r="D486" i="10"/>
  <c r="B486" i="10"/>
  <c r="K486" i="10"/>
  <c r="A486" i="11"/>
  <c r="G485" i="10"/>
  <c r="B485" i="10"/>
  <c r="C485" i="10"/>
  <c r="K485" i="10"/>
  <c r="A485" i="11"/>
  <c r="B484" i="10"/>
  <c r="C484" i="10"/>
  <c r="G484" i="10"/>
  <c r="F484" i="10"/>
  <c r="E484" i="10"/>
  <c r="D484" i="10"/>
  <c r="K484" i="10"/>
  <c r="D483" i="10"/>
  <c r="E483" i="10"/>
  <c r="K483" i="10"/>
  <c r="F483" i="10"/>
  <c r="G483" i="10"/>
  <c r="H483" i="10"/>
  <c r="F482" i="10"/>
  <c r="E482" i="10"/>
  <c r="H482" i="10"/>
  <c r="D482" i="10"/>
  <c r="K482" i="10"/>
  <c r="I482" i="10"/>
  <c r="G482" i="10"/>
  <c r="G481" i="10"/>
  <c r="D481" i="10"/>
  <c r="K481" i="10"/>
  <c r="C481" i="10"/>
  <c r="C480" i="10"/>
  <c r="F480" i="10"/>
  <c r="H480" i="10"/>
  <c r="E480" i="10"/>
  <c r="K480" i="10"/>
  <c r="G480" i="10"/>
  <c r="C479" i="10"/>
  <c r="G479" i="10"/>
  <c r="F479" i="10"/>
  <c r="K479" i="10"/>
  <c r="J479" i="10"/>
  <c r="E479" i="10"/>
  <c r="I479" i="10"/>
  <c r="L479" i="10"/>
  <c r="H479" i="10"/>
  <c r="D479" i="10"/>
  <c r="K478" i="10"/>
  <c r="G478" i="10"/>
  <c r="C478" i="10"/>
  <c r="E478" i="10"/>
  <c r="E477" i="10"/>
  <c r="D477" i="10"/>
  <c r="K477" i="10"/>
  <c r="G477" i="10"/>
  <c r="G476" i="10"/>
  <c r="C476" i="10"/>
  <c r="K476" i="10"/>
  <c r="A476" i="11"/>
  <c r="G475" i="10"/>
  <c r="D475" i="10"/>
  <c r="E475" i="10"/>
  <c r="B475" i="10"/>
  <c r="C475" i="10"/>
  <c r="K475" i="10"/>
  <c r="E474" i="10"/>
  <c r="G474" i="10"/>
  <c r="F474" i="10"/>
  <c r="K474" i="10"/>
  <c r="D474" i="10"/>
  <c r="C473" i="10"/>
  <c r="D473" i="10"/>
  <c r="K473" i="10"/>
  <c r="G473" i="10"/>
  <c r="G472" i="10"/>
  <c r="K472" i="10"/>
  <c r="C472" i="10"/>
  <c r="F471" i="10"/>
  <c r="C471" i="10"/>
  <c r="K471" i="10"/>
  <c r="E471" i="10"/>
  <c r="D471" i="10"/>
  <c r="G471" i="10"/>
  <c r="G470" i="10"/>
  <c r="D470" i="10"/>
  <c r="K470" i="10"/>
  <c r="E470" i="10"/>
  <c r="A470" i="11"/>
  <c r="D469" i="10"/>
  <c r="C469" i="10"/>
  <c r="G469" i="10"/>
  <c r="E469" i="10"/>
  <c r="K469" i="10"/>
  <c r="B469" i="10"/>
  <c r="A469" i="11"/>
  <c r="G468" i="10"/>
  <c r="F468" i="10"/>
  <c r="B468" i="10"/>
  <c r="E468" i="10"/>
  <c r="K468" i="10"/>
  <c r="H468" i="10"/>
  <c r="C468" i="10"/>
  <c r="D468" i="10"/>
  <c r="K467" i="10"/>
  <c r="C467" i="10"/>
  <c r="G467" i="10"/>
  <c r="G466" i="10"/>
  <c r="C466" i="10"/>
  <c r="K466" i="10"/>
  <c r="D465" i="10"/>
  <c r="C465" i="10"/>
  <c r="E465" i="10"/>
  <c r="F465" i="10"/>
  <c r="G465" i="10"/>
  <c r="K465" i="10"/>
  <c r="G464" i="10"/>
  <c r="K464" i="10"/>
  <c r="F464" i="10"/>
  <c r="H464" i="10"/>
  <c r="D464" i="10"/>
  <c r="J464" i="10"/>
  <c r="E464" i="10"/>
  <c r="I464" i="10"/>
  <c r="C463" i="10"/>
  <c r="K463" i="10"/>
  <c r="E463" i="10"/>
  <c r="G463" i="10"/>
  <c r="D463" i="10"/>
  <c r="A463" i="11"/>
  <c r="G462" i="10"/>
  <c r="K462" i="10"/>
  <c r="C462" i="10"/>
  <c r="D462" i="10"/>
  <c r="B462" i="10"/>
  <c r="E462" i="10"/>
  <c r="A462" i="11"/>
  <c r="K461" i="10"/>
  <c r="G461" i="10"/>
  <c r="D461" i="10"/>
  <c r="E461" i="10"/>
  <c r="C461" i="10"/>
  <c r="B461" i="10"/>
  <c r="K460" i="10"/>
  <c r="G460" i="10"/>
  <c r="A460" i="11"/>
  <c r="K459" i="10"/>
  <c r="D459" i="10"/>
  <c r="B459" i="10"/>
  <c r="G459" i="10"/>
  <c r="C459" i="10"/>
  <c r="A459" i="11"/>
  <c r="K458" i="10"/>
  <c r="G458" i="10"/>
  <c r="B458" i="10"/>
  <c r="D458" i="10"/>
  <c r="C458" i="10"/>
  <c r="G457" i="10"/>
  <c r="K457" i="10"/>
  <c r="C457" i="10"/>
  <c r="A457" i="11"/>
  <c r="D456" i="10"/>
  <c r="C456" i="10"/>
  <c r="E456" i="10"/>
  <c r="B456" i="10"/>
  <c r="K456" i="10"/>
  <c r="G456" i="10"/>
  <c r="A456" i="11"/>
  <c r="C455" i="10"/>
  <c r="D455" i="10"/>
  <c r="B455" i="10"/>
  <c r="K455" i="10"/>
  <c r="G455" i="10"/>
  <c r="A455" i="11"/>
  <c r="K454" i="10"/>
  <c r="G454" i="10"/>
  <c r="C453" i="10"/>
  <c r="K453" i="10"/>
  <c r="D453" i="10"/>
  <c r="G453" i="10"/>
  <c r="A453" i="11"/>
  <c r="K452" i="10"/>
  <c r="G452" i="10"/>
  <c r="B452" i="10"/>
  <c r="C452" i="10"/>
  <c r="B451" i="10"/>
  <c r="G451" i="10"/>
  <c r="K451" i="10"/>
  <c r="D451" i="10"/>
  <c r="C451" i="10"/>
  <c r="E451" i="10"/>
  <c r="G450" i="10"/>
  <c r="D450" i="10"/>
  <c r="C450" i="10"/>
  <c r="K450" i="10"/>
  <c r="K449" i="10"/>
  <c r="G449" i="10"/>
  <c r="D449" i="10"/>
  <c r="C449" i="10"/>
  <c r="D448" i="10"/>
  <c r="G448" i="10"/>
  <c r="K448" i="10"/>
  <c r="E448" i="10"/>
  <c r="K447" i="10"/>
  <c r="G447" i="10"/>
  <c r="K446" i="10"/>
  <c r="F446" i="10"/>
  <c r="J446" i="10"/>
  <c r="G446" i="10"/>
  <c r="P446" i="10"/>
  <c r="E446" i="10"/>
  <c r="I446" i="10"/>
  <c r="L446" i="10"/>
  <c r="H446" i="10"/>
  <c r="M446" i="10"/>
  <c r="K445" i="10"/>
  <c r="C445" i="10"/>
  <c r="G445" i="10"/>
  <c r="E444" i="10"/>
  <c r="K444" i="10"/>
  <c r="G444" i="10"/>
  <c r="L443" i="10"/>
  <c r="K443" i="10"/>
  <c r="F443" i="10"/>
  <c r="G443" i="10"/>
  <c r="H443" i="10"/>
  <c r="I443" i="10"/>
  <c r="E443" i="10"/>
  <c r="B442" i="10"/>
  <c r="K442" i="10"/>
  <c r="G442" i="10"/>
  <c r="C442" i="10"/>
  <c r="D441" i="10"/>
  <c r="K441" i="10"/>
  <c r="G441" i="10"/>
  <c r="E441" i="10"/>
  <c r="K440" i="10"/>
  <c r="I440" i="10"/>
  <c r="F440" i="10"/>
  <c r="G440" i="10"/>
  <c r="J440" i="10"/>
  <c r="H440" i="10"/>
  <c r="E440" i="10"/>
  <c r="E439" i="10"/>
  <c r="K439" i="10"/>
  <c r="C439" i="10"/>
  <c r="G439" i="10"/>
  <c r="D439" i="10"/>
  <c r="F438" i="10"/>
  <c r="G438" i="10"/>
  <c r="D438" i="10"/>
  <c r="K438" i="10"/>
  <c r="E438" i="10"/>
  <c r="F437" i="10"/>
  <c r="K437" i="10"/>
  <c r="E437" i="10"/>
  <c r="G437" i="10"/>
  <c r="D437" i="10"/>
  <c r="G436" i="10"/>
  <c r="K436" i="10"/>
  <c r="D436" i="10"/>
  <c r="E436" i="10"/>
  <c r="K435" i="10"/>
  <c r="G435" i="10"/>
  <c r="C435" i="10"/>
  <c r="F435" i="10"/>
  <c r="E435" i="10"/>
  <c r="D435" i="10"/>
  <c r="G434" i="10"/>
  <c r="E434" i="10"/>
  <c r="H434" i="10"/>
  <c r="K434" i="10"/>
  <c r="F434" i="10"/>
  <c r="I434" i="10"/>
  <c r="K433" i="10"/>
  <c r="G433" i="10"/>
  <c r="D433" i="10"/>
  <c r="F433" i="10"/>
  <c r="E433" i="10"/>
  <c r="H433" i="10"/>
  <c r="C433" i="10"/>
  <c r="B432" i="10"/>
  <c r="F432" i="10"/>
  <c r="G432" i="10"/>
  <c r="K432" i="10"/>
  <c r="I432" i="10"/>
  <c r="E432" i="10"/>
  <c r="D432" i="10"/>
  <c r="C432" i="10"/>
  <c r="K431" i="10"/>
  <c r="D431" i="10"/>
  <c r="E431" i="10"/>
  <c r="G431" i="10"/>
  <c r="G430" i="10"/>
  <c r="E430" i="10"/>
  <c r="D430" i="10"/>
  <c r="K430" i="10"/>
  <c r="F430" i="10"/>
  <c r="G429" i="10"/>
  <c r="I429" i="10"/>
  <c r="K429" i="10"/>
  <c r="E429" i="10"/>
  <c r="F429" i="10"/>
  <c r="H428" i="10"/>
  <c r="E428" i="10"/>
  <c r="I428" i="10"/>
  <c r="G428" i="10"/>
  <c r="J428" i="10"/>
  <c r="K428" i="10"/>
  <c r="F428" i="10"/>
  <c r="F427" i="10"/>
  <c r="K427" i="10"/>
  <c r="G427" i="10"/>
  <c r="K426" i="10"/>
  <c r="D426" i="10"/>
  <c r="H426" i="10"/>
  <c r="E426" i="10"/>
  <c r="C426" i="10"/>
  <c r="F426" i="10"/>
  <c r="G426" i="10"/>
  <c r="F425" i="10"/>
  <c r="E425" i="10"/>
  <c r="D425" i="10"/>
  <c r="K425" i="10"/>
  <c r="G425" i="10"/>
  <c r="F424" i="10"/>
  <c r="H424" i="10"/>
  <c r="I424" i="10"/>
  <c r="G424" i="10"/>
  <c r="K424" i="10"/>
  <c r="E424" i="10"/>
  <c r="A424" i="11"/>
  <c r="D423" i="10"/>
  <c r="C423" i="10"/>
  <c r="B423" i="10"/>
  <c r="K423" i="10"/>
  <c r="E423" i="10"/>
  <c r="G423" i="10"/>
  <c r="K422" i="10"/>
  <c r="G422" i="10"/>
  <c r="B422" i="10"/>
  <c r="E422" i="10"/>
  <c r="D422" i="10"/>
  <c r="C422" i="10"/>
  <c r="E421" i="10"/>
  <c r="K421" i="10"/>
  <c r="G421" i="10"/>
  <c r="D421" i="10"/>
  <c r="E420" i="10"/>
  <c r="J420" i="10"/>
  <c r="K420" i="10"/>
  <c r="F420" i="10"/>
  <c r="H420" i="10"/>
  <c r="G420" i="10"/>
  <c r="I420" i="10"/>
  <c r="E419" i="10"/>
  <c r="K419" i="10"/>
  <c r="G419" i="10"/>
  <c r="F419" i="10"/>
  <c r="D419" i="10"/>
  <c r="D418" i="10"/>
  <c r="K418" i="10"/>
  <c r="G418" i="10"/>
  <c r="E418" i="10"/>
  <c r="F417" i="10"/>
  <c r="G417" i="10"/>
  <c r="K417" i="10"/>
  <c r="D417" i="10"/>
  <c r="E417" i="10"/>
  <c r="G416" i="10"/>
  <c r="F416" i="10"/>
  <c r="E416" i="10"/>
  <c r="K416" i="10"/>
  <c r="G415" i="10"/>
  <c r="I415" i="10"/>
  <c r="J415" i="10"/>
  <c r="L415" i="10"/>
  <c r="K415" i="10"/>
  <c r="F414" i="10"/>
  <c r="E414" i="10"/>
  <c r="H414" i="10"/>
  <c r="C414" i="10"/>
  <c r="K414" i="10"/>
  <c r="G414" i="10"/>
  <c r="D414" i="10"/>
  <c r="E413" i="10"/>
  <c r="F413" i="10"/>
  <c r="H413" i="10"/>
  <c r="G413" i="10"/>
  <c r="K413" i="10"/>
  <c r="I413" i="10"/>
  <c r="I412" i="10"/>
  <c r="G412" i="10"/>
  <c r="K412" i="10"/>
  <c r="F412" i="10"/>
  <c r="H412" i="10"/>
  <c r="E412" i="10"/>
  <c r="H411" i="10"/>
  <c r="E411" i="10"/>
  <c r="D411" i="10"/>
  <c r="J411" i="10"/>
  <c r="I411" i="10"/>
  <c r="F411" i="10"/>
  <c r="G411" i="10"/>
  <c r="K411" i="10"/>
  <c r="B410" i="10"/>
  <c r="K410" i="10"/>
  <c r="G410" i="10"/>
  <c r="F409" i="10"/>
  <c r="E409" i="10"/>
  <c r="J409" i="10"/>
  <c r="G409" i="10"/>
  <c r="K409" i="10"/>
  <c r="H409" i="10"/>
  <c r="L409" i="10"/>
  <c r="I409" i="10"/>
  <c r="L408" i="10"/>
  <c r="I408" i="10"/>
  <c r="J408" i="10"/>
  <c r="M408" i="10"/>
  <c r="H408" i="10"/>
  <c r="F408" i="10"/>
  <c r="K408" i="10"/>
  <c r="G408" i="10"/>
  <c r="B407" i="10"/>
  <c r="F407" i="10"/>
  <c r="C407" i="10"/>
  <c r="D407" i="10"/>
  <c r="K407" i="10"/>
  <c r="E407" i="10"/>
  <c r="G407" i="10"/>
  <c r="C406" i="10"/>
  <c r="B406" i="10"/>
  <c r="K406" i="10"/>
  <c r="D406" i="10"/>
  <c r="G406" i="10"/>
  <c r="K405" i="10"/>
  <c r="C405" i="10"/>
  <c r="G405" i="10"/>
  <c r="B405" i="10"/>
  <c r="F404" i="10"/>
  <c r="J404" i="10"/>
  <c r="G404" i="10"/>
  <c r="H404" i="10"/>
  <c r="D404" i="10"/>
  <c r="E404" i="10"/>
  <c r="I404" i="10"/>
  <c r="K404" i="10"/>
  <c r="F403" i="10"/>
  <c r="G403" i="10"/>
  <c r="K403" i="10"/>
  <c r="E403" i="10"/>
  <c r="D403" i="10"/>
  <c r="K402" i="10"/>
  <c r="F402" i="10"/>
  <c r="D402" i="10"/>
  <c r="G402" i="10"/>
  <c r="G401" i="10"/>
  <c r="K401" i="10"/>
  <c r="L401" i="10"/>
  <c r="P401" i="10"/>
  <c r="M401" i="10"/>
  <c r="E400" i="10"/>
  <c r="G400" i="10"/>
  <c r="K400" i="10"/>
  <c r="D400" i="10"/>
  <c r="F400" i="10"/>
  <c r="C400" i="10"/>
  <c r="E399" i="10"/>
  <c r="F399" i="10"/>
  <c r="K399" i="10"/>
  <c r="G399" i="10"/>
  <c r="D398" i="10"/>
  <c r="F398" i="10"/>
  <c r="K398" i="10"/>
  <c r="G398" i="10"/>
  <c r="E398" i="10"/>
  <c r="H398" i="10"/>
  <c r="I398" i="10"/>
  <c r="E397" i="10"/>
  <c r="H397" i="10"/>
  <c r="K397" i="10"/>
  <c r="I397" i="10"/>
  <c r="F397" i="10"/>
  <c r="G397" i="10"/>
  <c r="D397" i="10"/>
  <c r="C396" i="10"/>
  <c r="D396" i="10"/>
  <c r="G396" i="10"/>
  <c r="K396" i="10"/>
  <c r="D395" i="10"/>
  <c r="F395" i="10"/>
  <c r="K395" i="10"/>
  <c r="H395" i="10"/>
  <c r="E395" i="10"/>
  <c r="I395" i="10"/>
  <c r="C395" i="10"/>
  <c r="G395" i="10"/>
  <c r="G394" i="10"/>
  <c r="J394" i="10"/>
  <c r="I394" i="10"/>
  <c r="F394" i="10"/>
  <c r="E394" i="10"/>
  <c r="H394" i="10"/>
  <c r="D394" i="10"/>
  <c r="K394" i="10"/>
  <c r="K393" i="10"/>
  <c r="F393" i="10"/>
  <c r="G393" i="10"/>
  <c r="H393" i="10"/>
  <c r="I393" i="10"/>
  <c r="D392" i="10"/>
  <c r="G392" i="10"/>
  <c r="K392" i="10"/>
  <c r="K391" i="10"/>
  <c r="F391" i="10"/>
  <c r="G391" i="10"/>
  <c r="D391" i="10"/>
  <c r="E391" i="10"/>
  <c r="K390" i="10"/>
  <c r="G390" i="10"/>
  <c r="E390" i="10"/>
  <c r="H389" i="10"/>
  <c r="E389" i="10"/>
  <c r="F389" i="10"/>
  <c r="K389" i="10"/>
  <c r="G389" i="10"/>
  <c r="E388" i="10"/>
  <c r="F388" i="10"/>
  <c r="K388" i="10"/>
  <c r="I388" i="10"/>
  <c r="G388" i="10"/>
  <c r="H388" i="10"/>
  <c r="G387" i="10"/>
  <c r="K387" i="10"/>
  <c r="E387" i="10"/>
  <c r="F387" i="10"/>
  <c r="G386" i="10"/>
  <c r="D386" i="10"/>
  <c r="K386" i="10"/>
  <c r="F386" i="10"/>
  <c r="E386" i="10"/>
  <c r="G385" i="10"/>
  <c r="K385" i="10"/>
  <c r="E385" i="10"/>
  <c r="G384" i="10"/>
  <c r="K384" i="10"/>
  <c r="I384" i="10"/>
  <c r="H384" i="10"/>
  <c r="G383" i="10"/>
  <c r="K383" i="10"/>
  <c r="E383" i="10"/>
  <c r="G382" i="10"/>
  <c r="D382" i="10"/>
  <c r="E382" i="10"/>
  <c r="F382" i="10"/>
  <c r="K382" i="10"/>
  <c r="K381" i="10"/>
  <c r="G381" i="10"/>
  <c r="D381" i="10"/>
  <c r="I381" i="10"/>
  <c r="M381" i="10"/>
  <c r="P381" i="10"/>
  <c r="Q381" i="10"/>
  <c r="J381" i="10"/>
  <c r="H381" i="10"/>
  <c r="L381" i="10"/>
  <c r="E381" i="10"/>
  <c r="F381" i="10"/>
  <c r="F380" i="10"/>
  <c r="G380" i="10"/>
  <c r="E380" i="10"/>
  <c r="K380" i="10"/>
  <c r="A380" i="11"/>
  <c r="D379" i="10"/>
  <c r="E379" i="10"/>
  <c r="B379" i="10"/>
  <c r="G379" i="10"/>
  <c r="C379" i="10"/>
  <c r="I379" i="10"/>
  <c r="K379" i="10"/>
  <c r="H379" i="10"/>
  <c r="F379" i="10"/>
  <c r="G378" i="10"/>
  <c r="K378" i="10"/>
  <c r="F378" i="10"/>
  <c r="E378" i="10"/>
  <c r="D378" i="10"/>
  <c r="E377" i="10"/>
  <c r="I377" i="10"/>
  <c r="K377" i="10"/>
  <c r="H377" i="10"/>
  <c r="F377" i="10"/>
  <c r="G377" i="10"/>
  <c r="J377" i="10"/>
  <c r="G376" i="10"/>
  <c r="E376" i="10"/>
  <c r="K376" i="10"/>
  <c r="F376" i="10"/>
  <c r="G375" i="10"/>
  <c r="K375" i="10"/>
  <c r="C375" i="10"/>
  <c r="D375" i="10"/>
  <c r="K374" i="10"/>
  <c r="G374" i="10"/>
  <c r="C374" i="10"/>
  <c r="D373" i="10"/>
  <c r="K373" i="10"/>
  <c r="G373" i="10"/>
  <c r="D372" i="10"/>
  <c r="K372" i="10"/>
  <c r="G372" i="10"/>
  <c r="K371" i="10"/>
  <c r="F371" i="10"/>
  <c r="D371" i="10"/>
  <c r="G371" i="10"/>
  <c r="E371" i="10"/>
  <c r="F370" i="10"/>
  <c r="E370" i="10"/>
  <c r="D370" i="10"/>
  <c r="G370" i="10"/>
  <c r="K370" i="10"/>
  <c r="K369" i="10"/>
  <c r="M369" i="10"/>
  <c r="L369" i="10"/>
  <c r="G369" i="10"/>
  <c r="P369" i="10"/>
  <c r="K368" i="10"/>
  <c r="G368" i="10"/>
  <c r="D368" i="10"/>
  <c r="F368" i="10"/>
  <c r="E368" i="10"/>
  <c r="H368" i="10"/>
  <c r="G367" i="10"/>
  <c r="D367" i="10"/>
  <c r="K367" i="10"/>
  <c r="H367" i="10"/>
  <c r="F367" i="10"/>
  <c r="J367" i="10"/>
  <c r="E367" i="10"/>
  <c r="I367" i="10"/>
  <c r="G366" i="10"/>
  <c r="D366" i="10"/>
  <c r="K366" i="10"/>
  <c r="E366" i="10"/>
  <c r="F366" i="10"/>
  <c r="H365" i="10"/>
  <c r="P365" i="10"/>
  <c r="M365" i="10"/>
  <c r="J365" i="10"/>
  <c r="I365" i="10"/>
  <c r="K365" i="10"/>
  <c r="G365" i="10"/>
  <c r="F365" i="10"/>
  <c r="L365" i="10"/>
  <c r="C364" i="10"/>
  <c r="G364" i="10"/>
  <c r="F364" i="10"/>
  <c r="D364" i="10"/>
  <c r="K364" i="10"/>
  <c r="E364" i="10"/>
  <c r="G363" i="10"/>
  <c r="K363" i="10"/>
  <c r="E363" i="10"/>
  <c r="F363" i="10"/>
  <c r="G362" i="10"/>
  <c r="K362" i="10"/>
  <c r="F361" i="10"/>
  <c r="K361" i="10"/>
  <c r="D361" i="10"/>
  <c r="H361" i="10"/>
  <c r="J361" i="10"/>
  <c r="M361" i="10"/>
  <c r="G361" i="10"/>
  <c r="P361" i="10"/>
  <c r="L361" i="10"/>
  <c r="I361" i="10"/>
  <c r="E361" i="10"/>
  <c r="K360" i="10"/>
  <c r="H360" i="10"/>
  <c r="G360" i="10"/>
  <c r="F360" i="10"/>
  <c r="E360" i="10"/>
  <c r="K359" i="10"/>
  <c r="M359" i="10"/>
  <c r="L359" i="10"/>
  <c r="F359" i="10"/>
  <c r="D359" i="10"/>
  <c r="C359" i="10"/>
  <c r="H359" i="10"/>
  <c r="J359" i="10"/>
  <c r="I359" i="10"/>
  <c r="G359" i="10"/>
  <c r="E359" i="10"/>
  <c r="F358" i="10"/>
  <c r="J358" i="10"/>
  <c r="G358" i="10"/>
  <c r="L358" i="10"/>
  <c r="K358" i="10"/>
  <c r="I358" i="10"/>
  <c r="H358" i="10"/>
  <c r="E357" i="10"/>
  <c r="K357" i="10"/>
  <c r="I357" i="10"/>
  <c r="G357" i="10"/>
  <c r="F357" i="10"/>
  <c r="H357" i="10"/>
  <c r="G356" i="10"/>
  <c r="K356" i="10"/>
  <c r="F356" i="10"/>
  <c r="H356" i="10"/>
  <c r="E356" i="10"/>
  <c r="H355" i="10"/>
  <c r="K355" i="10"/>
  <c r="D355" i="10"/>
  <c r="G355" i="10"/>
  <c r="E355" i="10"/>
  <c r="F355" i="10"/>
  <c r="K354" i="10"/>
  <c r="G354" i="10"/>
  <c r="H354" i="10"/>
  <c r="D354" i="10"/>
  <c r="C354" i="10"/>
  <c r="E354" i="10"/>
  <c r="H353" i="10"/>
  <c r="I353" i="10"/>
  <c r="G353" i="10"/>
  <c r="F353" i="10"/>
  <c r="D353" i="10"/>
  <c r="K353" i="10"/>
  <c r="E353" i="10"/>
  <c r="K352" i="10"/>
  <c r="M352" i="10"/>
  <c r="J352" i="10"/>
  <c r="F352" i="10"/>
  <c r="G352" i="10"/>
  <c r="H352" i="10"/>
  <c r="L352" i="10"/>
  <c r="I352" i="10"/>
  <c r="H351" i="10"/>
  <c r="G351" i="10"/>
  <c r="I351" i="10"/>
  <c r="F351" i="10"/>
  <c r="E351" i="10"/>
  <c r="K351" i="10"/>
  <c r="D351" i="10"/>
  <c r="M350" i="10"/>
  <c r="E350" i="10"/>
  <c r="D350" i="10"/>
  <c r="L350" i="10"/>
  <c r="P350" i="10"/>
  <c r="F350" i="10"/>
  <c r="I350" i="10"/>
  <c r="Q350" i="10"/>
  <c r="G350" i="10"/>
  <c r="K350" i="10"/>
  <c r="H350" i="10"/>
  <c r="J350" i="10"/>
  <c r="D349" i="10"/>
  <c r="H349" i="10"/>
  <c r="K349" i="10"/>
  <c r="E349" i="10"/>
  <c r="I349" i="10"/>
  <c r="F349" i="10"/>
  <c r="J349" i="10"/>
  <c r="G349" i="10"/>
  <c r="K348" i="10"/>
  <c r="G348" i="10"/>
  <c r="K347" i="10"/>
  <c r="E347" i="10"/>
  <c r="F347" i="10"/>
  <c r="D347" i="10"/>
  <c r="G347" i="10"/>
  <c r="I346" i="10"/>
  <c r="F346" i="10"/>
  <c r="J346" i="10"/>
  <c r="G346" i="10"/>
  <c r="K346" i="10"/>
  <c r="H346" i="10"/>
  <c r="K345" i="10"/>
  <c r="G345" i="10"/>
  <c r="E345" i="10"/>
  <c r="F344" i="10"/>
  <c r="J344" i="10"/>
  <c r="H344" i="10"/>
  <c r="D344" i="10"/>
  <c r="I344" i="10"/>
  <c r="G344" i="10"/>
  <c r="E344" i="10"/>
  <c r="K344" i="10"/>
  <c r="K343" i="10"/>
  <c r="G343" i="10"/>
  <c r="F342" i="10"/>
  <c r="G342" i="10"/>
  <c r="K342" i="10"/>
  <c r="D342" i="10"/>
  <c r="E342" i="10"/>
  <c r="D341" i="10"/>
  <c r="G341" i="10"/>
  <c r="K341" i="10"/>
  <c r="F341" i="10"/>
  <c r="C341" i="10"/>
  <c r="E341" i="10"/>
  <c r="H340" i="10"/>
  <c r="E340" i="10"/>
  <c r="K340" i="10"/>
  <c r="C340" i="10"/>
  <c r="G340" i="10"/>
  <c r="D340" i="10"/>
  <c r="F340" i="10"/>
  <c r="G339" i="10"/>
  <c r="K339" i="10"/>
  <c r="D339" i="10"/>
  <c r="D338" i="10"/>
  <c r="K338" i="10"/>
  <c r="G338" i="10"/>
  <c r="E338" i="10"/>
  <c r="H338" i="10"/>
  <c r="F338" i="10"/>
  <c r="M337" i="10"/>
  <c r="E337" i="10"/>
  <c r="L337" i="10"/>
  <c r="K337" i="10"/>
  <c r="Q337" i="10"/>
  <c r="I337" i="10"/>
  <c r="G337" i="10"/>
  <c r="F337" i="10"/>
  <c r="J337" i="10"/>
  <c r="P337" i="10"/>
  <c r="H337" i="10"/>
  <c r="L336" i="10"/>
  <c r="I336" i="10"/>
  <c r="G336" i="10"/>
  <c r="F336" i="10"/>
  <c r="H336" i="10"/>
  <c r="J336" i="10"/>
  <c r="K336" i="10"/>
  <c r="D335" i="10"/>
  <c r="G335" i="10"/>
  <c r="E335" i="10"/>
  <c r="K335" i="10"/>
  <c r="E334" i="10"/>
  <c r="G334" i="10"/>
  <c r="H334" i="10"/>
  <c r="D334" i="10"/>
  <c r="F334" i="10"/>
  <c r="K334" i="10"/>
  <c r="D333" i="10"/>
  <c r="G333" i="10"/>
  <c r="C333" i="10"/>
  <c r="K333" i="10"/>
  <c r="G332" i="10"/>
  <c r="H332" i="10"/>
  <c r="D332" i="10"/>
  <c r="I332" i="10"/>
  <c r="F332" i="10"/>
  <c r="K332" i="10"/>
  <c r="E332" i="10"/>
  <c r="K331" i="10"/>
  <c r="L331" i="10"/>
  <c r="H331" i="10"/>
  <c r="E331" i="10"/>
  <c r="D331" i="10"/>
  <c r="G331" i="10"/>
  <c r="J331" i="10"/>
  <c r="F331" i="10"/>
  <c r="I331" i="10"/>
  <c r="C330" i="10"/>
  <c r="H330" i="10"/>
  <c r="F330" i="10"/>
  <c r="G330" i="10"/>
  <c r="E330" i="10"/>
  <c r="K330" i="10"/>
  <c r="D330" i="10"/>
  <c r="G329" i="10"/>
  <c r="C329" i="10"/>
  <c r="K329" i="10"/>
  <c r="D328" i="10"/>
  <c r="E328" i="10"/>
  <c r="K328" i="10"/>
  <c r="G328" i="10"/>
  <c r="C328" i="10"/>
  <c r="D327" i="10"/>
  <c r="K327" i="10"/>
  <c r="G327" i="10"/>
  <c r="D326" i="10"/>
  <c r="E326" i="10"/>
  <c r="G326" i="10"/>
  <c r="K326" i="10"/>
  <c r="I325" i="10"/>
  <c r="K325" i="10"/>
  <c r="E325" i="10"/>
  <c r="J325" i="10"/>
  <c r="H325" i="10"/>
  <c r="G325" i="10"/>
  <c r="F325" i="10"/>
  <c r="G324" i="10"/>
  <c r="H324" i="10"/>
  <c r="J324" i="10"/>
  <c r="I324" i="10"/>
  <c r="K324" i="10"/>
  <c r="F324" i="10"/>
  <c r="E324" i="10"/>
  <c r="F323" i="10"/>
  <c r="E323" i="10"/>
  <c r="K323" i="10"/>
  <c r="G323" i="10"/>
  <c r="D323" i="10"/>
  <c r="G322" i="10"/>
  <c r="K322" i="10"/>
  <c r="F322" i="10"/>
  <c r="H322" i="10"/>
  <c r="K321" i="10"/>
  <c r="G321" i="10"/>
  <c r="I320" i="10"/>
  <c r="K320" i="10"/>
  <c r="G320" i="10"/>
  <c r="F320" i="10"/>
  <c r="H320" i="10"/>
  <c r="E319" i="10"/>
  <c r="F319" i="10"/>
  <c r="J319" i="10"/>
  <c r="H319" i="10"/>
  <c r="I319" i="10"/>
  <c r="G319" i="10"/>
  <c r="K319" i="10"/>
  <c r="A319" i="11"/>
  <c r="K318" i="10"/>
  <c r="G318" i="10"/>
  <c r="K317" i="10"/>
  <c r="G317" i="10"/>
  <c r="G316" i="10"/>
  <c r="E316" i="10"/>
  <c r="K316" i="10"/>
  <c r="K315" i="10"/>
  <c r="E315" i="10"/>
  <c r="D315" i="10"/>
  <c r="G315" i="10"/>
  <c r="F314" i="10"/>
  <c r="G314" i="10"/>
  <c r="K314" i="10"/>
  <c r="D313" i="10"/>
  <c r="F313" i="10"/>
  <c r="E313" i="10"/>
  <c r="K313" i="10"/>
  <c r="G313" i="10"/>
  <c r="F312" i="10"/>
  <c r="D312" i="10"/>
  <c r="E312" i="10"/>
  <c r="K312" i="10"/>
  <c r="G312" i="10"/>
  <c r="G311" i="10"/>
  <c r="K311" i="10"/>
  <c r="D311" i="10"/>
  <c r="D310" i="10"/>
  <c r="G310" i="10"/>
  <c r="E310" i="10"/>
  <c r="C310" i="10"/>
  <c r="K310" i="10"/>
  <c r="F310" i="10"/>
  <c r="H309" i="10"/>
  <c r="E309" i="10"/>
  <c r="K309" i="10"/>
  <c r="F309" i="10"/>
  <c r="G309" i="10"/>
  <c r="D308" i="10"/>
  <c r="G308" i="10"/>
  <c r="K308" i="10"/>
  <c r="H308" i="10"/>
  <c r="E308" i="10"/>
  <c r="F308" i="10"/>
  <c r="I308" i="10"/>
  <c r="E307" i="10"/>
  <c r="G307" i="10"/>
  <c r="K307" i="10"/>
  <c r="I307" i="10"/>
  <c r="F307" i="10"/>
  <c r="H307" i="10"/>
  <c r="J307" i="10"/>
  <c r="G306" i="10"/>
  <c r="E306" i="10"/>
  <c r="F306" i="10"/>
  <c r="K306" i="10"/>
  <c r="F305" i="10"/>
  <c r="D305" i="10"/>
  <c r="K305" i="10"/>
  <c r="G305" i="10"/>
  <c r="E305" i="10"/>
  <c r="C305" i="10"/>
  <c r="C304" i="10"/>
  <c r="G304" i="10"/>
  <c r="K304" i="10"/>
  <c r="D304" i="10"/>
  <c r="E304" i="10"/>
  <c r="F303" i="10"/>
  <c r="G303" i="10"/>
  <c r="I303" i="10"/>
  <c r="K303" i="10"/>
  <c r="H303" i="10"/>
  <c r="D302" i="10"/>
  <c r="G302" i="10"/>
  <c r="K302" i="10"/>
  <c r="K301" i="10"/>
  <c r="G301" i="10"/>
  <c r="D301" i="10"/>
  <c r="E301" i="10"/>
  <c r="F301" i="10"/>
  <c r="D300" i="10"/>
  <c r="G300" i="10"/>
  <c r="E300" i="10"/>
  <c r="K300" i="10"/>
  <c r="G299" i="10"/>
  <c r="K299" i="10"/>
  <c r="C299" i="10"/>
  <c r="F298" i="10"/>
  <c r="D298" i="10"/>
  <c r="G298" i="10"/>
  <c r="K298" i="10"/>
  <c r="E298" i="10"/>
  <c r="E297" i="10"/>
  <c r="K297" i="10"/>
  <c r="F297" i="10"/>
  <c r="G297" i="10"/>
  <c r="K296" i="10"/>
  <c r="D296" i="10"/>
  <c r="G296" i="10"/>
  <c r="D295" i="10"/>
  <c r="G295" i="10"/>
  <c r="E295" i="10"/>
  <c r="K295" i="10"/>
  <c r="G294" i="10"/>
  <c r="K294" i="10"/>
  <c r="E294" i="10"/>
  <c r="K293" i="10"/>
  <c r="D293" i="10"/>
  <c r="G293" i="10"/>
  <c r="C293" i="10"/>
  <c r="E293" i="10"/>
  <c r="E292" i="10"/>
  <c r="D292" i="10"/>
  <c r="C292" i="10"/>
  <c r="G292" i="10"/>
  <c r="K292" i="10"/>
  <c r="G291" i="10"/>
  <c r="K291" i="10"/>
  <c r="F291" i="10"/>
  <c r="D291" i="10"/>
  <c r="E291" i="10"/>
  <c r="G290" i="10"/>
  <c r="E290" i="10"/>
  <c r="F290" i="10"/>
  <c r="K290" i="10"/>
  <c r="B289" i="10"/>
  <c r="K289" i="10"/>
  <c r="G289" i="10"/>
  <c r="C289" i="10"/>
  <c r="E288" i="10"/>
  <c r="K288" i="10"/>
  <c r="F288" i="10"/>
  <c r="G288" i="10"/>
  <c r="H287" i="10"/>
  <c r="E287" i="10"/>
  <c r="K287" i="10"/>
  <c r="G287" i="10"/>
  <c r="F287" i="10"/>
  <c r="J287" i="10"/>
  <c r="I287" i="10"/>
  <c r="L287" i="10"/>
  <c r="F286" i="10"/>
  <c r="E286" i="10"/>
  <c r="K286" i="10"/>
  <c r="G286" i="10"/>
  <c r="D286" i="10"/>
  <c r="K285" i="10"/>
  <c r="G285" i="10"/>
  <c r="C284" i="10"/>
  <c r="D284" i="10"/>
  <c r="G284" i="10"/>
  <c r="K284" i="10"/>
  <c r="B283" i="10"/>
  <c r="K283" i="10"/>
  <c r="G283" i="10"/>
  <c r="C283" i="10"/>
  <c r="B282" i="10"/>
  <c r="E282" i="10"/>
  <c r="C282" i="10"/>
  <c r="D282" i="10"/>
  <c r="K282" i="10"/>
  <c r="G282" i="10"/>
  <c r="F282" i="10"/>
  <c r="C281" i="10"/>
  <c r="D281" i="10"/>
  <c r="K281" i="10"/>
  <c r="G281" i="10"/>
  <c r="G280" i="10"/>
  <c r="D280" i="10"/>
  <c r="C280" i="10"/>
  <c r="E280" i="10"/>
  <c r="K280" i="10"/>
  <c r="F280" i="10"/>
  <c r="C279" i="10"/>
  <c r="I279" i="10"/>
  <c r="F279" i="10"/>
  <c r="B279" i="10"/>
  <c r="E279" i="10"/>
  <c r="D279" i="10"/>
  <c r="K279" i="10"/>
  <c r="G279" i="10"/>
  <c r="A279" i="11"/>
  <c r="G278" i="10"/>
  <c r="K278" i="10"/>
  <c r="B278" i="10"/>
  <c r="C278" i="10"/>
  <c r="G277" i="10"/>
  <c r="E277" i="10"/>
  <c r="F277" i="10"/>
  <c r="D277" i="10"/>
  <c r="J277" i="10"/>
  <c r="K277" i="10"/>
  <c r="I277" i="10"/>
  <c r="H277" i="10"/>
  <c r="K276" i="10"/>
  <c r="E276" i="10"/>
  <c r="F276" i="10"/>
  <c r="G276" i="10"/>
  <c r="C276" i="10"/>
  <c r="D276" i="10"/>
  <c r="B275" i="10"/>
  <c r="K275" i="10"/>
  <c r="G275" i="10"/>
  <c r="D275" i="10"/>
  <c r="C275" i="10"/>
  <c r="B274" i="10"/>
  <c r="D274" i="10"/>
  <c r="G274" i="10"/>
  <c r="C274" i="10"/>
  <c r="K274" i="10"/>
  <c r="B273" i="10"/>
  <c r="G273" i="10"/>
  <c r="K273" i="10"/>
  <c r="D273" i="10"/>
  <c r="C273" i="10"/>
  <c r="E273" i="10"/>
  <c r="F272" i="10"/>
  <c r="E272" i="10"/>
  <c r="D272" i="10"/>
  <c r="G272" i="10"/>
  <c r="K272" i="10"/>
  <c r="G271" i="10"/>
  <c r="K271" i="10"/>
  <c r="E270" i="10"/>
  <c r="D270" i="10"/>
  <c r="K270" i="10"/>
  <c r="G270" i="10"/>
  <c r="F269" i="10"/>
  <c r="G269" i="10"/>
  <c r="K269" i="10"/>
  <c r="E269" i="10"/>
  <c r="G268" i="10"/>
  <c r="K268" i="10"/>
  <c r="D268" i="10"/>
  <c r="G267" i="10"/>
  <c r="E267" i="10"/>
  <c r="H267" i="10"/>
  <c r="K267" i="10"/>
  <c r="F267" i="10"/>
  <c r="D267" i="10"/>
  <c r="E266" i="10"/>
  <c r="G266" i="10"/>
  <c r="K266" i="10"/>
  <c r="H266" i="10"/>
  <c r="F266" i="10"/>
  <c r="G265" i="10"/>
  <c r="K265" i="10"/>
  <c r="E265" i="10"/>
  <c r="F265" i="10"/>
  <c r="I264" i="10"/>
  <c r="F264" i="10"/>
  <c r="D264" i="10"/>
  <c r="H264" i="10"/>
  <c r="E264" i="10"/>
  <c r="K264" i="10"/>
  <c r="G264" i="10"/>
  <c r="F263" i="10"/>
  <c r="K263" i="10"/>
  <c r="H263" i="10"/>
  <c r="E263" i="10"/>
  <c r="G263" i="10"/>
  <c r="G262" i="10"/>
  <c r="H262" i="10"/>
  <c r="F262" i="10"/>
  <c r="K262" i="10"/>
  <c r="E262" i="10"/>
  <c r="D262" i="10"/>
  <c r="D261" i="10"/>
  <c r="K261" i="10"/>
  <c r="G261" i="10"/>
  <c r="E261" i="10"/>
  <c r="C261" i="10"/>
  <c r="A261" i="11"/>
  <c r="C260" i="10"/>
  <c r="D260" i="10"/>
  <c r="K260" i="10"/>
  <c r="E260" i="10"/>
  <c r="B260" i="10"/>
  <c r="F260" i="10"/>
  <c r="G260" i="10"/>
  <c r="D259" i="10"/>
  <c r="K259" i="10"/>
  <c r="G259" i="10"/>
  <c r="B259" i="10"/>
  <c r="C259" i="10"/>
  <c r="B258" i="10"/>
  <c r="K258" i="10"/>
  <c r="G258" i="10"/>
  <c r="E257" i="10"/>
  <c r="K257" i="10"/>
  <c r="G257" i="10"/>
  <c r="D257" i="10"/>
  <c r="K256" i="10"/>
  <c r="G256" i="10"/>
  <c r="C256" i="10"/>
  <c r="D256" i="10"/>
  <c r="B255" i="10"/>
  <c r="K255" i="10"/>
  <c r="G255" i="10"/>
  <c r="E255" i="10"/>
  <c r="J255" i="10"/>
  <c r="F255" i="10"/>
  <c r="D255" i="10"/>
  <c r="H255" i="10"/>
  <c r="I255" i="10"/>
  <c r="C255" i="10"/>
  <c r="K254" i="10"/>
  <c r="C254" i="10"/>
  <c r="G254" i="10"/>
  <c r="B253" i="10"/>
  <c r="K253" i="10"/>
  <c r="G253" i="10"/>
  <c r="D253" i="10"/>
  <c r="C253" i="10"/>
  <c r="F253" i="10"/>
  <c r="E253" i="10"/>
  <c r="D252" i="10"/>
  <c r="C252" i="10"/>
  <c r="K252" i="10"/>
  <c r="G252" i="10"/>
  <c r="A252" i="11"/>
  <c r="G251" i="10"/>
  <c r="K251" i="10"/>
  <c r="K250" i="10"/>
  <c r="E250" i="10"/>
  <c r="F250" i="10"/>
  <c r="H250" i="10"/>
  <c r="C250" i="10"/>
  <c r="D250" i="10"/>
  <c r="G250" i="10"/>
  <c r="B249" i="10"/>
  <c r="K249" i="10"/>
  <c r="E249" i="10"/>
  <c r="C249" i="10"/>
  <c r="D249" i="10"/>
  <c r="G249" i="10"/>
  <c r="A249" i="11"/>
  <c r="C248" i="10"/>
  <c r="E248" i="10"/>
  <c r="K248" i="10"/>
  <c r="G248" i="10"/>
  <c r="D248" i="10"/>
  <c r="B248" i="10"/>
  <c r="C247" i="10"/>
  <c r="K247" i="10"/>
  <c r="G247" i="10"/>
  <c r="E247" i="10"/>
  <c r="D247" i="10"/>
  <c r="A247" i="11"/>
  <c r="G246" i="10"/>
  <c r="B246" i="10"/>
  <c r="K246" i="10"/>
  <c r="C246" i="10"/>
  <c r="G245" i="10"/>
  <c r="K245" i="10"/>
  <c r="C245" i="10"/>
  <c r="K244" i="10"/>
  <c r="D244" i="10"/>
  <c r="C244" i="10"/>
  <c r="E244" i="10"/>
  <c r="G244" i="10"/>
  <c r="K243" i="10"/>
  <c r="G243" i="10"/>
  <c r="G242" i="10"/>
  <c r="D242" i="10"/>
  <c r="K242" i="10"/>
  <c r="B241" i="10"/>
  <c r="D241" i="10"/>
  <c r="C241" i="10"/>
  <c r="G241" i="10"/>
  <c r="E241" i="10"/>
  <c r="F241" i="10"/>
  <c r="K241" i="10"/>
  <c r="G240" i="10"/>
  <c r="E240" i="10"/>
  <c r="K240" i="10"/>
  <c r="C240" i="10"/>
  <c r="F240" i="10"/>
  <c r="D240" i="10"/>
  <c r="B239" i="10"/>
  <c r="G239" i="10"/>
  <c r="K239" i="10"/>
  <c r="C239" i="10"/>
  <c r="D239" i="10"/>
  <c r="E239" i="10"/>
  <c r="F239" i="10"/>
  <c r="H239" i="10"/>
  <c r="B238" i="10"/>
  <c r="G238" i="10"/>
  <c r="D238" i="10"/>
  <c r="E238" i="10"/>
  <c r="K238" i="10"/>
  <c r="C238" i="10"/>
  <c r="A238" i="11"/>
  <c r="C237" i="10"/>
  <c r="G237" i="10"/>
  <c r="K237" i="10"/>
  <c r="B237" i="10"/>
  <c r="D237" i="10"/>
  <c r="E237" i="10"/>
  <c r="F236" i="10"/>
  <c r="C236" i="10"/>
  <c r="E236" i="10"/>
  <c r="K236" i="10"/>
  <c r="D236" i="10"/>
  <c r="G236" i="10"/>
  <c r="B236" i="10"/>
  <c r="E235" i="10"/>
  <c r="F235" i="10"/>
  <c r="H235" i="10"/>
  <c r="C235" i="10"/>
  <c r="G235" i="10"/>
  <c r="K235" i="10"/>
  <c r="B235" i="10"/>
  <c r="I235" i="10"/>
  <c r="D235" i="10"/>
  <c r="D234" i="10"/>
  <c r="K234" i="10"/>
  <c r="G234" i="10"/>
  <c r="C234" i="10"/>
  <c r="G233" i="10"/>
  <c r="K233" i="10"/>
  <c r="D233" i="10"/>
  <c r="F233" i="10"/>
  <c r="B232" i="10"/>
  <c r="G232" i="10"/>
  <c r="D232" i="10"/>
  <c r="K232" i="10"/>
  <c r="C232" i="10"/>
  <c r="G231" i="10"/>
  <c r="K231" i="10"/>
  <c r="D230" i="10"/>
  <c r="G230" i="10"/>
  <c r="K230" i="10"/>
  <c r="F230" i="10"/>
  <c r="C230" i="10"/>
  <c r="E230" i="10"/>
  <c r="H230" i="10"/>
  <c r="H229" i="10"/>
  <c r="K229" i="10"/>
  <c r="G229" i="10"/>
  <c r="F229" i="10"/>
  <c r="E229" i="10"/>
  <c r="D229" i="10"/>
  <c r="F228" i="10"/>
  <c r="K228" i="10"/>
  <c r="G228" i="10"/>
  <c r="D228" i="10"/>
  <c r="E228" i="10"/>
  <c r="C227" i="10"/>
  <c r="G227" i="10"/>
  <c r="K227" i="10"/>
  <c r="B226" i="10"/>
  <c r="D226" i="10"/>
  <c r="K226" i="10"/>
  <c r="G226" i="10"/>
  <c r="C226" i="10"/>
  <c r="G225" i="10"/>
  <c r="I225" i="10"/>
  <c r="F225" i="10"/>
  <c r="L225" i="10"/>
  <c r="H225" i="10"/>
  <c r="K225" i="10"/>
  <c r="E225" i="10"/>
  <c r="J225" i="10"/>
  <c r="E224" i="10"/>
  <c r="G224" i="10"/>
  <c r="K224" i="10"/>
  <c r="E223" i="10"/>
  <c r="D223" i="10"/>
  <c r="G223" i="10"/>
  <c r="K223" i="10"/>
  <c r="D222" i="10"/>
  <c r="E222" i="10"/>
  <c r="F222" i="10"/>
  <c r="K222" i="10"/>
  <c r="G222" i="10"/>
  <c r="H222" i="10"/>
  <c r="F221" i="10"/>
  <c r="E221" i="10"/>
  <c r="K221" i="10"/>
  <c r="H221" i="10"/>
  <c r="G221" i="10"/>
  <c r="D220" i="10"/>
  <c r="C220" i="10"/>
  <c r="G220" i="10"/>
  <c r="K220" i="10"/>
  <c r="E220" i="10"/>
  <c r="C219" i="10"/>
  <c r="G219" i="10"/>
  <c r="K219" i="10"/>
  <c r="G218" i="10"/>
  <c r="K218" i="10"/>
  <c r="D218" i="10"/>
  <c r="F217" i="10"/>
  <c r="L217" i="10"/>
  <c r="H217" i="10"/>
  <c r="J217" i="10"/>
  <c r="M217" i="10"/>
  <c r="K217" i="10"/>
  <c r="I217" i="10"/>
  <c r="E217" i="10"/>
  <c r="G217" i="10"/>
  <c r="K216" i="10"/>
  <c r="E216" i="10"/>
  <c r="G216" i="10"/>
  <c r="H216" i="10"/>
  <c r="F216" i="10"/>
  <c r="G215" i="10"/>
  <c r="D215" i="10"/>
  <c r="K215" i="10"/>
  <c r="D214" i="10"/>
  <c r="F214" i="10"/>
  <c r="J214" i="10"/>
  <c r="G214" i="10"/>
  <c r="H214" i="10"/>
  <c r="K214" i="10"/>
  <c r="E214" i="10"/>
  <c r="I214" i="10"/>
  <c r="M214" i="10"/>
  <c r="L214" i="10"/>
  <c r="A214" i="11"/>
  <c r="K213" i="10"/>
  <c r="B213" i="10"/>
  <c r="G213" i="10"/>
  <c r="C213" i="10"/>
  <c r="G212" i="10"/>
  <c r="K212" i="10"/>
  <c r="G211" i="10"/>
  <c r="J211" i="10"/>
  <c r="L211" i="10"/>
  <c r="I211" i="10"/>
  <c r="Q211" i="10"/>
  <c r="P211" i="10"/>
  <c r="H211" i="10"/>
  <c r="F211" i="10"/>
  <c r="E211" i="10"/>
  <c r="K211" i="10"/>
  <c r="M211" i="10"/>
  <c r="K210" i="10"/>
  <c r="G210" i="10"/>
  <c r="D210" i="10"/>
  <c r="K209" i="10"/>
  <c r="G209" i="10"/>
  <c r="G208" i="10"/>
  <c r="K208" i="10"/>
  <c r="E208" i="10"/>
  <c r="G207" i="10"/>
  <c r="K207" i="10"/>
  <c r="B206" i="10"/>
  <c r="G206" i="10"/>
  <c r="K206" i="10"/>
  <c r="C206" i="10"/>
  <c r="E205" i="10"/>
  <c r="G205" i="10"/>
  <c r="K205" i="10"/>
  <c r="D205" i="10"/>
  <c r="F205" i="10"/>
  <c r="P204" i="10"/>
  <c r="G204" i="10"/>
  <c r="F204" i="10"/>
  <c r="J204" i="10"/>
  <c r="E204" i="10"/>
  <c r="I204" i="10"/>
  <c r="L204" i="10"/>
  <c r="M204" i="10"/>
  <c r="K204" i="10"/>
  <c r="H204" i="10"/>
  <c r="Q204" i="10"/>
  <c r="K203" i="10"/>
  <c r="D203" i="10"/>
  <c r="G203" i="10"/>
  <c r="C203" i="10"/>
  <c r="G202" i="10"/>
  <c r="H202" i="10"/>
  <c r="L202" i="10"/>
  <c r="M202" i="10"/>
  <c r="I202" i="10"/>
  <c r="F202" i="10"/>
  <c r="K202" i="10"/>
  <c r="J202" i="10"/>
  <c r="E202" i="10"/>
  <c r="E201" i="10"/>
  <c r="G201" i="10"/>
  <c r="H201" i="10"/>
  <c r="F201" i="10"/>
  <c r="K201" i="10"/>
  <c r="K200" i="10"/>
  <c r="D200" i="10"/>
  <c r="G200" i="10"/>
  <c r="K199" i="10"/>
  <c r="G199" i="10"/>
  <c r="E199" i="10"/>
  <c r="C198" i="10"/>
  <c r="K198" i="10"/>
  <c r="G198" i="10"/>
  <c r="K197" i="10"/>
  <c r="G197" i="10"/>
  <c r="D196" i="10"/>
  <c r="K196" i="10"/>
  <c r="G196" i="10"/>
  <c r="G195" i="10"/>
  <c r="K195" i="10"/>
  <c r="E195" i="10"/>
  <c r="E194" i="10"/>
  <c r="K194" i="10"/>
  <c r="G194" i="10"/>
  <c r="D194" i="10"/>
  <c r="F194" i="10"/>
  <c r="K193" i="10"/>
  <c r="G193" i="10"/>
  <c r="D193" i="10"/>
  <c r="G192" i="10"/>
  <c r="E192" i="10"/>
  <c r="F192" i="10"/>
  <c r="K192" i="10"/>
  <c r="C192" i="10"/>
  <c r="G191" i="10"/>
  <c r="F191" i="10"/>
  <c r="K191" i="10"/>
  <c r="E191" i="10"/>
  <c r="H190" i="10"/>
  <c r="D190" i="10"/>
  <c r="I190" i="10"/>
  <c r="P190" i="10"/>
  <c r="Q190" i="10"/>
  <c r="K190" i="10"/>
  <c r="G190" i="10"/>
  <c r="J190" i="10"/>
  <c r="L190" i="10"/>
  <c r="M190" i="10"/>
  <c r="A994" i="12"/>
  <c r="A996" i="12"/>
  <c r="A908" i="12"/>
  <c r="A918" i="12"/>
  <c r="A923" i="12"/>
  <c r="A924" i="12"/>
  <c r="A935" i="12"/>
  <c r="A938" i="12"/>
  <c r="A940" i="12"/>
  <c r="A944" i="12"/>
  <c r="A947" i="12"/>
  <c r="A950" i="12"/>
  <c r="A951" i="12"/>
  <c r="A953" i="12"/>
  <c r="A962" i="12"/>
  <c r="A968" i="12"/>
  <c r="A971" i="12"/>
  <c r="A985" i="12"/>
  <c r="A989" i="12"/>
  <c r="A899" i="12"/>
  <c r="A900" i="12"/>
  <c r="A811" i="12"/>
  <c r="A703" i="12"/>
  <c r="A621" i="12"/>
  <c r="A627" i="12"/>
  <c r="A628" i="12"/>
  <c r="A807" i="12"/>
  <c r="A817" i="12"/>
  <c r="A822" i="12"/>
  <c r="A826" i="12"/>
  <c r="A827" i="12"/>
  <c r="A828" i="12"/>
  <c r="A837" i="12"/>
  <c r="A839" i="12"/>
  <c r="A849" i="12"/>
  <c r="A857" i="12"/>
  <c r="A858" i="12"/>
  <c r="A860" i="12"/>
  <c r="A863" i="12"/>
  <c r="A864" i="12"/>
  <c r="A865" i="12"/>
  <c r="A866" i="12"/>
  <c r="A867" i="12"/>
  <c r="A870" i="12"/>
  <c r="A877" i="12"/>
  <c r="A885" i="12"/>
  <c r="A892" i="12"/>
  <c r="A795" i="12"/>
  <c r="A801" i="12"/>
  <c r="A706" i="12"/>
  <c r="A711" i="12"/>
  <c r="A714" i="12"/>
  <c r="A719" i="12"/>
  <c r="A723" i="12"/>
  <c r="A725" i="12"/>
  <c r="A740" i="12"/>
  <c r="A757" i="12"/>
  <c r="A758" i="12"/>
  <c r="A763" i="12"/>
  <c r="A765" i="12"/>
  <c r="A768" i="12"/>
  <c r="A772" i="12"/>
  <c r="A775" i="12"/>
  <c r="A776" i="12"/>
  <c r="A777" i="12"/>
  <c r="A782" i="12"/>
  <c r="A790" i="12"/>
  <c r="A616" i="12"/>
  <c r="A619" i="12"/>
  <c r="A623" i="12"/>
  <c r="A624" i="12"/>
  <c r="J627" i="12"/>
  <c r="I627" i="12"/>
  <c r="H627" i="12"/>
  <c r="G627" i="12"/>
  <c r="A632" i="12"/>
  <c r="A651" i="12"/>
  <c r="A653" i="12"/>
  <c r="A654" i="12"/>
  <c r="A667" i="12"/>
  <c r="A668" i="12"/>
  <c r="A669" i="12"/>
  <c r="A684" i="12"/>
  <c r="A690" i="12"/>
  <c r="A557" i="12"/>
  <c r="A561" i="12"/>
  <c r="A601" i="12"/>
  <c r="A604" i="12"/>
  <c r="A506" i="12"/>
  <c r="A510" i="12"/>
  <c r="A512" i="12"/>
  <c r="A515" i="12"/>
  <c r="A517" i="12"/>
  <c r="A520" i="12"/>
  <c r="A521" i="12"/>
  <c r="A524" i="12"/>
  <c r="A528" i="12"/>
  <c r="A529" i="12"/>
  <c r="A531" i="12"/>
  <c r="A533" i="12"/>
  <c r="A534" i="12"/>
  <c r="A536" i="12"/>
  <c r="A538" i="12"/>
  <c r="A543" i="12"/>
  <c r="A544" i="12"/>
  <c r="A545" i="12"/>
  <c r="A555" i="12"/>
  <c r="A571" i="12"/>
  <c r="A573" i="12"/>
  <c r="A578" i="12"/>
  <c r="A580" i="12"/>
  <c r="A581" i="12"/>
  <c r="A583" i="12"/>
  <c r="A586" i="12"/>
  <c r="A587" i="12"/>
  <c r="A593" i="12"/>
  <c r="A496" i="12"/>
  <c r="A504" i="12"/>
  <c r="A505" i="12"/>
  <c r="A406" i="12"/>
  <c r="A411" i="12"/>
  <c r="A421" i="12"/>
  <c r="A423" i="12"/>
  <c r="A427" i="12"/>
  <c r="A432" i="12"/>
  <c r="A434" i="12"/>
  <c r="A435" i="12"/>
  <c r="A438" i="12"/>
  <c r="A440" i="12"/>
  <c r="A442" i="12"/>
  <c r="A445" i="12"/>
  <c r="A448" i="12"/>
  <c r="A453" i="12"/>
  <c r="A454" i="12"/>
  <c r="A456" i="12"/>
  <c r="A458" i="12"/>
  <c r="A465" i="12"/>
  <c r="A468" i="12"/>
  <c r="A479" i="12"/>
  <c r="A484" i="12"/>
  <c r="A487" i="12"/>
  <c r="A491" i="12"/>
  <c r="A492" i="12"/>
  <c r="A394" i="12"/>
  <c r="A398" i="12"/>
  <c r="A399" i="12"/>
  <c r="A402" i="12"/>
  <c r="A403" i="12"/>
  <c r="A404" i="12"/>
  <c r="A311" i="12"/>
  <c r="A316" i="12"/>
  <c r="A322" i="12"/>
  <c r="A328" i="12"/>
  <c r="A333" i="12"/>
  <c r="A334" i="12"/>
  <c r="A337" i="12"/>
  <c r="A342" i="12"/>
  <c r="A344" i="12"/>
  <c r="A345" i="12"/>
  <c r="A346" i="12"/>
  <c r="A355" i="12"/>
  <c r="A356" i="12"/>
  <c r="A359" i="12"/>
  <c r="A360" i="12"/>
  <c r="A364" i="12"/>
  <c r="A370" i="12"/>
  <c r="A377" i="12"/>
  <c r="A379" i="12"/>
  <c r="A382" i="12"/>
  <c r="A388" i="12"/>
  <c r="A391" i="12"/>
  <c r="A297" i="12"/>
  <c r="A305" i="12"/>
  <c r="A206" i="12"/>
  <c r="A212" i="12"/>
  <c r="A215" i="12"/>
  <c r="A225" i="12"/>
  <c r="A228" i="12"/>
  <c r="A229" i="12"/>
  <c r="A230" i="12"/>
  <c r="A233" i="12"/>
  <c r="A234" i="12"/>
  <c r="A235" i="12"/>
  <c r="A237" i="12"/>
  <c r="A239" i="12"/>
  <c r="A243" i="12"/>
  <c r="A251" i="12"/>
  <c r="A253" i="12"/>
  <c r="A254" i="12"/>
  <c r="A257" i="12"/>
  <c r="A264" i="12"/>
  <c r="A107" i="12"/>
  <c r="A110" i="12"/>
  <c r="A111" i="12"/>
  <c r="A112" i="12"/>
  <c r="A116" i="12"/>
  <c r="A126" i="12"/>
  <c r="A144" i="12"/>
  <c r="A151" i="12"/>
  <c r="A170" i="12"/>
  <c r="A182" i="12"/>
  <c r="A187" i="12"/>
  <c r="A462" i="12"/>
  <c r="D562" i="13"/>
  <c r="E562" i="13"/>
  <c r="D576" i="13"/>
  <c r="F576" i="13"/>
  <c r="E576" i="13"/>
  <c r="G576" i="13"/>
  <c r="I578" i="13"/>
  <c r="J578" i="13"/>
  <c r="B585" i="13"/>
  <c r="C585" i="13"/>
  <c r="F585" i="13"/>
  <c r="E585" i="13"/>
  <c r="D585" i="13"/>
  <c r="E590" i="13"/>
  <c r="G590" i="13"/>
  <c r="F590" i="13"/>
  <c r="C599" i="13"/>
  <c r="B599" i="13"/>
  <c r="G407" i="13"/>
  <c r="H407" i="13"/>
  <c r="D411" i="13"/>
  <c r="E411" i="13"/>
  <c r="B414" i="13"/>
  <c r="C414" i="13"/>
  <c r="E415" i="13"/>
  <c r="F415" i="13"/>
  <c r="D417" i="13"/>
  <c r="E417" i="13"/>
  <c r="D418" i="13"/>
  <c r="E418" i="13"/>
  <c r="F418" i="13"/>
  <c r="G418" i="13"/>
  <c r="D419" i="13"/>
  <c r="E419" i="13"/>
  <c r="G420" i="13"/>
  <c r="H420" i="13"/>
  <c r="D423" i="13"/>
  <c r="E423" i="13"/>
  <c r="B424" i="13"/>
  <c r="C424" i="13"/>
  <c r="B457" i="13"/>
  <c r="C457" i="13"/>
  <c r="D457" i="13"/>
  <c r="F458" i="13"/>
  <c r="G458" i="13"/>
  <c r="E463" i="13"/>
  <c r="F463" i="13"/>
  <c r="D466" i="13"/>
  <c r="E466" i="13"/>
  <c r="F471" i="13"/>
  <c r="H471" i="13"/>
  <c r="G471" i="13"/>
  <c r="G472" i="13"/>
  <c r="F472" i="13"/>
  <c r="G476" i="13"/>
  <c r="H476" i="13"/>
  <c r="F477" i="13"/>
  <c r="G477" i="13"/>
  <c r="F480" i="13"/>
  <c r="G480" i="13"/>
  <c r="H480" i="13"/>
  <c r="D481" i="13"/>
  <c r="E481" i="13"/>
  <c r="F481" i="13"/>
  <c r="G481" i="13"/>
  <c r="B482" i="13"/>
  <c r="C482" i="13"/>
  <c r="E483" i="13"/>
  <c r="G483" i="13"/>
  <c r="F483" i="13"/>
  <c r="H483" i="13"/>
  <c r="E486" i="13"/>
  <c r="G486" i="13"/>
  <c r="H486" i="13"/>
  <c r="F486" i="13"/>
  <c r="H487" i="13"/>
  <c r="G487" i="13"/>
  <c r="D490" i="13"/>
  <c r="E490" i="13"/>
  <c r="F490" i="13"/>
  <c r="F491" i="13"/>
  <c r="G491" i="13"/>
  <c r="E497" i="13"/>
  <c r="G497" i="13"/>
  <c r="F497" i="13"/>
  <c r="D498" i="13"/>
  <c r="E498" i="13"/>
  <c r="B500" i="13"/>
  <c r="D500" i="13"/>
  <c r="C500" i="13"/>
  <c r="B501" i="13"/>
  <c r="C501" i="13"/>
  <c r="D509" i="13"/>
  <c r="F509" i="13"/>
  <c r="E509" i="13"/>
  <c r="F512" i="13"/>
  <c r="G512" i="13"/>
  <c r="B515" i="13"/>
  <c r="D515" i="13"/>
  <c r="C515" i="13"/>
  <c r="F517" i="13"/>
  <c r="G517" i="13"/>
  <c r="D521" i="13"/>
  <c r="F521" i="13"/>
  <c r="E521" i="13"/>
  <c r="D524" i="13"/>
  <c r="E524" i="13"/>
  <c r="F524" i="13"/>
  <c r="D528" i="13"/>
  <c r="E528" i="13"/>
  <c r="F531" i="13"/>
  <c r="G531" i="13"/>
  <c r="H531" i="13"/>
  <c r="G533" i="13"/>
  <c r="H533" i="13"/>
  <c r="D539" i="13"/>
  <c r="E539" i="13"/>
  <c r="D540" i="13"/>
  <c r="F540" i="13"/>
  <c r="E540" i="13"/>
  <c r="H542" i="13"/>
  <c r="G542" i="13"/>
  <c r="F544" i="13"/>
  <c r="H544" i="13"/>
  <c r="G544" i="13"/>
  <c r="F545" i="13"/>
  <c r="G545" i="13"/>
  <c r="H545" i="13"/>
  <c r="I546" i="13"/>
  <c r="J546" i="13"/>
  <c r="F548" i="13"/>
  <c r="G548" i="13"/>
  <c r="H548" i="13"/>
  <c r="F549" i="13"/>
  <c r="G549" i="13"/>
  <c r="H549" i="13"/>
  <c r="D551" i="13"/>
  <c r="E551" i="13"/>
  <c r="F551" i="13"/>
  <c r="F552" i="13"/>
  <c r="G552" i="13"/>
  <c r="F554" i="13"/>
  <c r="G554" i="13"/>
  <c r="H554" i="13"/>
  <c r="B358" i="13"/>
  <c r="C358" i="13"/>
  <c r="D367" i="13"/>
  <c r="E367" i="13"/>
  <c r="H372" i="13"/>
  <c r="G372" i="13"/>
  <c r="I372" i="13"/>
  <c r="F374" i="13"/>
  <c r="G374" i="13"/>
  <c r="B375" i="13"/>
  <c r="C375" i="13"/>
  <c r="D376" i="13"/>
  <c r="E376" i="13"/>
  <c r="D380" i="13"/>
  <c r="F380" i="13"/>
  <c r="E380" i="13"/>
  <c r="F381" i="13"/>
  <c r="G381" i="13"/>
  <c r="I382" i="13"/>
  <c r="H382" i="13"/>
  <c r="B384" i="13"/>
  <c r="C384" i="13"/>
  <c r="E386" i="13"/>
  <c r="F386" i="13"/>
  <c r="F387" i="13"/>
  <c r="E387" i="13"/>
  <c r="G396" i="13"/>
  <c r="H396" i="13"/>
  <c r="D270" i="13"/>
  <c r="I272" i="13"/>
  <c r="J272" i="13"/>
  <c r="J273" i="13"/>
  <c r="I273" i="13"/>
  <c r="H273" i="13"/>
  <c r="G273" i="13"/>
  <c r="J274" i="13"/>
  <c r="I274" i="13"/>
  <c r="H275" i="13"/>
  <c r="I275" i="13"/>
  <c r="J275" i="13"/>
  <c r="J276" i="13"/>
  <c r="I276" i="13"/>
  <c r="H278" i="13"/>
  <c r="J278" i="13"/>
  <c r="E279" i="13"/>
  <c r="F279" i="13"/>
  <c r="D280" i="13"/>
  <c r="E280" i="13"/>
  <c r="G281" i="13"/>
  <c r="F281" i="13"/>
  <c r="F284" i="13"/>
  <c r="G284" i="13"/>
  <c r="E290" i="13"/>
  <c r="F290" i="13"/>
  <c r="G290" i="13"/>
  <c r="J291" i="13"/>
  <c r="I291" i="13"/>
  <c r="H291" i="13"/>
  <c r="I292" i="13"/>
  <c r="J292" i="13"/>
  <c r="F293" i="13"/>
  <c r="E293" i="13"/>
  <c r="G296" i="13"/>
  <c r="H296" i="13"/>
  <c r="G304" i="13"/>
  <c r="F304" i="13"/>
  <c r="F307" i="13"/>
  <c r="G307" i="13"/>
  <c r="H307" i="13"/>
  <c r="I307" i="13"/>
  <c r="E308" i="13"/>
  <c r="D308" i="13"/>
  <c r="H309" i="13"/>
  <c r="I309" i="13"/>
  <c r="J309" i="13"/>
  <c r="G313" i="13"/>
  <c r="H313" i="13"/>
  <c r="I313" i="13"/>
  <c r="H319" i="13"/>
  <c r="I319" i="13"/>
  <c r="F325" i="13"/>
  <c r="G325" i="13"/>
  <c r="D326" i="13"/>
  <c r="E326" i="13"/>
  <c r="F326" i="13"/>
  <c r="G326" i="13"/>
  <c r="C327" i="13"/>
  <c r="E327" i="13"/>
  <c r="I330" i="13"/>
  <c r="J330" i="13"/>
  <c r="E331" i="13"/>
  <c r="F331" i="13"/>
  <c r="G331" i="13"/>
  <c r="J334" i="13"/>
  <c r="I334" i="13"/>
  <c r="E336" i="13"/>
  <c r="F336" i="13"/>
  <c r="B341" i="13"/>
  <c r="C341" i="13"/>
  <c r="E343" i="13"/>
  <c r="F343" i="13"/>
  <c r="E345" i="13"/>
  <c r="F345" i="13"/>
  <c r="H347" i="13"/>
  <c r="G347" i="13"/>
  <c r="F352" i="13"/>
  <c r="G352" i="13"/>
  <c r="E354" i="13"/>
  <c r="D354" i="13"/>
  <c r="N293" i="10"/>
  <c r="O293" i="10" a="1"/>
  <c r="N210" i="10"/>
  <c r="O210" i="10" a="1"/>
  <c r="L76" i="10"/>
  <c r="M76" i="10" s="1"/>
  <c r="L77" i="10"/>
  <c r="M77" i="10" s="1"/>
  <c r="L75" i="10"/>
  <c r="M75" i="10" s="1"/>
  <c r="L78" i="10"/>
  <c r="M78" i="10" s="1"/>
  <c r="A455" i="12"/>
  <c r="D556" i="13"/>
  <c r="C556" i="13"/>
  <c r="B556" i="13"/>
  <c r="D564" i="13"/>
  <c r="E564" i="13"/>
  <c r="F564" i="13"/>
  <c r="I572" i="13"/>
  <c r="H572" i="13"/>
  <c r="F575" i="13"/>
  <c r="G575" i="13"/>
  <c r="E577" i="13"/>
  <c r="F577" i="13"/>
  <c r="H578" i="13"/>
  <c r="G578" i="13"/>
  <c r="F578" i="13"/>
  <c r="G579" i="13"/>
  <c r="H579" i="13"/>
  <c r="I579" i="13"/>
  <c r="F579" i="13"/>
  <c r="B410" i="13"/>
  <c r="C410" i="13"/>
  <c r="B421" i="13"/>
  <c r="C421" i="13"/>
  <c r="D421" i="13"/>
  <c r="D426" i="13"/>
  <c r="E426" i="13"/>
  <c r="D436" i="13"/>
  <c r="E436" i="13"/>
  <c r="H437" i="13"/>
  <c r="I437" i="13"/>
  <c r="E438" i="13"/>
  <c r="F438" i="13"/>
  <c r="F439" i="13"/>
  <c r="G439" i="13"/>
  <c r="B441" i="13"/>
  <c r="D441" i="13"/>
  <c r="C441" i="13"/>
  <c r="I442" i="13"/>
  <c r="H442" i="13"/>
  <c r="G442" i="13"/>
  <c r="F446" i="13"/>
  <c r="D446" i="13"/>
  <c r="E446" i="13"/>
  <c r="B448" i="13"/>
  <c r="C448" i="13"/>
  <c r="B452" i="13"/>
  <c r="C452" i="13"/>
  <c r="B454" i="13"/>
  <c r="C454" i="13"/>
  <c r="I455" i="13"/>
  <c r="J455" i="13"/>
  <c r="B456" i="13"/>
  <c r="C456" i="13"/>
  <c r="D458" i="13"/>
  <c r="E458" i="13"/>
  <c r="F461" i="13"/>
  <c r="E461" i="13"/>
  <c r="G464" i="13"/>
  <c r="F464" i="13"/>
  <c r="B467" i="13"/>
  <c r="C467" i="13"/>
  <c r="B468" i="13"/>
  <c r="C468" i="13"/>
  <c r="B470" i="13"/>
  <c r="C470" i="13"/>
  <c r="D470" i="13"/>
  <c r="E471" i="13"/>
  <c r="D471" i="13"/>
  <c r="E472" i="13"/>
  <c r="D472" i="13"/>
  <c r="F473" i="13"/>
  <c r="E473" i="13"/>
  <c r="E476" i="13"/>
  <c r="F476" i="13"/>
  <c r="E477" i="13"/>
  <c r="D477" i="13"/>
  <c r="J484" i="13"/>
  <c r="I484" i="13"/>
  <c r="B485" i="13"/>
  <c r="C485" i="13"/>
  <c r="F487" i="13"/>
  <c r="E487" i="13"/>
  <c r="D487" i="13"/>
  <c r="F493" i="13"/>
  <c r="D493" i="13"/>
  <c r="E493" i="13"/>
  <c r="D494" i="13"/>
  <c r="E494" i="13"/>
  <c r="B498" i="13"/>
  <c r="C498" i="13"/>
  <c r="B499" i="13"/>
  <c r="C499" i="13"/>
  <c r="D499" i="13"/>
  <c r="B502" i="13"/>
  <c r="C502" i="13"/>
  <c r="F503" i="13"/>
  <c r="E503" i="13"/>
  <c r="G503" i="13"/>
  <c r="D505" i="13"/>
  <c r="E505" i="13"/>
  <c r="F505" i="13"/>
  <c r="D506" i="13"/>
  <c r="E506" i="13"/>
  <c r="B508" i="13"/>
  <c r="C508" i="13"/>
  <c r="D508" i="13"/>
  <c r="B510" i="13"/>
  <c r="C510" i="13"/>
  <c r="D510" i="13"/>
  <c r="B511" i="13"/>
  <c r="C511" i="13"/>
  <c r="D511" i="13"/>
  <c r="H514" i="13"/>
  <c r="I514" i="13"/>
  <c r="E517" i="13"/>
  <c r="D517" i="13"/>
  <c r="B519" i="13"/>
  <c r="C519" i="13"/>
  <c r="B525" i="13"/>
  <c r="C525" i="13"/>
  <c r="E526" i="13"/>
  <c r="F526" i="13"/>
  <c r="D529" i="13"/>
  <c r="G529" i="13"/>
  <c r="E529" i="13"/>
  <c r="F529" i="13"/>
  <c r="C530" i="13"/>
  <c r="D530" i="13"/>
  <c r="B530" i="13"/>
  <c r="E533" i="13"/>
  <c r="F533" i="13"/>
  <c r="E534" i="13"/>
  <c r="D534" i="13"/>
  <c r="B535" i="13"/>
  <c r="C535" i="13"/>
  <c r="E536" i="13"/>
  <c r="F536" i="13"/>
  <c r="E537" i="13"/>
  <c r="D537" i="13"/>
  <c r="B538" i="13"/>
  <c r="C538" i="13"/>
  <c r="D538" i="13"/>
  <c r="C541" i="13"/>
  <c r="B541" i="13"/>
  <c r="E542" i="13"/>
  <c r="F542" i="13"/>
  <c r="D543" i="13"/>
  <c r="E543" i="13"/>
  <c r="E544" i="13"/>
  <c r="D544" i="13"/>
  <c r="D545" i="13"/>
  <c r="E545" i="13"/>
  <c r="G546" i="13"/>
  <c r="H546" i="13"/>
  <c r="J547" i="13"/>
  <c r="H547" i="13"/>
  <c r="F547" i="13"/>
  <c r="E547" i="13"/>
  <c r="I547" i="13"/>
  <c r="G547" i="13"/>
  <c r="D547" i="13"/>
  <c r="B548" i="13"/>
  <c r="C548" i="13"/>
  <c r="E548" i="13"/>
  <c r="D548" i="13"/>
  <c r="B550" i="13"/>
  <c r="C550" i="13"/>
  <c r="F553" i="13"/>
  <c r="E553" i="13"/>
  <c r="D554" i="13"/>
  <c r="E554" i="13"/>
  <c r="G357" i="13"/>
  <c r="I357" i="13"/>
  <c r="H357" i="13"/>
  <c r="F357" i="13"/>
  <c r="E359" i="13"/>
  <c r="G359" i="13"/>
  <c r="F359" i="13"/>
  <c r="B360" i="13"/>
  <c r="C360" i="13"/>
  <c r="D360" i="13"/>
  <c r="G361" i="13"/>
  <c r="F361" i="13"/>
  <c r="B362" i="13"/>
  <c r="C362" i="13"/>
  <c r="E363" i="13"/>
  <c r="F363" i="13"/>
  <c r="F365" i="13"/>
  <c r="E365" i="13"/>
  <c r="B366" i="13"/>
  <c r="C366" i="13"/>
  <c r="C369" i="13"/>
  <c r="B369" i="13"/>
  <c r="C370" i="13"/>
  <c r="B370" i="13"/>
  <c r="B371" i="13"/>
  <c r="C371" i="13"/>
  <c r="F372" i="13"/>
  <c r="D372" i="13"/>
  <c r="E372" i="13"/>
  <c r="E373" i="13"/>
  <c r="D373" i="13"/>
  <c r="E374" i="13"/>
  <c r="D374" i="13"/>
  <c r="B377" i="13"/>
  <c r="C377" i="13"/>
  <c r="B378" i="13"/>
  <c r="C378" i="13"/>
  <c r="D378" i="13"/>
  <c r="B379" i="13"/>
  <c r="D379" i="13"/>
  <c r="C379" i="13"/>
  <c r="D381" i="13"/>
  <c r="E381" i="13"/>
  <c r="B382" i="13"/>
  <c r="C382" i="13"/>
  <c r="E382" i="13"/>
  <c r="G382" i="13"/>
  <c r="F382" i="13"/>
  <c r="D382" i="13"/>
  <c r="B385" i="13"/>
  <c r="C385" i="13"/>
  <c r="F385" i="13"/>
  <c r="E385" i="13"/>
  <c r="D385" i="13"/>
  <c r="B386" i="13"/>
  <c r="C386" i="13"/>
  <c r="D386" i="13"/>
  <c r="B387" i="13"/>
  <c r="C387" i="13"/>
  <c r="D387" i="13"/>
  <c r="G391" i="13"/>
  <c r="E391" i="13"/>
  <c r="F391" i="13"/>
  <c r="B392" i="13"/>
  <c r="E392" i="13"/>
  <c r="F392" i="13"/>
  <c r="C392" i="13"/>
  <c r="D392" i="13"/>
  <c r="D393" i="13"/>
  <c r="F393" i="13"/>
  <c r="B394" i="13"/>
  <c r="D394" i="13"/>
  <c r="C394" i="13"/>
  <c r="B395" i="13"/>
  <c r="C395" i="13"/>
  <c r="D395" i="13"/>
  <c r="D397" i="13"/>
  <c r="F397" i="13"/>
  <c r="E397" i="13"/>
  <c r="B398" i="13"/>
  <c r="C398" i="13"/>
  <c r="E398" i="13"/>
  <c r="D398" i="13"/>
  <c r="B400" i="13"/>
  <c r="C400" i="13"/>
  <c r="D403" i="13"/>
  <c r="E403" i="13"/>
  <c r="D250" i="13"/>
  <c r="B252" i="13"/>
  <c r="C252" i="13"/>
  <c r="D254" i="13"/>
  <c r="D261" i="13"/>
  <c r="D262" i="13"/>
  <c r="D263" i="13"/>
  <c r="C270" i="13"/>
  <c r="B270" i="13"/>
  <c r="G272" i="13"/>
  <c r="F272" i="13"/>
  <c r="H272" i="13"/>
  <c r="E272" i="13"/>
  <c r="E273" i="13"/>
  <c r="F273" i="13"/>
  <c r="H274" i="13"/>
  <c r="G274" i="13"/>
  <c r="F274" i="13"/>
  <c r="E274" i="13"/>
  <c r="D275" i="13"/>
  <c r="F275" i="13"/>
  <c r="E275" i="13"/>
  <c r="G275" i="13"/>
  <c r="H276" i="13"/>
  <c r="G276" i="13"/>
  <c r="F276" i="13"/>
  <c r="G278" i="13"/>
  <c r="I278" i="13"/>
  <c r="B282" i="13"/>
  <c r="C282" i="13"/>
  <c r="G283" i="13"/>
  <c r="F283" i="13"/>
  <c r="B284" i="13"/>
  <c r="C284" i="13"/>
  <c r="E284" i="13"/>
  <c r="D284" i="13"/>
  <c r="E285" i="13"/>
  <c r="F285" i="13"/>
  <c r="D285" i="13"/>
  <c r="G285" i="13"/>
  <c r="G287" i="13"/>
  <c r="I287" i="13"/>
  <c r="H287" i="13"/>
  <c r="J287" i="13"/>
  <c r="D288" i="13"/>
  <c r="F288" i="13"/>
  <c r="E288" i="13"/>
  <c r="D289" i="13"/>
  <c r="E289" i="13"/>
  <c r="E291" i="13"/>
  <c r="F291" i="13"/>
  <c r="G291" i="13"/>
  <c r="D292" i="13"/>
  <c r="G292" i="13"/>
  <c r="F292" i="13"/>
  <c r="H292" i="13"/>
  <c r="E292" i="13"/>
  <c r="B293" i="13"/>
  <c r="D293" i="13"/>
  <c r="C293" i="13"/>
  <c r="G297" i="13"/>
  <c r="H297" i="13"/>
  <c r="I297" i="13"/>
  <c r="F297" i="13"/>
  <c r="D301" i="13"/>
  <c r="E301" i="13"/>
  <c r="F301" i="13"/>
  <c r="F302" i="13"/>
  <c r="G302" i="13"/>
  <c r="E305" i="13"/>
  <c r="H305" i="13"/>
  <c r="F305" i="13"/>
  <c r="G305" i="13"/>
  <c r="I305" i="13"/>
  <c r="B306" i="13"/>
  <c r="D306" i="13"/>
  <c r="C306" i="13"/>
  <c r="E306" i="13"/>
  <c r="B308" i="13"/>
  <c r="C308" i="13"/>
  <c r="G309" i="13"/>
  <c r="F309" i="13"/>
  <c r="D311" i="13"/>
  <c r="E311" i="13"/>
  <c r="D312" i="13"/>
  <c r="E312" i="13"/>
  <c r="H314" i="13"/>
  <c r="G314" i="13"/>
  <c r="H315" i="13"/>
  <c r="F315" i="13"/>
  <c r="G315" i="13"/>
  <c r="E318" i="13"/>
  <c r="D318" i="13"/>
  <c r="F318" i="13"/>
  <c r="I320" i="13"/>
  <c r="J320" i="13"/>
  <c r="I321" i="13"/>
  <c r="H321" i="13"/>
  <c r="E322" i="13"/>
  <c r="F322" i="13"/>
  <c r="H322" i="13"/>
  <c r="G322" i="13"/>
  <c r="B323" i="13"/>
  <c r="C323" i="13"/>
  <c r="E323" i="13"/>
  <c r="D323" i="13"/>
  <c r="B324" i="13"/>
  <c r="D324" i="13"/>
  <c r="C324" i="13"/>
  <c r="E324" i="13"/>
  <c r="D328" i="13"/>
  <c r="E328" i="13"/>
  <c r="H330" i="13"/>
  <c r="G330" i="13"/>
  <c r="B331" i="13"/>
  <c r="D331" i="13"/>
  <c r="C331" i="13"/>
  <c r="D333" i="13"/>
  <c r="E333" i="13"/>
  <c r="F334" i="13"/>
  <c r="H334" i="13"/>
  <c r="G334" i="13"/>
  <c r="F335" i="13"/>
  <c r="E335" i="13"/>
  <c r="D335" i="13"/>
  <c r="B336" i="13"/>
  <c r="C336" i="13"/>
  <c r="D336" i="13"/>
  <c r="G337" i="13"/>
  <c r="F337" i="13"/>
  <c r="E337" i="13"/>
  <c r="H337" i="13"/>
  <c r="I338" i="13"/>
  <c r="J338" i="13"/>
  <c r="E339" i="13"/>
  <c r="D339" i="13"/>
  <c r="B340" i="13"/>
  <c r="C340" i="13"/>
  <c r="G344" i="13"/>
  <c r="E344" i="13"/>
  <c r="F344" i="13"/>
  <c r="B345" i="13"/>
  <c r="C345" i="13"/>
  <c r="D345" i="13"/>
  <c r="B346" i="13"/>
  <c r="D346" i="13"/>
  <c r="E346" i="13"/>
  <c r="C346" i="13"/>
  <c r="D347" i="13"/>
  <c r="F347" i="13"/>
  <c r="E347" i="13"/>
  <c r="B348" i="13"/>
  <c r="C348" i="13"/>
  <c r="D348" i="13"/>
  <c r="B349" i="13"/>
  <c r="C349" i="13"/>
  <c r="B350" i="13"/>
  <c r="D350" i="13"/>
  <c r="C350" i="13"/>
  <c r="B351" i="13"/>
  <c r="C351" i="13"/>
  <c r="B352" i="13"/>
  <c r="E352" i="13"/>
  <c r="C352" i="13"/>
  <c r="D352" i="13"/>
  <c r="B353" i="13"/>
  <c r="D353" i="13"/>
  <c r="E353" i="13"/>
  <c r="C353" i="13"/>
  <c r="B354" i="13"/>
  <c r="C354" i="13"/>
  <c r="C14" i="15"/>
  <c r="A1135" i="12"/>
  <c r="A1037" i="12"/>
  <c r="A321" i="12"/>
  <c r="L105" i="10"/>
  <c r="M105" i="10" s="1"/>
  <c r="L104" i="10"/>
  <c r="M104" i="10" s="1"/>
  <c r="L90" i="10"/>
  <c r="M90" i="10" s="1"/>
  <c r="L89" i="10"/>
  <c r="M89" i="10" s="1"/>
  <c r="L88" i="10"/>
  <c r="M88" i="10" s="1"/>
  <c r="L87" i="10"/>
  <c r="M87" i="10" s="1"/>
  <c r="L85" i="10"/>
  <c r="M85" i="10" s="1"/>
  <c r="L84" i="10"/>
  <c r="M84" i="10" s="1"/>
  <c r="L83" i="10"/>
  <c r="M83" i="10" s="1"/>
  <c r="L82" i="10"/>
  <c r="M82" i="10" s="1"/>
  <c r="L81" i="10"/>
  <c r="M81" i="10" s="1"/>
  <c r="L80" i="10"/>
  <c r="M80" i="10" s="1"/>
  <c r="L79" i="10"/>
  <c r="M79" i="10" s="1"/>
  <c r="C9" i="15"/>
  <c r="L99" i="10"/>
  <c r="M99" i="10" s="1"/>
  <c r="L101" i="10"/>
  <c r="M101" i="10" s="1"/>
  <c r="L102" i="10"/>
  <c r="M102" i="10" s="1"/>
  <c r="L103" i="10"/>
  <c r="M103" i="10" s="1"/>
  <c r="L118" i="10"/>
  <c r="M118" i="10" s="1"/>
  <c r="L117" i="10"/>
  <c r="M117" i="10" s="1"/>
  <c r="L116" i="10"/>
  <c r="M116" i="10" s="1"/>
  <c r="L115" i="10"/>
  <c r="M115" i="10" s="1"/>
  <c r="L113" i="10"/>
  <c r="M113" i="10" s="1"/>
  <c r="L112" i="10"/>
  <c r="M112" i="10" s="1"/>
  <c r="L111" i="10"/>
  <c r="M111" i="10" s="1"/>
  <c r="L98" i="10"/>
  <c r="M98" i="10" s="1"/>
  <c r="L110" i="10"/>
  <c r="M110" i="10" s="1"/>
  <c r="L109" i="10"/>
  <c r="M109" i="10" s="1"/>
  <c r="L108" i="10"/>
  <c r="M108" i="10" s="1"/>
  <c r="L107" i="10"/>
  <c r="M107" i="10" s="1"/>
  <c r="L106" i="10"/>
  <c r="M106" i="10" s="1"/>
  <c r="L91" i="10"/>
  <c r="M91" i="10" s="1"/>
  <c r="L92" i="10"/>
  <c r="M92" i="10" s="1"/>
  <c r="L93" i="10"/>
  <c r="M93" i="10" s="1"/>
  <c r="L100" i="10"/>
  <c r="M100" i="10" s="1"/>
  <c r="L94" i="10"/>
  <c r="M94" i="10" s="1"/>
  <c r="L95" i="10"/>
  <c r="M95" i="10" s="1"/>
  <c r="L96" i="10"/>
  <c r="M96" i="10" s="1"/>
  <c r="L97" i="10"/>
  <c r="M97" i="10" s="1"/>
  <c r="A15" i="12"/>
  <c r="L72" i="10"/>
  <c r="M72" i="10" s="1"/>
  <c r="A17" i="12"/>
  <c r="A19" i="12"/>
  <c r="A20" i="12"/>
  <c r="L69" i="10"/>
  <c r="M69" i="10" s="1"/>
  <c r="A24" i="12"/>
  <c r="L66" i="10"/>
  <c r="M66" i="10" s="1"/>
  <c r="A25" i="12"/>
  <c r="L63" i="10"/>
  <c r="M63" i="10" s="1"/>
  <c r="A26" i="12"/>
  <c r="L62" i="10"/>
  <c r="M62" i="10" s="1"/>
  <c r="A27" i="12"/>
  <c r="L61" i="10"/>
  <c r="M61" i="10" s="1"/>
  <c r="A28" i="12"/>
  <c r="L60" i="10"/>
  <c r="M60" i="10" s="1"/>
  <c r="A29" i="12"/>
  <c r="L59" i="10"/>
  <c r="M59" i="10" s="1"/>
  <c r="A30" i="12"/>
  <c r="L58" i="10"/>
  <c r="M58" i="10" s="1"/>
  <c r="A31" i="12"/>
  <c r="L57" i="10"/>
  <c r="M57" i="10" s="1"/>
  <c r="A32" i="12"/>
  <c r="L56" i="10"/>
  <c r="M56" i="10" s="1"/>
  <c r="A33" i="12"/>
  <c r="L55" i="10"/>
  <c r="M55" i="10" s="1"/>
  <c r="A35" i="12"/>
  <c r="A38" i="12"/>
  <c r="L50" i="10"/>
  <c r="M50" i="10" s="1"/>
  <c r="A39" i="12"/>
  <c r="L49" i="10"/>
  <c r="M49" i="10" s="1"/>
  <c r="A40" i="12"/>
  <c r="L48" i="10"/>
  <c r="M48" i="10" s="1"/>
  <c r="A41" i="12"/>
  <c r="L47" i="10"/>
  <c r="M47" i="10" s="1"/>
  <c r="A42" i="12"/>
  <c r="L46" i="10"/>
  <c r="M46" i="10" s="1"/>
  <c r="A43" i="12"/>
  <c r="L45" i="10"/>
  <c r="M45" i="10" s="1"/>
  <c r="A44" i="12"/>
  <c r="L44" i="10"/>
  <c r="M44" i="10" s="1"/>
  <c r="A45" i="12"/>
  <c r="L43" i="10"/>
  <c r="M43" i="10" s="1"/>
  <c r="A46" i="12"/>
  <c r="L42" i="10"/>
  <c r="M42" i="10" s="1"/>
  <c r="A47" i="12"/>
  <c r="A48" i="12"/>
  <c r="A49" i="12"/>
  <c r="L39" i="10"/>
  <c r="M39" i="10" s="1"/>
  <c r="A50" i="12"/>
  <c r="L38" i="10"/>
  <c r="M38" i="10" s="1"/>
  <c r="A51" i="12"/>
  <c r="L37" i="10"/>
  <c r="M37" i="10" s="1"/>
  <c r="A52" i="12"/>
  <c r="L36" i="10"/>
  <c r="M36" i="10" s="1"/>
  <c r="A53" i="12"/>
  <c r="A54" i="12"/>
  <c r="A55" i="12"/>
  <c r="L33" i="10"/>
  <c r="M33" i="10" s="1"/>
  <c r="A56" i="12"/>
  <c r="A57" i="12"/>
  <c r="A58" i="12"/>
  <c r="A59" i="12"/>
  <c r="A61" i="12"/>
  <c r="A62" i="12"/>
  <c r="L26" i="10"/>
  <c r="M26" i="10" s="1"/>
  <c r="A63" i="12"/>
  <c r="A64" i="12"/>
  <c r="A65" i="12"/>
  <c r="A69" i="12"/>
  <c r="L20" i="10"/>
  <c r="M20" i="10" s="1"/>
  <c r="A71" i="12"/>
  <c r="L18" i="10"/>
  <c r="M18" i="10" s="1"/>
  <c r="A72" i="12"/>
  <c r="L16" i="10"/>
  <c r="M16" i="10" s="1"/>
  <c r="A73" i="12"/>
  <c r="L15" i="10"/>
  <c r="M15" i="10" s="1"/>
  <c r="A75" i="12"/>
  <c r="L13" i="10"/>
  <c r="M13" i="10" s="1"/>
  <c r="D555" i="13"/>
  <c r="E555" i="13"/>
  <c r="C555" i="13"/>
  <c r="B555" i="13"/>
  <c r="I557" i="13"/>
  <c r="J557" i="13"/>
  <c r="F557" i="13"/>
  <c r="G557" i="13"/>
  <c r="H557" i="13"/>
  <c r="B558" i="13"/>
  <c r="C558" i="13"/>
  <c r="C560" i="13"/>
  <c r="B560" i="13"/>
  <c r="B561" i="13"/>
  <c r="C561" i="13"/>
  <c r="B562" i="13"/>
  <c r="C562" i="13"/>
  <c r="B568" i="13"/>
  <c r="C568" i="13"/>
  <c r="D568" i="13"/>
  <c r="E568" i="13"/>
  <c r="F568" i="13"/>
  <c r="G568" i="13"/>
  <c r="B570" i="13"/>
  <c r="C570" i="13"/>
  <c r="B571" i="13"/>
  <c r="C571" i="13"/>
  <c r="G572" i="13"/>
  <c r="F572" i="13"/>
  <c r="E572" i="13"/>
  <c r="D573" i="13"/>
  <c r="B573" i="13"/>
  <c r="C573" i="13"/>
  <c r="B574" i="13"/>
  <c r="C574" i="13"/>
  <c r="B575" i="13"/>
  <c r="D575" i="13"/>
  <c r="C575" i="13"/>
  <c r="E575" i="13"/>
  <c r="B576" i="13"/>
  <c r="C576" i="13"/>
  <c r="D577" i="13"/>
  <c r="C577" i="13"/>
  <c r="B577" i="13"/>
  <c r="E578" i="13"/>
  <c r="D578" i="13"/>
  <c r="B579" i="13"/>
  <c r="C579" i="13"/>
  <c r="D579" i="13"/>
  <c r="E579" i="13"/>
  <c r="B581" i="13"/>
  <c r="D581" i="13"/>
  <c r="C581" i="13"/>
  <c r="E581" i="13"/>
  <c r="F581" i="13"/>
  <c r="C582" i="13"/>
  <c r="B582" i="13"/>
  <c r="B584" i="13"/>
  <c r="C584" i="13"/>
  <c r="D584" i="13"/>
  <c r="E584" i="13"/>
  <c r="B586" i="13"/>
  <c r="C586" i="13"/>
  <c r="D586" i="13"/>
  <c r="B587" i="13"/>
  <c r="C587" i="13"/>
  <c r="B591" i="13"/>
  <c r="D591" i="13"/>
  <c r="C591" i="13"/>
  <c r="F594" i="13"/>
  <c r="G594" i="13"/>
  <c r="B595" i="13"/>
  <c r="C595" i="13"/>
  <c r="B597" i="13"/>
  <c r="C597" i="13"/>
  <c r="D597" i="13"/>
  <c r="C598" i="13"/>
  <c r="B598" i="13"/>
  <c r="E405" i="13"/>
  <c r="D405" i="13"/>
  <c r="F407" i="13"/>
  <c r="E407" i="13"/>
  <c r="C408" i="13"/>
  <c r="B408" i="13"/>
  <c r="C409" i="13"/>
  <c r="B409" i="13"/>
  <c r="B411" i="13"/>
  <c r="C411" i="13"/>
  <c r="B415" i="13"/>
  <c r="C415" i="13"/>
  <c r="D415" i="13"/>
  <c r="B416" i="13"/>
  <c r="D416" i="13"/>
  <c r="C416" i="13"/>
  <c r="B418" i="13"/>
  <c r="C418" i="13"/>
  <c r="B419" i="13"/>
  <c r="C419" i="13"/>
  <c r="D420" i="13"/>
  <c r="E420" i="13"/>
  <c r="F420" i="13"/>
  <c r="B423" i="13"/>
  <c r="C423" i="13"/>
  <c r="B425" i="13"/>
  <c r="C425" i="13"/>
  <c r="B427" i="13"/>
  <c r="C427" i="13"/>
  <c r="B429" i="13"/>
  <c r="C429" i="13"/>
  <c r="D429" i="13"/>
  <c r="B430" i="13"/>
  <c r="D430" i="13"/>
  <c r="C430" i="13"/>
  <c r="B432" i="13"/>
  <c r="C432" i="13"/>
  <c r="E437" i="13"/>
  <c r="F437" i="13"/>
  <c r="G437" i="13"/>
  <c r="B438" i="13"/>
  <c r="C438" i="13"/>
  <c r="D438" i="13"/>
  <c r="D439" i="13"/>
  <c r="E439" i="13"/>
  <c r="E440" i="13"/>
  <c r="F440" i="13"/>
  <c r="D440" i="13"/>
  <c r="E442" i="13"/>
  <c r="F442" i="13"/>
  <c r="B444" i="13"/>
  <c r="C444" i="13"/>
  <c r="B445" i="13"/>
  <c r="C445" i="13"/>
  <c r="D445" i="13"/>
  <c r="E445" i="13"/>
  <c r="B446" i="13"/>
  <c r="C446" i="13"/>
  <c r="B449" i="13"/>
  <c r="C449" i="13"/>
  <c r="D449" i="13"/>
  <c r="B450" i="13"/>
  <c r="C450" i="13"/>
  <c r="B451" i="13"/>
  <c r="C451" i="13"/>
  <c r="B453" i="13"/>
  <c r="C453" i="13"/>
  <c r="H455" i="13"/>
  <c r="E455" i="13"/>
  <c r="F455" i="13"/>
  <c r="G455" i="13"/>
  <c r="B458" i="13"/>
  <c r="C458" i="13"/>
  <c r="B460" i="13"/>
  <c r="C460" i="13"/>
  <c r="B461" i="13"/>
  <c r="C461" i="13"/>
  <c r="D461" i="13"/>
  <c r="B462" i="13"/>
  <c r="C462" i="13"/>
  <c r="B463" i="13"/>
  <c r="C463" i="13"/>
  <c r="D463" i="13"/>
  <c r="B464" i="13"/>
  <c r="C464" i="13"/>
  <c r="D464" i="13"/>
  <c r="E464" i="13"/>
  <c r="B466" i="13"/>
  <c r="C466" i="13"/>
  <c r="B471" i="13"/>
  <c r="C471" i="13"/>
  <c r="B472" i="13"/>
  <c r="C472" i="13"/>
  <c r="B473" i="13"/>
  <c r="D473" i="13"/>
  <c r="C473" i="13"/>
  <c r="B474" i="13"/>
  <c r="C474" i="13"/>
  <c r="D474" i="13"/>
  <c r="E475" i="13"/>
  <c r="D475" i="13"/>
  <c r="B476" i="13"/>
  <c r="C476" i="13"/>
  <c r="D476" i="13"/>
  <c r="B477" i="13"/>
  <c r="C477" i="13"/>
  <c r="B478" i="13"/>
  <c r="C478" i="13"/>
  <c r="D478" i="13"/>
  <c r="E478" i="13"/>
  <c r="B479" i="13"/>
  <c r="D479" i="13"/>
  <c r="C479" i="13"/>
  <c r="B480" i="13"/>
  <c r="D480" i="13"/>
  <c r="E480" i="13"/>
  <c r="C480" i="13"/>
  <c r="B481" i="13"/>
  <c r="C481" i="13"/>
  <c r="B483" i="13"/>
  <c r="C483" i="13"/>
  <c r="D483" i="13"/>
  <c r="F484" i="13"/>
  <c r="G484" i="13"/>
  <c r="H484" i="13"/>
  <c r="B486" i="13"/>
  <c r="C486" i="13"/>
  <c r="D486" i="13"/>
  <c r="B487" i="13"/>
  <c r="C487" i="13"/>
  <c r="B488" i="13"/>
  <c r="C488" i="13"/>
  <c r="B489" i="13"/>
  <c r="C489" i="13"/>
  <c r="B491" i="13"/>
  <c r="C491" i="13"/>
  <c r="D491" i="13"/>
  <c r="E491" i="13"/>
  <c r="B492" i="13"/>
  <c r="C492" i="13"/>
  <c r="C493" i="13"/>
  <c r="B493" i="13"/>
  <c r="B495" i="13"/>
  <c r="C495" i="13"/>
  <c r="C496" i="13"/>
  <c r="B496" i="13"/>
  <c r="B497" i="13"/>
  <c r="C497" i="13"/>
  <c r="D497" i="13"/>
  <c r="C503" i="13"/>
  <c r="D503" i="13"/>
  <c r="B503" i="13"/>
  <c r="B505" i="13"/>
  <c r="C505" i="13"/>
  <c r="B506" i="13"/>
  <c r="C506" i="13"/>
  <c r="B509" i="13"/>
  <c r="C509" i="13"/>
  <c r="B512" i="13"/>
  <c r="E512" i="13"/>
  <c r="D512" i="13"/>
  <c r="C512" i="13"/>
  <c r="G514" i="13"/>
  <c r="F514" i="13"/>
  <c r="E514" i="13"/>
  <c r="D514" i="13"/>
  <c r="B517" i="13"/>
  <c r="C517" i="13"/>
  <c r="B520" i="13"/>
  <c r="C520" i="13"/>
  <c r="B521" i="13"/>
  <c r="C521" i="13"/>
  <c r="D522" i="13"/>
  <c r="E522" i="13"/>
  <c r="F522" i="13"/>
  <c r="B524" i="13"/>
  <c r="C524" i="13"/>
  <c r="B526" i="13"/>
  <c r="D526" i="13"/>
  <c r="C526" i="13"/>
  <c r="B527" i="13"/>
  <c r="D527" i="13"/>
  <c r="C527" i="13"/>
  <c r="B528" i="13"/>
  <c r="C528" i="13"/>
  <c r="B529" i="13"/>
  <c r="C529" i="13"/>
  <c r="E531" i="13"/>
  <c r="D531" i="13"/>
  <c r="B532" i="13"/>
  <c r="C532" i="13"/>
  <c r="B533" i="13"/>
  <c r="D533" i="13"/>
  <c r="C533" i="13"/>
  <c r="B534" i="13"/>
  <c r="C534" i="13"/>
  <c r="B536" i="13"/>
  <c r="D536" i="13"/>
  <c r="C536" i="13"/>
  <c r="B537" i="13"/>
  <c r="C537" i="13"/>
  <c r="C539" i="13"/>
  <c r="B539" i="13"/>
  <c r="B542" i="13"/>
  <c r="C542" i="13"/>
  <c r="D542" i="13"/>
  <c r="B543" i="13"/>
  <c r="C543" i="13"/>
  <c r="B544" i="13"/>
  <c r="C544" i="13"/>
  <c r="B545" i="13"/>
  <c r="C545" i="13"/>
  <c r="D546" i="13"/>
  <c r="F546" i="13"/>
  <c r="E546" i="13"/>
  <c r="B547" i="13"/>
  <c r="C547" i="13"/>
  <c r="B549" i="13"/>
  <c r="E549" i="13"/>
  <c r="D549" i="13"/>
  <c r="C549" i="13"/>
  <c r="B551" i="13"/>
  <c r="C551" i="13"/>
  <c r="B552" i="13"/>
  <c r="E552" i="13"/>
  <c r="D552" i="13"/>
  <c r="C552" i="13"/>
  <c r="C553" i="13"/>
  <c r="D553" i="13"/>
  <c r="B553" i="13"/>
  <c r="C554" i="13"/>
  <c r="B554" i="13"/>
  <c r="B355" i="13"/>
  <c r="C355" i="13"/>
  <c r="D355" i="13"/>
  <c r="E357" i="13"/>
  <c r="D357" i="13"/>
  <c r="E361" i="13"/>
  <c r="D361" i="13"/>
  <c r="B363" i="13"/>
  <c r="C363" i="13"/>
  <c r="D363" i="13"/>
  <c r="D365" i="13"/>
  <c r="C365" i="13"/>
  <c r="B365" i="13"/>
  <c r="B367" i="13"/>
  <c r="C367" i="13"/>
  <c r="B372" i="13"/>
  <c r="C372" i="13"/>
  <c r="C373" i="13"/>
  <c r="B373" i="13"/>
  <c r="C374" i="13"/>
  <c r="B374" i="13"/>
  <c r="C376" i="13"/>
  <c r="B376" i="13"/>
  <c r="B381" i="13"/>
  <c r="C381" i="13"/>
  <c r="J389" i="13"/>
  <c r="I389" i="13"/>
  <c r="G389" i="13"/>
  <c r="F389" i="13"/>
  <c r="E389" i="13"/>
  <c r="D389" i="13"/>
  <c r="H389" i="13"/>
  <c r="B390" i="13"/>
  <c r="D390" i="13"/>
  <c r="C390" i="13"/>
  <c r="B391" i="13"/>
  <c r="D391" i="13"/>
  <c r="C391" i="13"/>
  <c r="C393" i="13"/>
  <c r="B393" i="13"/>
  <c r="B396" i="13"/>
  <c r="E396" i="13"/>
  <c r="F396" i="13"/>
  <c r="D396" i="13"/>
  <c r="C396" i="13"/>
  <c r="B397" i="13"/>
  <c r="C397" i="13"/>
  <c r="B401" i="13"/>
  <c r="C401" i="13"/>
  <c r="B403" i="13"/>
  <c r="C403" i="13"/>
  <c r="B404" i="13"/>
  <c r="H404" i="13"/>
  <c r="C404" i="13"/>
  <c r="D404" i="13"/>
  <c r="E404" i="13"/>
  <c r="F404" i="13"/>
  <c r="G404" i="13"/>
  <c r="I404" i="13"/>
  <c r="J404" i="13"/>
  <c r="C248" i="13"/>
  <c r="D248" i="13"/>
  <c r="B248" i="13"/>
  <c r="B249" i="13"/>
  <c r="D249" i="13"/>
  <c r="C249" i="13"/>
  <c r="B250" i="13"/>
  <c r="C250" i="13"/>
  <c r="B251" i="13"/>
  <c r="D251" i="13"/>
  <c r="C251" i="13"/>
  <c r="D253" i="13"/>
  <c r="B255" i="13"/>
  <c r="C255" i="13"/>
  <c r="D255" i="13"/>
  <c r="B258" i="13"/>
  <c r="C258" i="13"/>
  <c r="D260" i="13"/>
  <c r="B262" i="13"/>
  <c r="C262" i="13"/>
  <c r="B263" i="13"/>
  <c r="C263" i="13"/>
  <c r="B264" i="13"/>
  <c r="C264" i="13"/>
  <c r="B266" i="13"/>
  <c r="C266" i="13"/>
  <c r="D266" i="13"/>
  <c r="B268" i="13"/>
  <c r="D268" i="13"/>
  <c r="C268" i="13"/>
  <c r="B269" i="13"/>
  <c r="C269" i="13"/>
  <c r="B271" i="13"/>
  <c r="C271" i="13"/>
  <c r="D271" i="13"/>
  <c r="B272" i="13"/>
  <c r="C272" i="13"/>
  <c r="D272" i="13"/>
  <c r="B273" i="13"/>
  <c r="C273" i="13"/>
  <c r="D273" i="13"/>
  <c r="B274" i="13"/>
  <c r="C274" i="13"/>
  <c r="D274" i="13"/>
  <c r="B275" i="13"/>
  <c r="C275" i="13"/>
  <c r="B276" i="13"/>
  <c r="C276" i="13"/>
  <c r="D276" i="13"/>
  <c r="E276" i="13"/>
  <c r="B277" i="13"/>
  <c r="C277" i="13"/>
  <c r="D277" i="13"/>
  <c r="E277" i="13"/>
  <c r="D278" i="13"/>
  <c r="F278" i="13"/>
  <c r="E278" i="13"/>
  <c r="B279" i="13"/>
  <c r="C279" i="13"/>
  <c r="D279" i="13"/>
  <c r="B280" i="13"/>
  <c r="C280" i="13"/>
  <c r="D281" i="13"/>
  <c r="E281" i="13"/>
  <c r="E283" i="13"/>
  <c r="D283" i="13"/>
  <c r="C285" i="13"/>
  <c r="B285" i="13"/>
  <c r="B287" i="13"/>
  <c r="F287" i="13"/>
  <c r="C287" i="13"/>
  <c r="E287" i="13"/>
  <c r="D287" i="13"/>
  <c r="B288" i="13"/>
  <c r="C288" i="13"/>
  <c r="C290" i="13"/>
  <c r="D290" i="13"/>
  <c r="B290" i="13"/>
  <c r="F294" i="13"/>
  <c r="G294" i="13"/>
  <c r="I294" i="13"/>
  <c r="D294" i="13"/>
  <c r="E294" i="13"/>
  <c r="H294" i="13"/>
  <c r="E296" i="13"/>
  <c r="F296" i="13"/>
  <c r="D296" i="13"/>
  <c r="B298" i="13"/>
  <c r="C298" i="13"/>
  <c r="C299" i="13"/>
  <c r="B299" i="13"/>
  <c r="E300" i="13"/>
  <c r="F300" i="13"/>
  <c r="E302" i="13"/>
  <c r="D302" i="13"/>
  <c r="B303" i="13"/>
  <c r="G303" i="13"/>
  <c r="E303" i="13"/>
  <c r="F303" i="13"/>
  <c r="C303" i="13"/>
  <c r="D303" i="13"/>
  <c r="B304" i="13"/>
  <c r="C304" i="13"/>
  <c r="D304" i="13"/>
  <c r="E304" i="13"/>
  <c r="E307" i="13"/>
  <c r="D307" i="13"/>
  <c r="D309" i="13"/>
  <c r="E309" i="13"/>
  <c r="B310" i="13"/>
  <c r="C310" i="13"/>
  <c r="B312" i="13"/>
  <c r="C312" i="13"/>
  <c r="F313" i="13"/>
  <c r="E313" i="13"/>
  <c r="D313" i="13"/>
  <c r="B314" i="13"/>
  <c r="F314" i="13"/>
  <c r="E314" i="13"/>
  <c r="D314" i="13"/>
  <c r="C314" i="13"/>
  <c r="B315" i="13"/>
  <c r="E315" i="13"/>
  <c r="C315" i="13"/>
  <c r="D315" i="13"/>
  <c r="B316" i="13"/>
  <c r="F316" i="13"/>
  <c r="E316" i="13"/>
  <c r="G316" i="13"/>
  <c r="H316" i="13"/>
  <c r="I316" i="13"/>
  <c r="C316" i="13"/>
  <c r="D316" i="13"/>
  <c r="B317" i="13"/>
  <c r="C317" i="13"/>
  <c r="B318" i="13"/>
  <c r="C318" i="13"/>
  <c r="B319" i="13"/>
  <c r="E319" i="13"/>
  <c r="C319" i="13"/>
  <c r="D319" i="13"/>
  <c r="G319" i="13"/>
  <c r="F319" i="13"/>
  <c r="B320" i="13"/>
  <c r="C320" i="13"/>
  <c r="D320" i="13"/>
  <c r="E320" i="13"/>
  <c r="F320" i="13"/>
  <c r="G320" i="13"/>
  <c r="H320" i="13"/>
  <c r="E321" i="13"/>
  <c r="F321" i="13"/>
  <c r="G321" i="13"/>
  <c r="D325" i="13"/>
  <c r="E325" i="13"/>
  <c r="C326" i="13"/>
  <c r="B326" i="13"/>
  <c r="B328" i="13"/>
  <c r="C328" i="13"/>
  <c r="B329" i="13"/>
  <c r="C329" i="13"/>
  <c r="D329" i="13"/>
  <c r="B330" i="13"/>
  <c r="F330" i="13"/>
  <c r="C330" i="13"/>
  <c r="D330" i="13"/>
  <c r="E330" i="13"/>
  <c r="B332" i="13"/>
  <c r="C332" i="13"/>
  <c r="B333" i="13"/>
  <c r="C333" i="13"/>
  <c r="B334" i="13"/>
  <c r="C334" i="13"/>
  <c r="D334" i="13"/>
  <c r="E334" i="13"/>
  <c r="C335" i="13"/>
  <c r="B335" i="13"/>
  <c r="B337" i="13"/>
  <c r="D337" i="13"/>
  <c r="C337" i="13"/>
  <c r="B339" i="13"/>
  <c r="C339" i="13"/>
  <c r="D342" i="13"/>
  <c r="E342" i="13"/>
  <c r="B343" i="13"/>
  <c r="D343" i="13"/>
  <c r="C343" i="13"/>
  <c r="B344" i="13"/>
  <c r="D344" i="13"/>
  <c r="C344" i="13"/>
  <c r="B347" i="13"/>
  <c r="C347" i="13"/>
  <c r="D244" i="13"/>
  <c r="C244" i="13"/>
  <c r="B244" i="13"/>
  <c r="A247" i="13"/>
  <c r="D7" i="13"/>
  <c r="B7" i="13"/>
  <c r="C7" i="13"/>
  <c r="B24" i="8"/>
  <c r="A10" i="13"/>
  <c r="D11" i="13"/>
  <c r="C11" i="13"/>
  <c r="B11" i="13"/>
  <c r="B17" i="13"/>
  <c r="D17" i="13"/>
  <c r="C17" i="13"/>
  <c r="C22" i="13"/>
  <c r="B22" i="13"/>
  <c r="D22" i="13"/>
  <c r="D26" i="13"/>
  <c r="C26" i="13"/>
  <c r="B26" i="13"/>
  <c r="A29" i="13"/>
  <c r="D30" i="13"/>
  <c r="C30" i="13"/>
  <c r="B30" i="13"/>
  <c r="D31" i="13"/>
  <c r="C31" i="13"/>
  <c r="B31" i="13"/>
  <c r="A35" i="13"/>
  <c r="D40" i="13"/>
  <c r="B40" i="13"/>
  <c r="C40" i="13"/>
  <c r="C43" i="13"/>
  <c r="B43" i="13"/>
  <c r="D43" i="13"/>
  <c r="C47" i="13"/>
  <c r="D47" i="13"/>
  <c r="B47" i="13"/>
  <c r="A50" i="13"/>
  <c r="C57" i="13"/>
  <c r="B57" i="13"/>
  <c r="D57" i="13"/>
  <c r="C58" i="13"/>
  <c r="B58" i="13"/>
  <c r="D58" i="13"/>
  <c r="D60" i="13"/>
  <c r="B60" i="13"/>
  <c r="C60" i="13"/>
  <c r="A66" i="13"/>
  <c r="D67" i="13"/>
  <c r="C67" i="13"/>
  <c r="B67" i="13"/>
  <c r="B69" i="13"/>
  <c r="D69" i="13"/>
  <c r="C69" i="13"/>
  <c r="D71" i="13"/>
  <c r="C71" i="13"/>
  <c r="B71" i="13"/>
  <c r="C73" i="13"/>
  <c r="B73" i="13"/>
  <c r="D73" i="13"/>
  <c r="A75" i="13"/>
  <c r="D78" i="13"/>
  <c r="C78" i="13"/>
  <c r="B78" i="13"/>
  <c r="D79" i="13"/>
  <c r="B79" i="13"/>
  <c r="C79" i="13"/>
  <c r="A80" i="13"/>
  <c r="D90" i="13"/>
  <c r="C90" i="13"/>
  <c r="B90" i="13"/>
  <c r="D91" i="13"/>
  <c r="C91" i="13"/>
  <c r="B91" i="13"/>
  <c r="D92" i="13"/>
  <c r="C92" i="13"/>
  <c r="B92" i="13"/>
  <c r="A93" i="13"/>
  <c r="A94" i="13"/>
  <c r="D98" i="13"/>
  <c r="B98" i="13"/>
  <c r="C98" i="13"/>
  <c r="C101" i="13"/>
  <c r="B101" i="13"/>
  <c r="D101" i="13"/>
  <c r="A107" i="13"/>
  <c r="C114" i="13"/>
  <c r="B114" i="13"/>
  <c r="D114" i="13"/>
  <c r="A118" i="13"/>
  <c r="D124" i="13"/>
  <c r="C124" i="13"/>
  <c r="B124" i="13"/>
  <c r="C127" i="13"/>
  <c r="B127" i="13"/>
  <c r="D127" i="13"/>
  <c r="D132" i="13"/>
  <c r="B132" i="13"/>
  <c r="C132" i="13"/>
  <c r="D137" i="13"/>
  <c r="C137" i="13"/>
  <c r="B137" i="13"/>
  <c r="D140" i="13"/>
  <c r="B140" i="13"/>
  <c r="C140" i="13"/>
  <c r="A141" i="13"/>
  <c r="D142" i="13"/>
  <c r="B142" i="13"/>
  <c r="C142" i="13"/>
  <c r="D146" i="13"/>
  <c r="C146" i="13"/>
  <c r="B146" i="13"/>
  <c r="A151" i="13"/>
  <c r="C156" i="13"/>
  <c r="D156" i="13"/>
  <c r="B156" i="13"/>
  <c r="B158" i="13"/>
  <c r="D158" i="13"/>
  <c r="C158" i="13"/>
  <c r="D159" i="13"/>
  <c r="B159" i="13"/>
  <c r="C159" i="13"/>
  <c r="A162" i="13"/>
  <c r="A166" i="13"/>
  <c r="C168" i="13"/>
  <c r="B168" i="13"/>
  <c r="D168" i="13"/>
  <c r="D173" i="13"/>
  <c r="C173" i="13"/>
  <c r="B173" i="13"/>
  <c r="D178" i="13"/>
  <c r="C178" i="13"/>
  <c r="B178" i="13"/>
  <c r="D179" i="13"/>
  <c r="C179" i="13"/>
  <c r="B179" i="13"/>
  <c r="A181" i="13"/>
  <c r="A183" i="13"/>
  <c r="D185" i="13"/>
  <c r="C185" i="13"/>
  <c r="B185" i="13"/>
  <c r="D190" i="13"/>
  <c r="B190" i="13"/>
  <c r="C190" i="13"/>
  <c r="C191" i="13"/>
  <c r="B191" i="13"/>
  <c r="D191" i="13"/>
  <c r="A192" i="13"/>
  <c r="A197" i="13"/>
  <c r="A203" i="13"/>
  <c r="A207" i="13"/>
  <c r="A209" i="13"/>
  <c r="D211" i="13"/>
  <c r="C211" i="13"/>
  <c r="B211" i="13"/>
  <c r="C213" i="13"/>
  <c r="B213" i="13"/>
  <c r="D213" i="13"/>
  <c r="D214" i="13"/>
  <c r="C214" i="13"/>
  <c r="B214" i="13"/>
  <c r="A217" i="13"/>
  <c r="D221" i="13"/>
  <c r="C221" i="13"/>
  <c r="B221" i="13"/>
  <c r="A227" i="13"/>
  <c r="D233" i="13"/>
  <c r="B233" i="13"/>
  <c r="C233" i="13"/>
  <c r="D234" i="13"/>
  <c r="B234" i="13"/>
  <c r="C234" i="13"/>
  <c r="A236" i="13"/>
  <c r="C238" i="13"/>
  <c r="B238" i="13"/>
  <c r="D238" i="13"/>
  <c r="C241" i="13"/>
  <c r="B241" i="13"/>
  <c r="D241" i="13"/>
  <c r="D242" i="13"/>
  <c r="C242" i="13"/>
  <c r="B242" i="13"/>
  <c r="D5" i="13"/>
  <c r="C5" i="13"/>
  <c r="B5" i="13"/>
  <c r="H492" i="10"/>
  <c r="I492" i="10"/>
  <c r="F492" i="10"/>
  <c r="E492" i="10"/>
  <c r="D492" i="10"/>
  <c r="C492" i="10"/>
  <c r="A493" i="11"/>
  <c r="B492" i="10"/>
  <c r="Q492" i="10"/>
  <c r="J492" i="10"/>
  <c r="P492" i="10"/>
  <c r="M492" i="10"/>
  <c r="L492" i="10"/>
  <c r="A484" i="11"/>
  <c r="C483" i="10"/>
  <c r="B483" i="10"/>
  <c r="B482" i="10"/>
  <c r="A483" i="11"/>
  <c r="C482" i="10"/>
  <c r="A482" i="11"/>
  <c r="B481" i="10"/>
  <c r="B480" i="10"/>
  <c r="A481" i="11"/>
  <c r="A480" i="11"/>
  <c r="B479" i="10"/>
  <c r="A479" i="11"/>
  <c r="B478" i="10"/>
  <c r="B477" i="10"/>
  <c r="C477" i="10"/>
  <c r="A478" i="11"/>
  <c r="A477" i="11"/>
  <c r="B476" i="10"/>
  <c r="B474" i="10"/>
  <c r="A475" i="11"/>
  <c r="C474" i="10"/>
  <c r="A474" i="11"/>
  <c r="B473" i="10"/>
  <c r="A473" i="11"/>
  <c r="B472" i="10"/>
  <c r="A472" i="11"/>
  <c r="B471" i="10"/>
  <c r="A471" i="11"/>
  <c r="C470" i="10"/>
  <c r="B470" i="10"/>
  <c r="A468" i="11"/>
  <c r="B467" i="10"/>
  <c r="B466" i="10"/>
  <c r="A467" i="11"/>
  <c r="A466" i="11"/>
  <c r="B465" i="10"/>
  <c r="A465" i="11"/>
  <c r="B464" i="10"/>
  <c r="C464" i="10"/>
  <c r="B463" i="10"/>
  <c r="A464" i="11"/>
  <c r="B460" i="10"/>
  <c r="A461" i="11"/>
  <c r="B457" i="10"/>
  <c r="A458" i="11"/>
  <c r="B453" i="10"/>
  <c r="A454" i="11"/>
  <c r="B450" i="10"/>
  <c r="A451" i="11"/>
  <c r="A450" i="11"/>
  <c r="B449" i="10"/>
  <c r="C448" i="10"/>
  <c r="B448" i="10"/>
  <c r="A449" i="11"/>
  <c r="C447" i="10"/>
  <c r="D447" i="10"/>
  <c r="B447" i="10"/>
  <c r="D446" i="10"/>
  <c r="C446" i="10"/>
  <c r="B446" i="10"/>
  <c r="B445" i="10"/>
  <c r="A446" i="11"/>
  <c r="C444" i="10"/>
  <c r="B444" i="10"/>
  <c r="A445" i="11"/>
  <c r="D444" i="10"/>
  <c r="B443" i="10"/>
  <c r="D443" i="10"/>
  <c r="C443" i="10"/>
  <c r="C441" i="10"/>
  <c r="A442" i="11"/>
  <c r="B441" i="10"/>
  <c r="D440" i="10"/>
  <c r="B440" i="10"/>
  <c r="C440" i="10"/>
  <c r="A440" i="11"/>
  <c r="B439" i="10"/>
  <c r="C438" i="10"/>
  <c r="A439" i="11"/>
  <c r="B438" i="10"/>
  <c r="C437" i="10"/>
  <c r="B437" i="10"/>
  <c r="B436" i="10"/>
  <c r="C436" i="10"/>
  <c r="B435" i="10"/>
  <c r="A436" i="11"/>
  <c r="C434" i="10"/>
  <c r="D434" i="10"/>
  <c r="B434" i="10"/>
  <c r="A434" i="11"/>
  <c r="B433" i="10"/>
  <c r="B431" i="10"/>
  <c r="C431" i="10"/>
  <c r="A431" i="11"/>
  <c r="B430" i="10"/>
  <c r="C430" i="10"/>
  <c r="D429" i="10"/>
  <c r="B429" i="10"/>
  <c r="C429" i="10"/>
  <c r="A429" i="11"/>
  <c r="B428" i="10"/>
  <c r="D428" i="10"/>
  <c r="C428" i="10"/>
  <c r="A428" i="11"/>
  <c r="B427" i="10"/>
  <c r="D427" i="10"/>
  <c r="E427" i="10"/>
  <c r="C427" i="10"/>
  <c r="A427" i="11"/>
  <c r="B426" i="10"/>
  <c r="C425" i="10"/>
  <c r="B425" i="10"/>
  <c r="A425" i="11"/>
  <c r="B424" i="10"/>
  <c r="C424" i="10"/>
  <c r="D424" i="10"/>
  <c r="B421" i="10"/>
  <c r="C421" i="10"/>
  <c r="D420" i="10"/>
  <c r="B420" i="10"/>
  <c r="A421" i="11"/>
  <c r="C420" i="10"/>
  <c r="B419" i="10"/>
  <c r="C419" i="10"/>
  <c r="C418" i="10"/>
  <c r="B418" i="10"/>
  <c r="B417" i="10"/>
  <c r="C417" i="10"/>
  <c r="B416" i="10"/>
  <c r="D416" i="10"/>
  <c r="C416" i="10"/>
  <c r="A417" i="11"/>
  <c r="D415" i="10"/>
  <c r="E415" i="10"/>
  <c r="B415" i="10"/>
  <c r="F415" i="10"/>
  <c r="C415" i="10"/>
  <c r="H415" i="10"/>
  <c r="B414" i="10"/>
  <c r="A415" i="11"/>
  <c r="B413" i="10"/>
  <c r="D413" i="10"/>
  <c r="A414" i="11"/>
  <c r="C413" i="10"/>
  <c r="B412" i="10"/>
  <c r="D412" i="10"/>
  <c r="C412" i="10"/>
  <c r="C411" i="10"/>
  <c r="B411" i="10"/>
  <c r="B409" i="10"/>
  <c r="D409" i="10"/>
  <c r="C409" i="10"/>
  <c r="A410" i="11"/>
  <c r="B408" i="10"/>
  <c r="D408" i="10"/>
  <c r="E408" i="10"/>
  <c r="C408" i="10"/>
  <c r="B404" i="10"/>
  <c r="A405" i="11"/>
  <c r="C404" i="10"/>
  <c r="B403" i="10"/>
  <c r="C403" i="10"/>
  <c r="A404" i="11"/>
  <c r="C402" i="10"/>
  <c r="B402" i="10"/>
  <c r="A403" i="11"/>
  <c r="H401" i="10"/>
  <c r="E401" i="10"/>
  <c r="I401" i="10"/>
  <c r="J401" i="10"/>
  <c r="B401" i="10"/>
  <c r="C401" i="10"/>
  <c r="A402" i="11"/>
  <c r="D401" i="10"/>
  <c r="F401" i="10"/>
  <c r="A401" i="11"/>
  <c r="B400" i="10"/>
  <c r="A400" i="11"/>
  <c r="B399" i="10"/>
  <c r="D399" i="10"/>
  <c r="C399" i="10"/>
  <c r="A399" i="11"/>
  <c r="C398" i="10"/>
  <c r="B398" i="10"/>
  <c r="A398" i="11"/>
  <c r="C397" i="10"/>
  <c r="B397" i="10"/>
  <c r="A397" i="11"/>
  <c r="B396" i="10"/>
  <c r="A396" i="11"/>
  <c r="B395" i="10"/>
  <c r="A395" i="11"/>
  <c r="C394" i="10"/>
  <c r="B394" i="10"/>
  <c r="A394" i="11"/>
  <c r="C393" i="10"/>
  <c r="E393" i="10"/>
  <c r="D393" i="10"/>
  <c r="B393" i="10"/>
  <c r="A393" i="11"/>
  <c r="B392" i="10"/>
  <c r="C392" i="10"/>
  <c r="C391" i="10"/>
  <c r="B391" i="10"/>
  <c r="A392" i="11"/>
  <c r="C390" i="10"/>
  <c r="A391" i="11"/>
  <c r="D390" i="10"/>
  <c r="B390" i="10"/>
  <c r="B389" i="10"/>
  <c r="D389" i="10"/>
  <c r="C389" i="10"/>
  <c r="A390" i="11"/>
  <c r="D388" i="10"/>
  <c r="A389" i="11"/>
  <c r="C388" i="10"/>
  <c r="B388" i="10"/>
  <c r="B387" i="10"/>
  <c r="C387" i="10"/>
  <c r="A388" i="11"/>
  <c r="D387" i="10"/>
  <c r="C386" i="10"/>
  <c r="B386" i="10"/>
  <c r="A387" i="11"/>
  <c r="B385" i="10"/>
  <c r="D385" i="10"/>
  <c r="C385" i="10"/>
  <c r="A386" i="11"/>
  <c r="D384" i="10"/>
  <c r="B384" i="10"/>
  <c r="F384" i="10"/>
  <c r="C384" i="10"/>
  <c r="E384" i="10"/>
  <c r="A385" i="11"/>
  <c r="A384" i="11"/>
  <c r="C383" i="10"/>
  <c r="B383" i="10"/>
  <c r="D383" i="10"/>
  <c r="C382" i="10"/>
  <c r="B382" i="10"/>
  <c r="A383" i="11"/>
  <c r="C381" i="10"/>
  <c r="B381" i="10"/>
  <c r="A382" i="11"/>
  <c r="D380" i="10"/>
  <c r="B380" i="10"/>
  <c r="C380" i="10"/>
  <c r="A381" i="11"/>
  <c r="C378" i="10"/>
  <c r="A379" i="11"/>
  <c r="B378" i="10"/>
  <c r="D377" i="10"/>
  <c r="B377" i="10"/>
  <c r="C377" i="10"/>
  <c r="A378" i="11"/>
  <c r="A377" i="11"/>
  <c r="B376" i="10"/>
  <c r="C376" i="10"/>
  <c r="D376" i="10"/>
  <c r="A376" i="11"/>
  <c r="B375" i="10"/>
  <c r="A375" i="11"/>
  <c r="B374" i="10"/>
  <c r="C373" i="10"/>
  <c r="A374" i="11"/>
  <c r="B373" i="10"/>
  <c r="C372" i="10"/>
  <c r="B372" i="10"/>
  <c r="A373" i="11"/>
  <c r="C371" i="10"/>
  <c r="A372" i="11"/>
  <c r="B371" i="10"/>
  <c r="B370" i="10"/>
  <c r="C370" i="10"/>
  <c r="A371" i="11"/>
  <c r="B369" i="10"/>
  <c r="A370" i="11"/>
  <c r="F369" i="10"/>
  <c r="D369" i="10"/>
  <c r="H369" i="10"/>
  <c r="J369" i="10"/>
  <c r="C369" i="10"/>
  <c r="E369" i="10"/>
  <c r="I369" i="10"/>
  <c r="A369" i="11"/>
  <c r="C368" i="10"/>
  <c r="B368" i="10"/>
  <c r="A368" i="11"/>
  <c r="B367" i="10"/>
  <c r="C367" i="10"/>
  <c r="A367" i="11"/>
  <c r="B366" i="10"/>
  <c r="C366" i="10"/>
  <c r="B365" i="10"/>
  <c r="D365" i="10"/>
  <c r="E365" i="10"/>
  <c r="A366" i="11"/>
  <c r="C365" i="10"/>
  <c r="A365" i="11"/>
  <c r="B364" i="10"/>
  <c r="B363" i="10"/>
  <c r="D363" i="10"/>
  <c r="C363" i="10"/>
  <c r="A364" i="11"/>
  <c r="B362" i="10"/>
  <c r="C362" i="10"/>
  <c r="A363" i="11"/>
  <c r="C361" i="10"/>
  <c r="B361" i="10"/>
  <c r="A362" i="11"/>
  <c r="C360" i="10"/>
  <c r="D360" i="10"/>
  <c r="B360" i="10"/>
  <c r="A361" i="11"/>
  <c r="B359" i="10"/>
  <c r="A360" i="11"/>
  <c r="D358" i="10"/>
  <c r="E358" i="10"/>
  <c r="C358" i="10"/>
  <c r="B358" i="10"/>
  <c r="A359" i="11"/>
  <c r="B357" i="10"/>
  <c r="D357" i="10"/>
  <c r="C357" i="10"/>
  <c r="A358" i="11"/>
  <c r="A357" i="11"/>
  <c r="C356" i="10"/>
  <c r="B356" i="10"/>
  <c r="D356" i="10"/>
  <c r="A356" i="11"/>
  <c r="C355" i="10"/>
  <c r="B355" i="10"/>
  <c r="B354" i="10"/>
  <c r="A355" i="11"/>
  <c r="A354" i="11"/>
  <c r="B353" i="10"/>
  <c r="C353" i="10"/>
  <c r="A353" i="11"/>
  <c r="C352" i="10"/>
  <c r="B352" i="10"/>
  <c r="D352" i="10"/>
  <c r="E352" i="10"/>
  <c r="A352" i="11"/>
  <c r="C351" i="10"/>
  <c r="B351" i="10"/>
  <c r="A351" i="11"/>
  <c r="C350" i="10"/>
  <c r="B350" i="10"/>
  <c r="C349" i="10"/>
  <c r="A350" i="11"/>
  <c r="B349" i="10"/>
  <c r="C348" i="10"/>
  <c r="A349" i="11"/>
  <c r="B348" i="10"/>
  <c r="B347" i="10"/>
  <c r="A348" i="11"/>
  <c r="C347" i="10"/>
  <c r="C346" i="10"/>
  <c r="E346" i="10"/>
  <c r="A347" i="11"/>
  <c r="D346" i="10"/>
  <c r="B346" i="10"/>
  <c r="C345" i="10"/>
  <c r="A346" i="11"/>
  <c r="D345" i="10"/>
  <c r="B345" i="10"/>
  <c r="A345" i="11"/>
  <c r="B344" i="10"/>
  <c r="C344" i="10"/>
  <c r="B343" i="10"/>
  <c r="A344" i="11"/>
  <c r="C342" i="10"/>
  <c r="B342" i="10"/>
  <c r="A343" i="11"/>
  <c r="B341" i="10"/>
  <c r="A342" i="11"/>
  <c r="A341" i="11"/>
  <c r="B340" i="10"/>
  <c r="B339" i="10"/>
  <c r="C339" i="10"/>
  <c r="A340" i="11"/>
  <c r="C338" i="10"/>
  <c r="B338" i="10"/>
  <c r="A339" i="11"/>
  <c r="B337" i="10"/>
  <c r="D337" i="10"/>
  <c r="C337" i="10"/>
  <c r="A338" i="11"/>
  <c r="B336" i="10"/>
  <c r="C336" i="10"/>
  <c r="D336" i="10"/>
  <c r="E336" i="10"/>
  <c r="A337" i="11"/>
  <c r="C335" i="10"/>
  <c r="B335" i="10"/>
  <c r="A336" i="11"/>
  <c r="B334" i="10"/>
  <c r="A335" i="11"/>
  <c r="C334" i="10"/>
  <c r="A334" i="11"/>
  <c r="B333" i="10"/>
  <c r="A333" i="11"/>
  <c r="C332" i="10"/>
  <c r="B332" i="10"/>
  <c r="A332" i="11"/>
  <c r="C331" i="10"/>
  <c r="B331" i="10"/>
  <c r="B330" i="10"/>
  <c r="A331" i="11"/>
  <c r="A330" i="11"/>
  <c r="B329" i="10"/>
  <c r="B328" i="10"/>
  <c r="A329" i="11"/>
  <c r="C327" i="10"/>
  <c r="A328" i="11"/>
  <c r="B327" i="10"/>
  <c r="A327" i="11"/>
  <c r="C326" i="10"/>
  <c r="B326" i="10"/>
  <c r="A326" i="11"/>
  <c r="C325" i="10"/>
  <c r="B325" i="10"/>
  <c r="D325" i="10"/>
  <c r="B324" i="10"/>
  <c r="D324" i="10"/>
  <c r="A325" i="11"/>
  <c r="C324" i="10"/>
  <c r="A324" i="11"/>
  <c r="B323" i="10"/>
  <c r="C323" i="10"/>
  <c r="E322" i="10"/>
  <c r="C322" i="10"/>
  <c r="B322" i="10"/>
  <c r="D322" i="10"/>
  <c r="A323" i="11"/>
  <c r="C321" i="10"/>
  <c r="A322" i="11"/>
  <c r="B321" i="10"/>
  <c r="B320" i="10"/>
  <c r="A321" i="11"/>
  <c r="E320" i="10"/>
  <c r="C320" i="10"/>
  <c r="D320" i="10"/>
  <c r="A320" i="11"/>
  <c r="C319" i="10"/>
  <c r="D319" i="10"/>
  <c r="B319" i="10"/>
  <c r="B317" i="10"/>
  <c r="C317" i="10"/>
  <c r="A318" i="11"/>
  <c r="C316" i="10"/>
  <c r="D316" i="10"/>
  <c r="B316" i="10"/>
  <c r="A317" i="11"/>
  <c r="C315" i="10"/>
  <c r="B315" i="10"/>
  <c r="A316" i="11"/>
  <c r="C314" i="10"/>
  <c r="A315" i="11"/>
  <c r="E314" i="10"/>
  <c r="B314" i="10"/>
  <c r="D314" i="10"/>
  <c r="C313" i="10"/>
  <c r="A314" i="11"/>
  <c r="B313" i="10"/>
  <c r="A313" i="11"/>
  <c r="C312" i="10"/>
  <c r="B312" i="10"/>
  <c r="A312" i="11"/>
  <c r="C311" i="10"/>
  <c r="B311" i="10"/>
  <c r="A311" i="11"/>
  <c r="B310" i="10"/>
  <c r="B309" i="10"/>
  <c r="D309" i="10"/>
  <c r="A310" i="11"/>
  <c r="C309" i="10"/>
  <c r="C308" i="10"/>
  <c r="B308" i="10"/>
  <c r="A309" i="11"/>
  <c r="D307" i="10"/>
  <c r="C307" i="10"/>
  <c r="B307" i="10"/>
  <c r="A308" i="11"/>
  <c r="D306" i="10"/>
  <c r="B306" i="10"/>
  <c r="A307" i="11"/>
  <c r="C306" i="10"/>
  <c r="B305" i="10"/>
  <c r="A306" i="11"/>
  <c r="A305" i="11"/>
  <c r="B304" i="10"/>
  <c r="A304" i="11"/>
  <c r="C303" i="10"/>
  <c r="E303" i="10"/>
  <c r="D303" i="10"/>
  <c r="B303" i="10"/>
  <c r="A303" i="11"/>
  <c r="B302" i="10"/>
  <c r="C302" i="10"/>
  <c r="A302" i="11"/>
  <c r="C301" i="10"/>
  <c r="B301" i="10"/>
  <c r="B300" i="10"/>
  <c r="A301" i="11"/>
  <c r="C300" i="10"/>
  <c r="A300" i="11"/>
  <c r="B299" i="10"/>
  <c r="C298" i="10"/>
  <c r="A299" i="11"/>
  <c r="B298" i="10"/>
  <c r="A298" i="11"/>
  <c r="C297" i="10"/>
  <c r="B297" i="10"/>
  <c r="D297" i="10"/>
  <c r="B296" i="10"/>
  <c r="A297" i="11"/>
  <c r="C296" i="10"/>
  <c r="C295" i="10"/>
  <c r="A296" i="11"/>
  <c r="B295" i="10"/>
  <c r="B294" i="10"/>
  <c r="A295" i="11"/>
  <c r="C294" i="10"/>
  <c r="B293" i="10"/>
  <c r="A294" i="11"/>
  <c r="A293" i="11"/>
  <c r="B292" i="10"/>
  <c r="C291" i="10"/>
  <c r="B291" i="10"/>
  <c r="C290" i="10"/>
  <c r="D290" i="10"/>
  <c r="B290" i="10"/>
  <c r="A291" i="11"/>
  <c r="D288" i="10"/>
  <c r="C288" i="10"/>
  <c r="B288" i="10"/>
  <c r="A289" i="11"/>
  <c r="B287" i="10"/>
  <c r="D287" i="10"/>
  <c r="C287" i="10"/>
  <c r="A288" i="11"/>
  <c r="B286" i="10"/>
  <c r="A287" i="11"/>
  <c r="C286" i="10"/>
  <c r="C285" i="10"/>
  <c r="B285" i="10"/>
  <c r="A286" i="11"/>
  <c r="A285" i="11"/>
  <c r="B284" i="10"/>
  <c r="B281" i="10"/>
  <c r="A282" i="11"/>
  <c r="B280" i="10"/>
  <c r="A281" i="11"/>
  <c r="A278" i="11"/>
  <c r="C277" i="10"/>
  <c r="B277" i="10"/>
  <c r="A277" i="11"/>
  <c r="B276" i="10"/>
  <c r="A273" i="11"/>
  <c r="B272" i="10"/>
  <c r="C272" i="10"/>
  <c r="A272" i="11"/>
  <c r="B271" i="10"/>
  <c r="C271" i="10"/>
  <c r="A271" i="11"/>
  <c r="B270" i="10"/>
  <c r="C270" i="10"/>
  <c r="A270" i="11"/>
  <c r="C269" i="10"/>
  <c r="B269" i="10"/>
  <c r="D269" i="10"/>
  <c r="A269" i="11"/>
  <c r="C268" i="10"/>
  <c r="B268" i="10"/>
  <c r="B267" i="10"/>
  <c r="A268" i="11"/>
  <c r="C267" i="10"/>
  <c r="B266" i="10"/>
  <c r="D266" i="10"/>
  <c r="C266" i="10"/>
  <c r="A267" i="11"/>
  <c r="B265" i="10"/>
  <c r="D265" i="10"/>
  <c r="C265" i="10"/>
  <c r="B264" i="10"/>
  <c r="C264" i="10"/>
  <c r="C263" i="10"/>
  <c r="D263" i="10"/>
  <c r="B263" i="10"/>
  <c r="C262" i="10"/>
  <c r="B262" i="10"/>
  <c r="A263" i="11"/>
  <c r="A262" i="11"/>
  <c r="B261" i="10"/>
  <c r="B257" i="10"/>
  <c r="C257" i="10"/>
  <c r="A257" i="11"/>
  <c r="B256" i="10"/>
  <c r="B254" i="10"/>
  <c r="A255" i="11"/>
  <c r="B252" i="10"/>
  <c r="A253" i="11"/>
  <c r="A251" i="11"/>
  <c r="B250" i="10"/>
  <c r="B247" i="10"/>
  <c r="A248" i="11"/>
  <c r="B245" i="10"/>
  <c r="A246" i="11"/>
  <c r="A245" i="11"/>
  <c r="B244" i="10"/>
  <c r="A244" i="11"/>
  <c r="B243" i="10"/>
  <c r="B242" i="10"/>
  <c r="C242" i="10"/>
  <c r="B240" i="10"/>
  <c r="A241" i="11"/>
  <c r="A235" i="11"/>
  <c r="B234" i="10"/>
  <c r="C233" i="10"/>
  <c r="B233" i="10"/>
  <c r="A234" i="11"/>
  <c r="B231" i="10"/>
  <c r="A232" i="11"/>
  <c r="A231" i="11"/>
  <c r="B230" i="10"/>
  <c r="C229" i="10"/>
  <c r="B229" i="10"/>
  <c r="A229" i="11"/>
  <c r="B228" i="10"/>
  <c r="C228" i="10"/>
  <c r="A228" i="11"/>
  <c r="B227" i="10"/>
  <c r="A226" i="11"/>
  <c r="B225" i="10"/>
  <c r="D225" i="10"/>
  <c r="C225" i="10"/>
  <c r="A225" i="11"/>
  <c r="C224" i="10"/>
  <c r="D224" i="10"/>
  <c r="B224" i="10"/>
  <c r="B223" i="10"/>
  <c r="C223" i="10"/>
  <c r="A223" i="11"/>
  <c r="B222" i="10"/>
  <c r="C222" i="10"/>
  <c r="C221" i="10"/>
  <c r="B221" i="10"/>
  <c r="D221" i="10"/>
  <c r="A221" i="11"/>
  <c r="B220" i="10"/>
  <c r="A220" i="11"/>
  <c r="B219" i="10"/>
  <c r="C218" i="10"/>
  <c r="B218" i="10"/>
  <c r="A218" i="11"/>
  <c r="C217" i="10"/>
  <c r="D217" i="10"/>
  <c r="B217" i="10"/>
  <c r="C216" i="10"/>
  <c r="D216" i="10"/>
  <c r="B216" i="10"/>
  <c r="A216" i="11"/>
  <c r="C215" i="10"/>
  <c r="B215" i="10"/>
  <c r="C214" i="10"/>
  <c r="B214" i="10"/>
  <c r="A213" i="11"/>
  <c r="C212" i="10"/>
  <c r="B212" i="10"/>
  <c r="B211" i="10"/>
  <c r="C211" i="10"/>
  <c r="D211" i="10"/>
  <c r="A212" i="11"/>
  <c r="C210" i="10"/>
  <c r="B210" i="10"/>
  <c r="C209" i="10"/>
  <c r="B209" i="10"/>
  <c r="D209" i="10"/>
  <c r="A210" i="11"/>
  <c r="C208" i="10"/>
  <c r="B208" i="10"/>
  <c r="D208" i="10"/>
  <c r="Q207" i="10"/>
  <c r="M207" i="10"/>
  <c r="J207" i="10"/>
  <c r="H207" i="10"/>
  <c r="D207" i="10"/>
  <c r="B207" i="10"/>
  <c r="F207" i="10"/>
  <c r="C207" i="10"/>
  <c r="E207" i="10"/>
  <c r="I207" i="10"/>
  <c r="L207" i="10"/>
  <c r="P207" i="10"/>
  <c r="C205" i="10"/>
  <c r="B205" i="10"/>
  <c r="D204" i="10"/>
  <c r="C204" i="10"/>
  <c r="A205" i="11"/>
  <c r="B204" i="10"/>
  <c r="A204" i="11"/>
  <c r="B203" i="10"/>
  <c r="A203" i="11"/>
  <c r="C202" i="10"/>
  <c r="D202" i="10"/>
  <c r="B202" i="10"/>
  <c r="A202" i="11"/>
  <c r="B201" i="10"/>
  <c r="D201" i="10"/>
  <c r="C201" i="10"/>
  <c r="C200" i="10"/>
  <c r="B200" i="10"/>
  <c r="D199" i="10"/>
  <c r="A200" i="11"/>
  <c r="C199" i="10"/>
  <c r="B199" i="10"/>
  <c r="A199" i="11"/>
  <c r="B198" i="10"/>
  <c r="C197" i="10"/>
  <c r="B197" i="10"/>
  <c r="B196" i="10"/>
  <c r="C196" i="10"/>
  <c r="D195" i="10"/>
  <c r="B195" i="10"/>
  <c r="C195" i="10"/>
  <c r="A195" i="11"/>
  <c r="B194" i="10"/>
  <c r="C194" i="10"/>
  <c r="C193" i="10"/>
  <c r="B193" i="10"/>
  <c r="D192" i="10"/>
  <c r="B192" i="10"/>
  <c r="D191" i="10"/>
  <c r="B191" i="10"/>
  <c r="C191" i="10"/>
  <c r="A191" i="11"/>
  <c r="C190" i="10"/>
  <c r="B190" i="10"/>
  <c r="D189" i="10"/>
  <c r="C189" i="10"/>
  <c r="B189" i="10"/>
  <c r="E188" i="10"/>
  <c r="A189" i="11"/>
  <c r="C188" i="10"/>
  <c r="D188" i="10"/>
  <c r="B188" i="10"/>
  <c r="E187" i="10"/>
  <c r="B187" i="10"/>
  <c r="D187" i="10"/>
  <c r="C187" i="10"/>
  <c r="A187" i="11"/>
  <c r="C186" i="10"/>
  <c r="B186" i="10"/>
  <c r="A186" i="11"/>
  <c r="B185" i="10"/>
  <c r="B184" i="10"/>
  <c r="C184" i="10"/>
  <c r="B183" i="10"/>
  <c r="C183" i="10"/>
  <c r="B182" i="10"/>
  <c r="D182" i="10"/>
  <c r="C182" i="10"/>
  <c r="C181" i="10"/>
  <c r="B181" i="10"/>
  <c r="C180" i="10"/>
  <c r="A181" i="11"/>
  <c r="B180" i="10"/>
  <c r="D179" i="10"/>
  <c r="A180" i="11"/>
  <c r="C179" i="10"/>
  <c r="E179" i="10"/>
  <c r="B179" i="10"/>
  <c r="A179" i="11"/>
  <c r="C178" i="10"/>
  <c r="B178" i="10"/>
  <c r="C177" i="10"/>
  <c r="D177" i="10"/>
  <c r="B177" i="10"/>
  <c r="E177" i="10"/>
  <c r="A178" i="11"/>
  <c r="C176" i="10"/>
  <c r="A177" i="11"/>
  <c r="B176" i="10"/>
  <c r="B175" i="10"/>
  <c r="A176" i="11"/>
  <c r="C174" i="10"/>
  <c r="D174" i="10"/>
  <c r="B174" i="10"/>
  <c r="A175" i="11"/>
  <c r="C173" i="10"/>
  <c r="B173" i="10"/>
  <c r="A174" i="11"/>
  <c r="C172" i="10"/>
  <c r="D172" i="10"/>
  <c r="B172" i="10"/>
  <c r="A173" i="11"/>
  <c r="C171" i="10"/>
  <c r="B171" i="10"/>
  <c r="A172" i="11"/>
  <c r="B170" i="10"/>
  <c r="A171" i="11"/>
  <c r="C169" i="10"/>
  <c r="D169" i="10"/>
  <c r="B169" i="10"/>
  <c r="A170" i="11"/>
  <c r="B168" i="10"/>
  <c r="C168" i="10"/>
  <c r="A169" i="11"/>
  <c r="C167" i="10"/>
  <c r="B167" i="10"/>
  <c r="A168" i="11"/>
  <c r="B166" i="10"/>
  <c r="C166" i="10"/>
  <c r="A167" i="11"/>
  <c r="C164" i="10"/>
  <c r="B164" i="10"/>
  <c r="A165" i="11"/>
  <c r="B163" i="10"/>
  <c r="C163" i="10"/>
  <c r="A164" i="11"/>
  <c r="B162" i="10"/>
  <c r="D162" i="10"/>
  <c r="F162" i="10"/>
  <c r="E162" i="10"/>
  <c r="C162" i="10"/>
  <c r="A163" i="11"/>
  <c r="C161" i="10"/>
  <c r="B161" i="10"/>
  <c r="D161" i="10"/>
  <c r="A162" i="11"/>
  <c r="E159" i="10"/>
  <c r="D159" i="10"/>
  <c r="C159" i="10"/>
  <c r="A160" i="11"/>
  <c r="B159" i="10"/>
  <c r="B158" i="10"/>
  <c r="C158" i="10"/>
  <c r="A159" i="11"/>
  <c r="N158" i="10"/>
  <c r="O158" i="10" a="1"/>
  <c r="A158" i="11"/>
  <c r="B157" i="10"/>
  <c r="C156" i="10"/>
  <c r="A157" i="11"/>
  <c r="B156" i="10"/>
  <c r="A156" i="11"/>
  <c r="B155" i="10"/>
  <c r="C155" i="10"/>
  <c r="D155" i="10"/>
  <c r="A155" i="11"/>
  <c r="C154" i="10"/>
  <c r="B154" i="10"/>
  <c r="A154" i="11"/>
  <c r="C153" i="10"/>
  <c r="B153" i="10"/>
  <c r="A153" i="11"/>
  <c r="C152" i="10"/>
  <c r="B152" i="10"/>
  <c r="D152" i="10"/>
  <c r="A152" i="11"/>
  <c r="B151" i="10"/>
  <c r="A151" i="11"/>
  <c r="B150" i="10"/>
  <c r="C150" i="10"/>
  <c r="C149" i="10"/>
  <c r="A150" i="11"/>
  <c r="B149" i="10"/>
  <c r="B148" i="10"/>
  <c r="A149" i="11"/>
  <c r="C147" i="10"/>
  <c r="D147" i="10"/>
  <c r="A148" i="11"/>
  <c r="B147" i="10"/>
  <c r="E146" i="10"/>
  <c r="C146" i="10"/>
  <c r="D146" i="10"/>
  <c r="F146" i="10"/>
  <c r="A147" i="11"/>
  <c r="B146" i="10"/>
  <c r="A146" i="11"/>
  <c r="C145" i="10"/>
  <c r="B145" i="10"/>
  <c r="A145" i="11"/>
  <c r="C144" i="10"/>
  <c r="E144" i="10"/>
  <c r="D144" i="10"/>
  <c r="B144" i="10"/>
  <c r="B143" i="10"/>
  <c r="F143" i="10"/>
  <c r="A144" i="11"/>
  <c r="E143" i="10"/>
  <c r="D143" i="10"/>
  <c r="C143" i="10"/>
  <c r="B142" i="10"/>
  <c r="A143" i="11"/>
  <c r="D142" i="10"/>
  <c r="C142" i="10"/>
  <c r="A142" i="11"/>
  <c r="C141" i="10"/>
  <c r="D141" i="10"/>
  <c r="B141" i="10"/>
  <c r="A141" i="11"/>
  <c r="B140" i="10"/>
  <c r="A140" i="11"/>
  <c r="B139" i="10"/>
  <c r="C139" i="10"/>
  <c r="A139" i="11"/>
  <c r="B138" i="10"/>
  <c r="C138" i="10"/>
  <c r="B137" i="10"/>
  <c r="C137" i="10"/>
  <c r="A138" i="11"/>
  <c r="B136" i="10"/>
  <c r="A137" i="11"/>
  <c r="C136" i="10"/>
  <c r="A136" i="11"/>
  <c r="B135" i="10"/>
  <c r="A135" i="11"/>
  <c r="B134" i="10"/>
  <c r="A134" i="11"/>
  <c r="C133" i="10"/>
  <c r="B133" i="10"/>
  <c r="B132" i="10"/>
  <c r="A133" i="11"/>
  <c r="D131" i="10"/>
  <c r="B131" i="10"/>
  <c r="A132" i="11"/>
  <c r="C131" i="10"/>
  <c r="C130" i="10"/>
  <c r="A131" i="11"/>
  <c r="B130" i="10"/>
  <c r="D129" i="10"/>
  <c r="E129" i="10"/>
  <c r="C129" i="10"/>
  <c r="A130" i="11"/>
  <c r="B129" i="10"/>
  <c r="B128" i="10"/>
  <c r="C128" i="10"/>
  <c r="D128" i="10"/>
  <c r="A129" i="11"/>
  <c r="C127" i="10"/>
  <c r="B127" i="10"/>
  <c r="D127" i="10"/>
  <c r="A128" i="11"/>
  <c r="B126" i="10"/>
  <c r="A127" i="11"/>
  <c r="D125" i="10"/>
  <c r="B125" i="10"/>
  <c r="C125" i="10"/>
  <c r="A126" i="11"/>
  <c r="D124" i="10"/>
  <c r="B124" i="10"/>
  <c r="C124" i="10"/>
  <c r="A125" i="11"/>
  <c r="A123" i="11"/>
  <c r="A122" i="11"/>
  <c r="L120" i="10"/>
  <c r="M120" i="10" s="1"/>
  <c r="B120" i="10"/>
  <c r="A121" i="11"/>
  <c r="C120" i="10"/>
  <c r="E120" i="10"/>
  <c r="F120" i="10"/>
  <c r="H120" i="10"/>
  <c r="D119" i="10"/>
  <c r="B119" i="10"/>
  <c r="E119" i="10"/>
  <c r="H119" i="10"/>
  <c r="C119" i="10"/>
  <c r="F119" i="10"/>
  <c r="L119" i="10"/>
  <c r="M119" i="10" s="1"/>
  <c r="A120" i="11"/>
  <c r="C118" i="10"/>
  <c r="B118" i="10"/>
  <c r="D118" i="10"/>
  <c r="E118" i="10"/>
  <c r="F118" i="10"/>
  <c r="A119" i="11"/>
  <c r="H114" i="10"/>
  <c r="B114" i="10"/>
  <c r="C114" i="10"/>
  <c r="D114" i="10"/>
  <c r="E114" i="10"/>
  <c r="F114" i="10"/>
  <c r="A115" i="11"/>
  <c r="L114" i="10"/>
  <c r="M114" i="10" s="1"/>
  <c r="B113" i="10"/>
  <c r="A114" i="11"/>
  <c r="B95" i="10"/>
  <c r="A96" i="11"/>
  <c r="B94" i="10"/>
  <c r="C94" i="10"/>
  <c r="A95" i="11"/>
  <c r="D93" i="10"/>
  <c r="B93" i="10"/>
  <c r="C93" i="10"/>
  <c r="F93" i="10"/>
  <c r="E93" i="10"/>
  <c r="A93" i="11"/>
  <c r="B92" i="10"/>
  <c r="C92" i="10"/>
  <c r="D92" i="10"/>
  <c r="B91" i="10"/>
  <c r="A92" i="11"/>
  <c r="D91" i="10"/>
  <c r="C91" i="10"/>
  <c r="A91" i="11"/>
  <c r="B90" i="10"/>
  <c r="C90" i="10"/>
  <c r="D89" i="10"/>
  <c r="C89" i="10"/>
  <c r="B89" i="10"/>
  <c r="A90" i="11"/>
  <c r="E88" i="10"/>
  <c r="F88" i="10"/>
  <c r="D88" i="10"/>
  <c r="C88" i="10"/>
  <c r="B88" i="10"/>
  <c r="A89" i="11"/>
  <c r="E87" i="10"/>
  <c r="B87" i="10"/>
  <c r="D87" i="10"/>
  <c r="F87" i="10"/>
  <c r="C87" i="10"/>
  <c r="A88" i="11"/>
  <c r="B86" i="10"/>
  <c r="F86" i="10"/>
  <c r="E86" i="10"/>
  <c r="L86" i="10"/>
  <c r="M86" i="10" s="1"/>
  <c r="D86" i="10"/>
  <c r="A87" i="11"/>
  <c r="C86" i="10"/>
  <c r="H86" i="10"/>
  <c r="D85" i="10"/>
  <c r="H85" i="10"/>
  <c r="F85" i="10"/>
  <c r="E85" i="10"/>
  <c r="C85" i="10"/>
  <c r="B85" i="10"/>
  <c r="A86" i="11"/>
  <c r="B83" i="10"/>
  <c r="A84" i="11"/>
  <c r="C83" i="10"/>
  <c r="C82" i="10"/>
  <c r="B82" i="10"/>
  <c r="A83" i="11"/>
  <c r="E82" i="10"/>
  <c r="D82" i="10"/>
  <c r="B80" i="10"/>
  <c r="C80" i="10"/>
  <c r="D80" i="10"/>
  <c r="E80" i="10"/>
  <c r="F80" i="10"/>
  <c r="A81" i="11"/>
  <c r="B79" i="10"/>
  <c r="A80" i="11"/>
  <c r="C79" i="10"/>
  <c r="A79" i="11"/>
  <c r="B78" i="10"/>
  <c r="C78" i="10"/>
  <c r="A76" i="11"/>
  <c r="B75" i="10"/>
  <c r="F75" i="10"/>
  <c r="E75" i="10"/>
  <c r="D75" i="10"/>
  <c r="C75" i="10"/>
  <c r="F62" i="10"/>
  <c r="E62" i="10"/>
  <c r="A63" i="11"/>
  <c r="D62" i="10"/>
  <c r="C62" i="10"/>
  <c r="B62" i="10"/>
  <c r="D60" i="10"/>
  <c r="C60" i="10"/>
  <c r="B60" i="10"/>
  <c r="F60" i="10"/>
  <c r="A61" i="11"/>
  <c r="E60" i="10"/>
  <c r="A60" i="11"/>
  <c r="E59" i="10"/>
  <c r="D59" i="10"/>
  <c r="C59" i="10"/>
  <c r="B59" i="10"/>
  <c r="F59" i="10"/>
  <c r="A59" i="11"/>
  <c r="E58" i="10"/>
  <c r="D58" i="10"/>
  <c r="C58" i="10"/>
  <c r="B58" i="10"/>
  <c r="A58" i="11"/>
  <c r="B57" i="10"/>
  <c r="D57" i="10"/>
  <c r="C57" i="10"/>
  <c r="C56" i="10"/>
  <c r="A57" i="11"/>
  <c r="B56" i="10"/>
  <c r="D56" i="10"/>
  <c r="E56" i="10"/>
  <c r="A43" i="11"/>
  <c r="C42" i="10"/>
  <c r="B42" i="10"/>
  <c r="A42" i="11"/>
  <c r="B41" i="10"/>
  <c r="C41" i="10"/>
  <c r="A39" i="11"/>
  <c r="B38" i="10"/>
  <c r="E38" i="10"/>
  <c r="D38" i="10"/>
  <c r="C38" i="10"/>
  <c r="C37" i="10"/>
  <c r="B37" i="10"/>
  <c r="A38" i="11"/>
  <c r="A37" i="11"/>
  <c r="B36" i="10"/>
  <c r="C36" i="10"/>
  <c r="D35" i="10"/>
  <c r="C35" i="10"/>
  <c r="B35" i="10"/>
  <c r="A36" i="11"/>
  <c r="D34" i="10"/>
  <c r="B34" i="10"/>
  <c r="C34" i="10"/>
  <c r="A35" i="11"/>
  <c r="B33" i="10"/>
  <c r="C33" i="10"/>
  <c r="A34" i="11"/>
  <c r="A33" i="11"/>
  <c r="B32" i="10"/>
  <c r="C32" i="10"/>
  <c r="C29" i="10"/>
  <c r="B29" i="10"/>
  <c r="A30" i="11"/>
  <c r="D29" i="10"/>
  <c r="D25" i="10"/>
  <c r="A26" i="11"/>
  <c r="B25" i="10"/>
  <c r="C25" i="10"/>
  <c r="D24" i="10"/>
  <c r="C24" i="10"/>
  <c r="A25" i="11"/>
  <c r="B24" i="10"/>
  <c r="E24" i="10"/>
  <c r="F22" i="10"/>
  <c r="E22" i="10"/>
  <c r="A23" i="11"/>
  <c r="B22" i="10"/>
  <c r="C22" i="10"/>
  <c r="D22" i="10"/>
  <c r="D18" i="10"/>
  <c r="C18" i="10"/>
  <c r="A19" i="11"/>
  <c r="B18" i="10"/>
  <c r="E18" i="10"/>
  <c r="F18" i="10"/>
  <c r="D17" i="10"/>
  <c r="E17" i="10"/>
  <c r="F17" i="10"/>
  <c r="A18" i="11"/>
  <c r="B17" i="10"/>
  <c r="C17" i="10"/>
  <c r="B16" i="10"/>
  <c r="A17" i="11"/>
  <c r="B7" i="10"/>
  <c r="C7" i="10"/>
  <c r="D7" i="10"/>
  <c r="A8" i="11"/>
  <c r="A406" i="11"/>
  <c r="A407" i="11"/>
  <c r="A408" i="11"/>
  <c r="A409" i="11"/>
  <c r="A411" i="11"/>
  <c r="A412" i="11"/>
  <c r="A413" i="11"/>
  <c r="A416" i="11"/>
  <c r="A418" i="11"/>
  <c r="A419" i="11"/>
  <c r="A420" i="11"/>
  <c r="A422" i="11"/>
  <c r="A423" i="11"/>
  <c r="A426" i="11"/>
  <c r="A430" i="11"/>
  <c r="A432" i="11"/>
  <c r="A433" i="11"/>
  <c r="A435" i="11"/>
  <c r="A437" i="11"/>
  <c r="A438" i="11"/>
  <c r="A441" i="11"/>
  <c r="A443" i="11"/>
  <c r="A444" i="11"/>
  <c r="A447" i="11"/>
  <c r="A448" i="11"/>
  <c r="A452" i="11"/>
  <c r="A206" i="11"/>
  <c r="A207" i="11"/>
  <c r="A208" i="11"/>
  <c r="A209" i="11"/>
  <c r="A211" i="11"/>
  <c r="A215" i="11"/>
  <c r="A217" i="11"/>
  <c r="A219" i="11"/>
  <c r="A222" i="11"/>
  <c r="A224" i="11"/>
  <c r="A227" i="11"/>
  <c r="A230" i="11"/>
  <c r="A233" i="11"/>
  <c r="A236" i="11"/>
  <c r="A237" i="11"/>
  <c r="A239" i="11"/>
  <c r="A240" i="11"/>
  <c r="A242" i="11"/>
  <c r="A243" i="11"/>
  <c r="A250" i="11"/>
  <c r="A254" i="11"/>
  <c r="A256" i="11"/>
  <c r="A258" i="11"/>
  <c r="A259" i="11"/>
  <c r="A260" i="11"/>
  <c r="A264" i="11"/>
  <c r="A265" i="11"/>
  <c r="A266" i="11"/>
  <c r="A274" i="11"/>
  <c r="A275" i="11"/>
  <c r="A276" i="11"/>
  <c r="A280" i="11"/>
  <c r="A283" i="11"/>
  <c r="A284" i="11"/>
  <c r="A290" i="11"/>
  <c r="A292" i="11"/>
  <c r="A194" i="11"/>
  <c r="A196" i="11"/>
  <c r="A197" i="11"/>
  <c r="A198" i="11"/>
  <c r="A201" i="11"/>
  <c r="A106" i="11"/>
  <c r="A107" i="11"/>
  <c r="A109" i="11"/>
  <c r="A182" i="11"/>
  <c r="A183" i="11"/>
  <c r="A184" i="11"/>
  <c r="A185" i="11"/>
  <c r="A188" i="11"/>
  <c r="A190" i="11"/>
  <c r="A192" i="11"/>
  <c r="A193" i="11"/>
  <c r="A94" i="11"/>
  <c r="A6" i="11"/>
  <c r="C5" i="15"/>
  <c r="A13" i="11"/>
  <c r="A6" i="12"/>
  <c r="A7" i="12"/>
  <c r="A8" i="12"/>
  <c r="A9" i="12"/>
  <c r="A10" i="12"/>
  <c r="A11" i="12"/>
  <c r="A12" i="12"/>
  <c r="A13" i="12"/>
  <c r="A14" i="12"/>
  <c r="A60" i="12"/>
  <c r="E557" i="13"/>
  <c r="D557" i="13"/>
  <c r="B557" i="13"/>
  <c r="C557" i="13"/>
  <c r="C559" i="13"/>
  <c r="B559" i="13"/>
  <c r="C563" i="13"/>
  <c r="B563" i="13"/>
  <c r="D563" i="13"/>
  <c r="C564" i="13"/>
  <c r="B564" i="13"/>
  <c r="D566" i="13"/>
  <c r="C566" i="13"/>
  <c r="B566" i="13"/>
  <c r="B572" i="13"/>
  <c r="D572" i="13"/>
  <c r="C572" i="13"/>
  <c r="B578" i="13"/>
  <c r="C578" i="13"/>
  <c r="B589" i="13"/>
  <c r="C589" i="13"/>
  <c r="D590" i="13"/>
  <c r="B590" i="13"/>
  <c r="C590" i="13"/>
  <c r="B593" i="13"/>
  <c r="C593" i="13"/>
  <c r="B594" i="13"/>
  <c r="C594" i="13"/>
  <c r="D594" i="13"/>
  <c r="E594" i="13"/>
  <c r="B405" i="13"/>
  <c r="C405" i="13"/>
  <c r="D407" i="13"/>
  <c r="B407" i="13"/>
  <c r="C407" i="13"/>
  <c r="B417" i="13"/>
  <c r="C417" i="13"/>
  <c r="B420" i="13"/>
  <c r="C420" i="13"/>
  <c r="C426" i="13"/>
  <c r="B426" i="13"/>
  <c r="D433" i="13"/>
  <c r="C433" i="13"/>
  <c r="B433" i="13"/>
  <c r="B436" i="13"/>
  <c r="C436" i="13"/>
  <c r="B437" i="13"/>
  <c r="C437" i="13"/>
  <c r="D437" i="13"/>
  <c r="B439" i="13"/>
  <c r="C439" i="13"/>
  <c r="B440" i="13"/>
  <c r="C440" i="13"/>
  <c r="D442" i="13"/>
  <c r="C442" i="13"/>
  <c r="B442" i="13"/>
  <c r="B455" i="13"/>
  <c r="C455" i="13"/>
  <c r="D455" i="13"/>
  <c r="B465" i="13"/>
  <c r="C465" i="13"/>
  <c r="C475" i="13"/>
  <c r="B475" i="13"/>
  <c r="B484" i="13"/>
  <c r="C484" i="13"/>
  <c r="D484" i="13"/>
  <c r="E484" i="13"/>
  <c r="B490" i="13"/>
  <c r="C490" i="13"/>
  <c r="B494" i="13"/>
  <c r="C494" i="13"/>
  <c r="C514" i="13"/>
  <c r="B514" i="13"/>
  <c r="B522" i="13"/>
  <c r="C522" i="13"/>
  <c r="C531" i="13"/>
  <c r="B531" i="13"/>
  <c r="B540" i="13"/>
  <c r="C540" i="13"/>
  <c r="B546" i="13"/>
  <c r="C546" i="13"/>
  <c r="C357" i="13"/>
  <c r="B357" i="13"/>
  <c r="C359" i="13"/>
  <c r="D359" i="13"/>
  <c r="B359" i="13"/>
  <c r="B361" i="13"/>
  <c r="C361" i="13"/>
  <c r="H364" i="13"/>
  <c r="I364" i="13"/>
  <c r="J364" i="13"/>
  <c r="B364" i="13"/>
  <c r="D364" i="13"/>
  <c r="C364" i="13"/>
  <c r="E364" i="13"/>
  <c r="F364" i="13"/>
  <c r="G364" i="13"/>
  <c r="B380" i="13"/>
  <c r="C380" i="13"/>
  <c r="B389" i="13"/>
  <c r="C389" i="13"/>
  <c r="C253" i="13"/>
  <c r="B253" i="13"/>
  <c r="B254" i="13"/>
  <c r="C254" i="13"/>
  <c r="C256" i="13"/>
  <c r="B256" i="13"/>
  <c r="D256" i="13"/>
  <c r="C257" i="13"/>
  <c r="B257" i="13"/>
  <c r="D257" i="13"/>
  <c r="B259" i="13"/>
  <c r="D259" i="13"/>
  <c r="C259" i="13"/>
  <c r="B260" i="13"/>
  <c r="C260" i="13"/>
  <c r="B261" i="13"/>
  <c r="C261" i="13"/>
  <c r="B265" i="13"/>
  <c r="D265" i="13"/>
  <c r="C265" i="13"/>
  <c r="B278" i="13"/>
  <c r="C278" i="13"/>
  <c r="C281" i="13"/>
  <c r="B281" i="13"/>
  <c r="B283" i="13"/>
  <c r="C283" i="13"/>
  <c r="B289" i="13"/>
  <c r="C289" i="13"/>
  <c r="D291" i="13"/>
  <c r="C291" i="13"/>
  <c r="B291" i="13"/>
  <c r="C292" i="13"/>
  <c r="B292" i="13"/>
  <c r="C294" i="13"/>
  <c r="B294" i="13"/>
  <c r="C295" i="13"/>
  <c r="D295" i="13"/>
  <c r="E295" i="13"/>
  <c r="B295" i="13"/>
  <c r="B296" i="13"/>
  <c r="C296" i="13"/>
  <c r="C297" i="13"/>
  <c r="B297" i="13"/>
  <c r="E297" i="13"/>
  <c r="D297" i="13"/>
  <c r="B300" i="13"/>
  <c r="D300" i="13"/>
  <c r="C300" i="13"/>
  <c r="B301" i="13"/>
  <c r="C301" i="13"/>
  <c r="B302" i="13"/>
  <c r="C302" i="13"/>
  <c r="C305" i="13"/>
  <c r="D305" i="13"/>
  <c r="B305" i="13"/>
  <c r="B307" i="13"/>
  <c r="C307" i="13"/>
  <c r="C309" i="13"/>
  <c r="B309" i="13"/>
  <c r="C311" i="13"/>
  <c r="B311" i="13"/>
  <c r="B313" i="13"/>
  <c r="C313" i="13"/>
  <c r="C321" i="13"/>
  <c r="B321" i="13"/>
  <c r="D321" i="13"/>
  <c r="B322" i="13"/>
  <c r="D322" i="13"/>
  <c r="C322" i="13"/>
  <c r="B325" i="13"/>
  <c r="C325" i="13"/>
  <c r="D327" i="13"/>
  <c r="B327" i="13"/>
  <c r="H338" i="13"/>
  <c r="F338" i="13"/>
  <c r="D338" i="13"/>
  <c r="G338" i="13"/>
  <c r="C338" i="13"/>
  <c r="E338" i="13"/>
  <c r="B338" i="13"/>
  <c r="B342" i="13"/>
  <c r="C342" i="13"/>
  <c r="D157" i="13"/>
  <c r="C157" i="13"/>
  <c r="B157" i="13"/>
  <c r="B163" i="13"/>
  <c r="D163" i="13"/>
  <c r="C163" i="13"/>
  <c r="B164" i="13"/>
  <c r="D164" i="13"/>
  <c r="C164" i="13"/>
  <c r="B9" i="13"/>
  <c r="C9" i="13"/>
  <c r="D9" i="13"/>
  <c r="B49" i="13"/>
  <c r="C49" i="13"/>
  <c r="D49" i="13"/>
  <c r="C61" i="13"/>
  <c r="B61" i="13"/>
  <c r="D61" i="13"/>
  <c r="B109" i="13"/>
  <c r="C109" i="13"/>
  <c r="B119" i="13"/>
  <c r="D119" i="13"/>
  <c r="C119" i="13"/>
  <c r="B129" i="13"/>
  <c r="D129" i="13"/>
  <c r="C129" i="13"/>
  <c r="D145" i="13"/>
  <c r="B145" i="13"/>
  <c r="C145" i="13"/>
  <c r="B148" i="13"/>
  <c r="C148" i="13"/>
  <c r="B64" i="8"/>
  <c r="B25" i="8"/>
  <c r="B28" i="8"/>
  <c r="B27" i="8"/>
  <c r="B29" i="8"/>
  <c r="B26" i="8"/>
  <c r="B43" i="8"/>
  <c r="B46" i="8"/>
  <c r="B44" i="8"/>
  <c r="B45" i="8"/>
  <c r="B6" i="8"/>
  <c r="B5" i="8"/>
  <c r="B7" i="8"/>
  <c r="B8" i="8"/>
  <c r="B9" i="8"/>
  <c r="B10" i="8"/>
  <c r="B11" i="8"/>
  <c r="B13" i="8"/>
  <c r="B14" i="8"/>
  <c r="B15" i="8"/>
  <c r="B16" i="8"/>
  <c r="B12" i="8"/>
  <c r="B19" i="8"/>
  <c r="B18" i="8"/>
  <c r="B17" i="8"/>
  <c r="B20" i="8"/>
  <c r="B21" i="8"/>
  <c r="B22" i="8"/>
  <c r="B23" i="8"/>
  <c r="B30" i="8"/>
  <c r="B31" i="8"/>
  <c r="B32" i="8"/>
  <c r="B33" i="8"/>
  <c r="B34" i="8"/>
  <c r="B35" i="8"/>
  <c r="B41" i="8"/>
  <c r="B40" i="8"/>
  <c r="B39" i="8"/>
  <c r="B38" i="8"/>
  <c r="B36" i="8"/>
  <c r="B37" i="8"/>
  <c r="B42" i="8"/>
  <c r="B53" i="8"/>
  <c r="B51" i="8"/>
  <c r="B52" i="8"/>
  <c r="B54" i="8"/>
  <c r="B74" i="8"/>
  <c r="B73" i="8"/>
  <c r="B61" i="8"/>
  <c r="B62" i="8"/>
  <c r="B63" i="8"/>
  <c r="B71" i="8"/>
  <c r="B72" i="8"/>
  <c r="B70" i="8"/>
  <c r="B55" i="8"/>
  <c r="B56" i="8"/>
  <c r="B57" i="8"/>
  <c r="B69" i="8"/>
  <c r="B68" i="8"/>
  <c r="B76" i="8"/>
  <c r="B75" i="8"/>
  <c r="B48" i="8"/>
  <c r="B49" i="8"/>
  <c r="B50" i="8"/>
  <c r="B47" i="8"/>
  <c r="B58" i="8"/>
  <c r="B59" i="8"/>
  <c r="B60" i="8"/>
  <c r="B65" i="8"/>
  <c r="B66" i="8"/>
  <c r="B67" i="8"/>
  <c r="A600" i="11"/>
  <c r="A599" i="11"/>
  <c r="A598" i="11"/>
  <c r="A597" i="11"/>
  <c r="A596" i="11"/>
  <c r="A595" i="11"/>
  <c r="A594" i="11"/>
  <c r="A593" i="11"/>
  <c r="A592" i="11"/>
  <c r="A591" i="11"/>
  <c r="A590" i="11"/>
  <c r="A589" i="11"/>
  <c r="A588" i="11"/>
  <c r="A587" i="11"/>
  <c r="A586" i="11"/>
  <c r="A585" i="11"/>
  <c r="A584" i="11"/>
  <c r="A583" i="11"/>
  <c r="A582" i="11"/>
  <c r="A581" i="11"/>
  <c r="A580" i="11"/>
  <c r="A579" i="11"/>
  <c r="A578" i="11"/>
  <c r="A577" i="11"/>
  <c r="A576" i="11"/>
  <c r="A575" i="11"/>
  <c r="A574" i="11"/>
  <c r="A573" i="11"/>
  <c r="A572" i="11"/>
  <c r="A571" i="11"/>
  <c r="A570" i="11"/>
  <c r="A569" i="11"/>
  <c r="A568" i="11"/>
  <c r="A567" i="11"/>
  <c r="A566" i="11"/>
  <c r="A565" i="11"/>
  <c r="A564" i="11"/>
  <c r="A563" i="11"/>
  <c r="A562" i="11"/>
  <c r="A561" i="11"/>
  <c r="A560" i="11"/>
  <c r="A559" i="11"/>
  <c r="A558" i="11"/>
  <c r="A557" i="11"/>
  <c r="A556" i="11"/>
  <c r="A555" i="11"/>
  <c r="A554" i="11"/>
  <c r="A553" i="11"/>
  <c r="A552" i="11"/>
  <c r="A551" i="11"/>
  <c r="A550" i="11"/>
  <c r="A549" i="11"/>
  <c r="A548" i="11"/>
  <c r="A547" i="11"/>
  <c r="A546" i="11"/>
  <c r="A545" i="11"/>
  <c r="A544" i="11"/>
  <c r="A543" i="11"/>
  <c r="A542" i="11"/>
  <c r="A541" i="11"/>
  <c r="A540" i="11"/>
  <c r="A539" i="11"/>
  <c r="A538" i="11"/>
  <c r="A537" i="11"/>
  <c r="A536" i="11"/>
  <c r="A535" i="11"/>
  <c r="A534" i="11"/>
  <c r="A533" i="11"/>
  <c r="A532" i="11"/>
  <c r="A531" i="11"/>
  <c r="A530" i="11"/>
  <c r="A529" i="11"/>
  <c r="A528" i="11"/>
  <c r="A527" i="11"/>
  <c r="A526" i="11"/>
  <c r="A525" i="11"/>
  <c r="A524" i="11"/>
  <c r="A523" i="11"/>
  <c r="A522" i="11"/>
  <c r="A521" i="11"/>
  <c r="A520" i="11"/>
  <c r="A519" i="11"/>
  <c r="A518" i="11"/>
  <c r="A517" i="11"/>
  <c r="A516" i="11"/>
  <c r="A515" i="11"/>
  <c r="A514" i="11"/>
  <c r="A513" i="11"/>
  <c r="A512" i="11"/>
  <c r="A511" i="11"/>
  <c r="A510" i="11"/>
  <c r="A509" i="11"/>
  <c r="A508" i="11"/>
  <c r="A507" i="11"/>
  <c r="A506" i="11"/>
  <c r="A505" i="11"/>
  <c r="A504" i="11"/>
  <c r="A503" i="11"/>
  <c r="A502" i="11"/>
  <c r="A501" i="11"/>
  <c r="A500" i="11"/>
  <c r="A499" i="11"/>
  <c r="A498" i="11"/>
  <c r="A497" i="11"/>
  <c r="A496" i="11"/>
  <c r="C45" i="11" l="1"/>
  <c r="I45" i="11"/>
  <c r="B45" i="11"/>
  <c r="G45" i="11"/>
  <c r="N576" i="10"/>
  <c r="O576" i="10" a="1"/>
  <c r="H11" i="14"/>
  <c r="L149" i="9"/>
  <c r="L142" i="9"/>
  <c r="L130" i="9"/>
  <c r="L109" i="9"/>
  <c r="L102" i="9"/>
  <c r="L1589" i="8"/>
  <c r="H9" i="10"/>
  <c r="D1254" i="8"/>
  <c r="AB1254" i="8" s="1"/>
  <c r="AC1254" i="8" s="1"/>
  <c r="E1254" i="8"/>
  <c r="D1257" i="8"/>
  <c r="AB1257" i="8" s="1"/>
  <c r="AC1257" i="8" s="1"/>
  <c r="E1257" i="8"/>
  <c r="D1255" i="8"/>
  <c r="AB1255" i="8" s="1"/>
  <c r="AC1255" i="8" s="1"/>
  <c r="E1255" i="8"/>
  <c r="D1253" i="8"/>
  <c r="AB1253" i="8" s="1"/>
  <c r="AC1253" i="8" s="1"/>
  <c r="E1253" i="8"/>
  <c r="D1256" i="8"/>
  <c r="AB1256" i="8" s="1"/>
  <c r="AC1256" i="8" s="1"/>
  <c r="E1256" i="8"/>
  <c r="D1171" i="8"/>
  <c r="AB1171" i="8" s="1"/>
  <c r="AC1171" i="8" s="1"/>
  <c r="E1171" i="8"/>
  <c r="D1172" i="8"/>
  <c r="AB1172" i="8" s="1"/>
  <c r="AC1172" i="8" s="1"/>
  <c r="E1172" i="8"/>
  <c r="D1170" i="8"/>
  <c r="AB1170" i="8" s="1"/>
  <c r="AC1170" i="8" s="1"/>
  <c r="E1170" i="8"/>
  <c r="D1069" i="8"/>
  <c r="AB1069" i="8" s="1"/>
  <c r="AC1069" i="8" s="1"/>
  <c r="E1069" i="8"/>
  <c r="D1391" i="8"/>
  <c r="AB1391" i="8" s="1"/>
  <c r="AC1391" i="8" s="1"/>
  <c r="E1391" i="8"/>
  <c r="D1388" i="8"/>
  <c r="AB1388" i="8" s="1"/>
  <c r="AC1388" i="8" s="1"/>
  <c r="E1388" i="8"/>
  <c r="D1067" i="8"/>
  <c r="AB1067" i="8" s="1"/>
  <c r="AC1067" i="8" s="1"/>
  <c r="E1067" i="8"/>
  <c r="D1390" i="8"/>
  <c r="AB1390" i="8" s="1"/>
  <c r="AC1390" i="8" s="1"/>
  <c r="E1390" i="8"/>
  <c r="D1389" i="8"/>
  <c r="AB1389" i="8" s="1"/>
  <c r="AC1389" i="8" s="1"/>
  <c r="E1389" i="8"/>
  <c r="D1070" i="8"/>
  <c r="AB1070" i="8" s="1"/>
  <c r="AC1070" i="8" s="1"/>
  <c r="E1070" i="8"/>
  <c r="D1068" i="8"/>
  <c r="AB1068" i="8" s="1"/>
  <c r="AC1068" i="8" s="1"/>
  <c r="E1068" i="8"/>
  <c r="D1066" i="8"/>
  <c r="AB1066" i="8" s="1"/>
  <c r="AC1066" i="8" s="1"/>
  <c r="E1066" i="8"/>
  <c r="D1246" i="8"/>
  <c r="AB1246" i="8" s="1"/>
  <c r="AC1246" i="8" s="1"/>
  <c r="E1246" i="8"/>
  <c r="D1247" i="8"/>
  <c r="AB1247" i="8" s="1"/>
  <c r="AC1247" i="8" s="1"/>
  <c r="E1247" i="8"/>
  <c r="D1250" i="8"/>
  <c r="AB1250" i="8" s="1"/>
  <c r="AC1250" i="8" s="1"/>
  <c r="E1250" i="8"/>
  <c r="D1252" i="8"/>
  <c r="AB1252" i="8" s="1"/>
  <c r="AC1252" i="8" s="1"/>
  <c r="E1252" i="8"/>
  <c r="D1249" i="8"/>
  <c r="AB1249" i="8" s="1"/>
  <c r="AC1249" i="8" s="1"/>
  <c r="E1249" i="8"/>
  <c r="D1251" i="8"/>
  <c r="AB1251" i="8" s="1"/>
  <c r="AC1251" i="8" s="1"/>
  <c r="E1251" i="8"/>
  <c r="D1248" i="8"/>
  <c r="AB1248" i="8" s="1"/>
  <c r="AC1248" i="8" s="1"/>
  <c r="E1248" i="8"/>
  <c r="D1262" i="8"/>
  <c r="AB1262" i="8" s="1"/>
  <c r="AC1262" i="8" s="1"/>
  <c r="E1262" i="8"/>
  <c r="D1258" i="8"/>
  <c r="AB1258" i="8" s="1"/>
  <c r="AC1258" i="8" s="1"/>
  <c r="E1258" i="8"/>
  <c r="D1265" i="8"/>
  <c r="AB1265" i="8" s="1"/>
  <c r="AC1265" i="8" s="1"/>
  <c r="E1265" i="8"/>
  <c r="D1260" i="8"/>
  <c r="AB1260" i="8" s="1"/>
  <c r="AC1260" i="8" s="1"/>
  <c r="E1260" i="8"/>
  <c r="D1264" i="8"/>
  <c r="AB1264" i="8" s="1"/>
  <c r="AC1264" i="8" s="1"/>
  <c r="E1264" i="8"/>
  <c r="D1259" i="8"/>
  <c r="AB1259" i="8" s="1"/>
  <c r="AC1259" i="8" s="1"/>
  <c r="E1259" i="8"/>
  <c r="D1261" i="8"/>
  <c r="AB1261" i="8" s="1"/>
  <c r="AC1261" i="8" s="1"/>
  <c r="E1261" i="8"/>
  <c r="D1263" i="8"/>
  <c r="AB1263" i="8" s="1"/>
  <c r="AC1263" i="8" s="1"/>
  <c r="E1263" i="8"/>
  <c r="D1327" i="8"/>
  <c r="AB1327" i="8" s="1"/>
  <c r="AC1327" i="8" s="1"/>
  <c r="E1327" i="8"/>
  <c r="D1325" i="8"/>
  <c r="AB1325" i="8" s="1"/>
  <c r="AC1325" i="8" s="1"/>
  <c r="E1325" i="8"/>
  <c r="D1328" i="8"/>
  <c r="AB1328" i="8" s="1"/>
  <c r="AC1328" i="8" s="1"/>
  <c r="E1328" i="8"/>
  <c r="D1324" i="8"/>
  <c r="AB1324" i="8" s="1"/>
  <c r="AC1324" i="8" s="1"/>
  <c r="E1324" i="8"/>
  <c r="D1326" i="8"/>
  <c r="AB1326" i="8" s="1"/>
  <c r="AC1326" i="8" s="1"/>
  <c r="E1326" i="8"/>
  <c r="D1330" i="8"/>
  <c r="AB1330" i="8" s="1"/>
  <c r="AC1330" i="8" s="1"/>
  <c r="E1330" i="8"/>
  <c r="D1329" i="8"/>
  <c r="AB1329" i="8" s="1"/>
  <c r="AC1329" i="8" s="1"/>
  <c r="E1329" i="8"/>
  <c r="D1242" i="8"/>
  <c r="AB1242" i="8" s="1"/>
  <c r="AC1242" i="8" s="1"/>
  <c r="E1242" i="8"/>
  <c r="D1239" i="8"/>
  <c r="AB1239" i="8" s="1"/>
  <c r="AC1239" i="8" s="1"/>
  <c r="E1239" i="8"/>
  <c r="D1241" i="8"/>
  <c r="AB1241" i="8" s="1"/>
  <c r="AC1241" i="8" s="1"/>
  <c r="E1241" i="8"/>
  <c r="D1243" i="8"/>
  <c r="AB1243" i="8" s="1"/>
  <c r="AC1243" i="8" s="1"/>
  <c r="E1243" i="8"/>
  <c r="D1245" i="8"/>
  <c r="AB1245" i="8" s="1"/>
  <c r="AC1245" i="8" s="1"/>
  <c r="E1245" i="8"/>
  <c r="D1240" i="8"/>
  <c r="AB1240" i="8" s="1"/>
  <c r="AC1240" i="8" s="1"/>
  <c r="E1240" i="8"/>
  <c r="D1244" i="8"/>
  <c r="AB1244" i="8" s="1"/>
  <c r="AC1244" i="8" s="1"/>
  <c r="E1244" i="8"/>
  <c r="D1499" i="8"/>
  <c r="AB1499" i="8" s="1"/>
  <c r="AC1499" i="8" s="1"/>
  <c r="E1499" i="8"/>
  <c r="D1138" i="8"/>
  <c r="AB1138" i="8" s="1"/>
  <c r="AC1138" i="8" s="1"/>
  <c r="E1138" i="8"/>
  <c r="D1135" i="8"/>
  <c r="AB1135" i="8" s="1"/>
  <c r="AC1135" i="8" s="1"/>
  <c r="E1135" i="8"/>
  <c r="D1137" i="8"/>
  <c r="AB1137" i="8" s="1"/>
  <c r="AC1137" i="8" s="1"/>
  <c r="E1137" i="8"/>
  <c r="D1136" i="8"/>
  <c r="AB1136" i="8" s="1"/>
  <c r="AC1136" i="8" s="1"/>
  <c r="E1136" i="8"/>
  <c r="D613" i="8"/>
  <c r="AB613" i="8" s="1"/>
  <c r="AC613" i="8" s="1"/>
  <c r="E613" i="8"/>
  <c r="D1208" i="8"/>
  <c r="AB1208" i="8" s="1"/>
  <c r="AC1208" i="8" s="1"/>
  <c r="E1208" i="8"/>
  <c r="D1206" i="8"/>
  <c r="AB1206" i="8" s="1"/>
  <c r="AC1206" i="8" s="1"/>
  <c r="E1206" i="8"/>
  <c r="D1205" i="8"/>
  <c r="AB1205" i="8" s="1"/>
  <c r="AC1205" i="8" s="1"/>
  <c r="E1205" i="8"/>
  <c r="D1204" i="8"/>
  <c r="AB1204" i="8" s="1"/>
  <c r="AC1204" i="8" s="1"/>
  <c r="E1204" i="8"/>
  <c r="D1207" i="8"/>
  <c r="AB1207" i="8" s="1"/>
  <c r="AC1207" i="8" s="1"/>
  <c r="E1207" i="8"/>
  <c r="E615" i="8"/>
  <c r="D615" i="8"/>
  <c r="AB615" i="8" s="1"/>
  <c r="AC615" i="8" s="1"/>
  <c r="D1134" i="8"/>
  <c r="AB1134" i="8" s="1"/>
  <c r="AC1134" i="8" s="1"/>
  <c r="E1134" i="8"/>
  <c r="D1129" i="8"/>
  <c r="AB1129" i="8" s="1"/>
  <c r="AC1129" i="8" s="1"/>
  <c r="E1129" i="8"/>
  <c r="D1131" i="8"/>
  <c r="AB1131" i="8" s="1"/>
  <c r="AC1131" i="8" s="1"/>
  <c r="E1131" i="8"/>
  <c r="D1132" i="8"/>
  <c r="AB1132" i="8" s="1"/>
  <c r="AC1132" i="8" s="1"/>
  <c r="E1132" i="8"/>
  <c r="D1130" i="8"/>
  <c r="AB1130" i="8" s="1"/>
  <c r="AC1130" i="8" s="1"/>
  <c r="E1130" i="8"/>
  <c r="D1133" i="8"/>
  <c r="AB1133" i="8" s="1"/>
  <c r="AC1133" i="8" s="1"/>
  <c r="E1133" i="8"/>
  <c r="D1071" i="8"/>
  <c r="E1071" i="8"/>
  <c r="D1298" i="8"/>
  <c r="AB1298" i="8" s="1"/>
  <c r="AC1298" i="8" s="1"/>
  <c r="E1298" i="8"/>
  <c r="D1297" i="8"/>
  <c r="AB1297" i="8" s="1"/>
  <c r="AC1297" i="8" s="1"/>
  <c r="E1297" i="8"/>
  <c r="D1296" i="8"/>
  <c r="AB1296" i="8" s="1"/>
  <c r="AC1296" i="8" s="1"/>
  <c r="E1296" i="8"/>
  <c r="E624" i="8"/>
  <c r="D624" i="8"/>
  <c r="AB624" i="8" s="1"/>
  <c r="AC624" i="8" s="1"/>
  <c r="D1152" i="8"/>
  <c r="AB1152" i="8" s="1"/>
  <c r="AC1152" i="8" s="1"/>
  <c r="E1152" i="8"/>
  <c r="D1156" i="8"/>
  <c r="AB1156" i="8" s="1"/>
  <c r="AC1156" i="8" s="1"/>
  <c r="E1156" i="8"/>
  <c r="D1151" i="8"/>
  <c r="AB1151" i="8" s="1"/>
  <c r="AC1151" i="8" s="1"/>
  <c r="E1151" i="8"/>
  <c r="D1153" i="8"/>
  <c r="AB1153" i="8" s="1"/>
  <c r="AC1153" i="8" s="1"/>
  <c r="E1153" i="8"/>
  <c r="D1155" i="8"/>
  <c r="AB1155" i="8" s="1"/>
  <c r="AC1155" i="8" s="1"/>
  <c r="E1155" i="8"/>
  <c r="D1154" i="8"/>
  <c r="AB1154" i="8" s="1"/>
  <c r="AC1154" i="8" s="1"/>
  <c r="E1154" i="8"/>
  <c r="E625" i="8"/>
  <c r="D625" i="8"/>
  <c r="D617" i="8"/>
  <c r="E617" i="8"/>
  <c r="H126" i="10"/>
  <c r="L171" i="9"/>
  <c r="O171" i="9" s="1"/>
  <c r="G172" i="12" s="1"/>
  <c r="L166" i="9"/>
  <c r="L162" i="9"/>
  <c r="L158" i="9"/>
  <c r="L156" i="9"/>
  <c r="L153" i="9"/>
  <c r="L150" i="9"/>
  <c r="O150" i="9" s="1"/>
  <c r="L148" i="9"/>
  <c r="L146" i="9"/>
  <c r="L143" i="9"/>
  <c r="L141" i="9"/>
  <c r="O141" i="9" s="1"/>
  <c r="L139" i="9"/>
  <c r="L137" i="9"/>
  <c r="L135" i="9"/>
  <c r="L133" i="9"/>
  <c r="O133" i="9" s="1"/>
  <c r="L131" i="9"/>
  <c r="L126" i="9"/>
  <c r="O126" i="9" s="1"/>
  <c r="L123" i="9"/>
  <c r="O123" i="9" s="1"/>
  <c r="L120" i="9"/>
  <c r="O120" i="9" s="1"/>
  <c r="L186" i="9"/>
  <c r="O186" i="9" s="1"/>
  <c r="G187" i="12" s="1"/>
  <c r="L182" i="9"/>
  <c r="L180" i="9"/>
  <c r="O180" i="9" s="1"/>
  <c r="G181" i="12" s="1"/>
  <c r="L178" i="9"/>
  <c r="O178" i="9" s="1"/>
  <c r="G179" i="12" s="1"/>
  <c r="L177" i="9"/>
  <c r="O177" i="9" s="1"/>
  <c r="G178" i="12" s="1"/>
  <c r="L167" i="9"/>
  <c r="L164" i="9"/>
  <c r="O164" i="9" s="1"/>
  <c r="G165" i="12" s="1"/>
  <c r="L163" i="9"/>
  <c r="L160" i="9"/>
  <c r="L157" i="9"/>
  <c r="L155" i="9"/>
  <c r="L152" i="9"/>
  <c r="L151" i="9"/>
  <c r="O151" i="9" s="1"/>
  <c r="L147" i="9"/>
  <c r="O147" i="9" s="1"/>
  <c r="L145" i="9"/>
  <c r="O145" i="9" s="1"/>
  <c r="L144" i="9"/>
  <c r="O144" i="9" s="1"/>
  <c r="L140" i="9"/>
  <c r="L138" i="9"/>
  <c r="O138" i="9" s="1"/>
  <c r="L136" i="9"/>
  <c r="O136" i="9" s="1"/>
  <c r="L134" i="9"/>
  <c r="O134" i="9" s="1"/>
  <c r="L132" i="9"/>
  <c r="L128" i="9"/>
  <c r="O128" i="9" s="1"/>
  <c r="L125" i="9"/>
  <c r="O125" i="9" s="1"/>
  <c r="L124" i="9"/>
  <c r="L122" i="9"/>
  <c r="O122" i="9" s="1"/>
  <c r="L118" i="9"/>
  <c r="O118" i="9" s="1"/>
  <c r="L116" i="9"/>
  <c r="L115" i="9"/>
  <c r="L113" i="9"/>
  <c r="L111" i="9"/>
  <c r="L110" i="9"/>
  <c r="O110" i="9" s="1"/>
  <c r="L107" i="9"/>
  <c r="L106" i="9"/>
  <c r="L105" i="9"/>
  <c r="O105" i="9" s="1"/>
  <c r="L99" i="9"/>
  <c r="O99" i="9" s="1"/>
  <c r="L98" i="9"/>
  <c r="L97" i="9"/>
  <c r="O97" i="9" s="1"/>
  <c r="L96" i="9"/>
  <c r="L95" i="9"/>
  <c r="O95" i="9" s="1"/>
  <c r="L93" i="9"/>
  <c r="O93" i="9" s="1"/>
  <c r="L91" i="9"/>
  <c r="L90" i="9"/>
  <c r="O90" i="9" s="1"/>
  <c r="L89" i="9"/>
  <c r="O89" i="9" s="1"/>
  <c r="L72" i="9"/>
  <c r="L69" i="9"/>
  <c r="O69" i="9" s="1"/>
  <c r="L68" i="9"/>
  <c r="O68" i="9" s="1"/>
  <c r="L66" i="9"/>
  <c r="O66" i="9" s="1"/>
  <c r="L63" i="9"/>
  <c r="O63" i="9" s="1"/>
  <c r="L62" i="9"/>
  <c r="L61" i="9"/>
  <c r="L59" i="9"/>
  <c r="O59" i="9" s="1"/>
  <c r="L56" i="9"/>
  <c r="O56" i="9" s="1"/>
  <c r="L55" i="9"/>
  <c r="O55" i="9" s="1"/>
  <c r="L51" i="9"/>
  <c r="O51" i="9" s="1"/>
  <c r="L50" i="9"/>
  <c r="L48" i="9"/>
  <c r="O48" i="9" s="1"/>
  <c r="L46" i="9"/>
  <c r="O46" i="9" s="1"/>
  <c r="L39" i="9"/>
  <c r="O39" i="9" s="1"/>
  <c r="L38" i="9"/>
  <c r="O38" i="9" s="1"/>
  <c r="L33" i="9"/>
  <c r="O33" i="9" s="1"/>
  <c r="L28" i="9"/>
  <c r="O28" i="9" s="1"/>
  <c r="L26" i="9"/>
  <c r="O26" i="9" s="1"/>
  <c r="L7" i="9"/>
  <c r="O7" i="9" s="1"/>
  <c r="L1542" i="8"/>
  <c r="H28" i="10"/>
  <c r="L1543" i="8"/>
  <c r="H35" i="10"/>
  <c r="I35" i="10" s="1"/>
  <c r="L1544" i="8"/>
  <c r="H34" i="10"/>
  <c r="L1545" i="8"/>
  <c r="H33" i="10"/>
  <c r="I33" i="10" s="1"/>
  <c r="L1546" i="8"/>
  <c r="H40" i="10"/>
  <c r="I40" i="10" s="1"/>
  <c r="L1547" i="8"/>
  <c r="H27" i="10"/>
  <c r="L1548" i="8"/>
  <c r="H20" i="10"/>
  <c r="L1549" i="8"/>
  <c r="H37" i="10"/>
  <c r="L1550" i="8"/>
  <c r="H124" i="10"/>
  <c r="L1551" i="8"/>
  <c r="L179" i="9"/>
  <c r="O179" i="9" s="1"/>
  <c r="G180" i="12" s="1"/>
  <c r="L34" i="9"/>
  <c r="O34" i="9" s="1"/>
  <c r="H21" i="10"/>
  <c r="I21" i="10" s="1"/>
  <c r="L1552" i="8"/>
  <c r="H17" i="10"/>
  <c r="I17" i="10" s="1"/>
  <c r="L1563" i="8"/>
  <c r="L43" i="9"/>
  <c r="H22" i="10"/>
  <c r="I22" i="10" s="1"/>
  <c r="L1587" i="8"/>
  <c r="L181" i="9"/>
  <c r="O181" i="9" s="1"/>
  <c r="G182" i="12" s="1"/>
  <c r="H23" i="10"/>
  <c r="L1601" i="8"/>
  <c r="H7" i="10"/>
  <c r="I7" i="10" s="1"/>
  <c r="L1612" i="8"/>
  <c r="H73" i="10"/>
  <c r="L1614" i="8"/>
  <c r="L185" i="9"/>
  <c r="O185" i="9" s="1"/>
  <c r="G186" i="12" s="1"/>
  <c r="H41" i="10"/>
  <c r="L1615" i="8"/>
  <c r="H129" i="10"/>
  <c r="L174" i="9"/>
  <c r="H74" i="10"/>
  <c r="I74" i="10" s="1"/>
  <c r="S1928" i="8"/>
  <c r="U1928" i="8" s="1"/>
  <c r="V1928" i="8" s="1"/>
  <c r="W1928" i="8" s="1"/>
  <c r="X1928" i="8" s="1"/>
  <c r="I13" i="14"/>
  <c r="H13" i="14"/>
  <c r="F180" i="9"/>
  <c r="H14" i="14"/>
  <c r="I14" i="14"/>
  <c r="L83" i="9"/>
  <c r="O83" i="9" s="1"/>
  <c r="L80" i="9"/>
  <c r="L76" i="9"/>
  <c r="O76" i="9" s="1"/>
  <c r="G77" i="12" s="1"/>
  <c r="L54" i="9"/>
  <c r="E1930" i="8"/>
  <c r="D1930" i="8"/>
  <c r="AB1930" i="8" s="1"/>
  <c r="E1931" i="8"/>
  <c r="D1931" i="8"/>
  <c r="AB1931" i="8" s="1"/>
  <c r="E1928" i="8"/>
  <c r="D1928" i="8"/>
  <c r="AB1928" i="8" s="1"/>
  <c r="D1929" i="8"/>
  <c r="AB1929" i="8" s="1"/>
  <c r="E1929" i="8"/>
  <c r="D1927" i="8"/>
  <c r="AB1927" i="8" s="1"/>
  <c r="E1927" i="8"/>
  <c r="E1933" i="8"/>
  <c r="D1933" i="8"/>
  <c r="AB1933" i="8" s="1"/>
  <c r="E1932" i="8"/>
  <c r="D1932" i="8"/>
  <c r="AB1932" i="8" s="1"/>
  <c r="E1935" i="8"/>
  <c r="D1935" i="8"/>
  <c r="AB1935" i="8" s="1"/>
  <c r="D1934" i="8"/>
  <c r="AB1934" i="8" s="1"/>
  <c r="E1934" i="8"/>
  <c r="O599" i="10" a="1"/>
  <c r="N599" i="10"/>
  <c r="N396" i="10"/>
  <c r="O396" i="10" a="1"/>
  <c r="AL1928" i="8" a="1"/>
  <c r="AL1929" i="8" a="1"/>
  <c r="AL1930" i="8" a="1"/>
  <c r="AL1932" i="8" a="1"/>
  <c r="AL1934" i="8" a="1"/>
  <c r="AL1935" i="8" a="1"/>
  <c r="AL1933" i="8" a="1"/>
  <c r="F171" i="9"/>
  <c r="L169" i="9"/>
  <c r="L168" i="9"/>
  <c r="O168" i="9" s="1"/>
  <c r="L165" i="9"/>
  <c r="S1932" i="8"/>
  <c r="U1932" i="8" s="1"/>
  <c r="V1932" i="8" s="1"/>
  <c r="W1932" i="8" s="1"/>
  <c r="X1932" i="8" s="1"/>
  <c r="S1931" i="8"/>
  <c r="U1931" i="8" s="1"/>
  <c r="V1931" i="8" s="1"/>
  <c r="W1931" i="8" s="1"/>
  <c r="X1931" i="8" s="1"/>
  <c r="AA608" i="8"/>
  <c r="AA169" i="8"/>
  <c r="AA618" i="8"/>
  <c r="S1927" i="8"/>
  <c r="U1927" i="8" s="1"/>
  <c r="V1927" i="8" s="1"/>
  <c r="W1927" i="8" s="1"/>
  <c r="S1930" i="8"/>
  <c r="U1930" i="8" s="1"/>
  <c r="V1930" i="8" s="1"/>
  <c r="W1930" i="8" s="1"/>
  <c r="X1930" i="8" s="1"/>
  <c r="D267" i="13"/>
  <c r="B267" i="13"/>
  <c r="C267" i="13"/>
  <c r="F5" i="9"/>
  <c r="AM1929" i="8" a="1"/>
  <c r="AM1930" i="8" a="1"/>
  <c r="AM1932" i="8" a="1"/>
  <c r="AM1934" i="8" a="1"/>
  <c r="AM1935" i="8" a="1"/>
  <c r="AM1933" i="8" a="1"/>
  <c r="AM1928" i="8" a="1"/>
  <c r="AL1927" i="8" a="1"/>
  <c r="AM1927" i="8" a="1"/>
  <c r="AM1931" i="8" a="1"/>
  <c r="AL1931" i="8" a="1"/>
  <c r="N520" i="10"/>
  <c r="O520" i="10" a="1"/>
  <c r="N386" i="10"/>
  <c r="O386" i="10" a="1"/>
  <c r="L9" i="9"/>
  <c r="S1934" i="8"/>
  <c r="U1934" i="8" s="1"/>
  <c r="V1934" i="8" s="1"/>
  <c r="S1935" i="8"/>
  <c r="U1935" i="8" s="1"/>
  <c r="V1935" i="8" s="1"/>
  <c r="S1929" i="8"/>
  <c r="U1929" i="8" s="1"/>
  <c r="V1929" i="8" s="1"/>
  <c r="W1929" i="8" s="1"/>
  <c r="X1929" i="8" s="1"/>
  <c r="S1933" i="8"/>
  <c r="U1933" i="8" s="1"/>
  <c r="V1933" i="8" s="1"/>
  <c r="W1933" i="8" s="1"/>
  <c r="X1933" i="8" s="1"/>
  <c r="AN1935" i="8"/>
  <c r="M1935" i="8"/>
  <c r="AC1935" i="8"/>
  <c r="M1933" i="8"/>
  <c r="AN1933" i="8"/>
  <c r="AC1933" i="8"/>
  <c r="AC1934" i="8"/>
  <c r="AC1932" i="8"/>
  <c r="AC1930" i="8"/>
  <c r="AC1931" i="8"/>
  <c r="AC1928" i="8"/>
  <c r="AC1929" i="8"/>
  <c r="L112" i="9"/>
  <c r="F90" i="9"/>
  <c r="L154" i="9"/>
  <c r="L189" i="9"/>
  <c r="L188" i="9"/>
  <c r="L187" i="9"/>
  <c r="L176" i="9"/>
  <c r="L175" i="9"/>
  <c r="L159" i="9"/>
  <c r="E572" i="8"/>
  <c r="D572" i="8"/>
  <c r="AB572" i="8" s="1"/>
  <c r="F71" i="9"/>
  <c r="F55" i="9"/>
  <c r="F34" i="9"/>
  <c r="F75" i="9"/>
  <c r="F24" i="9"/>
  <c r="B73" i="11"/>
  <c r="N334" i="10"/>
  <c r="O334" i="10" a="1"/>
  <c r="AJ1589" i="8"/>
  <c r="AK1589" i="8" s="1"/>
  <c r="AJ1565" i="8"/>
  <c r="AK1565" i="8" s="1"/>
  <c r="AJ1577" i="8"/>
  <c r="AK1577" i="8" s="1"/>
  <c r="AJ1553" i="8"/>
  <c r="AK1553" i="8" s="1"/>
  <c r="AJ1541" i="8"/>
  <c r="L1541" i="8"/>
  <c r="F76" i="9"/>
  <c r="F28" i="9"/>
  <c r="L173" i="9"/>
  <c r="O173" i="9" s="1"/>
  <c r="L172" i="9"/>
  <c r="L170" i="9"/>
  <c r="F26" i="9"/>
  <c r="E74" i="11"/>
  <c r="E52" i="11"/>
  <c r="D173" i="8"/>
  <c r="AB173" i="8" s="1"/>
  <c r="E173" i="8"/>
  <c r="D1108" i="8"/>
  <c r="AB1108" i="8" s="1"/>
  <c r="E1108" i="8"/>
  <c r="D1109" i="8"/>
  <c r="AB1109" i="8" s="1"/>
  <c r="E1109" i="8"/>
  <c r="D1110" i="8"/>
  <c r="AB1110" i="8" s="1"/>
  <c r="E1110" i="8"/>
  <c r="D1118" i="8"/>
  <c r="AB1118" i="8" s="1"/>
  <c r="E1118" i="8"/>
  <c r="D1119" i="8"/>
  <c r="AB1119" i="8" s="1"/>
  <c r="E1119" i="8"/>
  <c r="D1105" i="8"/>
  <c r="AB1105" i="8" s="1"/>
  <c r="E1105" i="8"/>
  <c r="D1107" i="8"/>
  <c r="AB1107" i="8" s="1"/>
  <c r="E1107" i="8"/>
  <c r="D1104" i="8"/>
  <c r="AB1104" i="8" s="1"/>
  <c r="E1104" i="8"/>
  <c r="D1106" i="8"/>
  <c r="AB1106" i="8" s="1"/>
  <c r="E1106" i="8"/>
  <c r="D1049" i="8"/>
  <c r="AB1049" i="8" s="1"/>
  <c r="E1049" i="8"/>
  <c r="D1046" i="8"/>
  <c r="AB1046" i="8" s="1"/>
  <c r="E1046" i="8"/>
  <c r="D1047" i="8"/>
  <c r="AB1047" i="8" s="1"/>
  <c r="E1047" i="8"/>
  <c r="D1048" i="8"/>
  <c r="AB1048" i="8" s="1"/>
  <c r="E1048" i="8"/>
  <c r="D254" i="8"/>
  <c r="E254" i="8"/>
  <c r="D1042" i="8"/>
  <c r="AB1042" i="8" s="1"/>
  <c r="E1042" i="8"/>
  <c r="D1194" i="8"/>
  <c r="AB1194" i="8" s="1"/>
  <c r="E1194" i="8"/>
  <c r="D1195" i="8"/>
  <c r="AB1195" i="8" s="1"/>
  <c r="E1195" i="8"/>
  <c r="D1290" i="8"/>
  <c r="AB1290" i="8" s="1"/>
  <c r="E1290" i="8"/>
  <c r="D1289" i="8"/>
  <c r="AB1289" i="8" s="1"/>
  <c r="E1289" i="8"/>
  <c r="D1288" i="8"/>
  <c r="AB1288" i="8" s="1"/>
  <c r="E1288" i="8"/>
  <c r="D1287" i="8"/>
  <c r="AB1287" i="8" s="1"/>
  <c r="E1287" i="8"/>
  <c r="D1286" i="8"/>
  <c r="AB1286" i="8" s="1"/>
  <c r="E1286" i="8"/>
  <c r="D1284" i="8"/>
  <c r="AB1284" i="8" s="1"/>
  <c r="E1284" i="8"/>
  <c r="D1285" i="8"/>
  <c r="AB1285" i="8" s="1"/>
  <c r="E1285" i="8"/>
  <c r="D1126" i="8"/>
  <c r="AB1126" i="8" s="1"/>
  <c r="E1126" i="8"/>
  <c r="D1128" i="8"/>
  <c r="AB1128" i="8" s="1"/>
  <c r="E1128" i="8"/>
  <c r="D1127" i="8"/>
  <c r="AB1127" i="8" s="1"/>
  <c r="E1127" i="8"/>
  <c r="D1125" i="8"/>
  <c r="AB1125" i="8" s="1"/>
  <c r="E1125" i="8"/>
  <c r="D1292" i="8"/>
  <c r="AB1292" i="8" s="1"/>
  <c r="E1292" i="8"/>
  <c r="D1291" i="8"/>
  <c r="AB1291" i="8" s="1"/>
  <c r="E1291" i="8"/>
  <c r="D1293" i="8"/>
  <c r="AB1293" i="8" s="1"/>
  <c r="E1293" i="8"/>
  <c r="D1295" i="8"/>
  <c r="AB1295" i="8" s="1"/>
  <c r="E1295" i="8"/>
  <c r="D1294" i="8"/>
  <c r="AB1294" i="8" s="1"/>
  <c r="E1294" i="8"/>
  <c r="D1145" i="8"/>
  <c r="AB1145" i="8" s="1"/>
  <c r="E1145" i="8"/>
  <c r="D1146" i="8"/>
  <c r="AB1146" i="8" s="1"/>
  <c r="E1146" i="8"/>
  <c r="D1144" i="8"/>
  <c r="AB1144" i="8" s="1"/>
  <c r="E1144" i="8"/>
  <c r="D1167" i="8"/>
  <c r="AB1167" i="8" s="1"/>
  <c r="E1167" i="8"/>
  <c r="D1165" i="8"/>
  <c r="AB1165" i="8" s="1"/>
  <c r="E1165" i="8"/>
  <c r="D1166" i="8"/>
  <c r="AB1166" i="8" s="1"/>
  <c r="E1166" i="8"/>
  <c r="D1164" i="8"/>
  <c r="AB1164" i="8" s="1"/>
  <c r="E1164" i="8"/>
  <c r="D1176" i="8"/>
  <c r="AB1176" i="8" s="1"/>
  <c r="E1176" i="8"/>
  <c r="D1177" i="8"/>
  <c r="AB1177" i="8" s="1"/>
  <c r="E1177" i="8"/>
  <c r="D1179" i="8"/>
  <c r="AB1179" i="8" s="1"/>
  <c r="E1179" i="8"/>
  <c r="D1178" i="8"/>
  <c r="AB1178" i="8" s="1"/>
  <c r="E1178" i="8"/>
  <c r="D1238" i="8"/>
  <c r="AB1238" i="8" s="1"/>
  <c r="E1238" i="8"/>
  <c r="D1237" i="8"/>
  <c r="AB1237" i="8" s="1"/>
  <c r="E1237" i="8"/>
  <c r="D1236" i="8"/>
  <c r="AB1236" i="8" s="1"/>
  <c r="E1236" i="8"/>
  <c r="D1334" i="8"/>
  <c r="AB1334" i="8" s="1"/>
  <c r="E1334" i="8"/>
  <c r="D1335" i="8"/>
  <c r="AB1335" i="8" s="1"/>
  <c r="E1335" i="8"/>
  <c r="D1336" i="8"/>
  <c r="AB1336" i="8" s="1"/>
  <c r="E1336" i="8"/>
  <c r="D1337" i="8"/>
  <c r="AB1337" i="8" s="1"/>
  <c r="E1337" i="8"/>
  <c r="D1161" i="8"/>
  <c r="AB1161" i="8" s="1"/>
  <c r="E1161" i="8"/>
  <c r="D1162" i="8"/>
  <c r="AB1162" i="8" s="1"/>
  <c r="E1162" i="8"/>
  <c r="D1163" i="8"/>
  <c r="AB1163" i="8" s="1"/>
  <c r="E1163" i="8"/>
  <c r="D1230" i="8"/>
  <c r="AB1230" i="8" s="1"/>
  <c r="E1230" i="8"/>
  <c r="D1229" i="8"/>
  <c r="AB1229" i="8" s="1"/>
  <c r="E1229" i="8"/>
  <c r="D1228" i="8"/>
  <c r="AB1228" i="8" s="1"/>
  <c r="E1228" i="8"/>
  <c r="D1227" i="8"/>
  <c r="AB1227" i="8" s="1"/>
  <c r="E1227" i="8"/>
  <c r="D1231" i="8"/>
  <c r="AB1231" i="8" s="1"/>
  <c r="E1231" i="8"/>
  <c r="D1184" i="8"/>
  <c r="AB1184" i="8" s="1"/>
  <c r="E1184" i="8"/>
  <c r="D1186" i="8"/>
  <c r="AB1186" i="8" s="1"/>
  <c r="E1186" i="8"/>
  <c r="D1187" i="8"/>
  <c r="AB1187" i="8" s="1"/>
  <c r="E1187" i="8"/>
  <c r="D1185" i="8"/>
  <c r="AB1185" i="8" s="1"/>
  <c r="E1185" i="8"/>
  <c r="D1175" i="8"/>
  <c r="AB1175" i="8" s="1"/>
  <c r="E1175" i="8"/>
  <c r="D1174" i="8"/>
  <c r="AB1174" i="8" s="1"/>
  <c r="E1174" i="8"/>
  <c r="D1173" i="8"/>
  <c r="AB1173" i="8" s="1"/>
  <c r="E1173" i="8"/>
  <c r="D1202" i="8"/>
  <c r="AB1202" i="8" s="1"/>
  <c r="E1202" i="8"/>
  <c r="D1203" i="8"/>
  <c r="AB1203" i="8" s="1"/>
  <c r="E1203" i="8"/>
  <c r="D1201" i="8"/>
  <c r="AB1201" i="8" s="1"/>
  <c r="E1201" i="8"/>
  <c r="D1200" i="8"/>
  <c r="AB1200" i="8" s="1"/>
  <c r="E1200" i="8"/>
  <c r="D1056" i="8"/>
  <c r="AB1056" i="8" s="1"/>
  <c r="E1056" i="8"/>
  <c r="D1054" i="8"/>
  <c r="AB1054" i="8" s="1"/>
  <c r="E1054" i="8"/>
  <c r="D1055" i="8"/>
  <c r="AB1055" i="8" s="1"/>
  <c r="E1055" i="8"/>
  <c r="D1057" i="8"/>
  <c r="AB1057" i="8" s="1"/>
  <c r="E1057" i="8"/>
  <c r="D1317" i="8"/>
  <c r="AB1317" i="8" s="1"/>
  <c r="E1317" i="8"/>
  <c r="D1318" i="8"/>
  <c r="AB1318" i="8" s="1"/>
  <c r="E1318" i="8"/>
  <c r="D1319" i="8"/>
  <c r="AB1319" i="8" s="1"/>
  <c r="E1319" i="8"/>
  <c r="D1316" i="8"/>
  <c r="AB1316" i="8" s="1"/>
  <c r="E1316" i="8"/>
  <c r="E313" i="8"/>
  <c r="D313" i="8"/>
  <c r="AB313" i="8" s="1"/>
  <c r="D1122" i="8"/>
  <c r="AB1122" i="8" s="1"/>
  <c r="E1122" i="8"/>
  <c r="D1121" i="8"/>
  <c r="AB1121" i="8" s="1"/>
  <c r="E1121" i="8"/>
  <c r="D1120" i="8"/>
  <c r="AB1120" i="8" s="1"/>
  <c r="E1120" i="8"/>
  <c r="D1124" i="8"/>
  <c r="AB1124" i="8" s="1"/>
  <c r="E1124" i="8"/>
  <c r="D1123" i="8"/>
  <c r="AB1123" i="8" s="1"/>
  <c r="E1123" i="8"/>
  <c r="D1266" i="8"/>
  <c r="AB1266" i="8" s="1"/>
  <c r="E1266" i="8"/>
  <c r="D1268" i="8"/>
  <c r="AB1268" i="8" s="1"/>
  <c r="E1268" i="8"/>
  <c r="D1267" i="8"/>
  <c r="AB1267" i="8" s="1"/>
  <c r="E1267" i="8"/>
  <c r="D1089" i="8"/>
  <c r="AB1089" i="8" s="1"/>
  <c r="E1089" i="8"/>
  <c r="D1088" i="8"/>
  <c r="AB1088" i="8" s="1"/>
  <c r="E1088" i="8"/>
  <c r="D1087" i="8"/>
  <c r="AB1087" i="8" s="1"/>
  <c r="E1087" i="8"/>
  <c r="D1086" i="8"/>
  <c r="AB1086" i="8" s="1"/>
  <c r="E1086" i="8"/>
  <c r="D1053" i="8"/>
  <c r="AB1053" i="8" s="1"/>
  <c r="E1053" i="8"/>
  <c r="D1052" i="8"/>
  <c r="AB1052" i="8" s="1"/>
  <c r="E1052" i="8"/>
  <c r="D1051" i="8"/>
  <c r="AB1051" i="8" s="1"/>
  <c r="E1051" i="8"/>
  <c r="D1050" i="8"/>
  <c r="AB1050" i="8" s="1"/>
  <c r="E1050" i="8"/>
  <c r="D1111" i="8"/>
  <c r="AB1111" i="8" s="1"/>
  <c r="E1111" i="8"/>
  <c r="D1112" i="8"/>
  <c r="AB1112" i="8" s="1"/>
  <c r="E1112" i="8"/>
  <c r="D1113" i="8"/>
  <c r="AB1113" i="8" s="1"/>
  <c r="E1113" i="8"/>
  <c r="D1114" i="8"/>
  <c r="AB1114" i="8" s="1"/>
  <c r="E1114" i="8"/>
  <c r="D1217" i="8"/>
  <c r="AB1217" i="8" s="1"/>
  <c r="E1217" i="8"/>
  <c r="D1220" i="8"/>
  <c r="AB1220" i="8" s="1"/>
  <c r="E1220" i="8"/>
  <c r="D1219" i="8"/>
  <c r="AB1219" i="8" s="1"/>
  <c r="E1219" i="8"/>
  <c r="D1218" i="8"/>
  <c r="AB1218" i="8" s="1"/>
  <c r="E1218" i="8"/>
  <c r="D1090" i="8"/>
  <c r="AB1090" i="8" s="1"/>
  <c r="E1090" i="8"/>
  <c r="D1091" i="8"/>
  <c r="AB1091" i="8" s="1"/>
  <c r="E1091" i="8"/>
  <c r="D1168" i="8"/>
  <c r="AB1168" i="8" s="1"/>
  <c r="E1168" i="8"/>
  <c r="D1169" i="8"/>
  <c r="AB1169" i="8" s="1"/>
  <c r="E1169" i="8"/>
  <c r="D1212" i="8"/>
  <c r="AB1212" i="8" s="1"/>
  <c r="E1212" i="8"/>
  <c r="D1210" i="8"/>
  <c r="AB1210" i="8" s="1"/>
  <c r="E1210" i="8"/>
  <c r="D1209" i="8"/>
  <c r="AB1209" i="8" s="1"/>
  <c r="E1209" i="8"/>
  <c r="D1211" i="8"/>
  <c r="AB1211" i="8" s="1"/>
  <c r="S1541" i="8"/>
  <c r="U1541" i="8" s="1"/>
  <c r="V1541" i="8" s="1"/>
  <c r="E1211" i="8"/>
  <c r="D1100" i="8"/>
  <c r="AB1100" i="8" s="1"/>
  <c r="E1100" i="8"/>
  <c r="D1101" i="8"/>
  <c r="AB1101" i="8" s="1"/>
  <c r="E1101" i="8"/>
  <c r="D1222" i="8"/>
  <c r="AB1222" i="8" s="1"/>
  <c r="E1222" i="8"/>
  <c r="D1223" i="8"/>
  <c r="AB1223" i="8" s="1"/>
  <c r="E1223" i="8"/>
  <c r="D1224" i="8"/>
  <c r="AB1224" i="8" s="1"/>
  <c r="E1224" i="8"/>
  <c r="D1221" i="8"/>
  <c r="AB1221" i="8" s="1"/>
  <c r="E1221" i="8"/>
  <c r="D1095" i="8"/>
  <c r="AB1095" i="8" s="1"/>
  <c r="E1095" i="8"/>
  <c r="D1158" i="8"/>
  <c r="AB1158" i="8" s="1"/>
  <c r="E1158" i="8"/>
  <c r="D1160" i="8"/>
  <c r="AB1160" i="8" s="1"/>
  <c r="E1160" i="8"/>
  <c r="D1157" i="8"/>
  <c r="AB1157" i="8" s="1"/>
  <c r="E1157" i="8"/>
  <c r="D1159" i="8"/>
  <c r="AB1159" i="8" s="1"/>
  <c r="E1159" i="8"/>
  <c r="D686" i="8"/>
  <c r="AB686" i="8" s="1"/>
  <c r="E686" i="8"/>
  <c r="D1063" i="8"/>
  <c r="AB1063" i="8" s="1"/>
  <c r="E1063" i="8"/>
  <c r="D1065" i="8"/>
  <c r="AB1065" i="8" s="1"/>
  <c r="E1065" i="8"/>
  <c r="D1064" i="8"/>
  <c r="AB1064" i="8" s="1"/>
  <c r="E1064" i="8"/>
  <c r="D1062" i="8"/>
  <c r="AB1062" i="8" s="1"/>
  <c r="E1062" i="8"/>
  <c r="D1300" i="8"/>
  <c r="AB1300" i="8" s="1"/>
  <c r="E1300" i="8"/>
  <c r="D1301" i="8"/>
  <c r="AB1301" i="8" s="1"/>
  <c r="E1301" i="8"/>
  <c r="D1302" i="8"/>
  <c r="AB1302" i="8" s="1"/>
  <c r="E1302" i="8"/>
  <c r="D1304" i="8"/>
  <c r="AB1304" i="8" s="1"/>
  <c r="E1304" i="8"/>
  <c r="D1303" i="8"/>
  <c r="AB1303" i="8" s="1"/>
  <c r="E1303" i="8"/>
  <c r="D1180" i="8"/>
  <c r="AB1180" i="8" s="1"/>
  <c r="E1180" i="8"/>
  <c r="D1299" i="8"/>
  <c r="AB1299" i="8" s="1"/>
  <c r="E1299" i="8"/>
  <c r="D1274" i="8"/>
  <c r="AB1274" i="8" s="1"/>
  <c r="E1274" i="8"/>
  <c r="D1276" i="8"/>
  <c r="AB1276" i="8" s="1"/>
  <c r="E1276" i="8"/>
  <c r="D1277" i="8"/>
  <c r="AB1277" i="8" s="1"/>
  <c r="E1277" i="8"/>
  <c r="D1275" i="8"/>
  <c r="AB1275" i="8" s="1"/>
  <c r="E1275" i="8"/>
  <c r="D1273" i="8"/>
  <c r="AB1273" i="8" s="1"/>
  <c r="E1273" i="8"/>
  <c r="D1272" i="8"/>
  <c r="AB1272" i="8" s="1"/>
  <c r="E1272" i="8"/>
  <c r="D1269" i="8"/>
  <c r="AB1269" i="8" s="1"/>
  <c r="E1269" i="8"/>
  <c r="D1271" i="8"/>
  <c r="AB1271" i="8" s="1"/>
  <c r="E1271" i="8"/>
  <c r="D1270" i="8"/>
  <c r="AB1270" i="8" s="1"/>
  <c r="E1270" i="8"/>
  <c r="D1181" i="8"/>
  <c r="AB1181" i="8" s="1"/>
  <c r="E1181" i="8"/>
  <c r="D1182" i="8"/>
  <c r="AB1182" i="8" s="1"/>
  <c r="E1182" i="8"/>
  <c r="D1183" i="8"/>
  <c r="AB1183" i="8" s="1"/>
  <c r="E1183" i="8"/>
  <c r="D1079" i="8"/>
  <c r="AB1079" i="8" s="1"/>
  <c r="E1079" i="8"/>
  <c r="D1078" i="8"/>
  <c r="AB1078" i="8" s="1"/>
  <c r="E1078" i="8"/>
  <c r="D1081" i="8"/>
  <c r="AB1081" i="8" s="1"/>
  <c r="E1081" i="8"/>
  <c r="D1080" i="8"/>
  <c r="AB1080" i="8" s="1"/>
  <c r="E1080" i="8"/>
  <c r="D1280" i="8"/>
  <c r="AB1280" i="8" s="1"/>
  <c r="E1280" i="8"/>
  <c r="D1279" i="8"/>
  <c r="AB1279" i="8" s="1"/>
  <c r="E1279" i="8"/>
  <c r="D1278" i="8"/>
  <c r="AB1278" i="8" s="1"/>
  <c r="E1278" i="8"/>
  <c r="D1059" i="8"/>
  <c r="AB1059" i="8" s="1"/>
  <c r="E1059" i="8"/>
  <c r="D1060" i="8"/>
  <c r="AB1060" i="8" s="1"/>
  <c r="E1060" i="8"/>
  <c r="D1061" i="8"/>
  <c r="AB1061" i="8" s="1"/>
  <c r="E1061" i="8"/>
  <c r="D1058" i="8"/>
  <c r="AB1058" i="8" s="1"/>
  <c r="E1058" i="8"/>
  <c r="D1140" i="8"/>
  <c r="AB1140" i="8" s="1"/>
  <c r="E1140" i="8"/>
  <c r="D1139" i="8"/>
  <c r="AB1139" i="8" s="1"/>
  <c r="E1139" i="8"/>
  <c r="D1188" i="8"/>
  <c r="AB1188" i="8" s="1"/>
  <c r="E1188" i="8"/>
  <c r="D1189" i="8"/>
  <c r="AB1189" i="8" s="1"/>
  <c r="E1189" i="8"/>
  <c r="D1093" i="8"/>
  <c r="AB1093" i="8" s="1"/>
  <c r="E1093" i="8"/>
  <c r="D1094" i="8"/>
  <c r="AB1094" i="8" s="1"/>
  <c r="E1094" i="8"/>
  <c r="D1092" i="8"/>
  <c r="AB1092" i="8" s="1"/>
  <c r="E1092" i="8"/>
  <c r="D1322" i="8"/>
  <c r="AB1322" i="8" s="1"/>
  <c r="E1322" i="8"/>
  <c r="D1321" i="8"/>
  <c r="AB1321" i="8" s="1"/>
  <c r="E1321" i="8"/>
  <c r="D1323" i="8"/>
  <c r="AB1323" i="8" s="1"/>
  <c r="E1323" i="8"/>
  <c r="D1320" i="8"/>
  <c r="AB1320" i="8" s="1"/>
  <c r="E1320" i="8"/>
  <c r="D1307" i="8"/>
  <c r="AB1307" i="8" s="1"/>
  <c r="E1307" i="8"/>
  <c r="D1306" i="8"/>
  <c r="AB1306" i="8" s="1"/>
  <c r="E1306" i="8"/>
  <c r="D1305" i="8"/>
  <c r="AB1305" i="8" s="1"/>
  <c r="E1305" i="8"/>
  <c r="D1309" i="8"/>
  <c r="AB1309" i="8" s="1"/>
  <c r="E1309" i="8"/>
  <c r="D1308" i="8"/>
  <c r="AB1308" i="8" s="1"/>
  <c r="E1308" i="8"/>
  <c r="D1311" i="8"/>
  <c r="AB1311" i="8" s="1"/>
  <c r="E1311" i="8"/>
  <c r="D1310" i="8"/>
  <c r="AB1310" i="8" s="1"/>
  <c r="E1310" i="8"/>
  <c r="D1314" i="8"/>
  <c r="AB1314" i="8" s="1"/>
  <c r="E1314" i="8"/>
  <c r="D1313" i="8"/>
  <c r="AB1313" i="8" s="1"/>
  <c r="E1313" i="8"/>
  <c r="D1312" i="8"/>
  <c r="AB1312" i="8" s="1"/>
  <c r="E1312" i="8"/>
  <c r="D1315" i="8"/>
  <c r="AB1315" i="8" s="1"/>
  <c r="E1315" i="8"/>
  <c r="D1333" i="8"/>
  <c r="AB1333" i="8" s="1"/>
  <c r="E1333" i="8"/>
  <c r="D1332" i="8"/>
  <c r="AB1332" i="8" s="1"/>
  <c r="E1332" i="8"/>
  <c r="D1331" i="8"/>
  <c r="AB1331" i="8" s="1"/>
  <c r="E1331" i="8"/>
  <c r="D1225" i="8"/>
  <c r="AB1225" i="8" s="1"/>
  <c r="E1225" i="8"/>
  <c r="D1226" i="8"/>
  <c r="AB1226" i="8" s="1"/>
  <c r="E1226" i="8"/>
  <c r="D1338" i="8"/>
  <c r="AB1338" i="8" s="1"/>
  <c r="E1338" i="8"/>
  <c r="D1077" i="8"/>
  <c r="AB1077" i="8" s="1"/>
  <c r="E1077" i="8"/>
  <c r="D1213" i="8"/>
  <c r="AB1213" i="8" s="1"/>
  <c r="E1213" i="8"/>
  <c r="D1214" i="8"/>
  <c r="AB1214" i="8" s="1"/>
  <c r="E1214" i="8"/>
  <c r="D1215" i="8"/>
  <c r="AB1215" i="8" s="1"/>
  <c r="E1215" i="8"/>
  <c r="D1216" i="8"/>
  <c r="AB1216" i="8" s="1"/>
  <c r="E1216" i="8"/>
  <c r="D1099" i="8"/>
  <c r="AB1099" i="8" s="1"/>
  <c r="E1099" i="8"/>
  <c r="D1097" i="8"/>
  <c r="AB1097" i="8" s="1"/>
  <c r="E1097" i="8"/>
  <c r="D1096" i="8"/>
  <c r="AB1096" i="8" s="1"/>
  <c r="E1096" i="8"/>
  <c r="D1098" i="8"/>
  <c r="AB1098" i="8" s="1"/>
  <c r="E1098" i="8"/>
  <c r="D1043" i="8"/>
  <c r="AB1043" i="8" s="1"/>
  <c r="E1043" i="8"/>
  <c r="D1044" i="8"/>
  <c r="AB1044" i="8" s="1"/>
  <c r="E1044" i="8"/>
  <c r="D1045" i="8"/>
  <c r="AB1045" i="8" s="1"/>
  <c r="E1045" i="8"/>
  <c r="D1082" i="8"/>
  <c r="AB1082" i="8" s="1"/>
  <c r="E1082" i="8"/>
  <c r="D1083" i="8"/>
  <c r="AB1083" i="8" s="1"/>
  <c r="E1083" i="8"/>
  <c r="D1084" i="8"/>
  <c r="AB1084" i="8" s="1"/>
  <c r="E1084" i="8"/>
  <c r="D1085" i="8"/>
  <c r="AB1085" i="8" s="1"/>
  <c r="E1085" i="8"/>
  <c r="D1148" i="8"/>
  <c r="AB1148" i="8" s="1"/>
  <c r="E1148" i="8"/>
  <c r="D1147" i="8"/>
  <c r="AB1147" i="8" s="1"/>
  <c r="E1147" i="8"/>
  <c r="D1149" i="8"/>
  <c r="AB1149" i="8" s="1"/>
  <c r="E1149" i="8"/>
  <c r="D1150" i="8"/>
  <c r="AB1150" i="8" s="1"/>
  <c r="E1150" i="8"/>
  <c r="D1116" i="8"/>
  <c r="AB1116" i="8" s="1"/>
  <c r="E1116" i="8"/>
  <c r="D1117" i="8"/>
  <c r="AB1117" i="8" s="1"/>
  <c r="E1117" i="8"/>
  <c r="D1235" i="8"/>
  <c r="AB1235" i="8" s="1"/>
  <c r="E1235" i="8"/>
  <c r="D1234" i="8"/>
  <c r="AB1234" i="8" s="1"/>
  <c r="E1234" i="8"/>
  <c r="D1233" i="8"/>
  <c r="AB1233" i="8" s="1"/>
  <c r="E1233" i="8"/>
  <c r="D1115" i="8"/>
  <c r="AB1115" i="8" s="1"/>
  <c r="E1115" i="8"/>
  <c r="D1232" i="8"/>
  <c r="AB1232" i="8" s="1"/>
  <c r="E1232" i="8"/>
  <c r="D1281" i="8"/>
  <c r="AB1281" i="8" s="1"/>
  <c r="E1281" i="8"/>
  <c r="D1283" i="8"/>
  <c r="AB1283" i="8" s="1"/>
  <c r="E1283" i="8"/>
  <c r="D1282" i="8"/>
  <c r="AB1282" i="8" s="1"/>
  <c r="E1282" i="8"/>
  <c r="D1141" i="8"/>
  <c r="AB1141" i="8" s="1"/>
  <c r="E1141" i="8"/>
  <c r="D1142" i="8"/>
  <c r="AB1142" i="8" s="1"/>
  <c r="E1142" i="8"/>
  <c r="D1143" i="8"/>
  <c r="AB1143" i="8" s="1"/>
  <c r="E1143" i="8"/>
  <c r="D1103" i="8"/>
  <c r="AB1103" i="8" s="1"/>
  <c r="E1103" i="8"/>
  <c r="D1102" i="8"/>
  <c r="AB1102" i="8" s="1"/>
  <c r="E1102" i="8"/>
  <c r="D1193" i="8"/>
  <c r="AB1193" i="8" s="1"/>
  <c r="E1193" i="8"/>
  <c r="D1192" i="8"/>
  <c r="AB1192" i="8" s="1"/>
  <c r="E1192" i="8"/>
  <c r="D1191" i="8"/>
  <c r="AB1191" i="8" s="1"/>
  <c r="E1191" i="8"/>
  <c r="D1190" i="8"/>
  <c r="AB1190" i="8" s="1"/>
  <c r="E1190" i="8"/>
  <c r="D1075" i="8"/>
  <c r="AB1075" i="8" s="1"/>
  <c r="E1075" i="8"/>
  <c r="D1074" i="8"/>
  <c r="AB1074" i="8" s="1"/>
  <c r="E1074" i="8"/>
  <c r="D1073" i="8"/>
  <c r="AB1073" i="8" s="1"/>
  <c r="E1073" i="8"/>
  <c r="D1072" i="8"/>
  <c r="AB1072" i="8" s="1"/>
  <c r="E1072" i="8"/>
  <c r="D1076" i="8"/>
  <c r="AB1076" i="8" s="1"/>
  <c r="E1076" i="8"/>
  <c r="I51" i="10"/>
  <c r="N410" i="10"/>
  <c r="O410" i="10" a="1"/>
  <c r="N206" i="10"/>
  <c r="O206" i="10" a="1"/>
  <c r="N485" i="10"/>
  <c r="O485" i="10" a="1"/>
  <c r="N565" i="10"/>
  <c r="O565" i="10" a="1"/>
  <c r="N573" i="10"/>
  <c r="O573" i="10" a="1"/>
  <c r="N561" i="10"/>
  <c r="O561" i="10" a="1"/>
  <c r="N526" i="10"/>
  <c r="O526" i="10" a="1"/>
  <c r="F185" i="9"/>
  <c r="L65" i="9"/>
  <c r="F129" i="9"/>
  <c r="L121" i="9"/>
  <c r="O121" i="9" s="1"/>
  <c r="F105" i="9"/>
  <c r="F99" i="9"/>
  <c r="L79" i="9"/>
  <c r="O182" i="9"/>
  <c r="G183" i="12" s="1"/>
  <c r="F179" i="9"/>
  <c r="F145" i="9"/>
  <c r="F136" i="9"/>
  <c r="F186" i="9"/>
  <c r="L117" i="9"/>
  <c r="F66" i="9"/>
  <c r="F63" i="9"/>
  <c r="L161" i="9"/>
  <c r="L60" i="9"/>
  <c r="F57" i="9"/>
  <c r="Q90" i="9"/>
  <c r="P90" i="9"/>
  <c r="Q84" i="9"/>
  <c r="P84" i="9"/>
  <c r="L114" i="9"/>
  <c r="O114" i="9" s="1"/>
  <c r="O189" i="9"/>
  <c r="G190" i="12" s="1"/>
  <c r="F189" i="9"/>
  <c r="F188" i="9"/>
  <c r="O188" i="9"/>
  <c r="O187" i="9"/>
  <c r="G188" i="12" s="1"/>
  <c r="F187" i="9"/>
  <c r="Q186" i="9"/>
  <c r="J187" i="12" s="1"/>
  <c r="P186" i="9"/>
  <c r="H187" i="12" s="1"/>
  <c r="P185" i="9"/>
  <c r="H186" i="12" s="1"/>
  <c r="Q185" i="9"/>
  <c r="J186" i="12" s="1"/>
  <c r="O184" i="9"/>
  <c r="G185" i="12" s="1"/>
  <c r="F184" i="9"/>
  <c r="P183" i="9"/>
  <c r="H184" i="12" s="1"/>
  <c r="Q183" i="9"/>
  <c r="J184" i="12" s="1"/>
  <c r="Q182" i="9"/>
  <c r="J183" i="12" s="1"/>
  <c r="P182" i="9"/>
  <c r="H183" i="12" s="1"/>
  <c r="P181" i="9"/>
  <c r="H182" i="12" s="1"/>
  <c r="L132" i="10"/>
  <c r="M132" i="10" s="1"/>
  <c r="N132" i="10" s="1"/>
  <c r="Q181" i="9"/>
  <c r="J182" i="12" s="1"/>
  <c r="Q180" i="9"/>
  <c r="J181" i="12" s="1"/>
  <c r="P180" i="9"/>
  <c r="H181" i="12" s="1"/>
  <c r="L131" i="10"/>
  <c r="M131" i="10" s="1"/>
  <c r="P179" i="9"/>
  <c r="H180" i="12" s="1"/>
  <c r="Q179" i="9"/>
  <c r="J180" i="12" s="1"/>
  <c r="Q178" i="9"/>
  <c r="J179" i="12" s="1"/>
  <c r="P178" i="9"/>
  <c r="H179" i="12" s="1"/>
  <c r="P177" i="9"/>
  <c r="H178" i="12" s="1"/>
  <c r="Q177" i="9"/>
  <c r="J178" i="12" s="1"/>
  <c r="O176" i="9"/>
  <c r="G177" i="12" s="1"/>
  <c r="F176" i="9"/>
  <c r="O175" i="9"/>
  <c r="F175" i="9"/>
  <c r="O174" i="9"/>
  <c r="G175" i="12" s="1"/>
  <c r="F174" i="9"/>
  <c r="Q173" i="9"/>
  <c r="P173" i="9"/>
  <c r="H174" i="12" s="1"/>
  <c r="F172" i="9"/>
  <c r="O172" i="9"/>
  <c r="G173" i="12" s="1"/>
  <c r="Q171" i="9"/>
  <c r="J172" i="12" s="1"/>
  <c r="P171" i="9"/>
  <c r="H172" i="12" s="1"/>
  <c r="L74" i="10"/>
  <c r="M74" i="10" s="1"/>
  <c r="N74" i="10" s="1"/>
  <c r="F170" i="9"/>
  <c r="O170" i="9"/>
  <c r="P168" i="9"/>
  <c r="H169" i="12" s="1"/>
  <c r="Q168" i="9"/>
  <c r="O167" i="9"/>
  <c r="F167" i="9"/>
  <c r="O166" i="9"/>
  <c r="F166" i="9"/>
  <c r="F165" i="9"/>
  <c r="O165" i="9"/>
  <c r="G166" i="12" s="1"/>
  <c r="Q164" i="9"/>
  <c r="J165" i="12" s="1"/>
  <c r="P164" i="9"/>
  <c r="H165" i="12" s="1"/>
  <c r="O162" i="9"/>
  <c r="F162" i="9"/>
  <c r="F161" i="9"/>
  <c r="O161" i="9"/>
  <c r="O160" i="9"/>
  <c r="F160" i="9"/>
  <c r="O159" i="9"/>
  <c r="F159" i="9"/>
  <c r="F158" i="9"/>
  <c r="O158" i="9"/>
  <c r="F157" i="9"/>
  <c r="O157" i="9"/>
  <c r="O156" i="9"/>
  <c r="F156" i="9"/>
  <c r="O155" i="9"/>
  <c r="F155" i="9"/>
  <c r="O154" i="9"/>
  <c r="F154" i="9"/>
  <c r="Q151" i="9"/>
  <c r="P151" i="9"/>
  <c r="H152" i="12" s="1"/>
  <c r="P150" i="9"/>
  <c r="H151" i="12" s="1"/>
  <c r="Q150" i="9"/>
  <c r="F149" i="9"/>
  <c r="O149" i="9"/>
  <c r="G150" i="12" s="1"/>
  <c r="O148" i="9"/>
  <c r="F148" i="9"/>
  <c r="Q147" i="9"/>
  <c r="P147" i="9"/>
  <c r="H148" i="12" s="1"/>
  <c r="P145" i="9"/>
  <c r="H146" i="12" s="1"/>
  <c r="Q145" i="9"/>
  <c r="P144" i="9"/>
  <c r="H145" i="12" s="1"/>
  <c r="Q144" i="9"/>
  <c r="F143" i="9"/>
  <c r="O143" i="9"/>
  <c r="O142" i="9"/>
  <c r="G143" i="12" s="1"/>
  <c r="F142" i="9"/>
  <c r="Q141" i="9"/>
  <c r="P141" i="9"/>
  <c r="H142" i="12" s="1"/>
  <c r="O140" i="9"/>
  <c r="G141" i="12" s="1"/>
  <c r="F140" i="9"/>
  <c r="O139" i="9"/>
  <c r="F139" i="9"/>
  <c r="P138" i="9"/>
  <c r="H139" i="12" s="1"/>
  <c r="Q138" i="9"/>
  <c r="O137" i="9"/>
  <c r="F137" i="9"/>
  <c r="P136" i="9"/>
  <c r="H137" i="12" s="1"/>
  <c r="Q136" i="9"/>
  <c r="P134" i="9"/>
  <c r="H135" i="12" s="1"/>
  <c r="Q134" i="9"/>
  <c r="P133" i="9"/>
  <c r="H134" i="12" s="1"/>
  <c r="Q133" i="9"/>
  <c r="O132" i="9"/>
  <c r="F132" i="9"/>
  <c r="O131" i="9"/>
  <c r="F131" i="9"/>
  <c r="F130" i="9"/>
  <c r="O130" i="9"/>
  <c r="Q129" i="9"/>
  <c r="J130" i="12" s="1"/>
  <c r="P129" i="9"/>
  <c r="H130" i="12" s="1"/>
  <c r="P128" i="9"/>
  <c r="Q128" i="9"/>
  <c r="O169" i="9"/>
  <c r="O163" i="9"/>
  <c r="O152" i="9"/>
  <c r="O135" i="9"/>
  <c r="O153" i="9"/>
  <c r="O146" i="9"/>
  <c r="O91" i="9"/>
  <c r="L58" i="9"/>
  <c r="L103" i="9"/>
  <c r="O115" i="9"/>
  <c r="O102" i="9"/>
  <c r="F97" i="9"/>
  <c r="L94" i="9"/>
  <c r="L88" i="9"/>
  <c r="L87" i="9"/>
  <c r="L86" i="9"/>
  <c r="L82" i="9"/>
  <c r="L81" i="9"/>
  <c r="L78" i="9"/>
  <c r="L77" i="9"/>
  <c r="O77" i="9" s="1"/>
  <c r="L75" i="9"/>
  <c r="O75" i="9" s="1"/>
  <c r="L74" i="9"/>
  <c r="L73" i="9"/>
  <c r="L71" i="9"/>
  <c r="O71" i="9" s="1"/>
  <c r="G72" i="12" s="1"/>
  <c r="L70" i="9"/>
  <c r="L67" i="9"/>
  <c r="L64" i="9"/>
  <c r="L57" i="9"/>
  <c r="O57" i="9" s="1"/>
  <c r="O54" i="9"/>
  <c r="L53" i="9"/>
  <c r="L52" i="9"/>
  <c r="L49" i="9"/>
  <c r="L47" i="9"/>
  <c r="L45" i="9"/>
  <c r="L44" i="9"/>
  <c r="L42" i="9"/>
  <c r="L41" i="9"/>
  <c r="L40" i="9"/>
  <c r="O40" i="9" s="1"/>
  <c r="L37" i="9"/>
  <c r="O37" i="9" s="1"/>
  <c r="L36" i="9"/>
  <c r="L35" i="9"/>
  <c r="L32" i="9"/>
  <c r="L31" i="9"/>
  <c r="L30" i="9"/>
  <c r="L29" i="9"/>
  <c r="L27" i="9"/>
  <c r="L25" i="9"/>
  <c r="L23" i="9"/>
  <c r="L21" i="9"/>
  <c r="L20" i="9"/>
  <c r="L19" i="9"/>
  <c r="L16" i="9"/>
  <c r="L15" i="9"/>
  <c r="L14" i="9"/>
  <c r="F8" i="9"/>
  <c r="F7" i="9"/>
  <c r="L6" i="9"/>
  <c r="F95" i="9"/>
  <c r="L92" i="9"/>
  <c r="F127" i="9"/>
  <c r="L127" i="9"/>
  <c r="O127" i="9" s="1"/>
  <c r="F119" i="9"/>
  <c r="L119" i="9"/>
  <c r="O119" i="9" s="1"/>
  <c r="F100" i="9"/>
  <c r="L100" i="9"/>
  <c r="O100" i="9" s="1"/>
  <c r="Q91" i="9"/>
  <c r="P91" i="9"/>
  <c r="Q126" i="9"/>
  <c r="P126" i="9"/>
  <c r="P125" i="9"/>
  <c r="Q125" i="9"/>
  <c r="F124" i="9"/>
  <c r="O124" i="9"/>
  <c r="P123" i="9"/>
  <c r="Q123" i="9"/>
  <c r="Q122" i="9"/>
  <c r="P122" i="9"/>
  <c r="P121" i="9"/>
  <c r="Q121" i="9"/>
  <c r="P120" i="9"/>
  <c r="Q120" i="9"/>
  <c r="P118" i="9"/>
  <c r="Q118" i="9"/>
  <c r="O117" i="9"/>
  <c r="F117" i="9"/>
  <c r="F116" i="9"/>
  <c r="O116" i="9"/>
  <c r="P115" i="9"/>
  <c r="Q115" i="9"/>
  <c r="Q114" i="9"/>
  <c r="P114" i="9"/>
  <c r="F113" i="9"/>
  <c r="O113" i="9"/>
  <c r="O112" i="9"/>
  <c r="F112" i="9"/>
  <c r="O111" i="9"/>
  <c r="F111" i="9"/>
  <c r="P110" i="9"/>
  <c r="Q110" i="9"/>
  <c r="F109" i="9"/>
  <c r="O109" i="9"/>
  <c r="Q108" i="9"/>
  <c r="P108" i="9"/>
  <c r="F107" i="9"/>
  <c r="O107" i="9"/>
  <c r="O106" i="9"/>
  <c r="F106" i="9"/>
  <c r="P105" i="9"/>
  <c r="Q105" i="9"/>
  <c r="P104" i="9"/>
  <c r="Q104" i="9"/>
  <c r="F103" i="9"/>
  <c r="O103" i="9"/>
  <c r="P102" i="9"/>
  <c r="Q102" i="9"/>
  <c r="Q101" i="9"/>
  <c r="P101" i="9"/>
  <c r="Q99" i="9"/>
  <c r="P99" i="9"/>
  <c r="F98" i="9"/>
  <c r="O98" i="9"/>
  <c r="Q97" i="9"/>
  <c r="P97" i="9"/>
  <c r="F96" i="9"/>
  <c r="O96" i="9"/>
  <c r="P95" i="9"/>
  <c r="Q95" i="9"/>
  <c r="F94" i="9"/>
  <c r="O94" i="9"/>
  <c r="P93" i="9"/>
  <c r="Q93" i="9"/>
  <c r="O92" i="9"/>
  <c r="G93" i="12" s="1"/>
  <c r="F92" i="9"/>
  <c r="P89" i="9"/>
  <c r="Q89" i="9"/>
  <c r="O88" i="9"/>
  <c r="F88" i="9"/>
  <c r="F87" i="9"/>
  <c r="O87" i="9"/>
  <c r="O86" i="9"/>
  <c r="G87" i="12" s="1"/>
  <c r="F86" i="9"/>
  <c r="P85" i="9"/>
  <c r="Q85" i="9"/>
  <c r="P83" i="9"/>
  <c r="Q83" i="9"/>
  <c r="F82" i="9"/>
  <c r="O82" i="9"/>
  <c r="O81" i="9"/>
  <c r="F81" i="9"/>
  <c r="F79" i="9"/>
  <c r="O79" i="9"/>
  <c r="O78" i="9"/>
  <c r="F78" i="9"/>
  <c r="Q77" i="9"/>
  <c r="P77" i="9"/>
  <c r="P76" i="9"/>
  <c r="Q76" i="9"/>
  <c r="P75" i="9"/>
  <c r="Q75" i="9"/>
  <c r="F74" i="9"/>
  <c r="O74" i="9"/>
  <c r="O73" i="9"/>
  <c r="F73" i="9"/>
  <c r="P71" i="9"/>
  <c r="Q71" i="9"/>
  <c r="O70" i="9"/>
  <c r="F70" i="9"/>
  <c r="Q69" i="9"/>
  <c r="P69" i="9"/>
  <c r="Q68" i="9"/>
  <c r="P68" i="9"/>
  <c r="O67" i="9"/>
  <c r="F67" i="9"/>
  <c r="P66" i="9"/>
  <c r="Q66" i="9"/>
  <c r="F65" i="9"/>
  <c r="O65" i="9"/>
  <c r="F64" i="9"/>
  <c r="O64" i="9"/>
  <c r="P63" i="9"/>
  <c r="Q63" i="9"/>
  <c r="O62" i="9"/>
  <c r="F62" i="9"/>
  <c r="O60" i="9"/>
  <c r="F60" i="9"/>
  <c r="Q59" i="9"/>
  <c r="P59" i="9"/>
  <c r="O58" i="9"/>
  <c r="F58" i="9"/>
  <c r="P57" i="9"/>
  <c r="Q57" i="9"/>
  <c r="Q56" i="9"/>
  <c r="P56" i="9"/>
  <c r="P55" i="9"/>
  <c r="Q55" i="9"/>
  <c r="Q54" i="9"/>
  <c r="P54" i="9"/>
  <c r="F53" i="9"/>
  <c r="O53" i="9"/>
  <c r="O52" i="9"/>
  <c r="F52" i="9"/>
  <c r="Q51" i="9"/>
  <c r="P51" i="9"/>
  <c r="O50" i="9"/>
  <c r="F50" i="9"/>
  <c r="F49" i="9"/>
  <c r="O49" i="9"/>
  <c r="P48" i="9"/>
  <c r="Q48" i="9"/>
  <c r="P46" i="9"/>
  <c r="Q46" i="9"/>
  <c r="O45" i="9"/>
  <c r="F45" i="9"/>
  <c r="F43" i="9"/>
  <c r="O43" i="9"/>
  <c r="O42" i="9"/>
  <c r="F42" i="9"/>
  <c r="F41" i="9"/>
  <c r="O41" i="9"/>
  <c r="P40" i="9"/>
  <c r="Q40" i="9"/>
  <c r="P39" i="9"/>
  <c r="Q39" i="9"/>
  <c r="Q38" i="9"/>
  <c r="P38" i="9"/>
  <c r="P37" i="9"/>
  <c r="Q37" i="9"/>
  <c r="O36" i="9"/>
  <c r="F36" i="9"/>
  <c r="O35" i="9"/>
  <c r="F35" i="9"/>
  <c r="P34" i="9"/>
  <c r="Q34" i="9"/>
  <c r="Q33" i="9"/>
  <c r="P33" i="9"/>
  <c r="O32" i="9"/>
  <c r="F32" i="9"/>
  <c r="O31" i="9"/>
  <c r="F31" i="9"/>
  <c r="O30" i="9"/>
  <c r="F30" i="9"/>
  <c r="F29" i="9"/>
  <c r="O29" i="9"/>
  <c r="P28" i="9"/>
  <c r="Q28" i="9"/>
  <c r="P26" i="9"/>
  <c r="Q26" i="9"/>
  <c r="F25" i="9"/>
  <c r="O25" i="9"/>
  <c r="Q24" i="9"/>
  <c r="P24" i="9"/>
  <c r="Q22" i="9"/>
  <c r="P22" i="9"/>
  <c r="O21" i="9"/>
  <c r="F21" i="9"/>
  <c r="F20" i="9"/>
  <c r="O20" i="9"/>
  <c r="O19" i="9"/>
  <c r="F19" i="9"/>
  <c r="Q18" i="9"/>
  <c r="P18" i="9"/>
  <c r="P17" i="9"/>
  <c r="Q17" i="9"/>
  <c r="F16" i="9"/>
  <c r="O16" i="9"/>
  <c r="O15" i="9"/>
  <c r="F15" i="9"/>
  <c r="O14" i="9"/>
  <c r="F14" i="9"/>
  <c r="Q13" i="9"/>
  <c r="P13" i="9"/>
  <c r="P12" i="9"/>
  <c r="Q12" i="9"/>
  <c r="P11" i="9"/>
  <c r="Q11" i="9"/>
  <c r="O10" i="9"/>
  <c r="F10" i="9"/>
  <c r="P8" i="9"/>
  <c r="Q8" i="9"/>
  <c r="Q7" i="9"/>
  <c r="P7" i="9"/>
  <c r="O6" i="9"/>
  <c r="F6" i="9"/>
  <c r="O80" i="9"/>
  <c r="O72" i="9"/>
  <c r="O27" i="9"/>
  <c r="O23" i="9"/>
  <c r="O47" i="9"/>
  <c r="O9" i="9"/>
  <c r="O61" i="9"/>
  <c r="O44" i="9"/>
  <c r="N286" i="10"/>
  <c r="O286" i="10" a="1"/>
  <c r="N445" i="10"/>
  <c r="O445" i="10" a="1"/>
  <c r="N566" i="10"/>
  <c r="O566" i="10" a="1"/>
  <c r="N175" i="10"/>
  <c r="O175" i="10" a="1"/>
  <c r="N458" i="10"/>
  <c r="O458" i="10" a="1"/>
  <c r="N451" i="10"/>
  <c r="O451" i="10" a="1"/>
  <c r="N431" i="10"/>
  <c r="O431" i="10" a="1"/>
  <c r="N383" i="10"/>
  <c r="O383" i="10" a="1"/>
  <c r="N351" i="10"/>
  <c r="O351" i="10" a="1"/>
  <c r="N318" i="10"/>
  <c r="O318" i="10" a="1"/>
  <c r="N185" i="10"/>
  <c r="O185" i="10" a="1"/>
  <c r="N160" i="10"/>
  <c r="O160" i="10" a="1"/>
  <c r="B44" i="11"/>
  <c r="I123" i="10"/>
  <c r="D124" i="11" s="1"/>
  <c r="N542" i="10"/>
  <c r="O542" i="10" a="1"/>
  <c r="N507" i="10"/>
  <c r="O507" i="10" a="1"/>
  <c r="N469" i="10"/>
  <c r="O469" i="10" a="1"/>
  <c r="N430" i="10"/>
  <c r="O430" i="10" a="1"/>
  <c r="N403" i="10"/>
  <c r="O403" i="10" a="1"/>
  <c r="N259" i="10"/>
  <c r="O259" i="10" a="1"/>
  <c r="O122" i="10" a="1"/>
  <c r="N122" i="10"/>
  <c r="I122" i="10"/>
  <c r="D123" i="11" s="1"/>
  <c r="O123" i="10" a="1"/>
  <c r="N123" i="10"/>
  <c r="AL351" i="8" a="1"/>
  <c r="AL873" i="8" a="1"/>
  <c r="AL933" i="8" a="1"/>
  <c r="AL1020" i="8" a="1"/>
  <c r="AL1115" i="8" a="1"/>
  <c r="AL1211" i="8" a="1"/>
  <c r="AL1253" i="8" a="1"/>
  <c r="AL1282" i="8" a="1"/>
  <c r="AN1282" i="8" s="1"/>
  <c r="AL1331" i="8" a="1"/>
  <c r="AL1355" i="8" a="1"/>
  <c r="AL1375" i="8" a="1"/>
  <c r="AL1441" i="8" a="1"/>
  <c r="AN1441" i="8" s="1"/>
  <c r="AL1454" i="8" a="1"/>
  <c r="AL1465" i="8" a="1"/>
  <c r="AL1477" i="8" a="1"/>
  <c r="AN1477" i="8" s="1"/>
  <c r="AL1485" i="8" a="1"/>
  <c r="AL1527" i="8" a="1"/>
  <c r="AL1535" i="8" a="1"/>
  <c r="AL1602" i="8" a="1"/>
  <c r="AL1613" i="8" a="1"/>
  <c r="AL1622" i="8" a="1"/>
  <c r="AL1632" i="8" a="1"/>
  <c r="AL1644" i="8" a="1"/>
  <c r="AL1656" i="8" a="1"/>
  <c r="AL1660" i="8" a="1"/>
  <c r="AL1668" i="8" a="1"/>
  <c r="AN1668" i="8" s="1"/>
  <c r="AL1672" i="8" a="1"/>
  <c r="AN1672" i="8" s="1"/>
  <c r="AL1675" i="8" a="1"/>
  <c r="AN1675" i="8" s="1"/>
  <c r="AL1679" i="8" a="1"/>
  <c r="AL1682" i="8" a="1"/>
  <c r="AL1694" i="8" a="1"/>
  <c r="AL1708" i="8" a="1"/>
  <c r="AN1708" i="8" s="1"/>
  <c r="AL1714" i="8" a="1"/>
  <c r="AL1719" i="8" a="1"/>
  <c r="AL1726" i="8" a="1"/>
  <c r="AL1733" i="8" a="1"/>
  <c r="AL1735" i="8" a="1"/>
  <c r="AN1735" i="8" s="1"/>
  <c r="AL1741" i="8" a="1"/>
  <c r="AN1741" i="8" s="1"/>
  <c r="AL1743" i="8" a="1"/>
  <c r="AL1751" i="8" a="1"/>
  <c r="AL1756" i="8" a="1"/>
  <c r="AL1761" i="8" a="1"/>
  <c r="AN1761" i="8" s="1"/>
  <c r="AL1763" i="8" a="1"/>
  <c r="AN1763" i="8" s="1"/>
  <c r="AL1768" i="8" a="1"/>
  <c r="AL1789" i="8" a="1"/>
  <c r="AL1800" i="8" a="1"/>
  <c r="AL1802" i="8" a="1"/>
  <c r="AL1806" i="8" a="1"/>
  <c r="AL1815" i="8" a="1"/>
  <c r="AL1820" i="8" a="1"/>
  <c r="AL1822" i="8" a="1"/>
  <c r="AN1822" i="8" s="1"/>
  <c r="AL1826" i="8" a="1"/>
  <c r="AN1826" i="8" s="1"/>
  <c r="AL1829" i="8" a="1"/>
  <c r="AL1832" i="8" a="1"/>
  <c r="AL1836" i="8" a="1"/>
  <c r="AL1839" i="8" a="1"/>
  <c r="AL1842" i="8" a="1"/>
  <c r="AL1844" i="8" a="1"/>
  <c r="AL1847" i="8" a="1"/>
  <c r="AL1849" i="8" a="1"/>
  <c r="AL1852" i="8" a="1"/>
  <c r="AL1857" i="8" a="1"/>
  <c r="AL1859" i="8" a="1"/>
  <c r="AL1881" i="8" a="1"/>
  <c r="AL1888" i="8" a="1"/>
  <c r="AL1899" i="8" a="1"/>
  <c r="AL1909" i="8" a="1"/>
  <c r="AN1909" i="8" s="1"/>
  <c r="AL1911" i="8" a="1"/>
  <c r="AL1914" i="8" a="1"/>
  <c r="AL1919" i="8" a="1"/>
  <c r="AL1921" i="8" a="1"/>
  <c r="AN1921" i="8" s="1"/>
  <c r="AA612" i="8"/>
  <c r="AA616" i="8"/>
  <c r="AA621" i="8"/>
  <c r="AA622" i="8"/>
  <c r="AL646" i="8" a="1"/>
  <c r="AL897" i="8" a="1"/>
  <c r="AL962" i="8" a="1"/>
  <c r="AN962" i="8" s="1"/>
  <c r="AL1035" i="8" a="1"/>
  <c r="AL1061" i="8" a="1"/>
  <c r="AL1134" i="8" a="1"/>
  <c r="AN1134" i="8" s="1"/>
  <c r="AL1285" i="8" a="1"/>
  <c r="AL1338" i="8" a="1"/>
  <c r="AL1369" i="8" a="1"/>
  <c r="AL1442" i="8" a="1"/>
  <c r="AL1478" i="8" a="1"/>
  <c r="AL1499" i="8" a="1"/>
  <c r="AN1499" i="8" s="1"/>
  <c r="AL1539" i="8" a="1"/>
  <c r="AL1588" i="8" a="1"/>
  <c r="AL1601" i="8" a="1"/>
  <c r="AL1606" i="8" a="1"/>
  <c r="AN1606" i="8" s="1"/>
  <c r="AL1620" i="8" a="1"/>
  <c r="AN1620" i="8" s="1"/>
  <c r="AL1650" i="8" a="1"/>
  <c r="AL1653" i="8" a="1"/>
  <c r="AL1663" i="8" a="1"/>
  <c r="AN1663" i="8" s="1"/>
  <c r="AL1665" i="8" a="1"/>
  <c r="AL1669" i="8" a="1"/>
  <c r="AL1690" i="8" a="1"/>
  <c r="AL1695" i="8" a="1"/>
  <c r="AN1695" i="8" s="1"/>
  <c r="AL1701" i="8" a="1"/>
  <c r="AL1707" i="8" a="1"/>
  <c r="AL1710" i="8" a="1"/>
  <c r="AL1713" i="8" a="1"/>
  <c r="AN1713" i="8" s="1"/>
  <c r="AL1716" i="8" a="1"/>
  <c r="AL1718" i="8" a="1"/>
  <c r="AN1718" i="8" s="1"/>
  <c r="AL1721" i="8" a="1"/>
  <c r="AL1727" i="8" a="1"/>
  <c r="AL1732" i="8" a="1"/>
  <c r="AL1742" i="8" a="1"/>
  <c r="AL1745" i="8" a="1"/>
  <c r="AL1747" i="8" a="1"/>
  <c r="AL1750" i="8" a="1"/>
  <c r="AL1752" i="8" a="1"/>
  <c r="AL1755" i="8" a="1"/>
  <c r="AL1757" i="8" a="1"/>
  <c r="AN1757" i="8" s="1"/>
  <c r="AL1762" i="8" a="1"/>
  <c r="AN1762" i="8" s="1"/>
  <c r="AL1764" i="8" a="1"/>
  <c r="AN1764" i="8" s="1"/>
  <c r="AL1772" i="8" a="1"/>
  <c r="AL1795" i="8" a="1"/>
  <c r="AL1798" i="8" a="1"/>
  <c r="AL1803" i="8" a="1"/>
  <c r="AL1813" i="8" a="1"/>
  <c r="AL1814" i="8" a="1"/>
  <c r="AL1816" i="8" a="1"/>
  <c r="AN1816" i="8" s="1"/>
  <c r="AL1821" i="8" a="1"/>
  <c r="AL1825" i="8" a="1"/>
  <c r="AN1825" i="8" s="1"/>
  <c r="AL1830" i="8" a="1"/>
  <c r="AL1843" i="8" a="1"/>
  <c r="AL1850" i="8" a="1"/>
  <c r="AN1850" i="8" s="1"/>
  <c r="AL1862" i="8" a="1"/>
  <c r="AN1862" i="8" s="1"/>
  <c r="AL1870" i="8" a="1"/>
  <c r="AN1870" i="8" s="1"/>
  <c r="AL1877" i="8" a="1"/>
  <c r="AL1880" i="8" a="1"/>
  <c r="AN1880" i="8" s="1"/>
  <c r="AL1882" i="8" a="1"/>
  <c r="AL1885" i="8" a="1"/>
  <c r="AN1885" i="8" s="1"/>
  <c r="AL1894" i="8" a="1"/>
  <c r="AL1902" i="8" a="1"/>
  <c r="AN1902" i="8" s="1"/>
  <c r="AL1904" i="8" a="1"/>
  <c r="AL1907" i="8" a="1"/>
  <c r="AL1916" i="8" a="1"/>
  <c r="AN1916" i="8" s="1"/>
  <c r="AL1923" i="8" a="1"/>
  <c r="AL1926" i="8" a="1"/>
  <c r="AN1926" i="8" s="1"/>
  <c r="AL885" i="8" a="1"/>
  <c r="AL909" i="8" a="1"/>
  <c r="AL945" i="8" a="1"/>
  <c r="AL1009" i="8" a="1"/>
  <c r="AL1170" i="8" a="1"/>
  <c r="AL1246" i="8" a="1"/>
  <c r="AL1295" i="8" a="1"/>
  <c r="AL1342" i="8" a="1"/>
  <c r="AL1424" i="8" a="1"/>
  <c r="AL1436" i="8" a="1"/>
  <c r="AN1436" i="8" s="1"/>
  <c r="AL1468" i="8" a="1"/>
  <c r="AN1468" i="8" s="1"/>
  <c r="AL1481" i="8" a="1"/>
  <c r="AN1481" i="8" s="1"/>
  <c r="AL1486" i="8" a="1"/>
  <c r="AL1490" i="8" a="1"/>
  <c r="AL1505" i="8" a="1"/>
  <c r="AL1550" i="8" a="1"/>
  <c r="AN1550" i="8" s="1"/>
  <c r="AL1574" i="8" a="1"/>
  <c r="AN1574" i="8" s="1"/>
  <c r="AL1577" i="8" a="1"/>
  <c r="AL1591" i="8" a="1"/>
  <c r="AL1598" i="8" a="1"/>
  <c r="AN1598" i="8" s="1"/>
  <c r="AL1614" i="8" a="1"/>
  <c r="AL1626" i="8" a="1"/>
  <c r="AL1636" i="8" a="1"/>
  <c r="AL1642" i="8" a="1"/>
  <c r="AL1664" i="8" a="1"/>
  <c r="AN1664" i="8" s="1"/>
  <c r="AL1671" i="8" a="1"/>
  <c r="AL1674" i="8" a="1"/>
  <c r="AL1681" i="8" a="1"/>
  <c r="AL1687" i="8" a="1"/>
  <c r="AL1699" i="8" a="1"/>
  <c r="AL1705" i="8" a="1"/>
  <c r="AL1711" i="8" a="1"/>
  <c r="AL1717" i="8" a="1"/>
  <c r="AL1722" i="8" a="1"/>
  <c r="AN1722" i="8" s="1"/>
  <c r="AL1731" i="8" a="1"/>
  <c r="AL1734" i="8" a="1"/>
  <c r="AL1736" i="8" a="1"/>
  <c r="AL1739" i="8" a="1"/>
  <c r="AN1739" i="8" s="1"/>
  <c r="AL1746" i="8" a="1"/>
  <c r="AL1749" i="8" a="1"/>
  <c r="AL1767" i="8" a="1"/>
  <c r="AL1776" i="8" a="1"/>
  <c r="AL1780" i="8" a="1"/>
  <c r="AL1784" i="8" a="1"/>
  <c r="AL1788" i="8" a="1"/>
  <c r="AL1791" i="8" a="1"/>
  <c r="AL1797" i="8" a="1"/>
  <c r="AL1808" i="8" a="1"/>
  <c r="AL1812" i="8" a="1"/>
  <c r="AN1812" i="8" s="1"/>
  <c r="AL1819" i="8" a="1"/>
  <c r="AL1828" i="8" a="1"/>
  <c r="AL1833" i="8" a="1"/>
  <c r="AL1838" i="8" a="1"/>
  <c r="AL1840" i="8" a="1"/>
  <c r="AL1845" i="8" a="1"/>
  <c r="AL1855" i="8" a="1"/>
  <c r="AL1858" i="8" a="1"/>
  <c r="AL1860" i="8" a="1"/>
  <c r="AL1863" i="8" a="1"/>
  <c r="AL1865" i="8" a="1"/>
  <c r="AL1868" i="8" a="1"/>
  <c r="AL1869" i="8" a="1"/>
  <c r="AL1872" i="8" a="1"/>
  <c r="AL1874" i="8" a="1"/>
  <c r="AL1879" i="8" a="1"/>
  <c r="AL1886" i="8" a="1"/>
  <c r="AL1891" i="8" a="1"/>
  <c r="AL1896" i="8" a="1"/>
  <c r="AL1901" i="8" a="1"/>
  <c r="AL1903" i="8" a="1"/>
  <c r="AL1906" i="8" a="1"/>
  <c r="AL1913" i="8" a="1"/>
  <c r="AL1918" i="8" a="1"/>
  <c r="AL1920" i="8" a="1"/>
  <c r="AN1920" i="8" s="1"/>
  <c r="AL1925" i="8" a="1"/>
  <c r="AL405" i="8" a="1"/>
  <c r="AL921" i="8" a="1"/>
  <c r="AL953" i="8" a="1"/>
  <c r="AN953" i="8" s="1"/>
  <c r="AL958" i="8" a="1"/>
  <c r="AL1029" i="8" a="1"/>
  <c r="AL1038" i="8" a="1"/>
  <c r="AL1152" i="8" a="1"/>
  <c r="AL1194" i="8" a="1"/>
  <c r="AL1235" i="8" a="1"/>
  <c r="AL1271" i="8" a="1"/>
  <c r="AL1320" i="8" a="1"/>
  <c r="AL1347" i="8" a="1"/>
  <c r="AL1367" i="8" a="1"/>
  <c r="AL1371" i="8" a="1"/>
  <c r="AL1377" i="8" a="1"/>
  <c r="AL1402" i="8" a="1"/>
  <c r="AN1402" i="8" s="1"/>
  <c r="AL1431" i="8" a="1"/>
  <c r="AN1431" i="8" s="1"/>
  <c r="AL1440" i="8" a="1"/>
  <c r="AL1464" i="8" a="1"/>
  <c r="AN1464" i="8" s="1"/>
  <c r="AL1483" i="8" a="1"/>
  <c r="AL1517" i="8" a="1"/>
  <c r="AL1529" i="8" a="1"/>
  <c r="AL1565" i="8" a="1"/>
  <c r="AL1589" i="8" a="1"/>
  <c r="AL1619" i="8" a="1"/>
  <c r="AL1624" i="8" a="1"/>
  <c r="AL1628" i="8" a="1"/>
  <c r="AN1628" i="8" s="1"/>
  <c r="AL1634" i="8" a="1"/>
  <c r="AL1638" i="8" a="1"/>
  <c r="AL1648" i="8" a="1"/>
  <c r="AL1652" i="8" a="1"/>
  <c r="AN1652" i="8" s="1"/>
  <c r="AL1659" i="8" a="1"/>
  <c r="AL1662" i="8" a="1"/>
  <c r="AL1667" i="8" a="1"/>
  <c r="AL1673" i="8" a="1"/>
  <c r="AL1676" i="8" a="1"/>
  <c r="AL1683" i="8" a="1"/>
  <c r="AL1686" i="8" a="1"/>
  <c r="AN1686" i="8" s="1"/>
  <c r="AL1689" i="8" a="1"/>
  <c r="AL1693" i="8" a="1"/>
  <c r="AL1696" i="8" a="1"/>
  <c r="AN1696" i="8" s="1"/>
  <c r="AL1698" i="8" a="1"/>
  <c r="AL1702" i="8" a="1"/>
  <c r="AL1715" i="8" a="1"/>
  <c r="AL1720" i="8" a="1"/>
  <c r="AL1723" i="8" a="1"/>
  <c r="AL1725" i="8" a="1"/>
  <c r="AL1728" i="8" a="1"/>
  <c r="AL1730" i="8" a="1"/>
  <c r="AN1730" i="8" s="1"/>
  <c r="AL1738" i="8" a="1"/>
  <c r="AL1740" i="8" a="1"/>
  <c r="AL1748" i="8" a="1"/>
  <c r="AN1748" i="8" s="1"/>
  <c r="AL1753" i="8" a="1"/>
  <c r="AL1758" i="8" a="1"/>
  <c r="AN1758" i="8" s="1"/>
  <c r="AL1760" i="8" a="1"/>
  <c r="AL1765" i="8" a="1"/>
  <c r="AL1770" i="8" a="1"/>
  <c r="AL1783" i="8" a="1"/>
  <c r="AL1793" i="8" a="1"/>
  <c r="AL1799" i="8" a="1"/>
  <c r="AN1799" i="8" s="1"/>
  <c r="AL1804" i="8" a="1"/>
  <c r="AN1804" i="8" s="1"/>
  <c r="AL1807" i="8" a="1"/>
  <c r="AN1807" i="8" s="1"/>
  <c r="AL1810" i="8" a="1"/>
  <c r="AL1823" i="8" a="1"/>
  <c r="AL1827" i="8" a="1"/>
  <c r="AN1827" i="8" s="1"/>
  <c r="AL1848" i="8" a="1"/>
  <c r="AL1854" i="8" a="1"/>
  <c r="AL1864" i="8" a="1"/>
  <c r="AL1866" i="8" a="1"/>
  <c r="AL1871" i="8" a="1"/>
  <c r="AL1876" i="8" a="1"/>
  <c r="AN1876" i="8" s="1"/>
  <c r="AL1884" i="8" a="1"/>
  <c r="AL1887" i="8" a="1"/>
  <c r="AL1889" i="8" a="1"/>
  <c r="AL1892" i="8" a="1"/>
  <c r="AL1897" i="8" a="1"/>
  <c r="AL1900" i="8" a="1"/>
  <c r="AL1905" i="8" a="1"/>
  <c r="AL1908" i="8" a="1"/>
  <c r="AN1908" i="8" s="1"/>
  <c r="AL1922" i="8" a="1"/>
  <c r="AL1036" i="8" a="1"/>
  <c r="AL1147" i="8" a="1"/>
  <c r="AL1196" i="8" a="1"/>
  <c r="AL1298" i="8" a="1"/>
  <c r="AN1298" i="8" s="1"/>
  <c r="AL1345" i="8" a="1"/>
  <c r="AL1366" i="8" a="1"/>
  <c r="AL1373" i="8" a="1"/>
  <c r="AN1373" i="8" s="1"/>
  <c r="AL1391" i="8" a="1"/>
  <c r="AL1430" i="8" a="1"/>
  <c r="AL1444" i="8" a="1"/>
  <c r="AL1470" i="8" a="1"/>
  <c r="AN1470" i="8" s="1"/>
  <c r="AL1479" i="8" a="1"/>
  <c r="AL1488" i="8" a="1"/>
  <c r="AL1498" i="8" a="1"/>
  <c r="AL1510" i="8" a="1"/>
  <c r="AN1510" i="8" s="1"/>
  <c r="AL1553" i="8" a="1"/>
  <c r="AL1570" i="8" a="1"/>
  <c r="AN1570" i="8" s="1"/>
  <c r="AL1575" i="8" a="1"/>
  <c r="AL1594" i="8" a="1"/>
  <c r="AN1594" i="8" s="1"/>
  <c r="AL1616" i="8" a="1"/>
  <c r="AL1630" i="8" a="1"/>
  <c r="AN1630" i="8" s="1"/>
  <c r="AL1640" i="8" a="1"/>
  <c r="AL1646" i="8" a="1"/>
  <c r="AL1654" i="8" a="1"/>
  <c r="AN1654" i="8" s="1"/>
  <c r="AL1658" i="8" a="1"/>
  <c r="AN1658" i="8" s="1"/>
  <c r="AL1661" i="8" a="1"/>
  <c r="AL1678" i="8" a="1"/>
  <c r="AN1678" i="8" s="1"/>
  <c r="AL1684" i="8" a="1"/>
  <c r="AL1691" i="8" a="1"/>
  <c r="AN1691" i="8" s="1"/>
  <c r="AL1697" i="8" a="1"/>
  <c r="AL1709" i="8" a="1"/>
  <c r="AL1724" i="8" a="1"/>
  <c r="AL1729" i="8" a="1"/>
  <c r="AN1729" i="8" s="1"/>
  <c r="AL1737" i="8" a="1"/>
  <c r="AL1744" i="8" a="1"/>
  <c r="AN1744" i="8" s="1"/>
  <c r="AL1754" i="8" a="1"/>
  <c r="AL1759" i="8" a="1"/>
  <c r="AL1766" i="8" a="1"/>
  <c r="AL1769" i="8" a="1"/>
  <c r="AL1771" i="8" a="1"/>
  <c r="AL1778" i="8" a="1"/>
  <c r="AL1782" i="8" a="1"/>
  <c r="AN1782" i="8" s="1"/>
  <c r="AL1786" i="8" a="1"/>
  <c r="AL1790" i="8" a="1"/>
  <c r="AL1792" i="8" a="1"/>
  <c r="AL1796" i="8" a="1"/>
  <c r="AL1801" i="8" a="1"/>
  <c r="AL1809" i="8" a="1"/>
  <c r="AL1811" i="8" a="1"/>
  <c r="AL1817" i="8" a="1"/>
  <c r="AL1835" i="8" a="1"/>
  <c r="AL1841" i="8" a="1"/>
  <c r="AL1846" i="8" a="1"/>
  <c r="AL1851" i="8" a="1"/>
  <c r="AL1853" i="8" a="1"/>
  <c r="AL1856" i="8" a="1"/>
  <c r="AL1861" i="8" a="1"/>
  <c r="AL1867" i="8" a="1"/>
  <c r="AN1867" i="8" s="1"/>
  <c r="AL1873" i="8" a="1"/>
  <c r="AL1875" i="8" a="1"/>
  <c r="AL1878" i="8" a="1"/>
  <c r="AL1883" i="8" a="1"/>
  <c r="AL1890" i="8" a="1"/>
  <c r="AL1893" i="8" a="1"/>
  <c r="AL1895" i="8" a="1"/>
  <c r="AN1895" i="8" s="1"/>
  <c r="AL1898" i="8" a="1"/>
  <c r="AL1910" i="8" a="1"/>
  <c r="AL1912" i="8" a="1"/>
  <c r="AL1915" i="8" a="1"/>
  <c r="AL1917" i="8" a="1"/>
  <c r="AL1924" i="8" a="1"/>
  <c r="AN1924" i="8" s="1"/>
  <c r="N131" i="10"/>
  <c r="O126" i="10" a="1"/>
  <c r="N126" i="10"/>
  <c r="N130" i="10"/>
  <c r="O130" i="10" a="1"/>
  <c r="O552" i="10" a="1"/>
  <c r="N552" i="10"/>
  <c r="N543" i="10"/>
  <c r="O543" i="10" a="1"/>
  <c r="O516" i="10" a="1"/>
  <c r="N516" i="10"/>
  <c r="N513" i="10"/>
  <c r="O513" i="10" a="1"/>
  <c r="N511" i="10"/>
  <c r="O511" i="10" a="1"/>
  <c r="O491" i="10" a="1"/>
  <c r="N491" i="10"/>
  <c r="N487" i="10"/>
  <c r="O487" i="10" a="1"/>
  <c r="N486" i="10"/>
  <c r="O486" i="10" a="1"/>
  <c r="N482" i="10"/>
  <c r="O482" i="10" a="1"/>
  <c r="N480" i="10"/>
  <c r="O480" i="10" a="1"/>
  <c r="N474" i="10"/>
  <c r="O474" i="10" a="1"/>
  <c r="N457" i="10"/>
  <c r="O457" i="10" a="1"/>
  <c r="N452" i="10"/>
  <c r="O452" i="10" a="1"/>
  <c r="N444" i="10"/>
  <c r="O444" i="10" a="1"/>
  <c r="N416" i="10"/>
  <c r="O416" i="10" a="1"/>
  <c r="O389" i="10" a="1"/>
  <c r="N389" i="10"/>
  <c r="N299" i="10"/>
  <c r="O299" i="10" a="1"/>
  <c r="N285" i="10"/>
  <c r="O285" i="10" a="1"/>
  <c r="O268" i="10" a="1"/>
  <c r="N268" i="10"/>
  <c r="N240" i="10"/>
  <c r="O240" i="10" a="1"/>
  <c r="N227" i="10"/>
  <c r="O227" i="10" a="1"/>
  <c r="O222" i="10" a="1"/>
  <c r="N222" i="10"/>
  <c r="N218" i="10"/>
  <c r="O218" i="10" a="1"/>
  <c r="O215" i="10" a="1"/>
  <c r="N215" i="10"/>
  <c r="O198" i="10" a="1"/>
  <c r="N198" i="10"/>
  <c r="O191" i="10" a="1"/>
  <c r="N191" i="10"/>
  <c r="O171" i="10" a="1"/>
  <c r="N171" i="10"/>
  <c r="N155" i="10"/>
  <c r="O155" i="10" a="1"/>
  <c r="N153" i="10"/>
  <c r="O153" i="10" a="1"/>
  <c r="N148" i="10"/>
  <c r="O148" i="10" a="1"/>
  <c r="L5" i="9"/>
  <c r="O5" i="9" s="1"/>
  <c r="O131" i="10" s="1" a="1"/>
  <c r="AL6" i="8" a="1"/>
  <c r="AN6" i="8" s="1"/>
  <c r="AL82" i="8" a="1"/>
  <c r="AM77" i="8" a="1"/>
  <c r="AM11" i="8" a="1"/>
  <c r="AL99" i="8" a="1"/>
  <c r="AL93" i="8" a="1"/>
  <c r="AL84" i="8" a="1"/>
  <c r="AL63" i="8" a="1"/>
  <c r="AN63" i="8" s="1"/>
  <c r="AM56" i="8" a="1"/>
  <c r="AM50" i="8" a="1"/>
  <c r="AL45" i="8" a="1"/>
  <c r="AL36" i="8" a="1"/>
  <c r="AN36" i="8" s="1"/>
  <c r="AL28" i="8" a="1"/>
  <c r="AM20" i="8" a="1"/>
  <c r="AL12" i="8" a="1"/>
  <c r="AN12" i="8" s="1"/>
  <c r="AL9" i="8" a="1"/>
  <c r="AN9" i="8" s="1"/>
  <c r="AL15" i="8" a="1"/>
  <c r="AN15" i="8" s="1"/>
  <c r="AL23" i="8" a="1"/>
  <c r="AN23" i="8" s="1"/>
  <c r="AM30" i="8" a="1"/>
  <c r="AM36" i="8" a="1"/>
  <c r="AM43" i="8" a="1"/>
  <c r="AL46" i="8" a="1"/>
  <c r="AL52" i="8" a="1"/>
  <c r="AN52" i="8" s="1"/>
  <c r="AL62" i="8" a="1"/>
  <c r="AN62" i="8" s="1"/>
  <c r="AM66" i="8" a="1"/>
  <c r="AM70" i="8" a="1"/>
  <c r="AL74" i="8" a="1"/>
  <c r="AN74" i="8" s="1"/>
  <c r="AM79" i="8" a="1"/>
  <c r="AL87" i="8" a="1"/>
  <c r="AL94" i="8" a="1"/>
  <c r="AM93" i="8" a="1"/>
  <c r="AM86" i="8" a="1"/>
  <c r="AM6" i="8" a="1"/>
  <c r="AM78" i="8" a="1"/>
  <c r="AM74" i="8" a="1"/>
  <c r="AM69" i="8" a="1"/>
  <c r="AL64" i="8" a="1"/>
  <c r="AN64" i="8" s="1"/>
  <c r="AL56" i="8" a="1"/>
  <c r="AN56" i="8" s="1"/>
  <c r="AL43" i="8" a="1"/>
  <c r="AN43" i="8" s="1"/>
  <c r="AL35" i="8" a="1"/>
  <c r="AN35" i="8" s="1"/>
  <c r="AL27" i="8" a="1"/>
  <c r="AN27" i="8" s="1"/>
  <c r="AL20" i="8" a="1"/>
  <c r="AN20" i="8" s="1"/>
  <c r="AL13" i="8" a="1"/>
  <c r="AN13" i="8" s="1"/>
  <c r="AM909" i="8" a="1"/>
  <c r="AM958" i="8" a="1"/>
  <c r="AM1036" i="8" a="1"/>
  <c r="AM1147" i="8" a="1"/>
  <c r="AM1194" i="8" a="1"/>
  <c r="AM1298" i="8" a="1"/>
  <c r="AM1345" i="8" a="1"/>
  <c r="AM1424" i="8" a="1"/>
  <c r="AM1431" i="8" a="1"/>
  <c r="AM1479" i="8" a="1"/>
  <c r="AM1490" i="8" a="1"/>
  <c r="AM1499" i="8" a="1"/>
  <c r="AM1550" i="8" a="1"/>
  <c r="AM1570" i="8" a="1"/>
  <c r="AM1575" i="8" a="1"/>
  <c r="AM1589" i="8" a="1"/>
  <c r="AM1594" i="8" a="1"/>
  <c r="AM1619" i="8" a="1"/>
  <c r="AM1628" i="8" a="1"/>
  <c r="AM1638" i="8" a="1"/>
  <c r="AM1648" i="8" a="1"/>
  <c r="AM1653" i="8" a="1"/>
  <c r="AM1662" i="8" a="1"/>
  <c r="AM1665" i="8" a="1"/>
  <c r="AM1686" i="8" a="1"/>
  <c r="AM1690" i="8" a="1"/>
  <c r="AM1696" i="8" a="1"/>
  <c r="AM1699" i="8" a="1"/>
  <c r="AM1702" i="8" a="1"/>
  <c r="AM1710" i="8" a="1"/>
  <c r="AM1716" i="8" a="1"/>
  <c r="AM1721" i="8" a="1"/>
  <c r="AM1724" i="8" a="1"/>
  <c r="AM1729" i="8" a="1"/>
  <c r="AM1731" i="8" a="1"/>
  <c r="AM1738" i="8" a="1"/>
  <c r="AM1746" i="8" a="1"/>
  <c r="AM1748" i="8" a="1"/>
  <c r="AM1753" i="8" a="1"/>
  <c r="AM1758" i="8" a="1"/>
  <c r="AM1766" i="8" a="1"/>
  <c r="AM1771" i="8" a="1"/>
  <c r="AM1776" i="8" a="1"/>
  <c r="AM1782" i="8" a="1"/>
  <c r="AM1784" i="8" a="1"/>
  <c r="AM1791" i="8" a="1"/>
  <c r="AM1795" i="8" a="1"/>
  <c r="AM1797" i="8" a="1"/>
  <c r="AM1809" i="8" a="1"/>
  <c r="AM1817" i="8" a="1"/>
  <c r="AM1854" i="8" a="1"/>
  <c r="AM1862" i="8" a="1"/>
  <c r="AM1866" i="8" a="1"/>
  <c r="AM1868" i="8" a="1"/>
  <c r="AM1871" i="8" a="1"/>
  <c r="AM1873" i="8" a="1"/>
  <c r="AM1876" i="8" a="1"/>
  <c r="AM1878" i="8" a="1"/>
  <c r="AM1883" i="8" a="1"/>
  <c r="AM1886" i="8" a="1"/>
  <c r="AM1891" i="8" a="1"/>
  <c r="AM1893" i="8" a="1"/>
  <c r="AM1896" i="8" a="1"/>
  <c r="AM1901" i="8" a="1"/>
  <c r="AM1904" i="8" a="1"/>
  <c r="AM1906" i="8" a="1"/>
  <c r="AM1917" i="8" a="1"/>
  <c r="AM1925" i="8" a="1"/>
  <c r="AM100" i="8" a="1"/>
  <c r="AM89" i="8" a="1"/>
  <c r="AM76" i="8" a="1"/>
  <c r="AM61" i="8" a="1"/>
  <c r="AM55" i="8" a="1"/>
  <c r="AL49" i="8" a="1"/>
  <c r="AN49" i="8" s="1"/>
  <c r="AL44" i="8" a="1"/>
  <c r="AN44" i="8" s="1"/>
  <c r="AL38" i="8" a="1"/>
  <c r="AN38" i="8" s="1"/>
  <c r="AM29" i="8" a="1"/>
  <c r="AL22" i="8" a="1"/>
  <c r="AN22" i="8" s="1"/>
  <c r="AL14" i="8" a="1"/>
  <c r="AN14" i="8" s="1"/>
  <c r="AM10" i="8" a="1"/>
  <c r="AM16" i="8" a="1"/>
  <c r="AM24" i="8" a="1"/>
  <c r="AM31" i="8" a="1"/>
  <c r="AM37" i="8" a="1"/>
  <c r="AM44" i="8" a="1"/>
  <c r="AM53" i="8" a="1"/>
  <c r="AM60" i="8" a="1"/>
  <c r="AL65" i="8" a="1"/>
  <c r="AN65" i="8" s="1"/>
  <c r="AL69" i="8" a="1"/>
  <c r="AN69" i="8" s="1"/>
  <c r="AL78" i="8" a="1"/>
  <c r="AL86" i="8" a="1"/>
  <c r="AM91" i="8" a="1"/>
  <c r="AL97" i="8" a="1"/>
  <c r="AL98" i="8" a="1"/>
  <c r="AL92" i="8" a="1"/>
  <c r="AM9" i="8" a="1"/>
  <c r="AL80" i="8" a="1"/>
  <c r="AM71" i="8" a="1"/>
  <c r="AL66" i="8" a="1"/>
  <c r="AN66" i="8" s="1"/>
  <c r="AM59" i="8" a="1"/>
  <c r="AL51" i="8" a="1"/>
  <c r="AN51" i="8" s="1"/>
  <c r="AL40" i="8" a="1"/>
  <c r="AN40" i="8" s="1"/>
  <c r="AL32" i="8" a="1"/>
  <c r="AN32" i="8" s="1"/>
  <c r="AL24" i="8" a="1"/>
  <c r="AN24" i="8" s="1"/>
  <c r="AL17" i="8" a="1"/>
  <c r="AN17" i="8" s="1"/>
  <c r="AM351" i="8" a="1"/>
  <c r="AM921" i="8" a="1"/>
  <c r="AM945" i="8" a="1"/>
  <c r="AM1029" i="8" a="1"/>
  <c r="AM1170" i="8" a="1"/>
  <c r="AM1196" i="8" a="1"/>
  <c r="AM1246" i="8" a="1"/>
  <c r="AM1271" i="8" a="1"/>
  <c r="AM1320" i="8" a="1"/>
  <c r="AM1347" i="8" a="1"/>
  <c r="AM1366" i="8" a="1"/>
  <c r="AM1373" i="8" a="1"/>
  <c r="AM1377" i="8" a="1"/>
  <c r="AM1402" i="8" a="1"/>
  <c r="AM1430" i="8" a="1"/>
  <c r="AM1440" i="8" a="1"/>
  <c r="AM1464" i="8" a="1"/>
  <c r="AM1468" i="8" a="1"/>
  <c r="AM1481" i="8" a="1"/>
  <c r="AM1485" i="8" a="1"/>
  <c r="AM1488" i="8" a="1"/>
  <c r="AM1510" i="8" a="1"/>
  <c r="AM1529" i="8" a="1"/>
  <c r="AM1565" i="8" a="1"/>
  <c r="AM1574" i="8" a="1"/>
  <c r="AM1591" i="8" a="1"/>
  <c r="AM1616" i="8" a="1"/>
  <c r="AM1624" i="8" a="1"/>
  <c r="AM1630" i="8" a="1"/>
  <c r="AM1634" i="8" a="1"/>
  <c r="AM1640" i="8" a="1"/>
  <c r="AM1644" i="8" a="1"/>
  <c r="AM1658" i="8" a="1"/>
  <c r="AM1660" i="8" a="1"/>
  <c r="AM1672" i="8" a="1"/>
  <c r="AM1674" i="8" a="1"/>
  <c r="AM1676" i="8" a="1"/>
  <c r="AM1681" i="8" a="1"/>
  <c r="AM1683" i="8" a="1"/>
  <c r="AM1687" i="8" a="1"/>
  <c r="AM1693" i="8" a="1"/>
  <c r="AM1698" i="8" a="1"/>
  <c r="AM1723" i="8" a="1"/>
  <c r="AM1725" i="8" a="1"/>
  <c r="AM1730" i="8" a="1"/>
  <c r="AM1735" i="8" a="1"/>
  <c r="AM1737" i="8" a="1"/>
  <c r="AM1740" i="8" a="1"/>
  <c r="AM1759" i="8" a="1"/>
  <c r="AM1767" i="8" a="1"/>
  <c r="AM1769" i="8" a="1"/>
  <c r="AM1778" i="8" a="1"/>
  <c r="AM1783" i="8" a="1"/>
  <c r="AM1786" i="8" a="1"/>
  <c r="AM1789" i="8" a="1"/>
  <c r="AM1792" i="8" a="1"/>
  <c r="AM1800" i="8" a="1"/>
  <c r="AM1806" i="8" a="1"/>
  <c r="AM1808" i="8" a="1"/>
  <c r="AM1811" i="8" a="1"/>
  <c r="AM1819" i="8" a="1"/>
  <c r="AM1827" i="8" a="1"/>
  <c r="AM1835" i="8" a="1"/>
  <c r="AM1838" i="8" a="1"/>
  <c r="AM1841" i="8" a="1"/>
  <c r="AM1846" i="8" a="1"/>
  <c r="AM1847" i="8" a="1"/>
  <c r="AM1852" i="8" a="1"/>
  <c r="AM1855" i="8" a="1"/>
  <c r="AM1857" i="8" a="1"/>
  <c r="AM1860" i="8" a="1"/>
  <c r="AM1865" i="8" a="1"/>
  <c r="AM1867" i="8" a="1"/>
  <c r="AM1872" i="8" a="1"/>
  <c r="AM1875" i="8" a="1"/>
  <c r="AM1887" i="8" a="1"/>
  <c r="AM1890" i="8" a="1"/>
  <c r="AM1892" i="8" a="1"/>
  <c r="AM1897" i="8" a="1"/>
  <c r="AM1899" i="8" a="1"/>
  <c r="AM1909" i="8" a="1"/>
  <c r="AM1912" i="8" a="1"/>
  <c r="AM1914" i="8" a="1"/>
  <c r="AM1918" i="8" a="1"/>
  <c r="AM1921" i="8" a="1"/>
  <c r="AM97" i="8" a="1"/>
  <c r="AL91" i="8" a="1"/>
  <c r="AM80" i="8" a="1"/>
  <c r="AL60" i="8" a="1"/>
  <c r="AN60" i="8" s="1"/>
  <c r="AL54" i="8" a="1"/>
  <c r="AN54" i="8" s="1"/>
  <c r="AM48" i="8" a="1"/>
  <c r="AM42" i="8" a="1"/>
  <c r="AM34" i="8" a="1"/>
  <c r="AM26" i="8" a="1"/>
  <c r="AL19" i="8" a="1"/>
  <c r="AN19" i="8" s="1"/>
  <c r="AL11" i="8" a="1"/>
  <c r="AN11" i="8" s="1"/>
  <c r="AL18" i="8" a="1"/>
  <c r="AN18" i="8" s="1"/>
  <c r="AL26" i="8" a="1"/>
  <c r="AN26" i="8" s="1"/>
  <c r="AM32" i="8" a="1"/>
  <c r="AL39" i="8" a="1"/>
  <c r="AN39" i="8" s="1"/>
  <c r="AM47" i="8" a="1"/>
  <c r="AL55" i="8" a="1"/>
  <c r="AN55" i="8" s="1"/>
  <c r="AM63" i="8" a="1"/>
  <c r="AM75" i="8" a="1"/>
  <c r="AM81" i="8" a="1"/>
  <c r="AM88" i="8" a="1"/>
  <c r="AM98" i="8" a="1"/>
  <c r="AL96" i="8" a="1"/>
  <c r="AM90" i="8" a="1"/>
  <c r="AL85" i="8" a="1"/>
  <c r="AM82" i="8" a="1"/>
  <c r="AL76" i="8" a="1"/>
  <c r="AN76" i="8" s="1"/>
  <c r="AL70" i="8" a="1"/>
  <c r="AN70" i="8" s="1"/>
  <c r="AM65" i="8" a="1"/>
  <c r="AL58" i="8" a="1"/>
  <c r="AN58" i="8" s="1"/>
  <c r="AM49" i="8" a="1"/>
  <c r="AL37" i="8" a="1"/>
  <c r="AN37" i="8" s="1"/>
  <c r="AM28" i="8" a="1"/>
  <c r="AM21" i="8" a="1"/>
  <c r="AM14" i="8" a="1"/>
  <c r="AM405" i="8" a="1"/>
  <c r="AM962" i="8" a="1"/>
  <c r="AM1035" i="8" a="1"/>
  <c r="AM1038" i="8" a="1"/>
  <c r="AM1134" i="8" a="1"/>
  <c r="AM1211" i="8" a="1"/>
  <c r="AM1282" i="8" a="1"/>
  <c r="AM1331" i="8" a="1"/>
  <c r="AM1355" i="8" a="1"/>
  <c r="AM1367" i="8" a="1"/>
  <c r="AM1371" i="8" a="1"/>
  <c r="AM1391" i="8" a="1"/>
  <c r="AM1442" i="8" a="1"/>
  <c r="AM1454" i="8" a="1"/>
  <c r="AM1477" i="8" a="1"/>
  <c r="AM1517" i="8" a="1"/>
  <c r="AM1535" i="8" a="1"/>
  <c r="AM1606" i="8" a="1"/>
  <c r="AM1620" i="8" a="1"/>
  <c r="AM1632" i="8" a="1"/>
  <c r="AM1646" i="8" a="1"/>
  <c r="AM1652" i="8" a="1"/>
  <c r="AM1654" i="8" a="1"/>
  <c r="AM1659" i="8" a="1"/>
  <c r="AM1661" i="8" a="1"/>
  <c r="AM1668" i="8" a="1"/>
  <c r="AM1678" i="8" a="1"/>
  <c r="AM1684" i="8" a="1"/>
  <c r="AM1691" i="8" a="1"/>
  <c r="AM1694" i="8" a="1"/>
  <c r="AM1697" i="8" a="1"/>
  <c r="AM1708" i="8" a="1"/>
  <c r="AM1715" i="8" a="1"/>
  <c r="AM1720" i="8" a="1"/>
  <c r="AM1726" i="8" a="1"/>
  <c r="AM1728" i="8" a="1"/>
  <c r="AM1741" i="8" a="1"/>
  <c r="AM1744" i="8" a="1"/>
  <c r="AM1752" i="8" a="1"/>
  <c r="AM1754" i="8" a="1"/>
  <c r="AM1757" i="8" a="1"/>
  <c r="AM1760" i="8" a="1"/>
  <c r="AM1762" i="8" a="1"/>
  <c r="AM1765" i="8" a="1"/>
  <c r="AM1770" i="8" a="1"/>
  <c r="AM1793" i="8" a="1"/>
  <c r="AM1799" i="8" a="1"/>
  <c r="AM1802" i="8" a="1"/>
  <c r="AM1804" i="8" a="1"/>
  <c r="AM1810" i="8" a="1"/>
  <c r="AM1814" i="8" a="1"/>
  <c r="AM1816" i="8" a="1"/>
  <c r="AM1822" i="8" a="1"/>
  <c r="AM1825" i="8" a="1"/>
  <c r="AM1830" i="8" a="1"/>
  <c r="AM1843" i="8" a="1"/>
  <c r="AM1848" i="8" a="1"/>
  <c r="AM1850" i="8" a="1"/>
  <c r="AM1853" i="8" a="1"/>
  <c r="AM1877" i="8" a="1"/>
  <c r="AM1882" i="8" a="1"/>
  <c r="AM1884" i="8" a="1"/>
  <c r="AM1889" i="8" a="1"/>
  <c r="AM1894" i="8" a="1"/>
  <c r="AM1898" i="8" a="1"/>
  <c r="AM1908" i="8" a="1"/>
  <c r="AM1910" i="8" a="1"/>
  <c r="AM1915" i="8" a="1"/>
  <c r="AM1923" i="8" a="1"/>
  <c r="AL95" i="8" a="1"/>
  <c r="AM85" i="8" a="1"/>
  <c r="AL75" i="8" a="1"/>
  <c r="AN75" i="8" s="1"/>
  <c r="AM57" i="8" a="1"/>
  <c r="AM51" i="8" a="1"/>
  <c r="AM46" i="8" a="1"/>
  <c r="AL41" i="8" a="1"/>
  <c r="AN41" i="8" s="1"/>
  <c r="AL33" i="8" a="1"/>
  <c r="AN33" i="8" s="1"/>
  <c r="AL25" i="8" a="1"/>
  <c r="AN25" i="8" s="1"/>
  <c r="AM17" i="8" a="1"/>
  <c r="AM7" i="8" a="1"/>
  <c r="AM12" i="8" a="1"/>
  <c r="AM19" i="8" a="1"/>
  <c r="AM27" i="8" a="1"/>
  <c r="AL34" i="8" a="1"/>
  <c r="AN34" i="8" s="1"/>
  <c r="AM40" i="8" a="1"/>
  <c r="AM45" i="8" a="1"/>
  <c r="AL50" i="8" a="1"/>
  <c r="AN50" i="8" s="1"/>
  <c r="AM58" i="8" a="1"/>
  <c r="AL67" i="8" a="1"/>
  <c r="AN67" i="8" s="1"/>
  <c r="AL71" i="8" a="1"/>
  <c r="AN71" i="8" s="1"/>
  <c r="AL10" i="8" a="1"/>
  <c r="AN10" i="8" s="1"/>
  <c r="AM84" i="8" a="1"/>
  <c r="AM92" i="8" a="1"/>
  <c r="AM99" i="8" a="1"/>
  <c r="AM94" i="8" a="1"/>
  <c r="AL88" i="8" a="1"/>
  <c r="AL79" i="8" a="1"/>
  <c r="AM73" i="8" a="1"/>
  <c r="AL68" i="8" a="1"/>
  <c r="AN68" i="8" s="1"/>
  <c r="AM62" i="8" a="1"/>
  <c r="AM54" i="8" a="1"/>
  <c r="AM41" i="8" a="1"/>
  <c r="AM33" i="8" a="1"/>
  <c r="AM25" i="8" a="1"/>
  <c r="AM18" i="8" a="1"/>
  <c r="AL77" i="8" a="1"/>
  <c r="AN77" i="8" s="1"/>
  <c r="AM646" i="8" a="1"/>
  <c r="AM885" i="8" a="1"/>
  <c r="AM1009" i="8" a="1"/>
  <c r="AM1115" i="8" a="1"/>
  <c r="AM1295" i="8" a="1"/>
  <c r="AM1342" i="8" a="1"/>
  <c r="AM1375" i="8" a="1"/>
  <c r="AM1444" i="8" a="1"/>
  <c r="AM1470" i="8" a="1"/>
  <c r="AM1478" i="8" a="1"/>
  <c r="AM1486" i="8" a="1"/>
  <c r="AM1498" i="8" a="1"/>
  <c r="AM1505" i="8" a="1"/>
  <c r="AM1553" i="8" a="1"/>
  <c r="AM1577" i="8" a="1"/>
  <c r="AM1598" i="8" a="1"/>
  <c r="AM1602" i="8" a="1"/>
  <c r="AM1614" i="8" a="1"/>
  <c r="AM1642" i="8" a="1"/>
  <c r="AM1656" i="8" a="1"/>
  <c r="AM1664" i="8" a="1"/>
  <c r="AM1671" i="8" a="1"/>
  <c r="AM1679" i="8" a="1"/>
  <c r="AM1707" i="8" a="1"/>
  <c r="AM1709" i="8" a="1"/>
  <c r="AM1713" i="8" a="1"/>
  <c r="AM1718" i="8" a="1"/>
  <c r="AM1733" i="8" a="1"/>
  <c r="AM1736" i="8" a="1"/>
  <c r="AM1743" i="8" a="1"/>
  <c r="AM1745" i="8" a="1"/>
  <c r="AM1750" i="8" a="1"/>
  <c r="AM1755" i="8" a="1"/>
  <c r="AM1763" i="8" a="1"/>
  <c r="AM1768" i="8" a="1"/>
  <c r="AM1772" i="8" a="1"/>
  <c r="AM1780" i="8" a="1"/>
  <c r="AM1788" i="8" a="1"/>
  <c r="AM1790" i="8" a="1"/>
  <c r="AM1796" i="8" a="1"/>
  <c r="AM1801" i="8" a="1"/>
  <c r="AM1812" i="8" a="1"/>
  <c r="AM1821" i="8" a="1"/>
  <c r="AM1829" i="8" a="1"/>
  <c r="AM1833" i="8" a="1"/>
  <c r="AM1836" i="8" a="1"/>
  <c r="AM1840" i="8" a="1"/>
  <c r="AM1842" i="8" a="1"/>
  <c r="AM1845" i="8" a="1"/>
  <c r="AM1851" i="8" a="1"/>
  <c r="AM1856" i="8" a="1"/>
  <c r="AM1859" i="8" a="1"/>
  <c r="AM1861" i="8" a="1"/>
  <c r="AM1869" i="8" a="1"/>
  <c r="AM1874" i="8" a="1"/>
  <c r="AM1879" i="8" a="1"/>
  <c r="AM1881" i="8" a="1"/>
  <c r="AM1895" i="8" a="1"/>
  <c r="AM1902" i="8" a="1"/>
  <c r="AM1911" i="8" a="1"/>
  <c r="AM1913" i="8" a="1"/>
  <c r="AM1916" i="8" a="1"/>
  <c r="AM1919" i="8" a="1"/>
  <c r="AM1924" i="8" a="1"/>
  <c r="AM96" i="8" a="1"/>
  <c r="AM87" i="8" a="1"/>
  <c r="AM72" i="8" a="1"/>
  <c r="AL59" i="8" a="1"/>
  <c r="AN59" i="8" s="1"/>
  <c r="AM52" i="8" a="1"/>
  <c r="AL47" i="8" a="1"/>
  <c r="AN47" i="8" s="1"/>
  <c r="AM39" i="8" a="1"/>
  <c r="AL31" i="8" a="1"/>
  <c r="AN31" i="8" s="1"/>
  <c r="AM23" i="8" a="1"/>
  <c r="AL16" i="8" a="1"/>
  <c r="AN16" i="8" s="1"/>
  <c r="AM8" i="8" a="1"/>
  <c r="AM13" i="8" a="1"/>
  <c r="AL21" i="8" a="1"/>
  <c r="AN21" i="8" s="1"/>
  <c r="AL29" i="8" a="1"/>
  <c r="AM35" i="8" a="1"/>
  <c r="AL42" i="8" a="1"/>
  <c r="AL48" i="8" a="1"/>
  <c r="AN48" i="8" s="1"/>
  <c r="AL57" i="8" a="1"/>
  <c r="AN57" i="8" s="1"/>
  <c r="AM64" i="8" a="1"/>
  <c r="AM68" i="8" a="1"/>
  <c r="AL73" i="8" a="1"/>
  <c r="AN73" i="8" s="1"/>
  <c r="AL83" i="8" a="1"/>
  <c r="AL90" i="8" a="1"/>
  <c r="AM95" i="8" a="1"/>
  <c r="AL100" i="8" a="1"/>
  <c r="AL89" i="8" a="1"/>
  <c r="AM83" i="8" a="1"/>
  <c r="AL81" i="8" a="1"/>
  <c r="AL72" i="8" a="1"/>
  <c r="AN72" i="8" s="1"/>
  <c r="AM67" i="8" a="1"/>
  <c r="AL61" i="8" a="1"/>
  <c r="AN61" i="8" s="1"/>
  <c r="AL53" i="8" a="1"/>
  <c r="AN53" i="8" s="1"/>
  <c r="AM38" i="8" a="1"/>
  <c r="AL30" i="8" a="1"/>
  <c r="AN30" i="8" s="1"/>
  <c r="AM22" i="8" a="1"/>
  <c r="AM15" i="8" a="1"/>
  <c r="AM873" i="8" a="1"/>
  <c r="AM897" i="8" a="1"/>
  <c r="AM933" i="8" a="1"/>
  <c r="AM953" i="8" a="1"/>
  <c r="AM1020" i="8" a="1"/>
  <c r="AM1061" i="8" a="1"/>
  <c r="AM1152" i="8" a="1"/>
  <c r="AM1235" i="8" a="1"/>
  <c r="AM1253" i="8" a="1"/>
  <c r="AM1285" i="8" a="1"/>
  <c r="AM1338" i="8" a="1"/>
  <c r="AM1369" i="8" a="1"/>
  <c r="AM1436" i="8" a="1"/>
  <c r="AM1441" i="8" a="1"/>
  <c r="AM1465" i="8" a="1"/>
  <c r="AM1483" i="8" a="1"/>
  <c r="AM1527" i="8" a="1"/>
  <c r="AM1539" i="8" a="1"/>
  <c r="AM1588" i="8" a="1"/>
  <c r="AM1601" i="8" a="1"/>
  <c r="AM1613" i="8" a="1"/>
  <c r="AM1622" i="8" a="1"/>
  <c r="AM1626" i="8" a="1"/>
  <c r="AM1636" i="8" a="1"/>
  <c r="AM1650" i="8" a="1"/>
  <c r="AM1663" i="8" a="1"/>
  <c r="AM1667" i="8" a="1"/>
  <c r="AM1669" i="8" a="1"/>
  <c r="AM1673" i="8" a="1"/>
  <c r="AM1675" i="8" a="1"/>
  <c r="AM1682" i="8" a="1"/>
  <c r="AM1689" i="8" a="1"/>
  <c r="AM1695" i="8" a="1"/>
  <c r="AM1701" i="8" a="1"/>
  <c r="AM1705" i="8" a="1"/>
  <c r="AM1711" i="8" a="1"/>
  <c r="AM1714" i="8" a="1"/>
  <c r="AM1717" i="8" a="1"/>
  <c r="AM1719" i="8" a="1"/>
  <c r="AM1722" i="8" a="1"/>
  <c r="AM1727" i="8" a="1"/>
  <c r="AM1732" i="8" a="1"/>
  <c r="AM1734" i="8" a="1"/>
  <c r="AM1739" i="8" a="1"/>
  <c r="AM1742" i="8" a="1"/>
  <c r="AM1747" i="8" a="1"/>
  <c r="AM1749" i="8" a="1"/>
  <c r="AM1751" i="8" a="1"/>
  <c r="AM1756" i="8" a="1"/>
  <c r="AM1761" i="8" a="1"/>
  <c r="AM1764" i="8" a="1"/>
  <c r="AM1798" i="8" a="1"/>
  <c r="AM1803" i="8" a="1"/>
  <c r="AM1807" i="8" a="1"/>
  <c r="AM1813" i="8" a="1"/>
  <c r="AM1815" i="8" a="1"/>
  <c r="AM1820" i="8" a="1"/>
  <c r="AM1823" i="8" a="1"/>
  <c r="AM1826" i="8" a="1"/>
  <c r="AM1828" i="8" a="1"/>
  <c r="AM1832" i="8" a="1"/>
  <c r="AM1839" i="8" a="1"/>
  <c r="AM1844" i="8" a="1"/>
  <c r="AM1849" i="8" a="1"/>
  <c r="AM1858" i="8" a="1"/>
  <c r="AM1863" i="8" a="1"/>
  <c r="AM1864" i="8" a="1"/>
  <c r="AM1870" i="8" a="1"/>
  <c r="AM1880" i="8" a="1"/>
  <c r="AM1885" i="8" a="1"/>
  <c r="AM1888" i="8" a="1"/>
  <c r="AM1900" i="8" a="1"/>
  <c r="AM1903" i="8" a="1"/>
  <c r="AM1905" i="8" a="1"/>
  <c r="AM1907" i="8" a="1"/>
  <c r="AM1920" i="8" a="1"/>
  <c r="AM1922" i="8" a="1"/>
  <c r="AM1926" i="8" a="1"/>
  <c r="AL102" i="8" a="1"/>
  <c r="AM102" i="8" a="1"/>
  <c r="AM104" i="8" a="1"/>
  <c r="AL105" i="8" a="1"/>
  <c r="AM106" i="8" a="1"/>
  <c r="AL108" i="8" a="1"/>
  <c r="AM109" i="8" a="1"/>
  <c r="AM111" i="8" a="1"/>
  <c r="AL113" i="8" a="1"/>
  <c r="AM114" i="8" a="1"/>
  <c r="AL116" i="8" a="1"/>
  <c r="AM117" i="8" a="1"/>
  <c r="AL119" i="8" a="1"/>
  <c r="AM120" i="8" a="1"/>
  <c r="AM122" i="8" a="1"/>
  <c r="AL124" i="8" a="1"/>
  <c r="AM125" i="8" a="1"/>
  <c r="AL127" i="8" a="1"/>
  <c r="AM128" i="8" a="1"/>
  <c r="AM130" i="8" a="1"/>
  <c r="AL132" i="8" a="1"/>
  <c r="AM133" i="8" a="1"/>
  <c r="AL135" i="8" a="1"/>
  <c r="AM136" i="8" a="1"/>
  <c r="AL138" i="8" a="1"/>
  <c r="AM140" i="8" a="1"/>
  <c r="AM141" i="8" a="1"/>
  <c r="AM143" i="8" a="1"/>
  <c r="AM145" i="8" a="1"/>
  <c r="AL147" i="8" a="1"/>
  <c r="AM148" i="8" a="1"/>
  <c r="AM150" i="8" a="1"/>
  <c r="AL152" i="8" a="1"/>
  <c r="AL154" i="8" a="1"/>
  <c r="AL157" i="8" a="1"/>
  <c r="AM159" i="8" a="1"/>
  <c r="AL161" i="8" a="1"/>
  <c r="AL163" i="8" a="1"/>
  <c r="AL165" i="8" a="1"/>
  <c r="AM168" i="8" a="1"/>
  <c r="AM170" i="8" a="1"/>
  <c r="AL173" i="8" a="1"/>
  <c r="AL176" i="8" a="1"/>
  <c r="AM179" i="8" a="1"/>
  <c r="AM182" i="8" a="1"/>
  <c r="AL185" i="8" a="1"/>
  <c r="AM187" i="8" a="1"/>
  <c r="AL190" i="8" a="1"/>
  <c r="AM192" i="8" a="1"/>
  <c r="AL194" i="8" a="1"/>
  <c r="AM196" i="8" a="1"/>
  <c r="AM198" i="8" a="1"/>
  <c r="AM202" i="8" a="1"/>
  <c r="AL205" i="8" a="1"/>
  <c r="AM209" i="8" a="1"/>
  <c r="AM213" i="8" a="1"/>
  <c r="AL216" i="8" a="1"/>
  <c r="AM218" i="8" a="1"/>
  <c r="AM220" i="8" a="1"/>
  <c r="AL223" i="8" a="1"/>
  <c r="AL225" i="8" a="1"/>
  <c r="AM227" i="8" a="1"/>
  <c r="AM229" i="8" a="1"/>
  <c r="AM231" i="8" a="1"/>
  <c r="AM233" i="8" a="1"/>
  <c r="AM235" i="8" a="1"/>
  <c r="AL239" i="8" a="1"/>
  <c r="AM241" i="8" a="1"/>
  <c r="AL243" i="8" a="1"/>
  <c r="AM245" i="8" a="1"/>
  <c r="AL247" i="8" a="1"/>
  <c r="AL249" i="8" a="1"/>
  <c r="AM251" i="8" a="1"/>
  <c r="AM253" i="8" a="1"/>
  <c r="AM255" i="8" a="1"/>
  <c r="AL257" i="8" a="1"/>
  <c r="AM259" i="8" a="1"/>
  <c r="AM261" i="8" a="1"/>
  <c r="AL264" i="8" a="1"/>
  <c r="AL266" i="8" a="1"/>
  <c r="AL268" i="8" a="1"/>
  <c r="AL270" i="8" a="1"/>
  <c r="AL272" i="8" a="1"/>
  <c r="AL274" i="8" a="1"/>
  <c r="AM276" i="8" a="1"/>
  <c r="AM278" i="8" a="1"/>
  <c r="AL280" i="8" a="1"/>
  <c r="AL287" i="8" a="1"/>
  <c r="AM289" i="8" a="1"/>
  <c r="AM294" i="8" a="1"/>
  <c r="AM297" i="8" a="1"/>
  <c r="AM299" i="8" a="1"/>
  <c r="AM301" i="8" a="1"/>
  <c r="AM303" i="8" a="1"/>
  <c r="AM305" i="8" a="1"/>
  <c r="AM307" i="8" a="1"/>
  <c r="AM309" i="8" a="1"/>
  <c r="AM311" i="8" a="1"/>
  <c r="AL314" i="8" a="1"/>
  <c r="AL316" i="8" a="1"/>
  <c r="AL318" i="8" a="1"/>
  <c r="AL320" i="8" a="1"/>
  <c r="AM322" i="8" a="1"/>
  <c r="AL324" i="8" a="1"/>
  <c r="AM332" i="8" a="1"/>
  <c r="AM336" i="8" a="1"/>
  <c r="AM338" i="8" a="1"/>
  <c r="AM340" i="8" a="1"/>
  <c r="AM342" i="8" a="1"/>
  <c r="AM345" i="8" a="1"/>
  <c r="AM347" i="8" a="1"/>
  <c r="AM349" i="8" a="1"/>
  <c r="AL352" i="8" a="1"/>
  <c r="AL356" i="8" a="1"/>
  <c r="AM358" i="8" a="1"/>
  <c r="AL361" i="8" a="1"/>
  <c r="AL363" i="8" a="1"/>
  <c r="AL365" i="8" a="1"/>
  <c r="AL368" i="8" a="1"/>
  <c r="AM370" i="8" a="1"/>
  <c r="AM372" i="8" a="1"/>
  <c r="AL375" i="8" a="1"/>
  <c r="AM377" i="8" a="1"/>
  <c r="AL379" i="8" a="1"/>
  <c r="AL381" i="8" a="1"/>
  <c r="AL383" i="8" a="1"/>
  <c r="AM385" i="8" a="1"/>
  <c r="AL388" i="8" a="1"/>
  <c r="AL391" i="8" a="1"/>
  <c r="AL393" i="8" a="1"/>
  <c r="AL395" i="8" a="1"/>
  <c r="AM399" i="8" a="1"/>
  <c r="AM401" i="8" a="1"/>
  <c r="AM403" i="8" a="1"/>
  <c r="AL406" i="8" a="1"/>
  <c r="AM409" i="8" a="1"/>
  <c r="AL411" i="8" a="1"/>
  <c r="AM412" i="8" a="1"/>
  <c r="AL416" i="8" a="1"/>
  <c r="AM418" i="8" a="1"/>
  <c r="AL423" i="8" a="1"/>
  <c r="AL426" i="8" a="1"/>
  <c r="AL428" i="8" a="1"/>
  <c r="AM431" i="8" a="1"/>
  <c r="AL433" i="8" a="1"/>
  <c r="AM436" i="8" a="1"/>
  <c r="AM438" i="8" a="1"/>
  <c r="AM441" i="8" a="1"/>
  <c r="AL443" i="8" a="1"/>
  <c r="AL446" i="8" a="1"/>
  <c r="AM449" i="8" a="1"/>
  <c r="AL451" i="8" a="1"/>
  <c r="AM454" i="8" a="1"/>
  <c r="AL456" i="8" a="1"/>
  <c r="AM459" i="8" a="1"/>
  <c r="AL461" i="8" a="1"/>
  <c r="AM464" i="8" a="1"/>
  <c r="AL466" i="8" a="1"/>
  <c r="AL468" i="8" a="1"/>
  <c r="AM469" i="8" a="1"/>
  <c r="AL474" i="8" a="1"/>
  <c r="AM477" i="8" a="1"/>
  <c r="AM479" i="8" a="1"/>
  <c r="AL481" i="8" a="1"/>
  <c r="AL483" i="8" a="1"/>
  <c r="AM486" i="8" a="1"/>
  <c r="AL489" i="8" a="1"/>
  <c r="AM492" i="8" a="1"/>
  <c r="AM494" i="8" a="1"/>
  <c r="AL496" i="8" a="1"/>
  <c r="AM498" i="8" a="1"/>
  <c r="AM501" i="8" a="1"/>
  <c r="AL503" i="8" a="1"/>
  <c r="AL505" i="8" a="1"/>
  <c r="AL509" i="8" a="1"/>
  <c r="AM511" i="8" a="1"/>
  <c r="AL513" i="8" a="1"/>
  <c r="AL516" i="8" a="1"/>
  <c r="AL520" i="8" a="1"/>
  <c r="AM522" i="8" a="1"/>
  <c r="AL524" i="8" a="1"/>
  <c r="AM526" i="8" a="1"/>
  <c r="AM528" i="8" a="1"/>
  <c r="AL530" i="8" a="1"/>
  <c r="AM533" i="8" a="1"/>
  <c r="AM535" i="8" a="1"/>
  <c r="AM537" i="8" a="1"/>
  <c r="AM538" i="8" a="1"/>
  <c r="AL540" i="8" a="1"/>
  <c r="AM542" i="8" a="1"/>
  <c r="AM545" i="8" a="1"/>
  <c r="AL547" i="8" a="1"/>
  <c r="AL550" i="8" a="1"/>
  <c r="AM552" i="8" a="1"/>
  <c r="AM553" i="8" a="1"/>
  <c r="AL555" i="8" a="1"/>
  <c r="AM556" i="8" a="1"/>
  <c r="AL558" i="8" a="1"/>
  <c r="AM560" i="8" a="1"/>
  <c r="AM562" i="8" a="1"/>
  <c r="AM563" i="8" a="1"/>
  <c r="AM567" i="8" a="1"/>
  <c r="AL569" i="8" a="1"/>
  <c r="AM571" i="8" a="1"/>
  <c r="AM572" i="8" a="1"/>
  <c r="AL574" i="8" a="1"/>
  <c r="AL576" i="8" a="1"/>
  <c r="AM577" i="8" a="1"/>
  <c r="AL580" i="8" a="1"/>
  <c r="AL582" i="8" a="1"/>
  <c r="AM586" i="8" a="1"/>
  <c r="AM587" i="8" a="1"/>
  <c r="AM588" i="8" a="1"/>
  <c r="AL592" i="8" a="1"/>
  <c r="AL595" i="8" a="1"/>
  <c r="AM597" i="8" a="1"/>
  <c r="AL599" i="8" a="1"/>
  <c r="AM601" i="8" a="1"/>
  <c r="AL603" i="8" a="1"/>
  <c r="AM605" i="8" a="1"/>
  <c r="AL607" i="8" a="1"/>
  <c r="AM609" i="8" a="1"/>
  <c r="AM612" i="8" a="1"/>
  <c r="AL614" i="8" a="1"/>
  <c r="AL617" i="8" a="1"/>
  <c r="AM619" i="8" a="1"/>
  <c r="AL621" i="8" a="1"/>
  <c r="AL623" i="8" a="1"/>
  <c r="AL625" i="8" a="1"/>
  <c r="AL638" i="8" a="1"/>
  <c r="AM640" i="8" a="1"/>
  <c r="AM642" i="8" a="1"/>
  <c r="AM643" i="8" a="1"/>
  <c r="AM644" i="8" a="1"/>
  <c r="AL645" i="8" a="1"/>
  <c r="AL647" i="8" a="1"/>
  <c r="AM648" i="8" a="1"/>
  <c r="AM649" i="8" a="1"/>
  <c r="AL651" i="8" a="1"/>
  <c r="AL655" i="8" a="1"/>
  <c r="AM656" i="8" a="1"/>
  <c r="AL658" i="8" a="1"/>
  <c r="AM659" i="8" a="1"/>
  <c r="AL661" i="8" a="1"/>
  <c r="AL663" i="8" a="1"/>
  <c r="AM666" i="8" a="1"/>
  <c r="AL668" i="8" a="1"/>
  <c r="AL671" i="8" a="1"/>
  <c r="AL674" i="8" a="1"/>
  <c r="AM677" i="8" a="1"/>
  <c r="AL679" i="8" a="1"/>
  <c r="AL682" i="8" a="1"/>
  <c r="AM683" i="8" a="1"/>
  <c r="AL685" i="8" a="1"/>
  <c r="AM687" i="8" a="1"/>
  <c r="AL689" i="8" a="1"/>
  <c r="AL692" i="8" a="1"/>
  <c r="AL694" i="8" a="1"/>
  <c r="AL698" i="8" a="1"/>
  <c r="AM701" i="8" a="1"/>
  <c r="AM704" i="8" a="1"/>
  <c r="AM706" i="8" a="1"/>
  <c r="AM708" i="8" a="1"/>
  <c r="AL711" i="8" a="1"/>
  <c r="AM714" i="8" a="1"/>
  <c r="AM716" i="8" a="1"/>
  <c r="AM718" i="8" a="1"/>
  <c r="AL721" i="8" a="1"/>
  <c r="AL723" i="8" a="1"/>
  <c r="AL726" i="8" a="1"/>
  <c r="AL728" i="8" a="1"/>
  <c r="AM731" i="8" a="1"/>
  <c r="AL733" i="8" a="1"/>
  <c r="AM736" i="8" a="1"/>
  <c r="AL738" i="8" a="1"/>
  <c r="AL739" i="8" a="1"/>
  <c r="AL741" i="8" a="1"/>
  <c r="AL745" i="8" a="1"/>
  <c r="AM748" i="8" a="1"/>
  <c r="AL750" i="8" a="1"/>
  <c r="AM753" i="8" a="1"/>
  <c r="AL755" i="8" a="1"/>
  <c r="AM758" i="8" a="1"/>
  <c r="AL760" i="8" a="1"/>
  <c r="AM763" i="8" a="1"/>
  <c r="AL765" i="8" a="1"/>
  <c r="AL768" i="8" a="1"/>
  <c r="AM771" i="8" a="1"/>
  <c r="AL773" i="8" a="1"/>
  <c r="AM776" i="8" a="1"/>
  <c r="AL779" i="8" a="1"/>
  <c r="AL781" i="8" a="1"/>
  <c r="AL785" i="8" a="1"/>
  <c r="AL788" i="8" a="1"/>
  <c r="AM791" i="8" a="1"/>
  <c r="AM793" i="8" a="1"/>
  <c r="AL795" i="8" a="1"/>
  <c r="AL798" i="8" a="1"/>
  <c r="AM801" i="8" a="1"/>
  <c r="AL803" i="8" a="1"/>
  <c r="AL806" i="8" a="1"/>
  <c r="AL808" i="8" a="1"/>
  <c r="AM811" i="8" a="1"/>
  <c r="AL813" i="8" a="1"/>
  <c r="AM816" i="8" a="1"/>
  <c r="AL820" i="8" a="1"/>
  <c r="AM823" i="8" a="1"/>
  <c r="AL825" i="8" a="1"/>
  <c r="AM828" i="8" a="1"/>
  <c r="AL830" i="8" a="1"/>
  <c r="AM833" i="8" a="1"/>
  <c r="AL835" i="8" a="1"/>
  <c r="AM838" i="8" a="1"/>
  <c r="AL840" i="8" a="1"/>
  <c r="AM843" i="8" a="1"/>
  <c r="AL845" i="8" a="1"/>
  <c r="AM848" i="8" a="1"/>
  <c r="AM849" i="8" a="1"/>
  <c r="AM851" i="8" a="1"/>
  <c r="AM852" i="8" a="1"/>
  <c r="AM853" i="8" a="1"/>
  <c r="AL855" i="8" a="1"/>
  <c r="AM858" i="8" a="1"/>
  <c r="AL860" i="8" a="1"/>
  <c r="AM863" i="8" a="1"/>
  <c r="AM865" i="8" a="1"/>
  <c r="AL867" i="8" a="1"/>
  <c r="AL870" i="8" a="1"/>
  <c r="AL874" i="8" a="1"/>
  <c r="AL877" i="8" a="1"/>
  <c r="AM880" i="8" a="1"/>
  <c r="AL882" i="8" a="1"/>
  <c r="AM886" i="8" a="1"/>
  <c r="AM887" i="8" a="1"/>
  <c r="AM888" i="8" a="1"/>
  <c r="AL891" i="8" a="1"/>
  <c r="AM894" i="8" a="1"/>
  <c r="AL896" i="8" a="1"/>
  <c r="AL900" i="8" a="1"/>
  <c r="AM903" i="8" a="1"/>
  <c r="AL905" i="8" a="1"/>
  <c r="AL908" i="8" a="1"/>
  <c r="AL912" i="8" a="1"/>
  <c r="AM915" i="8" a="1"/>
  <c r="AM916" i="8" a="1"/>
  <c r="AL918" i="8" a="1"/>
  <c r="AM922" i="8" a="1"/>
  <c r="AM923" i="8" a="1"/>
  <c r="AM924" i="8" a="1"/>
  <c r="AM926" i="8" a="1"/>
  <c r="AL928" i="8" a="1"/>
  <c r="AM931" i="8" a="1"/>
  <c r="AL934" i="8" a="1"/>
  <c r="AM936" i="8" a="1"/>
  <c r="AL938" i="8" a="1"/>
  <c r="AL942" i="8" a="1"/>
  <c r="AL946" i="8" a="1"/>
  <c r="AL949" i="8" a="1"/>
  <c r="AM952" i="8" a="1"/>
  <c r="AM954" i="8" a="1"/>
  <c r="AM956" i="8" a="1"/>
  <c r="AL960" i="8" a="1"/>
  <c r="AL964" i="8" a="1"/>
  <c r="AM967" i="8" a="1"/>
  <c r="AL969" i="8" a="1"/>
  <c r="AL974" i="8" a="1"/>
  <c r="AL978" i="8" a="1"/>
  <c r="AM981" i="8" a="1"/>
  <c r="AL983" i="8" a="1"/>
  <c r="AM986" i="8" a="1"/>
  <c r="AL988" i="8" a="1"/>
  <c r="AM991" i="8" a="1"/>
  <c r="AL993" i="8" a="1"/>
  <c r="AM996" i="8" a="1"/>
  <c r="AL998" i="8" a="1"/>
  <c r="AM1001" i="8" a="1"/>
  <c r="AL1003" i="8" a="1"/>
  <c r="AL1006" i="8" a="1"/>
  <c r="AM1010" i="8" a="1"/>
  <c r="AL1012" i="8" a="1"/>
  <c r="AM1015" i="8" a="1"/>
  <c r="AL1017" i="8" a="1"/>
  <c r="AL1021" i="8" a="1"/>
  <c r="AL1024" i="8" a="1"/>
  <c r="AM1027" i="8" a="1"/>
  <c r="AM1031" i="8" a="1"/>
  <c r="AL1033" i="8" a="1"/>
  <c r="AM1037" i="8" a="1"/>
  <c r="AL1040" i="8" a="1"/>
  <c r="AL1042" i="8" a="1"/>
  <c r="AL1045" i="8" a="1"/>
  <c r="AL1048" i="8" a="1"/>
  <c r="AM1050" i="8" a="1"/>
  <c r="AL1052" i="8" a="1"/>
  <c r="AL1055" i="8" a="1"/>
  <c r="AM1058" i="8" a="1"/>
  <c r="AL1060" i="8" a="1"/>
  <c r="AM1064" i="8" a="1"/>
  <c r="AL1066" i="8" a="1"/>
  <c r="AM1069" i="8" a="1"/>
  <c r="AL1071" i="8" a="1"/>
  <c r="AM1074" i="8" a="1"/>
  <c r="AM1075" i="8" a="1"/>
  <c r="AL1077" i="8" a="1"/>
  <c r="AM1079" i="8" a="1"/>
  <c r="AM1080" i="8" a="1"/>
  <c r="AM1081" i="8" a="1"/>
  <c r="AM1082" i="8" a="1"/>
  <c r="AL1084" i="8" a="1"/>
  <c r="AM1087" i="8" a="1"/>
  <c r="AL1089" i="8" a="1"/>
  <c r="AM1092" i="8" a="1"/>
  <c r="AM1095" i="8" a="1"/>
  <c r="AL1097" i="8" a="1"/>
  <c r="AL1102" i="8" a="1"/>
  <c r="AM1105" i="8" a="1"/>
  <c r="AM1106" i="8" a="1"/>
  <c r="AM1107" i="8" a="1"/>
  <c r="AM1109" i="8" a="1"/>
  <c r="AM1110" i="8" a="1"/>
  <c r="AL1112" i="8" a="1"/>
  <c r="AL1116" i="8" a="1"/>
  <c r="AL1120" i="8" a="1"/>
  <c r="AM1123" i="8" a="1"/>
  <c r="AL1125" i="8" a="1"/>
  <c r="AM1128" i="8" a="1"/>
  <c r="AM1130" i="8" a="1"/>
  <c r="AL1132" i="8" a="1"/>
  <c r="AM1135" i="8" a="1"/>
  <c r="AM1137" i="8" a="1"/>
  <c r="AL1139" i="8" a="1"/>
  <c r="AM1142" i="8" a="1"/>
  <c r="AL1144" i="8" a="1"/>
  <c r="AL1148" i="8" a="1"/>
  <c r="AM1151" i="8" a="1"/>
  <c r="AL1153" i="8" a="1"/>
  <c r="AL1157" i="8" a="1"/>
  <c r="AL1160" i="8" a="1"/>
  <c r="AL1164" i="8" a="1"/>
  <c r="AM1167" i="8" a="1"/>
  <c r="AM1168" i="8" a="1"/>
  <c r="AM1172" i="8" a="1"/>
  <c r="AL1174" i="8" a="1"/>
  <c r="AM1177" i="8" a="1"/>
  <c r="AL1179" i="8" a="1"/>
  <c r="AL1182" i="8" a="1"/>
  <c r="AM1185" i="8" a="1"/>
  <c r="AL1187" i="8" a="1"/>
  <c r="AM1190" i="8" a="1"/>
  <c r="AL1192" i="8" a="1"/>
  <c r="AL1199" i="8" a="1"/>
  <c r="AL1203" i="8" a="1"/>
  <c r="AM1206" i="8" a="1"/>
  <c r="AL1208" i="8" a="1"/>
  <c r="AL1212" i="8" a="1"/>
  <c r="AL1215" i="8" a="1"/>
  <c r="AL1218" i="8" a="1"/>
  <c r="AL1221" i="8" a="1"/>
  <c r="AL1224" i="8" a="1"/>
  <c r="AL1228" i="8" a="1"/>
  <c r="AL1231" i="8" a="1"/>
  <c r="AM1234" i="8" a="1"/>
  <c r="AM1236" i="8" a="1"/>
  <c r="AL1238" i="8" a="1"/>
  <c r="AM1241" i="8" a="1"/>
  <c r="AL1243" i="8" a="1"/>
  <c r="AL1248" i="8" a="1"/>
  <c r="AM1252" i="8" a="1"/>
  <c r="AM1254" i="8" a="1"/>
  <c r="AL1256" i="8" a="1"/>
  <c r="AM1259" i="8" a="1"/>
  <c r="AL1261" i="8" a="1"/>
  <c r="AM1264" i="8" a="1"/>
  <c r="AL1266" i="8" a="1"/>
  <c r="AM1269" i="8" a="1"/>
  <c r="AM1270" i="8" a="1"/>
  <c r="AL1272" i="8" a="1"/>
  <c r="AL1276" i="8" a="1"/>
  <c r="AM1279" i="8" a="1"/>
  <c r="AL1281" i="8" a="1"/>
  <c r="AL1286" i="8" a="1"/>
  <c r="AM1289" i="8" a="1"/>
  <c r="AM1290" i="8" a="1"/>
  <c r="AL1292" i="8" a="1"/>
  <c r="AL1296" i="8" a="1"/>
  <c r="AL1300" i="8" a="1"/>
  <c r="AM1303" i="8" a="1"/>
  <c r="AL1305" i="8" a="1"/>
  <c r="AM1308" i="8" a="1"/>
  <c r="AL1310" i="8" a="1"/>
  <c r="AM1313" i="8" a="1"/>
  <c r="AL1315" i="8" a="1"/>
  <c r="AM1318" i="8" a="1"/>
  <c r="AM1322" i="8" a="1"/>
  <c r="AL1324" i="8" a="1"/>
  <c r="AM1327" i="8" a="1"/>
  <c r="AL1329" i="8" a="1"/>
  <c r="AL1334" i="8" a="1"/>
  <c r="AM1337" i="8" a="1"/>
  <c r="AM1339" i="8" a="1"/>
  <c r="AL1341" i="8" a="1"/>
  <c r="AL1346" i="8" a="1"/>
  <c r="AM1350" i="8" a="1"/>
  <c r="AM1351" i="8" a="1"/>
  <c r="AL1353" i="8" a="1"/>
  <c r="AL1357" i="8" a="1"/>
  <c r="AL1361" i="8" a="1"/>
  <c r="AL1365" i="8" a="1"/>
  <c r="AM1370" i="8" a="1"/>
  <c r="AL1372" i="8" a="1"/>
  <c r="AM1380" i="8" a="1"/>
  <c r="AL1382" i="8" a="1"/>
  <c r="AM1385" i="8" a="1"/>
  <c r="AM1386" i="8" a="1"/>
  <c r="AM1387" i="8" a="1"/>
  <c r="AL1389" i="8" a="1"/>
  <c r="AL1393" i="8" a="1"/>
  <c r="AL1397" i="8" a="1"/>
  <c r="AL1400" i="8" a="1"/>
  <c r="AL1404" i="8" a="1"/>
  <c r="AL1408" i="8" a="1"/>
  <c r="AL1412" i="8" a="1"/>
  <c r="AL1416" i="8" a="1"/>
  <c r="AM1419" i="8" a="1"/>
  <c r="AL1421" i="8" a="1"/>
  <c r="AL1425" i="8" a="1"/>
  <c r="AL1429" i="8" a="1"/>
  <c r="AM1434" i="8" a="1"/>
  <c r="AM1435" i="8" a="1"/>
  <c r="AL1437" i="8" a="1"/>
  <c r="AL1445" i="8" a="1"/>
  <c r="AM1448" i="8" a="1"/>
  <c r="AL1450" i="8" a="1"/>
  <c r="AL1455" i="8" a="1"/>
  <c r="AL1460" i="8" a="1"/>
  <c r="AL1469" i="8" a="1"/>
  <c r="AL1474" i="8" a="1"/>
  <c r="AL1492" i="8" a="1"/>
  <c r="AM1496" i="8" a="1"/>
  <c r="AM1501" i="8" a="1"/>
  <c r="AM1503" i="8" a="1"/>
  <c r="AM1508" i="8" a="1"/>
  <c r="AM1513" i="8" a="1"/>
  <c r="AL1515" i="8" a="1"/>
  <c r="AM1519" i="8" a="1"/>
  <c r="AL1521" i="8" a="1"/>
  <c r="AM1525" i="8" a="1"/>
  <c r="AM1530" i="8" a="1"/>
  <c r="AL1532" i="8" a="1"/>
  <c r="AL1537" i="8" a="1"/>
  <c r="AM1542" i="8" a="1"/>
  <c r="AL1544" i="8" a="1"/>
  <c r="AM1548" i="8" a="1"/>
  <c r="AL1554" i="8" a="1"/>
  <c r="AL1558" i="8" a="1"/>
  <c r="AM1562" i="8" a="1"/>
  <c r="AM1564" i="8" a="1"/>
  <c r="AM1566" i="8" a="1"/>
  <c r="AM1567" i="8" a="1"/>
  <c r="AL1569" i="8" a="1"/>
  <c r="AL1584" i="8" a="1"/>
  <c r="AL1596" i="8" a="1"/>
  <c r="AM1625" i="8" a="1"/>
  <c r="AL1641" i="8" a="1"/>
  <c r="AM1647" i="8" a="1"/>
  <c r="AM1649" i="8" a="1"/>
  <c r="AM1651" i="8" a="1"/>
  <c r="AM1680" i="8" a="1"/>
  <c r="AL1688" i="8" a="1"/>
  <c r="AM1700" i="8" a="1"/>
  <c r="AL1703" i="8" a="1"/>
  <c r="AL1773" i="8" a="1"/>
  <c r="AL1451" i="8" a="1"/>
  <c r="AL1456" i="8" a="1"/>
  <c r="AM1460" i="8" a="1"/>
  <c r="AL1462" i="8" a="1"/>
  <c r="AL1467" i="8" a="1"/>
  <c r="AL1473" i="8" a="1"/>
  <c r="AM1482" i="8" a="1"/>
  <c r="AL1484" i="8" a="1"/>
  <c r="AL1493" i="8" a="1"/>
  <c r="AM1497" i="8" a="1"/>
  <c r="AM1500" i="8" a="1"/>
  <c r="AL1502" i="8" a="1"/>
  <c r="AL1507" i="8" a="1"/>
  <c r="AL1512" i="8" a="1"/>
  <c r="AM1516" i="8" a="1"/>
  <c r="AM1518" i="8" a="1"/>
  <c r="AL1520" i="8" a="1"/>
  <c r="AL1524" i="8" a="1"/>
  <c r="AM1538" i="8" a="1"/>
  <c r="AL1542" i="8" a="1"/>
  <c r="AM1546" i="8" a="1"/>
  <c r="AL1548" i="8" a="1"/>
  <c r="AM1559" i="8" a="1"/>
  <c r="AL1561" i="8" a="1"/>
  <c r="AL1566" i="8" a="1"/>
  <c r="AM1569" i="8" a="1"/>
  <c r="AM1571" i="8" a="1"/>
  <c r="AL1573" i="8" a="1"/>
  <c r="AL1579" i="8" a="1"/>
  <c r="AM1582" i="8" a="1"/>
  <c r="AM1584" i="8" a="1"/>
  <c r="AM1585" i="8" a="1"/>
  <c r="AL1587" i="8" a="1"/>
  <c r="AL1593" i="8" a="1"/>
  <c r="AM1597" i="8" a="1"/>
  <c r="AM1599" i="8" a="1"/>
  <c r="AM1600" i="8" a="1"/>
  <c r="AM1603" i="8" a="1"/>
  <c r="AM1604" i="8" a="1"/>
  <c r="AM1605" i="8" a="1"/>
  <c r="AL1607" i="8" a="1"/>
  <c r="AL1611" i="8" a="1"/>
  <c r="AM1615" i="8" a="1"/>
  <c r="AL1617" i="8" a="1"/>
  <c r="AM1621" i="8" a="1"/>
  <c r="AM1623" i="8" a="1"/>
  <c r="AL1625" i="8" a="1"/>
  <c r="AL1631" i="8" a="1"/>
  <c r="AL1637" i="8" a="1"/>
  <c r="AL1643" i="8" a="1"/>
  <c r="AL1649" i="8" a="1"/>
  <c r="AM1655" i="8" a="1"/>
  <c r="AM1657" i="8" a="1"/>
  <c r="AM1670" i="8" a="1"/>
  <c r="AL1677" i="8" a="1"/>
  <c r="AL1704" i="8" a="1"/>
  <c r="AM1773" i="8" a="1"/>
  <c r="AM1775" i="8" a="1"/>
  <c r="AM1777" i="8" a="1"/>
  <c r="AL1779" i="8" a="1"/>
  <c r="AM1785" i="8" a="1"/>
  <c r="AM1787" i="8" a="1"/>
  <c r="AL1824" i="8" a="1"/>
  <c r="AM1831" i="8" a="1"/>
  <c r="AM1834" i="8" a="1"/>
  <c r="AM101" i="8" a="1"/>
  <c r="AL103" i="8" a="1"/>
  <c r="AL104" i="8" a="1"/>
  <c r="AL106" i="8" a="1"/>
  <c r="AM107" i="8" a="1"/>
  <c r="AL109" i="8" a="1"/>
  <c r="AM110" i="8" a="1"/>
  <c r="AL112" i="8" a="1"/>
  <c r="AM113" i="8" a="1"/>
  <c r="AL115" i="8" a="1"/>
  <c r="AM116" i="8" a="1"/>
  <c r="AL118" i="8" a="1"/>
  <c r="AM119" i="8" a="1"/>
  <c r="AL121" i="8" a="1"/>
  <c r="AL122" i="8" a="1"/>
  <c r="AM123" i="8" a="1"/>
  <c r="AL125" i="8" a="1"/>
  <c r="AM126" i="8" a="1"/>
  <c r="AL128" i="8" a="1"/>
  <c r="AM129" i="8" a="1"/>
  <c r="AL131" i="8" a="1"/>
  <c r="AM132" i="8" a="1"/>
  <c r="AL134" i="8" a="1"/>
  <c r="AM135" i="8" a="1"/>
  <c r="AL137" i="8" a="1"/>
  <c r="AM138" i="8" a="1"/>
  <c r="AL140" i="8" a="1"/>
  <c r="AL141" i="8" a="1"/>
  <c r="AL143" i="8" a="1"/>
  <c r="AL145" i="8" a="1"/>
  <c r="AM147" i="8" a="1"/>
  <c r="AL149" i="8" a="1"/>
  <c r="AM151" i="8" a="1"/>
  <c r="AM153" i="8" a="1"/>
  <c r="AL155" i="8" a="1"/>
  <c r="AM156" i="8" a="1"/>
  <c r="AL158" i="8" a="1"/>
  <c r="AM161" i="8" a="1"/>
  <c r="AM163" i="8" a="1"/>
  <c r="AL166" i="8" a="1"/>
  <c r="AL168" i="8" a="1"/>
  <c r="AL170" i="8" a="1"/>
  <c r="AM172" i="8" a="1"/>
  <c r="AL175" i="8" a="1"/>
  <c r="AM177" i="8" a="1"/>
  <c r="AL180" i="8" a="1"/>
  <c r="AL182" i="8" a="1"/>
  <c r="AM184" i="8" a="1"/>
  <c r="AL187" i="8" a="1"/>
  <c r="AL189" i="8" a="1"/>
  <c r="AL191" i="8" a="1"/>
  <c r="AM193" i="8" a="1"/>
  <c r="AL196" i="8" a="1"/>
  <c r="AM200" i="8" a="1"/>
  <c r="AL203" i="8" a="1"/>
  <c r="AM205" i="8" a="1"/>
  <c r="AM207" i="8" a="1"/>
  <c r="AL211" i="8" a="1"/>
  <c r="AL213" i="8" a="1"/>
  <c r="AL215" i="8" a="1"/>
  <c r="AL217" i="8" a="1"/>
  <c r="AL219" i="8" a="1"/>
  <c r="AL222" i="8" a="1"/>
  <c r="AM224" i="8" a="1"/>
  <c r="AL227" i="8" a="1"/>
  <c r="AL229" i="8" a="1"/>
  <c r="AL231" i="8" a="1"/>
  <c r="AL233" i="8" a="1"/>
  <c r="AL235" i="8" a="1"/>
  <c r="AL237" i="8" a="1"/>
  <c r="AM239" i="8" a="1"/>
  <c r="AL242" i="8" a="1"/>
  <c r="AL245" i="8" a="1"/>
  <c r="AM248" i="8" a="1"/>
  <c r="AL251" i="8" a="1"/>
  <c r="AL256" i="8" a="1"/>
  <c r="AL258" i="8" a="1"/>
  <c r="AM260" i="8" a="1"/>
  <c r="AL262" i="8" a="1"/>
  <c r="AM264" i="8" a="1"/>
  <c r="AM269" i="8" a="1"/>
  <c r="AM272" i="8" a="1"/>
  <c r="AM274" i="8" a="1"/>
  <c r="AM277" i="8" a="1"/>
  <c r="AM280" i="8" a="1"/>
  <c r="AL282" i="8" a="1"/>
  <c r="AL284" i="8" a="1"/>
  <c r="AL286" i="8" a="1"/>
  <c r="AL289" i="8" a="1"/>
  <c r="AM291" i="8" a="1"/>
  <c r="AM293" i="8" a="1"/>
  <c r="AL296" i="8" a="1"/>
  <c r="AL298" i="8" a="1"/>
  <c r="AL300" i="8" a="1"/>
  <c r="AL302" i="8" a="1"/>
  <c r="AM304" i="8" a="1"/>
  <c r="AL306" i="8" a="1"/>
  <c r="AL308" i="8" a="1"/>
  <c r="AL310" i="8" a="1"/>
  <c r="AM312" i="8" a="1"/>
  <c r="AM314" i="8" a="1"/>
  <c r="AM316" i="8" a="1"/>
  <c r="AM318" i="8" a="1"/>
  <c r="AM320" i="8" a="1"/>
  <c r="AM324" i="8" a="1"/>
  <c r="AL326" i="8" a="1"/>
  <c r="AM328" i="8" a="1"/>
  <c r="AL330" i="8" a="1"/>
  <c r="AL332" i="8" a="1"/>
  <c r="AM334" i="8" a="1"/>
  <c r="AL336" i="8" a="1"/>
  <c r="AL337" i="8" a="1"/>
  <c r="AM339" i="8" a="1"/>
  <c r="AL341" i="8" a="1"/>
  <c r="AL343" i="8" a="1"/>
  <c r="AL345" i="8" a="1"/>
  <c r="AL349" i="8" a="1"/>
  <c r="AM353" i="8" a="1"/>
  <c r="AM355" i="8" a="1"/>
  <c r="AL357" i="8" a="1"/>
  <c r="AL360" i="8" a="1"/>
  <c r="AM362" i="8" a="1"/>
  <c r="AM364" i="8" a="1"/>
  <c r="AL367" i="8" a="1"/>
  <c r="AM373" i="8" a="1"/>
  <c r="AM375" i="8" a="1"/>
  <c r="AM376" i="8" a="1"/>
  <c r="AM378" i="8" a="1"/>
  <c r="AL380" i="8" a="1"/>
  <c r="AM383" i="8" a="1"/>
  <c r="AM386" i="8" a="1"/>
  <c r="AM390" i="8" a="1"/>
  <c r="AM392" i="8" a="1"/>
  <c r="AL394" i="8" a="1"/>
  <c r="AM397" i="8" a="1"/>
  <c r="AL399" i="8" a="1"/>
  <c r="AM402" i="8" a="1"/>
  <c r="AL404" i="8" a="1"/>
  <c r="AL408" i="8" a="1"/>
  <c r="AL410" i="8" a="1"/>
  <c r="AM411" i="8" a="1"/>
  <c r="AM413" i="8" a="1"/>
  <c r="AM415" i="8" a="1"/>
  <c r="AL420" i="8" a="1"/>
  <c r="AM424" i="8" a="1"/>
  <c r="AM426" i="8" a="1"/>
  <c r="AM429" i="8" a="1"/>
  <c r="AL431" i="8" a="1"/>
  <c r="AM433" i="8" a="1"/>
  <c r="AL435" i="8" a="1"/>
  <c r="AL438" i="8" a="1"/>
  <c r="AL440" i="8" a="1"/>
  <c r="AM443" i="8" a="1"/>
  <c r="AL445" i="8" a="1"/>
  <c r="AL448" i="8" a="1"/>
  <c r="AM451" i="8" a="1"/>
  <c r="AL453" i="8" a="1"/>
  <c r="AM456" i="8" a="1"/>
  <c r="AL458" i="8" a="1"/>
  <c r="AM461" i="8" a="1"/>
  <c r="AL463" i="8" a="1"/>
  <c r="AM466" i="8" a="1"/>
  <c r="AM468" i="8" a="1"/>
  <c r="AL470" i="8" a="1"/>
  <c r="AL473" i="8" a="1"/>
  <c r="AM476" i="8" a="1"/>
  <c r="AM478" i="8" a="1"/>
  <c r="AM480" i="8" a="1"/>
  <c r="AM483" i="8" a="1"/>
  <c r="AM485" i="8" a="1"/>
  <c r="AL487" i="8" a="1"/>
  <c r="AM488" i="8" a="1"/>
  <c r="AM490" i="8" a="1"/>
  <c r="AL495" i="8" a="1"/>
  <c r="AL497" i="8" a="1"/>
  <c r="AL500" i="8" a="1"/>
  <c r="AL502" i="8" a="1"/>
  <c r="AM503" i="8" a="1"/>
  <c r="AM505" i="8" a="1"/>
  <c r="AL507" i="8" a="1"/>
  <c r="AM510" i="8" a="1"/>
  <c r="AL512" i="8" a="1"/>
  <c r="AL514" i="8" a="1"/>
  <c r="AM517" i="8" a="1"/>
  <c r="AL519" i="8" a="1"/>
  <c r="AL522" i="8" a="1"/>
  <c r="AL525" i="8" a="1"/>
  <c r="AL528" i="8" a="1"/>
  <c r="AM530" i="8" a="1"/>
  <c r="AL532" i="8" a="1"/>
  <c r="AL534" i="8" a="1"/>
  <c r="AL536" i="8" a="1"/>
  <c r="AL539" i="8" a="1"/>
  <c r="AL541" i="8" a="1"/>
  <c r="AL542" i="8" a="1"/>
  <c r="AM543" i="8" a="1"/>
  <c r="AL545" i="8" a="1"/>
  <c r="AL548" i="8" a="1"/>
  <c r="AM550" i="8" a="1"/>
  <c r="AL552" i="8" a="1"/>
  <c r="AL554" i="8" a="1"/>
  <c r="AM555" i="8" a="1"/>
  <c r="AM558" i="8" a="1"/>
  <c r="AL561" i="8" a="1"/>
  <c r="AL564" i="8" a="1"/>
  <c r="AL566" i="8" a="1"/>
  <c r="AM568" i="8" a="1"/>
  <c r="AM569" i="8" a="1"/>
  <c r="AL571" i="8" a="1"/>
  <c r="AL573" i="8" a="1"/>
  <c r="AL578" i="8" a="1"/>
  <c r="AM579" i="8" a="1"/>
  <c r="AL581" i="8" a="1"/>
  <c r="AL584" i="8" a="1"/>
  <c r="AM585" i="8" a="1"/>
  <c r="AL587" i="8" a="1"/>
  <c r="AM589" i="8" a="1"/>
  <c r="AL590" i="8" a="1"/>
  <c r="AL591" i="8" a="1"/>
  <c r="AL593" i="8" a="1"/>
  <c r="AL596" i="8" a="1"/>
  <c r="AM598" i="8" a="1"/>
  <c r="AL600" i="8" a="1"/>
  <c r="AM602" i="8" a="1"/>
  <c r="AL604" i="8" a="1"/>
  <c r="AM606" i="8" a="1"/>
  <c r="AL608" i="8" a="1"/>
  <c r="AL610" i="8" a="1"/>
  <c r="AM611" i="8" a="1"/>
  <c r="AM613" i="8" a="1"/>
  <c r="AM614" i="8" a="1"/>
  <c r="AL616" i="8" a="1"/>
  <c r="AM618" i="8" a="1"/>
  <c r="AL620" i="8" a="1"/>
  <c r="AM622" i="8" a="1"/>
  <c r="AL624" i="8" a="1"/>
  <c r="AL627" i="8" a="1"/>
  <c r="AL629" i="8" a="1"/>
  <c r="AM630" i="8" a="1"/>
  <c r="AM631" i="8" a="1"/>
  <c r="AL632" i="8" a="1"/>
  <c r="AL633" i="8" a="1"/>
  <c r="AL636" i="8" a="1"/>
  <c r="AL637" i="8" a="1"/>
  <c r="AM639" i="8" a="1"/>
  <c r="AL640" i="8" a="1"/>
  <c r="AL641" i="8" a="1"/>
  <c r="AL650" i="8" a="1"/>
  <c r="AM658" i="8" a="1"/>
  <c r="AM660" i="8" a="1"/>
  <c r="AL662" i="8" a="1"/>
  <c r="AM664" i="8" a="1"/>
  <c r="AM665" i="8" a="1"/>
  <c r="AL667" i="8" a="1"/>
  <c r="AL669" i="8" a="1"/>
  <c r="AL673" i="8" a="1"/>
  <c r="AM676" i="8" a="1"/>
  <c r="AM678" i="8" a="1"/>
  <c r="AL680" i="8" a="1"/>
  <c r="AM684" i="8" a="1"/>
  <c r="AM686" i="8" a="1"/>
  <c r="AM688" i="8" a="1"/>
  <c r="AM689" i="8" a="1"/>
  <c r="AM691" i="8" a="1"/>
  <c r="AL695" i="8" a="1"/>
  <c r="AL697" i="8" a="1"/>
  <c r="AM700" i="8" a="1"/>
  <c r="AM702" i="8" a="1"/>
  <c r="AM703" i="8" a="1"/>
  <c r="AL706" i="8" a="1"/>
  <c r="AL709" i="8" a="1"/>
  <c r="AM712" i="8" a="1"/>
  <c r="AL714" i="8" a="1"/>
  <c r="AM717" i="8" a="1"/>
  <c r="AL719" i="8" a="1"/>
  <c r="AL724" i="8" a="1"/>
  <c r="AL727" i="8" a="1"/>
  <c r="AM730" i="8" a="1"/>
  <c r="AM732" i="8" a="1"/>
  <c r="AM734" i="8" a="1"/>
  <c r="AL736" i="8" a="1"/>
  <c r="AM739" i="8" a="1"/>
  <c r="AM741" i="8" a="1"/>
  <c r="AM743" i="8" a="1"/>
  <c r="AM744" i="8" a="1"/>
  <c r="AM746" i="8" a="1"/>
  <c r="AL748" i="8" a="1"/>
  <c r="AM751" i="8" a="1"/>
  <c r="AL753" i="8" a="1"/>
  <c r="AM756" i="8" a="1"/>
  <c r="AL758" i="8" a="1"/>
  <c r="AM761" i="8" a="1"/>
  <c r="AL763" i="8" a="1"/>
  <c r="AM766" i="8" a="1"/>
  <c r="AM768" i="8" a="1"/>
  <c r="AM769" i="8" a="1"/>
  <c r="AL771" i="8" a="1"/>
  <c r="AM774" i="8" a="1"/>
  <c r="AL776" i="8" a="1"/>
  <c r="AM780" i="8" a="1"/>
  <c r="AM782" i="8" a="1"/>
  <c r="AM784" i="8" a="1"/>
  <c r="AL786" i="8" a="1"/>
  <c r="AM789" i="8" a="1"/>
  <c r="AL791" i="8" a="1"/>
  <c r="AM794" i="8" a="1"/>
  <c r="AL797" i="8" a="1"/>
  <c r="AM799" i="8" a="1"/>
  <c r="AL801" i="8" a="1"/>
  <c r="AM804" i="8" a="1"/>
  <c r="AM807" i="8" a="1"/>
  <c r="AM809" i="8" a="1"/>
  <c r="AL811" i="8" a="1"/>
  <c r="AL814" i="8" a="1"/>
  <c r="AM817" i="8" a="1"/>
  <c r="AM818" i="8" a="1"/>
  <c r="AL821" i="8" a="1"/>
  <c r="AM824" i="8" a="1"/>
  <c r="AL826" i="8" a="1"/>
  <c r="AM829" i="8" a="1"/>
  <c r="AL831" i="8" a="1"/>
  <c r="AM834" i="8" a="1"/>
  <c r="AL836" i="8" a="1"/>
  <c r="AM839" i="8" a="1"/>
  <c r="AL841" i="8" a="1"/>
  <c r="AM844" i="8" a="1"/>
  <c r="AL846" i="8" a="1"/>
  <c r="AL849" i="8" a="1"/>
  <c r="AL851" i="8" a="1"/>
  <c r="AM854" i="8" a="1"/>
  <c r="AL857" i="8" a="1"/>
  <c r="AM860" i="8" a="1"/>
  <c r="AL862" i="8" a="1"/>
  <c r="AL865" i="8" a="1"/>
  <c r="AM868" i="8" a="1"/>
  <c r="AM870" i="8" a="1"/>
  <c r="AL872" i="8" a="1"/>
  <c r="AM875" i="8" a="1"/>
  <c r="AM877" i="8" a="1"/>
  <c r="AM878" i="8" a="1"/>
  <c r="AL880" i="8" a="1"/>
  <c r="AM883" i="8" a="1"/>
  <c r="AL889" i="8" a="1"/>
  <c r="AM892" i="8" a="1"/>
  <c r="AL894" i="8" a="1"/>
  <c r="AL899" i="8" a="1"/>
  <c r="AL902" i="8" a="1"/>
  <c r="AM905" i="8" a="1"/>
  <c r="AL907" i="8" a="1"/>
  <c r="AL911" i="8" a="1"/>
  <c r="AL914" i="8" a="1"/>
  <c r="AL917" i="8" a="1"/>
  <c r="AM925" i="8" a="1"/>
  <c r="AL927" i="8" a="1"/>
  <c r="AL930" i="8" a="1"/>
  <c r="AM932" i="8" a="1"/>
  <c r="AM934" i="8" a="1"/>
  <c r="AM935" i="8" a="1"/>
  <c r="AM937" i="8" a="1"/>
  <c r="AL939" i="8" a="1"/>
  <c r="AM942" i="8" a="1"/>
  <c r="AL944" i="8" a="1"/>
  <c r="AM947" i="8" a="1"/>
  <c r="AM948" i="8" a="1"/>
  <c r="AL951" i="8" a="1"/>
  <c r="AL955" i="8" a="1"/>
  <c r="AM960" i="8" a="1"/>
  <c r="AM964" i="8" a="1"/>
  <c r="AL966" i="8" a="1"/>
  <c r="AM969" i="8" a="1"/>
  <c r="AL971" i="8" a="1"/>
  <c r="AM973" i="8" a="1"/>
  <c r="AL976" i="8" a="1"/>
  <c r="AM979" i="8" a="1"/>
  <c r="AL981" i="8" a="1"/>
  <c r="AM984" i="8" a="1"/>
  <c r="AM985" i="8" a="1"/>
  <c r="AL987" i="8" a="1"/>
  <c r="AM990" i="8" a="1"/>
  <c r="AL992" i="8" a="1"/>
  <c r="AM995" i="8" a="1"/>
  <c r="AM997" i="8" a="1"/>
  <c r="AL999" i="8" a="1"/>
  <c r="AM1002" i="8" a="1"/>
  <c r="AL1004" i="8" a="1"/>
  <c r="AM1007" i="8" a="1"/>
  <c r="AM1011" i="8" a="1"/>
  <c r="AL1013" i="8" a="1"/>
  <c r="AM1016" i="8" a="1"/>
  <c r="AL1018" i="8" a="1"/>
  <c r="AL1022" i="8" a="1"/>
  <c r="AM1025" i="8" a="1"/>
  <c r="AL1027" i="8" a="1"/>
  <c r="AL1031" i="8" a="1"/>
  <c r="AM1034" i="8" a="1"/>
  <c r="AL1037" i="8" a="1"/>
  <c r="AL1041" i="8" a="1"/>
  <c r="AL1044" i="8" a="1"/>
  <c r="AL1047" i="8" a="1"/>
  <c r="AL1050" i="8" a="1"/>
  <c r="AL1053" i="8" a="1"/>
  <c r="AM1056" i="8" a="1"/>
  <c r="AL1058" i="8" a="1"/>
  <c r="AL1062" i="8" a="1"/>
  <c r="AM1065" i="8" a="1"/>
  <c r="AM1066" i="8" a="1"/>
  <c r="AL1068" i="8" a="1"/>
  <c r="AL1072" i="8" a="1"/>
  <c r="AL1076" i="8" a="1"/>
  <c r="AL1081" i="8" a="1"/>
  <c r="AM1084" i="8" a="1"/>
  <c r="AL1086" i="8" a="1"/>
  <c r="AM1089" i="8" a="1"/>
  <c r="AM1090" i="8" a="1"/>
  <c r="AL1093" i="8" a="1"/>
  <c r="AM1096" i="8" a="1"/>
  <c r="AL1098" i="8" a="1"/>
  <c r="AM1102" i="8" a="1"/>
  <c r="AL1104" i="8" a="1"/>
  <c r="AL1107" i="8" a="1"/>
  <c r="AL1111" i="8" a="1"/>
  <c r="AM1117" i="8" a="1"/>
  <c r="AL1119" i="8" a="1"/>
  <c r="AM1122" i="8" a="1"/>
  <c r="AL1124" i="8" a="1"/>
  <c r="AM1127" i="8" a="1"/>
  <c r="AL1129" i="8" a="1"/>
  <c r="AM1132" i="8" a="1"/>
  <c r="AM1136" i="8" a="1"/>
  <c r="AM1138" i="8" a="1"/>
  <c r="AL1140" i="8" a="1"/>
  <c r="AM1143" i="8" a="1"/>
  <c r="AL1145" i="8" a="1"/>
  <c r="AL1149" i="8" a="1"/>
  <c r="AM1153" i="8" a="1"/>
  <c r="AM1155" i="8" a="1"/>
  <c r="AM1156" i="8" a="1"/>
  <c r="AL1158" i="8" a="1"/>
  <c r="AL1162" i="8" a="1"/>
  <c r="AM1165" i="8" a="1"/>
  <c r="AL1167" i="8" a="1"/>
  <c r="AM1171" i="8" a="1"/>
  <c r="AL1173" i="8" a="1"/>
  <c r="AL1177" i="8" a="1"/>
  <c r="AL1181" i="8" a="1"/>
  <c r="AM1184" i="8" a="1"/>
  <c r="AL1186" i="8" a="1"/>
  <c r="AM1189" i="8" a="1"/>
  <c r="AL1191" i="8" a="1"/>
  <c r="AL1195" i="8" a="1"/>
  <c r="AM1199" i="8" a="1"/>
  <c r="AM1200" i="8" a="1"/>
  <c r="AL1202" i="8" a="1"/>
  <c r="AL1206" i="8" a="1"/>
  <c r="AM1209" i="8" a="1"/>
  <c r="AM1221" i="8" a="1"/>
  <c r="AL1226" i="8" a="1"/>
  <c r="AL1230" i="8" a="1"/>
  <c r="AL1234" i="8" a="1"/>
  <c r="AM1238" i="8" a="1"/>
  <c r="AL1240" i="8" a="1"/>
  <c r="AM1244" i="8" a="1"/>
  <c r="AM1248" i="8" a="1"/>
  <c r="AL1250" i="8" a="1"/>
  <c r="AL1255" i="8" a="1"/>
  <c r="AL1259" i="8" a="1"/>
  <c r="AL1263" i="8" a="1"/>
  <c r="AL1267" i="8" a="1"/>
  <c r="AM1272" i="8" a="1"/>
  <c r="AL1274" i="8" a="1"/>
  <c r="AL1278" i="8" a="1"/>
  <c r="AM1288" i="8" a="1"/>
  <c r="AL1290" i="8" a="1"/>
  <c r="AL1294" i="8" a="1"/>
  <c r="AL1299" i="8" a="1"/>
  <c r="AL1303" i="8" a="1"/>
  <c r="AM1306" i="8" a="1"/>
  <c r="AL1308" i="8" a="1"/>
  <c r="AL1312" i="8" a="1"/>
  <c r="AL1316" i="8" a="1"/>
  <c r="AM1319" i="8" a="1"/>
  <c r="AM1321" i="8" a="1"/>
  <c r="AM1323" i="8" a="1"/>
  <c r="AM1324" i="8" a="1"/>
  <c r="AL1326" i="8" a="1"/>
  <c r="AL1330" i="8" a="1"/>
  <c r="AM1334" i="8" a="1"/>
  <c r="AM1335" i="8" a="1"/>
  <c r="AL1337" i="8" a="1"/>
  <c r="AM1341" i="8" a="1"/>
  <c r="AM1343" i="8" a="1"/>
  <c r="AM1348" i="8" a="1"/>
  <c r="AL1350" i="8" a="1"/>
  <c r="AM1353" i="8" a="1"/>
  <c r="AL1358" i="8" a="1"/>
  <c r="AM1361" i="8" a="1"/>
  <c r="AL1363" i="8" a="1"/>
  <c r="AL1374" i="8" a="1"/>
  <c r="AL1379" i="8" a="1"/>
  <c r="AL1383" i="8" a="1"/>
  <c r="AL1387" i="8" a="1"/>
  <c r="AL1394" i="8" a="1"/>
  <c r="AM1397" i="8" a="1"/>
  <c r="AL1399" i="8" a="1"/>
  <c r="AM1403" i="8" a="1"/>
  <c r="AM1405" i="8" a="1"/>
  <c r="AM1406" i="8" a="1"/>
  <c r="AM1407" i="8" a="1"/>
  <c r="AL1409" i="8" a="1"/>
  <c r="AM1412" i="8" a="1"/>
  <c r="AM1413" i="8" a="1"/>
  <c r="AL1415" i="8" a="1"/>
  <c r="AM1418" i="8" a="1"/>
  <c r="AL1420" i="8" a="1"/>
  <c r="AM1423" i="8" a="1"/>
  <c r="AM1425" i="8" a="1"/>
  <c r="AM1426" i="8" a="1"/>
  <c r="AL1428" i="8" a="1"/>
  <c r="AM1432" i="8" a="1"/>
  <c r="AL1434" i="8" a="1"/>
  <c r="AL1438" i="8" a="1"/>
  <c r="AL1443" i="8" a="1"/>
  <c r="AM1447" i="8" a="1"/>
  <c r="AL1449" i="8" a="1"/>
  <c r="AM1453" i="8" a="1"/>
  <c r="AM1455" i="8" a="1"/>
  <c r="AL1457" i="8" a="1"/>
  <c r="AM1461" i="8" a="1"/>
  <c r="AL1463" i="8" a="1"/>
  <c r="AM1469" i="8" a="1"/>
  <c r="AM1471" i="8" a="1"/>
  <c r="AM1472" i="8" a="1"/>
  <c r="AM1474" i="8" a="1"/>
  <c r="AM1475" i="8" a="1"/>
  <c r="AL1489" i="8" a="1"/>
  <c r="AL1494" i="8" a="1"/>
  <c r="AL1503" i="8" a="1"/>
  <c r="AM1507" i="8" a="1"/>
  <c r="AM1509" i="8" a="1"/>
  <c r="AL1511" i="8" a="1"/>
  <c r="AM1515" i="8" a="1"/>
  <c r="AM1523" i="8" a="1"/>
  <c r="AL1525" i="8" a="1"/>
  <c r="AL1530" i="8" a="1"/>
  <c r="AM1533" i="8" a="1"/>
  <c r="AL1536" i="8" a="1"/>
  <c r="AM1540" i="8" a="1"/>
  <c r="AM1543" i="8" a="1"/>
  <c r="AM1545" i="8" a="1"/>
  <c r="AL1547" i="8" a="1"/>
  <c r="AL1552" i="8" a="1"/>
  <c r="AM1556" i="8" a="1"/>
  <c r="AM1557" i="8" a="1"/>
  <c r="AL1559" i="8" a="1"/>
  <c r="AM1563" i="8" a="1"/>
  <c r="AL1572" i="8" a="1"/>
  <c r="AM1579" i="8" a="1"/>
  <c r="AL1581" i="8" a="1"/>
  <c r="AL1586" i="8" a="1"/>
  <c r="AL1595" i="8" a="1"/>
  <c r="AL1600" i="8" a="1"/>
  <c r="AL1608" i="8" a="1"/>
  <c r="AL1612" i="8" a="1"/>
  <c r="AL1618" i="8" a="1"/>
  <c r="AM1627" i="8" a="1"/>
  <c r="AM1629" i="8" a="1"/>
  <c r="AM1631" i="8" a="1"/>
  <c r="AM1633" i="8" a="1"/>
  <c r="AM1635" i="8" a="1"/>
  <c r="AL1655" i="8" a="1"/>
  <c r="AL1685" i="8" a="1"/>
  <c r="AM1692" i="8" a="1"/>
  <c r="AL1700" i="8" a="1"/>
  <c r="AL1712" i="8" a="1"/>
  <c r="AL1785" i="8" a="1"/>
  <c r="AL1805" i="8" a="1"/>
  <c r="AL1818" i="8" a="1"/>
  <c r="AL1837" i="8" a="1"/>
  <c r="AM5" i="8" a="1"/>
  <c r="AL8" i="8" a="1"/>
  <c r="AN8" i="8" s="1"/>
  <c r="AM139" i="8" a="1"/>
  <c r="AM142" i="8" a="1"/>
  <c r="AM144" i="8" a="1"/>
  <c r="AM146" i="8" a="1"/>
  <c r="AL148" i="8" a="1"/>
  <c r="AL150" i="8" a="1"/>
  <c r="AM152" i="8" a="1"/>
  <c r="AM154" i="8" a="1"/>
  <c r="AL156" i="8" a="1"/>
  <c r="AM158" i="8" a="1"/>
  <c r="AL160" i="8" a="1"/>
  <c r="AM162" i="8" a="1"/>
  <c r="AM164" i="8" a="1"/>
  <c r="AM166" i="8" a="1"/>
  <c r="AL169" i="8" a="1"/>
  <c r="AM171" i="8" a="1"/>
  <c r="AM173" i="8" a="1"/>
  <c r="AM175" i="8" a="1"/>
  <c r="AL178" i="8" a="1"/>
  <c r="AL181" i="8" a="1"/>
  <c r="AM183" i="8" a="1"/>
  <c r="AM186" i="8" a="1"/>
  <c r="AM189" i="8" a="1"/>
  <c r="AL192" i="8" a="1"/>
  <c r="AM194" i="8" a="1"/>
  <c r="AL197" i="8" a="1"/>
  <c r="AM199" i="8" a="1"/>
  <c r="AL201" i="8" a="1"/>
  <c r="AM203" i="8" a="1"/>
  <c r="AL206" i="8" a="1"/>
  <c r="AM208" i="8" a="1"/>
  <c r="AM210" i="8" a="1"/>
  <c r="AM212" i="8" a="1"/>
  <c r="AM214" i="8" a="1"/>
  <c r="AL218" i="8" a="1"/>
  <c r="AL221" i="8" a="1"/>
  <c r="AM225" i="8" a="1"/>
  <c r="AL228" i="8" a="1"/>
  <c r="AL230" i="8" a="1"/>
  <c r="AM232" i="8" a="1"/>
  <c r="AM236" i="8" a="1"/>
  <c r="AM238" i="8" a="1"/>
  <c r="AL240" i="8" a="1"/>
  <c r="AM242" i="8" a="1"/>
  <c r="AM244" i="8" a="1"/>
  <c r="AM247" i="8" a="1"/>
  <c r="AM249" i="8" a="1"/>
  <c r="AL253" i="8" a="1"/>
  <c r="AL255" i="8" a="1"/>
  <c r="AM257" i="8" a="1"/>
  <c r="AL259" i="8" a="1"/>
  <c r="AL261" i="8" a="1"/>
  <c r="AM263" i="8" a="1"/>
  <c r="AL265" i="8" a="1"/>
  <c r="AL267" i="8" a="1"/>
  <c r="AL269" i="8" a="1"/>
  <c r="AM271" i="8" a="1"/>
  <c r="AL273" i="8" a="1"/>
  <c r="AM275" i="8" a="1"/>
  <c r="AL277" i="8" a="1"/>
  <c r="AL279" i="8" a="1"/>
  <c r="AM282" i="8" a="1"/>
  <c r="AM284" i="8" a="1"/>
  <c r="AM286" i="8" a="1"/>
  <c r="AM288" i="8" a="1"/>
  <c r="AM290" i="8" a="1"/>
  <c r="AL292" i="8" a="1"/>
  <c r="AL295" i="8" a="1"/>
  <c r="AL299" i="8" a="1"/>
  <c r="AL301" i="8" a="1"/>
  <c r="AL303" i="8" a="1"/>
  <c r="AL305" i="8" a="1"/>
  <c r="AL309" i="8" a="1"/>
  <c r="AL312" i="8" a="1"/>
  <c r="AL315" i="8" a="1"/>
  <c r="AL317" i="8" a="1"/>
  <c r="AL319" i="8" a="1"/>
  <c r="AL321" i="8" a="1"/>
  <c r="AL323" i="8" a="1"/>
  <c r="AL325" i="8" a="1"/>
  <c r="AL327" i="8" a="1"/>
  <c r="AM329" i="8" a="1"/>
  <c r="AM331" i="8" a="1"/>
  <c r="AM333" i="8" a="1"/>
  <c r="AL334" i="8" a="1"/>
  <c r="AM335" i="8" a="1"/>
  <c r="AM337" i="8" a="1"/>
  <c r="AM343" i="8" a="1"/>
  <c r="AL346" i="8" a="1"/>
  <c r="AM350" i="8" a="1"/>
  <c r="AL353" i="8" a="1"/>
  <c r="AL355" i="8" a="1"/>
  <c r="AL359" i="8" a="1"/>
  <c r="AL364" i="8" a="1"/>
  <c r="AM366" i="8" a="1"/>
  <c r="AM368" i="8" a="1"/>
  <c r="AM369" i="8" a="1"/>
  <c r="AM371" i="8" a="1"/>
  <c r="AL374" i="8" a="1"/>
  <c r="AM379" i="8" a="1"/>
  <c r="AM381" i="8" a="1"/>
  <c r="AL385" i="8" a="1"/>
  <c r="AL387" i="8" a="1"/>
  <c r="AL389" i="8" a="1"/>
  <c r="AL392" i="8" a="1"/>
  <c r="AM396" i="8" a="1"/>
  <c r="AL398" i="8" a="1"/>
  <c r="AL400" i="8" a="1"/>
  <c r="AM404" i="8" a="1"/>
  <c r="AL407" i="8" a="1"/>
  <c r="AM408" i="8" a="1"/>
  <c r="AL414" i="8" a="1"/>
  <c r="AL417" i="8" a="1"/>
  <c r="AM420" i="8" a="1"/>
  <c r="AL422" i="8" a="1"/>
  <c r="AL425" i="8" a="1"/>
  <c r="AM428" i="8" a="1"/>
  <c r="AL430" i="8" a="1"/>
  <c r="AM434" i="8" a="1"/>
  <c r="AL436" i="8" a="1"/>
  <c r="AM440" i="8" a="1"/>
  <c r="AL442" i="8" a="1"/>
  <c r="AM445" i="8" a="1"/>
  <c r="AL447" i="8" a="1"/>
  <c r="AM450" i="8" a="1"/>
  <c r="AM452" i="8" a="1"/>
  <c r="AM455" i="8" a="1"/>
  <c r="AL457" i="8" a="1"/>
  <c r="AL460" i="8" a="1"/>
  <c r="AM463" i="8" a="1"/>
  <c r="AL465" i="8" a="1"/>
  <c r="AL467" i="8" a="1"/>
  <c r="AM470" i="8" a="1"/>
  <c r="AL472" i="8" a="1"/>
  <c r="AL475" i="8" a="1"/>
  <c r="AL478" i="8" a="1"/>
  <c r="AL480" i="8" a="1"/>
  <c r="AM481" i="8" a="1"/>
  <c r="AL484" i="8" a="1"/>
  <c r="AL488" i="8" a="1"/>
  <c r="AL491" i="8" a="1"/>
  <c r="AM493" i="8" a="1"/>
  <c r="AL498" i="8" a="1"/>
  <c r="AM500" i="8" a="1"/>
  <c r="AM502" i="8" a="1"/>
  <c r="AM507" i="8" a="1"/>
  <c r="AM509" i="8" a="1"/>
  <c r="AM513" i="8" a="1"/>
  <c r="AL515" i="8" a="1"/>
  <c r="AL517" i="8" a="1"/>
  <c r="AM521" i="8" a="1"/>
  <c r="AM523" i="8" a="1"/>
  <c r="AL527" i="8" a="1"/>
  <c r="AL531" i="8" a="1"/>
  <c r="AM534" i="8" a="1"/>
  <c r="AL535" i="8" a="1"/>
  <c r="AL537" i="8" a="1"/>
  <c r="AM539" i="8" a="1"/>
  <c r="AM540" i="8" a="1"/>
  <c r="AM541" i="8" a="1"/>
  <c r="AL544" i="8" a="1"/>
  <c r="AL546" i="8" a="1"/>
  <c r="AM548" i="8" a="1"/>
  <c r="AM549" i="8" a="1"/>
  <c r="AL551" i="8" a="1"/>
  <c r="AL553" i="8" a="1"/>
  <c r="AM554" i="8" a="1"/>
  <c r="AL557" i="8" a="1"/>
  <c r="AL559" i="8" a="1"/>
  <c r="AM561" i="8" a="1"/>
  <c r="AL563" i="8" a="1"/>
  <c r="AL565" i="8" a="1"/>
  <c r="AM566" i="8" a="1"/>
  <c r="AL568" i="8" a="1"/>
  <c r="AM570" i="8" a="1"/>
  <c r="AL572" i="8" a="1"/>
  <c r="AM574" i="8" a="1"/>
  <c r="AM575" i="8" a="1"/>
  <c r="AM576" i="8" a="1"/>
  <c r="AL579" i="8" a="1"/>
  <c r="AM580" i="8" a="1"/>
  <c r="AM582" i="8" a="1"/>
  <c r="AM583" i="8" a="1"/>
  <c r="AM584" i="8" a="1"/>
  <c r="AL585" i="8" a="1"/>
  <c r="AL588" i="8" a="1"/>
  <c r="AM590" i="8" a="1"/>
  <c r="AM591" i="8" a="1"/>
  <c r="AM593" i="8" a="1"/>
  <c r="AM594" i="8" a="1"/>
  <c r="AM595" i="8" a="1"/>
  <c r="AL597" i="8" a="1"/>
  <c r="AM599" i="8" a="1"/>
  <c r="AM600" i="8" a="1"/>
  <c r="AL602" i="8" a="1"/>
  <c r="AM604" i="8" a="1"/>
  <c r="AL606" i="8" a="1"/>
  <c r="AM608" i="8" a="1"/>
  <c r="AL609" i="8" a="1"/>
  <c r="AM610" i="8" a="1"/>
  <c r="AL612" i="8" a="1"/>
  <c r="AL615" i="8" a="1"/>
  <c r="AM617" i="8" a="1"/>
  <c r="AL619" i="8" a="1"/>
  <c r="AM621" i="8" a="1"/>
  <c r="AM623" i="8" a="1"/>
  <c r="AM625" i="8" a="1"/>
  <c r="AM626" i="8" a="1"/>
  <c r="AM627" i="8" a="1"/>
  <c r="AM628" i="8" a="1"/>
  <c r="AL630" i="8" a="1"/>
  <c r="AM650" i="8" a="1"/>
  <c r="AL652" i="8" a="1"/>
  <c r="AM653" i="8" a="1"/>
  <c r="AL656" i="8" a="1"/>
  <c r="AM661" i="8" a="1"/>
  <c r="AM663" i="8" a="1"/>
  <c r="AL665" i="8" a="1"/>
  <c r="AM668" i="8" a="1"/>
  <c r="AM670" i="8" a="1"/>
  <c r="AL672" i="8" a="1"/>
  <c r="AM675" i="8" a="1"/>
  <c r="AL677" i="8" a="1"/>
  <c r="AM680" i="8" a="1"/>
  <c r="AL683" i="8" a="1"/>
  <c r="AL687" i="8" a="1"/>
  <c r="AM690" i="8" a="1"/>
  <c r="AM692" i="8" a="1"/>
  <c r="AM693" i="8" a="1"/>
  <c r="AM696" i="8" a="1"/>
  <c r="AL699" i="8" a="1"/>
  <c r="AL702" i="8" a="1"/>
  <c r="AM705" i="8" a="1"/>
  <c r="AL707" i="8" a="1"/>
  <c r="AL710" i="8" a="1"/>
  <c r="AL712" i="8" a="1"/>
  <c r="AM715" i="8" a="1"/>
  <c r="AL717" i="8" a="1"/>
  <c r="AL720" i="8" a="1"/>
  <c r="AM721" i="8" a="1"/>
  <c r="AM723" i="8" a="1"/>
  <c r="AM725" i="8" a="1"/>
  <c r="AM726" i="8" a="1"/>
  <c r="AL729" i="8" a="1"/>
  <c r="AL732" i="8" a="1"/>
  <c r="AL735" i="8" a="1"/>
  <c r="AM740" i="8" a="1"/>
  <c r="AL743" i="8" a="1"/>
  <c r="AL746" i="8" a="1"/>
  <c r="AM749" i="8" a="1"/>
  <c r="AL751" i="8" a="1"/>
  <c r="AL754" i="8" a="1"/>
  <c r="AM757" i="8" a="1"/>
  <c r="AM759" i="8" a="1"/>
  <c r="AL761" i="8" a="1"/>
  <c r="AM764" i="8" a="1"/>
  <c r="AL766" i="8" a="1"/>
  <c r="AL770" i="8" a="1"/>
  <c r="AM773" i="8" a="1"/>
  <c r="AL775" i="8" a="1"/>
  <c r="AL778" i="8" a="1"/>
  <c r="AM779" i="8" a="1"/>
  <c r="AM781" i="8" a="1"/>
  <c r="AL783" i="8" a="1"/>
  <c r="AM786" i="8" a="1"/>
  <c r="AM788" i="8" a="1"/>
  <c r="AL790" i="8" a="1"/>
  <c r="AL793" i="8" a="1"/>
  <c r="AL796" i="8" a="1"/>
  <c r="AM797" i="8" a="1"/>
  <c r="AL800" i="8" a="1"/>
  <c r="AM803" i="8" a="1"/>
  <c r="AL805" i="8" a="1"/>
  <c r="AM808" i="8" a="1"/>
  <c r="AL810" i="8" a="1"/>
  <c r="AM813" i="8" a="1"/>
  <c r="AL815" i="8" a="1"/>
  <c r="AL818" i="8" a="1"/>
  <c r="AL819" i="8" a="1"/>
  <c r="AL823" i="8" a="1"/>
  <c r="AM826" i="8" a="1"/>
  <c r="AL828" i="8" a="1"/>
  <c r="AM831" i="8" a="1"/>
  <c r="AL833" i="8" a="1"/>
  <c r="AM836" i="8" a="1"/>
  <c r="AL838" i="8" a="1"/>
  <c r="AM841" i="8" a="1"/>
  <c r="AM842" i="8" a="1"/>
  <c r="AL844" i="8" a="1"/>
  <c r="AM847" i="8" a="1"/>
  <c r="AM850" i="8" a="1"/>
  <c r="AL853" i="8" a="1"/>
  <c r="AL856" i="8" a="1"/>
  <c r="AM859" i="8" a="1"/>
  <c r="AL861" i="8" a="1"/>
  <c r="AM864" i="8" a="1"/>
  <c r="AL866" i="8" a="1"/>
  <c r="AM869" i="8" a="1"/>
  <c r="AL871" i="8" a="1"/>
  <c r="AL875" i="8" a="1"/>
  <c r="AL878" i="8" a="1"/>
  <c r="AM881" i="8" a="1"/>
  <c r="AL883" i="8" a="1"/>
  <c r="AL886" i="8" a="1"/>
  <c r="AM889" i="8" a="1"/>
  <c r="AM890" i="8" a="1"/>
  <c r="AL892" i="8" a="1"/>
  <c r="AM895" i="8" a="1"/>
  <c r="AL901" i="8" a="1"/>
  <c r="AM904" i="8" a="1"/>
  <c r="AL906" i="8" a="1"/>
  <c r="AM910" i="8" a="1"/>
  <c r="AM911" i="8" a="1"/>
  <c r="AM912" i="8" a="1"/>
  <c r="AM914" i="8" a="1"/>
  <c r="AM917" i="8" a="1"/>
  <c r="AM919" i="8" a="1"/>
  <c r="AM920" i="8" a="1"/>
  <c r="AL923" i="8" a="1"/>
  <c r="AL926" i="8" a="1"/>
  <c r="AL929" i="8" a="1"/>
  <c r="AM930" i="8" a="1"/>
  <c r="AL937" i="8" a="1"/>
  <c r="AM940" i="8" a="1"/>
  <c r="AM941" i="8" a="1"/>
  <c r="AL943" i="8" a="1"/>
  <c r="AL947" i="8" a="1"/>
  <c r="AL950" i="8" a="1"/>
  <c r="AL954" i="8" a="1"/>
  <c r="AM957" i="8" a="1"/>
  <c r="AL959" i="8" a="1"/>
  <c r="AL961" i="8" a="1"/>
  <c r="AM965" i="8" a="1"/>
  <c r="AM966" i="8" a="1"/>
  <c r="AM968" i="8" a="1"/>
  <c r="AL970" i="8" a="1"/>
  <c r="AL973" i="8" a="1"/>
  <c r="AM976" i="8" a="1"/>
  <c r="AM977" i="8" a="1"/>
  <c r="AL979" i="8" a="1"/>
  <c r="AM982" i="8" a="1"/>
  <c r="AL984" i="8" a="1"/>
  <c r="AM987" i="8" a="1"/>
  <c r="AL989" i="8" a="1"/>
  <c r="AM992" i="8" a="1"/>
  <c r="AL994" i="8" a="1"/>
  <c r="AL997" i="8" a="1"/>
  <c r="AM1000" i="8" a="1"/>
  <c r="AL1002" i="8" a="1"/>
  <c r="AM1005" i="8" a="1"/>
  <c r="AL1007" i="8" a="1"/>
  <c r="AL1011" i="8" a="1"/>
  <c r="AM1014" i="8" a="1"/>
  <c r="AL1016" i="8" a="1"/>
  <c r="AM1019" i="8" a="1"/>
  <c r="AM1021" i="8" a="1"/>
  <c r="AM1022" i="8" a="1"/>
  <c r="AM1023" i="8" a="1"/>
  <c r="AL1025" i="8" a="1"/>
  <c r="AM1028" i="8" a="1"/>
  <c r="AM1030" i="8" a="1"/>
  <c r="AM1032" i="8" a="1"/>
  <c r="AL1034" i="8" a="1"/>
  <c r="AM1042" i="8" a="1"/>
  <c r="AM1043" i="8" a="1"/>
  <c r="AM1044" i="8" a="1"/>
  <c r="AL1046" i="8" a="1"/>
  <c r="AM1048" i="8" a="1"/>
  <c r="AM1049" i="8" a="1"/>
  <c r="AL1051" i="8" a="1"/>
  <c r="AM1053" i="8" a="1"/>
  <c r="AM1055" i="8" a="1"/>
  <c r="AL1057" i="8" a="1"/>
  <c r="AM1060" i="8" a="1"/>
  <c r="AM1062" i="8" a="1"/>
  <c r="AM1063" i="8" a="1"/>
  <c r="AL1065" i="8" a="1"/>
  <c r="AM1068" i="8" a="1"/>
  <c r="AL1070" i="8" a="1"/>
  <c r="AM1073" i="8" a="1"/>
  <c r="AL1075" i="8" a="1"/>
  <c r="AM1078" i="8" a="1"/>
  <c r="AL1079" i="8" a="1"/>
  <c r="AL1082" i="8" a="1"/>
  <c r="AM1085" i="8" a="1"/>
  <c r="AL1087" i="8" a="1"/>
  <c r="AL1091" i="8" a="1"/>
  <c r="AM1093" i="8" a="1"/>
  <c r="AM1094" i="8" a="1"/>
  <c r="AL1096" i="8" a="1"/>
  <c r="AM1099" i="8" a="1"/>
  <c r="AM1100" i="8" a="1"/>
  <c r="AL1101" i="8" a="1"/>
  <c r="AL1108" i="8" a="1"/>
  <c r="AM1111" i="8" a="1"/>
  <c r="AM1113" i="8" a="1"/>
  <c r="AM1114" i="8" a="1"/>
  <c r="AM1116" i="8" a="1"/>
  <c r="AL1118" i="8" a="1"/>
  <c r="AM1121" i="8" a="1"/>
  <c r="AL1123" i="8" a="1"/>
  <c r="AL1127" i="8" a="1"/>
  <c r="AL1130" i="8" a="1"/>
  <c r="AM1133" i="8" a="1"/>
  <c r="AL1136" i="8" a="1"/>
  <c r="AM1139" i="8" a="1"/>
  <c r="AL1141" i="8" a="1"/>
  <c r="AM1144" i="8" a="1"/>
  <c r="AL1146" i="8" a="1"/>
  <c r="AM1150" i="8" a="1"/>
  <c r="AM1154" i="8" a="1"/>
  <c r="AL1156" i="8" a="1"/>
  <c r="AM1160" i="8" a="1"/>
  <c r="AM1161" i="8" a="1"/>
  <c r="AL1163" i="8" a="1"/>
  <c r="AM1166" i="8" a="1"/>
  <c r="AL1168" i="8" a="1"/>
  <c r="AL1172" i="8" a="1"/>
  <c r="AM1175" i="8" a="1"/>
  <c r="AM1176" i="8" a="1"/>
  <c r="AL1178" i="8" a="1"/>
  <c r="AM1181" i="8" a="1"/>
  <c r="AM1182" i="8" a="1"/>
  <c r="AM1183" i="8" a="1"/>
  <c r="AL1185" i="8" a="1"/>
  <c r="AM1188" i="8" a="1"/>
  <c r="AL1190" i="8" a="1"/>
  <c r="AM1193" i="8" a="1"/>
  <c r="AM1195" i="8" a="1"/>
  <c r="AL1198" i="8" a="1"/>
  <c r="AM1201" i="8" a="1"/>
  <c r="AM1202" i="8" a="1"/>
  <c r="AM1203" i="8" a="1"/>
  <c r="AL1205" i="8" a="1"/>
  <c r="AM1208" i="8" a="1"/>
  <c r="AL1210" i="8" a="1"/>
  <c r="AL1214" i="8" a="1"/>
  <c r="AL1217" i="8" a="1"/>
  <c r="AM1219" i="8" a="1"/>
  <c r="AM1220" i="8" a="1"/>
  <c r="AM1222" i="8" a="1"/>
  <c r="AM1223" i="8" a="1"/>
  <c r="AM1224" i="8" a="1"/>
  <c r="AM1225" i="8" a="1"/>
  <c r="AL1227" i="8" a="1"/>
  <c r="AM1230" i="8" a="1"/>
  <c r="AL1232" i="8" a="1"/>
  <c r="AL1236" i="8" a="1"/>
  <c r="AM1239" i="8" a="1"/>
  <c r="AL1241" i="8" a="1"/>
  <c r="AL1244" i="8" a="1"/>
  <c r="AM1247" i="8" a="1"/>
  <c r="AL1249" i="8" a="1"/>
  <c r="AL1252" i="8" a="1"/>
  <c r="AM1256" i="8" a="1"/>
  <c r="AM1257" i="8" a="1"/>
  <c r="AM1258" i="8" a="1"/>
  <c r="AL1260" i="8" a="1"/>
  <c r="AM1263" i="8" a="1"/>
  <c r="AL1265" i="8" a="1"/>
  <c r="AM1268" i="8" a="1"/>
  <c r="AL1270" i="8" a="1"/>
  <c r="AM1273" i="8" a="1"/>
  <c r="AL1275" i="8" a="1"/>
  <c r="AM1278" i="8" a="1"/>
  <c r="AL1280" i="8" a="1"/>
  <c r="AL1284" i="8" a="1"/>
  <c r="AM1287" i="8" a="1"/>
  <c r="AL1289" i="8" a="1"/>
  <c r="AM1292" i="8" a="1"/>
  <c r="AM1293" i="8" a="1"/>
  <c r="AM1300" i="8" a="1"/>
  <c r="AL1302" i="8" a="1"/>
  <c r="AM1305" i="8" a="1"/>
  <c r="AL1307" i="8" a="1"/>
  <c r="AM1310" i="8" a="1"/>
  <c r="AM1311" i="8" a="1"/>
  <c r="AL1313" i="8" a="1"/>
  <c r="AM1316" i="8" a="1"/>
  <c r="AL1318" i="8" a="1"/>
  <c r="AL1322" i="8" a="1"/>
  <c r="AM1325" i="8" a="1"/>
  <c r="AL1327" i="8" a="1"/>
  <c r="AM1330" i="8" a="1"/>
  <c r="AM1332" i="8" a="1"/>
  <c r="AL1333" i="8" a="1"/>
  <c r="AM1336" i="8" a="1"/>
  <c r="AM1340" i="8" a="1"/>
  <c r="AL1344" i="8" a="1"/>
  <c r="AL1349" i="8" a="1"/>
  <c r="AM1352" i="8" a="1"/>
  <c r="AL1354" i="8" a="1"/>
  <c r="AM1357" i="8" a="1"/>
  <c r="AL1359" i="8" a="1"/>
  <c r="AM1362" i="8" a="1"/>
  <c r="AL1364" i="8" a="1"/>
  <c r="AM1368" i="8" a="1"/>
  <c r="AL1376" i="8" a="1"/>
  <c r="AM1379" i="8" a="1"/>
  <c r="AL1381" i="8" a="1"/>
  <c r="AM1384" i="8" a="1"/>
  <c r="AL1386" i="8" a="1"/>
  <c r="AM1389" i="8" a="1"/>
  <c r="AM1390" i="8" a="1"/>
  <c r="AL1392" i="8" a="1"/>
  <c r="AL1396" i="8" a="1"/>
  <c r="AM1399" i="8" a="1"/>
  <c r="AL1401" i="8" a="1"/>
  <c r="AM1404" i="8" a="1"/>
  <c r="AL1406" i="8" a="1"/>
  <c r="AM1409" i="8" a="1"/>
  <c r="AL1411" i="8" a="1"/>
  <c r="AM1414" i="8" a="1"/>
  <c r="AM1415" i="8" a="1"/>
  <c r="AL1417" i="8" a="1"/>
  <c r="AM1420" i="8" a="1"/>
  <c r="AM1421" i="8" a="1"/>
  <c r="AL1423" i="8" a="1"/>
  <c r="AM1427" i="8" a="1"/>
  <c r="AM1428" i="8" a="1"/>
  <c r="AM1429" i="8" a="1"/>
  <c r="AL1432" i="8" a="1"/>
  <c r="AM1438" i="8" a="1"/>
  <c r="AM1443" i="8" a="1"/>
  <c r="AL1446" i="8" a="1"/>
  <c r="AM1449" i="8" a="1"/>
  <c r="AM1450" i="8" a="1"/>
  <c r="AM1452" i="8" a="1"/>
  <c r="AM1456" i="8" a="1"/>
  <c r="AM1458" i="8" a="1"/>
  <c r="AM1459" i="8" a="1"/>
  <c r="AL1461" i="8" a="1"/>
  <c r="AM1466" i="8" a="1"/>
  <c r="AL1472" i="8" a="1"/>
  <c r="AM1476" i="8" a="1"/>
  <c r="AL1480" i="8" a="1"/>
  <c r="AM1484" i="8" a="1"/>
  <c r="AL1487" i="8" a="1"/>
  <c r="AM1492" i="8" a="1"/>
  <c r="AM1494" i="8" a="1"/>
  <c r="AL1496" i="8" a="1"/>
  <c r="AL1501" i="8" a="1"/>
  <c r="AL1506" i="8" a="1"/>
  <c r="AM1511" i="8" a="1"/>
  <c r="AM1512" i="8" a="1"/>
  <c r="AM1514" i="8" a="1"/>
  <c r="AL1516" i="8" a="1"/>
  <c r="AM1520" i="8" a="1"/>
  <c r="AM1521" i="8" a="1"/>
  <c r="AL1523" i="8" a="1"/>
  <c r="AL1528" i="8" a="1"/>
  <c r="AM1532" i="8" a="1"/>
  <c r="AL1534" i="8" a="1"/>
  <c r="AL1540" i="8" a="1"/>
  <c r="AL1545" i="8" a="1"/>
  <c r="AM1549" i="8" a="1"/>
  <c r="AM1551" i="8" a="1"/>
  <c r="AM1552" i="8" a="1"/>
  <c r="AL1555" i="8" a="1"/>
  <c r="AM1558" i="8" a="1"/>
  <c r="AL1560" i="8" a="1"/>
  <c r="AL1564" i="8" a="1"/>
  <c r="AM1568" i="8" a="1"/>
  <c r="AM1573" i="8" a="1"/>
  <c r="AL1576" i="8" a="1"/>
  <c r="AM1580" i="8" a="1"/>
  <c r="AM1581" i="8" a="1"/>
  <c r="AL1583" i="8" a="1"/>
  <c r="AM1587" i="8" a="1"/>
  <c r="AL1590" i="8" a="1"/>
  <c r="AM1608" i="8" a="1"/>
  <c r="AL1610" i="8" a="1"/>
  <c r="AM1617" i="8" a="1"/>
  <c r="AM1618" i="8" a="1"/>
  <c r="AL1621" i="8" a="1"/>
  <c r="AM1637" i="8" a="1"/>
  <c r="AM1639" i="8" a="1"/>
  <c r="AM1641" i="8" a="1"/>
  <c r="AM1643" i="8" a="1"/>
  <c r="AM1645" i="8" a="1"/>
  <c r="AL1647" i="8" a="1"/>
  <c r="AM1666" i="8" a="1"/>
  <c r="AL1670" i="8" a="1"/>
  <c r="AM1685" i="8" a="1"/>
  <c r="AM1688" i="8" a="1"/>
  <c r="AM1704" i="8" a="1"/>
  <c r="AM1706" i="8" a="1"/>
  <c r="AL1775" i="8" a="1"/>
  <c r="AL1781" i="8" a="1"/>
  <c r="AL1787" i="8" a="1"/>
  <c r="AM1794" i="8" a="1"/>
  <c r="AM1837" i="8" a="1"/>
  <c r="AL7" i="8" a="1"/>
  <c r="AL164" i="8" a="1"/>
  <c r="AM167" i="8" a="1"/>
  <c r="AL171" i="8" a="1"/>
  <c r="AL174" i="8" a="1"/>
  <c r="AL177" i="8" a="1"/>
  <c r="AL179" i="8" a="1"/>
  <c r="AM181" i="8" a="1"/>
  <c r="AL184" i="8" a="1"/>
  <c r="AL186" i="8" a="1"/>
  <c r="AM188" i="8" a="1"/>
  <c r="AM191" i="8" a="1"/>
  <c r="AL195" i="8" a="1"/>
  <c r="AL198" i="8" a="1"/>
  <c r="AL200" i="8" a="1"/>
  <c r="AL202" i="8" a="1"/>
  <c r="AM204" i="8" a="1"/>
  <c r="AL207" i="8" a="1"/>
  <c r="AL209" i="8" a="1"/>
  <c r="AM211" i="8" a="1"/>
  <c r="AM215" i="8" a="1"/>
  <c r="AM217" i="8" a="1"/>
  <c r="AL220" i="8" a="1"/>
  <c r="AM222" i="8" a="1"/>
  <c r="AL224" i="8" a="1"/>
  <c r="AM226" i="8" a="1"/>
  <c r="AM228" i="8" a="1"/>
  <c r="AL232" i="8" a="1"/>
  <c r="AM234" i="8" a="1"/>
  <c r="AM237" i="8" a="1"/>
  <c r="AL241" i="8" a="1"/>
  <c r="AL244" i="8" a="1"/>
  <c r="AM246" i="8" a="1"/>
  <c r="AL250" i="8" a="1"/>
  <c r="AL252" i="8" a="1"/>
  <c r="AM254" i="8" a="1"/>
  <c r="AM258" i="8" a="1"/>
  <c r="AL263" i="8" a="1"/>
  <c r="AM265" i="8" a="1"/>
  <c r="AM267" i="8" a="1"/>
  <c r="AM270" i="8" a="1"/>
  <c r="AM273" i="8" a="1"/>
  <c r="AL276" i="8" a="1"/>
  <c r="AM279" i="8" a="1"/>
  <c r="AL281" i="8" a="1"/>
  <c r="AL283" i="8" a="1"/>
  <c r="AL285" i="8" a="1"/>
  <c r="AM287" i="8" a="1"/>
  <c r="AL290" i="8" a="1"/>
  <c r="AM292" i="8" a="1"/>
  <c r="AL294" i="8" a="1"/>
  <c r="AM296" i="8" a="1"/>
  <c r="AM298" i="8" a="1"/>
  <c r="AM300" i="8" a="1"/>
  <c r="AM302" i="8" a="1"/>
  <c r="AL307" i="8" a="1"/>
  <c r="AL311" i="8" a="1"/>
  <c r="AM313" i="8" a="1"/>
  <c r="AL322" i="8" a="1"/>
  <c r="AM326" i="8" a="1"/>
  <c r="AL328" i="8" a="1"/>
  <c r="AL329" i="8" a="1"/>
  <c r="AL331" i="8" a="1"/>
  <c r="AL333" i="8" a="1"/>
  <c r="AL335" i="8" a="1"/>
  <c r="AL338" i="8" a="1"/>
  <c r="AL340" i="8" a="1"/>
  <c r="AM341" i="8" a="1"/>
  <c r="AL344" i="8" a="1"/>
  <c r="AL347" i="8" a="1"/>
  <c r="AM348" i="8" a="1"/>
  <c r="AM352" i="8" a="1"/>
  <c r="AM354" i="8" a="1"/>
  <c r="AM356" i="8" a="1"/>
  <c r="AL358" i="8" a="1"/>
  <c r="AM360" i="8" a="1"/>
  <c r="AL362" i="8" a="1"/>
  <c r="AL366" i="8" a="1"/>
  <c r="AL369" i="8" a="1"/>
  <c r="AL371" i="8" a="1"/>
  <c r="AL373" i="8" a="1"/>
  <c r="AL377" i="8" a="1"/>
  <c r="AM380" i="8" a="1"/>
  <c r="AM382" i="8" a="1"/>
  <c r="AL384" i="8" a="1"/>
  <c r="AM387" i="8" a="1"/>
  <c r="AM389" i="8" a="1"/>
  <c r="AM391" i="8" a="1"/>
  <c r="AM393" i="8" a="1"/>
  <c r="AM395" i="8" a="1"/>
  <c r="AL397" i="8" a="1"/>
  <c r="AL401" i="8" a="1"/>
  <c r="AL403" i="8" a="1"/>
  <c r="AM407" i="8" a="1"/>
  <c r="AL409" i="8" a="1"/>
  <c r="AL413" i="8" a="1"/>
  <c r="AL415" i="8" a="1"/>
  <c r="AM417" i="8" a="1"/>
  <c r="AL419" i="8" a="1"/>
  <c r="AL421" i="8" a="1"/>
  <c r="AM422" i="8" a="1"/>
  <c r="AL424" i="8" a="1"/>
  <c r="AM427" i="8" a="1"/>
  <c r="AL429" i="8" a="1"/>
  <c r="AM432" i="8" a="1"/>
  <c r="AL434" i="8" a="1"/>
  <c r="AL437" i="8" a="1"/>
  <c r="AL439" i="8" a="1"/>
  <c r="AM442" i="8" a="1"/>
  <c r="AL444" i="8" a="1"/>
  <c r="AM447" i="8" a="1"/>
  <c r="AL449" i="8" a="1"/>
  <c r="AL452" i="8" a="1"/>
  <c r="AL454" i="8" a="1"/>
  <c r="AM457" i="8" a="1"/>
  <c r="AL459" i="8" a="1"/>
  <c r="AM462" i="8" a="1"/>
  <c r="AL464" i="8" a="1"/>
  <c r="AM467" i="8" a="1"/>
  <c r="AL469" i="8" a="1"/>
  <c r="AM471" i="8" a="1"/>
  <c r="AM472" i="8" a="1"/>
  <c r="AM474" i="8" a="1"/>
  <c r="AL476" i="8" a="1"/>
  <c r="AL482" i="8" a="1"/>
  <c r="AM484" i="8" a="1"/>
  <c r="AL486" i="8" a="1"/>
  <c r="AL490" i="8" a="1"/>
  <c r="AL492" i="8" a="1"/>
  <c r="AL494" i="8" a="1"/>
  <c r="AM495" i="8" a="1"/>
  <c r="AM497" i="8" a="1"/>
  <c r="AM499" i="8" a="1"/>
  <c r="AL501" i="8" a="1"/>
  <c r="AM504" i="8" a="1"/>
  <c r="AM506" i="8" a="1"/>
  <c r="AM508" i="8" a="1"/>
  <c r="AL510" i="8" a="1"/>
  <c r="AM512" i="8" a="1"/>
  <c r="AM515" i="8" a="1"/>
  <c r="AL518" i="8" a="1"/>
  <c r="AM520" i="8" a="1"/>
  <c r="AL523" i="8" a="1"/>
  <c r="AM525" i="8" a="1"/>
  <c r="AM527" i="8" a="1"/>
  <c r="AL529" i="8" a="1"/>
  <c r="AM531" i="8" a="1"/>
  <c r="AM532" i="8" a="1"/>
  <c r="AM536" i="8" a="1"/>
  <c r="AL538" i="8" a="1"/>
  <c r="AL543" i="8" a="1"/>
  <c r="AM544" i="8" a="1"/>
  <c r="AM546" i="8" a="1"/>
  <c r="AM547" i="8" a="1"/>
  <c r="AL549" i="8" a="1"/>
  <c r="AM551" i="8" a="1"/>
  <c r="AL556" i="8" a="1"/>
  <c r="AM557" i="8" a="1"/>
  <c r="AM559" i="8" a="1"/>
  <c r="AL560" i="8" a="1"/>
  <c r="AL562" i="8" a="1"/>
  <c r="AM564" i="8" a="1"/>
  <c r="AM565" i="8" a="1"/>
  <c r="AL567" i="8" a="1"/>
  <c r="AL570" i="8" a="1"/>
  <c r="AM573" i="8" a="1"/>
  <c r="AL575" i="8" a="1"/>
  <c r="AL577" i="8" a="1"/>
  <c r="AM578" i="8" a="1"/>
  <c r="AM581" i="8" a="1"/>
  <c r="AL583" i="8" a="1"/>
  <c r="AL586" i="8" a="1"/>
  <c r="AL589" i="8" a="1"/>
  <c r="AM592" i="8" a="1"/>
  <c r="AL594" i="8" a="1"/>
  <c r="AM596" i="8" a="1"/>
  <c r="AL598" i="8" a="1"/>
  <c r="AL601" i="8" a="1"/>
  <c r="AM603" i="8" a="1"/>
  <c r="AL605" i="8" a="1"/>
  <c r="AM607" i="8" a="1"/>
  <c r="AL611" i="8" a="1"/>
  <c r="AL613" i="8" a="1"/>
  <c r="AM615" i="8" a="1"/>
  <c r="AM616" i="8" a="1"/>
  <c r="AL618" i="8" a="1"/>
  <c r="AM620" i="8" a="1"/>
  <c r="AL622" i="8" a="1"/>
  <c r="AM624" i="8" a="1"/>
  <c r="AL626" i="8" a="1"/>
  <c r="AL628" i="8" a="1"/>
  <c r="AM629" i="8" a="1"/>
  <c r="AL631" i="8" a="1"/>
  <c r="AM632" i="8" a="1"/>
  <c r="AM634" i="8" a="1"/>
  <c r="AM635" i="8" a="1"/>
  <c r="AM636" i="8" a="1"/>
  <c r="AM637" i="8" a="1"/>
  <c r="AM638" i="8" a="1"/>
  <c r="AL639" i="8" a="1"/>
  <c r="AM641" i="8" a="1"/>
  <c r="AL642" i="8" a="1"/>
  <c r="AL643" i="8" a="1"/>
  <c r="AM645" i="8" a="1"/>
  <c r="AM647" i="8" a="1"/>
  <c r="AL649" i="8" a="1"/>
  <c r="AL653" i="8" a="1"/>
  <c r="AM654" i="8" a="1"/>
  <c r="AM657" i="8" a="1"/>
  <c r="AL659" i="8" a="1"/>
  <c r="AM662" i="8" a="1"/>
  <c r="AL666" i="8" a="1"/>
  <c r="AL670" i="8" a="1"/>
  <c r="AM673" i="8" a="1"/>
  <c r="AL675" i="8" a="1"/>
  <c r="AL678" i="8" a="1"/>
  <c r="AL681" i="8" a="1"/>
  <c r="AM685" i="8" a="1"/>
  <c r="AL688" i="8" a="1"/>
  <c r="AL691" i="8" a="1"/>
  <c r="AM695" i="8" a="1"/>
  <c r="AM697" i="8" a="1"/>
  <c r="AM699" i="8" a="1"/>
  <c r="AL701" i="8" a="1"/>
  <c r="AL704" i="8" a="1"/>
  <c r="AM707" i="8" a="1"/>
  <c r="AM709" i="8" a="1"/>
  <c r="AM710" i="8" a="1"/>
  <c r="AL713" i="8" a="1"/>
  <c r="AL716" i="8" a="1"/>
  <c r="AM719" i="8" a="1"/>
  <c r="AM720" i="8" a="1"/>
  <c r="AL722" i="8" a="1"/>
  <c r="AM724" i="8" a="1"/>
  <c r="AM727" i="8" a="1"/>
  <c r="AM729" i="8" a="1"/>
  <c r="AL731" i="8" a="1"/>
  <c r="AL734" i="8" a="1"/>
  <c r="AM737" i="8" a="1"/>
  <c r="AM738" i="8" a="1"/>
  <c r="AL740" i="8" a="1"/>
  <c r="AM742" i="8" a="1"/>
  <c r="AL744" i="8" a="1"/>
  <c r="AM747" i="8" a="1"/>
  <c r="AL749" i="8" a="1"/>
  <c r="AM752" i="8" a="1"/>
  <c r="AM754" i="8" a="1"/>
  <c r="AL756" i="8" a="1"/>
  <c r="AL759" i="8" a="1"/>
  <c r="AL762" i="8" a="1"/>
  <c r="AM765" i="8" a="1"/>
  <c r="AL767" i="8" a="1"/>
  <c r="AM770" i="8" a="1"/>
  <c r="AL772" i="8" a="1"/>
  <c r="AM775" i="8" a="1"/>
  <c r="AL777" i="8" a="1"/>
  <c r="AM783" i="8" a="1"/>
  <c r="AM785" i="8" a="1"/>
  <c r="AL787" i="8" a="1"/>
  <c r="AM790" i="8" a="1"/>
  <c r="AL792" i="8" a="1"/>
  <c r="AM795" i="8" a="1"/>
  <c r="AM796" i="8" a="1"/>
  <c r="AM798" i="8" a="1"/>
  <c r="AM800" i="8" a="1"/>
  <c r="AL802" i="8" a="1"/>
  <c r="AM805" i="8" a="1"/>
  <c r="AM806" i="8" a="1"/>
  <c r="AL809" i="8" a="1"/>
  <c r="AL812" i="8" a="1"/>
  <c r="AM815" i="8" a="1"/>
  <c r="AL817" i="8" a="1"/>
  <c r="AM820" i="8" a="1"/>
  <c r="AL822" i="8" a="1"/>
  <c r="AM825" i="8" a="1"/>
  <c r="AL827" i="8" a="1"/>
  <c r="AM830" i="8" a="1"/>
  <c r="AL832" i="8" a="1"/>
  <c r="AM835" i="8" a="1"/>
  <c r="AL837" i="8" a="1"/>
  <c r="AM840" i="8" a="1"/>
  <c r="AL842" i="8" a="1"/>
  <c r="AM845" i="8" a="1"/>
  <c r="AL847" i="8" a="1"/>
  <c r="AL850" i="8" a="1"/>
  <c r="AM855" i="8" a="1"/>
  <c r="AM857" i="8" a="1"/>
  <c r="AL859" i="8" a="1"/>
  <c r="AM862" i="8" a="1"/>
  <c r="AL864" i="8" a="1"/>
  <c r="AM867" i="8" a="1"/>
  <c r="AL869" i="8" a="1"/>
  <c r="AM872" i="8" a="1"/>
  <c r="AM874" i="8" a="1"/>
  <c r="AL876" i="8" a="1"/>
  <c r="AM879" i="8" a="1"/>
  <c r="AL881" i="8" a="1"/>
  <c r="AM884" i="8" a="1"/>
  <c r="AL887" i="8" a="1"/>
  <c r="AL890" i="8" a="1"/>
  <c r="AL893" i="8" a="1"/>
  <c r="AM896" i="8" a="1"/>
  <c r="AM898" i="8" a="1"/>
  <c r="AM899" i="8" a="1"/>
  <c r="AM900" i="8" a="1"/>
  <c r="AL903" i="8" a="1"/>
  <c r="AM906" i="8" a="1"/>
  <c r="AM908" i="8" a="1"/>
  <c r="AL910" i="8" a="1"/>
  <c r="AL913" i="8" a="1"/>
  <c r="AL916" i="8" a="1"/>
  <c r="AM918" i="8" a="1"/>
  <c r="AL920" i="8" a="1"/>
  <c r="AL924" i="8" a="1"/>
  <c r="AM927" i="8" a="1"/>
  <c r="AL932" i="8" a="1"/>
  <c r="AL936" i="8" a="1"/>
  <c r="AM939" i="8" a="1"/>
  <c r="AL941" i="8" a="1"/>
  <c r="AM944" i="8" a="1"/>
  <c r="AM946" i="8" a="1"/>
  <c r="AL948" i="8" a="1"/>
  <c r="AM951" i="8" a="1"/>
  <c r="AM955" i="8" a="1"/>
  <c r="AL957" i="8" a="1"/>
  <c r="AL963" i="8" a="1"/>
  <c r="AL967" i="8" a="1"/>
  <c r="AM970" i="8" a="1"/>
  <c r="AM971" i="8" a="1"/>
  <c r="AM972" i="8" a="1"/>
  <c r="AM974" i="8" a="1"/>
  <c r="AM975" i="8" a="1"/>
  <c r="AL977" i="8" a="1"/>
  <c r="AM980" i="8" a="1"/>
  <c r="AL982" i="8" a="1"/>
  <c r="AL986" i="8" a="1"/>
  <c r="AM989" i="8" a="1"/>
  <c r="AL991" i="8" a="1"/>
  <c r="AM994" i="8" a="1"/>
  <c r="AL996" i="8" a="1"/>
  <c r="AM999" i="8" a="1"/>
  <c r="AL1001" i="8" a="1"/>
  <c r="AM1004" i="8" a="1"/>
  <c r="AM1006" i="8" a="1"/>
  <c r="AL1008" i="8" a="1"/>
  <c r="AM1012" i="8" a="1"/>
  <c r="AM1013" i="8" a="1"/>
  <c r="AL1015" i="8" a="1"/>
  <c r="AM1018" i="8" a="1"/>
  <c r="AM1024" i="8" a="1"/>
  <c r="AM1026" i="8" a="1"/>
  <c r="AL1028" i="8" a="1"/>
  <c r="AL1032" i="8" a="1"/>
  <c r="AM1039" i="8" a="1"/>
  <c r="AM1040" i="8" a="1"/>
  <c r="AM1041" i="8" a="1"/>
  <c r="AL1043" i="8" a="1"/>
  <c r="AM1045" i="8" a="1"/>
  <c r="AM1046" i="8" a="1"/>
  <c r="AM1047" i="8" a="1"/>
  <c r="AL1049" i="8" a="1"/>
  <c r="AM1051" i="8" a="1"/>
  <c r="AM1052" i="8" a="1"/>
  <c r="AL1054" i="8" a="1"/>
  <c r="AM1057" i="8" a="1"/>
  <c r="AL1059" i="8" a="1"/>
  <c r="AL1063" i="8" a="1"/>
  <c r="AL1067" i="8" a="1"/>
  <c r="AM1070" i="8" a="1"/>
  <c r="AM1071" i="8" a="1"/>
  <c r="AL1073" i="8" a="1"/>
  <c r="AM1076" i="8" a="1"/>
  <c r="AL1078" i="8" a="1"/>
  <c r="AL1080" i="8" a="1"/>
  <c r="AM1083" i="8" a="1"/>
  <c r="AL1085" i="8" a="1"/>
  <c r="AL1088" i="8" a="1"/>
  <c r="AM1091" i="8" a="1"/>
  <c r="AL1092" i="8" a="1"/>
  <c r="AL1094" i="8" a="1"/>
  <c r="AM1097" i="8" a="1"/>
  <c r="AL1099" i="8" a="1"/>
  <c r="AM1101" i="8" a="1"/>
  <c r="AM1103" i="8" a="1"/>
  <c r="AM1104" i="8" a="1"/>
  <c r="AL1105" i="8" a="1"/>
  <c r="AM1108" i="8" a="1"/>
  <c r="AL1110" i="8" a="1"/>
  <c r="AL1113" i="8" a="1"/>
  <c r="AL1117" i="8" a="1"/>
  <c r="AM1120" i="8" a="1"/>
  <c r="AL1122" i="8" a="1"/>
  <c r="AM1125" i="8" a="1"/>
  <c r="AM1126" i="8" a="1"/>
  <c r="AL1128" i="8" a="1"/>
  <c r="AM1131" i="8" a="1"/>
  <c r="AL1133" i="8" a="1"/>
  <c r="AL1137" i="8" a="1"/>
  <c r="AM1140" i="8" a="1"/>
  <c r="AL1142" i="8" a="1"/>
  <c r="AM1145" i="8" a="1"/>
  <c r="AM1149" i="8" a="1"/>
  <c r="AL1151" i="8" a="1"/>
  <c r="AL1155" i="8" a="1"/>
  <c r="AM1158" i="8" a="1"/>
  <c r="AM1159" i="8" a="1"/>
  <c r="AL1161" i="8" a="1"/>
  <c r="AL1165" i="8" a="1"/>
  <c r="AL1169" i="8" a="1"/>
  <c r="AM1173" i="8" a="1"/>
  <c r="AM1174" i="8" a="1"/>
  <c r="AL1176" i="8" a="1"/>
  <c r="AL1180" i="8" a="1"/>
  <c r="AL1184" i="8" a="1"/>
  <c r="AL1188" i="8" a="1"/>
  <c r="AM1191" i="8" a="1"/>
  <c r="AL1193" i="8" a="1"/>
  <c r="AM1197" i="8" a="1"/>
  <c r="AM1198" i="8" a="1"/>
  <c r="AL1200" i="8" a="1"/>
  <c r="AL1204" i="8" a="1"/>
  <c r="AM1207" i="8" a="1"/>
  <c r="AL1209" i="8" a="1"/>
  <c r="AL1213" i="8" a="1"/>
  <c r="AM1215" i="8" a="1"/>
  <c r="AM1216" i="8" a="1"/>
  <c r="AM1217" i="8" a="1"/>
  <c r="AL1219" i="8" a="1"/>
  <c r="AL1222" i="8" a="1"/>
  <c r="AL1225" i="8" a="1"/>
  <c r="AL1229" i="8" a="1"/>
  <c r="AM1232" i="8" a="1"/>
  <c r="AM1233" i="8" a="1"/>
  <c r="AM1237" i="8" a="1"/>
  <c r="AL1239" i="8" a="1"/>
  <c r="AM1242" i="8" a="1"/>
  <c r="AM1243" i="8" a="1"/>
  <c r="AL1245" i="8" a="1"/>
  <c r="AM1249" i="8" a="1"/>
  <c r="AL1251" i="8" a="1"/>
  <c r="AL1254" i="8" a="1"/>
  <c r="AL1258" i="8" a="1"/>
  <c r="AM1261" i="8" a="1"/>
  <c r="AM1262" i="8" a="1"/>
  <c r="AL1264" i="8" a="1"/>
  <c r="AL1268" i="8" a="1"/>
  <c r="AM1274" i="8" a="1"/>
  <c r="AM1275" i="8" a="1"/>
  <c r="AL1277" i="8" a="1"/>
  <c r="AM1280" i="8" a="1"/>
  <c r="AM1281" i="8" a="1"/>
  <c r="AM1283" i="8" a="1"/>
  <c r="AM1284" i="8" a="1"/>
  <c r="AM1286" i="8" a="1"/>
  <c r="AL1288" i="8" a="1"/>
  <c r="AM1291" i="8" a="1"/>
  <c r="AL1293" i="8" a="1"/>
  <c r="AL1297" i="8" a="1"/>
  <c r="AM1301" i="8" a="1"/>
  <c r="AM1302" i="8" a="1"/>
  <c r="AL1304" i="8" a="1"/>
  <c r="AM1307" i="8" a="1"/>
  <c r="AL1309" i="8" a="1"/>
  <c r="AM1312" i="8" a="1"/>
  <c r="AL1314" i="8" a="1"/>
  <c r="AM1317" i="8" a="1"/>
  <c r="AL1319" i="8" a="1"/>
  <c r="AL1323" i="8" a="1"/>
  <c r="AM1326" i="8" a="1"/>
  <c r="AL1328" i="8" a="1"/>
  <c r="AM1333" i="8" a="1"/>
  <c r="AL1335" i="8" a="1"/>
  <c r="AL1339" i="8" a="1"/>
  <c r="AL1343" i="8" a="1"/>
  <c r="AM1349" i="8" a="1"/>
  <c r="AL1351" i="8" a="1"/>
  <c r="AM1354" i="8" a="1"/>
  <c r="AL1356" i="8" a="1"/>
  <c r="AM1359" i="8" a="1"/>
  <c r="AM1360" i="8" a="1"/>
  <c r="AL1362" i="8" a="1"/>
  <c r="AM1365" i="8" a="1"/>
  <c r="AL1368" i="8" a="1"/>
  <c r="AM1372" i="8" a="1"/>
  <c r="AM1374" i="8" a="1"/>
  <c r="AM1376" i="8" a="1"/>
  <c r="AL1378" i="8" a="1"/>
  <c r="AM1381" i="8" a="1"/>
  <c r="AM1382" i="8" a="1"/>
  <c r="AM1383" i="8" a="1"/>
  <c r="AL1385" i="8" a="1"/>
  <c r="AM1388" i="8" a="1"/>
  <c r="AL1390" i="8" a="1"/>
  <c r="AM1394" i="8" a="1"/>
  <c r="AM1395" i="8" a="1"/>
  <c r="AM1396" i="8" a="1"/>
  <c r="AL1398" i="8" a="1"/>
  <c r="AM1401" i="8" a="1"/>
  <c r="AL1403" i="8" a="1"/>
  <c r="AL1407" i="8" a="1"/>
  <c r="AM1410" i="8" a="1"/>
  <c r="AM1411" i="8" a="1"/>
  <c r="AL1413" i="8" a="1"/>
  <c r="AM1416" i="8" a="1"/>
  <c r="AM1417" i="8" a="1"/>
  <c r="AL1419" i="8" a="1"/>
  <c r="AM1422" i="8" a="1"/>
  <c r="AL1427" i="8" a="1"/>
  <c r="AM1433" i="8" a="1"/>
  <c r="AL1435" i="8" a="1"/>
  <c r="AM1439" i="8" a="1"/>
  <c r="AM1445" i="8" a="1"/>
  <c r="AM1446" i="8" a="1"/>
  <c r="AL1448" i="8" a="1"/>
  <c r="AL1452" i="8" a="1"/>
  <c r="AM1457" i="8" a="1"/>
  <c r="AL1459" i="8" a="1"/>
  <c r="AM1463" i="8" a="1"/>
  <c r="AL1466" i="8" a="1"/>
  <c r="AL1471" i="8" a="1"/>
  <c r="AL1476" i="8" a="1"/>
  <c r="AL1482" i="8" a="1"/>
  <c r="AM1487" i="8" a="1"/>
  <c r="AM1489" i="8" a="1"/>
  <c r="AM1491" i="8" a="1"/>
  <c r="AM1493" i="8" a="1"/>
  <c r="AL1495" i="8" a="1"/>
  <c r="AL1500" i="8" a="1"/>
  <c r="AM1504" i="8" a="1"/>
  <c r="AM1506" i="8" a="1"/>
  <c r="AL1508" i="8" a="1"/>
  <c r="AL1513" i="8" a="1"/>
  <c r="AL1518" i="8" a="1"/>
  <c r="AL1522" i="8" a="1"/>
  <c r="AM1526" i="8" a="1"/>
  <c r="AM1528" i="8" a="1"/>
  <c r="AL1531" i="8" a="1"/>
  <c r="AM1534" i="8" a="1"/>
  <c r="AM1536" i="8" a="1"/>
  <c r="AL1538" i="8" a="1"/>
  <c r="AM1544" i="8" a="1"/>
  <c r="AL1546" i="8" a="1"/>
  <c r="AL1551" i="8" a="1"/>
  <c r="AM1555" i="8" a="1"/>
  <c r="AL1557" i="8" a="1"/>
  <c r="AM1561" i="8" a="1"/>
  <c r="AL1563" i="8" a="1"/>
  <c r="AL1568" i="8" a="1"/>
  <c r="AM1572" i="8" a="1"/>
  <c r="AL1578" i="8" a="1"/>
  <c r="AL1582" i="8" a="1"/>
  <c r="AM1586" i="8" a="1"/>
  <c r="AM1592" i="8" a="1"/>
  <c r="AM1593" i="8" a="1"/>
  <c r="AM1595" i="8" a="1"/>
  <c r="AL1597" i="8" a="1"/>
  <c r="AL1603" i="8" a="1"/>
  <c r="AL1605" i="8" a="1"/>
  <c r="AM1609" i="8" a="1"/>
  <c r="AM1610" i="8" a="1"/>
  <c r="AM1611" i="8" a="1"/>
  <c r="AL1623" i="8" a="1"/>
  <c r="AL1629" i="8" a="1"/>
  <c r="AL1635" i="8" a="1"/>
  <c r="AL1645" i="8" a="1"/>
  <c r="AL1651" i="8" a="1"/>
  <c r="AL1692" i="8" a="1"/>
  <c r="AM1703" i="8" a="1"/>
  <c r="AM1774" i="8" a="1"/>
  <c r="AL1777" i="8" a="1"/>
  <c r="AM1818" i="8" a="1"/>
  <c r="AL1831" i="8" a="1"/>
  <c r="AL101" i="8" a="1"/>
  <c r="AM103" i="8" a="1"/>
  <c r="AM105" i="8" a="1"/>
  <c r="AL107" i="8" a="1"/>
  <c r="AM108" i="8" a="1"/>
  <c r="AL110" i="8" a="1"/>
  <c r="AL111" i="8" a="1"/>
  <c r="AM112" i="8" a="1"/>
  <c r="AL114" i="8" a="1"/>
  <c r="AM115" i="8" a="1"/>
  <c r="AL117" i="8" a="1"/>
  <c r="AM118" i="8" a="1"/>
  <c r="AL120" i="8" a="1"/>
  <c r="AM121" i="8" a="1"/>
  <c r="AL123" i="8" a="1"/>
  <c r="AM124" i="8" a="1"/>
  <c r="AL126" i="8" a="1"/>
  <c r="AM127" i="8" a="1"/>
  <c r="AL129" i="8" a="1"/>
  <c r="AL130" i="8" a="1"/>
  <c r="AM131" i="8" a="1"/>
  <c r="AL133" i="8" a="1"/>
  <c r="AM134" i="8" a="1"/>
  <c r="AL136" i="8" a="1"/>
  <c r="AM137" i="8" a="1"/>
  <c r="AL139" i="8" a="1"/>
  <c r="AL142" i="8" a="1"/>
  <c r="AL144" i="8" a="1"/>
  <c r="AL146" i="8" a="1"/>
  <c r="AM149" i="8" a="1"/>
  <c r="AL151" i="8" a="1"/>
  <c r="AL153" i="8" a="1"/>
  <c r="AM155" i="8" a="1"/>
  <c r="AM157" i="8" a="1"/>
  <c r="AL159" i="8" a="1"/>
  <c r="AM160" i="8" a="1"/>
  <c r="AL162" i="8" a="1"/>
  <c r="AM165" i="8" a="1"/>
  <c r="AL167" i="8" a="1"/>
  <c r="AM169" i="8" a="1"/>
  <c r="AL172" i="8" a="1"/>
  <c r="AM174" i="8" a="1"/>
  <c r="AM176" i="8" a="1"/>
  <c r="AM178" i="8" a="1"/>
  <c r="AM180" i="8" a="1"/>
  <c r="AL183" i="8" a="1"/>
  <c r="AM185" i="8" a="1"/>
  <c r="AL188" i="8" a="1"/>
  <c r="AM190" i="8" a="1"/>
  <c r="AL193" i="8" a="1"/>
  <c r="AM195" i="8" a="1"/>
  <c r="AM197" i="8" a="1"/>
  <c r="AL199" i="8" a="1"/>
  <c r="AM201" i="8" a="1"/>
  <c r="AL204" i="8" a="1"/>
  <c r="AM206" i="8" a="1"/>
  <c r="AL208" i="8" a="1"/>
  <c r="AL210" i="8" a="1"/>
  <c r="AL212" i="8" a="1"/>
  <c r="AL214" i="8" a="1"/>
  <c r="AM216" i="8" a="1"/>
  <c r="AM219" i="8" a="1"/>
  <c r="AM221" i="8" a="1"/>
  <c r="AM223" i="8" a="1"/>
  <c r="AL226" i="8" a="1"/>
  <c r="AM230" i="8" a="1"/>
  <c r="AL234" i="8" a="1"/>
  <c r="AL236" i="8" a="1"/>
  <c r="AL238" i="8" a="1"/>
  <c r="AM240" i="8" a="1"/>
  <c r="AM243" i="8" a="1"/>
  <c r="AL246" i="8" a="1"/>
  <c r="AL248" i="8" a="1"/>
  <c r="AM250" i="8" a="1"/>
  <c r="AM252" i="8" a="1"/>
  <c r="AL254" i="8" a="1"/>
  <c r="AM256" i="8" a="1"/>
  <c r="AL260" i="8" a="1"/>
  <c r="AM262" i="8" a="1"/>
  <c r="AM266" i="8" a="1"/>
  <c r="AM268" i="8" a="1"/>
  <c r="AL271" i="8" a="1"/>
  <c r="AL275" i="8" a="1"/>
  <c r="AL278" i="8" a="1"/>
  <c r="AM281" i="8" a="1"/>
  <c r="AM283" i="8" a="1"/>
  <c r="AM285" i="8" a="1"/>
  <c r="AL288" i="8" a="1"/>
  <c r="AL291" i="8" a="1"/>
  <c r="AL293" i="8" a="1"/>
  <c r="AM295" i="8" a="1"/>
  <c r="AL297" i="8" a="1"/>
  <c r="AL304" i="8" a="1"/>
  <c r="AM306" i="8" a="1"/>
  <c r="AM308" i="8" a="1"/>
  <c r="AM310" i="8" a="1"/>
  <c r="AL313" i="8" a="1"/>
  <c r="AM315" i="8" a="1"/>
  <c r="AM317" i="8" a="1"/>
  <c r="AM319" i="8" a="1"/>
  <c r="AM321" i="8" a="1"/>
  <c r="AM323" i="8" a="1"/>
  <c r="AM325" i="8" a="1"/>
  <c r="AM327" i="8" a="1"/>
  <c r="AM330" i="8" a="1"/>
  <c r="AL339" i="8" a="1"/>
  <c r="AL342" i="8" a="1"/>
  <c r="AM344" i="8" a="1"/>
  <c r="AM346" i="8" a="1"/>
  <c r="AL348" i="8" a="1"/>
  <c r="AL350" i="8" a="1"/>
  <c r="AL354" i="8" a="1"/>
  <c r="AM357" i="8" a="1"/>
  <c r="AM359" i="8" a="1"/>
  <c r="AM361" i="8" a="1"/>
  <c r="AM363" i="8" a="1"/>
  <c r="AM365" i="8" a="1"/>
  <c r="AM367" i="8" a="1"/>
  <c r="AL370" i="8" a="1"/>
  <c r="AL372" i="8" a="1"/>
  <c r="AM374" i="8" a="1"/>
  <c r="AL376" i="8" a="1"/>
  <c r="AL378" i="8" a="1"/>
  <c r="AL382" i="8" a="1"/>
  <c r="AM384" i="8" a="1"/>
  <c r="AL386" i="8" a="1"/>
  <c r="AM388" i="8" a="1"/>
  <c r="AL390" i="8" a="1"/>
  <c r="AM394" i="8" a="1"/>
  <c r="AL396" i="8" a="1"/>
  <c r="AM398" i="8" a="1"/>
  <c r="AM400" i="8" a="1"/>
  <c r="AL402" i="8" a="1"/>
  <c r="AM406" i="8" a="1"/>
  <c r="AM410" i="8" a="1"/>
  <c r="AL412" i="8" a="1"/>
  <c r="AM414" i="8" a="1"/>
  <c r="AM416" i="8" a="1"/>
  <c r="AL418" i="8" a="1"/>
  <c r="AM419" i="8" a="1"/>
  <c r="AM421" i="8" a="1"/>
  <c r="AM423" i="8" a="1"/>
  <c r="AM425" i="8" a="1"/>
  <c r="AL427" i="8" a="1"/>
  <c r="AM430" i="8" a="1"/>
  <c r="AL432" i="8" a="1"/>
  <c r="AM435" i="8" a="1"/>
  <c r="AM437" i="8" a="1"/>
  <c r="AM439" i="8" a="1"/>
  <c r="AL441" i="8" a="1"/>
  <c r="AM444" i="8" a="1"/>
  <c r="AM446" i="8" a="1"/>
  <c r="AM448" i="8" a="1"/>
  <c r="AL450" i="8" a="1"/>
  <c r="AM453" i="8" a="1"/>
  <c r="AL455" i="8" a="1"/>
  <c r="AM458" i="8" a="1"/>
  <c r="AM460" i="8" a="1"/>
  <c r="AL462" i="8" a="1"/>
  <c r="AM465" i="8" a="1"/>
  <c r="AL471" i="8" a="1"/>
  <c r="AM473" i="8" a="1"/>
  <c r="AM475" i="8" a="1"/>
  <c r="AL477" i="8" a="1"/>
  <c r="AL479" i="8" a="1"/>
  <c r="AM482" i="8" a="1"/>
  <c r="AL485" i="8" a="1"/>
  <c r="AM487" i="8" a="1"/>
  <c r="AM489" i="8" a="1"/>
  <c r="AM491" i="8" a="1"/>
  <c r="AL493" i="8" a="1"/>
  <c r="AM496" i="8" a="1"/>
  <c r="AL499" i="8" a="1"/>
  <c r="AL504" i="8" a="1"/>
  <c r="AL506" i="8" a="1"/>
  <c r="AL508" i="8" a="1"/>
  <c r="AL511" i="8" a="1"/>
  <c r="AM514" i="8" a="1"/>
  <c r="AM516" i="8" a="1"/>
  <c r="AM518" i="8" a="1"/>
  <c r="AM519" i="8" a="1"/>
  <c r="AL521" i="8" a="1"/>
  <c r="AM524" i="8" a="1"/>
  <c r="AL526" i="8" a="1"/>
  <c r="AM529" i="8" a="1"/>
  <c r="AL533" i="8" a="1"/>
  <c r="AM633" i="8" a="1"/>
  <c r="AL634" i="8" a="1"/>
  <c r="AL635" i="8" a="1"/>
  <c r="AL644" i="8" a="1"/>
  <c r="AL648" i="8" a="1"/>
  <c r="AM651" i="8" a="1"/>
  <c r="AM652" i="8" a="1"/>
  <c r="AL654" i="8" a="1"/>
  <c r="AM655" i="8" a="1"/>
  <c r="AL657" i="8" a="1"/>
  <c r="AL660" i="8" a="1"/>
  <c r="AL664" i="8" a="1"/>
  <c r="AM667" i="8" a="1"/>
  <c r="AM669" i="8" a="1"/>
  <c r="AM671" i="8" a="1"/>
  <c r="AM672" i="8" a="1"/>
  <c r="AM674" i="8" a="1"/>
  <c r="AL676" i="8" a="1"/>
  <c r="AM679" i="8" a="1"/>
  <c r="AM681" i="8" a="1"/>
  <c r="AM682" i="8" a="1"/>
  <c r="AL684" i="8" a="1"/>
  <c r="AL686" i="8" a="1"/>
  <c r="AL690" i="8" a="1"/>
  <c r="AL693" i="8" a="1"/>
  <c r="AM694" i="8" a="1"/>
  <c r="AL696" i="8" a="1"/>
  <c r="AM698" i="8" a="1"/>
  <c r="AL700" i="8" a="1"/>
  <c r="AL703" i="8" a="1"/>
  <c r="AL705" i="8" a="1"/>
  <c r="AL708" i="8" a="1"/>
  <c r="AM711" i="8" a="1"/>
  <c r="AM713" i="8" a="1"/>
  <c r="AL715" i="8" a="1"/>
  <c r="AL718" i="8" a="1"/>
  <c r="AM722" i="8" a="1"/>
  <c r="AL725" i="8" a="1"/>
  <c r="AM728" i="8" a="1"/>
  <c r="AL730" i="8" a="1"/>
  <c r="AM733" i="8" a="1"/>
  <c r="AM735" i="8" a="1"/>
  <c r="AL737" i="8" a="1"/>
  <c r="AL742" i="8" a="1"/>
  <c r="AM745" i="8" a="1"/>
  <c r="AL747" i="8" a="1"/>
  <c r="AM750" i="8" a="1"/>
  <c r="AL752" i="8" a="1"/>
  <c r="AM755" i="8" a="1"/>
  <c r="AL757" i="8" a="1"/>
  <c r="AM760" i="8" a="1"/>
  <c r="AM762" i="8" a="1"/>
  <c r="AL764" i="8" a="1"/>
  <c r="AM767" i="8" a="1"/>
  <c r="AL769" i="8" a="1"/>
  <c r="AM772" i="8" a="1"/>
  <c r="AL774" i="8" a="1"/>
  <c r="AM777" i="8" a="1"/>
  <c r="AM778" i="8" a="1"/>
  <c r="AL780" i="8" a="1"/>
  <c r="AL782" i="8" a="1"/>
  <c r="AL784" i="8" a="1"/>
  <c r="AM787" i="8" a="1"/>
  <c r="AL789" i="8" a="1"/>
  <c r="AM792" i="8" a="1"/>
  <c r="AL794" i="8" a="1"/>
  <c r="AL799" i="8" a="1"/>
  <c r="AM802" i="8" a="1"/>
  <c r="AL804" i="8" a="1"/>
  <c r="AL807" i="8" a="1"/>
  <c r="AM810" i="8" a="1"/>
  <c r="AM812" i="8" a="1"/>
  <c r="AM814" i="8" a="1"/>
  <c r="AL816" i="8" a="1"/>
  <c r="AM819" i="8" a="1"/>
  <c r="AM821" i="8" a="1"/>
  <c r="AM822" i="8" a="1"/>
  <c r="AL824" i="8" a="1"/>
  <c r="AM827" i="8" a="1"/>
  <c r="AL829" i="8" a="1"/>
  <c r="AM832" i="8" a="1"/>
  <c r="AL834" i="8" a="1"/>
  <c r="AM837" i="8" a="1"/>
  <c r="AL839" i="8" a="1"/>
  <c r="AL843" i="8" a="1"/>
  <c r="AM846" i="8" a="1"/>
  <c r="AL848" i="8" a="1"/>
  <c r="AL852" i="8" a="1"/>
  <c r="AL854" i="8" a="1"/>
  <c r="AM856" i="8" a="1"/>
  <c r="AL858" i="8" a="1"/>
  <c r="AM861" i="8" a="1"/>
  <c r="AL863" i="8" a="1"/>
  <c r="AM866" i="8" a="1"/>
  <c r="AL868" i="8" a="1"/>
  <c r="AM871" i="8" a="1"/>
  <c r="AM876" i="8" a="1"/>
  <c r="AL879" i="8" a="1"/>
  <c r="AM882" i="8" a="1"/>
  <c r="AL884" i="8" a="1"/>
  <c r="AL888" i="8" a="1"/>
  <c r="AM891" i="8" a="1"/>
  <c r="AM893" i="8" a="1"/>
  <c r="AL895" i="8" a="1"/>
  <c r="AL898" i="8" a="1"/>
  <c r="AM901" i="8" a="1"/>
  <c r="AM902" i="8" a="1"/>
  <c r="AL904" i="8" a="1"/>
  <c r="AM907" i="8" a="1"/>
  <c r="AM913" i="8" a="1"/>
  <c r="AL915" i="8" a="1"/>
  <c r="AL919" i="8" a="1"/>
  <c r="AL922" i="8" a="1"/>
  <c r="AL925" i="8" a="1"/>
  <c r="AM928" i="8" a="1"/>
  <c r="AM929" i="8" a="1"/>
  <c r="AL931" i="8" a="1"/>
  <c r="AL935" i="8" a="1"/>
  <c r="AM938" i="8" a="1"/>
  <c r="AL940" i="8" a="1"/>
  <c r="AM943" i="8" a="1"/>
  <c r="AM949" i="8" a="1"/>
  <c r="AM950" i="8" a="1"/>
  <c r="AL952" i="8" a="1"/>
  <c r="AL956" i="8" a="1"/>
  <c r="AM959" i="8" a="1"/>
  <c r="AM961" i="8" a="1"/>
  <c r="AM963" i="8" a="1"/>
  <c r="AL965" i="8" a="1"/>
  <c r="AL968" i="8" a="1"/>
  <c r="AL972" i="8" a="1"/>
  <c r="AL975" i="8" a="1"/>
  <c r="AM978" i="8" a="1"/>
  <c r="AL980" i="8" a="1"/>
  <c r="AM983" i="8" a="1"/>
  <c r="AL985" i="8" a="1"/>
  <c r="AM988" i="8" a="1"/>
  <c r="AL990" i="8" a="1"/>
  <c r="AM993" i="8" a="1"/>
  <c r="AL995" i="8" a="1"/>
  <c r="AM998" i="8" a="1"/>
  <c r="AL1000" i="8" a="1"/>
  <c r="AM1003" i="8" a="1"/>
  <c r="AL1005" i="8" a="1"/>
  <c r="AM1008" i="8" a="1"/>
  <c r="AL1010" i="8" a="1"/>
  <c r="AL1014" i="8" a="1"/>
  <c r="AM1017" i="8" a="1"/>
  <c r="AL1019" i="8" a="1"/>
  <c r="AL1023" i="8" a="1"/>
  <c r="AL1026" i="8" a="1"/>
  <c r="AL1030" i="8" a="1"/>
  <c r="AM1033" i="8" a="1"/>
  <c r="AL1039" i="8" a="1"/>
  <c r="AM1054" i="8" a="1"/>
  <c r="AL1056" i="8" a="1"/>
  <c r="AM1059" i="8" a="1"/>
  <c r="AL1064" i="8" a="1"/>
  <c r="AM1067" i="8" a="1"/>
  <c r="AL1069" i="8" a="1"/>
  <c r="AM1072" i="8" a="1"/>
  <c r="AL1074" i="8" a="1"/>
  <c r="AM1077" i="8" a="1"/>
  <c r="AL1083" i="8" a="1"/>
  <c r="AM1086" i="8" a="1"/>
  <c r="AM1088" i="8" a="1"/>
  <c r="AL1090" i="8" a="1"/>
  <c r="AL1095" i="8" a="1"/>
  <c r="AM1098" i="8" a="1"/>
  <c r="AL1100" i="8" a="1"/>
  <c r="AL1103" i="8" a="1"/>
  <c r="AL1106" i="8" a="1"/>
  <c r="AL1109" i="8" a="1"/>
  <c r="AM1112" i="8" a="1"/>
  <c r="AL1114" i="8" a="1"/>
  <c r="AM1118" i="8" a="1"/>
  <c r="AM1119" i="8" a="1"/>
  <c r="AL1121" i="8" a="1"/>
  <c r="AM1124" i="8" a="1"/>
  <c r="AL1126" i="8" a="1"/>
  <c r="AM1129" i="8" a="1"/>
  <c r="AL1131" i="8" a="1"/>
  <c r="AL1135" i="8" a="1"/>
  <c r="AL1138" i="8" a="1"/>
  <c r="AM1141" i="8" a="1"/>
  <c r="AL1143" i="8" a="1"/>
  <c r="AM1146" i="8" a="1"/>
  <c r="AM1148" i="8" a="1"/>
  <c r="AL1150" i="8" a="1"/>
  <c r="AL1154" i="8" a="1"/>
  <c r="AM1157" i="8" a="1"/>
  <c r="AL1159" i="8" a="1"/>
  <c r="AM1162" i="8" a="1"/>
  <c r="AM1163" i="8" a="1"/>
  <c r="AM1164" i="8" a="1"/>
  <c r="AL1166" i="8" a="1"/>
  <c r="AM1169" i="8" a="1"/>
  <c r="AL1171" i="8" a="1"/>
  <c r="AL1175" i="8" a="1"/>
  <c r="AM1178" i="8" a="1"/>
  <c r="AM1179" i="8" a="1"/>
  <c r="AM1180" i="8" a="1"/>
  <c r="AL1183" i="8" a="1"/>
  <c r="AM1186" i="8" a="1"/>
  <c r="AM1187" i="8" a="1"/>
  <c r="AL1189" i="8" a="1"/>
  <c r="AM1192" i="8" a="1"/>
  <c r="AL1197" i="8" a="1"/>
  <c r="AL1201" i="8" a="1"/>
  <c r="AM1204" i="8" a="1"/>
  <c r="AM1205" i="8" a="1"/>
  <c r="AL1207" i="8" a="1"/>
  <c r="AM1210" i="8" a="1"/>
  <c r="AM1212" i="8" a="1"/>
  <c r="AM1213" i="8" a="1"/>
  <c r="AM1214" i="8" a="1"/>
  <c r="AL1216" i="8" a="1"/>
  <c r="AM1218" i="8" a="1"/>
  <c r="AL1220" i="8" a="1"/>
  <c r="AL1223" i="8" a="1"/>
  <c r="AM1226" i="8" a="1"/>
  <c r="AM1227" i="8" a="1"/>
  <c r="AM1228" i="8" a="1"/>
  <c r="AM1229" i="8" a="1"/>
  <c r="AM1231" i="8" a="1"/>
  <c r="AL1233" i="8" a="1"/>
  <c r="AL1237" i="8" a="1"/>
  <c r="AM1240" i="8" a="1"/>
  <c r="AL1242" i="8" a="1"/>
  <c r="AM1245" i="8" a="1"/>
  <c r="AL1247" i="8" a="1"/>
  <c r="AM1250" i="8" a="1"/>
  <c r="AM1251" i="8" a="1"/>
  <c r="AM1255" i="8" a="1"/>
  <c r="AL1257" i="8" a="1"/>
  <c r="AM1260" i="8" a="1"/>
  <c r="AL1262" i="8" a="1"/>
  <c r="AM1265" i="8" a="1"/>
  <c r="AM1266" i="8" a="1"/>
  <c r="AM1267" i="8" a="1"/>
  <c r="AL1269" i="8" a="1"/>
  <c r="AL1273" i="8" a="1"/>
  <c r="AM1276" i="8" a="1"/>
  <c r="AM1277" i="8" a="1"/>
  <c r="AL1279" i="8" a="1"/>
  <c r="AL1283" i="8" a="1"/>
  <c r="AL1287" i="8" a="1"/>
  <c r="AL1291" i="8" a="1"/>
  <c r="AM1294" i="8" a="1"/>
  <c r="AM1296" i="8" a="1"/>
  <c r="AM1297" i="8" a="1"/>
  <c r="AM1299" i="8" a="1"/>
  <c r="AL1301" i="8" a="1"/>
  <c r="AM1304" i="8" a="1"/>
  <c r="AL1306" i="8" a="1"/>
  <c r="AM1309" i="8" a="1"/>
  <c r="AL1311" i="8" a="1"/>
  <c r="AM1314" i="8" a="1"/>
  <c r="AM1315" i="8" a="1"/>
  <c r="AL1317" i="8" a="1"/>
  <c r="AL1321" i="8" a="1"/>
  <c r="AL1325" i="8" a="1"/>
  <c r="AM1328" i="8" a="1"/>
  <c r="AM1329" i="8" a="1"/>
  <c r="AL1332" i="8" a="1"/>
  <c r="AL1336" i="8" a="1"/>
  <c r="AL1340" i="8" a="1"/>
  <c r="AM1344" i="8" a="1"/>
  <c r="AM1346" i="8" a="1"/>
  <c r="AL1348" i="8" a="1"/>
  <c r="AL1352" i="8" a="1"/>
  <c r="AM1356" i="8" a="1"/>
  <c r="AM1358" i="8" a="1"/>
  <c r="AL1360" i="8" a="1"/>
  <c r="AM1363" i="8" a="1"/>
  <c r="AM1364" i="8" a="1"/>
  <c r="AL1370" i="8" a="1"/>
  <c r="AM1378" i="8" a="1"/>
  <c r="AL1380" i="8" a="1"/>
  <c r="AL1384" i="8" a="1"/>
  <c r="AL1388" i="8" a="1"/>
  <c r="AM1392" i="8" a="1"/>
  <c r="AM1393" i="8" a="1"/>
  <c r="AL1395" i="8" a="1"/>
  <c r="AM1398" i="8" a="1"/>
  <c r="AM1400" i="8" a="1"/>
  <c r="AL1405" i="8" a="1"/>
  <c r="AM1408" i="8" a="1"/>
  <c r="AL1410" i="8" a="1"/>
  <c r="AL1414" i="8" a="1"/>
  <c r="AL1418" i="8" a="1"/>
  <c r="AL1422" i="8" a="1"/>
  <c r="AL1426" i="8" a="1"/>
  <c r="AL1433" i="8" a="1"/>
  <c r="AM1437" i="8" a="1"/>
  <c r="AL1439" i="8" a="1"/>
  <c r="AL1447" i="8" a="1"/>
  <c r="AM1451" i="8" a="1"/>
  <c r="AL1453" i="8" a="1"/>
  <c r="AL1458" i="8" a="1"/>
  <c r="AM1462" i="8" a="1"/>
  <c r="AM1467" i="8" a="1"/>
  <c r="AM1473" i="8" a="1"/>
  <c r="AL1475" i="8" a="1"/>
  <c r="AM1480" i="8" a="1"/>
  <c r="AL1491" i="8" a="1"/>
  <c r="AM1495" i="8" a="1"/>
  <c r="AL1497" i="8" a="1"/>
  <c r="AM1502" i="8" a="1"/>
  <c r="AL1504" i="8" a="1"/>
  <c r="AL1509" i="8" a="1"/>
  <c r="AL1514" i="8" a="1"/>
  <c r="AL1519" i="8" a="1"/>
  <c r="AM1522" i="8" a="1"/>
  <c r="AM1524" i="8" a="1"/>
  <c r="AL1526" i="8" a="1"/>
  <c r="AM1531" i="8" a="1"/>
  <c r="AL1533" i="8" a="1"/>
  <c r="AM1537" i="8" a="1"/>
  <c r="AL1543" i="8" a="1"/>
  <c r="AM1547" i="8" a="1"/>
  <c r="AL1549" i="8" a="1"/>
  <c r="AM1554" i="8" a="1"/>
  <c r="AL1556" i="8" a="1"/>
  <c r="AM1560" i="8" a="1"/>
  <c r="AL1562" i="8" a="1"/>
  <c r="AL1567" i="8" a="1"/>
  <c r="AL1571" i="8" a="1"/>
  <c r="AM1576" i="8" a="1"/>
  <c r="AM1578" i="8" a="1"/>
  <c r="AL1580" i="8" a="1"/>
  <c r="AM1583" i="8" a="1"/>
  <c r="AL1585" i="8" a="1"/>
  <c r="AM1590" i="8" a="1"/>
  <c r="AL1592" i="8" a="1"/>
  <c r="AM1596" i="8" a="1"/>
  <c r="AL1599" i="8" a="1"/>
  <c r="AL1604" i="8" a="1"/>
  <c r="AM1607" i="8" a="1"/>
  <c r="AL1609" i="8" a="1"/>
  <c r="AM1612" i="8" a="1"/>
  <c r="AL1615" i="8" a="1"/>
  <c r="AL1627" i="8" a="1"/>
  <c r="AL1633" i="8" a="1"/>
  <c r="AL1639" i="8" a="1"/>
  <c r="AL1657" i="8" a="1"/>
  <c r="AL1666" i="8" a="1"/>
  <c r="AM1677" i="8" a="1"/>
  <c r="AL1680" i="8" a="1"/>
  <c r="AL1706" i="8" a="1"/>
  <c r="AM1712" i="8" a="1"/>
  <c r="AL1774" i="8" a="1"/>
  <c r="AM1779" i="8" a="1"/>
  <c r="AM1781" i="8" a="1"/>
  <c r="AL1794" i="8" a="1"/>
  <c r="AM1805" i="8" a="1"/>
  <c r="AM1824" i="8" a="1"/>
  <c r="AL1834" i="8" a="1"/>
  <c r="AL5" i="8" a="1"/>
  <c r="AN5" i="8" s="1"/>
  <c r="M351" i="8"/>
  <c r="M405" i="8"/>
  <c r="M646" i="8"/>
  <c r="M873" i="8"/>
  <c r="M885" i="8"/>
  <c r="M897" i="8"/>
  <c r="M909" i="8"/>
  <c r="M921" i="8"/>
  <c r="M933" i="8"/>
  <c r="M945" i="8"/>
  <c r="M953" i="8"/>
  <c r="M958" i="8"/>
  <c r="M962" i="8"/>
  <c r="M1009" i="8"/>
  <c r="M1020" i="8"/>
  <c r="M1029" i="8"/>
  <c r="M1035" i="8"/>
  <c r="M1036" i="8"/>
  <c r="M1038" i="8"/>
  <c r="M1061" i="8"/>
  <c r="M1115" i="8"/>
  <c r="M1134" i="8"/>
  <c r="M1147" i="8"/>
  <c r="M1152" i="8"/>
  <c r="M1170" i="8"/>
  <c r="M1194" i="8"/>
  <c r="M1196" i="8"/>
  <c r="M1211" i="8"/>
  <c r="M1235" i="8"/>
  <c r="M1246" i="8"/>
  <c r="M1253" i="8"/>
  <c r="M1271" i="8"/>
  <c r="M1282" i="8"/>
  <c r="M1285" i="8"/>
  <c r="M1295" i="8"/>
  <c r="M1298" i="8"/>
  <c r="M1320" i="8"/>
  <c r="M1331" i="8"/>
  <c r="M1338" i="8"/>
  <c r="M1342" i="8"/>
  <c r="M1345" i="8"/>
  <c r="M1347" i="8"/>
  <c r="M1355" i="8"/>
  <c r="M1366" i="8"/>
  <c r="M1367" i="8"/>
  <c r="M1369" i="8"/>
  <c r="M1371" i="8"/>
  <c r="M1373" i="8"/>
  <c r="M1375" i="8"/>
  <c r="M1377" i="8"/>
  <c r="M1391" i="8"/>
  <c r="M1402" i="8"/>
  <c r="M1424" i="8"/>
  <c r="M1430" i="8"/>
  <c r="M1431" i="8"/>
  <c r="M1436" i="8"/>
  <c r="M1440" i="8"/>
  <c r="M1441" i="8"/>
  <c r="M1442" i="8"/>
  <c r="M1444" i="8"/>
  <c r="M1454" i="8"/>
  <c r="M1464" i="8"/>
  <c r="M1465" i="8"/>
  <c r="M1468" i="8"/>
  <c r="M1470" i="8"/>
  <c r="M1477" i="8"/>
  <c r="M1478" i="8"/>
  <c r="M1479" i="8"/>
  <c r="M1481" i="8"/>
  <c r="M1483" i="8"/>
  <c r="M1485" i="8"/>
  <c r="M1486" i="8"/>
  <c r="M1488" i="8"/>
  <c r="M1490" i="8"/>
  <c r="M1498" i="8"/>
  <c r="M1499" i="8"/>
  <c r="M1505" i="8"/>
  <c r="M1510" i="8"/>
  <c r="M1517" i="8"/>
  <c r="M1527" i="8"/>
  <c r="M1529" i="8"/>
  <c r="M1535" i="8"/>
  <c r="M1539" i="8"/>
  <c r="M1550" i="8"/>
  <c r="M1553" i="8"/>
  <c r="M1565" i="8"/>
  <c r="M1570" i="8"/>
  <c r="M1574" i="8"/>
  <c r="M1575" i="8"/>
  <c r="M1577" i="8"/>
  <c r="M1588" i="8"/>
  <c r="M1589" i="8"/>
  <c r="M1591" i="8"/>
  <c r="M1594" i="8"/>
  <c r="M1598" i="8"/>
  <c r="M1601" i="8"/>
  <c r="M1602" i="8"/>
  <c r="M1606" i="8"/>
  <c r="M1613" i="8"/>
  <c r="M1614" i="8"/>
  <c r="M1616" i="8"/>
  <c r="M1619" i="8"/>
  <c r="M1620" i="8"/>
  <c r="M1622" i="8"/>
  <c r="M1624" i="8"/>
  <c r="M1626" i="8"/>
  <c r="M1628" i="8"/>
  <c r="M1630" i="8"/>
  <c r="M1632" i="8"/>
  <c r="M1634" i="8"/>
  <c r="M1636" i="8"/>
  <c r="M1638" i="8"/>
  <c r="M1640" i="8"/>
  <c r="M1642" i="8"/>
  <c r="M1644" i="8"/>
  <c r="M1646" i="8"/>
  <c r="M1648" i="8"/>
  <c r="M1650" i="8"/>
  <c r="M1652" i="8"/>
  <c r="M1653" i="8"/>
  <c r="M1654" i="8"/>
  <c r="M1656" i="8"/>
  <c r="M1658" i="8"/>
  <c r="M1659" i="8"/>
  <c r="M1660" i="8"/>
  <c r="M1661" i="8"/>
  <c r="M1662" i="8"/>
  <c r="M1663" i="8"/>
  <c r="M1664" i="8"/>
  <c r="M1665" i="8"/>
  <c r="M1667" i="8"/>
  <c r="M1668" i="8"/>
  <c r="M1669" i="8"/>
  <c r="M1671" i="8"/>
  <c r="M1672" i="8"/>
  <c r="M1673" i="8"/>
  <c r="M1674" i="8"/>
  <c r="M1675" i="8"/>
  <c r="M1676" i="8"/>
  <c r="M1678" i="8"/>
  <c r="M1679" i="8"/>
  <c r="M1681" i="8"/>
  <c r="M1682" i="8"/>
  <c r="M1683" i="8"/>
  <c r="M1684" i="8"/>
  <c r="M1686" i="8"/>
  <c r="M1687" i="8"/>
  <c r="M1689" i="8"/>
  <c r="M1690" i="8"/>
  <c r="M1691" i="8"/>
  <c r="M1693" i="8"/>
  <c r="M1694" i="8"/>
  <c r="M1695" i="8"/>
  <c r="M1696" i="8"/>
  <c r="M1697" i="8"/>
  <c r="M1698" i="8"/>
  <c r="M1699" i="8"/>
  <c r="M1701" i="8"/>
  <c r="M1702" i="8"/>
  <c r="M1705" i="8"/>
  <c r="M1707" i="8"/>
  <c r="M1708" i="8"/>
  <c r="M1709" i="8"/>
  <c r="M1710" i="8"/>
  <c r="M1711"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6" i="8"/>
  <c r="M1778" i="8"/>
  <c r="M1780" i="8"/>
  <c r="M1782" i="8"/>
  <c r="M1783" i="8"/>
  <c r="M1784" i="8"/>
  <c r="M1786" i="8"/>
  <c r="M1788" i="8"/>
  <c r="M1789" i="8"/>
  <c r="M1790" i="8"/>
  <c r="M1791" i="8"/>
  <c r="M1792" i="8"/>
  <c r="M1793" i="8"/>
  <c r="M1795" i="8"/>
  <c r="M1796" i="8"/>
  <c r="M1797" i="8"/>
  <c r="M1798" i="8"/>
  <c r="M1799" i="8"/>
  <c r="M1800" i="8"/>
  <c r="M1801" i="8"/>
  <c r="M1802" i="8"/>
  <c r="M1803" i="8"/>
  <c r="M1804" i="8"/>
  <c r="M1806" i="8"/>
  <c r="M1807" i="8"/>
  <c r="M1808" i="8"/>
  <c r="M1809" i="8"/>
  <c r="M1810" i="8"/>
  <c r="M1811" i="8"/>
  <c r="M1812" i="8"/>
  <c r="M1813" i="8"/>
  <c r="M1814" i="8"/>
  <c r="M1815" i="8"/>
  <c r="M1816" i="8"/>
  <c r="M1817" i="8"/>
  <c r="M1819" i="8"/>
  <c r="M1820" i="8"/>
  <c r="M1821" i="8"/>
  <c r="M1822" i="8"/>
  <c r="M1823" i="8"/>
  <c r="M1825" i="8"/>
  <c r="M1826" i="8"/>
  <c r="M1827" i="8"/>
  <c r="M1828" i="8"/>
  <c r="M1829" i="8"/>
  <c r="M1830" i="8"/>
  <c r="M1832" i="8"/>
  <c r="M1833" i="8"/>
  <c r="M1835" i="8"/>
  <c r="M1836"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O558" i="10" a="1"/>
  <c r="N558" i="10"/>
  <c r="N501" i="10"/>
  <c r="O501" i="10" a="1"/>
  <c r="O397" i="10" a="1"/>
  <c r="N397" i="10"/>
  <c r="N323" i="10"/>
  <c r="O323" i="10" a="1"/>
  <c r="N321" i="10"/>
  <c r="O321" i="10" a="1"/>
  <c r="G64" i="11"/>
  <c r="C64" i="11"/>
  <c r="C52" i="11"/>
  <c r="N592" i="10"/>
  <c r="O592" i="10" a="1"/>
  <c r="N517" i="10"/>
  <c r="O517" i="10" a="1"/>
  <c r="N495" i="10"/>
  <c r="O495" i="10" a="1"/>
  <c r="O465" i="10" a="1"/>
  <c r="N465" i="10"/>
  <c r="O436" i="10" a="1"/>
  <c r="N436" i="10"/>
  <c r="N348" i="10"/>
  <c r="O348" i="10" a="1"/>
  <c r="N144" i="10"/>
  <c r="O144" i="10" a="1"/>
  <c r="S1074" i="8"/>
  <c r="U1074" i="8" s="1"/>
  <c r="V1074" i="8" s="1"/>
  <c r="S1077" i="8"/>
  <c r="U1077" i="8" s="1"/>
  <c r="V1077" i="8" s="1"/>
  <c r="AC1199" i="8"/>
  <c r="AC850" i="8"/>
  <c r="AC974" i="8"/>
  <c r="AC973" i="8"/>
  <c r="AC972" i="8"/>
  <c r="AC971" i="8"/>
  <c r="AC970" i="8"/>
  <c r="AC969" i="8"/>
  <c r="AC968" i="8"/>
  <c r="AC967" i="8"/>
  <c r="AC966" i="8"/>
  <c r="AC965" i="8"/>
  <c r="AC964" i="8"/>
  <c r="AC963" i="8"/>
  <c r="AC962" i="8"/>
  <c r="AC961" i="8"/>
  <c r="AC960" i="8"/>
  <c r="AC959" i="8"/>
  <c r="AC958" i="8"/>
  <c r="AC957" i="8"/>
  <c r="AC956" i="8"/>
  <c r="AC955" i="8"/>
  <c r="AC954" i="8"/>
  <c r="AC953" i="8"/>
  <c r="AC952" i="8"/>
  <c r="AC951" i="8"/>
  <c r="AC950" i="8"/>
  <c r="AC949" i="8"/>
  <c r="AC948" i="8"/>
  <c r="AC947" i="8"/>
  <c r="AC946" i="8"/>
  <c r="AC945" i="8"/>
  <c r="AC944" i="8"/>
  <c r="AC943" i="8"/>
  <c r="AC942" i="8"/>
  <c r="AC941" i="8"/>
  <c r="AC940" i="8"/>
  <c r="AC939" i="8"/>
  <c r="AC938" i="8"/>
  <c r="AC937" i="8"/>
  <c r="AC936" i="8"/>
  <c r="AC935" i="8"/>
  <c r="AC934" i="8"/>
  <c r="AC933" i="8"/>
  <c r="AC932" i="8"/>
  <c r="AC931" i="8"/>
  <c r="AC930" i="8"/>
  <c r="AC929" i="8"/>
  <c r="AC928" i="8"/>
  <c r="AC927" i="8"/>
  <c r="AC926" i="8"/>
  <c r="AC925" i="8"/>
  <c r="AC924" i="8"/>
  <c r="AC923" i="8"/>
  <c r="AC922" i="8"/>
  <c r="AC921" i="8"/>
  <c r="AC920" i="8"/>
  <c r="AC919" i="8"/>
  <c r="AC918" i="8"/>
  <c r="AC917" i="8"/>
  <c r="AC916" i="8"/>
  <c r="AC915" i="8"/>
  <c r="AC914" i="8"/>
  <c r="AC913" i="8"/>
  <c r="AC912" i="8"/>
  <c r="AC911" i="8"/>
  <c r="AC910" i="8"/>
  <c r="AC909" i="8"/>
  <c r="AC908" i="8"/>
  <c r="AC907" i="8"/>
  <c r="AC493" i="8"/>
  <c r="AC492" i="8"/>
  <c r="AC491" i="8"/>
  <c r="AC490" i="8"/>
  <c r="AC1515" i="8"/>
  <c r="AC1198" i="8"/>
  <c r="AC1197" i="8"/>
  <c r="AC1196" i="8"/>
  <c r="AC978" i="8"/>
  <c r="AC977" i="8"/>
  <c r="AC976" i="8"/>
  <c r="AC975" i="8"/>
  <c r="AC781" i="8"/>
  <c r="AC614" i="8"/>
  <c r="I30" i="10"/>
  <c r="I61" i="10"/>
  <c r="N570" i="10"/>
  <c r="O570" i="10" a="1"/>
  <c r="N472" i="10"/>
  <c r="O472" i="10" a="1"/>
  <c r="N382" i="10"/>
  <c r="O382" i="10" a="1"/>
  <c r="O373" i="10" a="1"/>
  <c r="N373" i="10"/>
  <c r="O335" i="10" a="1"/>
  <c r="N335" i="10"/>
  <c r="O302" i="10" a="1"/>
  <c r="N302" i="10"/>
  <c r="N254" i="10"/>
  <c r="O254" i="10" a="1"/>
  <c r="O170" i="10" a="1"/>
  <c r="N170" i="10"/>
  <c r="N147" i="10"/>
  <c r="O147" i="10" a="1"/>
  <c r="O134" i="10" a="1"/>
  <c r="N134" i="10"/>
  <c r="B74" i="11"/>
  <c r="G52" i="11"/>
  <c r="C16" i="11"/>
  <c r="B32" i="11"/>
  <c r="AA614" i="8"/>
  <c r="AG850" i="8"/>
  <c r="AH850" i="8" s="1"/>
  <c r="AD850" i="8" s="1"/>
  <c r="AA619" i="8"/>
  <c r="AA172" i="8"/>
  <c r="AG1199" i="8"/>
  <c r="AH1199" i="8" s="1"/>
  <c r="AD1199" i="8" s="1"/>
  <c r="S1804" i="8"/>
  <c r="U1804" i="8" s="1"/>
  <c r="V1804" i="8" s="1"/>
  <c r="W1804" i="8" s="1"/>
  <c r="X1804" i="8" s="1"/>
  <c r="S1521" i="8"/>
  <c r="U1521" i="8" s="1"/>
  <c r="V1521" i="8" s="1"/>
  <c r="W1521" i="8" s="1"/>
  <c r="S1324" i="8"/>
  <c r="U1324" i="8" s="1"/>
  <c r="V1324" i="8" s="1"/>
  <c r="W1324" i="8" s="1"/>
  <c r="S1051" i="8"/>
  <c r="U1051" i="8" s="1"/>
  <c r="V1051" i="8" s="1"/>
  <c r="W1051" i="8" s="1"/>
  <c r="S969" i="8"/>
  <c r="U969" i="8" s="1"/>
  <c r="V969" i="8" s="1"/>
  <c r="W969" i="8" s="1"/>
  <c r="S1047" i="8"/>
  <c r="U1047" i="8" s="1"/>
  <c r="V1047" i="8" s="1"/>
  <c r="W1047" i="8" s="1"/>
  <c r="S1063" i="8"/>
  <c r="U1063" i="8" s="1"/>
  <c r="V1063" i="8" s="1"/>
  <c r="W1063" i="8" s="1"/>
  <c r="S1071" i="8"/>
  <c r="U1071" i="8" s="1"/>
  <c r="V1071" i="8" s="1"/>
  <c r="W1071" i="8" s="1"/>
  <c r="X1071" i="8" s="1"/>
  <c r="S1079" i="8"/>
  <c r="U1079" i="8" s="1"/>
  <c r="V1079" i="8" s="1"/>
  <c r="W1079" i="8" s="1"/>
  <c r="S1083" i="8"/>
  <c r="U1083" i="8" s="1"/>
  <c r="V1083" i="8" s="1"/>
  <c r="W1083" i="8" s="1"/>
  <c r="S1097" i="8"/>
  <c r="U1097" i="8" s="1"/>
  <c r="V1097" i="8" s="1"/>
  <c r="W1097" i="8" s="1"/>
  <c r="S1123" i="8"/>
  <c r="U1123" i="8" s="1"/>
  <c r="V1123" i="8" s="1"/>
  <c r="S1130" i="8"/>
  <c r="U1130" i="8" s="1"/>
  <c r="V1130" i="8" s="1"/>
  <c r="W1130" i="8" s="1"/>
  <c r="S1136" i="8"/>
  <c r="U1136" i="8" s="1"/>
  <c r="V1136" i="8" s="1"/>
  <c r="W1136" i="8" s="1"/>
  <c r="S1153" i="8"/>
  <c r="U1153" i="8" s="1"/>
  <c r="V1153" i="8" s="1"/>
  <c r="S1177" i="8"/>
  <c r="U1177" i="8" s="1"/>
  <c r="V1177" i="8" s="1"/>
  <c r="W1177" i="8" s="1"/>
  <c r="S1197" i="8"/>
  <c r="U1197" i="8" s="1"/>
  <c r="V1197" i="8" s="1"/>
  <c r="W1197" i="8" s="1"/>
  <c r="S1211" i="8"/>
  <c r="U1211" i="8" s="1"/>
  <c r="V1211" i="8" s="1"/>
  <c r="W1211" i="8" s="1"/>
  <c r="S1222" i="8"/>
  <c r="U1222" i="8" s="1"/>
  <c r="V1222" i="8" s="1"/>
  <c r="W1222" i="8" s="1"/>
  <c r="S1231" i="8"/>
  <c r="U1231" i="8" s="1"/>
  <c r="V1231" i="8" s="1"/>
  <c r="W1231" i="8" s="1"/>
  <c r="S1241" i="8"/>
  <c r="U1241" i="8" s="1"/>
  <c r="V1241" i="8" s="1"/>
  <c r="W1241" i="8" s="1"/>
  <c r="S1251" i="8"/>
  <c r="U1251" i="8" s="1"/>
  <c r="V1251" i="8" s="1"/>
  <c r="S1262" i="8"/>
  <c r="U1262" i="8" s="1"/>
  <c r="V1262" i="8" s="1"/>
  <c r="S1270" i="8"/>
  <c r="U1270" i="8" s="1"/>
  <c r="V1270" i="8" s="1"/>
  <c r="W1270" i="8" s="1"/>
  <c r="S1279" i="8"/>
  <c r="U1279" i="8" s="1"/>
  <c r="V1279" i="8" s="1"/>
  <c r="W1279" i="8" s="1"/>
  <c r="S1292" i="8"/>
  <c r="U1292" i="8" s="1"/>
  <c r="V1292" i="8" s="1"/>
  <c r="S1298" i="8"/>
  <c r="U1298" i="8" s="1"/>
  <c r="V1298" i="8" s="1"/>
  <c r="W1298" i="8" s="1"/>
  <c r="S1309" i="8"/>
  <c r="U1309" i="8" s="1"/>
  <c r="V1309" i="8" s="1"/>
  <c r="W1309" i="8" s="1"/>
  <c r="S1317" i="8"/>
  <c r="U1317" i="8" s="1"/>
  <c r="V1317" i="8" s="1"/>
  <c r="W1317" i="8" s="1"/>
  <c r="S1329" i="8"/>
  <c r="U1329" i="8" s="1"/>
  <c r="V1329" i="8" s="1"/>
  <c r="S1339" i="8"/>
  <c r="U1339" i="8" s="1"/>
  <c r="V1339" i="8" s="1"/>
  <c r="S1523" i="8"/>
  <c r="U1523" i="8" s="1"/>
  <c r="V1523" i="8" s="1"/>
  <c r="W1523" i="8" s="1"/>
  <c r="S1070" i="8"/>
  <c r="U1070" i="8" s="1"/>
  <c r="V1070" i="8" s="1"/>
  <c r="W1070" i="8" s="1"/>
  <c r="X1070" i="8" s="1"/>
  <c r="S1105" i="8"/>
  <c r="U1105" i="8" s="1"/>
  <c r="V1105" i="8" s="1"/>
  <c r="W1105" i="8" s="1"/>
  <c r="S1124" i="8"/>
  <c r="U1124" i="8" s="1"/>
  <c r="V1124" i="8" s="1"/>
  <c r="S1148" i="8"/>
  <c r="U1148" i="8" s="1"/>
  <c r="V1148" i="8" s="1"/>
  <c r="W1148" i="8" s="1"/>
  <c r="S1165" i="8"/>
  <c r="U1165" i="8" s="1"/>
  <c r="V1165" i="8" s="1"/>
  <c r="W1165" i="8" s="1"/>
  <c r="S1182" i="8"/>
  <c r="U1182" i="8" s="1"/>
  <c r="V1182" i="8" s="1"/>
  <c r="W1182" i="8" s="1"/>
  <c r="S1206" i="8"/>
  <c r="U1206" i="8" s="1"/>
  <c r="V1206" i="8" s="1"/>
  <c r="W1206" i="8" s="1"/>
  <c r="S1218" i="8"/>
  <c r="U1218" i="8" s="1"/>
  <c r="V1218" i="8" s="1"/>
  <c r="W1218" i="8" s="1"/>
  <c r="S1233" i="8"/>
  <c r="U1233" i="8" s="1"/>
  <c r="V1233" i="8" s="1"/>
  <c r="S1244" i="8"/>
  <c r="U1244" i="8" s="1"/>
  <c r="V1244" i="8" s="1"/>
  <c r="S1254" i="8"/>
  <c r="U1254" i="8" s="1"/>
  <c r="V1254" i="8" s="1"/>
  <c r="W1254" i="8" s="1"/>
  <c r="S1264" i="8"/>
  <c r="U1264" i="8" s="1"/>
  <c r="V1264" i="8" s="1"/>
  <c r="S1272" i="8"/>
  <c r="U1272" i="8" s="1"/>
  <c r="V1272" i="8" s="1"/>
  <c r="W1272" i="8" s="1"/>
  <c r="S1286" i="8"/>
  <c r="U1286" i="8" s="1"/>
  <c r="V1286" i="8" s="1"/>
  <c r="S1293" i="8"/>
  <c r="U1293" i="8" s="1"/>
  <c r="V1293" i="8" s="1"/>
  <c r="S1302" i="8"/>
  <c r="U1302" i="8" s="1"/>
  <c r="V1302" i="8" s="1"/>
  <c r="S1314" i="8"/>
  <c r="U1314" i="8" s="1"/>
  <c r="V1314" i="8" s="1"/>
  <c r="W1314" i="8" s="1"/>
  <c r="S1326" i="8"/>
  <c r="U1326" i="8" s="1"/>
  <c r="V1326" i="8" s="1"/>
  <c r="S1059" i="8"/>
  <c r="U1059" i="8" s="1"/>
  <c r="V1059" i="8" s="1"/>
  <c r="W1059" i="8" s="1"/>
  <c r="S1055" i="8"/>
  <c r="U1055" i="8" s="1"/>
  <c r="V1055" i="8" s="1"/>
  <c r="W1055" i="8" s="1"/>
  <c r="S1067" i="8"/>
  <c r="U1067" i="8" s="1"/>
  <c r="V1067" i="8" s="1"/>
  <c r="W1067" i="8" s="1"/>
  <c r="S1073" i="8"/>
  <c r="U1073" i="8" s="1"/>
  <c r="V1073" i="8" s="1"/>
  <c r="S1087" i="8"/>
  <c r="U1087" i="8" s="1"/>
  <c r="V1087" i="8" s="1"/>
  <c r="W1087" i="8" s="1"/>
  <c r="S1103" i="8"/>
  <c r="U1103" i="8" s="1"/>
  <c r="V1103" i="8" s="1"/>
  <c r="W1103" i="8" s="1"/>
  <c r="S1116" i="8"/>
  <c r="U1116" i="8" s="1"/>
  <c r="V1116" i="8" s="1"/>
  <c r="S1128" i="8"/>
  <c r="U1128" i="8" s="1"/>
  <c r="V1128" i="8" s="1"/>
  <c r="W1128" i="8" s="1"/>
  <c r="S1133" i="8"/>
  <c r="U1133" i="8" s="1"/>
  <c r="V1133" i="8" s="1"/>
  <c r="S1154" i="8"/>
  <c r="U1154" i="8" s="1"/>
  <c r="V1154" i="8" s="1"/>
  <c r="S1162" i="8"/>
  <c r="U1162" i="8" s="1"/>
  <c r="V1162" i="8" s="1"/>
  <c r="W1162" i="8" s="1"/>
  <c r="S1180" i="8"/>
  <c r="U1180" i="8" s="1"/>
  <c r="V1180" i="8" s="1"/>
  <c r="W1180" i="8" s="1"/>
  <c r="S1191" i="8"/>
  <c r="U1191" i="8" s="1"/>
  <c r="V1191" i="8" s="1"/>
  <c r="W1191" i="8" s="1"/>
  <c r="S1208" i="8"/>
  <c r="U1208" i="8" s="1"/>
  <c r="V1208" i="8" s="1"/>
  <c r="W1208" i="8" s="1"/>
  <c r="S1214" i="8"/>
  <c r="U1214" i="8" s="1"/>
  <c r="V1214" i="8" s="1"/>
  <c r="W1214" i="8" s="1"/>
  <c r="S1237" i="8"/>
  <c r="U1237" i="8" s="1"/>
  <c r="V1237" i="8" s="1"/>
  <c r="W1237" i="8" s="1"/>
  <c r="S1248" i="8"/>
  <c r="U1248" i="8" s="1"/>
  <c r="V1248" i="8" s="1"/>
  <c r="W1248" i="8" s="1"/>
  <c r="S1263" i="8"/>
  <c r="U1263" i="8" s="1"/>
  <c r="V1263" i="8" s="1"/>
  <c r="S1267" i="8"/>
  <c r="U1267" i="8" s="1"/>
  <c r="V1267" i="8" s="1"/>
  <c r="W1267" i="8" s="1"/>
  <c r="S1274" i="8"/>
  <c r="U1274" i="8" s="1"/>
  <c r="V1274" i="8" s="1"/>
  <c r="W1274" i="8" s="1"/>
  <c r="S1282" i="8"/>
  <c r="U1282" i="8" s="1"/>
  <c r="V1282" i="8" s="1"/>
  <c r="W1282" i="8" s="1"/>
  <c r="S1289" i="8"/>
  <c r="U1289" i="8" s="1"/>
  <c r="V1289" i="8" s="1"/>
  <c r="W1289" i="8" s="1"/>
  <c r="S1301" i="8"/>
  <c r="U1301" i="8" s="1"/>
  <c r="V1301" i="8" s="1"/>
  <c r="S1313" i="8"/>
  <c r="U1313" i="8" s="1"/>
  <c r="V1313" i="8" s="1"/>
  <c r="W1313" i="8" s="1"/>
  <c r="S1325" i="8"/>
  <c r="U1325" i="8" s="1"/>
  <c r="V1325" i="8" s="1"/>
  <c r="S1330" i="8"/>
  <c r="U1330" i="8" s="1"/>
  <c r="V1330" i="8" s="1"/>
  <c r="S1517" i="8"/>
  <c r="U1517" i="8" s="1"/>
  <c r="V1517" i="8" s="1"/>
  <c r="W1517" i="8" s="1"/>
  <c r="S1112" i="8"/>
  <c r="U1112" i="8" s="1"/>
  <c r="V1112" i="8" s="1"/>
  <c r="W1112" i="8" s="1"/>
  <c r="S1134" i="8"/>
  <c r="U1134" i="8" s="1"/>
  <c r="V1134" i="8" s="1"/>
  <c r="S1156" i="8"/>
  <c r="U1156" i="8" s="1"/>
  <c r="V1156" i="8" s="1"/>
  <c r="W1156" i="8" s="1"/>
  <c r="S1185" i="8"/>
  <c r="U1185" i="8" s="1"/>
  <c r="V1185" i="8" s="1"/>
  <c r="W1185" i="8" s="1"/>
  <c r="S1201" i="8"/>
  <c r="U1201" i="8" s="1"/>
  <c r="V1201" i="8" s="1"/>
  <c r="W1201" i="8" s="1"/>
  <c r="S1228" i="8"/>
  <c r="U1228" i="8" s="1"/>
  <c r="V1228" i="8" s="1"/>
  <c r="W1228" i="8" s="1"/>
  <c r="S1245" i="8"/>
  <c r="U1245" i="8" s="1"/>
  <c r="V1245" i="8" s="1"/>
  <c r="S1252" i="8"/>
  <c r="U1252" i="8" s="1"/>
  <c r="V1252" i="8" s="1"/>
  <c r="S1265" i="8"/>
  <c r="U1265" i="8" s="1"/>
  <c r="V1265" i="8" s="1"/>
  <c r="W1265" i="8" s="1"/>
  <c r="X1265" i="8" s="1"/>
  <c r="S1287" i="8"/>
  <c r="U1287" i="8" s="1"/>
  <c r="V1287" i="8" s="1"/>
  <c r="S1297" i="8"/>
  <c r="U1297" i="8" s="1"/>
  <c r="V1297" i="8" s="1"/>
  <c r="W1297" i="8" s="1"/>
  <c r="S1303" i="8"/>
  <c r="U1303" i="8" s="1"/>
  <c r="V1303" i="8" s="1"/>
  <c r="W1303" i="8" s="1"/>
  <c r="X1303" i="8" s="1"/>
  <c r="S1321" i="8"/>
  <c r="U1321" i="8" s="1"/>
  <c r="V1321" i="8" s="1"/>
  <c r="W1321" i="8" s="1"/>
  <c r="S1335" i="8"/>
  <c r="U1335" i="8" s="1"/>
  <c r="V1335" i="8" s="1"/>
  <c r="W1335" i="8" s="1"/>
  <c r="S1524" i="8"/>
  <c r="U1524" i="8" s="1"/>
  <c r="V1524" i="8" s="1"/>
  <c r="W1524" i="8" s="1"/>
  <c r="S1323" i="8"/>
  <c r="U1323" i="8" s="1"/>
  <c r="V1323" i="8" s="1"/>
  <c r="W1323" i="8" s="1"/>
  <c r="S1319" i="8"/>
  <c r="U1319" i="8" s="1"/>
  <c r="V1319" i="8" s="1"/>
  <c r="W1319" i="8" s="1"/>
  <c r="S1328" i="8"/>
  <c r="U1328" i="8" s="1"/>
  <c r="V1328" i="8" s="1"/>
  <c r="W1328" i="8" s="1"/>
  <c r="S1333" i="8"/>
  <c r="U1333" i="8" s="1"/>
  <c r="V1333" i="8" s="1"/>
  <c r="W1333" i="8" s="1"/>
  <c r="S1337" i="8"/>
  <c r="U1337" i="8" s="1"/>
  <c r="V1337" i="8" s="1"/>
  <c r="W1337" i="8" s="1"/>
  <c r="S1338" i="8"/>
  <c r="U1338" i="8" s="1"/>
  <c r="V1338" i="8" s="1"/>
  <c r="W1338" i="8" s="1"/>
  <c r="S1320" i="8"/>
  <c r="U1320" i="8" s="1"/>
  <c r="V1320" i="8" s="1"/>
  <c r="W1320" i="8" s="1"/>
  <c r="S1334" i="8"/>
  <c r="U1334" i="8" s="1"/>
  <c r="V1334" i="8" s="1"/>
  <c r="W1334" i="8" s="1"/>
  <c r="S1331" i="8"/>
  <c r="U1331" i="8" s="1"/>
  <c r="V1331" i="8" s="1"/>
  <c r="W1331" i="8" s="1"/>
  <c r="S1332" i="8"/>
  <c r="U1332" i="8" s="1"/>
  <c r="V1332" i="8" s="1"/>
  <c r="W1332" i="8" s="1"/>
  <c r="S1322" i="8"/>
  <c r="U1322" i="8" s="1"/>
  <c r="V1322" i="8" s="1"/>
  <c r="W1322" i="8" s="1"/>
  <c r="S1327" i="8"/>
  <c r="U1327" i="8" s="1"/>
  <c r="V1327" i="8" s="1"/>
  <c r="W1327" i="8" s="1"/>
  <c r="S1336" i="8"/>
  <c r="U1336" i="8" s="1"/>
  <c r="V1336" i="8" s="1"/>
  <c r="W1336" i="8" s="1"/>
  <c r="I132" i="10"/>
  <c r="I130" i="10"/>
  <c r="I129" i="10"/>
  <c r="I127" i="10"/>
  <c r="I124" i="10"/>
  <c r="I108" i="10"/>
  <c r="J105" i="10"/>
  <c r="E105" i="11"/>
  <c r="I102" i="10"/>
  <c r="E102" i="11"/>
  <c r="I101" i="10"/>
  <c r="E100" i="11"/>
  <c r="I99" i="10"/>
  <c r="I97" i="10"/>
  <c r="I96" i="10"/>
  <c r="I81" i="10"/>
  <c r="I76" i="10"/>
  <c r="I69" i="10"/>
  <c r="I67" i="10"/>
  <c r="E67" i="11"/>
  <c r="I66" i="10"/>
  <c r="S1499" i="8"/>
  <c r="U1499" i="8" s="1"/>
  <c r="V1499" i="8" s="1"/>
  <c r="W1499" i="8" s="1"/>
  <c r="O150" i="10" a="1"/>
  <c r="N150" i="10"/>
  <c r="N292" i="10"/>
  <c r="O292" i="10" a="1"/>
  <c r="B59" i="13"/>
  <c r="C59" i="13"/>
  <c r="D59" i="13"/>
  <c r="N278" i="10"/>
  <c r="O278" i="10" a="1"/>
  <c r="N230" i="10"/>
  <c r="O230" i="10" a="1"/>
  <c r="N181" i="10"/>
  <c r="O181" i="10" a="1"/>
  <c r="S1519" i="8"/>
  <c r="U1519" i="8" s="1"/>
  <c r="V1519" i="8" s="1"/>
  <c r="W1519" i="8" s="1"/>
  <c r="S945" i="8"/>
  <c r="U945" i="8" s="1"/>
  <c r="V945" i="8" s="1"/>
  <c r="W945" i="8" s="1"/>
  <c r="S921" i="8"/>
  <c r="U921" i="8" s="1"/>
  <c r="V921" i="8" s="1"/>
  <c r="W921" i="8" s="1"/>
  <c r="S1610" i="8"/>
  <c r="U1610" i="8" s="1"/>
  <c r="V1610" i="8" s="1"/>
  <c r="S1608" i="8"/>
  <c r="U1608" i="8" s="1"/>
  <c r="V1608" i="8" s="1"/>
  <c r="S1607" i="8"/>
  <c r="U1607" i="8" s="1"/>
  <c r="V1607" i="8" s="1"/>
  <c r="S1604" i="8"/>
  <c r="U1604" i="8" s="1"/>
  <c r="V1604" i="8" s="1"/>
  <c r="S1598" i="8"/>
  <c r="U1598" i="8" s="1"/>
  <c r="V1598" i="8" s="1"/>
  <c r="S1596" i="8"/>
  <c r="U1596" i="8" s="1"/>
  <c r="V1596" i="8" s="1"/>
  <c r="S1595" i="8"/>
  <c r="U1595" i="8" s="1"/>
  <c r="V1595" i="8" s="1"/>
  <c r="S1529" i="8"/>
  <c r="U1529" i="8" s="1"/>
  <c r="V1529" i="8" s="1"/>
  <c r="W1529" i="8" s="1"/>
  <c r="S547" i="8"/>
  <c r="U547" i="8" s="1"/>
  <c r="V547" i="8" s="1"/>
  <c r="W547" i="8" s="1"/>
  <c r="X547" i="8" s="1"/>
  <c r="G6" i="14"/>
  <c r="I6" i="14" s="1"/>
  <c r="S1572" i="8"/>
  <c r="U1572" i="8" s="1"/>
  <c r="V1572" i="8" s="1"/>
  <c r="S1584" i="8"/>
  <c r="U1584" i="8" s="1"/>
  <c r="V1584" i="8" s="1"/>
  <c r="S1532" i="8"/>
  <c r="U1532" i="8" s="1"/>
  <c r="V1532" i="8" s="1"/>
  <c r="W1532" i="8" s="1"/>
  <c r="S1568" i="8"/>
  <c r="U1568" i="8" s="1"/>
  <c r="V1568" i="8" s="1"/>
  <c r="S1580" i="8"/>
  <c r="U1580" i="8" s="1"/>
  <c r="V1580" i="8" s="1"/>
  <c r="S1592" i="8"/>
  <c r="U1592" i="8" s="1"/>
  <c r="V1592" i="8" s="1"/>
  <c r="S1571" i="8"/>
  <c r="U1571" i="8" s="1"/>
  <c r="V1571" i="8" s="1"/>
  <c r="S1583" i="8"/>
  <c r="U1583" i="8" s="1"/>
  <c r="V1583" i="8" s="1"/>
  <c r="S1526" i="8"/>
  <c r="U1526" i="8" s="1"/>
  <c r="V1526" i="8" s="1"/>
  <c r="W1526" i="8" s="1"/>
  <c r="S1574" i="8"/>
  <c r="U1574" i="8" s="1"/>
  <c r="V1574" i="8" s="1"/>
  <c r="S1586" i="8"/>
  <c r="U1586" i="8" s="1"/>
  <c r="V1586" i="8" s="1"/>
  <c r="E113" i="11"/>
  <c r="C113" i="11"/>
  <c r="I113" i="11"/>
  <c r="G113" i="11"/>
  <c r="S1391" i="8"/>
  <c r="U1391" i="8" s="1"/>
  <c r="V1391" i="8" s="1"/>
  <c r="W1391" i="8" s="1"/>
  <c r="S1522" i="8"/>
  <c r="U1522" i="8" s="1"/>
  <c r="V1522" i="8" s="1"/>
  <c r="W1522" i="8" s="1"/>
  <c r="S1515" i="8"/>
  <c r="U1515" i="8" s="1"/>
  <c r="V1515" i="8" s="1"/>
  <c r="W1515" i="8" s="1"/>
  <c r="S1656" i="8"/>
  <c r="U1656" i="8" s="1"/>
  <c r="V1656" i="8" s="1"/>
  <c r="W1656" i="8" s="1"/>
  <c r="D1884" i="8"/>
  <c r="AB1884" i="8" s="1"/>
  <c r="E1884" i="8"/>
  <c r="D1882" i="8"/>
  <c r="AB1882" i="8" s="1"/>
  <c r="E1882" i="8"/>
  <c r="D1885" i="8"/>
  <c r="AB1885" i="8" s="1"/>
  <c r="E1885" i="8"/>
  <c r="D1883" i="8"/>
  <c r="AB1883" i="8" s="1"/>
  <c r="E1883" i="8"/>
  <c r="D1881" i="8"/>
  <c r="AB1881" i="8" s="1"/>
  <c r="E1881" i="8"/>
  <c r="D1754" i="8"/>
  <c r="AB1754" i="8" s="1"/>
  <c r="E1754" i="8"/>
  <c r="D1753" i="8"/>
  <c r="AB1753" i="8" s="1"/>
  <c r="E1753" i="8"/>
  <c r="D1755" i="8"/>
  <c r="AB1755" i="8" s="1"/>
  <c r="E1755" i="8"/>
  <c r="D1758" i="8"/>
  <c r="AB1758" i="8" s="1"/>
  <c r="E1758" i="8"/>
  <c r="D1757" i="8"/>
  <c r="AB1757" i="8" s="1"/>
  <c r="E1757" i="8"/>
  <c r="D1756" i="8"/>
  <c r="AB1756" i="8" s="1"/>
  <c r="E1756" i="8"/>
  <c r="D1763" i="8"/>
  <c r="AB1763" i="8" s="1"/>
  <c r="E1763" i="8"/>
  <c r="D1807" i="8"/>
  <c r="AB1807" i="8" s="1"/>
  <c r="E1807" i="8"/>
  <c r="D1805" i="8"/>
  <c r="AB1805" i="8" s="1"/>
  <c r="E1805" i="8"/>
  <c r="D1827" i="8"/>
  <c r="AB1827" i="8" s="1"/>
  <c r="E1827" i="8"/>
  <c r="D1806" i="8"/>
  <c r="AB1806" i="8" s="1"/>
  <c r="E1806" i="8"/>
  <c r="D1804" i="8"/>
  <c r="AB1804" i="8" s="1"/>
  <c r="E1804" i="8"/>
  <c r="D1761" i="8"/>
  <c r="E1761" i="8"/>
  <c r="D1759" i="8"/>
  <c r="E1759" i="8"/>
  <c r="D1764" i="8"/>
  <c r="E1764" i="8"/>
  <c r="D1760" i="8"/>
  <c r="E1760" i="8"/>
  <c r="S1548" i="8"/>
  <c r="U1548" i="8" s="1"/>
  <c r="V1548" i="8" s="1"/>
  <c r="S1536" i="8"/>
  <c r="U1536" i="8" s="1"/>
  <c r="V1536" i="8" s="1"/>
  <c r="W1536" i="8" s="1"/>
  <c r="S1560" i="8"/>
  <c r="U1560" i="8" s="1"/>
  <c r="V1560" i="8" s="1"/>
  <c r="S1520" i="8"/>
  <c r="U1520" i="8" s="1"/>
  <c r="V1520" i="8" s="1"/>
  <c r="W1520" i="8" s="1"/>
  <c r="S1556" i="8"/>
  <c r="U1556" i="8" s="1"/>
  <c r="V1556" i="8" s="1"/>
  <c r="S1544" i="8"/>
  <c r="U1544" i="8" s="1"/>
  <c r="V1544" i="8" s="1"/>
  <c r="S1535" i="8"/>
  <c r="U1535" i="8" s="1"/>
  <c r="V1535" i="8" s="1"/>
  <c r="W1535" i="8" s="1"/>
  <c r="S1547" i="8"/>
  <c r="U1547" i="8" s="1"/>
  <c r="V1547" i="8" s="1"/>
  <c r="S1559" i="8"/>
  <c r="U1559" i="8" s="1"/>
  <c r="V1559" i="8" s="1"/>
  <c r="S1550" i="8"/>
  <c r="U1550" i="8" s="1"/>
  <c r="V1550" i="8" s="1"/>
  <c r="S1538" i="8"/>
  <c r="U1538" i="8" s="1"/>
  <c r="V1538" i="8" s="1"/>
  <c r="W1538" i="8" s="1"/>
  <c r="S1562" i="8"/>
  <c r="U1562" i="8" s="1"/>
  <c r="V1562" i="8" s="1"/>
  <c r="E12" i="11"/>
  <c r="D1498" i="8"/>
  <c r="S1498" i="8"/>
  <c r="U1498" i="8" s="1"/>
  <c r="V1498" i="8" s="1"/>
  <c r="W1498" i="8" s="1"/>
  <c r="E1498" i="8"/>
  <c r="D1809" i="8"/>
  <c r="AB1809" i="8" s="1"/>
  <c r="E1809" i="8"/>
  <c r="D1811" i="8"/>
  <c r="AB1811" i="8" s="1"/>
  <c r="E1811" i="8"/>
  <c r="D1808" i="8"/>
  <c r="AB1808" i="8" s="1"/>
  <c r="E1808" i="8"/>
  <c r="D1812" i="8"/>
  <c r="AB1812" i="8" s="1"/>
  <c r="E1812" i="8"/>
  <c r="D1810" i="8"/>
  <c r="AB1810" i="8" s="1"/>
  <c r="E1810" i="8"/>
  <c r="D1792" i="8"/>
  <c r="E1792" i="8"/>
  <c r="D1790" i="8"/>
  <c r="E1790" i="8"/>
  <c r="D1793" i="8"/>
  <c r="E1793" i="8"/>
  <c r="D1791" i="8"/>
  <c r="E1791" i="8"/>
  <c r="D1794" i="8"/>
  <c r="E1794" i="8"/>
  <c r="D1392" i="8"/>
  <c r="E1392" i="8"/>
  <c r="D1394" i="8"/>
  <c r="S1394" i="8"/>
  <c r="U1394" i="8" s="1"/>
  <c r="V1394" i="8" s="1"/>
  <c r="W1394" i="8" s="1"/>
  <c r="E1394" i="8"/>
  <c r="D1395" i="8"/>
  <c r="S1395" i="8"/>
  <c r="U1395" i="8" s="1"/>
  <c r="V1395" i="8" s="1"/>
  <c r="W1395" i="8" s="1"/>
  <c r="E1395" i="8"/>
  <c r="D1393" i="8"/>
  <c r="E1393" i="8"/>
  <c r="S1393" i="8"/>
  <c r="U1393" i="8" s="1"/>
  <c r="V1393" i="8" s="1"/>
  <c r="W1393" i="8" s="1"/>
  <c r="D1910" i="8"/>
  <c r="E1910" i="8"/>
  <c r="D1911" i="8"/>
  <c r="E1911" i="8"/>
  <c r="D1349" i="8"/>
  <c r="E1349" i="8"/>
  <c r="S1349" i="8"/>
  <c r="U1349" i="8" s="1"/>
  <c r="V1349" i="8" s="1"/>
  <c r="W1349" i="8" s="1"/>
  <c r="D1350" i="8"/>
  <c r="S1350" i="8"/>
  <c r="U1350" i="8" s="1"/>
  <c r="V1350" i="8" s="1"/>
  <c r="W1350" i="8" s="1"/>
  <c r="E1350" i="8"/>
  <c r="D1352" i="8"/>
  <c r="S1352" i="8"/>
  <c r="U1352" i="8" s="1"/>
  <c r="V1352" i="8" s="1"/>
  <c r="W1352" i="8" s="1"/>
  <c r="E1352" i="8"/>
  <c r="D1348" i="8"/>
  <c r="E1348" i="8"/>
  <c r="S1348" i="8"/>
  <c r="U1348" i="8" s="1"/>
  <c r="V1348" i="8" s="1"/>
  <c r="W1348" i="8" s="1"/>
  <c r="D1351" i="8"/>
  <c r="S1351" i="8"/>
  <c r="U1351" i="8" s="1"/>
  <c r="V1351" i="8" s="1"/>
  <c r="W1351" i="8" s="1"/>
  <c r="E1351" i="8"/>
  <c r="D1654" i="8"/>
  <c r="AB1654" i="8" s="1"/>
  <c r="S1654" i="8"/>
  <c r="U1654" i="8" s="1"/>
  <c r="V1654" i="8" s="1"/>
  <c r="E1654" i="8"/>
  <c r="D1655" i="8"/>
  <c r="AB1655" i="8" s="1"/>
  <c r="S1655" i="8"/>
  <c r="U1655" i="8" s="1"/>
  <c r="V1655" i="8" s="1"/>
  <c r="E1655" i="8"/>
  <c r="D1653" i="8"/>
  <c r="AB1653" i="8" s="1"/>
  <c r="E1653" i="8"/>
  <c r="S1653" i="8"/>
  <c r="U1653" i="8" s="1"/>
  <c r="V1653" i="8" s="1"/>
  <c r="W1653" i="8" s="1"/>
  <c r="D1823" i="8"/>
  <c r="AB1823" i="8" s="1"/>
  <c r="E1823" i="8"/>
  <c r="D1824" i="8"/>
  <c r="AB1824" i="8" s="1"/>
  <c r="E1824" i="8"/>
  <c r="D1826" i="8"/>
  <c r="AB1826" i="8" s="1"/>
  <c r="E1826" i="8"/>
  <c r="D1825" i="8"/>
  <c r="AB1825" i="8" s="1"/>
  <c r="S1885" i="8"/>
  <c r="U1885" i="8" s="1"/>
  <c r="V1885" i="8" s="1"/>
  <c r="S1825" i="8"/>
  <c r="U1825" i="8" s="1"/>
  <c r="V1825" i="8" s="1"/>
  <c r="E1825" i="8"/>
  <c r="D1397" i="8"/>
  <c r="E1397" i="8"/>
  <c r="S1397" i="8"/>
  <c r="U1397" i="8" s="1"/>
  <c r="V1397" i="8" s="1"/>
  <c r="D1399" i="8"/>
  <c r="E1399" i="8"/>
  <c r="S1399" i="8"/>
  <c r="U1399" i="8" s="1"/>
  <c r="V1399" i="8" s="1"/>
  <c r="W1399" i="8" s="1"/>
  <c r="D1396" i="8"/>
  <c r="S1396" i="8"/>
  <c r="U1396" i="8" s="1"/>
  <c r="V1396" i="8" s="1"/>
  <c r="E1396" i="8"/>
  <c r="D1400" i="8"/>
  <c r="E1400" i="8"/>
  <c r="S1400" i="8"/>
  <c r="U1400" i="8" s="1"/>
  <c r="V1400" i="8" s="1"/>
  <c r="W1400" i="8" s="1"/>
  <c r="D1398" i="8"/>
  <c r="S1398" i="8"/>
  <c r="U1398" i="8" s="1"/>
  <c r="V1398" i="8" s="1"/>
  <c r="E1398" i="8"/>
  <c r="D1403" i="8"/>
  <c r="AB1403" i="8" s="1"/>
  <c r="E1403" i="8"/>
  <c r="S1403" i="8"/>
  <c r="U1403" i="8" s="1"/>
  <c r="V1403" i="8" s="1"/>
  <c r="W1403" i="8" s="1"/>
  <c r="D1405" i="8"/>
  <c r="AB1405" i="8" s="1"/>
  <c r="E1405" i="8"/>
  <c r="S1405" i="8"/>
  <c r="U1405" i="8" s="1"/>
  <c r="V1405" i="8" s="1"/>
  <c r="W1405" i="8" s="1"/>
  <c r="D1407" i="8"/>
  <c r="AB1407" i="8" s="1"/>
  <c r="S1407" i="8"/>
  <c r="U1407" i="8" s="1"/>
  <c r="V1407" i="8" s="1"/>
  <c r="W1407" i="8" s="1"/>
  <c r="X1407" i="8" s="1"/>
  <c r="E1407" i="8"/>
  <c r="D1408" i="8"/>
  <c r="AB1408" i="8" s="1"/>
  <c r="S1408" i="8"/>
  <c r="U1408" i="8" s="1"/>
  <c r="V1408" i="8" s="1"/>
  <c r="E1408" i="8"/>
  <c r="D1406" i="8"/>
  <c r="AB1406" i="8" s="1"/>
  <c r="S1406" i="8"/>
  <c r="U1406" i="8" s="1"/>
  <c r="V1406" i="8" s="1"/>
  <c r="W1406" i="8" s="1"/>
  <c r="E1406" i="8"/>
  <c r="D1404" i="8"/>
  <c r="AB1404" i="8" s="1"/>
  <c r="S1404" i="8"/>
  <c r="U1404" i="8" s="1"/>
  <c r="V1404" i="8" s="1"/>
  <c r="W1404" i="8" s="1"/>
  <c r="E1404" i="8"/>
  <c r="D1908" i="8"/>
  <c r="S1908" i="8"/>
  <c r="U1908" i="8" s="1"/>
  <c r="V1908" i="8" s="1"/>
  <c r="E1908" i="8"/>
  <c r="D1909" i="8"/>
  <c r="E1909" i="8"/>
  <c r="S1909" i="8"/>
  <c r="U1909" i="8" s="1"/>
  <c r="V1909" i="8" s="1"/>
  <c r="D1907" i="8"/>
  <c r="E1907" i="8"/>
  <c r="D1905" i="8"/>
  <c r="E1905" i="8"/>
  <c r="D1903" i="8"/>
  <c r="E1903" i="8"/>
  <c r="D1906" i="8"/>
  <c r="E1906" i="8"/>
  <c r="D1904" i="8"/>
  <c r="E1904" i="8"/>
  <c r="B245" i="13"/>
  <c r="D245" i="13"/>
  <c r="C245" i="13"/>
  <c r="D1639" i="8"/>
  <c r="AB1639" i="8" s="1"/>
  <c r="E1639" i="8"/>
  <c r="S1639" i="8"/>
  <c r="U1639" i="8" s="1"/>
  <c r="V1639" i="8" s="1"/>
  <c r="D1638" i="8"/>
  <c r="AB1638" i="8" s="1"/>
  <c r="E1638" i="8"/>
  <c r="S1638" i="8"/>
  <c r="U1638" i="8" s="1"/>
  <c r="V1638" i="8" s="1"/>
  <c r="D1636" i="8"/>
  <c r="AB1636" i="8" s="1"/>
  <c r="S1636" i="8"/>
  <c r="U1636" i="8" s="1"/>
  <c r="V1636" i="8" s="1"/>
  <c r="W1636" i="8" s="1"/>
  <c r="E1636" i="8"/>
  <c r="S1565" i="8"/>
  <c r="U1565" i="8" s="1"/>
  <c r="V1565" i="8" s="1"/>
  <c r="S1577" i="8"/>
  <c r="U1577" i="8" s="1"/>
  <c r="V1577" i="8" s="1"/>
  <c r="S1553" i="8"/>
  <c r="U1553" i="8" s="1"/>
  <c r="V1553" i="8" s="1"/>
  <c r="S1589" i="8"/>
  <c r="U1589" i="8" s="1"/>
  <c r="V1589" i="8" s="1"/>
  <c r="D1637" i="8"/>
  <c r="AB1637" i="8" s="1"/>
  <c r="S1637" i="8"/>
  <c r="U1637" i="8" s="1"/>
  <c r="V1637" i="8" s="1"/>
  <c r="W1637" i="8" s="1"/>
  <c r="E1637" i="8"/>
  <c r="D1633" i="8"/>
  <c r="AB1633" i="8" s="1"/>
  <c r="E1633" i="8"/>
  <c r="S1633" i="8"/>
  <c r="U1633" i="8" s="1"/>
  <c r="V1633" i="8" s="1"/>
  <c r="D1632" i="8"/>
  <c r="AB1632" i="8" s="1"/>
  <c r="E1632" i="8"/>
  <c r="S1632" i="8"/>
  <c r="U1632" i="8" s="1"/>
  <c r="V1632" i="8" s="1"/>
  <c r="W1632" i="8" s="1"/>
  <c r="D1346" i="8"/>
  <c r="AB1346" i="8" s="1"/>
  <c r="E1346" i="8"/>
  <c r="S1346" i="8"/>
  <c r="U1346" i="8" s="1"/>
  <c r="V1346" i="8" s="1"/>
  <c r="W1346" i="8" s="1"/>
  <c r="D1347" i="8"/>
  <c r="AB1347" i="8" s="1"/>
  <c r="E1347" i="8"/>
  <c r="S1347" i="8"/>
  <c r="U1347" i="8" s="1"/>
  <c r="V1347" i="8" s="1"/>
  <c r="W1347" i="8" s="1"/>
  <c r="D1477" i="8"/>
  <c r="AB1477" i="8" s="1"/>
  <c r="S1477" i="8"/>
  <c r="U1477" i="8" s="1"/>
  <c r="V1477" i="8" s="1"/>
  <c r="W1477" i="8" s="1"/>
  <c r="E1477" i="8"/>
  <c r="D1476" i="8"/>
  <c r="AB1476" i="8" s="1"/>
  <c r="S1476" i="8"/>
  <c r="U1476" i="8" s="1"/>
  <c r="V1476" i="8" s="1"/>
  <c r="W1476" i="8" s="1"/>
  <c r="E1476" i="8"/>
  <c r="D1615" i="8"/>
  <c r="S1615" i="8"/>
  <c r="U1615" i="8" s="1"/>
  <c r="V1615" i="8" s="1"/>
  <c r="E1615" i="8"/>
  <c r="D1614" i="8"/>
  <c r="S1614" i="8"/>
  <c r="U1614" i="8" s="1"/>
  <c r="V1614" i="8" s="1"/>
  <c r="E1614" i="8"/>
  <c r="D1613" i="8"/>
  <c r="S1613" i="8"/>
  <c r="U1613" i="8" s="1"/>
  <c r="V1613" i="8" s="1"/>
  <c r="W1613" i="8" s="1"/>
  <c r="E1613" i="8"/>
  <c r="D1612" i="8"/>
  <c r="S1612" i="8"/>
  <c r="U1612" i="8" s="1"/>
  <c r="V1612" i="8" s="1"/>
  <c r="E1612" i="8"/>
  <c r="D1611" i="8"/>
  <c r="AB1611" i="8" s="1"/>
  <c r="S1611" i="8"/>
  <c r="U1611" i="8" s="1"/>
  <c r="V1611" i="8" s="1"/>
  <c r="W1611" i="8" s="1"/>
  <c r="E1611" i="8"/>
  <c r="D1471" i="8"/>
  <c r="AB1471" i="8" s="1"/>
  <c r="E1471" i="8"/>
  <c r="S1471" i="8"/>
  <c r="U1471" i="8" s="1"/>
  <c r="V1471" i="8" s="1"/>
  <c r="W1471" i="8" s="1"/>
  <c r="D1472" i="8"/>
  <c r="AB1472" i="8" s="1"/>
  <c r="E1472" i="8"/>
  <c r="S1472" i="8"/>
  <c r="U1472" i="8" s="1"/>
  <c r="V1472" i="8" s="1"/>
  <c r="W1472" i="8" s="1"/>
  <c r="D1475" i="8"/>
  <c r="AB1475" i="8" s="1"/>
  <c r="S1475" i="8"/>
  <c r="U1475" i="8" s="1"/>
  <c r="V1475" i="8" s="1"/>
  <c r="W1475" i="8" s="1"/>
  <c r="E1475" i="8"/>
  <c r="D1474" i="8"/>
  <c r="AB1474" i="8" s="1"/>
  <c r="E1474" i="8"/>
  <c r="S1474" i="8"/>
  <c r="U1474" i="8" s="1"/>
  <c r="V1474" i="8" s="1"/>
  <c r="W1474" i="8" s="1"/>
  <c r="D1473" i="8"/>
  <c r="AB1473" i="8" s="1"/>
  <c r="E1473" i="8"/>
  <c r="S1473" i="8"/>
  <c r="U1473" i="8" s="1"/>
  <c r="V1473" i="8" s="1"/>
  <c r="W1473" i="8" s="1"/>
  <c r="D1469" i="8"/>
  <c r="S1469" i="8"/>
  <c r="U1469" i="8" s="1"/>
  <c r="V1469" i="8" s="1"/>
  <c r="W1469" i="8" s="1"/>
  <c r="E1469" i="8"/>
  <c r="D1343" i="8"/>
  <c r="E1343" i="8"/>
  <c r="S1343" i="8"/>
  <c r="U1343" i="8" s="1"/>
  <c r="V1343" i="8" s="1"/>
  <c r="W1343" i="8" s="1"/>
  <c r="D1342" i="8"/>
  <c r="S1342" i="8"/>
  <c r="U1342" i="8" s="1"/>
  <c r="V1342" i="8" s="1"/>
  <c r="W1342" i="8" s="1"/>
  <c r="E1342" i="8"/>
  <c r="D1345" i="8"/>
  <c r="S1345" i="8"/>
  <c r="U1345" i="8" s="1"/>
  <c r="V1345" i="8" s="1"/>
  <c r="W1345" i="8" s="1"/>
  <c r="E1345" i="8"/>
  <c r="D1344" i="8"/>
  <c r="E1344" i="8"/>
  <c r="S1344" i="8"/>
  <c r="U1344" i="8" s="1"/>
  <c r="V1344" i="8" s="1"/>
  <c r="W1344" i="8" s="1"/>
  <c r="D1470" i="8"/>
  <c r="E1470" i="8"/>
  <c r="S1470" i="8"/>
  <c r="U1470" i="8" s="1"/>
  <c r="V1470" i="8" s="1"/>
  <c r="W1470" i="8" s="1"/>
  <c r="D1423" i="8"/>
  <c r="E1423" i="8"/>
  <c r="S1423" i="8"/>
  <c r="U1423" i="8" s="1"/>
  <c r="V1423" i="8" s="1"/>
  <c r="W1423" i="8" s="1"/>
  <c r="D1426" i="8"/>
  <c r="S1426" i="8"/>
  <c r="U1426" i="8" s="1"/>
  <c r="V1426" i="8" s="1"/>
  <c r="W1426" i="8" s="1"/>
  <c r="E1426" i="8"/>
  <c r="D1425" i="8"/>
  <c r="S1425" i="8"/>
  <c r="U1425" i="8" s="1"/>
  <c r="V1425" i="8" s="1"/>
  <c r="W1425" i="8" s="1"/>
  <c r="E1425" i="8"/>
  <c r="D1422" i="8"/>
  <c r="E1422" i="8"/>
  <c r="D1424" i="8"/>
  <c r="S1424" i="8"/>
  <c r="U1424" i="8" s="1"/>
  <c r="V1424" i="8" s="1"/>
  <c r="W1424" i="8" s="1"/>
  <c r="E1424" i="8"/>
  <c r="S1587" i="8"/>
  <c r="U1587" i="8" s="1"/>
  <c r="V1587" i="8" s="1"/>
  <c r="W1587" i="8" s="1"/>
  <c r="S1599" i="8"/>
  <c r="U1599" i="8" s="1"/>
  <c r="V1599" i="8" s="1"/>
  <c r="W1599" i="8" s="1"/>
  <c r="S1372" i="8"/>
  <c r="U1372" i="8" s="1"/>
  <c r="V1372" i="8" s="1"/>
  <c r="W1372" i="8" s="1"/>
  <c r="E1372" i="8"/>
  <c r="D1373" i="8"/>
  <c r="S1373" i="8"/>
  <c r="U1373" i="8" s="1"/>
  <c r="V1373" i="8" s="1"/>
  <c r="W1373" i="8" s="1"/>
  <c r="E1373" i="8"/>
  <c r="D1374" i="8"/>
  <c r="S1374" i="8"/>
  <c r="U1374" i="8" s="1"/>
  <c r="V1374" i="8" s="1"/>
  <c r="W1374" i="8" s="1"/>
  <c r="E1374" i="8"/>
  <c r="D1375" i="8"/>
  <c r="S1375" i="8"/>
  <c r="U1375" i="8" s="1"/>
  <c r="V1375" i="8" s="1"/>
  <c r="W1375" i="8" s="1"/>
  <c r="E1375" i="8"/>
  <c r="D1376" i="8"/>
  <c r="S1376" i="8"/>
  <c r="U1376" i="8" s="1"/>
  <c r="V1376" i="8" s="1"/>
  <c r="W1376" i="8" s="1"/>
  <c r="E1376" i="8"/>
  <c r="S1582" i="8"/>
  <c r="U1582" i="8" s="1"/>
  <c r="V1582" i="8" s="1"/>
  <c r="S1606" i="8"/>
  <c r="U1606" i="8" s="1"/>
  <c r="V1606" i="8" s="1"/>
  <c r="S1594" i="8"/>
  <c r="U1594" i="8" s="1"/>
  <c r="V1594" i="8" s="1"/>
  <c r="S1570" i="8"/>
  <c r="U1570" i="8" s="1"/>
  <c r="V1570" i="8" s="1"/>
  <c r="S1558" i="8"/>
  <c r="U1558" i="8" s="1"/>
  <c r="V1558" i="8" s="1"/>
  <c r="S1546" i="8"/>
  <c r="U1546" i="8" s="1"/>
  <c r="V1546" i="8" s="1"/>
  <c r="S1534" i="8"/>
  <c r="U1534" i="8" s="1"/>
  <c r="V1534" i="8" s="1"/>
  <c r="W1534" i="8" s="1"/>
  <c r="D1402" i="8"/>
  <c r="S1402" i="8"/>
  <c r="U1402" i="8" s="1"/>
  <c r="V1402" i="8" s="1"/>
  <c r="W1402" i="8" s="1"/>
  <c r="E1402" i="8"/>
  <c r="D1626" i="8"/>
  <c r="S1626" i="8"/>
  <c r="U1626" i="8" s="1"/>
  <c r="V1626" i="8" s="1"/>
  <c r="W1626" i="8" s="1"/>
  <c r="E1626" i="8"/>
  <c r="D1627" i="8"/>
  <c r="E1627" i="8"/>
  <c r="S1627" i="8"/>
  <c r="U1627" i="8" s="1"/>
  <c r="V1627" i="8" s="1"/>
  <c r="W1627" i="8" s="1"/>
  <c r="D1628" i="8"/>
  <c r="S1628" i="8"/>
  <c r="U1628" i="8" s="1"/>
  <c r="V1628" i="8" s="1"/>
  <c r="E1628" i="8"/>
  <c r="D1366" i="8"/>
  <c r="AB1366" i="8" s="1"/>
  <c r="S1366" i="8"/>
  <c r="U1366" i="8" s="1"/>
  <c r="V1366" i="8" s="1"/>
  <c r="E1366" i="8"/>
  <c r="D1368" i="8"/>
  <c r="AB1368" i="8" s="1"/>
  <c r="S1368" i="8"/>
  <c r="U1368" i="8" s="1"/>
  <c r="V1368" i="8" s="1"/>
  <c r="W1368" i="8" s="1"/>
  <c r="X1368" i="8" s="1"/>
  <c r="E1368" i="8"/>
  <c r="D1367" i="8"/>
  <c r="AB1367" i="8" s="1"/>
  <c r="S1367" i="8"/>
  <c r="U1367" i="8" s="1"/>
  <c r="V1367" i="8" s="1"/>
  <c r="W1367" i="8" s="1"/>
  <c r="E1367" i="8"/>
  <c r="D1362" i="8"/>
  <c r="AB1362" i="8" s="1"/>
  <c r="E1362" i="8"/>
  <c r="S1362" i="8"/>
  <c r="U1362" i="8" s="1"/>
  <c r="V1362" i="8" s="1"/>
  <c r="D1363" i="8"/>
  <c r="AB1363" i="8" s="1"/>
  <c r="S1363" i="8"/>
  <c r="U1363" i="8" s="1"/>
  <c r="V1363" i="8" s="1"/>
  <c r="E1363" i="8"/>
  <c r="D1364" i="8"/>
  <c r="AB1364" i="8" s="1"/>
  <c r="S1364" i="8"/>
  <c r="U1364" i="8" s="1"/>
  <c r="V1364" i="8" s="1"/>
  <c r="E1364" i="8"/>
  <c r="D1365" i="8"/>
  <c r="AB1365" i="8" s="1"/>
  <c r="S1365" i="8"/>
  <c r="U1365" i="8" s="1"/>
  <c r="V1365" i="8" s="1"/>
  <c r="E1365" i="8"/>
  <c r="D1383" i="8"/>
  <c r="E1383" i="8"/>
  <c r="S1383" i="8"/>
  <c r="U1383" i="8" s="1"/>
  <c r="V1383" i="8" s="1"/>
  <c r="W1383" i="8" s="1"/>
  <c r="D1382" i="8"/>
  <c r="E1382" i="8"/>
  <c r="S1382" i="8"/>
  <c r="U1382" i="8" s="1"/>
  <c r="V1382" i="8" s="1"/>
  <c r="W1382" i="8" s="1"/>
  <c r="D1652" i="8"/>
  <c r="E1652" i="8"/>
  <c r="S1652" i="8"/>
  <c r="U1652" i="8" s="1"/>
  <c r="V1652" i="8" s="1"/>
  <c r="D1649" i="8"/>
  <c r="E1649" i="8"/>
  <c r="S1649" i="8"/>
  <c r="U1649" i="8" s="1"/>
  <c r="V1649" i="8" s="1"/>
  <c r="D1648" i="8"/>
  <c r="E1648" i="8"/>
  <c r="S1648" i="8"/>
  <c r="U1648" i="8" s="1"/>
  <c r="V1648" i="8" s="1"/>
  <c r="W1648" i="8" s="1"/>
  <c r="D1651" i="8"/>
  <c r="E1651" i="8"/>
  <c r="S1651" i="8"/>
  <c r="U1651" i="8" s="1"/>
  <c r="V1651" i="8" s="1"/>
  <c r="D1650" i="8"/>
  <c r="E1650" i="8"/>
  <c r="S1650" i="8"/>
  <c r="U1650" i="8" s="1"/>
  <c r="V1650" i="8" s="1"/>
  <c r="W1650" i="8" s="1"/>
  <c r="S1585" i="8"/>
  <c r="U1585" i="8" s="1"/>
  <c r="V1585" i="8" s="1"/>
  <c r="S1561" i="8"/>
  <c r="U1561" i="8" s="1"/>
  <c r="V1561" i="8" s="1"/>
  <c r="S1609" i="8"/>
  <c r="U1609" i="8" s="1"/>
  <c r="V1609" i="8" s="1"/>
  <c r="S1525" i="8"/>
  <c r="U1525" i="8" s="1"/>
  <c r="V1525" i="8" s="1"/>
  <c r="W1525" i="8" s="1"/>
  <c r="S1537" i="8"/>
  <c r="U1537" i="8" s="1"/>
  <c r="V1537" i="8" s="1"/>
  <c r="W1537" i="8" s="1"/>
  <c r="S1597" i="8"/>
  <c r="U1597" i="8" s="1"/>
  <c r="V1597" i="8" s="1"/>
  <c r="S1573" i="8"/>
  <c r="U1573" i="8" s="1"/>
  <c r="V1573" i="8" s="1"/>
  <c r="S1549" i="8"/>
  <c r="U1549" i="8" s="1"/>
  <c r="V1549" i="8" s="1"/>
  <c r="D1512" i="8"/>
  <c r="S1512" i="8"/>
  <c r="U1512" i="8" s="1"/>
  <c r="V1512" i="8" s="1"/>
  <c r="W1512" i="8" s="1"/>
  <c r="E1512" i="8"/>
  <c r="D1511" i="8"/>
  <c r="S1511" i="8"/>
  <c r="U1511" i="8" s="1"/>
  <c r="V1511" i="8" s="1"/>
  <c r="W1511" i="8" s="1"/>
  <c r="E1511" i="8"/>
  <c r="D1510" i="8"/>
  <c r="S1510" i="8"/>
  <c r="U1510" i="8" s="1"/>
  <c r="V1510" i="8" s="1"/>
  <c r="W1510" i="8" s="1"/>
  <c r="E1510" i="8"/>
  <c r="D1509" i="8"/>
  <c r="S1509" i="8"/>
  <c r="U1509" i="8" s="1"/>
  <c r="V1509" i="8" s="1"/>
  <c r="W1509" i="8" s="1"/>
  <c r="E1509" i="8"/>
  <c r="D1513" i="8"/>
  <c r="E1513" i="8"/>
  <c r="S1513" i="8"/>
  <c r="U1513" i="8" s="1"/>
  <c r="V1513" i="8" s="1"/>
  <c r="W1513" i="8" s="1"/>
  <c r="D1514" i="8"/>
  <c r="E1514" i="8"/>
  <c r="S1514" i="8"/>
  <c r="U1514" i="8" s="1"/>
  <c r="V1514" i="8" s="1"/>
  <c r="W1514" i="8" s="1"/>
  <c r="D1454" i="8"/>
  <c r="S1454" i="8"/>
  <c r="U1454" i="8" s="1"/>
  <c r="V1454" i="8" s="1"/>
  <c r="W1454" i="8" s="1"/>
  <c r="E1454" i="8"/>
  <c r="D1455" i="8"/>
  <c r="E1455" i="8"/>
  <c r="S1455" i="8"/>
  <c r="U1455" i="8" s="1"/>
  <c r="V1455" i="8" s="1"/>
  <c r="W1455" i="8" s="1"/>
  <c r="D1457" i="8"/>
  <c r="E1457" i="8"/>
  <c r="S1457" i="8"/>
  <c r="U1457" i="8" s="1"/>
  <c r="V1457" i="8" s="1"/>
  <c r="W1457" i="8" s="1"/>
  <c r="D1456" i="8"/>
  <c r="E1456" i="8"/>
  <c r="S1456" i="8"/>
  <c r="U1456" i="8" s="1"/>
  <c r="V1456" i="8" s="1"/>
  <c r="W1456" i="8" s="1"/>
  <c r="D1440" i="8"/>
  <c r="S1440" i="8"/>
  <c r="U1440" i="8" s="1"/>
  <c r="V1440" i="8" s="1"/>
  <c r="W1440" i="8" s="1"/>
  <c r="E1440" i="8"/>
  <c r="D1441" i="8"/>
  <c r="E1441" i="8"/>
  <c r="S1441" i="8"/>
  <c r="U1441" i="8" s="1"/>
  <c r="V1441" i="8" s="1"/>
  <c r="W1441" i="8" s="1"/>
  <c r="D1437" i="8"/>
  <c r="E1437" i="8"/>
  <c r="S1437" i="8"/>
  <c r="U1437" i="8" s="1"/>
  <c r="V1437" i="8" s="1"/>
  <c r="W1437" i="8" s="1"/>
  <c r="X1437" i="8" s="1"/>
  <c r="D1438" i="8"/>
  <c r="S1438" i="8"/>
  <c r="U1438" i="8" s="1"/>
  <c r="V1438" i="8" s="1"/>
  <c r="W1438" i="8" s="1"/>
  <c r="E1438" i="8"/>
  <c r="D1439" i="8"/>
  <c r="S1439" i="8"/>
  <c r="U1439" i="8" s="1"/>
  <c r="V1439" i="8" s="1"/>
  <c r="W1439" i="8" s="1"/>
  <c r="E1439" i="8"/>
  <c r="D1617" i="8"/>
  <c r="S1617" i="8"/>
  <c r="U1617" i="8" s="1"/>
  <c r="V1617" i="8" s="1"/>
  <c r="E1617" i="8"/>
  <c r="D1618" i="8"/>
  <c r="E1618" i="8"/>
  <c r="S1618" i="8"/>
  <c r="U1618" i="8" s="1"/>
  <c r="V1618" i="8" s="1"/>
  <c r="W1618" i="8" s="1"/>
  <c r="D1616" i="8"/>
  <c r="E1616" i="8"/>
  <c r="S1616" i="8"/>
  <c r="U1616" i="8" s="1"/>
  <c r="V1616" i="8" s="1"/>
  <c r="W1616" i="8" s="1"/>
  <c r="D1619" i="8"/>
  <c r="S1619" i="8"/>
  <c r="U1619" i="8" s="1"/>
  <c r="V1619" i="8" s="1"/>
  <c r="E1619" i="8"/>
  <c r="D1620" i="8"/>
  <c r="S1620" i="8"/>
  <c r="U1620" i="8" s="1"/>
  <c r="V1620" i="8" s="1"/>
  <c r="E1620" i="8"/>
  <c r="S1361" i="8"/>
  <c r="U1361" i="8" s="1"/>
  <c r="V1361" i="8" s="1"/>
  <c r="W1361" i="8" s="1"/>
  <c r="E1361" i="8"/>
  <c r="S1600" i="8"/>
  <c r="U1600" i="8" s="1"/>
  <c r="V1600" i="8" s="1"/>
  <c r="W1600" i="8" s="1"/>
  <c r="S1528" i="8"/>
  <c r="U1528" i="8" s="1"/>
  <c r="V1528" i="8" s="1"/>
  <c r="W1528" i="8" s="1"/>
  <c r="S1588" i="8"/>
  <c r="U1588" i="8" s="1"/>
  <c r="V1588" i="8" s="1"/>
  <c r="W1588" i="8" s="1"/>
  <c r="E1360" i="8"/>
  <c r="S1360" i="8"/>
  <c r="U1360" i="8" s="1"/>
  <c r="V1360" i="8" s="1"/>
  <c r="W1360" i="8" s="1"/>
  <c r="S1540" i="8"/>
  <c r="U1540" i="8" s="1"/>
  <c r="V1540" i="8" s="1"/>
  <c r="W1540" i="8" s="1"/>
  <c r="S1552" i="8"/>
  <c r="U1552" i="8" s="1"/>
  <c r="V1552" i="8" s="1"/>
  <c r="W1552" i="8" s="1"/>
  <c r="S1564" i="8"/>
  <c r="U1564" i="8" s="1"/>
  <c r="V1564" i="8" s="1"/>
  <c r="W1564" i="8" s="1"/>
  <c r="S1576" i="8"/>
  <c r="U1576" i="8" s="1"/>
  <c r="V1576" i="8" s="1"/>
  <c r="W1576" i="8" s="1"/>
  <c r="S1359" i="8"/>
  <c r="U1359" i="8" s="1"/>
  <c r="V1359" i="8" s="1"/>
  <c r="W1359" i="8" s="1"/>
  <c r="E1359" i="8"/>
  <c r="E1358" i="8"/>
  <c r="S1563" i="8"/>
  <c r="U1563" i="8" s="1"/>
  <c r="V1563" i="8" s="1"/>
  <c r="W1563" i="8" s="1"/>
  <c r="S1358" i="8"/>
  <c r="U1358" i="8" s="1"/>
  <c r="V1358" i="8" s="1"/>
  <c r="W1358" i="8" s="1"/>
  <c r="S1575" i="8"/>
  <c r="U1575" i="8" s="1"/>
  <c r="V1575" i="8" s="1"/>
  <c r="W1575" i="8" s="1"/>
  <c r="S1527" i="8"/>
  <c r="U1527" i="8" s="1"/>
  <c r="V1527" i="8" s="1"/>
  <c r="W1527" i="8" s="1"/>
  <c r="D1635" i="8"/>
  <c r="AB1635" i="8" s="1"/>
  <c r="E1635" i="8"/>
  <c r="S1635" i="8"/>
  <c r="U1635" i="8" s="1"/>
  <c r="V1635" i="8" s="1"/>
  <c r="D1634" i="8"/>
  <c r="AB1634" i="8" s="1"/>
  <c r="S1634" i="8"/>
  <c r="U1634" i="8" s="1"/>
  <c r="V1634" i="8" s="1"/>
  <c r="W1634" i="8" s="1"/>
  <c r="E1634" i="8"/>
  <c r="D1387" i="8"/>
  <c r="AB1387" i="8" s="1"/>
  <c r="E1387" i="8"/>
  <c r="S1387" i="8"/>
  <c r="U1387" i="8" s="1"/>
  <c r="V1387" i="8" s="1"/>
  <c r="W1387" i="8" s="1"/>
  <c r="D1384" i="8"/>
  <c r="AB1384" i="8" s="1"/>
  <c r="S1384" i="8"/>
  <c r="U1384" i="8" s="1"/>
  <c r="V1384" i="8" s="1"/>
  <c r="W1384" i="8" s="1"/>
  <c r="E1384" i="8"/>
  <c r="S1566" i="8"/>
  <c r="U1566" i="8" s="1"/>
  <c r="V1566" i="8" s="1"/>
  <c r="S1602" i="8"/>
  <c r="U1602" i="8" s="1"/>
  <c r="V1602" i="8" s="1"/>
  <c r="S1542" i="8"/>
  <c r="U1542" i="8" s="1"/>
  <c r="V1542" i="8" s="1"/>
  <c r="E1385" i="8"/>
  <c r="S1530" i="8"/>
  <c r="U1530" i="8" s="1"/>
  <c r="V1530" i="8" s="1"/>
  <c r="W1530" i="8" s="1"/>
  <c r="S1385" i="8"/>
  <c r="U1385" i="8" s="1"/>
  <c r="V1385" i="8" s="1"/>
  <c r="W1385" i="8" s="1"/>
  <c r="S1578" i="8"/>
  <c r="U1578" i="8" s="1"/>
  <c r="V1578" i="8" s="1"/>
  <c r="S1554" i="8"/>
  <c r="U1554" i="8" s="1"/>
  <c r="V1554" i="8" s="1"/>
  <c r="S1590" i="8"/>
  <c r="U1590" i="8" s="1"/>
  <c r="V1590" i="8" s="1"/>
  <c r="D1386" i="8"/>
  <c r="AB1386" i="8" s="1"/>
  <c r="S1386" i="8"/>
  <c r="U1386" i="8" s="1"/>
  <c r="V1386" i="8" s="1"/>
  <c r="W1386" i="8" s="1"/>
  <c r="E1386" i="8"/>
  <c r="D1357" i="8"/>
  <c r="AB1357" i="8" s="1"/>
  <c r="E1357" i="8"/>
  <c r="S1357" i="8"/>
  <c r="U1357" i="8" s="1"/>
  <c r="V1357" i="8" s="1"/>
  <c r="W1357" i="8" s="1"/>
  <c r="D1356" i="8"/>
  <c r="AB1356" i="8" s="1"/>
  <c r="S1356" i="8"/>
  <c r="U1356" i="8" s="1"/>
  <c r="V1356" i="8" s="1"/>
  <c r="W1356" i="8" s="1"/>
  <c r="E1356" i="8"/>
  <c r="D1452" i="8"/>
  <c r="AB1452" i="8" s="1"/>
  <c r="S1452" i="8"/>
  <c r="U1452" i="8" s="1"/>
  <c r="V1452" i="8" s="1"/>
  <c r="W1452" i="8" s="1"/>
  <c r="E1452" i="8"/>
  <c r="D1453" i="8"/>
  <c r="AB1453" i="8" s="1"/>
  <c r="S1453" i="8"/>
  <c r="U1453" i="8" s="1"/>
  <c r="V1453" i="8" s="1"/>
  <c r="W1453" i="8" s="1"/>
  <c r="E1453" i="8"/>
  <c r="D1451" i="8"/>
  <c r="AB1451" i="8" s="1"/>
  <c r="E1451" i="8"/>
  <c r="S1451" i="8"/>
  <c r="U1451" i="8" s="1"/>
  <c r="V1451" i="8" s="1"/>
  <c r="W1451" i="8" s="1"/>
  <c r="D1500" i="8"/>
  <c r="AB1500" i="8" s="1"/>
  <c r="S1500" i="8"/>
  <c r="U1500" i="8" s="1"/>
  <c r="V1500" i="8" s="1"/>
  <c r="W1500" i="8" s="1"/>
  <c r="E1500" i="8"/>
  <c r="D1502" i="8"/>
  <c r="AB1502" i="8" s="1"/>
  <c r="S1502" i="8"/>
  <c r="U1502" i="8" s="1"/>
  <c r="V1502" i="8" s="1"/>
  <c r="W1502" i="8" s="1"/>
  <c r="E1502" i="8"/>
  <c r="D1501" i="8"/>
  <c r="AB1501" i="8" s="1"/>
  <c r="S1501" i="8"/>
  <c r="U1501" i="8" s="1"/>
  <c r="V1501" i="8" s="1"/>
  <c r="W1501" i="8" s="1"/>
  <c r="E1501" i="8"/>
  <c r="D1508" i="8"/>
  <c r="AB1508" i="8" s="1"/>
  <c r="E1508" i="8"/>
  <c r="S1508" i="8"/>
  <c r="U1508" i="8" s="1"/>
  <c r="V1508" i="8" s="1"/>
  <c r="W1508" i="8" s="1"/>
  <c r="D1507" i="8"/>
  <c r="AB1507" i="8" s="1"/>
  <c r="S1507" i="8"/>
  <c r="U1507" i="8" s="1"/>
  <c r="V1507" i="8" s="1"/>
  <c r="W1507" i="8" s="1"/>
  <c r="E1507" i="8"/>
  <c r="D1506" i="8"/>
  <c r="AB1506" i="8" s="1"/>
  <c r="E1506" i="8"/>
  <c r="S1506" i="8"/>
  <c r="U1506" i="8" s="1"/>
  <c r="V1506" i="8" s="1"/>
  <c r="W1506" i="8" s="1"/>
  <c r="D1629" i="8"/>
  <c r="AB1629" i="8" s="1"/>
  <c r="S1629" i="8"/>
  <c r="U1629" i="8" s="1"/>
  <c r="V1629" i="8" s="1"/>
  <c r="W1629" i="8" s="1"/>
  <c r="E1629" i="8"/>
  <c r="D1630" i="8"/>
  <c r="AB1630" i="8" s="1"/>
  <c r="E1630" i="8"/>
  <c r="S1630" i="8"/>
  <c r="U1630" i="8" s="1"/>
  <c r="V1630" i="8" s="1"/>
  <c r="D1631" i="8"/>
  <c r="AB1631" i="8" s="1"/>
  <c r="S1631" i="8"/>
  <c r="U1631" i="8" s="1"/>
  <c r="V1631" i="8" s="1"/>
  <c r="E1631" i="8"/>
  <c r="D1492" i="8"/>
  <c r="AB1492" i="8" s="1"/>
  <c r="E1492" i="8"/>
  <c r="S1492" i="8"/>
  <c r="U1492" i="8" s="1"/>
  <c r="V1492" i="8" s="1"/>
  <c r="W1492" i="8" s="1"/>
  <c r="D1493" i="8"/>
  <c r="AB1493" i="8" s="1"/>
  <c r="S1493" i="8"/>
  <c r="U1493" i="8" s="1"/>
  <c r="V1493" i="8" s="1"/>
  <c r="W1493" i="8" s="1"/>
  <c r="E1493" i="8"/>
  <c r="D1494" i="8"/>
  <c r="AB1494" i="8" s="1"/>
  <c r="E1494" i="8"/>
  <c r="S1494" i="8"/>
  <c r="U1494" i="8" s="1"/>
  <c r="V1494" i="8" s="1"/>
  <c r="W1494" i="8" s="1"/>
  <c r="D1415" i="8"/>
  <c r="AB1415" i="8" s="1"/>
  <c r="S1415" i="8"/>
  <c r="U1415" i="8" s="1"/>
  <c r="V1415" i="8" s="1"/>
  <c r="W1415" i="8" s="1"/>
  <c r="E1415" i="8"/>
  <c r="D1413" i="8"/>
  <c r="AB1413" i="8" s="1"/>
  <c r="S1413" i="8"/>
  <c r="U1413" i="8" s="1"/>
  <c r="V1413" i="8" s="1"/>
  <c r="W1413" i="8" s="1"/>
  <c r="E1413" i="8"/>
  <c r="D1414" i="8"/>
  <c r="AB1414" i="8" s="1"/>
  <c r="S1414" i="8"/>
  <c r="U1414" i="8" s="1"/>
  <c r="V1414" i="8" s="1"/>
  <c r="W1414" i="8" s="1"/>
  <c r="E1414" i="8"/>
  <c r="D1416" i="8"/>
  <c r="AB1416" i="8" s="1"/>
  <c r="E1416" i="8"/>
  <c r="S1416" i="8"/>
  <c r="U1416" i="8" s="1"/>
  <c r="V1416" i="8" s="1"/>
  <c r="W1416" i="8" s="1"/>
  <c r="S1421" i="8"/>
  <c r="U1421" i="8" s="1"/>
  <c r="V1421" i="8" s="1"/>
  <c r="W1421" i="8" s="1"/>
  <c r="E1421" i="8"/>
  <c r="D1420" i="8"/>
  <c r="S1420" i="8"/>
  <c r="U1420" i="8" s="1"/>
  <c r="V1420" i="8" s="1"/>
  <c r="W1420" i="8" s="1"/>
  <c r="E1420" i="8"/>
  <c r="D1419" i="8"/>
  <c r="E1419" i="8"/>
  <c r="S1419" i="8"/>
  <c r="U1419" i="8" s="1"/>
  <c r="V1419" i="8" s="1"/>
  <c r="W1419" i="8" s="1"/>
  <c r="D1418" i="8"/>
  <c r="E1418" i="8"/>
  <c r="S1418" i="8"/>
  <c r="U1418" i="8" s="1"/>
  <c r="V1418" i="8" s="1"/>
  <c r="W1418" i="8" s="1"/>
  <c r="D1417" i="8"/>
  <c r="E1417" i="8"/>
  <c r="S1417" i="8"/>
  <c r="U1417" i="8" s="1"/>
  <c r="V1417" i="8" s="1"/>
  <c r="W1417" i="8" s="1"/>
  <c r="D1379" i="8"/>
  <c r="AB1379" i="8" s="1"/>
  <c r="S1379" i="8"/>
  <c r="U1379" i="8" s="1"/>
  <c r="V1379" i="8" s="1"/>
  <c r="W1379" i="8" s="1"/>
  <c r="E1379" i="8"/>
  <c r="D1381" i="8"/>
  <c r="AB1381" i="8" s="1"/>
  <c r="E1381" i="8"/>
  <c r="S1381" i="8"/>
  <c r="U1381" i="8" s="1"/>
  <c r="V1381" i="8" s="1"/>
  <c r="W1381" i="8" s="1"/>
  <c r="D1378" i="8"/>
  <c r="AB1378" i="8" s="1"/>
  <c r="E1378" i="8"/>
  <c r="S1378" i="8"/>
  <c r="U1378" i="8" s="1"/>
  <c r="V1378" i="8" s="1"/>
  <c r="W1378" i="8" s="1"/>
  <c r="D1380" i="8"/>
  <c r="AB1380" i="8" s="1"/>
  <c r="E1380" i="8"/>
  <c r="S1380" i="8"/>
  <c r="U1380" i="8" s="1"/>
  <c r="V1380" i="8" s="1"/>
  <c r="W1380" i="8" s="1"/>
  <c r="D1624" i="8"/>
  <c r="AB1624" i="8" s="1"/>
  <c r="S1624" i="8"/>
  <c r="U1624" i="8" s="1"/>
  <c r="V1624" i="8" s="1"/>
  <c r="E1624" i="8"/>
  <c r="D1622" i="8"/>
  <c r="AB1622" i="8" s="1"/>
  <c r="E1622" i="8"/>
  <c r="S1622" i="8"/>
  <c r="U1622" i="8" s="1"/>
  <c r="V1622" i="8" s="1"/>
  <c r="D1621" i="8"/>
  <c r="AB1621" i="8" s="1"/>
  <c r="E1621" i="8"/>
  <c r="S1621" i="8"/>
  <c r="U1621" i="8" s="1"/>
  <c r="V1621" i="8" s="1"/>
  <c r="W1621" i="8" s="1"/>
  <c r="D1625" i="8"/>
  <c r="AB1625" i="8" s="1"/>
  <c r="S1625" i="8"/>
  <c r="U1625" i="8" s="1"/>
  <c r="V1625" i="8" s="1"/>
  <c r="E1625" i="8"/>
  <c r="D1623" i="8"/>
  <c r="AB1623" i="8" s="1"/>
  <c r="E1623" i="8"/>
  <c r="S1623" i="8"/>
  <c r="U1623" i="8" s="1"/>
  <c r="V1623" i="8" s="1"/>
  <c r="W1623" i="8" s="1"/>
  <c r="D1645" i="8"/>
  <c r="AB1645" i="8" s="1"/>
  <c r="E1645" i="8"/>
  <c r="S1645" i="8"/>
  <c r="U1645" i="8" s="1"/>
  <c r="V1645" i="8" s="1"/>
  <c r="W1645" i="8" s="1"/>
  <c r="D1644" i="8"/>
  <c r="AB1644" i="8" s="1"/>
  <c r="S1644" i="8"/>
  <c r="U1644" i="8" s="1"/>
  <c r="V1644" i="8" s="1"/>
  <c r="W1644" i="8" s="1"/>
  <c r="E1644" i="8"/>
  <c r="D1647" i="8"/>
  <c r="AB1647" i="8" s="1"/>
  <c r="S1647" i="8"/>
  <c r="U1647" i="8" s="1"/>
  <c r="V1647" i="8" s="1"/>
  <c r="E1647" i="8"/>
  <c r="D1646" i="8"/>
  <c r="AB1646" i="8" s="1"/>
  <c r="E1646" i="8"/>
  <c r="S1646" i="8"/>
  <c r="U1646" i="8" s="1"/>
  <c r="V1646" i="8" s="1"/>
  <c r="D1505" i="8"/>
  <c r="E1505" i="8"/>
  <c r="S1505" i="8"/>
  <c r="U1505" i="8" s="1"/>
  <c r="V1505" i="8" s="1"/>
  <c r="W1505" i="8" s="1"/>
  <c r="D1504" i="8"/>
  <c r="E1504" i="8"/>
  <c r="S1504" i="8"/>
  <c r="U1504" i="8" s="1"/>
  <c r="V1504" i="8" s="1"/>
  <c r="W1504" i="8" s="1"/>
  <c r="D1503" i="8"/>
  <c r="E1503" i="8"/>
  <c r="S1503" i="8"/>
  <c r="U1503" i="8" s="1"/>
  <c r="V1503" i="8" s="1"/>
  <c r="W1503" i="8" s="1"/>
  <c r="D1482" i="8"/>
  <c r="AB1482" i="8" s="1"/>
  <c r="E1482" i="8"/>
  <c r="D1483" i="8"/>
  <c r="AB1483" i="8" s="1"/>
  <c r="E1483" i="8"/>
  <c r="S1483" i="8"/>
  <c r="U1483" i="8" s="1"/>
  <c r="V1483" i="8" s="1"/>
  <c r="W1483" i="8" s="1"/>
  <c r="D1485" i="8"/>
  <c r="AB1485" i="8" s="1"/>
  <c r="S1485" i="8"/>
  <c r="U1485" i="8" s="1"/>
  <c r="V1485" i="8" s="1"/>
  <c r="W1485" i="8" s="1"/>
  <c r="E1485" i="8"/>
  <c r="D1484" i="8"/>
  <c r="AB1484" i="8" s="1"/>
  <c r="S1531" i="8"/>
  <c r="U1531" i="8" s="1"/>
  <c r="V1531" i="8" s="1"/>
  <c r="W1531" i="8" s="1"/>
  <c r="S1567" i="8"/>
  <c r="U1567" i="8" s="1"/>
  <c r="V1567" i="8" s="1"/>
  <c r="S1543" i="8"/>
  <c r="U1543" i="8" s="1"/>
  <c r="V1543" i="8" s="1"/>
  <c r="S1555" i="8"/>
  <c r="U1555" i="8" s="1"/>
  <c r="V1555" i="8" s="1"/>
  <c r="S1579" i="8"/>
  <c r="U1579" i="8" s="1"/>
  <c r="V1579" i="8" s="1"/>
  <c r="S1484" i="8"/>
  <c r="U1484" i="8" s="1"/>
  <c r="V1484" i="8" s="1"/>
  <c r="W1484" i="8" s="1"/>
  <c r="E1484" i="8"/>
  <c r="S1591" i="8"/>
  <c r="U1591" i="8" s="1"/>
  <c r="V1591" i="8" s="1"/>
  <c r="S1603" i="8"/>
  <c r="U1603" i="8" s="1"/>
  <c r="V1603" i="8" s="1"/>
  <c r="D1491" i="8"/>
  <c r="AB1491" i="8" s="1"/>
  <c r="E1491" i="8"/>
  <c r="S1491" i="8"/>
  <c r="U1491" i="8" s="1"/>
  <c r="V1491" i="8" s="1"/>
  <c r="W1491" i="8" s="1"/>
  <c r="D1490" i="8"/>
  <c r="AB1490" i="8" s="1"/>
  <c r="E1490" i="8"/>
  <c r="S1490" i="8"/>
  <c r="U1490" i="8" s="1"/>
  <c r="V1490" i="8" s="1"/>
  <c r="W1490" i="8" s="1"/>
  <c r="D1488" i="8"/>
  <c r="AB1488" i="8" s="1"/>
  <c r="E1488" i="8"/>
  <c r="D1489" i="8"/>
  <c r="AB1489" i="8" s="1"/>
  <c r="E1489" i="8"/>
  <c r="S1489" i="8"/>
  <c r="U1489" i="8" s="1"/>
  <c r="V1489" i="8" s="1"/>
  <c r="W1489" i="8" s="1"/>
  <c r="D1481" i="8"/>
  <c r="AB1481" i="8" s="1"/>
  <c r="E1481" i="8"/>
  <c r="S1481" i="8"/>
  <c r="U1481" i="8" s="1"/>
  <c r="V1481" i="8" s="1"/>
  <c r="W1481" i="8" s="1"/>
  <c r="D1480" i="8"/>
  <c r="AB1480" i="8" s="1"/>
  <c r="E1480" i="8"/>
  <c r="S1480" i="8"/>
  <c r="U1480" i="8" s="1"/>
  <c r="V1480" i="8" s="1"/>
  <c r="W1480" i="8" s="1"/>
  <c r="D1479" i="8"/>
  <c r="AB1479" i="8" s="1"/>
  <c r="S1479" i="8"/>
  <c r="U1479" i="8" s="1"/>
  <c r="V1479" i="8" s="1"/>
  <c r="W1479" i="8" s="1"/>
  <c r="X1479" i="8" s="1"/>
  <c r="E1479" i="8"/>
  <c r="D1478" i="8"/>
  <c r="AB1478" i="8" s="1"/>
  <c r="E1478" i="8"/>
  <c r="D1442" i="8"/>
  <c r="E1442" i="8"/>
  <c r="S1442" i="8"/>
  <c r="U1442" i="8" s="1"/>
  <c r="V1442" i="8" s="1"/>
  <c r="W1442" i="8" s="1"/>
  <c r="D1443" i="8"/>
  <c r="S1443" i="8"/>
  <c r="U1443" i="8" s="1"/>
  <c r="V1443" i="8" s="1"/>
  <c r="W1443" i="8" s="1"/>
  <c r="E1443" i="8"/>
  <c r="D1444" i="8"/>
  <c r="S1444" i="8"/>
  <c r="U1444" i="8" s="1"/>
  <c r="V1444" i="8" s="1"/>
  <c r="W1444" i="8" s="1"/>
  <c r="E1444" i="8"/>
  <c r="D1445" i="8"/>
  <c r="S1445" i="8"/>
  <c r="U1445" i="8" s="1"/>
  <c r="V1445" i="8" s="1"/>
  <c r="W1445" i="8" s="1"/>
  <c r="E1445" i="8"/>
  <c r="D1446" i="8"/>
  <c r="E1446" i="8"/>
  <c r="S1446" i="8"/>
  <c r="U1446" i="8" s="1"/>
  <c r="V1446" i="8" s="1"/>
  <c r="W1446" i="8" s="1"/>
  <c r="D1460" i="8"/>
  <c r="AB1460" i="8" s="1"/>
  <c r="S1460" i="8"/>
  <c r="U1460" i="8" s="1"/>
  <c r="V1460" i="8" s="1"/>
  <c r="W1460" i="8" s="1"/>
  <c r="E1460" i="8"/>
  <c r="D1459" i="8"/>
  <c r="AB1459" i="8" s="1"/>
  <c r="S1459" i="8"/>
  <c r="U1459" i="8" s="1"/>
  <c r="V1459" i="8" s="1"/>
  <c r="W1459" i="8" s="1"/>
  <c r="E1459" i="8"/>
  <c r="D1462" i="8"/>
  <c r="AB1462" i="8" s="1"/>
  <c r="E1462" i="8"/>
  <c r="S1462" i="8"/>
  <c r="U1462" i="8" s="1"/>
  <c r="V1462" i="8" s="1"/>
  <c r="W1462" i="8" s="1"/>
  <c r="D1461" i="8"/>
  <c r="AB1461" i="8" s="1"/>
  <c r="E1461" i="8"/>
  <c r="S1461" i="8"/>
  <c r="U1461" i="8" s="1"/>
  <c r="V1461" i="8" s="1"/>
  <c r="W1461" i="8" s="1"/>
  <c r="D1458" i="8"/>
  <c r="AB1458" i="8" s="1"/>
  <c r="E1458" i="8"/>
  <c r="D1355" i="8"/>
  <c r="AB1355" i="8" s="1"/>
  <c r="S1355" i="8"/>
  <c r="U1355" i="8" s="1"/>
  <c r="V1355" i="8" s="1"/>
  <c r="W1355" i="8" s="1"/>
  <c r="E1355" i="8"/>
  <c r="D1354" i="8"/>
  <c r="AB1354" i="8" s="1"/>
  <c r="E1354" i="8"/>
  <c r="S1354" i="8"/>
  <c r="U1354" i="8" s="1"/>
  <c r="V1354" i="8" s="1"/>
  <c r="W1354" i="8" s="1"/>
  <c r="D1353" i="8"/>
  <c r="AB1353" i="8" s="1"/>
  <c r="S1353" i="8"/>
  <c r="U1353" i="8" s="1"/>
  <c r="V1353" i="8" s="1"/>
  <c r="W1353" i="8" s="1"/>
  <c r="E1353" i="8"/>
  <c r="D1434" i="8"/>
  <c r="AB1434" i="8" s="1"/>
  <c r="S1434" i="8"/>
  <c r="U1434" i="8" s="1"/>
  <c r="V1434" i="8" s="1"/>
  <c r="W1434" i="8" s="1"/>
  <c r="E1434" i="8"/>
  <c r="D1433" i="8"/>
  <c r="AB1433" i="8" s="1"/>
  <c r="S1433" i="8"/>
  <c r="U1433" i="8" s="1"/>
  <c r="V1433" i="8" s="1"/>
  <c r="W1433" i="8" s="1"/>
  <c r="E1433" i="8"/>
  <c r="D1432" i="8"/>
  <c r="AB1432" i="8" s="1"/>
  <c r="S1432" i="8"/>
  <c r="U1432" i="8" s="1"/>
  <c r="V1432" i="8" s="1"/>
  <c r="W1432" i="8" s="1"/>
  <c r="E1432" i="8"/>
  <c r="D1436" i="8"/>
  <c r="AB1436" i="8" s="1"/>
  <c r="S1436" i="8"/>
  <c r="U1436" i="8" s="1"/>
  <c r="V1436" i="8" s="1"/>
  <c r="W1436" i="8" s="1"/>
  <c r="E1436" i="8"/>
  <c r="D1435" i="8"/>
  <c r="AB1435" i="8" s="1"/>
  <c r="E1435" i="8"/>
  <c r="S1435" i="8"/>
  <c r="U1435" i="8" s="1"/>
  <c r="V1435" i="8" s="1"/>
  <c r="W1435" i="8" s="1"/>
  <c r="D1341" i="8"/>
  <c r="AB1341" i="8" s="1"/>
  <c r="E1341" i="8"/>
  <c r="S1341" i="8"/>
  <c r="U1341" i="8" s="1"/>
  <c r="V1341" i="8" s="1"/>
  <c r="W1341" i="8" s="1"/>
  <c r="D1340" i="8"/>
  <c r="AB1340" i="8" s="1"/>
  <c r="E1340" i="8"/>
  <c r="S1340" i="8"/>
  <c r="U1340" i="8" s="1"/>
  <c r="V1340" i="8" s="1"/>
  <c r="W1340" i="8" s="1"/>
  <c r="D1339" i="8"/>
  <c r="AB1339" i="8" s="1"/>
  <c r="E1339" i="8"/>
  <c r="D1427" i="8"/>
  <c r="AB1427" i="8" s="1"/>
  <c r="S1427" i="8"/>
  <c r="U1427" i="8" s="1"/>
  <c r="V1427" i="8" s="1"/>
  <c r="W1427" i="8" s="1"/>
  <c r="E1427" i="8"/>
  <c r="D1428" i="8"/>
  <c r="AB1428" i="8" s="1"/>
  <c r="S1428" i="8"/>
  <c r="U1428" i="8" s="1"/>
  <c r="V1428" i="8" s="1"/>
  <c r="W1428" i="8" s="1"/>
  <c r="E1428" i="8"/>
  <c r="D1429" i="8"/>
  <c r="AB1429" i="8" s="1"/>
  <c r="E1429" i="8"/>
  <c r="S1429" i="8"/>
  <c r="U1429" i="8" s="1"/>
  <c r="V1429" i="8" s="1"/>
  <c r="W1429" i="8" s="1"/>
  <c r="D1430" i="8"/>
  <c r="AB1430" i="8" s="1"/>
  <c r="S1430" i="8"/>
  <c r="U1430" i="8" s="1"/>
  <c r="V1430" i="8" s="1"/>
  <c r="W1430" i="8" s="1"/>
  <c r="E1430" i="8"/>
  <c r="D1431" i="8"/>
  <c r="AB1431" i="8" s="1"/>
  <c r="E1431" i="8"/>
  <c r="S1431" i="8"/>
  <c r="U1431" i="8" s="1"/>
  <c r="V1431" i="8" s="1"/>
  <c r="W1431" i="8" s="1"/>
  <c r="D1640" i="8"/>
  <c r="S1640" i="8"/>
  <c r="U1640" i="8" s="1"/>
  <c r="V1640" i="8" s="1"/>
  <c r="W1640" i="8" s="1"/>
  <c r="E1640" i="8"/>
  <c r="D1641" i="8"/>
  <c r="S1641" i="8"/>
  <c r="U1641" i="8" s="1"/>
  <c r="V1641" i="8" s="1"/>
  <c r="W1641" i="8" s="1"/>
  <c r="E1641" i="8"/>
  <c r="D1410" i="8"/>
  <c r="AB1410" i="8" s="1"/>
  <c r="E1410" i="8"/>
  <c r="S1410" i="8"/>
  <c r="U1410" i="8" s="1"/>
  <c r="V1410" i="8" s="1"/>
  <c r="W1410" i="8" s="1"/>
  <c r="D1409" i="8"/>
  <c r="AB1409" i="8" s="1"/>
  <c r="E1409" i="8"/>
  <c r="S1409" i="8"/>
  <c r="U1409" i="8" s="1"/>
  <c r="V1409" i="8" s="1"/>
  <c r="W1409" i="8" s="1"/>
  <c r="D1401" i="8"/>
  <c r="AB1401" i="8" s="1"/>
  <c r="E1401" i="8"/>
  <c r="S1401" i="8"/>
  <c r="U1401" i="8" s="1"/>
  <c r="V1401" i="8" s="1"/>
  <c r="W1401" i="8" s="1"/>
  <c r="D1412" i="8"/>
  <c r="AB1412" i="8" s="1"/>
  <c r="S1412" i="8"/>
  <c r="U1412" i="8" s="1"/>
  <c r="V1412" i="8" s="1"/>
  <c r="W1412" i="8" s="1"/>
  <c r="E1412" i="8"/>
  <c r="D1411" i="8"/>
  <c r="AB1411" i="8" s="1"/>
  <c r="S1411" i="8"/>
  <c r="U1411" i="8" s="1"/>
  <c r="V1411" i="8" s="1"/>
  <c r="W1411" i="8" s="1"/>
  <c r="E1411" i="8"/>
  <c r="D1371" i="8"/>
  <c r="AB1371" i="8" s="1"/>
  <c r="S1371" i="8"/>
  <c r="U1371" i="8" s="1"/>
  <c r="V1371" i="8" s="1"/>
  <c r="W1371" i="8" s="1"/>
  <c r="E1371" i="8"/>
  <c r="D1370" i="8"/>
  <c r="AB1370" i="8" s="1"/>
  <c r="E1370" i="8"/>
  <c r="S1370" i="8"/>
  <c r="U1370" i="8" s="1"/>
  <c r="V1370" i="8" s="1"/>
  <c r="W1370" i="8" s="1"/>
  <c r="E1369" i="8"/>
  <c r="S1539" i="8"/>
  <c r="U1539" i="8" s="1"/>
  <c r="V1539" i="8" s="1"/>
  <c r="W1539" i="8" s="1"/>
  <c r="S1551" i="8"/>
  <c r="U1551" i="8" s="1"/>
  <c r="V1551" i="8" s="1"/>
  <c r="W1551" i="8" s="1"/>
  <c r="D1377" i="8"/>
  <c r="AB1377" i="8" s="1"/>
  <c r="E1377" i="8"/>
  <c r="S1377" i="8"/>
  <c r="U1377" i="8" s="1"/>
  <c r="V1377" i="8" s="1"/>
  <c r="D1643" i="8"/>
  <c r="AB1643" i="8" s="1"/>
  <c r="E1643" i="8"/>
  <c r="S1643" i="8"/>
  <c r="U1643" i="8" s="1"/>
  <c r="V1643" i="8" s="1"/>
  <c r="D1642" i="8"/>
  <c r="AB1642" i="8" s="1"/>
  <c r="E1642" i="8"/>
  <c r="S1642" i="8"/>
  <c r="U1642" i="8" s="1"/>
  <c r="V1642" i="8" s="1"/>
  <c r="W1642" i="8" s="1"/>
  <c r="D1487" i="8"/>
  <c r="AB1487" i="8" s="1"/>
  <c r="S1487" i="8"/>
  <c r="U1487" i="8" s="1"/>
  <c r="V1487" i="8" s="1"/>
  <c r="W1487" i="8" s="1"/>
  <c r="E1487" i="8"/>
  <c r="D1486" i="8"/>
  <c r="AB1486" i="8" s="1"/>
  <c r="E1486" i="8"/>
  <c r="S1486" i="8"/>
  <c r="U1486" i="8" s="1"/>
  <c r="V1486" i="8" s="1"/>
  <c r="W1486" i="8" s="1"/>
  <c r="D1449" i="8"/>
  <c r="AB1449" i="8" s="1"/>
  <c r="S1449" i="8"/>
  <c r="U1449" i="8" s="1"/>
  <c r="V1449" i="8" s="1"/>
  <c r="W1449" i="8" s="1"/>
  <c r="E1449" i="8"/>
  <c r="D1450" i="8"/>
  <c r="AB1450" i="8" s="1"/>
  <c r="S1450" i="8"/>
  <c r="U1450" i="8" s="1"/>
  <c r="V1450" i="8" s="1"/>
  <c r="W1450" i="8" s="1"/>
  <c r="E1450" i="8"/>
  <c r="D1447" i="8"/>
  <c r="AB1447" i="8" s="1"/>
  <c r="E1447" i="8"/>
  <c r="S1447" i="8"/>
  <c r="U1447" i="8" s="1"/>
  <c r="V1447" i="8" s="1"/>
  <c r="W1447" i="8" s="1"/>
  <c r="D1448" i="8"/>
  <c r="AB1448" i="8" s="1"/>
  <c r="S1448" i="8"/>
  <c r="U1448" i="8" s="1"/>
  <c r="V1448" i="8" s="1"/>
  <c r="W1448" i="8" s="1"/>
  <c r="E1448" i="8"/>
  <c r="D1466" i="8"/>
  <c r="AB1466" i="8" s="1"/>
  <c r="S1466" i="8"/>
  <c r="U1466" i="8" s="1"/>
  <c r="V1466" i="8" s="1"/>
  <c r="W1466" i="8" s="1"/>
  <c r="E1466" i="8"/>
  <c r="D1465" i="8"/>
  <c r="AB1465" i="8" s="1"/>
  <c r="E1465" i="8"/>
  <c r="S1465" i="8"/>
  <c r="U1465" i="8" s="1"/>
  <c r="V1465" i="8" s="1"/>
  <c r="W1465" i="8" s="1"/>
  <c r="D1464" i="8"/>
  <c r="AB1464" i="8" s="1"/>
  <c r="E1464" i="8"/>
  <c r="S1464" i="8"/>
  <c r="U1464" i="8" s="1"/>
  <c r="V1464" i="8" s="1"/>
  <c r="W1464" i="8" s="1"/>
  <c r="D1468" i="8"/>
  <c r="AB1468" i="8" s="1"/>
  <c r="E1468" i="8"/>
  <c r="S1468" i="8"/>
  <c r="U1468" i="8" s="1"/>
  <c r="V1468" i="8" s="1"/>
  <c r="W1468" i="8" s="1"/>
  <c r="D1463" i="8"/>
  <c r="AB1463" i="8" s="1"/>
  <c r="E1463" i="8"/>
  <c r="S1463" i="8"/>
  <c r="U1463" i="8" s="1"/>
  <c r="V1463" i="8" s="1"/>
  <c r="W1463" i="8" s="1"/>
  <c r="D1467" i="8"/>
  <c r="AB1467" i="8" s="1"/>
  <c r="S1569" i="8"/>
  <c r="U1569" i="8" s="1"/>
  <c r="V1569" i="8" s="1"/>
  <c r="S1557" i="8"/>
  <c r="U1557" i="8" s="1"/>
  <c r="V1557" i="8" s="1"/>
  <c r="S1545" i="8"/>
  <c r="U1545" i="8" s="1"/>
  <c r="V1545" i="8" s="1"/>
  <c r="S1533" i="8"/>
  <c r="U1533" i="8" s="1"/>
  <c r="V1533" i="8" s="1"/>
  <c r="W1533" i="8" s="1"/>
  <c r="S1581" i="8"/>
  <c r="U1581" i="8" s="1"/>
  <c r="V1581" i="8" s="1"/>
  <c r="S1593" i="8"/>
  <c r="U1593" i="8" s="1"/>
  <c r="V1593" i="8" s="1"/>
  <c r="S1605" i="8"/>
  <c r="U1605" i="8" s="1"/>
  <c r="V1605" i="8" s="1"/>
  <c r="S1467" i="8"/>
  <c r="U1467" i="8" s="1"/>
  <c r="V1467" i="8" s="1"/>
  <c r="W1467" i="8" s="1"/>
  <c r="E1467" i="8"/>
  <c r="D1496" i="8"/>
  <c r="AB1496" i="8" s="1"/>
  <c r="E1496" i="8"/>
  <c r="S1496" i="8"/>
  <c r="U1496" i="8" s="1"/>
  <c r="V1496" i="8" s="1"/>
  <c r="D1497" i="8"/>
  <c r="AB1497" i="8" s="1"/>
  <c r="E1497" i="8"/>
  <c r="S1497" i="8"/>
  <c r="U1497" i="8" s="1"/>
  <c r="V1497" i="8" s="1"/>
  <c r="W1497" i="8" s="1"/>
  <c r="D1495" i="8"/>
  <c r="AB1495" i="8" s="1"/>
  <c r="E1495" i="8"/>
  <c r="S1495" i="8"/>
  <c r="U1495" i="8" s="1"/>
  <c r="V1495" i="8" s="1"/>
  <c r="C6" i="13"/>
  <c r="D6" i="13"/>
  <c r="B6" i="13"/>
  <c r="C12" i="13"/>
  <c r="D12" i="13"/>
  <c r="B12" i="13"/>
  <c r="D16" i="13"/>
  <c r="C16" i="13"/>
  <c r="B16" i="13"/>
  <c r="D19" i="13"/>
  <c r="B19" i="13"/>
  <c r="C19" i="13"/>
  <c r="B20" i="13"/>
  <c r="D20" i="13"/>
  <c r="C20" i="13"/>
  <c r="C23" i="13"/>
  <c r="B23" i="13"/>
  <c r="D23" i="13"/>
  <c r="D28" i="13"/>
  <c r="B28" i="13"/>
  <c r="C28" i="13"/>
  <c r="D37" i="13"/>
  <c r="B37" i="13"/>
  <c r="C37" i="13"/>
  <c r="C45" i="13"/>
  <c r="B45" i="13"/>
  <c r="D45" i="13"/>
  <c r="B48" i="13"/>
  <c r="C48" i="13"/>
  <c r="D48" i="13"/>
  <c r="D51" i="13"/>
  <c r="C51" i="13"/>
  <c r="B51" i="13"/>
  <c r="D52" i="13"/>
  <c r="C52" i="13"/>
  <c r="B52" i="13"/>
  <c r="B53" i="13"/>
  <c r="D53" i="13"/>
  <c r="C53" i="13"/>
  <c r="S909" i="8"/>
  <c r="U909" i="8" s="1"/>
  <c r="V909" i="8" s="1"/>
  <c r="W909" i="8" s="1"/>
  <c r="S1601" i="8"/>
  <c r="U1601" i="8" s="1"/>
  <c r="V1601" i="8" s="1"/>
  <c r="S1518" i="8"/>
  <c r="U1518" i="8" s="1"/>
  <c r="V1518" i="8" s="1"/>
  <c r="W1518" i="8" s="1"/>
  <c r="S1389" i="8"/>
  <c r="U1389" i="8" s="1"/>
  <c r="V1389" i="8" s="1"/>
  <c r="W1389" i="8" s="1"/>
  <c r="S1390" i="8"/>
  <c r="U1390" i="8" s="1"/>
  <c r="V1390" i="8" s="1"/>
  <c r="W1390" i="8" s="1"/>
  <c r="S1516" i="8"/>
  <c r="U1516" i="8" s="1"/>
  <c r="V1516" i="8" s="1"/>
  <c r="W1516" i="8" s="1"/>
  <c r="S1369" i="8"/>
  <c r="U1369" i="8" s="1"/>
  <c r="V1369" i="8" s="1"/>
  <c r="W1369" i="8" s="1"/>
  <c r="S1422" i="8"/>
  <c r="U1422" i="8" s="1"/>
  <c r="V1422" i="8" s="1"/>
  <c r="W1422" i="8" s="1"/>
  <c r="S1388" i="8"/>
  <c r="U1388" i="8" s="1"/>
  <c r="V1388" i="8" s="1"/>
  <c r="W1388" i="8" s="1"/>
  <c r="S1478" i="8"/>
  <c r="U1478" i="8" s="1"/>
  <c r="V1478" i="8" s="1"/>
  <c r="S1482" i="8"/>
  <c r="U1482" i="8" s="1"/>
  <c r="V1482" i="8" s="1"/>
  <c r="W1482" i="8" s="1"/>
  <c r="S1458" i="8"/>
  <c r="U1458" i="8" s="1"/>
  <c r="V1458" i="8" s="1"/>
  <c r="W1458" i="8" s="1"/>
  <c r="S1392" i="8"/>
  <c r="U1392" i="8" s="1"/>
  <c r="V1392" i="8" s="1"/>
  <c r="W1392" i="8" s="1"/>
  <c r="S1488" i="8"/>
  <c r="U1488" i="8" s="1"/>
  <c r="V1488" i="8" s="1"/>
  <c r="W1488" i="8" s="1"/>
  <c r="I11" i="10"/>
  <c r="I14" i="10"/>
  <c r="O124" i="10" a="1"/>
  <c r="N124" i="10"/>
  <c r="O600" i="10" a="1"/>
  <c r="N600" i="10"/>
  <c r="N580" i="10"/>
  <c r="O580" i="10" a="1"/>
  <c r="O578" i="10" a="1"/>
  <c r="N578" i="10"/>
  <c r="N564" i="10"/>
  <c r="O564" i="10" a="1"/>
  <c r="N547" i="10"/>
  <c r="O547" i="10" a="1"/>
  <c r="O541" i="10" a="1"/>
  <c r="N541" i="10"/>
  <c r="O525" i="10" a="1"/>
  <c r="N525" i="10"/>
  <c r="N505" i="10"/>
  <c r="O505" i="10" a="1"/>
  <c r="N499" i="10"/>
  <c r="O499" i="10" a="1"/>
  <c r="N478" i="10"/>
  <c r="O478" i="10" a="1"/>
  <c r="N473" i="10"/>
  <c r="O473" i="10" a="1"/>
  <c r="N466" i="10"/>
  <c r="O466" i="10" a="1"/>
  <c r="O460" i="10" a="1"/>
  <c r="N460" i="10"/>
  <c r="N448" i="10"/>
  <c r="O448" i="10" a="1"/>
  <c r="N435" i="10"/>
  <c r="O435" i="10" a="1"/>
  <c r="N433" i="10"/>
  <c r="O433" i="10" a="1"/>
  <c r="N378" i="10"/>
  <c r="O378" i="10" a="1"/>
  <c r="O372" i="10" a="1"/>
  <c r="N372" i="10"/>
  <c r="O338" i="10" a="1"/>
  <c r="N338" i="10"/>
  <c r="N304" i="10"/>
  <c r="O304" i="10" a="1"/>
  <c r="O283" i="10" a="1"/>
  <c r="N283" i="10"/>
  <c r="O264" i="10" a="1"/>
  <c r="N264" i="10"/>
  <c r="O261" i="10" a="1"/>
  <c r="N261" i="10"/>
  <c r="N258" i="10"/>
  <c r="O258" i="10" a="1"/>
  <c r="O251" i="10" a="1"/>
  <c r="N251" i="10"/>
  <c r="N248" i="10"/>
  <c r="O248" i="10" a="1"/>
  <c r="O180" i="10" a="1"/>
  <c r="N180" i="10"/>
  <c r="O172" i="10" a="1"/>
  <c r="N172" i="10"/>
  <c r="N168" i="10"/>
  <c r="O168" i="10" a="1"/>
  <c r="N165" i="10"/>
  <c r="O165" i="10" a="1"/>
  <c r="O157" i="10" a="1"/>
  <c r="N157" i="10"/>
  <c r="N141" i="10"/>
  <c r="O141" i="10" a="1"/>
  <c r="N135" i="10"/>
  <c r="O135" i="10" a="1"/>
  <c r="N588" i="10"/>
  <c r="O588" i="10" a="1"/>
  <c r="N587" i="10"/>
  <c r="O587" i="10" a="1"/>
  <c r="O575" i="10" a="1"/>
  <c r="N575" i="10"/>
  <c r="N567" i="10"/>
  <c r="O567" i="10" a="1"/>
  <c r="O530" i="10" a="1"/>
  <c r="N530" i="10"/>
  <c r="O514" i="10" a="1"/>
  <c r="N514" i="10"/>
  <c r="N502" i="10"/>
  <c r="O502" i="10" a="1"/>
  <c r="S1261" i="8"/>
  <c r="U1261" i="8" s="1"/>
  <c r="V1261" i="8" s="1"/>
  <c r="W1261" i="8" s="1"/>
  <c r="X1261" i="8" s="1"/>
  <c r="S1257" i="8"/>
  <c r="U1257" i="8" s="1"/>
  <c r="V1257" i="8" s="1"/>
  <c r="W1257" i="8" s="1"/>
  <c r="S1275" i="8"/>
  <c r="U1275" i="8" s="1"/>
  <c r="V1275" i="8" s="1"/>
  <c r="W1275" i="8" s="1"/>
  <c r="S781" i="8"/>
  <c r="U781" i="8" s="1"/>
  <c r="V781" i="8" s="1"/>
  <c r="W781" i="8" s="1"/>
  <c r="AC1927" i="8"/>
  <c r="S1258" i="8"/>
  <c r="U1258" i="8" s="1"/>
  <c r="V1258" i="8" s="1"/>
  <c r="W1258" i="8" s="1"/>
  <c r="S1227" i="8"/>
  <c r="U1227" i="8" s="1"/>
  <c r="V1227" i="8" s="1"/>
  <c r="W1227" i="8" s="1"/>
  <c r="S1273" i="8"/>
  <c r="U1273" i="8" s="1"/>
  <c r="V1273" i="8" s="1"/>
  <c r="W1273" i="8" s="1"/>
  <c r="S1236" i="8"/>
  <c r="U1236" i="8" s="1"/>
  <c r="V1236" i="8" s="1"/>
  <c r="W1236" i="8" s="1"/>
  <c r="S1300" i="8"/>
  <c r="U1300" i="8" s="1"/>
  <c r="V1300" i="8" s="1"/>
  <c r="W1300" i="8" s="1"/>
  <c r="S1312" i="8"/>
  <c r="U1312" i="8" s="1"/>
  <c r="V1312" i="8" s="1"/>
  <c r="W1312" i="8" s="1"/>
  <c r="S1316" i="8"/>
  <c r="U1316" i="8" s="1"/>
  <c r="V1316" i="8" s="1"/>
  <c r="W1316" i="8" s="1"/>
  <c r="S1290" i="8"/>
  <c r="U1290" i="8" s="1"/>
  <c r="V1290" i="8" s="1"/>
  <c r="W1290" i="8" s="1"/>
  <c r="S1295" i="8"/>
  <c r="U1295" i="8" s="1"/>
  <c r="V1295" i="8" s="1"/>
  <c r="W1295" i="8" s="1"/>
  <c r="S1304" i="8"/>
  <c r="U1304" i="8" s="1"/>
  <c r="V1304" i="8" s="1"/>
  <c r="W1304" i="8" s="1"/>
  <c r="S1307" i="8"/>
  <c r="U1307" i="8" s="1"/>
  <c r="V1307" i="8" s="1"/>
  <c r="W1307" i="8" s="1"/>
  <c r="S1311" i="8"/>
  <c r="U1311" i="8" s="1"/>
  <c r="V1311" i="8" s="1"/>
  <c r="W1311" i="8" s="1"/>
  <c r="S1315" i="8"/>
  <c r="U1315" i="8" s="1"/>
  <c r="V1315" i="8" s="1"/>
  <c r="W1315" i="8" s="1"/>
  <c r="S1266" i="8"/>
  <c r="U1266" i="8" s="1"/>
  <c r="V1266" i="8" s="1"/>
  <c r="W1266" i="8" s="1"/>
  <c r="S1284" i="8"/>
  <c r="U1284" i="8" s="1"/>
  <c r="V1284" i="8" s="1"/>
  <c r="S1285" i="8"/>
  <c r="U1285" i="8" s="1"/>
  <c r="V1285" i="8" s="1"/>
  <c r="S1305" i="8"/>
  <c r="U1305" i="8" s="1"/>
  <c r="V1305" i="8" s="1"/>
  <c r="W1305" i="8" s="1"/>
  <c r="S1308" i="8"/>
  <c r="U1308" i="8" s="1"/>
  <c r="V1308" i="8" s="1"/>
  <c r="W1308" i="8" s="1"/>
  <c r="S1291" i="8"/>
  <c r="U1291" i="8" s="1"/>
  <c r="V1291" i="8" s="1"/>
  <c r="W1291" i="8" s="1"/>
  <c r="S1296" i="8"/>
  <c r="U1296" i="8" s="1"/>
  <c r="V1296" i="8" s="1"/>
  <c r="W1296" i="8" s="1"/>
  <c r="S1299" i="8"/>
  <c r="U1299" i="8" s="1"/>
  <c r="V1299" i="8" s="1"/>
  <c r="W1299" i="8" s="1"/>
  <c r="S1223" i="8"/>
  <c r="U1223" i="8" s="1"/>
  <c r="V1223" i="8" s="1"/>
  <c r="W1223" i="8" s="1"/>
  <c r="S1294" i="8"/>
  <c r="U1294" i="8" s="1"/>
  <c r="V1294" i="8" s="1"/>
  <c r="W1294" i="8" s="1"/>
  <c r="S1229" i="8"/>
  <c r="U1229" i="8" s="1"/>
  <c r="V1229" i="8" s="1"/>
  <c r="W1229" i="8" s="1"/>
  <c r="S1234" i="8"/>
  <c r="U1234" i="8" s="1"/>
  <c r="V1234" i="8" s="1"/>
  <c r="W1234" i="8" s="1"/>
  <c r="S1242" i="8"/>
  <c r="U1242" i="8" s="1"/>
  <c r="V1242" i="8" s="1"/>
  <c r="W1242" i="8" s="1"/>
  <c r="S1249" i="8"/>
  <c r="U1249" i="8" s="1"/>
  <c r="V1249" i="8" s="1"/>
  <c r="W1249" i="8" s="1"/>
  <c r="S1255" i="8"/>
  <c r="U1255" i="8" s="1"/>
  <c r="V1255" i="8" s="1"/>
  <c r="W1255" i="8" s="1"/>
  <c r="S1259" i="8"/>
  <c r="U1259" i="8" s="1"/>
  <c r="V1259" i="8" s="1"/>
  <c r="W1259" i="8" s="1"/>
  <c r="S1306" i="8"/>
  <c r="U1306" i="8" s="1"/>
  <c r="V1306" i="8" s="1"/>
  <c r="W1306" i="8" s="1"/>
  <c r="S1271" i="8"/>
  <c r="U1271" i="8" s="1"/>
  <c r="V1271" i="8" s="1"/>
  <c r="W1271" i="8" s="1"/>
  <c r="S1276" i="8"/>
  <c r="U1276" i="8" s="1"/>
  <c r="V1276" i="8" s="1"/>
  <c r="W1276" i="8" s="1"/>
  <c r="S1310" i="8"/>
  <c r="U1310" i="8" s="1"/>
  <c r="V1310" i="8" s="1"/>
  <c r="W1310" i="8" s="1"/>
  <c r="S1268" i="8"/>
  <c r="U1268" i="8" s="1"/>
  <c r="V1268" i="8" s="1"/>
  <c r="W1268" i="8" s="1"/>
  <c r="S1215" i="8"/>
  <c r="U1215" i="8" s="1"/>
  <c r="V1215" i="8" s="1"/>
  <c r="W1215" i="8" s="1"/>
  <c r="S1288" i="8"/>
  <c r="U1288" i="8" s="1"/>
  <c r="V1288" i="8" s="1"/>
  <c r="W1288" i="8" s="1"/>
  <c r="S1219" i="8"/>
  <c r="U1219" i="8" s="1"/>
  <c r="V1219" i="8" s="1"/>
  <c r="W1219" i="8" s="1"/>
  <c r="S1318" i="8"/>
  <c r="U1318" i="8" s="1"/>
  <c r="V1318" i="8" s="1"/>
  <c r="W1318" i="8" s="1"/>
  <c r="N559" i="10"/>
  <c r="O559" i="10" a="1"/>
  <c r="S1212" i="8"/>
  <c r="U1212" i="8" s="1"/>
  <c r="V1212" i="8" s="1"/>
  <c r="W1212" i="8" s="1"/>
  <c r="S1220" i="8"/>
  <c r="U1220" i="8" s="1"/>
  <c r="V1220" i="8" s="1"/>
  <c r="W1220" i="8" s="1"/>
  <c r="S1226" i="8"/>
  <c r="U1226" i="8" s="1"/>
  <c r="V1226" i="8" s="1"/>
  <c r="W1226" i="8" s="1"/>
  <c r="S1243" i="8"/>
  <c r="U1243" i="8" s="1"/>
  <c r="V1243" i="8" s="1"/>
  <c r="W1243" i="8" s="1"/>
  <c r="S1250" i="8"/>
  <c r="U1250" i="8" s="1"/>
  <c r="V1250" i="8" s="1"/>
  <c r="W1250" i="8" s="1"/>
  <c r="S1277" i="8"/>
  <c r="U1277" i="8" s="1"/>
  <c r="V1277" i="8" s="1"/>
  <c r="W1277" i="8" s="1"/>
  <c r="S1216" i="8"/>
  <c r="U1216" i="8" s="1"/>
  <c r="V1216" i="8" s="1"/>
  <c r="W1216" i="8" s="1"/>
  <c r="S1224" i="8"/>
  <c r="U1224" i="8" s="1"/>
  <c r="V1224" i="8" s="1"/>
  <c r="W1224" i="8" s="1"/>
  <c r="S1230" i="8"/>
  <c r="U1230" i="8" s="1"/>
  <c r="V1230" i="8" s="1"/>
  <c r="W1230" i="8" s="1"/>
  <c r="S1235" i="8"/>
  <c r="U1235" i="8" s="1"/>
  <c r="V1235" i="8" s="1"/>
  <c r="S1238" i="8"/>
  <c r="U1238" i="8" s="1"/>
  <c r="V1238" i="8" s="1"/>
  <c r="W1238" i="8" s="1"/>
  <c r="S1256" i="8"/>
  <c r="U1256" i="8" s="1"/>
  <c r="V1256" i="8" s="1"/>
  <c r="W1256" i="8" s="1"/>
  <c r="S1260" i="8"/>
  <c r="U1260" i="8" s="1"/>
  <c r="V1260" i="8" s="1"/>
  <c r="W1260" i="8" s="1"/>
  <c r="S1280" i="8"/>
  <c r="U1280" i="8" s="1"/>
  <c r="V1280" i="8" s="1"/>
  <c r="W1280" i="8" s="1"/>
  <c r="S1283" i="8"/>
  <c r="U1283" i="8" s="1"/>
  <c r="V1283" i="8" s="1"/>
  <c r="W1283" i="8" s="1"/>
  <c r="S1221" i="8"/>
  <c r="U1221" i="8" s="1"/>
  <c r="V1221" i="8" s="1"/>
  <c r="W1221" i="8" s="1"/>
  <c r="S1232" i="8"/>
  <c r="U1232" i="8" s="1"/>
  <c r="V1232" i="8" s="1"/>
  <c r="S1239" i="8"/>
  <c r="U1239" i="8" s="1"/>
  <c r="V1239" i="8" s="1"/>
  <c r="S1240" i="8"/>
  <c r="U1240" i="8" s="1"/>
  <c r="V1240" i="8" s="1"/>
  <c r="S1269" i="8"/>
  <c r="U1269" i="8" s="1"/>
  <c r="V1269" i="8" s="1"/>
  <c r="W1269" i="8" s="1"/>
  <c r="S1281" i="8"/>
  <c r="U1281" i="8" s="1"/>
  <c r="V1281" i="8" s="1"/>
  <c r="W1281" i="8" s="1"/>
  <c r="S1213" i="8"/>
  <c r="U1213" i="8" s="1"/>
  <c r="V1213" i="8" s="1"/>
  <c r="W1213" i="8" s="1"/>
  <c r="S1217" i="8"/>
  <c r="U1217" i="8" s="1"/>
  <c r="V1217" i="8" s="1"/>
  <c r="W1217" i="8" s="1"/>
  <c r="S1225" i="8"/>
  <c r="U1225" i="8" s="1"/>
  <c r="V1225" i="8" s="1"/>
  <c r="W1225" i="8" s="1"/>
  <c r="S1246" i="8"/>
  <c r="U1246" i="8" s="1"/>
  <c r="V1246" i="8" s="1"/>
  <c r="S1247" i="8"/>
  <c r="U1247" i="8" s="1"/>
  <c r="V1247" i="8" s="1"/>
  <c r="S1253" i="8"/>
  <c r="U1253" i="8" s="1"/>
  <c r="V1253" i="8" s="1"/>
  <c r="W1253" i="8" s="1"/>
  <c r="S1278" i="8"/>
  <c r="U1278" i="8" s="1"/>
  <c r="V1278" i="8" s="1"/>
  <c r="W1278" i="8" s="1"/>
  <c r="G29" i="13"/>
  <c r="G10" i="13"/>
  <c r="G169" i="13"/>
  <c r="S1172" i="8"/>
  <c r="U1172" i="8" s="1"/>
  <c r="V1172" i="8" s="1"/>
  <c r="W1172" i="8" s="1"/>
  <c r="S1794" i="8"/>
  <c r="U1794" i="8" s="1"/>
  <c r="V1794" i="8" s="1"/>
  <c r="W1794" i="8" s="1"/>
  <c r="X1794" i="8" s="1"/>
  <c r="S1101" i="8"/>
  <c r="U1101" i="8" s="1"/>
  <c r="V1101" i="8" s="1"/>
  <c r="W1101" i="8" s="1"/>
  <c r="S1127" i="8"/>
  <c r="U1127" i="8" s="1"/>
  <c r="V1127" i="8" s="1"/>
  <c r="W1127" i="8" s="1"/>
  <c r="S1053" i="8"/>
  <c r="U1053" i="8" s="1"/>
  <c r="V1053" i="8" s="1"/>
  <c r="W1053" i="8" s="1"/>
  <c r="S1179" i="8"/>
  <c r="U1179" i="8" s="1"/>
  <c r="V1179" i="8" s="1"/>
  <c r="W1179" i="8" s="1"/>
  <c r="S1057" i="8"/>
  <c r="U1057" i="8" s="1"/>
  <c r="V1057" i="8" s="1"/>
  <c r="W1057" i="8" s="1"/>
  <c r="S1187" i="8"/>
  <c r="U1187" i="8" s="1"/>
  <c r="V1187" i="8" s="1"/>
  <c r="W1187" i="8" s="1"/>
  <c r="S1049" i="8"/>
  <c r="U1049" i="8" s="1"/>
  <c r="V1049" i="8" s="1"/>
  <c r="W1049" i="8" s="1"/>
  <c r="S1061" i="8"/>
  <c r="U1061" i="8" s="1"/>
  <c r="V1061" i="8" s="1"/>
  <c r="W1061" i="8" s="1"/>
  <c r="S1065" i="8"/>
  <c r="U1065" i="8" s="1"/>
  <c r="V1065" i="8" s="1"/>
  <c r="W1065" i="8" s="1"/>
  <c r="S1069" i="8"/>
  <c r="U1069" i="8" s="1"/>
  <c r="V1069" i="8" s="1"/>
  <c r="W1069" i="8" s="1"/>
  <c r="S1163" i="8"/>
  <c r="U1163" i="8" s="1"/>
  <c r="V1163" i="8" s="1"/>
  <c r="W1163" i="8" s="1"/>
  <c r="S1076" i="8"/>
  <c r="U1076" i="8" s="1"/>
  <c r="V1076" i="8" s="1"/>
  <c r="W1076" i="8" s="1"/>
  <c r="S1132" i="8"/>
  <c r="U1132" i="8" s="1"/>
  <c r="V1132" i="8" s="1"/>
  <c r="W1132" i="8" s="1"/>
  <c r="S1081" i="8"/>
  <c r="U1081" i="8" s="1"/>
  <c r="V1081" i="8" s="1"/>
  <c r="W1081" i="8" s="1"/>
  <c r="S1143" i="8"/>
  <c r="U1143" i="8" s="1"/>
  <c r="V1143" i="8" s="1"/>
  <c r="W1143" i="8" s="1"/>
  <c r="S1085" i="8"/>
  <c r="U1085" i="8" s="1"/>
  <c r="V1085" i="8" s="1"/>
  <c r="W1085" i="8" s="1"/>
  <c r="S1189" i="8"/>
  <c r="U1189" i="8" s="1"/>
  <c r="V1189" i="8" s="1"/>
  <c r="W1189" i="8" s="1"/>
  <c r="S1089" i="8"/>
  <c r="U1089" i="8" s="1"/>
  <c r="V1089" i="8" s="1"/>
  <c r="W1089" i="8" s="1"/>
  <c r="S1193" i="8"/>
  <c r="U1193" i="8" s="1"/>
  <c r="V1193" i="8" s="1"/>
  <c r="W1193" i="8" s="1"/>
  <c r="S1091" i="8"/>
  <c r="U1091" i="8" s="1"/>
  <c r="V1091" i="8" s="1"/>
  <c r="W1091" i="8" s="1"/>
  <c r="S1094" i="8"/>
  <c r="U1094" i="8" s="1"/>
  <c r="V1094" i="8" s="1"/>
  <c r="W1094" i="8" s="1"/>
  <c r="S1195" i="8"/>
  <c r="U1195" i="8" s="1"/>
  <c r="V1195" i="8" s="1"/>
  <c r="W1195" i="8" s="1"/>
  <c r="S1099" i="8"/>
  <c r="U1099" i="8" s="1"/>
  <c r="V1099" i="8" s="1"/>
  <c r="W1099" i="8" s="1"/>
  <c r="S1203" i="8"/>
  <c r="U1203" i="8" s="1"/>
  <c r="V1203" i="8" s="1"/>
  <c r="W1203" i="8" s="1"/>
  <c r="S1150" i="8"/>
  <c r="U1150" i="8" s="1"/>
  <c r="V1150" i="8" s="1"/>
  <c r="W1150" i="8" s="1"/>
  <c r="S1138" i="8"/>
  <c r="U1138" i="8" s="1"/>
  <c r="V1138" i="8" s="1"/>
  <c r="W1138" i="8" s="1"/>
  <c r="S1140" i="8"/>
  <c r="U1140" i="8" s="1"/>
  <c r="V1140" i="8" s="1"/>
  <c r="W1140" i="8" s="1"/>
  <c r="S1107" i="8"/>
  <c r="U1107" i="8" s="1"/>
  <c r="V1107" i="8" s="1"/>
  <c r="W1107" i="8" s="1"/>
  <c r="S1146" i="8"/>
  <c r="U1146" i="8" s="1"/>
  <c r="V1146" i="8" s="1"/>
  <c r="W1146" i="8" s="1"/>
  <c r="S1110" i="8"/>
  <c r="U1110" i="8" s="1"/>
  <c r="V1110" i="8" s="1"/>
  <c r="W1110" i="8" s="1"/>
  <c r="S1114" i="8"/>
  <c r="U1114" i="8" s="1"/>
  <c r="V1114" i="8" s="1"/>
  <c r="W1114" i="8" s="1"/>
  <c r="S1117" i="8"/>
  <c r="U1117" i="8" s="1"/>
  <c r="V1117" i="8" s="1"/>
  <c r="S1167" i="8"/>
  <c r="U1167" i="8" s="1"/>
  <c r="V1167" i="8" s="1"/>
  <c r="W1167" i="8" s="1"/>
  <c r="S1122" i="8"/>
  <c r="U1122" i="8" s="1"/>
  <c r="V1122" i="8" s="1"/>
  <c r="W1122" i="8" s="1"/>
  <c r="S1207" i="8"/>
  <c r="U1207" i="8" s="1"/>
  <c r="V1207" i="8" s="1"/>
  <c r="W1207" i="8" s="1"/>
  <c r="S1175" i="8"/>
  <c r="U1175" i="8" s="1"/>
  <c r="V1175" i="8" s="1"/>
  <c r="W1175" i="8" s="1"/>
  <c r="S1054" i="8"/>
  <c r="U1054" i="8" s="1"/>
  <c r="V1054" i="8" s="1"/>
  <c r="W1054" i="8" s="1"/>
  <c r="S1043" i="8"/>
  <c r="U1043" i="8" s="1"/>
  <c r="V1043" i="8" s="1"/>
  <c r="W1043" i="8" s="1"/>
  <c r="S1086" i="8"/>
  <c r="U1086" i="8" s="1"/>
  <c r="V1086" i="8" s="1"/>
  <c r="W1086" i="8" s="1"/>
  <c r="S1090" i="8"/>
  <c r="U1090" i="8" s="1"/>
  <c r="V1090" i="8" s="1"/>
  <c r="W1090" i="8" s="1"/>
  <c r="S1096" i="8"/>
  <c r="U1096" i="8" s="1"/>
  <c r="V1096" i="8" s="1"/>
  <c r="W1096" i="8" s="1"/>
  <c r="S1100" i="8"/>
  <c r="U1100" i="8" s="1"/>
  <c r="V1100" i="8" s="1"/>
  <c r="W1100" i="8" s="1"/>
  <c r="S1104" i="8"/>
  <c r="U1104" i="8" s="1"/>
  <c r="V1104" i="8" s="1"/>
  <c r="W1104" i="8" s="1"/>
  <c r="S1111" i="8"/>
  <c r="U1111" i="8" s="1"/>
  <c r="V1111" i="8" s="1"/>
  <c r="W1111" i="8" s="1"/>
  <c r="S1161" i="8"/>
  <c r="U1161" i="8" s="1"/>
  <c r="V1161" i="8" s="1"/>
  <c r="W1161" i="8" s="1"/>
  <c r="S1190" i="8"/>
  <c r="U1190" i="8" s="1"/>
  <c r="V1190" i="8" s="1"/>
  <c r="W1190" i="8" s="1"/>
  <c r="S1118" i="8"/>
  <c r="U1118" i="8" s="1"/>
  <c r="V1118" i="8" s="1"/>
  <c r="W1118" i="8" s="1"/>
  <c r="S1173" i="8"/>
  <c r="U1173" i="8" s="1"/>
  <c r="V1173" i="8" s="1"/>
  <c r="W1173" i="8" s="1"/>
  <c r="S1196" i="8"/>
  <c r="U1196" i="8" s="1"/>
  <c r="V1196" i="8" s="1"/>
  <c r="W1196" i="8" s="1"/>
  <c r="S1199" i="8"/>
  <c r="U1199" i="8" s="1"/>
  <c r="V1199" i="8" s="1"/>
  <c r="W1199" i="8" s="1"/>
  <c r="S1168" i="8"/>
  <c r="U1168" i="8" s="1"/>
  <c r="V1168" i="8" s="1"/>
  <c r="W1168" i="8" s="1"/>
  <c r="S1151" i="8"/>
  <c r="U1151" i="8" s="1"/>
  <c r="V1151" i="8" s="1"/>
  <c r="S1152" i="8"/>
  <c r="U1152" i="8" s="1"/>
  <c r="V1152" i="8" s="1"/>
  <c r="S1157" i="8"/>
  <c r="U1157" i="8" s="1"/>
  <c r="V1157" i="8" s="1"/>
  <c r="W1157" i="8" s="1"/>
  <c r="S1159" i="8"/>
  <c r="U1159" i="8" s="1"/>
  <c r="V1159" i="8" s="1"/>
  <c r="W1159" i="8" s="1"/>
  <c r="S1164" i="8"/>
  <c r="U1164" i="8" s="1"/>
  <c r="V1164" i="8" s="1"/>
  <c r="W1164" i="8" s="1"/>
  <c r="S1170" i="8"/>
  <c r="U1170" i="8" s="1"/>
  <c r="V1170" i="8" s="1"/>
  <c r="W1170" i="8" s="1"/>
  <c r="S1050" i="8"/>
  <c r="U1050" i="8" s="1"/>
  <c r="V1050" i="8" s="1"/>
  <c r="W1050" i="8" s="1"/>
  <c r="S1072" i="8"/>
  <c r="U1072" i="8" s="1"/>
  <c r="V1072" i="8" s="1"/>
  <c r="W1072" i="8" s="1"/>
  <c r="S1046" i="8"/>
  <c r="U1046" i="8" s="1"/>
  <c r="V1046" i="8" s="1"/>
  <c r="W1046" i="8" s="1"/>
  <c r="S1176" i="8"/>
  <c r="U1176" i="8" s="1"/>
  <c r="V1176" i="8" s="1"/>
  <c r="W1176" i="8" s="1"/>
  <c r="S1082" i="8"/>
  <c r="U1082" i="8" s="1"/>
  <c r="V1082" i="8" s="1"/>
  <c r="W1082" i="8" s="1"/>
  <c r="S1181" i="8"/>
  <c r="U1181" i="8" s="1"/>
  <c r="V1181" i="8" s="1"/>
  <c r="W1181" i="8" s="1"/>
  <c r="S1078" i="8"/>
  <c r="U1078" i="8" s="1"/>
  <c r="V1078" i="8" s="1"/>
  <c r="W1078" i="8" s="1"/>
  <c r="S1188" i="8"/>
  <c r="U1188" i="8" s="1"/>
  <c r="V1188" i="8" s="1"/>
  <c r="W1188" i="8" s="1"/>
  <c r="S1102" i="8"/>
  <c r="U1102" i="8" s="1"/>
  <c r="V1102" i="8" s="1"/>
  <c r="W1102" i="8" s="1"/>
  <c r="S1108" i="8"/>
  <c r="U1108" i="8" s="1"/>
  <c r="V1108" i="8" s="1"/>
  <c r="W1108" i="8" s="1"/>
  <c r="S1115" i="8"/>
  <c r="U1115" i="8" s="1"/>
  <c r="V1115" i="8" s="1"/>
  <c r="S1194" i="8"/>
  <c r="U1194" i="8" s="1"/>
  <c r="V1194" i="8" s="1"/>
  <c r="W1194" i="8" s="1"/>
  <c r="S1135" i="8"/>
  <c r="U1135" i="8" s="1"/>
  <c r="V1135" i="8" s="1"/>
  <c r="W1135" i="8" s="1"/>
  <c r="S1139" i="8"/>
  <c r="U1139" i="8" s="1"/>
  <c r="V1139" i="8" s="1"/>
  <c r="W1139" i="8" s="1"/>
  <c r="S1141" i="8"/>
  <c r="U1141" i="8" s="1"/>
  <c r="V1141" i="8" s="1"/>
  <c r="W1141" i="8" s="1"/>
  <c r="S1200" i="8"/>
  <c r="U1200" i="8" s="1"/>
  <c r="V1200" i="8" s="1"/>
  <c r="W1200" i="8" s="1"/>
  <c r="S1144" i="8"/>
  <c r="U1144" i="8" s="1"/>
  <c r="V1144" i="8" s="1"/>
  <c r="W1144" i="8" s="1"/>
  <c r="S1204" i="8"/>
  <c r="U1204" i="8" s="1"/>
  <c r="V1204" i="8" s="1"/>
  <c r="S1205" i="8"/>
  <c r="U1205" i="8" s="1"/>
  <c r="V1205" i="8" s="1"/>
  <c r="S1147" i="8"/>
  <c r="U1147" i="8" s="1"/>
  <c r="V1147" i="8" s="1"/>
  <c r="W1147" i="8" s="1"/>
  <c r="S1209" i="8"/>
  <c r="U1209" i="8" s="1"/>
  <c r="V1209" i="8" s="1"/>
  <c r="W1209" i="8" s="1"/>
  <c r="S1183" i="8"/>
  <c r="U1183" i="8" s="1"/>
  <c r="V1183" i="8" s="1"/>
  <c r="W1183" i="8" s="1"/>
  <c r="S1186" i="8"/>
  <c r="U1186" i="8" s="1"/>
  <c r="V1186" i="8" s="1"/>
  <c r="W1186" i="8" s="1"/>
  <c r="S1142" i="8"/>
  <c r="U1142" i="8" s="1"/>
  <c r="V1142" i="8" s="1"/>
  <c r="W1142" i="8" s="1"/>
  <c r="S1166" i="8"/>
  <c r="U1166" i="8" s="1"/>
  <c r="V1166" i="8" s="1"/>
  <c r="W1166" i="8" s="1"/>
  <c r="S1121" i="8"/>
  <c r="U1121" i="8" s="1"/>
  <c r="V1121" i="8" s="1"/>
  <c r="W1121" i="8" s="1"/>
  <c r="S1119" i="8"/>
  <c r="U1119" i="8" s="1"/>
  <c r="V1119" i="8" s="1"/>
  <c r="W1119" i="8" s="1"/>
  <c r="S1192" i="8"/>
  <c r="U1192" i="8" s="1"/>
  <c r="V1192" i="8" s="1"/>
  <c r="W1192" i="8" s="1"/>
  <c r="S1169" i="8"/>
  <c r="U1169" i="8" s="1"/>
  <c r="V1169" i="8" s="1"/>
  <c r="W1169" i="8" s="1"/>
  <c r="S1145" i="8"/>
  <c r="U1145" i="8" s="1"/>
  <c r="V1145" i="8" s="1"/>
  <c r="W1145" i="8" s="1"/>
  <c r="S1171" i="8"/>
  <c r="U1171" i="8" s="1"/>
  <c r="V1171" i="8" s="1"/>
  <c r="W1171" i="8" s="1"/>
  <c r="S1155" i="8"/>
  <c r="U1155" i="8" s="1"/>
  <c r="V1155" i="8" s="1"/>
  <c r="W1155" i="8" s="1"/>
  <c r="S1198" i="8"/>
  <c r="U1198" i="8" s="1"/>
  <c r="V1198" i="8" s="1"/>
  <c r="W1198" i="8" s="1"/>
  <c r="S1149" i="8"/>
  <c r="U1149" i="8" s="1"/>
  <c r="V1149" i="8" s="1"/>
  <c r="W1149" i="8" s="1"/>
  <c r="S1174" i="8"/>
  <c r="U1174" i="8" s="1"/>
  <c r="V1174" i="8" s="1"/>
  <c r="W1174" i="8" s="1"/>
  <c r="S1202" i="8"/>
  <c r="U1202" i="8" s="1"/>
  <c r="V1202" i="8" s="1"/>
  <c r="W1202" i="8" s="1"/>
  <c r="S1137" i="8"/>
  <c r="U1137" i="8" s="1"/>
  <c r="V1137" i="8" s="1"/>
  <c r="W1137" i="8" s="1"/>
  <c r="S1160" i="8"/>
  <c r="U1160" i="8" s="1"/>
  <c r="V1160" i="8" s="1"/>
  <c r="W1160" i="8" s="1"/>
  <c r="S1178" i="8"/>
  <c r="U1178" i="8" s="1"/>
  <c r="V1178" i="8" s="1"/>
  <c r="W1178" i="8" s="1"/>
  <c r="S1126" i="8"/>
  <c r="U1126" i="8" s="1"/>
  <c r="V1126" i="8" s="1"/>
  <c r="W1126" i="8" s="1"/>
  <c r="S1131" i="8"/>
  <c r="U1131" i="8" s="1"/>
  <c r="V1131" i="8" s="1"/>
  <c r="W1131" i="8" s="1"/>
  <c r="S1210" i="8"/>
  <c r="U1210" i="8" s="1"/>
  <c r="V1210" i="8" s="1"/>
  <c r="W1210" i="8" s="1"/>
  <c r="H50" i="10"/>
  <c r="I50" i="10" s="1"/>
  <c r="G42" i="13"/>
  <c r="H49" i="10"/>
  <c r="I49" i="10" s="1"/>
  <c r="D50" i="11" s="1"/>
  <c r="F9" i="14"/>
  <c r="H9" i="14" s="1"/>
  <c r="G9" i="14"/>
  <c r="I9" i="14" s="1"/>
  <c r="S624" i="8"/>
  <c r="S1158" i="8"/>
  <c r="S173" i="8"/>
  <c r="S1120" i="8"/>
  <c r="U1120" i="8" s="1"/>
  <c r="V1120" i="8" s="1"/>
  <c r="W1120" i="8" s="1"/>
  <c r="S1125" i="8"/>
  <c r="U1125" i="8" s="1"/>
  <c r="V1125" i="8" s="1"/>
  <c r="W1125" i="8" s="1"/>
  <c r="S1129" i="8"/>
  <c r="U1129" i="8" s="1"/>
  <c r="V1129" i="8" s="1"/>
  <c r="W1129" i="8" s="1"/>
  <c r="S1184" i="8"/>
  <c r="U1184" i="8" s="1"/>
  <c r="V1184" i="8" s="1"/>
  <c r="W1184" i="8" s="1"/>
  <c r="F8" i="14"/>
  <c r="H8" i="14" s="1"/>
  <c r="F5" i="14"/>
  <c r="H5" i="14" s="1"/>
  <c r="D734" i="8"/>
  <c r="AB734" i="8" s="1"/>
  <c r="E734" i="8"/>
  <c r="E736" i="8"/>
  <c r="D736" i="8"/>
  <c r="AB736" i="8" s="1"/>
  <c r="E732" i="8"/>
  <c r="D732" i="8"/>
  <c r="AB732" i="8" s="1"/>
  <c r="E731" i="8"/>
  <c r="D731" i="8"/>
  <c r="AB731" i="8" s="1"/>
  <c r="E735" i="8"/>
  <c r="D735" i="8"/>
  <c r="AB735" i="8" s="1"/>
  <c r="E733" i="8"/>
  <c r="D733" i="8"/>
  <c r="AB733" i="8" s="1"/>
  <c r="E979" i="8"/>
  <c r="D979" i="8"/>
  <c r="E980" i="8"/>
  <c r="D980" i="8"/>
  <c r="E768" i="8"/>
  <c r="D768" i="8"/>
  <c r="D766" i="8"/>
  <c r="E766" i="8"/>
  <c r="E767" i="8"/>
  <c r="D767" i="8"/>
  <c r="E728" i="8"/>
  <c r="D728" i="8"/>
  <c r="AB728" i="8" s="1"/>
  <c r="D727" i="8"/>
  <c r="AB727" i="8" s="1"/>
  <c r="E727" i="8"/>
  <c r="D730" i="8"/>
  <c r="AB730" i="8" s="1"/>
  <c r="E730" i="8"/>
  <c r="E729" i="8"/>
  <c r="D729" i="8"/>
  <c r="AB729" i="8" s="1"/>
  <c r="E848" i="8"/>
  <c r="D848" i="8"/>
  <c r="D849" i="8"/>
  <c r="E849" i="8"/>
  <c r="D847" i="8"/>
  <c r="E847" i="8"/>
  <c r="E981" i="8"/>
  <c r="D981" i="8"/>
  <c r="AB981" i="8" s="1"/>
  <c r="D982" i="8"/>
  <c r="AB982" i="8" s="1"/>
  <c r="E982" i="8"/>
  <c r="F12" i="14"/>
  <c r="G12" i="14"/>
  <c r="D21" i="13"/>
  <c r="C21" i="13"/>
  <c r="B21" i="13"/>
  <c r="D41" i="13"/>
  <c r="C41" i="13"/>
  <c r="B41" i="13"/>
  <c r="B44" i="13"/>
  <c r="D44" i="13"/>
  <c r="C44" i="13"/>
  <c r="S1042" i="8"/>
  <c r="S1045" i="8"/>
  <c r="U1158" i="8"/>
  <c r="V1158" i="8" s="1"/>
  <c r="W1158" i="8" s="1"/>
  <c r="S1060" i="8"/>
  <c r="S1064" i="8"/>
  <c r="S1068" i="8"/>
  <c r="S1075" i="8"/>
  <c r="S1080" i="8"/>
  <c r="S1084" i="8"/>
  <c r="S1088" i="8"/>
  <c r="S1093" i="8"/>
  <c r="S1098" i="8"/>
  <c r="S1106" i="8"/>
  <c r="S1113" i="8"/>
  <c r="S1052" i="8"/>
  <c r="S1056" i="8"/>
  <c r="S1109" i="8"/>
  <c r="S1044" i="8"/>
  <c r="S1048" i="8"/>
  <c r="U624" i="8"/>
  <c r="V624" i="8" s="1"/>
  <c r="W624" i="8" s="1"/>
  <c r="U173" i="8"/>
  <c r="V173" i="8" s="1"/>
  <c r="W173" i="8" s="1"/>
  <c r="E15" i="14"/>
  <c r="D15" i="14"/>
  <c r="S1095" i="8"/>
  <c r="S1092" i="8"/>
  <c r="S1066" i="8"/>
  <c r="S1058" i="8"/>
  <c r="S1062" i="8"/>
  <c r="S978" i="8"/>
  <c r="U978" i="8" s="1"/>
  <c r="V978" i="8" s="1"/>
  <c r="W978" i="8" s="1"/>
  <c r="S1694" i="8"/>
  <c r="U1694" i="8" s="1"/>
  <c r="V1694" i="8" s="1"/>
  <c r="S686" i="8"/>
  <c r="U686" i="8" s="1"/>
  <c r="V686" i="8" s="1"/>
  <c r="W686" i="8" s="1"/>
  <c r="S572" i="8"/>
  <c r="U572" i="8" s="1"/>
  <c r="V572" i="8" s="1"/>
  <c r="W572" i="8" s="1"/>
  <c r="S615" i="8"/>
  <c r="U615" i="8" s="1"/>
  <c r="V615" i="8" s="1"/>
  <c r="W615" i="8" s="1"/>
  <c r="S1701" i="8"/>
  <c r="U1701" i="8" s="1"/>
  <c r="V1701" i="8" s="1"/>
  <c r="W1701" i="8" s="1"/>
  <c r="S979" i="8"/>
  <c r="U979" i="8" s="1"/>
  <c r="V979" i="8" s="1"/>
  <c r="W979" i="8" s="1"/>
  <c r="S922" i="8"/>
  <c r="U922" i="8" s="1"/>
  <c r="V922" i="8" s="1"/>
  <c r="W922" i="8" s="1"/>
  <c r="S490" i="8"/>
  <c r="U490" i="8" s="1"/>
  <c r="V490" i="8" s="1"/>
  <c r="W490" i="8" s="1"/>
  <c r="S491" i="8"/>
  <c r="U491" i="8" s="1"/>
  <c r="V491" i="8" s="1"/>
  <c r="W491" i="8" s="1"/>
  <c r="S1699" i="8"/>
  <c r="U1699" i="8" s="1"/>
  <c r="V1699" i="8" s="1"/>
  <c r="W1699" i="8" s="1"/>
  <c r="S1702" i="8"/>
  <c r="U1702" i="8" s="1"/>
  <c r="V1702" i="8" s="1"/>
  <c r="S980" i="8"/>
  <c r="U980" i="8" s="1"/>
  <c r="V980" i="8" s="1"/>
  <c r="W980" i="8" s="1"/>
  <c r="S981" i="8"/>
  <c r="U981" i="8" s="1"/>
  <c r="V981" i="8" s="1"/>
  <c r="S982" i="8"/>
  <c r="U982" i="8" s="1"/>
  <c r="V982" i="8" s="1"/>
  <c r="S617" i="8"/>
  <c r="U617" i="8" s="1"/>
  <c r="V617" i="8" s="1"/>
  <c r="W617" i="8" s="1"/>
  <c r="S625" i="8"/>
  <c r="U625" i="8" s="1"/>
  <c r="V625" i="8" s="1"/>
  <c r="W625" i="8" s="1"/>
  <c r="N568" i="10"/>
  <c r="O568" i="10" a="1"/>
  <c r="S1893" i="8"/>
  <c r="U1893" i="8" s="1"/>
  <c r="V1893" i="8" s="1"/>
  <c r="S933" i="8"/>
  <c r="U933" i="8" s="1"/>
  <c r="V933" i="8" s="1"/>
  <c r="W933" i="8" s="1"/>
  <c r="S957" i="8"/>
  <c r="U957" i="8" s="1"/>
  <c r="V957" i="8" s="1"/>
  <c r="W957" i="8" s="1"/>
  <c r="D1693" i="8"/>
  <c r="E1693" i="8"/>
  <c r="S1693" i="8"/>
  <c r="U1693" i="8" s="1"/>
  <c r="V1693" i="8" s="1"/>
  <c r="W1693" i="8" s="1"/>
  <c r="D1372" i="8"/>
  <c r="S1838" i="8"/>
  <c r="U1838" i="8" s="1"/>
  <c r="V1838" i="8" s="1"/>
  <c r="W1838" i="8" s="1"/>
  <c r="S1763" i="8"/>
  <c r="U1763" i="8" s="1"/>
  <c r="V1763" i="8" s="1"/>
  <c r="S1764" i="8"/>
  <c r="U1764" i="8" s="1"/>
  <c r="V1764" i="8" s="1"/>
  <c r="D1661" i="8"/>
  <c r="E1661" i="8"/>
  <c r="S1661" i="8"/>
  <c r="U1661" i="8" s="1"/>
  <c r="V1661" i="8" s="1"/>
  <c r="W1661" i="8" s="1"/>
  <c r="D1663" i="8"/>
  <c r="E1663" i="8"/>
  <c r="S1663" i="8"/>
  <c r="U1663" i="8" s="1"/>
  <c r="V1663" i="8" s="1"/>
  <c r="D1662" i="8"/>
  <c r="E1662" i="8"/>
  <c r="S1662" i="8"/>
  <c r="U1662" i="8" s="1"/>
  <c r="V1662" i="8" s="1"/>
  <c r="D1660" i="8"/>
  <c r="E1660" i="8"/>
  <c r="S1660" i="8"/>
  <c r="U1660" i="8" s="1"/>
  <c r="V1660" i="8" s="1"/>
  <c r="D1659" i="8"/>
  <c r="E1659" i="8"/>
  <c r="S1659" i="8"/>
  <c r="U1659" i="8" s="1"/>
  <c r="V1659" i="8" s="1"/>
  <c r="D1665" i="8"/>
  <c r="S1665" i="8"/>
  <c r="U1665" i="8" s="1"/>
  <c r="V1665" i="8" s="1"/>
  <c r="W1665" i="8" s="1"/>
  <c r="E1665" i="8"/>
  <c r="D1666" i="8"/>
  <c r="S1666" i="8"/>
  <c r="U1666" i="8" s="1"/>
  <c r="V1666" i="8" s="1"/>
  <c r="W1666" i="8" s="1"/>
  <c r="E1666" i="8"/>
  <c r="D1667" i="8"/>
  <c r="S1667" i="8"/>
  <c r="U1667" i="8" s="1"/>
  <c r="V1667" i="8" s="1"/>
  <c r="E1667" i="8"/>
  <c r="D1668" i="8"/>
  <c r="S1668" i="8"/>
  <c r="U1668" i="8" s="1"/>
  <c r="V1668" i="8" s="1"/>
  <c r="E1668" i="8"/>
  <c r="D1361" i="8"/>
  <c r="S1772" i="8"/>
  <c r="U1772" i="8" s="1"/>
  <c r="V1772" i="8" s="1"/>
  <c r="S1884" i="8"/>
  <c r="U1884" i="8" s="1"/>
  <c r="V1884" i="8" s="1"/>
  <c r="S1841" i="8"/>
  <c r="U1841" i="8" s="1"/>
  <c r="V1841" i="8" s="1"/>
  <c r="S1811" i="8"/>
  <c r="U1811" i="8" s="1"/>
  <c r="V1811" i="8" s="1"/>
  <c r="S1846" i="8"/>
  <c r="U1846" i="8" s="1"/>
  <c r="V1846" i="8" s="1"/>
  <c r="D1360" i="8"/>
  <c r="S1883" i="8"/>
  <c r="U1883" i="8" s="1"/>
  <c r="V1883" i="8" s="1"/>
  <c r="W1883" i="8" s="1"/>
  <c r="S1771" i="8"/>
  <c r="U1771" i="8" s="1"/>
  <c r="V1771" i="8" s="1"/>
  <c r="W1771" i="8" s="1"/>
  <c r="S1810" i="8"/>
  <c r="U1810" i="8" s="1"/>
  <c r="V1810" i="8" s="1"/>
  <c r="W1810" i="8" s="1"/>
  <c r="S1906" i="8"/>
  <c r="U1906" i="8" s="1"/>
  <c r="V1906" i="8" s="1"/>
  <c r="S1837" i="8"/>
  <c r="U1837" i="8" s="1"/>
  <c r="V1837" i="8" s="1"/>
  <c r="W1837" i="8" s="1"/>
  <c r="S1907" i="8"/>
  <c r="U1907" i="8" s="1"/>
  <c r="V1907" i="8" s="1"/>
  <c r="S1840" i="8"/>
  <c r="U1840" i="8" s="1"/>
  <c r="V1840" i="8" s="1"/>
  <c r="W1840" i="8" s="1"/>
  <c r="D1359" i="8"/>
  <c r="S1793" i="8"/>
  <c r="U1793" i="8" s="1"/>
  <c r="V1793" i="8" s="1"/>
  <c r="S1805" i="8"/>
  <c r="U1805" i="8" s="1"/>
  <c r="V1805" i="8" s="1"/>
  <c r="S1905" i="8"/>
  <c r="U1905" i="8" s="1"/>
  <c r="V1905" i="8" s="1"/>
  <c r="S1904" i="8"/>
  <c r="U1904" i="8" s="1"/>
  <c r="V1904" i="8" s="1"/>
  <c r="S1809" i="8"/>
  <c r="U1809" i="8" s="1"/>
  <c r="V1809" i="8" s="1"/>
  <c r="S1839" i="8"/>
  <c r="U1839" i="8" s="1"/>
  <c r="V1839" i="8" s="1"/>
  <c r="S1882" i="8"/>
  <c r="U1882" i="8" s="1"/>
  <c r="V1882" i="8" s="1"/>
  <c r="S1836" i="8"/>
  <c r="U1836" i="8" s="1"/>
  <c r="V1836" i="8" s="1"/>
  <c r="S1824" i="8"/>
  <c r="U1824" i="8" s="1"/>
  <c r="V1824" i="8" s="1"/>
  <c r="S1770" i="8"/>
  <c r="U1770" i="8" s="1"/>
  <c r="V1770" i="8" s="1"/>
  <c r="S1792" i="8"/>
  <c r="U1792" i="8" s="1"/>
  <c r="V1792" i="8" s="1"/>
  <c r="D1358" i="8"/>
  <c r="S1911" i="8"/>
  <c r="U1911" i="8" s="1"/>
  <c r="V1911" i="8" s="1"/>
  <c r="S1910" i="8"/>
  <c r="U1910" i="8" s="1"/>
  <c r="V1910" i="8" s="1"/>
  <c r="S1881" i="8"/>
  <c r="U1881" i="8" s="1"/>
  <c r="V1881" i="8" s="1"/>
  <c r="W1881" i="8" s="1"/>
  <c r="S1823" i="8"/>
  <c r="U1823" i="8" s="1"/>
  <c r="V1823" i="8" s="1"/>
  <c r="W1823" i="8" s="1"/>
  <c r="S1903" i="8"/>
  <c r="U1903" i="8" s="1"/>
  <c r="V1903" i="8" s="1"/>
  <c r="W1903" i="8" s="1"/>
  <c r="S1835" i="8"/>
  <c r="U1835" i="8" s="1"/>
  <c r="V1835" i="8" s="1"/>
  <c r="W1835" i="8" s="1"/>
  <c r="S1808" i="8"/>
  <c r="U1808" i="8" s="1"/>
  <c r="V1808" i="8" s="1"/>
  <c r="W1808" i="8" s="1"/>
  <c r="D1686" i="8"/>
  <c r="E1686" i="8"/>
  <c r="S1686" i="8"/>
  <c r="U1686" i="8" s="1"/>
  <c r="V1686" i="8" s="1"/>
  <c r="D1685" i="8"/>
  <c r="S1685" i="8"/>
  <c r="U1685" i="8" s="1"/>
  <c r="V1685" i="8" s="1"/>
  <c r="E1685" i="8"/>
  <c r="D1683" i="8"/>
  <c r="S1683" i="8"/>
  <c r="U1683" i="8" s="1"/>
  <c r="V1683" i="8" s="1"/>
  <c r="W1683" i="8" s="1"/>
  <c r="E1683" i="8"/>
  <c r="D1684" i="8"/>
  <c r="E1684" i="8"/>
  <c r="S1684" i="8"/>
  <c r="U1684" i="8" s="1"/>
  <c r="V1684" i="8" s="1"/>
  <c r="D1385" i="8"/>
  <c r="AB1385" i="8" s="1"/>
  <c r="S1806" i="8"/>
  <c r="U1806" i="8" s="1"/>
  <c r="V1806" i="8" s="1"/>
  <c r="D1691" i="8"/>
  <c r="AB1691" i="8" s="1"/>
  <c r="E1691" i="8"/>
  <c r="S1691" i="8"/>
  <c r="U1691" i="8" s="1"/>
  <c r="V1691" i="8" s="1"/>
  <c r="D1690" i="8"/>
  <c r="AB1690" i="8" s="1"/>
  <c r="S1690" i="8"/>
  <c r="U1690" i="8" s="1"/>
  <c r="V1690" i="8" s="1"/>
  <c r="E1690" i="8"/>
  <c r="D1688" i="8"/>
  <c r="AB1688" i="8" s="1"/>
  <c r="E1688" i="8"/>
  <c r="S1688" i="8"/>
  <c r="U1688" i="8" s="1"/>
  <c r="V1688" i="8" s="1"/>
  <c r="D1687" i="8"/>
  <c r="AB1687" i="8" s="1"/>
  <c r="S1687" i="8"/>
  <c r="U1687" i="8" s="1"/>
  <c r="V1687" i="8" s="1"/>
  <c r="W1687" i="8" s="1"/>
  <c r="E1687" i="8"/>
  <c r="D1689" i="8"/>
  <c r="AB1689" i="8" s="1"/>
  <c r="S1689" i="8"/>
  <c r="U1689" i="8" s="1"/>
  <c r="V1689" i="8" s="1"/>
  <c r="W1689" i="8" s="1"/>
  <c r="E1689" i="8"/>
  <c r="D1664" i="8"/>
  <c r="AB1664" i="8" s="1"/>
  <c r="S1664" i="8"/>
  <c r="U1664" i="8" s="1"/>
  <c r="V1664" i="8" s="1"/>
  <c r="E1664" i="8"/>
  <c r="D1421" i="8"/>
  <c r="S1807" i="8"/>
  <c r="U1807" i="8" s="1"/>
  <c r="V1807" i="8" s="1"/>
  <c r="S1812" i="8"/>
  <c r="U1812" i="8" s="1"/>
  <c r="V1812" i="8" s="1"/>
  <c r="S1826" i="8"/>
  <c r="U1826" i="8" s="1"/>
  <c r="V1826" i="8" s="1"/>
  <c r="S1827" i="8"/>
  <c r="U1827" i="8" s="1"/>
  <c r="V1827" i="8" s="1"/>
  <c r="D1679" i="8"/>
  <c r="AB1679" i="8" s="1"/>
  <c r="S1679" i="8"/>
  <c r="U1679" i="8" s="1"/>
  <c r="V1679" i="8" s="1"/>
  <c r="W1679" i="8" s="1"/>
  <c r="E1679" i="8"/>
  <c r="D1681" i="8"/>
  <c r="AB1681" i="8" s="1"/>
  <c r="E1681" i="8"/>
  <c r="S1681" i="8"/>
  <c r="U1681" i="8" s="1"/>
  <c r="V1681" i="8" s="1"/>
  <c r="W1681" i="8" s="1"/>
  <c r="D1682" i="8"/>
  <c r="AB1682" i="8" s="1"/>
  <c r="S1682" i="8"/>
  <c r="U1682" i="8" s="1"/>
  <c r="V1682" i="8" s="1"/>
  <c r="E1682" i="8"/>
  <c r="D1680" i="8"/>
  <c r="AB1680" i="8" s="1"/>
  <c r="E1680" i="8"/>
  <c r="S1680" i="8"/>
  <c r="U1680" i="8" s="1"/>
  <c r="V1680" i="8" s="1"/>
  <c r="D1692" i="8"/>
  <c r="AB1692" i="8" s="1"/>
  <c r="S1692" i="8"/>
  <c r="U1692" i="8" s="1"/>
  <c r="V1692" i="8" s="1"/>
  <c r="E1692" i="8"/>
  <c r="D1677" i="8"/>
  <c r="AB1677" i="8" s="1"/>
  <c r="S1677" i="8"/>
  <c r="U1677" i="8" s="1"/>
  <c r="V1677" i="8" s="1"/>
  <c r="E1677" i="8"/>
  <c r="D1676" i="8"/>
  <c r="AB1676" i="8" s="1"/>
  <c r="E1676" i="8"/>
  <c r="S1676" i="8"/>
  <c r="U1676" i="8" s="1"/>
  <c r="V1676" i="8" s="1"/>
  <c r="W1676" i="8" s="1"/>
  <c r="D1678" i="8"/>
  <c r="AB1678" i="8" s="1"/>
  <c r="S1678" i="8"/>
  <c r="U1678" i="8" s="1"/>
  <c r="V1678" i="8" s="1"/>
  <c r="E1678" i="8"/>
  <c r="D1369" i="8"/>
  <c r="AB1369" i="8" s="1"/>
  <c r="S1845" i="8"/>
  <c r="U1845" i="8" s="1"/>
  <c r="V1845" i="8" s="1"/>
  <c r="W1845" i="8" s="1"/>
  <c r="S1790" i="8"/>
  <c r="U1790" i="8" s="1"/>
  <c r="V1790" i="8" s="1"/>
  <c r="S1791" i="8"/>
  <c r="U1791" i="8" s="1"/>
  <c r="V1791" i="8" s="1"/>
  <c r="D1669" i="8"/>
  <c r="AB1669" i="8" s="1"/>
  <c r="E1669" i="8"/>
  <c r="S1669" i="8"/>
  <c r="U1669" i="8" s="1"/>
  <c r="V1669" i="8" s="1"/>
  <c r="W1669" i="8" s="1"/>
  <c r="D1670" i="8"/>
  <c r="AB1670" i="8" s="1"/>
  <c r="E1670" i="8"/>
  <c r="S1670" i="8"/>
  <c r="U1670" i="8" s="1"/>
  <c r="V1670" i="8" s="1"/>
  <c r="D1671" i="8"/>
  <c r="AB1671" i="8" s="1"/>
  <c r="E1671" i="8"/>
  <c r="S1671" i="8"/>
  <c r="U1671" i="8" s="1"/>
  <c r="V1671" i="8" s="1"/>
  <c r="D1672" i="8"/>
  <c r="AB1672" i="8" s="1"/>
  <c r="E1672" i="8"/>
  <c r="S1672" i="8"/>
  <c r="U1672" i="8" s="1"/>
  <c r="V1672" i="8" s="1"/>
  <c r="D1656" i="8"/>
  <c r="AB1656" i="8" s="1"/>
  <c r="E1656" i="8"/>
  <c r="D1658" i="8"/>
  <c r="AB1658" i="8" s="1"/>
  <c r="E1658" i="8"/>
  <c r="S1658" i="8"/>
  <c r="U1658" i="8" s="1"/>
  <c r="V1658" i="8" s="1"/>
  <c r="D1657" i="8"/>
  <c r="AB1657" i="8" s="1"/>
  <c r="S1657" i="8"/>
  <c r="U1657" i="8" s="1"/>
  <c r="V1657" i="8" s="1"/>
  <c r="E1657" i="8"/>
  <c r="D1675" i="8"/>
  <c r="AB1675" i="8" s="1"/>
  <c r="E1675" i="8"/>
  <c r="S1675" i="8"/>
  <c r="U1675" i="8" s="1"/>
  <c r="V1675" i="8" s="1"/>
  <c r="D1674" i="8"/>
  <c r="AB1674" i="8" s="1"/>
  <c r="E1674" i="8"/>
  <c r="S1674" i="8"/>
  <c r="U1674" i="8" s="1"/>
  <c r="V1674" i="8" s="1"/>
  <c r="D1673" i="8"/>
  <c r="AB1673" i="8" s="1"/>
  <c r="E1673" i="8"/>
  <c r="S1673" i="8"/>
  <c r="U1673" i="8" s="1"/>
  <c r="V1673" i="8" s="1"/>
  <c r="W1673" i="8" s="1"/>
  <c r="S613" i="8"/>
  <c r="U613" i="8" s="1"/>
  <c r="V613" i="8" s="1"/>
  <c r="W613" i="8" s="1"/>
  <c r="S614" i="8"/>
  <c r="U614" i="8" s="1"/>
  <c r="V614" i="8" s="1"/>
  <c r="W614" i="8" s="1"/>
  <c r="S916" i="8"/>
  <c r="U916" i="8" s="1"/>
  <c r="V916" i="8" s="1"/>
  <c r="W916" i="8" s="1"/>
  <c r="S928" i="8"/>
  <c r="U928" i="8" s="1"/>
  <c r="V928" i="8" s="1"/>
  <c r="W928" i="8" s="1"/>
  <c r="S952" i="8"/>
  <c r="U952" i="8" s="1"/>
  <c r="V952" i="8" s="1"/>
  <c r="W952" i="8" s="1"/>
  <c r="S976" i="8"/>
  <c r="U976" i="8" s="1"/>
  <c r="V976" i="8" s="1"/>
  <c r="W976" i="8" s="1"/>
  <c r="S964" i="8"/>
  <c r="U964" i="8" s="1"/>
  <c r="V964" i="8" s="1"/>
  <c r="W964" i="8" s="1"/>
  <c r="S940" i="8"/>
  <c r="U940" i="8" s="1"/>
  <c r="V940" i="8" s="1"/>
  <c r="W940" i="8" s="1"/>
  <c r="S936" i="8"/>
  <c r="U936" i="8" s="1"/>
  <c r="V936" i="8" s="1"/>
  <c r="W936" i="8" s="1"/>
  <c r="S924" i="8"/>
  <c r="U924" i="8" s="1"/>
  <c r="V924" i="8" s="1"/>
  <c r="W924" i="8" s="1"/>
  <c r="S948" i="8"/>
  <c r="U948" i="8" s="1"/>
  <c r="V948" i="8" s="1"/>
  <c r="W948" i="8" s="1"/>
  <c r="S960" i="8"/>
  <c r="U960" i="8" s="1"/>
  <c r="V960" i="8" s="1"/>
  <c r="W960" i="8" s="1"/>
  <c r="S912" i="8"/>
  <c r="U912" i="8" s="1"/>
  <c r="V912" i="8" s="1"/>
  <c r="W912" i="8" s="1"/>
  <c r="S972" i="8"/>
  <c r="U972" i="8" s="1"/>
  <c r="V972" i="8" s="1"/>
  <c r="W972" i="8" s="1"/>
  <c r="S975" i="8"/>
  <c r="U975" i="8" s="1"/>
  <c r="V975" i="8" s="1"/>
  <c r="W975" i="8" s="1"/>
  <c r="S927" i="8"/>
  <c r="U927" i="8" s="1"/>
  <c r="V927" i="8" s="1"/>
  <c r="W927" i="8" s="1"/>
  <c r="S951" i="8"/>
  <c r="U951" i="8" s="1"/>
  <c r="V951" i="8" s="1"/>
  <c r="W951" i="8" s="1"/>
  <c r="S915" i="8"/>
  <c r="U915" i="8" s="1"/>
  <c r="V915" i="8" s="1"/>
  <c r="W915" i="8" s="1"/>
  <c r="S939" i="8"/>
  <c r="U939" i="8" s="1"/>
  <c r="V939" i="8" s="1"/>
  <c r="W939" i="8" s="1"/>
  <c r="S963" i="8"/>
  <c r="U963" i="8" s="1"/>
  <c r="V963" i="8" s="1"/>
  <c r="W963" i="8" s="1"/>
  <c r="S929" i="8"/>
  <c r="U929" i="8" s="1"/>
  <c r="V929" i="8" s="1"/>
  <c r="W929" i="8" s="1"/>
  <c r="S953" i="8"/>
  <c r="U953" i="8" s="1"/>
  <c r="V953" i="8" s="1"/>
  <c r="W953" i="8" s="1"/>
  <c r="S965" i="8"/>
  <c r="U965" i="8" s="1"/>
  <c r="V965" i="8" s="1"/>
  <c r="W965" i="8" s="1"/>
  <c r="S1704" i="8"/>
  <c r="U1704" i="8" s="1"/>
  <c r="V1704" i="8" s="1"/>
  <c r="S977" i="8"/>
  <c r="U977" i="8" s="1"/>
  <c r="V977" i="8" s="1"/>
  <c r="W977" i="8" s="1"/>
  <c r="S941" i="8"/>
  <c r="U941" i="8" s="1"/>
  <c r="V941" i="8" s="1"/>
  <c r="W941" i="8" s="1"/>
  <c r="S917" i="8"/>
  <c r="U917" i="8" s="1"/>
  <c r="V917" i="8" s="1"/>
  <c r="W917" i="8" s="1"/>
  <c r="S925" i="8"/>
  <c r="U925" i="8" s="1"/>
  <c r="V925" i="8" s="1"/>
  <c r="W925" i="8" s="1"/>
  <c r="S973" i="8"/>
  <c r="U973" i="8" s="1"/>
  <c r="V973" i="8" s="1"/>
  <c r="W973" i="8" s="1"/>
  <c r="S937" i="8"/>
  <c r="U937" i="8" s="1"/>
  <c r="V937" i="8" s="1"/>
  <c r="W937" i="8" s="1"/>
  <c r="S961" i="8"/>
  <c r="U961" i="8" s="1"/>
  <c r="V961" i="8" s="1"/>
  <c r="W961" i="8" s="1"/>
  <c r="S949" i="8"/>
  <c r="U949" i="8" s="1"/>
  <c r="V949" i="8" s="1"/>
  <c r="W949" i="8" s="1"/>
  <c r="S913" i="8"/>
  <c r="U913" i="8" s="1"/>
  <c r="V913" i="8" s="1"/>
  <c r="W913" i="8" s="1"/>
  <c r="S1724" i="8"/>
  <c r="U1724" i="8" s="1"/>
  <c r="V1724" i="8" s="1"/>
  <c r="S1700" i="8"/>
  <c r="U1700" i="8" s="1"/>
  <c r="V1700" i="8" s="1"/>
  <c r="S848" i="8"/>
  <c r="U848" i="8" s="1"/>
  <c r="V848" i="8" s="1"/>
  <c r="S1754" i="8"/>
  <c r="U1754" i="8" s="1"/>
  <c r="V1754" i="8" s="1"/>
  <c r="S728" i="8"/>
  <c r="U728" i="8" s="1"/>
  <c r="V728" i="8" s="1"/>
  <c r="W728" i="8" s="1"/>
  <c r="S733" i="8"/>
  <c r="U733" i="8" s="1"/>
  <c r="V733" i="8" s="1"/>
  <c r="S687" i="8"/>
  <c r="U687" i="8" s="1"/>
  <c r="V687" i="8" s="1"/>
  <c r="W687" i="8" s="1"/>
  <c r="S849" i="8"/>
  <c r="U849" i="8" s="1"/>
  <c r="V849" i="8" s="1"/>
  <c r="S732" i="8"/>
  <c r="U732" i="8" s="1"/>
  <c r="V732" i="8" s="1"/>
  <c r="S767" i="8"/>
  <c r="U767" i="8" s="1"/>
  <c r="V767" i="8" s="1"/>
  <c r="W767" i="8" s="1"/>
  <c r="S1755" i="8"/>
  <c r="U1755" i="8" s="1"/>
  <c r="V1755" i="8" s="1"/>
  <c r="S944" i="8"/>
  <c r="U944" i="8" s="1"/>
  <c r="V944" i="8" s="1"/>
  <c r="W944" i="8" s="1"/>
  <c r="S956" i="8"/>
  <c r="U956" i="8" s="1"/>
  <c r="V956" i="8" s="1"/>
  <c r="W956" i="8" s="1"/>
  <c r="S968" i="8"/>
  <c r="U968" i="8" s="1"/>
  <c r="V968" i="8" s="1"/>
  <c r="W968" i="8" s="1"/>
  <c r="S768" i="8"/>
  <c r="U768" i="8" s="1"/>
  <c r="V768" i="8" s="1"/>
  <c r="W768" i="8" s="1"/>
  <c r="S492" i="8"/>
  <c r="U492" i="8" s="1"/>
  <c r="V492" i="8" s="1"/>
  <c r="W492" i="8" s="1"/>
  <c r="S920" i="8"/>
  <c r="U920" i="8" s="1"/>
  <c r="V920" i="8" s="1"/>
  <c r="W920" i="8" s="1"/>
  <c r="S932" i="8"/>
  <c r="U932" i="8" s="1"/>
  <c r="V932" i="8" s="1"/>
  <c r="W932" i="8" s="1"/>
  <c r="S1756" i="8"/>
  <c r="U1756" i="8" s="1"/>
  <c r="V1756" i="8" s="1"/>
  <c r="W1756" i="8" s="1"/>
  <c r="S734" i="8"/>
  <c r="U734" i="8" s="1"/>
  <c r="V734" i="8" s="1"/>
  <c r="W734" i="8" s="1"/>
  <c r="S908" i="8"/>
  <c r="U908" i="8" s="1"/>
  <c r="V908" i="8" s="1"/>
  <c r="W908" i="8" s="1"/>
  <c r="S1757" i="8"/>
  <c r="U1757" i="8" s="1"/>
  <c r="V1757" i="8" s="1"/>
  <c r="S730" i="8"/>
  <c r="U730" i="8" s="1"/>
  <c r="V730" i="8" s="1"/>
  <c r="W730" i="8" s="1"/>
  <c r="S1761" i="8"/>
  <c r="U1761" i="8" s="1"/>
  <c r="V1761" i="8" s="1"/>
  <c r="S1758" i="8"/>
  <c r="U1758" i="8" s="1"/>
  <c r="V1758" i="8" s="1"/>
  <c r="S850" i="8"/>
  <c r="U850" i="8" s="1"/>
  <c r="V850" i="8" s="1"/>
  <c r="W850" i="8" s="1"/>
  <c r="S736" i="8"/>
  <c r="U736" i="8" s="1"/>
  <c r="V736" i="8" s="1"/>
  <c r="W736" i="8" s="1"/>
  <c r="S735" i="8"/>
  <c r="U735" i="8" s="1"/>
  <c r="V735" i="8" s="1"/>
  <c r="W735" i="8" s="1"/>
  <c r="S1760" i="8"/>
  <c r="U1760" i="8" s="1"/>
  <c r="V1760" i="8" s="1"/>
  <c r="S493" i="8"/>
  <c r="U493" i="8" s="1"/>
  <c r="V493" i="8" s="1"/>
  <c r="W493" i="8" s="1"/>
  <c r="S729" i="8"/>
  <c r="U729" i="8" s="1"/>
  <c r="V729" i="8" s="1"/>
  <c r="W729" i="8" s="1"/>
  <c r="S970" i="8"/>
  <c r="U970" i="8" s="1"/>
  <c r="V970" i="8" s="1"/>
  <c r="W970" i="8" s="1"/>
  <c r="S958" i="8"/>
  <c r="U958" i="8" s="1"/>
  <c r="V958" i="8" s="1"/>
  <c r="W958" i="8" s="1"/>
  <c r="S910" i="8"/>
  <c r="U910" i="8" s="1"/>
  <c r="V910" i="8" s="1"/>
  <c r="W910" i="8" s="1"/>
  <c r="S934" i="8"/>
  <c r="U934" i="8" s="1"/>
  <c r="V934" i="8" s="1"/>
  <c r="W934" i="8" s="1"/>
  <c r="S946" i="8"/>
  <c r="U946" i="8" s="1"/>
  <c r="V946" i="8" s="1"/>
  <c r="W946" i="8" s="1"/>
  <c r="S1759" i="8"/>
  <c r="U1759" i="8" s="1"/>
  <c r="V1759" i="8" s="1"/>
  <c r="W1759" i="8" s="1"/>
  <c r="S847" i="8"/>
  <c r="U847" i="8" s="1"/>
  <c r="V847" i="8" s="1"/>
  <c r="S1753" i="8"/>
  <c r="U1753" i="8" s="1"/>
  <c r="V1753" i="8" s="1"/>
  <c r="W1753" i="8" s="1"/>
  <c r="S931" i="8"/>
  <c r="U931" i="8" s="1"/>
  <c r="V931" i="8" s="1"/>
  <c r="W931" i="8" s="1"/>
  <c r="S967" i="8"/>
  <c r="U967" i="8" s="1"/>
  <c r="V967" i="8" s="1"/>
  <c r="W967" i="8" s="1"/>
  <c r="S907" i="8"/>
  <c r="U907" i="8" s="1"/>
  <c r="V907" i="8" s="1"/>
  <c r="W907" i="8" s="1"/>
  <c r="S727" i="8"/>
  <c r="U727" i="8" s="1"/>
  <c r="V727" i="8" s="1"/>
  <c r="W727" i="8" s="1"/>
  <c r="S731" i="8"/>
  <c r="U731" i="8" s="1"/>
  <c r="V731" i="8" s="1"/>
  <c r="W731" i="8" s="1"/>
  <c r="S1703" i="8"/>
  <c r="U1703" i="8" s="1"/>
  <c r="V1703" i="8" s="1"/>
  <c r="S935" i="8"/>
  <c r="U935" i="8" s="1"/>
  <c r="V935" i="8" s="1"/>
  <c r="W935" i="8" s="1"/>
  <c r="S947" i="8"/>
  <c r="U947" i="8" s="1"/>
  <c r="V947" i="8" s="1"/>
  <c r="W947" i="8" s="1"/>
  <c r="S911" i="8"/>
  <c r="U911" i="8" s="1"/>
  <c r="V911" i="8" s="1"/>
  <c r="W911" i="8" s="1"/>
  <c r="S313" i="8"/>
  <c r="U313" i="8" s="1"/>
  <c r="V313" i="8" s="1"/>
  <c r="S959" i="8"/>
  <c r="U959" i="8" s="1"/>
  <c r="V959" i="8" s="1"/>
  <c r="W959" i="8" s="1"/>
  <c r="S971" i="8"/>
  <c r="U971" i="8" s="1"/>
  <c r="V971" i="8" s="1"/>
  <c r="W971" i="8" s="1"/>
  <c r="S923" i="8"/>
  <c r="U923" i="8" s="1"/>
  <c r="V923" i="8" s="1"/>
  <c r="W923" i="8" s="1"/>
  <c r="S914" i="8"/>
  <c r="U914" i="8" s="1"/>
  <c r="V914" i="8" s="1"/>
  <c r="W914" i="8" s="1"/>
  <c r="S974" i="8"/>
  <c r="U974" i="8" s="1"/>
  <c r="V974" i="8" s="1"/>
  <c r="W974" i="8" s="1"/>
  <c r="S962" i="8"/>
  <c r="U962" i="8" s="1"/>
  <c r="V962" i="8" s="1"/>
  <c r="W962" i="8" s="1"/>
  <c r="S950" i="8"/>
  <c r="U950" i="8" s="1"/>
  <c r="V950" i="8" s="1"/>
  <c r="W950" i="8" s="1"/>
  <c r="S938" i="8"/>
  <c r="U938" i="8" s="1"/>
  <c r="V938" i="8" s="1"/>
  <c r="W938" i="8" s="1"/>
  <c r="S926" i="8"/>
  <c r="U926" i="8" s="1"/>
  <c r="V926" i="8" s="1"/>
  <c r="W926" i="8" s="1"/>
  <c r="S918" i="8"/>
  <c r="U918" i="8" s="1"/>
  <c r="V918" i="8" s="1"/>
  <c r="W918" i="8" s="1"/>
  <c r="S254" i="8"/>
  <c r="U254" i="8" s="1"/>
  <c r="V254" i="8" s="1"/>
  <c r="W254" i="8" s="1"/>
  <c r="S942" i="8"/>
  <c r="U942" i="8" s="1"/>
  <c r="V942" i="8" s="1"/>
  <c r="W942" i="8" s="1"/>
  <c r="S966" i="8"/>
  <c r="U966" i="8" s="1"/>
  <c r="V966" i="8" s="1"/>
  <c r="W966" i="8" s="1"/>
  <c r="S930" i="8"/>
  <c r="U930" i="8" s="1"/>
  <c r="V930" i="8" s="1"/>
  <c r="W930" i="8" s="1"/>
  <c r="S954" i="8"/>
  <c r="U954" i="8" s="1"/>
  <c r="V954" i="8" s="1"/>
  <c r="W954" i="8" s="1"/>
  <c r="S955" i="8"/>
  <c r="U955" i="8" s="1"/>
  <c r="V955" i="8" s="1"/>
  <c r="W955" i="8" s="1"/>
  <c r="S766" i="8"/>
  <c r="U766" i="8" s="1"/>
  <c r="V766" i="8" s="1"/>
  <c r="W766" i="8" s="1"/>
  <c r="S851" i="8"/>
  <c r="U851" i="8" s="1"/>
  <c r="V851" i="8" s="1"/>
  <c r="W851" i="8" s="1"/>
  <c r="S1769" i="8"/>
  <c r="U1769" i="8" s="1"/>
  <c r="V1769" i="8" s="1"/>
  <c r="W1769" i="8" s="1"/>
  <c r="S919" i="8"/>
  <c r="U919" i="8" s="1"/>
  <c r="V919" i="8" s="1"/>
  <c r="W919" i="8" s="1"/>
  <c r="S1723" i="8"/>
  <c r="U1723" i="8" s="1"/>
  <c r="V1723" i="8" s="1"/>
  <c r="W1723" i="8" s="1"/>
  <c r="S943" i="8"/>
  <c r="U943" i="8" s="1"/>
  <c r="V943" i="8" s="1"/>
  <c r="W943" i="8" s="1"/>
  <c r="S392" i="8"/>
  <c r="U392" i="8" s="1"/>
  <c r="V392" i="8" s="1"/>
  <c r="S393" i="8"/>
  <c r="U393" i="8" s="1"/>
  <c r="V393" i="8" s="1"/>
  <c r="N546" i="10"/>
  <c r="O546" i="10" a="1"/>
  <c r="N524" i="10"/>
  <c r="O524" i="10" a="1"/>
  <c r="N504" i="10"/>
  <c r="O504" i="10" a="1"/>
  <c r="N500" i="10"/>
  <c r="O500" i="10" a="1"/>
  <c r="I125" i="10"/>
  <c r="D126" i="11" s="1"/>
  <c r="B46" i="11"/>
  <c r="C12" i="11"/>
  <c r="I131" i="10"/>
  <c r="D132" i="11" s="1"/>
  <c r="I126" i="10"/>
  <c r="D127" i="11" s="1"/>
  <c r="I128" i="10"/>
  <c r="D129" i="11" s="1"/>
  <c r="C105" i="11"/>
  <c r="I98" i="11"/>
  <c r="I20" i="11"/>
  <c r="I103" i="10"/>
  <c r="P131" i="10"/>
  <c r="J131" i="10"/>
  <c r="J126" i="10"/>
  <c r="P126" i="10"/>
  <c r="P128" i="10"/>
  <c r="J128" i="10"/>
  <c r="J125" i="10"/>
  <c r="P125" i="10"/>
  <c r="I106" i="10"/>
  <c r="N594" i="10"/>
  <c r="O594" i="10" a="1"/>
  <c r="N402" i="10"/>
  <c r="O402" i="10" a="1"/>
  <c r="D246" i="13"/>
  <c r="B246" i="13"/>
  <c r="C246" i="13"/>
  <c r="B243" i="13"/>
  <c r="D243" i="13"/>
  <c r="C243" i="13"/>
  <c r="D65" i="13"/>
  <c r="C65" i="13"/>
  <c r="B65" i="13"/>
  <c r="E757" i="8"/>
  <c r="D757" i="8"/>
  <c r="AB757" i="8" s="1"/>
  <c r="S757" i="8"/>
  <c r="U757" i="8" s="1"/>
  <c r="V757" i="8" s="1"/>
  <c r="E758" i="8"/>
  <c r="D758" i="8"/>
  <c r="AB758" i="8" s="1"/>
  <c r="S758" i="8"/>
  <c r="U758" i="8" s="1"/>
  <c r="V758" i="8" s="1"/>
  <c r="E759" i="8"/>
  <c r="D759" i="8"/>
  <c r="AB759" i="8" s="1"/>
  <c r="S759" i="8"/>
  <c r="U759" i="8" s="1"/>
  <c r="V759" i="8" s="1"/>
  <c r="E760" i="8"/>
  <c r="D760" i="8"/>
  <c r="AB760" i="8" s="1"/>
  <c r="S760" i="8"/>
  <c r="U760" i="8" s="1"/>
  <c r="V760" i="8" s="1"/>
  <c r="E761" i="8"/>
  <c r="D761" i="8"/>
  <c r="AB761" i="8" s="1"/>
  <c r="S761" i="8"/>
  <c r="U761" i="8" s="1"/>
  <c r="V761" i="8" s="1"/>
  <c r="D68" i="13"/>
  <c r="C68" i="13"/>
  <c r="B68" i="13"/>
  <c r="C85" i="13"/>
  <c r="B85" i="13"/>
  <c r="D85" i="13"/>
  <c r="D86" i="13"/>
  <c r="C86" i="13"/>
  <c r="B86" i="13"/>
  <c r="D95" i="13"/>
  <c r="B95" i="13"/>
  <c r="C95" i="13"/>
  <c r="D106" i="13"/>
  <c r="B106" i="13"/>
  <c r="C106" i="13"/>
  <c r="D108" i="13"/>
  <c r="C108" i="13"/>
  <c r="B108" i="13"/>
  <c r="D150" i="13"/>
  <c r="B150" i="13"/>
  <c r="C150" i="13"/>
  <c r="D155" i="13"/>
  <c r="B155" i="13"/>
  <c r="C155" i="13"/>
  <c r="C160" i="13"/>
  <c r="B160" i="13"/>
  <c r="D160" i="13"/>
  <c r="C170" i="13"/>
  <c r="B170" i="13"/>
  <c r="D170" i="13"/>
  <c r="B176" i="13"/>
  <c r="D176" i="13"/>
  <c r="C176" i="13"/>
  <c r="C187" i="13"/>
  <c r="B187" i="13"/>
  <c r="D187" i="13"/>
  <c r="D188" i="13"/>
  <c r="C188" i="13"/>
  <c r="B188" i="13"/>
  <c r="B206" i="13"/>
  <c r="D206" i="13"/>
  <c r="C206" i="13"/>
  <c r="C215" i="13"/>
  <c r="D215" i="13"/>
  <c r="B215" i="13"/>
  <c r="D222" i="13"/>
  <c r="C222" i="13"/>
  <c r="B222" i="13"/>
  <c r="D223" i="13"/>
  <c r="B223" i="13"/>
  <c r="C223" i="13"/>
  <c r="B224" i="13"/>
  <c r="C224" i="13"/>
  <c r="D224" i="13"/>
  <c r="D225" i="13"/>
  <c r="B225" i="13"/>
  <c r="C225" i="13"/>
  <c r="C226" i="13"/>
  <c r="B226" i="13"/>
  <c r="D226" i="13"/>
  <c r="D228" i="13"/>
  <c r="C228" i="13"/>
  <c r="B228" i="13"/>
  <c r="C232" i="13"/>
  <c r="B232" i="13"/>
  <c r="D232" i="13"/>
  <c r="D62" i="13"/>
  <c r="B62" i="13"/>
  <c r="C62" i="13"/>
  <c r="C64" i="13"/>
  <c r="D64" i="13"/>
  <c r="B64" i="13"/>
  <c r="F264" i="13"/>
  <c r="G270" i="13"/>
  <c r="J260" i="13"/>
  <c r="G269" i="13"/>
  <c r="J250" i="13"/>
  <c r="J262" i="13"/>
  <c r="J253" i="13"/>
  <c r="G249" i="13"/>
  <c r="G253" i="13"/>
  <c r="G262" i="13"/>
  <c r="E264" i="13"/>
  <c r="F270" i="13"/>
  <c r="F262" i="13"/>
  <c r="J259" i="13"/>
  <c r="F269" i="13"/>
  <c r="E262" i="13"/>
  <c r="J263" i="13"/>
  <c r="G267" i="13"/>
  <c r="G263" i="13"/>
  <c r="E263" i="13"/>
  <c r="G266" i="13"/>
  <c r="E267" i="13"/>
  <c r="E268" i="13"/>
  <c r="G268" i="13"/>
  <c r="G265" i="13"/>
  <c r="F267" i="13"/>
  <c r="F263" i="13"/>
  <c r="E266" i="13"/>
  <c r="F268" i="13"/>
  <c r="F265" i="13"/>
  <c r="E269" i="13"/>
  <c r="E270" i="13"/>
  <c r="J265" i="13"/>
  <c r="F266" i="13"/>
  <c r="E265" i="13"/>
  <c r="J268" i="13"/>
  <c r="G264" i="13"/>
  <c r="J264" i="13"/>
  <c r="J266" i="13"/>
  <c r="J267" i="13"/>
  <c r="J269" i="13"/>
  <c r="J270" i="13"/>
  <c r="H262" i="13"/>
  <c r="I262" i="13"/>
  <c r="E261" i="13"/>
  <c r="AA547" i="8"/>
  <c r="AA851" i="8"/>
  <c r="AA687" i="8"/>
  <c r="J261" i="13"/>
  <c r="F261" i="13"/>
  <c r="G261" i="13"/>
  <c r="G259" i="13"/>
  <c r="G250" i="13"/>
  <c r="E249" i="13"/>
  <c r="F254" i="13"/>
  <c r="F257" i="13"/>
  <c r="E253" i="13"/>
  <c r="F253" i="13"/>
  <c r="G254" i="13"/>
  <c r="E259" i="13"/>
  <c r="E250" i="13"/>
  <c r="F251" i="13"/>
  <c r="E255" i="13"/>
  <c r="E251" i="13"/>
  <c r="F256" i="13"/>
  <c r="E260" i="13"/>
  <c r="E257" i="13"/>
  <c r="E252" i="13"/>
  <c r="E258" i="13"/>
  <c r="G255" i="13"/>
  <c r="F259" i="13"/>
  <c r="F249" i="13"/>
  <c r="F250" i="13"/>
  <c r="G251" i="13"/>
  <c r="E254" i="13"/>
  <c r="F255" i="13"/>
  <c r="G257" i="13"/>
  <c r="F260" i="13"/>
  <c r="G260" i="13"/>
  <c r="G256" i="13"/>
  <c r="E256" i="13"/>
  <c r="J249" i="13"/>
  <c r="J251" i="13"/>
  <c r="F252" i="13"/>
  <c r="G252" i="13"/>
  <c r="J252" i="13"/>
  <c r="J254" i="13"/>
  <c r="J255" i="13"/>
  <c r="J256" i="13"/>
  <c r="J257" i="13"/>
  <c r="F258" i="13"/>
  <c r="G258" i="13"/>
  <c r="J258" i="13"/>
  <c r="D1708" i="8"/>
  <c r="AB1708" i="8" s="1"/>
  <c r="S1708" i="8"/>
  <c r="U1708" i="8" s="1"/>
  <c r="V1708" i="8" s="1"/>
  <c r="E1708" i="8"/>
  <c r="D1707" i="8"/>
  <c r="AB1707" i="8" s="1"/>
  <c r="S1707" i="8"/>
  <c r="U1707" i="8" s="1"/>
  <c r="V1707" i="8" s="1"/>
  <c r="E1707" i="8"/>
  <c r="D1705" i="8"/>
  <c r="AB1705" i="8" s="1"/>
  <c r="S1705" i="8"/>
  <c r="U1705" i="8" s="1"/>
  <c r="V1705" i="8" s="1"/>
  <c r="W1705" i="8" s="1"/>
  <c r="E1705" i="8"/>
  <c r="D1706" i="8"/>
  <c r="AB1706" i="8" s="1"/>
  <c r="S1706" i="8"/>
  <c r="U1706" i="8" s="1"/>
  <c r="V1706" i="8" s="1"/>
  <c r="W1706" i="8" s="1"/>
  <c r="E1706" i="8"/>
  <c r="D1747" i="8"/>
  <c r="AB1747" i="8" s="1"/>
  <c r="E1747" i="8"/>
  <c r="S1747" i="8"/>
  <c r="U1747" i="8" s="1"/>
  <c r="V1747" i="8" s="1"/>
  <c r="W1747" i="8" s="1"/>
  <c r="D1745" i="8"/>
  <c r="AB1745" i="8" s="1"/>
  <c r="E1745" i="8"/>
  <c r="S1745" i="8"/>
  <c r="U1745" i="8" s="1"/>
  <c r="V1745" i="8" s="1"/>
  <c r="W1745" i="8" s="1"/>
  <c r="D1748" i="8"/>
  <c r="AB1748" i="8" s="1"/>
  <c r="S1748" i="8"/>
  <c r="U1748" i="8" s="1"/>
  <c r="V1748" i="8" s="1"/>
  <c r="E1748" i="8"/>
  <c r="D1746" i="8"/>
  <c r="AB1746" i="8" s="1"/>
  <c r="E1746" i="8"/>
  <c r="S1746" i="8"/>
  <c r="U1746" i="8" s="1"/>
  <c r="V1746" i="8" s="1"/>
  <c r="D1784" i="8"/>
  <c r="S1784" i="8"/>
  <c r="U1784" i="8" s="1"/>
  <c r="V1784" i="8" s="1"/>
  <c r="E1784" i="8"/>
  <c r="D1783" i="8"/>
  <c r="S1783" i="8"/>
  <c r="U1783" i="8" s="1"/>
  <c r="V1783" i="8" s="1"/>
  <c r="W1783" i="8" s="1"/>
  <c r="E1783" i="8"/>
  <c r="D1785" i="8"/>
  <c r="S1785" i="8"/>
  <c r="U1785" i="8" s="1"/>
  <c r="V1785" i="8" s="1"/>
  <c r="E1785" i="8"/>
  <c r="D1744" i="8"/>
  <c r="E1744" i="8"/>
  <c r="S1744" i="8"/>
  <c r="U1744" i="8" s="1"/>
  <c r="V1744" i="8" s="1"/>
  <c r="D1743" i="8"/>
  <c r="E1743" i="8"/>
  <c r="S1743" i="8"/>
  <c r="U1743" i="8" s="1"/>
  <c r="V1743" i="8" s="1"/>
  <c r="D1742" i="8"/>
  <c r="E1742" i="8"/>
  <c r="S1742" i="8"/>
  <c r="U1742" i="8" s="1"/>
  <c r="V1742" i="8" s="1"/>
  <c r="W1742" i="8" s="1"/>
  <c r="D1832" i="8"/>
  <c r="E1832" i="8"/>
  <c r="S1832" i="8"/>
  <c r="U1832" i="8" s="1"/>
  <c r="V1832" i="8" s="1"/>
  <c r="W1832" i="8" s="1"/>
  <c r="D1834" i="8"/>
  <c r="S1834" i="8"/>
  <c r="U1834" i="8" s="1"/>
  <c r="V1834" i="8" s="1"/>
  <c r="E1834" i="8"/>
  <c r="D1829" i="8"/>
  <c r="S1829" i="8"/>
  <c r="U1829" i="8" s="1"/>
  <c r="V1829" i="8" s="1"/>
  <c r="E1829" i="8"/>
  <c r="D1830" i="8"/>
  <c r="E1830" i="8"/>
  <c r="S1830" i="8"/>
  <c r="U1830" i="8" s="1"/>
  <c r="V1830" i="8" s="1"/>
  <c r="D1831" i="8"/>
  <c r="E1831" i="8"/>
  <c r="S1831" i="8"/>
  <c r="U1831" i="8" s="1"/>
  <c r="V1831" i="8" s="1"/>
  <c r="D1828" i="8"/>
  <c r="E1828" i="8"/>
  <c r="S1828" i="8"/>
  <c r="U1828" i="8" s="1"/>
  <c r="V1828" i="8" s="1"/>
  <c r="D1833" i="8"/>
  <c r="E1833" i="8"/>
  <c r="S1833" i="8"/>
  <c r="U1833" i="8" s="1"/>
  <c r="V1833" i="8" s="1"/>
  <c r="D1876" i="8"/>
  <c r="E1876" i="8"/>
  <c r="S1876" i="8"/>
  <c r="U1876" i="8" s="1"/>
  <c r="V1876" i="8" s="1"/>
  <c r="D1875" i="8"/>
  <c r="E1875" i="8"/>
  <c r="S1875" i="8"/>
  <c r="U1875" i="8" s="1"/>
  <c r="V1875" i="8" s="1"/>
  <c r="D1874" i="8"/>
  <c r="E1874" i="8"/>
  <c r="S1874" i="8"/>
  <c r="U1874" i="8" s="1"/>
  <c r="V1874" i="8" s="1"/>
  <c r="W1874" i="8" s="1"/>
  <c r="D1873" i="8"/>
  <c r="E1873" i="8"/>
  <c r="S1873" i="8"/>
  <c r="U1873" i="8" s="1"/>
  <c r="V1873" i="8" s="1"/>
  <c r="D1872" i="8"/>
  <c r="E1872" i="8"/>
  <c r="S1872" i="8"/>
  <c r="U1872" i="8" s="1"/>
  <c r="V1872" i="8" s="1"/>
  <c r="W1872" i="8" s="1"/>
  <c r="D1870" i="8"/>
  <c r="E1870" i="8"/>
  <c r="S1870" i="8"/>
  <c r="U1870" i="8" s="1"/>
  <c r="V1870" i="8" s="1"/>
  <c r="D1868" i="8"/>
  <c r="E1868" i="8"/>
  <c r="S1868" i="8"/>
  <c r="U1868" i="8" s="1"/>
  <c r="V1868" i="8" s="1"/>
  <c r="W1868" i="8" s="1"/>
  <c r="D1871" i="8"/>
  <c r="E1871" i="8"/>
  <c r="S1871" i="8"/>
  <c r="U1871" i="8" s="1"/>
  <c r="V1871" i="8" s="1"/>
  <c r="W1871" i="8" s="1"/>
  <c r="D1869" i="8"/>
  <c r="E1869" i="8"/>
  <c r="S1869" i="8"/>
  <c r="U1869" i="8" s="1"/>
  <c r="V1869" i="8" s="1"/>
  <c r="D1695" i="8"/>
  <c r="E1695" i="8"/>
  <c r="S1695" i="8"/>
  <c r="U1695" i="8" s="1"/>
  <c r="V1695" i="8" s="1"/>
  <c r="D1694" i="8"/>
  <c r="E1694" i="8"/>
  <c r="D1861" i="8"/>
  <c r="E1861" i="8"/>
  <c r="S1861" i="8"/>
  <c r="U1861" i="8" s="1"/>
  <c r="V1861" i="8" s="1"/>
  <c r="D1862" i="8"/>
  <c r="E1862" i="8"/>
  <c r="S1862" i="8"/>
  <c r="U1862" i="8" s="1"/>
  <c r="V1862" i="8" s="1"/>
  <c r="D1860" i="8"/>
  <c r="E1860" i="8"/>
  <c r="S1860" i="8"/>
  <c r="U1860" i="8" s="1"/>
  <c r="V1860" i="8" s="1"/>
  <c r="W1860" i="8" s="1"/>
  <c r="D1859" i="8"/>
  <c r="S1859" i="8"/>
  <c r="U1859" i="8" s="1"/>
  <c r="V1859" i="8" s="1"/>
  <c r="E1859" i="8"/>
  <c r="D1858" i="8"/>
  <c r="S1858" i="8"/>
  <c r="U1858" i="8" s="1"/>
  <c r="V1858" i="8" s="1"/>
  <c r="W1858" i="8" s="1"/>
  <c r="E1858" i="8"/>
  <c r="D1821" i="8"/>
  <c r="S1821" i="8"/>
  <c r="U1821" i="8" s="1"/>
  <c r="V1821" i="8" s="1"/>
  <c r="E1821" i="8"/>
  <c r="D1818" i="8"/>
  <c r="S1818" i="8"/>
  <c r="U1818" i="8" s="1"/>
  <c r="V1818" i="8" s="1"/>
  <c r="E1818" i="8"/>
  <c r="D1822" i="8"/>
  <c r="S1822" i="8"/>
  <c r="U1822" i="8" s="1"/>
  <c r="V1822" i="8" s="1"/>
  <c r="E1822" i="8"/>
  <c r="D1820" i="8"/>
  <c r="E1820" i="8"/>
  <c r="S1820" i="8"/>
  <c r="U1820" i="8" s="1"/>
  <c r="V1820" i="8" s="1"/>
  <c r="D1819" i="8"/>
  <c r="E1819" i="8"/>
  <c r="S1819" i="8"/>
  <c r="U1819" i="8" s="1"/>
  <c r="V1819" i="8" s="1"/>
  <c r="W1819" i="8" s="1"/>
  <c r="D1817" i="8"/>
  <c r="S1817" i="8"/>
  <c r="U1817" i="8" s="1"/>
  <c r="V1817" i="8" s="1"/>
  <c r="W1817" i="8" s="1"/>
  <c r="E1817" i="8"/>
  <c r="D1799" i="8"/>
  <c r="E1799" i="8"/>
  <c r="S1799" i="8"/>
  <c r="U1799" i="8" s="1"/>
  <c r="V1799" i="8" s="1"/>
  <c r="D1795" i="8"/>
  <c r="E1795" i="8"/>
  <c r="S1795" i="8"/>
  <c r="U1795" i="8" s="1"/>
  <c r="V1795" i="8" s="1"/>
  <c r="W1795" i="8" s="1"/>
  <c r="D1796" i="8"/>
  <c r="E1796" i="8"/>
  <c r="S1796" i="8"/>
  <c r="U1796" i="8" s="1"/>
  <c r="V1796" i="8" s="1"/>
  <c r="D1797" i="8"/>
  <c r="E1797" i="8"/>
  <c r="S1797" i="8"/>
  <c r="U1797" i="8" s="1"/>
  <c r="V1797" i="8" s="1"/>
  <c r="W1797" i="8" s="1"/>
  <c r="D1798" i="8"/>
  <c r="S1798" i="8"/>
  <c r="U1798" i="8" s="1"/>
  <c r="V1798" i="8" s="1"/>
  <c r="E1798" i="8"/>
  <c r="D1751" i="8"/>
  <c r="S1751" i="8"/>
  <c r="U1751" i="8" s="1"/>
  <c r="V1751" i="8" s="1"/>
  <c r="W1751" i="8" s="1"/>
  <c r="E1751" i="8"/>
  <c r="D1749" i="8"/>
  <c r="S1749" i="8"/>
  <c r="U1749" i="8" s="1"/>
  <c r="V1749" i="8" s="1"/>
  <c r="W1749" i="8" s="1"/>
  <c r="E1749" i="8"/>
  <c r="D1752" i="8"/>
  <c r="E1752" i="8"/>
  <c r="S1752" i="8"/>
  <c r="U1752" i="8" s="1"/>
  <c r="V1752" i="8" s="1"/>
  <c r="D1750" i="8"/>
  <c r="E1750" i="8"/>
  <c r="S1750" i="8"/>
  <c r="U1750" i="8" s="1"/>
  <c r="V1750" i="8" s="1"/>
  <c r="D1842" i="8"/>
  <c r="S1842" i="8"/>
  <c r="U1842" i="8" s="1"/>
  <c r="V1842" i="8" s="1"/>
  <c r="W1842" i="8" s="1"/>
  <c r="E1842" i="8"/>
  <c r="D1843" i="8"/>
  <c r="E1843" i="8"/>
  <c r="S1843" i="8"/>
  <c r="U1843" i="8" s="1"/>
  <c r="V1843" i="8" s="1"/>
  <c r="D1844" i="8"/>
  <c r="E1844" i="8"/>
  <c r="S1844" i="8"/>
  <c r="U1844" i="8" s="1"/>
  <c r="V1844" i="8" s="1"/>
  <c r="D1697" i="8"/>
  <c r="S1697" i="8"/>
  <c r="U1697" i="8" s="1"/>
  <c r="V1697" i="8" s="1"/>
  <c r="W1697" i="8" s="1"/>
  <c r="E1697" i="8"/>
  <c r="D1782" i="8"/>
  <c r="S1782" i="8"/>
  <c r="U1782" i="8" s="1"/>
  <c r="V1782" i="8" s="1"/>
  <c r="E1782" i="8"/>
  <c r="D1780" i="8"/>
  <c r="E1780" i="8"/>
  <c r="S1780" i="8"/>
  <c r="U1780" i="8" s="1"/>
  <c r="V1780" i="8" s="1"/>
  <c r="D1778" i="8"/>
  <c r="S1778" i="8"/>
  <c r="U1778" i="8" s="1"/>
  <c r="V1778" i="8" s="1"/>
  <c r="E1778" i="8"/>
  <c r="D1779" i="8"/>
  <c r="S1779" i="8"/>
  <c r="U1779" i="8" s="1"/>
  <c r="V1779" i="8" s="1"/>
  <c r="W1779" i="8" s="1"/>
  <c r="E1779" i="8"/>
  <c r="D1781" i="8"/>
  <c r="S1781" i="8"/>
  <c r="U1781" i="8" s="1"/>
  <c r="V1781" i="8" s="1"/>
  <c r="E1781" i="8"/>
  <c r="D1777" i="8"/>
  <c r="E1777" i="8"/>
  <c r="S1777" i="8"/>
  <c r="U1777" i="8" s="1"/>
  <c r="V1777" i="8" s="1"/>
  <c r="W1777" i="8" s="1"/>
  <c r="D1853" i="8"/>
  <c r="E1853" i="8"/>
  <c r="S1853" i="8"/>
  <c r="U1853" i="8" s="1"/>
  <c r="V1853" i="8" s="1"/>
  <c r="D1852" i="8"/>
  <c r="S1852" i="8"/>
  <c r="U1852" i="8" s="1"/>
  <c r="V1852" i="8" s="1"/>
  <c r="E1852" i="8"/>
  <c r="D1851" i="8"/>
  <c r="E1851" i="8"/>
  <c r="S1851" i="8"/>
  <c r="U1851" i="8" s="1"/>
  <c r="V1851" i="8" s="1"/>
  <c r="W1851" i="8" s="1"/>
  <c r="D1892" i="8"/>
  <c r="E1892" i="8"/>
  <c r="S1892" i="8"/>
  <c r="U1892" i="8" s="1"/>
  <c r="V1892" i="8" s="1"/>
  <c r="W1892" i="8" s="1"/>
  <c r="D1734" i="8"/>
  <c r="E1734" i="8"/>
  <c r="S1734" i="8"/>
  <c r="U1734" i="8" s="1"/>
  <c r="V1734" i="8" s="1"/>
  <c r="D1732" i="8"/>
  <c r="S1732" i="8"/>
  <c r="U1732" i="8" s="1"/>
  <c r="V1732" i="8" s="1"/>
  <c r="E1732" i="8"/>
  <c r="D1733" i="8"/>
  <c r="S1733" i="8"/>
  <c r="U1733" i="8" s="1"/>
  <c r="V1733" i="8" s="1"/>
  <c r="W1733" i="8" s="1"/>
  <c r="E1733" i="8"/>
  <c r="D1735" i="8"/>
  <c r="E1735" i="8"/>
  <c r="S1735" i="8"/>
  <c r="U1735" i="8" s="1"/>
  <c r="V1735" i="8" s="1"/>
  <c r="D1731" i="8"/>
  <c r="E1731" i="8"/>
  <c r="S1731" i="8"/>
  <c r="U1731" i="8" s="1"/>
  <c r="V1731" i="8" s="1"/>
  <c r="W1731" i="8" s="1"/>
  <c r="D1774" i="8"/>
  <c r="AB1774" i="8" s="1"/>
  <c r="E1774" i="8"/>
  <c r="S1774" i="8"/>
  <c r="U1774" i="8" s="1"/>
  <c r="V1774" i="8" s="1"/>
  <c r="D1776" i="8"/>
  <c r="AB1776" i="8" s="1"/>
  <c r="S1776" i="8"/>
  <c r="U1776" i="8" s="1"/>
  <c r="V1776" i="8" s="1"/>
  <c r="E1776" i="8"/>
  <c r="D1773" i="8"/>
  <c r="AB1773" i="8" s="1"/>
  <c r="E1773" i="8"/>
  <c r="S1773" i="8"/>
  <c r="U1773" i="8" s="1"/>
  <c r="V1773" i="8" s="1"/>
  <c r="W1773" i="8" s="1"/>
  <c r="D1775" i="8"/>
  <c r="AB1775" i="8" s="1"/>
  <c r="E1775" i="8"/>
  <c r="S1775" i="8"/>
  <c r="U1775" i="8" s="1"/>
  <c r="V1775" i="8" s="1"/>
  <c r="W1775" i="8" s="1"/>
  <c r="D1740" i="8"/>
  <c r="S1740" i="8"/>
  <c r="U1740" i="8" s="1"/>
  <c r="V1740" i="8" s="1"/>
  <c r="W1740" i="8" s="1"/>
  <c r="E1740" i="8"/>
  <c r="D1741" i="8"/>
  <c r="S1741" i="8"/>
  <c r="U1741" i="8" s="1"/>
  <c r="V1741" i="8" s="1"/>
  <c r="E1741" i="8"/>
  <c r="D1698" i="8"/>
  <c r="AB1698" i="8" s="1"/>
  <c r="S1698" i="8"/>
  <c r="U1698" i="8" s="1"/>
  <c r="V1698" i="8" s="1"/>
  <c r="W1698" i="8" s="1"/>
  <c r="E1698" i="8"/>
  <c r="D1730" i="8"/>
  <c r="AB1730" i="8" s="1"/>
  <c r="E1730" i="8"/>
  <c r="S1730" i="8"/>
  <c r="U1730" i="8" s="1"/>
  <c r="V1730" i="8" s="1"/>
  <c r="D1729" i="8"/>
  <c r="AB1729" i="8" s="1"/>
  <c r="E1729" i="8"/>
  <c r="S1729" i="8"/>
  <c r="U1729" i="8" s="1"/>
  <c r="V1729" i="8" s="1"/>
  <c r="D1728" i="8"/>
  <c r="AB1728" i="8" s="1"/>
  <c r="E1728" i="8"/>
  <c r="S1728" i="8"/>
  <c r="U1728" i="8" s="1"/>
  <c r="V1728" i="8" s="1"/>
  <c r="D1727" i="8"/>
  <c r="AB1727" i="8" s="1"/>
  <c r="E1727" i="8"/>
  <c r="S1727" i="8"/>
  <c r="U1727" i="8" s="1"/>
  <c r="V1727" i="8" s="1"/>
  <c r="W1727" i="8" s="1"/>
  <c r="D1726" i="8"/>
  <c r="AB1726" i="8" s="1"/>
  <c r="E1726" i="8"/>
  <c r="S1726" i="8"/>
  <c r="U1726" i="8" s="1"/>
  <c r="V1726" i="8" s="1"/>
  <c r="D1725" i="8"/>
  <c r="AB1725" i="8" s="1"/>
  <c r="E1725" i="8"/>
  <c r="S1725" i="8"/>
  <c r="U1725" i="8" s="1"/>
  <c r="V1725" i="8" s="1"/>
  <c r="W1725" i="8" s="1"/>
  <c r="D1888" i="8"/>
  <c r="AB1888" i="8" s="1"/>
  <c r="S1888" i="8"/>
  <c r="U1888" i="8" s="1"/>
  <c r="V1888" i="8" s="1"/>
  <c r="W1888" i="8" s="1"/>
  <c r="E1888" i="8"/>
  <c r="D1886" i="8"/>
  <c r="AB1886" i="8" s="1"/>
  <c r="S1886" i="8"/>
  <c r="U1886" i="8" s="1"/>
  <c r="V1886" i="8" s="1"/>
  <c r="W1886" i="8" s="1"/>
  <c r="E1886" i="8"/>
  <c r="D1887" i="8"/>
  <c r="AB1887" i="8" s="1"/>
  <c r="S1887" i="8"/>
  <c r="U1887" i="8" s="1"/>
  <c r="V1887" i="8" s="1"/>
  <c r="E1887" i="8"/>
  <c r="D1768" i="8"/>
  <c r="AB1768" i="8" s="1"/>
  <c r="E1768" i="8"/>
  <c r="S1768" i="8"/>
  <c r="U1768" i="8" s="1"/>
  <c r="V1768" i="8" s="1"/>
  <c r="D1767" i="8"/>
  <c r="AB1767" i="8" s="1"/>
  <c r="E1767" i="8"/>
  <c r="S1767" i="8"/>
  <c r="U1767" i="8" s="1"/>
  <c r="V1767" i="8" s="1"/>
  <c r="W1767" i="8" s="1"/>
  <c r="D1766" i="8"/>
  <c r="AB1766" i="8" s="1"/>
  <c r="E1766" i="8"/>
  <c r="S1766" i="8"/>
  <c r="U1766" i="8" s="1"/>
  <c r="V1766" i="8" s="1"/>
  <c r="D1765" i="8"/>
  <c r="AB1765" i="8" s="1"/>
  <c r="S1765" i="8"/>
  <c r="U1765" i="8" s="1"/>
  <c r="V1765" i="8" s="1"/>
  <c r="W1765" i="8" s="1"/>
  <c r="E1765" i="8"/>
  <c r="D1696" i="8"/>
  <c r="AB1696" i="8" s="1"/>
  <c r="S1696" i="8"/>
  <c r="U1696" i="8" s="1"/>
  <c r="V1696" i="8" s="1"/>
  <c r="E1696" i="8"/>
  <c r="D1736" i="8"/>
  <c r="S1736" i="8"/>
  <c r="U1736" i="8" s="1"/>
  <c r="V1736" i="8" s="1"/>
  <c r="W1736" i="8" s="1"/>
  <c r="E1736" i="8"/>
  <c r="D1737" i="8"/>
  <c r="E1737" i="8"/>
  <c r="S1737" i="8"/>
  <c r="U1737" i="8" s="1"/>
  <c r="V1737" i="8" s="1"/>
  <c r="D1738" i="8"/>
  <c r="S1738" i="8"/>
  <c r="U1738" i="8" s="1"/>
  <c r="V1738" i="8" s="1"/>
  <c r="E1738" i="8"/>
  <c r="D1739" i="8"/>
  <c r="S1739" i="8"/>
  <c r="U1739" i="8" s="1"/>
  <c r="V1739" i="8" s="1"/>
  <c r="E1739" i="8"/>
  <c r="D1879" i="8"/>
  <c r="AB1879" i="8" s="1"/>
  <c r="E1879" i="8"/>
  <c r="S1879" i="8"/>
  <c r="U1879" i="8" s="1"/>
  <c r="V1879" i="8" s="1"/>
  <c r="W1879" i="8" s="1"/>
  <c r="D1878" i="8"/>
  <c r="AB1878" i="8" s="1"/>
  <c r="S1878" i="8"/>
  <c r="U1878" i="8" s="1"/>
  <c r="V1878" i="8" s="1"/>
  <c r="E1878" i="8"/>
  <c r="D1877" i="8"/>
  <c r="AB1877" i="8" s="1"/>
  <c r="S1877" i="8"/>
  <c r="U1877" i="8" s="1"/>
  <c r="V1877" i="8" s="1"/>
  <c r="W1877" i="8" s="1"/>
  <c r="E1877" i="8"/>
  <c r="D1880" i="8"/>
  <c r="AB1880" i="8" s="1"/>
  <c r="E1880" i="8"/>
  <c r="S1880" i="8"/>
  <c r="U1880" i="8" s="1"/>
  <c r="V1880" i="8" s="1"/>
  <c r="D1714" i="8"/>
  <c r="AB1714" i="8" s="1"/>
  <c r="E1714" i="8"/>
  <c r="S1714" i="8"/>
  <c r="U1714" i="8" s="1"/>
  <c r="V1714" i="8" s="1"/>
  <c r="W1714" i="8" s="1"/>
  <c r="D1718" i="8"/>
  <c r="AB1718" i="8" s="1"/>
  <c r="E1718" i="8"/>
  <c r="S1718" i="8"/>
  <c r="U1718" i="8" s="1"/>
  <c r="V1718" i="8" s="1"/>
  <c r="D1717" i="8"/>
  <c r="AB1717" i="8" s="1"/>
  <c r="S1717" i="8"/>
  <c r="U1717" i="8" s="1"/>
  <c r="V1717" i="8" s="1"/>
  <c r="E1717" i="8"/>
  <c r="D1716" i="8"/>
  <c r="AB1716" i="8" s="1"/>
  <c r="S1716" i="8"/>
  <c r="U1716" i="8" s="1"/>
  <c r="V1716" i="8" s="1"/>
  <c r="W1716" i="8" s="1"/>
  <c r="E1716" i="8"/>
  <c r="D1715" i="8"/>
  <c r="AB1715" i="8" s="1"/>
  <c r="S1715" i="8"/>
  <c r="U1715" i="8" s="1"/>
  <c r="V1715" i="8" s="1"/>
  <c r="E1715" i="8"/>
  <c r="D1863" i="8"/>
  <c r="AB1863" i="8" s="1"/>
  <c r="E1863" i="8"/>
  <c r="S1863" i="8"/>
  <c r="U1863" i="8" s="1"/>
  <c r="V1863" i="8" s="1"/>
  <c r="W1863" i="8" s="1"/>
  <c r="D1864" i="8"/>
  <c r="AB1864" i="8" s="1"/>
  <c r="S1864" i="8"/>
  <c r="U1864" i="8" s="1"/>
  <c r="V1864" i="8" s="1"/>
  <c r="E1864" i="8"/>
  <c r="D1865" i="8"/>
  <c r="AB1865" i="8" s="1"/>
  <c r="E1865" i="8"/>
  <c r="S1865" i="8"/>
  <c r="U1865" i="8" s="1"/>
  <c r="V1865" i="8" s="1"/>
  <c r="W1865" i="8" s="1"/>
  <c r="D1867" i="8"/>
  <c r="AB1867" i="8" s="1"/>
  <c r="E1867" i="8"/>
  <c r="S1867" i="8"/>
  <c r="U1867" i="8" s="1"/>
  <c r="V1867" i="8" s="1"/>
  <c r="D1866" i="8"/>
  <c r="AB1866" i="8" s="1"/>
  <c r="E1866" i="8"/>
  <c r="S1866" i="8"/>
  <c r="U1866" i="8" s="1"/>
  <c r="V1866" i="8" s="1"/>
  <c r="D1855" i="8"/>
  <c r="AB1855" i="8" s="1"/>
  <c r="S1855" i="8"/>
  <c r="U1855" i="8" s="1"/>
  <c r="V1855" i="8" s="1"/>
  <c r="E1855" i="8"/>
  <c r="D1854" i="8"/>
  <c r="AB1854" i="8" s="1"/>
  <c r="E1854" i="8"/>
  <c r="S1854" i="8"/>
  <c r="U1854" i="8" s="1"/>
  <c r="V1854" i="8" s="1"/>
  <c r="W1854" i="8" s="1"/>
  <c r="D1857" i="8"/>
  <c r="AB1857" i="8" s="1"/>
  <c r="S1857" i="8"/>
  <c r="U1857" i="8" s="1"/>
  <c r="V1857" i="8" s="1"/>
  <c r="E1857" i="8"/>
  <c r="D1856" i="8"/>
  <c r="AB1856" i="8" s="1"/>
  <c r="S1856" i="8"/>
  <c r="U1856" i="8" s="1"/>
  <c r="V1856" i="8" s="1"/>
  <c r="W1856" i="8" s="1"/>
  <c r="E1856" i="8"/>
  <c r="D1850" i="8"/>
  <c r="AB1850" i="8" s="1"/>
  <c r="S1850" i="8"/>
  <c r="U1850" i="8" s="1"/>
  <c r="V1850" i="8" s="1"/>
  <c r="E1850" i="8"/>
  <c r="D1849" i="8"/>
  <c r="AB1849" i="8" s="1"/>
  <c r="E1849" i="8"/>
  <c r="S1849" i="8"/>
  <c r="U1849" i="8" s="1"/>
  <c r="V1849" i="8" s="1"/>
  <c r="D1847" i="8"/>
  <c r="AB1847" i="8" s="1"/>
  <c r="S1847" i="8"/>
  <c r="U1847" i="8" s="1"/>
  <c r="V1847" i="8" s="1"/>
  <c r="W1847" i="8" s="1"/>
  <c r="E1847" i="8"/>
  <c r="D1848" i="8"/>
  <c r="AB1848" i="8" s="1"/>
  <c r="S1848" i="8"/>
  <c r="U1848" i="8" s="1"/>
  <c r="V1848" i="8" s="1"/>
  <c r="W1848" i="8" s="1"/>
  <c r="E1848" i="8"/>
  <c r="D1711" i="8"/>
  <c r="AB1711" i="8" s="1"/>
  <c r="S1711" i="8"/>
  <c r="U1711" i="8" s="1"/>
  <c r="V1711" i="8" s="1"/>
  <c r="E1711" i="8"/>
  <c r="D1712" i="8"/>
  <c r="AB1712" i="8" s="1"/>
  <c r="E1712" i="8"/>
  <c r="S1712" i="8"/>
  <c r="U1712" i="8" s="1"/>
  <c r="V1712" i="8" s="1"/>
  <c r="D1710" i="8"/>
  <c r="AB1710" i="8" s="1"/>
  <c r="E1710" i="8"/>
  <c r="S1710" i="8"/>
  <c r="U1710" i="8" s="1"/>
  <c r="V1710" i="8" s="1"/>
  <c r="D1713" i="8"/>
  <c r="AB1713" i="8" s="1"/>
  <c r="E1713" i="8"/>
  <c r="S1713" i="8"/>
  <c r="U1713" i="8" s="1"/>
  <c r="V1713" i="8" s="1"/>
  <c r="D1709" i="8"/>
  <c r="AB1709" i="8" s="1"/>
  <c r="E1709" i="8"/>
  <c r="S1709" i="8"/>
  <c r="U1709" i="8" s="1"/>
  <c r="V1709" i="8" s="1"/>
  <c r="D1813" i="8"/>
  <c r="AB1813" i="8" s="1"/>
  <c r="S1813" i="8"/>
  <c r="U1813" i="8" s="1"/>
  <c r="V1813" i="8" s="1"/>
  <c r="W1813" i="8" s="1"/>
  <c r="E1813" i="8"/>
  <c r="D1814" i="8"/>
  <c r="AB1814" i="8" s="1"/>
  <c r="S1814" i="8"/>
  <c r="U1814" i="8" s="1"/>
  <c r="V1814" i="8" s="1"/>
  <c r="W1814" i="8" s="1"/>
  <c r="E1814" i="8"/>
  <c r="D1815" i="8"/>
  <c r="AB1815" i="8" s="1"/>
  <c r="E1815" i="8"/>
  <c r="S1815" i="8"/>
  <c r="U1815" i="8" s="1"/>
  <c r="V1815" i="8" s="1"/>
  <c r="D1816" i="8"/>
  <c r="AB1816" i="8" s="1"/>
  <c r="S1816" i="8"/>
  <c r="U1816" i="8" s="1"/>
  <c r="V1816" i="8" s="1"/>
  <c r="E1816" i="8"/>
  <c r="D1762" i="8"/>
  <c r="AB1762" i="8" s="1"/>
  <c r="E1762" i="8"/>
  <c r="S1762" i="8"/>
  <c r="U1762" i="8" s="1"/>
  <c r="V1762" i="8" s="1"/>
  <c r="D1720" i="8"/>
  <c r="AB1720" i="8" s="1"/>
  <c r="S1720" i="8"/>
  <c r="U1720" i="8" s="1"/>
  <c r="V1720" i="8" s="1"/>
  <c r="E1720" i="8"/>
  <c r="D1719" i="8"/>
  <c r="AB1719" i="8" s="1"/>
  <c r="E1719" i="8"/>
  <c r="S1719" i="8"/>
  <c r="U1719" i="8" s="1"/>
  <c r="V1719" i="8" s="1"/>
  <c r="W1719" i="8" s="1"/>
  <c r="D1721" i="8"/>
  <c r="AB1721" i="8" s="1"/>
  <c r="S1721" i="8"/>
  <c r="U1721" i="8" s="1"/>
  <c r="V1721" i="8" s="1"/>
  <c r="E1721" i="8"/>
  <c r="D1722" i="8"/>
  <c r="AB1722" i="8" s="1"/>
  <c r="S1722" i="8"/>
  <c r="U1722" i="8" s="1"/>
  <c r="V1722" i="8" s="1"/>
  <c r="E1722" i="8"/>
  <c r="D1801" i="8"/>
  <c r="AB1801" i="8" s="1"/>
  <c r="S1801" i="8"/>
  <c r="U1801" i="8" s="1"/>
  <c r="V1801" i="8" s="1"/>
  <c r="E1801" i="8"/>
  <c r="D1800" i="8"/>
  <c r="AB1800" i="8" s="1"/>
  <c r="S1800" i="8"/>
  <c r="U1800" i="8" s="1"/>
  <c r="V1800" i="8" s="1"/>
  <c r="W1800" i="8" s="1"/>
  <c r="E1800" i="8"/>
  <c r="D1803" i="8"/>
  <c r="AB1803" i="8" s="1"/>
  <c r="E1803" i="8"/>
  <c r="S1803" i="8"/>
  <c r="U1803" i="8" s="1"/>
  <c r="V1803" i="8" s="1"/>
  <c r="D1802" i="8"/>
  <c r="AB1802" i="8" s="1"/>
  <c r="E1802" i="8"/>
  <c r="S1802" i="8"/>
  <c r="U1802" i="8" s="1"/>
  <c r="V1802" i="8" s="1"/>
  <c r="W1802" i="8" s="1"/>
  <c r="D1891" i="8"/>
  <c r="AB1891" i="8" s="1"/>
  <c r="S1891" i="8"/>
  <c r="U1891" i="8" s="1"/>
  <c r="V1891" i="8" s="1"/>
  <c r="W1891" i="8" s="1"/>
  <c r="E1891" i="8"/>
  <c r="D1890" i="8"/>
  <c r="AB1890" i="8" s="1"/>
  <c r="S1890" i="8"/>
  <c r="U1890" i="8" s="1"/>
  <c r="V1890" i="8" s="1"/>
  <c r="E1890" i="8"/>
  <c r="D1889" i="8"/>
  <c r="AB1889" i="8" s="1"/>
  <c r="E1889" i="8"/>
  <c r="S1889" i="8"/>
  <c r="U1889" i="8" s="1"/>
  <c r="V1889" i="8" s="1"/>
  <c r="D1789" i="8"/>
  <c r="S1789" i="8"/>
  <c r="U1789" i="8" s="1"/>
  <c r="V1789" i="8" s="1"/>
  <c r="E1789" i="8"/>
  <c r="D1787" i="8"/>
  <c r="S1787" i="8"/>
  <c r="U1787" i="8" s="1"/>
  <c r="V1787" i="8" s="1"/>
  <c r="E1787" i="8"/>
  <c r="D1786" i="8"/>
  <c r="E1786" i="8"/>
  <c r="S1786" i="8"/>
  <c r="U1786" i="8" s="1"/>
  <c r="V1786" i="8" s="1"/>
  <c r="W1786" i="8" s="1"/>
  <c r="D1788" i="8"/>
  <c r="S1788" i="8"/>
  <c r="U1788" i="8" s="1"/>
  <c r="V1788" i="8" s="1"/>
  <c r="W1788" i="8" s="1"/>
  <c r="E1788" i="8"/>
  <c r="E248" i="13"/>
  <c r="F248" i="13"/>
  <c r="G248" i="13"/>
  <c r="J248" i="13"/>
  <c r="E875" i="8"/>
  <c r="D875" i="8"/>
  <c r="AB875" i="8" s="1"/>
  <c r="S875" i="8"/>
  <c r="U875" i="8" s="1"/>
  <c r="V875" i="8" s="1"/>
  <c r="W875" i="8" s="1"/>
  <c r="E881" i="8"/>
  <c r="D881" i="8"/>
  <c r="AB881" i="8" s="1"/>
  <c r="S881" i="8"/>
  <c r="U881" i="8" s="1"/>
  <c r="V881" i="8" s="1"/>
  <c r="W881" i="8" s="1"/>
  <c r="E882" i="8"/>
  <c r="D882" i="8"/>
  <c r="AB882" i="8" s="1"/>
  <c r="S882" i="8"/>
  <c r="U882" i="8" s="1"/>
  <c r="V882" i="8" s="1"/>
  <c r="W882" i="8" s="1"/>
  <c r="E871" i="8"/>
  <c r="D871" i="8"/>
  <c r="AB871" i="8" s="1"/>
  <c r="S871" i="8"/>
  <c r="U871" i="8" s="1"/>
  <c r="V871" i="8" s="1"/>
  <c r="W871" i="8" s="1"/>
  <c r="E872" i="8"/>
  <c r="D872" i="8"/>
  <c r="AB872" i="8" s="1"/>
  <c r="S872" i="8"/>
  <c r="U872" i="8" s="1"/>
  <c r="V872" i="8" s="1"/>
  <c r="W872" i="8" s="1"/>
  <c r="E873" i="8"/>
  <c r="D873" i="8"/>
  <c r="AB873" i="8" s="1"/>
  <c r="S873" i="8"/>
  <c r="U873" i="8" s="1"/>
  <c r="V873" i="8" s="1"/>
  <c r="W873" i="8" s="1"/>
  <c r="E874" i="8"/>
  <c r="D874" i="8"/>
  <c r="AB874" i="8" s="1"/>
  <c r="S874" i="8"/>
  <c r="U874" i="8" s="1"/>
  <c r="V874" i="8" s="1"/>
  <c r="W874" i="8" s="1"/>
  <c r="E876" i="8"/>
  <c r="D876" i="8"/>
  <c r="AB876" i="8" s="1"/>
  <c r="S876" i="8"/>
  <c r="U876" i="8" s="1"/>
  <c r="V876" i="8" s="1"/>
  <c r="W876" i="8" s="1"/>
  <c r="E877" i="8"/>
  <c r="D877" i="8"/>
  <c r="AB877" i="8" s="1"/>
  <c r="S877" i="8"/>
  <c r="U877" i="8" s="1"/>
  <c r="V877" i="8" s="1"/>
  <c r="W877" i="8" s="1"/>
  <c r="E878" i="8"/>
  <c r="D878" i="8"/>
  <c r="AB878" i="8" s="1"/>
  <c r="S878" i="8"/>
  <c r="U878" i="8" s="1"/>
  <c r="V878" i="8" s="1"/>
  <c r="W878" i="8" s="1"/>
  <c r="E879" i="8"/>
  <c r="D879" i="8"/>
  <c r="AB879" i="8" s="1"/>
  <c r="S879" i="8"/>
  <c r="U879" i="8" s="1"/>
  <c r="V879" i="8" s="1"/>
  <c r="W879" i="8" s="1"/>
  <c r="E880" i="8"/>
  <c r="D880" i="8"/>
  <c r="AB880" i="8" s="1"/>
  <c r="S880" i="8"/>
  <c r="U880" i="8" s="1"/>
  <c r="V880" i="8" s="1"/>
  <c r="W880" i="8" s="1"/>
  <c r="E893" i="8"/>
  <c r="D893" i="8"/>
  <c r="AB893" i="8" s="1"/>
  <c r="S893" i="8"/>
  <c r="U893" i="8" s="1"/>
  <c r="V893" i="8" s="1"/>
  <c r="W893" i="8" s="1"/>
  <c r="E894" i="8"/>
  <c r="D894" i="8"/>
  <c r="AB894" i="8" s="1"/>
  <c r="S894" i="8"/>
  <c r="U894" i="8" s="1"/>
  <c r="V894" i="8" s="1"/>
  <c r="W894" i="8" s="1"/>
  <c r="E887" i="8"/>
  <c r="D887" i="8"/>
  <c r="AB887" i="8" s="1"/>
  <c r="S887" i="8"/>
  <c r="U887" i="8" s="1"/>
  <c r="V887" i="8" s="1"/>
  <c r="W887" i="8" s="1"/>
  <c r="E883" i="8"/>
  <c r="D883" i="8"/>
  <c r="AB883" i="8" s="1"/>
  <c r="S883" i="8"/>
  <c r="U883" i="8" s="1"/>
  <c r="V883" i="8" s="1"/>
  <c r="W883" i="8" s="1"/>
  <c r="E884" i="8"/>
  <c r="D884" i="8"/>
  <c r="AB884" i="8" s="1"/>
  <c r="S884" i="8"/>
  <c r="U884" i="8" s="1"/>
  <c r="V884" i="8" s="1"/>
  <c r="W884" i="8" s="1"/>
  <c r="E885" i="8"/>
  <c r="D885" i="8"/>
  <c r="AB885" i="8" s="1"/>
  <c r="S885" i="8"/>
  <c r="U885" i="8" s="1"/>
  <c r="V885" i="8" s="1"/>
  <c r="W885" i="8" s="1"/>
  <c r="E886" i="8"/>
  <c r="D886" i="8"/>
  <c r="AB886" i="8" s="1"/>
  <c r="S886" i="8"/>
  <c r="U886" i="8" s="1"/>
  <c r="V886" i="8" s="1"/>
  <c r="W886" i="8" s="1"/>
  <c r="E888" i="8"/>
  <c r="D888" i="8"/>
  <c r="AB888" i="8" s="1"/>
  <c r="S888" i="8"/>
  <c r="U888" i="8" s="1"/>
  <c r="V888" i="8" s="1"/>
  <c r="W888" i="8" s="1"/>
  <c r="E889" i="8"/>
  <c r="D889" i="8"/>
  <c r="AB889" i="8" s="1"/>
  <c r="S889" i="8"/>
  <c r="U889" i="8" s="1"/>
  <c r="V889" i="8" s="1"/>
  <c r="W889" i="8" s="1"/>
  <c r="E890" i="8"/>
  <c r="D890" i="8"/>
  <c r="AB890" i="8" s="1"/>
  <c r="S890" i="8"/>
  <c r="U890" i="8" s="1"/>
  <c r="V890" i="8" s="1"/>
  <c r="W890" i="8" s="1"/>
  <c r="E891" i="8"/>
  <c r="D891" i="8"/>
  <c r="AB891" i="8" s="1"/>
  <c r="S891" i="8"/>
  <c r="U891" i="8" s="1"/>
  <c r="V891" i="8" s="1"/>
  <c r="W891" i="8" s="1"/>
  <c r="E892" i="8"/>
  <c r="D892" i="8"/>
  <c r="AB892" i="8" s="1"/>
  <c r="S892" i="8"/>
  <c r="U892" i="8" s="1"/>
  <c r="V892" i="8" s="1"/>
  <c r="W892" i="8" s="1"/>
  <c r="E895" i="8"/>
  <c r="D895" i="8"/>
  <c r="AB895" i="8" s="1"/>
  <c r="S895" i="8"/>
  <c r="U895" i="8" s="1"/>
  <c r="V895" i="8" s="1"/>
  <c r="W895" i="8" s="1"/>
  <c r="X895" i="8" s="1"/>
  <c r="E896" i="8"/>
  <c r="D896" i="8"/>
  <c r="AB896" i="8" s="1"/>
  <c r="S896" i="8"/>
  <c r="U896" i="8" s="1"/>
  <c r="V896" i="8" s="1"/>
  <c r="W896" i="8" s="1"/>
  <c r="E897" i="8"/>
  <c r="D897" i="8"/>
  <c r="AB897" i="8" s="1"/>
  <c r="S897" i="8"/>
  <c r="U897" i="8" s="1"/>
  <c r="V897" i="8" s="1"/>
  <c r="W897" i="8" s="1"/>
  <c r="E898" i="8"/>
  <c r="D898" i="8"/>
  <c r="AB898" i="8" s="1"/>
  <c r="S898" i="8"/>
  <c r="U898" i="8" s="1"/>
  <c r="V898" i="8" s="1"/>
  <c r="W898" i="8" s="1"/>
  <c r="E899" i="8"/>
  <c r="D899" i="8"/>
  <c r="AB899" i="8" s="1"/>
  <c r="S899" i="8"/>
  <c r="U899" i="8" s="1"/>
  <c r="V899" i="8" s="1"/>
  <c r="W899" i="8" s="1"/>
  <c r="E901" i="8"/>
  <c r="D901" i="8"/>
  <c r="AB901" i="8" s="1"/>
  <c r="S901" i="8"/>
  <c r="U901" i="8" s="1"/>
  <c r="V901" i="8" s="1"/>
  <c r="W901" i="8" s="1"/>
  <c r="E902" i="8"/>
  <c r="D902" i="8"/>
  <c r="AB902" i="8" s="1"/>
  <c r="S902" i="8"/>
  <c r="U902" i="8" s="1"/>
  <c r="V902" i="8" s="1"/>
  <c r="W902" i="8" s="1"/>
  <c r="E903" i="8"/>
  <c r="D903" i="8"/>
  <c r="AB903" i="8" s="1"/>
  <c r="S903" i="8"/>
  <c r="U903" i="8" s="1"/>
  <c r="V903" i="8" s="1"/>
  <c r="W903" i="8" s="1"/>
  <c r="E904" i="8"/>
  <c r="D904" i="8"/>
  <c r="AB904" i="8" s="1"/>
  <c r="S904" i="8"/>
  <c r="U904" i="8" s="1"/>
  <c r="V904" i="8" s="1"/>
  <c r="W904" i="8" s="1"/>
  <c r="E900" i="8"/>
  <c r="D900" i="8"/>
  <c r="AB900" i="8" s="1"/>
  <c r="S900" i="8"/>
  <c r="U900" i="8" s="1"/>
  <c r="V900" i="8" s="1"/>
  <c r="W900" i="8" s="1"/>
  <c r="E906" i="8"/>
  <c r="D906" i="8"/>
  <c r="AB906" i="8" s="1"/>
  <c r="S906" i="8"/>
  <c r="U906" i="8" s="1"/>
  <c r="V906" i="8" s="1"/>
  <c r="W906" i="8" s="1"/>
  <c r="E905" i="8"/>
  <c r="D905" i="8"/>
  <c r="AB905" i="8" s="1"/>
  <c r="S905" i="8"/>
  <c r="U905" i="8" s="1"/>
  <c r="V905" i="8" s="1"/>
  <c r="W905" i="8" s="1"/>
  <c r="E1022" i="8"/>
  <c r="D1022" i="8"/>
  <c r="AB1022" i="8" s="1"/>
  <c r="S1022" i="8"/>
  <c r="U1022" i="8" s="1"/>
  <c r="V1022" i="8" s="1"/>
  <c r="W1022" i="8" s="1"/>
  <c r="E1023" i="8"/>
  <c r="D1023" i="8"/>
  <c r="AB1023" i="8" s="1"/>
  <c r="S1023" i="8"/>
  <c r="U1023" i="8" s="1"/>
  <c r="V1023" i="8" s="1"/>
  <c r="W1023" i="8" s="1"/>
  <c r="E1024" i="8"/>
  <c r="D1024" i="8"/>
  <c r="AB1024" i="8" s="1"/>
  <c r="S1024" i="8"/>
  <c r="U1024" i="8" s="1"/>
  <c r="V1024" i="8" s="1"/>
  <c r="W1024" i="8" s="1"/>
  <c r="E1021" i="8"/>
  <c r="D1021" i="8"/>
  <c r="AB1021" i="8" s="1"/>
  <c r="S1021" i="8"/>
  <c r="U1021" i="8" s="1"/>
  <c r="V1021" i="8" s="1"/>
  <c r="W1021" i="8" s="1"/>
  <c r="E778" i="8"/>
  <c r="D778" i="8"/>
  <c r="AB778" i="8" s="1"/>
  <c r="S778" i="8"/>
  <c r="U778" i="8" s="1"/>
  <c r="V778" i="8" s="1"/>
  <c r="W778" i="8" s="1"/>
  <c r="E779" i="8"/>
  <c r="D779" i="8"/>
  <c r="AB779" i="8" s="1"/>
  <c r="S779" i="8"/>
  <c r="U779" i="8" s="1"/>
  <c r="V779" i="8" s="1"/>
  <c r="W779" i="8" s="1"/>
  <c r="E780" i="8"/>
  <c r="D780" i="8"/>
  <c r="AB780" i="8" s="1"/>
  <c r="S780" i="8"/>
  <c r="U780" i="8" s="1"/>
  <c r="V780" i="8" s="1"/>
  <c r="W780" i="8" s="1"/>
  <c r="E1016" i="8"/>
  <c r="D1016" i="8"/>
  <c r="AB1016" i="8" s="1"/>
  <c r="S1016" i="8"/>
  <c r="U1016" i="8" s="1"/>
  <c r="V1016" i="8" s="1"/>
  <c r="W1016" i="8" s="1"/>
  <c r="E1015" i="8"/>
  <c r="D1015" i="8"/>
  <c r="AB1015" i="8" s="1"/>
  <c r="S1015" i="8"/>
  <c r="U1015" i="8" s="1"/>
  <c r="V1015" i="8" s="1"/>
  <c r="W1015" i="8" s="1"/>
  <c r="E870" i="8"/>
  <c r="D870" i="8"/>
  <c r="S870" i="8"/>
  <c r="U870" i="8" s="1"/>
  <c r="V870" i="8" s="1"/>
  <c r="W870" i="8" s="1"/>
  <c r="E869" i="8"/>
  <c r="D869" i="8"/>
  <c r="S869" i="8"/>
  <c r="U869" i="8" s="1"/>
  <c r="V869" i="8" s="1"/>
  <c r="W869" i="8" s="1"/>
  <c r="E868" i="8"/>
  <c r="D868" i="8"/>
  <c r="S868" i="8"/>
  <c r="U868" i="8" s="1"/>
  <c r="V868" i="8" s="1"/>
  <c r="W868" i="8" s="1"/>
  <c r="E1039" i="8"/>
  <c r="D1039" i="8"/>
  <c r="AB1039" i="8" s="1"/>
  <c r="S1039" i="8"/>
  <c r="U1039" i="8" s="1"/>
  <c r="V1039" i="8" s="1"/>
  <c r="W1039" i="8" s="1"/>
  <c r="E1040" i="8"/>
  <c r="D1040" i="8"/>
  <c r="AB1040" i="8" s="1"/>
  <c r="S1040" i="8"/>
  <c r="U1040" i="8" s="1"/>
  <c r="V1040" i="8" s="1"/>
  <c r="W1040" i="8" s="1"/>
  <c r="E1041" i="8"/>
  <c r="D1041" i="8"/>
  <c r="AB1041" i="8" s="1"/>
  <c r="S1041" i="8"/>
  <c r="U1041" i="8" s="1"/>
  <c r="V1041" i="8" s="1"/>
  <c r="W1041" i="8" s="1"/>
  <c r="E789" i="8"/>
  <c r="D789" i="8"/>
  <c r="S789" i="8"/>
  <c r="U789" i="8" s="1"/>
  <c r="V789" i="8" s="1"/>
  <c r="W789" i="8" s="1"/>
  <c r="E790" i="8"/>
  <c r="D790" i="8"/>
  <c r="S790" i="8"/>
  <c r="U790" i="8" s="1"/>
  <c r="V790" i="8" s="1"/>
  <c r="W790" i="8" s="1"/>
  <c r="E791" i="8"/>
  <c r="D791" i="8"/>
  <c r="S791" i="8"/>
  <c r="U791" i="8" s="1"/>
  <c r="V791" i="8" s="1"/>
  <c r="W791" i="8" s="1"/>
  <c r="E792" i="8"/>
  <c r="D792" i="8"/>
  <c r="S792" i="8"/>
  <c r="U792" i="8" s="1"/>
  <c r="V792" i="8" s="1"/>
  <c r="W792" i="8" s="1"/>
  <c r="E852" i="8"/>
  <c r="D852" i="8"/>
  <c r="S852" i="8"/>
  <c r="U852" i="8" s="1"/>
  <c r="V852" i="8" s="1"/>
  <c r="W852" i="8" s="1"/>
  <c r="E853" i="8"/>
  <c r="D853" i="8"/>
  <c r="S853" i="8"/>
  <c r="U853" i="8" s="1"/>
  <c r="V853" i="8" s="1"/>
  <c r="W853" i="8" s="1"/>
  <c r="E854" i="8"/>
  <c r="D854" i="8"/>
  <c r="S854" i="8"/>
  <c r="U854" i="8" s="1"/>
  <c r="V854" i="8" s="1"/>
  <c r="W854" i="8" s="1"/>
  <c r="E855" i="8"/>
  <c r="D855" i="8"/>
  <c r="S855" i="8"/>
  <c r="U855" i="8" s="1"/>
  <c r="V855" i="8" s="1"/>
  <c r="W855" i="8" s="1"/>
  <c r="E1017" i="8"/>
  <c r="D1017" i="8"/>
  <c r="S1017" i="8"/>
  <c r="U1017" i="8" s="1"/>
  <c r="V1017" i="8" s="1"/>
  <c r="W1017" i="8" s="1"/>
  <c r="E1018" i="8"/>
  <c r="D1018" i="8"/>
  <c r="S1018" i="8"/>
  <c r="U1018" i="8" s="1"/>
  <c r="V1018" i="8" s="1"/>
  <c r="W1018" i="8" s="1"/>
  <c r="E1020" i="8"/>
  <c r="D1020" i="8"/>
  <c r="S1020" i="8"/>
  <c r="U1020" i="8" s="1"/>
  <c r="V1020" i="8" s="1"/>
  <c r="W1020" i="8" s="1"/>
  <c r="E1019" i="8"/>
  <c r="D1019" i="8"/>
  <c r="S1019" i="8"/>
  <c r="U1019" i="8" s="1"/>
  <c r="V1019" i="8" s="1"/>
  <c r="W1019" i="8" s="1"/>
  <c r="E842" i="8"/>
  <c r="D842" i="8"/>
  <c r="S842" i="8"/>
  <c r="U842" i="8" s="1"/>
  <c r="V842" i="8" s="1"/>
  <c r="W842" i="8" s="1"/>
  <c r="E843" i="8"/>
  <c r="D843" i="8"/>
  <c r="S843" i="8"/>
  <c r="U843" i="8" s="1"/>
  <c r="V843" i="8" s="1"/>
  <c r="W843" i="8" s="1"/>
  <c r="E844" i="8"/>
  <c r="D844" i="8"/>
  <c r="S844" i="8"/>
  <c r="U844" i="8" s="1"/>
  <c r="V844" i="8" s="1"/>
  <c r="W844" i="8" s="1"/>
  <c r="E845" i="8"/>
  <c r="D845" i="8"/>
  <c r="S845" i="8"/>
  <c r="U845" i="8" s="1"/>
  <c r="V845" i="8" s="1"/>
  <c r="W845" i="8" s="1"/>
  <c r="E846" i="8"/>
  <c r="D846" i="8"/>
  <c r="S846" i="8"/>
  <c r="U846" i="8" s="1"/>
  <c r="V846" i="8" s="1"/>
  <c r="W846" i="8" s="1"/>
  <c r="E753" i="8"/>
  <c r="D753" i="8"/>
  <c r="S753" i="8"/>
  <c r="U753" i="8" s="1"/>
  <c r="V753" i="8" s="1"/>
  <c r="W753" i="8" s="1"/>
  <c r="E755" i="8"/>
  <c r="D755" i="8"/>
  <c r="S755" i="8"/>
  <c r="U755" i="8" s="1"/>
  <c r="V755" i="8" s="1"/>
  <c r="W755" i="8" s="1"/>
  <c r="E782" i="8"/>
  <c r="D782" i="8"/>
  <c r="S782" i="8"/>
  <c r="U782" i="8" s="1"/>
  <c r="V782" i="8" s="1"/>
  <c r="W782" i="8" s="1"/>
  <c r="E756" i="8"/>
  <c r="D756" i="8"/>
  <c r="S756" i="8"/>
  <c r="U756" i="8" s="1"/>
  <c r="V756" i="8" s="1"/>
  <c r="W756" i="8" s="1"/>
  <c r="E754" i="8"/>
  <c r="D754" i="8"/>
  <c r="S754" i="8"/>
  <c r="U754" i="8" s="1"/>
  <c r="V754" i="8" s="1"/>
  <c r="W754" i="8" s="1"/>
  <c r="E748" i="8"/>
  <c r="D748" i="8"/>
  <c r="S748" i="8"/>
  <c r="U748" i="8" s="1"/>
  <c r="V748" i="8" s="1"/>
  <c r="W748" i="8" s="1"/>
  <c r="E749" i="8"/>
  <c r="D749" i="8"/>
  <c r="S749" i="8"/>
  <c r="U749" i="8" s="1"/>
  <c r="V749" i="8" s="1"/>
  <c r="W749" i="8" s="1"/>
  <c r="E750" i="8"/>
  <c r="D750" i="8"/>
  <c r="S750" i="8"/>
  <c r="U750" i="8" s="1"/>
  <c r="V750" i="8" s="1"/>
  <c r="W750" i="8" s="1"/>
  <c r="E994" i="8"/>
  <c r="D994" i="8"/>
  <c r="S994" i="8"/>
  <c r="U994" i="8" s="1"/>
  <c r="V994" i="8" s="1"/>
  <c r="W994" i="8" s="1"/>
  <c r="E995" i="8"/>
  <c r="D995" i="8"/>
  <c r="S995" i="8"/>
  <c r="U995" i="8" s="1"/>
  <c r="V995" i="8" s="1"/>
  <c r="W995" i="8" s="1"/>
  <c r="E996" i="8"/>
  <c r="D996" i="8"/>
  <c r="S996" i="8"/>
  <c r="U996" i="8" s="1"/>
  <c r="V996" i="8" s="1"/>
  <c r="W996" i="8" s="1"/>
  <c r="E804" i="8"/>
  <c r="D804" i="8"/>
  <c r="S804" i="8"/>
  <c r="U804" i="8" s="1"/>
  <c r="V804" i="8" s="1"/>
  <c r="W804" i="8" s="1"/>
  <c r="E805" i="8"/>
  <c r="D805" i="8"/>
  <c r="S805" i="8"/>
  <c r="U805" i="8" s="1"/>
  <c r="V805" i="8" s="1"/>
  <c r="W805" i="8" s="1"/>
  <c r="E807" i="8"/>
  <c r="D807" i="8"/>
  <c r="S807" i="8"/>
  <c r="U807" i="8" s="1"/>
  <c r="V807" i="8" s="1"/>
  <c r="W807" i="8" s="1"/>
  <c r="E806" i="8"/>
  <c r="D806" i="8"/>
  <c r="S806" i="8"/>
  <c r="U806" i="8" s="1"/>
  <c r="V806" i="8" s="1"/>
  <c r="W806" i="8" s="1"/>
  <c r="E863" i="8"/>
  <c r="D863" i="8"/>
  <c r="S863" i="8"/>
  <c r="U863" i="8" s="1"/>
  <c r="V863" i="8" s="1"/>
  <c r="W863" i="8" s="1"/>
  <c r="E864" i="8"/>
  <c r="D864" i="8"/>
  <c r="S864" i="8"/>
  <c r="U864" i="8" s="1"/>
  <c r="V864" i="8" s="1"/>
  <c r="W864" i="8" s="1"/>
  <c r="E865" i="8"/>
  <c r="D865" i="8"/>
  <c r="S865" i="8"/>
  <c r="U865" i="8" s="1"/>
  <c r="V865" i="8" s="1"/>
  <c r="W865" i="8" s="1"/>
  <c r="E1008" i="8"/>
  <c r="D1008" i="8"/>
  <c r="S1008" i="8"/>
  <c r="U1008" i="8" s="1"/>
  <c r="V1008" i="8" s="1"/>
  <c r="W1008" i="8" s="1"/>
  <c r="E1010" i="8"/>
  <c r="D1010" i="8"/>
  <c r="S1010" i="8"/>
  <c r="U1010" i="8" s="1"/>
  <c r="V1010" i="8" s="1"/>
  <c r="W1010" i="8" s="1"/>
  <c r="E1009" i="8"/>
  <c r="D1009" i="8"/>
  <c r="S1009" i="8"/>
  <c r="U1009" i="8" s="1"/>
  <c r="V1009" i="8" s="1"/>
  <c r="W1009" i="8" s="1"/>
  <c r="E1005" i="8"/>
  <c r="D1005" i="8"/>
  <c r="S1005" i="8"/>
  <c r="U1005" i="8" s="1"/>
  <c r="V1005" i="8" s="1"/>
  <c r="W1005" i="8" s="1"/>
  <c r="E1006" i="8"/>
  <c r="D1006" i="8"/>
  <c r="S1006" i="8"/>
  <c r="U1006" i="8" s="1"/>
  <c r="V1006" i="8" s="1"/>
  <c r="W1006" i="8" s="1"/>
  <c r="E1007" i="8"/>
  <c r="D1007" i="8"/>
  <c r="S1007" i="8"/>
  <c r="U1007" i="8" s="1"/>
  <c r="V1007" i="8" s="1"/>
  <c r="W1007" i="8" s="1"/>
  <c r="E1000" i="8"/>
  <c r="D1000" i="8"/>
  <c r="S1000" i="8"/>
  <c r="U1000" i="8" s="1"/>
  <c r="V1000" i="8" s="1"/>
  <c r="W1000" i="8" s="1"/>
  <c r="E999" i="8"/>
  <c r="D999" i="8"/>
  <c r="S999" i="8"/>
  <c r="U999" i="8" s="1"/>
  <c r="V999" i="8" s="1"/>
  <c r="W999" i="8" s="1"/>
  <c r="E998" i="8"/>
  <c r="D998" i="8"/>
  <c r="S998" i="8"/>
  <c r="U998" i="8" s="1"/>
  <c r="V998" i="8" s="1"/>
  <c r="W998" i="8" s="1"/>
  <c r="E997" i="8"/>
  <c r="D997" i="8"/>
  <c r="S997" i="8"/>
  <c r="U997" i="8" s="1"/>
  <c r="V997" i="8" s="1"/>
  <c r="W997" i="8" s="1"/>
  <c r="E773" i="8"/>
  <c r="D773" i="8"/>
  <c r="AB773" i="8" s="1"/>
  <c r="S773" i="8"/>
  <c r="U773" i="8" s="1"/>
  <c r="V773" i="8" s="1"/>
  <c r="E774" i="8"/>
  <c r="D774" i="8"/>
  <c r="AB774" i="8" s="1"/>
  <c r="S774" i="8"/>
  <c r="U774" i="8" s="1"/>
  <c r="V774" i="8" s="1"/>
  <c r="E775" i="8"/>
  <c r="D775" i="8"/>
  <c r="AB775" i="8" s="1"/>
  <c r="S775" i="8"/>
  <c r="U775" i="8" s="1"/>
  <c r="V775" i="8" s="1"/>
  <c r="W775" i="8" s="1"/>
  <c r="E776" i="8"/>
  <c r="D776" i="8"/>
  <c r="AB776" i="8" s="1"/>
  <c r="S776" i="8"/>
  <c r="U776" i="8" s="1"/>
  <c r="V776" i="8" s="1"/>
  <c r="W776" i="8" s="1"/>
  <c r="E777" i="8"/>
  <c r="D777" i="8"/>
  <c r="AB777" i="8" s="1"/>
  <c r="S777" i="8"/>
  <c r="U777" i="8" s="1"/>
  <c r="V777" i="8" s="1"/>
  <c r="W777" i="8" s="1"/>
  <c r="E772" i="8"/>
  <c r="D772" i="8"/>
  <c r="AB772" i="8" s="1"/>
  <c r="S772" i="8"/>
  <c r="U772" i="8" s="1"/>
  <c r="V772" i="8" s="1"/>
  <c r="E798" i="8"/>
  <c r="D798" i="8"/>
  <c r="AB798" i="8" s="1"/>
  <c r="S798" i="8"/>
  <c r="U798" i="8" s="1"/>
  <c r="V798" i="8" s="1"/>
  <c r="W798" i="8" s="1"/>
  <c r="E799" i="8"/>
  <c r="D799" i="8"/>
  <c r="AB799" i="8" s="1"/>
  <c r="S799" i="8"/>
  <c r="U799" i="8" s="1"/>
  <c r="V799" i="8" s="1"/>
  <c r="W799" i="8" s="1"/>
  <c r="E800" i="8"/>
  <c r="D800" i="8"/>
  <c r="AB800" i="8" s="1"/>
  <c r="S800" i="8"/>
  <c r="U800" i="8" s="1"/>
  <c r="V800" i="8" s="1"/>
  <c r="W800" i="8" s="1"/>
  <c r="E801" i="8"/>
  <c r="D801" i="8"/>
  <c r="AB801" i="8" s="1"/>
  <c r="S801" i="8"/>
  <c r="U801" i="8" s="1"/>
  <c r="V801" i="8" s="1"/>
  <c r="W801" i="8" s="1"/>
  <c r="E802" i="8"/>
  <c r="D802" i="8"/>
  <c r="AB802" i="8" s="1"/>
  <c r="S802" i="8"/>
  <c r="U802" i="8" s="1"/>
  <c r="V802" i="8" s="1"/>
  <c r="W802" i="8" s="1"/>
  <c r="E803" i="8"/>
  <c r="D803" i="8"/>
  <c r="AB803" i="8" s="1"/>
  <c r="S803" i="8"/>
  <c r="U803" i="8" s="1"/>
  <c r="V803" i="8" s="1"/>
  <c r="W803" i="8" s="1"/>
  <c r="E796" i="8"/>
  <c r="D796" i="8"/>
  <c r="AB796" i="8" s="1"/>
  <c r="S796" i="8"/>
  <c r="U796" i="8" s="1"/>
  <c r="V796" i="8" s="1"/>
  <c r="W796" i="8" s="1"/>
  <c r="E795" i="8"/>
  <c r="D795" i="8"/>
  <c r="AB795" i="8" s="1"/>
  <c r="S795" i="8"/>
  <c r="U795" i="8" s="1"/>
  <c r="V795" i="8" s="1"/>
  <c r="W795" i="8" s="1"/>
  <c r="E797" i="8"/>
  <c r="D797" i="8"/>
  <c r="AB797" i="8" s="1"/>
  <c r="S797" i="8"/>
  <c r="U797" i="8" s="1"/>
  <c r="V797" i="8" s="1"/>
  <c r="W797" i="8" s="1"/>
  <c r="E793" i="8"/>
  <c r="D793" i="8"/>
  <c r="AB793" i="8" s="1"/>
  <c r="S793" i="8"/>
  <c r="U793" i="8" s="1"/>
  <c r="V793" i="8" s="1"/>
  <c r="W793" i="8" s="1"/>
  <c r="E794" i="8"/>
  <c r="D794" i="8"/>
  <c r="AB794" i="8" s="1"/>
  <c r="S794" i="8"/>
  <c r="U794" i="8" s="1"/>
  <c r="V794" i="8" s="1"/>
  <c r="W794" i="8" s="1"/>
  <c r="E861" i="8"/>
  <c r="D861" i="8"/>
  <c r="S861" i="8"/>
  <c r="U861" i="8" s="1"/>
  <c r="V861" i="8" s="1"/>
  <c r="W861" i="8" s="1"/>
  <c r="E860" i="8"/>
  <c r="D860" i="8"/>
  <c r="S860" i="8"/>
  <c r="U860" i="8" s="1"/>
  <c r="V860" i="8" s="1"/>
  <c r="W860" i="8" s="1"/>
  <c r="E859" i="8"/>
  <c r="D859" i="8"/>
  <c r="S859" i="8"/>
  <c r="U859" i="8" s="1"/>
  <c r="V859" i="8" s="1"/>
  <c r="W859" i="8" s="1"/>
  <c r="E862" i="8"/>
  <c r="D862" i="8"/>
  <c r="S862" i="8"/>
  <c r="U862" i="8" s="1"/>
  <c r="V862" i="8" s="1"/>
  <c r="W862" i="8" s="1"/>
  <c r="E989" i="8"/>
  <c r="D989" i="8"/>
  <c r="AB989" i="8" s="1"/>
  <c r="S989" i="8"/>
  <c r="U989" i="8" s="1"/>
  <c r="V989" i="8" s="1"/>
  <c r="W989" i="8" s="1"/>
  <c r="X989" i="8" s="1"/>
  <c r="E986" i="8"/>
  <c r="D986" i="8"/>
  <c r="AB986" i="8" s="1"/>
  <c r="S986" i="8"/>
  <c r="U986" i="8" s="1"/>
  <c r="V986" i="8" s="1"/>
  <c r="W986" i="8" s="1"/>
  <c r="E987" i="8"/>
  <c r="D987" i="8"/>
  <c r="AB987" i="8" s="1"/>
  <c r="S987" i="8"/>
  <c r="U987" i="8" s="1"/>
  <c r="V987" i="8" s="1"/>
  <c r="W987" i="8" s="1"/>
  <c r="E985" i="8"/>
  <c r="D985" i="8"/>
  <c r="AB985" i="8" s="1"/>
  <c r="S985" i="8"/>
  <c r="U985" i="8" s="1"/>
  <c r="V985" i="8" s="1"/>
  <c r="W985" i="8" s="1"/>
  <c r="E988" i="8"/>
  <c r="D988" i="8"/>
  <c r="AB988" i="8" s="1"/>
  <c r="S988" i="8"/>
  <c r="U988" i="8" s="1"/>
  <c r="V988" i="8" s="1"/>
  <c r="W988" i="8" s="1"/>
  <c r="E857" i="8"/>
  <c r="D857" i="8"/>
  <c r="AB857" i="8" s="1"/>
  <c r="S857" i="8"/>
  <c r="U857" i="8" s="1"/>
  <c r="V857" i="8" s="1"/>
  <c r="W857" i="8" s="1"/>
  <c r="E856" i="8"/>
  <c r="D856" i="8"/>
  <c r="AB856" i="8" s="1"/>
  <c r="S856" i="8"/>
  <c r="U856" i="8" s="1"/>
  <c r="V856" i="8" s="1"/>
  <c r="W856" i="8" s="1"/>
  <c r="E858" i="8"/>
  <c r="D858" i="8"/>
  <c r="AB858" i="8" s="1"/>
  <c r="S858" i="8"/>
  <c r="U858" i="8" s="1"/>
  <c r="V858" i="8" s="1"/>
  <c r="W858" i="8" s="1"/>
  <c r="E993" i="8"/>
  <c r="D993" i="8"/>
  <c r="AB993" i="8" s="1"/>
  <c r="S993" i="8"/>
  <c r="U993" i="8" s="1"/>
  <c r="V993" i="8" s="1"/>
  <c r="W993" i="8" s="1"/>
  <c r="E992" i="8"/>
  <c r="D992" i="8"/>
  <c r="AB992" i="8" s="1"/>
  <c r="S992" i="8"/>
  <c r="U992" i="8" s="1"/>
  <c r="V992" i="8" s="1"/>
  <c r="W992" i="8" s="1"/>
  <c r="E991" i="8"/>
  <c r="D991" i="8"/>
  <c r="AB991" i="8" s="1"/>
  <c r="S991" i="8"/>
  <c r="U991" i="8" s="1"/>
  <c r="V991" i="8" s="1"/>
  <c r="W991" i="8" s="1"/>
  <c r="E990" i="8"/>
  <c r="D990" i="8"/>
  <c r="AB990" i="8" s="1"/>
  <c r="S990" i="8"/>
  <c r="U990" i="8" s="1"/>
  <c r="V990" i="8" s="1"/>
  <c r="W990" i="8" s="1"/>
  <c r="E1004" i="8"/>
  <c r="D1004" i="8"/>
  <c r="AB1004" i="8" s="1"/>
  <c r="S1004" i="8"/>
  <c r="U1004" i="8" s="1"/>
  <c r="V1004" i="8" s="1"/>
  <c r="W1004" i="8" s="1"/>
  <c r="E1003" i="8"/>
  <c r="D1003" i="8"/>
  <c r="AB1003" i="8" s="1"/>
  <c r="S1003" i="8"/>
  <c r="U1003" i="8" s="1"/>
  <c r="V1003" i="8" s="1"/>
  <c r="W1003" i="8" s="1"/>
  <c r="E1002" i="8"/>
  <c r="D1002" i="8"/>
  <c r="AB1002" i="8" s="1"/>
  <c r="S1002" i="8"/>
  <c r="U1002" i="8" s="1"/>
  <c r="V1002" i="8" s="1"/>
  <c r="W1002" i="8" s="1"/>
  <c r="E1001" i="8"/>
  <c r="D1001" i="8"/>
  <c r="AB1001" i="8" s="1"/>
  <c r="S1001" i="8"/>
  <c r="U1001" i="8" s="1"/>
  <c r="V1001" i="8" s="1"/>
  <c r="W1001" i="8" s="1"/>
  <c r="E811" i="8"/>
  <c r="D811" i="8"/>
  <c r="AB811" i="8" s="1"/>
  <c r="S811" i="8"/>
  <c r="U811" i="8" s="1"/>
  <c r="V811" i="8" s="1"/>
  <c r="W811" i="8" s="1"/>
  <c r="E808" i="8"/>
  <c r="D808" i="8"/>
  <c r="AB808" i="8" s="1"/>
  <c r="S808" i="8"/>
  <c r="U808" i="8" s="1"/>
  <c r="V808" i="8" s="1"/>
  <c r="W808" i="8" s="1"/>
  <c r="E812" i="8"/>
  <c r="D812" i="8"/>
  <c r="AB812" i="8" s="1"/>
  <c r="S812" i="8"/>
  <c r="U812" i="8" s="1"/>
  <c r="V812" i="8" s="1"/>
  <c r="W812" i="8" s="1"/>
  <c r="E809" i="8"/>
  <c r="D809" i="8"/>
  <c r="AB809" i="8" s="1"/>
  <c r="S809" i="8"/>
  <c r="U809" i="8" s="1"/>
  <c r="V809" i="8" s="1"/>
  <c r="W809" i="8" s="1"/>
  <c r="E810" i="8"/>
  <c r="D810" i="8"/>
  <c r="AB810" i="8" s="1"/>
  <c r="S810" i="8"/>
  <c r="U810" i="8" s="1"/>
  <c r="V810" i="8" s="1"/>
  <c r="W810" i="8" s="1"/>
  <c r="E1038" i="8"/>
  <c r="D1038" i="8"/>
  <c r="AB1038" i="8" s="1"/>
  <c r="S1038" i="8"/>
  <c r="U1038" i="8" s="1"/>
  <c r="V1038" i="8" s="1"/>
  <c r="W1038" i="8" s="1"/>
  <c r="X1038" i="8" s="1"/>
  <c r="E1037" i="8"/>
  <c r="D1037" i="8"/>
  <c r="AB1037" i="8" s="1"/>
  <c r="S1037" i="8"/>
  <c r="U1037" i="8" s="1"/>
  <c r="V1037" i="8" s="1"/>
  <c r="W1037" i="8" s="1"/>
  <c r="E1036" i="8"/>
  <c r="D1036" i="8"/>
  <c r="AB1036" i="8" s="1"/>
  <c r="S1036" i="8"/>
  <c r="U1036" i="8" s="1"/>
  <c r="V1036" i="8" s="1"/>
  <c r="W1036" i="8" s="1"/>
  <c r="E1035" i="8"/>
  <c r="D1035" i="8"/>
  <c r="AB1035" i="8" s="1"/>
  <c r="S1035" i="8"/>
  <c r="U1035" i="8" s="1"/>
  <c r="V1035" i="8" s="1"/>
  <c r="W1035" i="8" s="1"/>
  <c r="E983" i="8"/>
  <c r="D983" i="8"/>
  <c r="S983" i="8"/>
  <c r="U983" i="8" s="1"/>
  <c r="V983" i="8" s="1"/>
  <c r="W983" i="8" s="1"/>
  <c r="E984" i="8"/>
  <c r="D984" i="8"/>
  <c r="S984" i="8"/>
  <c r="U984" i="8" s="1"/>
  <c r="V984" i="8" s="1"/>
  <c r="W984" i="8" s="1"/>
  <c r="E1014" i="8"/>
  <c r="D1014" i="8"/>
  <c r="AB1014" i="8" s="1"/>
  <c r="S1014" i="8"/>
  <c r="U1014" i="8" s="1"/>
  <c r="V1014" i="8" s="1"/>
  <c r="W1014" i="8" s="1"/>
  <c r="E1013" i="8"/>
  <c r="D1013" i="8"/>
  <c r="AB1013" i="8" s="1"/>
  <c r="S1013" i="8"/>
  <c r="U1013" i="8" s="1"/>
  <c r="V1013" i="8" s="1"/>
  <c r="W1013" i="8" s="1"/>
  <c r="E1012" i="8"/>
  <c r="D1012" i="8"/>
  <c r="AB1012" i="8" s="1"/>
  <c r="S1012" i="8"/>
  <c r="U1012" i="8" s="1"/>
  <c r="V1012" i="8" s="1"/>
  <c r="W1012" i="8" s="1"/>
  <c r="E1011" i="8"/>
  <c r="D1011" i="8"/>
  <c r="AB1011" i="8" s="1"/>
  <c r="S1011" i="8"/>
  <c r="U1011" i="8" s="1"/>
  <c r="V1011" i="8" s="1"/>
  <c r="W1011" i="8" s="1"/>
  <c r="E1032" i="8"/>
  <c r="D1032" i="8"/>
  <c r="AB1032" i="8" s="1"/>
  <c r="S1032" i="8"/>
  <c r="U1032" i="8" s="1"/>
  <c r="V1032" i="8" s="1"/>
  <c r="W1032" i="8" s="1"/>
  <c r="E1031" i="8"/>
  <c r="D1031" i="8"/>
  <c r="AB1031" i="8" s="1"/>
  <c r="S1031" i="8"/>
  <c r="U1031" i="8" s="1"/>
  <c r="V1031" i="8" s="1"/>
  <c r="W1031" i="8" s="1"/>
  <c r="E1033" i="8"/>
  <c r="D1033" i="8"/>
  <c r="AB1033" i="8" s="1"/>
  <c r="S1033" i="8"/>
  <c r="U1033" i="8" s="1"/>
  <c r="V1033" i="8" s="1"/>
  <c r="W1033" i="8" s="1"/>
  <c r="E1034" i="8"/>
  <c r="D1034" i="8"/>
  <c r="AB1034" i="8" s="1"/>
  <c r="S1034" i="8"/>
  <c r="U1034" i="8" s="1"/>
  <c r="V1034" i="8" s="1"/>
  <c r="W1034" i="8" s="1"/>
  <c r="E784" i="8"/>
  <c r="D784" i="8"/>
  <c r="AB784" i="8" s="1"/>
  <c r="S784" i="8"/>
  <c r="U784" i="8" s="1"/>
  <c r="V784" i="8" s="1"/>
  <c r="W784" i="8" s="1"/>
  <c r="E821" i="8"/>
  <c r="D821" i="8"/>
  <c r="AB821" i="8" s="1"/>
  <c r="S821" i="8"/>
  <c r="U821" i="8" s="1"/>
  <c r="V821" i="8" s="1"/>
  <c r="E822" i="8"/>
  <c r="D822" i="8"/>
  <c r="AB822" i="8" s="1"/>
  <c r="S822" i="8"/>
  <c r="U822" i="8" s="1"/>
  <c r="V822" i="8" s="1"/>
  <c r="E823" i="8"/>
  <c r="D823" i="8"/>
  <c r="AB823" i="8" s="1"/>
  <c r="S823" i="8"/>
  <c r="U823" i="8" s="1"/>
  <c r="V823" i="8" s="1"/>
  <c r="E834" i="8"/>
  <c r="D834" i="8"/>
  <c r="AB834" i="8" s="1"/>
  <c r="S834" i="8"/>
  <c r="U834" i="8" s="1"/>
  <c r="V834" i="8" s="1"/>
  <c r="W834" i="8" s="1"/>
  <c r="E831" i="8"/>
  <c r="D831" i="8"/>
  <c r="AB831" i="8" s="1"/>
  <c r="S831" i="8"/>
  <c r="U831" i="8" s="1"/>
  <c r="V831" i="8" s="1"/>
  <c r="W831" i="8" s="1"/>
  <c r="E832" i="8"/>
  <c r="D832" i="8"/>
  <c r="AB832" i="8" s="1"/>
  <c r="S832" i="8"/>
  <c r="U832" i="8" s="1"/>
  <c r="V832" i="8" s="1"/>
  <c r="W832" i="8" s="1"/>
  <c r="E833" i="8"/>
  <c r="D833" i="8"/>
  <c r="AB833" i="8" s="1"/>
  <c r="S833" i="8"/>
  <c r="U833" i="8" s="1"/>
  <c r="V833" i="8" s="1"/>
  <c r="W833" i="8" s="1"/>
  <c r="E837" i="8"/>
  <c r="D837" i="8"/>
  <c r="AB837" i="8" s="1"/>
  <c r="S837" i="8"/>
  <c r="U837" i="8" s="1"/>
  <c r="V837" i="8" s="1"/>
  <c r="W837" i="8" s="1"/>
  <c r="E836" i="8"/>
  <c r="D836" i="8"/>
  <c r="AB836" i="8" s="1"/>
  <c r="S836" i="8"/>
  <c r="U836" i="8" s="1"/>
  <c r="V836" i="8" s="1"/>
  <c r="W836" i="8" s="1"/>
  <c r="E835" i="8"/>
  <c r="D835" i="8"/>
  <c r="AB835" i="8" s="1"/>
  <c r="S835" i="8"/>
  <c r="U835" i="8" s="1"/>
  <c r="V835" i="8" s="1"/>
  <c r="W835" i="8" s="1"/>
  <c r="E838" i="8"/>
  <c r="D838" i="8"/>
  <c r="AB838" i="8" s="1"/>
  <c r="S838" i="8"/>
  <c r="U838" i="8" s="1"/>
  <c r="V838" i="8" s="1"/>
  <c r="W838" i="8" s="1"/>
  <c r="E1026" i="8"/>
  <c r="D1026" i="8"/>
  <c r="AB1026" i="8" s="1"/>
  <c r="S1026" i="8"/>
  <c r="U1026" i="8" s="1"/>
  <c r="V1026" i="8" s="1"/>
  <c r="W1026" i="8" s="1"/>
  <c r="E1027" i="8"/>
  <c r="D1027" i="8"/>
  <c r="AB1027" i="8" s="1"/>
  <c r="S1027" i="8"/>
  <c r="U1027" i="8" s="1"/>
  <c r="V1027" i="8" s="1"/>
  <c r="W1027" i="8" s="1"/>
  <c r="E1025" i="8"/>
  <c r="D1025" i="8"/>
  <c r="AB1025" i="8" s="1"/>
  <c r="S1025" i="8"/>
  <c r="U1025" i="8" s="1"/>
  <c r="V1025" i="8" s="1"/>
  <c r="W1025" i="8" s="1"/>
  <c r="E867" i="8"/>
  <c r="D867" i="8"/>
  <c r="AB867" i="8" s="1"/>
  <c r="S867" i="8"/>
  <c r="U867" i="8" s="1"/>
  <c r="V867" i="8" s="1"/>
  <c r="W867" i="8" s="1"/>
  <c r="E866" i="8"/>
  <c r="D866" i="8"/>
  <c r="AB866" i="8" s="1"/>
  <c r="S866" i="8"/>
  <c r="U866" i="8" s="1"/>
  <c r="V866" i="8" s="1"/>
  <c r="W866" i="8" s="1"/>
  <c r="E820" i="8"/>
  <c r="D820" i="8"/>
  <c r="AB820" i="8" s="1"/>
  <c r="S820" i="8"/>
  <c r="U820" i="8" s="1"/>
  <c r="V820" i="8" s="1"/>
  <c r="W820" i="8" s="1"/>
  <c r="E818" i="8"/>
  <c r="D818" i="8"/>
  <c r="AB818" i="8" s="1"/>
  <c r="S818" i="8"/>
  <c r="U818" i="8" s="1"/>
  <c r="V818" i="8" s="1"/>
  <c r="W818" i="8" s="1"/>
  <c r="E817" i="8"/>
  <c r="D817" i="8"/>
  <c r="AB817" i="8" s="1"/>
  <c r="S817" i="8"/>
  <c r="U817" i="8" s="1"/>
  <c r="V817" i="8" s="1"/>
  <c r="W817" i="8" s="1"/>
  <c r="E819" i="8"/>
  <c r="D819" i="8"/>
  <c r="AB819" i="8" s="1"/>
  <c r="S819" i="8"/>
  <c r="U819" i="8" s="1"/>
  <c r="V819" i="8" s="1"/>
  <c r="W819" i="8" s="1"/>
  <c r="E839" i="8"/>
  <c r="D839" i="8"/>
  <c r="AB839" i="8" s="1"/>
  <c r="S839" i="8"/>
  <c r="U839" i="8" s="1"/>
  <c r="V839" i="8" s="1"/>
  <c r="W839" i="8" s="1"/>
  <c r="E840" i="8"/>
  <c r="D840" i="8"/>
  <c r="AB840" i="8" s="1"/>
  <c r="S840" i="8"/>
  <c r="U840" i="8" s="1"/>
  <c r="V840" i="8" s="1"/>
  <c r="W840" i="8" s="1"/>
  <c r="E841" i="8"/>
  <c r="D841" i="8"/>
  <c r="AB841" i="8" s="1"/>
  <c r="S841" i="8"/>
  <c r="U841" i="8" s="1"/>
  <c r="V841" i="8" s="1"/>
  <c r="W841" i="8" s="1"/>
  <c r="E814" i="8"/>
  <c r="D814" i="8"/>
  <c r="AB814" i="8" s="1"/>
  <c r="S814" i="8"/>
  <c r="U814" i="8" s="1"/>
  <c r="V814" i="8" s="1"/>
  <c r="W814" i="8" s="1"/>
  <c r="E813" i="8"/>
  <c r="D813" i="8"/>
  <c r="AB813" i="8" s="1"/>
  <c r="S813" i="8"/>
  <c r="U813" i="8" s="1"/>
  <c r="V813" i="8" s="1"/>
  <c r="W813" i="8" s="1"/>
  <c r="E815" i="8"/>
  <c r="D815" i="8"/>
  <c r="AB815" i="8" s="1"/>
  <c r="S815" i="8"/>
  <c r="U815" i="8" s="1"/>
  <c r="V815" i="8" s="1"/>
  <c r="W815" i="8" s="1"/>
  <c r="E816" i="8"/>
  <c r="D816" i="8"/>
  <c r="AB816" i="8" s="1"/>
  <c r="S816" i="8"/>
  <c r="U816" i="8" s="1"/>
  <c r="V816" i="8" s="1"/>
  <c r="W816" i="8" s="1"/>
  <c r="E829" i="8"/>
  <c r="D829" i="8"/>
  <c r="AB829" i="8" s="1"/>
  <c r="S829" i="8"/>
  <c r="U829" i="8" s="1"/>
  <c r="V829" i="8" s="1"/>
  <c r="W829" i="8" s="1"/>
  <c r="E828" i="8"/>
  <c r="D828" i="8"/>
  <c r="AB828" i="8" s="1"/>
  <c r="S828" i="8"/>
  <c r="U828" i="8" s="1"/>
  <c r="V828" i="8" s="1"/>
  <c r="W828" i="8" s="1"/>
  <c r="E830" i="8"/>
  <c r="D830" i="8"/>
  <c r="AB830" i="8" s="1"/>
  <c r="S830" i="8"/>
  <c r="U830" i="8" s="1"/>
  <c r="V830" i="8" s="1"/>
  <c r="W830" i="8" s="1"/>
  <c r="E827" i="8"/>
  <c r="D827" i="8"/>
  <c r="AB827" i="8" s="1"/>
  <c r="S827" i="8"/>
  <c r="U827" i="8" s="1"/>
  <c r="V827" i="8" s="1"/>
  <c r="W827" i="8" s="1"/>
  <c r="E824" i="8"/>
  <c r="D824" i="8"/>
  <c r="AB824" i="8" s="1"/>
  <c r="S824" i="8"/>
  <c r="U824" i="8" s="1"/>
  <c r="V824" i="8" s="1"/>
  <c r="W824" i="8" s="1"/>
  <c r="E825" i="8"/>
  <c r="D825" i="8"/>
  <c r="AB825" i="8" s="1"/>
  <c r="S825" i="8"/>
  <c r="U825" i="8" s="1"/>
  <c r="V825" i="8" s="1"/>
  <c r="W825" i="8" s="1"/>
  <c r="E826" i="8"/>
  <c r="D826" i="8"/>
  <c r="AB826" i="8" s="1"/>
  <c r="S826" i="8"/>
  <c r="U826" i="8" s="1"/>
  <c r="V826" i="8" s="1"/>
  <c r="W826" i="8" s="1"/>
  <c r="E1030" i="8"/>
  <c r="D1030" i="8"/>
  <c r="AB1030" i="8" s="1"/>
  <c r="S1030" i="8"/>
  <c r="U1030" i="8" s="1"/>
  <c r="V1030" i="8" s="1"/>
  <c r="E1029" i="8"/>
  <c r="D1029" i="8"/>
  <c r="AB1029" i="8" s="1"/>
  <c r="S1029" i="8"/>
  <c r="U1029" i="8" s="1"/>
  <c r="V1029" i="8" s="1"/>
  <c r="E1028" i="8"/>
  <c r="D1028" i="8"/>
  <c r="AB1028" i="8" s="1"/>
  <c r="S1028" i="8"/>
  <c r="U1028" i="8" s="1"/>
  <c r="V1028" i="8" s="1"/>
  <c r="W1028" i="8" s="1"/>
  <c r="AG851" i="8"/>
  <c r="AH851" i="8" s="1"/>
  <c r="AB851" i="8"/>
  <c r="AD851" i="8" s="1"/>
  <c r="AB687" i="8"/>
  <c r="AD687" i="8" s="1"/>
  <c r="AG687" i="8"/>
  <c r="AH687" i="8" s="1"/>
  <c r="AG547" i="8"/>
  <c r="AH547" i="8" s="1"/>
  <c r="AB547" i="8"/>
  <c r="AD547" i="8" s="1"/>
  <c r="AB393" i="8"/>
  <c r="AB392" i="8"/>
  <c r="D1913" i="8"/>
  <c r="E1913" i="8"/>
  <c r="S1913" i="8"/>
  <c r="U1913" i="8" s="1"/>
  <c r="V1913" i="8" s="1"/>
  <c r="D1914" i="8"/>
  <c r="S1914" i="8"/>
  <c r="U1914" i="8" s="1"/>
  <c r="V1914" i="8" s="1"/>
  <c r="W1914" i="8" s="1"/>
  <c r="E1914" i="8"/>
  <c r="D1915" i="8"/>
  <c r="E1915" i="8"/>
  <c r="S1915" i="8"/>
  <c r="U1915" i="8" s="1"/>
  <c r="V1915" i="8" s="1"/>
  <c r="D1916" i="8"/>
  <c r="E1916" i="8"/>
  <c r="S1916" i="8"/>
  <c r="U1916" i="8" s="1"/>
  <c r="V1916" i="8" s="1"/>
  <c r="D1912" i="8"/>
  <c r="E1912" i="8"/>
  <c r="S1912" i="8"/>
  <c r="U1912" i="8" s="1"/>
  <c r="V1912" i="8" s="1"/>
  <c r="W1912" i="8" s="1"/>
  <c r="D1918" i="8"/>
  <c r="S1918" i="8"/>
  <c r="U1918" i="8" s="1"/>
  <c r="V1918" i="8" s="1"/>
  <c r="E1918" i="8"/>
  <c r="D1921" i="8"/>
  <c r="S1921" i="8"/>
  <c r="U1921" i="8" s="1"/>
  <c r="V1921" i="8" s="1"/>
  <c r="E1921" i="8"/>
  <c r="D1920" i="8"/>
  <c r="E1920" i="8"/>
  <c r="S1920" i="8"/>
  <c r="U1920" i="8" s="1"/>
  <c r="V1920" i="8" s="1"/>
  <c r="D1919" i="8"/>
  <c r="S1919" i="8"/>
  <c r="U1919" i="8" s="1"/>
  <c r="V1919" i="8" s="1"/>
  <c r="W1919" i="8" s="1"/>
  <c r="X1919" i="8" s="1"/>
  <c r="E1919" i="8"/>
  <c r="D1917" i="8"/>
  <c r="S1917" i="8"/>
  <c r="U1917" i="8" s="1"/>
  <c r="V1917" i="8" s="1"/>
  <c r="W1917" i="8" s="1"/>
  <c r="X1917" i="8" s="1"/>
  <c r="E1917" i="8"/>
  <c r="D1893" i="8"/>
  <c r="E1893" i="8"/>
  <c r="D1894" i="8"/>
  <c r="E1894" i="8"/>
  <c r="S1894" i="8"/>
  <c r="U1894" i="8" s="1"/>
  <c r="V1894" i="8" s="1"/>
  <c r="W1894" i="8" s="1"/>
  <c r="D1895" i="8"/>
  <c r="S1895" i="8"/>
  <c r="U1895" i="8" s="1"/>
  <c r="V1895" i="8" s="1"/>
  <c r="E1895" i="8"/>
  <c r="D1896" i="8"/>
  <c r="AB1896" i="8" s="1"/>
  <c r="E1896" i="8"/>
  <c r="S1896" i="8"/>
  <c r="U1896" i="8" s="1"/>
  <c r="V1896" i="8" s="1"/>
  <c r="W1896" i="8" s="1"/>
  <c r="D1897" i="8"/>
  <c r="AB1897" i="8" s="1"/>
  <c r="S1897" i="8"/>
  <c r="U1897" i="8" s="1"/>
  <c r="V1897" i="8" s="1"/>
  <c r="E1897" i="8"/>
  <c r="D1899" i="8"/>
  <c r="AB1899" i="8" s="1"/>
  <c r="S1899" i="8"/>
  <c r="U1899" i="8" s="1"/>
  <c r="V1899" i="8" s="1"/>
  <c r="E1899" i="8"/>
  <c r="D1898" i="8"/>
  <c r="AB1898" i="8" s="1"/>
  <c r="E1898" i="8"/>
  <c r="S1898" i="8"/>
  <c r="U1898" i="8" s="1"/>
  <c r="V1898" i="8" s="1"/>
  <c r="W1898" i="8" s="1"/>
  <c r="D1900" i="8"/>
  <c r="AB1900" i="8" s="1"/>
  <c r="S1900" i="8"/>
  <c r="U1900" i="8" s="1"/>
  <c r="V1900" i="8" s="1"/>
  <c r="W1900" i="8" s="1"/>
  <c r="E1900" i="8"/>
  <c r="D1901" i="8"/>
  <c r="AB1901" i="8" s="1"/>
  <c r="S1901" i="8"/>
  <c r="U1901" i="8" s="1"/>
  <c r="V1901" i="8" s="1"/>
  <c r="E1901" i="8"/>
  <c r="D1902" i="8"/>
  <c r="AB1902" i="8" s="1"/>
  <c r="S1902" i="8"/>
  <c r="U1902" i="8" s="1"/>
  <c r="V1902" i="8" s="1"/>
  <c r="E1902" i="8"/>
  <c r="D1926" i="8"/>
  <c r="AB1926" i="8" s="1"/>
  <c r="S1926" i="8"/>
  <c r="U1926" i="8" s="1"/>
  <c r="V1926" i="8" s="1"/>
  <c r="E1926" i="8"/>
  <c r="D1924" i="8"/>
  <c r="AB1924" i="8" s="1"/>
  <c r="S1924" i="8"/>
  <c r="U1924" i="8" s="1"/>
  <c r="V1924" i="8" s="1"/>
  <c r="E1924" i="8"/>
  <c r="D1923" i="8"/>
  <c r="AB1923" i="8" s="1"/>
  <c r="S1923" i="8"/>
  <c r="U1923" i="8" s="1"/>
  <c r="V1923" i="8" s="1"/>
  <c r="E1923" i="8"/>
  <c r="D1922" i="8"/>
  <c r="AB1922" i="8" s="1"/>
  <c r="E1922" i="8"/>
  <c r="S1922" i="8"/>
  <c r="U1922" i="8" s="1"/>
  <c r="V1922" i="8" s="1"/>
  <c r="W1922" i="8" s="1"/>
  <c r="D1925" i="8"/>
  <c r="AB1925" i="8" s="1"/>
  <c r="E1925" i="8"/>
  <c r="S1925" i="8"/>
  <c r="U1925" i="8" s="1"/>
  <c r="V1925" i="8" s="1"/>
  <c r="C70" i="13"/>
  <c r="D70" i="13"/>
  <c r="B70" i="13"/>
  <c r="D77" i="13"/>
  <c r="B77" i="13"/>
  <c r="C77" i="13"/>
  <c r="D82" i="13"/>
  <c r="C82" i="13"/>
  <c r="B82" i="13"/>
  <c r="D83" i="13"/>
  <c r="B83" i="13"/>
  <c r="C83" i="13"/>
  <c r="B84" i="13"/>
  <c r="D84" i="13"/>
  <c r="C84" i="13"/>
  <c r="D89" i="13"/>
  <c r="C89" i="13"/>
  <c r="B89" i="13"/>
  <c r="C96" i="13"/>
  <c r="B96" i="13"/>
  <c r="D96" i="13"/>
  <c r="D97" i="13"/>
  <c r="B97" i="13"/>
  <c r="C97" i="13"/>
  <c r="B99" i="13"/>
  <c r="D99" i="13"/>
  <c r="C99" i="13"/>
  <c r="D102" i="13"/>
  <c r="C102" i="13"/>
  <c r="B102" i="13"/>
  <c r="C110" i="13"/>
  <c r="B110" i="13"/>
  <c r="D110" i="13"/>
  <c r="B113" i="13"/>
  <c r="D113" i="13"/>
  <c r="C113" i="13"/>
  <c r="D116" i="13"/>
  <c r="B116" i="13"/>
  <c r="C116" i="13"/>
  <c r="B117" i="13"/>
  <c r="C117" i="13"/>
  <c r="D117" i="13"/>
  <c r="B121" i="13"/>
  <c r="D121" i="13"/>
  <c r="C121" i="13"/>
  <c r="B125" i="13"/>
  <c r="D125" i="13"/>
  <c r="C125" i="13"/>
  <c r="B131" i="13"/>
  <c r="D131" i="13"/>
  <c r="C131" i="13"/>
  <c r="D139" i="13"/>
  <c r="B139" i="13"/>
  <c r="C139" i="13"/>
  <c r="D143" i="13"/>
  <c r="B143" i="13"/>
  <c r="C143" i="13"/>
  <c r="C144" i="13"/>
  <c r="B144" i="13"/>
  <c r="D144" i="13"/>
  <c r="B149" i="13"/>
  <c r="C149" i="13"/>
  <c r="D149" i="13"/>
  <c r="B153" i="13"/>
  <c r="D153" i="13"/>
  <c r="C153" i="13"/>
  <c r="D161" i="13"/>
  <c r="B161" i="13"/>
  <c r="C161" i="13"/>
  <c r="B165" i="13"/>
  <c r="C165" i="13"/>
  <c r="D165" i="13"/>
  <c r="D169" i="13"/>
  <c r="B169" i="13"/>
  <c r="C169" i="13"/>
  <c r="D177" i="13"/>
  <c r="C177" i="13"/>
  <c r="B177" i="13"/>
  <c r="C184" i="13"/>
  <c r="D184" i="13"/>
  <c r="B184" i="13"/>
  <c r="B186" i="13"/>
  <c r="D186" i="13"/>
  <c r="C186" i="13"/>
  <c r="C193" i="13"/>
  <c r="B193" i="13"/>
  <c r="D193" i="13"/>
  <c r="D195" i="13"/>
  <c r="C195" i="13"/>
  <c r="B195" i="13"/>
  <c r="C200" i="13"/>
  <c r="D200" i="13"/>
  <c r="B200" i="13"/>
  <c r="D201" i="13"/>
  <c r="C201" i="13"/>
  <c r="B201" i="13"/>
  <c r="B202" i="13"/>
  <c r="D202" i="13"/>
  <c r="C202" i="13"/>
  <c r="C204" i="13"/>
  <c r="D204" i="13"/>
  <c r="B204" i="13"/>
  <c r="B205" i="13"/>
  <c r="C205" i="13"/>
  <c r="D205" i="13"/>
  <c r="D210" i="13"/>
  <c r="C210" i="13"/>
  <c r="B210" i="13"/>
  <c r="C212" i="13"/>
  <c r="B212" i="13"/>
  <c r="D212" i="13"/>
  <c r="C216" i="13"/>
  <c r="B216" i="13"/>
  <c r="D216" i="13"/>
  <c r="C219" i="13"/>
  <c r="D219" i="13"/>
  <c r="B219" i="13"/>
  <c r="D220" i="13"/>
  <c r="C220" i="13"/>
  <c r="B220" i="13"/>
  <c r="C230" i="13"/>
  <c r="B230" i="13"/>
  <c r="D230" i="13"/>
  <c r="D231" i="13"/>
  <c r="C231" i="13"/>
  <c r="B231" i="13"/>
  <c r="D235" i="13"/>
  <c r="B235" i="13"/>
  <c r="C235" i="13"/>
  <c r="C239" i="13"/>
  <c r="D239" i="13"/>
  <c r="B239" i="13"/>
  <c r="D240" i="13"/>
  <c r="B240" i="13"/>
  <c r="C240" i="13"/>
  <c r="E577" i="8"/>
  <c r="D577" i="8"/>
  <c r="AB577" i="8" s="1"/>
  <c r="S577" i="8"/>
  <c r="U577" i="8" s="1"/>
  <c r="V577" i="8" s="1"/>
  <c r="W577" i="8" s="1"/>
  <c r="E580" i="8"/>
  <c r="D580" i="8"/>
  <c r="AB580" i="8" s="1"/>
  <c r="S580" i="8"/>
  <c r="U580" i="8" s="1"/>
  <c r="V580" i="8" s="1"/>
  <c r="W580" i="8" s="1"/>
  <c r="E579" i="8"/>
  <c r="D579" i="8"/>
  <c r="AB579" i="8" s="1"/>
  <c r="S579" i="8"/>
  <c r="U579" i="8" s="1"/>
  <c r="V579" i="8" s="1"/>
  <c r="W579" i="8" s="1"/>
  <c r="E578" i="8"/>
  <c r="D578" i="8"/>
  <c r="AB578" i="8" s="1"/>
  <c r="S578" i="8"/>
  <c r="U578" i="8" s="1"/>
  <c r="V578" i="8" s="1"/>
  <c r="W578" i="8" s="1"/>
  <c r="E576" i="8"/>
  <c r="D576" i="8"/>
  <c r="AB576" i="8" s="1"/>
  <c r="S576" i="8"/>
  <c r="U576" i="8" s="1"/>
  <c r="V576" i="8" s="1"/>
  <c r="W576" i="8" s="1"/>
  <c r="E575" i="8"/>
  <c r="D575" i="8"/>
  <c r="AB575" i="8" s="1"/>
  <c r="S575" i="8"/>
  <c r="U575" i="8" s="1"/>
  <c r="V575" i="8" s="1"/>
  <c r="W575" i="8" s="1"/>
  <c r="E694" i="8"/>
  <c r="D694" i="8"/>
  <c r="AB694" i="8" s="1"/>
  <c r="S694" i="8"/>
  <c r="U694" i="8" s="1"/>
  <c r="V694" i="8" s="1"/>
  <c r="W694" i="8" s="1"/>
  <c r="E693" i="8"/>
  <c r="D693" i="8"/>
  <c r="AB693" i="8" s="1"/>
  <c r="S693" i="8"/>
  <c r="U693" i="8" s="1"/>
  <c r="V693" i="8" s="1"/>
  <c r="W693" i="8" s="1"/>
  <c r="E697" i="8"/>
  <c r="D697" i="8"/>
  <c r="AB697" i="8" s="1"/>
  <c r="S697" i="8"/>
  <c r="U697" i="8" s="1"/>
  <c r="V697" i="8" s="1"/>
  <c r="W697" i="8" s="1"/>
  <c r="E696" i="8"/>
  <c r="D696" i="8"/>
  <c r="AB696" i="8" s="1"/>
  <c r="S696" i="8"/>
  <c r="U696" i="8" s="1"/>
  <c r="V696" i="8" s="1"/>
  <c r="W696" i="8" s="1"/>
  <c r="D695" i="8"/>
  <c r="AB695" i="8" s="1"/>
  <c r="E695" i="8"/>
  <c r="S695" i="8"/>
  <c r="U695" i="8" s="1"/>
  <c r="V695" i="8" s="1"/>
  <c r="W695" i="8" s="1"/>
  <c r="E431" i="8"/>
  <c r="D431" i="8"/>
  <c r="AB431" i="8" s="1"/>
  <c r="S431" i="8"/>
  <c r="U431" i="8" s="1"/>
  <c r="V431" i="8" s="1"/>
  <c r="W431" i="8" s="1"/>
  <c r="X431" i="8" s="1"/>
  <c r="E430" i="8"/>
  <c r="D430" i="8"/>
  <c r="AB430" i="8" s="1"/>
  <c r="S430" i="8"/>
  <c r="U430" i="8" s="1"/>
  <c r="V430" i="8" s="1"/>
  <c r="W430" i="8" s="1"/>
  <c r="E429" i="8"/>
  <c r="D429" i="8"/>
  <c r="AB429" i="8" s="1"/>
  <c r="S429" i="8"/>
  <c r="U429" i="8" s="1"/>
  <c r="V429" i="8" s="1"/>
  <c r="W429" i="8" s="1"/>
  <c r="E428" i="8"/>
  <c r="D428" i="8"/>
  <c r="AB428" i="8" s="1"/>
  <c r="S428" i="8"/>
  <c r="U428" i="8" s="1"/>
  <c r="V428" i="8" s="1"/>
  <c r="W428" i="8" s="1"/>
  <c r="D427" i="8"/>
  <c r="AB427" i="8" s="1"/>
  <c r="E427" i="8"/>
  <c r="S427" i="8"/>
  <c r="U427" i="8" s="1"/>
  <c r="V427" i="8" s="1"/>
  <c r="W427" i="8" s="1"/>
  <c r="D607" i="8"/>
  <c r="AB607" i="8" s="1"/>
  <c r="E607" i="8"/>
  <c r="S607" i="8"/>
  <c r="U607" i="8" s="1"/>
  <c r="V607" i="8" s="1"/>
  <c r="W607" i="8" s="1"/>
  <c r="E608" i="8"/>
  <c r="D608" i="8"/>
  <c r="S608" i="8"/>
  <c r="U608" i="8" s="1"/>
  <c r="V608" i="8" s="1"/>
  <c r="W608" i="8" s="1"/>
  <c r="E411" i="8"/>
  <c r="D411" i="8"/>
  <c r="S411" i="8"/>
  <c r="U411" i="8" s="1"/>
  <c r="V411" i="8" s="1"/>
  <c r="E410" i="8"/>
  <c r="D410" i="8"/>
  <c r="S410" i="8"/>
  <c r="U410" i="8" s="1"/>
  <c r="V410" i="8" s="1"/>
  <c r="E409" i="8"/>
  <c r="D409" i="8"/>
  <c r="S409" i="8"/>
  <c r="U409" i="8" s="1"/>
  <c r="V409" i="8" s="1"/>
  <c r="W409" i="8" s="1"/>
  <c r="X409" i="8" s="1"/>
  <c r="E704" i="8"/>
  <c r="D704" i="8"/>
  <c r="S704" i="8"/>
  <c r="U704" i="8" s="1"/>
  <c r="V704" i="8" s="1"/>
  <c r="W704" i="8" s="1"/>
  <c r="E598" i="8"/>
  <c r="D598" i="8"/>
  <c r="S598" i="8"/>
  <c r="U598" i="8" s="1"/>
  <c r="V598" i="8" s="1"/>
  <c r="W598" i="8" s="1"/>
  <c r="D595" i="8"/>
  <c r="E595" i="8"/>
  <c r="S595" i="8"/>
  <c r="U595" i="8" s="1"/>
  <c r="V595" i="8" s="1"/>
  <c r="W595" i="8" s="1"/>
  <c r="E594" i="8"/>
  <c r="D594" i="8"/>
  <c r="S594" i="8"/>
  <c r="U594" i="8" s="1"/>
  <c r="V594" i="8" s="1"/>
  <c r="W594" i="8" s="1"/>
  <c r="D597" i="8"/>
  <c r="E597" i="8"/>
  <c r="S597" i="8"/>
  <c r="U597" i="8" s="1"/>
  <c r="V597" i="8" s="1"/>
  <c r="W597" i="8" s="1"/>
  <c r="E596" i="8"/>
  <c r="D596" i="8"/>
  <c r="S596" i="8"/>
  <c r="U596" i="8" s="1"/>
  <c r="V596" i="8" s="1"/>
  <c r="W596" i="8" s="1"/>
  <c r="E609" i="8"/>
  <c r="D609" i="8"/>
  <c r="AB609" i="8" s="1"/>
  <c r="S609" i="8"/>
  <c r="U609" i="8" s="1"/>
  <c r="V609" i="8" s="1"/>
  <c r="W609" i="8" s="1"/>
  <c r="E610" i="8"/>
  <c r="D610" i="8"/>
  <c r="AB610" i="8" s="1"/>
  <c r="S610" i="8"/>
  <c r="U610" i="8" s="1"/>
  <c r="V610" i="8" s="1"/>
  <c r="W610" i="8" s="1"/>
  <c r="E586" i="8"/>
  <c r="D586" i="8"/>
  <c r="S586" i="8"/>
  <c r="U586" i="8" s="1"/>
  <c r="V586" i="8" s="1"/>
  <c r="W586" i="8" s="1"/>
  <c r="E585" i="8"/>
  <c r="D585" i="8"/>
  <c r="S585" i="8"/>
  <c r="U585" i="8" s="1"/>
  <c r="V585" i="8" s="1"/>
  <c r="W585" i="8" s="1"/>
  <c r="D584" i="8"/>
  <c r="E584" i="8"/>
  <c r="S584" i="8"/>
  <c r="U584" i="8" s="1"/>
  <c r="V584" i="8" s="1"/>
  <c r="W584" i="8" s="1"/>
  <c r="E588" i="8"/>
  <c r="D588" i="8"/>
  <c r="S588" i="8"/>
  <c r="U588" i="8" s="1"/>
  <c r="V588" i="8" s="1"/>
  <c r="W588" i="8" s="1"/>
  <c r="D587" i="8"/>
  <c r="E587" i="8"/>
  <c r="S587" i="8"/>
  <c r="U587" i="8" s="1"/>
  <c r="V587" i="8" s="1"/>
  <c r="W587" i="8" s="1"/>
  <c r="E581" i="8"/>
  <c r="D581" i="8"/>
  <c r="S581" i="8"/>
  <c r="U581" i="8" s="1"/>
  <c r="V581" i="8" s="1"/>
  <c r="W581" i="8" s="1"/>
  <c r="D582" i="8"/>
  <c r="E582" i="8"/>
  <c r="S582" i="8"/>
  <c r="U582" i="8" s="1"/>
  <c r="V582" i="8" s="1"/>
  <c r="W582" i="8" s="1"/>
  <c r="E583" i="8"/>
  <c r="D583" i="8"/>
  <c r="S583" i="8"/>
  <c r="U583" i="8" s="1"/>
  <c r="V583" i="8" s="1"/>
  <c r="W583" i="8" s="1"/>
  <c r="E611" i="8"/>
  <c r="D611" i="8"/>
  <c r="AB611" i="8" s="1"/>
  <c r="S611" i="8"/>
  <c r="U611" i="8" s="1"/>
  <c r="V611" i="8" s="1"/>
  <c r="W611" i="8" s="1"/>
  <c r="E612" i="8"/>
  <c r="D612" i="8"/>
  <c r="AB612" i="8" s="1"/>
  <c r="S612" i="8"/>
  <c r="U612" i="8" s="1"/>
  <c r="V612" i="8" s="1"/>
  <c r="W612" i="8" s="1"/>
  <c r="D669" i="8"/>
  <c r="E669" i="8"/>
  <c r="S669" i="8"/>
  <c r="U669" i="8" s="1"/>
  <c r="V669" i="8" s="1"/>
  <c r="W669" i="8" s="1"/>
  <c r="E668" i="8"/>
  <c r="D668" i="8"/>
  <c r="S668" i="8"/>
  <c r="U668" i="8" s="1"/>
  <c r="V668" i="8" s="1"/>
  <c r="E667" i="8"/>
  <c r="D667" i="8"/>
  <c r="S667" i="8"/>
  <c r="U667" i="8" s="1"/>
  <c r="V667" i="8" s="1"/>
  <c r="E666" i="8"/>
  <c r="D666" i="8"/>
  <c r="S666" i="8"/>
  <c r="U666" i="8" s="1"/>
  <c r="V666" i="8" s="1"/>
  <c r="E664" i="8"/>
  <c r="D664" i="8"/>
  <c r="S664" i="8"/>
  <c r="U664" i="8" s="1"/>
  <c r="V664" i="8" s="1"/>
  <c r="W664" i="8" s="1"/>
  <c r="E663" i="8"/>
  <c r="D663" i="8"/>
  <c r="S663" i="8"/>
  <c r="U663" i="8" s="1"/>
  <c r="V663" i="8" s="1"/>
  <c r="W663" i="8" s="1"/>
  <c r="E665" i="8"/>
  <c r="D665" i="8"/>
  <c r="S665" i="8"/>
  <c r="U665" i="8" s="1"/>
  <c r="V665" i="8" s="1"/>
  <c r="E616" i="8"/>
  <c r="D616" i="8"/>
  <c r="AB616" i="8" s="1"/>
  <c r="S616" i="8"/>
  <c r="U616" i="8" s="1"/>
  <c r="V616" i="8" s="1"/>
  <c r="W616" i="8" s="1"/>
  <c r="E413" i="8"/>
  <c r="D413" i="8"/>
  <c r="S413" i="8"/>
  <c r="U413" i="8" s="1"/>
  <c r="V413" i="8" s="1"/>
  <c r="E412" i="8"/>
  <c r="D412" i="8"/>
  <c r="S412" i="8"/>
  <c r="U412" i="8" s="1"/>
  <c r="V412" i="8" s="1"/>
  <c r="W412" i="8" s="1"/>
  <c r="D618" i="8"/>
  <c r="E618" i="8"/>
  <c r="S618" i="8"/>
  <c r="U618" i="8" s="1"/>
  <c r="V618" i="8" s="1"/>
  <c r="W618" i="8" s="1"/>
  <c r="E705" i="8"/>
  <c r="D705" i="8"/>
  <c r="S705" i="8"/>
  <c r="U705" i="8" s="1"/>
  <c r="V705" i="8" s="1"/>
  <c r="W705" i="8" s="1"/>
  <c r="E708" i="8"/>
  <c r="D708" i="8"/>
  <c r="S708" i="8"/>
  <c r="U708" i="8" s="1"/>
  <c r="V708" i="8" s="1"/>
  <c r="W708" i="8" s="1"/>
  <c r="E707" i="8"/>
  <c r="D707" i="8"/>
  <c r="S707" i="8"/>
  <c r="U707" i="8" s="1"/>
  <c r="V707" i="8" s="1"/>
  <c r="W707" i="8" s="1"/>
  <c r="D706" i="8"/>
  <c r="E706" i="8"/>
  <c r="S706" i="8"/>
  <c r="U706" i="8" s="1"/>
  <c r="V706" i="8" s="1"/>
  <c r="W706" i="8" s="1"/>
  <c r="E605" i="8"/>
  <c r="D605" i="8"/>
  <c r="S605" i="8"/>
  <c r="U605" i="8" s="1"/>
  <c r="V605" i="8" s="1"/>
  <c r="W605" i="8" s="1"/>
  <c r="D606" i="8"/>
  <c r="E606" i="8"/>
  <c r="S606" i="8"/>
  <c r="U606" i="8" s="1"/>
  <c r="V606" i="8" s="1"/>
  <c r="W606" i="8" s="1"/>
  <c r="D619" i="8"/>
  <c r="E619" i="8"/>
  <c r="S619" i="8"/>
  <c r="U619" i="8" s="1"/>
  <c r="V619" i="8" s="1"/>
  <c r="W619" i="8" s="1"/>
  <c r="D710" i="8"/>
  <c r="E710" i="8"/>
  <c r="S710" i="8"/>
  <c r="U710" i="8" s="1"/>
  <c r="V710" i="8" s="1"/>
  <c r="W710" i="8" s="1"/>
  <c r="E709" i="8"/>
  <c r="D709" i="8"/>
  <c r="S709" i="8"/>
  <c r="U709" i="8" s="1"/>
  <c r="V709" i="8" s="1"/>
  <c r="W709" i="8" s="1"/>
  <c r="E589" i="8"/>
  <c r="D589" i="8"/>
  <c r="S589" i="8"/>
  <c r="U589" i="8" s="1"/>
  <c r="V589" i="8" s="1"/>
  <c r="W589" i="8" s="1"/>
  <c r="D590" i="8"/>
  <c r="E590" i="8"/>
  <c r="S590" i="8"/>
  <c r="U590" i="8" s="1"/>
  <c r="V590" i="8" s="1"/>
  <c r="W590" i="8" s="1"/>
  <c r="E591" i="8"/>
  <c r="D591" i="8"/>
  <c r="S591" i="8"/>
  <c r="U591" i="8" s="1"/>
  <c r="V591" i="8" s="1"/>
  <c r="W591" i="8" s="1"/>
  <c r="E592" i="8"/>
  <c r="D592" i="8"/>
  <c r="S592" i="8"/>
  <c r="U592" i="8" s="1"/>
  <c r="V592" i="8" s="1"/>
  <c r="W592" i="8" s="1"/>
  <c r="X592" i="8" s="1"/>
  <c r="D593" i="8"/>
  <c r="E593" i="8"/>
  <c r="S593" i="8"/>
  <c r="U593" i="8" s="1"/>
  <c r="V593" i="8" s="1"/>
  <c r="W593" i="8" s="1"/>
  <c r="D620" i="8"/>
  <c r="AB620" i="8" s="1"/>
  <c r="E620" i="8"/>
  <c r="S620" i="8"/>
  <c r="U620" i="8" s="1"/>
  <c r="V620" i="8" s="1"/>
  <c r="W620" i="8" s="1"/>
  <c r="E621" i="8"/>
  <c r="D621" i="8"/>
  <c r="AB621" i="8" s="1"/>
  <c r="S621" i="8"/>
  <c r="U621" i="8" s="1"/>
  <c r="V621" i="8" s="1"/>
  <c r="W621" i="8" s="1"/>
  <c r="E622" i="8"/>
  <c r="D622" i="8"/>
  <c r="AB622" i="8" s="1"/>
  <c r="S622" i="8"/>
  <c r="U622" i="8" s="1"/>
  <c r="V622" i="8" s="1"/>
  <c r="W622" i="8" s="1"/>
  <c r="D623" i="8"/>
  <c r="AB623" i="8" s="1"/>
  <c r="E623" i="8"/>
  <c r="S623" i="8"/>
  <c r="U623" i="8" s="1"/>
  <c r="V623" i="8" s="1"/>
  <c r="W623" i="8" s="1"/>
  <c r="E600" i="8"/>
  <c r="D600" i="8"/>
  <c r="AB600" i="8" s="1"/>
  <c r="S600" i="8"/>
  <c r="U600" i="8" s="1"/>
  <c r="V600" i="8" s="1"/>
  <c r="W600" i="8" s="1"/>
  <c r="E601" i="8"/>
  <c r="D601" i="8"/>
  <c r="AB601" i="8" s="1"/>
  <c r="S601" i="8"/>
  <c r="U601" i="8" s="1"/>
  <c r="V601" i="8" s="1"/>
  <c r="W601" i="8" s="1"/>
  <c r="D602" i="8"/>
  <c r="AB602" i="8" s="1"/>
  <c r="E602" i="8"/>
  <c r="S602" i="8"/>
  <c r="U602" i="8" s="1"/>
  <c r="V602" i="8" s="1"/>
  <c r="W602" i="8" s="1"/>
  <c r="E603" i="8"/>
  <c r="D603" i="8"/>
  <c r="AB603" i="8" s="1"/>
  <c r="S603" i="8"/>
  <c r="U603" i="8" s="1"/>
  <c r="V603" i="8" s="1"/>
  <c r="W603" i="8" s="1"/>
  <c r="D604" i="8"/>
  <c r="AB604" i="8" s="1"/>
  <c r="E604" i="8"/>
  <c r="S604" i="8"/>
  <c r="U604" i="8" s="1"/>
  <c r="V604" i="8" s="1"/>
  <c r="W604" i="8" s="1"/>
  <c r="D599" i="8"/>
  <c r="AB599" i="8" s="1"/>
  <c r="E599" i="8"/>
  <c r="S599" i="8"/>
  <c r="U599" i="8" s="1"/>
  <c r="V599" i="8" s="1"/>
  <c r="W599" i="8" s="1"/>
  <c r="E528" i="8"/>
  <c r="D528" i="8"/>
  <c r="S528" i="8"/>
  <c r="U528" i="8" s="1"/>
  <c r="V528" i="8" s="1"/>
  <c r="W528" i="8" s="1"/>
  <c r="X528" i="8" s="1"/>
  <c r="D529" i="8"/>
  <c r="E529" i="8"/>
  <c r="S529" i="8"/>
  <c r="U529" i="8" s="1"/>
  <c r="V529" i="8" s="1"/>
  <c r="W529" i="8" s="1"/>
  <c r="X529" i="8" s="1"/>
  <c r="E527" i="8"/>
  <c r="D527" i="8"/>
  <c r="S527" i="8"/>
  <c r="U527" i="8" s="1"/>
  <c r="V527" i="8" s="1"/>
  <c r="W527" i="8" s="1"/>
  <c r="X527" i="8" s="1"/>
  <c r="D514" i="8"/>
  <c r="E514" i="8"/>
  <c r="S514" i="8"/>
  <c r="U514" i="8" s="1"/>
  <c r="V514" i="8" s="1"/>
  <c r="W514" i="8" s="1"/>
  <c r="E515" i="8"/>
  <c r="D515" i="8"/>
  <c r="S515" i="8"/>
  <c r="U515" i="8" s="1"/>
  <c r="V515" i="8" s="1"/>
  <c r="W515" i="8" s="1"/>
  <c r="E516" i="8"/>
  <c r="D516" i="8"/>
  <c r="S516" i="8"/>
  <c r="U516" i="8" s="1"/>
  <c r="V516" i="8" s="1"/>
  <c r="W516" i="8" s="1"/>
  <c r="E517" i="8"/>
  <c r="D517" i="8"/>
  <c r="S517" i="8"/>
  <c r="U517" i="8" s="1"/>
  <c r="V517" i="8" s="1"/>
  <c r="W517" i="8" s="1"/>
  <c r="E518" i="8"/>
  <c r="D518" i="8"/>
  <c r="S518" i="8"/>
  <c r="U518" i="8" s="1"/>
  <c r="V518" i="8" s="1"/>
  <c r="W518" i="8" s="1"/>
  <c r="E520" i="8"/>
  <c r="D520" i="8"/>
  <c r="S520" i="8"/>
  <c r="U520" i="8" s="1"/>
  <c r="V520" i="8" s="1"/>
  <c r="W520" i="8" s="1"/>
  <c r="X520" i="8" s="1"/>
  <c r="D521" i="8"/>
  <c r="E521" i="8"/>
  <c r="S521" i="8"/>
  <c r="U521" i="8" s="1"/>
  <c r="V521" i="8" s="1"/>
  <c r="W521" i="8" s="1"/>
  <c r="E522" i="8"/>
  <c r="D522" i="8"/>
  <c r="S522" i="8"/>
  <c r="U522" i="8" s="1"/>
  <c r="V522" i="8" s="1"/>
  <c r="W522" i="8" s="1"/>
  <c r="X522" i="8" s="1"/>
  <c r="E523" i="8"/>
  <c r="D523" i="8"/>
  <c r="S523" i="8"/>
  <c r="U523" i="8" s="1"/>
  <c r="V523" i="8" s="1"/>
  <c r="W523" i="8" s="1"/>
  <c r="E519" i="8"/>
  <c r="D519" i="8"/>
  <c r="S519" i="8"/>
  <c r="U519" i="8" s="1"/>
  <c r="V519" i="8" s="1"/>
  <c r="W519" i="8" s="1"/>
  <c r="X519" i="8" s="1"/>
  <c r="E524" i="8"/>
  <c r="D524" i="8"/>
  <c r="S524" i="8"/>
  <c r="U524" i="8" s="1"/>
  <c r="V524" i="8" s="1"/>
  <c r="W524" i="8" s="1"/>
  <c r="X524" i="8" s="1"/>
  <c r="D525" i="8"/>
  <c r="E525" i="8"/>
  <c r="S525" i="8"/>
  <c r="U525" i="8" s="1"/>
  <c r="V525" i="8" s="1"/>
  <c r="W525" i="8" s="1"/>
  <c r="E526" i="8"/>
  <c r="D526" i="8"/>
  <c r="S526" i="8"/>
  <c r="U526" i="8" s="1"/>
  <c r="V526" i="8" s="1"/>
  <c r="W526" i="8" s="1"/>
  <c r="X526" i="8" s="1"/>
  <c r="E443" i="8"/>
  <c r="D443" i="8"/>
  <c r="AB443" i="8" s="1"/>
  <c r="S443" i="8"/>
  <c r="U443" i="8" s="1"/>
  <c r="V443" i="8" s="1"/>
  <c r="W443" i="8" s="1"/>
  <c r="E441" i="8"/>
  <c r="D441" i="8"/>
  <c r="AB441" i="8" s="1"/>
  <c r="S441" i="8"/>
  <c r="U441" i="8" s="1"/>
  <c r="V441" i="8" s="1"/>
  <c r="W441" i="8" s="1"/>
  <c r="E442" i="8"/>
  <c r="D442" i="8"/>
  <c r="AB442" i="8" s="1"/>
  <c r="S442" i="8"/>
  <c r="U442" i="8" s="1"/>
  <c r="V442" i="8" s="1"/>
  <c r="W442" i="8" s="1"/>
  <c r="E533" i="8"/>
  <c r="D533" i="8"/>
  <c r="AB533" i="8" s="1"/>
  <c r="S533" i="8"/>
  <c r="U533" i="8" s="1"/>
  <c r="V533" i="8" s="1"/>
  <c r="W533" i="8" s="1"/>
  <c r="E532" i="8"/>
  <c r="D532" i="8"/>
  <c r="AB532" i="8" s="1"/>
  <c r="S532" i="8"/>
  <c r="U532" i="8" s="1"/>
  <c r="V532" i="8" s="1"/>
  <c r="W532" i="8" s="1"/>
  <c r="E714" i="8"/>
  <c r="D714" i="8"/>
  <c r="AB714" i="8" s="1"/>
  <c r="S714" i="8"/>
  <c r="U714" i="8" s="1"/>
  <c r="V714" i="8" s="1"/>
  <c r="W714" i="8" s="1"/>
  <c r="E715" i="8"/>
  <c r="D715" i="8"/>
  <c r="AB715" i="8" s="1"/>
  <c r="S715" i="8"/>
  <c r="U715" i="8" s="1"/>
  <c r="V715" i="8" s="1"/>
  <c r="W715" i="8" s="1"/>
  <c r="D541" i="8"/>
  <c r="E541" i="8"/>
  <c r="S541" i="8"/>
  <c r="U541" i="8" s="1"/>
  <c r="V541" i="8" s="1"/>
  <c r="W541" i="8" s="1"/>
  <c r="E539" i="8"/>
  <c r="D539" i="8"/>
  <c r="AB539" i="8" s="1"/>
  <c r="S539" i="8"/>
  <c r="U539" i="8" s="1"/>
  <c r="V539" i="8" s="1"/>
  <c r="W539" i="8" s="1"/>
  <c r="E540" i="8"/>
  <c r="D540" i="8"/>
  <c r="S540" i="8"/>
  <c r="U540" i="8" s="1"/>
  <c r="V540" i="8" s="1"/>
  <c r="W540" i="8" s="1"/>
  <c r="E542" i="8"/>
  <c r="D542" i="8"/>
  <c r="S542" i="8"/>
  <c r="U542" i="8" s="1"/>
  <c r="V542" i="8" s="1"/>
  <c r="W542" i="8" s="1"/>
  <c r="E447" i="8"/>
  <c r="D447" i="8"/>
  <c r="AB447" i="8" s="1"/>
  <c r="S447" i="8"/>
  <c r="U447" i="8" s="1"/>
  <c r="V447" i="8" s="1"/>
  <c r="W447" i="8" s="1"/>
  <c r="E451" i="8"/>
  <c r="D451" i="8"/>
  <c r="AB451" i="8" s="1"/>
  <c r="S451" i="8"/>
  <c r="U451" i="8" s="1"/>
  <c r="V451" i="8" s="1"/>
  <c r="W451" i="8" s="1"/>
  <c r="E448" i="8"/>
  <c r="D448" i="8"/>
  <c r="AB448" i="8" s="1"/>
  <c r="S448" i="8"/>
  <c r="U448" i="8" s="1"/>
  <c r="V448" i="8" s="1"/>
  <c r="W448" i="8" s="1"/>
  <c r="D449" i="8"/>
  <c r="AB449" i="8" s="1"/>
  <c r="E449" i="8"/>
  <c r="S449" i="8"/>
  <c r="U449" i="8" s="1"/>
  <c r="V449" i="8" s="1"/>
  <c r="W449" i="8" s="1"/>
  <c r="E450" i="8"/>
  <c r="D450" i="8"/>
  <c r="AB450" i="8" s="1"/>
  <c r="S450" i="8"/>
  <c r="U450" i="8" s="1"/>
  <c r="V450" i="8" s="1"/>
  <c r="W450" i="8" s="1"/>
  <c r="D643" i="8"/>
  <c r="AB643" i="8" s="1"/>
  <c r="E643" i="8"/>
  <c r="S643" i="8"/>
  <c r="U643" i="8" s="1"/>
  <c r="V643" i="8" s="1"/>
  <c r="W643" i="8" s="1"/>
  <c r="E644" i="8"/>
  <c r="D644" i="8"/>
  <c r="AB644" i="8" s="1"/>
  <c r="S644" i="8"/>
  <c r="U644" i="8" s="1"/>
  <c r="V644" i="8" s="1"/>
  <c r="W644" i="8" s="1"/>
  <c r="E642" i="8"/>
  <c r="D642" i="8"/>
  <c r="AB642" i="8" s="1"/>
  <c r="S642" i="8"/>
  <c r="U642" i="8" s="1"/>
  <c r="V642" i="8" s="1"/>
  <c r="W642" i="8" s="1"/>
  <c r="E641" i="8"/>
  <c r="D641" i="8"/>
  <c r="AB641" i="8" s="1"/>
  <c r="S641" i="8"/>
  <c r="U641" i="8" s="1"/>
  <c r="V641" i="8" s="1"/>
  <c r="W641" i="8" s="1"/>
  <c r="E654" i="8"/>
  <c r="D654" i="8"/>
  <c r="AB654" i="8" s="1"/>
  <c r="S654" i="8"/>
  <c r="U654" i="8" s="1"/>
  <c r="V654" i="8" s="1"/>
  <c r="W654" i="8" s="1"/>
  <c r="D653" i="8"/>
  <c r="AB653" i="8" s="1"/>
  <c r="E653" i="8"/>
  <c r="S653" i="8"/>
  <c r="U653" i="8" s="1"/>
  <c r="V653" i="8" s="1"/>
  <c r="W653" i="8" s="1"/>
  <c r="E655" i="8"/>
  <c r="D655" i="8"/>
  <c r="AB655" i="8" s="1"/>
  <c r="S655" i="8"/>
  <c r="U655" i="8" s="1"/>
  <c r="V655" i="8" s="1"/>
  <c r="W655" i="8" s="1"/>
  <c r="D635" i="8"/>
  <c r="E635" i="8"/>
  <c r="S635" i="8"/>
  <c r="U635" i="8" s="1"/>
  <c r="V635" i="8" s="1"/>
  <c r="W635" i="8" s="1"/>
  <c r="E634" i="8"/>
  <c r="D634" i="8"/>
  <c r="S634" i="8"/>
  <c r="U634" i="8" s="1"/>
  <c r="V634" i="8" s="1"/>
  <c r="W634" i="8" s="1"/>
  <c r="D633" i="8"/>
  <c r="E633" i="8"/>
  <c r="S633" i="8"/>
  <c r="U633" i="8" s="1"/>
  <c r="V633" i="8" s="1"/>
  <c r="W633" i="8" s="1"/>
  <c r="E636" i="8"/>
  <c r="D636" i="8"/>
  <c r="S636" i="8"/>
  <c r="U636" i="8" s="1"/>
  <c r="V636" i="8" s="1"/>
  <c r="W636" i="8" s="1"/>
  <c r="E398" i="8"/>
  <c r="D398" i="8"/>
  <c r="S398" i="8"/>
  <c r="U398" i="8" s="1"/>
  <c r="V398" i="8" s="1"/>
  <c r="W398" i="8" s="1"/>
  <c r="E397" i="8"/>
  <c r="D397" i="8"/>
  <c r="S397" i="8"/>
  <c r="U397" i="8" s="1"/>
  <c r="V397" i="8" s="1"/>
  <c r="W397" i="8" s="1"/>
  <c r="E399" i="8"/>
  <c r="D399" i="8"/>
  <c r="S399" i="8"/>
  <c r="U399" i="8" s="1"/>
  <c r="V399" i="8" s="1"/>
  <c r="W399" i="8" s="1"/>
  <c r="E400" i="8"/>
  <c r="D400" i="8"/>
  <c r="S400" i="8"/>
  <c r="U400" i="8" s="1"/>
  <c r="V400" i="8" s="1"/>
  <c r="W400" i="8" s="1"/>
  <c r="E637" i="8"/>
  <c r="D637" i="8"/>
  <c r="S637" i="8"/>
  <c r="U637" i="8" s="1"/>
  <c r="V637" i="8" s="1"/>
  <c r="W637" i="8" s="1"/>
  <c r="E638" i="8"/>
  <c r="D638" i="8"/>
  <c r="S638" i="8"/>
  <c r="U638" i="8" s="1"/>
  <c r="V638" i="8" s="1"/>
  <c r="W638" i="8" s="1"/>
  <c r="E639" i="8"/>
  <c r="D639" i="8"/>
  <c r="S639" i="8"/>
  <c r="U639" i="8" s="1"/>
  <c r="V639" i="8" s="1"/>
  <c r="W639" i="8" s="1"/>
  <c r="E640" i="8"/>
  <c r="D640" i="8"/>
  <c r="S640" i="8"/>
  <c r="U640" i="8" s="1"/>
  <c r="V640" i="8" s="1"/>
  <c r="W640" i="8" s="1"/>
  <c r="D684" i="8"/>
  <c r="E684" i="8"/>
  <c r="S684" i="8"/>
  <c r="U684" i="8" s="1"/>
  <c r="V684" i="8" s="1"/>
  <c r="W684" i="8" s="1"/>
  <c r="E685" i="8"/>
  <c r="D685" i="8"/>
  <c r="S685" i="8"/>
  <c r="U685" i="8" s="1"/>
  <c r="V685" i="8" s="1"/>
  <c r="W685" i="8" s="1"/>
  <c r="E423" i="8"/>
  <c r="D423" i="8"/>
  <c r="S423" i="8"/>
  <c r="U423" i="8" s="1"/>
  <c r="V423" i="8" s="1"/>
  <c r="W423" i="8" s="1"/>
  <c r="E426" i="8"/>
  <c r="D426" i="8"/>
  <c r="S426" i="8"/>
  <c r="U426" i="8" s="1"/>
  <c r="V426" i="8" s="1"/>
  <c r="W426" i="8" s="1"/>
  <c r="E425" i="8"/>
  <c r="D425" i="8"/>
  <c r="S425" i="8"/>
  <c r="U425" i="8" s="1"/>
  <c r="V425" i="8" s="1"/>
  <c r="W425" i="8" s="1"/>
  <c r="E424" i="8"/>
  <c r="D424" i="8"/>
  <c r="S424" i="8"/>
  <c r="U424" i="8" s="1"/>
  <c r="V424" i="8" s="1"/>
  <c r="W424" i="8" s="1"/>
  <c r="E408" i="8"/>
  <c r="D408" i="8"/>
  <c r="S408" i="8"/>
  <c r="U408" i="8" s="1"/>
  <c r="V408" i="8" s="1"/>
  <c r="W408" i="8" s="1"/>
  <c r="E407" i="8"/>
  <c r="D407" i="8"/>
  <c r="S407" i="8"/>
  <c r="U407" i="8" s="1"/>
  <c r="V407" i="8" s="1"/>
  <c r="W407" i="8" s="1"/>
  <c r="E406" i="8"/>
  <c r="D406" i="8"/>
  <c r="S406" i="8"/>
  <c r="U406" i="8" s="1"/>
  <c r="V406" i="8" s="1"/>
  <c r="W406" i="8" s="1"/>
  <c r="D717" i="8"/>
  <c r="E717" i="8"/>
  <c r="S717" i="8"/>
  <c r="U717" i="8" s="1"/>
  <c r="V717" i="8" s="1"/>
  <c r="W717" i="8" s="1"/>
  <c r="D719" i="8"/>
  <c r="E719" i="8"/>
  <c r="S719" i="8"/>
  <c r="U719" i="8" s="1"/>
  <c r="V719" i="8" s="1"/>
  <c r="W719" i="8" s="1"/>
  <c r="E716" i="8"/>
  <c r="D716" i="8"/>
  <c r="S716" i="8"/>
  <c r="U716" i="8" s="1"/>
  <c r="V716" i="8" s="1"/>
  <c r="W716" i="8" s="1"/>
  <c r="E718" i="8"/>
  <c r="D718" i="8"/>
  <c r="S718" i="8"/>
  <c r="U718" i="8" s="1"/>
  <c r="V718" i="8" s="1"/>
  <c r="W718" i="8" s="1"/>
  <c r="E683" i="8"/>
  <c r="D683" i="8"/>
  <c r="S683" i="8"/>
  <c r="U683" i="8" s="1"/>
  <c r="V683" i="8" s="1"/>
  <c r="W683" i="8" s="1"/>
  <c r="E711" i="8"/>
  <c r="D711" i="8"/>
  <c r="S711" i="8"/>
  <c r="U711" i="8" s="1"/>
  <c r="V711" i="8" s="1"/>
  <c r="W711" i="8" s="1"/>
  <c r="D713" i="8"/>
  <c r="E713" i="8"/>
  <c r="S713" i="8"/>
  <c r="U713" i="8" s="1"/>
  <c r="V713" i="8" s="1"/>
  <c r="W713" i="8" s="1"/>
  <c r="E712" i="8"/>
  <c r="D712" i="8"/>
  <c r="S712" i="8"/>
  <c r="U712" i="8" s="1"/>
  <c r="V712" i="8" s="1"/>
  <c r="W712" i="8" s="1"/>
  <c r="E699" i="8"/>
  <c r="D699" i="8"/>
  <c r="AB699" i="8" s="1"/>
  <c r="S699" i="8"/>
  <c r="U699" i="8" s="1"/>
  <c r="V699" i="8" s="1"/>
  <c r="E701" i="8"/>
  <c r="D701" i="8"/>
  <c r="AB701" i="8" s="1"/>
  <c r="S701" i="8"/>
  <c r="U701" i="8" s="1"/>
  <c r="V701" i="8" s="1"/>
  <c r="W701" i="8" s="1"/>
  <c r="E698" i="8"/>
  <c r="D698" i="8"/>
  <c r="AB698" i="8" s="1"/>
  <c r="S698" i="8"/>
  <c r="U698" i="8" s="1"/>
  <c r="V698" i="8" s="1"/>
  <c r="E700" i="8"/>
  <c r="D700" i="8"/>
  <c r="AB700" i="8" s="1"/>
  <c r="S700" i="8"/>
  <c r="U700" i="8" s="1"/>
  <c r="V700" i="8" s="1"/>
  <c r="W700" i="8" s="1"/>
  <c r="E647" i="8"/>
  <c r="D647" i="8"/>
  <c r="S647" i="8"/>
  <c r="U647" i="8" s="1"/>
  <c r="V647" i="8" s="1"/>
  <c r="W647" i="8" s="1"/>
  <c r="E648" i="8"/>
  <c r="D648" i="8"/>
  <c r="S648" i="8"/>
  <c r="U648" i="8" s="1"/>
  <c r="V648" i="8" s="1"/>
  <c r="W648" i="8" s="1"/>
  <c r="E649" i="8"/>
  <c r="D649" i="8"/>
  <c r="S649" i="8"/>
  <c r="U649" i="8" s="1"/>
  <c r="V649" i="8" s="1"/>
  <c r="W649" i="8" s="1"/>
  <c r="E530" i="8"/>
  <c r="D530" i="8"/>
  <c r="S530" i="8"/>
  <c r="U530" i="8" s="1"/>
  <c r="V530" i="8" s="1"/>
  <c r="W530" i="8" s="1"/>
  <c r="D384" i="8"/>
  <c r="E384" i="8"/>
  <c r="S384" i="8"/>
  <c r="U384" i="8" s="1"/>
  <c r="V384" i="8" s="1"/>
  <c r="W384" i="8" s="1"/>
  <c r="E383" i="8"/>
  <c r="D383" i="8"/>
  <c r="S383" i="8"/>
  <c r="U383" i="8" s="1"/>
  <c r="V383" i="8" s="1"/>
  <c r="W383" i="8" s="1"/>
  <c r="E382" i="8"/>
  <c r="D382" i="8"/>
  <c r="S382" i="8"/>
  <c r="U382" i="8" s="1"/>
  <c r="V382" i="8" s="1"/>
  <c r="W382" i="8" s="1"/>
  <c r="D381" i="8"/>
  <c r="E381" i="8"/>
  <c r="S381" i="8"/>
  <c r="U381" i="8" s="1"/>
  <c r="V381" i="8" s="1"/>
  <c r="W381" i="8" s="1"/>
  <c r="E502" i="8"/>
  <c r="D502" i="8"/>
  <c r="S502" i="8"/>
  <c r="U502" i="8" s="1"/>
  <c r="V502" i="8" s="1"/>
  <c r="W502" i="8" s="1"/>
  <c r="E503" i="8"/>
  <c r="D503" i="8"/>
  <c r="S503" i="8"/>
  <c r="U503" i="8" s="1"/>
  <c r="V503" i="8" s="1"/>
  <c r="W503" i="8" s="1"/>
  <c r="E504" i="8"/>
  <c r="D504" i="8"/>
  <c r="S504" i="8"/>
  <c r="U504" i="8" s="1"/>
  <c r="V504" i="8" s="1"/>
  <c r="W504" i="8" s="1"/>
  <c r="E505" i="8"/>
  <c r="D505" i="8"/>
  <c r="S505" i="8"/>
  <c r="U505" i="8" s="1"/>
  <c r="V505" i="8" s="1"/>
  <c r="W505" i="8" s="1"/>
  <c r="E570" i="8"/>
  <c r="D570" i="8"/>
  <c r="S570" i="8"/>
  <c r="U570" i="8" s="1"/>
  <c r="V570" i="8" s="1"/>
  <c r="W570" i="8" s="1"/>
  <c r="E571" i="8"/>
  <c r="D571" i="8"/>
  <c r="S571" i="8"/>
  <c r="U571" i="8" s="1"/>
  <c r="V571" i="8" s="1"/>
  <c r="W571" i="8" s="1"/>
  <c r="E568" i="8"/>
  <c r="D568" i="8"/>
  <c r="S568" i="8"/>
  <c r="U568" i="8" s="1"/>
  <c r="V568" i="8" s="1"/>
  <c r="W568" i="8" s="1"/>
  <c r="D569" i="8"/>
  <c r="E569" i="8"/>
  <c r="S569" i="8"/>
  <c r="U569" i="8" s="1"/>
  <c r="V569" i="8" s="1"/>
  <c r="W569" i="8" s="1"/>
  <c r="E376" i="8"/>
  <c r="D376" i="8"/>
  <c r="S376" i="8"/>
  <c r="U376" i="8" s="1"/>
  <c r="V376" i="8" s="1"/>
  <c r="W376" i="8" s="1"/>
  <c r="D377" i="8"/>
  <c r="E377" i="8"/>
  <c r="S377" i="8"/>
  <c r="U377" i="8" s="1"/>
  <c r="V377" i="8" s="1"/>
  <c r="W377" i="8" s="1"/>
  <c r="E378" i="8"/>
  <c r="D378" i="8"/>
  <c r="S378" i="8"/>
  <c r="U378" i="8" s="1"/>
  <c r="V378" i="8" s="1"/>
  <c r="W378" i="8" s="1"/>
  <c r="D379" i="8"/>
  <c r="E379" i="8"/>
  <c r="S379" i="8"/>
  <c r="U379" i="8" s="1"/>
  <c r="V379" i="8" s="1"/>
  <c r="W379" i="8" s="1"/>
  <c r="E380" i="8"/>
  <c r="D380" i="8"/>
  <c r="S380" i="8"/>
  <c r="U380" i="8" s="1"/>
  <c r="V380" i="8" s="1"/>
  <c r="W380" i="8" s="1"/>
  <c r="X380" i="8" s="1"/>
  <c r="D375" i="8"/>
  <c r="E375" i="8"/>
  <c r="S375" i="8"/>
  <c r="U375" i="8" s="1"/>
  <c r="V375" i="8" s="1"/>
  <c r="W375" i="8" s="1"/>
  <c r="E437" i="8"/>
  <c r="D437" i="8"/>
  <c r="S437" i="8"/>
  <c r="U437" i="8" s="1"/>
  <c r="V437" i="8" s="1"/>
  <c r="W437" i="8" s="1"/>
  <c r="E435" i="8"/>
  <c r="D435" i="8"/>
  <c r="S435" i="8"/>
  <c r="U435" i="8" s="1"/>
  <c r="V435" i="8" s="1"/>
  <c r="W435" i="8" s="1"/>
  <c r="E436" i="8"/>
  <c r="D436" i="8"/>
  <c r="S436" i="8"/>
  <c r="U436" i="8" s="1"/>
  <c r="V436" i="8" s="1"/>
  <c r="W436" i="8" s="1"/>
  <c r="D497" i="8"/>
  <c r="E497" i="8"/>
  <c r="S497" i="8"/>
  <c r="U497" i="8" s="1"/>
  <c r="V497" i="8" s="1"/>
  <c r="W497" i="8" s="1"/>
  <c r="E496" i="8"/>
  <c r="D496" i="8"/>
  <c r="S496" i="8"/>
  <c r="U496" i="8" s="1"/>
  <c r="V496" i="8" s="1"/>
  <c r="W496" i="8" s="1"/>
  <c r="E495" i="8"/>
  <c r="D495" i="8"/>
  <c r="S495" i="8"/>
  <c r="U495" i="8" s="1"/>
  <c r="V495" i="8" s="1"/>
  <c r="W495" i="8" s="1"/>
  <c r="D494" i="8"/>
  <c r="E494" i="8"/>
  <c r="S494" i="8"/>
  <c r="U494" i="8" s="1"/>
  <c r="V494" i="8" s="1"/>
  <c r="W494" i="8" s="1"/>
  <c r="X494" i="8" s="1"/>
  <c r="E573" i="8"/>
  <c r="D573" i="8"/>
  <c r="S573" i="8"/>
  <c r="U573" i="8" s="1"/>
  <c r="V573" i="8" s="1"/>
  <c r="W573" i="8" s="1"/>
  <c r="D574" i="8"/>
  <c r="E574" i="8"/>
  <c r="S574" i="8"/>
  <c r="U574" i="8" s="1"/>
  <c r="V574" i="8" s="1"/>
  <c r="W574" i="8" s="1"/>
  <c r="E461" i="8"/>
  <c r="D461" i="8"/>
  <c r="S461" i="8"/>
  <c r="U461" i="8" s="1"/>
  <c r="V461" i="8" s="1"/>
  <c r="W461" i="8" s="1"/>
  <c r="D460" i="8"/>
  <c r="E460" i="8"/>
  <c r="S460" i="8"/>
  <c r="U460" i="8" s="1"/>
  <c r="V460" i="8" s="1"/>
  <c r="W460" i="8" s="1"/>
  <c r="E459" i="8"/>
  <c r="D459" i="8"/>
  <c r="S459" i="8"/>
  <c r="U459" i="8" s="1"/>
  <c r="V459" i="8" s="1"/>
  <c r="W459" i="8" s="1"/>
  <c r="E553" i="8"/>
  <c r="D553" i="8"/>
  <c r="S553" i="8"/>
  <c r="U553" i="8" s="1"/>
  <c r="V553" i="8" s="1"/>
  <c r="W553" i="8" s="1"/>
  <c r="D552" i="8"/>
  <c r="E552" i="8"/>
  <c r="S552" i="8"/>
  <c r="U552" i="8" s="1"/>
  <c r="V552" i="8" s="1"/>
  <c r="W552" i="8" s="1"/>
  <c r="D554" i="8"/>
  <c r="E554" i="8"/>
  <c r="S554" i="8"/>
  <c r="U554" i="8" s="1"/>
  <c r="V554" i="8" s="1"/>
  <c r="W554" i="8" s="1"/>
  <c r="E482" i="8"/>
  <c r="D482" i="8"/>
  <c r="S482" i="8"/>
  <c r="U482" i="8" s="1"/>
  <c r="V482" i="8" s="1"/>
  <c r="W482" i="8" s="1"/>
  <c r="E485" i="8"/>
  <c r="D485" i="8"/>
  <c r="S485" i="8"/>
  <c r="U485" i="8" s="1"/>
  <c r="V485" i="8" s="1"/>
  <c r="W485" i="8" s="1"/>
  <c r="E484" i="8"/>
  <c r="D484" i="8"/>
  <c r="S484" i="8"/>
  <c r="U484" i="8" s="1"/>
  <c r="V484" i="8" s="1"/>
  <c r="W484" i="8" s="1"/>
  <c r="E483" i="8"/>
  <c r="D483" i="8"/>
  <c r="S483" i="8"/>
  <c r="U483" i="8" s="1"/>
  <c r="V483" i="8" s="1"/>
  <c r="W483" i="8" s="1"/>
  <c r="D551" i="8"/>
  <c r="AB551" i="8" s="1"/>
  <c r="E551" i="8"/>
  <c r="S551" i="8"/>
  <c r="U551" i="8" s="1"/>
  <c r="V551" i="8" s="1"/>
  <c r="W551" i="8" s="1"/>
  <c r="D550" i="8"/>
  <c r="AB550" i="8" s="1"/>
  <c r="E550" i="8"/>
  <c r="S550" i="8"/>
  <c r="U550" i="8" s="1"/>
  <c r="V550" i="8" s="1"/>
  <c r="W550" i="8" s="1"/>
  <c r="E549" i="8"/>
  <c r="D549" i="8"/>
  <c r="AB549" i="8" s="1"/>
  <c r="S549" i="8"/>
  <c r="U549" i="8" s="1"/>
  <c r="V549" i="8" s="1"/>
  <c r="W549" i="8" s="1"/>
  <c r="E548" i="8"/>
  <c r="D548" i="8"/>
  <c r="AB548" i="8" s="1"/>
  <c r="S548" i="8"/>
  <c r="U548" i="8" s="1"/>
  <c r="V548" i="8" s="1"/>
  <c r="W548" i="8" s="1"/>
  <c r="E670" i="8"/>
  <c r="D670" i="8"/>
  <c r="AB670" i="8" s="1"/>
  <c r="S670" i="8"/>
  <c r="U670" i="8" s="1"/>
  <c r="V670" i="8" s="1"/>
  <c r="W670" i="8" s="1"/>
  <c r="D671" i="8"/>
  <c r="AB671" i="8" s="1"/>
  <c r="E671" i="8"/>
  <c r="S671" i="8"/>
  <c r="U671" i="8" s="1"/>
  <c r="V671" i="8" s="1"/>
  <c r="W671" i="8" s="1"/>
  <c r="E673" i="8"/>
  <c r="D673" i="8"/>
  <c r="AB673" i="8" s="1"/>
  <c r="S673" i="8"/>
  <c r="U673" i="8" s="1"/>
  <c r="V673" i="8" s="1"/>
  <c r="W673" i="8" s="1"/>
  <c r="E672" i="8"/>
  <c r="D672" i="8"/>
  <c r="AB672" i="8" s="1"/>
  <c r="S672" i="8"/>
  <c r="U672" i="8" s="1"/>
  <c r="V672" i="8" s="1"/>
  <c r="W672" i="8" s="1"/>
  <c r="E726" i="8"/>
  <c r="D726" i="8"/>
  <c r="AB726" i="8" s="1"/>
  <c r="S726" i="8"/>
  <c r="U726" i="8" s="1"/>
  <c r="V726" i="8" s="1"/>
  <c r="W726" i="8" s="1"/>
  <c r="D725" i="8"/>
  <c r="AB725" i="8" s="1"/>
  <c r="E725" i="8"/>
  <c r="S725" i="8"/>
  <c r="U725" i="8" s="1"/>
  <c r="V725" i="8" s="1"/>
  <c r="W725" i="8" s="1"/>
  <c r="E674" i="8"/>
  <c r="D674" i="8"/>
  <c r="S674" i="8"/>
  <c r="U674" i="8" s="1"/>
  <c r="V674" i="8" s="1"/>
  <c r="W674" i="8" s="1"/>
  <c r="D675" i="8"/>
  <c r="E675" i="8"/>
  <c r="S675" i="8"/>
  <c r="U675" i="8" s="1"/>
  <c r="V675" i="8" s="1"/>
  <c r="W675" i="8" s="1"/>
  <c r="E659" i="8"/>
  <c r="D659" i="8"/>
  <c r="AB659" i="8" s="1"/>
  <c r="S659" i="8"/>
  <c r="U659" i="8" s="1"/>
  <c r="V659" i="8" s="1"/>
  <c r="W659" i="8" s="1"/>
  <c r="E660" i="8"/>
  <c r="D660" i="8"/>
  <c r="AB660" i="8" s="1"/>
  <c r="S660" i="8"/>
  <c r="U660" i="8" s="1"/>
  <c r="V660" i="8" s="1"/>
  <c r="W660" i="8" s="1"/>
  <c r="D661" i="8"/>
  <c r="AB661" i="8" s="1"/>
  <c r="E661" i="8"/>
  <c r="S661" i="8"/>
  <c r="U661" i="8" s="1"/>
  <c r="V661" i="8" s="1"/>
  <c r="W661" i="8" s="1"/>
  <c r="E662" i="8"/>
  <c r="D662" i="8"/>
  <c r="AB662" i="8" s="1"/>
  <c r="S662" i="8"/>
  <c r="U662" i="8" s="1"/>
  <c r="V662" i="8" s="1"/>
  <c r="W662" i="8" s="1"/>
  <c r="D564" i="8"/>
  <c r="AB564" i="8" s="1"/>
  <c r="E564" i="8"/>
  <c r="S564" i="8"/>
  <c r="U564" i="8" s="1"/>
  <c r="V564" i="8" s="1"/>
  <c r="W564" i="8" s="1"/>
  <c r="E566" i="8"/>
  <c r="D566" i="8"/>
  <c r="AB566" i="8" s="1"/>
  <c r="S566" i="8"/>
  <c r="U566" i="8" s="1"/>
  <c r="V566" i="8" s="1"/>
  <c r="W566" i="8" s="1"/>
  <c r="D567" i="8"/>
  <c r="AB567" i="8" s="1"/>
  <c r="E567" i="8"/>
  <c r="S567" i="8"/>
  <c r="U567" i="8" s="1"/>
  <c r="V567" i="8" s="1"/>
  <c r="W567" i="8" s="1"/>
  <c r="E565" i="8"/>
  <c r="D565" i="8"/>
  <c r="AB565" i="8" s="1"/>
  <c r="S565" i="8"/>
  <c r="U565" i="8" s="1"/>
  <c r="V565" i="8" s="1"/>
  <c r="W565" i="8" s="1"/>
  <c r="E677" i="8"/>
  <c r="D677" i="8"/>
  <c r="AB677" i="8" s="1"/>
  <c r="S677" i="8"/>
  <c r="U677" i="8" s="1"/>
  <c r="V677" i="8" s="1"/>
  <c r="W677" i="8" s="1"/>
  <c r="E679" i="8"/>
  <c r="D679" i="8"/>
  <c r="AB679" i="8" s="1"/>
  <c r="S679" i="8"/>
  <c r="U679" i="8" s="1"/>
  <c r="V679" i="8" s="1"/>
  <c r="W679" i="8" s="1"/>
  <c r="E678" i="8"/>
  <c r="D678" i="8"/>
  <c r="AB678" i="8" s="1"/>
  <c r="S678" i="8"/>
  <c r="U678" i="8" s="1"/>
  <c r="V678" i="8" s="1"/>
  <c r="W678" i="8" s="1"/>
  <c r="E676" i="8"/>
  <c r="D676" i="8"/>
  <c r="AB676" i="8" s="1"/>
  <c r="S676" i="8"/>
  <c r="U676" i="8" s="1"/>
  <c r="V676" i="8" s="1"/>
  <c r="W676" i="8" s="1"/>
  <c r="D629" i="8"/>
  <c r="AB629" i="8" s="1"/>
  <c r="E629" i="8"/>
  <c r="S629" i="8"/>
  <c r="U629" i="8" s="1"/>
  <c r="V629" i="8" s="1"/>
  <c r="W629" i="8" s="1"/>
  <c r="E632" i="8"/>
  <c r="D632" i="8"/>
  <c r="AB632" i="8" s="1"/>
  <c r="S632" i="8"/>
  <c r="U632" i="8" s="1"/>
  <c r="V632" i="8" s="1"/>
  <c r="W632" i="8" s="1"/>
  <c r="E630" i="8"/>
  <c r="D630" i="8"/>
  <c r="AB630" i="8" s="1"/>
  <c r="S630" i="8"/>
  <c r="U630" i="8" s="1"/>
  <c r="V630" i="8" s="1"/>
  <c r="W630" i="8" s="1"/>
  <c r="D631" i="8"/>
  <c r="AB631" i="8" s="1"/>
  <c r="E631" i="8"/>
  <c r="S631" i="8"/>
  <c r="U631" i="8" s="1"/>
  <c r="V631" i="8" s="1"/>
  <c r="W631" i="8" s="1"/>
  <c r="D680" i="8"/>
  <c r="AB680" i="8" s="1"/>
  <c r="E680" i="8"/>
  <c r="S680" i="8"/>
  <c r="U680" i="8" s="1"/>
  <c r="V680" i="8" s="1"/>
  <c r="W680" i="8" s="1"/>
  <c r="E681" i="8"/>
  <c r="D681" i="8"/>
  <c r="AB681" i="8" s="1"/>
  <c r="S681" i="8"/>
  <c r="U681" i="8" s="1"/>
  <c r="V681" i="8" s="1"/>
  <c r="W681" i="8" s="1"/>
  <c r="D682" i="8"/>
  <c r="AB682" i="8" s="1"/>
  <c r="E682" i="8"/>
  <c r="S682" i="8"/>
  <c r="U682" i="8" s="1"/>
  <c r="V682" i="8" s="1"/>
  <c r="W682" i="8" s="1"/>
  <c r="E563" i="8"/>
  <c r="D563" i="8"/>
  <c r="AB563" i="8" s="1"/>
  <c r="S563" i="8"/>
  <c r="U563" i="8" s="1"/>
  <c r="V563" i="8" s="1"/>
  <c r="W563" i="8" s="1"/>
  <c r="D562" i="8"/>
  <c r="AB562" i="8" s="1"/>
  <c r="E562" i="8"/>
  <c r="S562" i="8"/>
  <c r="U562" i="8" s="1"/>
  <c r="V562" i="8" s="1"/>
  <c r="W562" i="8" s="1"/>
  <c r="D561" i="8"/>
  <c r="AB561" i="8" s="1"/>
  <c r="E561" i="8"/>
  <c r="S561" i="8"/>
  <c r="U561" i="8" s="1"/>
  <c r="V561" i="8" s="1"/>
  <c r="W561" i="8" s="1"/>
  <c r="D560" i="8"/>
  <c r="AB560" i="8" s="1"/>
  <c r="E560" i="8"/>
  <c r="S560" i="8"/>
  <c r="U560" i="8" s="1"/>
  <c r="V560" i="8" s="1"/>
  <c r="W560" i="8" s="1"/>
  <c r="E390" i="8"/>
  <c r="D390" i="8"/>
  <c r="AB390" i="8" s="1"/>
  <c r="S390" i="8"/>
  <c r="U390" i="8" s="1"/>
  <c r="V390" i="8" s="1"/>
  <c r="D391" i="8"/>
  <c r="AB391" i="8" s="1"/>
  <c r="E391" i="8"/>
  <c r="S391" i="8"/>
  <c r="U391" i="8" s="1"/>
  <c r="V391" i="8" s="1"/>
  <c r="W391" i="8" s="1"/>
  <c r="X391" i="8" s="1"/>
  <c r="D703" i="8"/>
  <c r="AB703" i="8" s="1"/>
  <c r="E703" i="8"/>
  <c r="S703" i="8"/>
  <c r="U703" i="8" s="1"/>
  <c r="V703" i="8" s="1"/>
  <c r="D473" i="8"/>
  <c r="E473" i="8"/>
  <c r="S473" i="8"/>
  <c r="U473" i="8" s="1"/>
  <c r="V473" i="8" s="1"/>
  <c r="W473" i="8" s="1"/>
  <c r="E474" i="8"/>
  <c r="D474" i="8"/>
  <c r="S474" i="8"/>
  <c r="U474" i="8" s="1"/>
  <c r="V474" i="8" s="1"/>
  <c r="W474" i="8" s="1"/>
  <c r="E475" i="8"/>
  <c r="D475" i="8"/>
  <c r="S475" i="8"/>
  <c r="U475" i="8" s="1"/>
  <c r="V475" i="8" s="1"/>
  <c r="W475" i="8" s="1"/>
  <c r="E471" i="8"/>
  <c r="D471" i="8"/>
  <c r="S471" i="8"/>
  <c r="U471" i="8" s="1"/>
  <c r="V471" i="8" s="1"/>
  <c r="W471" i="8" s="1"/>
  <c r="E472" i="8"/>
  <c r="D472" i="8"/>
  <c r="S472" i="8"/>
  <c r="U472" i="8" s="1"/>
  <c r="V472" i="8" s="1"/>
  <c r="W472" i="8" s="1"/>
  <c r="E688" i="8"/>
  <c r="D688" i="8"/>
  <c r="AB688" i="8" s="1"/>
  <c r="S688" i="8"/>
  <c r="U688" i="8" s="1"/>
  <c r="V688" i="8" s="1"/>
  <c r="W688" i="8" s="1"/>
  <c r="E689" i="8"/>
  <c r="D689" i="8"/>
  <c r="AB689" i="8" s="1"/>
  <c r="S689" i="8"/>
  <c r="U689" i="8" s="1"/>
  <c r="V689" i="8" s="1"/>
  <c r="W689" i="8" s="1"/>
  <c r="E690" i="8"/>
  <c r="D690" i="8"/>
  <c r="AB690" i="8" s="1"/>
  <c r="S690" i="8"/>
  <c r="U690" i="8" s="1"/>
  <c r="V690" i="8" s="1"/>
  <c r="W690" i="8" s="1"/>
  <c r="D744" i="8"/>
  <c r="AB744" i="8" s="1"/>
  <c r="E744" i="8"/>
  <c r="S744" i="8"/>
  <c r="U744" i="8" s="1"/>
  <c r="V744" i="8" s="1"/>
  <c r="W744" i="8" s="1"/>
  <c r="E745" i="8"/>
  <c r="D745" i="8"/>
  <c r="AB745" i="8" s="1"/>
  <c r="S745" i="8"/>
  <c r="U745" i="8" s="1"/>
  <c r="V745" i="8" s="1"/>
  <c r="W745" i="8" s="1"/>
  <c r="D746" i="8"/>
  <c r="AB746" i="8" s="1"/>
  <c r="E746" i="8"/>
  <c r="S746" i="8"/>
  <c r="U746" i="8" s="1"/>
  <c r="V746" i="8" s="1"/>
  <c r="W746" i="8" s="1"/>
  <c r="E747" i="8"/>
  <c r="D747" i="8"/>
  <c r="AB747" i="8" s="1"/>
  <c r="S747" i="8"/>
  <c r="U747" i="8" s="1"/>
  <c r="V747" i="8" s="1"/>
  <c r="W747" i="8" s="1"/>
  <c r="D456" i="8"/>
  <c r="E456" i="8"/>
  <c r="S456" i="8"/>
  <c r="U456" i="8" s="1"/>
  <c r="V456" i="8" s="1"/>
  <c r="W456" i="8" s="1"/>
  <c r="D455" i="8"/>
  <c r="E455" i="8"/>
  <c r="S455" i="8"/>
  <c r="U455" i="8" s="1"/>
  <c r="V455" i="8" s="1"/>
  <c r="W455" i="8" s="1"/>
  <c r="E458" i="8"/>
  <c r="D458" i="8"/>
  <c r="S458" i="8"/>
  <c r="U458" i="8" s="1"/>
  <c r="V458" i="8" s="1"/>
  <c r="W458" i="8" s="1"/>
  <c r="D457" i="8"/>
  <c r="E457" i="8"/>
  <c r="S457" i="8"/>
  <c r="U457" i="8" s="1"/>
  <c r="V457" i="8" s="1"/>
  <c r="W457" i="8" s="1"/>
  <c r="D557" i="8"/>
  <c r="AB557" i="8" s="1"/>
  <c r="E557" i="8"/>
  <c r="S557" i="8"/>
  <c r="U557" i="8" s="1"/>
  <c r="V557" i="8" s="1"/>
  <c r="W557" i="8" s="1"/>
  <c r="E556" i="8"/>
  <c r="D556" i="8"/>
  <c r="AB556" i="8" s="1"/>
  <c r="S556" i="8"/>
  <c r="U556" i="8" s="1"/>
  <c r="V556" i="8" s="1"/>
  <c r="W556" i="8" s="1"/>
  <c r="D555" i="8"/>
  <c r="AB555" i="8" s="1"/>
  <c r="E555" i="8"/>
  <c r="S555" i="8"/>
  <c r="U555" i="8" s="1"/>
  <c r="V555" i="8" s="1"/>
  <c r="W555" i="8" s="1"/>
  <c r="E510" i="8"/>
  <c r="D510" i="8"/>
  <c r="AB510" i="8" s="1"/>
  <c r="S510" i="8"/>
  <c r="U510" i="8" s="1"/>
  <c r="V510" i="8" s="1"/>
  <c r="W510" i="8" s="1"/>
  <c r="D511" i="8"/>
  <c r="AB511" i="8" s="1"/>
  <c r="E511" i="8"/>
  <c r="S511" i="8"/>
  <c r="U511" i="8" s="1"/>
  <c r="V511" i="8" s="1"/>
  <c r="W511" i="8" s="1"/>
  <c r="E512" i="8"/>
  <c r="D512" i="8"/>
  <c r="AB512" i="8" s="1"/>
  <c r="S512" i="8"/>
  <c r="U512" i="8" s="1"/>
  <c r="V512" i="8" s="1"/>
  <c r="W512" i="8" s="1"/>
  <c r="D513" i="8"/>
  <c r="AB513" i="8" s="1"/>
  <c r="E513" i="8"/>
  <c r="S513" i="8"/>
  <c r="U513" i="8" s="1"/>
  <c r="V513" i="8" s="1"/>
  <c r="W513" i="8" s="1"/>
  <c r="E752" i="8"/>
  <c r="D752" i="8"/>
  <c r="AB752" i="8" s="1"/>
  <c r="S752" i="8"/>
  <c r="U752" i="8" s="1"/>
  <c r="V752" i="8" s="1"/>
  <c r="W752" i="8" s="1"/>
  <c r="E751" i="8"/>
  <c r="D751" i="8"/>
  <c r="AB751" i="8" s="1"/>
  <c r="S751" i="8"/>
  <c r="U751" i="8" s="1"/>
  <c r="V751" i="8" s="1"/>
  <c r="W751" i="8" s="1"/>
  <c r="E741" i="8"/>
  <c r="D741" i="8"/>
  <c r="AB741" i="8" s="1"/>
  <c r="S741" i="8"/>
  <c r="U741" i="8" s="1"/>
  <c r="V741" i="8" s="1"/>
  <c r="E742" i="8"/>
  <c r="D742" i="8"/>
  <c r="AB742" i="8" s="1"/>
  <c r="S742" i="8"/>
  <c r="U742" i="8" s="1"/>
  <c r="V742" i="8" s="1"/>
  <c r="E743" i="8"/>
  <c r="D743" i="8"/>
  <c r="AB743" i="8" s="1"/>
  <c r="S743" i="8"/>
  <c r="U743" i="8" s="1"/>
  <c r="V743" i="8" s="1"/>
  <c r="E465" i="8"/>
  <c r="D465" i="8"/>
  <c r="AB465" i="8" s="1"/>
  <c r="S465" i="8"/>
  <c r="U465" i="8" s="1"/>
  <c r="V465" i="8" s="1"/>
  <c r="D462" i="8"/>
  <c r="AB462" i="8" s="1"/>
  <c r="E462" i="8"/>
  <c r="S462" i="8"/>
  <c r="U462" i="8" s="1"/>
  <c r="V462" i="8" s="1"/>
  <c r="E463" i="8"/>
  <c r="D463" i="8"/>
  <c r="AB463" i="8" s="1"/>
  <c r="S463" i="8"/>
  <c r="U463" i="8" s="1"/>
  <c r="V463" i="8" s="1"/>
  <c r="E464" i="8"/>
  <c r="D464" i="8"/>
  <c r="AB464" i="8" s="1"/>
  <c r="S464" i="8"/>
  <c r="U464" i="8" s="1"/>
  <c r="V464" i="8" s="1"/>
  <c r="D740" i="8"/>
  <c r="AB740" i="8" s="1"/>
  <c r="E740" i="8"/>
  <c r="S740" i="8"/>
  <c r="U740" i="8" s="1"/>
  <c r="V740" i="8" s="1"/>
  <c r="E658" i="8"/>
  <c r="D658" i="8"/>
  <c r="S658" i="8"/>
  <c r="U658" i="8" s="1"/>
  <c r="V658" i="8" s="1"/>
  <c r="W658" i="8" s="1"/>
  <c r="E656" i="8"/>
  <c r="D656" i="8"/>
  <c r="S656" i="8"/>
  <c r="U656" i="8" s="1"/>
  <c r="V656" i="8" s="1"/>
  <c r="W656" i="8" s="1"/>
  <c r="E657" i="8"/>
  <c r="D657" i="8"/>
  <c r="S657" i="8"/>
  <c r="U657" i="8" s="1"/>
  <c r="V657" i="8" s="1"/>
  <c r="W657" i="8" s="1"/>
  <c r="E692" i="8"/>
  <c r="D692" i="8"/>
  <c r="AB692" i="8" s="1"/>
  <c r="S692" i="8"/>
  <c r="U692" i="8" s="1"/>
  <c r="V692" i="8" s="1"/>
  <c r="W692" i="8" s="1"/>
  <c r="D691" i="8"/>
  <c r="AB691" i="8" s="1"/>
  <c r="E691" i="8"/>
  <c r="S691" i="8"/>
  <c r="U691" i="8" s="1"/>
  <c r="V691" i="8" s="1"/>
  <c r="W691" i="8" s="1"/>
  <c r="D453" i="8"/>
  <c r="AB453" i="8" s="1"/>
  <c r="E453" i="8"/>
  <c r="S453" i="8"/>
  <c r="U453" i="8" s="1"/>
  <c r="V453" i="8" s="1"/>
  <c r="W453" i="8" s="1"/>
  <c r="E452" i="8"/>
  <c r="D452" i="8"/>
  <c r="AB452" i="8" s="1"/>
  <c r="S452" i="8"/>
  <c r="U452" i="8" s="1"/>
  <c r="V452" i="8" s="1"/>
  <c r="W452" i="8" s="1"/>
  <c r="E454" i="8"/>
  <c r="D454" i="8"/>
  <c r="AB454" i="8" s="1"/>
  <c r="S454" i="8"/>
  <c r="U454" i="8" s="1"/>
  <c r="V454" i="8" s="1"/>
  <c r="W454" i="8" s="1"/>
  <c r="D486" i="8"/>
  <c r="E486" i="8"/>
  <c r="S486" i="8"/>
  <c r="U486" i="8" s="1"/>
  <c r="V486" i="8" s="1"/>
  <c r="W486" i="8" s="1"/>
  <c r="E487" i="8"/>
  <c r="D487" i="8"/>
  <c r="S487" i="8"/>
  <c r="U487" i="8" s="1"/>
  <c r="V487" i="8" s="1"/>
  <c r="W487" i="8" s="1"/>
  <c r="D488" i="8"/>
  <c r="E488" i="8"/>
  <c r="S488" i="8"/>
  <c r="U488" i="8" s="1"/>
  <c r="V488" i="8" s="1"/>
  <c r="W488" i="8" s="1"/>
  <c r="E489" i="8"/>
  <c r="D489" i="8"/>
  <c r="S489" i="8"/>
  <c r="U489" i="8" s="1"/>
  <c r="V489" i="8" s="1"/>
  <c r="W489" i="8" s="1"/>
  <c r="E501" i="8"/>
  <c r="D501" i="8"/>
  <c r="AB501" i="8" s="1"/>
  <c r="S501" i="8"/>
  <c r="U501" i="8" s="1"/>
  <c r="V501" i="8" s="1"/>
  <c r="W501" i="8" s="1"/>
  <c r="E500" i="8"/>
  <c r="D500" i="8"/>
  <c r="AB500" i="8" s="1"/>
  <c r="S500" i="8"/>
  <c r="U500" i="8" s="1"/>
  <c r="V500" i="8" s="1"/>
  <c r="W500" i="8" s="1"/>
  <c r="E499" i="8"/>
  <c r="D499" i="8"/>
  <c r="AB499" i="8" s="1"/>
  <c r="S499" i="8"/>
  <c r="U499" i="8" s="1"/>
  <c r="V499" i="8" s="1"/>
  <c r="W499" i="8" s="1"/>
  <c r="E498" i="8"/>
  <c r="D498" i="8"/>
  <c r="AB498" i="8" s="1"/>
  <c r="S498" i="8"/>
  <c r="U498" i="8" s="1"/>
  <c r="V498" i="8" s="1"/>
  <c r="W498" i="8" s="1"/>
  <c r="E534" i="8"/>
  <c r="D534" i="8"/>
  <c r="AB534" i="8" s="1"/>
  <c r="S534" i="8"/>
  <c r="U534" i="8" s="1"/>
  <c r="V534" i="8" s="1"/>
  <c r="W534" i="8" s="1"/>
  <c r="E535" i="8"/>
  <c r="D535" i="8"/>
  <c r="AB535" i="8" s="1"/>
  <c r="S535" i="8"/>
  <c r="U535" i="8" s="1"/>
  <c r="V535" i="8" s="1"/>
  <c r="W535" i="8" s="1"/>
  <c r="E536" i="8"/>
  <c r="D536" i="8"/>
  <c r="AB536" i="8" s="1"/>
  <c r="S536" i="8"/>
  <c r="U536" i="8" s="1"/>
  <c r="V536" i="8" s="1"/>
  <c r="W536" i="8" s="1"/>
  <c r="E389" i="8"/>
  <c r="D389" i="8"/>
  <c r="AB389" i="8" s="1"/>
  <c r="S389" i="8"/>
  <c r="U389" i="8" s="1"/>
  <c r="V389" i="8" s="1"/>
  <c r="W389" i="8" s="1"/>
  <c r="E385" i="8"/>
  <c r="D385" i="8"/>
  <c r="AB385" i="8" s="1"/>
  <c r="S385" i="8"/>
  <c r="U385" i="8" s="1"/>
  <c r="V385" i="8" s="1"/>
  <c r="W385" i="8" s="1"/>
  <c r="E386" i="8"/>
  <c r="D386" i="8"/>
  <c r="AB386" i="8" s="1"/>
  <c r="S386" i="8"/>
  <c r="U386" i="8" s="1"/>
  <c r="V386" i="8" s="1"/>
  <c r="W386" i="8" s="1"/>
  <c r="E387" i="8"/>
  <c r="D387" i="8"/>
  <c r="AB387" i="8" s="1"/>
  <c r="S387" i="8"/>
  <c r="U387" i="8" s="1"/>
  <c r="V387" i="8" s="1"/>
  <c r="W387" i="8" s="1"/>
  <c r="E388" i="8"/>
  <c r="D388" i="8"/>
  <c r="AB388" i="8" s="1"/>
  <c r="S388" i="8"/>
  <c r="U388" i="8" s="1"/>
  <c r="V388" i="8" s="1"/>
  <c r="W388" i="8" s="1"/>
  <c r="E645" i="8"/>
  <c r="D645" i="8"/>
  <c r="AB645" i="8" s="1"/>
  <c r="S645" i="8"/>
  <c r="U645" i="8" s="1"/>
  <c r="V645" i="8" s="1"/>
  <c r="W645" i="8" s="1"/>
  <c r="E646" i="8"/>
  <c r="D646" i="8"/>
  <c r="AB646" i="8" s="1"/>
  <c r="S646" i="8"/>
  <c r="U646" i="8" s="1"/>
  <c r="V646" i="8" s="1"/>
  <c r="W646" i="8" s="1"/>
  <c r="X646" i="8" s="1"/>
  <c r="E444" i="8"/>
  <c r="D444" i="8"/>
  <c r="S444" i="8"/>
  <c r="U444" i="8" s="1"/>
  <c r="V444" i="8" s="1"/>
  <c r="W444" i="8" s="1"/>
  <c r="E445" i="8"/>
  <c r="D445" i="8"/>
  <c r="S445" i="8"/>
  <c r="U445" i="8" s="1"/>
  <c r="V445" i="8" s="1"/>
  <c r="W445" i="8" s="1"/>
  <c r="E446" i="8"/>
  <c r="D446" i="8"/>
  <c r="S446" i="8"/>
  <c r="U446" i="8" s="1"/>
  <c r="V446" i="8" s="1"/>
  <c r="W446" i="8" s="1"/>
  <c r="D739" i="8"/>
  <c r="AB739" i="8" s="1"/>
  <c r="E739" i="8"/>
  <c r="S739" i="8"/>
  <c r="U739" i="8" s="1"/>
  <c r="V739" i="8" s="1"/>
  <c r="W739" i="8" s="1"/>
  <c r="E738" i="8"/>
  <c r="D738" i="8"/>
  <c r="AB738" i="8" s="1"/>
  <c r="S738" i="8"/>
  <c r="U738" i="8" s="1"/>
  <c r="V738" i="8" s="1"/>
  <c r="W738" i="8" s="1"/>
  <c r="D737" i="8"/>
  <c r="AB737" i="8" s="1"/>
  <c r="E737" i="8"/>
  <c r="S737" i="8"/>
  <c r="U737" i="8" s="1"/>
  <c r="V737" i="8" s="1"/>
  <c r="W737" i="8" s="1"/>
  <c r="E724" i="8"/>
  <c r="D724" i="8"/>
  <c r="AB724" i="8" s="1"/>
  <c r="S724" i="8"/>
  <c r="U724" i="8" s="1"/>
  <c r="V724" i="8" s="1"/>
  <c r="W724" i="8" s="1"/>
  <c r="E723" i="8"/>
  <c r="D723" i="8"/>
  <c r="AB723" i="8" s="1"/>
  <c r="S723" i="8"/>
  <c r="U723" i="8" s="1"/>
  <c r="V723" i="8" s="1"/>
  <c r="W723" i="8" s="1"/>
  <c r="E720" i="8"/>
  <c r="D720" i="8"/>
  <c r="AB720" i="8" s="1"/>
  <c r="S720" i="8"/>
  <c r="U720" i="8" s="1"/>
  <c r="V720" i="8" s="1"/>
  <c r="W720" i="8" s="1"/>
  <c r="E721" i="8"/>
  <c r="D721" i="8"/>
  <c r="AB721" i="8" s="1"/>
  <c r="S721" i="8"/>
  <c r="U721" i="8" s="1"/>
  <c r="V721" i="8" s="1"/>
  <c r="W721" i="8" s="1"/>
  <c r="E722" i="8"/>
  <c r="D722" i="8"/>
  <c r="AB722" i="8" s="1"/>
  <c r="S722" i="8"/>
  <c r="U722" i="8" s="1"/>
  <c r="V722" i="8" s="1"/>
  <c r="W722" i="8" s="1"/>
  <c r="D440" i="8"/>
  <c r="AB440" i="8" s="1"/>
  <c r="E440" i="8"/>
  <c r="S440" i="8"/>
  <c r="U440" i="8" s="1"/>
  <c r="V440" i="8" s="1"/>
  <c r="W440" i="8" s="1"/>
  <c r="E438" i="8"/>
  <c r="D438" i="8"/>
  <c r="AB438" i="8" s="1"/>
  <c r="S438" i="8"/>
  <c r="U438" i="8" s="1"/>
  <c r="V438" i="8" s="1"/>
  <c r="W438" i="8" s="1"/>
  <c r="E439" i="8"/>
  <c r="D439" i="8"/>
  <c r="AB439" i="8" s="1"/>
  <c r="S439" i="8"/>
  <c r="U439" i="8" s="1"/>
  <c r="V439" i="8" s="1"/>
  <c r="W439" i="8" s="1"/>
  <c r="E418" i="8"/>
  <c r="D418" i="8"/>
  <c r="AB418" i="8" s="1"/>
  <c r="S418" i="8"/>
  <c r="U418" i="8" s="1"/>
  <c r="V418" i="8" s="1"/>
  <c r="W418" i="8" s="1"/>
  <c r="E417" i="8"/>
  <c r="D417" i="8"/>
  <c r="AB417" i="8" s="1"/>
  <c r="S417" i="8"/>
  <c r="U417" i="8" s="1"/>
  <c r="V417" i="8" s="1"/>
  <c r="W417" i="8" s="1"/>
  <c r="E419" i="8"/>
  <c r="D419" i="8"/>
  <c r="AB419" i="8" s="1"/>
  <c r="S419" i="8"/>
  <c r="U419" i="8" s="1"/>
  <c r="V419" i="8" s="1"/>
  <c r="W419" i="8" s="1"/>
  <c r="E651" i="8"/>
  <c r="D651" i="8"/>
  <c r="AB651" i="8" s="1"/>
  <c r="S651" i="8"/>
  <c r="U651" i="8" s="1"/>
  <c r="V651" i="8" s="1"/>
  <c r="W651" i="8" s="1"/>
  <c r="E650" i="8"/>
  <c r="D650" i="8"/>
  <c r="AB650" i="8" s="1"/>
  <c r="S650" i="8"/>
  <c r="U650" i="8" s="1"/>
  <c r="V650" i="8" s="1"/>
  <c r="W650" i="8" s="1"/>
  <c r="E652" i="8"/>
  <c r="D652" i="8"/>
  <c r="AB652" i="8" s="1"/>
  <c r="S652" i="8"/>
  <c r="U652" i="8" s="1"/>
  <c r="V652" i="8" s="1"/>
  <c r="W652" i="8" s="1"/>
  <c r="D769" i="8"/>
  <c r="AB769" i="8" s="1"/>
  <c r="E769" i="8"/>
  <c r="S769" i="8"/>
  <c r="U769" i="8" s="1"/>
  <c r="V769" i="8" s="1"/>
  <c r="W769" i="8" s="1"/>
  <c r="D770" i="8"/>
  <c r="AB770" i="8" s="1"/>
  <c r="E770" i="8"/>
  <c r="S770" i="8"/>
  <c r="U770" i="8" s="1"/>
  <c r="V770" i="8" s="1"/>
  <c r="W770" i="8" s="1"/>
  <c r="E771" i="8"/>
  <c r="D771" i="8"/>
  <c r="AB771" i="8" s="1"/>
  <c r="S771" i="8"/>
  <c r="U771" i="8" s="1"/>
  <c r="V771" i="8" s="1"/>
  <c r="W771" i="8" s="1"/>
  <c r="E531" i="8"/>
  <c r="D531" i="8"/>
  <c r="AB531" i="8" s="1"/>
  <c r="S531" i="8"/>
  <c r="U531" i="8" s="1"/>
  <c r="V531" i="8" s="1"/>
  <c r="W531" i="8" s="1"/>
  <c r="E702" i="8"/>
  <c r="D702" i="8"/>
  <c r="AB702" i="8" s="1"/>
  <c r="S702" i="8"/>
  <c r="U702" i="8" s="1"/>
  <c r="V702" i="8" s="1"/>
  <c r="W702" i="8" s="1"/>
  <c r="D546" i="8"/>
  <c r="AB546" i="8" s="1"/>
  <c r="E546" i="8"/>
  <c r="S546" i="8"/>
  <c r="U546" i="8" s="1"/>
  <c r="V546" i="8" s="1"/>
  <c r="W546" i="8" s="1"/>
  <c r="E545" i="8"/>
  <c r="D545" i="8"/>
  <c r="AB545" i="8" s="1"/>
  <c r="S545" i="8"/>
  <c r="U545" i="8" s="1"/>
  <c r="V545" i="8" s="1"/>
  <c r="W545" i="8" s="1"/>
  <c r="E543" i="8"/>
  <c r="D543" i="8"/>
  <c r="AB543" i="8" s="1"/>
  <c r="S543" i="8"/>
  <c r="U543" i="8" s="1"/>
  <c r="V543" i="8" s="1"/>
  <c r="W543" i="8" s="1"/>
  <c r="D544" i="8"/>
  <c r="AB544" i="8" s="1"/>
  <c r="E544" i="8"/>
  <c r="S544" i="8"/>
  <c r="U544" i="8" s="1"/>
  <c r="V544" i="8" s="1"/>
  <c r="W544" i="8" s="1"/>
  <c r="E478" i="8"/>
  <c r="D478" i="8"/>
  <c r="S478" i="8"/>
  <c r="U478" i="8" s="1"/>
  <c r="V478" i="8" s="1"/>
  <c r="W478" i="8" s="1"/>
  <c r="E476" i="8"/>
  <c r="D476" i="8"/>
  <c r="S476" i="8"/>
  <c r="U476" i="8" s="1"/>
  <c r="V476" i="8" s="1"/>
  <c r="W476" i="8" s="1"/>
  <c r="E477" i="8"/>
  <c r="D477" i="8"/>
  <c r="S477" i="8"/>
  <c r="U477" i="8" s="1"/>
  <c r="V477" i="8" s="1"/>
  <c r="W477" i="8" s="1"/>
  <c r="E422" i="8"/>
  <c r="D422" i="8"/>
  <c r="AB422" i="8" s="1"/>
  <c r="S422" i="8"/>
  <c r="U422" i="8" s="1"/>
  <c r="V422" i="8" s="1"/>
  <c r="W422" i="8" s="1"/>
  <c r="E421" i="8"/>
  <c r="D421" i="8"/>
  <c r="AB421" i="8" s="1"/>
  <c r="S421" i="8"/>
  <c r="U421" i="8" s="1"/>
  <c r="V421" i="8" s="1"/>
  <c r="W421" i="8" s="1"/>
  <c r="E420" i="8"/>
  <c r="D420" i="8"/>
  <c r="AB420" i="8" s="1"/>
  <c r="S420" i="8"/>
  <c r="U420" i="8" s="1"/>
  <c r="V420" i="8" s="1"/>
  <c r="W420" i="8" s="1"/>
  <c r="E627" i="8"/>
  <c r="D627" i="8"/>
  <c r="AB627" i="8" s="1"/>
  <c r="S627" i="8"/>
  <c r="U627" i="8" s="1"/>
  <c r="V627" i="8" s="1"/>
  <c r="W627" i="8" s="1"/>
  <c r="E628" i="8"/>
  <c r="D628" i="8"/>
  <c r="AB628" i="8" s="1"/>
  <c r="S628" i="8"/>
  <c r="U628" i="8" s="1"/>
  <c r="V628" i="8" s="1"/>
  <c r="W628" i="8" s="1"/>
  <c r="E626" i="8"/>
  <c r="D626" i="8"/>
  <c r="AB626" i="8" s="1"/>
  <c r="S626" i="8"/>
  <c r="U626" i="8" s="1"/>
  <c r="V626" i="8" s="1"/>
  <c r="W626" i="8" s="1"/>
  <c r="E468" i="8"/>
  <c r="D468" i="8"/>
  <c r="AB468" i="8" s="1"/>
  <c r="S468" i="8"/>
  <c r="U468" i="8" s="1"/>
  <c r="V468" i="8" s="1"/>
  <c r="W468" i="8" s="1"/>
  <c r="E466" i="8"/>
  <c r="D466" i="8"/>
  <c r="AB466" i="8" s="1"/>
  <c r="S466" i="8"/>
  <c r="U466" i="8" s="1"/>
  <c r="V466" i="8" s="1"/>
  <c r="W466" i="8" s="1"/>
  <c r="E467" i="8"/>
  <c r="D467" i="8"/>
  <c r="AB467" i="8" s="1"/>
  <c r="S467" i="8"/>
  <c r="U467" i="8" s="1"/>
  <c r="V467" i="8" s="1"/>
  <c r="W467" i="8" s="1"/>
  <c r="E479" i="8"/>
  <c r="D479" i="8"/>
  <c r="AB479" i="8" s="1"/>
  <c r="S479" i="8"/>
  <c r="U479" i="8" s="1"/>
  <c r="V479" i="8" s="1"/>
  <c r="W479" i="8" s="1"/>
  <c r="D481" i="8"/>
  <c r="AB481" i="8" s="1"/>
  <c r="E481" i="8"/>
  <c r="S481" i="8"/>
  <c r="U481" i="8" s="1"/>
  <c r="V481" i="8" s="1"/>
  <c r="W481" i="8" s="1"/>
  <c r="E480" i="8"/>
  <c r="D480" i="8"/>
  <c r="AB480" i="8" s="1"/>
  <c r="S480" i="8"/>
  <c r="U480" i="8" s="1"/>
  <c r="V480" i="8" s="1"/>
  <c r="W480" i="8" s="1"/>
  <c r="E469" i="8"/>
  <c r="D469" i="8"/>
  <c r="AB469" i="8" s="1"/>
  <c r="S469" i="8"/>
  <c r="U469" i="8" s="1"/>
  <c r="V469" i="8" s="1"/>
  <c r="W469" i="8" s="1"/>
  <c r="D470" i="8"/>
  <c r="AB470" i="8" s="1"/>
  <c r="E470" i="8"/>
  <c r="S470" i="8"/>
  <c r="U470" i="8" s="1"/>
  <c r="V470" i="8" s="1"/>
  <c r="W470" i="8" s="1"/>
  <c r="E559" i="8"/>
  <c r="D559" i="8"/>
  <c r="AB559" i="8" s="1"/>
  <c r="S559" i="8"/>
  <c r="U559" i="8" s="1"/>
  <c r="V559" i="8" s="1"/>
  <c r="W559" i="8" s="1"/>
  <c r="E558" i="8"/>
  <c r="D558" i="8"/>
  <c r="AB558" i="8" s="1"/>
  <c r="S558" i="8"/>
  <c r="U558" i="8" s="1"/>
  <c r="V558" i="8" s="1"/>
  <c r="W558" i="8" s="1"/>
  <c r="D432" i="8"/>
  <c r="AB432" i="8" s="1"/>
  <c r="E432" i="8"/>
  <c r="S432" i="8"/>
  <c r="U432" i="8" s="1"/>
  <c r="V432" i="8" s="1"/>
  <c r="W432" i="8" s="1"/>
  <c r="E433" i="8"/>
  <c r="D433" i="8"/>
  <c r="AB433" i="8" s="1"/>
  <c r="S433" i="8"/>
  <c r="U433" i="8" s="1"/>
  <c r="V433" i="8" s="1"/>
  <c r="W433" i="8" s="1"/>
  <c r="E434" i="8"/>
  <c r="D434" i="8"/>
  <c r="AB434" i="8" s="1"/>
  <c r="S434" i="8"/>
  <c r="U434" i="8" s="1"/>
  <c r="V434" i="8" s="1"/>
  <c r="W434" i="8" s="1"/>
  <c r="E538" i="8"/>
  <c r="D538" i="8"/>
  <c r="AB538" i="8" s="1"/>
  <c r="S538" i="8"/>
  <c r="U538" i="8" s="1"/>
  <c r="V538" i="8" s="1"/>
  <c r="W538" i="8" s="1"/>
  <c r="D537" i="8"/>
  <c r="AB537" i="8" s="1"/>
  <c r="E537" i="8"/>
  <c r="S537" i="8"/>
  <c r="U537" i="8" s="1"/>
  <c r="V537" i="8" s="1"/>
  <c r="W537" i="8" s="1"/>
  <c r="E402" i="8"/>
  <c r="D402" i="8"/>
  <c r="AB402" i="8" s="1"/>
  <c r="S402" i="8"/>
  <c r="U402" i="8" s="1"/>
  <c r="V402" i="8" s="1"/>
  <c r="W402" i="8" s="1"/>
  <c r="E401" i="8"/>
  <c r="D401" i="8"/>
  <c r="AB401" i="8" s="1"/>
  <c r="S401" i="8"/>
  <c r="U401" i="8" s="1"/>
  <c r="V401" i="8" s="1"/>
  <c r="W401" i="8" s="1"/>
  <c r="E405" i="8"/>
  <c r="D405" i="8"/>
  <c r="AB405" i="8" s="1"/>
  <c r="S405" i="8"/>
  <c r="U405" i="8" s="1"/>
  <c r="V405" i="8" s="1"/>
  <c r="W405" i="8" s="1"/>
  <c r="E404" i="8"/>
  <c r="D404" i="8"/>
  <c r="AB404" i="8" s="1"/>
  <c r="S404" i="8"/>
  <c r="U404" i="8" s="1"/>
  <c r="V404" i="8" s="1"/>
  <c r="W404" i="8" s="1"/>
  <c r="X404" i="8" s="1"/>
  <c r="E403" i="8"/>
  <c r="D403" i="8"/>
  <c r="AB403" i="8" s="1"/>
  <c r="S403" i="8"/>
  <c r="U403" i="8" s="1"/>
  <c r="V403" i="8" s="1"/>
  <c r="W403" i="8" s="1"/>
  <c r="E394" i="8"/>
  <c r="D394" i="8"/>
  <c r="AB394" i="8" s="1"/>
  <c r="S394" i="8"/>
  <c r="U394" i="8" s="1"/>
  <c r="V394" i="8" s="1"/>
  <c r="W394" i="8" s="1"/>
  <c r="E395" i="8"/>
  <c r="D395" i="8"/>
  <c r="AB395" i="8" s="1"/>
  <c r="S395" i="8"/>
  <c r="U395" i="8" s="1"/>
  <c r="V395" i="8" s="1"/>
  <c r="W395" i="8" s="1"/>
  <c r="E396" i="8"/>
  <c r="D396" i="8"/>
  <c r="AB396" i="8" s="1"/>
  <c r="S396" i="8"/>
  <c r="U396" i="8" s="1"/>
  <c r="V396" i="8" s="1"/>
  <c r="W396" i="8" s="1"/>
  <c r="E788" i="8"/>
  <c r="D788" i="8"/>
  <c r="AB788" i="8" s="1"/>
  <c r="S788" i="8"/>
  <c r="U788" i="8" s="1"/>
  <c r="V788" i="8" s="1"/>
  <c r="W788" i="8" s="1"/>
  <c r="E785" i="8"/>
  <c r="D785" i="8"/>
  <c r="AB785" i="8" s="1"/>
  <c r="S785" i="8"/>
  <c r="U785" i="8" s="1"/>
  <c r="V785" i="8" s="1"/>
  <c r="W785" i="8" s="1"/>
  <c r="E786" i="8"/>
  <c r="D786" i="8"/>
  <c r="AB786" i="8" s="1"/>
  <c r="S786" i="8"/>
  <c r="U786" i="8" s="1"/>
  <c r="V786" i="8" s="1"/>
  <c r="W786" i="8" s="1"/>
  <c r="E787" i="8"/>
  <c r="D787" i="8"/>
  <c r="AB787" i="8" s="1"/>
  <c r="S787" i="8"/>
  <c r="U787" i="8" s="1"/>
  <c r="V787" i="8" s="1"/>
  <c r="W787" i="8" s="1"/>
  <c r="E762" i="8"/>
  <c r="D762" i="8"/>
  <c r="S762" i="8"/>
  <c r="U762" i="8" s="1"/>
  <c r="V762" i="8" s="1"/>
  <c r="W762" i="8" s="1"/>
  <c r="E783" i="8"/>
  <c r="D783" i="8"/>
  <c r="S783" i="8"/>
  <c r="U783" i="8" s="1"/>
  <c r="V783" i="8" s="1"/>
  <c r="W783" i="8" s="1"/>
  <c r="E763" i="8"/>
  <c r="D763" i="8"/>
  <c r="S763" i="8"/>
  <c r="U763" i="8" s="1"/>
  <c r="V763" i="8" s="1"/>
  <c r="W763" i="8" s="1"/>
  <c r="E765" i="8"/>
  <c r="D765" i="8"/>
  <c r="S765" i="8"/>
  <c r="U765" i="8" s="1"/>
  <c r="V765" i="8" s="1"/>
  <c r="W765" i="8" s="1"/>
  <c r="E764" i="8"/>
  <c r="D764" i="8"/>
  <c r="S764" i="8"/>
  <c r="U764" i="8" s="1"/>
  <c r="V764" i="8" s="1"/>
  <c r="W764" i="8" s="1"/>
  <c r="E507" i="8"/>
  <c r="D507" i="8"/>
  <c r="AB507" i="8" s="1"/>
  <c r="S507" i="8"/>
  <c r="U507" i="8" s="1"/>
  <c r="V507" i="8" s="1"/>
  <c r="W507" i="8" s="1"/>
  <c r="D506" i="8"/>
  <c r="AB506" i="8" s="1"/>
  <c r="E506" i="8"/>
  <c r="S506" i="8"/>
  <c r="U506" i="8" s="1"/>
  <c r="V506" i="8" s="1"/>
  <c r="W506" i="8" s="1"/>
  <c r="E508" i="8"/>
  <c r="D508" i="8"/>
  <c r="AB508" i="8" s="1"/>
  <c r="S508" i="8"/>
  <c r="U508" i="8" s="1"/>
  <c r="V508" i="8" s="1"/>
  <c r="W508" i="8" s="1"/>
  <c r="D509" i="8"/>
  <c r="AB509" i="8" s="1"/>
  <c r="E509" i="8"/>
  <c r="S509" i="8"/>
  <c r="U509" i="8" s="1"/>
  <c r="V509" i="8" s="1"/>
  <c r="W509" i="8" s="1"/>
  <c r="E414" i="8"/>
  <c r="D414" i="8"/>
  <c r="AB414" i="8" s="1"/>
  <c r="S414" i="8"/>
  <c r="U414" i="8" s="1"/>
  <c r="V414" i="8" s="1"/>
  <c r="W414" i="8" s="1"/>
  <c r="E415" i="8"/>
  <c r="D415" i="8"/>
  <c r="AB415" i="8" s="1"/>
  <c r="S415" i="8"/>
  <c r="U415" i="8" s="1"/>
  <c r="V415" i="8" s="1"/>
  <c r="W415" i="8" s="1"/>
  <c r="E416" i="8"/>
  <c r="D416" i="8"/>
  <c r="AB416" i="8" s="1"/>
  <c r="S416" i="8"/>
  <c r="U416" i="8" s="1"/>
  <c r="V416" i="8" s="1"/>
  <c r="W416" i="8" s="1"/>
  <c r="D36" i="13"/>
  <c r="B36" i="13"/>
  <c r="C36" i="13"/>
  <c r="C54" i="13"/>
  <c r="B54" i="13"/>
  <c r="D54" i="13"/>
  <c r="B56" i="13"/>
  <c r="C56" i="13"/>
  <c r="D56" i="13"/>
  <c r="D63" i="13"/>
  <c r="B63" i="13"/>
  <c r="C63" i="13"/>
  <c r="B88" i="13"/>
  <c r="D88" i="13"/>
  <c r="C88" i="13"/>
  <c r="D100" i="13"/>
  <c r="B100" i="13"/>
  <c r="C100" i="13"/>
  <c r="C103" i="13"/>
  <c r="B103" i="13"/>
  <c r="D103" i="13"/>
  <c r="B105" i="13"/>
  <c r="C105" i="13"/>
  <c r="D105" i="13"/>
  <c r="B115" i="13"/>
  <c r="C115" i="13"/>
  <c r="D115" i="13"/>
  <c r="D130" i="13"/>
  <c r="C130" i="13"/>
  <c r="B130" i="13"/>
  <c r="D154" i="13"/>
  <c r="C154" i="13"/>
  <c r="B154" i="13"/>
  <c r="C167" i="13"/>
  <c r="B167" i="13"/>
  <c r="D167" i="13"/>
  <c r="C175" i="13"/>
  <c r="B175" i="13"/>
  <c r="D175" i="13"/>
  <c r="B189" i="13"/>
  <c r="C189" i="13"/>
  <c r="D189" i="13"/>
  <c r="B196" i="13"/>
  <c r="D196" i="13"/>
  <c r="C196" i="13"/>
  <c r="D208" i="13"/>
  <c r="C208" i="13"/>
  <c r="B208" i="13"/>
  <c r="B218" i="13"/>
  <c r="C218" i="13"/>
  <c r="D218" i="13"/>
  <c r="D237" i="13"/>
  <c r="B237" i="13"/>
  <c r="C237" i="13"/>
  <c r="E266" i="8"/>
  <c r="D266" i="8"/>
  <c r="AB266" i="8" s="1"/>
  <c r="S266" i="8"/>
  <c r="U266" i="8" s="1"/>
  <c r="V266" i="8" s="1"/>
  <c r="E264" i="8"/>
  <c r="D264" i="8"/>
  <c r="AB264" i="8" s="1"/>
  <c r="S264" i="8"/>
  <c r="U264" i="8" s="1"/>
  <c r="V264" i="8" s="1"/>
  <c r="W264" i="8" s="1"/>
  <c r="E265" i="8"/>
  <c r="D265" i="8"/>
  <c r="AB265" i="8" s="1"/>
  <c r="S265" i="8"/>
  <c r="U265" i="8" s="1"/>
  <c r="V265" i="8" s="1"/>
  <c r="E267" i="8"/>
  <c r="D267" i="8"/>
  <c r="AB267" i="8" s="1"/>
  <c r="S267" i="8"/>
  <c r="U267" i="8" s="1"/>
  <c r="V267" i="8" s="1"/>
  <c r="W267" i="8" s="1"/>
  <c r="E268" i="8"/>
  <c r="D268" i="8"/>
  <c r="AB268" i="8" s="1"/>
  <c r="S268" i="8"/>
  <c r="U268" i="8" s="1"/>
  <c r="V268" i="8" s="1"/>
  <c r="W268" i="8" s="1"/>
  <c r="D319" i="8"/>
  <c r="E319" i="8"/>
  <c r="S319" i="8"/>
  <c r="U319" i="8" s="1"/>
  <c r="V319" i="8" s="1"/>
  <c r="W319" i="8" s="1"/>
  <c r="D318" i="8"/>
  <c r="E318" i="8"/>
  <c r="S318" i="8"/>
  <c r="U318" i="8" s="1"/>
  <c r="V318" i="8" s="1"/>
  <c r="W318" i="8" s="1"/>
  <c r="E322" i="8"/>
  <c r="D322" i="8"/>
  <c r="S322" i="8"/>
  <c r="U322" i="8" s="1"/>
  <c r="V322" i="8" s="1"/>
  <c r="W322" i="8" s="1"/>
  <c r="D321" i="8"/>
  <c r="E321" i="8"/>
  <c r="S321" i="8"/>
  <c r="U321" i="8" s="1"/>
  <c r="V321" i="8" s="1"/>
  <c r="W321" i="8" s="1"/>
  <c r="E320" i="8"/>
  <c r="D320" i="8"/>
  <c r="S320" i="8"/>
  <c r="U320" i="8" s="1"/>
  <c r="V320" i="8" s="1"/>
  <c r="W320" i="8" s="1"/>
  <c r="E324" i="8"/>
  <c r="D324" i="8"/>
  <c r="S324" i="8"/>
  <c r="U324" i="8" s="1"/>
  <c r="V324" i="8" s="1"/>
  <c r="W324" i="8" s="1"/>
  <c r="D323" i="8"/>
  <c r="E323" i="8"/>
  <c r="S323" i="8"/>
  <c r="U323" i="8" s="1"/>
  <c r="V323" i="8" s="1"/>
  <c r="W323" i="8" s="1"/>
  <c r="D328" i="8"/>
  <c r="E328" i="8"/>
  <c r="S328" i="8"/>
  <c r="U328" i="8" s="1"/>
  <c r="V328" i="8" s="1"/>
  <c r="W328" i="8" s="1"/>
  <c r="D325" i="8"/>
  <c r="E325" i="8"/>
  <c r="S325" i="8"/>
  <c r="U325" i="8" s="1"/>
  <c r="V325" i="8" s="1"/>
  <c r="W325" i="8" s="1"/>
  <c r="E326" i="8"/>
  <c r="D326" i="8"/>
  <c r="S326" i="8"/>
  <c r="U326" i="8" s="1"/>
  <c r="V326" i="8" s="1"/>
  <c r="W326" i="8" s="1"/>
  <c r="E327" i="8"/>
  <c r="D327" i="8"/>
  <c r="S327" i="8"/>
  <c r="U327" i="8" s="1"/>
  <c r="V327" i="8" s="1"/>
  <c r="W327" i="8" s="1"/>
  <c r="E259" i="8"/>
  <c r="D259" i="8"/>
  <c r="S259" i="8"/>
  <c r="U259" i="8" s="1"/>
  <c r="V259" i="8" s="1"/>
  <c r="W259" i="8" s="1"/>
  <c r="D260" i="8"/>
  <c r="E260" i="8"/>
  <c r="S260" i="8"/>
  <c r="U260" i="8" s="1"/>
  <c r="V260" i="8" s="1"/>
  <c r="D261" i="8"/>
  <c r="E261" i="8"/>
  <c r="S261" i="8"/>
  <c r="U261" i="8" s="1"/>
  <c r="V261" i="8" s="1"/>
  <c r="E262" i="8"/>
  <c r="D262" i="8"/>
  <c r="S262" i="8"/>
  <c r="U262" i="8" s="1"/>
  <c r="V262" i="8" s="1"/>
  <c r="W262" i="8" s="1"/>
  <c r="E263" i="8"/>
  <c r="D263" i="8"/>
  <c r="S263" i="8"/>
  <c r="U263" i="8" s="1"/>
  <c r="V263" i="8" s="1"/>
  <c r="W263" i="8" s="1"/>
  <c r="D279" i="8"/>
  <c r="E279" i="8"/>
  <c r="S279" i="8"/>
  <c r="U279" i="8" s="1"/>
  <c r="V279" i="8" s="1"/>
  <c r="W279" i="8" s="1"/>
  <c r="E280" i="8"/>
  <c r="D280" i="8"/>
  <c r="S280" i="8"/>
  <c r="U280" i="8" s="1"/>
  <c r="V280" i="8" s="1"/>
  <c r="W280" i="8" s="1"/>
  <c r="E274" i="8"/>
  <c r="D274" i="8"/>
  <c r="S274" i="8"/>
  <c r="U274" i="8" s="1"/>
  <c r="V274" i="8" s="1"/>
  <c r="E273" i="8"/>
  <c r="D273" i="8"/>
  <c r="S273" i="8"/>
  <c r="U273" i="8" s="1"/>
  <c r="V273" i="8" s="1"/>
  <c r="E275" i="8"/>
  <c r="D275" i="8"/>
  <c r="S275" i="8"/>
  <c r="U275" i="8" s="1"/>
  <c r="V275" i="8" s="1"/>
  <c r="W275" i="8" s="1"/>
  <c r="D276" i="8"/>
  <c r="E276" i="8"/>
  <c r="S276" i="8"/>
  <c r="U276" i="8" s="1"/>
  <c r="V276" i="8" s="1"/>
  <c r="W276" i="8" s="1"/>
  <c r="D277" i="8"/>
  <c r="E277" i="8"/>
  <c r="S277" i="8"/>
  <c r="U277" i="8" s="1"/>
  <c r="V277" i="8" s="1"/>
  <c r="W277" i="8" s="1"/>
  <c r="E278" i="8"/>
  <c r="D278" i="8"/>
  <c r="S278" i="8"/>
  <c r="U278" i="8" s="1"/>
  <c r="V278" i="8" s="1"/>
  <c r="W278" i="8" s="1"/>
  <c r="X278" i="8" s="1"/>
  <c r="D355" i="8"/>
  <c r="E355" i="8"/>
  <c r="S355" i="8"/>
  <c r="U355" i="8" s="1"/>
  <c r="V355" i="8" s="1"/>
  <c r="W355" i="8" s="1"/>
  <c r="D356" i="8"/>
  <c r="E356" i="8"/>
  <c r="S356" i="8"/>
  <c r="U356" i="8" s="1"/>
  <c r="V356" i="8" s="1"/>
  <c r="W356" i="8" s="1"/>
  <c r="E357" i="8"/>
  <c r="D357" i="8"/>
  <c r="S357" i="8"/>
  <c r="U357" i="8" s="1"/>
  <c r="V357" i="8" s="1"/>
  <c r="W357" i="8" s="1"/>
  <c r="E358" i="8"/>
  <c r="D358" i="8"/>
  <c r="S358" i="8"/>
  <c r="U358" i="8" s="1"/>
  <c r="V358" i="8" s="1"/>
  <c r="W358" i="8" s="1"/>
  <c r="D359" i="8"/>
  <c r="E359" i="8"/>
  <c r="S359" i="8"/>
  <c r="U359" i="8" s="1"/>
  <c r="V359" i="8" s="1"/>
  <c r="W359" i="8" s="1"/>
  <c r="E303" i="8"/>
  <c r="D303" i="8"/>
  <c r="S303" i="8"/>
  <c r="U303" i="8" s="1"/>
  <c r="V303" i="8" s="1"/>
  <c r="W303" i="8" s="1"/>
  <c r="D302" i="8"/>
  <c r="E302" i="8"/>
  <c r="S302" i="8"/>
  <c r="U302" i="8" s="1"/>
  <c r="V302" i="8" s="1"/>
  <c r="W302" i="8" s="1"/>
  <c r="E300" i="8"/>
  <c r="D300" i="8"/>
  <c r="S300" i="8"/>
  <c r="U300" i="8" s="1"/>
  <c r="V300" i="8" s="1"/>
  <c r="W300" i="8" s="1"/>
  <c r="D299" i="8"/>
  <c r="E299" i="8"/>
  <c r="S299" i="8"/>
  <c r="U299" i="8" s="1"/>
  <c r="V299" i="8" s="1"/>
  <c r="W299" i="8" s="1"/>
  <c r="D301" i="8"/>
  <c r="E301" i="8"/>
  <c r="S301" i="8"/>
  <c r="U301" i="8" s="1"/>
  <c r="V301" i="8" s="1"/>
  <c r="W301" i="8" s="1"/>
  <c r="D330" i="8"/>
  <c r="E330" i="8"/>
  <c r="S330" i="8"/>
  <c r="U330" i="8" s="1"/>
  <c r="V330" i="8" s="1"/>
  <c r="W330" i="8" s="1"/>
  <c r="D332" i="8"/>
  <c r="E332" i="8"/>
  <c r="S332" i="8"/>
  <c r="U332" i="8" s="1"/>
  <c r="V332" i="8" s="1"/>
  <c r="W332" i="8" s="1"/>
  <c r="D331" i="8"/>
  <c r="E331" i="8"/>
  <c r="S331" i="8"/>
  <c r="U331" i="8" s="1"/>
  <c r="V331" i="8" s="1"/>
  <c r="W331" i="8" s="1"/>
  <c r="E329" i="8"/>
  <c r="D329" i="8"/>
  <c r="S329" i="8"/>
  <c r="U329" i="8" s="1"/>
  <c r="V329" i="8" s="1"/>
  <c r="W329" i="8" s="1"/>
  <c r="E282" i="8"/>
  <c r="D282" i="8"/>
  <c r="S282" i="8"/>
  <c r="U282" i="8" s="1"/>
  <c r="V282" i="8" s="1"/>
  <c r="W282" i="8" s="1"/>
  <c r="D281" i="8"/>
  <c r="E281" i="8"/>
  <c r="S281" i="8"/>
  <c r="U281" i="8" s="1"/>
  <c r="V281" i="8" s="1"/>
  <c r="W281" i="8" s="1"/>
  <c r="D284" i="8"/>
  <c r="E284" i="8"/>
  <c r="S284" i="8"/>
  <c r="U284" i="8" s="1"/>
  <c r="V284" i="8" s="1"/>
  <c r="W284" i="8" s="1"/>
  <c r="E283" i="8"/>
  <c r="D283" i="8"/>
  <c r="S283" i="8"/>
  <c r="U283" i="8" s="1"/>
  <c r="V283" i="8" s="1"/>
  <c r="W283" i="8" s="1"/>
  <c r="E285" i="8"/>
  <c r="D285" i="8"/>
  <c r="S285" i="8"/>
  <c r="U285" i="8" s="1"/>
  <c r="V285" i="8" s="1"/>
  <c r="W285" i="8" s="1"/>
  <c r="E336" i="8"/>
  <c r="D336" i="8"/>
  <c r="S336" i="8"/>
  <c r="U336" i="8" s="1"/>
  <c r="V336" i="8" s="1"/>
  <c r="W336" i="8" s="1"/>
  <c r="D337" i="8"/>
  <c r="E337" i="8"/>
  <c r="S337" i="8"/>
  <c r="U337" i="8" s="1"/>
  <c r="V337" i="8" s="1"/>
  <c r="W337" i="8" s="1"/>
  <c r="E338" i="8"/>
  <c r="D338" i="8"/>
  <c r="S338" i="8"/>
  <c r="U338" i="8" s="1"/>
  <c r="V338" i="8" s="1"/>
  <c r="W338" i="8" s="1"/>
  <c r="D341" i="8"/>
  <c r="E341" i="8"/>
  <c r="S341" i="8"/>
  <c r="U341" i="8" s="1"/>
  <c r="V341" i="8" s="1"/>
  <c r="W341" i="8" s="1"/>
  <c r="D339" i="8"/>
  <c r="E339" i="8"/>
  <c r="S339" i="8"/>
  <c r="U339" i="8" s="1"/>
  <c r="V339" i="8" s="1"/>
  <c r="W339" i="8" s="1"/>
  <c r="D340" i="8"/>
  <c r="E340" i="8"/>
  <c r="S340" i="8"/>
  <c r="U340" i="8" s="1"/>
  <c r="V340" i="8" s="1"/>
  <c r="W340" i="8" s="1"/>
  <c r="D360" i="8"/>
  <c r="E360" i="8"/>
  <c r="S360" i="8"/>
  <c r="U360" i="8" s="1"/>
  <c r="V360" i="8" s="1"/>
  <c r="W360" i="8" s="1"/>
  <c r="D361" i="8"/>
  <c r="E361" i="8"/>
  <c r="S361" i="8"/>
  <c r="U361" i="8" s="1"/>
  <c r="V361" i="8" s="1"/>
  <c r="W361" i="8" s="1"/>
  <c r="E362" i="8"/>
  <c r="D362" i="8"/>
  <c r="S362" i="8"/>
  <c r="U362" i="8" s="1"/>
  <c r="V362" i="8" s="1"/>
  <c r="W362" i="8" s="1"/>
  <c r="D363" i="8"/>
  <c r="E363" i="8"/>
  <c r="S363" i="8"/>
  <c r="U363" i="8" s="1"/>
  <c r="V363" i="8" s="1"/>
  <c r="W363" i="8" s="1"/>
  <c r="D364" i="8"/>
  <c r="E364" i="8"/>
  <c r="S364" i="8"/>
  <c r="U364" i="8" s="1"/>
  <c r="V364" i="8" s="1"/>
  <c r="W364" i="8" s="1"/>
  <c r="D365" i="8"/>
  <c r="E365" i="8"/>
  <c r="S365" i="8"/>
  <c r="U365" i="8" s="1"/>
  <c r="V365" i="8" s="1"/>
  <c r="W365" i="8" s="1"/>
  <c r="D366" i="8"/>
  <c r="E366" i="8"/>
  <c r="S366" i="8"/>
  <c r="U366" i="8" s="1"/>
  <c r="V366" i="8" s="1"/>
  <c r="W366" i="8" s="1"/>
  <c r="D367" i="8"/>
  <c r="E367" i="8"/>
  <c r="S367" i="8"/>
  <c r="U367" i="8" s="1"/>
  <c r="V367" i="8" s="1"/>
  <c r="W367" i="8" s="1"/>
  <c r="D368" i="8"/>
  <c r="E368" i="8"/>
  <c r="S368" i="8"/>
  <c r="U368" i="8" s="1"/>
  <c r="V368" i="8" s="1"/>
  <c r="W368" i="8" s="1"/>
  <c r="D369" i="8"/>
  <c r="E369" i="8"/>
  <c r="S369" i="8"/>
  <c r="U369" i="8" s="1"/>
  <c r="V369" i="8" s="1"/>
  <c r="W369" i="8" s="1"/>
  <c r="D304" i="8"/>
  <c r="AB304" i="8" s="1"/>
  <c r="E304" i="8"/>
  <c r="S304" i="8"/>
  <c r="U304" i="8" s="1"/>
  <c r="V304" i="8" s="1"/>
  <c r="W304" i="8" s="1"/>
  <c r="D305" i="8"/>
  <c r="AB305" i="8" s="1"/>
  <c r="E305" i="8"/>
  <c r="S305" i="8"/>
  <c r="U305" i="8" s="1"/>
  <c r="V305" i="8" s="1"/>
  <c r="W305" i="8" s="1"/>
  <c r="D306" i="8"/>
  <c r="AB306" i="8" s="1"/>
  <c r="E306" i="8"/>
  <c r="S306" i="8"/>
  <c r="U306" i="8" s="1"/>
  <c r="V306" i="8" s="1"/>
  <c r="W306" i="8" s="1"/>
  <c r="E307" i="8"/>
  <c r="D307" i="8"/>
  <c r="AB307" i="8" s="1"/>
  <c r="S307" i="8"/>
  <c r="U307" i="8" s="1"/>
  <c r="V307" i="8" s="1"/>
  <c r="W307" i="8" s="1"/>
  <c r="E308" i="8"/>
  <c r="D308" i="8"/>
  <c r="AB308" i="8" s="1"/>
  <c r="S308" i="8"/>
  <c r="U308" i="8" s="1"/>
  <c r="V308" i="8" s="1"/>
  <c r="W308" i="8" s="1"/>
  <c r="D269" i="8"/>
  <c r="AB269" i="8" s="1"/>
  <c r="E269" i="8"/>
  <c r="S269" i="8"/>
  <c r="U269" i="8" s="1"/>
  <c r="V269" i="8" s="1"/>
  <c r="W269" i="8" s="1"/>
  <c r="E270" i="8"/>
  <c r="D270" i="8"/>
  <c r="AB270" i="8" s="1"/>
  <c r="S270" i="8"/>
  <c r="U270" i="8" s="1"/>
  <c r="V270" i="8" s="1"/>
  <c r="W270" i="8" s="1"/>
  <c r="D271" i="8"/>
  <c r="AB271" i="8" s="1"/>
  <c r="E271" i="8"/>
  <c r="S271" i="8"/>
  <c r="U271" i="8" s="1"/>
  <c r="V271" i="8" s="1"/>
  <c r="E272" i="8"/>
  <c r="D272" i="8"/>
  <c r="AB272" i="8" s="1"/>
  <c r="S272" i="8"/>
  <c r="U272" i="8" s="1"/>
  <c r="V272" i="8" s="1"/>
  <c r="W272" i="8" s="1"/>
  <c r="D312" i="8"/>
  <c r="AB312" i="8" s="1"/>
  <c r="E312" i="8"/>
  <c r="S312" i="8"/>
  <c r="U312" i="8" s="1"/>
  <c r="V312" i="8" s="1"/>
  <c r="W312" i="8" s="1"/>
  <c r="D309" i="8"/>
  <c r="AB309" i="8" s="1"/>
  <c r="E309" i="8"/>
  <c r="S309" i="8"/>
  <c r="U309" i="8" s="1"/>
  <c r="V309" i="8" s="1"/>
  <c r="W309" i="8" s="1"/>
  <c r="E310" i="8"/>
  <c r="D310" i="8"/>
  <c r="AB310" i="8" s="1"/>
  <c r="S310" i="8"/>
  <c r="U310" i="8" s="1"/>
  <c r="V310" i="8" s="1"/>
  <c r="W310" i="8" s="1"/>
  <c r="D311" i="8"/>
  <c r="AB311" i="8" s="1"/>
  <c r="E311" i="8"/>
  <c r="S311" i="8"/>
  <c r="U311" i="8" s="1"/>
  <c r="V311" i="8" s="1"/>
  <c r="W311" i="8" s="1"/>
  <c r="D290" i="8"/>
  <c r="AB290" i="8" s="1"/>
  <c r="E290" i="8"/>
  <c r="S290" i="8"/>
  <c r="U290" i="8" s="1"/>
  <c r="V290" i="8" s="1"/>
  <c r="W290" i="8" s="1"/>
  <c r="E293" i="8"/>
  <c r="D293" i="8"/>
  <c r="AB293" i="8" s="1"/>
  <c r="S293" i="8"/>
  <c r="U293" i="8" s="1"/>
  <c r="V293" i="8" s="1"/>
  <c r="W293" i="8" s="1"/>
  <c r="E294" i="8"/>
  <c r="D294" i="8"/>
  <c r="AB294" i="8" s="1"/>
  <c r="S294" i="8"/>
  <c r="U294" i="8" s="1"/>
  <c r="V294" i="8" s="1"/>
  <c r="W294" i="8" s="1"/>
  <c r="E291" i="8"/>
  <c r="D291" i="8"/>
  <c r="AB291" i="8" s="1"/>
  <c r="S291" i="8"/>
  <c r="U291" i="8" s="1"/>
  <c r="V291" i="8" s="1"/>
  <c r="W291" i="8" s="1"/>
  <c r="D292" i="8"/>
  <c r="AB292" i="8" s="1"/>
  <c r="E292" i="8"/>
  <c r="S292" i="8"/>
  <c r="U292" i="8" s="1"/>
  <c r="V292" i="8" s="1"/>
  <c r="W292" i="8" s="1"/>
  <c r="D295" i="8"/>
  <c r="E295" i="8"/>
  <c r="S295" i="8"/>
  <c r="U295" i="8" s="1"/>
  <c r="V295" i="8" s="1"/>
  <c r="W295" i="8" s="1"/>
  <c r="D296" i="8"/>
  <c r="E296" i="8"/>
  <c r="S296" i="8"/>
  <c r="U296" i="8" s="1"/>
  <c r="V296" i="8" s="1"/>
  <c r="W296" i="8" s="1"/>
  <c r="D297" i="8"/>
  <c r="E297" i="8"/>
  <c r="S297" i="8"/>
  <c r="U297" i="8" s="1"/>
  <c r="V297" i="8" s="1"/>
  <c r="W297" i="8" s="1"/>
  <c r="E298" i="8"/>
  <c r="D298" i="8"/>
  <c r="S298" i="8"/>
  <c r="U298" i="8" s="1"/>
  <c r="V298" i="8" s="1"/>
  <c r="W298" i="8" s="1"/>
  <c r="E316" i="8"/>
  <c r="D316" i="8"/>
  <c r="AB316" i="8" s="1"/>
  <c r="S316" i="8"/>
  <c r="U316" i="8" s="1"/>
  <c r="V316" i="8" s="1"/>
  <c r="W316" i="8" s="1"/>
  <c r="D317" i="8"/>
  <c r="AB317" i="8" s="1"/>
  <c r="E317" i="8"/>
  <c r="S317" i="8"/>
  <c r="U317" i="8" s="1"/>
  <c r="V317" i="8" s="1"/>
  <c r="W317" i="8" s="1"/>
  <c r="D315" i="8"/>
  <c r="AB315" i="8" s="1"/>
  <c r="E315" i="8"/>
  <c r="S315" i="8"/>
  <c r="U315" i="8" s="1"/>
  <c r="V315" i="8" s="1"/>
  <c r="W315" i="8" s="1"/>
  <c r="D314" i="8"/>
  <c r="AB314" i="8" s="1"/>
  <c r="E314" i="8"/>
  <c r="S314" i="8"/>
  <c r="U314" i="8" s="1"/>
  <c r="V314" i="8" s="1"/>
  <c r="W314" i="8" s="1"/>
  <c r="E333" i="8"/>
  <c r="D333" i="8"/>
  <c r="AB333" i="8" s="1"/>
  <c r="S333" i="8"/>
  <c r="U333" i="8" s="1"/>
  <c r="V333" i="8" s="1"/>
  <c r="W333" i="8" s="1"/>
  <c r="E334" i="8"/>
  <c r="D334" i="8"/>
  <c r="AB334" i="8" s="1"/>
  <c r="S334" i="8"/>
  <c r="U334" i="8" s="1"/>
  <c r="V334" i="8" s="1"/>
  <c r="W334" i="8" s="1"/>
  <c r="D335" i="8"/>
  <c r="AB335" i="8" s="1"/>
  <c r="E335" i="8"/>
  <c r="S335" i="8"/>
  <c r="U335" i="8" s="1"/>
  <c r="V335" i="8" s="1"/>
  <c r="W335" i="8" s="1"/>
  <c r="E348" i="8"/>
  <c r="D348" i="8"/>
  <c r="AB348" i="8" s="1"/>
  <c r="S348" i="8"/>
  <c r="U348" i="8" s="1"/>
  <c r="V348" i="8" s="1"/>
  <c r="W348" i="8" s="1"/>
  <c r="D349" i="8"/>
  <c r="AB349" i="8" s="1"/>
  <c r="E349" i="8"/>
  <c r="S349" i="8"/>
  <c r="U349" i="8" s="1"/>
  <c r="V349" i="8" s="1"/>
  <c r="W349" i="8" s="1"/>
  <c r="D347" i="8"/>
  <c r="AB347" i="8" s="1"/>
  <c r="E347" i="8"/>
  <c r="S347" i="8"/>
  <c r="U347" i="8" s="1"/>
  <c r="V347" i="8" s="1"/>
  <c r="W347" i="8" s="1"/>
  <c r="E352" i="8"/>
  <c r="D352" i="8"/>
  <c r="AB352" i="8" s="1"/>
  <c r="S352" i="8"/>
  <c r="U352" i="8" s="1"/>
  <c r="V352" i="8" s="1"/>
  <c r="W352" i="8" s="1"/>
  <c r="D351" i="8"/>
  <c r="AB351" i="8" s="1"/>
  <c r="E351" i="8"/>
  <c r="S351" i="8"/>
  <c r="U351" i="8" s="1"/>
  <c r="V351" i="8" s="1"/>
  <c r="W351" i="8" s="1"/>
  <c r="E350" i="8"/>
  <c r="D350" i="8"/>
  <c r="AB350" i="8" s="1"/>
  <c r="S350" i="8"/>
  <c r="U350" i="8" s="1"/>
  <c r="V350" i="8" s="1"/>
  <c r="W350" i="8" s="1"/>
  <c r="D354" i="8"/>
  <c r="AB354" i="8" s="1"/>
  <c r="E354" i="8"/>
  <c r="S354" i="8"/>
  <c r="U354" i="8" s="1"/>
  <c r="V354" i="8" s="1"/>
  <c r="W354" i="8" s="1"/>
  <c r="D353" i="8"/>
  <c r="AB353" i="8" s="1"/>
  <c r="E353" i="8"/>
  <c r="S353" i="8"/>
  <c r="U353" i="8" s="1"/>
  <c r="V353" i="8" s="1"/>
  <c r="W353" i="8" s="1"/>
  <c r="E374" i="8"/>
  <c r="D374" i="8"/>
  <c r="AB374" i="8" s="1"/>
  <c r="S374" i="8"/>
  <c r="U374" i="8" s="1"/>
  <c r="V374" i="8" s="1"/>
  <c r="W374" i="8" s="1"/>
  <c r="E370" i="8"/>
  <c r="D370" i="8"/>
  <c r="AB370" i="8" s="1"/>
  <c r="S370" i="8"/>
  <c r="U370" i="8" s="1"/>
  <c r="V370" i="8" s="1"/>
  <c r="W370" i="8" s="1"/>
  <c r="D371" i="8"/>
  <c r="AB371" i="8" s="1"/>
  <c r="E371" i="8"/>
  <c r="S371" i="8"/>
  <c r="U371" i="8" s="1"/>
  <c r="V371" i="8" s="1"/>
  <c r="W371" i="8" s="1"/>
  <c r="D372" i="8"/>
  <c r="AB372" i="8" s="1"/>
  <c r="E372" i="8"/>
  <c r="S372" i="8"/>
  <c r="U372" i="8" s="1"/>
  <c r="V372" i="8" s="1"/>
  <c r="W372" i="8" s="1"/>
  <c r="E373" i="8"/>
  <c r="D373" i="8"/>
  <c r="AB373" i="8" s="1"/>
  <c r="S373" i="8"/>
  <c r="U373" i="8" s="1"/>
  <c r="V373" i="8" s="1"/>
  <c r="W373" i="8" s="1"/>
  <c r="E286" i="8"/>
  <c r="D286" i="8"/>
  <c r="AB286" i="8" s="1"/>
  <c r="S286" i="8"/>
  <c r="U286" i="8" s="1"/>
  <c r="V286" i="8" s="1"/>
  <c r="W286" i="8" s="1"/>
  <c r="D287" i="8"/>
  <c r="AB287" i="8" s="1"/>
  <c r="E287" i="8"/>
  <c r="S287" i="8"/>
  <c r="U287" i="8" s="1"/>
  <c r="V287" i="8" s="1"/>
  <c r="W287" i="8" s="1"/>
  <c r="E289" i="8"/>
  <c r="D289" i="8"/>
  <c r="AB289" i="8" s="1"/>
  <c r="S289" i="8"/>
  <c r="U289" i="8" s="1"/>
  <c r="V289" i="8" s="1"/>
  <c r="W289" i="8" s="1"/>
  <c r="D288" i="8"/>
  <c r="AB288" i="8" s="1"/>
  <c r="E288" i="8"/>
  <c r="S288" i="8"/>
  <c r="U288" i="8" s="1"/>
  <c r="V288" i="8" s="1"/>
  <c r="W288" i="8" s="1"/>
  <c r="D345" i="8"/>
  <c r="E345" i="8"/>
  <c r="S345" i="8"/>
  <c r="U345" i="8" s="1"/>
  <c r="V345" i="8" s="1"/>
  <c r="W345" i="8" s="1"/>
  <c r="D344" i="8"/>
  <c r="E344" i="8"/>
  <c r="S344" i="8"/>
  <c r="U344" i="8" s="1"/>
  <c r="V344" i="8" s="1"/>
  <c r="W344" i="8" s="1"/>
  <c r="E343" i="8"/>
  <c r="D343" i="8"/>
  <c r="S343" i="8"/>
  <c r="U343" i="8" s="1"/>
  <c r="V343" i="8" s="1"/>
  <c r="W343" i="8" s="1"/>
  <c r="D342" i="8"/>
  <c r="E342" i="8"/>
  <c r="S342" i="8"/>
  <c r="U342" i="8" s="1"/>
  <c r="V342" i="8" s="1"/>
  <c r="W342" i="8" s="1"/>
  <c r="E346" i="8"/>
  <c r="D346" i="8"/>
  <c r="S346" i="8"/>
  <c r="U346" i="8" s="1"/>
  <c r="V346" i="8" s="1"/>
  <c r="W346" i="8" s="1"/>
  <c r="D81" i="13"/>
  <c r="B81" i="13"/>
  <c r="C81" i="13"/>
  <c r="D128" i="13"/>
  <c r="C128" i="13"/>
  <c r="B128" i="13"/>
  <c r="C133" i="13"/>
  <c r="B133" i="13"/>
  <c r="D133" i="13"/>
  <c r="D134" i="13"/>
  <c r="C134" i="13"/>
  <c r="B134" i="13"/>
  <c r="D135" i="13"/>
  <c r="B135" i="13"/>
  <c r="C135" i="13"/>
  <c r="D138" i="13"/>
  <c r="C138" i="13"/>
  <c r="B138" i="13"/>
  <c r="D152" i="13"/>
  <c r="C152" i="13"/>
  <c r="B152" i="13"/>
  <c r="D174" i="13"/>
  <c r="C174" i="13"/>
  <c r="B174" i="13"/>
  <c r="D182" i="13"/>
  <c r="C182" i="13"/>
  <c r="B182" i="13"/>
  <c r="C194" i="13"/>
  <c r="B194" i="13"/>
  <c r="D194" i="13"/>
  <c r="E250" i="8"/>
  <c r="D250" i="8"/>
  <c r="S250" i="8"/>
  <c r="U250" i="8" s="1"/>
  <c r="V250" i="8" s="1"/>
  <c r="W250" i="8" s="1"/>
  <c r="E251" i="8"/>
  <c r="D251" i="8"/>
  <c r="S251" i="8"/>
  <c r="U251" i="8" s="1"/>
  <c r="V251" i="8" s="1"/>
  <c r="W251" i="8" s="1"/>
  <c r="E252" i="8"/>
  <c r="D252" i="8"/>
  <c r="S252" i="8"/>
  <c r="U252" i="8" s="1"/>
  <c r="V252" i="8" s="1"/>
  <c r="W252" i="8" s="1"/>
  <c r="E253" i="8"/>
  <c r="D253" i="8"/>
  <c r="S253" i="8"/>
  <c r="U253" i="8" s="1"/>
  <c r="V253" i="8" s="1"/>
  <c r="W253" i="8" s="1"/>
  <c r="E222" i="8"/>
  <c r="D222" i="8"/>
  <c r="S222" i="8"/>
  <c r="U222" i="8" s="1"/>
  <c r="V222" i="8" s="1"/>
  <c r="W222" i="8" s="1"/>
  <c r="E223" i="8"/>
  <c r="D223" i="8"/>
  <c r="S223" i="8"/>
  <c r="U223" i="8" s="1"/>
  <c r="V223" i="8" s="1"/>
  <c r="W223" i="8" s="1"/>
  <c r="E224" i="8"/>
  <c r="D224" i="8"/>
  <c r="S224" i="8"/>
  <c r="U224" i="8" s="1"/>
  <c r="V224" i="8" s="1"/>
  <c r="W224" i="8" s="1"/>
  <c r="E225" i="8"/>
  <c r="D225" i="8"/>
  <c r="S225" i="8"/>
  <c r="U225" i="8" s="1"/>
  <c r="V225" i="8" s="1"/>
  <c r="W225" i="8" s="1"/>
  <c r="D226" i="8"/>
  <c r="E226" i="8"/>
  <c r="S226" i="8"/>
  <c r="U226" i="8" s="1"/>
  <c r="V226" i="8" s="1"/>
  <c r="W226" i="8" s="1"/>
  <c r="E238" i="8"/>
  <c r="D238" i="8"/>
  <c r="AB238" i="8" s="1"/>
  <c r="S238" i="8"/>
  <c r="U238" i="8" s="1"/>
  <c r="V238" i="8" s="1"/>
  <c r="W238" i="8" s="1"/>
  <c r="D240" i="8"/>
  <c r="AB240" i="8" s="1"/>
  <c r="E240" i="8"/>
  <c r="S240" i="8"/>
  <c r="U240" i="8" s="1"/>
  <c r="V240" i="8" s="1"/>
  <c r="W240" i="8" s="1"/>
  <c r="E239" i="8"/>
  <c r="D239" i="8"/>
  <c r="AB239" i="8" s="1"/>
  <c r="S239" i="8"/>
  <c r="U239" i="8" s="1"/>
  <c r="V239" i="8" s="1"/>
  <c r="W239" i="8" s="1"/>
  <c r="E242" i="8"/>
  <c r="D242" i="8"/>
  <c r="AB242" i="8" s="1"/>
  <c r="S242" i="8"/>
  <c r="U242" i="8" s="1"/>
  <c r="V242" i="8" s="1"/>
  <c r="W242" i="8" s="1"/>
  <c r="E241" i="8"/>
  <c r="D241" i="8"/>
  <c r="AB241" i="8" s="1"/>
  <c r="S241" i="8"/>
  <c r="U241" i="8" s="1"/>
  <c r="V241" i="8" s="1"/>
  <c r="W241" i="8" s="1"/>
  <c r="E246" i="8"/>
  <c r="D246" i="8"/>
  <c r="AB246" i="8" s="1"/>
  <c r="S246" i="8"/>
  <c r="U246" i="8" s="1"/>
  <c r="V246" i="8" s="1"/>
  <c r="W246" i="8" s="1"/>
  <c r="E245" i="8"/>
  <c r="D245" i="8"/>
  <c r="AB245" i="8" s="1"/>
  <c r="S245" i="8"/>
  <c r="U245" i="8" s="1"/>
  <c r="V245" i="8" s="1"/>
  <c r="W245" i="8" s="1"/>
  <c r="E244" i="8"/>
  <c r="D244" i="8"/>
  <c r="AB244" i="8" s="1"/>
  <c r="S244" i="8"/>
  <c r="U244" i="8" s="1"/>
  <c r="V244" i="8" s="1"/>
  <c r="W244" i="8" s="1"/>
  <c r="E243" i="8"/>
  <c r="D243" i="8"/>
  <c r="AB243" i="8" s="1"/>
  <c r="S243" i="8"/>
  <c r="U243" i="8" s="1"/>
  <c r="V243" i="8" s="1"/>
  <c r="W243" i="8" s="1"/>
  <c r="E233" i="8"/>
  <c r="D233" i="8"/>
  <c r="S233" i="8"/>
  <c r="U233" i="8" s="1"/>
  <c r="V233" i="8" s="1"/>
  <c r="W233" i="8" s="1"/>
  <c r="E234" i="8"/>
  <c r="D234" i="8"/>
  <c r="S234" i="8"/>
  <c r="U234" i="8" s="1"/>
  <c r="V234" i="8" s="1"/>
  <c r="W234" i="8" s="1"/>
  <c r="E235" i="8"/>
  <c r="D235" i="8"/>
  <c r="S235" i="8"/>
  <c r="U235" i="8" s="1"/>
  <c r="V235" i="8" s="1"/>
  <c r="W235" i="8" s="1"/>
  <c r="E221" i="8"/>
  <c r="D221" i="8"/>
  <c r="AB221" i="8" s="1"/>
  <c r="S221" i="8"/>
  <c r="U221" i="8" s="1"/>
  <c r="V221" i="8" s="1"/>
  <c r="W221" i="8" s="1"/>
  <c r="E219" i="8"/>
  <c r="D219" i="8"/>
  <c r="AB219" i="8" s="1"/>
  <c r="S219" i="8"/>
  <c r="U219" i="8" s="1"/>
  <c r="V219" i="8" s="1"/>
  <c r="W219" i="8" s="1"/>
  <c r="E220" i="8"/>
  <c r="D220" i="8"/>
  <c r="AB220" i="8" s="1"/>
  <c r="S220" i="8"/>
  <c r="U220" i="8" s="1"/>
  <c r="V220" i="8" s="1"/>
  <c r="W220" i="8" s="1"/>
  <c r="E247" i="8"/>
  <c r="D247" i="8"/>
  <c r="AB247" i="8" s="1"/>
  <c r="S247" i="8"/>
  <c r="U247" i="8" s="1"/>
  <c r="V247" i="8" s="1"/>
  <c r="W247" i="8" s="1"/>
  <c r="E248" i="8"/>
  <c r="D248" i="8"/>
  <c r="AB248" i="8" s="1"/>
  <c r="S248" i="8"/>
  <c r="U248" i="8" s="1"/>
  <c r="V248" i="8" s="1"/>
  <c r="W248" i="8" s="1"/>
  <c r="E249" i="8"/>
  <c r="D249" i="8"/>
  <c r="AB249" i="8" s="1"/>
  <c r="S249" i="8"/>
  <c r="U249" i="8" s="1"/>
  <c r="V249" i="8" s="1"/>
  <c r="W249" i="8" s="1"/>
  <c r="E230" i="8"/>
  <c r="D230" i="8"/>
  <c r="AB230" i="8" s="1"/>
  <c r="S230" i="8"/>
  <c r="U230" i="8" s="1"/>
  <c r="V230" i="8" s="1"/>
  <c r="W230" i="8" s="1"/>
  <c r="D229" i="8"/>
  <c r="AB229" i="8" s="1"/>
  <c r="E229" i="8"/>
  <c r="S229" i="8"/>
  <c r="U229" i="8" s="1"/>
  <c r="V229" i="8" s="1"/>
  <c r="W229" i="8" s="1"/>
  <c r="E228" i="8"/>
  <c r="D228" i="8"/>
  <c r="AB228" i="8" s="1"/>
  <c r="S228" i="8"/>
  <c r="U228" i="8" s="1"/>
  <c r="V228" i="8" s="1"/>
  <c r="W228" i="8" s="1"/>
  <c r="E227" i="8"/>
  <c r="D227" i="8"/>
  <c r="AB227" i="8" s="1"/>
  <c r="S227" i="8"/>
  <c r="U227" i="8" s="1"/>
  <c r="V227" i="8" s="1"/>
  <c r="W227" i="8" s="1"/>
  <c r="D255" i="8"/>
  <c r="AB255" i="8" s="1"/>
  <c r="E255" i="8"/>
  <c r="S255" i="8"/>
  <c r="U255" i="8" s="1"/>
  <c r="V255" i="8" s="1"/>
  <c r="W255" i="8" s="1"/>
  <c r="E256" i="8"/>
  <c r="D256" i="8"/>
  <c r="AB256" i="8" s="1"/>
  <c r="S256" i="8"/>
  <c r="U256" i="8" s="1"/>
  <c r="V256" i="8" s="1"/>
  <c r="W256" i="8" s="1"/>
  <c r="E257" i="8"/>
  <c r="D257" i="8"/>
  <c r="AB257" i="8" s="1"/>
  <c r="S257" i="8"/>
  <c r="U257" i="8" s="1"/>
  <c r="V257" i="8" s="1"/>
  <c r="W257" i="8" s="1"/>
  <c r="D258" i="8"/>
  <c r="AB258" i="8" s="1"/>
  <c r="E258" i="8"/>
  <c r="S258" i="8"/>
  <c r="U258" i="8" s="1"/>
  <c r="V258" i="8" s="1"/>
  <c r="W258" i="8" s="1"/>
  <c r="E232" i="8"/>
  <c r="D232" i="8"/>
  <c r="AB232" i="8" s="1"/>
  <c r="S232" i="8"/>
  <c r="U232" i="8" s="1"/>
  <c r="V232" i="8" s="1"/>
  <c r="W232" i="8" s="1"/>
  <c r="E231" i="8"/>
  <c r="D231" i="8"/>
  <c r="AB231" i="8" s="1"/>
  <c r="S231" i="8"/>
  <c r="U231" i="8" s="1"/>
  <c r="V231" i="8" s="1"/>
  <c r="W231" i="8" s="1"/>
  <c r="E237" i="8"/>
  <c r="D237" i="8"/>
  <c r="AB237" i="8" s="1"/>
  <c r="S237" i="8"/>
  <c r="U237" i="8" s="1"/>
  <c r="V237" i="8" s="1"/>
  <c r="W237" i="8" s="1"/>
  <c r="E236" i="8"/>
  <c r="D236" i="8"/>
  <c r="AB236" i="8" s="1"/>
  <c r="S236" i="8"/>
  <c r="U236" i="8" s="1"/>
  <c r="V236" i="8" s="1"/>
  <c r="W236" i="8" s="1"/>
  <c r="C8" i="13"/>
  <c r="B8" i="13"/>
  <c r="D8" i="13"/>
  <c r="D13" i="13"/>
  <c r="C13" i="13"/>
  <c r="B13" i="13"/>
  <c r="B14" i="13"/>
  <c r="D14" i="13"/>
  <c r="C14" i="13"/>
  <c r="B15" i="13"/>
  <c r="D15" i="13"/>
  <c r="C15" i="13"/>
  <c r="C18" i="13"/>
  <c r="B18" i="13"/>
  <c r="D18" i="13"/>
  <c r="D24" i="13"/>
  <c r="B24" i="13"/>
  <c r="C24" i="13"/>
  <c r="C25" i="13"/>
  <c r="D25" i="13"/>
  <c r="B25" i="13"/>
  <c r="C27" i="13"/>
  <c r="D27" i="13"/>
  <c r="B27" i="13"/>
  <c r="D32" i="13"/>
  <c r="B32" i="13"/>
  <c r="C32" i="13"/>
  <c r="D33" i="13"/>
  <c r="B33" i="13"/>
  <c r="C33" i="13"/>
  <c r="D34" i="13"/>
  <c r="C34" i="13"/>
  <c r="B34" i="13"/>
  <c r="B38" i="13"/>
  <c r="C38" i="13"/>
  <c r="D38" i="13"/>
  <c r="D39" i="13"/>
  <c r="B39" i="13"/>
  <c r="C39" i="13"/>
  <c r="C42" i="13"/>
  <c r="B42" i="13"/>
  <c r="D42" i="13"/>
  <c r="B46" i="13"/>
  <c r="C46" i="13"/>
  <c r="D46" i="13"/>
  <c r="B55" i="13"/>
  <c r="C55" i="13"/>
  <c r="D55" i="13"/>
  <c r="B72" i="13"/>
  <c r="C72" i="13"/>
  <c r="D72" i="13"/>
  <c r="B74" i="13"/>
  <c r="C74" i="13"/>
  <c r="D74" i="13"/>
  <c r="C76" i="13"/>
  <c r="B76" i="13"/>
  <c r="D76" i="13"/>
  <c r="D87" i="13"/>
  <c r="B87" i="13"/>
  <c r="C87" i="13"/>
  <c r="C104" i="13"/>
  <c r="D104" i="13"/>
  <c r="B104" i="13"/>
  <c r="B111" i="13"/>
  <c r="D111" i="13"/>
  <c r="C111" i="13"/>
  <c r="B112" i="13"/>
  <c r="D112" i="13"/>
  <c r="C112" i="13"/>
  <c r="D120" i="13"/>
  <c r="B120" i="13"/>
  <c r="C120" i="13"/>
  <c r="D122" i="13"/>
  <c r="C122" i="13"/>
  <c r="B122" i="13"/>
  <c r="D123" i="13"/>
  <c r="C123" i="13"/>
  <c r="B123" i="13"/>
  <c r="B126" i="13"/>
  <c r="C126" i="13"/>
  <c r="D126" i="13"/>
  <c r="B136" i="13"/>
  <c r="D136" i="13"/>
  <c r="C136" i="13"/>
  <c r="C147" i="13"/>
  <c r="D147" i="13"/>
  <c r="B147" i="13"/>
  <c r="D171" i="13"/>
  <c r="C171" i="13"/>
  <c r="B171" i="13"/>
  <c r="D172" i="13"/>
  <c r="C172" i="13"/>
  <c r="B172" i="13"/>
  <c r="B180" i="13"/>
  <c r="D180" i="13"/>
  <c r="C180" i="13"/>
  <c r="C198" i="13"/>
  <c r="D198" i="13"/>
  <c r="B198" i="13"/>
  <c r="C199" i="13"/>
  <c r="D199" i="13"/>
  <c r="B199" i="13"/>
  <c r="C229" i="13"/>
  <c r="D229" i="13"/>
  <c r="B229" i="13"/>
  <c r="E156" i="8"/>
  <c r="D156" i="8"/>
  <c r="AB156" i="8" s="1"/>
  <c r="S156" i="8"/>
  <c r="U156" i="8" s="1"/>
  <c r="V156" i="8" s="1"/>
  <c r="W156" i="8" s="1"/>
  <c r="D157" i="8"/>
  <c r="AB157" i="8" s="1"/>
  <c r="E157" i="8"/>
  <c r="S157" i="8"/>
  <c r="U157" i="8" s="1"/>
  <c r="V157" i="8" s="1"/>
  <c r="W157" i="8" s="1"/>
  <c r="X157" i="8" s="1"/>
  <c r="E158" i="8"/>
  <c r="D158" i="8"/>
  <c r="AB158" i="8" s="1"/>
  <c r="S158" i="8"/>
  <c r="U158" i="8" s="1"/>
  <c r="V158" i="8" s="1"/>
  <c r="W158" i="8" s="1"/>
  <c r="D155" i="8"/>
  <c r="AB155" i="8" s="1"/>
  <c r="E155" i="8"/>
  <c r="S155" i="8"/>
  <c r="U155" i="8" s="1"/>
  <c r="V155" i="8" s="1"/>
  <c r="W155" i="8" s="1"/>
  <c r="D154" i="8"/>
  <c r="AB154" i="8" s="1"/>
  <c r="E154" i="8"/>
  <c r="S154" i="8"/>
  <c r="U154" i="8" s="1"/>
  <c r="V154" i="8" s="1"/>
  <c r="W154" i="8" s="1"/>
  <c r="E174" i="8"/>
  <c r="D174" i="8"/>
  <c r="AB174" i="8" s="1"/>
  <c r="S174" i="8"/>
  <c r="U174" i="8" s="1"/>
  <c r="V174" i="8" s="1"/>
  <c r="W174" i="8" s="1"/>
  <c r="D88" i="8"/>
  <c r="E88" i="8"/>
  <c r="S88" i="8"/>
  <c r="U88" i="8" s="1"/>
  <c r="V88" i="8" s="1"/>
  <c r="W88" i="8" s="1"/>
  <c r="D166" i="8"/>
  <c r="E166" i="8"/>
  <c r="S166" i="8"/>
  <c r="U166" i="8" s="1"/>
  <c r="V166" i="8" s="1"/>
  <c r="W166" i="8" s="1"/>
  <c r="E167" i="8"/>
  <c r="D167" i="8"/>
  <c r="S167" i="8"/>
  <c r="U167" i="8" s="1"/>
  <c r="V167" i="8" s="1"/>
  <c r="W167" i="8" s="1"/>
  <c r="E168" i="8"/>
  <c r="D168" i="8"/>
  <c r="S168" i="8"/>
  <c r="U168" i="8" s="1"/>
  <c r="V168" i="8" s="1"/>
  <c r="W168" i="8" s="1"/>
  <c r="E165" i="8"/>
  <c r="D165" i="8"/>
  <c r="S165" i="8"/>
  <c r="U165" i="8" s="1"/>
  <c r="V165" i="8" s="1"/>
  <c r="W165" i="8" s="1"/>
  <c r="E164" i="8"/>
  <c r="D164" i="8"/>
  <c r="S164" i="8"/>
  <c r="U164" i="8" s="1"/>
  <c r="V164" i="8" s="1"/>
  <c r="W164" i="8" s="1"/>
  <c r="E171" i="8"/>
  <c r="D171" i="8"/>
  <c r="AB171" i="8" s="1"/>
  <c r="S171" i="8"/>
  <c r="U171" i="8" s="1"/>
  <c r="V171" i="8" s="1"/>
  <c r="W171" i="8" s="1"/>
  <c r="E170" i="8"/>
  <c r="D170" i="8"/>
  <c r="S170" i="8"/>
  <c r="U170" i="8" s="1"/>
  <c r="V170" i="8" s="1"/>
  <c r="W170" i="8" s="1"/>
  <c r="E159" i="8"/>
  <c r="D159" i="8"/>
  <c r="S159" i="8"/>
  <c r="U159" i="8" s="1"/>
  <c r="V159" i="8" s="1"/>
  <c r="W159" i="8" s="1"/>
  <c r="D160" i="8"/>
  <c r="E160" i="8"/>
  <c r="S160" i="8"/>
  <c r="U160" i="8" s="1"/>
  <c r="V160" i="8" s="1"/>
  <c r="W160" i="8" s="1"/>
  <c r="E161" i="8"/>
  <c r="D161" i="8"/>
  <c r="S161" i="8"/>
  <c r="U161" i="8" s="1"/>
  <c r="V161" i="8" s="1"/>
  <c r="W161" i="8" s="1"/>
  <c r="E162" i="8"/>
  <c r="D162" i="8"/>
  <c r="S162" i="8"/>
  <c r="U162" i="8" s="1"/>
  <c r="V162" i="8" s="1"/>
  <c r="W162" i="8" s="1"/>
  <c r="D163" i="8"/>
  <c r="E163" i="8"/>
  <c r="S163" i="8"/>
  <c r="U163" i="8" s="1"/>
  <c r="V163" i="8" s="1"/>
  <c r="W163" i="8" s="1"/>
  <c r="D78" i="8"/>
  <c r="E78" i="8"/>
  <c r="S78" i="8"/>
  <c r="U78" i="8" s="1"/>
  <c r="V78" i="8" s="1"/>
  <c r="W78" i="8" s="1"/>
  <c r="E79" i="8"/>
  <c r="D79" i="8"/>
  <c r="S79" i="8"/>
  <c r="U79" i="8" s="1"/>
  <c r="V79" i="8" s="1"/>
  <c r="W79" i="8" s="1"/>
  <c r="D80" i="8"/>
  <c r="E80" i="8"/>
  <c r="S80" i="8"/>
  <c r="U80" i="8" s="1"/>
  <c r="V80" i="8" s="1"/>
  <c r="W80" i="8" s="1"/>
  <c r="E175" i="8"/>
  <c r="D175" i="8"/>
  <c r="AB175" i="8" s="1"/>
  <c r="S175" i="8"/>
  <c r="U175" i="8" s="1"/>
  <c r="V175" i="8" s="1"/>
  <c r="W175" i="8" s="1"/>
  <c r="E180" i="8"/>
  <c r="D180" i="8"/>
  <c r="AB180" i="8" s="1"/>
  <c r="S180" i="8"/>
  <c r="U180" i="8" s="1"/>
  <c r="V180" i="8" s="1"/>
  <c r="W180" i="8" s="1"/>
  <c r="D179" i="8"/>
  <c r="AB179" i="8" s="1"/>
  <c r="E179" i="8"/>
  <c r="S179" i="8"/>
  <c r="U179" i="8" s="1"/>
  <c r="V179" i="8" s="1"/>
  <c r="W179" i="8" s="1"/>
  <c r="D178" i="8"/>
  <c r="AB178" i="8" s="1"/>
  <c r="E178" i="8"/>
  <c r="S178" i="8"/>
  <c r="U178" i="8" s="1"/>
  <c r="V178" i="8" s="1"/>
  <c r="W178" i="8" s="1"/>
  <c r="E177" i="8"/>
  <c r="D177" i="8"/>
  <c r="AB177" i="8" s="1"/>
  <c r="S177" i="8"/>
  <c r="U177" i="8" s="1"/>
  <c r="V177" i="8" s="1"/>
  <c r="W177" i="8" s="1"/>
  <c r="E176" i="8"/>
  <c r="D176" i="8"/>
  <c r="S176" i="8"/>
  <c r="U176" i="8" s="1"/>
  <c r="V176" i="8" s="1"/>
  <c r="W176" i="8" s="1"/>
  <c r="E169" i="8"/>
  <c r="D169" i="8"/>
  <c r="S169" i="8"/>
  <c r="U169" i="8" s="1"/>
  <c r="V169" i="8" s="1"/>
  <c r="W169" i="8" s="1"/>
  <c r="E81" i="8"/>
  <c r="D81" i="8"/>
  <c r="S81" i="8"/>
  <c r="U81" i="8" s="1"/>
  <c r="V81" i="8" s="1"/>
  <c r="D84" i="8"/>
  <c r="E84" i="8"/>
  <c r="S84" i="8"/>
  <c r="U84" i="8" s="1"/>
  <c r="V84" i="8" s="1"/>
  <c r="W84" i="8" s="1"/>
  <c r="E85" i="8"/>
  <c r="D85" i="8"/>
  <c r="S85" i="8"/>
  <c r="U85" i="8" s="1"/>
  <c r="V85" i="8" s="1"/>
  <c r="W85" i="8" s="1"/>
  <c r="E87" i="8"/>
  <c r="D87" i="8"/>
  <c r="S87" i="8"/>
  <c r="U87" i="8" s="1"/>
  <c r="V87" i="8" s="1"/>
  <c r="W87" i="8" s="1"/>
  <c r="D86" i="8"/>
  <c r="E86" i="8"/>
  <c r="S86" i="8"/>
  <c r="U86" i="8" s="1"/>
  <c r="V86" i="8" s="1"/>
  <c r="W86" i="8" s="1"/>
  <c r="X86" i="8" s="1"/>
  <c r="E82" i="8"/>
  <c r="D82" i="8"/>
  <c r="S82" i="8"/>
  <c r="U82" i="8" s="1"/>
  <c r="V82" i="8" s="1"/>
  <c r="W82" i="8" s="1"/>
  <c r="D83" i="8"/>
  <c r="E83" i="8"/>
  <c r="S83" i="8"/>
  <c r="U83" i="8" s="1"/>
  <c r="V83" i="8" s="1"/>
  <c r="W83" i="8" s="1"/>
  <c r="E95" i="8"/>
  <c r="D95" i="8"/>
  <c r="S95" i="8"/>
  <c r="U95" i="8" s="1"/>
  <c r="V95" i="8" s="1"/>
  <c r="W95" i="8" s="1"/>
  <c r="D94" i="8"/>
  <c r="E94" i="8"/>
  <c r="S94" i="8"/>
  <c r="U94" i="8" s="1"/>
  <c r="V94" i="8" s="1"/>
  <c r="W94" i="8" s="1"/>
  <c r="D93" i="8"/>
  <c r="E93" i="8"/>
  <c r="S93" i="8"/>
  <c r="U93" i="8" s="1"/>
  <c r="V93" i="8" s="1"/>
  <c r="W93" i="8" s="1"/>
  <c r="E172" i="8"/>
  <c r="D172" i="8"/>
  <c r="S172" i="8"/>
  <c r="U172" i="8" s="1"/>
  <c r="V172" i="8" s="1"/>
  <c r="W172" i="8" s="1"/>
  <c r="E197" i="8"/>
  <c r="D197" i="8"/>
  <c r="AB197" i="8" s="1"/>
  <c r="S197" i="8"/>
  <c r="U197" i="8" s="1"/>
  <c r="V197" i="8" s="1"/>
  <c r="W197" i="8" s="1"/>
  <c r="E198" i="8"/>
  <c r="D198" i="8"/>
  <c r="AB198" i="8" s="1"/>
  <c r="S198" i="8"/>
  <c r="U198" i="8" s="1"/>
  <c r="V198" i="8" s="1"/>
  <c r="W198" i="8" s="1"/>
  <c r="D199" i="8"/>
  <c r="AB199" i="8" s="1"/>
  <c r="E199" i="8"/>
  <c r="S199" i="8"/>
  <c r="U199" i="8" s="1"/>
  <c r="V199" i="8" s="1"/>
  <c r="W199" i="8" s="1"/>
  <c r="E107" i="8"/>
  <c r="D107" i="8"/>
  <c r="AB107" i="8" s="1"/>
  <c r="S107" i="8"/>
  <c r="U107" i="8" s="1"/>
  <c r="V107" i="8" s="1"/>
  <c r="W107" i="8" s="1"/>
  <c r="D108" i="8"/>
  <c r="AB108" i="8" s="1"/>
  <c r="E108" i="8"/>
  <c r="S108" i="8"/>
  <c r="U108" i="8" s="1"/>
  <c r="V108" i="8" s="1"/>
  <c r="W108" i="8" s="1"/>
  <c r="E205" i="8"/>
  <c r="D205" i="8"/>
  <c r="AB205" i="8" s="1"/>
  <c r="S205" i="8"/>
  <c r="U205" i="8" s="1"/>
  <c r="V205" i="8" s="1"/>
  <c r="W205" i="8" s="1"/>
  <c r="D203" i="8"/>
  <c r="AB203" i="8" s="1"/>
  <c r="E203" i="8"/>
  <c r="S203" i="8"/>
  <c r="U203" i="8" s="1"/>
  <c r="V203" i="8" s="1"/>
  <c r="W203" i="8" s="1"/>
  <c r="D204" i="8"/>
  <c r="AB204" i="8" s="1"/>
  <c r="E204" i="8"/>
  <c r="S204" i="8"/>
  <c r="U204" i="8" s="1"/>
  <c r="V204" i="8" s="1"/>
  <c r="W204" i="8" s="1"/>
  <c r="E115" i="8"/>
  <c r="D115" i="8"/>
  <c r="AB115" i="8" s="1"/>
  <c r="S115" i="8"/>
  <c r="U115" i="8" s="1"/>
  <c r="V115" i="8" s="1"/>
  <c r="W115" i="8" s="1"/>
  <c r="E116" i="8"/>
  <c r="D116" i="8"/>
  <c r="AB116" i="8" s="1"/>
  <c r="S116" i="8"/>
  <c r="U116" i="8" s="1"/>
  <c r="V116" i="8" s="1"/>
  <c r="W116" i="8" s="1"/>
  <c r="E114" i="8"/>
  <c r="D114" i="8"/>
  <c r="AB114" i="8" s="1"/>
  <c r="S114" i="8"/>
  <c r="U114" i="8" s="1"/>
  <c r="V114" i="8" s="1"/>
  <c r="W114" i="8" s="1"/>
  <c r="E121" i="8"/>
  <c r="D121" i="8"/>
  <c r="S121" i="8"/>
  <c r="U121" i="8" s="1"/>
  <c r="V121" i="8" s="1"/>
  <c r="W121" i="8" s="1"/>
  <c r="D122" i="8"/>
  <c r="E122" i="8"/>
  <c r="S122" i="8"/>
  <c r="U122" i="8" s="1"/>
  <c r="V122" i="8" s="1"/>
  <c r="W122" i="8" s="1"/>
  <c r="E123" i="8"/>
  <c r="D123" i="8"/>
  <c r="S123" i="8"/>
  <c r="U123" i="8" s="1"/>
  <c r="V123" i="8" s="1"/>
  <c r="W123" i="8" s="1"/>
  <c r="E124" i="8"/>
  <c r="D124" i="8"/>
  <c r="S124" i="8"/>
  <c r="U124" i="8" s="1"/>
  <c r="V124" i="8" s="1"/>
  <c r="W124" i="8" s="1"/>
  <c r="E125" i="8"/>
  <c r="D125" i="8"/>
  <c r="S125" i="8"/>
  <c r="U125" i="8" s="1"/>
  <c r="V125" i="8" s="1"/>
  <c r="W125" i="8" s="1"/>
  <c r="E151" i="8"/>
  <c r="D151" i="8"/>
  <c r="S151" i="8"/>
  <c r="U151" i="8" s="1"/>
  <c r="V151" i="8" s="1"/>
  <c r="W151" i="8" s="1"/>
  <c r="E150" i="8"/>
  <c r="D150" i="8"/>
  <c r="S150" i="8"/>
  <c r="U150" i="8" s="1"/>
  <c r="V150" i="8" s="1"/>
  <c r="W150" i="8" s="1"/>
  <c r="E149" i="8"/>
  <c r="D149" i="8"/>
  <c r="S149" i="8"/>
  <c r="U149" i="8" s="1"/>
  <c r="V149" i="8" s="1"/>
  <c r="W149" i="8" s="1"/>
  <c r="E153" i="8"/>
  <c r="D153" i="8"/>
  <c r="S153" i="8"/>
  <c r="U153" i="8" s="1"/>
  <c r="V153" i="8" s="1"/>
  <c r="W153" i="8" s="1"/>
  <c r="E152" i="8"/>
  <c r="D152" i="8"/>
  <c r="S152" i="8"/>
  <c r="U152" i="8" s="1"/>
  <c r="V152" i="8" s="1"/>
  <c r="W152" i="8" s="1"/>
  <c r="E117" i="8"/>
  <c r="D117" i="8"/>
  <c r="S117" i="8"/>
  <c r="U117" i="8" s="1"/>
  <c r="V117" i="8" s="1"/>
  <c r="W117" i="8" s="1"/>
  <c r="E118" i="8"/>
  <c r="D118" i="8"/>
  <c r="S118" i="8"/>
  <c r="U118" i="8" s="1"/>
  <c r="V118" i="8" s="1"/>
  <c r="W118" i="8" s="1"/>
  <c r="E119" i="8"/>
  <c r="D119" i="8"/>
  <c r="S119" i="8"/>
  <c r="U119" i="8" s="1"/>
  <c r="V119" i="8" s="1"/>
  <c r="W119" i="8" s="1"/>
  <c r="E120" i="8"/>
  <c r="D120" i="8"/>
  <c r="S120" i="8"/>
  <c r="U120" i="8" s="1"/>
  <c r="V120" i="8" s="1"/>
  <c r="W120" i="8" s="1"/>
  <c r="E201" i="8"/>
  <c r="D201" i="8"/>
  <c r="S201" i="8"/>
  <c r="U201" i="8" s="1"/>
  <c r="V201" i="8" s="1"/>
  <c r="W201" i="8" s="1"/>
  <c r="D200" i="8"/>
  <c r="E200" i="8"/>
  <c r="S200" i="8"/>
  <c r="U200" i="8" s="1"/>
  <c r="V200" i="8" s="1"/>
  <c r="W200" i="8" s="1"/>
  <c r="E202" i="8"/>
  <c r="D202" i="8"/>
  <c r="S202" i="8"/>
  <c r="U202" i="8" s="1"/>
  <c r="V202" i="8" s="1"/>
  <c r="W202" i="8" s="1"/>
  <c r="E134" i="8"/>
  <c r="D134" i="8"/>
  <c r="S134" i="8"/>
  <c r="U134" i="8" s="1"/>
  <c r="V134" i="8" s="1"/>
  <c r="W134" i="8" s="1"/>
  <c r="E131" i="8"/>
  <c r="D131" i="8"/>
  <c r="S131" i="8"/>
  <c r="U131" i="8" s="1"/>
  <c r="V131" i="8" s="1"/>
  <c r="W131" i="8" s="1"/>
  <c r="D130" i="8"/>
  <c r="E130" i="8"/>
  <c r="S130" i="8"/>
  <c r="U130" i="8" s="1"/>
  <c r="V130" i="8" s="1"/>
  <c r="W130" i="8" s="1"/>
  <c r="E132" i="8"/>
  <c r="D132" i="8"/>
  <c r="S132" i="8"/>
  <c r="U132" i="8" s="1"/>
  <c r="V132" i="8" s="1"/>
  <c r="W132" i="8" s="1"/>
  <c r="E133" i="8"/>
  <c r="D133" i="8"/>
  <c r="S133" i="8"/>
  <c r="U133" i="8" s="1"/>
  <c r="V133" i="8" s="1"/>
  <c r="W133" i="8" s="1"/>
  <c r="D183" i="8"/>
  <c r="E183" i="8"/>
  <c r="S183" i="8"/>
  <c r="U183" i="8" s="1"/>
  <c r="V183" i="8" s="1"/>
  <c r="W183" i="8" s="1"/>
  <c r="E186" i="8"/>
  <c r="D186" i="8"/>
  <c r="S186" i="8"/>
  <c r="U186" i="8" s="1"/>
  <c r="V186" i="8" s="1"/>
  <c r="W186" i="8" s="1"/>
  <c r="E184" i="8"/>
  <c r="D184" i="8"/>
  <c r="S184" i="8"/>
  <c r="U184" i="8" s="1"/>
  <c r="V184" i="8" s="1"/>
  <c r="W184" i="8" s="1"/>
  <c r="E181" i="8"/>
  <c r="D181" i="8"/>
  <c r="S181" i="8"/>
  <c r="U181" i="8" s="1"/>
  <c r="V181" i="8" s="1"/>
  <c r="W181" i="8" s="1"/>
  <c r="E182" i="8"/>
  <c r="D182" i="8"/>
  <c r="S182" i="8"/>
  <c r="U182" i="8" s="1"/>
  <c r="V182" i="8" s="1"/>
  <c r="W182" i="8" s="1"/>
  <c r="E185" i="8"/>
  <c r="D185" i="8"/>
  <c r="S185" i="8"/>
  <c r="U185" i="8" s="1"/>
  <c r="V185" i="8" s="1"/>
  <c r="E112" i="8"/>
  <c r="D112" i="8"/>
  <c r="S112" i="8"/>
  <c r="U112" i="8" s="1"/>
  <c r="V112" i="8" s="1"/>
  <c r="W112" i="8" s="1"/>
  <c r="D113" i="8"/>
  <c r="E113" i="8"/>
  <c r="S113" i="8"/>
  <c r="U113" i="8" s="1"/>
  <c r="V113" i="8" s="1"/>
  <c r="W113" i="8" s="1"/>
  <c r="E111" i="8"/>
  <c r="D111" i="8"/>
  <c r="S111" i="8"/>
  <c r="U111" i="8" s="1"/>
  <c r="V111" i="8" s="1"/>
  <c r="W111" i="8" s="1"/>
  <c r="E110" i="8"/>
  <c r="D110" i="8"/>
  <c r="S110" i="8"/>
  <c r="U110" i="8" s="1"/>
  <c r="V110" i="8" s="1"/>
  <c r="W110" i="8" s="1"/>
  <c r="D109" i="8"/>
  <c r="E109" i="8"/>
  <c r="S109" i="8"/>
  <c r="U109" i="8" s="1"/>
  <c r="V109" i="8" s="1"/>
  <c r="W109" i="8" s="1"/>
  <c r="X109" i="8" s="1"/>
  <c r="E101" i="8"/>
  <c r="D101" i="8"/>
  <c r="S101" i="8"/>
  <c r="U101" i="8" s="1"/>
  <c r="V101" i="8" s="1"/>
  <c r="W101" i="8" s="1"/>
  <c r="E103" i="8"/>
  <c r="D103" i="8"/>
  <c r="S103" i="8"/>
  <c r="U103" i="8" s="1"/>
  <c r="V103" i="8" s="1"/>
  <c r="W103" i="8" s="1"/>
  <c r="E102" i="8"/>
  <c r="D102" i="8"/>
  <c r="S102" i="8"/>
  <c r="U102" i="8" s="1"/>
  <c r="V102" i="8" s="1"/>
  <c r="W102" i="8" s="1"/>
  <c r="E137" i="8"/>
  <c r="D137" i="8"/>
  <c r="S137" i="8"/>
  <c r="U137" i="8" s="1"/>
  <c r="V137" i="8" s="1"/>
  <c r="W137" i="8" s="1"/>
  <c r="E135" i="8"/>
  <c r="D135" i="8"/>
  <c r="S135" i="8"/>
  <c r="U135" i="8" s="1"/>
  <c r="V135" i="8" s="1"/>
  <c r="W135" i="8" s="1"/>
  <c r="E136" i="8"/>
  <c r="D136" i="8"/>
  <c r="S136" i="8"/>
  <c r="U136" i="8" s="1"/>
  <c r="V136" i="8" s="1"/>
  <c r="W136" i="8" s="1"/>
  <c r="E187" i="8"/>
  <c r="D187" i="8"/>
  <c r="AB187" i="8" s="1"/>
  <c r="S187" i="8"/>
  <c r="U187" i="8" s="1"/>
  <c r="V187" i="8" s="1"/>
  <c r="W187" i="8" s="1"/>
  <c r="E188" i="8"/>
  <c r="D188" i="8"/>
  <c r="AB188" i="8" s="1"/>
  <c r="S188" i="8"/>
  <c r="U188" i="8" s="1"/>
  <c r="V188" i="8" s="1"/>
  <c r="W188" i="8" s="1"/>
  <c r="D189" i="8"/>
  <c r="AB189" i="8" s="1"/>
  <c r="E189" i="8"/>
  <c r="S189" i="8"/>
  <c r="U189" i="8" s="1"/>
  <c r="V189" i="8" s="1"/>
  <c r="W189" i="8" s="1"/>
  <c r="E190" i="8"/>
  <c r="D190" i="8"/>
  <c r="AB190" i="8" s="1"/>
  <c r="S190" i="8"/>
  <c r="U190" i="8" s="1"/>
  <c r="V190" i="8" s="1"/>
  <c r="W190" i="8" s="1"/>
  <c r="D191" i="8"/>
  <c r="AB191" i="8" s="1"/>
  <c r="E191" i="8"/>
  <c r="S191" i="8"/>
  <c r="U191" i="8" s="1"/>
  <c r="V191" i="8" s="1"/>
  <c r="W191" i="8" s="1"/>
  <c r="E129" i="8"/>
  <c r="D129" i="8"/>
  <c r="S129" i="8"/>
  <c r="U129" i="8" s="1"/>
  <c r="V129" i="8" s="1"/>
  <c r="W129" i="8" s="1"/>
  <c r="E128" i="8"/>
  <c r="D128" i="8"/>
  <c r="S128" i="8"/>
  <c r="U128" i="8" s="1"/>
  <c r="V128" i="8" s="1"/>
  <c r="W128" i="8" s="1"/>
  <c r="E127" i="8"/>
  <c r="D127" i="8"/>
  <c r="S127" i="8"/>
  <c r="U127" i="8" s="1"/>
  <c r="V127" i="8" s="1"/>
  <c r="W127" i="8" s="1"/>
  <c r="E126" i="8"/>
  <c r="D126" i="8"/>
  <c r="S126" i="8"/>
  <c r="U126" i="8" s="1"/>
  <c r="V126" i="8" s="1"/>
  <c r="W126" i="8" s="1"/>
  <c r="E145" i="8"/>
  <c r="D145" i="8"/>
  <c r="AB145" i="8" s="1"/>
  <c r="S145" i="8"/>
  <c r="U145" i="8" s="1"/>
  <c r="V145" i="8" s="1"/>
  <c r="W145" i="8" s="1"/>
  <c r="E146" i="8"/>
  <c r="D146" i="8"/>
  <c r="AB146" i="8" s="1"/>
  <c r="S146" i="8"/>
  <c r="U146" i="8" s="1"/>
  <c r="V146" i="8" s="1"/>
  <c r="W146" i="8" s="1"/>
  <c r="E147" i="8"/>
  <c r="D147" i="8"/>
  <c r="AB147" i="8" s="1"/>
  <c r="S147" i="8"/>
  <c r="U147" i="8" s="1"/>
  <c r="V147" i="8" s="1"/>
  <c r="W147" i="8" s="1"/>
  <c r="E143" i="8"/>
  <c r="D143" i="8"/>
  <c r="AB143" i="8" s="1"/>
  <c r="S143" i="8"/>
  <c r="U143" i="8" s="1"/>
  <c r="V143" i="8" s="1"/>
  <c r="W143" i="8" s="1"/>
  <c r="E148" i="8"/>
  <c r="D148" i="8"/>
  <c r="AB148" i="8" s="1"/>
  <c r="S148" i="8"/>
  <c r="U148" i="8" s="1"/>
  <c r="V148" i="8" s="1"/>
  <c r="W148" i="8" s="1"/>
  <c r="E144" i="8"/>
  <c r="D144" i="8"/>
  <c r="AB144" i="8" s="1"/>
  <c r="S144" i="8"/>
  <c r="U144" i="8" s="1"/>
  <c r="V144" i="8" s="1"/>
  <c r="W144" i="8" s="1"/>
  <c r="E211" i="8"/>
  <c r="D211" i="8"/>
  <c r="AB211" i="8" s="1"/>
  <c r="S211" i="8"/>
  <c r="U211" i="8" s="1"/>
  <c r="V211" i="8" s="1"/>
  <c r="W211" i="8" s="1"/>
  <c r="E212" i="8"/>
  <c r="D212" i="8"/>
  <c r="AB212" i="8" s="1"/>
  <c r="S212" i="8"/>
  <c r="U212" i="8" s="1"/>
  <c r="V212" i="8" s="1"/>
  <c r="W212" i="8" s="1"/>
  <c r="D210" i="8"/>
  <c r="AB210" i="8" s="1"/>
  <c r="E210" i="8"/>
  <c r="S210" i="8"/>
  <c r="U210" i="8" s="1"/>
  <c r="V210" i="8" s="1"/>
  <c r="W210" i="8" s="1"/>
  <c r="D213" i="8"/>
  <c r="AB213" i="8" s="1"/>
  <c r="E213" i="8"/>
  <c r="S213" i="8"/>
  <c r="U213" i="8" s="1"/>
  <c r="V213" i="8" s="1"/>
  <c r="W213" i="8" s="1"/>
  <c r="E214" i="8"/>
  <c r="D214" i="8"/>
  <c r="AB214" i="8" s="1"/>
  <c r="S214" i="8"/>
  <c r="U214" i="8" s="1"/>
  <c r="V214" i="8" s="1"/>
  <c r="W214" i="8" s="1"/>
  <c r="E98" i="8"/>
  <c r="D98" i="8"/>
  <c r="AB98" i="8" s="1"/>
  <c r="S98" i="8"/>
  <c r="U98" i="8" s="1"/>
  <c r="V98" i="8" s="1"/>
  <c r="W98" i="8" s="1"/>
  <c r="E96" i="8"/>
  <c r="D96" i="8"/>
  <c r="AB96" i="8" s="1"/>
  <c r="S96" i="8"/>
  <c r="U96" i="8" s="1"/>
  <c r="V96" i="8" s="1"/>
  <c r="W96" i="8" s="1"/>
  <c r="E100" i="8"/>
  <c r="D100" i="8"/>
  <c r="AB100" i="8" s="1"/>
  <c r="S100" i="8"/>
  <c r="U100" i="8" s="1"/>
  <c r="V100" i="8" s="1"/>
  <c r="W100" i="8" s="1"/>
  <c r="E99" i="8"/>
  <c r="D99" i="8"/>
  <c r="AB99" i="8" s="1"/>
  <c r="S99" i="8"/>
  <c r="U99" i="8" s="1"/>
  <c r="V99" i="8" s="1"/>
  <c r="W99" i="8" s="1"/>
  <c r="E97" i="8"/>
  <c r="D97" i="8"/>
  <c r="AB97" i="8" s="1"/>
  <c r="S97" i="8"/>
  <c r="U97" i="8" s="1"/>
  <c r="V97" i="8" s="1"/>
  <c r="W97" i="8" s="1"/>
  <c r="D194" i="8"/>
  <c r="E194" i="8"/>
  <c r="S194" i="8"/>
  <c r="U194" i="8" s="1"/>
  <c r="V194" i="8" s="1"/>
  <c r="W194" i="8" s="1"/>
  <c r="E195" i="8"/>
  <c r="D195" i="8"/>
  <c r="S195" i="8"/>
  <c r="U195" i="8" s="1"/>
  <c r="V195" i="8" s="1"/>
  <c r="W195" i="8" s="1"/>
  <c r="D196" i="8"/>
  <c r="E196" i="8"/>
  <c r="S196" i="8"/>
  <c r="U196" i="8" s="1"/>
  <c r="V196" i="8" s="1"/>
  <c r="W196" i="8" s="1"/>
  <c r="E192" i="8"/>
  <c r="D192" i="8"/>
  <c r="S192" i="8"/>
  <c r="U192" i="8" s="1"/>
  <c r="V192" i="8" s="1"/>
  <c r="W192" i="8" s="1"/>
  <c r="E193" i="8"/>
  <c r="D193" i="8"/>
  <c r="S193" i="8"/>
  <c r="U193" i="8" s="1"/>
  <c r="V193" i="8" s="1"/>
  <c r="W193" i="8" s="1"/>
  <c r="E207" i="8"/>
  <c r="D207" i="8"/>
  <c r="AB207" i="8" s="1"/>
  <c r="S207" i="8"/>
  <c r="U207" i="8" s="1"/>
  <c r="V207" i="8" s="1"/>
  <c r="W207" i="8" s="1"/>
  <c r="E208" i="8"/>
  <c r="D208" i="8"/>
  <c r="AB208" i="8" s="1"/>
  <c r="S208" i="8"/>
  <c r="U208" i="8" s="1"/>
  <c r="V208" i="8" s="1"/>
  <c r="W208" i="8" s="1"/>
  <c r="E209" i="8"/>
  <c r="D209" i="8"/>
  <c r="AB209" i="8" s="1"/>
  <c r="S209" i="8"/>
  <c r="U209" i="8" s="1"/>
  <c r="V209" i="8" s="1"/>
  <c r="W209" i="8" s="1"/>
  <c r="E206" i="8"/>
  <c r="D206" i="8"/>
  <c r="AB206" i="8" s="1"/>
  <c r="S206" i="8"/>
  <c r="U206" i="8" s="1"/>
  <c r="V206" i="8" s="1"/>
  <c r="W206" i="8" s="1"/>
  <c r="E138" i="8"/>
  <c r="D138" i="8"/>
  <c r="AB138" i="8" s="1"/>
  <c r="S138" i="8"/>
  <c r="U138" i="8" s="1"/>
  <c r="V138" i="8" s="1"/>
  <c r="W138" i="8" s="1"/>
  <c r="D139" i="8"/>
  <c r="AB139" i="8" s="1"/>
  <c r="E139" i="8"/>
  <c r="S139" i="8"/>
  <c r="U139" i="8" s="1"/>
  <c r="V139" i="8" s="1"/>
  <c r="W139" i="8" s="1"/>
  <c r="E140" i="8"/>
  <c r="D140" i="8"/>
  <c r="AB140" i="8" s="1"/>
  <c r="S140" i="8"/>
  <c r="U140" i="8" s="1"/>
  <c r="V140" i="8" s="1"/>
  <c r="W140" i="8" s="1"/>
  <c r="D141" i="8"/>
  <c r="AB141" i="8" s="1"/>
  <c r="E141" i="8"/>
  <c r="S141" i="8"/>
  <c r="U141" i="8" s="1"/>
  <c r="V141" i="8" s="1"/>
  <c r="W141" i="8" s="1"/>
  <c r="E142" i="8"/>
  <c r="D142" i="8"/>
  <c r="AB142" i="8" s="1"/>
  <c r="S142" i="8"/>
  <c r="U142" i="8" s="1"/>
  <c r="V142" i="8" s="1"/>
  <c r="W142" i="8" s="1"/>
  <c r="E218" i="8"/>
  <c r="D218" i="8"/>
  <c r="AB218" i="8" s="1"/>
  <c r="S218" i="8"/>
  <c r="U218" i="8" s="1"/>
  <c r="V218" i="8" s="1"/>
  <c r="W218" i="8" s="1"/>
  <c r="E215" i="8"/>
  <c r="D215" i="8"/>
  <c r="AB215" i="8" s="1"/>
  <c r="S215" i="8"/>
  <c r="U215" i="8" s="1"/>
  <c r="V215" i="8" s="1"/>
  <c r="W215" i="8" s="1"/>
  <c r="D216" i="8"/>
  <c r="AB216" i="8" s="1"/>
  <c r="E216" i="8"/>
  <c r="S216" i="8"/>
  <c r="U216" i="8" s="1"/>
  <c r="V216" i="8" s="1"/>
  <c r="W216" i="8" s="1"/>
  <c r="D217" i="8"/>
  <c r="AB217" i="8" s="1"/>
  <c r="E217" i="8"/>
  <c r="S217" i="8"/>
  <c r="U217" i="8" s="1"/>
  <c r="V217" i="8" s="1"/>
  <c r="W217" i="8" s="1"/>
  <c r="D91" i="8"/>
  <c r="AB91" i="8" s="1"/>
  <c r="E91" i="8"/>
  <c r="S91" i="8"/>
  <c r="U91" i="8" s="1"/>
  <c r="V91" i="8" s="1"/>
  <c r="W91" i="8" s="1"/>
  <c r="E90" i="8"/>
  <c r="D90" i="8"/>
  <c r="AB90" i="8" s="1"/>
  <c r="S90" i="8"/>
  <c r="U90" i="8" s="1"/>
  <c r="V90" i="8" s="1"/>
  <c r="W90" i="8" s="1"/>
  <c r="E92" i="8"/>
  <c r="D92" i="8"/>
  <c r="AB92" i="8" s="1"/>
  <c r="S92" i="8"/>
  <c r="U92" i="8" s="1"/>
  <c r="V92" i="8" s="1"/>
  <c r="W92" i="8" s="1"/>
  <c r="E89" i="8"/>
  <c r="D89" i="8"/>
  <c r="AB89" i="8" s="1"/>
  <c r="S89" i="8"/>
  <c r="U89" i="8" s="1"/>
  <c r="V89" i="8" s="1"/>
  <c r="W89" i="8" s="1"/>
  <c r="E105" i="8"/>
  <c r="D105" i="8"/>
  <c r="AB105" i="8" s="1"/>
  <c r="S105" i="8"/>
  <c r="U105" i="8" s="1"/>
  <c r="V105" i="8" s="1"/>
  <c r="W105" i="8" s="1"/>
  <c r="E106" i="8"/>
  <c r="D106" i="8"/>
  <c r="AB106" i="8" s="1"/>
  <c r="S106" i="8"/>
  <c r="U106" i="8" s="1"/>
  <c r="V106" i="8" s="1"/>
  <c r="W106" i="8" s="1"/>
  <c r="E104" i="8"/>
  <c r="D104" i="8"/>
  <c r="AB104" i="8" s="1"/>
  <c r="S104" i="8"/>
  <c r="U104" i="8" s="1"/>
  <c r="V104" i="8" s="1"/>
  <c r="W104" i="8" s="1"/>
  <c r="AA779" i="8"/>
  <c r="AA780" i="8"/>
  <c r="AA778" i="8"/>
  <c r="AA1347" i="8"/>
  <c r="AA1346" i="8"/>
  <c r="AA107" i="8"/>
  <c r="AA108" i="8"/>
  <c r="AA1477" i="8"/>
  <c r="AA715" i="8"/>
  <c r="AA1476" i="8"/>
  <c r="AA714" i="8"/>
  <c r="AA204" i="8"/>
  <c r="AA203" i="8"/>
  <c r="AA205" i="8"/>
  <c r="AA1016" i="8"/>
  <c r="AA1015" i="8"/>
  <c r="AA1615" i="8"/>
  <c r="AA542" i="8"/>
  <c r="AA1612" i="8"/>
  <c r="AA1611" i="8"/>
  <c r="AA1107" i="8"/>
  <c r="AA1104" i="8"/>
  <c r="AA1614" i="8"/>
  <c r="AA1613" i="8"/>
  <c r="AA539" i="8"/>
  <c r="AA540" i="8"/>
  <c r="AA541" i="8"/>
  <c r="AA1106" i="8"/>
  <c r="AA1105" i="8"/>
  <c r="AA868" i="8"/>
  <c r="AA870" i="8"/>
  <c r="AA869" i="8"/>
  <c r="AA254" i="8"/>
  <c r="AA251" i="8"/>
  <c r="AA250" i="8"/>
  <c r="AA252" i="8"/>
  <c r="AA253" i="8"/>
  <c r="AA1195" i="8"/>
  <c r="AA1194" i="8"/>
  <c r="AA1742" i="8"/>
  <c r="AA1744" i="8"/>
  <c r="AA1743" i="8"/>
  <c r="AA1874" i="8"/>
  <c r="AA1873" i="8"/>
  <c r="AA1875" i="8"/>
  <c r="AA1872" i="8"/>
  <c r="AA397" i="8"/>
  <c r="AA398" i="8"/>
  <c r="AA399" i="8"/>
  <c r="AA400" i="8"/>
  <c r="AA1125" i="8"/>
  <c r="AA1126" i="8"/>
  <c r="AA1127" i="8"/>
  <c r="AA1128" i="8"/>
  <c r="AA1876" i="8"/>
  <c r="AA1628" i="8"/>
  <c r="AA1161" i="8"/>
  <c r="AA1626" i="8"/>
  <c r="AA1627" i="8"/>
  <c r="AA120" i="8"/>
  <c r="AA119" i="8"/>
  <c r="AA117" i="8"/>
  <c r="AA1162" i="8"/>
  <c r="AA1163" i="8"/>
  <c r="AA118" i="8"/>
  <c r="AA1795" i="8"/>
  <c r="AA1797" i="8"/>
  <c r="AA1798" i="8"/>
  <c r="AA1799" i="8"/>
  <c r="AA1796" i="8"/>
  <c r="AA201" i="8"/>
  <c r="AA202" i="8"/>
  <c r="AA200" i="8"/>
  <c r="AA1199" i="8"/>
  <c r="AA130" i="8"/>
  <c r="AA131" i="8"/>
  <c r="AA133" i="8"/>
  <c r="AA134" i="8"/>
  <c r="AA530" i="8"/>
  <c r="AA649" i="8"/>
  <c r="AA1697" i="8"/>
  <c r="AA648" i="8"/>
  <c r="AA647" i="8"/>
  <c r="AA1383" i="8"/>
  <c r="AA132" i="8"/>
  <c r="AA1382" i="8"/>
  <c r="AA570" i="8"/>
  <c r="AA568" i="8"/>
  <c r="AA571" i="8"/>
  <c r="AA569" i="8"/>
  <c r="AA996" i="8"/>
  <c r="AA995" i="8"/>
  <c r="AA994" i="8"/>
  <c r="AA1782" i="8"/>
  <c r="AA1781" i="8"/>
  <c r="AA1780" i="8"/>
  <c r="AA1779" i="8"/>
  <c r="AA1778" i="8"/>
  <c r="AA1777" i="8"/>
  <c r="AA1316" i="8"/>
  <c r="AA377" i="8"/>
  <c r="AA1851" i="8"/>
  <c r="AA1318" i="8"/>
  <c r="AA380" i="8"/>
  <c r="AA1319" i="8"/>
  <c r="AA807" i="8"/>
  <c r="AA378" i="8"/>
  <c r="AA1317" i="8"/>
  <c r="AA379" i="8"/>
  <c r="AA376" i="8"/>
  <c r="AA805" i="8"/>
  <c r="AA806" i="8"/>
  <c r="AA1853" i="8"/>
  <c r="AA1852" i="8"/>
  <c r="AA375" i="8"/>
  <c r="AA804" i="8"/>
  <c r="AA183" i="8"/>
  <c r="AA182" i="8"/>
  <c r="AA185" i="8"/>
  <c r="AA1509" i="8"/>
  <c r="AA1121" i="8"/>
  <c r="AA1120" i="8"/>
  <c r="AA313" i="8"/>
  <c r="AA1123" i="8"/>
  <c r="AA1512" i="8"/>
  <c r="AA1122" i="8"/>
  <c r="AA181" i="8"/>
  <c r="AA1511" i="8"/>
  <c r="AA184" i="8"/>
  <c r="AA1513" i="8"/>
  <c r="AA186" i="8"/>
  <c r="AA1124" i="8"/>
  <c r="AA1514" i="8"/>
  <c r="AA1510" i="8"/>
  <c r="AA1456" i="8"/>
  <c r="AA865" i="8"/>
  <c r="AA437" i="8"/>
  <c r="AA436" i="8"/>
  <c r="AA1454" i="8"/>
  <c r="AA1457" i="8"/>
  <c r="AA864" i="8"/>
  <c r="AA863" i="8"/>
  <c r="AA435" i="8"/>
  <c r="AA1455" i="8"/>
  <c r="AA573" i="8"/>
  <c r="AA1007" i="8"/>
  <c r="AA1666" i="8"/>
  <c r="AA1668" i="8"/>
  <c r="AA1667" i="8"/>
  <c r="AA1005" i="8"/>
  <c r="AA101" i="8"/>
  <c r="AA1006" i="8"/>
  <c r="AA1665" i="8"/>
  <c r="AA574" i="8"/>
  <c r="AA103" i="8"/>
  <c r="AA102" i="8"/>
  <c r="AA1892" i="8"/>
  <c r="AA1267" i="8"/>
  <c r="AA460" i="8"/>
  <c r="AA1894" i="8"/>
  <c r="AA1266" i="8"/>
  <c r="AA1893" i="8"/>
  <c r="AA459" i="8"/>
  <c r="AA1895" i="8"/>
  <c r="AA1268" i="8"/>
  <c r="AA461" i="8"/>
  <c r="AA136" i="8"/>
  <c r="AA552" i="8"/>
  <c r="AA998" i="8"/>
  <c r="AA1735" i="8"/>
  <c r="AA1000" i="8"/>
  <c r="AA135" i="8"/>
  <c r="AA997" i="8"/>
  <c r="AA1734" i="8"/>
  <c r="AA553" i="8"/>
  <c r="AA554" i="8"/>
  <c r="AA1732" i="8"/>
  <c r="AA137" i="8"/>
  <c r="AA1733" i="8"/>
  <c r="AA1731" i="8"/>
  <c r="AA999" i="8"/>
  <c r="AA675" i="8"/>
  <c r="AA235" i="8"/>
  <c r="AA1685" i="8"/>
  <c r="AA1168" i="8"/>
  <c r="AA234" i="8"/>
  <c r="AA1686" i="8"/>
  <c r="AA674" i="8"/>
  <c r="AA1684" i="8"/>
  <c r="AA1683" i="8"/>
  <c r="AA1169" i="8"/>
  <c r="AA233" i="8"/>
  <c r="AA296" i="8"/>
  <c r="AA297" i="8"/>
  <c r="AA298" i="8"/>
  <c r="AA1736" i="8"/>
  <c r="AA1739" i="8"/>
  <c r="AA295" i="8"/>
  <c r="AA1738" i="8"/>
  <c r="AA1737" i="8"/>
  <c r="AA193" i="8"/>
  <c r="AA657" i="8"/>
  <c r="AA196" i="8"/>
  <c r="AA195" i="8"/>
  <c r="AA658" i="8"/>
  <c r="AA1278" i="8"/>
  <c r="AA1279" i="8"/>
  <c r="AA192" i="8"/>
  <c r="AA656" i="8"/>
  <c r="AA1280" i="8"/>
  <c r="AA194" i="8"/>
  <c r="AA478" i="8"/>
  <c r="AA1640" i="8"/>
  <c r="AA476" i="8"/>
  <c r="AA477" i="8"/>
  <c r="AA1641" i="8"/>
  <c r="AA1827" i="8"/>
  <c r="AA1805" i="8"/>
  <c r="AA411" i="8"/>
  <c r="AA409" i="8"/>
  <c r="AA88" i="8"/>
  <c r="AA1804" i="8"/>
  <c r="AA704" i="8"/>
  <c r="AA410" i="8"/>
  <c r="AA1807" i="8"/>
  <c r="AA1806" i="8"/>
  <c r="AA1259" i="8"/>
  <c r="AA1258" i="8"/>
  <c r="AA595" i="8"/>
  <c r="AA1261" i="8"/>
  <c r="AA1260" i="8"/>
  <c r="AA594" i="8"/>
  <c r="AA596" i="8"/>
  <c r="AA1264" i="8"/>
  <c r="AA597" i="8"/>
  <c r="AA1265" i="8"/>
  <c r="AA598" i="8"/>
  <c r="AA1263" i="8"/>
  <c r="AA1262" i="8"/>
  <c r="AA588" i="8"/>
  <c r="AA1324" i="8"/>
  <c r="AA1325" i="8"/>
  <c r="AA1326" i="8"/>
  <c r="AA1327" i="8"/>
  <c r="AA1329" i="8"/>
  <c r="AA1330" i="8"/>
  <c r="AA1328" i="8"/>
  <c r="AA584" i="8"/>
  <c r="AA581" i="8"/>
  <c r="AA582" i="8"/>
  <c r="AA583" i="8"/>
  <c r="AA585" i="8"/>
  <c r="AA586" i="8"/>
  <c r="AA587" i="8"/>
  <c r="AA1245" i="8"/>
  <c r="AA159" i="8"/>
  <c r="AA1243" i="8"/>
  <c r="AA160" i="8"/>
  <c r="AA1240" i="8"/>
  <c r="AA1242" i="8"/>
  <c r="AA162" i="8"/>
  <c r="AA1241" i="8"/>
  <c r="AA1244" i="8"/>
  <c r="AA1239" i="8"/>
  <c r="AA163" i="8"/>
  <c r="AA161" i="8"/>
  <c r="AA668" i="8"/>
  <c r="AA664" i="8"/>
  <c r="AA669" i="8"/>
  <c r="AA667" i="8"/>
  <c r="AA666" i="8"/>
  <c r="AA176" i="8"/>
  <c r="AA665" i="8"/>
  <c r="AA663" i="8"/>
  <c r="AA413" i="8"/>
  <c r="AA81" i="8"/>
  <c r="AA850" i="8"/>
  <c r="AA412" i="8"/>
  <c r="AA1395" i="8"/>
  <c r="AA1394" i="8"/>
  <c r="AA1393" i="8"/>
  <c r="AA1392" i="8"/>
  <c r="AA85" i="8"/>
  <c r="AA708" i="8"/>
  <c r="AA707" i="8"/>
  <c r="AA706" i="8"/>
  <c r="AA705" i="8"/>
  <c r="AA86" i="8"/>
  <c r="AA84" i="8"/>
  <c r="AA82" i="8"/>
  <c r="AA87" i="8"/>
  <c r="AA83" i="8"/>
  <c r="AA606" i="8"/>
  <c r="AA1911" i="8"/>
  <c r="AA1910" i="8"/>
  <c r="AA605" i="8"/>
  <c r="AA1348" i="8"/>
  <c r="AA1349" i="8"/>
  <c r="AA1350" i="8"/>
  <c r="AA1351" i="8"/>
  <c r="AA593" i="8"/>
  <c r="AA710" i="8"/>
  <c r="AA709" i="8"/>
  <c r="AA95" i="8"/>
  <c r="AA94" i="8"/>
  <c r="AA592" i="8"/>
  <c r="AA591" i="8"/>
  <c r="AA590" i="8"/>
  <c r="AA589" i="8"/>
  <c r="AA1071" i="8"/>
  <c r="AA93" i="8"/>
  <c r="AA1352" i="8"/>
  <c r="AA325" i="8"/>
  <c r="AA323" i="8"/>
  <c r="AA326" i="8"/>
  <c r="AA324" i="8"/>
  <c r="AA1155" i="8"/>
  <c r="AA327" i="8"/>
  <c r="AA1153" i="8"/>
  <c r="AA1154" i="8"/>
  <c r="AA624" i="8"/>
  <c r="AA328" i="8"/>
  <c r="AA1156" i="8"/>
  <c r="AA1151" i="8"/>
  <c r="AA1152" i="8"/>
  <c r="AC1516" i="8"/>
  <c r="AC1517" i="8"/>
  <c r="AC1518" i="8"/>
  <c r="AC1519" i="8"/>
  <c r="AC1520" i="8"/>
  <c r="AC1521" i="8"/>
  <c r="AC1522" i="8"/>
  <c r="AC1523" i="8"/>
  <c r="AC1524" i="8"/>
  <c r="AC1525" i="8"/>
  <c r="AC1526" i="8"/>
  <c r="AC1527" i="8"/>
  <c r="AC1528" i="8"/>
  <c r="AC1529" i="8"/>
  <c r="AC1530" i="8"/>
  <c r="AC1531" i="8"/>
  <c r="AC1532" i="8"/>
  <c r="AC1533" i="8"/>
  <c r="AC1534" i="8"/>
  <c r="AC1535" i="8"/>
  <c r="AC1536" i="8"/>
  <c r="AC1537" i="8"/>
  <c r="AC1538" i="8"/>
  <c r="AC1539" i="8"/>
  <c r="AC1540" i="8"/>
  <c r="AC1541" i="8"/>
  <c r="AC1542" i="8"/>
  <c r="AC1543" i="8"/>
  <c r="AC1544" i="8"/>
  <c r="AC1545" i="8"/>
  <c r="AC1546" i="8"/>
  <c r="AC1547" i="8"/>
  <c r="AC1548" i="8"/>
  <c r="AC1549" i="8"/>
  <c r="AC1550" i="8"/>
  <c r="AC1551" i="8"/>
  <c r="AC1552" i="8"/>
  <c r="AC1553" i="8"/>
  <c r="AC1554" i="8"/>
  <c r="AC1555" i="8"/>
  <c r="AC1556" i="8"/>
  <c r="AC1557" i="8"/>
  <c r="AC1558" i="8"/>
  <c r="AC1559" i="8"/>
  <c r="AC1560" i="8"/>
  <c r="AC1561" i="8"/>
  <c r="AC1562" i="8"/>
  <c r="AC1563" i="8"/>
  <c r="AC1564" i="8"/>
  <c r="AC1565" i="8"/>
  <c r="AC1566" i="8"/>
  <c r="AC1567" i="8"/>
  <c r="AC1568" i="8"/>
  <c r="AC1569" i="8"/>
  <c r="AC1570" i="8"/>
  <c r="AC1571" i="8"/>
  <c r="AC1572" i="8"/>
  <c r="AC1573" i="8"/>
  <c r="AC1574" i="8"/>
  <c r="AC1575" i="8"/>
  <c r="AC1576" i="8"/>
  <c r="AC1577" i="8"/>
  <c r="AC1578" i="8"/>
  <c r="AC1579" i="8"/>
  <c r="AC1580" i="8"/>
  <c r="AC1581" i="8"/>
  <c r="AC1582" i="8"/>
  <c r="AC1583" i="8"/>
  <c r="AC1584" i="8"/>
  <c r="AC1585" i="8"/>
  <c r="AC1586" i="8"/>
  <c r="AC1587" i="8"/>
  <c r="AC1588" i="8"/>
  <c r="AC1589" i="8"/>
  <c r="AC1590" i="8"/>
  <c r="AC1591" i="8"/>
  <c r="AC1592" i="8"/>
  <c r="AC1593" i="8"/>
  <c r="AC1594" i="8"/>
  <c r="AC1595" i="8"/>
  <c r="AC1596" i="8"/>
  <c r="AC1597" i="8"/>
  <c r="AC1598" i="8"/>
  <c r="AC1599" i="8"/>
  <c r="AC1600" i="8"/>
  <c r="AC1601" i="8"/>
  <c r="AC1602" i="8"/>
  <c r="AC1603" i="8"/>
  <c r="AC1604" i="8"/>
  <c r="AC1605" i="8"/>
  <c r="AC1606" i="8"/>
  <c r="AC1607" i="8"/>
  <c r="AC1608" i="8"/>
  <c r="AC1609" i="8"/>
  <c r="AC1610" i="8"/>
  <c r="AC1699" i="8"/>
  <c r="AC1700" i="8"/>
  <c r="AC1701" i="8"/>
  <c r="AC1702" i="8"/>
  <c r="AC1703" i="8"/>
  <c r="AC1704" i="8"/>
  <c r="AC1723" i="8"/>
  <c r="AC1724" i="8"/>
  <c r="AC1769" i="8"/>
  <c r="AC1770" i="8"/>
  <c r="AC1771" i="8"/>
  <c r="AC1772" i="8"/>
  <c r="AC1835" i="8"/>
  <c r="AC1836" i="8"/>
  <c r="AC1837" i="8"/>
  <c r="AC1838" i="8"/>
  <c r="AC1839" i="8"/>
  <c r="AC1840" i="8"/>
  <c r="AC1841" i="8"/>
  <c r="AC1845" i="8"/>
  <c r="AC1846" i="8"/>
  <c r="H6" i="14"/>
  <c r="I73" i="10"/>
  <c r="D74" i="11" s="1"/>
  <c r="I72" i="10"/>
  <c r="N484" i="10"/>
  <c r="O484" i="10" a="1"/>
  <c r="N468" i="10"/>
  <c r="O468" i="10" a="1"/>
  <c r="E56" i="11"/>
  <c r="B56" i="11"/>
  <c r="E55" i="11"/>
  <c r="I54" i="10"/>
  <c r="I55" i="11"/>
  <c r="B55" i="11"/>
  <c r="C55" i="11"/>
  <c r="G56" i="11"/>
  <c r="G67" i="11"/>
  <c r="N481" i="10"/>
  <c r="O481" i="10" a="1"/>
  <c r="N343" i="10"/>
  <c r="O343" i="10" a="1"/>
  <c r="N140" i="10"/>
  <c r="O140" i="10" a="1"/>
  <c r="E117" i="11"/>
  <c r="E116" i="11"/>
  <c r="C117" i="11"/>
  <c r="I78" i="11"/>
  <c r="B117" i="11"/>
  <c r="I116" i="11"/>
  <c r="C78" i="11"/>
  <c r="G53" i="11"/>
  <c r="E53" i="11"/>
  <c r="C53" i="11"/>
  <c r="B53" i="11"/>
  <c r="I47" i="10"/>
  <c r="E47" i="11"/>
  <c r="I46" i="10"/>
  <c r="I45" i="10"/>
  <c r="E45" i="11"/>
  <c r="I44" i="10"/>
  <c r="E20" i="11"/>
  <c r="E11" i="11"/>
  <c r="E78" i="11"/>
  <c r="B78" i="11"/>
  <c r="I117" i="11"/>
  <c r="I43" i="10"/>
  <c r="I42" i="10"/>
  <c r="I41" i="10"/>
  <c r="I37" i="10"/>
  <c r="I34" i="10"/>
  <c r="I28" i="10"/>
  <c r="I27" i="10"/>
  <c r="I23" i="10"/>
  <c r="I20" i="10"/>
  <c r="I19" i="10"/>
  <c r="I16" i="10"/>
  <c r="I10" i="10"/>
  <c r="I9" i="10"/>
  <c r="I8" i="10"/>
  <c r="I6" i="10"/>
  <c r="O597" i="10" a="1"/>
  <c r="N597" i="10"/>
  <c r="N596" i="10"/>
  <c r="O596" i="10" a="1"/>
  <c r="N591" i="10"/>
  <c r="O591" i="10" a="1"/>
  <c r="N584" i="10"/>
  <c r="O584" i="10" a="1"/>
  <c r="N544" i="10"/>
  <c r="O544" i="10" a="1"/>
  <c r="N585" i="10"/>
  <c r="O585" i="10" a="1"/>
  <c r="N582" i="10"/>
  <c r="O582" i="10" a="1"/>
  <c r="N571" i="10"/>
  <c r="O571" i="10" a="1"/>
  <c r="N562" i="10"/>
  <c r="O562" i="10" a="1"/>
  <c r="N583" i="10"/>
  <c r="O583" i="10" a="1"/>
  <c r="C104" i="11"/>
  <c r="B70" i="11"/>
  <c r="B104" i="11"/>
  <c r="I29" i="11"/>
  <c r="I102" i="11"/>
  <c r="C21" i="11"/>
  <c r="E111" i="11"/>
  <c r="C75" i="11"/>
  <c r="C70" i="11"/>
  <c r="O509" i="10" a="1"/>
  <c r="N509" i="10"/>
  <c r="O329" i="10" a="1"/>
  <c r="N329" i="10"/>
  <c r="O274" i="10" a="1"/>
  <c r="N274" i="10"/>
  <c r="N216" i="10"/>
  <c r="O216" i="10" a="1"/>
  <c r="N179" i="10"/>
  <c r="O179" i="10" a="1"/>
  <c r="O142" i="10" a="1"/>
  <c r="N142" i="10"/>
  <c r="N133" i="10"/>
  <c r="O133" i="10" a="1"/>
  <c r="H803" i="12"/>
  <c r="B803" i="12"/>
  <c r="F803" i="12"/>
  <c r="J803" i="12"/>
  <c r="I803" i="12"/>
  <c r="C803" i="12"/>
  <c r="G803" i="12"/>
  <c r="E803" i="12"/>
  <c r="D803" i="12"/>
  <c r="B804" i="12"/>
  <c r="C804" i="12"/>
  <c r="I804" i="12"/>
  <c r="J804" i="12"/>
  <c r="G804" i="12"/>
  <c r="H804" i="12"/>
  <c r="D804" i="12"/>
  <c r="E804" i="12"/>
  <c r="F804" i="12"/>
  <c r="J805" i="12"/>
  <c r="E805" i="12"/>
  <c r="I805" i="12"/>
  <c r="G805" i="12"/>
  <c r="B805" i="12"/>
  <c r="C805" i="12"/>
  <c r="D805" i="12"/>
  <c r="F805" i="12"/>
  <c r="H805" i="12"/>
  <c r="H707" i="12"/>
  <c r="B707" i="12"/>
  <c r="D707" i="12"/>
  <c r="J707" i="12"/>
  <c r="I707" i="12"/>
  <c r="E707" i="12"/>
  <c r="F707" i="12"/>
  <c r="G707" i="12"/>
  <c r="C707" i="12"/>
  <c r="G708" i="12"/>
  <c r="F708" i="12"/>
  <c r="E708" i="12"/>
  <c r="D708" i="12"/>
  <c r="I708" i="12"/>
  <c r="J708" i="12"/>
  <c r="B708" i="12"/>
  <c r="C708" i="12"/>
  <c r="H708" i="12"/>
  <c r="J709" i="12"/>
  <c r="F709" i="12"/>
  <c r="I709" i="12"/>
  <c r="D709" i="12"/>
  <c r="H709" i="12"/>
  <c r="G709" i="12"/>
  <c r="C709" i="12"/>
  <c r="B709" i="12"/>
  <c r="E709" i="12"/>
  <c r="E710" i="12"/>
  <c r="H710" i="12"/>
  <c r="J710" i="12"/>
  <c r="B710" i="12"/>
  <c r="D710" i="12"/>
  <c r="F710" i="12"/>
  <c r="C710" i="12"/>
  <c r="G710" i="12"/>
  <c r="I710" i="12"/>
  <c r="B712" i="12"/>
  <c r="C712" i="12"/>
  <c r="E712" i="12"/>
  <c r="I712" i="12"/>
  <c r="J712" i="12"/>
  <c r="F712" i="12"/>
  <c r="G712" i="12"/>
  <c r="H712" i="12"/>
  <c r="D712" i="12"/>
  <c r="J713" i="12"/>
  <c r="H713" i="12"/>
  <c r="D713" i="12"/>
  <c r="B713" i="12"/>
  <c r="E713" i="12"/>
  <c r="F713" i="12"/>
  <c r="C713" i="12"/>
  <c r="G713" i="12"/>
  <c r="I713" i="12"/>
  <c r="D715" i="12"/>
  <c r="B715" i="12"/>
  <c r="E715" i="12"/>
  <c r="F715" i="12"/>
  <c r="G715" i="12"/>
  <c r="C715" i="12"/>
  <c r="J715" i="12"/>
  <c r="H715" i="12"/>
  <c r="I715" i="12"/>
  <c r="J716" i="12"/>
  <c r="F716" i="12"/>
  <c r="D716" i="12"/>
  <c r="E716" i="12"/>
  <c r="B716" i="12"/>
  <c r="C716" i="12"/>
  <c r="G716" i="12"/>
  <c r="H716" i="12"/>
  <c r="I716" i="12"/>
  <c r="J717" i="12"/>
  <c r="H717" i="12"/>
  <c r="B717" i="12"/>
  <c r="C717" i="12"/>
  <c r="F717" i="12"/>
  <c r="E717" i="12"/>
  <c r="D717" i="12"/>
  <c r="G717" i="12"/>
  <c r="I717" i="12"/>
  <c r="B718" i="12"/>
  <c r="C718" i="12"/>
  <c r="E718" i="12"/>
  <c r="G718" i="12"/>
  <c r="J718" i="12"/>
  <c r="I718" i="12"/>
  <c r="D718" i="12"/>
  <c r="F718" i="12"/>
  <c r="H718" i="12"/>
  <c r="H720" i="12"/>
  <c r="F720" i="12"/>
  <c r="E720" i="12"/>
  <c r="J720" i="12"/>
  <c r="D720" i="12"/>
  <c r="G720" i="12"/>
  <c r="I720" i="12"/>
  <c r="B720" i="12"/>
  <c r="C720" i="12"/>
  <c r="I721" i="12"/>
  <c r="B721" i="12"/>
  <c r="E721" i="12"/>
  <c r="D721" i="12"/>
  <c r="C721" i="12"/>
  <c r="G721" i="12"/>
  <c r="F721" i="12"/>
  <c r="J721" i="12"/>
  <c r="H721" i="12"/>
  <c r="F722" i="12"/>
  <c r="C722" i="12"/>
  <c r="D722" i="12"/>
  <c r="G722" i="12"/>
  <c r="I722" i="12"/>
  <c r="J722" i="12"/>
  <c r="H722" i="12"/>
  <c r="E722" i="12"/>
  <c r="B722" i="12"/>
  <c r="J724" i="12"/>
  <c r="C724" i="12"/>
  <c r="D724" i="12"/>
  <c r="B724" i="12"/>
  <c r="H724" i="12"/>
  <c r="I724" i="12"/>
  <c r="E724" i="12"/>
  <c r="F724" i="12"/>
  <c r="G724" i="12"/>
  <c r="J726" i="12"/>
  <c r="I726" i="12"/>
  <c r="B726" i="12"/>
  <c r="F726" i="12"/>
  <c r="C726" i="12"/>
  <c r="H726" i="12"/>
  <c r="D726" i="12"/>
  <c r="E726" i="12"/>
  <c r="G726" i="12"/>
  <c r="J727" i="12"/>
  <c r="H727" i="12"/>
  <c r="E727" i="12"/>
  <c r="C727" i="12"/>
  <c r="I727" i="12"/>
  <c r="G727" i="12"/>
  <c r="F727" i="12"/>
  <c r="D727" i="12"/>
  <c r="B727" i="12"/>
  <c r="J728" i="12"/>
  <c r="E728" i="12"/>
  <c r="B728" i="12"/>
  <c r="D728" i="12"/>
  <c r="C728" i="12"/>
  <c r="H728" i="12"/>
  <c r="G728" i="12"/>
  <c r="F728" i="12"/>
  <c r="I728" i="12"/>
  <c r="E729" i="12"/>
  <c r="F729" i="12"/>
  <c r="J729" i="12"/>
  <c r="B729" i="12"/>
  <c r="D729" i="12"/>
  <c r="C729" i="12"/>
  <c r="I729" i="12"/>
  <c r="G729" i="12"/>
  <c r="H729" i="12"/>
  <c r="B730" i="12"/>
  <c r="H730" i="12"/>
  <c r="J730" i="12"/>
  <c r="C730" i="12"/>
  <c r="D730" i="12"/>
  <c r="E730" i="12"/>
  <c r="F730" i="12"/>
  <c r="G730" i="12"/>
  <c r="I730" i="12"/>
  <c r="J731" i="12"/>
  <c r="E731" i="12"/>
  <c r="D731" i="12"/>
  <c r="B731" i="12"/>
  <c r="C731" i="12"/>
  <c r="I731" i="12"/>
  <c r="G731" i="12"/>
  <c r="H731" i="12"/>
  <c r="F731" i="12"/>
  <c r="I732" i="12"/>
  <c r="G732" i="12"/>
  <c r="C732" i="12"/>
  <c r="E732" i="12"/>
  <c r="F732" i="12"/>
  <c r="D732" i="12"/>
  <c r="H732" i="12"/>
  <c r="J732" i="12"/>
  <c r="B732" i="12"/>
  <c r="H733" i="12"/>
  <c r="F733" i="12"/>
  <c r="I733" i="12"/>
  <c r="B733" i="12"/>
  <c r="J733" i="12"/>
  <c r="G733" i="12"/>
  <c r="D733" i="12"/>
  <c r="E733" i="12"/>
  <c r="C733" i="12"/>
  <c r="J734" i="12"/>
  <c r="H734" i="12"/>
  <c r="I734" i="12"/>
  <c r="D734" i="12"/>
  <c r="F734" i="12"/>
  <c r="E734" i="12"/>
  <c r="G734" i="12"/>
  <c r="B734" i="12"/>
  <c r="C734" i="12"/>
  <c r="B735" i="12"/>
  <c r="I735" i="12"/>
  <c r="F735" i="12"/>
  <c r="H735" i="12"/>
  <c r="J735" i="12"/>
  <c r="G735" i="12"/>
  <c r="E735" i="12"/>
  <c r="D735" i="12"/>
  <c r="C735" i="12"/>
  <c r="H736" i="12"/>
  <c r="J736" i="12"/>
  <c r="B736" i="12"/>
  <c r="D736" i="12"/>
  <c r="E736" i="12"/>
  <c r="I736" i="12"/>
  <c r="G736" i="12"/>
  <c r="F736" i="12"/>
  <c r="C736" i="12"/>
  <c r="J737" i="12"/>
  <c r="I737" i="12"/>
  <c r="C737" i="12"/>
  <c r="B737" i="12"/>
  <c r="E737" i="12"/>
  <c r="D737" i="12"/>
  <c r="G737" i="12"/>
  <c r="H737" i="12"/>
  <c r="F737" i="12"/>
  <c r="I739" i="12"/>
  <c r="D739" i="12"/>
  <c r="F739" i="12"/>
  <c r="E739" i="12"/>
  <c r="B739" i="12"/>
  <c r="J739" i="12"/>
  <c r="C739" i="12"/>
  <c r="H739" i="12"/>
  <c r="G739" i="12"/>
  <c r="J741" i="12"/>
  <c r="I741" i="12"/>
  <c r="H741" i="12"/>
  <c r="G741" i="12"/>
  <c r="F741" i="12"/>
  <c r="C741" i="12"/>
  <c r="B741" i="12"/>
  <c r="E741" i="12"/>
  <c r="D741" i="12"/>
  <c r="I743" i="12"/>
  <c r="B743" i="12"/>
  <c r="F743" i="12"/>
  <c r="D743" i="12"/>
  <c r="E743" i="12"/>
  <c r="C743" i="12"/>
  <c r="G743" i="12"/>
  <c r="J743" i="12"/>
  <c r="H743" i="12"/>
  <c r="G744" i="12"/>
  <c r="E744" i="12"/>
  <c r="F744" i="12"/>
  <c r="C744" i="12"/>
  <c r="B744" i="12"/>
  <c r="D744" i="12"/>
  <c r="H744" i="12"/>
  <c r="I744" i="12"/>
  <c r="J744" i="12"/>
  <c r="J745" i="12"/>
  <c r="C745" i="12"/>
  <c r="B745" i="12"/>
  <c r="D745" i="12"/>
  <c r="I745" i="12"/>
  <c r="G745" i="12"/>
  <c r="H745" i="12"/>
  <c r="E745" i="12"/>
  <c r="F745" i="12"/>
  <c r="H746" i="12"/>
  <c r="I746" i="12"/>
  <c r="B746" i="12"/>
  <c r="C746" i="12"/>
  <c r="G746" i="12"/>
  <c r="E746" i="12"/>
  <c r="F746" i="12"/>
  <c r="D746" i="12"/>
  <c r="J746" i="12"/>
  <c r="E747" i="12"/>
  <c r="F747" i="12"/>
  <c r="D747" i="12"/>
  <c r="I747" i="12"/>
  <c r="J747" i="12"/>
  <c r="G747" i="12"/>
  <c r="B747" i="12"/>
  <c r="H747" i="12"/>
  <c r="C747" i="12"/>
  <c r="E748" i="12"/>
  <c r="F748" i="12"/>
  <c r="D748" i="12"/>
  <c r="B748" i="12"/>
  <c r="C748" i="12"/>
  <c r="J748" i="12"/>
  <c r="G748" i="12"/>
  <c r="H748" i="12"/>
  <c r="I748" i="12"/>
  <c r="I749" i="12"/>
  <c r="E749" i="12"/>
  <c r="F749" i="12"/>
  <c r="J749" i="12"/>
  <c r="B749" i="12"/>
  <c r="H749" i="12"/>
  <c r="D749" i="12"/>
  <c r="C749" i="12"/>
  <c r="G749" i="12"/>
  <c r="D750" i="12"/>
  <c r="H750" i="12"/>
  <c r="G750" i="12"/>
  <c r="J750" i="12"/>
  <c r="I750" i="12"/>
  <c r="B750" i="12"/>
  <c r="E750" i="12"/>
  <c r="F750" i="12"/>
  <c r="C750" i="12"/>
  <c r="F751" i="12"/>
  <c r="E751" i="12"/>
  <c r="G751" i="12"/>
  <c r="I751" i="12"/>
  <c r="J751" i="12"/>
  <c r="H751" i="12"/>
  <c r="D751" i="12"/>
  <c r="B751" i="12"/>
  <c r="C751" i="12"/>
  <c r="C752" i="12"/>
  <c r="G752" i="12"/>
  <c r="F752" i="12"/>
  <c r="D752" i="12"/>
  <c r="E752" i="12"/>
  <c r="H752" i="12"/>
  <c r="J752" i="12"/>
  <c r="B752" i="12"/>
  <c r="I752" i="12"/>
  <c r="J753" i="12"/>
  <c r="E753" i="12"/>
  <c r="D753" i="12"/>
  <c r="I753" i="12"/>
  <c r="F753" i="12"/>
  <c r="G753" i="12"/>
  <c r="C753" i="12"/>
  <c r="B753" i="12"/>
  <c r="H753" i="12"/>
  <c r="B754" i="12"/>
  <c r="J754" i="12"/>
  <c r="G754" i="12"/>
  <c r="F754" i="12"/>
  <c r="H754" i="12"/>
  <c r="I754" i="12"/>
  <c r="C754" i="12"/>
  <c r="E754" i="12"/>
  <c r="D754" i="12"/>
  <c r="F755" i="12"/>
  <c r="E755" i="12"/>
  <c r="D755" i="12"/>
  <c r="C755" i="12"/>
  <c r="B755" i="12"/>
  <c r="I755" i="12"/>
  <c r="H755" i="12"/>
  <c r="G755" i="12"/>
  <c r="J755" i="12"/>
  <c r="J756" i="12"/>
  <c r="H756" i="12"/>
  <c r="I756" i="12"/>
  <c r="D756" i="12"/>
  <c r="C756" i="12"/>
  <c r="B756" i="12"/>
  <c r="F756" i="12"/>
  <c r="E756" i="12"/>
  <c r="G756" i="12"/>
  <c r="C759" i="12"/>
  <c r="D759" i="12"/>
  <c r="E759" i="12"/>
  <c r="B759" i="12"/>
  <c r="I759" i="12"/>
  <c r="G759" i="12"/>
  <c r="J759" i="12"/>
  <c r="F759" i="12"/>
  <c r="H759" i="12"/>
  <c r="J760" i="12"/>
  <c r="G760" i="12"/>
  <c r="B760" i="12"/>
  <c r="E760" i="12"/>
  <c r="I760" i="12"/>
  <c r="D760" i="12"/>
  <c r="H760" i="12"/>
  <c r="C760" i="12"/>
  <c r="F760" i="12"/>
  <c r="F761" i="12"/>
  <c r="G761" i="12"/>
  <c r="B761" i="12"/>
  <c r="E761" i="12"/>
  <c r="D761" i="12"/>
  <c r="J761" i="12"/>
  <c r="I761" i="12"/>
  <c r="C761" i="12"/>
  <c r="H761" i="12"/>
  <c r="G762" i="12"/>
  <c r="I762" i="12"/>
  <c r="E762" i="12"/>
  <c r="B762" i="12"/>
  <c r="J762" i="12"/>
  <c r="H762" i="12"/>
  <c r="C762" i="12"/>
  <c r="F762" i="12"/>
  <c r="D762" i="12"/>
  <c r="J764" i="12"/>
  <c r="H764" i="12"/>
  <c r="E764" i="12"/>
  <c r="I764" i="12"/>
  <c r="G764" i="12"/>
  <c r="C764" i="12"/>
  <c r="D764" i="12"/>
  <c r="F764" i="12"/>
  <c r="B764" i="12"/>
  <c r="I766" i="12"/>
  <c r="G766" i="12"/>
  <c r="E766" i="12"/>
  <c r="D766" i="12"/>
  <c r="C766" i="12"/>
  <c r="F766" i="12"/>
  <c r="B766" i="12"/>
  <c r="H766" i="12"/>
  <c r="J766" i="12"/>
  <c r="I767" i="12"/>
  <c r="H767" i="12"/>
  <c r="C767" i="12"/>
  <c r="G767" i="12"/>
  <c r="F767" i="12"/>
  <c r="D767" i="12"/>
  <c r="B767" i="12"/>
  <c r="E767" i="12"/>
  <c r="J767" i="12"/>
  <c r="C769" i="12"/>
  <c r="B769" i="12"/>
  <c r="E769" i="12"/>
  <c r="F769" i="12"/>
  <c r="H769" i="12"/>
  <c r="G769" i="12"/>
  <c r="D769" i="12"/>
  <c r="J769" i="12"/>
  <c r="I769" i="12"/>
  <c r="H770" i="12"/>
  <c r="J770" i="12"/>
  <c r="I770" i="12"/>
  <c r="F770" i="12"/>
  <c r="G770" i="12"/>
  <c r="E770" i="12"/>
  <c r="B770" i="12"/>
  <c r="C770" i="12"/>
  <c r="D770" i="12"/>
  <c r="H771" i="12"/>
  <c r="G771" i="12"/>
  <c r="C771" i="12"/>
  <c r="E771" i="12"/>
  <c r="I771" i="12"/>
  <c r="D771" i="12"/>
  <c r="B771" i="12"/>
  <c r="F771" i="12"/>
  <c r="J771" i="12"/>
  <c r="C773" i="12"/>
  <c r="H773" i="12"/>
  <c r="J773" i="12"/>
  <c r="G773" i="12"/>
  <c r="E773" i="12"/>
  <c r="B773" i="12"/>
  <c r="I773" i="12"/>
  <c r="D773" i="12"/>
  <c r="F773" i="12"/>
  <c r="J774" i="12"/>
  <c r="I774" i="12"/>
  <c r="B774" i="12"/>
  <c r="C774" i="12"/>
  <c r="E774" i="12"/>
  <c r="G774" i="12"/>
  <c r="H774" i="12"/>
  <c r="F774" i="12"/>
  <c r="D774" i="12"/>
  <c r="J778" i="12"/>
  <c r="D778" i="12"/>
  <c r="C778" i="12"/>
  <c r="I778" i="12"/>
  <c r="H778" i="12"/>
  <c r="G778" i="12"/>
  <c r="B778" i="12"/>
  <c r="E778" i="12"/>
  <c r="F778" i="12"/>
  <c r="E779" i="12"/>
  <c r="F779" i="12"/>
  <c r="J779" i="12"/>
  <c r="B779" i="12"/>
  <c r="I779" i="12"/>
  <c r="C779" i="12"/>
  <c r="D779" i="12"/>
  <c r="G779" i="12"/>
  <c r="H779" i="12"/>
  <c r="J780" i="12"/>
  <c r="D780" i="12"/>
  <c r="I780" i="12"/>
  <c r="B780" i="12"/>
  <c r="C780" i="12"/>
  <c r="H780" i="12"/>
  <c r="F780" i="12"/>
  <c r="E780" i="12"/>
  <c r="G780" i="12"/>
  <c r="J781" i="12"/>
  <c r="E781" i="12"/>
  <c r="C781" i="12"/>
  <c r="D781" i="12"/>
  <c r="B781" i="12"/>
  <c r="F781" i="12"/>
  <c r="G781" i="12"/>
  <c r="H781" i="12"/>
  <c r="I781" i="12"/>
  <c r="C783" i="12"/>
  <c r="B783" i="12"/>
  <c r="E783" i="12"/>
  <c r="J783" i="12"/>
  <c r="D783" i="12"/>
  <c r="I783" i="12"/>
  <c r="H783" i="12"/>
  <c r="G783" i="12"/>
  <c r="F783" i="12"/>
  <c r="J784" i="12"/>
  <c r="F784" i="12"/>
  <c r="H784" i="12"/>
  <c r="B784" i="12"/>
  <c r="D784" i="12"/>
  <c r="E784" i="12"/>
  <c r="C784" i="12"/>
  <c r="I784" i="12"/>
  <c r="G784" i="12"/>
  <c r="F785" i="12"/>
  <c r="B785" i="12"/>
  <c r="I785" i="12"/>
  <c r="J785" i="12"/>
  <c r="G785" i="12"/>
  <c r="H785" i="12"/>
  <c r="C785" i="12"/>
  <c r="D785" i="12"/>
  <c r="E785" i="12"/>
  <c r="J786" i="12"/>
  <c r="B786" i="12"/>
  <c r="I786" i="12"/>
  <c r="G786" i="12"/>
  <c r="F786" i="12"/>
  <c r="E786" i="12"/>
  <c r="D786" i="12"/>
  <c r="H786" i="12"/>
  <c r="C786" i="12"/>
  <c r="D787" i="12"/>
  <c r="B787" i="12"/>
  <c r="J787" i="12"/>
  <c r="C787" i="12"/>
  <c r="E787" i="12"/>
  <c r="F787" i="12"/>
  <c r="G787" i="12"/>
  <c r="H787" i="12"/>
  <c r="I787" i="12"/>
  <c r="B788" i="12"/>
  <c r="F788" i="12"/>
  <c r="G788" i="12"/>
  <c r="J788" i="12"/>
  <c r="I788" i="12"/>
  <c r="H788" i="12"/>
  <c r="C788" i="12"/>
  <c r="D788" i="12"/>
  <c r="E788" i="12"/>
  <c r="B789" i="12"/>
  <c r="G789" i="12"/>
  <c r="C789" i="12"/>
  <c r="I789" i="12"/>
  <c r="J789" i="12"/>
  <c r="D789" i="12"/>
  <c r="H789" i="12"/>
  <c r="E789" i="12"/>
  <c r="F789" i="12"/>
  <c r="G791" i="12"/>
  <c r="E791" i="12"/>
  <c r="F791" i="12"/>
  <c r="C791" i="12"/>
  <c r="B791" i="12"/>
  <c r="H791" i="12"/>
  <c r="I791" i="12"/>
  <c r="D791" i="12"/>
  <c r="J791" i="12"/>
  <c r="J792" i="12"/>
  <c r="B792" i="12"/>
  <c r="I792" i="12"/>
  <c r="E792" i="12"/>
  <c r="F792" i="12"/>
  <c r="D792" i="12"/>
  <c r="C792" i="12"/>
  <c r="H792" i="12"/>
  <c r="G792" i="12"/>
  <c r="J793" i="12"/>
  <c r="H793" i="12"/>
  <c r="I793" i="12"/>
  <c r="F793" i="12"/>
  <c r="G793" i="12"/>
  <c r="E793" i="12"/>
  <c r="B793" i="12"/>
  <c r="D793" i="12"/>
  <c r="C793" i="12"/>
  <c r="H694" i="12"/>
  <c r="F694" i="12"/>
  <c r="D694" i="12"/>
  <c r="B694" i="12"/>
  <c r="C694" i="12"/>
  <c r="E694" i="12"/>
  <c r="G694" i="12"/>
  <c r="I694" i="12"/>
  <c r="J694" i="12"/>
  <c r="H695" i="12"/>
  <c r="G695" i="12"/>
  <c r="J695" i="12"/>
  <c r="I695" i="12"/>
  <c r="E695" i="12"/>
  <c r="D695" i="12"/>
  <c r="C695" i="12"/>
  <c r="B695" i="12"/>
  <c r="F695" i="12"/>
  <c r="B696" i="12"/>
  <c r="J696" i="12"/>
  <c r="I696" i="12"/>
  <c r="D696" i="12"/>
  <c r="H696" i="12"/>
  <c r="G696" i="12"/>
  <c r="F696" i="12"/>
  <c r="E696" i="12"/>
  <c r="C696" i="12"/>
  <c r="F697" i="12"/>
  <c r="C697" i="12"/>
  <c r="B697" i="12"/>
  <c r="E697" i="12"/>
  <c r="J697" i="12"/>
  <c r="I697" i="12"/>
  <c r="H697" i="12"/>
  <c r="G697" i="12"/>
  <c r="D697" i="12"/>
  <c r="I698" i="12"/>
  <c r="E698" i="12"/>
  <c r="H698" i="12"/>
  <c r="C698" i="12"/>
  <c r="B698" i="12"/>
  <c r="J698" i="12"/>
  <c r="G698" i="12"/>
  <c r="F698" i="12"/>
  <c r="D698" i="12"/>
  <c r="J699" i="12"/>
  <c r="H699" i="12"/>
  <c r="G699" i="12"/>
  <c r="B699" i="12"/>
  <c r="I699" i="12"/>
  <c r="D699" i="12"/>
  <c r="E699" i="12"/>
  <c r="F699" i="12"/>
  <c r="C699" i="12"/>
  <c r="G700" i="12"/>
  <c r="F700" i="12"/>
  <c r="I700" i="12"/>
  <c r="J700" i="12"/>
  <c r="D700" i="12"/>
  <c r="E700" i="12"/>
  <c r="C700" i="12"/>
  <c r="B700" i="12"/>
  <c r="H700" i="12"/>
  <c r="F701" i="12"/>
  <c r="B701" i="12"/>
  <c r="E701" i="12"/>
  <c r="C701" i="12"/>
  <c r="H701" i="12"/>
  <c r="I701" i="12"/>
  <c r="J701" i="12"/>
  <c r="D701" i="12"/>
  <c r="G701" i="12"/>
  <c r="J702" i="12"/>
  <c r="I702" i="12"/>
  <c r="B702" i="12"/>
  <c r="C702" i="12"/>
  <c r="G702" i="12"/>
  <c r="F702" i="12"/>
  <c r="H702" i="12"/>
  <c r="E702" i="12"/>
  <c r="D702" i="12"/>
  <c r="J704" i="12"/>
  <c r="C704" i="12"/>
  <c r="B704" i="12"/>
  <c r="I704" i="12"/>
  <c r="E704" i="12"/>
  <c r="G704" i="12"/>
  <c r="F704" i="12"/>
  <c r="H704" i="12"/>
  <c r="D704" i="12"/>
  <c r="J705" i="12"/>
  <c r="B705" i="12"/>
  <c r="I705" i="12"/>
  <c r="G705" i="12"/>
  <c r="D705" i="12"/>
  <c r="F705" i="12"/>
  <c r="E705" i="12"/>
  <c r="C705" i="12"/>
  <c r="H705" i="12"/>
  <c r="I620" i="12"/>
  <c r="G620" i="12"/>
  <c r="J620" i="12"/>
  <c r="F620" i="12"/>
  <c r="H620" i="12"/>
  <c r="D620" i="12"/>
  <c r="E620" i="12"/>
  <c r="C620" i="12"/>
  <c r="B620" i="12"/>
  <c r="J622" i="12"/>
  <c r="H622" i="12"/>
  <c r="I622" i="12"/>
  <c r="F622" i="12"/>
  <c r="C622" i="12"/>
  <c r="G622" i="12"/>
  <c r="B622" i="12"/>
  <c r="E622" i="12"/>
  <c r="D622" i="12"/>
  <c r="G625" i="12"/>
  <c r="H625" i="12"/>
  <c r="C625" i="12"/>
  <c r="B625" i="12"/>
  <c r="E625" i="12"/>
  <c r="D625" i="12"/>
  <c r="I625" i="12"/>
  <c r="J625" i="12"/>
  <c r="F625" i="12"/>
  <c r="E626" i="12"/>
  <c r="C626" i="12"/>
  <c r="F626" i="12"/>
  <c r="I626" i="12"/>
  <c r="G626" i="12"/>
  <c r="H626" i="12"/>
  <c r="D626" i="12"/>
  <c r="J626" i="12"/>
  <c r="B626" i="12"/>
  <c r="B629" i="12"/>
  <c r="E629" i="12"/>
  <c r="C629" i="12"/>
  <c r="F629" i="12"/>
  <c r="D629" i="12"/>
  <c r="G629" i="12"/>
  <c r="J629" i="12"/>
  <c r="H629" i="12"/>
  <c r="I629" i="12"/>
  <c r="B630" i="12"/>
  <c r="I630" i="12"/>
  <c r="C630" i="12"/>
  <c r="J630" i="12"/>
  <c r="H630" i="12"/>
  <c r="D630" i="12"/>
  <c r="E630" i="12"/>
  <c r="G630" i="12"/>
  <c r="F630" i="12"/>
  <c r="C631" i="12"/>
  <c r="J631" i="12"/>
  <c r="I631" i="12"/>
  <c r="H631" i="12"/>
  <c r="G631" i="12"/>
  <c r="E631" i="12"/>
  <c r="D631" i="12"/>
  <c r="B631" i="12"/>
  <c r="F631" i="12"/>
  <c r="C633" i="12"/>
  <c r="B633" i="12"/>
  <c r="J633" i="12"/>
  <c r="H633" i="12"/>
  <c r="F633" i="12"/>
  <c r="E633" i="12"/>
  <c r="G633" i="12"/>
  <c r="I633" i="12"/>
  <c r="D633" i="12"/>
  <c r="D634" i="12"/>
  <c r="C634" i="12"/>
  <c r="E634" i="12"/>
  <c r="F634" i="12"/>
  <c r="G634" i="12"/>
  <c r="H634" i="12"/>
  <c r="I634" i="12"/>
  <c r="J634" i="12"/>
  <c r="B634" i="12"/>
  <c r="I635" i="12"/>
  <c r="D635" i="12"/>
  <c r="C635" i="12"/>
  <c r="G635" i="12"/>
  <c r="J635" i="12"/>
  <c r="H635" i="12"/>
  <c r="B635" i="12"/>
  <c r="F635" i="12"/>
  <c r="E635" i="12"/>
  <c r="B636" i="12"/>
  <c r="C636" i="12"/>
  <c r="J636" i="12"/>
  <c r="I636" i="12"/>
  <c r="F636" i="12"/>
  <c r="H636" i="12"/>
  <c r="G636" i="12"/>
  <c r="D636" i="12"/>
  <c r="E636" i="12"/>
  <c r="B637" i="12"/>
  <c r="J637" i="12"/>
  <c r="I637" i="12"/>
  <c r="F637" i="12"/>
  <c r="C637" i="12"/>
  <c r="H637" i="12"/>
  <c r="E637" i="12"/>
  <c r="D637" i="12"/>
  <c r="G637" i="12"/>
  <c r="B638" i="12"/>
  <c r="C638" i="12"/>
  <c r="D638" i="12"/>
  <c r="J638" i="12"/>
  <c r="I638" i="12"/>
  <c r="G638" i="12"/>
  <c r="F638" i="12"/>
  <c r="E638" i="12"/>
  <c r="H638" i="12"/>
  <c r="J639" i="12"/>
  <c r="C639" i="12"/>
  <c r="D639" i="12"/>
  <c r="B639" i="12"/>
  <c r="F639" i="12"/>
  <c r="I639" i="12"/>
  <c r="E639" i="12"/>
  <c r="G639" i="12"/>
  <c r="H639" i="12"/>
  <c r="I640" i="12"/>
  <c r="G640" i="12"/>
  <c r="F640" i="12"/>
  <c r="D640" i="12"/>
  <c r="J640" i="12"/>
  <c r="C640" i="12"/>
  <c r="E640" i="12"/>
  <c r="B640" i="12"/>
  <c r="H640" i="12"/>
  <c r="H641" i="12"/>
  <c r="B641" i="12"/>
  <c r="D641" i="12"/>
  <c r="G641" i="12"/>
  <c r="C641" i="12"/>
  <c r="E641" i="12"/>
  <c r="J641" i="12"/>
  <c r="I641" i="12"/>
  <c r="F641" i="12"/>
  <c r="J642" i="12"/>
  <c r="I642" i="12"/>
  <c r="G642" i="12"/>
  <c r="E642" i="12"/>
  <c r="C642" i="12"/>
  <c r="D642" i="12"/>
  <c r="B642" i="12"/>
  <c r="F642" i="12"/>
  <c r="H642" i="12"/>
  <c r="I643" i="12"/>
  <c r="F643" i="12"/>
  <c r="C643" i="12"/>
  <c r="H643" i="12"/>
  <c r="D643" i="12"/>
  <c r="E643" i="12"/>
  <c r="G643" i="12"/>
  <c r="B643" i="12"/>
  <c r="J643" i="12"/>
  <c r="B644" i="12"/>
  <c r="I644" i="12"/>
  <c r="J644" i="12"/>
  <c r="E644" i="12"/>
  <c r="H644" i="12"/>
  <c r="G644" i="12"/>
  <c r="C644" i="12"/>
  <c r="D644" i="12"/>
  <c r="F644" i="12"/>
  <c r="G645" i="12"/>
  <c r="C645" i="12"/>
  <c r="E645" i="12"/>
  <c r="H645" i="12"/>
  <c r="F645" i="12"/>
  <c r="I645" i="12"/>
  <c r="D645" i="12"/>
  <c r="B645" i="12"/>
  <c r="J645" i="12"/>
  <c r="J646" i="12"/>
  <c r="D646" i="12"/>
  <c r="F646" i="12"/>
  <c r="E646" i="12"/>
  <c r="B646" i="12"/>
  <c r="C646" i="12"/>
  <c r="H646" i="12"/>
  <c r="G646" i="12"/>
  <c r="I646" i="12"/>
  <c r="H647" i="12"/>
  <c r="I647" i="12"/>
  <c r="J647" i="12"/>
  <c r="D647" i="12"/>
  <c r="C647" i="12"/>
  <c r="B647" i="12"/>
  <c r="E647" i="12"/>
  <c r="G647" i="12"/>
  <c r="F647" i="12"/>
  <c r="J648" i="12"/>
  <c r="F648" i="12"/>
  <c r="B648" i="12"/>
  <c r="D648" i="12"/>
  <c r="I648" i="12"/>
  <c r="G648" i="12"/>
  <c r="C648" i="12"/>
  <c r="E648" i="12"/>
  <c r="H648" i="12"/>
  <c r="H649" i="12"/>
  <c r="I649" i="12"/>
  <c r="J649" i="12"/>
  <c r="C649" i="12"/>
  <c r="F649" i="12"/>
  <c r="E649" i="12"/>
  <c r="G649" i="12"/>
  <c r="D649" i="12"/>
  <c r="B649" i="12"/>
  <c r="C650" i="12"/>
  <c r="G650" i="12"/>
  <c r="J650" i="12"/>
  <c r="D650" i="12"/>
  <c r="I650" i="12"/>
  <c r="H650" i="12"/>
  <c r="B650" i="12"/>
  <c r="E650" i="12"/>
  <c r="F650" i="12"/>
  <c r="E652" i="12"/>
  <c r="H652" i="12"/>
  <c r="I652" i="12"/>
  <c r="D652" i="12"/>
  <c r="J652" i="12"/>
  <c r="B652" i="12"/>
  <c r="F652" i="12"/>
  <c r="C652" i="12"/>
  <c r="G652" i="12"/>
  <c r="J655" i="12"/>
  <c r="D655" i="12"/>
  <c r="F655" i="12"/>
  <c r="G655" i="12"/>
  <c r="I655" i="12"/>
  <c r="H655" i="12"/>
  <c r="E655" i="12"/>
  <c r="C655" i="12"/>
  <c r="B655" i="12"/>
  <c r="J656" i="12"/>
  <c r="F656" i="12"/>
  <c r="C656" i="12"/>
  <c r="D656" i="12"/>
  <c r="I656" i="12"/>
  <c r="B656" i="12"/>
  <c r="G656" i="12"/>
  <c r="H656" i="12"/>
  <c r="E656" i="12"/>
  <c r="C657" i="12"/>
  <c r="D657" i="12"/>
  <c r="J657" i="12"/>
  <c r="G657" i="12"/>
  <c r="H657" i="12"/>
  <c r="B657" i="12"/>
  <c r="E657" i="12"/>
  <c r="I657" i="12"/>
  <c r="F657" i="12"/>
  <c r="F658" i="12"/>
  <c r="G658" i="12"/>
  <c r="E658" i="12"/>
  <c r="H658" i="12"/>
  <c r="I658" i="12"/>
  <c r="B658" i="12"/>
  <c r="D658" i="12"/>
  <c r="C658" i="12"/>
  <c r="J658" i="12"/>
  <c r="D659" i="12"/>
  <c r="I659" i="12"/>
  <c r="F659" i="12"/>
  <c r="G659" i="12"/>
  <c r="H659" i="12"/>
  <c r="E659" i="12"/>
  <c r="J659" i="12"/>
  <c r="C659" i="12"/>
  <c r="B659" i="12"/>
  <c r="B660" i="12"/>
  <c r="D660" i="12"/>
  <c r="F660" i="12"/>
  <c r="E660" i="12"/>
  <c r="I660" i="12"/>
  <c r="J660" i="12"/>
  <c r="G660" i="12"/>
  <c r="H660" i="12"/>
  <c r="C660" i="12"/>
  <c r="C661" i="12"/>
  <c r="B661" i="12"/>
  <c r="G661" i="12"/>
  <c r="E661" i="12"/>
  <c r="I661" i="12"/>
  <c r="H661" i="12"/>
  <c r="F661" i="12"/>
  <c r="J661" i="12"/>
  <c r="D661" i="12"/>
  <c r="F662" i="12"/>
  <c r="G662" i="12"/>
  <c r="J662" i="12"/>
  <c r="B662" i="12"/>
  <c r="C662" i="12"/>
  <c r="H662" i="12"/>
  <c r="D662" i="12"/>
  <c r="E662" i="12"/>
  <c r="I662" i="12"/>
  <c r="I663" i="12"/>
  <c r="J663" i="12"/>
  <c r="F663" i="12"/>
  <c r="G663" i="12"/>
  <c r="H663" i="12"/>
  <c r="B663" i="12"/>
  <c r="C663" i="12"/>
  <c r="D663" i="12"/>
  <c r="E663" i="12"/>
  <c r="B664" i="12"/>
  <c r="D664" i="12"/>
  <c r="C664" i="12"/>
  <c r="J664" i="12"/>
  <c r="H664" i="12"/>
  <c r="I664" i="12"/>
  <c r="E664" i="12"/>
  <c r="G664" i="12"/>
  <c r="F664" i="12"/>
  <c r="H665" i="12"/>
  <c r="G665" i="12"/>
  <c r="I665" i="12"/>
  <c r="J665" i="12"/>
  <c r="C665" i="12"/>
  <c r="B665" i="12"/>
  <c r="F665" i="12"/>
  <c r="D665" i="12"/>
  <c r="E665" i="12"/>
  <c r="B666" i="12"/>
  <c r="G666" i="12"/>
  <c r="C666" i="12"/>
  <c r="F666" i="12"/>
  <c r="J666" i="12"/>
  <c r="I666" i="12"/>
  <c r="H666" i="12"/>
  <c r="D666" i="12"/>
  <c r="E666" i="12"/>
  <c r="D670" i="12"/>
  <c r="E670" i="12"/>
  <c r="F670" i="12"/>
  <c r="C670" i="12"/>
  <c r="J670" i="12"/>
  <c r="B670" i="12"/>
  <c r="I670" i="12"/>
  <c r="G670" i="12"/>
  <c r="H670" i="12"/>
  <c r="F671" i="12"/>
  <c r="I671" i="12"/>
  <c r="J671" i="12"/>
  <c r="H671" i="12"/>
  <c r="G671" i="12"/>
  <c r="E671" i="12"/>
  <c r="D671" i="12"/>
  <c r="C671" i="12"/>
  <c r="B671" i="12"/>
  <c r="B672" i="12"/>
  <c r="H672" i="12"/>
  <c r="F672" i="12"/>
  <c r="C672" i="12"/>
  <c r="D672" i="12"/>
  <c r="E672" i="12"/>
  <c r="J672" i="12"/>
  <c r="I672" i="12"/>
  <c r="G672" i="12"/>
  <c r="E673" i="12"/>
  <c r="D673" i="12"/>
  <c r="B673" i="12"/>
  <c r="H673" i="12"/>
  <c r="F673" i="12"/>
  <c r="G673" i="12"/>
  <c r="I673" i="12"/>
  <c r="C673" i="12"/>
  <c r="J673" i="12"/>
  <c r="F674" i="12"/>
  <c r="I674" i="12"/>
  <c r="B674" i="12"/>
  <c r="C674" i="12"/>
  <c r="E674" i="12"/>
  <c r="G674" i="12"/>
  <c r="D674" i="12"/>
  <c r="H674" i="12"/>
  <c r="J674" i="12"/>
  <c r="C675" i="12"/>
  <c r="B675" i="12"/>
  <c r="J675" i="12"/>
  <c r="I675" i="12"/>
  <c r="E675" i="12"/>
  <c r="F675" i="12"/>
  <c r="H675" i="12"/>
  <c r="D675" i="12"/>
  <c r="G675" i="12"/>
  <c r="H676" i="12"/>
  <c r="J676" i="12"/>
  <c r="I676" i="12"/>
  <c r="F676" i="12"/>
  <c r="E676" i="12"/>
  <c r="G676" i="12"/>
  <c r="D676" i="12"/>
  <c r="B676" i="12"/>
  <c r="C676" i="12"/>
  <c r="E677" i="12"/>
  <c r="B677" i="12"/>
  <c r="F677" i="12"/>
  <c r="I677" i="12"/>
  <c r="J677" i="12"/>
  <c r="H677" i="12"/>
  <c r="D677" i="12"/>
  <c r="C677" i="12"/>
  <c r="G677" i="12"/>
  <c r="I678" i="12"/>
  <c r="H678" i="12"/>
  <c r="G678" i="12"/>
  <c r="C678" i="12"/>
  <c r="B678" i="12"/>
  <c r="D678" i="12"/>
  <c r="J678" i="12"/>
  <c r="E678" i="12"/>
  <c r="F678" i="12"/>
  <c r="D679" i="12"/>
  <c r="B679" i="12"/>
  <c r="E679" i="12"/>
  <c r="F679" i="12"/>
  <c r="C679" i="12"/>
  <c r="I679" i="12"/>
  <c r="J679" i="12"/>
  <c r="G679" i="12"/>
  <c r="H679" i="12"/>
  <c r="G680" i="12"/>
  <c r="H680" i="12"/>
  <c r="I680" i="12"/>
  <c r="J680" i="12"/>
  <c r="F680" i="12"/>
  <c r="B680" i="12"/>
  <c r="C680" i="12"/>
  <c r="D680" i="12"/>
  <c r="E680" i="12"/>
  <c r="H681" i="12"/>
  <c r="E681" i="12"/>
  <c r="G681" i="12"/>
  <c r="B681" i="12"/>
  <c r="F681" i="12"/>
  <c r="C681" i="12"/>
  <c r="J681" i="12"/>
  <c r="I681" i="12"/>
  <c r="D681" i="12"/>
  <c r="C682" i="12"/>
  <c r="E682" i="12"/>
  <c r="D682" i="12"/>
  <c r="F682" i="12"/>
  <c r="B682" i="12"/>
  <c r="H682" i="12"/>
  <c r="I682" i="12"/>
  <c r="J682" i="12"/>
  <c r="G682" i="12"/>
  <c r="E683" i="12"/>
  <c r="D683" i="12"/>
  <c r="C683" i="12"/>
  <c r="B683" i="12"/>
  <c r="G683" i="12"/>
  <c r="H683" i="12"/>
  <c r="F683" i="12"/>
  <c r="I683" i="12"/>
  <c r="J683" i="12"/>
  <c r="G685" i="12"/>
  <c r="J685" i="12"/>
  <c r="F685" i="12"/>
  <c r="H685" i="12"/>
  <c r="E685" i="12"/>
  <c r="D685" i="12"/>
  <c r="C685" i="12"/>
  <c r="B685" i="12"/>
  <c r="I685" i="12"/>
  <c r="J686" i="12"/>
  <c r="F686" i="12"/>
  <c r="C686" i="12"/>
  <c r="E686" i="12"/>
  <c r="B686" i="12"/>
  <c r="G686" i="12"/>
  <c r="I686" i="12"/>
  <c r="D686" i="12"/>
  <c r="H686" i="12"/>
  <c r="J687" i="12"/>
  <c r="E687" i="12"/>
  <c r="C687" i="12"/>
  <c r="D687" i="12"/>
  <c r="F687" i="12"/>
  <c r="G687" i="12"/>
  <c r="H687" i="12"/>
  <c r="B687" i="12"/>
  <c r="I687" i="12"/>
  <c r="B688" i="12"/>
  <c r="D688" i="12"/>
  <c r="C688" i="12"/>
  <c r="G688" i="12"/>
  <c r="H688" i="12"/>
  <c r="E688" i="12"/>
  <c r="F688" i="12"/>
  <c r="J688" i="12"/>
  <c r="I688" i="12"/>
  <c r="D689" i="12"/>
  <c r="F689" i="12"/>
  <c r="I689" i="12"/>
  <c r="E689" i="12"/>
  <c r="B689" i="12"/>
  <c r="J689" i="12"/>
  <c r="H689" i="12"/>
  <c r="C689" i="12"/>
  <c r="G689" i="12"/>
  <c r="J691" i="12"/>
  <c r="F691" i="12"/>
  <c r="G691" i="12"/>
  <c r="E691" i="12"/>
  <c r="D691" i="12"/>
  <c r="I691" i="12"/>
  <c r="B691" i="12"/>
  <c r="C691" i="12"/>
  <c r="H691" i="12"/>
  <c r="C692" i="12"/>
  <c r="E692" i="12"/>
  <c r="D692" i="12"/>
  <c r="B692" i="12"/>
  <c r="J692" i="12"/>
  <c r="I692" i="12"/>
  <c r="H692" i="12"/>
  <c r="G692" i="12"/>
  <c r="F692" i="12"/>
  <c r="E693" i="12"/>
  <c r="C693" i="12"/>
  <c r="F693" i="12"/>
  <c r="D693" i="12"/>
  <c r="B693" i="12"/>
  <c r="I693" i="12"/>
  <c r="J693" i="12"/>
  <c r="G693" i="12"/>
  <c r="H693" i="12"/>
  <c r="G742" i="12"/>
  <c r="C742" i="12"/>
  <c r="B742" i="12"/>
  <c r="E742" i="12"/>
  <c r="H742" i="12"/>
  <c r="F742" i="12"/>
  <c r="D742" i="12"/>
  <c r="I742" i="12"/>
  <c r="J742" i="12"/>
  <c r="I995" i="12"/>
  <c r="E995" i="12"/>
  <c r="J995" i="12"/>
  <c r="F995" i="12"/>
  <c r="G995" i="12"/>
  <c r="H995" i="12"/>
  <c r="F997" i="12"/>
  <c r="D997" i="12"/>
  <c r="E997" i="12"/>
  <c r="H997" i="12"/>
  <c r="G997" i="12"/>
  <c r="I997" i="12"/>
  <c r="J997" i="12"/>
  <c r="J998" i="12"/>
  <c r="C998" i="12"/>
  <c r="B998" i="12"/>
  <c r="F998" i="12"/>
  <c r="D998" i="12"/>
  <c r="E998" i="12"/>
  <c r="H998" i="12"/>
  <c r="G998" i="12"/>
  <c r="I998" i="12"/>
  <c r="I1000" i="12"/>
  <c r="H1000" i="12"/>
  <c r="J1000" i="12"/>
  <c r="G1000" i="12"/>
  <c r="H906" i="12"/>
  <c r="G906" i="12"/>
  <c r="J906" i="12"/>
  <c r="I906" i="12"/>
  <c r="J907" i="12"/>
  <c r="I907" i="12"/>
  <c r="G907" i="12"/>
  <c r="H907" i="12"/>
  <c r="J909" i="12"/>
  <c r="E909" i="12"/>
  <c r="F909" i="12"/>
  <c r="I909" i="12"/>
  <c r="G909" i="12"/>
  <c r="H909" i="12"/>
  <c r="H910" i="12"/>
  <c r="F910" i="12"/>
  <c r="G910" i="12"/>
  <c r="E910" i="12"/>
  <c r="I910" i="12"/>
  <c r="D910" i="12"/>
  <c r="J910" i="12"/>
  <c r="G911" i="12"/>
  <c r="H911" i="12"/>
  <c r="J911" i="12"/>
  <c r="I911" i="12"/>
  <c r="F912" i="12"/>
  <c r="E912" i="12"/>
  <c r="H912" i="12"/>
  <c r="I912" i="12"/>
  <c r="G912" i="12"/>
  <c r="D912" i="12"/>
  <c r="I913" i="12"/>
  <c r="G913" i="12"/>
  <c r="F913" i="12"/>
  <c r="E913" i="12"/>
  <c r="H913" i="12"/>
  <c r="F914" i="12"/>
  <c r="D914" i="12"/>
  <c r="I914" i="12"/>
  <c r="H914" i="12"/>
  <c r="J914" i="12"/>
  <c r="E914" i="12"/>
  <c r="G914" i="12"/>
  <c r="H915" i="12"/>
  <c r="F915" i="12"/>
  <c r="I915" i="12"/>
  <c r="G915" i="12"/>
  <c r="F916" i="12"/>
  <c r="D916" i="12"/>
  <c r="B916" i="12"/>
  <c r="E916" i="12"/>
  <c r="C916" i="12"/>
  <c r="J916" i="12"/>
  <c r="I916" i="12"/>
  <c r="H916" i="12"/>
  <c r="G916" i="12"/>
  <c r="F917" i="12"/>
  <c r="C917" i="12"/>
  <c r="B917" i="12"/>
  <c r="H917" i="12"/>
  <c r="G917" i="12"/>
  <c r="I917" i="12"/>
  <c r="J917" i="12"/>
  <c r="D917" i="12"/>
  <c r="E917" i="12"/>
  <c r="I919" i="12"/>
  <c r="G919" i="12"/>
  <c r="H919" i="12"/>
  <c r="F919" i="12"/>
  <c r="D919" i="12"/>
  <c r="E919" i="12"/>
  <c r="J919" i="12"/>
  <c r="J920" i="12"/>
  <c r="B920" i="12"/>
  <c r="H920" i="12"/>
  <c r="I920" i="12"/>
  <c r="C920" i="12"/>
  <c r="F920" i="12"/>
  <c r="G920" i="12"/>
  <c r="D920" i="12"/>
  <c r="E920" i="12"/>
  <c r="F921" i="12"/>
  <c r="J921" i="12"/>
  <c r="G921" i="12"/>
  <c r="I921" i="12"/>
  <c r="H921" i="12"/>
  <c r="F922" i="12"/>
  <c r="H922" i="12"/>
  <c r="I922" i="12"/>
  <c r="G922" i="12"/>
  <c r="J922" i="12"/>
  <c r="D925" i="12"/>
  <c r="J925" i="12"/>
  <c r="I925" i="12"/>
  <c r="C925" i="12"/>
  <c r="H925" i="12"/>
  <c r="G925" i="12"/>
  <c r="F925" i="12"/>
  <c r="E925" i="12"/>
  <c r="B925" i="12"/>
  <c r="I926" i="12"/>
  <c r="F926" i="12"/>
  <c r="G926" i="12"/>
  <c r="E926" i="12"/>
  <c r="H926" i="12"/>
  <c r="I927" i="12"/>
  <c r="H927" i="12"/>
  <c r="J927" i="12"/>
  <c r="F928" i="12"/>
  <c r="H928" i="12"/>
  <c r="D928" i="12"/>
  <c r="E928" i="12"/>
  <c r="I928" i="12"/>
  <c r="J928" i="12"/>
  <c r="G928" i="12"/>
  <c r="F929" i="12"/>
  <c r="I929" i="12"/>
  <c r="H929" i="12"/>
  <c r="J929" i="12"/>
  <c r="G929" i="12"/>
  <c r="H930" i="12"/>
  <c r="I930" i="12"/>
  <c r="G930" i="12"/>
  <c r="F930" i="12"/>
  <c r="J930" i="12"/>
  <c r="J931" i="12"/>
  <c r="F931" i="12"/>
  <c r="E931" i="12"/>
  <c r="I931" i="12"/>
  <c r="G931" i="12"/>
  <c r="H931" i="12"/>
  <c r="G932" i="12"/>
  <c r="E932" i="12"/>
  <c r="I932" i="12"/>
  <c r="H932" i="12"/>
  <c r="F932" i="12"/>
  <c r="D932" i="12"/>
  <c r="G933" i="12"/>
  <c r="H933" i="12"/>
  <c r="I933" i="12"/>
  <c r="F933" i="12"/>
  <c r="J933" i="12"/>
  <c r="E933" i="12"/>
  <c r="D933" i="12"/>
  <c r="C934" i="12"/>
  <c r="I934" i="12"/>
  <c r="H934" i="12"/>
  <c r="G934" i="12"/>
  <c r="F934" i="12"/>
  <c r="B934" i="12"/>
  <c r="E934" i="12"/>
  <c r="D934" i="12"/>
  <c r="J934" i="12"/>
  <c r="I936" i="12"/>
  <c r="E936" i="12"/>
  <c r="B936" i="12"/>
  <c r="C936" i="12"/>
  <c r="H936" i="12"/>
  <c r="G936" i="12"/>
  <c r="F936" i="12"/>
  <c r="J936" i="12"/>
  <c r="D936" i="12"/>
  <c r="J937" i="12"/>
  <c r="C937" i="12"/>
  <c r="E937" i="12"/>
  <c r="B937" i="12"/>
  <c r="H937" i="12"/>
  <c r="F937" i="12"/>
  <c r="I937" i="12"/>
  <c r="G937" i="12"/>
  <c r="D937" i="12"/>
  <c r="I939" i="12"/>
  <c r="H939" i="12"/>
  <c r="G939" i="12"/>
  <c r="J939" i="12"/>
  <c r="F941" i="12"/>
  <c r="J941" i="12"/>
  <c r="E941" i="12"/>
  <c r="I941" i="12"/>
  <c r="H941" i="12"/>
  <c r="G941" i="12"/>
  <c r="J942" i="12"/>
  <c r="E942" i="12"/>
  <c r="F942" i="12"/>
  <c r="C942" i="12"/>
  <c r="D942" i="12"/>
  <c r="I942" i="12"/>
  <c r="H942" i="12"/>
  <c r="G942" i="12"/>
  <c r="B942" i="12"/>
  <c r="F943" i="12"/>
  <c r="G943" i="12"/>
  <c r="I943" i="12"/>
  <c r="J943" i="12"/>
  <c r="H943" i="12"/>
  <c r="D945" i="12"/>
  <c r="E945" i="12"/>
  <c r="G945" i="12"/>
  <c r="I945" i="12"/>
  <c r="H945" i="12"/>
  <c r="F945" i="12"/>
  <c r="F946" i="12"/>
  <c r="G946" i="12"/>
  <c r="I946" i="12"/>
  <c r="D946" i="12"/>
  <c r="E946" i="12"/>
  <c r="H946" i="12"/>
  <c r="J948" i="12"/>
  <c r="G948" i="12"/>
  <c r="F948" i="12"/>
  <c r="H948" i="12"/>
  <c r="D948" i="12"/>
  <c r="I948" i="12"/>
  <c r="E948" i="12"/>
  <c r="C949" i="12"/>
  <c r="B949" i="12"/>
  <c r="E949" i="12"/>
  <c r="D949" i="12"/>
  <c r="F949" i="12"/>
  <c r="H949" i="12"/>
  <c r="G949" i="12"/>
  <c r="I949" i="12"/>
  <c r="J949" i="12"/>
  <c r="F952" i="12"/>
  <c r="I952" i="12"/>
  <c r="E952" i="12"/>
  <c r="D952" i="12"/>
  <c r="H952" i="12"/>
  <c r="G952" i="12"/>
  <c r="J954" i="12"/>
  <c r="C954" i="12"/>
  <c r="D954" i="12"/>
  <c r="E954" i="12"/>
  <c r="H954" i="12"/>
  <c r="F954" i="12"/>
  <c r="G954" i="12"/>
  <c r="B954" i="12"/>
  <c r="I954" i="12"/>
  <c r="E955" i="12"/>
  <c r="D955" i="12"/>
  <c r="B955" i="12"/>
  <c r="I955" i="12"/>
  <c r="H955" i="12"/>
  <c r="G955" i="12"/>
  <c r="C955" i="12"/>
  <c r="J955" i="12"/>
  <c r="F955" i="12"/>
  <c r="F956" i="12"/>
  <c r="J956" i="12"/>
  <c r="I956" i="12"/>
  <c r="H956" i="12"/>
  <c r="G956" i="12"/>
  <c r="B956" i="12"/>
  <c r="C956" i="12"/>
  <c r="D956" i="12"/>
  <c r="E956" i="12"/>
  <c r="E957" i="12"/>
  <c r="G957" i="12"/>
  <c r="F957" i="12"/>
  <c r="I957" i="12"/>
  <c r="H957" i="12"/>
  <c r="D957" i="12"/>
  <c r="D958" i="12"/>
  <c r="E958" i="12"/>
  <c r="G958" i="12"/>
  <c r="F958" i="12"/>
  <c r="H958" i="12"/>
  <c r="I958" i="12"/>
  <c r="C959" i="12"/>
  <c r="D959" i="12"/>
  <c r="F959" i="12"/>
  <c r="J959" i="12"/>
  <c r="I959" i="12"/>
  <c r="H959" i="12"/>
  <c r="G959" i="12"/>
  <c r="B959" i="12"/>
  <c r="E959" i="12"/>
  <c r="J960" i="12"/>
  <c r="H960" i="12"/>
  <c r="G960" i="12"/>
  <c r="B960" i="12"/>
  <c r="C960" i="12"/>
  <c r="D960" i="12"/>
  <c r="E960" i="12"/>
  <c r="F960" i="12"/>
  <c r="I960" i="12"/>
  <c r="J961" i="12"/>
  <c r="C961" i="12"/>
  <c r="D961" i="12"/>
  <c r="B961" i="12"/>
  <c r="I961" i="12"/>
  <c r="H961" i="12"/>
  <c r="G961" i="12"/>
  <c r="F961" i="12"/>
  <c r="E961" i="12"/>
  <c r="J963" i="12"/>
  <c r="I963" i="12"/>
  <c r="E963" i="12"/>
  <c r="F963" i="12"/>
  <c r="G963" i="12"/>
  <c r="H963" i="12"/>
  <c r="H964" i="12"/>
  <c r="I964" i="12"/>
  <c r="G964" i="12"/>
  <c r="E964" i="12"/>
  <c r="F964" i="12"/>
  <c r="J964" i="12"/>
  <c r="E965" i="12"/>
  <c r="D965" i="12"/>
  <c r="G965" i="12"/>
  <c r="F965" i="12"/>
  <c r="J965" i="12"/>
  <c r="I965" i="12"/>
  <c r="H965" i="12"/>
  <c r="H966" i="12"/>
  <c r="I966" i="12"/>
  <c r="C967" i="12"/>
  <c r="F967" i="12"/>
  <c r="E967" i="12"/>
  <c r="I967" i="12"/>
  <c r="H967" i="12"/>
  <c r="G967" i="12"/>
  <c r="J967" i="12"/>
  <c r="B967" i="12"/>
  <c r="D967" i="12"/>
  <c r="H969" i="12"/>
  <c r="I969" i="12"/>
  <c r="J969" i="12"/>
  <c r="B969" i="12"/>
  <c r="C969" i="12"/>
  <c r="F969" i="12"/>
  <c r="G969" i="12"/>
  <c r="E969" i="12"/>
  <c r="D969" i="12"/>
  <c r="J970" i="12"/>
  <c r="I970" i="12"/>
  <c r="H970" i="12"/>
  <c r="G970" i="12"/>
  <c r="F970" i="12"/>
  <c r="E970" i="12"/>
  <c r="D970" i="12"/>
  <c r="D972" i="12"/>
  <c r="I972" i="12"/>
  <c r="J972" i="12"/>
  <c r="E972" i="12"/>
  <c r="G972" i="12"/>
  <c r="H972" i="12"/>
  <c r="F972" i="12"/>
  <c r="F973" i="12"/>
  <c r="B973" i="12"/>
  <c r="G973" i="12"/>
  <c r="H973" i="12"/>
  <c r="J973" i="12"/>
  <c r="I973" i="12"/>
  <c r="C973" i="12"/>
  <c r="D973" i="12"/>
  <c r="E973" i="12"/>
  <c r="E974" i="12"/>
  <c r="F974" i="12"/>
  <c r="D974" i="12"/>
  <c r="C974" i="12"/>
  <c r="B974" i="12"/>
  <c r="J974" i="12"/>
  <c r="I974" i="12"/>
  <c r="H974" i="12"/>
  <c r="G974" i="12"/>
  <c r="F975" i="12"/>
  <c r="I975" i="12"/>
  <c r="J975" i="12"/>
  <c r="G975" i="12"/>
  <c r="H975" i="12"/>
  <c r="E975" i="12"/>
  <c r="G976" i="12"/>
  <c r="H976" i="12"/>
  <c r="E976" i="12"/>
  <c r="D976" i="12"/>
  <c r="I976" i="12"/>
  <c r="F976" i="12"/>
  <c r="J976" i="12"/>
  <c r="E977" i="12"/>
  <c r="F977" i="12"/>
  <c r="J977" i="12"/>
  <c r="I977" i="12"/>
  <c r="B977" i="12"/>
  <c r="C977" i="12"/>
  <c r="G977" i="12"/>
  <c r="D977" i="12"/>
  <c r="H977" i="12"/>
  <c r="B978" i="12"/>
  <c r="G978" i="12"/>
  <c r="H978" i="12"/>
  <c r="D978" i="12"/>
  <c r="E978" i="12"/>
  <c r="F978" i="12"/>
  <c r="C978" i="12"/>
  <c r="J978" i="12"/>
  <c r="I978" i="12"/>
  <c r="I979" i="12"/>
  <c r="J979" i="12"/>
  <c r="H979" i="12"/>
  <c r="G979" i="12"/>
  <c r="E979" i="12"/>
  <c r="I980" i="12"/>
  <c r="J980" i="12"/>
  <c r="E980" i="12"/>
  <c r="D980" i="12"/>
  <c r="F980" i="12"/>
  <c r="H980" i="12"/>
  <c r="G980" i="12"/>
  <c r="E981" i="12"/>
  <c r="G981" i="12"/>
  <c r="F981" i="12"/>
  <c r="J981" i="12"/>
  <c r="D981" i="12"/>
  <c r="I981" i="12"/>
  <c r="H981" i="12"/>
  <c r="F982" i="12"/>
  <c r="G982" i="12"/>
  <c r="I982" i="12"/>
  <c r="H982" i="12"/>
  <c r="E982" i="12"/>
  <c r="D982" i="12"/>
  <c r="H983" i="12"/>
  <c r="B983" i="12"/>
  <c r="G983" i="12"/>
  <c r="F983" i="12"/>
  <c r="D983" i="12"/>
  <c r="E983" i="12"/>
  <c r="C983" i="12"/>
  <c r="J983" i="12"/>
  <c r="I983" i="12"/>
  <c r="D984" i="12"/>
  <c r="E984" i="12"/>
  <c r="G984" i="12"/>
  <c r="F984" i="12"/>
  <c r="J984" i="12"/>
  <c r="I984" i="12"/>
  <c r="H984" i="12"/>
  <c r="E986" i="12"/>
  <c r="F986" i="12"/>
  <c r="I986" i="12"/>
  <c r="J986" i="12"/>
  <c r="G986" i="12"/>
  <c r="H986" i="12"/>
  <c r="J987" i="12"/>
  <c r="I987" i="12"/>
  <c r="H987" i="12"/>
  <c r="F987" i="12"/>
  <c r="G987" i="12"/>
  <c r="D988" i="12"/>
  <c r="F988" i="12"/>
  <c r="E988" i="12"/>
  <c r="G988" i="12"/>
  <c r="I988" i="12"/>
  <c r="H988" i="12"/>
  <c r="J988" i="12"/>
  <c r="H990" i="12"/>
  <c r="I990" i="12"/>
  <c r="J990" i="12"/>
  <c r="G990" i="12"/>
  <c r="F991" i="12"/>
  <c r="G991" i="12"/>
  <c r="H991" i="12"/>
  <c r="I991" i="12"/>
  <c r="J991" i="12"/>
  <c r="D992" i="12"/>
  <c r="H992" i="12"/>
  <c r="G992" i="12"/>
  <c r="F992" i="12"/>
  <c r="E992" i="12"/>
  <c r="I992" i="12"/>
  <c r="J992" i="12"/>
  <c r="E993" i="12"/>
  <c r="F993" i="12"/>
  <c r="H993" i="12"/>
  <c r="I993" i="12"/>
  <c r="J993" i="12"/>
  <c r="D993" i="12"/>
  <c r="B993" i="12"/>
  <c r="C993" i="12"/>
  <c r="G993" i="12"/>
  <c r="F894" i="12"/>
  <c r="C894" i="12"/>
  <c r="D894" i="12"/>
  <c r="E894" i="12"/>
  <c r="B894" i="12"/>
  <c r="J894" i="12"/>
  <c r="I894" i="12"/>
  <c r="H894" i="12"/>
  <c r="G894" i="12"/>
  <c r="E895" i="12"/>
  <c r="C895" i="12"/>
  <c r="J895" i="12"/>
  <c r="H895" i="12"/>
  <c r="G895" i="12"/>
  <c r="F895" i="12"/>
  <c r="I895" i="12"/>
  <c r="B895" i="12"/>
  <c r="D895" i="12"/>
  <c r="J896" i="12"/>
  <c r="I896" i="12"/>
  <c r="E896" i="12"/>
  <c r="G896" i="12"/>
  <c r="D896" i="12"/>
  <c r="H896" i="12"/>
  <c r="C896" i="12"/>
  <c r="F896" i="12"/>
  <c r="B896" i="12"/>
  <c r="D897" i="12"/>
  <c r="E897" i="12"/>
  <c r="C897" i="12"/>
  <c r="G897" i="12"/>
  <c r="B897" i="12"/>
  <c r="F897" i="12"/>
  <c r="J897" i="12"/>
  <c r="I897" i="12"/>
  <c r="H897" i="12"/>
  <c r="F898" i="12"/>
  <c r="G898" i="12"/>
  <c r="B898" i="12"/>
  <c r="C898" i="12"/>
  <c r="E898" i="12"/>
  <c r="J898" i="12"/>
  <c r="I898" i="12"/>
  <c r="D898" i="12"/>
  <c r="H898" i="12"/>
  <c r="E901" i="12"/>
  <c r="G901" i="12"/>
  <c r="H901" i="12"/>
  <c r="I901" i="12"/>
  <c r="J901" i="12"/>
  <c r="D901" i="12"/>
  <c r="F901" i="12"/>
  <c r="F902" i="12"/>
  <c r="H902" i="12"/>
  <c r="G902" i="12"/>
  <c r="I902" i="12"/>
  <c r="J902" i="12"/>
  <c r="F903" i="12"/>
  <c r="G903" i="12"/>
  <c r="I903" i="12"/>
  <c r="H903" i="12"/>
  <c r="E903" i="12"/>
  <c r="D904" i="12"/>
  <c r="F904" i="12"/>
  <c r="I904" i="12"/>
  <c r="H904" i="12"/>
  <c r="E904" i="12"/>
  <c r="J904" i="12"/>
  <c r="G904" i="12"/>
  <c r="I905" i="12"/>
  <c r="J905" i="12"/>
  <c r="F905" i="12"/>
  <c r="H905" i="12"/>
  <c r="E905" i="12"/>
  <c r="G905" i="12"/>
  <c r="G806" i="12"/>
  <c r="H806" i="12"/>
  <c r="F806" i="12"/>
  <c r="J806" i="12"/>
  <c r="I806" i="12"/>
  <c r="D808" i="12"/>
  <c r="F808" i="12"/>
  <c r="E808" i="12"/>
  <c r="I808" i="12"/>
  <c r="J808" i="12"/>
  <c r="H808" i="12"/>
  <c r="G808" i="12"/>
  <c r="H809" i="12"/>
  <c r="G809" i="12"/>
  <c r="I809" i="12"/>
  <c r="F809" i="12"/>
  <c r="H810" i="12"/>
  <c r="I810" i="12"/>
  <c r="J810" i="12"/>
  <c r="F810" i="12"/>
  <c r="G810" i="12"/>
  <c r="J812" i="12"/>
  <c r="H812" i="12"/>
  <c r="G812" i="12"/>
  <c r="I812" i="12"/>
  <c r="F812" i="12"/>
  <c r="E812" i="12"/>
  <c r="H813" i="12"/>
  <c r="J813" i="12"/>
  <c r="I813" i="12"/>
  <c r="E813" i="12"/>
  <c r="D813" i="12"/>
  <c r="C813" i="12"/>
  <c r="B813" i="12"/>
  <c r="G813" i="12"/>
  <c r="F813" i="12"/>
  <c r="J814" i="12"/>
  <c r="I814" i="12"/>
  <c r="H814" i="12"/>
  <c r="E814" i="12"/>
  <c r="D814" i="12"/>
  <c r="G814" i="12"/>
  <c r="F814" i="12"/>
  <c r="H815" i="12"/>
  <c r="G815" i="12"/>
  <c r="I815" i="12"/>
  <c r="H816" i="12"/>
  <c r="G816" i="12"/>
  <c r="I816" i="12"/>
  <c r="E818" i="12"/>
  <c r="B818" i="12"/>
  <c r="F818" i="12"/>
  <c r="I818" i="12"/>
  <c r="J818" i="12"/>
  <c r="G818" i="12"/>
  <c r="C818" i="12"/>
  <c r="H818" i="12"/>
  <c r="D818" i="12"/>
  <c r="I820" i="12"/>
  <c r="C820" i="12"/>
  <c r="J820" i="12"/>
  <c r="G820" i="12"/>
  <c r="H820" i="12"/>
  <c r="D820" i="12"/>
  <c r="B820" i="12"/>
  <c r="F820" i="12"/>
  <c r="E820" i="12"/>
  <c r="I821" i="12"/>
  <c r="H821" i="12"/>
  <c r="G821" i="12"/>
  <c r="F821" i="12"/>
  <c r="E821" i="12"/>
  <c r="J821" i="12"/>
  <c r="E823" i="12"/>
  <c r="F823" i="12"/>
  <c r="B823" i="12"/>
  <c r="C823" i="12"/>
  <c r="D823" i="12"/>
  <c r="H823" i="12"/>
  <c r="J823" i="12"/>
  <c r="I823" i="12"/>
  <c r="G823" i="12"/>
  <c r="J824" i="12"/>
  <c r="I824" i="12"/>
  <c r="H824" i="12"/>
  <c r="G824" i="12"/>
  <c r="F824" i="12"/>
  <c r="G825" i="12"/>
  <c r="J825" i="12"/>
  <c r="I825" i="12"/>
  <c r="E825" i="12"/>
  <c r="H825" i="12"/>
  <c r="F825" i="12"/>
  <c r="G829" i="12"/>
  <c r="F829" i="12"/>
  <c r="E829" i="12"/>
  <c r="H829" i="12"/>
  <c r="I829" i="12"/>
  <c r="J830" i="12"/>
  <c r="I830" i="12"/>
  <c r="E830" i="12"/>
  <c r="B830" i="12"/>
  <c r="C830" i="12"/>
  <c r="D830" i="12"/>
  <c r="G830" i="12"/>
  <c r="F830" i="12"/>
  <c r="H830" i="12"/>
  <c r="J831" i="12"/>
  <c r="I831" i="12"/>
  <c r="G831" i="12"/>
  <c r="C831" i="12"/>
  <c r="D831" i="12"/>
  <c r="H831" i="12"/>
  <c r="E831" i="12"/>
  <c r="F831" i="12"/>
  <c r="B831" i="12"/>
  <c r="I832" i="12"/>
  <c r="J832" i="12"/>
  <c r="G832" i="12"/>
  <c r="H832" i="12"/>
  <c r="E832" i="12"/>
  <c r="F832" i="12"/>
  <c r="C832" i="12"/>
  <c r="D832" i="12"/>
  <c r="B832" i="12"/>
  <c r="C833" i="12"/>
  <c r="I833" i="12"/>
  <c r="D833" i="12"/>
  <c r="E833" i="12"/>
  <c r="B833" i="12"/>
  <c r="H833" i="12"/>
  <c r="J833" i="12"/>
  <c r="G833" i="12"/>
  <c r="F833" i="12"/>
  <c r="B834" i="12"/>
  <c r="J834" i="12"/>
  <c r="I834" i="12"/>
  <c r="H834" i="12"/>
  <c r="F834" i="12"/>
  <c r="G834" i="12"/>
  <c r="E834" i="12"/>
  <c r="D834" i="12"/>
  <c r="C834" i="12"/>
  <c r="I835" i="12"/>
  <c r="J835" i="12"/>
  <c r="H836" i="12"/>
  <c r="F836" i="12"/>
  <c r="G836" i="12"/>
  <c r="E836" i="12"/>
  <c r="B836" i="12"/>
  <c r="C836" i="12"/>
  <c r="J836" i="12"/>
  <c r="D836" i="12"/>
  <c r="I836" i="12"/>
  <c r="J838" i="12"/>
  <c r="I838" i="12"/>
  <c r="H838" i="12"/>
  <c r="I840" i="12"/>
  <c r="H840" i="12"/>
  <c r="G840" i="12"/>
  <c r="D840" i="12"/>
  <c r="F840" i="12"/>
  <c r="E840" i="12"/>
  <c r="J840" i="12"/>
  <c r="I841" i="12"/>
  <c r="J841" i="12"/>
  <c r="H841" i="12"/>
  <c r="C841" i="12"/>
  <c r="G841" i="12"/>
  <c r="B841" i="12"/>
  <c r="D841" i="12"/>
  <c r="E841" i="12"/>
  <c r="F841" i="12"/>
  <c r="H842" i="12"/>
  <c r="I842" i="12"/>
  <c r="G842" i="12"/>
  <c r="J842" i="12"/>
  <c r="F842" i="12"/>
  <c r="E842" i="12"/>
  <c r="J843" i="12"/>
  <c r="H843" i="12"/>
  <c r="I843" i="12"/>
  <c r="J844" i="12"/>
  <c r="H844" i="12"/>
  <c r="I844" i="12"/>
  <c r="G844" i="12"/>
  <c r="I845" i="12"/>
  <c r="F845" i="12"/>
  <c r="G845" i="12"/>
  <c r="J845" i="12"/>
  <c r="H845" i="12"/>
  <c r="E845" i="12"/>
  <c r="G846" i="12"/>
  <c r="J846" i="12"/>
  <c r="I846" i="12"/>
  <c r="F846" i="12"/>
  <c r="H846" i="12"/>
  <c r="I847" i="12"/>
  <c r="J847" i="12"/>
  <c r="D847" i="12"/>
  <c r="E847" i="12"/>
  <c r="F847" i="12"/>
  <c r="H847" i="12"/>
  <c r="G847" i="12"/>
  <c r="G848" i="12"/>
  <c r="I848" i="12"/>
  <c r="D848" i="12"/>
  <c r="H848" i="12"/>
  <c r="F848" i="12"/>
  <c r="E848" i="12"/>
  <c r="I850" i="12"/>
  <c r="H850" i="12"/>
  <c r="J850" i="12"/>
  <c r="C850" i="12"/>
  <c r="D850" i="12"/>
  <c r="E850" i="12"/>
  <c r="F850" i="12"/>
  <c r="B850" i="12"/>
  <c r="G850" i="12"/>
  <c r="J851" i="12"/>
  <c r="H851" i="12"/>
  <c r="I851" i="12"/>
  <c r="I852" i="12"/>
  <c r="H852" i="12"/>
  <c r="J852" i="12"/>
  <c r="E852" i="12"/>
  <c r="F852" i="12"/>
  <c r="G852" i="12"/>
  <c r="J853" i="12"/>
  <c r="I853" i="12"/>
  <c r="G853" i="12"/>
  <c r="H853" i="12"/>
  <c r="F854" i="12"/>
  <c r="J854" i="12"/>
  <c r="I854" i="12"/>
  <c r="G854" i="12"/>
  <c r="E854" i="12"/>
  <c r="H854" i="12"/>
  <c r="D855" i="12"/>
  <c r="C855" i="12"/>
  <c r="B855" i="12"/>
  <c r="J855" i="12"/>
  <c r="I855" i="12"/>
  <c r="H855" i="12"/>
  <c r="G855" i="12"/>
  <c r="F855" i="12"/>
  <c r="E855" i="12"/>
  <c r="F856" i="12"/>
  <c r="G856" i="12"/>
  <c r="H856" i="12"/>
  <c r="J856" i="12"/>
  <c r="I856" i="12"/>
  <c r="I859" i="12"/>
  <c r="J859" i="12"/>
  <c r="G861" i="12"/>
  <c r="I861" i="12"/>
  <c r="H861" i="12"/>
  <c r="J861" i="12"/>
  <c r="G862" i="12"/>
  <c r="F862" i="12"/>
  <c r="E862" i="12"/>
  <c r="H862" i="12"/>
  <c r="I862" i="12"/>
  <c r="J862" i="12"/>
  <c r="J868" i="12"/>
  <c r="E868" i="12"/>
  <c r="I868" i="12"/>
  <c r="H868" i="12"/>
  <c r="B868" i="12"/>
  <c r="C868" i="12"/>
  <c r="D868" i="12"/>
  <c r="G868" i="12"/>
  <c r="F868" i="12"/>
  <c r="J869" i="12"/>
  <c r="B869" i="12"/>
  <c r="F869" i="12"/>
  <c r="G869" i="12"/>
  <c r="H869" i="12"/>
  <c r="E869" i="12"/>
  <c r="I869" i="12"/>
  <c r="D869" i="12"/>
  <c r="C869" i="12"/>
  <c r="B871" i="12"/>
  <c r="C871" i="12"/>
  <c r="G871" i="12"/>
  <c r="E871" i="12"/>
  <c r="D871" i="12"/>
  <c r="F871" i="12"/>
  <c r="H871" i="12"/>
  <c r="J871" i="12"/>
  <c r="I871" i="12"/>
  <c r="J872" i="12"/>
  <c r="E872" i="12"/>
  <c r="H872" i="12"/>
  <c r="G872" i="12"/>
  <c r="F872" i="12"/>
  <c r="C872" i="12"/>
  <c r="B872" i="12"/>
  <c r="D872" i="12"/>
  <c r="I872" i="12"/>
  <c r="J873" i="12"/>
  <c r="F873" i="12"/>
  <c r="D873" i="12"/>
  <c r="G873" i="12"/>
  <c r="H873" i="12"/>
  <c r="E873" i="12"/>
  <c r="C873" i="12"/>
  <c r="B873" i="12"/>
  <c r="I873" i="12"/>
  <c r="F874" i="12"/>
  <c r="H874" i="12"/>
  <c r="E874" i="12"/>
  <c r="G874" i="12"/>
  <c r="J874" i="12"/>
  <c r="I874" i="12"/>
  <c r="H875" i="12"/>
  <c r="F875" i="12"/>
  <c r="J875" i="12"/>
  <c r="I875" i="12"/>
  <c r="G875" i="12"/>
  <c r="G876" i="12"/>
  <c r="J876" i="12"/>
  <c r="H876" i="12"/>
  <c r="I876" i="12"/>
  <c r="I878" i="12"/>
  <c r="J878" i="12"/>
  <c r="H878" i="12"/>
  <c r="G878" i="12"/>
  <c r="E878" i="12"/>
  <c r="F878" i="12"/>
  <c r="E879" i="12"/>
  <c r="G879" i="12"/>
  <c r="J879" i="12"/>
  <c r="F879" i="12"/>
  <c r="I879" i="12"/>
  <c r="H879" i="12"/>
  <c r="H880" i="12"/>
  <c r="I880" i="12"/>
  <c r="J880" i="12"/>
  <c r="G880" i="12"/>
  <c r="F880" i="12"/>
  <c r="F881" i="12"/>
  <c r="G881" i="12"/>
  <c r="I881" i="12"/>
  <c r="H881" i="12"/>
  <c r="E881" i="12"/>
  <c r="J881" i="12"/>
  <c r="J882" i="12"/>
  <c r="D882" i="12"/>
  <c r="C882" i="12"/>
  <c r="I882" i="12"/>
  <c r="B882" i="12"/>
  <c r="H882" i="12"/>
  <c r="G882" i="12"/>
  <c r="F882" i="12"/>
  <c r="E882" i="12"/>
  <c r="J883" i="12"/>
  <c r="H883" i="12"/>
  <c r="G883" i="12"/>
  <c r="I883" i="12"/>
  <c r="F883" i="12"/>
  <c r="E884" i="12"/>
  <c r="H884" i="12"/>
  <c r="F884" i="12"/>
  <c r="G884" i="12"/>
  <c r="I884" i="12"/>
  <c r="J884" i="12"/>
  <c r="G886" i="12"/>
  <c r="F886" i="12"/>
  <c r="E886" i="12"/>
  <c r="I886" i="12"/>
  <c r="H886" i="12"/>
  <c r="D887" i="12"/>
  <c r="B887" i="12"/>
  <c r="J887" i="12"/>
  <c r="I887" i="12"/>
  <c r="F887" i="12"/>
  <c r="G887" i="12"/>
  <c r="E887" i="12"/>
  <c r="C887" i="12"/>
  <c r="H887" i="12"/>
  <c r="E888" i="12"/>
  <c r="I888" i="12"/>
  <c r="J888" i="12"/>
  <c r="H888" i="12"/>
  <c r="G888" i="12"/>
  <c r="B888" i="12"/>
  <c r="D888" i="12"/>
  <c r="C888" i="12"/>
  <c r="F888" i="12"/>
  <c r="H889" i="12"/>
  <c r="G889" i="12"/>
  <c r="J889" i="12"/>
  <c r="I889" i="12"/>
  <c r="H890" i="12"/>
  <c r="J890" i="12"/>
  <c r="I890" i="12"/>
  <c r="G890" i="12"/>
  <c r="F890" i="12"/>
  <c r="E891" i="12"/>
  <c r="F891" i="12"/>
  <c r="I891" i="12"/>
  <c r="H891" i="12"/>
  <c r="J891" i="12"/>
  <c r="G891" i="12"/>
  <c r="D891" i="12"/>
  <c r="E893" i="12"/>
  <c r="G893" i="12"/>
  <c r="H893" i="12"/>
  <c r="I893" i="12"/>
  <c r="B893" i="12"/>
  <c r="J893" i="12"/>
  <c r="C893" i="12"/>
  <c r="D893" i="12"/>
  <c r="F893" i="12"/>
  <c r="H794" i="12"/>
  <c r="I794" i="12"/>
  <c r="J794" i="12"/>
  <c r="G796" i="12"/>
  <c r="F796" i="12"/>
  <c r="J796" i="12"/>
  <c r="I796" i="12"/>
  <c r="H796" i="12"/>
  <c r="E796" i="12"/>
  <c r="D797" i="12"/>
  <c r="G797" i="12"/>
  <c r="H797" i="12"/>
  <c r="E797" i="12"/>
  <c r="F797" i="12"/>
  <c r="I797" i="12"/>
  <c r="J797" i="12"/>
  <c r="I798" i="12"/>
  <c r="H798" i="12"/>
  <c r="J798" i="12"/>
  <c r="J799" i="12"/>
  <c r="G799" i="12"/>
  <c r="H799" i="12"/>
  <c r="I799" i="12"/>
  <c r="G800" i="12"/>
  <c r="F800" i="12"/>
  <c r="I800" i="12"/>
  <c r="H800" i="12"/>
  <c r="J800" i="12"/>
  <c r="J802" i="12"/>
  <c r="E802" i="12"/>
  <c r="F802" i="12"/>
  <c r="G802" i="12"/>
  <c r="H802" i="12"/>
  <c r="I802" i="12"/>
  <c r="H606" i="12"/>
  <c r="F606" i="12"/>
  <c r="G606" i="12"/>
  <c r="E606" i="12"/>
  <c r="J606" i="12"/>
  <c r="I606" i="12"/>
  <c r="E607" i="12"/>
  <c r="J607" i="12"/>
  <c r="I607" i="12"/>
  <c r="G607" i="12"/>
  <c r="F607" i="12"/>
  <c r="H607" i="12"/>
  <c r="G608" i="12"/>
  <c r="F608" i="12"/>
  <c r="D608" i="12"/>
  <c r="C608" i="12"/>
  <c r="E608" i="12"/>
  <c r="J608" i="12"/>
  <c r="I608" i="12"/>
  <c r="B608" i="12"/>
  <c r="H608" i="12"/>
  <c r="J609" i="12"/>
  <c r="G609" i="12"/>
  <c r="I609" i="12"/>
  <c r="F609" i="12"/>
  <c r="H609" i="12"/>
  <c r="E609" i="12"/>
  <c r="C610" i="12"/>
  <c r="D610" i="12"/>
  <c r="F610" i="12"/>
  <c r="G610" i="12"/>
  <c r="H610" i="12"/>
  <c r="J610" i="12"/>
  <c r="E610" i="12"/>
  <c r="I610" i="12"/>
  <c r="B610" i="12"/>
  <c r="E611" i="12"/>
  <c r="I611" i="12"/>
  <c r="J611" i="12"/>
  <c r="F611" i="12"/>
  <c r="H611" i="12"/>
  <c r="G611" i="12"/>
  <c r="I612" i="12"/>
  <c r="J612" i="12"/>
  <c r="H612" i="12"/>
  <c r="G612" i="12"/>
  <c r="H613" i="12"/>
  <c r="G613" i="12"/>
  <c r="J613" i="12"/>
  <c r="F613" i="12"/>
  <c r="E613" i="12"/>
  <c r="D613" i="12"/>
  <c r="I613" i="12"/>
  <c r="E614" i="12"/>
  <c r="D614" i="12"/>
  <c r="C614" i="12"/>
  <c r="B614" i="12"/>
  <c r="G614" i="12"/>
  <c r="J614" i="12"/>
  <c r="I614" i="12"/>
  <c r="F614" i="12"/>
  <c r="H614" i="12"/>
  <c r="J615" i="12"/>
  <c r="I615" i="12"/>
  <c r="H615" i="12"/>
  <c r="G615" i="12"/>
  <c r="F617" i="12"/>
  <c r="H617" i="12"/>
  <c r="I617" i="12"/>
  <c r="G617" i="12"/>
  <c r="J617" i="12"/>
  <c r="J618" i="12"/>
  <c r="I618" i="12"/>
  <c r="H618" i="12"/>
  <c r="G618" i="12"/>
  <c r="F618" i="12"/>
  <c r="I556" i="12"/>
  <c r="H556" i="12"/>
  <c r="J558" i="12"/>
  <c r="I558" i="12"/>
  <c r="G559" i="12"/>
  <c r="I559" i="12"/>
  <c r="J559" i="12"/>
  <c r="H559" i="12"/>
  <c r="J560" i="12"/>
  <c r="I560" i="12"/>
  <c r="G560" i="12"/>
  <c r="F560" i="12"/>
  <c r="B560" i="12"/>
  <c r="C560" i="12"/>
  <c r="D560" i="12"/>
  <c r="E560" i="12"/>
  <c r="H560" i="12"/>
  <c r="E562" i="12"/>
  <c r="F562" i="12"/>
  <c r="G562" i="12"/>
  <c r="H562" i="12"/>
  <c r="I562" i="12"/>
  <c r="J562" i="12"/>
  <c r="J564" i="12"/>
  <c r="G564" i="12"/>
  <c r="H564" i="12"/>
  <c r="I564" i="12"/>
  <c r="G565" i="12"/>
  <c r="H565" i="12"/>
  <c r="J565" i="12"/>
  <c r="F566" i="12"/>
  <c r="H566" i="12"/>
  <c r="I566" i="12"/>
  <c r="G566" i="12"/>
  <c r="J566" i="12"/>
  <c r="H567" i="12"/>
  <c r="I567" i="12"/>
  <c r="I568" i="12"/>
  <c r="J568" i="12"/>
  <c r="G568" i="12"/>
  <c r="H568" i="12"/>
  <c r="G569" i="12"/>
  <c r="H569" i="12"/>
  <c r="I569" i="12"/>
  <c r="E569" i="12"/>
  <c r="F569" i="12"/>
  <c r="D570" i="12"/>
  <c r="E570" i="12"/>
  <c r="N476" i="10"/>
  <c r="O476" i="10" a="1"/>
  <c r="O454" i="10" a="1"/>
  <c r="N454" i="10"/>
  <c r="N449" i="10"/>
  <c r="O449" i="10" a="1"/>
  <c r="O362" i="10" a="1"/>
  <c r="N362" i="10"/>
  <c r="O538" i="10" a="1"/>
  <c r="N538" i="10"/>
  <c r="O497" i="10" a="1"/>
  <c r="N497" i="10"/>
  <c r="N393" i="10"/>
  <c r="O393" i="10" a="1"/>
  <c r="N296" i="10"/>
  <c r="O296" i="10" a="1"/>
  <c r="O228" i="10" a="1"/>
  <c r="N228" i="10"/>
  <c r="N498" i="10"/>
  <c r="O498" i="10" a="1"/>
  <c r="O414" i="10" a="1"/>
  <c r="N414" i="10"/>
  <c r="O358" i="10" a="1"/>
  <c r="N358" i="10"/>
  <c r="O332" i="10" a="1"/>
  <c r="N332" i="10"/>
  <c r="N252" i="10"/>
  <c r="O252" i="10" a="1"/>
  <c r="N490" i="10"/>
  <c r="O490" i="10" a="1"/>
  <c r="O412" i="10" a="1"/>
  <c r="N412" i="10"/>
  <c r="O411" i="10" a="1"/>
  <c r="N411" i="10"/>
  <c r="O379" i="10" a="1"/>
  <c r="N379" i="10"/>
  <c r="O331" i="10" a="1"/>
  <c r="N331" i="10"/>
  <c r="O272" i="10" a="1"/>
  <c r="N272" i="10"/>
  <c r="B16" i="11"/>
  <c r="I104" i="10"/>
  <c r="D105" i="11" s="1"/>
  <c r="D21" i="14"/>
  <c r="I41" i="11"/>
  <c r="G105" i="11"/>
  <c r="B105" i="11"/>
  <c r="E27" i="11"/>
  <c r="G12" i="11"/>
  <c r="I69" i="11"/>
  <c r="B66" i="11"/>
  <c r="E16" i="11"/>
  <c r="S67" i="8"/>
  <c r="U67" i="8" s="1"/>
  <c r="V67" i="8" s="1"/>
  <c r="W67" i="8" s="1"/>
  <c r="I110" i="10"/>
  <c r="I95" i="10"/>
  <c r="I63" i="10"/>
  <c r="I115" i="10"/>
  <c r="I111" i="10"/>
  <c r="I77" i="10"/>
  <c r="I68" i="10"/>
  <c r="I48" i="10"/>
  <c r="I38" i="10"/>
  <c r="I24" i="10"/>
  <c r="I94" i="10"/>
  <c r="I93" i="10"/>
  <c r="I92" i="10"/>
  <c r="I80" i="10"/>
  <c r="I70" i="10"/>
  <c r="I59" i="10"/>
  <c r="I112" i="10"/>
  <c r="I60" i="10"/>
  <c r="I55" i="10"/>
  <c r="I13" i="10"/>
  <c r="I11" i="14"/>
  <c r="E21" i="14"/>
  <c r="I117" i="10"/>
  <c r="I72" i="11"/>
  <c r="C72" i="11"/>
  <c r="I39" i="10"/>
  <c r="I100" i="10"/>
  <c r="C77" i="11"/>
  <c r="G75" i="11"/>
  <c r="I67" i="11"/>
  <c r="I77" i="11"/>
  <c r="I75" i="10"/>
  <c r="B72" i="11"/>
  <c r="B67" i="11"/>
  <c r="I56" i="10"/>
  <c r="B103" i="11"/>
  <c r="G55" i="11"/>
  <c r="C995" i="12"/>
  <c r="B995" i="12"/>
  <c r="D995" i="12"/>
  <c r="B997" i="12"/>
  <c r="C997" i="12"/>
  <c r="B999" i="12"/>
  <c r="F999" i="12"/>
  <c r="J999" i="12"/>
  <c r="I999" i="12"/>
  <c r="C999" i="12"/>
  <c r="D999" i="12"/>
  <c r="G999" i="12"/>
  <c r="E999" i="12"/>
  <c r="H999" i="12"/>
  <c r="F1000" i="12"/>
  <c r="D1000" i="12"/>
  <c r="E1000" i="12"/>
  <c r="B1000" i="12"/>
  <c r="C1000" i="12"/>
  <c r="G1001" i="12"/>
  <c r="H1001" i="12"/>
  <c r="D1001" i="12"/>
  <c r="E1001" i="12"/>
  <c r="F1001" i="12"/>
  <c r="C1001" i="12"/>
  <c r="B1001" i="12"/>
  <c r="I1001" i="12"/>
  <c r="J1001" i="12"/>
  <c r="E906" i="12"/>
  <c r="D906" i="12"/>
  <c r="B906" i="12"/>
  <c r="C906" i="12"/>
  <c r="F906" i="12"/>
  <c r="D907" i="12"/>
  <c r="B907" i="12"/>
  <c r="F907" i="12"/>
  <c r="C907" i="12"/>
  <c r="E907" i="12"/>
  <c r="B909" i="12"/>
  <c r="D909" i="12"/>
  <c r="C909" i="12"/>
  <c r="B910" i="12"/>
  <c r="C910" i="12"/>
  <c r="B911" i="12"/>
  <c r="C911" i="12"/>
  <c r="D911" i="12"/>
  <c r="E911" i="12"/>
  <c r="F911" i="12"/>
  <c r="J912" i="12"/>
  <c r="B912" i="12"/>
  <c r="C912" i="12"/>
  <c r="J913" i="12"/>
  <c r="D913" i="12"/>
  <c r="C913" i="12"/>
  <c r="B913" i="12"/>
  <c r="B914" i="12"/>
  <c r="C914" i="12"/>
  <c r="J915" i="12"/>
  <c r="C915" i="12"/>
  <c r="B915" i="12"/>
  <c r="E915" i="12"/>
  <c r="D915" i="12"/>
  <c r="B919" i="12"/>
  <c r="C919" i="12"/>
  <c r="B921" i="12"/>
  <c r="E921" i="12"/>
  <c r="D921" i="12"/>
  <c r="C921" i="12"/>
  <c r="C922" i="12"/>
  <c r="D922" i="12"/>
  <c r="E922" i="12"/>
  <c r="B922" i="12"/>
  <c r="J926" i="12"/>
  <c r="B926" i="12"/>
  <c r="D926" i="12"/>
  <c r="C926" i="12"/>
  <c r="F927" i="12"/>
  <c r="D927" i="12"/>
  <c r="E927" i="12"/>
  <c r="G927" i="12"/>
  <c r="B927" i="12"/>
  <c r="C927" i="12"/>
  <c r="B928" i="12"/>
  <c r="C928" i="12"/>
  <c r="E929" i="12"/>
  <c r="C929" i="12"/>
  <c r="D929" i="12"/>
  <c r="B929" i="12"/>
  <c r="B930" i="12"/>
  <c r="C930" i="12"/>
  <c r="D930" i="12"/>
  <c r="E930" i="12"/>
  <c r="D931" i="12"/>
  <c r="B931" i="12"/>
  <c r="C931" i="12"/>
  <c r="J932" i="12"/>
  <c r="B932" i="12"/>
  <c r="C932" i="12"/>
  <c r="C933" i="12"/>
  <c r="B933" i="12"/>
  <c r="F939" i="12"/>
  <c r="E939" i="12"/>
  <c r="C939" i="12"/>
  <c r="B939" i="12"/>
  <c r="D939" i="12"/>
  <c r="C941" i="12"/>
  <c r="B941" i="12"/>
  <c r="D941" i="12"/>
  <c r="E943" i="12"/>
  <c r="D943" i="12"/>
  <c r="C943" i="12"/>
  <c r="B943" i="12"/>
  <c r="J945" i="12"/>
  <c r="B945" i="12"/>
  <c r="C945" i="12"/>
  <c r="J946" i="12"/>
  <c r="B946" i="12"/>
  <c r="C946" i="12"/>
  <c r="B948" i="12"/>
  <c r="C948" i="12"/>
  <c r="J952" i="12"/>
  <c r="C952" i="12"/>
  <c r="B952" i="12"/>
  <c r="J957" i="12"/>
  <c r="B957" i="12"/>
  <c r="C957" i="12"/>
  <c r="J958" i="12"/>
  <c r="C958" i="12"/>
  <c r="B958" i="12"/>
  <c r="C963" i="12"/>
  <c r="D963" i="12"/>
  <c r="B963" i="12"/>
  <c r="D964" i="12"/>
  <c r="B964" i="12"/>
  <c r="C964" i="12"/>
  <c r="C965" i="12"/>
  <c r="B965" i="12"/>
  <c r="J966" i="12"/>
  <c r="F966" i="12"/>
  <c r="C966" i="12"/>
  <c r="B966" i="12"/>
  <c r="E966" i="12"/>
  <c r="D966" i="12"/>
  <c r="G966" i="12"/>
  <c r="B970" i="12"/>
  <c r="C970" i="12"/>
  <c r="C972" i="12"/>
  <c r="B972" i="12"/>
  <c r="D975" i="12"/>
  <c r="B975" i="12"/>
  <c r="C975" i="12"/>
  <c r="C976" i="12"/>
  <c r="B976" i="12"/>
  <c r="C979" i="12"/>
  <c r="F979" i="12"/>
  <c r="D979" i="12"/>
  <c r="B979" i="12"/>
  <c r="C980" i="12"/>
  <c r="B980" i="12"/>
  <c r="C981" i="12"/>
  <c r="B981" i="12"/>
  <c r="J982" i="12"/>
  <c r="C982" i="12"/>
  <c r="B982" i="12"/>
  <c r="C984" i="12"/>
  <c r="B984" i="12"/>
  <c r="B986" i="12"/>
  <c r="D986" i="12"/>
  <c r="C986" i="12"/>
  <c r="D987" i="12"/>
  <c r="C987" i="12"/>
  <c r="E987" i="12"/>
  <c r="B987" i="12"/>
  <c r="B988" i="12"/>
  <c r="C988" i="12"/>
  <c r="F990" i="12"/>
  <c r="C990" i="12"/>
  <c r="E990" i="12"/>
  <c r="D990" i="12"/>
  <c r="B990" i="12"/>
  <c r="C991" i="12"/>
  <c r="B991" i="12"/>
  <c r="D991" i="12"/>
  <c r="E991" i="12"/>
  <c r="C992" i="12"/>
  <c r="B992" i="12"/>
  <c r="C901" i="12"/>
  <c r="B901" i="12"/>
  <c r="D902" i="12"/>
  <c r="C902" i="12"/>
  <c r="E902" i="12"/>
  <c r="B902" i="12"/>
  <c r="J903" i="12"/>
  <c r="D903" i="12"/>
  <c r="B903" i="12"/>
  <c r="C903" i="12"/>
  <c r="B904" i="12"/>
  <c r="C904" i="12"/>
  <c r="B905" i="12"/>
  <c r="D905" i="12"/>
  <c r="C905" i="12"/>
  <c r="C806" i="12"/>
  <c r="E806" i="12"/>
  <c r="B806" i="12"/>
  <c r="D806" i="12"/>
  <c r="C808" i="12"/>
  <c r="B808" i="12"/>
  <c r="J809" i="12"/>
  <c r="C809" i="12"/>
  <c r="E809" i="12"/>
  <c r="D809" i="12"/>
  <c r="B809" i="12"/>
  <c r="B810" i="12"/>
  <c r="C810" i="12"/>
  <c r="E810" i="12"/>
  <c r="D810" i="12"/>
  <c r="C812" i="12"/>
  <c r="D812" i="12"/>
  <c r="B812" i="12"/>
  <c r="C814" i="12"/>
  <c r="B814" i="12"/>
  <c r="J815" i="12"/>
  <c r="F815" i="12"/>
  <c r="D815" i="12"/>
  <c r="E815" i="12"/>
  <c r="B815" i="12"/>
  <c r="C815" i="12"/>
  <c r="J816" i="12"/>
  <c r="F816" i="12"/>
  <c r="E816" i="12"/>
  <c r="C816" i="12"/>
  <c r="D816" i="12"/>
  <c r="B816" i="12"/>
  <c r="J819" i="12"/>
  <c r="B819" i="12"/>
  <c r="F819" i="12"/>
  <c r="C819" i="12"/>
  <c r="G819" i="12"/>
  <c r="H819" i="12"/>
  <c r="D819" i="12"/>
  <c r="I819" i="12"/>
  <c r="E819" i="12"/>
  <c r="C821" i="12"/>
  <c r="D821" i="12"/>
  <c r="B821" i="12"/>
  <c r="E824" i="12"/>
  <c r="B824" i="12"/>
  <c r="C824" i="12"/>
  <c r="D824" i="12"/>
  <c r="C825" i="12"/>
  <c r="B825" i="12"/>
  <c r="D825" i="12"/>
  <c r="J829" i="12"/>
  <c r="C829" i="12"/>
  <c r="D829" i="12"/>
  <c r="B829" i="12"/>
  <c r="C835" i="12"/>
  <c r="G835" i="12"/>
  <c r="E835" i="12"/>
  <c r="H835" i="12"/>
  <c r="B835" i="12"/>
  <c r="F835" i="12"/>
  <c r="D835" i="12"/>
  <c r="C838" i="12"/>
  <c r="B838" i="12"/>
  <c r="G838" i="12"/>
  <c r="D838" i="12"/>
  <c r="E838" i="12"/>
  <c r="F838" i="12"/>
  <c r="B840" i="12"/>
  <c r="C840" i="12"/>
  <c r="D842" i="12"/>
  <c r="C842" i="12"/>
  <c r="B842" i="12"/>
  <c r="F843" i="12"/>
  <c r="B843" i="12"/>
  <c r="D843" i="12"/>
  <c r="C843" i="12"/>
  <c r="E843" i="12"/>
  <c r="G843" i="12"/>
  <c r="E844" i="12"/>
  <c r="D844" i="12"/>
  <c r="F844" i="12"/>
  <c r="C844" i="12"/>
  <c r="B844" i="12"/>
  <c r="C845" i="12"/>
  <c r="B845" i="12"/>
  <c r="D845" i="12"/>
  <c r="B846" i="12"/>
  <c r="C846" i="12"/>
  <c r="D846" i="12"/>
  <c r="E846" i="12"/>
  <c r="B847" i="12"/>
  <c r="C847" i="12"/>
  <c r="J848" i="12"/>
  <c r="C848" i="12"/>
  <c r="B848" i="12"/>
  <c r="C851" i="12"/>
  <c r="D851" i="12"/>
  <c r="B851" i="12"/>
  <c r="E851" i="12"/>
  <c r="G851" i="12"/>
  <c r="F851" i="12"/>
  <c r="B852" i="12"/>
  <c r="C852" i="12"/>
  <c r="D852" i="12"/>
  <c r="E853" i="12"/>
  <c r="C853" i="12"/>
  <c r="B853" i="12"/>
  <c r="D853" i="12"/>
  <c r="F853" i="12"/>
  <c r="B854" i="12"/>
  <c r="D854" i="12"/>
  <c r="C854" i="12"/>
  <c r="C856" i="12"/>
  <c r="E856" i="12"/>
  <c r="D856" i="12"/>
  <c r="B856" i="12"/>
  <c r="G859" i="12"/>
  <c r="C859" i="12"/>
  <c r="H859" i="12"/>
  <c r="E859" i="12"/>
  <c r="B859" i="12"/>
  <c r="F859" i="12"/>
  <c r="D859" i="12"/>
  <c r="C861" i="12"/>
  <c r="E861" i="12"/>
  <c r="B861" i="12"/>
  <c r="D861" i="12"/>
  <c r="F861" i="12"/>
  <c r="D862" i="12"/>
  <c r="C862" i="12"/>
  <c r="B862" i="12"/>
  <c r="B874" i="12"/>
  <c r="C874" i="12"/>
  <c r="D874" i="12"/>
  <c r="C875" i="12"/>
  <c r="E875" i="12"/>
  <c r="D875" i="12"/>
  <c r="B875" i="12"/>
  <c r="E876" i="12"/>
  <c r="C876" i="12"/>
  <c r="D876" i="12"/>
  <c r="F876" i="12"/>
  <c r="B876" i="12"/>
  <c r="C878" i="12"/>
  <c r="B878" i="12"/>
  <c r="D878" i="12"/>
  <c r="C879" i="12"/>
  <c r="D879" i="12"/>
  <c r="B879" i="12"/>
  <c r="B880" i="12"/>
  <c r="E880" i="12"/>
  <c r="C880" i="12"/>
  <c r="D880" i="12"/>
  <c r="B881" i="12"/>
  <c r="D881" i="12"/>
  <c r="C881" i="12"/>
  <c r="C883" i="12"/>
  <c r="D883" i="12"/>
  <c r="E883" i="12"/>
  <c r="B883" i="12"/>
  <c r="B884" i="12"/>
  <c r="D884" i="12"/>
  <c r="C884" i="12"/>
  <c r="J886" i="12"/>
  <c r="B886" i="12"/>
  <c r="D886" i="12"/>
  <c r="C886" i="12"/>
  <c r="B889" i="12"/>
  <c r="E889" i="12"/>
  <c r="C889" i="12"/>
  <c r="F889" i="12"/>
  <c r="D889" i="12"/>
  <c r="D890" i="12"/>
  <c r="E890" i="12"/>
  <c r="C890" i="12"/>
  <c r="B890" i="12"/>
  <c r="C891" i="12"/>
  <c r="B891" i="12"/>
  <c r="F794" i="12"/>
  <c r="C794" i="12"/>
  <c r="D794" i="12"/>
  <c r="E794" i="12"/>
  <c r="G794" i="12"/>
  <c r="B794" i="12"/>
  <c r="B796" i="12"/>
  <c r="D796" i="12"/>
  <c r="C796" i="12"/>
  <c r="B797" i="12"/>
  <c r="C797" i="12"/>
  <c r="D798" i="12"/>
  <c r="G798" i="12"/>
  <c r="B798" i="12"/>
  <c r="F798" i="12"/>
  <c r="E798" i="12"/>
  <c r="C798" i="12"/>
  <c r="B799" i="12"/>
  <c r="D799" i="12"/>
  <c r="C799" i="12"/>
  <c r="E799" i="12"/>
  <c r="F799" i="12"/>
  <c r="D800" i="12"/>
  <c r="B800" i="12"/>
  <c r="C800" i="12"/>
  <c r="E800" i="12"/>
  <c r="B802" i="12"/>
  <c r="D802" i="12"/>
  <c r="C802" i="12"/>
  <c r="B606" i="12"/>
  <c r="C606" i="12"/>
  <c r="D606" i="12"/>
  <c r="C607" i="12"/>
  <c r="B607" i="12"/>
  <c r="D607" i="12"/>
  <c r="D609" i="12"/>
  <c r="B609" i="12"/>
  <c r="C609" i="12"/>
  <c r="B611" i="12"/>
  <c r="D611" i="12"/>
  <c r="C611" i="12"/>
  <c r="E612" i="12"/>
  <c r="C612" i="12"/>
  <c r="D612" i="12"/>
  <c r="F612" i="12"/>
  <c r="B612" i="12"/>
  <c r="C613" i="12"/>
  <c r="B613" i="12"/>
  <c r="F615" i="12"/>
  <c r="E615" i="12"/>
  <c r="D615" i="12"/>
  <c r="B615" i="12"/>
  <c r="C615" i="12"/>
  <c r="B617" i="12"/>
  <c r="C617" i="12"/>
  <c r="D617" i="12"/>
  <c r="E617" i="12"/>
  <c r="B618" i="12"/>
  <c r="E618" i="12"/>
  <c r="D618" i="12"/>
  <c r="C618" i="12"/>
  <c r="J594" i="12"/>
  <c r="I594" i="12"/>
  <c r="H594" i="12"/>
  <c r="G594" i="12"/>
  <c r="B594" i="12"/>
  <c r="C594" i="12"/>
  <c r="D594" i="12"/>
  <c r="F594" i="12"/>
  <c r="E594" i="12"/>
  <c r="B595" i="12"/>
  <c r="F595" i="12"/>
  <c r="H595" i="12"/>
  <c r="I595" i="12"/>
  <c r="J595" i="12"/>
  <c r="G595" i="12"/>
  <c r="E595" i="12"/>
  <c r="C595" i="12"/>
  <c r="D595" i="12"/>
  <c r="D596" i="12"/>
  <c r="C596" i="12"/>
  <c r="B596" i="12"/>
  <c r="F596" i="12"/>
  <c r="G596" i="12"/>
  <c r="J596" i="12"/>
  <c r="I596" i="12"/>
  <c r="H596" i="12"/>
  <c r="E596" i="12"/>
  <c r="G597" i="12"/>
  <c r="D597" i="12"/>
  <c r="I597" i="12"/>
  <c r="J597" i="12"/>
  <c r="F597" i="12"/>
  <c r="B597" i="12"/>
  <c r="C597" i="12"/>
  <c r="E597" i="12"/>
  <c r="H597" i="12"/>
  <c r="F598" i="12"/>
  <c r="E598" i="12"/>
  <c r="C598" i="12"/>
  <c r="D598" i="12"/>
  <c r="B598" i="12"/>
  <c r="J598" i="12"/>
  <c r="I598" i="12"/>
  <c r="H598" i="12"/>
  <c r="G598" i="12"/>
  <c r="B599" i="12"/>
  <c r="C599" i="12"/>
  <c r="D599" i="12"/>
  <c r="E599" i="12"/>
  <c r="F599" i="12"/>
  <c r="G599" i="12"/>
  <c r="H599" i="12"/>
  <c r="I599" i="12"/>
  <c r="J599" i="12"/>
  <c r="J600" i="12"/>
  <c r="I600" i="12"/>
  <c r="H600" i="12"/>
  <c r="G600" i="12"/>
  <c r="F600" i="12"/>
  <c r="D600" i="12"/>
  <c r="E600" i="12"/>
  <c r="C600" i="12"/>
  <c r="B600" i="12"/>
  <c r="J602" i="12"/>
  <c r="H602" i="12"/>
  <c r="F602" i="12"/>
  <c r="G602" i="12"/>
  <c r="B602" i="12"/>
  <c r="E602" i="12"/>
  <c r="D602" i="12"/>
  <c r="C602" i="12"/>
  <c r="I602" i="12"/>
  <c r="J603" i="12"/>
  <c r="I603" i="12"/>
  <c r="D603" i="12"/>
  <c r="B603" i="12"/>
  <c r="E603" i="12"/>
  <c r="F603" i="12"/>
  <c r="C603" i="12"/>
  <c r="G603" i="12"/>
  <c r="H603" i="12"/>
  <c r="B605" i="12"/>
  <c r="F605" i="12"/>
  <c r="E605" i="12"/>
  <c r="H605" i="12"/>
  <c r="D605" i="12"/>
  <c r="J605" i="12"/>
  <c r="I605" i="12"/>
  <c r="C605" i="12"/>
  <c r="G605" i="12"/>
  <c r="I546" i="12"/>
  <c r="H546" i="12"/>
  <c r="G546" i="12"/>
  <c r="F546" i="12"/>
  <c r="D546" i="12"/>
  <c r="C546" i="12"/>
  <c r="B546" i="12"/>
  <c r="E546" i="12"/>
  <c r="J546" i="12"/>
  <c r="J547" i="12"/>
  <c r="I547" i="12"/>
  <c r="H547" i="12"/>
  <c r="G547" i="12"/>
  <c r="F547" i="12"/>
  <c r="E547" i="12"/>
  <c r="C547" i="12"/>
  <c r="B547" i="12"/>
  <c r="D547" i="12"/>
  <c r="B548" i="12"/>
  <c r="J548" i="12"/>
  <c r="I548" i="12"/>
  <c r="H548" i="12"/>
  <c r="G548" i="12"/>
  <c r="F548" i="12"/>
  <c r="E548" i="12"/>
  <c r="D548" i="12"/>
  <c r="C548" i="12"/>
  <c r="I549" i="12"/>
  <c r="J549" i="12"/>
  <c r="E549" i="12"/>
  <c r="C549" i="12"/>
  <c r="D549" i="12"/>
  <c r="B549" i="12"/>
  <c r="F549" i="12"/>
  <c r="G549" i="12"/>
  <c r="H549" i="12"/>
  <c r="B550" i="12"/>
  <c r="F550" i="12"/>
  <c r="C550" i="12"/>
  <c r="G550" i="12"/>
  <c r="H550" i="12"/>
  <c r="I550" i="12"/>
  <c r="J550" i="12"/>
  <c r="E550" i="12"/>
  <c r="D550" i="12"/>
  <c r="F551" i="12"/>
  <c r="D551" i="12"/>
  <c r="G551" i="12"/>
  <c r="H551" i="12"/>
  <c r="I551" i="12"/>
  <c r="J551" i="12"/>
  <c r="B551" i="12"/>
  <c r="C551" i="12"/>
  <c r="E551" i="12"/>
  <c r="D552" i="12"/>
  <c r="G552" i="12"/>
  <c r="B552" i="12"/>
  <c r="J552" i="12"/>
  <c r="I552" i="12"/>
  <c r="H552" i="12"/>
  <c r="F552" i="12"/>
  <c r="E552" i="12"/>
  <c r="C552" i="12"/>
  <c r="B553" i="12"/>
  <c r="D553" i="12"/>
  <c r="G553" i="12"/>
  <c r="E553" i="12"/>
  <c r="C553" i="12"/>
  <c r="F553" i="12"/>
  <c r="H553" i="12"/>
  <c r="I553" i="12"/>
  <c r="J553" i="12"/>
  <c r="J556" i="12"/>
  <c r="F556" i="12"/>
  <c r="C556" i="12"/>
  <c r="D556" i="12"/>
  <c r="E556" i="12"/>
  <c r="B556" i="12"/>
  <c r="G556" i="12"/>
  <c r="C558" i="12"/>
  <c r="B558" i="12"/>
  <c r="E558" i="12"/>
  <c r="G558" i="12"/>
  <c r="H558" i="12"/>
  <c r="F558" i="12"/>
  <c r="D558" i="12"/>
  <c r="B559" i="12"/>
  <c r="F559" i="12"/>
  <c r="E559" i="12"/>
  <c r="D559" i="12"/>
  <c r="C559" i="12"/>
  <c r="D562" i="12"/>
  <c r="C562" i="12"/>
  <c r="B562" i="12"/>
  <c r="J563" i="12"/>
  <c r="C563" i="12"/>
  <c r="I563" i="12"/>
  <c r="G563" i="12"/>
  <c r="D563" i="12"/>
  <c r="H563" i="12"/>
  <c r="F563" i="12"/>
  <c r="B563" i="12"/>
  <c r="E563" i="12"/>
  <c r="E564" i="12"/>
  <c r="C564" i="12"/>
  <c r="B564" i="12"/>
  <c r="F564" i="12"/>
  <c r="D564" i="12"/>
  <c r="I565" i="12"/>
  <c r="B565" i="12"/>
  <c r="C565" i="12"/>
  <c r="E565" i="12"/>
  <c r="D565" i="12"/>
  <c r="F565" i="12"/>
  <c r="E566" i="12"/>
  <c r="D566" i="12"/>
  <c r="C566" i="12"/>
  <c r="B566" i="12"/>
  <c r="J567" i="12"/>
  <c r="C567" i="12"/>
  <c r="D567" i="12"/>
  <c r="G567" i="12"/>
  <c r="E567" i="12"/>
  <c r="B567" i="12"/>
  <c r="F567" i="12"/>
  <c r="C568" i="12"/>
  <c r="D568" i="12"/>
  <c r="F568" i="12"/>
  <c r="E568" i="12"/>
  <c r="B568" i="12"/>
  <c r="J569" i="12"/>
  <c r="D569" i="12"/>
  <c r="B569" i="12"/>
  <c r="C569" i="12"/>
  <c r="F570" i="12"/>
  <c r="J570" i="12"/>
  <c r="G570" i="12"/>
  <c r="I570" i="12"/>
  <c r="H570" i="12"/>
  <c r="C570" i="12"/>
  <c r="B570" i="12"/>
  <c r="G572" i="12"/>
  <c r="E572" i="12"/>
  <c r="J572" i="12"/>
  <c r="D572" i="12"/>
  <c r="F572" i="12"/>
  <c r="H572" i="12"/>
  <c r="C572" i="12"/>
  <c r="B572" i="12"/>
  <c r="I572" i="12"/>
  <c r="B574" i="12"/>
  <c r="I574" i="12"/>
  <c r="C574" i="12"/>
  <c r="F574" i="12"/>
  <c r="D574" i="12"/>
  <c r="E574" i="12"/>
  <c r="J574" i="12"/>
  <c r="H574" i="12"/>
  <c r="G574" i="12"/>
  <c r="B575" i="12"/>
  <c r="J575" i="12"/>
  <c r="I575" i="12"/>
  <c r="H575" i="12"/>
  <c r="G575" i="12"/>
  <c r="E575" i="12"/>
  <c r="C575" i="12"/>
  <c r="F575" i="12"/>
  <c r="D575" i="12"/>
  <c r="D576" i="12"/>
  <c r="G576" i="12"/>
  <c r="H576" i="12"/>
  <c r="I576" i="12"/>
  <c r="B576" i="12"/>
  <c r="E576" i="12"/>
  <c r="F576" i="12"/>
  <c r="C576" i="12"/>
  <c r="J576" i="12"/>
  <c r="D577" i="12"/>
  <c r="C577" i="12"/>
  <c r="B577" i="12"/>
  <c r="J577" i="12"/>
  <c r="I577" i="12"/>
  <c r="H577" i="12"/>
  <c r="G577" i="12"/>
  <c r="F577" i="12"/>
  <c r="E577" i="12"/>
  <c r="C579" i="12"/>
  <c r="I579" i="12"/>
  <c r="B579" i="12"/>
  <c r="E579" i="12"/>
  <c r="G579" i="12"/>
  <c r="H579" i="12"/>
  <c r="D579" i="12"/>
  <c r="J579" i="12"/>
  <c r="F579" i="12"/>
  <c r="J582" i="12"/>
  <c r="E582" i="12"/>
  <c r="B582" i="12"/>
  <c r="C582" i="12"/>
  <c r="F582" i="12"/>
  <c r="G582" i="12"/>
  <c r="H582" i="12"/>
  <c r="D582" i="12"/>
  <c r="I582" i="12"/>
  <c r="C584" i="12"/>
  <c r="E584" i="12"/>
  <c r="D584" i="12"/>
  <c r="B584" i="12"/>
  <c r="J584" i="12"/>
  <c r="I584" i="12"/>
  <c r="H584" i="12"/>
  <c r="G584" i="12"/>
  <c r="F584" i="12"/>
  <c r="C585" i="12"/>
  <c r="D585" i="12"/>
  <c r="F585" i="12"/>
  <c r="G585" i="12"/>
  <c r="B585" i="12"/>
  <c r="E585" i="12"/>
  <c r="I585" i="12"/>
  <c r="J585" i="12"/>
  <c r="H585" i="12"/>
  <c r="G588" i="12"/>
  <c r="E588" i="12"/>
  <c r="D588" i="12"/>
  <c r="H588" i="12"/>
  <c r="J588" i="12"/>
  <c r="I588" i="12"/>
  <c r="F588" i="12"/>
  <c r="B588" i="12"/>
  <c r="C588" i="12"/>
  <c r="J589" i="12"/>
  <c r="I589" i="12"/>
  <c r="C589" i="12"/>
  <c r="E589" i="12"/>
  <c r="F589" i="12"/>
  <c r="H589" i="12"/>
  <c r="B589" i="12"/>
  <c r="G589" i="12"/>
  <c r="D589" i="12"/>
  <c r="C590" i="12"/>
  <c r="E590" i="12"/>
  <c r="F590" i="12"/>
  <c r="D590" i="12"/>
  <c r="I590" i="12"/>
  <c r="B590" i="12"/>
  <c r="J590" i="12"/>
  <c r="H590" i="12"/>
  <c r="G590" i="12"/>
  <c r="C591" i="12"/>
  <c r="E591" i="12"/>
  <c r="F591" i="12"/>
  <c r="B591" i="12"/>
  <c r="J591" i="12"/>
  <c r="I591" i="12"/>
  <c r="D591" i="12"/>
  <c r="H591" i="12"/>
  <c r="G591" i="12"/>
  <c r="B592" i="12"/>
  <c r="C592" i="12"/>
  <c r="E592" i="12"/>
  <c r="G592" i="12"/>
  <c r="F592" i="12"/>
  <c r="D592" i="12"/>
  <c r="J592" i="12"/>
  <c r="I592" i="12"/>
  <c r="H592" i="12"/>
  <c r="J507" i="12"/>
  <c r="I507" i="12"/>
  <c r="H507" i="12"/>
  <c r="G507" i="12"/>
  <c r="F507" i="12"/>
  <c r="E507" i="12"/>
  <c r="D507" i="12"/>
  <c r="C507" i="12"/>
  <c r="B507" i="12"/>
  <c r="F508" i="12"/>
  <c r="J508" i="12"/>
  <c r="G508" i="12"/>
  <c r="H508" i="12"/>
  <c r="I508" i="12"/>
  <c r="B508" i="12"/>
  <c r="C508" i="12"/>
  <c r="D508" i="12"/>
  <c r="E508" i="12"/>
  <c r="F509" i="12"/>
  <c r="E509" i="12"/>
  <c r="I509" i="12"/>
  <c r="J509" i="12"/>
  <c r="D509" i="12"/>
  <c r="H509" i="12"/>
  <c r="C509" i="12"/>
  <c r="B509" i="12"/>
  <c r="G509" i="12"/>
  <c r="B511" i="12"/>
  <c r="J511" i="12"/>
  <c r="I511" i="12"/>
  <c r="H511" i="12"/>
  <c r="G511" i="12"/>
  <c r="F511" i="12"/>
  <c r="E511" i="12"/>
  <c r="D511" i="12"/>
  <c r="C511" i="12"/>
  <c r="C513" i="12"/>
  <c r="D513" i="12"/>
  <c r="E513" i="12"/>
  <c r="G513" i="12"/>
  <c r="H513" i="12"/>
  <c r="I513" i="12"/>
  <c r="J513" i="12"/>
  <c r="F513" i="12"/>
  <c r="B513" i="12"/>
  <c r="E514" i="12"/>
  <c r="J514" i="12"/>
  <c r="I514" i="12"/>
  <c r="H514" i="12"/>
  <c r="G514" i="12"/>
  <c r="F514" i="12"/>
  <c r="D514" i="12"/>
  <c r="C514" i="12"/>
  <c r="B514" i="12"/>
  <c r="B516" i="12"/>
  <c r="J516" i="12"/>
  <c r="I516" i="12"/>
  <c r="H516" i="12"/>
  <c r="G516" i="12"/>
  <c r="F516" i="12"/>
  <c r="E516" i="12"/>
  <c r="D516" i="12"/>
  <c r="C516" i="12"/>
  <c r="J518" i="12"/>
  <c r="I518" i="12"/>
  <c r="H518" i="12"/>
  <c r="G518" i="12"/>
  <c r="F518" i="12"/>
  <c r="E518" i="12"/>
  <c r="D518" i="12"/>
  <c r="C518" i="12"/>
  <c r="B518" i="12"/>
  <c r="G519" i="12"/>
  <c r="F519" i="12"/>
  <c r="E519" i="12"/>
  <c r="D519" i="12"/>
  <c r="C519" i="12"/>
  <c r="B519" i="12"/>
  <c r="J519" i="12"/>
  <c r="H519" i="12"/>
  <c r="I519" i="12"/>
  <c r="J522" i="12"/>
  <c r="I522" i="12"/>
  <c r="H522" i="12"/>
  <c r="G522" i="12"/>
  <c r="F522" i="12"/>
  <c r="E522" i="12"/>
  <c r="D522" i="12"/>
  <c r="C522" i="12"/>
  <c r="B522" i="12"/>
  <c r="J523" i="12"/>
  <c r="I523" i="12"/>
  <c r="H523" i="12"/>
  <c r="G523" i="12"/>
  <c r="F523" i="12"/>
  <c r="E523" i="12"/>
  <c r="D523" i="12"/>
  <c r="C523" i="12"/>
  <c r="B523" i="12"/>
  <c r="G525" i="12"/>
  <c r="J525" i="12"/>
  <c r="I525" i="12"/>
  <c r="H525" i="12"/>
  <c r="F525" i="12"/>
  <c r="E525" i="12"/>
  <c r="D525" i="12"/>
  <c r="C525" i="12"/>
  <c r="B525" i="12"/>
  <c r="J526" i="12"/>
  <c r="I526" i="12"/>
  <c r="H526" i="12"/>
  <c r="F526" i="12"/>
  <c r="E526" i="12"/>
  <c r="D526" i="12"/>
  <c r="C526" i="12"/>
  <c r="G526" i="12"/>
  <c r="B526" i="12"/>
  <c r="I527" i="12"/>
  <c r="H527" i="12"/>
  <c r="G527" i="12"/>
  <c r="F527" i="12"/>
  <c r="E527" i="12"/>
  <c r="D527" i="12"/>
  <c r="B527" i="12"/>
  <c r="C527" i="12"/>
  <c r="J527" i="12"/>
  <c r="G530" i="12"/>
  <c r="F530" i="12"/>
  <c r="E530" i="12"/>
  <c r="D530" i="12"/>
  <c r="C530" i="12"/>
  <c r="B530" i="12"/>
  <c r="J530" i="12"/>
  <c r="I530" i="12"/>
  <c r="H530" i="12"/>
  <c r="I532" i="12"/>
  <c r="J532" i="12"/>
  <c r="H532" i="12"/>
  <c r="G532" i="12"/>
  <c r="F532" i="12"/>
  <c r="E532" i="12"/>
  <c r="D532" i="12"/>
  <c r="C532" i="12"/>
  <c r="B532" i="12"/>
  <c r="J535" i="12"/>
  <c r="I535" i="12"/>
  <c r="H535" i="12"/>
  <c r="G535" i="12"/>
  <c r="F535" i="12"/>
  <c r="E535" i="12"/>
  <c r="D535" i="12"/>
  <c r="C535" i="12"/>
  <c r="B535" i="12"/>
  <c r="H537" i="12"/>
  <c r="G537" i="12"/>
  <c r="F537" i="12"/>
  <c r="E537" i="12"/>
  <c r="D537" i="12"/>
  <c r="C537" i="12"/>
  <c r="B537" i="12"/>
  <c r="I537" i="12"/>
  <c r="J537" i="12"/>
  <c r="I539" i="12"/>
  <c r="H539" i="12"/>
  <c r="G539" i="12"/>
  <c r="F539" i="12"/>
  <c r="E539" i="12"/>
  <c r="C539" i="12"/>
  <c r="B539" i="12"/>
  <c r="D539" i="12"/>
  <c r="J539" i="12"/>
  <c r="G540" i="12"/>
  <c r="F540" i="12"/>
  <c r="J540" i="12"/>
  <c r="I540" i="12"/>
  <c r="H540" i="12"/>
  <c r="E540" i="12"/>
  <c r="D540" i="12"/>
  <c r="C540" i="12"/>
  <c r="B540" i="12"/>
  <c r="I541" i="12"/>
  <c r="H541" i="12"/>
  <c r="G541" i="12"/>
  <c r="F541" i="12"/>
  <c r="B541" i="12"/>
  <c r="D541" i="12"/>
  <c r="E541" i="12"/>
  <c r="C541" i="12"/>
  <c r="J541" i="12"/>
  <c r="I542" i="12"/>
  <c r="H542" i="12"/>
  <c r="G542" i="12"/>
  <c r="F542" i="12"/>
  <c r="E542" i="12"/>
  <c r="D542" i="12"/>
  <c r="C542" i="12"/>
  <c r="B542" i="12"/>
  <c r="J542" i="12"/>
  <c r="H494" i="12"/>
  <c r="G494" i="12"/>
  <c r="F494" i="12"/>
  <c r="E494" i="12"/>
  <c r="D494" i="12"/>
  <c r="B494" i="12"/>
  <c r="C494" i="12"/>
  <c r="I494" i="12"/>
  <c r="J494" i="12"/>
  <c r="D495" i="12"/>
  <c r="C495" i="12"/>
  <c r="B495" i="12"/>
  <c r="J495" i="12"/>
  <c r="E495" i="12"/>
  <c r="F495" i="12"/>
  <c r="G495" i="12"/>
  <c r="H495" i="12"/>
  <c r="I495" i="12"/>
  <c r="I497" i="12"/>
  <c r="G497" i="12"/>
  <c r="F497" i="12"/>
  <c r="E497" i="12"/>
  <c r="D497" i="12"/>
  <c r="B497" i="12"/>
  <c r="H497" i="12"/>
  <c r="J497" i="12"/>
  <c r="C497" i="12"/>
  <c r="B498" i="12"/>
  <c r="C498" i="12"/>
  <c r="D498" i="12"/>
  <c r="E498" i="12"/>
  <c r="H498" i="12"/>
  <c r="I498" i="12"/>
  <c r="J498" i="12"/>
  <c r="F498" i="12"/>
  <c r="G498" i="12"/>
  <c r="D499" i="12"/>
  <c r="B499" i="12"/>
  <c r="C499" i="12"/>
  <c r="E499" i="12"/>
  <c r="F499" i="12"/>
  <c r="G499" i="12"/>
  <c r="H499" i="12"/>
  <c r="I499" i="12"/>
  <c r="J499" i="12"/>
  <c r="D500" i="12"/>
  <c r="E500" i="12"/>
  <c r="F500" i="12"/>
  <c r="B500" i="12"/>
  <c r="G500" i="12"/>
  <c r="H500" i="12"/>
  <c r="I500" i="12"/>
  <c r="J500" i="12"/>
  <c r="C500" i="12"/>
  <c r="B501" i="12"/>
  <c r="J501" i="12"/>
  <c r="I501" i="12"/>
  <c r="H501" i="12"/>
  <c r="G501" i="12"/>
  <c r="F501" i="12"/>
  <c r="E501" i="12"/>
  <c r="D501" i="12"/>
  <c r="C501" i="12"/>
  <c r="E502" i="12"/>
  <c r="D502" i="12"/>
  <c r="C502" i="12"/>
  <c r="B502" i="12"/>
  <c r="H502" i="12"/>
  <c r="J502" i="12"/>
  <c r="I502" i="12"/>
  <c r="G502" i="12"/>
  <c r="F502" i="12"/>
  <c r="D407" i="12"/>
  <c r="B407" i="12"/>
  <c r="H407" i="12"/>
  <c r="I407" i="12"/>
  <c r="J407" i="12"/>
  <c r="F407" i="12"/>
  <c r="E407" i="12"/>
  <c r="G407" i="12"/>
  <c r="C407" i="12"/>
  <c r="F408" i="12"/>
  <c r="G408" i="12"/>
  <c r="H408" i="12"/>
  <c r="I408" i="12"/>
  <c r="J408" i="12"/>
  <c r="D408" i="12"/>
  <c r="C408" i="12"/>
  <c r="E408" i="12"/>
  <c r="B408" i="12"/>
  <c r="G409" i="12"/>
  <c r="F409" i="12"/>
  <c r="H409" i="12"/>
  <c r="I409" i="12"/>
  <c r="J409" i="12"/>
  <c r="B409" i="12"/>
  <c r="C409" i="12"/>
  <c r="D409" i="12"/>
  <c r="E409" i="12"/>
  <c r="H410" i="12"/>
  <c r="B410" i="12"/>
  <c r="G410" i="12"/>
  <c r="E410" i="12"/>
  <c r="F410" i="12"/>
  <c r="D410" i="12"/>
  <c r="C410" i="12"/>
  <c r="I410" i="12"/>
  <c r="J410" i="12"/>
  <c r="D412" i="12"/>
  <c r="F412" i="12"/>
  <c r="C412" i="12"/>
  <c r="G412" i="12"/>
  <c r="H412" i="12"/>
  <c r="I412" i="12"/>
  <c r="J412" i="12"/>
  <c r="B412" i="12"/>
  <c r="E412" i="12"/>
  <c r="G413" i="12"/>
  <c r="J413" i="12"/>
  <c r="I413" i="12"/>
  <c r="E413" i="12"/>
  <c r="C413" i="12"/>
  <c r="H413" i="12"/>
  <c r="D413" i="12"/>
  <c r="B413" i="12"/>
  <c r="F413" i="12"/>
  <c r="H414" i="12"/>
  <c r="G414" i="12"/>
  <c r="F414" i="12"/>
  <c r="E414" i="12"/>
  <c r="B414" i="12"/>
  <c r="C414" i="12"/>
  <c r="D414" i="12"/>
  <c r="I414" i="12"/>
  <c r="J414" i="12"/>
  <c r="C415" i="12"/>
  <c r="G415" i="12"/>
  <c r="H415" i="12"/>
  <c r="E415" i="12"/>
  <c r="B415" i="12"/>
  <c r="J415" i="12"/>
  <c r="D415" i="12"/>
  <c r="F415" i="12"/>
  <c r="I415" i="12"/>
  <c r="G416" i="12"/>
  <c r="D416" i="12"/>
  <c r="B416" i="12"/>
  <c r="F416" i="12"/>
  <c r="H416" i="12"/>
  <c r="I416" i="12"/>
  <c r="J416" i="12"/>
  <c r="E416" i="12"/>
  <c r="C416" i="12"/>
  <c r="J417" i="12"/>
  <c r="G417" i="12"/>
  <c r="F417" i="12"/>
  <c r="B417" i="12"/>
  <c r="E417" i="12"/>
  <c r="H417" i="12"/>
  <c r="C417" i="12"/>
  <c r="I417" i="12"/>
  <c r="D417" i="12"/>
  <c r="D418" i="12"/>
  <c r="G418" i="12"/>
  <c r="H418" i="12"/>
  <c r="I418" i="12"/>
  <c r="J418" i="12"/>
  <c r="B418" i="12"/>
  <c r="F418" i="12"/>
  <c r="C418" i="12"/>
  <c r="E418" i="12"/>
  <c r="J419" i="12"/>
  <c r="B419" i="12"/>
  <c r="C419" i="12"/>
  <c r="D419" i="12"/>
  <c r="E419" i="12"/>
  <c r="I419" i="12"/>
  <c r="F419" i="12"/>
  <c r="G419" i="12"/>
  <c r="H419" i="12"/>
  <c r="G420" i="12"/>
  <c r="J420" i="12"/>
  <c r="I420" i="12"/>
  <c r="H420" i="12"/>
  <c r="B420" i="12"/>
  <c r="F420" i="12"/>
  <c r="E420" i="12"/>
  <c r="C420" i="12"/>
  <c r="D420" i="12"/>
  <c r="C422" i="12"/>
  <c r="D422" i="12"/>
  <c r="J422" i="12"/>
  <c r="I422" i="12"/>
  <c r="F422" i="12"/>
  <c r="E422" i="12"/>
  <c r="G422" i="12"/>
  <c r="B422" i="12"/>
  <c r="H422" i="12"/>
  <c r="B424" i="12"/>
  <c r="C424" i="12"/>
  <c r="D424" i="12"/>
  <c r="E424" i="12"/>
  <c r="I424" i="12"/>
  <c r="F424" i="12"/>
  <c r="G424" i="12"/>
  <c r="H424" i="12"/>
  <c r="J424" i="12"/>
  <c r="I425" i="12"/>
  <c r="J425" i="12"/>
  <c r="F425" i="12"/>
  <c r="G425" i="12"/>
  <c r="B425" i="12"/>
  <c r="H425" i="12"/>
  <c r="C425" i="12"/>
  <c r="D425" i="12"/>
  <c r="E425" i="12"/>
  <c r="E426" i="12"/>
  <c r="J426" i="12"/>
  <c r="D426" i="12"/>
  <c r="C426" i="12"/>
  <c r="B426" i="12"/>
  <c r="G426" i="12"/>
  <c r="F426" i="12"/>
  <c r="I426" i="12"/>
  <c r="H426" i="12"/>
  <c r="G428" i="12"/>
  <c r="H428" i="12"/>
  <c r="I428" i="12"/>
  <c r="J428" i="12"/>
  <c r="F428" i="12"/>
  <c r="B428" i="12"/>
  <c r="D428" i="12"/>
  <c r="C428" i="12"/>
  <c r="E428" i="12"/>
  <c r="E429" i="12"/>
  <c r="D429" i="12"/>
  <c r="B429" i="12"/>
  <c r="C429" i="12"/>
  <c r="J429" i="12"/>
  <c r="I429" i="12"/>
  <c r="G429" i="12"/>
  <c r="F429" i="12"/>
  <c r="H429" i="12"/>
  <c r="C430" i="12"/>
  <c r="D430" i="12"/>
  <c r="F430" i="12"/>
  <c r="B430" i="12"/>
  <c r="J430" i="12"/>
  <c r="I430" i="12"/>
  <c r="H430" i="12"/>
  <c r="G430" i="12"/>
  <c r="E430" i="12"/>
  <c r="G431" i="12"/>
  <c r="H431" i="12"/>
  <c r="I431" i="12"/>
  <c r="J431" i="12"/>
  <c r="C431" i="12"/>
  <c r="E431" i="12"/>
  <c r="F431" i="12"/>
  <c r="D431" i="12"/>
  <c r="B431" i="12"/>
  <c r="E433" i="12"/>
  <c r="G433" i="12"/>
  <c r="I433" i="12"/>
  <c r="J433" i="12"/>
  <c r="H433" i="12"/>
  <c r="D433" i="12"/>
  <c r="C433" i="12"/>
  <c r="B433" i="12"/>
  <c r="F433" i="12"/>
  <c r="I436" i="12"/>
  <c r="J436" i="12"/>
  <c r="D436" i="12"/>
  <c r="B436" i="12"/>
  <c r="F436" i="12"/>
  <c r="G436" i="12"/>
  <c r="E436" i="12"/>
  <c r="C436" i="12"/>
  <c r="H436" i="12"/>
  <c r="H437" i="12"/>
  <c r="F437" i="12"/>
  <c r="J437" i="12"/>
  <c r="G437" i="12"/>
  <c r="I437" i="12"/>
  <c r="C437" i="12"/>
  <c r="B437" i="12"/>
  <c r="D437" i="12"/>
  <c r="E437" i="12"/>
  <c r="C439" i="12"/>
  <c r="D439" i="12"/>
  <c r="B439" i="12"/>
  <c r="E439" i="12"/>
  <c r="G439" i="12"/>
  <c r="J439" i="12"/>
  <c r="I439" i="12"/>
  <c r="H439" i="12"/>
  <c r="F439" i="12"/>
  <c r="F441" i="12"/>
  <c r="H441" i="12"/>
  <c r="G441" i="12"/>
  <c r="D441" i="12"/>
  <c r="J441" i="12"/>
  <c r="B441" i="12"/>
  <c r="C441" i="12"/>
  <c r="E441" i="12"/>
  <c r="I441" i="12"/>
  <c r="C443" i="12"/>
  <c r="D443" i="12"/>
  <c r="F443" i="12"/>
  <c r="G443" i="12"/>
  <c r="E443" i="12"/>
  <c r="J443" i="12"/>
  <c r="I443" i="12"/>
  <c r="H443" i="12"/>
  <c r="B443" i="12"/>
  <c r="H444" i="12"/>
  <c r="I444" i="12"/>
  <c r="J444" i="12"/>
  <c r="G444" i="12"/>
  <c r="C444" i="12"/>
  <c r="D444" i="12"/>
  <c r="F444" i="12"/>
  <c r="E444" i="12"/>
  <c r="B444" i="12"/>
  <c r="J446" i="12"/>
  <c r="I446" i="12"/>
  <c r="G446" i="12"/>
  <c r="F446" i="12"/>
  <c r="E446" i="12"/>
  <c r="D446" i="12"/>
  <c r="B446" i="12"/>
  <c r="H446" i="12"/>
  <c r="C446" i="12"/>
  <c r="I447" i="12"/>
  <c r="J447" i="12"/>
  <c r="G447" i="12"/>
  <c r="H447" i="12"/>
  <c r="D447" i="12"/>
  <c r="B447" i="12"/>
  <c r="C447" i="12"/>
  <c r="E447" i="12"/>
  <c r="F447" i="12"/>
  <c r="J449" i="12"/>
  <c r="I449" i="12"/>
  <c r="H449" i="12"/>
  <c r="G449" i="12"/>
  <c r="F449" i="12"/>
  <c r="E449" i="12"/>
  <c r="C449" i="12"/>
  <c r="D449" i="12"/>
  <c r="B449" i="12"/>
  <c r="J450" i="12"/>
  <c r="D450" i="12"/>
  <c r="H450" i="12"/>
  <c r="G450" i="12"/>
  <c r="F450" i="12"/>
  <c r="C450" i="12"/>
  <c r="I450" i="12"/>
  <c r="B450" i="12"/>
  <c r="E450" i="12"/>
  <c r="J451" i="12"/>
  <c r="I451" i="12"/>
  <c r="B451" i="12"/>
  <c r="D451" i="12"/>
  <c r="E451" i="12"/>
  <c r="F451" i="12"/>
  <c r="C451" i="12"/>
  <c r="G451" i="12"/>
  <c r="H451" i="12"/>
  <c r="F452" i="12"/>
  <c r="G452" i="12"/>
  <c r="I452" i="12"/>
  <c r="J452" i="12"/>
  <c r="H452" i="12"/>
  <c r="E452" i="12"/>
  <c r="D452" i="12"/>
  <c r="C452" i="12"/>
  <c r="B452" i="12"/>
  <c r="J457" i="12"/>
  <c r="H457" i="12"/>
  <c r="G457" i="12"/>
  <c r="I457" i="12"/>
  <c r="C457" i="12"/>
  <c r="E457" i="12"/>
  <c r="B457" i="12"/>
  <c r="D457" i="12"/>
  <c r="F457" i="12"/>
  <c r="G459" i="12"/>
  <c r="H459" i="12"/>
  <c r="F459" i="12"/>
  <c r="I459" i="12"/>
  <c r="J459" i="12"/>
  <c r="D459" i="12"/>
  <c r="E459" i="12"/>
  <c r="B459" i="12"/>
  <c r="C459" i="12"/>
  <c r="E460" i="12"/>
  <c r="F460" i="12"/>
  <c r="G460" i="12"/>
  <c r="H460" i="12"/>
  <c r="I460" i="12"/>
  <c r="J460" i="12"/>
  <c r="D460" i="12"/>
  <c r="B460" i="12"/>
  <c r="C460" i="12"/>
  <c r="G461" i="12"/>
  <c r="C461" i="12"/>
  <c r="B461" i="12"/>
  <c r="D461" i="12"/>
  <c r="E461" i="12"/>
  <c r="I461" i="12"/>
  <c r="H461" i="12"/>
  <c r="F461" i="12"/>
  <c r="J461" i="12"/>
  <c r="H463" i="12"/>
  <c r="G463" i="12"/>
  <c r="F463" i="12"/>
  <c r="I463" i="12"/>
  <c r="J463" i="12"/>
  <c r="B463" i="12"/>
  <c r="D463" i="12"/>
  <c r="C463" i="12"/>
  <c r="E463" i="12"/>
  <c r="J464" i="12"/>
  <c r="I464" i="12"/>
  <c r="C464" i="12"/>
  <c r="F464" i="12"/>
  <c r="D464" i="12"/>
  <c r="G464" i="12"/>
  <c r="H464" i="12"/>
  <c r="B464" i="12"/>
  <c r="E464" i="12"/>
  <c r="J466" i="12"/>
  <c r="C466" i="12"/>
  <c r="I466" i="12"/>
  <c r="H466" i="12"/>
  <c r="D466" i="12"/>
  <c r="B466" i="12"/>
  <c r="G466" i="12"/>
  <c r="E466" i="12"/>
  <c r="F466" i="12"/>
  <c r="D467" i="12"/>
  <c r="H467" i="12"/>
  <c r="G467" i="12"/>
  <c r="E467" i="12"/>
  <c r="C467" i="12"/>
  <c r="B467" i="12"/>
  <c r="F467" i="12"/>
  <c r="I467" i="12"/>
  <c r="J467" i="12"/>
  <c r="J469" i="12"/>
  <c r="F469" i="12"/>
  <c r="H469" i="12"/>
  <c r="G469" i="12"/>
  <c r="E469" i="12"/>
  <c r="I469" i="12"/>
  <c r="C469" i="12"/>
  <c r="D469" i="12"/>
  <c r="B469" i="12"/>
  <c r="F470" i="12"/>
  <c r="E470" i="12"/>
  <c r="D470" i="12"/>
  <c r="B470" i="12"/>
  <c r="H470" i="12"/>
  <c r="G470" i="12"/>
  <c r="I470" i="12"/>
  <c r="C470" i="12"/>
  <c r="J470" i="12"/>
  <c r="E471" i="12"/>
  <c r="J471" i="12"/>
  <c r="I471" i="12"/>
  <c r="H471" i="12"/>
  <c r="G471" i="12"/>
  <c r="F471" i="12"/>
  <c r="D471" i="12"/>
  <c r="C471" i="12"/>
  <c r="B471" i="12"/>
  <c r="J472" i="12"/>
  <c r="I472" i="12"/>
  <c r="H472" i="12"/>
  <c r="G472" i="12"/>
  <c r="F472" i="12"/>
  <c r="E472" i="12"/>
  <c r="D472" i="12"/>
  <c r="C472" i="12"/>
  <c r="B472" i="12"/>
  <c r="J473" i="12"/>
  <c r="I473" i="12"/>
  <c r="H473" i="12"/>
  <c r="G473" i="12"/>
  <c r="B473" i="12"/>
  <c r="C473" i="12"/>
  <c r="D473" i="12"/>
  <c r="E473" i="12"/>
  <c r="F473" i="12"/>
  <c r="E474" i="12"/>
  <c r="D474" i="12"/>
  <c r="C474" i="12"/>
  <c r="B474" i="12"/>
  <c r="H474" i="12"/>
  <c r="J474" i="12"/>
  <c r="I474" i="12"/>
  <c r="G474" i="12"/>
  <c r="F474" i="12"/>
  <c r="J475" i="12"/>
  <c r="I475" i="12"/>
  <c r="H475" i="12"/>
  <c r="G475" i="12"/>
  <c r="F475" i="12"/>
  <c r="E475" i="12"/>
  <c r="D475" i="12"/>
  <c r="C475" i="12"/>
  <c r="B475" i="12"/>
  <c r="J476" i="12"/>
  <c r="I476" i="12"/>
  <c r="H476" i="12"/>
  <c r="G476" i="12"/>
  <c r="F476" i="12"/>
  <c r="E476" i="12"/>
  <c r="D476" i="12"/>
  <c r="C476" i="12"/>
  <c r="B476" i="12"/>
  <c r="I477" i="12"/>
  <c r="H477" i="12"/>
  <c r="G477" i="12"/>
  <c r="E477" i="12"/>
  <c r="F477" i="12"/>
  <c r="D477" i="12"/>
  <c r="C477" i="12"/>
  <c r="J477" i="12"/>
  <c r="B477" i="12"/>
  <c r="J478" i="12"/>
  <c r="I478" i="12"/>
  <c r="G478" i="12"/>
  <c r="F478" i="12"/>
  <c r="E478" i="12"/>
  <c r="D478" i="12"/>
  <c r="C478" i="12"/>
  <c r="B478" i="12"/>
  <c r="H478" i="12"/>
  <c r="I480" i="12"/>
  <c r="H480" i="12"/>
  <c r="G480" i="12"/>
  <c r="F480" i="12"/>
  <c r="E480" i="12"/>
  <c r="D480" i="12"/>
  <c r="C480" i="12"/>
  <c r="B480" i="12"/>
  <c r="J480" i="12"/>
  <c r="J481" i="12"/>
  <c r="B481" i="12"/>
  <c r="C481" i="12"/>
  <c r="D481" i="12"/>
  <c r="E481" i="12"/>
  <c r="F481" i="12"/>
  <c r="G481" i="12"/>
  <c r="H481" i="12"/>
  <c r="I481" i="12"/>
  <c r="H482" i="12"/>
  <c r="J482" i="12"/>
  <c r="B482" i="12"/>
  <c r="D482" i="12"/>
  <c r="I482" i="12"/>
  <c r="C482" i="12"/>
  <c r="E482" i="12"/>
  <c r="F482" i="12"/>
  <c r="G482" i="12"/>
  <c r="I483" i="12"/>
  <c r="D483" i="12"/>
  <c r="E483" i="12"/>
  <c r="F483" i="12"/>
  <c r="G483" i="12"/>
  <c r="H483" i="12"/>
  <c r="J483" i="12"/>
  <c r="C483" i="12"/>
  <c r="B483" i="12"/>
  <c r="B485" i="12"/>
  <c r="J485" i="12"/>
  <c r="I485" i="12"/>
  <c r="C485" i="12"/>
  <c r="D485" i="12"/>
  <c r="E485" i="12"/>
  <c r="F485" i="12"/>
  <c r="G485" i="12"/>
  <c r="H485" i="12"/>
  <c r="C486" i="12"/>
  <c r="E486" i="12"/>
  <c r="D486" i="12"/>
  <c r="J486" i="12"/>
  <c r="I486" i="12"/>
  <c r="H486" i="12"/>
  <c r="G486" i="12"/>
  <c r="F486" i="12"/>
  <c r="B486" i="12"/>
  <c r="I488" i="12"/>
  <c r="J488" i="12"/>
  <c r="H488" i="12"/>
  <c r="G488" i="12"/>
  <c r="F488" i="12"/>
  <c r="E488" i="12"/>
  <c r="D488" i="12"/>
  <c r="C488" i="12"/>
  <c r="B488" i="12"/>
  <c r="J489" i="12"/>
  <c r="I489" i="12"/>
  <c r="H489" i="12"/>
  <c r="G489" i="12"/>
  <c r="F489" i="12"/>
  <c r="E489" i="12"/>
  <c r="D489" i="12"/>
  <c r="C489" i="12"/>
  <c r="B489" i="12"/>
  <c r="G490" i="12"/>
  <c r="J490" i="12"/>
  <c r="I490" i="12"/>
  <c r="H490" i="12"/>
  <c r="F490" i="12"/>
  <c r="E490" i="12"/>
  <c r="D490" i="12"/>
  <c r="C490" i="12"/>
  <c r="B490" i="12"/>
  <c r="J493" i="12"/>
  <c r="I493" i="12"/>
  <c r="E493" i="12"/>
  <c r="H493" i="12"/>
  <c r="G493" i="12"/>
  <c r="F493" i="12"/>
  <c r="B493" i="12"/>
  <c r="C493" i="12"/>
  <c r="D493" i="12"/>
  <c r="F395" i="12"/>
  <c r="I395" i="12"/>
  <c r="B395" i="12"/>
  <c r="C395" i="12"/>
  <c r="D395" i="12"/>
  <c r="E395" i="12"/>
  <c r="G395" i="12"/>
  <c r="H395" i="12"/>
  <c r="J395" i="12"/>
  <c r="E396" i="12"/>
  <c r="F396" i="12"/>
  <c r="G396" i="12"/>
  <c r="H396" i="12"/>
  <c r="B396" i="12"/>
  <c r="C396" i="12"/>
  <c r="I396" i="12"/>
  <c r="J396" i="12"/>
  <c r="D396" i="12"/>
  <c r="H397" i="12"/>
  <c r="B397" i="12"/>
  <c r="D397" i="12"/>
  <c r="E397" i="12"/>
  <c r="F397" i="12"/>
  <c r="G397" i="12"/>
  <c r="I397" i="12"/>
  <c r="J397" i="12"/>
  <c r="C397" i="12"/>
  <c r="I400" i="12"/>
  <c r="H400" i="12"/>
  <c r="G400" i="12"/>
  <c r="F400" i="12"/>
  <c r="D400" i="12"/>
  <c r="C400" i="12"/>
  <c r="E400" i="12"/>
  <c r="B400" i="12"/>
  <c r="J400" i="12"/>
  <c r="H401" i="12"/>
  <c r="G401" i="12"/>
  <c r="F401" i="12"/>
  <c r="E401" i="12"/>
  <c r="C401" i="12"/>
  <c r="B401" i="12"/>
  <c r="J401" i="12"/>
  <c r="I401" i="12"/>
  <c r="D401" i="12"/>
  <c r="G405" i="12"/>
  <c r="H405" i="12"/>
  <c r="I405" i="12"/>
  <c r="J405" i="12"/>
  <c r="F405" i="12"/>
  <c r="B405" i="12"/>
  <c r="C405" i="12"/>
  <c r="D405" i="12"/>
  <c r="E405" i="12"/>
  <c r="I306" i="12"/>
  <c r="J306" i="12"/>
  <c r="D306" i="12"/>
  <c r="B306" i="12"/>
  <c r="E306" i="12"/>
  <c r="F306" i="12"/>
  <c r="G306" i="12"/>
  <c r="C306" i="12"/>
  <c r="H306" i="12"/>
  <c r="J307" i="12"/>
  <c r="I307" i="12"/>
  <c r="G307" i="12"/>
  <c r="B307" i="12"/>
  <c r="C307" i="12"/>
  <c r="D307" i="12"/>
  <c r="E307" i="12"/>
  <c r="F307" i="12"/>
  <c r="H307" i="12"/>
  <c r="B308" i="12"/>
  <c r="C308" i="12"/>
  <c r="D308" i="12"/>
  <c r="J308" i="12"/>
  <c r="F308" i="12"/>
  <c r="G308" i="12"/>
  <c r="H308" i="12"/>
  <c r="I308" i="12"/>
  <c r="E308" i="12"/>
  <c r="B309" i="12"/>
  <c r="C309" i="12"/>
  <c r="D309" i="12"/>
  <c r="E309" i="12"/>
  <c r="F309" i="12"/>
  <c r="G309" i="12"/>
  <c r="H309" i="12"/>
  <c r="I309" i="12"/>
  <c r="J309" i="12"/>
  <c r="C310" i="12"/>
  <c r="J310" i="12"/>
  <c r="I310" i="12"/>
  <c r="H310" i="12"/>
  <c r="G310" i="12"/>
  <c r="F310" i="12"/>
  <c r="E310" i="12"/>
  <c r="D310" i="12"/>
  <c r="B310" i="12"/>
  <c r="F312" i="12"/>
  <c r="D312" i="12"/>
  <c r="C312" i="12"/>
  <c r="B312" i="12"/>
  <c r="E312" i="12"/>
  <c r="G312" i="12"/>
  <c r="H312" i="12"/>
  <c r="I312" i="12"/>
  <c r="J312" i="12"/>
  <c r="G313" i="12"/>
  <c r="H313" i="12"/>
  <c r="I313" i="12"/>
  <c r="C313" i="12"/>
  <c r="B313" i="12"/>
  <c r="J313" i="12"/>
  <c r="D313" i="12"/>
  <c r="E313" i="12"/>
  <c r="F313" i="12"/>
  <c r="G314" i="12"/>
  <c r="H314" i="12"/>
  <c r="I314" i="12"/>
  <c r="J314" i="12"/>
  <c r="F314" i="12"/>
  <c r="C314" i="12"/>
  <c r="B314" i="12"/>
  <c r="D314" i="12"/>
  <c r="E314" i="12"/>
  <c r="I315" i="12"/>
  <c r="J315" i="12"/>
  <c r="G315" i="12"/>
  <c r="E315" i="12"/>
  <c r="F315" i="12"/>
  <c r="H315" i="12"/>
  <c r="D315" i="12"/>
  <c r="C315" i="12"/>
  <c r="B315" i="12"/>
  <c r="J317" i="12"/>
  <c r="I317" i="12"/>
  <c r="H317" i="12"/>
  <c r="G317" i="12"/>
  <c r="F317" i="12"/>
  <c r="E317" i="12"/>
  <c r="D317" i="12"/>
  <c r="C317" i="12"/>
  <c r="B317" i="12"/>
  <c r="J318" i="12"/>
  <c r="I318" i="12"/>
  <c r="H318" i="12"/>
  <c r="G318" i="12"/>
  <c r="F318" i="12"/>
  <c r="E318" i="12"/>
  <c r="D318" i="12"/>
  <c r="C318" i="12"/>
  <c r="B318" i="12"/>
  <c r="J319" i="12"/>
  <c r="I319" i="12"/>
  <c r="H319" i="12"/>
  <c r="G319" i="12"/>
  <c r="E319" i="12"/>
  <c r="B319" i="12"/>
  <c r="C319" i="12"/>
  <c r="D319" i="12"/>
  <c r="F319" i="12"/>
  <c r="H320" i="12"/>
  <c r="J320" i="12"/>
  <c r="I320" i="12"/>
  <c r="D320" i="12"/>
  <c r="C320" i="12"/>
  <c r="B320" i="12"/>
  <c r="G320" i="12"/>
  <c r="F320" i="12"/>
  <c r="E320" i="12"/>
  <c r="J323" i="12"/>
  <c r="I323" i="12"/>
  <c r="H323" i="12"/>
  <c r="G323" i="12"/>
  <c r="B323" i="12"/>
  <c r="C323" i="12"/>
  <c r="D323" i="12"/>
  <c r="E323" i="12"/>
  <c r="F323" i="12"/>
  <c r="B324" i="12"/>
  <c r="C324" i="12"/>
  <c r="D324" i="12"/>
  <c r="E324" i="12"/>
  <c r="G324" i="12"/>
  <c r="H324" i="12"/>
  <c r="I324" i="12"/>
  <c r="J324" i="12"/>
  <c r="F324" i="12"/>
  <c r="B325" i="12"/>
  <c r="F325" i="12"/>
  <c r="D325" i="12"/>
  <c r="C325" i="12"/>
  <c r="E325" i="12"/>
  <c r="G325" i="12"/>
  <c r="H325" i="12"/>
  <c r="I325" i="12"/>
  <c r="J325" i="12"/>
  <c r="G326" i="12"/>
  <c r="F326" i="12"/>
  <c r="E326" i="12"/>
  <c r="D326" i="12"/>
  <c r="C326" i="12"/>
  <c r="B326" i="12"/>
  <c r="J326" i="12"/>
  <c r="I326" i="12"/>
  <c r="H326" i="12"/>
  <c r="H327" i="12"/>
  <c r="I327" i="12"/>
  <c r="B327" i="12"/>
  <c r="G327" i="12"/>
  <c r="F327" i="12"/>
  <c r="E327" i="12"/>
  <c r="D327" i="12"/>
  <c r="C327" i="12"/>
  <c r="J327" i="12"/>
  <c r="I329" i="12"/>
  <c r="G329" i="12"/>
  <c r="F329" i="12"/>
  <c r="C329" i="12"/>
  <c r="E329" i="12"/>
  <c r="D329" i="12"/>
  <c r="B329" i="12"/>
  <c r="H329" i="12"/>
  <c r="J329" i="12"/>
  <c r="D330" i="12"/>
  <c r="E330" i="12"/>
  <c r="F330" i="12"/>
  <c r="G330" i="12"/>
  <c r="H330" i="12"/>
  <c r="I330" i="12"/>
  <c r="J330" i="12"/>
  <c r="B330" i="12"/>
  <c r="C330" i="12"/>
  <c r="D331" i="12"/>
  <c r="B331" i="12"/>
  <c r="C331" i="12"/>
  <c r="E331" i="12"/>
  <c r="G331" i="12"/>
  <c r="F331" i="12"/>
  <c r="H331" i="12"/>
  <c r="I331" i="12"/>
  <c r="J331" i="12"/>
  <c r="E332" i="12"/>
  <c r="J332" i="12"/>
  <c r="I332" i="12"/>
  <c r="H332" i="12"/>
  <c r="F332" i="12"/>
  <c r="B332" i="12"/>
  <c r="C332" i="12"/>
  <c r="G332" i="12"/>
  <c r="D332" i="12"/>
  <c r="F335" i="12"/>
  <c r="G335" i="12"/>
  <c r="H335" i="12"/>
  <c r="B335" i="12"/>
  <c r="I335" i="12"/>
  <c r="J335" i="12"/>
  <c r="C335" i="12"/>
  <c r="D335" i="12"/>
  <c r="E335" i="12"/>
  <c r="F336" i="12"/>
  <c r="G336" i="12"/>
  <c r="B336" i="12"/>
  <c r="D336" i="12"/>
  <c r="E336" i="12"/>
  <c r="H336" i="12"/>
  <c r="I336" i="12"/>
  <c r="J336" i="12"/>
  <c r="C336" i="12"/>
  <c r="G338" i="12"/>
  <c r="F338" i="12"/>
  <c r="E338" i="12"/>
  <c r="D338" i="12"/>
  <c r="C338" i="12"/>
  <c r="B338" i="12"/>
  <c r="J338" i="12"/>
  <c r="I338" i="12"/>
  <c r="H338" i="12"/>
  <c r="J339" i="12"/>
  <c r="H339" i="12"/>
  <c r="G339" i="12"/>
  <c r="I339" i="12"/>
  <c r="E339" i="12"/>
  <c r="D339" i="12"/>
  <c r="C339" i="12"/>
  <c r="B339" i="12"/>
  <c r="F339" i="12"/>
  <c r="J340" i="12"/>
  <c r="I340" i="12"/>
  <c r="H340" i="12"/>
  <c r="G340" i="12"/>
  <c r="F340" i="12"/>
  <c r="E340" i="12"/>
  <c r="D340" i="12"/>
  <c r="C340" i="12"/>
  <c r="B340" i="12"/>
  <c r="D341" i="12"/>
  <c r="B341" i="12"/>
  <c r="I341" i="12"/>
  <c r="E341" i="12"/>
  <c r="F341" i="12"/>
  <c r="G341" i="12"/>
  <c r="H341" i="12"/>
  <c r="J341" i="12"/>
  <c r="C341" i="12"/>
  <c r="G343" i="12"/>
  <c r="I343" i="12"/>
  <c r="J343" i="12"/>
  <c r="C343" i="12"/>
  <c r="H343" i="12"/>
  <c r="D343" i="12"/>
  <c r="E343" i="12"/>
  <c r="F343" i="12"/>
  <c r="B343" i="12"/>
  <c r="J347" i="12"/>
  <c r="B347" i="12"/>
  <c r="C347" i="12"/>
  <c r="I347" i="12"/>
  <c r="H347" i="12"/>
  <c r="G347" i="12"/>
  <c r="F347" i="12"/>
  <c r="E347" i="12"/>
  <c r="D347" i="12"/>
  <c r="G348" i="12"/>
  <c r="J348" i="12"/>
  <c r="I348" i="12"/>
  <c r="H348" i="12"/>
  <c r="E348" i="12"/>
  <c r="D348" i="12"/>
  <c r="C348" i="12"/>
  <c r="F348" i="12"/>
  <c r="B348" i="12"/>
  <c r="G349" i="12"/>
  <c r="H349" i="12"/>
  <c r="I349" i="12"/>
  <c r="J349" i="12"/>
  <c r="D349" i="12"/>
  <c r="B349" i="12"/>
  <c r="C349" i="12"/>
  <c r="E349" i="12"/>
  <c r="F349" i="12"/>
  <c r="J350" i="12"/>
  <c r="I350" i="12"/>
  <c r="H350" i="12"/>
  <c r="B350" i="12"/>
  <c r="C350" i="12"/>
  <c r="D350" i="12"/>
  <c r="E350" i="12"/>
  <c r="F350" i="12"/>
  <c r="G350" i="12"/>
  <c r="E351" i="12"/>
  <c r="I351" i="12"/>
  <c r="B351" i="12"/>
  <c r="J351" i="12"/>
  <c r="H351" i="12"/>
  <c r="G351" i="12"/>
  <c r="F351" i="12"/>
  <c r="D351" i="12"/>
  <c r="C351" i="12"/>
  <c r="I352" i="12"/>
  <c r="H352" i="12"/>
  <c r="G352" i="12"/>
  <c r="F352" i="12"/>
  <c r="E352" i="12"/>
  <c r="D352" i="12"/>
  <c r="C352" i="12"/>
  <c r="B352" i="12"/>
  <c r="J352" i="12"/>
  <c r="H353" i="12"/>
  <c r="D353" i="12"/>
  <c r="E353" i="12"/>
  <c r="F353" i="12"/>
  <c r="G353" i="12"/>
  <c r="I353" i="12"/>
  <c r="J353" i="12"/>
  <c r="C353" i="12"/>
  <c r="B353" i="12"/>
  <c r="C354" i="12"/>
  <c r="D354" i="12"/>
  <c r="E354" i="12"/>
  <c r="B354" i="12"/>
  <c r="F354" i="12"/>
  <c r="G354" i="12"/>
  <c r="H354" i="12"/>
  <c r="I354" i="12"/>
  <c r="J354" i="12"/>
  <c r="C357" i="12"/>
  <c r="B357" i="12"/>
  <c r="J357" i="12"/>
  <c r="I357" i="12"/>
  <c r="G357" i="12"/>
  <c r="F357" i="12"/>
  <c r="E357" i="12"/>
  <c r="D357" i="12"/>
  <c r="H357" i="12"/>
  <c r="D358" i="12"/>
  <c r="E358" i="12"/>
  <c r="J358" i="12"/>
  <c r="I358" i="12"/>
  <c r="F358" i="12"/>
  <c r="G358" i="12"/>
  <c r="H358" i="12"/>
  <c r="B358" i="12"/>
  <c r="C358" i="12"/>
  <c r="F361" i="12"/>
  <c r="G361" i="12"/>
  <c r="H361" i="12"/>
  <c r="I361" i="12"/>
  <c r="J361" i="12"/>
  <c r="B361" i="12"/>
  <c r="C361" i="12"/>
  <c r="D361" i="12"/>
  <c r="E361" i="12"/>
  <c r="B362" i="12"/>
  <c r="C362" i="12"/>
  <c r="D362" i="12"/>
  <c r="H362" i="12"/>
  <c r="F362" i="12"/>
  <c r="E362" i="12"/>
  <c r="I362" i="12"/>
  <c r="G362" i="12"/>
  <c r="J362" i="12"/>
  <c r="F363" i="12"/>
  <c r="G363" i="12"/>
  <c r="I363" i="12"/>
  <c r="J363" i="12"/>
  <c r="B363" i="12"/>
  <c r="C363" i="12"/>
  <c r="D363" i="12"/>
  <c r="H363" i="12"/>
  <c r="E363" i="12"/>
  <c r="D365" i="12"/>
  <c r="E365" i="12"/>
  <c r="F365" i="12"/>
  <c r="G365" i="12"/>
  <c r="H365" i="12"/>
  <c r="I365" i="12"/>
  <c r="J365" i="12"/>
  <c r="B365" i="12"/>
  <c r="C365" i="12"/>
  <c r="B366" i="12"/>
  <c r="H366" i="12"/>
  <c r="F366" i="12"/>
  <c r="G366" i="12"/>
  <c r="E366" i="12"/>
  <c r="J366" i="12"/>
  <c r="I366" i="12"/>
  <c r="D366" i="12"/>
  <c r="C366" i="12"/>
  <c r="C367" i="12"/>
  <c r="J367" i="12"/>
  <c r="I367" i="12"/>
  <c r="H367" i="12"/>
  <c r="G367" i="12"/>
  <c r="F367" i="12"/>
  <c r="E367" i="12"/>
  <c r="D367" i="12"/>
  <c r="B367" i="12"/>
  <c r="I368" i="12"/>
  <c r="H368" i="12"/>
  <c r="G368" i="12"/>
  <c r="F368" i="12"/>
  <c r="E368" i="12"/>
  <c r="D368" i="12"/>
  <c r="C368" i="12"/>
  <c r="B368" i="12"/>
  <c r="J368" i="12"/>
  <c r="E369" i="12"/>
  <c r="J369" i="12"/>
  <c r="F369" i="12"/>
  <c r="I369" i="12"/>
  <c r="H369" i="12"/>
  <c r="G369" i="12"/>
  <c r="D369" i="12"/>
  <c r="C369" i="12"/>
  <c r="B369" i="12"/>
  <c r="C371" i="12"/>
  <c r="D371" i="12"/>
  <c r="E371" i="12"/>
  <c r="B371" i="12"/>
  <c r="J371" i="12"/>
  <c r="I371" i="12"/>
  <c r="H371" i="12"/>
  <c r="G371" i="12"/>
  <c r="F371" i="12"/>
  <c r="J372" i="12"/>
  <c r="E372" i="12"/>
  <c r="D372" i="12"/>
  <c r="C372" i="12"/>
  <c r="B372" i="12"/>
  <c r="F372" i="12"/>
  <c r="G372" i="12"/>
  <c r="H372" i="12"/>
  <c r="I372" i="12"/>
  <c r="F373" i="12"/>
  <c r="I373" i="12"/>
  <c r="H373" i="12"/>
  <c r="G373" i="12"/>
  <c r="E373" i="12"/>
  <c r="D373" i="12"/>
  <c r="C373" i="12"/>
  <c r="B373" i="12"/>
  <c r="J373" i="12"/>
  <c r="F374" i="12"/>
  <c r="J374" i="12"/>
  <c r="I374" i="12"/>
  <c r="H374" i="12"/>
  <c r="G374" i="12"/>
  <c r="E374" i="12"/>
  <c r="D374" i="12"/>
  <c r="C374" i="12"/>
  <c r="B374" i="12"/>
  <c r="B375" i="12"/>
  <c r="C375" i="12"/>
  <c r="E375" i="12"/>
  <c r="G375" i="12"/>
  <c r="H375" i="12"/>
  <c r="I375" i="12"/>
  <c r="J375" i="12"/>
  <c r="F375" i="12"/>
  <c r="D375" i="12"/>
  <c r="I376" i="12"/>
  <c r="H376" i="12"/>
  <c r="J376" i="12"/>
  <c r="G376" i="12"/>
  <c r="F376" i="12"/>
  <c r="E376" i="12"/>
  <c r="D376" i="12"/>
  <c r="C376" i="12"/>
  <c r="B376" i="12"/>
  <c r="D378" i="12"/>
  <c r="C378" i="12"/>
  <c r="B378" i="12"/>
  <c r="E378" i="12"/>
  <c r="J378" i="12"/>
  <c r="I378" i="12"/>
  <c r="H378" i="12"/>
  <c r="G378" i="12"/>
  <c r="F378" i="12"/>
  <c r="I380" i="12"/>
  <c r="B380" i="12"/>
  <c r="J380" i="12"/>
  <c r="H380" i="12"/>
  <c r="C380" i="12"/>
  <c r="D380" i="12"/>
  <c r="E380" i="12"/>
  <c r="F380" i="12"/>
  <c r="G380" i="12"/>
  <c r="J381" i="12"/>
  <c r="I381" i="12"/>
  <c r="H381" i="12"/>
  <c r="G381" i="12"/>
  <c r="E381" i="12"/>
  <c r="D381" i="12"/>
  <c r="B381" i="12"/>
  <c r="C381" i="12"/>
  <c r="F381" i="12"/>
  <c r="B383" i="12"/>
  <c r="C383" i="12"/>
  <c r="F383" i="12"/>
  <c r="J383" i="12"/>
  <c r="I383" i="12"/>
  <c r="H383" i="12"/>
  <c r="G383" i="12"/>
  <c r="E383" i="12"/>
  <c r="D383" i="12"/>
  <c r="J384" i="12"/>
  <c r="I384" i="12"/>
  <c r="B384" i="12"/>
  <c r="C384" i="12"/>
  <c r="H384" i="12"/>
  <c r="G384" i="12"/>
  <c r="F384" i="12"/>
  <c r="E384" i="12"/>
  <c r="D384" i="12"/>
  <c r="H385" i="12"/>
  <c r="I385" i="12"/>
  <c r="J385" i="12"/>
  <c r="B385" i="12"/>
  <c r="C385" i="12"/>
  <c r="D385" i="12"/>
  <c r="E385" i="12"/>
  <c r="F385" i="12"/>
  <c r="G385" i="12"/>
  <c r="H386" i="12"/>
  <c r="G386" i="12"/>
  <c r="I386" i="12"/>
  <c r="B386" i="12"/>
  <c r="J386" i="12"/>
  <c r="F386" i="12"/>
  <c r="E386" i="12"/>
  <c r="D386" i="12"/>
  <c r="C386" i="12"/>
  <c r="B387" i="12"/>
  <c r="C387" i="12"/>
  <c r="I387" i="12"/>
  <c r="F387" i="12"/>
  <c r="D387" i="12"/>
  <c r="E387" i="12"/>
  <c r="G387" i="12"/>
  <c r="J387" i="12"/>
  <c r="H387" i="12"/>
  <c r="I389" i="12"/>
  <c r="H389" i="12"/>
  <c r="G389" i="12"/>
  <c r="E389" i="12"/>
  <c r="D389" i="12"/>
  <c r="C389" i="12"/>
  <c r="B389" i="12"/>
  <c r="F389" i="12"/>
  <c r="J389" i="12"/>
  <c r="J390" i="12"/>
  <c r="I390" i="12"/>
  <c r="B390" i="12"/>
  <c r="C390" i="12"/>
  <c r="D390" i="12"/>
  <c r="E390" i="12"/>
  <c r="F390" i="12"/>
  <c r="G390" i="12"/>
  <c r="H390" i="12"/>
  <c r="B392" i="12"/>
  <c r="E392" i="12"/>
  <c r="G392" i="12"/>
  <c r="H392" i="12"/>
  <c r="I392" i="12"/>
  <c r="J392" i="12"/>
  <c r="C392" i="12"/>
  <c r="D392" i="12"/>
  <c r="F392" i="12"/>
  <c r="J393" i="12"/>
  <c r="I393" i="12"/>
  <c r="H393" i="12"/>
  <c r="G393" i="12"/>
  <c r="F393" i="12"/>
  <c r="E393" i="12"/>
  <c r="D393" i="12"/>
  <c r="C393" i="12"/>
  <c r="B393" i="12"/>
  <c r="F294" i="12"/>
  <c r="E294" i="12"/>
  <c r="D294" i="12"/>
  <c r="B294" i="12"/>
  <c r="C294" i="12"/>
  <c r="J294" i="12"/>
  <c r="I294" i="12"/>
  <c r="H294" i="12"/>
  <c r="G294" i="12"/>
  <c r="H295" i="12"/>
  <c r="J295" i="12"/>
  <c r="G295" i="12"/>
  <c r="F295" i="12"/>
  <c r="E295" i="12"/>
  <c r="D295" i="12"/>
  <c r="C295" i="12"/>
  <c r="B295" i="12"/>
  <c r="I295" i="12"/>
  <c r="I296" i="12"/>
  <c r="G296" i="12"/>
  <c r="F296" i="12"/>
  <c r="C296" i="12"/>
  <c r="E296" i="12"/>
  <c r="D296" i="12"/>
  <c r="H296" i="12"/>
  <c r="B296" i="12"/>
  <c r="J296" i="12"/>
  <c r="D298" i="12"/>
  <c r="B298" i="12"/>
  <c r="E298" i="12"/>
  <c r="F298" i="12"/>
  <c r="G298" i="12"/>
  <c r="H298" i="12"/>
  <c r="I298" i="12"/>
  <c r="C298" i="12"/>
  <c r="J298" i="12"/>
  <c r="F299" i="12"/>
  <c r="E299" i="12"/>
  <c r="D299" i="12"/>
  <c r="C299" i="12"/>
  <c r="B299" i="12"/>
  <c r="G299" i="12"/>
  <c r="H299" i="12"/>
  <c r="I299" i="12"/>
  <c r="J299" i="12"/>
  <c r="C300" i="12"/>
  <c r="I300" i="12"/>
  <c r="J300" i="12"/>
  <c r="B300" i="12"/>
  <c r="D300" i="12"/>
  <c r="E300" i="12"/>
  <c r="F300" i="12"/>
  <c r="G300" i="12"/>
  <c r="H300" i="12"/>
  <c r="B301" i="12"/>
  <c r="H301" i="12"/>
  <c r="C301" i="12"/>
  <c r="I301" i="12"/>
  <c r="E301" i="12"/>
  <c r="F301" i="12"/>
  <c r="G301" i="12"/>
  <c r="D301" i="12"/>
  <c r="J301" i="12"/>
  <c r="J302" i="12"/>
  <c r="I302" i="12"/>
  <c r="H302" i="12"/>
  <c r="G302" i="12"/>
  <c r="F302" i="12"/>
  <c r="E302" i="12"/>
  <c r="D302" i="12"/>
  <c r="C302" i="12"/>
  <c r="B302" i="12"/>
  <c r="J303" i="12"/>
  <c r="E303" i="12"/>
  <c r="F303" i="12"/>
  <c r="G303" i="12"/>
  <c r="I303" i="12"/>
  <c r="H303" i="12"/>
  <c r="B303" i="12"/>
  <c r="C303" i="12"/>
  <c r="D303" i="12"/>
  <c r="E304" i="12"/>
  <c r="B304" i="12"/>
  <c r="C304" i="12"/>
  <c r="D304" i="12"/>
  <c r="F304" i="12"/>
  <c r="G304" i="12"/>
  <c r="H304" i="12"/>
  <c r="I304" i="12"/>
  <c r="J304" i="12"/>
  <c r="B207" i="12"/>
  <c r="H207" i="12"/>
  <c r="G207" i="12"/>
  <c r="J207" i="12"/>
  <c r="I207" i="12"/>
  <c r="D207" i="12"/>
  <c r="F207" i="12"/>
  <c r="E207" i="12"/>
  <c r="C207" i="12"/>
  <c r="I208" i="12"/>
  <c r="J208" i="12"/>
  <c r="C208" i="12"/>
  <c r="B208" i="12"/>
  <c r="D208" i="12"/>
  <c r="E208" i="12"/>
  <c r="F208" i="12"/>
  <c r="G208" i="12"/>
  <c r="H208" i="12"/>
  <c r="G209" i="12"/>
  <c r="F209" i="12"/>
  <c r="E209" i="12"/>
  <c r="D209" i="12"/>
  <c r="B209" i="12"/>
  <c r="J209" i="12"/>
  <c r="I209" i="12"/>
  <c r="H209" i="12"/>
  <c r="C209" i="12"/>
  <c r="C210" i="12"/>
  <c r="B210" i="12"/>
  <c r="D210" i="12"/>
  <c r="E210" i="12"/>
  <c r="F210" i="12"/>
  <c r="G210" i="12"/>
  <c r="H210" i="12"/>
  <c r="I210" i="12"/>
  <c r="J210" i="12"/>
  <c r="F211" i="12"/>
  <c r="E211" i="12"/>
  <c r="D211" i="12"/>
  <c r="C211" i="12"/>
  <c r="B211" i="12"/>
  <c r="J211" i="12"/>
  <c r="I211" i="12"/>
  <c r="H211" i="12"/>
  <c r="G211" i="12"/>
  <c r="I213" i="12"/>
  <c r="G213" i="12"/>
  <c r="H213" i="12"/>
  <c r="J213" i="12"/>
  <c r="D213" i="12"/>
  <c r="B213" i="12"/>
  <c r="C213" i="12"/>
  <c r="E213" i="12"/>
  <c r="F213" i="12"/>
  <c r="C214" i="12"/>
  <c r="J214" i="12"/>
  <c r="D214" i="12"/>
  <c r="I214" i="12"/>
  <c r="E214" i="12"/>
  <c r="F214" i="12"/>
  <c r="G214" i="12"/>
  <c r="H214" i="12"/>
  <c r="B214" i="12"/>
  <c r="D216" i="12"/>
  <c r="C216" i="12"/>
  <c r="B216" i="12"/>
  <c r="E216" i="12"/>
  <c r="H216" i="12"/>
  <c r="J216" i="12"/>
  <c r="I216" i="12"/>
  <c r="G216" i="12"/>
  <c r="F216" i="12"/>
  <c r="F217" i="12"/>
  <c r="G217" i="12"/>
  <c r="I217" i="12"/>
  <c r="J217" i="12"/>
  <c r="H217" i="12"/>
  <c r="B217" i="12"/>
  <c r="C217" i="12"/>
  <c r="D217" i="12"/>
  <c r="E217" i="12"/>
  <c r="C218" i="12"/>
  <c r="D218" i="12"/>
  <c r="J218" i="12"/>
  <c r="G218" i="12"/>
  <c r="H218" i="12"/>
  <c r="I218" i="12"/>
  <c r="B218" i="12"/>
  <c r="E218" i="12"/>
  <c r="F218" i="12"/>
  <c r="B219" i="12"/>
  <c r="C219" i="12"/>
  <c r="D219" i="12"/>
  <c r="E219" i="12"/>
  <c r="F219" i="12"/>
  <c r="G219" i="12"/>
  <c r="H219" i="12"/>
  <c r="I219" i="12"/>
  <c r="J219" i="12"/>
  <c r="B220" i="12"/>
  <c r="C220" i="12"/>
  <c r="J220" i="12"/>
  <c r="I220" i="12"/>
  <c r="H220" i="12"/>
  <c r="G220" i="12"/>
  <c r="F220" i="12"/>
  <c r="E220" i="12"/>
  <c r="D220" i="12"/>
  <c r="J221" i="12"/>
  <c r="B221" i="12"/>
  <c r="D221" i="12"/>
  <c r="E221" i="12"/>
  <c r="F221" i="12"/>
  <c r="G221" i="12"/>
  <c r="H221" i="12"/>
  <c r="I221" i="12"/>
  <c r="C221" i="12"/>
  <c r="H222" i="12"/>
  <c r="I222" i="12"/>
  <c r="J222" i="12"/>
  <c r="B222" i="12"/>
  <c r="C222" i="12"/>
  <c r="D222" i="12"/>
  <c r="E222" i="12"/>
  <c r="F222" i="12"/>
  <c r="G222" i="12"/>
  <c r="B223" i="12"/>
  <c r="F223" i="12"/>
  <c r="E223" i="12"/>
  <c r="D223" i="12"/>
  <c r="C223" i="12"/>
  <c r="J223" i="12"/>
  <c r="I223" i="12"/>
  <c r="H223" i="12"/>
  <c r="G223" i="12"/>
  <c r="J224" i="12"/>
  <c r="I224" i="12"/>
  <c r="H224" i="12"/>
  <c r="G224" i="12"/>
  <c r="F224" i="12"/>
  <c r="E224" i="12"/>
  <c r="D224" i="12"/>
  <c r="C224" i="12"/>
  <c r="B224" i="12"/>
  <c r="J226" i="12"/>
  <c r="I226" i="12"/>
  <c r="H226" i="12"/>
  <c r="G226" i="12"/>
  <c r="F226" i="12"/>
  <c r="E226" i="12"/>
  <c r="D226" i="12"/>
  <c r="C226" i="12"/>
  <c r="B226" i="12"/>
  <c r="C227" i="12"/>
  <c r="B227" i="12"/>
  <c r="I227" i="12"/>
  <c r="H227" i="12"/>
  <c r="G227" i="12"/>
  <c r="F227" i="12"/>
  <c r="E227" i="12"/>
  <c r="D227" i="12"/>
  <c r="J227" i="12"/>
  <c r="C231" i="12"/>
  <c r="B231" i="12"/>
  <c r="J231" i="12"/>
  <c r="I231" i="12"/>
  <c r="H231" i="12"/>
  <c r="G231" i="12"/>
  <c r="F231" i="12"/>
  <c r="E231" i="12"/>
  <c r="D231" i="12"/>
  <c r="C232" i="12"/>
  <c r="B232" i="12"/>
  <c r="J232" i="12"/>
  <c r="I232" i="12"/>
  <c r="H232" i="12"/>
  <c r="G232" i="12"/>
  <c r="F232" i="12"/>
  <c r="E232" i="12"/>
  <c r="D232" i="12"/>
  <c r="J236" i="12"/>
  <c r="H236" i="12"/>
  <c r="G236" i="12"/>
  <c r="F236" i="12"/>
  <c r="E236" i="12"/>
  <c r="D236" i="12"/>
  <c r="C236" i="12"/>
  <c r="I236" i="12"/>
  <c r="B236" i="12"/>
  <c r="G238" i="12"/>
  <c r="H238" i="12"/>
  <c r="I238" i="12"/>
  <c r="J238" i="12"/>
  <c r="F238" i="12"/>
  <c r="B238" i="12"/>
  <c r="C238" i="12"/>
  <c r="D238" i="12"/>
  <c r="E238" i="12"/>
  <c r="J240" i="12"/>
  <c r="C240" i="12"/>
  <c r="B240" i="12"/>
  <c r="I240" i="12"/>
  <c r="H240" i="12"/>
  <c r="G240" i="12"/>
  <c r="F240" i="12"/>
  <c r="E240" i="12"/>
  <c r="D240" i="12"/>
  <c r="J241" i="12"/>
  <c r="I241" i="12"/>
  <c r="H241" i="12"/>
  <c r="G241" i="12"/>
  <c r="F241" i="12"/>
  <c r="E241" i="12"/>
  <c r="D241" i="12"/>
  <c r="C241" i="12"/>
  <c r="B241" i="12"/>
  <c r="J242" i="12"/>
  <c r="I242" i="12"/>
  <c r="B242" i="12"/>
  <c r="G242" i="12"/>
  <c r="F242" i="12"/>
  <c r="E242" i="12"/>
  <c r="D242" i="12"/>
  <c r="C242" i="12"/>
  <c r="H242" i="12"/>
  <c r="F244" i="12"/>
  <c r="E244" i="12"/>
  <c r="D244" i="12"/>
  <c r="C244" i="12"/>
  <c r="B244" i="12"/>
  <c r="G244" i="12"/>
  <c r="I244" i="12"/>
  <c r="J244" i="12"/>
  <c r="H244" i="12"/>
  <c r="J245" i="12"/>
  <c r="I245" i="12"/>
  <c r="H245" i="12"/>
  <c r="G245" i="12"/>
  <c r="F245" i="12"/>
  <c r="E245" i="12"/>
  <c r="D245" i="12"/>
  <c r="B245" i="12"/>
  <c r="C245" i="12"/>
  <c r="I246" i="12"/>
  <c r="H246" i="12"/>
  <c r="G246" i="12"/>
  <c r="F246" i="12"/>
  <c r="E246" i="12"/>
  <c r="D246" i="12"/>
  <c r="C246" i="12"/>
  <c r="B246" i="12"/>
  <c r="J246" i="12"/>
  <c r="G247" i="12"/>
  <c r="J247" i="12"/>
  <c r="H247" i="12"/>
  <c r="I247" i="12"/>
  <c r="F247" i="12"/>
  <c r="E247" i="12"/>
  <c r="D247" i="12"/>
  <c r="C247" i="12"/>
  <c r="B247" i="12"/>
  <c r="J248" i="12"/>
  <c r="I248" i="12"/>
  <c r="H248" i="12"/>
  <c r="G248" i="12"/>
  <c r="F248" i="12"/>
  <c r="E248" i="12"/>
  <c r="D248" i="12"/>
  <c r="C248" i="12"/>
  <c r="B248" i="12"/>
  <c r="J249" i="12"/>
  <c r="I249" i="12"/>
  <c r="H249" i="12"/>
  <c r="G249" i="12"/>
  <c r="F249" i="12"/>
  <c r="E249" i="12"/>
  <c r="D249" i="12"/>
  <c r="C249" i="12"/>
  <c r="B249" i="12"/>
  <c r="J250" i="12"/>
  <c r="I250" i="12"/>
  <c r="G250" i="12"/>
  <c r="F250" i="12"/>
  <c r="E250" i="12"/>
  <c r="D250" i="12"/>
  <c r="C250" i="12"/>
  <c r="B250" i="12"/>
  <c r="H250" i="12"/>
  <c r="J252" i="12"/>
  <c r="I252" i="12"/>
  <c r="H252" i="12"/>
  <c r="G252" i="12"/>
  <c r="F252" i="12"/>
  <c r="D252" i="12"/>
  <c r="C252" i="12"/>
  <c r="B252" i="12"/>
  <c r="E252" i="12"/>
  <c r="J255" i="12"/>
  <c r="I255" i="12"/>
  <c r="G255" i="12"/>
  <c r="F255" i="12"/>
  <c r="E255" i="12"/>
  <c r="D255" i="12"/>
  <c r="C255" i="12"/>
  <c r="B255" i="12"/>
  <c r="H255" i="12"/>
  <c r="H256" i="12"/>
  <c r="B256" i="12"/>
  <c r="C256" i="12"/>
  <c r="D256" i="12"/>
  <c r="E256" i="12"/>
  <c r="F256" i="12"/>
  <c r="G256" i="12"/>
  <c r="I256" i="12"/>
  <c r="J256" i="12"/>
  <c r="B258" i="12"/>
  <c r="J258" i="12"/>
  <c r="I258" i="12"/>
  <c r="H258" i="12"/>
  <c r="G258" i="12"/>
  <c r="E258" i="12"/>
  <c r="D258" i="12"/>
  <c r="C258" i="12"/>
  <c r="F258" i="12"/>
  <c r="F259" i="12"/>
  <c r="H259" i="12"/>
  <c r="C259" i="12"/>
  <c r="I259" i="12"/>
  <c r="B259" i="12"/>
  <c r="D259" i="12"/>
  <c r="E259" i="12"/>
  <c r="J259" i="12"/>
  <c r="G259" i="12"/>
  <c r="C260" i="12"/>
  <c r="I260" i="12"/>
  <c r="B260" i="12"/>
  <c r="D260" i="12"/>
  <c r="E260" i="12"/>
  <c r="F260" i="12"/>
  <c r="G260" i="12"/>
  <c r="H260" i="12"/>
  <c r="J260" i="12"/>
  <c r="B261" i="12"/>
  <c r="F261" i="12"/>
  <c r="J261" i="12"/>
  <c r="I261" i="12"/>
  <c r="H261" i="12"/>
  <c r="G261" i="12"/>
  <c r="E261" i="12"/>
  <c r="D261" i="12"/>
  <c r="C261" i="12"/>
  <c r="J262" i="12"/>
  <c r="B262" i="12"/>
  <c r="C262" i="12"/>
  <c r="I262" i="12"/>
  <c r="E262" i="12"/>
  <c r="F262" i="12"/>
  <c r="G262" i="12"/>
  <c r="H262" i="12"/>
  <c r="D262" i="12"/>
  <c r="D263" i="12"/>
  <c r="E263" i="12"/>
  <c r="J263" i="12"/>
  <c r="H263" i="12"/>
  <c r="F263" i="12"/>
  <c r="C263" i="12"/>
  <c r="B263" i="12"/>
  <c r="I263" i="12"/>
  <c r="G263" i="12"/>
  <c r="H265" i="12"/>
  <c r="G265" i="12"/>
  <c r="F265" i="12"/>
  <c r="D265" i="12"/>
  <c r="C265" i="12"/>
  <c r="B265" i="12"/>
  <c r="J265" i="12"/>
  <c r="I265" i="12"/>
  <c r="E265" i="12"/>
  <c r="H266" i="12"/>
  <c r="G266" i="12"/>
  <c r="F266" i="12"/>
  <c r="E266" i="12"/>
  <c r="D266" i="12"/>
  <c r="C266" i="12"/>
  <c r="B266" i="12"/>
  <c r="J266" i="12"/>
  <c r="I266" i="12"/>
  <c r="J267" i="12"/>
  <c r="H267" i="12"/>
  <c r="I267" i="12"/>
  <c r="F267" i="12"/>
  <c r="E267" i="12"/>
  <c r="D267" i="12"/>
  <c r="C267" i="12"/>
  <c r="B267" i="12"/>
  <c r="G267" i="12"/>
  <c r="I268" i="12"/>
  <c r="H268" i="12"/>
  <c r="G268" i="12"/>
  <c r="F268" i="12"/>
  <c r="E268" i="12"/>
  <c r="J268" i="12"/>
  <c r="C268" i="12"/>
  <c r="B268" i="12"/>
  <c r="D268" i="12"/>
  <c r="B269" i="12"/>
  <c r="C269" i="12"/>
  <c r="D269" i="12"/>
  <c r="E269" i="12"/>
  <c r="F269" i="12"/>
  <c r="G269" i="12"/>
  <c r="H269" i="12"/>
  <c r="I269" i="12"/>
  <c r="J269" i="12"/>
  <c r="D270" i="12"/>
  <c r="C270" i="12"/>
  <c r="B270" i="12"/>
  <c r="J270" i="12"/>
  <c r="I270" i="12"/>
  <c r="H270" i="12"/>
  <c r="G270" i="12"/>
  <c r="F270" i="12"/>
  <c r="E270" i="12"/>
  <c r="F271" i="12"/>
  <c r="E271" i="12"/>
  <c r="D271" i="12"/>
  <c r="C271" i="12"/>
  <c r="B271" i="12"/>
  <c r="I271" i="12"/>
  <c r="J271" i="12"/>
  <c r="G271" i="12"/>
  <c r="H271" i="12"/>
  <c r="C272" i="12"/>
  <c r="J272" i="12"/>
  <c r="I272" i="12"/>
  <c r="H272" i="12"/>
  <c r="G272" i="12"/>
  <c r="F272" i="12"/>
  <c r="E272" i="12"/>
  <c r="D272" i="12"/>
  <c r="B272" i="12"/>
  <c r="B273" i="12"/>
  <c r="J273" i="12"/>
  <c r="I273" i="12"/>
  <c r="H273" i="12"/>
  <c r="G273" i="12"/>
  <c r="F273" i="12"/>
  <c r="E273" i="12"/>
  <c r="D273" i="12"/>
  <c r="C273" i="12"/>
  <c r="G274" i="12"/>
  <c r="F274" i="12"/>
  <c r="E274" i="12"/>
  <c r="D274" i="12"/>
  <c r="C274" i="12"/>
  <c r="B274" i="12"/>
  <c r="J274" i="12"/>
  <c r="I274" i="12"/>
  <c r="H274" i="12"/>
  <c r="G275" i="12"/>
  <c r="F275" i="12"/>
  <c r="E275" i="12"/>
  <c r="D275" i="12"/>
  <c r="C275" i="12"/>
  <c r="B275" i="12"/>
  <c r="J275" i="12"/>
  <c r="I275" i="12"/>
  <c r="H275" i="12"/>
  <c r="C276" i="12"/>
  <c r="J276" i="12"/>
  <c r="I276" i="12"/>
  <c r="H276" i="12"/>
  <c r="G276" i="12"/>
  <c r="F276" i="12"/>
  <c r="D276" i="12"/>
  <c r="B276" i="12"/>
  <c r="E276" i="12"/>
  <c r="H277" i="12"/>
  <c r="I277" i="12"/>
  <c r="J277" i="12"/>
  <c r="C277" i="12"/>
  <c r="D277" i="12"/>
  <c r="B277" i="12"/>
  <c r="E277" i="12"/>
  <c r="F277" i="12"/>
  <c r="G277" i="12"/>
  <c r="B278" i="12"/>
  <c r="E278" i="12"/>
  <c r="D278" i="12"/>
  <c r="C278" i="12"/>
  <c r="I278" i="12"/>
  <c r="J278" i="12"/>
  <c r="H278" i="12"/>
  <c r="G278" i="12"/>
  <c r="F278" i="12"/>
  <c r="H279" i="12"/>
  <c r="I279" i="12"/>
  <c r="J279" i="12"/>
  <c r="B279" i="12"/>
  <c r="G279" i="12"/>
  <c r="C279" i="12"/>
  <c r="D279" i="12"/>
  <c r="E279" i="12"/>
  <c r="F279" i="12"/>
  <c r="F280" i="12"/>
  <c r="I280" i="12"/>
  <c r="H280" i="12"/>
  <c r="J280" i="12"/>
  <c r="E280" i="12"/>
  <c r="D280" i="12"/>
  <c r="C280" i="12"/>
  <c r="B280" i="12"/>
  <c r="G280" i="12"/>
  <c r="C281" i="12"/>
  <c r="B281" i="12"/>
  <c r="D281" i="12"/>
  <c r="E281" i="12"/>
  <c r="F281" i="12"/>
  <c r="G281" i="12"/>
  <c r="I281" i="12"/>
  <c r="J281" i="12"/>
  <c r="H281" i="12"/>
  <c r="H282" i="12"/>
  <c r="I282" i="12"/>
  <c r="J282" i="12"/>
  <c r="G282" i="12"/>
  <c r="B282" i="12"/>
  <c r="C282" i="12"/>
  <c r="D282" i="12"/>
  <c r="E282" i="12"/>
  <c r="F282" i="12"/>
  <c r="F283" i="12"/>
  <c r="G283" i="12"/>
  <c r="H283" i="12"/>
  <c r="J283" i="12"/>
  <c r="I283" i="12"/>
  <c r="B283" i="12"/>
  <c r="C283" i="12"/>
  <c r="D283" i="12"/>
  <c r="E283" i="12"/>
  <c r="G284" i="12"/>
  <c r="F284" i="12"/>
  <c r="D284" i="12"/>
  <c r="C284" i="12"/>
  <c r="B284" i="12"/>
  <c r="E284" i="12"/>
  <c r="I284" i="12"/>
  <c r="J284" i="12"/>
  <c r="H284" i="12"/>
  <c r="J285" i="12"/>
  <c r="I285" i="12"/>
  <c r="H285" i="12"/>
  <c r="G285" i="12"/>
  <c r="F285" i="12"/>
  <c r="E285" i="12"/>
  <c r="D285" i="12"/>
  <c r="C285" i="12"/>
  <c r="B285" i="12"/>
  <c r="G286" i="12"/>
  <c r="J286" i="12"/>
  <c r="I286" i="12"/>
  <c r="H286" i="12"/>
  <c r="F286" i="12"/>
  <c r="E286" i="12"/>
  <c r="D286" i="12"/>
  <c r="C286" i="12"/>
  <c r="B286" i="12"/>
  <c r="H287" i="12"/>
  <c r="J287" i="12"/>
  <c r="I287" i="12"/>
  <c r="G287" i="12"/>
  <c r="F287" i="12"/>
  <c r="E287" i="12"/>
  <c r="D287" i="12"/>
  <c r="C287" i="12"/>
  <c r="B287" i="12"/>
  <c r="G288" i="12"/>
  <c r="F288" i="12"/>
  <c r="E288" i="12"/>
  <c r="D288" i="12"/>
  <c r="C288" i="12"/>
  <c r="B288" i="12"/>
  <c r="H288" i="12"/>
  <c r="I288" i="12"/>
  <c r="J288" i="12"/>
  <c r="G289" i="12"/>
  <c r="J289" i="12"/>
  <c r="I289" i="12"/>
  <c r="H289" i="12"/>
  <c r="B289" i="12"/>
  <c r="F289" i="12"/>
  <c r="E289" i="12"/>
  <c r="D289" i="12"/>
  <c r="C289" i="12"/>
  <c r="D290" i="12"/>
  <c r="J290" i="12"/>
  <c r="I290" i="12"/>
  <c r="H290" i="12"/>
  <c r="G290" i="12"/>
  <c r="F290" i="12"/>
  <c r="E290" i="12"/>
  <c r="C290" i="12"/>
  <c r="B290" i="12"/>
  <c r="J291" i="12"/>
  <c r="I291" i="12"/>
  <c r="H291" i="12"/>
  <c r="G291" i="12"/>
  <c r="F291" i="12"/>
  <c r="E291" i="12"/>
  <c r="D291" i="12"/>
  <c r="C291" i="12"/>
  <c r="B291" i="12"/>
  <c r="I292" i="12"/>
  <c r="H292" i="12"/>
  <c r="G292" i="12"/>
  <c r="F292" i="12"/>
  <c r="E292" i="12"/>
  <c r="D292" i="12"/>
  <c r="C292" i="12"/>
  <c r="B292" i="12"/>
  <c r="J292" i="12"/>
  <c r="I293" i="12"/>
  <c r="H293" i="12"/>
  <c r="G293" i="12"/>
  <c r="F293" i="12"/>
  <c r="E293" i="12"/>
  <c r="D293" i="12"/>
  <c r="C293" i="12"/>
  <c r="B293" i="12"/>
  <c r="J293" i="12"/>
  <c r="J194" i="12"/>
  <c r="I194" i="12"/>
  <c r="H194" i="12"/>
  <c r="G194" i="12"/>
  <c r="F194" i="12"/>
  <c r="E194" i="12"/>
  <c r="D194" i="12"/>
  <c r="C194" i="12"/>
  <c r="B194" i="12"/>
  <c r="B195" i="12"/>
  <c r="C195" i="12"/>
  <c r="J195" i="12"/>
  <c r="I195" i="12"/>
  <c r="H195" i="12"/>
  <c r="G195" i="12"/>
  <c r="F195" i="12"/>
  <c r="D195" i="12"/>
  <c r="E195" i="12"/>
  <c r="B196" i="12"/>
  <c r="C196" i="12"/>
  <c r="E196" i="12"/>
  <c r="F196" i="12"/>
  <c r="G196" i="12"/>
  <c r="H196" i="12"/>
  <c r="I196" i="12"/>
  <c r="J196" i="12"/>
  <c r="D196" i="12"/>
  <c r="E197" i="12"/>
  <c r="D197" i="12"/>
  <c r="C197" i="12"/>
  <c r="B197" i="12"/>
  <c r="F197" i="12"/>
  <c r="J197" i="12"/>
  <c r="I197" i="12"/>
  <c r="H197" i="12"/>
  <c r="G197" i="12"/>
  <c r="J198" i="12"/>
  <c r="I198" i="12"/>
  <c r="H198" i="12"/>
  <c r="G198" i="12"/>
  <c r="F198" i="12"/>
  <c r="E198" i="12"/>
  <c r="D198" i="12"/>
  <c r="C198" i="12"/>
  <c r="B198" i="12"/>
  <c r="J199" i="12"/>
  <c r="I199" i="12"/>
  <c r="H199" i="12"/>
  <c r="G199" i="12"/>
  <c r="F199" i="12"/>
  <c r="D199" i="12"/>
  <c r="C199" i="12"/>
  <c r="B199" i="12"/>
  <c r="E199" i="12"/>
  <c r="I200" i="12"/>
  <c r="H200" i="12"/>
  <c r="G200" i="12"/>
  <c r="F200" i="12"/>
  <c r="E200" i="12"/>
  <c r="D200" i="12"/>
  <c r="C200" i="12"/>
  <c r="B200" i="12"/>
  <c r="J200" i="12"/>
  <c r="E201" i="12"/>
  <c r="F201" i="12"/>
  <c r="D201" i="12"/>
  <c r="C201" i="12"/>
  <c r="B201" i="12"/>
  <c r="J201" i="12"/>
  <c r="I201" i="12"/>
  <c r="H201" i="12"/>
  <c r="G201" i="12"/>
  <c r="F202" i="12"/>
  <c r="E202" i="12"/>
  <c r="D202" i="12"/>
  <c r="C202" i="12"/>
  <c r="B202" i="12"/>
  <c r="J202" i="12"/>
  <c r="I202" i="12"/>
  <c r="H202" i="12"/>
  <c r="G202" i="12"/>
  <c r="J203" i="12"/>
  <c r="I203" i="12"/>
  <c r="H203" i="12"/>
  <c r="B203" i="12"/>
  <c r="F203" i="12"/>
  <c r="E203" i="12"/>
  <c r="D203" i="12"/>
  <c r="C203" i="12"/>
  <c r="G203" i="12"/>
  <c r="J204" i="12"/>
  <c r="I204" i="12"/>
  <c r="H204" i="12"/>
  <c r="G204" i="12"/>
  <c r="E204" i="12"/>
  <c r="D204" i="12"/>
  <c r="C204" i="12"/>
  <c r="B204" i="12"/>
  <c r="F204" i="12"/>
  <c r="H205" i="12"/>
  <c r="I205" i="12"/>
  <c r="J205" i="12"/>
  <c r="B205" i="12"/>
  <c r="C205" i="12"/>
  <c r="D205" i="12"/>
  <c r="E205" i="12"/>
  <c r="F205" i="12"/>
  <c r="G205" i="12"/>
  <c r="E106" i="12"/>
  <c r="F106" i="12"/>
  <c r="C106" i="12"/>
  <c r="B106" i="12"/>
  <c r="D106" i="12"/>
  <c r="B108" i="12"/>
  <c r="C108" i="12"/>
  <c r="D108" i="12"/>
  <c r="E108" i="12"/>
  <c r="F108" i="12"/>
  <c r="E109" i="12"/>
  <c r="C109" i="12"/>
  <c r="B109" i="12"/>
  <c r="F109" i="12"/>
  <c r="D109" i="12"/>
  <c r="F113" i="12"/>
  <c r="E113" i="12"/>
  <c r="D113" i="12"/>
  <c r="B113" i="12"/>
  <c r="C113" i="12"/>
  <c r="C114" i="12"/>
  <c r="B114" i="12"/>
  <c r="F114" i="12"/>
  <c r="E114" i="12"/>
  <c r="D114" i="12"/>
  <c r="F115" i="12"/>
  <c r="E115" i="12"/>
  <c r="D115" i="12"/>
  <c r="C115" i="12"/>
  <c r="B115" i="12"/>
  <c r="F117" i="12"/>
  <c r="E117" i="12"/>
  <c r="D117" i="12"/>
  <c r="C117" i="12"/>
  <c r="B117" i="12"/>
  <c r="B118" i="12"/>
  <c r="C118" i="12"/>
  <c r="F118" i="12"/>
  <c r="E118" i="12"/>
  <c r="D118" i="12"/>
  <c r="B119" i="12"/>
  <c r="D119" i="12"/>
  <c r="E119" i="12"/>
  <c r="F119" i="12"/>
  <c r="C119" i="12"/>
  <c r="B120" i="12"/>
  <c r="C120" i="12"/>
  <c r="D120" i="12"/>
  <c r="F120" i="12"/>
  <c r="E120" i="12"/>
  <c r="E121" i="12"/>
  <c r="F121" i="12"/>
  <c r="D121" i="12"/>
  <c r="C121" i="12"/>
  <c r="B121" i="12"/>
  <c r="B122" i="12"/>
  <c r="C122" i="12"/>
  <c r="D122" i="12"/>
  <c r="E122" i="12"/>
  <c r="F122" i="12"/>
  <c r="B123" i="12"/>
  <c r="C123" i="12"/>
  <c r="D123" i="12"/>
  <c r="E123" i="12"/>
  <c r="F123" i="12"/>
  <c r="C124" i="12"/>
  <c r="B124" i="12"/>
  <c r="E124" i="12"/>
  <c r="F124" i="12"/>
  <c r="D124" i="12"/>
  <c r="F125" i="12"/>
  <c r="E125" i="12"/>
  <c r="D125" i="12"/>
  <c r="C125" i="12"/>
  <c r="B125" i="12"/>
  <c r="E127" i="12"/>
  <c r="D127" i="12"/>
  <c r="B127" i="12"/>
  <c r="C127" i="12"/>
  <c r="F127" i="12"/>
  <c r="E128" i="12"/>
  <c r="D128" i="12"/>
  <c r="C128" i="12"/>
  <c r="B128" i="12"/>
  <c r="F128" i="12"/>
  <c r="F129" i="12"/>
  <c r="E129" i="12"/>
  <c r="D129" i="12"/>
  <c r="C129" i="12"/>
  <c r="B129" i="12"/>
  <c r="G130" i="12"/>
  <c r="F130" i="12"/>
  <c r="B130" i="12"/>
  <c r="E130" i="12"/>
  <c r="D130" i="12"/>
  <c r="C130" i="12"/>
  <c r="B131" i="12"/>
  <c r="C131" i="12"/>
  <c r="D131" i="12"/>
  <c r="E131" i="12"/>
  <c r="F131" i="12"/>
  <c r="D132" i="12"/>
  <c r="C132" i="12"/>
  <c r="B132" i="12"/>
  <c r="F132" i="12"/>
  <c r="E132" i="12"/>
  <c r="F133" i="12"/>
  <c r="E133" i="12"/>
  <c r="D133" i="12"/>
  <c r="C133" i="12"/>
  <c r="B133" i="12"/>
  <c r="F134" i="12"/>
  <c r="E134" i="12"/>
  <c r="C134" i="12"/>
  <c r="B134" i="12"/>
  <c r="D134" i="12"/>
  <c r="D135" i="12"/>
  <c r="B135" i="12"/>
  <c r="C135" i="12"/>
  <c r="F135" i="12"/>
  <c r="E135" i="12"/>
  <c r="D136" i="12"/>
  <c r="C136" i="12"/>
  <c r="B136" i="12"/>
  <c r="F136" i="12"/>
  <c r="E136" i="12"/>
  <c r="F137" i="12"/>
  <c r="E137" i="12"/>
  <c r="D137" i="12"/>
  <c r="C137" i="12"/>
  <c r="B137" i="12"/>
  <c r="F138" i="12"/>
  <c r="E138" i="12"/>
  <c r="D138" i="12"/>
  <c r="C138" i="12"/>
  <c r="B138" i="12"/>
  <c r="C139" i="12"/>
  <c r="F139" i="12"/>
  <c r="E139" i="12"/>
  <c r="D139" i="12"/>
  <c r="B139" i="12"/>
  <c r="E140" i="12"/>
  <c r="D140" i="12"/>
  <c r="F140" i="12"/>
  <c r="C140" i="12"/>
  <c r="B140" i="12"/>
  <c r="D141" i="12"/>
  <c r="E141" i="12"/>
  <c r="F141" i="12"/>
  <c r="B141" i="12"/>
  <c r="C141" i="12"/>
  <c r="B142" i="12"/>
  <c r="C142" i="12"/>
  <c r="D142" i="12"/>
  <c r="E142" i="12"/>
  <c r="F142" i="12"/>
  <c r="C143" i="12"/>
  <c r="F143" i="12"/>
  <c r="E143" i="12"/>
  <c r="D143" i="12"/>
  <c r="B143" i="12"/>
  <c r="B145" i="12"/>
  <c r="C145" i="12"/>
  <c r="D145" i="12"/>
  <c r="E145" i="12"/>
  <c r="F145" i="12"/>
  <c r="C146" i="12"/>
  <c r="D146" i="12"/>
  <c r="B146" i="12"/>
  <c r="E146" i="12"/>
  <c r="F146" i="12"/>
  <c r="B147" i="12"/>
  <c r="F147" i="12"/>
  <c r="E147" i="12"/>
  <c r="D147" i="12"/>
  <c r="C147" i="12"/>
  <c r="B148" i="12"/>
  <c r="C148" i="12"/>
  <c r="D148" i="12"/>
  <c r="F148" i="12"/>
  <c r="E148" i="12"/>
  <c r="B149" i="12"/>
  <c r="C149" i="12"/>
  <c r="D149" i="12"/>
  <c r="F149" i="12"/>
  <c r="E149" i="12"/>
  <c r="B150" i="12"/>
  <c r="C150" i="12"/>
  <c r="D150" i="12"/>
  <c r="E150" i="12"/>
  <c r="F150" i="12"/>
  <c r="C152" i="12"/>
  <c r="F152" i="12"/>
  <c r="E152" i="12"/>
  <c r="D152" i="12"/>
  <c r="B152" i="12"/>
  <c r="D153" i="12"/>
  <c r="C153" i="12"/>
  <c r="B153" i="12"/>
  <c r="F153" i="12"/>
  <c r="E153" i="12"/>
  <c r="E154" i="12"/>
  <c r="F154" i="12"/>
  <c r="B154" i="12"/>
  <c r="C154" i="12"/>
  <c r="D154" i="12"/>
  <c r="B155" i="12"/>
  <c r="C155" i="12"/>
  <c r="D155" i="12"/>
  <c r="F155" i="12"/>
  <c r="E155" i="12"/>
  <c r="E156" i="12"/>
  <c r="D156" i="12"/>
  <c r="C156" i="12"/>
  <c r="B156" i="12"/>
  <c r="F156" i="12"/>
  <c r="B157" i="12"/>
  <c r="C157" i="12"/>
  <c r="D157" i="12"/>
  <c r="E157" i="12"/>
  <c r="F157" i="12"/>
  <c r="C158" i="12"/>
  <c r="B158" i="12"/>
  <c r="D158" i="12"/>
  <c r="E158" i="12"/>
  <c r="F158" i="12"/>
  <c r="E159" i="12"/>
  <c r="B159" i="12"/>
  <c r="C159" i="12"/>
  <c r="D159" i="12"/>
  <c r="F159" i="12"/>
  <c r="C160" i="12"/>
  <c r="B160" i="12"/>
  <c r="F160" i="12"/>
  <c r="E160" i="12"/>
  <c r="D160" i="12"/>
  <c r="B161" i="12"/>
  <c r="D161" i="12"/>
  <c r="E161" i="12"/>
  <c r="F161" i="12"/>
  <c r="C161" i="12"/>
  <c r="E162" i="12"/>
  <c r="D162" i="12"/>
  <c r="C162" i="12"/>
  <c r="F162" i="12"/>
  <c r="B162" i="12"/>
  <c r="F163" i="12"/>
  <c r="E163" i="12"/>
  <c r="D163" i="12"/>
  <c r="B163" i="12"/>
  <c r="C163" i="12"/>
  <c r="C164" i="12"/>
  <c r="E164" i="12"/>
  <c r="D164" i="12"/>
  <c r="B164" i="12"/>
  <c r="F164" i="12"/>
  <c r="E165" i="12"/>
  <c r="D165" i="12"/>
  <c r="C165" i="12"/>
  <c r="B165" i="12"/>
  <c r="F165" i="12"/>
  <c r="F166" i="12"/>
  <c r="E166" i="12"/>
  <c r="D166" i="12"/>
  <c r="C166" i="12"/>
  <c r="B166" i="12"/>
  <c r="E167" i="12"/>
  <c r="D167" i="12"/>
  <c r="C167" i="12"/>
  <c r="B167" i="12"/>
  <c r="F167" i="12"/>
  <c r="E168" i="12"/>
  <c r="D168" i="12"/>
  <c r="C168" i="12"/>
  <c r="B168" i="12"/>
  <c r="F168" i="12"/>
  <c r="D169" i="12"/>
  <c r="F169" i="12"/>
  <c r="E169" i="12"/>
  <c r="C169" i="12"/>
  <c r="B169" i="12"/>
  <c r="E171" i="12"/>
  <c r="D171" i="12"/>
  <c r="C171" i="12"/>
  <c r="B171" i="12"/>
  <c r="F171" i="12"/>
  <c r="E172" i="12"/>
  <c r="C172" i="12"/>
  <c r="B172" i="12"/>
  <c r="D172" i="12"/>
  <c r="F172" i="12"/>
  <c r="F173" i="12"/>
  <c r="E173" i="12"/>
  <c r="D173" i="12"/>
  <c r="C173" i="12"/>
  <c r="B173" i="12"/>
  <c r="C174" i="12"/>
  <c r="B174" i="12"/>
  <c r="E174" i="12"/>
  <c r="D174" i="12"/>
  <c r="F174" i="12"/>
  <c r="B175" i="12"/>
  <c r="C175" i="12"/>
  <c r="D175" i="12"/>
  <c r="E175" i="12"/>
  <c r="F175" i="12"/>
  <c r="B176" i="12"/>
  <c r="F176" i="12"/>
  <c r="E176" i="12"/>
  <c r="D176" i="12"/>
  <c r="C176" i="12"/>
  <c r="E177" i="12"/>
  <c r="D177" i="12"/>
  <c r="C177" i="12"/>
  <c r="B177" i="12"/>
  <c r="F177" i="12"/>
  <c r="E178" i="12"/>
  <c r="D178" i="12"/>
  <c r="C178" i="12"/>
  <c r="B178" i="12"/>
  <c r="F178" i="12"/>
  <c r="F179" i="12"/>
  <c r="E179" i="12"/>
  <c r="D179" i="12"/>
  <c r="C179" i="12"/>
  <c r="B179" i="12"/>
  <c r="F180" i="12"/>
  <c r="E180" i="12"/>
  <c r="D180" i="12"/>
  <c r="C180" i="12"/>
  <c r="B180" i="12"/>
  <c r="F181" i="12"/>
  <c r="E181" i="12"/>
  <c r="C181" i="12"/>
  <c r="B181" i="12"/>
  <c r="D181" i="12"/>
  <c r="F183" i="12"/>
  <c r="B183" i="12"/>
  <c r="C183" i="12"/>
  <c r="D183" i="12"/>
  <c r="E183" i="12"/>
  <c r="B184" i="12"/>
  <c r="C184" i="12"/>
  <c r="D184" i="12"/>
  <c r="E184" i="12"/>
  <c r="F184" i="12"/>
  <c r="G184" i="12"/>
  <c r="B185" i="12"/>
  <c r="C185" i="12"/>
  <c r="D185" i="12"/>
  <c r="E185" i="12"/>
  <c r="F185" i="12"/>
  <c r="B186" i="12"/>
  <c r="C186" i="12"/>
  <c r="D186" i="12"/>
  <c r="E186" i="12"/>
  <c r="F186" i="12"/>
  <c r="D188" i="12"/>
  <c r="F188" i="12"/>
  <c r="C188" i="12"/>
  <c r="B188" i="12"/>
  <c r="E188" i="12"/>
  <c r="B189" i="12"/>
  <c r="C189" i="12"/>
  <c r="D189" i="12"/>
  <c r="E189" i="12"/>
  <c r="F189" i="12"/>
  <c r="B190" i="12"/>
  <c r="F190" i="12"/>
  <c r="E190" i="12"/>
  <c r="D190" i="12"/>
  <c r="C190" i="12"/>
  <c r="F191" i="12"/>
  <c r="J191" i="12"/>
  <c r="I191" i="12"/>
  <c r="H191" i="12"/>
  <c r="C191" i="12"/>
  <c r="D191" i="12"/>
  <c r="G191" i="12"/>
  <c r="B191" i="12"/>
  <c r="E191" i="12"/>
  <c r="C192" i="12"/>
  <c r="B192" i="12"/>
  <c r="H192" i="12"/>
  <c r="G192" i="12"/>
  <c r="F192" i="12"/>
  <c r="E192" i="12"/>
  <c r="D192" i="12"/>
  <c r="J192" i="12"/>
  <c r="I192" i="12"/>
  <c r="I193" i="12"/>
  <c r="H193" i="12"/>
  <c r="F193" i="12"/>
  <c r="B193" i="12"/>
  <c r="C193" i="12"/>
  <c r="D193" i="12"/>
  <c r="E193" i="12"/>
  <c r="G193" i="12"/>
  <c r="J193" i="12"/>
  <c r="B94" i="12"/>
  <c r="C94" i="12"/>
  <c r="D94" i="12"/>
  <c r="F94" i="12"/>
  <c r="E94" i="12"/>
  <c r="F95" i="12"/>
  <c r="B95" i="12"/>
  <c r="C95" i="12"/>
  <c r="D95" i="12"/>
  <c r="E95" i="12"/>
  <c r="C96" i="12"/>
  <c r="D96" i="12"/>
  <c r="E96" i="12"/>
  <c r="F96" i="12"/>
  <c r="B96" i="12"/>
  <c r="E97" i="12"/>
  <c r="D97" i="12"/>
  <c r="C97" i="12"/>
  <c r="B97" i="12"/>
  <c r="F97" i="12"/>
  <c r="F98" i="12"/>
  <c r="E98" i="12"/>
  <c r="D98" i="12"/>
  <c r="C98" i="12"/>
  <c r="B98" i="12"/>
  <c r="E99" i="12"/>
  <c r="D99" i="12"/>
  <c r="F99" i="12"/>
  <c r="C99" i="12"/>
  <c r="B99" i="12"/>
  <c r="B100" i="12"/>
  <c r="E100" i="12"/>
  <c r="D100" i="12"/>
  <c r="C100" i="12"/>
  <c r="F100" i="12"/>
  <c r="F101" i="12"/>
  <c r="E101" i="12"/>
  <c r="B101" i="12"/>
  <c r="C101" i="12"/>
  <c r="D101" i="12"/>
  <c r="E102" i="12"/>
  <c r="C102" i="12"/>
  <c r="B102" i="12"/>
  <c r="D102" i="12"/>
  <c r="F102" i="12"/>
  <c r="B103" i="12"/>
  <c r="C103" i="12"/>
  <c r="D103" i="12"/>
  <c r="F103" i="12"/>
  <c r="E103" i="12"/>
  <c r="C104" i="12"/>
  <c r="D104" i="12"/>
  <c r="E104" i="12"/>
  <c r="F104" i="12"/>
  <c r="B104" i="12"/>
  <c r="C105" i="12"/>
  <c r="E105" i="12"/>
  <c r="B105" i="12"/>
  <c r="F105" i="12"/>
  <c r="D105" i="12"/>
  <c r="E16" i="12"/>
  <c r="D16" i="12"/>
  <c r="B16" i="12"/>
  <c r="F16" i="12"/>
  <c r="C16" i="12"/>
  <c r="E18" i="12"/>
  <c r="C18" i="12"/>
  <c r="B18" i="12"/>
  <c r="F18" i="12"/>
  <c r="D18" i="12"/>
  <c r="E21" i="12"/>
  <c r="F21" i="12"/>
  <c r="C21" i="12"/>
  <c r="B21" i="12"/>
  <c r="D21" i="12"/>
  <c r="C22" i="12"/>
  <c r="D22" i="12"/>
  <c r="B22" i="12"/>
  <c r="F22" i="12"/>
  <c r="E22" i="12"/>
  <c r="D23" i="12"/>
  <c r="E23" i="12"/>
  <c r="B23" i="12"/>
  <c r="C23" i="12"/>
  <c r="F34" i="12"/>
  <c r="D34" i="12"/>
  <c r="C34" i="12"/>
  <c r="E34" i="12"/>
  <c r="B34" i="12"/>
  <c r="C36" i="12"/>
  <c r="D36" i="12"/>
  <c r="E36" i="12"/>
  <c r="F36" i="12"/>
  <c r="B36" i="12"/>
  <c r="F37" i="12"/>
  <c r="E37" i="12"/>
  <c r="B37" i="12"/>
  <c r="C37" i="12"/>
  <c r="D37" i="12"/>
  <c r="B66" i="12"/>
  <c r="C66" i="12"/>
  <c r="D66" i="12"/>
  <c r="E66" i="12"/>
  <c r="F66" i="12"/>
  <c r="D67" i="12"/>
  <c r="C67" i="12"/>
  <c r="F67" i="12"/>
  <c r="B67" i="12"/>
  <c r="E67" i="12"/>
  <c r="F68" i="12"/>
  <c r="C68" i="12"/>
  <c r="D68" i="12"/>
  <c r="E68" i="12"/>
  <c r="B68" i="12"/>
  <c r="F70" i="12"/>
  <c r="B70" i="12"/>
  <c r="D70" i="12"/>
  <c r="E70" i="12"/>
  <c r="C70" i="12"/>
  <c r="F74" i="12"/>
  <c r="B74" i="12"/>
  <c r="E74" i="12"/>
  <c r="D74" i="12"/>
  <c r="C74" i="12"/>
  <c r="B76" i="12"/>
  <c r="C76" i="12"/>
  <c r="D76" i="12"/>
  <c r="E76" i="12"/>
  <c r="F76" i="12"/>
  <c r="B77" i="12"/>
  <c r="F77" i="12"/>
  <c r="E77" i="12"/>
  <c r="D77" i="12"/>
  <c r="C77" i="12"/>
  <c r="E78" i="12"/>
  <c r="B78" i="12"/>
  <c r="C78" i="12"/>
  <c r="D78" i="12"/>
  <c r="F78" i="12"/>
  <c r="F79" i="12"/>
  <c r="E79" i="12"/>
  <c r="D79" i="12"/>
  <c r="C79" i="12"/>
  <c r="B79" i="12"/>
  <c r="B80" i="12"/>
  <c r="F80" i="12"/>
  <c r="E80" i="12"/>
  <c r="D80" i="12"/>
  <c r="C80" i="12"/>
  <c r="D81" i="12"/>
  <c r="B81" i="12"/>
  <c r="C81" i="12"/>
  <c r="F81" i="12"/>
  <c r="E81" i="12"/>
  <c r="E82" i="12"/>
  <c r="D82" i="12"/>
  <c r="C82" i="12"/>
  <c r="B82" i="12"/>
  <c r="F82" i="12"/>
  <c r="F83" i="12"/>
  <c r="E83" i="12"/>
  <c r="D83" i="12"/>
  <c r="C83" i="12"/>
  <c r="B83" i="12"/>
  <c r="F84" i="12"/>
  <c r="E84" i="12"/>
  <c r="D84" i="12"/>
  <c r="B84" i="12"/>
  <c r="C84" i="12"/>
  <c r="D85" i="12"/>
  <c r="E85" i="12"/>
  <c r="F85" i="12"/>
  <c r="B85" i="12"/>
  <c r="C85" i="12"/>
  <c r="B86" i="12"/>
  <c r="C86" i="12"/>
  <c r="E86" i="12"/>
  <c r="F86" i="12"/>
  <c r="D86" i="12"/>
  <c r="G86" i="12"/>
  <c r="E87" i="12"/>
  <c r="D87" i="12"/>
  <c r="B87" i="12"/>
  <c r="C87" i="12"/>
  <c r="F87" i="12"/>
  <c r="F88" i="12"/>
  <c r="E88" i="12"/>
  <c r="D88" i="12"/>
  <c r="C88" i="12"/>
  <c r="B88" i="12"/>
  <c r="C89" i="12"/>
  <c r="F89" i="12"/>
  <c r="E89" i="12"/>
  <c r="D89" i="12"/>
  <c r="B89" i="12"/>
  <c r="D90" i="12"/>
  <c r="B90" i="12"/>
  <c r="C90" i="12"/>
  <c r="E90" i="12"/>
  <c r="F90" i="12"/>
  <c r="E91" i="12"/>
  <c r="B91" i="12"/>
  <c r="C91" i="12"/>
  <c r="F91" i="12"/>
  <c r="D91" i="12"/>
  <c r="D92" i="12"/>
  <c r="C92" i="12"/>
  <c r="B92" i="12"/>
  <c r="F92" i="12"/>
  <c r="E92" i="12"/>
  <c r="F93" i="12"/>
  <c r="E93" i="12"/>
  <c r="B93" i="12"/>
  <c r="D93" i="12"/>
  <c r="C93" i="12"/>
  <c r="E10" i="14"/>
  <c r="E20" i="14" s="1"/>
  <c r="D10" i="14"/>
  <c r="O590" i="10" a="1"/>
  <c r="N590" i="10"/>
  <c r="O581" i="10" a="1"/>
  <c r="N581" i="10"/>
  <c r="N560" i="10"/>
  <c r="O560" i="10" a="1"/>
  <c r="N553" i="10"/>
  <c r="O553" i="10" a="1"/>
  <c r="N471" i="10"/>
  <c r="O471" i="10" a="1"/>
  <c r="O366" i="10" a="1"/>
  <c r="N366" i="10"/>
  <c r="O333" i="10" a="1"/>
  <c r="N333" i="10"/>
  <c r="O308" i="10" a="1"/>
  <c r="N308" i="10"/>
  <c r="O297" i="10" a="1"/>
  <c r="N297" i="10"/>
  <c r="O352" i="10" a="1"/>
  <c r="N352" i="10"/>
  <c r="F23" i="12"/>
  <c r="G100" i="11"/>
  <c r="C7" i="11"/>
  <c r="I88" i="10"/>
  <c r="B62" i="11"/>
  <c r="E7" i="14"/>
  <c r="F7" i="14"/>
  <c r="C19" i="14"/>
  <c r="D7" i="14"/>
  <c r="C20" i="14"/>
  <c r="G10" i="14"/>
  <c r="F10" i="14"/>
  <c r="G15" i="14"/>
  <c r="F15" i="14"/>
  <c r="O489" i="10" a="1"/>
  <c r="N489" i="10"/>
  <c r="N488" i="10"/>
  <c r="O488" i="10" a="1"/>
  <c r="N456" i="10"/>
  <c r="O456" i="10" a="1"/>
  <c r="O442" i="10" a="1"/>
  <c r="N442" i="10"/>
  <c r="O429" i="10" a="1"/>
  <c r="N429" i="10"/>
  <c r="N427" i="10"/>
  <c r="O427" i="10" a="1"/>
  <c r="N425" i="10"/>
  <c r="O425" i="10" a="1"/>
  <c r="N423" i="10"/>
  <c r="O423" i="10" a="1"/>
  <c r="N422" i="10"/>
  <c r="O422" i="10" a="1"/>
  <c r="O421" i="10" a="1"/>
  <c r="N421" i="10"/>
  <c r="N419" i="10"/>
  <c r="O419" i="10" a="1"/>
  <c r="O418" i="10" a="1"/>
  <c r="N418" i="10"/>
  <c r="N417" i="10"/>
  <c r="O417" i="10" a="1"/>
  <c r="N405" i="10"/>
  <c r="O405" i="10" a="1"/>
  <c r="N400" i="10"/>
  <c r="O400" i="10" a="1"/>
  <c r="N375" i="10"/>
  <c r="O375" i="10" a="1"/>
  <c r="N374" i="10"/>
  <c r="O374" i="10" a="1"/>
  <c r="O368" i="10" a="1"/>
  <c r="N368" i="10"/>
  <c r="O356" i="10" a="1"/>
  <c r="N356" i="10"/>
  <c r="O354" i="10" a="1"/>
  <c r="N354" i="10"/>
  <c r="N339" i="10"/>
  <c r="O339" i="10" a="1"/>
  <c r="O330" i="10" a="1"/>
  <c r="N330" i="10"/>
  <c r="O327" i="10" a="1"/>
  <c r="N327" i="10"/>
  <c r="O322" i="10" a="1"/>
  <c r="N322" i="10"/>
  <c r="O314" i="10" a="1"/>
  <c r="N314" i="10"/>
  <c r="N313" i="10"/>
  <c r="O313" i="10" a="1"/>
  <c r="N311" i="10"/>
  <c r="O311" i="10" a="1"/>
  <c r="N305" i="10"/>
  <c r="O305" i="10" a="1"/>
  <c r="O300" i="10" a="1"/>
  <c r="N300" i="10"/>
  <c r="N295" i="10"/>
  <c r="O295" i="10" a="1"/>
  <c r="O284" i="10" a="1"/>
  <c r="N284" i="10"/>
  <c r="O282" i="10" a="1"/>
  <c r="N282" i="10"/>
  <c r="O275" i="10" a="1"/>
  <c r="N275" i="10"/>
  <c r="N270" i="10"/>
  <c r="O270" i="10" a="1"/>
  <c r="O267" i="10" a="1"/>
  <c r="N267" i="10"/>
  <c r="O266" i="10" a="1"/>
  <c r="N266" i="10"/>
  <c r="O262" i="10" a="1"/>
  <c r="N262" i="10"/>
  <c r="N236" i="10"/>
  <c r="O236" i="10" a="1"/>
  <c r="O205" i="10" a="1"/>
  <c r="N205" i="10"/>
  <c r="O203" i="10" a="1"/>
  <c r="N203" i="10"/>
  <c r="N201" i="10"/>
  <c r="O201" i="10" a="1"/>
  <c r="O193" i="10" a="1"/>
  <c r="N193" i="10"/>
  <c r="N187" i="10"/>
  <c r="O187" i="10" a="1"/>
  <c r="N184" i="10"/>
  <c r="O184" i="10" a="1"/>
  <c r="N183" i="10"/>
  <c r="O183" i="10" a="1"/>
  <c r="N182" i="10"/>
  <c r="O182" i="10" a="1"/>
  <c r="N178" i="10"/>
  <c r="O178" i="10" a="1"/>
  <c r="N173" i="10"/>
  <c r="O173" i="10" a="1"/>
  <c r="N167" i="10"/>
  <c r="O167" i="10" a="1"/>
  <c r="N166" i="10"/>
  <c r="O166" i="10" a="1"/>
  <c r="N156" i="10"/>
  <c r="O156" i="10" a="1"/>
  <c r="N152" i="10"/>
  <c r="O152" i="10" a="1"/>
  <c r="N151" i="10"/>
  <c r="O151" i="10" a="1"/>
  <c r="N138" i="10"/>
  <c r="O138" i="10" a="1"/>
  <c r="O137" i="10" a="1"/>
  <c r="N137" i="10"/>
  <c r="O136" i="10" a="1"/>
  <c r="N136" i="10"/>
  <c r="O125" i="10" a="1"/>
  <c r="N125" i="10"/>
  <c r="N532" i="10"/>
  <c r="O532" i="10" a="1"/>
  <c r="O508" i="10" a="1"/>
  <c r="N508" i="10"/>
  <c r="N506" i="10"/>
  <c r="O506" i="10" a="1"/>
  <c r="N470" i="10"/>
  <c r="O470" i="10" a="1"/>
  <c r="N462" i="10"/>
  <c r="O462" i="10" a="1"/>
  <c r="N459" i="10"/>
  <c r="O459" i="10" a="1"/>
  <c r="O426" i="10" a="1"/>
  <c r="N426" i="10"/>
  <c r="O395" i="10" a="1"/>
  <c r="N395" i="10"/>
  <c r="N391" i="10"/>
  <c r="O391" i="10" a="1"/>
  <c r="N390" i="10"/>
  <c r="O390" i="10" a="1"/>
  <c r="N387" i="10"/>
  <c r="O387" i="10" a="1"/>
  <c r="N384" i="10"/>
  <c r="O384" i="10" a="1"/>
  <c r="N380" i="10"/>
  <c r="O380" i="10" a="1"/>
  <c r="O376" i="10" a="1"/>
  <c r="N376" i="10"/>
  <c r="N370" i="10"/>
  <c r="O370" i="10" a="1"/>
  <c r="O367" i="10" a="1"/>
  <c r="N367" i="10"/>
  <c r="O363" i="10" a="1"/>
  <c r="N363" i="10"/>
  <c r="N349" i="10"/>
  <c r="O349" i="10" a="1"/>
  <c r="N325" i="10"/>
  <c r="O325" i="10" a="1"/>
  <c r="O317" i="10" a="1"/>
  <c r="N317" i="10"/>
  <c r="O316" i="10" a="1"/>
  <c r="N316" i="10"/>
  <c r="O281" i="10" a="1"/>
  <c r="N281" i="10"/>
  <c r="N280" i="10"/>
  <c r="O280" i="10" a="1"/>
  <c r="O271" i="10" a="1"/>
  <c r="N271" i="10"/>
  <c r="N256" i="10"/>
  <c r="O256" i="10" a="1"/>
  <c r="O253" i="10" a="1"/>
  <c r="N253" i="10"/>
  <c r="N249" i="10"/>
  <c r="O249" i="10" a="1"/>
  <c r="N245" i="10"/>
  <c r="O245" i="10" a="1"/>
  <c r="N243" i="10"/>
  <c r="O243" i="10" a="1"/>
  <c r="N241" i="10"/>
  <c r="O241" i="10" a="1"/>
  <c r="N238" i="10"/>
  <c r="O238" i="10" a="1"/>
  <c r="N237" i="10"/>
  <c r="O237" i="10" a="1"/>
  <c r="O231" i="10" a="1"/>
  <c r="N231" i="10"/>
  <c r="N226" i="10"/>
  <c r="O226" i="10" a="1"/>
  <c r="O224" i="10" a="1"/>
  <c r="N224" i="10"/>
  <c r="N212" i="10"/>
  <c r="O212" i="10" a="1"/>
  <c r="O209" i="10" a="1"/>
  <c r="N209" i="10"/>
  <c r="N197" i="10"/>
  <c r="O197" i="10" a="1"/>
  <c r="O195" i="10" a="1"/>
  <c r="N195" i="10"/>
  <c r="O194" i="10" a="1"/>
  <c r="N194" i="10"/>
  <c r="O192" i="10" a="1"/>
  <c r="N192" i="10"/>
  <c r="O569" i="10" a="1"/>
  <c r="N569" i="10"/>
  <c r="O549" i="10" a="1"/>
  <c r="N549" i="10"/>
  <c r="N548" i="10"/>
  <c r="O548" i="10" a="1"/>
  <c r="N539" i="10"/>
  <c r="O539" i="10" a="1"/>
  <c r="O537" i="10" a="1"/>
  <c r="N537" i="10"/>
  <c r="O536" i="10" a="1"/>
  <c r="N536" i="10"/>
  <c r="O534" i="10" a="1"/>
  <c r="N534" i="10"/>
  <c r="O533" i="10" a="1"/>
  <c r="N533" i="10"/>
  <c r="O529" i="10" a="1"/>
  <c r="N529" i="10"/>
  <c r="N521" i="10"/>
  <c r="O521" i="10" a="1"/>
  <c r="O496" i="10" a="1"/>
  <c r="N496" i="10"/>
  <c r="O493" i="10" a="1"/>
  <c r="N493" i="10"/>
  <c r="O483" i="10" a="1"/>
  <c r="N483" i="10"/>
  <c r="N475" i="10"/>
  <c r="O475" i="10" a="1"/>
  <c r="N467" i="10"/>
  <c r="O467" i="10" a="1"/>
  <c r="N464" i="10"/>
  <c r="O464" i="10" a="1"/>
  <c r="O463" i="10" a="1"/>
  <c r="N463" i="10"/>
  <c r="N461" i="10"/>
  <c r="O461" i="10" a="1"/>
  <c r="O455" i="10" a="1"/>
  <c r="N455" i="10"/>
  <c r="O453" i="10" a="1"/>
  <c r="N453" i="10"/>
  <c r="O450" i="10" a="1"/>
  <c r="N450" i="10"/>
  <c r="N440" i="10"/>
  <c r="O440" i="10" a="1"/>
  <c r="N438" i="10"/>
  <c r="O438" i="10" a="1"/>
  <c r="N437" i="10"/>
  <c r="O437" i="10" a="1"/>
  <c r="O434" i="10" a="1"/>
  <c r="N434" i="10"/>
  <c r="O415" i="10" a="1"/>
  <c r="N415" i="10"/>
  <c r="O409" i="10" a="1"/>
  <c r="N409" i="10"/>
  <c r="N406" i="10"/>
  <c r="O406" i="10" a="1"/>
  <c r="O404" i="10" a="1"/>
  <c r="N404" i="10"/>
  <c r="N399" i="10"/>
  <c r="O399" i="10" a="1"/>
  <c r="O388" i="10" a="1"/>
  <c r="N388" i="10"/>
  <c r="N371" i="10"/>
  <c r="O371" i="10" a="1"/>
  <c r="N364" i="10"/>
  <c r="O364" i="10" a="1"/>
  <c r="N357" i="10"/>
  <c r="O357" i="10" a="1"/>
  <c r="O353" i="10" a="1"/>
  <c r="N353" i="10"/>
  <c r="N346" i="10"/>
  <c r="O346" i="10" a="1"/>
  <c r="N345" i="10"/>
  <c r="O345" i="10" a="1"/>
  <c r="N342" i="10"/>
  <c r="O342" i="10" a="1"/>
  <c r="N341" i="10"/>
  <c r="O341" i="10" a="1"/>
  <c r="N336" i="10"/>
  <c r="O336" i="10" a="1"/>
  <c r="N326" i="10"/>
  <c r="O326" i="10" a="1"/>
  <c r="O315" i="10" a="1"/>
  <c r="N315" i="10"/>
  <c r="O310" i="10" a="1"/>
  <c r="N310" i="10"/>
  <c r="O309" i="10" a="1"/>
  <c r="N309" i="10"/>
  <c r="O303" i="10" a="1"/>
  <c r="N303" i="10"/>
  <c r="O298" i="10" a="1"/>
  <c r="N298" i="10"/>
  <c r="O290" i="10" a="1"/>
  <c r="N290" i="10"/>
  <c r="O279" i="10" a="1"/>
  <c r="N279" i="10"/>
  <c r="O276" i="10" a="1"/>
  <c r="N276" i="10"/>
  <c r="O273" i="10" a="1"/>
  <c r="N273" i="10"/>
  <c r="N269" i="10"/>
  <c r="O269" i="10" a="1"/>
  <c r="N265" i="10"/>
  <c r="O265" i="10" a="1"/>
  <c r="N263" i="10"/>
  <c r="O263" i="10" a="1"/>
  <c r="N260" i="10"/>
  <c r="O260" i="10" a="1"/>
  <c r="N257" i="10"/>
  <c r="O257" i="10" a="1"/>
  <c r="N247" i="10"/>
  <c r="O247" i="10" a="1"/>
  <c r="O246" i="10" a="1"/>
  <c r="N246" i="10"/>
  <c r="O242" i="10" a="1"/>
  <c r="N242" i="10"/>
  <c r="N239" i="10"/>
  <c r="O239" i="10" a="1"/>
  <c r="N234" i="10"/>
  <c r="O234" i="10" a="1"/>
  <c r="N233" i="10"/>
  <c r="O233" i="10" a="1"/>
  <c r="O232" i="10" a="1"/>
  <c r="N232" i="10"/>
  <c r="O229" i="10" a="1"/>
  <c r="N229" i="10"/>
  <c r="O223" i="10" a="1"/>
  <c r="N223" i="10"/>
  <c r="O221" i="10" a="1"/>
  <c r="N221" i="10"/>
  <c r="O220" i="10" a="1"/>
  <c r="N220" i="10"/>
  <c r="N219" i="10"/>
  <c r="O219" i="10" a="1"/>
  <c r="N200" i="10"/>
  <c r="O200" i="10" a="1"/>
  <c r="N199" i="10"/>
  <c r="O199" i="10" a="1"/>
  <c r="O188" i="10" a="1"/>
  <c r="N188" i="10"/>
  <c r="O186" i="10" a="1"/>
  <c r="N186" i="10"/>
  <c r="N176" i="10"/>
  <c r="O176" i="10" a="1"/>
  <c r="O174" i="10" a="1"/>
  <c r="N174" i="10"/>
  <c r="O169" i="10" a="1"/>
  <c r="N169" i="10"/>
  <c r="O164" i="10" a="1"/>
  <c r="N164" i="10"/>
  <c r="O163" i="10" a="1"/>
  <c r="N163" i="10"/>
  <c r="O162" i="10" a="1"/>
  <c r="N162" i="10"/>
  <c r="N159" i="10"/>
  <c r="O159" i="10" a="1"/>
  <c r="N154" i="10"/>
  <c r="O154" i="10" a="1"/>
  <c r="O146" i="10" a="1"/>
  <c r="N146" i="10"/>
  <c r="N143" i="10"/>
  <c r="O143" i="10" a="1"/>
  <c r="O129" i="10" a="1"/>
  <c r="N129" i="10"/>
  <c r="N127" i="10"/>
  <c r="O527" i="10" a="1"/>
  <c r="N527" i="10"/>
  <c r="N479" i="10"/>
  <c r="O479" i="10" a="1"/>
  <c r="O477" i="10" a="1"/>
  <c r="N477" i="10"/>
  <c r="N443" i="10"/>
  <c r="O443" i="10" a="1"/>
  <c r="O439" i="10" a="1"/>
  <c r="N439" i="10"/>
  <c r="N432" i="10"/>
  <c r="O432" i="10" a="1"/>
  <c r="N428" i="10"/>
  <c r="O428" i="10" a="1"/>
  <c r="O424" i="10" a="1"/>
  <c r="N424" i="10"/>
  <c r="O420" i="10" a="1"/>
  <c r="N420" i="10"/>
  <c r="O413" i="10" a="1"/>
  <c r="N413" i="10"/>
  <c r="N407" i="10"/>
  <c r="O407" i="10" a="1"/>
  <c r="N398" i="10"/>
  <c r="O398" i="10" a="1"/>
  <c r="O377" i="10" a="1"/>
  <c r="N377" i="10"/>
  <c r="N360" i="10"/>
  <c r="O360" i="10" a="1"/>
  <c r="O355" i="10" a="1"/>
  <c r="N355" i="10"/>
  <c r="N347" i="10"/>
  <c r="O347" i="10" a="1"/>
  <c r="N344" i="10"/>
  <c r="O344" i="10" a="1"/>
  <c r="O340" i="10" a="1"/>
  <c r="N340" i="10"/>
  <c r="O328" i="10" a="1"/>
  <c r="N328" i="10"/>
  <c r="O324" i="10" a="1"/>
  <c r="N324" i="10"/>
  <c r="O320" i="10" a="1"/>
  <c r="N320" i="10"/>
  <c r="O307" i="10" a="1"/>
  <c r="N307" i="10"/>
  <c r="O306" i="10" a="1"/>
  <c r="N306" i="10"/>
  <c r="O301" i="10" a="1"/>
  <c r="N301" i="10"/>
  <c r="O291" i="10" a="1"/>
  <c r="N291" i="10"/>
  <c r="N289" i="10"/>
  <c r="O289" i="10" a="1"/>
  <c r="O287" i="10" a="1"/>
  <c r="N287" i="10"/>
  <c r="N277" i="10"/>
  <c r="O277" i="10" a="1"/>
  <c r="N255" i="10"/>
  <c r="O255" i="10" a="1"/>
  <c r="N250" i="10"/>
  <c r="O250" i="10" a="1"/>
  <c r="O244" i="10" a="1"/>
  <c r="N244" i="10"/>
  <c r="N235" i="10"/>
  <c r="O235" i="10" a="1"/>
  <c r="O225" i="10" a="1"/>
  <c r="N225" i="10"/>
  <c r="N208" i="10"/>
  <c r="O208" i="10" a="1"/>
  <c r="O189" i="10" a="1"/>
  <c r="N189" i="10"/>
  <c r="J107" i="10"/>
  <c r="P107" i="10"/>
  <c r="Q107" i="10" s="1"/>
  <c r="J98" i="10"/>
  <c r="P98" i="10"/>
  <c r="Q98" i="10" s="1"/>
  <c r="J65" i="10"/>
  <c r="P65" i="10"/>
  <c r="J66" i="11" s="1"/>
  <c r="J64" i="10"/>
  <c r="P64" i="10"/>
  <c r="J53" i="10"/>
  <c r="P53" i="10"/>
  <c r="Q53" i="10" s="1"/>
  <c r="N446" i="10"/>
  <c r="O446" i="10" a="1"/>
  <c r="N408" i="10"/>
  <c r="O408" i="10" a="1"/>
  <c r="O369" i="10" a="1"/>
  <c r="N369" i="10"/>
  <c r="N365" i="10"/>
  <c r="O365" i="10" a="1"/>
  <c r="O361" i="10" a="1"/>
  <c r="N361" i="10"/>
  <c r="N359" i="10"/>
  <c r="O359" i="10" a="1"/>
  <c r="N350" i="10"/>
  <c r="O350" i="10" a="1"/>
  <c r="O337" i="10" a="1"/>
  <c r="N337" i="10"/>
  <c r="O217" i="10" a="1"/>
  <c r="N217" i="10"/>
  <c r="N211" i="10"/>
  <c r="O211" i="10" a="1"/>
  <c r="O204" i="10" a="1"/>
  <c r="N204" i="10"/>
  <c r="O190" i="10" a="1"/>
  <c r="N190" i="10"/>
  <c r="E994" i="12"/>
  <c r="I994" i="12"/>
  <c r="H994" i="12"/>
  <c r="G994" i="12"/>
  <c r="F994" i="12"/>
  <c r="I996" i="12"/>
  <c r="D996" i="12"/>
  <c r="E996" i="12"/>
  <c r="F996" i="12"/>
  <c r="G996" i="12"/>
  <c r="H996" i="12"/>
  <c r="J996" i="12"/>
  <c r="I923" i="12"/>
  <c r="J923" i="12"/>
  <c r="H940" i="12"/>
  <c r="J940" i="12"/>
  <c r="I940" i="12"/>
  <c r="J962" i="12"/>
  <c r="I962" i="12"/>
  <c r="H962" i="12"/>
  <c r="G962" i="12"/>
  <c r="F962" i="12"/>
  <c r="J968" i="12"/>
  <c r="D968" i="12"/>
  <c r="E968" i="12"/>
  <c r="F968" i="12"/>
  <c r="G968" i="12"/>
  <c r="H968" i="12"/>
  <c r="I968" i="12"/>
  <c r="F971" i="12"/>
  <c r="D971" i="12"/>
  <c r="E971" i="12"/>
  <c r="G971" i="12"/>
  <c r="I971" i="12"/>
  <c r="H971" i="12"/>
  <c r="F985" i="12"/>
  <c r="G985" i="12"/>
  <c r="I985" i="12"/>
  <c r="E985" i="12"/>
  <c r="H985" i="12"/>
  <c r="J989" i="12"/>
  <c r="I989" i="12"/>
  <c r="H989" i="12"/>
  <c r="I899" i="12"/>
  <c r="H899" i="12"/>
  <c r="J900" i="12"/>
  <c r="I900" i="12"/>
  <c r="I807" i="12"/>
  <c r="J807" i="12"/>
  <c r="F822" i="12"/>
  <c r="G822" i="12"/>
  <c r="I826" i="12"/>
  <c r="G826" i="12"/>
  <c r="H826" i="12"/>
  <c r="J826" i="12"/>
  <c r="F826" i="12"/>
  <c r="H827" i="12"/>
  <c r="J827" i="12"/>
  <c r="I827" i="12"/>
  <c r="B828" i="12"/>
  <c r="F828" i="12"/>
  <c r="H828" i="12"/>
  <c r="G828" i="12"/>
  <c r="E828" i="12"/>
  <c r="C828" i="12"/>
  <c r="D828" i="12"/>
  <c r="H837" i="12"/>
  <c r="I837" i="12"/>
  <c r="J837" i="12"/>
  <c r="F839" i="12"/>
  <c r="G839" i="12"/>
  <c r="H839" i="12"/>
  <c r="D839" i="12"/>
  <c r="E839" i="12"/>
  <c r="C849" i="12"/>
  <c r="B849" i="12"/>
  <c r="D849" i="12"/>
  <c r="J857" i="12"/>
  <c r="E857" i="12"/>
  <c r="F857" i="12"/>
  <c r="G857" i="12"/>
  <c r="H857" i="12"/>
  <c r="I857" i="12"/>
  <c r="H858" i="12"/>
  <c r="F858" i="12"/>
  <c r="G858" i="12"/>
  <c r="I858" i="12"/>
  <c r="F860" i="12"/>
  <c r="D860" i="12"/>
  <c r="E860" i="12"/>
  <c r="E863" i="12"/>
  <c r="C863" i="12"/>
  <c r="B863" i="12"/>
  <c r="D863" i="12"/>
  <c r="F863" i="12"/>
  <c r="J864" i="12"/>
  <c r="I864" i="12"/>
  <c r="I865" i="12"/>
  <c r="J865" i="12"/>
  <c r="J866" i="12"/>
  <c r="E866" i="12"/>
  <c r="F866" i="12"/>
  <c r="H866" i="12"/>
  <c r="G866" i="12"/>
  <c r="I866" i="12"/>
  <c r="E867" i="12"/>
  <c r="C867" i="12"/>
  <c r="B867" i="12"/>
  <c r="F867" i="12"/>
  <c r="H867" i="12"/>
  <c r="G867" i="12"/>
  <c r="D867" i="12"/>
  <c r="H723" i="12"/>
  <c r="G723" i="12"/>
  <c r="I723" i="12"/>
  <c r="J725" i="12"/>
  <c r="I725" i="12"/>
  <c r="J765" i="12"/>
  <c r="I765" i="12"/>
  <c r="J775" i="12"/>
  <c r="I775" i="12"/>
  <c r="S66" i="8"/>
  <c r="U66" i="8" s="1"/>
  <c r="V66" i="8" s="1"/>
  <c r="W66" i="8" s="1"/>
  <c r="S48" i="8"/>
  <c r="U48" i="8" s="1"/>
  <c r="V48" i="8" s="1"/>
  <c r="W48" i="8" s="1"/>
  <c r="S58" i="8"/>
  <c r="U58" i="8" s="1"/>
  <c r="V58" i="8" s="1"/>
  <c r="W58" i="8" s="1"/>
  <c r="S7" i="8"/>
  <c r="U7" i="8" s="1"/>
  <c r="V7" i="8" s="1"/>
  <c r="W7" i="8" s="1"/>
  <c r="S42" i="8"/>
  <c r="U42" i="8" s="1"/>
  <c r="V42" i="8" s="1"/>
  <c r="S65" i="8"/>
  <c r="U65" i="8" s="1"/>
  <c r="V65" i="8" s="1"/>
  <c r="W65" i="8" s="1"/>
  <c r="C24" i="14"/>
  <c r="C22" i="14"/>
  <c r="G16" i="14"/>
  <c r="F16" i="14"/>
  <c r="G118" i="11"/>
  <c r="G117" i="11"/>
  <c r="G16" i="11"/>
  <c r="P105" i="10"/>
  <c r="Q105" i="10" s="1"/>
  <c r="I118" i="11"/>
  <c r="D16" i="14"/>
  <c r="E16" i="14"/>
  <c r="E25" i="8"/>
  <c r="D25" i="8"/>
  <c r="AB25" i="8" s="1"/>
  <c r="D28" i="8"/>
  <c r="AB28" i="8" s="1"/>
  <c r="E28" i="8"/>
  <c r="D27" i="8"/>
  <c r="AB27" i="8" s="1"/>
  <c r="E27" i="8"/>
  <c r="S29" i="8"/>
  <c r="U29" i="8" s="1"/>
  <c r="V29" i="8" s="1"/>
  <c r="W29" i="8" s="1"/>
  <c r="X29" i="8" s="1"/>
  <c r="D29" i="8"/>
  <c r="AB29" i="8" s="1"/>
  <c r="E29" i="8"/>
  <c r="E26" i="8"/>
  <c r="D26" i="8"/>
  <c r="AB26" i="8" s="1"/>
  <c r="N385" i="10"/>
  <c r="O385" i="10" a="1"/>
  <c r="N177" i="10"/>
  <c r="O177" i="10" a="1"/>
  <c r="O149" i="10" a="1"/>
  <c r="N149" i="10"/>
  <c r="B1023" i="12"/>
  <c r="D1023" i="12"/>
  <c r="C1023" i="12"/>
  <c r="G1023" i="12"/>
  <c r="J1023" i="12"/>
  <c r="I1023" i="12"/>
  <c r="E1023" i="12"/>
  <c r="F1023" i="12"/>
  <c r="H1023" i="12"/>
  <c r="G1022" i="12"/>
  <c r="F1022" i="12"/>
  <c r="E1022" i="12"/>
  <c r="D1022" i="12"/>
  <c r="B1022" i="12"/>
  <c r="C1022" i="12"/>
  <c r="J1022" i="12"/>
  <c r="I1022" i="12"/>
  <c r="H1022" i="12"/>
  <c r="G1021" i="12"/>
  <c r="C1021" i="12"/>
  <c r="J1021" i="12"/>
  <c r="I1021" i="12"/>
  <c r="H1021" i="12"/>
  <c r="F1021" i="12"/>
  <c r="B1021" i="12"/>
  <c r="D1021" i="12"/>
  <c r="E1021" i="12"/>
  <c r="D1020" i="12"/>
  <c r="B1020" i="12"/>
  <c r="F1020" i="12"/>
  <c r="G1020" i="12"/>
  <c r="H1020" i="12"/>
  <c r="I1020" i="12"/>
  <c r="J1020" i="12"/>
  <c r="E1020" i="12"/>
  <c r="C1020" i="12"/>
  <c r="F1019" i="12"/>
  <c r="H1019" i="12"/>
  <c r="J1019" i="12"/>
  <c r="I1019" i="12"/>
  <c r="G1019" i="12"/>
  <c r="C1019" i="12"/>
  <c r="E1019" i="12"/>
  <c r="B1019" i="12"/>
  <c r="D1019" i="12"/>
  <c r="J1018" i="12"/>
  <c r="C1018" i="12"/>
  <c r="B1018" i="12"/>
  <c r="E1018" i="12"/>
  <c r="D1018" i="12"/>
  <c r="G1018" i="12"/>
  <c r="H1018" i="12"/>
  <c r="I1018" i="12"/>
  <c r="F1018" i="12"/>
  <c r="J1017" i="12"/>
  <c r="E1017" i="12"/>
  <c r="D1017" i="12"/>
  <c r="B1017" i="12"/>
  <c r="F1017" i="12"/>
  <c r="G1017" i="12"/>
  <c r="I1017" i="12"/>
  <c r="C1017" i="12"/>
  <c r="H1017" i="12"/>
  <c r="J1016" i="12"/>
  <c r="H1016" i="12"/>
  <c r="D1016" i="12"/>
  <c r="G1016" i="12"/>
  <c r="I1016" i="12"/>
  <c r="F1016" i="12"/>
  <c r="E1016" i="12"/>
  <c r="C1016" i="12"/>
  <c r="B1016" i="12"/>
  <c r="H1015" i="12"/>
  <c r="B1015" i="12"/>
  <c r="D1015" i="12"/>
  <c r="J1015" i="12"/>
  <c r="I1015" i="12"/>
  <c r="F1015" i="12"/>
  <c r="G1015" i="12"/>
  <c r="E1015" i="12"/>
  <c r="C1015" i="12"/>
  <c r="E1014" i="12"/>
  <c r="H1014" i="12"/>
  <c r="D1014" i="12"/>
  <c r="F1014" i="12"/>
  <c r="I1014" i="12"/>
  <c r="J1014" i="12"/>
  <c r="G1014" i="12"/>
  <c r="C1014" i="12"/>
  <c r="B1014" i="12"/>
  <c r="F1013" i="12"/>
  <c r="G1013" i="12"/>
  <c r="H1013" i="12"/>
  <c r="B1013" i="12"/>
  <c r="J1013" i="12"/>
  <c r="C1013" i="12"/>
  <c r="D1013" i="12"/>
  <c r="E1013" i="12"/>
  <c r="I1013" i="12"/>
  <c r="E1012" i="12"/>
  <c r="G1012" i="12"/>
  <c r="I1012" i="12"/>
  <c r="J1012" i="12"/>
  <c r="B1012" i="12"/>
  <c r="F1012" i="12"/>
  <c r="D1012" i="12"/>
  <c r="C1012" i="12"/>
  <c r="H1012" i="12"/>
  <c r="C1011" i="12"/>
  <c r="I1011" i="12"/>
  <c r="J1011" i="12"/>
  <c r="E1011" i="12"/>
  <c r="H1011" i="12"/>
  <c r="G1011" i="12"/>
  <c r="F1011" i="12"/>
  <c r="B1011" i="12"/>
  <c r="D1011" i="12"/>
  <c r="H1010" i="12"/>
  <c r="I1010" i="12"/>
  <c r="J1010" i="12"/>
  <c r="E1010" i="12"/>
  <c r="G1010" i="12"/>
  <c r="F1010" i="12"/>
  <c r="D1010" i="12"/>
  <c r="B1010" i="12"/>
  <c r="C1010" i="12"/>
  <c r="B1009" i="12"/>
  <c r="J1009" i="12"/>
  <c r="I1009" i="12"/>
  <c r="H1009" i="12"/>
  <c r="G1009" i="12"/>
  <c r="F1009" i="12"/>
  <c r="E1009" i="12"/>
  <c r="D1009" i="12"/>
  <c r="C1009" i="12"/>
  <c r="I1008" i="12"/>
  <c r="J1008" i="12"/>
  <c r="B1008" i="12"/>
  <c r="E1008" i="12"/>
  <c r="H1008" i="12"/>
  <c r="G1008" i="12"/>
  <c r="F1008" i="12"/>
  <c r="D1008" i="12"/>
  <c r="C1008" i="12"/>
  <c r="F1007" i="12"/>
  <c r="E1007" i="12"/>
  <c r="D1007" i="12"/>
  <c r="B1007" i="12"/>
  <c r="G1007" i="12"/>
  <c r="H1007" i="12"/>
  <c r="C1007" i="12"/>
  <c r="I1007" i="12"/>
  <c r="J1007" i="12"/>
  <c r="J1006" i="12"/>
  <c r="B1006" i="12"/>
  <c r="G1006" i="12"/>
  <c r="F1006" i="12"/>
  <c r="C1006" i="12"/>
  <c r="I1006" i="12"/>
  <c r="H1006" i="12"/>
  <c r="E1006" i="12"/>
  <c r="D1006" i="12"/>
  <c r="D1005" i="12"/>
  <c r="C1005" i="12"/>
  <c r="H1005" i="12"/>
  <c r="G1005" i="12"/>
  <c r="F1005" i="12"/>
  <c r="E1005" i="12"/>
  <c r="J1005" i="12"/>
  <c r="I1005" i="12"/>
  <c r="B1005" i="12"/>
  <c r="G1004" i="12"/>
  <c r="B1004" i="12"/>
  <c r="D1004" i="12"/>
  <c r="F1004" i="12"/>
  <c r="H1004" i="12"/>
  <c r="I1004" i="12"/>
  <c r="J1004" i="12"/>
  <c r="C1004" i="12"/>
  <c r="E1004" i="12"/>
  <c r="F1003" i="12"/>
  <c r="C1003" i="12"/>
  <c r="E1003" i="12"/>
  <c r="G1003" i="12"/>
  <c r="H1003" i="12"/>
  <c r="I1003" i="12"/>
  <c r="J1003" i="12"/>
  <c r="B1003" i="12"/>
  <c r="D1003" i="12"/>
  <c r="O598" i="10" a="1"/>
  <c r="N598" i="10"/>
  <c r="O595" i="10" a="1"/>
  <c r="N595" i="10"/>
  <c r="O593" i="10" a="1"/>
  <c r="N593" i="10"/>
  <c r="O586" i="10" a="1"/>
  <c r="N586" i="10"/>
  <c r="O579" i="10" a="1"/>
  <c r="N579" i="10"/>
  <c r="O577" i="10" a="1"/>
  <c r="N577" i="10"/>
  <c r="O574" i="10" a="1"/>
  <c r="N574" i="10"/>
  <c r="O563" i="10" a="1"/>
  <c r="N563" i="10"/>
  <c r="O557" i="10" a="1"/>
  <c r="N557" i="10"/>
  <c r="N556" i="10"/>
  <c r="O556" i="10" a="1"/>
  <c r="O554" i="10" a="1"/>
  <c r="N554" i="10"/>
  <c r="O551" i="10" a="1"/>
  <c r="N551" i="10"/>
  <c r="N550" i="10"/>
  <c r="O550" i="10" a="1"/>
  <c r="N545" i="10"/>
  <c r="O545" i="10" a="1"/>
  <c r="N540" i="10"/>
  <c r="O540" i="10" a="1"/>
  <c r="O535" i="10" a="1"/>
  <c r="N535" i="10"/>
  <c r="N531" i="10"/>
  <c r="O531" i="10" a="1"/>
  <c r="O528" i="10" a="1"/>
  <c r="N528" i="10"/>
  <c r="O523" i="10" a="1"/>
  <c r="N523" i="10"/>
  <c r="O522" i="10" a="1"/>
  <c r="N522" i="10"/>
  <c r="N519" i="10"/>
  <c r="O519" i="10" a="1"/>
  <c r="O518" i="10" a="1"/>
  <c r="N518" i="10"/>
  <c r="N515" i="10"/>
  <c r="O515" i="10" a="1"/>
  <c r="N512" i="10"/>
  <c r="O512" i="10" a="1"/>
  <c r="O510" i="10" a="1"/>
  <c r="N510" i="10"/>
  <c r="O503" i="10" a="1"/>
  <c r="N503" i="10"/>
  <c r="O494" i="10" a="1"/>
  <c r="N494" i="10"/>
  <c r="O441" i="10" a="1"/>
  <c r="N441" i="10"/>
  <c r="N392" i="10"/>
  <c r="O392" i="10" a="1"/>
  <c r="N294" i="10"/>
  <c r="O294" i="10" a="1"/>
  <c r="N145" i="10"/>
  <c r="O145" i="10" a="1"/>
  <c r="D1163" i="12"/>
  <c r="C1163" i="12"/>
  <c r="F1163" i="12"/>
  <c r="E1163" i="12"/>
  <c r="B1163" i="12"/>
  <c r="H1163" i="12"/>
  <c r="I1163" i="12"/>
  <c r="J1163" i="12"/>
  <c r="G1163" i="12"/>
  <c r="B1162" i="12"/>
  <c r="C1162" i="12"/>
  <c r="D1162" i="12"/>
  <c r="E1162" i="12"/>
  <c r="I1162" i="12"/>
  <c r="F1162" i="12"/>
  <c r="J1162" i="12"/>
  <c r="H1162" i="12"/>
  <c r="G1162" i="12"/>
  <c r="J1161" i="12"/>
  <c r="D1161" i="12"/>
  <c r="C1161" i="12"/>
  <c r="B1161" i="12"/>
  <c r="G1161" i="12"/>
  <c r="H1161" i="12"/>
  <c r="I1161" i="12"/>
  <c r="F1161" i="12"/>
  <c r="E1161" i="12"/>
  <c r="D1160" i="12"/>
  <c r="F1160" i="12"/>
  <c r="H1160" i="12"/>
  <c r="G1160" i="12"/>
  <c r="J1160" i="12"/>
  <c r="I1160" i="12"/>
  <c r="C1160" i="12"/>
  <c r="E1160" i="12"/>
  <c r="B1160" i="12"/>
  <c r="F1159" i="12"/>
  <c r="E1159" i="12"/>
  <c r="D1159" i="12"/>
  <c r="C1159" i="12"/>
  <c r="B1159" i="12"/>
  <c r="I1159" i="12"/>
  <c r="G1159" i="12"/>
  <c r="H1159" i="12"/>
  <c r="J1159" i="12"/>
  <c r="D1158" i="12"/>
  <c r="C1158" i="12"/>
  <c r="B1158" i="12"/>
  <c r="J1158" i="12"/>
  <c r="I1158" i="12"/>
  <c r="H1158" i="12"/>
  <c r="G1158" i="12"/>
  <c r="F1158" i="12"/>
  <c r="E1158" i="12"/>
  <c r="J1157" i="12"/>
  <c r="I1157" i="12"/>
  <c r="H1157" i="12"/>
  <c r="G1157" i="12"/>
  <c r="F1157" i="12"/>
  <c r="D1157" i="12"/>
  <c r="C1157" i="12"/>
  <c r="B1157" i="12"/>
  <c r="E1157" i="12"/>
  <c r="D1156" i="12"/>
  <c r="C1156" i="12"/>
  <c r="B1156" i="12"/>
  <c r="J1156" i="12"/>
  <c r="I1156" i="12"/>
  <c r="H1156" i="12"/>
  <c r="F1156" i="12"/>
  <c r="E1156" i="12"/>
  <c r="G1156" i="12"/>
  <c r="B1155" i="12"/>
  <c r="D1155" i="12"/>
  <c r="C1155" i="12"/>
  <c r="J1155" i="12"/>
  <c r="I1155" i="12"/>
  <c r="H1155" i="12"/>
  <c r="G1155" i="12"/>
  <c r="F1155" i="12"/>
  <c r="E1155" i="12"/>
  <c r="F1154" i="12"/>
  <c r="D1154" i="12"/>
  <c r="E1154" i="12"/>
  <c r="G1154" i="12"/>
  <c r="H1154" i="12"/>
  <c r="I1154" i="12"/>
  <c r="J1154" i="12"/>
  <c r="B1154" i="12"/>
  <c r="C1154" i="12"/>
  <c r="G1153" i="12"/>
  <c r="F1153" i="12"/>
  <c r="E1153" i="12"/>
  <c r="D1153" i="12"/>
  <c r="C1153" i="12"/>
  <c r="J1153" i="12"/>
  <c r="I1153" i="12"/>
  <c r="B1153" i="12"/>
  <c r="H1153" i="12"/>
  <c r="G1152" i="12"/>
  <c r="I1152" i="12"/>
  <c r="E1152" i="12"/>
  <c r="D1152" i="12"/>
  <c r="C1152" i="12"/>
  <c r="B1152" i="12"/>
  <c r="F1152" i="12"/>
  <c r="J1152" i="12"/>
  <c r="H1152" i="12"/>
  <c r="C1151" i="12"/>
  <c r="B1151" i="12"/>
  <c r="E1151" i="12"/>
  <c r="I1151" i="12"/>
  <c r="J1151" i="12"/>
  <c r="H1151" i="12"/>
  <c r="G1151" i="12"/>
  <c r="F1151" i="12"/>
  <c r="D1151" i="12"/>
  <c r="B1150" i="12"/>
  <c r="F1150" i="12"/>
  <c r="C1150" i="12"/>
  <c r="D1150" i="12"/>
  <c r="E1150" i="12"/>
  <c r="G1150" i="12"/>
  <c r="H1150" i="12"/>
  <c r="I1150" i="12"/>
  <c r="J1150" i="12"/>
  <c r="E1149" i="12"/>
  <c r="D1149" i="12"/>
  <c r="C1149" i="12"/>
  <c r="B1149" i="12"/>
  <c r="J1149" i="12"/>
  <c r="I1149" i="12"/>
  <c r="H1149" i="12"/>
  <c r="G1149" i="12"/>
  <c r="F1149" i="12"/>
  <c r="J1148" i="12"/>
  <c r="I1148" i="12"/>
  <c r="G1148" i="12"/>
  <c r="F1148" i="12"/>
  <c r="E1148" i="12"/>
  <c r="B1148" i="12"/>
  <c r="C1148" i="12"/>
  <c r="D1148" i="12"/>
  <c r="H1148" i="12"/>
  <c r="J1147" i="12"/>
  <c r="I1147" i="12"/>
  <c r="H1147" i="12"/>
  <c r="G1147" i="12"/>
  <c r="B1147" i="12"/>
  <c r="E1147" i="12"/>
  <c r="F1147" i="12"/>
  <c r="C1147" i="12"/>
  <c r="D1147" i="12"/>
  <c r="B1146" i="12"/>
  <c r="D1146" i="12"/>
  <c r="E1146" i="12"/>
  <c r="G1146" i="12"/>
  <c r="H1146" i="12"/>
  <c r="I1146" i="12"/>
  <c r="J1146" i="12"/>
  <c r="F1146" i="12"/>
  <c r="C1146" i="12"/>
  <c r="C1145" i="12"/>
  <c r="D1145" i="12"/>
  <c r="J1145" i="12"/>
  <c r="B1145" i="12"/>
  <c r="E1145" i="12"/>
  <c r="F1145" i="12"/>
  <c r="G1145" i="12"/>
  <c r="H1145" i="12"/>
  <c r="I1145" i="12"/>
  <c r="H1144" i="12"/>
  <c r="I1144" i="12"/>
  <c r="B1144" i="12"/>
  <c r="J1144" i="12"/>
  <c r="D1144" i="12"/>
  <c r="E1144" i="12"/>
  <c r="C1144" i="12"/>
  <c r="F1144" i="12"/>
  <c r="G1144" i="12"/>
  <c r="G1143" i="12"/>
  <c r="H1143" i="12"/>
  <c r="E1143" i="12"/>
  <c r="D1143" i="12"/>
  <c r="C1143" i="12"/>
  <c r="F1143" i="12"/>
  <c r="I1143" i="12"/>
  <c r="J1143" i="12"/>
  <c r="B1143" i="12"/>
  <c r="C1142" i="12"/>
  <c r="B1142" i="12"/>
  <c r="J1142" i="12"/>
  <c r="I1142" i="12"/>
  <c r="H1142" i="12"/>
  <c r="G1142" i="12"/>
  <c r="F1142" i="12"/>
  <c r="E1142" i="12"/>
  <c r="D1142" i="12"/>
  <c r="G1141" i="12"/>
  <c r="F1141" i="12"/>
  <c r="E1141" i="12"/>
  <c r="D1141" i="12"/>
  <c r="C1141" i="12"/>
  <c r="B1141" i="12"/>
  <c r="J1141" i="12"/>
  <c r="I1141" i="12"/>
  <c r="H1141" i="12"/>
  <c r="H1140" i="12"/>
  <c r="I1140" i="12"/>
  <c r="J1140" i="12"/>
  <c r="B1140" i="12"/>
  <c r="C1140" i="12"/>
  <c r="D1140" i="12"/>
  <c r="E1140" i="12"/>
  <c r="F1140" i="12"/>
  <c r="G1140" i="12"/>
  <c r="B1139" i="12"/>
  <c r="C1139" i="12"/>
  <c r="D1139" i="12"/>
  <c r="E1139" i="12"/>
  <c r="F1139" i="12"/>
  <c r="G1139" i="12"/>
  <c r="H1139" i="12"/>
  <c r="J1139" i="12"/>
  <c r="I1139" i="12"/>
  <c r="D1138" i="12"/>
  <c r="E1138" i="12"/>
  <c r="F1138" i="12"/>
  <c r="G1138" i="12"/>
  <c r="I1138" i="12"/>
  <c r="C1138" i="12"/>
  <c r="H1138" i="12"/>
  <c r="J1138" i="12"/>
  <c r="B1138" i="12"/>
  <c r="G1137" i="12"/>
  <c r="I1137" i="12"/>
  <c r="J1137" i="12"/>
  <c r="B1137" i="12"/>
  <c r="C1137" i="12"/>
  <c r="D1137" i="12"/>
  <c r="E1137" i="12"/>
  <c r="F1137" i="12"/>
  <c r="H1137" i="12"/>
  <c r="J1136" i="12"/>
  <c r="C1136" i="12"/>
  <c r="B1136" i="12"/>
  <c r="I1136" i="12"/>
  <c r="H1136" i="12"/>
  <c r="G1136" i="12"/>
  <c r="F1136" i="12"/>
  <c r="E1136" i="12"/>
  <c r="D1136" i="12"/>
  <c r="E1134" i="12"/>
  <c r="B1134" i="12"/>
  <c r="C1134" i="12"/>
  <c r="D1134" i="12"/>
  <c r="F1134" i="12"/>
  <c r="G1134" i="12"/>
  <c r="H1134" i="12"/>
  <c r="I1134" i="12"/>
  <c r="J1134" i="12"/>
  <c r="H1133" i="12"/>
  <c r="F1133" i="12"/>
  <c r="J1133" i="12"/>
  <c r="I1133" i="12"/>
  <c r="B1133" i="12"/>
  <c r="C1133" i="12"/>
  <c r="D1133" i="12"/>
  <c r="E1133" i="12"/>
  <c r="G1133" i="12"/>
  <c r="D1132" i="12"/>
  <c r="C1132" i="12"/>
  <c r="G1132" i="12"/>
  <c r="I1132" i="12"/>
  <c r="H1132" i="12"/>
  <c r="B1132" i="12"/>
  <c r="J1132" i="12"/>
  <c r="F1132" i="12"/>
  <c r="E1132" i="12"/>
  <c r="D1131" i="12"/>
  <c r="C1131" i="12"/>
  <c r="F1131" i="12"/>
  <c r="B1131" i="12"/>
  <c r="J1131" i="12"/>
  <c r="I1131" i="12"/>
  <c r="H1131" i="12"/>
  <c r="G1131" i="12"/>
  <c r="E1131" i="12"/>
  <c r="H1130" i="12"/>
  <c r="J1130" i="12"/>
  <c r="G1130" i="12"/>
  <c r="I1130" i="12"/>
  <c r="B1130" i="12"/>
  <c r="C1130" i="12"/>
  <c r="E1130" i="12"/>
  <c r="F1130" i="12"/>
  <c r="D1130" i="12"/>
  <c r="C1129" i="12"/>
  <c r="B1129" i="12"/>
  <c r="I1129" i="12"/>
  <c r="H1129" i="12"/>
  <c r="D1129" i="12"/>
  <c r="G1129" i="12"/>
  <c r="F1129" i="12"/>
  <c r="E1129" i="12"/>
  <c r="J1129" i="12"/>
  <c r="F1128" i="12"/>
  <c r="J1128" i="12"/>
  <c r="B1128" i="12"/>
  <c r="C1128" i="12"/>
  <c r="D1128" i="12"/>
  <c r="E1128" i="12"/>
  <c r="G1128" i="12"/>
  <c r="H1128" i="12"/>
  <c r="I1128" i="12"/>
  <c r="C1127" i="12"/>
  <c r="H1127" i="12"/>
  <c r="J1127" i="12"/>
  <c r="I1127" i="12"/>
  <c r="D1127" i="12"/>
  <c r="F1127" i="12"/>
  <c r="E1127" i="12"/>
  <c r="B1127" i="12"/>
  <c r="G1127" i="12"/>
  <c r="F1126" i="12"/>
  <c r="G1126" i="12"/>
  <c r="H1126" i="12"/>
  <c r="J1126" i="12"/>
  <c r="B1126" i="12"/>
  <c r="C1126" i="12"/>
  <c r="D1126" i="12"/>
  <c r="E1126" i="12"/>
  <c r="I1126" i="12"/>
  <c r="J1125" i="12"/>
  <c r="D1125" i="12"/>
  <c r="C1125" i="12"/>
  <c r="G1125" i="12"/>
  <c r="H1125" i="12"/>
  <c r="F1125" i="12"/>
  <c r="E1125" i="12"/>
  <c r="I1125" i="12"/>
  <c r="B1125" i="12"/>
  <c r="E1124" i="12"/>
  <c r="G1124" i="12"/>
  <c r="H1124" i="12"/>
  <c r="I1124" i="12"/>
  <c r="J1124" i="12"/>
  <c r="C1124" i="12"/>
  <c r="B1124" i="12"/>
  <c r="F1124" i="12"/>
  <c r="D1124" i="12"/>
  <c r="I1123" i="12"/>
  <c r="B1123" i="12"/>
  <c r="J1123" i="12"/>
  <c r="H1123" i="12"/>
  <c r="G1123" i="12"/>
  <c r="F1123" i="12"/>
  <c r="D1123" i="12"/>
  <c r="C1123" i="12"/>
  <c r="E1123" i="12"/>
  <c r="I1122" i="12"/>
  <c r="B1122" i="12"/>
  <c r="C1122" i="12"/>
  <c r="E1122" i="12"/>
  <c r="F1122" i="12"/>
  <c r="G1122" i="12"/>
  <c r="H1122" i="12"/>
  <c r="J1122" i="12"/>
  <c r="D1122" i="12"/>
  <c r="G1121" i="12"/>
  <c r="H1121" i="12"/>
  <c r="I1121" i="12"/>
  <c r="J1121" i="12"/>
  <c r="B1121" i="12"/>
  <c r="C1121" i="12"/>
  <c r="D1121" i="12"/>
  <c r="E1121" i="12"/>
  <c r="F1121" i="12"/>
  <c r="F1120" i="12"/>
  <c r="B1120" i="12"/>
  <c r="C1120" i="12"/>
  <c r="G1120" i="12"/>
  <c r="I1120" i="12"/>
  <c r="D1120" i="12"/>
  <c r="E1120" i="12"/>
  <c r="H1120" i="12"/>
  <c r="J1120" i="12"/>
  <c r="I1119" i="12"/>
  <c r="H1119" i="12"/>
  <c r="G1119" i="12"/>
  <c r="F1119" i="12"/>
  <c r="E1119" i="12"/>
  <c r="D1119" i="12"/>
  <c r="C1119" i="12"/>
  <c r="B1119" i="12"/>
  <c r="J1119" i="12"/>
  <c r="I1118" i="12"/>
  <c r="H1118" i="12"/>
  <c r="G1118" i="12"/>
  <c r="F1118" i="12"/>
  <c r="E1118" i="12"/>
  <c r="D1118" i="12"/>
  <c r="C1118" i="12"/>
  <c r="B1118" i="12"/>
  <c r="J1118" i="12"/>
  <c r="B1117" i="12"/>
  <c r="D1117" i="12"/>
  <c r="C1117" i="12"/>
  <c r="H1117" i="12"/>
  <c r="J1117" i="12"/>
  <c r="I1117" i="12"/>
  <c r="G1117" i="12"/>
  <c r="F1117" i="12"/>
  <c r="E1117" i="12"/>
  <c r="G1116" i="12"/>
  <c r="H1116" i="12"/>
  <c r="I1116" i="12"/>
  <c r="F1116" i="12"/>
  <c r="B1116" i="12"/>
  <c r="C1116" i="12"/>
  <c r="J1116" i="12"/>
  <c r="D1116" i="12"/>
  <c r="E1116" i="12"/>
  <c r="C1115" i="12"/>
  <c r="B1115" i="12"/>
  <c r="D1115" i="12"/>
  <c r="E1115" i="12"/>
  <c r="F1115" i="12"/>
  <c r="G1115" i="12"/>
  <c r="H1115" i="12"/>
  <c r="I1115" i="12"/>
  <c r="J1115" i="12"/>
  <c r="J1114" i="12"/>
  <c r="I1114" i="12"/>
  <c r="G1114" i="12"/>
  <c r="C1114" i="12"/>
  <c r="B1114" i="12"/>
  <c r="E1114" i="12"/>
  <c r="F1114" i="12"/>
  <c r="D1114" i="12"/>
  <c r="H1114" i="12"/>
  <c r="F1113" i="12"/>
  <c r="G1113" i="12"/>
  <c r="J1113" i="12"/>
  <c r="H1113" i="12"/>
  <c r="B1113" i="12"/>
  <c r="I1113" i="12"/>
  <c r="C1113" i="12"/>
  <c r="D1113" i="12"/>
  <c r="E1113" i="12"/>
  <c r="B1112" i="12"/>
  <c r="E1112" i="12"/>
  <c r="F1112" i="12"/>
  <c r="J1112" i="12"/>
  <c r="I1112" i="12"/>
  <c r="H1112" i="12"/>
  <c r="G1112" i="12"/>
  <c r="C1112" i="12"/>
  <c r="D1112" i="12"/>
  <c r="D1111" i="12"/>
  <c r="J1111" i="12"/>
  <c r="H1111" i="12"/>
  <c r="G1111" i="12"/>
  <c r="F1111" i="12"/>
  <c r="E1111" i="12"/>
  <c r="C1111" i="12"/>
  <c r="B1111" i="12"/>
  <c r="I1111" i="12"/>
  <c r="C1110" i="12"/>
  <c r="H1110" i="12"/>
  <c r="B1110" i="12"/>
  <c r="D1110" i="12"/>
  <c r="J1110" i="12"/>
  <c r="I1110" i="12"/>
  <c r="G1110" i="12"/>
  <c r="F1110" i="12"/>
  <c r="E1110" i="12"/>
  <c r="E1109" i="12"/>
  <c r="B1109" i="12"/>
  <c r="C1109" i="12"/>
  <c r="D1109" i="12"/>
  <c r="G1109" i="12"/>
  <c r="H1109" i="12"/>
  <c r="I1109" i="12"/>
  <c r="J1109" i="12"/>
  <c r="F1109" i="12"/>
  <c r="H1108" i="12"/>
  <c r="B1108" i="12"/>
  <c r="C1108" i="12"/>
  <c r="D1108" i="12"/>
  <c r="F1108" i="12"/>
  <c r="G1108" i="12"/>
  <c r="E1108" i="12"/>
  <c r="I1108" i="12"/>
  <c r="J1108" i="12"/>
  <c r="C1107" i="12"/>
  <c r="E1107" i="12"/>
  <c r="F1107" i="12"/>
  <c r="G1107" i="12"/>
  <c r="H1107" i="12"/>
  <c r="I1107" i="12"/>
  <c r="J1107" i="12"/>
  <c r="D1107" i="12"/>
  <c r="B1107" i="12"/>
  <c r="D1106" i="12"/>
  <c r="F1106" i="12"/>
  <c r="G1106" i="12"/>
  <c r="H1106" i="12"/>
  <c r="I1106" i="12"/>
  <c r="J1106" i="12"/>
  <c r="E1106" i="12"/>
  <c r="B1106" i="12"/>
  <c r="C1106" i="12"/>
  <c r="C1105" i="12"/>
  <c r="E1105" i="12"/>
  <c r="D1105" i="12"/>
  <c r="G1105" i="12"/>
  <c r="F1105" i="12"/>
  <c r="H1105" i="12"/>
  <c r="I1105" i="12"/>
  <c r="J1105" i="12"/>
  <c r="B1105" i="12"/>
  <c r="H1104" i="12"/>
  <c r="I1104" i="12"/>
  <c r="J1104" i="12"/>
  <c r="G1104" i="12"/>
  <c r="B1104" i="12"/>
  <c r="C1104" i="12"/>
  <c r="D1104" i="12"/>
  <c r="E1104" i="12"/>
  <c r="F1104" i="12"/>
  <c r="B1103" i="12"/>
  <c r="C1103" i="12"/>
  <c r="E1103" i="12"/>
  <c r="F1103" i="12"/>
  <c r="H1103" i="12"/>
  <c r="D1103" i="12"/>
  <c r="I1103" i="12"/>
  <c r="G1103" i="12"/>
  <c r="J1103" i="12"/>
  <c r="I1102" i="12"/>
  <c r="D1102" i="12"/>
  <c r="B1102" i="12"/>
  <c r="H1102" i="12"/>
  <c r="G1102" i="12"/>
  <c r="F1102" i="12"/>
  <c r="J1102" i="12"/>
  <c r="C1102" i="12"/>
  <c r="E1102" i="12"/>
  <c r="H1101" i="12"/>
  <c r="F1101" i="12"/>
  <c r="G1101" i="12"/>
  <c r="E1101" i="12"/>
  <c r="D1101" i="12"/>
  <c r="C1101" i="12"/>
  <c r="B1101" i="12"/>
  <c r="J1101" i="12"/>
  <c r="I1101" i="12"/>
  <c r="B1100" i="12"/>
  <c r="I1100" i="12"/>
  <c r="H1100" i="12"/>
  <c r="C1100" i="12"/>
  <c r="G1100" i="12"/>
  <c r="F1100" i="12"/>
  <c r="E1100" i="12"/>
  <c r="D1100" i="12"/>
  <c r="J1100" i="12"/>
  <c r="J1099" i="12"/>
  <c r="I1099" i="12"/>
  <c r="H1099" i="12"/>
  <c r="G1099" i="12"/>
  <c r="E1099" i="12"/>
  <c r="F1099" i="12"/>
  <c r="D1099" i="12"/>
  <c r="C1099" i="12"/>
  <c r="B1099" i="12"/>
  <c r="D1098" i="12"/>
  <c r="F1098" i="12"/>
  <c r="J1098" i="12"/>
  <c r="H1098" i="12"/>
  <c r="E1098" i="12"/>
  <c r="G1098" i="12"/>
  <c r="C1098" i="12"/>
  <c r="B1098" i="12"/>
  <c r="I1098" i="12"/>
  <c r="J1097" i="12"/>
  <c r="I1097" i="12"/>
  <c r="H1097" i="12"/>
  <c r="B1097" i="12"/>
  <c r="D1097" i="12"/>
  <c r="C1097" i="12"/>
  <c r="E1097" i="12"/>
  <c r="G1097" i="12"/>
  <c r="F1097" i="12"/>
  <c r="B1096" i="12"/>
  <c r="I1096" i="12"/>
  <c r="J1096" i="12"/>
  <c r="C1096" i="12"/>
  <c r="H1096" i="12"/>
  <c r="G1096" i="12"/>
  <c r="F1096" i="12"/>
  <c r="E1096" i="12"/>
  <c r="D1096" i="12"/>
  <c r="F1095" i="12"/>
  <c r="C1095" i="12"/>
  <c r="G1095" i="12"/>
  <c r="E1095" i="12"/>
  <c r="D1095" i="12"/>
  <c r="J1095" i="12"/>
  <c r="I1095" i="12"/>
  <c r="H1095" i="12"/>
  <c r="B1095" i="12"/>
  <c r="I1094" i="12"/>
  <c r="J1094" i="12"/>
  <c r="C1094" i="12"/>
  <c r="E1094" i="12"/>
  <c r="F1094" i="12"/>
  <c r="G1094" i="12"/>
  <c r="H1094" i="12"/>
  <c r="B1094" i="12"/>
  <c r="D1094" i="12"/>
  <c r="E1093" i="12"/>
  <c r="F1093" i="12"/>
  <c r="H1093" i="12"/>
  <c r="I1093" i="12"/>
  <c r="J1093" i="12"/>
  <c r="G1093" i="12"/>
  <c r="B1093" i="12"/>
  <c r="C1093" i="12"/>
  <c r="D1093" i="12"/>
  <c r="J1092" i="12"/>
  <c r="B1092" i="12"/>
  <c r="C1092" i="12"/>
  <c r="I1092" i="12"/>
  <c r="G1092" i="12"/>
  <c r="F1092" i="12"/>
  <c r="D1092" i="12"/>
  <c r="H1092" i="12"/>
  <c r="E1092" i="12"/>
  <c r="H1091" i="12"/>
  <c r="C1091" i="12"/>
  <c r="I1091" i="12"/>
  <c r="G1091" i="12"/>
  <c r="E1091" i="12"/>
  <c r="D1091" i="12"/>
  <c r="J1091" i="12"/>
  <c r="B1091" i="12"/>
  <c r="F1091" i="12"/>
  <c r="E1090" i="12"/>
  <c r="J1090" i="12"/>
  <c r="I1090" i="12"/>
  <c r="H1090" i="12"/>
  <c r="G1090" i="12"/>
  <c r="F1090" i="12"/>
  <c r="D1090" i="12"/>
  <c r="C1090" i="12"/>
  <c r="B1090" i="12"/>
  <c r="B1089" i="12"/>
  <c r="I1089" i="12"/>
  <c r="D1089" i="12"/>
  <c r="J1089" i="12"/>
  <c r="H1089" i="12"/>
  <c r="F1089" i="12"/>
  <c r="G1089" i="12"/>
  <c r="C1089" i="12"/>
  <c r="E1089" i="12"/>
  <c r="D1088" i="12"/>
  <c r="C1088" i="12"/>
  <c r="B1088" i="12"/>
  <c r="F1088" i="12"/>
  <c r="E1088" i="12"/>
  <c r="J1088" i="12"/>
  <c r="G1088" i="12"/>
  <c r="I1088" i="12"/>
  <c r="H1088" i="12"/>
  <c r="J1087" i="12"/>
  <c r="B1087" i="12"/>
  <c r="C1087" i="12"/>
  <c r="D1087" i="12"/>
  <c r="E1087" i="12"/>
  <c r="F1087" i="12"/>
  <c r="G1087" i="12"/>
  <c r="H1087" i="12"/>
  <c r="I1087" i="12"/>
  <c r="B1086" i="12"/>
  <c r="C1086" i="12"/>
  <c r="D1086" i="12"/>
  <c r="E1086" i="12"/>
  <c r="F1086" i="12"/>
  <c r="G1086" i="12"/>
  <c r="H1086" i="12"/>
  <c r="I1086" i="12"/>
  <c r="J1086" i="12"/>
  <c r="D1085" i="12"/>
  <c r="E1085" i="12"/>
  <c r="B1085" i="12"/>
  <c r="J1085" i="12"/>
  <c r="I1085" i="12"/>
  <c r="G1085" i="12"/>
  <c r="F1085" i="12"/>
  <c r="C1085" i="12"/>
  <c r="H1085" i="12"/>
  <c r="G1084" i="12"/>
  <c r="H1084" i="12"/>
  <c r="F1084" i="12"/>
  <c r="E1084" i="12"/>
  <c r="D1084" i="12"/>
  <c r="C1084" i="12"/>
  <c r="J1084" i="12"/>
  <c r="I1084" i="12"/>
  <c r="B1084" i="12"/>
  <c r="E1083" i="12"/>
  <c r="F1083" i="12"/>
  <c r="G1083" i="12"/>
  <c r="H1083" i="12"/>
  <c r="I1083" i="12"/>
  <c r="J1083" i="12"/>
  <c r="B1083" i="12"/>
  <c r="C1083" i="12"/>
  <c r="D1083" i="12"/>
  <c r="B1082" i="12"/>
  <c r="D1082" i="12"/>
  <c r="C1082" i="12"/>
  <c r="J1082" i="12"/>
  <c r="I1082" i="12"/>
  <c r="H1082" i="12"/>
  <c r="G1082" i="12"/>
  <c r="F1082" i="12"/>
  <c r="E1082" i="12"/>
  <c r="J1081" i="12"/>
  <c r="I1081" i="12"/>
  <c r="H1081" i="12"/>
  <c r="G1081" i="12"/>
  <c r="F1081" i="12"/>
  <c r="E1081" i="12"/>
  <c r="D1081" i="12"/>
  <c r="C1081" i="12"/>
  <c r="B1081" i="12"/>
  <c r="J1080" i="12"/>
  <c r="I1080" i="12"/>
  <c r="H1080" i="12"/>
  <c r="G1080" i="12"/>
  <c r="F1080" i="12"/>
  <c r="E1080" i="12"/>
  <c r="D1080" i="12"/>
  <c r="C1080" i="12"/>
  <c r="B1080" i="12"/>
  <c r="C1079" i="12"/>
  <c r="B1079" i="12"/>
  <c r="J1079" i="12"/>
  <c r="I1079" i="12"/>
  <c r="H1079" i="12"/>
  <c r="G1079" i="12"/>
  <c r="F1079" i="12"/>
  <c r="E1079" i="12"/>
  <c r="D1079" i="12"/>
  <c r="B1078" i="12"/>
  <c r="G1078" i="12"/>
  <c r="J1078" i="12"/>
  <c r="I1078" i="12"/>
  <c r="H1078" i="12"/>
  <c r="F1078" i="12"/>
  <c r="E1078" i="12"/>
  <c r="D1078" i="12"/>
  <c r="C1078" i="12"/>
  <c r="C1077" i="12"/>
  <c r="B1077" i="12"/>
  <c r="G1077" i="12"/>
  <c r="J1077" i="12"/>
  <c r="I1077" i="12"/>
  <c r="H1077" i="12"/>
  <c r="F1077" i="12"/>
  <c r="E1077" i="12"/>
  <c r="D1077" i="12"/>
  <c r="D1076" i="12"/>
  <c r="F1076" i="12"/>
  <c r="H1076" i="12"/>
  <c r="I1076" i="12"/>
  <c r="J1076" i="12"/>
  <c r="C1076" i="12"/>
  <c r="B1076" i="12"/>
  <c r="G1076" i="12"/>
  <c r="E1076" i="12"/>
  <c r="E1075" i="12"/>
  <c r="J1075" i="12"/>
  <c r="B1075" i="12"/>
  <c r="C1075" i="12"/>
  <c r="D1075" i="12"/>
  <c r="F1075" i="12"/>
  <c r="G1075" i="12"/>
  <c r="I1075" i="12"/>
  <c r="H1075" i="12"/>
  <c r="F1074" i="12"/>
  <c r="H1074" i="12"/>
  <c r="E1074" i="12"/>
  <c r="G1074" i="12"/>
  <c r="I1074" i="12"/>
  <c r="J1074" i="12"/>
  <c r="C1074" i="12"/>
  <c r="B1074" i="12"/>
  <c r="D1074" i="12"/>
  <c r="J1073" i="12"/>
  <c r="G1073" i="12"/>
  <c r="H1073" i="12"/>
  <c r="I1073" i="12"/>
  <c r="B1073" i="12"/>
  <c r="C1073" i="12"/>
  <c r="E1073" i="12"/>
  <c r="D1073" i="12"/>
  <c r="F1073" i="12"/>
  <c r="E1072" i="12"/>
  <c r="J1072" i="12"/>
  <c r="H1072" i="12"/>
  <c r="C1072" i="12"/>
  <c r="B1072" i="12"/>
  <c r="D1072" i="12"/>
  <c r="F1072" i="12"/>
  <c r="I1072" i="12"/>
  <c r="G1072" i="12"/>
  <c r="D1071" i="12"/>
  <c r="B1071" i="12"/>
  <c r="C1071" i="12"/>
  <c r="E1071" i="12"/>
  <c r="G1071" i="12"/>
  <c r="H1071" i="12"/>
  <c r="I1071" i="12"/>
  <c r="J1071" i="12"/>
  <c r="F1071" i="12"/>
  <c r="C1070" i="12"/>
  <c r="B1070" i="12"/>
  <c r="J1070" i="12"/>
  <c r="I1070" i="12"/>
  <c r="H1070" i="12"/>
  <c r="G1070" i="12"/>
  <c r="F1070" i="12"/>
  <c r="E1070" i="12"/>
  <c r="D1070" i="12"/>
  <c r="C1069" i="12"/>
  <c r="B1069" i="12"/>
  <c r="D1069" i="12"/>
  <c r="J1069" i="12"/>
  <c r="I1069" i="12"/>
  <c r="H1069" i="12"/>
  <c r="G1069" i="12"/>
  <c r="F1069" i="12"/>
  <c r="E1069" i="12"/>
  <c r="B1068" i="12"/>
  <c r="I1068" i="12"/>
  <c r="C1068" i="12"/>
  <c r="D1068" i="12"/>
  <c r="F1068" i="12"/>
  <c r="G1068" i="12"/>
  <c r="H1068" i="12"/>
  <c r="J1068" i="12"/>
  <c r="E1068" i="12"/>
  <c r="I1067" i="12"/>
  <c r="G1067" i="12"/>
  <c r="B1067" i="12"/>
  <c r="J1067" i="12"/>
  <c r="H1067" i="12"/>
  <c r="C1067" i="12"/>
  <c r="D1067" i="12"/>
  <c r="F1067" i="12"/>
  <c r="E1067" i="12"/>
  <c r="C1066" i="12"/>
  <c r="B1066" i="12"/>
  <c r="E1066" i="12"/>
  <c r="F1066" i="12"/>
  <c r="D1066" i="12"/>
  <c r="I1066" i="12"/>
  <c r="J1066" i="12"/>
  <c r="G1066" i="12"/>
  <c r="H1066" i="12"/>
  <c r="B1065" i="12"/>
  <c r="H1065" i="12"/>
  <c r="J1065" i="12"/>
  <c r="G1065" i="12"/>
  <c r="D1065" i="12"/>
  <c r="F1065" i="12"/>
  <c r="I1065" i="12"/>
  <c r="E1065" i="12"/>
  <c r="C1065" i="12"/>
  <c r="C1064" i="12"/>
  <c r="F1064" i="12"/>
  <c r="E1064" i="12"/>
  <c r="D1064" i="12"/>
  <c r="B1064" i="12"/>
  <c r="J1064" i="12"/>
  <c r="I1064" i="12"/>
  <c r="H1064" i="12"/>
  <c r="G1064" i="12"/>
  <c r="G1063" i="12"/>
  <c r="F1063" i="12"/>
  <c r="D1063" i="12"/>
  <c r="C1063" i="12"/>
  <c r="J1063" i="12"/>
  <c r="I1063" i="12"/>
  <c r="H1063" i="12"/>
  <c r="E1063" i="12"/>
  <c r="B1063" i="12"/>
  <c r="D1062" i="12"/>
  <c r="E1062" i="12"/>
  <c r="C1062" i="12"/>
  <c r="J1062" i="12"/>
  <c r="I1062" i="12"/>
  <c r="H1062" i="12"/>
  <c r="G1062" i="12"/>
  <c r="B1062" i="12"/>
  <c r="F1062" i="12"/>
  <c r="J1061" i="12"/>
  <c r="F1061" i="12"/>
  <c r="H1061" i="12"/>
  <c r="C1061" i="12"/>
  <c r="E1061" i="12"/>
  <c r="G1061" i="12"/>
  <c r="D1061" i="12"/>
  <c r="B1061" i="12"/>
  <c r="I1061" i="12"/>
  <c r="B1060" i="12"/>
  <c r="G1060" i="12"/>
  <c r="D1060" i="12"/>
  <c r="C1060" i="12"/>
  <c r="E1060" i="12"/>
  <c r="H1060" i="12"/>
  <c r="I1060" i="12"/>
  <c r="J1060" i="12"/>
  <c r="F1060" i="12"/>
  <c r="C1059" i="12"/>
  <c r="D1059" i="12"/>
  <c r="J1059" i="12"/>
  <c r="F1059" i="12"/>
  <c r="B1059" i="12"/>
  <c r="G1059" i="12"/>
  <c r="H1059" i="12"/>
  <c r="I1059" i="12"/>
  <c r="E1059" i="12"/>
  <c r="B1058" i="12"/>
  <c r="D1058" i="12"/>
  <c r="F1058" i="12"/>
  <c r="E1058" i="12"/>
  <c r="J1058" i="12"/>
  <c r="C1058" i="12"/>
  <c r="H1058" i="12"/>
  <c r="I1058" i="12"/>
  <c r="G1058" i="12"/>
  <c r="E1057" i="12"/>
  <c r="B1057" i="12"/>
  <c r="J1057" i="12"/>
  <c r="I1057" i="12"/>
  <c r="H1057" i="12"/>
  <c r="G1057" i="12"/>
  <c r="F1057" i="12"/>
  <c r="D1057" i="12"/>
  <c r="C1057" i="12"/>
  <c r="I1056" i="12"/>
  <c r="G1056" i="12"/>
  <c r="F1056" i="12"/>
  <c r="E1056" i="12"/>
  <c r="D1056" i="12"/>
  <c r="B1056" i="12"/>
  <c r="C1056" i="12"/>
  <c r="J1056" i="12"/>
  <c r="H1056" i="12"/>
  <c r="F1055" i="12"/>
  <c r="B1055" i="12"/>
  <c r="C1055" i="12"/>
  <c r="D1055" i="12"/>
  <c r="H1055" i="12"/>
  <c r="J1055" i="12"/>
  <c r="I1055" i="12"/>
  <c r="G1055" i="12"/>
  <c r="E1055" i="12"/>
  <c r="H1054" i="12"/>
  <c r="F1054" i="12"/>
  <c r="J1054" i="12"/>
  <c r="I1054" i="12"/>
  <c r="G1054" i="12"/>
  <c r="D1054" i="12"/>
  <c r="B1054" i="12"/>
  <c r="C1054" i="12"/>
  <c r="E1054" i="12"/>
  <c r="H1053" i="12"/>
  <c r="G1053" i="12"/>
  <c r="F1053" i="12"/>
  <c r="E1053" i="12"/>
  <c r="C1053" i="12"/>
  <c r="J1053" i="12"/>
  <c r="D1053" i="12"/>
  <c r="B1053" i="12"/>
  <c r="I1053" i="12"/>
  <c r="E1052" i="12"/>
  <c r="D1052" i="12"/>
  <c r="B1052" i="12"/>
  <c r="G1052" i="12"/>
  <c r="I1052" i="12"/>
  <c r="J1052" i="12"/>
  <c r="F1052" i="12"/>
  <c r="C1052" i="12"/>
  <c r="H1052" i="12"/>
  <c r="B1051" i="12"/>
  <c r="J1051" i="12"/>
  <c r="I1051" i="12"/>
  <c r="H1051" i="12"/>
  <c r="G1051" i="12"/>
  <c r="C1051" i="12"/>
  <c r="E1051" i="12"/>
  <c r="F1051" i="12"/>
  <c r="D1051" i="12"/>
  <c r="B1050" i="12"/>
  <c r="J1050" i="12"/>
  <c r="C1050" i="12"/>
  <c r="I1050" i="12"/>
  <c r="H1050" i="12"/>
  <c r="G1050" i="12"/>
  <c r="F1050" i="12"/>
  <c r="E1050" i="12"/>
  <c r="D1050" i="12"/>
  <c r="C1049" i="12"/>
  <c r="B1049" i="12"/>
  <c r="D1049" i="12"/>
  <c r="E1049" i="12"/>
  <c r="J1049" i="12"/>
  <c r="G1049" i="12"/>
  <c r="H1049" i="12"/>
  <c r="I1049" i="12"/>
  <c r="F1049" i="12"/>
  <c r="D1048" i="12"/>
  <c r="G1048" i="12"/>
  <c r="H1048" i="12"/>
  <c r="J1048" i="12"/>
  <c r="C1048" i="12"/>
  <c r="B1048" i="12"/>
  <c r="F1048" i="12"/>
  <c r="I1048" i="12"/>
  <c r="E1048" i="12"/>
  <c r="J1047" i="12"/>
  <c r="B1047" i="12"/>
  <c r="D1047" i="12"/>
  <c r="E1047" i="12"/>
  <c r="F1047" i="12"/>
  <c r="G1047" i="12"/>
  <c r="H1047" i="12"/>
  <c r="I1047" i="12"/>
  <c r="C1047" i="12"/>
  <c r="F1046" i="12"/>
  <c r="C1046" i="12"/>
  <c r="G1046" i="12"/>
  <c r="B1046" i="12"/>
  <c r="E1046" i="12"/>
  <c r="J1046" i="12"/>
  <c r="D1046" i="12"/>
  <c r="I1046" i="12"/>
  <c r="H1046" i="12"/>
  <c r="B1045" i="12"/>
  <c r="E1045" i="12"/>
  <c r="F1045" i="12"/>
  <c r="G1045" i="12"/>
  <c r="H1045" i="12"/>
  <c r="D1045" i="12"/>
  <c r="C1045" i="12"/>
  <c r="I1045" i="12"/>
  <c r="J1045" i="12"/>
  <c r="F1044" i="12"/>
  <c r="G1044" i="12"/>
  <c r="H1044" i="12"/>
  <c r="I1044" i="12"/>
  <c r="B1044" i="12"/>
  <c r="J1044" i="12"/>
  <c r="C1044" i="12"/>
  <c r="E1044" i="12"/>
  <c r="D1044" i="12"/>
  <c r="E1043" i="12"/>
  <c r="C1043" i="12"/>
  <c r="H1043" i="12"/>
  <c r="B1043" i="12"/>
  <c r="D1043" i="12"/>
  <c r="J1043" i="12"/>
  <c r="I1043" i="12"/>
  <c r="F1043" i="12"/>
  <c r="G1043" i="12"/>
  <c r="J1042" i="12"/>
  <c r="H1042" i="12"/>
  <c r="E1042" i="12"/>
  <c r="C1042" i="12"/>
  <c r="B1042" i="12"/>
  <c r="D1042" i="12"/>
  <c r="F1042" i="12"/>
  <c r="G1042" i="12"/>
  <c r="I1042" i="12"/>
  <c r="J1041" i="12"/>
  <c r="D1041" i="12"/>
  <c r="I1041" i="12"/>
  <c r="F1041" i="12"/>
  <c r="B1041" i="12"/>
  <c r="G1041" i="12"/>
  <c r="H1041" i="12"/>
  <c r="E1041" i="12"/>
  <c r="C1041" i="12"/>
  <c r="B1040" i="12"/>
  <c r="C1040" i="12"/>
  <c r="E1040" i="12"/>
  <c r="F1040" i="12"/>
  <c r="H1040" i="12"/>
  <c r="I1040" i="12"/>
  <c r="J1040" i="12"/>
  <c r="G1040" i="12"/>
  <c r="D1040" i="12"/>
  <c r="D1039" i="12"/>
  <c r="B1039" i="12"/>
  <c r="C1039" i="12"/>
  <c r="E1039" i="12"/>
  <c r="G1039" i="12"/>
  <c r="J1039" i="12"/>
  <c r="I1039" i="12"/>
  <c r="H1039" i="12"/>
  <c r="F1039" i="12"/>
  <c r="I1038" i="12"/>
  <c r="B1038" i="12"/>
  <c r="J1038" i="12"/>
  <c r="C1038" i="12"/>
  <c r="G1038" i="12"/>
  <c r="F1038" i="12"/>
  <c r="E1038" i="12"/>
  <c r="D1038" i="12"/>
  <c r="H1038" i="12"/>
  <c r="J1036" i="12"/>
  <c r="I1036" i="12"/>
  <c r="H1036" i="12"/>
  <c r="G1036" i="12"/>
  <c r="F1036" i="12"/>
  <c r="E1036" i="12"/>
  <c r="D1036" i="12"/>
  <c r="C1036" i="12"/>
  <c r="B1036" i="12"/>
  <c r="J1035" i="12"/>
  <c r="D1035" i="12"/>
  <c r="B1035" i="12"/>
  <c r="I1035" i="12"/>
  <c r="E1035" i="12"/>
  <c r="F1035" i="12"/>
  <c r="G1035" i="12"/>
  <c r="H1035" i="12"/>
  <c r="C1035" i="12"/>
  <c r="D1034" i="12"/>
  <c r="J1034" i="12"/>
  <c r="I1034" i="12"/>
  <c r="H1034" i="12"/>
  <c r="G1034" i="12"/>
  <c r="F1034" i="12"/>
  <c r="E1034" i="12"/>
  <c r="C1034" i="12"/>
  <c r="B1034" i="12"/>
  <c r="B1033" i="12"/>
  <c r="C1033" i="12"/>
  <c r="J1033" i="12"/>
  <c r="I1033" i="12"/>
  <c r="H1033" i="12"/>
  <c r="G1033" i="12"/>
  <c r="F1033" i="12"/>
  <c r="E1033" i="12"/>
  <c r="D1033" i="12"/>
  <c r="B1032" i="12"/>
  <c r="D1032" i="12"/>
  <c r="J1032" i="12"/>
  <c r="I1032" i="12"/>
  <c r="H1032" i="12"/>
  <c r="G1032" i="12"/>
  <c r="F1032" i="12"/>
  <c r="E1032" i="12"/>
  <c r="C1032" i="12"/>
  <c r="H1031" i="12"/>
  <c r="I1031" i="12"/>
  <c r="J1031" i="12"/>
  <c r="C1031" i="12"/>
  <c r="B1031" i="12"/>
  <c r="D1031" i="12"/>
  <c r="E1031" i="12"/>
  <c r="G1031" i="12"/>
  <c r="F1031" i="12"/>
  <c r="E1030" i="12"/>
  <c r="J1030" i="12"/>
  <c r="B1030" i="12"/>
  <c r="C1030" i="12"/>
  <c r="D1030" i="12"/>
  <c r="F1030" i="12"/>
  <c r="G1030" i="12"/>
  <c r="I1030" i="12"/>
  <c r="H1030" i="12"/>
  <c r="B1029" i="12"/>
  <c r="J1029" i="12"/>
  <c r="F1029" i="12"/>
  <c r="I1029" i="12"/>
  <c r="E1029" i="12"/>
  <c r="C1029" i="12"/>
  <c r="G1029" i="12"/>
  <c r="H1029" i="12"/>
  <c r="D1029" i="12"/>
  <c r="E1028" i="12"/>
  <c r="F1028" i="12"/>
  <c r="I1028" i="12"/>
  <c r="H1028" i="12"/>
  <c r="B1028" i="12"/>
  <c r="D1028" i="12"/>
  <c r="G1028" i="12"/>
  <c r="C1028" i="12"/>
  <c r="J1028" i="12"/>
  <c r="C1027" i="12"/>
  <c r="F1027" i="12"/>
  <c r="E1027" i="12"/>
  <c r="B1027" i="12"/>
  <c r="G1027" i="12"/>
  <c r="H1027" i="12"/>
  <c r="I1027" i="12"/>
  <c r="J1027" i="12"/>
  <c r="D1027" i="12"/>
  <c r="H1026" i="12"/>
  <c r="G1026" i="12"/>
  <c r="F1026" i="12"/>
  <c r="B1026" i="12"/>
  <c r="D1026" i="12"/>
  <c r="E1026" i="12"/>
  <c r="C1026" i="12"/>
  <c r="J1026" i="12"/>
  <c r="I1026" i="12"/>
  <c r="J1025" i="12"/>
  <c r="I1025" i="12"/>
  <c r="E1025" i="12"/>
  <c r="D1025" i="12"/>
  <c r="B1025" i="12"/>
  <c r="C1025" i="12"/>
  <c r="F1025" i="12"/>
  <c r="G1025" i="12"/>
  <c r="H1025" i="12"/>
  <c r="J1024" i="12"/>
  <c r="B1024" i="12"/>
  <c r="C1024" i="12"/>
  <c r="E1024" i="12"/>
  <c r="F1024" i="12"/>
  <c r="D1024" i="12"/>
  <c r="G1024" i="12"/>
  <c r="H1024" i="12"/>
  <c r="I1024" i="12"/>
  <c r="B1002" i="12"/>
  <c r="C1002" i="12"/>
  <c r="D1002" i="12"/>
  <c r="E1002" i="12"/>
  <c r="F1002" i="12"/>
  <c r="G1002" i="12"/>
  <c r="H1002" i="12"/>
  <c r="I1002" i="12"/>
  <c r="J1002" i="12"/>
  <c r="N401" i="10"/>
  <c r="O401" i="10" a="1"/>
  <c r="N214" i="10"/>
  <c r="O214" i="10" a="1"/>
  <c r="N202" i="10"/>
  <c r="O202" i="10" a="1"/>
  <c r="I79" i="10"/>
  <c r="B77" i="11"/>
  <c r="C71" i="11"/>
  <c r="I32" i="10"/>
  <c r="I25" i="10"/>
  <c r="I18" i="10"/>
  <c r="I118" i="10"/>
  <c r="I116" i="10"/>
  <c r="I113" i="10"/>
  <c r="I89" i="10"/>
  <c r="I58" i="10"/>
  <c r="H1301" i="12"/>
  <c r="D1301" i="12"/>
  <c r="E1301" i="12"/>
  <c r="I1301" i="12"/>
  <c r="G1301" i="12"/>
  <c r="F1301" i="12"/>
  <c r="C1301" i="12"/>
  <c r="J1301" i="12"/>
  <c r="B1301" i="12"/>
  <c r="B1300" i="12"/>
  <c r="D1300" i="12"/>
  <c r="F1300" i="12"/>
  <c r="G1300" i="12"/>
  <c r="E1300" i="12"/>
  <c r="C1300" i="12"/>
  <c r="H1300" i="12"/>
  <c r="J1300" i="12"/>
  <c r="I1300" i="12"/>
  <c r="J1299" i="12"/>
  <c r="H1299" i="12"/>
  <c r="F1299" i="12"/>
  <c r="D1299" i="12"/>
  <c r="B1299" i="12"/>
  <c r="G1299" i="12"/>
  <c r="E1299" i="12"/>
  <c r="C1299" i="12"/>
  <c r="I1299" i="12"/>
  <c r="B1298" i="12"/>
  <c r="E1298" i="12"/>
  <c r="H1298" i="12"/>
  <c r="F1298" i="12"/>
  <c r="J1298" i="12"/>
  <c r="D1298" i="12"/>
  <c r="C1298" i="12"/>
  <c r="I1298" i="12"/>
  <c r="G1298" i="12"/>
  <c r="B1297" i="12"/>
  <c r="C1297" i="12"/>
  <c r="E1297" i="12"/>
  <c r="J1297" i="12"/>
  <c r="I1297" i="12"/>
  <c r="H1297" i="12"/>
  <c r="G1297" i="12"/>
  <c r="F1297" i="12"/>
  <c r="D1297" i="12"/>
  <c r="I1296" i="12"/>
  <c r="H1296" i="12"/>
  <c r="J1296" i="12"/>
  <c r="B1296" i="12"/>
  <c r="F1296" i="12"/>
  <c r="D1296" i="12"/>
  <c r="G1296" i="12"/>
  <c r="E1296" i="12"/>
  <c r="C1296" i="12"/>
  <c r="C1295" i="12"/>
  <c r="G1295" i="12"/>
  <c r="F1295" i="12"/>
  <c r="D1295" i="12"/>
  <c r="E1295" i="12"/>
  <c r="B1295" i="12"/>
  <c r="J1295" i="12"/>
  <c r="I1295" i="12"/>
  <c r="H1295" i="12"/>
  <c r="I1294" i="12"/>
  <c r="H1294" i="12"/>
  <c r="G1294" i="12"/>
  <c r="F1294" i="12"/>
  <c r="E1294" i="12"/>
  <c r="C1294" i="12"/>
  <c r="D1294" i="12"/>
  <c r="B1294" i="12"/>
  <c r="J1294" i="12"/>
  <c r="C1293" i="12"/>
  <c r="I1293" i="12"/>
  <c r="J1293" i="12"/>
  <c r="B1293" i="12"/>
  <c r="D1293" i="12"/>
  <c r="H1293" i="12"/>
  <c r="G1293" i="12"/>
  <c r="E1293" i="12"/>
  <c r="F1293" i="12"/>
  <c r="J1292" i="12"/>
  <c r="D1292" i="12"/>
  <c r="B1292" i="12"/>
  <c r="C1292" i="12"/>
  <c r="E1292" i="12"/>
  <c r="F1292" i="12"/>
  <c r="G1292" i="12"/>
  <c r="H1292" i="12"/>
  <c r="I1292" i="12"/>
  <c r="D1291" i="12"/>
  <c r="J1291" i="12"/>
  <c r="I1291" i="12"/>
  <c r="H1291" i="12"/>
  <c r="C1291" i="12"/>
  <c r="G1291" i="12"/>
  <c r="E1291" i="12"/>
  <c r="B1291" i="12"/>
  <c r="F1291" i="12"/>
  <c r="D1290" i="12"/>
  <c r="C1290" i="12"/>
  <c r="E1290" i="12"/>
  <c r="F1290" i="12"/>
  <c r="B1290" i="12"/>
  <c r="G1290" i="12"/>
  <c r="H1290" i="12"/>
  <c r="I1290" i="12"/>
  <c r="J1290" i="12"/>
  <c r="C1289" i="12"/>
  <c r="D1289" i="12"/>
  <c r="E1289" i="12"/>
  <c r="F1289" i="12"/>
  <c r="G1289" i="12"/>
  <c r="H1289" i="12"/>
  <c r="I1289" i="12"/>
  <c r="J1289" i="12"/>
  <c r="B1289" i="12"/>
  <c r="H1288" i="12"/>
  <c r="B1288" i="12"/>
  <c r="C1288" i="12"/>
  <c r="D1288" i="12"/>
  <c r="I1288" i="12"/>
  <c r="G1288" i="12"/>
  <c r="F1288" i="12"/>
  <c r="E1288" i="12"/>
  <c r="J1288" i="12"/>
  <c r="H1287" i="12"/>
  <c r="I1287" i="12"/>
  <c r="B1287" i="12"/>
  <c r="C1287" i="12"/>
  <c r="D1287" i="12"/>
  <c r="E1287" i="12"/>
  <c r="F1287" i="12"/>
  <c r="G1287" i="12"/>
  <c r="J1287" i="12"/>
  <c r="C1286" i="12"/>
  <c r="D1286" i="12"/>
  <c r="F1286" i="12"/>
  <c r="G1286" i="12"/>
  <c r="I1286" i="12"/>
  <c r="J1286" i="12"/>
  <c r="E1286" i="12"/>
  <c r="B1286" i="12"/>
  <c r="H1286" i="12"/>
  <c r="F1285" i="12"/>
  <c r="G1285" i="12"/>
  <c r="I1285" i="12"/>
  <c r="J1285" i="12"/>
  <c r="C1285" i="12"/>
  <c r="B1285" i="12"/>
  <c r="D1285" i="12"/>
  <c r="H1285" i="12"/>
  <c r="E1285" i="12"/>
  <c r="H1284" i="12"/>
  <c r="G1284" i="12"/>
  <c r="B1284" i="12"/>
  <c r="D1284" i="12"/>
  <c r="E1284" i="12"/>
  <c r="F1284" i="12"/>
  <c r="I1284" i="12"/>
  <c r="J1284" i="12"/>
  <c r="C1284" i="12"/>
  <c r="C1283" i="12"/>
  <c r="F1283" i="12"/>
  <c r="G1283" i="12"/>
  <c r="H1283" i="12"/>
  <c r="J1283" i="12"/>
  <c r="I1283" i="12"/>
  <c r="E1283" i="12"/>
  <c r="B1283" i="12"/>
  <c r="D1283" i="12"/>
  <c r="J1282" i="12"/>
  <c r="F1282" i="12"/>
  <c r="H1282" i="12"/>
  <c r="I1282" i="12"/>
  <c r="D1282" i="12"/>
  <c r="C1282" i="12"/>
  <c r="E1282" i="12"/>
  <c r="G1282" i="12"/>
  <c r="B1282" i="12"/>
  <c r="C1281" i="12"/>
  <c r="E1281" i="12"/>
  <c r="G1281" i="12"/>
  <c r="F1281" i="12"/>
  <c r="H1281" i="12"/>
  <c r="I1281" i="12"/>
  <c r="J1281" i="12"/>
  <c r="B1281" i="12"/>
  <c r="D1281" i="12"/>
  <c r="C1280" i="12"/>
  <c r="E1280" i="12"/>
  <c r="F1280" i="12"/>
  <c r="H1280" i="12"/>
  <c r="G1280" i="12"/>
  <c r="J1280" i="12"/>
  <c r="I1280" i="12"/>
  <c r="D1280" i="12"/>
  <c r="B1280" i="12"/>
  <c r="H1279" i="12"/>
  <c r="D1279" i="12"/>
  <c r="B1279" i="12"/>
  <c r="J1279" i="12"/>
  <c r="I1279" i="12"/>
  <c r="F1279" i="12"/>
  <c r="G1279" i="12"/>
  <c r="E1279" i="12"/>
  <c r="C1279" i="12"/>
  <c r="I1278" i="12"/>
  <c r="H1278" i="12"/>
  <c r="J1278" i="12"/>
  <c r="C1278" i="12"/>
  <c r="E1278" i="12"/>
  <c r="B1278" i="12"/>
  <c r="D1278" i="12"/>
  <c r="F1278" i="12"/>
  <c r="G1278" i="12"/>
  <c r="F1277" i="12"/>
  <c r="H1277" i="12"/>
  <c r="B1277" i="12"/>
  <c r="I1277" i="12"/>
  <c r="J1277" i="12"/>
  <c r="E1277" i="12"/>
  <c r="G1277" i="12"/>
  <c r="D1277" i="12"/>
  <c r="C1277" i="12"/>
  <c r="B1276" i="12"/>
  <c r="J1276" i="12"/>
  <c r="I1276" i="12"/>
  <c r="H1276" i="12"/>
  <c r="G1276" i="12"/>
  <c r="F1276" i="12"/>
  <c r="E1276" i="12"/>
  <c r="C1276" i="12"/>
  <c r="D1276" i="12"/>
  <c r="J1275" i="12"/>
  <c r="I1275" i="12"/>
  <c r="H1275" i="12"/>
  <c r="C1275" i="12"/>
  <c r="E1275" i="12"/>
  <c r="G1275" i="12"/>
  <c r="F1275" i="12"/>
  <c r="D1275" i="12"/>
  <c r="B1275" i="12"/>
  <c r="D1274" i="12"/>
  <c r="E1274" i="12"/>
  <c r="F1274" i="12"/>
  <c r="C1274" i="12"/>
  <c r="G1274" i="12"/>
  <c r="H1274" i="12"/>
  <c r="J1274" i="12"/>
  <c r="I1274" i="12"/>
  <c r="B1274" i="12"/>
  <c r="D1273" i="12"/>
  <c r="H1273" i="12"/>
  <c r="G1273" i="12"/>
  <c r="F1273" i="12"/>
  <c r="C1273" i="12"/>
  <c r="E1273" i="12"/>
  <c r="B1273" i="12"/>
  <c r="J1273" i="12"/>
  <c r="I1273" i="12"/>
  <c r="G1272" i="12"/>
  <c r="E1272" i="12"/>
  <c r="F1272" i="12"/>
  <c r="H1272" i="12"/>
  <c r="D1272" i="12"/>
  <c r="J1272" i="12"/>
  <c r="I1272" i="12"/>
  <c r="C1272" i="12"/>
  <c r="B1272" i="12"/>
  <c r="C1271" i="12"/>
  <c r="E1271" i="12"/>
  <c r="F1271" i="12"/>
  <c r="H1271" i="12"/>
  <c r="I1271" i="12"/>
  <c r="J1271" i="12"/>
  <c r="G1271" i="12"/>
  <c r="B1271" i="12"/>
  <c r="D1271" i="12"/>
  <c r="F1270" i="12"/>
  <c r="D1270" i="12"/>
  <c r="H1270" i="12"/>
  <c r="I1270" i="12"/>
  <c r="J1270" i="12"/>
  <c r="B1270" i="12"/>
  <c r="E1270" i="12"/>
  <c r="C1270" i="12"/>
  <c r="G1270" i="12"/>
  <c r="I1269" i="12"/>
  <c r="F1269" i="12"/>
  <c r="J1269" i="12"/>
  <c r="C1269" i="12"/>
  <c r="H1269" i="12"/>
  <c r="G1269" i="12"/>
  <c r="E1269" i="12"/>
  <c r="D1269" i="12"/>
  <c r="B1269" i="12"/>
  <c r="C1268" i="12"/>
  <c r="D1268" i="12"/>
  <c r="F1268" i="12"/>
  <c r="H1268" i="12"/>
  <c r="J1268" i="12"/>
  <c r="I1268" i="12"/>
  <c r="G1268" i="12"/>
  <c r="E1268" i="12"/>
  <c r="B1268" i="12"/>
  <c r="D1267" i="12"/>
  <c r="F1267" i="12"/>
  <c r="B1267" i="12"/>
  <c r="J1267" i="12"/>
  <c r="I1267" i="12"/>
  <c r="H1267" i="12"/>
  <c r="G1267" i="12"/>
  <c r="E1267" i="12"/>
  <c r="C1267" i="12"/>
  <c r="C1266" i="12"/>
  <c r="I1266" i="12"/>
  <c r="J1266" i="12"/>
  <c r="G1266" i="12"/>
  <c r="H1266" i="12"/>
  <c r="F1266" i="12"/>
  <c r="E1266" i="12"/>
  <c r="B1266" i="12"/>
  <c r="D1266" i="12"/>
  <c r="J1265" i="12"/>
  <c r="I1265" i="12"/>
  <c r="G1265" i="12"/>
  <c r="F1265" i="12"/>
  <c r="D1265" i="12"/>
  <c r="B1265" i="12"/>
  <c r="E1265" i="12"/>
  <c r="C1265" i="12"/>
  <c r="H1265" i="12"/>
  <c r="F1264" i="12"/>
  <c r="C1264" i="12"/>
  <c r="J1264" i="12"/>
  <c r="I1264" i="12"/>
  <c r="H1264" i="12"/>
  <c r="G1264" i="12"/>
  <c r="E1264" i="12"/>
  <c r="D1264" i="12"/>
  <c r="B1264" i="12"/>
  <c r="F1263" i="12"/>
  <c r="D1263" i="12"/>
  <c r="B1263" i="12"/>
  <c r="I1263" i="12"/>
  <c r="H1263" i="12"/>
  <c r="G1263" i="12"/>
  <c r="J1263" i="12"/>
  <c r="E1263" i="12"/>
  <c r="C1263" i="12"/>
  <c r="J1262" i="12"/>
  <c r="I1262" i="12"/>
  <c r="H1262" i="12"/>
  <c r="G1262" i="12"/>
  <c r="E1262" i="12"/>
  <c r="B1262" i="12"/>
  <c r="F1262" i="12"/>
  <c r="D1262" i="12"/>
  <c r="C1262" i="12"/>
  <c r="J1261" i="12"/>
  <c r="I1261" i="12"/>
  <c r="H1261" i="12"/>
  <c r="G1261" i="12"/>
  <c r="F1261" i="12"/>
  <c r="D1261" i="12"/>
  <c r="E1261" i="12"/>
  <c r="B1261" i="12"/>
  <c r="C1261" i="12"/>
  <c r="D1260" i="12"/>
  <c r="J1260" i="12"/>
  <c r="I1260" i="12"/>
  <c r="B1260" i="12"/>
  <c r="C1260" i="12"/>
  <c r="E1260" i="12"/>
  <c r="F1260" i="12"/>
  <c r="G1260" i="12"/>
  <c r="H1260" i="12"/>
  <c r="J1259" i="12"/>
  <c r="I1259" i="12"/>
  <c r="H1259" i="12"/>
  <c r="G1259" i="12"/>
  <c r="F1259" i="12"/>
  <c r="D1259" i="12"/>
  <c r="E1259" i="12"/>
  <c r="C1259" i="12"/>
  <c r="B1259" i="12"/>
  <c r="I1258" i="12"/>
  <c r="B1258" i="12"/>
  <c r="F1258" i="12"/>
  <c r="G1258" i="12"/>
  <c r="C1258" i="12"/>
  <c r="E1258" i="12"/>
  <c r="H1258" i="12"/>
  <c r="J1258" i="12"/>
  <c r="D1258" i="12"/>
  <c r="B1257" i="12"/>
  <c r="E1257" i="12"/>
  <c r="D1257" i="12"/>
  <c r="C1257" i="12"/>
  <c r="G1257" i="12"/>
  <c r="H1257" i="12"/>
  <c r="I1257" i="12"/>
  <c r="J1257" i="12"/>
  <c r="F1257" i="12"/>
  <c r="E1256" i="12"/>
  <c r="G1256" i="12"/>
  <c r="C1256" i="12"/>
  <c r="J1256" i="12"/>
  <c r="I1256" i="12"/>
  <c r="H1256" i="12"/>
  <c r="F1256" i="12"/>
  <c r="D1256" i="12"/>
  <c r="B1256" i="12"/>
  <c r="B1255" i="12"/>
  <c r="F1255" i="12"/>
  <c r="D1255" i="12"/>
  <c r="C1255" i="12"/>
  <c r="E1255" i="12"/>
  <c r="G1255" i="12"/>
  <c r="H1255" i="12"/>
  <c r="I1255" i="12"/>
  <c r="J1255" i="12"/>
  <c r="D1254" i="12"/>
  <c r="F1254" i="12"/>
  <c r="G1254" i="12"/>
  <c r="J1254" i="12"/>
  <c r="H1254" i="12"/>
  <c r="B1254" i="12"/>
  <c r="C1254" i="12"/>
  <c r="E1254" i="12"/>
  <c r="I1254" i="12"/>
  <c r="G1253" i="12"/>
  <c r="D1253" i="12"/>
  <c r="F1253" i="12"/>
  <c r="C1253" i="12"/>
  <c r="E1253" i="12"/>
  <c r="I1253" i="12"/>
  <c r="J1253" i="12"/>
  <c r="B1253" i="12"/>
  <c r="H1253" i="12"/>
  <c r="I1252" i="12"/>
  <c r="B1252" i="12"/>
  <c r="J1252" i="12"/>
  <c r="D1252" i="12"/>
  <c r="H1252" i="12"/>
  <c r="G1252" i="12"/>
  <c r="E1252" i="12"/>
  <c r="C1252" i="12"/>
  <c r="F1252" i="12"/>
  <c r="J1251" i="12"/>
  <c r="I1251" i="12"/>
  <c r="H1251" i="12"/>
  <c r="G1251" i="12"/>
  <c r="F1251" i="12"/>
  <c r="D1251" i="12"/>
  <c r="E1251" i="12"/>
  <c r="C1251" i="12"/>
  <c r="B1251" i="12"/>
  <c r="G1250" i="12"/>
  <c r="H1250" i="12"/>
  <c r="I1250" i="12"/>
  <c r="D1250" i="12"/>
  <c r="E1250" i="12"/>
  <c r="C1250" i="12"/>
  <c r="B1250" i="12"/>
  <c r="J1250" i="12"/>
  <c r="F1250" i="12"/>
  <c r="I1249" i="12"/>
  <c r="F1249" i="12"/>
  <c r="D1249" i="12"/>
  <c r="B1249" i="12"/>
  <c r="J1249" i="12"/>
  <c r="C1249" i="12"/>
  <c r="E1249" i="12"/>
  <c r="G1249" i="12"/>
  <c r="H1249" i="12"/>
  <c r="I1248" i="12"/>
  <c r="B1248" i="12"/>
  <c r="H1248" i="12"/>
  <c r="F1248" i="12"/>
  <c r="G1248" i="12"/>
  <c r="D1248" i="12"/>
  <c r="J1248" i="12"/>
  <c r="E1248" i="12"/>
  <c r="C1248" i="12"/>
  <c r="J1247" i="12"/>
  <c r="I1247" i="12"/>
  <c r="H1247" i="12"/>
  <c r="F1247" i="12"/>
  <c r="D1247" i="12"/>
  <c r="B1247" i="12"/>
  <c r="C1247" i="12"/>
  <c r="G1247" i="12"/>
  <c r="E1247" i="12"/>
  <c r="D1246" i="12"/>
  <c r="J1246" i="12"/>
  <c r="E1246" i="12"/>
  <c r="B1246" i="12"/>
  <c r="G1246" i="12"/>
  <c r="H1246" i="12"/>
  <c r="C1246" i="12"/>
  <c r="I1246" i="12"/>
  <c r="F1246" i="12"/>
  <c r="F1245" i="12"/>
  <c r="D1245" i="12"/>
  <c r="J1245" i="12"/>
  <c r="I1245" i="12"/>
  <c r="H1245" i="12"/>
  <c r="G1245" i="12"/>
  <c r="E1245" i="12"/>
  <c r="C1245" i="12"/>
  <c r="B1245" i="12"/>
  <c r="H1244" i="12"/>
  <c r="I1244" i="12"/>
  <c r="J1244" i="12"/>
  <c r="D1244" i="12"/>
  <c r="F1244" i="12"/>
  <c r="B1244" i="12"/>
  <c r="C1244" i="12"/>
  <c r="E1244" i="12"/>
  <c r="G1244" i="12"/>
  <c r="I1243" i="12"/>
  <c r="J1243" i="12"/>
  <c r="F1243" i="12"/>
  <c r="D1243" i="12"/>
  <c r="B1243" i="12"/>
  <c r="C1243" i="12"/>
  <c r="E1243" i="12"/>
  <c r="G1243" i="12"/>
  <c r="H1243" i="12"/>
  <c r="B1242" i="12"/>
  <c r="C1242" i="12"/>
  <c r="F1242" i="12"/>
  <c r="D1242" i="12"/>
  <c r="E1242" i="12"/>
  <c r="G1242" i="12"/>
  <c r="H1242" i="12"/>
  <c r="I1242" i="12"/>
  <c r="J1242" i="12"/>
  <c r="I1241" i="12"/>
  <c r="H1241" i="12"/>
  <c r="E1241" i="12"/>
  <c r="G1241" i="12"/>
  <c r="F1241" i="12"/>
  <c r="C1241" i="12"/>
  <c r="B1241" i="12"/>
  <c r="D1241" i="12"/>
  <c r="J1241" i="12"/>
  <c r="H1240" i="12"/>
  <c r="J1240" i="12"/>
  <c r="I1240" i="12"/>
  <c r="G1240" i="12"/>
  <c r="E1240" i="12"/>
  <c r="B1240" i="12"/>
  <c r="F1240" i="12"/>
  <c r="D1240" i="12"/>
  <c r="C1240" i="12"/>
  <c r="D1239" i="12"/>
  <c r="F1239" i="12"/>
  <c r="G1239" i="12"/>
  <c r="I1239" i="12"/>
  <c r="E1239" i="12"/>
  <c r="C1239" i="12"/>
  <c r="H1239" i="12"/>
  <c r="B1239" i="12"/>
  <c r="J1239" i="12"/>
  <c r="F1238" i="12"/>
  <c r="D1238" i="12"/>
  <c r="J1238" i="12"/>
  <c r="I1238" i="12"/>
  <c r="H1238" i="12"/>
  <c r="B1238" i="12"/>
  <c r="E1238" i="12"/>
  <c r="C1238" i="12"/>
  <c r="G1238" i="12"/>
  <c r="J1237" i="12"/>
  <c r="I1237" i="12"/>
  <c r="H1237" i="12"/>
  <c r="C1237" i="12"/>
  <c r="G1237" i="12"/>
  <c r="E1237" i="12"/>
  <c r="F1237" i="12"/>
  <c r="D1237" i="12"/>
  <c r="B1237" i="12"/>
  <c r="H1236" i="12"/>
  <c r="I1236" i="12"/>
  <c r="D1236" i="12"/>
  <c r="B1236" i="12"/>
  <c r="J1236" i="12"/>
  <c r="C1236" i="12"/>
  <c r="E1236" i="12"/>
  <c r="F1236" i="12"/>
  <c r="G1236" i="12"/>
  <c r="C1235" i="12"/>
  <c r="I1235" i="12"/>
  <c r="H1235" i="12"/>
  <c r="G1235" i="12"/>
  <c r="E1235" i="12"/>
  <c r="D1235" i="12"/>
  <c r="B1235" i="12"/>
  <c r="F1235" i="12"/>
  <c r="J1235" i="12"/>
  <c r="F1234" i="12"/>
  <c r="D1234" i="12"/>
  <c r="J1234" i="12"/>
  <c r="I1234" i="12"/>
  <c r="H1234" i="12"/>
  <c r="G1234" i="12"/>
  <c r="E1234" i="12"/>
  <c r="C1234" i="12"/>
  <c r="B1234" i="12"/>
  <c r="B1233" i="12"/>
  <c r="F1233" i="12"/>
  <c r="G1233" i="12"/>
  <c r="H1233" i="12"/>
  <c r="I1233" i="12"/>
  <c r="C1233" i="12"/>
  <c r="E1233" i="12"/>
  <c r="J1233" i="12"/>
  <c r="D1233" i="12"/>
  <c r="F1232" i="12"/>
  <c r="G1232" i="12"/>
  <c r="I1232" i="12"/>
  <c r="C1232" i="12"/>
  <c r="B1232" i="12"/>
  <c r="E1232" i="12"/>
  <c r="J1232" i="12"/>
  <c r="D1232" i="12"/>
  <c r="H1232" i="12"/>
  <c r="J1231" i="12"/>
  <c r="I1231" i="12"/>
  <c r="H1231" i="12"/>
  <c r="G1231" i="12"/>
  <c r="E1231" i="12"/>
  <c r="C1231" i="12"/>
  <c r="F1231" i="12"/>
  <c r="D1231" i="12"/>
  <c r="B1231" i="12"/>
  <c r="I1230" i="12"/>
  <c r="D1230" i="12"/>
  <c r="J1230" i="12"/>
  <c r="H1230" i="12"/>
  <c r="G1230" i="12"/>
  <c r="F1230" i="12"/>
  <c r="E1230" i="12"/>
  <c r="C1230" i="12"/>
  <c r="B1230" i="12"/>
  <c r="C1229" i="12"/>
  <c r="J1229" i="12"/>
  <c r="E1229" i="12"/>
  <c r="B1229" i="12"/>
  <c r="F1229" i="12"/>
  <c r="D1229" i="12"/>
  <c r="G1229" i="12"/>
  <c r="H1229" i="12"/>
  <c r="I1229" i="12"/>
  <c r="I1228" i="12"/>
  <c r="G1228" i="12"/>
  <c r="H1228" i="12"/>
  <c r="J1228" i="12"/>
  <c r="D1228" i="12"/>
  <c r="E1228" i="12"/>
  <c r="C1228" i="12"/>
  <c r="B1228" i="12"/>
  <c r="F1228" i="12"/>
  <c r="J1227" i="12"/>
  <c r="I1227" i="12"/>
  <c r="H1227" i="12"/>
  <c r="G1227" i="12"/>
  <c r="F1227" i="12"/>
  <c r="D1227" i="12"/>
  <c r="B1227" i="12"/>
  <c r="C1227" i="12"/>
  <c r="E1227" i="12"/>
  <c r="G1226" i="12"/>
  <c r="H1226" i="12"/>
  <c r="I1226" i="12"/>
  <c r="J1226" i="12"/>
  <c r="D1226" i="12"/>
  <c r="E1226" i="12"/>
  <c r="F1226" i="12"/>
  <c r="B1226" i="12"/>
  <c r="C1226" i="12"/>
  <c r="C1225" i="12"/>
  <c r="H1225" i="12"/>
  <c r="J1225" i="12"/>
  <c r="I1225" i="12"/>
  <c r="G1225" i="12"/>
  <c r="F1225" i="12"/>
  <c r="D1225" i="12"/>
  <c r="B1225" i="12"/>
  <c r="E1225" i="12"/>
  <c r="B1224" i="12"/>
  <c r="D1224" i="12"/>
  <c r="F1224" i="12"/>
  <c r="C1224" i="12"/>
  <c r="E1224" i="12"/>
  <c r="G1224" i="12"/>
  <c r="H1224" i="12"/>
  <c r="I1224" i="12"/>
  <c r="J1224" i="12"/>
  <c r="H1223" i="12"/>
  <c r="F1223" i="12"/>
  <c r="C1223" i="12"/>
  <c r="D1223" i="12"/>
  <c r="B1223" i="12"/>
  <c r="I1223" i="12"/>
  <c r="J1223" i="12"/>
  <c r="G1223" i="12"/>
  <c r="E1223" i="12"/>
  <c r="F1222" i="12"/>
  <c r="H1222" i="12"/>
  <c r="I1222" i="12"/>
  <c r="J1222" i="12"/>
  <c r="E1222" i="12"/>
  <c r="G1222" i="12"/>
  <c r="C1222" i="12"/>
  <c r="B1222" i="12"/>
  <c r="D1222" i="12"/>
  <c r="D1221" i="12"/>
  <c r="B1221" i="12"/>
  <c r="E1221" i="12"/>
  <c r="J1221" i="12"/>
  <c r="I1221" i="12"/>
  <c r="H1221" i="12"/>
  <c r="G1221" i="12"/>
  <c r="F1221" i="12"/>
  <c r="C1221" i="12"/>
  <c r="J1220" i="12"/>
  <c r="I1220" i="12"/>
  <c r="H1220" i="12"/>
  <c r="G1220" i="12"/>
  <c r="E1220" i="12"/>
  <c r="C1220" i="12"/>
  <c r="B1220" i="12"/>
  <c r="F1220" i="12"/>
  <c r="D1220" i="12"/>
  <c r="F1219" i="12"/>
  <c r="C1219" i="12"/>
  <c r="B1219" i="12"/>
  <c r="D1219" i="12"/>
  <c r="E1219" i="12"/>
  <c r="G1219" i="12"/>
  <c r="H1219" i="12"/>
  <c r="I1219" i="12"/>
  <c r="J1219" i="12"/>
  <c r="F1218" i="12"/>
  <c r="D1218" i="12"/>
  <c r="C1218" i="12"/>
  <c r="B1218" i="12"/>
  <c r="E1218" i="12"/>
  <c r="G1218" i="12"/>
  <c r="H1218" i="12"/>
  <c r="I1218" i="12"/>
  <c r="J1218" i="12"/>
  <c r="E1217" i="12"/>
  <c r="J1217" i="12"/>
  <c r="I1217" i="12"/>
  <c r="H1217" i="12"/>
  <c r="G1217" i="12"/>
  <c r="D1217" i="12"/>
  <c r="F1217" i="12"/>
  <c r="B1217" i="12"/>
  <c r="C1217" i="12"/>
  <c r="C1216" i="12"/>
  <c r="E1216" i="12"/>
  <c r="F1216" i="12"/>
  <c r="H1216" i="12"/>
  <c r="I1216" i="12"/>
  <c r="J1216" i="12"/>
  <c r="G1216" i="12"/>
  <c r="D1216" i="12"/>
  <c r="B1216" i="12"/>
  <c r="F1215" i="12"/>
  <c r="G1215" i="12"/>
  <c r="B1215" i="12"/>
  <c r="E1215" i="12"/>
  <c r="C1215" i="12"/>
  <c r="D1215" i="12"/>
  <c r="J1215" i="12"/>
  <c r="I1215" i="12"/>
  <c r="H1215" i="12"/>
  <c r="H1214" i="12"/>
  <c r="J1214" i="12"/>
  <c r="I1214" i="12"/>
  <c r="G1214" i="12"/>
  <c r="E1214" i="12"/>
  <c r="B1214" i="12"/>
  <c r="C1214" i="12"/>
  <c r="F1214" i="12"/>
  <c r="D1214" i="12"/>
  <c r="G1213" i="12"/>
  <c r="F1213" i="12"/>
  <c r="D1213" i="12"/>
  <c r="B1213" i="12"/>
  <c r="I1213" i="12"/>
  <c r="C1213" i="12"/>
  <c r="E1213" i="12"/>
  <c r="J1213" i="12"/>
  <c r="H1213" i="12"/>
  <c r="H1212" i="12"/>
  <c r="G1212" i="12"/>
  <c r="B1212" i="12"/>
  <c r="F1212" i="12"/>
  <c r="E1212" i="12"/>
  <c r="D1212" i="12"/>
  <c r="C1212" i="12"/>
  <c r="J1212" i="12"/>
  <c r="I1212" i="12"/>
  <c r="G1211" i="12"/>
  <c r="F1211" i="12"/>
  <c r="D1211" i="12"/>
  <c r="B1211" i="12"/>
  <c r="E1211" i="12"/>
  <c r="C1211" i="12"/>
  <c r="J1211" i="12"/>
  <c r="I1211" i="12"/>
  <c r="H1211" i="12"/>
  <c r="J1210" i="12"/>
  <c r="I1210" i="12"/>
  <c r="G1210" i="12"/>
  <c r="F1210" i="12"/>
  <c r="B1210" i="12"/>
  <c r="H1210" i="12"/>
  <c r="D1210" i="12"/>
  <c r="C1210" i="12"/>
  <c r="E1210" i="12"/>
  <c r="J1209" i="12"/>
  <c r="I1209" i="12"/>
  <c r="H1209" i="12"/>
  <c r="D1209" i="12"/>
  <c r="B1209" i="12"/>
  <c r="C1209" i="12"/>
  <c r="F1209" i="12"/>
  <c r="E1209" i="12"/>
  <c r="G1209" i="12"/>
  <c r="B1208" i="12"/>
  <c r="F1208" i="12"/>
  <c r="G1208" i="12"/>
  <c r="H1208" i="12"/>
  <c r="I1208" i="12"/>
  <c r="J1208" i="12"/>
  <c r="E1208" i="12"/>
  <c r="C1208" i="12"/>
  <c r="D1208" i="12"/>
  <c r="G1207" i="12"/>
  <c r="F1207" i="12"/>
  <c r="I1207" i="12"/>
  <c r="J1207" i="12"/>
  <c r="E1207" i="12"/>
  <c r="B1207" i="12"/>
  <c r="C1207" i="12"/>
  <c r="H1207" i="12"/>
  <c r="D1207" i="12"/>
  <c r="C1206" i="12"/>
  <c r="B1206" i="12"/>
  <c r="D1206" i="12"/>
  <c r="F1206" i="12"/>
  <c r="G1206" i="12"/>
  <c r="E1206" i="12"/>
  <c r="H1206" i="12"/>
  <c r="J1206" i="12"/>
  <c r="I1206" i="12"/>
  <c r="J1205" i="12"/>
  <c r="I1205" i="12"/>
  <c r="H1205" i="12"/>
  <c r="G1205" i="12"/>
  <c r="F1205" i="12"/>
  <c r="D1205" i="12"/>
  <c r="B1205" i="12"/>
  <c r="E1205" i="12"/>
  <c r="C1205" i="12"/>
  <c r="B1204" i="12"/>
  <c r="J1204" i="12"/>
  <c r="I1204" i="12"/>
  <c r="H1204" i="12"/>
  <c r="G1204" i="12"/>
  <c r="E1204" i="12"/>
  <c r="D1204" i="12"/>
  <c r="C1204" i="12"/>
  <c r="F1204" i="12"/>
  <c r="C1203" i="12"/>
  <c r="J1203" i="12"/>
  <c r="I1203" i="12"/>
  <c r="H1203" i="12"/>
  <c r="G1203" i="12"/>
  <c r="E1203" i="12"/>
  <c r="D1203" i="12"/>
  <c r="B1203" i="12"/>
  <c r="F1203" i="12"/>
  <c r="C1202" i="12"/>
  <c r="E1202" i="12"/>
  <c r="D1202" i="12"/>
  <c r="B1202" i="12"/>
  <c r="J1202" i="12"/>
  <c r="I1202" i="12"/>
  <c r="H1202" i="12"/>
  <c r="G1202" i="12"/>
  <c r="F1202" i="12"/>
  <c r="H1201" i="12"/>
  <c r="E1201" i="12"/>
  <c r="D1201" i="12"/>
  <c r="C1201" i="12"/>
  <c r="J1201" i="12"/>
  <c r="I1201" i="12"/>
  <c r="B1201" i="12"/>
  <c r="G1201" i="12"/>
  <c r="F1201" i="12"/>
  <c r="I1200" i="12"/>
  <c r="B1200" i="12"/>
  <c r="C1200" i="12"/>
  <c r="D1200" i="12"/>
  <c r="F1200" i="12"/>
  <c r="E1200" i="12"/>
  <c r="J1200" i="12"/>
  <c r="H1200" i="12"/>
  <c r="G1200" i="12"/>
  <c r="E1199" i="12"/>
  <c r="D1199" i="12"/>
  <c r="B1199" i="12"/>
  <c r="C1199" i="12"/>
  <c r="H1199" i="12"/>
  <c r="I1199" i="12"/>
  <c r="G1199" i="12"/>
  <c r="F1199" i="12"/>
  <c r="J1199" i="12"/>
  <c r="E1198" i="12"/>
  <c r="D1198" i="12"/>
  <c r="J1198" i="12"/>
  <c r="I1198" i="12"/>
  <c r="H1198" i="12"/>
  <c r="F1198" i="12"/>
  <c r="C1198" i="12"/>
  <c r="G1198" i="12"/>
  <c r="B1198" i="12"/>
  <c r="E1197" i="12"/>
  <c r="G1197" i="12"/>
  <c r="H1197" i="12"/>
  <c r="I1197" i="12"/>
  <c r="J1197" i="12"/>
  <c r="F1197" i="12"/>
  <c r="B1197" i="12"/>
  <c r="C1197" i="12"/>
  <c r="D1197" i="12"/>
  <c r="H1196" i="12"/>
  <c r="G1196" i="12"/>
  <c r="C1196" i="12"/>
  <c r="B1196" i="12"/>
  <c r="D1196" i="12"/>
  <c r="E1196" i="12"/>
  <c r="J1196" i="12"/>
  <c r="F1196" i="12"/>
  <c r="I1196" i="12"/>
  <c r="G1195" i="12"/>
  <c r="I1195" i="12"/>
  <c r="J1195" i="12"/>
  <c r="H1195" i="12"/>
  <c r="F1195" i="12"/>
  <c r="E1195" i="12"/>
  <c r="D1195" i="12"/>
  <c r="C1195" i="12"/>
  <c r="B1195" i="12"/>
  <c r="I1194" i="12"/>
  <c r="H1194" i="12"/>
  <c r="G1194" i="12"/>
  <c r="E1194" i="12"/>
  <c r="D1194" i="12"/>
  <c r="C1194" i="12"/>
  <c r="B1194" i="12"/>
  <c r="J1194" i="12"/>
  <c r="F1194" i="12"/>
  <c r="I1193" i="12"/>
  <c r="H1193" i="12"/>
  <c r="G1193" i="12"/>
  <c r="F1193" i="12"/>
  <c r="E1193" i="12"/>
  <c r="D1193" i="12"/>
  <c r="C1193" i="12"/>
  <c r="B1193" i="12"/>
  <c r="J1193" i="12"/>
  <c r="B1192" i="12"/>
  <c r="J1192" i="12"/>
  <c r="I1192" i="12"/>
  <c r="H1192" i="12"/>
  <c r="G1192" i="12"/>
  <c r="F1192" i="12"/>
  <c r="E1192" i="12"/>
  <c r="D1192" i="12"/>
  <c r="C1192" i="12"/>
  <c r="E1191" i="12"/>
  <c r="D1191" i="12"/>
  <c r="C1191" i="12"/>
  <c r="B1191" i="12"/>
  <c r="G1191" i="12"/>
  <c r="H1191" i="12"/>
  <c r="I1191" i="12"/>
  <c r="J1191" i="12"/>
  <c r="F1191" i="12"/>
  <c r="F1190" i="12"/>
  <c r="C1190" i="12"/>
  <c r="B1190" i="12"/>
  <c r="D1190" i="12"/>
  <c r="E1190" i="12"/>
  <c r="G1190" i="12"/>
  <c r="H1190" i="12"/>
  <c r="J1190" i="12"/>
  <c r="I1190" i="12"/>
  <c r="J1189" i="12"/>
  <c r="I1189" i="12"/>
  <c r="G1189" i="12"/>
  <c r="F1189" i="12"/>
  <c r="D1189" i="12"/>
  <c r="B1189" i="12"/>
  <c r="C1189" i="12"/>
  <c r="H1189" i="12"/>
  <c r="E1189" i="12"/>
  <c r="B1188" i="12"/>
  <c r="I1188" i="12"/>
  <c r="J1188" i="12"/>
  <c r="D1188" i="12"/>
  <c r="H1188" i="12"/>
  <c r="C1188" i="12"/>
  <c r="E1188" i="12"/>
  <c r="F1188" i="12"/>
  <c r="G1188" i="12"/>
  <c r="C1187" i="12"/>
  <c r="E1187" i="12"/>
  <c r="B1187" i="12"/>
  <c r="D1187" i="12"/>
  <c r="H1187" i="12"/>
  <c r="I1187" i="12"/>
  <c r="J1187" i="12"/>
  <c r="G1187" i="12"/>
  <c r="F1187" i="12"/>
  <c r="E1186" i="12"/>
  <c r="C1186" i="12"/>
  <c r="G1186" i="12"/>
  <c r="H1186" i="12"/>
  <c r="I1186" i="12"/>
  <c r="B1186" i="12"/>
  <c r="D1186" i="12"/>
  <c r="F1186" i="12"/>
  <c r="J1186" i="12"/>
  <c r="G1185" i="12"/>
  <c r="C1185" i="12"/>
  <c r="B1185" i="12"/>
  <c r="D1185" i="12"/>
  <c r="F1185" i="12"/>
  <c r="H1185" i="12"/>
  <c r="E1185" i="12"/>
  <c r="I1185" i="12"/>
  <c r="J1185" i="12"/>
  <c r="F1184" i="12"/>
  <c r="G1184" i="12"/>
  <c r="H1184" i="12"/>
  <c r="I1184" i="12"/>
  <c r="J1184" i="12"/>
  <c r="B1184" i="12"/>
  <c r="E1184" i="12"/>
  <c r="C1184" i="12"/>
  <c r="D1184" i="12"/>
  <c r="D1183" i="12"/>
  <c r="J1183" i="12"/>
  <c r="E1183" i="12"/>
  <c r="C1183" i="12"/>
  <c r="I1183" i="12"/>
  <c r="H1183" i="12"/>
  <c r="G1183" i="12"/>
  <c r="B1183" i="12"/>
  <c r="F1183" i="12"/>
  <c r="E1182" i="12"/>
  <c r="B1182" i="12"/>
  <c r="F1182" i="12"/>
  <c r="G1182" i="12"/>
  <c r="H1182" i="12"/>
  <c r="I1182" i="12"/>
  <c r="J1182" i="12"/>
  <c r="C1182" i="12"/>
  <c r="D1182" i="12"/>
  <c r="D1181" i="12"/>
  <c r="F1181" i="12"/>
  <c r="I1181" i="12"/>
  <c r="E1181" i="12"/>
  <c r="H1181" i="12"/>
  <c r="G1181" i="12"/>
  <c r="J1181" i="12"/>
  <c r="C1181" i="12"/>
  <c r="B1181" i="12"/>
  <c r="J1180" i="12"/>
  <c r="D1180" i="12"/>
  <c r="F1180" i="12"/>
  <c r="C1180" i="12"/>
  <c r="I1180" i="12"/>
  <c r="H1180" i="12"/>
  <c r="G1180" i="12"/>
  <c r="E1180" i="12"/>
  <c r="B1180" i="12"/>
  <c r="E1179" i="12"/>
  <c r="C1179" i="12"/>
  <c r="H1179" i="12"/>
  <c r="I1179" i="12"/>
  <c r="F1179" i="12"/>
  <c r="D1179" i="12"/>
  <c r="B1179" i="12"/>
  <c r="G1179" i="12"/>
  <c r="J1179" i="12"/>
  <c r="C1178" i="12"/>
  <c r="J1178" i="12"/>
  <c r="B1178" i="12"/>
  <c r="I1178" i="12"/>
  <c r="D1178" i="12"/>
  <c r="F1178" i="12"/>
  <c r="G1178" i="12"/>
  <c r="H1178" i="12"/>
  <c r="E1178" i="12"/>
  <c r="J1177" i="12"/>
  <c r="I1177" i="12"/>
  <c r="H1177" i="12"/>
  <c r="G1177" i="12"/>
  <c r="F1177" i="12"/>
  <c r="B1177" i="12"/>
  <c r="E1177" i="12"/>
  <c r="D1177" i="12"/>
  <c r="C1177" i="12"/>
  <c r="J1176" i="12"/>
  <c r="I1176" i="12"/>
  <c r="H1176" i="12"/>
  <c r="G1176" i="12"/>
  <c r="F1176" i="12"/>
  <c r="E1176" i="12"/>
  <c r="D1176" i="12"/>
  <c r="C1176" i="12"/>
  <c r="B1176" i="12"/>
  <c r="J1175" i="12"/>
  <c r="I1175" i="12"/>
  <c r="H1175" i="12"/>
  <c r="G1175" i="12"/>
  <c r="F1175" i="12"/>
  <c r="E1175" i="12"/>
  <c r="D1175" i="12"/>
  <c r="C1175" i="12"/>
  <c r="B1175" i="12"/>
  <c r="F1174" i="12"/>
  <c r="G1174" i="12"/>
  <c r="H1174" i="12"/>
  <c r="J1174" i="12"/>
  <c r="I1174" i="12"/>
  <c r="B1174" i="12"/>
  <c r="C1174" i="12"/>
  <c r="D1174" i="12"/>
  <c r="E1174" i="12"/>
  <c r="D1173" i="12"/>
  <c r="I1173" i="12"/>
  <c r="J1173" i="12"/>
  <c r="H1173" i="12"/>
  <c r="G1173" i="12"/>
  <c r="F1173" i="12"/>
  <c r="E1173" i="12"/>
  <c r="C1173" i="12"/>
  <c r="B1173" i="12"/>
  <c r="I1172" i="12"/>
  <c r="H1172" i="12"/>
  <c r="B1172" i="12"/>
  <c r="C1172" i="12"/>
  <c r="D1172" i="12"/>
  <c r="E1172" i="12"/>
  <c r="F1172" i="12"/>
  <c r="G1172" i="12"/>
  <c r="J1172" i="12"/>
  <c r="D1171" i="12"/>
  <c r="E1171" i="12"/>
  <c r="F1171" i="12"/>
  <c r="G1171" i="12"/>
  <c r="H1171" i="12"/>
  <c r="J1171" i="12"/>
  <c r="I1171" i="12"/>
  <c r="C1171" i="12"/>
  <c r="B1171" i="12"/>
  <c r="B1170" i="12"/>
  <c r="J1170" i="12"/>
  <c r="C1170" i="12"/>
  <c r="D1170" i="12"/>
  <c r="I1170" i="12"/>
  <c r="H1170" i="12"/>
  <c r="G1170" i="12"/>
  <c r="F1170" i="12"/>
  <c r="E1170" i="12"/>
  <c r="I1169" i="12"/>
  <c r="H1169" i="12"/>
  <c r="G1169" i="12"/>
  <c r="F1169" i="12"/>
  <c r="J1169" i="12"/>
  <c r="B1169" i="12"/>
  <c r="C1169" i="12"/>
  <c r="D1169" i="12"/>
  <c r="E1169" i="12"/>
  <c r="F1168" i="12"/>
  <c r="E1168" i="12"/>
  <c r="H1168" i="12"/>
  <c r="D1168" i="12"/>
  <c r="B1168" i="12"/>
  <c r="G1168" i="12"/>
  <c r="C1168" i="12"/>
  <c r="I1168" i="12"/>
  <c r="J1168" i="12"/>
  <c r="G1167" i="12"/>
  <c r="J1167" i="12"/>
  <c r="I1167" i="12"/>
  <c r="H1167" i="12"/>
  <c r="F1167" i="12"/>
  <c r="E1167" i="12"/>
  <c r="D1167" i="12"/>
  <c r="C1167" i="12"/>
  <c r="B1167" i="12"/>
  <c r="B1166" i="12"/>
  <c r="C1166" i="12"/>
  <c r="D1166" i="12"/>
  <c r="E1166" i="12"/>
  <c r="F1166" i="12"/>
  <c r="G1166" i="12"/>
  <c r="I1166" i="12"/>
  <c r="J1166" i="12"/>
  <c r="H1166" i="12"/>
  <c r="G1165" i="12"/>
  <c r="F1165" i="12"/>
  <c r="E1165" i="12"/>
  <c r="D1165" i="12"/>
  <c r="B1165" i="12"/>
  <c r="C1165" i="12"/>
  <c r="J1165" i="12"/>
  <c r="I1165" i="12"/>
  <c r="H1165" i="12"/>
  <c r="G1164" i="12"/>
  <c r="H1164" i="12"/>
  <c r="I1164" i="12"/>
  <c r="J1164" i="12"/>
  <c r="B1164" i="12"/>
  <c r="C1164" i="12"/>
  <c r="D1164" i="12"/>
  <c r="E1164" i="12"/>
  <c r="F1164" i="12"/>
  <c r="J503" i="12"/>
  <c r="I503" i="12"/>
  <c r="H503" i="12"/>
  <c r="G503" i="12"/>
  <c r="F503" i="12"/>
  <c r="E503" i="12"/>
  <c r="D503" i="12"/>
  <c r="C503" i="12"/>
  <c r="B503" i="12"/>
  <c r="N394" i="10"/>
  <c r="O394" i="10" a="1"/>
  <c r="O312" i="10" a="1"/>
  <c r="N312" i="10"/>
  <c r="O213" i="10" a="1"/>
  <c r="N213" i="10"/>
  <c r="N196" i="10"/>
  <c r="O196" i="10" a="1"/>
  <c r="O139" i="10" a="1"/>
  <c r="N139" i="10"/>
  <c r="G1608" i="12"/>
  <c r="F1608" i="12"/>
  <c r="E1608" i="12"/>
  <c r="B1608" i="12"/>
  <c r="C1608" i="12"/>
  <c r="D1608" i="12"/>
  <c r="J1608" i="12"/>
  <c r="I1608" i="12"/>
  <c r="H1608" i="12"/>
  <c r="E1607" i="12"/>
  <c r="G1607" i="12"/>
  <c r="D1607" i="12"/>
  <c r="B1607" i="12"/>
  <c r="C1607" i="12"/>
  <c r="F1607" i="12"/>
  <c r="H1607" i="12"/>
  <c r="I1607" i="12"/>
  <c r="J1607" i="12"/>
  <c r="I1606" i="12"/>
  <c r="D1606" i="12"/>
  <c r="H1606" i="12"/>
  <c r="G1606" i="12"/>
  <c r="F1606" i="12"/>
  <c r="E1606" i="12"/>
  <c r="B1606" i="12"/>
  <c r="C1606" i="12"/>
  <c r="J1606" i="12"/>
  <c r="G1605" i="12"/>
  <c r="I1605" i="12"/>
  <c r="E1605" i="12"/>
  <c r="C1605" i="12"/>
  <c r="D1605" i="12"/>
  <c r="J1605" i="12"/>
  <c r="F1605" i="12"/>
  <c r="B1605" i="12"/>
  <c r="H1605" i="12"/>
  <c r="H1604" i="12"/>
  <c r="J1604" i="12"/>
  <c r="I1604" i="12"/>
  <c r="B1604" i="12"/>
  <c r="G1604" i="12"/>
  <c r="F1604" i="12"/>
  <c r="D1604" i="12"/>
  <c r="E1604" i="12"/>
  <c r="C1604" i="12"/>
  <c r="D1603" i="12"/>
  <c r="E1603" i="12"/>
  <c r="B1603" i="12"/>
  <c r="G1603" i="12"/>
  <c r="J1603" i="12"/>
  <c r="H1603" i="12"/>
  <c r="C1603" i="12"/>
  <c r="F1603" i="12"/>
  <c r="I1603" i="12"/>
  <c r="J1602" i="12"/>
  <c r="F1602" i="12"/>
  <c r="I1602" i="12"/>
  <c r="H1602" i="12"/>
  <c r="B1602" i="12"/>
  <c r="C1602" i="12"/>
  <c r="D1602" i="12"/>
  <c r="G1602" i="12"/>
  <c r="E1602" i="12"/>
  <c r="I1601" i="12"/>
  <c r="J1601" i="12"/>
  <c r="B1601" i="12"/>
  <c r="D1601" i="12"/>
  <c r="C1601" i="12"/>
  <c r="H1601" i="12"/>
  <c r="G1601" i="12"/>
  <c r="F1601" i="12"/>
  <c r="E1601" i="12"/>
  <c r="I1600" i="12"/>
  <c r="B1600" i="12"/>
  <c r="J1600" i="12"/>
  <c r="F1600" i="12"/>
  <c r="G1600" i="12"/>
  <c r="H1600" i="12"/>
  <c r="E1600" i="12"/>
  <c r="C1600" i="12"/>
  <c r="D1600" i="12"/>
  <c r="H1599" i="12"/>
  <c r="I1599" i="12"/>
  <c r="J1599" i="12"/>
  <c r="E1599" i="12"/>
  <c r="D1599" i="12"/>
  <c r="F1599" i="12"/>
  <c r="B1599" i="12"/>
  <c r="G1599" i="12"/>
  <c r="C1599" i="12"/>
  <c r="C1598" i="12"/>
  <c r="E1598" i="12"/>
  <c r="F1598" i="12"/>
  <c r="I1598" i="12"/>
  <c r="J1598" i="12"/>
  <c r="D1598" i="12"/>
  <c r="H1598" i="12"/>
  <c r="G1598" i="12"/>
  <c r="B1598" i="12"/>
  <c r="H1597" i="12"/>
  <c r="J1597" i="12"/>
  <c r="I1597" i="12"/>
  <c r="F1597" i="12"/>
  <c r="C1597" i="12"/>
  <c r="D1597" i="12"/>
  <c r="B1597" i="12"/>
  <c r="E1597" i="12"/>
  <c r="G1597" i="12"/>
  <c r="F1596" i="12"/>
  <c r="D1596" i="12"/>
  <c r="C1596" i="12"/>
  <c r="B1596" i="12"/>
  <c r="G1596" i="12"/>
  <c r="J1596" i="12"/>
  <c r="I1596" i="12"/>
  <c r="E1596" i="12"/>
  <c r="H1596" i="12"/>
  <c r="D1595" i="12"/>
  <c r="J1595" i="12"/>
  <c r="I1595" i="12"/>
  <c r="H1595" i="12"/>
  <c r="G1595" i="12"/>
  <c r="B1595" i="12"/>
  <c r="F1595" i="12"/>
  <c r="E1595" i="12"/>
  <c r="C1595" i="12"/>
  <c r="I1594" i="12"/>
  <c r="B1594" i="12"/>
  <c r="C1594" i="12"/>
  <c r="E1594" i="12"/>
  <c r="D1594" i="12"/>
  <c r="F1594" i="12"/>
  <c r="G1594" i="12"/>
  <c r="H1594" i="12"/>
  <c r="J1594" i="12"/>
  <c r="E1593" i="12"/>
  <c r="G1593" i="12"/>
  <c r="H1593" i="12"/>
  <c r="F1593" i="12"/>
  <c r="I1593" i="12"/>
  <c r="D1593" i="12"/>
  <c r="J1593" i="12"/>
  <c r="B1593" i="12"/>
  <c r="C1593" i="12"/>
  <c r="J1592" i="12"/>
  <c r="I1592" i="12"/>
  <c r="H1592" i="12"/>
  <c r="D1592" i="12"/>
  <c r="B1592" i="12"/>
  <c r="C1592" i="12"/>
  <c r="E1592" i="12"/>
  <c r="F1592" i="12"/>
  <c r="G1592" i="12"/>
  <c r="D1591" i="12"/>
  <c r="J1591" i="12"/>
  <c r="E1591" i="12"/>
  <c r="G1591" i="12"/>
  <c r="F1591" i="12"/>
  <c r="C1591" i="12"/>
  <c r="H1591" i="12"/>
  <c r="B1591" i="12"/>
  <c r="I1591" i="12"/>
  <c r="J1590" i="12"/>
  <c r="C1590" i="12"/>
  <c r="E1590" i="12"/>
  <c r="B1590" i="12"/>
  <c r="D1590" i="12"/>
  <c r="F1590" i="12"/>
  <c r="G1590" i="12"/>
  <c r="H1590" i="12"/>
  <c r="I1590" i="12"/>
  <c r="G1589" i="12"/>
  <c r="F1589" i="12"/>
  <c r="E1589" i="12"/>
  <c r="C1589" i="12"/>
  <c r="J1589" i="12"/>
  <c r="B1589" i="12"/>
  <c r="I1589" i="12"/>
  <c r="H1589" i="12"/>
  <c r="D1589" i="12"/>
  <c r="H1588" i="12"/>
  <c r="B1588" i="12"/>
  <c r="E1588" i="12"/>
  <c r="F1588" i="12"/>
  <c r="G1588" i="12"/>
  <c r="I1588" i="12"/>
  <c r="J1588" i="12"/>
  <c r="C1588" i="12"/>
  <c r="D1588" i="12"/>
  <c r="C1587" i="12"/>
  <c r="H1587" i="12"/>
  <c r="I1587" i="12"/>
  <c r="J1587" i="12"/>
  <c r="G1587" i="12"/>
  <c r="B1587" i="12"/>
  <c r="D1587" i="12"/>
  <c r="E1587" i="12"/>
  <c r="F1587" i="12"/>
  <c r="J1586" i="12"/>
  <c r="I1586" i="12"/>
  <c r="H1586" i="12"/>
  <c r="G1586" i="12"/>
  <c r="E1586" i="12"/>
  <c r="B1586" i="12"/>
  <c r="C1586" i="12"/>
  <c r="D1586" i="12"/>
  <c r="F1586" i="12"/>
  <c r="C1585" i="12"/>
  <c r="E1585" i="12"/>
  <c r="F1585" i="12"/>
  <c r="B1585" i="12"/>
  <c r="D1585" i="12"/>
  <c r="H1585" i="12"/>
  <c r="G1585" i="12"/>
  <c r="I1585" i="12"/>
  <c r="J1585" i="12"/>
  <c r="J1584" i="12"/>
  <c r="C1584" i="12"/>
  <c r="G1584" i="12"/>
  <c r="H1584" i="12"/>
  <c r="I1584" i="12"/>
  <c r="B1584" i="12"/>
  <c r="D1584" i="12"/>
  <c r="E1584" i="12"/>
  <c r="F1584" i="12"/>
  <c r="J1583" i="12"/>
  <c r="H1583" i="12"/>
  <c r="B1583" i="12"/>
  <c r="D1583" i="12"/>
  <c r="G1583" i="12"/>
  <c r="F1583" i="12"/>
  <c r="E1583" i="12"/>
  <c r="C1583" i="12"/>
  <c r="I1583" i="12"/>
  <c r="J1582" i="12"/>
  <c r="D1582" i="12"/>
  <c r="F1582" i="12"/>
  <c r="G1582" i="12"/>
  <c r="H1582" i="12"/>
  <c r="I1582" i="12"/>
  <c r="E1582" i="12"/>
  <c r="B1582" i="12"/>
  <c r="C1582" i="12"/>
  <c r="H1581" i="12"/>
  <c r="F1581" i="12"/>
  <c r="G1581" i="12"/>
  <c r="C1581" i="12"/>
  <c r="I1581" i="12"/>
  <c r="J1581" i="12"/>
  <c r="E1581" i="12"/>
  <c r="B1581" i="12"/>
  <c r="D1581" i="12"/>
  <c r="B1580" i="12"/>
  <c r="F1580" i="12"/>
  <c r="G1580" i="12"/>
  <c r="H1580" i="12"/>
  <c r="I1580" i="12"/>
  <c r="J1580" i="12"/>
  <c r="C1580" i="12"/>
  <c r="E1580" i="12"/>
  <c r="D1580" i="12"/>
  <c r="I1579" i="12"/>
  <c r="F1579" i="12"/>
  <c r="G1579" i="12"/>
  <c r="B1579" i="12"/>
  <c r="E1579" i="12"/>
  <c r="H1579" i="12"/>
  <c r="C1579" i="12"/>
  <c r="D1579" i="12"/>
  <c r="J1579" i="12"/>
  <c r="C1578" i="12"/>
  <c r="H1578" i="12"/>
  <c r="J1578" i="12"/>
  <c r="I1578" i="12"/>
  <c r="G1578" i="12"/>
  <c r="D1578" i="12"/>
  <c r="B1578" i="12"/>
  <c r="F1578" i="12"/>
  <c r="E1578" i="12"/>
  <c r="F1577" i="12"/>
  <c r="J1577" i="12"/>
  <c r="I1577" i="12"/>
  <c r="H1577" i="12"/>
  <c r="G1577" i="12"/>
  <c r="E1577" i="12"/>
  <c r="D1577" i="12"/>
  <c r="C1577" i="12"/>
  <c r="B1577" i="12"/>
  <c r="E1576" i="12"/>
  <c r="B1576" i="12"/>
  <c r="I1576" i="12"/>
  <c r="H1576" i="12"/>
  <c r="G1576" i="12"/>
  <c r="F1576" i="12"/>
  <c r="J1576" i="12"/>
  <c r="C1576" i="12"/>
  <c r="D1576" i="12"/>
  <c r="B1575" i="12"/>
  <c r="D1575" i="12"/>
  <c r="C1575" i="12"/>
  <c r="F1575" i="12"/>
  <c r="G1575" i="12"/>
  <c r="H1575" i="12"/>
  <c r="I1575" i="12"/>
  <c r="J1575" i="12"/>
  <c r="E1575" i="12"/>
  <c r="C1574" i="12"/>
  <c r="E1574" i="12"/>
  <c r="D1574" i="12"/>
  <c r="J1574" i="12"/>
  <c r="H1574" i="12"/>
  <c r="F1574" i="12"/>
  <c r="I1574" i="12"/>
  <c r="G1574" i="12"/>
  <c r="B1574" i="12"/>
  <c r="I1573" i="12"/>
  <c r="C1573" i="12"/>
  <c r="E1573" i="12"/>
  <c r="B1573" i="12"/>
  <c r="D1573" i="12"/>
  <c r="G1573" i="12"/>
  <c r="H1573" i="12"/>
  <c r="J1573" i="12"/>
  <c r="F1573" i="12"/>
  <c r="J1572" i="12"/>
  <c r="H1572" i="12"/>
  <c r="G1572" i="12"/>
  <c r="F1572" i="12"/>
  <c r="E1572" i="12"/>
  <c r="C1572" i="12"/>
  <c r="D1572" i="12"/>
  <c r="B1572" i="12"/>
  <c r="I1572" i="12"/>
  <c r="D1571" i="12"/>
  <c r="E1571" i="12"/>
  <c r="C1571" i="12"/>
  <c r="F1571" i="12"/>
  <c r="G1571" i="12"/>
  <c r="H1571" i="12"/>
  <c r="I1571" i="12"/>
  <c r="J1571" i="12"/>
  <c r="B1571" i="12"/>
  <c r="I1570" i="12"/>
  <c r="H1570" i="12"/>
  <c r="D1570" i="12"/>
  <c r="J1570" i="12"/>
  <c r="F1570" i="12"/>
  <c r="B1570" i="12"/>
  <c r="C1570" i="12"/>
  <c r="E1570" i="12"/>
  <c r="G1570" i="12"/>
  <c r="C1569" i="12"/>
  <c r="D1569" i="12"/>
  <c r="F1569" i="12"/>
  <c r="E1569" i="12"/>
  <c r="G1569" i="12"/>
  <c r="H1569" i="12"/>
  <c r="I1569" i="12"/>
  <c r="J1569" i="12"/>
  <c r="B1569" i="12"/>
  <c r="G1568" i="12"/>
  <c r="D1568" i="12"/>
  <c r="B1568" i="12"/>
  <c r="I1568" i="12"/>
  <c r="H1568" i="12"/>
  <c r="F1568" i="12"/>
  <c r="E1568" i="12"/>
  <c r="C1568" i="12"/>
  <c r="J1568" i="12"/>
  <c r="C1567" i="12"/>
  <c r="I1567" i="12"/>
  <c r="J1567" i="12"/>
  <c r="F1567" i="12"/>
  <c r="E1567" i="12"/>
  <c r="D1567" i="12"/>
  <c r="B1567" i="12"/>
  <c r="G1567" i="12"/>
  <c r="H1567" i="12"/>
  <c r="F1566" i="12"/>
  <c r="E1566" i="12"/>
  <c r="C1566" i="12"/>
  <c r="D1566" i="12"/>
  <c r="I1566" i="12"/>
  <c r="B1566" i="12"/>
  <c r="H1566" i="12"/>
  <c r="G1566" i="12"/>
  <c r="J1566" i="12"/>
  <c r="B1565" i="12"/>
  <c r="G1565" i="12"/>
  <c r="D1565" i="12"/>
  <c r="E1565" i="12"/>
  <c r="C1565" i="12"/>
  <c r="F1565" i="12"/>
  <c r="H1565" i="12"/>
  <c r="I1565" i="12"/>
  <c r="J1565" i="12"/>
  <c r="D1564" i="12"/>
  <c r="E1564" i="12"/>
  <c r="J1564" i="12"/>
  <c r="I1564" i="12"/>
  <c r="H1564" i="12"/>
  <c r="C1564" i="12"/>
  <c r="F1564" i="12"/>
  <c r="G1564" i="12"/>
  <c r="B1564" i="12"/>
  <c r="B1563" i="12"/>
  <c r="D1563" i="12"/>
  <c r="F1563" i="12"/>
  <c r="H1563" i="12"/>
  <c r="I1563" i="12"/>
  <c r="J1563" i="12"/>
  <c r="G1563" i="12"/>
  <c r="E1563" i="12"/>
  <c r="C1563" i="12"/>
  <c r="C1562" i="12"/>
  <c r="F1562" i="12"/>
  <c r="J1562" i="12"/>
  <c r="I1562" i="12"/>
  <c r="B1562" i="12"/>
  <c r="D1562" i="12"/>
  <c r="H1562" i="12"/>
  <c r="G1562" i="12"/>
  <c r="E1562" i="12"/>
  <c r="E1561" i="12"/>
  <c r="F1561" i="12"/>
  <c r="I1561" i="12"/>
  <c r="H1561" i="12"/>
  <c r="C1561" i="12"/>
  <c r="G1561" i="12"/>
  <c r="D1561" i="12"/>
  <c r="B1561" i="12"/>
  <c r="J1561" i="12"/>
  <c r="C1560" i="12"/>
  <c r="F1560" i="12"/>
  <c r="D1560" i="12"/>
  <c r="G1560" i="12"/>
  <c r="B1560" i="12"/>
  <c r="E1560" i="12"/>
  <c r="H1560" i="12"/>
  <c r="I1560" i="12"/>
  <c r="J1560" i="12"/>
  <c r="C1559" i="12"/>
  <c r="H1559" i="12"/>
  <c r="E1559" i="12"/>
  <c r="F1559" i="12"/>
  <c r="B1559" i="12"/>
  <c r="D1559" i="12"/>
  <c r="G1559" i="12"/>
  <c r="I1559" i="12"/>
  <c r="J1559" i="12"/>
  <c r="H1558" i="12"/>
  <c r="E1558" i="12"/>
  <c r="C1558" i="12"/>
  <c r="B1558" i="12"/>
  <c r="J1558" i="12"/>
  <c r="G1558" i="12"/>
  <c r="D1558" i="12"/>
  <c r="F1558" i="12"/>
  <c r="I1558" i="12"/>
  <c r="I1557" i="12"/>
  <c r="G1557" i="12"/>
  <c r="E1557" i="12"/>
  <c r="J1557" i="12"/>
  <c r="C1557" i="12"/>
  <c r="B1557" i="12"/>
  <c r="H1557" i="12"/>
  <c r="D1557" i="12"/>
  <c r="F1557" i="12"/>
  <c r="F1556" i="12"/>
  <c r="H1556" i="12"/>
  <c r="I1556" i="12"/>
  <c r="B1556" i="12"/>
  <c r="J1556" i="12"/>
  <c r="C1556" i="12"/>
  <c r="E1556" i="12"/>
  <c r="G1556" i="12"/>
  <c r="D1556" i="12"/>
  <c r="C1555" i="12"/>
  <c r="I1555" i="12"/>
  <c r="D1555" i="12"/>
  <c r="B1555" i="12"/>
  <c r="J1555" i="12"/>
  <c r="F1555" i="12"/>
  <c r="E1555" i="12"/>
  <c r="G1555" i="12"/>
  <c r="H1555" i="12"/>
  <c r="H1554" i="12"/>
  <c r="G1554" i="12"/>
  <c r="C1554" i="12"/>
  <c r="D1554" i="12"/>
  <c r="F1554" i="12"/>
  <c r="E1554" i="12"/>
  <c r="B1554" i="12"/>
  <c r="J1554" i="12"/>
  <c r="I1554" i="12"/>
  <c r="D1553" i="12"/>
  <c r="B1553" i="12"/>
  <c r="F1553" i="12"/>
  <c r="E1553" i="12"/>
  <c r="H1553" i="12"/>
  <c r="C1553" i="12"/>
  <c r="J1553" i="12"/>
  <c r="G1553" i="12"/>
  <c r="I1553" i="12"/>
  <c r="C1552" i="12"/>
  <c r="G1552" i="12"/>
  <c r="H1552" i="12"/>
  <c r="I1552" i="12"/>
  <c r="J1552" i="12"/>
  <c r="B1552" i="12"/>
  <c r="E1552" i="12"/>
  <c r="D1552" i="12"/>
  <c r="F1552" i="12"/>
  <c r="C1551" i="12"/>
  <c r="D1551" i="12"/>
  <c r="J1551" i="12"/>
  <c r="I1551" i="12"/>
  <c r="H1551" i="12"/>
  <c r="E1551" i="12"/>
  <c r="B1551" i="12"/>
  <c r="G1551" i="12"/>
  <c r="F1551" i="12"/>
  <c r="D1550" i="12"/>
  <c r="E1550" i="12"/>
  <c r="G1550" i="12"/>
  <c r="C1550" i="12"/>
  <c r="B1550" i="12"/>
  <c r="H1550" i="12"/>
  <c r="F1550" i="12"/>
  <c r="I1550" i="12"/>
  <c r="J1550" i="12"/>
  <c r="F1549" i="12"/>
  <c r="H1549" i="12"/>
  <c r="I1549" i="12"/>
  <c r="J1549" i="12"/>
  <c r="B1549" i="12"/>
  <c r="G1549" i="12"/>
  <c r="C1549" i="12"/>
  <c r="D1549" i="12"/>
  <c r="E1549" i="12"/>
  <c r="G1548" i="12"/>
  <c r="H1548" i="12"/>
  <c r="J1548" i="12"/>
  <c r="I1548" i="12"/>
  <c r="F1548" i="12"/>
  <c r="E1548" i="12"/>
  <c r="D1548" i="12"/>
  <c r="C1548" i="12"/>
  <c r="B1548" i="12"/>
  <c r="B1547" i="12"/>
  <c r="E1547" i="12"/>
  <c r="G1547" i="12"/>
  <c r="I1547" i="12"/>
  <c r="C1547" i="12"/>
  <c r="J1547" i="12"/>
  <c r="H1547" i="12"/>
  <c r="F1547" i="12"/>
  <c r="D1547" i="12"/>
  <c r="G1546" i="12"/>
  <c r="J1546" i="12"/>
  <c r="E1546" i="12"/>
  <c r="F1546" i="12"/>
  <c r="H1546" i="12"/>
  <c r="I1546" i="12"/>
  <c r="D1546" i="12"/>
  <c r="C1546" i="12"/>
  <c r="B1546" i="12"/>
  <c r="E1545" i="12"/>
  <c r="B1545" i="12"/>
  <c r="C1545" i="12"/>
  <c r="J1545" i="12"/>
  <c r="D1545" i="12"/>
  <c r="I1545" i="12"/>
  <c r="H1545" i="12"/>
  <c r="G1545" i="12"/>
  <c r="F1545" i="12"/>
  <c r="E1544" i="12"/>
  <c r="B1544" i="12"/>
  <c r="C1544" i="12"/>
  <c r="I1544" i="12"/>
  <c r="J1544" i="12"/>
  <c r="D1544" i="12"/>
  <c r="H1544" i="12"/>
  <c r="F1544" i="12"/>
  <c r="G1544" i="12"/>
  <c r="G1543" i="12"/>
  <c r="J1543" i="12"/>
  <c r="I1543" i="12"/>
  <c r="H1543" i="12"/>
  <c r="D1543" i="12"/>
  <c r="B1543" i="12"/>
  <c r="C1543" i="12"/>
  <c r="E1543" i="12"/>
  <c r="F1543" i="12"/>
  <c r="G1542" i="12"/>
  <c r="H1542" i="12"/>
  <c r="I1542" i="12"/>
  <c r="B1542" i="12"/>
  <c r="C1542" i="12"/>
  <c r="J1542" i="12"/>
  <c r="E1542" i="12"/>
  <c r="D1542" i="12"/>
  <c r="F1542" i="12"/>
  <c r="I1541" i="12"/>
  <c r="B1541" i="12"/>
  <c r="D1541" i="12"/>
  <c r="E1541" i="12"/>
  <c r="C1541" i="12"/>
  <c r="F1541" i="12"/>
  <c r="G1541" i="12"/>
  <c r="H1541" i="12"/>
  <c r="J1541" i="12"/>
  <c r="B1540" i="12"/>
  <c r="I1540" i="12"/>
  <c r="J1540" i="12"/>
  <c r="C1540" i="12"/>
  <c r="E1540" i="12"/>
  <c r="H1540" i="12"/>
  <c r="F1540" i="12"/>
  <c r="G1540" i="12"/>
  <c r="D1540" i="12"/>
  <c r="C1539" i="12"/>
  <c r="J1539" i="12"/>
  <c r="B1539" i="12"/>
  <c r="D1539" i="12"/>
  <c r="E1539" i="12"/>
  <c r="F1539" i="12"/>
  <c r="G1539" i="12"/>
  <c r="H1539" i="12"/>
  <c r="I1539" i="12"/>
  <c r="E1538" i="12"/>
  <c r="J1538" i="12"/>
  <c r="H1538" i="12"/>
  <c r="G1538" i="12"/>
  <c r="D1538" i="12"/>
  <c r="F1538" i="12"/>
  <c r="C1538" i="12"/>
  <c r="B1538" i="12"/>
  <c r="I1538" i="12"/>
  <c r="F1537" i="12"/>
  <c r="G1537" i="12"/>
  <c r="J1537" i="12"/>
  <c r="I1537" i="12"/>
  <c r="H1537" i="12"/>
  <c r="E1537" i="12"/>
  <c r="C1537" i="12"/>
  <c r="B1537" i="12"/>
  <c r="D1537" i="12"/>
  <c r="I1536" i="12"/>
  <c r="J1536" i="12"/>
  <c r="D1536" i="12"/>
  <c r="C1536" i="12"/>
  <c r="B1536" i="12"/>
  <c r="E1536" i="12"/>
  <c r="G1536" i="12"/>
  <c r="H1536" i="12"/>
  <c r="F1536" i="12"/>
  <c r="I1535" i="12"/>
  <c r="H1535" i="12"/>
  <c r="G1535" i="12"/>
  <c r="E1535" i="12"/>
  <c r="C1535" i="12"/>
  <c r="F1535" i="12"/>
  <c r="J1535" i="12"/>
  <c r="D1535" i="12"/>
  <c r="B1535" i="12"/>
  <c r="D1534" i="12"/>
  <c r="J1534" i="12"/>
  <c r="E1534" i="12"/>
  <c r="B1534" i="12"/>
  <c r="F1534" i="12"/>
  <c r="C1534" i="12"/>
  <c r="G1534" i="12"/>
  <c r="H1534" i="12"/>
  <c r="I1534" i="12"/>
  <c r="F1533" i="12"/>
  <c r="G1533" i="12"/>
  <c r="I1533" i="12"/>
  <c r="J1533" i="12"/>
  <c r="H1533" i="12"/>
  <c r="C1533" i="12"/>
  <c r="B1533" i="12"/>
  <c r="D1533" i="12"/>
  <c r="E1533" i="12"/>
  <c r="H1532" i="12"/>
  <c r="E1532" i="12"/>
  <c r="C1532" i="12"/>
  <c r="I1532" i="12"/>
  <c r="B1532" i="12"/>
  <c r="G1532" i="12"/>
  <c r="J1532" i="12"/>
  <c r="D1532" i="12"/>
  <c r="F1532" i="12"/>
  <c r="D1531" i="12"/>
  <c r="B1531" i="12"/>
  <c r="H1531" i="12"/>
  <c r="J1531" i="12"/>
  <c r="E1531" i="12"/>
  <c r="G1531" i="12"/>
  <c r="F1531" i="12"/>
  <c r="C1531" i="12"/>
  <c r="I1531" i="12"/>
  <c r="D1530" i="12"/>
  <c r="C1530" i="12"/>
  <c r="E1530" i="12"/>
  <c r="G1530" i="12"/>
  <c r="F1530" i="12"/>
  <c r="B1530" i="12"/>
  <c r="H1530" i="12"/>
  <c r="I1530" i="12"/>
  <c r="J1530" i="12"/>
  <c r="C1529" i="12"/>
  <c r="J1529" i="12"/>
  <c r="B1529" i="12"/>
  <c r="I1529" i="12"/>
  <c r="G1529" i="12"/>
  <c r="E1529" i="12"/>
  <c r="D1529" i="12"/>
  <c r="F1529" i="12"/>
  <c r="H1529" i="12"/>
  <c r="I1528" i="12"/>
  <c r="H1528" i="12"/>
  <c r="J1528" i="12"/>
  <c r="D1528" i="12"/>
  <c r="F1528" i="12"/>
  <c r="G1528" i="12"/>
  <c r="E1528" i="12"/>
  <c r="C1528" i="12"/>
  <c r="B1528" i="12"/>
  <c r="J1527" i="12"/>
  <c r="C1527" i="12"/>
  <c r="D1527" i="12"/>
  <c r="E1527" i="12"/>
  <c r="H1527" i="12"/>
  <c r="B1527" i="12"/>
  <c r="F1527" i="12"/>
  <c r="G1527" i="12"/>
  <c r="I1527" i="12"/>
  <c r="J1526" i="12"/>
  <c r="D1526" i="12"/>
  <c r="C1526" i="12"/>
  <c r="B1526" i="12"/>
  <c r="I1526" i="12"/>
  <c r="H1526" i="12"/>
  <c r="G1526" i="12"/>
  <c r="F1526" i="12"/>
  <c r="E1526" i="12"/>
  <c r="G1525" i="12"/>
  <c r="J1525" i="12"/>
  <c r="H1525" i="12"/>
  <c r="I1525" i="12"/>
  <c r="D1525" i="12"/>
  <c r="B1525" i="12"/>
  <c r="C1525" i="12"/>
  <c r="E1525" i="12"/>
  <c r="F1525" i="12"/>
  <c r="F1524" i="12"/>
  <c r="B1524" i="12"/>
  <c r="H1524" i="12"/>
  <c r="I1524" i="12"/>
  <c r="J1524" i="12"/>
  <c r="G1524" i="12"/>
  <c r="C1524" i="12"/>
  <c r="D1524" i="12"/>
  <c r="E1524" i="12"/>
  <c r="H1523" i="12"/>
  <c r="I1523" i="12"/>
  <c r="D1523" i="12"/>
  <c r="E1523" i="12"/>
  <c r="C1523" i="12"/>
  <c r="F1523" i="12"/>
  <c r="J1523" i="12"/>
  <c r="B1523" i="12"/>
  <c r="G1523" i="12"/>
  <c r="F1522" i="12"/>
  <c r="G1522" i="12"/>
  <c r="I1522" i="12"/>
  <c r="J1522" i="12"/>
  <c r="H1522" i="12"/>
  <c r="C1522" i="12"/>
  <c r="E1522" i="12"/>
  <c r="B1522" i="12"/>
  <c r="D1522" i="12"/>
  <c r="I1521" i="12"/>
  <c r="C1521" i="12"/>
  <c r="B1521" i="12"/>
  <c r="F1521" i="12"/>
  <c r="H1521" i="12"/>
  <c r="J1521" i="12"/>
  <c r="E1521" i="12"/>
  <c r="D1521" i="12"/>
  <c r="G1521" i="12"/>
  <c r="E1520" i="12"/>
  <c r="F1520" i="12"/>
  <c r="J1520" i="12"/>
  <c r="I1520" i="12"/>
  <c r="H1520" i="12"/>
  <c r="G1520" i="12"/>
  <c r="C1520" i="12"/>
  <c r="B1520" i="12"/>
  <c r="D1520" i="12"/>
  <c r="C1519" i="12"/>
  <c r="B1519" i="12"/>
  <c r="F1519" i="12"/>
  <c r="I1519" i="12"/>
  <c r="J1519" i="12"/>
  <c r="D1519" i="12"/>
  <c r="G1519" i="12"/>
  <c r="E1519" i="12"/>
  <c r="H1519" i="12"/>
  <c r="E1518" i="12"/>
  <c r="B1518" i="12"/>
  <c r="I1518" i="12"/>
  <c r="F1518" i="12"/>
  <c r="G1518" i="12"/>
  <c r="D1518" i="12"/>
  <c r="C1518" i="12"/>
  <c r="J1518" i="12"/>
  <c r="H1518" i="12"/>
  <c r="D1517" i="12"/>
  <c r="I1517" i="12"/>
  <c r="F1517" i="12"/>
  <c r="H1517" i="12"/>
  <c r="E1517" i="12"/>
  <c r="B1517" i="12"/>
  <c r="J1517" i="12"/>
  <c r="C1517" i="12"/>
  <c r="G1517" i="12"/>
  <c r="H1516" i="12"/>
  <c r="B1516" i="12"/>
  <c r="F1516" i="12"/>
  <c r="I1516" i="12"/>
  <c r="D1516" i="12"/>
  <c r="G1516" i="12"/>
  <c r="E1516" i="12"/>
  <c r="J1516" i="12"/>
  <c r="C1516" i="12"/>
  <c r="J1515" i="12"/>
  <c r="E1515" i="12"/>
  <c r="G1515" i="12"/>
  <c r="H1515" i="12"/>
  <c r="B1515" i="12"/>
  <c r="D1515" i="12"/>
  <c r="F1515" i="12"/>
  <c r="C1515" i="12"/>
  <c r="I1515" i="12"/>
  <c r="I1514" i="12"/>
  <c r="F1514" i="12"/>
  <c r="J1514" i="12"/>
  <c r="H1514" i="12"/>
  <c r="B1514" i="12"/>
  <c r="D1514" i="12"/>
  <c r="E1514" i="12"/>
  <c r="C1514" i="12"/>
  <c r="G1514" i="12"/>
  <c r="J1513" i="12"/>
  <c r="D1513" i="12"/>
  <c r="B1513" i="12"/>
  <c r="I1513" i="12"/>
  <c r="C1513" i="12"/>
  <c r="E1513" i="12"/>
  <c r="F1513" i="12"/>
  <c r="G1513" i="12"/>
  <c r="H1513" i="12"/>
  <c r="B1512" i="12"/>
  <c r="H1512" i="12"/>
  <c r="F1512" i="12"/>
  <c r="C1512" i="12"/>
  <c r="D1512" i="12"/>
  <c r="J1512" i="12"/>
  <c r="I1512" i="12"/>
  <c r="E1512" i="12"/>
  <c r="G1512" i="12"/>
  <c r="J1511" i="12"/>
  <c r="D1511" i="12"/>
  <c r="B1511" i="12"/>
  <c r="C1511" i="12"/>
  <c r="I1511" i="12"/>
  <c r="H1511" i="12"/>
  <c r="G1511" i="12"/>
  <c r="F1511" i="12"/>
  <c r="E1511" i="12"/>
  <c r="D1510" i="12"/>
  <c r="G1510" i="12"/>
  <c r="B1510" i="12"/>
  <c r="E1510" i="12"/>
  <c r="C1510" i="12"/>
  <c r="F1510" i="12"/>
  <c r="J1510" i="12"/>
  <c r="I1510" i="12"/>
  <c r="H1510" i="12"/>
  <c r="I1509" i="12"/>
  <c r="G1509" i="12"/>
  <c r="H1509" i="12"/>
  <c r="C1509" i="12"/>
  <c r="F1509" i="12"/>
  <c r="E1509" i="12"/>
  <c r="J1509" i="12"/>
  <c r="B1509" i="12"/>
  <c r="D1509" i="12"/>
  <c r="B1508" i="12"/>
  <c r="C1508" i="12"/>
  <c r="I1508" i="12"/>
  <c r="F1508" i="12"/>
  <c r="D1508" i="12"/>
  <c r="E1508" i="12"/>
  <c r="J1508" i="12"/>
  <c r="H1508" i="12"/>
  <c r="G1508" i="12"/>
  <c r="H1507" i="12"/>
  <c r="G1507" i="12"/>
  <c r="E1507" i="12"/>
  <c r="C1507" i="12"/>
  <c r="F1507" i="12"/>
  <c r="D1507" i="12"/>
  <c r="B1507" i="12"/>
  <c r="J1507" i="12"/>
  <c r="I1507" i="12"/>
  <c r="H1506" i="12"/>
  <c r="E1506" i="12"/>
  <c r="I1506" i="12"/>
  <c r="G1506" i="12"/>
  <c r="J1506" i="12"/>
  <c r="B1506" i="12"/>
  <c r="D1506" i="12"/>
  <c r="F1506" i="12"/>
  <c r="C1506" i="12"/>
  <c r="E1505" i="12"/>
  <c r="I1505" i="12"/>
  <c r="G1505" i="12"/>
  <c r="B1505" i="12"/>
  <c r="C1505" i="12"/>
  <c r="J1505" i="12"/>
  <c r="H1505" i="12"/>
  <c r="F1505" i="12"/>
  <c r="D1505" i="12"/>
  <c r="B1504" i="12"/>
  <c r="C1504" i="12"/>
  <c r="D1504" i="12"/>
  <c r="G1504" i="12"/>
  <c r="E1504" i="12"/>
  <c r="H1504" i="12"/>
  <c r="F1504" i="12"/>
  <c r="I1504" i="12"/>
  <c r="J1504" i="12"/>
  <c r="F1503" i="12"/>
  <c r="D1503" i="12"/>
  <c r="C1503" i="12"/>
  <c r="E1503" i="12"/>
  <c r="B1503" i="12"/>
  <c r="G1503" i="12"/>
  <c r="I1503" i="12"/>
  <c r="J1503" i="12"/>
  <c r="H1503" i="12"/>
  <c r="I1502" i="12"/>
  <c r="D1502" i="12"/>
  <c r="B1502" i="12"/>
  <c r="C1502" i="12"/>
  <c r="F1502" i="12"/>
  <c r="J1502" i="12"/>
  <c r="E1502" i="12"/>
  <c r="H1502" i="12"/>
  <c r="G1502" i="12"/>
  <c r="J1501" i="12"/>
  <c r="I1501" i="12"/>
  <c r="E1501" i="12"/>
  <c r="D1501" i="12"/>
  <c r="B1501" i="12"/>
  <c r="C1501" i="12"/>
  <c r="H1501" i="12"/>
  <c r="G1501" i="12"/>
  <c r="F1501" i="12"/>
  <c r="G1500" i="12"/>
  <c r="I1500" i="12"/>
  <c r="H1500" i="12"/>
  <c r="F1500" i="12"/>
  <c r="E1500" i="12"/>
  <c r="C1500" i="12"/>
  <c r="D1500" i="12"/>
  <c r="J1500" i="12"/>
  <c r="B1500" i="12"/>
  <c r="I1499" i="12"/>
  <c r="D1499" i="12"/>
  <c r="B1499" i="12"/>
  <c r="C1499" i="12"/>
  <c r="E1499" i="12"/>
  <c r="G1499" i="12"/>
  <c r="H1499" i="12"/>
  <c r="J1499" i="12"/>
  <c r="F1499" i="12"/>
  <c r="B1498" i="12"/>
  <c r="C1498" i="12"/>
  <c r="H1498" i="12"/>
  <c r="D1498" i="12"/>
  <c r="J1498" i="12"/>
  <c r="F1498" i="12"/>
  <c r="I1498" i="12"/>
  <c r="G1498" i="12"/>
  <c r="E1498" i="12"/>
  <c r="E1497" i="12"/>
  <c r="I1497" i="12"/>
  <c r="B1497" i="12"/>
  <c r="G1497" i="12"/>
  <c r="C1497" i="12"/>
  <c r="F1497" i="12"/>
  <c r="H1497" i="12"/>
  <c r="D1497" i="12"/>
  <c r="J1497" i="12"/>
  <c r="I1496" i="12"/>
  <c r="J1496" i="12"/>
  <c r="G1496" i="12"/>
  <c r="C1496" i="12"/>
  <c r="F1496" i="12"/>
  <c r="B1496" i="12"/>
  <c r="D1496" i="12"/>
  <c r="H1496" i="12"/>
  <c r="E1496" i="12"/>
  <c r="G1495" i="12"/>
  <c r="B1495" i="12"/>
  <c r="E1495" i="12"/>
  <c r="F1495" i="12"/>
  <c r="H1495" i="12"/>
  <c r="I1495" i="12"/>
  <c r="J1495" i="12"/>
  <c r="C1495" i="12"/>
  <c r="D1495" i="12"/>
  <c r="F1494" i="12"/>
  <c r="E1494" i="12"/>
  <c r="D1494" i="12"/>
  <c r="H1494" i="12"/>
  <c r="C1494" i="12"/>
  <c r="J1494" i="12"/>
  <c r="I1494" i="12"/>
  <c r="G1494" i="12"/>
  <c r="B1494" i="12"/>
  <c r="D1493" i="12"/>
  <c r="C1493" i="12"/>
  <c r="B1493" i="12"/>
  <c r="H1493" i="12"/>
  <c r="G1493" i="12"/>
  <c r="F1493" i="12"/>
  <c r="J1493" i="12"/>
  <c r="E1493" i="12"/>
  <c r="I1493" i="12"/>
  <c r="B1492" i="12"/>
  <c r="D1492" i="12"/>
  <c r="J1492" i="12"/>
  <c r="G1492" i="12"/>
  <c r="I1492" i="12"/>
  <c r="H1492" i="12"/>
  <c r="F1492" i="12"/>
  <c r="E1492" i="12"/>
  <c r="C1492" i="12"/>
  <c r="C1491" i="12"/>
  <c r="D1491" i="12"/>
  <c r="H1491" i="12"/>
  <c r="G1491" i="12"/>
  <c r="F1491" i="12"/>
  <c r="E1491" i="12"/>
  <c r="J1491" i="12"/>
  <c r="B1491" i="12"/>
  <c r="I1491" i="12"/>
  <c r="J1490" i="12"/>
  <c r="B1490" i="12"/>
  <c r="E1490" i="12"/>
  <c r="I1490" i="12"/>
  <c r="H1490" i="12"/>
  <c r="F1490" i="12"/>
  <c r="D1490" i="12"/>
  <c r="C1490" i="12"/>
  <c r="G1490" i="12"/>
  <c r="E1489" i="12"/>
  <c r="G1489" i="12"/>
  <c r="D1489" i="12"/>
  <c r="C1489" i="12"/>
  <c r="F1489" i="12"/>
  <c r="B1489" i="12"/>
  <c r="H1489" i="12"/>
  <c r="I1489" i="12"/>
  <c r="J1489" i="12"/>
  <c r="H1488" i="12"/>
  <c r="J1488" i="12"/>
  <c r="B1488" i="12"/>
  <c r="C1488" i="12"/>
  <c r="D1488" i="12"/>
  <c r="F1488" i="12"/>
  <c r="I1488" i="12"/>
  <c r="G1488" i="12"/>
  <c r="E1488" i="12"/>
  <c r="I1487" i="12"/>
  <c r="H1487" i="12"/>
  <c r="G1487" i="12"/>
  <c r="F1487" i="12"/>
  <c r="D1487" i="12"/>
  <c r="B1487" i="12"/>
  <c r="J1487" i="12"/>
  <c r="C1487" i="12"/>
  <c r="E1487" i="12"/>
  <c r="G1486" i="12"/>
  <c r="B1486" i="12"/>
  <c r="J1486" i="12"/>
  <c r="I1486" i="12"/>
  <c r="F1486" i="12"/>
  <c r="C1486" i="12"/>
  <c r="E1486" i="12"/>
  <c r="H1486" i="12"/>
  <c r="D1486" i="12"/>
  <c r="F1485" i="12"/>
  <c r="D1485" i="12"/>
  <c r="B1485" i="12"/>
  <c r="C1485" i="12"/>
  <c r="J1485" i="12"/>
  <c r="E1485" i="12"/>
  <c r="G1485" i="12"/>
  <c r="H1485" i="12"/>
  <c r="I1485" i="12"/>
  <c r="D1484" i="12"/>
  <c r="F1484" i="12"/>
  <c r="E1484" i="12"/>
  <c r="B1484" i="12"/>
  <c r="C1484" i="12"/>
  <c r="G1484" i="12"/>
  <c r="H1484" i="12"/>
  <c r="I1484" i="12"/>
  <c r="J1484" i="12"/>
  <c r="I1483" i="12"/>
  <c r="E1483" i="12"/>
  <c r="B1483" i="12"/>
  <c r="D1483" i="12"/>
  <c r="F1483" i="12"/>
  <c r="G1483" i="12"/>
  <c r="H1483" i="12"/>
  <c r="J1483" i="12"/>
  <c r="C1483" i="12"/>
  <c r="G1482" i="12"/>
  <c r="E1482" i="12"/>
  <c r="C1482" i="12"/>
  <c r="J1482" i="12"/>
  <c r="B1482" i="12"/>
  <c r="I1482" i="12"/>
  <c r="H1482" i="12"/>
  <c r="F1482" i="12"/>
  <c r="D1482" i="12"/>
  <c r="D1481" i="12"/>
  <c r="B1481" i="12"/>
  <c r="G1481" i="12"/>
  <c r="J1481" i="12"/>
  <c r="I1481" i="12"/>
  <c r="H1481" i="12"/>
  <c r="F1481" i="12"/>
  <c r="E1481" i="12"/>
  <c r="C1481" i="12"/>
  <c r="J1480" i="12"/>
  <c r="I1480" i="12"/>
  <c r="E1480" i="12"/>
  <c r="G1480" i="12"/>
  <c r="F1480" i="12"/>
  <c r="B1480" i="12"/>
  <c r="H1480" i="12"/>
  <c r="D1480" i="12"/>
  <c r="C1480" i="12"/>
  <c r="I1479" i="12"/>
  <c r="F1479" i="12"/>
  <c r="D1479" i="12"/>
  <c r="B1479" i="12"/>
  <c r="G1479" i="12"/>
  <c r="H1479" i="12"/>
  <c r="J1479" i="12"/>
  <c r="E1479" i="12"/>
  <c r="C1479" i="12"/>
  <c r="G1478" i="12"/>
  <c r="H1478" i="12"/>
  <c r="J1478" i="12"/>
  <c r="I1478" i="12"/>
  <c r="C1478" i="12"/>
  <c r="E1478" i="12"/>
  <c r="F1478" i="12"/>
  <c r="D1478" i="12"/>
  <c r="B1478" i="12"/>
  <c r="E1477" i="12"/>
  <c r="B1477" i="12"/>
  <c r="F1477" i="12"/>
  <c r="D1477" i="12"/>
  <c r="J1477" i="12"/>
  <c r="C1477" i="12"/>
  <c r="I1477" i="12"/>
  <c r="H1477" i="12"/>
  <c r="G1477" i="12"/>
  <c r="C1476" i="12"/>
  <c r="E1476" i="12"/>
  <c r="B1476" i="12"/>
  <c r="G1476" i="12"/>
  <c r="I1476" i="12"/>
  <c r="J1476" i="12"/>
  <c r="F1476" i="12"/>
  <c r="H1476" i="12"/>
  <c r="D1476" i="12"/>
  <c r="F1475" i="12"/>
  <c r="J1475" i="12"/>
  <c r="I1475" i="12"/>
  <c r="H1475" i="12"/>
  <c r="E1475" i="12"/>
  <c r="D1475" i="12"/>
  <c r="B1475" i="12"/>
  <c r="C1475" i="12"/>
  <c r="G1475" i="12"/>
  <c r="E1474" i="12"/>
  <c r="C1474" i="12"/>
  <c r="G1474" i="12"/>
  <c r="D1474" i="12"/>
  <c r="F1474" i="12"/>
  <c r="H1474" i="12"/>
  <c r="I1474" i="12"/>
  <c r="J1474" i="12"/>
  <c r="B1474" i="12"/>
  <c r="H1473" i="12"/>
  <c r="J1473" i="12"/>
  <c r="I1473" i="12"/>
  <c r="G1473" i="12"/>
  <c r="F1473" i="12"/>
  <c r="E1473" i="12"/>
  <c r="D1473" i="12"/>
  <c r="C1473" i="12"/>
  <c r="B1473" i="12"/>
  <c r="E1472" i="12"/>
  <c r="G1472" i="12"/>
  <c r="H1472" i="12"/>
  <c r="I1472" i="12"/>
  <c r="J1472" i="12"/>
  <c r="F1472" i="12"/>
  <c r="B1472" i="12"/>
  <c r="C1472" i="12"/>
  <c r="D1472" i="12"/>
  <c r="G1471" i="12"/>
  <c r="F1471" i="12"/>
  <c r="D1471" i="12"/>
  <c r="J1471" i="12"/>
  <c r="I1471" i="12"/>
  <c r="H1471" i="12"/>
  <c r="C1471" i="12"/>
  <c r="E1471" i="12"/>
  <c r="B1471" i="12"/>
  <c r="I1470" i="12"/>
  <c r="E1470" i="12"/>
  <c r="C1470" i="12"/>
  <c r="B1470" i="12"/>
  <c r="F1470" i="12"/>
  <c r="G1470" i="12"/>
  <c r="H1470" i="12"/>
  <c r="D1470" i="12"/>
  <c r="J1470" i="12"/>
  <c r="F1469" i="12"/>
  <c r="D1469" i="12"/>
  <c r="B1469" i="12"/>
  <c r="I1469" i="12"/>
  <c r="J1469" i="12"/>
  <c r="H1469" i="12"/>
  <c r="C1469" i="12"/>
  <c r="E1469" i="12"/>
  <c r="G1469" i="12"/>
  <c r="B1468" i="12"/>
  <c r="H1468" i="12"/>
  <c r="I1468" i="12"/>
  <c r="J1468" i="12"/>
  <c r="C1468" i="12"/>
  <c r="F1468" i="12"/>
  <c r="E1468" i="12"/>
  <c r="G1468" i="12"/>
  <c r="D1468" i="12"/>
  <c r="J1467" i="12"/>
  <c r="I1467" i="12"/>
  <c r="F1467" i="12"/>
  <c r="D1467" i="12"/>
  <c r="G1467" i="12"/>
  <c r="B1467" i="12"/>
  <c r="E1467" i="12"/>
  <c r="H1467" i="12"/>
  <c r="C1467" i="12"/>
  <c r="B1466" i="12"/>
  <c r="F1466" i="12"/>
  <c r="I1466" i="12"/>
  <c r="D1466" i="12"/>
  <c r="E1466" i="12"/>
  <c r="C1466" i="12"/>
  <c r="J1466" i="12"/>
  <c r="H1466" i="12"/>
  <c r="G1466" i="12"/>
  <c r="E1465" i="12"/>
  <c r="G1465" i="12"/>
  <c r="D1465" i="12"/>
  <c r="H1465" i="12"/>
  <c r="I1465" i="12"/>
  <c r="J1465" i="12"/>
  <c r="F1465" i="12"/>
  <c r="C1465" i="12"/>
  <c r="B1465" i="12"/>
  <c r="G1464" i="12"/>
  <c r="E1464" i="12"/>
  <c r="F1464" i="12"/>
  <c r="I1464" i="12"/>
  <c r="H1464" i="12"/>
  <c r="B1464" i="12"/>
  <c r="C1464" i="12"/>
  <c r="D1464" i="12"/>
  <c r="J1464" i="12"/>
  <c r="B1463" i="12"/>
  <c r="J1463" i="12"/>
  <c r="E1463" i="12"/>
  <c r="H1463" i="12"/>
  <c r="I1463" i="12"/>
  <c r="D1463" i="12"/>
  <c r="C1463" i="12"/>
  <c r="G1463" i="12"/>
  <c r="F1463" i="12"/>
  <c r="F1462" i="12"/>
  <c r="D1462" i="12"/>
  <c r="J1462" i="12"/>
  <c r="I1462" i="12"/>
  <c r="B1462" i="12"/>
  <c r="C1462" i="12"/>
  <c r="E1462" i="12"/>
  <c r="G1462" i="12"/>
  <c r="H1462" i="12"/>
  <c r="E1461" i="12"/>
  <c r="D1461" i="12"/>
  <c r="F1461" i="12"/>
  <c r="H1461" i="12"/>
  <c r="B1461" i="12"/>
  <c r="J1461" i="12"/>
  <c r="C1461" i="12"/>
  <c r="G1461" i="12"/>
  <c r="I1461" i="12"/>
  <c r="F1460" i="12"/>
  <c r="E1460" i="12"/>
  <c r="G1460" i="12"/>
  <c r="D1460" i="12"/>
  <c r="B1460" i="12"/>
  <c r="J1460" i="12"/>
  <c r="I1460" i="12"/>
  <c r="H1460" i="12"/>
  <c r="C1460" i="12"/>
  <c r="F1459" i="12"/>
  <c r="C1459" i="12"/>
  <c r="B1459" i="12"/>
  <c r="I1459" i="12"/>
  <c r="D1459" i="12"/>
  <c r="J1459" i="12"/>
  <c r="H1459" i="12"/>
  <c r="E1459" i="12"/>
  <c r="G1459" i="12"/>
  <c r="H1458" i="12"/>
  <c r="C1458" i="12"/>
  <c r="F1458" i="12"/>
  <c r="E1458" i="12"/>
  <c r="D1458" i="12"/>
  <c r="B1458" i="12"/>
  <c r="G1458" i="12"/>
  <c r="I1458" i="12"/>
  <c r="J1458" i="12"/>
  <c r="F1457" i="12"/>
  <c r="D1457" i="12"/>
  <c r="C1457" i="12"/>
  <c r="J1457" i="12"/>
  <c r="I1457" i="12"/>
  <c r="B1457" i="12"/>
  <c r="G1457" i="12"/>
  <c r="E1457" i="12"/>
  <c r="H1457" i="12"/>
  <c r="F1456" i="12"/>
  <c r="G1456" i="12"/>
  <c r="H1456" i="12"/>
  <c r="C1456" i="12"/>
  <c r="I1456" i="12"/>
  <c r="B1456" i="12"/>
  <c r="E1456" i="12"/>
  <c r="D1456" i="12"/>
  <c r="J1456" i="12"/>
  <c r="I1455" i="12"/>
  <c r="H1455" i="12"/>
  <c r="E1455" i="12"/>
  <c r="C1455" i="12"/>
  <c r="J1455" i="12"/>
  <c r="F1455" i="12"/>
  <c r="D1455" i="12"/>
  <c r="B1455" i="12"/>
  <c r="G1455" i="12"/>
  <c r="E1454" i="12"/>
  <c r="I1454" i="12"/>
  <c r="H1454" i="12"/>
  <c r="G1454" i="12"/>
  <c r="F1454" i="12"/>
  <c r="B1454" i="12"/>
  <c r="J1454" i="12"/>
  <c r="D1454" i="12"/>
  <c r="C1454" i="12"/>
  <c r="J1453" i="12"/>
  <c r="I1453" i="12"/>
  <c r="B1453" i="12"/>
  <c r="H1453" i="12"/>
  <c r="C1453" i="12"/>
  <c r="F1453" i="12"/>
  <c r="E1453" i="12"/>
  <c r="G1453" i="12"/>
  <c r="D1453" i="12"/>
  <c r="G1452" i="12"/>
  <c r="H1452" i="12"/>
  <c r="I1452" i="12"/>
  <c r="J1452" i="12"/>
  <c r="B1452" i="12"/>
  <c r="F1452" i="12"/>
  <c r="D1452" i="12"/>
  <c r="C1452" i="12"/>
  <c r="E1452" i="12"/>
  <c r="J1451" i="12"/>
  <c r="D1451" i="12"/>
  <c r="I1451" i="12"/>
  <c r="H1451" i="12"/>
  <c r="G1451" i="12"/>
  <c r="F1451" i="12"/>
  <c r="C1451" i="12"/>
  <c r="B1451" i="12"/>
  <c r="E1451" i="12"/>
  <c r="J1450" i="12"/>
  <c r="E1450" i="12"/>
  <c r="F1450" i="12"/>
  <c r="G1450" i="12"/>
  <c r="H1450" i="12"/>
  <c r="C1450" i="12"/>
  <c r="I1450" i="12"/>
  <c r="D1450" i="12"/>
  <c r="B1450" i="12"/>
  <c r="C1449" i="12"/>
  <c r="F1449" i="12"/>
  <c r="I1449" i="12"/>
  <c r="B1449" i="12"/>
  <c r="J1449" i="12"/>
  <c r="D1449" i="12"/>
  <c r="G1449" i="12"/>
  <c r="E1449" i="12"/>
  <c r="H1449" i="12"/>
  <c r="F1448" i="12"/>
  <c r="G1448" i="12"/>
  <c r="H1448" i="12"/>
  <c r="J1448" i="12"/>
  <c r="C1448" i="12"/>
  <c r="E1448" i="12"/>
  <c r="B1448" i="12"/>
  <c r="D1448" i="12"/>
  <c r="I1448" i="12"/>
  <c r="C1447" i="12"/>
  <c r="H1447" i="12"/>
  <c r="F1447" i="12"/>
  <c r="I1447" i="12"/>
  <c r="J1447" i="12"/>
  <c r="G1447" i="12"/>
  <c r="E1447" i="12"/>
  <c r="B1447" i="12"/>
  <c r="D1447" i="12"/>
  <c r="G1446" i="12"/>
  <c r="D1446" i="12"/>
  <c r="B1446" i="12"/>
  <c r="I1446" i="12"/>
  <c r="H1446" i="12"/>
  <c r="J1446" i="12"/>
  <c r="F1446" i="12"/>
  <c r="E1446" i="12"/>
  <c r="C1446" i="12"/>
  <c r="E1445" i="12"/>
  <c r="C1445" i="12"/>
  <c r="D1445" i="12"/>
  <c r="B1445" i="12"/>
  <c r="F1445" i="12"/>
  <c r="H1445" i="12"/>
  <c r="I1445" i="12"/>
  <c r="J1445" i="12"/>
  <c r="G1445" i="12"/>
  <c r="E1444" i="12"/>
  <c r="C1444" i="12"/>
  <c r="B1444" i="12"/>
  <c r="D1444" i="12"/>
  <c r="F1444" i="12"/>
  <c r="G1444" i="12"/>
  <c r="H1444" i="12"/>
  <c r="I1444" i="12"/>
  <c r="J1444" i="12"/>
  <c r="F1443" i="12"/>
  <c r="D1443" i="12"/>
  <c r="J1443" i="12"/>
  <c r="I1443" i="12"/>
  <c r="H1443" i="12"/>
  <c r="G1443" i="12"/>
  <c r="E1443" i="12"/>
  <c r="C1443" i="12"/>
  <c r="B1443" i="12"/>
  <c r="H1442" i="12"/>
  <c r="D1442" i="12"/>
  <c r="B1442" i="12"/>
  <c r="J1442" i="12"/>
  <c r="I1442" i="12"/>
  <c r="G1442" i="12"/>
  <c r="F1442" i="12"/>
  <c r="E1442" i="12"/>
  <c r="C1442" i="12"/>
  <c r="B1441" i="12"/>
  <c r="D1441" i="12"/>
  <c r="E1441" i="12"/>
  <c r="F1441" i="12"/>
  <c r="G1441" i="12"/>
  <c r="H1441" i="12"/>
  <c r="I1441" i="12"/>
  <c r="J1441" i="12"/>
  <c r="C1441" i="12"/>
  <c r="F1440" i="12"/>
  <c r="C1440" i="12"/>
  <c r="H1440" i="12"/>
  <c r="E1440" i="12"/>
  <c r="G1440" i="12"/>
  <c r="I1440" i="12"/>
  <c r="J1440" i="12"/>
  <c r="D1440" i="12"/>
  <c r="B1440" i="12"/>
  <c r="D1439" i="12"/>
  <c r="C1439" i="12"/>
  <c r="F1439" i="12"/>
  <c r="H1439" i="12"/>
  <c r="I1439" i="12"/>
  <c r="J1439" i="12"/>
  <c r="B1439" i="12"/>
  <c r="G1439" i="12"/>
  <c r="E1439" i="12"/>
  <c r="C1438" i="12"/>
  <c r="F1438" i="12"/>
  <c r="G1438" i="12"/>
  <c r="H1438" i="12"/>
  <c r="J1438" i="12"/>
  <c r="I1438" i="12"/>
  <c r="E1438" i="12"/>
  <c r="D1438" i="12"/>
  <c r="B1438" i="12"/>
  <c r="D1437" i="12"/>
  <c r="H1437" i="12"/>
  <c r="G1437" i="12"/>
  <c r="E1437" i="12"/>
  <c r="I1437" i="12"/>
  <c r="J1437" i="12"/>
  <c r="B1437" i="12"/>
  <c r="C1437" i="12"/>
  <c r="F1437" i="12"/>
  <c r="C1436" i="12"/>
  <c r="E1436" i="12"/>
  <c r="H1436" i="12"/>
  <c r="D1436" i="12"/>
  <c r="F1436" i="12"/>
  <c r="B1436" i="12"/>
  <c r="I1436" i="12"/>
  <c r="J1436" i="12"/>
  <c r="G1436" i="12"/>
  <c r="F1435" i="12"/>
  <c r="G1435" i="12"/>
  <c r="H1435" i="12"/>
  <c r="C1435" i="12"/>
  <c r="E1435" i="12"/>
  <c r="J1435" i="12"/>
  <c r="B1435" i="12"/>
  <c r="D1435" i="12"/>
  <c r="I1435" i="12"/>
  <c r="D1434" i="12"/>
  <c r="C1434" i="12"/>
  <c r="E1434" i="12"/>
  <c r="F1434" i="12"/>
  <c r="G1434" i="12"/>
  <c r="J1434" i="12"/>
  <c r="H1434" i="12"/>
  <c r="B1434" i="12"/>
  <c r="I1434" i="12"/>
  <c r="D1433" i="12"/>
  <c r="C1433" i="12"/>
  <c r="B1433" i="12"/>
  <c r="J1433" i="12"/>
  <c r="H1433" i="12"/>
  <c r="F1433" i="12"/>
  <c r="E1433" i="12"/>
  <c r="G1433" i="12"/>
  <c r="I1433" i="12"/>
  <c r="J1432" i="12"/>
  <c r="I1432" i="12"/>
  <c r="H1432" i="12"/>
  <c r="G1432" i="12"/>
  <c r="F1432" i="12"/>
  <c r="E1432" i="12"/>
  <c r="C1432" i="12"/>
  <c r="B1432" i="12"/>
  <c r="D1432" i="12"/>
  <c r="J1431" i="12"/>
  <c r="I1431" i="12"/>
  <c r="H1431" i="12"/>
  <c r="G1431" i="12"/>
  <c r="F1431" i="12"/>
  <c r="E1431" i="12"/>
  <c r="D1431" i="12"/>
  <c r="C1431" i="12"/>
  <c r="B1431" i="12"/>
  <c r="G1430" i="12"/>
  <c r="E1430" i="12"/>
  <c r="C1430" i="12"/>
  <c r="J1430" i="12"/>
  <c r="B1430" i="12"/>
  <c r="D1430" i="12"/>
  <c r="F1430" i="12"/>
  <c r="H1430" i="12"/>
  <c r="I1430" i="12"/>
  <c r="C1429" i="12"/>
  <c r="D1429" i="12"/>
  <c r="E1429" i="12"/>
  <c r="G1429" i="12"/>
  <c r="H1429" i="12"/>
  <c r="I1429" i="12"/>
  <c r="J1429" i="12"/>
  <c r="F1429" i="12"/>
  <c r="B1429" i="12"/>
  <c r="D1428" i="12"/>
  <c r="J1428" i="12"/>
  <c r="I1428" i="12"/>
  <c r="H1428" i="12"/>
  <c r="G1428" i="12"/>
  <c r="F1428" i="12"/>
  <c r="E1428" i="12"/>
  <c r="C1428" i="12"/>
  <c r="B1428" i="12"/>
  <c r="C1427" i="12"/>
  <c r="I1427" i="12"/>
  <c r="H1427" i="12"/>
  <c r="G1427" i="12"/>
  <c r="F1427" i="12"/>
  <c r="B1427" i="12"/>
  <c r="D1427" i="12"/>
  <c r="E1427" i="12"/>
  <c r="J1427" i="12"/>
  <c r="G1426" i="12"/>
  <c r="J1426" i="12"/>
  <c r="I1426" i="12"/>
  <c r="H1426" i="12"/>
  <c r="F1426" i="12"/>
  <c r="E1426" i="12"/>
  <c r="D1426" i="12"/>
  <c r="C1426" i="12"/>
  <c r="B1426" i="12"/>
  <c r="J1425" i="12"/>
  <c r="C1425" i="12"/>
  <c r="B1425" i="12"/>
  <c r="D1425" i="12"/>
  <c r="E1425" i="12"/>
  <c r="F1425" i="12"/>
  <c r="G1425" i="12"/>
  <c r="H1425" i="12"/>
  <c r="I1425" i="12"/>
  <c r="F1424" i="12"/>
  <c r="D1424" i="12"/>
  <c r="C1424" i="12"/>
  <c r="J1424" i="12"/>
  <c r="E1424" i="12"/>
  <c r="G1424" i="12"/>
  <c r="H1424" i="12"/>
  <c r="I1424" i="12"/>
  <c r="B1424" i="12"/>
  <c r="E1423" i="12"/>
  <c r="F1423" i="12"/>
  <c r="D1423" i="12"/>
  <c r="B1423" i="12"/>
  <c r="G1423" i="12"/>
  <c r="H1423" i="12"/>
  <c r="I1423" i="12"/>
  <c r="J1423" i="12"/>
  <c r="C1423" i="12"/>
  <c r="I1422" i="12"/>
  <c r="C1422" i="12"/>
  <c r="J1422" i="12"/>
  <c r="H1422" i="12"/>
  <c r="B1422" i="12"/>
  <c r="D1422" i="12"/>
  <c r="G1422" i="12"/>
  <c r="F1422" i="12"/>
  <c r="E1422" i="12"/>
  <c r="F1421" i="12"/>
  <c r="E1421" i="12"/>
  <c r="G1421" i="12"/>
  <c r="I1421" i="12"/>
  <c r="B1421" i="12"/>
  <c r="J1421" i="12"/>
  <c r="H1421" i="12"/>
  <c r="C1421" i="12"/>
  <c r="D1421" i="12"/>
  <c r="G1420" i="12"/>
  <c r="I1420" i="12"/>
  <c r="H1420" i="12"/>
  <c r="J1420" i="12"/>
  <c r="F1420" i="12"/>
  <c r="D1420" i="12"/>
  <c r="C1420" i="12"/>
  <c r="E1420" i="12"/>
  <c r="B1420" i="12"/>
  <c r="C1419" i="12"/>
  <c r="F1419" i="12"/>
  <c r="G1419" i="12"/>
  <c r="I1419" i="12"/>
  <c r="J1419" i="12"/>
  <c r="H1419" i="12"/>
  <c r="E1419" i="12"/>
  <c r="B1419" i="12"/>
  <c r="D1419" i="12"/>
  <c r="C1418" i="12"/>
  <c r="D1418" i="12"/>
  <c r="F1418" i="12"/>
  <c r="J1418" i="12"/>
  <c r="I1418" i="12"/>
  <c r="E1418" i="12"/>
  <c r="B1418" i="12"/>
  <c r="G1418" i="12"/>
  <c r="H1418" i="12"/>
  <c r="G1417" i="12"/>
  <c r="B1417" i="12"/>
  <c r="D1417" i="12"/>
  <c r="F1417" i="12"/>
  <c r="H1417" i="12"/>
  <c r="E1417" i="12"/>
  <c r="J1417" i="12"/>
  <c r="C1417" i="12"/>
  <c r="I1417" i="12"/>
  <c r="J1416" i="12"/>
  <c r="E1416" i="12"/>
  <c r="C1416" i="12"/>
  <c r="G1416" i="12"/>
  <c r="D1416" i="12"/>
  <c r="F1416" i="12"/>
  <c r="H1416" i="12"/>
  <c r="I1416" i="12"/>
  <c r="B1416" i="12"/>
  <c r="B1415" i="12"/>
  <c r="E1415" i="12"/>
  <c r="C1415" i="12"/>
  <c r="I1415" i="12"/>
  <c r="H1415" i="12"/>
  <c r="G1415" i="12"/>
  <c r="F1415" i="12"/>
  <c r="D1415" i="12"/>
  <c r="J1415" i="12"/>
  <c r="I1414" i="12"/>
  <c r="B1414" i="12"/>
  <c r="C1414" i="12"/>
  <c r="E1414" i="12"/>
  <c r="J1414" i="12"/>
  <c r="D1414" i="12"/>
  <c r="F1414" i="12"/>
  <c r="G1414" i="12"/>
  <c r="H1414" i="12"/>
  <c r="D1413" i="12"/>
  <c r="E1413" i="12"/>
  <c r="B1413" i="12"/>
  <c r="G1413" i="12"/>
  <c r="J1413" i="12"/>
  <c r="I1413" i="12"/>
  <c r="F1413" i="12"/>
  <c r="H1413" i="12"/>
  <c r="C1413" i="12"/>
  <c r="I1412" i="12"/>
  <c r="C1412" i="12"/>
  <c r="F1412" i="12"/>
  <c r="H1412" i="12"/>
  <c r="D1412" i="12"/>
  <c r="J1412" i="12"/>
  <c r="G1412" i="12"/>
  <c r="E1412" i="12"/>
  <c r="B1412" i="12"/>
  <c r="F1411" i="12"/>
  <c r="E1411" i="12"/>
  <c r="G1411" i="12"/>
  <c r="I1411" i="12"/>
  <c r="B1411" i="12"/>
  <c r="D1411" i="12"/>
  <c r="C1411" i="12"/>
  <c r="H1411" i="12"/>
  <c r="J1411" i="12"/>
  <c r="H1410" i="12"/>
  <c r="E1410" i="12"/>
  <c r="C1410" i="12"/>
  <c r="I1410" i="12"/>
  <c r="B1410" i="12"/>
  <c r="D1410" i="12"/>
  <c r="J1410" i="12"/>
  <c r="F1410" i="12"/>
  <c r="G1410" i="12"/>
  <c r="E1409" i="12"/>
  <c r="F1409" i="12"/>
  <c r="G1409" i="12"/>
  <c r="H1409" i="12"/>
  <c r="I1409" i="12"/>
  <c r="C1409" i="12"/>
  <c r="J1409" i="12"/>
  <c r="B1409" i="12"/>
  <c r="D1409" i="12"/>
  <c r="B1408" i="12"/>
  <c r="E1408" i="12"/>
  <c r="C1408" i="12"/>
  <c r="H1408" i="12"/>
  <c r="I1408" i="12"/>
  <c r="F1408" i="12"/>
  <c r="G1408" i="12"/>
  <c r="J1408" i="12"/>
  <c r="D1408" i="12"/>
  <c r="G1407" i="12"/>
  <c r="B1407" i="12"/>
  <c r="D1407" i="12"/>
  <c r="I1407" i="12"/>
  <c r="J1407" i="12"/>
  <c r="F1407" i="12"/>
  <c r="C1407" i="12"/>
  <c r="E1407" i="12"/>
  <c r="H1407" i="12"/>
  <c r="J1406" i="12"/>
  <c r="D1406" i="12"/>
  <c r="E1406" i="12"/>
  <c r="B1406" i="12"/>
  <c r="G1406" i="12"/>
  <c r="H1406" i="12"/>
  <c r="I1406" i="12"/>
  <c r="F1406" i="12"/>
  <c r="C1406" i="12"/>
  <c r="I1405" i="12"/>
  <c r="B1405" i="12"/>
  <c r="D1405" i="12"/>
  <c r="F1405" i="12"/>
  <c r="H1405" i="12"/>
  <c r="J1405" i="12"/>
  <c r="G1405" i="12"/>
  <c r="E1405" i="12"/>
  <c r="C1405" i="12"/>
  <c r="I1404" i="12"/>
  <c r="J1404" i="12"/>
  <c r="G1404" i="12"/>
  <c r="E1404" i="12"/>
  <c r="C1404" i="12"/>
  <c r="H1404" i="12"/>
  <c r="F1404" i="12"/>
  <c r="D1404" i="12"/>
  <c r="B1404" i="12"/>
  <c r="J1403" i="12"/>
  <c r="C1403" i="12"/>
  <c r="B1403" i="12"/>
  <c r="F1403" i="12"/>
  <c r="E1403" i="12"/>
  <c r="H1403" i="12"/>
  <c r="G1403" i="12"/>
  <c r="D1403" i="12"/>
  <c r="I1403" i="12"/>
  <c r="J1402" i="12"/>
  <c r="I1402" i="12"/>
  <c r="B1402" i="12"/>
  <c r="H1402" i="12"/>
  <c r="G1402" i="12"/>
  <c r="F1402" i="12"/>
  <c r="E1402" i="12"/>
  <c r="D1402" i="12"/>
  <c r="C1402" i="12"/>
  <c r="F1401" i="12"/>
  <c r="E1401" i="12"/>
  <c r="D1401" i="12"/>
  <c r="C1401" i="12"/>
  <c r="B1401" i="12"/>
  <c r="J1401" i="12"/>
  <c r="I1401" i="12"/>
  <c r="H1401" i="12"/>
  <c r="G1401" i="12"/>
  <c r="G1400" i="12"/>
  <c r="C1400" i="12"/>
  <c r="B1400" i="12"/>
  <c r="J1400" i="12"/>
  <c r="I1400" i="12"/>
  <c r="H1400" i="12"/>
  <c r="E1400" i="12"/>
  <c r="D1400" i="12"/>
  <c r="F1400" i="12"/>
  <c r="J1399" i="12"/>
  <c r="B1399" i="12"/>
  <c r="F1399" i="12"/>
  <c r="I1399" i="12"/>
  <c r="E1399" i="12"/>
  <c r="C1399" i="12"/>
  <c r="G1399" i="12"/>
  <c r="H1399" i="12"/>
  <c r="D1399" i="12"/>
  <c r="D1398" i="12"/>
  <c r="F1398" i="12"/>
  <c r="G1398" i="12"/>
  <c r="H1398" i="12"/>
  <c r="B1398" i="12"/>
  <c r="E1398" i="12"/>
  <c r="C1398" i="12"/>
  <c r="J1398" i="12"/>
  <c r="I1398" i="12"/>
  <c r="H1397" i="12"/>
  <c r="E1397" i="12"/>
  <c r="I1397" i="12"/>
  <c r="C1397" i="12"/>
  <c r="B1397" i="12"/>
  <c r="D1397" i="12"/>
  <c r="J1397" i="12"/>
  <c r="F1397" i="12"/>
  <c r="G1397" i="12"/>
  <c r="E1396" i="12"/>
  <c r="C1396" i="12"/>
  <c r="B1396" i="12"/>
  <c r="D1396" i="12"/>
  <c r="G1396" i="12"/>
  <c r="J1396" i="12"/>
  <c r="H1396" i="12"/>
  <c r="I1396" i="12"/>
  <c r="F1396" i="12"/>
  <c r="D1395" i="12"/>
  <c r="F1395" i="12"/>
  <c r="B1395" i="12"/>
  <c r="G1395" i="12"/>
  <c r="H1395" i="12"/>
  <c r="I1395" i="12"/>
  <c r="E1395" i="12"/>
  <c r="C1395" i="12"/>
  <c r="J1395" i="12"/>
  <c r="D1394" i="12"/>
  <c r="B1394" i="12"/>
  <c r="F1394" i="12"/>
  <c r="E1394" i="12"/>
  <c r="C1394" i="12"/>
  <c r="G1394" i="12"/>
  <c r="H1394" i="12"/>
  <c r="I1394" i="12"/>
  <c r="J1394" i="12"/>
  <c r="H1393" i="12"/>
  <c r="I1393" i="12"/>
  <c r="J1393" i="12"/>
  <c r="F1393" i="12"/>
  <c r="E1393" i="12"/>
  <c r="C1393" i="12"/>
  <c r="D1393" i="12"/>
  <c r="G1393" i="12"/>
  <c r="B1393" i="12"/>
  <c r="G1392" i="12"/>
  <c r="E1392" i="12"/>
  <c r="F1392" i="12"/>
  <c r="D1392" i="12"/>
  <c r="B1392" i="12"/>
  <c r="H1392" i="12"/>
  <c r="I1392" i="12"/>
  <c r="C1392" i="12"/>
  <c r="J1392" i="12"/>
  <c r="F1391" i="12"/>
  <c r="J1391" i="12"/>
  <c r="G1391" i="12"/>
  <c r="D1391" i="12"/>
  <c r="E1391" i="12"/>
  <c r="I1391" i="12"/>
  <c r="H1391" i="12"/>
  <c r="B1391" i="12"/>
  <c r="C1391" i="12"/>
  <c r="E1390" i="12"/>
  <c r="I1390" i="12"/>
  <c r="H1390" i="12"/>
  <c r="G1390" i="12"/>
  <c r="C1390" i="12"/>
  <c r="D1390" i="12"/>
  <c r="B1390" i="12"/>
  <c r="F1390" i="12"/>
  <c r="J1390" i="12"/>
  <c r="I1389" i="12"/>
  <c r="J1389" i="12"/>
  <c r="D1389" i="12"/>
  <c r="G1389" i="12"/>
  <c r="E1389" i="12"/>
  <c r="C1389" i="12"/>
  <c r="B1389" i="12"/>
  <c r="F1389" i="12"/>
  <c r="H1389" i="12"/>
  <c r="G1388" i="12"/>
  <c r="B1388" i="12"/>
  <c r="F1388" i="12"/>
  <c r="H1388" i="12"/>
  <c r="I1388" i="12"/>
  <c r="J1388" i="12"/>
  <c r="C1388" i="12"/>
  <c r="E1388" i="12"/>
  <c r="D1388" i="12"/>
  <c r="C1387" i="12"/>
  <c r="J1387" i="12"/>
  <c r="F1387" i="12"/>
  <c r="H1387" i="12"/>
  <c r="I1387" i="12"/>
  <c r="B1387" i="12"/>
  <c r="E1387" i="12"/>
  <c r="D1387" i="12"/>
  <c r="G1387" i="12"/>
  <c r="D1386" i="12"/>
  <c r="F1386" i="12"/>
  <c r="G1386" i="12"/>
  <c r="J1386" i="12"/>
  <c r="B1386" i="12"/>
  <c r="E1386" i="12"/>
  <c r="H1386" i="12"/>
  <c r="C1386" i="12"/>
  <c r="I1386" i="12"/>
  <c r="C1385" i="12"/>
  <c r="B1385" i="12"/>
  <c r="E1385" i="12"/>
  <c r="J1385" i="12"/>
  <c r="H1385" i="12"/>
  <c r="G1385" i="12"/>
  <c r="F1385" i="12"/>
  <c r="D1385" i="12"/>
  <c r="I1385" i="12"/>
  <c r="D1384" i="12"/>
  <c r="F1384" i="12"/>
  <c r="E1384" i="12"/>
  <c r="C1384" i="12"/>
  <c r="I1384" i="12"/>
  <c r="J1384" i="12"/>
  <c r="G1384" i="12"/>
  <c r="H1384" i="12"/>
  <c r="B1384" i="12"/>
  <c r="G1383" i="12"/>
  <c r="C1383" i="12"/>
  <c r="B1383" i="12"/>
  <c r="E1383" i="12"/>
  <c r="J1383" i="12"/>
  <c r="I1383" i="12"/>
  <c r="H1383" i="12"/>
  <c r="F1383" i="12"/>
  <c r="D1383" i="12"/>
  <c r="I1382" i="12"/>
  <c r="F1382" i="12"/>
  <c r="D1382" i="12"/>
  <c r="B1382" i="12"/>
  <c r="J1382" i="12"/>
  <c r="C1382" i="12"/>
  <c r="E1382" i="12"/>
  <c r="G1382" i="12"/>
  <c r="H1382" i="12"/>
  <c r="D1381" i="12"/>
  <c r="B1381" i="12"/>
  <c r="C1381" i="12"/>
  <c r="E1381" i="12"/>
  <c r="G1381" i="12"/>
  <c r="H1381" i="12"/>
  <c r="I1381" i="12"/>
  <c r="J1381" i="12"/>
  <c r="F1381" i="12"/>
  <c r="E1380" i="12"/>
  <c r="F1380" i="12"/>
  <c r="D1380" i="12"/>
  <c r="C1380" i="12"/>
  <c r="B1380" i="12"/>
  <c r="G1380" i="12"/>
  <c r="J1380" i="12"/>
  <c r="I1380" i="12"/>
  <c r="H1380" i="12"/>
  <c r="D1379" i="12"/>
  <c r="F1379" i="12"/>
  <c r="J1379" i="12"/>
  <c r="I1379" i="12"/>
  <c r="H1379" i="12"/>
  <c r="G1379" i="12"/>
  <c r="E1379" i="12"/>
  <c r="C1379" i="12"/>
  <c r="B1379" i="12"/>
  <c r="B1378" i="12"/>
  <c r="H1378" i="12"/>
  <c r="I1378" i="12"/>
  <c r="J1378" i="12"/>
  <c r="C1378" i="12"/>
  <c r="D1378" i="12"/>
  <c r="E1378" i="12"/>
  <c r="F1378" i="12"/>
  <c r="G1378" i="12"/>
  <c r="G1377" i="12"/>
  <c r="J1377" i="12"/>
  <c r="E1377" i="12"/>
  <c r="D1377" i="12"/>
  <c r="C1377" i="12"/>
  <c r="H1377" i="12"/>
  <c r="B1377" i="12"/>
  <c r="I1377" i="12"/>
  <c r="F1377" i="12"/>
  <c r="F1376" i="12"/>
  <c r="D1376" i="12"/>
  <c r="C1376" i="12"/>
  <c r="B1376" i="12"/>
  <c r="I1376" i="12"/>
  <c r="H1376" i="12"/>
  <c r="G1376" i="12"/>
  <c r="E1376" i="12"/>
  <c r="J1376" i="12"/>
  <c r="F1375" i="12"/>
  <c r="E1375" i="12"/>
  <c r="D1375" i="12"/>
  <c r="C1375" i="12"/>
  <c r="H1375" i="12"/>
  <c r="I1375" i="12"/>
  <c r="J1375" i="12"/>
  <c r="B1375" i="12"/>
  <c r="G1375" i="12"/>
  <c r="C1374" i="12"/>
  <c r="F1374" i="12"/>
  <c r="I1374" i="12"/>
  <c r="B1374" i="12"/>
  <c r="D1374" i="12"/>
  <c r="E1374" i="12"/>
  <c r="G1374" i="12"/>
  <c r="H1374" i="12"/>
  <c r="J1374" i="12"/>
  <c r="G1373" i="12"/>
  <c r="F1373" i="12"/>
  <c r="E1373" i="12"/>
  <c r="D1373" i="12"/>
  <c r="C1373" i="12"/>
  <c r="B1373" i="12"/>
  <c r="J1373" i="12"/>
  <c r="I1373" i="12"/>
  <c r="H1373" i="12"/>
  <c r="J1372" i="12"/>
  <c r="H1372" i="12"/>
  <c r="G1372" i="12"/>
  <c r="E1372" i="12"/>
  <c r="C1372" i="12"/>
  <c r="I1372" i="12"/>
  <c r="B1372" i="12"/>
  <c r="F1372" i="12"/>
  <c r="D1372" i="12"/>
  <c r="E1371" i="12"/>
  <c r="H1371" i="12"/>
  <c r="C1371" i="12"/>
  <c r="J1371" i="12"/>
  <c r="I1371" i="12"/>
  <c r="B1371" i="12"/>
  <c r="F1371" i="12"/>
  <c r="G1371" i="12"/>
  <c r="D1371" i="12"/>
  <c r="D1370" i="12"/>
  <c r="B1370" i="12"/>
  <c r="E1370" i="12"/>
  <c r="F1370" i="12"/>
  <c r="J1370" i="12"/>
  <c r="C1370" i="12"/>
  <c r="I1370" i="12"/>
  <c r="G1370" i="12"/>
  <c r="H1370" i="12"/>
  <c r="I1369" i="12"/>
  <c r="J1369" i="12"/>
  <c r="C1369" i="12"/>
  <c r="D1369" i="12"/>
  <c r="E1369" i="12"/>
  <c r="F1369" i="12"/>
  <c r="B1369" i="12"/>
  <c r="G1369" i="12"/>
  <c r="H1369" i="12"/>
  <c r="H1368" i="12"/>
  <c r="E1368" i="12"/>
  <c r="C1368" i="12"/>
  <c r="F1368" i="12"/>
  <c r="D1368" i="12"/>
  <c r="B1368" i="12"/>
  <c r="J1368" i="12"/>
  <c r="I1368" i="12"/>
  <c r="G1368" i="12"/>
  <c r="E1367" i="12"/>
  <c r="J1367" i="12"/>
  <c r="I1367" i="12"/>
  <c r="B1367" i="12"/>
  <c r="H1367" i="12"/>
  <c r="G1367" i="12"/>
  <c r="D1367" i="12"/>
  <c r="F1367" i="12"/>
  <c r="C1367" i="12"/>
  <c r="B1366" i="12"/>
  <c r="E1366" i="12"/>
  <c r="J1366" i="12"/>
  <c r="I1366" i="12"/>
  <c r="H1366" i="12"/>
  <c r="G1366" i="12"/>
  <c r="D1366" i="12"/>
  <c r="C1366" i="12"/>
  <c r="F1366" i="12"/>
  <c r="J1365" i="12"/>
  <c r="I1365" i="12"/>
  <c r="H1365" i="12"/>
  <c r="F1365" i="12"/>
  <c r="D1365" i="12"/>
  <c r="G1365" i="12"/>
  <c r="E1365" i="12"/>
  <c r="C1365" i="12"/>
  <c r="B1365" i="12"/>
  <c r="H1364" i="12"/>
  <c r="G1364" i="12"/>
  <c r="I1364" i="12"/>
  <c r="D1364" i="12"/>
  <c r="E1364" i="12"/>
  <c r="C1364" i="12"/>
  <c r="F1364" i="12"/>
  <c r="B1364" i="12"/>
  <c r="J1364" i="12"/>
  <c r="D1363" i="12"/>
  <c r="C1363" i="12"/>
  <c r="G1363" i="12"/>
  <c r="H1363" i="12"/>
  <c r="I1363" i="12"/>
  <c r="J1363" i="12"/>
  <c r="B1363" i="12"/>
  <c r="F1363" i="12"/>
  <c r="E1363" i="12"/>
  <c r="I1362" i="12"/>
  <c r="J1362" i="12"/>
  <c r="D1362" i="12"/>
  <c r="G1362" i="12"/>
  <c r="E1362" i="12"/>
  <c r="C1362" i="12"/>
  <c r="B1362" i="12"/>
  <c r="F1362" i="12"/>
  <c r="H1362" i="12"/>
  <c r="H1361" i="12"/>
  <c r="E1361" i="12"/>
  <c r="C1361" i="12"/>
  <c r="G1361" i="12"/>
  <c r="F1361" i="12"/>
  <c r="D1361" i="12"/>
  <c r="B1361" i="12"/>
  <c r="J1361" i="12"/>
  <c r="I1361" i="12"/>
  <c r="H1360" i="12"/>
  <c r="G1360" i="12"/>
  <c r="F1360" i="12"/>
  <c r="C1360" i="12"/>
  <c r="B1360" i="12"/>
  <c r="J1360" i="12"/>
  <c r="I1360" i="12"/>
  <c r="D1360" i="12"/>
  <c r="E1360" i="12"/>
  <c r="B1359" i="12"/>
  <c r="I1359" i="12"/>
  <c r="H1359" i="12"/>
  <c r="D1359" i="12"/>
  <c r="G1359" i="12"/>
  <c r="F1359" i="12"/>
  <c r="E1359" i="12"/>
  <c r="C1359" i="12"/>
  <c r="J1359" i="12"/>
  <c r="C1358" i="12"/>
  <c r="E1358" i="12"/>
  <c r="J1358" i="12"/>
  <c r="D1358" i="12"/>
  <c r="F1358" i="12"/>
  <c r="H1358" i="12"/>
  <c r="I1358" i="12"/>
  <c r="G1358" i="12"/>
  <c r="B1358" i="12"/>
  <c r="D1357" i="12"/>
  <c r="C1357" i="12"/>
  <c r="E1357" i="12"/>
  <c r="B1357" i="12"/>
  <c r="I1357" i="12"/>
  <c r="G1357" i="12"/>
  <c r="J1357" i="12"/>
  <c r="F1357" i="12"/>
  <c r="H1357" i="12"/>
  <c r="F1356" i="12"/>
  <c r="H1356" i="12"/>
  <c r="E1356" i="12"/>
  <c r="C1356" i="12"/>
  <c r="B1356" i="12"/>
  <c r="G1356" i="12"/>
  <c r="D1356" i="12"/>
  <c r="J1356" i="12"/>
  <c r="I1356" i="12"/>
  <c r="C1355" i="12"/>
  <c r="E1355" i="12"/>
  <c r="H1355" i="12"/>
  <c r="I1355" i="12"/>
  <c r="J1355" i="12"/>
  <c r="G1355" i="12"/>
  <c r="B1355" i="12"/>
  <c r="D1355" i="12"/>
  <c r="F1355" i="12"/>
  <c r="B1354" i="12"/>
  <c r="C1354" i="12"/>
  <c r="F1354" i="12"/>
  <c r="G1354" i="12"/>
  <c r="H1354" i="12"/>
  <c r="I1354" i="12"/>
  <c r="J1354" i="12"/>
  <c r="E1354" i="12"/>
  <c r="D1354" i="12"/>
  <c r="E1353" i="12"/>
  <c r="H1353" i="12"/>
  <c r="I1353" i="12"/>
  <c r="J1353" i="12"/>
  <c r="G1353" i="12"/>
  <c r="F1353" i="12"/>
  <c r="B1353" i="12"/>
  <c r="C1353" i="12"/>
  <c r="D1353" i="12"/>
  <c r="E1352" i="12"/>
  <c r="G1352" i="12"/>
  <c r="J1352" i="12"/>
  <c r="B1352" i="12"/>
  <c r="H1352" i="12"/>
  <c r="C1352" i="12"/>
  <c r="D1352" i="12"/>
  <c r="F1352" i="12"/>
  <c r="I1352" i="12"/>
  <c r="G1351" i="12"/>
  <c r="B1351" i="12"/>
  <c r="D1351" i="12"/>
  <c r="H1351" i="12"/>
  <c r="I1351" i="12"/>
  <c r="J1351" i="12"/>
  <c r="C1351" i="12"/>
  <c r="E1351" i="12"/>
  <c r="F1351" i="12"/>
  <c r="H1350" i="12"/>
  <c r="B1350" i="12"/>
  <c r="D1350" i="12"/>
  <c r="F1350" i="12"/>
  <c r="J1350" i="12"/>
  <c r="I1350" i="12"/>
  <c r="G1350" i="12"/>
  <c r="E1350" i="12"/>
  <c r="C1350" i="12"/>
  <c r="I1349" i="12"/>
  <c r="C1349" i="12"/>
  <c r="D1349" i="12"/>
  <c r="F1349" i="12"/>
  <c r="G1349" i="12"/>
  <c r="H1349" i="12"/>
  <c r="J1349" i="12"/>
  <c r="B1349" i="12"/>
  <c r="E1349" i="12"/>
  <c r="J1348" i="12"/>
  <c r="I1348" i="12"/>
  <c r="H1348" i="12"/>
  <c r="F1348" i="12"/>
  <c r="E1348" i="12"/>
  <c r="C1348" i="12"/>
  <c r="G1348" i="12"/>
  <c r="D1348" i="12"/>
  <c r="B1348" i="12"/>
  <c r="D1347" i="12"/>
  <c r="C1347" i="12"/>
  <c r="B1347" i="12"/>
  <c r="I1347" i="12"/>
  <c r="E1347" i="12"/>
  <c r="J1347" i="12"/>
  <c r="H1347" i="12"/>
  <c r="F1347" i="12"/>
  <c r="G1347" i="12"/>
  <c r="D1346" i="12"/>
  <c r="F1346" i="12"/>
  <c r="G1346" i="12"/>
  <c r="H1346" i="12"/>
  <c r="C1346" i="12"/>
  <c r="I1346" i="12"/>
  <c r="J1346" i="12"/>
  <c r="E1346" i="12"/>
  <c r="B1346" i="12"/>
  <c r="G1345" i="12"/>
  <c r="H1345" i="12"/>
  <c r="I1345" i="12"/>
  <c r="J1345" i="12"/>
  <c r="F1345" i="12"/>
  <c r="D1345" i="12"/>
  <c r="B1345" i="12"/>
  <c r="C1345" i="12"/>
  <c r="E1345" i="12"/>
  <c r="F1344" i="12"/>
  <c r="J1344" i="12"/>
  <c r="E1344" i="12"/>
  <c r="G1344" i="12"/>
  <c r="B1344" i="12"/>
  <c r="I1344" i="12"/>
  <c r="C1344" i="12"/>
  <c r="D1344" i="12"/>
  <c r="H1344" i="12"/>
  <c r="E1343" i="12"/>
  <c r="B1343" i="12"/>
  <c r="I1343" i="12"/>
  <c r="F1343" i="12"/>
  <c r="C1343" i="12"/>
  <c r="J1343" i="12"/>
  <c r="G1343" i="12"/>
  <c r="H1343" i="12"/>
  <c r="D1343" i="12"/>
  <c r="B1342" i="12"/>
  <c r="J1342" i="12"/>
  <c r="G1342" i="12"/>
  <c r="F1342" i="12"/>
  <c r="D1342" i="12"/>
  <c r="E1342" i="12"/>
  <c r="C1342" i="12"/>
  <c r="H1342" i="12"/>
  <c r="I1342" i="12"/>
  <c r="I1341" i="12"/>
  <c r="C1341" i="12"/>
  <c r="D1341" i="12"/>
  <c r="J1341" i="12"/>
  <c r="H1341" i="12"/>
  <c r="G1341" i="12"/>
  <c r="F1341" i="12"/>
  <c r="B1341" i="12"/>
  <c r="E1341" i="12"/>
  <c r="F1340" i="12"/>
  <c r="C1340" i="12"/>
  <c r="J1340" i="12"/>
  <c r="D1340" i="12"/>
  <c r="B1340" i="12"/>
  <c r="E1340" i="12"/>
  <c r="G1340" i="12"/>
  <c r="H1340" i="12"/>
  <c r="I1340" i="12"/>
  <c r="F1339" i="12"/>
  <c r="G1339" i="12"/>
  <c r="H1339" i="12"/>
  <c r="J1339" i="12"/>
  <c r="I1339" i="12"/>
  <c r="B1339" i="12"/>
  <c r="E1339" i="12"/>
  <c r="C1339" i="12"/>
  <c r="D1339" i="12"/>
  <c r="H1338" i="12"/>
  <c r="D1338" i="12"/>
  <c r="C1338" i="12"/>
  <c r="J1338" i="12"/>
  <c r="I1338" i="12"/>
  <c r="G1338" i="12"/>
  <c r="E1338" i="12"/>
  <c r="F1338" i="12"/>
  <c r="B1338" i="12"/>
  <c r="F1337" i="12"/>
  <c r="D1337" i="12"/>
  <c r="J1337" i="12"/>
  <c r="I1337" i="12"/>
  <c r="E1337" i="12"/>
  <c r="B1337" i="12"/>
  <c r="C1337" i="12"/>
  <c r="H1337" i="12"/>
  <c r="G1337" i="12"/>
  <c r="D1336" i="12"/>
  <c r="C1336" i="12"/>
  <c r="F1336" i="12"/>
  <c r="B1336" i="12"/>
  <c r="J1336" i="12"/>
  <c r="I1336" i="12"/>
  <c r="H1336" i="12"/>
  <c r="G1336" i="12"/>
  <c r="E1336" i="12"/>
  <c r="B1335" i="12"/>
  <c r="J1335" i="12"/>
  <c r="I1335" i="12"/>
  <c r="H1335" i="12"/>
  <c r="G1335" i="12"/>
  <c r="E1335" i="12"/>
  <c r="C1335" i="12"/>
  <c r="D1335" i="12"/>
  <c r="F1335" i="12"/>
  <c r="F1334" i="12"/>
  <c r="E1334" i="12"/>
  <c r="G1334" i="12"/>
  <c r="H1334" i="12"/>
  <c r="I1334" i="12"/>
  <c r="J1334" i="12"/>
  <c r="B1334" i="12"/>
  <c r="D1334" i="12"/>
  <c r="C1334" i="12"/>
  <c r="E1333" i="12"/>
  <c r="D1333" i="12"/>
  <c r="J1333" i="12"/>
  <c r="I1333" i="12"/>
  <c r="H1333" i="12"/>
  <c r="G1333" i="12"/>
  <c r="F1333" i="12"/>
  <c r="C1333" i="12"/>
  <c r="B1333" i="12"/>
  <c r="F1332" i="12"/>
  <c r="G1332" i="12"/>
  <c r="C1332" i="12"/>
  <c r="I1332" i="12"/>
  <c r="J1332" i="12"/>
  <c r="H1332" i="12"/>
  <c r="E1332" i="12"/>
  <c r="D1332" i="12"/>
  <c r="B1332" i="12"/>
  <c r="J1331" i="12"/>
  <c r="E1331" i="12"/>
  <c r="C1331" i="12"/>
  <c r="F1331" i="12"/>
  <c r="B1331" i="12"/>
  <c r="D1331" i="12"/>
  <c r="I1331" i="12"/>
  <c r="H1331" i="12"/>
  <c r="G1331" i="12"/>
  <c r="B1330" i="12"/>
  <c r="C1330" i="12"/>
  <c r="I1330" i="12"/>
  <c r="J1330" i="12"/>
  <c r="E1330" i="12"/>
  <c r="F1330" i="12"/>
  <c r="D1330" i="12"/>
  <c r="G1330" i="12"/>
  <c r="H1330" i="12"/>
  <c r="E1329" i="12"/>
  <c r="G1329" i="12"/>
  <c r="H1329" i="12"/>
  <c r="I1329" i="12"/>
  <c r="F1329" i="12"/>
  <c r="J1329" i="12"/>
  <c r="D1329" i="12"/>
  <c r="B1329" i="12"/>
  <c r="C1329" i="12"/>
  <c r="H1328" i="12"/>
  <c r="I1328" i="12"/>
  <c r="J1328" i="12"/>
  <c r="B1328" i="12"/>
  <c r="D1328" i="12"/>
  <c r="E1328" i="12"/>
  <c r="C1328" i="12"/>
  <c r="G1328" i="12"/>
  <c r="F1328" i="12"/>
  <c r="D1327" i="12"/>
  <c r="C1327" i="12"/>
  <c r="B1327" i="12"/>
  <c r="I1327" i="12"/>
  <c r="E1327" i="12"/>
  <c r="H1327" i="12"/>
  <c r="J1327" i="12"/>
  <c r="G1327" i="12"/>
  <c r="F1327" i="12"/>
  <c r="I1326" i="12"/>
  <c r="H1326" i="12"/>
  <c r="F1326" i="12"/>
  <c r="E1326" i="12"/>
  <c r="J1326" i="12"/>
  <c r="D1326" i="12"/>
  <c r="G1326" i="12"/>
  <c r="C1326" i="12"/>
  <c r="B1326" i="12"/>
  <c r="E1325" i="12"/>
  <c r="B1325" i="12"/>
  <c r="C1325" i="12"/>
  <c r="D1325" i="12"/>
  <c r="F1325" i="12"/>
  <c r="G1325" i="12"/>
  <c r="H1325" i="12"/>
  <c r="I1325" i="12"/>
  <c r="J1325" i="12"/>
  <c r="F1324" i="12"/>
  <c r="C1324" i="12"/>
  <c r="G1324" i="12"/>
  <c r="J1324" i="12"/>
  <c r="E1324" i="12"/>
  <c r="I1324" i="12"/>
  <c r="D1324" i="12"/>
  <c r="B1324" i="12"/>
  <c r="H1324" i="12"/>
  <c r="C1323" i="12"/>
  <c r="B1323" i="12"/>
  <c r="J1323" i="12"/>
  <c r="H1323" i="12"/>
  <c r="G1323" i="12"/>
  <c r="F1323" i="12"/>
  <c r="E1323" i="12"/>
  <c r="D1323" i="12"/>
  <c r="I1323" i="12"/>
  <c r="B1322" i="12"/>
  <c r="I1322" i="12"/>
  <c r="G1322" i="12"/>
  <c r="F1322" i="12"/>
  <c r="J1322" i="12"/>
  <c r="D1322" i="12"/>
  <c r="E1322" i="12"/>
  <c r="C1322" i="12"/>
  <c r="H1322" i="12"/>
  <c r="E1321" i="12"/>
  <c r="F1321" i="12"/>
  <c r="G1321" i="12"/>
  <c r="H1321" i="12"/>
  <c r="J1321" i="12"/>
  <c r="C1321" i="12"/>
  <c r="I1321" i="12"/>
  <c r="B1321" i="12"/>
  <c r="D1321" i="12"/>
  <c r="F1320" i="12"/>
  <c r="B1320" i="12"/>
  <c r="C1320" i="12"/>
  <c r="D1320" i="12"/>
  <c r="E1320" i="12"/>
  <c r="G1320" i="12"/>
  <c r="H1320" i="12"/>
  <c r="I1320" i="12"/>
  <c r="J1320" i="12"/>
  <c r="H1319" i="12"/>
  <c r="G1319" i="12"/>
  <c r="F1319" i="12"/>
  <c r="J1319" i="12"/>
  <c r="E1319" i="12"/>
  <c r="D1319" i="12"/>
  <c r="C1319" i="12"/>
  <c r="B1319" i="12"/>
  <c r="I1319" i="12"/>
  <c r="I1318" i="12"/>
  <c r="H1318" i="12"/>
  <c r="C1318" i="12"/>
  <c r="D1318" i="12"/>
  <c r="E1318" i="12"/>
  <c r="G1318" i="12"/>
  <c r="J1318" i="12"/>
  <c r="F1318" i="12"/>
  <c r="B1318" i="12"/>
  <c r="H1317" i="12"/>
  <c r="F1317" i="12"/>
  <c r="J1317" i="12"/>
  <c r="E1317" i="12"/>
  <c r="I1317" i="12"/>
  <c r="D1317" i="12"/>
  <c r="G1317" i="12"/>
  <c r="B1317" i="12"/>
  <c r="C1317" i="12"/>
  <c r="F1316" i="12"/>
  <c r="D1316" i="12"/>
  <c r="J1316" i="12"/>
  <c r="I1316" i="12"/>
  <c r="G1316" i="12"/>
  <c r="B1316" i="12"/>
  <c r="C1316" i="12"/>
  <c r="E1316" i="12"/>
  <c r="H1316" i="12"/>
  <c r="E1315" i="12"/>
  <c r="G1315" i="12"/>
  <c r="J1315" i="12"/>
  <c r="H1315" i="12"/>
  <c r="I1315" i="12"/>
  <c r="B1315" i="12"/>
  <c r="D1315" i="12"/>
  <c r="F1315" i="12"/>
  <c r="C1315" i="12"/>
  <c r="D1314" i="12"/>
  <c r="G1314" i="12"/>
  <c r="C1314" i="12"/>
  <c r="E1314" i="12"/>
  <c r="B1314" i="12"/>
  <c r="I1314" i="12"/>
  <c r="J1314" i="12"/>
  <c r="F1314" i="12"/>
  <c r="H1314" i="12"/>
  <c r="J1313" i="12"/>
  <c r="E1313" i="12"/>
  <c r="H1313" i="12"/>
  <c r="G1313" i="12"/>
  <c r="D1313" i="12"/>
  <c r="I1313" i="12"/>
  <c r="B1313" i="12"/>
  <c r="C1313" i="12"/>
  <c r="F1313" i="12"/>
  <c r="G1312" i="12"/>
  <c r="E1312" i="12"/>
  <c r="C1312" i="12"/>
  <c r="F1312" i="12"/>
  <c r="I1312" i="12"/>
  <c r="H1312" i="12"/>
  <c r="D1312" i="12"/>
  <c r="B1312" i="12"/>
  <c r="J1312" i="12"/>
  <c r="H1311" i="12"/>
  <c r="B1311" i="12"/>
  <c r="G1311" i="12"/>
  <c r="F1311" i="12"/>
  <c r="J1311" i="12"/>
  <c r="E1311" i="12"/>
  <c r="D1311" i="12"/>
  <c r="C1311" i="12"/>
  <c r="I1311" i="12"/>
  <c r="H1310" i="12"/>
  <c r="I1310" i="12"/>
  <c r="J1310" i="12"/>
  <c r="C1310" i="12"/>
  <c r="E1310" i="12"/>
  <c r="B1310" i="12"/>
  <c r="D1310" i="12"/>
  <c r="F1310" i="12"/>
  <c r="G1310" i="12"/>
  <c r="G1309" i="12"/>
  <c r="F1309" i="12"/>
  <c r="B1309" i="12"/>
  <c r="J1309" i="12"/>
  <c r="H1309" i="12"/>
  <c r="C1309" i="12"/>
  <c r="E1309" i="12"/>
  <c r="D1309" i="12"/>
  <c r="I1309" i="12"/>
  <c r="G1308" i="12"/>
  <c r="D1308" i="12"/>
  <c r="B1308" i="12"/>
  <c r="F1308" i="12"/>
  <c r="E1308" i="12"/>
  <c r="H1308" i="12"/>
  <c r="I1308" i="12"/>
  <c r="J1308" i="12"/>
  <c r="C1308" i="12"/>
  <c r="G1307" i="12"/>
  <c r="B1307" i="12"/>
  <c r="D1307" i="12"/>
  <c r="C1307" i="12"/>
  <c r="E1307" i="12"/>
  <c r="H1307" i="12"/>
  <c r="I1307" i="12"/>
  <c r="J1307" i="12"/>
  <c r="F1307" i="12"/>
  <c r="G1306" i="12"/>
  <c r="F1306" i="12"/>
  <c r="E1306" i="12"/>
  <c r="D1306" i="12"/>
  <c r="B1306" i="12"/>
  <c r="C1306" i="12"/>
  <c r="H1306" i="12"/>
  <c r="I1306" i="12"/>
  <c r="J1306" i="12"/>
  <c r="G1305" i="12"/>
  <c r="F1305" i="12"/>
  <c r="C1305" i="12"/>
  <c r="H1305" i="12"/>
  <c r="D1305" i="12"/>
  <c r="I1305" i="12"/>
  <c r="J1305" i="12"/>
  <c r="B1305" i="12"/>
  <c r="E1305" i="12"/>
  <c r="D1304" i="12"/>
  <c r="H1304" i="12"/>
  <c r="G1304" i="12"/>
  <c r="C1304" i="12"/>
  <c r="E1304" i="12"/>
  <c r="I1304" i="12"/>
  <c r="F1304" i="12"/>
  <c r="J1304" i="12"/>
  <c r="B1304" i="12"/>
  <c r="E1303" i="12"/>
  <c r="H1303" i="12"/>
  <c r="I1303" i="12"/>
  <c r="C1303" i="12"/>
  <c r="J1303" i="12"/>
  <c r="F1303" i="12"/>
  <c r="G1303" i="12"/>
  <c r="D1303" i="12"/>
  <c r="B1303" i="12"/>
  <c r="J1302" i="12"/>
  <c r="I1302" i="12"/>
  <c r="H1302" i="12"/>
  <c r="E1302" i="12"/>
  <c r="B1302" i="12"/>
  <c r="D1302" i="12"/>
  <c r="C1302" i="12"/>
  <c r="F1302" i="12"/>
  <c r="G1302" i="12"/>
  <c r="B554" i="12"/>
  <c r="C554" i="12"/>
  <c r="D554" i="12"/>
  <c r="E554" i="12"/>
  <c r="F554" i="12"/>
  <c r="G554" i="12"/>
  <c r="H554" i="12"/>
  <c r="J554" i="12"/>
  <c r="I554" i="12"/>
  <c r="O447" i="10" a="1"/>
  <c r="N447" i="10"/>
  <c r="N288" i="10"/>
  <c r="O288" i="10" a="1"/>
  <c r="O161" i="10" a="1"/>
  <c r="N161" i="10"/>
  <c r="J1912" i="12"/>
  <c r="I1912" i="12"/>
  <c r="H1912" i="12"/>
  <c r="G1912" i="12"/>
  <c r="F1912" i="12"/>
  <c r="E1912" i="12"/>
  <c r="D1912" i="12"/>
  <c r="C1912" i="12"/>
  <c r="B1912" i="12"/>
  <c r="G1911" i="12"/>
  <c r="B1911" i="12"/>
  <c r="F1911" i="12"/>
  <c r="E1911" i="12"/>
  <c r="C1911" i="12"/>
  <c r="D1911" i="12"/>
  <c r="H1911" i="12"/>
  <c r="J1911" i="12"/>
  <c r="I1911" i="12"/>
  <c r="H1910" i="12"/>
  <c r="G1910" i="12"/>
  <c r="E1910" i="12"/>
  <c r="D1910" i="12"/>
  <c r="B1910" i="12"/>
  <c r="C1910" i="12"/>
  <c r="I1910" i="12"/>
  <c r="J1910" i="12"/>
  <c r="F1910" i="12"/>
  <c r="B1909" i="12"/>
  <c r="E1909" i="12"/>
  <c r="C1909" i="12"/>
  <c r="D1909" i="12"/>
  <c r="F1909" i="12"/>
  <c r="G1909" i="12"/>
  <c r="I1909" i="12"/>
  <c r="H1909" i="12"/>
  <c r="J1909" i="12"/>
  <c r="B1908" i="12"/>
  <c r="C1908" i="12"/>
  <c r="E1908" i="12"/>
  <c r="D1908" i="12"/>
  <c r="F1908" i="12"/>
  <c r="G1908" i="12"/>
  <c r="H1908" i="12"/>
  <c r="I1908" i="12"/>
  <c r="J1908" i="12"/>
  <c r="G1907" i="12"/>
  <c r="I1907" i="12"/>
  <c r="H1907" i="12"/>
  <c r="F1907" i="12"/>
  <c r="E1907" i="12"/>
  <c r="D1907" i="12"/>
  <c r="C1907" i="12"/>
  <c r="B1907" i="12"/>
  <c r="J1907" i="12"/>
  <c r="B1906" i="12"/>
  <c r="D1906" i="12"/>
  <c r="E1906" i="12"/>
  <c r="F1906" i="12"/>
  <c r="G1906" i="12"/>
  <c r="H1906" i="12"/>
  <c r="I1906" i="12"/>
  <c r="J1906" i="12"/>
  <c r="C1906" i="12"/>
  <c r="I1905" i="12"/>
  <c r="J1905" i="12"/>
  <c r="B1905" i="12"/>
  <c r="C1905" i="12"/>
  <c r="D1905" i="12"/>
  <c r="E1905" i="12"/>
  <c r="F1905" i="12"/>
  <c r="G1905" i="12"/>
  <c r="H1905" i="12"/>
  <c r="J1904" i="12"/>
  <c r="I1904" i="12"/>
  <c r="H1904" i="12"/>
  <c r="G1904" i="12"/>
  <c r="F1904" i="12"/>
  <c r="E1904" i="12"/>
  <c r="D1904" i="12"/>
  <c r="B1904" i="12"/>
  <c r="C1904" i="12"/>
  <c r="H1903" i="12"/>
  <c r="I1903" i="12"/>
  <c r="J1903" i="12"/>
  <c r="G1903" i="12"/>
  <c r="B1903" i="12"/>
  <c r="C1903" i="12"/>
  <c r="D1903" i="12"/>
  <c r="E1903" i="12"/>
  <c r="F1903" i="12"/>
  <c r="D1902" i="12"/>
  <c r="F1902" i="12"/>
  <c r="I1902" i="12"/>
  <c r="J1902" i="12"/>
  <c r="B1902" i="12"/>
  <c r="C1902" i="12"/>
  <c r="E1902" i="12"/>
  <c r="G1902" i="12"/>
  <c r="H1902" i="12"/>
  <c r="B1901" i="12"/>
  <c r="D1901" i="12"/>
  <c r="E1901" i="12"/>
  <c r="G1901" i="12"/>
  <c r="I1901" i="12"/>
  <c r="J1901" i="12"/>
  <c r="C1901" i="12"/>
  <c r="H1901" i="12"/>
  <c r="F1901" i="12"/>
  <c r="J1900" i="12"/>
  <c r="I1900" i="12"/>
  <c r="H1900" i="12"/>
  <c r="G1900" i="12"/>
  <c r="F1900" i="12"/>
  <c r="D1900" i="12"/>
  <c r="C1900" i="12"/>
  <c r="B1900" i="12"/>
  <c r="E1900" i="12"/>
  <c r="J1899" i="12"/>
  <c r="I1899" i="12"/>
  <c r="B1899" i="12"/>
  <c r="H1899" i="12"/>
  <c r="C1899" i="12"/>
  <c r="D1899" i="12"/>
  <c r="E1899" i="12"/>
  <c r="F1899" i="12"/>
  <c r="G1899" i="12"/>
  <c r="C1898" i="12"/>
  <c r="D1898" i="12"/>
  <c r="E1898" i="12"/>
  <c r="F1898" i="12"/>
  <c r="H1898" i="12"/>
  <c r="G1898" i="12"/>
  <c r="I1898" i="12"/>
  <c r="J1898" i="12"/>
  <c r="B1898" i="12"/>
  <c r="F1897" i="12"/>
  <c r="I1897" i="12"/>
  <c r="J1897" i="12"/>
  <c r="H1897" i="12"/>
  <c r="G1897" i="12"/>
  <c r="B1897" i="12"/>
  <c r="C1897" i="12"/>
  <c r="D1897" i="12"/>
  <c r="E1897" i="12"/>
  <c r="D1896" i="12"/>
  <c r="E1896" i="12"/>
  <c r="F1896" i="12"/>
  <c r="G1896" i="12"/>
  <c r="H1896" i="12"/>
  <c r="J1896" i="12"/>
  <c r="C1896" i="12"/>
  <c r="B1896" i="12"/>
  <c r="I1896" i="12"/>
  <c r="H1895" i="12"/>
  <c r="G1895" i="12"/>
  <c r="F1895" i="12"/>
  <c r="E1895" i="12"/>
  <c r="D1895" i="12"/>
  <c r="C1895" i="12"/>
  <c r="B1895" i="12"/>
  <c r="I1895" i="12"/>
  <c r="J1895" i="12"/>
  <c r="D1894" i="12"/>
  <c r="E1894" i="12"/>
  <c r="G1894" i="12"/>
  <c r="H1894" i="12"/>
  <c r="I1894" i="12"/>
  <c r="J1894" i="12"/>
  <c r="C1894" i="12"/>
  <c r="B1894" i="12"/>
  <c r="F1894" i="12"/>
  <c r="G1893" i="12"/>
  <c r="F1893" i="12"/>
  <c r="D1893" i="12"/>
  <c r="E1893" i="12"/>
  <c r="B1893" i="12"/>
  <c r="C1893" i="12"/>
  <c r="J1893" i="12"/>
  <c r="I1893" i="12"/>
  <c r="H1893" i="12"/>
  <c r="E1892" i="12"/>
  <c r="B1892" i="12"/>
  <c r="C1892" i="12"/>
  <c r="D1892" i="12"/>
  <c r="F1892" i="12"/>
  <c r="G1892" i="12"/>
  <c r="H1892" i="12"/>
  <c r="I1892" i="12"/>
  <c r="J1892" i="12"/>
  <c r="H1891" i="12"/>
  <c r="B1891" i="12"/>
  <c r="D1891" i="12"/>
  <c r="E1891" i="12"/>
  <c r="F1891" i="12"/>
  <c r="G1891" i="12"/>
  <c r="I1891" i="12"/>
  <c r="J1891" i="12"/>
  <c r="C1891" i="12"/>
  <c r="G1890" i="12"/>
  <c r="C1890" i="12"/>
  <c r="B1890" i="12"/>
  <c r="F1890" i="12"/>
  <c r="H1890" i="12"/>
  <c r="I1890" i="12"/>
  <c r="J1890" i="12"/>
  <c r="E1890" i="12"/>
  <c r="D1890" i="12"/>
  <c r="C1889" i="12"/>
  <c r="B1889" i="12"/>
  <c r="J1889" i="12"/>
  <c r="I1889" i="12"/>
  <c r="H1889" i="12"/>
  <c r="D1889" i="12"/>
  <c r="G1889" i="12"/>
  <c r="F1889" i="12"/>
  <c r="E1889" i="12"/>
  <c r="J1888" i="12"/>
  <c r="I1888" i="12"/>
  <c r="H1888" i="12"/>
  <c r="G1888" i="12"/>
  <c r="F1888" i="12"/>
  <c r="E1888" i="12"/>
  <c r="C1888" i="12"/>
  <c r="B1888" i="12"/>
  <c r="D1888" i="12"/>
  <c r="J1887" i="12"/>
  <c r="I1887" i="12"/>
  <c r="H1887" i="12"/>
  <c r="G1887" i="12"/>
  <c r="F1887" i="12"/>
  <c r="E1887" i="12"/>
  <c r="D1887" i="12"/>
  <c r="C1887" i="12"/>
  <c r="B1887" i="12"/>
  <c r="C1886" i="12"/>
  <c r="D1886" i="12"/>
  <c r="E1886" i="12"/>
  <c r="J1886" i="12"/>
  <c r="F1886" i="12"/>
  <c r="G1886" i="12"/>
  <c r="H1886" i="12"/>
  <c r="I1886" i="12"/>
  <c r="B1886" i="12"/>
  <c r="C1885" i="12"/>
  <c r="B1885" i="12"/>
  <c r="F1885" i="12"/>
  <c r="D1885" i="12"/>
  <c r="J1885" i="12"/>
  <c r="I1885" i="12"/>
  <c r="H1885" i="12"/>
  <c r="G1885" i="12"/>
  <c r="E1885" i="12"/>
  <c r="J1884" i="12"/>
  <c r="I1884" i="12"/>
  <c r="H1884" i="12"/>
  <c r="G1884" i="12"/>
  <c r="F1884" i="12"/>
  <c r="B1884" i="12"/>
  <c r="C1884" i="12"/>
  <c r="D1884" i="12"/>
  <c r="E1884" i="12"/>
  <c r="J1883" i="12"/>
  <c r="B1883" i="12"/>
  <c r="C1883" i="12"/>
  <c r="D1883" i="12"/>
  <c r="E1883" i="12"/>
  <c r="F1883" i="12"/>
  <c r="G1883" i="12"/>
  <c r="H1883" i="12"/>
  <c r="I1883" i="12"/>
  <c r="I1882" i="12"/>
  <c r="J1882" i="12"/>
  <c r="H1882" i="12"/>
  <c r="G1882" i="12"/>
  <c r="F1882" i="12"/>
  <c r="E1882" i="12"/>
  <c r="D1882" i="12"/>
  <c r="C1882" i="12"/>
  <c r="B1882" i="12"/>
  <c r="J1881" i="12"/>
  <c r="D1881" i="12"/>
  <c r="I1881" i="12"/>
  <c r="B1881" i="12"/>
  <c r="C1881" i="12"/>
  <c r="E1881" i="12"/>
  <c r="F1881" i="12"/>
  <c r="G1881" i="12"/>
  <c r="H1881" i="12"/>
  <c r="I1880" i="12"/>
  <c r="J1880" i="12"/>
  <c r="B1880" i="12"/>
  <c r="C1880" i="12"/>
  <c r="D1880" i="12"/>
  <c r="E1880" i="12"/>
  <c r="F1880" i="12"/>
  <c r="G1880" i="12"/>
  <c r="H1880" i="12"/>
  <c r="E1879" i="12"/>
  <c r="I1879" i="12"/>
  <c r="B1879" i="12"/>
  <c r="C1879" i="12"/>
  <c r="D1879" i="12"/>
  <c r="F1879" i="12"/>
  <c r="G1879" i="12"/>
  <c r="H1879" i="12"/>
  <c r="J1879" i="12"/>
  <c r="B1878" i="12"/>
  <c r="C1878" i="12"/>
  <c r="J1878" i="12"/>
  <c r="D1878" i="12"/>
  <c r="I1878" i="12"/>
  <c r="H1878" i="12"/>
  <c r="G1878" i="12"/>
  <c r="F1878" i="12"/>
  <c r="E1878" i="12"/>
  <c r="J1877" i="12"/>
  <c r="C1877" i="12"/>
  <c r="D1877" i="12"/>
  <c r="E1877" i="12"/>
  <c r="F1877" i="12"/>
  <c r="G1877" i="12"/>
  <c r="H1877" i="12"/>
  <c r="I1877" i="12"/>
  <c r="B1877" i="12"/>
  <c r="D1876" i="12"/>
  <c r="C1876" i="12"/>
  <c r="B1876" i="12"/>
  <c r="E1876" i="12"/>
  <c r="J1876" i="12"/>
  <c r="I1876" i="12"/>
  <c r="H1876" i="12"/>
  <c r="G1876" i="12"/>
  <c r="F1876" i="12"/>
  <c r="C1875" i="12"/>
  <c r="B1875" i="12"/>
  <c r="H1875" i="12"/>
  <c r="I1875" i="12"/>
  <c r="G1875" i="12"/>
  <c r="F1875" i="12"/>
  <c r="E1875" i="12"/>
  <c r="J1875" i="12"/>
  <c r="D1875" i="12"/>
  <c r="C1874" i="12"/>
  <c r="B1874" i="12"/>
  <c r="E1874" i="12"/>
  <c r="J1874" i="12"/>
  <c r="I1874" i="12"/>
  <c r="H1874" i="12"/>
  <c r="G1874" i="12"/>
  <c r="F1874" i="12"/>
  <c r="D1874" i="12"/>
  <c r="E1873" i="12"/>
  <c r="D1873" i="12"/>
  <c r="C1873" i="12"/>
  <c r="B1873" i="12"/>
  <c r="J1873" i="12"/>
  <c r="I1873" i="12"/>
  <c r="H1873" i="12"/>
  <c r="G1873" i="12"/>
  <c r="F1873" i="12"/>
  <c r="G1872" i="12"/>
  <c r="J1872" i="12"/>
  <c r="I1872" i="12"/>
  <c r="H1872" i="12"/>
  <c r="F1872" i="12"/>
  <c r="E1872" i="12"/>
  <c r="D1872" i="12"/>
  <c r="C1872" i="12"/>
  <c r="B1872" i="12"/>
  <c r="D1871" i="12"/>
  <c r="C1871" i="12"/>
  <c r="B1871" i="12"/>
  <c r="H1871" i="12"/>
  <c r="J1871" i="12"/>
  <c r="I1871" i="12"/>
  <c r="G1871" i="12"/>
  <c r="F1871" i="12"/>
  <c r="E1871" i="12"/>
  <c r="C1870" i="12"/>
  <c r="B1870" i="12"/>
  <c r="G1870" i="12"/>
  <c r="I1870" i="12"/>
  <c r="H1870" i="12"/>
  <c r="F1870" i="12"/>
  <c r="E1870" i="12"/>
  <c r="D1870" i="12"/>
  <c r="J1870" i="12"/>
  <c r="I1869" i="12"/>
  <c r="J1869" i="12"/>
  <c r="B1869" i="12"/>
  <c r="C1869" i="12"/>
  <c r="D1869" i="12"/>
  <c r="E1869" i="12"/>
  <c r="F1869" i="12"/>
  <c r="G1869" i="12"/>
  <c r="H1869" i="12"/>
  <c r="C1868" i="12"/>
  <c r="B1868" i="12"/>
  <c r="F1868" i="12"/>
  <c r="G1868" i="12"/>
  <c r="H1868" i="12"/>
  <c r="I1868" i="12"/>
  <c r="E1868" i="12"/>
  <c r="J1868" i="12"/>
  <c r="D1868" i="12"/>
  <c r="J1867" i="12"/>
  <c r="G1867" i="12"/>
  <c r="I1867" i="12"/>
  <c r="H1867" i="12"/>
  <c r="F1867" i="12"/>
  <c r="E1867" i="12"/>
  <c r="D1867" i="12"/>
  <c r="C1867" i="12"/>
  <c r="B1867" i="12"/>
  <c r="J1866" i="12"/>
  <c r="I1866" i="12"/>
  <c r="D1866" i="12"/>
  <c r="H1866" i="12"/>
  <c r="G1866" i="12"/>
  <c r="F1866" i="12"/>
  <c r="E1866" i="12"/>
  <c r="C1866" i="12"/>
  <c r="B1866" i="12"/>
  <c r="B1865" i="12"/>
  <c r="C1865" i="12"/>
  <c r="E1865" i="12"/>
  <c r="D1865" i="12"/>
  <c r="F1865" i="12"/>
  <c r="G1865" i="12"/>
  <c r="H1865" i="12"/>
  <c r="I1865" i="12"/>
  <c r="J1865" i="12"/>
  <c r="C1864" i="12"/>
  <c r="B1864" i="12"/>
  <c r="J1864" i="12"/>
  <c r="I1864" i="12"/>
  <c r="H1864" i="12"/>
  <c r="G1864" i="12"/>
  <c r="F1864" i="12"/>
  <c r="E1864" i="12"/>
  <c r="D1864" i="12"/>
  <c r="C1863" i="12"/>
  <c r="B1863" i="12"/>
  <c r="I1863" i="12"/>
  <c r="H1863" i="12"/>
  <c r="J1863" i="12"/>
  <c r="F1863" i="12"/>
  <c r="E1863" i="12"/>
  <c r="D1863" i="12"/>
  <c r="G1863" i="12"/>
  <c r="C1862" i="12"/>
  <c r="B1862" i="12"/>
  <c r="J1862" i="12"/>
  <c r="I1862" i="12"/>
  <c r="H1862" i="12"/>
  <c r="G1862" i="12"/>
  <c r="F1862" i="12"/>
  <c r="E1862" i="12"/>
  <c r="D1862" i="12"/>
  <c r="C1861" i="12"/>
  <c r="B1861" i="12"/>
  <c r="J1861" i="12"/>
  <c r="I1861" i="12"/>
  <c r="H1861" i="12"/>
  <c r="G1861" i="12"/>
  <c r="F1861" i="12"/>
  <c r="E1861" i="12"/>
  <c r="D1861" i="12"/>
  <c r="J1860" i="12"/>
  <c r="I1860" i="12"/>
  <c r="H1860" i="12"/>
  <c r="G1860" i="12"/>
  <c r="F1860" i="12"/>
  <c r="B1860" i="12"/>
  <c r="E1860" i="12"/>
  <c r="D1860" i="12"/>
  <c r="C1860" i="12"/>
  <c r="C1859" i="12"/>
  <c r="B1859" i="12"/>
  <c r="J1859" i="12"/>
  <c r="I1859" i="12"/>
  <c r="H1859" i="12"/>
  <c r="G1859" i="12"/>
  <c r="F1859" i="12"/>
  <c r="E1859" i="12"/>
  <c r="D1859" i="12"/>
  <c r="C1858" i="12"/>
  <c r="B1858" i="12"/>
  <c r="I1858" i="12"/>
  <c r="H1858" i="12"/>
  <c r="J1858" i="12"/>
  <c r="F1858" i="12"/>
  <c r="E1858" i="12"/>
  <c r="D1858" i="12"/>
  <c r="G1858" i="12"/>
  <c r="F1857" i="12"/>
  <c r="J1857" i="12"/>
  <c r="I1857" i="12"/>
  <c r="H1857" i="12"/>
  <c r="G1857" i="12"/>
  <c r="E1857" i="12"/>
  <c r="D1857" i="12"/>
  <c r="C1857" i="12"/>
  <c r="B1857" i="12"/>
  <c r="F1856" i="12"/>
  <c r="B1856" i="12"/>
  <c r="C1856" i="12"/>
  <c r="D1856" i="12"/>
  <c r="E1856" i="12"/>
  <c r="G1856" i="12"/>
  <c r="J1856" i="12"/>
  <c r="H1856" i="12"/>
  <c r="I1856" i="12"/>
  <c r="B1855" i="12"/>
  <c r="C1855" i="12"/>
  <c r="D1855" i="12"/>
  <c r="E1855" i="12"/>
  <c r="F1855" i="12"/>
  <c r="G1855" i="12"/>
  <c r="H1855" i="12"/>
  <c r="I1855" i="12"/>
  <c r="J1855" i="12"/>
  <c r="J1854" i="12"/>
  <c r="D1854" i="12"/>
  <c r="B1854" i="12"/>
  <c r="I1854" i="12"/>
  <c r="C1854" i="12"/>
  <c r="E1854" i="12"/>
  <c r="F1854" i="12"/>
  <c r="G1854" i="12"/>
  <c r="H1854" i="12"/>
  <c r="E1853" i="12"/>
  <c r="D1853" i="12"/>
  <c r="C1853" i="12"/>
  <c r="B1853" i="12"/>
  <c r="J1853" i="12"/>
  <c r="I1853" i="12"/>
  <c r="H1853" i="12"/>
  <c r="G1853" i="12"/>
  <c r="F1853" i="12"/>
  <c r="B1852" i="12"/>
  <c r="H1852" i="12"/>
  <c r="G1852" i="12"/>
  <c r="I1852" i="12"/>
  <c r="J1852" i="12"/>
  <c r="F1852" i="12"/>
  <c r="E1852" i="12"/>
  <c r="D1852" i="12"/>
  <c r="C1852" i="12"/>
  <c r="J1851" i="12"/>
  <c r="I1851" i="12"/>
  <c r="H1851" i="12"/>
  <c r="G1851" i="12"/>
  <c r="F1851" i="12"/>
  <c r="E1851" i="12"/>
  <c r="D1851" i="12"/>
  <c r="C1851" i="12"/>
  <c r="B1851" i="12"/>
  <c r="J1850" i="12"/>
  <c r="H1850" i="12"/>
  <c r="F1850" i="12"/>
  <c r="E1850" i="12"/>
  <c r="D1850" i="12"/>
  <c r="C1850" i="12"/>
  <c r="B1850" i="12"/>
  <c r="I1850" i="12"/>
  <c r="G1850" i="12"/>
  <c r="C1849" i="12"/>
  <c r="B1849" i="12"/>
  <c r="J1849" i="12"/>
  <c r="D1849" i="12"/>
  <c r="I1849" i="12"/>
  <c r="H1849" i="12"/>
  <c r="G1849" i="12"/>
  <c r="F1849" i="12"/>
  <c r="E1849" i="12"/>
  <c r="B1848" i="12"/>
  <c r="C1848" i="12"/>
  <c r="D1848" i="12"/>
  <c r="E1848" i="12"/>
  <c r="F1848" i="12"/>
  <c r="G1848" i="12"/>
  <c r="H1848" i="12"/>
  <c r="I1848" i="12"/>
  <c r="J1848" i="12"/>
  <c r="B1847" i="12"/>
  <c r="C1847" i="12"/>
  <c r="D1847" i="12"/>
  <c r="E1847" i="12"/>
  <c r="F1847" i="12"/>
  <c r="G1847" i="12"/>
  <c r="H1847" i="12"/>
  <c r="I1847" i="12"/>
  <c r="J1847" i="12"/>
  <c r="I1846" i="12"/>
  <c r="H1846" i="12"/>
  <c r="G1846" i="12"/>
  <c r="F1846" i="12"/>
  <c r="E1846" i="12"/>
  <c r="D1846" i="12"/>
  <c r="C1846" i="12"/>
  <c r="B1846" i="12"/>
  <c r="J1846" i="12"/>
  <c r="B1845" i="12"/>
  <c r="J1845" i="12"/>
  <c r="H1845" i="12"/>
  <c r="G1845" i="12"/>
  <c r="F1845" i="12"/>
  <c r="E1845" i="12"/>
  <c r="D1845" i="12"/>
  <c r="C1845" i="12"/>
  <c r="I1845" i="12"/>
  <c r="J1844" i="12"/>
  <c r="C1844" i="12"/>
  <c r="D1844" i="12"/>
  <c r="E1844" i="12"/>
  <c r="F1844" i="12"/>
  <c r="G1844" i="12"/>
  <c r="H1844" i="12"/>
  <c r="I1844" i="12"/>
  <c r="B1844" i="12"/>
  <c r="J1843" i="12"/>
  <c r="I1843" i="12"/>
  <c r="H1843" i="12"/>
  <c r="G1843" i="12"/>
  <c r="F1843" i="12"/>
  <c r="E1843" i="12"/>
  <c r="C1843" i="12"/>
  <c r="B1843" i="12"/>
  <c r="D1843" i="12"/>
  <c r="H1842" i="12"/>
  <c r="B1842" i="12"/>
  <c r="C1842" i="12"/>
  <c r="D1842" i="12"/>
  <c r="E1842" i="12"/>
  <c r="F1842" i="12"/>
  <c r="G1842" i="12"/>
  <c r="I1842" i="12"/>
  <c r="J1842" i="12"/>
  <c r="H1841" i="12"/>
  <c r="B1841" i="12"/>
  <c r="C1841" i="12"/>
  <c r="D1841" i="12"/>
  <c r="E1841" i="12"/>
  <c r="F1841" i="12"/>
  <c r="G1841" i="12"/>
  <c r="I1841" i="12"/>
  <c r="J1841" i="12"/>
  <c r="F1840" i="12"/>
  <c r="B1840" i="12"/>
  <c r="C1840" i="12"/>
  <c r="D1840" i="12"/>
  <c r="E1840" i="12"/>
  <c r="G1840" i="12"/>
  <c r="H1840" i="12"/>
  <c r="I1840" i="12"/>
  <c r="J1840" i="12"/>
  <c r="G1839" i="12"/>
  <c r="J1839" i="12"/>
  <c r="E1839" i="12"/>
  <c r="I1839" i="12"/>
  <c r="H1839" i="12"/>
  <c r="F1839" i="12"/>
  <c r="D1839" i="12"/>
  <c r="C1839" i="12"/>
  <c r="B1839" i="12"/>
  <c r="H1838" i="12"/>
  <c r="G1838" i="12"/>
  <c r="F1838" i="12"/>
  <c r="E1838" i="12"/>
  <c r="D1838" i="12"/>
  <c r="C1838" i="12"/>
  <c r="B1838" i="12"/>
  <c r="I1838" i="12"/>
  <c r="J1838" i="12"/>
  <c r="J1837" i="12"/>
  <c r="G1837" i="12"/>
  <c r="I1837" i="12"/>
  <c r="H1837" i="12"/>
  <c r="F1837" i="12"/>
  <c r="E1837" i="12"/>
  <c r="D1837" i="12"/>
  <c r="C1837" i="12"/>
  <c r="B1837" i="12"/>
  <c r="F1836" i="12"/>
  <c r="I1836" i="12"/>
  <c r="J1836" i="12"/>
  <c r="G1836" i="12"/>
  <c r="H1836" i="12"/>
  <c r="B1836" i="12"/>
  <c r="C1836" i="12"/>
  <c r="D1836" i="12"/>
  <c r="E1836" i="12"/>
  <c r="G1835" i="12"/>
  <c r="C1835" i="12"/>
  <c r="D1835" i="12"/>
  <c r="E1835" i="12"/>
  <c r="F1835" i="12"/>
  <c r="J1835" i="12"/>
  <c r="H1835" i="12"/>
  <c r="I1835" i="12"/>
  <c r="B1835" i="12"/>
  <c r="J1834" i="12"/>
  <c r="E1834" i="12"/>
  <c r="B1834" i="12"/>
  <c r="C1834" i="12"/>
  <c r="D1834" i="12"/>
  <c r="H1834" i="12"/>
  <c r="F1834" i="12"/>
  <c r="G1834" i="12"/>
  <c r="I1834" i="12"/>
  <c r="F1833" i="12"/>
  <c r="G1833" i="12"/>
  <c r="H1833" i="12"/>
  <c r="I1833" i="12"/>
  <c r="B1833" i="12"/>
  <c r="C1833" i="12"/>
  <c r="J1833" i="12"/>
  <c r="D1833" i="12"/>
  <c r="E1833" i="12"/>
  <c r="F1832" i="12"/>
  <c r="D1832" i="12"/>
  <c r="E1832" i="12"/>
  <c r="H1832" i="12"/>
  <c r="I1832" i="12"/>
  <c r="J1832" i="12"/>
  <c r="C1832" i="12"/>
  <c r="B1832" i="12"/>
  <c r="G1832" i="12"/>
  <c r="B1831" i="12"/>
  <c r="C1831" i="12"/>
  <c r="D1831" i="12"/>
  <c r="F1831" i="12"/>
  <c r="I1831" i="12"/>
  <c r="H1831" i="12"/>
  <c r="G1831" i="12"/>
  <c r="E1831" i="12"/>
  <c r="J1831" i="12"/>
  <c r="C1830" i="12"/>
  <c r="J1830" i="12"/>
  <c r="I1830" i="12"/>
  <c r="H1830" i="12"/>
  <c r="G1830" i="12"/>
  <c r="F1830" i="12"/>
  <c r="E1830" i="12"/>
  <c r="D1830" i="12"/>
  <c r="B1830" i="12"/>
  <c r="G1829" i="12"/>
  <c r="C1829" i="12"/>
  <c r="B1829" i="12"/>
  <c r="J1829" i="12"/>
  <c r="D1829" i="12"/>
  <c r="I1829" i="12"/>
  <c r="H1829" i="12"/>
  <c r="F1829" i="12"/>
  <c r="E1829" i="12"/>
  <c r="I1828" i="12"/>
  <c r="H1828" i="12"/>
  <c r="C1828" i="12"/>
  <c r="G1828" i="12"/>
  <c r="F1828" i="12"/>
  <c r="E1828" i="12"/>
  <c r="D1828" i="12"/>
  <c r="B1828" i="12"/>
  <c r="J1828" i="12"/>
  <c r="B1827" i="12"/>
  <c r="C1827" i="12"/>
  <c r="F1827" i="12"/>
  <c r="G1827" i="12"/>
  <c r="D1827" i="12"/>
  <c r="I1827" i="12"/>
  <c r="J1827" i="12"/>
  <c r="H1827" i="12"/>
  <c r="E1827" i="12"/>
  <c r="B1826" i="12"/>
  <c r="J1826" i="12"/>
  <c r="I1826" i="12"/>
  <c r="D1826" i="12"/>
  <c r="C1826" i="12"/>
  <c r="E1826" i="12"/>
  <c r="F1826" i="12"/>
  <c r="G1826" i="12"/>
  <c r="H1826" i="12"/>
  <c r="J1825" i="12"/>
  <c r="D1825" i="12"/>
  <c r="B1825" i="12"/>
  <c r="C1825" i="12"/>
  <c r="F1825" i="12"/>
  <c r="E1825" i="12"/>
  <c r="G1825" i="12"/>
  <c r="H1825" i="12"/>
  <c r="I1825" i="12"/>
  <c r="I1824" i="12"/>
  <c r="J1824" i="12"/>
  <c r="B1824" i="12"/>
  <c r="C1824" i="12"/>
  <c r="D1824" i="12"/>
  <c r="E1824" i="12"/>
  <c r="F1824" i="12"/>
  <c r="G1824" i="12"/>
  <c r="H1824" i="12"/>
  <c r="D1823" i="12"/>
  <c r="E1823" i="12"/>
  <c r="F1823" i="12"/>
  <c r="G1823" i="12"/>
  <c r="H1823" i="12"/>
  <c r="I1823" i="12"/>
  <c r="J1823" i="12"/>
  <c r="C1823" i="12"/>
  <c r="B1823" i="12"/>
  <c r="D1822" i="12"/>
  <c r="J1822" i="12"/>
  <c r="B1822" i="12"/>
  <c r="C1822" i="12"/>
  <c r="E1822" i="12"/>
  <c r="F1822" i="12"/>
  <c r="I1822" i="12"/>
  <c r="H1822" i="12"/>
  <c r="G1822" i="12"/>
  <c r="E1821" i="12"/>
  <c r="F1821" i="12"/>
  <c r="G1821" i="12"/>
  <c r="H1821" i="12"/>
  <c r="I1821" i="12"/>
  <c r="J1821" i="12"/>
  <c r="B1821" i="12"/>
  <c r="C1821" i="12"/>
  <c r="D1821" i="12"/>
  <c r="F1820" i="12"/>
  <c r="J1820" i="12"/>
  <c r="I1820" i="12"/>
  <c r="H1820" i="12"/>
  <c r="G1820" i="12"/>
  <c r="E1820" i="12"/>
  <c r="D1820" i="12"/>
  <c r="C1820" i="12"/>
  <c r="B1820" i="12"/>
  <c r="C1819" i="12"/>
  <c r="J1819" i="12"/>
  <c r="I1819" i="12"/>
  <c r="H1819" i="12"/>
  <c r="G1819" i="12"/>
  <c r="F1819" i="12"/>
  <c r="E1819" i="12"/>
  <c r="D1819" i="12"/>
  <c r="B1819" i="12"/>
  <c r="G1818" i="12"/>
  <c r="F1818" i="12"/>
  <c r="E1818" i="12"/>
  <c r="D1818" i="12"/>
  <c r="C1818" i="12"/>
  <c r="B1818" i="12"/>
  <c r="J1818" i="12"/>
  <c r="I1818" i="12"/>
  <c r="H1818" i="12"/>
  <c r="G1817" i="12"/>
  <c r="F1817" i="12"/>
  <c r="E1817" i="12"/>
  <c r="D1817" i="12"/>
  <c r="C1817" i="12"/>
  <c r="B1817" i="12"/>
  <c r="J1817" i="12"/>
  <c r="I1817" i="12"/>
  <c r="H1817" i="12"/>
  <c r="H1816" i="12"/>
  <c r="G1816" i="12"/>
  <c r="F1816" i="12"/>
  <c r="E1816" i="12"/>
  <c r="B1816" i="12"/>
  <c r="I1816" i="12"/>
  <c r="C1816" i="12"/>
  <c r="J1816" i="12"/>
  <c r="D1816" i="12"/>
  <c r="B1815" i="12"/>
  <c r="I1815" i="12"/>
  <c r="C1815" i="12"/>
  <c r="D1815" i="12"/>
  <c r="E1815" i="12"/>
  <c r="F1815" i="12"/>
  <c r="G1815" i="12"/>
  <c r="H1815" i="12"/>
  <c r="J1815" i="12"/>
  <c r="F1814" i="12"/>
  <c r="D1814" i="12"/>
  <c r="C1814" i="12"/>
  <c r="B1814" i="12"/>
  <c r="E1814" i="12"/>
  <c r="H1814" i="12"/>
  <c r="J1814" i="12"/>
  <c r="I1814" i="12"/>
  <c r="G1814" i="12"/>
  <c r="E1813" i="12"/>
  <c r="F1813" i="12"/>
  <c r="G1813" i="12"/>
  <c r="H1813" i="12"/>
  <c r="I1813" i="12"/>
  <c r="C1813" i="12"/>
  <c r="B1813" i="12"/>
  <c r="D1813" i="12"/>
  <c r="J1813" i="12"/>
  <c r="F1812" i="12"/>
  <c r="E1812" i="12"/>
  <c r="D1812" i="12"/>
  <c r="J1812" i="12"/>
  <c r="C1812" i="12"/>
  <c r="I1812" i="12"/>
  <c r="H1812" i="12"/>
  <c r="G1812" i="12"/>
  <c r="B1812" i="12"/>
  <c r="F1811" i="12"/>
  <c r="D1811" i="12"/>
  <c r="C1811" i="12"/>
  <c r="B1811" i="12"/>
  <c r="E1811" i="12"/>
  <c r="J1811" i="12"/>
  <c r="I1811" i="12"/>
  <c r="H1811" i="12"/>
  <c r="G1811" i="12"/>
  <c r="C1810" i="12"/>
  <c r="B1810" i="12"/>
  <c r="F1810" i="12"/>
  <c r="E1810" i="12"/>
  <c r="J1810" i="12"/>
  <c r="D1810" i="12"/>
  <c r="I1810" i="12"/>
  <c r="H1810" i="12"/>
  <c r="G1810" i="12"/>
  <c r="H1809" i="12"/>
  <c r="I1809" i="12"/>
  <c r="F1809" i="12"/>
  <c r="B1809" i="12"/>
  <c r="G1809" i="12"/>
  <c r="E1809" i="12"/>
  <c r="D1809" i="12"/>
  <c r="J1809" i="12"/>
  <c r="C1809" i="12"/>
  <c r="J1808" i="12"/>
  <c r="D1808" i="12"/>
  <c r="H1808" i="12"/>
  <c r="I1808" i="12"/>
  <c r="B1808" i="12"/>
  <c r="C1808" i="12"/>
  <c r="E1808" i="12"/>
  <c r="F1808" i="12"/>
  <c r="G1808" i="12"/>
  <c r="G1807" i="12"/>
  <c r="J1807" i="12"/>
  <c r="B1807" i="12"/>
  <c r="I1807" i="12"/>
  <c r="H1807" i="12"/>
  <c r="F1807" i="12"/>
  <c r="E1807" i="12"/>
  <c r="C1807" i="12"/>
  <c r="D1807" i="12"/>
  <c r="C1806" i="12"/>
  <c r="J1806" i="12"/>
  <c r="I1806" i="12"/>
  <c r="H1806" i="12"/>
  <c r="G1806" i="12"/>
  <c r="F1806" i="12"/>
  <c r="E1806" i="12"/>
  <c r="B1806" i="12"/>
  <c r="D1806" i="12"/>
  <c r="D1805" i="12"/>
  <c r="C1805" i="12"/>
  <c r="I1805" i="12"/>
  <c r="E1805" i="12"/>
  <c r="F1805" i="12"/>
  <c r="G1805" i="12"/>
  <c r="B1805" i="12"/>
  <c r="J1805" i="12"/>
  <c r="H1805" i="12"/>
  <c r="F1804" i="12"/>
  <c r="E1804" i="12"/>
  <c r="D1804" i="12"/>
  <c r="C1804" i="12"/>
  <c r="B1804" i="12"/>
  <c r="H1804" i="12"/>
  <c r="J1804" i="12"/>
  <c r="I1804" i="12"/>
  <c r="G1804" i="12"/>
  <c r="B1803" i="12"/>
  <c r="J1803" i="12"/>
  <c r="H1803" i="12"/>
  <c r="C1803" i="12"/>
  <c r="D1803" i="12"/>
  <c r="E1803" i="12"/>
  <c r="F1803" i="12"/>
  <c r="G1803" i="12"/>
  <c r="I1803" i="12"/>
  <c r="F1802" i="12"/>
  <c r="C1802" i="12"/>
  <c r="B1802" i="12"/>
  <c r="D1802" i="12"/>
  <c r="J1802" i="12"/>
  <c r="I1802" i="12"/>
  <c r="H1802" i="12"/>
  <c r="G1802" i="12"/>
  <c r="E1802" i="12"/>
  <c r="B1801" i="12"/>
  <c r="C1801" i="12"/>
  <c r="D1801" i="12"/>
  <c r="E1801" i="12"/>
  <c r="G1801" i="12"/>
  <c r="H1801" i="12"/>
  <c r="I1801" i="12"/>
  <c r="J1801" i="12"/>
  <c r="F1801" i="12"/>
  <c r="I1800" i="12"/>
  <c r="J1800" i="12"/>
  <c r="E1800" i="12"/>
  <c r="D1800" i="12"/>
  <c r="C1800" i="12"/>
  <c r="B1800" i="12"/>
  <c r="F1800" i="12"/>
  <c r="G1800" i="12"/>
  <c r="H1800" i="12"/>
  <c r="J1799" i="12"/>
  <c r="E1799" i="12"/>
  <c r="G1799" i="12"/>
  <c r="H1799" i="12"/>
  <c r="D1799" i="12"/>
  <c r="C1799" i="12"/>
  <c r="B1799" i="12"/>
  <c r="I1799" i="12"/>
  <c r="F1799" i="12"/>
  <c r="I1798" i="12"/>
  <c r="J1798" i="12"/>
  <c r="H1798" i="12"/>
  <c r="G1798" i="12"/>
  <c r="E1798" i="12"/>
  <c r="F1798" i="12"/>
  <c r="D1798" i="12"/>
  <c r="C1798" i="12"/>
  <c r="B1798" i="12"/>
  <c r="I1797" i="12"/>
  <c r="H1797" i="12"/>
  <c r="G1797" i="12"/>
  <c r="F1797" i="12"/>
  <c r="B1797" i="12"/>
  <c r="C1797" i="12"/>
  <c r="E1797" i="12"/>
  <c r="D1797" i="12"/>
  <c r="J1797" i="12"/>
  <c r="D1796" i="12"/>
  <c r="F1796" i="12"/>
  <c r="J1796" i="12"/>
  <c r="I1796" i="12"/>
  <c r="H1796" i="12"/>
  <c r="G1796" i="12"/>
  <c r="E1796" i="12"/>
  <c r="C1796" i="12"/>
  <c r="B1796" i="12"/>
  <c r="B1795" i="12"/>
  <c r="J1795" i="12"/>
  <c r="I1795" i="12"/>
  <c r="G1795" i="12"/>
  <c r="F1795" i="12"/>
  <c r="E1795" i="12"/>
  <c r="D1795" i="12"/>
  <c r="C1795" i="12"/>
  <c r="H1795" i="12"/>
  <c r="I1794" i="12"/>
  <c r="J1794" i="12"/>
  <c r="C1794" i="12"/>
  <c r="D1794" i="12"/>
  <c r="G1794" i="12"/>
  <c r="H1794" i="12"/>
  <c r="E1794" i="12"/>
  <c r="B1794" i="12"/>
  <c r="F1794" i="12"/>
  <c r="B1793" i="12"/>
  <c r="D1793" i="12"/>
  <c r="C1793" i="12"/>
  <c r="E1793" i="12"/>
  <c r="H1793" i="12"/>
  <c r="G1793" i="12"/>
  <c r="F1793" i="12"/>
  <c r="I1793" i="12"/>
  <c r="J1793" i="12"/>
  <c r="G1792" i="12"/>
  <c r="H1792" i="12"/>
  <c r="I1792" i="12"/>
  <c r="J1792" i="12"/>
  <c r="B1792" i="12"/>
  <c r="E1792" i="12"/>
  <c r="F1792" i="12"/>
  <c r="C1792" i="12"/>
  <c r="D1792" i="12"/>
  <c r="B1791" i="12"/>
  <c r="C1791" i="12"/>
  <c r="J1791" i="12"/>
  <c r="I1791" i="12"/>
  <c r="G1791" i="12"/>
  <c r="D1791" i="12"/>
  <c r="E1791" i="12"/>
  <c r="F1791" i="12"/>
  <c r="H1791" i="12"/>
  <c r="E1790" i="12"/>
  <c r="F1790" i="12"/>
  <c r="G1790" i="12"/>
  <c r="H1790" i="12"/>
  <c r="I1790" i="12"/>
  <c r="J1790" i="12"/>
  <c r="D1790" i="12"/>
  <c r="C1790" i="12"/>
  <c r="B1790" i="12"/>
  <c r="H1789" i="12"/>
  <c r="I1789" i="12"/>
  <c r="J1789" i="12"/>
  <c r="B1789" i="12"/>
  <c r="G1789" i="12"/>
  <c r="D1789" i="12"/>
  <c r="E1789" i="12"/>
  <c r="F1789" i="12"/>
  <c r="C1789" i="12"/>
  <c r="B1788" i="12"/>
  <c r="C1788" i="12"/>
  <c r="D1788" i="12"/>
  <c r="G1788" i="12"/>
  <c r="J1788" i="12"/>
  <c r="I1788" i="12"/>
  <c r="H1788" i="12"/>
  <c r="F1788" i="12"/>
  <c r="E1788" i="12"/>
  <c r="J1787" i="12"/>
  <c r="I1787" i="12"/>
  <c r="H1787" i="12"/>
  <c r="G1787" i="12"/>
  <c r="F1787" i="12"/>
  <c r="E1787" i="12"/>
  <c r="D1787" i="12"/>
  <c r="C1787" i="12"/>
  <c r="B1787" i="12"/>
  <c r="F1786" i="12"/>
  <c r="E1786" i="12"/>
  <c r="D1786" i="12"/>
  <c r="C1786" i="12"/>
  <c r="B1786" i="12"/>
  <c r="H1786" i="12"/>
  <c r="I1786" i="12"/>
  <c r="G1786" i="12"/>
  <c r="J1786" i="12"/>
  <c r="I1785" i="12"/>
  <c r="H1785" i="12"/>
  <c r="G1785" i="12"/>
  <c r="F1785" i="12"/>
  <c r="E1785" i="12"/>
  <c r="D1785" i="12"/>
  <c r="C1785" i="12"/>
  <c r="B1785" i="12"/>
  <c r="J1785" i="12"/>
  <c r="J1784" i="12"/>
  <c r="I1784" i="12"/>
  <c r="H1784" i="12"/>
  <c r="B1784" i="12"/>
  <c r="C1784" i="12"/>
  <c r="D1784" i="12"/>
  <c r="E1784" i="12"/>
  <c r="G1784" i="12"/>
  <c r="F1784" i="12"/>
  <c r="B1783" i="12"/>
  <c r="I1783" i="12"/>
  <c r="J1783" i="12"/>
  <c r="H1783" i="12"/>
  <c r="G1783" i="12"/>
  <c r="F1783" i="12"/>
  <c r="E1783" i="12"/>
  <c r="D1783" i="12"/>
  <c r="C1783" i="12"/>
  <c r="B1782" i="12"/>
  <c r="H1782" i="12"/>
  <c r="C1782" i="12"/>
  <c r="J1782" i="12"/>
  <c r="I1782" i="12"/>
  <c r="G1782" i="12"/>
  <c r="F1782" i="12"/>
  <c r="E1782" i="12"/>
  <c r="D1782" i="12"/>
  <c r="J1781" i="12"/>
  <c r="H1781" i="12"/>
  <c r="B1781" i="12"/>
  <c r="C1781" i="12"/>
  <c r="D1781" i="12"/>
  <c r="F1781" i="12"/>
  <c r="E1781" i="12"/>
  <c r="G1781" i="12"/>
  <c r="I1781" i="12"/>
  <c r="B1780" i="12"/>
  <c r="C1780" i="12"/>
  <c r="D1780" i="12"/>
  <c r="E1780" i="12"/>
  <c r="F1780" i="12"/>
  <c r="G1780" i="12"/>
  <c r="H1780" i="12"/>
  <c r="I1780" i="12"/>
  <c r="J1780" i="12"/>
  <c r="H1779" i="12"/>
  <c r="J1779" i="12"/>
  <c r="D1779" i="12"/>
  <c r="I1779" i="12"/>
  <c r="C1779" i="12"/>
  <c r="B1779" i="12"/>
  <c r="G1779" i="12"/>
  <c r="F1779" i="12"/>
  <c r="E1779" i="12"/>
  <c r="E1778" i="12"/>
  <c r="B1778" i="12"/>
  <c r="D1778" i="12"/>
  <c r="C1778" i="12"/>
  <c r="G1778" i="12"/>
  <c r="J1778" i="12"/>
  <c r="I1778" i="12"/>
  <c r="H1778" i="12"/>
  <c r="F1778" i="12"/>
  <c r="D1777" i="12"/>
  <c r="E1777" i="12"/>
  <c r="F1777" i="12"/>
  <c r="H1777" i="12"/>
  <c r="I1777" i="12"/>
  <c r="J1777" i="12"/>
  <c r="C1777" i="12"/>
  <c r="B1777" i="12"/>
  <c r="G1777" i="12"/>
  <c r="J1776" i="12"/>
  <c r="H1776" i="12"/>
  <c r="G1776" i="12"/>
  <c r="I1776" i="12"/>
  <c r="F1776" i="12"/>
  <c r="E1776" i="12"/>
  <c r="D1776" i="12"/>
  <c r="C1776" i="12"/>
  <c r="B1776" i="12"/>
  <c r="B1775" i="12"/>
  <c r="D1775" i="12"/>
  <c r="E1775" i="12"/>
  <c r="J1775" i="12"/>
  <c r="I1775" i="12"/>
  <c r="C1775" i="12"/>
  <c r="H1775" i="12"/>
  <c r="G1775" i="12"/>
  <c r="F1775" i="12"/>
  <c r="C1774" i="12"/>
  <c r="I1774" i="12"/>
  <c r="H1774" i="12"/>
  <c r="G1774" i="12"/>
  <c r="F1774" i="12"/>
  <c r="D1774" i="12"/>
  <c r="B1774" i="12"/>
  <c r="E1774" i="12"/>
  <c r="J1774" i="12"/>
  <c r="F1773" i="12"/>
  <c r="B1773" i="12"/>
  <c r="E1773" i="12"/>
  <c r="D1773" i="12"/>
  <c r="C1773" i="12"/>
  <c r="J1773" i="12"/>
  <c r="I1773" i="12"/>
  <c r="H1773" i="12"/>
  <c r="G1773" i="12"/>
  <c r="G1772" i="12"/>
  <c r="F1772" i="12"/>
  <c r="D1772" i="12"/>
  <c r="C1772" i="12"/>
  <c r="B1772" i="12"/>
  <c r="E1772" i="12"/>
  <c r="J1772" i="12"/>
  <c r="I1772" i="12"/>
  <c r="H1772" i="12"/>
  <c r="D1771" i="12"/>
  <c r="B1771" i="12"/>
  <c r="J1771" i="12"/>
  <c r="I1771" i="12"/>
  <c r="H1771" i="12"/>
  <c r="G1771" i="12"/>
  <c r="C1771" i="12"/>
  <c r="F1771" i="12"/>
  <c r="E1771" i="12"/>
  <c r="B1770" i="12"/>
  <c r="E1770" i="12"/>
  <c r="D1770" i="12"/>
  <c r="F1770" i="12"/>
  <c r="C1770" i="12"/>
  <c r="J1770" i="12"/>
  <c r="I1770" i="12"/>
  <c r="H1770" i="12"/>
  <c r="G1770" i="12"/>
  <c r="B1769" i="12"/>
  <c r="J1769" i="12"/>
  <c r="I1769" i="12"/>
  <c r="H1769" i="12"/>
  <c r="G1769" i="12"/>
  <c r="F1769" i="12"/>
  <c r="E1769" i="12"/>
  <c r="C1769" i="12"/>
  <c r="D1769" i="12"/>
  <c r="I1768" i="12"/>
  <c r="C1768" i="12"/>
  <c r="E1768" i="12"/>
  <c r="B1768" i="12"/>
  <c r="J1768" i="12"/>
  <c r="F1768" i="12"/>
  <c r="G1768" i="12"/>
  <c r="H1768" i="12"/>
  <c r="D1768" i="12"/>
  <c r="J1767" i="12"/>
  <c r="I1767" i="12"/>
  <c r="H1767" i="12"/>
  <c r="G1767" i="12"/>
  <c r="F1767" i="12"/>
  <c r="E1767" i="12"/>
  <c r="D1767" i="12"/>
  <c r="C1767" i="12"/>
  <c r="B1767" i="12"/>
  <c r="G1766" i="12"/>
  <c r="I1766" i="12"/>
  <c r="H1766" i="12"/>
  <c r="J1766" i="12"/>
  <c r="B1766" i="12"/>
  <c r="C1766" i="12"/>
  <c r="D1766" i="12"/>
  <c r="E1766" i="12"/>
  <c r="F1766" i="12"/>
  <c r="J1765" i="12"/>
  <c r="B1765" i="12"/>
  <c r="F1765" i="12"/>
  <c r="I1765" i="12"/>
  <c r="E1765" i="12"/>
  <c r="D1765" i="12"/>
  <c r="C1765" i="12"/>
  <c r="G1765" i="12"/>
  <c r="H1765" i="12"/>
  <c r="I1764" i="12"/>
  <c r="H1764" i="12"/>
  <c r="G1764" i="12"/>
  <c r="F1764" i="12"/>
  <c r="E1764" i="12"/>
  <c r="B1764" i="12"/>
  <c r="D1764" i="12"/>
  <c r="J1764" i="12"/>
  <c r="C1764" i="12"/>
  <c r="I1763" i="12"/>
  <c r="B1763" i="12"/>
  <c r="C1763" i="12"/>
  <c r="D1763" i="12"/>
  <c r="E1763" i="12"/>
  <c r="F1763" i="12"/>
  <c r="G1763" i="12"/>
  <c r="H1763" i="12"/>
  <c r="J1763" i="12"/>
  <c r="G1762" i="12"/>
  <c r="B1762" i="12"/>
  <c r="C1762" i="12"/>
  <c r="D1762" i="12"/>
  <c r="E1762" i="12"/>
  <c r="F1762" i="12"/>
  <c r="J1762" i="12"/>
  <c r="H1762" i="12"/>
  <c r="I1762" i="12"/>
  <c r="I1761" i="12"/>
  <c r="D1761" i="12"/>
  <c r="B1761" i="12"/>
  <c r="J1761" i="12"/>
  <c r="C1761" i="12"/>
  <c r="E1761" i="12"/>
  <c r="F1761" i="12"/>
  <c r="G1761" i="12"/>
  <c r="H1761" i="12"/>
  <c r="C1760" i="12"/>
  <c r="B1760" i="12"/>
  <c r="E1760" i="12"/>
  <c r="F1760" i="12"/>
  <c r="G1760" i="12"/>
  <c r="D1760" i="12"/>
  <c r="J1760" i="12"/>
  <c r="H1760" i="12"/>
  <c r="I1760" i="12"/>
  <c r="J1759" i="12"/>
  <c r="H1759" i="12"/>
  <c r="G1759" i="12"/>
  <c r="F1759" i="12"/>
  <c r="E1759" i="12"/>
  <c r="D1759" i="12"/>
  <c r="C1759" i="12"/>
  <c r="B1759" i="12"/>
  <c r="I1759" i="12"/>
  <c r="F1758" i="12"/>
  <c r="E1758" i="12"/>
  <c r="D1758" i="12"/>
  <c r="G1758" i="12"/>
  <c r="C1758" i="12"/>
  <c r="B1758" i="12"/>
  <c r="J1758" i="12"/>
  <c r="I1758" i="12"/>
  <c r="H1758" i="12"/>
  <c r="G1757" i="12"/>
  <c r="F1757" i="12"/>
  <c r="E1757" i="12"/>
  <c r="D1757" i="12"/>
  <c r="I1757" i="12"/>
  <c r="B1757" i="12"/>
  <c r="J1757" i="12"/>
  <c r="H1757" i="12"/>
  <c r="C1757" i="12"/>
  <c r="F1756" i="12"/>
  <c r="E1756" i="12"/>
  <c r="D1756" i="12"/>
  <c r="B1756" i="12"/>
  <c r="C1756" i="12"/>
  <c r="J1756" i="12"/>
  <c r="I1756" i="12"/>
  <c r="H1756" i="12"/>
  <c r="G1756" i="12"/>
  <c r="I1755" i="12"/>
  <c r="E1755" i="12"/>
  <c r="D1755" i="12"/>
  <c r="C1755" i="12"/>
  <c r="J1755" i="12"/>
  <c r="B1755" i="12"/>
  <c r="H1755" i="12"/>
  <c r="G1755" i="12"/>
  <c r="F1755" i="12"/>
  <c r="E1754" i="12"/>
  <c r="J1754" i="12"/>
  <c r="I1754" i="12"/>
  <c r="H1754" i="12"/>
  <c r="G1754" i="12"/>
  <c r="F1754" i="12"/>
  <c r="D1754" i="12"/>
  <c r="C1754" i="12"/>
  <c r="B1754" i="12"/>
  <c r="D1753" i="12"/>
  <c r="C1753" i="12"/>
  <c r="B1753" i="12"/>
  <c r="I1753" i="12"/>
  <c r="J1753" i="12"/>
  <c r="H1753" i="12"/>
  <c r="G1753" i="12"/>
  <c r="F1753" i="12"/>
  <c r="E1753" i="12"/>
  <c r="J1752" i="12"/>
  <c r="I1752" i="12"/>
  <c r="H1752" i="12"/>
  <c r="G1752" i="12"/>
  <c r="F1752" i="12"/>
  <c r="E1752" i="12"/>
  <c r="D1752" i="12"/>
  <c r="C1752" i="12"/>
  <c r="B1752" i="12"/>
  <c r="D1751" i="12"/>
  <c r="C1751" i="12"/>
  <c r="B1751" i="12"/>
  <c r="J1751" i="12"/>
  <c r="I1751" i="12"/>
  <c r="H1751" i="12"/>
  <c r="G1751" i="12"/>
  <c r="F1751" i="12"/>
  <c r="E1751" i="12"/>
  <c r="H1750" i="12"/>
  <c r="B1750" i="12"/>
  <c r="D1750" i="12"/>
  <c r="E1750" i="12"/>
  <c r="J1750" i="12"/>
  <c r="I1750" i="12"/>
  <c r="C1750" i="12"/>
  <c r="G1750" i="12"/>
  <c r="F1750" i="12"/>
  <c r="E1749" i="12"/>
  <c r="J1749" i="12"/>
  <c r="I1749" i="12"/>
  <c r="H1749" i="12"/>
  <c r="G1749" i="12"/>
  <c r="F1749" i="12"/>
  <c r="D1749" i="12"/>
  <c r="C1749" i="12"/>
  <c r="B1749" i="12"/>
  <c r="B1748" i="12"/>
  <c r="C1748" i="12"/>
  <c r="I1748" i="12"/>
  <c r="D1748" i="12"/>
  <c r="E1748" i="12"/>
  <c r="F1748" i="12"/>
  <c r="G1748" i="12"/>
  <c r="H1748" i="12"/>
  <c r="J1748" i="12"/>
  <c r="G1747" i="12"/>
  <c r="H1747" i="12"/>
  <c r="I1747" i="12"/>
  <c r="J1747" i="12"/>
  <c r="F1747" i="12"/>
  <c r="E1747" i="12"/>
  <c r="D1747" i="12"/>
  <c r="C1747" i="12"/>
  <c r="B1747" i="12"/>
  <c r="C1746" i="12"/>
  <c r="J1746" i="12"/>
  <c r="I1746" i="12"/>
  <c r="H1746" i="12"/>
  <c r="G1746" i="12"/>
  <c r="F1746" i="12"/>
  <c r="E1746" i="12"/>
  <c r="D1746" i="12"/>
  <c r="B1746" i="12"/>
  <c r="B1745" i="12"/>
  <c r="C1745" i="12"/>
  <c r="D1745" i="12"/>
  <c r="J1745" i="12"/>
  <c r="I1745" i="12"/>
  <c r="H1745" i="12"/>
  <c r="G1745" i="12"/>
  <c r="F1745" i="12"/>
  <c r="E1745" i="12"/>
  <c r="C1744" i="12"/>
  <c r="D1744" i="12"/>
  <c r="E1744" i="12"/>
  <c r="G1744" i="12"/>
  <c r="H1744" i="12"/>
  <c r="I1744" i="12"/>
  <c r="J1744" i="12"/>
  <c r="B1744" i="12"/>
  <c r="F1744" i="12"/>
  <c r="D1743" i="12"/>
  <c r="C1743" i="12"/>
  <c r="B1743" i="12"/>
  <c r="J1743" i="12"/>
  <c r="I1743" i="12"/>
  <c r="H1743" i="12"/>
  <c r="G1743" i="12"/>
  <c r="F1743" i="12"/>
  <c r="E1743" i="12"/>
  <c r="F1742" i="12"/>
  <c r="B1742" i="12"/>
  <c r="E1742" i="12"/>
  <c r="D1742" i="12"/>
  <c r="C1742" i="12"/>
  <c r="I1742" i="12"/>
  <c r="J1742" i="12"/>
  <c r="H1742" i="12"/>
  <c r="G1742" i="12"/>
  <c r="E1741" i="12"/>
  <c r="D1741" i="12"/>
  <c r="C1741" i="12"/>
  <c r="J1741" i="12"/>
  <c r="I1741" i="12"/>
  <c r="H1741" i="12"/>
  <c r="B1741" i="12"/>
  <c r="G1741" i="12"/>
  <c r="F1741" i="12"/>
  <c r="E1740" i="12"/>
  <c r="H1740" i="12"/>
  <c r="G1740" i="12"/>
  <c r="F1740" i="12"/>
  <c r="B1740" i="12"/>
  <c r="I1740" i="12"/>
  <c r="C1740" i="12"/>
  <c r="J1740" i="12"/>
  <c r="D1740" i="12"/>
  <c r="E1739" i="12"/>
  <c r="F1739" i="12"/>
  <c r="G1739" i="12"/>
  <c r="H1739" i="12"/>
  <c r="I1739" i="12"/>
  <c r="J1739" i="12"/>
  <c r="D1739" i="12"/>
  <c r="C1739" i="12"/>
  <c r="B1739" i="12"/>
  <c r="E1738" i="12"/>
  <c r="D1738" i="12"/>
  <c r="C1738" i="12"/>
  <c r="B1738" i="12"/>
  <c r="J1738" i="12"/>
  <c r="I1738" i="12"/>
  <c r="H1738" i="12"/>
  <c r="G1738" i="12"/>
  <c r="F1738" i="12"/>
  <c r="J1737" i="12"/>
  <c r="B1737" i="12"/>
  <c r="C1737" i="12"/>
  <c r="I1737" i="12"/>
  <c r="D1737" i="12"/>
  <c r="E1737" i="12"/>
  <c r="F1737" i="12"/>
  <c r="G1737" i="12"/>
  <c r="H1737" i="12"/>
  <c r="E1736" i="12"/>
  <c r="D1736" i="12"/>
  <c r="C1736" i="12"/>
  <c r="B1736" i="12"/>
  <c r="J1736" i="12"/>
  <c r="I1736" i="12"/>
  <c r="H1736" i="12"/>
  <c r="G1736" i="12"/>
  <c r="F1736" i="12"/>
  <c r="E1735" i="12"/>
  <c r="C1735" i="12"/>
  <c r="B1735" i="12"/>
  <c r="D1735" i="12"/>
  <c r="J1735" i="12"/>
  <c r="I1735" i="12"/>
  <c r="H1735" i="12"/>
  <c r="G1735" i="12"/>
  <c r="F1735" i="12"/>
  <c r="B1734" i="12"/>
  <c r="C1734" i="12"/>
  <c r="D1734" i="12"/>
  <c r="E1734" i="12"/>
  <c r="F1734" i="12"/>
  <c r="H1734" i="12"/>
  <c r="G1734" i="12"/>
  <c r="I1734" i="12"/>
  <c r="J1734" i="12"/>
  <c r="E1733" i="12"/>
  <c r="D1733" i="12"/>
  <c r="B1733" i="12"/>
  <c r="C1733" i="12"/>
  <c r="J1733" i="12"/>
  <c r="I1733" i="12"/>
  <c r="H1733" i="12"/>
  <c r="G1733" i="12"/>
  <c r="F1733" i="12"/>
  <c r="B1732" i="12"/>
  <c r="E1732" i="12"/>
  <c r="D1732" i="12"/>
  <c r="C1732" i="12"/>
  <c r="J1732" i="12"/>
  <c r="F1732" i="12"/>
  <c r="I1732" i="12"/>
  <c r="H1732" i="12"/>
  <c r="G1732" i="12"/>
  <c r="J1731" i="12"/>
  <c r="I1731" i="12"/>
  <c r="H1731" i="12"/>
  <c r="G1731" i="12"/>
  <c r="F1731" i="12"/>
  <c r="E1731" i="12"/>
  <c r="D1731" i="12"/>
  <c r="C1731" i="12"/>
  <c r="B1731" i="12"/>
  <c r="E1730" i="12"/>
  <c r="J1730" i="12"/>
  <c r="I1730" i="12"/>
  <c r="H1730" i="12"/>
  <c r="G1730" i="12"/>
  <c r="F1730" i="12"/>
  <c r="D1730" i="12"/>
  <c r="C1730" i="12"/>
  <c r="B1730" i="12"/>
  <c r="D1729" i="12"/>
  <c r="C1729" i="12"/>
  <c r="B1729" i="12"/>
  <c r="J1729" i="12"/>
  <c r="I1729" i="12"/>
  <c r="H1729" i="12"/>
  <c r="G1729" i="12"/>
  <c r="F1729" i="12"/>
  <c r="E1729" i="12"/>
  <c r="F1728" i="12"/>
  <c r="G1728" i="12"/>
  <c r="H1728" i="12"/>
  <c r="I1728" i="12"/>
  <c r="J1728" i="12"/>
  <c r="B1728" i="12"/>
  <c r="C1728" i="12"/>
  <c r="D1728" i="12"/>
  <c r="E1728" i="12"/>
  <c r="I1727" i="12"/>
  <c r="J1727" i="12"/>
  <c r="B1727" i="12"/>
  <c r="C1727" i="12"/>
  <c r="D1727" i="12"/>
  <c r="E1727" i="12"/>
  <c r="F1727" i="12"/>
  <c r="G1727" i="12"/>
  <c r="H1727" i="12"/>
  <c r="G1726" i="12"/>
  <c r="B1726" i="12"/>
  <c r="J1726" i="12"/>
  <c r="I1726" i="12"/>
  <c r="H1726" i="12"/>
  <c r="F1726" i="12"/>
  <c r="E1726" i="12"/>
  <c r="D1726" i="12"/>
  <c r="C1726" i="12"/>
  <c r="J1725" i="12"/>
  <c r="H1725" i="12"/>
  <c r="B1725" i="12"/>
  <c r="I1725" i="12"/>
  <c r="D1725" i="12"/>
  <c r="E1725" i="12"/>
  <c r="F1725" i="12"/>
  <c r="G1725" i="12"/>
  <c r="C1725" i="12"/>
  <c r="G1724" i="12"/>
  <c r="J1724" i="12"/>
  <c r="I1724" i="12"/>
  <c r="H1724" i="12"/>
  <c r="F1724" i="12"/>
  <c r="E1724" i="12"/>
  <c r="D1724" i="12"/>
  <c r="C1724" i="12"/>
  <c r="B1724" i="12"/>
  <c r="D1723" i="12"/>
  <c r="C1723" i="12"/>
  <c r="B1723" i="12"/>
  <c r="J1723" i="12"/>
  <c r="I1723" i="12"/>
  <c r="H1723" i="12"/>
  <c r="G1723" i="12"/>
  <c r="F1723" i="12"/>
  <c r="E1723" i="12"/>
  <c r="H1722" i="12"/>
  <c r="J1722" i="12"/>
  <c r="C1722" i="12"/>
  <c r="I1722" i="12"/>
  <c r="D1722" i="12"/>
  <c r="E1722" i="12"/>
  <c r="B1722" i="12"/>
  <c r="F1722" i="12"/>
  <c r="G1722" i="12"/>
  <c r="D1721" i="12"/>
  <c r="C1721" i="12"/>
  <c r="B1721" i="12"/>
  <c r="J1721" i="12"/>
  <c r="I1721" i="12"/>
  <c r="H1721" i="12"/>
  <c r="G1721" i="12"/>
  <c r="F1721" i="12"/>
  <c r="E1721" i="12"/>
  <c r="I1720" i="12"/>
  <c r="G1720" i="12"/>
  <c r="F1720" i="12"/>
  <c r="E1720" i="12"/>
  <c r="D1720" i="12"/>
  <c r="J1720" i="12"/>
  <c r="C1720" i="12"/>
  <c r="H1720" i="12"/>
  <c r="B1720" i="12"/>
  <c r="J1719" i="12"/>
  <c r="I1719" i="12"/>
  <c r="H1719" i="12"/>
  <c r="G1719" i="12"/>
  <c r="F1719" i="12"/>
  <c r="E1719" i="12"/>
  <c r="D1719" i="12"/>
  <c r="C1719" i="12"/>
  <c r="B1719" i="12"/>
  <c r="B1718" i="12"/>
  <c r="C1718" i="12"/>
  <c r="J1718" i="12"/>
  <c r="D1718" i="12"/>
  <c r="E1718" i="12"/>
  <c r="F1718" i="12"/>
  <c r="G1718" i="12"/>
  <c r="H1718" i="12"/>
  <c r="I1718" i="12"/>
  <c r="G1717" i="12"/>
  <c r="H1717" i="12"/>
  <c r="I1717" i="12"/>
  <c r="J1717" i="12"/>
  <c r="F1717" i="12"/>
  <c r="E1717" i="12"/>
  <c r="D1717" i="12"/>
  <c r="C1717" i="12"/>
  <c r="B1717" i="12"/>
  <c r="D1716" i="12"/>
  <c r="J1716" i="12"/>
  <c r="I1716" i="12"/>
  <c r="H1716" i="12"/>
  <c r="G1716" i="12"/>
  <c r="F1716" i="12"/>
  <c r="E1716" i="12"/>
  <c r="C1716" i="12"/>
  <c r="B1716" i="12"/>
  <c r="B1715" i="12"/>
  <c r="C1715" i="12"/>
  <c r="E1715" i="12"/>
  <c r="D1715" i="12"/>
  <c r="J1715" i="12"/>
  <c r="I1715" i="12"/>
  <c r="H1715" i="12"/>
  <c r="G1715" i="12"/>
  <c r="F1715" i="12"/>
  <c r="B1714" i="12"/>
  <c r="C1714" i="12"/>
  <c r="D1714" i="12"/>
  <c r="E1714" i="12"/>
  <c r="F1714" i="12"/>
  <c r="H1714" i="12"/>
  <c r="I1714" i="12"/>
  <c r="J1714" i="12"/>
  <c r="G1714" i="12"/>
  <c r="D1713" i="12"/>
  <c r="F1713" i="12"/>
  <c r="C1713" i="12"/>
  <c r="B1713" i="12"/>
  <c r="J1713" i="12"/>
  <c r="I1713" i="12"/>
  <c r="H1713" i="12"/>
  <c r="G1713" i="12"/>
  <c r="E1713" i="12"/>
  <c r="D1712" i="12"/>
  <c r="B1712" i="12"/>
  <c r="E1712" i="12"/>
  <c r="F1712" i="12"/>
  <c r="C1712" i="12"/>
  <c r="I1712" i="12"/>
  <c r="J1712" i="12"/>
  <c r="H1712" i="12"/>
  <c r="G1712" i="12"/>
  <c r="D1711" i="12"/>
  <c r="C1711" i="12"/>
  <c r="B1711" i="12"/>
  <c r="J1711" i="12"/>
  <c r="I1711" i="12"/>
  <c r="H1711" i="12"/>
  <c r="G1711" i="12"/>
  <c r="F1711" i="12"/>
  <c r="E1711" i="12"/>
  <c r="D1710" i="12"/>
  <c r="F1710" i="12"/>
  <c r="E1710" i="12"/>
  <c r="B1710" i="12"/>
  <c r="C1710" i="12"/>
  <c r="J1710" i="12"/>
  <c r="I1710" i="12"/>
  <c r="H1710" i="12"/>
  <c r="G1710" i="12"/>
  <c r="D1709" i="12"/>
  <c r="E1709" i="12"/>
  <c r="F1709" i="12"/>
  <c r="G1709" i="12"/>
  <c r="H1709" i="12"/>
  <c r="I1709" i="12"/>
  <c r="J1709" i="12"/>
  <c r="C1709" i="12"/>
  <c r="B1709" i="12"/>
  <c r="D1708" i="12"/>
  <c r="C1708" i="12"/>
  <c r="B1708" i="12"/>
  <c r="J1708" i="12"/>
  <c r="I1708" i="12"/>
  <c r="H1708" i="12"/>
  <c r="G1708" i="12"/>
  <c r="F1708" i="12"/>
  <c r="E1708" i="12"/>
  <c r="J1707" i="12"/>
  <c r="B1707" i="12"/>
  <c r="H1707" i="12"/>
  <c r="C1707" i="12"/>
  <c r="D1707" i="12"/>
  <c r="E1707" i="12"/>
  <c r="F1707" i="12"/>
  <c r="G1707" i="12"/>
  <c r="I1707" i="12"/>
  <c r="D1706" i="12"/>
  <c r="C1706" i="12"/>
  <c r="B1706" i="12"/>
  <c r="J1706" i="12"/>
  <c r="I1706" i="12"/>
  <c r="H1706" i="12"/>
  <c r="G1706" i="12"/>
  <c r="F1706" i="12"/>
  <c r="E1706" i="12"/>
  <c r="B1705" i="12"/>
  <c r="G1705" i="12"/>
  <c r="F1705" i="12"/>
  <c r="C1705" i="12"/>
  <c r="E1705" i="12"/>
  <c r="I1705" i="12"/>
  <c r="J1705" i="12"/>
  <c r="D1705" i="12"/>
  <c r="H1705" i="12"/>
  <c r="D1704" i="12"/>
  <c r="C1704" i="12"/>
  <c r="B1704" i="12"/>
  <c r="J1704" i="12"/>
  <c r="I1704" i="12"/>
  <c r="H1704" i="12"/>
  <c r="G1704" i="12"/>
  <c r="F1704" i="12"/>
  <c r="E1704" i="12"/>
  <c r="E1703" i="12"/>
  <c r="F1703" i="12"/>
  <c r="C1703" i="12"/>
  <c r="B1703" i="12"/>
  <c r="J1703" i="12"/>
  <c r="I1703" i="12"/>
  <c r="H1703" i="12"/>
  <c r="G1703" i="12"/>
  <c r="D1703" i="12"/>
  <c r="D1702" i="12"/>
  <c r="B1702" i="12"/>
  <c r="C1702" i="12"/>
  <c r="F1702" i="12"/>
  <c r="J1702" i="12"/>
  <c r="E1702" i="12"/>
  <c r="G1702" i="12"/>
  <c r="H1702" i="12"/>
  <c r="I1702" i="12"/>
  <c r="H1701" i="12"/>
  <c r="I1701" i="12"/>
  <c r="G1701" i="12"/>
  <c r="F1701" i="12"/>
  <c r="D1701" i="12"/>
  <c r="C1701" i="12"/>
  <c r="B1701" i="12"/>
  <c r="J1701" i="12"/>
  <c r="E1701" i="12"/>
  <c r="F1700" i="12"/>
  <c r="C1700" i="12"/>
  <c r="B1700" i="12"/>
  <c r="D1700" i="12"/>
  <c r="E1700" i="12"/>
  <c r="G1700" i="12"/>
  <c r="H1700" i="12"/>
  <c r="I1700" i="12"/>
  <c r="J1700" i="12"/>
  <c r="C1699" i="12"/>
  <c r="G1699" i="12"/>
  <c r="B1699" i="12"/>
  <c r="J1699" i="12"/>
  <c r="I1699" i="12"/>
  <c r="H1699" i="12"/>
  <c r="F1699" i="12"/>
  <c r="E1699" i="12"/>
  <c r="D1699" i="12"/>
  <c r="G1698" i="12"/>
  <c r="J1698" i="12"/>
  <c r="B1698" i="12"/>
  <c r="H1698" i="12"/>
  <c r="C1698" i="12"/>
  <c r="I1698" i="12"/>
  <c r="F1698" i="12"/>
  <c r="E1698" i="12"/>
  <c r="D1698" i="12"/>
  <c r="J1697" i="12"/>
  <c r="E1697" i="12"/>
  <c r="H1697" i="12"/>
  <c r="F1697" i="12"/>
  <c r="B1697" i="12"/>
  <c r="G1697" i="12"/>
  <c r="I1697" i="12"/>
  <c r="C1697" i="12"/>
  <c r="D1697" i="12"/>
  <c r="D1696" i="12"/>
  <c r="H1696" i="12"/>
  <c r="J1696" i="12"/>
  <c r="I1696" i="12"/>
  <c r="G1696" i="12"/>
  <c r="F1696" i="12"/>
  <c r="E1696" i="12"/>
  <c r="C1696" i="12"/>
  <c r="B1696" i="12"/>
  <c r="F1695" i="12"/>
  <c r="H1695" i="12"/>
  <c r="I1695" i="12"/>
  <c r="J1695" i="12"/>
  <c r="B1695" i="12"/>
  <c r="C1695" i="12"/>
  <c r="D1695" i="12"/>
  <c r="E1695" i="12"/>
  <c r="G1695" i="12"/>
  <c r="B1694" i="12"/>
  <c r="C1694" i="12"/>
  <c r="D1694" i="12"/>
  <c r="F1694" i="12"/>
  <c r="J1694" i="12"/>
  <c r="H1694" i="12"/>
  <c r="G1694" i="12"/>
  <c r="E1694" i="12"/>
  <c r="I1694" i="12"/>
  <c r="D1693" i="12"/>
  <c r="B1693" i="12"/>
  <c r="E1693" i="12"/>
  <c r="G1693" i="12"/>
  <c r="H1693" i="12"/>
  <c r="I1693" i="12"/>
  <c r="J1693" i="12"/>
  <c r="C1693" i="12"/>
  <c r="F1693" i="12"/>
  <c r="C1692" i="12"/>
  <c r="J1692" i="12"/>
  <c r="I1692" i="12"/>
  <c r="H1692" i="12"/>
  <c r="G1692" i="12"/>
  <c r="F1692" i="12"/>
  <c r="E1692" i="12"/>
  <c r="D1692" i="12"/>
  <c r="B1692" i="12"/>
  <c r="D1691" i="12"/>
  <c r="C1691" i="12"/>
  <c r="B1691" i="12"/>
  <c r="H1691" i="12"/>
  <c r="G1691" i="12"/>
  <c r="F1691" i="12"/>
  <c r="E1691" i="12"/>
  <c r="J1691" i="12"/>
  <c r="I1691" i="12"/>
  <c r="J1690" i="12"/>
  <c r="H1690" i="12"/>
  <c r="F1690" i="12"/>
  <c r="E1690" i="12"/>
  <c r="D1690" i="12"/>
  <c r="B1690" i="12"/>
  <c r="C1690" i="12"/>
  <c r="G1690" i="12"/>
  <c r="I1690" i="12"/>
  <c r="D1689" i="12"/>
  <c r="C1689" i="12"/>
  <c r="B1689" i="12"/>
  <c r="J1689" i="12"/>
  <c r="I1689" i="12"/>
  <c r="H1689" i="12"/>
  <c r="G1689" i="12"/>
  <c r="F1689" i="12"/>
  <c r="E1689" i="12"/>
  <c r="H1688" i="12"/>
  <c r="E1688" i="12"/>
  <c r="C1688" i="12"/>
  <c r="B1688" i="12"/>
  <c r="J1688" i="12"/>
  <c r="I1688" i="12"/>
  <c r="G1688" i="12"/>
  <c r="F1688" i="12"/>
  <c r="D1688" i="12"/>
  <c r="F1687" i="12"/>
  <c r="D1687" i="12"/>
  <c r="J1687" i="12"/>
  <c r="C1687" i="12"/>
  <c r="B1687" i="12"/>
  <c r="G1687" i="12"/>
  <c r="H1687" i="12"/>
  <c r="E1687" i="12"/>
  <c r="I1687" i="12"/>
  <c r="H1686" i="12"/>
  <c r="I1686" i="12"/>
  <c r="C1686" i="12"/>
  <c r="B1686" i="12"/>
  <c r="E1686" i="12"/>
  <c r="J1686" i="12"/>
  <c r="G1686" i="12"/>
  <c r="F1686" i="12"/>
  <c r="D1686" i="12"/>
  <c r="G1685" i="12"/>
  <c r="B1685" i="12"/>
  <c r="D1685" i="12"/>
  <c r="E1685" i="12"/>
  <c r="F1685" i="12"/>
  <c r="H1685" i="12"/>
  <c r="I1685" i="12"/>
  <c r="J1685" i="12"/>
  <c r="C1685" i="12"/>
  <c r="H1684" i="12"/>
  <c r="F1684" i="12"/>
  <c r="E1684" i="12"/>
  <c r="B1684" i="12"/>
  <c r="D1684" i="12"/>
  <c r="G1684" i="12"/>
  <c r="I1684" i="12"/>
  <c r="C1684" i="12"/>
  <c r="J1684" i="12"/>
  <c r="F1683" i="12"/>
  <c r="C1683" i="12"/>
  <c r="G1683" i="12"/>
  <c r="J1683" i="12"/>
  <c r="I1683" i="12"/>
  <c r="H1683" i="12"/>
  <c r="D1683" i="12"/>
  <c r="B1683" i="12"/>
  <c r="E1683" i="12"/>
  <c r="B1682" i="12"/>
  <c r="E1682" i="12"/>
  <c r="C1682" i="12"/>
  <c r="F1682" i="12"/>
  <c r="H1682" i="12"/>
  <c r="G1682" i="12"/>
  <c r="J1682" i="12"/>
  <c r="D1682" i="12"/>
  <c r="I1682" i="12"/>
  <c r="D1681" i="12"/>
  <c r="C1681" i="12"/>
  <c r="B1681" i="12"/>
  <c r="H1681" i="12"/>
  <c r="E1681" i="12"/>
  <c r="F1681" i="12"/>
  <c r="G1681" i="12"/>
  <c r="I1681" i="12"/>
  <c r="J1681" i="12"/>
  <c r="C1680" i="12"/>
  <c r="E1680" i="12"/>
  <c r="B1680" i="12"/>
  <c r="G1680" i="12"/>
  <c r="D1680" i="12"/>
  <c r="F1680" i="12"/>
  <c r="H1680" i="12"/>
  <c r="I1680" i="12"/>
  <c r="J1680" i="12"/>
  <c r="C1679" i="12"/>
  <c r="B1679" i="12"/>
  <c r="J1679" i="12"/>
  <c r="H1679" i="12"/>
  <c r="G1679" i="12"/>
  <c r="F1679" i="12"/>
  <c r="D1679" i="12"/>
  <c r="E1679" i="12"/>
  <c r="I1679" i="12"/>
  <c r="F1678" i="12"/>
  <c r="C1678" i="12"/>
  <c r="G1678" i="12"/>
  <c r="H1678" i="12"/>
  <c r="I1678" i="12"/>
  <c r="J1678" i="12"/>
  <c r="E1678" i="12"/>
  <c r="B1678" i="12"/>
  <c r="D1678" i="12"/>
  <c r="F1677" i="12"/>
  <c r="G1677" i="12"/>
  <c r="J1677" i="12"/>
  <c r="H1677" i="12"/>
  <c r="I1677" i="12"/>
  <c r="B1677" i="12"/>
  <c r="D1677" i="12"/>
  <c r="C1677" i="12"/>
  <c r="E1677" i="12"/>
  <c r="B1676" i="12"/>
  <c r="G1676" i="12"/>
  <c r="F1676" i="12"/>
  <c r="C1676" i="12"/>
  <c r="E1676" i="12"/>
  <c r="J1676" i="12"/>
  <c r="I1676" i="12"/>
  <c r="H1676" i="12"/>
  <c r="D1676" i="12"/>
  <c r="F1675" i="12"/>
  <c r="D1675" i="12"/>
  <c r="C1675" i="12"/>
  <c r="E1675" i="12"/>
  <c r="B1675" i="12"/>
  <c r="J1675" i="12"/>
  <c r="I1675" i="12"/>
  <c r="H1675" i="12"/>
  <c r="G1675" i="12"/>
  <c r="C1674" i="12"/>
  <c r="B1674" i="12"/>
  <c r="D1674" i="12"/>
  <c r="E1674" i="12"/>
  <c r="F1674" i="12"/>
  <c r="G1674" i="12"/>
  <c r="I1674" i="12"/>
  <c r="J1674" i="12"/>
  <c r="H1674" i="12"/>
  <c r="D1673" i="12"/>
  <c r="C1673" i="12"/>
  <c r="B1673" i="12"/>
  <c r="F1673" i="12"/>
  <c r="E1673" i="12"/>
  <c r="G1673" i="12"/>
  <c r="H1673" i="12"/>
  <c r="I1673" i="12"/>
  <c r="J1673" i="12"/>
  <c r="C1672" i="12"/>
  <c r="B1672" i="12"/>
  <c r="J1672" i="12"/>
  <c r="I1672" i="12"/>
  <c r="H1672" i="12"/>
  <c r="E1672" i="12"/>
  <c r="G1672" i="12"/>
  <c r="F1672" i="12"/>
  <c r="D1672" i="12"/>
  <c r="C1671" i="12"/>
  <c r="G1671" i="12"/>
  <c r="I1671" i="12"/>
  <c r="F1671" i="12"/>
  <c r="E1671" i="12"/>
  <c r="D1671" i="12"/>
  <c r="H1671" i="12"/>
  <c r="B1671" i="12"/>
  <c r="J1671" i="12"/>
  <c r="H1670" i="12"/>
  <c r="C1670" i="12"/>
  <c r="B1670" i="12"/>
  <c r="D1670" i="12"/>
  <c r="E1670" i="12"/>
  <c r="F1670" i="12"/>
  <c r="G1670" i="12"/>
  <c r="I1670" i="12"/>
  <c r="J1670" i="12"/>
  <c r="G1669" i="12"/>
  <c r="I1669" i="12"/>
  <c r="H1669" i="12"/>
  <c r="E1669" i="12"/>
  <c r="D1669" i="12"/>
  <c r="B1669" i="12"/>
  <c r="F1669" i="12"/>
  <c r="C1669" i="12"/>
  <c r="J1669" i="12"/>
  <c r="G1668" i="12"/>
  <c r="E1668" i="12"/>
  <c r="C1668" i="12"/>
  <c r="D1668" i="12"/>
  <c r="J1668" i="12"/>
  <c r="I1668" i="12"/>
  <c r="B1668" i="12"/>
  <c r="H1668" i="12"/>
  <c r="F1668" i="12"/>
  <c r="F1667" i="12"/>
  <c r="G1667" i="12"/>
  <c r="H1667" i="12"/>
  <c r="E1667" i="12"/>
  <c r="J1667" i="12"/>
  <c r="I1667" i="12"/>
  <c r="D1667" i="12"/>
  <c r="B1667" i="12"/>
  <c r="C1667" i="12"/>
  <c r="F1666" i="12"/>
  <c r="J1666" i="12"/>
  <c r="D1666" i="12"/>
  <c r="H1666" i="12"/>
  <c r="E1666" i="12"/>
  <c r="B1666" i="12"/>
  <c r="I1666" i="12"/>
  <c r="G1666" i="12"/>
  <c r="C1666" i="12"/>
  <c r="F1665" i="12"/>
  <c r="D1665" i="12"/>
  <c r="C1665" i="12"/>
  <c r="E1665" i="12"/>
  <c r="B1665" i="12"/>
  <c r="J1665" i="12"/>
  <c r="I1665" i="12"/>
  <c r="H1665" i="12"/>
  <c r="G1665" i="12"/>
  <c r="D1664" i="12"/>
  <c r="E1664" i="12"/>
  <c r="C1664" i="12"/>
  <c r="B1664" i="12"/>
  <c r="F1664" i="12"/>
  <c r="G1664" i="12"/>
  <c r="H1664" i="12"/>
  <c r="I1664" i="12"/>
  <c r="J1664" i="12"/>
  <c r="B1663" i="12"/>
  <c r="C1663" i="12"/>
  <c r="G1663" i="12"/>
  <c r="H1663" i="12"/>
  <c r="I1663" i="12"/>
  <c r="F1663" i="12"/>
  <c r="J1663" i="12"/>
  <c r="D1663" i="12"/>
  <c r="E1663" i="12"/>
  <c r="F1662" i="12"/>
  <c r="G1662" i="12"/>
  <c r="E1662" i="12"/>
  <c r="D1662" i="12"/>
  <c r="B1662" i="12"/>
  <c r="C1662" i="12"/>
  <c r="J1662" i="12"/>
  <c r="I1662" i="12"/>
  <c r="H1662" i="12"/>
  <c r="F1661" i="12"/>
  <c r="I1661" i="12"/>
  <c r="J1661" i="12"/>
  <c r="E1661" i="12"/>
  <c r="D1661" i="12"/>
  <c r="B1661" i="12"/>
  <c r="G1661" i="12"/>
  <c r="H1661" i="12"/>
  <c r="C1661" i="12"/>
  <c r="G1660" i="12"/>
  <c r="C1660" i="12"/>
  <c r="J1660" i="12"/>
  <c r="I1660" i="12"/>
  <c r="D1660" i="12"/>
  <c r="B1660" i="12"/>
  <c r="H1660" i="12"/>
  <c r="F1660" i="12"/>
  <c r="E1660" i="12"/>
  <c r="H1659" i="12"/>
  <c r="G1659" i="12"/>
  <c r="I1659" i="12"/>
  <c r="J1659" i="12"/>
  <c r="F1659" i="12"/>
  <c r="C1659" i="12"/>
  <c r="E1659" i="12"/>
  <c r="D1659" i="12"/>
  <c r="B1659" i="12"/>
  <c r="J1658" i="12"/>
  <c r="C1658" i="12"/>
  <c r="E1658" i="12"/>
  <c r="G1658" i="12"/>
  <c r="F1658" i="12"/>
  <c r="B1658" i="12"/>
  <c r="H1658" i="12"/>
  <c r="I1658" i="12"/>
  <c r="D1658" i="12"/>
  <c r="I1657" i="12"/>
  <c r="J1657" i="12"/>
  <c r="G1657" i="12"/>
  <c r="E1657" i="12"/>
  <c r="D1657" i="12"/>
  <c r="H1657" i="12"/>
  <c r="F1657" i="12"/>
  <c r="C1657" i="12"/>
  <c r="B1657" i="12"/>
  <c r="C1656" i="12"/>
  <c r="B1656" i="12"/>
  <c r="E1656" i="12"/>
  <c r="D1656" i="12"/>
  <c r="G1656" i="12"/>
  <c r="J1656" i="12"/>
  <c r="H1656" i="12"/>
  <c r="I1656" i="12"/>
  <c r="F1656" i="12"/>
  <c r="E1655" i="12"/>
  <c r="D1655" i="12"/>
  <c r="H1655" i="12"/>
  <c r="B1655" i="12"/>
  <c r="C1655" i="12"/>
  <c r="J1655" i="12"/>
  <c r="I1655" i="12"/>
  <c r="F1655" i="12"/>
  <c r="G1655" i="12"/>
  <c r="D1654" i="12"/>
  <c r="E1654" i="12"/>
  <c r="C1654" i="12"/>
  <c r="F1654" i="12"/>
  <c r="B1654" i="12"/>
  <c r="J1654" i="12"/>
  <c r="I1654" i="12"/>
  <c r="H1654" i="12"/>
  <c r="G1654" i="12"/>
  <c r="C1653" i="12"/>
  <c r="I1653" i="12"/>
  <c r="H1653" i="12"/>
  <c r="G1653" i="12"/>
  <c r="D1653" i="12"/>
  <c r="F1653" i="12"/>
  <c r="E1653" i="12"/>
  <c r="J1653" i="12"/>
  <c r="B1653" i="12"/>
  <c r="C1652" i="12"/>
  <c r="B1652" i="12"/>
  <c r="D1652" i="12"/>
  <c r="F1652" i="12"/>
  <c r="J1652" i="12"/>
  <c r="H1652" i="12"/>
  <c r="G1652" i="12"/>
  <c r="E1652" i="12"/>
  <c r="I1652" i="12"/>
  <c r="J1651" i="12"/>
  <c r="E1651" i="12"/>
  <c r="D1651" i="12"/>
  <c r="F1651" i="12"/>
  <c r="G1651" i="12"/>
  <c r="H1651" i="12"/>
  <c r="C1651" i="12"/>
  <c r="B1651" i="12"/>
  <c r="I1651" i="12"/>
  <c r="C1650" i="12"/>
  <c r="D1650" i="12"/>
  <c r="B1650" i="12"/>
  <c r="E1650" i="12"/>
  <c r="F1650" i="12"/>
  <c r="G1650" i="12"/>
  <c r="H1650" i="12"/>
  <c r="I1650" i="12"/>
  <c r="J1650" i="12"/>
  <c r="E1649" i="12"/>
  <c r="F1649" i="12"/>
  <c r="G1649" i="12"/>
  <c r="H1649" i="12"/>
  <c r="I1649" i="12"/>
  <c r="C1649" i="12"/>
  <c r="B1649" i="12"/>
  <c r="J1649" i="12"/>
  <c r="D1649" i="12"/>
  <c r="D1648" i="12"/>
  <c r="B1648" i="12"/>
  <c r="E1648" i="12"/>
  <c r="F1648" i="12"/>
  <c r="G1648" i="12"/>
  <c r="H1648" i="12"/>
  <c r="J1648" i="12"/>
  <c r="C1648" i="12"/>
  <c r="I1648" i="12"/>
  <c r="H1647" i="12"/>
  <c r="C1647" i="12"/>
  <c r="J1647" i="12"/>
  <c r="I1647" i="12"/>
  <c r="F1647" i="12"/>
  <c r="D1647" i="12"/>
  <c r="B1647" i="12"/>
  <c r="G1647" i="12"/>
  <c r="E1647" i="12"/>
  <c r="I1646" i="12"/>
  <c r="J1646" i="12"/>
  <c r="H1646" i="12"/>
  <c r="F1646" i="12"/>
  <c r="G1646" i="12"/>
  <c r="E1646" i="12"/>
  <c r="C1646" i="12"/>
  <c r="D1646" i="12"/>
  <c r="B1646" i="12"/>
  <c r="E1645" i="12"/>
  <c r="C1645" i="12"/>
  <c r="G1645" i="12"/>
  <c r="J1645" i="12"/>
  <c r="F1645" i="12"/>
  <c r="D1645" i="12"/>
  <c r="I1645" i="12"/>
  <c r="B1645" i="12"/>
  <c r="H1645" i="12"/>
  <c r="F1644" i="12"/>
  <c r="B1644" i="12"/>
  <c r="C1644" i="12"/>
  <c r="E1644" i="12"/>
  <c r="G1644" i="12"/>
  <c r="H1644" i="12"/>
  <c r="I1644" i="12"/>
  <c r="J1644" i="12"/>
  <c r="D1644" i="12"/>
  <c r="G1643" i="12"/>
  <c r="F1643" i="12"/>
  <c r="D1643" i="12"/>
  <c r="B1643" i="12"/>
  <c r="I1643" i="12"/>
  <c r="C1643" i="12"/>
  <c r="J1643" i="12"/>
  <c r="E1643" i="12"/>
  <c r="H1643" i="12"/>
  <c r="D1642" i="12"/>
  <c r="H1642" i="12"/>
  <c r="G1642" i="12"/>
  <c r="E1642" i="12"/>
  <c r="I1642" i="12"/>
  <c r="C1642" i="12"/>
  <c r="B1642" i="12"/>
  <c r="J1642" i="12"/>
  <c r="F1642" i="12"/>
  <c r="B1641" i="12"/>
  <c r="J1641" i="12"/>
  <c r="F1641" i="12"/>
  <c r="C1641" i="12"/>
  <c r="I1641" i="12"/>
  <c r="H1641" i="12"/>
  <c r="D1641" i="12"/>
  <c r="E1641" i="12"/>
  <c r="G1641" i="12"/>
  <c r="G1640" i="12"/>
  <c r="H1640" i="12"/>
  <c r="E1640" i="12"/>
  <c r="F1640" i="12"/>
  <c r="B1640" i="12"/>
  <c r="D1640" i="12"/>
  <c r="C1640" i="12"/>
  <c r="J1640" i="12"/>
  <c r="I1640" i="12"/>
  <c r="F1639" i="12"/>
  <c r="H1639" i="12"/>
  <c r="B1639" i="12"/>
  <c r="D1639" i="12"/>
  <c r="E1639" i="12"/>
  <c r="C1639" i="12"/>
  <c r="G1639" i="12"/>
  <c r="J1639" i="12"/>
  <c r="I1639" i="12"/>
  <c r="F1638" i="12"/>
  <c r="G1638" i="12"/>
  <c r="I1638" i="12"/>
  <c r="H1638" i="12"/>
  <c r="D1638" i="12"/>
  <c r="J1638" i="12"/>
  <c r="C1638" i="12"/>
  <c r="E1638" i="12"/>
  <c r="B1638" i="12"/>
  <c r="E1637" i="12"/>
  <c r="D1637" i="12"/>
  <c r="B1637" i="12"/>
  <c r="G1637" i="12"/>
  <c r="C1637" i="12"/>
  <c r="J1637" i="12"/>
  <c r="I1637" i="12"/>
  <c r="H1637" i="12"/>
  <c r="F1637" i="12"/>
  <c r="I1636" i="12"/>
  <c r="B1636" i="12"/>
  <c r="C1636" i="12"/>
  <c r="J1636" i="12"/>
  <c r="H1636" i="12"/>
  <c r="G1636" i="12"/>
  <c r="F1636" i="12"/>
  <c r="D1636" i="12"/>
  <c r="E1636" i="12"/>
  <c r="I1635" i="12"/>
  <c r="D1635" i="12"/>
  <c r="J1635" i="12"/>
  <c r="F1635" i="12"/>
  <c r="H1635" i="12"/>
  <c r="G1635" i="12"/>
  <c r="C1635" i="12"/>
  <c r="E1635" i="12"/>
  <c r="B1635" i="12"/>
  <c r="E1634" i="12"/>
  <c r="C1634" i="12"/>
  <c r="J1634" i="12"/>
  <c r="I1634" i="12"/>
  <c r="H1634" i="12"/>
  <c r="G1634" i="12"/>
  <c r="F1634" i="12"/>
  <c r="D1634" i="12"/>
  <c r="B1634" i="12"/>
  <c r="B1633" i="12"/>
  <c r="D1633" i="12"/>
  <c r="C1633" i="12"/>
  <c r="E1633" i="12"/>
  <c r="J1633" i="12"/>
  <c r="I1633" i="12"/>
  <c r="H1633" i="12"/>
  <c r="G1633" i="12"/>
  <c r="F1633" i="12"/>
  <c r="E1632" i="12"/>
  <c r="G1632" i="12"/>
  <c r="H1632" i="12"/>
  <c r="I1632" i="12"/>
  <c r="J1632" i="12"/>
  <c r="F1632" i="12"/>
  <c r="D1632" i="12"/>
  <c r="C1632" i="12"/>
  <c r="B1632" i="12"/>
  <c r="H1631" i="12"/>
  <c r="J1631" i="12"/>
  <c r="I1631" i="12"/>
  <c r="C1631" i="12"/>
  <c r="G1631" i="12"/>
  <c r="F1631" i="12"/>
  <c r="E1631" i="12"/>
  <c r="D1631" i="12"/>
  <c r="B1631" i="12"/>
  <c r="C1630" i="12"/>
  <c r="E1630" i="12"/>
  <c r="D1630" i="12"/>
  <c r="B1630" i="12"/>
  <c r="J1630" i="12"/>
  <c r="H1630" i="12"/>
  <c r="G1630" i="12"/>
  <c r="I1630" i="12"/>
  <c r="F1630" i="12"/>
  <c r="I1629" i="12"/>
  <c r="J1629" i="12"/>
  <c r="C1629" i="12"/>
  <c r="B1629" i="12"/>
  <c r="F1629" i="12"/>
  <c r="E1629" i="12"/>
  <c r="G1629" i="12"/>
  <c r="H1629" i="12"/>
  <c r="D1629" i="12"/>
  <c r="B1628" i="12"/>
  <c r="D1628" i="12"/>
  <c r="I1628" i="12"/>
  <c r="E1628" i="12"/>
  <c r="F1628" i="12"/>
  <c r="C1628" i="12"/>
  <c r="J1628" i="12"/>
  <c r="H1628" i="12"/>
  <c r="G1628" i="12"/>
  <c r="B1627" i="12"/>
  <c r="E1627" i="12"/>
  <c r="F1627" i="12"/>
  <c r="H1627" i="12"/>
  <c r="I1627" i="12"/>
  <c r="J1627" i="12"/>
  <c r="G1627" i="12"/>
  <c r="C1627" i="12"/>
  <c r="D1627" i="12"/>
  <c r="H1626" i="12"/>
  <c r="E1626" i="12"/>
  <c r="F1626" i="12"/>
  <c r="B1626" i="12"/>
  <c r="C1626" i="12"/>
  <c r="D1626" i="12"/>
  <c r="J1626" i="12"/>
  <c r="I1626" i="12"/>
  <c r="G1626" i="12"/>
  <c r="B1625" i="12"/>
  <c r="I1625" i="12"/>
  <c r="J1625" i="12"/>
  <c r="G1625" i="12"/>
  <c r="E1625" i="12"/>
  <c r="D1625" i="12"/>
  <c r="H1625" i="12"/>
  <c r="C1625" i="12"/>
  <c r="F1625" i="12"/>
  <c r="F1624" i="12"/>
  <c r="B1624" i="12"/>
  <c r="G1624" i="12"/>
  <c r="J1624" i="12"/>
  <c r="I1624" i="12"/>
  <c r="H1624" i="12"/>
  <c r="C1624" i="12"/>
  <c r="D1624" i="12"/>
  <c r="E1624" i="12"/>
  <c r="E1623" i="12"/>
  <c r="C1623" i="12"/>
  <c r="H1623" i="12"/>
  <c r="I1623" i="12"/>
  <c r="J1623" i="12"/>
  <c r="D1623" i="12"/>
  <c r="B1623" i="12"/>
  <c r="G1623" i="12"/>
  <c r="F1623" i="12"/>
  <c r="F1622" i="12"/>
  <c r="D1622" i="12"/>
  <c r="E1622" i="12"/>
  <c r="J1622" i="12"/>
  <c r="H1622" i="12"/>
  <c r="I1622" i="12"/>
  <c r="C1622" i="12"/>
  <c r="B1622" i="12"/>
  <c r="G1622" i="12"/>
  <c r="D1621" i="12"/>
  <c r="B1621" i="12"/>
  <c r="C1621" i="12"/>
  <c r="E1621" i="12"/>
  <c r="F1621" i="12"/>
  <c r="G1621" i="12"/>
  <c r="I1621" i="12"/>
  <c r="J1621" i="12"/>
  <c r="H1621" i="12"/>
  <c r="F1620" i="12"/>
  <c r="E1620" i="12"/>
  <c r="D1620" i="12"/>
  <c r="G1620" i="12"/>
  <c r="J1620" i="12"/>
  <c r="I1620" i="12"/>
  <c r="H1620" i="12"/>
  <c r="B1620" i="12"/>
  <c r="C1620" i="12"/>
  <c r="E1619" i="12"/>
  <c r="C1619" i="12"/>
  <c r="J1619" i="12"/>
  <c r="I1619" i="12"/>
  <c r="G1619" i="12"/>
  <c r="B1619" i="12"/>
  <c r="F1619" i="12"/>
  <c r="D1619" i="12"/>
  <c r="H1619" i="12"/>
  <c r="E1618" i="12"/>
  <c r="C1618" i="12"/>
  <c r="I1618" i="12"/>
  <c r="B1618" i="12"/>
  <c r="D1618" i="12"/>
  <c r="H1618" i="12"/>
  <c r="G1618" i="12"/>
  <c r="J1618" i="12"/>
  <c r="F1618" i="12"/>
  <c r="I1617" i="12"/>
  <c r="G1617" i="12"/>
  <c r="E1617" i="12"/>
  <c r="F1617" i="12"/>
  <c r="C1617" i="12"/>
  <c r="D1617" i="12"/>
  <c r="B1617" i="12"/>
  <c r="H1617" i="12"/>
  <c r="J1617" i="12"/>
  <c r="J1616" i="12"/>
  <c r="I1616" i="12"/>
  <c r="H1616" i="12"/>
  <c r="F1616" i="12"/>
  <c r="D1616" i="12"/>
  <c r="C1616" i="12"/>
  <c r="B1616" i="12"/>
  <c r="E1616" i="12"/>
  <c r="G1616" i="12"/>
  <c r="H1615" i="12"/>
  <c r="F1615" i="12"/>
  <c r="E1615" i="12"/>
  <c r="B1615" i="12"/>
  <c r="I1615" i="12"/>
  <c r="J1615" i="12"/>
  <c r="C1615" i="12"/>
  <c r="D1615" i="12"/>
  <c r="G1615" i="12"/>
  <c r="F1614" i="12"/>
  <c r="I1614" i="12"/>
  <c r="H1614" i="12"/>
  <c r="G1614" i="12"/>
  <c r="B1614" i="12"/>
  <c r="E1614" i="12"/>
  <c r="D1614" i="12"/>
  <c r="C1614" i="12"/>
  <c r="J1614" i="12"/>
  <c r="D1613" i="12"/>
  <c r="C1613" i="12"/>
  <c r="F1613" i="12"/>
  <c r="J1613" i="12"/>
  <c r="G1613" i="12"/>
  <c r="H1613" i="12"/>
  <c r="I1613" i="12"/>
  <c r="B1613" i="12"/>
  <c r="E1613" i="12"/>
  <c r="D1612" i="12"/>
  <c r="C1612" i="12"/>
  <c r="H1612" i="12"/>
  <c r="I1612" i="12"/>
  <c r="E1612" i="12"/>
  <c r="J1612" i="12"/>
  <c r="B1612" i="12"/>
  <c r="G1612" i="12"/>
  <c r="F1612" i="12"/>
  <c r="D1611" i="12"/>
  <c r="F1611" i="12"/>
  <c r="C1611" i="12"/>
  <c r="E1611" i="12"/>
  <c r="G1611" i="12"/>
  <c r="H1611" i="12"/>
  <c r="I1611" i="12"/>
  <c r="J1611" i="12"/>
  <c r="B1611" i="12"/>
  <c r="F1610" i="12"/>
  <c r="B1610" i="12"/>
  <c r="D1610" i="12"/>
  <c r="H1610" i="12"/>
  <c r="E1610" i="12"/>
  <c r="G1610" i="12"/>
  <c r="I1610" i="12"/>
  <c r="J1610" i="12"/>
  <c r="C1610" i="12"/>
  <c r="D1609" i="12"/>
  <c r="E1609" i="12"/>
  <c r="J1609" i="12"/>
  <c r="F1609" i="12"/>
  <c r="H1609" i="12"/>
  <c r="G1609" i="12"/>
  <c r="B1609" i="12"/>
  <c r="C1609" i="12"/>
  <c r="I1609" i="12"/>
  <c r="B166" i="11"/>
  <c r="C166" i="11"/>
  <c r="D166" i="11"/>
  <c r="E166" i="11"/>
  <c r="G166" i="11"/>
  <c r="I166" i="11"/>
  <c r="J166" i="11"/>
  <c r="B161" i="11"/>
  <c r="D161" i="11"/>
  <c r="I161" i="11"/>
  <c r="E161" i="11"/>
  <c r="C161" i="11"/>
  <c r="J161" i="11"/>
  <c r="G161" i="11"/>
  <c r="I124" i="11"/>
  <c r="G124" i="11"/>
  <c r="E124" i="11"/>
  <c r="C124" i="11"/>
  <c r="B124" i="11"/>
  <c r="B108" i="11"/>
  <c r="I108" i="11"/>
  <c r="E108" i="11"/>
  <c r="C108" i="11"/>
  <c r="G108" i="11"/>
  <c r="I104" i="11"/>
  <c r="E104" i="11"/>
  <c r="G104" i="11"/>
  <c r="G103" i="11"/>
  <c r="E103" i="11"/>
  <c r="E99" i="11"/>
  <c r="G99" i="11"/>
  <c r="I99" i="11"/>
  <c r="G98" i="11"/>
  <c r="E98" i="11"/>
  <c r="E97" i="11"/>
  <c r="G97" i="11"/>
  <c r="I97" i="11"/>
  <c r="C85" i="11"/>
  <c r="E85" i="11"/>
  <c r="B85" i="11"/>
  <c r="G85" i="11"/>
  <c r="I85" i="11"/>
  <c r="G82" i="11"/>
  <c r="B82" i="11"/>
  <c r="I82" i="11"/>
  <c r="C82" i="11"/>
  <c r="E82" i="11"/>
  <c r="G77" i="11"/>
  <c r="E77" i="11"/>
  <c r="E73" i="11"/>
  <c r="G73" i="11"/>
  <c r="I73" i="11"/>
  <c r="G70" i="11"/>
  <c r="E70" i="11"/>
  <c r="I70" i="11"/>
  <c r="G68" i="11"/>
  <c r="E68" i="11"/>
  <c r="C66" i="11"/>
  <c r="E66" i="11"/>
  <c r="I66" i="11"/>
  <c r="G66" i="11"/>
  <c r="E65" i="11"/>
  <c r="G65" i="11"/>
  <c r="E62" i="11"/>
  <c r="C62" i="11"/>
  <c r="I62" i="11"/>
  <c r="G62" i="11"/>
  <c r="C54" i="11"/>
  <c r="E54" i="11"/>
  <c r="G54" i="11"/>
  <c r="I54" i="11"/>
  <c r="B54" i="11"/>
  <c r="I51" i="11"/>
  <c r="B51" i="11"/>
  <c r="G51" i="11"/>
  <c r="E51" i="11"/>
  <c r="C51" i="11"/>
  <c r="E50" i="11"/>
  <c r="G50" i="11"/>
  <c r="E48" i="11"/>
  <c r="I48" i="11"/>
  <c r="G48" i="11"/>
  <c r="C48" i="11"/>
  <c r="I46" i="11"/>
  <c r="E46" i="11"/>
  <c r="C46" i="11"/>
  <c r="G46" i="11"/>
  <c r="G44" i="11"/>
  <c r="E44" i="11"/>
  <c r="I44" i="11"/>
  <c r="G32" i="11"/>
  <c r="E32" i="11"/>
  <c r="C32" i="11"/>
  <c r="G31" i="11"/>
  <c r="E31" i="11"/>
  <c r="C31" i="11"/>
  <c r="I31" i="11"/>
  <c r="E29" i="11"/>
  <c r="G29" i="11"/>
  <c r="G28" i="11"/>
  <c r="E28" i="11"/>
  <c r="I28" i="11"/>
  <c r="I27" i="11"/>
  <c r="G27" i="11"/>
  <c r="C24" i="11"/>
  <c r="G24" i="11"/>
  <c r="E24" i="11"/>
  <c r="B24" i="11"/>
  <c r="I24" i="11"/>
  <c r="G21" i="11"/>
  <c r="E21" i="11"/>
  <c r="I15" i="11"/>
  <c r="E15" i="11"/>
  <c r="C15" i="11"/>
  <c r="G15" i="11"/>
  <c r="G10" i="11"/>
  <c r="E10" i="11"/>
  <c r="E9" i="11"/>
  <c r="G9" i="11"/>
  <c r="I9" i="11"/>
  <c r="G7" i="11"/>
  <c r="E7" i="11"/>
  <c r="F2001" i="12"/>
  <c r="G2001" i="12"/>
  <c r="H2001" i="12"/>
  <c r="I2001" i="12"/>
  <c r="J2001" i="12"/>
  <c r="B2001" i="12"/>
  <c r="C2001" i="12"/>
  <c r="D2001" i="12"/>
  <c r="E2001" i="12"/>
  <c r="H2000" i="12"/>
  <c r="C2000" i="12"/>
  <c r="I2000" i="12"/>
  <c r="D2000" i="12"/>
  <c r="E2000" i="12"/>
  <c r="F2000" i="12"/>
  <c r="J2000" i="12"/>
  <c r="G2000" i="12"/>
  <c r="B2000" i="12"/>
  <c r="J1999" i="12"/>
  <c r="H1999" i="12"/>
  <c r="G1999" i="12"/>
  <c r="D1999" i="12"/>
  <c r="F1999" i="12"/>
  <c r="E1999" i="12"/>
  <c r="C1999" i="12"/>
  <c r="B1999" i="12"/>
  <c r="I1999" i="12"/>
  <c r="E1998" i="12"/>
  <c r="F1998" i="12"/>
  <c r="G1998" i="12"/>
  <c r="D1998" i="12"/>
  <c r="C1998" i="12"/>
  <c r="J1998" i="12"/>
  <c r="I1998" i="12"/>
  <c r="H1998" i="12"/>
  <c r="B1998" i="12"/>
  <c r="B1997" i="12"/>
  <c r="C1997" i="12"/>
  <c r="D1997" i="12"/>
  <c r="G1997" i="12"/>
  <c r="F1997" i="12"/>
  <c r="E1997" i="12"/>
  <c r="H1997" i="12"/>
  <c r="J1997" i="12"/>
  <c r="I1997" i="12"/>
  <c r="I1996" i="12"/>
  <c r="H1996" i="12"/>
  <c r="F1996" i="12"/>
  <c r="E1996" i="12"/>
  <c r="D1996" i="12"/>
  <c r="C1996" i="12"/>
  <c r="B1996" i="12"/>
  <c r="G1996" i="12"/>
  <c r="J1996" i="12"/>
  <c r="J1995" i="12"/>
  <c r="C1995" i="12"/>
  <c r="D1995" i="12"/>
  <c r="E1995" i="12"/>
  <c r="F1995" i="12"/>
  <c r="G1995" i="12"/>
  <c r="H1995" i="12"/>
  <c r="I1995" i="12"/>
  <c r="B1995" i="12"/>
  <c r="B1994" i="12"/>
  <c r="C1994" i="12"/>
  <c r="D1994" i="12"/>
  <c r="E1994" i="12"/>
  <c r="F1994" i="12"/>
  <c r="G1994" i="12"/>
  <c r="H1994" i="12"/>
  <c r="I1994" i="12"/>
  <c r="J1994" i="12"/>
  <c r="C1993" i="12"/>
  <c r="B1993" i="12"/>
  <c r="D1993" i="12"/>
  <c r="E1993" i="12"/>
  <c r="G1993" i="12"/>
  <c r="H1993" i="12"/>
  <c r="I1993" i="12"/>
  <c r="J1993" i="12"/>
  <c r="F1993" i="12"/>
  <c r="J1992" i="12"/>
  <c r="I1992" i="12"/>
  <c r="H1992" i="12"/>
  <c r="G1992" i="12"/>
  <c r="F1992" i="12"/>
  <c r="E1992" i="12"/>
  <c r="D1992" i="12"/>
  <c r="C1992" i="12"/>
  <c r="B1992" i="12"/>
  <c r="H1991" i="12"/>
  <c r="J1991" i="12"/>
  <c r="I1991" i="12"/>
  <c r="B1991" i="12"/>
  <c r="C1991" i="12"/>
  <c r="D1991" i="12"/>
  <c r="E1991" i="12"/>
  <c r="F1991" i="12"/>
  <c r="G1991" i="12"/>
  <c r="D1990" i="12"/>
  <c r="C1990" i="12"/>
  <c r="J1990" i="12"/>
  <c r="B1990" i="12"/>
  <c r="E1990" i="12"/>
  <c r="F1990" i="12"/>
  <c r="G1990" i="12"/>
  <c r="H1990" i="12"/>
  <c r="I1990" i="12"/>
  <c r="H1989" i="12"/>
  <c r="G1989" i="12"/>
  <c r="F1989" i="12"/>
  <c r="E1989" i="12"/>
  <c r="D1989" i="12"/>
  <c r="C1989" i="12"/>
  <c r="B1989" i="12"/>
  <c r="I1989" i="12"/>
  <c r="J1989" i="12"/>
  <c r="B1988" i="12"/>
  <c r="C1988" i="12"/>
  <c r="D1988" i="12"/>
  <c r="E1988" i="12"/>
  <c r="F1988" i="12"/>
  <c r="G1988" i="12"/>
  <c r="H1988" i="12"/>
  <c r="I1988" i="12"/>
  <c r="J1988" i="12"/>
  <c r="B1987" i="12"/>
  <c r="H1987" i="12"/>
  <c r="J1987" i="12"/>
  <c r="I1987" i="12"/>
  <c r="G1987" i="12"/>
  <c r="F1987" i="12"/>
  <c r="E1987" i="12"/>
  <c r="D1987" i="12"/>
  <c r="C1987" i="12"/>
  <c r="F1986" i="12"/>
  <c r="J1986" i="12"/>
  <c r="I1986" i="12"/>
  <c r="H1986" i="12"/>
  <c r="G1986" i="12"/>
  <c r="E1986" i="12"/>
  <c r="D1986" i="12"/>
  <c r="C1986" i="12"/>
  <c r="B1986" i="12"/>
  <c r="E1985" i="12"/>
  <c r="B1985" i="12"/>
  <c r="C1985" i="12"/>
  <c r="D1985" i="12"/>
  <c r="F1985" i="12"/>
  <c r="G1985" i="12"/>
  <c r="H1985" i="12"/>
  <c r="I1985" i="12"/>
  <c r="J1985" i="12"/>
  <c r="I1984" i="12"/>
  <c r="J1984" i="12"/>
  <c r="G1984" i="12"/>
  <c r="H1984" i="12"/>
  <c r="F1984" i="12"/>
  <c r="E1984" i="12"/>
  <c r="D1984" i="12"/>
  <c r="C1984" i="12"/>
  <c r="B1984" i="12"/>
  <c r="F1983" i="12"/>
  <c r="J1983" i="12"/>
  <c r="I1983" i="12"/>
  <c r="H1983" i="12"/>
  <c r="G1983" i="12"/>
  <c r="E1983" i="12"/>
  <c r="D1983" i="12"/>
  <c r="C1983" i="12"/>
  <c r="B1983" i="12"/>
  <c r="B1982" i="12"/>
  <c r="H1982" i="12"/>
  <c r="I1982" i="12"/>
  <c r="G1982" i="12"/>
  <c r="J1982" i="12"/>
  <c r="F1982" i="12"/>
  <c r="E1982" i="12"/>
  <c r="D1982" i="12"/>
  <c r="C1982" i="12"/>
  <c r="I1981" i="12"/>
  <c r="H1981" i="12"/>
  <c r="G1981" i="12"/>
  <c r="F1981" i="12"/>
  <c r="B1981" i="12"/>
  <c r="D1981" i="12"/>
  <c r="C1981" i="12"/>
  <c r="J1981" i="12"/>
  <c r="E1981" i="12"/>
  <c r="D1980" i="12"/>
  <c r="E1980" i="12"/>
  <c r="F1980" i="12"/>
  <c r="G1980" i="12"/>
  <c r="H1980" i="12"/>
  <c r="I1980" i="12"/>
  <c r="J1980" i="12"/>
  <c r="C1980" i="12"/>
  <c r="B1980" i="12"/>
  <c r="E1979" i="12"/>
  <c r="B1979" i="12"/>
  <c r="C1979" i="12"/>
  <c r="D1979" i="12"/>
  <c r="G1979" i="12"/>
  <c r="F1979" i="12"/>
  <c r="H1979" i="12"/>
  <c r="J1979" i="12"/>
  <c r="I1979" i="12"/>
  <c r="J1978" i="12"/>
  <c r="B1978" i="12"/>
  <c r="C1978" i="12"/>
  <c r="D1978" i="12"/>
  <c r="E1978" i="12"/>
  <c r="G1978" i="12"/>
  <c r="H1978" i="12"/>
  <c r="I1978" i="12"/>
  <c r="F1978" i="12"/>
  <c r="F1977" i="12"/>
  <c r="G1977" i="12"/>
  <c r="H1977" i="12"/>
  <c r="I1977" i="12"/>
  <c r="J1977" i="12"/>
  <c r="B1977" i="12"/>
  <c r="C1977" i="12"/>
  <c r="D1977" i="12"/>
  <c r="E1977" i="12"/>
  <c r="G1976" i="12"/>
  <c r="H1976" i="12"/>
  <c r="I1976" i="12"/>
  <c r="J1976" i="12"/>
  <c r="B1976" i="12"/>
  <c r="E1976" i="12"/>
  <c r="D1976" i="12"/>
  <c r="C1976" i="12"/>
  <c r="F1976" i="12"/>
  <c r="F1975" i="12"/>
  <c r="G1975" i="12"/>
  <c r="H1975" i="12"/>
  <c r="J1975" i="12"/>
  <c r="I1975" i="12"/>
  <c r="B1975" i="12"/>
  <c r="C1975" i="12"/>
  <c r="D1975" i="12"/>
  <c r="E1975" i="12"/>
  <c r="J1974" i="12"/>
  <c r="I1974" i="12"/>
  <c r="G1974" i="12"/>
  <c r="F1974" i="12"/>
  <c r="E1974" i="12"/>
  <c r="D1974" i="12"/>
  <c r="C1974" i="12"/>
  <c r="B1974" i="12"/>
  <c r="H1974" i="12"/>
  <c r="H1973" i="12"/>
  <c r="J1973" i="12"/>
  <c r="I1973" i="12"/>
  <c r="G1973" i="12"/>
  <c r="F1973" i="12"/>
  <c r="E1973" i="12"/>
  <c r="D1973" i="12"/>
  <c r="C1973" i="12"/>
  <c r="B1973" i="12"/>
  <c r="I1972" i="12"/>
  <c r="J1972" i="12"/>
  <c r="H1972" i="12"/>
  <c r="G1972" i="12"/>
  <c r="F1972" i="12"/>
  <c r="E1972" i="12"/>
  <c r="D1972" i="12"/>
  <c r="B1972" i="12"/>
  <c r="C1972" i="12"/>
  <c r="J1971" i="12"/>
  <c r="B1971" i="12"/>
  <c r="C1971" i="12"/>
  <c r="D1971" i="12"/>
  <c r="E1971" i="12"/>
  <c r="F1971" i="12"/>
  <c r="G1971" i="12"/>
  <c r="H1971" i="12"/>
  <c r="I1971" i="12"/>
  <c r="I1970" i="12"/>
  <c r="H1970" i="12"/>
  <c r="G1970" i="12"/>
  <c r="F1970" i="12"/>
  <c r="E1970" i="12"/>
  <c r="D1970" i="12"/>
  <c r="C1970" i="12"/>
  <c r="J1970" i="12"/>
  <c r="B1970" i="12"/>
  <c r="J1969" i="12"/>
  <c r="I1969" i="12"/>
  <c r="H1969" i="12"/>
  <c r="G1969" i="12"/>
  <c r="F1969" i="12"/>
  <c r="E1969" i="12"/>
  <c r="D1969" i="12"/>
  <c r="C1969" i="12"/>
  <c r="B1969" i="12"/>
  <c r="G1968" i="12"/>
  <c r="C1968" i="12"/>
  <c r="J1968" i="12"/>
  <c r="B1968" i="12"/>
  <c r="D1968" i="12"/>
  <c r="E1968" i="12"/>
  <c r="H1968" i="12"/>
  <c r="I1968" i="12"/>
  <c r="F1968" i="12"/>
  <c r="B1967" i="12"/>
  <c r="J1967" i="12"/>
  <c r="I1967" i="12"/>
  <c r="H1967" i="12"/>
  <c r="G1967" i="12"/>
  <c r="F1967" i="12"/>
  <c r="E1967" i="12"/>
  <c r="D1967" i="12"/>
  <c r="C1967" i="12"/>
  <c r="J1966" i="12"/>
  <c r="B1966" i="12"/>
  <c r="C1966" i="12"/>
  <c r="D1966" i="12"/>
  <c r="E1966" i="12"/>
  <c r="F1966" i="12"/>
  <c r="G1966" i="12"/>
  <c r="H1966" i="12"/>
  <c r="I1966" i="12"/>
  <c r="E1965" i="12"/>
  <c r="J1965" i="12"/>
  <c r="I1965" i="12"/>
  <c r="H1965" i="12"/>
  <c r="G1965" i="12"/>
  <c r="F1965" i="12"/>
  <c r="D1965" i="12"/>
  <c r="C1965" i="12"/>
  <c r="B1965" i="12"/>
  <c r="E1964" i="12"/>
  <c r="J1964" i="12"/>
  <c r="I1964" i="12"/>
  <c r="H1964" i="12"/>
  <c r="G1964" i="12"/>
  <c r="F1964" i="12"/>
  <c r="D1964" i="12"/>
  <c r="C1964" i="12"/>
  <c r="B1964" i="12"/>
  <c r="B1963" i="12"/>
  <c r="J1963" i="12"/>
  <c r="I1963" i="12"/>
  <c r="H1963" i="12"/>
  <c r="G1963" i="12"/>
  <c r="F1963" i="12"/>
  <c r="D1963" i="12"/>
  <c r="C1963" i="12"/>
  <c r="E1963" i="12"/>
  <c r="J1962" i="12"/>
  <c r="I1962" i="12"/>
  <c r="H1962" i="12"/>
  <c r="G1962" i="12"/>
  <c r="F1962" i="12"/>
  <c r="E1962" i="12"/>
  <c r="D1962" i="12"/>
  <c r="C1962" i="12"/>
  <c r="B1962" i="12"/>
  <c r="J1961" i="12"/>
  <c r="I1961" i="12"/>
  <c r="H1961" i="12"/>
  <c r="G1961" i="12"/>
  <c r="F1961" i="12"/>
  <c r="E1961" i="12"/>
  <c r="D1961" i="12"/>
  <c r="C1961" i="12"/>
  <c r="B1961" i="12"/>
  <c r="J1960" i="12"/>
  <c r="I1960" i="12"/>
  <c r="H1960" i="12"/>
  <c r="G1960" i="12"/>
  <c r="F1960" i="12"/>
  <c r="E1960" i="12"/>
  <c r="D1960" i="12"/>
  <c r="C1960" i="12"/>
  <c r="B1960" i="12"/>
  <c r="B1959" i="12"/>
  <c r="J1959" i="12"/>
  <c r="I1959" i="12"/>
  <c r="H1959" i="12"/>
  <c r="G1959" i="12"/>
  <c r="F1959" i="12"/>
  <c r="E1959" i="12"/>
  <c r="D1959" i="12"/>
  <c r="C1959" i="12"/>
  <c r="I1958" i="12"/>
  <c r="H1958" i="12"/>
  <c r="G1958" i="12"/>
  <c r="F1958" i="12"/>
  <c r="E1958" i="12"/>
  <c r="D1958" i="12"/>
  <c r="C1958" i="12"/>
  <c r="B1958" i="12"/>
  <c r="J1958" i="12"/>
  <c r="J1957" i="12"/>
  <c r="I1957" i="12"/>
  <c r="H1957" i="12"/>
  <c r="G1957" i="12"/>
  <c r="F1957" i="12"/>
  <c r="E1957" i="12"/>
  <c r="D1957" i="12"/>
  <c r="C1957" i="12"/>
  <c r="B1957" i="12"/>
  <c r="F1956" i="12"/>
  <c r="J1956" i="12"/>
  <c r="I1956" i="12"/>
  <c r="H1956" i="12"/>
  <c r="G1956" i="12"/>
  <c r="E1956" i="12"/>
  <c r="D1956" i="12"/>
  <c r="C1956" i="12"/>
  <c r="B1956" i="12"/>
  <c r="I1955" i="12"/>
  <c r="H1955" i="12"/>
  <c r="G1955" i="12"/>
  <c r="F1955" i="12"/>
  <c r="E1955" i="12"/>
  <c r="J1955" i="12"/>
  <c r="C1955" i="12"/>
  <c r="B1955" i="12"/>
  <c r="D1955" i="12"/>
  <c r="I1954" i="12"/>
  <c r="H1954" i="12"/>
  <c r="G1954" i="12"/>
  <c r="F1954" i="12"/>
  <c r="E1954" i="12"/>
  <c r="D1954" i="12"/>
  <c r="C1954" i="12"/>
  <c r="B1954" i="12"/>
  <c r="J1954" i="12"/>
  <c r="J1953" i="12"/>
  <c r="I1953" i="12"/>
  <c r="H1953" i="12"/>
  <c r="F1953" i="12"/>
  <c r="E1953" i="12"/>
  <c r="D1953" i="12"/>
  <c r="C1953" i="12"/>
  <c r="B1953" i="12"/>
  <c r="G1953" i="12"/>
  <c r="J1952" i="12"/>
  <c r="I1952" i="12"/>
  <c r="G1952" i="12"/>
  <c r="F1952" i="12"/>
  <c r="E1952" i="12"/>
  <c r="D1952" i="12"/>
  <c r="C1952" i="12"/>
  <c r="B1952" i="12"/>
  <c r="H1952" i="12"/>
  <c r="J1951" i="12"/>
  <c r="I1951" i="12"/>
  <c r="H1951" i="12"/>
  <c r="G1951" i="12"/>
  <c r="F1951" i="12"/>
  <c r="E1951" i="12"/>
  <c r="D1951" i="12"/>
  <c r="C1951" i="12"/>
  <c r="B1951" i="12"/>
  <c r="C1950" i="12"/>
  <c r="I1950" i="12"/>
  <c r="H1950" i="12"/>
  <c r="G1950" i="12"/>
  <c r="F1950" i="12"/>
  <c r="E1950" i="12"/>
  <c r="D1950" i="12"/>
  <c r="B1950" i="12"/>
  <c r="J1950" i="12"/>
  <c r="D1949" i="12"/>
  <c r="J1949" i="12"/>
  <c r="I1949" i="12"/>
  <c r="H1949" i="12"/>
  <c r="G1949" i="12"/>
  <c r="F1949" i="12"/>
  <c r="E1949" i="12"/>
  <c r="C1949" i="12"/>
  <c r="B1949" i="12"/>
  <c r="J1948" i="12"/>
  <c r="I1948" i="12"/>
  <c r="H1948" i="12"/>
  <c r="G1948" i="12"/>
  <c r="F1948" i="12"/>
  <c r="E1948" i="12"/>
  <c r="D1948" i="12"/>
  <c r="C1948" i="12"/>
  <c r="B1948" i="12"/>
  <c r="G1947" i="12"/>
  <c r="J1947" i="12"/>
  <c r="I1947" i="12"/>
  <c r="H1947" i="12"/>
  <c r="F1947" i="12"/>
  <c r="E1947" i="12"/>
  <c r="D1947" i="12"/>
  <c r="C1947" i="12"/>
  <c r="B1947" i="12"/>
  <c r="J1946" i="12"/>
  <c r="I1946" i="12"/>
  <c r="H1946" i="12"/>
  <c r="G1946" i="12"/>
  <c r="F1946" i="12"/>
  <c r="E1946" i="12"/>
  <c r="D1946" i="12"/>
  <c r="C1946" i="12"/>
  <c r="B1946" i="12"/>
  <c r="J1945" i="12"/>
  <c r="I1945" i="12"/>
  <c r="H1945" i="12"/>
  <c r="G1945" i="12"/>
  <c r="F1945" i="12"/>
  <c r="E1945" i="12"/>
  <c r="C1945" i="12"/>
  <c r="B1945" i="12"/>
  <c r="D1945" i="12"/>
  <c r="J1944" i="12"/>
  <c r="I1944" i="12"/>
  <c r="G1944" i="12"/>
  <c r="F1944" i="12"/>
  <c r="E1944" i="12"/>
  <c r="C1944" i="12"/>
  <c r="D1944" i="12"/>
  <c r="B1944" i="12"/>
  <c r="H1944" i="12"/>
  <c r="I1943" i="12"/>
  <c r="H1943" i="12"/>
  <c r="G1943" i="12"/>
  <c r="F1943" i="12"/>
  <c r="E1943" i="12"/>
  <c r="D1943" i="12"/>
  <c r="C1943" i="12"/>
  <c r="B1943" i="12"/>
  <c r="J1943" i="12"/>
  <c r="I1942" i="12"/>
  <c r="H1942" i="12"/>
  <c r="G1942" i="12"/>
  <c r="F1942" i="12"/>
  <c r="E1942" i="12"/>
  <c r="D1942" i="12"/>
  <c r="C1942" i="12"/>
  <c r="B1942" i="12"/>
  <c r="J1942" i="12"/>
  <c r="J1941" i="12"/>
  <c r="I1941" i="12"/>
  <c r="H1941" i="12"/>
  <c r="G1941" i="12"/>
  <c r="F1941" i="12"/>
  <c r="E1941" i="12"/>
  <c r="D1941" i="12"/>
  <c r="C1941" i="12"/>
  <c r="B1941" i="12"/>
  <c r="J1940" i="12"/>
  <c r="I1940" i="12"/>
  <c r="H1940" i="12"/>
  <c r="G1940" i="12"/>
  <c r="F1940" i="12"/>
  <c r="E1940" i="12"/>
  <c r="D1940" i="12"/>
  <c r="C1940" i="12"/>
  <c r="B1940" i="12"/>
  <c r="I1939" i="12"/>
  <c r="H1939" i="12"/>
  <c r="G1939" i="12"/>
  <c r="F1939" i="12"/>
  <c r="E1939" i="12"/>
  <c r="D1939" i="12"/>
  <c r="C1939" i="12"/>
  <c r="B1939" i="12"/>
  <c r="J1939" i="12"/>
  <c r="I1938" i="12"/>
  <c r="H1938" i="12"/>
  <c r="G1938" i="12"/>
  <c r="F1938" i="12"/>
  <c r="E1938" i="12"/>
  <c r="D1938" i="12"/>
  <c r="C1938" i="12"/>
  <c r="B1938" i="12"/>
  <c r="J1938" i="12"/>
  <c r="J1937" i="12"/>
  <c r="I1937" i="12"/>
  <c r="H1937" i="12"/>
  <c r="G1937" i="12"/>
  <c r="F1937" i="12"/>
  <c r="E1937" i="12"/>
  <c r="D1937" i="12"/>
  <c r="C1937" i="12"/>
  <c r="B1937" i="12"/>
  <c r="B1936" i="12"/>
  <c r="C1936" i="12"/>
  <c r="J1936" i="12"/>
  <c r="I1936" i="12"/>
  <c r="H1936" i="12"/>
  <c r="G1936" i="12"/>
  <c r="F1936" i="12"/>
  <c r="E1936" i="12"/>
  <c r="D1936" i="12"/>
  <c r="E1935" i="12"/>
  <c r="F1935" i="12"/>
  <c r="B1935" i="12"/>
  <c r="C1935" i="12"/>
  <c r="J1935" i="12"/>
  <c r="D1935" i="12"/>
  <c r="I1935" i="12"/>
  <c r="H1935" i="12"/>
  <c r="G1935" i="12"/>
  <c r="C1934" i="12"/>
  <c r="J1934" i="12"/>
  <c r="I1934" i="12"/>
  <c r="H1934" i="12"/>
  <c r="G1934" i="12"/>
  <c r="B1934" i="12"/>
  <c r="F1934" i="12"/>
  <c r="E1934" i="12"/>
  <c r="D1934" i="12"/>
  <c r="H1933" i="12"/>
  <c r="G1933" i="12"/>
  <c r="F1933" i="12"/>
  <c r="E1933" i="12"/>
  <c r="D1933" i="12"/>
  <c r="C1933" i="12"/>
  <c r="B1933" i="12"/>
  <c r="J1933" i="12"/>
  <c r="I1933" i="12"/>
  <c r="J1932" i="12"/>
  <c r="F1932" i="12"/>
  <c r="G1932" i="12"/>
  <c r="B1932" i="12"/>
  <c r="C1932" i="12"/>
  <c r="D1932" i="12"/>
  <c r="E1932" i="12"/>
  <c r="I1932" i="12"/>
  <c r="H1932" i="12"/>
  <c r="C1931" i="12"/>
  <c r="B1931" i="12"/>
  <c r="D1931" i="12"/>
  <c r="E1931" i="12"/>
  <c r="F1931" i="12"/>
  <c r="G1931" i="12"/>
  <c r="H1931" i="12"/>
  <c r="I1931" i="12"/>
  <c r="J1931" i="12"/>
  <c r="B1930" i="12"/>
  <c r="C1930" i="12"/>
  <c r="D1930" i="12"/>
  <c r="G1930" i="12"/>
  <c r="E1930" i="12"/>
  <c r="F1930" i="12"/>
  <c r="J1930" i="12"/>
  <c r="I1930" i="12"/>
  <c r="H1930" i="12"/>
  <c r="B1929" i="12"/>
  <c r="F1929" i="12"/>
  <c r="H1929" i="12"/>
  <c r="J1929" i="12"/>
  <c r="I1929" i="12"/>
  <c r="C1929" i="12"/>
  <c r="D1929" i="12"/>
  <c r="E1929" i="12"/>
  <c r="G1929" i="12"/>
  <c r="E1928" i="12"/>
  <c r="F1928" i="12"/>
  <c r="G1928" i="12"/>
  <c r="H1928" i="12"/>
  <c r="I1928" i="12"/>
  <c r="J1928" i="12"/>
  <c r="B1928" i="12"/>
  <c r="D1928" i="12"/>
  <c r="C1928" i="12"/>
  <c r="I1927" i="12"/>
  <c r="G1927" i="12"/>
  <c r="F1927" i="12"/>
  <c r="D1927" i="12"/>
  <c r="C1927" i="12"/>
  <c r="B1927" i="12"/>
  <c r="E1927" i="12"/>
  <c r="J1927" i="12"/>
  <c r="H1927" i="12"/>
  <c r="D1926" i="12"/>
  <c r="H1926" i="12"/>
  <c r="E1926" i="12"/>
  <c r="F1926" i="12"/>
  <c r="I1926" i="12"/>
  <c r="J1926" i="12"/>
  <c r="G1926" i="12"/>
  <c r="B1926" i="12"/>
  <c r="C1926" i="12"/>
  <c r="C1925" i="12"/>
  <c r="B1925" i="12"/>
  <c r="H1925" i="12"/>
  <c r="I1925" i="12"/>
  <c r="J1925" i="12"/>
  <c r="F1925" i="12"/>
  <c r="G1925" i="12"/>
  <c r="E1925" i="12"/>
  <c r="D1925" i="12"/>
  <c r="I1924" i="12"/>
  <c r="H1924" i="12"/>
  <c r="G1924" i="12"/>
  <c r="F1924" i="12"/>
  <c r="E1924" i="12"/>
  <c r="D1924" i="12"/>
  <c r="C1924" i="12"/>
  <c r="J1924" i="12"/>
  <c r="B1924" i="12"/>
  <c r="F1923" i="12"/>
  <c r="E1923" i="12"/>
  <c r="D1923" i="12"/>
  <c r="C1923" i="12"/>
  <c r="B1923" i="12"/>
  <c r="J1923" i="12"/>
  <c r="I1923" i="12"/>
  <c r="H1923" i="12"/>
  <c r="G1923" i="12"/>
  <c r="E1922" i="12"/>
  <c r="B1922" i="12"/>
  <c r="C1922" i="12"/>
  <c r="D1922" i="12"/>
  <c r="F1922" i="12"/>
  <c r="G1922" i="12"/>
  <c r="H1922" i="12"/>
  <c r="I1922" i="12"/>
  <c r="J1922" i="12"/>
  <c r="B1921" i="12"/>
  <c r="C1921" i="12"/>
  <c r="D1921" i="12"/>
  <c r="E1921" i="12"/>
  <c r="G1921" i="12"/>
  <c r="H1921" i="12"/>
  <c r="I1921" i="12"/>
  <c r="J1921" i="12"/>
  <c r="F1921" i="12"/>
  <c r="F1920" i="12"/>
  <c r="D1920" i="12"/>
  <c r="C1920" i="12"/>
  <c r="B1920" i="12"/>
  <c r="J1920" i="12"/>
  <c r="I1920" i="12"/>
  <c r="H1920" i="12"/>
  <c r="G1920" i="12"/>
  <c r="E1920" i="12"/>
  <c r="F1919" i="12"/>
  <c r="G1919" i="12"/>
  <c r="H1919" i="12"/>
  <c r="I1919" i="12"/>
  <c r="J1919" i="12"/>
  <c r="B1919" i="12"/>
  <c r="C1919" i="12"/>
  <c r="D1919" i="12"/>
  <c r="E1919" i="12"/>
  <c r="J1918" i="12"/>
  <c r="E1918" i="12"/>
  <c r="F1918" i="12"/>
  <c r="G1918" i="12"/>
  <c r="I1918" i="12"/>
  <c r="H1918" i="12"/>
  <c r="D1918" i="12"/>
  <c r="B1918" i="12"/>
  <c r="C1918" i="12"/>
  <c r="E1917" i="12"/>
  <c r="H1917" i="12"/>
  <c r="G1917" i="12"/>
  <c r="F1917" i="12"/>
  <c r="J1917" i="12"/>
  <c r="I1917" i="12"/>
  <c r="D1917" i="12"/>
  <c r="C1917" i="12"/>
  <c r="B1917" i="12"/>
  <c r="J1916" i="12"/>
  <c r="I1916" i="12"/>
  <c r="H1916" i="12"/>
  <c r="G1916" i="12"/>
  <c r="F1916" i="12"/>
  <c r="E1916" i="12"/>
  <c r="D1916" i="12"/>
  <c r="C1916" i="12"/>
  <c r="B1916" i="12"/>
  <c r="C1915" i="12"/>
  <c r="F1915" i="12"/>
  <c r="E1915" i="12"/>
  <c r="B1915" i="12"/>
  <c r="D1915" i="12"/>
  <c r="J1915" i="12"/>
  <c r="I1915" i="12"/>
  <c r="H1915" i="12"/>
  <c r="G1915" i="12"/>
  <c r="I1914" i="12"/>
  <c r="H1914" i="12"/>
  <c r="G1914" i="12"/>
  <c r="E1914" i="12"/>
  <c r="D1914" i="12"/>
  <c r="C1914" i="12"/>
  <c r="B1914" i="12"/>
  <c r="F1914" i="12"/>
  <c r="J1914" i="12"/>
  <c r="G1913" i="12"/>
  <c r="B1913" i="12"/>
  <c r="J1913" i="12"/>
  <c r="I1913" i="12"/>
  <c r="H1913" i="12"/>
  <c r="C1913" i="12"/>
  <c r="F1913" i="12"/>
  <c r="E1913" i="12"/>
  <c r="D1913" i="12"/>
  <c r="F738" i="12"/>
  <c r="G738" i="12"/>
  <c r="J738" i="12"/>
  <c r="H738" i="12"/>
  <c r="I738" i="12"/>
  <c r="E738" i="12"/>
  <c r="D738" i="12"/>
  <c r="C738" i="12"/>
  <c r="B738" i="12"/>
  <c r="G918" i="12"/>
  <c r="F918" i="12"/>
  <c r="D918" i="12"/>
  <c r="H918" i="12"/>
  <c r="J918" i="12"/>
  <c r="E918" i="12"/>
  <c r="G923" i="12"/>
  <c r="B923" i="12"/>
  <c r="D923" i="12"/>
  <c r="F923" i="12"/>
  <c r="H923" i="12"/>
  <c r="E923" i="12"/>
  <c r="C923" i="12"/>
  <c r="G924" i="12"/>
  <c r="E924" i="12"/>
  <c r="B924" i="12"/>
  <c r="C924" i="12"/>
  <c r="F924" i="12"/>
  <c r="D924" i="12"/>
  <c r="E935" i="12"/>
  <c r="F935" i="12"/>
  <c r="G935" i="12"/>
  <c r="H935" i="12"/>
  <c r="I935" i="12"/>
  <c r="G938" i="12"/>
  <c r="I938" i="12"/>
  <c r="E938" i="12"/>
  <c r="F938" i="12"/>
  <c r="H938" i="12"/>
  <c r="J938" i="12"/>
  <c r="G940" i="12"/>
  <c r="F940" i="12"/>
  <c r="E940" i="12"/>
  <c r="D940" i="12"/>
  <c r="C940" i="12"/>
  <c r="B940" i="12"/>
  <c r="D944" i="12"/>
  <c r="F944" i="12"/>
  <c r="E944" i="12"/>
  <c r="J944" i="12"/>
  <c r="I944" i="12"/>
  <c r="H944" i="12"/>
  <c r="G944" i="12"/>
  <c r="F947" i="12"/>
  <c r="E947" i="12"/>
  <c r="G947" i="12"/>
  <c r="I947" i="12"/>
  <c r="H947" i="12"/>
  <c r="H950" i="12"/>
  <c r="D950" i="12"/>
  <c r="G950" i="12"/>
  <c r="E950" i="12"/>
  <c r="F950" i="12"/>
  <c r="I950" i="12"/>
  <c r="J951" i="12"/>
  <c r="I951" i="12"/>
  <c r="H951" i="12"/>
  <c r="I953" i="12"/>
  <c r="H953" i="12"/>
  <c r="G899" i="12"/>
  <c r="D899" i="12"/>
  <c r="F899" i="12"/>
  <c r="E899" i="12"/>
  <c r="E900" i="12"/>
  <c r="H900" i="12"/>
  <c r="F900" i="12"/>
  <c r="G900" i="12"/>
  <c r="AA171" i="8"/>
  <c r="I703" i="12"/>
  <c r="H703" i="12"/>
  <c r="F703" i="12"/>
  <c r="E703" i="12"/>
  <c r="G703" i="12"/>
  <c r="J703" i="12"/>
  <c r="H621" i="12"/>
  <c r="F621" i="12"/>
  <c r="I621" i="12"/>
  <c r="J621" i="12"/>
  <c r="G621" i="12"/>
  <c r="C627" i="12"/>
  <c r="D627" i="12"/>
  <c r="F627" i="12"/>
  <c r="B627" i="12"/>
  <c r="E627" i="12"/>
  <c r="I628" i="12"/>
  <c r="J628" i="12"/>
  <c r="H628" i="12"/>
  <c r="G628" i="12"/>
  <c r="F628" i="12"/>
  <c r="E628" i="12"/>
  <c r="J870" i="12"/>
  <c r="D870" i="12"/>
  <c r="I870" i="12"/>
  <c r="E870" i="12"/>
  <c r="G870" i="12"/>
  <c r="F870" i="12"/>
  <c r="H870" i="12"/>
  <c r="D885" i="12"/>
  <c r="B885" i="12"/>
  <c r="C885" i="12"/>
  <c r="E885" i="12"/>
  <c r="H892" i="12"/>
  <c r="J892" i="12"/>
  <c r="G892" i="12"/>
  <c r="I892" i="12"/>
  <c r="J795" i="12"/>
  <c r="G795" i="12"/>
  <c r="I795" i="12"/>
  <c r="H795" i="12"/>
  <c r="F795" i="12"/>
  <c r="B795" i="12"/>
  <c r="C795" i="12"/>
  <c r="D795" i="12"/>
  <c r="E795" i="12"/>
  <c r="H801" i="12"/>
  <c r="F801" i="12"/>
  <c r="G801" i="12"/>
  <c r="E801" i="12"/>
  <c r="I801" i="12"/>
  <c r="J706" i="12"/>
  <c r="I706" i="12"/>
  <c r="E711" i="12"/>
  <c r="C711" i="12"/>
  <c r="B711" i="12"/>
  <c r="D711" i="12"/>
  <c r="G714" i="12"/>
  <c r="F714" i="12"/>
  <c r="E714" i="12"/>
  <c r="H714" i="12"/>
  <c r="B714" i="12"/>
  <c r="J714" i="12"/>
  <c r="I714" i="12"/>
  <c r="C714" i="12"/>
  <c r="D714" i="12"/>
  <c r="H719" i="12"/>
  <c r="J719" i="12"/>
  <c r="I719" i="12"/>
  <c r="F719" i="12"/>
  <c r="E719" i="12"/>
  <c r="G719" i="12"/>
  <c r="F723" i="12"/>
  <c r="E723" i="12"/>
  <c r="F725" i="12"/>
  <c r="H725" i="12"/>
  <c r="G725" i="12"/>
  <c r="B725" i="12"/>
  <c r="E725" i="12"/>
  <c r="D725" i="12"/>
  <c r="C725" i="12"/>
  <c r="I740" i="12"/>
  <c r="G740" i="12"/>
  <c r="J740" i="12"/>
  <c r="H740" i="12"/>
  <c r="D757" i="12"/>
  <c r="H757" i="12"/>
  <c r="F757" i="12"/>
  <c r="E757" i="12"/>
  <c r="G757" i="12"/>
  <c r="J757" i="12"/>
  <c r="H758" i="12"/>
  <c r="D758" i="12"/>
  <c r="E758" i="12"/>
  <c r="F758" i="12"/>
  <c r="I758" i="12"/>
  <c r="G758" i="12"/>
  <c r="J758" i="12"/>
  <c r="E765" i="12"/>
  <c r="H765" i="12"/>
  <c r="B765" i="12"/>
  <c r="G765" i="12"/>
  <c r="D765" i="12"/>
  <c r="C765" i="12"/>
  <c r="F765" i="12"/>
  <c r="I768" i="12"/>
  <c r="G768" i="12"/>
  <c r="F768" i="12"/>
  <c r="H768" i="12"/>
  <c r="E768" i="12"/>
  <c r="F772" i="12"/>
  <c r="G772" i="12"/>
  <c r="E772" i="12"/>
  <c r="I772" i="12"/>
  <c r="H772" i="12"/>
  <c r="D775" i="12"/>
  <c r="C775" i="12"/>
  <c r="B775" i="12"/>
  <c r="H775" i="12"/>
  <c r="F775" i="12"/>
  <c r="G775" i="12"/>
  <c r="E775" i="12"/>
  <c r="J776" i="12"/>
  <c r="I776" i="12"/>
  <c r="G777" i="12"/>
  <c r="F777" i="12"/>
  <c r="E777" i="12"/>
  <c r="G782" i="12"/>
  <c r="J782" i="12"/>
  <c r="E782" i="12"/>
  <c r="I782" i="12"/>
  <c r="H782" i="12"/>
  <c r="D782" i="12"/>
  <c r="C782" i="12"/>
  <c r="F782" i="12"/>
  <c r="B782" i="12"/>
  <c r="E790" i="12"/>
  <c r="F790" i="12"/>
  <c r="G790" i="12"/>
  <c r="J790" i="12"/>
  <c r="D790" i="12"/>
  <c r="H790" i="12"/>
  <c r="I790" i="12"/>
  <c r="G616" i="12"/>
  <c r="H616" i="12"/>
  <c r="I616" i="12"/>
  <c r="H619" i="12"/>
  <c r="G619" i="12"/>
  <c r="J619" i="12"/>
  <c r="I619" i="12"/>
  <c r="E623" i="12"/>
  <c r="H623" i="12"/>
  <c r="I623" i="12"/>
  <c r="G623" i="12"/>
  <c r="F623" i="12"/>
  <c r="F624" i="12"/>
  <c r="H624" i="12"/>
  <c r="I624" i="12"/>
  <c r="J624" i="12"/>
  <c r="G624" i="12"/>
  <c r="H632" i="12"/>
  <c r="I632" i="12"/>
  <c r="G632" i="12"/>
  <c r="F632" i="12"/>
  <c r="F651" i="12"/>
  <c r="G651" i="12"/>
  <c r="H651" i="12"/>
  <c r="J651" i="12"/>
  <c r="D651" i="12"/>
  <c r="E651" i="12"/>
  <c r="F654" i="12"/>
  <c r="E654" i="12"/>
  <c r="G654" i="12"/>
  <c r="D654" i="12"/>
  <c r="I654" i="12"/>
  <c r="H654" i="12"/>
  <c r="J668" i="12"/>
  <c r="I668" i="12"/>
  <c r="J684" i="12"/>
  <c r="G684" i="12"/>
  <c r="I684" i="12"/>
  <c r="H684" i="12"/>
  <c r="E684" i="12"/>
  <c r="F684" i="12"/>
  <c r="H557" i="12"/>
  <c r="G557" i="12"/>
  <c r="I557" i="12"/>
  <c r="J557" i="12"/>
  <c r="N76" i="10"/>
  <c r="O76" i="10" a="1"/>
  <c r="O77" i="10" a="1"/>
  <c r="N77" i="10"/>
  <c r="O589" i="10" a="1"/>
  <c r="N589" i="10"/>
  <c r="O572" i="10" a="1"/>
  <c r="N572" i="10"/>
  <c r="O555" i="10" a="1"/>
  <c r="N555" i="10"/>
  <c r="I114" i="10"/>
  <c r="I87" i="10"/>
  <c r="I62" i="10"/>
  <c r="J994" i="12"/>
  <c r="C994" i="12"/>
  <c r="B994" i="12"/>
  <c r="D994" i="12"/>
  <c r="C996" i="12"/>
  <c r="B996" i="12"/>
  <c r="G908" i="12"/>
  <c r="B908" i="12"/>
  <c r="C908" i="12"/>
  <c r="D908" i="12"/>
  <c r="F908" i="12"/>
  <c r="J908" i="12"/>
  <c r="E908" i="12"/>
  <c r="H908" i="12"/>
  <c r="I908" i="12"/>
  <c r="I918" i="12"/>
  <c r="C918" i="12"/>
  <c r="B918" i="12"/>
  <c r="J935" i="12"/>
  <c r="D935" i="12"/>
  <c r="C935" i="12"/>
  <c r="B935" i="12"/>
  <c r="B938" i="12"/>
  <c r="D938" i="12"/>
  <c r="C938" i="12"/>
  <c r="B944" i="12"/>
  <c r="C944" i="12"/>
  <c r="J947" i="12"/>
  <c r="D947" i="12"/>
  <c r="B947" i="12"/>
  <c r="C947" i="12"/>
  <c r="J950" i="12"/>
  <c r="B950" i="12"/>
  <c r="C950" i="12"/>
  <c r="C951" i="12"/>
  <c r="G951" i="12"/>
  <c r="B951" i="12"/>
  <c r="D951" i="12"/>
  <c r="F951" i="12"/>
  <c r="E951" i="12"/>
  <c r="J953" i="12"/>
  <c r="G953" i="12"/>
  <c r="E953" i="12"/>
  <c r="B953" i="12"/>
  <c r="C953" i="12"/>
  <c r="F953" i="12"/>
  <c r="D953" i="12"/>
  <c r="C962" i="12"/>
  <c r="D962" i="12"/>
  <c r="E962" i="12"/>
  <c r="B962" i="12"/>
  <c r="C968" i="12"/>
  <c r="B968" i="12"/>
  <c r="J971" i="12"/>
  <c r="C971" i="12"/>
  <c r="B971" i="12"/>
  <c r="J985" i="12"/>
  <c r="C985" i="12"/>
  <c r="B985" i="12"/>
  <c r="D985" i="12"/>
  <c r="E989" i="12"/>
  <c r="F989" i="12"/>
  <c r="D989" i="12"/>
  <c r="C989" i="12"/>
  <c r="B989" i="12"/>
  <c r="G989" i="12"/>
  <c r="J899" i="12"/>
  <c r="B899" i="12"/>
  <c r="C899" i="12"/>
  <c r="B900" i="12"/>
  <c r="D900" i="12"/>
  <c r="C900" i="12"/>
  <c r="G811" i="12"/>
  <c r="B811" i="12"/>
  <c r="D811" i="12"/>
  <c r="J811" i="12"/>
  <c r="E811" i="12"/>
  <c r="C811" i="12"/>
  <c r="H811" i="12"/>
  <c r="F811" i="12"/>
  <c r="I811" i="12"/>
  <c r="B703" i="12"/>
  <c r="C703" i="12"/>
  <c r="D703" i="12"/>
  <c r="D621" i="12"/>
  <c r="B621" i="12"/>
  <c r="E621" i="12"/>
  <c r="C621" i="12"/>
  <c r="B628" i="12"/>
  <c r="C628" i="12"/>
  <c r="D628" i="12"/>
  <c r="C807" i="12"/>
  <c r="G807" i="12"/>
  <c r="F807" i="12"/>
  <c r="B807" i="12"/>
  <c r="E807" i="12"/>
  <c r="H807" i="12"/>
  <c r="D807" i="12"/>
  <c r="B817" i="12"/>
  <c r="F817" i="12"/>
  <c r="E817" i="12"/>
  <c r="G817" i="12"/>
  <c r="C817" i="12"/>
  <c r="D817" i="12"/>
  <c r="B822" i="12"/>
  <c r="D822" i="12"/>
  <c r="C822" i="12"/>
  <c r="E822" i="12"/>
  <c r="B826" i="12"/>
  <c r="E826" i="12"/>
  <c r="C826" i="12"/>
  <c r="D826" i="12"/>
  <c r="E827" i="12"/>
  <c r="G827" i="12"/>
  <c r="B827" i="12"/>
  <c r="F827" i="12"/>
  <c r="C827" i="12"/>
  <c r="D827" i="12"/>
  <c r="E837" i="12"/>
  <c r="D837" i="12"/>
  <c r="G837" i="12"/>
  <c r="C837" i="12"/>
  <c r="F837" i="12"/>
  <c r="B837" i="12"/>
  <c r="B839" i="12"/>
  <c r="C839" i="12"/>
  <c r="D857" i="12"/>
  <c r="C857" i="12"/>
  <c r="B857" i="12"/>
  <c r="J858" i="12"/>
  <c r="D858" i="12"/>
  <c r="B858" i="12"/>
  <c r="C858" i="12"/>
  <c r="E858" i="12"/>
  <c r="C860" i="12"/>
  <c r="B860" i="12"/>
  <c r="C864" i="12"/>
  <c r="E864" i="12"/>
  <c r="D864" i="12"/>
  <c r="B864" i="12"/>
  <c r="F864" i="12"/>
  <c r="H864" i="12"/>
  <c r="G864" i="12"/>
  <c r="D865" i="12"/>
  <c r="B865" i="12"/>
  <c r="G865" i="12"/>
  <c r="H865" i="12"/>
  <c r="E865" i="12"/>
  <c r="F865" i="12"/>
  <c r="C865" i="12"/>
  <c r="C866" i="12"/>
  <c r="B866" i="12"/>
  <c r="D866" i="12"/>
  <c r="C870" i="12"/>
  <c r="B870" i="12"/>
  <c r="J877" i="12"/>
  <c r="H877" i="12"/>
  <c r="D877" i="12"/>
  <c r="G877" i="12"/>
  <c r="I877" i="12"/>
  <c r="E877" i="12"/>
  <c r="F877" i="12"/>
  <c r="C877" i="12"/>
  <c r="B877" i="12"/>
  <c r="C892" i="12"/>
  <c r="E892" i="12"/>
  <c r="F892" i="12"/>
  <c r="D892" i="12"/>
  <c r="B892" i="12"/>
  <c r="J801" i="12"/>
  <c r="B801" i="12"/>
  <c r="C801" i="12"/>
  <c r="D801" i="12"/>
  <c r="G706" i="12"/>
  <c r="F706" i="12"/>
  <c r="D706" i="12"/>
  <c r="C706" i="12"/>
  <c r="H706" i="12"/>
  <c r="B706" i="12"/>
  <c r="E706" i="12"/>
  <c r="B719" i="12"/>
  <c r="C719" i="12"/>
  <c r="D719" i="12"/>
  <c r="J723" i="12"/>
  <c r="D723" i="12"/>
  <c r="B723" i="12"/>
  <c r="C723" i="12"/>
  <c r="E740" i="12"/>
  <c r="F740" i="12"/>
  <c r="C740" i="12"/>
  <c r="B740" i="12"/>
  <c r="D740" i="12"/>
  <c r="I757" i="12"/>
  <c r="B757" i="12"/>
  <c r="C757" i="12"/>
  <c r="B758" i="12"/>
  <c r="C758" i="12"/>
  <c r="C763" i="12"/>
  <c r="B763" i="12"/>
  <c r="D763" i="12"/>
  <c r="J768" i="12"/>
  <c r="D768" i="12"/>
  <c r="B768" i="12"/>
  <c r="C768" i="12"/>
  <c r="J772" i="12"/>
  <c r="B772" i="12"/>
  <c r="C772" i="12"/>
  <c r="D772" i="12"/>
  <c r="C776" i="12"/>
  <c r="F776" i="12"/>
  <c r="B776" i="12"/>
  <c r="G776" i="12"/>
  <c r="H776" i="12"/>
  <c r="E776" i="12"/>
  <c r="D776" i="12"/>
  <c r="C777" i="12"/>
  <c r="B777" i="12"/>
  <c r="D777" i="12"/>
  <c r="C790" i="12"/>
  <c r="B790" i="12"/>
  <c r="J616" i="12"/>
  <c r="E616" i="12"/>
  <c r="B616" i="12"/>
  <c r="C616" i="12"/>
  <c r="F616" i="12"/>
  <c r="D616" i="12"/>
  <c r="E619" i="12"/>
  <c r="C619" i="12"/>
  <c r="B619" i="12"/>
  <c r="D619" i="12"/>
  <c r="F619" i="12"/>
  <c r="J623" i="12"/>
  <c r="D623" i="12"/>
  <c r="B623" i="12"/>
  <c r="C623" i="12"/>
  <c r="E624" i="12"/>
  <c r="C624" i="12"/>
  <c r="D624" i="12"/>
  <c r="B624" i="12"/>
  <c r="J632" i="12"/>
  <c r="E632" i="12"/>
  <c r="D632" i="12"/>
  <c r="B632" i="12"/>
  <c r="C632" i="12"/>
  <c r="I651" i="12"/>
  <c r="C651" i="12"/>
  <c r="B651" i="12"/>
  <c r="D653" i="12"/>
  <c r="H653" i="12"/>
  <c r="B653" i="12"/>
  <c r="J653" i="12"/>
  <c r="G653" i="12"/>
  <c r="E653" i="12"/>
  <c r="F653" i="12"/>
  <c r="C653" i="12"/>
  <c r="I653" i="12"/>
  <c r="J654" i="12"/>
  <c r="B654" i="12"/>
  <c r="C654" i="12"/>
  <c r="C667" i="12"/>
  <c r="B667" i="12"/>
  <c r="G668" i="12"/>
  <c r="B668" i="12"/>
  <c r="D668" i="12"/>
  <c r="E668" i="12"/>
  <c r="F668" i="12"/>
  <c r="C668" i="12"/>
  <c r="H668" i="12"/>
  <c r="J669" i="12"/>
  <c r="C669" i="12"/>
  <c r="I669" i="12"/>
  <c r="F669" i="12"/>
  <c r="E669" i="12"/>
  <c r="G669" i="12"/>
  <c r="H669" i="12"/>
  <c r="D669" i="12"/>
  <c r="B669" i="12"/>
  <c r="B684" i="12"/>
  <c r="C684" i="12"/>
  <c r="D684" i="12"/>
  <c r="D690" i="12"/>
  <c r="B690" i="12"/>
  <c r="F690" i="12"/>
  <c r="C690" i="12"/>
  <c r="E690" i="12"/>
  <c r="B557" i="12"/>
  <c r="F557" i="12"/>
  <c r="E557" i="12"/>
  <c r="C557" i="12"/>
  <c r="D557" i="12"/>
  <c r="B561" i="12"/>
  <c r="E561" i="12"/>
  <c r="G561" i="12"/>
  <c r="I561" i="12"/>
  <c r="F561" i="12"/>
  <c r="D561" i="12"/>
  <c r="C561" i="12"/>
  <c r="J561" i="12"/>
  <c r="H561" i="12"/>
  <c r="H601" i="12"/>
  <c r="G601" i="12"/>
  <c r="C601" i="12"/>
  <c r="F601" i="12"/>
  <c r="E601" i="12"/>
  <c r="B601" i="12"/>
  <c r="D601" i="12"/>
  <c r="E604" i="12"/>
  <c r="F604" i="12"/>
  <c r="D604" i="12"/>
  <c r="C604" i="12"/>
  <c r="B604" i="12"/>
  <c r="E571" i="12"/>
  <c r="B571" i="12"/>
  <c r="I571" i="12"/>
  <c r="C571" i="12"/>
  <c r="F571" i="12"/>
  <c r="H571" i="12"/>
  <c r="G571" i="12"/>
  <c r="J571" i="12"/>
  <c r="D571" i="12"/>
  <c r="D578" i="12"/>
  <c r="C578" i="12"/>
  <c r="B578" i="12"/>
  <c r="E580" i="12"/>
  <c r="C580" i="12"/>
  <c r="D580" i="12"/>
  <c r="B580" i="12"/>
  <c r="C581" i="12"/>
  <c r="D581" i="12"/>
  <c r="E581" i="12"/>
  <c r="B581" i="12"/>
  <c r="B583" i="12"/>
  <c r="D583" i="12"/>
  <c r="F583" i="12"/>
  <c r="C583" i="12"/>
  <c r="G583" i="12"/>
  <c r="E583" i="12"/>
  <c r="H586" i="12"/>
  <c r="F586" i="12"/>
  <c r="D586" i="12"/>
  <c r="B586" i="12"/>
  <c r="E586" i="12"/>
  <c r="C586" i="12"/>
  <c r="F587" i="12"/>
  <c r="C587" i="12"/>
  <c r="B587" i="12"/>
  <c r="E587" i="12"/>
  <c r="J587" i="12"/>
  <c r="G587" i="12"/>
  <c r="D587" i="12"/>
  <c r="H587" i="12"/>
  <c r="I587" i="12"/>
  <c r="J593" i="12"/>
  <c r="D593" i="12"/>
  <c r="F593" i="12"/>
  <c r="G593" i="12"/>
  <c r="I593" i="12"/>
  <c r="E593" i="12"/>
  <c r="C593" i="12"/>
  <c r="B593" i="12"/>
  <c r="H593" i="12"/>
  <c r="F411" i="12"/>
  <c r="D411" i="12"/>
  <c r="G411" i="12"/>
  <c r="E411" i="12"/>
  <c r="B411" i="12"/>
  <c r="I411" i="12"/>
  <c r="J411" i="12"/>
  <c r="H411" i="12"/>
  <c r="C411" i="12"/>
  <c r="C421" i="12"/>
  <c r="B421" i="12"/>
  <c r="B423" i="12"/>
  <c r="C423" i="12"/>
  <c r="D423" i="12"/>
  <c r="B427" i="12"/>
  <c r="C427" i="12"/>
  <c r="D427" i="12"/>
  <c r="B434" i="12"/>
  <c r="D434" i="12"/>
  <c r="F434" i="12"/>
  <c r="H434" i="12"/>
  <c r="G434" i="12"/>
  <c r="E434" i="12"/>
  <c r="C434" i="12"/>
  <c r="C435" i="12"/>
  <c r="B435" i="12"/>
  <c r="C438" i="12"/>
  <c r="B438" i="12"/>
  <c r="F438" i="12"/>
  <c r="H438" i="12"/>
  <c r="J438" i="12"/>
  <c r="E438" i="12"/>
  <c r="I438" i="12"/>
  <c r="D438" i="12"/>
  <c r="G438" i="12"/>
  <c r="B440" i="12"/>
  <c r="C440" i="12"/>
  <c r="B442" i="12"/>
  <c r="E442" i="12"/>
  <c r="D442" i="12"/>
  <c r="H442" i="12"/>
  <c r="G442" i="12"/>
  <c r="F442" i="12"/>
  <c r="C442" i="12"/>
  <c r="I445" i="12"/>
  <c r="J445" i="12"/>
  <c r="G445" i="12"/>
  <c r="E445" i="12"/>
  <c r="D445" i="12"/>
  <c r="C445" i="12"/>
  <c r="B445" i="12"/>
  <c r="H445" i="12"/>
  <c r="F445" i="12"/>
  <c r="F448" i="12"/>
  <c r="C448" i="12"/>
  <c r="B448" i="12"/>
  <c r="D448" i="12"/>
  <c r="G448" i="12"/>
  <c r="E448" i="12"/>
  <c r="D453" i="12"/>
  <c r="E453" i="12"/>
  <c r="H453" i="12"/>
  <c r="G453" i="12"/>
  <c r="B453" i="12"/>
  <c r="C453" i="12"/>
  <c r="F453" i="12"/>
  <c r="E454" i="12"/>
  <c r="D454" i="12"/>
  <c r="F454" i="12"/>
  <c r="C454" i="12"/>
  <c r="B454" i="12"/>
  <c r="C456" i="12"/>
  <c r="B456" i="12"/>
  <c r="C458" i="12"/>
  <c r="E458" i="12"/>
  <c r="G458" i="12"/>
  <c r="J458" i="12"/>
  <c r="H458" i="12"/>
  <c r="F458" i="12"/>
  <c r="B458" i="12"/>
  <c r="D458" i="12"/>
  <c r="I458" i="12"/>
  <c r="C465" i="12"/>
  <c r="E465" i="12"/>
  <c r="G465" i="12"/>
  <c r="B465" i="12"/>
  <c r="D465" i="12"/>
  <c r="F465" i="12"/>
  <c r="B468" i="12"/>
  <c r="G468" i="12"/>
  <c r="H468" i="12"/>
  <c r="F468" i="12"/>
  <c r="D468" i="12"/>
  <c r="E468" i="12"/>
  <c r="C468" i="12"/>
  <c r="B462" i="12"/>
  <c r="C462" i="12"/>
  <c r="O319" i="10" a="1"/>
  <c r="N319" i="10"/>
  <c r="J495" i="11"/>
  <c r="E495" i="11"/>
  <c r="I495" i="11"/>
  <c r="G495" i="11"/>
  <c r="D495" i="11"/>
  <c r="C495" i="11"/>
  <c r="B495" i="11"/>
  <c r="C494" i="11"/>
  <c r="B494" i="11"/>
  <c r="J494" i="11"/>
  <c r="I494" i="11"/>
  <c r="G494" i="11"/>
  <c r="E494" i="11"/>
  <c r="D494" i="11"/>
  <c r="G492" i="11"/>
  <c r="I492" i="11"/>
  <c r="J492" i="11"/>
  <c r="C492" i="11"/>
  <c r="D492" i="11"/>
  <c r="E492" i="11"/>
  <c r="B492" i="11"/>
  <c r="J491" i="11"/>
  <c r="B491" i="11"/>
  <c r="C491" i="11"/>
  <c r="D491" i="11"/>
  <c r="I491" i="11"/>
  <c r="G491" i="11"/>
  <c r="E491" i="11"/>
  <c r="I490" i="11"/>
  <c r="D490" i="11"/>
  <c r="G490" i="11"/>
  <c r="B490" i="11"/>
  <c r="C490" i="11"/>
  <c r="J490" i="11"/>
  <c r="E490" i="11"/>
  <c r="E489" i="11"/>
  <c r="B489" i="11"/>
  <c r="D489" i="11"/>
  <c r="C489" i="11"/>
  <c r="J489" i="11"/>
  <c r="G489" i="11"/>
  <c r="I489" i="11"/>
  <c r="G488" i="11"/>
  <c r="I488" i="11"/>
  <c r="J488" i="11"/>
  <c r="D488" i="11"/>
  <c r="B488" i="11"/>
  <c r="E488" i="11"/>
  <c r="C488" i="11"/>
  <c r="G487" i="11"/>
  <c r="D487" i="11"/>
  <c r="E487" i="11"/>
  <c r="B487" i="11"/>
  <c r="C487" i="11"/>
  <c r="J487" i="11"/>
  <c r="I487" i="11"/>
  <c r="C486" i="11"/>
  <c r="D486" i="11"/>
  <c r="J486" i="11"/>
  <c r="I486" i="11"/>
  <c r="E486" i="11"/>
  <c r="G486" i="11"/>
  <c r="B486" i="11"/>
  <c r="G485" i="11"/>
  <c r="E485" i="11"/>
  <c r="B485" i="11"/>
  <c r="J485" i="11"/>
  <c r="I485" i="11"/>
  <c r="D485" i="11"/>
  <c r="C485" i="11"/>
  <c r="E476" i="11"/>
  <c r="B476" i="11"/>
  <c r="C476" i="11"/>
  <c r="I476" i="11"/>
  <c r="D476" i="11"/>
  <c r="F476" i="11" s="1"/>
  <c r="J476" i="11"/>
  <c r="G476" i="11"/>
  <c r="I470" i="11"/>
  <c r="E470" i="11"/>
  <c r="C470" i="11"/>
  <c r="B470" i="11"/>
  <c r="D470" i="11"/>
  <c r="G470" i="11"/>
  <c r="J470" i="11"/>
  <c r="B469" i="11"/>
  <c r="G469" i="11"/>
  <c r="D469" i="11"/>
  <c r="E469" i="11"/>
  <c r="C469" i="11"/>
  <c r="J469" i="11"/>
  <c r="I469" i="11"/>
  <c r="C463" i="11"/>
  <c r="B463" i="11"/>
  <c r="D463" i="11"/>
  <c r="G463" i="11"/>
  <c r="I463" i="11"/>
  <c r="J463" i="11"/>
  <c r="E463" i="11"/>
  <c r="J462" i="11"/>
  <c r="I462" i="11"/>
  <c r="G462" i="11"/>
  <c r="C462" i="11"/>
  <c r="E462" i="11"/>
  <c r="B462" i="11"/>
  <c r="D462" i="11"/>
  <c r="G460" i="11"/>
  <c r="J460" i="11"/>
  <c r="I460" i="11"/>
  <c r="B460" i="11"/>
  <c r="D460" i="11"/>
  <c r="E460" i="11"/>
  <c r="C460" i="11"/>
  <c r="D459" i="11"/>
  <c r="J459" i="11"/>
  <c r="C459" i="11"/>
  <c r="G459" i="11"/>
  <c r="B459" i="11"/>
  <c r="I459" i="11"/>
  <c r="E459" i="11"/>
  <c r="C457" i="11"/>
  <c r="B457" i="11"/>
  <c r="D457" i="11"/>
  <c r="G457" i="11"/>
  <c r="J457" i="11"/>
  <c r="E457" i="11"/>
  <c r="I457" i="11"/>
  <c r="D456" i="11"/>
  <c r="G456" i="11"/>
  <c r="B456" i="11"/>
  <c r="C456" i="11"/>
  <c r="E456" i="11"/>
  <c r="I456" i="11"/>
  <c r="J456" i="11"/>
  <c r="J455" i="11"/>
  <c r="G455" i="11"/>
  <c r="B455" i="11"/>
  <c r="C455" i="11"/>
  <c r="D455" i="11"/>
  <c r="E455" i="11"/>
  <c r="I455" i="11"/>
  <c r="J453" i="11"/>
  <c r="I453" i="11"/>
  <c r="G453" i="11"/>
  <c r="B453" i="11"/>
  <c r="C453" i="11"/>
  <c r="E453" i="11"/>
  <c r="D453" i="11"/>
  <c r="I424" i="11"/>
  <c r="J424" i="11"/>
  <c r="B424" i="11"/>
  <c r="C424" i="11"/>
  <c r="D424" i="11"/>
  <c r="E424" i="11"/>
  <c r="G424" i="11"/>
  <c r="J380" i="11"/>
  <c r="E380" i="11"/>
  <c r="C380" i="11"/>
  <c r="D380" i="11"/>
  <c r="I380" i="11"/>
  <c r="B380" i="11"/>
  <c r="G380" i="11"/>
  <c r="D319" i="11"/>
  <c r="E319" i="11"/>
  <c r="G319" i="11"/>
  <c r="B319" i="11"/>
  <c r="I319" i="11"/>
  <c r="C319" i="11"/>
  <c r="J319" i="11"/>
  <c r="E279" i="11"/>
  <c r="C279" i="11"/>
  <c r="B279" i="11"/>
  <c r="I279" i="11"/>
  <c r="D279" i="11"/>
  <c r="G279" i="11"/>
  <c r="J279" i="11"/>
  <c r="C261" i="11"/>
  <c r="I261" i="11"/>
  <c r="B261" i="11"/>
  <c r="D261" i="11"/>
  <c r="E261" i="11"/>
  <c r="G261" i="11"/>
  <c r="J261" i="11"/>
  <c r="G252" i="11"/>
  <c r="D252" i="11"/>
  <c r="B252" i="11"/>
  <c r="J252" i="11"/>
  <c r="I252" i="11"/>
  <c r="C252" i="11"/>
  <c r="E252" i="11"/>
  <c r="J249" i="11"/>
  <c r="I249" i="11"/>
  <c r="C249" i="11"/>
  <c r="E249" i="11"/>
  <c r="G249" i="11"/>
  <c r="D249" i="11"/>
  <c r="B249" i="11"/>
  <c r="E247" i="11"/>
  <c r="G247" i="11"/>
  <c r="I247" i="11"/>
  <c r="J247" i="11"/>
  <c r="C247" i="11"/>
  <c r="D247" i="11"/>
  <c r="B247" i="11"/>
  <c r="E238" i="11"/>
  <c r="G238" i="11"/>
  <c r="I238" i="11"/>
  <c r="J238" i="11"/>
  <c r="B238" i="11"/>
  <c r="C238" i="11"/>
  <c r="D238" i="11"/>
  <c r="I214" i="11"/>
  <c r="C214" i="11"/>
  <c r="G214" i="11"/>
  <c r="J214" i="11"/>
  <c r="E214" i="11"/>
  <c r="D214" i="11"/>
  <c r="B214" i="11"/>
  <c r="I601" i="12"/>
  <c r="J601" i="12"/>
  <c r="H604" i="12"/>
  <c r="G604" i="12"/>
  <c r="I604" i="12"/>
  <c r="J604" i="12"/>
  <c r="B506" i="12"/>
  <c r="H506" i="12"/>
  <c r="F506" i="12"/>
  <c r="C506" i="12"/>
  <c r="E506" i="12"/>
  <c r="D506" i="12"/>
  <c r="J506" i="12"/>
  <c r="G506" i="12"/>
  <c r="I506" i="12"/>
  <c r="H510" i="12"/>
  <c r="F510" i="12"/>
  <c r="C510" i="12"/>
  <c r="E510" i="12"/>
  <c r="I510" i="12"/>
  <c r="G510" i="12"/>
  <c r="D510" i="12"/>
  <c r="B510" i="12"/>
  <c r="J510" i="12"/>
  <c r="H512" i="12"/>
  <c r="D512" i="12"/>
  <c r="I512" i="12"/>
  <c r="J512" i="12"/>
  <c r="G512" i="12"/>
  <c r="F512" i="12"/>
  <c r="C512" i="12"/>
  <c r="B512" i="12"/>
  <c r="E512" i="12"/>
  <c r="D515" i="12"/>
  <c r="C515" i="12"/>
  <c r="B515" i="12"/>
  <c r="F515" i="12"/>
  <c r="H515" i="12"/>
  <c r="G515" i="12"/>
  <c r="J515" i="12"/>
  <c r="I515" i="12"/>
  <c r="E515" i="12"/>
  <c r="B517" i="12"/>
  <c r="J517" i="12"/>
  <c r="I517" i="12"/>
  <c r="F517" i="12"/>
  <c r="E517" i="12"/>
  <c r="C517" i="12"/>
  <c r="H517" i="12"/>
  <c r="G517" i="12"/>
  <c r="D517" i="12"/>
  <c r="F520" i="12"/>
  <c r="E520" i="12"/>
  <c r="G520" i="12"/>
  <c r="J520" i="12"/>
  <c r="D520" i="12"/>
  <c r="I520" i="12"/>
  <c r="C520" i="12"/>
  <c r="H520" i="12"/>
  <c r="B520" i="12"/>
  <c r="J521" i="12"/>
  <c r="F521" i="12"/>
  <c r="B521" i="12"/>
  <c r="C521" i="12"/>
  <c r="E521" i="12"/>
  <c r="D521" i="12"/>
  <c r="G521" i="12"/>
  <c r="H521" i="12"/>
  <c r="I521" i="12"/>
  <c r="F524" i="12"/>
  <c r="E524" i="12"/>
  <c r="C524" i="12"/>
  <c r="H524" i="12"/>
  <c r="I524" i="12"/>
  <c r="J524" i="12"/>
  <c r="B524" i="12"/>
  <c r="D524" i="12"/>
  <c r="G524" i="12"/>
  <c r="E528" i="12"/>
  <c r="H528" i="12"/>
  <c r="B528" i="12"/>
  <c r="D528" i="12"/>
  <c r="C528" i="12"/>
  <c r="G528" i="12"/>
  <c r="F528" i="12"/>
  <c r="I528" i="12"/>
  <c r="J528" i="12"/>
  <c r="J529" i="12"/>
  <c r="F529" i="12"/>
  <c r="D529" i="12"/>
  <c r="I529" i="12"/>
  <c r="E529" i="12"/>
  <c r="C529" i="12"/>
  <c r="H529" i="12"/>
  <c r="G529" i="12"/>
  <c r="B529" i="12"/>
  <c r="J531" i="12"/>
  <c r="F531" i="12"/>
  <c r="B531" i="12"/>
  <c r="G531" i="12"/>
  <c r="I531" i="12"/>
  <c r="C531" i="12"/>
  <c r="D531" i="12"/>
  <c r="H531" i="12"/>
  <c r="E531" i="12"/>
  <c r="G533" i="12"/>
  <c r="D533" i="12"/>
  <c r="J533" i="12"/>
  <c r="H533" i="12"/>
  <c r="E533" i="12"/>
  <c r="B533" i="12"/>
  <c r="C533" i="12"/>
  <c r="F533" i="12"/>
  <c r="I533" i="12"/>
  <c r="I534" i="12"/>
  <c r="G534" i="12"/>
  <c r="J534" i="12"/>
  <c r="H534" i="12"/>
  <c r="B534" i="12"/>
  <c r="D534" i="12"/>
  <c r="F534" i="12"/>
  <c r="E534" i="12"/>
  <c r="C534" i="12"/>
  <c r="D536" i="12"/>
  <c r="I536" i="12"/>
  <c r="J536" i="12"/>
  <c r="B536" i="12"/>
  <c r="C536" i="12"/>
  <c r="E536" i="12"/>
  <c r="G536" i="12"/>
  <c r="F536" i="12"/>
  <c r="H536" i="12"/>
  <c r="D538" i="12"/>
  <c r="E538" i="12"/>
  <c r="I538" i="12"/>
  <c r="H538" i="12"/>
  <c r="G538" i="12"/>
  <c r="F538" i="12"/>
  <c r="C538" i="12"/>
  <c r="J538" i="12"/>
  <c r="B538" i="12"/>
  <c r="I543" i="12"/>
  <c r="D543" i="12"/>
  <c r="C543" i="12"/>
  <c r="F543" i="12"/>
  <c r="B543" i="12"/>
  <c r="E543" i="12"/>
  <c r="H543" i="12"/>
  <c r="G543" i="12"/>
  <c r="J543" i="12"/>
  <c r="I544" i="12"/>
  <c r="J544" i="12"/>
  <c r="H544" i="12"/>
  <c r="C544" i="12"/>
  <c r="B544" i="12"/>
  <c r="D544" i="12"/>
  <c r="G544" i="12"/>
  <c r="E544" i="12"/>
  <c r="F544" i="12"/>
  <c r="H545" i="12"/>
  <c r="E545" i="12"/>
  <c r="D545" i="12"/>
  <c r="G545" i="12"/>
  <c r="J545" i="12"/>
  <c r="B545" i="12"/>
  <c r="C545" i="12"/>
  <c r="F545" i="12"/>
  <c r="I545" i="12"/>
  <c r="I555" i="12"/>
  <c r="D555" i="12"/>
  <c r="B555" i="12"/>
  <c r="G555" i="12"/>
  <c r="J555" i="12"/>
  <c r="H555" i="12"/>
  <c r="E555" i="12"/>
  <c r="C555" i="12"/>
  <c r="F555" i="12"/>
  <c r="H573" i="12"/>
  <c r="C573" i="12"/>
  <c r="I573" i="12"/>
  <c r="J573" i="12"/>
  <c r="B573" i="12"/>
  <c r="D573" i="12"/>
  <c r="F573" i="12"/>
  <c r="E573" i="12"/>
  <c r="G573" i="12"/>
  <c r="I578" i="12"/>
  <c r="J578" i="12"/>
  <c r="H578" i="12"/>
  <c r="F578" i="12"/>
  <c r="E578" i="12"/>
  <c r="G578" i="12"/>
  <c r="H580" i="12"/>
  <c r="I580" i="12"/>
  <c r="G580" i="12"/>
  <c r="F580" i="12"/>
  <c r="J580" i="12"/>
  <c r="G581" i="12"/>
  <c r="H581" i="12"/>
  <c r="I581" i="12"/>
  <c r="F581" i="12"/>
  <c r="J581" i="12"/>
  <c r="I583" i="12"/>
  <c r="J583" i="12"/>
  <c r="H583" i="12"/>
  <c r="J586" i="12"/>
  <c r="I586" i="12"/>
  <c r="G586" i="12"/>
  <c r="C496" i="12"/>
  <c r="G496" i="12"/>
  <c r="J496" i="12"/>
  <c r="B496" i="12"/>
  <c r="E496" i="12"/>
  <c r="F496" i="12"/>
  <c r="H496" i="12"/>
  <c r="I496" i="12"/>
  <c r="D496" i="12"/>
  <c r="G504" i="12"/>
  <c r="E504" i="12"/>
  <c r="C504" i="12"/>
  <c r="B504" i="12"/>
  <c r="F504" i="12"/>
  <c r="I504" i="12"/>
  <c r="D504" i="12"/>
  <c r="J504" i="12"/>
  <c r="H504" i="12"/>
  <c r="E505" i="12"/>
  <c r="C505" i="12"/>
  <c r="I505" i="12"/>
  <c r="H505" i="12"/>
  <c r="G505" i="12"/>
  <c r="F505" i="12"/>
  <c r="D505" i="12"/>
  <c r="B505" i="12"/>
  <c r="J505" i="12"/>
  <c r="D406" i="12"/>
  <c r="B406" i="12"/>
  <c r="F406" i="12"/>
  <c r="G406" i="12"/>
  <c r="H406" i="12"/>
  <c r="I406" i="12"/>
  <c r="J406" i="12"/>
  <c r="C406" i="12"/>
  <c r="E406" i="12"/>
  <c r="I421" i="12"/>
  <c r="D421" i="12"/>
  <c r="J421" i="12"/>
  <c r="F421" i="12"/>
  <c r="H421" i="12"/>
  <c r="E421" i="12"/>
  <c r="G421" i="12"/>
  <c r="F423" i="12"/>
  <c r="H423" i="12"/>
  <c r="J423" i="12"/>
  <c r="G423" i="12"/>
  <c r="E423" i="12"/>
  <c r="I423" i="12"/>
  <c r="J427" i="12"/>
  <c r="E427" i="12"/>
  <c r="G427" i="12"/>
  <c r="I427" i="12"/>
  <c r="H427" i="12"/>
  <c r="F427" i="12"/>
  <c r="E432" i="12"/>
  <c r="F432" i="12"/>
  <c r="I432" i="12"/>
  <c r="B432" i="12"/>
  <c r="J432" i="12"/>
  <c r="H432" i="12"/>
  <c r="C432" i="12"/>
  <c r="G432" i="12"/>
  <c r="D432" i="12"/>
  <c r="I434" i="12"/>
  <c r="J434" i="12"/>
  <c r="F435" i="12"/>
  <c r="D435" i="12"/>
  <c r="G435" i="12"/>
  <c r="E435" i="12"/>
  <c r="I435" i="12"/>
  <c r="H435" i="12"/>
  <c r="J435" i="12"/>
  <c r="J440" i="12"/>
  <c r="D440" i="12"/>
  <c r="F440" i="12"/>
  <c r="H440" i="12"/>
  <c r="I440" i="12"/>
  <c r="G440" i="12"/>
  <c r="E440" i="12"/>
  <c r="J442" i="12"/>
  <c r="I442" i="12"/>
  <c r="H448" i="12"/>
  <c r="I448" i="12"/>
  <c r="J448" i="12"/>
  <c r="I453" i="12"/>
  <c r="J453" i="12"/>
  <c r="H454" i="12"/>
  <c r="J454" i="12"/>
  <c r="G454" i="12"/>
  <c r="I454" i="12"/>
  <c r="I456" i="12"/>
  <c r="D456" i="12"/>
  <c r="J456" i="12"/>
  <c r="F456" i="12"/>
  <c r="E456" i="12"/>
  <c r="G456" i="12"/>
  <c r="H456" i="12"/>
  <c r="J465" i="12"/>
  <c r="H465" i="12"/>
  <c r="I465" i="12"/>
  <c r="I468" i="12"/>
  <c r="J468" i="12"/>
  <c r="J479" i="12"/>
  <c r="I479" i="12"/>
  <c r="F479" i="12"/>
  <c r="C479" i="12"/>
  <c r="G479" i="12"/>
  <c r="D479" i="12"/>
  <c r="H479" i="12"/>
  <c r="E479" i="12"/>
  <c r="B479" i="12"/>
  <c r="I484" i="12"/>
  <c r="G484" i="12"/>
  <c r="F484" i="12"/>
  <c r="E484" i="12"/>
  <c r="D484" i="12"/>
  <c r="B484" i="12"/>
  <c r="H484" i="12"/>
  <c r="C484" i="12"/>
  <c r="J484" i="12"/>
  <c r="E487" i="12"/>
  <c r="G487" i="12"/>
  <c r="F487" i="12"/>
  <c r="H487" i="12"/>
  <c r="I487" i="12"/>
  <c r="B487" i="12"/>
  <c r="C487" i="12"/>
  <c r="D487" i="12"/>
  <c r="J487" i="12"/>
  <c r="B491" i="12"/>
  <c r="E491" i="12"/>
  <c r="H491" i="12"/>
  <c r="F491" i="12"/>
  <c r="D491" i="12"/>
  <c r="G491" i="12"/>
  <c r="I491" i="12"/>
  <c r="J491" i="12"/>
  <c r="C491" i="12"/>
  <c r="E492" i="12"/>
  <c r="C492" i="12"/>
  <c r="B492" i="12"/>
  <c r="H492" i="12"/>
  <c r="J492" i="12"/>
  <c r="F492" i="12"/>
  <c r="I492" i="12"/>
  <c r="G492" i="12"/>
  <c r="D492" i="12"/>
  <c r="D394" i="12"/>
  <c r="H394" i="12"/>
  <c r="E394" i="12"/>
  <c r="C394" i="12"/>
  <c r="J394" i="12"/>
  <c r="F394" i="12"/>
  <c r="B394" i="12"/>
  <c r="I394" i="12"/>
  <c r="G394" i="12"/>
  <c r="G398" i="12"/>
  <c r="D398" i="12"/>
  <c r="I398" i="12"/>
  <c r="J398" i="12"/>
  <c r="F398" i="12"/>
  <c r="E398" i="12"/>
  <c r="C398" i="12"/>
  <c r="H398" i="12"/>
  <c r="B398" i="12"/>
  <c r="D399" i="12"/>
  <c r="C399" i="12"/>
  <c r="G399" i="12"/>
  <c r="I399" i="12"/>
  <c r="H399" i="12"/>
  <c r="J399" i="12"/>
  <c r="F399" i="12"/>
  <c r="B399" i="12"/>
  <c r="E399" i="12"/>
  <c r="D402" i="12"/>
  <c r="C402" i="12"/>
  <c r="H402" i="12"/>
  <c r="E402" i="12"/>
  <c r="G402" i="12"/>
  <c r="I402" i="12"/>
  <c r="F402" i="12"/>
  <c r="J402" i="12"/>
  <c r="B402" i="12"/>
  <c r="J403" i="12"/>
  <c r="E403" i="12"/>
  <c r="C403" i="12"/>
  <c r="G403" i="12"/>
  <c r="I403" i="12"/>
  <c r="D403" i="12"/>
  <c r="F403" i="12"/>
  <c r="H403" i="12"/>
  <c r="B403" i="12"/>
  <c r="F404" i="12"/>
  <c r="I404" i="12"/>
  <c r="B404" i="12"/>
  <c r="G404" i="12"/>
  <c r="C404" i="12"/>
  <c r="D404" i="12"/>
  <c r="H404" i="12"/>
  <c r="J404" i="12"/>
  <c r="E404" i="12"/>
  <c r="H311" i="12"/>
  <c r="B311" i="12"/>
  <c r="E311" i="12"/>
  <c r="F311" i="12"/>
  <c r="C311" i="12"/>
  <c r="G311" i="12"/>
  <c r="I311" i="12"/>
  <c r="J311" i="12"/>
  <c r="D311" i="12"/>
  <c r="J316" i="12"/>
  <c r="G316" i="12"/>
  <c r="C316" i="12"/>
  <c r="B316" i="12"/>
  <c r="F316" i="12"/>
  <c r="I316" i="12"/>
  <c r="D316" i="12"/>
  <c r="E316" i="12"/>
  <c r="H316" i="12"/>
  <c r="D322" i="12"/>
  <c r="E322" i="12"/>
  <c r="J322" i="12"/>
  <c r="I322" i="12"/>
  <c r="F322" i="12"/>
  <c r="H322" i="12"/>
  <c r="C322" i="12"/>
  <c r="G322" i="12"/>
  <c r="B322" i="12"/>
  <c r="B328" i="12"/>
  <c r="F328" i="12"/>
  <c r="D328" i="12"/>
  <c r="E328" i="12"/>
  <c r="J328" i="12"/>
  <c r="H328" i="12"/>
  <c r="C328" i="12"/>
  <c r="G328" i="12"/>
  <c r="I328" i="12"/>
  <c r="D333" i="12"/>
  <c r="G333" i="12"/>
  <c r="C333" i="12"/>
  <c r="F333" i="12"/>
  <c r="E333" i="12"/>
  <c r="I333" i="12"/>
  <c r="B333" i="12"/>
  <c r="H333" i="12"/>
  <c r="J333" i="12"/>
  <c r="H334" i="12"/>
  <c r="G334" i="12"/>
  <c r="E334" i="12"/>
  <c r="F334" i="12"/>
  <c r="C334" i="12"/>
  <c r="D334" i="12"/>
  <c r="J334" i="12"/>
  <c r="I334" i="12"/>
  <c r="B334" i="12"/>
  <c r="J337" i="12"/>
  <c r="C337" i="12"/>
  <c r="I337" i="12"/>
  <c r="F337" i="12"/>
  <c r="H337" i="12"/>
  <c r="D337" i="12"/>
  <c r="G337" i="12"/>
  <c r="B337" i="12"/>
  <c r="E337" i="12"/>
  <c r="D342" i="12"/>
  <c r="H342" i="12"/>
  <c r="C342" i="12"/>
  <c r="I342" i="12"/>
  <c r="F342" i="12"/>
  <c r="J342" i="12"/>
  <c r="G342" i="12"/>
  <c r="E342" i="12"/>
  <c r="B342" i="12"/>
  <c r="C344" i="12"/>
  <c r="B344" i="12"/>
  <c r="D344" i="12"/>
  <c r="F344" i="12"/>
  <c r="I344" i="12"/>
  <c r="H344" i="12"/>
  <c r="E344" i="12"/>
  <c r="J344" i="12"/>
  <c r="G344" i="12"/>
  <c r="H345" i="12"/>
  <c r="E345" i="12"/>
  <c r="I345" i="12"/>
  <c r="F345" i="12"/>
  <c r="D345" i="12"/>
  <c r="C345" i="12"/>
  <c r="G345" i="12"/>
  <c r="B345" i="12"/>
  <c r="J345" i="12"/>
  <c r="G346" i="12"/>
  <c r="C346" i="12"/>
  <c r="B346" i="12"/>
  <c r="I346" i="12"/>
  <c r="E346" i="12"/>
  <c r="J346" i="12"/>
  <c r="H346" i="12"/>
  <c r="F346" i="12"/>
  <c r="D346" i="12"/>
  <c r="C355" i="12"/>
  <c r="H355" i="12"/>
  <c r="I355" i="12"/>
  <c r="E355" i="12"/>
  <c r="F355" i="12"/>
  <c r="B355" i="12"/>
  <c r="J355" i="12"/>
  <c r="D355" i="12"/>
  <c r="G355" i="12"/>
  <c r="H356" i="12"/>
  <c r="E356" i="12"/>
  <c r="I356" i="12"/>
  <c r="F356" i="12"/>
  <c r="J356" i="12"/>
  <c r="C356" i="12"/>
  <c r="G356" i="12"/>
  <c r="D356" i="12"/>
  <c r="B356" i="12"/>
  <c r="I359" i="12"/>
  <c r="H359" i="12"/>
  <c r="E359" i="12"/>
  <c r="J359" i="12"/>
  <c r="G359" i="12"/>
  <c r="F359" i="12"/>
  <c r="B359" i="12"/>
  <c r="D359" i="12"/>
  <c r="C359" i="12"/>
  <c r="J360" i="12"/>
  <c r="G360" i="12"/>
  <c r="E360" i="12"/>
  <c r="I360" i="12"/>
  <c r="B360" i="12"/>
  <c r="C360" i="12"/>
  <c r="F360" i="12"/>
  <c r="D360" i="12"/>
  <c r="H360" i="12"/>
  <c r="I364" i="12"/>
  <c r="J364" i="12"/>
  <c r="H364" i="12"/>
  <c r="D364" i="12"/>
  <c r="B364" i="12"/>
  <c r="C364" i="12"/>
  <c r="G364" i="12"/>
  <c r="F364" i="12"/>
  <c r="E364" i="12"/>
  <c r="F370" i="12"/>
  <c r="B370" i="12"/>
  <c r="J370" i="12"/>
  <c r="H370" i="12"/>
  <c r="D370" i="12"/>
  <c r="I370" i="12"/>
  <c r="G370" i="12"/>
  <c r="E370" i="12"/>
  <c r="C370" i="12"/>
  <c r="J377" i="12"/>
  <c r="C377" i="12"/>
  <c r="F377" i="12"/>
  <c r="H377" i="12"/>
  <c r="G377" i="12"/>
  <c r="D377" i="12"/>
  <c r="B377" i="12"/>
  <c r="E377" i="12"/>
  <c r="I377" i="12"/>
  <c r="C379" i="12"/>
  <c r="B379" i="12"/>
  <c r="I379" i="12"/>
  <c r="F379" i="12"/>
  <c r="J379" i="12"/>
  <c r="H379" i="12"/>
  <c r="E379" i="12"/>
  <c r="D379" i="12"/>
  <c r="G379" i="12"/>
  <c r="E382" i="12"/>
  <c r="J382" i="12"/>
  <c r="I382" i="12"/>
  <c r="G382" i="12"/>
  <c r="C382" i="12"/>
  <c r="B382" i="12"/>
  <c r="D382" i="12"/>
  <c r="F382" i="12"/>
  <c r="H382" i="12"/>
  <c r="C144" i="12"/>
  <c r="E144" i="12"/>
  <c r="B144" i="12"/>
  <c r="F144" i="12"/>
  <c r="D144" i="12"/>
  <c r="C151" i="12"/>
  <c r="E151" i="12"/>
  <c r="B151" i="12"/>
  <c r="F151" i="12"/>
  <c r="D151" i="12"/>
  <c r="C170" i="12"/>
  <c r="E170" i="12"/>
  <c r="B170" i="12"/>
  <c r="F170" i="12"/>
  <c r="D170" i="12"/>
  <c r="C182" i="12"/>
  <c r="D182" i="12"/>
  <c r="B182" i="12"/>
  <c r="E182" i="12"/>
  <c r="F182" i="12"/>
  <c r="D187" i="12"/>
  <c r="E187" i="12"/>
  <c r="B187" i="12"/>
  <c r="C187" i="12"/>
  <c r="F187" i="12"/>
  <c r="E462" i="12"/>
  <c r="G462" i="12"/>
  <c r="I462" i="12"/>
  <c r="D462" i="12"/>
  <c r="F462" i="12"/>
  <c r="H462" i="12"/>
  <c r="J462" i="12"/>
  <c r="B455" i="12"/>
  <c r="J455" i="12"/>
  <c r="F455" i="12"/>
  <c r="H455" i="12"/>
  <c r="E455" i="12"/>
  <c r="C455" i="12"/>
  <c r="I455" i="12"/>
  <c r="G455" i="12"/>
  <c r="D455" i="12"/>
  <c r="O381" i="10" a="1"/>
  <c r="N381" i="10"/>
  <c r="J924" i="12"/>
  <c r="I924" i="12"/>
  <c r="H924" i="12"/>
  <c r="G94" i="13"/>
  <c r="G388" i="12"/>
  <c r="J388" i="12"/>
  <c r="I388" i="12"/>
  <c r="H388" i="12"/>
  <c r="B388" i="12"/>
  <c r="F388" i="12"/>
  <c r="E388" i="12"/>
  <c r="D388" i="12"/>
  <c r="C388" i="12"/>
  <c r="C391" i="12"/>
  <c r="H391" i="12"/>
  <c r="J391" i="12"/>
  <c r="I391" i="12"/>
  <c r="B391" i="12"/>
  <c r="G391" i="12"/>
  <c r="F391" i="12"/>
  <c r="E391" i="12"/>
  <c r="D391" i="12"/>
  <c r="B297" i="12"/>
  <c r="D297" i="12"/>
  <c r="J297" i="12"/>
  <c r="I297" i="12"/>
  <c r="H297" i="12"/>
  <c r="G297" i="12"/>
  <c r="F297" i="12"/>
  <c r="E297" i="12"/>
  <c r="C297" i="12"/>
  <c r="J305" i="12"/>
  <c r="I305" i="12"/>
  <c r="H305" i="12"/>
  <c r="G305" i="12"/>
  <c r="F305" i="12"/>
  <c r="E305" i="12"/>
  <c r="D305" i="12"/>
  <c r="C305" i="12"/>
  <c r="B305" i="12"/>
  <c r="C206" i="12"/>
  <c r="B206" i="12"/>
  <c r="J206" i="12"/>
  <c r="I206" i="12"/>
  <c r="H206" i="12"/>
  <c r="G206" i="12"/>
  <c r="F206" i="12"/>
  <c r="E206" i="12"/>
  <c r="D206" i="12"/>
  <c r="C212" i="12"/>
  <c r="B212" i="12"/>
  <c r="J212" i="12"/>
  <c r="I212" i="12"/>
  <c r="H212" i="12"/>
  <c r="G212" i="12"/>
  <c r="F212" i="12"/>
  <c r="E212" i="12"/>
  <c r="D212" i="12"/>
  <c r="F215" i="12"/>
  <c r="H215" i="12"/>
  <c r="J215" i="12"/>
  <c r="I215" i="12"/>
  <c r="G215" i="12"/>
  <c r="E215" i="12"/>
  <c r="D215" i="12"/>
  <c r="C215" i="12"/>
  <c r="B215" i="12"/>
  <c r="C225" i="12"/>
  <c r="I225" i="12"/>
  <c r="J225" i="12"/>
  <c r="B225" i="12"/>
  <c r="H225" i="12"/>
  <c r="G225" i="12"/>
  <c r="F225" i="12"/>
  <c r="E225" i="12"/>
  <c r="D225" i="12"/>
  <c r="C228" i="12"/>
  <c r="B228" i="12"/>
  <c r="J228" i="12"/>
  <c r="I228" i="12"/>
  <c r="H228" i="12"/>
  <c r="G228" i="12"/>
  <c r="F228" i="12"/>
  <c r="E228" i="12"/>
  <c r="D228" i="12"/>
  <c r="J229" i="12"/>
  <c r="I229" i="12"/>
  <c r="H229" i="12"/>
  <c r="G229" i="12"/>
  <c r="F229" i="12"/>
  <c r="E229" i="12"/>
  <c r="D229" i="12"/>
  <c r="C229" i="12"/>
  <c r="B229" i="12"/>
  <c r="J230" i="12"/>
  <c r="I230" i="12"/>
  <c r="H230" i="12"/>
  <c r="G230" i="12"/>
  <c r="F230" i="12"/>
  <c r="E230" i="12"/>
  <c r="D230" i="12"/>
  <c r="C230" i="12"/>
  <c r="B230" i="12"/>
  <c r="B233" i="12"/>
  <c r="C233" i="12"/>
  <c r="J233" i="12"/>
  <c r="I233" i="12"/>
  <c r="H233" i="12"/>
  <c r="G233" i="12"/>
  <c r="F233" i="12"/>
  <c r="E233" i="12"/>
  <c r="D233" i="12"/>
  <c r="C234" i="12"/>
  <c r="B234" i="12"/>
  <c r="J234" i="12"/>
  <c r="I234" i="12"/>
  <c r="H234" i="12"/>
  <c r="G234" i="12"/>
  <c r="F234" i="12"/>
  <c r="E234" i="12"/>
  <c r="D234" i="12"/>
  <c r="F235" i="12"/>
  <c r="J235" i="12"/>
  <c r="I235" i="12"/>
  <c r="H235" i="12"/>
  <c r="G235" i="12"/>
  <c r="E235" i="12"/>
  <c r="D235" i="12"/>
  <c r="C235" i="12"/>
  <c r="B235" i="12"/>
  <c r="C237" i="12"/>
  <c r="G237" i="12"/>
  <c r="J237" i="12"/>
  <c r="I237" i="12"/>
  <c r="H237" i="12"/>
  <c r="B237" i="12"/>
  <c r="F237" i="12"/>
  <c r="E237" i="12"/>
  <c r="D237" i="12"/>
  <c r="C239" i="12"/>
  <c r="B239" i="12"/>
  <c r="J239" i="12"/>
  <c r="I239" i="12"/>
  <c r="H239" i="12"/>
  <c r="G239" i="12"/>
  <c r="F239" i="12"/>
  <c r="E239" i="12"/>
  <c r="D239" i="12"/>
  <c r="J243" i="12"/>
  <c r="I243" i="12"/>
  <c r="H243" i="12"/>
  <c r="G243" i="12"/>
  <c r="F243" i="12"/>
  <c r="E243" i="12"/>
  <c r="D243" i="12"/>
  <c r="C243" i="12"/>
  <c r="B243" i="12"/>
  <c r="J251" i="12"/>
  <c r="I251" i="12"/>
  <c r="H251" i="12"/>
  <c r="G251" i="12"/>
  <c r="F251" i="12"/>
  <c r="E251" i="12"/>
  <c r="D251" i="12"/>
  <c r="C251" i="12"/>
  <c r="B251" i="12"/>
  <c r="C253" i="12"/>
  <c r="B253" i="12"/>
  <c r="J253" i="12"/>
  <c r="I253" i="12"/>
  <c r="H253" i="12"/>
  <c r="G253" i="12"/>
  <c r="F253" i="12"/>
  <c r="E253" i="12"/>
  <c r="D253" i="12"/>
  <c r="C254" i="12"/>
  <c r="B254" i="12"/>
  <c r="J254" i="12"/>
  <c r="I254" i="12"/>
  <c r="H254" i="12"/>
  <c r="G254" i="12"/>
  <c r="F254" i="12"/>
  <c r="E254" i="12"/>
  <c r="D254" i="12"/>
  <c r="F257" i="12"/>
  <c r="J257" i="12"/>
  <c r="I257" i="12"/>
  <c r="H257" i="12"/>
  <c r="G257" i="12"/>
  <c r="E257" i="12"/>
  <c r="D257" i="12"/>
  <c r="C257" i="12"/>
  <c r="B257" i="12"/>
  <c r="I264" i="12"/>
  <c r="J264" i="12"/>
  <c r="H264" i="12"/>
  <c r="G264" i="12"/>
  <c r="F264" i="12"/>
  <c r="E264" i="12"/>
  <c r="D264" i="12"/>
  <c r="C264" i="12"/>
  <c r="B264" i="12"/>
  <c r="B107" i="12"/>
  <c r="F107" i="12"/>
  <c r="E107" i="12"/>
  <c r="D107" i="12"/>
  <c r="C107" i="12"/>
  <c r="B110" i="12"/>
  <c r="F110" i="12"/>
  <c r="E110" i="12"/>
  <c r="D110" i="12"/>
  <c r="C110" i="12"/>
  <c r="F111" i="12"/>
  <c r="E111" i="12"/>
  <c r="D111" i="12"/>
  <c r="C111" i="12"/>
  <c r="B111" i="12"/>
  <c r="F112" i="12"/>
  <c r="E112" i="12"/>
  <c r="D112" i="12"/>
  <c r="C112" i="12"/>
  <c r="B112" i="12"/>
  <c r="F116" i="12"/>
  <c r="E116" i="12"/>
  <c r="D116" i="12"/>
  <c r="C116" i="12"/>
  <c r="B116" i="12"/>
  <c r="F126" i="12"/>
  <c r="E126" i="12"/>
  <c r="D126" i="12"/>
  <c r="C126" i="12"/>
  <c r="B126" i="12"/>
  <c r="J817" i="12"/>
  <c r="I817" i="12"/>
  <c r="H817" i="12"/>
  <c r="J822" i="12"/>
  <c r="I822" i="12"/>
  <c r="H822" i="12"/>
  <c r="J828" i="12"/>
  <c r="I828" i="12"/>
  <c r="J839" i="12"/>
  <c r="I839" i="12"/>
  <c r="J849" i="12"/>
  <c r="I849" i="12"/>
  <c r="H849" i="12"/>
  <c r="G849" i="12"/>
  <c r="F849" i="12"/>
  <c r="E849" i="12"/>
  <c r="J860" i="12"/>
  <c r="I860" i="12"/>
  <c r="H860" i="12"/>
  <c r="G860" i="12"/>
  <c r="J863" i="12"/>
  <c r="I863" i="12"/>
  <c r="H863" i="12"/>
  <c r="G863" i="12"/>
  <c r="J867" i="12"/>
  <c r="I867" i="12"/>
  <c r="J885" i="12"/>
  <c r="I885" i="12"/>
  <c r="H885" i="12"/>
  <c r="G885" i="12"/>
  <c r="F885" i="12"/>
  <c r="J711" i="12"/>
  <c r="I711" i="12"/>
  <c r="H711" i="12"/>
  <c r="G711" i="12"/>
  <c r="F711" i="12"/>
  <c r="J763" i="12"/>
  <c r="I763" i="12"/>
  <c r="H763" i="12"/>
  <c r="G763" i="12"/>
  <c r="F763" i="12"/>
  <c r="E763" i="12"/>
  <c r="J777" i="12"/>
  <c r="I777" i="12"/>
  <c r="H777" i="12"/>
  <c r="J667" i="12"/>
  <c r="I667" i="12"/>
  <c r="H667" i="12"/>
  <c r="G667" i="12"/>
  <c r="F667" i="12"/>
  <c r="E667" i="12"/>
  <c r="D667" i="12"/>
  <c r="J690" i="12"/>
  <c r="I690" i="12"/>
  <c r="H690" i="12"/>
  <c r="G690" i="12"/>
  <c r="I119" i="10"/>
  <c r="D64" i="8"/>
  <c r="AB64" i="8" s="1"/>
  <c r="E64" i="8"/>
  <c r="E43" i="8"/>
  <c r="D43" i="8"/>
  <c r="AB43" i="8" s="1"/>
  <c r="S46" i="8"/>
  <c r="U46" i="8" s="1"/>
  <c r="V46" i="8" s="1"/>
  <c r="W46" i="8" s="1"/>
  <c r="D46" i="8"/>
  <c r="AB46" i="8" s="1"/>
  <c r="E46" i="8"/>
  <c r="E44" i="8"/>
  <c r="D44" i="8"/>
  <c r="AB44" i="8" s="1"/>
  <c r="S45" i="8"/>
  <c r="U45" i="8" s="1"/>
  <c r="V45" i="8" s="1"/>
  <c r="W45" i="8" s="1"/>
  <c r="E45" i="8"/>
  <c r="D45" i="8"/>
  <c r="AB45" i="8" s="1"/>
  <c r="P78" i="10"/>
  <c r="Q78" i="10" s="1"/>
  <c r="J78" i="10"/>
  <c r="P57" i="10"/>
  <c r="Q57" i="10" s="1"/>
  <c r="J57" i="10"/>
  <c r="J12" i="10"/>
  <c r="P12" i="10"/>
  <c r="Q12" i="10" s="1"/>
  <c r="P5" i="10"/>
  <c r="Q5" i="10" s="1"/>
  <c r="J5" i="10"/>
  <c r="P52" i="10"/>
  <c r="Q52" i="10" s="1"/>
  <c r="J52" i="10"/>
  <c r="J36" i="10"/>
  <c r="P36" i="10"/>
  <c r="Q36" i="10" s="1"/>
  <c r="P26" i="10"/>
  <c r="Q26" i="10" s="1"/>
  <c r="J26" i="10"/>
  <c r="J15" i="10"/>
  <c r="P15" i="10"/>
  <c r="Q15" i="10" s="1"/>
  <c r="P82" i="10"/>
  <c r="Q82" i="10" s="1"/>
  <c r="J82" i="10"/>
  <c r="P71" i="10"/>
  <c r="J71" i="10"/>
  <c r="O75" i="10" a="1"/>
  <c r="N75" i="10"/>
  <c r="O78" i="10" a="1"/>
  <c r="N78" i="10"/>
  <c r="I85" i="10"/>
  <c r="D321" i="12"/>
  <c r="B321" i="12"/>
  <c r="C321" i="12"/>
  <c r="J321" i="12"/>
  <c r="I321" i="12"/>
  <c r="H321" i="12"/>
  <c r="G321" i="12"/>
  <c r="F321" i="12"/>
  <c r="E321" i="12"/>
  <c r="D15" i="12"/>
  <c r="C15" i="12"/>
  <c r="B15" i="12"/>
  <c r="F15" i="12"/>
  <c r="E15" i="12"/>
  <c r="E17" i="12"/>
  <c r="F17" i="12"/>
  <c r="D17" i="12"/>
  <c r="C17" i="12"/>
  <c r="B17" i="12"/>
  <c r="F19" i="12"/>
  <c r="E19" i="12"/>
  <c r="D19" i="12"/>
  <c r="C19" i="12"/>
  <c r="B19" i="12"/>
  <c r="D20" i="12"/>
  <c r="C20" i="12"/>
  <c r="B20" i="12"/>
  <c r="F20" i="12"/>
  <c r="E20" i="12"/>
  <c r="D24" i="12"/>
  <c r="C24" i="12"/>
  <c r="B24" i="12"/>
  <c r="F24" i="12"/>
  <c r="E24" i="12"/>
  <c r="E25" i="12"/>
  <c r="F25" i="12"/>
  <c r="D25" i="12"/>
  <c r="C25" i="12"/>
  <c r="B25" i="12"/>
  <c r="F26" i="12"/>
  <c r="E26" i="12"/>
  <c r="D26" i="12"/>
  <c r="C26" i="12"/>
  <c r="B26" i="12"/>
  <c r="D27" i="12"/>
  <c r="C27" i="12"/>
  <c r="B27" i="12"/>
  <c r="F27" i="12"/>
  <c r="E27" i="12"/>
  <c r="D28" i="12"/>
  <c r="C28" i="12"/>
  <c r="B28" i="12"/>
  <c r="F28" i="12"/>
  <c r="E28" i="12"/>
  <c r="F29" i="12"/>
  <c r="E29" i="12"/>
  <c r="D29" i="12"/>
  <c r="C29" i="12"/>
  <c r="B29" i="12"/>
  <c r="F30" i="12"/>
  <c r="E30" i="12"/>
  <c r="D30" i="12"/>
  <c r="C30" i="12"/>
  <c r="B30" i="12"/>
  <c r="C31" i="12"/>
  <c r="B31" i="12"/>
  <c r="D31" i="12"/>
  <c r="F31" i="12"/>
  <c r="E31" i="12"/>
  <c r="D32" i="12"/>
  <c r="B32" i="12"/>
  <c r="C32" i="12"/>
  <c r="F32" i="12"/>
  <c r="E32" i="12"/>
  <c r="F33" i="12"/>
  <c r="E33" i="12"/>
  <c r="D33" i="12"/>
  <c r="C33" i="12"/>
  <c r="B33" i="12"/>
  <c r="D35" i="12"/>
  <c r="C35" i="12"/>
  <c r="F35" i="12"/>
  <c r="B35" i="12"/>
  <c r="E35" i="12"/>
  <c r="D38" i="12"/>
  <c r="B38" i="12"/>
  <c r="C38" i="12"/>
  <c r="F38" i="12"/>
  <c r="E38" i="12"/>
  <c r="F39" i="12"/>
  <c r="E39" i="12"/>
  <c r="D39" i="12"/>
  <c r="C39" i="12"/>
  <c r="B39" i="12"/>
  <c r="F40" i="12"/>
  <c r="E40" i="12"/>
  <c r="D40" i="12"/>
  <c r="C40" i="12"/>
  <c r="B40" i="12"/>
  <c r="D41" i="12"/>
  <c r="C41" i="12"/>
  <c r="B41" i="12"/>
  <c r="F41" i="12"/>
  <c r="E41" i="12"/>
  <c r="D42" i="12"/>
  <c r="C42" i="12"/>
  <c r="B42" i="12"/>
  <c r="F42" i="12"/>
  <c r="E42" i="12"/>
  <c r="E43" i="12"/>
  <c r="F43" i="12"/>
  <c r="D43" i="12"/>
  <c r="C43" i="12"/>
  <c r="B43" i="12"/>
  <c r="F44" i="12"/>
  <c r="E44" i="12"/>
  <c r="D44" i="12"/>
  <c r="C44" i="12"/>
  <c r="B44" i="12"/>
  <c r="D45" i="12"/>
  <c r="C45" i="12"/>
  <c r="B45" i="12"/>
  <c r="F45" i="12"/>
  <c r="E45" i="12"/>
  <c r="D46" i="12"/>
  <c r="C46" i="12"/>
  <c r="B46" i="12"/>
  <c r="F46" i="12"/>
  <c r="E46" i="12"/>
  <c r="F47" i="12"/>
  <c r="E47" i="12"/>
  <c r="D47" i="12"/>
  <c r="C47" i="12"/>
  <c r="B47" i="12"/>
  <c r="F48" i="12"/>
  <c r="E48" i="12"/>
  <c r="D48" i="12"/>
  <c r="C48" i="12"/>
  <c r="B48" i="12"/>
  <c r="B49" i="12"/>
  <c r="D49" i="12"/>
  <c r="C49" i="12"/>
  <c r="F49" i="12"/>
  <c r="E49" i="12"/>
  <c r="D50" i="12"/>
  <c r="C50" i="12"/>
  <c r="B50" i="12"/>
  <c r="F50" i="12"/>
  <c r="E50" i="12"/>
  <c r="F51" i="12"/>
  <c r="E51" i="12"/>
  <c r="D51" i="12"/>
  <c r="C51" i="12"/>
  <c r="B51" i="12"/>
  <c r="D52" i="12"/>
  <c r="C52" i="12"/>
  <c r="F52" i="12"/>
  <c r="B52" i="12"/>
  <c r="E52" i="12"/>
  <c r="D53" i="12"/>
  <c r="C53" i="12"/>
  <c r="B53" i="12"/>
  <c r="F53" i="12"/>
  <c r="E53" i="12"/>
  <c r="F54" i="12"/>
  <c r="E54" i="12"/>
  <c r="D54" i="12"/>
  <c r="C54" i="12"/>
  <c r="B54" i="12"/>
  <c r="F55" i="12"/>
  <c r="E55" i="12"/>
  <c r="D55" i="12"/>
  <c r="C55" i="12"/>
  <c r="B55" i="12"/>
  <c r="D56" i="12"/>
  <c r="C56" i="12"/>
  <c r="B56" i="12"/>
  <c r="F56" i="12"/>
  <c r="E56" i="12"/>
  <c r="C57" i="12"/>
  <c r="B57" i="12"/>
  <c r="D57" i="12"/>
  <c r="F57" i="12"/>
  <c r="E57" i="12"/>
  <c r="F58" i="12"/>
  <c r="E58" i="12"/>
  <c r="D58" i="12"/>
  <c r="C58" i="12"/>
  <c r="B58" i="12"/>
  <c r="F59" i="12"/>
  <c r="E59" i="12"/>
  <c r="D59" i="12"/>
  <c r="C59" i="12"/>
  <c r="B59" i="12"/>
  <c r="D61" i="12"/>
  <c r="C61" i="12"/>
  <c r="B61" i="12"/>
  <c r="F61" i="12"/>
  <c r="E61" i="12"/>
  <c r="D62" i="12"/>
  <c r="C62" i="12"/>
  <c r="B62" i="12"/>
  <c r="F62" i="12"/>
  <c r="E62" i="12"/>
  <c r="F63" i="12"/>
  <c r="E63" i="12"/>
  <c r="D63" i="12"/>
  <c r="C63" i="12"/>
  <c r="B63" i="12"/>
  <c r="F64" i="12"/>
  <c r="E64" i="12"/>
  <c r="D64" i="12"/>
  <c r="C64" i="12"/>
  <c r="B64" i="12"/>
  <c r="F65" i="12"/>
  <c r="E65" i="12"/>
  <c r="D65" i="12"/>
  <c r="C65" i="12"/>
  <c r="B65" i="12"/>
  <c r="C69" i="12"/>
  <c r="B69" i="12"/>
  <c r="D69" i="12"/>
  <c r="F69" i="12"/>
  <c r="E69" i="12"/>
  <c r="D71" i="12"/>
  <c r="C71" i="12"/>
  <c r="B71" i="12"/>
  <c r="F71" i="12"/>
  <c r="E71" i="12"/>
  <c r="C72" i="12"/>
  <c r="F72" i="12"/>
  <c r="E72" i="12"/>
  <c r="D72" i="12"/>
  <c r="B72" i="12"/>
  <c r="D73" i="12"/>
  <c r="C73" i="12"/>
  <c r="E73" i="12"/>
  <c r="F73" i="12"/>
  <c r="B73" i="12"/>
  <c r="D75" i="12"/>
  <c r="C75" i="12"/>
  <c r="B75" i="12"/>
  <c r="F75" i="12"/>
  <c r="E75" i="12"/>
  <c r="AA44" i="8"/>
  <c r="AA45" i="8"/>
  <c r="AA46" i="8"/>
  <c r="AA60" i="8"/>
  <c r="AA58" i="8"/>
  <c r="AA59" i="8"/>
  <c r="AA49" i="8"/>
  <c r="AA47" i="8"/>
  <c r="AA48" i="8"/>
  <c r="AA50" i="8"/>
  <c r="AA21" i="8"/>
  <c r="AA22" i="8"/>
  <c r="AA23" i="8"/>
  <c r="E119" i="13"/>
  <c r="F154" i="13"/>
  <c r="E154" i="13"/>
  <c r="O97" i="10" a="1"/>
  <c r="N97" i="10"/>
  <c r="O69" i="10" a="1"/>
  <c r="N69" i="10"/>
  <c r="O66" i="10" a="1"/>
  <c r="N66" i="10"/>
  <c r="AA609" i="8"/>
  <c r="AA610" i="8"/>
  <c r="AA611" i="8"/>
  <c r="AA623" i="8"/>
  <c r="B247" i="13"/>
  <c r="D247" i="13"/>
  <c r="C247" i="13"/>
  <c r="D10" i="13"/>
  <c r="C10" i="13"/>
  <c r="B10" i="13"/>
  <c r="D29" i="13"/>
  <c r="C29" i="13"/>
  <c r="B29" i="13"/>
  <c r="B35" i="13"/>
  <c r="D35" i="13"/>
  <c r="C35" i="13"/>
  <c r="B50" i="13"/>
  <c r="D50" i="13"/>
  <c r="C50" i="13"/>
  <c r="B66" i="13"/>
  <c r="D66" i="13"/>
  <c r="C66" i="13"/>
  <c r="D80" i="13"/>
  <c r="B80" i="13"/>
  <c r="C80" i="13"/>
  <c r="B93" i="13"/>
  <c r="D93" i="13"/>
  <c r="C93" i="13"/>
  <c r="C94" i="13"/>
  <c r="B94" i="13"/>
  <c r="D94" i="13"/>
  <c r="B107" i="13"/>
  <c r="D107" i="13"/>
  <c r="C107" i="13"/>
  <c r="D118" i="13"/>
  <c r="C118" i="13"/>
  <c r="B118" i="13"/>
  <c r="C141" i="13"/>
  <c r="B141" i="13"/>
  <c r="D141" i="13"/>
  <c r="D151" i="13"/>
  <c r="C151" i="13"/>
  <c r="B151" i="13"/>
  <c r="C162" i="13"/>
  <c r="D162" i="13"/>
  <c r="B162" i="13"/>
  <c r="C166" i="13"/>
  <c r="D166" i="13"/>
  <c r="B166" i="13"/>
  <c r="D181" i="13"/>
  <c r="C181" i="13"/>
  <c r="B181" i="13"/>
  <c r="D183" i="13"/>
  <c r="C183" i="13"/>
  <c r="B183" i="13"/>
  <c r="D192" i="13"/>
  <c r="B192" i="13"/>
  <c r="C192" i="13"/>
  <c r="C197" i="13"/>
  <c r="B197" i="13"/>
  <c r="D197" i="13"/>
  <c r="B203" i="13"/>
  <c r="D203" i="13"/>
  <c r="C203" i="13"/>
  <c r="D207" i="13"/>
  <c r="C207" i="13"/>
  <c r="B207" i="13"/>
  <c r="C209" i="13"/>
  <c r="B209" i="13"/>
  <c r="D209" i="13"/>
  <c r="D217" i="13"/>
  <c r="C217" i="13"/>
  <c r="B217" i="13"/>
  <c r="C227" i="13"/>
  <c r="B227" i="13"/>
  <c r="D227" i="13"/>
  <c r="C236" i="13"/>
  <c r="B236" i="13"/>
  <c r="D236" i="13"/>
  <c r="I120" i="10"/>
  <c r="I86" i="10"/>
  <c r="S12" i="8"/>
  <c r="U12" i="8" s="1"/>
  <c r="V12" i="8" s="1"/>
  <c r="W12" i="8" s="1"/>
  <c r="S19" i="8"/>
  <c r="U19" i="8" s="1"/>
  <c r="V19" i="8" s="1"/>
  <c r="W19" i="8" s="1"/>
  <c r="S18" i="8"/>
  <c r="U18" i="8" s="1"/>
  <c r="V18" i="8" s="1"/>
  <c r="W18" i="8" s="1"/>
  <c r="S17" i="8"/>
  <c r="U17" i="8" s="1"/>
  <c r="V17" i="8" s="1"/>
  <c r="W17" i="8" s="1"/>
  <c r="S20" i="8"/>
  <c r="U20" i="8" s="1"/>
  <c r="V20" i="8" s="1"/>
  <c r="W20" i="8" s="1"/>
  <c r="S21" i="8"/>
  <c r="U21" i="8" s="1"/>
  <c r="V21" i="8" s="1"/>
  <c r="W21" i="8" s="1"/>
  <c r="S22" i="8"/>
  <c r="U22" i="8" s="1"/>
  <c r="V22" i="8" s="1"/>
  <c r="W22" i="8" s="1"/>
  <c r="S76" i="8"/>
  <c r="U76" i="8" s="1"/>
  <c r="V76" i="8" s="1"/>
  <c r="W76" i="8" s="1"/>
  <c r="S49" i="8"/>
  <c r="U49" i="8" s="1"/>
  <c r="V49" i="8" s="1"/>
  <c r="W49" i="8" s="1"/>
  <c r="S47" i="8"/>
  <c r="U47" i="8" s="1"/>
  <c r="V47" i="8" s="1"/>
  <c r="W47" i="8" s="1"/>
  <c r="S59" i="8"/>
  <c r="U59" i="8" s="1"/>
  <c r="V59" i="8" s="1"/>
  <c r="W59" i="8" s="1"/>
  <c r="S64" i="8"/>
  <c r="U64" i="8" s="1"/>
  <c r="V64" i="8" s="1"/>
  <c r="W64" i="8" s="1"/>
  <c r="S25" i="8"/>
  <c r="U25" i="8" s="1"/>
  <c r="V25" i="8" s="1"/>
  <c r="W25" i="8" s="1"/>
  <c r="S28" i="8"/>
  <c r="U28" i="8" s="1"/>
  <c r="V28" i="8" s="1"/>
  <c r="W28" i="8" s="1"/>
  <c r="S27" i="8"/>
  <c r="U27" i="8" s="1"/>
  <c r="V27" i="8" s="1"/>
  <c r="W27" i="8" s="1"/>
  <c r="S26" i="8"/>
  <c r="U26" i="8" s="1"/>
  <c r="V26" i="8" s="1"/>
  <c r="W26" i="8" s="1"/>
  <c r="S43" i="8"/>
  <c r="U43" i="8" s="1"/>
  <c r="V43" i="8" s="1"/>
  <c r="W43" i="8" s="1"/>
  <c r="S44" i="8"/>
  <c r="U44" i="8" s="1"/>
  <c r="V44" i="8" s="1"/>
  <c r="W44" i="8" s="1"/>
  <c r="S6" i="8"/>
  <c r="U6" i="8" s="1"/>
  <c r="V6" i="8" s="1"/>
  <c r="W6" i="8" s="1"/>
  <c r="S8" i="8"/>
  <c r="U8" i="8" s="1"/>
  <c r="V8" i="8" s="1"/>
  <c r="W8" i="8" s="1"/>
  <c r="S9" i="8"/>
  <c r="U9" i="8" s="1"/>
  <c r="V9" i="8" s="1"/>
  <c r="W9" i="8" s="1"/>
  <c r="S10" i="8"/>
  <c r="U10" i="8" s="1"/>
  <c r="V10" i="8" s="1"/>
  <c r="W10" i="8" s="1"/>
  <c r="S11" i="8"/>
  <c r="U11" i="8" s="1"/>
  <c r="V11" i="8" s="1"/>
  <c r="W11" i="8" s="1"/>
  <c r="S13" i="8"/>
  <c r="U13" i="8" s="1"/>
  <c r="V13" i="8" s="1"/>
  <c r="W13" i="8" s="1"/>
  <c r="S14" i="8"/>
  <c r="U14" i="8" s="1"/>
  <c r="V14" i="8" s="1"/>
  <c r="W14" i="8" s="1"/>
  <c r="S15" i="8"/>
  <c r="U15" i="8" s="1"/>
  <c r="V15" i="8" s="1"/>
  <c r="W15" i="8" s="1"/>
  <c r="S16" i="8"/>
  <c r="U16" i="8" s="1"/>
  <c r="V16" i="8" s="1"/>
  <c r="W16" i="8" s="1"/>
  <c r="S23" i="8"/>
  <c r="U23" i="8" s="1"/>
  <c r="V23" i="8" s="1"/>
  <c r="W23" i="8" s="1"/>
  <c r="S31" i="8"/>
  <c r="U31" i="8" s="1"/>
  <c r="V31" i="8" s="1"/>
  <c r="W31" i="8" s="1"/>
  <c r="S32" i="8"/>
  <c r="U32" i="8" s="1"/>
  <c r="V32" i="8" s="1"/>
  <c r="W32" i="8" s="1"/>
  <c r="S33" i="8"/>
  <c r="U33" i="8" s="1"/>
  <c r="V33" i="8" s="1"/>
  <c r="W33" i="8" s="1"/>
  <c r="S34" i="8"/>
  <c r="U34" i="8" s="1"/>
  <c r="V34" i="8" s="1"/>
  <c r="W34" i="8" s="1"/>
  <c r="S35" i="8"/>
  <c r="U35" i="8" s="1"/>
  <c r="V35" i="8" s="1"/>
  <c r="W35" i="8" s="1"/>
  <c r="S41" i="8"/>
  <c r="U41" i="8" s="1"/>
  <c r="V41" i="8" s="1"/>
  <c r="W41" i="8" s="1"/>
  <c r="S40" i="8"/>
  <c r="U40" i="8" s="1"/>
  <c r="V40" i="8" s="1"/>
  <c r="W40" i="8" s="1"/>
  <c r="S39" i="8"/>
  <c r="U39" i="8" s="1"/>
  <c r="V39" i="8" s="1"/>
  <c r="W39" i="8" s="1"/>
  <c r="S38" i="8"/>
  <c r="U38" i="8" s="1"/>
  <c r="V38" i="8" s="1"/>
  <c r="W38" i="8" s="1"/>
  <c r="S36" i="8"/>
  <c r="U36" i="8" s="1"/>
  <c r="V36" i="8" s="1"/>
  <c r="W36" i="8" s="1"/>
  <c r="S37" i="8"/>
  <c r="U37" i="8" s="1"/>
  <c r="V37" i="8" s="1"/>
  <c r="W37" i="8" s="1"/>
  <c r="S53" i="8"/>
  <c r="U53" i="8" s="1"/>
  <c r="V53" i="8" s="1"/>
  <c r="W53" i="8" s="1"/>
  <c r="S51" i="8"/>
  <c r="U51" i="8" s="1"/>
  <c r="V51" i="8" s="1"/>
  <c r="W51" i="8" s="1"/>
  <c r="S52" i="8"/>
  <c r="U52" i="8" s="1"/>
  <c r="V52" i="8" s="1"/>
  <c r="W52" i="8" s="1"/>
  <c r="S54" i="8"/>
  <c r="U54" i="8" s="1"/>
  <c r="V54" i="8" s="1"/>
  <c r="W54" i="8" s="1"/>
  <c r="S74" i="8"/>
  <c r="U74" i="8" s="1"/>
  <c r="V74" i="8" s="1"/>
  <c r="W74" i="8" s="1"/>
  <c r="S73" i="8"/>
  <c r="U73" i="8" s="1"/>
  <c r="V73" i="8" s="1"/>
  <c r="W73" i="8" s="1"/>
  <c r="S61" i="8"/>
  <c r="U61" i="8" s="1"/>
  <c r="V61" i="8" s="1"/>
  <c r="W61" i="8" s="1"/>
  <c r="S62" i="8"/>
  <c r="U62" i="8" s="1"/>
  <c r="V62" i="8" s="1"/>
  <c r="W62" i="8" s="1"/>
  <c r="S63" i="8"/>
  <c r="U63" i="8" s="1"/>
  <c r="V63" i="8" s="1"/>
  <c r="W63" i="8" s="1"/>
  <c r="S71" i="8"/>
  <c r="U71" i="8" s="1"/>
  <c r="V71" i="8" s="1"/>
  <c r="W71" i="8" s="1"/>
  <c r="S72" i="8"/>
  <c r="U72" i="8" s="1"/>
  <c r="V72" i="8" s="1"/>
  <c r="W72" i="8" s="1"/>
  <c r="S70" i="8"/>
  <c r="U70" i="8" s="1"/>
  <c r="V70" i="8" s="1"/>
  <c r="W70" i="8" s="1"/>
  <c r="S55" i="8"/>
  <c r="U55" i="8" s="1"/>
  <c r="V55" i="8" s="1"/>
  <c r="W55" i="8" s="1"/>
  <c r="S56" i="8"/>
  <c r="U56" i="8" s="1"/>
  <c r="V56" i="8" s="1"/>
  <c r="W56" i="8" s="1"/>
  <c r="S57" i="8"/>
  <c r="U57" i="8" s="1"/>
  <c r="V57" i="8" s="1"/>
  <c r="W57" i="8" s="1"/>
  <c r="S69" i="8"/>
  <c r="U69" i="8" s="1"/>
  <c r="V69" i="8" s="1"/>
  <c r="W69" i="8" s="1"/>
  <c r="S68" i="8"/>
  <c r="U68" i="8" s="1"/>
  <c r="V68" i="8" s="1"/>
  <c r="W68" i="8" s="1"/>
  <c r="S77" i="8"/>
  <c r="U77" i="8" s="1"/>
  <c r="V77" i="8" s="1"/>
  <c r="W77" i="8" s="1"/>
  <c r="S75" i="8"/>
  <c r="U75" i="8" s="1"/>
  <c r="V75" i="8" s="1"/>
  <c r="W75" i="8" s="1"/>
  <c r="S50" i="8"/>
  <c r="U50" i="8" s="1"/>
  <c r="V50" i="8" s="1"/>
  <c r="W50" i="8" s="1"/>
  <c r="S60" i="8"/>
  <c r="U60" i="8" s="1"/>
  <c r="V60" i="8" s="1"/>
  <c r="W60" i="8" s="1"/>
  <c r="J109" i="10"/>
  <c r="P109" i="10"/>
  <c r="Q109" i="10" s="1"/>
  <c r="P91" i="10"/>
  <c r="Q91" i="10" s="1"/>
  <c r="J91" i="10"/>
  <c r="P90" i="10"/>
  <c r="Q90" i="10" s="1"/>
  <c r="J90" i="10"/>
  <c r="J84" i="10"/>
  <c r="P84" i="10"/>
  <c r="J83" i="10"/>
  <c r="P83" i="10"/>
  <c r="Q83" i="10" s="1"/>
  <c r="P31" i="10"/>
  <c r="J31" i="10"/>
  <c r="J29" i="10"/>
  <c r="P29" i="10"/>
  <c r="H1135" i="12"/>
  <c r="C1135" i="12"/>
  <c r="J1135" i="12"/>
  <c r="B1135" i="12"/>
  <c r="I1135" i="12"/>
  <c r="D1135" i="12"/>
  <c r="F1135" i="12"/>
  <c r="E1135" i="12"/>
  <c r="G1135" i="12"/>
  <c r="B1037" i="12"/>
  <c r="E1037" i="12"/>
  <c r="C1037" i="12"/>
  <c r="D1037" i="12"/>
  <c r="J1037" i="12"/>
  <c r="I1037" i="12"/>
  <c r="H1037" i="12"/>
  <c r="G1037" i="12"/>
  <c r="F1037" i="12"/>
  <c r="N105" i="10"/>
  <c r="O105" i="10" a="1"/>
  <c r="N104" i="10"/>
  <c r="O104" i="10" a="1"/>
  <c r="O90" i="10" a="1"/>
  <c r="N90" i="10"/>
  <c r="N89" i="10"/>
  <c r="O89" i="10" a="1"/>
  <c r="N88" i="10"/>
  <c r="O88" i="10" a="1"/>
  <c r="N87" i="10"/>
  <c r="O87" i="10" a="1"/>
  <c r="O85" i="10" a="1"/>
  <c r="N85" i="10"/>
  <c r="N84" i="10"/>
  <c r="O84" i="10" a="1"/>
  <c r="N83" i="10"/>
  <c r="O83" i="10" a="1"/>
  <c r="O82" i="10" a="1"/>
  <c r="N82" i="10"/>
  <c r="N81" i="10"/>
  <c r="O81" i="10" a="1"/>
  <c r="O80" i="10" a="1"/>
  <c r="N80" i="10"/>
  <c r="N79" i="10"/>
  <c r="O79" i="10" a="1"/>
  <c r="N99" i="10"/>
  <c r="O99" i="10" a="1"/>
  <c r="O101" i="10" a="1"/>
  <c r="N101" i="10"/>
  <c r="O102" i="10" a="1"/>
  <c r="N102" i="10"/>
  <c r="O103" i="10" a="1"/>
  <c r="N103" i="10"/>
  <c r="N118" i="10"/>
  <c r="O118" i="10" a="1"/>
  <c r="O117" i="10" a="1"/>
  <c r="N117" i="10"/>
  <c r="O116" i="10" a="1"/>
  <c r="N116" i="10"/>
  <c r="O115" i="10" a="1"/>
  <c r="N115" i="10"/>
  <c r="O113" i="10" a="1"/>
  <c r="N113" i="10"/>
  <c r="O112" i="10" a="1"/>
  <c r="N112" i="10"/>
  <c r="O111" i="10" a="1"/>
  <c r="N111" i="10"/>
  <c r="O98" i="10" a="1"/>
  <c r="N98" i="10"/>
  <c r="O110" i="10" a="1"/>
  <c r="N110" i="10"/>
  <c r="N109" i="10"/>
  <c r="O109" i="10" a="1"/>
  <c r="N108" i="10"/>
  <c r="O108" i="10" a="1"/>
  <c r="O107" i="10" a="1"/>
  <c r="N107" i="10"/>
  <c r="O106" i="10" a="1"/>
  <c r="N106" i="10"/>
  <c r="O91" i="10" a="1"/>
  <c r="N91" i="10"/>
  <c r="O92" i="10" a="1"/>
  <c r="N92" i="10"/>
  <c r="N93" i="10"/>
  <c r="O93" i="10" a="1"/>
  <c r="N100" i="10"/>
  <c r="O100" i="10" a="1"/>
  <c r="N94" i="10"/>
  <c r="O94" i="10" a="1"/>
  <c r="N95" i="10"/>
  <c r="O95" i="10" a="1"/>
  <c r="O96" i="10" a="1"/>
  <c r="N96" i="10"/>
  <c r="O72" i="10" a="1"/>
  <c r="N72" i="10"/>
  <c r="O63" i="10" a="1"/>
  <c r="N63" i="10"/>
  <c r="O62" i="10" a="1"/>
  <c r="N62" i="10"/>
  <c r="N61" i="10"/>
  <c r="O61" i="10" a="1"/>
  <c r="N60" i="10"/>
  <c r="O60" i="10" a="1"/>
  <c r="N59" i="10"/>
  <c r="O59" i="10" a="1"/>
  <c r="O58" i="10" a="1"/>
  <c r="N58" i="10"/>
  <c r="O57" i="10" a="1"/>
  <c r="N57" i="10"/>
  <c r="O56" i="10" a="1"/>
  <c r="N56" i="10"/>
  <c r="O55" i="10" a="1"/>
  <c r="N55" i="10"/>
  <c r="O50" i="10" a="1"/>
  <c r="N50" i="10"/>
  <c r="O49" i="10" a="1"/>
  <c r="N49" i="10"/>
  <c r="O48" i="10" a="1"/>
  <c r="N48" i="10"/>
  <c r="N47" i="10"/>
  <c r="O47" i="10" a="1"/>
  <c r="O46" i="10" a="1"/>
  <c r="N46" i="10"/>
  <c r="N45" i="10"/>
  <c r="O45" i="10" a="1"/>
  <c r="N44" i="10"/>
  <c r="O44" i="10" a="1"/>
  <c r="O43" i="10" a="1"/>
  <c r="N43" i="10"/>
  <c r="O42" i="10" a="1"/>
  <c r="N42" i="10"/>
  <c r="N39" i="10"/>
  <c r="O39" i="10" a="1"/>
  <c r="O38" i="10" a="1"/>
  <c r="N38" i="10"/>
  <c r="N37" i="10"/>
  <c r="O37" i="10" a="1"/>
  <c r="O36" i="10" a="1"/>
  <c r="N36" i="10"/>
  <c r="N33" i="10"/>
  <c r="O33" i="10" a="1"/>
  <c r="N26" i="10"/>
  <c r="O26" i="10" a="1"/>
  <c r="O20" i="10" a="1"/>
  <c r="N20" i="10"/>
  <c r="N18" i="10"/>
  <c r="O18" i="10" a="1"/>
  <c r="O16" i="10" a="1"/>
  <c r="N16" i="10"/>
  <c r="O15" i="10" a="1"/>
  <c r="N15" i="10"/>
  <c r="O13" i="10" a="1"/>
  <c r="N13" i="10"/>
  <c r="E155" i="13"/>
  <c r="E243" i="13"/>
  <c r="E8" i="13"/>
  <c r="F32" i="13"/>
  <c r="E32" i="13"/>
  <c r="E44" i="13"/>
  <c r="E164" i="13"/>
  <c r="E163" i="13"/>
  <c r="G44" i="13"/>
  <c r="F44" i="13"/>
  <c r="G61" i="13"/>
  <c r="F61" i="13"/>
  <c r="E61" i="13"/>
  <c r="E200" i="13"/>
  <c r="F119" i="13"/>
  <c r="E24" i="8"/>
  <c r="D24" i="8"/>
  <c r="AB24" i="8" s="1"/>
  <c r="F155" i="13"/>
  <c r="D75" i="13"/>
  <c r="B75" i="13"/>
  <c r="C75" i="13"/>
  <c r="O492" i="10" a="1"/>
  <c r="N492" i="10"/>
  <c r="N207" i="10"/>
  <c r="O207" i="10" a="1"/>
  <c r="O120" i="10" a="1"/>
  <c r="N120" i="10"/>
  <c r="O119" i="10" a="1"/>
  <c r="N119" i="10"/>
  <c r="O114" i="10" a="1"/>
  <c r="N114" i="10"/>
  <c r="O86" i="10" a="1"/>
  <c r="N86" i="10"/>
  <c r="J493" i="11"/>
  <c r="E493" i="11"/>
  <c r="I493" i="11"/>
  <c r="G493" i="11"/>
  <c r="B493" i="11"/>
  <c r="D493" i="11"/>
  <c r="C493" i="11"/>
  <c r="B484" i="11"/>
  <c r="D484" i="11"/>
  <c r="E484" i="11"/>
  <c r="C484" i="11"/>
  <c r="J484" i="11"/>
  <c r="G484" i="11"/>
  <c r="I484" i="11"/>
  <c r="J483" i="11"/>
  <c r="I483" i="11"/>
  <c r="C483" i="11"/>
  <c r="D483" i="11"/>
  <c r="G483" i="11"/>
  <c r="E483" i="11"/>
  <c r="B483" i="11"/>
  <c r="I482" i="11"/>
  <c r="J482" i="11"/>
  <c r="G482" i="11"/>
  <c r="E482" i="11"/>
  <c r="D482" i="11"/>
  <c r="B482" i="11"/>
  <c r="C482" i="11"/>
  <c r="C481" i="11"/>
  <c r="E481" i="11"/>
  <c r="B481" i="11"/>
  <c r="G481" i="11"/>
  <c r="I481" i="11"/>
  <c r="D481" i="11"/>
  <c r="F481" i="11" s="1"/>
  <c r="J481" i="11"/>
  <c r="G480" i="11"/>
  <c r="B480" i="11"/>
  <c r="E480" i="11"/>
  <c r="C480" i="11"/>
  <c r="J480" i="11"/>
  <c r="I480" i="11"/>
  <c r="D480" i="11"/>
  <c r="J479" i="11"/>
  <c r="E479" i="11"/>
  <c r="D479" i="11"/>
  <c r="B479" i="11"/>
  <c r="G479" i="11"/>
  <c r="I479" i="11"/>
  <c r="C479" i="11"/>
  <c r="J478" i="11"/>
  <c r="G478" i="11"/>
  <c r="C478" i="11"/>
  <c r="E478" i="11"/>
  <c r="I478" i="11"/>
  <c r="B478" i="11"/>
  <c r="D478" i="11"/>
  <c r="D477" i="11"/>
  <c r="G477" i="11"/>
  <c r="I477" i="11"/>
  <c r="J477" i="11"/>
  <c r="B477" i="11"/>
  <c r="C477" i="11"/>
  <c r="E477" i="11"/>
  <c r="G475" i="11"/>
  <c r="D475" i="11"/>
  <c r="B475" i="11"/>
  <c r="E475" i="11"/>
  <c r="I475" i="11"/>
  <c r="J475" i="11"/>
  <c r="C475" i="11"/>
  <c r="D474" i="11"/>
  <c r="J474" i="11"/>
  <c r="I474" i="11"/>
  <c r="G474" i="11"/>
  <c r="B474" i="11"/>
  <c r="C474" i="11"/>
  <c r="E474" i="11"/>
  <c r="C473" i="11"/>
  <c r="D473" i="11"/>
  <c r="E473" i="11"/>
  <c r="B473" i="11"/>
  <c r="I473" i="11"/>
  <c r="G473" i="11"/>
  <c r="J473" i="11"/>
  <c r="E472" i="11"/>
  <c r="B472" i="11"/>
  <c r="J472" i="11"/>
  <c r="D472" i="11"/>
  <c r="I472" i="11"/>
  <c r="G472" i="11"/>
  <c r="C472" i="11"/>
  <c r="E471" i="11"/>
  <c r="J471" i="11"/>
  <c r="C471" i="11"/>
  <c r="I471" i="11"/>
  <c r="G471" i="11"/>
  <c r="D471" i="11"/>
  <c r="B471" i="11"/>
  <c r="G468" i="11"/>
  <c r="B468" i="11"/>
  <c r="E468" i="11"/>
  <c r="C468" i="11"/>
  <c r="D468" i="11"/>
  <c r="J468" i="11"/>
  <c r="I468" i="11"/>
  <c r="B467" i="11"/>
  <c r="C467" i="11"/>
  <c r="E467" i="11"/>
  <c r="I467" i="11"/>
  <c r="J467" i="11"/>
  <c r="G467" i="11"/>
  <c r="D467" i="11"/>
  <c r="E466" i="11"/>
  <c r="G466" i="11"/>
  <c r="B466" i="11"/>
  <c r="J466" i="11"/>
  <c r="I466" i="11"/>
  <c r="C466" i="11"/>
  <c r="D466" i="11"/>
  <c r="C465" i="11"/>
  <c r="B465" i="11"/>
  <c r="E465" i="11"/>
  <c r="G465" i="11"/>
  <c r="I465" i="11"/>
  <c r="D465" i="11"/>
  <c r="J465" i="11"/>
  <c r="D464" i="11"/>
  <c r="C464" i="11"/>
  <c r="G464" i="11"/>
  <c r="B464" i="11"/>
  <c r="J464" i="11"/>
  <c r="I464" i="11"/>
  <c r="E464" i="11"/>
  <c r="I461" i="11"/>
  <c r="D461" i="11"/>
  <c r="J461" i="11"/>
  <c r="E461" i="11"/>
  <c r="C461" i="11"/>
  <c r="G461" i="11"/>
  <c r="B461" i="11"/>
  <c r="I458" i="11"/>
  <c r="G458" i="11"/>
  <c r="E458" i="11"/>
  <c r="C458" i="11"/>
  <c r="B458" i="11"/>
  <c r="J458" i="11"/>
  <c r="D458" i="11"/>
  <c r="C454" i="11"/>
  <c r="E454" i="11"/>
  <c r="B454" i="11"/>
  <c r="D454" i="11"/>
  <c r="I454" i="11"/>
  <c r="G454" i="11"/>
  <c r="J454" i="11"/>
  <c r="I451" i="11"/>
  <c r="B451" i="11"/>
  <c r="G451" i="11"/>
  <c r="J451" i="11"/>
  <c r="D451" i="11"/>
  <c r="E451" i="11"/>
  <c r="C451" i="11"/>
  <c r="I450" i="11"/>
  <c r="J450" i="11"/>
  <c r="E450" i="11"/>
  <c r="G450" i="11"/>
  <c r="B450" i="11"/>
  <c r="C450" i="11"/>
  <c r="D450" i="11"/>
  <c r="E449" i="11"/>
  <c r="B449" i="11"/>
  <c r="D449" i="11"/>
  <c r="J449" i="11"/>
  <c r="I449" i="11"/>
  <c r="C449" i="11"/>
  <c r="G449" i="11"/>
  <c r="I446" i="11"/>
  <c r="B446" i="11"/>
  <c r="C446" i="11"/>
  <c r="J446" i="11"/>
  <c r="G446" i="11"/>
  <c r="D446" i="11"/>
  <c r="E446" i="11"/>
  <c r="G445" i="11"/>
  <c r="E445" i="11"/>
  <c r="D445" i="11"/>
  <c r="J445" i="11"/>
  <c r="B445" i="11"/>
  <c r="I445" i="11"/>
  <c r="C445" i="11"/>
  <c r="D442" i="11"/>
  <c r="G442" i="11"/>
  <c r="B442" i="11"/>
  <c r="E442" i="11"/>
  <c r="C442" i="11"/>
  <c r="J442" i="11"/>
  <c r="I442" i="11"/>
  <c r="C440" i="11"/>
  <c r="I440" i="11"/>
  <c r="B440" i="11"/>
  <c r="D440" i="11"/>
  <c r="G440" i="11"/>
  <c r="J440" i="11"/>
  <c r="E440" i="11"/>
  <c r="G439" i="11"/>
  <c r="J439" i="11"/>
  <c r="B439" i="11"/>
  <c r="I439" i="11"/>
  <c r="D439" i="11"/>
  <c r="E439" i="11"/>
  <c r="C439" i="11"/>
  <c r="D436" i="11"/>
  <c r="C436" i="11"/>
  <c r="I436" i="11"/>
  <c r="J436" i="11"/>
  <c r="B436" i="11"/>
  <c r="G436" i="11"/>
  <c r="E436" i="11"/>
  <c r="J434" i="11"/>
  <c r="I434" i="11"/>
  <c r="D434" i="11"/>
  <c r="C434" i="11"/>
  <c r="B434" i="11"/>
  <c r="G434" i="11"/>
  <c r="E434" i="11"/>
  <c r="G431" i="11"/>
  <c r="C431" i="11"/>
  <c r="E431" i="11"/>
  <c r="I431" i="11"/>
  <c r="B431" i="11"/>
  <c r="J431" i="11"/>
  <c r="D431" i="11"/>
  <c r="D429" i="11"/>
  <c r="C429" i="11"/>
  <c r="E429" i="11"/>
  <c r="J429" i="11"/>
  <c r="B429" i="11"/>
  <c r="I429" i="11"/>
  <c r="G429" i="11"/>
  <c r="I428" i="11"/>
  <c r="B428" i="11"/>
  <c r="J428" i="11"/>
  <c r="E428" i="11"/>
  <c r="D428" i="11"/>
  <c r="C428" i="11"/>
  <c r="G428" i="11"/>
  <c r="C427" i="11"/>
  <c r="E427" i="11"/>
  <c r="D427" i="11"/>
  <c r="I427" i="11"/>
  <c r="J427" i="11"/>
  <c r="G427" i="11"/>
  <c r="B427" i="11"/>
  <c r="C425" i="11"/>
  <c r="J425" i="11"/>
  <c r="I425" i="11"/>
  <c r="G425" i="11"/>
  <c r="E425" i="11"/>
  <c r="B425" i="11"/>
  <c r="D425" i="11"/>
  <c r="C421" i="11"/>
  <c r="D421" i="11"/>
  <c r="G421" i="11"/>
  <c r="I421" i="11"/>
  <c r="J421" i="11"/>
  <c r="B421" i="11"/>
  <c r="E421" i="11"/>
  <c r="J417" i="11"/>
  <c r="B417" i="11"/>
  <c r="I417" i="11"/>
  <c r="C417" i="11"/>
  <c r="E417" i="11"/>
  <c r="G417" i="11"/>
  <c r="D417" i="11"/>
  <c r="J415" i="11"/>
  <c r="B415" i="11"/>
  <c r="G415" i="11"/>
  <c r="I415" i="11"/>
  <c r="D415" i="11"/>
  <c r="E415" i="11"/>
  <c r="C415" i="11"/>
  <c r="D414" i="11"/>
  <c r="C414" i="11"/>
  <c r="E414" i="11"/>
  <c r="J414" i="11"/>
  <c r="I414" i="11"/>
  <c r="G414" i="11"/>
  <c r="B414" i="11"/>
  <c r="J410" i="11"/>
  <c r="D410" i="11"/>
  <c r="E410" i="11"/>
  <c r="B410" i="11"/>
  <c r="C410" i="11"/>
  <c r="I410" i="11"/>
  <c r="G410" i="11"/>
  <c r="G405" i="11"/>
  <c r="I405" i="11"/>
  <c r="B405" i="11"/>
  <c r="E405" i="11"/>
  <c r="C405" i="11"/>
  <c r="D405" i="11"/>
  <c r="H405" i="11" s="1"/>
  <c r="J405" i="11"/>
  <c r="C404" i="11"/>
  <c r="I404" i="11"/>
  <c r="D404" i="11"/>
  <c r="E404" i="11"/>
  <c r="G404" i="11"/>
  <c r="B404" i="11"/>
  <c r="J404" i="11"/>
  <c r="J403" i="11"/>
  <c r="I403" i="11"/>
  <c r="C403" i="11"/>
  <c r="D403" i="11"/>
  <c r="B403" i="11"/>
  <c r="G403" i="11"/>
  <c r="E403" i="11"/>
  <c r="E402" i="11"/>
  <c r="G402" i="11"/>
  <c r="D402" i="11"/>
  <c r="F402" i="11" s="1"/>
  <c r="I402" i="11"/>
  <c r="C402" i="11"/>
  <c r="J402" i="11"/>
  <c r="B402" i="11"/>
  <c r="J401" i="11"/>
  <c r="E401" i="11"/>
  <c r="C401" i="11"/>
  <c r="I401" i="11"/>
  <c r="B401" i="11"/>
  <c r="D401" i="11"/>
  <c r="G401" i="11"/>
  <c r="J400" i="11"/>
  <c r="I400" i="11"/>
  <c r="E400" i="11"/>
  <c r="G400" i="11"/>
  <c r="D400" i="11"/>
  <c r="C400" i="11"/>
  <c r="B400" i="11"/>
  <c r="G399" i="11"/>
  <c r="J399" i="11"/>
  <c r="E399" i="11"/>
  <c r="I399" i="11"/>
  <c r="D399" i="11"/>
  <c r="B399" i="11"/>
  <c r="C399" i="11"/>
  <c r="E398" i="11"/>
  <c r="G398" i="11"/>
  <c r="B398" i="11"/>
  <c r="C398" i="11"/>
  <c r="I398" i="11"/>
  <c r="J398" i="11"/>
  <c r="D398" i="11"/>
  <c r="B397" i="11"/>
  <c r="G397" i="11"/>
  <c r="J397" i="11"/>
  <c r="C397" i="11"/>
  <c r="I397" i="11"/>
  <c r="E397" i="11"/>
  <c r="D397" i="11"/>
  <c r="F397" i="11" s="1"/>
  <c r="C396" i="11"/>
  <c r="D396" i="11"/>
  <c r="B396" i="11"/>
  <c r="J396" i="11"/>
  <c r="I396" i="11"/>
  <c r="E396" i="11"/>
  <c r="G396" i="11"/>
  <c r="E395" i="11"/>
  <c r="G395" i="11"/>
  <c r="B395" i="11"/>
  <c r="I395" i="11"/>
  <c r="D395" i="11"/>
  <c r="C395" i="11"/>
  <c r="J395" i="11"/>
  <c r="G394" i="11"/>
  <c r="E394" i="11"/>
  <c r="J394" i="11"/>
  <c r="I394" i="11"/>
  <c r="C394" i="11"/>
  <c r="D394" i="11"/>
  <c r="B394" i="11"/>
  <c r="C393" i="11"/>
  <c r="E393" i="11"/>
  <c r="I393" i="11"/>
  <c r="G393" i="11"/>
  <c r="D393" i="11"/>
  <c r="B393" i="11"/>
  <c r="J393" i="11"/>
  <c r="E392" i="11"/>
  <c r="B392" i="11"/>
  <c r="G392" i="11"/>
  <c r="C392" i="11"/>
  <c r="D392" i="11"/>
  <c r="I392" i="11"/>
  <c r="J392" i="11"/>
  <c r="E391" i="11"/>
  <c r="G391" i="11"/>
  <c r="B391" i="11"/>
  <c r="J391" i="11"/>
  <c r="I391" i="11"/>
  <c r="D391" i="11"/>
  <c r="C391" i="11"/>
  <c r="B390" i="11"/>
  <c r="I390" i="11"/>
  <c r="E390" i="11"/>
  <c r="D390" i="11"/>
  <c r="G390" i="11"/>
  <c r="C390" i="11"/>
  <c r="J390" i="11"/>
  <c r="I389" i="11"/>
  <c r="D389" i="11"/>
  <c r="J389" i="11"/>
  <c r="G389" i="11"/>
  <c r="C389" i="11"/>
  <c r="E389" i="11"/>
  <c r="B389" i="11"/>
  <c r="I388" i="11"/>
  <c r="J388" i="11"/>
  <c r="B388" i="11"/>
  <c r="D388" i="11"/>
  <c r="C388" i="11"/>
  <c r="E388" i="11"/>
  <c r="G388" i="11"/>
  <c r="I387" i="11"/>
  <c r="C387" i="11"/>
  <c r="E387" i="11"/>
  <c r="B387" i="11"/>
  <c r="J387" i="11"/>
  <c r="G387" i="11"/>
  <c r="D387" i="11"/>
  <c r="D386" i="11"/>
  <c r="E386" i="11"/>
  <c r="G386" i="11"/>
  <c r="I386" i="11"/>
  <c r="C386" i="11"/>
  <c r="J386" i="11"/>
  <c r="B386" i="11"/>
  <c r="I385" i="11"/>
  <c r="C385" i="11"/>
  <c r="E385" i="11"/>
  <c r="D385" i="11"/>
  <c r="B385" i="11"/>
  <c r="G385" i="11"/>
  <c r="J385" i="11"/>
  <c r="D384" i="11"/>
  <c r="G384" i="11"/>
  <c r="C384" i="11"/>
  <c r="E384" i="11"/>
  <c r="I384" i="11"/>
  <c r="B384" i="11"/>
  <c r="J384" i="11"/>
  <c r="J383" i="11"/>
  <c r="G383" i="11"/>
  <c r="B383" i="11"/>
  <c r="E383" i="11"/>
  <c r="C383" i="11"/>
  <c r="I383" i="11"/>
  <c r="D383" i="11"/>
  <c r="C382" i="11"/>
  <c r="D382" i="11"/>
  <c r="J382" i="11"/>
  <c r="E382" i="11"/>
  <c r="G382" i="11"/>
  <c r="B382" i="11"/>
  <c r="I382" i="11"/>
  <c r="B381" i="11"/>
  <c r="G381" i="11"/>
  <c r="J381" i="11"/>
  <c r="C381" i="11"/>
  <c r="D381" i="11"/>
  <c r="I381" i="11"/>
  <c r="E381" i="11"/>
  <c r="C379" i="11"/>
  <c r="I379" i="11"/>
  <c r="E379" i="11"/>
  <c r="J379" i="11"/>
  <c r="G379" i="11"/>
  <c r="B379" i="11"/>
  <c r="D379" i="11"/>
  <c r="H379" i="11" s="1"/>
  <c r="D378" i="11"/>
  <c r="J378" i="11"/>
  <c r="I378" i="11"/>
  <c r="B378" i="11"/>
  <c r="E378" i="11"/>
  <c r="G378" i="11"/>
  <c r="C378" i="11"/>
  <c r="E377" i="11"/>
  <c r="C377" i="11"/>
  <c r="J377" i="11"/>
  <c r="G377" i="11"/>
  <c r="D377" i="11"/>
  <c r="B377" i="11"/>
  <c r="I377" i="11"/>
  <c r="G376" i="11"/>
  <c r="C376" i="11"/>
  <c r="I376" i="11"/>
  <c r="E376" i="11"/>
  <c r="B376" i="11"/>
  <c r="D376" i="11"/>
  <c r="J376" i="11"/>
  <c r="J375" i="11"/>
  <c r="B375" i="11"/>
  <c r="E375" i="11"/>
  <c r="G375" i="11"/>
  <c r="C375" i="11"/>
  <c r="D375" i="11"/>
  <c r="H375" i="11" s="1"/>
  <c r="I375" i="11"/>
  <c r="J374" i="11"/>
  <c r="G374" i="11"/>
  <c r="D374" i="11"/>
  <c r="B374" i="11"/>
  <c r="I374" i="11"/>
  <c r="C374" i="11"/>
  <c r="E374" i="11"/>
  <c r="G373" i="11"/>
  <c r="C373" i="11"/>
  <c r="I373" i="11"/>
  <c r="J373" i="11"/>
  <c r="D373" i="11"/>
  <c r="H373" i="11" s="1"/>
  <c r="B373" i="11"/>
  <c r="E373" i="11"/>
  <c r="G372" i="11"/>
  <c r="E372" i="11"/>
  <c r="C372" i="11"/>
  <c r="J372" i="11"/>
  <c r="I372" i="11"/>
  <c r="D372" i="11"/>
  <c r="H372" i="11" s="1"/>
  <c r="B372" i="11"/>
  <c r="B371" i="11"/>
  <c r="D371" i="11"/>
  <c r="G371" i="11"/>
  <c r="J371" i="11"/>
  <c r="E371" i="11"/>
  <c r="I371" i="11"/>
  <c r="C371" i="11"/>
  <c r="J370" i="11"/>
  <c r="G370" i="11"/>
  <c r="I370" i="11"/>
  <c r="D370" i="11"/>
  <c r="H370" i="11" s="1"/>
  <c r="E370" i="11"/>
  <c r="B370" i="11"/>
  <c r="C370" i="11"/>
  <c r="D369" i="11"/>
  <c r="B369" i="11"/>
  <c r="J369" i="11"/>
  <c r="C369" i="11"/>
  <c r="G369" i="11"/>
  <c r="I369" i="11"/>
  <c r="E369" i="11"/>
  <c r="F369" i="11" s="1"/>
  <c r="I368" i="11"/>
  <c r="D368" i="11"/>
  <c r="B368" i="11"/>
  <c r="G368" i="11"/>
  <c r="C368" i="11"/>
  <c r="E368" i="11"/>
  <c r="J368" i="11"/>
  <c r="D367" i="11"/>
  <c r="J367" i="11"/>
  <c r="G367" i="11"/>
  <c r="E367" i="11"/>
  <c r="I367" i="11"/>
  <c r="B367" i="11"/>
  <c r="C367" i="11"/>
  <c r="G366" i="11"/>
  <c r="J366" i="11"/>
  <c r="E366" i="11"/>
  <c r="B366" i="11"/>
  <c r="C366" i="11"/>
  <c r="D366" i="11"/>
  <c r="F366" i="11" s="1"/>
  <c r="I366" i="11"/>
  <c r="B365" i="11"/>
  <c r="C365" i="11"/>
  <c r="J365" i="11"/>
  <c r="I365" i="11"/>
  <c r="E365" i="11"/>
  <c r="G365" i="11"/>
  <c r="D365" i="11"/>
  <c r="G364" i="11"/>
  <c r="D364" i="11"/>
  <c r="I364" i="11"/>
  <c r="J364" i="11"/>
  <c r="E364" i="11"/>
  <c r="C364" i="11"/>
  <c r="B364" i="11"/>
  <c r="J363" i="11"/>
  <c r="C363" i="11"/>
  <c r="D363" i="11"/>
  <c r="E363" i="11"/>
  <c r="B363" i="11"/>
  <c r="G363" i="11"/>
  <c r="I363" i="11"/>
  <c r="J362" i="11"/>
  <c r="B362" i="11"/>
  <c r="C362" i="11"/>
  <c r="G362" i="11"/>
  <c r="I362" i="11"/>
  <c r="D362" i="11"/>
  <c r="H362" i="11" s="1"/>
  <c r="E362" i="11"/>
  <c r="B361" i="11"/>
  <c r="E361" i="11"/>
  <c r="J361" i="11"/>
  <c r="D361" i="11"/>
  <c r="I361" i="11"/>
  <c r="G361" i="11"/>
  <c r="C361" i="11"/>
  <c r="I360" i="11"/>
  <c r="G360" i="11"/>
  <c r="J360" i="11"/>
  <c r="D360" i="11"/>
  <c r="E360" i="11"/>
  <c r="C360" i="11"/>
  <c r="B360" i="11"/>
  <c r="C359" i="11"/>
  <c r="I359" i="11"/>
  <c r="E359" i="11"/>
  <c r="B359" i="11"/>
  <c r="D359" i="11"/>
  <c r="G359" i="11"/>
  <c r="J359" i="11"/>
  <c r="E358" i="11"/>
  <c r="C358" i="11"/>
  <c r="D358" i="11"/>
  <c r="J358" i="11"/>
  <c r="I358" i="11"/>
  <c r="G358" i="11"/>
  <c r="B358" i="11"/>
  <c r="I357" i="11"/>
  <c r="D357" i="11"/>
  <c r="E357" i="11"/>
  <c r="J357" i="11"/>
  <c r="C357" i="11"/>
  <c r="G357" i="11"/>
  <c r="B357" i="11"/>
  <c r="J356" i="11"/>
  <c r="E356" i="11"/>
  <c r="G356" i="11"/>
  <c r="B356" i="11"/>
  <c r="C356" i="11"/>
  <c r="I356" i="11"/>
  <c r="D356" i="11"/>
  <c r="I355" i="11"/>
  <c r="C355" i="11"/>
  <c r="E355" i="11"/>
  <c r="G355" i="11"/>
  <c r="B355" i="11"/>
  <c r="D355" i="11"/>
  <c r="J355" i="11"/>
  <c r="G354" i="11"/>
  <c r="J354" i="11"/>
  <c r="I354" i="11"/>
  <c r="E354" i="11"/>
  <c r="B354" i="11"/>
  <c r="C354" i="11"/>
  <c r="D354" i="11"/>
  <c r="H354" i="11" s="1"/>
  <c r="I353" i="11"/>
  <c r="E353" i="11"/>
  <c r="C353" i="11"/>
  <c r="B353" i="11"/>
  <c r="J353" i="11"/>
  <c r="G353" i="11"/>
  <c r="D353" i="11"/>
  <c r="F353" i="11" s="1"/>
  <c r="I352" i="11"/>
  <c r="E352" i="11"/>
  <c r="D352" i="11"/>
  <c r="B352" i="11"/>
  <c r="G352" i="11"/>
  <c r="C352" i="11"/>
  <c r="J352" i="11"/>
  <c r="I351" i="11"/>
  <c r="D351" i="11"/>
  <c r="C351" i="11"/>
  <c r="E351" i="11"/>
  <c r="J351" i="11"/>
  <c r="G351" i="11"/>
  <c r="B351" i="11"/>
  <c r="G350" i="11"/>
  <c r="B350" i="11"/>
  <c r="D350" i="11"/>
  <c r="C350" i="11"/>
  <c r="J350" i="11"/>
  <c r="I350" i="11"/>
  <c r="E350" i="11"/>
  <c r="B349" i="11"/>
  <c r="I349" i="11"/>
  <c r="C349" i="11"/>
  <c r="E349" i="11"/>
  <c r="G349" i="11"/>
  <c r="D349" i="11"/>
  <c r="J349" i="11"/>
  <c r="C348" i="11"/>
  <c r="J348" i="11"/>
  <c r="D348" i="11"/>
  <c r="I348" i="11"/>
  <c r="B348" i="11"/>
  <c r="G348" i="11"/>
  <c r="E348" i="11"/>
  <c r="E347" i="11"/>
  <c r="B347" i="11"/>
  <c r="D347" i="11"/>
  <c r="G347" i="11"/>
  <c r="J347" i="11"/>
  <c r="I347" i="11"/>
  <c r="C347" i="11"/>
  <c r="D346" i="11"/>
  <c r="C346" i="11"/>
  <c r="J346" i="11"/>
  <c r="E346" i="11"/>
  <c r="G346" i="11"/>
  <c r="B346" i="11"/>
  <c r="I346" i="11"/>
  <c r="G345" i="11"/>
  <c r="B345" i="11"/>
  <c r="E345" i="11"/>
  <c r="I345" i="11"/>
  <c r="J345" i="11"/>
  <c r="C345" i="11"/>
  <c r="D345" i="11"/>
  <c r="C344" i="11"/>
  <c r="G344" i="11"/>
  <c r="I344" i="11"/>
  <c r="J344" i="11"/>
  <c r="B344" i="11"/>
  <c r="D344" i="11"/>
  <c r="H344" i="11" s="1"/>
  <c r="E344" i="11"/>
  <c r="J343" i="11"/>
  <c r="B343" i="11"/>
  <c r="D343" i="11"/>
  <c r="C343" i="11"/>
  <c r="E343" i="11"/>
  <c r="G343" i="11"/>
  <c r="I343" i="11"/>
  <c r="C342" i="11"/>
  <c r="I342" i="11"/>
  <c r="D342" i="11"/>
  <c r="G342" i="11"/>
  <c r="J342" i="11"/>
  <c r="B342" i="11"/>
  <c r="E342" i="11"/>
  <c r="D341" i="11"/>
  <c r="B341" i="11"/>
  <c r="J341" i="11"/>
  <c r="E341" i="11"/>
  <c r="C341" i="11"/>
  <c r="I341" i="11"/>
  <c r="G341" i="11"/>
  <c r="C340" i="11"/>
  <c r="I340" i="11"/>
  <c r="G340" i="11"/>
  <c r="D340" i="11"/>
  <c r="E340" i="11"/>
  <c r="B340" i="11"/>
  <c r="J340" i="11"/>
  <c r="E339" i="11"/>
  <c r="D339" i="11"/>
  <c r="B339" i="11"/>
  <c r="I339" i="11"/>
  <c r="C339" i="11"/>
  <c r="J339" i="11"/>
  <c r="G339" i="11"/>
  <c r="B338" i="11"/>
  <c r="D338" i="11"/>
  <c r="G338" i="11"/>
  <c r="E338" i="11"/>
  <c r="C338" i="11"/>
  <c r="I338" i="11"/>
  <c r="J338" i="11"/>
  <c r="G337" i="11"/>
  <c r="C337" i="11"/>
  <c r="B337" i="11"/>
  <c r="I337" i="11"/>
  <c r="E337" i="11"/>
  <c r="D337" i="11"/>
  <c r="J337" i="11"/>
  <c r="D336" i="11"/>
  <c r="E336" i="11"/>
  <c r="G336" i="11"/>
  <c r="B336" i="11"/>
  <c r="J336" i="11"/>
  <c r="C336" i="11"/>
  <c r="I336" i="11"/>
  <c r="G335" i="11"/>
  <c r="C335" i="11"/>
  <c r="I335" i="11"/>
  <c r="D335" i="11"/>
  <c r="E335" i="11"/>
  <c r="J335" i="11"/>
  <c r="B335" i="11"/>
  <c r="I334" i="11"/>
  <c r="D334" i="11"/>
  <c r="E334" i="11"/>
  <c r="B334" i="11"/>
  <c r="J334" i="11"/>
  <c r="C334" i="11"/>
  <c r="G334" i="11"/>
  <c r="D333" i="11"/>
  <c r="B333" i="11"/>
  <c r="E333" i="11"/>
  <c r="C333" i="11"/>
  <c r="J333" i="11"/>
  <c r="G333" i="11"/>
  <c r="I333" i="11"/>
  <c r="J332" i="11"/>
  <c r="B332" i="11"/>
  <c r="E332" i="11"/>
  <c r="I332" i="11"/>
  <c r="D332" i="11"/>
  <c r="C332" i="11"/>
  <c r="G332" i="11"/>
  <c r="J331" i="11"/>
  <c r="G331" i="11"/>
  <c r="E331" i="11"/>
  <c r="C331" i="11"/>
  <c r="D331" i="11"/>
  <c r="B331" i="11"/>
  <c r="I331" i="11"/>
  <c r="D330" i="11"/>
  <c r="G330" i="11"/>
  <c r="I330" i="11"/>
  <c r="B330" i="11"/>
  <c r="C330" i="11"/>
  <c r="E330" i="11"/>
  <c r="J330" i="11"/>
  <c r="B329" i="11"/>
  <c r="D329" i="11"/>
  <c r="E329" i="11"/>
  <c r="J329" i="11"/>
  <c r="I329" i="11"/>
  <c r="C329" i="11"/>
  <c r="G329" i="11"/>
  <c r="D328" i="11"/>
  <c r="J328" i="11"/>
  <c r="G328" i="11"/>
  <c r="C328" i="11"/>
  <c r="B328" i="11"/>
  <c r="E328" i="11"/>
  <c r="I328" i="11"/>
  <c r="E327" i="11"/>
  <c r="C327" i="11"/>
  <c r="J327" i="11"/>
  <c r="G327" i="11"/>
  <c r="I327" i="11"/>
  <c r="B327" i="11"/>
  <c r="D327" i="11"/>
  <c r="D326" i="11"/>
  <c r="I326" i="11"/>
  <c r="C326" i="11"/>
  <c r="B326" i="11"/>
  <c r="G326" i="11"/>
  <c r="J326" i="11"/>
  <c r="E326" i="11"/>
  <c r="C325" i="11"/>
  <c r="E325" i="11"/>
  <c r="D325" i="11"/>
  <c r="J325" i="11"/>
  <c r="B325" i="11"/>
  <c r="I325" i="11"/>
  <c r="G325" i="11"/>
  <c r="G324" i="11"/>
  <c r="E324" i="11"/>
  <c r="D324" i="11"/>
  <c r="H324" i="11" s="1"/>
  <c r="B324" i="11"/>
  <c r="C324" i="11"/>
  <c r="J324" i="11"/>
  <c r="I324" i="11"/>
  <c r="I323" i="11"/>
  <c r="C323" i="11"/>
  <c r="D323" i="11"/>
  <c r="J323" i="11"/>
  <c r="E323" i="11"/>
  <c r="B323" i="11"/>
  <c r="G323" i="11"/>
  <c r="I322" i="11"/>
  <c r="D322" i="11"/>
  <c r="E322" i="11"/>
  <c r="J322" i="11"/>
  <c r="G322" i="11"/>
  <c r="C322" i="11"/>
  <c r="B322" i="11"/>
  <c r="E321" i="11"/>
  <c r="C321" i="11"/>
  <c r="I321" i="11"/>
  <c r="G321" i="11"/>
  <c r="D321" i="11"/>
  <c r="F321" i="11" s="1"/>
  <c r="J321" i="11"/>
  <c r="B321" i="11"/>
  <c r="G320" i="11"/>
  <c r="E320" i="11"/>
  <c r="J320" i="11"/>
  <c r="I320" i="11"/>
  <c r="C320" i="11"/>
  <c r="D320" i="11"/>
  <c r="B320" i="11"/>
  <c r="I318" i="11"/>
  <c r="D318" i="11"/>
  <c r="C318" i="11"/>
  <c r="J318" i="11"/>
  <c r="G318" i="11"/>
  <c r="E318" i="11"/>
  <c r="B318" i="11"/>
  <c r="E317" i="11"/>
  <c r="I317" i="11"/>
  <c r="B317" i="11"/>
  <c r="D317" i="11"/>
  <c r="J317" i="11"/>
  <c r="G317" i="11"/>
  <c r="C317" i="11"/>
  <c r="C316" i="11"/>
  <c r="D316" i="11"/>
  <c r="E316" i="11"/>
  <c r="I316" i="11"/>
  <c r="B316" i="11"/>
  <c r="J316" i="11"/>
  <c r="G316" i="11"/>
  <c r="D315" i="11"/>
  <c r="B315" i="11"/>
  <c r="I315" i="11"/>
  <c r="C315" i="11"/>
  <c r="E315" i="11"/>
  <c r="J315" i="11"/>
  <c r="G315" i="11"/>
  <c r="I314" i="11"/>
  <c r="C314" i="11"/>
  <c r="J314" i="11"/>
  <c r="E314" i="11"/>
  <c r="B314" i="11"/>
  <c r="G314" i="11"/>
  <c r="D314" i="11"/>
  <c r="F314" i="11" s="1"/>
  <c r="C313" i="11"/>
  <c r="J313" i="11"/>
  <c r="B313" i="11"/>
  <c r="G313" i="11"/>
  <c r="I313" i="11"/>
  <c r="D313" i="11"/>
  <c r="E313" i="11"/>
  <c r="E312" i="11"/>
  <c r="J312" i="11"/>
  <c r="G312" i="11"/>
  <c r="C312" i="11"/>
  <c r="B312" i="11"/>
  <c r="I312" i="11"/>
  <c r="D312" i="11"/>
  <c r="C311" i="11"/>
  <c r="I311" i="11"/>
  <c r="D311" i="11"/>
  <c r="J311" i="11"/>
  <c r="E311" i="11"/>
  <c r="B311" i="11"/>
  <c r="G311" i="11"/>
  <c r="B310" i="11"/>
  <c r="E310" i="11"/>
  <c r="D310" i="11"/>
  <c r="J310" i="11"/>
  <c r="I310" i="11"/>
  <c r="C310" i="11"/>
  <c r="G310" i="11"/>
  <c r="G309" i="11"/>
  <c r="D309" i="11"/>
  <c r="J309" i="11"/>
  <c r="B309" i="11"/>
  <c r="E309" i="11"/>
  <c r="I309" i="11"/>
  <c r="C309" i="11"/>
  <c r="G308" i="11"/>
  <c r="D308" i="11"/>
  <c r="C308" i="11"/>
  <c r="J308" i="11"/>
  <c r="I308" i="11"/>
  <c r="B308" i="11"/>
  <c r="E308" i="11"/>
  <c r="J307" i="11"/>
  <c r="D307" i="11"/>
  <c r="B307" i="11"/>
  <c r="C307" i="11"/>
  <c r="I307" i="11"/>
  <c r="G307" i="11"/>
  <c r="E307" i="11"/>
  <c r="C306" i="11"/>
  <c r="J306" i="11"/>
  <c r="D306" i="11"/>
  <c r="B306" i="11"/>
  <c r="E306" i="11"/>
  <c r="I306" i="11"/>
  <c r="G306" i="11"/>
  <c r="I305" i="11"/>
  <c r="C305" i="11"/>
  <c r="D305" i="11"/>
  <c r="E305" i="11"/>
  <c r="J305" i="11"/>
  <c r="B305" i="11"/>
  <c r="G305" i="11"/>
  <c r="G304" i="11"/>
  <c r="B304" i="11"/>
  <c r="I304" i="11"/>
  <c r="D304" i="11"/>
  <c r="J304" i="11"/>
  <c r="E304" i="11"/>
  <c r="C304" i="11"/>
  <c r="E303" i="11"/>
  <c r="G303" i="11"/>
  <c r="J303" i="11"/>
  <c r="B303" i="11"/>
  <c r="I303" i="11"/>
  <c r="D303" i="11"/>
  <c r="H303" i="11" s="1"/>
  <c r="C303" i="11"/>
  <c r="E302" i="11"/>
  <c r="B302" i="11"/>
  <c r="G302" i="11"/>
  <c r="I302" i="11"/>
  <c r="J302" i="11"/>
  <c r="C302" i="11"/>
  <c r="D302" i="11"/>
  <c r="G301" i="11"/>
  <c r="C301" i="11"/>
  <c r="B301" i="11"/>
  <c r="D301" i="11"/>
  <c r="I301" i="11"/>
  <c r="J301" i="11"/>
  <c r="E301" i="11"/>
  <c r="D300" i="11"/>
  <c r="C300" i="11"/>
  <c r="J300" i="11"/>
  <c r="E300" i="11"/>
  <c r="G300" i="11"/>
  <c r="I300" i="11"/>
  <c r="B300" i="11"/>
  <c r="E299" i="11"/>
  <c r="I299" i="11"/>
  <c r="J299" i="11"/>
  <c r="C299" i="11"/>
  <c r="D299" i="11"/>
  <c r="G299" i="11"/>
  <c r="B299" i="11"/>
  <c r="C298" i="11"/>
  <c r="J298" i="11"/>
  <c r="G298" i="11"/>
  <c r="D298" i="11"/>
  <c r="B298" i="11"/>
  <c r="I298" i="11"/>
  <c r="E298" i="11"/>
  <c r="C297" i="11"/>
  <c r="I297" i="11"/>
  <c r="E297" i="11"/>
  <c r="J297" i="11"/>
  <c r="G297" i="11"/>
  <c r="D297" i="11"/>
  <c r="F297" i="11" s="1"/>
  <c r="B297" i="11"/>
  <c r="B296" i="11"/>
  <c r="E296" i="11"/>
  <c r="C296" i="11"/>
  <c r="J296" i="11"/>
  <c r="D296" i="11"/>
  <c r="F296" i="11" s="1"/>
  <c r="G296" i="11"/>
  <c r="I296" i="11"/>
  <c r="J295" i="11"/>
  <c r="D295" i="11"/>
  <c r="C295" i="11"/>
  <c r="B295" i="11"/>
  <c r="G295" i="11"/>
  <c r="E295" i="11"/>
  <c r="I295" i="11"/>
  <c r="D294" i="11"/>
  <c r="C294" i="11"/>
  <c r="G294" i="11"/>
  <c r="J294" i="11"/>
  <c r="B294" i="11"/>
  <c r="E294" i="11"/>
  <c r="I294" i="11"/>
  <c r="B293" i="11"/>
  <c r="I293" i="11"/>
  <c r="J293" i="11"/>
  <c r="C293" i="11"/>
  <c r="D293" i="11"/>
  <c r="E293" i="11"/>
  <c r="G293" i="11"/>
  <c r="E291" i="11"/>
  <c r="D291" i="11"/>
  <c r="J291" i="11"/>
  <c r="B291" i="11"/>
  <c r="C291" i="11"/>
  <c r="I291" i="11"/>
  <c r="G291" i="11"/>
  <c r="E289" i="11"/>
  <c r="B289" i="11"/>
  <c r="G289" i="11"/>
  <c r="C289" i="11"/>
  <c r="J289" i="11"/>
  <c r="I289" i="11"/>
  <c r="D289" i="11"/>
  <c r="F289" i="11" s="1"/>
  <c r="E288" i="11"/>
  <c r="G288" i="11"/>
  <c r="J288" i="11"/>
  <c r="I288" i="11"/>
  <c r="B288" i="11"/>
  <c r="C288" i="11"/>
  <c r="D288" i="11"/>
  <c r="E287" i="11"/>
  <c r="C287" i="11"/>
  <c r="B287" i="11"/>
  <c r="I287" i="11"/>
  <c r="D287" i="11"/>
  <c r="J287" i="11"/>
  <c r="G287" i="11"/>
  <c r="D286" i="11"/>
  <c r="C286" i="11"/>
  <c r="G286" i="11"/>
  <c r="I286" i="11"/>
  <c r="J286" i="11"/>
  <c r="B286" i="11"/>
  <c r="E286" i="11"/>
  <c r="J285" i="11"/>
  <c r="I285" i="11"/>
  <c r="D285" i="11"/>
  <c r="C285" i="11"/>
  <c r="G285" i="11"/>
  <c r="B285" i="11"/>
  <c r="E285" i="11"/>
  <c r="J282" i="11"/>
  <c r="G282" i="11"/>
  <c r="C282" i="11"/>
  <c r="I282" i="11"/>
  <c r="E282" i="11"/>
  <c r="B282" i="11"/>
  <c r="D282" i="11"/>
  <c r="E281" i="11"/>
  <c r="J281" i="11"/>
  <c r="D281" i="11"/>
  <c r="G281" i="11"/>
  <c r="C281" i="11"/>
  <c r="I281" i="11"/>
  <c r="B281" i="11"/>
  <c r="I278" i="11"/>
  <c r="J278" i="11"/>
  <c r="G278" i="11"/>
  <c r="B278" i="11"/>
  <c r="C278" i="11"/>
  <c r="D278" i="11"/>
  <c r="E278" i="11"/>
  <c r="E277" i="11"/>
  <c r="C277" i="11"/>
  <c r="B277" i="11"/>
  <c r="D277" i="11"/>
  <c r="F277" i="11" s="1"/>
  <c r="I277" i="11"/>
  <c r="G277" i="11"/>
  <c r="J277" i="11"/>
  <c r="C273" i="11"/>
  <c r="I273" i="11"/>
  <c r="J273" i="11"/>
  <c r="G273" i="11"/>
  <c r="E273" i="11"/>
  <c r="D273" i="11"/>
  <c r="B273" i="11"/>
  <c r="J272" i="11"/>
  <c r="C272" i="11"/>
  <c r="I272" i="11"/>
  <c r="D272" i="11"/>
  <c r="B272" i="11"/>
  <c r="E272" i="11"/>
  <c r="G272" i="11"/>
  <c r="B271" i="11"/>
  <c r="E271" i="11"/>
  <c r="I271" i="11"/>
  <c r="C271" i="11"/>
  <c r="D271" i="11"/>
  <c r="G271" i="11"/>
  <c r="J271" i="11"/>
  <c r="B270" i="11"/>
  <c r="E270" i="11"/>
  <c r="D270" i="11"/>
  <c r="G270" i="11"/>
  <c r="C270" i="11"/>
  <c r="I270" i="11"/>
  <c r="J270" i="11"/>
  <c r="B269" i="11"/>
  <c r="I269" i="11"/>
  <c r="G269" i="11"/>
  <c r="E269" i="11"/>
  <c r="D269" i="11"/>
  <c r="C269" i="11"/>
  <c r="J269" i="11"/>
  <c r="B268" i="11"/>
  <c r="E268" i="11"/>
  <c r="G268" i="11"/>
  <c r="C268" i="11"/>
  <c r="J268" i="11"/>
  <c r="D268" i="11"/>
  <c r="I268" i="11"/>
  <c r="E267" i="11"/>
  <c r="J267" i="11"/>
  <c r="B267" i="11"/>
  <c r="G267" i="11"/>
  <c r="D267" i="11"/>
  <c r="I267" i="11"/>
  <c r="C267" i="11"/>
  <c r="E263" i="11"/>
  <c r="I263" i="11"/>
  <c r="D263" i="11"/>
  <c r="J263" i="11"/>
  <c r="B263" i="11"/>
  <c r="G263" i="11"/>
  <c r="C263" i="11"/>
  <c r="D262" i="11"/>
  <c r="J262" i="11"/>
  <c r="E262" i="11"/>
  <c r="B262" i="11"/>
  <c r="I262" i="11"/>
  <c r="G262" i="11"/>
  <c r="C262" i="11"/>
  <c r="B257" i="11"/>
  <c r="G257" i="11"/>
  <c r="E257" i="11"/>
  <c r="J257" i="11"/>
  <c r="I257" i="11"/>
  <c r="C257" i="11"/>
  <c r="D257" i="11"/>
  <c r="D255" i="11"/>
  <c r="G255" i="11"/>
  <c r="E255" i="11"/>
  <c r="I255" i="11"/>
  <c r="J255" i="11"/>
  <c r="B255" i="11"/>
  <c r="C255" i="11"/>
  <c r="I253" i="11"/>
  <c r="C253" i="11"/>
  <c r="G253" i="11"/>
  <c r="J253" i="11"/>
  <c r="D253" i="11"/>
  <c r="E253" i="11"/>
  <c r="B253" i="11"/>
  <c r="B251" i="11"/>
  <c r="E251" i="11"/>
  <c r="J251" i="11"/>
  <c r="D251" i="11"/>
  <c r="G251" i="11"/>
  <c r="I251" i="11"/>
  <c r="C251" i="11"/>
  <c r="D248" i="11"/>
  <c r="J248" i="11"/>
  <c r="I248" i="11"/>
  <c r="G248" i="11"/>
  <c r="B248" i="11"/>
  <c r="C248" i="11"/>
  <c r="E248" i="11"/>
  <c r="D246" i="11"/>
  <c r="G246" i="11"/>
  <c r="J246" i="11"/>
  <c r="I246" i="11"/>
  <c r="B246" i="11"/>
  <c r="E246" i="11"/>
  <c r="C246" i="11"/>
  <c r="D245" i="11"/>
  <c r="I245" i="11"/>
  <c r="J245" i="11"/>
  <c r="B245" i="11"/>
  <c r="G245" i="11"/>
  <c r="C245" i="11"/>
  <c r="E245" i="11"/>
  <c r="D244" i="11"/>
  <c r="C244" i="11"/>
  <c r="B244" i="11"/>
  <c r="E244" i="11"/>
  <c r="J244" i="11"/>
  <c r="I244" i="11"/>
  <c r="G244" i="11"/>
  <c r="C241" i="11"/>
  <c r="E241" i="11"/>
  <c r="B241" i="11"/>
  <c r="D241" i="11"/>
  <c r="I241" i="11"/>
  <c r="G241" i="11"/>
  <c r="J241" i="11"/>
  <c r="E235" i="11"/>
  <c r="J235" i="11"/>
  <c r="C235" i="11"/>
  <c r="I235" i="11"/>
  <c r="G235" i="11"/>
  <c r="B235" i="11"/>
  <c r="D235" i="11"/>
  <c r="D234" i="11"/>
  <c r="B234" i="11"/>
  <c r="J234" i="11"/>
  <c r="I234" i="11"/>
  <c r="G234" i="11"/>
  <c r="C234" i="11"/>
  <c r="E234" i="11"/>
  <c r="E232" i="11"/>
  <c r="B232" i="11"/>
  <c r="I232" i="11"/>
  <c r="C232" i="11"/>
  <c r="J232" i="11"/>
  <c r="G232" i="11"/>
  <c r="D232" i="11"/>
  <c r="B231" i="11"/>
  <c r="E231" i="11"/>
  <c r="J231" i="11"/>
  <c r="D231" i="11"/>
  <c r="I231" i="11"/>
  <c r="C231" i="11"/>
  <c r="G231" i="11"/>
  <c r="J229" i="11"/>
  <c r="I229" i="11"/>
  <c r="E229" i="11"/>
  <c r="G229" i="11"/>
  <c r="B229" i="11"/>
  <c r="D229" i="11"/>
  <c r="C229" i="11"/>
  <c r="B228" i="11"/>
  <c r="J228" i="11"/>
  <c r="I228" i="11"/>
  <c r="E228" i="11"/>
  <c r="G228" i="11"/>
  <c r="C228" i="11"/>
  <c r="D228" i="11"/>
  <c r="E226" i="11"/>
  <c r="G226" i="11"/>
  <c r="J226" i="11"/>
  <c r="B226" i="11"/>
  <c r="D226" i="11"/>
  <c r="C226" i="11"/>
  <c r="I226" i="11"/>
  <c r="B225" i="11"/>
  <c r="I225" i="11"/>
  <c r="E225" i="11"/>
  <c r="G225" i="11"/>
  <c r="J225" i="11"/>
  <c r="C225" i="11"/>
  <c r="D225" i="11"/>
  <c r="F225" i="11" s="1"/>
  <c r="D223" i="11"/>
  <c r="I223" i="11"/>
  <c r="B223" i="11"/>
  <c r="E223" i="11"/>
  <c r="J223" i="11"/>
  <c r="G223" i="11"/>
  <c r="C223" i="11"/>
  <c r="G221" i="11"/>
  <c r="B221" i="11"/>
  <c r="I221" i="11"/>
  <c r="J221" i="11"/>
  <c r="C221" i="11"/>
  <c r="E221" i="11"/>
  <c r="D221" i="11"/>
  <c r="E220" i="11"/>
  <c r="B220" i="11"/>
  <c r="J220" i="11"/>
  <c r="C220" i="11"/>
  <c r="I220" i="11"/>
  <c r="G220" i="11"/>
  <c r="D220" i="11"/>
  <c r="B218" i="11"/>
  <c r="E218" i="11"/>
  <c r="G218" i="11"/>
  <c r="C218" i="11"/>
  <c r="J218" i="11"/>
  <c r="D218" i="11"/>
  <c r="I218" i="11"/>
  <c r="I216" i="11"/>
  <c r="C216" i="11"/>
  <c r="B216" i="11"/>
  <c r="E216" i="11"/>
  <c r="G216" i="11"/>
  <c r="J216" i="11"/>
  <c r="D216" i="11"/>
  <c r="I213" i="11"/>
  <c r="G213" i="11"/>
  <c r="D213" i="11"/>
  <c r="B213" i="11"/>
  <c r="J213" i="11"/>
  <c r="E213" i="11"/>
  <c r="C213" i="11"/>
  <c r="J212" i="11"/>
  <c r="I212" i="11"/>
  <c r="C212" i="11"/>
  <c r="D212" i="11"/>
  <c r="E212" i="11"/>
  <c r="G212" i="11"/>
  <c r="B212" i="11"/>
  <c r="J210" i="11"/>
  <c r="E210" i="11"/>
  <c r="B210" i="11"/>
  <c r="D210" i="11"/>
  <c r="G210" i="11"/>
  <c r="I210" i="11"/>
  <c r="C210" i="11"/>
  <c r="B205" i="11"/>
  <c r="E205" i="11"/>
  <c r="I205" i="11"/>
  <c r="C205" i="11"/>
  <c r="J205" i="11"/>
  <c r="G205" i="11"/>
  <c r="D205" i="11"/>
  <c r="J204" i="11"/>
  <c r="E204" i="11"/>
  <c r="D204" i="11"/>
  <c r="G204" i="11"/>
  <c r="I204" i="11"/>
  <c r="B204" i="11"/>
  <c r="C204" i="11"/>
  <c r="C203" i="11"/>
  <c r="D203" i="11"/>
  <c r="J203" i="11"/>
  <c r="B203" i="11"/>
  <c r="E203" i="11"/>
  <c r="G203" i="11"/>
  <c r="I203" i="11"/>
  <c r="J202" i="11"/>
  <c r="B202" i="11"/>
  <c r="D202" i="11"/>
  <c r="E202" i="11"/>
  <c r="I202" i="11"/>
  <c r="G202" i="11"/>
  <c r="C202" i="11"/>
  <c r="G200" i="11"/>
  <c r="I200" i="11"/>
  <c r="C200" i="11"/>
  <c r="D200" i="11"/>
  <c r="B200" i="11"/>
  <c r="E200" i="11"/>
  <c r="J200" i="11"/>
  <c r="G199" i="11"/>
  <c r="B199" i="11"/>
  <c r="C199" i="11"/>
  <c r="I199" i="11"/>
  <c r="D199" i="11"/>
  <c r="J199" i="11"/>
  <c r="E199" i="11"/>
  <c r="B195" i="11"/>
  <c r="D195" i="11"/>
  <c r="J195" i="11"/>
  <c r="E195" i="11"/>
  <c r="I195" i="11"/>
  <c r="C195" i="11"/>
  <c r="G195" i="11"/>
  <c r="C191" i="11"/>
  <c r="E191" i="11"/>
  <c r="J191" i="11"/>
  <c r="D191" i="11"/>
  <c r="G191" i="11"/>
  <c r="B191" i="11"/>
  <c r="I191" i="11"/>
  <c r="E189" i="11"/>
  <c r="J189" i="11"/>
  <c r="D189" i="11"/>
  <c r="I189" i="11"/>
  <c r="C189" i="11"/>
  <c r="B189" i="11"/>
  <c r="G189" i="11"/>
  <c r="J187" i="11"/>
  <c r="E187" i="11"/>
  <c r="B187" i="11"/>
  <c r="D187" i="11"/>
  <c r="I187" i="11"/>
  <c r="C187" i="11"/>
  <c r="G187" i="11"/>
  <c r="G186" i="11"/>
  <c r="E186" i="11"/>
  <c r="B186" i="11"/>
  <c r="I186" i="11"/>
  <c r="D186" i="11"/>
  <c r="H186" i="11" s="1"/>
  <c r="J186" i="11"/>
  <c r="C186" i="11"/>
  <c r="D181" i="11"/>
  <c r="J181" i="11"/>
  <c r="E181" i="11"/>
  <c r="B181" i="11"/>
  <c r="G181" i="11"/>
  <c r="C181" i="11"/>
  <c r="I181" i="11"/>
  <c r="I180" i="11"/>
  <c r="E180" i="11"/>
  <c r="J180" i="11"/>
  <c r="G180" i="11"/>
  <c r="C180" i="11"/>
  <c r="B180" i="11"/>
  <c r="D180" i="11"/>
  <c r="G179" i="11"/>
  <c r="C179" i="11"/>
  <c r="D179" i="11"/>
  <c r="B179" i="11"/>
  <c r="J179" i="11"/>
  <c r="E179" i="11"/>
  <c r="I179" i="11"/>
  <c r="E178" i="11"/>
  <c r="C178" i="11"/>
  <c r="I178" i="11"/>
  <c r="D178" i="11"/>
  <c r="J178" i="11"/>
  <c r="G178" i="11"/>
  <c r="B178" i="11"/>
  <c r="C177" i="11"/>
  <c r="I177" i="11"/>
  <c r="G177" i="11"/>
  <c r="J177" i="11"/>
  <c r="E177" i="11"/>
  <c r="B177" i="11"/>
  <c r="D177" i="11"/>
  <c r="F177" i="11" s="1"/>
  <c r="J176" i="11"/>
  <c r="G176" i="11"/>
  <c r="B176" i="11"/>
  <c r="C176" i="11"/>
  <c r="D176" i="11"/>
  <c r="I176" i="11"/>
  <c r="E176" i="11"/>
  <c r="D175" i="11"/>
  <c r="J175" i="11"/>
  <c r="G175" i="11"/>
  <c r="C175" i="11"/>
  <c r="I175" i="11"/>
  <c r="E175" i="11"/>
  <c r="B175" i="11"/>
  <c r="E174" i="11"/>
  <c r="G174" i="11"/>
  <c r="D174" i="11"/>
  <c r="I174" i="11"/>
  <c r="J174" i="11"/>
  <c r="C174" i="11"/>
  <c r="B174" i="11"/>
  <c r="E173" i="11"/>
  <c r="I173" i="11"/>
  <c r="G173" i="11"/>
  <c r="C173" i="11"/>
  <c r="D173" i="11"/>
  <c r="J173" i="11"/>
  <c r="B173" i="11"/>
  <c r="B172" i="11"/>
  <c r="E172" i="11"/>
  <c r="I172" i="11"/>
  <c r="D172" i="11"/>
  <c r="J172" i="11"/>
  <c r="C172" i="11"/>
  <c r="G172" i="11"/>
  <c r="J171" i="11"/>
  <c r="D171" i="11"/>
  <c r="C171" i="11"/>
  <c r="E171" i="11"/>
  <c r="I171" i="11"/>
  <c r="B171" i="11"/>
  <c r="G171" i="11"/>
  <c r="J170" i="11"/>
  <c r="G170" i="11"/>
  <c r="D170" i="11"/>
  <c r="B170" i="11"/>
  <c r="C170" i="11"/>
  <c r="E170" i="11"/>
  <c r="I170" i="11"/>
  <c r="B169" i="11"/>
  <c r="E169" i="11"/>
  <c r="I169" i="11"/>
  <c r="C169" i="11"/>
  <c r="G169" i="11"/>
  <c r="D169" i="11"/>
  <c r="J169" i="11"/>
  <c r="I168" i="11"/>
  <c r="E168" i="11"/>
  <c r="C168" i="11"/>
  <c r="D168" i="11"/>
  <c r="J168" i="11"/>
  <c r="G168" i="11"/>
  <c r="B168" i="11"/>
  <c r="I167" i="11"/>
  <c r="E167" i="11"/>
  <c r="B167" i="11"/>
  <c r="C167" i="11"/>
  <c r="G167" i="11"/>
  <c r="J167" i="11"/>
  <c r="D167" i="11"/>
  <c r="B165" i="11"/>
  <c r="I165" i="11"/>
  <c r="D165" i="11"/>
  <c r="G165" i="11"/>
  <c r="C165" i="11"/>
  <c r="E165" i="11"/>
  <c r="J165" i="11"/>
  <c r="E164" i="11"/>
  <c r="B164" i="11"/>
  <c r="C164" i="11"/>
  <c r="G164" i="11"/>
  <c r="D164" i="11"/>
  <c r="H164" i="11" s="1"/>
  <c r="I164" i="11"/>
  <c r="J164" i="11"/>
  <c r="J163" i="11"/>
  <c r="E163" i="11"/>
  <c r="C163" i="11"/>
  <c r="B163" i="11"/>
  <c r="G163" i="11"/>
  <c r="I163" i="11"/>
  <c r="D163" i="11"/>
  <c r="G162" i="11"/>
  <c r="D162" i="11"/>
  <c r="E162" i="11"/>
  <c r="C162" i="11"/>
  <c r="I162" i="11"/>
  <c r="J162" i="11"/>
  <c r="B162" i="11"/>
  <c r="E160" i="11"/>
  <c r="D160" i="11"/>
  <c r="J160" i="11"/>
  <c r="I160" i="11"/>
  <c r="C160" i="11"/>
  <c r="B160" i="11"/>
  <c r="G160" i="11"/>
  <c r="D159" i="11"/>
  <c r="J159" i="11"/>
  <c r="E159" i="11"/>
  <c r="C159" i="11"/>
  <c r="B159" i="11"/>
  <c r="G159" i="11"/>
  <c r="I159" i="11"/>
  <c r="E158" i="11"/>
  <c r="J158" i="11"/>
  <c r="G158" i="11"/>
  <c r="B158" i="11"/>
  <c r="C158" i="11"/>
  <c r="D158" i="11"/>
  <c r="I158" i="11"/>
  <c r="C157" i="11"/>
  <c r="D157" i="11"/>
  <c r="G157" i="11"/>
  <c r="B157" i="11"/>
  <c r="J157" i="11"/>
  <c r="E157" i="11"/>
  <c r="I157" i="11"/>
  <c r="G156" i="11"/>
  <c r="C156" i="11"/>
  <c r="B156" i="11"/>
  <c r="J156" i="11"/>
  <c r="I156" i="11"/>
  <c r="E156" i="11"/>
  <c r="D156" i="11"/>
  <c r="G155" i="11"/>
  <c r="J155" i="11"/>
  <c r="C155" i="11"/>
  <c r="D155" i="11"/>
  <c r="B155" i="11"/>
  <c r="I155" i="11"/>
  <c r="E155" i="11"/>
  <c r="J154" i="11"/>
  <c r="C154" i="11"/>
  <c r="I154" i="11"/>
  <c r="D154" i="11"/>
  <c r="E154" i="11"/>
  <c r="B154" i="11"/>
  <c r="G154" i="11"/>
  <c r="B153" i="11"/>
  <c r="D153" i="11"/>
  <c r="E153" i="11"/>
  <c r="G153" i="11"/>
  <c r="I153" i="11"/>
  <c r="J153" i="11"/>
  <c r="C153" i="11"/>
  <c r="I152" i="11"/>
  <c r="C152" i="11"/>
  <c r="B152" i="11"/>
  <c r="E152" i="11"/>
  <c r="J152" i="11"/>
  <c r="G152" i="11"/>
  <c r="D152" i="11"/>
  <c r="G151" i="11"/>
  <c r="D151" i="11"/>
  <c r="C151" i="11"/>
  <c r="J151" i="11"/>
  <c r="I151" i="11"/>
  <c r="B151" i="11"/>
  <c r="E151" i="11"/>
  <c r="B150" i="11"/>
  <c r="J150" i="11"/>
  <c r="G150" i="11"/>
  <c r="I150" i="11"/>
  <c r="D150" i="11"/>
  <c r="C150" i="11"/>
  <c r="E150" i="11"/>
  <c r="D149" i="11"/>
  <c r="J149" i="11"/>
  <c r="E149" i="11"/>
  <c r="C149" i="11"/>
  <c r="G149" i="11"/>
  <c r="B149" i="11"/>
  <c r="I149" i="11"/>
  <c r="J148" i="11"/>
  <c r="E148" i="11"/>
  <c r="C148" i="11"/>
  <c r="D148" i="11"/>
  <c r="F148" i="11" s="1"/>
  <c r="B148" i="11"/>
  <c r="G148" i="11"/>
  <c r="I148" i="11"/>
  <c r="I147" i="11"/>
  <c r="J147" i="11"/>
  <c r="E147" i="11"/>
  <c r="C147" i="11"/>
  <c r="G147" i="11"/>
  <c r="D147" i="11"/>
  <c r="B147" i="11"/>
  <c r="C146" i="11"/>
  <c r="G146" i="11"/>
  <c r="J146" i="11"/>
  <c r="B146" i="11"/>
  <c r="D146" i="11"/>
  <c r="I146" i="11"/>
  <c r="E146" i="11"/>
  <c r="E145" i="11"/>
  <c r="C145" i="11"/>
  <c r="G145" i="11"/>
  <c r="J145" i="11"/>
  <c r="D145" i="11"/>
  <c r="F145" i="11" s="1"/>
  <c r="B145" i="11"/>
  <c r="I145" i="11"/>
  <c r="G144" i="11"/>
  <c r="I144" i="11"/>
  <c r="J144" i="11"/>
  <c r="B144" i="11"/>
  <c r="D144" i="11"/>
  <c r="H144" i="11" s="1"/>
  <c r="E144" i="11"/>
  <c r="C144" i="11"/>
  <c r="E143" i="11"/>
  <c r="C143" i="11"/>
  <c r="G143" i="11"/>
  <c r="D143" i="11"/>
  <c r="B143" i="11"/>
  <c r="J143" i="11"/>
  <c r="I143" i="11"/>
  <c r="E142" i="11"/>
  <c r="C142" i="11"/>
  <c r="D142" i="11"/>
  <c r="J142" i="11"/>
  <c r="G142" i="11"/>
  <c r="I142" i="11"/>
  <c r="B142" i="11"/>
  <c r="E141" i="11"/>
  <c r="I141" i="11"/>
  <c r="G141" i="11"/>
  <c r="D141" i="11"/>
  <c r="B141" i="11"/>
  <c r="C141" i="11"/>
  <c r="J141" i="11"/>
  <c r="J140" i="11"/>
  <c r="E140" i="11"/>
  <c r="B140" i="11"/>
  <c r="C140" i="11"/>
  <c r="I140" i="11"/>
  <c r="D140" i="11"/>
  <c r="F140" i="11" s="1"/>
  <c r="G140" i="11"/>
  <c r="J139" i="11"/>
  <c r="G139" i="11"/>
  <c r="D139" i="11"/>
  <c r="E139" i="11"/>
  <c r="C139" i="11"/>
  <c r="I139" i="11"/>
  <c r="B139" i="11"/>
  <c r="C138" i="11"/>
  <c r="I138" i="11"/>
  <c r="E138" i="11"/>
  <c r="J138" i="11"/>
  <c r="B138" i="11"/>
  <c r="D138" i="11"/>
  <c r="G138" i="11"/>
  <c r="B137" i="11"/>
  <c r="D137" i="11"/>
  <c r="I137" i="11"/>
  <c r="J137" i="11"/>
  <c r="G137" i="11"/>
  <c r="E137" i="11"/>
  <c r="C137" i="11"/>
  <c r="B136" i="11"/>
  <c r="E136" i="11"/>
  <c r="G136" i="11"/>
  <c r="D136" i="11"/>
  <c r="J136" i="11"/>
  <c r="I136" i="11"/>
  <c r="C136" i="11"/>
  <c r="B135" i="11"/>
  <c r="E135" i="11"/>
  <c r="I135" i="11"/>
  <c r="C135" i="11"/>
  <c r="D135" i="11"/>
  <c r="J135" i="11"/>
  <c r="G135" i="11"/>
  <c r="I134" i="11"/>
  <c r="G134" i="11"/>
  <c r="C134" i="11"/>
  <c r="D134" i="11"/>
  <c r="J134" i="11"/>
  <c r="E134" i="11"/>
  <c r="B134" i="11"/>
  <c r="I133" i="11"/>
  <c r="C133" i="11"/>
  <c r="G133" i="11"/>
  <c r="B133" i="11"/>
  <c r="E133" i="11"/>
  <c r="B132" i="11"/>
  <c r="I132" i="11"/>
  <c r="C132" i="11"/>
  <c r="E132" i="11"/>
  <c r="G132" i="11"/>
  <c r="B131" i="11"/>
  <c r="G131" i="11"/>
  <c r="E131" i="11"/>
  <c r="C131" i="11"/>
  <c r="I131" i="11"/>
  <c r="I130" i="11"/>
  <c r="C130" i="11"/>
  <c r="E130" i="11"/>
  <c r="G130" i="11"/>
  <c r="B130" i="11"/>
  <c r="C129" i="11"/>
  <c r="I129" i="11"/>
  <c r="G129" i="11"/>
  <c r="B129" i="11"/>
  <c r="E129" i="11"/>
  <c r="I128" i="11"/>
  <c r="C128" i="11"/>
  <c r="B128" i="11"/>
  <c r="G128" i="11"/>
  <c r="E128" i="11"/>
  <c r="E127" i="11"/>
  <c r="G127" i="11"/>
  <c r="I127" i="11"/>
  <c r="B127" i="11"/>
  <c r="C127" i="11"/>
  <c r="G126" i="11"/>
  <c r="I126" i="11"/>
  <c r="C126" i="11"/>
  <c r="E126" i="11"/>
  <c r="B126" i="11"/>
  <c r="I125" i="11"/>
  <c r="G125" i="11"/>
  <c r="C125" i="11"/>
  <c r="B125" i="11"/>
  <c r="E125" i="11"/>
  <c r="E123" i="11"/>
  <c r="G123" i="11"/>
  <c r="I123" i="11"/>
  <c r="B123" i="11"/>
  <c r="C123" i="11"/>
  <c r="D122" i="11"/>
  <c r="I122" i="11"/>
  <c r="C122" i="11"/>
  <c r="E122" i="11"/>
  <c r="G122" i="11"/>
  <c r="B122" i="11"/>
  <c r="E121" i="11"/>
  <c r="C121" i="11"/>
  <c r="B121" i="11"/>
  <c r="G121" i="11"/>
  <c r="I121" i="11"/>
  <c r="E120" i="11"/>
  <c r="I120" i="11"/>
  <c r="G120" i="11"/>
  <c r="C120" i="11"/>
  <c r="B120" i="11"/>
  <c r="C119" i="11"/>
  <c r="G119" i="11"/>
  <c r="B119" i="11"/>
  <c r="I119" i="11"/>
  <c r="E119" i="11"/>
  <c r="I115" i="11"/>
  <c r="C115" i="11"/>
  <c r="E115" i="11"/>
  <c r="B115" i="11"/>
  <c r="G115" i="11"/>
  <c r="C114" i="11"/>
  <c r="E114" i="11"/>
  <c r="B114" i="11"/>
  <c r="G114" i="11"/>
  <c r="I114" i="11"/>
  <c r="I96" i="11"/>
  <c r="G96" i="11"/>
  <c r="B96" i="11"/>
  <c r="E96" i="11"/>
  <c r="C96" i="11"/>
  <c r="E95" i="11"/>
  <c r="I95" i="11"/>
  <c r="C95" i="11"/>
  <c r="B95" i="11"/>
  <c r="G95" i="11"/>
  <c r="I93" i="11"/>
  <c r="G93" i="11"/>
  <c r="C93" i="11"/>
  <c r="B93" i="11"/>
  <c r="E93" i="11"/>
  <c r="G92" i="11"/>
  <c r="C92" i="11"/>
  <c r="I92" i="11"/>
  <c r="E92" i="11"/>
  <c r="B92" i="11"/>
  <c r="B91" i="11"/>
  <c r="G91" i="11"/>
  <c r="C91" i="11"/>
  <c r="I91" i="11"/>
  <c r="E91" i="11"/>
  <c r="G90" i="11"/>
  <c r="I90" i="11"/>
  <c r="E90" i="11"/>
  <c r="B90" i="11"/>
  <c r="C90" i="11"/>
  <c r="G89" i="11"/>
  <c r="B89" i="11"/>
  <c r="C89" i="11"/>
  <c r="E89" i="11"/>
  <c r="I89" i="11"/>
  <c r="G88" i="11"/>
  <c r="E88" i="11"/>
  <c r="B88" i="11"/>
  <c r="C88" i="11"/>
  <c r="I88" i="11"/>
  <c r="B87" i="11"/>
  <c r="G87" i="11"/>
  <c r="C87" i="11"/>
  <c r="I87" i="11"/>
  <c r="E87" i="11"/>
  <c r="I86" i="11"/>
  <c r="C86" i="11"/>
  <c r="B86" i="11"/>
  <c r="G86" i="11"/>
  <c r="E86" i="11"/>
  <c r="I84" i="11"/>
  <c r="B84" i="11"/>
  <c r="G84" i="11"/>
  <c r="E84" i="11"/>
  <c r="C84" i="11"/>
  <c r="C83" i="11"/>
  <c r="I83" i="11"/>
  <c r="E83" i="11"/>
  <c r="G83" i="11"/>
  <c r="B83" i="11"/>
  <c r="C81" i="11"/>
  <c r="I81" i="11"/>
  <c r="E81" i="11"/>
  <c r="B81" i="11"/>
  <c r="G81" i="11"/>
  <c r="E80" i="11"/>
  <c r="B80" i="11"/>
  <c r="G80" i="11"/>
  <c r="I80" i="11"/>
  <c r="C80" i="11"/>
  <c r="I79" i="11"/>
  <c r="C79" i="11"/>
  <c r="E79" i="11"/>
  <c r="G79" i="11"/>
  <c r="B79" i="11"/>
  <c r="C76" i="11"/>
  <c r="I76" i="11"/>
  <c r="E76" i="11"/>
  <c r="G76" i="11"/>
  <c r="B76" i="11"/>
  <c r="I63" i="11"/>
  <c r="G63" i="11"/>
  <c r="B63" i="11"/>
  <c r="C63" i="11"/>
  <c r="E63" i="11"/>
  <c r="G61" i="11"/>
  <c r="I61" i="11"/>
  <c r="B61" i="11"/>
  <c r="E61" i="11"/>
  <c r="C61" i="11"/>
  <c r="I60" i="11"/>
  <c r="C60" i="11"/>
  <c r="E60" i="11"/>
  <c r="B60" i="11"/>
  <c r="G60" i="11"/>
  <c r="E59" i="11"/>
  <c r="B59" i="11"/>
  <c r="I59" i="11"/>
  <c r="C59" i="11"/>
  <c r="G59" i="11"/>
  <c r="I58" i="11"/>
  <c r="B58" i="11"/>
  <c r="G58" i="11"/>
  <c r="C58" i="11"/>
  <c r="E58" i="11"/>
  <c r="D58" i="11"/>
  <c r="C57" i="11"/>
  <c r="B57" i="11"/>
  <c r="E57" i="11"/>
  <c r="I57" i="11"/>
  <c r="G57" i="11"/>
  <c r="I43" i="11"/>
  <c r="B43" i="11"/>
  <c r="E43" i="11"/>
  <c r="C43" i="11"/>
  <c r="G43" i="11"/>
  <c r="G42" i="11"/>
  <c r="I42" i="11"/>
  <c r="E42" i="11"/>
  <c r="B42" i="11"/>
  <c r="C42" i="11"/>
  <c r="E39" i="11"/>
  <c r="C39" i="11"/>
  <c r="G39" i="11"/>
  <c r="B39" i="11"/>
  <c r="I39" i="11"/>
  <c r="B38" i="11"/>
  <c r="E38" i="11"/>
  <c r="I38" i="11"/>
  <c r="G38" i="11"/>
  <c r="C38" i="11"/>
  <c r="C37" i="11"/>
  <c r="I37" i="11"/>
  <c r="B37" i="11"/>
  <c r="E37" i="11"/>
  <c r="G37" i="11"/>
  <c r="B36" i="11"/>
  <c r="E36" i="11"/>
  <c r="C36" i="11"/>
  <c r="G36" i="11"/>
  <c r="I36" i="11"/>
  <c r="G35" i="11"/>
  <c r="C35" i="11"/>
  <c r="B35" i="11"/>
  <c r="E35" i="11"/>
  <c r="I35" i="11"/>
  <c r="B34" i="11"/>
  <c r="E34" i="11"/>
  <c r="G34" i="11"/>
  <c r="I34" i="11"/>
  <c r="C34" i="11"/>
  <c r="G33" i="11"/>
  <c r="B33" i="11"/>
  <c r="C33" i="11"/>
  <c r="E33" i="11"/>
  <c r="I33" i="11"/>
  <c r="E30" i="11"/>
  <c r="C30" i="11"/>
  <c r="I30" i="11"/>
  <c r="G30" i="11"/>
  <c r="B30" i="11"/>
  <c r="G26" i="11"/>
  <c r="C26" i="11"/>
  <c r="B26" i="11"/>
  <c r="E26" i="11"/>
  <c r="I26" i="11"/>
  <c r="G25" i="11"/>
  <c r="C25" i="11"/>
  <c r="B25" i="11"/>
  <c r="I25" i="11"/>
  <c r="E25" i="11"/>
  <c r="C23" i="11"/>
  <c r="I23" i="11"/>
  <c r="B23" i="11"/>
  <c r="E23" i="11"/>
  <c r="G23" i="11"/>
  <c r="C19" i="11"/>
  <c r="B19" i="11"/>
  <c r="G19" i="11"/>
  <c r="E19" i="11"/>
  <c r="I19" i="11"/>
  <c r="C18" i="11"/>
  <c r="G18" i="11"/>
  <c r="B18" i="11"/>
  <c r="E18" i="11"/>
  <c r="I18" i="11"/>
  <c r="C17" i="11"/>
  <c r="I17" i="11"/>
  <c r="G17" i="11"/>
  <c r="E17" i="11"/>
  <c r="B17" i="11"/>
  <c r="B8" i="11"/>
  <c r="E8" i="11"/>
  <c r="I8" i="11"/>
  <c r="C8" i="11"/>
  <c r="G8" i="11"/>
  <c r="G208" i="13"/>
  <c r="J208" i="13"/>
  <c r="E209" i="13"/>
  <c r="F209" i="13"/>
  <c r="F210" i="13"/>
  <c r="G210" i="13"/>
  <c r="J210" i="13"/>
  <c r="G211" i="13"/>
  <c r="J211" i="13"/>
  <c r="F212" i="13"/>
  <c r="G212" i="13"/>
  <c r="F213" i="13"/>
  <c r="J213" i="13"/>
  <c r="E214" i="13"/>
  <c r="G214" i="13"/>
  <c r="J214" i="13"/>
  <c r="G215" i="13"/>
  <c r="J215" i="13"/>
  <c r="E216" i="13"/>
  <c r="J216" i="13"/>
  <c r="E217" i="13"/>
  <c r="J217" i="13"/>
  <c r="F218" i="13"/>
  <c r="G218" i="13"/>
  <c r="F219" i="13"/>
  <c r="G219" i="13"/>
  <c r="E220" i="13"/>
  <c r="J220" i="13"/>
  <c r="G221" i="13"/>
  <c r="E222" i="13"/>
  <c r="F222" i="13"/>
  <c r="G222" i="13"/>
  <c r="F223" i="13"/>
  <c r="J223" i="13"/>
  <c r="F224" i="13"/>
  <c r="G224" i="13"/>
  <c r="E225" i="13"/>
  <c r="J225" i="13"/>
  <c r="F226" i="13"/>
  <c r="J226" i="13"/>
  <c r="J227" i="13"/>
  <c r="F228" i="13"/>
  <c r="J228" i="13"/>
  <c r="E229" i="13"/>
  <c r="J229" i="13"/>
  <c r="J230" i="13"/>
  <c r="G231" i="13"/>
  <c r="F232" i="13"/>
  <c r="G232" i="13"/>
  <c r="J232" i="13"/>
  <c r="G233" i="13"/>
  <c r="J233" i="13"/>
  <c r="F234" i="13"/>
  <c r="G234" i="13"/>
  <c r="E235" i="13"/>
  <c r="J235" i="13"/>
  <c r="F236" i="13"/>
  <c r="G236" i="13"/>
  <c r="E237" i="13"/>
  <c r="J237" i="13"/>
  <c r="E239" i="13"/>
  <c r="F239" i="13"/>
  <c r="J239" i="13"/>
  <c r="J240" i="13"/>
  <c r="F241" i="13"/>
  <c r="G241" i="13"/>
  <c r="E242" i="13"/>
  <c r="F243" i="13"/>
  <c r="G243" i="13"/>
  <c r="E244" i="13"/>
  <c r="F244" i="13"/>
  <c r="E245" i="13"/>
  <c r="F245" i="13"/>
  <c r="G245" i="13"/>
  <c r="E246" i="13"/>
  <c r="F246" i="13"/>
  <c r="E247" i="13"/>
  <c r="F247" i="13"/>
  <c r="G247" i="13"/>
  <c r="J155" i="13"/>
  <c r="F156" i="13"/>
  <c r="G156" i="13"/>
  <c r="E157" i="13"/>
  <c r="F157" i="13"/>
  <c r="G157" i="13"/>
  <c r="E158" i="13"/>
  <c r="G159" i="13"/>
  <c r="E160" i="13"/>
  <c r="G160" i="13"/>
  <c r="E161" i="13"/>
  <c r="E162" i="13"/>
  <c r="F162" i="13"/>
  <c r="G162" i="13"/>
  <c r="G163" i="13"/>
  <c r="J163" i="13"/>
  <c r="E165" i="13"/>
  <c r="F165" i="13"/>
  <c r="J165" i="13"/>
  <c r="F166" i="13"/>
  <c r="G166" i="13"/>
  <c r="E167" i="13"/>
  <c r="J167" i="13"/>
  <c r="F168" i="13"/>
  <c r="G168" i="13"/>
  <c r="E169" i="13"/>
  <c r="J169" i="13"/>
  <c r="F170" i="13"/>
  <c r="G170" i="13"/>
  <c r="E171" i="13"/>
  <c r="J171" i="13"/>
  <c r="F172" i="13"/>
  <c r="J172" i="13"/>
  <c r="F173" i="13"/>
  <c r="G173" i="13"/>
  <c r="E174" i="13"/>
  <c r="J174" i="13"/>
  <c r="F175" i="13"/>
  <c r="G175" i="13"/>
  <c r="J175" i="13"/>
  <c r="G176" i="13"/>
  <c r="J176" i="13"/>
  <c r="G177" i="13"/>
  <c r="E178" i="13"/>
  <c r="E179" i="13"/>
  <c r="F179" i="13"/>
  <c r="G179" i="13"/>
  <c r="E180" i="13"/>
  <c r="F180" i="13"/>
  <c r="J180" i="13"/>
  <c r="F181" i="13"/>
  <c r="G181" i="13"/>
  <c r="F182" i="13"/>
  <c r="G182" i="13"/>
  <c r="J182" i="13"/>
  <c r="F183" i="13"/>
  <c r="E184" i="13"/>
  <c r="F184" i="13"/>
  <c r="J184" i="13"/>
  <c r="F185" i="13"/>
  <c r="G185" i="13"/>
  <c r="E186" i="13"/>
  <c r="J186" i="13"/>
  <c r="F187" i="13"/>
  <c r="G187" i="13"/>
  <c r="E188" i="13"/>
  <c r="J188" i="13"/>
  <c r="F189" i="13"/>
  <c r="G189" i="13"/>
  <c r="J189" i="13"/>
  <c r="G190" i="13"/>
  <c r="E191" i="13"/>
  <c r="E192" i="13"/>
  <c r="F192" i="13"/>
  <c r="E193" i="13"/>
  <c r="F193" i="13"/>
  <c r="J193" i="13"/>
  <c r="F194" i="13"/>
  <c r="G194" i="13"/>
  <c r="E195" i="13"/>
  <c r="G195" i="13"/>
  <c r="F196" i="13"/>
  <c r="G196" i="13"/>
  <c r="E197" i="13"/>
  <c r="F197" i="13"/>
  <c r="J197" i="13"/>
  <c r="G204" i="13"/>
  <c r="J204" i="13"/>
  <c r="G5" i="13"/>
  <c r="E6" i="13"/>
  <c r="G6" i="13"/>
  <c r="E7" i="13"/>
  <c r="J7" i="13"/>
  <c r="G8" i="13"/>
  <c r="J8" i="13"/>
  <c r="G9" i="13"/>
  <c r="J9" i="13"/>
  <c r="E11" i="13"/>
  <c r="J11" i="13"/>
  <c r="E12" i="13"/>
  <c r="J12" i="13"/>
  <c r="F13" i="13"/>
  <c r="E14" i="13"/>
  <c r="F14" i="13"/>
  <c r="J14" i="13"/>
  <c r="F15" i="13"/>
  <c r="J15" i="13"/>
  <c r="F16" i="13"/>
  <c r="G16" i="13"/>
  <c r="E17" i="13"/>
  <c r="G17" i="13"/>
  <c r="E18" i="13"/>
  <c r="E20" i="13"/>
  <c r="J20" i="13"/>
  <c r="F21" i="13"/>
  <c r="G21" i="13"/>
  <c r="E22" i="13"/>
  <c r="J22" i="13"/>
  <c r="F23" i="13"/>
  <c r="G23" i="13"/>
  <c r="E24" i="13"/>
  <c r="J24" i="13"/>
  <c r="J25" i="13"/>
  <c r="G26" i="13"/>
  <c r="E27" i="13"/>
  <c r="G27" i="13"/>
  <c r="E28" i="13"/>
  <c r="J28" i="13"/>
  <c r="F29" i="13"/>
  <c r="E31" i="13"/>
  <c r="J31" i="13"/>
  <c r="F33" i="13"/>
  <c r="G33" i="13"/>
  <c r="F34" i="13"/>
  <c r="E35" i="13"/>
  <c r="F35" i="13"/>
  <c r="G35" i="13"/>
  <c r="E36" i="13"/>
  <c r="F36" i="13"/>
  <c r="J36" i="13"/>
  <c r="F37" i="13"/>
  <c r="G37" i="13"/>
  <c r="E38" i="13"/>
  <c r="G38" i="13"/>
  <c r="E39" i="13"/>
  <c r="J39" i="13"/>
  <c r="E41" i="13"/>
  <c r="F41" i="13"/>
  <c r="J41" i="13"/>
  <c r="J42" i="13"/>
  <c r="J44" i="13"/>
  <c r="F45" i="13"/>
  <c r="J45" i="13"/>
  <c r="F46" i="13"/>
  <c r="E47" i="13"/>
  <c r="E48" i="13"/>
  <c r="F48" i="13"/>
  <c r="G48" i="13"/>
  <c r="E49" i="13"/>
  <c r="F49" i="13"/>
  <c r="J49" i="13"/>
  <c r="J50" i="13"/>
  <c r="J51" i="13"/>
  <c r="J52" i="13"/>
  <c r="F53" i="13"/>
  <c r="G53" i="13"/>
  <c r="E54" i="13"/>
  <c r="E55" i="13"/>
  <c r="F55" i="13"/>
  <c r="J55" i="13"/>
  <c r="E57" i="13"/>
  <c r="F57" i="13"/>
  <c r="J57" i="13"/>
  <c r="F58" i="13"/>
  <c r="G58" i="13"/>
  <c r="E59" i="13"/>
  <c r="J59" i="13"/>
  <c r="F60" i="13"/>
  <c r="G60" i="13"/>
  <c r="J60" i="13"/>
  <c r="E62" i="13"/>
  <c r="J62" i="13"/>
  <c r="F63" i="13"/>
  <c r="G63" i="13"/>
  <c r="E64" i="13"/>
  <c r="E65" i="13"/>
  <c r="F65" i="13"/>
  <c r="E66" i="13"/>
  <c r="F66" i="13"/>
  <c r="J66" i="13"/>
  <c r="F67" i="13"/>
  <c r="G67" i="13"/>
  <c r="E68" i="13"/>
  <c r="J68" i="13"/>
  <c r="E69" i="13"/>
  <c r="J69" i="13"/>
  <c r="J70" i="13"/>
  <c r="F71" i="13"/>
  <c r="G71" i="13"/>
  <c r="E72" i="13"/>
  <c r="E73" i="13"/>
  <c r="F73" i="13"/>
  <c r="E74" i="13"/>
  <c r="F74" i="13"/>
  <c r="J74" i="13"/>
  <c r="F75" i="13"/>
  <c r="G75" i="13"/>
  <c r="E76" i="13"/>
  <c r="J76" i="13"/>
  <c r="F77" i="13"/>
  <c r="E78" i="13"/>
  <c r="G78" i="13"/>
  <c r="E79" i="13"/>
  <c r="J79" i="13"/>
  <c r="F80" i="13"/>
  <c r="G80" i="13"/>
  <c r="E81" i="13"/>
  <c r="J81" i="13"/>
  <c r="F82" i="13"/>
  <c r="G82" i="13"/>
  <c r="E83" i="13"/>
  <c r="J83" i="13"/>
  <c r="F84" i="13"/>
  <c r="G84" i="13"/>
  <c r="E85" i="13"/>
  <c r="J85" i="13"/>
  <c r="F86" i="13"/>
  <c r="G86" i="13"/>
  <c r="E87" i="13"/>
  <c r="G87" i="13"/>
  <c r="E88" i="13"/>
  <c r="G88" i="13"/>
  <c r="F89" i="13"/>
  <c r="G89" i="13"/>
  <c r="F90" i="13"/>
  <c r="G90" i="13"/>
  <c r="J90" i="13"/>
  <c r="G91" i="13"/>
  <c r="E92" i="13"/>
  <c r="G92" i="13"/>
  <c r="E93" i="13"/>
  <c r="J93" i="13"/>
  <c r="E95" i="13"/>
  <c r="F95" i="13"/>
  <c r="J95" i="13"/>
  <c r="F96" i="13"/>
  <c r="E97" i="13"/>
  <c r="J97" i="13"/>
  <c r="F98" i="13"/>
  <c r="J98" i="13"/>
  <c r="F99" i="13"/>
  <c r="G99" i="13"/>
  <c r="F100" i="13"/>
  <c r="G100" i="13"/>
  <c r="E101" i="13"/>
  <c r="F101" i="13"/>
  <c r="J101" i="13"/>
  <c r="G102" i="13"/>
  <c r="E103" i="13"/>
  <c r="G103" i="13"/>
  <c r="E104" i="13"/>
  <c r="F104" i="13"/>
  <c r="J104" i="13"/>
  <c r="E106" i="13"/>
  <c r="F106" i="13"/>
  <c r="J106" i="13"/>
  <c r="F107" i="13"/>
  <c r="G107" i="13"/>
  <c r="E108" i="13"/>
  <c r="E110" i="13"/>
  <c r="F110" i="13"/>
  <c r="J111" i="13"/>
  <c r="F112" i="13"/>
  <c r="F113" i="13"/>
  <c r="G113" i="13"/>
  <c r="E114" i="13"/>
  <c r="E115" i="13"/>
  <c r="J115" i="13"/>
  <c r="F116" i="13"/>
  <c r="J116" i="13"/>
  <c r="F117" i="13"/>
  <c r="G117" i="13"/>
  <c r="G118" i="13"/>
  <c r="G119" i="13"/>
  <c r="J119" i="13"/>
  <c r="F120" i="13"/>
  <c r="J120" i="13"/>
  <c r="F121" i="13"/>
  <c r="G121" i="13"/>
  <c r="E122" i="13"/>
  <c r="E123" i="13"/>
  <c r="G123" i="13"/>
  <c r="E124" i="13"/>
  <c r="J124" i="13"/>
  <c r="F125" i="13"/>
  <c r="G125" i="13"/>
  <c r="E126" i="13"/>
  <c r="J126" i="13"/>
  <c r="F127" i="13"/>
  <c r="G127" i="13"/>
  <c r="E128" i="13"/>
  <c r="F128" i="13"/>
  <c r="J128" i="13"/>
  <c r="G129" i="13"/>
  <c r="E130" i="13"/>
  <c r="F130" i="13"/>
  <c r="F136" i="13"/>
  <c r="E137" i="13"/>
  <c r="F137" i="13"/>
  <c r="G137" i="13"/>
  <c r="E138" i="13"/>
  <c r="F138" i="13"/>
  <c r="J138" i="13"/>
  <c r="F139" i="13"/>
  <c r="E140" i="13"/>
  <c r="F140" i="13"/>
  <c r="J140" i="13"/>
  <c r="E141" i="13"/>
  <c r="E142" i="13"/>
  <c r="G142" i="13"/>
  <c r="J142" i="13"/>
  <c r="G143" i="13"/>
  <c r="J143" i="13"/>
  <c r="E145" i="13"/>
  <c r="F145" i="13"/>
  <c r="J145" i="13"/>
  <c r="F146" i="13"/>
  <c r="G146" i="13"/>
  <c r="E147" i="13"/>
  <c r="J147" i="13"/>
  <c r="E148" i="13"/>
  <c r="E149" i="13"/>
  <c r="F149" i="13"/>
  <c r="J149" i="13"/>
  <c r="F150" i="13"/>
  <c r="G150" i="13"/>
  <c r="E151" i="13"/>
  <c r="J151" i="13"/>
  <c r="F152" i="13"/>
  <c r="G152" i="13"/>
  <c r="E153" i="13"/>
  <c r="J154" i="13"/>
  <c r="E205" i="13"/>
  <c r="J205" i="13"/>
  <c r="F206" i="13"/>
  <c r="E207" i="13"/>
  <c r="F207" i="13"/>
  <c r="J207" i="13"/>
  <c r="F208" i="13"/>
  <c r="G209" i="13"/>
  <c r="J209" i="13"/>
  <c r="E210" i="13"/>
  <c r="E211" i="13"/>
  <c r="F211" i="13"/>
  <c r="E212" i="13"/>
  <c r="J212" i="13"/>
  <c r="E213" i="13"/>
  <c r="G213" i="13"/>
  <c r="F214" i="13"/>
  <c r="E215" i="13"/>
  <c r="F215" i="13"/>
  <c r="F216" i="13"/>
  <c r="G216" i="13"/>
  <c r="F217" i="13"/>
  <c r="G217" i="13"/>
  <c r="E218" i="13"/>
  <c r="J218" i="13"/>
  <c r="E219" i="13"/>
  <c r="J219" i="13"/>
  <c r="F220" i="13"/>
  <c r="G220" i="13"/>
  <c r="E221" i="13"/>
  <c r="F221" i="13"/>
  <c r="J221" i="13"/>
  <c r="J222" i="13"/>
  <c r="E223" i="13"/>
  <c r="G223" i="13"/>
  <c r="E224" i="13"/>
  <c r="J224" i="13"/>
  <c r="F225" i="13"/>
  <c r="G225" i="13"/>
  <c r="E226" i="13"/>
  <c r="G226" i="13"/>
  <c r="E227" i="13"/>
  <c r="F227" i="13"/>
  <c r="G227" i="13"/>
  <c r="E228" i="13"/>
  <c r="G228" i="13"/>
  <c r="F229" i="13"/>
  <c r="G229" i="13"/>
  <c r="E230" i="13"/>
  <c r="F230" i="13"/>
  <c r="G230" i="13"/>
  <c r="E231" i="13"/>
  <c r="F231" i="13"/>
  <c r="J231" i="13"/>
  <c r="E232" i="13"/>
  <c r="E233" i="13"/>
  <c r="F233" i="13"/>
  <c r="E234" i="13"/>
  <c r="J234" i="13"/>
  <c r="F235" i="13"/>
  <c r="G235" i="13"/>
  <c r="E236" i="13"/>
  <c r="J236" i="13"/>
  <c r="F237" i="13"/>
  <c r="G237" i="13"/>
  <c r="E238" i="13"/>
  <c r="F238" i="13"/>
  <c r="G238" i="13"/>
  <c r="J238" i="13"/>
  <c r="G239" i="13"/>
  <c r="E240" i="13"/>
  <c r="F240" i="13"/>
  <c r="G240" i="13"/>
  <c r="E241" i="13"/>
  <c r="J241" i="13"/>
  <c r="F242" i="13"/>
  <c r="G242" i="13"/>
  <c r="J242" i="13"/>
  <c r="J243" i="13"/>
  <c r="G244" i="13"/>
  <c r="J244" i="13"/>
  <c r="J245" i="13"/>
  <c r="G246" i="13"/>
  <c r="J246" i="13"/>
  <c r="J247" i="13"/>
  <c r="G155" i="13"/>
  <c r="E156" i="13"/>
  <c r="J156" i="13"/>
  <c r="J157" i="13"/>
  <c r="F158" i="13"/>
  <c r="G158" i="13"/>
  <c r="J158" i="13"/>
  <c r="E159" i="13"/>
  <c r="F159" i="13"/>
  <c r="J159" i="13"/>
  <c r="F160" i="13"/>
  <c r="J160" i="13"/>
  <c r="F161" i="13"/>
  <c r="G161" i="13"/>
  <c r="J161" i="13"/>
  <c r="J162" i="13"/>
  <c r="F163" i="13"/>
  <c r="F164" i="13"/>
  <c r="G164" i="13"/>
  <c r="J164" i="13"/>
  <c r="G165" i="13"/>
  <c r="E166" i="13"/>
  <c r="J166" i="13"/>
  <c r="F167" i="13"/>
  <c r="G167" i="13"/>
  <c r="E168" i="13"/>
  <c r="J168" i="13"/>
  <c r="F169" i="13"/>
  <c r="E170" i="13"/>
  <c r="J170" i="13"/>
  <c r="F171" i="13"/>
  <c r="G171" i="13"/>
  <c r="E172" i="13"/>
  <c r="G172" i="13"/>
  <c r="E173" i="13"/>
  <c r="J173" i="13"/>
  <c r="F174" i="13"/>
  <c r="G174" i="13"/>
  <c r="E175" i="13"/>
  <c r="E176" i="13"/>
  <c r="F176" i="13"/>
  <c r="E177" i="13"/>
  <c r="F177" i="13"/>
  <c r="J177" i="13"/>
  <c r="F178" i="13"/>
  <c r="G178" i="13"/>
  <c r="J178" i="13"/>
  <c r="J179" i="13"/>
  <c r="G180" i="13"/>
  <c r="E181" i="13"/>
  <c r="J181" i="13"/>
  <c r="E182" i="13"/>
  <c r="E183" i="13"/>
  <c r="G183" i="13"/>
  <c r="J183" i="13"/>
  <c r="G184" i="13"/>
  <c r="E185" i="13"/>
  <c r="J185" i="13"/>
  <c r="F186" i="13"/>
  <c r="G186" i="13"/>
  <c r="E187" i="13"/>
  <c r="J187" i="13"/>
  <c r="F188" i="13"/>
  <c r="G188" i="13"/>
  <c r="E189" i="13"/>
  <c r="E190" i="13"/>
  <c r="F190" i="13"/>
  <c r="J190" i="13"/>
  <c r="F191" i="13"/>
  <c r="G191" i="13"/>
  <c r="J191" i="13"/>
  <c r="G192" i="13"/>
  <c r="J192" i="13"/>
  <c r="G193" i="13"/>
  <c r="E194" i="13"/>
  <c r="J194" i="13"/>
  <c r="F195" i="13"/>
  <c r="J195" i="13"/>
  <c r="E196" i="13"/>
  <c r="J196" i="13"/>
  <c r="G197" i="13"/>
  <c r="E198" i="13"/>
  <c r="F198" i="13"/>
  <c r="G198" i="13"/>
  <c r="J198" i="13"/>
  <c r="E199" i="13"/>
  <c r="F199" i="13"/>
  <c r="G199" i="13"/>
  <c r="J199" i="13"/>
  <c r="F200" i="13"/>
  <c r="G200" i="13"/>
  <c r="J200" i="13"/>
  <c r="E201" i="13"/>
  <c r="F201" i="13"/>
  <c r="G201" i="13"/>
  <c r="J201" i="13"/>
  <c r="E202" i="13"/>
  <c r="F202" i="13"/>
  <c r="G202" i="13"/>
  <c r="J202" i="13"/>
  <c r="E203" i="13"/>
  <c r="F203" i="13"/>
  <c r="G203" i="13"/>
  <c r="J203" i="13"/>
  <c r="E204" i="13"/>
  <c r="F204" i="13"/>
  <c r="E5" i="13"/>
  <c r="F5" i="13"/>
  <c r="J5" i="13"/>
  <c r="F6" i="13"/>
  <c r="J6" i="13"/>
  <c r="F7" i="13"/>
  <c r="G7" i="13"/>
  <c r="F8" i="13"/>
  <c r="E9" i="13"/>
  <c r="F9" i="13"/>
  <c r="E10" i="13"/>
  <c r="F10" i="13"/>
  <c r="J10" i="13"/>
  <c r="F11" i="13"/>
  <c r="G11" i="13"/>
  <c r="F12" i="13"/>
  <c r="G12" i="13"/>
  <c r="E13" i="13"/>
  <c r="G13" i="13"/>
  <c r="J13" i="13"/>
  <c r="G14" i="13"/>
  <c r="E15" i="13"/>
  <c r="G15" i="13"/>
  <c r="E16" i="13"/>
  <c r="J16" i="13"/>
  <c r="F17" i="13"/>
  <c r="J17" i="13"/>
  <c r="F18" i="13"/>
  <c r="G18" i="13"/>
  <c r="J18" i="13"/>
  <c r="E19" i="13"/>
  <c r="F19" i="13"/>
  <c r="G19" i="13"/>
  <c r="J19" i="13"/>
  <c r="F20" i="13"/>
  <c r="G20" i="13"/>
  <c r="E21" i="13"/>
  <c r="J21" i="13"/>
  <c r="F22" i="13"/>
  <c r="G22" i="13"/>
  <c r="E23" i="13"/>
  <c r="J23" i="13"/>
  <c r="F24" i="13"/>
  <c r="G24" i="13"/>
  <c r="E25" i="13"/>
  <c r="F25" i="13"/>
  <c r="G25" i="13"/>
  <c r="E26" i="13"/>
  <c r="F26" i="13"/>
  <c r="J26" i="13"/>
  <c r="F27" i="13"/>
  <c r="J27" i="13"/>
  <c r="F28" i="13"/>
  <c r="G28" i="13"/>
  <c r="E29" i="13"/>
  <c r="J29" i="13"/>
  <c r="E30" i="13"/>
  <c r="F30" i="13"/>
  <c r="G30" i="13"/>
  <c r="J30" i="13"/>
  <c r="F31" i="13"/>
  <c r="G31" i="13"/>
  <c r="G32" i="13"/>
  <c r="J32" i="13"/>
  <c r="E33" i="13"/>
  <c r="J33" i="13"/>
  <c r="E34" i="13"/>
  <c r="G34" i="13"/>
  <c r="J34" i="13"/>
  <c r="J35" i="13"/>
  <c r="E37" i="13"/>
  <c r="J37" i="13"/>
  <c r="F38" i="13"/>
  <c r="J38" i="13"/>
  <c r="F39" i="13"/>
  <c r="G39" i="13"/>
  <c r="E40" i="13"/>
  <c r="F40" i="13"/>
  <c r="G40" i="13"/>
  <c r="J40" i="13"/>
  <c r="G41" i="13"/>
  <c r="E42" i="13"/>
  <c r="F42" i="13"/>
  <c r="E43" i="13"/>
  <c r="F43" i="13"/>
  <c r="G43" i="13"/>
  <c r="J43" i="13"/>
  <c r="E45" i="13"/>
  <c r="G45" i="13"/>
  <c r="E46" i="13"/>
  <c r="J46" i="13"/>
  <c r="F47" i="13"/>
  <c r="G47" i="13"/>
  <c r="J47" i="13"/>
  <c r="J48" i="13"/>
  <c r="G49" i="13"/>
  <c r="E50" i="13"/>
  <c r="F50" i="13"/>
  <c r="G50" i="13"/>
  <c r="E51" i="13"/>
  <c r="F51" i="13"/>
  <c r="G51" i="13"/>
  <c r="E52" i="13"/>
  <c r="F52" i="13"/>
  <c r="G52" i="13"/>
  <c r="E53" i="13"/>
  <c r="J53" i="13"/>
  <c r="F54" i="13"/>
  <c r="G54" i="13"/>
  <c r="J54" i="13"/>
  <c r="G55" i="13"/>
  <c r="E56" i="13"/>
  <c r="F56" i="13"/>
  <c r="G56" i="13"/>
  <c r="J56" i="13"/>
  <c r="G57" i="13"/>
  <c r="E58" i="13"/>
  <c r="J58" i="13"/>
  <c r="F59" i="13"/>
  <c r="G59" i="13"/>
  <c r="E60" i="13"/>
  <c r="J61" i="13"/>
  <c r="F62" i="13"/>
  <c r="G62" i="13"/>
  <c r="E63" i="13"/>
  <c r="J63" i="13"/>
  <c r="F64" i="13"/>
  <c r="G64" i="13"/>
  <c r="J64" i="13"/>
  <c r="G65" i="13"/>
  <c r="J65" i="13"/>
  <c r="G66" i="13"/>
  <c r="E67" i="13"/>
  <c r="J67" i="13"/>
  <c r="F68" i="13"/>
  <c r="G68" i="13"/>
  <c r="F69" i="13"/>
  <c r="G69" i="13"/>
  <c r="E70" i="13"/>
  <c r="F70" i="13"/>
  <c r="G70" i="13"/>
  <c r="E71" i="13"/>
  <c r="J71" i="13"/>
  <c r="F72" i="13"/>
  <c r="G72" i="13"/>
  <c r="J72" i="13"/>
  <c r="G73" i="13"/>
  <c r="J73" i="13"/>
  <c r="G74" i="13"/>
  <c r="E75" i="13"/>
  <c r="J75" i="13"/>
  <c r="F76" i="13"/>
  <c r="G76" i="13"/>
  <c r="E77" i="13"/>
  <c r="J77" i="13"/>
  <c r="F78" i="13"/>
  <c r="J78" i="13"/>
  <c r="F79" i="13"/>
  <c r="G79" i="13"/>
  <c r="E80" i="13"/>
  <c r="J80" i="13"/>
  <c r="F81" i="13"/>
  <c r="G81" i="13"/>
  <c r="E82" i="13"/>
  <c r="J82" i="13"/>
  <c r="F83" i="13"/>
  <c r="G83" i="13"/>
  <c r="E84" i="13"/>
  <c r="J84" i="13"/>
  <c r="F85" i="13"/>
  <c r="G85" i="13"/>
  <c r="E86" i="13"/>
  <c r="J86" i="13"/>
  <c r="F87" i="13"/>
  <c r="J87" i="13"/>
  <c r="F88" i="13"/>
  <c r="J88" i="13"/>
  <c r="E89" i="13"/>
  <c r="J89" i="13"/>
  <c r="E90" i="13"/>
  <c r="E91" i="13"/>
  <c r="F91" i="13"/>
  <c r="J91" i="13"/>
  <c r="F92" i="13"/>
  <c r="J92" i="13"/>
  <c r="F93" i="13"/>
  <c r="G93" i="13"/>
  <c r="E94" i="13"/>
  <c r="F94" i="13"/>
  <c r="J94" i="13"/>
  <c r="G95" i="13"/>
  <c r="E96" i="13"/>
  <c r="G96" i="13"/>
  <c r="J96" i="13"/>
  <c r="F97" i="13"/>
  <c r="E98" i="13"/>
  <c r="G98" i="13"/>
  <c r="E99" i="13"/>
  <c r="J99" i="13"/>
  <c r="E100" i="13"/>
  <c r="J100" i="13"/>
  <c r="G101" i="13"/>
  <c r="E102" i="13"/>
  <c r="F102" i="13"/>
  <c r="J102" i="13"/>
  <c r="F103" i="13"/>
  <c r="J103" i="13"/>
  <c r="G104" i="13"/>
  <c r="E105" i="13"/>
  <c r="F105" i="13"/>
  <c r="G105" i="13"/>
  <c r="J105" i="13"/>
  <c r="G106" i="13"/>
  <c r="E107" i="13"/>
  <c r="J107" i="13"/>
  <c r="F108" i="13"/>
  <c r="G108" i="13"/>
  <c r="J108" i="13"/>
  <c r="E109" i="13"/>
  <c r="F109" i="13"/>
  <c r="G109" i="13"/>
  <c r="J109" i="13"/>
  <c r="G110" i="13"/>
  <c r="J110" i="13"/>
  <c r="E111" i="13"/>
  <c r="F111" i="13"/>
  <c r="G111" i="13"/>
  <c r="E112" i="13"/>
  <c r="G112" i="13"/>
  <c r="J112" i="13"/>
  <c r="E113" i="13"/>
  <c r="J113" i="13"/>
  <c r="F114" i="13"/>
  <c r="G114" i="13"/>
  <c r="J114" i="13"/>
  <c r="F115" i="13"/>
  <c r="G115" i="13"/>
  <c r="E116" i="13"/>
  <c r="G116" i="13"/>
  <c r="E117" i="13"/>
  <c r="J117" i="13"/>
  <c r="E118" i="13"/>
  <c r="F118" i="13"/>
  <c r="J118" i="13"/>
  <c r="E120" i="13"/>
  <c r="G120" i="13"/>
  <c r="E121" i="13"/>
  <c r="J121" i="13"/>
  <c r="F122" i="13"/>
  <c r="G122" i="13"/>
  <c r="J122" i="13"/>
  <c r="F123" i="13"/>
  <c r="J123" i="13"/>
  <c r="F124" i="13"/>
  <c r="G124" i="13"/>
  <c r="E125" i="13"/>
  <c r="J125" i="13"/>
  <c r="F126" i="13"/>
  <c r="G126" i="13"/>
  <c r="E127" i="13"/>
  <c r="J127" i="13"/>
  <c r="G128" i="13"/>
  <c r="E129" i="13"/>
  <c r="F129" i="13"/>
  <c r="J129" i="13"/>
  <c r="G130" i="13"/>
  <c r="J130" i="13"/>
  <c r="E131" i="13"/>
  <c r="F131" i="13"/>
  <c r="G131" i="13"/>
  <c r="J131" i="13"/>
  <c r="E132" i="13"/>
  <c r="F132" i="13"/>
  <c r="G132" i="13"/>
  <c r="J132" i="13"/>
  <c r="E133" i="13"/>
  <c r="F133" i="13"/>
  <c r="G133" i="13"/>
  <c r="J133" i="13"/>
  <c r="E134" i="13"/>
  <c r="F134" i="13"/>
  <c r="G134" i="13"/>
  <c r="J134" i="13"/>
  <c r="E135" i="13"/>
  <c r="F135" i="13"/>
  <c r="G135" i="13"/>
  <c r="J135" i="13"/>
  <c r="E136" i="13"/>
  <c r="G136" i="13"/>
  <c r="J136" i="13"/>
  <c r="J137" i="13"/>
  <c r="G138" i="13"/>
  <c r="E139" i="13"/>
  <c r="G139" i="13"/>
  <c r="J139" i="13"/>
  <c r="G140" i="13"/>
  <c r="F141" i="13"/>
  <c r="G141" i="13"/>
  <c r="J141" i="13"/>
  <c r="F142" i="13"/>
  <c r="E143" i="13"/>
  <c r="F143" i="13"/>
  <c r="E144" i="13"/>
  <c r="F144" i="13"/>
  <c r="G144" i="13"/>
  <c r="J144" i="13"/>
  <c r="G145" i="13"/>
  <c r="E146" i="13"/>
  <c r="J146" i="13"/>
  <c r="F147" i="13"/>
  <c r="G147" i="13"/>
  <c r="F148" i="13"/>
  <c r="G148" i="13"/>
  <c r="J148" i="13"/>
  <c r="G149" i="13"/>
  <c r="E150" i="13"/>
  <c r="J150" i="13"/>
  <c r="F151" i="13"/>
  <c r="G151" i="13"/>
  <c r="E152" i="13"/>
  <c r="J152" i="13"/>
  <c r="F153" i="13"/>
  <c r="G153" i="13"/>
  <c r="J153" i="13"/>
  <c r="F17" i="15" a="1"/>
  <c r="S5" i="8"/>
  <c r="U5" i="8" s="1"/>
  <c r="F205" i="13"/>
  <c r="G205" i="13"/>
  <c r="E206" i="13"/>
  <c r="G206" i="13"/>
  <c r="J206" i="13"/>
  <c r="G207" i="13"/>
  <c r="E208" i="13"/>
  <c r="S24" i="8"/>
  <c r="U24" i="8" s="1"/>
  <c r="V24" i="8" s="1"/>
  <c r="W24" i="8" s="1"/>
  <c r="S30" i="8"/>
  <c r="U30" i="8" s="1"/>
  <c r="V30" i="8" s="1"/>
  <c r="W30" i="8" s="1"/>
  <c r="F6" i="12"/>
  <c r="E6" i="12"/>
  <c r="D6" i="12"/>
  <c r="C6" i="12"/>
  <c r="B6" i="12"/>
  <c r="F7" i="12"/>
  <c r="E7" i="12"/>
  <c r="D7" i="12"/>
  <c r="C7" i="12"/>
  <c r="B7" i="12"/>
  <c r="F8" i="12"/>
  <c r="E8" i="12"/>
  <c r="D8" i="12"/>
  <c r="C8" i="12"/>
  <c r="B8" i="12"/>
  <c r="F9" i="12"/>
  <c r="E9" i="12"/>
  <c r="D9" i="12"/>
  <c r="C9" i="12"/>
  <c r="B9" i="12"/>
  <c r="F10" i="12"/>
  <c r="E10" i="12"/>
  <c r="D10" i="12"/>
  <c r="C10" i="12"/>
  <c r="B10" i="12"/>
  <c r="F11" i="12"/>
  <c r="E11" i="12"/>
  <c r="D11" i="12"/>
  <c r="C11" i="12"/>
  <c r="B11" i="12"/>
  <c r="F12" i="12"/>
  <c r="E12" i="12"/>
  <c r="D12" i="12"/>
  <c r="C12" i="12"/>
  <c r="B12" i="12"/>
  <c r="F13" i="12"/>
  <c r="E13" i="12"/>
  <c r="D13" i="12"/>
  <c r="C13" i="12"/>
  <c r="B13" i="12"/>
  <c r="F14" i="12"/>
  <c r="E14" i="12"/>
  <c r="D14" i="12"/>
  <c r="C14" i="12"/>
  <c r="B14" i="12"/>
  <c r="F60" i="12"/>
  <c r="E60" i="12"/>
  <c r="D60" i="12"/>
  <c r="C60" i="12"/>
  <c r="B60" i="12"/>
  <c r="G406" i="11"/>
  <c r="J406" i="11"/>
  <c r="C406" i="11"/>
  <c r="E406" i="11"/>
  <c r="B406" i="11"/>
  <c r="I406" i="11"/>
  <c r="D406" i="11"/>
  <c r="G407" i="11"/>
  <c r="C407" i="11"/>
  <c r="I407" i="11"/>
  <c r="B407" i="11"/>
  <c r="D407" i="11"/>
  <c r="H407" i="11" s="1"/>
  <c r="J407" i="11"/>
  <c r="E407" i="11"/>
  <c r="D408" i="11"/>
  <c r="J408" i="11"/>
  <c r="G408" i="11"/>
  <c r="B408" i="11"/>
  <c r="I408" i="11"/>
  <c r="C408" i="11"/>
  <c r="E408" i="11"/>
  <c r="C409" i="11"/>
  <c r="D409" i="11"/>
  <c r="I409" i="11"/>
  <c r="J409" i="11"/>
  <c r="E409" i="11"/>
  <c r="B409" i="11"/>
  <c r="G409" i="11"/>
  <c r="B411" i="11"/>
  <c r="C411" i="11"/>
  <c r="G411" i="11"/>
  <c r="J411" i="11"/>
  <c r="I411" i="11"/>
  <c r="D411" i="11"/>
  <c r="E411" i="11"/>
  <c r="I412" i="11"/>
  <c r="J412" i="11"/>
  <c r="G412" i="11"/>
  <c r="C412" i="11"/>
  <c r="E412" i="11"/>
  <c r="B412" i="11"/>
  <c r="D412" i="11"/>
  <c r="D413" i="11"/>
  <c r="E413" i="11"/>
  <c r="J413" i="11"/>
  <c r="C413" i="11"/>
  <c r="I413" i="11"/>
  <c r="B413" i="11"/>
  <c r="G413" i="11"/>
  <c r="D416" i="11"/>
  <c r="G416" i="11"/>
  <c r="E416" i="11"/>
  <c r="I416" i="11"/>
  <c r="B416" i="11"/>
  <c r="C416" i="11"/>
  <c r="J416" i="11"/>
  <c r="I418" i="11"/>
  <c r="D418" i="11"/>
  <c r="E418" i="11"/>
  <c r="B418" i="11"/>
  <c r="G418" i="11"/>
  <c r="C418" i="11"/>
  <c r="J418" i="11"/>
  <c r="B419" i="11"/>
  <c r="I419" i="11"/>
  <c r="G419" i="11"/>
  <c r="D419" i="11"/>
  <c r="J419" i="11"/>
  <c r="E419" i="11"/>
  <c r="C419" i="11"/>
  <c r="I420" i="11"/>
  <c r="J420" i="11"/>
  <c r="B420" i="11"/>
  <c r="E420" i="11"/>
  <c r="D420" i="11"/>
  <c r="C420" i="11"/>
  <c r="G420" i="11"/>
  <c r="B422" i="11"/>
  <c r="J422" i="11"/>
  <c r="C422" i="11"/>
  <c r="G422" i="11"/>
  <c r="D422" i="11"/>
  <c r="I422" i="11"/>
  <c r="E422" i="11"/>
  <c r="E423" i="11"/>
  <c r="C423" i="11"/>
  <c r="G423" i="11"/>
  <c r="J423" i="11"/>
  <c r="B423" i="11"/>
  <c r="I423" i="11"/>
  <c r="D423" i="11"/>
  <c r="I426" i="11"/>
  <c r="J426" i="11"/>
  <c r="E426" i="11"/>
  <c r="D426" i="11"/>
  <c r="G426" i="11"/>
  <c r="B426" i="11"/>
  <c r="C426" i="11"/>
  <c r="C430" i="11"/>
  <c r="I430" i="11"/>
  <c r="G430" i="11"/>
  <c r="D430" i="11"/>
  <c r="B430" i="11"/>
  <c r="E430" i="11"/>
  <c r="J430" i="11"/>
  <c r="C432" i="11"/>
  <c r="I432" i="11"/>
  <c r="J432" i="11"/>
  <c r="D432" i="11"/>
  <c r="G432" i="11"/>
  <c r="B432" i="11"/>
  <c r="E432" i="11"/>
  <c r="I433" i="11"/>
  <c r="C433" i="11"/>
  <c r="G433" i="11"/>
  <c r="E433" i="11"/>
  <c r="D433" i="11"/>
  <c r="B433" i="11"/>
  <c r="J433" i="11"/>
  <c r="I435" i="11"/>
  <c r="J435" i="11"/>
  <c r="G435" i="11"/>
  <c r="B435" i="11"/>
  <c r="E435" i="11"/>
  <c r="D435" i="11"/>
  <c r="C435" i="11"/>
  <c r="J437" i="11"/>
  <c r="E437" i="11"/>
  <c r="G437" i="11"/>
  <c r="C437" i="11"/>
  <c r="B437" i="11"/>
  <c r="D437" i="11"/>
  <c r="I437" i="11"/>
  <c r="E438" i="11"/>
  <c r="D438" i="11"/>
  <c r="J438" i="11"/>
  <c r="C438" i="11"/>
  <c r="G438" i="11"/>
  <c r="B438" i="11"/>
  <c r="I438" i="11"/>
  <c r="D441" i="11"/>
  <c r="I441" i="11"/>
  <c r="C441" i="11"/>
  <c r="B441" i="11"/>
  <c r="J441" i="11"/>
  <c r="G441" i="11"/>
  <c r="E441" i="11"/>
  <c r="G443" i="11"/>
  <c r="C443" i="11"/>
  <c r="I443" i="11"/>
  <c r="J443" i="11"/>
  <c r="E443" i="11"/>
  <c r="B443" i="11"/>
  <c r="D443" i="11"/>
  <c r="I444" i="11"/>
  <c r="J444" i="11"/>
  <c r="D444" i="11"/>
  <c r="B444" i="11"/>
  <c r="C444" i="11"/>
  <c r="E444" i="11"/>
  <c r="G444" i="11"/>
  <c r="E447" i="11"/>
  <c r="I447" i="11"/>
  <c r="D447" i="11"/>
  <c r="G447" i="11"/>
  <c r="B447" i="11"/>
  <c r="C447" i="11"/>
  <c r="J447" i="11"/>
  <c r="B448" i="11"/>
  <c r="D448" i="11"/>
  <c r="C448" i="11"/>
  <c r="E448" i="11"/>
  <c r="J448" i="11"/>
  <c r="G448" i="11"/>
  <c r="I448" i="11"/>
  <c r="B452" i="11"/>
  <c r="G452" i="11"/>
  <c r="E452" i="11"/>
  <c r="C452" i="11"/>
  <c r="J452" i="11"/>
  <c r="D452" i="11"/>
  <c r="I452" i="11"/>
  <c r="E206" i="11"/>
  <c r="B206" i="11"/>
  <c r="J206" i="11"/>
  <c r="D206" i="11"/>
  <c r="C206" i="11"/>
  <c r="G206" i="11"/>
  <c r="I206" i="11"/>
  <c r="I207" i="11"/>
  <c r="G207" i="11"/>
  <c r="C207" i="11"/>
  <c r="D207" i="11"/>
  <c r="B207" i="11"/>
  <c r="E207" i="11"/>
  <c r="J207" i="11"/>
  <c r="E208" i="11"/>
  <c r="I208" i="11"/>
  <c r="D208" i="11"/>
  <c r="J208" i="11"/>
  <c r="G208" i="11"/>
  <c r="C208" i="11"/>
  <c r="B208" i="11"/>
  <c r="B209" i="11"/>
  <c r="J209" i="11"/>
  <c r="D209" i="11"/>
  <c r="G209" i="11"/>
  <c r="C209" i="11"/>
  <c r="E209" i="11"/>
  <c r="I209" i="11"/>
  <c r="B211" i="11"/>
  <c r="D211" i="11"/>
  <c r="G211" i="11"/>
  <c r="I211" i="11"/>
  <c r="C211" i="11"/>
  <c r="E211" i="11"/>
  <c r="J211" i="11"/>
  <c r="I215" i="11"/>
  <c r="C215" i="11"/>
  <c r="B215" i="11"/>
  <c r="G215" i="11"/>
  <c r="E215" i="11"/>
  <c r="D215" i="11"/>
  <c r="J215" i="11"/>
  <c r="B217" i="11"/>
  <c r="J217" i="11"/>
  <c r="G217" i="11"/>
  <c r="D217" i="11"/>
  <c r="E217" i="11"/>
  <c r="I217" i="11"/>
  <c r="C217" i="11"/>
  <c r="J219" i="11"/>
  <c r="C219" i="11"/>
  <c r="E219" i="11"/>
  <c r="I219" i="11"/>
  <c r="D219" i="11"/>
  <c r="G219" i="11"/>
  <c r="B219" i="11"/>
  <c r="B222" i="11"/>
  <c r="G222" i="11"/>
  <c r="I222" i="11"/>
  <c r="D222" i="11"/>
  <c r="E222" i="11"/>
  <c r="J222" i="11"/>
  <c r="C222" i="11"/>
  <c r="J224" i="11"/>
  <c r="D224" i="11"/>
  <c r="E224" i="11"/>
  <c r="B224" i="11"/>
  <c r="C224" i="11"/>
  <c r="I224" i="11"/>
  <c r="G224" i="11"/>
  <c r="D227" i="11"/>
  <c r="I227" i="11"/>
  <c r="G227" i="11"/>
  <c r="B227" i="11"/>
  <c r="E227" i="11"/>
  <c r="C227" i="11"/>
  <c r="J227" i="11"/>
  <c r="B230" i="11"/>
  <c r="D230" i="11"/>
  <c r="C230" i="11"/>
  <c r="E230" i="11"/>
  <c r="I230" i="11"/>
  <c r="J230" i="11"/>
  <c r="G230" i="11"/>
  <c r="I233" i="11"/>
  <c r="B233" i="11"/>
  <c r="D233" i="11"/>
  <c r="E233" i="11"/>
  <c r="G233" i="11"/>
  <c r="C233" i="11"/>
  <c r="J233" i="11"/>
  <c r="E236" i="11"/>
  <c r="B236" i="11"/>
  <c r="J236" i="11"/>
  <c r="I236" i="11"/>
  <c r="G236" i="11"/>
  <c r="D236" i="11"/>
  <c r="F236" i="11" s="1"/>
  <c r="C236" i="11"/>
  <c r="B237" i="11"/>
  <c r="E237" i="11"/>
  <c r="G237" i="11"/>
  <c r="J237" i="11"/>
  <c r="C237" i="11"/>
  <c r="D237" i="11"/>
  <c r="I237" i="11"/>
  <c r="B239" i="11"/>
  <c r="I239" i="11"/>
  <c r="E239" i="11"/>
  <c r="D239" i="11"/>
  <c r="J239" i="11"/>
  <c r="G239" i="11"/>
  <c r="C239" i="11"/>
  <c r="J240" i="11"/>
  <c r="B240" i="11"/>
  <c r="E240" i="11"/>
  <c r="I240" i="11"/>
  <c r="C240" i="11"/>
  <c r="G240" i="11"/>
  <c r="D240" i="11"/>
  <c r="D242" i="11"/>
  <c r="J242" i="11"/>
  <c r="C242" i="11"/>
  <c r="G242" i="11"/>
  <c r="B242" i="11"/>
  <c r="E242" i="11"/>
  <c r="I242" i="11"/>
  <c r="B243" i="11"/>
  <c r="I243" i="11"/>
  <c r="J243" i="11"/>
  <c r="G243" i="11"/>
  <c r="C243" i="11"/>
  <c r="D243" i="11"/>
  <c r="E243" i="11"/>
  <c r="E250" i="11"/>
  <c r="G250" i="11"/>
  <c r="B250" i="11"/>
  <c r="C250" i="11"/>
  <c r="D250" i="11"/>
  <c r="H250" i="11" s="1"/>
  <c r="J250" i="11"/>
  <c r="I250" i="11"/>
  <c r="D254" i="11"/>
  <c r="J254" i="11"/>
  <c r="G254" i="11"/>
  <c r="I254" i="11"/>
  <c r="B254" i="11"/>
  <c r="E254" i="11"/>
  <c r="C254" i="11"/>
  <c r="J256" i="11"/>
  <c r="I256" i="11"/>
  <c r="C256" i="11"/>
  <c r="D256" i="11"/>
  <c r="G256" i="11"/>
  <c r="E256" i="11"/>
  <c r="B256" i="11"/>
  <c r="C258" i="11"/>
  <c r="E258" i="11"/>
  <c r="J258" i="11"/>
  <c r="G258" i="11"/>
  <c r="B258" i="11"/>
  <c r="I258" i="11"/>
  <c r="D258" i="11"/>
  <c r="F258" i="11" s="1"/>
  <c r="G259" i="11"/>
  <c r="C259" i="11"/>
  <c r="D259" i="11"/>
  <c r="H259" i="11" s="1"/>
  <c r="J259" i="11"/>
  <c r="I259" i="11"/>
  <c r="E259" i="11"/>
  <c r="B259" i="11"/>
  <c r="G260" i="11"/>
  <c r="J260" i="11"/>
  <c r="D260" i="11"/>
  <c r="I260" i="11"/>
  <c r="C260" i="11"/>
  <c r="B260" i="11"/>
  <c r="E260" i="11"/>
  <c r="C264" i="11"/>
  <c r="G264" i="11"/>
  <c r="D264" i="11"/>
  <c r="B264" i="11"/>
  <c r="E264" i="11"/>
  <c r="J264" i="11"/>
  <c r="I264" i="11"/>
  <c r="B265" i="11"/>
  <c r="C265" i="11"/>
  <c r="I265" i="11"/>
  <c r="E265" i="11"/>
  <c r="J265" i="11"/>
  <c r="D265" i="11"/>
  <c r="G265" i="11"/>
  <c r="J266" i="11"/>
  <c r="G266" i="11"/>
  <c r="C266" i="11"/>
  <c r="E266" i="11"/>
  <c r="D266" i="11"/>
  <c r="B266" i="11"/>
  <c r="I266" i="11"/>
  <c r="B274" i="11"/>
  <c r="D274" i="11"/>
  <c r="I274" i="11"/>
  <c r="G274" i="11"/>
  <c r="J274" i="11"/>
  <c r="E274" i="11"/>
  <c r="C274" i="11"/>
  <c r="G275" i="11"/>
  <c r="D275" i="11"/>
  <c r="E275" i="11"/>
  <c r="B275" i="11"/>
  <c r="I275" i="11"/>
  <c r="C275" i="11"/>
  <c r="J275" i="11"/>
  <c r="G276" i="11"/>
  <c r="C276" i="11"/>
  <c r="J276" i="11"/>
  <c r="I276" i="11"/>
  <c r="E276" i="11"/>
  <c r="D276" i="11"/>
  <c r="B276" i="11"/>
  <c r="B280" i="11"/>
  <c r="J280" i="11"/>
  <c r="D280" i="11"/>
  <c r="E280" i="11"/>
  <c r="G280" i="11"/>
  <c r="C280" i="11"/>
  <c r="I280" i="11"/>
  <c r="D283" i="11"/>
  <c r="E283" i="11"/>
  <c r="J283" i="11"/>
  <c r="I283" i="11"/>
  <c r="B283" i="11"/>
  <c r="G283" i="11"/>
  <c r="C283" i="11"/>
  <c r="D284" i="11"/>
  <c r="C284" i="11"/>
  <c r="I284" i="11"/>
  <c r="B284" i="11"/>
  <c r="G284" i="11"/>
  <c r="J284" i="11"/>
  <c r="E284" i="11"/>
  <c r="E290" i="11"/>
  <c r="J290" i="11"/>
  <c r="B290" i="11"/>
  <c r="I290" i="11"/>
  <c r="D290" i="11"/>
  <c r="G290" i="11"/>
  <c r="C290" i="11"/>
  <c r="G292" i="11"/>
  <c r="I292" i="11"/>
  <c r="J292" i="11"/>
  <c r="B292" i="11"/>
  <c r="E292" i="11"/>
  <c r="D292" i="11"/>
  <c r="H292" i="11" s="1"/>
  <c r="C292" i="11"/>
  <c r="J194" i="11"/>
  <c r="E194" i="11"/>
  <c r="D194" i="11"/>
  <c r="C194" i="11"/>
  <c r="I194" i="11"/>
  <c r="B194" i="11"/>
  <c r="G194" i="11"/>
  <c r="B196" i="11"/>
  <c r="C196" i="11"/>
  <c r="G196" i="11"/>
  <c r="E196" i="11"/>
  <c r="D196" i="11"/>
  <c r="J196" i="11"/>
  <c r="I196" i="11"/>
  <c r="J197" i="11"/>
  <c r="B197" i="11"/>
  <c r="G197" i="11"/>
  <c r="I197" i="11"/>
  <c r="D197" i="11"/>
  <c r="H197" i="11" s="1"/>
  <c r="C197" i="11"/>
  <c r="E197" i="11"/>
  <c r="I198" i="11"/>
  <c r="B198" i="11"/>
  <c r="C198" i="11"/>
  <c r="J198" i="11"/>
  <c r="G198" i="11"/>
  <c r="D198" i="11"/>
  <c r="E198" i="11"/>
  <c r="G201" i="11"/>
  <c r="C201" i="11"/>
  <c r="E201" i="11"/>
  <c r="I201" i="11"/>
  <c r="B201" i="11"/>
  <c r="J201" i="11"/>
  <c r="D201" i="11"/>
  <c r="G106" i="11"/>
  <c r="E106" i="11"/>
  <c r="I106" i="11"/>
  <c r="B106" i="11"/>
  <c r="C106" i="11"/>
  <c r="C107" i="11"/>
  <c r="I107" i="11"/>
  <c r="E107" i="11"/>
  <c r="G107" i="11"/>
  <c r="B107" i="11"/>
  <c r="C109" i="11"/>
  <c r="B109" i="11"/>
  <c r="I109" i="11"/>
  <c r="E109" i="11"/>
  <c r="G109" i="11"/>
  <c r="B182" i="11"/>
  <c r="J182" i="11"/>
  <c r="G182" i="11"/>
  <c r="C182" i="11"/>
  <c r="D182" i="11"/>
  <c r="I182" i="11"/>
  <c r="E182" i="11"/>
  <c r="G183" i="11"/>
  <c r="E183" i="11"/>
  <c r="B183" i="11"/>
  <c r="D183" i="11"/>
  <c r="C183" i="11"/>
  <c r="J183" i="11"/>
  <c r="I183" i="11"/>
  <c r="D184" i="11"/>
  <c r="B184" i="11"/>
  <c r="G184" i="11"/>
  <c r="I184" i="11"/>
  <c r="C184" i="11"/>
  <c r="E184" i="11"/>
  <c r="J184" i="11"/>
  <c r="D185" i="11"/>
  <c r="C185" i="11"/>
  <c r="I185" i="11"/>
  <c r="E185" i="11"/>
  <c r="G185" i="11"/>
  <c r="J185" i="11"/>
  <c r="B185" i="11"/>
  <c r="J188" i="11"/>
  <c r="B188" i="11"/>
  <c r="E188" i="11"/>
  <c r="C188" i="11"/>
  <c r="D188" i="11"/>
  <c r="I188" i="11"/>
  <c r="G188" i="11"/>
  <c r="I190" i="11"/>
  <c r="D190" i="11"/>
  <c r="B190" i="11"/>
  <c r="E190" i="11"/>
  <c r="G190" i="11"/>
  <c r="J190" i="11"/>
  <c r="C190" i="11"/>
  <c r="C192" i="11"/>
  <c r="B192" i="11"/>
  <c r="G192" i="11"/>
  <c r="I192" i="11"/>
  <c r="E192" i="11"/>
  <c r="J192" i="11"/>
  <c r="D192" i="11"/>
  <c r="G193" i="11"/>
  <c r="C193" i="11"/>
  <c r="I193" i="11"/>
  <c r="J193" i="11"/>
  <c r="D193" i="11"/>
  <c r="E193" i="11"/>
  <c r="B193" i="11"/>
  <c r="B94" i="11"/>
  <c r="E94" i="11"/>
  <c r="C94" i="11"/>
  <c r="G94" i="11"/>
  <c r="I94" i="11"/>
  <c r="E6" i="11"/>
  <c r="I6" i="11"/>
  <c r="G6" i="11"/>
  <c r="C6" i="11"/>
  <c r="B6" i="11"/>
  <c r="E13" i="11"/>
  <c r="B13" i="11"/>
  <c r="G13" i="11"/>
  <c r="C13" i="11"/>
  <c r="I13" i="11"/>
  <c r="D66" i="11"/>
  <c r="D30" i="11"/>
  <c r="D91" i="11"/>
  <c r="D85" i="11"/>
  <c r="D84" i="11"/>
  <c r="D16" i="11"/>
  <c r="D5" i="8"/>
  <c r="E5" i="8"/>
  <c r="D6" i="8"/>
  <c r="E6" i="8"/>
  <c r="E7" i="8"/>
  <c r="D7" i="8"/>
  <c r="D8" i="8"/>
  <c r="AB8" i="8" s="1"/>
  <c r="E8" i="8"/>
  <c r="D9" i="8"/>
  <c r="AB9" i="8" s="1"/>
  <c r="E9" i="8"/>
  <c r="D10" i="8"/>
  <c r="AB10" i="8" s="1"/>
  <c r="E10" i="8"/>
  <c r="D11" i="8"/>
  <c r="AB11" i="8" s="1"/>
  <c r="E11" i="8"/>
  <c r="E13" i="8"/>
  <c r="D13" i="8"/>
  <c r="AB13" i="8" s="1"/>
  <c r="D14" i="8"/>
  <c r="AB14" i="8" s="1"/>
  <c r="E14" i="8"/>
  <c r="D15" i="8"/>
  <c r="AB15" i="8" s="1"/>
  <c r="E15" i="8"/>
  <c r="D16" i="8"/>
  <c r="AB16" i="8" s="1"/>
  <c r="E16" i="8"/>
  <c r="D12" i="8"/>
  <c r="AB12" i="8" s="1"/>
  <c r="E12" i="8"/>
  <c r="D19" i="8"/>
  <c r="AB19" i="8" s="1"/>
  <c r="E19" i="8"/>
  <c r="D18" i="8"/>
  <c r="AB18" i="8" s="1"/>
  <c r="E18" i="8"/>
  <c r="D17" i="8"/>
  <c r="AB17" i="8" s="1"/>
  <c r="E17" i="8"/>
  <c r="D20" i="8"/>
  <c r="AB20" i="8" s="1"/>
  <c r="E20" i="8"/>
  <c r="E21" i="8"/>
  <c r="D21" i="8"/>
  <c r="D22" i="8"/>
  <c r="E22" i="8"/>
  <c r="E23" i="8"/>
  <c r="D23" i="8"/>
  <c r="E30" i="8"/>
  <c r="D30" i="8"/>
  <c r="AB30" i="8" s="1"/>
  <c r="E31" i="8"/>
  <c r="D31" i="8"/>
  <c r="AB31" i="8" s="1"/>
  <c r="E32" i="8"/>
  <c r="D32" i="8"/>
  <c r="AB32" i="8" s="1"/>
  <c r="E33" i="8"/>
  <c r="D33" i="8"/>
  <c r="AB33" i="8" s="1"/>
  <c r="D34" i="8"/>
  <c r="AB34" i="8" s="1"/>
  <c r="E34" i="8"/>
  <c r="D35" i="8"/>
  <c r="AB35" i="8" s="1"/>
  <c r="E35" i="8"/>
  <c r="E41" i="8"/>
  <c r="D41" i="8"/>
  <c r="AB41" i="8" s="1"/>
  <c r="E40" i="8"/>
  <c r="D40" i="8"/>
  <c r="AB40" i="8" s="1"/>
  <c r="D39" i="8"/>
  <c r="AB39" i="8" s="1"/>
  <c r="E39" i="8"/>
  <c r="D38" i="8"/>
  <c r="AB38" i="8" s="1"/>
  <c r="E38" i="8"/>
  <c r="E36" i="8"/>
  <c r="D36" i="8"/>
  <c r="AB36" i="8" s="1"/>
  <c r="D37" i="8"/>
  <c r="AB37" i="8" s="1"/>
  <c r="E37" i="8"/>
  <c r="E42" i="8"/>
  <c r="D42" i="8"/>
  <c r="AB42" i="8" s="1"/>
  <c r="D53" i="8"/>
  <c r="AB53" i="8" s="1"/>
  <c r="E53" i="8"/>
  <c r="E51" i="8"/>
  <c r="D51" i="8"/>
  <c r="AB51" i="8" s="1"/>
  <c r="E52" i="8"/>
  <c r="D52" i="8"/>
  <c r="AB52" i="8" s="1"/>
  <c r="D54" i="8"/>
  <c r="AB54" i="8" s="1"/>
  <c r="E54" i="8"/>
  <c r="E74" i="8"/>
  <c r="D74" i="8"/>
  <c r="D73" i="8"/>
  <c r="AB73" i="8" s="1"/>
  <c r="E73" i="8"/>
  <c r="E61" i="8"/>
  <c r="D61" i="8"/>
  <c r="AB61" i="8" s="1"/>
  <c r="E62" i="8"/>
  <c r="D62" i="8"/>
  <c r="AB62" i="8" s="1"/>
  <c r="E63" i="8"/>
  <c r="D63" i="8"/>
  <c r="AB63" i="8" s="1"/>
  <c r="E71" i="8"/>
  <c r="D71" i="8"/>
  <c r="AB71" i="8" s="1"/>
  <c r="D72" i="8"/>
  <c r="AB72" i="8" s="1"/>
  <c r="E72" i="8"/>
  <c r="D70" i="8"/>
  <c r="AB70" i="8" s="1"/>
  <c r="E70" i="8"/>
  <c r="E55" i="8"/>
  <c r="D55" i="8"/>
  <c r="AB55" i="8" s="1"/>
  <c r="D56" i="8"/>
  <c r="AB56" i="8" s="1"/>
  <c r="E56" i="8"/>
  <c r="D57" i="8"/>
  <c r="AB57" i="8" s="1"/>
  <c r="E57" i="8"/>
  <c r="D69" i="8"/>
  <c r="AB69" i="8" s="1"/>
  <c r="E69" i="8"/>
  <c r="D68" i="8"/>
  <c r="AB68" i="8" s="1"/>
  <c r="E68" i="8"/>
  <c r="D77" i="8"/>
  <c r="AB77" i="8" s="1"/>
  <c r="E77" i="8"/>
  <c r="E76" i="8"/>
  <c r="D76" i="8"/>
  <c r="AB76" i="8" s="1"/>
  <c r="D75" i="8"/>
  <c r="AB75" i="8" s="1"/>
  <c r="E75" i="8"/>
  <c r="E48" i="8"/>
  <c r="D48" i="8"/>
  <c r="E49" i="8"/>
  <c r="D49" i="8"/>
  <c r="D50" i="8"/>
  <c r="E50" i="8"/>
  <c r="D47" i="8"/>
  <c r="E47" i="8"/>
  <c r="D58" i="8"/>
  <c r="E58" i="8"/>
  <c r="D59" i="8"/>
  <c r="E59" i="8"/>
  <c r="E60" i="8"/>
  <c r="D60" i="8"/>
  <c r="E65" i="8"/>
  <c r="D65" i="8"/>
  <c r="D66" i="8"/>
  <c r="E66" i="8"/>
  <c r="D67" i="8"/>
  <c r="E67" i="8"/>
  <c r="B600" i="11"/>
  <c r="C600" i="11"/>
  <c r="D600" i="11"/>
  <c r="E600" i="11"/>
  <c r="G600" i="11"/>
  <c r="I600" i="11"/>
  <c r="J600" i="11"/>
  <c r="B599" i="11"/>
  <c r="C599" i="11"/>
  <c r="D599" i="11"/>
  <c r="E599" i="11"/>
  <c r="G599" i="11"/>
  <c r="I599" i="11"/>
  <c r="J599" i="11"/>
  <c r="B598" i="11"/>
  <c r="C598" i="11"/>
  <c r="D598" i="11"/>
  <c r="E598" i="11"/>
  <c r="G598" i="11"/>
  <c r="I598" i="11"/>
  <c r="J598" i="11"/>
  <c r="C597" i="11"/>
  <c r="E597" i="11"/>
  <c r="G597" i="11"/>
  <c r="I597" i="11"/>
  <c r="J597" i="11"/>
  <c r="B597" i="11"/>
  <c r="D597" i="11"/>
  <c r="C596" i="11"/>
  <c r="E596" i="11"/>
  <c r="B596" i="11"/>
  <c r="D596" i="11"/>
  <c r="G596" i="11"/>
  <c r="I596" i="11"/>
  <c r="J596" i="11"/>
  <c r="C595" i="11"/>
  <c r="E595" i="11"/>
  <c r="B595" i="11"/>
  <c r="D595" i="11"/>
  <c r="G595" i="11"/>
  <c r="I595" i="11"/>
  <c r="J595" i="11"/>
  <c r="C594" i="11"/>
  <c r="E594" i="11"/>
  <c r="I594" i="11"/>
  <c r="J594" i="11"/>
  <c r="B594" i="11"/>
  <c r="D594" i="11"/>
  <c r="G594" i="11"/>
  <c r="B593" i="11"/>
  <c r="C593" i="11"/>
  <c r="G593" i="11"/>
  <c r="D593" i="11"/>
  <c r="E593" i="11"/>
  <c r="I593" i="11"/>
  <c r="J593" i="11"/>
  <c r="C592" i="11"/>
  <c r="D592" i="11"/>
  <c r="G592" i="11"/>
  <c r="I592" i="11"/>
  <c r="J592" i="11"/>
  <c r="B592" i="11"/>
  <c r="E592" i="11"/>
  <c r="D591" i="11"/>
  <c r="G591" i="11"/>
  <c r="I591" i="11"/>
  <c r="J591" i="11"/>
  <c r="B591" i="11"/>
  <c r="C591" i="11"/>
  <c r="E591" i="11"/>
  <c r="C590" i="11"/>
  <c r="E590" i="11"/>
  <c r="G590" i="11"/>
  <c r="B590" i="11"/>
  <c r="D590" i="11"/>
  <c r="F590" i="11" s="1"/>
  <c r="I590" i="11"/>
  <c r="J590" i="11"/>
  <c r="C589" i="11"/>
  <c r="E589" i="11"/>
  <c r="B589" i="11"/>
  <c r="D589" i="11"/>
  <c r="G589" i="11"/>
  <c r="I589" i="11"/>
  <c r="J589" i="11"/>
  <c r="C588" i="11"/>
  <c r="E588" i="11"/>
  <c r="G588" i="11"/>
  <c r="B588" i="11"/>
  <c r="D588" i="11"/>
  <c r="I588" i="11"/>
  <c r="J588" i="11"/>
  <c r="D587" i="11"/>
  <c r="B587" i="11"/>
  <c r="C587" i="11"/>
  <c r="E587" i="11"/>
  <c r="G587" i="11"/>
  <c r="I587" i="11"/>
  <c r="J587" i="11"/>
  <c r="C586" i="11"/>
  <c r="G586" i="11"/>
  <c r="B586" i="11"/>
  <c r="D586" i="11"/>
  <c r="E586" i="11"/>
  <c r="I586" i="11"/>
  <c r="J586" i="11"/>
  <c r="B585" i="11"/>
  <c r="D585" i="11"/>
  <c r="E585" i="11"/>
  <c r="I585" i="11"/>
  <c r="C585" i="11"/>
  <c r="G585" i="11"/>
  <c r="J585" i="11"/>
  <c r="D584" i="11"/>
  <c r="I584" i="11"/>
  <c r="J584" i="11"/>
  <c r="B584" i="11"/>
  <c r="C584" i="11"/>
  <c r="E584" i="11"/>
  <c r="G584" i="11"/>
  <c r="C583" i="11"/>
  <c r="E583" i="11"/>
  <c r="G583" i="11"/>
  <c r="I583" i="11"/>
  <c r="J583" i="11"/>
  <c r="B583" i="11"/>
  <c r="D583" i="11"/>
  <c r="H583" i="11" s="1"/>
  <c r="B582" i="11"/>
  <c r="D582" i="11"/>
  <c r="E582" i="11"/>
  <c r="C582" i="11"/>
  <c r="G582" i="11"/>
  <c r="I582" i="11"/>
  <c r="J582" i="11"/>
  <c r="B581" i="11"/>
  <c r="C581" i="11"/>
  <c r="D581" i="11"/>
  <c r="E581" i="11"/>
  <c r="I581" i="11"/>
  <c r="J581" i="11"/>
  <c r="G581" i="11"/>
  <c r="C580" i="11"/>
  <c r="E580" i="11"/>
  <c r="G580" i="11"/>
  <c r="B580" i="11"/>
  <c r="D580" i="11"/>
  <c r="H580" i="11" s="1"/>
  <c r="I580" i="11"/>
  <c r="J580" i="11"/>
  <c r="C579" i="11"/>
  <c r="D579" i="11"/>
  <c r="G579" i="11"/>
  <c r="I579" i="11"/>
  <c r="J579" i="11"/>
  <c r="B579" i="11"/>
  <c r="E579" i="11"/>
  <c r="D578" i="11"/>
  <c r="I578" i="11"/>
  <c r="B578" i="11"/>
  <c r="C578" i="11"/>
  <c r="E578" i="11"/>
  <c r="G578" i="11"/>
  <c r="J578" i="11"/>
  <c r="B577" i="11"/>
  <c r="D577" i="11"/>
  <c r="I577" i="11"/>
  <c r="J577" i="11"/>
  <c r="C577" i="11"/>
  <c r="E577" i="11"/>
  <c r="G577" i="11"/>
  <c r="C576" i="11"/>
  <c r="E576" i="11"/>
  <c r="B576" i="11"/>
  <c r="D576" i="11"/>
  <c r="G576" i="11"/>
  <c r="I576" i="11"/>
  <c r="J576" i="11"/>
  <c r="B575" i="11"/>
  <c r="D575" i="11"/>
  <c r="C575" i="11"/>
  <c r="E575" i="11"/>
  <c r="G575" i="11"/>
  <c r="I575" i="11"/>
  <c r="J575" i="11"/>
  <c r="C574" i="11"/>
  <c r="D574" i="11"/>
  <c r="B574" i="11"/>
  <c r="E574" i="11"/>
  <c r="G574" i="11"/>
  <c r="I574" i="11"/>
  <c r="J574" i="11"/>
  <c r="C573" i="11"/>
  <c r="D573" i="11"/>
  <c r="G573" i="11"/>
  <c r="I573" i="11"/>
  <c r="J573" i="11"/>
  <c r="B573" i="11"/>
  <c r="E573" i="11"/>
  <c r="C572" i="11"/>
  <c r="E572" i="11"/>
  <c r="B572" i="11"/>
  <c r="D572" i="11"/>
  <c r="G572" i="11"/>
  <c r="I572" i="11"/>
  <c r="J572" i="11"/>
  <c r="C571" i="11"/>
  <c r="I571" i="11"/>
  <c r="J571" i="11"/>
  <c r="B571" i="11"/>
  <c r="D571" i="11"/>
  <c r="E571" i="11"/>
  <c r="G571" i="11"/>
  <c r="C570" i="11"/>
  <c r="E570" i="11"/>
  <c r="B570" i="11"/>
  <c r="D570" i="11"/>
  <c r="G570" i="11"/>
  <c r="I570" i="11"/>
  <c r="J570" i="11"/>
  <c r="C569" i="11"/>
  <c r="G569" i="11"/>
  <c r="I569" i="11"/>
  <c r="J569" i="11"/>
  <c r="B569" i="11"/>
  <c r="D569" i="11"/>
  <c r="E569" i="11"/>
  <c r="C568" i="11"/>
  <c r="E568" i="11"/>
  <c r="B568" i="11"/>
  <c r="D568" i="11"/>
  <c r="G568" i="11"/>
  <c r="I568" i="11"/>
  <c r="J568" i="11"/>
  <c r="B567" i="11"/>
  <c r="C567" i="11"/>
  <c r="D567" i="11"/>
  <c r="G567" i="11"/>
  <c r="I567" i="11"/>
  <c r="J567" i="11"/>
  <c r="E567" i="11"/>
  <c r="C566" i="11"/>
  <c r="E566" i="11"/>
  <c r="G566" i="11"/>
  <c r="I566" i="11"/>
  <c r="J566" i="11"/>
  <c r="B566" i="11"/>
  <c r="D566" i="11"/>
  <c r="C565" i="11"/>
  <c r="E565" i="11"/>
  <c r="B565" i="11"/>
  <c r="D565" i="11"/>
  <c r="G565" i="11"/>
  <c r="I565" i="11"/>
  <c r="J565" i="11"/>
  <c r="C564" i="11"/>
  <c r="E564" i="11"/>
  <c r="G564" i="11"/>
  <c r="I564" i="11"/>
  <c r="J564" i="11"/>
  <c r="B564" i="11"/>
  <c r="D564" i="11"/>
  <c r="C563" i="11"/>
  <c r="E563" i="11"/>
  <c r="B563" i="11"/>
  <c r="D563" i="11"/>
  <c r="G563" i="11"/>
  <c r="I563" i="11"/>
  <c r="J563" i="11"/>
  <c r="C562" i="11"/>
  <c r="E562" i="11"/>
  <c r="G562" i="11"/>
  <c r="B562" i="11"/>
  <c r="D562" i="11"/>
  <c r="I562" i="11"/>
  <c r="J562" i="11"/>
  <c r="C561" i="11"/>
  <c r="E561" i="11"/>
  <c r="G561" i="11"/>
  <c r="B561" i="11"/>
  <c r="D561" i="11"/>
  <c r="I561" i="11"/>
  <c r="J561" i="11"/>
  <c r="C560" i="11"/>
  <c r="E560" i="11"/>
  <c r="B560" i="11"/>
  <c r="D560" i="11"/>
  <c r="G560" i="11"/>
  <c r="I560" i="11"/>
  <c r="J560" i="11"/>
  <c r="B559" i="11"/>
  <c r="D559" i="11"/>
  <c r="E559" i="11"/>
  <c r="G559" i="11"/>
  <c r="I559" i="11"/>
  <c r="J559" i="11"/>
  <c r="C559" i="11"/>
  <c r="C558" i="11"/>
  <c r="E558" i="11"/>
  <c r="G558" i="11"/>
  <c r="I558" i="11"/>
  <c r="J558" i="11"/>
  <c r="B558" i="11"/>
  <c r="D558" i="11"/>
  <c r="F558" i="11" s="1"/>
  <c r="D557" i="11"/>
  <c r="G557" i="11"/>
  <c r="I557" i="11"/>
  <c r="J557" i="11"/>
  <c r="B557" i="11"/>
  <c r="C557" i="11"/>
  <c r="E557" i="11"/>
  <c r="C556" i="11"/>
  <c r="E556" i="11"/>
  <c r="B556" i="11"/>
  <c r="D556" i="11"/>
  <c r="G556" i="11"/>
  <c r="I556" i="11"/>
  <c r="J556" i="11"/>
  <c r="C555" i="11"/>
  <c r="E555" i="11"/>
  <c r="G555" i="11"/>
  <c r="I555" i="11"/>
  <c r="J555" i="11"/>
  <c r="B555" i="11"/>
  <c r="D555" i="11"/>
  <c r="D554" i="11"/>
  <c r="B554" i="11"/>
  <c r="C554" i="11"/>
  <c r="E554" i="11"/>
  <c r="G554" i="11"/>
  <c r="I554" i="11"/>
  <c r="J554" i="11"/>
  <c r="C553" i="11"/>
  <c r="D553" i="11"/>
  <c r="I553" i="11"/>
  <c r="J553" i="11"/>
  <c r="B553" i="11"/>
  <c r="E553" i="11"/>
  <c r="G553" i="11"/>
  <c r="C552" i="11"/>
  <c r="E552" i="11"/>
  <c r="B552" i="11"/>
  <c r="D552" i="11"/>
  <c r="G552" i="11"/>
  <c r="I552" i="11"/>
  <c r="J552" i="11"/>
  <c r="B551" i="11"/>
  <c r="C551" i="11"/>
  <c r="D551" i="11"/>
  <c r="E551" i="11"/>
  <c r="G551" i="11"/>
  <c r="I551" i="11"/>
  <c r="J551" i="11"/>
  <c r="B550" i="11"/>
  <c r="C550" i="11"/>
  <c r="D550" i="11"/>
  <c r="E550" i="11"/>
  <c r="G550" i="11"/>
  <c r="I550" i="11"/>
  <c r="J550" i="11"/>
  <c r="B549" i="11"/>
  <c r="C549" i="11"/>
  <c r="D549" i="11"/>
  <c r="E549" i="11"/>
  <c r="G549" i="11"/>
  <c r="I549" i="11"/>
  <c r="J549" i="11"/>
  <c r="B548" i="11"/>
  <c r="C548" i="11"/>
  <c r="D548" i="11"/>
  <c r="E548" i="11"/>
  <c r="G548" i="11"/>
  <c r="I548" i="11"/>
  <c r="J548" i="11"/>
  <c r="B547" i="11"/>
  <c r="C547" i="11"/>
  <c r="D547" i="11"/>
  <c r="E547" i="11"/>
  <c r="G547" i="11"/>
  <c r="I547" i="11"/>
  <c r="J547" i="11"/>
  <c r="B546" i="11"/>
  <c r="C546" i="11"/>
  <c r="D546" i="11"/>
  <c r="E546" i="11"/>
  <c r="G546" i="11"/>
  <c r="I546" i="11"/>
  <c r="J546" i="11"/>
  <c r="B545" i="11"/>
  <c r="C545" i="11"/>
  <c r="D545" i="11"/>
  <c r="E545" i="11"/>
  <c r="G545" i="11"/>
  <c r="I545" i="11"/>
  <c r="J545" i="11"/>
  <c r="C544" i="11"/>
  <c r="E544" i="11"/>
  <c r="G544" i="11"/>
  <c r="J544" i="11"/>
  <c r="B544" i="11"/>
  <c r="D544" i="11"/>
  <c r="I544" i="11"/>
  <c r="C543" i="11"/>
  <c r="E543" i="11"/>
  <c r="B543" i="11"/>
  <c r="D543" i="11"/>
  <c r="G543" i="11"/>
  <c r="I543" i="11"/>
  <c r="J543" i="11"/>
  <c r="C542" i="11"/>
  <c r="E542" i="11"/>
  <c r="G542" i="11"/>
  <c r="I542" i="11"/>
  <c r="J542" i="11"/>
  <c r="B542" i="11"/>
  <c r="D542" i="11"/>
  <c r="C541" i="11"/>
  <c r="E541" i="11"/>
  <c r="B541" i="11"/>
  <c r="D541" i="11"/>
  <c r="F541" i="11" s="1"/>
  <c r="G541" i="11"/>
  <c r="I541" i="11"/>
  <c r="J541" i="11"/>
  <c r="C540" i="11"/>
  <c r="E540" i="11"/>
  <c r="G540" i="11"/>
  <c r="B540" i="11"/>
  <c r="D540" i="11"/>
  <c r="I540" i="11"/>
  <c r="J540" i="11"/>
  <c r="B539" i="11"/>
  <c r="C539" i="11"/>
  <c r="D539" i="11"/>
  <c r="E539" i="11"/>
  <c r="G539" i="11"/>
  <c r="I539" i="11"/>
  <c r="J539" i="11"/>
  <c r="C538" i="11"/>
  <c r="E538" i="11"/>
  <c r="G538" i="11"/>
  <c r="B538" i="11"/>
  <c r="D538" i="11"/>
  <c r="I538" i="11"/>
  <c r="J538" i="11"/>
  <c r="C537" i="11"/>
  <c r="E537" i="11"/>
  <c r="G537" i="11"/>
  <c r="B537" i="11"/>
  <c r="D537" i="11"/>
  <c r="I537" i="11"/>
  <c r="J537" i="11"/>
  <c r="C536" i="11"/>
  <c r="I536" i="11"/>
  <c r="J536" i="11"/>
  <c r="B536" i="11"/>
  <c r="D536" i="11"/>
  <c r="E536" i="11"/>
  <c r="G536" i="11"/>
  <c r="C535" i="11"/>
  <c r="D535" i="11"/>
  <c r="E535" i="11"/>
  <c r="G535" i="11"/>
  <c r="I535" i="11"/>
  <c r="J535" i="11"/>
  <c r="B535" i="11"/>
  <c r="C534" i="11"/>
  <c r="D534" i="11"/>
  <c r="E534" i="11"/>
  <c r="B534" i="11"/>
  <c r="G534" i="11"/>
  <c r="I534" i="11"/>
  <c r="J534" i="11"/>
  <c r="B533" i="11"/>
  <c r="D533" i="11"/>
  <c r="E533" i="11"/>
  <c r="G533" i="11"/>
  <c r="C533" i="11"/>
  <c r="I533" i="11"/>
  <c r="J533" i="11"/>
  <c r="C532" i="11"/>
  <c r="G532" i="11"/>
  <c r="J532" i="11"/>
  <c r="B532" i="11"/>
  <c r="D532" i="11"/>
  <c r="E532" i="11"/>
  <c r="I532" i="11"/>
  <c r="D531" i="11"/>
  <c r="G531" i="11"/>
  <c r="B531" i="11"/>
  <c r="C531" i="11"/>
  <c r="E531" i="11"/>
  <c r="I531" i="11"/>
  <c r="J531" i="11"/>
  <c r="B530" i="11"/>
  <c r="C530" i="11"/>
  <c r="E530" i="11"/>
  <c r="G530" i="11"/>
  <c r="I530" i="11"/>
  <c r="J530" i="11"/>
  <c r="D530" i="11"/>
  <c r="C529" i="11"/>
  <c r="E529" i="11"/>
  <c r="G529" i="11"/>
  <c r="I529" i="11"/>
  <c r="J529" i="11"/>
  <c r="B529" i="11"/>
  <c r="D529" i="11"/>
  <c r="F529" i="11" s="1"/>
  <c r="C528" i="11"/>
  <c r="B528" i="11"/>
  <c r="D528" i="11"/>
  <c r="E528" i="11"/>
  <c r="G528" i="11"/>
  <c r="I528" i="11"/>
  <c r="J528" i="11"/>
  <c r="C527" i="11"/>
  <c r="E527" i="11"/>
  <c r="I527" i="11"/>
  <c r="J527" i="11"/>
  <c r="B527" i="11"/>
  <c r="D527" i="11"/>
  <c r="F527" i="11" s="1"/>
  <c r="G527" i="11"/>
  <c r="B526" i="11"/>
  <c r="C526" i="11"/>
  <c r="D526" i="11"/>
  <c r="E526" i="11"/>
  <c r="G526" i="11"/>
  <c r="I526" i="11"/>
  <c r="J526" i="11"/>
  <c r="B525" i="11"/>
  <c r="D525" i="11"/>
  <c r="E525" i="11"/>
  <c r="G525" i="11"/>
  <c r="I525" i="11"/>
  <c r="J525" i="11"/>
  <c r="C525" i="11"/>
  <c r="C524" i="11"/>
  <c r="E524" i="11"/>
  <c r="G524" i="11"/>
  <c r="B524" i="11"/>
  <c r="D524" i="11"/>
  <c r="I524" i="11"/>
  <c r="J524" i="11"/>
  <c r="B523" i="11"/>
  <c r="D523" i="11"/>
  <c r="G523" i="11"/>
  <c r="C523" i="11"/>
  <c r="E523" i="11"/>
  <c r="I523" i="11"/>
  <c r="J523" i="11"/>
  <c r="D522" i="11"/>
  <c r="E522" i="11"/>
  <c r="G522" i="11"/>
  <c r="I522" i="11"/>
  <c r="J522" i="11"/>
  <c r="B522" i="11"/>
  <c r="C522" i="11"/>
  <c r="C521" i="11"/>
  <c r="E521" i="11"/>
  <c r="I521" i="11"/>
  <c r="J521" i="11"/>
  <c r="B521" i="11"/>
  <c r="D521" i="11"/>
  <c r="G521" i="11"/>
  <c r="C520" i="11"/>
  <c r="D520" i="11"/>
  <c r="G520" i="11"/>
  <c r="I520" i="11"/>
  <c r="J520" i="11"/>
  <c r="B520" i="11"/>
  <c r="E520" i="11"/>
  <c r="B519" i="11"/>
  <c r="D519" i="11"/>
  <c r="G519" i="11"/>
  <c r="I519" i="11"/>
  <c r="J519" i="11"/>
  <c r="C519" i="11"/>
  <c r="E519" i="11"/>
  <c r="C518" i="11"/>
  <c r="E518" i="11"/>
  <c r="B518" i="11"/>
  <c r="D518" i="11"/>
  <c r="F518" i="11" s="1"/>
  <c r="G518" i="11"/>
  <c r="I518" i="11"/>
  <c r="J518" i="11"/>
  <c r="B517" i="11"/>
  <c r="C517" i="11"/>
  <c r="D517" i="11"/>
  <c r="E517" i="11"/>
  <c r="G517" i="11"/>
  <c r="I517" i="11"/>
  <c r="J517" i="11"/>
  <c r="C516" i="11"/>
  <c r="E516" i="11"/>
  <c r="G516" i="11"/>
  <c r="B516" i="11"/>
  <c r="D516" i="11"/>
  <c r="I516" i="11"/>
  <c r="J516" i="11"/>
  <c r="B515" i="11"/>
  <c r="E515" i="11"/>
  <c r="G515" i="11"/>
  <c r="I515" i="11"/>
  <c r="J515" i="11"/>
  <c r="C515" i="11"/>
  <c r="D515" i="11"/>
  <c r="D514" i="11"/>
  <c r="G514" i="11"/>
  <c r="I514" i="11"/>
  <c r="J514" i="11"/>
  <c r="B514" i="11"/>
  <c r="C514" i="11"/>
  <c r="E514" i="11"/>
  <c r="C513" i="11"/>
  <c r="E513" i="11"/>
  <c r="B513" i="11"/>
  <c r="D513" i="11"/>
  <c r="F513" i="11" s="1"/>
  <c r="G513" i="11"/>
  <c r="I513" i="11"/>
  <c r="J513" i="11"/>
  <c r="C512" i="11"/>
  <c r="E512" i="11"/>
  <c r="B512" i="11"/>
  <c r="D512" i="11"/>
  <c r="F512" i="11" s="1"/>
  <c r="G512" i="11"/>
  <c r="I512" i="11"/>
  <c r="J512" i="11"/>
  <c r="C511" i="11"/>
  <c r="E511" i="11"/>
  <c r="B511" i="11"/>
  <c r="D511" i="11"/>
  <c r="G511" i="11"/>
  <c r="I511" i="11"/>
  <c r="J511" i="11"/>
  <c r="C510" i="11"/>
  <c r="E510" i="11"/>
  <c r="G510" i="11"/>
  <c r="I510" i="11"/>
  <c r="J510" i="11"/>
  <c r="B510" i="11"/>
  <c r="D510" i="11"/>
  <c r="F510" i="11" s="1"/>
  <c r="C509" i="11"/>
  <c r="D509" i="11"/>
  <c r="G509" i="11"/>
  <c r="I509" i="11"/>
  <c r="J509" i="11"/>
  <c r="B509" i="11"/>
  <c r="E509" i="11"/>
  <c r="C508" i="11"/>
  <c r="E508" i="11"/>
  <c r="G508" i="11"/>
  <c r="I508" i="11"/>
  <c r="J508" i="11"/>
  <c r="B508" i="11"/>
  <c r="D508" i="11"/>
  <c r="F508" i="11" s="1"/>
  <c r="C507" i="11"/>
  <c r="D507" i="11"/>
  <c r="G507" i="11"/>
  <c r="I507" i="11"/>
  <c r="J507" i="11"/>
  <c r="B507" i="11"/>
  <c r="E507" i="11"/>
  <c r="E506" i="11"/>
  <c r="G506" i="11"/>
  <c r="I506" i="11"/>
  <c r="J506" i="11"/>
  <c r="B506" i="11"/>
  <c r="C506" i="11"/>
  <c r="D506" i="11"/>
  <c r="F506" i="11" s="1"/>
  <c r="E505" i="11"/>
  <c r="B505" i="11"/>
  <c r="C505" i="11"/>
  <c r="D505" i="11"/>
  <c r="G505" i="11"/>
  <c r="I505" i="11"/>
  <c r="J505" i="11"/>
  <c r="B504" i="11"/>
  <c r="C504" i="11"/>
  <c r="E504" i="11"/>
  <c r="I504" i="11"/>
  <c r="J504" i="11"/>
  <c r="D504" i="11"/>
  <c r="G504" i="11"/>
  <c r="C503" i="11"/>
  <c r="E503" i="11"/>
  <c r="I503" i="11"/>
  <c r="J503" i="11"/>
  <c r="B503" i="11"/>
  <c r="D503" i="11"/>
  <c r="F503" i="11" s="1"/>
  <c r="G503" i="11"/>
  <c r="B502" i="11"/>
  <c r="D502" i="11"/>
  <c r="G502" i="11"/>
  <c r="I502" i="11"/>
  <c r="J502" i="11"/>
  <c r="C502" i="11"/>
  <c r="E502" i="11"/>
  <c r="C501" i="11"/>
  <c r="D501" i="11"/>
  <c r="G501" i="11"/>
  <c r="I501" i="11"/>
  <c r="B501" i="11"/>
  <c r="E501" i="11"/>
  <c r="J501" i="11"/>
  <c r="C500" i="11"/>
  <c r="I500" i="11"/>
  <c r="J500" i="11"/>
  <c r="B500" i="11"/>
  <c r="D500" i="11"/>
  <c r="E500" i="11"/>
  <c r="G500" i="11"/>
  <c r="B499" i="11"/>
  <c r="C499" i="11"/>
  <c r="D499" i="11"/>
  <c r="E499" i="11"/>
  <c r="G499" i="11"/>
  <c r="I499" i="11"/>
  <c r="J499" i="11"/>
  <c r="C498" i="11"/>
  <c r="D498" i="11"/>
  <c r="B498" i="11"/>
  <c r="E498" i="11"/>
  <c r="G498" i="11"/>
  <c r="I498" i="11"/>
  <c r="J498" i="11"/>
  <c r="B497" i="11"/>
  <c r="C497" i="11"/>
  <c r="E497" i="11"/>
  <c r="G497" i="11"/>
  <c r="I497" i="11"/>
  <c r="J497" i="11"/>
  <c r="D497" i="11"/>
  <c r="F497" i="11" s="1"/>
  <c r="C496" i="11"/>
  <c r="G496" i="11"/>
  <c r="I496" i="11"/>
  <c r="J496" i="11"/>
  <c r="B496" i="11"/>
  <c r="D496" i="11"/>
  <c r="E496" i="11"/>
  <c r="D110" i="11"/>
  <c r="D108" i="11"/>
  <c r="D83" i="11"/>
  <c r="F565" i="11" l="1"/>
  <c r="AB1071" i="8"/>
  <c r="AC1071" i="8" s="1"/>
  <c r="AG1071" i="8"/>
  <c r="AH1071" i="8" s="1"/>
  <c r="AD1071" i="8" s="1"/>
  <c r="AB625" i="8"/>
  <c r="AC625" i="8" s="1"/>
  <c r="AG625" i="8"/>
  <c r="AH625" i="8" s="1"/>
  <c r="AB617" i="8"/>
  <c r="AC617" i="8" s="1"/>
  <c r="AG617" i="8"/>
  <c r="AH617" i="8" s="1"/>
  <c r="AB254" i="8"/>
  <c r="AG254" i="8"/>
  <c r="AH254" i="8" s="1"/>
  <c r="G77" i="13"/>
  <c r="F515" i="11"/>
  <c r="G151" i="12"/>
  <c r="J151" i="12"/>
  <c r="G142" i="12"/>
  <c r="J142" i="12"/>
  <c r="J134" i="12"/>
  <c r="G134" i="12"/>
  <c r="AD625" i="8"/>
  <c r="AD617" i="8"/>
  <c r="F480" i="11"/>
  <c r="G152" i="12"/>
  <c r="J152" i="12"/>
  <c r="J148" i="12"/>
  <c r="G148" i="12"/>
  <c r="J146" i="12"/>
  <c r="G146" i="12"/>
  <c r="J145" i="12"/>
  <c r="G145" i="12"/>
  <c r="G139" i="12"/>
  <c r="J139" i="12"/>
  <c r="H488" i="11"/>
  <c r="J137" i="12"/>
  <c r="G137" i="12"/>
  <c r="J135" i="12"/>
  <c r="G135" i="12"/>
  <c r="AC572" i="8"/>
  <c r="AC173" i="8"/>
  <c r="AC1108" i="8"/>
  <c r="AC1109" i="8"/>
  <c r="AC1110" i="8"/>
  <c r="AC1118" i="8"/>
  <c r="AC1119" i="8"/>
  <c r="AC1105" i="8"/>
  <c r="AC1107" i="8"/>
  <c r="AC1104" i="8"/>
  <c r="AC1106" i="8"/>
  <c r="AC1049" i="8"/>
  <c r="AC1046" i="8"/>
  <c r="AC1047" i="8"/>
  <c r="AC1048" i="8"/>
  <c r="AC254" i="8"/>
  <c r="AD254" i="8"/>
  <c r="AC1042" i="8"/>
  <c r="AC1194" i="8"/>
  <c r="AC1195" i="8"/>
  <c r="AC1290" i="8"/>
  <c r="AC1289" i="8"/>
  <c r="AC1288" i="8"/>
  <c r="AC1287" i="8"/>
  <c r="AC1286" i="8"/>
  <c r="AC1284" i="8"/>
  <c r="AC1285" i="8"/>
  <c r="AC1126" i="8"/>
  <c r="AC1128" i="8"/>
  <c r="AC1127" i="8"/>
  <c r="AC1125" i="8"/>
  <c r="AC1292" i="8"/>
  <c r="AC1291" i="8"/>
  <c r="AC1293" i="8"/>
  <c r="AC1295" i="8"/>
  <c r="AC1294" i="8"/>
  <c r="AC1145" i="8"/>
  <c r="AC1146" i="8"/>
  <c r="AC1144" i="8"/>
  <c r="AC1167" i="8"/>
  <c r="AC1165" i="8"/>
  <c r="AC1166" i="8"/>
  <c r="AC1164" i="8"/>
  <c r="AC1176" i="8"/>
  <c r="AC1177" i="8"/>
  <c r="AC1179" i="8"/>
  <c r="AC1178" i="8"/>
  <c r="AC1238" i="8"/>
  <c r="AC1237" i="8"/>
  <c r="AC1236" i="8"/>
  <c r="AC1334" i="8"/>
  <c r="AC1335" i="8"/>
  <c r="AC1336" i="8"/>
  <c r="AC1337" i="8"/>
  <c r="AC1161" i="8"/>
  <c r="AC1162" i="8"/>
  <c r="AC1163" i="8"/>
  <c r="AC1230" i="8"/>
  <c r="AC1229" i="8"/>
  <c r="AC1228" i="8"/>
  <c r="AC1227" i="8"/>
  <c r="AC1231" i="8"/>
  <c r="AC1184" i="8"/>
  <c r="AC1186" i="8"/>
  <c r="AC1187" i="8"/>
  <c r="AC1185" i="8"/>
  <c r="AC1175" i="8"/>
  <c r="AC1174" i="8"/>
  <c r="AC1173" i="8"/>
  <c r="AC1202" i="8"/>
  <c r="AC1203" i="8"/>
  <c r="AC1201" i="8"/>
  <c r="AC1200" i="8"/>
  <c r="AC1056" i="8"/>
  <c r="AC1054" i="8"/>
  <c r="AC1055" i="8"/>
  <c r="AC1057" i="8"/>
  <c r="AC1317" i="8"/>
  <c r="AC1318" i="8"/>
  <c r="AC1319" i="8"/>
  <c r="AC1316" i="8"/>
  <c r="AC313" i="8"/>
  <c r="AC1122" i="8"/>
  <c r="AC1121" i="8"/>
  <c r="AC1120" i="8"/>
  <c r="AC1124" i="8"/>
  <c r="AC1123" i="8"/>
  <c r="AC1266" i="8"/>
  <c r="AC1268" i="8"/>
  <c r="AC1267" i="8"/>
  <c r="AC1089" i="8"/>
  <c r="AC1088" i="8"/>
  <c r="AC1087" i="8"/>
  <c r="AC1086" i="8"/>
  <c r="AC1053" i="8"/>
  <c r="AC1052" i="8"/>
  <c r="AC1051" i="8"/>
  <c r="AC1050" i="8"/>
  <c r="AC1111" i="8"/>
  <c r="AC1112" i="8"/>
  <c r="AC1113" i="8"/>
  <c r="AC1114" i="8"/>
  <c r="AC1217" i="8"/>
  <c r="AC1220" i="8"/>
  <c r="AC1219" i="8"/>
  <c r="AC1218" i="8"/>
  <c r="AC1090" i="8"/>
  <c r="AC1091" i="8"/>
  <c r="AC1168" i="8"/>
  <c r="AC1169" i="8"/>
  <c r="AC1212" i="8"/>
  <c r="AC1210" i="8"/>
  <c r="AC1209" i="8"/>
  <c r="AC1211" i="8"/>
  <c r="AC1100" i="8"/>
  <c r="AC1101" i="8"/>
  <c r="AC1222" i="8"/>
  <c r="AC1223" i="8"/>
  <c r="AC1224" i="8"/>
  <c r="AC1221" i="8"/>
  <c r="AC1095" i="8"/>
  <c r="AC1158" i="8"/>
  <c r="AC1160" i="8"/>
  <c r="AC1157" i="8"/>
  <c r="AC1159" i="8"/>
  <c r="AC686" i="8"/>
  <c r="AC1063" i="8"/>
  <c r="AC1065" i="8"/>
  <c r="AC1064" i="8"/>
  <c r="AC1062" i="8"/>
  <c r="AC1300" i="8"/>
  <c r="AC1301" i="8"/>
  <c r="AC1302" i="8"/>
  <c r="AC1304" i="8"/>
  <c r="AC1303" i="8"/>
  <c r="AC1180" i="8"/>
  <c r="AC1299" i="8"/>
  <c r="AC1274" i="8"/>
  <c r="AC1276" i="8"/>
  <c r="AC1277" i="8"/>
  <c r="AC1275" i="8"/>
  <c r="AC1273" i="8"/>
  <c r="AC1272" i="8"/>
  <c r="AC1269" i="8"/>
  <c r="AC1271" i="8"/>
  <c r="AC1270" i="8"/>
  <c r="AC1181" i="8"/>
  <c r="AC1182" i="8"/>
  <c r="AC1183" i="8"/>
  <c r="AC1079" i="8"/>
  <c r="AC1078" i="8"/>
  <c r="AC1081" i="8"/>
  <c r="AC1080" i="8"/>
  <c r="AC1280" i="8"/>
  <c r="AC1279" i="8"/>
  <c r="AC1278" i="8"/>
  <c r="AC1059" i="8"/>
  <c r="AC1060" i="8"/>
  <c r="AC1061" i="8"/>
  <c r="AC1058" i="8"/>
  <c r="AC1140" i="8"/>
  <c r="AC1139" i="8"/>
  <c r="AC1188" i="8"/>
  <c r="AC1189" i="8"/>
  <c r="AC1093" i="8"/>
  <c r="AC1094" i="8"/>
  <c r="AC1092" i="8"/>
  <c r="AC1322" i="8"/>
  <c r="AC1321" i="8"/>
  <c r="AC1323" i="8"/>
  <c r="AC1320" i="8"/>
  <c r="AC1307" i="8"/>
  <c r="AC1306" i="8"/>
  <c r="AC1305" i="8"/>
  <c r="AC1309" i="8"/>
  <c r="AC1308" i="8"/>
  <c r="AC1311" i="8"/>
  <c r="AC1310" i="8"/>
  <c r="AC1314" i="8"/>
  <c r="AC1313" i="8"/>
  <c r="AC1312" i="8"/>
  <c r="AC1315" i="8"/>
  <c r="AC1333" i="8"/>
  <c r="AC1332" i="8"/>
  <c r="AC1331" i="8"/>
  <c r="AC1225" i="8"/>
  <c r="AC1226" i="8"/>
  <c r="AC1338" i="8"/>
  <c r="AC1077" i="8"/>
  <c r="AC1213" i="8"/>
  <c r="AC1214" i="8"/>
  <c r="AC1215" i="8"/>
  <c r="AC1216" i="8"/>
  <c r="AC1099" i="8"/>
  <c r="AC1097" i="8"/>
  <c r="AC1096" i="8"/>
  <c r="AC1098" i="8"/>
  <c r="AC1043" i="8"/>
  <c r="AC1044" i="8"/>
  <c r="AC1045" i="8"/>
  <c r="AC1082" i="8"/>
  <c r="AC1083" i="8"/>
  <c r="AC1084" i="8"/>
  <c r="AC1085" i="8"/>
  <c r="AC1148" i="8"/>
  <c r="AC1147" i="8"/>
  <c r="AC1149" i="8"/>
  <c r="AC1150" i="8"/>
  <c r="AC1116" i="8"/>
  <c r="AC1117" i="8"/>
  <c r="AC1235" i="8"/>
  <c r="AC1234" i="8"/>
  <c r="AC1233" i="8"/>
  <c r="AC1115" i="8"/>
  <c r="AC1232" i="8"/>
  <c r="AC1281" i="8"/>
  <c r="AC1283" i="8"/>
  <c r="AC1282" i="8"/>
  <c r="AC1141" i="8"/>
  <c r="AC1142" i="8"/>
  <c r="AC1143" i="8"/>
  <c r="AC1103" i="8"/>
  <c r="AC1102" i="8"/>
  <c r="AC1193" i="8"/>
  <c r="AC1192" i="8"/>
  <c r="AC1191" i="8"/>
  <c r="AC1190" i="8"/>
  <c r="AC1075" i="8"/>
  <c r="AC1074" i="8"/>
  <c r="AC1073" i="8"/>
  <c r="AC1072" i="8"/>
  <c r="AC1076" i="8"/>
  <c r="F572" i="11"/>
  <c r="H406" i="11"/>
  <c r="J169" i="12"/>
  <c r="G169" i="12"/>
  <c r="M1928" i="8"/>
  <c r="AN1928" i="8"/>
  <c r="AN1929" i="8"/>
  <c r="M1929" i="8"/>
  <c r="M1930" i="8"/>
  <c r="AN1930" i="8"/>
  <c r="AN1932" i="8"/>
  <c r="M1932" i="8"/>
  <c r="AN1934" i="8"/>
  <c r="M1934" i="8"/>
  <c r="AA1933" i="8"/>
  <c r="AA1932" i="8"/>
  <c r="AA1935" i="8"/>
  <c r="AA1934" i="8"/>
  <c r="AA1931" i="8"/>
  <c r="AA1929" i="8"/>
  <c r="AA1930" i="8"/>
  <c r="AA1927" i="8"/>
  <c r="AA1928" i="8"/>
  <c r="AN1927" i="8"/>
  <c r="M1927" i="8"/>
  <c r="AN1931" i="8"/>
  <c r="M1931" i="8"/>
  <c r="AG393" i="8"/>
  <c r="AH393" i="8" s="1"/>
  <c r="AD393" i="8" s="1"/>
  <c r="AG392" i="8"/>
  <c r="AH392" i="8" s="1"/>
  <c r="AD392" i="8" s="1"/>
  <c r="AG1932" i="8"/>
  <c r="AH1932" i="8" s="1"/>
  <c r="AD1932" i="8" s="1"/>
  <c r="AG1933" i="8"/>
  <c r="AH1933" i="8" s="1"/>
  <c r="AD1933" i="8" s="1"/>
  <c r="AG1935" i="8"/>
  <c r="AH1935" i="8" s="1"/>
  <c r="AD1935" i="8" s="1"/>
  <c r="AG1934" i="8"/>
  <c r="AH1934" i="8" s="1"/>
  <c r="AD1934" i="8" s="1"/>
  <c r="AG1931" i="8"/>
  <c r="AH1931" i="8" s="1"/>
  <c r="AD1931" i="8" s="1"/>
  <c r="AG1928" i="8"/>
  <c r="AH1928" i="8" s="1"/>
  <c r="AD1928" i="8" s="1"/>
  <c r="AG1927" i="8"/>
  <c r="AH1927" i="8" s="1"/>
  <c r="AD1927" i="8" s="1"/>
  <c r="AG1929" i="8"/>
  <c r="AH1929" i="8" s="1"/>
  <c r="AD1929" i="8" s="1"/>
  <c r="AG1930" i="8"/>
  <c r="AH1930" i="8" s="1"/>
  <c r="AD1930" i="8" s="1"/>
  <c r="AE1935" i="8"/>
  <c r="AF1935" i="8" s="1"/>
  <c r="AE1933" i="8"/>
  <c r="AF1933" i="8" s="1"/>
  <c r="AE1934" i="8"/>
  <c r="AF1934" i="8" s="1"/>
  <c r="AE1932" i="8"/>
  <c r="AF1932" i="8" s="1"/>
  <c r="AE1930" i="8"/>
  <c r="AF1930" i="8" s="1"/>
  <c r="AE1931" i="8"/>
  <c r="AF1931" i="8" s="1"/>
  <c r="AE1928" i="8"/>
  <c r="AF1928" i="8" s="1"/>
  <c r="AE1929" i="8"/>
  <c r="AF1929" i="8" s="1"/>
  <c r="AE254" i="8"/>
  <c r="AF254" i="8" s="1"/>
  <c r="AE1199" i="8"/>
  <c r="AF1199" i="8" s="1"/>
  <c r="AE850" i="8"/>
  <c r="AF850" i="8" s="1"/>
  <c r="AE1071" i="8"/>
  <c r="AF1071" i="8" s="1"/>
  <c r="H123" i="11"/>
  <c r="AM1541" i="8" a="1"/>
  <c r="AK1541" i="8"/>
  <c r="AL1541" i="8" s="1" a="1"/>
  <c r="J174" i="12"/>
  <c r="G174" i="12"/>
  <c r="J51" i="10"/>
  <c r="P51" i="10"/>
  <c r="Q51" i="10" s="1"/>
  <c r="J189" i="12"/>
  <c r="G189" i="12"/>
  <c r="J176" i="12"/>
  <c r="G176" i="12"/>
  <c r="AN1622" i="8"/>
  <c r="G171" i="12"/>
  <c r="G168" i="12"/>
  <c r="G167" i="12"/>
  <c r="J167" i="12"/>
  <c r="G163" i="12"/>
  <c r="J162" i="12"/>
  <c r="G162" i="12"/>
  <c r="G161" i="12"/>
  <c r="J161" i="12"/>
  <c r="J160" i="12"/>
  <c r="G160" i="12"/>
  <c r="G159" i="12"/>
  <c r="J159" i="12"/>
  <c r="G158" i="12"/>
  <c r="J157" i="12"/>
  <c r="G157" i="12"/>
  <c r="G156" i="12"/>
  <c r="J156" i="12"/>
  <c r="J155" i="12"/>
  <c r="G155" i="12"/>
  <c r="G149" i="12"/>
  <c r="J149" i="12"/>
  <c r="G144" i="12"/>
  <c r="J144" i="12"/>
  <c r="J140" i="12"/>
  <c r="G140" i="12"/>
  <c r="J138" i="12"/>
  <c r="G138" i="12"/>
  <c r="G133" i="12"/>
  <c r="J133" i="12"/>
  <c r="J132" i="12"/>
  <c r="G132" i="12"/>
  <c r="L128" i="10"/>
  <c r="M128" i="10" s="1"/>
  <c r="G131" i="12"/>
  <c r="J170" i="12"/>
  <c r="G170" i="12"/>
  <c r="J164" i="12"/>
  <c r="G164" i="12"/>
  <c r="G153" i="12"/>
  <c r="G136" i="12"/>
  <c r="J136" i="12"/>
  <c r="J154" i="12"/>
  <c r="G154" i="12"/>
  <c r="G147" i="12"/>
  <c r="J147" i="12"/>
  <c r="D133" i="11"/>
  <c r="P132" i="10"/>
  <c r="J132" i="10"/>
  <c r="D131" i="11"/>
  <c r="P130" i="10"/>
  <c r="J130" i="10"/>
  <c r="D130" i="11"/>
  <c r="P129" i="10"/>
  <c r="J129" i="10"/>
  <c r="D128" i="11"/>
  <c r="J127" i="10"/>
  <c r="P127" i="10"/>
  <c r="D125" i="11"/>
  <c r="P124" i="10"/>
  <c r="J124" i="10"/>
  <c r="AN1375" i="8"/>
  <c r="AN1644" i="8"/>
  <c r="AN1815" i="8"/>
  <c r="AN1836" i="8"/>
  <c r="AN1852" i="8"/>
  <c r="AN1338" i="8"/>
  <c r="AN1742" i="8"/>
  <c r="AN1803" i="8"/>
  <c r="AN1830" i="8"/>
  <c r="AN1295" i="8"/>
  <c r="AN1636" i="8"/>
  <c r="AN1687" i="8"/>
  <c r="AN1731" i="8"/>
  <c r="AN1749" i="8"/>
  <c r="AN1791" i="8"/>
  <c r="AN1838" i="8"/>
  <c r="AN1903" i="8"/>
  <c r="AN405" i="8"/>
  <c r="AN1152" i="8"/>
  <c r="AN1367" i="8"/>
  <c r="AN1619" i="8"/>
  <c r="AN1648" i="8"/>
  <c r="AN1676" i="8"/>
  <c r="AN1728" i="8"/>
  <c r="AN1887" i="8"/>
  <c r="AN1575" i="8"/>
  <c r="AN1724" i="8"/>
  <c r="AN1766" i="8"/>
  <c r="AN1790" i="8"/>
  <c r="AN1817" i="8"/>
  <c r="AN1912" i="8"/>
  <c r="AN1849" i="8"/>
  <c r="AN1899" i="8"/>
  <c r="AN1285" i="8"/>
  <c r="AN1539" i="8"/>
  <c r="AN1653" i="8"/>
  <c r="AN1721" i="8"/>
  <c r="AN1750" i="8"/>
  <c r="AN1772" i="8"/>
  <c r="AN1626" i="8"/>
  <c r="AN1845" i="8"/>
  <c r="AN1868" i="8"/>
  <c r="AN1918" i="8"/>
  <c r="AN1634" i="8"/>
  <c r="AN1667" i="8"/>
  <c r="AN1693" i="8"/>
  <c r="AN1723" i="8"/>
  <c r="AN1783" i="8"/>
  <c r="AN1823" i="8"/>
  <c r="AN1196" i="8"/>
  <c r="AN1430" i="8"/>
  <c r="AN1769" i="8"/>
  <c r="AN1792" i="8"/>
  <c r="AN1835" i="8"/>
  <c r="AN1861" i="8"/>
  <c r="AN1890" i="8"/>
  <c r="AN1915" i="8"/>
  <c r="AN1694" i="8"/>
  <c r="AN1829" i="8"/>
  <c r="AN1847" i="8"/>
  <c r="AN1923" i="8"/>
  <c r="AN1342" i="8"/>
  <c r="AN1486" i="8"/>
  <c r="AN1642" i="8"/>
  <c r="AN1699" i="8"/>
  <c r="AN1734" i="8"/>
  <c r="AN1776" i="8"/>
  <c r="AN1808" i="8"/>
  <c r="AN1833" i="8"/>
  <c r="AN1858" i="8"/>
  <c r="AN1872" i="8"/>
  <c r="AN1901" i="8"/>
  <c r="AN1925" i="8"/>
  <c r="AN1347" i="8"/>
  <c r="AN1440" i="8"/>
  <c r="AN1683" i="8"/>
  <c r="AN1702" i="8"/>
  <c r="AN1760" i="8"/>
  <c r="AN1854" i="8"/>
  <c r="AN1884" i="8"/>
  <c r="AN1905" i="8"/>
  <c r="AN1640" i="8"/>
  <c r="AN1737" i="8"/>
  <c r="AN1796" i="8"/>
  <c r="AN1841" i="8"/>
  <c r="AN1893" i="8"/>
  <c r="AN1917" i="8"/>
  <c r="AN1253" i="8"/>
  <c r="AN1485" i="8"/>
  <c r="AN1656" i="8"/>
  <c r="AN1714" i="8"/>
  <c r="AN1768" i="8"/>
  <c r="AN1820" i="8"/>
  <c r="AN1839" i="8"/>
  <c r="AN1857" i="8"/>
  <c r="AN1911" i="8"/>
  <c r="AN1369" i="8"/>
  <c r="AN1665" i="8"/>
  <c r="AN1707" i="8"/>
  <c r="AN1752" i="8"/>
  <c r="AN1795" i="8"/>
  <c r="AN1671" i="8"/>
  <c r="AN1711" i="8"/>
  <c r="AN1784" i="8"/>
  <c r="AN1863" i="8"/>
  <c r="AN1194" i="8"/>
  <c r="AN1371" i="8"/>
  <c r="AN1662" i="8"/>
  <c r="AN1720" i="8"/>
  <c r="AN1740" i="8"/>
  <c r="AN1770" i="8"/>
  <c r="AN1866" i="8"/>
  <c r="AN1892" i="8"/>
  <c r="AN1488" i="8"/>
  <c r="AN1754" i="8"/>
  <c r="AN1809" i="8"/>
  <c r="AN1851" i="8"/>
  <c r="AN1875" i="8"/>
  <c r="AN1898" i="8"/>
  <c r="AN1115" i="8"/>
  <c r="AN1331" i="8"/>
  <c r="AN1454" i="8"/>
  <c r="AN1527" i="8"/>
  <c r="AN1632" i="8"/>
  <c r="AN1660" i="8"/>
  <c r="AN1679" i="8"/>
  <c r="AN1719" i="8"/>
  <c r="AN1743" i="8"/>
  <c r="AN1789" i="8"/>
  <c r="AN1842" i="8"/>
  <c r="AN1859" i="8"/>
  <c r="AN1035" i="8"/>
  <c r="AN1442" i="8"/>
  <c r="AN1669" i="8"/>
  <c r="AN1745" i="8"/>
  <c r="AN1813" i="8"/>
  <c r="AN1843" i="8"/>
  <c r="AN1882" i="8"/>
  <c r="AN1170" i="8"/>
  <c r="AN1490" i="8"/>
  <c r="AN1705" i="8"/>
  <c r="AN1736" i="8"/>
  <c r="AN1780" i="8"/>
  <c r="AN1886" i="8"/>
  <c r="AN1913" i="8"/>
  <c r="AN1235" i="8"/>
  <c r="AN1377" i="8"/>
  <c r="AN1624" i="8"/>
  <c r="AN1659" i="8"/>
  <c r="AN1715" i="8"/>
  <c r="AN1738" i="8"/>
  <c r="AN1765" i="8"/>
  <c r="AN1864" i="8"/>
  <c r="AN1889" i="8"/>
  <c r="AN1922" i="8"/>
  <c r="AN1345" i="8"/>
  <c r="AN1646" i="8"/>
  <c r="AN1778" i="8"/>
  <c r="AN1801" i="8"/>
  <c r="AN1846" i="8"/>
  <c r="AN1873" i="8"/>
  <c r="AN1355" i="8"/>
  <c r="AN1682" i="8"/>
  <c r="AN1726" i="8"/>
  <c r="AN1800" i="8"/>
  <c r="AN1844" i="8"/>
  <c r="AN1881" i="8"/>
  <c r="AN1478" i="8"/>
  <c r="AN1690" i="8"/>
  <c r="AN1710" i="8"/>
  <c r="AN1732" i="8"/>
  <c r="AN1755" i="8"/>
  <c r="AN1798" i="8"/>
  <c r="AN1877" i="8"/>
  <c r="AN1904" i="8"/>
  <c r="AN1246" i="8"/>
  <c r="AN1505" i="8"/>
  <c r="AN1614" i="8"/>
  <c r="AN1674" i="8"/>
  <c r="AN1717" i="8"/>
  <c r="AN1746" i="8"/>
  <c r="AN1828" i="8"/>
  <c r="AN1855" i="8"/>
  <c r="AN1869" i="8"/>
  <c r="AN1896" i="8"/>
  <c r="AN1320" i="8"/>
  <c r="AN1638" i="8"/>
  <c r="AN1673" i="8"/>
  <c r="AN1725" i="8"/>
  <c r="AN1753" i="8"/>
  <c r="AN1793" i="8"/>
  <c r="AN1897" i="8"/>
  <c r="AN1147" i="8"/>
  <c r="AN1391" i="8"/>
  <c r="AN1498" i="8"/>
  <c r="AN1616" i="8"/>
  <c r="AN1709" i="8"/>
  <c r="AN1759" i="8"/>
  <c r="AN1786" i="8"/>
  <c r="AN1811" i="8"/>
  <c r="AN1853" i="8"/>
  <c r="AN1878" i="8"/>
  <c r="AN1910" i="8"/>
  <c r="O132" i="10" a="1"/>
  <c r="O127" i="10" a="1"/>
  <c r="O74" i="10" a="1"/>
  <c r="N128" i="10"/>
  <c r="Q128" i="10" s="1"/>
  <c r="O128" i="10" a="1"/>
  <c r="Q189" i="9"/>
  <c r="J190" i="12" s="1"/>
  <c r="P189" i="9"/>
  <c r="H190" i="12" s="1"/>
  <c r="Q188" i="9"/>
  <c r="P188" i="9"/>
  <c r="H189" i="12" s="1"/>
  <c r="P187" i="9"/>
  <c r="H188" i="12" s="1"/>
  <c r="Q187" i="9"/>
  <c r="J188" i="12" s="1"/>
  <c r="P184" i="9"/>
  <c r="H185" i="12" s="1"/>
  <c r="Q184" i="9"/>
  <c r="J185" i="12" s="1"/>
  <c r="P176" i="9"/>
  <c r="H177" i="12" s="1"/>
  <c r="Q176" i="9"/>
  <c r="J177" i="12" s="1"/>
  <c r="Q175" i="9"/>
  <c r="P175" i="9"/>
  <c r="H176" i="12" s="1"/>
  <c r="Q174" i="9"/>
  <c r="J175" i="12" s="1"/>
  <c r="P174" i="9"/>
  <c r="H175" i="12" s="1"/>
  <c r="P172" i="9"/>
  <c r="H173" i="12" s="1"/>
  <c r="Q172" i="9"/>
  <c r="J173" i="12" s="1"/>
  <c r="Q170" i="9"/>
  <c r="J171" i="12" s="1"/>
  <c r="P170" i="9"/>
  <c r="H171" i="12" s="1"/>
  <c r="Q167" i="9"/>
  <c r="J168" i="12" s="1"/>
  <c r="P167" i="9"/>
  <c r="H168" i="12" s="1"/>
  <c r="P166" i="9"/>
  <c r="H167" i="12" s="1"/>
  <c r="Q166" i="9"/>
  <c r="P165" i="9"/>
  <c r="H166" i="12" s="1"/>
  <c r="Q165" i="9"/>
  <c r="J166" i="12" s="1"/>
  <c r="P162" i="9"/>
  <c r="H163" i="12" s="1"/>
  <c r="Q162" i="9"/>
  <c r="J163" i="12" s="1"/>
  <c r="P161" i="9"/>
  <c r="H162" i="12" s="1"/>
  <c r="Q161" i="9"/>
  <c r="P160" i="9"/>
  <c r="H161" i="12" s="1"/>
  <c r="Q160" i="9"/>
  <c r="P159" i="9"/>
  <c r="H160" i="12" s="1"/>
  <c r="Q159" i="9"/>
  <c r="P158" i="9"/>
  <c r="H159" i="12" s="1"/>
  <c r="Q158" i="9"/>
  <c r="P157" i="9"/>
  <c r="H158" i="12" s="1"/>
  <c r="Q157" i="9"/>
  <c r="J158" i="12" s="1"/>
  <c r="P156" i="9"/>
  <c r="H157" i="12" s="1"/>
  <c r="Q156" i="9"/>
  <c r="P155" i="9"/>
  <c r="H156" i="12" s="1"/>
  <c r="Q155" i="9"/>
  <c r="P154" i="9"/>
  <c r="H155" i="12" s="1"/>
  <c r="Q154" i="9"/>
  <c r="P149" i="9"/>
  <c r="H150" i="12" s="1"/>
  <c r="Q149" i="9"/>
  <c r="J150" i="12" s="1"/>
  <c r="P148" i="9"/>
  <c r="H149" i="12" s="1"/>
  <c r="Q148" i="9"/>
  <c r="P143" i="9"/>
  <c r="H144" i="12" s="1"/>
  <c r="Q143" i="9"/>
  <c r="P142" i="9"/>
  <c r="H143" i="12" s="1"/>
  <c r="Q142" i="9"/>
  <c r="J143" i="12" s="1"/>
  <c r="P140" i="9"/>
  <c r="H141" i="12" s="1"/>
  <c r="Q140" i="9"/>
  <c r="J141" i="12" s="1"/>
  <c r="Q139" i="9"/>
  <c r="P139" i="9"/>
  <c r="H140" i="12" s="1"/>
  <c r="Q137" i="9"/>
  <c r="P137" i="9"/>
  <c r="H138" i="12" s="1"/>
  <c r="P132" i="9"/>
  <c r="H133" i="12" s="1"/>
  <c r="Q132" i="9"/>
  <c r="P131" i="9"/>
  <c r="H132" i="12" s="1"/>
  <c r="Q131" i="9"/>
  <c r="P130" i="9"/>
  <c r="H131" i="12" s="1"/>
  <c r="Q130" i="9"/>
  <c r="J131" i="12" s="1"/>
  <c r="Q169" i="9"/>
  <c r="P169" i="9"/>
  <c r="H170" i="12" s="1"/>
  <c r="Q163" i="9"/>
  <c r="P163" i="9"/>
  <c r="H164" i="12" s="1"/>
  <c r="P152" i="9"/>
  <c r="H153" i="12" s="1"/>
  <c r="Q152" i="9"/>
  <c r="J153" i="12" s="1"/>
  <c r="P135" i="9"/>
  <c r="H136" i="12" s="1"/>
  <c r="Q135" i="9"/>
  <c r="Q153" i="9"/>
  <c r="P153" i="9"/>
  <c r="H154" i="12" s="1"/>
  <c r="Q146" i="9"/>
  <c r="P146" i="9"/>
  <c r="H147" i="12" s="1"/>
  <c r="Q127" i="9"/>
  <c r="P127" i="9"/>
  <c r="H128" i="12" s="1"/>
  <c r="P119" i="9"/>
  <c r="H120" i="12" s="1"/>
  <c r="Q119" i="9"/>
  <c r="Q100" i="9"/>
  <c r="P100" i="9"/>
  <c r="H101" i="12" s="1"/>
  <c r="P124" i="9"/>
  <c r="H125" i="12" s="1"/>
  <c r="Q124" i="9"/>
  <c r="Q117" i="9"/>
  <c r="P117" i="9"/>
  <c r="H118" i="12" s="1"/>
  <c r="P116" i="9"/>
  <c r="H117" i="12" s="1"/>
  <c r="Q116" i="9"/>
  <c r="Q113" i="9"/>
  <c r="P113" i="9"/>
  <c r="H114" i="12" s="1"/>
  <c r="P112" i="9"/>
  <c r="H113" i="12" s="1"/>
  <c r="Q112" i="9"/>
  <c r="P111" i="9"/>
  <c r="H112" i="12" s="1"/>
  <c r="Q111" i="9"/>
  <c r="P109" i="9"/>
  <c r="H110" i="12" s="1"/>
  <c r="Q109" i="9"/>
  <c r="J110" i="12" s="1"/>
  <c r="P107" i="9"/>
  <c r="Q107" i="9"/>
  <c r="Q106" i="9"/>
  <c r="P106" i="9"/>
  <c r="Q103" i="9"/>
  <c r="J104" i="12" s="1"/>
  <c r="P103" i="9"/>
  <c r="H104" i="12" s="1"/>
  <c r="P98" i="9"/>
  <c r="H99" i="12" s="1"/>
  <c r="Q98" i="9"/>
  <c r="P96" i="9"/>
  <c r="H97" i="12" s="1"/>
  <c r="Q96" i="9"/>
  <c r="P94" i="9"/>
  <c r="H95" i="12" s="1"/>
  <c r="Q94" i="9"/>
  <c r="P92" i="9"/>
  <c r="H93" i="12" s="1"/>
  <c r="Q92" i="9"/>
  <c r="P88" i="9"/>
  <c r="H89" i="12" s="1"/>
  <c r="Q88" i="9"/>
  <c r="P87" i="9"/>
  <c r="H88" i="12" s="1"/>
  <c r="Q87" i="9"/>
  <c r="P86" i="9"/>
  <c r="H87" i="12" s="1"/>
  <c r="Q86" i="9"/>
  <c r="Q82" i="9"/>
  <c r="P82" i="9"/>
  <c r="H83" i="12" s="1"/>
  <c r="P81" i="9"/>
  <c r="H82" i="12" s="1"/>
  <c r="Q81" i="9"/>
  <c r="Q79" i="9"/>
  <c r="P79" i="9"/>
  <c r="H80" i="12" s="1"/>
  <c r="P78" i="9"/>
  <c r="H79" i="12" s="1"/>
  <c r="Q78" i="9"/>
  <c r="Q74" i="9"/>
  <c r="P74" i="9"/>
  <c r="H75" i="12" s="1"/>
  <c r="P73" i="9"/>
  <c r="H74" i="12" s="1"/>
  <c r="Q73" i="9"/>
  <c r="P70" i="9"/>
  <c r="H71" i="12" s="1"/>
  <c r="Q70" i="9"/>
  <c r="P67" i="9"/>
  <c r="H68" i="12" s="1"/>
  <c r="Q67" i="9"/>
  <c r="P65" i="9"/>
  <c r="H66" i="12" s="1"/>
  <c r="Q65" i="9"/>
  <c r="Q64" i="9"/>
  <c r="P64" i="9"/>
  <c r="H65" i="12" s="1"/>
  <c r="P62" i="9"/>
  <c r="H63" i="12" s="1"/>
  <c r="Q62" i="9"/>
  <c r="Q60" i="9"/>
  <c r="P60" i="9"/>
  <c r="H61" i="12" s="1"/>
  <c r="P58" i="9"/>
  <c r="H59" i="12" s="1"/>
  <c r="Q58" i="9"/>
  <c r="P53" i="9"/>
  <c r="H54" i="12" s="1"/>
  <c r="Q53" i="9"/>
  <c r="P52" i="9"/>
  <c r="H53" i="12" s="1"/>
  <c r="Q52" i="9"/>
  <c r="P50" i="9"/>
  <c r="H51" i="12" s="1"/>
  <c r="Q50" i="9"/>
  <c r="P49" i="9"/>
  <c r="H50" i="12" s="1"/>
  <c r="Q49" i="9"/>
  <c r="P45" i="9"/>
  <c r="H46" i="12" s="1"/>
  <c r="Q45" i="9"/>
  <c r="P43" i="9"/>
  <c r="H44" i="12" s="1"/>
  <c r="Q43" i="9"/>
  <c r="Q42" i="9"/>
  <c r="P42" i="9"/>
  <c r="H43" i="12" s="1"/>
  <c r="P41" i="9"/>
  <c r="H42" i="12" s="1"/>
  <c r="Q41" i="9"/>
  <c r="P36" i="9"/>
  <c r="H37" i="12" s="1"/>
  <c r="Q36" i="9"/>
  <c r="P35" i="9"/>
  <c r="H36" i="12" s="1"/>
  <c r="Q35" i="9"/>
  <c r="P32" i="9"/>
  <c r="H33" i="12" s="1"/>
  <c r="Q32" i="9"/>
  <c r="P31" i="9"/>
  <c r="H32" i="12" s="1"/>
  <c r="Q31" i="9"/>
  <c r="P30" i="9"/>
  <c r="H31" i="12" s="1"/>
  <c r="Q30" i="9"/>
  <c r="Q29" i="9"/>
  <c r="P29" i="9"/>
  <c r="H30" i="12" s="1"/>
  <c r="P25" i="9"/>
  <c r="H26" i="12" s="1"/>
  <c r="Q25" i="9"/>
  <c r="Q21" i="9"/>
  <c r="J22" i="12" s="1"/>
  <c r="P21" i="9"/>
  <c r="H22" i="12" s="1"/>
  <c r="P20" i="9"/>
  <c r="H21" i="12" s="1"/>
  <c r="Q20" i="9"/>
  <c r="J21" i="12" s="1"/>
  <c r="P19" i="9"/>
  <c r="H20" i="12" s="1"/>
  <c r="Q19" i="9"/>
  <c r="P16" i="9"/>
  <c r="Q16" i="9"/>
  <c r="Q15" i="9"/>
  <c r="J16" i="12" s="1"/>
  <c r="P15" i="9"/>
  <c r="H16" i="12" s="1"/>
  <c r="P14" i="9"/>
  <c r="H15" i="12" s="1"/>
  <c r="Q14" i="9"/>
  <c r="J15" i="12" s="1"/>
  <c r="Q10" i="9"/>
  <c r="J11" i="12" s="1"/>
  <c r="P10" i="9"/>
  <c r="H11" i="12" s="1"/>
  <c r="P6" i="9"/>
  <c r="H7" i="12" s="1"/>
  <c r="Q6" i="9"/>
  <c r="J7" i="12" s="1"/>
  <c r="P80" i="9"/>
  <c r="H81" i="12" s="1"/>
  <c r="Q80" i="9"/>
  <c r="P72" i="9"/>
  <c r="H73" i="12" s="1"/>
  <c r="Q72" i="9"/>
  <c r="P27" i="9"/>
  <c r="H28" i="12" s="1"/>
  <c r="Q27" i="9"/>
  <c r="Q23" i="9"/>
  <c r="J24" i="12" s="1"/>
  <c r="P23" i="9"/>
  <c r="H24" i="12" s="1"/>
  <c r="P47" i="9"/>
  <c r="H48" i="12" s="1"/>
  <c r="Q47" i="9"/>
  <c r="Q9" i="9"/>
  <c r="P9" i="9"/>
  <c r="H10" i="12" s="1"/>
  <c r="Q61" i="9"/>
  <c r="P61" i="9"/>
  <c r="H62" i="12" s="1"/>
  <c r="Q44" i="9"/>
  <c r="P44" i="9"/>
  <c r="H45" i="12" s="1"/>
  <c r="J12" i="12"/>
  <c r="J14" i="12"/>
  <c r="AA164" i="8"/>
  <c r="AA1246" i="8"/>
  <c r="AA165" i="8"/>
  <c r="AA1252" i="8"/>
  <c r="AA1251" i="8"/>
  <c r="AA1250" i="8"/>
  <c r="AA1249" i="8"/>
  <c r="AA1248" i="8"/>
  <c r="AA166" i="8"/>
  <c r="AA168" i="8"/>
  <c r="AA1247" i="8"/>
  <c r="AA167" i="8"/>
  <c r="AA979" i="8"/>
  <c r="AA980" i="8"/>
  <c r="AA170" i="8"/>
  <c r="AA1761" i="8"/>
  <c r="AA1764" i="8"/>
  <c r="AA1759" i="8"/>
  <c r="AA1760" i="8"/>
  <c r="AA79" i="8"/>
  <c r="AA78" i="8"/>
  <c r="AA767" i="8"/>
  <c r="AA766" i="8"/>
  <c r="AA768" i="8"/>
  <c r="AA80" i="8"/>
  <c r="AA1499" i="8"/>
  <c r="AA1498" i="8"/>
  <c r="AA173" i="8"/>
  <c r="AA615" i="8"/>
  <c r="AA1129" i="8"/>
  <c r="AA1130" i="8"/>
  <c r="AA1793" i="8"/>
  <c r="AA1790" i="8"/>
  <c r="AA1134" i="8"/>
  <c r="AA1791" i="8"/>
  <c r="AA1132" i="8"/>
  <c r="AA1133" i="8"/>
  <c r="AA1131" i="8"/>
  <c r="AA320" i="8"/>
  <c r="AA1792" i="8"/>
  <c r="AA321" i="8"/>
  <c r="AA319" i="8"/>
  <c r="AA322" i="8"/>
  <c r="AA318" i="8"/>
  <c r="AA1794" i="8"/>
  <c r="AA1397" i="8"/>
  <c r="AA847" i="8"/>
  <c r="AA263" i="8"/>
  <c r="AA1400" i="8"/>
  <c r="AA1399" i="8"/>
  <c r="AA260" i="8"/>
  <c r="AA262" i="8"/>
  <c r="AA625" i="8"/>
  <c r="AE625" i="8" s="1"/>
  <c r="AF625" i="8" s="1"/>
  <c r="AA259" i="8"/>
  <c r="AA849" i="8"/>
  <c r="AA848" i="8"/>
  <c r="AA1398" i="8"/>
  <c r="AA1396" i="8"/>
  <c r="AA261" i="8"/>
  <c r="AA1908" i="8"/>
  <c r="AA274" i="8"/>
  <c r="AA1909" i="8"/>
  <c r="AA278" i="8"/>
  <c r="AA280" i="8"/>
  <c r="AA279" i="8"/>
  <c r="AA617" i="8"/>
  <c r="AE617" i="8" s="1"/>
  <c r="AF617" i="8" s="1"/>
  <c r="AA1903" i="8"/>
  <c r="AA1906" i="8"/>
  <c r="AA276" i="8"/>
  <c r="AA273" i="8"/>
  <c r="AA1905" i="8"/>
  <c r="AA1907" i="8"/>
  <c r="AA1904" i="8"/>
  <c r="AA275" i="8"/>
  <c r="AA277" i="8"/>
  <c r="AA528" i="8"/>
  <c r="AA527" i="8"/>
  <c r="AA529" i="8"/>
  <c r="AA518" i="8"/>
  <c r="AA523" i="8"/>
  <c r="AA520" i="8"/>
  <c r="AA521" i="8"/>
  <c r="AA519" i="8"/>
  <c r="AA517" i="8"/>
  <c r="AA522" i="8"/>
  <c r="AA524" i="8"/>
  <c r="AA516" i="8"/>
  <c r="AA515" i="8"/>
  <c r="AA514" i="8"/>
  <c r="AA525" i="8"/>
  <c r="AA526" i="8"/>
  <c r="AA1190" i="8"/>
  <c r="AA1191" i="8"/>
  <c r="AA1192" i="8"/>
  <c r="AA1786" i="8"/>
  <c r="AA1789" i="8"/>
  <c r="AA1788" i="8"/>
  <c r="AA1787" i="8"/>
  <c r="AA762" i="8"/>
  <c r="AA345" i="8"/>
  <c r="AA344" i="8"/>
  <c r="AA343" i="8"/>
  <c r="AA1193" i="8"/>
  <c r="AA342" i="8"/>
  <c r="AA346" i="8"/>
  <c r="AA492" i="8"/>
  <c r="AA1196" i="8"/>
  <c r="AA1838" i="8"/>
  <c r="AA1197" i="8"/>
  <c r="AA1839" i="8"/>
  <c r="AA490" i="8"/>
  <c r="AA1198" i="8"/>
  <c r="AA1840" i="8"/>
  <c r="AA1841" i="8"/>
  <c r="AA493" i="8"/>
  <c r="AA491" i="8"/>
  <c r="P123" i="10"/>
  <c r="J123" i="10"/>
  <c r="AA1707" i="8"/>
  <c r="AA1705" i="8"/>
  <c r="AA443" i="8"/>
  <c r="AA441" i="8"/>
  <c r="AA442" i="8"/>
  <c r="AA1708" i="8"/>
  <c r="AA1109" i="8"/>
  <c r="AA1108" i="8"/>
  <c r="AA1110" i="8"/>
  <c r="AA1706" i="8"/>
  <c r="AA532" i="8"/>
  <c r="AA533" i="8"/>
  <c r="AA1748" i="8"/>
  <c r="AA1747" i="8"/>
  <c r="AA197" i="8"/>
  <c r="AA199" i="8"/>
  <c r="AA1119" i="8"/>
  <c r="AA1745" i="8"/>
  <c r="AA1746" i="8"/>
  <c r="AA1118" i="8"/>
  <c r="AA198" i="8"/>
  <c r="AA114" i="8"/>
  <c r="AA116" i="8"/>
  <c r="AA115" i="8"/>
  <c r="AA1046" i="8"/>
  <c r="AA1049" i="8"/>
  <c r="AA1047" i="8"/>
  <c r="AA1048" i="8"/>
  <c r="AA792" i="8"/>
  <c r="AA1784" i="8"/>
  <c r="AA1785" i="8"/>
  <c r="AA790" i="8"/>
  <c r="AA789" i="8"/>
  <c r="AA791" i="8"/>
  <c r="AA1783" i="8"/>
  <c r="AA124" i="8"/>
  <c r="AA122" i="8"/>
  <c r="AA123" i="8"/>
  <c r="AA1285" i="8"/>
  <c r="AA1284" i="8"/>
  <c r="AA1834" i="8"/>
  <c r="AA1288" i="8"/>
  <c r="AA1828" i="8"/>
  <c r="AA125" i="8"/>
  <c r="AA1286" i="8"/>
  <c r="AA1287" i="8"/>
  <c r="AA1289" i="8"/>
  <c r="AA1290" i="8"/>
  <c r="AA636" i="8"/>
  <c r="AA1829" i="8"/>
  <c r="AA1833" i="8"/>
  <c r="AA121" i="8"/>
  <c r="AA1469" i="8"/>
  <c r="AA1832" i="8"/>
  <c r="AA1831" i="8"/>
  <c r="AA1830" i="8"/>
  <c r="AA634" i="8"/>
  <c r="AA633" i="8"/>
  <c r="AA635" i="8"/>
  <c r="AA356" i="8"/>
  <c r="AA853" i="8"/>
  <c r="AA358" i="8"/>
  <c r="AA852" i="8"/>
  <c r="AA855" i="8"/>
  <c r="AA1912" i="8"/>
  <c r="AA1345" i="8"/>
  <c r="AA854" i="8"/>
  <c r="AA1913" i="8"/>
  <c r="AA1914" i="8"/>
  <c r="AA1915" i="8"/>
  <c r="AA1342" i="8"/>
  <c r="AA359" i="8"/>
  <c r="AA1343" i="8"/>
  <c r="AA357" i="8"/>
  <c r="AA1916" i="8"/>
  <c r="AA1344" i="8"/>
  <c r="AA355" i="8"/>
  <c r="AA1020" i="8"/>
  <c r="AA1018" i="8"/>
  <c r="AA1019" i="8"/>
  <c r="AA1017" i="8"/>
  <c r="AA1869" i="8"/>
  <c r="AA1871" i="8"/>
  <c r="AA1870" i="8"/>
  <c r="AA1868" i="8"/>
  <c r="AA151" i="8"/>
  <c r="AA1470" i="8"/>
  <c r="AA1295" i="8"/>
  <c r="AA153" i="8"/>
  <c r="AA152" i="8"/>
  <c r="AA150" i="8"/>
  <c r="AA149" i="8"/>
  <c r="AA640" i="8"/>
  <c r="AA637" i="8"/>
  <c r="AA639" i="8"/>
  <c r="AA1291" i="8"/>
  <c r="AA638" i="8"/>
  <c r="AA1294" i="8"/>
  <c r="AA1293" i="8"/>
  <c r="AA1292" i="8"/>
  <c r="AA1425" i="8"/>
  <c r="AA1426" i="8"/>
  <c r="AA1422" i="8"/>
  <c r="AA1423" i="8"/>
  <c r="AA1424" i="8"/>
  <c r="AA685" i="8"/>
  <c r="AA684" i="8"/>
  <c r="AA1693" i="8"/>
  <c r="AA1145" i="8"/>
  <c r="AA1146" i="8"/>
  <c r="AA1695" i="8"/>
  <c r="AA1694" i="8"/>
  <c r="AA1144" i="8"/>
  <c r="AA1376" i="8"/>
  <c r="AA843" i="8"/>
  <c r="AA1921" i="8"/>
  <c r="AA1372" i="8"/>
  <c r="AA1373" i="8"/>
  <c r="AA423" i="8"/>
  <c r="AA424" i="8"/>
  <c r="AA425" i="8"/>
  <c r="AA426" i="8"/>
  <c r="AA1920" i="8"/>
  <c r="AA844" i="8"/>
  <c r="AA1918" i="8"/>
  <c r="AA1917" i="8"/>
  <c r="AA1374" i="8"/>
  <c r="AA846" i="8"/>
  <c r="AA842" i="8"/>
  <c r="AA1375" i="8"/>
  <c r="AA845" i="8"/>
  <c r="AA1919" i="8"/>
  <c r="AA1164" i="8"/>
  <c r="AA406" i="8"/>
  <c r="AA1165" i="8"/>
  <c r="AA408" i="8"/>
  <c r="AA407" i="8"/>
  <c r="AA1167" i="8"/>
  <c r="AA1166" i="8"/>
  <c r="AA1858" i="8"/>
  <c r="AA1859" i="8"/>
  <c r="AA1860" i="8"/>
  <c r="AA1861" i="8"/>
  <c r="AA1862" i="8"/>
  <c r="AA717" i="8"/>
  <c r="AA303" i="8"/>
  <c r="AA1179" i="8"/>
  <c r="AA718" i="8"/>
  <c r="AA300" i="8"/>
  <c r="AA1178" i="8"/>
  <c r="AA1177" i="8"/>
  <c r="AA299" i="8"/>
  <c r="AA302" i="8"/>
  <c r="AA716" i="8"/>
  <c r="AA301" i="8"/>
  <c r="AA719" i="8"/>
  <c r="AA1176" i="8"/>
  <c r="AA1237" i="8"/>
  <c r="AA1238" i="8"/>
  <c r="AA1402" i="8"/>
  <c r="AA1236" i="8"/>
  <c r="AA683" i="8"/>
  <c r="AA1336" i="8"/>
  <c r="AA329" i="8"/>
  <c r="AA331" i="8"/>
  <c r="AA330" i="8"/>
  <c r="AA332" i="8"/>
  <c r="AA1337" i="8"/>
  <c r="AA1335" i="8"/>
  <c r="AA1334" i="8"/>
  <c r="AA1820" i="8"/>
  <c r="AA1230" i="8"/>
  <c r="AA1229" i="8"/>
  <c r="AA1821" i="8"/>
  <c r="AA1227" i="8"/>
  <c r="AA711" i="8"/>
  <c r="AA1231" i="8"/>
  <c r="AA282" i="8"/>
  <c r="AA281" i="8"/>
  <c r="AA1228" i="8"/>
  <c r="AA712" i="8"/>
  <c r="AA284" i="8"/>
  <c r="AA713" i="8"/>
  <c r="AA1822" i="8"/>
  <c r="AA285" i="8"/>
  <c r="AA1817" i="8"/>
  <c r="AA1818" i="8"/>
  <c r="AA1819" i="8"/>
  <c r="AA283" i="8"/>
  <c r="AA755" i="8"/>
  <c r="AA1185" i="8"/>
  <c r="AA1184" i="8"/>
  <c r="AA756" i="8"/>
  <c r="AA336" i="8"/>
  <c r="AA337" i="8"/>
  <c r="AA754" i="8"/>
  <c r="AA339" i="8"/>
  <c r="AA338" i="8"/>
  <c r="AA753" i="8"/>
  <c r="AA340" i="8"/>
  <c r="AA1749" i="8"/>
  <c r="AA1750" i="8"/>
  <c r="AA1751" i="8"/>
  <c r="AA782" i="8"/>
  <c r="AA1752" i="8"/>
  <c r="AA341" i="8"/>
  <c r="AA1187" i="8"/>
  <c r="AA1186" i="8"/>
  <c r="AA750" i="8"/>
  <c r="AA749" i="8"/>
  <c r="AA748" i="8"/>
  <c r="AA1842" i="8"/>
  <c r="AA1844" i="8"/>
  <c r="AA1843" i="8"/>
  <c r="AA1663" i="8"/>
  <c r="AA384" i="8"/>
  <c r="AA383" i="8"/>
  <c r="AA381" i="8"/>
  <c r="AA1173" i="8"/>
  <c r="AA382" i="8"/>
  <c r="AA1660" i="8"/>
  <c r="AA1662" i="8"/>
  <c r="AA1174" i="8"/>
  <c r="AA1659" i="8"/>
  <c r="AA1661" i="8"/>
  <c r="AA1175" i="8"/>
  <c r="AA360" i="8"/>
  <c r="AA361" i="8"/>
  <c r="AA364" i="8"/>
  <c r="AA363" i="8"/>
  <c r="AA1203" i="8"/>
  <c r="AA362" i="8"/>
  <c r="AA1202" i="8"/>
  <c r="AA1201" i="8"/>
  <c r="AA1200" i="8"/>
  <c r="AA1649" i="8"/>
  <c r="AA1057" i="8"/>
  <c r="AA1055" i="8"/>
  <c r="AA503" i="8"/>
  <c r="AA502" i="8"/>
  <c r="AA1054" i="8"/>
  <c r="AA1651" i="8"/>
  <c r="AA1652" i="8"/>
  <c r="AA1648" i="8"/>
  <c r="AA1056" i="8"/>
  <c r="AA505" i="8"/>
  <c r="AA504" i="8"/>
  <c r="AA1650" i="8"/>
  <c r="AA113" i="8"/>
  <c r="AA1008" i="8"/>
  <c r="AA496" i="8"/>
  <c r="AA1010" i="8"/>
  <c r="AA1439" i="8"/>
  <c r="AA1438" i="8"/>
  <c r="AA1009" i="8"/>
  <c r="AA1437" i="8"/>
  <c r="AA494" i="8"/>
  <c r="AA497" i="8"/>
  <c r="AA1440" i="8"/>
  <c r="AA495" i="8"/>
  <c r="AA1441" i="8"/>
  <c r="AA111" i="8"/>
  <c r="AA112" i="8"/>
  <c r="AA110" i="8"/>
  <c r="AA109" i="8"/>
  <c r="AA1617" i="8"/>
  <c r="AA1620" i="8"/>
  <c r="AA485" i="8"/>
  <c r="AA1616" i="8"/>
  <c r="AA223" i="8"/>
  <c r="AA224" i="8"/>
  <c r="AA482" i="8"/>
  <c r="AA1618" i="8"/>
  <c r="AA222" i="8"/>
  <c r="AA225" i="8"/>
  <c r="AA1086" i="8"/>
  <c r="AA1087" i="8"/>
  <c r="AA483" i="8"/>
  <c r="AA1088" i="8"/>
  <c r="AA1089" i="8"/>
  <c r="AA1619" i="8"/>
  <c r="AA484" i="8"/>
  <c r="AA226" i="8"/>
  <c r="AA366" i="8"/>
  <c r="AA368" i="8"/>
  <c r="AA1051" i="8"/>
  <c r="AA369" i="8"/>
  <c r="AA1360" i="8"/>
  <c r="AA367" i="8"/>
  <c r="AA1053" i="8"/>
  <c r="AA1050" i="8"/>
  <c r="AA1358" i="8"/>
  <c r="AA1359" i="8"/>
  <c r="AA1361" i="8"/>
  <c r="AA365" i="8"/>
  <c r="AA1052" i="8"/>
  <c r="AA1095" i="8"/>
  <c r="AA126" i="8"/>
  <c r="AA127" i="8"/>
  <c r="AA1740" i="8"/>
  <c r="AA129" i="8"/>
  <c r="AA128" i="8"/>
  <c r="AA1741" i="8"/>
  <c r="AA572" i="8"/>
  <c r="AA1277" i="8"/>
  <c r="AA1275" i="8"/>
  <c r="AA475" i="8"/>
  <c r="AA474" i="8"/>
  <c r="AA472" i="8"/>
  <c r="AA471" i="8"/>
  <c r="AA1274" i="8"/>
  <c r="AA473" i="8"/>
  <c r="AA1276" i="8"/>
  <c r="AA1273" i="8"/>
  <c r="AA1421" i="8"/>
  <c r="AA1419" i="8"/>
  <c r="AA1418" i="8"/>
  <c r="AA457" i="8"/>
  <c r="AA456" i="8"/>
  <c r="AA455" i="8"/>
  <c r="AA860" i="8"/>
  <c r="AA1420" i="8"/>
  <c r="AA1417" i="8"/>
  <c r="AA862" i="8"/>
  <c r="AA859" i="8"/>
  <c r="AA861" i="8"/>
  <c r="AA458" i="8"/>
  <c r="AA1139" i="8"/>
  <c r="AA1504" i="8"/>
  <c r="AA487" i="8"/>
  <c r="AA489" i="8"/>
  <c r="AA1140" i="8"/>
  <c r="AA488" i="8"/>
  <c r="AA486" i="8"/>
  <c r="AA1505" i="8"/>
  <c r="AA1503" i="8"/>
  <c r="AA1446" i="8"/>
  <c r="AA444" i="8"/>
  <c r="AA984" i="8"/>
  <c r="AA446" i="8"/>
  <c r="AA983" i="8"/>
  <c r="AA1445" i="8"/>
  <c r="AA1442" i="8"/>
  <c r="AA1443" i="8"/>
  <c r="AA445" i="8"/>
  <c r="AA1444" i="8"/>
  <c r="AA764" i="8"/>
  <c r="AA783" i="8"/>
  <c r="AA765" i="8"/>
  <c r="AA763" i="8"/>
  <c r="P122" i="10"/>
  <c r="J122" i="10"/>
  <c r="M82" i="8"/>
  <c r="AN82" i="8"/>
  <c r="M99" i="8"/>
  <c r="AN99" i="8"/>
  <c r="M93" i="8"/>
  <c r="AN93" i="8"/>
  <c r="M84" i="8"/>
  <c r="AN84" i="8"/>
  <c r="M87" i="8"/>
  <c r="AN87" i="8"/>
  <c r="M94" i="8"/>
  <c r="AN94" i="8"/>
  <c r="M78" i="8"/>
  <c r="AN78" i="8"/>
  <c r="M86" i="8"/>
  <c r="AN86" i="8"/>
  <c r="M97" i="8"/>
  <c r="AN97" i="8"/>
  <c r="M98" i="8"/>
  <c r="AN98" i="8"/>
  <c r="M92" i="8"/>
  <c r="AN92" i="8"/>
  <c r="M80" i="8"/>
  <c r="AN80" i="8"/>
  <c r="M91" i="8"/>
  <c r="AN91" i="8"/>
  <c r="M96" i="8"/>
  <c r="AN96" i="8"/>
  <c r="M85" i="8"/>
  <c r="AN85" i="8"/>
  <c r="M95" i="8"/>
  <c r="AN95" i="8"/>
  <c r="M88" i="8"/>
  <c r="AN88" i="8"/>
  <c r="M79" i="8"/>
  <c r="AN79" i="8"/>
  <c r="M83" i="8"/>
  <c r="AN83" i="8"/>
  <c r="M90" i="8"/>
  <c r="AN90" i="8"/>
  <c r="M100" i="8"/>
  <c r="AN100" i="8"/>
  <c r="M89" i="8"/>
  <c r="AN89" i="8"/>
  <c r="M81" i="8"/>
  <c r="AN81" i="8"/>
  <c r="M102" i="8"/>
  <c r="AN102" i="8"/>
  <c r="M105" i="8"/>
  <c r="AN105" i="8"/>
  <c r="M108" i="8"/>
  <c r="AN108" i="8"/>
  <c r="M113" i="8"/>
  <c r="AN113" i="8"/>
  <c r="M116" i="8"/>
  <c r="AN116" i="8"/>
  <c r="M119" i="8"/>
  <c r="AN119" i="8"/>
  <c r="M124" i="8"/>
  <c r="AN124" i="8"/>
  <c r="M127" i="8"/>
  <c r="AN127" i="8"/>
  <c r="M132" i="8"/>
  <c r="AN132" i="8"/>
  <c r="M135" i="8"/>
  <c r="AN135" i="8"/>
  <c r="M138" i="8"/>
  <c r="AN138" i="8"/>
  <c r="M147" i="8"/>
  <c r="AN147" i="8"/>
  <c r="M152" i="8"/>
  <c r="AN152" i="8"/>
  <c r="M154" i="8"/>
  <c r="AN154" i="8"/>
  <c r="M157" i="8"/>
  <c r="AN157" i="8"/>
  <c r="M161" i="8"/>
  <c r="AN161" i="8"/>
  <c r="M163" i="8"/>
  <c r="AN163" i="8"/>
  <c r="M165" i="8"/>
  <c r="AN165" i="8"/>
  <c r="M173" i="8"/>
  <c r="AN173" i="8"/>
  <c r="M176" i="8"/>
  <c r="AN176" i="8"/>
  <c r="M185" i="8"/>
  <c r="AN185" i="8"/>
  <c r="M190" i="8"/>
  <c r="AN190" i="8"/>
  <c r="M194" i="8"/>
  <c r="AN194" i="8"/>
  <c r="M205" i="8"/>
  <c r="AN205" i="8"/>
  <c r="M216" i="8"/>
  <c r="AN216" i="8"/>
  <c r="M223" i="8"/>
  <c r="AN223" i="8"/>
  <c r="M225" i="8"/>
  <c r="AN225" i="8"/>
  <c r="M239" i="8"/>
  <c r="AN239" i="8"/>
  <c r="M243" i="8"/>
  <c r="AN243" i="8"/>
  <c r="M247" i="8"/>
  <c r="AN247" i="8"/>
  <c r="M249" i="8"/>
  <c r="AN249" i="8"/>
  <c r="M257" i="8"/>
  <c r="AN257" i="8"/>
  <c r="M264" i="8"/>
  <c r="AN264" i="8"/>
  <c r="M266" i="8"/>
  <c r="AN266" i="8"/>
  <c r="M268" i="8"/>
  <c r="AN268" i="8"/>
  <c r="M270" i="8"/>
  <c r="AN270" i="8"/>
  <c r="M272" i="8"/>
  <c r="AN272" i="8"/>
  <c r="M274" i="8"/>
  <c r="AN274" i="8"/>
  <c r="M280" i="8"/>
  <c r="AN280" i="8"/>
  <c r="M287" i="8"/>
  <c r="AN287" i="8"/>
  <c r="M314" i="8"/>
  <c r="AN314" i="8"/>
  <c r="M316" i="8"/>
  <c r="AN316" i="8"/>
  <c r="M318" i="8"/>
  <c r="AN318" i="8"/>
  <c r="M320" i="8"/>
  <c r="AN320" i="8"/>
  <c r="M324" i="8"/>
  <c r="AN324" i="8"/>
  <c r="M352" i="8"/>
  <c r="AN352" i="8"/>
  <c r="M356" i="8"/>
  <c r="AN356" i="8"/>
  <c r="M361" i="8"/>
  <c r="AN361" i="8"/>
  <c r="M363" i="8"/>
  <c r="AN363" i="8"/>
  <c r="M365" i="8"/>
  <c r="AN365" i="8"/>
  <c r="M368" i="8"/>
  <c r="AN368" i="8"/>
  <c r="M375" i="8"/>
  <c r="AN375" i="8"/>
  <c r="M379" i="8"/>
  <c r="AN379" i="8"/>
  <c r="M381" i="8"/>
  <c r="AN381" i="8"/>
  <c r="M383" i="8"/>
  <c r="AN383" i="8"/>
  <c r="M388" i="8"/>
  <c r="AN388" i="8"/>
  <c r="M391" i="8"/>
  <c r="AN391" i="8"/>
  <c r="M393" i="8"/>
  <c r="AN393" i="8"/>
  <c r="M395" i="8"/>
  <c r="AN395" i="8"/>
  <c r="M406" i="8"/>
  <c r="AN406" i="8"/>
  <c r="M411" i="8"/>
  <c r="AN411" i="8"/>
  <c r="M416" i="8"/>
  <c r="AN416" i="8"/>
  <c r="M423" i="8"/>
  <c r="AN423" i="8"/>
  <c r="M426" i="8"/>
  <c r="AN426" i="8"/>
  <c r="M428" i="8"/>
  <c r="AN428" i="8"/>
  <c r="M433" i="8"/>
  <c r="AN433" i="8"/>
  <c r="M443" i="8"/>
  <c r="AN443" i="8"/>
  <c r="M446" i="8"/>
  <c r="AN446" i="8"/>
  <c r="M451" i="8"/>
  <c r="AN451" i="8"/>
  <c r="M456" i="8"/>
  <c r="AN456" i="8"/>
  <c r="M461" i="8"/>
  <c r="AN461" i="8"/>
  <c r="M466" i="8"/>
  <c r="AN466" i="8"/>
  <c r="M468" i="8"/>
  <c r="AN468" i="8"/>
  <c r="M474" i="8"/>
  <c r="AN474" i="8"/>
  <c r="M481" i="8"/>
  <c r="AN481" i="8"/>
  <c r="M483" i="8"/>
  <c r="AN483" i="8"/>
  <c r="M489" i="8"/>
  <c r="AN489" i="8"/>
  <c r="M496" i="8"/>
  <c r="AN496" i="8"/>
  <c r="M503" i="8"/>
  <c r="AN503" i="8"/>
  <c r="M505" i="8"/>
  <c r="AN505" i="8"/>
  <c r="M509" i="8"/>
  <c r="AN509" i="8"/>
  <c r="M513" i="8"/>
  <c r="AN513" i="8"/>
  <c r="M516" i="8"/>
  <c r="AN516" i="8"/>
  <c r="M520" i="8"/>
  <c r="AN520" i="8"/>
  <c r="M524" i="8"/>
  <c r="AN524" i="8"/>
  <c r="M530" i="8"/>
  <c r="AN530" i="8"/>
  <c r="M540" i="8"/>
  <c r="AN540" i="8"/>
  <c r="M547" i="8"/>
  <c r="AN547" i="8"/>
  <c r="M550" i="8"/>
  <c r="AN550" i="8"/>
  <c r="M555" i="8"/>
  <c r="AN555" i="8"/>
  <c r="M558" i="8"/>
  <c r="AN558" i="8"/>
  <c r="M569" i="8"/>
  <c r="AN569" i="8"/>
  <c r="M574" i="8"/>
  <c r="AN574" i="8"/>
  <c r="M576" i="8"/>
  <c r="AN576" i="8"/>
  <c r="M580" i="8"/>
  <c r="AN580" i="8"/>
  <c r="M582" i="8"/>
  <c r="AN582" i="8"/>
  <c r="M592" i="8"/>
  <c r="AN592" i="8"/>
  <c r="M595" i="8"/>
  <c r="AN595" i="8"/>
  <c r="M599" i="8"/>
  <c r="AN599" i="8"/>
  <c r="M603" i="8"/>
  <c r="AN603" i="8"/>
  <c r="M607" i="8"/>
  <c r="AN607" i="8"/>
  <c r="M614" i="8"/>
  <c r="AN614" i="8"/>
  <c r="M617" i="8"/>
  <c r="AN617" i="8"/>
  <c r="M621" i="8"/>
  <c r="AN621" i="8"/>
  <c r="M623" i="8"/>
  <c r="AN623" i="8"/>
  <c r="M625" i="8"/>
  <c r="AN625" i="8"/>
  <c r="M638" i="8"/>
  <c r="AN638" i="8"/>
  <c r="M645" i="8"/>
  <c r="AN645" i="8"/>
  <c r="M647" i="8"/>
  <c r="AN647" i="8"/>
  <c r="M651" i="8"/>
  <c r="AN651" i="8"/>
  <c r="M655" i="8"/>
  <c r="AN655" i="8"/>
  <c r="M658" i="8"/>
  <c r="AN658" i="8"/>
  <c r="M661" i="8"/>
  <c r="AN661" i="8"/>
  <c r="M663" i="8"/>
  <c r="AN663" i="8"/>
  <c r="M668" i="8"/>
  <c r="AN668" i="8"/>
  <c r="M671" i="8"/>
  <c r="AN671" i="8"/>
  <c r="M674" i="8"/>
  <c r="AN674" i="8"/>
  <c r="M679" i="8"/>
  <c r="AN679" i="8"/>
  <c r="M682" i="8"/>
  <c r="AN682" i="8"/>
  <c r="M685" i="8"/>
  <c r="AN685" i="8"/>
  <c r="M689" i="8"/>
  <c r="AN689" i="8"/>
  <c r="M692" i="8"/>
  <c r="AN692" i="8"/>
  <c r="M694" i="8"/>
  <c r="AN694" i="8"/>
  <c r="M698" i="8"/>
  <c r="AN698" i="8"/>
  <c r="M711" i="8"/>
  <c r="AN711" i="8"/>
  <c r="M721" i="8"/>
  <c r="AN721" i="8"/>
  <c r="M723" i="8"/>
  <c r="AN723" i="8"/>
  <c r="M726" i="8"/>
  <c r="AN726" i="8"/>
  <c r="M728" i="8"/>
  <c r="AN728" i="8"/>
  <c r="M733" i="8"/>
  <c r="AN733" i="8"/>
  <c r="M738" i="8"/>
  <c r="AN738" i="8"/>
  <c r="M739" i="8"/>
  <c r="AN739" i="8"/>
  <c r="M741" i="8"/>
  <c r="AN741" i="8"/>
  <c r="M745" i="8"/>
  <c r="AN745" i="8"/>
  <c r="M750" i="8"/>
  <c r="AN750" i="8"/>
  <c r="M755" i="8"/>
  <c r="AN755" i="8"/>
  <c r="M760" i="8"/>
  <c r="AN760" i="8"/>
  <c r="M765" i="8"/>
  <c r="AN765" i="8"/>
  <c r="M768" i="8"/>
  <c r="AN768" i="8"/>
  <c r="M773" i="8"/>
  <c r="AN773" i="8"/>
  <c r="M779" i="8"/>
  <c r="AN779" i="8"/>
  <c r="M781" i="8"/>
  <c r="AN781" i="8"/>
  <c r="M785" i="8"/>
  <c r="AN785" i="8"/>
  <c r="M788" i="8"/>
  <c r="AN788" i="8"/>
  <c r="M795" i="8"/>
  <c r="AN795" i="8"/>
  <c r="M798" i="8"/>
  <c r="AN798" i="8"/>
  <c r="M803" i="8"/>
  <c r="AN803" i="8"/>
  <c r="M806" i="8"/>
  <c r="AN806" i="8"/>
  <c r="M808" i="8"/>
  <c r="AN808" i="8"/>
  <c r="M813" i="8"/>
  <c r="AN813" i="8"/>
  <c r="M820" i="8"/>
  <c r="AN820" i="8"/>
  <c r="M825" i="8"/>
  <c r="AN825" i="8"/>
  <c r="M830" i="8"/>
  <c r="AN830" i="8"/>
  <c r="M835" i="8"/>
  <c r="AN835" i="8"/>
  <c r="M840" i="8"/>
  <c r="AN840" i="8"/>
  <c r="M845" i="8"/>
  <c r="AN845" i="8"/>
  <c r="M855" i="8"/>
  <c r="AN855" i="8"/>
  <c r="M860" i="8"/>
  <c r="AN860" i="8"/>
  <c r="M867" i="8"/>
  <c r="AN867" i="8"/>
  <c r="M870" i="8"/>
  <c r="AN870" i="8"/>
  <c r="M874" i="8"/>
  <c r="AN874" i="8"/>
  <c r="M877" i="8"/>
  <c r="AN877" i="8"/>
  <c r="M882" i="8"/>
  <c r="AN882" i="8"/>
  <c r="M891" i="8"/>
  <c r="AN891" i="8"/>
  <c r="M896" i="8"/>
  <c r="AN896" i="8"/>
  <c r="M900" i="8"/>
  <c r="AN900" i="8"/>
  <c r="M905" i="8"/>
  <c r="AN905" i="8"/>
  <c r="M908" i="8"/>
  <c r="AN908" i="8"/>
  <c r="M912" i="8"/>
  <c r="AN912" i="8"/>
  <c r="M918" i="8"/>
  <c r="AN918" i="8"/>
  <c r="M928" i="8"/>
  <c r="AN928" i="8"/>
  <c r="M934" i="8"/>
  <c r="AN934" i="8"/>
  <c r="M938" i="8"/>
  <c r="AN938" i="8"/>
  <c r="M942" i="8"/>
  <c r="AN942" i="8"/>
  <c r="M946" i="8"/>
  <c r="AN946" i="8"/>
  <c r="M949" i="8"/>
  <c r="AN949" i="8"/>
  <c r="M960" i="8"/>
  <c r="AN960" i="8"/>
  <c r="M964" i="8"/>
  <c r="AN964" i="8"/>
  <c r="M969" i="8"/>
  <c r="AN969" i="8"/>
  <c r="M974" i="8"/>
  <c r="AN974" i="8"/>
  <c r="M978" i="8"/>
  <c r="AN978" i="8"/>
  <c r="M983" i="8"/>
  <c r="AN983" i="8"/>
  <c r="M988" i="8"/>
  <c r="AN988" i="8"/>
  <c r="M993" i="8"/>
  <c r="AN993" i="8"/>
  <c r="M998" i="8"/>
  <c r="AN998" i="8"/>
  <c r="M1003" i="8"/>
  <c r="AN1003" i="8"/>
  <c r="M1006" i="8"/>
  <c r="AN1006" i="8"/>
  <c r="M1012" i="8"/>
  <c r="AN1012" i="8"/>
  <c r="M1017" i="8"/>
  <c r="AN1017" i="8"/>
  <c r="M1021" i="8"/>
  <c r="AN1021" i="8"/>
  <c r="M1024" i="8"/>
  <c r="AN1024" i="8"/>
  <c r="M1033" i="8"/>
  <c r="AN1033" i="8"/>
  <c r="M1040" i="8"/>
  <c r="AN1040" i="8"/>
  <c r="M1042" i="8"/>
  <c r="AN1042" i="8"/>
  <c r="M1045" i="8"/>
  <c r="AN1045" i="8"/>
  <c r="M1048" i="8"/>
  <c r="AN1048" i="8"/>
  <c r="M1052" i="8"/>
  <c r="AN1052" i="8"/>
  <c r="M1055" i="8"/>
  <c r="AN1055" i="8"/>
  <c r="M1060" i="8"/>
  <c r="AN1060" i="8"/>
  <c r="M1066" i="8"/>
  <c r="AN1066" i="8"/>
  <c r="M1071" i="8"/>
  <c r="AN1071" i="8"/>
  <c r="M1077" i="8"/>
  <c r="AN1077" i="8"/>
  <c r="M1084" i="8"/>
  <c r="AN1084" i="8"/>
  <c r="M1089" i="8"/>
  <c r="AN1089" i="8"/>
  <c r="M1097" i="8"/>
  <c r="AN1097" i="8"/>
  <c r="M1102" i="8"/>
  <c r="AN1102" i="8"/>
  <c r="M1112" i="8"/>
  <c r="AN1112" i="8"/>
  <c r="M1116" i="8"/>
  <c r="AN1116" i="8"/>
  <c r="M1120" i="8"/>
  <c r="AN1120" i="8"/>
  <c r="M1125" i="8"/>
  <c r="AN1125" i="8"/>
  <c r="M1132" i="8"/>
  <c r="AN1132" i="8"/>
  <c r="M1139" i="8"/>
  <c r="AN1139" i="8"/>
  <c r="M1144" i="8"/>
  <c r="AN1144" i="8"/>
  <c r="M1148" i="8"/>
  <c r="AN1148" i="8"/>
  <c r="M1153" i="8"/>
  <c r="AN1153" i="8"/>
  <c r="M1157" i="8"/>
  <c r="AN1157" i="8"/>
  <c r="M1160" i="8"/>
  <c r="AN1160" i="8"/>
  <c r="M1164" i="8"/>
  <c r="AN1164" i="8"/>
  <c r="M1174" i="8"/>
  <c r="AN1174" i="8"/>
  <c r="M1179" i="8"/>
  <c r="AN1179" i="8"/>
  <c r="M1182" i="8"/>
  <c r="AN1182" i="8"/>
  <c r="M1187" i="8"/>
  <c r="AN1187" i="8"/>
  <c r="M1192" i="8"/>
  <c r="AN1192" i="8"/>
  <c r="M1199" i="8"/>
  <c r="AN1199" i="8"/>
  <c r="M1203" i="8"/>
  <c r="AN1203" i="8"/>
  <c r="M1208" i="8"/>
  <c r="AN1208" i="8"/>
  <c r="M1212" i="8"/>
  <c r="AN1212" i="8"/>
  <c r="M1215" i="8"/>
  <c r="AN1215" i="8"/>
  <c r="M1218" i="8"/>
  <c r="AN1218" i="8"/>
  <c r="M1221" i="8"/>
  <c r="AN1221" i="8"/>
  <c r="M1224" i="8"/>
  <c r="AN1224" i="8"/>
  <c r="M1228" i="8"/>
  <c r="AN1228" i="8"/>
  <c r="M1231" i="8"/>
  <c r="AN1231" i="8"/>
  <c r="M1238" i="8"/>
  <c r="AN1238" i="8"/>
  <c r="M1243" i="8"/>
  <c r="AN1243" i="8"/>
  <c r="M1248" i="8"/>
  <c r="AN1248" i="8"/>
  <c r="M1256" i="8"/>
  <c r="AN1256" i="8"/>
  <c r="M1261" i="8"/>
  <c r="AN1261" i="8"/>
  <c r="M1266" i="8"/>
  <c r="AN1266" i="8"/>
  <c r="M1272" i="8"/>
  <c r="AN1272" i="8"/>
  <c r="M1276" i="8"/>
  <c r="AN1276" i="8"/>
  <c r="M1281" i="8"/>
  <c r="AN1281" i="8"/>
  <c r="M1286" i="8"/>
  <c r="AN1286" i="8"/>
  <c r="M1292" i="8"/>
  <c r="AN1292" i="8"/>
  <c r="M1296" i="8"/>
  <c r="AN1296" i="8"/>
  <c r="M1300" i="8"/>
  <c r="AN1300" i="8"/>
  <c r="M1305" i="8"/>
  <c r="AN1305" i="8"/>
  <c r="M1310" i="8"/>
  <c r="AN1310" i="8"/>
  <c r="M1315" i="8"/>
  <c r="AN1315" i="8"/>
  <c r="M1324" i="8"/>
  <c r="AN1324" i="8"/>
  <c r="M1329" i="8"/>
  <c r="AN1329" i="8"/>
  <c r="M1334" i="8"/>
  <c r="AN1334" i="8"/>
  <c r="M1341" i="8"/>
  <c r="AN1341" i="8"/>
  <c r="M1346" i="8"/>
  <c r="AN1346" i="8"/>
  <c r="M1353" i="8"/>
  <c r="AN1353" i="8"/>
  <c r="M1357" i="8"/>
  <c r="AN1357" i="8"/>
  <c r="M1361" i="8"/>
  <c r="AN1361" i="8"/>
  <c r="M1365" i="8"/>
  <c r="AN1365" i="8"/>
  <c r="M1372" i="8"/>
  <c r="AN1372" i="8"/>
  <c r="M1382" i="8"/>
  <c r="AN1382" i="8"/>
  <c r="M1389" i="8"/>
  <c r="AN1389" i="8"/>
  <c r="M1393" i="8"/>
  <c r="AN1393" i="8"/>
  <c r="M1397" i="8"/>
  <c r="AN1397" i="8"/>
  <c r="M1400" i="8"/>
  <c r="AN1400" i="8"/>
  <c r="M1404" i="8"/>
  <c r="AN1404" i="8"/>
  <c r="M1408" i="8"/>
  <c r="AN1408" i="8"/>
  <c r="M1412" i="8"/>
  <c r="AN1412" i="8"/>
  <c r="M1416" i="8"/>
  <c r="AN1416" i="8"/>
  <c r="M1421" i="8"/>
  <c r="AN1421" i="8"/>
  <c r="M1425" i="8"/>
  <c r="AN1425" i="8"/>
  <c r="M1429" i="8"/>
  <c r="AN1429" i="8"/>
  <c r="M1437" i="8"/>
  <c r="AN1437" i="8"/>
  <c r="M1445" i="8"/>
  <c r="AN1445" i="8"/>
  <c r="M1450" i="8"/>
  <c r="AN1450" i="8"/>
  <c r="M1455" i="8"/>
  <c r="AN1455" i="8"/>
  <c r="M1460" i="8"/>
  <c r="AN1460" i="8"/>
  <c r="M1469" i="8"/>
  <c r="AN1469" i="8"/>
  <c r="M1474" i="8"/>
  <c r="AN1474" i="8"/>
  <c r="M1492" i="8"/>
  <c r="AN1492" i="8"/>
  <c r="M1515" i="8"/>
  <c r="AN1515" i="8"/>
  <c r="M1521" i="8"/>
  <c r="AN1521" i="8"/>
  <c r="M1532" i="8"/>
  <c r="AN1532" i="8"/>
  <c r="M1537" i="8"/>
  <c r="AN1537" i="8"/>
  <c r="M1544" i="8"/>
  <c r="AN1544" i="8"/>
  <c r="M1554" i="8"/>
  <c r="AN1554" i="8"/>
  <c r="M1558" i="8"/>
  <c r="AN1558" i="8"/>
  <c r="M1569" i="8"/>
  <c r="AN1569" i="8"/>
  <c r="M1584" i="8"/>
  <c r="AN1584" i="8"/>
  <c r="M1596" i="8"/>
  <c r="AN1596" i="8"/>
  <c r="M1641" i="8"/>
  <c r="AN1641" i="8"/>
  <c r="M1688" i="8"/>
  <c r="AN1688" i="8"/>
  <c r="M1703" i="8"/>
  <c r="AN1703" i="8"/>
  <c r="M1773" i="8"/>
  <c r="AN1773" i="8"/>
  <c r="M1451" i="8"/>
  <c r="AN1451" i="8"/>
  <c r="M1456" i="8"/>
  <c r="AN1456" i="8"/>
  <c r="M1462" i="8"/>
  <c r="AN1462" i="8"/>
  <c r="M1467" i="8"/>
  <c r="AN1467" i="8"/>
  <c r="M1473" i="8"/>
  <c r="AN1473" i="8"/>
  <c r="M1484" i="8"/>
  <c r="AN1484" i="8"/>
  <c r="M1493" i="8"/>
  <c r="AN1493" i="8"/>
  <c r="M1502" i="8"/>
  <c r="AN1502" i="8"/>
  <c r="M1507" i="8"/>
  <c r="AN1507" i="8"/>
  <c r="M1512" i="8"/>
  <c r="AN1512" i="8"/>
  <c r="M1520" i="8"/>
  <c r="AN1520" i="8"/>
  <c r="M1524" i="8"/>
  <c r="AN1524" i="8"/>
  <c r="M1542" i="8"/>
  <c r="AN1542" i="8"/>
  <c r="M1548" i="8"/>
  <c r="AN1548" i="8"/>
  <c r="M1561" i="8"/>
  <c r="AN1561" i="8"/>
  <c r="M1566" i="8"/>
  <c r="AN1566" i="8"/>
  <c r="M1573" i="8"/>
  <c r="AN1573" i="8"/>
  <c r="M1579" i="8"/>
  <c r="AN1579" i="8"/>
  <c r="M1587" i="8"/>
  <c r="AN1587" i="8"/>
  <c r="M1593" i="8"/>
  <c r="AN1593" i="8"/>
  <c r="M1607" i="8"/>
  <c r="AN1607" i="8"/>
  <c r="M1611" i="8"/>
  <c r="AN1611" i="8"/>
  <c r="M1617" i="8"/>
  <c r="AN1617" i="8"/>
  <c r="M1625" i="8"/>
  <c r="AN1625" i="8"/>
  <c r="M1631" i="8"/>
  <c r="AN1631" i="8"/>
  <c r="M1637" i="8"/>
  <c r="AN1637" i="8"/>
  <c r="M1643" i="8"/>
  <c r="AN1643" i="8"/>
  <c r="M1649" i="8"/>
  <c r="AN1649" i="8"/>
  <c r="M1677" i="8"/>
  <c r="AN1677" i="8"/>
  <c r="M1704" i="8"/>
  <c r="AN1704" i="8"/>
  <c r="M1779" i="8"/>
  <c r="AN1779" i="8"/>
  <c r="M1824" i="8"/>
  <c r="AN1824" i="8"/>
  <c r="M103" i="8"/>
  <c r="AN103" i="8"/>
  <c r="M104" i="8"/>
  <c r="AN104" i="8"/>
  <c r="M106" i="8"/>
  <c r="AN106" i="8"/>
  <c r="M109" i="8"/>
  <c r="AN109" i="8"/>
  <c r="M112" i="8"/>
  <c r="AN112" i="8"/>
  <c r="M115" i="8"/>
  <c r="AN115" i="8"/>
  <c r="M118" i="8"/>
  <c r="AN118" i="8"/>
  <c r="M121" i="8"/>
  <c r="AN121" i="8"/>
  <c r="M122" i="8"/>
  <c r="AN122" i="8"/>
  <c r="M125" i="8"/>
  <c r="AN125" i="8"/>
  <c r="M128" i="8"/>
  <c r="AN128" i="8"/>
  <c r="M131" i="8"/>
  <c r="AN131" i="8"/>
  <c r="M134" i="8"/>
  <c r="AN134" i="8"/>
  <c r="M137" i="8"/>
  <c r="AN137" i="8"/>
  <c r="M140" i="8"/>
  <c r="AN140" i="8"/>
  <c r="M141" i="8"/>
  <c r="AN141" i="8"/>
  <c r="M143" i="8"/>
  <c r="AN143" i="8"/>
  <c r="M145" i="8"/>
  <c r="AN145" i="8"/>
  <c r="M149" i="8"/>
  <c r="AN149" i="8"/>
  <c r="M155" i="8"/>
  <c r="AN155" i="8"/>
  <c r="M158" i="8"/>
  <c r="AN158" i="8"/>
  <c r="M166" i="8"/>
  <c r="AN166" i="8"/>
  <c r="M168" i="8"/>
  <c r="AN168" i="8"/>
  <c r="M170" i="8"/>
  <c r="AN170" i="8"/>
  <c r="M175" i="8"/>
  <c r="AN175" i="8"/>
  <c r="M180" i="8"/>
  <c r="AN180" i="8"/>
  <c r="M182" i="8"/>
  <c r="AN182" i="8"/>
  <c r="M187" i="8"/>
  <c r="AN187" i="8"/>
  <c r="M189" i="8"/>
  <c r="AN189" i="8"/>
  <c r="M191" i="8"/>
  <c r="AN191" i="8"/>
  <c r="M196" i="8"/>
  <c r="AN196" i="8"/>
  <c r="M203" i="8"/>
  <c r="AN203" i="8"/>
  <c r="M211" i="8"/>
  <c r="AN211" i="8"/>
  <c r="M213" i="8"/>
  <c r="AN213" i="8"/>
  <c r="M215" i="8"/>
  <c r="AN215" i="8"/>
  <c r="M217" i="8"/>
  <c r="AN217" i="8"/>
  <c r="M219" i="8"/>
  <c r="AN219" i="8"/>
  <c r="M222" i="8"/>
  <c r="AN222" i="8"/>
  <c r="M227" i="8"/>
  <c r="AN227" i="8"/>
  <c r="M229" i="8"/>
  <c r="AN229" i="8"/>
  <c r="M231" i="8"/>
  <c r="AN231" i="8"/>
  <c r="M233" i="8"/>
  <c r="AN233" i="8"/>
  <c r="M235" i="8"/>
  <c r="AN235" i="8"/>
  <c r="M237" i="8"/>
  <c r="AN237" i="8"/>
  <c r="M242" i="8"/>
  <c r="AN242" i="8"/>
  <c r="M245" i="8"/>
  <c r="AN245" i="8"/>
  <c r="M251" i="8"/>
  <c r="AN251" i="8"/>
  <c r="M256" i="8"/>
  <c r="AN256" i="8"/>
  <c r="M258" i="8"/>
  <c r="AN258" i="8"/>
  <c r="M262" i="8"/>
  <c r="AN262" i="8"/>
  <c r="M282" i="8"/>
  <c r="AN282" i="8"/>
  <c r="M284" i="8"/>
  <c r="AN284" i="8"/>
  <c r="M286" i="8"/>
  <c r="AN286" i="8"/>
  <c r="M289" i="8"/>
  <c r="AN289" i="8"/>
  <c r="M296" i="8"/>
  <c r="AN296" i="8"/>
  <c r="M298" i="8"/>
  <c r="AN298" i="8"/>
  <c r="M300" i="8"/>
  <c r="AN300" i="8"/>
  <c r="M302" i="8"/>
  <c r="AN302" i="8"/>
  <c r="M306" i="8"/>
  <c r="AN306" i="8"/>
  <c r="M308" i="8"/>
  <c r="AN308" i="8"/>
  <c r="M310" i="8"/>
  <c r="AN310" i="8"/>
  <c r="M326" i="8"/>
  <c r="AN326" i="8"/>
  <c r="M330" i="8"/>
  <c r="AN330" i="8"/>
  <c r="M332" i="8"/>
  <c r="AN332" i="8"/>
  <c r="M336" i="8"/>
  <c r="AN336" i="8"/>
  <c r="M337" i="8"/>
  <c r="AN337" i="8"/>
  <c r="M341" i="8"/>
  <c r="AN341" i="8"/>
  <c r="M343" i="8"/>
  <c r="AN343" i="8"/>
  <c r="M345" i="8"/>
  <c r="AN345" i="8"/>
  <c r="M349" i="8"/>
  <c r="AN349" i="8"/>
  <c r="M357" i="8"/>
  <c r="AN357" i="8"/>
  <c r="M360" i="8"/>
  <c r="AN360" i="8"/>
  <c r="M367" i="8"/>
  <c r="AN367" i="8"/>
  <c r="M380" i="8"/>
  <c r="AN380" i="8"/>
  <c r="M394" i="8"/>
  <c r="AN394" i="8"/>
  <c r="M399" i="8"/>
  <c r="AN399" i="8"/>
  <c r="M404" i="8"/>
  <c r="AN404" i="8"/>
  <c r="M408" i="8"/>
  <c r="AN408" i="8"/>
  <c r="M410" i="8"/>
  <c r="AN410" i="8"/>
  <c r="M420" i="8"/>
  <c r="AN420" i="8"/>
  <c r="M431" i="8"/>
  <c r="AN431" i="8"/>
  <c r="M435" i="8"/>
  <c r="AN435" i="8"/>
  <c r="M438" i="8"/>
  <c r="AN438" i="8"/>
  <c r="M440" i="8"/>
  <c r="AN440" i="8"/>
  <c r="M445" i="8"/>
  <c r="AN445" i="8"/>
  <c r="M448" i="8"/>
  <c r="AN448" i="8"/>
  <c r="M453" i="8"/>
  <c r="AN453" i="8"/>
  <c r="M458" i="8"/>
  <c r="AN458" i="8"/>
  <c r="M463" i="8"/>
  <c r="AN463" i="8"/>
  <c r="M470" i="8"/>
  <c r="AN470" i="8"/>
  <c r="M473" i="8"/>
  <c r="AN473" i="8"/>
  <c r="M487" i="8"/>
  <c r="AN487" i="8"/>
  <c r="M495" i="8"/>
  <c r="AN495" i="8"/>
  <c r="M497" i="8"/>
  <c r="AN497" i="8"/>
  <c r="M500" i="8"/>
  <c r="AN500" i="8"/>
  <c r="M502" i="8"/>
  <c r="AN502" i="8"/>
  <c r="M507" i="8"/>
  <c r="AN507" i="8"/>
  <c r="M512" i="8"/>
  <c r="AN512" i="8"/>
  <c r="M514" i="8"/>
  <c r="AN514" i="8"/>
  <c r="M519" i="8"/>
  <c r="AN519" i="8"/>
  <c r="M522" i="8"/>
  <c r="AN522" i="8"/>
  <c r="M525" i="8"/>
  <c r="AN525" i="8"/>
  <c r="M528" i="8"/>
  <c r="AN528" i="8"/>
  <c r="M532" i="8"/>
  <c r="AN532" i="8"/>
  <c r="M534" i="8"/>
  <c r="AN534" i="8"/>
  <c r="M536" i="8"/>
  <c r="AN536" i="8"/>
  <c r="M539" i="8"/>
  <c r="AN539" i="8"/>
  <c r="M541" i="8"/>
  <c r="AN541" i="8"/>
  <c r="M542" i="8"/>
  <c r="AN542" i="8"/>
  <c r="M545" i="8"/>
  <c r="AN545" i="8"/>
  <c r="M548" i="8"/>
  <c r="AN548" i="8"/>
  <c r="M552" i="8"/>
  <c r="AN552" i="8"/>
  <c r="M554" i="8"/>
  <c r="AN554" i="8"/>
  <c r="M561" i="8"/>
  <c r="AN561" i="8"/>
  <c r="M564" i="8"/>
  <c r="AN564" i="8"/>
  <c r="M566" i="8"/>
  <c r="AN566" i="8"/>
  <c r="M571" i="8"/>
  <c r="AN571" i="8"/>
  <c r="M573" i="8"/>
  <c r="AN573" i="8"/>
  <c r="M578" i="8"/>
  <c r="AN578" i="8"/>
  <c r="M581" i="8"/>
  <c r="AN581" i="8"/>
  <c r="M584" i="8"/>
  <c r="AN584" i="8"/>
  <c r="M587" i="8"/>
  <c r="AN587" i="8"/>
  <c r="M590" i="8"/>
  <c r="AN590" i="8"/>
  <c r="M591" i="8"/>
  <c r="AN591" i="8"/>
  <c r="M593" i="8"/>
  <c r="AN593" i="8"/>
  <c r="M596" i="8"/>
  <c r="AN596" i="8"/>
  <c r="M600" i="8"/>
  <c r="AN600" i="8"/>
  <c r="M604" i="8"/>
  <c r="AN604" i="8"/>
  <c r="M608" i="8"/>
  <c r="AN608" i="8"/>
  <c r="M610" i="8"/>
  <c r="AN610" i="8"/>
  <c r="M616" i="8"/>
  <c r="AN616" i="8"/>
  <c r="M620" i="8"/>
  <c r="AN620" i="8"/>
  <c r="M624" i="8"/>
  <c r="AN624" i="8"/>
  <c r="M627" i="8"/>
  <c r="AN627" i="8"/>
  <c r="M629" i="8"/>
  <c r="AN629" i="8"/>
  <c r="M632" i="8"/>
  <c r="AN632" i="8"/>
  <c r="M633" i="8"/>
  <c r="AN633" i="8"/>
  <c r="M636" i="8"/>
  <c r="AN636" i="8"/>
  <c r="M637" i="8"/>
  <c r="AN637" i="8"/>
  <c r="M640" i="8"/>
  <c r="AN640" i="8"/>
  <c r="M641" i="8"/>
  <c r="AN641" i="8"/>
  <c r="M650" i="8"/>
  <c r="AN650" i="8"/>
  <c r="M662" i="8"/>
  <c r="AN662" i="8"/>
  <c r="M667" i="8"/>
  <c r="AN667" i="8"/>
  <c r="M669" i="8"/>
  <c r="AN669" i="8"/>
  <c r="M673" i="8"/>
  <c r="AN673" i="8"/>
  <c r="M680" i="8"/>
  <c r="AN680" i="8"/>
  <c r="M695" i="8"/>
  <c r="AN695" i="8"/>
  <c r="M697" i="8"/>
  <c r="AN697" i="8"/>
  <c r="M706" i="8"/>
  <c r="AN706" i="8"/>
  <c r="M709" i="8"/>
  <c r="AN709" i="8"/>
  <c r="M714" i="8"/>
  <c r="AN714" i="8"/>
  <c r="M719" i="8"/>
  <c r="AN719" i="8"/>
  <c r="M724" i="8"/>
  <c r="AN724" i="8"/>
  <c r="M727" i="8"/>
  <c r="AN727" i="8"/>
  <c r="M736" i="8"/>
  <c r="AN736" i="8"/>
  <c r="M748" i="8"/>
  <c r="AN748" i="8"/>
  <c r="M753" i="8"/>
  <c r="AN753" i="8"/>
  <c r="M758" i="8"/>
  <c r="AN758" i="8"/>
  <c r="M763" i="8"/>
  <c r="AN763" i="8"/>
  <c r="M771" i="8"/>
  <c r="AN771" i="8"/>
  <c r="M776" i="8"/>
  <c r="AN776" i="8"/>
  <c r="M786" i="8"/>
  <c r="AN786" i="8"/>
  <c r="M791" i="8"/>
  <c r="AN791" i="8"/>
  <c r="M797" i="8"/>
  <c r="AN797" i="8"/>
  <c r="M801" i="8"/>
  <c r="AN801" i="8"/>
  <c r="M811" i="8"/>
  <c r="AN811" i="8"/>
  <c r="M814" i="8"/>
  <c r="AN814" i="8"/>
  <c r="M821" i="8"/>
  <c r="AN821" i="8"/>
  <c r="M826" i="8"/>
  <c r="AN826" i="8"/>
  <c r="M831" i="8"/>
  <c r="AN831" i="8"/>
  <c r="M836" i="8"/>
  <c r="AN836" i="8"/>
  <c r="M841" i="8"/>
  <c r="AN841" i="8"/>
  <c r="M846" i="8"/>
  <c r="AN846" i="8"/>
  <c r="M849" i="8"/>
  <c r="AN849" i="8"/>
  <c r="M851" i="8"/>
  <c r="AN851" i="8"/>
  <c r="M857" i="8"/>
  <c r="AN857" i="8"/>
  <c r="M862" i="8"/>
  <c r="AN862" i="8"/>
  <c r="M865" i="8"/>
  <c r="AN865" i="8"/>
  <c r="M872" i="8"/>
  <c r="AN872" i="8"/>
  <c r="M880" i="8"/>
  <c r="AN880" i="8"/>
  <c r="M889" i="8"/>
  <c r="AN889" i="8"/>
  <c r="M894" i="8"/>
  <c r="AN894" i="8"/>
  <c r="M899" i="8"/>
  <c r="AN899" i="8"/>
  <c r="M902" i="8"/>
  <c r="AN902" i="8"/>
  <c r="M907" i="8"/>
  <c r="AN907" i="8"/>
  <c r="M911" i="8"/>
  <c r="AN911" i="8"/>
  <c r="M914" i="8"/>
  <c r="AN914" i="8"/>
  <c r="M917" i="8"/>
  <c r="AN917" i="8"/>
  <c r="M927" i="8"/>
  <c r="AN927" i="8"/>
  <c r="M930" i="8"/>
  <c r="AN930" i="8"/>
  <c r="M939" i="8"/>
  <c r="AN939" i="8"/>
  <c r="M944" i="8"/>
  <c r="AN944" i="8"/>
  <c r="M951" i="8"/>
  <c r="AN951" i="8"/>
  <c r="M955" i="8"/>
  <c r="AN955" i="8"/>
  <c r="M966" i="8"/>
  <c r="AN966" i="8"/>
  <c r="M971" i="8"/>
  <c r="AN971" i="8"/>
  <c r="M976" i="8"/>
  <c r="AN976" i="8"/>
  <c r="M981" i="8"/>
  <c r="AN981" i="8"/>
  <c r="M987" i="8"/>
  <c r="AN987" i="8"/>
  <c r="M992" i="8"/>
  <c r="AN992" i="8"/>
  <c r="M999" i="8"/>
  <c r="AN999" i="8"/>
  <c r="M1004" i="8"/>
  <c r="AN1004" i="8"/>
  <c r="M1013" i="8"/>
  <c r="AN1013" i="8"/>
  <c r="M1018" i="8"/>
  <c r="AN1018" i="8"/>
  <c r="M1022" i="8"/>
  <c r="AN1022" i="8"/>
  <c r="M1027" i="8"/>
  <c r="AN1027" i="8"/>
  <c r="M1031" i="8"/>
  <c r="AN1031" i="8"/>
  <c r="M1037" i="8"/>
  <c r="AN1037" i="8"/>
  <c r="M1041" i="8"/>
  <c r="AN1041" i="8"/>
  <c r="M1044" i="8"/>
  <c r="AN1044" i="8"/>
  <c r="M1047" i="8"/>
  <c r="AN1047" i="8"/>
  <c r="M1050" i="8"/>
  <c r="AN1050" i="8"/>
  <c r="M1053" i="8"/>
  <c r="AN1053" i="8"/>
  <c r="M1058" i="8"/>
  <c r="AN1058" i="8"/>
  <c r="M1062" i="8"/>
  <c r="AN1062" i="8"/>
  <c r="M1068" i="8"/>
  <c r="AN1068" i="8"/>
  <c r="M1072" i="8"/>
  <c r="AN1072" i="8"/>
  <c r="M1076" i="8"/>
  <c r="AN1076" i="8"/>
  <c r="M1081" i="8"/>
  <c r="AN1081" i="8"/>
  <c r="M1086" i="8"/>
  <c r="AN1086" i="8"/>
  <c r="M1093" i="8"/>
  <c r="AN1093" i="8"/>
  <c r="M1098" i="8"/>
  <c r="AN1098" i="8"/>
  <c r="M1104" i="8"/>
  <c r="AN1104" i="8"/>
  <c r="M1107" i="8"/>
  <c r="AN1107" i="8"/>
  <c r="M1111" i="8"/>
  <c r="AN1111" i="8"/>
  <c r="M1119" i="8"/>
  <c r="AN1119" i="8"/>
  <c r="M1124" i="8"/>
  <c r="AN1124" i="8"/>
  <c r="M1129" i="8"/>
  <c r="AN1129" i="8"/>
  <c r="M1140" i="8"/>
  <c r="AN1140" i="8"/>
  <c r="M1145" i="8"/>
  <c r="AN1145" i="8"/>
  <c r="M1149" i="8"/>
  <c r="AN1149" i="8"/>
  <c r="M1158" i="8"/>
  <c r="AN1158" i="8"/>
  <c r="M1162" i="8"/>
  <c r="AN1162" i="8"/>
  <c r="M1167" i="8"/>
  <c r="AN1167" i="8"/>
  <c r="M1173" i="8"/>
  <c r="AN1173" i="8"/>
  <c r="M1177" i="8"/>
  <c r="AN1177" i="8"/>
  <c r="M1181" i="8"/>
  <c r="AN1181" i="8"/>
  <c r="M1186" i="8"/>
  <c r="AN1186" i="8"/>
  <c r="M1191" i="8"/>
  <c r="AN1191" i="8"/>
  <c r="M1195" i="8"/>
  <c r="AN1195" i="8"/>
  <c r="M1202" i="8"/>
  <c r="AN1202" i="8"/>
  <c r="M1206" i="8"/>
  <c r="AN1206" i="8"/>
  <c r="M1226" i="8"/>
  <c r="AN1226" i="8"/>
  <c r="M1230" i="8"/>
  <c r="AN1230" i="8"/>
  <c r="M1234" i="8"/>
  <c r="AN1234" i="8"/>
  <c r="M1240" i="8"/>
  <c r="AN1240" i="8"/>
  <c r="M1250" i="8"/>
  <c r="AN1250" i="8"/>
  <c r="M1255" i="8"/>
  <c r="AN1255" i="8"/>
  <c r="M1259" i="8"/>
  <c r="AN1259" i="8"/>
  <c r="M1263" i="8"/>
  <c r="AN1263" i="8"/>
  <c r="M1267" i="8"/>
  <c r="AN1267" i="8"/>
  <c r="M1274" i="8"/>
  <c r="AN1274" i="8"/>
  <c r="M1278" i="8"/>
  <c r="AN1278" i="8"/>
  <c r="M1290" i="8"/>
  <c r="AN1290" i="8"/>
  <c r="M1294" i="8"/>
  <c r="AN1294" i="8"/>
  <c r="M1299" i="8"/>
  <c r="AN1299" i="8"/>
  <c r="M1303" i="8"/>
  <c r="AN1303" i="8"/>
  <c r="M1308" i="8"/>
  <c r="AN1308" i="8"/>
  <c r="M1312" i="8"/>
  <c r="AN1312" i="8"/>
  <c r="M1316" i="8"/>
  <c r="AN1316" i="8"/>
  <c r="M1326" i="8"/>
  <c r="AN1326" i="8"/>
  <c r="M1330" i="8"/>
  <c r="AN1330" i="8"/>
  <c r="M1337" i="8"/>
  <c r="AN1337" i="8"/>
  <c r="M1350" i="8"/>
  <c r="AN1350" i="8"/>
  <c r="M1358" i="8"/>
  <c r="AN1358" i="8"/>
  <c r="M1363" i="8"/>
  <c r="AN1363" i="8"/>
  <c r="M1374" i="8"/>
  <c r="AN1374" i="8"/>
  <c r="M1379" i="8"/>
  <c r="AN1379" i="8"/>
  <c r="M1383" i="8"/>
  <c r="AN1383" i="8"/>
  <c r="M1387" i="8"/>
  <c r="AN1387" i="8"/>
  <c r="M1394" i="8"/>
  <c r="AN1394" i="8"/>
  <c r="M1399" i="8"/>
  <c r="AN1399" i="8"/>
  <c r="M1409" i="8"/>
  <c r="AN1409" i="8"/>
  <c r="M1415" i="8"/>
  <c r="AN1415" i="8"/>
  <c r="M1420" i="8"/>
  <c r="AN1420" i="8"/>
  <c r="M1428" i="8"/>
  <c r="AN1428" i="8"/>
  <c r="M1434" i="8"/>
  <c r="AN1434" i="8"/>
  <c r="M1438" i="8"/>
  <c r="AN1438" i="8"/>
  <c r="M1443" i="8"/>
  <c r="AN1443" i="8"/>
  <c r="M1449" i="8"/>
  <c r="AN1449" i="8"/>
  <c r="M1457" i="8"/>
  <c r="AN1457" i="8"/>
  <c r="M1463" i="8"/>
  <c r="AN1463" i="8"/>
  <c r="M1489" i="8"/>
  <c r="AN1489" i="8"/>
  <c r="M1494" i="8"/>
  <c r="AN1494" i="8"/>
  <c r="M1503" i="8"/>
  <c r="AN1503" i="8"/>
  <c r="M1511" i="8"/>
  <c r="AN1511" i="8"/>
  <c r="M1525" i="8"/>
  <c r="AN1525" i="8"/>
  <c r="M1530" i="8"/>
  <c r="AN1530" i="8"/>
  <c r="M1536" i="8"/>
  <c r="AN1536" i="8"/>
  <c r="M1547" i="8"/>
  <c r="AN1547" i="8"/>
  <c r="M1552" i="8"/>
  <c r="AN1552" i="8"/>
  <c r="M1559" i="8"/>
  <c r="AN1559" i="8"/>
  <c r="M1572" i="8"/>
  <c r="AN1572" i="8"/>
  <c r="M1581" i="8"/>
  <c r="AN1581" i="8"/>
  <c r="M1586" i="8"/>
  <c r="AN1586" i="8"/>
  <c r="M1595" i="8"/>
  <c r="AN1595" i="8"/>
  <c r="M1600" i="8"/>
  <c r="AN1600" i="8"/>
  <c r="M1608" i="8"/>
  <c r="AN1608" i="8"/>
  <c r="M1612" i="8"/>
  <c r="AN1612" i="8"/>
  <c r="M1618" i="8"/>
  <c r="AN1618" i="8"/>
  <c r="M1655" i="8"/>
  <c r="AN1655" i="8"/>
  <c r="M1685" i="8"/>
  <c r="AN1685" i="8"/>
  <c r="M1700" i="8"/>
  <c r="AN1700" i="8"/>
  <c r="M1712" i="8"/>
  <c r="AN1712" i="8"/>
  <c r="M1785" i="8"/>
  <c r="AN1785" i="8"/>
  <c r="M1805" i="8"/>
  <c r="AN1805" i="8"/>
  <c r="M1818" i="8"/>
  <c r="AN1818" i="8"/>
  <c r="M1837" i="8"/>
  <c r="AN1837" i="8"/>
  <c r="M148" i="8"/>
  <c r="AN148" i="8"/>
  <c r="M150" i="8"/>
  <c r="AN150" i="8"/>
  <c r="M156" i="8"/>
  <c r="AN156" i="8"/>
  <c r="M160" i="8"/>
  <c r="AN160" i="8"/>
  <c r="M169" i="8"/>
  <c r="AN169" i="8"/>
  <c r="M178" i="8"/>
  <c r="AN178" i="8"/>
  <c r="M181" i="8"/>
  <c r="AN181" i="8"/>
  <c r="M192" i="8"/>
  <c r="AN192" i="8"/>
  <c r="M197" i="8"/>
  <c r="AN197" i="8"/>
  <c r="M201" i="8"/>
  <c r="AN201" i="8"/>
  <c r="M206" i="8"/>
  <c r="AN206" i="8"/>
  <c r="M218" i="8"/>
  <c r="AN218" i="8"/>
  <c r="M221" i="8"/>
  <c r="AN221" i="8"/>
  <c r="M228" i="8"/>
  <c r="AN228" i="8"/>
  <c r="M230" i="8"/>
  <c r="AN230" i="8"/>
  <c r="M240" i="8"/>
  <c r="AN240" i="8"/>
  <c r="M253" i="8"/>
  <c r="AN253" i="8"/>
  <c r="M255" i="8"/>
  <c r="AN255" i="8"/>
  <c r="M259" i="8"/>
  <c r="AN259" i="8"/>
  <c r="M261" i="8"/>
  <c r="AN261" i="8"/>
  <c r="M265" i="8"/>
  <c r="AN265" i="8"/>
  <c r="M267" i="8"/>
  <c r="AN267" i="8"/>
  <c r="M269" i="8"/>
  <c r="AN269" i="8"/>
  <c r="M273" i="8"/>
  <c r="AN273" i="8"/>
  <c r="M277" i="8"/>
  <c r="AN277" i="8"/>
  <c r="M279" i="8"/>
  <c r="AN279" i="8"/>
  <c r="M292" i="8"/>
  <c r="AN292" i="8"/>
  <c r="M295" i="8"/>
  <c r="AN295" i="8"/>
  <c r="M299" i="8"/>
  <c r="AN299" i="8"/>
  <c r="M301" i="8"/>
  <c r="AN301" i="8"/>
  <c r="M303" i="8"/>
  <c r="AN303" i="8"/>
  <c r="M305" i="8"/>
  <c r="AN305" i="8"/>
  <c r="M309" i="8"/>
  <c r="AN309" i="8"/>
  <c r="M312" i="8"/>
  <c r="AN312" i="8"/>
  <c r="M315" i="8"/>
  <c r="AN315" i="8"/>
  <c r="M317" i="8"/>
  <c r="AN317" i="8"/>
  <c r="M319" i="8"/>
  <c r="AN319" i="8"/>
  <c r="M321" i="8"/>
  <c r="AN321" i="8"/>
  <c r="M323" i="8"/>
  <c r="AN323" i="8"/>
  <c r="M325" i="8"/>
  <c r="AN325" i="8"/>
  <c r="M327" i="8"/>
  <c r="AN327" i="8"/>
  <c r="M334" i="8"/>
  <c r="AN334" i="8"/>
  <c r="M346" i="8"/>
  <c r="AN346" i="8"/>
  <c r="M353" i="8"/>
  <c r="AN353" i="8"/>
  <c r="M355" i="8"/>
  <c r="AN355" i="8"/>
  <c r="M359" i="8"/>
  <c r="AN359" i="8"/>
  <c r="M364" i="8"/>
  <c r="AN364" i="8"/>
  <c r="M374" i="8"/>
  <c r="AN374" i="8"/>
  <c r="M385" i="8"/>
  <c r="AN385" i="8"/>
  <c r="M387" i="8"/>
  <c r="AN387" i="8"/>
  <c r="M389" i="8"/>
  <c r="AN389" i="8"/>
  <c r="M392" i="8"/>
  <c r="AN392" i="8"/>
  <c r="M398" i="8"/>
  <c r="AN398" i="8"/>
  <c r="M400" i="8"/>
  <c r="AN400" i="8"/>
  <c r="M407" i="8"/>
  <c r="AN407" i="8"/>
  <c r="M414" i="8"/>
  <c r="AN414" i="8"/>
  <c r="M417" i="8"/>
  <c r="AN417" i="8"/>
  <c r="M422" i="8"/>
  <c r="AN422" i="8"/>
  <c r="M425" i="8"/>
  <c r="AN425" i="8"/>
  <c r="M430" i="8"/>
  <c r="AN430" i="8"/>
  <c r="M436" i="8"/>
  <c r="AN436" i="8"/>
  <c r="M442" i="8"/>
  <c r="AN442" i="8"/>
  <c r="M447" i="8"/>
  <c r="AN447" i="8"/>
  <c r="M457" i="8"/>
  <c r="AN457" i="8"/>
  <c r="M460" i="8"/>
  <c r="AN460" i="8"/>
  <c r="M465" i="8"/>
  <c r="AN465" i="8"/>
  <c r="M467" i="8"/>
  <c r="AN467" i="8"/>
  <c r="M472" i="8"/>
  <c r="AN472" i="8"/>
  <c r="M475" i="8"/>
  <c r="AN475" i="8"/>
  <c r="M478" i="8"/>
  <c r="AN478" i="8"/>
  <c r="M480" i="8"/>
  <c r="AN480" i="8"/>
  <c r="M484" i="8"/>
  <c r="AN484" i="8"/>
  <c r="M488" i="8"/>
  <c r="AN488" i="8"/>
  <c r="M491" i="8"/>
  <c r="AN491" i="8"/>
  <c r="M498" i="8"/>
  <c r="AN498" i="8"/>
  <c r="M515" i="8"/>
  <c r="AN515" i="8"/>
  <c r="M517" i="8"/>
  <c r="AN517" i="8"/>
  <c r="M527" i="8"/>
  <c r="AN527" i="8"/>
  <c r="M531" i="8"/>
  <c r="AN531" i="8"/>
  <c r="M535" i="8"/>
  <c r="AN535" i="8"/>
  <c r="M537" i="8"/>
  <c r="AN537" i="8"/>
  <c r="M544" i="8"/>
  <c r="AN544" i="8"/>
  <c r="M546" i="8"/>
  <c r="AN546" i="8"/>
  <c r="M551" i="8"/>
  <c r="AN551" i="8"/>
  <c r="M553" i="8"/>
  <c r="AN553" i="8"/>
  <c r="M557" i="8"/>
  <c r="AN557" i="8"/>
  <c r="M559" i="8"/>
  <c r="AN559" i="8"/>
  <c r="M563" i="8"/>
  <c r="AN563" i="8"/>
  <c r="M565" i="8"/>
  <c r="AN565" i="8"/>
  <c r="M568" i="8"/>
  <c r="AN568" i="8"/>
  <c r="M572" i="8"/>
  <c r="AN572" i="8"/>
  <c r="M579" i="8"/>
  <c r="AN579" i="8"/>
  <c r="M585" i="8"/>
  <c r="AN585" i="8"/>
  <c r="M588" i="8"/>
  <c r="AN588" i="8"/>
  <c r="M597" i="8"/>
  <c r="AN597" i="8"/>
  <c r="M602" i="8"/>
  <c r="AN602" i="8"/>
  <c r="M606" i="8"/>
  <c r="AN606" i="8"/>
  <c r="M609" i="8"/>
  <c r="AN609" i="8"/>
  <c r="M612" i="8"/>
  <c r="AN612" i="8"/>
  <c r="M615" i="8"/>
  <c r="AN615" i="8"/>
  <c r="M619" i="8"/>
  <c r="AN619" i="8"/>
  <c r="M630" i="8"/>
  <c r="AN630" i="8"/>
  <c r="M652" i="8"/>
  <c r="AN652" i="8"/>
  <c r="M656" i="8"/>
  <c r="AN656" i="8"/>
  <c r="M665" i="8"/>
  <c r="AN665" i="8"/>
  <c r="M672" i="8"/>
  <c r="AN672" i="8"/>
  <c r="M677" i="8"/>
  <c r="AN677" i="8"/>
  <c r="M683" i="8"/>
  <c r="AN683" i="8"/>
  <c r="M687" i="8"/>
  <c r="AN687" i="8"/>
  <c r="M699" i="8"/>
  <c r="AN699" i="8"/>
  <c r="M702" i="8"/>
  <c r="AN702" i="8"/>
  <c r="M707" i="8"/>
  <c r="AN707" i="8"/>
  <c r="M710" i="8"/>
  <c r="AN710" i="8"/>
  <c r="M712" i="8"/>
  <c r="AN712" i="8"/>
  <c r="M717" i="8"/>
  <c r="AN717" i="8"/>
  <c r="M720" i="8"/>
  <c r="AN720" i="8"/>
  <c r="M729" i="8"/>
  <c r="AN729" i="8"/>
  <c r="M732" i="8"/>
  <c r="AN732" i="8"/>
  <c r="M735" i="8"/>
  <c r="AN735" i="8"/>
  <c r="M743" i="8"/>
  <c r="AN743" i="8"/>
  <c r="M746" i="8"/>
  <c r="AN746" i="8"/>
  <c r="M751" i="8"/>
  <c r="AN751" i="8"/>
  <c r="M754" i="8"/>
  <c r="AN754" i="8"/>
  <c r="M761" i="8"/>
  <c r="AN761" i="8"/>
  <c r="M766" i="8"/>
  <c r="AN766" i="8"/>
  <c r="M770" i="8"/>
  <c r="AN770" i="8"/>
  <c r="M775" i="8"/>
  <c r="AN775" i="8"/>
  <c r="M778" i="8"/>
  <c r="AN778" i="8"/>
  <c r="M783" i="8"/>
  <c r="AN783" i="8"/>
  <c r="M790" i="8"/>
  <c r="AN790" i="8"/>
  <c r="M793" i="8"/>
  <c r="AN793" i="8"/>
  <c r="M796" i="8"/>
  <c r="AN796" i="8"/>
  <c r="M800" i="8"/>
  <c r="AN800" i="8"/>
  <c r="M805" i="8"/>
  <c r="AN805" i="8"/>
  <c r="M810" i="8"/>
  <c r="AN810" i="8"/>
  <c r="M815" i="8"/>
  <c r="AN815" i="8"/>
  <c r="M818" i="8"/>
  <c r="AN818" i="8"/>
  <c r="M819" i="8"/>
  <c r="AN819" i="8"/>
  <c r="M823" i="8"/>
  <c r="AN823" i="8"/>
  <c r="M828" i="8"/>
  <c r="AN828" i="8"/>
  <c r="M833" i="8"/>
  <c r="AN833" i="8"/>
  <c r="M838" i="8"/>
  <c r="AN838" i="8"/>
  <c r="M844" i="8"/>
  <c r="AN844" i="8"/>
  <c r="M853" i="8"/>
  <c r="AN853" i="8"/>
  <c r="M856" i="8"/>
  <c r="AN856" i="8"/>
  <c r="M861" i="8"/>
  <c r="AN861" i="8"/>
  <c r="M866" i="8"/>
  <c r="AN866" i="8"/>
  <c r="M871" i="8"/>
  <c r="AN871" i="8"/>
  <c r="M875" i="8"/>
  <c r="AN875" i="8"/>
  <c r="M878" i="8"/>
  <c r="AN878" i="8"/>
  <c r="M883" i="8"/>
  <c r="AN883" i="8"/>
  <c r="M886" i="8"/>
  <c r="AN886" i="8"/>
  <c r="M892" i="8"/>
  <c r="AN892" i="8"/>
  <c r="M901" i="8"/>
  <c r="AN901" i="8"/>
  <c r="M906" i="8"/>
  <c r="AN906" i="8"/>
  <c r="M923" i="8"/>
  <c r="AN923" i="8"/>
  <c r="M926" i="8"/>
  <c r="AN926" i="8"/>
  <c r="M929" i="8"/>
  <c r="AN929" i="8"/>
  <c r="M937" i="8"/>
  <c r="AN937" i="8"/>
  <c r="M943" i="8"/>
  <c r="AN943" i="8"/>
  <c r="M947" i="8"/>
  <c r="AN947" i="8"/>
  <c r="M950" i="8"/>
  <c r="AN950" i="8"/>
  <c r="M954" i="8"/>
  <c r="AN954" i="8"/>
  <c r="M959" i="8"/>
  <c r="AN959" i="8"/>
  <c r="M961" i="8"/>
  <c r="AN961" i="8"/>
  <c r="M970" i="8"/>
  <c r="AN970" i="8"/>
  <c r="M973" i="8"/>
  <c r="AN973" i="8"/>
  <c r="M979" i="8"/>
  <c r="AN979" i="8"/>
  <c r="M984" i="8"/>
  <c r="AN984" i="8"/>
  <c r="M989" i="8"/>
  <c r="AN989" i="8"/>
  <c r="M994" i="8"/>
  <c r="AN994" i="8"/>
  <c r="M997" i="8"/>
  <c r="AN997" i="8"/>
  <c r="M1002" i="8"/>
  <c r="AN1002" i="8"/>
  <c r="M1007" i="8"/>
  <c r="AN1007" i="8"/>
  <c r="M1011" i="8"/>
  <c r="AN1011" i="8"/>
  <c r="M1016" i="8"/>
  <c r="AN1016" i="8"/>
  <c r="M1025" i="8"/>
  <c r="AN1025" i="8"/>
  <c r="M1034" i="8"/>
  <c r="AN1034" i="8"/>
  <c r="M1046" i="8"/>
  <c r="AN1046" i="8"/>
  <c r="M1051" i="8"/>
  <c r="AN1051" i="8"/>
  <c r="M1057" i="8"/>
  <c r="AN1057" i="8"/>
  <c r="M1065" i="8"/>
  <c r="AN1065" i="8"/>
  <c r="M1070" i="8"/>
  <c r="AN1070" i="8"/>
  <c r="M1075" i="8"/>
  <c r="AN1075" i="8"/>
  <c r="M1079" i="8"/>
  <c r="AN1079" i="8"/>
  <c r="M1082" i="8"/>
  <c r="AN1082" i="8"/>
  <c r="M1087" i="8"/>
  <c r="AN1087" i="8"/>
  <c r="M1091" i="8"/>
  <c r="AN1091" i="8"/>
  <c r="M1096" i="8"/>
  <c r="AN1096" i="8"/>
  <c r="M1101" i="8"/>
  <c r="AN1101" i="8"/>
  <c r="M1108" i="8"/>
  <c r="AN1108" i="8"/>
  <c r="M1118" i="8"/>
  <c r="AN1118" i="8"/>
  <c r="M1123" i="8"/>
  <c r="AN1123" i="8"/>
  <c r="M1127" i="8"/>
  <c r="AN1127" i="8"/>
  <c r="M1130" i="8"/>
  <c r="AN1130" i="8"/>
  <c r="M1136" i="8"/>
  <c r="AN1136" i="8"/>
  <c r="M1141" i="8"/>
  <c r="AN1141" i="8"/>
  <c r="M1146" i="8"/>
  <c r="AN1146" i="8"/>
  <c r="M1156" i="8"/>
  <c r="AN1156" i="8"/>
  <c r="M1163" i="8"/>
  <c r="AN1163" i="8"/>
  <c r="M1168" i="8"/>
  <c r="AN1168" i="8"/>
  <c r="M1172" i="8"/>
  <c r="AN1172" i="8"/>
  <c r="M1178" i="8"/>
  <c r="AN1178" i="8"/>
  <c r="M1185" i="8"/>
  <c r="AN1185" i="8"/>
  <c r="M1190" i="8"/>
  <c r="AN1190" i="8"/>
  <c r="M1198" i="8"/>
  <c r="AN1198" i="8"/>
  <c r="M1205" i="8"/>
  <c r="AN1205" i="8"/>
  <c r="M1210" i="8"/>
  <c r="AN1210" i="8"/>
  <c r="M1214" i="8"/>
  <c r="AN1214" i="8"/>
  <c r="M1217" i="8"/>
  <c r="AN1217" i="8"/>
  <c r="M1227" i="8"/>
  <c r="AN1227" i="8"/>
  <c r="M1232" i="8"/>
  <c r="AN1232" i="8"/>
  <c r="M1236" i="8"/>
  <c r="AN1236" i="8"/>
  <c r="M1241" i="8"/>
  <c r="AN1241" i="8"/>
  <c r="M1244" i="8"/>
  <c r="AN1244" i="8"/>
  <c r="M1249" i="8"/>
  <c r="AN1249" i="8"/>
  <c r="M1252" i="8"/>
  <c r="AN1252" i="8"/>
  <c r="M1260" i="8"/>
  <c r="AN1260" i="8"/>
  <c r="M1265" i="8"/>
  <c r="AN1265" i="8"/>
  <c r="M1270" i="8"/>
  <c r="AN1270" i="8"/>
  <c r="M1275" i="8"/>
  <c r="AN1275" i="8"/>
  <c r="M1280" i="8"/>
  <c r="AN1280" i="8"/>
  <c r="M1284" i="8"/>
  <c r="AN1284" i="8"/>
  <c r="M1289" i="8"/>
  <c r="AN1289" i="8"/>
  <c r="M1302" i="8"/>
  <c r="AN1302" i="8"/>
  <c r="M1307" i="8"/>
  <c r="AN1307" i="8"/>
  <c r="M1313" i="8"/>
  <c r="AN1313" i="8"/>
  <c r="M1318" i="8"/>
  <c r="AN1318" i="8"/>
  <c r="M1322" i="8"/>
  <c r="AN1322" i="8"/>
  <c r="M1327" i="8"/>
  <c r="AN1327" i="8"/>
  <c r="M1333" i="8"/>
  <c r="AN1333" i="8"/>
  <c r="M1344" i="8"/>
  <c r="AN1344" i="8"/>
  <c r="M1349" i="8"/>
  <c r="AN1349" i="8"/>
  <c r="M1354" i="8"/>
  <c r="AN1354" i="8"/>
  <c r="M1359" i="8"/>
  <c r="AN1359" i="8"/>
  <c r="M1364" i="8"/>
  <c r="AN1364" i="8"/>
  <c r="M1376" i="8"/>
  <c r="AN1376" i="8"/>
  <c r="M1381" i="8"/>
  <c r="AN1381" i="8"/>
  <c r="M1386" i="8"/>
  <c r="AN1386" i="8"/>
  <c r="M1392" i="8"/>
  <c r="AN1392" i="8"/>
  <c r="M1396" i="8"/>
  <c r="AN1396" i="8"/>
  <c r="M1401" i="8"/>
  <c r="AN1401" i="8"/>
  <c r="M1406" i="8"/>
  <c r="AN1406" i="8"/>
  <c r="M1411" i="8"/>
  <c r="AN1411" i="8"/>
  <c r="M1417" i="8"/>
  <c r="AN1417" i="8"/>
  <c r="M1423" i="8"/>
  <c r="AN1423" i="8"/>
  <c r="M1432" i="8"/>
  <c r="AN1432" i="8"/>
  <c r="M1446" i="8"/>
  <c r="AN1446" i="8"/>
  <c r="M1461" i="8"/>
  <c r="AN1461" i="8"/>
  <c r="M1472" i="8"/>
  <c r="AN1472" i="8"/>
  <c r="M1480" i="8"/>
  <c r="AN1480" i="8"/>
  <c r="M1487" i="8"/>
  <c r="AN1487" i="8"/>
  <c r="M1496" i="8"/>
  <c r="AN1496" i="8"/>
  <c r="M1501" i="8"/>
  <c r="AN1501" i="8"/>
  <c r="M1506" i="8"/>
  <c r="AN1506" i="8"/>
  <c r="M1516" i="8"/>
  <c r="AN1516" i="8"/>
  <c r="M1523" i="8"/>
  <c r="AN1523" i="8"/>
  <c r="M1528" i="8"/>
  <c r="AN1528" i="8"/>
  <c r="M1534" i="8"/>
  <c r="AN1534" i="8"/>
  <c r="M1540" i="8"/>
  <c r="AN1540" i="8"/>
  <c r="M1545" i="8"/>
  <c r="AN1545" i="8"/>
  <c r="M1555" i="8"/>
  <c r="AN1555" i="8"/>
  <c r="M1560" i="8"/>
  <c r="AN1560" i="8"/>
  <c r="M1564" i="8"/>
  <c r="AN1564" i="8"/>
  <c r="M1576" i="8"/>
  <c r="AN1576" i="8"/>
  <c r="M1583" i="8"/>
  <c r="AN1583" i="8"/>
  <c r="M1590" i="8"/>
  <c r="AN1590" i="8"/>
  <c r="M1610" i="8"/>
  <c r="AN1610" i="8"/>
  <c r="M1621" i="8"/>
  <c r="AN1621" i="8"/>
  <c r="M1647" i="8"/>
  <c r="AN1647" i="8"/>
  <c r="M1670" i="8"/>
  <c r="AN1670" i="8"/>
  <c r="M1775" i="8"/>
  <c r="AN1775" i="8"/>
  <c r="M1781" i="8"/>
  <c r="AN1781" i="8"/>
  <c r="M1787" i="8"/>
  <c r="AN1787" i="8"/>
  <c r="M164" i="8"/>
  <c r="AN164" i="8"/>
  <c r="M171" i="8"/>
  <c r="AN171" i="8"/>
  <c r="M174" i="8"/>
  <c r="AN174" i="8"/>
  <c r="M177" i="8"/>
  <c r="AN177" i="8"/>
  <c r="M179" i="8"/>
  <c r="AN179" i="8"/>
  <c r="M184" i="8"/>
  <c r="AN184" i="8"/>
  <c r="M186" i="8"/>
  <c r="AN186" i="8"/>
  <c r="M195" i="8"/>
  <c r="AN195" i="8"/>
  <c r="M198" i="8"/>
  <c r="AN198" i="8"/>
  <c r="M200" i="8"/>
  <c r="AN200" i="8"/>
  <c r="M202" i="8"/>
  <c r="AN202" i="8"/>
  <c r="M207" i="8"/>
  <c r="AN207" i="8"/>
  <c r="M209" i="8"/>
  <c r="AN209" i="8"/>
  <c r="M220" i="8"/>
  <c r="AN220" i="8"/>
  <c r="M224" i="8"/>
  <c r="AN224" i="8"/>
  <c r="M232" i="8"/>
  <c r="AN232" i="8"/>
  <c r="M241" i="8"/>
  <c r="AN241" i="8"/>
  <c r="M244" i="8"/>
  <c r="AN244" i="8"/>
  <c r="M250" i="8"/>
  <c r="AN250" i="8"/>
  <c r="M252" i="8"/>
  <c r="AN252" i="8"/>
  <c r="M263" i="8"/>
  <c r="AN263" i="8"/>
  <c r="M276" i="8"/>
  <c r="AN276" i="8"/>
  <c r="M281" i="8"/>
  <c r="AN281" i="8"/>
  <c r="M283" i="8"/>
  <c r="AN283" i="8"/>
  <c r="M285" i="8"/>
  <c r="AN285" i="8"/>
  <c r="M290" i="8"/>
  <c r="AN290" i="8"/>
  <c r="M294" i="8"/>
  <c r="AN294" i="8"/>
  <c r="M307" i="8"/>
  <c r="AN307" i="8"/>
  <c r="M311" i="8"/>
  <c r="AN311" i="8"/>
  <c r="M322" i="8"/>
  <c r="AN322" i="8"/>
  <c r="M328" i="8"/>
  <c r="AN328" i="8"/>
  <c r="M329" i="8"/>
  <c r="AN329" i="8"/>
  <c r="M331" i="8"/>
  <c r="AN331" i="8"/>
  <c r="M333" i="8"/>
  <c r="AN333" i="8"/>
  <c r="M335" i="8"/>
  <c r="AN335" i="8"/>
  <c r="M338" i="8"/>
  <c r="AN338" i="8"/>
  <c r="M340" i="8"/>
  <c r="AN340" i="8"/>
  <c r="M344" i="8"/>
  <c r="AN344" i="8"/>
  <c r="M347" i="8"/>
  <c r="AN347" i="8"/>
  <c r="M358" i="8"/>
  <c r="AN358" i="8"/>
  <c r="M362" i="8"/>
  <c r="AN362" i="8"/>
  <c r="M366" i="8"/>
  <c r="AN366" i="8"/>
  <c r="M369" i="8"/>
  <c r="AN369" i="8"/>
  <c r="M371" i="8"/>
  <c r="AN371" i="8"/>
  <c r="M373" i="8"/>
  <c r="AN373" i="8"/>
  <c r="M377" i="8"/>
  <c r="AN377" i="8"/>
  <c r="M384" i="8"/>
  <c r="AN384" i="8"/>
  <c r="M397" i="8"/>
  <c r="AN397" i="8"/>
  <c r="M401" i="8"/>
  <c r="AN401" i="8"/>
  <c r="M403" i="8"/>
  <c r="AN403" i="8"/>
  <c r="M409" i="8"/>
  <c r="AN409" i="8"/>
  <c r="M413" i="8"/>
  <c r="AN413" i="8"/>
  <c r="M415" i="8"/>
  <c r="AN415" i="8"/>
  <c r="M419" i="8"/>
  <c r="AN419" i="8"/>
  <c r="M421" i="8"/>
  <c r="AN421" i="8"/>
  <c r="M424" i="8"/>
  <c r="AN424" i="8"/>
  <c r="M429" i="8"/>
  <c r="AN429" i="8"/>
  <c r="M434" i="8"/>
  <c r="AN434" i="8"/>
  <c r="M437" i="8"/>
  <c r="AN437" i="8"/>
  <c r="M439" i="8"/>
  <c r="AN439" i="8"/>
  <c r="M444" i="8"/>
  <c r="AN444" i="8"/>
  <c r="M449" i="8"/>
  <c r="AN449" i="8"/>
  <c r="M452" i="8"/>
  <c r="AN452" i="8"/>
  <c r="M454" i="8"/>
  <c r="AN454" i="8"/>
  <c r="M459" i="8"/>
  <c r="AN459" i="8"/>
  <c r="M464" i="8"/>
  <c r="AN464" i="8"/>
  <c r="M469" i="8"/>
  <c r="AN469" i="8"/>
  <c r="M476" i="8"/>
  <c r="AN476" i="8"/>
  <c r="M482" i="8"/>
  <c r="AN482" i="8"/>
  <c r="M486" i="8"/>
  <c r="AN486" i="8"/>
  <c r="M490" i="8"/>
  <c r="AN490" i="8"/>
  <c r="M492" i="8"/>
  <c r="AN492" i="8"/>
  <c r="M494" i="8"/>
  <c r="AN494" i="8"/>
  <c r="M501" i="8"/>
  <c r="AN501" i="8"/>
  <c r="M510" i="8"/>
  <c r="AN510" i="8"/>
  <c r="M518" i="8"/>
  <c r="AN518" i="8"/>
  <c r="M523" i="8"/>
  <c r="AN523" i="8"/>
  <c r="M529" i="8"/>
  <c r="AN529" i="8"/>
  <c r="M538" i="8"/>
  <c r="AN538" i="8"/>
  <c r="M543" i="8"/>
  <c r="AN543" i="8"/>
  <c r="M549" i="8"/>
  <c r="AN549" i="8"/>
  <c r="M556" i="8"/>
  <c r="AN556" i="8"/>
  <c r="M560" i="8"/>
  <c r="AN560" i="8"/>
  <c r="M562" i="8"/>
  <c r="AN562" i="8"/>
  <c r="M567" i="8"/>
  <c r="AN567" i="8"/>
  <c r="M570" i="8"/>
  <c r="AN570" i="8"/>
  <c r="M575" i="8"/>
  <c r="AN575" i="8"/>
  <c r="M577" i="8"/>
  <c r="AN577" i="8"/>
  <c r="M583" i="8"/>
  <c r="AN583" i="8"/>
  <c r="M586" i="8"/>
  <c r="AN586" i="8"/>
  <c r="M589" i="8"/>
  <c r="AN589" i="8"/>
  <c r="M594" i="8"/>
  <c r="AN594" i="8"/>
  <c r="M598" i="8"/>
  <c r="AN598" i="8"/>
  <c r="M601" i="8"/>
  <c r="AN601" i="8"/>
  <c r="M605" i="8"/>
  <c r="AN605" i="8"/>
  <c r="M611" i="8"/>
  <c r="AN611" i="8"/>
  <c r="M613" i="8"/>
  <c r="AN613" i="8"/>
  <c r="M618" i="8"/>
  <c r="AN618" i="8"/>
  <c r="M622" i="8"/>
  <c r="AN622" i="8"/>
  <c r="M626" i="8"/>
  <c r="AN626" i="8"/>
  <c r="M628" i="8"/>
  <c r="AN628" i="8"/>
  <c r="M631" i="8"/>
  <c r="AN631" i="8"/>
  <c r="M639" i="8"/>
  <c r="AN639" i="8"/>
  <c r="M642" i="8"/>
  <c r="AN642" i="8"/>
  <c r="M643" i="8"/>
  <c r="AN643" i="8"/>
  <c r="M649" i="8"/>
  <c r="AN649" i="8"/>
  <c r="M653" i="8"/>
  <c r="AN653" i="8"/>
  <c r="M659" i="8"/>
  <c r="AN659" i="8"/>
  <c r="M666" i="8"/>
  <c r="AN666" i="8"/>
  <c r="M670" i="8"/>
  <c r="AN670" i="8"/>
  <c r="M675" i="8"/>
  <c r="AN675" i="8"/>
  <c r="M678" i="8"/>
  <c r="AN678" i="8"/>
  <c r="M681" i="8"/>
  <c r="AN681" i="8"/>
  <c r="M688" i="8"/>
  <c r="AN688" i="8"/>
  <c r="M691" i="8"/>
  <c r="AN691" i="8"/>
  <c r="M701" i="8"/>
  <c r="AN701" i="8"/>
  <c r="M704" i="8"/>
  <c r="AN704" i="8"/>
  <c r="M713" i="8"/>
  <c r="AN713" i="8"/>
  <c r="M716" i="8"/>
  <c r="AN716" i="8"/>
  <c r="M722" i="8"/>
  <c r="AN722" i="8"/>
  <c r="M731" i="8"/>
  <c r="AN731" i="8"/>
  <c r="M734" i="8"/>
  <c r="AN734" i="8"/>
  <c r="M740" i="8"/>
  <c r="AN740" i="8"/>
  <c r="M744" i="8"/>
  <c r="AN744" i="8"/>
  <c r="M749" i="8"/>
  <c r="AN749" i="8"/>
  <c r="M756" i="8"/>
  <c r="AN756" i="8"/>
  <c r="M759" i="8"/>
  <c r="AN759" i="8"/>
  <c r="M762" i="8"/>
  <c r="AN762" i="8"/>
  <c r="M767" i="8"/>
  <c r="AN767" i="8"/>
  <c r="M772" i="8"/>
  <c r="AN772" i="8"/>
  <c r="M777" i="8"/>
  <c r="AN777" i="8"/>
  <c r="M787" i="8"/>
  <c r="AN787" i="8"/>
  <c r="M792" i="8"/>
  <c r="AN792" i="8"/>
  <c r="M802" i="8"/>
  <c r="AN802" i="8"/>
  <c r="M809" i="8"/>
  <c r="AN809" i="8"/>
  <c r="M812" i="8"/>
  <c r="AN812" i="8"/>
  <c r="M817" i="8"/>
  <c r="AN817" i="8"/>
  <c r="M822" i="8"/>
  <c r="AN822" i="8"/>
  <c r="M827" i="8"/>
  <c r="AN827" i="8"/>
  <c r="M832" i="8"/>
  <c r="AN832" i="8"/>
  <c r="M837" i="8"/>
  <c r="AN837" i="8"/>
  <c r="M842" i="8"/>
  <c r="AN842" i="8"/>
  <c r="M847" i="8"/>
  <c r="AN847" i="8"/>
  <c r="M850" i="8"/>
  <c r="AN850" i="8"/>
  <c r="M859" i="8"/>
  <c r="AN859" i="8"/>
  <c r="M864" i="8"/>
  <c r="AN864" i="8"/>
  <c r="M869" i="8"/>
  <c r="AN869" i="8"/>
  <c r="M876" i="8"/>
  <c r="AN876" i="8"/>
  <c r="M881" i="8"/>
  <c r="AN881" i="8"/>
  <c r="M887" i="8"/>
  <c r="AN887" i="8"/>
  <c r="M890" i="8"/>
  <c r="AN890" i="8"/>
  <c r="M893" i="8"/>
  <c r="AN893" i="8"/>
  <c r="M903" i="8"/>
  <c r="AN903" i="8"/>
  <c r="M910" i="8"/>
  <c r="AN910" i="8"/>
  <c r="M913" i="8"/>
  <c r="AN913" i="8"/>
  <c r="M916" i="8"/>
  <c r="AN916" i="8"/>
  <c r="M920" i="8"/>
  <c r="AN920" i="8"/>
  <c r="M924" i="8"/>
  <c r="AN924" i="8"/>
  <c r="M932" i="8"/>
  <c r="AN932" i="8"/>
  <c r="M936" i="8"/>
  <c r="AN936" i="8"/>
  <c r="M941" i="8"/>
  <c r="AN941" i="8"/>
  <c r="M948" i="8"/>
  <c r="AN948" i="8"/>
  <c r="M957" i="8"/>
  <c r="AN957" i="8"/>
  <c r="M963" i="8"/>
  <c r="AN963" i="8"/>
  <c r="M967" i="8"/>
  <c r="AN967" i="8"/>
  <c r="M977" i="8"/>
  <c r="AN977" i="8"/>
  <c r="M982" i="8"/>
  <c r="AN982" i="8"/>
  <c r="M986" i="8"/>
  <c r="AN986" i="8"/>
  <c r="M991" i="8"/>
  <c r="AN991" i="8"/>
  <c r="M996" i="8"/>
  <c r="AN996" i="8"/>
  <c r="M1001" i="8"/>
  <c r="AN1001" i="8"/>
  <c r="M1008" i="8"/>
  <c r="AN1008" i="8"/>
  <c r="M1015" i="8"/>
  <c r="AN1015" i="8"/>
  <c r="M1028" i="8"/>
  <c r="AN1028" i="8"/>
  <c r="M1032" i="8"/>
  <c r="AN1032" i="8"/>
  <c r="M1043" i="8"/>
  <c r="AN1043" i="8"/>
  <c r="M1049" i="8"/>
  <c r="AN1049" i="8"/>
  <c r="M1054" i="8"/>
  <c r="AN1054" i="8"/>
  <c r="M1059" i="8"/>
  <c r="AN1059" i="8"/>
  <c r="M1063" i="8"/>
  <c r="AN1063" i="8"/>
  <c r="M1067" i="8"/>
  <c r="AN1067" i="8"/>
  <c r="M1073" i="8"/>
  <c r="AN1073" i="8"/>
  <c r="M1078" i="8"/>
  <c r="AN1078" i="8"/>
  <c r="M1080" i="8"/>
  <c r="AN1080" i="8"/>
  <c r="M1085" i="8"/>
  <c r="AN1085" i="8"/>
  <c r="M1088" i="8"/>
  <c r="AN1088" i="8"/>
  <c r="M1092" i="8"/>
  <c r="AN1092" i="8"/>
  <c r="M1094" i="8"/>
  <c r="AN1094" i="8"/>
  <c r="M1099" i="8"/>
  <c r="AN1099" i="8"/>
  <c r="M1105" i="8"/>
  <c r="AN1105" i="8"/>
  <c r="M1110" i="8"/>
  <c r="AN1110" i="8"/>
  <c r="M1113" i="8"/>
  <c r="AN1113" i="8"/>
  <c r="M1117" i="8"/>
  <c r="AN1117" i="8"/>
  <c r="M1122" i="8"/>
  <c r="AN1122" i="8"/>
  <c r="M1128" i="8"/>
  <c r="AN1128" i="8"/>
  <c r="M1133" i="8"/>
  <c r="AN1133" i="8"/>
  <c r="M1137" i="8"/>
  <c r="AN1137" i="8"/>
  <c r="M1142" i="8"/>
  <c r="AN1142" i="8"/>
  <c r="M1151" i="8"/>
  <c r="AN1151" i="8"/>
  <c r="M1155" i="8"/>
  <c r="AN1155" i="8"/>
  <c r="M1161" i="8"/>
  <c r="AN1161" i="8"/>
  <c r="M1165" i="8"/>
  <c r="AN1165" i="8"/>
  <c r="M1169" i="8"/>
  <c r="AN1169" i="8"/>
  <c r="M1176" i="8"/>
  <c r="AN1176" i="8"/>
  <c r="M1180" i="8"/>
  <c r="AN1180" i="8"/>
  <c r="M1184" i="8"/>
  <c r="AN1184" i="8"/>
  <c r="M1188" i="8"/>
  <c r="AN1188" i="8"/>
  <c r="M1193" i="8"/>
  <c r="AN1193" i="8"/>
  <c r="M1200" i="8"/>
  <c r="AN1200" i="8"/>
  <c r="M1204" i="8"/>
  <c r="AN1204" i="8"/>
  <c r="M1209" i="8"/>
  <c r="AN1209" i="8"/>
  <c r="M1213" i="8"/>
  <c r="AN1213" i="8"/>
  <c r="M1219" i="8"/>
  <c r="AN1219" i="8"/>
  <c r="M1222" i="8"/>
  <c r="AN1222" i="8"/>
  <c r="M1225" i="8"/>
  <c r="AN1225" i="8"/>
  <c r="M1229" i="8"/>
  <c r="AN1229" i="8"/>
  <c r="M1239" i="8"/>
  <c r="AN1239" i="8"/>
  <c r="M1245" i="8"/>
  <c r="AN1245" i="8"/>
  <c r="M1251" i="8"/>
  <c r="AN1251" i="8"/>
  <c r="M1254" i="8"/>
  <c r="AN1254" i="8"/>
  <c r="M1258" i="8"/>
  <c r="AN1258" i="8"/>
  <c r="M1264" i="8"/>
  <c r="AN1264" i="8"/>
  <c r="M1268" i="8"/>
  <c r="AN1268" i="8"/>
  <c r="M1277" i="8"/>
  <c r="AN1277" i="8"/>
  <c r="M1288" i="8"/>
  <c r="AN1288" i="8"/>
  <c r="M1293" i="8"/>
  <c r="AN1293" i="8"/>
  <c r="M1297" i="8"/>
  <c r="AN1297" i="8"/>
  <c r="M1304" i="8"/>
  <c r="AN1304" i="8"/>
  <c r="M1309" i="8"/>
  <c r="AN1309" i="8"/>
  <c r="M1314" i="8"/>
  <c r="AN1314" i="8"/>
  <c r="M1319" i="8"/>
  <c r="AN1319" i="8"/>
  <c r="M1323" i="8"/>
  <c r="AN1323" i="8"/>
  <c r="M1328" i="8"/>
  <c r="AN1328" i="8"/>
  <c r="M1335" i="8"/>
  <c r="AN1335" i="8"/>
  <c r="M1339" i="8"/>
  <c r="AN1339" i="8"/>
  <c r="M1343" i="8"/>
  <c r="AN1343" i="8"/>
  <c r="M1351" i="8"/>
  <c r="AN1351" i="8"/>
  <c r="M1356" i="8"/>
  <c r="AN1356" i="8"/>
  <c r="M1362" i="8"/>
  <c r="AN1362" i="8"/>
  <c r="M1368" i="8"/>
  <c r="AN1368" i="8"/>
  <c r="M1378" i="8"/>
  <c r="AN1378" i="8"/>
  <c r="M1385" i="8"/>
  <c r="AN1385" i="8"/>
  <c r="M1390" i="8"/>
  <c r="AN1390" i="8"/>
  <c r="M1398" i="8"/>
  <c r="AN1398" i="8"/>
  <c r="M1403" i="8"/>
  <c r="AN1403" i="8"/>
  <c r="M1407" i="8"/>
  <c r="AN1407" i="8"/>
  <c r="M1413" i="8"/>
  <c r="AN1413" i="8"/>
  <c r="M1419" i="8"/>
  <c r="AN1419" i="8"/>
  <c r="M1427" i="8"/>
  <c r="AN1427" i="8"/>
  <c r="M1435" i="8"/>
  <c r="AN1435" i="8"/>
  <c r="M1448" i="8"/>
  <c r="AN1448" i="8"/>
  <c r="M1452" i="8"/>
  <c r="AN1452" i="8"/>
  <c r="M1459" i="8"/>
  <c r="AN1459" i="8"/>
  <c r="M1466" i="8"/>
  <c r="AN1466" i="8"/>
  <c r="M1471" i="8"/>
  <c r="AN1471" i="8"/>
  <c r="M1476" i="8"/>
  <c r="AN1476" i="8"/>
  <c r="M1482" i="8"/>
  <c r="AN1482" i="8"/>
  <c r="M1495" i="8"/>
  <c r="AN1495" i="8"/>
  <c r="M1500" i="8"/>
  <c r="AN1500" i="8"/>
  <c r="M1508" i="8"/>
  <c r="AN1508" i="8"/>
  <c r="M1513" i="8"/>
  <c r="AN1513" i="8"/>
  <c r="M1518" i="8"/>
  <c r="AN1518" i="8"/>
  <c r="M1522" i="8"/>
  <c r="AN1522" i="8"/>
  <c r="M1531" i="8"/>
  <c r="AN1531" i="8"/>
  <c r="M1538" i="8"/>
  <c r="AN1538" i="8"/>
  <c r="M1546" i="8"/>
  <c r="AN1546" i="8"/>
  <c r="M1551" i="8"/>
  <c r="AN1551" i="8"/>
  <c r="M1557" i="8"/>
  <c r="AN1557" i="8"/>
  <c r="M1563" i="8"/>
  <c r="AN1563" i="8"/>
  <c r="M1568" i="8"/>
  <c r="AN1568" i="8"/>
  <c r="M1578" i="8"/>
  <c r="AN1578" i="8"/>
  <c r="M1582" i="8"/>
  <c r="AN1582" i="8"/>
  <c r="M1597" i="8"/>
  <c r="AN1597" i="8"/>
  <c r="M1603" i="8"/>
  <c r="AN1603" i="8"/>
  <c r="M1605" i="8"/>
  <c r="AN1605" i="8"/>
  <c r="M1623" i="8"/>
  <c r="AN1623" i="8"/>
  <c r="M1629" i="8"/>
  <c r="AN1629" i="8"/>
  <c r="M1635" i="8"/>
  <c r="AN1635" i="8"/>
  <c r="M1645" i="8"/>
  <c r="AN1645" i="8"/>
  <c r="M1651" i="8"/>
  <c r="AN1651" i="8"/>
  <c r="M1692" i="8"/>
  <c r="AN1692" i="8"/>
  <c r="M1777" i="8"/>
  <c r="AN1777" i="8"/>
  <c r="M1831" i="8"/>
  <c r="AN1831" i="8"/>
  <c r="M101" i="8"/>
  <c r="AN101" i="8"/>
  <c r="M107" i="8"/>
  <c r="AN107" i="8"/>
  <c r="M110" i="8"/>
  <c r="AN110" i="8"/>
  <c r="M111" i="8"/>
  <c r="AN111" i="8"/>
  <c r="M114" i="8"/>
  <c r="AN114" i="8"/>
  <c r="M117" i="8"/>
  <c r="AN117" i="8"/>
  <c r="M120" i="8"/>
  <c r="AN120" i="8"/>
  <c r="M123" i="8"/>
  <c r="AN123" i="8"/>
  <c r="M126" i="8"/>
  <c r="AN126" i="8"/>
  <c r="M129" i="8"/>
  <c r="AN129" i="8"/>
  <c r="M130" i="8"/>
  <c r="AN130" i="8"/>
  <c r="M133" i="8"/>
  <c r="AN133" i="8"/>
  <c r="M136" i="8"/>
  <c r="AN136" i="8"/>
  <c r="M139" i="8"/>
  <c r="AN139" i="8"/>
  <c r="M142" i="8"/>
  <c r="AN142" i="8"/>
  <c r="M144" i="8"/>
  <c r="AN144" i="8"/>
  <c r="M146" i="8"/>
  <c r="AN146" i="8"/>
  <c r="M151" i="8"/>
  <c r="AN151" i="8"/>
  <c r="M153" i="8"/>
  <c r="AN153" i="8"/>
  <c r="M159" i="8"/>
  <c r="AN159" i="8"/>
  <c r="M162" i="8"/>
  <c r="AN162" i="8"/>
  <c r="M167" i="8"/>
  <c r="AN167" i="8"/>
  <c r="M172" i="8"/>
  <c r="AN172" i="8"/>
  <c r="M183" i="8"/>
  <c r="AN183" i="8"/>
  <c r="M188" i="8"/>
  <c r="AN188" i="8"/>
  <c r="M193" i="8"/>
  <c r="AN193" i="8"/>
  <c r="M199" i="8"/>
  <c r="AN199" i="8"/>
  <c r="M204" i="8"/>
  <c r="AN204" i="8"/>
  <c r="M208" i="8"/>
  <c r="AN208" i="8"/>
  <c r="M210" i="8"/>
  <c r="AN210" i="8"/>
  <c r="M212" i="8"/>
  <c r="AN212" i="8"/>
  <c r="M214" i="8"/>
  <c r="AN214" i="8"/>
  <c r="M226" i="8"/>
  <c r="AN226" i="8"/>
  <c r="M234" i="8"/>
  <c r="AN234" i="8"/>
  <c r="M236" i="8"/>
  <c r="AN236" i="8"/>
  <c r="M238" i="8"/>
  <c r="AN238" i="8"/>
  <c r="M246" i="8"/>
  <c r="AN246" i="8"/>
  <c r="M248" i="8"/>
  <c r="AN248" i="8"/>
  <c r="M254" i="8"/>
  <c r="AN254" i="8"/>
  <c r="M260" i="8"/>
  <c r="AN260" i="8"/>
  <c r="M271" i="8"/>
  <c r="AN271" i="8"/>
  <c r="M275" i="8"/>
  <c r="AN275" i="8"/>
  <c r="M278" i="8"/>
  <c r="AN278" i="8"/>
  <c r="M288" i="8"/>
  <c r="AN288" i="8"/>
  <c r="M291" i="8"/>
  <c r="AN291" i="8"/>
  <c r="M293" i="8"/>
  <c r="AN293" i="8"/>
  <c r="M297" i="8"/>
  <c r="AN297" i="8"/>
  <c r="M304" i="8"/>
  <c r="AN304" i="8"/>
  <c r="M313" i="8"/>
  <c r="AN313" i="8"/>
  <c r="M339" i="8"/>
  <c r="AN339" i="8"/>
  <c r="M342" i="8"/>
  <c r="AN342" i="8"/>
  <c r="M348" i="8"/>
  <c r="AN348" i="8"/>
  <c r="M350" i="8"/>
  <c r="AN350" i="8"/>
  <c r="M354" i="8"/>
  <c r="AN354" i="8"/>
  <c r="M370" i="8"/>
  <c r="AN370" i="8"/>
  <c r="M372" i="8"/>
  <c r="AN372" i="8"/>
  <c r="M376" i="8"/>
  <c r="AN376" i="8"/>
  <c r="M378" i="8"/>
  <c r="AN378" i="8"/>
  <c r="M382" i="8"/>
  <c r="AN382" i="8"/>
  <c r="M386" i="8"/>
  <c r="AN386" i="8"/>
  <c r="M390" i="8"/>
  <c r="AN390" i="8"/>
  <c r="M396" i="8"/>
  <c r="AN396" i="8"/>
  <c r="M402" i="8"/>
  <c r="AN402" i="8"/>
  <c r="M412" i="8"/>
  <c r="AN412" i="8"/>
  <c r="M418" i="8"/>
  <c r="AN418" i="8"/>
  <c r="M427" i="8"/>
  <c r="AN427" i="8"/>
  <c r="M432" i="8"/>
  <c r="AN432" i="8"/>
  <c r="M441" i="8"/>
  <c r="AN441" i="8"/>
  <c r="M450" i="8"/>
  <c r="AN450" i="8"/>
  <c r="M455" i="8"/>
  <c r="AN455" i="8"/>
  <c r="M462" i="8"/>
  <c r="AN462" i="8"/>
  <c r="M471" i="8"/>
  <c r="AN471" i="8"/>
  <c r="M477" i="8"/>
  <c r="AN477" i="8"/>
  <c r="M479" i="8"/>
  <c r="AN479" i="8"/>
  <c r="M485" i="8"/>
  <c r="AN485" i="8"/>
  <c r="M493" i="8"/>
  <c r="AN493" i="8"/>
  <c r="M499" i="8"/>
  <c r="AN499" i="8"/>
  <c r="M504" i="8"/>
  <c r="AN504" i="8"/>
  <c r="M506" i="8"/>
  <c r="AN506" i="8"/>
  <c r="M508" i="8"/>
  <c r="AN508" i="8"/>
  <c r="M511" i="8"/>
  <c r="AN511" i="8"/>
  <c r="M521" i="8"/>
  <c r="AN521" i="8"/>
  <c r="M526" i="8"/>
  <c r="AN526" i="8"/>
  <c r="M533" i="8"/>
  <c r="AN533" i="8"/>
  <c r="M634" i="8"/>
  <c r="AN634" i="8"/>
  <c r="M635" i="8"/>
  <c r="AN635" i="8"/>
  <c r="M644" i="8"/>
  <c r="AN644" i="8"/>
  <c r="M648" i="8"/>
  <c r="AN648" i="8"/>
  <c r="M654" i="8"/>
  <c r="AN654" i="8"/>
  <c r="M657" i="8"/>
  <c r="AN657" i="8"/>
  <c r="M660" i="8"/>
  <c r="AN660" i="8"/>
  <c r="M664" i="8"/>
  <c r="AN664" i="8"/>
  <c r="M676" i="8"/>
  <c r="AN676" i="8"/>
  <c r="M684" i="8"/>
  <c r="AN684" i="8"/>
  <c r="M686" i="8"/>
  <c r="AN686" i="8"/>
  <c r="M690" i="8"/>
  <c r="AN690" i="8"/>
  <c r="M693" i="8"/>
  <c r="AN693" i="8"/>
  <c r="M696" i="8"/>
  <c r="AN696" i="8"/>
  <c r="M700" i="8"/>
  <c r="AN700" i="8"/>
  <c r="M703" i="8"/>
  <c r="AN703" i="8"/>
  <c r="M705" i="8"/>
  <c r="AN705" i="8"/>
  <c r="M708" i="8"/>
  <c r="AN708" i="8"/>
  <c r="M715" i="8"/>
  <c r="AN715" i="8"/>
  <c r="M718" i="8"/>
  <c r="AN718" i="8"/>
  <c r="M725" i="8"/>
  <c r="AN725" i="8"/>
  <c r="M730" i="8"/>
  <c r="AN730" i="8"/>
  <c r="M737" i="8"/>
  <c r="AN737" i="8"/>
  <c r="M742" i="8"/>
  <c r="AN742" i="8"/>
  <c r="M747" i="8"/>
  <c r="AN747" i="8"/>
  <c r="M752" i="8"/>
  <c r="AN752" i="8"/>
  <c r="M757" i="8"/>
  <c r="AN757" i="8"/>
  <c r="M764" i="8"/>
  <c r="AN764" i="8"/>
  <c r="M769" i="8"/>
  <c r="AN769" i="8"/>
  <c r="M774" i="8"/>
  <c r="AN774" i="8"/>
  <c r="M780" i="8"/>
  <c r="AN780" i="8"/>
  <c r="M782" i="8"/>
  <c r="AN782" i="8"/>
  <c r="M784" i="8"/>
  <c r="AN784" i="8"/>
  <c r="M789" i="8"/>
  <c r="AN789" i="8"/>
  <c r="M794" i="8"/>
  <c r="AN794" i="8"/>
  <c r="M799" i="8"/>
  <c r="AN799" i="8"/>
  <c r="M804" i="8"/>
  <c r="AN804" i="8"/>
  <c r="M807" i="8"/>
  <c r="AN807" i="8"/>
  <c r="M816" i="8"/>
  <c r="AN816" i="8"/>
  <c r="M824" i="8"/>
  <c r="AN824" i="8"/>
  <c r="M829" i="8"/>
  <c r="AN829" i="8"/>
  <c r="M834" i="8"/>
  <c r="AN834" i="8"/>
  <c r="M839" i="8"/>
  <c r="AN839" i="8"/>
  <c r="M843" i="8"/>
  <c r="AN843" i="8"/>
  <c r="M848" i="8"/>
  <c r="AN848" i="8"/>
  <c r="M852" i="8"/>
  <c r="AN852" i="8"/>
  <c r="M854" i="8"/>
  <c r="AN854" i="8"/>
  <c r="M858" i="8"/>
  <c r="AN858" i="8"/>
  <c r="M863" i="8"/>
  <c r="AN863" i="8"/>
  <c r="M868" i="8"/>
  <c r="AN868" i="8"/>
  <c r="M879" i="8"/>
  <c r="AN879" i="8"/>
  <c r="M884" i="8"/>
  <c r="AN884" i="8"/>
  <c r="M888" i="8"/>
  <c r="AN888" i="8"/>
  <c r="M895" i="8"/>
  <c r="AN895" i="8"/>
  <c r="M898" i="8"/>
  <c r="AN898" i="8"/>
  <c r="M904" i="8"/>
  <c r="AN904" i="8"/>
  <c r="M915" i="8"/>
  <c r="AN915" i="8"/>
  <c r="M919" i="8"/>
  <c r="AN919" i="8"/>
  <c r="M922" i="8"/>
  <c r="AN922" i="8"/>
  <c r="M925" i="8"/>
  <c r="AN925" i="8"/>
  <c r="M931" i="8"/>
  <c r="AN931" i="8"/>
  <c r="M935" i="8"/>
  <c r="AN935" i="8"/>
  <c r="M940" i="8"/>
  <c r="AN940" i="8"/>
  <c r="M952" i="8"/>
  <c r="AN952" i="8"/>
  <c r="M956" i="8"/>
  <c r="AN956" i="8"/>
  <c r="M965" i="8"/>
  <c r="AN965" i="8"/>
  <c r="M968" i="8"/>
  <c r="AN968" i="8"/>
  <c r="M972" i="8"/>
  <c r="AN972" i="8"/>
  <c r="M975" i="8"/>
  <c r="AN975" i="8"/>
  <c r="M980" i="8"/>
  <c r="AN980" i="8"/>
  <c r="M985" i="8"/>
  <c r="AN985" i="8"/>
  <c r="M990" i="8"/>
  <c r="AN990" i="8"/>
  <c r="M995" i="8"/>
  <c r="AN995" i="8"/>
  <c r="M1000" i="8"/>
  <c r="AN1000" i="8"/>
  <c r="M1005" i="8"/>
  <c r="AN1005" i="8"/>
  <c r="M1010" i="8"/>
  <c r="AN1010" i="8"/>
  <c r="M1014" i="8"/>
  <c r="AN1014" i="8"/>
  <c r="M1019" i="8"/>
  <c r="AN1019" i="8"/>
  <c r="M1023" i="8"/>
  <c r="AN1023" i="8"/>
  <c r="M1026" i="8"/>
  <c r="AN1026" i="8"/>
  <c r="M1030" i="8"/>
  <c r="AN1030" i="8"/>
  <c r="M1039" i="8"/>
  <c r="AN1039" i="8"/>
  <c r="M1056" i="8"/>
  <c r="AN1056" i="8"/>
  <c r="M1064" i="8"/>
  <c r="AN1064" i="8"/>
  <c r="M1069" i="8"/>
  <c r="AN1069" i="8"/>
  <c r="M1074" i="8"/>
  <c r="AN1074" i="8"/>
  <c r="M1083" i="8"/>
  <c r="AN1083" i="8"/>
  <c r="M1090" i="8"/>
  <c r="AN1090" i="8"/>
  <c r="M1095" i="8"/>
  <c r="AN1095" i="8"/>
  <c r="M1100" i="8"/>
  <c r="AN1100" i="8"/>
  <c r="M1103" i="8"/>
  <c r="AN1103" i="8"/>
  <c r="M1106" i="8"/>
  <c r="AN1106" i="8"/>
  <c r="M1109" i="8"/>
  <c r="AN1109" i="8"/>
  <c r="M1114" i="8"/>
  <c r="AN1114" i="8"/>
  <c r="M1121" i="8"/>
  <c r="AN1121" i="8"/>
  <c r="M1126" i="8"/>
  <c r="AN1126" i="8"/>
  <c r="M1131" i="8"/>
  <c r="AN1131" i="8"/>
  <c r="M1135" i="8"/>
  <c r="AN1135" i="8"/>
  <c r="M1138" i="8"/>
  <c r="AN1138" i="8"/>
  <c r="M1143" i="8"/>
  <c r="AN1143" i="8"/>
  <c r="M1150" i="8"/>
  <c r="AN1150" i="8"/>
  <c r="M1154" i="8"/>
  <c r="AN1154" i="8"/>
  <c r="M1159" i="8"/>
  <c r="AN1159" i="8"/>
  <c r="M1166" i="8"/>
  <c r="AN1166" i="8"/>
  <c r="M1171" i="8"/>
  <c r="AN1171" i="8"/>
  <c r="M1175" i="8"/>
  <c r="AN1175" i="8"/>
  <c r="M1183" i="8"/>
  <c r="AN1183" i="8"/>
  <c r="M1189" i="8"/>
  <c r="AN1189" i="8"/>
  <c r="M1197" i="8"/>
  <c r="AN1197" i="8"/>
  <c r="M1201" i="8"/>
  <c r="AN1201" i="8"/>
  <c r="M1207" i="8"/>
  <c r="AN1207" i="8"/>
  <c r="M1216" i="8"/>
  <c r="AN1216" i="8"/>
  <c r="M1220" i="8"/>
  <c r="AN1220" i="8"/>
  <c r="M1223" i="8"/>
  <c r="AN1223" i="8"/>
  <c r="M1233" i="8"/>
  <c r="AN1233" i="8"/>
  <c r="M1237" i="8"/>
  <c r="AN1237" i="8"/>
  <c r="M1242" i="8"/>
  <c r="AN1242" i="8"/>
  <c r="M1247" i="8"/>
  <c r="AN1247" i="8"/>
  <c r="M1257" i="8"/>
  <c r="AN1257" i="8"/>
  <c r="M1262" i="8"/>
  <c r="AN1262" i="8"/>
  <c r="M1269" i="8"/>
  <c r="AN1269" i="8"/>
  <c r="M1273" i="8"/>
  <c r="AN1273" i="8"/>
  <c r="M1279" i="8"/>
  <c r="AN1279" i="8"/>
  <c r="M1283" i="8"/>
  <c r="AN1283" i="8"/>
  <c r="M1287" i="8"/>
  <c r="AN1287" i="8"/>
  <c r="M1291" i="8"/>
  <c r="AN1291" i="8"/>
  <c r="M1301" i="8"/>
  <c r="AN1301" i="8"/>
  <c r="M1306" i="8"/>
  <c r="AN1306" i="8"/>
  <c r="M1311" i="8"/>
  <c r="AN1311" i="8"/>
  <c r="M1317" i="8"/>
  <c r="AN1317" i="8"/>
  <c r="M1321" i="8"/>
  <c r="AN1321" i="8"/>
  <c r="M1325" i="8"/>
  <c r="AN1325" i="8"/>
  <c r="M1332" i="8"/>
  <c r="AN1332" i="8"/>
  <c r="M1336" i="8"/>
  <c r="AN1336" i="8"/>
  <c r="M1340" i="8"/>
  <c r="AN1340" i="8"/>
  <c r="M1348" i="8"/>
  <c r="AN1348" i="8"/>
  <c r="M1352" i="8"/>
  <c r="AN1352" i="8"/>
  <c r="M1360" i="8"/>
  <c r="AN1360" i="8"/>
  <c r="M1370" i="8"/>
  <c r="AN1370" i="8"/>
  <c r="M1380" i="8"/>
  <c r="AN1380" i="8"/>
  <c r="M1384" i="8"/>
  <c r="AN1384" i="8"/>
  <c r="M1388" i="8"/>
  <c r="AN1388" i="8"/>
  <c r="M1395" i="8"/>
  <c r="AN1395" i="8"/>
  <c r="M1405" i="8"/>
  <c r="AN1405" i="8"/>
  <c r="M1410" i="8"/>
  <c r="AN1410" i="8"/>
  <c r="M1414" i="8"/>
  <c r="AN1414" i="8"/>
  <c r="M1418" i="8"/>
  <c r="AN1418" i="8"/>
  <c r="M1422" i="8"/>
  <c r="AN1422" i="8"/>
  <c r="M1426" i="8"/>
  <c r="AN1426" i="8"/>
  <c r="M1433" i="8"/>
  <c r="AN1433" i="8"/>
  <c r="M1439" i="8"/>
  <c r="AN1439" i="8"/>
  <c r="M1447" i="8"/>
  <c r="AN1447" i="8"/>
  <c r="M1453" i="8"/>
  <c r="AN1453" i="8"/>
  <c r="M1458" i="8"/>
  <c r="AN1458" i="8"/>
  <c r="M1475" i="8"/>
  <c r="AN1475" i="8"/>
  <c r="M1491" i="8"/>
  <c r="AN1491" i="8"/>
  <c r="M1497" i="8"/>
  <c r="AN1497" i="8"/>
  <c r="M1504" i="8"/>
  <c r="AN1504" i="8"/>
  <c r="M1509" i="8"/>
  <c r="AN1509" i="8"/>
  <c r="M1514" i="8"/>
  <c r="AN1514" i="8"/>
  <c r="M1519" i="8"/>
  <c r="AN1519" i="8"/>
  <c r="M1526" i="8"/>
  <c r="AN1526" i="8"/>
  <c r="M1533" i="8"/>
  <c r="AN1533" i="8"/>
  <c r="M1543" i="8"/>
  <c r="AN1543" i="8"/>
  <c r="M1549" i="8"/>
  <c r="AN1549" i="8"/>
  <c r="M1556" i="8"/>
  <c r="AN1556" i="8"/>
  <c r="M1562" i="8"/>
  <c r="AN1562" i="8"/>
  <c r="M1567" i="8"/>
  <c r="AN1567" i="8"/>
  <c r="M1571" i="8"/>
  <c r="AN1571" i="8"/>
  <c r="M1580" i="8"/>
  <c r="AN1580" i="8"/>
  <c r="M1585" i="8"/>
  <c r="AN1585" i="8"/>
  <c r="M1592" i="8"/>
  <c r="AN1592" i="8"/>
  <c r="M1599" i="8"/>
  <c r="AN1599" i="8"/>
  <c r="M1604" i="8"/>
  <c r="AN1604" i="8"/>
  <c r="M1609" i="8"/>
  <c r="AN1609" i="8"/>
  <c r="M1615" i="8"/>
  <c r="AN1615" i="8"/>
  <c r="M1627" i="8"/>
  <c r="AN1627" i="8"/>
  <c r="M1633" i="8"/>
  <c r="AN1633" i="8"/>
  <c r="M1639" i="8"/>
  <c r="AN1639" i="8"/>
  <c r="M1657" i="8"/>
  <c r="AN1657" i="8"/>
  <c r="M1666" i="8"/>
  <c r="AN1666" i="8"/>
  <c r="M1680" i="8"/>
  <c r="AN1680" i="8"/>
  <c r="M1706" i="8"/>
  <c r="AN1706" i="8"/>
  <c r="M1774" i="8"/>
  <c r="AN1774" i="8"/>
  <c r="M1794" i="8"/>
  <c r="AN1794" i="8"/>
  <c r="M1834" i="8"/>
  <c r="AN1834" i="8"/>
  <c r="AN351" i="8"/>
  <c r="AN1465" i="8"/>
  <c r="AN1535" i="8"/>
  <c r="AN1832" i="8"/>
  <c r="AN1919" i="8"/>
  <c r="AN1727" i="8"/>
  <c r="AN1747" i="8"/>
  <c r="AN1009" i="8"/>
  <c r="AN1681" i="8"/>
  <c r="AN1767" i="8"/>
  <c r="AN1788" i="8"/>
  <c r="AN1879" i="8"/>
  <c r="AN921" i="8"/>
  <c r="AN1038" i="8"/>
  <c r="AN1271" i="8"/>
  <c r="AN1483" i="8"/>
  <c r="AN1565" i="8"/>
  <c r="AN1689" i="8"/>
  <c r="AN1810" i="8"/>
  <c r="AN933" i="8"/>
  <c r="AN1602" i="8"/>
  <c r="AN1802" i="8"/>
  <c r="AN1588" i="8"/>
  <c r="AN1650" i="8"/>
  <c r="AN945" i="8"/>
  <c r="AN1591" i="8"/>
  <c r="AN1819" i="8"/>
  <c r="AN1840" i="8"/>
  <c r="AN1860" i="8"/>
  <c r="AN1517" i="8"/>
  <c r="AN1589" i="8"/>
  <c r="AN1479" i="8"/>
  <c r="AN1553" i="8"/>
  <c r="AN1684" i="8"/>
  <c r="AN1771" i="8"/>
  <c r="AN1856" i="8"/>
  <c r="AN1020" i="8"/>
  <c r="AN1211" i="8"/>
  <c r="AN1613" i="8"/>
  <c r="AN1733" i="8"/>
  <c r="AN1751" i="8"/>
  <c r="AN1806" i="8"/>
  <c r="AN897" i="8"/>
  <c r="AN1701" i="8"/>
  <c r="AN1716" i="8"/>
  <c r="AN1814" i="8"/>
  <c r="AN1894" i="8"/>
  <c r="AN909" i="8"/>
  <c r="AN1577" i="8"/>
  <c r="AN1797" i="8"/>
  <c r="AN1029" i="8"/>
  <c r="AN1698" i="8"/>
  <c r="AN1848" i="8"/>
  <c r="AN1871" i="8"/>
  <c r="AN1366" i="8"/>
  <c r="AN1444" i="8"/>
  <c r="AN1661" i="8"/>
  <c r="AN1697" i="8"/>
  <c r="AN873" i="8"/>
  <c r="AN1756" i="8"/>
  <c r="AN1888" i="8"/>
  <c r="AN1914" i="8"/>
  <c r="AN646" i="8"/>
  <c r="AN1061" i="8"/>
  <c r="AN1601" i="8"/>
  <c r="AN1821" i="8"/>
  <c r="AN1907" i="8"/>
  <c r="AN885" i="8"/>
  <c r="AN1424" i="8"/>
  <c r="AN1865" i="8"/>
  <c r="AN1874" i="8"/>
  <c r="AN1891" i="8"/>
  <c r="AN1906" i="8"/>
  <c r="AN958" i="8"/>
  <c r="AN1529" i="8"/>
  <c r="AN1900" i="8"/>
  <c r="AN1036" i="8"/>
  <c r="AN1883" i="8"/>
  <c r="AA74" i="8"/>
  <c r="AA43" i="8"/>
  <c r="AA65" i="8"/>
  <c r="AA66" i="8"/>
  <c r="AA67" i="8"/>
  <c r="AA6" i="8"/>
  <c r="AA7" i="8"/>
  <c r="AA5" i="8"/>
  <c r="H396" i="11"/>
  <c r="F408" i="11"/>
  <c r="AG1804" i="8"/>
  <c r="AH1804" i="8" s="1"/>
  <c r="AD1804" i="8" s="1"/>
  <c r="AG1827" i="8"/>
  <c r="AH1827" i="8" s="1"/>
  <c r="AD1827" i="8" s="1"/>
  <c r="AG1806" i="8"/>
  <c r="AH1806" i="8" s="1"/>
  <c r="AD1806" i="8" s="1"/>
  <c r="AG1807" i="8"/>
  <c r="AH1807" i="8" s="1"/>
  <c r="AD1807" i="8" s="1"/>
  <c r="AG1805" i="8"/>
  <c r="AH1805" i="8" s="1"/>
  <c r="AD1805" i="8" s="1"/>
  <c r="AG1247" i="8"/>
  <c r="AH1247" i="8" s="1"/>
  <c r="AD1247" i="8" s="1"/>
  <c r="AG1249" i="8"/>
  <c r="AH1249" i="8" s="1"/>
  <c r="AD1249" i="8" s="1"/>
  <c r="AG1252" i="8"/>
  <c r="AH1252" i="8" s="1"/>
  <c r="AD1252" i="8" s="1"/>
  <c r="AG1248" i="8"/>
  <c r="AH1248" i="8" s="1"/>
  <c r="AD1248" i="8" s="1"/>
  <c r="AG1246" i="8"/>
  <c r="AH1246" i="8" s="1"/>
  <c r="AD1246" i="8" s="1"/>
  <c r="AG1251" i="8"/>
  <c r="AH1251" i="8" s="1"/>
  <c r="AD1251" i="8" s="1"/>
  <c r="AG1250" i="8"/>
  <c r="AH1250" i="8" s="1"/>
  <c r="AD1250" i="8" s="1"/>
  <c r="AG1260" i="8"/>
  <c r="AH1260" i="8" s="1"/>
  <c r="AD1260" i="8" s="1"/>
  <c r="AE1260" i="8" s="1"/>
  <c r="AF1260" i="8" s="1"/>
  <c r="AG1261" i="8"/>
  <c r="AH1261" i="8" s="1"/>
  <c r="AD1261" i="8" s="1"/>
  <c r="AE1261" i="8" s="1"/>
  <c r="AF1261" i="8" s="1"/>
  <c r="AG1264" i="8"/>
  <c r="AH1264" i="8" s="1"/>
  <c r="AD1264" i="8" s="1"/>
  <c r="AE1264" i="8" s="1"/>
  <c r="AF1264" i="8" s="1"/>
  <c r="AG1263" i="8"/>
  <c r="AH1263" i="8" s="1"/>
  <c r="AD1263" i="8" s="1"/>
  <c r="AE1263" i="8" s="1"/>
  <c r="AF1263" i="8" s="1"/>
  <c r="AG1258" i="8"/>
  <c r="AH1258" i="8" s="1"/>
  <c r="AD1258" i="8" s="1"/>
  <c r="AE1258" i="8" s="1"/>
  <c r="AF1258" i="8" s="1"/>
  <c r="AG1262" i="8"/>
  <c r="AH1262" i="8" s="1"/>
  <c r="AD1262" i="8" s="1"/>
  <c r="AE1262" i="8" s="1"/>
  <c r="AF1262" i="8" s="1"/>
  <c r="AG1265" i="8"/>
  <c r="AH1265" i="8" s="1"/>
  <c r="AD1265" i="8" s="1"/>
  <c r="AE1265" i="8" s="1"/>
  <c r="AF1265" i="8" s="1"/>
  <c r="AG1259" i="8"/>
  <c r="AH1259" i="8" s="1"/>
  <c r="AD1259" i="8" s="1"/>
  <c r="AE1259" i="8" s="1"/>
  <c r="AF1259" i="8" s="1"/>
  <c r="AG1326" i="8"/>
  <c r="AH1326" i="8" s="1"/>
  <c r="AD1326" i="8" s="1"/>
  <c r="AE1326" i="8" s="1"/>
  <c r="AF1326" i="8" s="1"/>
  <c r="AG1327" i="8"/>
  <c r="AH1327" i="8" s="1"/>
  <c r="AD1327" i="8" s="1"/>
  <c r="AE1327" i="8" s="1"/>
  <c r="AF1327" i="8" s="1"/>
  <c r="AG1330" i="8"/>
  <c r="AH1330" i="8" s="1"/>
  <c r="AD1330" i="8" s="1"/>
  <c r="AE1330" i="8" s="1"/>
  <c r="AF1330" i="8" s="1"/>
  <c r="AG1324" i="8"/>
  <c r="AH1324" i="8" s="1"/>
  <c r="AD1324" i="8" s="1"/>
  <c r="AE1324" i="8" s="1"/>
  <c r="AF1324" i="8" s="1"/>
  <c r="AG1329" i="8"/>
  <c r="AH1329" i="8" s="1"/>
  <c r="AD1329" i="8" s="1"/>
  <c r="AE1329" i="8" s="1"/>
  <c r="AF1329" i="8" s="1"/>
  <c r="AG1328" i="8"/>
  <c r="AH1328" i="8" s="1"/>
  <c r="AD1328" i="8" s="1"/>
  <c r="AE1328" i="8" s="1"/>
  <c r="AF1328" i="8" s="1"/>
  <c r="AG1325" i="8"/>
  <c r="AH1325" i="8" s="1"/>
  <c r="AD1325" i="8" s="1"/>
  <c r="AE1325" i="8" s="1"/>
  <c r="AF1325" i="8" s="1"/>
  <c r="AG1242" i="8"/>
  <c r="AH1242" i="8" s="1"/>
  <c r="AD1242" i="8" s="1"/>
  <c r="AE1242" i="8" s="1"/>
  <c r="AF1242" i="8" s="1"/>
  <c r="AG1243" i="8"/>
  <c r="AH1243" i="8" s="1"/>
  <c r="AD1243" i="8" s="1"/>
  <c r="AE1243" i="8" s="1"/>
  <c r="AF1243" i="8" s="1"/>
  <c r="AG1241" i="8"/>
  <c r="AH1241" i="8" s="1"/>
  <c r="AD1241" i="8" s="1"/>
  <c r="AE1241" i="8" s="1"/>
  <c r="AF1241" i="8" s="1"/>
  <c r="AG1240" i="8"/>
  <c r="AH1240" i="8" s="1"/>
  <c r="AD1240" i="8" s="1"/>
  <c r="AE1240" i="8" s="1"/>
  <c r="AF1240" i="8" s="1"/>
  <c r="AG1245" i="8"/>
  <c r="AH1245" i="8" s="1"/>
  <c r="AD1245" i="8" s="1"/>
  <c r="AE1245" i="8" s="1"/>
  <c r="AF1245" i="8" s="1"/>
  <c r="AG1239" i="8"/>
  <c r="AH1239" i="8" s="1"/>
  <c r="AD1239" i="8" s="1"/>
  <c r="AE1239" i="8" s="1"/>
  <c r="AF1239" i="8" s="1"/>
  <c r="AG1244" i="8"/>
  <c r="AH1244" i="8" s="1"/>
  <c r="AD1244" i="8" s="1"/>
  <c r="AE1244" i="8" s="1"/>
  <c r="AF1244" i="8" s="1"/>
  <c r="AG1499" i="8"/>
  <c r="AH1499" i="8" s="1"/>
  <c r="AD1499" i="8" s="1"/>
  <c r="AG43" i="8"/>
  <c r="AH43" i="8" s="1"/>
  <c r="AD43" i="8" s="1"/>
  <c r="AG173" i="8"/>
  <c r="AH173" i="8" s="1"/>
  <c r="AD173" i="8" s="1"/>
  <c r="AG614" i="8"/>
  <c r="AH614" i="8" s="1"/>
  <c r="AD614" i="8" s="1"/>
  <c r="AE614" i="8" s="1"/>
  <c r="AF614" i="8" s="1"/>
  <c r="AG45" i="8"/>
  <c r="AH45" i="8" s="1"/>
  <c r="AD45" i="8" s="1"/>
  <c r="AG46" i="8"/>
  <c r="AH46" i="8" s="1"/>
  <c r="AD46" i="8" s="1"/>
  <c r="AG44" i="8"/>
  <c r="AH44" i="8" s="1"/>
  <c r="AD44" i="8" s="1"/>
  <c r="AG1134" i="8"/>
  <c r="AH1134" i="8" s="1"/>
  <c r="AD1134" i="8" s="1"/>
  <c r="AG615" i="8"/>
  <c r="AH615" i="8" s="1"/>
  <c r="AD615" i="8" s="1"/>
  <c r="AG1129" i="8"/>
  <c r="AH1129" i="8" s="1"/>
  <c r="AD1129" i="8" s="1"/>
  <c r="AG1132" i="8"/>
  <c r="AH1132" i="8" s="1"/>
  <c r="AD1132" i="8" s="1"/>
  <c r="AG1131" i="8"/>
  <c r="AH1131" i="8" s="1"/>
  <c r="AD1131" i="8" s="1"/>
  <c r="AG1130" i="8"/>
  <c r="AH1130" i="8" s="1"/>
  <c r="AD1130" i="8" s="1"/>
  <c r="AG1133" i="8"/>
  <c r="AH1133" i="8" s="1"/>
  <c r="AD1133" i="8" s="1"/>
  <c r="AG1152" i="8"/>
  <c r="AH1152" i="8" s="1"/>
  <c r="AD1152" i="8" s="1"/>
  <c r="AE1152" i="8" s="1"/>
  <c r="AF1152" i="8" s="1"/>
  <c r="AG1154" i="8"/>
  <c r="AH1154" i="8" s="1"/>
  <c r="AD1154" i="8" s="1"/>
  <c r="AE1154" i="8" s="1"/>
  <c r="AF1154" i="8" s="1"/>
  <c r="AG1156" i="8"/>
  <c r="AH1156" i="8" s="1"/>
  <c r="AD1156" i="8" s="1"/>
  <c r="AE1156" i="8" s="1"/>
  <c r="AF1156" i="8" s="1"/>
  <c r="AG1153" i="8"/>
  <c r="AH1153" i="8" s="1"/>
  <c r="AD1153" i="8" s="1"/>
  <c r="AE1153" i="8" s="1"/>
  <c r="AF1153" i="8" s="1"/>
  <c r="AG1155" i="8"/>
  <c r="AH1155" i="8" s="1"/>
  <c r="AD1155" i="8" s="1"/>
  <c r="AE1155" i="8" s="1"/>
  <c r="AF1155" i="8" s="1"/>
  <c r="AG1151" i="8"/>
  <c r="AH1151" i="8" s="1"/>
  <c r="AD1151" i="8" s="1"/>
  <c r="AE1151" i="8" s="1"/>
  <c r="AF1151" i="8" s="1"/>
  <c r="AG624" i="8"/>
  <c r="AH624" i="8" s="1"/>
  <c r="AD624" i="8" s="1"/>
  <c r="AE624" i="8" s="1"/>
  <c r="AF624" i="8" s="1"/>
  <c r="AG1346" i="8"/>
  <c r="AH1346" i="8" s="1"/>
  <c r="AD1346" i="8" s="1"/>
  <c r="AG1347" i="8"/>
  <c r="AH1347" i="8" s="1"/>
  <c r="AD1347" i="8" s="1"/>
  <c r="AG778" i="8"/>
  <c r="AH778" i="8" s="1"/>
  <c r="AD778" i="8" s="1"/>
  <c r="AG780" i="8"/>
  <c r="AH780" i="8" s="1"/>
  <c r="AD780" i="8" s="1"/>
  <c r="AG779" i="8"/>
  <c r="AH779" i="8" s="1"/>
  <c r="AD779" i="8" s="1"/>
  <c r="AG443" i="8"/>
  <c r="AH443" i="8" s="1"/>
  <c r="AD443" i="8" s="1"/>
  <c r="AG1109" i="8"/>
  <c r="AH1109" i="8" s="1"/>
  <c r="AD1109" i="8" s="1"/>
  <c r="AG1706" i="8"/>
  <c r="AH1706" i="8" s="1"/>
  <c r="AD1706" i="8" s="1"/>
  <c r="AG442" i="8"/>
  <c r="AH442" i="8" s="1"/>
  <c r="AD442" i="8" s="1"/>
  <c r="AG1705" i="8"/>
  <c r="AH1705" i="8" s="1"/>
  <c r="AD1705" i="8" s="1"/>
  <c r="AG1707" i="8"/>
  <c r="AH1707" i="8" s="1"/>
  <c r="AD1707" i="8" s="1"/>
  <c r="AG1108" i="8"/>
  <c r="AH1108" i="8" s="1"/>
  <c r="AD1108" i="8" s="1"/>
  <c r="AG1110" i="8"/>
  <c r="AH1110" i="8" s="1"/>
  <c r="AD1110" i="8" s="1"/>
  <c r="AG1708" i="8"/>
  <c r="AH1708" i="8" s="1"/>
  <c r="AD1708" i="8" s="1"/>
  <c r="AG441" i="8"/>
  <c r="AH441" i="8" s="1"/>
  <c r="AD441" i="8" s="1"/>
  <c r="AG533" i="8"/>
  <c r="AH533" i="8" s="1"/>
  <c r="AD533" i="8" s="1"/>
  <c r="AG532" i="8"/>
  <c r="AH532" i="8" s="1"/>
  <c r="AD532" i="8" s="1"/>
  <c r="AG198" i="8"/>
  <c r="AH198" i="8" s="1"/>
  <c r="AD198" i="8" s="1"/>
  <c r="AG1745" i="8"/>
  <c r="AH1745" i="8" s="1"/>
  <c r="AD1745" i="8" s="1"/>
  <c r="AG1119" i="8"/>
  <c r="AH1119" i="8" s="1"/>
  <c r="AD1119" i="8" s="1"/>
  <c r="AG199" i="8"/>
  <c r="AH199" i="8" s="1"/>
  <c r="AD199" i="8" s="1"/>
  <c r="AG1118" i="8"/>
  <c r="AH1118" i="8" s="1"/>
  <c r="AD1118" i="8" s="1"/>
  <c r="AG197" i="8"/>
  <c r="AH197" i="8" s="1"/>
  <c r="AD197" i="8" s="1"/>
  <c r="AG1746" i="8"/>
  <c r="AH1746" i="8" s="1"/>
  <c r="AD1746" i="8" s="1"/>
  <c r="AG1747" i="8"/>
  <c r="AH1747" i="8" s="1"/>
  <c r="AD1747" i="8" s="1"/>
  <c r="AG1748" i="8"/>
  <c r="AH1748" i="8" s="1"/>
  <c r="AD1748" i="8" s="1"/>
  <c r="AG1476" i="8"/>
  <c r="AH1476" i="8" s="1"/>
  <c r="AD1476" i="8" s="1"/>
  <c r="AG107" i="8"/>
  <c r="AH107" i="8" s="1"/>
  <c r="AD107" i="8" s="1"/>
  <c r="AG1477" i="8"/>
  <c r="AH1477" i="8" s="1"/>
  <c r="AD1477" i="8" s="1"/>
  <c r="AG108" i="8"/>
  <c r="AH108" i="8" s="1"/>
  <c r="AD108" i="8" s="1"/>
  <c r="AG715" i="8"/>
  <c r="AH715" i="8" s="1"/>
  <c r="AD715" i="8" s="1"/>
  <c r="AG714" i="8"/>
  <c r="AH714" i="8" s="1"/>
  <c r="AD714" i="8" s="1"/>
  <c r="AG1015" i="8"/>
  <c r="AH1015" i="8" s="1"/>
  <c r="AD1015" i="8" s="1"/>
  <c r="AG204" i="8"/>
  <c r="AH204" i="8" s="1"/>
  <c r="AD204" i="8" s="1"/>
  <c r="AG1016" i="8"/>
  <c r="AH1016" i="8" s="1"/>
  <c r="AD1016" i="8" s="1"/>
  <c r="AG205" i="8"/>
  <c r="AH205" i="8" s="1"/>
  <c r="AD205" i="8" s="1"/>
  <c r="AG203" i="8"/>
  <c r="AH203" i="8" s="1"/>
  <c r="AD203" i="8" s="1"/>
  <c r="AG115" i="8"/>
  <c r="AH115" i="8" s="1"/>
  <c r="AD115" i="8" s="1"/>
  <c r="AG116" i="8"/>
  <c r="AH116" i="8" s="1"/>
  <c r="AD116" i="8" s="1"/>
  <c r="AG114" i="8"/>
  <c r="AH114" i="8" s="1"/>
  <c r="AD114" i="8" s="1"/>
  <c r="AG1105" i="8"/>
  <c r="AH1105" i="8" s="1"/>
  <c r="AD1105" i="8" s="1"/>
  <c r="AG1104" i="8"/>
  <c r="AH1104" i="8" s="1"/>
  <c r="AD1104" i="8" s="1"/>
  <c r="AG539" i="8"/>
  <c r="AH539" i="8" s="1"/>
  <c r="AD539" i="8" s="1"/>
  <c r="AG1611" i="8"/>
  <c r="AH1611" i="8" s="1"/>
  <c r="AD1611" i="8" s="1"/>
  <c r="AG1106" i="8"/>
  <c r="AH1106" i="8" s="1"/>
  <c r="AD1106" i="8" s="1"/>
  <c r="AG1107" i="8"/>
  <c r="AH1107" i="8" s="1"/>
  <c r="AD1107" i="8" s="1"/>
  <c r="AG1049" i="8"/>
  <c r="AH1049" i="8" s="1"/>
  <c r="AD1049" i="8" s="1"/>
  <c r="AG1047" i="8"/>
  <c r="AH1047" i="8" s="1"/>
  <c r="AD1047" i="8" s="1"/>
  <c r="AG1046" i="8"/>
  <c r="AH1046" i="8" s="1"/>
  <c r="AD1046" i="8" s="1"/>
  <c r="AG1048" i="8"/>
  <c r="AH1048" i="8" s="1"/>
  <c r="AD1048" i="8" s="1"/>
  <c r="AG1194" i="8"/>
  <c r="AH1194" i="8" s="1"/>
  <c r="AD1194" i="8" s="1"/>
  <c r="AG1195" i="8"/>
  <c r="AH1195" i="8" s="1"/>
  <c r="AD1195" i="8" s="1"/>
  <c r="AG1286" i="8"/>
  <c r="AH1286" i="8" s="1"/>
  <c r="AD1286" i="8" s="1"/>
  <c r="AG1290" i="8"/>
  <c r="AH1290" i="8" s="1"/>
  <c r="AD1290" i="8" s="1"/>
  <c r="AG1289" i="8"/>
  <c r="AH1289" i="8" s="1"/>
  <c r="AD1289" i="8" s="1"/>
  <c r="AG1284" i="8"/>
  <c r="AH1284" i="8" s="1"/>
  <c r="AD1284" i="8" s="1"/>
  <c r="AG1288" i="8"/>
  <c r="AH1288" i="8" s="1"/>
  <c r="AD1288" i="8" s="1"/>
  <c r="AG1285" i="8"/>
  <c r="AH1285" i="8" s="1"/>
  <c r="AD1285" i="8" s="1"/>
  <c r="AG1287" i="8"/>
  <c r="AH1287" i="8" s="1"/>
  <c r="AD1287" i="8" s="1"/>
  <c r="AG1125" i="8"/>
  <c r="AH1125" i="8" s="1"/>
  <c r="AD1125" i="8" s="1"/>
  <c r="AG1127" i="8"/>
  <c r="AH1127" i="8" s="1"/>
  <c r="AD1127" i="8" s="1"/>
  <c r="AG1128" i="8"/>
  <c r="AH1128" i="8" s="1"/>
  <c r="AD1128" i="8" s="1"/>
  <c r="AG1126" i="8"/>
  <c r="AH1126" i="8" s="1"/>
  <c r="AD1126" i="8" s="1"/>
  <c r="AG1291" i="8"/>
  <c r="AH1291" i="8" s="1"/>
  <c r="AD1291" i="8" s="1"/>
  <c r="AG1294" i="8"/>
  <c r="AH1294" i="8" s="1"/>
  <c r="AD1294" i="8" s="1"/>
  <c r="AG1293" i="8"/>
  <c r="AH1293" i="8" s="1"/>
  <c r="AD1293" i="8" s="1"/>
  <c r="AG1292" i="8"/>
  <c r="AH1292" i="8" s="1"/>
  <c r="AD1292" i="8" s="1"/>
  <c r="AG1295" i="8"/>
  <c r="AH1295" i="8" s="1"/>
  <c r="AD1295" i="8" s="1"/>
  <c r="AG1145" i="8"/>
  <c r="AH1145" i="8" s="1"/>
  <c r="AD1145" i="8" s="1"/>
  <c r="AG1146" i="8"/>
  <c r="AH1146" i="8" s="1"/>
  <c r="AD1146" i="8" s="1"/>
  <c r="AG1144" i="8"/>
  <c r="AH1144" i="8" s="1"/>
  <c r="AD1144" i="8" s="1"/>
  <c r="AG1165" i="8"/>
  <c r="AH1165" i="8" s="1"/>
  <c r="AD1165" i="8" s="1"/>
  <c r="AG1164" i="8"/>
  <c r="AH1164" i="8" s="1"/>
  <c r="AD1164" i="8" s="1"/>
  <c r="AG1167" i="8"/>
  <c r="AH1167" i="8" s="1"/>
  <c r="AD1167" i="8" s="1"/>
  <c r="AG1166" i="8"/>
  <c r="AH1166" i="8" s="1"/>
  <c r="AD1166" i="8" s="1"/>
  <c r="AG1178" i="8"/>
  <c r="AH1178" i="8" s="1"/>
  <c r="AD1178" i="8" s="1"/>
  <c r="AG1176" i="8"/>
  <c r="AH1176" i="8" s="1"/>
  <c r="AD1176" i="8" s="1"/>
  <c r="AG1177" i="8"/>
  <c r="AH1177" i="8" s="1"/>
  <c r="AD1177" i="8" s="1"/>
  <c r="AG1179" i="8"/>
  <c r="AH1179" i="8" s="1"/>
  <c r="AD1179" i="8" s="1"/>
  <c r="AG1238" i="8"/>
  <c r="AH1238" i="8" s="1"/>
  <c r="AD1238" i="8" s="1"/>
  <c r="AG1236" i="8"/>
  <c r="AH1236" i="8" s="1"/>
  <c r="AD1236" i="8" s="1"/>
  <c r="AG1237" i="8"/>
  <c r="AH1237" i="8" s="1"/>
  <c r="AD1237" i="8" s="1"/>
  <c r="AG1334" i="8"/>
  <c r="AH1334" i="8" s="1"/>
  <c r="AD1334" i="8" s="1"/>
  <c r="AG1336" i="8"/>
  <c r="AH1336" i="8" s="1"/>
  <c r="AD1336" i="8" s="1"/>
  <c r="AG1337" i="8"/>
  <c r="AH1337" i="8" s="1"/>
  <c r="AD1337" i="8" s="1"/>
  <c r="AG1335" i="8"/>
  <c r="AH1335" i="8" s="1"/>
  <c r="AD1335" i="8" s="1"/>
  <c r="AG1161" i="8"/>
  <c r="AH1161" i="8" s="1"/>
  <c r="AD1161" i="8" s="1"/>
  <c r="AG1162" i="8"/>
  <c r="AH1162" i="8" s="1"/>
  <c r="AD1162" i="8" s="1"/>
  <c r="AG1163" i="8"/>
  <c r="AH1163" i="8" s="1"/>
  <c r="AD1163" i="8" s="1"/>
  <c r="AG1229" i="8"/>
  <c r="AH1229" i="8" s="1"/>
  <c r="AD1229" i="8" s="1"/>
  <c r="AG1230" i="8"/>
  <c r="AH1230" i="8" s="1"/>
  <c r="AD1230" i="8" s="1"/>
  <c r="AG1227" i="8"/>
  <c r="AH1227" i="8" s="1"/>
  <c r="AD1227" i="8" s="1"/>
  <c r="AG1231" i="8"/>
  <c r="AH1231" i="8" s="1"/>
  <c r="AD1231" i="8" s="1"/>
  <c r="AG1228" i="8"/>
  <c r="AH1228" i="8" s="1"/>
  <c r="AD1228" i="8" s="1"/>
  <c r="AG1184" i="8"/>
  <c r="AH1184" i="8" s="1"/>
  <c r="AD1184" i="8" s="1"/>
  <c r="AG1186" i="8"/>
  <c r="AH1186" i="8" s="1"/>
  <c r="AD1186" i="8" s="1"/>
  <c r="AG1185" i="8"/>
  <c r="AH1185" i="8" s="1"/>
  <c r="AD1185" i="8" s="1"/>
  <c r="AG1187" i="8"/>
  <c r="AH1187" i="8" s="1"/>
  <c r="AD1187" i="8" s="1"/>
  <c r="AG1173" i="8"/>
  <c r="AH1173" i="8" s="1"/>
  <c r="AD1173" i="8" s="1"/>
  <c r="AG1174" i="8"/>
  <c r="AH1174" i="8" s="1"/>
  <c r="AD1174" i="8" s="1"/>
  <c r="AG1175" i="8"/>
  <c r="AH1175" i="8" s="1"/>
  <c r="AD1175" i="8" s="1"/>
  <c r="AG1202" i="8"/>
  <c r="AH1202" i="8" s="1"/>
  <c r="AD1202" i="8" s="1"/>
  <c r="AG1200" i="8"/>
  <c r="AH1200" i="8" s="1"/>
  <c r="AD1200" i="8" s="1"/>
  <c r="AG1201" i="8"/>
  <c r="AH1201" i="8" s="1"/>
  <c r="AD1201" i="8" s="1"/>
  <c r="AG1203" i="8"/>
  <c r="AH1203" i="8" s="1"/>
  <c r="AD1203" i="8" s="1"/>
  <c r="AG1057" i="8"/>
  <c r="AH1057" i="8" s="1"/>
  <c r="AD1057" i="8" s="1"/>
  <c r="AG1056" i="8"/>
  <c r="AH1056" i="8" s="1"/>
  <c r="AD1056" i="8" s="1"/>
  <c r="AG1055" i="8"/>
  <c r="AH1055" i="8" s="1"/>
  <c r="AD1055" i="8" s="1"/>
  <c r="AG1054" i="8"/>
  <c r="AH1054" i="8" s="1"/>
  <c r="AD1054" i="8" s="1"/>
  <c r="AG1316" i="8"/>
  <c r="AH1316" i="8" s="1"/>
  <c r="AD1316" i="8" s="1"/>
  <c r="AG1319" i="8"/>
  <c r="AH1319" i="8" s="1"/>
  <c r="AD1319" i="8" s="1"/>
  <c r="AG1318" i="8"/>
  <c r="AH1318" i="8" s="1"/>
  <c r="AD1318" i="8" s="1"/>
  <c r="AG1317" i="8"/>
  <c r="AH1317" i="8" s="1"/>
  <c r="AD1317" i="8" s="1"/>
  <c r="AG313" i="8"/>
  <c r="AH313" i="8" s="1"/>
  <c r="AD313" i="8" s="1"/>
  <c r="AG1121" i="8"/>
  <c r="AH1121" i="8" s="1"/>
  <c r="AD1121" i="8" s="1"/>
  <c r="AG1120" i="8"/>
  <c r="AH1120" i="8" s="1"/>
  <c r="AD1120" i="8" s="1"/>
  <c r="AG1124" i="8"/>
  <c r="AH1124" i="8" s="1"/>
  <c r="AD1124" i="8" s="1"/>
  <c r="AG1122" i="8"/>
  <c r="AH1122" i="8" s="1"/>
  <c r="AD1122" i="8" s="1"/>
  <c r="AG1123" i="8"/>
  <c r="AH1123" i="8" s="1"/>
  <c r="AD1123" i="8" s="1"/>
  <c r="AG1266" i="8"/>
  <c r="AH1266" i="8" s="1"/>
  <c r="AD1266" i="8" s="1"/>
  <c r="AG1267" i="8"/>
  <c r="AH1267" i="8" s="1"/>
  <c r="AD1267" i="8" s="1"/>
  <c r="AG1268" i="8"/>
  <c r="AH1268" i="8" s="1"/>
  <c r="AD1268" i="8" s="1"/>
  <c r="AG1087" i="8"/>
  <c r="AH1087" i="8" s="1"/>
  <c r="AD1087" i="8" s="1"/>
  <c r="AG1089" i="8"/>
  <c r="AH1089" i="8" s="1"/>
  <c r="AD1089" i="8" s="1"/>
  <c r="AG1086" i="8"/>
  <c r="AH1086" i="8" s="1"/>
  <c r="AD1086" i="8" s="1"/>
  <c r="AG1088" i="8"/>
  <c r="AH1088" i="8" s="1"/>
  <c r="AD1088" i="8" s="1"/>
  <c r="AG1051" i="8"/>
  <c r="AH1051" i="8" s="1"/>
  <c r="AD1051" i="8" s="1"/>
  <c r="AG1050" i="8"/>
  <c r="AH1050" i="8" s="1"/>
  <c r="AD1050" i="8" s="1"/>
  <c r="AG1052" i="8"/>
  <c r="AH1052" i="8" s="1"/>
  <c r="AD1052" i="8" s="1"/>
  <c r="AG1053" i="8"/>
  <c r="AH1053" i="8" s="1"/>
  <c r="AD1053" i="8" s="1"/>
  <c r="AG1169" i="8"/>
  <c r="AH1169" i="8" s="1"/>
  <c r="AD1169" i="8" s="1"/>
  <c r="AG1168" i="8"/>
  <c r="AH1168" i="8" s="1"/>
  <c r="AD1168" i="8" s="1"/>
  <c r="AG572" i="8"/>
  <c r="AH572" i="8" s="1"/>
  <c r="AD572" i="8" s="1"/>
  <c r="AG1095" i="8"/>
  <c r="AH1095" i="8" s="1"/>
  <c r="AD1095" i="8" s="1"/>
  <c r="AG1273" i="8"/>
  <c r="AH1273" i="8" s="1"/>
  <c r="AD1273" i="8" s="1"/>
  <c r="AG1274" i="8"/>
  <c r="AH1274" i="8" s="1"/>
  <c r="AD1274" i="8" s="1"/>
  <c r="AG1277" i="8"/>
  <c r="AH1277" i="8" s="1"/>
  <c r="AD1277" i="8" s="1"/>
  <c r="AG1275" i="8"/>
  <c r="AH1275" i="8" s="1"/>
  <c r="AD1275" i="8" s="1"/>
  <c r="AG1276" i="8"/>
  <c r="AH1276" i="8" s="1"/>
  <c r="AD1276" i="8" s="1"/>
  <c r="AG1278" i="8"/>
  <c r="AH1278" i="8" s="1"/>
  <c r="AD1278" i="8" s="1"/>
  <c r="AG1279" i="8"/>
  <c r="AH1279" i="8" s="1"/>
  <c r="AD1279" i="8" s="1"/>
  <c r="AG1280" i="8"/>
  <c r="AH1280" i="8" s="1"/>
  <c r="AD1280" i="8" s="1"/>
  <c r="AG1140" i="8"/>
  <c r="AH1140" i="8" s="1"/>
  <c r="AD1140" i="8" s="1"/>
  <c r="AG1139" i="8"/>
  <c r="AH1139" i="8" s="1"/>
  <c r="AD1139" i="8" s="1"/>
  <c r="AG1191" i="8"/>
  <c r="AH1191" i="8" s="1"/>
  <c r="AD1191" i="8" s="1"/>
  <c r="AG1192" i="8"/>
  <c r="AH1192" i="8" s="1"/>
  <c r="AD1192" i="8" s="1"/>
  <c r="AG1193" i="8"/>
  <c r="AH1193" i="8" s="1"/>
  <c r="AD1193" i="8" s="1"/>
  <c r="AG1190" i="8"/>
  <c r="AH1190" i="8" s="1"/>
  <c r="AD1190" i="8" s="1"/>
  <c r="AG1841" i="8"/>
  <c r="AH1841" i="8" s="1"/>
  <c r="AD1841" i="8" s="1"/>
  <c r="AG1839" i="8"/>
  <c r="AH1839" i="8" s="1"/>
  <c r="AD1839" i="8" s="1"/>
  <c r="AG1840" i="8"/>
  <c r="AH1840" i="8" s="1"/>
  <c r="AD1840" i="8" s="1"/>
  <c r="AG1197" i="8"/>
  <c r="AH1197" i="8" s="1"/>
  <c r="AD1197" i="8" s="1"/>
  <c r="AG1838" i="8"/>
  <c r="AH1838" i="8" s="1"/>
  <c r="AD1838" i="8" s="1"/>
  <c r="AG1196" i="8"/>
  <c r="AH1196" i="8" s="1"/>
  <c r="AD1196" i="8" s="1"/>
  <c r="AG492" i="8"/>
  <c r="AH492" i="8" s="1"/>
  <c r="AD492" i="8" s="1"/>
  <c r="AG491" i="8"/>
  <c r="AH491" i="8" s="1"/>
  <c r="AD491" i="8" s="1"/>
  <c r="AG493" i="8"/>
  <c r="AH493" i="8" s="1"/>
  <c r="AD493" i="8" s="1"/>
  <c r="AG490" i="8"/>
  <c r="AH490" i="8" s="1"/>
  <c r="AD490" i="8" s="1"/>
  <c r="AG1198" i="8"/>
  <c r="AH1198" i="8" s="1"/>
  <c r="AD1198" i="8" s="1"/>
  <c r="AC1884" i="8"/>
  <c r="AC1882" i="8"/>
  <c r="AC1885" i="8"/>
  <c r="AC1883" i="8"/>
  <c r="AC1881" i="8"/>
  <c r="AC1754" i="8"/>
  <c r="AC1753" i="8"/>
  <c r="AC1755" i="8"/>
  <c r="AC1758" i="8"/>
  <c r="AC1757" i="8"/>
  <c r="AC1756" i="8"/>
  <c r="AC1763" i="8"/>
  <c r="AC1809" i="8"/>
  <c r="AC1811" i="8"/>
  <c r="AC1808" i="8"/>
  <c r="AC1812" i="8"/>
  <c r="AC1810" i="8"/>
  <c r="AC1654" i="8"/>
  <c r="AC1655" i="8"/>
  <c r="AC1653" i="8"/>
  <c r="AC1823" i="8"/>
  <c r="AC1824" i="8"/>
  <c r="AC1826" i="8"/>
  <c r="AC1825" i="8"/>
  <c r="AC1403" i="8"/>
  <c r="AC1405" i="8"/>
  <c r="AC1407" i="8"/>
  <c r="AC1408" i="8"/>
  <c r="AC1406" i="8"/>
  <c r="AC1404" i="8"/>
  <c r="AC1639" i="8"/>
  <c r="AC1638" i="8"/>
  <c r="AC1636" i="8"/>
  <c r="AC1637" i="8"/>
  <c r="AC1633" i="8"/>
  <c r="AC1632" i="8"/>
  <c r="AC1346" i="8"/>
  <c r="AC1347" i="8"/>
  <c r="AC1477" i="8"/>
  <c r="AC1476" i="8"/>
  <c r="AC1611" i="8"/>
  <c r="AC1471" i="8"/>
  <c r="AC1472" i="8"/>
  <c r="AC1475" i="8"/>
  <c r="AC1474" i="8"/>
  <c r="AC1473" i="8"/>
  <c r="AC1366" i="8"/>
  <c r="AC1368" i="8"/>
  <c r="AC1367" i="8"/>
  <c r="AC1362" i="8"/>
  <c r="AC1363" i="8"/>
  <c r="AC1364" i="8"/>
  <c r="AC1365" i="8"/>
  <c r="AC1635" i="8"/>
  <c r="AC1634" i="8"/>
  <c r="AC1387" i="8"/>
  <c r="AC1384" i="8"/>
  <c r="AC1386" i="8"/>
  <c r="AC1357" i="8"/>
  <c r="AC1356" i="8"/>
  <c r="AC1452" i="8"/>
  <c r="AC1453" i="8"/>
  <c r="AC1451" i="8"/>
  <c r="AC1500" i="8"/>
  <c r="AC1502" i="8"/>
  <c r="AC1501" i="8"/>
  <c r="AC1508" i="8"/>
  <c r="AC1507" i="8"/>
  <c r="AC1506" i="8"/>
  <c r="AC1629" i="8"/>
  <c r="AC1630" i="8"/>
  <c r="AC1631" i="8"/>
  <c r="AC1492" i="8"/>
  <c r="AC1493" i="8"/>
  <c r="AC1494" i="8"/>
  <c r="AC1415" i="8"/>
  <c r="AC1413" i="8"/>
  <c r="AC1414" i="8"/>
  <c r="AC1416" i="8"/>
  <c r="AC1379" i="8"/>
  <c r="AC1381" i="8"/>
  <c r="AC1378" i="8"/>
  <c r="AC1380" i="8"/>
  <c r="AC1624" i="8"/>
  <c r="AC1622" i="8"/>
  <c r="AC1621" i="8"/>
  <c r="AC1625" i="8"/>
  <c r="AC1623" i="8"/>
  <c r="AC1645" i="8"/>
  <c r="AC1644" i="8"/>
  <c r="AC1647" i="8"/>
  <c r="AC1646" i="8"/>
  <c r="AC1482" i="8"/>
  <c r="AC1483" i="8"/>
  <c r="AC1485" i="8"/>
  <c r="AC1484" i="8"/>
  <c r="AC1491" i="8"/>
  <c r="AC1490" i="8"/>
  <c r="AC1488" i="8"/>
  <c r="AC1489" i="8"/>
  <c r="AC1481" i="8"/>
  <c r="AC1480" i="8"/>
  <c r="AC1479" i="8"/>
  <c r="AC1478" i="8"/>
  <c r="AC1460" i="8"/>
  <c r="AC1459" i="8"/>
  <c r="AC1462" i="8"/>
  <c r="AC1461" i="8"/>
  <c r="AC1458" i="8"/>
  <c r="AC1355" i="8"/>
  <c r="AC1354" i="8"/>
  <c r="AC1353" i="8"/>
  <c r="AC1434" i="8"/>
  <c r="AC1433" i="8"/>
  <c r="AC1432" i="8"/>
  <c r="AC1436" i="8"/>
  <c r="AC1435" i="8"/>
  <c r="AC1341" i="8"/>
  <c r="AC1340" i="8"/>
  <c r="AC1339" i="8"/>
  <c r="AC1427" i="8"/>
  <c r="AC1428" i="8"/>
  <c r="AC1429" i="8"/>
  <c r="AC1430" i="8"/>
  <c r="AC1431" i="8"/>
  <c r="AC1410" i="8"/>
  <c r="AC1409" i="8"/>
  <c r="AC1401" i="8"/>
  <c r="AC1412" i="8"/>
  <c r="AC1411" i="8"/>
  <c r="AC1371" i="8"/>
  <c r="AC1370" i="8"/>
  <c r="AC1377" i="8"/>
  <c r="AC1643" i="8"/>
  <c r="AC1642" i="8"/>
  <c r="AC1487" i="8"/>
  <c r="AC1486" i="8"/>
  <c r="AC1449" i="8"/>
  <c r="AC1450" i="8"/>
  <c r="AC1447" i="8"/>
  <c r="AC1448" i="8"/>
  <c r="AC1466" i="8"/>
  <c r="AC1465" i="8"/>
  <c r="AC1464" i="8"/>
  <c r="AC1468" i="8"/>
  <c r="AC1463" i="8"/>
  <c r="AC1467" i="8"/>
  <c r="AC1496" i="8"/>
  <c r="AC1497" i="8"/>
  <c r="AC1495" i="8"/>
  <c r="AC734" i="8"/>
  <c r="AC736" i="8"/>
  <c r="AC732" i="8"/>
  <c r="AC731" i="8"/>
  <c r="AC735" i="8"/>
  <c r="AC733" i="8"/>
  <c r="AC728" i="8"/>
  <c r="AC727" i="8"/>
  <c r="AC730" i="8"/>
  <c r="AC729" i="8"/>
  <c r="AC981" i="8"/>
  <c r="AC982" i="8"/>
  <c r="AC1385" i="8"/>
  <c r="AC1691" i="8"/>
  <c r="AC1690" i="8"/>
  <c r="AC1688" i="8"/>
  <c r="AC1687" i="8"/>
  <c r="AC1689" i="8"/>
  <c r="AC1664" i="8"/>
  <c r="AC1679" i="8"/>
  <c r="AC1681" i="8"/>
  <c r="AC1682" i="8"/>
  <c r="AC1680" i="8"/>
  <c r="AC1692" i="8"/>
  <c r="AC1677" i="8"/>
  <c r="AC1676" i="8"/>
  <c r="AC1678" i="8"/>
  <c r="AC1369" i="8"/>
  <c r="AC1669" i="8"/>
  <c r="AC1670" i="8"/>
  <c r="AC1671" i="8"/>
  <c r="AC1672" i="8"/>
  <c r="AC1656" i="8"/>
  <c r="AC1658" i="8"/>
  <c r="AC1657" i="8"/>
  <c r="AC1675" i="8"/>
  <c r="AC1674" i="8"/>
  <c r="AC1673" i="8"/>
  <c r="AC757" i="8"/>
  <c r="AC758" i="8"/>
  <c r="AC759" i="8"/>
  <c r="AC760" i="8"/>
  <c r="AC761" i="8"/>
  <c r="AC1708" i="8"/>
  <c r="AC1707" i="8"/>
  <c r="AC1705" i="8"/>
  <c r="AC1706" i="8"/>
  <c r="AC1747" i="8"/>
  <c r="AC1745" i="8"/>
  <c r="AC1748" i="8"/>
  <c r="AC1746" i="8"/>
  <c r="AC1774" i="8"/>
  <c r="AC1776" i="8"/>
  <c r="AC1773" i="8"/>
  <c r="AC1775" i="8"/>
  <c r="AC1698" i="8"/>
  <c r="AC1730" i="8"/>
  <c r="AC1729" i="8"/>
  <c r="AC1728" i="8"/>
  <c r="AC1727" i="8"/>
  <c r="AC1726" i="8"/>
  <c r="AC1725" i="8"/>
  <c r="AC1888" i="8"/>
  <c r="AC1886" i="8"/>
  <c r="AC1887" i="8"/>
  <c r="AC1768" i="8"/>
  <c r="AC1767" i="8"/>
  <c r="AC1766" i="8"/>
  <c r="AC1765" i="8"/>
  <c r="AC1696" i="8"/>
  <c r="AC1879" i="8"/>
  <c r="AC1878" i="8"/>
  <c r="AC1877" i="8"/>
  <c r="AC1880" i="8"/>
  <c r="AC1714" i="8"/>
  <c r="AC1718" i="8"/>
  <c r="AC1717" i="8"/>
  <c r="AC1716" i="8"/>
  <c r="AC1715" i="8"/>
  <c r="AC1863" i="8"/>
  <c r="AC1864" i="8"/>
  <c r="AC1865" i="8"/>
  <c r="AC1867" i="8"/>
  <c r="AC1866" i="8"/>
  <c r="AC1855" i="8"/>
  <c r="AC1854" i="8"/>
  <c r="AC1857" i="8"/>
  <c r="AC1856" i="8"/>
  <c r="AC1850" i="8"/>
  <c r="AC1849" i="8"/>
  <c r="AC1847" i="8"/>
  <c r="AC1848" i="8"/>
  <c r="AC1711" i="8"/>
  <c r="AC1712" i="8"/>
  <c r="AC1710" i="8"/>
  <c r="AC1713" i="8"/>
  <c r="AC1709" i="8"/>
  <c r="AC1813" i="8"/>
  <c r="AC1814" i="8"/>
  <c r="AC1815" i="8"/>
  <c r="AC1816" i="8"/>
  <c r="AC1762" i="8"/>
  <c r="AC1720" i="8"/>
  <c r="AC1719" i="8"/>
  <c r="AC1721" i="8"/>
  <c r="AC1722" i="8"/>
  <c r="AC1801" i="8"/>
  <c r="AC1800" i="8"/>
  <c r="AC1803" i="8"/>
  <c r="AC1802" i="8"/>
  <c r="AC1891" i="8"/>
  <c r="AC1890" i="8"/>
  <c r="AC1889" i="8"/>
  <c r="AC875" i="8"/>
  <c r="AC881" i="8"/>
  <c r="AC882" i="8"/>
  <c r="AC871" i="8"/>
  <c r="AC872" i="8"/>
  <c r="AC873" i="8"/>
  <c r="AC874" i="8"/>
  <c r="AC876" i="8"/>
  <c r="AC877" i="8"/>
  <c r="AC878" i="8"/>
  <c r="AC879" i="8"/>
  <c r="AC880" i="8"/>
  <c r="AC893" i="8"/>
  <c r="AC894" i="8"/>
  <c r="AC887" i="8"/>
  <c r="AC883" i="8"/>
  <c r="AC884" i="8"/>
  <c r="AC885" i="8"/>
  <c r="AC886" i="8"/>
  <c r="AC888" i="8"/>
  <c r="AC889" i="8"/>
  <c r="AC890" i="8"/>
  <c r="AC891" i="8"/>
  <c r="AC892" i="8"/>
  <c r="AC895" i="8"/>
  <c r="AC896" i="8"/>
  <c r="AC897" i="8"/>
  <c r="AC898" i="8"/>
  <c r="AC899" i="8"/>
  <c r="AC901" i="8"/>
  <c r="AC902" i="8"/>
  <c r="AC903" i="8"/>
  <c r="AC904" i="8"/>
  <c r="AC900" i="8"/>
  <c r="AC906" i="8"/>
  <c r="AC905" i="8"/>
  <c r="AC1022" i="8"/>
  <c r="AC1023" i="8"/>
  <c r="AC1024" i="8"/>
  <c r="AC1021" i="8"/>
  <c r="AC778" i="8"/>
  <c r="AC779" i="8"/>
  <c r="AC780" i="8"/>
  <c r="AC1016" i="8"/>
  <c r="AC1015" i="8"/>
  <c r="AC1039" i="8"/>
  <c r="AC1040" i="8"/>
  <c r="AC1041" i="8"/>
  <c r="AC773" i="8"/>
  <c r="AC774" i="8"/>
  <c r="AC775" i="8"/>
  <c r="AC776" i="8"/>
  <c r="AC777" i="8"/>
  <c r="AC772" i="8"/>
  <c r="AC798" i="8"/>
  <c r="AC799" i="8"/>
  <c r="AC800" i="8"/>
  <c r="AC801" i="8"/>
  <c r="AC802" i="8"/>
  <c r="AC803" i="8"/>
  <c r="AC796" i="8"/>
  <c r="AC795" i="8"/>
  <c r="AC797" i="8"/>
  <c r="AC793" i="8"/>
  <c r="AC794" i="8"/>
  <c r="AC989" i="8"/>
  <c r="AC986" i="8"/>
  <c r="AC987" i="8"/>
  <c r="AC985" i="8"/>
  <c r="AC988" i="8"/>
  <c r="AC857" i="8"/>
  <c r="AC856" i="8"/>
  <c r="AC858" i="8"/>
  <c r="AC993" i="8"/>
  <c r="AC992" i="8"/>
  <c r="AC991" i="8"/>
  <c r="AC990" i="8"/>
  <c r="AC1004" i="8"/>
  <c r="AC1003" i="8"/>
  <c r="AC1002" i="8"/>
  <c r="AC1001" i="8"/>
  <c r="AC811" i="8"/>
  <c r="AC808" i="8"/>
  <c r="AC812" i="8"/>
  <c r="AC809" i="8"/>
  <c r="AC810" i="8"/>
  <c r="AC1038" i="8"/>
  <c r="AC1037" i="8"/>
  <c r="AC1036" i="8"/>
  <c r="AC1035" i="8"/>
  <c r="AC1014" i="8"/>
  <c r="AC1013" i="8"/>
  <c r="AC1012" i="8"/>
  <c r="AC1011" i="8"/>
  <c r="AC1032" i="8"/>
  <c r="AC1031" i="8"/>
  <c r="AC1033" i="8"/>
  <c r="AC1034" i="8"/>
  <c r="AC784" i="8"/>
  <c r="AC821" i="8"/>
  <c r="AC822" i="8"/>
  <c r="AC823" i="8"/>
  <c r="AC834" i="8"/>
  <c r="AC831" i="8"/>
  <c r="AC832" i="8"/>
  <c r="AC833" i="8"/>
  <c r="AC837" i="8"/>
  <c r="AC836" i="8"/>
  <c r="AC835" i="8"/>
  <c r="AC838" i="8"/>
  <c r="AC1026" i="8"/>
  <c r="AC1027" i="8"/>
  <c r="AC1025" i="8"/>
  <c r="AC867" i="8"/>
  <c r="AC866" i="8"/>
  <c r="AC820" i="8"/>
  <c r="AC818" i="8"/>
  <c r="AC817" i="8"/>
  <c r="AC819" i="8"/>
  <c r="AC839" i="8"/>
  <c r="AC840" i="8"/>
  <c r="AC841" i="8"/>
  <c r="AC814" i="8"/>
  <c r="AC813" i="8"/>
  <c r="AC815" i="8"/>
  <c r="AC816" i="8"/>
  <c r="AC829" i="8"/>
  <c r="AC828" i="8"/>
  <c r="AC830" i="8"/>
  <c r="AC827" i="8"/>
  <c r="AC824" i="8"/>
  <c r="AC825" i="8"/>
  <c r="AC826" i="8"/>
  <c r="AC1030" i="8"/>
  <c r="AC1029" i="8"/>
  <c r="AC1028" i="8"/>
  <c r="AC851" i="8"/>
  <c r="AE851" i="8" s="1"/>
  <c r="AF851" i="8" s="1"/>
  <c r="AC687" i="8"/>
  <c r="AE687" i="8" s="1"/>
  <c r="AF687" i="8" s="1"/>
  <c r="AC547" i="8"/>
  <c r="AE547" i="8" s="1"/>
  <c r="AF547" i="8" s="1"/>
  <c r="AC393" i="8"/>
  <c r="AC392" i="8"/>
  <c r="AC1896" i="8"/>
  <c r="AC1897" i="8"/>
  <c r="AC1899" i="8"/>
  <c r="AC1898" i="8"/>
  <c r="AC1900" i="8"/>
  <c r="AC1901" i="8"/>
  <c r="AC1902" i="8"/>
  <c r="AC1926" i="8"/>
  <c r="AC1924" i="8"/>
  <c r="AC1923" i="8"/>
  <c r="AC1922" i="8"/>
  <c r="AC1925" i="8"/>
  <c r="AC577" i="8"/>
  <c r="AC580" i="8"/>
  <c r="AC579" i="8"/>
  <c r="AC578" i="8"/>
  <c r="AC576" i="8"/>
  <c r="AC575" i="8"/>
  <c r="AC694" i="8"/>
  <c r="AC693" i="8"/>
  <c r="AC697" i="8"/>
  <c r="AC696" i="8"/>
  <c r="AC695" i="8"/>
  <c r="AC431" i="8"/>
  <c r="AC430" i="8"/>
  <c r="AC429" i="8"/>
  <c r="AC428" i="8"/>
  <c r="AC427" i="8"/>
  <c r="AC607" i="8"/>
  <c r="AC620" i="8"/>
  <c r="AC600" i="8"/>
  <c r="AC601" i="8"/>
  <c r="AC602" i="8"/>
  <c r="AC603" i="8"/>
  <c r="AC604" i="8"/>
  <c r="AC599" i="8"/>
  <c r="AC443" i="8"/>
  <c r="AC441" i="8"/>
  <c r="AC442" i="8"/>
  <c r="AC533" i="8"/>
  <c r="AC532" i="8"/>
  <c r="AC714" i="8"/>
  <c r="AC715" i="8"/>
  <c r="AC539" i="8"/>
  <c r="AC447" i="8"/>
  <c r="AC451" i="8"/>
  <c r="AC448" i="8"/>
  <c r="AC449" i="8"/>
  <c r="AC450" i="8"/>
  <c r="AC643" i="8"/>
  <c r="AC644" i="8"/>
  <c r="AC642" i="8"/>
  <c r="AC641" i="8"/>
  <c r="AC654" i="8"/>
  <c r="AC653" i="8"/>
  <c r="AC655" i="8"/>
  <c r="AC699" i="8"/>
  <c r="AC701" i="8"/>
  <c r="AC698" i="8"/>
  <c r="AC700" i="8"/>
  <c r="AC551" i="8"/>
  <c r="AC550" i="8"/>
  <c r="AC549" i="8"/>
  <c r="AC548" i="8"/>
  <c r="AC670" i="8"/>
  <c r="AC671" i="8"/>
  <c r="AC673" i="8"/>
  <c r="AC672" i="8"/>
  <c r="AC726" i="8"/>
  <c r="AC725" i="8"/>
  <c r="AC659" i="8"/>
  <c r="AC660" i="8"/>
  <c r="AC661" i="8"/>
  <c r="AC662" i="8"/>
  <c r="AC564" i="8"/>
  <c r="AC566" i="8"/>
  <c r="AC567" i="8"/>
  <c r="AC565" i="8"/>
  <c r="AC677" i="8"/>
  <c r="AC679" i="8"/>
  <c r="AC678" i="8"/>
  <c r="AC676" i="8"/>
  <c r="AC629" i="8"/>
  <c r="AC632" i="8"/>
  <c r="AC630" i="8"/>
  <c r="AC631" i="8"/>
  <c r="AC680" i="8"/>
  <c r="AC681" i="8"/>
  <c r="AC682" i="8"/>
  <c r="AC563" i="8"/>
  <c r="AC562" i="8"/>
  <c r="AC561" i="8"/>
  <c r="AC560" i="8"/>
  <c r="AC390" i="8"/>
  <c r="AC391" i="8"/>
  <c r="AC703" i="8"/>
  <c r="AC688" i="8"/>
  <c r="AC689" i="8"/>
  <c r="AC690" i="8"/>
  <c r="AC744" i="8"/>
  <c r="AC745" i="8"/>
  <c r="AC746" i="8"/>
  <c r="AC747" i="8"/>
  <c r="AC557" i="8"/>
  <c r="AC556" i="8"/>
  <c r="AC555" i="8"/>
  <c r="AC510" i="8"/>
  <c r="AC511" i="8"/>
  <c r="AC512" i="8"/>
  <c r="AC513" i="8"/>
  <c r="AC752" i="8"/>
  <c r="AC751" i="8"/>
  <c r="AC741" i="8"/>
  <c r="AC742" i="8"/>
  <c r="AC743" i="8"/>
  <c r="AC465" i="8"/>
  <c r="AC462" i="8"/>
  <c r="AC463" i="8"/>
  <c r="AC464" i="8"/>
  <c r="AC740" i="8"/>
  <c r="AC692" i="8"/>
  <c r="AC691" i="8"/>
  <c r="AC453" i="8"/>
  <c r="AC452" i="8"/>
  <c r="AC454" i="8"/>
  <c r="AC501" i="8"/>
  <c r="AC500" i="8"/>
  <c r="AC499" i="8"/>
  <c r="AC498" i="8"/>
  <c r="AC534" i="8"/>
  <c r="AC535" i="8"/>
  <c r="AC536" i="8"/>
  <c r="AC389" i="8"/>
  <c r="AC385" i="8"/>
  <c r="AC386" i="8"/>
  <c r="AC387" i="8"/>
  <c r="AC388" i="8"/>
  <c r="AC645" i="8"/>
  <c r="AC646" i="8"/>
  <c r="AC739" i="8"/>
  <c r="AC738" i="8"/>
  <c r="AC737" i="8"/>
  <c r="AC724" i="8"/>
  <c r="AC723" i="8"/>
  <c r="AC720" i="8"/>
  <c r="AC721" i="8"/>
  <c r="AC722" i="8"/>
  <c r="AC440" i="8"/>
  <c r="AC438" i="8"/>
  <c r="AC439" i="8"/>
  <c r="AC418" i="8"/>
  <c r="AC417" i="8"/>
  <c r="AC419" i="8"/>
  <c r="AC651" i="8"/>
  <c r="AC650" i="8"/>
  <c r="AC652" i="8"/>
  <c r="AC769" i="8"/>
  <c r="AC770" i="8"/>
  <c r="AC771" i="8"/>
  <c r="AC531" i="8"/>
  <c r="AC702" i="8"/>
  <c r="AC546" i="8"/>
  <c r="AC545" i="8"/>
  <c r="AC543" i="8"/>
  <c r="AC544" i="8"/>
  <c r="AC422" i="8"/>
  <c r="AC421" i="8"/>
  <c r="AC420" i="8"/>
  <c r="AC627" i="8"/>
  <c r="AC628" i="8"/>
  <c r="AC626" i="8"/>
  <c r="AC468" i="8"/>
  <c r="AC466" i="8"/>
  <c r="AC467" i="8"/>
  <c r="AC479" i="8"/>
  <c r="AC481" i="8"/>
  <c r="AC480" i="8"/>
  <c r="AC469" i="8"/>
  <c r="AC470" i="8"/>
  <c r="AC559" i="8"/>
  <c r="AC558" i="8"/>
  <c r="AC432" i="8"/>
  <c r="AC433" i="8"/>
  <c r="AC434" i="8"/>
  <c r="AC538" i="8"/>
  <c r="AC537" i="8"/>
  <c r="AC402" i="8"/>
  <c r="AC401" i="8"/>
  <c r="AC405" i="8"/>
  <c r="AC404" i="8"/>
  <c r="AC403" i="8"/>
  <c r="AC394" i="8"/>
  <c r="AC395" i="8"/>
  <c r="AC396" i="8"/>
  <c r="AC788" i="8"/>
  <c r="AC785" i="8"/>
  <c r="AC786" i="8"/>
  <c r="AC787" i="8"/>
  <c r="AC507" i="8"/>
  <c r="AC506" i="8"/>
  <c r="AC508" i="8"/>
  <c r="AC509" i="8"/>
  <c r="AC414" i="8"/>
  <c r="AC415" i="8"/>
  <c r="AC416" i="8"/>
  <c r="AC266" i="8"/>
  <c r="AC264" i="8"/>
  <c r="AC265" i="8"/>
  <c r="AC267" i="8"/>
  <c r="AC268" i="8"/>
  <c r="AC304" i="8"/>
  <c r="AC305" i="8"/>
  <c r="AC306" i="8"/>
  <c r="AC307" i="8"/>
  <c r="AC308" i="8"/>
  <c r="AC269" i="8"/>
  <c r="AC270" i="8"/>
  <c r="AC271" i="8"/>
  <c r="AC272" i="8"/>
  <c r="AC312" i="8"/>
  <c r="AC309" i="8"/>
  <c r="AC310" i="8"/>
  <c r="AC311" i="8"/>
  <c r="AC290" i="8"/>
  <c r="AC293" i="8"/>
  <c r="AC294" i="8"/>
  <c r="AC291" i="8"/>
  <c r="AC292" i="8"/>
  <c r="AC316" i="8"/>
  <c r="AC317" i="8"/>
  <c r="AC315" i="8"/>
  <c r="AC314" i="8"/>
  <c r="AC333" i="8"/>
  <c r="AC334" i="8"/>
  <c r="AC335" i="8"/>
  <c r="AC348" i="8"/>
  <c r="AC349" i="8"/>
  <c r="AC347" i="8"/>
  <c r="AC352" i="8"/>
  <c r="AC351" i="8"/>
  <c r="AC350" i="8"/>
  <c r="AC354" i="8"/>
  <c r="AC353" i="8"/>
  <c r="AC374" i="8"/>
  <c r="AC370" i="8"/>
  <c r="AC371" i="8"/>
  <c r="AC372" i="8"/>
  <c r="AC373" i="8"/>
  <c r="AC286" i="8"/>
  <c r="AC287" i="8"/>
  <c r="AC289" i="8"/>
  <c r="AC288" i="8"/>
  <c r="AC238" i="8"/>
  <c r="AC240" i="8"/>
  <c r="AC239" i="8"/>
  <c r="AC242" i="8"/>
  <c r="AC241" i="8"/>
  <c r="AC246" i="8"/>
  <c r="AC245" i="8"/>
  <c r="AC244" i="8"/>
  <c r="AC243" i="8"/>
  <c r="AC221" i="8"/>
  <c r="AC219" i="8"/>
  <c r="AC220" i="8"/>
  <c r="AC247" i="8"/>
  <c r="AC248" i="8"/>
  <c r="AC249" i="8"/>
  <c r="AC230" i="8"/>
  <c r="AC229" i="8"/>
  <c r="AC228" i="8"/>
  <c r="AC227" i="8"/>
  <c r="AC255" i="8"/>
  <c r="AC256" i="8"/>
  <c r="AC257" i="8"/>
  <c r="AC258" i="8"/>
  <c r="AC232" i="8"/>
  <c r="AC231" i="8"/>
  <c r="AC237" i="8"/>
  <c r="AC236" i="8"/>
  <c r="AC156" i="8"/>
  <c r="AC157" i="8"/>
  <c r="AC158" i="8"/>
  <c r="AC155" i="8"/>
  <c r="AC154" i="8"/>
  <c r="AC174" i="8"/>
  <c r="AC175" i="8"/>
  <c r="AC180" i="8"/>
  <c r="AC179" i="8"/>
  <c r="AC178" i="8"/>
  <c r="AC177" i="8"/>
  <c r="AC197" i="8"/>
  <c r="AC198" i="8"/>
  <c r="AC199" i="8"/>
  <c r="AC107" i="8"/>
  <c r="AC108" i="8"/>
  <c r="AC205" i="8"/>
  <c r="AC203" i="8"/>
  <c r="AC204" i="8"/>
  <c r="AC115" i="8"/>
  <c r="AC116" i="8"/>
  <c r="AC114" i="8"/>
  <c r="AC187" i="8"/>
  <c r="AC188" i="8"/>
  <c r="AC189" i="8"/>
  <c r="AC190" i="8"/>
  <c r="AC191" i="8"/>
  <c r="AC145" i="8"/>
  <c r="AC146" i="8"/>
  <c r="AC147" i="8"/>
  <c r="AC143" i="8"/>
  <c r="AC148" i="8"/>
  <c r="AC144" i="8"/>
  <c r="AC211" i="8"/>
  <c r="AC212" i="8"/>
  <c r="AC210" i="8"/>
  <c r="AC213" i="8"/>
  <c r="AC214" i="8"/>
  <c r="AC98" i="8"/>
  <c r="AC96" i="8"/>
  <c r="AC100" i="8"/>
  <c r="AC99" i="8"/>
  <c r="AC97" i="8"/>
  <c r="AC207" i="8"/>
  <c r="AC208" i="8"/>
  <c r="AC209" i="8"/>
  <c r="AC206" i="8"/>
  <c r="AC138" i="8"/>
  <c r="AC139" i="8"/>
  <c r="AC140" i="8"/>
  <c r="AC141" i="8"/>
  <c r="AC142" i="8"/>
  <c r="AC218" i="8"/>
  <c r="AC215" i="8"/>
  <c r="AC216" i="8"/>
  <c r="AC217" i="8"/>
  <c r="AC91" i="8"/>
  <c r="AC90" i="8"/>
  <c r="AC92" i="8"/>
  <c r="AC89" i="8"/>
  <c r="AC105" i="8"/>
  <c r="AC106" i="8"/>
  <c r="AC104" i="8"/>
  <c r="J30" i="10"/>
  <c r="P30" i="10"/>
  <c r="D31" i="11"/>
  <c r="J61" i="10"/>
  <c r="P61" i="10"/>
  <c r="D62" i="11"/>
  <c r="AG610" i="8"/>
  <c r="AH610" i="8" s="1"/>
  <c r="AD610" i="8" s="1"/>
  <c r="H158" i="11"/>
  <c r="F552" i="11"/>
  <c r="AG609" i="8"/>
  <c r="AH609" i="8" s="1"/>
  <c r="AD609" i="8" s="1"/>
  <c r="P108" i="10"/>
  <c r="Q108" i="10" s="1"/>
  <c r="J108" i="10"/>
  <c r="D109" i="11"/>
  <c r="J102" i="10"/>
  <c r="P102" i="10"/>
  <c r="Q102" i="10" s="1"/>
  <c r="J101" i="10"/>
  <c r="P101" i="10"/>
  <c r="Q101" i="10" s="1"/>
  <c r="J99" i="10"/>
  <c r="P99" i="10"/>
  <c r="Q99" i="10" s="1"/>
  <c r="J97" i="10"/>
  <c r="P97" i="10"/>
  <c r="D98" i="11"/>
  <c r="D97" i="11"/>
  <c r="J96" i="10"/>
  <c r="P96" i="10"/>
  <c r="Q96" i="10" s="1"/>
  <c r="P81" i="10"/>
  <c r="D82" i="11"/>
  <c r="J81" i="10"/>
  <c r="D77" i="11"/>
  <c r="J76" i="10"/>
  <c r="P76" i="10"/>
  <c r="Q76" i="10" s="1"/>
  <c r="D70" i="11"/>
  <c r="P69" i="10"/>
  <c r="Q69" i="10" s="1"/>
  <c r="J69" i="10"/>
  <c r="J67" i="10"/>
  <c r="P67" i="10"/>
  <c r="P66" i="10"/>
  <c r="Q66" i="10" s="1"/>
  <c r="J66" i="10"/>
  <c r="AB1761" i="8"/>
  <c r="AG1761" i="8"/>
  <c r="AH1761" i="8" s="1"/>
  <c r="AB1759" i="8"/>
  <c r="AG1759" i="8"/>
  <c r="AH1759" i="8" s="1"/>
  <c r="AB1764" i="8"/>
  <c r="AG1764" i="8"/>
  <c r="AH1764" i="8" s="1"/>
  <c r="AB1760" i="8"/>
  <c r="AG1760" i="8"/>
  <c r="AH1760" i="8" s="1"/>
  <c r="AB1498" i="8"/>
  <c r="AG1498" i="8"/>
  <c r="AH1498" i="8" s="1"/>
  <c r="AB1792" i="8"/>
  <c r="AG1792" i="8"/>
  <c r="AH1792" i="8" s="1"/>
  <c r="AB1790" i="8"/>
  <c r="AG1790" i="8"/>
  <c r="AH1790" i="8" s="1"/>
  <c r="AB1793" i="8"/>
  <c r="AG1793" i="8"/>
  <c r="AH1793" i="8" s="1"/>
  <c r="AB1791" i="8"/>
  <c r="AG1791" i="8"/>
  <c r="AH1791" i="8" s="1"/>
  <c r="AB1794" i="8"/>
  <c r="AG1794" i="8"/>
  <c r="AH1794" i="8" s="1"/>
  <c r="AB1392" i="8"/>
  <c r="AG1392" i="8"/>
  <c r="AH1392" i="8" s="1"/>
  <c r="AB1394" i="8"/>
  <c r="AG1394" i="8"/>
  <c r="AH1394" i="8" s="1"/>
  <c r="AB1395" i="8"/>
  <c r="AG1395" i="8"/>
  <c r="AH1395" i="8" s="1"/>
  <c r="AB1393" i="8"/>
  <c r="AG1393" i="8"/>
  <c r="AH1393" i="8" s="1"/>
  <c r="AB1910" i="8"/>
  <c r="AG1910" i="8"/>
  <c r="AH1910" i="8" s="1"/>
  <c r="AB1911" i="8"/>
  <c r="AG1911" i="8"/>
  <c r="AH1911" i="8" s="1"/>
  <c r="AB1349" i="8"/>
  <c r="AG1349" i="8"/>
  <c r="AH1349" i="8" s="1"/>
  <c r="AB1350" i="8"/>
  <c r="AG1350" i="8"/>
  <c r="AH1350" i="8" s="1"/>
  <c r="AB1352" i="8"/>
  <c r="AG1352" i="8"/>
  <c r="AH1352" i="8" s="1"/>
  <c r="AB1348" i="8"/>
  <c r="AG1348" i="8"/>
  <c r="AH1348" i="8" s="1"/>
  <c r="AB1351" i="8"/>
  <c r="AG1351" i="8"/>
  <c r="AH1351" i="8" s="1"/>
  <c r="AB1397" i="8"/>
  <c r="AG1397" i="8"/>
  <c r="AH1397" i="8" s="1"/>
  <c r="AB1399" i="8"/>
  <c r="AG1399" i="8"/>
  <c r="AH1399" i="8" s="1"/>
  <c r="AB1396" i="8"/>
  <c r="AG1396" i="8"/>
  <c r="AH1396" i="8" s="1"/>
  <c r="AB1400" i="8"/>
  <c r="AG1400" i="8"/>
  <c r="AH1400" i="8" s="1"/>
  <c r="AB1398" i="8"/>
  <c r="AG1398" i="8"/>
  <c r="AH1398" i="8" s="1"/>
  <c r="AB1615" i="8"/>
  <c r="AG1615" i="8"/>
  <c r="AH1615" i="8" s="1"/>
  <c r="AB1614" i="8"/>
  <c r="AG1614" i="8"/>
  <c r="AH1614" i="8" s="1"/>
  <c r="AB1613" i="8"/>
  <c r="AG1613" i="8"/>
  <c r="AH1613" i="8" s="1"/>
  <c r="AB1612" i="8"/>
  <c r="AG1612" i="8"/>
  <c r="AH1612" i="8" s="1"/>
  <c r="AB1469" i="8"/>
  <c r="AG1469" i="8"/>
  <c r="AH1469" i="8" s="1"/>
  <c r="AB1343" i="8"/>
  <c r="AG1343" i="8"/>
  <c r="AH1343" i="8" s="1"/>
  <c r="AB1342" i="8"/>
  <c r="AG1342" i="8"/>
  <c r="AH1342" i="8" s="1"/>
  <c r="AB1345" i="8"/>
  <c r="AG1345" i="8"/>
  <c r="AH1345" i="8" s="1"/>
  <c r="AB1344" i="8"/>
  <c r="AG1344" i="8"/>
  <c r="AH1344" i="8" s="1"/>
  <c r="AB1470" i="8"/>
  <c r="AG1470" i="8"/>
  <c r="AH1470" i="8" s="1"/>
  <c r="AB1423" i="8"/>
  <c r="AG1423" i="8"/>
  <c r="AH1423" i="8" s="1"/>
  <c r="AB1426" i="8"/>
  <c r="AG1426" i="8"/>
  <c r="AH1426" i="8" s="1"/>
  <c r="AB1425" i="8"/>
  <c r="AG1425" i="8"/>
  <c r="AH1425" i="8" s="1"/>
  <c r="AB1422" i="8"/>
  <c r="AG1422" i="8"/>
  <c r="AH1422" i="8" s="1"/>
  <c r="AB1424" i="8"/>
  <c r="AG1424" i="8"/>
  <c r="AH1424" i="8" s="1"/>
  <c r="AB1373" i="8"/>
  <c r="AG1373" i="8"/>
  <c r="AH1373" i="8" s="1"/>
  <c r="AB1374" i="8"/>
  <c r="AG1374" i="8"/>
  <c r="AH1374" i="8" s="1"/>
  <c r="AB1375" i="8"/>
  <c r="AG1375" i="8"/>
  <c r="AH1375" i="8" s="1"/>
  <c r="AB1376" i="8"/>
  <c r="AG1376" i="8"/>
  <c r="AH1376" i="8" s="1"/>
  <c r="AB1402" i="8"/>
  <c r="AG1402" i="8"/>
  <c r="AH1402" i="8" s="1"/>
  <c r="AB1626" i="8"/>
  <c r="AG1626" i="8"/>
  <c r="AH1626" i="8" s="1"/>
  <c r="AB1627" i="8"/>
  <c r="AG1627" i="8"/>
  <c r="AH1627" i="8" s="1"/>
  <c r="AB1628" i="8"/>
  <c r="AG1628" i="8"/>
  <c r="AH1628" i="8" s="1"/>
  <c r="AB1383" i="8"/>
  <c r="AG1383" i="8"/>
  <c r="AH1383" i="8" s="1"/>
  <c r="AB1382" i="8"/>
  <c r="AG1382" i="8"/>
  <c r="AH1382" i="8" s="1"/>
  <c r="AB1652" i="8"/>
  <c r="AG1652" i="8"/>
  <c r="AH1652" i="8" s="1"/>
  <c r="AB1649" i="8"/>
  <c r="AG1649" i="8"/>
  <c r="AH1649" i="8" s="1"/>
  <c r="AB1648" i="8"/>
  <c r="AG1648" i="8"/>
  <c r="AH1648" i="8" s="1"/>
  <c r="AB1651" i="8"/>
  <c r="AG1651" i="8"/>
  <c r="AH1651" i="8" s="1"/>
  <c r="AB1650" i="8"/>
  <c r="AG1650" i="8"/>
  <c r="AH1650" i="8" s="1"/>
  <c r="AB1512" i="8"/>
  <c r="AG1512" i="8"/>
  <c r="AH1512" i="8" s="1"/>
  <c r="AB1511" i="8"/>
  <c r="AG1511" i="8"/>
  <c r="AH1511" i="8" s="1"/>
  <c r="AB1510" i="8"/>
  <c r="AG1510" i="8"/>
  <c r="AH1510" i="8" s="1"/>
  <c r="AB1509" i="8"/>
  <c r="AG1509" i="8"/>
  <c r="AH1509" i="8" s="1"/>
  <c r="AB1513" i="8"/>
  <c r="AG1513" i="8"/>
  <c r="AH1513" i="8" s="1"/>
  <c r="AB1514" i="8"/>
  <c r="AG1514" i="8"/>
  <c r="AH1514" i="8" s="1"/>
  <c r="AB1454" i="8"/>
  <c r="AG1454" i="8"/>
  <c r="AH1454" i="8" s="1"/>
  <c r="AB1455" i="8"/>
  <c r="AG1455" i="8"/>
  <c r="AH1455" i="8" s="1"/>
  <c r="AB1457" i="8"/>
  <c r="AG1457" i="8"/>
  <c r="AH1457" i="8" s="1"/>
  <c r="AB1456" i="8"/>
  <c r="AG1456" i="8"/>
  <c r="AH1456" i="8" s="1"/>
  <c r="AB1440" i="8"/>
  <c r="AG1440" i="8"/>
  <c r="AH1440" i="8" s="1"/>
  <c r="AB1441" i="8"/>
  <c r="AG1441" i="8"/>
  <c r="AH1441" i="8" s="1"/>
  <c r="AB1437" i="8"/>
  <c r="AG1437" i="8"/>
  <c r="AH1437" i="8" s="1"/>
  <c r="AB1438" i="8"/>
  <c r="AG1438" i="8"/>
  <c r="AH1438" i="8" s="1"/>
  <c r="AB1439" i="8"/>
  <c r="AG1439" i="8"/>
  <c r="AH1439" i="8" s="1"/>
  <c r="AB1617" i="8"/>
  <c r="AG1617" i="8"/>
  <c r="AH1617" i="8" s="1"/>
  <c r="AB1618" i="8"/>
  <c r="AG1618" i="8"/>
  <c r="AH1618" i="8" s="1"/>
  <c r="AB1616" i="8"/>
  <c r="AG1616" i="8"/>
  <c r="AH1616" i="8" s="1"/>
  <c r="AB1619" i="8"/>
  <c r="AG1619" i="8"/>
  <c r="AH1619" i="8" s="1"/>
  <c r="AB1620" i="8"/>
  <c r="AG1620" i="8"/>
  <c r="AH1620" i="8" s="1"/>
  <c r="AB1420" i="8"/>
  <c r="AG1420" i="8"/>
  <c r="AH1420" i="8" s="1"/>
  <c r="AB1419" i="8"/>
  <c r="AG1419" i="8"/>
  <c r="AH1419" i="8" s="1"/>
  <c r="AB1418" i="8"/>
  <c r="AG1418" i="8"/>
  <c r="AH1418" i="8" s="1"/>
  <c r="AB1417" i="8"/>
  <c r="AG1417" i="8"/>
  <c r="AH1417" i="8" s="1"/>
  <c r="AB1505" i="8"/>
  <c r="AG1505" i="8"/>
  <c r="AH1505" i="8" s="1"/>
  <c r="AB1504" i="8"/>
  <c r="AG1504" i="8"/>
  <c r="AH1504" i="8" s="1"/>
  <c r="AB1503" i="8"/>
  <c r="AG1503" i="8"/>
  <c r="AH1503" i="8" s="1"/>
  <c r="AB1442" i="8"/>
  <c r="AG1442" i="8"/>
  <c r="AH1442" i="8" s="1"/>
  <c r="AB1443" i="8"/>
  <c r="AG1443" i="8"/>
  <c r="AH1443" i="8" s="1"/>
  <c r="AB1444" i="8"/>
  <c r="AG1444" i="8"/>
  <c r="AH1444" i="8" s="1"/>
  <c r="AB1445" i="8"/>
  <c r="AG1445" i="8"/>
  <c r="AH1445" i="8" s="1"/>
  <c r="AB1446" i="8"/>
  <c r="AG1446" i="8"/>
  <c r="AH1446" i="8" s="1"/>
  <c r="AB1640" i="8"/>
  <c r="AG1640" i="8"/>
  <c r="AH1640" i="8" s="1"/>
  <c r="AB1641" i="8"/>
  <c r="AG1641" i="8"/>
  <c r="AH1641" i="8" s="1"/>
  <c r="AB979" i="8"/>
  <c r="AG979" i="8"/>
  <c r="AH979" i="8" s="1"/>
  <c r="AB980" i="8"/>
  <c r="AG980" i="8"/>
  <c r="AH980" i="8" s="1"/>
  <c r="AB768" i="8"/>
  <c r="AG768" i="8"/>
  <c r="AH768" i="8" s="1"/>
  <c r="AB766" i="8"/>
  <c r="AG766" i="8"/>
  <c r="AH766" i="8" s="1"/>
  <c r="AB767" i="8"/>
  <c r="AG767" i="8"/>
  <c r="AH767" i="8" s="1"/>
  <c r="AB848" i="8"/>
  <c r="AG848" i="8"/>
  <c r="AH848" i="8" s="1"/>
  <c r="AB849" i="8"/>
  <c r="AG849" i="8"/>
  <c r="AH849" i="8" s="1"/>
  <c r="AB847" i="8"/>
  <c r="AG847" i="8"/>
  <c r="AH847" i="8" s="1"/>
  <c r="AB1693" i="8"/>
  <c r="AG1693" i="8"/>
  <c r="AH1693" i="8" s="1"/>
  <c r="AB1372" i="8"/>
  <c r="AG1372" i="8"/>
  <c r="AH1372" i="8" s="1"/>
  <c r="AB1661" i="8"/>
  <c r="AG1661" i="8"/>
  <c r="AH1661" i="8" s="1"/>
  <c r="AB1663" i="8"/>
  <c r="AG1663" i="8"/>
  <c r="AH1663" i="8" s="1"/>
  <c r="AB1662" i="8"/>
  <c r="AG1662" i="8"/>
  <c r="AH1662" i="8" s="1"/>
  <c r="AB1660" i="8"/>
  <c r="AG1660" i="8"/>
  <c r="AH1660" i="8" s="1"/>
  <c r="AB1659" i="8"/>
  <c r="AG1659" i="8"/>
  <c r="AH1659" i="8" s="1"/>
  <c r="AB1665" i="8"/>
  <c r="AG1665" i="8"/>
  <c r="AH1665" i="8" s="1"/>
  <c r="AB1666" i="8"/>
  <c r="AG1666" i="8"/>
  <c r="AH1666" i="8" s="1"/>
  <c r="AB1667" i="8"/>
  <c r="AG1667" i="8"/>
  <c r="AH1667" i="8" s="1"/>
  <c r="AB1668" i="8"/>
  <c r="AG1668" i="8"/>
  <c r="AH1668" i="8" s="1"/>
  <c r="AB1361" i="8"/>
  <c r="AG1361" i="8"/>
  <c r="AH1361" i="8" s="1"/>
  <c r="AB1360" i="8"/>
  <c r="AG1360" i="8"/>
  <c r="AH1360" i="8" s="1"/>
  <c r="AB1359" i="8"/>
  <c r="AG1359" i="8"/>
  <c r="AH1359" i="8" s="1"/>
  <c r="AB1358" i="8"/>
  <c r="AG1358" i="8"/>
  <c r="AH1358" i="8" s="1"/>
  <c r="AB1686" i="8"/>
  <c r="AG1686" i="8"/>
  <c r="AH1686" i="8" s="1"/>
  <c r="AB1685" i="8"/>
  <c r="AG1685" i="8"/>
  <c r="AH1685" i="8" s="1"/>
  <c r="AB1683" i="8"/>
  <c r="AG1683" i="8"/>
  <c r="AH1683" i="8" s="1"/>
  <c r="AB1684" i="8"/>
  <c r="AG1684" i="8"/>
  <c r="AH1684" i="8" s="1"/>
  <c r="AB1421" i="8"/>
  <c r="AG1421" i="8"/>
  <c r="AH1421" i="8" s="1"/>
  <c r="AB1784" i="8"/>
  <c r="AG1784" i="8"/>
  <c r="AH1784" i="8" s="1"/>
  <c r="AB1783" i="8"/>
  <c r="AG1783" i="8"/>
  <c r="AH1783" i="8" s="1"/>
  <c r="AB1785" i="8"/>
  <c r="AG1785" i="8"/>
  <c r="AH1785" i="8" s="1"/>
  <c r="AB1744" i="8"/>
  <c r="AG1744" i="8"/>
  <c r="AH1744" i="8" s="1"/>
  <c r="AB1743" i="8"/>
  <c r="AG1743" i="8"/>
  <c r="AH1743" i="8" s="1"/>
  <c r="AB1742" i="8"/>
  <c r="AG1742" i="8"/>
  <c r="AH1742" i="8" s="1"/>
  <c r="AB1832" i="8"/>
  <c r="AG1832" i="8"/>
  <c r="AH1832" i="8" s="1"/>
  <c r="AB1834" i="8"/>
  <c r="AG1834" i="8"/>
  <c r="AH1834" i="8" s="1"/>
  <c r="AB1829" i="8"/>
  <c r="AG1829" i="8"/>
  <c r="AH1829" i="8" s="1"/>
  <c r="AB1830" i="8"/>
  <c r="AG1830" i="8"/>
  <c r="AH1830" i="8" s="1"/>
  <c r="AB1831" i="8"/>
  <c r="AG1831" i="8"/>
  <c r="AH1831" i="8" s="1"/>
  <c r="AB1828" i="8"/>
  <c r="AG1828" i="8"/>
  <c r="AH1828" i="8" s="1"/>
  <c r="AB1833" i="8"/>
  <c r="AG1833" i="8"/>
  <c r="AH1833" i="8" s="1"/>
  <c r="AB1876" i="8"/>
  <c r="AG1876" i="8"/>
  <c r="AH1876" i="8" s="1"/>
  <c r="AB1875" i="8"/>
  <c r="AG1875" i="8"/>
  <c r="AH1875" i="8" s="1"/>
  <c r="AB1874" i="8"/>
  <c r="AG1874" i="8"/>
  <c r="AH1874" i="8" s="1"/>
  <c r="AB1873" i="8"/>
  <c r="AG1873" i="8"/>
  <c r="AH1873" i="8" s="1"/>
  <c r="AB1872" i="8"/>
  <c r="AG1872" i="8"/>
  <c r="AH1872" i="8" s="1"/>
  <c r="AB1870" i="8"/>
  <c r="AG1870" i="8"/>
  <c r="AH1870" i="8" s="1"/>
  <c r="AB1868" i="8"/>
  <c r="AG1868" i="8"/>
  <c r="AH1868" i="8" s="1"/>
  <c r="AB1871" i="8"/>
  <c r="AG1871" i="8"/>
  <c r="AH1871" i="8" s="1"/>
  <c r="AB1869" i="8"/>
  <c r="AG1869" i="8"/>
  <c r="AH1869" i="8" s="1"/>
  <c r="AB1695" i="8"/>
  <c r="AG1695" i="8"/>
  <c r="AH1695" i="8" s="1"/>
  <c r="AB1694" i="8"/>
  <c r="AG1694" i="8"/>
  <c r="AH1694" i="8" s="1"/>
  <c r="AB1861" i="8"/>
  <c r="AG1861" i="8"/>
  <c r="AH1861" i="8" s="1"/>
  <c r="AB1862" i="8"/>
  <c r="AG1862" i="8"/>
  <c r="AH1862" i="8" s="1"/>
  <c r="AB1860" i="8"/>
  <c r="AG1860" i="8"/>
  <c r="AH1860" i="8" s="1"/>
  <c r="AB1859" i="8"/>
  <c r="AG1859" i="8"/>
  <c r="AH1859" i="8" s="1"/>
  <c r="AB1858" i="8"/>
  <c r="AG1858" i="8"/>
  <c r="AH1858" i="8" s="1"/>
  <c r="AB1821" i="8"/>
  <c r="AG1821" i="8"/>
  <c r="AH1821" i="8" s="1"/>
  <c r="AB1818" i="8"/>
  <c r="AG1818" i="8"/>
  <c r="AH1818" i="8" s="1"/>
  <c r="AB1822" i="8"/>
  <c r="AG1822" i="8"/>
  <c r="AH1822" i="8" s="1"/>
  <c r="AB1820" i="8"/>
  <c r="AG1820" i="8"/>
  <c r="AH1820" i="8" s="1"/>
  <c r="AB1819" i="8"/>
  <c r="AG1819" i="8"/>
  <c r="AH1819" i="8" s="1"/>
  <c r="AB1817" i="8"/>
  <c r="AG1817" i="8"/>
  <c r="AH1817" i="8" s="1"/>
  <c r="AB1799" i="8"/>
  <c r="AG1799" i="8"/>
  <c r="AH1799" i="8" s="1"/>
  <c r="AB1795" i="8"/>
  <c r="AG1795" i="8"/>
  <c r="AH1795" i="8" s="1"/>
  <c r="AB1796" i="8"/>
  <c r="AG1796" i="8"/>
  <c r="AH1796" i="8" s="1"/>
  <c r="AB1797" i="8"/>
  <c r="AG1797" i="8"/>
  <c r="AH1797" i="8" s="1"/>
  <c r="AB1798" i="8"/>
  <c r="AG1798" i="8"/>
  <c r="AH1798" i="8" s="1"/>
  <c r="AB1751" i="8"/>
  <c r="AG1751" i="8"/>
  <c r="AH1751" i="8" s="1"/>
  <c r="AB1749" i="8"/>
  <c r="AG1749" i="8"/>
  <c r="AH1749" i="8" s="1"/>
  <c r="AB1752" i="8"/>
  <c r="AG1752" i="8"/>
  <c r="AH1752" i="8" s="1"/>
  <c r="AB1750" i="8"/>
  <c r="AG1750" i="8"/>
  <c r="AH1750" i="8" s="1"/>
  <c r="AB1842" i="8"/>
  <c r="AG1842" i="8"/>
  <c r="AH1842" i="8" s="1"/>
  <c r="AB1843" i="8"/>
  <c r="AG1843" i="8"/>
  <c r="AH1843" i="8" s="1"/>
  <c r="AB1844" i="8"/>
  <c r="AG1844" i="8"/>
  <c r="AH1844" i="8" s="1"/>
  <c r="AB1697" i="8"/>
  <c r="AG1697" i="8"/>
  <c r="AH1697" i="8" s="1"/>
  <c r="AB1782" i="8"/>
  <c r="AG1782" i="8"/>
  <c r="AH1782" i="8" s="1"/>
  <c r="AB1780" i="8"/>
  <c r="AG1780" i="8"/>
  <c r="AH1780" i="8" s="1"/>
  <c r="AB1778" i="8"/>
  <c r="AG1778" i="8"/>
  <c r="AH1778" i="8" s="1"/>
  <c r="AB1779" i="8"/>
  <c r="AG1779" i="8"/>
  <c r="AH1779" i="8" s="1"/>
  <c r="AB1781" i="8"/>
  <c r="AG1781" i="8"/>
  <c r="AH1781" i="8" s="1"/>
  <c r="AB1777" i="8"/>
  <c r="AG1777" i="8"/>
  <c r="AH1777" i="8" s="1"/>
  <c r="AB1853" i="8"/>
  <c r="AG1853" i="8"/>
  <c r="AH1853" i="8" s="1"/>
  <c r="AB1852" i="8"/>
  <c r="AG1852" i="8"/>
  <c r="AH1852" i="8" s="1"/>
  <c r="AB1851" i="8"/>
  <c r="AG1851" i="8"/>
  <c r="AH1851" i="8" s="1"/>
  <c r="AB1892" i="8"/>
  <c r="AG1892" i="8"/>
  <c r="AH1892" i="8" s="1"/>
  <c r="AB1734" i="8"/>
  <c r="AG1734" i="8"/>
  <c r="AH1734" i="8" s="1"/>
  <c r="AB1732" i="8"/>
  <c r="AG1732" i="8"/>
  <c r="AH1732" i="8" s="1"/>
  <c r="AB1733" i="8"/>
  <c r="AG1733" i="8"/>
  <c r="AH1733" i="8" s="1"/>
  <c r="AB1735" i="8"/>
  <c r="AG1735" i="8"/>
  <c r="AH1735" i="8" s="1"/>
  <c r="AB1731" i="8"/>
  <c r="AG1731" i="8"/>
  <c r="AH1731" i="8" s="1"/>
  <c r="AB1740" i="8"/>
  <c r="AG1740" i="8"/>
  <c r="AH1740" i="8" s="1"/>
  <c r="AB1741" i="8"/>
  <c r="AG1741" i="8"/>
  <c r="AH1741" i="8" s="1"/>
  <c r="AB1736" i="8"/>
  <c r="AG1736" i="8"/>
  <c r="AH1736" i="8" s="1"/>
  <c r="AB1737" i="8"/>
  <c r="AG1737" i="8"/>
  <c r="AH1737" i="8" s="1"/>
  <c r="AB1738" i="8"/>
  <c r="AG1738" i="8"/>
  <c r="AH1738" i="8" s="1"/>
  <c r="AB1739" i="8"/>
  <c r="AG1739" i="8"/>
  <c r="AH1739" i="8" s="1"/>
  <c r="AB1789" i="8"/>
  <c r="AG1789" i="8"/>
  <c r="AH1789" i="8" s="1"/>
  <c r="AB1787" i="8"/>
  <c r="AG1787" i="8"/>
  <c r="AH1787" i="8" s="1"/>
  <c r="AB1786" i="8"/>
  <c r="AG1786" i="8"/>
  <c r="AH1786" i="8" s="1"/>
  <c r="AB1788" i="8"/>
  <c r="AG1788" i="8"/>
  <c r="AH1788" i="8" s="1"/>
  <c r="AB870" i="8"/>
  <c r="AG870" i="8"/>
  <c r="AH870" i="8" s="1"/>
  <c r="AB869" i="8"/>
  <c r="AG869" i="8"/>
  <c r="AH869" i="8" s="1"/>
  <c r="AB868" i="8"/>
  <c r="AG868" i="8"/>
  <c r="AH868" i="8" s="1"/>
  <c r="AB789" i="8"/>
  <c r="AG789" i="8"/>
  <c r="AH789" i="8" s="1"/>
  <c r="AB790" i="8"/>
  <c r="AG790" i="8"/>
  <c r="AH790" i="8" s="1"/>
  <c r="AB791" i="8"/>
  <c r="AG791" i="8"/>
  <c r="AH791" i="8" s="1"/>
  <c r="AB792" i="8"/>
  <c r="AG792" i="8"/>
  <c r="AH792" i="8" s="1"/>
  <c r="AB852" i="8"/>
  <c r="AG852" i="8"/>
  <c r="AH852" i="8" s="1"/>
  <c r="AB853" i="8"/>
  <c r="AG853" i="8"/>
  <c r="AH853" i="8" s="1"/>
  <c r="AB854" i="8"/>
  <c r="AG854" i="8"/>
  <c r="AH854" i="8" s="1"/>
  <c r="AB855" i="8"/>
  <c r="AG855" i="8"/>
  <c r="AH855" i="8" s="1"/>
  <c r="AB1017" i="8"/>
  <c r="AG1017" i="8"/>
  <c r="AH1017" i="8" s="1"/>
  <c r="AB1018" i="8"/>
  <c r="AG1018" i="8"/>
  <c r="AH1018" i="8" s="1"/>
  <c r="AB1020" i="8"/>
  <c r="AG1020" i="8"/>
  <c r="AH1020" i="8" s="1"/>
  <c r="AB1019" i="8"/>
  <c r="AG1019" i="8"/>
  <c r="AH1019" i="8" s="1"/>
  <c r="AB842" i="8"/>
  <c r="AG842" i="8"/>
  <c r="AH842" i="8" s="1"/>
  <c r="AB843" i="8"/>
  <c r="AG843" i="8"/>
  <c r="AH843" i="8" s="1"/>
  <c r="AB844" i="8"/>
  <c r="AG844" i="8"/>
  <c r="AH844" i="8" s="1"/>
  <c r="AB845" i="8"/>
  <c r="AG845" i="8"/>
  <c r="AH845" i="8" s="1"/>
  <c r="AB846" i="8"/>
  <c r="AG846" i="8"/>
  <c r="AH846" i="8" s="1"/>
  <c r="AB753" i="8"/>
  <c r="AG753" i="8"/>
  <c r="AH753" i="8" s="1"/>
  <c r="AB755" i="8"/>
  <c r="AG755" i="8"/>
  <c r="AH755" i="8" s="1"/>
  <c r="AB782" i="8"/>
  <c r="AG782" i="8"/>
  <c r="AH782" i="8" s="1"/>
  <c r="AB756" i="8"/>
  <c r="AG756" i="8"/>
  <c r="AH756" i="8" s="1"/>
  <c r="AB754" i="8"/>
  <c r="AG754" i="8"/>
  <c r="AH754" i="8" s="1"/>
  <c r="AB748" i="8"/>
  <c r="AG748" i="8"/>
  <c r="AH748" i="8" s="1"/>
  <c r="AB749" i="8"/>
  <c r="AG749" i="8"/>
  <c r="AH749" i="8" s="1"/>
  <c r="AB750" i="8"/>
  <c r="AG750" i="8"/>
  <c r="AH750" i="8" s="1"/>
  <c r="AB994" i="8"/>
  <c r="AG994" i="8"/>
  <c r="AH994" i="8" s="1"/>
  <c r="AB995" i="8"/>
  <c r="AG995" i="8"/>
  <c r="AH995" i="8" s="1"/>
  <c r="AB996" i="8"/>
  <c r="AG996" i="8"/>
  <c r="AH996" i="8" s="1"/>
  <c r="AB804" i="8"/>
  <c r="AG804" i="8"/>
  <c r="AH804" i="8" s="1"/>
  <c r="AB805" i="8"/>
  <c r="AG805" i="8"/>
  <c r="AH805" i="8" s="1"/>
  <c r="AB807" i="8"/>
  <c r="AG807" i="8"/>
  <c r="AH807" i="8" s="1"/>
  <c r="AB806" i="8"/>
  <c r="AG806" i="8"/>
  <c r="AH806" i="8" s="1"/>
  <c r="AB863" i="8"/>
  <c r="AG863" i="8"/>
  <c r="AH863" i="8" s="1"/>
  <c r="AB864" i="8"/>
  <c r="AG864" i="8"/>
  <c r="AH864" i="8" s="1"/>
  <c r="AB865" i="8"/>
  <c r="AG865" i="8"/>
  <c r="AH865" i="8" s="1"/>
  <c r="AB1008" i="8"/>
  <c r="AG1008" i="8"/>
  <c r="AH1008" i="8" s="1"/>
  <c r="AB1010" i="8"/>
  <c r="AG1010" i="8"/>
  <c r="AH1010" i="8" s="1"/>
  <c r="AB1009" i="8"/>
  <c r="AG1009" i="8"/>
  <c r="AH1009" i="8" s="1"/>
  <c r="AB1005" i="8"/>
  <c r="AG1005" i="8"/>
  <c r="AH1005" i="8" s="1"/>
  <c r="AB1006" i="8"/>
  <c r="AG1006" i="8"/>
  <c r="AH1006" i="8" s="1"/>
  <c r="AB1007" i="8"/>
  <c r="AG1007" i="8"/>
  <c r="AH1007" i="8" s="1"/>
  <c r="AB1000" i="8"/>
  <c r="AG1000" i="8"/>
  <c r="AH1000" i="8" s="1"/>
  <c r="AB999" i="8"/>
  <c r="AG999" i="8"/>
  <c r="AH999" i="8" s="1"/>
  <c r="AB998" i="8"/>
  <c r="AG998" i="8"/>
  <c r="AH998" i="8" s="1"/>
  <c r="AB997" i="8"/>
  <c r="AG997" i="8"/>
  <c r="AH997" i="8" s="1"/>
  <c r="AB861" i="8"/>
  <c r="AG861" i="8"/>
  <c r="AH861" i="8" s="1"/>
  <c r="AB860" i="8"/>
  <c r="AG860" i="8"/>
  <c r="AH860" i="8" s="1"/>
  <c r="AB859" i="8"/>
  <c r="AG859" i="8"/>
  <c r="AH859" i="8" s="1"/>
  <c r="AB862" i="8"/>
  <c r="AG862" i="8"/>
  <c r="AH862" i="8" s="1"/>
  <c r="AB983" i="8"/>
  <c r="AG983" i="8"/>
  <c r="AH983" i="8" s="1"/>
  <c r="AB984" i="8"/>
  <c r="AG984" i="8"/>
  <c r="AH984" i="8" s="1"/>
  <c r="AB1913" i="8"/>
  <c r="AG1913" i="8"/>
  <c r="AH1913" i="8" s="1"/>
  <c r="AB1914" i="8"/>
  <c r="AG1914" i="8"/>
  <c r="AH1914" i="8" s="1"/>
  <c r="AB1915" i="8"/>
  <c r="AG1915" i="8"/>
  <c r="AH1915" i="8" s="1"/>
  <c r="AB1916" i="8"/>
  <c r="AG1916" i="8"/>
  <c r="AH1916" i="8" s="1"/>
  <c r="AB1912" i="8"/>
  <c r="AG1912" i="8"/>
  <c r="AH1912" i="8" s="1"/>
  <c r="AB1918" i="8"/>
  <c r="AG1918" i="8"/>
  <c r="AH1918" i="8" s="1"/>
  <c r="AB1921" i="8"/>
  <c r="AG1921" i="8"/>
  <c r="AH1921" i="8" s="1"/>
  <c r="AB1920" i="8"/>
  <c r="AG1920" i="8"/>
  <c r="AH1920" i="8" s="1"/>
  <c r="AB1919" i="8"/>
  <c r="AG1919" i="8"/>
  <c r="AH1919" i="8" s="1"/>
  <c r="AB1917" i="8"/>
  <c r="AG1917" i="8"/>
  <c r="AH1917" i="8" s="1"/>
  <c r="AB1893" i="8"/>
  <c r="AG1893" i="8"/>
  <c r="AH1893" i="8" s="1"/>
  <c r="AB1894" i="8"/>
  <c r="AG1894" i="8"/>
  <c r="AH1894" i="8" s="1"/>
  <c r="AB1895" i="8"/>
  <c r="AG1895" i="8"/>
  <c r="AH1895" i="8" s="1"/>
  <c r="AB410" i="8"/>
  <c r="AG410" i="8"/>
  <c r="AH410" i="8" s="1"/>
  <c r="AB409" i="8"/>
  <c r="AG409" i="8"/>
  <c r="AH409" i="8" s="1"/>
  <c r="AB704" i="8"/>
  <c r="AG704" i="8"/>
  <c r="AH704" i="8" s="1"/>
  <c r="AB598" i="8"/>
  <c r="AG598" i="8"/>
  <c r="AH598" i="8" s="1"/>
  <c r="AB595" i="8"/>
  <c r="AG595" i="8"/>
  <c r="AH595" i="8" s="1"/>
  <c r="AB594" i="8"/>
  <c r="AG594" i="8"/>
  <c r="AH594" i="8" s="1"/>
  <c r="AB597" i="8"/>
  <c r="AG597" i="8"/>
  <c r="AH597" i="8" s="1"/>
  <c r="AB596" i="8"/>
  <c r="AG596" i="8"/>
  <c r="AH596" i="8" s="1"/>
  <c r="AB586" i="8"/>
  <c r="AG586" i="8"/>
  <c r="AH586" i="8" s="1"/>
  <c r="AB585" i="8"/>
  <c r="AG585" i="8"/>
  <c r="AH585" i="8" s="1"/>
  <c r="AB584" i="8"/>
  <c r="AG584" i="8"/>
  <c r="AH584" i="8" s="1"/>
  <c r="AB588" i="8"/>
  <c r="AG588" i="8"/>
  <c r="AH588" i="8" s="1"/>
  <c r="AB587" i="8"/>
  <c r="AG587" i="8"/>
  <c r="AH587" i="8" s="1"/>
  <c r="AB581" i="8"/>
  <c r="AG581" i="8"/>
  <c r="AH581" i="8" s="1"/>
  <c r="AB582" i="8"/>
  <c r="AG582" i="8"/>
  <c r="AH582" i="8" s="1"/>
  <c r="AB583" i="8"/>
  <c r="AG583" i="8"/>
  <c r="AH583" i="8" s="1"/>
  <c r="AB669" i="8"/>
  <c r="AG669" i="8"/>
  <c r="AH669" i="8" s="1"/>
  <c r="AB668" i="8"/>
  <c r="AG668" i="8"/>
  <c r="AH668" i="8" s="1"/>
  <c r="AB667" i="8"/>
  <c r="AG667" i="8"/>
  <c r="AH667" i="8" s="1"/>
  <c r="AB666" i="8"/>
  <c r="AG666" i="8"/>
  <c r="AH666" i="8" s="1"/>
  <c r="AB664" i="8"/>
  <c r="AG664" i="8"/>
  <c r="AH664" i="8" s="1"/>
  <c r="AB663" i="8"/>
  <c r="AG663" i="8"/>
  <c r="AH663" i="8" s="1"/>
  <c r="AB665" i="8"/>
  <c r="AG665" i="8"/>
  <c r="AH665" i="8" s="1"/>
  <c r="AB413" i="8"/>
  <c r="AG413" i="8"/>
  <c r="AH413" i="8" s="1"/>
  <c r="AB412" i="8"/>
  <c r="AG412" i="8"/>
  <c r="AH412" i="8" s="1"/>
  <c r="AB705" i="8"/>
  <c r="AG705" i="8"/>
  <c r="AH705" i="8" s="1"/>
  <c r="AB708" i="8"/>
  <c r="AG708" i="8"/>
  <c r="AH708" i="8" s="1"/>
  <c r="AB707" i="8"/>
  <c r="AG707" i="8"/>
  <c r="AH707" i="8" s="1"/>
  <c r="AB706" i="8"/>
  <c r="AG706" i="8"/>
  <c r="AH706" i="8" s="1"/>
  <c r="AB605" i="8"/>
  <c r="AG605" i="8"/>
  <c r="AH605" i="8" s="1"/>
  <c r="AB606" i="8"/>
  <c r="AG606" i="8"/>
  <c r="AH606" i="8" s="1"/>
  <c r="AB710" i="8"/>
  <c r="AG710" i="8"/>
  <c r="AH710" i="8" s="1"/>
  <c r="AB709" i="8"/>
  <c r="AG709" i="8"/>
  <c r="AH709" i="8" s="1"/>
  <c r="AB589" i="8"/>
  <c r="AG589" i="8"/>
  <c r="AH589" i="8" s="1"/>
  <c r="AB590" i="8"/>
  <c r="AG590" i="8"/>
  <c r="AH590" i="8" s="1"/>
  <c r="AB591" i="8"/>
  <c r="AG591" i="8"/>
  <c r="AH591" i="8" s="1"/>
  <c r="AB592" i="8"/>
  <c r="AG592" i="8"/>
  <c r="AH592" i="8" s="1"/>
  <c r="AB593" i="8"/>
  <c r="AG593" i="8"/>
  <c r="AH593" i="8" s="1"/>
  <c r="AB528" i="8"/>
  <c r="AG528" i="8"/>
  <c r="AH528" i="8" s="1"/>
  <c r="AB529" i="8"/>
  <c r="AG529" i="8"/>
  <c r="AH529" i="8" s="1"/>
  <c r="AB527" i="8"/>
  <c r="AG527" i="8"/>
  <c r="AH527" i="8" s="1"/>
  <c r="AB514" i="8"/>
  <c r="AG514" i="8"/>
  <c r="AH514" i="8" s="1"/>
  <c r="AB515" i="8"/>
  <c r="AG515" i="8"/>
  <c r="AH515" i="8" s="1"/>
  <c r="AB516" i="8"/>
  <c r="AG516" i="8"/>
  <c r="AH516" i="8" s="1"/>
  <c r="AB517" i="8"/>
  <c r="AG517" i="8"/>
  <c r="AH517" i="8" s="1"/>
  <c r="AB518" i="8"/>
  <c r="AG518" i="8"/>
  <c r="AH518" i="8" s="1"/>
  <c r="AB520" i="8"/>
  <c r="AG520" i="8"/>
  <c r="AH520" i="8" s="1"/>
  <c r="AB521" i="8"/>
  <c r="AG521" i="8"/>
  <c r="AH521" i="8" s="1"/>
  <c r="AB522" i="8"/>
  <c r="AG522" i="8"/>
  <c r="AH522" i="8" s="1"/>
  <c r="AB523" i="8"/>
  <c r="AG523" i="8"/>
  <c r="AH523" i="8" s="1"/>
  <c r="AB519" i="8"/>
  <c r="AG519" i="8"/>
  <c r="AH519" i="8" s="1"/>
  <c r="AB524" i="8"/>
  <c r="AG524" i="8"/>
  <c r="AH524" i="8" s="1"/>
  <c r="AB525" i="8"/>
  <c r="AG525" i="8"/>
  <c r="AH525" i="8" s="1"/>
  <c r="AB526" i="8"/>
  <c r="AG526" i="8"/>
  <c r="AH526" i="8" s="1"/>
  <c r="AB541" i="8"/>
  <c r="AG541" i="8"/>
  <c r="AH541" i="8" s="1"/>
  <c r="AB540" i="8"/>
  <c r="AG540" i="8"/>
  <c r="AH540" i="8" s="1"/>
  <c r="AB542" i="8"/>
  <c r="AG542" i="8"/>
  <c r="AH542" i="8" s="1"/>
  <c r="AB635" i="8"/>
  <c r="AG635" i="8"/>
  <c r="AH635" i="8" s="1"/>
  <c r="AB634" i="8"/>
  <c r="AG634" i="8"/>
  <c r="AH634" i="8" s="1"/>
  <c r="AB633" i="8"/>
  <c r="AG633" i="8"/>
  <c r="AH633" i="8" s="1"/>
  <c r="AB636" i="8"/>
  <c r="AG636" i="8"/>
  <c r="AH636" i="8" s="1"/>
  <c r="AB398" i="8"/>
  <c r="AG398" i="8"/>
  <c r="AH398" i="8" s="1"/>
  <c r="AB397" i="8"/>
  <c r="AG397" i="8"/>
  <c r="AH397" i="8" s="1"/>
  <c r="AB399" i="8"/>
  <c r="AG399" i="8"/>
  <c r="AH399" i="8" s="1"/>
  <c r="AB400" i="8"/>
  <c r="AG400" i="8"/>
  <c r="AH400" i="8" s="1"/>
  <c r="AB637" i="8"/>
  <c r="AG637" i="8"/>
  <c r="AH637" i="8" s="1"/>
  <c r="AB638" i="8"/>
  <c r="AG638" i="8"/>
  <c r="AH638" i="8" s="1"/>
  <c r="AB639" i="8"/>
  <c r="AG639" i="8"/>
  <c r="AH639" i="8" s="1"/>
  <c r="AB640" i="8"/>
  <c r="AG640" i="8"/>
  <c r="AH640" i="8" s="1"/>
  <c r="AB684" i="8"/>
  <c r="AG684" i="8"/>
  <c r="AH684" i="8" s="1"/>
  <c r="AB685" i="8"/>
  <c r="AG685" i="8"/>
  <c r="AH685" i="8" s="1"/>
  <c r="AB423" i="8"/>
  <c r="AG423" i="8"/>
  <c r="AH423" i="8" s="1"/>
  <c r="AB426" i="8"/>
  <c r="AG426" i="8"/>
  <c r="AH426" i="8" s="1"/>
  <c r="AB425" i="8"/>
  <c r="AG425" i="8"/>
  <c r="AH425" i="8" s="1"/>
  <c r="AB424" i="8"/>
  <c r="AG424" i="8"/>
  <c r="AH424" i="8" s="1"/>
  <c r="AB408" i="8"/>
  <c r="AG408" i="8"/>
  <c r="AH408" i="8" s="1"/>
  <c r="AB407" i="8"/>
  <c r="AG407" i="8"/>
  <c r="AH407" i="8" s="1"/>
  <c r="AB406" i="8"/>
  <c r="AG406" i="8"/>
  <c r="AH406" i="8" s="1"/>
  <c r="AB717" i="8"/>
  <c r="AG717" i="8"/>
  <c r="AH717" i="8" s="1"/>
  <c r="AB719" i="8"/>
  <c r="AG719" i="8"/>
  <c r="AH719" i="8" s="1"/>
  <c r="AB716" i="8"/>
  <c r="AG716" i="8"/>
  <c r="AH716" i="8" s="1"/>
  <c r="AB718" i="8"/>
  <c r="AG718" i="8"/>
  <c r="AH718" i="8" s="1"/>
  <c r="AB683" i="8"/>
  <c r="AG683" i="8"/>
  <c r="AH683" i="8" s="1"/>
  <c r="AB711" i="8"/>
  <c r="AG711" i="8"/>
  <c r="AH711" i="8" s="1"/>
  <c r="AB713" i="8"/>
  <c r="AG713" i="8"/>
  <c r="AH713" i="8" s="1"/>
  <c r="AB712" i="8"/>
  <c r="AG712" i="8"/>
  <c r="AH712" i="8" s="1"/>
  <c r="AB647" i="8"/>
  <c r="AG647" i="8"/>
  <c r="AH647" i="8" s="1"/>
  <c r="AB648" i="8"/>
  <c r="AG648" i="8"/>
  <c r="AH648" i="8" s="1"/>
  <c r="AB649" i="8"/>
  <c r="AG649" i="8"/>
  <c r="AH649" i="8" s="1"/>
  <c r="AB530" i="8"/>
  <c r="AG530" i="8"/>
  <c r="AH530" i="8" s="1"/>
  <c r="AB384" i="8"/>
  <c r="AG384" i="8"/>
  <c r="AH384" i="8" s="1"/>
  <c r="AB383" i="8"/>
  <c r="AG383" i="8"/>
  <c r="AH383" i="8" s="1"/>
  <c r="AB382" i="8"/>
  <c r="AG382" i="8"/>
  <c r="AH382" i="8" s="1"/>
  <c r="AB381" i="8"/>
  <c r="AG381" i="8"/>
  <c r="AH381" i="8" s="1"/>
  <c r="AB502" i="8"/>
  <c r="AG502" i="8"/>
  <c r="AH502" i="8" s="1"/>
  <c r="AB503" i="8"/>
  <c r="AG503" i="8"/>
  <c r="AH503" i="8" s="1"/>
  <c r="AB504" i="8"/>
  <c r="AG504" i="8"/>
  <c r="AH504" i="8" s="1"/>
  <c r="AB505" i="8"/>
  <c r="AG505" i="8"/>
  <c r="AH505" i="8" s="1"/>
  <c r="AB570" i="8"/>
  <c r="AG570" i="8"/>
  <c r="AH570" i="8" s="1"/>
  <c r="AB571" i="8"/>
  <c r="AG571" i="8"/>
  <c r="AH571" i="8" s="1"/>
  <c r="AB568" i="8"/>
  <c r="AG568" i="8"/>
  <c r="AH568" i="8" s="1"/>
  <c r="AB569" i="8"/>
  <c r="AG569" i="8"/>
  <c r="AH569" i="8" s="1"/>
  <c r="AB376" i="8"/>
  <c r="AG376" i="8"/>
  <c r="AH376" i="8" s="1"/>
  <c r="AB377" i="8"/>
  <c r="AG377" i="8"/>
  <c r="AH377" i="8" s="1"/>
  <c r="AB378" i="8"/>
  <c r="AG378" i="8"/>
  <c r="AH378" i="8" s="1"/>
  <c r="AB379" i="8"/>
  <c r="AG379" i="8"/>
  <c r="AH379" i="8" s="1"/>
  <c r="AB380" i="8"/>
  <c r="AG380" i="8"/>
  <c r="AH380" i="8" s="1"/>
  <c r="AB375" i="8"/>
  <c r="AG375" i="8"/>
  <c r="AH375" i="8" s="1"/>
  <c r="AB437" i="8"/>
  <c r="AG437" i="8"/>
  <c r="AH437" i="8" s="1"/>
  <c r="AB435" i="8"/>
  <c r="AG435" i="8"/>
  <c r="AH435" i="8" s="1"/>
  <c r="AB436" i="8"/>
  <c r="AG436" i="8"/>
  <c r="AH436" i="8" s="1"/>
  <c r="AB497" i="8"/>
  <c r="AG497" i="8"/>
  <c r="AH497" i="8" s="1"/>
  <c r="AB496" i="8"/>
  <c r="AG496" i="8"/>
  <c r="AH496" i="8" s="1"/>
  <c r="AB495" i="8"/>
  <c r="AG495" i="8"/>
  <c r="AH495" i="8" s="1"/>
  <c r="AB494" i="8"/>
  <c r="AG494" i="8"/>
  <c r="AH494" i="8" s="1"/>
  <c r="AB573" i="8"/>
  <c r="AG573" i="8"/>
  <c r="AH573" i="8" s="1"/>
  <c r="AB574" i="8"/>
  <c r="AG574" i="8"/>
  <c r="AH574" i="8" s="1"/>
  <c r="AB461" i="8"/>
  <c r="AG461" i="8"/>
  <c r="AH461" i="8" s="1"/>
  <c r="AB460" i="8"/>
  <c r="AG460" i="8"/>
  <c r="AH460" i="8" s="1"/>
  <c r="AB459" i="8"/>
  <c r="AG459" i="8"/>
  <c r="AH459" i="8" s="1"/>
  <c r="AB553" i="8"/>
  <c r="AG553" i="8"/>
  <c r="AH553" i="8" s="1"/>
  <c r="AB552" i="8"/>
  <c r="AG552" i="8"/>
  <c r="AH552" i="8" s="1"/>
  <c r="AB554" i="8"/>
  <c r="AG554" i="8"/>
  <c r="AH554" i="8" s="1"/>
  <c r="AB482" i="8"/>
  <c r="AG482" i="8"/>
  <c r="AH482" i="8" s="1"/>
  <c r="AB485" i="8"/>
  <c r="AG485" i="8"/>
  <c r="AH485" i="8" s="1"/>
  <c r="AB484" i="8"/>
  <c r="AG484" i="8"/>
  <c r="AH484" i="8" s="1"/>
  <c r="AB483" i="8"/>
  <c r="AG483" i="8"/>
  <c r="AH483" i="8" s="1"/>
  <c r="AB674" i="8"/>
  <c r="AG674" i="8"/>
  <c r="AH674" i="8" s="1"/>
  <c r="AB675" i="8"/>
  <c r="AG675" i="8"/>
  <c r="AH675" i="8" s="1"/>
  <c r="AB473" i="8"/>
  <c r="AG473" i="8"/>
  <c r="AH473" i="8" s="1"/>
  <c r="AB474" i="8"/>
  <c r="AG474" i="8"/>
  <c r="AH474" i="8" s="1"/>
  <c r="AB475" i="8"/>
  <c r="AG475" i="8"/>
  <c r="AH475" i="8" s="1"/>
  <c r="AB471" i="8"/>
  <c r="AG471" i="8"/>
  <c r="AH471" i="8" s="1"/>
  <c r="AB472" i="8"/>
  <c r="AG472" i="8"/>
  <c r="AH472" i="8" s="1"/>
  <c r="AB456" i="8"/>
  <c r="AG456" i="8"/>
  <c r="AH456" i="8" s="1"/>
  <c r="AB455" i="8"/>
  <c r="AG455" i="8"/>
  <c r="AH455" i="8" s="1"/>
  <c r="AB458" i="8"/>
  <c r="AG458" i="8"/>
  <c r="AH458" i="8" s="1"/>
  <c r="AB457" i="8"/>
  <c r="AG457" i="8"/>
  <c r="AH457" i="8" s="1"/>
  <c r="AB658" i="8"/>
  <c r="AG658" i="8"/>
  <c r="AH658" i="8" s="1"/>
  <c r="AB656" i="8"/>
  <c r="AG656" i="8"/>
  <c r="AH656" i="8" s="1"/>
  <c r="AB657" i="8"/>
  <c r="AG657" i="8"/>
  <c r="AH657" i="8" s="1"/>
  <c r="AB486" i="8"/>
  <c r="AG486" i="8"/>
  <c r="AH486" i="8" s="1"/>
  <c r="AB487" i="8"/>
  <c r="AG487" i="8"/>
  <c r="AH487" i="8" s="1"/>
  <c r="AB488" i="8"/>
  <c r="AG488" i="8"/>
  <c r="AH488" i="8" s="1"/>
  <c r="AB489" i="8"/>
  <c r="AG489" i="8"/>
  <c r="AH489" i="8" s="1"/>
  <c r="AB444" i="8"/>
  <c r="AG444" i="8"/>
  <c r="AH444" i="8" s="1"/>
  <c r="AB445" i="8"/>
  <c r="AG445" i="8"/>
  <c r="AH445" i="8" s="1"/>
  <c r="AB446" i="8"/>
  <c r="AG446" i="8"/>
  <c r="AH446" i="8" s="1"/>
  <c r="AB478" i="8"/>
  <c r="AG478" i="8"/>
  <c r="AH478" i="8" s="1"/>
  <c r="AB476" i="8"/>
  <c r="AG476" i="8"/>
  <c r="AH476" i="8" s="1"/>
  <c r="AB477" i="8"/>
  <c r="AG477" i="8"/>
  <c r="AH477" i="8" s="1"/>
  <c r="AB762" i="8"/>
  <c r="AG762" i="8"/>
  <c r="AH762" i="8" s="1"/>
  <c r="AB783" i="8"/>
  <c r="AG783" i="8"/>
  <c r="AH783" i="8" s="1"/>
  <c r="AB763" i="8"/>
  <c r="AG763" i="8"/>
  <c r="AH763" i="8" s="1"/>
  <c r="AB765" i="8"/>
  <c r="AG765" i="8"/>
  <c r="AH765" i="8" s="1"/>
  <c r="AB764" i="8"/>
  <c r="AG764" i="8"/>
  <c r="AH764" i="8" s="1"/>
  <c r="AB355" i="8"/>
  <c r="AG355" i="8"/>
  <c r="AH355" i="8" s="1"/>
  <c r="AB356" i="8"/>
  <c r="AG356" i="8"/>
  <c r="AH356" i="8" s="1"/>
  <c r="AB357" i="8"/>
  <c r="AG357" i="8"/>
  <c r="AH357" i="8" s="1"/>
  <c r="AB358" i="8"/>
  <c r="AG358" i="8"/>
  <c r="AH358" i="8" s="1"/>
  <c r="AB359" i="8"/>
  <c r="AG359" i="8"/>
  <c r="AH359" i="8" s="1"/>
  <c r="AB303" i="8"/>
  <c r="AG303" i="8"/>
  <c r="AH303" i="8" s="1"/>
  <c r="AB302" i="8"/>
  <c r="AG302" i="8"/>
  <c r="AH302" i="8" s="1"/>
  <c r="AB300" i="8"/>
  <c r="AG300" i="8"/>
  <c r="AH300" i="8" s="1"/>
  <c r="AB299" i="8"/>
  <c r="AG299" i="8"/>
  <c r="AH299" i="8" s="1"/>
  <c r="AB301" i="8"/>
  <c r="AG301" i="8"/>
  <c r="AH301" i="8" s="1"/>
  <c r="AB330" i="8"/>
  <c r="AG330" i="8"/>
  <c r="AH330" i="8" s="1"/>
  <c r="AB332" i="8"/>
  <c r="AG332" i="8"/>
  <c r="AH332" i="8" s="1"/>
  <c r="AB331" i="8"/>
  <c r="AG331" i="8"/>
  <c r="AH331" i="8" s="1"/>
  <c r="AB329" i="8"/>
  <c r="AG329" i="8"/>
  <c r="AH329" i="8" s="1"/>
  <c r="AB282" i="8"/>
  <c r="AG282" i="8"/>
  <c r="AH282" i="8" s="1"/>
  <c r="AB281" i="8"/>
  <c r="AG281" i="8"/>
  <c r="AH281" i="8" s="1"/>
  <c r="AB284" i="8"/>
  <c r="AG284" i="8"/>
  <c r="AH284" i="8" s="1"/>
  <c r="AB283" i="8"/>
  <c r="AG283" i="8"/>
  <c r="AH283" i="8" s="1"/>
  <c r="AB285" i="8"/>
  <c r="AG285" i="8"/>
  <c r="AH285" i="8" s="1"/>
  <c r="AB336" i="8"/>
  <c r="AG336" i="8"/>
  <c r="AH336" i="8" s="1"/>
  <c r="AB337" i="8"/>
  <c r="AG337" i="8"/>
  <c r="AH337" i="8" s="1"/>
  <c r="AB338" i="8"/>
  <c r="AG338" i="8"/>
  <c r="AH338" i="8" s="1"/>
  <c r="AB341" i="8"/>
  <c r="AG341" i="8"/>
  <c r="AH341" i="8" s="1"/>
  <c r="AB339" i="8"/>
  <c r="AG339" i="8"/>
  <c r="AH339" i="8" s="1"/>
  <c r="AB340" i="8"/>
  <c r="AG340" i="8"/>
  <c r="AH340" i="8" s="1"/>
  <c r="AB360" i="8"/>
  <c r="AG360" i="8"/>
  <c r="AH360" i="8" s="1"/>
  <c r="AB361" i="8"/>
  <c r="AG361" i="8"/>
  <c r="AH361" i="8" s="1"/>
  <c r="AB362" i="8"/>
  <c r="AG362" i="8"/>
  <c r="AH362" i="8" s="1"/>
  <c r="AB363" i="8"/>
  <c r="AG363" i="8"/>
  <c r="AH363" i="8" s="1"/>
  <c r="AB364" i="8"/>
  <c r="AG364" i="8"/>
  <c r="AH364" i="8" s="1"/>
  <c r="AB365" i="8"/>
  <c r="AG365" i="8"/>
  <c r="AH365" i="8" s="1"/>
  <c r="AB366" i="8"/>
  <c r="AG366" i="8"/>
  <c r="AH366" i="8" s="1"/>
  <c r="AB367" i="8"/>
  <c r="AG367" i="8"/>
  <c r="AH367" i="8" s="1"/>
  <c r="AB368" i="8"/>
  <c r="AG368" i="8"/>
  <c r="AH368" i="8" s="1"/>
  <c r="AB369" i="8"/>
  <c r="AG369" i="8"/>
  <c r="AH369" i="8" s="1"/>
  <c r="AB295" i="8"/>
  <c r="AG295" i="8"/>
  <c r="AH295" i="8" s="1"/>
  <c r="AB296" i="8"/>
  <c r="AG296" i="8"/>
  <c r="AH296" i="8" s="1"/>
  <c r="AB297" i="8"/>
  <c r="AG297" i="8"/>
  <c r="AH297" i="8" s="1"/>
  <c r="AB298" i="8"/>
  <c r="AG298" i="8"/>
  <c r="AH298" i="8" s="1"/>
  <c r="AB345" i="8"/>
  <c r="AG345" i="8"/>
  <c r="AH345" i="8" s="1"/>
  <c r="AB344" i="8"/>
  <c r="AG344" i="8"/>
  <c r="AH344" i="8" s="1"/>
  <c r="AB343" i="8"/>
  <c r="AG343" i="8"/>
  <c r="AH343" i="8" s="1"/>
  <c r="AB342" i="8"/>
  <c r="AG342" i="8"/>
  <c r="AH342" i="8" s="1"/>
  <c r="AB346" i="8"/>
  <c r="AG346" i="8"/>
  <c r="AH346" i="8" s="1"/>
  <c r="AB250" i="8"/>
  <c r="AG250" i="8"/>
  <c r="AH250" i="8" s="1"/>
  <c r="AB251" i="8"/>
  <c r="AG251" i="8"/>
  <c r="AH251" i="8" s="1"/>
  <c r="AB252" i="8"/>
  <c r="AG252" i="8"/>
  <c r="AH252" i="8" s="1"/>
  <c r="AB253" i="8"/>
  <c r="AG253" i="8"/>
  <c r="AH253" i="8" s="1"/>
  <c r="AB222" i="8"/>
  <c r="AG222" i="8"/>
  <c r="AH222" i="8" s="1"/>
  <c r="AB223" i="8"/>
  <c r="AG223" i="8"/>
  <c r="AH223" i="8" s="1"/>
  <c r="AB224" i="8"/>
  <c r="AG224" i="8"/>
  <c r="AH224" i="8" s="1"/>
  <c r="AB225" i="8"/>
  <c r="AG225" i="8"/>
  <c r="AH225" i="8" s="1"/>
  <c r="AB226" i="8"/>
  <c r="AG226" i="8"/>
  <c r="AH226" i="8" s="1"/>
  <c r="AB233" i="8"/>
  <c r="AG233" i="8"/>
  <c r="AH233" i="8" s="1"/>
  <c r="AB234" i="8"/>
  <c r="AG234" i="8"/>
  <c r="AH234" i="8" s="1"/>
  <c r="AB235" i="8"/>
  <c r="AG235" i="8"/>
  <c r="AH235" i="8" s="1"/>
  <c r="AB88" i="8"/>
  <c r="AG88" i="8"/>
  <c r="AH88" i="8" s="1"/>
  <c r="AB166" i="8"/>
  <c r="AG166" i="8"/>
  <c r="AH166" i="8" s="1"/>
  <c r="AB167" i="8"/>
  <c r="AG167" i="8"/>
  <c r="AH167" i="8" s="1"/>
  <c r="AB168" i="8"/>
  <c r="AG168" i="8"/>
  <c r="AH168" i="8" s="1"/>
  <c r="AB165" i="8"/>
  <c r="AG165" i="8"/>
  <c r="AH165" i="8" s="1"/>
  <c r="AB164" i="8"/>
  <c r="AG164" i="8"/>
  <c r="AH164" i="8" s="1"/>
  <c r="AB170" i="8"/>
  <c r="AG170" i="8"/>
  <c r="AH170" i="8" s="1"/>
  <c r="AB159" i="8"/>
  <c r="AG159" i="8"/>
  <c r="AH159" i="8" s="1"/>
  <c r="AB160" i="8"/>
  <c r="AG160" i="8"/>
  <c r="AH160" i="8" s="1"/>
  <c r="AB161" i="8"/>
  <c r="AG161" i="8"/>
  <c r="AH161" i="8" s="1"/>
  <c r="AB162" i="8"/>
  <c r="AG162" i="8"/>
  <c r="AH162" i="8" s="1"/>
  <c r="AB163" i="8"/>
  <c r="AG163" i="8"/>
  <c r="AH163" i="8" s="1"/>
  <c r="AB78" i="8"/>
  <c r="AG78" i="8"/>
  <c r="AH78" i="8" s="1"/>
  <c r="AB79" i="8"/>
  <c r="AG79" i="8"/>
  <c r="AH79" i="8" s="1"/>
  <c r="AB80" i="8"/>
  <c r="AG80" i="8"/>
  <c r="AH80" i="8" s="1"/>
  <c r="AB176" i="8"/>
  <c r="AG176" i="8"/>
  <c r="AH176" i="8" s="1"/>
  <c r="AB81" i="8"/>
  <c r="AG81" i="8"/>
  <c r="AH81" i="8" s="1"/>
  <c r="AB84" i="8"/>
  <c r="AG84" i="8"/>
  <c r="AH84" i="8" s="1"/>
  <c r="AB85" i="8"/>
  <c r="AG85" i="8"/>
  <c r="AH85" i="8" s="1"/>
  <c r="AB87" i="8"/>
  <c r="AG87" i="8"/>
  <c r="AH87" i="8" s="1"/>
  <c r="AB86" i="8"/>
  <c r="AG86" i="8"/>
  <c r="AH86" i="8" s="1"/>
  <c r="AB82" i="8"/>
  <c r="AG82" i="8"/>
  <c r="AH82" i="8" s="1"/>
  <c r="AB83" i="8"/>
  <c r="AG83" i="8"/>
  <c r="AH83" i="8" s="1"/>
  <c r="AB95" i="8"/>
  <c r="AG95" i="8"/>
  <c r="AH95" i="8" s="1"/>
  <c r="AB94" i="8"/>
  <c r="AG94" i="8"/>
  <c r="AH94" i="8" s="1"/>
  <c r="AB93" i="8"/>
  <c r="AG93" i="8"/>
  <c r="AH93" i="8" s="1"/>
  <c r="AB121" i="8"/>
  <c r="AG121" i="8"/>
  <c r="AH121" i="8" s="1"/>
  <c r="AB122" i="8"/>
  <c r="AG122" i="8"/>
  <c r="AH122" i="8" s="1"/>
  <c r="AB123" i="8"/>
  <c r="AG123" i="8"/>
  <c r="AH123" i="8" s="1"/>
  <c r="AB124" i="8"/>
  <c r="AG124" i="8"/>
  <c r="AH124" i="8" s="1"/>
  <c r="AB125" i="8"/>
  <c r="AG125" i="8"/>
  <c r="AH125" i="8" s="1"/>
  <c r="AB151" i="8"/>
  <c r="AG151" i="8"/>
  <c r="AH151" i="8" s="1"/>
  <c r="AB150" i="8"/>
  <c r="AG150" i="8"/>
  <c r="AH150" i="8" s="1"/>
  <c r="AB149" i="8"/>
  <c r="AG149" i="8"/>
  <c r="AH149" i="8" s="1"/>
  <c r="AB153" i="8"/>
  <c r="AG153" i="8"/>
  <c r="AH153" i="8" s="1"/>
  <c r="AB152" i="8"/>
  <c r="AG152" i="8"/>
  <c r="AH152" i="8" s="1"/>
  <c r="AB117" i="8"/>
  <c r="AG117" i="8"/>
  <c r="AH117" i="8" s="1"/>
  <c r="AB118" i="8"/>
  <c r="AG118" i="8"/>
  <c r="AH118" i="8" s="1"/>
  <c r="AB119" i="8"/>
  <c r="AG119" i="8"/>
  <c r="AH119" i="8" s="1"/>
  <c r="AB120" i="8"/>
  <c r="AG120" i="8"/>
  <c r="AH120" i="8" s="1"/>
  <c r="AB201" i="8"/>
  <c r="AG201" i="8"/>
  <c r="AH201" i="8" s="1"/>
  <c r="AB200" i="8"/>
  <c r="AG200" i="8"/>
  <c r="AH200" i="8" s="1"/>
  <c r="AB202" i="8"/>
  <c r="AG202" i="8"/>
  <c r="AH202" i="8" s="1"/>
  <c r="AB134" i="8"/>
  <c r="AG134" i="8"/>
  <c r="AH134" i="8" s="1"/>
  <c r="AB131" i="8"/>
  <c r="AG131" i="8"/>
  <c r="AH131" i="8" s="1"/>
  <c r="AB130" i="8"/>
  <c r="AG130" i="8"/>
  <c r="AH130" i="8" s="1"/>
  <c r="AB132" i="8"/>
  <c r="AG132" i="8"/>
  <c r="AH132" i="8" s="1"/>
  <c r="AB133" i="8"/>
  <c r="AG133" i="8"/>
  <c r="AH133" i="8" s="1"/>
  <c r="AB183" i="8"/>
  <c r="AG183" i="8"/>
  <c r="AH183" i="8" s="1"/>
  <c r="AB186" i="8"/>
  <c r="AG186" i="8"/>
  <c r="AH186" i="8" s="1"/>
  <c r="AB184" i="8"/>
  <c r="AG184" i="8"/>
  <c r="AH184" i="8" s="1"/>
  <c r="AB181" i="8"/>
  <c r="AG181" i="8"/>
  <c r="AH181" i="8" s="1"/>
  <c r="AB182" i="8"/>
  <c r="AG182" i="8"/>
  <c r="AH182" i="8" s="1"/>
  <c r="AB185" i="8"/>
  <c r="AG185" i="8"/>
  <c r="AH185" i="8" s="1"/>
  <c r="AB112" i="8"/>
  <c r="AG112" i="8"/>
  <c r="AH112" i="8" s="1"/>
  <c r="AB113" i="8"/>
  <c r="AG113" i="8"/>
  <c r="AH113" i="8" s="1"/>
  <c r="AB111" i="8"/>
  <c r="AG111" i="8"/>
  <c r="AH111" i="8" s="1"/>
  <c r="AB110" i="8"/>
  <c r="AG110" i="8"/>
  <c r="AH110" i="8" s="1"/>
  <c r="AB109" i="8"/>
  <c r="AG109" i="8"/>
  <c r="AH109" i="8" s="1"/>
  <c r="AB101" i="8"/>
  <c r="AG101" i="8"/>
  <c r="AH101" i="8" s="1"/>
  <c r="AB103" i="8"/>
  <c r="AG103" i="8"/>
  <c r="AH103" i="8" s="1"/>
  <c r="AB102" i="8"/>
  <c r="AG102" i="8"/>
  <c r="AH102" i="8" s="1"/>
  <c r="AB137" i="8"/>
  <c r="AG137" i="8"/>
  <c r="AH137" i="8" s="1"/>
  <c r="AB135" i="8"/>
  <c r="AG135" i="8"/>
  <c r="AH135" i="8" s="1"/>
  <c r="AB136" i="8"/>
  <c r="AG136" i="8"/>
  <c r="AH136" i="8" s="1"/>
  <c r="AB129" i="8"/>
  <c r="AG129" i="8"/>
  <c r="AH129" i="8" s="1"/>
  <c r="AB128" i="8"/>
  <c r="AG128" i="8"/>
  <c r="AH128" i="8" s="1"/>
  <c r="AB127" i="8"/>
  <c r="AG127" i="8"/>
  <c r="AH127" i="8" s="1"/>
  <c r="AB126" i="8"/>
  <c r="AG126" i="8"/>
  <c r="AH126" i="8" s="1"/>
  <c r="AB194" i="8"/>
  <c r="AG194" i="8"/>
  <c r="AH194" i="8" s="1"/>
  <c r="AB195" i="8"/>
  <c r="AG195" i="8"/>
  <c r="AH195" i="8" s="1"/>
  <c r="AB196" i="8"/>
  <c r="AG196" i="8"/>
  <c r="AH196" i="8" s="1"/>
  <c r="AB192" i="8"/>
  <c r="AG192" i="8"/>
  <c r="AH192" i="8" s="1"/>
  <c r="AB193" i="8"/>
  <c r="AG193" i="8"/>
  <c r="AH193" i="8" s="1"/>
  <c r="AG611" i="8"/>
  <c r="AH611" i="8" s="1"/>
  <c r="AD611" i="8" s="1"/>
  <c r="AG612" i="8"/>
  <c r="AH612" i="8" s="1"/>
  <c r="AD612" i="8" s="1"/>
  <c r="AG616" i="8"/>
  <c r="AH616" i="8" s="1"/>
  <c r="AD616" i="8" s="1"/>
  <c r="AG621" i="8"/>
  <c r="AH621" i="8" s="1"/>
  <c r="AD621" i="8" s="1"/>
  <c r="AG622" i="8"/>
  <c r="AH622" i="8" s="1"/>
  <c r="AD622" i="8" s="1"/>
  <c r="AG171" i="8"/>
  <c r="AH171" i="8" s="1"/>
  <c r="AD171" i="8" s="1"/>
  <c r="AG623" i="8"/>
  <c r="AH623" i="8" s="1"/>
  <c r="AD623" i="8" s="1"/>
  <c r="AB1908" i="8"/>
  <c r="AC1908" i="8" s="1"/>
  <c r="AG1908" i="8"/>
  <c r="AH1908" i="8" s="1"/>
  <c r="AB1909" i="8"/>
  <c r="AC1909" i="8" s="1"/>
  <c r="AG1909" i="8"/>
  <c r="AH1909" i="8" s="1"/>
  <c r="AB1907" i="8"/>
  <c r="AC1907" i="8" s="1"/>
  <c r="AG1907" i="8"/>
  <c r="AH1907" i="8" s="1"/>
  <c r="AB1905" i="8"/>
  <c r="AC1905" i="8" s="1"/>
  <c r="AG1905" i="8"/>
  <c r="AH1905" i="8" s="1"/>
  <c r="AB1903" i="8"/>
  <c r="AC1903" i="8" s="1"/>
  <c r="AG1903" i="8"/>
  <c r="AH1903" i="8" s="1"/>
  <c r="AB1906" i="8"/>
  <c r="AC1906" i="8" s="1"/>
  <c r="AG1906" i="8"/>
  <c r="AH1906" i="8" s="1"/>
  <c r="AB1904" i="8"/>
  <c r="AC1904" i="8" s="1"/>
  <c r="AG1904" i="8"/>
  <c r="AH1904" i="8" s="1"/>
  <c r="AB608" i="8"/>
  <c r="AG608" i="8"/>
  <c r="AH608" i="8" s="1"/>
  <c r="AB411" i="8"/>
  <c r="AG411" i="8"/>
  <c r="AH411" i="8" s="1"/>
  <c r="AB618" i="8"/>
  <c r="AG618" i="8"/>
  <c r="AH618" i="8" s="1"/>
  <c r="AB619" i="8"/>
  <c r="AG619" i="8"/>
  <c r="AH619" i="8" s="1"/>
  <c r="AB319" i="8"/>
  <c r="AG319" i="8"/>
  <c r="AH319" i="8" s="1"/>
  <c r="AB318" i="8"/>
  <c r="AG318" i="8"/>
  <c r="AH318" i="8" s="1"/>
  <c r="AB322" i="8"/>
  <c r="AG322" i="8"/>
  <c r="AH322" i="8" s="1"/>
  <c r="AB321" i="8"/>
  <c r="AG321" i="8"/>
  <c r="AH321" i="8" s="1"/>
  <c r="AB320" i="8"/>
  <c r="AG320" i="8"/>
  <c r="AH320" i="8" s="1"/>
  <c r="AB324" i="8"/>
  <c r="AG324" i="8"/>
  <c r="AH324" i="8" s="1"/>
  <c r="AB323" i="8"/>
  <c r="AG323" i="8"/>
  <c r="AH323" i="8" s="1"/>
  <c r="AB328" i="8"/>
  <c r="AG328" i="8"/>
  <c r="AH328" i="8" s="1"/>
  <c r="AB325" i="8"/>
  <c r="AG325" i="8"/>
  <c r="AH325" i="8" s="1"/>
  <c r="AB326" i="8"/>
  <c r="AG326" i="8"/>
  <c r="AH326" i="8" s="1"/>
  <c r="AB327" i="8"/>
  <c r="AG327" i="8"/>
  <c r="AH327" i="8" s="1"/>
  <c r="AB259" i="8"/>
  <c r="AG259" i="8"/>
  <c r="AH259" i="8" s="1"/>
  <c r="AB260" i="8"/>
  <c r="AG260" i="8"/>
  <c r="AH260" i="8" s="1"/>
  <c r="AB261" i="8"/>
  <c r="AG261" i="8"/>
  <c r="AH261" i="8" s="1"/>
  <c r="AB262" i="8"/>
  <c r="AG262" i="8"/>
  <c r="AH262" i="8" s="1"/>
  <c r="AB263" i="8"/>
  <c r="AG263" i="8"/>
  <c r="AH263" i="8" s="1"/>
  <c r="AB279" i="8"/>
  <c r="AG279" i="8"/>
  <c r="AH279" i="8" s="1"/>
  <c r="AB280" i="8"/>
  <c r="AG280" i="8"/>
  <c r="AH280" i="8" s="1"/>
  <c r="AB274" i="8"/>
  <c r="AG274" i="8"/>
  <c r="AH274" i="8" s="1"/>
  <c r="AB273" i="8"/>
  <c r="AG273" i="8"/>
  <c r="AH273" i="8" s="1"/>
  <c r="AB275" i="8"/>
  <c r="AG275" i="8"/>
  <c r="AH275" i="8" s="1"/>
  <c r="AB276" i="8"/>
  <c r="AG276" i="8"/>
  <c r="AH276" i="8" s="1"/>
  <c r="AB277" i="8"/>
  <c r="AG277" i="8"/>
  <c r="AH277" i="8" s="1"/>
  <c r="AB278" i="8"/>
  <c r="AG278" i="8"/>
  <c r="AH278" i="8" s="1"/>
  <c r="AB169" i="8"/>
  <c r="AG169" i="8"/>
  <c r="AH169" i="8" s="1"/>
  <c r="AB172" i="8"/>
  <c r="AG172" i="8"/>
  <c r="AH172" i="8" s="1"/>
  <c r="AB5" i="8"/>
  <c r="AG5" i="8"/>
  <c r="AH5" i="8" s="1"/>
  <c r="AB6" i="8"/>
  <c r="AG6" i="8"/>
  <c r="AH6" i="8" s="1"/>
  <c r="AB7" i="8"/>
  <c r="AG7" i="8"/>
  <c r="AH7" i="8" s="1"/>
  <c r="AB21" i="8"/>
  <c r="AG21" i="8"/>
  <c r="AH21" i="8" s="1"/>
  <c r="AB22" i="8"/>
  <c r="AG22" i="8"/>
  <c r="AH22" i="8" s="1"/>
  <c r="AB23" i="8"/>
  <c r="AG23" i="8"/>
  <c r="AH23" i="8" s="1"/>
  <c r="AB74" i="8"/>
  <c r="AG74" i="8"/>
  <c r="AH74" i="8" s="1"/>
  <c r="AB48" i="8"/>
  <c r="AG48" i="8"/>
  <c r="AH48" i="8" s="1"/>
  <c r="AB49" i="8"/>
  <c r="AG49" i="8"/>
  <c r="AH49" i="8" s="1"/>
  <c r="AB50" i="8"/>
  <c r="AG50" i="8"/>
  <c r="AH50" i="8" s="1"/>
  <c r="AB47" i="8"/>
  <c r="AG47" i="8"/>
  <c r="AH47" i="8" s="1"/>
  <c r="AB58" i="8"/>
  <c r="AG58" i="8"/>
  <c r="AH58" i="8" s="1"/>
  <c r="AB59" i="8"/>
  <c r="AG59" i="8"/>
  <c r="AH59" i="8" s="1"/>
  <c r="AB60" i="8"/>
  <c r="AG60" i="8"/>
  <c r="AH60" i="8" s="1"/>
  <c r="AB65" i="8"/>
  <c r="AG65" i="8"/>
  <c r="AH65" i="8" s="1"/>
  <c r="AB66" i="8"/>
  <c r="AG66" i="8"/>
  <c r="AH66" i="8" s="1"/>
  <c r="AB67" i="8"/>
  <c r="AG67" i="8"/>
  <c r="AH67" i="8" s="1"/>
  <c r="H471" i="11"/>
  <c r="G97" i="13"/>
  <c r="AC1807" i="8"/>
  <c r="AC1805" i="8"/>
  <c r="AC1827" i="8"/>
  <c r="AC1806" i="8"/>
  <c r="AC1804" i="8"/>
  <c r="I15" i="14"/>
  <c r="H15" i="14"/>
  <c r="F244" i="11"/>
  <c r="P11" i="10"/>
  <c r="J12" i="11" s="1"/>
  <c r="J11" i="10"/>
  <c r="J14" i="10"/>
  <c r="P14" i="10"/>
  <c r="Q14" i="10" s="1"/>
  <c r="G7" i="14"/>
  <c r="I7" i="14" s="1"/>
  <c r="G46" i="13"/>
  <c r="G8" i="14"/>
  <c r="G36" i="13"/>
  <c r="H357" i="11"/>
  <c r="H369" i="11"/>
  <c r="F323" i="11"/>
  <c r="H346" i="11"/>
  <c r="H323" i="11"/>
  <c r="F474" i="11"/>
  <c r="F318" i="11"/>
  <c r="H322" i="11"/>
  <c r="F166" i="11"/>
  <c r="F396" i="11"/>
  <c r="H166" i="11"/>
  <c r="F346" i="11"/>
  <c r="F301" i="11"/>
  <c r="H287" i="11"/>
  <c r="H251" i="11"/>
  <c r="F20" i="14"/>
  <c r="H334" i="11"/>
  <c r="F286" i="11"/>
  <c r="H262" i="11"/>
  <c r="P50" i="10"/>
  <c r="Q50" i="10" s="1"/>
  <c r="J50" i="10"/>
  <c r="J49" i="10"/>
  <c r="P49" i="10"/>
  <c r="G5" i="14"/>
  <c r="G154" i="13"/>
  <c r="H12" i="14"/>
  <c r="H21" i="14" s="1"/>
  <c r="F21" i="14"/>
  <c r="I12" i="14"/>
  <c r="I21" i="14" s="1"/>
  <c r="G21" i="14"/>
  <c r="U1042" i="8"/>
  <c r="U1045" i="8"/>
  <c r="V1045" i="8" s="1"/>
  <c r="W1045" i="8" s="1"/>
  <c r="U1060" i="8"/>
  <c r="V1060" i="8" s="1"/>
  <c r="W1060" i="8" s="1"/>
  <c r="U1064" i="8"/>
  <c r="V1064" i="8" s="1"/>
  <c r="W1064" i="8" s="1"/>
  <c r="U1068" i="8"/>
  <c r="V1068" i="8" s="1"/>
  <c r="W1068" i="8" s="1"/>
  <c r="U1075" i="8"/>
  <c r="V1075" i="8" s="1"/>
  <c r="W1075" i="8" s="1"/>
  <c r="U1080" i="8"/>
  <c r="V1080" i="8" s="1"/>
  <c r="W1080" i="8" s="1"/>
  <c r="U1084" i="8"/>
  <c r="V1084" i="8" s="1"/>
  <c r="W1084" i="8" s="1"/>
  <c r="U1088" i="8"/>
  <c r="V1088" i="8" s="1"/>
  <c r="W1088" i="8" s="1"/>
  <c r="U1093" i="8"/>
  <c r="V1093" i="8" s="1"/>
  <c r="W1093" i="8" s="1"/>
  <c r="U1098" i="8"/>
  <c r="V1098" i="8" s="1"/>
  <c r="W1098" i="8" s="1"/>
  <c r="U1106" i="8"/>
  <c r="V1106" i="8" s="1"/>
  <c r="W1106" i="8" s="1"/>
  <c r="U1113" i="8"/>
  <c r="V1113" i="8" s="1"/>
  <c r="W1113" i="8" s="1"/>
  <c r="U1052" i="8"/>
  <c r="V1052" i="8" s="1"/>
  <c r="W1052" i="8" s="1"/>
  <c r="U1056" i="8"/>
  <c r="V1056" i="8" s="1"/>
  <c r="W1056" i="8" s="1"/>
  <c r="U1109" i="8"/>
  <c r="V1109" i="8" s="1"/>
  <c r="W1109" i="8" s="1"/>
  <c r="U1044" i="8"/>
  <c r="V1044" i="8" s="1"/>
  <c r="W1044" i="8" s="1"/>
  <c r="U1048" i="8"/>
  <c r="V1048" i="8" s="1"/>
  <c r="W1048" i="8" s="1"/>
  <c r="U1095" i="8"/>
  <c r="V1095" i="8" s="1"/>
  <c r="W1095" i="8" s="1"/>
  <c r="U1092" i="8"/>
  <c r="V1092" i="8" s="1"/>
  <c r="W1092" i="8" s="1"/>
  <c r="U1066" i="8"/>
  <c r="V1066" i="8" s="1"/>
  <c r="W1066" i="8" s="1"/>
  <c r="U1058" i="8"/>
  <c r="V1058" i="8" s="1"/>
  <c r="W1058" i="8" s="1"/>
  <c r="U1062" i="8"/>
  <c r="V1062" i="8" s="1"/>
  <c r="W1062" i="8" s="1"/>
  <c r="F266" i="11"/>
  <c r="H126" i="11"/>
  <c r="H127" i="11"/>
  <c r="AG1835" i="8"/>
  <c r="AH1835" i="8" s="1"/>
  <c r="AD1835" i="8" s="1"/>
  <c r="AG1836" i="8"/>
  <c r="AH1836" i="8" s="1"/>
  <c r="AD1836" i="8" s="1"/>
  <c r="AG1837" i="8"/>
  <c r="AH1837" i="8" s="1"/>
  <c r="AD1837" i="8" s="1"/>
  <c r="AG1541" i="8"/>
  <c r="AH1541" i="8" s="1"/>
  <c r="AD1541" i="8" s="1"/>
  <c r="AG1542" i="8"/>
  <c r="AH1542" i="8" s="1"/>
  <c r="AD1542" i="8" s="1"/>
  <c r="AG1543" i="8"/>
  <c r="AH1543" i="8" s="1"/>
  <c r="AD1543" i="8" s="1"/>
  <c r="AG1544" i="8"/>
  <c r="AH1544" i="8" s="1"/>
  <c r="AD1544" i="8" s="1"/>
  <c r="AG1545" i="8"/>
  <c r="AH1545" i="8" s="1"/>
  <c r="AD1545" i="8" s="1"/>
  <c r="AG1546" i="8"/>
  <c r="AH1546" i="8" s="1"/>
  <c r="AD1546" i="8" s="1"/>
  <c r="AG1547" i="8"/>
  <c r="AH1547" i="8" s="1"/>
  <c r="AD1547" i="8" s="1"/>
  <c r="AG1549" i="8"/>
  <c r="AH1549" i="8" s="1"/>
  <c r="AD1549" i="8" s="1"/>
  <c r="AG1550" i="8"/>
  <c r="AH1550" i="8" s="1"/>
  <c r="AD1550" i="8" s="1"/>
  <c r="AG1539" i="8"/>
  <c r="AH1539" i="8" s="1"/>
  <c r="AD1539" i="8" s="1"/>
  <c r="AG1548" i="8"/>
  <c r="AH1548" i="8" s="1"/>
  <c r="AD1548" i="8" s="1"/>
  <c r="AG1540" i="8"/>
  <c r="AH1540" i="8" s="1"/>
  <c r="AD1540" i="8" s="1"/>
  <c r="AG1769" i="8"/>
  <c r="AH1769" i="8" s="1"/>
  <c r="AD1769" i="8" s="1"/>
  <c r="AG1770" i="8"/>
  <c r="AH1770" i="8" s="1"/>
  <c r="AD1770" i="8" s="1"/>
  <c r="AG1772" i="8"/>
  <c r="AH1772" i="8" s="1"/>
  <c r="AD1772" i="8" s="1"/>
  <c r="AG1771" i="8"/>
  <c r="AH1771" i="8" s="1"/>
  <c r="AD1771" i="8" s="1"/>
  <c r="AG1704" i="8"/>
  <c r="AH1704" i="8" s="1"/>
  <c r="AD1704" i="8" s="1"/>
  <c r="AG1700" i="8"/>
  <c r="AH1700" i="8" s="1"/>
  <c r="AD1700" i="8" s="1"/>
  <c r="AG1699" i="8"/>
  <c r="AH1699" i="8" s="1"/>
  <c r="AD1699" i="8" s="1"/>
  <c r="AG1701" i="8"/>
  <c r="AH1701" i="8" s="1"/>
  <c r="AD1701" i="8" s="1"/>
  <c r="AG1703" i="8"/>
  <c r="AH1703" i="8" s="1"/>
  <c r="AD1703" i="8" s="1"/>
  <c r="AG1702" i="8"/>
  <c r="AH1702" i="8" s="1"/>
  <c r="AD1702" i="8" s="1"/>
  <c r="AG1724" i="8"/>
  <c r="AH1724" i="8" s="1"/>
  <c r="AD1724" i="8" s="1"/>
  <c r="AG1723" i="8"/>
  <c r="AH1723" i="8" s="1"/>
  <c r="AD1723" i="8" s="1"/>
  <c r="AG1846" i="8"/>
  <c r="AH1846" i="8" s="1"/>
  <c r="AD1846" i="8" s="1"/>
  <c r="AG1845" i="8"/>
  <c r="AH1845" i="8" s="1"/>
  <c r="AD1845" i="8" s="1"/>
  <c r="AG1515" i="8"/>
  <c r="AH1515" i="8" s="1"/>
  <c r="AD1515" i="8" s="1"/>
  <c r="AG1525" i="8"/>
  <c r="AH1525" i="8" s="1"/>
  <c r="AD1525" i="8" s="1"/>
  <c r="AG1516" i="8"/>
  <c r="AH1516" i="8" s="1"/>
  <c r="AD1516" i="8" s="1"/>
  <c r="AG1517" i="8"/>
  <c r="AH1517" i="8" s="1"/>
  <c r="AD1517" i="8" s="1"/>
  <c r="AG1518" i="8"/>
  <c r="AH1518" i="8" s="1"/>
  <c r="AD1518" i="8" s="1"/>
  <c r="AG1519" i="8"/>
  <c r="AH1519" i="8" s="1"/>
  <c r="AD1519" i="8" s="1"/>
  <c r="AG1520" i="8"/>
  <c r="AH1520" i="8" s="1"/>
  <c r="AD1520" i="8" s="1"/>
  <c r="AG1521" i="8"/>
  <c r="AH1521" i="8" s="1"/>
  <c r="AD1521" i="8" s="1"/>
  <c r="AG1522" i="8"/>
  <c r="AH1522" i="8" s="1"/>
  <c r="AD1522" i="8" s="1"/>
  <c r="AG1523" i="8"/>
  <c r="AH1523" i="8" s="1"/>
  <c r="AD1523" i="8" s="1"/>
  <c r="AG1524" i="8"/>
  <c r="AH1524" i="8" s="1"/>
  <c r="AD1524" i="8" s="1"/>
  <c r="AG1526" i="8"/>
  <c r="AH1526" i="8" s="1"/>
  <c r="AD1526" i="8" s="1"/>
  <c r="AG1537" i="8"/>
  <c r="AH1537" i="8" s="1"/>
  <c r="AD1537" i="8" s="1"/>
  <c r="AG1527" i="8"/>
  <c r="AH1527" i="8" s="1"/>
  <c r="AD1527" i="8" s="1"/>
  <c r="AG1538" i="8"/>
  <c r="AH1538" i="8" s="1"/>
  <c r="AD1538" i="8" s="1"/>
  <c r="AG1534" i="8"/>
  <c r="AH1534" i="8" s="1"/>
  <c r="AD1534" i="8" s="1"/>
  <c r="AG1528" i="8"/>
  <c r="AH1528" i="8" s="1"/>
  <c r="AD1528" i="8" s="1"/>
  <c r="AG1536" i="8"/>
  <c r="AH1536" i="8" s="1"/>
  <c r="AD1536" i="8" s="1"/>
  <c r="AG1535" i="8"/>
  <c r="AH1535" i="8" s="1"/>
  <c r="AD1535" i="8" s="1"/>
  <c r="AG1533" i="8"/>
  <c r="AH1533" i="8" s="1"/>
  <c r="AD1533" i="8" s="1"/>
  <c r="AG1532" i="8"/>
  <c r="AH1532" i="8" s="1"/>
  <c r="AD1532" i="8" s="1"/>
  <c r="AG1531" i="8"/>
  <c r="AH1531" i="8" s="1"/>
  <c r="AD1531" i="8" s="1"/>
  <c r="AG1530" i="8"/>
  <c r="AH1530" i="8" s="1"/>
  <c r="AD1530" i="8" s="1"/>
  <c r="AG1529" i="8"/>
  <c r="AH1529" i="8" s="1"/>
  <c r="AD1529" i="8" s="1"/>
  <c r="AG1562" i="8"/>
  <c r="AH1562" i="8" s="1"/>
  <c r="AD1562" i="8" s="1"/>
  <c r="AG1560" i="8"/>
  <c r="AH1560" i="8" s="1"/>
  <c r="AD1560" i="8" s="1"/>
  <c r="AG1557" i="8"/>
  <c r="AH1557" i="8" s="1"/>
  <c r="AD1557" i="8" s="1"/>
  <c r="AG1559" i="8"/>
  <c r="AH1559" i="8" s="1"/>
  <c r="AD1559" i="8" s="1"/>
  <c r="AG1561" i="8"/>
  <c r="AH1561" i="8" s="1"/>
  <c r="AD1561" i="8" s="1"/>
  <c r="AG1551" i="8"/>
  <c r="AH1551" i="8" s="1"/>
  <c r="AD1551" i="8" s="1"/>
  <c r="AG1552" i="8"/>
  <c r="AH1552" i="8" s="1"/>
  <c r="AD1552" i="8" s="1"/>
  <c r="AG1553" i="8"/>
  <c r="AH1553" i="8" s="1"/>
  <c r="AD1553" i="8" s="1"/>
  <c r="AG1558" i="8"/>
  <c r="AH1558" i="8" s="1"/>
  <c r="AD1558" i="8" s="1"/>
  <c r="AG1554" i="8"/>
  <c r="AH1554" i="8" s="1"/>
  <c r="AD1554" i="8" s="1"/>
  <c r="AG1555" i="8"/>
  <c r="AH1555" i="8" s="1"/>
  <c r="AD1555" i="8" s="1"/>
  <c r="AG1556" i="8"/>
  <c r="AH1556" i="8" s="1"/>
  <c r="AD1556" i="8" s="1"/>
  <c r="AG1574" i="8"/>
  <c r="AH1574" i="8" s="1"/>
  <c r="AD1574" i="8" s="1"/>
  <c r="AG1570" i="8"/>
  <c r="AH1570" i="8" s="1"/>
  <c r="AD1570" i="8" s="1"/>
  <c r="AG1564" i="8"/>
  <c r="AH1564" i="8" s="1"/>
  <c r="AD1564" i="8" s="1"/>
  <c r="AG1572" i="8"/>
  <c r="AH1572" i="8" s="1"/>
  <c r="AD1572" i="8" s="1"/>
  <c r="AG1568" i="8"/>
  <c r="AH1568" i="8" s="1"/>
  <c r="AD1568" i="8" s="1"/>
  <c r="AG1565" i="8"/>
  <c r="AH1565" i="8" s="1"/>
  <c r="AD1565" i="8" s="1"/>
  <c r="AG1573" i="8"/>
  <c r="AH1573" i="8" s="1"/>
  <c r="AD1573" i="8" s="1"/>
  <c r="AG1571" i="8"/>
  <c r="AH1571" i="8" s="1"/>
  <c r="AD1571" i="8" s="1"/>
  <c r="AG1569" i="8"/>
  <c r="AH1569" i="8" s="1"/>
  <c r="AD1569" i="8" s="1"/>
  <c r="AG1566" i="8"/>
  <c r="AH1566" i="8" s="1"/>
  <c r="AD1566" i="8" s="1"/>
  <c r="AG1567" i="8"/>
  <c r="AH1567" i="8" s="1"/>
  <c r="AD1567" i="8" s="1"/>
  <c r="AG1563" i="8"/>
  <c r="AH1563" i="8" s="1"/>
  <c r="AD1563" i="8" s="1"/>
  <c r="AG1584" i="8"/>
  <c r="AH1584" i="8" s="1"/>
  <c r="AD1584" i="8" s="1"/>
  <c r="AG1586" i="8"/>
  <c r="AH1586" i="8" s="1"/>
  <c r="AD1586" i="8" s="1"/>
  <c r="AG1579" i="8"/>
  <c r="AH1579" i="8" s="1"/>
  <c r="AD1579" i="8" s="1"/>
  <c r="AG1578" i="8"/>
  <c r="AH1578" i="8" s="1"/>
  <c r="AD1578" i="8" s="1"/>
  <c r="AG1576" i="8"/>
  <c r="AH1576" i="8" s="1"/>
  <c r="AD1576" i="8" s="1"/>
  <c r="AG1585" i="8"/>
  <c r="AH1585" i="8" s="1"/>
  <c r="AD1585" i="8" s="1"/>
  <c r="AG1580" i="8"/>
  <c r="AH1580" i="8" s="1"/>
  <c r="AD1580" i="8" s="1"/>
  <c r="AG1581" i="8"/>
  <c r="AH1581" i="8" s="1"/>
  <c r="AD1581" i="8" s="1"/>
  <c r="AG1583" i="8"/>
  <c r="AH1583" i="8" s="1"/>
  <c r="AD1583" i="8" s="1"/>
  <c r="AG1575" i="8"/>
  <c r="AH1575" i="8" s="1"/>
  <c r="AD1575" i="8" s="1"/>
  <c r="AG1577" i="8"/>
  <c r="AH1577" i="8" s="1"/>
  <c r="AD1577" i="8" s="1"/>
  <c r="AG1582" i="8"/>
  <c r="AH1582" i="8" s="1"/>
  <c r="AD1582" i="8" s="1"/>
  <c r="AG1598" i="8"/>
  <c r="AH1598" i="8" s="1"/>
  <c r="AD1598" i="8" s="1"/>
  <c r="AG1589" i="8"/>
  <c r="AH1589" i="8" s="1"/>
  <c r="AD1589" i="8" s="1"/>
  <c r="AG1587" i="8"/>
  <c r="AH1587" i="8" s="1"/>
  <c r="AD1587" i="8" s="1"/>
  <c r="AG1590" i="8"/>
  <c r="AH1590" i="8" s="1"/>
  <c r="AD1590" i="8" s="1"/>
  <c r="AG1597" i="8"/>
  <c r="AH1597" i="8" s="1"/>
  <c r="AD1597" i="8" s="1"/>
  <c r="AG1593" i="8"/>
  <c r="AH1593" i="8" s="1"/>
  <c r="AD1593" i="8" s="1"/>
  <c r="AG1591" i="8"/>
  <c r="AH1591" i="8" s="1"/>
  <c r="AD1591" i="8" s="1"/>
  <c r="AG1588" i="8"/>
  <c r="AH1588" i="8" s="1"/>
  <c r="AD1588" i="8" s="1"/>
  <c r="AG1592" i="8"/>
  <c r="AH1592" i="8" s="1"/>
  <c r="AD1592" i="8" s="1"/>
  <c r="AG1594" i="8"/>
  <c r="AH1594" i="8" s="1"/>
  <c r="AD1594" i="8" s="1"/>
  <c r="AG1595" i="8"/>
  <c r="AH1595" i="8" s="1"/>
  <c r="AD1595" i="8" s="1"/>
  <c r="AG1596" i="8"/>
  <c r="AH1596" i="8" s="1"/>
  <c r="AD1596" i="8" s="1"/>
  <c r="AG1610" i="8"/>
  <c r="AH1610" i="8" s="1"/>
  <c r="AD1610" i="8" s="1"/>
  <c r="AG1600" i="8"/>
  <c r="AH1600" i="8" s="1"/>
  <c r="AD1600" i="8" s="1"/>
  <c r="AG1602" i="8"/>
  <c r="AH1602" i="8" s="1"/>
  <c r="AD1602" i="8" s="1"/>
  <c r="AG1604" i="8"/>
  <c r="AH1604" i="8" s="1"/>
  <c r="AD1604" i="8" s="1"/>
  <c r="AG1605" i="8"/>
  <c r="AH1605" i="8" s="1"/>
  <c r="AD1605" i="8" s="1"/>
  <c r="AG1599" i="8"/>
  <c r="AH1599" i="8" s="1"/>
  <c r="AD1599" i="8" s="1"/>
  <c r="AG1601" i="8"/>
  <c r="AH1601" i="8" s="1"/>
  <c r="AD1601" i="8" s="1"/>
  <c r="AG1603" i="8"/>
  <c r="AH1603" i="8" s="1"/>
  <c r="AD1603" i="8" s="1"/>
  <c r="AG1606" i="8"/>
  <c r="AH1606" i="8" s="1"/>
  <c r="AD1606" i="8" s="1"/>
  <c r="AG1607" i="8"/>
  <c r="AH1607" i="8" s="1"/>
  <c r="AD1607" i="8" s="1"/>
  <c r="AG1609" i="8"/>
  <c r="AH1609" i="8" s="1"/>
  <c r="AD1609" i="8" s="1"/>
  <c r="AG1608" i="8"/>
  <c r="AH1608" i="8" s="1"/>
  <c r="AD1608" i="8" s="1"/>
  <c r="H239" i="11"/>
  <c r="H358" i="11"/>
  <c r="H577" i="11"/>
  <c r="F378" i="11"/>
  <c r="F374" i="11"/>
  <c r="F248" i="11"/>
  <c r="H168" i="11"/>
  <c r="H316" i="11"/>
  <c r="H137" i="11"/>
  <c r="F122" i="11"/>
  <c r="I261" i="13"/>
  <c r="H261" i="13"/>
  <c r="H264" i="13"/>
  <c r="I264" i="13"/>
  <c r="J72" i="10"/>
  <c r="P72" i="10"/>
  <c r="Q72" i="10" s="1"/>
  <c r="F134" i="11"/>
  <c r="F126" i="11"/>
  <c r="J103" i="10"/>
  <c r="P103" i="10"/>
  <c r="D104" i="11"/>
  <c r="F591" i="11"/>
  <c r="F577" i="11"/>
  <c r="H388" i="11"/>
  <c r="H244" i="11"/>
  <c r="H291" i="11"/>
  <c r="F539" i="11"/>
  <c r="Q131" i="10"/>
  <c r="J132" i="11"/>
  <c r="Q126" i="10"/>
  <c r="J127" i="11"/>
  <c r="J122" i="11"/>
  <c r="J129" i="11"/>
  <c r="Q125" i="10"/>
  <c r="J126" i="11"/>
  <c r="H299" i="11"/>
  <c r="F245" i="11"/>
  <c r="H315" i="11"/>
  <c r="D107" i="11"/>
  <c r="J106" i="10"/>
  <c r="P106" i="10"/>
  <c r="H263" i="13"/>
  <c r="I263" i="13"/>
  <c r="H267" i="13"/>
  <c r="I267" i="13"/>
  <c r="I268" i="13"/>
  <c r="H268" i="13"/>
  <c r="I266" i="13"/>
  <c r="H266" i="13"/>
  <c r="I269" i="13"/>
  <c r="H269" i="13"/>
  <c r="H270" i="13"/>
  <c r="I270" i="13"/>
  <c r="I265" i="13"/>
  <c r="H265" i="13"/>
  <c r="AA393" i="8"/>
  <c r="AA392" i="8"/>
  <c r="H249" i="13"/>
  <c r="I249" i="13"/>
  <c r="H253" i="13"/>
  <c r="I253" i="13"/>
  <c r="I259" i="13"/>
  <c r="H259" i="13"/>
  <c r="H250" i="13"/>
  <c r="I250" i="13"/>
  <c r="H255" i="13"/>
  <c r="I255" i="13"/>
  <c r="I251" i="13"/>
  <c r="H251" i="13"/>
  <c r="I260" i="13"/>
  <c r="H260" i="13"/>
  <c r="I257" i="13"/>
  <c r="H257" i="13"/>
  <c r="I252" i="13"/>
  <c r="H252" i="13"/>
  <c r="I258" i="13"/>
  <c r="H258" i="13"/>
  <c r="H254" i="13"/>
  <c r="I254" i="13"/>
  <c r="H256" i="13"/>
  <c r="I256" i="13"/>
  <c r="H248" i="13"/>
  <c r="I248" i="13"/>
  <c r="AC609" i="8"/>
  <c r="AC610" i="8"/>
  <c r="AC611" i="8"/>
  <c r="AC612" i="8"/>
  <c r="AC616" i="8"/>
  <c r="AC621" i="8"/>
  <c r="AC622" i="8"/>
  <c r="AC623" i="8"/>
  <c r="AC171" i="8"/>
  <c r="AG915" i="8"/>
  <c r="AH915" i="8" s="1"/>
  <c r="AD915" i="8" s="1"/>
  <c r="AG916" i="8"/>
  <c r="AH916" i="8" s="1"/>
  <c r="AD916" i="8" s="1"/>
  <c r="AG909" i="8"/>
  <c r="AH909" i="8" s="1"/>
  <c r="AD909" i="8" s="1"/>
  <c r="AG918" i="8"/>
  <c r="AH918" i="8" s="1"/>
  <c r="AD918" i="8" s="1"/>
  <c r="AG910" i="8"/>
  <c r="AH910" i="8" s="1"/>
  <c r="AD910" i="8" s="1"/>
  <c r="AG911" i="8"/>
  <c r="AH911" i="8" s="1"/>
  <c r="AD911" i="8" s="1"/>
  <c r="AG917" i="8"/>
  <c r="AH917" i="8" s="1"/>
  <c r="AD917" i="8" s="1"/>
  <c r="AG912" i="8"/>
  <c r="AH912" i="8" s="1"/>
  <c r="AD912" i="8" s="1"/>
  <c r="AG908" i="8"/>
  <c r="AH908" i="8" s="1"/>
  <c r="AD908" i="8" s="1"/>
  <c r="AG907" i="8"/>
  <c r="AH907" i="8" s="1"/>
  <c r="AD907" i="8" s="1"/>
  <c r="AG913" i="8"/>
  <c r="AH913" i="8" s="1"/>
  <c r="AD913" i="8" s="1"/>
  <c r="AG914" i="8"/>
  <c r="AH914" i="8" s="1"/>
  <c r="AD914" i="8" s="1"/>
  <c r="AA1837" i="8"/>
  <c r="AA1836" i="8"/>
  <c r="AA1835" i="8"/>
  <c r="AA917" i="8"/>
  <c r="AA916" i="8"/>
  <c r="AA914" i="8"/>
  <c r="AA913" i="8"/>
  <c r="AA912" i="8"/>
  <c r="AA910" i="8"/>
  <c r="AA909" i="8"/>
  <c r="AA907" i="8"/>
  <c r="AA918" i="8"/>
  <c r="AA915" i="8"/>
  <c r="AA911" i="8"/>
  <c r="AA908" i="8"/>
  <c r="AA1550" i="8"/>
  <c r="AA1548" i="8"/>
  <c r="AA1547" i="8"/>
  <c r="AA1546" i="8"/>
  <c r="AA1544" i="8"/>
  <c r="AA1543" i="8"/>
  <c r="AA1541" i="8"/>
  <c r="AA1540" i="8"/>
  <c r="AA1549" i="8"/>
  <c r="AA1545" i="8"/>
  <c r="AA1542" i="8"/>
  <c r="AA1539" i="8"/>
  <c r="AG919" i="8"/>
  <c r="AH919" i="8" s="1"/>
  <c r="AD919" i="8" s="1"/>
  <c r="AG927" i="8"/>
  <c r="AH927" i="8" s="1"/>
  <c r="AD927" i="8" s="1"/>
  <c r="AG930" i="8"/>
  <c r="AH930" i="8" s="1"/>
  <c r="AD930" i="8" s="1"/>
  <c r="AG922" i="8"/>
  <c r="AH922" i="8" s="1"/>
  <c r="AD922" i="8" s="1"/>
  <c r="AG924" i="8"/>
  <c r="AH924" i="8" s="1"/>
  <c r="AD924" i="8" s="1"/>
  <c r="AG923" i="8"/>
  <c r="AH923" i="8" s="1"/>
  <c r="AD923" i="8" s="1"/>
  <c r="AG929" i="8"/>
  <c r="AH929" i="8" s="1"/>
  <c r="AD929" i="8" s="1"/>
  <c r="AG928" i="8"/>
  <c r="AH928" i="8" s="1"/>
  <c r="AD928" i="8" s="1"/>
  <c r="AG921" i="8"/>
  <c r="AH921" i="8" s="1"/>
  <c r="AD921" i="8" s="1"/>
  <c r="AG926" i="8"/>
  <c r="AH926" i="8" s="1"/>
  <c r="AD926" i="8" s="1"/>
  <c r="AG920" i="8"/>
  <c r="AH920" i="8" s="1"/>
  <c r="AD920" i="8" s="1"/>
  <c r="AG925" i="8"/>
  <c r="AH925" i="8" s="1"/>
  <c r="AD925" i="8" s="1"/>
  <c r="AA1772" i="8"/>
  <c r="AA1771" i="8"/>
  <c r="AA1770" i="8"/>
  <c r="AA1769" i="8"/>
  <c r="AA930" i="8"/>
  <c r="AA929" i="8"/>
  <c r="AA927" i="8"/>
  <c r="AA926" i="8"/>
  <c r="AA925" i="8"/>
  <c r="AA923" i="8"/>
  <c r="AA922" i="8"/>
  <c r="AA920" i="8"/>
  <c r="AA919" i="8"/>
  <c r="AA928" i="8"/>
  <c r="AA924" i="8"/>
  <c r="AA921" i="8"/>
  <c r="AG932" i="8"/>
  <c r="AH932" i="8" s="1"/>
  <c r="AD932" i="8" s="1"/>
  <c r="AG934" i="8"/>
  <c r="AH934" i="8" s="1"/>
  <c r="AD934" i="8" s="1"/>
  <c r="AG939" i="8"/>
  <c r="AH939" i="8" s="1"/>
  <c r="AD939" i="8" s="1"/>
  <c r="AG940" i="8"/>
  <c r="AH940" i="8" s="1"/>
  <c r="AD940" i="8" s="1"/>
  <c r="AG936" i="8"/>
  <c r="AH936" i="8" s="1"/>
  <c r="AD936" i="8" s="1"/>
  <c r="AG933" i="8"/>
  <c r="AH933" i="8" s="1"/>
  <c r="AD933" i="8" s="1"/>
  <c r="AG935" i="8"/>
  <c r="AH935" i="8" s="1"/>
  <c r="AD935" i="8" s="1"/>
  <c r="AG938" i="8"/>
  <c r="AH938" i="8" s="1"/>
  <c r="AD938" i="8" s="1"/>
  <c r="AG941" i="8"/>
  <c r="AH941" i="8" s="1"/>
  <c r="AD941" i="8" s="1"/>
  <c r="AG931" i="8"/>
  <c r="AH931" i="8" s="1"/>
  <c r="AD931" i="8" s="1"/>
  <c r="AG937" i="8"/>
  <c r="AH937" i="8" s="1"/>
  <c r="AD937" i="8" s="1"/>
  <c r="AG942" i="8"/>
  <c r="AH942" i="8" s="1"/>
  <c r="AD942" i="8" s="1"/>
  <c r="AA1704" i="8"/>
  <c r="AA1703" i="8"/>
  <c r="AA1702" i="8"/>
  <c r="AA1700" i="8"/>
  <c r="AA1699" i="8"/>
  <c r="AA942" i="8"/>
  <c r="AA940" i="8"/>
  <c r="AA939" i="8"/>
  <c r="AA937" i="8"/>
  <c r="AA936" i="8"/>
  <c r="AA934" i="8"/>
  <c r="AA933" i="8"/>
  <c r="AA932" i="8"/>
  <c r="AA1701" i="8"/>
  <c r="AA941" i="8"/>
  <c r="AA938" i="8"/>
  <c r="AA935" i="8"/>
  <c r="AA931" i="8"/>
  <c r="AG944" i="8"/>
  <c r="AH944" i="8" s="1"/>
  <c r="AD944" i="8" s="1"/>
  <c r="AG947" i="8"/>
  <c r="AH947" i="8" s="1"/>
  <c r="AD947" i="8" s="1"/>
  <c r="AG948" i="8"/>
  <c r="AH948" i="8" s="1"/>
  <c r="AD948" i="8" s="1"/>
  <c r="AG949" i="8"/>
  <c r="AH949" i="8" s="1"/>
  <c r="AD949" i="8" s="1"/>
  <c r="AG950" i="8"/>
  <c r="AH950" i="8" s="1"/>
  <c r="AD950" i="8" s="1"/>
  <c r="AG952" i="8"/>
  <c r="AH952" i="8" s="1"/>
  <c r="AD952" i="8" s="1"/>
  <c r="AG951" i="8"/>
  <c r="AH951" i="8" s="1"/>
  <c r="AD951" i="8" s="1"/>
  <c r="AG946" i="8"/>
  <c r="AH946" i="8" s="1"/>
  <c r="AD946" i="8" s="1"/>
  <c r="AG943" i="8"/>
  <c r="AH943" i="8" s="1"/>
  <c r="AD943" i="8" s="1"/>
  <c r="AG954" i="8"/>
  <c r="AH954" i="8" s="1"/>
  <c r="AD954" i="8" s="1"/>
  <c r="AG953" i="8"/>
  <c r="AH953" i="8" s="1"/>
  <c r="AD953" i="8" s="1"/>
  <c r="AG945" i="8"/>
  <c r="AH945" i="8" s="1"/>
  <c r="AD945" i="8" s="1"/>
  <c r="AA1724" i="8"/>
  <c r="AA954" i="8"/>
  <c r="AA953" i="8"/>
  <c r="AA952" i="8"/>
  <c r="AA950" i="8"/>
  <c r="AA949" i="8"/>
  <c r="AA947" i="8"/>
  <c r="AA946" i="8"/>
  <c r="AA945" i="8"/>
  <c r="AA943" i="8"/>
  <c r="AA1723" i="8"/>
  <c r="AA951" i="8"/>
  <c r="AA948" i="8"/>
  <c r="AA944" i="8"/>
  <c r="AG958" i="8"/>
  <c r="AH958" i="8" s="1"/>
  <c r="AD958" i="8" s="1"/>
  <c r="AG955" i="8"/>
  <c r="AH955" i="8" s="1"/>
  <c r="AD955" i="8" s="1"/>
  <c r="AG965" i="8"/>
  <c r="AH965" i="8" s="1"/>
  <c r="AD965" i="8" s="1"/>
  <c r="AG956" i="8"/>
  <c r="AH956" i="8" s="1"/>
  <c r="AD956" i="8" s="1"/>
  <c r="AG959" i="8"/>
  <c r="AH959" i="8" s="1"/>
  <c r="AD959" i="8" s="1"/>
  <c r="AG966" i="8"/>
  <c r="AH966" i="8" s="1"/>
  <c r="AD966" i="8" s="1"/>
  <c r="AG964" i="8"/>
  <c r="AH964" i="8" s="1"/>
  <c r="AD964" i="8" s="1"/>
  <c r="AG963" i="8"/>
  <c r="AH963" i="8" s="1"/>
  <c r="AD963" i="8" s="1"/>
  <c r="AG960" i="8"/>
  <c r="AH960" i="8" s="1"/>
  <c r="AD960" i="8" s="1"/>
  <c r="AG957" i="8"/>
  <c r="AH957" i="8" s="1"/>
  <c r="AD957" i="8" s="1"/>
  <c r="AG962" i="8"/>
  <c r="AH962" i="8" s="1"/>
  <c r="AD962" i="8" s="1"/>
  <c r="AG961" i="8"/>
  <c r="AH961" i="8" s="1"/>
  <c r="AD961" i="8" s="1"/>
  <c r="AA1846" i="8"/>
  <c r="AA1845" i="8"/>
  <c r="AA966" i="8"/>
  <c r="AA965" i="8"/>
  <c r="AA963" i="8"/>
  <c r="AA962" i="8"/>
  <c r="AA960" i="8"/>
  <c r="AA959" i="8"/>
  <c r="AA957" i="8"/>
  <c r="AA956" i="8"/>
  <c r="AA964" i="8"/>
  <c r="AA961" i="8"/>
  <c r="AA958" i="8"/>
  <c r="AA955" i="8"/>
  <c r="AG968" i="8"/>
  <c r="AH968" i="8" s="1"/>
  <c r="AD968" i="8" s="1"/>
  <c r="AG975" i="8"/>
  <c r="AH975" i="8" s="1"/>
  <c r="AD975" i="8" s="1"/>
  <c r="AG973" i="8"/>
  <c r="AH973" i="8" s="1"/>
  <c r="AD973" i="8" s="1"/>
  <c r="AG978" i="8"/>
  <c r="AH978" i="8" s="1"/>
  <c r="AD978" i="8" s="1"/>
  <c r="AG977" i="8"/>
  <c r="AH977" i="8" s="1"/>
  <c r="AD977" i="8" s="1"/>
  <c r="AG972" i="8"/>
  <c r="AH972" i="8" s="1"/>
  <c r="AD972" i="8" s="1"/>
  <c r="AG976" i="8"/>
  <c r="AH976" i="8" s="1"/>
  <c r="AD976" i="8" s="1"/>
  <c r="AG974" i="8"/>
  <c r="AH974" i="8" s="1"/>
  <c r="AD974" i="8" s="1"/>
  <c r="AG969" i="8"/>
  <c r="AH969" i="8" s="1"/>
  <c r="AD969" i="8" s="1"/>
  <c r="AG967" i="8"/>
  <c r="AH967" i="8" s="1"/>
  <c r="AD967" i="8" s="1"/>
  <c r="AG970" i="8"/>
  <c r="AH970" i="8" s="1"/>
  <c r="AD970" i="8" s="1"/>
  <c r="AG971" i="8"/>
  <c r="AH971" i="8" s="1"/>
  <c r="AD971" i="8" s="1"/>
  <c r="AA978" i="8"/>
  <c r="AA976" i="8"/>
  <c r="AA975" i="8"/>
  <c r="AA974" i="8"/>
  <c r="AA972" i="8"/>
  <c r="AA971" i="8"/>
  <c r="AA969" i="8"/>
  <c r="AA968" i="8"/>
  <c r="AA977" i="8"/>
  <c r="AA973" i="8"/>
  <c r="AA970" i="8"/>
  <c r="AA967" i="8"/>
  <c r="AA1525" i="8"/>
  <c r="AA1524" i="8"/>
  <c r="AA1522" i="8"/>
  <c r="AA1521" i="8"/>
  <c r="AA1520" i="8"/>
  <c r="AA1518" i="8"/>
  <c r="AA1517" i="8"/>
  <c r="AA1515" i="8"/>
  <c r="AA1526" i="8"/>
  <c r="AA1523" i="8"/>
  <c r="AA1519" i="8"/>
  <c r="AA1516" i="8"/>
  <c r="AA1538" i="8"/>
  <c r="AA1537" i="8"/>
  <c r="AA1536" i="8"/>
  <c r="AA1534" i="8"/>
  <c r="AA1532" i="8"/>
  <c r="AA1531" i="8"/>
  <c r="AA1530" i="8"/>
  <c r="AA1528" i="8"/>
  <c r="AA1527" i="8"/>
  <c r="AA1535" i="8"/>
  <c r="AA1533" i="8"/>
  <c r="AA1529" i="8"/>
  <c r="AA1561" i="8"/>
  <c r="AA1560" i="8"/>
  <c r="AA1558" i="8"/>
  <c r="AA1557" i="8"/>
  <c r="AA1556" i="8"/>
  <c r="AA1554" i="8"/>
  <c r="AA1553" i="8"/>
  <c r="AA1551" i="8"/>
  <c r="AA1562" i="8"/>
  <c r="AA1559" i="8"/>
  <c r="AA1555" i="8"/>
  <c r="AA1552" i="8"/>
  <c r="AA1574" i="8"/>
  <c r="AA1573" i="8"/>
  <c r="AA1571" i="8"/>
  <c r="AA1570" i="8"/>
  <c r="AA1568" i="8"/>
  <c r="AA1567" i="8"/>
  <c r="AA1565" i="8"/>
  <c r="AA1564" i="8"/>
  <c r="AA1563" i="8"/>
  <c r="AA1572" i="8"/>
  <c r="AA1569" i="8"/>
  <c r="AA1566" i="8"/>
  <c r="AA1585" i="8"/>
  <c r="AA1584" i="8"/>
  <c r="AA1582" i="8"/>
  <c r="AA1581" i="8"/>
  <c r="AA1580" i="8"/>
  <c r="AA1578" i="8"/>
  <c r="AA1577" i="8"/>
  <c r="AA1575" i="8"/>
  <c r="AA1586" i="8"/>
  <c r="AA1583" i="8"/>
  <c r="AA1579" i="8"/>
  <c r="AA1576" i="8"/>
  <c r="AA1598" i="8"/>
  <c r="AA1597" i="8"/>
  <c r="AA1595" i="8"/>
  <c r="AA1594" i="8"/>
  <c r="AA1592" i="8"/>
  <c r="AA1591" i="8"/>
  <c r="AA1590" i="8"/>
  <c r="AA1588" i="8"/>
  <c r="AA1587" i="8"/>
  <c r="AA1596" i="8"/>
  <c r="AA1593" i="8"/>
  <c r="AA1589" i="8"/>
  <c r="AA1610" i="8"/>
  <c r="AA1608" i="8"/>
  <c r="AA1607" i="8"/>
  <c r="AA1605" i="8"/>
  <c r="AA1604" i="8"/>
  <c r="AA1602" i="8"/>
  <c r="AA1601" i="8"/>
  <c r="AA1599" i="8"/>
  <c r="AA1609" i="8"/>
  <c r="AA1606" i="8"/>
  <c r="AA1603" i="8"/>
  <c r="AA1600" i="8"/>
  <c r="AA1112" i="8"/>
  <c r="AA550" i="8"/>
  <c r="AA1113" i="8"/>
  <c r="AA549" i="8"/>
  <c r="AA1114" i="8"/>
  <c r="AA551" i="8"/>
  <c r="AA1635" i="8"/>
  <c r="AA548" i="8"/>
  <c r="AA1111" i="8"/>
  <c r="AA1634" i="8"/>
  <c r="AG1111" i="8"/>
  <c r="AH1111" i="8" s="1"/>
  <c r="AD1111" i="8" s="1"/>
  <c r="AG1112" i="8"/>
  <c r="AH1112" i="8" s="1"/>
  <c r="AD1112" i="8" s="1"/>
  <c r="AG1114" i="8"/>
  <c r="AH1114" i="8" s="1"/>
  <c r="AD1114" i="8" s="1"/>
  <c r="AG1113" i="8"/>
  <c r="AH1113" i="8" s="1"/>
  <c r="AD1113" i="8" s="1"/>
  <c r="AG548" i="8"/>
  <c r="AH548" i="8" s="1"/>
  <c r="AD548" i="8" s="1"/>
  <c r="AG1635" i="8"/>
  <c r="AH1635" i="8" s="1"/>
  <c r="AD1635" i="8" s="1"/>
  <c r="AG551" i="8"/>
  <c r="AH551" i="8" s="1"/>
  <c r="AD551" i="8" s="1"/>
  <c r="AG1634" i="8"/>
  <c r="AH1634" i="8" s="1"/>
  <c r="AD1634" i="8" s="1"/>
  <c r="AG550" i="8"/>
  <c r="AH550" i="8" s="1"/>
  <c r="AD550" i="8" s="1"/>
  <c r="AG549" i="8"/>
  <c r="AH549" i="8" s="1"/>
  <c r="AD549" i="8" s="1"/>
  <c r="AA1355" i="8"/>
  <c r="AA652" i="8"/>
  <c r="AA651" i="8"/>
  <c r="AA1354" i="8"/>
  <c r="AA650" i="8"/>
  <c r="AA784" i="8"/>
  <c r="AA1353" i="8"/>
  <c r="AG784" i="8"/>
  <c r="AH784" i="8" s="1"/>
  <c r="AD784" i="8" s="1"/>
  <c r="AG1355" i="8"/>
  <c r="AH1355" i="8" s="1"/>
  <c r="AD1355" i="8" s="1"/>
  <c r="AG651" i="8"/>
  <c r="AH651" i="8" s="1"/>
  <c r="AD651" i="8" s="1"/>
  <c r="AG652" i="8"/>
  <c r="AH652" i="8" s="1"/>
  <c r="AD652" i="8" s="1"/>
  <c r="AG650" i="8"/>
  <c r="AH650" i="8" s="1"/>
  <c r="AD650" i="8" s="1"/>
  <c r="AG1354" i="8"/>
  <c r="AH1354" i="8" s="1"/>
  <c r="AD1354" i="8" s="1"/>
  <c r="AG1353" i="8"/>
  <c r="AH1353" i="8" s="1"/>
  <c r="AD1353" i="8" s="1"/>
  <c r="AG1729" i="8"/>
  <c r="AH1729" i="8" s="1"/>
  <c r="AD1729" i="8" s="1"/>
  <c r="AG1727" i="8"/>
  <c r="AH1727" i="8" s="1"/>
  <c r="AD1727" i="8" s="1"/>
  <c r="AG1730" i="8"/>
  <c r="AH1730" i="8" s="1"/>
  <c r="AD1730" i="8" s="1"/>
  <c r="AG1726" i="8"/>
  <c r="AH1726" i="8" s="1"/>
  <c r="AD1726" i="8" s="1"/>
  <c r="AG1725" i="8"/>
  <c r="AH1725" i="8" s="1"/>
  <c r="AD1725" i="8" s="1"/>
  <c r="AG1728" i="8"/>
  <c r="AH1728" i="8" s="1"/>
  <c r="AD1728" i="8" s="1"/>
  <c r="AA1725" i="8"/>
  <c r="AA1727" i="8"/>
  <c r="AA1726" i="8"/>
  <c r="AA1729" i="8"/>
  <c r="AA1730" i="8"/>
  <c r="AA1728" i="8"/>
  <c r="AA508" i="8"/>
  <c r="AA509" i="8"/>
  <c r="AA1076" i="8"/>
  <c r="AA1074" i="8"/>
  <c r="AA1075" i="8"/>
  <c r="AA1072" i="8"/>
  <c r="AA506" i="8"/>
  <c r="AA1073" i="8"/>
  <c r="AA507" i="8"/>
  <c r="AG1074" i="8"/>
  <c r="AH1074" i="8" s="1"/>
  <c r="AD1074" i="8" s="1"/>
  <c r="AG509" i="8"/>
  <c r="AH509" i="8" s="1"/>
  <c r="AD509" i="8" s="1"/>
  <c r="AG506" i="8"/>
  <c r="AH506" i="8" s="1"/>
  <c r="AD506" i="8" s="1"/>
  <c r="AG1072" i="8"/>
  <c r="AH1072" i="8" s="1"/>
  <c r="AD1072" i="8" s="1"/>
  <c r="AG507" i="8"/>
  <c r="AH507" i="8" s="1"/>
  <c r="AD507" i="8" s="1"/>
  <c r="AG1076" i="8"/>
  <c r="AH1076" i="8" s="1"/>
  <c r="AD1076" i="8" s="1"/>
  <c r="AG508" i="8"/>
  <c r="AH508" i="8" s="1"/>
  <c r="AD508" i="8" s="1"/>
  <c r="AG1073" i="8"/>
  <c r="AH1073" i="8" s="1"/>
  <c r="AD1073" i="8" s="1"/>
  <c r="AG1075" i="8"/>
  <c r="AH1075" i="8" s="1"/>
  <c r="AD1075" i="8" s="1"/>
  <c r="AG188" i="8"/>
  <c r="AH188" i="8" s="1"/>
  <c r="AD188" i="8" s="1"/>
  <c r="AG189" i="8"/>
  <c r="AH189" i="8" s="1"/>
  <c r="AD189" i="8" s="1"/>
  <c r="AG1211" i="8"/>
  <c r="AH1211" i="8" s="1"/>
  <c r="AD1211" i="8" s="1"/>
  <c r="AG1210" i="8"/>
  <c r="AH1210" i="8" s="1"/>
  <c r="AD1210" i="8" s="1"/>
  <c r="AG1212" i="8"/>
  <c r="AH1212" i="8" s="1"/>
  <c r="AD1212" i="8" s="1"/>
  <c r="AG1209" i="8"/>
  <c r="AH1209" i="8" s="1"/>
  <c r="AD1209" i="8" s="1"/>
  <c r="AG190" i="8"/>
  <c r="AH190" i="8" s="1"/>
  <c r="AD190" i="8" s="1"/>
  <c r="AG191" i="8"/>
  <c r="AH191" i="8" s="1"/>
  <c r="AD191" i="8" s="1"/>
  <c r="AG187" i="8"/>
  <c r="AH187" i="8" s="1"/>
  <c r="AD187" i="8" s="1"/>
  <c r="AA191" i="8"/>
  <c r="AA1211" i="8"/>
  <c r="AA187" i="8"/>
  <c r="AA189" i="8"/>
  <c r="AA188" i="8"/>
  <c r="AA1209" i="8"/>
  <c r="AA1210" i="8"/>
  <c r="AA1212" i="8"/>
  <c r="AA190" i="8"/>
  <c r="AA821" i="8"/>
  <c r="AA822" i="8"/>
  <c r="AA1709" i="8"/>
  <c r="AA1710" i="8"/>
  <c r="AA823" i="8"/>
  <c r="AA1713" i="8"/>
  <c r="AA1711" i="8"/>
  <c r="AA1712" i="8"/>
  <c r="AG822" i="8"/>
  <c r="AH822" i="8" s="1"/>
  <c r="AD822" i="8" s="1"/>
  <c r="AG1709" i="8"/>
  <c r="AH1709" i="8" s="1"/>
  <c r="AD1709" i="8" s="1"/>
  <c r="AG1713" i="8"/>
  <c r="AH1713" i="8" s="1"/>
  <c r="AD1713" i="8" s="1"/>
  <c r="AG1712" i="8"/>
  <c r="AH1712" i="8" s="1"/>
  <c r="AD1712" i="8" s="1"/>
  <c r="AG823" i="8"/>
  <c r="AH823" i="8" s="1"/>
  <c r="AD823" i="8" s="1"/>
  <c r="AG1710" i="8"/>
  <c r="AH1710" i="8" s="1"/>
  <c r="AD1710" i="8" s="1"/>
  <c r="AG821" i="8"/>
  <c r="AH821" i="8" s="1"/>
  <c r="AD821" i="8" s="1"/>
  <c r="AG1711" i="8"/>
  <c r="AH1711" i="8" s="1"/>
  <c r="AD1711" i="8" s="1"/>
  <c r="AA16" i="8"/>
  <c r="AA15" i="8"/>
  <c r="AA1473" i="8"/>
  <c r="AA447" i="8"/>
  <c r="AA448" i="8"/>
  <c r="AA450" i="8"/>
  <c r="AA451" i="8"/>
  <c r="AA1042" i="8"/>
  <c r="AA1474" i="8"/>
  <c r="AA1471" i="8"/>
  <c r="AA1472" i="8"/>
  <c r="AA449" i="8"/>
  <c r="AA1475" i="8"/>
  <c r="AA1040" i="8"/>
  <c r="AA1039" i="8"/>
  <c r="AA1041" i="8"/>
  <c r="AA14" i="8"/>
  <c r="AG1039" i="8"/>
  <c r="AH1039" i="8" s="1"/>
  <c r="AD1039" i="8" s="1"/>
  <c r="AG1041" i="8"/>
  <c r="AH1041" i="8" s="1"/>
  <c r="AD1041" i="8" s="1"/>
  <c r="AG1042" i="8"/>
  <c r="AH1042" i="8" s="1"/>
  <c r="AD1042" i="8" s="1"/>
  <c r="AG1040" i="8"/>
  <c r="AH1040" i="8" s="1"/>
  <c r="AD1040" i="8" s="1"/>
  <c r="AG15" i="8"/>
  <c r="AH15" i="8" s="1"/>
  <c r="AD15" i="8" s="1"/>
  <c r="AG450" i="8"/>
  <c r="AH450" i="8" s="1"/>
  <c r="AD450" i="8" s="1"/>
  <c r="AG1475" i="8"/>
  <c r="AH1475" i="8" s="1"/>
  <c r="AD1475" i="8" s="1"/>
  <c r="AG448" i="8"/>
  <c r="AH448" i="8" s="1"/>
  <c r="AD448" i="8" s="1"/>
  <c r="AG449" i="8"/>
  <c r="AH449" i="8" s="1"/>
  <c r="AD449" i="8" s="1"/>
  <c r="AG1472" i="8"/>
  <c r="AH1472" i="8" s="1"/>
  <c r="AD1472" i="8" s="1"/>
  <c r="AG16" i="8"/>
  <c r="AH16" i="8" s="1"/>
  <c r="AD16" i="8" s="1"/>
  <c r="AG14" i="8"/>
  <c r="AH14" i="8" s="1"/>
  <c r="AD14" i="8" s="1"/>
  <c r="AG1474" i="8"/>
  <c r="AH1474" i="8" s="1"/>
  <c r="AD1474" i="8" s="1"/>
  <c r="AG1471" i="8"/>
  <c r="AH1471" i="8" s="1"/>
  <c r="AD1471" i="8" s="1"/>
  <c r="AG1473" i="8"/>
  <c r="AH1473" i="8" s="1"/>
  <c r="AD1473" i="8" s="1"/>
  <c r="AG451" i="8"/>
  <c r="AH451" i="8" s="1"/>
  <c r="AD451" i="8" s="1"/>
  <c r="AG447" i="8"/>
  <c r="AH447" i="8" s="1"/>
  <c r="AD447" i="8" s="1"/>
  <c r="AA641" i="8"/>
  <c r="AA643" i="8"/>
  <c r="AA642" i="8"/>
  <c r="AA644" i="8"/>
  <c r="AG644" i="8"/>
  <c r="AH644" i="8" s="1"/>
  <c r="AD644" i="8" s="1"/>
  <c r="AG641" i="8"/>
  <c r="AH641" i="8" s="1"/>
  <c r="AD641" i="8" s="1"/>
  <c r="AG642" i="8"/>
  <c r="AH642" i="8" s="1"/>
  <c r="AD642" i="8" s="1"/>
  <c r="AG643" i="8"/>
  <c r="AH643" i="8" s="1"/>
  <c r="AD643" i="8" s="1"/>
  <c r="AA654" i="8"/>
  <c r="AA655" i="8"/>
  <c r="AA653" i="8"/>
  <c r="AG655" i="8"/>
  <c r="AH655" i="8" s="1"/>
  <c r="AD655" i="8" s="1"/>
  <c r="AG654" i="8"/>
  <c r="AH654" i="8" s="1"/>
  <c r="AD654" i="8" s="1"/>
  <c r="AG653" i="8"/>
  <c r="AH653" i="8" s="1"/>
  <c r="AD653" i="8" s="1"/>
  <c r="AA40" i="8"/>
  <c r="AA699" i="8"/>
  <c r="AA1368" i="8"/>
  <c r="AA701" i="8"/>
  <c r="AA1365" i="8"/>
  <c r="AA700" i="8"/>
  <c r="AA1362" i="8"/>
  <c r="AA1363" i="8"/>
  <c r="AA1366" i="8"/>
  <c r="AA1364" i="8"/>
  <c r="AA41" i="8"/>
  <c r="AA1367" i="8"/>
  <c r="AA698" i="8"/>
  <c r="AG40" i="8"/>
  <c r="AH40" i="8" s="1"/>
  <c r="AD40" i="8" s="1"/>
  <c r="AG41" i="8"/>
  <c r="AH41" i="8" s="1"/>
  <c r="AD41" i="8" s="1"/>
  <c r="AG1366" i="8"/>
  <c r="AH1366" i="8" s="1"/>
  <c r="AD1366" i="8" s="1"/>
  <c r="AG701" i="8"/>
  <c r="AH701" i="8" s="1"/>
  <c r="AD701" i="8" s="1"/>
  <c r="AG1367" i="8"/>
  <c r="AH1367" i="8" s="1"/>
  <c r="AD1367" i="8" s="1"/>
  <c r="AG1365" i="8"/>
  <c r="AH1365" i="8" s="1"/>
  <c r="AD1365" i="8" s="1"/>
  <c r="AG1364" i="8"/>
  <c r="AH1364" i="8" s="1"/>
  <c r="AD1364" i="8" s="1"/>
  <c r="AG700" i="8"/>
  <c r="AH700" i="8" s="1"/>
  <c r="AD700" i="8" s="1"/>
  <c r="AG1368" i="8"/>
  <c r="AH1368" i="8" s="1"/>
  <c r="AD1368" i="8" s="1"/>
  <c r="AG699" i="8"/>
  <c r="AH699" i="8" s="1"/>
  <c r="AD699" i="8" s="1"/>
  <c r="AG698" i="8"/>
  <c r="AH698" i="8" s="1"/>
  <c r="AD698" i="8" s="1"/>
  <c r="AG1363" i="8"/>
  <c r="AH1363" i="8" s="1"/>
  <c r="AD1363" i="8" s="1"/>
  <c r="AG1362" i="8"/>
  <c r="AH1362" i="8" s="1"/>
  <c r="AD1362" i="8" s="1"/>
  <c r="AG671" i="8"/>
  <c r="AH671" i="8" s="1"/>
  <c r="AD671" i="8" s="1"/>
  <c r="AG241" i="8"/>
  <c r="AH241" i="8" s="1"/>
  <c r="AD241" i="8" s="1"/>
  <c r="AG239" i="8"/>
  <c r="AH239" i="8" s="1"/>
  <c r="AD239" i="8" s="1"/>
  <c r="AG238" i="8"/>
  <c r="AH238" i="8" s="1"/>
  <c r="AD238" i="8" s="1"/>
  <c r="AG1218" i="8"/>
  <c r="AH1218" i="8" s="1"/>
  <c r="AD1218" i="8" s="1"/>
  <c r="AG240" i="8"/>
  <c r="AH240" i="8" s="1"/>
  <c r="AD240" i="8" s="1"/>
  <c r="AG672" i="8"/>
  <c r="AH672" i="8" s="1"/>
  <c r="AD672" i="8" s="1"/>
  <c r="AG1773" i="8"/>
  <c r="AH1773" i="8" s="1"/>
  <c r="AD1773" i="8" s="1"/>
  <c r="AG1220" i="8"/>
  <c r="AH1220" i="8" s="1"/>
  <c r="AD1220" i="8" s="1"/>
  <c r="AG1219" i="8"/>
  <c r="AH1219" i="8" s="1"/>
  <c r="AD1219" i="8" s="1"/>
  <c r="AG1774" i="8"/>
  <c r="AH1774" i="8" s="1"/>
  <c r="AD1774" i="8" s="1"/>
  <c r="AG1217" i="8"/>
  <c r="AH1217" i="8" s="1"/>
  <c r="AD1217" i="8" s="1"/>
  <c r="AG242" i="8"/>
  <c r="AH242" i="8" s="1"/>
  <c r="AD242" i="8" s="1"/>
  <c r="AG670" i="8"/>
  <c r="AH670" i="8" s="1"/>
  <c r="AD670" i="8" s="1"/>
  <c r="AG1776" i="8"/>
  <c r="AH1776" i="8" s="1"/>
  <c r="AD1776" i="8" s="1"/>
  <c r="AG673" i="8"/>
  <c r="AH673" i="8" s="1"/>
  <c r="AD673" i="8" s="1"/>
  <c r="AG1775" i="8"/>
  <c r="AH1775" i="8" s="1"/>
  <c r="AD1775" i="8" s="1"/>
  <c r="AA671" i="8"/>
  <c r="AA1217" i="8"/>
  <c r="AA238" i="8"/>
  <c r="AA241" i="8"/>
  <c r="AA670" i="8"/>
  <c r="AA1775" i="8"/>
  <c r="AA1776" i="8"/>
  <c r="AA1774" i="8"/>
  <c r="AA1773" i="8"/>
  <c r="AA239" i="8"/>
  <c r="AA672" i="8"/>
  <c r="AA240" i="8"/>
  <c r="AA242" i="8"/>
  <c r="AA673" i="8"/>
  <c r="AA1218" i="8"/>
  <c r="AA1220" i="8"/>
  <c r="AA1219" i="8"/>
  <c r="AG725" i="8"/>
  <c r="AH725" i="8" s="1"/>
  <c r="AD725" i="8" s="1"/>
  <c r="AG1091" i="8"/>
  <c r="AH1091" i="8" s="1"/>
  <c r="AD1091" i="8" s="1"/>
  <c r="AG245" i="8"/>
  <c r="AH245" i="8" s="1"/>
  <c r="AD245" i="8" s="1"/>
  <c r="AG243" i="8"/>
  <c r="AH243" i="8" s="1"/>
  <c r="AD243" i="8" s="1"/>
  <c r="AG1090" i="8"/>
  <c r="AH1090" i="8" s="1"/>
  <c r="AD1090" i="8" s="1"/>
  <c r="AG244" i="8"/>
  <c r="AH244" i="8" s="1"/>
  <c r="AD244" i="8" s="1"/>
  <c r="AG246" i="8"/>
  <c r="AH246" i="8" s="1"/>
  <c r="AD246" i="8" s="1"/>
  <c r="AG726" i="8"/>
  <c r="AH726" i="8" s="1"/>
  <c r="AD726" i="8" s="1"/>
  <c r="AA246" i="8"/>
  <c r="AA244" i="8"/>
  <c r="AA245" i="8"/>
  <c r="AA243" i="8"/>
  <c r="AA1090" i="8"/>
  <c r="AA726" i="8"/>
  <c r="AA1091" i="8"/>
  <c r="AA725" i="8"/>
  <c r="AA221" i="8"/>
  <c r="AA220" i="8"/>
  <c r="AA1100" i="8"/>
  <c r="AA219" i="8"/>
  <c r="AA1101" i="8"/>
  <c r="AG1100" i="8"/>
  <c r="AH1100" i="8" s="1"/>
  <c r="AD1100" i="8" s="1"/>
  <c r="AG1101" i="8"/>
  <c r="AH1101" i="8" s="1"/>
  <c r="AD1101" i="8" s="1"/>
  <c r="AG221" i="8"/>
  <c r="AH221" i="8" s="1"/>
  <c r="AD221" i="8" s="1"/>
  <c r="AG219" i="8"/>
  <c r="AH219" i="8" s="1"/>
  <c r="AD219" i="8" s="1"/>
  <c r="AG220" i="8"/>
  <c r="AH220" i="8" s="1"/>
  <c r="AD220" i="8" s="1"/>
  <c r="AA1385" i="8"/>
  <c r="AA659" i="8"/>
  <c r="AA660" i="8"/>
  <c r="AA1386" i="8"/>
  <c r="AA1384" i="8"/>
  <c r="AA662" i="8"/>
  <c r="AA1387" i="8"/>
  <c r="AA661" i="8"/>
  <c r="AG1387" i="8"/>
  <c r="AH1387" i="8" s="1"/>
  <c r="AD1387" i="8" s="1"/>
  <c r="AG662" i="8"/>
  <c r="AH662" i="8" s="1"/>
  <c r="AD662" i="8" s="1"/>
  <c r="AG660" i="8"/>
  <c r="AH660" i="8" s="1"/>
  <c r="AD660" i="8" s="1"/>
  <c r="AG1386" i="8"/>
  <c r="AH1386" i="8" s="1"/>
  <c r="AD1386" i="8" s="1"/>
  <c r="AG661" i="8"/>
  <c r="AH661" i="8" s="1"/>
  <c r="AD661" i="8" s="1"/>
  <c r="AG659" i="8"/>
  <c r="AH659" i="8" s="1"/>
  <c r="AD659" i="8" s="1"/>
  <c r="AG1384" i="8"/>
  <c r="AH1384" i="8" s="1"/>
  <c r="AD1384" i="8" s="1"/>
  <c r="AG1385" i="8"/>
  <c r="AH1385" i="8" s="1"/>
  <c r="AD1385" i="8" s="1"/>
  <c r="AA308" i="8"/>
  <c r="AA306" i="8"/>
  <c r="AA304" i="8"/>
  <c r="AA305" i="8"/>
  <c r="AA307" i="8"/>
  <c r="AG308" i="8"/>
  <c r="AH308" i="8" s="1"/>
  <c r="AD308" i="8" s="1"/>
  <c r="AG305" i="8"/>
  <c r="AH305" i="8" s="1"/>
  <c r="AD305" i="8" s="1"/>
  <c r="AG304" i="8"/>
  <c r="AH304" i="8" s="1"/>
  <c r="AD304" i="8" s="1"/>
  <c r="AG307" i="8"/>
  <c r="AH307" i="8" s="1"/>
  <c r="AD307" i="8" s="1"/>
  <c r="AG306" i="8"/>
  <c r="AH306" i="8" s="1"/>
  <c r="AD306" i="8" s="1"/>
  <c r="AG1357" i="8"/>
  <c r="AH1357" i="8" s="1"/>
  <c r="AD1357" i="8" s="1"/>
  <c r="AG565" i="8"/>
  <c r="AH565" i="8" s="1"/>
  <c r="AD565" i="8" s="1"/>
  <c r="AG567" i="8"/>
  <c r="AH567" i="8" s="1"/>
  <c r="AD567" i="8" s="1"/>
  <c r="AG564" i="8"/>
  <c r="AH564" i="8" s="1"/>
  <c r="AD564" i="8" s="1"/>
  <c r="AG566" i="8"/>
  <c r="AH566" i="8" s="1"/>
  <c r="AD566" i="8" s="1"/>
  <c r="AG1896" i="8"/>
  <c r="AH1896" i="8" s="1"/>
  <c r="AD1896" i="8" s="1"/>
  <c r="AG1897" i="8"/>
  <c r="AH1897" i="8" s="1"/>
  <c r="AD1897" i="8" s="1"/>
  <c r="AG1356" i="8"/>
  <c r="AH1356" i="8" s="1"/>
  <c r="AD1356" i="8" s="1"/>
  <c r="AA566" i="8"/>
  <c r="AA567" i="8"/>
  <c r="AA565" i="8"/>
  <c r="AA564" i="8"/>
  <c r="AA1896" i="8"/>
  <c r="AA1897" i="8"/>
  <c r="AA1356" i="8"/>
  <c r="AA1357" i="8"/>
  <c r="AA1223" i="8"/>
  <c r="AA679" i="8"/>
  <c r="AA677" i="8"/>
  <c r="AA1224" i="8"/>
  <c r="AA676" i="8"/>
  <c r="AA1222" i="8"/>
  <c r="AA678" i="8"/>
  <c r="AA1221" i="8"/>
  <c r="AG678" i="8"/>
  <c r="AH678" i="8" s="1"/>
  <c r="AD678" i="8" s="1"/>
  <c r="AG676" i="8"/>
  <c r="AH676" i="8" s="1"/>
  <c r="AD676" i="8" s="1"/>
  <c r="AG1223" i="8"/>
  <c r="AH1223" i="8" s="1"/>
  <c r="AD1223" i="8" s="1"/>
  <c r="AG1221" i="8"/>
  <c r="AH1221" i="8" s="1"/>
  <c r="AD1221" i="8" s="1"/>
  <c r="AG1222" i="8"/>
  <c r="AH1222" i="8" s="1"/>
  <c r="AD1222" i="8" s="1"/>
  <c r="AG1224" i="8"/>
  <c r="AH1224" i="8" s="1"/>
  <c r="AD1224" i="8" s="1"/>
  <c r="AG679" i="8"/>
  <c r="AH679" i="8" s="1"/>
  <c r="AD679" i="8" s="1"/>
  <c r="AG677" i="8"/>
  <c r="AH677" i="8" s="1"/>
  <c r="AD677" i="8" s="1"/>
  <c r="AA629" i="8"/>
  <c r="AA631" i="8"/>
  <c r="AA632" i="8"/>
  <c r="AA1452" i="8"/>
  <c r="AA1453" i="8"/>
  <c r="AA630" i="8"/>
  <c r="AA1451" i="8"/>
  <c r="AG630" i="8"/>
  <c r="AH630" i="8" s="1"/>
  <c r="AD630" i="8" s="1"/>
  <c r="AG632" i="8"/>
  <c r="AH632" i="8" s="1"/>
  <c r="AD632" i="8" s="1"/>
  <c r="AG1451" i="8"/>
  <c r="AH1451" i="8" s="1"/>
  <c r="AD1451" i="8" s="1"/>
  <c r="AG1452" i="8"/>
  <c r="AH1452" i="8" s="1"/>
  <c r="AD1452" i="8" s="1"/>
  <c r="AG629" i="8"/>
  <c r="AH629" i="8" s="1"/>
  <c r="AD629" i="8" s="1"/>
  <c r="AG631" i="8"/>
  <c r="AH631" i="8" s="1"/>
  <c r="AD631" i="8" s="1"/>
  <c r="AG1453" i="8"/>
  <c r="AH1453" i="8" s="1"/>
  <c r="AD1453" i="8" s="1"/>
  <c r="AG1158" i="8"/>
  <c r="AH1158" i="8" s="1"/>
  <c r="AD1158" i="8" s="1"/>
  <c r="AG1157" i="8"/>
  <c r="AH1157" i="8" s="1"/>
  <c r="AD1157" i="8" s="1"/>
  <c r="AG1159" i="8"/>
  <c r="AH1159" i="8" s="1"/>
  <c r="AD1159" i="8" s="1"/>
  <c r="AG1160" i="8"/>
  <c r="AH1160" i="8" s="1"/>
  <c r="AD1160" i="8" s="1"/>
  <c r="AA1160" i="8"/>
  <c r="AA1158" i="8"/>
  <c r="AA1159" i="8"/>
  <c r="AA1157" i="8"/>
  <c r="AA1502" i="8"/>
  <c r="AA247" i="8"/>
  <c r="AA1500" i="8"/>
  <c r="AA249" i="8"/>
  <c r="AA686" i="8"/>
  <c r="AA1501" i="8"/>
  <c r="AA248" i="8"/>
  <c r="AG1501" i="8"/>
  <c r="AH1501" i="8" s="1"/>
  <c r="AD1501" i="8" s="1"/>
  <c r="AG249" i="8"/>
  <c r="AH249" i="8" s="1"/>
  <c r="AD249" i="8" s="1"/>
  <c r="AG247" i="8"/>
  <c r="AH247" i="8" s="1"/>
  <c r="AD247" i="8" s="1"/>
  <c r="AG686" i="8"/>
  <c r="AH686" i="8" s="1"/>
  <c r="AD686" i="8" s="1"/>
  <c r="AG248" i="8"/>
  <c r="AH248" i="8" s="1"/>
  <c r="AD248" i="8" s="1"/>
  <c r="AG1500" i="8"/>
  <c r="AH1500" i="8" s="1"/>
  <c r="AD1500" i="8" s="1"/>
  <c r="AG1502" i="8"/>
  <c r="AH1502" i="8" s="1"/>
  <c r="AD1502" i="8" s="1"/>
  <c r="AA682" i="8"/>
  <c r="AA681" i="8"/>
  <c r="AA680" i="8"/>
  <c r="AA229" i="8"/>
  <c r="AA1507" i="8"/>
  <c r="AA1508" i="8"/>
  <c r="AA230" i="8"/>
  <c r="AA227" i="8"/>
  <c r="AA228" i="8"/>
  <c r="AA1506" i="8"/>
  <c r="AG230" i="8"/>
  <c r="AH230" i="8" s="1"/>
  <c r="AD230" i="8" s="1"/>
  <c r="AG1506" i="8"/>
  <c r="AH1506" i="8" s="1"/>
  <c r="AD1506" i="8" s="1"/>
  <c r="AG680" i="8"/>
  <c r="AH680" i="8" s="1"/>
  <c r="AD680" i="8" s="1"/>
  <c r="AG1508" i="8"/>
  <c r="AH1508" i="8" s="1"/>
  <c r="AD1508" i="8" s="1"/>
  <c r="AG1507" i="8"/>
  <c r="AH1507" i="8" s="1"/>
  <c r="AD1507" i="8" s="1"/>
  <c r="AG681" i="8"/>
  <c r="AH681" i="8" s="1"/>
  <c r="AD681" i="8" s="1"/>
  <c r="AG682" i="8"/>
  <c r="AH682" i="8" s="1"/>
  <c r="AD682" i="8" s="1"/>
  <c r="AG229" i="8"/>
  <c r="AH229" i="8" s="1"/>
  <c r="AD229" i="8" s="1"/>
  <c r="AG227" i="8"/>
  <c r="AH227" i="8" s="1"/>
  <c r="AD227" i="8" s="1"/>
  <c r="AG228" i="8"/>
  <c r="AH228" i="8" s="1"/>
  <c r="AD228" i="8" s="1"/>
  <c r="AA1062" i="8"/>
  <c r="AA1063" i="8"/>
  <c r="AA561" i="8"/>
  <c r="AA560" i="8"/>
  <c r="AA1065" i="8"/>
  <c r="AA1064" i="8"/>
  <c r="AA1690" i="8"/>
  <c r="AA563" i="8"/>
  <c r="AA1689" i="8"/>
  <c r="AA1688" i="8"/>
  <c r="AA1687" i="8"/>
  <c r="AA562" i="8"/>
  <c r="AA1691" i="8"/>
  <c r="AG561" i="8"/>
  <c r="AH561" i="8" s="1"/>
  <c r="AD561" i="8" s="1"/>
  <c r="AG1688" i="8"/>
  <c r="AH1688" i="8" s="1"/>
  <c r="AD1688" i="8" s="1"/>
  <c r="AG1062" i="8"/>
  <c r="AH1062" i="8" s="1"/>
  <c r="AD1062" i="8" s="1"/>
  <c r="AG1063" i="8"/>
  <c r="AH1063" i="8" s="1"/>
  <c r="AD1063" i="8" s="1"/>
  <c r="AG1065" i="8"/>
  <c r="AH1065" i="8" s="1"/>
  <c r="AD1065" i="8" s="1"/>
  <c r="AG1687" i="8"/>
  <c r="AH1687" i="8" s="1"/>
  <c r="AD1687" i="8" s="1"/>
  <c r="AG1689" i="8"/>
  <c r="AH1689" i="8" s="1"/>
  <c r="AD1689" i="8" s="1"/>
  <c r="AG1690" i="8"/>
  <c r="AH1690" i="8" s="1"/>
  <c r="AD1690" i="8" s="1"/>
  <c r="AG1064" i="8"/>
  <c r="AH1064" i="8" s="1"/>
  <c r="AD1064" i="8" s="1"/>
  <c r="AG560" i="8"/>
  <c r="AH560" i="8" s="1"/>
  <c r="AD560" i="8" s="1"/>
  <c r="AG563" i="8"/>
  <c r="AH563" i="8" s="1"/>
  <c r="AD563" i="8" s="1"/>
  <c r="AG1691" i="8"/>
  <c r="AH1691" i="8" s="1"/>
  <c r="AD1691" i="8" s="1"/>
  <c r="AG562" i="8"/>
  <c r="AH562" i="8" s="1"/>
  <c r="AD562" i="8" s="1"/>
  <c r="AA774" i="8"/>
  <c r="AA775" i="8"/>
  <c r="AA772" i="8"/>
  <c r="AA703" i="8"/>
  <c r="AA777" i="8"/>
  <c r="AA390" i="8"/>
  <c r="AA1302" i="8"/>
  <c r="AA773" i="8"/>
  <c r="AA1300" i="8"/>
  <c r="AA391" i="8"/>
  <c r="AA1303" i="8"/>
  <c r="AA270" i="8"/>
  <c r="AA271" i="8"/>
  <c r="AA1304" i="8"/>
  <c r="AA1180" i="8"/>
  <c r="AA269" i="8"/>
  <c r="AA1299" i="8"/>
  <c r="AA776" i="8"/>
  <c r="AA1301" i="8"/>
  <c r="AA272" i="8"/>
  <c r="AG270" i="8"/>
  <c r="AH270" i="8" s="1"/>
  <c r="AD270" i="8" s="1"/>
  <c r="AG271" i="8"/>
  <c r="AH271" i="8" s="1"/>
  <c r="AD271" i="8" s="1"/>
  <c r="AG391" i="8"/>
  <c r="AH391" i="8" s="1"/>
  <c r="AD391" i="8" s="1"/>
  <c r="AG272" i="8"/>
  <c r="AH272" i="8" s="1"/>
  <c r="AD272" i="8" s="1"/>
  <c r="AG269" i="8"/>
  <c r="AH269" i="8" s="1"/>
  <c r="AD269" i="8" s="1"/>
  <c r="AG390" i="8"/>
  <c r="AH390" i="8" s="1"/>
  <c r="AD390" i="8" s="1"/>
  <c r="AG772" i="8"/>
  <c r="AH772" i="8" s="1"/>
  <c r="AD772" i="8" s="1"/>
  <c r="AG774" i="8"/>
  <c r="AH774" i="8" s="1"/>
  <c r="AD774" i="8" s="1"/>
  <c r="AG775" i="8"/>
  <c r="AH775" i="8" s="1"/>
  <c r="AD775" i="8" s="1"/>
  <c r="AG776" i="8"/>
  <c r="AH776" i="8" s="1"/>
  <c r="AD776" i="8" s="1"/>
  <c r="AG1304" i="8"/>
  <c r="AH1304" i="8" s="1"/>
  <c r="AD1304" i="8" s="1"/>
  <c r="AG1301" i="8"/>
  <c r="AH1301" i="8" s="1"/>
  <c r="AD1301" i="8" s="1"/>
  <c r="AG1299" i="8"/>
  <c r="AH1299" i="8" s="1"/>
  <c r="AD1299" i="8" s="1"/>
  <c r="AG1180" i="8"/>
  <c r="AH1180" i="8" s="1"/>
  <c r="AD1180" i="8" s="1"/>
  <c r="AG1300" i="8"/>
  <c r="AH1300" i="8" s="1"/>
  <c r="AD1300" i="8" s="1"/>
  <c r="AG703" i="8"/>
  <c r="AH703" i="8" s="1"/>
  <c r="AD703" i="8" s="1"/>
  <c r="AG777" i="8"/>
  <c r="AH777" i="8" s="1"/>
  <c r="AD777" i="8" s="1"/>
  <c r="AG773" i="8"/>
  <c r="AH773" i="8" s="1"/>
  <c r="AD773" i="8" s="1"/>
  <c r="AG1302" i="8"/>
  <c r="AH1302" i="8" s="1"/>
  <c r="AD1302" i="8" s="1"/>
  <c r="AG1303" i="8"/>
  <c r="AH1303" i="8" s="1"/>
  <c r="AD1303" i="8" s="1"/>
  <c r="AA1629" i="8"/>
  <c r="AA1698" i="8"/>
  <c r="AA1630" i="8"/>
  <c r="AA1664" i="8"/>
  <c r="AA1631" i="8"/>
  <c r="AG1631" i="8"/>
  <c r="AH1631" i="8" s="1"/>
  <c r="AD1631" i="8" s="1"/>
  <c r="AG1664" i="8"/>
  <c r="AH1664" i="8" s="1"/>
  <c r="AD1664" i="8" s="1"/>
  <c r="AG1698" i="8"/>
  <c r="AH1698" i="8" s="1"/>
  <c r="AD1698" i="8" s="1"/>
  <c r="AG1630" i="8"/>
  <c r="AH1630" i="8" s="1"/>
  <c r="AD1630" i="8" s="1"/>
  <c r="AG1629" i="8"/>
  <c r="AH1629" i="8" s="1"/>
  <c r="AD1629" i="8" s="1"/>
  <c r="AA798" i="8"/>
  <c r="AA1272" i="8"/>
  <c r="AA143" i="8"/>
  <c r="AA1271" i="8"/>
  <c r="AA1270" i="8"/>
  <c r="AA800" i="8"/>
  <c r="AA802" i="8"/>
  <c r="AA1269" i="8"/>
  <c r="AA801" i="8"/>
  <c r="AA799" i="8"/>
  <c r="AA803" i="8"/>
  <c r="AA148" i="8"/>
  <c r="AA144" i="8"/>
  <c r="AA147" i="8"/>
  <c r="AA146" i="8"/>
  <c r="AA145" i="8"/>
  <c r="AG799" i="8"/>
  <c r="AH799" i="8" s="1"/>
  <c r="AD799" i="8" s="1"/>
  <c r="AG801" i="8"/>
  <c r="AH801" i="8" s="1"/>
  <c r="AD801" i="8" s="1"/>
  <c r="AG798" i="8"/>
  <c r="AH798" i="8" s="1"/>
  <c r="AD798" i="8" s="1"/>
  <c r="AG802" i="8"/>
  <c r="AH802" i="8" s="1"/>
  <c r="AD802" i="8" s="1"/>
  <c r="AG800" i="8"/>
  <c r="AH800" i="8" s="1"/>
  <c r="AD800" i="8" s="1"/>
  <c r="AG1269" i="8"/>
  <c r="AH1269" i="8" s="1"/>
  <c r="AD1269" i="8" s="1"/>
  <c r="AG1271" i="8"/>
  <c r="AH1271" i="8" s="1"/>
  <c r="AD1271" i="8" s="1"/>
  <c r="AG1272" i="8"/>
  <c r="AH1272" i="8" s="1"/>
  <c r="AD1272" i="8" s="1"/>
  <c r="AG803" i="8"/>
  <c r="AH803" i="8" s="1"/>
  <c r="AD803" i="8" s="1"/>
  <c r="AG148" i="8"/>
  <c r="AH148" i="8" s="1"/>
  <c r="AD148" i="8" s="1"/>
  <c r="AG147" i="8"/>
  <c r="AH147" i="8" s="1"/>
  <c r="AD147" i="8" s="1"/>
  <c r="AG146" i="8"/>
  <c r="AH146" i="8" s="1"/>
  <c r="AD146" i="8" s="1"/>
  <c r="AG1270" i="8"/>
  <c r="AH1270" i="8" s="1"/>
  <c r="AD1270" i="8" s="1"/>
  <c r="AG143" i="8"/>
  <c r="AH143" i="8" s="1"/>
  <c r="AD143" i="8" s="1"/>
  <c r="AG145" i="8"/>
  <c r="AH145" i="8" s="1"/>
  <c r="AD145" i="8" s="1"/>
  <c r="AG144" i="8"/>
  <c r="AH144" i="8" s="1"/>
  <c r="AD144" i="8" s="1"/>
  <c r="AA1181" i="8"/>
  <c r="AA1493" i="8"/>
  <c r="AA1182" i="8"/>
  <c r="AA688" i="8"/>
  <c r="AA689" i="8"/>
  <c r="AA1183" i="8"/>
  <c r="AA690" i="8"/>
  <c r="AA1494" i="8"/>
  <c r="AA1492" i="8"/>
  <c r="AG1494" i="8"/>
  <c r="AH1494" i="8" s="1"/>
  <c r="AD1494" i="8" s="1"/>
  <c r="AG1181" i="8"/>
  <c r="AH1181" i="8" s="1"/>
  <c r="AD1181" i="8" s="1"/>
  <c r="AG1183" i="8"/>
  <c r="AH1183" i="8" s="1"/>
  <c r="AD1183" i="8" s="1"/>
  <c r="AG689" i="8"/>
  <c r="AH689" i="8" s="1"/>
  <c r="AD689" i="8" s="1"/>
  <c r="AG1493" i="8"/>
  <c r="AH1493" i="8" s="1"/>
  <c r="AD1493" i="8" s="1"/>
  <c r="AG690" i="8"/>
  <c r="AH690" i="8" s="1"/>
  <c r="AD690" i="8" s="1"/>
  <c r="AG1182" i="8"/>
  <c r="AH1182" i="8" s="1"/>
  <c r="AD1182" i="8" s="1"/>
  <c r="AG688" i="8"/>
  <c r="AH688" i="8" s="1"/>
  <c r="AD688" i="8" s="1"/>
  <c r="AG1492" i="8"/>
  <c r="AH1492" i="8" s="1"/>
  <c r="AD1492" i="8" s="1"/>
  <c r="AA1413" i="8"/>
  <c r="AA312" i="8"/>
  <c r="AA747" i="8"/>
  <c r="AA746" i="8"/>
  <c r="AA1416" i="8"/>
  <c r="AA310" i="8"/>
  <c r="AA744" i="8"/>
  <c r="AA745" i="8"/>
  <c r="AA1415" i="8"/>
  <c r="AA1414" i="8"/>
  <c r="AA309" i="8"/>
  <c r="AA311" i="8"/>
  <c r="AG745" i="8"/>
  <c r="AH745" i="8" s="1"/>
  <c r="AD745" i="8" s="1"/>
  <c r="AG310" i="8"/>
  <c r="AH310" i="8" s="1"/>
  <c r="AD310" i="8" s="1"/>
  <c r="AG309" i="8"/>
  <c r="AH309" i="8" s="1"/>
  <c r="AD309" i="8" s="1"/>
  <c r="AG1414" i="8"/>
  <c r="AH1414" i="8" s="1"/>
  <c r="AD1414" i="8" s="1"/>
  <c r="AG1415" i="8"/>
  <c r="AH1415" i="8" s="1"/>
  <c r="AD1415" i="8" s="1"/>
  <c r="AG746" i="8"/>
  <c r="AH746" i="8" s="1"/>
  <c r="AD746" i="8" s="1"/>
  <c r="AG1416" i="8"/>
  <c r="AH1416" i="8" s="1"/>
  <c r="AD1416" i="8" s="1"/>
  <c r="AG744" i="8"/>
  <c r="AH744" i="8" s="1"/>
  <c r="AD744" i="8" s="1"/>
  <c r="AG1413" i="8"/>
  <c r="AH1413" i="8" s="1"/>
  <c r="AD1413" i="8" s="1"/>
  <c r="AG747" i="8"/>
  <c r="AH747" i="8" s="1"/>
  <c r="AD747" i="8" s="1"/>
  <c r="AG311" i="8"/>
  <c r="AH311" i="8" s="1"/>
  <c r="AD311" i="8" s="1"/>
  <c r="AG312" i="8"/>
  <c r="AH312" i="8" s="1"/>
  <c r="AD312" i="8" s="1"/>
  <c r="AA797" i="8"/>
  <c r="AA794" i="8"/>
  <c r="AA293" i="8"/>
  <c r="AA290" i="8"/>
  <c r="AA1888" i="8"/>
  <c r="AA294" i="8"/>
  <c r="AA795" i="8"/>
  <c r="AA291" i="8"/>
  <c r="AA796" i="8"/>
  <c r="AA793" i="8"/>
  <c r="AA292" i="8"/>
  <c r="AA1886" i="8"/>
  <c r="AA1887" i="8"/>
  <c r="AG292" i="8"/>
  <c r="AH292" i="8" s="1"/>
  <c r="AD292" i="8" s="1"/>
  <c r="AG291" i="8"/>
  <c r="AH291" i="8" s="1"/>
  <c r="AD291" i="8" s="1"/>
  <c r="AG797" i="8"/>
  <c r="AH797" i="8" s="1"/>
  <c r="AD797" i="8" s="1"/>
  <c r="AG796" i="8"/>
  <c r="AH796" i="8" s="1"/>
  <c r="AD796" i="8" s="1"/>
  <c r="AG794" i="8"/>
  <c r="AH794" i="8" s="1"/>
  <c r="AD794" i="8" s="1"/>
  <c r="AG1886" i="8"/>
  <c r="AH1886" i="8" s="1"/>
  <c r="AD1886" i="8" s="1"/>
  <c r="AG795" i="8"/>
  <c r="AH795" i="8" s="1"/>
  <c r="AD795" i="8" s="1"/>
  <c r="AG293" i="8"/>
  <c r="AH293" i="8" s="1"/>
  <c r="AD293" i="8" s="1"/>
  <c r="AG1887" i="8"/>
  <c r="AH1887" i="8" s="1"/>
  <c r="AD1887" i="8" s="1"/>
  <c r="AG294" i="8"/>
  <c r="AH294" i="8" s="1"/>
  <c r="AD294" i="8" s="1"/>
  <c r="AG1888" i="8"/>
  <c r="AH1888" i="8" s="1"/>
  <c r="AD1888" i="8" s="1"/>
  <c r="AG793" i="8"/>
  <c r="AH793" i="8" s="1"/>
  <c r="AD793" i="8" s="1"/>
  <c r="AG290" i="8"/>
  <c r="AH290" i="8" s="1"/>
  <c r="AD290" i="8" s="1"/>
  <c r="AG1379" i="8"/>
  <c r="AH1379" i="8" s="1"/>
  <c r="AD1379" i="8" s="1"/>
  <c r="AG1380" i="8"/>
  <c r="AH1380" i="8" s="1"/>
  <c r="AD1380" i="8" s="1"/>
  <c r="AG1767" i="8"/>
  <c r="AH1767" i="8" s="1"/>
  <c r="AD1767" i="8" s="1"/>
  <c r="AG1381" i="8"/>
  <c r="AH1381" i="8" s="1"/>
  <c r="AD1381" i="8" s="1"/>
  <c r="AG1378" i="8"/>
  <c r="AH1378" i="8" s="1"/>
  <c r="AD1378" i="8" s="1"/>
  <c r="AG1766" i="8"/>
  <c r="AH1766" i="8" s="1"/>
  <c r="AD1766" i="8" s="1"/>
  <c r="AG1765" i="8"/>
  <c r="AH1765" i="8" s="1"/>
  <c r="AD1765" i="8" s="1"/>
  <c r="AG1768" i="8"/>
  <c r="AH1768" i="8" s="1"/>
  <c r="AD1768" i="8" s="1"/>
  <c r="AA1766" i="8"/>
  <c r="AA1380" i="8"/>
  <c r="AA1765" i="8"/>
  <c r="AA1379" i="8"/>
  <c r="AA1378" i="8"/>
  <c r="AA1768" i="8"/>
  <c r="AA1381" i="8"/>
  <c r="AA1767" i="8"/>
  <c r="AA213" i="8"/>
  <c r="AA214" i="8"/>
  <c r="AA1079" i="8"/>
  <c r="AA555" i="8"/>
  <c r="AA556" i="8"/>
  <c r="AA557" i="8"/>
  <c r="AA1696" i="8"/>
  <c r="AA1681" i="8"/>
  <c r="AA1680" i="8"/>
  <c r="AA1078" i="8"/>
  <c r="AA1080" i="8"/>
  <c r="AA1081" i="8"/>
  <c r="AA212" i="8"/>
  <c r="AA1679" i="8"/>
  <c r="AA1682" i="8"/>
  <c r="AA210" i="8"/>
  <c r="AA211" i="8"/>
  <c r="AG213" i="8"/>
  <c r="AH213" i="8" s="1"/>
  <c r="AD213" i="8" s="1"/>
  <c r="AG1081" i="8"/>
  <c r="AH1081" i="8" s="1"/>
  <c r="AD1081" i="8" s="1"/>
  <c r="AG555" i="8"/>
  <c r="AH555" i="8" s="1"/>
  <c r="AD555" i="8" s="1"/>
  <c r="AG557" i="8"/>
  <c r="AH557" i="8" s="1"/>
  <c r="AD557" i="8" s="1"/>
  <c r="AG211" i="8"/>
  <c r="AH211" i="8" s="1"/>
  <c r="AD211" i="8" s="1"/>
  <c r="AG1679" i="8"/>
  <c r="AH1679" i="8" s="1"/>
  <c r="AD1679" i="8" s="1"/>
  <c r="AG1080" i="8"/>
  <c r="AH1080" i="8" s="1"/>
  <c r="AD1080" i="8" s="1"/>
  <c r="AG1680" i="8"/>
  <c r="AH1680" i="8" s="1"/>
  <c r="AD1680" i="8" s="1"/>
  <c r="AG210" i="8"/>
  <c r="AH210" i="8" s="1"/>
  <c r="AD210" i="8" s="1"/>
  <c r="AG1078" i="8"/>
  <c r="AH1078" i="8" s="1"/>
  <c r="AD1078" i="8" s="1"/>
  <c r="AG1682" i="8"/>
  <c r="AH1682" i="8" s="1"/>
  <c r="AD1682" i="8" s="1"/>
  <c r="AG1696" i="8"/>
  <c r="AH1696" i="8" s="1"/>
  <c r="AD1696" i="8" s="1"/>
  <c r="AG214" i="8"/>
  <c r="AH214" i="8" s="1"/>
  <c r="AD214" i="8" s="1"/>
  <c r="AG1079" i="8"/>
  <c r="AH1079" i="8" s="1"/>
  <c r="AD1079" i="8" s="1"/>
  <c r="AG212" i="8"/>
  <c r="AH212" i="8" s="1"/>
  <c r="AD212" i="8" s="1"/>
  <c r="AG556" i="8"/>
  <c r="AH556" i="8" s="1"/>
  <c r="AD556" i="8" s="1"/>
  <c r="AG1681" i="8"/>
  <c r="AH1681" i="8" s="1"/>
  <c r="AD1681" i="8" s="1"/>
  <c r="AG989" i="8"/>
  <c r="AH989" i="8" s="1"/>
  <c r="AD989" i="8" s="1"/>
  <c r="AG98" i="8"/>
  <c r="AH98" i="8" s="1"/>
  <c r="AD98" i="8" s="1"/>
  <c r="AG97" i="8"/>
  <c r="AH97" i="8" s="1"/>
  <c r="AD97" i="8" s="1"/>
  <c r="AG96" i="8"/>
  <c r="AH96" i="8" s="1"/>
  <c r="AD96" i="8" s="1"/>
  <c r="AG1621" i="8"/>
  <c r="AH1621" i="8" s="1"/>
  <c r="AD1621" i="8" s="1"/>
  <c r="AG1622" i="8"/>
  <c r="AH1622" i="8" s="1"/>
  <c r="AD1622" i="8" s="1"/>
  <c r="AG1625" i="8"/>
  <c r="AH1625" i="8" s="1"/>
  <c r="AD1625" i="8" s="1"/>
  <c r="AG511" i="8"/>
  <c r="AH511" i="8" s="1"/>
  <c r="AD511" i="8" s="1"/>
  <c r="AG513" i="8"/>
  <c r="AH513" i="8" s="1"/>
  <c r="AD513" i="8" s="1"/>
  <c r="AG985" i="8"/>
  <c r="AH985" i="8" s="1"/>
  <c r="AD985" i="8" s="1"/>
  <c r="AG510" i="8"/>
  <c r="AH510" i="8" s="1"/>
  <c r="AD510" i="8" s="1"/>
  <c r="AG512" i="8"/>
  <c r="AH512" i="8" s="1"/>
  <c r="AD512" i="8" s="1"/>
  <c r="AG988" i="8"/>
  <c r="AH988" i="8" s="1"/>
  <c r="AD988" i="8" s="1"/>
  <c r="AG100" i="8"/>
  <c r="AH100" i="8" s="1"/>
  <c r="AD100" i="8" s="1"/>
  <c r="AG987" i="8"/>
  <c r="AH987" i="8" s="1"/>
  <c r="AD987" i="8" s="1"/>
  <c r="AG1624" i="8"/>
  <c r="AH1624" i="8" s="1"/>
  <c r="AD1624" i="8" s="1"/>
  <c r="AG986" i="8"/>
  <c r="AH986" i="8" s="1"/>
  <c r="AD986" i="8" s="1"/>
  <c r="AG99" i="8"/>
  <c r="AH99" i="8" s="1"/>
  <c r="AD99" i="8" s="1"/>
  <c r="AG1623" i="8"/>
  <c r="AH1623" i="8" s="1"/>
  <c r="AD1623" i="8" s="1"/>
  <c r="AA986" i="8"/>
  <c r="AA985" i="8"/>
  <c r="AA512" i="8"/>
  <c r="AA1625" i="8"/>
  <c r="AA988" i="8"/>
  <c r="AA1624" i="8"/>
  <c r="AA1623" i="8"/>
  <c r="AA96" i="8"/>
  <c r="AA97" i="8"/>
  <c r="AA513" i="8"/>
  <c r="AA98" i="8"/>
  <c r="AA987" i="8"/>
  <c r="AA99" i="8"/>
  <c r="AA100" i="8"/>
  <c r="AA511" i="8"/>
  <c r="AA510" i="8"/>
  <c r="AA989" i="8"/>
  <c r="AA1621" i="8"/>
  <c r="AA1622" i="8"/>
  <c r="AG255" i="8"/>
  <c r="AH255" i="8" s="1"/>
  <c r="AD255" i="8" s="1"/>
  <c r="AG752" i="8"/>
  <c r="AH752" i="8" s="1"/>
  <c r="AD752" i="8" s="1"/>
  <c r="AG257" i="8"/>
  <c r="AH257" i="8" s="1"/>
  <c r="AD257" i="8" s="1"/>
  <c r="AG781" i="8"/>
  <c r="AH781" i="8" s="1"/>
  <c r="AD781" i="8" s="1"/>
  <c r="AG751" i="8"/>
  <c r="AH751" i="8" s="1"/>
  <c r="AD751" i="8" s="1"/>
  <c r="AG256" i="8"/>
  <c r="AH256" i="8" s="1"/>
  <c r="AD256" i="8" s="1"/>
  <c r="AG258" i="8"/>
  <c r="AH258" i="8" s="1"/>
  <c r="AD258" i="8" s="1"/>
  <c r="AA255" i="8"/>
  <c r="AA751" i="8"/>
  <c r="AA752" i="8"/>
  <c r="AA257" i="8"/>
  <c r="AA256" i="8"/>
  <c r="AA258" i="8"/>
  <c r="AA781" i="8"/>
  <c r="AA1879" i="8"/>
  <c r="AA856" i="8"/>
  <c r="AA857" i="8"/>
  <c r="AA1877" i="8"/>
  <c r="AA858" i="8"/>
  <c r="AA1878" i="8"/>
  <c r="AA1880" i="8"/>
  <c r="AG856" i="8"/>
  <c r="AH856" i="8" s="1"/>
  <c r="AD856" i="8" s="1"/>
  <c r="AG1879" i="8"/>
  <c r="AH1879" i="8" s="1"/>
  <c r="AD1879" i="8" s="1"/>
  <c r="AG858" i="8"/>
  <c r="AH858" i="8" s="1"/>
  <c r="AD858" i="8" s="1"/>
  <c r="AG1878" i="8"/>
  <c r="AH1878" i="8" s="1"/>
  <c r="AD1878" i="8" s="1"/>
  <c r="AG857" i="8"/>
  <c r="AH857" i="8" s="1"/>
  <c r="AD857" i="8" s="1"/>
  <c r="AG1880" i="8"/>
  <c r="AH1880" i="8" s="1"/>
  <c r="AD1880" i="8" s="1"/>
  <c r="AG1877" i="8"/>
  <c r="AH1877" i="8" s="1"/>
  <c r="AD1877" i="8" s="1"/>
  <c r="AA740" i="8"/>
  <c r="AA741" i="8"/>
  <c r="AA462" i="8"/>
  <c r="AA463" i="8"/>
  <c r="AA464" i="8"/>
  <c r="AA465" i="8"/>
  <c r="AA742" i="8"/>
  <c r="AA743" i="8"/>
  <c r="AG742" i="8"/>
  <c r="AH742" i="8" s="1"/>
  <c r="AD742" i="8" s="1"/>
  <c r="AG462" i="8"/>
  <c r="AH462" i="8" s="1"/>
  <c r="AD462" i="8" s="1"/>
  <c r="AG741" i="8"/>
  <c r="AH741" i="8" s="1"/>
  <c r="AD741" i="8" s="1"/>
  <c r="AG464" i="8"/>
  <c r="AH464" i="8" s="1"/>
  <c r="AD464" i="8" s="1"/>
  <c r="AG463" i="8"/>
  <c r="AH463" i="8" s="1"/>
  <c r="AD463" i="8" s="1"/>
  <c r="AG743" i="8"/>
  <c r="AH743" i="8" s="1"/>
  <c r="AD743" i="8" s="1"/>
  <c r="AG465" i="8"/>
  <c r="AH465" i="8" s="1"/>
  <c r="AD465" i="8" s="1"/>
  <c r="AG740" i="8"/>
  <c r="AH740" i="8" s="1"/>
  <c r="AD740" i="8" s="1"/>
  <c r="AG1717" i="8"/>
  <c r="AH1717" i="8" s="1"/>
  <c r="AD1717" i="8" s="1"/>
  <c r="AG1715" i="8"/>
  <c r="AH1715" i="8" s="1"/>
  <c r="AD1715" i="8" s="1"/>
  <c r="AG1714" i="8"/>
  <c r="AH1714" i="8" s="1"/>
  <c r="AD1714" i="8" s="1"/>
  <c r="AG1716" i="8"/>
  <c r="AH1716" i="8" s="1"/>
  <c r="AD1716" i="8" s="1"/>
  <c r="AG1718" i="8"/>
  <c r="AH1718" i="8" s="1"/>
  <c r="AD1718" i="8" s="1"/>
  <c r="AA1717" i="8"/>
  <c r="AA1716" i="8"/>
  <c r="AA1714" i="8"/>
  <c r="AA1718" i="8"/>
  <c r="AA1715" i="8"/>
  <c r="AA231" i="8"/>
  <c r="AA1647" i="8"/>
  <c r="AA1646" i="8"/>
  <c r="AA1644" i="8"/>
  <c r="AA692" i="8"/>
  <c r="AA232" i="8"/>
  <c r="AA1645" i="8"/>
  <c r="AA691" i="8"/>
  <c r="AG1646" i="8"/>
  <c r="AH1646" i="8" s="1"/>
  <c r="AD1646" i="8" s="1"/>
  <c r="AG1645" i="8"/>
  <c r="AH1645" i="8" s="1"/>
  <c r="AD1645" i="8" s="1"/>
  <c r="AG691" i="8"/>
  <c r="AH691" i="8" s="1"/>
  <c r="AD691" i="8" s="1"/>
  <c r="AG1644" i="8"/>
  <c r="AH1644" i="8" s="1"/>
  <c r="AD1644" i="8" s="1"/>
  <c r="AG1647" i="8"/>
  <c r="AH1647" i="8" s="1"/>
  <c r="AD1647" i="8" s="1"/>
  <c r="AG232" i="8"/>
  <c r="AH232" i="8" s="1"/>
  <c r="AD232" i="8" s="1"/>
  <c r="AG231" i="8"/>
  <c r="AH231" i="8" s="1"/>
  <c r="AD231" i="8" s="1"/>
  <c r="AG692" i="8"/>
  <c r="AH692" i="8" s="1"/>
  <c r="AD692" i="8" s="1"/>
  <c r="AG1058" i="8"/>
  <c r="AH1058" i="8" s="1"/>
  <c r="AD1058" i="8" s="1"/>
  <c r="AG1059" i="8"/>
  <c r="AH1059" i="8" s="1"/>
  <c r="AD1059" i="8" s="1"/>
  <c r="AG453" i="8"/>
  <c r="AH453" i="8" s="1"/>
  <c r="AD453" i="8" s="1"/>
  <c r="AG452" i="8"/>
  <c r="AH452" i="8" s="1"/>
  <c r="AD452" i="8" s="1"/>
  <c r="AG1060" i="8"/>
  <c r="AH1060" i="8" s="1"/>
  <c r="AD1060" i="8" s="1"/>
  <c r="AG1061" i="8"/>
  <c r="AH1061" i="8" s="1"/>
  <c r="AD1061" i="8" s="1"/>
  <c r="AG454" i="8"/>
  <c r="AH454" i="8" s="1"/>
  <c r="AD454" i="8" s="1"/>
  <c r="AA1059" i="8"/>
  <c r="AA454" i="8"/>
  <c r="AA453" i="8"/>
  <c r="AA452" i="8"/>
  <c r="AA1058" i="8"/>
  <c r="AA1060" i="8"/>
  <c r="AA1061" i="8"/>
  <c r="AG991" i="8"/>
  <c r="AH991" i="8" s="1"/>
  <c r="AD991" i="8" s="1"/>
  <c r="AG993" i="8"/>
  <c r="AH993" i="8" s="1"/>
  <c r="AD993" i="8" s="1"/>
  <c r="AG1865" i="8"/>
  <c r="AH1865" i="8" s="1"/>
  <c r="AD1865" i="8" s="1"/>
  <c r="AG1867" i="8"/>
  <c r="AH1867" i="8" s="1"/>
  <c r="AD1867" i="8" s="1"/>
  <c r="AG1866" i="8"/>
  <c r="AH1866" i="8" s="1"/>
  <c r="AD1866" i="8" s="1"/>
  <c r="AG1864" i="8"/>
  <c r="AH1864" i="8" s="1"/>
  <c r="AD1864" i="8" s="1"/>
  <c r="AG1863" i="8"/>
  <c r="AH1863" i="8" s="1"/>
  <c r="AD1863" i="8" s="1"/>
  <c r="AG992" i="8"/>
  <c r="AH992" i="8" s="1"/>
  <c r="AD992" i="8" s="1"/>
  <c r="AG990" i="8"/>
  <c r="AH990" i="8" s="1"/>
  <c r="AD990" i="8" s="1"/>
  <c r="AA991" i="8"/>
  <c r="AA992" i="8"/>
  <c r="AA1863" i="8"/>
  <c r="AA1866" i="8"/>
  <c r="AA1867" i="8"/>
  <c r="AA990" i="8"/>
  <c r="AA993" i="8"/>
  <c r="AA1865" i="8"/>
  <c r="AA1864" i="8"/>
  <c r="AG1188" i="8"/>
  <c r="AH1188" i="8" s="1"/>
  <c r="AD1188" i="8" s="1"/>
  <c r="AG1189" i="8"/>
  <c r="AH1189" i="8" s="1"/>
  <c r="AD1189" i="8" s="1"/>
  <c r="AA1189" i="8"/>
  <c r="AA1188" i="8"/>
  <c r="AA1004" i="8"/>
  <c r="AA1484" i="8"/>
  <c r="AA315" i="8"/>
  <c r="AA1001" i="8"/>
  <c r="AA1002" i="8"/>
  <c r="AA498" i="8"/>
  <c r="AA314" i="8"/>
  <c r="AA1483" i="8"/>
  <c r="AA1482" i="8"/>
  <c r="AA1485" i="8"/>
  <c r="AA1003" i="8"/>
  <c r="AA316" i="8"/>
  <c r="AA317" i="8"/>
  <c r="AA501" i="8"/>
  <c r="AA500" i="8"/>
  <c r="AA499" i="8"/>
  <c r="AG1485" i="8"/>
  <c r="AH1485" i="8" s="1"/>
  <c r="AD1485" i="8" s="1"/>
  <c r="AG1004" i="8"/>
  <c r="AH1004" i="8" s="1"/>
  <c r="AD1004" i="8" s="1"/>
  <c r="AG498" i="8"/>
  <c r="AH498" i="8" s="1"/>
  <c r="AD498" i="8" s="1"/>
  <c r="AG1002" i="8"/>
  <c r="AH1002" i="8" s="1"/>
  <c r="AD1002" i="8" s="1"/>
  <c r="AG501" i="8"/>
  <c r="AH501" i="8" s="1"/>
  <c r="AD501" i="8" s="1"/>
  <c r="AG314" i="8"/>
  <c r="AH314" i="8" s="1"/>
  <c r="AD314" i="8" s="1"/>
  <c r="AG1484" i="8"/>
  <c r="AH1484" i="8" s="1"/>
  <c r="AD1484" i="8" s="1"/>
  <c r="AG315" i="8"/>
  <c r="AH315" i="8" s="1"/>
  <c r="AD315" i="8" s="1"/>
  <c r="AG1482" i="8"/>
  <c r="AH1482" i="8" s="1"/>
  <c r="AD1482" i="8" s="1"/>
  <c r="AG1483" i="8"/>
  <c r="AH1483" i="8" s="1"/>
  <c r="AD1483" i="8" s="1"/>
  <c r="AG1003" i="8"/>
  <c r="AH1003" i="8" s="1"/>
  <c r="AD1003" i="8" s="1"/>
  <c r="AG317" i="8"/>
  <c r="AH317" i="8" s="1"/>
  <c r="AD317" i="8" s="1"/>
  <c r="AG1001" i="8"/>
  <c r="AH1001" i="8" s="1"/>
  <c r="AD1001" i="8" s="1"/>
  <c r="AG499" i="8"/>
  <c r="AH499" i="8" s="1"/>
  <c r="AD499" i="8" s="1"/>
  <c r="AG316" i="8"/>
  <c r="AH316" i="8" s="1"/>
  <c r="AD316" i="8" s="1"/>
  <c r="AG500" i="8"/>
  <c r="AH500" i="8" s="1"/>
  <c r="AD500" i="8" s="1"/>
  <c r="AA1092" i="8"/>
  <c r="AA1094" i="8"/>
  <c r="AA1489" i="8"/>
  <c r="AA207" i="8"/>
  <c r="AA535" i="8"/>
  <c r="AA1490" i="8"/>
  <c r="AA536" i="8"/>
  <c r="AA1488" i="8"/>
  <c r="AA206" i="8"/>
  <c r="AA1491" i="8"/>
  <c r="AA534" i="8"/>
  <c r="AA208" i="8"/>
  <c r="AA1093" i="8"/>
  <c r="AA209" i="8"/>
  <c r="AG534" i="8"/>
  <c r="AH534" i="8" s="1"/>
  <c r="AD534" i="8" s="1"/>
  <c r="AG1490" i="8"/>
  <c r="AH1490" i="8" s="1"/>
  <c r="AD1490" i="8" s="1"/>
  <c r="AG536" i="8"/>
  <c r="AH536" i="8" s="1"/>
  <c r="AD536" i="8" s="1"/>
  <c r="AG535" i="8"/>
  <c r="AH535" i="8" s="1"/>
  <c r="AD535" i="8" s="1"/>
  <c r="AG208" i="8"/>
  <c r="AH208" i="8" s="1"/>
  <c r="AD208" i="8" s="1"/>
  <c r="AG1092" i="8"/>
  <c r="AH1092" i="8" s="1"/>
  <c r="AD1092" i="8" s="1"/>
  <c r="AG1093" i="8"/>
  <c r="AH1093" i="8" s="1"/>
  <c r="AD1093" i="8" s="1"/>
  <c r="AG1488" i="8"/>
  <c r="AH1488" i="8" s="1"/>
  <c r="AD1488" i="8" s="1"/>
  <c r="AG1094" i="8"/>
  <c r="AH1094" i="8" s="1"/>
  <c r="AD1094" i="8" s="1"/>
  <c r="AG1489" i="8"/>
  <c r="AH1489" i="8" s="1"/>
  <c r="AD1489" i="8" s="1"/>
  <c r="AG1491" i="8"/>
  <c r="AH1491" i="8" s="1"/>
  <c r="AD1491" i="8" s="1"/>
  <c r="AG206" i="8"/>
  <c r="AH206" i="8" s="1"/>
  <c r="AD206" i="8" s="1"/>
  <c r="AG207" i="8"/>
  <c r="AH207" i="8" s="1"/>
  <c r="AD207" i="8" s="1"/>
  <c r="AG209" i="8"/>
  <c r="AH209" i="8" s="1"/>
  <c r="AD209" i="8" s="1"/>
  <c r="AA1321" i="8"/>
  <c r="AA1854" i="8"/>
  <c r="AA1855" i="8"/>
  <c r="AA1857" i="8"/>
  <c r="AA1856" i="8"/>
  <c r="AA386" i="8"/>
  <c r="AA808" i="8"/>
  <c r="AA389" i="8"/>
  <c r="AA1322" i="8"/>
  <c r="AA810" i="8"/>
  <c r="AA811" i="8"/>
  <c r="AA388" i="8"/>
  <c r="AA387" i="8"/>
  <c r="AA809" i="8"/>
  <c r="AA385" i="8"/>
  <c r="AA1320" i="8"/>
  <c r="AA1323" i="8"/>
  <c r="AA812" i="8"/>
  <c r="AG1323" i="8"/>
  <c r="AH1323" i="8" s="1"/>
  <c r="AD1323" i="8" s="1"/>
  <c r="AG385" i="8"/>
  <c r="AH385" i="8" s="1"/>
  <c r="AD385" i="8" s="1"/>
  <c r="AG1856" i="8"/>
  <c r="AH1856" i="8" s="1"/>
  <c r="AD1856" i="8" s="1"/>
  <c r="AG1322" i="8"/>
  <c r="AH1322" i="8" s="1"/>
  <c r="AD1322" i="8" s="1"/>
  <c r="AG1321" i="8"/>
  <c r="AH1321" i="8" s="1"/>
  <c r="AD1321" i="8" s="1"/>
  <c r="AG1320" i="8"/>
  <c r="AH1320" i="8" s="1"/>
  <c r="AD1320" i="8" s="1"/>
  <c r="AG1854" i="8"/>
  <c r="AH1854" i="8" s="1"/>
  <c r="AD1854" i="8" s="1"/>
  <c r="AG1855" i="8"/>
  <c r="AH1855" i="8" s="1"/>
  <c r="AD1855" i="8" s="1"/>
  <c r="AG810" i="8"/>
  <c r="AH810" i="8" s="1"/>
  <c r="AD810" i="8" s="1"/>
  <c r="AG812" i="8"/>
  <c r="AH812" i="8" s="1"/>
  <c r="AD812" i="8" s="1"/>
  <c r="AG809" i="8"/>
  <c r="AH809" i="8" s="1"/>
  <c r="AD809" i="8" s="1"/>
  <c r="AG1857" i="8"/>
  <c r="AH1857" i="8" s="1"/>
  <c r="AD1857" i="8" s="1"/>
  <c r="AG811" i="8"/>
  <c r="AH811" i="8" s="1"/>
  <c r="AD811" i="8" s="1"/>
  <c r="AG808" i="8"/>
  <c r="AH808" i="8" s="1"/>
  <c r="AD808" i="8" s="1"/>
  <c r="AG389" i="8"/>
  <c r="AH389" i="8" s="1"/>
  <c r="AD389" i="8" s="1"/>
  <c r="AG386" i="8"/>
  <c r="AH386" i="8" s="1"/>
  <c r="AD386" i="8" s="1"/>
  <c r="AG388" i="8"/>
  <c r="AH388" i="8" s="1"/>
  <c r="AD388" i="8" s="1"/>
  <c r="AG387" i="8"/>
  <c r="AH387" i="8" s="1"/>
  <c r="AD387" i="8" s="1"/>
  <c r="AG1481" i="8"/>
  <c r="AH1481" i="8" s="1"/>
  <c r="AD1481" i="8" s="1"/>
  <c r="AG1038" i="8"/>
  <c r="AH1038" i="8" s="1"/>
  <c r="AD1038" i="8" s="1"/>
  <c r="AG1035" i="8"/>
  <c r="AH1035" i="8" s="1"/>
  <c r="AD1035" i="8" s="1"/>
  <c r="AG1479" i="8"/>
  <c r="AH1479" i="8" s="1"/>
  <c r="AD1479" i="8" s="1"/>
  <c r="AG1036" i="8"/>
  <c r="AH1036" i="8" s="1"/>
  <c r="AD1036" i="8" s="1"/>
  <c r="AG1692" i="8"/>
  <c r="AH1692" i="8" s="1"/>
  <c r="AD1692" i="8" s="1"/>
  <c r="AG645" i="8"/>
  <c r="AH645" i="8" s="1"/>
  <c r="AD645" i="8" s="1"/>
  <c r="AG236" i="8"/>
  <c r="AH236" i="8" s="1"/>
  <c r="AD236" i="8" s="1"/>
  <c r="AG1037" i="8"/>
  <c r="AH1037" i="8" s="1"/>
  <c r="AD1037" i="8" s="1"/>
  <c r="AG1478" i="8"/>
  <c r="AH1478" i="8" s="1"/>
  <c r="AD1478" i="8" s="1"/>
  <c r="AG646" i="8"/>
  <c r="AH646" i="8" s="1"/>
  <c r="AD646" i="8" s="1"/>
  <c r="AG237" i="8"/>
  <c r="AH237" i="8" s="1"/>
  <c r="AD237" i="8" s="1"/>
  <c r="AG1480" i="8"/>
  <c r="AH1480" i="8" s="1"/>
  <c r="AD1480" i="8" s="1"/>
  <c r="AA236" i="8"/>
  <c r="AA1692" i="8"/>
  <c r="AA1038" i="8"/>
  <c r="AA1037" i="8"/>
  <c r="AA1035" i="8"/>
  <c r="AA1036" i="8"/>
  <c r="AA645" i="8"/>
  <c r="AA646" i="8"/>
  <c r="AA1481" i="8"/>
  <c r="AA1480" i="8"/>
  <c r="AA1479" i="8"/>
  <c r="AA1478" i="8"/>
  <c r="AA237" i="8"/>
  <c r="AA1306" i="8"/>
  <c r="AA1305" i="8"/>
  <c r="AA1307" i="8"/>
  <c r="AA739" i="8"/>
  <c r="AA333" i="8"/>
  <c r="AA738" i="8"/>
  <c r="AA737" i="8"/>
  <c r="AA335" i="8"/>
  <c r="AA334" i="8"/>
  <c r="AG1305" i="8"/>
  <c r="AH1305" i="8" s="1"/>
  <c r="AD1305" i="8" s="1"/>
  <c r="AG333" i="8"/>
  <c r="AH333" i="8" s="1"/>
  <c r="AD333" i="8" s="1"/>
  <c r="AG1306" i="8"/>
  <c r="AH1306" i="8" s="1"/>
  <c r="AD1306" i="8" s="1"/>
  <c r="AG737" i="8"/>
  <c r="AH737" i="8" s="1"/>
  <c r="AD737" i="8" s="1"/>
  <c r="AG1307" i="8"/>
  <c r="AH1307" i="8" s="1"/>
  <c r="AD1307" i="8" s="1"/>
  <c r="AG334" i="8"/>
  <c r="AH334" i="8" s="1"/>
  <c r="AD334" i="8" s="1"/>
  <c r="AG335" i="8"/>
  <c r="AH335" i="8" s="1"/>
  <c r="AD335" i="8" s="1"/>
  <c r="AG739" i="8"/>
  <c r="AH739" i="8" s="1"/>
  <c r="AD739" i="8" s="1"/>
  <c r="AG738" i="8"/>
  <c r="AH738" i="8" s="1"/>
  <c r="AD738" i="8" s="1"/>
  <c r="AA349" i="8"/>
  <c r="AA1849" i="8"/>
  <c r="AA1850" i="8"/>
  <c r="AA348" i="8"/>
  <c r="AA347" i="8"/>
  <c r="AA1847" i="8"/>
  <c r="AA1848" i="8"/>
  <c r="AG1848" i="8"/>
  <c r="AH1848" i="8" s="1"/>
  <c r="AD1848" i="8" s="1"/>
  <c r="AG1849" i="8"/>
  <c r="AH1849" i="8" s="1"/>
  <c r="AD1849" i="8" s="1"/>
  <c r="AG1850" i="8"/>
  <c r="AH1850" i="8" s="1"/>
  <c r="AD1850" i="8" s="1"/>
  <c r="AG1847" i="8"/>
  <c r="AH1847" i="8" s="1"/>
  <c r="AD1847" i="8" s="1"/>
  <c r="AG349" i="8"/>
  <c r="AH349" i="8" s="1"/>
  <c r="AD349" i="8" s="1"/>
  <c r="AG348" i="8"/>
  <c r="AH348" i="8" s="1"/>
  <c r="AD348" i="8" s="1"/>
  <c r="AG347" i="8"/>
  <c r="AH347" i="8" s="1"/>
  <c r="AD347" i="8" s="1"/>
  <c r="AA138" i="8"/>
  <c r="AA139" i="8"/>
  <c r="AA141" i="8"/>
  <c r="AA1011" i="8"/>
  <c r="AA1013" i="8"/>
  <c r="AA1014" i="8"/>
  <c r="AA1677" i="8"/>
  <c r="AA142" i="8"/>
  <c r="AA1678" i="8"/>
  <c r="AA1676" i="8"/>
  <c r="AA140" i="8"/>
  <c r="AA1012" i="8"/>
  <c r="AG1014" i="8"/>
  <c r="AH1014" i="8" s="1"/>
  <c r="AD1014" i="8" s="1"/>
  <c r="AG1678" i="8"/>
  <c r="AH1678" i="8" s="1"/>
  <c r="AD1678" i="8" s="1"/>
  <c r="AG1677" i="8"/>
  <c r="AH1677" i="8" s="1"/>
  <c r="AD1677" i="8" s="1"/>
  <c r="AG1676" i="8"/>
  <c r="AH1676" i="8" s="1"/>
  <c r="AD1676" i="8" s="1"/>
  <c r="AG1011" i="8"/>
  <c r="AH1011" i="8" s="1"/>
  <c r="AD1011" i="8" s="1"/>
  <c r="AG138" i="8"/>
  <c r="AH138" i="8" s="1"/>
  <c r="AD138" i="8" s="1"/>
  <c r="AG139" i="8"/>
  <c r="AH139" i="8" s="1"/>
  <c r="AD139" i="8" s="1"/>
  <c r="AG140" i="8"/>
  <c r="AH140" i="8" s="1"/>
  <c r="AD140" i="8" s="1"/>
  <c r="AG141" i="8"/>
  <c r="AH141" i="8" s="1"/>
  <c r="AD141" i="8" s="1"/>
  <c r="AG142" i="8"/>
  <c r="AH142" i="8" s="1"/>
  <c r="AD142" i="8" s="1"/>
  <c r="AG1012" i="8"/>
  <c r="AH1012" i="8" s="1"/>
  <c r="AD1012" i="8" s="1"/>
  <c r="AG1013" i="8"/>
  <c r="AH1013" i="8" s="1"/>
  <c r="AD1013" i="8" s="1"/>
  <c r="AA720" i="8"/>
  <c r="AA724" i="8"/>
  <c r="AA1311" i="8"/>
  <c r="AA723" i="8"/>
  <c r="AA1308" i="8"/>
  <c r="AA1309" i="8"/>
  <c r="AA1310" i="8"/>
  <c r="AA217" i="8"/>
  <c r="AA722" i="8"/>
  <c r="AA216" i="8"/>
  <c r="AA215" i="8"/>
  <c r="AA218" i="8"/>
  <c r="AA721" i="8"/>
  <c r="AG215" i="8"/>
  <c r="AH215" i="8" s="1"/>
  <c r="AD215" i="8" s="1"/>
  <c r="AG216" i="8"/>
  <c r="AH216" i="8" s="1"/>
  <c r="AD216" i="8" s="1"/>
  <c r="AG217" i="8"/>
  <c r="AH217" i="8" s="1"/>
  <c r="AD217" i="8" s="1"/>
  <c r="AG218" i="8"/>
  <c r="AH218" i="8" s="1"/>
  <c r="AD218" i="8" s="1"/>
  <c r="AG1311" i="8"/>
  <c r="AH1311" i="8" s="1"/>
  <c r="AD1311" i="8" s="1"/>
  <c r="AG723" i="8"/>
  <c r="AH723" i="8" s="1"/>
  <c r="AD723" i="8" s="1"/>
  <c r="AG722" i="8"/>
  <c r="AH722" i="8" s="1"/>
  <c r="AD722" i="8" s="1"/>
  <c r="AG721" i="8"/>
  <c r="AH721" i="8" s="1"/>
  <c r="AD721" i="8" s="1"/>
  <c r="AG720" i="8"/>
  <c r="AH720" i="8" s="1"/>
  <c r="AD720" i="8" s="1"/>
  <c r="AG724" i="8"/>
  <c r="AH724" i="8" s="1"/>
  <c r="AD724" i="8" s="1"/>
  <c r="AG1308" i="8"/>
  <c r="AH1308" i="8" s="1"/>
  <c r="AD1308" i="8" s="1"/>
  <c r="AG1310" i="8"/>
  <c r="AH1310" i="8" s="1"/>
  <c r="AD1310" i="8" s="1"/>
  <c r="AG1309" i="8"/>
  <c r="AH1309" i="8" s="1"/>
  <c r="AD1309" i="8" s="1"/>
  <c r="AG1461" i="8"/>
  <c r="AH1461" i="8" s="1"/>
  <c r="AD1461" i="8" s="1"/>
  <c r="AG440" i="8"/>
  <c r="AH440" i="8" s="1"/>
  <c r="AD440" i="8" s="1"/>
  <c r="AG438" i="8"/>
  <c r="AH438" i="8" s="1"/>
  <c r="AD438" i="8" s="1"/>
  <c r="AG439" i="8"/>
  <c r="AH439" i="8" s="1"/>
  <c r="AD439" i="8" s="1"/>
  <c r="AG1034" i="8"/>
  <c r="AH1034" i="8" s="1"/>
  <c r="AD1034" i="8" s="1"/>
  <c r="AG1458" i="8"/>
  <c r="AH1458" i="8" s="1"/>
  <c r="AD1458" i="8" s="1"/>
  <c r="AG1031" i="8"/>
  <c r="AH1031" i="8" s="1"/>
  <c r="AD1031" i="8" s="1"/>
  <c r="AG1462" i="8"/>
  <c r="AH1462" i="8" s="1"/>
  <c r="AD1462" i="8" s="1"/>
  <c r="AG1460" i="8"/>
  <c r="AH1460" i="8" s="1"/>
  <c r="AD1460" i="8" s="1"/>
  <c r="AG1459" i="8"/>
  <c r="AH1459" i="8" s="1"/>
  <c r="AD1459" i="8" s="1"/>
  <c r="AG1033" i="8"/>
  <c r="AH1033" i="8" s="1"/>
  <c r="AD1033" i="8" s="1"/>
  <c r="AG1032" i="8"/>
  <c r="AH1032" i="8" s="1"/>
  <c r="AD1032" i="8" s="1"/>
  <c r="AA1034" i="8"/>
  <c r="AA1032" i="8"/>
  <c r="AA1031" i="8"/>
  <c r="AA1462" i="8"/>
  <c r="AA440" i="8"/>
  <c r="AA1458" i="8"/>
  <c r="AA1459" i="8"/>
  <c r="AA1460" i="8"/>
  <c r="AA439" i="8"/>
  <c r="AA438" i="8"/>
  <c r="AA1033" i="8"/>
  <c r="AA1461" i="8"/>
  <c r="AA1313" i="8"/>
  <c r="AA1312" i="8"/>
  <c r="AA1314" i="8"/>
  <c r="AA1315" i="8"/>
  <c r="AA417" i="8"/>
  <c r="AA418" i="8"/>
  <c r="AA419" i="8"/>
  <c r="AG418" i="8"/>
  <c r="AH418" i="8" s="1"/>
  <c r="AD418" i="8" s="1"/>
  <c r="AG1313" i="8"/>
  <c r="AH1313" i="8" s="1"/>
  <c r="AD1313" i="8" s="1"/>
  <c r="AG417" i="8"/>
  <c r="AH417" i="8" s="1"/>
  <c r="AD417" i="8" s="1"/>
  <c r="AG419" i="8"/>
  <c r="AH419" i="8" s="1"/>
  <c r="AD419" i="8" s="1"/>
  <c r="AG1312" i="8"/>
  <c r="AH1312" i="8" s="1"/>
  <c r="AD1312" i="8" s="1"/>
  <c r="AG1315" i="8"/>
  <c r="AH1315" i="8" s="1"/>
  <c r="AD1315" i="8" s="1"/>
  <c r="AG1314" i="8"/>
  <c r="AH1314" i="8" s="1"/>
  <c r="AD1314" i="8" s="1"/>
  <c r="AA1333" i="8"/>
  <c r="AA771" i="8"/>
  <c r="AA1331" i="8"/>
  <c r="AA769" i="8"/>
  <c r="AA770" i="8"/>
  <c r="AA1813" i="8"/>
  <c r="AA1814" i="8"/>
  <c r="AA1815" i="8"/>
  <c r="AA1816" i="8"/>
  <c r="AA1332" i="8"/>
  <c r="AG1815" i="8"/>
  <c r="AH1815" i="8" s="1"/>
  <c r="AD1815" i="8" s="1"/>
  <c r="AG1332" i="8"/>
  <c r="AH1332" i="8" s="1"/>
  <c r="AD1332" i="8" s="1"/>
  <c r="AG1331" i="8"/>
  <c r="AH1331" i="8" s="1"/>
  <c r="AD1331" i="8" s="1"/>
  <c r="AG1816" i="8"/>
  <c r="AH1816" i="8" s="1"/>
  <c r="AD1816" i="8" s="1"/>
  <c r="AG769" i="8"/>
  <c r="AH769" i="8" s="1"/>
  <c r="AD769" i="8" s="1"/>
  <c r="AG771" i="8"/>
  <c r="AH771" i="8" s="1"/>
  <c r="AD771" i="8" s="1"/>
  <c r="AG1333" i="8"/>
  <c r="AH1333" i="8" s="1"/>
  <c r="AD1333" i="8" s="1"/>
  <c r="AG1814" i="8"/>
  <c r="AH1814" i="8" s="1"/>
  <c r="AD1814" i="8" s="1"/>
  <c r="AG770" i="8"/>
  <c r="AH770" i="8" s="1"/>
  <c r="AD770" i="8" s="1"/>
  <c r="AG1813" i="8"/>
  <c r="AH1813" i="8" s="1"/>
  <c r="AD1813" i="8" s="1"/>
  <c r="AA702" i="8"/>
  <c r="AA531" i="8"/>
  <c r="AA1225" i="8"/>
  <c r="AA1226" i="8"/>
  <c r="AG1226" i="8"/>
  <c r="AH1226" i="8" s="1"/>
  <c r="AD1226" i="8" s="1"/>
  <c r="AG1225" i="8"/>
  <c r="AH1225" i="8" s="1"/>
  <c r="AD1225" i="8" s="1"/>
  <c r="AG702" i="8"/>
  <c r="AH702" i="8" s="1"/>
  <c r="AD702" i="8" s="1"/>
  <c r="AG531" i="8"/>
  <c r="AH531" i="8" s="1"/>
  <c r="AD531" i="8" s="1"/>
  <c r="AA1433" i="8"/>
  <c r="AA1436" i="8"/>
  <c r="AA1432" i="8"/>
  <c r="AA834" i="8"/>
  <c r="AA1435" i="8"/>
  <c r="AA1434" i="8"/>
  <c r="AA831" i="8"/>
  <c r="AA833" i="8"/>
  <c r="AA832" i="8"/>
  <c r="AG1432" i="8"/>
  <c r="AH1432" i="8" s="1"/>
  <c r="AD1432" i="8" s="1"/>
  <c r="AG1433" i="8"/>
  <c r="AH1433" i="8" s="1"/>
  <c r="AD1433" i="8" s="1"/>
  <c r="AG834" i="8"/>
  <c r="AH834" i="8" s="1"/>
  <c r="AD834" i="8" s="1"/>
  <c r="AG831" i="8"/>
  <c r="AH831" i="8" s="1"/>
  <c r="AD831" i="8" s="1"/>
  <c r="AG832" i="8"/>
  <c r="AH832" i="8" s="1"/>
  <c r="AD832" i="8" s="1"/>
  <c r="AG833" i="8"/>
  <c r="AH833" i="8" s="1"/>
  <c r="AD833" i="8" s="1"/>
  <c r="AG1436" i="8"/>
  <c r="AH1436" i="8" s="1"/>
  <c r="AD1436" i="8" s="1"/>
  <c r="AG1434" i="8"/>
  <c r="AH1434" i="8" s="1"/>
  <c r="AD1434" i="8" s="1"/>
  <c r="AG1435" i="8"/>
  <c r="AH1435" i="8" s="1"/>
  <c r="AD1435" i="8" s="1"/>
  <c r="AA1898" i="8"/>
  <c r="AA352" i="8"/>
  <c r="AA837" i="8"/>
  <c r="AA1341" i="8"/>
  <c r="AA1339" i="8"/>
  <c r="AA838" i="8"/>
  <c r="AA351" i="8"/>
  <c r="AA1338" i="8"/>
  <c r="AA1900" i="8"/>
  <c r="AA350" i="8"/>
  <c r="AA835" i="8"/>
  <c r="AA836" i="8"/>
  <c r="AA353" i="8"/>
  <c r="AA354" i="8"/>
  <c r="AA1902" i="8"/>
  <c r="AA1340" i="8"/>
  <c r="AA1077" i="8"/>
  <c r="AA1901" i="8"/>
  <c r="AA1899" i="8"/>
  <c r="AG837" i="8"/>
  <c r="AH837" i="8" s="1"/>
  <c r="AD837" i="8" s="1"/>
  <c r="AE837" i="8" s="1"/>
  <c r="AG838" i="8"/>
  <c r="AH838" i="8" s="1"/>
  <c r="AD838" i="8" s="1"/>
  <c r="AG1901" i="8"/>
  <c r="AH1901" i="8" s="1"/>
  <c r="AD1901" i="8" s="1"/>
  <c r="AG1900" i="8"/>
  <c r="AH1900" i="8" s="1"/>
  <c r="AD1900" i="8" s="1"/>
  <c r="AG1339" i="8"/>
  <c r="AH1339" i="8" s="1"/>
  <c r="AD1339" i="8" s="1"/>
  <c r="AG1898" i="8"/>
  <c r="AH1898" i="8" s="1"/>
  <c r="AD1898" i="8" s="1"/>
  <c r="AG1077" i="8"/>
  <c r="AH1077" i="8" s="1"/>
  <c r="AD1077" i="8" s="1"/>
  <c r="AG350" i="8"/>
  <c r="AH350" i="8" s="1"/>
  <c r="AD350" i="8" s="1"/>
  <c r="AG1902" i="8"/>
  <c r="AH1902" i="8" s="1"/>
  <c r="AD1902" i="8" s="1"/>
  <c r="AG1899" i="8"/>
  <c r="AH1899" i="8" s="1"/>
  <c r="AD1899" i="8" s="1"/>
  <c r="AG1340" i="8"/>
  <c r="AH1340" i="8" s="1"/>
  <c r="AD1340" i="8" s="1"/>
  <c r="AG1341" i="8"/>
  <c r="AH1341" i="8" s="1"/>
  <c r="AD1341" i="8" s="1"/>
  <c r="AG1338" i="8"/>
  <c r="AH1338" i="8" s="1"/>
  <c r="AD1338" i="8" s="1"/>
  <c r="AG353" i="8"/>
  <c r="AH353" i="8" s="1"/>
  <c r="AD353" i="8" s="1"/>
  <c r="AG835" i="8"/>
  <c r="AH835" i="8" s="1"/>
  <c r="AD835" i="8" s="1"/>
  <c r="AG354" i="8"/>
  <c r="AH354" i="8" s="1"/>
  <c r="AD354" i="8" s="1"/>
  <c r="AG352" i="8"/>
  <c r="AH352" i="8" s="1"/>
  <c r="AD352" i="8" s="1"/>
  <c r="AG351" i="8"/>
  <c r="AH351" i="8" s="1"/>
  <c r="AD351" i="8" s="1"/>
  <c r="AG836" i="8"/>
  <c r="AH836" i="8" s="1"/>
  <c r="AD836" i="8" s="1"/>
  <c r="AA370" i="8"/>
  <c r="AA1214" i="8"/>
  <c r="AA1215" i="8"/>
  <c r="AA371" i="8"/>
  <c r="AA372" i="8"/>
  <c r="AA374" i="8"/>
  <c r="AA1213" i="8"/>
  <c r="AA1216" i="8"/>
  <c r="AA373" i="8"/>
  <c r="AG1214" i="8"/>
  <c r="AH1214" i="8" s="1"/>
  <c r="AD1214" i="8" s="1"/>
  <c r="AG1216" i="8"/>
  <c r="AH1216" i="8" s="1"/>
  <c r="AD1216" i="8" s="1"/>
  <c r="AG1213" i="8"/>
  <c r="AH1213" i="8" s="1"/>
  <c r="AD1213" i="8" s="1"/>
  <c r="AG1215" i="8"/>
  <c r="AH1215" i="8" s="1"/>
  <c r="AD1215" i="8" s="1"/>
  <c r="AG370" i="8"/>
  <c r="AH370" i="8" s="1"/>
  <c r="AD370" i="8" s="1"/>
  <c r="AG374" i="8"/>
  <c r="AH374" i="8" s="1"/>
  <c r="AD374" i="8" s="1"/>
  <c r="AG372" i="8"/>
  <c r="AH372" i="8" s="1"/>
  <c r="AD372" i="8" s="1"/>
  <c r="AG371" i="8"/>
  <c r="AH371" i="8" s="1"/>
  <c r="AD371" i="8" s="1"/>
  <c r="AG373" i="8"/>
  <c r="AH373" i="8" s="1"/>
  <c r="AD373" i="8" s="1"/>
  <c r="AA1429" i="8"/>
  <c r="AA1097" i="8"/>
  <c r="AA543" i="8"/>
  <c r="AA1428" i="8"/>
  <c r="AA544" i="8"/>
  <c r="AA545" i="8"/>
  <c r="AA546" i="8"/>
  <c r="AA1427" i="8"/>
  <c r="AA1096" i="8"/>
  <c r="AA1431" i="8"/>
  <c r="AA1099" i="8"/>
  <c r="AA1098" i="8"/>
  <c r="AA1430" i="8"/>
  <c r="AG1429" i="8"/>
  <c r="AH1429" i="8" s="1"/>
  <c r="AD1429" i="8" s="1"/>
  <c r="AG1428" i="8"/>
  <c r="AH1428" i="8" s="1"/>
  <c r="AD1428" i="8" s="1"/>
  <c r="AG1430" i="8"/>
  <c r="AH1430" i="8" s="1"/>
  <c r="AD1430" i="8" s="1"/>
  <c r="AG546" i="8"/>
  <c r="AH546" i="8" s="1"/>
  <c r="AD546" i="8" s="1"/>
  <c r="AG1096" i="8"/>
  <c r="AH1096" i="8" s="1"/>
  <c r="AD1096" i="8" s="1"/>
  <c r="AG1431" i="8"/>
  <c r="AH1431" i="8" s="1"/>
  <c r="AD1431" i="8" s="1"/>
  <c r="AG1099" i="8"/>
  <c r="AH1099" i="8" s="1"/>
  <c r="AD1099" i="8" s="1"/>
  <c r="AG1098" i="8"/>
  <c r="AH1098" i="8" s="1"/>
  <c r="AD1098" i="8" s="1"/>
  <c r="AG1097" i="8"/>
  <c r="AH1097" i="8" s="1"/>
  <c r="AD1097" i="8" s="1"/>
  <c r="AG544" i="8"/>
  <c r="AH544" i="8" s="1"/>
  <c r="AD544" i="8" s="1"/>
  <c r="AG545" i="8"/>
  <c r="AH545" i="8" s="1"/>
  <c r="AD545" i="8" s="1"/>
  <c r="AG543" i="8"/>
  <c r="AH543" i="8" s="1"/>
  <c r="AD543" i="8" s="1"/>
  <c r="AG1427" i="8"/>
  <c r="AH1427" i="8" s="1"/>
  <c r="AD1427" i="8" s="1"/>
  <c r="AG1411" i="8"/>
  <c r="AH1411" i="8" s="1"/>
  <c r="AD1411" i="8" s="1"/>
  <c r="AG1412" i="8"/>
  <c r="AH1412" i="8" s="1"/>
  <c r="AD1412" i="8" s="1"/>
  <c r="AG1410" i="8"/>
  <c r="AH1410" i="8" s="1"/>
  <c r="AD1410" i="8" s="1"/>
  <c r="AG1401" i="8"/>
  <c r="AH1401" i="8" s="1"/>
  <c r="AD1401" i="8" s="1"/>
  <c r="AG1409" i="8"/>
  <c r="AH1409" i="8" s="1"/>
  <c r="AD1409" i="8" s="1"/>
  <c r="AA1401" i="8"/>
  <c r="AA1409" i="8"/>
  <c r="AA1412" i="8"/>
  <c r="AA1410" i="8"/>
  <c r="AA1411" i="8"/>
  <c r="AA421" i="8"/>
  <c r="AA420" i="8"/>
  <c r="AA422" i="8"/>
  <c r="AG422" i="8"/>
  <c r="AH422" i="8" s="1"/>
  <c r="AD422" i="8" s="1"/>
  <c r="AG421" i="8"/>
  <c r="AH421" i="8" s="1"/>
  <c r="AD421" i="8" s="1"/>
  <c r="AG420" i="8"/>
  <c r="AH420" i="8" s="1"/>
  <c r="AD420" i="8" s="1"/>
  <c r="AG89" i="8"/>
  <c r="AH89" i="8" s="1"/>
  <c r="AD89" i="8" s="1"/>
  <c r="AG90" i="8"/>
  <c r="AH90" i="8" s="1"/>
  <c r="AD90" i="8" s="1"/>
  <c r="AG91" i="8"/>
  <c r="AH91" i="8" s="1"/>
  <c r="AD91" i="8" s="1"/>
  <c r="AG92" i="8"/>
  <c r="AH92" i="8" s="1"/>
  <c r="AD92" i="8" s="1"/>
  <c r="AG626" i="8"/>
  <c r="AH626" i="8" s="1"/>
  <c r="AD626" i="8" s="1"/>
  <c r="AG628" i="8"/>
  <c r="AH628" i="8" s="1"/>
  <c r="AD628" i="8" s="1"/>
  <c r="AG1043" i="8"/>
  <c r="AH1043" i="8" s="1"/>
  <c r="AD1043" i="8" s="1"/>
  <c r="AG1044" i="8"/>
  <c r="AH1044" i="8" s="1"/>
  <c r="AD1044" i="8" s="1"/>
  <c r="AG627" i="8"/>
  <c r="AH627" i="8" s="1"/>
  <c r="AD627" i="8" s="1"/>
  <c r="AG1045" i="8"/>
  <c r="AH1045" i="8" s="1"/>
  <c r="AD1045" i="8" s="1"/>
  <c r="AA90" i="8"/>
  <c r="AA89" i="8"/>
  <c r="AA627" i="8"/>
  <c r="AA1045" i="8"/>
  <c r="AA1044" i="8"/>
  <c r="AA92" i="8"/>
  <c r="AA626" i="8"/>
  <c r="AA628" i="8"/>
  <c r="AA1043" i="8"/>
  <c r="AA91" i="8"/>
  <c r="AA466" i="8"/>
  <c r="AA289" i="8"/>
  <c r="AA286" i="8"/>
  <c r="AA468" i="8"/>
  <c r="AA1026" i="8"/>
  <c r="AA288" i="8"/>
  <c r="AA287" i="8"/>
  <c r="AA1027" i="8"/>
  <c r="AA1025" i="8"/>
  <c r="AA1370" i="8"/>
  <c r="AA1371" i="8"/>
  <c r="AA1926" i="8"/>
  <c r="AA1925" i="8"/>
  <c r="AA1924" i="8"/>
  <c r="AA1923" i="8"/>
  <c r="AA1922" i="8"/>
  <c r="AA467" i="8"/>
  <c r="AA1369" i="8"/>
  <c r="AG1924" i="8"/>
  <c r="AH1924" i="8" s="1"/>
  <c r="AD1924" i="8" s="1"/>
  <c r="AG1923" i="8"/>
  <c r="AH1923" i="8" s="1"/>
  <c r="AD1923" i="8" s="1"/>
  <c r="AG1025" i="8"/>
  <c r="AH1025" i="8" s="1"/>
  <c r="AD1025" i="8" s="1"/>
  <c r="AG466" i="8"/>
  <c r="AH466" i="8" s="1"/>
  <c r="AD466" i="8" s="1"/>
  <c r="AG288" i="8"/>
  <c r="AH288" i="8" s="1"/>
  <c r="AD288" i="8" s="1"/>
  <c r="AG1026" i="8"/>
  <c r="AH1026" i="8" s="1"/>
  <c r="AD1026" i="8" s="1"/>
  <c r="AG287" i="8"/>
  <c r="AH287" i="8" s="1"/>
  <c r="AD287" i="8" s="1"/>
  <c r="AG289" i="8"/>
  <c r="AH289" i="8" s="1"/>
  <c r="AD289" i="8" s="1"/>
  <c r="AG286" i="8"/>
  <c r="AH286" i="8" s="1"/>
  <c r="AD286" i="8" s="1"/>
  <c r="AG1369" i="8"/>
  <c r="AH1369" i="8" s="1"/>
  <c r="AD1369" i="8" s="1"/>
  <c r="AG1027" i="8"/>
  <c r="AH1027" i="8" s="1"/>
  <c r="AD1027" i="8" s="1"/>
  <c r="AG1370" i="8"/>
  <c r="AH1370" i="8" s="1"/>
  <c r="AD1370" i="8" s="1"/>
  <c r="AG1371" i="8"/>
  <c r="AH1371" i="8" s="1"/>
  <c r="AD1371" i="8" s="1"/>
  <c r="AG468" i="8"/>
  <c r="AH468" i="8" s="1"/>
  <c r="AD468" i="8" s="1"/>
  <c r="AG1926" i="8"/>
  <c r="AH1926" i="8" s="1"/>
  <c r="AD1926" i="8" s="1"/>
  <c r="AG1922" i="8"/>
  <c r="AH1922" i="8" s="1"/>
  <c r="AD1922" i="8" s="1"/>
  <c r="AG1925" i="8"/>
  <c r="AH1925" i="8" s="1"/>
  <c r="AD1925" i="8" s="1"/>
  <c r="AG467" i="8"/>
  <c r="AH467" i="8" s="1"/>
  <c r="AD467" i="8" s="1"/>
  <c r="AG480" i="8"/>
  <c r="AH480" i="8" s="1"/>
  <c r="AD480" i="8" s="1"/>
  <c r="AG479" i="8"/>
  <c r="AH479" i="8" s="1"/>
  <c r="AD479" i="8" s="1"/>
  <c r="AG481" i="8"/>
  <c r="AH481" i="8" s="1"/>
  <c r="AD481" i="8" s="1"/>
  <c r="AA481" i="8"/>
  <c r="AA480" i="8"/>
  <c r="AA479" i="8"/>
  <c r="AA867" i="8"/>
  <c r="AA866" i="8"/>
  <c r="AA470" i="8"/>
  <c r="AA1377" i="8"/>
  <c r="AA469" i="8"/>
  <c r="AA1762" i="8"/>
  <c r="AG1377" i="8"/>
  <c r="AH1377" i="8" s="1"/>
  <c r="AD1377" i="8" s="1"/>
  <c r="AG866" i="8"/>
  <c r="AH866" i="8" s="1"/>
  <c r="AD866" i="8" s="1"/>
  <c r="AG867" i="8"/>
  <c r="AH867" i="8" s="1"/>
  <c r="AD867" i="8" s="1"/>
  <c r="AG470" i="8"/>
  <c r="AH470" i="8" s="1"/>
  <c r="AD470" i="8" s="1"/>
  <c r="AG1762" i="8"/>
  <c r="AH1762" i="8" s="1"/>
  <c r="AD1762" i="8" s="1"/>
  <c r="AG469" i="8"/>
  <c r="AH469" i="8" s="1"/>
  <c r="AD469" i="8" s="1"/>
  <c r="AA1643" i="8"/>
  <c r="AA1642" i="8"/>
  <c r="AG1643" i="8"/>
  <c r="AH1643" i="8" s="1"/>
  <c r="AD1643" i="8" s="1"/>
  <c r="AG1642" i="8"/>
  <c r="AH1642" i="8" s="1"/>
  <c r="AD1642" i="8" s="1"/>
  <c r="AA1085" i="8"/>
  <c r="AA1082" i="8"/>
  <c r="AA1084" i="8"/>
  <c r="AA1083" i="8"/>
  <c r="AG1085" i="8"/>
  <c r="AH1085" i="8" s="1"/>
  <c r="AD1085" i="8" s="1"/>
  <c r="AG1082" i="8"/>
  <c r="AH1082" i="8" s="1"/>
  <c r="AD1082" i="8" s="1"/>
  <c r="AG1083" i="8"/>
  <c r="AH1083" i="8" s="1"/>
  <c r="AD1083" i="8" s="1"/>
  <c r="AG1084" i="8"/>
  <c r="AH1084" i="8" s="1"/>
  <c r="AD1084" i="8" s="1"/>
  <c r="AA1148" i="8"/>
  <c r="AA1149" i="8"/>
  <c r="AA1147" i="8"/>
  <c r="AA1150" i="8"/>
  <c r="AG1150" i="8"/>
  <c r="AH1150" i="8" s="1"/>
  <c r="AD1150" i="8" s="1"/>
  <c r="AG1148" i="8"/>
  <c r="AH1148" i="8" s="1"/>
  <c r="AD1148" i="8" s="1"/>
  <c r="AG1149" i="8"/>
  <c r="AH1149" i="8" s="1"/>
  <c r="AD1149" i="8" s="1"/>
  <c r="AG1147" i="8"/>
  <c r="AH1147" i="8" s="1"/>
  <c r="AD1147" i="8" s="1"/>
  <c r="AA819" i="8"/>
  <c r="AA1117" i="8"/>
  <c r="AA1232" i="8"/>
  <c r="AA1233" i="8"/>
  <c r="AA1235" i="8"/>
  <c r="AA1116" i="8"/>
  <c r="AA1115" i="8"/>
  <c r="AA1234" i="8"/>
  <c r="AA820" i="8"/>
  <c r="AA817" i="8"/>
  <c r="AA818" i="8"/>
  <c r="AG819" i="8"/>
  <c r="AH819" i="8" s="1"/>
  <c r="AD819" i="8" s="1"/>
  <c r="AG1117" i="8"/>
  <c r="AH1117" i="8" s="1"/>
  <c r="AD1117" i="8" s="1"/>
  <c r="AG820" i="8"/>
  <c r="AH820" i="8" s="1"/>
  <c r="AD820" i="8" s="1"/>
  <c r="AG1235" i="8"/>
  <c r="AH1235" i="8" s="1"/>
  <c r="AD1235" i="8" s="1"/>
  <c r="AG1234" i="8"/>
  <c r="AH1234" i="8" s="1"/>
  <c r="AD1234" i="8" s="1"/>
  <c r="AG1233" i="8"/>
  <c r="AH1233" i="8" s="1"/>
  <c r="AD1233" i="8" s="1"/>
  <c r="AG1115" i="8"/>
  <c r="AH1115" i="8" s="1"/>
  <c r="AD1115" i="8" s="1"/>
  <c r="AG1232" i="8"/>
  <c r="AH1232" i="8" s="1"/>
  <c r="AD1232" i="8" s="1"/>
  <c r="AG818" i="8"/>
  <c r="AH818" i="8" s="1"/>
  <c r="AD818" i="8" s="1"/>
  <c r="AG1116" i="8"/>
  <c r="AH1116" i="8" s="1"/>
  <c r="AD1116" i="8" s="1"/>
  <c r="AG817" i="8"/>
  <c r="AH817" i="8" s="1"/>
  <c r="AD817" i="8" s="1"/>
  <c r="AG1722" i="8"/>
  <c r="AH1722" i="8" s="1"/>
  <c r="AD1722" i="8" s="1"/>
  <c r="AG1720" i="8"/>
  <c r="AH1720" i="8" s="1"/>
  <c r="AD1720" i="8" s="1"/>
  <c r="AG1721" i="8"/>
  <c r="AH1721" i="8" s="1"/>
  <c r="AD1721" i="8" s="1"/>
  <c r="AG1719" i="8"/>
  <c r="AH1719" i="8" s="1"/>
  <c r="AD1719" i="8" s="1"/>
  <c r="AA1720" i="8"/>
  <c r="AA1719" i="8"/>
  <c r="AA1721" i="8"/>
  <c r="AA1722" i="8"/>
  <c r="AA1282" i="8"/>
  <c r="AA1281" i="8"/>
  <c r="AA1283" i="8"/>
  <c r="AG1283" i="8"/>
  <c r="AH1283" i="8" s="1"/>
  <c r="AD1283" i="8" s="1"/>
  <c r="AG1282" i="8"/>
  <c r="AH1282" i="8" s="1"/>
  <c r="AD1282" i="8" s="1"/>
  <c r="AG1281" i="8"/>
  <c r="AH1281" i="8" s="1"/>
  <c r="AD1281" i="8" s="1"/>
  <c r="AA1671" i="8"/>
  <c r="AA1672" i="8"/>
  <c r="AA1670" i="8"/>
  <c r="AA1669" i="8"/>
  <c r="AG1671" i="8"/>
  <c r="AH1671" i="8" s="1"/>
  <c r="AD1671" i="8" s="1"/>
  <c r="AG1670" i="8"/>
  <c r="AH1670" i="8" s="1"/>
  <c r="AD1670" i="8" s="1"/>
  <c r="AG1672" i="8"/>
  <c r="AH1672" i="8" s="1"/>
  <c r="AD1672" i="8" s="1"/>
  <c r="AG1669" i="8"/>
  <c r="AH1669" i="8" s="1"/>
  <c r="AD1669" i="8" s="1"/>
  <c r="AA1143" i="8"/>
  <c r="AA1142" i="8"/>
  <c r="AA1141" i="8"/>
  <c r="AA1486" i="8"/>
  <c r="AA559" i="8"/>
  <c r="AA558" i="8"/>
  <c r="AA105" i="8"/>
  <c r="AA104" i="8"/>
  <c r="AA1487" i="8"/>
  <c r="AA106" i="8"/>
  <c r="AG559" i="8"/>
  <c r="AH559" i="8" s="1"/>
  <c r="AD559" i="8" s="1"/>
  <c r="AG558" i="8"/>
  <c r="AH558" i="8" s="1"/>
  <c r="AD558" i="8" s="1"/>
  <c r="AG1143" i="8"/>
  <c r="AH1143" i="8" s="1"/>
  <c r="AD1143" i="8" s="1"/>
  <c r="AG1142" i="8"/>
  <c r="AH1142" i="8" s="1"/>
  <c r="AD1142" i="8" s="1"/>
  <c r="AG105" i="8"/>
  <c r="AH105" i="8" s="1"/>
  <c r="AD105" i="8" s="1"/>
  <c r="AG106" i="8"/>
  <c r="AH106" i="8" s="1"/>
  <c r="AD106" i="8" s="1"/>
  <c r="AG1487" i="8"/>
  <c r="AH1487" i="8" s="1"/>
  <c r="AD1487" i="8" s="1"/>
  <c r="AG1141" i="8"/>
  <c r="AH1141" i="8" s="1"/>
  <c r="AD1141" i="8" s="1"/>
  <c r="AG104" i="8"/>
  <c r="AH104" i="8" s="1"/>
  <c r="AD104" i="8" s="1"/>
  <c r="AG1486" i="8"/>
  <c r="AH1486" i="8" s="1"/>
  <c r="AD1486" i="8" s="1"/>
  <c r="AG841" i="8"/>
  <c r="AH841" i="8" s="1"/>
  <c r="AD841" i="8" s="1"/>
  <c r="AG839" i="8"/>
  <c r="AH839" i="8" s="1"/>
  <c r="AD839" i="8" s="1"/>
  <c r="AG432" i="8"/>
  <c r="AH432" i="8" s="1"/>
  <c r="AD432" i="8" s="1"/>
  <c r="AG433" i="8"/>
  <c r="AH433" i="8" s="1"/>
  <c r="AD433" i="8" s="1"/>
  <c r="AG1450" i="8"/>
  <c r="AH1450" i="8" s="1"/>
  <c r="AD1450" i="8" s="1"/>
  <c r="AG1449" i="8"/>
  <c r="AH1449" i="8" s="1"/>
  <c r="AD1449" i="8" s="1"/>
  <c r="AG1447" i="8"/>
  <c r="AH1447" i="8" s="1"/>
  <c r="AD1447" i="8" s="1"/>
  <c r="AG434" i="8"/>
  <c r="AH434" i="8" s="1"/>
  <c r="AD434" i="8" s="1"/>
  <c r="AG1448" i="8"/>
  <c r="AH1448" i="8" s="1"/>
  <c r="AD1448" i="8" s="1"/>
  <c r="AG840" i="8"/>
  <c r="AH840" i="8" s="1"/>
  <c r="AD840" i="8" s="1"/>
  <c r="AA1449" i="8"/>
  <c r="AA840" i="8"/>
  <c r="AA839" i="8"/>
  <c r="AA434" i="8"/>
  <c r="AA1447" i="8"/>
  <c r="AA1448" i="8"/>
  <c r="AA432" i="8"/>
  <c r="AA1450" i="8"/>
  <c r="AA841" i="8"/>
  <c r="AA433" i="8"/>
  <c r="AA537" i="8"/>
  <c r="AA1103" i="8"/>
  <c r="AA1656" i="8"/>
  <c r="AA1102" i="8"/>
  <c r="AA1658" i="8"/>
  <c r="AA1657" i="8"/>
  <c r="AA538" i="8"/>
  <c r="AG537" i="8"/>
  <c r="AH537" i="8" s="1"/>
  <c r="AD537" i="8" s="1"/>
  <c r="AG1102" i="8"/>
  <c r="AH1102" i="8" s="1"/>
  <c r="AD1102" i="8" s="1"/>
  <c r="AG1657" i="8"/>
  <c r="AH1657" i="8" s="1"/>
  <c r="AD1657" i="8" s="1"/>
  <c r="AG1658" i="8"/>
  <c r="AH1658" i="8" s="1"/>
  <c r="AD1658" i="8" s="1"/>
  <c r="AG1103" i="8"/>
  <c r="AH1103" i="8" s="1"/>
  <c r="AD1103" i="8" s="1"/>
  <c r="AG538" i="8"/>
  <c r="AH538" i="8" s="1"/>
  <c r="AD538" i="8" s="1"/>
  <c r="AG1656" i="8"/>
  <c r="AH1656" i="8" s="1"/>
  <c r="AD1656" i="8" s="1"/>
  <c r="AG1803" i="8"/>
  <c r="AH1803" i="8" s="1"/>
  <c r="AD1803" i="8" s="1"/>
  <c r="AG814" i="8"/>
  <c r="AH814" i="8" s="1"/>
  <c r="AD814" i="8" s="1"/>
  <c r="AG1800" i="8"/>
  <c r="AH1800" i="8" s="1"/>
  <c r="AD1800" i="8" s="1"/>
  <c r="AG813" i="8"/>
  <c r="AH813" i="8" s="1"/>
  <c r="AD813" i="8" s="1"/>
  <c r="AG1801" i="8"/>
  <c r="AH1801" i="8" s="1"/>
  <c r="AD1801" i="8" s="1"/>
  <c r="AG1802" i="8"/>
  <c r="AH1802" i="8" s="1"/>
  <c r="AD1802" i="8" s="1"/>
  <c r="AG816" i="8"/>
  <c r="AH816" i="8" s="1"/>
  <c r="AD816" i="8" s="1"/>
  <c r="AG815" i="8"/>
  <c r="AH815" i="8" s="1"/>
  <c r="AD815" i="8" s="1"/>
  <c r="AA814" i="8"/>
  <c r="AA815" i="8"/>
  <c r="AA813" i="8"/>
  <c r="AA1800" i="8"/>
  <c r="AA1801" i="8"/>
  <c r="AA1802" i="8"/>
  <c r="AA1803" i="8"/>
  <c r="AA816" i="8"/>
  <c r="AA824" i="8"/>
  <c r="AA830" i="8"/>
  <c r="AA829" i="8"/>
  <c r="AA827" i="8"/>
  <c r="AA402" i="8"/>
  <c r="AA405" i="8"/>
  <c r="AA1465" i="8"/>
  <c r="AA1463" i="8"/>
  <c r="AA1466" i="8"/>
  <c r="AA1468" i="8"/>
  <c r="AA1467" i="8"/>
  <c r="AA828" i="8"/>
  <c r="AA401" i="8"/>
  <c r="AA403" i="8"/>
  <c r="AA404" i="8"/>
  <c r="AA1464" i="8"/>
  <c r="AA825" i="8"/>
  <c r="AA826" i="8"/>
  <c r="AG1466" i="8"/>
  <c r="AH1466" i="8" s="1"/>
  <c r="AD1466" i="8" s="1"/>
  <c r="AG1465" i="8"/>
  <c r="AH1465" i="8" s="1"/>
  <c r="AD1465" i="8" s="1"/>
  <c r="AG1463" i="8"/>
  <c r="AH1463" i="8" s="1"/>
  <c r="AD1463" i="8" s="1"/>
  <c r="AG405" i="8"/>
  <c r="AH405" i="8" s="1"/>
  <c r="AD405" i="8" s="1"/>
  <c r="AG404" i="8"/>
  <c r="AH404" i="8" s="1"/>
  <c r="AD404" i="8" s="1"/>
  <c r="AG1467" i="8"/>
  <c r="AH1467" i="8" s="1"/>
  <c r="AD1467" i="8" s="1"/>
  <c r="AG827" i="8"/>
  <c r="AH827" i="8" s="1"/>
  <c r="AD827" i="8" s="1"/>
  <c r="AG403" i="8"/>
  <c r="AH403" i="8" s="1"/>
  <c r="AD403" i="8" s="1"/>
  <c r="AG824" i="8"/>
  <c r="AH824" i="8" s="1"/>
  <c r="AD824" i="8" s="1"/>
  <c r="AG830" i="8"/>
  <c r="AH830" i="8" s="1"/>
  <c r="AD830" i="8" s="1"/>
  <c r="AG829" i="8"/>
  <c r="AH829" i="8" s="1"/>
  <c r="AD829" i="8" s="1"/>
  <c r="AG828" i="8"/>
  <c r="AH828" i="8" s="1"/>
  <c r="AD828" i="8" s="1"/>
  <c r="AG1464" i="8"/>
  <c r="AH1464" i="8" s="1"/>
  <c r="AD1464" i="8" s="1"/>
  <c r="AG1468" i="8"/>
  <c r="AH1468" i="8" s="1"/>
  <c r="AD1468" i="8" s="1"/>
  <c r="AG401" i="8"/>
  <c r="AH401" i="8" s="1"/>
  <c r="AD401" i="8" s="1"/>
  <c r="AG826" i="8"/>
  <c r="AH826" i="8" s="1"/>
  <c r="AD826" i="8" s="1"/>
  <c r="AG825" i="8"/>
  <c r="AH825" i="8" s="1"/>
  <c r="AD825" i="8" s="1"/>
  <c r="AG402" i="8"/>
  <c r="AH402" i="8" s="1"/>
  <c r="AD402" i="8" s="1"/>
  <c r="AG1889" i="8"/>
  <c r="AH1889" i="8" s="1"/>
  <c r="AD1889" i="8" s="1"/>
  <c r="AG1891" i="8"/>
  <c r="AH1891" i="8" s="1"/>
  <c r="AD1891" i="8" s="1"/>
  <c r="AG395" i="8"/>
  <c r="AH395" i="8" s="1"/>
  <c r="AD395" i="8" s="1"/>
  <c r="AG1497" i="8"/>
  <c r="AH1497" i="8" s="1"/>
  <c r="AD1497" i="8" s="1"/>
  <c r="AG1890" i="8"/>
  <c r="AH1890" i="8" s="1"/>
  <c r="AD1890" i="8" s="1"/>
  <c r="AG396" i="8"/>
  <c r="AH396" i="8" s="1"/>
  <c r="AD396" i="8" s="1"/>
  <c r="AG394" i="8"/>
  <c r="AH394" i="8" s="1"/>
  <c r="AD394" i="8" s="1"/>
  <c r="AG785" i="8"/>
  <c r="AH785" i="8" s="1"/>
  <c r="AD785" i="8" s="1"/>
  <c r="AG1496" i="8"/>
  <c r="AH1496" i="8" s="1"/>
  <c r="AD1496" i="8" s="1"/>
  <c r="AG1495" i="8"/>
  <c r="AH1495" i="8" s="1"/>
  <c r="AD1495" i="8" s="1"/>
  <c r="AG786" i="8"/>
  <c r="AH786" i="8" s="1"/>
  <c r="AD786" i="8" s="1"/>
  <c r="AG788" i="8"/>
  <c r="AH788" i="8" s="1"/>
  <c r="AD788" i="8" s="1"/>
  <c r="AG787" i="8"/>
  <c r="AH787" i="8" s="1"/>
  <c r="AD787" i="8" s="1"/>
  <c r="AA787" i="8"/>
  <c r="AA1889" i="8"/>
  <c r="AA1890" i="8"/>
  <c r="AA1891" i="8"/>
  <c r="AA1495" i="8"/>
  <c r="AA1497" i="8"/>
  <c r="AA396" i="8"/>
  <c r="AA395" i="8"/>
  <c r="AA394" i="8"/>
  <c r="AA1496" i="8"/>
  <c r="AA788" i="8"/>
  <c r="AA786" i="8"/>
  <c r="AA785" i="8"/>
  <c r="AA1028" i="8"/>
  <c r="AA416" i="8"/>
  <c r="AA415" i="8"/>
  <c r="AA414" i="8"/>
  <c r="AA1030" i="8"/>
  <c r="AA1675" i="8"/>
  <c r="AA1029" i="8"/>
  <c r="AA1673" i="8"/>
  <c r="AA1674" i="8"/>
  <c r="AG1028" i="8"/>
  <c r="AH1028" i="8" s="1"/>
  <c r="AD1028" i="8" s="1"/>
  <c r="AG415" i="8"/>
  <c r="AH415" i="8" s="1"/>
  <c r="AD415" i="8" s="1"/>
  <c r="AG1030" i="8"/>
  <c r="AH1030" i="8" s="1"/>
  <c r="AD1030" i="8" s="1"/>
  <c r="AG1675" i="8"/>
  <c r="AH1675" i="8" s="1"/>
  <c r="AD1675" i="8" s="1"/>
  <c r="AG1029" i="8"/>
  <c r="AH1029" i="8" s="1"/>
  <c r="AD1029" i="8" s="1"/>
  <c r="AG414" i="8"/>
  <c r="AH414" i="8" s="1"/>
  <c r="AD414" i="8" s="1"/>
  <c r="AG416" i="8"/>
  <c r="AH416" i="8" s="1"/>
  <c r="AD416" i="8" s="1"/>
  <c r="AG1673" i="8"/>
  <c r="AH1673" i="8" s="1"/>
  <c r="AD1673" i="8" s="1"/>
  <c r="AG1674" i="8"/>
  <c r="AH1674" i="8" s="1"/>
  <c r="AD1674" i="8" s="1"/>
  <c r="AA1023" i="8"/>
  <c r="AA1021" i="8"/>
  <c r="AA1024" i="8"/>
  <c r="AA1022" i="8"/>
  <c r="AG1022" i="8"/>
  <c r="AH1022" i="8" s="1"/>
  <c r="AD1022" i="8" s="1"/>
  <c r="AG1023" i="8"/>
  <c r="AH1023" i="8" s="1"/>
  <c r="AD1023" i="8" s="1"/>
  <c r="AG1021" i="8"/>
  <c r="AH1021" i="8" s="1"/>
  <c r="AD1021" i="8" s="1"/>
  <c r="AG1024" i="8"/>
  <c r="AH1024" i="8" s="1"/>
  <c r="AD1024" i="8" s="1"/>
  <c r="AA1639" i="8"/>
  <c r="AA1636" i="8"/>
  <c r="AA873" i="8"/>
  <c r="AA876" i="8"/>
  <c r="AA874" i="8"/>
  <c r="AA877" i="8"/>
  <c r="AA879" i="8"/>
  <c r="AA880" i="8"/>
  <c r="AA882" i="8"/>
  <c r="AA872" i="8"/>
  <c r="AA871" i="8"/>
  <c r="AA875" i="8"/>
  <c r="AA1637" i="8"/>
  <c r="AA1638" i="8"/>
  <c r="AA878" i="8"/>
  <c r="AA881" i="8"/>
  <c r="AG875" i="8"/>
  <c r="AH875" i="8" s="1"/>
  <c r="AD875" i="8" s="1"/>
  <c r="AG882" i="8"/>
  <c r="AH882" i="8" s="1"/>
  <c r="AD882" i="8" s="1"/>
  <c r="AG874" i="8"/>
  <c r="AH874" i="8" s="1"/>
  <c r="AD874" i="8" s="1"/>
  <c r="AG872" i="8"/>
  <c r="AH872" i="8" s="1"/>
  <c r="AD872" i="8" s="1"/>
  <c r="AG881" i="8"/>
  <c r="AH881" i="8" s="1"/>
  <c r="AD881" i="8" s="1"/>
  <c r="AG878" i="8"/>
  <c r="AH878" i="8" s="1"/>
  <c r="AD878" i="8" s="1"/>
  <c r="AG877" i="8"/>
  <c r="AH877" i="8" s="1"/>
  <c r="AD877" i="8" s="1"/>
  <c r="AG876" i="8"/>
  <c r="AH876" i="8" s="1"/>
  <c r="AD876" i="8" s="1"/>
  <c r="AG879" i="8"/>
  <c r="AH879" i="8" s="1"/>
  <c r="AD879" i="8" s="1"/>
  <c r="AG871" i="8"/>
  <c r="AH871" i="8" s="1"/>
  <c r="AD871" i="8" s="1"/>
  <c r="AG1636" i="8"/>
  <c r="AH1636" i="8" s="1"/>
  <c r="AD1636" i="8" s="1"/>
  <c r="AG1637" i="8"/>
  <c r="AH1637" i="8" s="1"/>
  <c r="AD1637" i="8" s="1"/>
  <c r="AG1638" i="8"/>
  <c r="AH1638" i="8" s="1"/>
  <c r="AD1638" i="8" s="1"/>
  <c r="AG1639" i="8"/>
  <c r="AH1639" i="8" s="1"/>
  <c r="AD1639" i="8" s="1"/>
  <c r="AG873" i="8"/>
  <c r="AH873" i="8" s="1"/>
  <c r="AD873" i="8" s="1"/>
  <c r="AG880" i="8"/>
  <c r="AH880" i="8" s="1"/>
  <c r="AD880" i="8" s="1"/>
  <c r="AG892" i="8"/>
  <c r="AH892" i="8" s="1"/>
  <c r="AD892" i="8" s="1"/>
  <c r="AG883" i="8"/>
  <c r="AH883" i="8" s="1"/>
  <c r="AD883" i="8" s="1"/>
  <c r="AG884" i="8"/>
  <c r="AH884" i="8" s="1"/>
  <c r="AD884" i="8" s="1"/>
  <c r="AG886" i="8"/>
  <c r="AH886" i="8" s="1"/>
  <c r="AD886" i="8" s="1"/>
  <c r="AG887" i="8"/>
  <c r="AH887" i="8" s="1"/>
  <c r="AD887" i="8" s="1"/>
  <c r="AG888" i="8"/>
  <c r="AH888" i="8" s="1"/>
  <c r="AD888" i="8" s="1"/>
  <c r="AG890" i="8"/>
  <c r="AH890" i="8" s="1"/>
  <c r="AD890" i="8" s="1"/>
  <c r="AG893" i="8"/>
  <c r="AH893" i="8" s="1"/>
  <c r="AD893" i="8" s="1"/>
  <c r="AG894" i="8"/>
  <c r="AH894" i="8" s="1"/>
  <c r="AD894" i="8" s="1"/>
  <c r="AG891" i="8"/>
  <c r="AH891" i="8" s="1"/>
  <c r="AD891" i="8" s="1"/>
  <c r="AG885" i="8"/>
  <c r="AH885" i="8" s="1"/>
  <c r="AD885" i="8" s="1"/>
  <c r="AG889" i="8"/>
  <c r="AH889" i="8" s="1"/>
  <c r="AD889" i="8" s="1"/>
  <c r="AA891" i="8"/>
  <c r="AA893" i="8"/>
  <c r="AA894" i="8"/>
  <c r="AA892" i="8"/>
  <c r="AA887" i="8"/>
  <c r="AA886" i="8"/>
  <c r="AA888" i="8"/>
  <c r="AA885" i="8"/>
  <c r="AA884" i="8"/>
  <c r="AA883" i="8"/>
  <c r="AA890" i="8"/>
  <c r="AA889" i="8"/>
  <c r="AA896" i="8"/>
  <c r="AA897" i="8"/>
  <c r="AA906" i="8"/>
  <c r="AA903" i="8"/>
  <c r="AA901" i="8"/>
  <c r="AA900" i="8"/>
  <c r="AA899" i="8"/>
  <c r="AA905" i="8"/>
  <c r="AA902" i="8"/>
  <c r="AA898" i="8"/>
  <c r="AA895" i="8"/>
  <c r="AA1633" i="8"/>
  <c r="AA904" i="8"/>
  <c r="AA1632" i="8"/>
  <c r="AG897" i="8"/>
  <c r="AH897" i="8" s="1"/>
  <c r="AD897" i="8" s="1"/>
  <c r="AG895" i="8"/>
  <c r="AH895" i="8" s="1"/>
  <c r="AD895" i="8" s="1"/>
  <c r="AG904" i="8"/>
  <c r="AH904" i="8" s="1"/>
  <c r="AD904" i="8" s="1"/>
  <c r="AG900" i="8"/>
  <c r="AH900" i="8" s="1"/>
  <c r="AD900" i="8" s="1"/>
  <c r="AG896" i="8"/>
  <c r="AH896" i="8" s="1"/>
  <c r="AD896" i="8" s="1"/>
  <c r="AG902" i="8"/>
  <c r="AH902" i="8" s="1"/>
  <c r="AD902" i="8" s="1"/>
  <c r="AG903" i="8"/>
  <c r="AH903" i="8" s="1"/>
  <c r="AD903" i="8" s="1"/>
  <c r="AG905" i="8"/>
  <c r="AH905" i="8" s="1"/>
  <c r="AD905" i="8" s="1"/>
  <c r="AG906" i="8"/>
  <c r="AH906" i="8" s="1"/>
  <c r="AD906" i="8" s="1"/>
  <c r="AG901" i="8"/>
  <c r="AH901" i="8" s="1"/>
  <c r="AD901" i="8" s="1"/>
  <c r="AG1632" i="8"/>
  <c r="AH1632" i="8" s="1"/>
  <c r="AD1632" i="8" s="1"/>
  <c r="AG1633" i="8"/>
  <c r="AH1633" i="8" s="1"/>
  <c r="AD1633" i="8" s="1"/>
  <c r="AG899" i="8"/>
  <c r="AH899" i="8" s="1"/>
  <c r="AD899" i="8" s="1"/>
  <c r="AG898" i="8"/>
  <c r="AH898" i="8" s="1"/>
  <c r="AD898" i="8" s="1"/>
  <c r="AG694" i="8"/>
  <c r="AH694" i="8" s="1"/>
  <c r="AD694" i="8" s="1"/>
  <c r="AG695" i="8"/>
  <c r="AH695" i="8" s="1"/>
  <c r="AD695" i="8" s="1"/>
  <c r="AG156" i="8"/>
  <c r="AH156" i="8" s="1"/>
  <c r="AD156" i="8" s="1"/>
  <c r="AG154" i="8"/>
  <c r="AH154" i="8" s="1"/>
  <c r="AD154" i="8" s="1"/>
  <c r="AG155" i="8"/>
  <c r="AH155" i="8" s="1"/>
  <c r="AD155" i="8" s="1"/>
  <c r="AG696" i="8"/>
  <c r="AH696" i="8" s="1"/>
  <c r="AD696" i="8" s="1"/>
  <c r="AG1171" i="8"/>
  <c r="AH1171" i="8" s="1"/>
  <c r="AD1171" i="8" s="1"/>
  <c r="AG1757" i="8"/>
  <c r="AH1757" i="8" s="1"/>
  <c r="AD1757" i="8" s="1"/>
  <c r="AG1756" i="8"/>
  <c r="AH1756" i="8" s="1"/>
  <c r="AD1756" i="8" s="1"/>
  <c r="AG697" i="8"/>
  <c r="AH697" i="8" s="1"/>
  <c r="AD697" i="8" s="1"/>
  <c r="AG1170" i="8"/>
  <c r="AH1170" i="8" s="1"/>
  <c r="AD1170" i="8" s="1"/>
  <c r="AG1754" i="8"/>
  <c r="AH1754" i="8" s="1"/>
  <c r="AD1754" i="8" s="1"/>
  <c r="AG1763" i="8"/>
  <c r="AH1763" i="8" s="1"/>
  <c r="AD1763" i="8" s="1"/>
  <c r="AG1758" i="8"/>
  <c r="AH1758" i="8" s="1"/>
  <c r="AD1758" i="8" s="1"/>
  <c r="AG1172" i="8"/>
  <c r="AH1172" i="8" s="1"/>
  <c r="AD1172" i="8" s="1"/>
  <c r="AG1755" i="8"/>
  <c r="AH1755" i="8" s="1"/>
  <c r="AD1755" i="8" s="1"/>
  <c r="AG1753" i="8"/>
  <c r="AH1753" i="8" s="1"/>
  <c r="AD1753" i="8" s="1"/>
  <c r="AG158" i="8"/>
  <c r="AH158" i="8" s="1"/>
  <c r="AD158" i="8" s="1"/>
  <c r="AG157" i="8"/>
  <c r="AH157" i="8" s="1"/>
  <c r="AD157" i="8" s="1"/>
  <c r="AG693" i="8"/>
  <c r="AH693" i="8" s="1"/>
  <c r="AD693" i="8" s="1"/>
  <c r="AA695" i="8"/>
  <c r="AA1754" i="8"/>
  <c r="AA1758" i="8"/>
  <c r="AA1171" i="8"/>
  <c r="AA1172" i="8"/>
  <c r="AA154" i="8"/>
  <c r="AA156" i="8"/>
  <c r="AA158" i="8"/>
  <c r="AA1753" i="8"/>
  <c r="AA1170" i="8"/>
  <c r="AA1756" i="8"/>
  <c r="AA1763" i="8"/>
  <c r="AA1757" i="8"/>
  <c r="AA693" i="8"/>
  <c r="AA694" i="8"/>
  <c r="AA696" i="8"/>
  <c r="AA697" i="8"/>
  <c r="AA155" i="8"/>
  <c r="AA157" i="8"/>
  <c r="AA1755" i="8"/>
  <c r="AG177" i="8"/>
  <c r="AH177" i="8" s="1"/>
  <c r="AD177" i="8" s="1"/>
  <c r="AG1206" i="8"/>
  <c r="AH1206" i="8" s="1"/>
  <c r="AD1206" i="8" s="1"/>
  <c r="AG178" i="8"/>
  <c r="AH178" i="8" s="1"/>
  <c r="AD178" i="8" s="1"/>
  <c r="AG613" i="8"/>
  <c r="AH613" i="8" s="1"/>
  <c r="AD613" i="8" s="1"/>
  <c r="AG180" i="8"/>
  <c r="AH180" i="8" s="1"/>
  <c r="AD180" i="8" s="1"/>
  <c r="AG179" i="8"/>
  <c r="AH179" i="8" s="1"/>
  <c r="AD179" i="8" s="1"/>
  <c r="AG1204" i="8"/>
  <c r="AH1204" i="8" s="1"/>
  <c r="AD1204" i="8" s="1"/>
  <c r="AG1207" i="8"/>
  <c r="AH1207" i="8" s="1"/>
  <c r="AD1207" i="8" s="1"/>
  <c r="AG1205" i="8"/>
  <c r="AH1205" i="8" s="1"/>
  <c r="AD1205" i="8" s="1"/>
  <c r="AG1208" i="8"/>
  <c r="AH1208" i="8" s="1"/>
  <c r="AD1208" i="8" s="1"/>
  <c r="AA1204" i="8"/>
  <c r="AA1205" i="8"/>
  <c r="AA1206" i="8"/>
  <c r="AA1207" i="8"/>
  <c r="AA613" i="8"/>
  <c r="AA1208" i="8"/>
  <c r="AA180" i="8"/>
  <c r="AA177" i="8"/>
  <c r="AA178" i="8"/>
  <c r="AA179" i="8"/>
  <c r="AA1070" i="8"/>
  <c r="AA1388" i="8"/>
  <c r="AA430" i="8"/>
  <c r="AA429" i="8"/>
  <c r="AA607" i="8"/>
  <c r="AA1069" i="8"/>
  <c r="AA427" i="8"/>
  <c r="AA1391" i="8"/>
  <c r="AA428" i="8"/>
  <c r="AA1390" i="8"/>
  <c r="AA431" i="8"/>
  <c r="AA1389" i="8"/>
  <c r="AA1066" i="8"/>
  <c r="AA1067" i="8"/>
  <c r="AA1068" i="8"/>
  <c r="AG1067" i="8"/>
  <c r="AH1067" i="8" s="1"/>
  <c r="AD1067" i="8" s="1"/>
  <c r="AG1388" i="8"/>
  <c r="AH1388" i="8" s="1"/>
  <c r="AD1388" i="8" s="1"/>
  <c r="AE1388" i="8" s="1"/>
  <c r="AG428" i="8"/>
  <c r="AH428" i="8" s="1"/>
  <c r="AD428" i="8" s="1"/>
  <c r="AG429" i="8"/>
  <c r="AH429" i="8" s="1"/>
  <c r="AD429" i="8" s="1"/>
  <c r="AG1070" i="8"/>
  <c r="AH1070" i="8" s="1"/>
  <c r="AD1070" i="8" s="1"/>
  <c r="AE1070" i="8" s="1"/>
  <c r="AG1069" i="8"/>
  <c r="AH1069" i="8" s="1"/>
  <c r="AD1069" i="8" s="1"/>
  <c r="AE1069" i="8" s="1"/>
  <c r="AG1066" i="8"/>
  <c r="AH1066" i="8" s="1"/>
  <c r="AD1066" i="8" s="1"/>
  <c r="AE1066" i="8" s="1"/>
  <c r="AG1390" i="8"/>
  <c r="AH1390" i="8" s="1"/>
  <c r="AD1390" i="8" s="1"/>
  <c r="AE1390" i="8" s="1"/>
  <c r="AG607" i="8"/>
  <c r="AH607" i="8" s="1"/>
  <c r="AD607" i="8" s="1"/>
  <c r="AG1389" i="8"/>
  <c r="AH1389" i="8" s="1"/>
  <c r="AD1389" i="8" s="1"/>
  <c r="AE1389" i="8" s="1"/>
  <c r="AG427" i="8"/>
  <c r="AH427" i="8" s="1"/>
  <c r="AD427" i="8" s="1"/>
  <c r="AG430" i="8"/>
  <c r="AH430" i="8" s="1"/>
  <c r="AD430" i="8" s="1"/>
  <c r="AG431" i="8"/>
  <c r="AH431" i="8" s="1"/>
  <c r="AD431" i="8" s="1"/>
  <c r="AG1391" i="8"/>
  <c r="AH1391" i="8" s="1"/>
  <c r="AD1391" i="8" s="1"/>
  <c r="AE1391" i="8" s="1"/>
  <c r="AG1068" i="8"/>
  <c r="AH1068" i="8" s="1"/>
  <c r="AD1068" i="8" s="1"/>
  <c r="AE1068" i="8" s="1"/>
  <c r="AA174" i="8"/>
  <c r="AA264" i="8"/>
  <c r="AA266" i="8"/>
  <c r="AA268" i="8"/>
  <c r="AA731" i="8"/>
  <c r="AA265" i="8"/>
  <c r="AA267" i="8"/>
  <c r="AA732" i="8"/>
  <c r="AA733" i="8"/>
  <c r="AA734" i="8"/>
  <c r="AA735" i="8"/>
  <c r="AA736" i="8"/>
  <c r="AG734" i="8"/>
  <c r="AH734" i="8" s="1"/>
  <c r="AD734" i="8" s="1"/>
  <c r="AG264" i="8"/>
  <c r="AH264" i="8" s="1"/>
  <c r="AD264" i="8" s="1"/>
  <c r="AG736" i="8"/>
  <c r="AH736" i="8" s="1"/>
  <c r="AD736" i="8" s="1"/>
  <c r="AG735" i="8"/>
  <c r="AH735" i="8" s="1"/>
  <c r="AD735" i="8" s="1"/>
  <c r="AG174" i="8"/>
  <c r="AH174" i="8" s="1"/>
  <c r="AD174" i="8" s="1"/>
  <c r="AG265" i="8"/>
  <c r="AH265" i="8" s="1"/>
  <c r="AD265" i="8" s="1"/>
  <c r="AG266" i="8"/>
  <c r="AH266" i="8" s="1"/>
  <c r="AD266" i="8" s="1"/>
  <c r="AG267" i="8"/>
  <c r="AH267" i="8" s="1"/>
  <c r="AD267" i="8" s="1"/>
  <c r="AG268" i="8"/>
  <c r="AH268" i="8" s="1"/>
  <c r="AD268" i="8" s="1"/>
  <c r="AG733" i="8"/>
  <c r="AH733" i="8" s="1"/>
  <c r="AD733" i="8" s="1"/>
  <c r="AG732" i="8"/>
  <c r="AH732" i="8" s="1"/>
  <c r="AD732" i="8" s="1"/>
  <c r="AG731" i="8"/>
  <c r="AH731" i="8" s="1"/>
  <c r="AD731" i="8" s="1"/>
  <c r="AG1137" i="8"/>
  <c r="AH1137" i="8" s="1"/>
  <c r="AD1137" i="8" s="1"/>
  <c r="AG1136" i="8"/>
  <c r="AH1136" i="8" s="1"/>
  <c r="AD1136" i="8" s="1"/>
  <c r="AG1812" i="8"/>
  <c r="AH1812" i="8" s="1"/>
  <c r="AD1812" i="8" s="1"/>
  <c r="AG1810" i="8"/>
  <c r="AH1810" i="8" s="1"/>
  <c r="AD1810" i="8" s="1"/>
  <c r="AG1135" i="8"/>
  <c r="AH1135" i="8" s="1"/>
  <c r="AD1135" i="8" s="1"/>
  <c r="AG175" i="8"/>
  <c r="AH175" i="8" s="1"/>
  <c r="AD175" i="8" s="1"/>
  <c r="AG1809" i="8"/>
  <c r="AH1809" i="8" s="1"/>
  <c r="AD1809" i="8" s="1"/>
  <c r="AG1808" i="8"/>
  <c r="AH1808" i="8" s="1"/>
  <c r="AD1808" i="8" s="1"/>
  <c r="AG1811" i="8"/>
  <c r="AH1811" i="8" s="1"/>
  <c r="AD1811" i="8" s="1"/>
  <c r="AG1138" i="8"/>
  <c r="AH1138" i="8" s="1"/>
  <c r="AD1138" i="8" s="1"/>
  <c r="AA1811" i="8"/>
  <c r="AA1812" i="8"/>
  <c r="AA1137" i="8"/>
  <c r="AA1809" i="8"/>
  <c r="AA175" i="8"/>
  <c r="AA1136" i="8"/>
  <c r="AA1138" i="8"/>
  <c r="AA1808" i="8"/>
  <c r="AA1810" i="8"/>
  <c r="AA1135" i="8"/>
  <c r="AG760" i="8"/>
  <c r="AH760" i="8" s="1"/>
  <c r="AD760" i="8" s="1"/>
  <c r="AG757" i="8"/>
  <c r="AH757" i="8" s="1"/>
  <c r="AD757" i="8" s="1"/>
  <c r="AG759" i="8"/>
  <c r="AH759" i="8" s="1"/>
  <c r="AD759" i="8" s="1"/>
  <c r="AG758" i="8"/>
  <c r="AH758" i="8" s="1"/>
  <c r="AD758" i="8" s="1"/>
  <c r="AG761" i="8"/>
  <c r="AH761" i="8" s="1"/>
  <c r="AD761" i="8" s="1"/>
  <c r="AA759" i="8"/>
  <c r="AA761" i="8"/>
  <c r="AA760" i="8"/>
  <c r="AA757" i="8"/>
  <c r="AA758" i="8"/>
  <c r="AG1255" i="8"/>
  <c r="AH1255" i="8" s="1"/>
  <c r="AD1255" i="8" s="1"/>
  <c r="AG1885" i="8"/>
  <c r="AH1885" i="8" s="1"/>
  <c r="AD1885" i="8" s="1"/>
  <c r="AG1883" i="8"/>
  <c r="AH1883" i="8" s="1"/>
  <c r="AD1883" i="8" s="1"/>
  <c r="AG1254" i="8"/>
  <c r="AH1254" i="8" s="1"/>
  <c r="AD1254" i="8" s="1"/>
  <c r="AG1882" i="8"/>
  <c r="AH1882" i="8" s="1"/>
  <c r="AD1882" i="8" s="1"/>
  <c r="AG1881" i="8"/>
  <c r="AH1881" i="8" s="1"/>
  <c r="AD1881" i="8" s="1"/>
  <c r="AG1256" i="8"/>
  <c r="AH1256" i="8" s="1"/>
  <c r="AD1256" i="8" s="1"/>
  <c r="AG1253" i="8"/>
  <c r="AH1253" i="8" s="1"/>
  <c r="AD1253" i="8" s="1"/>
  <c r="AG1257" i="8"/>
  <c r="AH1257" i="8" s="1"/>
  <c r="AD1257" i="8" s="1"/>
  <c r="AG576" i="8"/>
  <c r="AH576" i="8" s="1"/>
  <c r="AD576" i="8" s="1"/>
  <c r="AG577" i="8"/>
  <c r="AH577" i="8" s="1"/>
  <c r="AD577" i="8" s="1"/>
  <c r="AG578" i="8"/>
  <c r="AH578" i="8" s="1"/>
  <c r="AD578" i="8" s="1"/>
  <c r="AG579" i="8"/>
  <c r="AH579" i="8" s="1"/>
  <c r="AD579" i="8" s="1"/>
  <c r="AG580" i="8"/>
  <c r="AH580" i="8" s="1"/>
  <c r="AD580" i="8" s="1"/>
  <c r="AG1884" i="8"/>
  <c r="AH1884" i="8" s="1"/>
  <c r="AD1884" i="8" s="1"/>
  <c r="AG575" i="8"/>
  <c r="AH575" i="8" s="1"/>
  <c r="AD575" i="8" s="1"/>
  <c r="AA576" i="8"/>
  <c r="AA1881" i="8"/>
  <c r="AA1884" i="8"/>
  <c r="AA1882" i="8"/>
  <c r="AA1883" i="8"/>
  <c r="AA1885" i="8"/>
  <c r="AA575" i="8"/>
  <c r="AA577" i="8"/>
  <c r="AA578" i="8"/>
  <c r="AA579" i="8"/>
  <c r="AA580" i="8"/>
  <c r="AA1257" i="8"/>
  <c r="AA1256" i="8"/>
  <c r="AA1255" i="8"/>
  <c r="AA1254" i="8"/>
  <c r="AA1253" i="8"/>
  <c r="AA1653" i="8"/>
  <c r="AA1655" i="8"/>
  <c r="AA1654" i="8"/>
  <c r="AA620" i="8"/>
  <c r="AG1655" i="8"/>
  <c r="AH1655" i="8" s="1"/>
  <c r="AD1655" i="8" s="1"/>
  <c r="AG620" i="8"/>
  <c r="AH620" i="8" s="1"/>
  <c r="AD620" i="8" s="1"/>
  <c r="AG1654" i="8"/>
  <c r="AH1654" i="8" s="1"/>
  <c r="AD1654" i="8" s="1"/>
  <c r="AG1653" i="8"/>
  <c r="AH1653" i="8" s="1"/>
  <c r="AD1653" i="8" s="1"/>
  <c r="AA1824" i="8"/>
  <c r="AA1825" i="8"/>
  <c r="AA1826" i="8"/>
  <c r="AA730" i="8"/>
  <c r="AA727" i="8"/>
  <c r="AA1823" i="8"/>
  <c r="AA1296" i="8"/>
  <c r="AA729" i="8"/>
  <c r="AA1297" i="8"/>
  <c r="AA1298" i="8"/>
  <c r="AA728" i="8"/>
  <c r="AG1826" i="8"/>
  <c r="AH1826" i="8" s="1"/>
  <c r="AD1826" i="8" s="1"/>
  <c r="AG1823" i="8"/>
  <c r="AH1823" i="8" s="1"/>
  <c r="AD1823" i="8" s="1"/>
  <c r="AG727" i="8"/>
  <c r="AH727" i="8" s="1"/>
  <c r="AD727" i="8" s="1"/>
  <c r="AG728" i="8"/>
  <c r="AH728" i="8" s="1"/>
  <c r="AD728" i="8" s="1"/>
  <c r="AG729" i="8"/>
  <c r="AH729" i="8" s="1"/>
  <c r="AD729" i="8" s="1"/>
  <c r="AG730" i="8"/>
  <c r="AH730" i="8" s="1"/>
  <c r="AD730" i="8" s="1"/>
  <c r="AG1825" i="8"/>
  <c r="AH1825" i="8" s="1"/>
  <c r="AD1825" i="8" s="1"/>
  <c r="AG1297" i="8"/>
  <c r="AH1297" i="8" s="1"/>
  <c r="AD1297" i="8" s="1"/>
  <c r="AG1298" i="8"/>
  <c r="AH1298" i="8" s="1"/>
  <c r="AD1298" i="8" s="1"/>
  <c r="AG1296" i="8"/>
  <c r="AH1296" i="8" s="1"/>
  <c r="AD1296" i="8" s="1"/>
  <c r="AG1824" i="8"/>
  <c r="AH1824" i="8" s="1"/>
  <c r="AD1824" i="8" s="1"/>
  <c r="AA982" i="8"/>
  <c r="AA1408" i="8"/>
  <c r="AA1403" i="8"/>
  <c r="AA1404" i="8"/>
  <c r="AA1407" i="8"/>
  <c r="AA601" i="8"/>
  <c r="AA1405" i="8"/>
  <c r="AA600" i="8"/>
  <c r="AA599" i="8"/>
  <c r="AA981" i="8"/>
  <c r="AA1406" i="8"/>
  <c r="AA604" i="8"/>
  <c r="AA603" i="8"/>
  <c r="AA602" i="8"/>
  <c r="AG603" i="8"/>
  <c r="AH603" i="8" s="1"/>
  <c r="AD603" i="8" s="1"/>
  <c r="AG1403" i="8"/>
  <c r="AH1403" i="8" s="1"/>
  <c r="AD1403" i="8" s="1"/>
  <c r="AG604" i="8"/>
  <c r="AH604" i="8" s="1"/>
  <c r="AD604" i="8" s="1"/>
  <c r="AG982" i="8"/>
  <c r="AH982" i="8" s="1"/>
  <c r="AD982" i="8" s="1"/>
  <c r="AG1404" i="8"/>
  <c r="AH1404" i="8" s="1"/>
  <c r="AD1404" i="8" s="1"/>
  <c r="AG600" i="8"/>
  <c r="AH600" i="8" s="1"/>
  <c r="AD600" i="8" s="1"/>
  <c r="AG601" i="8"/>
  <c r="AH601" i="8" s="1"/>
  <c r="AD601" i="8" s="1"/>
  <c r="AG1406" i="8"/>
  <c r="AH1406" i="8" s="1"/>
  <c r="AD1406" i="8" s="1"/>
  <c r="AG602" i="8"/>
  <c r="AH602" i="8" s="1"/>
  <c r="AD602" i="8" s="1"/>
  <c r="AG1405" i="8"/>
  <c r="AH1405" i="8" s="1"/>
  <c r="AD1405" i="8" s="1"/>
  <c r="AG981" i="8"/>
  <c r="AH981" i="8" s="1"/>
  <c r="AD981" i="8" s="1"/>
  <c r="AG599" i="8"/>
  <c r="AH599" i="8" s="1"/>
  <c r="AD599" i="8" s="1"/>
  <c r="AG1408" i="8"/>
  <c r="AH1408" i="8" s="1"/>
  <c r="AD1408" i="8" s="1"/>
  <c r="AG1407" i="8"/>
  <c r="AH1407" i="8" s="1"/>
  <c r="AD1407" i="8" s="1"/>
  <c r="H409" i="11"/>
  <c r="H436" i="11"/>
  <c r="F519" i="11"/>
  <c r="J73" i="10"/>
  <c r="P73" i="10"/>
  <c r="P54" i="10"/>
  <c r="Q54" i="10" s="1"/>
  <c r="J54" i="10"/>
  <c r="F559" i="11"/>
  <c r="F367" i="11"/>
  <c r="F326" i="11"/>
  <c r="F262" i="11"/>
  <c r="F589" i="11"/>
  <c r="H507" i="11"/>
  <c r="G129" i="12"/>
  <c r="J129" i="12"/>
  <c r="H129" i="12"/>
  <c r="H434" i="11"/>
  <c r="F491" i="11"/>
  <c r="H428" i="11"/>
  <c r="H389" i="11"/>
  <c r="H317" i="11"/>
  <c r="F313" i="11"/>
  <c r="H307" i="11"/>
  <c r="H427" i="11"/>
  <c r="F388" i="11"/>
  <c r="H339" i="11"/>
  <c r="F328" i="11"/>
  <c r="F294" i="11"/>
  <c r="H248" i="11"/>
  <c r="F246" i="11"/>
  <c r="H195" i="11"/>
  <c r="H187" i="11"/>
  <c r="H474" i="11"/>
  <c r="H404" i="11"/>
  <c r="H386" i="11"/>
  <c r="H333" i="11"/>
  <c r="H328" i="11"/>
  <c r="F307" i="11"/>
  <c r="H300" i="11"/>
  <c r="H234" i="11"/>
  <c r="F234" i="11"/>
  <c r="F157" i="11"/>
  <c r="F389" i="11"/>
  <c r="H382" i="11"/>
  <c r="F343" i="11"/>
  <c r="P47" i="10"/>
  <c r="Q47" i="10" s="1"/>
  <c r="J47" i="10"/>
  <c r="P46" i="10"/>
  <c r="Q46" i="10" s="1"/>
  <c r="J46" i="10"/>
  <c r="P45" i="10"/>
  <c r="Q45" i="10" s="1"/>
  <c r="J45" i="10"/>
  <c r="D45" i="11"/>
  <c r="J44" i="10"/>
  <c r="P44" i="10"/>
  <c r="J43" i="10"/>
  <c r="P43" i="10"/>
  <c r="D44" i="11"/>
  <c r="P42" i="10"/>
  <c r="J42" i="10"/>
  <c r="D43" i="11"/>
  <c r="J41" i="10"/>
  <c r="P41" i="10"/>
  <c r="J42" i="11" s="1"/>
  <c r="J37" i="10"/>
  <c r="P37" i="10"/>
  <c r="Q37" i="10" s="1"/>
  <c r="P34" i="10"/>
  <c r="J35" i="11" s="1"/>
  <c r="J34" i="10"/>
  <c r="P28" i="10"/>
  <c r="Q28" i="10" s="1"/>
  <c r="J28" i="10"/>
  <c r="J27" i="10"/>
  <c r="P27" i="10"/>
  <c r="J28" i="11" s="1"/>
  <c r="J23" i="10"/>
  <c r="P23" i="10"/>
  <c r="J24" i="11" s="1"/>
  <c r="J20" i="10"/>
  <c r="P20" i="10"/>
  <c r="Q20" i="10" s="1"/>
  <c r="J19" i="10"/>
  <c r="P19" i="10"/>
  <c r="J20" i="11" s="1"/>
  <c r="J16" i="10"/>
  <c r="P16" i="10"/>
  <c r="Q16" i="10" s="1"/>
  <c r="J10" i="10"/>
  <c r="D11" i="11"/>
  <c r="P10" i="10"/>
  <c r="J11" i="11" s="1"/>
  <c r="J9" i="10"/>
  <c r="P9" i="10"/>
  <c r="J10" i="11" s="1"/>
  <c r="P8" i="10"/>
  <c r="Q8" i="10" s="1"/>
  <c r="J8" i="10"/>
  <c r="P6" i="10"/>
  <c r="J6" i="10"/>
  <c r="F482" i="11"/>
  <c r="F598" i="11"/>
  <c r="H230" i="11"/>
  <c r="F309" i="11"/>
  <c r="F386" i="11"/>
  <c r="H318" i="11"/>
  <c r="F151" i="11"/>
  <c r="F407" i="11"/>
  <c r="H413" i="11"/>
  <c r="F421" i="11"/>
  <c r="F308" i="11"/>
  <c r="H305" i="11"/>
  <c r="H142" i="11"/>
  <c r="H539" i="11"/>
  <c r="H254" i="11"/>
  <c r="F274" i="11"/>
  <c r="H371" i="11"/>
  <c r="H326" i="11"/>
  <c r="H263" i="11"/>
  <c r="H290" i="11"/>
  <c r="H581" i="11"/>
  <c r="F333" i="11"/>
  <c r="F161" i="11"/>
  <c r="F488" i="11"/>
  <c r="F373" i="11"/>
  <c r="H367" i="11"/>
  <c r="H325" i="11"/>
  <c r="F322" i="11"/>
  <c r="H306" i="11"/>
  <c r="F304" i="11"/>
  <c r="H181" i="11"/>
  <c r="H172" i="11"/>
  <c r="F532" i="11"/>
  <c r="H526" i="11"/>
  <c r="H293" i="11"/>
  <c r="F195" i="11"/>
  <c r="F149" i="11"/>
  <c r="H203" i="11"/>
  <c r="H191" i="11"/>
  <c r="F199" i="11"/>
  <c r="H16" i="14"/>
  <c r="D22" i="14"/>
  <c r="I16" i="14"/>
  <c r="E22" i="14"/>
  <c r="F156" i="11"/>
  <c r="F568" i="11"/>
  <c r="J104" i="10"/>
  <c r="P104" i="10"/>
  <c r="F477" i="11"/>
  <c r="H296" i="11"/>
  <c r="H202" i="11"/>
  <c r="F409" i="11"/>
  <c r="H498" i="11"/>
  <c r="F415" i="11"/>
  <c r="H414" i="11"/>
  <c r="H410" i="11"/>
  <c r="F334" i="11"/>
  <c r="H599" i="11"/>
  <c r="H457" i="11"/>
  <c r="F464" i="11"/>
  <c r="F341" i="11"/>
  <c r="J77" i="10"/>
  <c r="P77" i="10"/>
  <c r="Q77" i="10" s="1"/>
  <c r="J68" i="10"/>
  <c r="P68" i="10"/>
  <c r="J69" i="11" s="1"/>
  <c r="J70" i="10"/>
  <c r="P70" i="10"/>
  <c r="J40" i="10"/>
  <c r="P40" i="10"/>
  <c r="Q40" i="10" s="1"/>
  <c r="AA28" i="8"/>
  <c r="AA29" i="8"/>
  <c r="AA27" i="8"/>
  <c r="AA26" i="8"/>
  <c r="AA25" i="8"/>
  <c r="AA24" i="8"/>
  <c r="AG24" i="8"/>
  <c r="AH24" i="8" s="1"/>
  <c r="AD24" i="8" s="1"/>
  <c r="AG25" i="8"/>
  <c r="AH25" i="8" s="1"/>
  <c r="AD25" i="8" s="1"/>
  <c r="AG26" i="8"/>
  <c r="AH26" i="8" s="1"/>
  <c r="AD26" i="8" s="1"/>
  <c r="AG27" i="8"/>
  <c r="AH27" i="8" s="1"/>
  <c r="AD27" i="8" s="1"/>
  <c r="AG29" i="8"/>
  <c r="AH29" i="8" s="1"/>
  <c r="AD29" i="8" s="1"/>
  <c r="AG28" i="8"/>
  <c r="AH28" i="8" s="1"/>
  <c r="AD28" i="8" s="1"/>
  <c r="AA55" i="8"/>
  <c r="AA56" i="8"/>
  <c r="AA57" i="8"/>
  <c r="AG57" i="8"/>
  <c r="AH57" i="8" s="1"/>
  <c r="AD57" i="8" s="1"/>
  <c r="AG55" i="8"/>
  <c r="AH55" i="8" s="1"/>
  <c r="AD55" i="8" s="1"/>
  <c r="AG56" i="8"/>
  <c r="AH56" i="8" s="1"/>
  <c r="AD56" i="8" s="1"/>
  <c r="AC24" i="8"/>
  <c r="F463" i="11"/>
  <c r="H351" i="11"/>
  <c r="H294" i="11"/>
  <c r="F179" i="11"/>
  <c r="H178" i="11"/>
  <c r="H160" i="11"/>
  <c r="F159" i="11"/>
  <c r="F129" i="11"/>
  <c r="F230" i="11"/>
  <c r="F584" i="11"/>
  <c r="H571" i="11"/>
  <c r="H553" i="11"/>
  <c r="H521" i="11"/>
  <c r="F520" i="11"/>
  <c r="F514" i="11"/>
  <c r="F384" i="11"/>
  <c r="H363" i="11"/>
  <c r="F348" i="11"/>
  <c r="F344" i="11"/>
  <c r="F335" i="11"/>
  <c r="H332" i="11"/>
  <c r="H311" i="11"/>
  <c r="H277" i="11"/>
  <c r="H271" i="11"/>
  <c r="H270" i="11"/>
  <c r="H241" i="11"/>
  <c r="H231" i="11"/>
  <c r="H171" i="11"/>
  <c r="F155" i="11"/>
  <c r="H584" i="11"/>
  <c r="H578" i="11"/>
  <c r="F553" i="11"/>
  <c r="H523" i="11"/>
  <c r="H472" i="11"/>
  <c r="H403" i="11"/>
  <c r="H401" i="11"/>
  <c r="F368" i="11"/>
  <c r="H329" i="11"/>
  <c r="F316" i="11"/>
  <c r="F305" i="11"/>
  <c r="F278" i="11"/>
  <c r="F223" i="11"/>
  <c r="F165" i="11"/>
  <c r="H448" i="11"/>
  <c r="H598" i="11"/>
  <c r="F581" i="11"/>
  <c r="H576" i="11"/>
  <c r="H499" i="11"/>
  <c r="H265" i="11"/>
  <c r="H534" i="11"/>
  <c r="F502" i="11"/>
  <c r="P110" i="10"/>
  <c r="D111" i="11"/>
  <c r="J110" i="10"/>
  <c r="P95" i="10"/>
  <c r="D96" i="11"/>
  <c r="J95" i="10"/>
  <c r="J74" i="10"/>
  <c r="P74" i="10"/>
  <c r="Q74" i="10" s="1"/>
  <c r="J63" i="10"/>
  <c r="P63" i="10"/>
  <c r="Q63" i="10" s="1"/>
  <c r="D116" i="11"/>
  <c r="J115" i="10"/>
  <c r="P115" i="10"/>
  <c r="P111" i="10"/>
  <c r="Q111" i="10" s="1"/>
  <c r="J111" i="10"/>
  <c r="J48" i="10"/>
  <c r="P48" i="10"/>
  <c r="Q48" i="10" s="1"/>
  <c r="J38" i="10"/>
  <c r="D39" i="11"/>
  <c r="P38" i="10"/>
  <c r="J35" i="10"/>
  <c r="P35" i="10"/>
  <c r="J36" i="11" s="1"/>
  <c r="D36" i="11"/>
  <c r="J24" i="10"/>
  <c r="D25" i="11"/>
  <c r="P24" i="10"/>
  <c r="P94" i="10"/>
  <c r="Q94" i="10" s="1"/>
  <c r="J94" i="10"/>
  <c r="J93" i="10"/>
  <c r="P93" i="10"/>
  <c r="Q93" i="10" s="1"/>
  <c r="J92" i="10"/>
  <c r="P92" i="10"/>
  <c r="Q92" i="10" s="1"/>
  <c r="P80" i="10"/>
  <c r="Q80" i="10" s="1"/>
  <c r="J80" i="10"/>
  <c r="D60" i="11"/>
  <c r="J59" i="10"/>
  <c r="P59" i="10"/>
  <c r="J22" i="10"/>
  <c r="P22" i="10"/>
  <c r="J23" i="11" s="1"/>
  <c r="G106" i="12"/>
  <c r="H106" i="12"/>
  <c r="G110" i="12"/>
  <c r="L70" i="10"/>
  <c r="M70" i="10" s="1"/>
  <c r="N70" i="10" s="1"/>
  <c r="G112" i="12"/>
  <c r="J112" i="12"/>
  <c r="G113" i="12"/>
  <c r="J113" i="12"/>
  <c r="G114" i="12"/>
  <c r="J114" i="12"/>
  <c r="G115" i="12"/>
  <c r="J115" i="12"/>
  <c r="H115" i="12"/>
  <c r="G117" i="12"/>
  <c r="J117" i="12"/>
  <c r="J118" i="12"/>
  <c r="G118" i="12"/>
  <c r="G119" i="12"/>
  <c r="J119" i="12"/>
  <c r="H119" i="12"/>
  <c r="J120" i="12"/>
  <c r="G120" i="12"/>
  <c r="G121" i="12"/>
  <c r="H121" i="12"/>
  <c r="J121" i="12"/>
  <c r="G122" i="12"/>
  <c r="J122" i="12"/>
  <c r="H122" i="12"/>
  <c r="G123" i="12"/>
  <c r="H123" i="12"/>
  <c r="J123" i="12"/>
  <c r="H124" i="12"/>
  <c r="J124" i="12"/>
  <c r="G124" i="12"/>
  <c r="J125" i="12"/>
  <c r="G125" i="12"/>
  <c r="G126" i="12"/>
  <c r="H126" i="12"/>
  <c r="J126" i="12"/>
  <c r="J127" i="12"/>
  <c r="H127" i="12"/>
  <c r="G127" i="12"/>
  <c r="J128" i="12"/>
  <c r="G128" i="12"/>
  <c r="G94" i="12"/>
  <c r="H94" i="12"/>
  <c r="G95" i="12"/>
  <c r="J95" i="12"/>
  <c r="H96" i="12"/>
  <c r="G96" i="12"/>
  <c r="J96" i="12"/>
  <c r="G97" i="12"/>
  <c r="J97" i="12"/>
  <c r="G98" i="12"/>
  <c r="J98" i="12"/>
  <c r="H98" i="12"/>
  <c r="J99" i="12"/>
  <c r="G99" i="12"/>
  <c r="H100" i="12"/>
  <c r="J100" i="12"/>
  <c r="G100" i="12"/>
  <c r="G101" i="12"/>
  <c r="L29" i="10"/>
  <c r="M29" i="10" s="1"/>
  <c r="N29" i="10" s="1"/>
  <c r="Q29" i="10" s="1"/>
  <c r="J102" i="12"/>
  <c r="H102" i="12"/>
  <c r="G102" i="12"/>
  <c r="L30" i="10"/>
  <c r="M30" i="10" s="1"/>
  <c r="G103" i="12"/>
  <c r="H103" i="12"/>
  <c r="J103" i="12"/>
  <c r="L31" i="10"/>
  <c r="M31" i="10" s="1"/>
  <c r="N31" i="10" s="1"/>
  <c r="Q31" i="10" s="1"/>
  <c r="G104" i="12"/>
  <c r="L32" i="10"/>
  <c r="M32" i="10" s="1"/>
  <c r="N32" i="10" s="1"/>
  <c r="G105" i="12"/>
  <c r="H105" i="12"/>
  <c r="J105" i="12"/>
  <c r="L5" i="10"/>
  <c r="M5" i="10" s="1"/>
  <c r="Q5" i="9"/>
  <c r="J6" i="12" s="1"/>
  <c r="P5" i="9"/>
  <c r="H6" i="12" s="1"/>
  <c r="G6" i="12"/>
  <c r="L6" i="10"/>
  <c r="M6" i="10" s="1"/>
  <c r="G7" i="12"/>
  <c r="L7" i="10"/>
  <c r="M7" i="10" s="1"/>
  <c r="H8" i="12"/>
  <c r="J8" i="12"/>
  <c r="G8" i="12"/>
  <c r="L8" i="10"/>
  <c r="M8" i="10" s="1"/>
  <c r="G9" i="12"/>
  <c r="H9" i="12"/>
  <c r="L9" i="10"/>
  <c r="M9" i="10" s="1"/>
  <c r="G10" i="12"/>
  <c r="L10" i="10"/>
  <c r="M10" i="10" s="1"/>
  <c r="G11" i="12"/>
  <c r="L11" i="10"/>
  <c r="M11" i="10" s="1"/>
  <c r="G12" i="12"/>
  <c r="H12" i="12"/>
  <c r="L12" i="10"/>
  <c r="M12" i="10" s="1"/>
  <c r="H13" i="12"/>
  <c r="J13" i="12"/>
  <c r="G13" i="12"/>
  <c r="L67" i="10"/>
  <c r="M67" i="10" s="1"/>
  <c r="G14" i="12"/>
  <c r="H14" i="12"/>
  <c r="L68" i="10"/>
  <c r="M68" i="10" s="1"/>
  <c r="G15" i="12"/>
  <c r="L14" i="10"/>
  <c r="M14" i="10" s="1"/>
  <c r="G16" i="12"/>
  <c r="L52" i="10"/>
  <c r="M52" i="10" s="1"/>
  <c r="J18" i="12"/>
  <c r="H18" i="12"/>
  <c r="G18" i="12"/>
  <c r="J19" i="12"/>
  <c r="H19" i="12"/>
  <c r="H23" i="12"/>
  <c r="H25" i="12"/>
  <c r="G27" i="12"/>
  <c r="H27" i="12"/>
  <c r="J27" i="12"/>
  <c r="H29" i="12"/>
  <c r="H34" i="12"/>
  <c r="H35" i="12"/>
  <c r="H38" i="12"/>
  <c r="G39" i="12"/>
  <c r="H39" i="12"/>
  <c r="J39" i="12"/>
  <c r="H40" i="12"/>
  <c r="H41" i="12"/>
  <c r="G42" i="12"/>
  <c r="J42" i="12"/>
  <c r="G43" i="12"/>
  <c r="J43" i="12"/>
  <c r="G44" i="12"/>
  <c r="H47" i="12"/>
  <c r="H49" i="12"/>
  <c r="G53" i="12"/>
  <c r="J53" i="12"/>
  <c r="H56" i="12"/>
  <c r="H57" i="12"/>
  <c r="H58" i="12"/>
  <c r="G61" i="12"/>
  <c r="J61" i="12"/>
  <c r="J62" i="12"/>
  <c r="G62" i="12"/>
  <c r="G63" i="12"/>
  <c r="J63" i="12"/>
  <c r="H64" i="12"/>
  <c r="G64" i="12"/>
  <c r="J64" i="12"/>
  <c r="G65" i="12"/>
  <c r="J65" i="12"/>
  <c r="G66" i="12"/>
  <c r="J66" i="12"/>
  <c r="J67" i="12"/>
  <c r="H67" i="12"/>
  <c r="G67" i="12"/>
  <c r="G68" i="12"/>
  <c r="J68" i="12"/>
  <c r="H69" i="12"/>
  <c r="G69" i="12"/>
  <c r="J69" i="12"/>
  <c r="J71" i="12"/>
  <c r="G71" i="12"/>
  <c r="G75" i="12"/>
  <c r="J75" i="12"/>
  <c r="G78" i="12"/>
  <c r="H78" i="12"/>
  <c r="J78" i="12"/>
  <c r="G88" i="12"/>
  <c r="J88" i="12"/>
  <c r="G89" i="12"/>
  <c r="J89" i="12"/>
  <c r="G91" i="12"/>
  <c r="H91" i="12"/>
  <c r="J91" i="12"/>
  <c r="G92" i="12"/>
  <c r="H92" i="12"/>
  <c r="J92" i="12"/>
  <c r="P88" i="10"/>
  <c r="D89" i="11"/>
  <c r="J88" i="10"/>
  <c r="L73" i="10"/>
  <c r="M73" i="10" s="1"/>
  <c r="N73" i="10" s="1"/>
  <c r="L23" i="10"/>
  <c r="M23" i="10" s="1"/>
  <c r="N23" i="10" s="1"/>
  <c r="L28" i="10"/>
  <c r="M28" i="10" s="1"/>
  <c r="N28" i="10" s="1"/>
  <c r="I10" i="14"/>
  <c r="F259" i="11"/>
  <c r="H593" i="11"/>
  <c r="F586" i="11"/>
  <c r="H390" i="11"/>
  <c r="H232" i="11"/>
  <c r="F543" i="11"/>
  <c r="F416" i="11"/>
  <c r="P112" i="10"/>
  <c r="D113" i="11"/>
  <c r="J112" i="10"/>
  <c r="D61" i="11"/>
  <c r="J60" i="10"/>
  <c r="P60" i="10"/>
  <c r="J55" i="10"/>
  <c r="P55" i="10"/>
  <c r="Q55" i="10" s="1"/>
  <c r="P33" i="10"/>
  <c r="J33" i="10"/>
  <c r="D34" i="11"/>
  <c r="J13" i="10"/>
  <c r="P13" i="10"/>
  <c r="Q13" i="10" s="1"/>
  <c r="P117" i="10"/>
  <c r="J117" i="10"/>
  <c r="D118" i="11"/>
  <c r="P39" i="10"/>
  <c r="D40" i="11"/>
  <c r="J39" i="10"/>
  <c r="J21" i="10"/>
  <c r="P21" i="10"/>
  <c r="J22" i="11" s="1"/>
  <c r="P75" i="10"/>
  <c r="Q75" i="10" s="1"/>
  <c r="J75" i="10"/>
  <c r="J56" i="10"/>
  <c r="P56" i="10"/>
  <c r="Q56" i="10" s="1"/>
  <c r="G59" i="12"/>
  <c r="J59" i="12"/>
  <c r="G70" i="12"/>
  <c r="J70" i="12"/>
  <c r="G73" i="12"/>
  <c r="J73" i="12"/>
  <c r="G74" i="12"/>
  <c r="J74" i="12"/>
  <c r="J76" i="12"/>
  <c r="G76" i="12"/>
  <c r="G79" i="12"/>
  <c r="J79" i="12"/>
  <c r="G80" i="12"/>
  <c r="J80" i="12"/>
  <c r="G81" i="12"/>
  <c r="J81" i="12"/>
  <c r="G82" i="12"/>
  <c r="J82" i="12"/>
  <c r="J83" i="12"/>
  <c r="G83" i="12"/>
  <c r="J84" i="12"/>
  <c r="G84" i="12"/>
  <c r="J85" i="12"/>
  <c r="G85" i="12"/>
  <c r="G90" i="12"/>
  <c r="J90" i="12"/>
  <c r="L34" i="10"/>
  <c r="M34" i="10" s="1"/>
  <c r="N34" i="10" s="1"/>
  <c r="H70" i="12"/>
  <c r="J72" i="12"/>
  <c r="H72" i="12"/>
  <c r="H76" i="12"/>
  <c r="H77" i="12"/>
  <c r="J77" i="12"/>
  <c r="L24" i="10"/>
  <c r="M24" i="10" s="1"/>
  <c r="H84" i="12"/>
  <c r="H85" i="12"/>
  <c r="L25" i="10"/>
  <c r="M25" i="10" s="1"/>
  <c r="N25" i="10" s="1"/>
  <c r="H86" i="12"/>
  <c r="J86" i="12"/>
  <c r="L27" i="10"/>
  <c r="M27" i="10" s="1"/>
  <c r="N27" i="10" s="1"/>
  <c r="H90" i="12"/>
  <c r="J93" i="12"/>
  <c r="F338" i="11"/>
  <c r="H213" i="11"/>
  <c r="G22" i="14"/>
  <c r="F22" i="14"/>
  <c r="F339" i="11"/>
  <c r="F272" i="11"/>
  <c r="F255" i="11"/>
  <c r="H524" i="11"/>
  <c r="H338" i="11"/>
  <c r="H272" i="11"/>
  <c r="H255" i="11"/>
  <c r="F204" i="11"/>
  <c r="J100" i="10"/>
  <c r="P100" i="10"/>
  <c r="Q100" i="10" s="1"/>
  <c r="L51" i="10"/>
  <c r="M51" i="10" s="1"/>
  <c r="G19" i="12"/>
  <c r="L54" i="10"/>
  <c r="M54" i="10" s="1"/>
  <c r="G20" i="12"/>
  <c r="J20" i="12"/>
  <c r="L64" i="10"/>
  <c r="M64" i="10" s="1"/>
  <c r="G21" i="12"/>
  <c r="G22" i="12"/>
  <c r="L17" i="10"/>
  <c r="M17" i="10" s="1"/>
  <c r="G23" i="12"/>
  <c r="L65" i="10"/>
  <c r="M65" i="10" s="1"/>
  <c r="L19" i="10"/>
  <c r="M19" i="10" s="1"/>
  <c r="G24" i="12"/>
  <c r="J25" i="12"/>
  <c r="G25" i="12"/>
  <c r="L21" i="10"/>
  <c r="M21" i="10" s="1"/>
  <c r="G26" i="12"/>
  <c r="J28" i="12"/>
  <c r="G28" i="12"/>
  <c r="G29" i="12"/>
  <c r="J29" i="12"/>
  <c r="J30" i="12"/>
  <c r="G30" i="12"/>
  <c r="J31" i="12"/>
  <c r="G31" i="12"/>
  <c r="J32" i="12"/>
  <c r="G32" i="12"/>
  <c r="J33" i="12"/>
  <c r="G33" i="12"/>
  <c r="J34" i="12"/>
  <c r="G34" i="12"/>
  <c r="G35" i="12"/>
  <c r="J35" i="12"/>
  <c r="J36" i="12"/>
  <c r="G36" i="12"/>
  <c r="J37" i="12"/>
  <c r="G37" i="12"/>
  <c r="G38" i="12"/>
  <c r="J38" i="12"/>
  <c r="J40" i="12"/>
  <c r="G40" i="12"/>
  <c r="G41" i="12"/>
  <c r="J41" i="12"/>
  <c r="G46" i="12"/>
  <c r="J46" i="12"/>
  <c r="J47" i="12"/>
  <c r="G47" i="12"/>
  <c r="G48" i="12"/>
  <c r="J48" i="12"/>
  <c r="G49" i="12"/>
  <c r="J49" i="12"/>
  <c r="G50" i="12"/>
  <c r="J50" i="12"/>
  <c r="J51" i="12"/>
  <c r="G51" i="12"/>
  <c r="J54" i="12"/>
  <c r="G54" i="12"/>
  <c r="J56" i="12"/>
  <c r="G56" i="12"/>
  <c r="G57" i="12"/>
  <c r="J57" i="12"/>
  <c r="G58" i="12"/>
  <c r="J58" i="12"/>
  <c r="D20" i="14"/>
  <c r="H10" i="14"/>
  <c r="H20" i="14" s="1"/>
  <c r="E19" i="14"/>
  <c r="E24" i="14"/>
  <c r="I9" i="15" s="1"/>
  <c r="F19" i="14"/>
  <c r="F24" i="14"/>
  <c r="I8" i="15" s="1"/>
  <c r="D24" i="14"/>
  <c r="I7" i="15" s="1"/>
  <c r="H7" i="14"/>
  <c r="D19" i="14"/>
  <c r="H229" i="11"/>
  <c r="H175" i="11"/>
  <c r="H408" i="11"/>
  <c r="F521" i="11"/>
  <c r="H513" i="11"/>
  <c r="F213" i="11"/>
  <c r="F430" i="11"/>
  <c r="H589" i="11"/>
  <c r="F576" i="11"/>
  <c r="H511" i="11"/>
  <c r="AC25" i="8"/>
  <c r="AC28" i="8"/>
  <c r="AC27" i="8"/>
  <c r="AC29" i="8"/>
  <c r="AC26" i="8"/>
  <c r="H387" i="11"/>
  <c r="F363" i="11"/>
  <c r="F264" i="11"/>
  <c r="F599" i="11"/>
  <c r="F563" i="11"/>
  <c r="F253" i="11"/>
  <c r="F511" i="11"/>
  <c r="F311" i="11"/>
  <c r="H124" i="11"/>
  <c r="F410" i="11"/>
  <c r="F382" i="11"/>
  <c r="H204" i="11"/>
  <c r="F200" i="11"/>
  <c r="H159" i="11"/>
  <c r="F124" i="11"/>
  <c r="F487" i="11"/>
  <c r="H456" i="11"/>
  <c r="F596" i="11"/>
  <c r="J79" i="10"/>
  <c r="P79" i="10"/>
  <c r="Q79" i="10" s="1"/>
  <c r="J32" i="10"/>
  <c r="P32" i="10"/>
  <c r="J33" i="11" s="1"/>
  <c r="P25" i="10"/>
  <c r="J25" i="10"/>
  <c r="D26" i="11"/>
  <c r="J18" i="10"/>
  <c r="P18" i="10"/>
  <c r="Q18" i="10" s="1"/>
  <c r="P118" i="10"/>
  <c r="J118" i="10"/>
  <c r="D119" i="11"/>
  <c r="D117" i="11"/>
  <c r="J116" i="10"/>
  <c r="P116" i="10"/>
  <c r="J113" i="10"/>
  <c r="P113" i="10"/>
  <c r="Q113" i="10" s="1"/>
  <c r="P89" i="10"/>
  <c r="Q89" i="10" s="1"/>
  <c r="J89" i="10"/>
  <c r="J58" i="10"/>
  <c r="P58" i="10"/>
  <c r="Q58" i="10" s="1"/>
  <c r="P7" i="10"/>
  <c r="J8" i="11" s="1"/>
  <c r="J7" i="10"/>
  <c r="H161" i="11"/>
  <c r="H361" i="11"/>
  <c r="H352" i="11"/>
  <c r="H348" i="11"/>
  <c r="F380" i="11"/>
  <c r="F535" i="11"/>
  <c r="H463" i="11"/>
  <c r="H532" i="11"/>
  <c r="H491" i="11"/>
  <c r="F459" i="11"/>
  <c r="H380" i="11"/>
  <c r="F342" i="11"/>
  <c r="F413" i="11"/>
  <c r="P114" i="10"/>
  <c r="J114" i="10"/>
  <c r="D115" i="11"/>
  <c r="P87" i="10"/>
  <c r="Q87" i="10" s="1"/>
  <c r="J87" i="10"/>
  <c r="P62" i="10"/>
  <c r="J62" i="10"/>
  <c r="D63" i="11"/>
  <c r="J45" i="12"/>
  <c r="G45" i="12"/>
  <c r="AC64" i="8"/>
  <c r="AC43" i="8"/>
  <c r="AC46" i="8"/>
  <c r="AC44" i="8"/>
  <c r="AC45" i="8"/>
  <c r="H473" i="11"/>
  <c r="F439" i="11"/>
  <c r="H421" i="11"/>
  <c r="F429" i="11"/>
  <c r="F461" i="11"/>
  <c r="H461" i="11"/>
  <c r="F185" i="11"/>
  <c r="H185" i="11"/>
  <c r="H572" i="11"/>
  <c r="F571" i="11"/>
  <c r="H135" i="11"/>
  <c r="H585" i="11"/>
  <c r="H545" i="11"/>
  <c r="F495" i="11"/>
  <c r="H495" i="11"/>
  <c r="H492" i="11"/>
  <c r="F492" i="11"/>
  <c r="H490" i="11"/>
  <c r="F490" i="11"/>
  <c r="F489" i="11"/>
  <c r="H489" i="11"/>
  <c r="F486" i="11"/>
  <c r="H486" i="11"/>
  <c r="F470" i="11"/>
  <c r="H470" i="11"/>
  <c r="H469" i="11"/>
  <c r="F469" i="11"/>
  <c r="F462" i="11"/>
  <c r="H462" i="11"/>
  <c r="F460" i="11"/>
  <c r="H460" i="11"/>
  <c r="H455" i="11"/>
  <c r="F455" i="11"/>
  <c r="H453" i="11"/>
  <c r="F453" i="11"/>
  <c r="F424" i="11"/>
  <c r="H424" i="11"/>
  <c r="H319" i="11"/>
  <c r="F319" i="11"/>
  <c r="F261" i="11"/>
  <c r="H261" i="11"/>
  <c r="F249" i="11"/>
  <c r="H249" i="11"/>
  <c r="F247" i="11"/>
  <c r="H247" i="11"/>
  <c r="F238" i="11"/>
  <c r="H238" i="11"/>
  <c r="H214" i="11"/>
  <c r="F214" i="11"/>
  <c r="F473" i="11"/>
  <c r="H454" i="11"/>
  <c r="H440" i="11"/>
  <c r="H384" i="11"/>
  <c r="F329" i="11"/>
  <c r="F300" i="11"/>
  <c r="F293" i="11"/>
  <c r="H285" i="11"/>
  <c r="F202" i="11"/>
  <c r="H165" i="11"/>
  <c r="H154" i="11"/>
  <c r="H479" i="11"/>
  <c r="F370" i="11"/>
  <c r="H368" i="11"/>
  <c r="H359" i="11"/>
  <c r="F351" i="11"/>
  <c r="H347" i="11"/>
  <c r="F340" i="11"/>
  <c r="F336" i="11"/>
  <c r="F306" i="11"/>
  <c r="F298" i="11"/>
  <c r="F295" i="11"/>
  <c r="H153" i="11"/>
  <c r="H132" i="11"/>
  <c r="H487" i="11"/>
  <c r="F279" i="11"/>
  <c r="H279" i="11"/>
  <c r="H252" i="11"/>
  <c r="F252" i="11"/>
  <c r="H494" i="11"/>
  <c r="F494" i="11"/>
  <c r="H485" i="11"/>
  <c r="F485" i="11"/>
  <c r="H476" i="11"/>
  <c r="H459" i="11"/>
  <c r="F457" i="11"/>
  <c r="F456" i="11"/>
  <c r="H349" i="11"/>
  <c r="F362" i="11"/>
  <c r="H220" i="11"/>
  <c r="F171" i="11"/>
  <c r="F154" i="11"/>
  <c r="H140" i="11"/>
  <c r="H129" i="11"/>
  <c r="J119" i="10"/>
  <c r="P119" i="10"/>
  <c r="Q119" i="10" s="1"/>
  <c r="H211" i="11"/>
  <c r="F242" i="11"/>
  <c r="F426" i="11"/>
  <c r="H242" i="11"/>
  <c r="F597" i="11"/>
  <c r="H535" i="11"/>
  <c r="F533" i="11"/>
  <c r="F525" i="11"/>
  <c r="F567" i="11"/>
  <c r="F507" i="11"/>
  <c r="H500" i="11"/>
  <c r="F144" i="11"/>
  <c r="H556" i="11"/>
  <c r="H505" i="11"/>
  <c r="H548" i="11"/>
  <c r="H528" i="11"/>
  <c r="H527" i="11"/>
  <c r="F593" i="11"/>
  <c r="H582" i="11"/>
  <c r="H568" i="11"/>
  <c r="H541" i="11"/>
  <c r="H517" i="11"/>
  <c r="F509" i="11"/>
  <c r="F588" i="11"/>
  <c r="H588" i="11"/>
  <c r="F566" i="11"/>
  <c r="H566" i="11"/>
  <c r="F561" i="11"/>
  <c r="H561" i="11"/>
  <c r="H533" i="11"/>
  <c r="F517" i="11"/>
  <c r="F557" i="11"/>
  <c r="D86" i="11"/>
  <c r="P85" i="10"/>
  <c r="J85" i="10"/>
  <c r="J30" i="11"/>
  <c r="H594" i="11"/>
  <c r="H430" i="11"/>
  <c r="F183" i="11"/>
  <c r="H600" i="11"/>
  <c r="H483" i="11"/>
  <c r="F600" i="11"/>
  <c r="F175" i="11"/>
  <c r="F330" i="11"/>
  <c r="F176" i="11"/>
  <c r="F194" i="11"/>
  <c r="H441" i="11"/>
  <c r="F441" i="11"/>
  <c r="H246" i="11"/>
  <c r="H212" i="11"/>
  <c r="F162" i="11"/>
  <c r="F150" i="11"/>
  <c r="H148" i="11"/>
  <c r="H138" i="11"/>
  <c r="F442" i="11"/>
  <c r="F58" i="11"/>
  <c r="F451" i="11"/>
  <c r="F446" i="11"/>
  <c r="H484" i="11"/>
  <c r="H477" i="11"/>
  <c r="P17" i="10"/>
  <c r="J17" i="10"/>
  <c r="H393" i="11"/>
  <c r="F377" i="11"/>
  <c r="H374" i="11"/>
  <c r="H360" i="11"/>
  <c r="H353" i="11"/>
  <c r="C16" i="15"/>
  <c r="H157" i="11"/>
  <c r="F132" i="11"/>
  <c r="F592" i="11"/>
  <c r="F478" i="11"/>
  <c r="I119" i="13"/>
  <c r="H119" i="13"/>
  <c r="I154" i="13"/>
  <c r="H154" i="13"/>
  <c r="AA76" i="8"/>
  <c r="AA75" i="8"/>
  <c r="AG76" i="8"/>
  <c r="AH76" i="8" s="1"/>
  <c r="AD76" i="8" s="1"/>
  <c r="AG75" i="8"/>
  <c r="AH75" i="8" s="1"/>
  <c r="AD75" i="8" s="1"/>
  <c r="AA12" i="8"/>
  <c r="AA13" i="8"/>
  <c r="AG13" i="8"/>
  <c r="AH13" i="8" s="1"/>
  <c r="AD13" i="8" s="1"/>
  <c r="AG12" i="8"/>
  <c r="AH12" i="8" s="1"/>
  <c r="AD12" i="8" s="1"/>
  <c r="AA42" i="8"/>
  <c r="AG42" i="8"/>
  <c r="AH42" i="8" s="1"/>
  <c r="AD42" i="8" s="1"/>
  <c r="AA63" i="8"/>
  <c r="AA61" i="8"/>
  <c r="AA62" i="8"/>
  <c r="AG63" i="8"/>
  <c r="AH63" i="8" s="1"/>
  <c r="AD63" i="8" s="1"/>
  <c r="AG62" i="8"/>
  <c r="AH62" i="8" s="1"/>
  <c r="AD62" i="8" s="1"/>
  <c r="AG61" i="8"/>
  <c r="AH61" i="8" s="1"/>
  <c r="AD61" i="8" s="1"/>
  <c r="AA11" i="8"/>
  <c r="AA9" i="8"/>
  <c r="AA8" i="8"/>
  <c r="AA10" i="8"/>
  <c r="AG10" i="8"/>
  <c r="AH10" i="8" s="1"/>
  <c r="AD10" i="8" s="1"/>
  <c r="AG11" i="8"/>
  <c r="AH11" i="8" s="1"/>
  <c r="AD11" i="8" s="1"/>
  <c r="AG8" i="8"/>
  <c r="AH8" i="8" s="1"/>
  <c r="AD8" i="8" s="1"/>
  <c r="AG9" i="8"/>
  <c r="AH9" i="8" s="1"/>
  <c r="AD9" i="8" s="1"/>
  <c r="AG72" i="8"/>
  <c r="AH72" i="8" s="1"/>
  <c r="AD72" i="8" s="1"/>
  <c r="AG71" i="8"/>
  <c r="AH71" i="8" s="1"/>
  <c r="AD71" i="8" s="1"/>
  <c r="AG70" i="8"/>
  <c r="AH70" i="8" s="1"/>
  <c r="AD70" i="8" s="1"/>
  <c r="AA72" i="8"/>
  <c r="AA70" i="8"/>
  <c r="AA71" i="8"/>
  <c r="AG69" i="8"/>
  <c r="AH69" i="8" s="1"/>
  <c r="AD69" i="8" s="1"/>
  <c r="AG68" i="8"/>
  <c r="AH68" i="8" s="1"/>
  <c r="AD68" i="8" s="1"/>
  <c r="AA68" i="8"/>
  <c r="AA69" i="8"/>
  <c r="AA19" i="8"/>
  <c r="AA17" i="8"/>
  <c r="AA18" i="8"/>
  <c r="AA20" i="8"/>
  <c r="AG20" i="8"/>
  <c r="AH20" i="8" s="1"/>
  <c r="AD20" i="8" s="1"/>
  <c r="AG18" i="8"/>
  <c r="AH18" i="8" s="1"/>
  <c r="AD18" i="8" s="1"/>
  <c r="AG17" i="8"/>
  <c r="AH17" i="8" s="1"/>
  <c r="AD17" i="8" s="1"/>
  <c r="AG19" i="8"/>
  <c r="AH19" i="8" s="1"/>
  <c r="AD19" i="8" s="1"/>
  <c r="AA31" i="8"/>
  <c r="AA32" i="8"/>
  <c r="AA30" i="8"/>
  <c r="AG31" i="8"/>
  <c r="AH31" i="8" s="1"/>
  <c r="AD31" i="8" s="1"/>
  <c r="AG30" i="8"/>
  <c r="AH30" i="8" s="1"/>
  <c r="AD30" i="8" s="1"/>
  <c r="AG32" i="8"/>
  <c r="AH32" i="8" s="1"/>
  <c r="AD32" i="8" s="1"/>
  <c r="AA54" i="8"/>
  <c r="AA51" i="8"/>
  <c r="AA53" i="8"/>
  <c r="AA52" i="8"/>
  <c r="AG54" i="8"/>
  <c r="AH54" i="8" s="1"/>
  <c r="AD54" i="8" s="1"/>
  <c r="AG53" i="8"/>
  <c r="AH53" i="8" s="1"/>
  <c r="AD53" i="8" s="1"/>
  <c r="AG52" i="8"/>
  <c r="AH52" i="8" s="1"/>
  <c r="AD52" i="8" s="1"/>
  <c r="AG51" i="8"/>
  <c r="AH51" i="8" s="1"/>
  <c r="AD51" i="8" s="1"/>
  <c r="AA64" i="8"/>
  <c r="AG64" i="8"/>
  <c r="AH64" i="8" s="1"/>
  <c r="AD64" i="8" s="1"/>
  <c r="AG73" i="8"/>
  <c r="AH73" i="8" s="1"/>
  <c r="AD73" i="8" s="1"/>
  <c r="AA73" i="8"/>
  <c r="AA34" i="8"/>
  <c r="AA35" i="8"/>
  <c r="AA33" i="8"/>
  <c r="AG35" i="8"/>
  <c r="AH35" i="8" s="1"/>
  <c r="AD35" i="8" s="1"/>
  <c r="AG34" i="8"/>
  <c r="AH34" i="8" s="1"/>
  <c r="AD34" i="8" s="1"/>
  <c r="AG33" i="8"/>
  <c r="AH33" i="8" s="1"/>
  <c r="AD33" i="8" s="1"/>
  <c r="AG37" i="8"/>
  <c r="AH37" i="8" s="1"/>
  <c r="AD37" i="8" s="1"/>
  <c r="AG36" i="8"/>
  <c r="AH36" i="8" s="1"/>
  <c r="AD36" i="8" s="1"/>
  <c r="AG39" i="8"/>
  <c r="AH39" i="8" s="1"/>
  <c r="AD39" i="8" s="1"/>
  <c r="AG38" i="8"/>
  <c r="AH38" i="8" s="1"/>
  <c r="AD38" i="8" s="1"/>
  <c r="AA39" i="8"/>
  <c r="AA38" i="8"/>
  <c r="AA36" i="8"/>
  <c r="AA37" i="8"/>
  <c r="AA77" i="8"/>
  <c r="AG77" i="8"/>
  <c r="AH77" i="8" s="1"/>
  <c r="AD77" i="8" s="1"/>
  <c r="H400" i="11"/>
  <c r="H399" i="11"/>
  <c r="H398" i="11"/>
  <c r="H395" i="11"/>
  <c r="H392" i="11"/>
  <c r="H391" i="11"/>
  <c r="F390" i="11"/>
  <c r="F387" i="11"/>
  <c r="F383" i="11"/>
  <c r="H381" i="11"/>
  <c r="F379" i="11"/>
  <c r="H376" i="11"/>
  <c r="H366" i="11"/>
  <c r="H365" i="11"/>
  <c r="F360" i="11"/>
  <c r="F357" i="11"/>
  <c r="H355" i="11"/>
  <c r="H350" i="11"/>
  <c r="H377" i="11"/>
  <c r="F372" i="11"/>
  <c r="F365" i="11"/>
  <c r="H364" i="11"/>
  <c r="F359" i="11"/>
  <c r="F358" i="11"/>
  <c r="F356" i="11"/>
  <c r="F352" i="11"/>
  <c r="F350" i="11"/>
  <c r="F349" i="11"/>
  <c r="F347" i="11"/>
  <c r="H345" i="11"/>
  <c r="F345" i="11"/>
  <c r="H340" i="11"/>
  <c r="H337" i="11"/>
  <c r="F337" i="11"/>
  <c r="H335" i="11"/>
  <c r="F332" i="11"/>
  <c r="H331" i="11"/>
  <c r="F331" i="11"/>
  <c r="F327" i="11"/>
  <c r="H327" i="11"/>
  <c r="F325" i="11"/>
  <c r="F324" i="11"/>
  <c r="H321" i="11"/>
  <c r="H320" i="11"/>
  <c r="F320" i="11"/>
  <c r="F317" i="11"/>
  <c r="H314" i="11"/>
  <c r="H313" i="11"/>
  <c r="F312" i="11"/>
  <c r="H312" i="11"/>
  <c r="F310" i="11"/>
  <c r="H309" i="11"/>
  <c r="H308" i="11"/>
  <c r="H304" i="11"/>
  <c r="F303" i="11"/>
  <c r="F302" i="11"/>
  <c r="H302" i="11"/>
  <c r="H301" i="11"/>
  <c r="F299" i="11"/>
  <c r="H298" i="11"/>
  <c r="H297" i="11"/>
  <c r="F288" i="11"/>
  <c r="H288" i="11"/>
  <c r="F287" i="11"/>
  <c r="H286" i="11"/>
  <c r="H282" i="11"/>
  <c r="F282" i="11"/>
  <c r="F281" i="11"/>
  <c r="H278" i="11"/>
  <c r="H273" i="11"/>
  <c r="F273" i="11"/>
  <c r="F271" i="11"/>
  <c r="F270" i="11"/>
  <c r="F269" i="11"/>
  <c r="F268" i="11"/>
  <c r="H268" i="11"/>
  <c r="F267" i="11"/>
  <c r="H267" i="11"/>
  <c r="F263" i="11"/>
  <c r="F257" i="11"/>
  <c r="H253" i="11"/>
  <c r="F251" i="11"/>
  <c r="F241" i="11"/>
  <c r="F235" i="11"/>
  <c r="H235" i="11"/>
  <c r="F232" i="11"/>
  <c r="F231" i="11"/>
  <c r="F229" i="11"/>
  <c r="F228" i="11"/>
  <c r="H228" i="11"/>
  <c r="F226" i="11"/>
  <c r="H226" i="11"/>
  <c r="F139" i="11"/>
  <c r="F138" i="11"/>
  <c r="H136" i="11"/>
  <c r="F135" i="11"/>
  <c r="H134" i="11"/>
  <c r="H225" i="11"/>
  <c r="F221" i="11"/>
  <c r="F220" i="11"/>
  <c r="F218" i="11"/>
  <c r="H218" i="11"/>
  <c r="F216" i="11"/>
  <c r="H216" i="11"/>
  <c r="F210" i="11"/>
  <c r="H210" i="11"/>
  <c r="F205" i="11"/>
  <c r="H205" i="11"/>
  <c r="F191" i="11"/>
  <c r="F189" i="11"/>
  <c r="F187" i="11"/>
  <c r="F186" i="11"/>
  <c r="F180" i="11"/>
  <c r="H180" i="11"/>
  <c r="H179" i="11"/>
  <c r="F178" i="11"/>
  <c r="H177" i="11"/>
  <c r="H176" i="11"/>
  <c r="F174" i="11"/>
  <c r="H174" i="11"/>
  <c r="F173" i="11"/>
  <c r="H173" i="11"/>
  <c r="F172" i="11"/>
  <c r="H170" i="11"/>
  <c r="F169" i="11"/>
  <c r="H169" i="11"/>
  <c r="F168" i="11"/>
  <c r="F167" i="11"/>
  <c r="H167" i="11"/>
  <c r="F164" i="11"/>
  <c r="F163" i="11"/>
  <c r="H163" i="11"/>
  <c r="H162" i="11"/>
  <c r="F160" i="11"/>
  <c r="F158" i="11"/>
  <c r="H156" i="11"/>
  <c r="H155" i="11"/>
  <c r="F153" i="11"/>
  <c r="F152" i="11"/>
  <c r="H152" i="11"/>
  <c r="H151" i="11"/>
  <c r="H150" i="11"/>
  <c r="F147" i="11"/>
  <c r="H147" i="11"/>
  <c r="H146" i="11"/>
  <c r="H145" i="11"/>
  <c r="F143" i="11"/>
  <c r="H143" i="11"/>
  <c r="F141" i="11"/>
  <c r="H141" i="11"/>
  <c r="H139" i="11"/>
  <c r="F127" i="11"/>
  <c r="F123" i="11"/>
  <c r="H58" i="11"/>
  <c r="F355" i="11"/>
  <c r="F534" i="11"/>
  <c r="F493" i="11"/>
  <c r="H493" i="11"/>
  <c r="H482" i="11"/>
  <c r="H480" i="11"/>
  <c r="F479" i="11"/>
  <c r="H478" i="11"/>
  <c r="H475" i="11"/>
  <c r="F472" i="11"/>
  <c r="F471" i="11"/>
  <c r="F467" i="11"/>
  <c r="H467" i="11"/>
  <c r="F466" i="11"/>
  <c r="H466" i="11"/>
  <c r="F465" i="11"/>
  <c r="H465" i="11"/>
  <c r="F458" i="11"/>
  <c r="F454" i="11"/>
  <c r="H451" i="11"/>
  <c r="F450" i="11"/>
  <c r="H450" i="11"/>
  <c r="F449" i="11"/>
  <c r="H446" i="11"/>
  <c r="H439" i="11"/>
  <c r="H431" i="11"/>
  <c r="F431" i="11"/>
  <c r="F428" i="11"/>
  <c r="F427" i="11"/>
  <c r="H425" i="11"/>
  <c r="F425" i="11"/>
  <c r="F417" i="11"/>
  <c r="H417" i="11"/>
  <c r="H415" i="11"/>
  <c r="F405" i="11"/>
  <c r="H402" i="11"/>
  <c r="F401" i="11"/>
  <c r="F400" i="11"/>
  <c r="F399" i="11"/>
  <c r="F398" i="11"/>
  <c r="H397" i="11"/>
  <c r="F395" i="11"/>
  <c r="H394" i="11"/>
  <c r="F393" i="11"/>
  <c r="F392" i="11"/>
  <c r="F391" i="11"/>
  <c r="F385" i="11"/>
  <c r="H383" i="11"/>
  <c r="F376" i="11"/>
  <c r="F375" i="11"/>
  <c r="F361" i="11"/>
  <c r="F354" i="11"/>
  <c r="P120" i="10"/>
  <c r="D121" i="11"/>
  <c r="J120" i="10"/>
  <c r="P86" i="10"/>
  <c r="D87" i="11"/>
  <c r="C7" i="15"/>
  <c r="F13" i="15"/>
  <c r="J86" i="10"/>
  <c r="C6" i="15"/>
  <c r="Q84" i="10"/>
  <c r="J85" i="11"/>
  <c r="H155" i="13"/>
  <c r="I155" i="13"/>
  <c r="H243" i="13"/>
  <c r="I243" i="13"/>
  <c r="H8" i="13"/>
  <c r="I8" i="13"/>
  <c r="I32" i="13"/>
  <c r="H32" i="13"/>
  <c r="I44" i="13"/>
  <c r="H44" i="13"/>
  <c r="H164" i="13"/>
  <c r="I164" i="13"/>
  <c r="H163" i="13"/>
  <c r="I163" i="13"/>
  <c r="H61" i="13"/>
  <c r="I61" i="13"/>
  <c r="H200" i="13"/>
  <c r="I200" i="13"/>
  <c r="F550" i="11"/>
  <c r="F468" i="11"/>
  <c r="H445" i="11"/>
  <c r="H442" i="11"/>
  <c r="F434" i="11"/>
  <c r="F414" i="11"/>
  <c r="F403" i="11"/>
  <c r="F381" i="11"/>
  <c r="H378" i="11"/>
  <c r="F371" i="11"/>
  <c r="H356" i="11"/>
  <c r="H341" i="11"/>
  <c r="F315" i="11"/>
  <c r="F291" i="11"/>
  <c r="F285" i="11"/>
  <c r="H269" i="11"/>
  <c r="H257" i="11"/>
  <c r="H245" i="11"/>
  <c r="H199" i="11"/>
  <c r="F181" i="11"/>
  <c r="F484" i="11"/>
  <c r="H468" i="11"/>
  <c r="H464" i="11"/>
  <c r="H449" i="11"/>
  <c r="F445" i="11"/>
  <c r="F440" i="11"/>
  <c r="H429" i="11"/>
  <c r="F394" i="11"/>
  <c r="H385" i="11"/>
  <c r="H343" i="11"/>
  <c r="H330" i="11"/>
  <c r="H295" i="11"/>
  <c r="H289" i="11"/>
  <c r="H281" i="11"/>
  <c r="F203" i="11"/>
  <c r="H200" i="11"/>
  <c r="H149" i="11"/>
  <c r="F142" i="11"/>
  <c r="F137" i="11"/>
  <c r="H122" i="11"/>
  <c r="F184" i="11"/>
  <c r="H190" i="11"/>
  <c r="F483" i="11"/>
  <c r="H481" i="11"/>
  <c r="F475" i="11"/>
  <c r="H458" i="11"/>
  <c r="F436" i="11"/>
  <c r="F404" i="11"/>
  <c r="F364" i="11"/>
  <c r="H342" i="11"/>
  <c r="H336" i="11"/>
  <c r="H310" i="11"/>
  <c r="H223" i="11"/>
  <c r="H221" i="11"/>
  <c r="F212" i="11"/>
  <c r="H189" i="11"/>
  <c r="F170" i="11"/>
  <c r="F146" i="11"/>
  <c r="F136" i="11"/>
  <c r="I209" i="13"/>
  <c r="H209" i="13"/>
  <c r="I214" i="13"/>
  <c r="H214" i="13"/>
  <c r="I216" i="13"/>
  <c r="H216" i="13"/>
  <c r="I217" i="13"/>
  <c r="H217" i="13"/>
  <c r="I220" i="13"/>
  <c r="H220" i="13"/>
  <c r="I222" i="13"/>
  <c r="H222" i="13"/>
  <c r="I225" i="13"/>
  <c r="H225" i="13"/>
  <c r="I229" i="13"/>
  <c r="H229" i="13"/>
  <c r="I235" i="13"/>
  <c r="H235" i="13"/>
  <c r="I237" i="13"/>
  <c r="H237" i="13"/>
  <c r="I239" i="13"/>
  <c r="H239" i="13"/>
  <c r="I242" i="13"/>
  <c r="H242" i="13"/>
  <c r="I244" i="13"/>
  <c r="H244" i="13"/>
  <c r="I245" i="13"/>
  <c r="H245" i="13"/>
  <c r="I246" i="13"/>
  <c r="H246" i="13"/>
  <c r="I247" i="13"/>
  <c r="H247" i="13"/>
  <c r="I157" i="13"/>
  <c r="H157" i="13"/>
  <c r="I158" i="13"/>
  <c r="H158" i="13"/>
  <c r="I160" i="13"/>
  <c r="H160" i="13"/>
  <c r="I161" i="13"/>
  <c r="H161" i="13"/>
  <c r="I162" i="13"/>
  <c r="H162" i="13"/>
  <c r="I165" i="13"/>
  <c r="H165" i="13"/>
  <c r="I167" i="13"/>
  <c r="H167" i="13"/>
  <c r="I169" i="13"/>
  <c r="H169" i="13"/>
  <c r="I171" i="13"/>
  <c r="H171" i="13"/>
  <c r="I174" i="13"/>
  <c r="H174" i="13"/>
  <c r="I178" i="13"/>
  <c r="H178" i="13"/>
  <c r="I179" i="13"/>
  <c r="H179" i="13"/>
  <c r="I180" i="13"/>
  <c r="H180" i="13"/>
  <c r="I184" i="13"/>
  <c r="H184" i="13"/>
  <c r="I186" i="13"/>
  <c r="H186" i="13"/>
  <c r="I188" i="13"/>
  <c r="H188" i="13"/>
  <c r="I191" i="13"/>
  <c r="H191" i="13"/>
  <c r="I192" i="13"/>
  <c r="H192" i="13"/>
  <c r="I193" i="13"/>
  <c r="H193" i="13"/>
  <c r="I195" i="13"/>
  <c r="H195" i="13"/>
  <c r="H197" i="13"/>
  <c r="I197" i="13"/>
  <c r="I6" i="13"/>
  <c r="H6" i="13"/>
  <c r="I7" i="13"/>
  <c r="H7" i="13"/>
  <c r="I11" i="13"/>
  <c r="H11" i="13"/>
  <c r="I12" i="13"/>
  <c r="H12" i="13"/>
  <c r="I14" i="13"/>
  <c r="H14" i="13"/>
  <c r="I17" i="13"/>
  <c r="H17" i="13"/>
  <c r="I18" i="13"/>
  <c r="H18" i="13"/>
  <c r="I20" i="13"/>
  <c r="H20" i="13"/>
  <c r="I22" i="13"/>
  <c r="H22" i="13"/>
  <c r="I24" i="13"/>
  <c r="H24" i="13"/>
  <c r="I27" i="13"/>
  <c r="H27" i="13"/>
  <c r="I28" i="13"/>
  <c r="H28" i="13"/>
  <c r="I31" i="13"/>
  <c r="H31" i="13"/>
  <c r="I35" i="13"/>
  <c r="H35" i="13"/>
  <c r="I36" i="13"/>
  <c r="H36" i="13"/>
  <c r="I38" i="13"/>
  <c r="H38" i="13"/>
  <c r="I39" i="13"/>
  <c r="H39" i="13"/>
  <c r="I41" i="13"/>
  <c r="H41" i="13"/>
  <c r="I47" i="13"/>
  <c r="H47" i="13"/>
  <c r="I48" i="13"/>
  <c r="H48" i="13"/>
  <c r="I49" i="13"/>
  <c r="H49" i="13"/>
  <c r="I54" i="13"/>
  <c r="H54" i="13"/>
  <c r="I55" i="13"/>
  <c r="H55" i="13"/>
  <c r="I57" i="13"/>
  <c r="H57" i="13"/>
  <c r="I59" i="13"/>
  <c r="H59" i="13"/>
  <c r="I62" i="13"/>
  <c r="H62" i="13"/>
  <c r="I64" i="13"/>
  <c r="H64" i="13"/>
  <c r="I65" i="13"/>
  <c r="H65" i="13"/>
  <c r="I66" i="13"/>
  <c r="H66" i="13"/>
  <c r="I68" i="13"/>
  <c r="H68" i="13"/>
  <c r="I69" i="13"/>
  <c r="H69" i="13"/>
  <c r="I72" i="13"/>
  <c r="H72" i="13"/>
  <c r="I73" i="13"/>
  <c r="H73" i="13"/>
  <c r="I74" i="13"/>
  <c r="H74" i="13"/>
  <c r="I76" i="13"/>
  <c r="H76" i="13"/>
  <c r="I78" i="13"/>
  <c r="H78" i="13"/>
  <c r="I79" i="13"/>
  <c r="H79" i="13"/>
  <c r="I81" i="13"/>
  <c r="H81" i="13"/>
  <c r="I83" i="13"/>
  <c r="H83" i="13"/>
  <c r="I85" i="13"/>
  <c r="H85" i="13"/>
  <c r="I87" i="13"/>
  <c r="H87" i="13"/>
  <c r="I88" i="13"/>
  <c r="H88" i="13"/>
  <c r="I92" i="13"/>
  <c r="H92" i="13"/>
  <c r="I93" i="13"/>
  <c r="H93" i="13"/>
  <c r="I95" i="13"/>
  <c r="H95" i="13"/>
  <c r="I97" i="13"/>
  <c r="H97" i="13"/>
  <c r="I101" i="13"/>
  <c r="H101" i="13"/>
  <c r="I103" i="13"/>
  <c r="H103" i="13"/>
  <c r="I104" i="13"/>
  <c r="H104" i="13"/>
  <c r="I106" i="13"/>
  <c r="H106" i="13"/>
  <c r="I108" i="13"/>
  <c r="H108" i="13"/>
  <c r="I110" i="13"/>
  <c r="H110" i="13"/>
  <c r="I114" i="13"/>
  <c r="H114" i="13"/>
  <c r="I115" i="13"/>
  <c r="H115" i="13"/>
  <c r="I122" i="13"/>
  <c r="H122" i="13"/>
  <c r="I123" i="13"/>
  <c r="H123" i="13"/>
  <c r="I124" i="13"/>
  <c r="H124" i="13"/>
  <c r="I126" i="13"/>
  <c r="H126" i="13"/>
  <c r="I128" i="13"/>
  <c r="H128" i="13"/>
  <c r="I130" i="13"/>
  <c r="H130" i="13"/>
  <c r="I137" i="13"/>
  <c r="H137" i="13"/>
  <c r="I138" i="13"/>
  <c r="H138" i="13"/>
  <c r="I140" i="13"/>
  <c r="H140" i="13"/>
  <c r="I141" i="13"/>
  <c r="H141" i="13"/>
  <c r="I142" i="13"/>
  <c r="H142" i="13"/>
  <c r="I145" i="13"/>
  <c r="H145" i="13"/>
  <c r="I147" i="13"/>
  <c r="H147" i="13"/>
  <c r="I148" i="13"/>
  <c r="H148" i="13"/>
  <c r="I149" i="13"/>
  <c r="H149" i="13"/>
  <c r="I151" i="13"/>
  <c r="H151" i="13"/>
  <c r="I153" i="13"/>
  <c r="H153" i="13"/>
  <c r="I205" i="13"/>
  <c r="H205" i="13"/>
  <c r="I207" i="13"/>
  <c r="H207" i="13"/>
  <c r="I210" i="13"/>
  <c r="H210" i="13"/>
  <c r="I211" i="13"/>
  <c r="H211" i="13"/>
  <c r="I212" i="13"/>
  <c r="H212" i="13"/>
  <c r="I213" i="13"/>
  <c r="H213" i="13"/>
  <c r="I215" i="13"/>
  <c r="H215" i="13"/>
  <c r="I218" i="13"/>
  <c r="H218" i="13"/>
  <c r="I219" i="13"/>
  <c r="H219" i="13"/>
  <c r="I221" i="13"/>
  <c r="H221" i="13"/>
  <c r="I223" i="13"/>
  <c r="H223" i="13"/>
  <c r="I224" i="13"/>
  <c r="H224" i="13"/>
  <c r="I226" i="13"/>
  <c r="H226" i="13"/>
  <c r="I227" i="13"/>
  <c r="H227" i="13"/>
  <c r="I228" i="13"/>
  <c r="H228" i="13"/>
  <c r="I230" i="13"/>
  <c r="H230" i="13"/>
  <c r="I231" i="13"/>
  <c r="H231" i="13"/>
  <c r="I232" i="13"/>
  <c r="H232" i="13"/>
  <c r="I233" i="13"/>
  <c r="H233" i="13"/>
  <c r="I234" i="13"/>
  <c r="H234" i="13"/>
  <c r="I236" i="13"/>
  <c r="H236" i="13"/>
  <c r="I238" i="13"/>
  <c r="H238" i="13"/>
  <c r="I240" i="13"/>
  <c r="H240" i="13"/>
  <c r="I241" i="13"/>
  <c r="H241" i="13"/>
  <c r="I156" i="13"/>
  <c r="H156" i="13"/>
  <c r="I159" i="13"/>
  <c r="H159" i="13"/>
  <c r="I166" i="13"/>
  <c r="H166" i="13"/>
  <c r="I168" i="13"/>
  <c r="H168" i="13"/>
  <c r="I170" i="13"/>
  <c r="H170" i="13"/>
  <c r="I172" i="13"/>
  <c r="H172" i="13"/>
  <c r="I173" i="13"/>
  <c r="H173" i="13"/>
  <c r="I175" i="13"/>
  <c r="H175" i="13"/>
  <c r="I176" i="13"/>
  <c r="H176" i="13"/>
  <c r="I177" i="13"/>
  <c r="H177" i="13"/>
  <c r="I181" i="13"/>
  <c r="H181" i="13"/>
  <c r="H182" i="13"/>
  <c r="I182" i="13"/>
  <c r="I183" i="13"/>
  <c r="H183" i="13"/>
  <c r="I185" i="13"/>
  <c r="H185" i="13"/>
  <c r="I187" i="13"/>
  <c r="H187" i="13"/>
  <c r="I189" i="13"/>
  <c r="H189" i="13"/>
  <c r="I190" i="13"/>
  <c r="H190" i="13"/>
  <c r="I194" i="13"/>
  <c r="H194" i="13"/>
  <c r="I196" i="13"/>
  <c r="H196" i="13"/>
  <c r="I198" i="13"/>
  <c r="H198" i="13"/>
  <c r="I199" i="13"/>
  <c r="H199" i="13"/>
  <c r="I201" i="13"/>
  <c r="H201" i="13"/>
  <c r="I202" i="13"/>
  <c r="H202" i="13"/>
  <c r="I203" i="13"/>
  <c r="H203" i="13"/>
  <c r="I204" i="13"/>
  <c r="H204" i="13"/>
  <c r="I5" i="13"/>
  <c r="H5" i="13"/>
  <c r="I9" i="13"/>
  <c r="H9" i="13"/>
  <c r="I10" i="13"/>
  <c r="H10" i="13"/>
  <c r="I13" i="13"/>
  <c r="H13" i="13"/>
  <c r="I15" i="13"/>
  <c r="H15" i="13"/>
  <c r="I16" i="13"/>
  <c r="H16" i="13"/>
  <c r="I19" i="13"/>
  <c r="H19" i="13"/>
  <c r="I21" i="13"/>
  <c r="H21" i="13"/>
  <c r="I23" i="13"/>
  <c r="H23" i="13"/>
  <c r="I25" i="13"/>
  <c r="H25" i="13"/>
  <c r="I26" i="13"/>
  <c r="H26" i="13"/>
  <c r="I29" i="13"/>
  <c r="H29" i="13"/>
  <c r="I30" i="13"/>
  <c r="H30" i="13"/>
  <c r="I33" i="13"/>
  <c r="H33" i="13"/>
  <c r="I34" i="13"/>
  <c r="H34" i="13"/>
  <c r="I37" i="13"/>
  <c r="H37" i="13"/>
  <c r="I40" i="13"/>
  <c r="H40" i="13"/>
  <c r="I42" i="13"/>
  <c r="H42" i="13"/>
  <c r="I43" i="13"/>
  <c r="H43" i="13"/>
  <c r="I45" i="13"/>
  <c r="H45" i="13"/>
  <c r="I46" i="13"/>
  <c r="H46" i="13"/>
  <c r="I50" i="13"/>
  <c r="H50" i="13"/>
  <c r="I51" i="13"/>
  <c r="H51" i="13"/>
  <c r="I52" i="13"/>
  <c r="H52" i="13"/>
  <c r="I53" i="13"/>
  <c r="H53" i="13"/>
  <c r="I56" i="13"/>
  <c r="H56" i="13"/>
  <c r="I58" i="13"/>
  <c r="H58" i="13"/>
  <c r="I60" i="13"/>
  <c r="H60" i="13"/>
  <c r="I63" i="13"/>
  <c r="H63" i="13"/>
  <c r="I67" i="13"/>
  <c r="H67" i="13"/>
  <c r="I70" i="13"/>
  <c r="H70" i="13"/>
  <c r="I71" i="13"/>
  <c r="H71" i="13"/>
  <c r="I75" i="13"/>
  <c r="H75" i="13"/>
  <c r="I77" i="13"/>
  <c r="H77" i="13"/>
  <c r="I80" i="13"/>
  <c r="H80" i="13"/>
  <c r="I82" i="13"/>
  <c r="H82" i="13"/>
  <c r="I84" i="13"/>
  <c r="H84" i="13"/>
  <c r="I86" i="13"/>
  <c r="H86" i="13"/>
  <c r="I89" i="13"/>
  <c r="H89" i="13"/>
  <c r="I90" i="13"/>
  <c r="H90" i="13"/>
  <c r="I91" i="13"/>
  <c r="H91" i="13"/>
  <c r="I94" i="13"/>
  <c r="H94" i="13"/>
  <c r="I96" i="13"/>
  <c r="H96" i="13"/>
  <c r="I98" i="13"/>
  <c r="H98" i="13"/>
  <c r="I99" i="13"/>
  <c r="H99" i="13"/>
  <c r="I100" i="13"/>
  <c r="H100" i="13"/>
  <c r="I102" i="13"/>
  <c r="H102" i="13"/>
  <c r="I105" i="13"/>
  <c r="H105" i="13"/>
  <c r="I107" i="13"/>
  <c r="H107" i="13"/>
  <c r="I109" i="13"/>
  <c r="H109" i="13"/>
  <c r="I111" i="13"/>
  <c r="H111" i="13"/>
  <c r="I112" i="13"/>
  <c r="H112" i="13"/>
  <c r="I113" i="13"/>
  <c r="H113" i="13"/>
  <c r="I116" i="13"/>
  <c r="H116" i="13"/>
  <c r="I117" i="13"/>
  <c r="H117" i="13"/>
  <c r="I118" i="13"/>
  <c r="H118" i="13"/>
  <c r="I120" i="13"/>
  <c r="H120" i="13"/>
  <c r="I121" i="13"/>
  <c r="H121" i="13"/>
  <c r="I125" i="13"/>
  <c r="H125" i="13"/>
  <c r="I127" i="13"/>
  <c r="H127" i="13"/>
  <c r="I129" i="13"/>
  <c r="H129" i="13"/>
  <c r="I131" i="13"/>
  <c r="H131" i="13"/>
  <c r="I132" i="13"/>
  <c r="H132" i="13"/>
  <c r="I133" i="13"/>
  <c r="H133" i="13"/>
  <c r="I134" i="13"/>
  <c r="H134" i="13"/>
  <c r="I135" i="13"/>
  <c r="H135" i="13"/>
  <c r="I136" i="13"/>
  <c r="H136" i="13"/>
  <c r="I139" i="13"/>
  <c r="H139" i="13"/>
  <c r="I143" i="13"/>
  <c r="H143" i="13"/>
  <c r="I144" i="13"/>
  <c r="H144" i="13"/>
  <c r="I146" i="13"/>
  <c r="H146" i="13"/>
  <c r="I150" i="13"/>
  <c r="H150" i="13"/>
  <c r="I152" i="13"/>
  <c r="H152" i="13"/>
  <c r="I206" i="13"/>
  <c r="H206" i="13"/>
  <c r="H208" i="13"/>
  <c r="I208" i="13"/>
  <c r="F260" i="11"/>
  <c r="H274" i="11"/>
  <c r="H280" i="11"/>
  <c r="H184" i="11"/>
  <c r="H416" i="11"/>
  <c r="H188" i="11"/>
  <c r="AC8" i="8"/>
  <c r="AC9" i="8"/>
  <c r="AC10" i="8"/>
  <c r="AC11" i="8"/>
  <c r="AC13" i="8"/>
  <c r="AC14" i="8"/>
  <c r="AC15" i="8"/>
  <c r="AC16" i="8"/>
  <c r="AC12" i="8"/>
  <c r="AC19" i="8"/>
  <c r="AC18" i="8"/>
  <c r="AC17" i="8"/>
  <c r="AC20" i="8"/>
  <c r="AC30" i="8"/>
  <c r="AC31" i="8"/>
  <c r="AC32" i="8"/>
  <c r="AC33" i="8"/>
  <c r="AC34" i="8"/>
  <c r="AC35" i="8"/>
  <c r="AC41" i="8"/>
  <c r="AC40" i="8"/>
  <c r="AC39" i="8"/>
  <c r="AC38" i="8"/>
  <c r="AC36" i="8"/>
  <c r="AC37" i="8"/>
  <c r="AC42" i="8"/>
  <c r="AC53" i="8"/>
  <c r="AC51" i="8"/>
  <c r="AC52" i="8"/>
  <c r="AC54" i="8"/>
  <c r="AC73" i="8"/>
  <c r="AC61" i="8"/>
  <c r="AC62" i="8"/>
  <c r="AC63" i="8"/>
  <c r="AC71" i="8"/>
  <c r="AC72" i="8"/>
  <c r="AC70" i="8"/>
  <c r="AC55" i="8"/>
  <c r="AC56" i="8"/>
  <c r="AC57" i="8"/>
  <c r="AC69" i="8"/>
  <c r="AC68" i="8"/>
  <c r="AC77" i="8"/>
  <c r="AC76" i="8"/>
  <c r="AC75" i="8"/>
  <c r="H418" i="11"/>
  <c r="F432" i="11"/>
  <c r="F444" i="11"/>
  <c r="H514" i="11"/>
  <c r="F573" i="11"/>
  <c r="D106" i="11"/>
  <c r="F227" i="11"/>
  <c r="F193" i="11"/>
  <c r="F498" i="11"/>
  <c r="H432" i="11"/>
  <c r="H438" i="11"/>
  <c r="F209" i="11"/>
  <c r="H224" i="11"/>
  <c r="H227" i="11"/>
  <c r="F243" i="11"/>
  <c r="F275" i="11"/>
  <c r="H283" i="11"/>
  <c r="F197" i="11"/>
  <c r="F411" i="11"/>
  <c r="H420" i="11"/>
  <c r="H447" i="11"/>
  <c r="F222" i="11"/>
  <c r="F224" i="11"/>
  <c r="F256" i="11"/>
  <c r="H284" i="11"/>
  <c r="H196" i="11"/>
  <c r="F406" i="11"/>
  <c r="H411" i="11"/>
  <c r="H412" i="11"/>
  <c r="F412" i="11"/>
  <c r="H419" i="11"/>
  <c r="H426" i="11"/>
  <c r="H433" i="11"/>
  <c r="H435" i="11"/>
  <c r="F443" i="11"/>
  <c r="F452" i="11"/>
  <c r="F206" i="11"/>
  <c r="H206" i="11"/>
  <c r="H207" i="11"/>
  <c r="F207" i="11"/>
  <c r="H217" i="11"/>
  <c r="F217" i="11"/>
  <c r="H219" i="11"/>
  <c r="H222" i="11"/>
  <c r="F233" i="11"/>
  <c r="H233" i="11"/>
  <c r="F239" i="11"/>
  <c r="H240" i="11"/>
  <c r="H243" i="11"/>
  <c r="H258" i="11"/>
  <c r="F265" i="11"/>
  <c r="F198" i="11"/>
  <c r="F420" i="11"/>
  <c r="H422" i="11"/>
  <c r="F422" i="11"/>
  <c r="F423" i="11"/>
  <c r="F433" i="11"/>
  <c r="H437" i="11"/>
  <c r="F438" i="11"/>
  <c r="F447" i="11"/>
  <c r="F208" i="11"/>
  <c r="F219" i="11"/>
  <c r="H236" i="11"/>
  <c r="F237" i="11"/>
  <c r="H237" i="11"/>
  <c r="F240" i="11"/>
  <c r="F250" i="11"/>
  <c r="H260" i="11"/>
  <c r="H266" i="11"/>
  <c r="H275" i="11"/>
  <c r="F276" i="11"/>
  <c r="F280" i="11"/>
  <c r="F290" i="11"/>
  <c r="H194" i="11"/>
  <c r="F196" i="11"/>
  <c r="F190" i="11"/>
  <c r="H201" i="11"/>
  <c r="F201" i="11"/>
  <c r="H182" i="11"/>
  <c r="F182" i="11"/>
  <c r="V5" i="8"/>
  <c r="F418" i="11"/>
  <c r="F419" i="11"/>
  <c r="H423" i="11"/>
  <c r="F435" i="11"/>
  <c r="F437" i="11"/>
  <c r="H443" i="11"/>
  <c r="H444" i="11"/>
  <c r="F448" i="11"/>
  <c r="H452" i="11"/>
  <c r="H208" i="11"/>
  <c r="H209" i="11"/>
  <c r="F211" i="11"/>
  <c r="H215" i="11"/>
  <c r="F215" i="11"/>
  <c r="F254" i="11"/>
  <c r="H256" i="11"/>
  <c r="H264" i="11"/>
  <c r="H276" i="11"/>
  <c r="F283" i="11"/>
  <c r="F284" i="11"/>
  <c r="F292" i="11"/>
  <c r="H198" i="11"/>
  <c r="H183" i="11"/>
  <c r="F188" i="11"/>
  <c r="H192" i="11"/>
  <c r="F192" i="11"/>
  <c r="H193" i="11"/>
  <c r="H557" i="11"/>
  <c r="H543" i="11"/>
  <c r="H531" i="11"/>
  <c r="F587" i="11"/>
  <c r="F585" i="11"/>
  <c r="H574" i="11"/>
  <c r="H522" i="11"/>
  <c r="H501" i="11"/>
  <c r="H98" i="11"/>
  <c r="F98" i="11"/>
  <c r="H74" i="11"/>
  <c r="F74" i="11"/>
  <c r="H66" i="11"/>
  <c r="F66" i="11"/>
  <c r="F30" i="11"/>
  <c r="H30" i="11"/>
  <c r="F538" i="11"/>
  <c r="H538" i="11"/>
  <c r="F516" i="11"/>
  <c r="H516" i="11"/>
  <c r="D92" i="11"/>
  <c r="D80" i="11"/>
  <c r="D37" i="11"/>
  <c r="D7" i="11"/>
  <c r="D64" i="11"/>
  <c r="D56" i="11"/>
  <c r="D114" i="11"/>
  <c r="D67" i="11"/>
  <c r="D68" i="11"/>
  <c r="J68" i="11"/>
  <c r="D9" i="11"/>
  <c r="D79" i="11"/>
  <c r="D55" i="11"/>
  <c r="D27" i="11"/>
  <c r="D73" i="11"/>
  <c r="H575" i="11"/>
  <c r="F569" i="11"/>
  <c r="F551" i="11"/>
  <c r="H519" i="11"/>
  <c r="H503" i="11"/>
  <c r="H502" i="11"/>
  <c r="F500" i="11"/>
  <c r="H595" i="11"/>
  <c r="H591" i="11"/>
  <c r="H579" i="11"/>
  <c r="F579" i="11"/>
  <c r="F578" i="11"/>
  <c r="H567" i="11"/>
  <c r="F554" i="11"/>
  <c r="H549" i="11"/>
  <c r="H536" i="11"/>
  <c r="F528" i="11"/>
  <c r="F499" i="11"/>
  <c r="H596" i="11"/>
  <c r="H587" i="11"/>
  <c r="H554" i="11"/>
  <c r="H551" i="11"/>
  <c r="H550" i="11"/>
  <c r="F548" i="11"/>
  <c r="H546" i="11"/>
  <c r="H504" i="11"/>
  <c r="D71" i="11"/>
  <c r="D52" i="11"/>
  <c r="D48" i="11"/>
  <c r="D29" i="11"/>
  <c r="D24" i="11"/>
  <c r="D23" i="11"/>
  <c r="D21" i="11"/>
  <c r="D18" i="11"/>
  <c r="D15" i="11"/>
  <c r="D12" i="11"/>
  <c r="D81" i="11"/>
  <c r="D76" i="11"/>
  <c r="D65" i="11"/>
  <c r="J65" i="11"/>
  <c r="D53" i="11"/>
  <c r="D51" i="11"/>
  <c r="D42" i="11"/>
  <c r="D33" i="11"/>
  <c r="D28" i="11"/>
  <c r="D22" i="11"/>
  <c r="D19" i="11"/>
  <c r="D17" i="11"/>
  <c r="D13" i="11"/>
  <c r="D8" i="11"/>
  <c r="D6" i="11"/>
  <c r="D93" i="11"/>
  <c r="D78" i="11"/>
  <c r="J72" i="11"/>
  <c r="D72" i="11"/>
  <c r="D59" i="11"/>
  <c r="D57" i="11"/>
  <c r="D54" i="11"/>
  <c r="D47" i="11"/>
  <c r="D41" i="11"/>
  <c r="D38" i="11"/>
  <c r="J32" i="11"/>
  <c r="D32" i="11"/>
  <c r="D20" i="11"/>
  <c r="D14" i="11"/>
  <c r="D10" i="11"/>
  <c r="D35" i="11"/>
  <c r="J91" i="11"/>
  <c r="J84" i="11"/>
  <c r="J16" i="11"/>
  <c r="F542" i="11"/>
  <c r="H542" i="11"/>
  <c r="F540" i="11"/>
  <c r="H540" i="11"/>
  <c r="H91" i="11"/>
  <c r="F91" i="11"/>
  <c r="H85" i="11"/>
  <c r="F85" i="11"/>
  <c r="F84" i="11"/>
  <c r="H84" i="11"/>
  <c r="F82" i="11"/>
  <c r="H82" i="11"/>
  <c r="H16" i="11"/>
  <c r="F16" i="11"/>
  <c r="F595" i="11"/>
  <c r="F594" i="11"/>
  <c r="F580" i="11"/>
  <c r="F574" i="11"/>
  <c r="H573" i="11"/>
  <c r="H569" i="11"/>
  <c r="H563" i="11"/>
  <c r="H558" i="11"/>
  <c r="F556" i="11"/>
  <c r="F549" i="11"/>
  <c r="F546" i="11"/>
  <c r="F545" i="11"/>
  <c r="F531" i="11"/>
  <c r="H530" i="11"/>
  <c r="H525" i="11"/>
  <c r="F524" i="11"/>
  <c r="F523" i="11"/>
  <c r="F522" i="11"/>
  <c r="H512" i="11"/>
  <c r="F505" i="11"/>
  <c r="H496" i="11"/>
  <c r="H597" i="11"/>
  <c r="H592" i="11"/>
  <c r="H590" i="11"/>
  <c r="H586" i="11"/>
  <c r="F583" i="11"/>
  <c r="F582" i="11"/>
  <c r="F575" i="11"/>
  <c r="F570" i="11"/>
  <c r="H570" i="11"/>
  <c r="H565" i="11"/>
  <c r="F564" i="11"/>
  <c r="H564" i="11"/>
  <c r="F560" i="11"/>
  <c r="H560" i="11"/>
  <c r="H559" i="11"/>
  <c r="H552" i="11"/>
  <c r="F547" i="11"/>
  <c r="H547" i="11"/>
  <c r="F536" i="11"/>
  <c r="F530" i="11"/>
  <c r="H529" i="11"/>
  <c r="F526" i="11"/>
  <c r="H520" i="11"/>
  <c r="H518" i="11"/>
  <c r="H515" i="11"/>
  <c r="H510" i="11"/>
  <c r="H509" i="11"/>
  <c r="H508" i="11"/>
  <c r="H506" i="11"/>
  <c r="F504" i="11"/>
  <c r="F501" i="11"/>
  <c r="H497" i="11"/>
  <c r="F496" i="11"/>
  <c r="D120" i="11"/>
  <c r="D112" i="11"/>
  <c r="D103" i="11"/>
  <c r="D101" i="11"/>
  <c r="D100" i="11"/>
  <c r="D95" i="11"/>
  <c r="D90" i="11"/>
  <c r="D88" i="11"/>
  <c r="D75" i="11"/>
  <c r="D69" i="11"/>
  <c r="D49" i="11"/>
  <c r="D46" i="11"/>
  <c r="D102" i="11"/>
  <c r="D99" i="11"/>
  <c r="D94" i="11"/>
  <c r="F555" i="11"/>
  <c r="H555" i="11"/>
  <c r="F544" i="11"/>
  <c r="H544" i="11"/>
  <c r="F537" i="11"/>
  <c r="H537" i="11"/>
  <c r="X72" i="8"/>
  <c r="X67" i="8"/>
  <c r="X64" i="8"/>
  <c r="X63" i="8"/>
  <c r="X62" i="8"/>
  <c r="X60" i="8"/>
  <c r="X56" i="8"/>
  <c r="X54" i="8"/>
  <c r="X52" i="8"/>
  <c r="X50" i="8"/>
  <c r="X45" i="8"/>
  <c r="X43" i="8"/>
  <c r="X39" i="8"/>
  <c r="X25" i="8"/>
  <c r="X18" i="8"/>
  <c r="X15" i="8"/>
  <c r="X20" i="8"/>
  <c r="X16" i="8"/>
  <c r="X13" i="8"/>
  <c r="X11" i="8"/>
  <c r="X74" i="8"/>
  <c r="X69" i="8"/>
  <c r="X35" i="8"/>
  <c r="X31" i="8"/>
  <c r="X76" i="8"/>
  <c r="H110" i="11"/>
  <c r="F110" i="11"/>
  <c r="J110" i="11"/>
  <c r="J109" i="11"/>
  <c r="H109" i="11"/>
  <c r="F109" i="11"/>
  <c r="F108" i="11"/>
  <c r="H108" i="11"/>
  <c r="J108" i="11"/>
  <c r="H105" i="11"/>
  <c r="F105" i="11"/>
  <c r="J97" i="11"/>
  <c r="F83" i="11"/>
  <c r="H83" i="11"/>
  <c r="J83" i="11"/>
  <c r="J77" i="11"/>
  <c r="F77" i="11"/>
  <c r="H77" i="11"/>
  <c r="F70" i="11"/>
  <c r="H70" i="11"/>
  <c r="J70" i="11"/>
  <c r="J58" i="11"/>
  <c r="H50" i="11"/>
  <c r="F50" i="11"/>
  <c r="H562" i="11"/>
  <c r="F562" i="11"/>
  <c r="AE1927" i="8" l="1"/>
  <c r="AF1927" i="8" s="1"/>
  <c r="AE421" i="8"/>
  <c r="AF421" i="8" s="1"/>
  <c r="AE1104" i="8"/>
  <c r="AF1104" i="8" s="1"/>
  <c r="AE1107" i="8"/>
  <c r="AF1107" i="8" s="1"/>
  <c r="AE1195" i="8"/>
  <c r="AF1195" i="8" s="1"/>
  <c r="AE1125" i="8"/>
  <c r="AF1125" i="8" s="1"/>
  <c r="AE1128" i="8"/>
  <c r="AF1128" i="8" s="1"/>
  <c r="AE1161" i="8"/>
  <c r="AF1161" i="8" s="1"/>
  <c r="AE1163" i="8"/>
  <c r="AF1163" i="8" s="1"/>
  <c r="AE1319" i="8"/>
  <c r="AF1319" i="8" s="1"/>
  <c r="AE1317" i="8"/>
  <c r="AF1317" i="8" s="1"/>
  <c r="AE1121" i="8"/>
  <c r="AF1121" i="8" s="1"/>
  <c r="AE1124" i="8"/>
  <c r="AF1124" i="8" s="1"/>
  <c r="AE1123" i="8"/>
  <c r="AF1123" i="8" s="1"/>
  <c r="AE1267" i="8"/>
  <c r="AF1267" i="8" s="1"/>
  <c r="AE1169" i="8"/>
  <c r="AF1169" i="8" s="1"/>
  <c r="AE1279" i="8"/>
  <c r="AF1279" i="8" s="1"/>
  <c r="AE1105" i="8"/>
  <c r="AF1105" i="8" s="1"/>
  <c r="AE1106" i="8"/>
  <c r="AF1106" i="8" s="1"/>
  <c r="AE1194" i="8"/>
  <c r="AF1194" i="8" s="1"/>
  <c r="AE1127" i="8"/>
  <c r="AF1127" i="8" s="1"/>
  <c r="AE1126" i="8"/>
  <c r="AF1126" i="8" s="1"/>
  <c r="AE1162" i="8"/>
  <c r="AF1162" i="8" s="1"/>
  <c r="AE1316" i="8"/>
  <c r="AF1316" i="8" s="1"/>
  <c r="AE1318" i="8"/>
  <c r="AF1318" i="8" s="1"/>
  <c r="AE313" i="8"/>
  <c r="AF313" i="8" s="1"/>
  <c r="AE1120" i="8"/>
  <c r="AF1120" i="8" s="1"/>
  <c r="AE1122" i="8"/>
  <c r="AF1122" i="8" s="1"/>
  <c r="AE1266" i="8"/>
  <c r="AF1266" i="8" s="1"/>
  <c r="AE1268" i="8"/>
  <c r="AF1268" i="8" s="1"/>
  <c r="AE1168" i="8"/>
  <c r="AF1168" i="8" s="1"/>
  <c r="AE1278" i="8"/>
  <c r="AF1278" i="8" s="1"/>
  <c r="AE1280" i="8"/>
  <c r="AF1280" i="8" s="1"/>
  <c r="AE1182" i="8"/>
  <c r="AF1182" i="8" s="1"/>
  <c r="AE1181" i="8"/>
  <c r="AF1181" i="8" s="1"/>
  <c r="AD59" i="8"/>
  <c r="AD1787" i="8"/>
  <c r="AD1786" i="8"/>
  <c r="AD869" i="8"/>
  <c r="AD868" i="8"/>
  <c r="AD853" i="8"/>
  <c r="AD854" i="8"/>
  <c r="AD753" i="8"/>
  <c r="AD754" i="8"/>
  <c r="AD994" i="8"/>
  <c r="AD805" i="8"/>
  <c r="AD807" i="8"/>
  <c r="AD865" i="8"/>
  <c r="AD1005" i="8"/>
  <c r="AD999" i="8"/>
  <c r="AD983" i="8"/>
  <c r="AD984" i="8"/>
  <c r="AD363" i="8"/>
  <c r="AD297" i="8"/>
  <c r="AD298" i="8"/>
  <c r="AD346" i="8"/>
  <c r="AD222" i="8"/>
  <c r="AD223" i="8"/>
  <c r="AD233" i="8"/>
  <c r="AD168" i="8"/>
  <c r="AD165" i="8"/>
  <c r="AD170" i="8"/>
  <c r="AD159" i="8"/>
  <c r="AD163" i="8"/>
  <c r="AD124" i="8"/>
  <c r="AD119" i="8"/>
  <c r="AD134" i="8"/>
  <c r="AD183" i="8"/>
  <c r="AD185" i="8"/>
  <c r="AD109" i="8"/>
  <c r="AD196" i="8"/>
  <c r="AD1908" i="8"/>
  <c r="AD618" i="8"/>
  <c r="AD619" i="8"/>
  <c r="AD319" i="8"/>
  <c r="AD325" i="8"/>
  <c r="AD261" i="8"/>
  <c r="AD262" i="8"/>
  <c r="AD274" i="8"/>
  <c r="AD273" i="8"/>
  <c r="AD7" i="8"/>
  <c r="AD21" i="8"/>
  <c r="AD22" i="8"/>
  <c r="AD1832" i="8"/>
  <c r="AD1834" i="8"/>
  <c r="AD1831" i="8"/>
  <c r="AD1828" i="8"/>
  <c r="AD1873" i="8"/>
  <c r="AD1869" i="8"/>
  <c r="AD1861" i="8"/>
  <c r="AD1859" i="8"/>
  <c r="AD1820" i="8"/>
  <c r="AD1799" i="8"/>
  <c r="AD1797" i="8"/>
  <c r="AD1749" i="8"/>
  <c r="AD1842" i="8"/>
  <c r="AD1780" i="8"/>
  <c r="AD1781" i="8"/>
  <c r="AD1852" i="8"/>
  <c r="AD1733" i="8"/>
  <c r="AD1736" i="8"/>
  <c r="AD1739" i="8"/>
  <c r="AD1789" i="8"/>
  <c r="AD870" i="8"/>
  <c r="AD789" i="8"/>
  <c r="AD852" i="8"/>
  <c r="AD855" i="8"/>
  <c r="AD1017" i="8"/>
  <c r="AD842" i="8"/>
  <c r="AD846" i="8"/>
  <c r="AD756" i="8"/>
  <c r="AD750" i="8"/>
  <c r="AD806" i="8"/>
  <c r="AD1008" i="8"/>
  <c r="AD1006" i="8"/>
  <c r="AD998" i="8"/>
  <c r="AD366" i="8"/>
  <c r="AD296" i="8"/>
  <c r="AD251" i="8"/>
  <c r="AD224" i="8"/>
  <c r="AD234" i="8"/>
  <c r="AD235" i="8"/>
  <c r="AD164" i="8"/>
  <c r="AD79" i="8"/>
  <c r="AD80" i="8"/>
  <c r="AD82" i="8"/>
  <c r="AD83" i="8"/>
  <c r="AD121" i="8"/>
  <c r="AD122" i="8"/>
  <c r="AD123" i="8"/>
  <c r="AD200" i="8"/>
  <c r="AD202" i="8"/>
  <c r="AD132" i="8"/>
  <c r="AD133" i="8"/>
  <c r="AD101" i="8"/>
  <c r="AD136" i="8"/>
  <c r="AD126" i="8"/>
  <c r="AD193" i="8"/>
  <c r="AD323" i="8"/>
  <c r="AD328" i="8"/>
  <c r="AD259" i="8"/>
  <c r="AD260" i="8"/>
  <c r="AD279" i="8"/>
  <c r="AD1743" i="8"/>
  <c r="AD1742" i="8"/>
  <c r="AD1829" i="8"/>
  <c r="AD1874" i="8"/>
  <c r="AD1870" i="8"/>
  <c r="AD1868" i="8"/>
  <c r="AD1695" i="8"/>
  <c r="AD1862" i="8"/>
  <c r="AD1858" i="8"/>
  <c r="AD1819" i="8"/>
  <c r="AD1795" i="8"/>
  <c r="AD1798" i="8"/>
  <c r="AD1752" i="8"/>
  <c r="AD1843" i="8"/>
  <c r="AD1779" i="8"/>
  <c r="AD1853" i="8"/>
  <c r="AD1892" i="8"/>
  <c r="AD1734" i="8"/>
  <c r="AD1735" i="8"/>
  <c r="AD1741" i="8"/>
  <c r="AD1788" i="8"/>
  <c r="AD790" i="8"/>
  <c r="AD791" i="8"/>
  <c r="AD792" i="8"/>
  <c r="AD1018" i="8"/>
  <c r="AD1020" i="8"/>
  <c r="AD1019" i="8"/>
  <c r="AD844" i="8"/>
  <c r="AD845" i="8"/>
  <c r="AD748" i="8"/>
  <c r="AD995" i="8"/>
  <c r="AD864" i="8"/>
  <c r="AD1009" i="8"/>
  <c r="AD997" i="8"/>
  <c r="AD862" i="8"/>
  <c r="AD340" i="8"/>
  <c r="AD364" i="8"/>
  <c r="AD342" i="8"/>
  <c r="AD88" i="8"/>
  <c r="AD167" i="8"/>
  <c r="AD78" i="8"/>
  <c r="AD84" i="8"/>
  <c r="AD85" i="8"/>
  <c r="AD87" i="8"/>
  <c r="AD117" i="8"/>
  <c r="AD118" i="8"/>
  <c r="AD130" i="8"/>
  <c r="AD112" i="8"/>
  <c r="AD113" i="8"/>
  <c r="AD103" i="8"/>
  <c r="AD129" i="8"/>
  <c r="AD194" i="8"/>
  <c r="AD195" i="8"/>
  <c r="AD1909" i="8"/>
  <c r="AD1904" i="8"/>
  <c r="AD608" i="8"/>
  <c r="AD411" i="8"/>
  <c r="AD321" i="8"/>
  <c r="AD320" i="8"/>
  <c r="AD275" i="8"/>
  <c r="AD276" i="8"/>
  <c r="AD277" i="8"/>
  <c r="AD23" i="8"/>
  <c r="AD1761" i="8"/>
  <c r="AD1759" i="8"/>
  <c r="AD1764" i="8"/>
  <c r="AD1760" i="8"/>
  <c r="AD1498" i="8"/>
  <c r="AD1792" i="8"/>
  <c r="AD1790" i="8"/>
  <c r="AD1793" i="8"/>
  <c r="AD1791" i="8"/>
  <c r="AD1794" i="8"/>
  <c r="AD1392" i="8"/>
  <c r="AD1394" i="8"/>
  <c r="AD1395" i="8"/>
  <c r="AD1393" i="8"/>
  <c r="AD1910" i="8"/>
  <c r="AD1911" i="8"/>
  <c r="AD1349" i="8"/>
  <c r="AD1350" i="8"/>
  <c r="AD1352" i="8"/>
  <c r="AD1348" i="8"/>
  <c r="AD1351" i="8"/>
  <c r="AD1397" i="8"/>
  <c r="AD1399" i="8"/>
  <c r="AD1396" i="8"/>
  <c r="AD1400" i="8"/>
  <c r="AD1398" i="8"/>
  <c r="AD1615" i="8"/>
  <c r="AD1614" i="8"/>
  <c r="AD1613" i="8"/>
  <c r="AD1612" i="8"/>
  <c r="AD1469" i="8"/>
  <c r="AD1343" i="8"/>
  <c r="AD1342" i="8"/>
  <c r="AD1345" i="8"/>
  <c r="AD1344" i="8"/>
  <c r="AD1470" i="8"/>
  <c r="AD1423" i="8"/>
  <c r="AD1426" i="8"/>
  <c r="AD1425" i="8"/>
  <c r="AD1422" i="8"/>
  <c r="AD1424" i="8"/>
  <c r="AD1373" i="8"/>
  <c r="AD1374" i="8"/>
  <c r="AD1375" i="8"/>
  <c r="AD1376" i="8"/>
  <c r="AD1402" i="8"/>
  <c r="AD1626" i="8"/>
  <c r="AD1627" i="8"/>
  <c r="AD1628" i="8"/>
  <c r="AD1383" i="8"/>
  <c r="AD1382" i="8"/>
  <c r="AD1652" i="8"/>
  <c r="AD1649" i="8"/>
  <c r="AD1648" i="8"/>
  <c r="AD1651" i="8"/>
  <c r="AD1650" i="8"/>
  <c r="AD1512" i="8"/>
  <c r="AD1511" i="8"/>
  <c r="AD1510" i="8"/>
  <c r="AD1509" i="8"/>
  <c r="AD1513" i="8"/>
  <c r="AD1514" i="8"/>
  <c r="AD1454" i="8"/>
  <c r="AD1455" i="8"/>
  <c r="AD1457" i="8"/>
  <c r="AD1456" i="8"/>
  <c r="AD1440" i="8"/>
  <c r="AD1441" i="8"/>
  <c r="AD1437" i="8"/>
  <c r="AD1438" i="8"/>
  <c r="AD1439" i="8"/>
  <c r="AD1617" i="8"/>
  <c r="AD1618" i="8"/>
  <c r="AD1616" i="8"/>
  <c r="AD1619" i="8"/>
  <c r="AD1620" i="8"/>
  <c r="AD1420" i="8"/>
  <c r="AD1419" i="8"/>
  <c r="AD1418" i="8"/>
  <c r="AD1417" i="8"/>
  <c r="AD1505" i="8"/>
  <c r="AD1504" i="8"/>
  <c r="AD1503" i="8"/>
  <c r="AD1442" i="8"/>
  <c r="AD1443" i="8"/>
  <c r="AD1444" i="8"/>
  <c r="AD1445" i="8"/>
  <c r="AD1446" i="8"/>
  <c r="AD1640" i="8"/>
  <c r="AD1641" i="8"/>
  <c r="AD979" i="8"/>
  <c r="AD980" i="8"/>
  <c r="AD768" i="8"/>
  <c r="AD766" i="8"/>
  <c r="AD767" i="8"/>
  <c r="AD848" i="8"/>
  <c r="AD849" i="8"/>
  <c r="AD847" i="8"/>
  <c r="AD1693" i="8"/>
  <c r="AD1372" i="8"/>
  <c r="AD1661" i="8"/>
  <c r="AD1663" i="8"/>
  <c r="AD1662" i="8"/>
  <c r="AD1660" i="8"/>
  <c r="AD1659" i="8"/>
  <c r="AD1665" i="8"/>
  <c r="AD1666" i="8"/>
  <c r="AD1667" i="8"/>
  <c r="AD1668" i="8"/>
  <c r="AD1361" i="8"/>
  <c r="AD1360" i="8"/>
  <c r="AD1359" i="8"/>
  <c r="AD1358" i="8"/>
  <c r="AD1686" i="8"/>
  <c r="AD1685" i="8"/>
  <c r="AD1683" i="8"/>
  <c r="AD1684" i="8"/>
  <c r="AD1421" i="8"/>
  <c r="AD1784" i="8"/>
  <c r="AD1783" i="8"/>
  <c r="AD1785" i="8"/>
  <c r="AD1744" i="8"/>
  <c r="AD1830" i="8"/>
  <c r="AD1833" i="8"/>
  <c r="AD1876" i="8"/>
  <c r="AD1875" i="8"/>
  <c r="AD1872" i="8"/>
  <c r="AD1871" i="8"/>
  <c r="AD1694" i="8"/>
  <c r="AD1860" i="8"/>
  <c r="AD1821" i="8"/>
  <c r="AD1818" i="8"/>
  <c r="AD1822" i="8"/>
  <c r="AD1817" i="8"/>
  <c r="AD1796" i="8"/>
  <c r="AD1751" i="8"/>
  <c r="AD1750" i="8"/>
  <c r="AD1844" i="8"/>
  <c r="AD1697" i="8"/>
  <c r="AD1782" i="8"/>
  <c r="AD1778" i="8"/>
  <c r="AD1777" i="8"/>
  <c r="AD1851" i="8"/>
  <c r="AD1732" i="8"/>
  <c r="AD1731" i="8"/>
  <c r="AD1740" i="8"/>
  <c r="AD1737" i="8"/>
  <c r="AD1738" i="8"/>
  <c r="AD843" i="8"/>
  <c r="AD755" i="8"/>
  <c r="AD782" i="8"/>
  <c r="AD749" i="8"/>
  <c r="AD996" i="8"/>
  <c r="AD804" i="8"/>
  <c r="AD863" i="8"/>
  <c r="AD1010" i="8"/>
  <c r="AD1007" i="8"/>
  <c r="AD1000" i="8"/>
  <c r="AD861" i="8"/>
  <c r="AD860" i="8"/>
  <c r="AD859" i="8"/>
  <c r="AD1913" i="8"/>
  <c r="AD361" i="8"/>
  <c r="AD362" i="8"/>
  <c r="AD367" i="8"/>
  <c r="AD368" i="8"/>
  <c r="AD369" i="8"/>
  <c r="AD345" i="8"/>
  <c r="AD250" i="8"/>
  <c r="AD253" i="8"/>
  <c r="AD161" i="8"/>
  <c r="AD176" i="8"/>
  <c r="AD81" i="8"/>
  <c r="AD95" i="8"/>
  <c r="AD94" i="8"/>
  <c r="AD93" i="8"/>
  <c r="AD151" i="8"/>
  <c r="AD150" i="8"/>
  <c r="AD149" i="8"/>
  <c r="AD153" i="8"/>
  <c r="AD120" i="8"/>
  <c r="AD131" i="8"/>
  <c r="AD184" i="8"/>
  <c r="AD111" i="8"/>
  <c r="AD102" i="8"/>
  <c r="AD128" i="8"/>
  <c r="AD127" i="8"/>
  <c r="AD192" i="8"/>
  <c r="AD1907" i="8"/>
  <c r="AD1905" i="8"/>
  <c r="AD1903" i="8"/>
  <c r="AD1906" i="8"/>
  <c r="AD326" i="8"/>
  <c r="AD327" i="8"/>
  <c r="AD263" i="8"/>
  <c r="AD280" i="8"/>
  <c r="AD278" i="8"/>
  <c r="AD169" i="8"/>
  <c r="AD1914" i="8"/>
  <c r="AD1915" i="8"/>
  <c r="AD1916" i="8"/>
  <c r="AD1912" i="8"/>
  <c r="AD1918" i="8"/>
  <c r="AD1921" i="8"/>
  <c r="AD1920" i="8"/>
  <c r="AD1919" i="8"/>
  <c r="AD1917" i="8"/>
  <c r="AD1893" i="8"/>
  <c r="AD1894" i="8"/>
  <c r="AD1895" i="8"/>
  <c r="AD410" i="8"/>
  <c r="AD409" i="8"/>
  <c r="AD704" i="8"/>
  <c r="AD598" i="8"/>
  <c r="AD595" i="8"/>
  <c r="AD594" i="8"/>
  <c r="AD597" i="8"/>
  <c r="AD596" i="8"/>
  <c r="AD586" i="8"/>
  <c r="AD585" i="8"/>
  <c r="AD584" i="8"/>
  <c r="AD588" i="8"/>
  <c r="AD587" i="8"/>
  <c r="AD581" i="8"/>
  <c r="AD582" i="8"/>
  <c r="AD583" i="8"/>
  <c r="AD669" i="8"/>
  <c r="AD668" i="8"/>
  <c r="AD667" i="8"/>
  <c r="AD666" i="8"/>
  <c r="AD664" i="8"/>
  <c r="AD663" i="8"/>
  <c r="AD665" i="8"/>
  <c r="AD413" i="8"/>
  <c r="AD412" i="8"/>
  <c r="AD705" i="8"/>
  <c r="AD708" i="8"/>
  <c r="AD707" i="8"/>
  <c r="AD706" i="8"/>
  <c r="AD605" i="8"/>
  <c r="AD606" i="8"/>
  <c r="AD710" i="8"/>
  <c r="AD709" i="8"/>
  <c r="AD589" i="8"/>
  <c r="AD590" i="8"/>
  <c r="AD591" i="8"/>
  <c r="AD592" i="8"/>
  <c r="AD593" i="8"/>
  <c r="AD528" i="8"/>
  <c r="AD529" i="8"/>
  <c r="AD527" i="8"/>
  <c r="AD514" i="8"/>
  <c r="AD515" i="8"/>
  <c r="AD516" i="8"/>
  <c r="AD517" i="8"/>
  <c r="AD518" i="8"/>
  <c r="AD520" i="8"/>
  <c r="AD521" i="8"/>
  <c r="AD522" i="8"/>
  <c r="AD523" i="8"/>
  <c r="AD519" i="8"/>
  <c r="AD524" i="8"/>
  <c r="AD525" i="8"/>
  <c r="AD526" i="8"/>
  <c r="AD541" i="8"/>
  <c r="AD540" i="8"/>
  <c r="AD542" i="8"/>
  <c r="AD635" i="8"/>
  <c r="AD634" i="8"/>
  <c r="AD633" i="8"/>
  <c r="AD636" i="8"/>
  <c r="AD398" i="8"/>
  <c r="AD397" i="8"/>
  <c r="AD399" i="8"/>
  <c r="AD400" i="8"/>
  <c r="AD637" i="8"/>
  <c r="AD638" i="8"/>
  <c r="AD639" i="8"/>
  <c r="AD640" i="8"/>
  <c r="AD684" i="8"/>
  <c r="AD685" i="8"/>
  <c r="AD423" i="8"/>
  <c r="AD426" i="8"/>
  <c r="AD425" i="8"/>
  <c r="AD424" i="8"/>
  <c r="AD408" i="8"/>
  <c r="AD407" i="8"/>
  <c r="AD406" i="8"/>
  <c r="AD717" i="8"/>
  <c r="AD719" i="8"/>
  <c r="AD716" i="8"/>
  <c r="AD718" i="8"/>
  <c r="AD683" i="8"/>
  <c r="AD711" i="8"/>
  <c r="AD713" i="8"/>
  <c r="AD712" i="8"/>
  <c r="AD647" i="8"/>
  <c r="AD648" i="8"/>
  <c r="AD649" i="8"/>
  <c r="AD530" i="8"/>
  <c r="AD384" i="8"/>
  <c r="AD383" i="8"/>
  <c r="AD382" i="8"/>
  <c r="AD381" i="8"/>
  <c r="AD502" i="8"/>
  <c r="AD503" i="8"/>
  <c r="AD504" i="8"/>
  <c r="AD505" i="8"/>
  <c r="AD570" i="8"/>
  <c r="AD571" i="8"/>
  <c r="AD568" i="8"/>
  <c r="AD569" i="8"/>
  <c r="AD376" i="8"/>
  <c r="AD377" i="8"/>
  <c r="AD378" i="8"/>
  <c r="AD379" i="8"/>
  <c r="AD380" i="8"/>
  <c r="AD375" i="8"/>
  <c r="AD437" i="8"/>
  <c r="AD435" i="8"/>
  <c r="AD436" i="8"/>
  <c r="AD497" i="8"/>
  <c r="AD496" i="8"/>
  <c r="AD495" i="8"/>
  <c r="AD494" i="8"/>
  <c r="AD573" i="8"/>
  <c r="AD574" i="8"/>
  <c r="AD461" i="8"/>
  <c r="AD460" i="8"/>
  <c r="AD459" i="8"/>
  <c r="AD553" i="8"/>
  <c r="AD552" i="8"/>
  <c r="AD554" i="8"/>
  <c r="AD482" i="8"/>
  <c r="AD485" i="8"/>
  <c r="AD484" i="8"/>
  <c r="AD483" i="8"/>
  <c r="AD674" i="8"/>
  <c r="AD675" i="8"/>
  <c r="AD473" i="8"/>
  <c r="AD474" i="8"/>
  <c r="AD475" i="8"/>
  <c r="AD471" i="8"/>
  <c r="AD472" i="8"/>
  <c r="AD456" i="8"/>
  <c r="AD455" i="8"/>
  <c r="AD458" i="8"/>
  <c r="AD457" i="8"/>
  <c r="AD658" i="8"/>
  <c r="AD656" i="8"/>
  <c r="AD657" i="8"/>
  <c r="AD486" i="8"/>
  <c r="AD487" i="8"/>
  <c r="AD488" i="8"/>
  <c r="AD489" i="8"/>
  <c r="AD444" i="8"/>
  <c r="AD445" i="8"/>
  <c r="AD446" i="8"/>
  <c r="AD478" i="8"/>
  <c r="AD476" i="8"/>
  <c r="AD477" i="8"/>
  <c r="AD762" i="8"/>
  <c r="AD783" i="8"/>
  <c r="AD763" i="8"/>
  <c r="AD765" i="8"/>
  <c r="AD764" i="8"/>
  <c r="AD355" i="8"/>
  <c r="AD356" i="8"/>
  <c r="AD357" i="8"/>
  <c r="AD358" i="8"/>
  <c r="AD359" i="8"/>
  <c r="AD303" i="8"/>
  <c r="AD302" i="8"/>
  <c r="AD300" i="8"/>
  <c r="AD299" i="8"/>
  <c r="AD301" i="8"/>
  <c r="AD330" i="8"/>
  <c r="AD332" i="8"/>
  <c r="AD331" i="8"/>
  <c r="AD329" i="8"/>
  <c r="AD282" i="8"/>
  <c r="AD281" i="8"/>
  <c r="AD284" i="8"/>
  <c r="AD283" i="8"/>
  <c r="AD285" i="8"/>
  <c r="AD336" i="8"/>
  <c r="AD337" i="8"/>
  <c r="AD338" i="8"/>
  <c r="AD341" i="8"/>
  <c r="AD339" i="8"/>
  <c r="AD360" i="8"/>
  <c r="AD365" i="8"/>
  <c r="AD295" i="8"/>
  <c r="AD344" i="8"/>
  <c r="AD343" i="8"/>
  <c r="AD252" i="8"/>
  <c r="AD225" i="8"/>
  <c r="AD226" i="8"/>
  <c r="AD166" i="8"/>
  <c r="AD160" i="8"/>
  <c r="AD162" i="8"/>
  <c r="AD86" i="8"/>
  <c r="AD125" i="8"/>
  <c r="AD152" i="8"/>
  <c r="AD201" i="8"/>
  <c r="AD186" i="8"/>
  <c r="AD181" i="8"/>
  <c r="AD182" i="8"/>
  <c r="AD110" i="8"/>
  <c r="AD137" i="8"/>
  <c r="AD135" i="8"/>
  <c r="AD318" i="8"/>
  <c r="AD322" i="8"/>
  <c r="AD324" i="8"/>
  <c r="AD172" i="8"/>
  <c r="AD5" i="8"/>
  <c r="AD6" i="8"/>
  <c r="AD74" i="8"/>
  <c r="AD48" i="8"/>
  <c r="AD49" i="8"/>
  <c r="AD50" i="8"/>
  <c r="AD47" i="8"/>
  <c r="AD58" i="8"/>
  <c r="AD60" i="8"/>
  <c r="AD65" i="8"/>
  <c r="AD66" i="8"/>
  <c r="AD67" i="8"/>
  <c r="AE1226" i="8"/>
  <c r="AF1226" i="8" s="1"/>
  <c r="AE1022" i="8"/>
  <c r="AF1022" i="8" s="1"/>
  <c r="AE1101" i="8"/>
  <c r="AF1101" i="8" s="1"/>
  <c r="AE422" i="8"/>
  <c r="AF422" i="8" s="1"/>
  <c r="AE1283" i="8"/>
  <c r="AF1283" i="8" s="1"/>
  <c r="AE419" i="8"/>
  <c r="AF419" i="8" s="1"/>
  <c r="AE481" i="8"/>
  <c r="AF481" i="8" s="1"/>
  <c r="AE1719" i="8"/>
  <c r="AF1719" i="8" s="1"/>
  <c r="AE393" i="8"/>
  <c r="AF393" i="8" s="1"/>
  <c r="AE392" i="8"/>
  <c r="AF392" i="8" s="1"/>
  <c r="AE630" i="8"/>
  <c r="AF630" i="8" s="1"/>
  <c r="AE1643" i="8"/>
  <c r="AF1643" i="8" s="1"/>
  <c r="AE1642" i="8"/>
  <c r="AF1642" i="8" s="1"/>
  <c r="AE1083" i="8"/>
  <c r="AF1083" i="8" s="1"/>
  <c r="AE787" i="8"/>
  <c r="AF787" i="8" s="1"/>
  <c r="AE1451" i="8"/>
  <c r="AF1451" i="8" s="1"/>
  <c r="AE1150" i="8"/>
  <c r="AF1150" i="8" s="1"/>
  <c r="AE840" i="8"/>
  <c r="AF840" i="8" s="1"/>
  <c r="AE815" i="8"/>
  <c r="AF815" i="8" s="1"/>
  <c r="W1934" i="8"/>
  <c r="X1934" i="8" s="1"/>
  <c r="W1935" i="8"/>
  <c r="X1935" i="8" s="1"/>
  <c r="AE1721" i="8"/>
  <c r="AF1721" i="8" s="1"/>
  <c r="AE784" i="8"/>
  <c r="AF784" i="8" s="1"/>
  <c r="AE1725" i="8"/>
  <c r="AF1725" i="8" s="1"/>
  <c r="AE191" i="8"/>
  <c r="AF191" i="8" s="1"/>
  <c r="AE1041" i="8"/>
  <c r="AF1041" i="8" s="1"/>
  <c r="AE644" i="8"/>
  <c r="AF644" i="8" s="1"/>
  <c r="AE655" i="8"/>
  <c r="AF655" i="8" s="1"/>
  <c r="AE1387" i="8"/>
  <c r="AF1387" i="8" s="1"/>
  <c r="AE307" i="8"/>
  <c r="AF307" i="8" s="1"/>
  <c r="AE1160" i="8"/>
  <c r="AF1160" i="8" s="1"/>
  <c r="AE1045" i="8"/>
  <c r="AF1045" i="8" s="1"/>
  <c r="AE891" i="8"/>
  <c r="AF891" i="8" s="1"/>
  <c r="AE1205" i="8"/>
  <c r="AF1205" i="8" s="1"/>
  <c r="AE428" i="8"/>
  <c r="AF428" i="8" s="1"/>
  <c r="AE429" i="8"/>
  <c r="AF429" i="8" s="1"/>
  <c r="AE607" i="8"/>
  <c r="AF607" i="8" s="1"/>
  <c r="AE427" i="8"/>
  <c r="AF427" i="8" s="1"/>
  <c r="AE430" i="8"/>
  <c r="AF430" i="8" s="1"/>
  <c r="AE431" i="8"/>
  <c r="AF431" i="8" s="1"/>
  <c r="AE627" i="8"/>
  <c r="AF627" i="8" s="1"/>
  <c r="AE1137" i="8"/>
  <c r="AF1137" i="8" s="1"/>
  <c r="AE816" i="8"/>
  <c r="AF816" i="8" s="1"/>
  <c r="AE1136" i="8"/>
  <c r="AF1136" i="8" s="1"/>
  <c r="AE1401" i="8"/>
  <c r="AF1401" i="8" s="1"/>
  <c r="AE1204" i="8"/>
  <c r="AF1204" i="8" s="1"/>
  <c r="AE1409" i="8"/>
  <c r="AF1409" i="8" s="1"/>
  <c r="AE394" i="8"/>
  <c r="AF394" i="8" s="1"/>
  <c r="AE1600" i="8"/>
  <c r="AF1600" i="8" s="1"/>
  <c r="AE1605" i="8"/>
  <c r="AF1605" i="8" s="1"/>
  <c r="AE1607" i="8"/>
  <c r="AF1607" i="8" s="1"/>
  <c r="AE918" i="8"/>
  <c r="AF918" i="8" s="1"/>
  <c r="AE912" i="8"/>
  <c r="AF912" i="8" s="1"/>
  <c r="AE913" i="8"/>
  <c r="AF913" i="8" s="1"/>
  <c r="AE930" i="8"/>
  <c r="AF930" i="8" s="1"/>
  <c r="AE929" i="8"/>
  <c r="AF929" i="8" s="1"/>
  <c r="AE925" i="8"/>
  <c r="AF925" i="8" s="1"/>
  <c r="AE934" i="8"/>
  <c r="AF934" i="8" s="1"/>
  <c r="AE935" i="8"/>
  <c r="AF935" i="8" s="1"/>
  <c r="AE942" i="8"/>
  <c r="AF942" i="8" s="1"/>
  <c r="AE948" i="8"/>
  <c r="AF948" i="8" s="1"/>
  <c r="AE946" i="8"/>
  <c r="AF946" i="8" s="1"/>
  <c r="AE945" i="8"/>
  <c r="AF945" i="8" s="1"/>
  <c r="AE965" i="8"/>
  <c r="AF965" i="8" s="1"/>
  <c r="AE964" i="8"/>
  <c r="AF964" i="8" s="1"/>
  <c r="AE961" i="8"/>
  <c r="AF961" i="8" s="1"/>
  <c r="AE973" i="8"/>
  <c r="AF973" i="8" s="1"/>
  <c r="AE976" i="8"/>
  <c r="AF976" i="8" s="1"/>
  <c r="AE971" i="8"/>
  <c r="AF971" i="8" s="1"/>
  <c r="AE1727" i="8"/>
  <c r="AF1727" i="8" s="1"/>
  <c r="AE189" i="8"/>
  <c r="AF189" i="8" s="1"/>
  <c r="AE1209" i="8"/>
  <c r="AF1209" i="8" s="1"/>
  <c r="AE239" i="8"/>
  <c r="AF239" i="8" s="1"/>
  <c r="AE672" i="8"/>
  <c r="AF672" i="8" s="1"/>
  <c r="AE1774" i="8"/>
  <c r="AF1774" i="8" s="1"/>
  <c r="AE1776" i="8"/>
  <c r="AF1776" i="8" s="1"/>
  <c r="AE243" i="8"/>
  <c r="AF243" i="8" s="1"/>
  <c r="AE726" i="8"/>
  <c r="AF726" i="8" s="1"/>
  <c r="AE564" i="8"/>
  <c r="AF564" i="8" s="1"/>
  <c r="AE1356" i="8"/>
  <c r="AF1356" i="8" s="1"/>
  <c r="AE1157" i="8"/>
  <c r="AF1157" i="8" s="1"/>
  <c r="AE1038" i="8"/>
  <c r="AF1038" i="8" s="1"/>
  <c r="AE1036" i="8"/>
  <c r="AF1036" i="8" s="1"/>
  <c r="AE1478" i="8"/>
  <c r="AF1478" i="8" s="1"/>
  <c r="AE438" i="8"/>
  <c r="AF438" i="8" s="1"/>
  <c r="AE1462" i="8"/>
  <c r="AF1462" i="8" s="1"/>
  <c r="AE1410" i="8"/>
  <c r="AF1410" i="8" s="1"/>
  <c r="AE1448" i="8"/>
  <c r="AF1448" i="8" s="1"/>
  <c r="AE814" i="8"/>
  <c r="AF814" i="8" s="1"/>
  <c r="AE1889" i="8"/>
  <c r="AF1889" i="8" s="1"/>
  <c r="AE883" i="8"/>
  <c r="AF883" i="8" s="1"/>
  <c r="AE893" i="8"/>
  <c r="AF893" i="8" s="1"/>
  <c r="AE1756" i="8"/>
  <c r="AF1756" i="8" s="1"/>
  <c r="AE1754" i="8"/>
  <c r="AF1754" i="8" s="1"/>
  <c r="AE1755" i="8"/>
  <c r="AF1755" i="8" s="1"/>
  <c r="AE693" i="8"/>
  <c r="AF693" i="8" s="1"/>
  <c r="AE177" i="8"/>
  <c r="AF177" i="8" s="1"/>
  <c r="AE1207" i="8"/>
  <c r="AF1207" i="8" s="1"/>
  <c r="AE1804" i="8"/>
  <c r="AF1804" i="8" s="1"/>
  <c r="AE1827" i="8"/>
  <c r="AF1827" i="8" s="1"/>
  <c r="AE1806" i="8"/>
  <c r="AF1806" i="8" s="1"/>
  <c r="AE1807" i="8"/>
  <c r="AF1807" i="8" s="1"/>
  <c r="AE1805" i="8"/>
  <c r="AF1805" i="8" s="1"/>
  <c r="AE1247" i="8"/>
  <c r="AF1247" i="8" s="1"/>
  <c r="AE45" i="8"/>
  <c r="AF45" i="8" s="1"/>
  <c r="AE46" i="8"/>
  <c r="AF46" i="8" s="1"/>
  <c r="AE44" i="8"/>
  <c r="AF44" i="8" s="1"/>
  <c r="AE1346" i="8"/>
  <c r="AF1346" i="8" s="1"/>
  <c r="AE1347" i="8"/>
  <c r="AF1347" i="8" s="1"/>
  <c r="AE1476" i="8"/>
  <c r="AF1476" i="8" s="1"/>
  <c r="AE1477" i="8"/>
  <c r="AF1477" i="8" s="1"/>
  <c r="AE1611" i="8"/>
  <c r="AF1611" i="8" s="1"/>
  <c r="AE1596" i="8"/>
  <c r="AF1596" i="8" s="1"/>
  <c r="AE1604" i="8"/>
  <c r="AF1604" i="8" s="1"/>
  <c r="AE1603" i="8"/>
  <c r="AF1603" i="8" s="1"/>
  <c r="AE1608" i="8"/>
  <c r="AF1608" i="8" s="1"/>
  <c r="AE909" i="8"/>
  <c r="AF909" i="8" s="1"/>
  <c r="AE911" i="8"/>
  <c r="AF911" i="8" s="1"/>
  <c r="AE907" i="8"/>
  <c r="AF907" i="8" s="1"/>
  <c r="AE919" i="8"/>
  <c r="AF919" i="8" s="1"/>
  <c r="AE924" i="8"/>
  <c r="AF924" i="8" s="1"/>
  <c r="AE921" i="8"/>
  <c r="AF921" i="8" s="1"/>
  <c r="AE932" i="8"/>
  <c r="AF932" i="8" s="1"/>
  <c r="AE936" i="8"/>
  <c r="AF936" i="8" s="1"/>
  <c r="AE941" i="8"/>
  <c r="AF941" i="8" s="1"/>
  <c r="AE944" i="8"/>
  <c r="AF944" i="8" s="1"/>
  <c r="AE950" i="8"/>
  <c r="AF950" i="8" s="1"/>
  <c r="AE943" i="8"/>
  <c r="AF943" i="8" s="1"/>
  <c r="AE958" i="8"/>
  <c r="AF958" i="8" s="1"/>
  <c r="AE959" i="8"/>
  <c r="AF959" i="8" s="1"/>
  <c r="AE960" i="8"/>
  <c r="AF960" i="8" s="1"/>
  <c r="AE975" i="8"/>
  <c r="AF975" i="8" s="1"/>
  <c r="AE977" i="8"/>
  <c r="AF977" i="8" s="1"/>
  <c r="AE969" i="8"/>
  <c r="AF969" i="8" s="1"/>
  <c r="AE1210" i="8"/>
  <c r="AF1210" i="8" s="1"/>
  <c r="AE671" i="8"/>
  <c r="AF671" i="8" s="1"/>
  <c r="AE1218" i="8"/>
  <c r="AF1218" i="8" s="1"/>
  <c r="AE1220" i="8"/>
  <c r="AF1220" i="8" s="1"/>
  <c r="AE242" i="8"/>
  <c r="AF242" i="8" s="1"/>
  <c r="AE1775" i="8"/>
  <c r="AF1775" i="8" s="1"/>
  <c r="AE1091" i="8"/>
  <c r="AF1091" i="8" s="1"/>
  <c r="AE244" i="8"/>
  <c r="AF244" i="8" s="1"/>
  <c r="AE567" i="8"/>
  <c r="AF567" i="8" s="1"/>
  <c r="AE1897" i="8"/>
  <c r="AF1897" i="8" s="1"/>
  <c r="AE1481" i="8"/>
  <c r="AF1481" i="8" s="1"/>
  <c r="AE645" i="8"/>
  <c r="AF645" i="8" s="1"/>
  <c r="AE237" i="8"/>
  <c r="AF237" i="8" s="1"/>
  <c r="AE440" i="8"/>
  <c r="AF440" i="8" s="1"/>
  <c r="AE1031" i="8"/>
  <c r="AF1031" i="8" s="1"/>
  <c r="AE1032" i="8"/>
  <c r="AF1032" i="8" s="1"/>
  <c r="AE1412" i="8"/>
  <c r="AF1412" i="8" s="1"/>
  <c r="AE626" i="8"/>
  <c r="AF626" i="8" s="1"/>
  <c r="AE480" i="8"/>
  <c r="AF480" i="8" s="1"/>
  <c r="AE433" i="8"/>
  <c r="AF433" i="8" s="1"/>
  <c r="AE434" i="8"/>
  <c r="AF434" i="8" s="1"/>
  <c r="AE1800" i="8"/>
  <c r="AF1800" i="8" s="1"/>
  <c r="AE1891" i="8"/>
  <c r="AF1891" i="8" s="1"/>
  <c r="AE396" i="8"/>
  <c r="AF396" i="8" s="1"/>
  <c r="AE788" i="8"/>
  <c r="AF788" i="8" s="1"/>
  <c r="AE892" i="8"/>
  <c r="AF892" i="8" s="1"/>
  <c r="AE890" i="8"/>
  <c r="AF890" i="8" s="1"/>
  <c r="AE156" i="8"/>
  <c r="AF156" i="8" s="1"/>
  <c r="AE155" i="8"/>
  <c r="AF155" i="8" s="1"/>
  <c r="AE1171" i="8"/>
  <c r="AF1171" i="8" s="1"/>
  <c r="AE697" i="8"/>
  <c r="AF697" i="8" s="1"/>
  <c r="AE1758" i="8"/>
  <c r="AF1758" i="8" s="1"/>
  <c r="AE158" i="8"/>
  <c r="AF158" i="8" s="1"/>
  <c r="AE613" i="8"/>
  <c r="AF613" i="8" s="1"/>
  <c r="AE1208" i="8"/>
  <c r="AF1208" i="8" s="1"/>
  <c r="AE610" i="8"/>
  <c r="AF610" i="8" s="1"/>
  <c r="AE609" i="8"/>
  <c r="AF609" i="8" s="1"/>
  <c r="AE1610" i="8"/>
  <c r="AF1610" i="8" s="1"/>
  <c r="AE1601" i="8"/>
  <c r="AF1601" i="8" s="1"/>
  <c r="AE1609" i="8"/>
  <c r="AF1609" i="8" s="1"/>
  <c r="AE916" i="8"/>
  <c r="AF916" i="8" s="1"/>
  <c r="AE917" i="8"/>
  <c r="AF917" i="8" s="1"/>
  <c r="AE914" i="8"/>
  <c r="AF914" i="8" s="1"/>
  <c r="AE927" i="8"/>
  <c r="AF927" i="8" s="1"/>
  <c r="AE923" i="8"/>
  <c r="AF923" i="8" s="1"/>
  <c r="AE920" i="8"/>
  <c r="AF920" i="8" s="1"/>
  <c r="AE939" i="8"/>
  <c r="AF939" i="8" s="1"/>
  <c r="AE933" i="8"/>
  <c r="AF933" i="8" s="1"/>
  <c r="AE931" i="8"/>
  <c r="AF931" i="8" s="1"/>
  <c r="AE947" i="8"/>
  <c r="AF947" i="8" s="1"/>
  <c r="AE952" i="8"/>
  <c r="AF952" i="8" s="1"/>
  <c r="AE954" i="8"/>
  <c r="AF954" i="8" s="1"/>
  <c r="AE955" i="8"/>
  <c r="AF955" i="8" s="1"/>
  <c r="AE966" i="8"/>
  <c r="AF966" i="8" s="1"/>
  <c r="AE957" i="8"/>
  <c r="AF957" i="8" s="1"/>
  <c r="AE968" i="8"/>
  <c r="AF968" i="8" s="1"/>
  <c r="AE972" i="8"/>
  <c r="AF972" i="8" s="1"/>
  <c r="AE967" i="8"/>
  <c r="AF967" i="8" s="1"/>
  <c r="AE1729" i="8"/>
  <c r="AF1729" i="8" s="1"/>
  <c r="AE1726" i="8"/>
  <c r="AF1726" i="8" s="1"/>
  <c r="AE188" i="8"/>
  <c r="AF188" i="8" s="1"/>
  <c r="AE1211" i="8"/>
  <c r="AF1211" i="8" s="1"/>
  <c r="AE190" i="8"/>
  <c r="AF190" i="8" s="1"/>
  <c r="AE238" i="8"/>
  <c r="AF238" i="8" s="1"/>
  <c r="AE1773" i="8"/>
  <c r="AF1773" i="8" s="1"/>
  <c r="AE1217" i="8"/>
  <c r="AF1217" i="8" s="1"/>
  <c r="AE673" i="8"/>
  <c r="AF673" i="8" s="1"/>
  <c r="AE725" i="8"/>
  <c r="AF725" i="8" s="1"/>
  <c r="AE1090" i="8"/>
  <c r="AF1090" i="8" s="1"/>
  <c r="AE565" i="8"/>
  <c r="AF565" i="8" s="1"/>
  <c r="AE1896" i="8"/>
  <c r="AF1896" i="8" s="1"/>
  <c r="AE1159" i="8"/>
  <c r="AF1159" i="8" s="1"/>
  <c r="AE1035" i="8"/>
  <c r="AF1035" i="8" s="1"/>
  <c r="AE236" i="8"/>
  <c r="AF236" i="8" s="1"/>
  <c r="AE1480" i="8"/>
  <c r="AF1480" i="8" s="1"/>
  <c r="AE1461" i="8"/>
  <c r="AF1461" i="8" s="1"/>
  <c r="AE439" i="8"/>
  <c r="AF439" i="8" s="1"/>
  <c r="AE1460" i="8"/>
  <c r="AF1460" i="8" s="1"/>
  <c r="AE1411" i="8"/>
  <c r="AF1411" i="8" s="1"/>
  <c r="AE91" i="8"/>
  <c r="AF91" i="8" s="1"/>
  <c r="AE1044" i="8"/>
  <c r="AF1044" i="8" s="1"/>
  <c r="AE841" i="8"/>
  <c r="AF841" i="8" s="1"/>
  <c r="AE1450" i="8"/>
  <c r="AF1450" i="8" s="1"/>
  <c r="AE1801" i="8"/>
  <c r="AF1801" i="8" s="1"/>
  <c r="AE395" i="8"/>
  <c r="AF395" i="8" s="1"/>
  <c r="AE785" i="8"/>
  <c r="AF785" i="8" s="1"/>
  <c r="AE887" i="8"/>
  <c r="AF887" i="8" s="1"/>
  <c r="AE179" i="8"/>
  <c r="AF179" i="8" s="1"/>
  <c r="AE611" i="8"/>
  <c r="AF611" i="8" s="1"/>
  <c r="AE612" i="8"/>
  <c r="AF612" i="8" s="1"/>
  <c r="AE616" i="8"/>
  <c r="AF616" i="8" s="1"/>
  <c r="AE621" i="8"/>
  <c r="AF621" i="8" s="1"/>
  <c r="AE622" i="8"/>
  <c r="AF622" i="8" s="1"/>
  <c r="AE171" i="8"/>
  <c r="AF171" i="8" s="1"/>
  <c r="AE623" i="8"/>
  <c r="AF623" i="8" s="1"/>
  <c r="AE1908" i="8"/>
  <c r="AF1908" i="8" s="1"/>
  <c r="AE1909" i="8"/>
  <c r="AF1909" i="8" s="1"/>
  <c r="AE1907" i="8"/>
  <c r="AF1907" i="8" s="1"/>
  <c r="AE1905" i="8"/>
  <c r="AF1905" i="8" s="1"/>
  <c r="AE1903" i="8"/>
  <c r="AF1903" i="8" s="1"/>
  <c r="AE1906" i="8"/>
  <c r="AF1906" i="8" s="1"/>
  <c r="AE1904" i="8"/>
  <c r="AF1904" i="8" s="1"/>
  <c r="AE1835" i="8"/>
  <c r="AF1835" i="8" s="1"/>
  <c r="AE1836" i="8"/>
  <c r="AF1836" i="8" s="1"/>
  <c r="AE1837" i="8"/>
  <c r="AF1837" i="8" s="1"/>
  <c r="AE1541" i="8"/>
  <c r="AF1541" i="8" s="1"/>
  <c r="AE1542" i="8"/>
  <c r="AF1542" i="8" s="1"/>
  <c r="AE1543" i="8"/>
  <c r="AF1543" i="8" s="1"/>
  <c r="AE1544" i="8"/>
  <c r="AF1544" i="8" s="1"/>
  <c r="AE1545" i="8"/>
  <c r="AF1545" i="8" s="1"/>
  <c r="AE1546" i="8"/>
  <c r="AF1546" i="8" s="1"/>
  <c r="AE1547" i="8"/>
  <c r="AF1547" i="8" s="1"/>
  <c r="AE1549" i="8"/>
  <c r="AF1549" i="8" s="1"/>
  <c r="AE1550" i="8"/>
  <c r="AF1550" i="8" s="1"/>
  <c r="AE1539" i="8"/>
  <c r="AF1539" i="8" s="1"/>
  <c r="AE1548" i="8"/>
  <c r="AF1548" i="8" s="1"/>
  <c r="AE1540" i="8"/>
  <c r="AF1540" i="8" s="1"/>
  <c r="AE1769" i="8"/>
  <c r="AF1769" i="8" s="1"/>
  <c r="AE1770" i="8"/>
  <c r="AF1770" i="8" s="1"/>
  <c r="AE1772" i="8"/>
  <c r="AF1772" i="8" s="1"/>
  <c r="AE1771" i="8"/>
  <c r="AF1771" i="8" s="1"/>
  <c r="AE1704" i="8"/>
  <c r="AF1704" i="8" s="1"/>
  <c r="AE1700" i="8"/>
  <c r="AF1700" i="8" s="1"/>
  <c r="AE1699" i="8"/>
  <c r="AF1699" i="8" s="1"/>
  <c r="AE1701" i="8"/>
  <c r="AF1701" i="8" s="1"/>
  <c r="AE1703" i="8"/>
  <c r="AF1703" i="8" s="1"/>
  <c r="AE1702" i="8"/>
  <c r="AF1702" i="8" s="1"/>
  <c r="AE1724" i="8"/>
  <c r="AF1724" i="8" s="1"/>
  <c r="AE1723" i="8"/>
  <c r="AF1723" i="8" s="1"/>
  <c r="AE1846" i="8"/>
  <c r="AF1846" i="8" s="1"/>
  <c r="AE1845" i="8"/>
  <c r="AF1845" i="8" s="1"/>
  <c r="AE1515" i="8"/>
  <c r="AF1515" i="8" s="1"/>
  <c r="AE1525" i="8"/>
  <c r="AF1525" i="8" s="1"/>
  <c r="AE1516" i="8"/>
  <c r="AF1516" i="8" s="1"/>
  <c r="AE1517" i="8"/>
  <c r="AF1517" i="8" s="1"/>
  <c r="AE1518" i="8"/>
  <c r="AF1518" i="8" s="1"/>
  <c r="AE1519" i="8"/>
  <c r="AF1519" i="8" s="1"/>
  <c r="AE1520" i="8"/>
  <c r="AF1520" i="8" s="1"/>
  <c r="AE1521" i="8"/>
  <c r="AF1521" i="8" s="1"/>
  <c r="AE1522" i="8"/>
  <c r="AF1522" i="8" s="1"/>
  <c r="AE1523" i="8"/>
  <c r="AF1523" i="8" s="1"/>
  <c r="AE1524" i="8"/>
  <c r="AF1524" i="8" s="1"/>
  <c r="AE1526" i="8"/>
  <c r="AF1526" i="8" s="1"/>
  <c r="AE1537" i="8"/>
  <c r="AF1537" i="8" s="1"/>
  <c r="AE1527" i="8"/>
  <c r="AF1527" i="8" s="1"/>
  <c r="AE1538" i="8"/>
  <c r="AF1538" i="8" s="1"/>
  <c r="AE1534" i="8"/>
  <c r="AF1534" i="8" s="1"/>
  <c r="AE1528" i="8"/>
  <c r="AF1528" i="8" s="1"/>
  <c r="AE1536" i="8"/>
  <c r="AF1536" i="8" s="1"/>
  <c r="AE1535" i="8"/>
  <c r="AF1535" i="8" s="1"/>
  <c r="AE1533" i="8"/>
  <c r="AF1533" i="8" s="1"/>
  <c r="AE1532" i="8"/>
  <c r="AF1532" i="8" s="1"/>
  <c r="AE1531" i="8"/>
  <c r="AF1531" i="8" s="1"/>
  <c r="AE1530" i="8"/>
  <c r="AF1530" i="8" s="1"/>
  <c r="AE1529" i="8"/>
  <c r="AF1529" i="8" s="1"/>
  <c r="AE1562" i="8"/>
  <c r="AF1562" i="8" s="1"/>
  <c r="AE1560" i="8"/>
  <c r="AF1560" i="8" s="1"/>
  <c r="AE1557" i="8"/>
  <c r="AF1557" i="8" s="1"/>
  <c r="AE1559" i="8"/>
  <c r="AF1559" i="8" s="1"/>
  <c r="AE1561" i="8"/>
  <c r="AF1561" i="8" s="1"/>
  <c r="AE1551" i="8"/>
  <c r="AF1551" i="8" s="1"/>
  <c r="AE1552" i="8"/>
  <c r="AF1552" i="8" s="1"/>
  <c r="AE1553" i="8"/>
  <c r="AF1553" i="8" s="1"/>
  <c r="AE1558" i="8"/>
  <c r="AF1558" i="8" s="1"/>
  <c r="AE1554" i="8"/>
  <c r="AF1554" i="8" s="1"/>
  <c r="AE1555" i="8"/>
  <c r="AF1555" i="8" s="1"/>
  <c r="AE1556" i="8"/>
  <c r="AF1556" i="8" s="1"/>
  <c r="AE1574" i="8"/>
  <c r="AF1574" i="8" s="1"/>
  <c r="AE1570" i="8"/>
  <c r="AF1570" i="8" s="1"/>
  <c r="AE1564" i="8"/>
  <c r="AF1564" i="8" s="1"/>
  <c r="AE1572" i="8"/>
  <c r="AF1572" i="8" s="1"/>
  <c r="AE1568" i="8"/>
  <c r="AF1568" i="8" s="1"/>
  <c r="AE1565" i="8"/>
  <c r="AF1565" i="8" s="1"/>
  <c r="AE1573" i="8"/>
  <c r="AF1573" i="8" s="1"/>
  <c r="AE1571" i="8"/>
  <c r="AF1571" i="8" s="1"/>
  <c r="AE1569" i="8"/>
  <c r="AF1569" i="8" s="1"/>
  <c r="AE1566" i="8"/>
  <c r="AF1566" i="8" s="1"/>
  <c r="AE1567" i="8"/>
  <c r="AF1567" i="8" s="1"/>
  <c r="AE1563" i="8"/>
  <c r="AF1563" i="8" s="1"/>
  <c r="AE1584" i="8"/>
  <c r="AF1584" i="8" s="1"/>
  <c r="AE1586" i="8"/>
  <c r="AF1586" i="8" s="1"/>
  <c r="AE1579" i="8"/>
  <c r="AF1579" i="8" s="1"/>
  <c r="AE1578" i="8"/>
  <c r="AF1578" i="8" s="1"/>
  <c r="AE1576" i="8"/>
  <c r="AF1576" i="8" s="1"/>
  <c r="AE1585" i="8"/>
  <c r="AF1585" i="8" s="1"/>
  <c r="AE1580" i="8"/>
  <c r="AF1580" i="8" s="1"/>
  <c r="AE1581" i="8"/>
  <c r="AF1581" i="8" s="1"/>
  <c r="AE1583" i="8"/>
  <c r="AF1583" i="8" s="1"/>
  <c r="AE1575" i="8"/>
  <c r="AF1575" i="8" s="1"/>
  <c r="AE1577" i="8"/>
  <c r="AF1577" i="8" s="1"/>
  <c r="AE1582" i="8"/>
  <c r="AF1582" i="8" s="1"/>
  <c r="AE1598" i="8"/>
  <c r="AF1598" i="8" s="1"/>
  <c r="AE1589" i="8"/>
  <c r="AF1589" i="8" s="1"/>
  <c r="AE1587" i="8"/>
  <c r="AF1587" i="8" s="1"/>
  <c r="AE1590" i="8"/>
  <c r="AF1590" i="8" s="1"/>
  <c r="AE1597" i="8"/>
  <c r="AF1597" i="8" s="1"/>
  <c r="AE1593" i="8"/>
  <c r="AF1593" i="8" s="1"/>
  <c r="AE1591" i="8"/>
  <c r="AF1591" i="8" s="1"/>
  <c r="AE1588" i="8"/>
  <c r="AF1588" i="8" s="1"/>
  <c r="AE1592" i="8"/>
  <c r="AF1592" i="8" s="1"/>
  <c r="AE1594" i="8"/>
  <c r="AF1594" i="8" s="1"/>
  <c r="AE1595" i="8"/>
  <c r="AF1595" i="8" s="1"/>
  <c r="AE1602" i="8"/>
  <c r="AF1602" i="8" s="1"/>
  <c r="AE1599" i="8"/>
  <c r="AF1599" i="8" s="1"/>
  <c r="AE1606" i="8"/>
  <c r="AF1606" i="8" s="1"/>
  <c r="AE915" i="8"/>
  <c r="AF915" i="8" s="1"/>
  <c r="AE910" i="8"/>
  <c r="AF910" i="8" s="1"/>
  <c r="AE908" i="8"/>
  <c r="AF908" i="8" s="1"/>
  <c r="AE922" i="8"/>
  <c r="AF922" i="8" s="1"/>
  <c r="AE928" i="8"/>
  <c r="AF928" i="8" s="1"/>
  <c r="AE926" i="8"/>
  <c r="AF926" i="8" s="1"/>
  <c r="AE940" i="8"/>
  <c r="AF940" i="8" s="1"/>
  <c r="AE938" i="8"/>
  <c r="AF938" i="8" s="1"/>
  <c r="AE937" i="8"/>
  <c r="AF937" i="8" s="1"/>
  <c r="AE949" i="8"/>
  <c r="AF949" i="8" s="1"/>
  <c r="AE951" i="8"/>
  <c r="AF951" i="8" s="1"/>
  <c r="AE953" i="8"/>
  <c r="AF953" i="8" s="1"/>
  <c r="AE956" i="8"/>
  <c r="AF956" i="8" s="1"/>
  <c r="AE963" i="8"/>
  <c r="AF963" i="8" s="1"/>
  <c r="AE962" i="8"/>
  <c r="AF962" i="8" s="1"/>
  <c r="AE978" i="8"/>
  <c r="AF978" i="8" s="1"/>
  <c r="AE974" i="8"/>
  <c r="AF974" i="8" s="1"/>
  <c r="AE970" i="8"/>
  <c r="AF970" i="8" s="1"/>
  <c r="AE1730" i="8"/>
  <c r="AF1730" i="8" s="1"/>
  <c r="AE1728" i="8"/>
  <c r="AF1728" i="8" s="1"/>
  <c r="AE1212" i="8"/>
  <c r="AF1212" i="8" s="1"/>
  <c r="AE187" i="8"/>
  <c r="AF187" i="8" s="1"/>
  <c r="AE241" i="8"/>
  <c r="AF241" i="8" s="1"/>
  <c r="AE240" i="8"/>
  <c r="AF240" i="8" s="1"/>
  <c r="AE1219" i="8"/>
  <c r="AF1219" i="8" s="1"/>
  <c r="AE670" i="8"/>
  <c r="AF670" i="8" s="1"/>
  <c r="AE245" i="8"/>
  <c r="AF245" i="8" s="1"/>
  <c r="AE246" i="8"/>
  <c r="AF246" i="8" s="1"/>
  <c r="AE1357" i="8"/>
  <c r="AF1357" i="8" s="1"/>
  <c r="AE566" i="8"/>
  <c r="AF566" i="8" s="1"/>
  <c r="AE1158" i="8"/>
  <c r="AF1158" i="8" s="1"/>
  <c r="AE1692" i="8"/>
  <c r="AF1692" i="8" s="1"/>
  <c r="AE646" i="8"/>
  <c r="AF646" i="8" s="1"/>
  <c r="AE1034" i="8"/>
  <c r="AF1034" i="8" s="1"/>
  <c r="AE1459" i="8"/>
  <c r="AF1459" i="8" s="1"/>
  <c r="AE89" i="8"/>
  <c r="AF89" i="8" s="1"/>
  <c r="AE628" i="8"/>
  <c r="AF628" i="8" s="1"/>
  <c r="AE1720" i="8"/>
  <c r="AF1720" i="8" s="1"/>
  <c r="AE839" i="8"/>
  <c r="AF839" i="8" s="1"/>
  <c r="AE1449" i="8"/>
  <c r="AF1449" i="8" s="1"/>
  <c r="AE813" i="8"/>
  <c r="AF813" i="8" s="1"/>
  <c r="AE1497" i="8"/>
  <c r="AF1497" i="8" s="1"/>
  <c r="AE1496" i="8"/>
  <c r="AF1496" i="8" s="1"/>
  <c r="AE886" i="8"/>
  <c r="AF886" i="8" s="1"/>
  <c r="AE885" i="8"/>
  <c r="AF885" i="8" s="1"/>
  <c r="AE180" i="8"/>
  <c r="AF180" i="8" s="1"/>
  <c r="AE1379" i="8"/>
  <c r="AF1379" i="8" s="1"/>
  <c r="AE1380" i="8"/>
  <c r="AF1380" i="8" s="1"/>
  <c r="AE1767" i="8"/>
  <c r="AF1767" i="8" s="1"/>
  <c r="AE1381" i="8"/>
  <c r="AF1381" i="8" s="1"/>
  <c r="AE1378" i="8"/>
  <c r="AF1378" i="8" s="1"/>
  <c r="AE1766" i="8"/>
  <c r="AF1766" i="8" s="1"/>
  <c r="AE1765" i="8"/>
  <c r="AF1765" i="8" s="1"/>
  <c r="AE1768" i="8"/>
  <c r="AF1768" i="8" s="1"/>
  <c r="AE989" i="8"/>
  <c r="AF989" i="8" s="1"/>
  <c r="AE98" i="8"/>
  <c r="AF98" i="8" s="1"/>
  <c r="AE97" i="8"/>
  <c r="AF97" i="8" s="1"/>
  <c r="AE96" i="8"/>
  <c r="AF96" i="8" s="1"/>
  <c r="AE1621" i="8"/>
  <c r="AF1621" i="8" s="1"/>
  <c r="AE1622" i="8"/>
  <c r="AF1622" i="8" s="1"/>
  <c r="AE1625" i="8"/>
  <c r="AF1625" i="8" s="1"/>
  <c r="AE511" i="8"/>
  <c r="AF511" i="8" s="1"/>
  <c r="AE513" i="8"/>
  <c r="AF513" i="8" s="1"/>
  <c r="AE985" i="8"/>
  <c r="AF985" i="8" s="1"/>
  <c r="AE510" i="8"/>
  <c r="AF510" i="8" s="1"/>
  <c r="AE512" i="8"/>
  <c r="AF512" i="8" s="1"/>
  <c r="AE988" i="8"/>
  <c r="AF988" i="8" s="1"/>
  <c r="AE100" i="8"/>
  <c r="AF100" i="8" s="1"/>
  <c r="AE987" i="8"/>
  <c r="AF987" i="8" s="1"/>
  <c r="AE1624" i="8"/>
  <c r="AF1624" i="8" s="1"/>
  <c r="AE986" i="8"/>
  <c r="AF986" i="8" s="1"/>
  <c r="AE99" i="8"/>
  <c r="AF99" i="8" s="1"/>
  <c r="AE1623" i="8"/>
  <c r="AF1623" i="8" s="1"/>
  <c r="AE255" i="8"/>
  <c r="AF255" i="8" s="1"/>
  <c r="AE752" i="8"/>
  <c r="AF752" i="8" s="1"/>
  <c r="AE257" i="8"/>
  <c r="AF257" i="8" s="1"/>
  <c r="AE781" i="8"/>
  <c r="AF781" i="8" s="1"/>
  <c r="AE751" i="8"/>
  <c r="AF751" i="8" s="1"/>
  <c r="AE256" i="8"/>
  <c r="AF256" i="8" s="1"/>
  <c r="AE258" i="8"/>
  <c r="AF258" i="8" s="1"/>
  <c r="AE1717" i="8"/>
  <c r="AF1717" i="8" s="1"/>
  <c r="AE1715" i="8"/>
  <c r="AF1715" i="8" s="1"/>
  <c r="AE1714" i="8"/>
  <c r="AF1714" i="8" s="1"/>
  <c r="AE1716" i="8"/>
  <c r="AF1716" i="8" s="1"/>
  <c r="AE1718" i="8"/>
  <c r="AF1718" i="8" s="1"/>
  <c r="AE1058" i="8"/>
  <c r="AF1058" i="8" s="1"/>
  <c r="AE1059" i="8"/>
  <c r="AF1059" i="8" s="1"/>
  <c r="AE453" i="8"/>
  <c r="AF453" i="8" s="1"/>
  <c r="AE452" i="8"/>
  <c r="AF452" i="8" s="1"/>
  <c r="AE1060" i="8"/>
  <c r="AF1060" i="8" s="1"/>
  <c r="AE1061" i="8"/>
  <c r="AF1061" i="8" s="1"/>
  <c r="AE454" i="8"/>
  <c r="AF454" i="8" s="1"/>
  <c r="AE991" i="8"/>
  <c r="AF991" i="8" s="1"/>
  <c r="AE993" i="8"/>
  <c r="AF993" i="8" s="1"/>
  <c r="AE1865" i="8"/>
  <c r="AF1865" i="8" s="1"/>
  <c r="AE1867" i="8"/>
  <c r="AF1867" i="8" s="1"/>
  <c r="AE1866" i="8"/>
  <c r="AF1866" i="8" s="1"/>
  <c r="AE1864" i="8"/>
  <c r="AF1864" i="8" s="1"/>
  <c r="AE1863" i="8"/>
  <c r="AF1863" i="8" s="1"/>
  <c r="AE992" i="8"/>
  <c r="AF992" i="8" s="1"/>
  <c r="AE990" i="8"/>
  <c r="AF990" i="8" s="1"/>
  <c r="AE1188" i="8"/>
  <c r="AF1188" i="8" s="1"/>
  <c r="AE1189" i="8"/>
  <c r="AF1189" i="8" s="1"/>
  <c r="AE786" i="8"/>
  <c r="AF786" i="8" s="1"/>
  <c r="AE888" i="8"/>
  <c r="AF888" i="8" s="1"/>
  <c r="AE889" i="8"/>
  <c r="AF889" i="8" s="1"/>
  <c r="AE1172" i="8"/>
  <c r="AF1172" i="8" s="1"/>
  <c r="AE157" i="8"/>
  <c r="AF157" i="8" s="1"/>
  <c r="AE178" i="8"/>
  <c r="AF178" i="8" s="1"/>
  <c r="AE1812" i="8"/>
  <c r="AF1812" i="8" s="1"/>
  <c r="AE1810" i="8"/>
  <c r="AF1810" i="8" s="1"/>
  <c r="AE1135" i="8"/>
  <c r="AF1135" i="8" s="1"/>
  <c r="AE175" i="8"/>
  <c r="AF175" i="8" s="1"/>
  <c r="AE1809" i="8"/>
  <c r="AF1809" i="8" s="1"/>
  <c r="AE1808" i="8"/>
  <c r="AF1808" i="8" s="1"/>
  <c r="AE1811" i="8"/>
  <c r="AF1811" i="8" s="1"/>
  <c r="AE1138" i="8"/>
  <c r="AF1138" i="8" s="1"/>
  <c r="AE760" i="8"/>
  <c r="AF760" i="8" s="1"/>
  <c r="AE757" i="8"/>
  <c r="AF757" i="8" s="1"/>
  <c r="AE759" i="8"/>
  <c r="AF759" i="8" s="1"/>
  <c r="AE758" i="8"/>
  <c r="AF758" i="8" s="1"/>
  <c r="AE761" i="8"/>
  <c r="AF761" i="8" s="1"/>
  <c r="AE1255" i="8"/>
  <c r="AF1255" i="8" s="1"/>
  <c r="AE1885" i="8"/>
  <c r="AF1885" i="8" s="1"/>
  <c r="AE1883" i="8"/>
  <c r="AF1883" i="8" s="1"/>
  <c r="AE1254" i="8"/>
  <c r="AF1254" i="8" s="1"/>
  <c r="AE1882" i="8"/>
  <c r="AF1882" i="8" s="1"/>
  <c r="AE1881" i="8"/>
  <c r="AF1881" i="8" s="1"/>
  <c r="AE1256" i="8"/>
  <c r="AF1256" i="8" s="1"/>
  <c r="AE1253" i="8"/>
  <c r="AF1253" i="8" s="1"/>
  <c r="AE1257" i="8"/>
  <c r="AF1257" i="8" s="1"/>
  <c r="AE576" i="8"/>
  <c r="AF576" i="8" s="1"/>
  <c r="AE577" i="8"/>
  <c r="AF577" i="8" s="1"/>
  <c r="AE578" i="8"/>
  <c r="AF578" i="8" s="1"/>
  <c r="AE579" i="8"/>
  <c r="AF579" i="8" s="1"/>
  <c r="AE580" i="8"/>
  <c r="AF580" i="8" s="1"/>
  <c r="AE1884" i="8"/>
  <c r="AF1884" i="8" s="1"/>
  <c r="AE575" i="8"/>
  <c r="AF575" i="8" s="1"/>
  <c r="AE1479" i="8"/>
  <c r="AF1479" i="8" s="1"/>
  <c r="AE1037" i="8"/>
  <c r="AF1037" i="8" s="1"/>
  <c r="AE1458" i="8"/>
  <c r="AF1458" i="8" s="1"/>
  <c r="AE1033" i="8"/>
  <c r="AF1033" i="8" s="1"/>
  <c r="AE90" i="8"/>
  <c r="AF90" i="8" s="1"/>
  <c r="AE1043" i="8"/>
  <c r="AF1043" i="8" s="1"/>
  <c r="AE479" i="8"/>
  <c r="AF479" i="8" s="1"/>
  <c r="AE1722" i="8"/>
  <c r="AF1722" i="8" s="1"/>
  <c r="AE432" i="8"/>
  <c r="AF432" i="8" s="1"/>
  <c r="AE1447" i="8"/>
  <c r="AF1447" i="8" s="1"/>
  <c r="AE1803" i="8"/>
  <c r="AF1803" i="8" s="1"/>
  <c r="AE1802" i="8"/>
  <c r="AF1802" i="8" s="1"/>
  <c r="AE1890" i="8"/>
  <c r="AF1890" i="8" s="1"/>
  <c r="AE1495" i="8"/>
  <c r="AF1495" i="8" s="1"/>
  <c r="AE884" i="8"/>
  <c r="AF884" i="8" s="1"/>
  <c r="AE894" i="8"/>
  <c r="AF894" i="8" s="1"/>
  <c r="AE694" i="8"/>
  <c r="AF694" i="8" s="1"/>
  <c r="AE695" i="8"/>
  <c r="AF695" i="8" s="1"/>
  <c r="AE154" i="8"/>
  <c r="AF154" i="8" s="1"/>
  <c r="AE696" i="8"/>
  <c r="AF696" i="8" s="1"/>
  <c r="AE1757" i="8"/>
  <c r="AF1757" i="8" s="1"/>
  <c r="AE1170" i="8"/>
  <c r="AF1170" i="8" s="1"/>
  <c r="AE1763" i="8"/>
  <c r="AF1763" i="8" s="1"/>
  <c r="AE1753" i="8"/>
  <c r="AF1753" i="8" s="1"/>
  <c r="AE1206" i="8"/>
  <c r="AF1206" i="8" s="1"/>
  <c r="AE1493" i="8"/>
  <c r="AF1493" i="8" s="1"/>
  <c r="AE688" i="8"/>
  <c r="AF688" i="8" s="1"/>
  <c r="AE689" i="8"/>
  <c r="AF689" i="8" s="1"/>
  <c r="AE72" i="8"/>
  <c r="AF72" i="8" s="1"/>
  <c r="AE70" i="8"/>
  <c r="AF70" i="8" s="1"/>
  <c r="AE71" i="8"/>
  <c r="AF71" i="8" s="1"/>
  <c r="AE68" i="8"/>
  <c r="AF68" i="8" s="1"/>
  <c r="AE69" i="8"/>
  <c r="AF69" i="8" s="1"/>
  <c r="AE73" i="8"/>
  <c r="AF73" i="8" s="1"/>
  <c r="AE39" i="8"/>
  <c r="AF39" i="8" s="1"/>
  <c r="AE38" i="8"/>
  <c r="AF38" i="8" s="1"/>
  <c r="AE36" i="8"/>
  <c r="AF36" i="8" s="1"/>
  <c r="AE37" i="8"/>
  <c r="AF37" i="8" s="1"/>
  <c r="AE1246" i="8"/>
  <c r="AF1246" i="8" s="1"/>
  <c r="AE1252" i="8"/>
  <c r="AF1252" i="8" s="1"/>
  <c r="AE1251" i="8"/>
  <c r="AF1251" i="8" s="1"/>
  <c r="AE1250" i="8"/>
  <c r="AF1250" i="8" s="1"/>
  <c r="AE1249" i="8"/>
  <c r="AF1249" i="8" s="1"/>
  <c r="AE1248" i="8"/>
  <c r="AF1248" i="8" s="1"/>
  <c r="AE1499" i="8"/>
  <c r="AF1499" i="8" s="1"/>
  <c r="AE173" i="8"/>
  <c r="AF173" i="8" s="1"/>
  <c r="AE615" i="8"/>
  <c r="AF615" i="8" s="1"/>
  <c r="AE1129" i="8"/>
  <c r="AF1129" i="8" s="1"/>
  <c r="AE1130" i="8"/>
  <c r="AF1130" i="8" s="1"/>
  <c r="AE1134" i="8"/>
  <c r="AF1134" i="8" s="1"/>
  <c r="AE1132" i="8"/>
  <c r="AF1132" i="8" s="1"/>
  <c r="AE1133" i="8"/>
  <c r="AF1133" i="8" s="1"/>
  <c r="AE1131" i="8"/>
  <c r="AF1131" i="8" s="1"/>
  <c r="AE1190" i="8"/>
  <c r="AF1190" i="8" s="1"/>
  <c r="AE1191" i="8"/>
  <c r="AF1191" i="8" s="1"/>
  <c r="AE1192" i="8"/>
  <c r="AF1192" i="8" s="1"/>
  <c r="AE1193" i="8"/>
  <c r="AF1193" i="8" s="1"/>
  <c r="AE492" i="8"/>
  <c r="AF492" i="8" s="1"/>
  <c r="AE1196" i="8"/>
  <c r="AF1196" i="8" s="1"/>
  <c r="AE1838" i="8"/>
  <c r="AF1838" i="8" s="1"/>
  <c r="AE1197" i="8"/>
  <c r="AF1197" i="8" s="1"/>
  <c r="AE1839" i="8"/>
  <c r="AF1839" i="8" s="1"/>
  <c r="AE490" i="8"/>
  <c r="AF490" i="8" s="1"/>
  <c r="AE1198" i="8"/>
  <c r="AF1198" i="8" s="1"/>
  <c r="AE1840" i="8"/>
  <c r="AF1840" i="8" s="1"/>
  <c r="AE1841" i="8"/>
  <c r="AF1841" i="8" s="1"/>
  <c r="AE493" i="8"/>
  <c r="AF493" i="8" s="1"/>
  <c r="AE491" i="8"/>
  <c r="AF491" i="8" s="1"/>
  <c r="AE1707" i="8"/>
  <c r="AF1707" i="8" s="1"/>
  <c r="AE1705" i="8"/>
  <c r="AF1705" i="8" s="1"/>
  <c r="AE443" i="8"/>
  <c r="AF443" i="8" s="1"/>
  <c r="AE441" i="8"/>
  <c r="AF441" i="8" s="1"/>
  <c r="AE442" i="8"/>
  <c r="AF442" i="8" s="1"/>
  <c r="AE1708" i="8"/>
  <c r="AF1708" i="8" s="1"/>
  <c r="AE1109" i="8"/>
  <c r="AF1109" i="8" s="1"/>
  <c r="AE1108" i="8"/>
  <c r="AF1108" i="8" s="1"/>
  <c r="AE1110" i="8"/>
  <c r="AF1110" i="8" s="1"/>
  <c r="AE1706" i="8"/>
  <c r="AF1706" i="8" s="1"/>
  <c r="AE532" i="8"/>
  <c r="AF532" i="8" s="1"/>
  <c r="AE533" i="8"/>
  <c r="AF533" i="8" s="1"/>
  <c r="AE1748" i="8"/>
  <c r="AF1748" i="8" s="1"/>
  <c r="AE1747" i="8"/>
  <c r="AF1747" i="8" s="1"/>
  <c r="AE197" i="8"/>
  <c r="AF197" i="8" s="1"/>
  <c r="AE199" i="8"/>
  <c r="AF199" i="8" s="1"/>
  <c r="AE1119" i="8"/>
  <c r="AF1119" i="8" s="1"/>
  <c r="AE1745" i="8"/>
  <c r="AF1745" i="8" s="1"/>
  <c r="AE1746" i="8"/>
  <c r="AF1746" i="8" s="1"/>
  <c r="AE1118" i="8"/>
  <c r="AF1118" i="8" s="1"/>
  <c r="AE198" i="8"/>
  <c r="AF198" i="8" s="1"/>
  <c r="AE114" i="8"/>
  <c r="AF114" i="8" s="1"/>
  <c r="AE116" i="8"/>
  <c r="AF116" i="8" s="1"/>
  <c r="AE115" i="8"/>
  <c r="AF115" i="8" s="1"/>
  <c r="AE1046" i="8"/>
  <c r="AF1046" i="8" s="1"/>
  <c r="AE1049" i="8"/>
  <c r="AF1049" i="8" s="1"/>
  <c r="AE1047" i="8"/>
  <c r="AF1047" i="8" s="1"/>
  <c r="AE1048" i="8"/>
  <c r="AF1048" i="8" s="1"/>
  <c r="AE1285" i="8"/>
  <c r="AF1285" i="8" s="1"/>
  <c r="AE1284" i="8"/>
  <c r="AF1284" i="8" s="1"/>
  <c r="AE1288" i="8"/>
  <c r="AF1288" i="8" s="1"/>
  <c r="AE1286" i="8"/>
  <c r="AF1286" i="8" s="1"/>
  <c r="AE1287" i="8"/>
  <c r="AF1287" i="8" s="1"/>
  <c r="AE1289" i="8"/>
  <c r="AF1289" i="8" s="1"/>
  <c r="AE1290" i="8"/>
  <c r="AF1290" i="8" s="1"/>
  <c r="AE1295" i="8"/>
  <c r="AF1295" i="8" s="1"/>
  <c r="AE1291" i="8"/>
  <c r="AF1291" i="8" s="1"/>
  <c r="AE1294" i="8"/>
  <c r="AF1294" i="8" s="1"/>
  <c r="AE1293" i="8"/>
  <c r="AF1293" i="8" s="1"/>
  <c r="AE1292" i="8"/>
  <c r="AF1292" i="8" s="1"/>
  <c r="AE1145" i="8"/>
  <c r="AF1145" i="8" s="1"/>
  <c r="AE1146" i="8"/>
  <c r="AF1146" i="8" s="1"/>
  <c r="AE1144" i="8"/>
  <c r="AF1144" i="8" s="1"/>
  <c r="AE1164" i="8"/>
  <c r="AF1164" i="8" s="1"/>
  <c r="AE1165" i="8"/>
  <c r="AF1165" i="8" s="1"/>
  <c r="AE1167" i="8"/>
  <c r="AF1167" i="8" s="1"/>
  <c r="AE1166" i="8"/>
  <c r="AF1166" i="8" s="1"/>
  <c r="AE1179" i="8"/>
  <c r="AF1179" i="8" s="1"/>
  <c r="AE1178" i="8"/>
  <c r="AF1178" i="8" s="1"/>
  <c r="AE1177" i="8"/>
  <c r="AF1177" i="8" s="1"/>
  <c r="AE1176" i="8"/>
  <c r="AF1176" i="8" s="1"/>
  <c r="AE1237" i="8"/>
  <c r="AF1237" i="8" s="1"/>
  <c r="AE1238" i="8"/>
  <c r="AF1238" i="8" s="1"/>
  <c r="AE1236" i="8"/>
  <c r="AF1236" i="8" s="1"/>
  <c r="AE1336" i="8"/>
  <c r="AF1336" i="8" s="1"/>
  <c r="AE1337" i="8"/>
  <c r="AF1337" i="8" s="1"/>
  <c r="AE1335" i="8"/>
  <c r="AF1335" i="8" s="1"/>
  <c r="AE1334" i="8"/>
  <c r="AF1334" i="8" s="1"/>
  <c r="AE1230" i="8"/>
  <c r="AF1230" i="8" s="1"/>
  <c r="AE1229" i="8"/>
  <c r="AF1229" i="8" s="1"/>
  <c r="AE1227" i="8"/>
  <c r="AF1227" i="8" s="1"/>
  <c r="AE1231" i="8"/>
  <c r="AF1231" i="8" s="1"/>
  <c r="AE1228" i="8"/>
  <c r="AF1228" i="8" s="1"/>
  <c r="AE1185" i="8"/>
  <c r="AF1185" i="8" s="1"/>
  <c r="AE1184" i="8"/>
  <c r="AF1184" i="8" s="1"/>
  <c r="AE1187" i="8"/>
  <c r="AF1187" i="8" s="1"/>
  <c r="AE1186" i="8"/>
  <c r="AF1186" i="8" s="1"/>
  <c r="AE1173" i="8"/>
  <c r="AF1173" i="8" s="1"/>
  <c r="AE1174" i="8"/>
  <c r="AF1174" i="8" s="1"/>
  <c r="AE1175" i="8"/>
  <c r="AF1175" i="8" s="1"/>
  <c r="AE1203" i="8"/>
  <c r="AF1203" i="8" s="1"/>
  <c r="AE1202" i="8"/>
  <c r="AF1202" i="8" s="1"/>
  <c r="AE1201" i="8"/>
  <c r="AF1201" i="8" s="1"/>
  <c r="AE1200" i="8"/>
  <c r="AF1200" i="8" s="1"/>
  <c r="AE1057" i="8"/>
  <c r="AF1057" i="8" s="1"/>
  <c r="AE1055" i="8"/>
  <c r="AF1055" i="8" s="1"/>
  <c r="AE1054" i="8"/>
  <c r="AF1054" i="8" s="1"/>
  <c r="AE1056" i="8"/>
  <c r="AF1056" i="8" s="1"/>
  <c r="AE1086" i="8"/>
  <c r="AF1086" i="8" s="1"/>
  <c r="AE1087" i="8"/>
  <c r="AF1087" i="8" s="1"/>
  <c r="AE1088" i="8"/>
  <c r="AF1088" i="8" s="1"/>
  <c r="AE1089" i="8"/>
  <c r="AF1089" i="8" s="1"/>
  <c r="AE1051" i="8"/>
  <c r="AF1051" i="8" s="1"/>
  <c r="AE1053" i="8"/>
  <c r="AF1053" i="8" s="1"/>
  <c r="AE1050" i="8"/>
  <c r="AF1050" i="8" s="1"/>
  <c r="AE1052" i="8"/>
  <c r="AF1052" i="8" s="1"/>
  <c r="AE1095" i="8"/>
  <c r="AF1095" i="8" s="1"/>
  <c r="AE572" i="8"/>
  <c r="AF572" i="8" s="1"/>
  <c r="AE1277" i="8"/>
  <c r="AF1277" i="8" s="1"/>
  <c r="AE1275" i="8"/>
  <c r="AF1275" i="8" s="1"/>
  <c r="AE1274" i="8"/>
  <c r="AF1274" i="8" s="1"/>
  <c r="AE1276" i="8"/>
  <c r="AF1276" i="8" s="1"/>
  <c r="AE1273" i="8"/>
  <c r="AF1273" i="8" s="1"/>
  <c r="AE1139" i="8"/>
  <c r="AF1139" i="8" s="1"/>
  <c r="AE1140" i="8"/>
  <c r="AF1140" i="8" s="1"/>
  <c r="AE550" i="8"/>
  <c r="AF550" i="8" s="1"/>
  <c r="AE1113" i="8"/>
  <c r="AF1113" i="8" s="1"/>
  <c r="AE548" i="8"/>
  <c r="AF548" i="8" s="1"/>
  <c r="AE651" i="8"/>
  <c r="AF651" i="8" s="1"/>
  <c r="AE1353" i="8"/>
  <c r="AF1353" i="8" s="1"/>
  <c r="AE509" i="8"/>
  <c r="AF509" i="8" s="1"/>
  <c r="AE1075" i="8"/>
  <c r="AF1075" i="8" s="1"/>
  <c r="AE1073" i="8"/>
  <c r="AF1073" i="8" s="1"/>
  <c r="AE821" i="8"/>
  <c r="AF821" i="8" s="1"/>
  <c r="AE822" i="8"/>
  <c r="AF822" i="8" s="1"/>
  <c r="AE1709" i="8"/>
  <c r="AF1709" i="8" s="1"/>
  <c r="AE1712" i="8"/>
  <c r="AF1712" i="8" s="1"/>
  <c r="AE447" i="8"/>
  <c r="AF447" i="8" s="1"/>
  <c r="AE1474" i="8"/>
  <c r="AF1474" i="8" s="1"/>
  <c r="AE1040" i="8"/>
  <c r="AF1040" i="8" s="1"/>
  <c r="AE642" i="8"/>
  <c r="AF642" i="8" s="1"/>
  <c r="AE699" i="8"/>
  <c r="AF699" i="8" s="1"/>
  <c r="AE700" i="8"/>
  <c r="AF700" i="8" s="1"/>
  <c r="AE1364" i="8"/>
  <c r="AF1364" i="8" s="1"/>
  <c r="AE219" i="8"/>
  <c r="AF219" i="8" s="1"/>
  <c r="AE1385" i="8"/>
  <c r="AF1385" i="8" s="1"/>
  <c r="AE1384" i="8"/>
  <c r="AF1384" i="8" s="1"/>
  <c r="AE304" i="8"/>
  <c r="AF304" i="8" s="1"/>
  <c r="AE629" i="8"/>
  <c r="AF629" i="8" s="1"/>
  <c r="AE1502" i="8"/>
  <c r="AF1502" i="8" s="1"/>
  <c r="AE247" i="8"/>
  <c r="AF247" i="8" s="1"/>
  <c r="AE249" i="8"/>
  <c r="AF249" i="8" s="1"/>
  <c r="AE229" i="8"/>
  <c r="AF229" i="8" s="1"/>
  <c r="AE1506" i="8"/>
  <c r="AF1506" i="8" s="1"/>
  <c r="AE1062" i="8"/>
  <c r="AF1062" i="8" s="1"/>
  <c r="AE1690" i="8"/>
  <c r="AF1690" i="8" s="1"/>
  <c r="AE1691" i="8"/>
  <c r="AF1691" i="8" s="1"/>
  <c r="AE772" i="8"/>
  <c r="AF772" i="8" s="1"/>
  <c r="AE1302" i="8"/>
  <c r="AF1302" i="8" s="1"/>
  <c r="AE270" i="8"/>
  <c r="AF270" i="8" s="1"/>
  <c r="AE1299" i="8"/>
  <c r="AF1299" i="8" s="1"/>
  <c r="AE1630" i="8"/>
  <c r="AF1630" i="8" s="1"/>
  <c r="AE1271" i="8"/>
  <c r="AF1271" i="8" s="1"/>
  <c r="AE801" i="8"/>
  <c r="AF801" i="8" s="1"/>
  <c r="AE144" i="8"/>
  <c r="AF144" i="8" s="1"/>
  <c r="AE1315" i="8"/>
  <c r="AF1315" i="8" s="1"/>
  <c r="AE769" i="8"/>
  <c r="AF769" i="8" s="1"/>
  <c r="AE1332" i="8"/>
  <c r="AF1332" i="8" s="1"/>
  <c r="AE832" i="8"/>
  <c r="AF832" i="8" s="1"/>
  <c r="AE819" i="8"/>
  <c r="AF819" i="8" s="1"/>
  <c r="AE820" i="8"/>
  <c r="AF820" i="8" s="1"/>
  <c r="AE1670" i="8"/>
  <c r="AF1670" i="8" s="1"/>
  <c r="AE1486" i="8"/>
  <c r="AF1486" i="8" s="1"/>
  <c r="AE1487" i="8"/>
  <c r="AF1487" i="8" s="1"/>
  <c r="AE1658" i="8"/>
  <c r="AF1658" i="8" s="1"/>
  <c r="AE830" i="8"/>
  <c r="AF830" i="8" s="1"/>
  <c r="AE827" i="8"/>
  <c r="AF827" i="8" s="1"/>
  <c r="AE1465" i="8"/>
  <c r="AF1465" i="8" s="1"/>
  <c r="AE828" i="8"/>
  <c r="AF828" i="8" s="1"/>
  <c r="AE826" i="8"/>
  <c r="AF826" i="8" s="1"/>
  <c r="AE416" i="8"/>
  <c r="AF416" i="8" s="1"/>
  <c r="AE414" i="8"/>
  <c r="AF414" i="8" s="1"/>
  <c r="AE1674" i="8"/>
  <c r="AF1674" i="8" s="1"/>
  <c r="AE1024" i="8"/>
  <c r="AF1024" i="8" s="1"/>
  <c r="AE1636" i="8"/>
  <c r="AF1636" i="8" s="1"/>
  <c r="AE877" i="8"/>
  <c r="AF877" i="8" s="1"/>
  <c r="AE871" i="8"/>
  <c r="AF871" i="8" s="1"/>
  <c r="AE906" i="8"/>
  <c r="AF906" i="8" s="1"/>
  <c r="AE900" i="8"/>
  <c r="AF900" i="8" s="1"/>
  <c r="AE895" i="8"/>
  <c r="AF895" i="8" s="1"/>
  <c r="AE43" i="8"/>
  <c r="AF43" i="8" s="1"/>
  <c r="AE1635" i="8"/>
  <c r="AF1635" i="8" s="1"/>
  <c r="AE1355" i="8"/>
  <c r="AF1355" i="8" s="1"/>
  <c r="AE650" i="8"/>
  <c r="AF650" i="8" s="1"/>
  <c r="AE1076" i="8"/>
  <c r="AF1076" i="8" s="1"/>
  <c r="AE1072" i="8"/>
  <c r="AF1072" i="8" s="1"/>
  <c r="AE507" i="8"/>
  <c r="AF507" i="8" s="1"/>
  <c r="AE823" i="8"/>
  <c r="AF823" i="8" s="1"/>
  <c r="AE448" i="8"/>
  <c r="AF448" i="8" s="1"/>
  <c r="AE1471" i="8"/>
  <c r="AF1471" i="8" s="1"/>
  <c r="AE1039" i="8"/>
  <c r="AF1039" i="8" s="1"/>
  <c r="AE641" i="8"/>
  <c r="AF641" i="8" s="1"/>
  <c r="AE653" i="8"/>
  <c r="AF653" i="8" s="1"/>
  <c r="AE40" i="8"/>
  <c r="AF40" i="8" s="1"/>
  <c r="AE1365" i="8"/>
  <c r="AF1365" i="8" s="1"/>
  <c r="AE41" i="8"/>
  <c r="AF41" i="8" s="1"/>
  <c r="AE220" i="8"/>
  <c r="AF220" i="8" s="1"/>
  <c r="AE306" i="8"/>
  <c r="AF306" i="8" s="1"/>
  <c r="AE1222" i="8"/>
  <c r="AF1222" i="8" s="1"/>
  <c r="AE1453" i="8"/>
  <c r="AF1453" i="8" s="1"/>
  <c r="AE1501" i="8"/>
  <c r="AF1501" i="8" s="1"/>
  <c r="AE680" i="8"/>
  <c r="AF680" i="8" s="1"/>
  <c r="AE227" i="8"/>
  <c r="AF227" i="8" s="1"/>
  <c r="AE1063" i="8"/>
  <c r="AF1063" i="8" s="1"/>
  <c r="AE1064" i="8"/>
  <c r="AF1064" i="8" s="1"/>
  <c r="AE1687" i="8"/>
  <c r="AF1687" i="8" s="1"/>
  <c r="AE775" i="8"/>
  <c r="AF775" i="8" s="1"/>
  <c r="AE1300" i="8"/>
  <c r="AF1300" i="8" s="1"/>
  <c r="AE1304" i="8"/>
  <c r="AF1304" i="8" s="1"/>
  <c r="AE1301" i="8"/>
  <c r="AF1301" i="8" s="1"/>
  <c r="AE1631" i="8"/>
  <c r="AF1631" i="8" s="1"/>
  <c r="AE1270" i="8"/>
  <c r="AF1270" i="8" s="1"/>
  <c r="AE799" i="8"/>
  <c r="AF799" i="8" s="1"/>
  <c r="AE147" i="8"/>
  <c r="AF147" i="8" s="1"/>
  <c r="AE1313" i="8"/>
  <c r="AF1313" i="8" s="1"/>
  <c r="AE770" i="8"/>
  <c r="AF770" i="8" s="1"/>
  <c r="AE1816" i="8"/>
  <c r="AF1816" i="8" s="1"/>
  <c r="AE1436" i="8"/>
  <c r="AF1436" i="8" s="1"/>
  <c r="AE1434" i="8"/>
  <c r="AF1434" i="8" s="1"/>
  <c r="AE1898" i="8"/>
  <c r="AF1898" i="8" s="1"/>
  <c r="AE838" i="8"/>
  <c r="AF838" i="8" s="1"/>
  <c r="AE350" i="8"/>
  <c r="AF350" i="8" s="1"/>
  <c r="AE354" i="8"/>
  <c r="AF354" i="8" s="1"/>
  <c r="AE1901" i="8"/>
  <c r="AF1901" i="8" s="1"/>
  <c r="AE1215" i="8"/>
  <c r="AF1215" i="8" s="1"/>
  <c r="AE1213" i="8"/>
  <c r="AF1213" i="8" s="1"/>
  <c r="AE1429" i="8"/>
  <c r="AF1429" i="8" s="1"/>
  <c r="AE544" i="8"/>
  <c r="AF544" i="8" s="1"/>
  <c r="AE1096" i="8"/>
  <c r="AF1096" i="8" s="1"/>
  <c r="AE92" i="8"/>
  <c r="AF92" i="8" s="1"/>
  <c r="AE286" i="8"/>
  <c r="AF286" i="8" s="1"/>
  <c r="AE288" i="8"/>
  <c r="AF288" i="8" s="1"/>
  <c r="AE1370" i="8"/>
  <c r="AF1370" i="8" s="1"/>
  <c r="AE1924" i="8"/>
  <c r="AF1924" i="8" s="1"/>
  <c r="AE1369" i="8"/>
  <c r="AF1369" i="8" s="1"/>
  <c r="AE866" i="8"/>
  <c r="AF866" i="8" s="1"/>
  <c r="AE469" i="8"/>
  <c r="AF469" i="8" s="1"/>
  <c r="AE1147" i="8"/>
  <c r="AF1147" i="8" s="1"/>
  <c r="AE1233" i="8"/>
  <c r="AF1233" i="8" s="1"/>
  <c r="AE1115" i="8"/>
  <c r="AF1115" i="8" s="1"/>
  <c r="AE818" i="8"/>
  <c r="AF818" i="8" s="1"/>
  <c r="AE1672" i="8"/>
  <c r="AF1672" i="8" s="1"/>
  <c r="AE1142" i="8"/>
  <c r="AF1142" i="8" s="1"/>
  <c r="AE105" i="8"/>
  <c r="AF105" i="8" s="1"/>
  <c r="AE1102" i="8"/>
  <c r="AF1102" i="8" s="1"/>
  <c r="AE405" i="8"/>
  <c r="AF405" i="8" s="1"/>
  <c r="AE1467" i="8"/>
  <c r="AF1467" i="8" s="1"/>
  <c r="AE1464" i="8"/>
  <c r="AF1464" i="8" s="1"/>
  <c r="AE1030" i="8"/>
  <c r="AF1030" i="8" s="1"/>
  <c r="AE1023" i="8"/>
  <c r="AF1023" i="8" s="1"/>
  <c r="AE873" i="8"/>
  <c r="AF873" i="8" s="1"/>
  <c r="AE879" i="8"/>
  <c r="AF879" i="8" s="1"/>
  <c r="AE875" i="8"/>
  <c r="AF875" i="8" s="1"/>
  <c r="AE881" i="8"/>
  <c r="AF881" i="8" s="1"/>
  <c r="AE897" i="8"/>
  <c r="AF897" i="8" s="1"/>
  <c r="AE901" i="8"/>
  <c r="AF901" i="8" s="1"/>
  <c r="AE899" i="8"/>
  <c r="AF899" i="8" s="1"/>
  <c r="AE1633" i="8"/>
  <c r="AF1633" i="8" s="1"/>
  <c r="AE778" i="8"/>
  <c r="AF778" i="8" s="1"/>
  <c r="AE779" i="8"/>
  <c r="AF779" i="8" s="1"/>
  <c r="AE780" i="8"/>
  <c r="AF780" i="8" s="1"/>
  <c r="AE1016" i="8"/>
  <c r="AF1016" i="8" s="1"/>
  <c r="AE1015" i="8"/>
  <c r="AF1015" i="8" s="1"/>
  <c r="AE714" i="8"/>
  <c r="AF714" i="8" s="1"/>
  <c r="AE715" i="8"/>
  <c r="AF715" i="8" s="1"/>
  <c r="AE539" i="8"/>
  <c r="AF539" i="8" s="1"/>
  <c r="AE107" i="8"/>
  <c r="AF107" i="8" s="1"/>
  <c r="AE108" i="8"/>
  <c r="AF108" i="8" s="1"/>
  <c r="AE205" i="8"/>
  <c r="AF205" i="8" s="1"/>
  <c r="AE203" i="8"/>
  <c r="AF203" i="8" s="1"/>
  <c r="AE204" i="8"/>
  <c r="AF204" i="8" s="1"/>
  <c r="AE551" i="8"/>
  <c r="AF551" i="8" s="1"/>
  <c r="AE652" i="8"/>
  <c r="AF652" i="8" s="1"/>
  <c r="AE1710" i="8"/>
  <c r="AF1710" i="8" s="1"/>
  <c r="AE16" i="8"/>
  <c r="AF16" i="8" s="1"/>
  <c r="AE450" i="8"/>
  <c r="AF450" i="8" s="1"/>
  <c r="AE1472" i="8"/>
  <c r="AF1472" i="8" s="1"/>
  <c r="AE14" i="8"/>
  <c r="AF14" i="8" s="1"/>
  <c r="AE701" i="8"/>
  <c r="AF701" i="8" s="1"/>
  <c r="AE1363" i="8"/>
  <c r="AF1363" i="8" s="1"/>
  <c r="AE698" i="8"/>
  <c r="AF698" i="8" s="1"/>
  <c r="AE1386" i="8"/>
  <c r="AF1386" i="8" s="1"/>
  <c r="AE661" i="8"/>
  <c r="AF661" i="8" s="1"/>
  <c r="AE308" i="8"/>
  <c r="AF308" i="8" s="1"/>
  <c r="AE678" i="8"/>
  <c r="AF678" i="8" s="1"/>
  <c r="AE632" i="8"/>
  <c r="AF632" i="8" s="1"/>
  <c r="AE1500" i="8"/>
  <c r="AF1500" i="8" s="1"/>
  <c r="AE682" i="8"/>
  <c r="AF682" i="8" s="1"/>
  <c r="AE1508" i="8"/>
  <c r="AF1508" i="8" s="1"/>
  <c r="AE560" i="8"/>
  <c r="AF560" i="8" s="1"/>
  <c r="AE1689" i="8"/>
  <c r="AF1689" i="8" s="1"/>
  <c r="AE777" i="8"/>
  <c r="AF777" i="8" s="1"/>
  <c r="AE391" i="8"/>
  <c r="AF391" i="8" s="1"/>
  <c r="AE1180" i="8"/>
  <c r="AF1180" i="8" s="1"/>
  <c r="AE272" i="8"/>
  <c r="AF272" i="8" s="1"/>
  <c r="AE1664" i="8"/>
  <c r="AF1664" i="8" s="1"/>
  <c r="AE143" i="8"/>
  <c r="AF143" i="8" s="1"/>
  <c r="AE1269" i="8"/>
  <c r="AF1269" i="8" s="1"/>
  <c r="AE146" i="8"/>
  <c r="AF146" i="8" s="1"/>
  <c r="AE1312" i="8"/>
  <c r="AF1312" i="8" s="1"/>
  <c r="AE1430" i="8"/>
  <c r="AF1430" i="8" s="1"/>
  <c r="AE1082" i="8"/>
  <c r="AF1082" i="8" s="1"/>
  <c r="AE1117" i="8"/>
  <c r="AF1117" i="8" s="1"/>
  <c r="AE1235" i="8"/>
  <c r="AF1235" i="8" s="1"/>
  <c r="AE817" i="8"/>
  <c r="AF817" i="8" s="1"/>
  <c r="AE1282" i="8"/>
  <c r="AF1282" i="8" s="1"/>
  <c r="AE1281" i="8"/>
  <c r="AF1281" i="8" s="1"/>
  <c r="AE559" i="8"/>
  <c r="AF559" i="8" s="1"/>
  <c r="AE106" i="8"/>
  <c r="AF106" i="8" s="1"/>
  <c r="AE1656" i="8"/>
  <c r="AF1656" i="8" s="1"/>
  <c r="AE1466" i="8"/>
  <c r="AF1466" i="8" s="1"/>
  <c r="AE403" i="8"/>
  <c r="AF403" i="8" s="1"/>
  <c r="AE1028" i="8"/>
  <c r="AF1028" i="8" s="1"/>
  <c r="AE415" i="8"/>
  <c r="AF415" i="8" s="1"/>
  <c r="AE1029" i="8"/>
  <c r="AF1029" i="8" s="1"/>
  <c r="AE882" i="8"/>
  <c r="AF882" i="8" s="1"/>
  <c r="AE1638" i="8"/>
  <c r="AF1638" i="8" s="1"/>
  <c r="AE896" i="8"/>
  <c r="AF896" i="8" s="1"/>
  <c r="AE903" i="8"/>
  <c r="AF903" i="8" s="1"/>
  <c r="AE905" i="8"/>
  <c r="AF905" i="8" s="1"/>
  <c r="AE904" i="8"/>
  <c r="AF904" i="8" s="1"/>
  <c r="AE1112" i="8"/>
  <c r="AF1112" i="8" s="1"/>
  <c r="AE549" i="8"/>
  <c r="AF549" i="8" s="1"/>
  <c r="AE1111" i="8"/>
  <c r="AF1111" i="8" s="1"/>
  <c r="AE1711" i="8"/>
  <c r="AF1711" i="8" s="1"/>
  <c r="AE15" i="8"/>
  <c r="AF15" i="8" s="1"/>
  <c r="AE451" i="8"/>
  <c r="AF451" i="8" s="1"/>
  <c r="AE449" i="8"/>
  <c r="AF449" i="8" s="1"/>
  <c r="AE1366" i="8"/>
  <c r="AF1366" i="8" s="1"/>
  <c r="AE221" i="8"/>
  <c r="AF221" i="8" s="1"/>
  <c r="AE1100" i="8"/>
  <c r="AF1100" i="8" s="1"/>
  <c r="AE659" i="8"/>
  <c r="AF659" i="8" s="1"/>
  <c r="AE662" i="8"/>
  <c r="AF662" i="8" s="1"/>
  <c r="AE305" i="8"/>
  <c r="AF305" i="8" s="1"/>
  <c r="AE1223" i="8"/>
  <c r="AF1223" i="8" s="1"/>
  <c r="AE677" i="8"/>
  <c r="AF677" i="8" s="1"/>
  <c r="AE676" i="8"/>
  <c r="AF676" i="8" s="1"/>
  <c r="AE631" i="8"/>
  <c r="AF631" i="8" s="1"/>
  <c r="AE248" i="8"/>
  <c r="AF248" i="8" s="1"/>
  <c r="AE681" i="8"/>
  <c r="AF681" i="8" s="1"/>
  <c r="AE230" i="8"/>
  <c r="AF230" i="8" s="1"/>
  <c r="AE561" i="8"/>
  <c r="AF561" i="8" s="1"/>
  <c r="AE563" i="8"/>
  <c r="AF563" i="8" s="1"/>
  <c r="AE562" i="8"/>
  <c r="AF562" i="8" s="1"/>
  <c r="AE774" i="8"/>
  <c r="AF774" i="8" s="1"/>
  <c r="AE390" i="8"/>
  <c r="AF390" i="8" s="1"/>
  <c r="AE1303" i="8"/>
  <c r="AF1303" i="8" s="1"/>
  <c r="AE269" i="8"/>
  <c r="AF269" i="8" s="1"/>
  <c r="AE1629" i="8"/>
  <c r="AF1629" i="8" s="1"/>
  <c r="AE798" i="8"/>
  <c r="AF798" i="8" s="1"/>
  <c r="AE800" i="8"/>
  <c r="AF800" i="8" s="1"/>
  <c r="AE803" i="8"/>
  <c r="AF803" i="8" s="1"/>
  <c r="AE145" i="8"/>
  <c r="AF145" i="8" s="1"/>
  <c r="AE418" i="8"/>
  <c r="AF418" i="8" s="1"/>
  <c r="AE771" i="8"/>
  <c r="AF771" i="8" s="1"/>
  <c r="AE1814" i="8"/>
  <c r="AF1814" i="8" s="1"/>
  <c r="AE531" i="8"/>
  <c r="AF531" i="8" s="1"/>
  <c r="AE1433" i="8"/>
  <c r="AF1433" i="8" s="1"/>
  <c r="AE1435" i="8"/>
  <c r="AF1435" i="8" s="1"/>
  <c r="AE352" i="8"/>
  <c r="AF352" i="8" s="1"/>
  <c r="AE351" i="8"/>
  <c r="AF351" i="8" s="1"/>
  <c r="AE835" i="8"/>
  <c r="AF835" i="8" s="1"/>
  <c r="AE1902" i="8"/>
  <c r="AF1902" i="8" s="1"/>
  <c r="AE1899" i="8"/>
  <c r="AF1899" i="8" s="1"/>
  <c r="AE371" i="8"/>
  <c r="AF371" i="8" s="1"/>
  <c r="AE1216" i="8"/>
  <c r="AF1216" i="8" s="1"/>
  <c r="AE1428" i="8"/>
  <c r="AF1428" i="8" s="1"/>
  <c r="AE1427" i="8"/>
  <c r="AF1427" i="8" s="1"/>
  <c r="AE1098" i="8"/>
  <c r="AF1098" i="8" s="1"/>
  <c r="AE420" i="8"/>
  <c r="AF420" i="8" s="1"/>
  <c r="AE287" i="8"/>
  <c r="AF287" i="8" s="1"/>
  <c r="AE1371" i="8"/>
  <c r="AF1371" i="8" s="1"/>
  <c r="AE1923" i="8"/>
  <c r="AF1923" i="8" s="1"/>
  <c r="AE1067" i="8"/>
  <c r="AF1067" i="8" s="1"/>
  <c r="AE1183" i="8"/>
  <c r="AF1183" i="8" s="1"/>
  <c r="AE690" i="8"/>
  <c r="AF690" i="8" s="1"/>
  <c r="AE1494" i="8"/>
  <c r="AF1494" i="8" s="1"/>
  <c r="AE1492" i="8"/>
  <c r="AF1492" i="8" s="1"/>
  <c r="AE1413" i="8"/>
  <c r="AF1413" i="8" s="1"/>
  <c r="AE312" i="8"/>
  <c r="AF312" i="8" s="1"/>
  <c r="AE747" i="8"/>
  <c r="AF747" i="8" s="1"/>
  <c r="AE746" i="8"/>
  <c r="AF746" i="8" s="1"/>
  <c r="AE1416" i="8"/>
  <c r="AF1416" i="8" s="1"/>
  <c r="AE310" i="8"/>
  <c r="AF310" i="8" s="1"/>
  <c r="AE744" i="8"/>
  <c r="AF744" i="8" s="1"/>
  <c r="AE745" i="8"/>
  <c r="AF745" i="8" s="1"/>
  <c r="AE1415" i="8"/>
  <c r="AF1415" i="8" s="1"/>
  <c r="AE1414" i="8"/>
  <c r="AF1414" i="8" s="1"/>
  <c r="AE309" i="8"/>
  <c r="AF309" i="8" s="1"/>
  <c r="AE311" i="8"/>
  <c r="AF311" i="8" s="1"/>
  <c r="AE797" i="8"/>
  <c r="AF797" i="8" s="1"/>
  <c r="AE794" i="8"/>
  <c r="AF794" i="8" s="1"/>
  <c r="AE293" i="8"/>
  <c r="AF293" i="8" s="1"/>
  <c r="AE290" i="8"/>
  <c r="AF290" i="8" s="1"/>
  <c r="AE1888" i="8"/>
  <c r="AF1888" i="8" s="1"/>
  <c r="AE294" i="8"/>
  <c r="AF294" i="8" s="1"/>
  <c r="AE795" i="8"/>
  <c r="AF795" i="8" s="1"/>
  <c r="AE291" i="8"/>
  <c r="AF291" i="8" s="1"/>
  <c r="AE796" i="8"/>
  <c r="AF796" i="8" s="1"/>
  <c r="AE793" i="8"/>
  <c r="AF793" i="8" s="1"/>
  <c r="AE292" i="8"/>
  <c r="AF292" i="8" s="1"/>
  <c r="AE1886" i="8"/>
  <c r="AF1886" i="8" s="1"/>
  <c r="AE1887" i="8"/>
  <c r="AF1887" i="8" s="1"/>
  <c r="AE213" i="8"/>
  <c r="AF213" i="8" s="1"/>
  <c r="AE214" i="8"/>
  <c r="AF214" i="8" s="1"/>
  <c r="AE1079" i="8"/>
  <c r="AF1079" i="8" s="1"/>
  <c r="AE555" i="8"/>
  <c r="AF555" i="8" s="1"/>
  <c r="AE556" i="8"/>
  <c r="AF556" i="8" s="1"/>
  <c r="AE557" i="8"/>
  <c r="AF557" i="8" s="1"/>
  <c r="AE1696" i="8"/>
  <c r="AF1696" i="8" s="1"/>
  <c r="AE1681" i="8"/>
  <c r="AF1681" i="8" s="1"/>
  <c r="AE1680" i="8"/>
  <c r="AF1680" i="8" s="1"/>
  <c r="AE1078" i="8"/>
  <c r="AF1078" i="8" s="1"/>
  <c r="AE1080" i="8"/>
  <c r="AF1080" i="8" s="1"/>
  <c r="AE1081" i="8"/>
  <c r="AF1081" i="8" s="1"/>
  <c r="AE212" i="8"/>
  <c r="AF212" i="8" s="1"/>
  <c r="AE1679" i="8"/>
  <c r="AF1679" i="8" s="1"/>
  <c r="AE1682" i="8"/>
  <c r="AF1682" i="8" s="1"/>
  <c r="AE210" i="8"/>
  <c r="AF210" i="8" s="1"/>
  <c r="AE211" i="8"/>
  <c r="AF211" i="8" s="1"/>
  <c r="AE1879" i="8"/>
  <c r="AF1879" i="8" s="1"/>
  <c r="AE856" i="8"/>
  <c r="AF856" i="8" s="1"/>
  <c r="AE857" i="8"/>
  <c r="AF857" i="8" s="1"/>
  <c r="AE1877" i="8"/>
  <c r="AF1877" i="8" s="1"/>
  <c r="AE858" i="8"/>
  <c r="AF858" i="8" s="1"/>
  <c r="AE1878" i="8"/>
  <c r="AF1878" i="8" s="1"/>
  <c r="AE1880" i="8"/>
  <c r="AF1880" i="8" s="1"/>
  <c r="AE740" i="8"/>
  <c r="AF740" i="8" s="1"/>
  <c r="AE741" i="8"/>
  <c r="AF741" i="8" s="1"/>
  <c r="AE462" i="8"/>
  <c r="AF462" i="8" s="1"/>
  <c r="AE463" i="8"/>
  <c r="AF463" i="8" s="1"/>
  <c r="AE464" i="8"/>
  <c r="AF464" i="8" s="1"/>
  <c r="AE465" i="8"/>
  <c r="AF465" i="8" s="1"/>
  <c r="AE742" i="8"/>
  <c r="AF742" i="8" s="1"/>
  <c r="AE743" i="8"/>
  <c r="AF743" i="8" s="1"/>
  <c r="AE231" i="8"/>
  <c r="AF231" i="8" s="1"/>
  <c r="AE1647" i="8"/>
  <c r="AF1647" i="8" s="1"/>
  <c r="AE1646" i="8"/>
  <c r="AF1646" i="8" s="1"/>
  <c r="AE1644" i="8"/>
  <c r="AF1644" i="8" s="1"/>
  <c r="AE692" i="8"/>
  <c r="AF692" i="8" s="1"/>
  <c r="AE232" i="8"/>
  <c r="AF232" i="8" s="1"/>
  <c r="AE1645" i="8"/>
  <c r="AF1645" i="8" s="1"/>
  <c r="AE691" i="8"/>
  <c r="AF691" i="8" s="1"/>
  <c r="AE1004" i="8"/>
  <c r="AF1004" i="8" s="1"/>
  <c r="AE1484" i="8"/>
  <c r="AF1484" i="8" s="1"/>
  <c r="AE315" i="8"/>
  <c r="AF315" i="8" s="1"/>
  <c r="AE1001" i="8"/>
  <c r="AF1001" i="8" s="1"/>
  <c r="AE1002" i="8"/>
  <c r="AF1002" i="8" s="1"/>
  <c r="AE498" i="8"/>
  <c r="AF498" i="8" s="1"/>
  <c r="AE314" i="8"/>
  <c r="AF314" i="8" s="1"/>
  <c r="AE1483" i="8"/>
  <c r="AF1483" i="8" s="1"/>
  <c r="AE1482" i="8"/>
  <c r="AF1482" i="8" s="1"/>
  <c r="AE1485" i="8"/>
  <c r="AF1485" i="8" s="1"/>
  <c r="AE1003" i="8"/>
  <c r="AF1003" i="8" s="1"/>
  <c r="AE316" i="8"/>
  <c r="AF316" i="8" s="1"/>
  <c r="AE317" i="8"/>
  <c r="AF317" i="8" s="1"/>
  <c r="AE501" i="8"/>
  <c r="AF501" i="8" s="1"/>
  <c r="AE500" i="8"/>
  <c r="AF500" i="8" s="1"/>
  <c r="AE499" i="8"/>
  <c r="AF499" i="8" s="1"/>
  <c r="AE1092" i="8"/>
  <c r="AF1092" i="8" s="1"/>
  <c r="AE1094" i="8"/>
  <c r="AF1094" i="8" s="1"/>
  <c r="AE1489" i="8"/>
  <c r="AF1489" i="8" s="1"/>
  <c r="AE207" i="8"/>
  <c r="AF207" i="8" s="1"/>
  <c r="AE535" i="8"/>
  <c r="AF535" i="8" s="1"/>
  <c r="AE1490" i="8"/>
  <c r="AF1490" i="8" s="1"/>
  <c r="AE536" i="8"/>
  <c r="AF536" i="8" s="1"/>
  <c r="AE1488" i="8"/>
  <c r="AF1488" i="8" s="1"/>
  <c r="AE206" i="8"/>
  <c r="AF206" i="8" s="1"/>
  <c r="AE1491" i="8"/>
  <c r="AF1491" i="8" s="1"/>
  <c r="AE534" i="8"/>
  <c r="AF534" i="8" s="1"/>
  <c r="AE208" i="8"/>
  <c r="AF208" i="8" s="1"/>
  <c r="AE1093" i="8"/>
  <c r="AF1093" i="8" s="1"/>
  <c r="AE209" i="8"/>
  <c r="AF209" i="8" s="1"/>
  <c r="AE1321" i="8"/>
  <c r="AF1321" i="8" s="1"/>
  <c r="AE1854" i="8"/>
  <c r="AF1854" i="8" s="1"/>
  <c r="AE1855" i="8"/>
  <c r="AF1855" i="8" s="1"/>
  <c r="AE1857" i="8"/>
  <c r="AF1857" i="8" s="1"/>
  <c r="AE1856" i="8"/>
  <c r="AF1856" i="8" s="1"/>
  <c r="AE386" i="8"/>
  <c r="AF386" i="8" s="1"/>
  <c r="AE808" i="8"/>
  <c r="AF808" i="8" s="1"/>
  <c r="AE389" i="8"/>
  <c r="AF389" i="8" s="1"/>
  <c r="AE1322" i="8"/>
  <c r="AF1322" i="8" s="1"/>
  <c r="AE810" i="8"/>
  <c r="AF810" i="8" s="1"/>
  <c r="AE811" i="8"/>
  <c r="AF811" i="8" s="1"/>
  <c r="AE388" i="8"/>
  <c r="AF388" i="8" s="1"/>
  <c r="AE387" i="8"/>
  <c r="AF387" i="8" s="1"/>
  <c r="AE809" i="8"/>
  <c r="AF809" i="8" s="1"/>
  <c r="AE385" i="8"/>
  <c r="AF385" i="8" s="1"/>
  <c r="AE1320" i="8"/>
  <c r="AF1320" i="8" s="1"/>
  <c r="AE1323" i="8"/>
  <c r="AF1323" i="8" s="1"/>
  <c r="AE812" i="8"/>
  <c r="AF812" i="8" s="1"/>
  <c r="AE1306" i="8"/>
  <c r="AF1306" i="8" s="1"/>
  <c r="AE1305" i="8"/>
  <c r="AF1305" i="8" s="1"/>
  <c r="AE1307" i="8"/>
  <c r="AF1307" i="8" s="1"/>
  <c r="AE739" i="8"/>
  <c r="AF739" i="8" s="1"/>
  <c r="AE333" i="8"/>
  <c r="AF333" i="8" s="1"/>
  <c r="AE738" i="8"/>
  <c r="AF738" i="8" s="1"/>
  <c r="AE737" i="8"/>
  <c r="AF737" i="8" s="1"/>
  <c r="AE335" i="8"/>
  <c r="AF335" i="8" s="1"/>
  <c r="AE334" i="8"/>
  <c r="AF334" i="8" s="1"/>
  <c r="AE349" i="8"/>
  <c r="AF349" i="8" s="1"/>
  <c r="AE1849" i="8"/>
  <c r="AF1849" i="8" s="1"/>
  <c r="AE1850" i="8"/>
  <c r="AF1850" i="8" s="1"/>
  <c r="AE348" i="8"/>
  <c r="AF348" i="8" s="1"/>
  <c r="AE347" i="8"/>
  <c r="AF347" i="8" s="1"/>
  <c r="AE1847" i="8"/>
  <c r="AF1847" i="8" s="1"/>
  <c r="AE1848" i="8"/>
  <c r="AF1848" i="8" s="1"/>
  <c r="AE138" i="8"/>
  <c r="AF138" i="8" s="1"/>
  <c r="AE139" i="8"/>
  <c r="AF139" i="8" s="1"/>
  <c r="AE141" i="8"/>
  <c r="AF141" i="8" s="1"/>
  <c r="AE1011" i="8"/>
  <c r="AF1011" i="8" s="1"/>
  <c r="AE1013" i="8"/>
  <c r="AF1013" i="8" s="1"/>
  <c r="AE1014" i="8"/>
  <c r="AF1014" i="8" s="1"/>
  <c r="AE1677" i="8"/>
  <c r="AF1677" i="8" s="1"/>
  <c r="AE142" i="8"/>
  <c r="AF142" i="8" s="1"/>
  <c r="AE1678" i="8"/>
  <c r="AF1678" i="8" s="1"/>
  <c r="AE1676" i="8"/>
  <c r="AF1676" i="8" s="1"/>
  <c r="AE140" i="8"/>
  <c r="AF140" i="8" s="1"/>
  <c r="AE1012" i="8"/>
  <c r="AF1012" i="8" s="1"/>
  <c r="AE720" i="8"/>
  <c r="AF720" i="8" s="1"/>
  <c r="AE724" i="8"/>
  <c r="AF724" i="8" s="1"/>
  <c r="AE1311" i="8"/>
  <c r="AF1311" i="8" s="1"/>
  <c r="AE723" i="8"/>
  <c r="AF723" i="8" s="1"/>
  <c r="AE1308" i="8"/>
  <c r="AF1308" i="8" s="1"/>
  <c r="AE1309" i="8"/>
  <c r="AF1309" i="8" s="1"/>
  <c r="AE1310" i="8"/>
  <c r="AF1310" i="8" s="1"/>
  <c r="AE217" i="8"/>
  <c r="AF217" i="8" s="1"/>
  <c r="AE722" i="8"/>
  <c r="AF722" i="8" s="1"/>
  <c r="AE216" i="8"/>
  <c r="AF216" i="8" s="1"/>
  <c r="AE215" i="8"/>
  <c r="AF215" i="8" s="1"/>
  <c r="AE218" i="8"/>
  <c r="AF218" i="8" s="1"/>
  <c r="AE721" i="8"/>
  <c r="AF721" i="8" s="1"/>
  <c r="AE1314" i="8"/>
  <c r="AF1314" i="8" s="1"/>
  <c r="AE1333" i="8"/>
  <c r="AF1333" i="8" s="1"/>
  <c r="AE1813" i="8"/>
  <c r="AF1813" i="8" s="1"/>
  <c r="AE702" i="8"/>
  <c r="AF702" i="8" s="1"/>
  <c r="AE1432" i="8"/>
  <c r="AF1432" i="8" s="1"/>
  <c r="AE831" i="8"/>
  <c r="AF831" i="8" s="1"/>
  <c r="AE1341" i="8"/>
  <c r="AF1341" i="8" s="1"/>
  <c r="AE1338" i="8"/>
  <c r="AF1338" i="8" s="1"/>
  <c r="AE836" i="8"/>
  <c r="AF836" i="8" s="1"/>
  <c r="AE1340" i="8"/>
  <c r="AF1340" i="8" s="1"/>
  <c r="AE1214" i="8"/>
  <c r="AF1214" i="8" s="1"/>
  <c r="AE374" i="8"/>
  <c r="AF374" i="8" s="1"/>
  <c r="AE543" i="8"/>
  <c r="AF543" i="8" s="1"/>
  <c r="AE546" i="8"/>
  <c r="AF546" i="8" s="1"/>
  <c r="AE1099" i="8"/>
  <c r="AF1099" i="8" s="1"/>
  <c r="AE466" i="8"/>
  <c r="AF466" i="8" s="1"/>
  <c r="AE468" i="8"/>
  <c r="AF468" i="8" s="1"/>
  <c r="AE1027" i="8"/>
  <c r="AF1027" i="8" s="1"/>
  <c r="AE1926" i="8"/>
  <c r="AF1926" i="8" s="1"/>
  <c r="AE1922" i="8"/>
  <c r="AF1922" i="8" s="1"/>
  <c r="AE470" i="8"/>
  <c r="AF470" i="8" s="1"/>
  <c r="AE1762" i="8"/>
  <c r="AF1762" i="8" s="1"/>
  <c r="AE1085" i="8"/>
  <c r="AF1085" i="8" s="1"/>
  <c r="AE1084" i="8"/>
  <c r="AF1084" i="8" s="1"/>
  <c r="AE1149" i="8"/>
  <c r="AF1149" i="8" s="1"/>
  <c r="AE1232" i="8"/>
  <c r="AF1232" i="8" s="1"/>
  <c r="AE1116" i="8"/>
  <c r="AF1116" i="8" s="1"/>
  <c r="AE1669" i="8"/>
  <c r="AF1669" i="8" s="1"/>
  <c r="AE1141" i="8"/>
  <c r="AF1141" i="8" s="1"/>
  <c r="AE104" i="8"/>
  <c r="AF104" i="8" s="1"/>
  <c r="AE537" i="8"/>
  <c r="AF537" i="8" s="1"/>
  <c r="AE538" i="8"/>
  <c r="AF538" i="8" s="1"/>
  <c r="AE1463" i="8"/>
  <c r="AF1463" i="8" s="1"/>
  <c r="AE401" i="8"/>
  <c r="AF401" i="8" s="1"/>
  <c r="AE825" i="8"/>
  <c r="AF825" i="8" s="1"/>
  <c r="AE1675" i="8"/>
  <c r="AF1675" i="8" s="1"/>
  <c r="AE1021" i="8"/>
  <c r="AF1021" i="8" s="1"/>
  <c r="AE876" i="8"/>
  <c r="AF876" i="8" s="1"/>
  <c r="AE880" i="8"/>
  <c r="AF880" i="8" s="1"/>
  <c r="AE1637" i="8"/>
  <c r="AF1637" i="8" s="1"/>
  <c r="AE898" i="8"/>
  <c r="AF898" i="8" s="1"/>
  <c r="AE174" i="8"/>
  <c r="AF174" i="8" s="1"/>
  <c r="AE264" i="8"/>
  <c r="AF264" i="8" s="1"/>
  <c r="AE266" i="8"/>
  <c r="AF266" i="8" s="1"/>
  <c r="AE268" i="8"/>
  <c r="AF268" i="8" s="1"/>
  <c r="AE731" i="8"/>
  <c r="AF731" i="8" s="1"/>
  <c r="AE265" i="8"/>
  <c r="AF265" i="8" s="1"/>
  <c r="AE267" i="8"/>
  <c r="AF267" i="8" s="1"/>
  <c r="AE732" i="8"/>
  <c r="AF732" i="8" s="1"/>
  <c r="AE733" i="8"/>
  <c r="AF733" i="8" s="1"/>
  <c r="AE734" i="8"/>
  <c r="AF734" i="8" s="1"/>
  <c r="AE735" i="8"/>
  <c r="AF735" i="8" s="1"/>
  <c r="AE736" i="8"/>
  <c r="AF736" i="8" s="1"/>
  <c r="AE1653" i="8"/>
  <c r="AF1653" i="8" s="1"/>
  <c r="AE1655" i="8"/>
  <c r="AF1655" i="8" s="1"/>
  <c r="AE1654" i="8"/>
  <c r="AF1654" i="8" s="1"/>
  <c r="AE620" i="8"/>
  <c r="AF620" i="8" s="1"/>
  <c r="AE1824" i="8"/>
  <c r="AF1824" i="8" s="1"/>
  <c r="AE1825" i="8"/>
  <c r="AF1825" i="8" s="1"/>
  <c r="AE1826" i="8"/>
  <c r="AF1826" i="8" s="1"/>
  <c r="AE730" i="8"/>
  <c r="AF730" i="8" s="1"/>
  <c r="AE727" i="8"/>
  <c r="AF727" i="8" s="1"/>
  <c r="AE1823" i="8"/>
  <c r="AF1823" i="8" s="1"/>
  <c r="AE1296" i="8"/>
  <c r="AF1296" i="8" s="1"/>
  <c r="AE729" i="8"/>
  <c r="AF729" i="8" s="1"/>
  <c r="AE1297" i="8"/>
  <c r="AF1297" i="8" s="1"/>
  <c r="AE1298" i="8"/>
  <c r="AF1298" i="8" s="1"/>
  <c r="AE728" i="8"/>
  <c r="AF728" i="8" s="1"/>
  <c r="AE982" i="8"/>
  <c r="AF982" i="8" s="1"/>
  <c r="AE1408" i="8"/>
  <c r="AF1408" i="8" s="1"/>
  <c r="AE1403" i="8"/>
  <c r="AF1403" i="8" s="1"/>
  <c r="AE1404" i="8"/>
  <c r="AF1404" i="8" s="1"/>
  <c r="AE1407" i="8"/>
  <c r="AF1407" i="8" s="1"/>
  <c r="AE601" i="8"/>
  <c r="AF601" i="8" s="1"/>
  <c r="AE1405" i="8"/>
  <c r="AF1405" i="8" s="1"/>
  <c r="AE600" i="8"/>
  <c r="AF600" i="8" s="1"/>
  <c r="AE599" i="8"/>
  <c r="AF599" i="8" s="1"/>
  <c r="AE981" i="8"/>
  <c r="AF981" i="8" s="1"/>
  <c r="AE1406" i="8"/>
  <c r="AF1406" i="8" s="1"/>
  <c r="AE604" i="8"/>
  <c r="AF604" i="8" s="1"/>
  <c r="AE603" i="8"/>
  <c r="AF603" i="8" s="1"/>
  <c r="AE602" i="8"/>
  <c r="AF602" i="8" s="1"/>
  <c r="AE28" i="8"/>
  <c r="AF28" i="8" s="1"/>
  <c r="AE29" i="8"/>
  <c r="AF29" i="8" s="1"/>
  <c r="AE27" i="8"/>
  <c r="AF27" i="8" s="1"/>
  <c r="AE26" i="8"/>
  <c r="AF26" i="8" s="1"/>
  <c r="AE25" i="8"/>
  <c r="AF25" i="8" s="1"/>
  <c r="AE24" i="8"/>
  <c r="AF24" i="8" s="1"/>
  <c r="AE55" i="8"/>
  <c r="AF55" i="8" s="1"/>
  <c r="AE56" i="8"/>
  <c r="AF56" i="8" s="1"/>
  <c r="AE57" i="8"/>
  <c r="AF57" i="8" s="1"/>
  <c r="AE76" i="8"/>
  <c r="AF76" i="8" s="1"/>
  <c r="AE75" i="8"/>
  <c r="AF75" i="8" s="1"/>
  <c r="AE12" i="8"/>
  <c r="AF12" i="8" s="1"/>
  <c r="AE13" i="8"/>
  <c r="AF13" i="8" s="1"/>
  <c r="AE42" i="8"/>
  <c r="AF42" i="8" s="1"/>
  <c r="AE63" i="8"/>
  <c r="AF63" i="8" s="1"/>
  <c r="AE61" i="8"/>
  <c r="AF61" i="8" s="1"/>
  <c r="AE62" i="8"/>
  <c r="AF62" i="8" s="1"/>
  <c r="AE11" i="8"/>
  <c r="AF11" i="8" s="1"/>
  <c r="AE9" i="8"/>
  <c r="AF9" i="8" s="1"/>
  <c r="AE8" i="8"/>
  <c r="AF8" i="8" s="1"/>
  <c r="AE10" i="8"/>
  <c r="AF10" i="8" s="1"/>
  <c r="AE19" i="8"/>
  <c r="AF19" i="8" s="1"/>
  <c r="AE17" i="8"/>
  <c r="AF17" i="8" s="1"/>
  <c r="AE18" i="8"/>
  <c r="AF18" i="8" s="1"/>
  <c r="AE20" i="8"/>
  <c r="AF20" i="8" s="1"/>
  <c r="AE31" i="8"/>
  <c r="AF31" i="8" s="1"/>
  <c r="AE32" i="8"/>
  <c r="AF32" i="8" s="1"/>
  <c r="AE30" i="8"/>
  <c r="AF30" i="8" s="1"/>
  <c r="AE54" i="8"/>
  <c r="AF54" i="8" s="1"/>
  <c r="AE51" i="8"/>
  <c r="AF51" i="8" s="1"/>
  <c r="AE53" i="8"/>
  <c r="AF53" i="8" s="1"/>
  <c r="AE52" i="8"/>
  <c r="AF52" i="8" s="1"/>
  <c r="AE64" i="8"/>
  <c r="AF64" i="8" s="1"/>
  <c r="AE34" i="8"/>
  <c r="AF34" i="8" s="1"/>
  <c r="AE35" i="8"/>
  <c r="AF35" i="8" s="1"/>
  <c r="AE33" i="8"/>
  <c r="AF33" i="8" s="1"/>
  <c r="AE77" i="8"/>
  <c r="AF77" i="8" s="1"/>
  <c r="AE1114" i="8"/>
  <c r="AF1114" i="8" s="1"/>
  <c r="AE1634" i="8"/>
  <c r="AF1634" i="8" s="1"/>
  <c r="AE1354" i="8"/>
  <c r="AF1354" i="8" s="1"/>
  <c r="AE508" i="8"/>
  <c r="AF508" i="8" s="1"/>
  <c r="AE1074" i="8"/>
  <c r="AF1074" i="8" s="1"/>
  <c r="AE506" i="8"/>
  <c r="AF506" i="8" s="1"/>
  <c r="AE1713" i="8"/>
  <c r="AF1713" i="8" s="1"/>
  <c r="AE1473" i="8"/>
  <c r="AF1473" i="8" s="1"/>
  <c r="AE1042" i="8"/>
  <c r="AF1042" i="8" s="1"/>
  <c r="AE1475" i="8"/>
  <c r="AF1475" i="8" s="1"/>
  <c r="AE643" i="8"/>
  <c r="AF643" i="8" s="1"/>
  <c r="AE654" i="8"/>
  <c r="AF654" i="8" s="1"/>
  <c r="AE1368" i="8"/>
  <c r="AF1368" i="8" s="1"/>
  <c r="AE1362" i="8"/>
  <c r="AF1362" i="8" s="1"/>
  <c r="AE1367" i="8"/>
  <c r="AF1367" i="8" s="1"/>
  <c r="AE660" i="8"/>
  <c r="AF660" i="8" s="1"/>
  <c r="AE679" i="8"/>
  <c r="AF679" i="8" s="1"/>
  <c r="AE1224" i="8"/>
  <c r="AF1224" i="8" s="1"/>
  <c r="AE1221" i="8"/>
  <c r="AF1221" i="8" s="1"/>
  <c r="AE1452" i="8"/>
  <c r="AF1452" i="8" s="1"/>
  <c r="AE686" i="8"/>
  <c r="AF686" i="8" s="1"/>
  <c r="AE1507" i="8"/>
  <c r="AF1507" i="8" s="1"/>
  <c r="AE228" i="8"/>
  <c r="AF228" i="8" s="1"/>
  <c r="AE1065" i="8"/>
  <c r="AF1065" i="8" s="1"/>
  <c r="AE1688" i="8"/>
  <c r="AF1688" i="8" s="1"/>
  <c r="AE703" i="8"/>
  <c r="AF703" i="8" s="1"/>
  <c r="AE773" i="8"/>
  <c r="AF773" i="8" s="1"/>
  <c r="AE271" i="8"/>
  <c r="AF271" i="8" s="1"/>
  <c r="AE776" i="8"/>
  <c r="AF776" i="8" s="1"/>
  <c r="AE1698" i="8"/>
  <c r="AF1698" i="8" s="1"/>
  <c r="AE1272" i="8"/>
  <c r="AF1272" i="8" s="1"/>
  <c r="AE802" i="8"/>
  <c r="AF802" i="8" s="1"/>
  <c r="AE148" i="8"/>
  <c r="AF148" i="8" s="1"/>
  <c r="AE417" i="8"/>
  <c r="AF417" i="8" s="1"/>
  <c r="AE1331" i="8"/>
  <c r="AF1331" i="8" s="1"/>
  <c r="AE1815" i="8"/>
  <c r="AF1815" i="8" s="1"/>
  <c r="AE1225" i="8"/>
  <c r="AF1225" i="8" s="1"/>
  <c r="AE834" i="8"/>
  <c r="AF834" i="8" s="1"/>
  <c r="AE833" i="8"/>
  <c r="AF833" i="8" s="1"/>
  <c r="AE1339" i="8"/>
  <c r="AF1339" i="8" s="1"/>
  <c r="AE1900" i="8"/>
  <c r="AF1900" i="8" s="1"/>
  <c r="AE353" i="8"/>
  <c r="AF353" i="8" s="1"/>
  <c r="AE1077" i="8"/>
  <c r="AF1077" i="8" s="1"/>
  <c r="AE370" i="8"/>
  <c r="AF370" i="8" s="1"/>
  <c r="AE372" i="8"/>
  <c r="AF372" i="8" s="1"/>
  <c r="AE373" i="8"/>
  <c r="AF373" i="8" s="1"/>
  <c r="AE1097" i="8"/>
  <c r="AF1097" i="8" s="1"/>
  <c r="AE545" i="8"/>
  <c r="AF545" i="8" s="1"/>
  <c r="AE1431" i="8"/>
  <c r="AF1431" i="8" s="1"/>
  <c r="AE289" i="8"/>
  <c r="AF289" i="8" s="1"/>
  <c r="AE1026" i="8"/>
  <c r="AF1026" i="8" s="1"/>
  <c r="AE1025" i="8"/>
  <c r="AF1025" i="8" s="1"/>
  <c r="AE1925" i="8"/>
  <c r="AF1925" i="8" s="1"/>
  <c r="AE467" i="8"/>
  <c r="AF467" i="8" s="1"/>
  <c r="AE867" i="8"/>
  <c r="AF867" i="8" s="1"/>
  <c r="AE1377" i="8"/>
  <c r="AF1377" i="8" s="1"/>
  <c r="AE1148" i="8"/>
  <c r="AF1148" i="8" s="1"/>
  <c r="AE1234" i="8"/>
  <c r="AF1234" i="8" s="1"/>
  <c r="AE1671" i="8"/>
  <c r="AF1671" i="8" s="1"/>
  <c r="AE1143" i="8"/>
  <c r="AF1143" i="8" s="1"/>
  <c r="AE558" i="8"/>
  <c r="AF558" i="8" s="1"/>
  <c r="AE1103" i="8"/>
  <c r="AF1103" i="8" s="1"/>
  <c r="AE1657" i="8"/>
  <c r="AF1657" i="8" s="1"/>
  <c r="AE824" i="8"/>
  <c r="AF824" i="8" s="1"/>
  <c r="AE829" i="8"/>
  <c r="AF829" i="8" s="1"/>
  <c r="AE402" i="8"/>
  <c r="AF402" i="8" s="1"/>
  <c r="AE1468" i="8"/>
  <c r="AF1468" i="8" s="1"/>
  <c r="AE404" i="8"/>
  <c r="AF404" i="8" s="1"/>
  <c r="AE1673" i="8"/>
  <c r="AF1673" i="8" s="1"/>
  <c r="AE1639" i="8"/>
  <c r="AF1639" i="8" s="1"/>
  <c r="AE874" i="8"/>
  <c r="AF874" i="8" s="1"/>
  <c r="AE872" i="8"/>
  <c r="AF872" i="8" s="1"/>
  <c r="AE878" i="8"/>
  <c r="AF878" i="8" s="1"/>
  <c r="AE902" i="8"/>
  <c r="AF902" i="8" s="1"/>
  <c r="AE1632" i="8"/>
  <c r="AF1632" i="8" s="1"/>
  <c r="F133" i="11"/>
  <c r="H133" i="11"/>
  <c r="H131" i="11"/>
  <c r="F131" i="11"/>
  <c r="H130" i="11"/>
  <c r="F130" i="11"/>
  <c r="F128" i="11"/>
  <c r="H128" i="11"/>
  <c r="H125" i="11"/>
  <c r="F125" i="11"/>
  <c r="M1541" i="8"/>
  <c r="AN1541" i="8"/>
  <c r="W774" i="8"/>
  <c r="X774" i="8" s="1"/>
  <c r="W703" i="8"/>
  <c r="W1598" i="8"/>
  <c r="W1568" i="8"/>
  <c r="W1580" i="8"/>
  <c r="W1592" i="8"/>
  <c r="W1607" i="8"/>
  <c r="W1544" i="8"/>
  <c r="W1639" i="8"/>
  <c r="W1594" i="8"/>
  <c r="W1570" i="8"/>
  <c r="W1558" i="8"/>
  <c r="W1546" i="8"/>
  <c r="W1628" i="8"/>
  <c r="W1652" i="8"/>
  <c r="W1649" i="8"/>
  <c r="W1651" i="8"/>
  <c r="W1585" i="8"/>
  <c r="W1561" i="8"/>
  <c r="W1609" i="8"/>
  <c r="W1597" i="8"/>
  <c r="W1573" i="8"/>
  <c r="W1549" i="8"/>
  <c r="W1617" i="8"/>
  <c r="W1619" i="8"/>
  <c r="W1620" i="8"/>
  <c r="W1635" i="8"/>
  <c r="W1566" i="8"/>
  <c r="W1602" i="8"/>
  <c r="W1542" i="8"/>
  <c r="W1578" i="8"/>
  <c r="W1554" i="8"/>
  <c r="W1590" i="8"/>
  <c r="W1630" i="8"/>
  <c r="W1631" i="8"/>
  <c r="W1624" i="8"/>
  <c r="W1622" i="8"/>
  <c r="W1625" i="8"/>
  <c r="W1647" i="8"/>
  <c r="W1646" i="8"/>
  <c r="W1567" i="8"/>
  <c r="W1543" i="8"/>
  <c r="W1555" i="8"/>
  <c r="W1579" i="8"/>
  <c r="W1591" i="8"/>
  <c r="W1603" i="8"/>
  <c r="W1643" i="8"/>
  <c r="W1569" i="8"/>
  <c r="W1557" i="8"/>
  <c r="W1545" i="8"/>
  <c r="W1581" i="8"/>
  <c r="W1593" i="8"/>
  <c r="W1605" i="8"/>
  <c r="W1601" i="8"/>
  <c r="W1694" i="8"/>
  <c r="W1702" i="8"/>
  <c r="W1893" i="8"/>
  <c r="W1763" i="8"/>
  <c r="W1764" i="8"/>
  <c r="W1663" i="8"/>
  <c r="W1662" i="8"/>
  <c r="W1667" i="8"/>
  <c r="W1668" i="8"/>
  <c r="W1772" i="8"/>
  <c r="W1884" i="8"/>
  <c r="W1841" i="8"/>
  <c r="W1811" i="8"/>
  <c r="W1846" i="8"/>
  <c r="W1805" i="8"/>
  <c r="W1809" i="8"/>
  <c r="W1839" i="8"/>
  <c r="W1882" i="8"/>
  <c r="W1836" i="8"/>
  <c r="W1824" i="8"/>
  <c r="W1770" i="8"/>
  <c r="W1686" i="8"/>
  <c r="W1806" i="8"/>
  <c r="W1691" i="8"/>
  <c r="W1690" i="8"/>
  <c r="W1688" i="8"/>
  <c r="W1664" i="8"/>
  <c r="W1812" i="8"/>
  <c r="W1826" i="8"/>
  <c r="W1682" i="8"/>
  <c r="W1680" i="8"/>
  <c r="W1677" i="8"/>
  <c r="W1678" i="8"/>
  <c r="W1670" i="8"/>
  <c r="W1671" i="8"/>
  <c r="W1672" i="8"/>
  <c r="W1658" i="8"/>
  <c r="W1657" i="8"/>
  <c r="W1675" i="8"/>
  <c r="W1674" i="8"/>
  <c r="W1704" i="8"/>
  <c r="W1724" i="8"/>
  <c r="W1700" i="8"/>
  <c r="W1761" i="8"/>
  <c r="W1760" i="8"/>
  <c r="W1703" i="8"/>
  <c r="W1708" i="8"/>
  <c r="W1707" i="8"/>
  <c r="W1748" i="8"/>
  <c r="W1746" i="8"/>
  <c r="W1784" i="8"/>
  <c r="W1785" i="8"/>
  <c r="W1744" i="8"/>
  <c r="W1743" i="8"/>
  <c r="W1834" i="8"/>
  <c r="W1830" i="8"/>
  <c r="W1831" i="8"/>
  <c r="W1833" i="8"/>
  <c r="W1876" i="8"/>
  <c r="W1875" i="8"/>
  <c r="W1873" i="8"/>
  <c r="W1870" i="8"/>
  <c r="W1869" i="8"/>
  <c r="W1695" i="8"/>
  <c r="W1861" i="8"/>
  <c r="W1862" i="8"/>
  <c r="W1859" i="8"/>
  <c r="W1821" i="8"/>
  <c r="W1818" i="8"/>
  <c r="W1822" i="8"/>
  <c r="W1820" i="8"/>
  <c r="W1799" i="8"/>
  <c r="W1796" i="8"/>
  <c r="W1798" i="8"/>
  <c r="W1752" i="8"/>
  <c r="W1750" i="8"/>
  <c r="W1843" i="8"/>
  <c r="W1844" i="8"/>
  <c r="W1782" i="8"/>
  <c r="W1780" i="8"/>
  <c r="W1778" i="8"/>
  <c r="W1781" i="8"/>
  <c r="W1853" i="8"/>
  <c r="W1852" i="8"/>
  <c r="W1734" i="8"/>
  <c r="W1732" i="8"/>
  <c r="W1735" i="8"/>
  <c r="W1774" i="8"/>
  <c r="W1776" i="8"/>
  <c r="W1741" i="8"/>
  <c r="W1730" i="8"/>
  <c r="W1729" i="8"/>
  <c r="W1728" i="8"/>
  <c r="W1726" i="8"/>
  <c r="W1887" i="8"/>
  <c r="W1768" i="8"/>
  <c r="W1766" i="8"/>
  <c r="W1696" i="8"/>
  <c r="W1737" i="8"/>
  <c r="W1738" i="8"/>
  <c r="W1739" i="8"/>
  <c r="W1878" i="8"/>
  <c r="W1880" i="8"/>
  <c r="W1718" i="8"/>
  <c r="W1717" i="8"/>
  <c r="W1715" i="8"/>
  <c r="W1864" i="8"/>
  <c r="W1867" i="8"/>
  <c r="W1866" i="8"/>
  <c r="W1855" i="8"/>
  <c r="W1857" i="8"/>
  <c r="W1850" i="8"/>
  <c r="W1849" i="8"/>
  <c r="W1713" i="8"/>
  <c r="W1815" i="8"/>
  <c r="W1816" i="8"/>
  <c r="W1762" i="8"/>
  <c r="W1720" i="8"/>
  <c r="W1721" i="8"/>
  <c r="W1722" i="8"/>
  <c r="W1801" i="8"/>
  <c r="W1803" i="8"/>
  <c r="W1789" i="8"/>
  <c r="W1787" i="8"/>
  <c r="W1913" i="8"/>
  <c r="W1915" i="8"/>
  <c r="W1916" i="8"/>
  <c r="W1918" i="8"/>
  <c r="W1921" i="8"/>
  <c r="W1920" i="8"/>
  <c r="W1895" i="8"/>
  <c r="W1897" i="8"/>
  <c r="W1899" i="8"/>
  <c r="W1901" i="8"/>
  <c r="W1902" i="8"/>
  <c r="W1926" i="8"/>
  <c r="W1924" i="8"/>
  <c r="W1923" i="8"/>
  <c r="W1925" i="8"/>
  <c r="W1596" i="8"/>
  <c r="W1584" i="8"/>
  <c r="W1556" i="8"/>
  <c r="W1562" i="8"/>
  <c r="W1885" i="8"/>
  <c r="W1565" i="8"/>
  <c r="W1614" i="8"/>
  <c r="W1606" i="8"/>
  <c r="W1604" i="8"/>
  <c r="W1583" i="8"/>
  <c r="W1559" i="8"/>
  <c r="W1553" i="8"/>
  <c r="W1612" i="8"/>
  <c r="W1582" i="8"/>
  <c r="W1608" i="8"/>
  <c r="W1572" i="8"/>
  <c r="W1571" i="8"/>
  <c r="W1560" i="8"/>
  <c r="W1550" i="8"/>
  <c r="W1908" i="8"/>
  <c r="W1577" i="8"/>
  <c r="W1595" i="8"/>
  <c r="W1574" i="8"/>
  <c r="W1548" i="8"/>
  <c r="W1547" i="8"/>
  <c r="W1825" i="8"/>
  <c r="W1638" i="8"/>
  <c r="W1633" i="8"/>
  <c r="W1615" i="8"/>
  <c r="W1610" i="8"/>
  <c r="W1586" i="8"/>
  <c r="W1909" i="8"/>
  <c r="W1589" i="8"/>
  <c r="J133" i="11"/>
  <c r="Q132" i="10"/>
  <c r="J131" i="11"/>
  <c r="Q130" i="10"/>
  <c r="J130" i="11"/>
  <c r="Q129" i="10"/>
  <c r="Q127" i="10"/>
  <c r="J128" i="11"/>
  <c r="Q124" i="10"/>
  <c r="J125" i="11"/>
  <c r="M180" i="9"/>
  <c r="N180" i="9" s="1"/>
  <c r="M179" i="9"/>
  <c r="N179" i="9" s="1"/>
  <c r="M178" i="9"/>
  <c r="N178" i="9" s="1"/>
  <c r="M171" i="9"/>
  <c r="N171" i="9" s="1"/>
  <c r="M170" i="9"/>
  <c r="N170" i="9" s="1"/>
  <c r="M168" i="9"/>
  <c r="N168" i="9" s="1"/>
  <c r="M153" i="9"/>
  <c r="N153" i="9" s="1"/>
  <c r="M151" i="9"/>
  <c r="N151" i="9" s="1"/>
  <c r="M188" i="9"/>
  <c r="N188" i="9" s="1"/>
  <c r="M185" i="9"/>
  <c r="N185" i="9" s="1"/>
  <c r="M176" i="9"/>
  <c r="N176" i="9" s="1"/>
  <c r="M174" i="9"/>
  <c r="N174" i="9" s="1"/>
  <c r="M173" i="9"/>
  <c r="N173" i="9" s="1"/>
  <c r="M169" i="9"/>
  <c r="N169" i="9" s="1"/>
  <c r="M167" i="9"/>
  <c r="N167" i="9" s="1"/>
  <c r="M164" i="9"/>
  <c r="N164" i="9" s="1"/>
  <c r="M143" i="9"/>
  <c r="N143" i="9" s="1"/>
  <c r="M172" i="9"/>
  <c r="N172" i="9" s="1"/>
  <c r="M165" i="9"/>
  <c r="N165" i="9" s="1"/>
  <c r="M163" i="9"/>
  <c r="N163" i="9" s="1"/>
  <c r="M161" i="9"/>
  <c r="N161" i="9" s="1"/>
  <c r="M160" i="9"/>
  <c r="N160" i="9" s="1"/>
  <c r="M159" i="9"/>
  <c r="N159" i="9" s="1"/>
  <c r="M158" i="9"/>
  <c r="N158" i="9" s="1"/>
  <c r="M157" i="9"/>
  <c r="N157" i="9" s="1"/>
  <c r="M156" i="9"/>
  <c r="N156" i="9" s="1"/>
  <c r="M154" i="9"/>
  <c r="N154" i="9" s="1"/>
  <c r="M152" i="9"/>
  <c r="N152" i="9" s="1"/>
  <c r="M149" i="9"/>
  <c r="N149" i="9" s="1"/>
  <c r="M146" i="9"/>
  <c r="N146" i="9" s="1"/>
  <c r="M140" i="9"/>
  <c r="N140" i="9" s="1"/>
  <c r="M137" i="9"/>
  <c r="N137" i="9" s="1"/>
  <c r="M130" i="9"/>
  <c r="N130" i="9" s="1"/>
  <c r="I129" i="12"/>
  <c r="I132" i="12"/>
  <c r="I135" i="12"/>
  <c r="I136" i="12"/>
  <c r="I142" i="12"/>
  <c r="I145" i="12"/>
  <c r="I146" i="12"/>
  <c r="I147" i="12"/>
  <c r="I149" i="12"/>
  <c r="I150" i="12"/>
  <c r="I153" i="12"/>
  <c r="I155" i="12"/>
  <c r="I156" i="12"/>
  <c r="I157" i="12"/>
  <c r="I158" i="12"/>
  <c r="I159" i="12"/>
  <c r="I160" i="12"/>
  <c r="I163" i="12"/>
  <c r="I164" i="12"/>
  <c r="I165" i="12"/>
  <c r="I167" i="12"/>
  <c r="I168" i="12"/>
  <c r="I171" i="12"/>
  <c r="I172" i="12"/>
  <c r="I174" i="12"/>
  <c r="I176" i="12"/>
  <c r="I177" i="12"/>
  <c r="I185" i="12"/>
  <c r="I186" i="12"/>
  <c r="I190" i="12"/>
  <c r="I151" i="12"/>
  <c r="I170" i="12"/>
  <c r="I182" i="12"/>
  <c r="I187" i="12"/>
  <c r="I131" i="12"/>
  <c r="I137" i="12"/>
  <c r="I140" i="12"/>
  <c r="I152" i="12"/>
  <c r="I162" i="12"/>
  <c r="I178" i="12"/>
  <c r="I183" i="12"/>
  <c r="I130" i="12"/>
  <c r="I138" i="12"/>
  <c r="I139" i="12"/>
  <c r="I154" i="12"/>
  <c r="I173" i="12"/>
  <c r="I181" i="12"/>
  <c r="I189" i="12"/>
  <c r="I144" i="12"/>
  <c r="I141" i="12"/>
  <c r="I161" i="12"/>
  <c r="I175" i="12"/>
  <c r="I188" i="12"/>
  <c r="I134" i="12"/>
  <c r="I143" i="12"/>
  <c r="I166" i="12"/>
  <c r="I179" i="12"/>
  <c r="I184" i="12"/>
  <c r="I133" i="12"/>
  <c r="I148" i="12"/>
  <c r="I169" i="12"/>
  <c r="I180" i="12"/>
  <c r="Q123" i="10"/>
  <c r="J124" i="11"/>
  <c r="Q122" i="10"/>
  <c r="J123" i="11"/>
  <c r="M5" i="9"/>
  <c r="N5" i="9" s="1"/>
  <c r="I117" i="12"/>
  <c r="I108" i="12"/>
  <c r="W42" i="8"/>
  <c r="W5" i="8"/>
  <c r="X5" i="8" s="1"/>
  <c r="X6" i="8" s="1"/>
  <c r="W732" i="8"/>
  <c r="W313" i="8"/>
  <c r="X313" i="8" s="1"/>
  <c r="W758" i="8"/>
  <c r="X758" i="8" s="1"/>
  <c r="W773" i="8"/>
  <c r="X773" i="8" s="1"/>
  <c r="W823" i="8"/>
  <c r="X823" i="8" s="1"/>
  <c r="W410" i="8"/>
  <c r="W665" i="8"/>
  <c r="W699" i="8"/>
  <c r="X699" i="8" s="1"/>
  <c r="W698" i="8"/>
  <c r="W390" i="8"/>
  <c r="X390" i="8" s="1"/>
  <c r="W741" i="8"/>
  <c r="X741" i="8" s="1"/>
  <c r="W742" i="8"/>
  <c r="X742" i="8" s="1"/>
  <c r="W743" i="8"/>
  <c r="X743" i="8" s="1"/>
  <c r="W465" i="8"/>
  <c r="W462" i="8"/>
  <c r="W463" i="8"/>
  <c r="W464" i="8"/>
  <c r="W740" i="8"/>
  <c r="X740" i="8" s="1"/>
  <c r="W266" i="8"/>
  <c r="X266" i="8" s="1"/>
  <c r="W265" i="8"/>
  <c r="W260" i="8"/>
  <c r="W261" i="8"/>
  <c r="X261" i="8" s="1"/>
  <c r="W274" i="8"/>
  <c r="X274" i="8" s="1"/>
  <c r="W273" i="8"/>
  <c r="W271" i="8"/>
  <c r="W81" i="8"/>
  <c r="W185" i="8"/>
  <c r="W848" i="8"/>
  <c r="W847" i="8"/>
  <c r="W757" i="8"/>
  <c r="W772" i="8"/>
  <c r="W821" i="8"/>
  <c r="W413" i="8"/>
  <c r="X413" i="8" s="1"/>
  <c r="W1330" i="8"/>
  <c r="W1654" i="8"/>
  <c r="W1363" i="8"/>
  <c r="W1478" i="8"/>
  <c r="W1284" i="8"/>
  <c r="W1239" i="8"/>
  <c r="W1247" i="8"/>
  <c r="X1247" i="8" s="1"/>
  <c r="W1117" i="8"/>
  <c r="W1204" i="8"/>
  <c r="W982" i="8"/>
  <c r="X982" i="8" s="1"/>
  <c r="W1906" i="8"/>
  <c r="W1911" i="8"/>
  <c r="W1807" i="8"/>
  <c r="W1791" i="8"/>
  <c r="W849" i="8"/>
  <c r="X849" i="8" s="1"/>
  <c r="W1757" i="8"/>
  <c r="W392" i="8"/>
  <c r="W760" i="8"/>
  <c r="X760" i="8" s="1"/>
  <c r="W1711" i="8"/>
  <c r="W1029" i="8"/>
  <c r="W666" i="8"/>
  <c r="X666" i="8" s="1"/>
  <c r="W1262" i="8"/>
  <c r="W1244" i="8"/>
  <c r="W1326" i="8"/>
  <c r="X1326" i="8" s="1"/>
  <c r="W1154" i="8"/>
  <c r="X1154" i="8" s="1"/>
  <c r="W1325" i="8"/>
  <c r="W1245" i="8"/>
  <c r="X1245" i="8" s="1"/>
  <c r="W1398" i="8"/>
  <c r="W1362" i="8"/>
  <c r="W1285" i="8"/>
  <c r="X1285" i="8" s="1"/>
  <c r="W1232" i="8"/>
  <c r="X1232" i="8" s="1"/>
  <c r="W1115" i="8"/>
  <c r="W1907" i="8"/>
  <c r="W1792" i="8"/>
  <c r="W1827" i="8"/>
  <c r="W1754" i="8"/>
  <c r="W393" i="8"/>
  <c r="X393" i="8" s="1"/>
  <c r="W761" i="8"/>
  <c r="X761" i="8" s="1"/>
  <c r="W1709" i="8"/>
  <c r="W1889" i="8"/>
  <c r="W822" i="8"/>
  <c r="X822" i="8" s="1"/>
  <c r="W1030" i="8"/>
  <c r="X1030" i="8" s="1"/>
  <c r="W411" i="8"/>
  <c r="X411" i="8" s="1"/>
  <c r="W667" i="8"/>
  <c r="W1251" i="8"/>
  <c r="W1124" i="8"/>
  <c r="X1124" i="8" s="1"/>
  <c r="W1302" i="8"/>
  <c r="X1302" i="8" s="1"/>
  <c r="W1287" i="8"/>
  <c r="W981" i="8"/>
  <c r="W733" i="8"/>
  <c r="X733" i="8" s="1"/>
  <c r="W759" i="8"/>
  <c r="X759" i="8" s="1"/>
  <c r="W668" i="8"/>
  <c r="X668" i="8" s="1"/>
  <c r="M121" i="9"/>
  <c r="N121" i="9" s="1"/>
  <c r="M120" i="9"/>
  <c r="N120" i="9" s="1"/>
  <c r="M119" i="9"/>
  <c r="N119" i="9" s="1"/>
  <c r="M118" i="9"/>
  <c r="N118" i="9" s="1"/>
  <c r="M117" i="9"/>
  <c r="N117" i="9" s="1"/>
  <c r="M112" i="9"/>
  <c r="N112" i="9" s="1"/>
  <c r="M111" i="9"/>
  <c r="N111" i="9" s="1"/>
  <c r="M110" i="9"/>
  <c r="N110" i="9" s="1"/>
  <c r="M94" i="9"/>
  <c r="N94" i="9" s="1"/>
  <c r="M93" i="9"/>
  <c r="N93" i="9" s="1"/>
  <c r="M75" i="9"/>
  <c r="N75" i="9" s="1"/>
  <c r="M73" i="9"/>
  <c r="N73" i="9" s="1"/>
  <c r="M61" i="9"/>
  <c r="N61" i="9" s="1"/>
  <c r="M56" i="9"/>
  <c r="N56" i="9" s="1"/>
  <c r="M55" i="9"/>
  <c r="N55" i="9" s="1"/>
  <c r="M49" i="9"/>
  <c r="N49" i="9" s="1"/>
  <c r="M47" i="9"/>
  <c r="N47" i="9" s="1"/>
  <c r="M45" i="9"/>
  <c r="N45" i="9" s="1"/>
  <c r="M41" i="9"/>
  <c r="N41" i="9" s="1"/>
  <c r="M40" i="9"/>
  <c r="N40" i="9" s="1"/>
  <c r="M21" i="9"/>
  <c r="N21" i="9" s="1"/>
  <c r="M16" i="9"/>
  <c r="N16" i="9" s="1"/>
  <c r="M92" i="9"/>
  <c r="N92" i="9" s="1"/>
  <c r="M91" i="9"/>
  <c r="N91" i="9" s="1"/>
  <c r="M90" i="9"/>
  <c r="N90" i="9" s="1"/>
  <c r="M89" i="9"/>
  <c r="N89" i="9" s="1"/>
  <c r="M88" i="9"/>
  <c r="N88" i="9" s="1"/>
  <c r="M87" i="9"/>
  <c r="N87" i="9" s="1"/>
  <c r="M86" i="9"/>
  <c r="N86" i="9" s="1"/>
  <c r="M85" i="9"/>
  <c r="N85" i="9" s="1"/>
  <c r="M84" i="9"/>
  <c r="N84" i="9" s="1"/>
  <c r="M83" i="9"/>
  <c r="N83" i="9" s="1"/>
  <c r="M82" i="9"/>
  <c r="N82" i="9" s="1"/>
  <c r="M79" i="9"/>
  <c r="N79" i="9" s="1"/>
  <c r="M72" i="9"/>
  <c r="N72" i="9" s="1"/>
  <c r="M69" i="9"/>
  <c r="N69" i="9" s="1"/>
  <c r="M68" i="9"/>
  <c r="N68" i="9" s="1"/>
  <c r="M64" i="9"/>
  <c r="N64" i="9" s="1"/>
  <c r="M44" i="9"/>
  <c r="N44" i="9" s="1"/>
  <c r="M43" i="9"/>
  <c r="N43" i="9" s="1"/>
  <c r="M33" i="9"/>
  <c r="N33" i="9" s="1"/>
  <c r="M30" i="9"/>
  <c r="N30" i="9" s="1"/>
  <c r="M15" i="9"/>
  <c r="N15" i="9" s="1"/>
  <c r="M14" i="9"/>
  <c r="N14" i="9" s="1"/>
  <c r="M11" i="9"/>
  <c r="N11" i="9" s="1"/>
  <c r="M6" i="9"/>
  <c r="N6" i="9" s="1"/>
  <c r="M123" i="9"/>
  <c r="N123" i="9" s="1"/>
  <c r="M115" i="9"/>
  <c r="N115" i="9" s="1"/>
  <c r="M107" i="9"/>
  <c r="N107" i="9" s="1"/>
  <c r="M106" i="9"/>
  <c r="N106" i="9" s="1"/>
  <c r="M97" i="9"/>
  <c r="N97" i="9" s="1"/>
  <c r="M77" i="9"/>
  <c r="N77" i="9" s="1"/>
  <c r="M67" i="9"/>
  <c r="N67" i="9" s="1"/>
  <c r="M62" i="9"/>
  <c r="N62" i="9" s="1"/>
  <c r="M60" i="9"/>
  <c r="N60" i="9" s="1"/>
  <c r="M59" i="9"/>
  <c r="N59" i="9" s="1"/>
  <c r="M58" i="9"/>
  <c r="N58" i="9" s="1"/>
  <c r="M54" i="9"/>
  <c r="N54" i="9" s="1"/>
  <c r="M50" i="9"/>
  <c r="N50" i="9" s="1"/>
  <c r="M48" i="9"/>
  <c r="N48" i="9" s="1"/>
  <c r="M42" i="9"/>
  <c r="N42" i="9" s="1"/>
  <c r="M39" i="9"/>
  <c r="N39" i="9" s="1"/>
  <c r="M31" i="9"/>
  <c r="N31" i="9" s="1"/>
  <c r="M20" i="9"/>
  <c r="N20" i="9" s="1"/>
  <c r="M9" i="9"/>
  <c r="N9" i="9" s="1"/>
  <c r="M8" i="9"/>
  <c r="N8" i="9" s="1"/>
  <c r="M116" i="9"/>
  <c r="N116" i="9" s="1"/>
  <c r="M114" i="9"/>
  <c r="N114" i="9" s="1"/>
  <c r="M100" i="9"/>
  <c r="N100" i="9" s="1"/>
  <c r="M98" i="9"/>
  <c r="N98" i="9" s="1"/>
  <c r="M96" i="9"/>
  <c r="N96" i="9" s="1"/>
  <c r="M95" i="9"/>
  <c r="N95" i="9" s="1"/>
  <c r="M78" i="9"/>
  <c r="N78" i="9" s="1"/>
  <c r="M74" i="9"/>
  <c r="N74" i="9" s="1"/>
  <c r="M71" i="9"/>
  <c r="N71" i="9" s="1"/>
  <c r="M65" i="9"/>
  <c r="N65" i="9" s="1"/>
  <c r="M63" i="9"/>
  <c r="N63" i="9" s="1"/>
  <c r="M51" i="9"/>
  <c r="N51" i="9" s="1"/>
  <c r="M38" i="9"/>
  <c r="N38" i="9" s="1"/>
  <c r="M37" i="9"/>
  <c r="N37" i="9" s="1"/>
  <c r="M32" i="9"/>
  <c r="N32" i="9" s="1"/>
  <c r="M24" i="9"/>
  <c r="N24" i="9" s="1"/>
  <c r="M18" i="9"/>
  <c r="N18" i="9" s="1"/>
  <c r="M17" i="9"/>
  <c r="N17" i="9" s="1"/>
  <c r="M12" i="9"/>
  <c r="N12" i="9" s="1"/>
  <c r="M10" i="9"/>
  <c r="N10" i="9" s="1"/>
  <c r="M127" i="9"/>
  <c r="N127" i="9" s="1"/>
  <c r="M125" i="9"/>
  <c r="N125" i="9" s="1"/>
  <c r="M113" i="9"/>
  <c r="N113" i="9" s="1"/>
  <c r="M109" i="9"/>
  <c r="N109" i="9" s="1"/>
  <c r="M108" i="9"/>
  <c r="N108" i="9" s="1"/>
  <c r="M105" i="9"/>
  <c r="N105" i="9" s="1"/>
  <c r="M104" i="9"/>
  <c r="N104" i="9" s="1"/>
  <c r="M102" i="9"/>
  <c r="N102" i="9" s="1"/>
  <c r="M101" i="9"/>
  <c r="N101" i="9" s="1"/>
  <c r="M99" i="9"/>
  <c r="N99" i="9" s="1"/>
  <c r="M70" i="9"/>
  <c r="N70" i="9" s="1"/>
  <c r="M57" i="9"/>
  <c r="N57" i="9" s="1"/>
  <c r="M53" i="9"/>
  <c r="N53" i="9" s="1"/>
  <c r="M52" i="9"/>
  <c r="N52" i="9" s="1"/>
  <c r="M46" i="9"/>
  <c r="N46" i="9" s="1"/>
  <c r="M27" i="9"/>
  <c r="N27" i="9" s="1"/>
  <c r="M26" i="9"/>
  <c r="N26" i="9" s="1"/>
  <c r="M22" i="9"/>
  <c r="N22" i="9" s="1"/>
  <c r="M19" i="9"/>
  <c r="N19" i="9" s="1"/>
  <c r="M13" i="9"/>
  <c r="N13" i="9" s="1"/>
  <c r="M7" i="9"/>
  <c r="N7" i="9" s="1"/>
  <c r="M126" i="9"/>
  <c r="N126" i="9" s="1"/>
  <c r="M124" i="9"/>
  <c r="N124" i="9" s="1"/>
  <c r="M122" i="9"/>
  <c r="N122" i="9" s="1"/>
  <c r="M103" i="9"/>
  <c r="N103" i="9" s="1"/>
  <c r="M81" i="9"/>
  <c r="N81" i="9" s="1"/>
  <c r="M80" i="9"/>
  <c r="N80" i="9" s="1"/>
  <c r="M76" i="9"/>
  <c r="N76" i="9" s="1"/>
  <c r="M66" i="9"/>
  <c r="N66" i="9" s="1"/>
  <c r="M36" i="9"/>
  <c r="N36" i="9" s="1"/>
  <c r="M35" i="9"/>
  <c r="N35" i="9" s="1"/>
  <c r="M34" i="9"/>
  <c r="N34" i="9" s="1"/>
  <c r="M29" i="9"/>
  <c r="N29" i="9" s="1"/>
  <c r="M28" i="9"/>
  <c r="N28" i="9" s="1"/>
  <c r="M25" i="9"/>
  <c r="N25" i="9" s="1"/>
  <c r="M23" i="9"/>
  <c r="N23" i="9" s="1"/>
  <c r="I60" i="12"/>
  <c r="I14" i="12"/>
  <c r="I13" i="12"/>
  <c r="I12" i="12"/>
  <c r="I11" i="12"/>
  <c r="I10" i="12"/>
  <c r="I9" i="12"/>
  <c r="I8" i="12"/>
  <c r="I7" i="12"/>
  <c r="I6" i="12"/>
  <c r="I75" i="12"/>
  <c r="I73" i="12"/>
  <c r="I72" i="12"/>
  <c r="I71" i="12"/>
  <c r="I69" i="12"/>
  <c r="I65" i="12"/>
  <c r="I64" i="12"/>
  <c r="I63" i="12"/>
  <c r="I62" i="12"/>
  <c r="I61" i="12"/>
  <c r="I59" i="12"/>
  <c r="I58" i="12"/>
  <c r="I57" i="12"/>
  <c r="I56" i="12"/>
  <c r="I55" i="12"/>
  <c r="I54" i="12"/>
  <c r="I53" i="12"/>
  <c r="I52" i="12"/>
  <c r="I51" i="12"/>
  <c r="I50" i="12"/>
  <c r="I49" i="12"/>
  <c r="I48" i="12"/>
  <c r="I47" i="12"/>
  <c r="I46" i="12"/>
  <c r="I45" i="12"/>
  <c r="I44" i="12"/>
  <c r="I43" i="12"/>
  <c r="I42" i="12"/>
  <c r="I41" i="12"/>
  <c r="I40" i="12"/>
  <c r="I39" i="12"/>
  <c r="I38" i="12"/>
  <c r="I35" i="12"/>
  <c r="I33" i="12"/>
  <c r="I32" i="12"/>
  <c r="I31" i="12"/>
  <c r="I15" i="12"/>
  <c r="I126" i="12"/>
  <c r="I116" i="12"/>
  <c r="I112" i="12"/>
  <c r="I111" i="12"/>
  <c r="I93" i="12"/>
  <c r="I92" i="12"/>
  <c r="I91" i="12"/>
  <c r="I90" i="12"/>
  <c r="I89" i="12"/>
  <c r="I88" i="12"/>
  <c r="I87" i="12"/>
  <c r="I86" i="12"/>
  <c r="I85" i="12"/>
  <c r="I84" i="12"/>
  <c r="I83" i="12"/>
  <c r="I82" i="12"/>
  <c r="I81" i="12"/>
  <c r="I80" i="12"/>
  <c r="I79" i="12"/>
  <c r="I78" i="12"/>
  <c r="I77" i="12"/>
  <c r="I76" i="12"/>
  <c r="I74" i="12"/>
  <c r="I70" i="12"/>
  <c r="I68" i="12"/>
  <c r="I67" i="12"/>
  <c r="I66" i="12"/>
  <c r="I37" i="12"/>
  <c r="I36" i="12"/>
  <c r="I34" i="12"/>
  <c r="I23" i="12"/>
  <c r="I22" i="12"/>
  <c r="I21" i="12"/>
  <c r="I18" i="12"/>
  <c r="I16" i="12"/>
  <c r="I105" i="12"/>
  <c r="I104" i="12"/>
  <c r="I103" i="12"/>
  <c r="I102" i="12"/>
  <c r="I100" i="12"/>
  <c r="I99" i="12"/>
  <c r="I98" i="12"/>
  <c r="I97" i="12"/>
  <c r="I96" i="12"/>
  <c r="I95" i="12"/>
  <c r="I94" i="12"/>
  <c r="I128" i="12"/>
  <c r="I127" i="12"/>
  <c r="I125" i="12"/>
  <c r="I124" i="12"/>
  <c r="I123" i="12"/>
  <c r="I122" i="12"/>
  <c r="I121" i="12"/>
  <c r="I120" i="12"/>
  <c r="I119" i="12"/>
  <c r="I118" i="12"/>
  <c r="I109" i="12"/>
  <c r="Q97" i="10"/>
  <c r="J98" i="11"/>
  <c r="Q30" i="10"/>
  <c r="J31" i="11"/>
  <c r="F31" i="11"/>
  <c r="H31" i="11"/>
  <c r="Q61" i="10"/>
  <c r="J62" i="11"/>
  <c r="F62" i="11"/>
  <c r="H62" i="11"/>
  <c r="L40" i="10"/>
  <c r="M40" i="10" s="1"/>
  <c r="H108" i="12"/>
  <c r="J108" i="12"/>
  <c r="G108" i="12"/>
  <c r="L71" i="10"/>
  <c r="M71" i="10" s="1"/>
  <c r="H109" i="12"/>
  <c r="G109" i="12"/>
  <c r="J109" i="12"/>
  <c r="AC1761" i="8"/>
  <c r="AC1759" i="8"/>
  <c r="AC1764" i="8"/>
  <c r="AC1760" i="8"/>
  <c r="AC1498" i="8"/>
  <c r="AC1792" i="8"/>
  <c r="AC1790" i="8"/>
  <c r="AC1793" i="8"/>
  <c r="AC1791" i="8"/>
  <c r="AC1794" i="8"/>
  <c r="AC1392" i="8"/>
  <c r="AC1394" i="8"/>
  <c r="AC1395" i="8"/>
  <c r="AC1393" i="8"/>
  <c r="AC1910" i="8"/>
  <c r="AC1911" i="8"/>
  <c r="AC1349" i="8"/>
  <c r="AC1350" i="8"/>
  <c r="AC1352" i="8"/>
  <c r="AC1348" i="8"/>
  <c r="AC1351" i="8"/>
  <c r="AC1397" i="8"/>
  <c r="AC1399" i="8"/>
  <c r="AC1396" i="8"/>
  <c r="AC1400" i="8"/>
  <c r="AC1398" i="8"/>
  <c r="AC1615" i="8"/>
  <c r="AC1614" i="8"/>
  <c r="AC1613" i="8"/>
  <c r="AC1612" i="8"/>
  <c r="AC1469" i="8"/>
  <c r="AC1343" i="8"/>
  <c r="AC1342" i="8"/>
  <c r="AC1345" i="8"/>
  <c r="AC1344" i="8"/>
  <c r="AC1470" i="8"/>
  <c r="AC1423" i="8"/>
  <c r="AC1426" i="8"/>
  <c r="AC1425" i="8"/>
  <c r="AC1422" i="8"/>
  <c r="AC1424" i="8"/>
  <c r="AC1373" i="8"/>
  <c r="AC1374" i="8"/>
  <c r="AC1375" i="8"/>
  <c r="AC1376" i="8"/>
  <c r="AC1402" i="8"/>
  <c r="AC1626" i="8"/>
  <c r="AC1627" i="8"/>
  <c r="AC1628" i="8"/>
  <c r="AC1383" i="8"/>
  <c r="AC1382" i="8"/>
  <c r="AC1652" i="8"/>
  <c r="AC1649" i="8"/>
  <c r="AC1648" i="8"/>
  <c r="AC1651" i="8"/>
  <c r="AC1650" i="8"/>
  <c r="AC1512" i="8"/>
  <c r="AC1511" i="8"/>
  <c r="AC1510" i="8"/>
  <c r="AC1509" i="8"/>
  <c r="AC1513" i="8"/>
  <c r="AC1514" i="8"/>
  <c r="AC1454" i="8"/>
  <c r="AC1455" i="8"/>
  <c r="AC1457" i="8"/>
  <c r="AC1456" i="8"/>
  <c r="AC1440" i="8"/>
  <c r="AC1441" i="8"/>
  <c r="AC1437" i="8"/>
  <c r="AC1438" i="8"/>
  <c r="AC1439" i="8"/>
  <c r="AC1617" i="8"/>
  <c r="AC1618" i="8"/>
  <c r="AC1616" i="8"/>
  <c r="AC1619" i="8"/>
  <c r="AC1620" i="8"/>
  <c r="AC1420" i="8"/>
  <c r="AC1419" i="8"/>
  <c r="AC1418" i="8"/>
  <c r="AC1417" i="8"/>
  <c r="AC1505" i="8"/>
  <c r="AC1504" i="8"/>
  <c r="AC1503" i="8"/>
  <c r="AC1442" i="8"/>
  <c r="AC1443" i="8"/>
  <c r="AC1444" i="8"/>
  <c r="AC1445" i="8"/>
  <c r="AC1446" i="8"/>
  <c r="AC1640" i="8"/>
  <c r="AC1641" i="8"/>
  <c r="AC979" i="8"/>
  <c r="AC980" i="8"/>
  <c r="AC768" i="8"/>
  <c r="AC766" i="8"/>
  <c r="AC767" i="8"/>
  <c r="AC848" i="8"/>
  <c r="AC849" i="8"/>
  <c r="AC847" i="8"/>
  <c r="AC1693" i="8"/>
  <c r="AC1372" i="8"/>
  <c r="AC1661" i="8"/>
  <c r="AC1663" i="8"/>
  <c r="AC1662" i="8"/>
  <c r="AC1660" i="8"/>
  <c r="AC1659" i="8"/>
  <c r="AC1665" i="8"/>
  <c r="AC1666" i="8"/>
  <c r="AC1667" i="8"/>
  <c r="AC1668" i="8"/>
  <c r="AC1361" i="8"/>
  <c r="AC1360" i="8"/>
  <c r="AC1359" i="8"/>
  <c r="AC1358" i="8"/>
  <c r="AC1686" i="8"/>
  <c r="AC1685" i="8"/>
  <c r="AC1683" i="8"/>
  <c r="AC1684" i="8"/>
  <c r="AC1421" i="8"/>
  <c r="AC1784" i="8"/>
  <c r="AC1783" i="8"/>
  <c r="AC1785" i="8"/>
  <c r="AC1744" i="8"/>
  <c r="AC1743" i="8"/>
  <c r="AC1742" i="8"/>
  <c r="AC1832" i="8"/>
  <c r="AC1834" i="8"/>
  <c r="AC1829" i="8"/>
  <c r="AC1830" i="8"/>
  <c r="AC1831" i="8"/>
  <c r="AC1828" i="8"/>
  <c r="AC1833" i="8"/>
  <c r="AC1876" i="8"/>
  <c r="AC1875" i="8"/>
  <c r="AC1874" i="8"/>
  <c r="AC1873" i="8"/>
  <c r="AC1872" i="8"/>
  <c r="AC1870" i="8"/>
  <c r="AC1868" i="8"/>
  <c r="AC1871" i="8"/>
  <c r="AC1869" i="8"/>
  <c r="AC1695" i="8"/>
  <c r="AC1694" i="8"/>
  <c r="AC1861" i="8"/>
  <c r="AC1862" i="8"/>
  <c r="AC1860" i="8"/>
  <c r="AC1859" i="8"/>
  <c r="AC1858" i="8"/>
  <c r="AC1821" i="8"/>
  <c r="AC1818" i="8"/>
  <c r="AC1822" i="8"/>
  <c r="AC1820" i="8"/>
  <c r="AC1819" i="8"/>
  <c r="AC1817" i="8"/>
  <c r="AC1799" i="8"/>
  <c r="AC1795" i="8"/>
  <c r="AC1796" i="8"/>
  <c r="AC1797" i="8"/>
  <c r="AC1798" i="8"/>
  <c r="AC1751" i="8"/>
  <c r="AC1749" i="8"/>
  <c r="AC1752" i="8"/>
  <c r="AC1750" i="8"/>
  <c r="AC1842" i="8"/>
  <c r="AC1843" i="8"/>
  <c r="AC1844" i="8"/>
  <c r="AC1697" i="8"/>
  <c r="AC1782" i="8"/>
  <c r="AC1780" i="8"/>
  <c r="AC1778" i="8"/>
  <c r="AC1779" i="8"/>
  <c r="AC1781" i="8"/>
  <c r="AC1777" i="8"/>
  <c r="AC1853" i="8"/>
  <c r="AC1852" i="8"/>
  <c r="AC1851" i="8"/>
  <c r="AC1892" i="8"/>
  <c r="AC1734" i="8"/>
  <c r="AC1732" i="8"/>
  <c r="AC1733" i="8"/>
  <c r="AC1735" i="8"/>
  <c r="AC1731" i="8"/>
  <c r="AC1740" i="8"/>
  <c r="AC1741" i="8"/>
  <c r="AC1736" i="8"/>
  <c r="AC1737" i="8"/>
  <c r="AC1738" i="8"/>
  <c r="AC1739" i="8"/>
  <c r="AC1789" i="8"/>
  <c r="AC1787" i="8"/>
  <c r="AC1786" i="8"/>
  <c r="AC1788" i="8"/>
  <c r="AC870" i="8"/>
  <c r="AC869" i="8"/>
  <c r="AC868" i="8"/>
  <c r="AC789" i="8"/>
  <c r="AC790" i="8"/>
  <c r="AC791" i="8"/>
  <c r="AC792" i="8"/>
  <c r="AC852" i="8"/>
  <c r="AC853" i="8"/>
  <c r="AC854" i="8"/>
  <c r="AC855" i="8"/>
  <c r="AC1017" i="8"/>
  <c r="AC1018" i="8"/>
  <c r="AC1020" i="8"/>
  <c r="AC1019" i="8"/>
  <c r="AC842" i="8"/>
  <c r="AC843" i="8"/>
  <c r="AC844" i="8"/>
  <c r="AC845" i="8"/>
  <c r="AC846" i="8"/>
  <c r="AC753" i="8"/>
  <c r="AC755" i="8"/>
  <c r="AC782" i="8"/>
  <c r="AC756" i="8"/>
  <c r="AC754" i="8"/>
  <c r="AC748" i="8"/>
  <c r="AC749" i="8"/>
  <c r="AC750" i="8"/>
  <c r="AC994" i="8"/>
  <c r="AC995" i="8"/>
  <c r="AC996" i="8"/>
  <c r="AC804" i="8"/>
  <c r="AC805" i="8"/>
  <c r="AC807" i="8"/>
  <c r="AC806" i="8"/>
  <c r="AC863" i="8"/>
  <c r="AC864" i="8"/>
  <c r="AC865" i="8"/>
  <c r="AC1008" i="8"/>
  <c r="AC1010" i="8"/>
  <c r="AC1009" i="8"/>
  <c r="AC1005" i="8"/>
  <c r="AC1006" i="8"/>
  <c r="AC1007" i="8"/>
  <c r="AC1000" i="8"/>
  <c r="AC999" i="8"/>
  <c r="AC998" i="8"/>
  <c r="AC997" i="8"/>
  <c r="AC861" i="8"/>
  <c r="AC860" i="8"/>
  <c r="AC859" i="8"/>
  <c r="AC862" i="8"/>
  <c r="AC983" i="8"/>
  <c r="AC984" i="8"/>
  <c r="AC1913" i="8"/>
  <c r="AC1914" i="8"/>
  <c r="AC1915" i="8"/>
  <c r="AC1916" i="8"/>
  <c r="AC1912" i="8"/>
  <c r="AC1918" i="8"/>
  <c r="AC1921" i="8"/>
  <c r="AC1920" i="8"/>
  <c r="AC1919" i="8"/>
  <c r="AC1917" i="8"/>
  <c r="AC1893" i="8"/>
  <c r="AC1894" i="8"/>
  <c r="AC1895" i="8"/>
  <c r="AC410" i="8"/>
  <c r="AC409" i="8"/>
  <c r="AC704" i="8"/>
  <c r="AC598" i="8"/>
  <c r="AC595" i="8"/>
  <c r="AC594" i="8"/>
  <c r="AC597" i="8"/>
  <c r="AC596" i="8"/>
  <c r="AC586" i="8"/>
  <c r="AC585" i="8"/>
  <c r="AC584" i="8"/>
  <c r="AC588" i="8"/>
  <c r="AC587" i="8"/>
  <c r="AC581" i="8"/>
  <c r="AC582" i="8"/>
  <c r="AC583" i="8"/>
  <c r="AC669" i="8"/>
  <c r="AC668" i="8"/>
  <c r="AC667" i="8"/>
  <c r="AC666" i="8"/>
  <c r="AC664" i="8"/>
  <c r="AC663" i="8"/>
  <c r="AC665" i="8"/>
  <c r="AC413" i="8"/>
  <c r="AC412" i="8"/>
  <c r="AC705" i="8"/>
  <c r="AC708" i="8"/>
  <c r="AC707" i="8"/>
  <c r="AC706" i="8"/>
  <c r="AC605" i="8"/>
  <c r="AC606" i="8"/>
  <c r="AC710" i="8"/>
  <c r="AC709" i="8"/>
  <c r="AC589" i="8"/>
  <c r="AC590" i="8"/>
  <c r="AC591" i="8"/>
  <c r="AC592" i="8"/>
  <c r="AC593" i="8"/>
  <c r="AC528" i="8"/>
  <c r="AC529" i="8"/>
  <c r="AC527" i="8"/>
  <c r="AC514" i="8"/>
  <c r="AC515" i="8"/>
  <c r="AC516" i="8"/>
  <c r="AC517" i="8"/>
  <c r="AC518" i="8"/>
  <c r="AC520" i="8"/>
  <c r="AC521" i="8"/>
  <c r="AC522" i="8"/>
  <c r="AC523" i="8"/>
  <c r="AC519" i="8"/>
  <c r="AC524" i="8"/>
  <c r="AC525" i="8"/>
  <c r="AC526" i="8"/>
  <c r="AC541" i="8"/>
  <c r="AC540" i="8"/>
  <c r="AC542" i="8"/>
  <c r="AC635" i="8"/>
  <c r="AC634" i="8"/>
  <c r="AC633" i="8"/>
  <c r="AC636" i="8"/>
  <c r="AC398" i="8"/>
  <c r="AC397" i="8"/>
  <c r="AC399" i="8"/>
  <c r="AC400" i="8"/>
  <c r="AC637" i="8"/>
  <c r="AC638" i="8"/>
  <c r="AC639" i="8"/>
  <c r="AC640" i="8"/>
  <c r="AC684" i="8"/>
  <c r="AC685" i="8"/>
  <c r="AC423" i="8"/>
  <c r="AC426" i="8"/>
  <c r="AC425" i="8"/>
  <c r="AC424" i="8"/>
  <c r="AC408" i="8"/>
  <c r="AC407" i="8"/>
  <c r="AC406" i="8"/>
  <c r="AC717" i="8"/>
  <c r="AC719" i="8"/>
  <c r="AC716" i="8"/>
  <c r="AC718" i="8"/>
  <c r="AC683" i="8"/>
  <c r="AC711" i="8"/>
  <c r="AC713" i="8"/>
  <c r="AC712" i="8"/>
  <c r="AC647" i="8"/>
  <c r="AC648" i="8"/>
  <c r="AC649" i="8"/>
  <c r="AC530" i="8"/>
  <c r="AC384" i="8"/>
  <c r="AC383" i="8"/>
  <c r="AC382" i="8"/>
  <c r="AC381" i="8"/>
  <c r="AC502" i="8"/>
  <c r="AC503" i="8"/>
  <c r="AC504" i="8"/>
  <c r="AC505" i="8"/>
  <c r="AC570" i="8"/>
  <c r="AC571" i="8"/>
  <c r="AC568" i="8"/>
  <c r="AC569" i="8"/>
  <c r="AC376" i="8"/>
  <c r="AC377" i="8"/>
  <c r="AC378" i="8"/>
  <c r="AC379" i="8"/>
  <c r="AC380" i="8"/>
  <c r="AC375" i="8"/>
  <c r="AC437" i="8"/>
  <c r="AC435" i="8"/>
  <c r="AC436" i="8"/>
  <c r="AC497" i="8"/>
  <c r="AC496" i="8"/>
  <c r="AC495" i="8"/>
  <c r="AC494" i="8"/>
  <c r="AC573" i="8"/>
  <c r="AC574" i="8"/>
  <c r="AC461" i="8"/>
  <c r="AC460" i="8"/>
  <c r="AC459" i="8"/>
  <c r="AC553" i="8"/>
  <c r="AC552" i="8"/>
  <c r="AC554" i="8"/>
  <c r="AC482" i="8"/>
  <c r="AC485" i="8"/>
  <c r="AC484" i="8"/>
  <c r="AC483" i="8"/>
  <c r="AC674" i="8"/>
  <c r="AC675" i="8"/>
  <c r="AC473" i="8"/>
  <c r="AC474" i="8"/>
  <c r="AC475" i="8"/>
  <c r="AC471" i="8"/>
  <c r="AC472" i="8"/>
  <c r="AC456" i="8"/>
  <c r="AC455" i="8"/>
  <c r="AC458" i="8"/>
  <c r="AC457" i="8"/>
  <c r="AC658" i="8"/>
  <c r="AC656" i="8"/>
  <c r="AC657" i="8"/>
  <c r="AC486" i="8"/>
  <c r="AC487" i="8"/>
  <c r="AC488" i="8"/>
  <c r="AC489" i="8"/>
  <c r="AC444" i="8"/>
  <c r="AC445" i="8"/>
  <c r="AC446" i="8"/>
  <c r="AC478" i="8"/>
  <c r="AC476" i="8"/>
  <c r="AC477" i="8"/>
  <c r="AC762" i="8"/>
  <c r="AC783" i="8"/>
  <c r="AC763" i="8"/>
  <c r="AC765" i="8"/>
  <c r="AC764" i="8"/>
  <c r="AC355" i="8"/>
  <c r="AC356" i="8"/>
  <c r="AC357" i="8"/>
  <c r="AC358" i="8"/>
  <c r="AC359" i="8"/>
  <c r="AC303" i="8"/>
  <c r="AC302" i="8"/>
  <c r="AC300" i="8"/>
  <c r="AC299" i="8"/>
  <c r="AC301" i="8"/>
  <c r="AC330" i="8"/>
  <c r="AC332" i="8"/>
  <c r="AC331" i="8"/>
  <c r="AC329" i="8"/>
  <c r="AC282" i="8"/>
  <c r="AC281" i="8"/>
  <c r="AC284" i="8"/>
  <c r="AC283" i="8"/>
  <c r="AC285" i="8"/>
  <c r="AC336" i="8"/>
  <c r="AC337" i="8"/>
  <c r="AC338" i="8"/>
  <c r="AC341" i="8"/>
  <c r="AC339" i="8"/>
  <c r="AC340" i="8"/>
  <c r="AC360" i="8"/>
  <c r="AC361" i="8"/>
  <c r="AC362" i="8"/>
  <c r="AC363" i="8"/>
  <c r="AC364" i="8"/>
  <c r="AC365" i="8"/>
  <c r="AC366" i="8"/>
  <c r="AC367" i="8"/>
  <c r="AC368" i="8"/>
  <c r="AC369" i="8"/>
  <c r="AC295" i="8"/>
  <c r="AC296" i="8"/>
  <c r="AC297" i="8"/>
  <c r="AC298" i="8"/>
  <c r="AC345" i="8"/>
  <c r="AC344" i="8"/>
  <c r="AC343" i="8"/>
  <c r="AC342" i="8"/>
  <c r="AC346" i="8"/>
  <c r="AC250" i="8"/>
  <c r="AC251" i="8"/>
  <c r="AC252" i="8"/>
  <c r="AC253" i="8"/>
  <c r="AC222" i="8"/>
  <c r="AC223" i="8"/>
  <c r="AC224" i="8"/>
  <c r="AC225" i="8"/>
  <c r="AC226" i="8"/>
  <c r="AC233" i="8"/>
  <c r="AC234" i="8"/>
  <c r="AC235" i="8"/>
  <c r="AC88" i="8"/>
  <c r="AC166" i="8"/>
  <c r="AC167" i="8"/>
  <c r="AC168" i="8"/>
  <c r="AC165" i="8"/>
  <c r="AC164" i="8"/>
  <c r="AC170" i="8"/>
  <c r="AC159" i="8"/>
  <c r="AC160" i="8"/>
  <c r="AC161" i="8"/>
  <c r="AC162" i="8"/>
  <c r="AC163" i="8"/>
  <c r="AC78" i="8"/>
  <c r="AC79" i="8"/>
  <c r="AC80" i="8"/>
  <c r="AC176" i="8"/>
  <c r="AC81" i="8"/>
  <c r="AC84" i="8"/>
  <c r="AC85" i="8"/>
  <c r="AC87" i="8"/>
  <c r="AC86" i="8"/>
  <c r="AC82" i="8"/>
  <c r="AC83" i="8"/>
  <c r="AC95" i="8"/>
  <c r="AC94" i="8"/>
  <c r="AC93" i="8"/>
  <c r="AC121" i="8"/>
  <c r="AC122" i="8"/>
  <c r="AC123" i="8"/>
  <c r="AC124" i="8"/>
  <c r="AC125" i="8"/>
  <c r="AC151" i="8"/>
  <c r="AC150" i="8"/>
  <c r="AC149" i="8"/>
  <c r="AC153" i="8"/>
  <c r="AC152" i="8"/>
  <c r="AC117" i="8"/>
  <c r="AC118" i="8"/>
  <c r="AC119" i="8"/>
  <c r="AC120" i="8"/>
  <c r="AC201" i="8"/>
  <c r="AC200" i="8"/>
  <c r="AC202" i="8"/>
  <c r="AC134" i="8"/>
  <c r="AC131" i="8"/>
  <c r="AC130" i="8"/>
  <c r="AC132" i="8"/>
  <c r="AC133" i="8"/>
  <c r="AC183" i="8"/>
  <c r="AC186" i="8"/>
  <c r="AC184" i="8"/>
  <c r="AC181" i="8"/>
  <c r="AC182" i="8"/>
  <c r="AC185" i="8"/>
  <c r="AC112" i="8"/>
  <c r="AC113" i="8"/>
  <c r="AC111" i="8"/>
  <c r="AC110" i="8"/>
  <c r="AC109" i="8"/>
  <c r="AC101" i="8"/>
  <c r="AC103" i="8"/>
  <c r="AC102" i="8"/>
  <c r="AC137" i="8"/>
  <c r="AC135" i="8"/>
  <c r="AC136" i="8"/>
  <c r="AC129" i="8"/>
  <c r="AC128" i="8"/>
  <c r="AC127" i="8"/>
  <c r="AC126" i="8"/>
  <c r="AC194" i="8"/>
  <c r="AC195" i="8"/>
  <c r="AC196" i="8"/>
  <c r="AC192" i="8"/>
  <c r="AC193" i="8"/>
  <c r="AC411" i="8"/>
  <c r="AC322" i="8"/>
  <c r="AC321" i="8"/>
  <c r="AC320" i="8"/>
  <c r="AC324" i="8"/>
  <c r="AC323" i="8"/>
  <c r="AC328" i="8"/>
  <c r="AC325" i="8"/>
  <c r="AC326" i="8"/>
  <c r="AC327" i="8"/>
  <c r="AC259" i="8"/>
  <c r="AC260" i="8"/>
  <c r="AC261" i="8"/>
  <c r="AC262" i="8"/>
  <c r="AC263" i="8"/>
  <c r="AC279" i="8"/>
  <c r="AC280" i="8"/>
  <c r="AC274" i="8"/>
  <c r="AC273" i="8"/>
  <c r="AC275" i="8"/>
  <c r="AC276" i="8"/>
  <c r="AC277" i="8"/>
  <c r="AC278" i="8"/>
  <c r="AC169" i="8"/>
  <c r="AC172" i="8"/>
  <c r="AC5" i="8"/>
  <c r="AC6" i="8"/>
  <c r="AC7" i="8"/>
  <c r="AC21" i="8"/>
  <c r="AC22" i="8"/>
  <c r="AC23" i="8"/>
  <c r="AC74" i="8"/>
  <c r="AC48" i="8"/>
  <c r="AC49" i="8"/>
  <c r="AC50" i="8"/>
  <c r="AC47" i="8"/>
  <c r="AC58" i="8"/>
  <c r="AC59" i="8"/>
  <c r="AC60" i="8"/>
  <c r="AC65" i="8"/>
  <c r="AC66" i="8"/>
  <c r="AC67" i="8"/>
  <c r="AF1070" i="8"/>
  <c r="AF1388" i="8"/>
  <c r="AF1069" i="8"/>
  <c r="AF1391" i="8"/>
  <c r="AF1390" i="8"/>
  <c r="AF1389" i="8"/>
  <c r="AF1066" i="8"/>
  <c r="AF1068" i="8"/>
  <c r="I8" i="14"/>
  <c r="G20" i="14"/>
  <c r="H97" i="11"/>
  <c r="F97" i="11"/>
  <c r="J82" i="11"/>
  <c r="Q81" i="10"/>
  <c r="AC608" i="8"/>
  <c r="AC618" i="8"/>
  <c r="AC619" i="8"/>
  <c r="AC319" i="8"/>
  <c r="AC318" i="8"/>
  <c r="X126" i="8"/>
  <c r="X211" i="8"/>
  <c r="X96" i="8"/>
  <c r="X207" i="8"/>
  <c r="X218" i="8"/>
  <c r="X105" i="8"/>
  <c r="X931" i="8"/>
  <c r="X704" i="8"/>
  <c r="X598" i="8"/>
  <c r="X595" i="8"/>
  <c r="X594" i="8"/>
  <c r="X597" i="8"/>
  <c r="X596" i="8"/>
  <c r="X609" i="8"/>
  <c r="X610" i="8"/>
  <c r="X585" i="8"/>
  <c r="X584" i="8"/>
  <c r="X588" i="8"/>
  <c r="X581" i="8"/>
  <c r="X582" i="8"/>
  <c r="X583" i="8"/>
  <c r="X611" i="8"/>
  <c r="X612" i="8"/>
  <c r="X669" i="8"/>
  <c r="X664" i="8"/>
  <c r="X663" i="8"/>
  <c r="X616" i="8"/>
  <c r="X412" i="8"/>
  <c r="X618" i="8"/>
  <c r="X705" i="8"/>
  <c r="X708" i="8"/>
  <c r="X707" i="8"/>
  <c r="X706" i="8"/>
  <c r="X605" i="8"/>
  <c r="X606" i="8"/>
  <c r="X619" i="8"/>
  <c r="X710" i="8"/>
  <c r="X709" i="8"/>
  <c r="X589" i="8"/>
  <c r="X590" i="8"/>
  <c r="X591" i="8"/>
  <c r="X593" i="8"/>
  <c r="X620" i="8"/>
  <c r="X621" i="8"/>
  <c r="X622" i="8"/>
  <c r="X623" i="8"/>
  <c r="X600" i="8"/>
  <c r="X602" i="8"/>
  <c r="X603" i="8"/>
  <c r="X604" i="8"/>
  <c r="X599" i="8"/>
  <c r="X515" i="8"/>
  <c r="X516" i="8"/>
  <c r="X517" i="8"/>
  <c r="X443" i="8"/>
  <c r="X442" i="8"/>
  <c r="X533" i="8"/>
  <c r="X532" i="8"/>
  <c r="X714" i="8"/>
  <c r="X715" i="8"/>
  <c r="X541" i="8"/>
  <c r="X539" i="8"/>
  <c r="X540" i="8"/>
  <c r="X542" i="8"/>
  <c r="X447" i="8"/>
  <c r="X451" i="8"/>
  <c r="X448" i="8"/>
  <c r="X450" i="8"/>
  <c r="X643" i="8"/>
  <c r="X644" i="8"/>
  <c r="X642" i="8"/>
  <c r="X641" i="8"/>
  <c r="X654" i="8"/>
  <c r="X653" i="8"/>
  <c r="X655" i="8"/>
  <c r="X635" i="8"/>
  <c r="X634" i="8"/>
  <c r="X633" i="8"/>
  <c r="X636" i="8"/>
  <c r="X398" i="8"/>
  <c r="X397" i="8"/>
  <c r="X399" i="8"/>
  <c r="X400" i="8"/>
  <c r="X637" i="8"/>
  <c r="X638" i="8"/>
  <c r="X639" i="8"/>
  <c r="X640" i="8"/>
  <c r="X684" i="8"/>
  <c r="X685" i="8"/>
  <c r="X408" i="8"/>
  <c r="X407" i="8"/>
  <c r="X406" i="8"/>
  <c r="X717" i="8"/>
  <c r="X719" i="8"/>
  <c r="X716" i="8"/>
  <c r="X718" i="8"/>
  <c r="X683" i="8"/>
  <c r="X711" i="8"/>
  <c r="X713" i="8"/>
  <c r="X712" i="8"/>
  <c r="X700" i="8"/>
  <c r="X647" i="8"/>
  <c r="X648" i="8"/>
  <c r="X649" i="8"/>
  <c r="X530" i="8"/>
  <c r="X384" i="8"/>
  <c r="X383" i="8"/>
  <c r="X382" i="8"/>
  <c r="X381" i="8"/>
  <c r="X502" i="8"/>
  <c r="X570" i="8"/>
  <c r="X571" i="8"/>
  <c r="X568" i="8"/>
  <c r="X569" i="8"/>
  <c r="X376" i="8"/>
  <c r="X377" i="8"/>
  <c r="X378" i="8"/>
  <c r="X379" i="8"/>
  <c r="X375" i="8"/>
  <c r="X437" i="8"/>
  <c r="X435" i="8"/>
  <c r="X436" i="8"/>
  <c r="X497" i="8"/>
  <c r="X496" i="8"/>
  <c r="X495" i="8"/>
  <c r="X573" i="8"/>
  <c r="X574" i="8"/>
  <c r="X461" i="8"/>
  <c r="X460" i="8"/>
  <c r="X459" i="8"/>
  <c r="X553" i="8"/>
  <c r="X552" i="8"/>
  <c r="X554" i="8"/>
  <c r="X482" i="8"/>
  <c r="X485" i="8"/>
  <c r="X484" i="8"/>
  <c r="X483" i="8"/>
  <c r="X551" i="8"/>
  <c r="X550" i="8"/>
  <c r="X549" i="8"/>
  <c r="X548" i="8"/>
  <c r="X670" i="8"/>
  <c r="X671" i="8"/>
  <c r="X673" i="8"/>
  <c r="X672" i="8"/>
  <c r="X726" i="8"/>
  <c r="X725" i="8"/>
  <c r="X674" i="8"/>
  <c r="X675" i="8"/>
  <c r="X659" i="8"/>
  <c r="X660" i="8"/>
  <c r="X661" i="8"/>
  <c r="X662" i="8"/>
  <c r="X564" i="8"/>
  <c r="X566" i="8"/>
  <c r="X567" i="8"/>
  <c r="X565" i="8"/>
  <c r="X677" i="8"/>
  <c r="X679" i="8"/>
  <c r="X678" i="8"/>
  <c r="X676" i="8"/>
  <c r="X629" i="8"/>
  <c r="X632" i="8"/>
  <c r="X630" i="8"/>
  <c r="X631" i="8"/>
  <c r="X680" i="8"/>
  <c r="X681" i="8"/>
  <c r="X682" i="8"/>
  <c r="X563" i="8"/>
  <c r="X562" i="8"/>
  <c r="X561" i="8"/>
  <c r="X560" i="8"/>
  <c r="X473" i="8"/>
  <c r="X474" i="8"/>
  <c r="X475" i="8"/>
  <c r="X471" i="8"/>
  <c r="X472" i="8"/>
  <c r="X282" i="8"/>
  <c r="X360" i="8"/>
  <c r="X368" i="8"/>
  <c r="X272" i="8"/>
  <c r="X296" i="8"/>
  <c r="X335" i="8"/>
  <c r="X353" i="8"/>
  <c r="X345" i="8"/>
  <c r="X242" i="8"/>
  <c r="X235" i="8"/>
  <c r="X204" i="8"/>
  <c r="X125" i="8"/>
  <c r="X119" i="8"/>
  <c r="X133" i="8"/>
  <c r="X111" i="8"/>
  <c r="X148" i="8"/>
  <c r="X194" i="8"/>
  <c r="X138" i="8"/>
  <c r="X90" i="8"/>
  <c r="X229" i="8"/>
  <c r="X227" i="8"/>
  <c r="X255" i="8"/>
  <c r="X256" i="8"/>
  <c r="X257" i="8"/>
  <c r="X258" i="8"/>
  <c r="X232" i="8"/>
  <c r="X231" i="8"/>
  <c r="X237" i="8"/>
  <c r="X236" i="8"/>
  <c r="X156" i="8"/>
  <c r="X158" i="8"/>
  <c r="X155" i="8"/>
  <c r="X154" i="8"/>
  <c r="X174" i="8"/>
  <c r="X88" i="8"/>
  <c r="X166" i="8"/>
  <c r="X167" i="8"/>
  <c r="X168" i="8"/>
  <c r="X165" i="8"/>
  <c r="X164" i="8"/>
  <c r="X171" i="8"/>
  <c r="X170" i="8"/>
  <c r="X159" i="8"/>
  <c r="X160" i="8"/>
  <c r="X161" i="8"/>
  <c r="X162" i="8"/>
  <c r="X163" i="8"/>
  <c r="X78" i="8"/>
  <c r="X79" i="8"/>
  <c r="X175" i="8"/>
  <c r="X178" i="8"/>
  <c r="X177" i="8"/>
  <c r="X176" i="8"/>
  <c r="X169" i="8"/>
  <c r="X84" i="8"/>
  <c r="X85" i="8"/>
  <c r="X87" i="8"/>
  <c r="X82" i="8"/>
  <c r="X83" i="8"/>
  <c r="X95" i="8"/>
  <c r="X94" i="8"/>
  <c r="X93" i="8"/>
  <c r="X172" i="8"/>
  <c r="X198" i="8"/>
  <c r="X199" i="8"/>
  <c r="X107" i="8"/>
  <c r="X108" i="8"/>
  <c r="X894" i="8"/>
  <c r="X889" i="8"/>
  <c r="X898" i="8"/>
  <c r="X905" i="8"/>
  <c r="X1016" i="8"/>
  <c r="X791" i="8"/>
  <c r="X994" i="8"/>
  <c r="X777" i="8"/>
  <c r="X793" i="8"/>
  <c r="X858" i="8"/>
  <c r="X1002" i="8"/>
  <c r="X1036" i="8"/>
  <c r="X1011" i="8"/>
  <c r="X833" i="8"/>
  <c r="X818" i="8"/>
  <c r="X814" i="8"/>
  <c r="X827" i="8"/>
  <c r="X696" i="8"/>
  <c r="X689" i="8"/>
  <c r="X455" i="8"/>
  <c r="X512" i="8"/>
  <c r="X487" i="8"/>
  <c r="X536" i="8"/>
  <c r="X444" i="8"/>
  <c r="X724" i="8"/>
  <c r="X439" i="8"/>
  <c r="X769" i="8"/>
  <c r="X467" i="8"/>
  <c r="X401" i="8"/>
  <c r="X783" i="8"/>
  <c r="X414" i="8"/>
  <c r="X268" i="8"/>
  <c r="X326" i="8"/>
  <c r="X263" i="8"/>
  <c r="X276" i="8"/>
  <c r="X303" i="8"/>
  <c r="X332" i="8"/>
  <c r="X337" i="8"/>
  <c r="X365" i="8"/>
  <c r="X307" i="8"/>
  <c r="X291" i="8"/>
  <c r="X317" i="8"/>
  <c r="X349" i="8"/>
  <c r="X370" i="8"/>
  <c r="X344" i="8"/>
  <c r="X222" i="8"/>
  <c r="X241" i="8"/>
  <c r="X249" i="8"/>
  <c r="X114" i="8"/>
  <c r="X153" i="8"/>
  <c r="X200" i="8"/>
  <c r="X113" i="8"/>
  <c r="X189" i="8"/>
  <c r="X145" i="8"/>
  <c r="X212" i="8"/>
  <c r="X100" i="8"/>
  <c r="X206" i="8"/>
  <c r="X217" i="8"/>
  <c r="X173" i="8"/>
  <c r="X572" i="8"/>
  <c r="X922" i="8"/>
  <c r="X933" i="8"/>
  <c r="X614" i="8"/>
  <c r="X976" i="8"/>
  <c r="X948" i="8"/>
  <c r="X972" i="8"/>
  <c r="X939" i="8"/>
  <c r="X965" i="8"/>
  <c r="X917" i="8"/>
  <c r="X937" i="8"/>
  <c r="X728" i="8"/>
  <c r="X968" i="8"/>
  <c r="X932" i="8"/>
  <c r="X958" i="8"/>
  <c r="X967" i="8"/>
  <c r="X911" i="8"/>
  <c r="X914" i="8"/>
  <c r="X938" i="8"/>
  <c r="X942" i="8"/>
  <c r="X766" i="8"/>
  <c r="X943" i="8"/>
  <c r="X878" i="8"/>
  <c r="X883" i="8"/>
  <c r="X897" i="8"/>
  <c r="X900" i="8"/>
  <c r="X779" i="8"/>
  <c r="X1040" i="8"/>
  <c r="X852" i="8"/>
  <c r="X1019" i="8"/>
  <c r="X755" i="8"/>
  <c r="X749" i="8"/>
  <c r="X807" i="8"/>
  <c r="X1010" i="8"/>
  <c r="X999" i="8"/>
  <c r="X801" i="8"/>
  <c r="X861" i="8"/>
  <c r="X985" i="8"/>
  <c r="X1001" i="8"/>
  <c r="X810" i="8"/>
  <c r="X1013" i="8"/>
  <c r="X1034" i="8"/>
  <c r="X832" i="8"/>
  <c r="X1027" i="8"/>
  <c r="X819" i="8"/>
  <c r="X824" i="8"/>
  <c r="X694" i="8"/>
  <c r="X695" i="8"/>
  <c r="X688" i="8"/>
  <c r="X458" i="8"/>
  <c r="X510" i="8"/>
  <c r="X751" i="8"/>
  <c r="X691" i="8"/>
  <c r="X488" i="8"/>
  <c r="X498" i="8"/>
  <c r="X385" i="8"/>
  <c r="X446" i="8"/>
  <c r="X720" i="8"/>
  <c r="X418" i="8"/>
  <c r="X531" i="8"/>
  <c r="X478" i="8"/>
  <c r="X420" i="8"/>
  <c r="X481" i="8"/>
  <c r="X434" i="8"/>
  <c r="X403" i="8"/>
  <c r="X787" i="8"/>
  <c r="X508" i="8"/>
  <c r="X264" i="8"/>
  <c r="X320" i="8"/>
  <c r="X356" i="8"/>
  <c r="X299" i="8"/>
  <c r="X281" i="8"/>
  <c r="X341" i="8"/>
  <c r="X366" i="8"/>
  <c r="X269" i="8"/>
  <c r="X311" i="8"/>
  <c r="X297" i="8"/>
  <c r="X348" i="8"/>
  <c r="X374" i="8"/>
  <c r="X289" i="8"/>
  <c r="X226" i="8"/>
  <c r="X244" i="8"/>
  <c r="X247" i="8"/>
  <c r="X122" i="8"/>
  <c r="X117" i="8"/>
  <c r="X134" i="8"/>
  <c r="X112" i="8"/>
  <c r="X102" i="8"/>
  <c r="X129" i="8"/>
  <c r="X143" i="8"/>
  <c r="X214" i="8"/>
  <c r="X192" i="8"/>
  <c r="X140" i="8"/>
  <c r="X969" i="8"/>
  <c r="X945" i="8"/>
  <c r="X955" i="8"/>
  <c r="X871" i="8"/>
  <c r="X888" i="8"/>
  <c r="X896" i="8"/>
  <c r="X906" i="8"/>
  <c r="X869" i="8"/>
  <c r="X789" i="8"/>
  <c r="X1017" i="8"/>
  <c r="X754" i="8"/>
  <c r="X806" i="8"/>
  <c r="X1009" i="8"/>
  <c r="X997" i="8"/>
  <c r="X799" i="8"/>
  <c r="X797" i="8"/>
  <c r="X986" i="8"/>
  <c r="X993" i="8"/>
  <c r="X811" i="8"/>
  <c r="X1035" i="8"/>
  <c r="X831" i="8"/>
  <c r="X1025" i="8"/>
  <c r="X829" i="8"/>
  <c r="X575" i="8"/>
  <c r="X428" i="8"/>
  <c r="X744" i="8"/>
  <c r="X651" i="8"/>
  <c r="X546" i="8"/>
  <c r="X477" i="8"/>
  <c r="X466" i="8"/>
  <c r="X470" i="8"/>
  <c r="X538" i="8"/>
  <c r="X395" i="8"/>
  <c r="X764" i="8"/>
  <c r="X416" i="8"/>
  <c r="X325" i="8"/>
  <c r="X301" i="8"/>
  <c r="X283" i="8"/>
  <c r="X362" i="8"/>
  <c r="X304" i="8"/>
  <c r="X312" i="8"/>
  <c r="X292" i="8"/>
  <c r="X314" i="8"/>
  <c r="X350" i="8"/>
  <c r="X287" i="8"/>
  <c r="X346" i="8"/>
  <c r="X225" i="8"/>
  <c r="X245" i="8"/>
  <c r="X220" i="8"/>
  <c r="X115" i="8"/>
  <c r="X151" i="8"/>
  <c r="X193" i="8"/>
  <c r="X142" i="8"/>
  <c r="X89" i="8"/>
  <c r="X624" i="8"/>
  <c r="X978" i="8"/>
  <c r="X615" i="8"/>
  <c r="X490" i="8"/>
  <c r="X916" i="8"/>
  <c r="X964" i="8"/>
  <c r="X924" i="8"/>
  <c r="X975" i="8"/>
  <c r="X915" i="8"/>
  <c r="X953" i="8"/>
  <c r="X941" i="8"/>
  <c r="X961" i="8"/>
  <c r="X956" i="8"/>
  <c r="X920" i="8"/>
  <c r="X908" i="8"/>
  <c r="X850" i="8"/>
  <c r="X493" i="8"/>
  <c r="X910" i="8"/>
  <c r="X907" i="8"/>
  <c r="X935" i="8"/>
  <c r="X959" i="8"/>
  <c r="X974" i="8"/>
  <c r="X926" i="8"/>
  <c r="X966" i="8"/>
  <c r="X919" i="8"/>
  <c r="X893" i="8"/>
  <c r="X890" i="8"/>
  <c r="X899" i="8"/>
  <c r="X1022" i="8"/>
  <c r="X780" i="8"/>
  <c r="X1039" i="8"/>
  <c r="X853" i="8"/>
  <c r="X1020" i="8"/>
  <c r="X845" i="8"/>
  <c r="X996" i="8"/>
  <c r="X865" i="8"/>
  <c r="X998" i="8"/>
  <c r="X798" i="8"/>
  <c r="X795" i="8"/>
  <c r="X988" i="8"/>
  <c r="X991" i="8"/>
  <c r="X809" i="8"/>
  <c r="X1014" i="8"/>
  <c r="X784" i="8"/>
  <c r="X838" i="8"/>
  <c r="X817" i="8"/>
  <c r="X815" i="8"/>
  <c r="X577" i="8"/>
  <c r="X456" i="8"/>
  <c r="X511" i="8"/>
  <c r="X657" i="8"/>
  <c r="X486" i="8"/>
  <c r="X500" i="8"/>
  <c r="X388" i="8"/>
  <c r="X738" i="8"/>
  <c r="X440" i="8"/>
  <c r="X652" i="8"/>
  <c r="X544" i="8"/>
  <c r="X627" i="8"/>
  <c r="X480" i="8"/>
  <c r="X433" i="8"/>
  <c r="X785" i="8"/>
  <c r="X507" i="8"/>
  <c r="X322" i="8"/>
  <c r="X323" i="8"/>
  <c r="X277" i="8"/>
  <c r="X359" i="8"/>
  <c r="X331" i="8"/>
  <c r="X338" i="8"/>
  <c r="X363" i="8"/>
  <c r="X306" i="8"/>
  <c r="X309" i="8"/>
  <c r="X295" i="8"/>
  <c r="X333" i="8"/>
  <c r="X354" i="8"/>
  <c r="X286" i="8"/>
  <c r="X250" i="8"/>
  <c r="X238" i="8"/>
  <c r="X243" i="8"/>
  <c r="X248" i="8"/>
  <c r="X121" i="8"/>
  <c r="X152" i="8"/>
  <c r="X202" i="8"/>
  <c r="X110" i="8"/>
  <c r="X136" i="8"/>
  <c r="X128" i="8"/>
  <c r="X210" i="8"/>
  <c r="X97" i="8"/>
  <c r="X208" i="8"/>
  <c r="X215" i="8"/>
  <c r="X979" i="8"/>
  <c r="X625" i="8"/>
  <c r="X613" i="8"/>
  <c r="X928" i="8"/>
  <c r="X940" i="8"/>
  <c r="X960" i="8"/>
  <c r="X927" i="8"/>
  <c r="X963" i="8"/>
  <c r="X925" i="8"/>
  <c r="X949" i="8"/>
  <c r="X687" i="8"/>
  <c r="X944" i="8"/>
  <c r="X492" i="8"/>
  <c r="X730" i="8"/>
  <c r="X736" i="8"/>
  <c r="X729" i="8"/>
  <c r="X934" i="8"/>
  <c r="X731" i="8"/>
  <c r="X923" i="8"/>
  <c r="X962" i="8"/>
  <c r="X918" i="8"/>
  <c r="X930" i="8"/>
  <c r="X851" i="8"/>
  <c r="X884" i="8"/>
  <c r="X891" i="8"/>
  <c r="X902" i="8"/>
  <c r="X686" i="8"/>
  <c r="X491" i="8"/>
  <c r="X617" i="8"/>
  <c r="X957" i="8"/>
  <c r="X952" i="8"/>
  <c r="X936" i="8"/>
  <c r="X912" i="8"/>
  <c r="X951" i="8"/>
  <c r="X929" i="8"/>
  <c r="X977" i="8"/>
  <c r="X973" i="8"/>
  <c r="X913" i="8"/>
  <c r="X767" i="8"/>
  <c r="X768" i="8"/>
  <c r="X734" i="8"/>
  <c r="X735" i="8"/>
  <c r="X970" i="8"/>
  <c r="X946" i="8"/>
  <c r="X727" i="8"/>
  <c r="X947" i="8"/>
  <c r="X971" i="8"/>
  <c r="X950" i="8"/>
  <c r="X254" i="8"/>
  <c r="X954" i="8"/>
  <c r="X877" i="8"/>
  <c r="X885" i="8"/>
  <c r="X903" i="8"/>
  <c r="X1021" i="8"/>
  <c r="X1015" i="8"/>
  <c r="X1041" i="8"/>
  <c r="X854" i="8"/>
  <c r="X782" i="8"/>
  <c r="X995" i="8"/>
  <c r="X864" i="8"/>
  <c r="X1006" i="8"/>
  <c r="X802" i="8"/>
  <c r="X860" i="8"/>
  <c r="X857" i="8"/>
  <c r="X1003" i="8"/>
  <c r="X1037" i="8"/>
  <c r="X1012" i="8"/>
  <c r="X836" i="8"/>
  <c r="X820" i="8"/>
  <c r="X813" i="8"/>
  <c r="X825" i="8"/>
  <c r="X607" i="8"/>
  <c r="X745" i="8"/>
  <c r="X457" i="8"/>
  <c r="X658" i="8"/>
  <c r="X453" i="8"/>
  <c r="X386" i="8"/>
  <c r="X445" i="8"/>
  <c r="X721" i="8"/>
  <c r="X419" i="8"/>
  <c r="X702" i="8"/>
  <c r="X422" i="8"/>
  <c r="X468" i="8"/>
  <c r="X558" i="8"/>
  <c r="X405" i="8"/>
  <c r="X786" i="8"/>
  <c r="X509" i="8"/>
  <c r="X267" i="8"/>
  <c r="X324" i="8"/>
  <c r="X262" i="8"/>
  <c r="X357" i="8"/>
  <c r="X330" i="8"/>
  <c r="X336" i="8"/>
  <c r="X364" i="8"/>
  <c r="X308" i="8"/>
  <c r="X294" i="8"/>
  <c r="X334" i="8"/>
  <c r="X371" i="8"/>
  <c r="X343" i="8"/>
  <c r="X224" i="8"/>
  <c r="X246" i="8"/>
  <c r="X219" i="8"/>
  <c r="X116" i="8"/>
  <c r="X149" i="8"/>
  <c r="X201" i="8"/>
  <c r="X137" i="8"/>
  <c r="X191" i="8"/>
  <c r="X147" i="8"/>
  <c r="X98" i="8"/>
  <c r="X196" i="8"/>
  <c r="X141" i="8"/>
  <c r="X106" i="8"/>
  <c r="X1024" i="8"/>
  <c r="X790" i="8"/>
  <c r="X855" i="8"/>
  <c r="X844" i="8"/>
  <c r="X748" i="8"/>
  <c r="X804" i="8"/>
  <c r="X1008" i="8"/>
  <c r="X1000" i="8"/>
  <c r="X776" i="8"/>
  <c r="X796" i="8"/>
  <c r="X856" i="8"/>
  <c r="X1004" i="8"/>
  <c r="X812" i="8"/>
  <c r="X983" i="8"/>
  <c r="X1032" i="8"/>
  <c r="X837" i="8"/>
  <c r="X867" i="8"/>
  <c r="X830" i="8"/>
  <c r="X1028" i="8"/>
  <c r="X693" i="8"/>
  <c r="X746" i="8"/>
  <c r="X557" i="8"/>
  <c r="X752" i="8"/>
  <c r="X454" i="8"/>
  <c r="X499" i="8"/>
  <c r="X389" i="8"/>
  <c r="X739" i="8"/>
  <c r="X722" i="8"/>
  <c r="X650" i="8"/>
  <c r="X545" i="8"/>
  <c r="X626" i="8"/>
  <c r="X559" i="8"/>
  <c r="X537" i="8"/>
  <c r="X788" i="8"/>
  <c r="X765" i="8"/>
  <c r="X321" i="8"/>
  <c r="X327" i="8"/>
  <c r="X280" i="8"/>
  <c r="X302" i="8"/>
  <c r="X284" i="8"/>
  <c r="X340" i="8"/>
  <c r="X367" i="8"/>
  <c r="X270" i="8"/>
  <c r="X293" i="8"/>
  <c r="X316" i="8"/>
  <c r="X347" i="8"/>
  <c r="X372" i="8"/>
  <c r="X342" i="8"/>
  <c r="X223" i="8"/>
  <c r="X221" i="8"/>
  <c r="X203" i="8"/>
  <c r="X150" i="8"/>
  <c r="X120" i="8"/>
  <c r="X132" i="8"/>
  <c r="X101" i="8"/>
  <c r="X188" i="8"/>
  <c r="X127" i="8"/>
  <c r="X144" i="8"/>
  <c r="X99" i="8"/>
  <c r="X209" i="8"/>
  <c r="X216" i="8"/>
  <c r="X104" i="8"/>
  <c r="X886" i="8"/>
  <c r="X901" i="8"/>
  <c r="X1023" i="8"/>
  <c r="X842" i="8"/>
  <c r="X756" i="8"/>
  <c r="X805" i="8"/>
  <c r="X1005" i="8"/>
  <c r="X775" i="8"/>
  <c r="X803" i="8"/>
  <c r="X862" i="8"/>
  <c r="X992" i="8"/>
  <c r="X808" i="8"/>
  <c r="X984" i="8"/>
  <c r="X1033" i="8"/>
  <c r="X834" i="8"/>
  <c r="X1026" i="8"/>
  <c r="X828" i="8"/>
  <c r="X578" i="8"/>
  <c r="X697" i="8"/>
  <c r="X608" i="8"/>
  <c r="X747" i="8"/>
  <c r="X555" i="8"/>
  <c r="X692" i="8"/>
  <c r="X501" i="8"/>
  <c r="X387" i="8"/>
  <c r="X737" i="8"/>
  <c r="X438" i="8"/>
  <c r="X770" i="8"/>
  <c r="X543" i="8"/>
  <c r="X421" i="8"/>
  <c r="X479" i="8"/>
  <c r="X432" i="8"/>
  <c r="X394" i="8"/>
  <c r="X762" i="8"/>
  <c r="X319" i="8"/>
  <c r="X259" i="8"/>
  <c r="X275" i="8"/>
  <c r="X358" i="8"/>
  <c r="X285" i="8"/>
  <c r="X361" i="8"/>
  <c r="X305" i="8"/>
  <c r="X310" i="8"/>
  <c r="X298" i="8"/>
  <c r="X351" i="8"/>
  <c r="X373" i="8"/>
  <c r="X251" i="8"/>
  <c r="X239" i="8"/>
  <c r="X234" i="8"/>
  <c r="X230" i="8"/>
  <c r="X118" i="8"/>
  <c r="X130" i="8"/>
  <c r="X103" i="8"/>
  <c r="X190" i="8"/>
  <c r="X146" i="8"/>
  <c r="X213" i="8"/>
  <c r="X195" i="8"/>
  <c r="X139" i="8"/>
  <c r="X91" i="8"/>
  <c r="X872" i="8"/>
  <c r="X887" i="8"/>
  <c r="X892" i="8"/>
  <c r="X904" i="8"/>
  <c r="X778" i="8"/>
  <c r="X868" i="8"/>
  <c r="X792" i="8"/>
  <c r="X1018" i="8"/>
  <c r="X753" i="8"/>
  <c r="X750" i="8"/>
  <c r="X863" i="8"/>
  <c r="X1007" i="8"/>
  <c r="X800" i="8"/>
  <c r="X794" i="8"/>
  <c r="X987" i="8"/>
  <c r="X990" i="8"/>
  <c r="X1031" i="8"/>
  <c r="X835" i="8"/>
  <c r="X866" i="8"/>
  <c r="X816" i="8"/>
  <c r="X826" i="8"/>
  <c r="X576" i="8"/>
  <c r="X429" i="8"/>
  <c r="X690" i="8"/>
  <c r="X556" i="8"/>
  <c r="X513" i="8"/>
  <c r="X656" i="8"/>
  <c r="X452" i="8"/>
  <c r="X535" i="8"/>
  <c r="X645" i="8"/>
  <c r="X723" i="8"/>
  <c r="X417" i="8"/>
  <c r="X771" i="8"/>
  <c r="X476" i="8"/>
  <c r="X628" i="8"/>
  <c r="X469" i="8"/>
  <c r="X402" i="8"/>
  <c r="X396" i="8"/>
  <c r="X763" i="8"/>
  <c r="X415" i="8"/>
  <c r="X318" i="8"/>
  <c r="X328" i="8"/>
  <c r="X279" i="8"/>
  <c r="X355" i="8"/>
  <c r="X300" i="8"/>
  <c r="X329" i="8"/>
  <c r="X339" i="8"/>
  <c r="X369" i="8"/>
  <c r="X290" i="8"/>
  <c r="X315" i="8"/>
  <c r="X352" i="8"/>
  <c r="X288" i="8"/>
  <c r="X252" i="8"/>
  <c r="X240" i="8"/>
  <c r="X233" i="8"/>
  <c r="X205" i="8"/>
  <c r="X123" i="8"/>
  <c r="X131" i="8"/>
  <c r="X135" i="8"/>
  <c r="H22" i="14"/>
  <c r="I22" i="14"/>
  <c r="Q49" i="10"/>
  <c r="J50" i="11"/>
  <c r="I5" i="14"/>
  <c r="G19" i="14"/>
  <c r="G24" i="14"/>
  <c r="I10" i="15" s="1"/>
  <c r="V1042" i="8"/>
  <c r="W1377" i="8" s="1"/>
  <c r="D3" i="18"/>
  <c r="C18" i="15"/>
  <c r="Q73" i="10"/>
  <c r="J74" i="11"/>
  <c r="Q103" i="10"/>
  <c r="J104" i="11"/>
  <c r="H104" i="11"/>
  <c r="F104" i="11"/>
  <c r="H107" i="11"/>
  <c r="F107" i="11"/>
  <c r="Q106" i="10"/>
  <c r="J107" i="11"/>
  <c r="AF837" i="8"/>
  <c r="Q23" i="10"/>
  <c r="Q34" i="10"/>
  <c r="H45" i="11"/>
  <c r="F45" i="11"/>
  <c r="Q27" i="10"/>
  <c r="Q44" i="10"/>
  <c r="J45" i="11"/>
  <c r="Q43" i="10"/>
  <c r="J44" i="11"/>
  <c r="F44" i="11"/>
  <c r="H44" i="11"/>
  <c r="Q42" i="10"/>
  <c r="J43" i="11"/>
  <c r="H43" i="11"/>
  <c r="F43" i="11"/>
  <c r="H11" i="11"/>
  <c r="F11" i="11"/>
  <c r="Q70" i="10"/>
  <c r="N5" i="10"/>
  <c r="O5" i="10" a="1"/>
  <c r="Q104" i="10"/>
  <c r="J105" i="11"/>
  <c r="F113" i="11"/>
  <c r="H113" i="11"/>
  <c r="Q60" i="10"/>
  <c r="J61" i="11"/>
  <c r="Q33" i="10"/>
  <c r="J34" i="11"/>
  <c r="Q117" i="10"/>
  <c r="J118" i="11"/>
  <c r="H118" i="11"/>
  <c r="F118" i="11"/>
  <c r="Q39" i="10"/>
  <c r="J40" i="11"/>
  <c r="H40" i="11"/>
  <c r="F40" i="11"/>
  <c r="H96" i="11"/>
  <c r="F96" i="11"/>
  <c r="Q88" i="10"/>
  <c r="J89" i="11"/>
  <c r="H89" i="11"/>
  <c r="F89" i="11"/>
  <c r="N30" i="10"/>
  <c r="O30" i="10" a="1"/>
  <c r="O6" i="10" a="1"/>
  <c r="N6" i="10"/>
  <c r="Q6" i="10" s="1"/>
  <c r="N7" i="10"/>
  <c r="Q7" i="10" s="1"/>
  <c r="O7" i="10" a="1"/>
  <c r="O8" i="10" a="1"/>
  <c r="N8" i="10"/>
  <c r="N9" i="10"/>
  <c r="Q9" i="10" s="1"/>
  <c r="O9" i="10" a="1"/>
  <c r="N10" i="10"/>
  <c r="Q10" i="10" s="1"/>
  <c r="O10" i="10" a="1"/>
  <c r="N11" i="10"/>
  <c r="Q11" i="10" s="1"/>
  <c r="O11" i="10" a="1"/>
  <c r="O12" i="10" a="1"/>
  <c r="N12" i="10"/>
  <c r="N67" i="10"/>
  <c r="Q67" i="10" s="1"/>
  <c r="O67" i="10" a="1"/>
  <c r="N68" i="10"/>
  <c r="Q68" i="10" s="1"/>
  <c r="O68" i="10" a="1"/>
  <c r="N14" i="10"/>
  <c r="O14" i="10" a="1"/>
  <c r="O52" i="10" a="1"/>
  <c r="N52" i="10"/>
  <c r="Q32" i="10"/>
  <c r="Q110" i="10"/>
  <c r="J111" i="11"/>
  <c r="H111" i="11"/>
  <c r="F111" i="11"/>
  <c r="Q95" i="10"/>
  <c r="J96" i="11"/>
  <c r="H116" i="11"/>
  <c r="F116" i="11"/>
  <c r="Q115" i="10"/>
  <c r="J116" i="11"/>
  <c r="F39" i="11"/>
  <c r="H39" i="11"/>
  <c r="Q38" i="10"/>
  <c r="J39" i="11"/>
  <c r="F36" i="11"/>
  <c r="H36" i="11"/>
  <c r="F25" i="11"/>
  <c r="H25" i="11"/>
  <c r="Q24" i="10"/>
  <c r="J25" i="11"/>
  <c r="H60" i="11"/>
  <c r="F60" i="11"/>
  <c r="Q59" i="10"/>
  <c r="J60" i="11"/>
  <c r="H24" i="14"/>
  <c r="H19" i="14"/>
  <c r="H26" i="11"/>
  <c r="F26" i="11"/>
  <c r="Q112" i="10"/>
  <c r="J113" i="11"/>
  <c r="H61" i="11"/>
  <c r="F61" i="11"/>
  <c r="F34" i="11"/>
  <c r="H34" i="11"/>
  <c r="N24" i="10"/>
  <c r="O24" i="10" a="1"/>
  <c r="N51" i="10"/>
  <c r="O51" i="10" a="1"/>
  <c r="N54" i="10"/>
  <c r="O54" i="10" a="1"/>
  <c r="O64" i="10" a="1"/>
  <c r="N64" i="10"/>
  <c r="Q64" i="10" s="1"/>
  <c r="O17" i="10" a="1"/>
  <c r="N17" i="10"/>
  <c r="Q17" i="10" s="1"/>
  <c r="N65" i="10"/>
  <c r="Q65" i="10" s="1"/>
  <c r="O65" i="10" a="1"/>
  <c r="N19" i="10"/>
  <c r="Q19" i="10" s="1"/>
  <c r="O19" i="10" a="1"/>
  <c r="G17" i="12"/>
  <c r="J17" i="12"/>
  <c r="I19" i="14"/>
  <c r="N21" i="10"/>
  <c r="Q21" i="10" s="1"/>
  <c r="O21" i="10" a="1"/>
  <c r="G111" i="12"/>
  <c r="J111" i="12"/>
  <c r="H111" i="12"/>
  <c r="L53" i="10"/>
  <c r="M53" i="10" s="1"/>
  <c r="H17" i="12"/>
  <c r="Q25" i="10"/>
  <c r="J26" i="11"/>
  <c r="G55" i="12"/>
  <c r="J55" i="12"/>
  <c r="H55" i="12"/>
  <c r="Q118" i="10"/>
  <c r="J119" i="11"/>
  <c r="H119" i="11"/>
  <c r="F119" i="11"/>
  <c r="F117" i="11"/>
  <c r="H117" i="11"/>
  <c r="Q116" i="10"/>
  <c r="J117" i="11"/>
  <c r="O70" i="10" a="1"/>
  <c r="Q114" i="10"/>
  <c r="J115" i="11"/>
  <c r="H115" i="11"/>
  <c r="F115" i="11"/>
  <c r="Q62" i="10"/>
  <c r="J63" i="11"/>
  <c r="F63" i="11"/>
  <c r="H63" i="11"/>
  <c r="G52" i="12"/>
  <c r="J52" i="12"/>
  <c r="H52" i="12"/>
  <c r="G107" i="12"/>
  <c r="H107" i="12"/>
  <c r="J107" i="12"/>
  <c r="L35" i="10"/>
  <c r="M35" i="10" s="1"/>
  <c r="L41" i="10"/>
  <c r="M41" i="10" s="1"/>
  <c r="G116" i="12"/>
  <c r="J116" i="12"/>
  <c r="H116" i="12"/>
  <c r="F86" i="11"/>
  <c r="H86" i="11"/>
  <c r="Q85" i="10"/>
  <c r="J86" i="11"/>
  <c r="J18" i="11"/>
  <c r="Q120" i="10"/>
  <c r="J121" i="11"/>
  <c r="F121" i="11"/>
  <c r="H121" i="11"/>
  <c r="Q86" i="10"/>
  <c r="F6" i="15"/>
  <c r="F10" i="15"/>
  <c r="F5" i="15"/>
  <c r="J87" i="11"/>
  <c r="F7" i="15"/>
  <c r="F87" i="11"/>
  <c r="H87" i="11"/>
  <c r="C21" i="15"/>
  <c r="B22" i="15"/>
  <c r="C22" i="15"/>
  <c r="B23" i="15"/>
  <c r="C23" i="15"/>
  <c r="B24" i="15"/>
  <c r="C24" i="15"/>
  <c r="C27" i="15"/>
  <c r="C25" i="15"/>
  <c r="B26" i="15"/>
  <c r="C26" i="15"/>
  <c r="B27" i="15"/>
  <c r="B28" i="15"/>
  <c r="C28" i="15"/>
  <c r="B29" i="15"/>
  <c r="C29" i="15"/>
  <c r="B30" i="15"/>
  <c r="C30" i="15"/>
  <c r="B25" i="15"/>
  <c r="C8" i="15"/>
  <c r="B21" i="15"/>
  <c r="L22" i="10"/>
  <c r="M22" i="10" s="1"/>
  <c r="O25" i="10" a="1"/>
  <c r="O73" i="10" a="1"/>
  <c r="C10" i="15"/>
  <c r="O23" i="10" a="1"/>
  <c r="O27" i="10" a="1"/>
  <c r="O34" i="10" a="1"/>
  <c r="O31" i="10" a="1"/>
  <c r="O28" i="10" a="1"/>
  <c r="O32" i="10" a="1"/>
  <c r="O29" i="10" a="1"/>
  <c r="H106" i="11"/>
  <c r="F106" i="11"/>
  <c r="J106" i="11"/>
  <c r="H60" i="12"/>
  <c r="G60" i="12"/>
  <c r="J60" i="12"/>
  <c r="F56" i="11"/>
  <c r="H56" i="11"/>
  <c r="H67" i="11"/>
  <c r="F67" i="11"/>
  <c r="H68" i="11"/>
  <c r="F68" i="11"/>
  <c r="F79" i="11"/>
  <c r="H79" i="11"/>
  <c r="H27" i="11"/>
  <c r="F27" i="11"/>
  <c r="J51" i="11"/>
  <c r="F42" i="11"/>
  <c r="H42" i="11"/>
  <c r="F33" i="11"/>
  <c r="H33" i="11"/>
  <c r="H28" i="11"/>
  <c r="F28" i="11"/>
  <c r="F22" i="11"/>
  <c r="H22" i="11"/>
  <c r="J19" i="11"/>
  <c r="F19" i="11"/>
  <c r="H19" i="11"/>
  <c r="F17" i="11"/>
  <c r="H17" i="11"/>
  <c r="J17" i="11"/>
  <c r="J13" i="11"/>
  <c r="F13" i="11"/>
  <c r="H13" i="11"/>
  <c r="F8" i="11"/>
  <c r="H8" i="11"/>
  <c r="F6" i="11"/>
  <c r="H6" i="11"/>
  <c r="J6" i="11"/>
  <c r="J92" i="11"/>
  <c r="F92" i="11"/>
  <c r="H92" i="11"/>
  <c r="H80" i="11"/>
  <c r="F80" i="11"/>
  <c r="J80" i="11"/>
  <c r="F37" i="11"/>
  <c r="H37" i="11"/>
  <c r="J37" i="11"/>
  <c r="F7" i="11"/>
  <c r="H7" i="11"/>
  <c r="J7" i="11"/>
  <c r="F64" i="11"/>
  <c r="H64" i="11"/>
  <c r="J64" i="11"/>
  <c r="J56" i="11"/>
  <c r="F114" i="11"/>
  <c r="H114" i="11"/>
  <c r="J114" i="11"/>
  <c r="J67" i="11"/>
  <c r="F9" i="11"/>
  <c r="H9" i="11"/>
  <c r="J9" i="11"/>
  <c r="J79" i="11"/>
  <c r="J55" i="11"/>
  <c r="F55" i="11"/>
  <c r="H55" i="11"/>
  <c r="J27" i="11"/>
  <c r="H73" i="11"/>
  <c r="F73" i="11"/>
  <c r="J73" i="11"/>
  <c r="H41" i="11"/>
  <c r="F41" i="11"/>
  <c r="J41" i="11"/>
  <c r="H38" i="11"/>
  <c r="F38" i="11"/>
  <c r="J38" i="11"/>
  <c r="H32" i="11"/>
  <c r="F32" i="11"/>
  <c r="H20" i="11"/>
  <c r="F20" i="11"/>
  <c r="F14" i="11"/>
  <c r="H14" i="11"/>
  <c r="J14" i="11"/>
  <c r="H10" i="11"/>
  <c r="F10" i="11"/>
  <c r="H103" i="11"/>
  <c r="F103" i="11"/>
  <c r="J103" i="11"/>
  <c r="F101" i="11"/>
  <c r="H101" i="11"/>
  <c r="J101" i="11"/>
  <c r="H100" i="11"/>
  <c r="F100" i="11"/>
  <c r="J100" i="11"/>
  <c r="H95" i="11"/>
  <c r="F95" i="11"/>
  <c r="J95" i="11"/>
  <c r="H75" i="11"/>
  <c r="F75" i="11"/>
  <c r="J75" i="11"/>
  <c r="F69" i="11"/>
  <c r="H69" i="11"/>
  <c r="F49" i="11"/>
  <c r="H49" i="11"/>
  <c r="J49" i="11"/>
  <c r="H46" i="11"/>
  <c r="F46" i="11"/>
  <c r="J46" i="11"/>
  <c r="J102" i="11"/>
  <c r="J99" i="11"/>
  <c r="F99" i="11"/>
  <c r="H99" i="11"/>
  <c r="J94" i="11"/>
  <c r="H94" i="11"/>
  <c r="F94" i="11"/>
  <c r="H71" i="11"/>
  <c r="F71" i="11"/>
  <c r="J71" i="11"/>
  <c r="F52" i="11"/>
  <c r="H52" i="11"/>
  <c r="J52" i="11"/>
  <c r="H48" i="11"/>
  <c r="F48" i="11"/>
  <c r="J48" i="11"/>
  <c r="F29" i="11"/>
  <c r="H29" i="11"/>
  <c r="J29" i="11"/>
  <c r="F24" i="11"/>
  <c r="H24" i="11"/>
  <c r="H23" i="11"/>
  <c r="F23" i="11"/>
  <c r="J21" i="11"/>
  <c r="H21" i="11"/>
  <c r="F21" i="11"/>
  <c r="H18" i="11"/>
  <c r="F18" i="11"/>
  <c r="H15" i="11"/>
  <c r="F15" i="11"/>
  <c r="J15" i="11"/>
  <c r="H12" i="11"/>
  <c r="F12" i="11"/>
  <c r="H81" i="11"/>
  <c r="F81" i="11"/>
  <c r="J81" i="11"/>
  <c r="J76" i="11"/>
  <c r="F76" i="11"/>
  <c r="H76" i="11"/>
  <c r="H65" i="11"/>
  <c r="F65" i="11"/>
  <c r="J53" i="11"/>
  <c r="H53" i="11"/>
  <c r="F53" i="11"/>
  <c r="F51" i="11"/>
  <c r="H51" i="11"/>
  <c r="J93" i="11"/>
  <c r="H93" i="11"/>
  <c r="F93" i="11"/>
  <c r="J78" i="11"/>
  <c r="F78" i="11"/>
  <c r="H78" i="11"/>
  <c r="H72" i="11"/>
  <c r="F72" i="11"/>
  <c r="J59" i="11"/>
  <c r="H59" i="11"/>
  <c r="F59" i="11"/>
  <c r="J57" i="11"/>
  <c r="F57" i="11"/>
  <c r="H57" i="11"/>
  <c r="H54" i="11"/>
  <c r="F54" i="11"/>
  <c r="J54" i="11"/>
  <c r="J47" i="11"/>
  <c r="F47" i="11"/>
  <c r="H47" i="11"/>
  <c r="F35" i="11"/>
  <c r="H35" i="11"/>
  <c r="J120" i="11"/>
  <c r="H120" i="11"/>
  <c r="F120" i="11"/>
  <c r="H112" i="11"/>
  <c r="F112" i="11"/>
  <c r="J112" i="11"/>
  <c r="J90" i="11"/>
  <c r="F90" i="11"/>
  <c r="H90" i="11"/>
  <c r="H88" i="11"/>
  <c r="F88" i="11"/>
  <c r="J88" i="11"/>
  <c r="F102" i="11"/>
  <c r="H102" i="11"/>
  <c r="J101" i="12"/>
  <c r="J23" i="12"/>
  <c r="J44" i="12"/>
  <c r="F3" i="11"/>
  <c r="D3" i="11"/>
  <c r="H3" i="11"/>
  <c r="B3" i="11"/>
  <c r="J94" i="12"/>
  <c r="J106" i="12"/>
  <c r="J87" i="12"/>
  <c r="J10" i="12"/>
  <c r="J9" i="12"/>
  <c r="W1133" i="8" l="1"/>
  <c r="W1263" i="8"/>
  <c r="X1263" i="8" s="1"/>
  <c r="W1655" i="8"/>
  <c r="X1655" i="8" s="1"/>
  <c r="W1366" i="8"/>
  <c r="X1366" i="8" s="1"/>
  <c r="W1152" i="8"/>
  <c r="X1152" i="8" s="1"/>
  <c r="AE78" i="8"/>
  <c r="AF78" i="8" s="1"/>
  <c r="W1793" i="8"/>
  <c r="X1793" i="8" s="1"/>
  <c r="W1684" i="8"/>
  <c r="W1790" i="8"/>
  <c r="W1758" i="8"/>
  <c r="X1758" i="8" s="1"/>
  <c r="W1829" i="8"/>
  <c r="X1829" i="8" s="1"/>
  <c r="AE657" i="8"/>
  <c r="AF657" i="8" s="1"/>
  <c r="AE488" i="8"/>
  <c r="AF488" i="8" s="1"/>
  <c r="AE444" i="8"/>
  <c r="AF444" i="8" s="1"/>
  <c r="AE478" i="8"/>
  <c r="AF478" i="8" s="1"/>
  <c r="AE763" i="8"/>
  <c r="AF763" i="8" s="1"/>
  <c r="AE355" i="8"/>
  <c r="AF355" i="8" s="1"/>
  <c r="AE357" i="8"/>
  <c r="AF357" i="8" s="1"/>
  <c r="AE303" i="8"/>
  <c r="AF303" i="8" s="1"/>
  <c r="AE299" i="8"/>
  <c r="AF299" i="8" s="1"/>
  <c r="AE332" i="8"/>
  <c r="AF332" i="8" s="1"/>
  <c r="AE331" i="8"/>
  <c r="AF331" i="8" s="1"/>
  <c r="AE281" i="8"/>
  <c r="AF281" i="8" s="1"/>
  <c r="AE285" i="8"/>
  <c r="AF285" i="8" s="1"/>
  <c r="AE338" i="8"/>
  <c r="AF338" i="8" s="1"/>
  <c r="AE340" i="8"/>
  <c r="AF340" i="8" s="1"/>
  <c r="AE362" i="8"/>
  <c r="AF362" i="8" s="1"/>
  <c r="AE365" i="8"/>
  <c r="AF365" i="8" s="1"/>
  <c r="AE369" i="8"/>
  <c r="AF369" i="8" s="1"/>
  <c r="AE297" i="8"/>
  <c r="AF297" i="8" s="1"/>
  <c r="AE344" i="8"/>
  <c r="AF344" i="8" s="1"/>
  <c r="AE346" i="8"/>
  <c r="AF346" i="8" s="1"/>
  <c r="AE222" i="8"/>
  <c r="AF222" i="8" s="1"/>
  <c r="AE225" i="8"/>
  <c r="AF225" i="8" s="1"/>
  <c r="AE234" i="8"/>
  <c r="AF234" i="8" s="1"/>
  <c r="AE164" i="8"/>
  <c r="AF164" i="8" s="1"/>
  <c r="AE162" i="8"/>
  <c r="AF162" i="8" s="1"/>
  <c r="AE163" i="8"/>
  <c r="AF163" i="8" s="1"/>
  <c r="AE1761" i="8"/>
  <c r="AF1761" i="8" s="1"/>
  <c r="AE1759" i="8"/>
  <c r="AF1759" i="8" s="1"/>
  <c r="AE1764" i="8"/>
  <c r="AF1764" i="8" s="1"/>
  <c r="AE1760" i="8"/>
  <c r="AF1760" i="8" s="1"/>
  <c r="AE1498" i="8"/>
  <c r="AF1498" i="8" s="1"/>
  <c r="AE1792" i="8"/>
  <c r="AF1792" i="8" s="1"/>
  <c r="AE1790" i="8"/>
  <c r="AF1790" i="8" s="1"/>
  <c r="AE1793" i="8"/>
  <c r="AF1793" i="8" s="1"/>
  <c r="AE1791" i="8"/>
  <c r="AF1791" i="8" s="1"/>
  <c r="AE1794" i="8"/>
  <c r="AF1794" i="8" s="1"/>
  <c r="AE1392" i="8"/>
  <c r="AF1392" i="8" s="1"/>
  <c r="AE1394" i="8"/>
  <c r="AF1394" i="8" s="1"/>
  <c r="AE1395" i="8"/>
  <c r="AF1395" i="8" s="1"/>
  <c r="AE1393" i="8"/>
  <c r="AF1393" i="8" s="1"/>
  <c r="AE1910" i="8"/>
  <c r="AF1910" i="8" s="1"/>
  <c r="AE1911" i="8"/>
  <c r="AF1911" i="8" s="1"/>
  <c r="AE1349" i="8"/>
  <c r="AF1349" i="8" s="1"/>
  <c r="AE1350" i="8"/>
  <c r="AF1350" i="8" s="1"/>
  <c r="AE1352" i="8"/>
  <c r="AF1352" i="8" s="1"/>
  <c r="AE1348" i="8"/>
  <c r="AF1348" i="8" s="1"/>
  <c r="AE1351" i="8"/>
  <c r="AF1351" i="8" s="1"/>
  <c r="AE1397" i="8"/>
  <c r="AF1397" i="8" s="1"/>
  <c r="AE1399" i="8"/>
  <c r="AF1399" i="8" s="1"/>
  <c r="AE1396" i="8"/>
  <c r="AF1396" i="8" s="1"/>
  <c r="AE1400" i="8"/>
  <c r="AF1400" i="8" s="1"/>
  <c r="AE1398" i="8"/>
  <c r="AF1398" i="8" s="1"/>
  <c r="AE1615" i="8"/>
  <c r="AF1615" i="8" s="1"/>
  <c r="AE1614" i="8"/>
  <c r="AF1614" i="8" s="1"/>
  <c r="AE1613" i="8"/>
  <c r="AF1613" i="8" s="1"/>
  <c r="AE1612" i="8"/>
  <c r="AF1612" i="8" s="1"/>
  <c r="AE1469" i="8"/>
  <c r="AF1469" i="8" s="1"/>
  <c r="AE1343" i="8"/>
  <c r="AF1343" i="8" s="1"/>
  <c r="AE1342" i="8"/>
  <c r="AF1342" i="8" s="1"/>
  <c r="AE1345" i="8"/>
  <c r="AF1345" i="8" s="1"/>
  <c r="AE1344" i="8"/>
  <c r="AF1344" i="8" s="1"/>
  <c r="AE1470" i="8"/>
  <c r="AF1470" i="8" s="1"/>
  <c r="AE1423" i="8"/>
  <c r="AF1423" i="8" s="1"/>
  <c r="AE1426" i="8"/>
  <c r="AF1426" i="8" s="1"/>
  <c r="AE1425" i="8"/>
  <c r="AF1425" i="8" s="1"/>
  <c r="AE1422" i="8"/>
  <c r="AF1422" i="8" s="1"/>
  <c r="AE1424" i="8"/>
  <c r="AF1424" i="8" s="1"/>
  <c r="AE1373" i="8"/>
  <c r="AF1373" i="8" s="1"/>
  <c r="AE1374" i="8"/>
  <c r="AF1374" i="8" s="1"/>
  <c r="AE1375" i="8"/>
  <c r="AF1375" i="8" s="1"/>
  <c r="AE1376" i="8"/>
  <c r="AF1376" i="8" s="1"/>
  <c r="AE1402" i="8"/>
  <c r="AF1402" i="8" s="1"/>
  <c r="AE1626" i="8"/>
  <c r="AF1626" i="8" s="1"/>
  <c r="AE1627" i="8"/>
  <c r="AF1627" i="8" s="1"/>
  <c r="AE1628" i="8"/>
  <c r="AF1628" i="8" s="1"/>
  <c r="AE1383" i="8"/>
  <c r="AF1383" i="8" s="1"/>
  <c r="AE1382" i="8"/>
  <c r="AF1382" i="8" s="1"/>
  <c r="AE1652" i="8"/>
  <c r="AF1652" i="8" s="1"/>
  <c r="AE1649" i="8"/>
  <c r="AF1649" i="8" s="1"/>
  <c r="AE1648" i="8"/>
  <c r="AF1648" i="8" s="1"/>
  <c r="AE1651" i="8"/>
  <c r="AF1651" i="8" s="1"/>
  <c r="AE1650" i="8"/>
  <c r="AF1650" i="8" s="1"/>
  <c r="AE1512" i="8"/>
  <c r="AF1512" i="8" s="1"/>
  <c r="AE1511" i="8"/>
  <c r="AF1511" i="8" s="1"/>
  <c r="AE1510" i="8"/>
  <c r="AF1510" i="8" s="1"/>
  <c r="AE1509" i="8"/>
  <c r="AF1509" i="8" s="1"/>
  <c r="AE1513" i="8"/>
  <c r="AF1513" i="8" s="1"/>
  <c r="AE1514" i="8"/>
  <c r="AF1514" i="8" s="1"/>
  <c r="AE1454" i="8"/>
  <c r="AF1454" i="8" s="1"/>
  <c r="AE1455" i="8"/>
  <c r="AF1455" i="8" s="1"/>
  <c r="AE1457" i="8"/>
  <c r="AF1457" i="8" s="1"/>
  <c r="AE1456" i="8"/>
  <c r="AF1456" i="8" s="1"/>
  <c r="AE1440" i="8"/>
  <c r="AF1440" i="8" s="1"/>
  <c r="AE1441" i="8"/>
  <c r="AF1441" i="8" s="1"/>
  <c r="AE1437" i="8"/>
  <c r="AF1437" i="8" s="1"/>
  <c r="AE1438" i="8"/>
  <c r="AF1438" i="8" s="1"/>
  <c r="AE1439" i="8"/>
  <c r="AF1439" i="8" s="1"/>
  <c r="AE1617" i="8"/>
  <c r="AF1617" i="8" s="1"/>
  <c r="AE1618" i="8"/>
  <c r="AF1618" i="8" s="1"/>
  <c r="AE1616" i="8"/>
  <c r="AF1616" i="8" s="1"/>
  <c r="AE1619" i="8"/>
  <c r="AF1619" i="8" s="1"/>
  <c r="AE1620" i="8"/>
  <c r="AF1620" i="8" s="1"/>
  <c r="AE1420" i="8"/>
  <c r="AF1420" i="8" s="1"/>
  <c r="AE1419" i="8"/>
  <c r="AF1419" i="8" s="1"/>
  <c r="AE1418" i="8"/>
  <c r="AF1418" i="8" s="1"/>
  <c r="AE1417" i="8"/>
  <c r="AF1417" i="8" s="1"/>
  <c r="AE1505" i="8"/>
  <c r="AF1505" i="8" s="1"/>
  <c r="AE1504" i="8"/>
  <c r="AF1504" i="8" s="1"/>
  <c r="AE1503" i="8"/>
  <c r="AF1503" i="8" s="1"/>
  <c r="AE1442" i="8"/>
  <c r="AF1442" i="8" s="1"/>
  <c r="AE1443" i="8"/>
  <c r="AF1443" i="8" s="1"/>
  <c r="AE1444" i="8"/>
  <c r="AF1444" i="8" s="1"/>
  <c r="AE1445" i="8"/>
  <c r="AF1445" i="8" s="1"/>
  <c r="AE1446" i="8"/>
  <c r="AF1446" i="8" s="1"/>
  <c r="AE1640" i="8"/>
  <c r="AF1640" i="8" s="1"/>
  <c r="AE1641" i="8"/>
  <c r="AF1641" i="8" s="1"/>
  <c r="AE979" i="8"/>
  <c r="AF979" i="8" s="1"/>
  <c r="AE980" i="8"/>
  <c r="AF980" i="8" s="1"/>
  <c r="AE768" i="8"/>
  <c r="AF768" i="8" s="1"/>
  <c r="AE766" i="8"/>
  <c r="AF766" i="8" s="1"/>
  <c r="AE767" i="8"/>
  <c r="AF767" i="8" s="1"/>
  <c r="AE848" i="8"/>
  <c r="AF848" i="8" s="1"/>
  <c r="AE849" i="8"/>
  <c r="AF849" i="8" s="1"/>
  <c r="AE847" i="8"/>
  <c r="AF847" i="8" s="1"/>
  <c r="AE1693" i="8"/>
  <c r="AF1693" i="8" s="1"/>
  <c r="AE1372" i="8"/>
  <c r="AF1372" i="8" s="1"/>
  <c r="AE1661" i="8"/>
  <c r="AF1661" i="8" s="1"/>
  <c r="AE1663" i="8"/>
  <c r="AF1663" i="8" s="1"/>
  <c r="AE1662" i="8"/>
  <c r="AF1662" i="8" s="1"/>
  <c r="AE1660" i="8"/>
  <c r="AF1660" i="8" s="1"/>
  <c r="AE1659" i="8"/>
  <c r="AF1659" i="8" s="1"/>
  <c r="AE1665" i="8"/>
  <c r="AF1665" i="8" s="1"/>
  <c r="AE1666" i="8"/>
  <c r="AF1666" i="8" s="1"/>
  <c r="AE1667" i="8"/>
  <c r="AF1667" i="8" s="1"/>
  <c r="AE1668" i="8"/>
  <c r="AF1668" i="8" s="1"/>
  <c r="AE1361" i="8"/>
  <c r="AF1361" i="8" s="1"/>
  <c r="AE1360" i="8"/>
  <c r="AF1360" i="8" s="1"/>
  <c r="AE1359" i="8"/>
  <c r="AF1359" i="8" s="1"/>
  <c r="AE1358" i="8"/>
  <c r="AF1358" i="8" s="1"/>
  <c r="AE1686" i="8"/>
  <c r="AF1686" i="8" s="1"/>
  <c r="AE1685" i="8"/>
  <c r="AF1685" i="8" s="1"/>
  <c r="AE1683" i="8"/>
  <c r="AF1683" i="8" s="1"/>
  <c r="AE1684" i="8"/>
  <c r="AF1684" i="8" s="1"/>
  <c r="AE1421" i="8"/>
  <c r="AF1421" i="8" s="1"/>
  <c r="AE1784" i="8"/>
  <c r="AF1784" i="8" s="1"/>
  <c r="AE1783" i="8"/>
  <c r="AF1783" i="8" s="1"/>
  <c r="AE1785" i="8"/>
  <c r="AF1785" i="8" s="1"/>
  <c r="AE1744" i="8"/>
  <c r="AF1744" i="8" s="1"/>
  <c r="AE1743" i="8"/>
  <c r="AF1743" i="8" s="1"/>
  <c r="AE1742" i="8"/>
  <c r="AF1742" i="8" s="1"/>
  <c r="AE1832" i="8"/>
  <c r="AF1832" i="8" s="1"/>
  <c r="AE1834" i="8"/>
  <c r="AF1834" i="8" s="1"/>
  <c r="AE1829" i="8"/>
  <c r="AF1829" i="8" s="1"/>
  <c r="AE1830" i="8"/>
  <c r="AF1830" i="8" s="1"/>
  <c r="AE1831" i="8"/>
  <c r="AF1831" i="8" s="1"/>
  <c r="AE1828" i="8"/>
  <c r="AF1828" i="8" s="1"/>
  <c r="AE1833" i="8"/>
  <c r="AF1833" i="8" s="1"/>
  <c r="AE1876" i="8"/>
  <c r="AF1876" i="8" s="1"/>
  <c r="AE1875" i="8"/>
  <c r="AF1875" i="8" s="1"/>
  <c r="AE1874" i="8"/>
  <c r="AF1874" i="8" s="1"/>
  <c r="AE1873" i="8"/>
  <c r="AF1873" i="8" s="1"/>
  <c r="AE1872" i="8"/>
  <c r="AF1872" i="8" s="1"/>
  <c r="AE1870" i="8"/>
  <c r="AF1870" i="8" s="1"/>
  <c r="AE1868" i="8"/>
  <c r="AF1868" i="8" s="1"/>
  <c r="AE1871" i="8"/>
  <c r="AF1871" i="8" s="1"/>
  <c r="AE1869" i="8"/>
  <c r="AF1869" i="8" s="1"/>
  <c r="AE1695" i="8"/>
  <c r="AF1695" i="8" s="1"/>
  <c r="AE1694" i="8"/>
  <c r="AF1694" i="8" s="1"/>
  <c r="AE1861" i="8"/>
  <c r="AF1861" i="8" s="1"/>
  <c r="AE1862" i="8"/>
  <c r="AF1862" i="8" s="1"/>
  <c r="AE1860" i="8"/>
  <c r="AF1860" i="8" s="1"/>
  <c r="AE1859" i="8"/>
  <c r="AF1859" i="8" s="1"/>
  <c r="AE1858" i="8"/>
  <c r="AF1858" i="8" s="1"/>
  <c r="AE1821" i="8"/>
  <c r="AF1821" i="8" s="1"/>
  <c r="AE1818" i="8"/>
  <c r="AF1818" i="8" s="1"/>
  <c r="AE1822" i="8"/>
  <c r="AF1822" i="8" s="1"/>
  <c r="AE1820" i="8"/>
  <c r="AF1820" i="8" s="1"/>
  <c r="AE1819" i="8"/>
  <c r="AF1819" i="8" s="1"/>
  <c r="AE1817" i="8"/>
  <c r="AF1817" i="8" s="1"/>
  <c r="AE1799" i="8"/>
  <c r="AF1799" i="8" s="1"/>
  <c r="AE1795" i="8"/>
  <c r="AF1795" i="8" s="1"/>
  <c r="AE1796" i="8"/>
  <c r="AF1796" i="8" s="1"/>
  <c r="AE1797" i="8"/>
  <c r="AF1797" i="8" s="1"/>
  <c r="AE1798" i="8"/>
  <c r="AF1798" i="8" s="1"/>
  <c r="AE1751" i="8"/>
  <c r="AF1751" i="8" s="1"/>
  <c r="AE1749" i="8"/>
  <c r="AF1749" i="8" s="1"/>
  <c r="AE1752" i="8"/>
  <c r="AF1752" i="8" s="1"/>
  <c r="AE1750" i="8"/>
  <c r="AF1750" i="8" s="1"/>
  <c r="AE1842" i="8"/>
  <c r="AF1842" i="8" s="1"/>
  <c r="AE1843" i="8"/>
  <c r="AF1843" i="8" s="1"/>
  <c r="AE1844" i="8"/>
  <c r="AF1844" i="8" s="1"/>
  <c r="AE1697" i="8"/>
  <c r="AF1697" i="8" s="1"/>
  <c r="AE1782" i="8"/>
  <c r="AF1782" i="8" s="1"/>
  <c r="AE1780" i="8"/>
  <c r="AF1780" i="8" s="1"/>
  <c r="AE1778" i="8"/>
  <c r="AF1778" i="8" s="1"/>
  <c r="AE1779" i="8"/>
  <c r="AF1779" i="8" s="1"/>
  <c r="AE1781" i="8"/>
  <c r="AF1781" i="8" s="1"/>
  <c r="AE1777" i="8"/>
  <c r="AF1777" i="8" s="1"/>
  <c r="AE1853" i="8"/>
  <c r="AF1853" i="8" s="1"/>
  <c r="AE1852" i="8"/>
  <c r="AF1852" i="8" s="1"/>
  <c r="AE1851" i="8"/>
  <c r="AF1851" i="8" s="1"/>
  <c r="AE1892" i="8"/>
  <c r="AF1892" i="8" s="1"/>
  <c r="AE1734" i="8"/>
  <c r="AF1734" i="8" s="1"/>
  <c r="AE1732" i="8"/>
  <c r="AF1732" i="8" s="1"/>
  <c r="AE1733" i="8"/>
  <c r="AF1733" i="8" s="1"/>
  <c r="AE1735" i="8"/>
  <c r="AF1735" i="8" s="1"/>
  <c r="AE1731" i="8"/>
  <c r="AF1731" i="8" s="1"/>
  <c r="AE1740" i="8"/>
  <c r="AF1740" i="8" s="1"/>
  <c r="AE1741" i="8"/>
  <c r="AF1741" i="8" s="1"/>
  <c r="AE1736" i="8"/>
  <c r="AF1736" i="8" s="1"/>
  <c r="AE1737" i="8"/>
  <c r="AF1737" i="8" s="1"/>
  <c r="AE1738" i="8"/>
  <c r="AF1738" i="8" s="1"/>
  <c r="AE1739" i="8"/>
  <c r="AF1739" i="8" s="1"/>
  <c r="AE1789" i="8"/>
  <c r="AF1789" i="8" s="1"/>
  <c r="AE1787" i="8"/>
  <c r="AF1787" i="8" s="1"/>
  <c r="AE1786" i="8"/>
  <c r="AF1786" i="8" s="1"/>
  <c r="AE1895" i="8"/>
  <c r="AF1895" i="8" s="1"/>
  <c r="AE410" i="8"/>
  <c r="AF410" i="8" s="1"/>
  <c r="AE409" i="8"/>
  <c r="AF409" i="8" s="1"/>
  <c r="AE704" i="8"/>
  <c r="AF704" i="8" s="1"/>
  <c r="AE598" i="8"/>
  <c r="AF598" i="8" s="1"/>
  <c r="AE594" i="8"/>
  <c r="AF594" i="8" s="1"/>
  <c r="AE586" i="8"/>
  <c r="AF586" i="8" s="1"/>
  <c r="AE588" i="8"/>
  <c r="AF588" i="8" s="1"/>
  <c r="AE582" i="8"/>
  <c r="AF582" i="8" s="1"/>
  <c r="AE583" i="8"/>
  <c r="AF583" i="8" s="1"/>
  <c r="AE664" i="8"/>
  <c r="AF664" i="8" s="1"/>
  <c r="AE663" i="8"/>
  <c r="AF663" i="8" s="1"/>
  <c r="AE708" i="8"/>
  <c r="AF708" i="8" s="1"/>
  <c r="AE605" i="8"/>
  <c r="AF605" i="8" s="1"/>
  <c r="AE606" i="8"/>
  <c r="AF606" i="8" s="1"/>
  <c r="AE589" i="8"/>
  <c r="AF589" i="8" s="1"/>
  <c r="AE592" i="8"/>
  <c r="AF592" i="8" s="1"/>
  <c r="AE514" i="8"/>
  <c r="AF514" i="8" s="1"/>
  <c r="AE521" i="8"/>
  <c r="AF521" i="8" s="1"/>
  <c r="AE526" i="8"/>
  <c r="AF526" i="8" s="1"/>
  <c r="AE542" i="8"/>
  <c r="AF542" i="8" s="1"/>
  <c r="AE633" i="8"/>
  <c r="AF633" i="8" s="1"/>
  <c r="AE397" i="8"/>
  <c r="AF397" i="8" s="1"/>
  <c r="AE637" i="8"/>
  <c r="AF637" i="8" s="1"/>
  <c r="AE640" i="8"/>
  <c r="AF640" i="8" s="1"/>
  <c r="AE423" i="8"/>
  <c r="AF423" i="8" s="1"/>
  <c r="AE425" i="8"/>
  <c r="AF425" i="8" s="1"/>
  <c r="AE407" i="8"/>
  <c r="AF407" i="8" s="1"/>
  <c r="AE719" i="8"/>
  <c r="AF719" i="8" s="1"/>
  <c r="AE683" i="8"/>
  <c r="AF683" i="8" s="1"/>
  <c r="AE712" i="8"/>
  <c r="AF712" i="8" s="1"/>
  <c r="AE649" i="8"/>
  <c r="AF649" i="8" s="1"/>
  <c r="AE383" i="8"/>
  <c r="AF383" i="8" s="1"/>
  <c r="AE502" i="8"/>
  <c r="AF502" i="8" s="1"/>
  <c r="AE505" i="8"/>
  <c r="AF505" i="8" s="1"/>
  <c r="AE569" i="8"/>
  <c r="AF569" i="8" s="1"/>
  <c r="AE376" i="8"/>
  <c r="AF376" i="8" s="1"/>
  <c r="AE378" i="8"/>
  <c r="AF378" i="8" s="1"/>
  <c r="AE379" i="8"/>
  <c r="AF379" i="8" s="1"/>
  <c r="AE380" i="8"/>
  <c r="AF380" i="8" s="1"/>
  <c r="AE437" i="8"/>
  <c r="AF437" i="8" s="1"/>
  <c r="AE435" i="8"/>
  <c r="AF435" i="8" s="1"/>
  <c r="AE497" i="8"/>
  <c r="AF497" i="8" s="1"/>
  <c r="AE496" i="8"/>
  <c r="AF496" i="8" s="1"/>
  <c r="AE494" i="8"/>
  <c r="AF494" i="8" s="1"/>
  <c r="AE573" i="8"/>
  <c r="AF573" i="8" s="1"/>
  <c r="AE461" i="8"/>
  <c r="AF461" i="8" s="1"/>
  <c r="AE460" i="8"/>
  <c r="AF460" i="8" s="1"/>
  <c r="AE553" i="8"/>
  <c r="AF553" i="8" s="1"/>
  <c r="AE552" i="8"/>
  <c r="AF552" i="8" s="1"/>
  <c r="AE482" i="8"/>
  <c r="AF482" i="8" s="1"/>
  <c r="M142" i="9"/>
  <c r="N142" i="9" s="1"/>
  <c r="M144" i="9"/>
  <c r="N144" i="9" s="1"/>
  <c r="M148" i="9"/>
  <c r="N148" i="9" s="1"/>
  <c r="M150" i="9"/>
  <c r="N150" i="9" s="1"/>
  <c r="M129" i="9"/>
  <c r="N129" i="9" s="1"/>
  <c r="M128" i="9"/>
  <c r="N128" i="9" s="1"/>
  <c r="M131" i="9"/>
  <c r="N131" i="9" s="1"/>
  <c r="M133" i="9"/>
  <c r="N133" i="9" s="1"/>
  <c r="M135" i="9"/>
  <c r="N135" i="9" s="1"/>
  <c r="M138" i="9"/>
  <c r="N138" i="9" s="1"/>
  <c r="M139" i="9"/>
  <c r="N139" i="9" s="1"/>
  <c r="AE1788" i="8"/>
  <c r="AF1788" i="8" s="1"/>
  <c r="AE870" i="8"/>
  <c r="AF870" i="8" s="1"/>
  <c r="AE869" i="8"/>
  <c r="AF869" i="8" s="1"/>
  <c r="AE868" i="8"/>
  <c r="AF868" i="8" s="1"/>
  <c r="AE789" i="8"/>
  <c r="AF789" i="8" s="1"/>
  <c r="AE790" i="8"/>
  <c r="AF790" i="8" s="1"/>
  <c r="AE791" i="8"/>
  <c r="AF791" i="8" s="1"/>
  <c r="AE792" i="8"/>
  <c r="AF792" i="8" s="1"/>
  <c r="AE852" i="8"/>
  <c r="AF852" i="8" s="1"/>
  <c r="AE853" i="8"/>
  <c r="AF853" i="8" s="1"/>
  <c r="AE854" i="8"/>
  <c r="AF854" i="8" s="1"/>
  <c r="AE855" i="8"/>
  <c r="AF855" i="8" s="1"/>
  <c r="AE1017" i="8"/>
  <c r="AF1017" i="8" s="1"/>
  <c r="AE1018" i="8"/>
  <c r="AF1018" i="8" s="1"/>
  <c r="AE1020" i="8"/>
  <c r="AF1020" i="8" s="1"/>
  <c r="AE1019" i="8"/>
  <c r="AF1019" i="8" s="1"/>
  <c r="AE842" i="8"/>
  <c r="AF842" i="8" s="1"/>
  <c r="AE843" i="8"/>
  <c r="AF843" i="8" s="1"/>
  <c r="AE844" i="8"/>
  <c r="AF844" i="8" s="1"/>
  <c r="AE845" i="8"/>
  <c r="AF845" i="8" s="1"/>
  <c r="AE846" i="8"/>
  <c r="AF846" i="8" s="1"/>
  <c r="AE753" i="8"/>
  <c r="AF753" i="8" s="1"/>
  <c r="AE755" i="8"/>
  <c r="AF755" i="8" s="1"/>
  <c r="AE782" i="8"/>
  <c r="AF782" i="8" s="1"/>
  <c r="AE756" i="8"/>
  <c r="AF756" i="8" s="1"/>
  <c r="AE754" i="8"/>
  <c r="AF754" i="8" s="1"/>
  <c r="AE748" i="8"/>
  <c r="AF748" i="8" s="1"/>
  <c r="AE749" i="8"/>
  <c r="AF749" i="8" s="1"/>
  <c r="AE750" i="8"/>
  <c r="AF750" i="8" s="1"/>
  <c r="AE994" i="8"/>
  <c r="AF994" i="8" s="1"/>
  <c r="AE995" i="8"/>
  <c r="AF995" i="8" s="1"/>
  <c r="AE996" i="8"/>
  <c r="AF996" i="8" s="1"/>
  <c r="AE804" i="8"/>
  <c r="AF804" i="8" s="1"/>
  <c r="AE805" i="8"/>
  <c r="AF805" i="8" s="1"/>
  <c r="AE807" i="8"/>
  <c r="AF807" i="8" s="1"/>
  <c r="AE806" i="8"/>
  <c r="AF806" i="8" s="1"/>
  <c r="AE863" i="8"/>
  <c r="AF863" i="8" s="1"/>
  <c r="AE864" i="8"/>
  <c r="AF864" i="8" s="1"/>
  <c r="AE865" i="8"/>
  <c r="AF865" i="8" s="1"/>
  <c r="AE1008" i="8"/>
  <c r="AF1008" i="8" s="1"/>
  <c r="AE1010" i="8"/>
  <c r="AF1010" i="8" s="1"/>
  <c r="AE1009" i="8"/>
  <c r="AF1009" i="8" s="1"/>
  <c r="AE1005" i="8"/>
  <c r="AF1005" i="8" s="1"/>
  <c r="AE1006" i="8"/>
  <c r="AF1006" i="8" s="1"/>
  <c r="AE1007" i="8"/>
  <c r="AF1007" i="8" s="1"/>
  <c r="AE1000" i="8"/>
  <c r="AF1000" i="8" s="1"/>
  <c r="AE999" i="8"/>
  <c r="AF999" i="8" s="1"/>
  <c r="AE998" i="8"/>
  <c r="AF998" i="8" s="1"/>
  <c r="AE997" i="8"/>
  <c r="AF997" i="8" s="1"/>
  <c r="AE861" i="8"/>
  <c r="AF861" i="8" s="1"/>
  <c r="AE860" i="8"/>
  <c r="AF860" i="8" s="1"/>
  <c r="AE859" i="8"/>
  <c r="AF859" i="8" s="1"/>
  <c r="AE862" i="8"/>
  <c r="AF862" i="8" s="1"/>
  <c r="AE983" i="8"/>
  <c r="AF983" i="8" s="1"/>
  <c r="AE984" i="8"/>
  <c r="AF984" i="8" s="1"/>
  <c r="AE1913" i="8"/>
  <c r="AF1913" i="8" s="1"/>
  <c r="AE1914" i="8"/>
  <c r="AF1914" i="8" s="1"/>
  <c r="AE1915" i="8"/>
  <c r="AF1915" i="8" s="1"/>
  <c r="AE1916" i="8"/>
  <c r="AF1916" i="8" s="1"/>
  <c r="AE1912" i="8"/>
  <c r="AF1912" i="8" s="1"/>
  <c r="AE1918" i="8"/>
  <c r="AF1918" i="8" s="1"/>
  <c r="AE1921" i="8"/>
  <c r="AF1921" i="8" s="1"/>
  <c r="AE1920" i="8"/>
  <c r="AF1920" i="8" s="1"/>
  <c r="AE1919" i="8"/>
  <c r="AF1919" i="8" s="1"/>
  <c r="AE1917" i="8"/>
  <c r="AF1917" i="8" s="1"/>
  <c r="AE1893" i="8"/>
  <c r="AF1893" i="8" s="1"/>
  <c r="AE1894" i="8"/>
  <c r="AF1894" i="8" s="1"/>
  <c r="AE595" i="8"/>
  <c r="AF595" i="8" s="1"/>
  <c r="AE597" i="8"/>
  <c r="AF597" i="8" s="1"/>
  <c r="AE596" i="8"/>
  <c r="AF596" i="8" s="1"/>
  <c r="AE585" i="8"/>
  <c r="AF585" i="8" s="1"/>
  <c r="AE584" i="8"/>
  <c r="AF584" i="8" s="1"/>
  <c r="AE587" i="8"/>
  <c r="AF587" i="8" s="1"/>
  <c r="AE581" i="8"/>
  <c r="AF581" i="8" s="1"/>
  <c r="AE669" i="8"/>
  <c r="AF669" i="8" s="1"/>
  <c r="AE668" i="8"/>
  <c r="AF668" i="8" s="1"/>
  <c r="AE667" i="8"/>
  <c r="AF667" i="8" s="1"/>
  <c r="AE666" i="8"/>
  <c r="AF666" i="8" s="1"/>
  <c r="AE665" i="8"/>
  <c r="AF665" i="8" s="1"/>
  <c r="AE413" i="8"/>
  <c r="AF413" i="8" s="1"/>
  <c r="AE412" i="8"/>
  <c r="AF412" i="8" s="1"/>
  <c r="AE705" i="8"/>
  <c r="AF705" i="8" s="1"/>
  <c r="AE707" i="8"/>
  <c r="AF707" i="8" s="1"/>
  <c r="AE706" i="8"/>
  <c r="AF706" i="8" s="1"/>
  <c r="AE710" i="8"/>
  <c r="AF710" i="8" s="1"/>
  <c r="AE709" i="8"/>
  <c r="AF709" i="8" s="1"/>
  <c r="AE590" i="8"/>
  <c r="AF590" i="8" s="1"/>
  <c r="AE591" i="8"/>
  <c r="AF591" i="8" s="1"/>
  <c r="AE593" i="8"/>
  <c r="AF593" i="8" s="1"/>
  <c r="AE528" i="8"/>
  <c r="AF528" i="8" s="1"/>
  <c r="AE529" i="8"/>
  <c r="AF529" i="8" s="1"/>
  <c r="AE527" i="8"/>
  <c r="AF527" i="8" s="1"/>
  <c r="AE515" i="8"/>
  <c r="AF515" i="8" s="1"/>
  <c r="AE516" i="8"/>
  <c r="AF516" i="8" s="1"/>
  <c r="AE517" i="8"/>
  <c r="AF517" i="8" s="1"/>
  <c r="AE518" i="8"/>
  <c r="AF518" i="8" s="1"/>
  <c r="AE520" i="8"/>
  <c r="AF520" i="8" s="1"/>
  <c r="AE522" i="8"/>
  <c r="AF522" i="8" s="1"/>
  <c r="AE523" i="8"/>
  <c r="AF523" i="8" s="1"/>
  <c r="AE519" i="8"/>
  <c r="AF519" i="8" s="1"/>
  <c r="AE524" i="8"/>
  <c r="AF524" i="8" s="1"/>
  <c r="AE525" i="8"/>
  <c r="AF525" i="8" s="1"/>
  <c r="AE541" i="8"/>
  <c r="AF541" i="8" s="1"/>
  <c r="AE540" i="8"/>
  <c r="AF540" i="8" s="1"/>
  <c r="AE635" i="8"/>
  <c r="AF635" i="8" s="1"/>
  <c r="AE634" i="8"/>
  <c r="AF634" i="8" s="1"/>
  <c r="AE636" i="8"/>
  <c r="AF636" i="8" s="1"/>
  <c r="AE398" i="8"/>
  <c r="AF398" i="8" s="1"/>
  <c r="AE399" i="8"/>
  <c r="AF399" i="8" s="1"/>
  <c r="AE400" i="8"/>
  <c r="AF400" i="8" s="1"/>
  <c r="AE638" i="8"/>
  <c r="AF638" i="8" s="1"/>
  <c r="AE639" i="8"/>
  <c r="AF639" i="8" s="1"/>
  <c r="AE684" i="8"/>
  <c r="AF684" i="8" s="1"/>
  <c r="AE685" i="8"/>
  <c r="AF685" i="8" s="1"/>
  <c r="AE426" i="8"/>
  <c r="AF426" i="8" s="1"/>
  <c r="AE424" i="8"/>
  <c r="AF424" i="8" s="1"/>
  <c r="AE408" i="8"/>
  <c r="AF408" i="8" s="1"/>
  <c r="AE406" i="8"/>
  <c r="AF406" i="8" s="1"/>
  <c r="AE717" i="8"/>
  <c r="AF717" i="8" s="1"/>
  <c r="AE716" i="8"/>
  <c r="AF716" i="8" s="1"/>
  <c r="AE718" i="8"/>
  <c r="AF718" i="8" s="1"/>
  <c r="AE711" i="8"/>
  <c r="AF711" i="8" s="1"/>
  <c r="AE713" i="8"/>
  <c r="AF713" i="8" s="1"/>
  <c r="AE647" i="8"/>
  <c r="AF647" i="8" s="1"/>
  <c r="AE648" i="8"/>
  <c r="AF648" i="8" s="1"/>
  <c r="AE530" i="8"/>
  <c r="AF530" i="8" s="1"/>
  <c r="AE384" i="8"/>
  <c r="AF384" i="8" s="1"/>
  <c r="AE382" i="8"/>
  <c r="AF382" i="8" s="1"/>
  <c r="AE381" i="8"/>
  <c r="AF381" i="8" s="1"/>
  <c r="AE503" i="8"/>
  <c r="AF503" i="8" s="1"/>
  <c r="AE504" i="8"/>
  <c r="AF504" i="8" s="1"/>
  <c r="AE570" i="8"/>
  <c r="AF570" i="8" s="1"/>
  <c r="AE571" i="8"/>
  <c r="AF571" i="8" s="1"/>
  <c r="AE568" i="8"/>
  <c r="AF568" i="8" s="1"/>
  <c r="AE377" i="8"/>
  <c r="AF377" i="8" s="1"/>
  <c r="AE375" i="8"/>
  <c r="AF375" i="8" s="1"/>
  <c r="AE436" i="8"/>
  <c r="AF436" i="8" s="1"/>
  <c r="AE495" i="8"/>
  <c r="AF495" i="8" s="1"/>
  <c r="AE574" i="8"/>
  <c r="AF574" i="8" s="1"/>
  <c r="AE459" i="8"/>
  <c r="AF459" i="8" s="1"/>
  <c r="AE554" i="8"/>
  <c r="AF554" i="8" s="1"/>
  <c r="I101" i="12"/>
  <c r="I115" i="12"/>
  <c r="I114" i="12"/>
  <c r="I106" i="12"/>
  <c r="I113" i="12"/>
  <c r="I107" i="12"/>
  <c r="I110" i="12"/>
  <c r="F16" i="15" a="1"/>
  <c r="W1712" i="8"/>
  <c r="X1712" i="8" s="1"/>
  <c r="W1408" i="8"/>
  <c r="X1408" i="8" s="1"/>
  <c r="W1235" i="8"/>
  <c r="X1235" i="8" s="1"/>
  <c r="W1904" i="8"/>
  <c r="W1828" i="8"/>
  <c r="W1073" i="8"/>
  <c r="W1301" i="8"/>
  <c r="W1364" i="8"/>
  <c r="X1364" i="8" s="1"/>
  <c r="W1685" i="8"/>
  <c r="X1685" i="8" s="1"/>
  <c r="W1890" i="8"/>
  <c r="X1890" i="8" s="1"/>
  <c r="W1329" i="8"/>
  <c r="W1396" i="8"/>
  <c r="X1396" i="8" s="1"/>
  <c r="W1151" i="8"/>
  <c r="W1692" i="8"/>
  <c r="X1692" i="8" s="1"/>
  <c r="W1153" i="8"/>
  <c r="W1910" i="8"/>
  <c r="W1264" i="8"/>
  <c r="X1264" i="8" s="1"/>
  <c r="W1496" i="8"/>
  <c r="W1659" i="8"/>
  <c r="W1755" i="8"/>
  <c r="X1755" i="8" s="1"/>
  <c r="W1710" i="8"/>
  <c r="X1710" i="8" s="1"/>
  <c r="W1286" i="8"/>
  <c r="W1660" i="8"/>
  <c r="X1660" i="8" s="1"/>
  <c r="W1905" i="8"/>
  <c r="X1905" i="8" s="1"/>
  <c r="W1240" i="8"/>
  <c r="X1240" i="8" s="1"/>
  <c r="W1205" i="8"/>
  <c r="X1205" i="8" s="1"/>
  <c r="W1246" i="8"/>
  <c r="W1365" i="8"/>
  <c r="W1495" i="8"/>
  <c r="W1252" i="8"/>
  <c r="X1252" i="8" s="1"/>
  <c r="W1397" i="8"/>
  <c r="X1397" i="8" s="1"/>
  <c r="W1074" i="8"/>
  <c r="X1074" i="8" s="1"/>
  <c r="W1293" i="8"/>
  <c r="X1293" i="8" s="1"/>
  <c r="W1123" i="8"/>
  <c r="W1233" i="8"/>
  <c r="X1233" i="8" s="1"/>
  <c r="W1292" i="8"/>
  <c r="W1116" i="8"/>
  <c r="W1077" i="8"/>
  <c r="W1339" i="8"/>
  <c r="X1339" i="8" s="1"/>
  <c r="W1134" i="8"/>
  <c r="X1134" i="8" s="1"/>
  <c r="AE485" i="8"/>
  <c r="AF485" i="8" s="1"/>
  <c r="AE484" i="8"/>
  <c r="AF484" i="8" s="1"/>
  <c r="AE483" i="8"/>
  <c r="AF483" i="8" s="1"/>
  <c r="AE674" i="8"/>
  <c r="AF674" i="8" s="1"/>
  <c r="AE675" i="8"/>
  <c r="AF675" i="8" s="1"/>
  <c r="AE473" i="8"/>
  <c r="AF473" i="8" s="1"/>
  <c r="AE474" i="8"/>
  <c r="AF474" i="8" s="1"/>
  <c r="AE475" i="8"/>
  <c r="AF475" i="8" s="1"/>
  <c r="AE471" i="8"/>
  <c r="AF471" i="8" s="1"/>
  <c r="AE472" i="8"/>
  <c r="AF472" i="8" s="1"/>
  <c r="AE456" i="8"/>
  <c r="AF456" i="8" s="1"/>
  <c r="AE455" i="8"/>
  <c r="AF455" i="8" s="1"/>
  <c r="AE458" i="8"/>
  <c r="AF458" i="8" s="1"/>
  <c r="AE457" i="8"/>
  <c r="AF457" i="8" s="1"/>
  <c r="AE658" i="8"/>
  <c r="AF658" i="8" s="1"/>
  <c r="AE656" i="8"/>
  <c r="AF656" i="8" s="1"/>
  <c r="AE486" i="8"/>
  <c r="AF486" i="8" s="1"/>
  <c r="AE487" i="8"/>
  <c r="AF487" i="8" s="1"/>
  <c r="AE489" i="8"/>
  <c r="AF489" i="8" s="1"/>
  <c r="AE445" i="8"/>
  <c r="AF445" i="8" s="1"/>
  <c r="AE446" i="8"/>
  <c r="AF446" i="8" s="1"/>
  <c r="AE476" i="8"/>
  <c r="AF476" i="8" s="1"/>
  <c r="AE477" i="8"/>
  <c r="AF477" i="8" s="1"/>
  <c r="AE762" i="8"/>
  <c r="AF762" i="8" s="1"/>
  <c r="AE783" i="8"/>
  <c r="AF783" i="8" s="1"/>
  <c r="AE765" i="8"/>
  <c r="AF765" i="8" s="1"/>
  <c r="AE764" i="8"/>
  <c r="AF764" i="8" s="1"/>
  <c r="AE356" i="8"/>
  <c r="AF356" i="8" s="1"/>
  <c r="AE358" i="8"/>
  <c r="AF358" i="8" s="1"/>
  <c r="AE359" i="8"/>
  <c r="AF359" i="8" s="1"/>
  <c r="AE302" i="8"/>
  <c r="AF302" i="8" s="1"/>
  <c r="AE300" i="8"/>
  <c r="AF300" i="8" s="1"/>
  <c r="AE301" i="8"/>
  <c r="AF301" i="8" s="1"/>
  <c r="AE330" i="8"/>
  <c r="AF330" i="8" s="1"/>
  <c r="AE329" i="8"/>
  <c r="AF329" i="8" s="1"/>
  <c r="AE282" i="8"/>
  <c r="AF282" i="8" s="1"/>
  <c r="AE284" i="8"/>
  <c r="AF284" i="8" s="1"/>
  <c r="AE283" i="8"/>
  <c r="AF283" i="8" s="1"/>
  <c r="AE336" i="8"/>
  <c r="AF336" i="8" s="1"/>
  <c r="AE337" i="8"/>
  <c r="AF337" i="8" s="1"/>
  <c r="AE341" i="8"/>
  <c r="AF341" i="8" s="1"/>
  <c r="AE339" i="8"/>
  <c r="AF339" i="8" s="1"/>
  <c r="AE360" i="8"/>
  <c r="AF360" i="8" s="1"/>
  <c r="AE361" i="8"/>
  <c r="AF361" i="8" s="1"/>
  <c r="AE363" i="8"/>
  <c r="AF363" i="8" s="1"/>
  <c r="AE364" i="8"/>
  <c r="AF364" i="8" s="1"/>
  <c r="AE366" i="8"/>
  <c r="AF366" i="8" s="1"/>
  <c r="AE367" i="8"/>
  <c r="AF367" i="8" s="1"/>
  <c r="AE368" i="8"/>
  <c r="AF368" i="8" s="1"/>
  <c r="AE295" i="8"/>
  <c r="AF295" i="8" s="1"/>
  <c r="AE296" i="8"/>
  <c r="AF296" i="8" s="1"/>
  <c r="AE298" i="8"/>
  <c r="AF298" i="8" s="1"/>
  <c r="AE345" i="8"/>
  <c r="AF345" i="8" s="1"/>
  <c r="AE343" i="8"/>
  <c r="AF343" i="8" s="1"/>
  <c r="AE342" i="8"/>
  <c r="AF342" i="8" s="1"/>
  <c r="AE250" i="8"/>
  <c r="AF250" i="8" s="1"/>
  <c r="AE251" i="8"/>
  <c r="AF251" i="8" s="1"/>
  <c r="AE252" i="8"/>
  <c r="AF252" i="8" s="1"/>
  <c r="AE253" i="8"/>
  <c r="AF253" i="8" s="1"/>
  <c r="AE223" i="8"/>
  <c r="AF223" i="8" s="1"/>
  <c r="AE224" i="8"/>
  <c r="AF224" i="8" s="1"/>
  <c r="AE226" i="8"/>
  <c r="AF226" i="8" s="1"/>
  <c r="AE233" i="8"/>
  <c r="AF233" i="8" s="1"/>
  <c r="AE235" i="8"/>
  <c r="AF235" i="8" s="1"/>
  <c r="AE88" i="8"/>
  <c r="AF88" i="8" s="1"/>
  <c r="AE166" i="8"/>
  <c r="AF166" i="8" s="1"/>
  <c r="AE167" i="8"/>
  <c r="AF167" i="8" s="1"/>
  <c r="AE168" i="8"/>
  <c r="AF168" i="8" s="1"/>
  <c r="AE165" i="8"/>
  <c r="AF165" i="8" s="1"/>
  <c r="AE170" i="8"/>
  <c r="AF170" i="8" s="1"/>
  <c r="AE159" i="8"/>
  <c r="AF159" i="8" s="1"/>
  <c r="AE160" i="8"/>
  <c r="AF160" i="8" s="1"/>
  <c r="AE161" i="8"/>
  <c r="AF161" i="8" s="1"/>
  <c r="AE79" i="8"/>
  <c r="AF79" i="8" s="1"/>
  <c r="AE80" i="8"/>
  <c r="AF80" i="8" s="1"/>
  <c r="AE176" i="8"/>
  <c r="AF176" i="8" s="1"/>
  <c r="AE81" i="8"/>
  <c r="AF81" i="8" s="1"/>
  <c r="AE84" i="8"/>
  <c r="AF84" i="8" s="1"/>
  <c r="AE85" i="8"/>
  <c r="AF85" i="8" s="1"/>
  <c r="AE87" i="8"/>
  <c r="AF87" i="8" s="1"/>
  <c r="AE86" i="8"/>
  <c r="AF86" i="8" s="1"/>
  <c r="AE82" i="8"/>
  <c r="AF82" i="8" s="1"/>
  <c r="AE83" i="8"/>
  <c r="AF83" i="8" s="1"/>
  <c r="AE95" i="8"/>
  <c r="AF95" i="8" s="1"/>
  <c r="AE94" i="8"/>
  <c r="AF94" i="8" s="1"/>
  <c r="AE93" i="8"/>
  <c r="AF93" i="8" s="1"/>
  <c r="AE121" i="8"/>
  <c r="AF121" i="8" s="1"/>
  <c r="AE122" i="8"/>
  <c r="AF122" i="8" s="1"/>
  <c r="AE123" i="8"/>
  <c r="AF123" i="8" s="1"/>
  <c r="AE124" i="8"/>
  <c r="AF124" i="8" s="1"/>
  <c r="AE125" i="8"/>
  <c r="AF125" i="8" s="1"/>
  <c r="AE151" i="8"/>
  <c r="AF151" i="8" s="1"/>
  <c r="AE150" i="8"/>
  <c r="AF150" i="8" s="1"/>
  <c r="AE149" i="8"/>
  <c r="AF149" i="8" s="1"/>
  <c r="AE153" i="8"/>
  <c r="AF153" i="8" s="1"/>
  <c r="AE152" i="8"/>
  <c r="AF152" i="8" s="1"/>
  <c r="AE117" i="8"/>
  <c r="AF117" i="8" s="1"/>
  <c r="AE118" i="8"/>
  <c r="AF118" i="8" s="1"/>
  <c r="AE119" i="8"/>
  <c r="AF119" i="8" s="1"/>
  <c r="AE120" i="8"/>
  <c r="AF120" i="8" s="1"/>
  <c r="AE201" i="8"/>
  <c r="AF201" i="8" s="1"/>
  <c r="AE200" i="8"/>
  <c r="AF200" i="8" s="1"/>
  <c r="AE202" i="8"/>
  <c r="AF202" i="8" s="1"/>
  <c r="AE134" i="8"/>
  <c r="AF134" i="8" s="1"/>
  <c r="AE131" i="8"/>
  <c r="AF131" i="8" s="1"/>
  <c r="AE130" i="8"/>
  <c r="AF130" i="8" s="1"/>
  <c r="AE132" i="8"/>
  <c r="AF132" i="8" s="1"/>
  <c r="AE133" i="8"/>
  <c r="AF133" i="8" s="1"/>
  <c r="AE183" i="8"/>
  <c r="AF183" i="8" s="1"/>
  <c r="AE186" i="8"/>
  <c r="AF186" i="8" s="1"/>
  <c r="AE184" i="8"/>
  <c r="AF184" i="8" s="1"/>
  <c r="AE181" i="8"/>
  <c r="AF181" i="8" s="1"/>
  <c r="AE182" i="8"/>
  <c r="AF182" i="8" s="1"/>
  <c r="AE185" i="8"/>
  <c r="AF185" i="8" s="1"/>
  <c r="AE112" i="8"/>
  <c r="AF112" i="8" s="1"/>
  <c r="AE113" i="8"/>
  <c r="AF113" i="8" s="1"/>
  <c r="AE111" i="8"/>
  <c r="AF111" i="8" s="1"/>
  <c r="AE110" i="8"/>
  <c r="AF110" i="8" s="1"/>
  <c r="AE109" i="8"/>
  <c r="AF109" i="8" s="1"/>
  <c r="AE101" i="8"/>
  <c r="AF101" i="8" s="1"/>
  <c r="AE103" i="8"/>
  <c r="AF103" i="8" s="1"/>
  <c r="AE102" i="8"/>
  <c r="AF102" i="8" s="1"/>
  <c r="AE137" i="8"/>
  <c r="AF137" i="8" s="1"/>
  <c r="AE135" i="8"/>
  <c r="AF135" i="8" s="1"/>
  <c r="AE136" i="8"/>
  <c r="AF136" i="8" s="1"/>
  <c r="AE129" i="8"/>
  <c r="AF129" i="8" s="1"/>
  <c r="AE128" i="8"/>
  <c r="AF128" i="8" s="1"/>
  <c r="AE127" i="8"/>
  <c r="AF127" i="8" s="1"/>
  <c r="AE126" i="8"/>
  <c r="AF126" i="8" s="1"/>
  <c r="AE194" i="8"/>
  <c r="AF194" i="8" s="1"/>
  <c r="AE195" i="8"/>
  <c r="AF195" i="8" s="1"/>
  <c r="AE196" i="8"/>
  <c r="AF196" i="8" s="1"/>
  <c r="AE192" i="8"/>
  <c r="AF192" i="8" s="1"/>
  <c r="AE193" i="8"/>
  <c r="AF193" i="8" s="1"/>
  <c r="AE411" i="8"/>
  <c r="AF411" i="8" s="1"/>
  <c r="AE322" i="8"/>
  <c r="AF322" i="8" s="1"/>
  <c r="AE321" i="8"/>
  <c r="AF321" i="8" s="1"/>
  <c r="AE320" i="8"/>
  <c r="AF320" i="8" s="1"/>
  <c r="AE324" i="8"/>
  <c r="AF324" i="8" s="1"/>
  <c r="AE323" i="8"/>
  <c r="AF323" i="8" s="1"/>
  <c r="AE328" i="8"/>
  <c r="AF328" i="8" s="1"/>
  <c r="AE325" i="8"/>
  <c r="AF325" i="8" s="1"/>
  <c r="AE326" i="8"/>
  <c r="AF326" i="8" s="1"/>
  <c r="AE327" i="8"/>
  <c r="AF327" i="8" s="1"/>
  <c r="AE259" i="8"/>
  <c r="AF259" i="8" s="1"/>
  <c r="AE260" i="8"/>
  <c r="AF260" i="8" s="1"/>
  <c r="AE261" i="8"/>
  <c r="AF261" i="8" s="1"/>
  <c r="AE262" i="8"/>
  <c r="AF262" i="8" s="1"/>
  <c r="AE263" i="8"/>
  <c r="AF263" i="8" s="1"/>
  <c r="AE279" i="8"/>
  <c r="AF279" i="8" s="1"/>
  <c r="AE280" i="8"/>
  <c r="AF280" i="8" s="1"/>
  <c r="AE274" i="8"/>
  <c r="AF274" i="8" s="1"/>
  <c r="AE273" i="8"/>
  <c r="AE275" i="8"/>
  <c r="AE276" i="8"/>
  <c r="AE277" i="8"/>
  <c r="AE278" i="8"/>
  <c r="AE169" i="8"/>
  <c r="AF169" i="8" s="1"/>
  <c r="AE172" i="8"/>
  <c r="AF172" i="8" s="1"/>
  <c r="AE5" i="8"/>
  <c r="AF5" i="8" s="1"/>
  <c r="AE6" i="8"/>
  <c r="AF6" i="8" s="1"/>
  <c r="AE7" i="8"/>
  <c r="AF7" i="8" s="1"/>
  <c r="AE21" i="8"/>
  <c r="AF21" i="8" s="1"/>
  <c r="AE22" i="8"/>
  <c r="AF22" i="8" s="1"/>
  <c r="AE23" i="8"/>
  <c r="AF23" i="8" s="1"/>
  <c r="AE74" i="8"/>
  <c r="AF74" i="8" s="1"/>
  <c r="AE48" i="8"/>
  <c r="AF48" i="8" s="1"/>
  <c r="AE49" i="8"/>
  <c r="AF49" i="8" s="1"/>
  <c r="AE50" i="8"/>
  <c r="AF50" i="8" s="1"/>
  <c r="AE47" i="8"/>
  <c r="AF47" i="8" s="1"/>
  <c r="AE58" i="8"/>
  <c r="AF58" i="8" s="1"/>
  <c r="AE59" i="8"/>
  <c r="AF59" i="8" s="1"/>
  <c r="AE60" i="8"/>
  <c r="AF60" i="8" s="1"/>
  <c r="AE65" i="8"/>
  <c r="AF65" i="8" s="1"/>
  <c r="AE66" i="8"/>
  <c r="AF66" i="8" s="1"/>
  <c r="AE67" i="8"/>
  <c r="AF67" i="8" s="1"/>
  <c r="AE608" i="8"/>
  <c r="AF608" i="8" s="1"/>
  <c r="AE618" i="8"/>
  <c r="AF618" i="8" s="1"/>
  <c r="AE619" i="8"/>
  <c r="AF619" i="8" s="1"/>
  <c r="AE319" i="8"/>
  <c r="AF319" i="8" s="1"/>
  <c r="AE318" i="8"/>
  <c r="AF318" i="8" s="1"/>
  <c r="M155" i="9"/>
  <c r="N155" i="9" s="1"/>
  <c r="M189" i="9"/>
  <c r="N189" i="9" s="1"/>
  <c r="I30" i="12"/>
  <c r="M183" i="9"/>
  <c r="N183" i="9" s="1"/>
  <c r="I17" i="12"/>
  <c r="I19" i="12"/>
  <c r="M187" i="9"/>
  <c r="N187" i="9" s="1"/>
  <c r="I20" i="12"/>
  <c r="I24" i="12"/>
  <c r="I25" i="12"/>
  <c r="I26" i="12"/>
  <c r="I27" i="12"/>
  <c r="I29" i="12"/>
  <c r="M182" i="9"/>
  <c r="N182" i="9" s="1"/>
  <c r="M184" i="9"/>
  <c r="N184" i="9" s="1"/>
  <c r="M186" i="9"/>
  <c r="N186" i="9" s="1"/>
  <c r="M132" i="9"/>
  <c r="N132" i="9" s="1"/>
  <c r="M134" i="9"/>
  <c r="N134" i="9" s="1"/>
  <c r="M136" i="9"/>
  <c r="N136" i="9" s="1"/>
  <c r="I28" i="12"/>
  <c r="M181" i="9"/>
  <c r="N181" i="9" s="1"/>
  <c r="M177" i="9"/>
  <c r="N177" i="9" s="1"/>
  <c r="M175" i="9"/>
  <c r="N175" i="9" s="1"/>
  <c r="M166" i="9"/>
  <c r="N166" i="9" s="1"/>
  <c r="M162" i="9"/>
  <c r="N162" i="9" s="1"/>
  <c r="M141" i="9"/>
  <c r="N141" i="9" s="1"/>
  <c r="M145" i="9"/>
  <c r="N145" i="9" s="1"/>
  <c r="M147" i="9"/>
  <c r="N147" i="9" s="1"/>
  <c r="W1042" i="8"/>
  <c r="X1042" i="8" s="1"/>
  <c r="W1541" i="8"/>
  <c r="N40" i="10"/>
  <c r="O40" i="10" a="1"/>
  <c r="N71" i="10"/>
  <c r="Q71" i="10" s="1"/>
  <c r="O71" i="10" a="1"/>
  <c r="AF273" i="8"/>
  <c r="AF275" i="8"/>
  <c r="AF276" i="8"/>
  <c r="AF277" i="8"/>
  <c r="AF278" i="8"/>
  <c r="I20" i="14"/>
  <c r="I24" i="14"/>
  <c r="X1891" i="8"/>
  <c r="X1373" i="8"/>
  <c r="X1455" i="8"/>
  <c r="X1588" i="8"/>
  <c r="X1492" i="8"/>
  <c r="X1623" i="8"/>
  <c r="X1432" i="8"/>
  <c r="X1371" i="8"/>
  <c r="X1528" i="8"/>
  <c r="X1378" i="8"/>
  <c r="X1353" i="8"/>
  <c r="X1412" i="8"/>
  <c r="X1450" i="8"/>
  <c r="X1227" i="8"/>
  <c r="X1223" i="8"/>
  <c r="X1243" i="8"/>
  <c r="X1253" i="8"/>
  <c r="X1081" i="8"/>
  <c r="X1175" i="8"/>
  <c r="X1164" i="8"/>
  <c r="X1183" i="8"/>
  <c r="X1210" i="8"/>
  <c r="X1771" i="8"/>
  <c r="X1823" i="8"/>
  <c r="X1860" i="8"/>
  <c r="X1229" i="8"/>
  <c r="X1276" i="8"/>
  <c r="X1800" i="8"/>
  <c r="X1676" i="8"/>
  <c r="X1740" i="8"/>
  <c r="X1865" i="8"/>
  <c r="X1912" i="8"/>
  <c r="X1819" i="8"/>
  <c r="X1786" i="8"/>
  <c r="X1441" i="8"/>
  <c r="X1453" i="8"/>
  <c r="X1420" i="8"/>
  <c r="X1483" i="8"/>
  <c r="X1460" i="8"/>
  <c r="X1409" i="8"/>
  <c r="X1486" i="8"/>
  <c r="X1389" i="8"/>
  <c r="X1382" i="8"/>
  <c r="X1454" i="8"/>
  <c r="X1563" i="8"/>
  <c r="X1451" i="8"/>
  <c r="X1418" i="8"/>
  <c r="X1531" i="8"/>
  <c r="X1480" i="8"/>
  <c r="X1427" i="8"/>
  <c r="X1642" i="8"/>
  <c r="X1257" i="8"/>
  <c r="X1308" i="8"/>
  <c r="X1318" i="8"/>
  <c r="X1221" i="8"/>
  <c r="X1065" i="8"/>
  <c r="X1107" i="8"/>
  <c r="X1173" i="8"/>
  <c r="X1141" i="8"/>
  <c r="X1149" i="8"/>
  <c r="X1661" i="8"/>
  <c r="X1687" i="8"/>
  <c r="X1832" i="8"/>
  <c r="X1795" i="8"/>
  <c r="X1847" i="8"/>
  <c r="X1291" i="8"/>
  <c r="X1215" i="8"/>
  <c r="X1669" i="8"/>
  <c r="X1753" i="8"/>
  <c r="X1705" i="8"/>
  <c r="X1856" i="8"/>
  <c r="X1814" i="8"/>
  <c r="X1350" i="8"/>
  <c r="X1534" i="8"/>
  <c r="X1629" i="8"/>
  <c r="X1444" i="8"/>
  <c r="X1429" i="8"/>
  <c r="X1464" i="8"/>
  <c r="X1482" i="8"/>
  <c r="X1440" i="8"/>
  <c r="X1357" i="8"/>
  <c r="X1445" i="8"/>
  <c r="X1641" i="8"/>
  <c r="X1312" i="8"/>
  <c r="X1242" i="8"/>
  <c r="X1256" i="8"/>
  <c r="X1057" i="8"/>
  <c r="X1160" i="8"/>
  <c r="X1275" i="8"/>
  <c r="X1733" i="8"/>
  <c r="X1316" i="8"/>
  <c r="X1277" i="8"/>
  <c r="X1689" i="8"/>
  <c r="X1874" i="8"/>
  <c r="X1765" i="8"/>
  <c r="X1896" i="8"/>
  <c r="X1352" i="8"/>
  <c r="X1348" i="8"/>
  <c r="X1351" i="8"/>
  <c r="X1653" i="8"/>
  <c r="X1399" i="8"/>
  <c r="X1400" i="8"/>
  <c r="X1403" i="8"/>
  <c r="X1405" i="8"/>
  <c r="X1406" i="8"/>
  <c r="X1404" i="8"/>
  <c r="X1636" i="8"/>
  <c r="X1637" i="8"/>
  <c r="X1632" i="8"/>
  <c r="X1346" i="8"/>
  <c r="X1347" i="8"/>
  <c r="X1477" i="8"/>
  <c r="X1476" i="8"/>
  <c r="X1613" i="8"/>
  <c r="X1611" i="8"/>
  <c r="X1471" i="8"/>
  <c r="X1472" i="8"/>
  <c r="X1475" i="8"/>
  <c r="X1474" i="8"/>
  <c r="X1473" i="8"/>
  <c r="X1469" i="8"/>
  <c r="X1343" i="8"/>
  <c r="X1342" i="8"/>
  <c r="X1345" i="8"/>
  <c r="X1344" i="8"/>
  <c r="X1470" i="8"/>
  <c r="X1423" i="8"/>
  <c r="X1426" i="8"/>
  <c r="X1425" i="8"/>
  <c r="X1424" i="8"/>
  <c r="X1587" i="8"/>
  <c r="X1599" i="8"/>
  <c r="X1374" i="8"/>
  <c r="X1367" i="8"/>
  <c r="X1564" i="8"/>
  <c r="X1386" i="8"/>
  <c r="X1414" i="8"/>
  <c r="X1354" i="8"/>
  <c r="X1626" i="8"/>
  <c r="X1552" i="8"/>
  <c r="X1621" i="8"/>
  <c r="X1436" i="8"/>
  <c r="X1539" i="8"/>
  <c r="X1458" i="8"/>
  <c r="X1304" i="8"/>
  <c r="X1306" i="8"/>
  <c r="X1224" i="8"/>
  <c r="X1101" i="8"/>
  <c r="X1195" i="8"/>
  <c r="X1111" i="8"/>
  <c r="X1078" i="8"/>
  <c r="X1169" i="8"/>
  <c r="X1120" i="8"/>
  <c r="X1838" i="8"/>
  <c r="X1751" i="8"/>
  <c r="X1773" i="8"/>
  <c r="X1273" i="8"/>
  <c r="X1255" i="8"/>
  <c r="X1879" i="8"/>
  <c r="X1673" i="8"/>
  <c r="X1714" i="8"/>
  <c r="X1863" i="8"/>
  <c r="X1650" i="8"/>
  <c r="X1537" i="8"/>
  <c r="X1512" i="8"/>
  <c r="X1457" i="8"/>
  <c r="X1438" i="8"/>
  <c r="X1616" i="8"/>
  <c r="X1600" i="8"/>
  <c r="X1540" i="8"/>
  <c r="X1527" i="8"/>
  <c r="X1384" i="8"/>
  <c r="X1530" i="8"/>
  <c r="X1452" i="8"/>
  <c r="X1502" i="8"/>
  <c r="X1493" i="8"/>
  <c r="X1413" i="8"/>
  <c r="X1419" i="8"/>
  <c r="X1381" i="8"/>
  <c r="X1645" i="8"/>
  <c r="X1485" i="8"/>
  <c r="X1489" i="8"/>
  <c r="X1442" i="8"/>
  <c r="X1446" i="8"/>
  <c r="X1461" i="8"/>
  <c r="X1434" i="8"/>
  <c r="X1340" i="8"/>
  <c r="X1431" i="8"/>
  <c r="X1410" i="8"/>
  <c r="X1411" i="8"/>
  <c r="X1551" i="8"/>
  <c r="X1487" i="8"/>
  <c r="X1448" i="8"/>
  <c r="X1468" i="8"/>
  <c r="X1497" i="8"/>
  <c r="X1422" i="8"/>
  <c r="X1392" i="8"/>
  <c r="X1236" i="8"/>
  <c r="X1290" i="8"/>
  <c r="X1307" i="8"/>
  <c r="X1296" i="8"/>
  <c r="X1294" i="8"/>
  <c r="X1249" i="8"/>
  <c r="X1271" i="8"/>
  <c r="X1288" i="8"/>
  <c r="X1220" i="8"/>
  <c r="X1250" i="8"/>
  <c r="X1230" i="8"/>
  <c r="X1280" i="8"/>
  <c r="X1281" i="8"/>
  <c r="X1172" i="8"/>
  <c r="X1179" i="8"/>
  <c r="X1061" i="8"/>
  <c r="X1163" i="8"/>
  <c r="X1085" i="8"/>
  <c r="X1091" i="8"/>
  <c r="X1099" i="8"/>
  <c r="X1140" i="8"/>
  <c r="X1114" i="8"/>
  <c r="X1207" i="8"/>
  <c r="X1086" i="8"/>
  <c r="X1104" i="8"/>
  <c r="X1118" i="8"/>
  <c r="X1199" i="8"/>
  <c r="X1157" i="8"/>
  <c r="X1050" i="8"/>
  <c r="X1082" i="8"/>
  <c r="X1102" i="8"/>
  <c r="X1135" i="8"/>
  <c r="X1144" i="8"/>
  <c r="X1119" i="8"/>
  <c r="X1171" i="8"/>
  <c r="X1174" i="8"/>
  <c r="X1178" i="8"/>
  <c r="X1129" i="8"/>
  <c r="X1701" i="8"/>
  <c r="X1666" i="8"/>
  <c r="X1883" i="8"/>
  <c r="X1837" i="8"/>
  <c r="X1881" i="8"/>
  <c r="X1745" i="8"/>
  <c r="X1777" i="8"/>
  <c r="X1886" i="8"/>
  <c r="X1813" i="8"/>
  <c r="X1375" i="8"/>
  <c r="X1634" i="8"/>
  <c r="X1501" i="8"/>
  <c r="X1379" i="8"/>
  <c r="X1490" i="8"/>
  <c r="X1341" i="8"/>
  <c r="X1447" i="8"/>
  <c r="X1648" i="8"/>
  <c r="X1415" i="8"/>
  <c r="X1503" i="8"/>
  <c r="X1462" i="8"/>
  <c r="X1430" i="8"/>
  <c r="X1465" i="8"/>
  <c r="X1516" i="8"/>
  <c r="X1266" i="8"/>
  <c r="X1268" i="8"/>
  <c r="X1217" i="8"/>
  <c r="X1089" i="8"/>
  <c r="X1090" i="8"/>
  <c r="X1046" i="8"/>
  <c r="X1166" i="8"/>
  <c r="X1808" i="8"/>
  <c r="X1871" i="8"/>
  <c r="X1888" i="8"/>
  <c r="X1788" i="8"/>
  <c r="X1914" i="8"/>
  <c r="X1311" i="8"/>
  <c r="X1212" i="8"/>
  <c r="X1402" i="8"/>
  <c r="X1769" i="8"/>
  <c r="X1868" i="8"/>
  <c r="X1842" i="8"/>
  <c r="X1894" i="8"/>
  <c r="X1514" i="8"/>
  <c r="X1575" i="8"/>
  <c r="X1491" i="8"/>
  <c r="X1433" i="8"/>
  <c r="X1390" i="8"/>
  <c r="X1315" i="8"/>
  <c r="X1310" i="8"/>
  <c r="X1269" i="8"/>
  <c r="X1132" i="8"/>
  <c r="X1054" i="8"/>
  <c r="X1176" i="8"/>
  <c r="X1121" i="8"/>
  <c r="X1158" i="8"/>
  <c r="X1783" i="8"/>
  <c r="X1802" i="8"/>
  <c r="X1201" i="8"/>
  <c r="X1331" i="8"/>
  <c r="X1237" i="8"/>
  <c r="X1327" i="8"/>
  <c r="X1156" i="8"/>
  <c r="X1298" i="8"/>
  <c r="X1079" i="8"/>
  <c r="X1248" i="8"/>
  <c r="X1333" i="8"/>
  <c r="X1185" i="8"/>
  <c r="X1313" i="8"/>
  <c r="X77" i="8"/>
  <c r="X1356" i="8"/>
  <c r="X1416" i="8"/>
  <c r="X1504" i="8"/>
  <c r="X1459" i="8"/>
  <c r="X1463" i="8"/>
  <c r="X1295" i="8"/>
  <c r="X1259" i="8"/>
  <c r="X1283" i="8"/>
  <c r="X1069" i="8"/>
  <c r="X1167" i="8"/>
  <c r="X1170" i="8"/>
  <c r="X1186" i="8"/>
  <c r="X1184" i="8"/>
  <c r="X1903" i="8"/>
  <c r="X1759" i="8"/>
  <c r="X1725" i="8"/>
  <c r="X1848" i="8"/>
  <c r="X1319" i="8"/>
  <c r="X1165" i="8"/>
  <c r="X1323" i="8"/>
  <c r="X1128" i="8"/>
  <c r="X1228" i="8"/>
  <c r="X1338" i="8"/>
  <c r="X1191" i="8"/>
  <c r="X1321" i="8"/>
  <c r="X1112" i="8"/>
  <c r="X1272" i="8"/>
  <c r="X1332" i="8"/>
  <c r="X1892" i="8"/>
  <c r="X1494" i="8"/>
  <c r="X1644" i="8"/>
  <c r="X1443" i="8"/>
  <c r="X1640" i="8"/>
  <c r="X1466" i="8"/>
  <c r="X1258" i="8"/>
  <c r="X1234" i="8"/>
  <c r="X1216" i="8"/>
  <c r="X1187" i="8"/>
  <c r="X1150" i="8"/>
  <c r="X1196" i="8"/>
  <c r="X1147" i="8"/>
  <c r="X1131" i="8"/>
  <c r="X1693" i="8"/>
  <c r="X1747" i="8"/>
  <c r="X1719" i="8"/>
  <c r="X1270" i="8"/>
  <c r="X1103" i="8"/>
  <c r="X1317" i="8"/>
  <c r="X1083" i="8"/>
  <c r="X1267" i="8"/>
  <c r="X1051" i="8"/>
  <c r="X1211" i="8"/>
  <c r="X1309" i="8"/>
  <c r="X1087" i="8"/>
  <c r="X1241" i="8"/>
  <c r="X1337" i="8"/>
  <c r="X1618" i="8"/>
  <c r="X1380" i="8"/>
  <c r="X1481" i="8"/>
  <c r="X1428" i="8"/>
  <c r="X1533" i="8"/>
  <c r="X1300" i="8"/>
  <c r="X1226" i="8"/>
  <c r="X1053" i="8"/>
  <c r="X1146" i="8"/>
  <c r="X1194" i="8"/>
  <c r="X1198" i="8"/>
  <c r="X1810" i="8"/>
  <c r="X1797" i="8"/>
  <c r="X1854" i="8"/>
  <c r="X1148" i="8"/>
  <c r="X1063" i="8"/>
  <c r="X1314" i="8"/>
  <c r="X1067" i="8"/>
  <c r="X1182" i="8"/>
  <c r="X1328" i="8"/>
  <c r="X1218" i="8"/>
  <c r="X1519" i="8"/>
  <c r="X1900" i="8"/>
  <c r="X1383" i="8"/>
  <c r="X1456" i="8"/>
  <c r="X1387" i="8"/>
  <c r="X1435" i="8"/>
  <c r="X1449" i="8"/>
  <c r="X1488" i="8"/>
  <c r="X1299" i="8"/>
  <c r="X1238" i="8"/>
  <c r="X1094" i="8"/>
  <c r="X1161" i="8"/>
  <c r="X1200" i="8"/>
  <c r="X1137" i="8"/>
  <c r="X1840" i="8"/>
  <c r="X1716" i="8"/>
  <c r="X1231" i="8"/>
  <c r="X1214" i="8"/>
  <c r="X1336" i="8"/>
  <c r="X1324" i="8"/>
  <c r="X1162" i="8"/>
  <c r="X1289" i="8"/>
  <c r="X1059" i="8"/>
  <c r="X1297" i="8"/>
  <c r="X1529" i="8"/>
  <c r="X1391" i="8"/>
  <c r="X1656" i="8"/>
  <c r="X1536" i="8"/>
  <c r="X1535" i="8"/>
  <c r="X1538" i="8"/>
  <c r="X1498" i="8"/>
  <c r="X1394" i="8"/>
  <c r="X1395" i="8"/>
  <c r="X1393" i="8"/>
  <c r="X1349" i="8"/>
  <c r="X1260" i="8"/>
  <c r="X1213" i="8"/>
  <c r="X1278" i="8"/>
  <c r="X1127" i="8"/>
  <c r="X1049" i="8"/>
  <c r="X1076" i="8"/>
  <c r="X1143" i="8"/>
  <c r="X1193" i="8"/>
  <c r="X1203" i="8"/>
  <c r="X1138" i="8"/>
  <c r="X1110" i="8"/>
  <c r="X1122" i="8"/>
  <c r="X1043" i="8"/>
  <c r="X1100" i="8"/>
  <c r="X1190" i="8"/>
  <c r="X1168" i="8"/>
  <c r="X1159" i="8"/>
  <c r="X1072" i="8"/>
  <c r="X1181" i="8"/>
  <c r="X1108" i="8"/>
  <c r="X1139" i="8"/>
  <c r="X1209" i="8"/>
  <c r="X1142" i="8"/>
  <c r="X1192" i="8"/>
  <c r="X1155" i="8"/>
  <c r="X1202" i="8"/>
  <c r="X1126" i="8"/>
  <c r="X1125" i="8"/>
  <c r="X1699" i="8"/>
  <c r="X1665" i="8"/>
  <c r="X1835" i="8"/>
  <c r="X1683" i="8"/>
  <c r="X1681" i="8"/>
  <c r="X1845" i="8"/>
  <c r="X1756" i="8"/>
  <c r="X1872" i="8"/>
  <c r="X1858" i="8"/>
  <c r="X1749" i="8"/>
  <c r="X1697" i="8"/>
  <c r="X1698" i="8"/>
  <c r="X1851" i="8"/>
  <c r="X1731" i="8"/>
  <c r="X1727" i="8"/>
  <c r="X1767" i="8"/>
  <c r="X1736" i="8"/>
  <c r="X1898" i="8"/>
  <c r="X1911" i="8"/>
  <c r="X1827" i="8"/>
  <c r="X1907" i="8"/>
  <c r="X1791" i="8"/>
  <c r="X1889" i="8"/>
  <c r="X1105" i="8"/>
  <c r="X1055" i="8"/>
  <c r="X1279" i="8"/>
  <c r="X1047" i="8"/>
  <c r="X1206" i="8"/>
  <c r="X1334" i="8"/>
  <c r="X1222" i="8"/>
  <c r="X1208" i="8"/>
  <c r="X1322" i="8"/>
  <c r="X1532" i="8"/>
  <c r="X1723" i="8"/>
  <c r="X1627" i="8"/>
  <c r="X1511" i="8"/>
  <c r="X1576" i="8"/>
  <c r="X1500" i="8"/>
  <c r="X1417" i="8"/>
  <c r="X1355" i="8"/>
  <c r="X1370" i="8"/>
  <c r="X1388" i="8"/>
  <c r="X1305" i="8"/>
  <c r="X1219" i="8"/>
  <c r="X1225" i="8"/>
  <c r="X1189" i="8"/>
  <c r="X1096" i="8"/>
  <c r="X1188" i="8"/>
  <c r="X1145" i="8"/>
  <c r="X1679" i="8"/>
  <c r="X1742" i="8"/>
  <c r="X1817" i="8"/>
  <c r="X1775" i="8"/>
  <c r="X1877" i="8"/>
  <c r="X1177" i="8"/>
  <c r="X1335" i="8"/>
  <c r="X1254" i="8"/>
  <c r="X1136" i="8"/>
  <c r="X1320" i="8"/>
  <c r="X1097" i="8"/>
  <c r="X1274" i="8"/>
  <c r="X1130" i="8"/>
  <c r="X1282" i="8"/>
  <c r="X1706" i="8"/>
  <c r="X1779" i="8"/>
  <c r="X7" i="8"/>
  <c r="X1197" i="8"/>
  <c r="X1439" i="8"/>
  <c r="X1060" i="8"/>
  <c r="X1088" i="8"/>
  <c r="X1048" i="8"/>
  <c r="X1056" i="8"/>
  <c r="X1052" i="8"/>
  <c r="X1109" i="8"/>
  <c r="X1113" i="8"/>
  <c r="X1058" i="8"/>
  <c r="X1075" i="8"/>
  <c r="X1098" i="8"/>
  <c r="X1092" i="8"/>
  <c r="X1045" i="8"/>
  <c r="X1080" i="8"/>
  <c r="X1106" i="8"/>
  <c r="X1066" i="8"/>
  <c r="X1064" i="8"/>
  <c r="X1084" i="8"/>
  <c r="X1044" i="8"/>
  <c r="X1062" i="8"/>
  <c r="X1068" i="8"/>
  <c r="X1093" i="8"/>
  <c r="X1095" i="8"/>
  <c r="X1398" i="8"/>
  <c r="X1287" i="8"/>
  <c r="X1330" i="8"/>
  <c r="X1363" i="8"/>
  <c r="X1927" i="8"/>
  <c r="N53" i="10"/>
  <c r="O53" i="10" a="1"/>
  <c r="F9" i="15"/>
  <c r="N35" i="10"/>
  <c r="Q35" i="10" s="1"/>
  <c r="O35" i="10" a="1"/>
  <c r="N41" i="10"/>
  <c r="Q41" i="10" s="1"/>
  <c r="O41" i="10" a="1"/>
  <c r="G22" i="15"/>
  <c r="E22" i="15"/>
  <c r="E23" i="15"/>
  <c r="G23" i="15"/>
  <c r="G24" i="15"/>
  <c r="E24" i="15"/>
  <c r="E26" i="15"/>
  <c r="G26" i="15"/>
  <c r="E27" i="15"/>
  <c r="G27" i="15"/>
  <c r="G28" i="15"/>
  <c r="E28" i="15"/>
  <c r="E29" i="15"/>
  <c r="G29" i="15"/>
  <c r="G30" i="15"/>
  <c r="E30" i="15"/>
  <c r="E25" i="15"/>
  <c r="G25" i="15"/>
  <c r="E21" i="15"/>
  <c r="G21" i="15"/>
  <c r="O22" i="10" a="1"/>
  <c r="N22" i="10"/>
  <c r="Q22" i="10" s="1"/>
  <c r="C13" i="15"/>
  <c r="F8" i="15"/>
  <c r="B3" i="12"/>
  <c r="D3" i="12"/>
  <c r="F3" i="12"/>
  <c r="H3" i="12"/>
  <c r="J26" i="12"/>
  <c r="C15" i="15" l="1"/>
  <c r="X8" i="8"/>
  <c r="X9" i="8" l="1"/>
  <c r="X12" i="8"/>
  <c r="X23" i="8"/>
  <c r="X37" i="8"/>
  <c r="X10" i="8" l="1"/>
  <c r="X14" i="8"/>
  <c r="X17" i="8"/>
  <c r="X32" i="8"/>
  <c r="X19" i="8" l="1"/>
  <c r="X21" i="8" l="1"/>
  <c r="X22" i="8"/>
  <c r="X48" i="8"/>
  <c r="X24" i="8" l="1"/>
  <c r="X26" i="8"/>
  <c r="X57" i="8"/>
  <c r="X27" i="8" l="1"/>
  <c r="X28" i="8"/>
  <c r="X30" i="8" s="1"/>
  <c r="X33" i="8" s="1"/>
  <c r="X34" i="8" s="1"/>
  <c r="X36" i="8" s="1"/>
  <c r="X38" i="8" l="1"/>
  <c r="X40" i="8" l="1"/>
  <c r="X41" i="8" l="1"/>
  <c r="X42" i="8" s="1"/>
  <c r="X44" i="8" l="1"/>
  <c r="X46" i="8" s="1"/>
  <c r="X47" i="8" l="1"/>
  <c r="X49" i="8" l="1"/>
  <c r="X51" i="8" l="1"/>
  <c r="X53" i="8" l="1"/>
  <c r="X55" i="8" l="1"/>
  <c r="X58" i="8" l="1"/>
  <c r="X68" i="8"/>
  <c r="X59" i="8" l="1"/>
  <c r="X61" i="8" s="1"/>
  <c r="X65" i="8" s="1"/>
  <c r="X66" i="8" s="1"/>
  <c r="X70" i="8"/>
  <c r="X71" i="8"/>
  <c r="X73" i="8" l="1"/>
  <c r="X75" i="8"/>
  <c r="X80" i="8" l="1"/>
  <c r="X81" i="8" s="1"/>
  <c r="X92" i="8" l="1"/>
  <c r="X124" i="8" l="1"/>
  <c r="X179" i="8" s="1"/>
  <c r="A6" i="18" l="1"/>
  <c r="X180" i="8"/>
  <c r="X181" i="8" s="1"/>
  <c r="F6" i="18" l="1"/>
  <c r="J6" i="18"/>
  <c r="H6" i="18"/>
  <c r="G6" i="18"/>
  <c r="D6" i="18"/>
  <c r="C6" i="18"/>
  <c r="B6" i="18"/>
  <c r="E6" i="18"/>
  <c r="X182" i="8"/>
  <c r="I6" i="18" l="1"/>
  <c r="X183" i="8"/>
  <c r="X184" i="8" l="1"/>
  <c r="X186" i="8"/>
  <c r="X185" i="8" l="1"/>
  <c r="A7" i="18"/>
  <c r="X187" i="8"/>
  <c r="H7" i="18" l="1"/>
  <c r="J7" i="18"/>
  <c r="C7" i="18"/>
  <c r="B7" i="18"/>
  <c r="E7" i="18"/>
  <c r="F7" i="18"/>
  <c r="G7" i="18"/>
  <c r="D7" i="18"/>
  <c r="X197" i="8"/>
  <c r="X228" i="8" s="1"/>
  <c r="I7" i="18" l="1"/>
  <c r="X253" i="8"/>
  <c r="X271" i="8" l="1"/>
  <c r="X260" i="8"/>
  <c r="A8" i="18" l="1"/>
  <c r="X265" i="8"/>
  <c r="A9" i="18"/>
  <c r="D8" i="18" l="1"/>
  <c r="J8" i="18"/>
  <c r="B8" i="18"/>
  <c r="G8" i="18"/>
  <c r="F8" i="18"/>
  <c r="H8" i="18"/>
  <c r="E8" i="18"/>
  <c r="C8" i="18"/>
  <c r="X273" i="8"/>
  <c r="F9" i="18"/>
  <c r="C9" i="18"/>
  <c r="E9" i="18"/>
  <c r="D9" i="18"/>
  <c r="H9" i="18"/>
  <c r="G9" i="18"/>
  <c r="B9" i="18"/>
  <c r="J9" i="18"/>
  <c r="I8" i="18" l="1"/>
  <c r="A10" i="18"/>
  <c r="A11" i="18"/>
  <c r="X392" i="8"/>
  <c r="I9" i="18"/>
  <c r="D10" i="18" l="1"/>
  <c r="F10" i="18"/>
  <c r="E10" i="18"/>
  <c r="G10" i="18"/>
  <c r="B10" i="18"/>
  <c r="J10" i="18"/>
  <c r="C10" i="18"/>
  <c r="H10" i="18"/>
  <c r="X423" i="8"/>
  <c r="C11" i="18"/>
  <c r="F11" i="18"/>
  <c r="G11" i="18"/>
  <c r="D11" i="18"/>
  <c r="E11" i="18"/>
  <c r="B11" i="18"/>
  <c r="J11" i="18"/>
  <c r="H11" i="18"/>
  <c r="A12" i="18"/>
  <c r="X410" i="8"/>
  <c r="I10" i="18" l="1"/>
  <c r="X424" i="8"/>
  <c r="H12" i="18"/>
  <c r="D12" i="18"/>
  <c r="C12" i="18"/>
  <c r="B12" i="18"/>
  <c r="E12" i="18"/>
  <c r="J12" i="18"/>
  <c r="G12" i="18"/>
  <c r="F12" i="18"/>
  <c r="I11" i="18"/>
  <c r="A13" i="18"/>
  <c r="X504" i="8"/>
  <c r="X425" i="8" l="1"/>
  <c r="I12" i="18"/>
  <c r="F13" i="18"/>
  <c r="C13" i="18"/>
  <c r="J13" i="18"/>
  <c r="D13" i="18"/>
  <c r="H13" i="18"/>
  <c r="B13" i="18"/>
  <c r="G13" i="18"/>
  <c r="E13" i="18"/>
  <c r="X505" i="8"/>
  <c r="X506" i="8" s="1"/>
  <c r="X514" i="8" s="1"/>
  <c r="X426" i="8" l="1"/>
  <c r="I13" i="18"/>
  <c r="X521" i="8"/>
  <c r="X427" i="8" l="1"/>
  <c r="X430" i="8"/>
  <c r="X441" i="8" l="1"/>
  <c r="X489" i="8"/>
  <c r="X449" i="8" l="1"/>
  <c r="X462" i="8" s="1"/>
  <c r="X523" i="8"/>
  <c r="X518" i="8"/>
  <c r="X503" i="8"/>
  <c r="X463" i="8" l="1"/>
  <c r="X525" i="8"/>
  <c r="X580" i="8"/>
  <c r="X586" i="8"/>
  <c r="X587" i="8" s="1"/>
  <c r="X601" i="8" s="1"/>
  <c r="X464" i="8" l="1"/>
  <c r="X701" i="8"/>
  <c r="X534" i="8"/>
  <c r="X1922" i="8"/>
  <c r="X465" i="8" l="1"/>
  <c r="X579" i="8"/>
  <c r="X781" i="8"/>
  <c r="A14" i="18"/>
  <c r="A16" i="18"/>
  <c r="A15" i="18"/>
  <c r="X665" i="8" l="1"/>
  <c r="A17" i="18"/>
  <c r="X839" i="8"/>
  <c r="X840" i="8"/>
  <c r="G14" i="18"/>
  <c r="H14" i="18"/>
  <c r="B14" i="18"/>
  <c r="E14" i="18"/>
  <c r="J14" i="18"/>
  <c r="D14" i="18"/>
  <c r="C14" i="18"/>
  <c r="F14" i="18"/>
  <c r="J16" i="18"/>
  <c r="D16" i="18"/>
  <c r="H16" i="18"/>
  <c r="G16" i="18"/>
  <c r="B16" i="18"/>
  <c r="C16" i="18"/>
  <c r="E16" i="18"/>
  <c r="F16" i="18"/>
  <c r="H15" i="18"/>
  <c r="C15" i="18"/>
  <c r="G15" i="18"/>
  <c r="D15" i="18"/>
  <c r="J15" i="18"/>
  <c r="E15" i="18"/>
  <c r="B15" i="18"/>
  <c r="F15" i="18"/>
  <c r="A18" i="18" l="1"/>
  <c r="F18" i="18" s="1"/>
  <c r="X667" i="8"/>
  <c r="A19" i="18" s="1"/>
  <c r="J17" i="18"/>
  <c r="G17" i="18"/>
  <c r="C17" i="18"/>
  <c r="B17" i="18"/>
  <c r="E17" i="18"/>
  <c r="H17" i="18"/>
  <c r="D17" i="18"/>
  <c r="F17" i="18"/>
  <c r="I16" i="18"/>
  <c r="I15" i="18"/>
  <c r="X841" i="8"/>
  <c r="I14" i="18"/>
  <c r="X698" i="8" l="1"/>
  <c r="X703" i="8" s="1"/>
  <c r="E18" i="18"/>
  <c r="C18" i="18"/>
  <c r="H18" i="18"/>
  <c r="B18" i="18"/>
  <c r="D18" i="18"/>
  <c r="G18" i="18"/>
  <c r="J18" i="18"/>
  <c r="I17" i="18"/>
  <c r="F19" i="18"/>
  <c r="E19" i="18"/>
  <c r="D19" i="18"/>
  <c r="B19" i="18"/>
  <c r="C19" i="18"/>
  <c r="J19" i="18"/>
  <c r="H19" i="18"/>
  <c r="G19" i="18"/>
  <c r="X843" i="8"/>
  <c r="I18" i="18" l="1"/>
  <c r="X732" i="8"/>
  <c r="A20" i="18"/>
  <c r="I19" i="18"/>
  <c r="X846" i="8"/>
  <c r="X757" i="8" l="1"/>
  <c r="A21" i="18"/>
  <c r="D20" i="18"/>
  <c r="E20" i="18"/>
  <c r="G20" i="18"/>
  <c r="H20" i="18"/>
  <c r="B20" i="18"/>
  <c r="C20" i="18"/>
  <c r="J20" i="18"/>
  <c r="F20" i="18"/>
  <c r="X859" i="8"/>
  <c r="X772" i="8" l="1"/>
  <c r="A22" i="18"/>
  <c r="F21" i="18"/>
  <c r="G21" i="18"/>
  <c r="D21" i="18"/>
  <c r="C21" i="18"/>
  <c r="B21" i="18"/>
  <c r="E21" i="18"/>
  <c r="J21" i="18"/>
  <c r="H21" i="18"/>
  <c r="I20" i="18"/>
  <c r="X870" i="8"/>
  <c r="X821" i="8" l="1"/>
  <c r="X847" i="8" s="1"/>
  <c r="X848" i="8" s="1"/>
  <c r="A23" i="18"/>
  <c r="F22" i="18"/>
  <c r="H22" i="18"/>
  <c r="E22" i="18"/>
  <c r="C22" i="18"/>
  <c r="B22" i="18"/>
  <c r="G22" i="18"/>
  <c r="J22" i="18"/>
  <c r="D22" i="18"/>
  <c r="I21" i="18"/>
  <c r="X873" i="8"/>
  <c r="X874" i="8" s="1"/>
  <c r="I22" i="18" l="1"/>
  <c r="J23" i="18"/>
  <c r="C23" i="18"/>
  <c r="D23" i="18"/>
  <c r="B23" i="18"/>
  <c r="E23" i="18"/>
  <c r="H23" i="18"/>
  <c r="F23" i="18"/>
  <c r="G23" i="18"/>
  <c r="X875" i="8"/>
  <c r="I23" i="18" l="1"/>
  <c r="X876" i="8"/>
  <c r="X879" i="8" s="1"/>
  <c r="X880" i="8" l="1"/>
  <c r="X881" i="8" l="1"/>
  <c r="X882" i="8" l="1"/>
  <c r="X909" i="8" s="1"/>
  <c r="X921" i="8" l="1"/>
  <c r="X980" i="8" l="1"/>
  <c r="X981" i="8" s="1"/>
  <c r="X1029" i="8" l="1"/>
  <c r="X1073" i="8" s="1"/>
  <c r="X1077" i="8" s="1"/>
  <c r="X1115" i="8" l="1"/>
  <c r="X1116" i="8" s="1"/>
  <c r="X1117" i="8" s="1"/>
  <c r="A27" i="18"/>
  <c r="A28" i="18"/>
  <c r="A29" i="18"/>
  <c r="G27" i="18" l="1"/>
  <c r="H27" i="18"/>
  <c r="J27" i="18"/>
  <c r="D27" i="18"/>
  <c r="C27" i="18"/>
  <c r="B27" i="18"/>
  <c r="E27" i="18"/>
  <c r="F27" i="18"/>
  <c r="F28" i="18"/>
  <c r="D28" i="18"/>
  <c r="H28" i="18"/>
  <c r="E28" i="18"/>
  <c r="B28" i="18"/>
  <c r="G28" i="18"/>
  <c r="C28" i="18"/>
  <c r="J28" i="18"/>
  <c r="H29" i="18"/>
  <c r="G29" i="18"/>
  <c r="B29" i="18"/>
  <c r="J29" i="18"/>
  <c r="F29" i="18"/>
  <c r="E29" i="18"/>
  <c r="D29" i="18"/>
  <c r="C29" i="18"/>
  <c r="X1123" i="8"/>
  <c r="I29" i="18" l="1"/>
  <c r="A30" i="18"/>
  <c r="I27" i="18"/>
  <c r="I28" i="18"/>
  <c r="X1133" i="8"/>
  <c r="J30" i="18" l="1"/>
  <c r="G30" i="18"/>
  <c r="E30" i="18"/>
  <c r="C30" i="18"/>
  <c r="H30" i="18"/>
  <c r="D30" i="18"/>
  <c r="B30" i="18"/>
  <c r="F30" i="18"/>
  <c r="A31" i="18"/>
  <c r="X1151" i="8"/>
  <c r="F31" i="18" l="1"/>
  <c r="E31" i="18"/>
  <c r="C31" i="18"/>
  <c r="D31" i="18"/>
  <c r="B31" i="18"/>
  <c r="J31" i="18"/>
  <c r="H31" i="18"/>
  <c r="G31" i="18"/>
  <c r="I30" i="18"/>
  <c r="X1153" i="8"/>
  <c r="I31" i="18" l="1"/>
  <c r="A32" i="18"/>
  <c r="X1180" i="8"/>
  <c r="F32" i="18" l="1"/>
  <c r="H32" i="18"/>
  <c r="E32" i="18"/>
  <c r="G32" i="18"/>
  <c r="D32" i="18"/>
  <c r="B32" i="18"/>
  <c r="C32" i="18"/>
  <c r="J32" i="18"/>
  <c r="X1204" i="8"/>
  <c r="I32" i="18" l="1"/>
  <c r="A34" i="18"/>
  <c r="X1239" i="8"/>
  <c r="X1244" i="8" s="1"/>
  <c r="H34" i="18" l="1"/>
  <c r="E34" i="18"/>
  <c r="F34" i="18"/>
  <c r="G34" i="18"/>
  <c r="J34" i="18"/>
  <c r="D34" i="18"/>
  <c r="B34" i="18"/>
  <c r="C34" i="18"/>
  <c r="X1246" i="8"/>
  <c r="I34" i="18" l="1"/>
  <c r="X1251" i="8"/>
  <c r="X1262" i="8" l="1"/>
  <c r="X1284" i="8" l="1"/>
  <c r="X1286" i="8" l="1"/>
  <c r="X1292" i="8" l="1"/>
  <c r="X1301" i="8" l="1"/>
  <c r="X1325" i="8" l="1"/>
  <c r="X1329" i="8" s="1"/>
  <c r="X1358" i="8" l="1"/>
  <c r="A40" i="18"/>
  <c r="A39" i="18"/>
  <c r="X1359" i="8" l="1"/>
  <c r="J40" i="18"/>
  <c r="B40" i="18"/>
  <c r="E40" i="18"/>
  <c r="D40" i="18"/>
  <c r="G40" i="18"/>
  <c r="C40" i="18"/>
  <c r="H40" i="18"/>
  <c r="F40" i="18"/>
  <c r="F39" i="18"/>
  <c r="E39" i="18"/>
  <c r="B39" i="18"/>
  <c r="C39" i="18"/>
  <c r="D39" i="18"/>
  <c r="J39" i="18"/>
  <c r="H39" i="18"/>
  <c r="G39" i="18"/>
  <c r="I39" i="18" l="1"/>
  <c r="X1360" i="8"/>
  <c r="I40" i="18"/>
  <c r="X1361" i="8" l="1"/>
  <c r="X1362" i="8" s="1"/>
  <c r="A42" i="18" l="1"/>
  <c r="A41" i="18"/>
  <c r="X1365" i="8"/>
  <c r="F42" i="18" l="1"/>
  <c r="B42" i="18"/>
  <c r="H42" i="18"/>
  <c r="J42" i="18"/>
  <c r="E42" i="18"/>
  <c r="G42" i="18"/>
  <c r="C42" i="18"/>
  <c r="D42" i="18"/>
  <c r="F41" i="18"/>
  <c r="B41" i="18"/>
  <c r="D41" i="18"/>
  <c r="C41" i="18"/>
  <c r="E41" i="18"/>
  <c r="G41" i="18"/>
  <c r="J41" i="18"/>
  <c r="H41" i="18"/>
  <c r="X1369" i="8"/>
  <c r="X1372" i="8"/>
  <c r="X1376" i="8" s="1"/>
  <c r="X1385" i="8" l="1"/>
  <c r="X1377" i="8"/>
  <c r="I42" i="18"/>
  <c r="I41" i="18"/>
  <c r="X1401" i="8"/>
  <c r="X1421" i="8" l="1"/>
  <c r="X1467" i="8" s="1"/>
  <c r="X1478" i="8" l="1"/>
  <c r="X1484" i="8" l="1"/>
  <c r="X1495" i="8" s="1"/>
  <c r="X1499" i="8" l="1"/>
  <c r="X1505" i="8" s="1"/>
  <c r="X1506" i="8" s="1"/>
  <c r="X1507" i="8" s="1"/>
  <c r="X1508" i="8" s="1"/>
  <c r="X1509" i="8" s="1"/>
  <c r="X1510" i="8" s="1"/>
  <c r="X1513" i="8" s="1"/>
  <c r="X1515" i="8" s="1"/>
  <c r="X1496" i="8"/>
  <c r="X1517" i="8" l="1"/>
  <c r="X1518" i="8" s="1"/>
  <c r="X1520" i="8" l="1"/>
  <c r="X1521" i="8" s="1"/>
  <c r="X1522" i="8" s="1"/>
  <c r="X1523" i="8" l="1"/>
  <c r="X1524" i="8" s="1"/>
  <c r="X1525" i="8" l="1"/>
  <c r="X1526" i="8" s="1"/>
  <c r="X1541" i="8" l="1"/>
  <c r="X1542" i="8" l="1"/>
  <c r="X1543" i="8" l="1"/>
  <c r="X1544" i="8" l="1"/>
  <c r="X1545" i="8" l="1"/>
  <c r="X1553" i="8"/>
  <c r="A53" i="18"/>
  <c r="A52" i="18"/>
  <c r="A51" i="18"/>
  <c r="A50" i="18"/>
  <c r="A49" i="18"/>
  <c r="A46" i="18"/>
  <c r="A47" i="18"/>
  <c r="A44" i="18"/>
  <c r="A43" i="18"/>
  <c r="A45" i="18"/>
  <c r="A48" i="18"/>
  <c r="A38" i="18"/>
  <c r="A37" i="18"/>
  <c r="A36" i="18"/>
  <c r="A35" i="18"/>
  <c r="A33" i="18"/>
  <c r="A26" i="18"/>
  <c r="A25" i="18"/>
  <c r="A24" i="18"/>
  <c r="A54" i="18"/>
  <c r="X1546" i="8" l="1"/>
  <c r="X1554" i="8"/>
  <c r="X1555" i="8" s="1"/>
  <c r="X1556" i="8" s="1"/>
  <c r="X1557" i="8" s="1"/>
  <c r="X1558" i="8" s="1"/>
  <c r="X1559" i="8" s="1"/>
  <c r="X1560" i="8" s="1"/>
  <c r="X1561" i="8" s="1"/>
  <c r="X1562" i="8" s="1"/>
  <c r="X1565" i="8" s="1"/>
  <c r="X1566" i="8" s="1"/>
  <c r="X1567" i="8" s="1"/>
  <c r="X1568" i="8" s="1"/>
  <c r="X1569" i="8" s="1"/>
  <c r="X1570" i="8" s="1"/>
  <c r="X1571" i="8" s="1"/>
  <c r="X1572" i="8" s="1"/>
  <c r="X1573" i="8" s="1"/>
  <c r="X1574" i="8" s="1"/>
  <c r="X1577" i="8" s="1"/>
  <c r="X1578" i="8" s="1"/>
  <c r="X1579" i="8" s="1"/>
  <c r="X1580" i="8" s="1"/>
  <c r="X1581" i="8" s="1"/>
  <c r="X1582" i="8" s="1"/>
  <c r="X1583" i="8" s="1"/>
  <c r="X1584" i="8" s="1"/>
  <c r="X1585" i="8" s="1"/>
  <c r="X1586" i="8" s="1"/>
  <c r="X1589" i="8" s="1"/>
  <c r="X1590" i="8" s="1"/>
  <c r="X1591" i="8" s="1"/>
  <c r="X1592" i="8" s="1"/>
  <c r="X1593" i="8" s="1"/>
  <c r="X1594" i="8" s="1"/>
  <c r="X1595" i="8" s="1"/>
  <c r="X1596" i="8" s="1"/>
  <c r="X1597" i="8" s="1"/>
  <c r="X1598" i="8" s="1"/>
  <c r="X1601" i="8" s="1"/>
  <c r="X1602" i="8" s="1"/>
  <c r="X1603" i="8" s="1"/>
  <c r="X1604" i="8" s="1"/>
  <c r="X1605" i="8" s="1"/>
  <c r="X1606" i="8" s="1"/>
  <c r="X1607" i="8" s="1"/>
  <c r="X1608" i="8" s="1"/>
  <c r="X1609" i="8" s="1"/>
  <c r="X1610" i="8" s="1"/>
  <c r="X1612" i="8" s="1"/>
  <c r="X1614" i="8" s="1"/>
  <c r="X1615" i="8" s="1"/>
  <c r="X1617" i="8" s="1"/>
  <c r="X1619" i="8" s="1"/>
  <c r="X1620" i="8" s="1"/>
  <c r="X1622" i="8" s="1"/>
  <c r="X1624" i="8" s="1"/>
  <c r="X1625" i="8" s="1"/>
  <c r="X1628" i="8" s="1"/>
  <c r="X1630" i="8" s="1"/>
  <c r="X1631" i="8" s="1"/>
  <c r="X1633" i="8" s="1"/>
  <c r="X1635" i="8" s="1"/>
  <c r="X1638" i="8" s="1"/>
  <c r="X1639" i="8" s="1"/>
  <c r="X1643" i="8" s="1"/>
  <c r="X1646" i="8" s="1"/>
  <c r="X1647" i="8" s="1"/>
  <c r="X1649" i="8" s="1"/>
  <c r="X1651" i="8" s="1"/>
  <c r="X1652" i="8" s="1"/>
  <c r="E53" i="18"/>
  <c r="F53" i="18"/>
  <c r="B53" i="18"/>
  <c r="C53" i="18"/>
  <c r="J53" i="18"/>
  <c r="D53" i="18"/>
  <c r="G53" i="18"/>
  <c r="H53" i="18"/>
  <c r="J52" i="18"/>
  <c r="F52" i="18"/>
  <c r="E52" i="18"/>
  <c r="B52" i="18"/>
  <c r="D52" i="18"/>
  <c r="G52" i="18"/>
  <c r="H52" i="18"/>
  <c r="C52" i="18"/>
  <c r="G51" i="18"/>
  <c r="D51" i="18"/>
  <c r="J51" i="18"/>
  <c r="C51" i="18"/>
  <c r="F51" i="18"/>
  <c r="H51" i="18"/>
  <c r="E51" i="18"/>
  <c r="B51" i="18"/>
  <c r="G50" i="18"/>
  <c r="D50" i="18"/>
  <c r="B50" i="18"/>
  <c r="J50" i="18"/>
  <c r="H50" i="18"/>
  <c r="C50" i="18"/>
  <c r="E50" i="18"/>
  <c r="F50" i="18"/>
  <c r="F49" i="18"/>
  <c r="E49" i="18"/>
  <c r="D49" i="18"/>
  <c r="G49" i="18"/>
  <c r="J49" i="18"/>
  <c r="H49" i="18"/>
  <c r="B49" i="18"/>
  <c r="C49" i="18"/>
  <c r="C46" i="18"/>
  <c r="H46" i="18"/>
  <c r="F46" i="18"/>
  <c r="B46" i="18"/>
  <c r="D46" i="18"/>
  <c r="J46" i="18"/>
  <c r="G46" i="18"/>
  <c r="E46" i="18"/>
  <c r="D47" i="18"/>
  <c r="H47" i="18"/>
  <c r="G47" i="18"/>
  <c r="F47" i="18"/>
  <c r="J47" i="18"/>
  <c r="B47" i="18"/>
  <c r="C47" i="18"/>
  <c r="E47" i="18"/>
  <c r="F44" i="18"/>
  <c r="D44" i="18"/>
  <c r="C44" i="18"/>
  <c r="G44" i="18"/>
  <c r="H44" i="18"/>
  <c r="B44" i="18"/>
  <c r="E44" i="18"/>
  <c r="J44" i="18"/>
  <c r="H43" i="18"/>
  <c r="G43" i="18"/>
  <c r="E43" i="18"/>
  <c r="C43" i="18"/>
  <c r="J43" i="18"/>
  <c r="F43" i="18"/>
  <c r="B43" i="18"/>
  <c r="D43" i="18"/>
  <c r="H45" i="18"/>
  <c r="F45" i="18"/>
  <c r="D45" i="18"/>
  <c r="B45" i="18"/>
  <c r="G45" i="18"/>
  <c r="C45" i="18"/>
  <c r="J45" i="18"/>
  <c r="E45" i="18"/>
  <c r="C48" i="18"/>
  <c r="J48" i="18"/>
  <c r="D48" i="18"/>
  <c r="H48" i="18"/>
  <c r="B48" i="18"/>
  <c r="F48" i="18"/>
  <c r="E48" i="18"/>
  <c r="G48" i="18"/>
  <c r="D38" i="18"/>
  <c r="H38" i="18"/>
  <c r="B38" i="18"/>
  <c r="G38" i="18"/>
  <c r="C38" i="18"/>
  <c r="E38" i="18"/>
  <c r="J38" i="18"/>
  <c r="F38" i="18"/>
  <c r="B37" i="18"/>
  <c r="E37" i="18"/>
  <c r="C37" i="18"/>
  <c r="G37" i="18"/>
  <c r="F37" i="18"/>
  <c r="H37" i="18"/>
  <c r="J37" i="18"/>
  <c r="D37" i="18"/>
  <c r="C36" i="18"/>
  <c r="B36" i="18"/>
  <c r="E36" i="18"/>
  <c r="F36" i="18"/>
  <c r="D36" i="18"/>
  <c r="H36" i="18"/>
  <c r="J36" i="18"/>
  <c r="G36" i="18"/>
  <c r="J35" i="18"/>
  <c r="F35" i="18"/>
  <c r="E35" i="18"/>
  <c r="D35" i="18"/>
  <c r="B35" i="18"/>
  <c r="G35" i="18"/>
  <c r="H35" i="18"/>
  <c r="C35" i="18"/>
  <c r="F33" i="18"/>
  <c r="H33" i="18"/>
  <c r="G33" i="18"/>
  <c r="E33" i="18"/>
  <c r="J33" i="18"/>
  <c r="D33" i="18"/>
  <c r="B33" i="18"/>
  <c r="C33" i="18"/>
  <c r="G26" i="18"/>
  <c r="C26" i="18"/>
  <c r="E26" i="18"/>
  <c r="B26" i="18"/>
  <c r="D26" i="18"/>
  <c r="F26" i="18"/>
  <c r="H26" i="18"/>
  <c r="J26" i="18"/>
  <c r="D25" i="18"/>
  <c r="G25" i="18"/>
  <c r="J25" i="18"/>
  <c r="F25" i="18"/>
  <c r="C25" i="18"/>
  <c r="B25" i="18"/>
  <c r="H25" i="18"/>
  <c r="E25" i="18"/>
  <c r="J24" i="18"/>
  <c r="B24" i="18"/>
  <c r="G24" i="18"/>
  <c r="E24" i="18"/>
  <c r="D24" i="18"/>
  <c r="F24" i="18"/>
  <c r="H24" i="18"/>
  <c r="C24" i="18"/>
  <c r="J54" i="18"/>
  <c r="E54" i="18"/>
  <c r="G54" i="18"/>
  <c r="H54" i="18"/>
  <c r="C54" i="18"/>
  <c r="D54" i="18"/>
  <c r="B54" i="18"/>
  <c r="F54" i="18"/>
  <c r="I43" i="18" l="1"/>
  <c r="X1657" i="8"/>
  <c r="X1547" i="8"/>
  <c r="I46" i="18"/>
  <c r="I51" i="18"/>
  <c r="I33" i="18"/>
  <c r="I38" i="18"/>
  <c r="I45" i="18"/>
  <c r="I36" i="18"/>
  <c r="I24" i="18"/>
  <c r="I37" i="18"/>
  <c r="I35" i="18"/>
  <c r="I53" i="18"/>
  <c r="I47" i="18"/>
  <c r="I48" i="18"/>
  <c r="I50" i="18"/>
  <c r="I49" i="18"/>
  <c r="I25" i="18"/>
  <c r="I26" i="18"/>
  <c r="I52" i="18"/>
  <c r="I54" i="18"/>
  <c r="I44" i="18"/>
  <c r="X1548" i="8" l="1"/>
  <c r="X1658" i="8"/>
  <c r="X1549" i="8" l="1"/>
  <c r="X1662" i="8"/>
  <c r="X1550" i="8" l="1"/>
  <c r="X1654" i="8" s="1"/>
  <c r="X1659" i="8" s="1"/>
  <c r="A55" i="18"/>
  <c r="X1663" i="8"/>
  <c r="H55" i="18" l="1"/>
  <c r="B55" i="18"/>
  <c r="C55" i="18"/>
  <c r="G55" i="18"/>
  <c r="E55" i="18"/>
  <c r="J55" i="18"/>
  <c r="D55" i="18"/>
  <c r="F55" i="18"/>
  <c r="A56" i="18"/>
  <c r="X1664" i="8"/>
  <c r="I55" i="18" l="1"/>
  <c r="F56" i="18"/>
  <c r="C56" i="18"/>
  <c r="G56" i="18"/>
  <c r="D56" i="18"/>
  <c r="E56" i="18"/>
  <c r="B56" i="18"/>
  <c r="J56" i="18"/>
  <c r="H56" i="18"/>
  <c r="X1667" i="8"/>
  <c r="I56" i="18" l="1"/>
  <c r="X1668" i="8"/>
  <c r="X1670" i="8" l="1"/>
  <c r="X1671" i="8" l="1"/>
  <c r="X1672" i="8" l="1"/>
  <c r="X1674" i="8" l="1"/>
  <c r="X1675" i="8" l="1"/>
  <c r="X1677" i="8" l="1"/>
  <c r="X1678" i="8" l="1"/>
  <c r="X1680" i="8" l="1"/>
  <c r="X1682" i="8" l="1"/>
  <c r="X1686" i="8"/>
  <c r="X1684" i="8" l="1"/>
  <c r="X1688" i="8"/>
  <c r="X1690" i="8" l="1"/>
  <c r="X1691" i="8" l="1"/>
  <c r="X1694" i="8" s="1"/>
  <c r="X1695" i="8" s="1"/>
  <c r="X1696" i="8"/>
  <c r="X1700" i="8" l="1"/>
  <c r="X1830" i="8"/>
  <c r="X1831" i="8" s="1"/>
  <c r="X1833" i="8" s="1"/>
  <c r="X1834" i="8" s="1"/>
  <c r="X1836" i="8" s="1"/>
  <c r="X1839" i="8" s="1"/>
  <c r="X1841" i="8" s="1"/>
  <c r="X1843" i="8" s="1"/>
  <c r="X1844" i="8" s="1"/>
  <c r="X1846" i="8" s="1"/>
  <c r="X1849" i="8" s="1"/>
  <c r="X1850" i="8" s="1"/>
  <c r="X1852" i="8" s="1"/>
  <c r="X1853" i="8" s="1"/>
  <c r="X1855" i="8" s="1"/>
  <c r="X1857" i="8" s="1"/>
  <c r="X1859" i="8" s="1"/>
  <c r="X1861" i="8" s="1"/>
  <c r="X1862" i="8" s="1"/>
  <c r="X1864" i="8" s="1"/>
  <c r="X1866" i="8" s="1"/>
  <c r="X1867" i="8" s="1"/>
  <c r="X1869" i="8" s="1"/>
  <c r="X1870" i="8" s="1"/>
  <c r="X1873" i="8" s="1"/>
  <c r="X1875" i="8" s="1"/>
  <c r="X1876" i="8" s="1"/>
  <c r="X1878" i="8" s="1"/>
  <c r="X1880" i="8" s="1"/>
  <c r="X1882" i="8" s="1"/>
  <c r="X1884" i="8" s="1"/>
  <c r="X1885" i="8" s="1"/>
  <c r="X1887" i="8" s="1"/>
  <c r="X1893" i="8" s="1"/>
  <c r="X1895" i="8" s="1"/>
  <c r="X1897" i="8" s="1"/>
  <c r="X1899" i="8" s="1"/>
  <c r="X1901" i="8" s="1"/>
  <c r="X1902" i="8" s="1"/>
  <c r="X1923" i="8"/>
  <c r="X1924" i="8" s="1"/>
  <c r="X1925" i="8" s="1"/>
  <c r="X1926" i="8" s="1"/>
  <c r="A57" i="18" s="1"/>
  <c r="X1702" i="8" l="1"/>
  <c r="E57" i="18"/>
  <c r="F57" i="18"/>
  <c r="J57" i="18"/>
  <c r="B57" i="18"/>
  <c r="D57" i="18"/>
  <c r="C57" i="18"/>
  <c r="H57" i="18"/>
  <c r="G57" i="18"/>
  <c r="X1913" i="8"/>
  <c r="X1915" i="8" s="1"/>
  <c r="X1703" i="8" l="1"/>
  <c r="X1704" i="8" s="1"/>
  <c r="X1707" i="8" s="1"/>
  <c r="I57" i="18"/>
  <c r="X1916" i="8"/>
  <c r="X1918" i="8" s="1"/>
  <c r="X1920" i="8" s="1"/>
  <c r="X1921" i="8" s="1"/>
  <c r="X1708" i="8" l="1"/>
  <c r="X1709" i="8"/>
  <c r="X1711" i="8" s="1"/>
  <c r="A59" i="18" s="1"/>
  <c r="A58" i="18"/>
  <c r="X1713" i="8"/>
  <c r="H58" i="18" l="1"/>
  <c r="B58" i="18"/>
  <c r="C58" i="18"/>
  <c r="J58" i="18"/>
  <c r="F58" i="18"/>
  <c r="E58" i="18"/>
  <c r="G58" i="18"/>
  <c r="D58" i="18"/>
  <c r="G59" i="18"/>
  <c r="C59" i="18"/>
  <c r="D59" i="18"/>
  <c r="F59" i="18"/>
  <c r="J59" i="18"/>
  <c r="B59" i="18"/>
  <c r="H59" i="18"/>
  <c r="E59" i="18"/>
  <c r="X1715" i="8"/>
  <c r="I58" i="18" l="1"/>
  <c r="X1717" i="8"/>
  <c r="I59" i="18"/>
  <c r="X1718" i="8" l="1"/>
  <c r="X1720" i="8" s="1"/>
  <c r="X1722" i="8"/>
  <c r="X1760" i="8"/>
  <c r="X1761" i="8" s="1"/>
  <c r="X1762" i="8" s="1"/>
  <c r="X1763" i="8" s="1"/>
  <c r="X1764" i="8" s="1"/>
  <c r="X1766" i="8" s="1"/>
  <c r="X1768" i="8" s="1"/>
  <c r="X1770" i="8" s="1"/>
  <c r="X1772" i="8" s="1"/>
  <c r="X1774" i="8" s="1"/>
  <c r="X1776" i="8" s="1"/>
  <c r="X1778" i="8" s="1"/>
  <c r="X1780" i="8" s="1"/>
  <c r="X1781" i="8" s="1"/>
  <c r="X1782" i="8" s="1"/>
  <c r="X1784" i="8" s="1"/>
  <c r="X1785" i="8" s="1"/>
  <c r="X1787" i="8" s="1"/>
  <c r="X1789" i="8" s="1"/>
  <c r="X1721" i="8" l="1"/>
  <c r="X1724" i="8"/>
  <c r="X1726" i="8" s="1"/>
  <c r="X1728" i="8" s="1"/>
  <c r="X1729" i="8" s="1"/>
  <c r="X1908" i="8"/>
  <c r="X1730" i="8" l="1"/>
  <c r="X1909" i="8"/>
  <c r="X1732" i="8" l="1"/>
  <c r="X1734" i="8" s="1"/>
  <c r="X1735" i="8" s="1"/>
  <c r="X1737" i="8" s="1"/>
  <c r="X1738" i="8" s="1"/>
  <c r="X1739" i="8" s="1"/>
  <c r="X1741" i="8"/>
  <c r="X1743" i="8" l="1"/>
  <c r="X1744" i="8" s="1"/>
  <c r="X1746" i="8" s="1"/>
  <c r="X1748" i="8" s="1"/>
  <c r="X1750" i="8" s="1"/>
  <c r="X1752" i="8" s="1"/>
  <c r="X1754" i="8" s="1"/>
  <c r="A60" i="18" l="1"/>
  <c r="X1757" i="8"/>
  <c r="X1796" i="8"/>
  <c r="F60" i="18" l="1"/>
  <c r="B60" i="18"/>
  <c r="D60" i="18"/>
  <c r="J60" i="18"/>
  <c r="H60" i="18"/>
  <c r="G60" i="18"/>
  <c r="E60" i="18"/>
  <c r="C60" i="18"/>
  <c r="A61" i="18"/>
  <c r="X1790" i="8"/>
  <c r="X1798" i="8"/>
  <c r="I60" i="18" l="1"/>
  <c r="A62" i="18"/>
  <c r="X1792" i="8"/>
  <c r="A63" i="18" s="1"/>
  <c r="G61" i="18"/>
  <c r="E61" i="18"/>
  <c r="B61" i="18"/>
  <c r="C61" i="18"/>
  <c r="F61" i="18"/>
  <c r="D61" i="18"/>
  <c r="J61" i="18"/>
  <c r="H61" i="18"/>
  <c r="X1799" i="8"/>
  <c r="C62" i="18" l="1"/>
  <c r="G62" i="18"/>
  <c r="H62" i="18"/>
  <c r="D62" i="18"/>
  <c r="E62" i="18"/>
  <c r="F62" i="18"/>
  <c r="B62" i="18"/>
  <c r="J62" i="18"/>
  <c r="D63" i="18"/>
  <c r="H63" i="18"/>
  <c r="I61" i="18"/>
  <c r="F63" i="18"/>
  <c r="C63" i="18"/>
  <c r="B63" i="18"/>
  <c r="G63" i="18"/>
  <c r="E63" i="18"/>
  <c r="J63" i="18"/>
  <c r="X1801" i="8"/>
  <c r="I62" i="18" l="1"/>
  <c r="I63" i="18"/>
  <c r="X1803" i="8"/>
  <c r="X1805" i="8" l="1"/>
  <c r="X1806" i="8" s="1"/>
  <c r="X1807" i="8" s="1"/>
  <c r="X1809" i="8" s="1"/>
  <c r="X1811" i="8" s="1"/>
  <c r="X1812" i="8" s="1"/>
  <c r="X1815" i="8" s="1"/>
  <c r="X1816" i="8" s="1"/>
  <c r="X1818" i="8" s="1"/>
  <c r="X1820" i="8" s="1"/>
  <c r="X1821" i="8" s="1"/>
  <c r="X1822" i="8" s="1"/>
  <c r="X1824" i="8" s="1"/>
  <c r="X1825" i="8" s="1"/>
  <c r="X1826" i="8" s="1"/>
  <c r="X1828" i="8" s="1"/>
  <c r="X1904" i="8" s="1"/>
  <c r="X1906" i="8" s="1"/>
  <c r="X1910" i="8" s="1"/>
  <c r="A78" i="18" l="1"/>
  <c r="A255" i="18"/>
  <c r="A118" i="18"/>
  <c r="A346" i="18"/>
  <c r="A164" i="18"/>
  <c r="A147" i="18"/>
  <c r="A299" i="18"/>
  <c r="A359" i="18"/>
  <c r="A320" i="18"/>
  <c r="A268" i="18"/>
  <c r="A463" i="18"/>
  <c r="A221" i="18"/>
  <c r="A464" i="18"/>
  <c r="A195" i="18"/>
  <c r="A292" i="18"/>
  <c r="A185" i="18"/>
  <c r="A83" i="18"/>
  <c r="A149" i="18"/>
  <c r="A484" i="18"/>
  <c r="A219" i="18"/>
  <c r="A391" i="18"/>
  <c r="A228" i="18"/>
  <c r="A491" i="18"/>
  <c r="A215" i="18"/>
  <c r="A334" i="18"/>
  <c r="A146" i="18"/>
  <c r="A119" i="18"/>
  <c r="A279" i="18"/>
  <c r="A457" i="18"/>
  <c r="A313" i="18"/>
  <c r="A306" i="18"/>
  <c r="A158" i="18"/>
  <c r="A347" i="18"/>
  <c r="A496" i="18"/>
  <c r="A400" i="18"/>
  <c r="A196" i="18"/>
  <c r="A217" i="18"/>
  <c r="A436" i="18"/>
  <c r="A440" i="18"/>
  <c r="A272" i="18"/>
  <c r="A329" i="18"/>
  <c r="A423" i="18"/>
  <c r="A466" i="18"/>
  <c r="A378" i="18"/>
  <c r="A243" i="18"/>
  <c r="A354" i="18"/>
  <c r="A478" i="18"/>
  <c r="A230" i="18"/>
  <c r="A432" i="18"/>
  <c r="A390" i="18"/>
  <c r="A295" i="18"/>
  <c r="A198" i="18"/>
  <c r="A275" i="18"/>
  <c r="A386" i="18"/>
  <c r="A72" i="18"/>
  <c r="A152" i="18"/>
  <c r="A259" i="18"/>
  <c r="A177" i="18"/>
  <c r="A499" i="18"/>
  <c r="A203" i="18"/>
  <c r="A428" i="18"/>
  <c r="A300" i="18"/>
  <c r="A424" i="18"/>
  <c r="A116" i="18"/>
  <c r="A108" i="18"/>
  <c r="A405" i="18"/>
  <c r="A79" i="18"/>
  <c r="A479" i="18"/>
  <c r="A175" i="18"/>
  <c r="A167" i="18"/>
  <c r="A265" i="18"/>
  <c r="A188" i="18"/>
  <c r="A304" i="18"/>
  <c r="A404" i="18"/>
  <c r="A419" i="18"/>
  <c r="A429" i="18"/>
  <c r="A380" i="18"/>
  <c r="A208" i="18"/>
  <c r="A335" i="18"/>
  <c r="A173" i="18"/>
  <c r="A206" i="18"/>
  <c r="A171" i="18"/>
  <c r="A470" i="18"/>
  <c r="A409" i="18"/>
  <c r="A190" i="18"/>
  <c r="A123" i="18"/>
  <c r="A357" i="18"/>
  <c r="A441" i="18"/>
  <c r="A71" i="18"/>
  <c r="A448" i="18"/>
  <c r="A288" i="18"/>
  <c r="A352" i="18"/>
  <c r="A86" i="18"/>
  <c r="A312" i="18"/>
  <c r="A125" i="18"/>
  <c r="A150" i="18"/>
  <c r="A449" i="18"/>
  <c r="A93" i="18"/>
  <c r="A326" i="18"/>
  <c r="A244" i="18"/>
  <c r="A290" i="18"/>
  <c r="A111" i="18"/>
  <c r="A443" i="18"/>
  <c r="A128" i="18"/>
  <c r="A271" i="18"/>
  <c r="A370" i="18"/>
  <c r="A383" i="18"/>
  <c r="A138" i="18"/>
  <c r="A461" i="18"/>
  <c r="A120" i="18"/>
  <c r="A131" i="18"/>
  <c r="A452" i="18"/>
  <c r="A285" i="18"/>
  <c r="A371" i="18"/>
  <c r="A297" i="18"/>
  <c r="A74" i="18"/>
  <c r="A245" i="18"/>
  <c r="A416" i="18"/>
  <c r="A341" i="18"/>
  <c r="A369" i="18"/>
  <c r="A500" i="18"/>
  <c r="A289" i="18"/>
  <c r="A384" i="18"/>
  <c r="A348" i="18"/>
  <c r="A242" i="18"/>
  <c r="A366" i="18"/>
  <c r="A503" i="18"/>
  <c r="A324" i="18"/>
  <c r="A204" i="18"/>
  <c r="A421" i="18"/>
  <c r="A372" i="18"/>
  <c r="A435" i="18"/>
  <c r="A331" i="18"/>
  <c r="A387" i="18"/>
  <c r="A393" i="18"/>
  <c r="A323" i="18"/>
  <c r="A207" i="18"/>
  <c r="A156" i="18"/>
  <c r="A316" i="18"/>
  <c r="A489" i="18"/>
  <c r="A229" i="18"/>
  <c r="A246" i="18"/>
  <c r="A437" i="18"/>
  <c r="A420" i="18"/>
  <c r="A309" i="18"/>
  <c r="A314" i="18"/>
  <c r="A280" i="18"/>
  <c r="A70" i="18"/>
  <c r="A107" i="18"/>
  <c r="A100" i="18"/>
  <c r="A133" i="18"/>
  <c r="A103" i="18"/>
  <c r="A263" i="18"/>
  <c r="A322" i="18"/>
  <c r="A226" i="18"/>
  <c r="A262" i="18"/>
  <c r="A182" i="18"/>
  <c r="A191" i="18"/>
  <c r="A281" i="18"/>
  <c r="A363" i="18"/>
  <c r="A114" i="18"/>
  <c r="A283" i="18"/>
  <c r="A154" i="18"/>
  <c r="A504" i="18"/>
  <c r="A140" i="18"/>
  <c r="A264" i="18"/>
  <c r="A77" i="18"/>
  <c r="A394" i="18"/>
  <c r="A82" i="18"/>
  <c r="A145" i="18"/>
  <c r="A249" i="18"/>
  <c r="A488" i="18"/>
  <c r="A287" i="18"/>
  <c r="A232" i="18"/>
  <c r="A353" i="18"/>
  <c r="A462" i="18"/>
  <c r="A361" i="18"/>
  <c r="A155" i="18"/>
  <c r="A148" i="18"/>
  <c r="A317" i="18"/>
  <c r="A502" i="18"/>
  <c r="A360" i="18"/>
  <c r="A471" i="18"/>
  <c r="A311" i="18"/>
  <c r="A282" i="18"/>
  <c r="A165" i="18"/>
  <c r="A104" i="18"/>
  <c r="A92" i="18"/>
  <c r="A444" i="18"/>
  <c r="A343" i="18"/>
  <c r="A430" i="18"/>
  <c r="A90" i="18"/>
  <c r="A358" i="18"/>
  <c r="A85" i="18"/>
  <c r="A458" i="18"/>
  <c r="A472" i="18"/>
  <c r="A442" i="18"/>
  <c r="A231" i="18"/>
  <c r="A284" i="18"/>
  <c r="A121" i="18"/>
  <c r="A75" i="18"/>
  <c r="A144" i="18"/>
  <c r="A418" i="18"/>
  <c r="A382" i="18"/>
  <c r="A291" i="18"/>
  <c r="A325" i="18"/>
  <c r="A411" i="18"/>
  <c r="A362" i="18"/>
  <c r="A296" i="18"/>
  <c r="A453" i="18"/>
  <c r="A338" i="18"/>
  <c r="A94" i="18"/>
  <c r="A250" i="18"/>
  <c r="A374" i="18"/>
  <c r="A408" i="18"/>
  <c r="A239" i="18"/>
  <c r="A68" i="18"/>
  <c r="A474" i="18"/>
  <c r="A486" i="18"/>
  <c r="A407" i="18"/>
  <c r="A169" i="18"/>
  <c r="A115" i="18"/>
  <c r="A124" i="18"/>
  <c r="A170" i="18"/>
  <c r="A159" i="18"/>
  <c r="A467" i="18"/>
  <c r="A402" i="18"/>
  <c r="A465" i="18"/>
  <c r="A91" i="18"/>
  <c r="A248" i="18"/>
  <c r="A89" i="18"/>
  <c r="A413" i="18"/>
  <c r="A501" i="18"/>
  <c r="A425" i="18"/>
  <c r="A109" i="18"/>
  <c r="A168" i="18"/>
  <c r="A172" i="18"/>
  <c r="A178" i="18"/>
  <c r="A414" i="18"/>
  <c r="A381" i="18"/>
  <c r="A298" i="18"/>
  <c r="A274" i="18"/>
  <c r="A398" i="18"/>
  <c r="A377" i="18"/>
  <c r="A395" i="18"/>
  <c r="A302" i="18"/>
  <c r="A210" i="18"/>
  <c r="A426" i="18"/>
  <c r="A340" i="18"/>
  <c r="A197" i="18"/>
  <c r="A367" i="18"/>
  <c r="A143" i="18"/>
  <c r="A339" i="18"/>
  <c r="A238" i="18"/>
  <c r="A252" i="18"/>
  <c r="A476" i="18"/>
  <c r="A270" i="18"/>
  <c r="A76" i="18"/>
  <c r="A179" i="18"/>
  <c r="A344" i="18"/>
  <c r="A110" i="18"/>
  <c r="A201" i="18"/>
  <c r="A80" i="18"/>
  <c r="A365" i="18"/>
  <c r="A269" i="18"/>
  <c r="A251" i="18"/>
  <c r="A427" i="18"/>
  <c r="A247" i="18"/>
  <c r="A67" i="18"/>
  <c r="A65" i="18"/>
  <c r="A64" i="18"/>
  <c r="A66" i="18"/>
  <c r="C17" i="15"/>
  <c r="A318" i="18"/>
  <c r="A129" i="18"/>
  <c r="A81" i="18"/>
  <c r="A493" i="18"/>
  <c r="A151" i="18"/>
  <c r="A456" i="18"/>
  <c r="A122" i="18"/>
  <c r="A139" i="18"/>
  <c r="A356" i="18"/>
  <c r="A105" i="18"/>
  <c r="A193" i="18"/>
  <c r="A113" i="18"/>
  <c r="A460" i="18"/>
  <c r="A214" i="18"/>
  <c r="A235" i="18"/>
  <c r="A183" i="18"/>
  <c r="A406" i="18"/>
  <c r="A257" i="18"/>
  <c r="A253" i="18"/>
  <c r="A87" i="18"/>
  <c r="A450" i="18"/>
  <c r="A410" i="18"/>
  <c r="A392" i="18"/>
  <c r="A205" i="18"/>
  <c r="A301" i="18"/>
  <c r="A227" i="18"/>
  <c r="A498" i="18"/>
  <c r="A233" i="18"/>
  <c r="A194" i="18"/>
  <c r="A308" i="18"/>
  <c r="A222" i="18"/>
  <c r="A174" i="18"/>
  <c r="A487" i="18"/>
  <c r="A98" i="18"/>
  <c r="A84" i="18"/>
  <c r="A213" i="18"/>
  <c r="A328" i="18"/>
  <c r="A127" i="18"/>
  <c r="A455" i="18"/>
  <c r="A97" i="18"/>
  <c r="A305" i="18"/>
  <c r="A473" i="18"/>
  <c r="A397" i="18"/>
  <c r="A199" i="18"/>
  <c r="A327" i="18"/>
  <c r="A216" i="18"/>
  <c r="A468" i="18"/>
  <c r="A136" i="18"/>
  <c r="A186" i="18"/>
  <c r="A385" i="18"/>
  <c r="A330" i="18"/>
  <c r="A134" i="18"/>
  <c r="A176" i="18"/>
  <c r="A454" i="18"/>
  <c r="A355" i="18"/>
  <c r="A494" i="18"/>
  <c r="A200" i="18"/>
  <c r="A482" i="18"/>
  <c r="A256" i="18"/>
  <c r="A276" i="18"/>
  <c r="A141" i="18"/>
  <c r="A101" i="18"/>
  <c r="A375" i="18"/>
  <c r="A481" i="18"/>
  <c r="A99" i="18"/>
  <c r="A96" i="18"/>
  <c r="A321" i="18"/>
  <c r="A117" i="18"/>
  <c r="A112" i="18"/>
  <c r="A412" i="18"/>
  <c r="A260" i="18"/>
  <c r="A485" i="18"/>
  <c r="A373" i="18"/>
  <c r="A431" i="18"/>
  <c r="A433" i="18"/>
  <c r="A492" i="18"/>
  <c r="A438" i="18"/>
  <c r="A161" i="18"/>
  <c r="A69" i="18"/>
  <c r="A223" i="18"/>
  <c r="A477" i="18"/>
  <c r="A236" i="18"/>
  <c r="A254" i="18"/>
  <c r="A277" i="18"/>
  <c r="A480" i="18"/>
  <c r="A278" i="18"/>
  <c r="A445" i="18"/>
  <c r="A88" i="18"/>
  <c r="A475" i="18"/>
  <c r="A126" i="18"/>
  <c r="A202" i="18"/>
  <c r="A497" i="18"/>
  <c r="A505" i="18"/>
  <c r="A447" i="18"/>
  <c r="A225" i="18"/>
  <c r="A237" i="18"/>
  <c r="A349" i="18"/>
  <c r="A160" i="18"/>
  <c r="A446" i="18"/>
  <c r="A157" i="18"/>
  <c r="A332" i="18"/>
  <c r="A153" i="18"/>
  <c r="A364" i="18"/>
  <c r="A483" i="18"/>
  <c r="A345" i="18"/>
  <c r="A396" i="18"/>
  <c r="A401" i="18"/>
  <c r="A181" i="18"/>
  <c r="A459" i="18"/>
  <c r="A319" i="18"/>
  <c r="A490" i="18"/>
  <c r="A266" i="18"/>
  <c r="A73" i="18"/>
  <c r="A137" i="18"/>
  <c r="A218" i="18"/>
  <c r="A368" i="18"/>
  <c r="A469" i="18"/>
  <c r="A439" i="18"/>
  <c r="A106" i="18"/>
  <c r="A267" i="18"/>
  <c r="A163" i="18"/>
  <c r="A333" i="18"/>
  <c r="A102" i="18"/>
  <c r="A273" i="18"/>
  <c r="A95" i="18"/>
  <c r="A376" i="18"/>
  <c r="A220" i="18"/>
  <c r="A451" i="18"/>
  <c r="A192" i="18"/>
  <c r="A184" i="18"/>
  <c r="A132" i="18"/>
  <c r="A307" i="18"/>
  <c r="A417" i="18"/>
  <c r="A389" i="18"/>
  <c r="A337" i="18"/>
  <c r="A434" i="18"/>
  <c r="A342" i="18"/>
  <c r="A399" i="18"/>
  <c r="A336" i="18"/>
  <c r="A166" i="18"/>
  <c r="A403" i="18"/>
  <c r="A241" i="18"/>
  <c r="A261" i="18"/>
  <c r="A162" i="18"/>
  <c r="A234" i="18"/>
  <c r="A258" i="18"/>
  <c r="A379" i="18"/>
  <c r="A286" i="18"/>
  <c r="A130" i="18"/>
  <c r="A310" i="18"/>
  <c r="A303" i="18"/>
  <c r="A135" i="18"/>
  <c r="A415" i="18"/>
  <c r="A495" i="18"/>
  <c r="A240" i="18"/>
  <c r="A422" i="18"/>
  <c r="A189" i="18"/>
  <c r="A293" i="18"/>
  <c r="A211" i="18"/>
  <c r="A209" i="18"/>
  <c r="A180" i="18"/>
  <c r="A294" i="18"/>
  <c r="A224" i="18"/>
  <c r="A315" i="18"/>
  <c r="A388" i="18"/>
  <c r="A351" i="18"/>
  <c r="A142" i="18"/>
  <c r="A350" i="18"/>
  <c r="A187" i="18"/>
  <c r="A212" i="18"/>
  <c r="B3" i="18"/>
  <c r="I78" i="18" l="1"/>
  <c r="H78" i="18"/>
  <c r="F78" i="18"/>
  <c r="J78" i="18"/>
  <c r="G78" i="18"/>
  <c r="D78" i="18"/>
  <c r="B78" i="18"/>
  <c r="E78" i="18"/>
  <c r="C78" i="18"/>
  <c r="C255" i="18"/>
  <c r="E255" i="18"/>
  <c r="G255" i="18"/>
  <c r="F255" i="18"/>
  <c r="H255" i="18"/>
  <c r="D255" i="18"/>
  <c r="J255" i="18"/>
  <c r="B255" i="18"/>
  <c r="I255" i="18"/>
  <c r="C118" i="18"/>
  <c r="D118" i="18"/>
  <c r="B118" i="18"/>
  <c r="E118" i="18"/>
  <c r="F118" i="18"/>
  <c r="G118" i="18"/>
  <c r="H118" i="18"/>
  <c r="I118" i="18" s="1"/>
  <c r="J118" i="18"/>
  <c r="J346" i="18"/>
  <c r="F346" i="18"/>
  <c r="C346" i="18"/>
  <c r="H346" i="18"/>
  <c r="G346" i="18"/>
  <c r="D346" i="18"/>
  <c r="I346" i="18"/>
  <c r="B346" i="18"/>
  <c r="E346" i="18"/>
  <c r="B164" i="18"/>
  <c r="G164" i="18"/>
  <c r="H164" i="18"/>
  <c r="J164" i="18"/>
  <c r="F164" i="18"/>
  <c r="E164" i="18"/>
  <c r="C164" i="18"/>
  <c r="I164" i="18"/>
  <c r="D164" i="18"/>
  <c r="F147" i="18"/>
  <c r="J147" i="18"/>
  <c r="B147" i="18"/>
  <c r="C147" i="18"/>
  <c r="E147" i="18"/>
  <c r="H147" i="18"/>
  <c r="I147" i="18" s="1"/>
  <c r="G147" i="18"/>
  <c r="D147" i="18"/>
  <c r="F299" i="18"/>
  <c r="B299" i="18"/>
  <c r="D299" i="18"/>
  <c r="J299" i="18"/>
  <c r="E299" i="18"/>
  <c r="G299" i="18"/>
  <c r="I299" i="18"/>
  <c r="C299" i="18"/>
  <c r="H299" i="18"/>
  <c r="E359" i="18"/>
  <c r="B359" i="18"/>
  <c r="I359" i="18"/>
  <c r="C359" i="18"/>
  <c r="J359" i="18"/>
  <c r="H359" i="18"/>
  <c r="D359" i="18"/>
  <c r="F359" i="18"/>
  <c r="G359" i="18"/>
  <c r="D320" i="18"/>
  <c r="I320" i="18"/>
  <c r="J320" i="18"/>
  <c r="E320" i="18"/>
  <c r="H320" i="18"/>
  <c r="F320" i="18"/>
  <c r="B320" i="18"/>
  <c r="C320" i="18"/>
  <c r="G320" i="18"/>
  <c r="J268" i="18"/>
  <c r="D268" i="18"/>
  <c r="B268" i="18"/>
  <c r="G268" i="18"/>
  <c r="C268" i="18"/>
  <c r="F268" i="18"/>
  <c r="E268" i="18"/>
  <c r="H268" i="18"/>
  <c r="I268" i="18" s="1"/>
  <c r="I463" i="18"/>
  <c r="B463" i="18"/>
  <c r="C463" i="18"/>
  <c r="G463" i="18"/>
  <c r="H463" i="18"/>
  <c r="J463" i="18"/>
  <c r="E463" i="18"/>
  <c r="F463" i="18"/>
  <c r="D463" i="18"/>
  <c r="C221" i="18"/>
  <c r="B221" i="18"/>
  <c r="J221" i="18"/>
  <c r="H221" i="18"/>
  <c r="G221" i="18"/>
  <c r="I221" i="18" s="1"/>
  <c r="D221" i="18"/>
  <c r="F221" i="18"/>
  <c r="E221" i="18"/>
  <c r="D464" i="18"/>
  <c r="E464" i="18"/>
  <c r="G464" i="18"/>
  <c r="C464" i="18"/>
  <c r="H464" i="18"/>
  <c r="F464" i="18"/>
  <c r="B464" i="18"/>
  <c r="J464" i="18"/>
  <c r="I464" i="18"/>
  <c r="H195" i="18"/>
  <c r="J195" i="18"/>
  <c r="F195" i="18"/>
  <c r="E195" i="18"/>
  <c r="D195" i="18"/>
  <c r="C195" i="18"/>
  <c r="B195" i="18"/>
  <c r="G195" i="18"/>
  <c r="I195" i="18" s="1"/>
  <c r="D292" i="18"/>
  <c r="E292" i="18"/>
  <c r="B292" i="18"/>
  <c r="F292" i="18"/>
  <c r="I292" i="18"/>
  <c r="G292" i="18"/>
  <c r="C292" i="18"/>
  <c r="J292" i="18"/>
  <c r="H292" i="18"/>
  <c r="B185" i="18"/>
  <c r="J185" i="18"/>
  <c r="H185" i="18"/>
  <c r="E185" i="18"/>
  <c r="C185" i="18"/>
  <c r="G185" i="18"/>
  <c r="I185" i="18" s="1"/>
  <c r="F185" i="18"/>
  <c r="D185" i="18"/>
  <c r="I83" i="18"/>
  <c r="E83" i="18"/>
  <c r="B83" i="18"/>
  <c r="H83" i="18"/>
  <c r="G83" i="18"/>
  <c r="C83" i="18"/>
  <c r="F83" i="18"/>
  <c r="J83" i="18"/>
  <c r="D83" i="18"/>
  <c r="H149" i="18"/>
  <c r="B149" i="18"/>
  <c r="E149" i="18"/>
  <c r="D149" i="18"/>
  <c r="G149" i="18"/>
  <c r="I149" i="18" s="1"/>
  <c r="C149" i="18"/>
  <c r="F149" i="18"/>
  <c r="J149" i="18"/>
  <c r="C484" i="18"/>
  <c r="E484" i="18"/>
  <c r="G484" i="18"/>
  <c r="H484" i="18"/>
  <c r="F484" i="18"/>
  <c r="B484" i="18"/>
  <c r="D484" i="18"/>
  <c r="I484" i="18"/>
  <c r="J484" i="18"/>
  <c r="B219" i="18"/>
  <c r="E219" i="18"/>
  <c r="H219" i="18"/>
  <c r="F219" i="18"/>
  <c r="G219" i="18"/>
  <c r="I219" i="18" s="1"/>
  <c r="J219" i="18"/>
  <c r="C219" i="18"/>
  <c r="D219" i="18"/>
  <c r="F391" i="18"/>
  <c r="G391" i="18"/>
  <c r="E391" i="18"/>
  <c r="C391" i="18"/>
  <c r="B391" i="18"/>
  <c r="D391" i="18"/>
  <c r="H391" i="18"/>
  <c r="J391" i="18"/>
  <c r="I391" i="18"/>
  <c r="G228" i="18"/>
  <c r="H228" i="18"/>
  <c r="F228" i="18"/>
  <c r="E228" i="18"/>
  <c r="B228" i="18"/>
  <c r="D228" i="18"/>
  <c r="I228" i="18"/>
  <c r="J228" i="18"/>
  <c r="C228" i="18"/>
  <c r="B491" i="18"/>
  <c r="F491" i="18"/>
  <c r="C491" i="18"/>
  <c r="J491" i="18"/>
  <c r="I491" i="18"/>
  <c r="H491" i="18"/>
  <c r="G491" i="18"/>
  <c r="E491" i="18"/>
  <c r="D491" i="18"/>
  <c r="C215" i="18"/>
  <c r="H215" i="18"/>
  <c r="B215" i="18"/>
  <c r="G215" i="18"/>
  <c r="I215" i="18" s="1"/>
  <c r="D215" i="18"/>
  <c r="F215" i="18"/>
  <c r="E215" i="18"/>
  <c r="J215" i="18"/>
  <c r="G334" i="18"/>
  <c r="F334" i="18"/>
  <c r="J334" i="18"/>
  <c r="H334" i="18"/>
  <c r="B334" i="18"/>
  <c r="D334" i="18"/>
  <c r="C334" i="18"/>
  <c r="I334" i="18"/>
  <c r="E334" i="18"/>
  <c r="D146" i="18"/>
  <c r="I146" i="18"/>
  <c r="H146" i="18"/>
  <c r="C146" i="18"/>
  <c r="J146" i="18"/>
  <c r="G146" i="18"/>
  <c r="B146" i="18"/>
  <c r="F146" i="18"/>
  <c r="E146" i="18"/>
  <c r="H119" i="18"/>
  <c r="I119" i="18" s="1"/>
  <c r="E119" i="18"/>
  <c r="G119" i="18"/>
  <c r="C119" i="18"/>
  <c r="B119" i="18"/>
  <c r="F119" i="18"/>
  <c r="D119" i="18"/>
  <c r="J119" i="18"/>
  <c r="J279" i="18"/>
  <c r="F279" i="18"/>
  <c r="H279" i="18"/>
  <c r="I279" i="18" s="1"/>
  <c r="D279" i="18"/>
  <c r="B279" i="18"/>
  <c r="G279" i="18"/>
  <c r="E279" i="18"/>
  <c r="C279" i="18"/>
  <c r="J457" i="18"/>
  <c r="C457" i="18"/>
  <c r="B457" i="18"/>
  <c r="I457" i="18"/>
  <c r="H457" i="18"/>
  <c r="D457" i="18"/>
  <c r="E457" i="18"/>
  <c r="F457" i="18"/>
  <c r="G457" i="18"/>
  <c r="G313" i="18"/>
  <c r="D313" i="18"/>
  <c r="F313" i="18"/>
  <c r="E313" i="18"/>
  <c r="I313" i="18"/>
  <c r="H313" i="18"/>
  <c r="B313" i="18"/>
  <c r="C313" i="18"/>
  <c r="J313" i="18"/>
  <c r="J306" i="18"/>
  <c r="B306" i="18"/>
  <c r="G306" i="18"/>
  <c r="C306" i="18"/>
  <c r="D306" i="18"/>
  <c r="I306" i="18"/>
  <c r="E306" i="18"/>
  <c r="H306" i="18"/>
  <c r="F306" i="18"/>
  <c r="G158" i="18"/>
  <c r="H158" i="18"/>
  <c r="I158" i="18"/>
  <c r="J158" i="18"/>
  <c r="B158" i="18"/>
  <c r="C158" i="18"/>
  <c r="F158" i="18"/>
  <c r="D158" i="18"/>
  <c r="E158" i="18"/>
  <c r="I347" i="18"/>
  <c r="E347" i="18"/>
  <c r="J347" i="18"/>
  <c r="G347" i="18"/>
  <c r="F347" i="18"/>
  <c r="D347" i="18"/>
  <c r="H347" i="18"/>
  <c r="B347" i="18"/>
  <c r="C347" i="18"/>
  <c r="D496" i="18"/>
  <c r="J496" i="18"/>
  <c r="E496" i="18"/>
  <c r="I496" i="18"/>
  <c r="F496" i="18"/>
  <c r="B496" i="18"/>
  <c r="G496" i="18"/>
  <c r="C496" i="18"/>
  <c r="H496" i="18"/>
  <c r="D400" i="18"/>
  <c r="G400" i="18"/>
  <c r="B400" i="18"/>
  <c r="I400" i="18"/>
  <c r="H400" i="18"/>
  <c r="J400" i="18"/>
  <c r="F400" i="18"/>
  <c r="C400" i="18"/>
  <c r="E400" i="18"/>
  <c r="C196" i="18"/>
  <c r="G196" i="18"/>
  <c r="B196" i="18"/>
  <c r="F196" i="18"/>
  <c r="J196" i="18"/>
  <c r="E196" i="18"/>
  <c r="H196" i="18"/>
  <c r="I196" i="18"/>
  <c r="D196" i="18"/>
  <c r="H217" i="18"/>
  <c r="J217" i="18"/>
  <c r="E217" i="18"/>
  <c r="D217" i="18"/>
  <c r="B217" i="18"/>
  <c r="G217" i="18"/>
  <c r="F217" i="18"/>
  <c r="I217" i="18"/>
  <c r="C217" i="18"/>
  <c r="B436" i="18"/>
  <c r="H436" i="18"/>
  <c r="G436" i="18"/>
  <c r="I436" i="18"/>
  <c r="J436" i="18"/>
  <c r="F436" i="18"/>
  <c r="D436" i="18"/>
  <c r="C436" i="18"/>
  <c r="E436" i="18"/>
  <c r="C440" i="18"/>
  <c r="B440" i="18"/>
  <c r="J440" i="18"/>
  <c r="H440" i="18"/>
  <c r="F440" i="18"/>
  <c r="E440" i="18"/>
  <c r="G440" i="18"/>
  <c r="I440" i="18"/>
  <c r="D440" i="18"/>
  <c r="E272" i="18"/>
  <c r="J272" i="18"/>
  <c r="D272" i="18"/>
  <c r="H272" i="18"/>
  <c r="B272" i="18"/>
  <c r="G272" i="18"/>
  <c r="I272" i="18" s="1"/>
  <c r="F272" i="18"/>
  <c r="C272" i="18"/>
  <c r="I329" i="18"/>
  <c r="J329" i="18"/>
  <c r="C329" i="18"/>
  <c r="E329" i="18"/>
  <c r="H329" i="18"/>
  <c r="B329" i="18"/>
  <c r="G329" i="18"/>
  <c r="D329" i="18"/>
  <c r="F329" i="18"/>
  <c r="E423" i="18"/>
  <c r="C423" i="18"/>
  <c r="D423" i="18"/>
  <c r="B423" i="18"/>
  <c r="G423" i="18"/>
  <c r="H423" i="18"/>
  <c r="F423" i="18"/>
  <c r="J423" i="18"/>
  <c r="I423" i="18"/>
  <c r="H466" i="18"/>
  <c r="B466" i="18"/>
  <c r="C466" i="18"/>
  <c r="I466" i="18"/>
  <c r="J466" i="18"/>
  <c r="D466" i="18"/>
  <c r="G466" i="18"/>
  <c r="F466" i="18"/>
  <c r="E466" i="18"/>
  <c r="D378" i="18"/>
  <c r="I378" i="18"/>
  <c r="F378" i="18"/>
  <c r="B378" i="18"/>
  <c r="E378" i="18"/>
  <c r="H378" i="18"/>
  <c r="J378" i="18"/>
  <c r="C378" i="18"/>
  <c r="G378" i="18"/>
  <c r="G243" i="18"/>
  <c r="D243" i="18"/>
  <c r="E243" i="18"/>
  <c r="C243" i="18"/>
  <c r="B243" i="18"/>
  <c r="F243" i="18"/>
  <c r="H243" i="18"/>
  <c r="I243" i="18" s="1"/>
  <c r="J243" i="18"/>
  <c r="G354" i="18"/>
  <c r="I354" i="18"/>
  <c r="E354" i="18"/>
  <c r="B354" i="18"/>
  <c r="H354" i="18"/>
  <c r="J354" i="18"/>
  <c r="F354" i="18"/>
  <c r="C354" i="18"/>
  <c r="D354" i="18"/>
  <c r="F478" i="18"/>
  <c r="J478" i="18"/>
  <c r="I478" i="18"/>
  <c r="H478" i="18"/>
  <c r="G478" i="18"/>
  <c r="E478" i="18"/>
  <c r="D478" i="18"/>
  <c r="C478" i="18"/>
  <c r="B478" i="18"/>
  <c r="B230" i="18"/>
  <c r="E230" i="18"/>
  <c r="H230" i="18"/>
  <c r="C230" i="18"/>
  <c r="D230" i="18"/>
  <c r="J230" i="18"/>
  <c r="G230" i="18"/>
  <c r="I230" i="18" s="1"/>
  <c r="F230" i="18"/>
  <c r="H432" i="18"/>
  <c r="F432" i="18"/>
  <c r="D432" i="18"/>
  <c r="C432" i="18"/>
  <c r="E432" i="18"/>
  <c r="J432" i="18"/>
  <c r="I432" i="18"/>
  <c r="G432" i="18"/>
  <c r="B432" i="18"/>
  <c r="D390" i="18"/>
  <c r="C390" i="18"/>
  <c r="B390" i="18"/>
  <c r="F390" i="18"/>
  <c r="G390" i="18"/>
  <c r="I390" i="18"/>
  <c r="H390" i="18"/>
  <c r="J390" i="18"/>
  <c r="E390" i="18"/>
  <c r="B295" i="18"/>
  <c r="J295" i="18"/>
  <c r="G295" i="18"/>
  <c r="F295" i="18"/>
  <c r="E295" i="18"/>
  <c r="C295" i="18"/>
  <c r="D295" i="18"/>
  <c r="I295" i="18"/>
  <c r="H295" i="18"/>
  <c r="J198" i="18"/>
  <c r="C198" i="18"/>
  <c r="D198" i="18"/>
  <c r="G198" i="18"/>
  <c r="E198" i="18"/>
  <c r="F198" i="18"/>
  <c r="H198" i="18"/>
  <c r="I198" i="18" s="1"/>
  <c r="B198" i="18"/>
  <c r="H275" i="18"/>
  <c r="C275" i="18"/>
  <c r="F275" i="18"/>
  <c r="D275" i="18"/>
  <c r="J275" i="18"/>
  <c r="E275" i="18"/>
  <c r="G275" i="18"/>
  <c r="I275" i="18" s="1"/>
  <c r="B275" i="18"/>
  <c r="B386" i="18"/>
  <c r="H386" i="18"/>
  <c r="D386" i="18"/>
  <c r="G386" i="18"/>
  <c r="I386" i="18"/>
  <c r="F386" i="18"/>
  <c r="C386" i="18"/>
  <c r="J386" i="18"/>
  <c r="E386" i="18"/>
  <c r="F72" i="18"/>
  <c r="G72" i="18"/>
  <c r="E72" i="18"/>
  <c r="C72" i="18"/>
  <c r="J72" i="18"/>
  <c r="H72" i="18"/>
  <c r="B72" i="18"/>
  <c r="I72" i="18"/>
  <c r="D72" i="18"/>
  <c r="J152" i="18"/>
  <c r="D152" i="18"/>
  <c r="H152" i="18"/>
  <c r="F152" i="18"/>
  <c r="E152" i="18"/>
  <c r="C152" i="18"/>
  <c r="G152" i="18"/>
  <c r="I152" i="18" s="1"/>
  <c r="B152" i="18"/>
  <c r="D259" i="18"/>
  <c r="E259" i="18"/>
  <c r="H259" i="18"/>
  <c r="B259" i="18"/>
  <c r="F259" i="18"/>
  <c r="C259" i="18"/>
  <c r="J259" i="18"/>
  <c r="G259" i="18"/>
  <c r="I259" i="18" s="1"/>
  <c r="F177" i="18"/>
  <c r="E177" i="18"/>
  <c r="G177" i="18"/>
  <c r="H177" i="18"/>
  <c r="I177" i="18" s="1"/>
  <c r="B177" i="18"/>
  <c r="D177" i="18"/>
  <c r="C177" i="18"/>
  <c r="J177" i="18"/>
  <c r="G499" i="18"/>
  <c r="J499" i="18"/>
  <c r="C499" i="18"/>
  <c r="H499" i="18"/>
  <c r="F499" i="18"/>
  <c r="E499" i="18"/>
  <c r="D499" i="18"/>
  <c r="I499" i="18"/>
  <c r="B499" i="18"/>
  <c r="I203" i="18"/>
  <c r="E203" i="18"/>
  <c r="F203" i="18"/>
  <c r="H203" i="18"/>
  <c r="C203" i="18"/>
  <c r="J203" i="18"/>
  <c r="G203" i="18"/>
  <c r="B203" i="18"/>
  <c r="D203" i="18"/>
  <c r="E428" i="18"/>
  <c r="H428" i="18"/>
  <c r="G428" i="18"/>
  <c r="I428" i="18"/>
  <c r="B428" i="18"/>
  <c r="F428" i="18"/>
  <c r="D428" i="18"/>
  <c r="C428" i="18"/>
  <c r="J428" i="18"/>
  <c r="F300" i="18"/>
  <c r="E300" i="18"/>
  <c r="H300" i="18"/>
  <c r="D300" i="18"/>
  <c r="C300" i="18"/>
  <c r="B300" i="18"/>
  <c r="I300" i="18"/>
  <c r="G300" i="18"/>
  <c r="J300" i="18"/>
  <c r="F424" i="18"/>
  <c r="J424" i="18"/>
  <c r="I424" i="18"/>
  <c r="H424" i="18"/>
  <c r="G424" i="18"/>
  <c r="E424" i="18"/>
  <c r="D424" i="18"/>
  <c r="C424" i="18"/>
  <c r="B424" i="18"/>
  <c r="F116" i="18"/>
  <c r="J116" i="18"/>
  <c r="B116" i="18"/>
  <c r="H116" i="18"/>
  <c r="G116" i="18"/>
  <c r="C116" i="18"/>
  <c r="E116" i="18"/>
  <c r="D116" i="18"/>
  <c r="I116" i="18"/>
  <c r="E108" i="18"/>
  <c r="F108" i="18"/>
  <c r="B108" i="18"/>
  <c r="J108" i="18"/>
  <c r="C108" i="18"/>
  <c r="H108" i="18"/>
  <c r="I108" i="18" s="1"/>
  <c r="G108" i="18"/>
  <c r="D108" i="18"/>
  <c r="D405" i="18"/>
  <c r="G405" i="18"/>
  <c r="C405" i="18"/>
  <c r="E405" i="18"/>
  <c r="J405" i="18"/>
  <c r="B405" i="18"/>
  <c r="I405" i="18"/>
  <c r="F405" i="18"/>
  <c r="H405" i="18"/>
  <c r="J79" i="18"/>
  <c r="I79" i="18"/>
  <c r="E79" i="18"/>
  <c r="B79" i="18"/>
  <c r="D79" i="18"/>
  <c r="H79" i="18"/>
  <c r="F79" i="18"/>
  <c r="C79" i="18"/>
  <c r="G79" i="18"/>
  <c r="F479" i="18"/>
  <c r="G479" i="18"/>
  <c r="J479" i="18"/>
  <c r="I479" i="18"/>
  <c r="H479" i="18"/>
  <c r="B479" i="18"/>
  <c r="E479" i="18"/>
  <c r="C479" i="18"/>
  <c r="D479" i="18"/>
  <c r="D175" i="18"/>
  <c r="H175" i="18"/>
  <c r="E175" i="18"/>
  <c r="B175" i="18"/>
  <c r="G175" i="18"/>
  <c r="F175" i="18"/>
  <c r="J175" i="18"/>
  <c r="C175" i="18"/>
  <c r="I175" i="18"/>
  <c r="F167" i="18"/>
  <c r="D167" i="18"/>
  <c r="H167" i="18"/>
  <c r="C167" i="18"/>
  <c r="E167" i="18"/>
  <c r="G167" i="18"/>
  <c r="J167" i="18"/>
  <c r="B167" i="18"/>
  <c r="I167" i="18"/>
  <c r="E265" i="18"/>
  <c r="H265" i="18"/>
  <c r="D265" i="18"/>
  <c r="B265" i="18"/>
  <c r="C265" i="18"/>
  <c r="G265" i="18"/>
  <c r="I265" i="18" s="1"/>
  <c r="F265" i="18"/>
  <c r="J265" i="18"/>
  <c r="E188" i="18"/>
  <c r="F188" i="18"/>
  <c r="D188" i="18"/>
  <c r="J188" i="18"/>
  <c r="H188" i="18"/>
  <c r="C188" i="18"/>
  <c r="B188" i="18"/>
  <c r="G188" i="18"/>
  <c r="I188" i="18" s="1"/>
  <c r="G304" i="18"/>
  <c r="C304" i="18"/>
  <c r="J304" i="18"/>
  <c r="H304" i="18"/>
  <c r="E304" i="18"/>
  <c r="I304" i="18"/>
  <c r="B304" i="18"/>
  <c r="D304" i="18"/>
  <c r="F304" i="18"/>
  <c r="F404" i="18"/>
  <c r="I404" i="18"/>
  <c r="B404" i="18"/>
  <c r="J404" i="18"/>
  <c r="C404" i="18"/>
  <c r="G404" i="18"/>
  <c r="E404" i="18"/>
  <c r="H404" i="18"/>
  <c r="D404" i="18"/>
  <c r="B419" i="18"/>
  <c r="E419" i="18"/>
  <c r="H419" i="18"/>
  <c r="J419" i="18"/>
  <c r="C419" i="18"/>
  <c r="G419" i="18"/>
  <c r="F419" i="18"/>
  <c r="D419" i="18"/>
  <c r="I419" i="18"/>
  <c r="C429" i="18"/>
  <c r="I429" i="18"/>
  <c r="E429" i="18"/>
  <c r="J429" i="18"/>
  <c r="B429" i="18"/>
  <c r="F429" i="18"/>
  <c r="G429" i="18"/>
  <c r="D429" i="18"/>
  <c r="H429" i="18"/>
  <c r="H380" i="18"/>
  <c r="D380" i="18"/>
  <c r="C380" i="18"/>
  <c r="J380" i="18"/>
  <c r="I380" i="18"/>
  <c r="F380" i="18"/>
  <c r="E380" i="18"/>
  <c r="G380" i="18"/>
  <c r="B380" i="18"/>
  <c r="D208" i="18"/>
  <c r="F208" i="18"/>
  <c r="H208" i="18"/>
  <c r="C208" i="18"/>
  <c r="E208" i="18"/>
  <c r="G208" i="18"/>
  <c r="I208" i="18" s="1"/>
  <c r="J208" i="18"/>
  <c r="B208" i="18"/>
  <c r="J335" i="18"/>
  <c r="D335" i="18"/>
  <c r="G335" i="18"/>
  <c r="E335" i="18"/>
  <c r="B335" i="18"/>
  <c r="I335" i="18"/>
  <c r="C335" i="18"/>
  <c r="F335" i="18"/>
  <c r="H335" i="18"/>
  <c r="G173" i="18"/>
  <c r="B173" i="18"/>
  <c r="H173" i="18"/>
  <c r="I173" i="18" s="1"/>
  <c r="E173" i="18"/>
  <c r="D173" i="18"/>
  <c r="C173" i="18"/>
  <c r="J173" i="18"/>
  <c r="F173" i="18"/>
  <c r="H206" i="18"/>
  <c r="J206" i="18"/>
  <c r="C206" i="18"/>
  <c r="F206" i="18"/>
  <c r="B206" i="18"/>
  <c r="D206" i="18"/>
  <c r="G206" i="18"/>
  <c r="I206" i="18" s="1"/>
  <c r="E206" i="18"/>
  <c r="B171" i="18"/>
  <c r="G171" i="18"/>
  <c r="F171" i="18"/>
  <c r="D171" i="18"/>
  <c r="H171" i="18"/>
  <c r="I171" i="18" s="1"/>
  <c r="J171" i="18"/>
  <c r="C171" i="18"/>
  <c r="E171" i="18"/>
  <c r="F470" i="18"/>
  <c r="G470" i="18"/>
  <c r="D470" i="18"/>
  <c r="C470" i="18"/>
  <c r="H470" i="18"/>
  <c r="B470" i="18"/>
  <c r="J470" i="18"/>
  <c r="I470" i="18"/>
  <c r="E470" i="18"/>
  <c r="G409" i="18"/>
  <c r="F409" i="18"/>
  <c r="B409" i="18"/>
  <c r="E409" i="18"/>
  <c r="I409" i="18"/>
  <c r="J409" i="18"/>
  <c r="D409" i="18"/>
  <c r="C409" i="18"/>
  <c r="H409" i="18"/>
  <c r="C190" i="18"/>
  <c r="G190" i="18"/>
  <c r="H190" i="18"/>
  <c r="D190" i="18"/>
  <c r="E190" i="18"/>
  <c r="B190" i="18"/>
  <c r="J190" i="18"/>
  <c r="F190" i="18"/>
  <c r="I190" i="18"/>
  <c r="C123" i="18"/>
  <c r="H123" i="18"/>
  <c r="E123" i="18"/>
  <c r="D123" i="18"/>
  <c r="B123" i="18"/>
  <c r="J123" i="18"/>
  <c r="F123" i="18"/>
  <c r="G123" i="18"/>
  <c r="I123" i="18" s="1"/>
  <c r="G357" i="18"/>
  <c r="C357" i="18"/>
  <c r="I357" i="18"/>
  <c r="E357" i="18"/>
  <c r="H357" i="18"/>
  <c r="J357" i="18"/>
  <c r="D357" i="18"/>
  <c r="B357" i="18"/>
  <c r="F357" i="18"/>
  <c r="J441" i="18"/>
  <c r="F441" i="18"/>
  <c r="D441" i="18"/>
  <c r="H441" i="18"/>
  <c r="C441" i="18"/>
  <c r="I441" i="18"/>
  <c r="B441" i="18"/>
  <c r="G441" i="18"/>
  <c r="E441" i="18"/>
  <c r="D71" i="18"/>
  <c r="H71" i="18"/>
  <c r="I71" i="18" s="1"/>
  <c r="C71" i="18"/>
  <c r="G71" i="18"/>
  <c r="B71" i="18"/>
  <c r="F71" i="18"/>
  <c r="J71" i="18"/>
  <c r="E71" i="18"/>
  <c r="G448" i="18"/>
  <c r="I448" i="18"/>
  <c r="E448" i="18"/>
  <c r="B448" i="18"/>
  <c r="J448" i="18"/>
  <c r="C448" i="18"/>
  <c r="H448" i="18"/>
  <c r="D448" i="18"/>
  <c r="F448" i="18"/>
  <c r="E288" i="18"/>
  <c r="D288" i="18"/>
  <c r="B288" i="18"/>
  <c r="C288" i="18"/>
  <c r="J288" i="18"/>
  <c r="G288" i="18"/>
  <c r="I288" i="18" s="1"/>
  <c r="H288" i="18"/>
  <c r="F288" i="18"/>
  <c r="F352" i="18"/>
  <c r="I352" i="18"/>
  <c r="C352" i="18"/>
  <c r="D352" i="18"/>
  <c r="H352" i="18"/>
  <c r="J352" i="18"/>
  <c r="B352" i="18"/>
  <c r="G352" i="18"/>
  <c r="E352" i="18"/>
  <c r="F86" i="18"/>
  <c r="G86" i="18"/>
  <c r="I86" i="18" s="1"/>
  <c r="D86" i="18"/>
  <c r="H86" i="18"/>
  <c r="B86" i="18"/>
  <c r="E86" i="18"/>
  <c r="C86" i="18"/>
  <c r="J86" i="18"/>
  <c r="G312" i="18"/>
  <c r="C312" i="18"/>
  <c r="I312" i="18"/>
  <c r="H312" i="18"/>
  <c r="B312" i="18"/>
  <c r="D312" i="18"/>
  <c r="F312" i="18"/>
  <c r="J312" i="18"/>
  <c r="E312" i="18"/>
  <c r="E125" i="18"/>
  <c r="H125" i="18"/>
  <c r="C125" i="18"/>
  <c r="J125" i="18"/>
  <c r="D125" i="18"/>
  <c r="B125" i="18"/>
  <c r="G125" i="18"/>
  <c r="I125" i="18" s="1"/>
  <c r="F125" i="18"/>
  <c r="G150" i="18"/>
  <c r="C150" i="18"/>
  <c r="F150" i="18"/>
  <c r="D150" i="18"/>
  <c r="B150" i="18"/>
  <c r="H150" i="18"/>
  <c r="E150" i="18"/>
  <c r="J150" i="18"/>
  <c r="I150" i="18"/>
  <c r="F449" i="18"/>
  <c r="B449" i="18"/>
  <c r="G449" i="18"/>
  <c r="E449" i="18"/>
  <c r="J449" i="18"/>
  <c r="C449" i="18"/>
  <c r="D449" i="18"/>
  <c r="H449" i="18"/>
  <c r="I449" i="18"/>
  <c r="B93" i="18"/>
  <c r="G93" i="18"/>
  <c r="J93" i="18"/>
  <c r="F93" i="18"/>
  <c r="E93" i="18"/>
  <c r="I93" i="18"/>
  <c r="C93" i="18"/>
  <c r="H93" i="18"/>
  <c r="D93" i="18"/>
  <c r="B326" i="18"/>
  <c r="E326" i="18"/>
  <c r="I326" i="18"/>
  <c r="H326" i="18"/>
  <c r="G326" i="18"/>
  <c r="J326" i="18"/>
  <c r="F326" i="18"/>
  <c r="D326" i="18"/>
  <c r="C326" i="18"/>
  <c r="D244" i="18"/>
  <c r="G244" i="18"/>
  <c r="H244" i="18"/>
  <c r="E244" i="18"/>
  <c r="C244" i="18"/>
  <c r="I244" i="18"/>
  <c r="F244" i="18"/>
  <c r="B244" i="18"/>
  <c r="J244" i="18"/>
  <c r="F290" i="18"/>
  <c r="J290" i="18"/>
  <c r="H290" i="18"/>
  <c r="G290" i="18"/>
  <c r="E290" i="18"/>
  <c r="D290" i="18"/>
  <c r="C290" i="18"/>
  <c r="B290" i="18"/>
  <c r="I290" i="18"/>
  <c r="J111" i="18"/>
  <c r="E111" i="18"/>
  <c r="F111" i="18"/>
  <c r="H111" i="18"/>
  <c r="C111" i="18"/>
  <c r="I111" i="18"/>
  <c r="D111" i="18"/>
  <c r="B111" i="18"/>
  <c r="G111" i="18"/>
  <c r="F443" i="18"/>
  <c r="J443" i="18"/>
  <c r="I443" i="18"/>
  <c r="H443" i="18"/>
  <c r="G443" i="18"/>
  <c r="E443" i="18"/>
  <c r="D443" i="18"/>
  <c r="C443" i="18"/>
  <c r="B443" i="18"/>
  <c r="D128" i="18"/>
  <c r="E128" i="18"/>
  <c r="J128" i="18"/>
  <c r="B128" i="18"/>
  <c r="F128" i="18"/>
  <c r="C128" i="18"/>
  <c r="G128" i="18"/>
  <c r="I128" i="18"/>
  <c r="H128" i="18"/>
  <c r="B271" i="18"/>
  <c r="E271" i="18"/>
  <c r="H271" i="18"/>
  <c r="F271" i="18"/>
  <c r="J271" i="18"/>
  <c r="C271" i="18"/>
  <c r="D271" i="18"/>
  <c r="G271" i="18"/>
  <c r="I271" i="18" s="1"/>
  <c r="B370" i="18"/>
  <c r="E370" i="18"/>
  <c r="G370" i="18"/>
  <c r="D370" i="18"/>
  <c r="C370" i="18"/>
  <c r="F370" i="18"/>
  <c r="I370" i="18"/>
  <c r="H370" i="18"/>
  <c r="J370" i="18"/>
  <c r="G383" i="18"/>
  <c r="I383" i="18"/>
  <c r="D383" i="18"/>
  <c r="C383" i="18"/>
  <c r="B383" i="18"/>
  <c r="J383" i="18"/>
  <c r="E383" i="18"/>
  <c r="H383" i="18"/>
  <c r="F383" i="18"/>
  <c r="J138" i="18"/>
  <c r="C138" i="18"/>
  <c r="G138" i="18"/>
  <c r="I138" i="18" s="1"/>
  <c r="F138" i="18"/>
  <c r="D138" i="18"/>
  <c r="E138" i="18"/>
  <c r="B138" i="18"/>
  <c r="H138" i="18"/>
  <c r="J461" i="18"/>
  <c r="C461" i="18"/>
  <c r="B461" i="18"/>
  <c r="G461" i="18"/>
  <c r="E461" i="18"/>
  <c r="I461" i="18"/>
  <c r="D461" i="18"/>
  <c r="F461" i="18"/>
  <c r="H461" i="18"/>
  <c r="D120" i="18"/>
  <c r="G120" i="18"/>
  <c r="H120" i="18"/>
  <c r="I120" i="18" s="1"/>
  <c r="E120" i="18"/>
  <c r="B120" i="18"/>
  <c r="J120" i="18"/>
  <c r="C120" i="18"/>
  <c r="F120" i="18"/>
  <c r="E131" i="18"/>
  <c r="G131" i="18"/>
  <c r="I131" i="18" s="1"/>
  <c r="C131" i="18"/>
  <c r="H131" i="18"/>
  <c r="F131" i="18"/>
  <c r="D131" i="18"/>
  <c r="B131" i="18"/>
  <c r="J131" i="18"/>
  <c r="G452" i="18"/>
  <c r="J452" i="18"/>
  <c r="D452" i="18"/>
  <c r="E452" i="18"/>
  <c r="B452" i="18"/>
  <c r="F452" i="18"/>
  <c r="I452" i="18"/>
  <c r="H452" i="18"/>
  <c r="C452" i="18"/>
  <c r="C285" i="18"/>
  <c r="B285" i="18"/>
  <c r="F285" i="18"/>
  <c r="H285" i="18"/>
  <c r="J285" i="18"/>
  <c r="G285" i="18"/>
  <c r="I285" i="18" s="1"/>
  <c r="E285" i="18"/>
  <c r="D285" i="18"/>
  <c r="H371" i="18"/>
  <c r="D371" i="18"/>
  <c r="I371" i="18"/>
  <c r="B371" i="18"/>
  <c r="J371" i="18"/>
  <c r="F371" i="18"/>
  <c r="E371" i="18"/>
  <c r="C371" i="18"/>
  <c r="G371" i="18"/>
  <c r="F297" i="18"/>
  <c r="I297" i="18"/>
  <c r="G297" i="18"/>
  <c r="D297" i="18"/>
  <c r="B297" i="18"/>
  <c r="J297" i="18"/>
  <c r="H297" i="18"/>
  <c r="E297" i="18"/>
  <c r="C297" i="18"/>
  <c r="C74" i="18"/>
  <c r="F74" i="18"/>
  <c r="D74" i="18"/>
  <c r="B74" i="18"/>
  <c r="J74" i="18"/>
  <c r="I74" i="18"/>
  <c r="H74" i="18"/>
  <c r="G74" i="18"/>
  <c r="E74" i="18"/>
  <c r="B245" i="18"/>
  <c r="J245" i="18"/>
  <c r="D245" i="18"/>
  <c r="G245" i="18"/>
  <c r="F245" i="18"/>
  <c r="E245" i="18"/>
  <c r="H245" i="18"/>
  <c r="I245" i="18" s="1"/>
  <c r="C245" i="18"/>
  <c r="E416" i="18"/>
  <c r="F416" i="18"/>
  <c r="B416" i="18"/>
  <c r="G416" i="18"/>
  <c r="D416" i="18"/>
  <c r="H416" i="18"/>
  <c r="C416" i="18"/>
  <c r="J416" i="18"/>
  <c r="I416" i="18"/>
  <c r="C341" i="18"/>
  <c r="F341" i="18"/>
  <c r="D341" i="18"/>
  <c r="G341" i="18"/>
  <c r="J341" i="18"/>
  <c r="B341" i="18"/>
  <c r="E341" i="18"/>
  <c r="I341" i="18"/>
  <c r="H341" i="18"/>
  <c r="G369" i="18"/>
  <c r="H369" i="18"/>
  <c r="B369" i="18"/>
  <c r="E369" i="18"/>
  <c r="D369" i="18"/>
  <c r="C369" i="18"/>
  <c r="I369" i="18"/>
  <c r="J369" i="18"/>
  <c r="F369" i="18"/>
  <c r="D500" i="18"/>
  <c r="C500" i="18"/>
  <c r="H500" i="18"/>
  <c r="E500" i="18"/>
  <c r="I500" i="18"/>
  <c r="F500" i="18"/>
  <c r="J500" i="18"/>
  <c r="G500" i="18"/>
  <c r="B500" i="18"/>
  <c r="J289" i="18"/>
  <c r="E289" i="18"/>
  <c r="C289" i="18"/>
  <c r="F289" i="18"/>
  <c r="H289" i="18"/>
  <c r="G289" i="18"/>
  <c r="I289" i="18" s="1"/>
  <c r="D289" i="18"/>
  <c r="B289" i="18"/>
  <c r="F384" i="18"/>
  <c r="H384" i="18"/>
  <c r="E384" i="18"/>
  <c r="C384" i="18"/>
  <c r="B384" i="18"/>
  <c r="J384" i="18"/>
  <c r="I384" i="18"/>
  <c r="G384" i="18"/>
  <c r="D384" i="18"/>
  <c r="B348" i="18"/>
  <c r="E348" i="18"/>
  <c r="G348" i="18"/>
  <c r="J348" i="18"/>
  <c r="F348" i="18"/>
  <c r="H348" i="18"/>
  <c r="I348" i="18"/>
  <c r="C348" i="18"/>
  <c r="D348" i="18"/>
  <c r="H242" i="18"/>
  <c r="J242" i="18"/>
  <c r="B242" i="18"/>
  <c r="D242" i="18"/>
  <c r="E242" i="18"/>
  <c r="C242" i="18"/>
  <c r="F242" i="18"/>
  <c r="G242" i="18"/>
  <c r="I242" i="18" s="1"/>
  <c r="E366" i="18"/>
  <c r="G366" i="18"/>
  <c r="H366" i="18"/>
  <c r="D366" i="18"/>
  <c r="J366" i="18"/>
  <c r="C366" i="18"/>
  <c r="I366" i="18"/>
  <c r="F366" i="18"/>
  <c r="B366" i="18"/>
  <c r="D503" i="18"/>
  <c r="B503" i="18"/>
  <c r="I503" i="18"/>
  <c r="H503" i="18"/>
  <c r="C503" i="18"/>
  <c r="E503" i="18"/>
  <c r="F503" i="18"/>
  <c r="J503" i="18"/>
  <c r="G503" i="18"/>
  <c r="J324" i="18"/>
  <c r="C324" i="18"/>
  <c r="H324" i="18"/>
  <c r="E324" i="18"/>
  <c r="G324" i="18"/>
  <c r="I324" i="18"/>
  <c r="B324" i="18"/>
  <c r="D324" i="18"/>
  <c r="F324" i="18"/>
  <c r="E204" i="18"/>
  <c r="G204" i="18"/>
  <c r="B204" i="18"/>
  <c r="H204" i="18"/>
  <c r="I204" i="18" s="1"/>
  <c r="C204" i="18"/>
  <c r="D204" i="18"/>
  <c r="J204" i="18"/>
  <c r="F204" i="18"/>
  <c r="B421" i="18"/>
  <c r="E421" i="18"/>
  <c r="H421" i="18"/>
  <c r="J421" i="18"/>
  <c r="I421" i="18"/>
  <c r="D421" i="18"/>
  <c r="F421" i="18"/>
  <c r="G421" i="18"/>
  <c r="C421" i="18"/>
  <c r="H372" i="18"/>
  <c r="I372" i="18"/>
  <c r="C372" i="18"/>
  <c r="D372" i="18"/>
  <c r="J372" i="18"/>
  <c r="G372" i="18"/>
  <c r="B372" i="18"/>
  <c r="E372" i="18"/>
  <c r="F372" i="18"/>
  <c r="D435" i="18"/>
  <c r="C435" i="18"/>
  <c r="J435" i="18"/>
  <c r="G435" i="18"/>
  <c r="I435" i="18"/>
  <c r="H435" i="18"/>
  <c r="E435" i="18"/>
  <c r="F435" i="18"/>
  <c r="B435" i="18"/>
  <c r="E331" i="18"/>
  <c r="H331" i="18"/>
  <c r="B331" i="18"/>
  <c r="F331" i="18"/>
  <c r="J331" i="18"/>
  <c r="G331" i="18"/>
  <c r="C331" i="18"/>
  <c r="D331" i="18"/>
  <c r="I331" i="18"/>
  <c r="B387" i="18"/>
  <c r="D387" i="18"/>
  <c r="F387" i="18"/>
  <c r="J387" i="18"/>
  <c r="H387" i="18"/>
  <c r="G387" i="18"/>
  <c r="E387" i="18"/>
  <c r="C387" i="18"/>
  <c r="I387" i="18"/>
  <c r="C393" i="18"/>
  <c r="J393" i="18"/>
  <c r="E393" i="18"/>
  <c r="H393" i="18"/>
  <c r="F393" i="18"/>
  <c r="B393" i="18"/>
  <c r="I393" i="18"/>
  <c r="G393" i="18"/>
  <c r="D393" i="18"/>
  <c r="C323" i="18"/>
  <c r="H323" i="18"/>
  <c r="J323" i="18"/>
  <c r="G323" i="18"/>
  <c r="F323" i="18"/>
  <c r="D323" i="18"/>
  <c r="I323" i="18"/>
  <c r="E323" i="18"/>
  <c r="B323" i="18"/>
  <c r="C207" i="18"/>
  <c r="B207" i="18"/>
  <c r="H207" i="18"/>
  <c r="E207" i="18"/>
  <c r="G207" i="18"/>
  <c r="I207" i="18" s="1"/>
  <c r="D207" i="18"/>
  <c r="J207" i="18"/>
  <c r="F207" i="18"/>
  <c r="B156" i="18"/>
  <c r="J156" i="18"/>
  <c r="C156" i="18"/>
  <c r="D156" i="18"/>
  <c r="G156" i="18"/>
  <c r="I156" i="18" s="1"/>
  <c r="F156" i="18"/>
  <c r="E156" i="18"/>
  <c r="H156" i="18"/>
  <c r="I316" i="18"/>
  <c r="C316" i="18"/>
  <c r="B316" i="18"/>
  <c r="E316" i="18"/>
  <c r="H316" i="18"/>
  <c r="D316" i="18"/>
  <c r="G316" i="18"/>
  <c r="F316" i="18"/>
  <c r="J316" i="18"/>
  <c r="E489" i="18"/>
  <c r="H489" i="18"/>
  <c r="G489" i="18"/>
  <c r="D489" i="18"/>
  <c r="C489" i="18"/>
  <c r="B489" i="18"/>
  <c r="I489" i="18"/>
  <c r="F489" i="18"/>
  <c r="J489" i="18"/>
  <c r="D229" i="18"/>
  <c r="H229" i="18"/>
  <c r="J229" i="18"/>
  <c r="F229" i="18"/>
  <c r="E229" i="18"/>
  <c r="C229" i="18"/>
  <c r="G229" i="18"/>
  <c r="I229" i="18" s="1"/>
  <c r="B229" i="18"/>
  <c r="D246" i="18"/>
  <c r="C246" i="18"/>
  <c r="F246" i="18"/>
  <c r="H246" i="18"/>
  <c r="G246" i="18"/>
  <c r="I246" i="18" s="1"/>
  <c r="J246" i="18"/>
  <c r="E246" i="18"/>
  <c r="B246" i="18"/>
  <c r="J437" i="18"/>
  <c r="I437" i="18"/>
  <c r="H437" i="18"/>
  <c r="D437" i="18"/>
  <c r="F437" i="18"/>
  <c r="C437" i="18"/>
  <c r="E437" i="18"/>
  <c r="B437" i="18"/>
  <c r="G437" i="18"/>
  <c r="H420" i="18"/>
  <c r="E420" i="18"/>
  <c r="I420" i="18"/>
  <c r="G420" i="18"/>
  <c r="J420" i="18"/>
  <c r="D420" i="18"/>
  <c r="B420" i="18"/>
  <c r="F420" i="18"/>
  <c r="C420" i="18"/>
  <c r="E309" i="18"/>
  <c r="F309" i="18"/>
  <c r="G309" i="18"/>
  <c r="C309" i="18"/>
  <c r="H309" i="18"/>
  <c r="D309" i="18"/>
  <c r="J309" i="18"/>
  <c r="B309" i="18"/>
  <c r="I309" i="18"/>
  <c r="J314" i="18"/>
  <c r="I314" i="18"/>
  <c r="H314" i="18"/>
  <c r="C314" i="18"/>
  <c r="B314" i="18"/>
  <c r="G314" i="18"/>
  <c r="E314" i="18"/>
  <c r="F314" i="18"/>
  <c r="D314" i="18"/>
  <c r="J280" i="18"/>
  <c r="H280" i="18"/>
  <c r="G280" i="18"/>
  <c r="I280" i="18" s="1"/>
  <c r="D280" i="18"/>
  <c r="F280" i="18"/>
  <c r="E280" i="18"/>
  <c r="C280" i="18"/>
  <c r="B280" i="18"/>
  <c r="C70" i="18"/>
  <c r="H70" i="18"/>
  <c r="F70" i="18"/>
  <c r="B70" i="18"/>
  <c r="G70" i="18"/>
  <c r="I70" i="18" s="1"/>
  <c r="E70" i="18"/>
  <c r="D70" i="18"/>
  <c r="J70" i="18"/>
  <c r="B107" i="18"/>
  <c r="G107" i="18"/>
  <c r="E107" i="18"/>
  <c r="F107" i="18"/>
  <c r="D107" i="18"/>
  <c r="C107" i="18"/>
  <c r="J107" i="18"/>
  <c r="H107" i="18"/>
  <c r="I107" i="18" s="1"/>
  <c r="F100" i="18"/>
  <c r="H100" i="18"/>
  <c r="D100" i="18"/>
  <c r="B100" i="18"/>
  <c r="I100" i="18"/>
  <c r="J100" i="18"/>
  <c r="E100" i="18"/>
  <c r="C100" i="18"/>
  <c r="G100" i="18"/>
  <c r="B133" i="18"/>
  <c r="C133" i="18"/>
  <c r="E133" i="18"/>
  <c r="G133" i="18"/>
  <c r="I133" i="18" s="1"/>
  <c r="H133" i="18"/>
  <c r="D133" i="18"/>
  <c r="J133" i="18"/>
  <c r="F133" i="18"/>
  <c r="D103" i="18"/>
  <c r="C103" i="18"/>
  <c r="H103" i="18"/>
  <c r="E103" i="18"/>
  <c r="J103" i="18"/>
  <c r="G103" i="18"/>
  <c r="I103" i="18" s="1"/>
  <c r="F103" i="18"/>
  <c r="B103" i="18"/>
  <c r="G263" i="18"/>
  <c r="B263" i="18"/>
  <c r="F263" i="18"/>
  <c r="E263" i="18"/>
  <c r="H263" i="18"/>
  <c r="I263" i="18" s="1"/>
  <c r="C263" i="18"/>
  <c r="D263" i="18"/>
  <c r="J263" i="18"/>
  <c r="F322" i="18"/>
  <c r="H322" i="18"/>
  <c r="C322" i="18"/>
  <c r="E322" i="18"/>
  <c r="B322" i="18"/>
  <c r="D322" i="18"/>
  <c r="J322" i="18"/>
  <c r="G322" i="18"/>
  <c r="I322" i="18"/>
  <c r="G226" i="18"/>
  <c r="J226" i="18"/>
  <c r="D226" i="18"/>
  <c r="C226" i="18"/>
  <c r="B226" i="18"/>
  <c r="E226" i="18"/>
  <c r="F226" i="18"/>
  <c r="H226" i="18"/>
  <c r="I226" i="18" s="1"/>
  <c r="B262" i="18"/>
  <c r="D262" i="18"/>
  <c r="E262" i="18"/>
  <c r="J262" i="18"/>
  <c r="G262" i="18"/>
  <c r="H262" i="18"/>
  <c r="I262" i="18" s="1"/>
  <c r="F262" i="18"/>
  <c r="C262" i="18"/>
  <c r="F182" i="18"/>
  <c r="H182" i="18"/>
  <c r="G182" i="18"/>
  <c r="I182" i="18" s="1"/>
  <c r="C182" i="18"/>
  <c r="D182" i="18"/>
  <c r="B182" i="18"/>
  <c r="J182" i="18"/>
  <c r="E182" i="18"/>
  <c r="H191" i="18"/>
  <c r="G191" i="18"/>
  <c r="I191" i="18" s="1"/>
  <c r="B191" i="18"/>
  <c r="J191" i="18"/>
  <c r="E191" i="18"/>
  <c r="F191" i="18"/>
  <c r="D191" i="18"/>
  <c r="C191" i="18"/>
  <c r="E281" i="18"/>
  <c r="C281" i="18"/>
  <c r="G281" i="18"/>
  <c r="I281" i="18" s="1"/>
  <c r="F281" i="18"/>
  <c r="D281" i="18"/>
  <c r="B281" i="18"/>
  <c r="H281" i="18"/>
  <c r="J281" i="18"/>
  <c r="C363" i="18"/>
  <c r="G363" i="18"/>
  <c r="F363" i="18"/>
  <c r="B363" i="18"/>
  <c r="D363" i="18"/>
  <c r="H363" i="18"/>
  <c r="J363" i="18"/>
  <c r="E363" i="18"/>
  <c r="I363" i="18"/>
  <c r="H114" i="18"/>
  <c r="F114" i="18"/>
  <c r="D114" i="18"/>
  <c r="I114" i="18"/>
  <c r="J114" i="18"/>
  <c r="G114" i="18"/>
  <c r="E114" i="18"/>
  <c r="B114" i="18"/>
  <c r="C114" i="18"/>
  <c r="G283" i="18"/>
  <c r="E283" i="18"/>
  <c r="H283" i="18"/>
  <c r="I283" i="18" s="1"/>
  <c r="B283" i="18"/>
  <c r="F283" i="18"/>
  <c r="C283" i="18"/>
  <c r="J283" i="18"/>
  <c r="D283" i="18"/>
  <c r="D154" i="18"/>
  <c r="C154" i="18"/>
  <c r="E154" i="18"/>
  <c r="B154" i="18"/>
  <c r="J154" i="18"/>
  <c r="G154" i="18"/>
  <c r="I154" i="18" s="1"/>
  <c r="F154" i="18"/>
  <c r="H154" i="18"/>
  <c r="I504" i="18"/>
  <c r="C504" i="18"/>
  <c r="E504" i="18"/>
  <c r="B504" i="18"/>
  <c r="H504" i="18"/>
  <c r="J504" i="18"/>
  <c r="G504" i="18"/>
  <c r="D504" i="18"/>
  <c r="F504" i="18"/>
  <c r="J140" i="18"/>
  <c r="F140" i="18"/>
  <c r="B140" i="18"/>
  <c r="D140" i="18"/>
  <c r="C140" i="18"/>
  <c r="G140" i="18"/>
  <c r="I140" i="18" s="1"/>
  <c r="H140" i="18"/>
  <c r="E140" i="18"/>
  <c r="H264" i="18"/>
  <c r="F264" i="18"/>
  <c r="B264" i="18"/>
  <c r="C264" i="18"/>
  <c r="D264" i="18"/>
  <c r="J264" i="18"/>
  <c r="E264" i="18"/>
  <c r="G264" i="18"/>
  <c r="I264" i="18" s="1"/>
  <c r="I77" i="18"/>
  <c r="B77" i="18"/>
  <c r="E77" i="18"/>
  <c r="J77" i="18"/>
  <c r="F77" i="18"/>
  <c r="H77" i="18"/>
  <c r="D77" i="18"/>
  <c r="G77" i="18"/>
  <c r="C77" i="18"/>
  <c r="I394" i="18"/>
  <c r="E394" i="18"/>
  <c r="B394" i="18"/>
  <c r="D394" i="18"/>
  <c r="F394" i="18"/>
  <c r="H394" i="18"/>
  <c r="C394" i="18"/>
  <c r="J394" i="18"/>
  <c r="G394" i="18"/>
  <c r="F82" i="18"/>
  <c r="E82" i="18"/>
  <c r="J82" i="18"/>
  <c r="C82" i="18"/>
  <c r="B82" i="18"/>
  <c r="G82" i="18"/>
  <c r="D82" i="18"/>
  <c r="I82" i="18"/>
  <c r="H82" i="18"/>
  <c r="H145" i="18"/>
  <c r="D145" i="18"/>
  <c r="J145" i="18"/>
  <c r="E145" i="18"/>
  <c r="B145" i="18"/>
  <c r="C145" i="18"/>
  <c r="G145" i="18"/>
  <c r="I145" i="18" s="1"/>
  <c r="F145" i="18"/>
  <c r="C249" i="18"/>
  <c r="H249" i="18"/>
  <c r="J249" i="18"/>
  <c r="G249" i="18"/>
  <c r="E249" i="18"/>
  <c r="I249" i="18"/>
  <c r="B249" i="18"/>
  <c r="D249" i="18"/>
  <c r="F249" i="18"/>
  <c r="I488" i="18"/>
  <c r="D488" i="18"/>
  <c r="B488" i="18"/>
  <c r="H488" i="18"/>
  <c r="G488" i="18"/>
  <c r="F488" i="18"/>
  <c r="J488" i="18"/>
  <c r="C488" i="18"/>
  <c r="E488" i="18"/>
  <c r="H287" i="18"/>
  <c r="B287" i="18"/>
  <c r="G287" i="18"/>
  <c r="C287" i="18"/>
  <c r="F287" i="18"/>
  <c r="I287" i="18"/>
  <c r="E287" i="18"/>
  <c r="J287" i="18"/>
  <c r="D287" i="18"/>
  <c r="B232" i="18"/>
  <c r="H232" i="18"/>
  <c r="C232" i="18"/>
  <c r="E232" i="18"/>
  <c r="J232" i="18"/>
  <c r="G232" i="18"/>
  <c r="I232" i="18" s="1"/>
  <c r="F232" i="18"/>
  <c r="D232" i="18"/>
  <c r="B353" i="18"/>
  <c r="D353" i="18"/>
  <c r="I353" i="18"/>
  <c r="F353" i="18"/>
  <c r="H353" i="18"/>
  <c r="J353" i="18"/>
  <c r="C353" i="18"/>
  <c r="G353" i="18"/>
  <c r="E353" i="18"/>
  <c r="G462" i="18"/>
  <c r="D462" i="18"/>
  <c r="E462" i="18"/>
  <c r="I462" i="18"/>
  <c r="J462" i="18"/>
  <c r="B462" i="18"/>
  <c r="C462" i="18"/>
  <c r="H462" i="18"/>
  <c r="F462" i="18"/>
  <c r="G361" i="18"/>
  <c r="F361" i="18"/>
  <c r="J361" i="18"/>
  <c r="E361" i="18"/>
  <c r="B361" i="18"/>
  <c r="H361" i="18"/>
  <c r="D361" i="18"/>
  <c r="C361" i="18"/>
  <c r="I361" i="18"/>
  <c r="C155" i="18"/>
  <c r="G155" i="18"/>
  <c r="F155" i="18"/>
  <c r="B155" i="18"/>
  <c r="E155" i="18"/>
  <c r="H155" i="18"/>
  <c r="I155" i="18"/>
  <c r="D155" i="18"/>
  <c r="J155" i="18"/>
  <c r="F148" i="18"/>
  <c r="C148" i="18"/>
  <c r="J148" i="18"/>
  <c r="G148" i="18"/>
  <c r="I148" i="18" s="1"/>
  <c r="H148" i="18"/>
  <c r="B148" i="18"/>
  <c r="D148" i="18"/>
  <c r="E148" i="18"/>
  <c r="F317" i="18"/>
  <c r="C317" i="18"/>
  <c r="D317" i="18"/>
  <c r="J317" i="18"/>
  <c r="H317" i="18"/>
  <c r="G317" i="18"/>
  <c r="E317" i="18"/>
  <c r="I317" i="18"/>
  <c r="B317" i="18"/>
  <c r="E502" i="18"/>
  <c r="I502" i="18"/>
  <c r="G502" i="18"/>
  <c r="C502" i="18"/>
  <c r="H502" i="18"/>
  <c r="J502" i="18"/>
  <c r="D502" i="18"/>
  <c r="B502" i="18"/>
  <c r="F502" i="18"/>
  <c r="H360" i="18"/>
  <c r="J360" i="18"/>
  <c r="G360" i="18"/>
  <c r="B360" i="18"/>
  <c r="D360" i="18"/>
  <c r="F360" i="18"/>
  <c r="I360" i="18"/>
  <c r="E360" i="18"/>
  <c r="C360" i="18"/>
  <c r="F471" i="18"/>
  <c r="I471" i="18"/>
  <c r="D471" i="18"/>
  <c r="G471" i="18"/>
  <c r="B471" i="18"/>
  <c r="C471" i="18"/>
  <c r="E471" i="18"/>
  <c r="H471" i="18"/>
  <c r="J471" i="18"/>
  <c r="G311" i="18"/>
  <c r="F311" i="18"/>
  <c r="I311" i="18"/>
  <c r="E311" i="18"/>
  <c r="J311" i="18"/>
  <c r="H311" i="18"/>
  <c r="D311" i="18"/>
  <c r="C311" i="18"/>
  <c r="B311" i="18"/>
  <c r="H282" i="18"/>
  <c r="D282" i="18"/>
  <c r="B282" i="18"/>
  <c r="F282" i="18"/>
  <c r="E282" i="18"/>
  <c r="C282" i="18"/>
  <c r="G282" i="18"/>
  <c r="I282" i="18" s="1"/>
  <c r="J282" i="18"/>
  <c r="B165" i="18"/>
  <c r="F165" i="18"/>
  <c r="C165" i="18"/>
  <c r="E165" i="18"/>
  <c r="D165" i="18"/>
  <c r="H165" i="18"/>
  <c r="G165" i="18"/>
  <c r="J165" i="18"/>
  <c r="I165" i="18"/>
  <c r="C104" i="18"/>
  <c r="D104" i="18"/>
  <c r="E104" i="18"/>
  <c r="G104" i="18"/>
  <c r="I104" i="18" s="1"/>
  <c r="H104" i="18"/>
  <c r="B104" i="18"/>
  <c r="J104" i="18"/>
  <c r="F104" i="18"/>
  <c r="E92" i="18"/>
  <c r="F92" i="18"/>
  <c r="H92" i="18"/>
  <c r="B92" i="18"/>
  <c r="C92" i="18"/>
  <c r="J92" i="18"/>
  <c r="G92" i="18"/>
  <c r="I92" i="18" s="1"/>
  <c r="D92" i="18"/>
  <c r="I444" i="18"/>
  <c r="H444" i="18"/>
  <c r="J444" i="18"/>
  <c r="F444" i="18"/>
  <c r="D444" i="18"/>
  <c r="G444" i="18"/>
  <c r="B444" i="18"/>
  <c r="C444" i="18"/>
  <c r="E444" i="18"/>
  <c r="J343" i="18"/>
  <c r="E343" i="18"/>
  <c r="B343" i="18"/>
  <c r="H343" i="18"/>
  <c r="F343" i="18"/>
  <c r="D343" i="18"/>
  <c r="G343" i="18"/>
  <c r="C343" i="18"/>
  <c r="I343" i="18"/>
  <c r="H430" i="18"/>
  <c r="F430" i="18"/>
  <c r="D430" i="18"/>
  <c r="I430" i="18"/>
  <c r="B430" i="18"/>
  <c r="J430" i="18"/>
  <c r="E430" i="18"/>
  <c r="C430" i="18"/>
  <c r="G430" i="18"/>
  <c r="H90" i="18"/>
  <c r="E90" i="18"/>
  <c r="C90" i="18"/>
  <c r="F90" i="18"/>
  <c r="B90" i="18"/>
  <c r="G90" i="18"/>
  <c r="I90" i="18" s="1"/>
  <c r="D90" i="18"/>
  <c r="J90" i="18"/>
  <c r="C358" i="18"/>
  <c r="F358" i="18"/>
  <c r="G358" i="18"/>
  <c r="B358" i="18"/>
  <c r="H358" i="18"/>
  <c r="D358" i="18"/>
  <c r="J358" i="18"/>
  <c r="E358" i="18"/>
  <c r="I358" i="18"/>
  <c r="E85" i="18"/>
  <c r="G85" i="18"/>
  <c r="I85" i="18" s="1"/>
  <c r="F85" i="18"/>
  <c r="J85" i="18"/>
  <c r="D85" i="18"/>
  <c r="C85" i="18"/>
  <c r="B85" i="18"/>
  <c r="H85" i="18"/>
  <c r="G458" i="18"/>
  <c r="F458" i="18"/>
  <c r="C458" i="18"/>
  <c r="B458" i="18"/>
  <c r="H458" i="18"/>
  <c r="J458" i="18"/>
  <c r="E458" i="18"/>
  <c r="I458" i="18"/>
  <c r="D458" i="18"/>
  <c r="C472" i="18"/>
  <c r="G472" i="18"/>
  <c r="B472" i="18"/>
  <c r="J472" i="18"/>
  <c r="I472" i="18"/>
  <c r="E472" i="18"/>
  <c r="H472" i="18"/>
  <c r="F472" i="18"/>
  <c r="D472" i="18"/>
  <c r="I442" i="18"/>
  <c r="C442" i="18"/>
  <c r="E442" i="18"/>
  <c r="H442" i="18"/>
  <c r="J442" i="18"/>
  <c r="D442" i="18"/>
  <c r="B442" i="18"/>
  <c r="G442" i="18"/>
  <c r="F442" i="18"/>
  <c r="D231" i="18"/>
  <c r="E231" i="18"/>
  <c r="F231" i="18"/>
  <c r="G231" i="18"/>
  <c r="I231" i="18" s="1"/>
  <c r="J231" i="18"/>
  <c r="B231" i="18"/>
  <c r="H231" i="18"/>
  <c r="C231" i="18"/>
  <c r="F284" i="18"/>
  <c r="G284" i="18"/>
  <c r="I284" i="18" s="1"/>
  <c r="B284" i="18"/>
  <c r="H284" i="18"/>
  <c r="D284" i="18"/>
  <c r="J284" i="18"/>
  <c r="E284" i="18"/>
  <c r="C284" i="18"/>
  <c r="G121" i="18"/>
  <c r="C121" i="18"/>
  <c r="E121" i="18"/>
  <c r="H121" i="18"/>
  <c r="I121" i="18" s="1"/>
  <c r="B121" i="18"/>
  <c r="F121" i="18"/>
  <c r="D121" i="18"/>
  <c r="J121" i="18"/>
  <c r="H75" i="18"/>
  <c r="G75" i="18"/>
  <c r="C75" i="18"/>
  <c r="J75" i="18"/>
  <c r="I75" i="18"/>
  <c r="D75" i="18"/>
  <c r="F75" i="18"/>
  <c r="B75" i="18"/>
  <c r="E75" i="18"/>
  <c r="F144" i="18"/>
  <c r="E144" i="18"/>
  <c r="B144" i="18"/>
  <c r="G144" i="18"/>
  <c r="J144" i="18"/>
  <c r="H144" i="18"/>
  <c r="I144" i="18" s="1"/>
  <c r="D144" i="18"/>
  <c r="C144" i="18"/>
  <c r="D418" i="18"/>
  <c r="H418" i="18"/>
  <c r="C418" i="18"/>
  <c r="F418" i="18"/>
  <c r="B418" i="18"/>
  <c r="I418" i="18"/>
  <c r="G418" i="18"/>
  <c r="J418" i="18"/>
  <c r="E418" i="18"/>
  <c r="H382" i="18"/>
  <c r="B382" i="18"/>
  <c r="J382" i="18"/>
  <c r="G382" i="18"/>
  <c r="F382" i="18"/>
  <c r="E382" i="18"/>
  <c r="I382" i="18"/>
  <c r="D382" i="18"/>
  <c r="C382" i="18"/>
  <c r="F291" i="18"/>
  <c r="D291" i="18"/>
  <c r="J291" i="18"/>
  <c r="E291" i="18"/>
  <c r="G291" i="18"/>
  <c r="C291" i="18"/>
  <c r="B291" i="18"/>
  <c r="H291" i="18"/>
  <c r="I291" i="18"/>
  <c r="F325" i="18"/>
  <c r="I325" i="18"/>
  <c r="E325" i="18"/>
  <c r="G325" i="18"/>
  <c r="C325" i="18"/>
  <c r="H325" i="18"/>
  <c r="B325" i="18"/>
  <c r="J325" i="18"/>
  <c r="D325" i="18"/>
  <c r="G411" i="18"/>
  <c r="I411" i="18"/>
  <c r="E411" i="18"/>
  <c r="H411" i="18"/>
  <c r="D411" i="18"/>
  <c r="J411" i="18"/>
  <c r="C411" i="18"/>
  <c r="F411" i="18"/>
  <c r="B411" i="18"/>
  <c r="E362" i="18"/>
  <c r="F362" i="18"/>
  <c r="G362" i="18"/>
  <c r="C362" i="18"/>
  <c r="H362" i="18"/>
  <c r="J362" i="18"/>
  <c r="I362" i="18"/>
  <c r="B362" i="18"/>
  <c r="D362" i="18"/>
  <c r="H296" i="18"/>
  <c r="D296" i="18"/>
  <c r="I296" i="18"/>
  <c r="C296" i="18"/>
  <c r="F296" i="18"/>
  <c r="J296" i="18"/>
  <c r="B296" i="18"/>
  <c r="G296" i="18"/>
  <c r="E296" i="18"/>
  <c r="H453" i="18"/>
  <c r="E453" i="18"/>
  <c r="D453" i="18"/>
  <c r="B453" i="18"/>
  <c r="F453" i="18"/>
  <c r="I453" i="18"/>
  <c r="C453" i="18"/>
  <c r="J453" i="18"/>
  <c r="G453" i="18"/>
  <c r="G338" i="18"/>
  <c r="J338" i="18"/>
  <c r="I338" i="18"/>
  <c r="H338" i="18"/>
  <c r="D338" i="18"/>
  <c r="F338" i="18"/>
  <c r="C338" i="18"/>
  <c r="E338" i="18"/>
  <c r="B338" i="18"/>
  <c r="B94" i="18"/>
  <c r="C94" i="18"/>
  <c r="E94" i="18"/>
  <c r="G94" i="18"/>
  <c r="I94" i="18" s="1"/>
  <c r="D94" i="18"/>
  <c r="H94" i="18"/>
  <c r="F94" i="18"/>
  <c r="J94" i="18"/>
  <c r="J250" i="18"/>
  <c r="H250" i="18"/>
  <c r="E250" i="18"/>
  <c r="D250" i="18"/>
  <c r="C250" i="18"/>
  <c r="G250" i="18"/>
  <c r="I250" i="18" s="1"/>
  <c r="B250" i="18"/>
  <c r="F250" i="18"/>
  <c r="J374" i="18"/>
  <c r="G374" i="18"/>
  <c r="C374" i="18"/>
  <c r="H374" i="18"/>
  <c r="F374" i="18"/>
  <c r="E374" i="18"/>
  <c r="I374" i="18"/>
  <c r="B374" i="18"/>
  <c r="D374" i="18"/>
  <c r="B408" i="18"/>
  <c r="I408" i="18"/>
  <c r="D408" i="18"/>
  <c r="C408" i="18"/>
  <c r="H408" i="18"/>
  <c r="F408" i="18"/>
  <c r="G408" i="18"/>
  <c r="E408" i="18"/>
  <c r="J408" i="18"/>
  <c r="J239" i="18"/>
  <c r="B239" i="18"/>
  <c r="G239" i="18"/>
  <c r="I239" i="18" s="1"/>
  <c r="F239" i="18"/>
  <c r="H239" i="18"/>
  <c r="D239" i="18"/>
  <c r="E239" i="18"/>
  <c r="C239" i="18"/>
  <c r="H68" i="18"/>
  <c r="C68" i="18"/>
  <c r="D68" i="18"/>
  <c r="E68" i="18"/>
  <c r="G68" i="18"/>
  <c r="F68" i="18"/>
  <c r="B68" i="18"/>
  <c r="J68" i="18"/>
  <c r="F474" i="18"/>
  <c r="H474" i="18"/>
  <c r="C474" i="18"/>
  <c r="G474" i="18"/>
  <c r="I474" i="18"/>
  <c r="E474" i="18"/>
  <c r="J474" i="18"/>
  <c r="B474" i="18"/>
  <c r="D474" i="18"/>
  <c r="J486" i="18"/>
  <c r="B486" i="18"/>
  <c r="G486" i="18"/>
  <c r="H486" i="18"/>
  <c r="D486" i="18"/>
  <c r="I486" i="18"/>
  <c r="C486" i="18"/>
  <c r="E486" i="18"/>
  <c r="F486" i="18"/>
  <c r="B407" i="18"/>
  <c r="C407" i="18"/>
  <c r="D407" i="18"/>
  <c r="H407" i="18"/>
  <c r="F407" i="18"/>
  <c r="E407" i="18"/>
  <c r="I407" i="18"/>
  <c r="G407" i="18"/>
  <c r="J407" i="18"/>
  <c r="E169" i="18"/>
  <c r="G169" i="18"/>
  <c r="F169" i="18"/>
  <c r="H169" i="18"/>
  <c r="I169" i="18"/>
  <c r="J169" i="18"/>
  <c r="D169" i="18"/>
  <c r="C169" i="18"/>
  <c r="B169" i="18"/>
  <c r="H115" i="18"/>
  <c r="B115" i="18"/>
  <c r="D115" i="18"/>
  <c r="G115" i="18"/>
  <c r="I115" i="18"/>
  <c r="C115" i="18"/>
  <c r="J115" i="18"/>
  <c r="F115" i="18"/>
  <c r="E115" i="18"/>
  <c r="H124" i="18"/>
  <c r="G124" i="18"/>
  <c r="D124" i="18"/>
  <c r="E124" i="18"/>
  <c r="B124" i="18"/>
  <c r="J124" i="18"/>
  <c r="C124" i="18"/>
  <c r="F124" i="18"/>
  <c r="I124" i="18"/>
  <c r="B170" i="18"/>
  <c r="H170" i="18"/>
  <c r="C170" i="18"/>
  <c r="F170" i="18"/>
  <c r="J170" i="18"/>
  <c r="G170" i="18"/>
  <c r="I170" i="18" s="1"/>
  <c r="E170" i="18"/>
  <c r="D170" i="18"/>
  <c r="D159" i="18"/>
  <c r="B159" i="18"/>
  <c r="E159" i="18"/>
  <c r="H159" i="18"/>
  <c r="J159" i="18"/>
  <c r="F159" i="18"/>
  <c r="G159" i="18"/>
  <c r="C159" i="18"/>
  <c r="I159" i="18"/>
  <c r="D467" i="18"/>
  <c r="I467" i="18"/>
  <c r="F467" i="18"/>
  <c r="J467" i="18"/>
  <c r="E467" i="18"/>
  <c r="C467" i="18"/>
  <c r="B467" i="18"/>
  <c r="G467" i="18"/>
  <c r="H467" i="18"/>
  <c r="B402" i="18"/>
  <c r="C402" i="18"/>
  <c r="D402" i="18"/>
  <c r="E402" i="18"/>
  <c r="G402" i="18"/>
  <c r="H402" i="18"/>
  <c r="I402" i="18"/>
  <c r="J402" i="18"/>
  <c r="F402" i="18"/>
  <c r="D465" i="18"/>
  <c r="C465" i="18"/>
  <c r="E465" i="18"/>
  <c r="F465" i="18"/>
  <c r="J465" i="18"/>
  <c r="H465" i="18"/>
  <c r="G465" i="18"/>
  <c r="B465" i="18"/>
  <c r="I465" i="18"/>
  <c r="H91" i="18"/>
  <c r="B91" i="18"/>
  <c r="F91" i="18"/>
  <c r="C91" i="18"/>
  <c r="G91" i="18"/>
  <c r="I91" i="18" s="1"/>
  <c r="D91" i="18"/>
  <c r="E91" i="18"/>
  <c r="J91" i="18"/>
  <c r="G248" i="18"/>
  <c r="E248" i="18"/>
  <c r="J248" i="18"/>
  <c r="F248" i="18"/>
  <c r="D248" i="18"/>
  <c r="B248" i="18"/>
  <c r="C248" i="18"/>
  <c r="H248" i="18"/>
  <c r="I248" i="18" s="1"/>
  <c r="F89" i="18"/>
  <c r="I89" i="18"/>
  <c r="D89" i="18"/>
  <c r="G89" i="18"/>
  <c r="C89" i="18"/>
  <c r="E89" i="18"/>
  <c r="J89" i="18"/>
  <c r="H89" i="18"/>
  <c r="B89" i="18"/>
  <c r="H413" i="18"/>
  <c r="E413" i="18"/>
  <c r="B413" i="18"/>
  <c r="I413" i="18"/>
  <c r="J413" i="18"/>
  <c r="G413" i="18"/>
  <c r="C413" i="18"/>
  <c r="D413" i="18"/>
  <c r="F413" i="18"/>
  <c r="F501" i="18"/>
  <c r="J501" i="18"/>
  <c r="H501" i="18"/>
  <c r="E501" i="18"/>
  <c r="D501" i="18"/>
  <c r="B501" i="18"/>
  <c r="I501" i="18"/>
  <c r="G501" i="18"/>
  <c r="C501" i="18"/>
  <c r="H425" i="18"/>
  <c r="D425" i="18"/>
  <c r="J425" i="18"/>
  <c r="B425" i="18"/>
  <c r="G425" i="18"/>
  <c r="I425" i="18"/>
  <c r="F425" i="18"/>
  <c r="C425" i="18"/>
  <c r="E425" i="18"/>
  <c r="H109" i="18"/>
  <c r="F109" i="18"/>
  <c r="G109" i="18"/>
  <c r="I109" i="18" s="1"/>
  <c r="E109" i="18"/>
  <c r="D109" i="18"/>
  <c r="J109" i="18"/>
  <c r="B109" i="18"/>
  <c r="C109" i="18"/>
  <c r="E168" i="18"/>
  <c r="C168" i="18"/>
  <c r="F168" i="18"/>
  <c r="H168" i="18"/>
  <c r="J168" i="18"/>
  <c r="G168" i="18"/>
  <c r="I168" i="18" s="1"/>
  <c r="B168" i="18"/>
  <c r="D168" i="18"/>
  <c r="G172" i="18"/>
  <c r="J172" i="18"/>
  <c r="B172" i="18"/>
  <c r="I172" i="18"/>
  <c r="D172" i="18"/>
  <c r="H172" i="18"/>
  <c r="C172" i="18"/>
  <c r="E172" i="18"/>
  <c r="F172" i="18"/>
  <c r="J178" i="18"/>
  <c r="H178" i="18"/>
  <c r="E178" i="18"/>
  <c r="D178" i="18"/>
  <c r="F178" i="18"/>
  <c r="C178" i="18"/>
  <c r="B178" i="18"/>
  <c r="G178" i="18"/>
  <c r="I178" i="18"/>
  <c r="C414" i="18"/>
  <c r="F414" i="18"/>
  <c r="J414" i="18"/>
  <c r="G414" i="18"/>
  <c r="H414" i="18"/>
  <c r="I414" i="18"/>
  <c r="D414" i="18"/>
  <c r="E414" i="18"/>
  <c r="B414" i="18"/>
  <c r="I381" i="18"/>
  <c r="B381" i="18"/>
  <c r="G381" i="18"/>
  <c r="E381" i="18"/>
  <c r="D381" i="18"/>
  <c r="C381" i="18"/>
  <c r="J381" i="18"/>
  <c r="F381" i="18"/>
  <c r="H381" i="18"/>
  <c r="G298" i="18"/>
  <c r="D298" i="18"/>
  <c r="E298" i="18"/>
  <c r="J298" i="18"/>
  <c r="H298" i="18"/>
  <c r="B298" i="18"/>
  <c r="F298" i="18"/>
  <c r="C298" i="18"/>
  <c r="I298" i="18"/>
  <c r="E274" i="18"/>
  <c r="B274" i="18"/>
  <c r="C274" i="18"/>
  <c r="G274" i="18"/>
  <c r="I274" i="18" s="1"/>
  <c r="F274" i="18"/>
  <c r="J274" i="18"/>
  <c r="D274" i="18"/>
  <c r="H274" i="18"/>
  <c r="B398" i="18"/>
  <c r="D398" i="18"/>
  <c r="H398" i="18"/>
  <c r="J398" i="18"/>
  <c r="F398" i="18"/>
  <c r="E398" i="18"/>
  <c r="G398" i="18"/>
  <c r="I398" i="18"/>
  <c r="C398" i="18"/>
  <c r="B377" i="18"/>
  <c r="C377" i="18"/>
  <c r="D377" i="18"/>
  <c r="H377" i="18"/>
  <c r="G377" i="18"/>
  <c r="J377" i="18"/>
  <c r="F377" i="18"/>
  <c r="E377" i="18"/>
  <c r="I377" i="18"/>
  <c r="H395" i="18"/>
  <c r="G395" i="18"/>
  <c r="J395" i="18"/>
  <c r="B395" i="18"/>
  <c r="D395" i="18"/>
  <c r="F395" i="18"/>
  <c r="C395" i="18"/>
  <c r="E395" i="18"/>
  <c r="I395" i="18"/>
  <c r="C302" i="18"/>
  <c r="G302" i="18"/>
  <c r="H302" i="18"/>
  <c r="I302" i="18"/>
  <c r="D302" i="18"/>
  <c r="F302" i="18"/>
  <c r="J302" i="18"/>
  <c r="E302" i="18"/>
  <c r="B302" i="18"/>
  <c r="B210" i="18"/>
  <c r="C210" i="18"/>
  <c r="D210" i="18"/>
  <c r="E210" i="18"/>
  <c r="G210" i="18"/>
  <c r="I210" i="18" s="1"/>
  <c r="H210" i="18"/>
  <c r="J210" i="18"/>
  <c r="F210" i="18"/>
  <c r="E426" i="18"/>
  <c r="G426" i="18"/>
  <c r="C426" i="18"/>
  <c r="D426" i="18"/>
  <c r="B426" i="18"/>
  <c r="F426" i="18"/>
  <c r="J426" i="18"/>
  <c r="H426" i="18"/>
  <c r="I426" i="18"/>
  <c r="C340" i="18"/>
  <c r="J340" i="18"/>
  <c r="H340" i="18"/>
  <c r="G340" i="18"/>
  <c r="D340" i="18"/>
  <c r="E340" i="18"/>
  <c r="I340" i="18"/>
  <c r="B340" i="18"/>
  <c r="F340" i="18"/>
  <c r="J197" i="18"/>
  <c r="E197" i="18"/>
  <c r="C197" i="18"/>
  <c r="I197" i="18"/>
  <c r="D197" i="18"/>
  <c r="B197" i="18"/>
  <c r="G197" i="18"/>
  <c r="H197" i="18"/>
  <c r="F197" i="18"/>
  <c r="D367" i="18"/>
  <c r="C367" i="18"/>
  <c r="E367" i="18"/>
  <c r="F367" i="18"/>
  <c r="G367" i="18"/>
  <c r="B367" i="18"/>
  <c r="I367" i="18"/>
  <c r="H367" i="18"/>
  <c r="J367" i="18"/>
  <c r="D143" i="18"/>
  <c r="J143" i="18"/>
  <c r="E143" i="18"/>
  <c r="F143" i="18"/>
  <c r="H143" i="18"/>
  <c r="G143" i="18"/>
  <c r="I143" i="18" s="1"/>
  <c r="C143" i="18"/>
  <c r="B143" i="18"/>
  <c r="J339" i="18"/>
  <c r="B339" i="18"/>
  <c r="E339" i="18"/>
  <c r="C339" i="18"/>
  <c r="G339" i="18"/>
  <c r="F339" i="18"/>
  <c r="D339" i="18"/>
  <c r="I339" i="18"/>
  <c r="H339" i="18"/>
  <c r="E238" i="18"/>
  <c r="B238" i="18"/>
  <c r="G238" i="18"/>
  <c r="H238" i="18"/>
  <c r="D238" i="18"/>
  <c r="C238" i="18"/>
  <c r="J238" i="18"/>
  <c r="I238" i="18"/>
  <c r="F238" i="18"/>
  <c r="H252" i="18"/>
  <c r="E252" i="18"/>
  <c r="G252" i="18"/>
  <c r="D252" i="18"/>
  <c r="J252" i="18"/>
  <c r="I252" i="18"/>
  <c r="C252" i="18"/>
  <c r="B252" i="18"/>
  <c r="F252" i="18"/>
  <c r="F476" i="18"/>
  <c r="I476" i="18"/>
  <c r="G476" i="18"/>
  <c r="E476" i="18"/>
  <c r="C476" i="18"/>
  <c r="B476" i="18"/>
  <c r="J476" i="18"/>
  <c r="H476" i="18"/>
  <c r="D476" i="18"/>
  <c r="C270" i="18"/>
  <c r="J270" i="18"/>
  <c r="G270" i="18"/>
  <c r="B270" i="18"/>
  <c r="E270" i="18"/>
  <c r="H270" i="18"/>
  <c r="I270" i="18"/>
  <c r="F270" i="18"/>
  <c r="D270" i="18"/>
  <c r="G76" i="18"/>
  <c r="I76" i="18" s="1"/>
  <c r="C76" i="18"/>
  <c r="E76" i="18"/>
  <c r="H76" i="18"/>
  <c r="F76" i="18"/>
  <c r="J76" i="18"/>
  <c r="B76" i="18"/>
  <c r="D76" i="18"/>
  <c r="D179" i="18"/>
  <c r="E179" i="18"/>
  <c r="B179" i="18"/>
  <c r="H179" i="18"/>
  <c r="G179" i="18"/>
  <c r="I179" i="18" s="1"/>
  <c r="F179" i="18"/>
  <c r="J179" i="18"/>
  <c r="C179" i="18"/>
  <c r="I344" i="18"/>
  <c r="H344" i="18"/>
  <c r="J344" i="18"/>
  <c r="G344" i="18"/>
  <c r="D344" i="18"/>
  <c r="F344" i="18"/>
  <c r="C344" i="18"/>
  <c r="B344" i="18"/>
  <c r="E344" i="18"/>
  <c r="H110" i="18"/>
  <c r="I110" i="18"/>
  <c r="F110" i="18"/>
  <c r="E110" i="18"/>
  <c r="G110" i="18"/>
  <c r="J110" i="18"/>
  <c r="C110" i="18"/>
  <c r="D110" i="18"/>
  <c r="B110" i="18"/>
  <c r="D201" i="18"/>
  <c r="H201" i="18"/>
  <c r="I201" i="18" s="1"/>
  <c r="B201" i="18"/>
  <c r="F201" i="18"/>
  <c r="E201" i="18"/>
  <c r="C201" i="18"/>
  <c r="G201" i="18"/>
  <c r="J201" i="18"/>
  <c r="E80" i="18"/>
  <c r="J80" i="18"/>
  <c r="C80" i="18"/>
  <c r="B80" i="18"/>
  <c r="F80" i="18"/>
  <c r="G80" i="18"/>
  <c r="H80" i="18"/>
  <c r="D80" i="18"/>
  <c r="I80" i="18"/>
  <c r="J365" i="18"/>
  <c r="I365" i="18"/>
  <c r="G365" i="18"/>
  <c r="C365" i="18"/>
  <c r="F365" i="18"/>
  <c r="H365" i="18"/>
  <c r="D365" i="18"/>
  <c r="B365" i="18"/>
  <c r="E365" i="18"/>
  <c r="D269" i="18"/>
  <c r="F269" i="18"/>
  <c r="E269" i="18"/>
  <c r="C269" i="18"/>
  <c r="I269" i="18"/>
  <c r="B269" i="18"/>
  <c r="G269" i="18"/>
  <c r="H269" i="18"/>
  <c r="J269" i="18"/>
  <c r="D251" i="18"/>
  <c r="B251" i="18"/>
  <c r="J251" i="18"/>
  <c r="C251" i="18"/>
  <c r="I251" i="18"/>
  <c r="H251" i="18"/>
  <c r="G251" i="18"/>
  <c r="E251" i="18"/>
  <c r="F251" i="18"/>
  <c r="E427" i="18"/>
  <c r="H427" i="18"/>
  <c r="F427" i="18"/>
  <c r="J427" i="18"/>
  <c r="C427" i="18"/>
  <c r="G427" i="18"/>
  <c r="D427" i="18"/>
  <c r="B427" i="18"/>
  <c r="I427" i="18"/>
  <c r="G247" i="18"/>
  <c r="I247" i="18" s="1"/>
  <c r="E247" i="18"/>
  <c r="B247" i="18"/>
  <c r="H247" i="18"/>
  <c r="D247" i="18"/>
  <c r="C247" i="18"/>
  <c r="J247" i="18"/>
  <c r="F247" i="18"/>
  <c r="G67" i="18"/>
  <c r="C67" i="18"/>
  <c r="H67" i="18"/>
  <c r="D67" i="18"/>
  <c r="E67" i="18"/>
  <c r="B67" i="18"/>
  <c r="F67" i="18"/>
  <c r="J67" i="18"/>
  <c r="G65" i="18"/>
  <c r="B65" i="18"/>
  <c r="F65" i="18"/>
  <c r="E65" i="18"/>
  <c r="D65" i="18"/>
  <c r="C65" i="18"/>
  <c r="H65" i="18"/>
  <c r="I65" i="18" s="1"/>
  <c r="J65" i="18"/>
  <c r="F3" i="18" a="1"/>
  <c r="H64" i="18"/>
  <c r="J64" i="18"/>
  <c r="F64" i="18"/>
  <c r="C64" i="18"/>
  <c r="B64" i="18"/>
  <c r="G64" i="18"/>
  <c r="E64" i="18"/>
  <c r="D64" i="18"/>
  <c r="D66" i="18"/>
  <c r="G66" i="18"/>
  <c r="C66" i="18"/>
  <c r="H66" i="18"/>
  <c r="B66" i="18"/>
  <c r="F66" i="18"/>
  <c r="E66" i="18"/>
  <c r="J66" i="18"/>
  <c r="H318" i="18"/>
  <c r="I318" i="18"/>
  <c r="G318" i="18"/>
  <c r="J318" i="18"/>
  <c r="E318" i="18"/>
  <c r="C318" i="18"/>
  <c r="F318" i="18"/>
  <c r="B318" i="18"/>
  <c r="D318" i="18"/>
  <c r="E129" i="18"/>
  <c r="H129" i="18"/>
  <c r="J129" i="18"/>
  <c r="C129" i="18"/>
  <c r="D129" i="18"/>
  <c r="G129" i="18"/>
  <c r="I129" i="18" s="1"/>
  <c r="F129" i="18"/>
  <c r="B129" i="18"/>
  <c r="C81" i="18"/>
  <c r="D81" i="18"/>
  <c r="F81" i="18"/>
  <c r="B81" i="18"/>
  <c r="E81" i="18"/>
  <c r="H81" i="18"/>
  <c r="G81" i="18"/>
  <c r="I81" i="18" s="1"/>
  <c r="J81" i="18"/>
  <c r="F493" i="18"/>
  <c r="I493" i="18"/>
  <c r="G493" i="18"/>
  <c r="B493" i="18"/>
  <c r="J493" i="18"/>
  <c r="H493" i="18"/>
  <c r="C493" i="18"/>
  <c r="E493" i="18"/>
  <c r="D493" i="18"/>
  <c r="G151" i="18"/>
  <c r="I151" i="18" s="1"/>
  <c r="B151" i="18"/>
  <c r="D151" i="18"/>
  <c r="J151" i="18"/>
  <c r="C151" i="18"/>
  <c r="H151" i="18"/>
  <c r="E151" i="18"/>
  <c r="F151" i="18"/>
  <c r="C456" i="18"/>
  <c r="D456" i="18"/>
  <c r="H456" i="18"/>
  <c r="G456" i="18"/>
  <c r="F456" i="18"/>
  <c r="B456" i="18"/>
  <c r="E456" i="18"/>
  <c r="I456" i="18"/>
  <c r="J456" i="18"/>
  <c r="C122" i="18"/>
  <c r="E122" i="18"/>
  <c r="H122" i="18"/>
  <c r="F122" i="18"/>
  <c r="G122" i="18"/>
  <c r="I122" i="18" s="1"/>
  <c r="J122" i="18"/>
  <c r="D122" i="18"/>
  <c r="B122" i="18"/>
  <c r="H139" i="18"/>
  <c r="C139" i="18"/>
  <c r="E139" i="18"/>
  <c r="B139" i="18"/>
  <c r="G139" i="18"/>
  <c r="I139" i="18" s="1"/>
  <c r="J139" i="18"/>
  <c r="F139" i="18"/>
  <c r="D139" i="18"/>
  <c r="F356" i="18"/>
  <c r="D356" i="18"/>
  <c r="C356" i="18"/>
  <c r="J356" i="18"/>
  <c r="H356" i="18"/>
  <c r="E356" i="18"/>
  <c r="I356" i="18"/>
  <c r="B356" i="18"/>
  <c r="G356" i="18"/>
  <c r="H105" i="18"/>
  <c r="D105" i="18"/>
  <c r="F105" i="18"/>
  <c r="E105" i="18"/>
  <c r="G105" i="18"/>
  <c r="I105" i="18" s="1"/>
  <c r="C105" i="18"/>
  <c r="J105" i="18"/>
  <c r="B105" i="18"/>
  <c r="B193" i="18"/>
  <c r="H193" i="18"/>
  <c r="J193" i="18"/>
  <c r="E193" i="18"/>
  <c r="C193" i="18"/>
  <c r="G193" i="18"/>
  <c r="I193" i="18" s="1"/>
  <c r="F193" i="18"/>
  <c r="D193" i="18"/>
  <c r="C113" i="18"/>
  <c r="B113" i="18"/>
  <c r="G113" i="18"/>
  <c r="F113" i="18"/>
  <c r="H113" i="18"/>
  <c r="D113" i="18"/>
  <c r="I113" i="18"/>
  <c r="J113" i="18"/>
  <c r="E113" i="18"/>
  <c r="B460" i="18"/>
  <c r="J460" i="18"/>
  <c r="F460" i="18"/>
  <c r="C460" i="18"/>
  <c r="G460" i="18"/>
  <c r="H460" i="18"/>
  <c r="I460" i="18"/>
  <c r="D460" i="18"/>
  <c r="E460" i="18"/>
  <c r="F214" i="18"/>
  <c r="C214" i="18"/>
  <c r="E214" i="18"/>
  <c r="D214" i="18"/>
  <c r="H214" i="18"/>
  <c r="G214" i="18"/>
  <c r="I214" i="18"/>
  <c r="J214" i="18"/>
  <c r="B214" i="18"/>
  <c r="J235" i="18"/>
  <c r="G235" i="18"/>
  <c r="I235" i="18" s="1"/>
  <c r="D235" i="18"/>
  <c r="B235" i="18"/>
  <c r="F235" i="18"/>
  <c r="H235" i="18"/>
  <c r="E235" i="18"/>
  <c r="C235" i="18"/>
  <c r="B183" i="18"/>
  <c r="E183" i="18"/>
  <c r="J183" i="18"/>
  <c r="H183" i="18"/>
  <c r="G183" i="18"/>
  <c r="I183" i="18" s="1"/>
  <c r="C183" i="18"/>
  <c r="D183" i="18"/>
  <c r="F183" i="18"/>
  <c r="E406" i="18"/>
  <c r="J406" i="18"/>
  <c r="B406" i="18"/>
  <c r="I406" i="18"/>
  <c r="D406" i="18"/>
  <c r="C406" i="18"/>
  <c r="H406" i="18"/>
  <c r="F406" i="18"/>
  <c r="G406" i="18"/>
  <c r="C257" i="18"/>
  <c r="B257" i="18"/>
  <c r="J257" i="18"/>
  <c r="D257" i="18"/>
  <c r="G257" i="18"/>
  <c r="I257" i="18" s="1"/>
  <c r="F257" i="18"/>
  <c r="H257" i="18"/>
  <c r="E257" i="18"/>
  <c r="F253" i="18"/>
  <c r="E253" i="18"/>
  <c r="I253" i="18"/>
  <c r="H253" i="18"/>
  <c r="B253" i="18"/>
  <c r="J253" i="18"/>
  <c r="G253" i="18"/>
  <c r="D253" i="18"/>
  <c r="C253" i="18"/>
  <c r="D87" i="18"/>
  <c r="C87" i="18"/>
  <c r="G87" i="18"/>
  <c r="F87" i="18"/>
  <c r="H87" i="18"/>
  <c r="I87" i="18" s="1"/>
  <c r="J87" i="18"/>
  <c r="B87" i="18"/>
  <c r="E87" i="18"/>
  <c r="F450" i="18"/>
  <c r="C450" i="18"/>
  <c r="J450" i="18"/>
  <c r="I450" i="18"/>
  <c r="G450" i="18"/>
  <c r="B450" i="18"/>
  <c r="E450" i="18"/>
  <c r="D450" i="18"/>
  <c r="H450" i="18"/>
  <c r="C410" i="18"/>
  <c r="J410" i="18"/>
  <c r="H410" i="18"/>
  <c r="G410" i="18"/>
  <c r="D410" i="18"/>
  <c r="I410" i="18"/>
  <c r="E410" i="18"/>
  <c r="B410" i="18"/>
  <c r="F410" i="18"/>
  <c r="B392" i="18"/>
  <c r="F392" i="18"/>
  <c r="J392" i="18"/>
  <c r="I392" i="18"/>
  <c r="E392" i="18"/>
  <c r="H392" i="18"/>
  <c r="C392" i="18"/>
  <c r="D392" i="18"/>
  <c r="G392" i="18"/>
  <c r="I205" i="18"/>
  <c r="J205" i="18"/>
  <c r="F205" i="18"/>
  <c r="H205" i="18"/>
  <c r="D205" i="18"/>
  <c r="G205" i="18"/>
  <c r="E205" i="18"/>
  <c r="C205" i="18"/>
  <c r="B205" i="18"/>
  <c r="C301" i="18"/>
  <c r="G301" i="18"/>
  <c r="B301" i="18"/>
  <c r="H301" i="18"/>
  <c r="I301" i="18"/>
  <c r="D301" i="18"/>
  <c r="E301" i="18"/>
  <c r="F301" i="18"/>
  <c r="J301" i="18"/>
  <c r="C227" i="18"/>
  <c r="F227" i="18"/>
  <c r="G227" i="18"/>
  <c r="I227" i="18" s="1"/>
  <c r="D227" i="18"/>
  <c r="J227" i="18"/>
  <c r="H227" i="18"/>
  <c r="E227" i="18"/>
  <c r="B227" i="18"/>
  <c r="G498" i="18"/>
  <c r="H498" i="18"/>
  <c r="C498" i="18"/>
  <c r="B498" i="18"/>
  <c r="D498" i="18"/>
  <c r="F498" i="18"/>
  <c r="E498" i="18"/>
  <c r="I498" i="18"/>
  <c r="J498" i="18"/>
  <c r="B233" i="18"/>
  <c r="J233" i="18"/>
  <c r="D233" i="18"/>
  <c r="C233" i="18"/>
  <c r="E233" i="18"/>
  <c r="H233" i="18"/>
  <c r="I233" i="18" s="1"/>
  <c r="F233" i="18"/>
  <c r="G233" i="18"/>
  <c r="I194" i="18"/>
  <c r="C194" i="18"/>
  <c r="B194" i="18"/>
  <c r="G194" i="18"/>
  <c r="J194" i="18"/>
  <c r="E194" i="18"/>
  <c r="H194" i="18"/>
  <c r="D194" i="18"/>
  <c r="F194" i="18"/>
  <c r="I308" i="18"/>
  <c r="H308" i="18"/>
  <c r="B308" i="18"/>
  <c r="J308" i="18"/>
  <c r="G308" i="18"/>
  <c r="C308" i="18"/>
  <c r="D308" i="18"/>
  <c r="F308" i="18"/>
  <c r="E308" i="18"/>
  <c r="B222" i="18"/>
  <c r="C222" i="18"/>
  <c r="J222" i="18"/>
  <c r="D222" i="18"/>
  <c r="H222" i="18"/>
  <c r="F222" i="18"/>
  <c r="E222" i="18"/>
  <c r="G222" i="18"/>
  <c r="I222" i="18" s="1"/>
  <c r="G174" i="18"/>
  <c r="I174" i="18" s="1"/>
  <c r="B174" i="18"/>
  <c r="C174" i="18"/>
  <c r="J174" i="18"/>
  <c r="D174" i="18"/>
  <c r="E174" i="18"/>
  <c r="H174" i="18"/>
  <c r="F174" i="18"/>
  <c r="J487" i="18"/>
  <c r="D487" i="18"/>
  <c r="F487" i="18"/>
  <c r="C487" i="18"/>
  <c r="I487" i="18"/>
  <c r="H487" i="18"/>
  <c r="B487" i="18"/>
  <c r="E487" i="18"/>
  <c r="G487" i="18"/>
  <c r="D98" i="18"/>
  <c r="H98" i="18"/>
  <c r="I98" i="18" s="1"/>
  <c r="E98" i="18"/>
  <c r="C98" i="18"/>
  <c r="B98" i="18"/>
  <c r="G98" i="18"/>
  <c r="F98" i="18"/>
  <c r="J98" i="18"/>
  <c r="G84" i="18"/>
  <c r="I84" i="18" s="1"/>
  <c r="B84" i="18"/>
  <c r="H84" i="18"/>
  <c r="D84" i="18"/>
  <c r="E84" i="18"/>
  <c r="C84" i="18"/>
  <c r="F84" i="18"/>
  <c r="J84" i="18"/>
  <c r="B213" i="18"/>
  <c r="J213" i="18"/>
  <c r="H213" i="18"/>
  <c r="G213" i="18"/>
  <c r="I213" i="18" s="1"/>
  <c r="F213" i="18"/>
  <c r="C213" i="18"/>
  <c r="D213" i="18"/>
  <c r="E213" i="18"/>
  <c r="J328" i="18"/>
  <c r="H328" i="18"/>
  <c r="G328" i="18"/>
  <c r="E328" i="18"/>
  <c r="D328" i="18"/>
  <c r="B328" i="18"/>
  <c r="C328" i="18"/>
  <c r="F328" i="18"/>
  <c r="I328" i="18"/>
  <c r="B127" i="18"/>
  <c r="C127" i="18"/>
  <c r="H127" i="18"/>
  <c r="J127" i="18"/>
  <c r="G127" i="18"/>
  <c r="I127" i="18"/>
  <c r="D127" i="18"/>
  <c r="E127" i="18"/>
  <c r="F127" i="18"/>
  <c r="G455" i="18"/>
  <c r="C455" i="18"/>
  <c r="D455" i="18"/>
  <c r="J455" i="18"/>
  <c r="E455" i="18"/>
  <c r="F455" i="18"/>
  <c r="I455" i="18"/>
  <c r="B455" i="18"/>
  <c r="H455" i="18"/>
  <c r="F97" i="18"/>
  <c r="D97" i="18"/>
  <c r="J97" i="18"/>
  <c r="E97" i="18"/>
  <c r="H97" i="18"/>
  <c r="B97" i="18"/>
  <c r="C97" i="18"/>
  <c r="G97" i="18"/>
  <c r="I97" i="18" s="1"/>
  <c r="C305" i="18"/>
  <c r="F305" i="18"/>
  <c r="H305" i="18"/>
  <c r="B305" i="18"/>
  <c r="G305" i="18"/>
  <c r="E305" i="18"/>
  <c r="D305" i="18"/>
  <c r="J305" i="18"/>
  <c r="I305" i="18"/>
  <c r="C473" i="18"/>
  <c r="F473" i="18"/>
  <c r="I473" i="18"/>
  <c r="E473" i="18"/>
  <c r="H473" i="18"/>
  <c r="G473" i="18"/>
  <c r="D473" i="18"/>
  <c r="B473" i="18"/>
  <c r="J473" i="18"/>
  <c r="J397" i="18"/>
  <c r="B397" i="18"/>
  <c r="H397" i="18"/>
  <c r="C397" i="18"/>
  <c r="I397" i="18"/>
  <c r="E397" i="18"/>
  <c r="D397" i="18"/>
  <c r="G397" i="18"/>
  <c r="F397" i="18"/>
  <c r="B199" i="18"/>
  <c r="J199" i="18"/>
  <c r="C199" i="18"/>
  <c r="E199" i="18"/>
  <c r="D199" i="18"/>
  <c r="H199" i="18"/>
  <c r="G199" i="18"/>
  <c r="I199" i="18" s="1"/>
  <c r="F199" i="18"/>
  <c r="F327" i="18"/>
  <c r="E327" i="18"/>
  <c r="H327" i="18"/>
  <c r="D327" i="18"/>
  <c r="B327" i="18"/>
  <c r="J327" i="18"/>
  <c r="C327" i="18"/>
  <c r="I327" i="18"/>
  <c r="G327" i="18"/>
  <c r="B216" i="18"/>
  <c r="F216" i="18"/>
  <c r="H216" i="18"/>
  <c r="J216" i="18"/>
  <c r="G216" i="18"/>
  <c r="I216" i="18" s="1"/>
  <c r="D216" i="18"/>
  <c r="C216" i="18"/>
  <c r="E216" i="18"/>
  <c r="H468" i="18"/>
  <c r="J468" i="18"/>
  <c r="C468" i="18"/>
  <c r="I468" i="18"/>
  <c r="E468" i="18"/>
  <c r="G468" i="18"/>
  <c r="D468" i="18"/>
  <c r="B468" i="18"/>
  <c r="F468" i="18"/>
  <c r="D136" i="18"/>
  <c r="H136" i="18"/>
  <c r="F136" i="18"/>
  <c r="J136" i="18"/>
  <c r="I136" i="18"/>
  <c r="B136" i="18"/>
  <c r="G136" i="18"/>
  <c r="E136" i="18"/>
  <c r="C136" i="18"/>
  <c r="C186" i="18"/>
  <c r="E186" i="18"/>
  <c r="B186" i="18"/>
  <c r="J186" i="18"/>
  <c r="F186" i="18"/>
  <c r="D186" i="18"/>
  <c r="G186" i="18"/>
  <c r="I186" i="18" s="1"/>
  <c r="H186" i="18"/>
  <c r="B385" i="18"/>
  <c r="D385" i="18"/>
  <c r="C385" i="18"/>
  <c r="E385" i="18"/>
  <c r="H385" i="18"/>
  <c r="G385" i="18"/>
  <c r="F385" i="18"/>
  <c r="J385" i="18"/>
  <c r="I385" i="18"/>
  <c r="H330" i="18"/>
  <c r="B330" i="18"/>
  <c r="G330" i="18"/>
  <c r="C330" i="18"/>
  <c r="D330" i="18"/>
  <c r="F330" i="18"/>
  <c r="J330" i="18"/>
  <c r="I330" i="18"/>
  <c r="E330" i="18"/>
  <c r="D134" i="18"/>
  <c r="G134" i="18"/>
  <c r="I134" i="18" s="1"/>
  <c r="H134" i="18"/>
  <c r="E134" i="18"/>
  <c r="C134" i="18"/>
  <c r="B134" i="18"/>
  <c r="F134" i="18"/>
  <c r="J134" i="18"/>
  <c r="H176" i="18"/>
  <c r="I176" i="18" s="1"/>
  <c r="D176" i="18"/>
  <c r="J176" i="18"/>
  <c r="F176" i="18"/>
  <c r="C176" i="18"/>
  <c r="G176" i="18"/>
  <c r="E176" i="18"/>
  <c r="B176" i="18"/>
  <c r="E454" i="18"/>
  <c r="F454" i="18"/>
  <c r="H454" i="18"/>
  <c r="C454" i="18"/>
  <c r="I454" i="18"/>
  <c r="G454" i="18"/>
  <c r="B454" i="18"/>
  <c r="J454" i="18"/>
  <c r="D454" i="18"/>
  <c r="B355" i="18"/>
  <c r="I355" i="18"/>
  <c r="E355" i="18"/>
  <c r="F355" i="18"/>
  <c r="J355" i="18"/>
  <c r="C355" i="18"/>
  <c r="D355" i="18"/>
  <c r="H355" i="18"/>
  <c r="G355" i="18"/>
  <c r="D494" i="18"/>
  <c r="E494" i="18"/>
  <c r="B494" i="18"/>
  <c r="F494" i="18"/>
  <c r="J494" i="18"/>
  <c r="C494" i="18"/>
  <c r="H494" i="18"/>
  <c r="I494" i="18"/>
  <c r="G494" i="18"/>
  <c r="C200" i="18"/>
  <c r="B200" i="18"/>
  <c r="J200" i="18"/>
  <c r="E200" i="18"/>
  <c r="H200" i="18"/>
  <c r="F200" i="18"/>
  <c r="G200" i="18"/>
  <c r="I200" i="18" s="1"/>
  <c r="D200" i="18"/>
  <c r="F482" i="18"/>
  <c r="J482" i="18"/>
  <c r="E482" i="18"/>
  <c r="I482" i="18"/>
  <c r="B482" i="18"/>
  <c r="D482" i="18"/>
  <c r="C482" i="18"/>
  <c r="G482" i="18"/>
  <c r="H482" i="18"/>
  <c r="C256" i="18"/>
  <c r="G256" i="18"/>
  <c r="D256" i="18"/>
  <c r="J256" i="18"/>
  <c r="B256" i="18"/>
  <c r="E256" i="18"/>
  <c r="H256" i="18"/>
  <c r="F256" i="18"/>
  <c r="I256" i="18"/>
  <c r="B276" i="18"/>
  <c r="J276" i="18"/>
  <c r="E276" i="18"/>
  <c r="C276" i="18"/>
  <c r="H276" i="18"/>
  <c r="F276" i="18"/>
  <c r="G276" i="18"/>
  <c r="I276" i="18" s="1"/>
  <c r="D276" i="18"/>
  <c r="D141" i="18"/>
  <c r="H141" i="18"/>
  <c r="J141" i="18"/>
  <c r="E141" i="18"/>
  <c r="B141" i="18"/>
  <c r="G141" i="18"/>
  <c r="I141" i="18" s="1"/>
  <c r="F141" i="18"/>
  <c r="C141" i="18"/>
  <c r="H101" i="18"/>
  <c r="E101" i="18"/>
  <c r="F101" i="18"/>
  <c r="D101" i="18"/>
  <c r="G101" i="18"/>
  <c r="I101" i="18" s="1"/>
  <c r="C101" i="18"/>
  <c r="B101" i="18"/>
  <c r="J101" i="18"/>
  <c r="I375" i="18"/>
  <c r="H375" i="18"/>
  <c r="E375" i="18"/>
  <c r="F375" i="18"/>
  <c r="G375" i="18"/>
  <c r="J375" i="18"/>
  <c r="B375" i="18"/>
  <c r="C375" i="18"/>
  <c r="D375" i="18"/>
  <c r="C481" i="18"/>
  <c r="E481" i="18"/>
  <c r="F481" i="18"/>
  <c r="B481" i="18"/>
  <c r="H481" i="18"/>
  <c r="D481" i="18"/>
  <c r="J481" i="18"/>
  <c r="I481" i="18"/>
  <c r="G481" i="18"/>
  <c r="E99" i="18"/>
  <c r="B99" i="18"/>
  <c r="D99" i="18"/>
  <c r="F99" i="18"/>
  <c r="H99" i="18"/>
  <c r="I99" i="18" s="1"/>
  <c r="G99" i="18"/>
  <c r="J99" i="18"/>
  <c r="C99" i="18"/>
  <c r="G96" i="18"/>
  <c r="I96" i="18" s="1"/>
  <c r="H96" i="18"/>
  <c r="J96" i="18"/>
  <c r="F96" i="18"/>
  <c r="D96" i="18"/>
  <c r="E96" i="18"/>
  <c r="B96" i="18"/>
  <c r="C96" i="18"/>
  <c r="B321" i="18"/>
  <c r="E321" i="18"/>
  <c r="D321" i="18"/>
  <c r="I321" i="18"/>
  <c r="C321" i="18"/>
  <c r="G321" i="18"/>
  <c r="J321" i="18"/>
  <c r="H321" i="18"/>
  <c r="F321" i="18"/>
  <c r="D117" i="18"/>
  <c r="I117" i="18"/>
  <c r="E117" i="18"/>
  <c r="H117" i="18"/>
  <c r="J117" i="18"/>
  <c r="B117" i="18"/>
  <c r="G117" i="18"/>
  <c r="C117" i="18"/>
  <c r="F117" i="18"/>
  <c r="B112" i="18"/>
  <c r="I112" i="18"/>
  <c r="C112" i="18"/>
  <c r="F112" i="18"/>
  <c r="E112" i="18"/>
  <c r="H112" i="18"/>
  <c r="J112" i="18"/>
  <c r="D112" i="18"/>
  <c r="G112" i="18"/>
  <c r="C412" i="18"/>
  <c r="D412" i="18"/>
  <c r="G412" i="18"/>
  <c r="I412" i="18"/>
  <c r="B412" i="18"/>
  <c r="E412" i="18"/>
  <c r="H412" i="18"/>
  <c r="J412" i="18"/>
  <c r="F412" i="18"/>
  <c r="C260" i="18"/>
  <c r="J260" i="18"/>
  <c r="E260" i="18"/>
  <c r="H260" i="18"/>
  <c r="B260" i="18"/>
  <c r="G260" i="18"/>
  <c r="I260" i="18" s="1"/>
  <c r="D260" i="18"/>
  <c r="F260" i="18"/>
  <c r="H485" i="18"/>
  <c r="E485" i="18"/>
  <c r="I485" i="18"/>
  <c r="J485" i="18"/>
  <c r="C485" i="18"/>
  <c r="B485" i="18"/>
  <c r="D485" i="18"/>
  <c r="G485" i="18"/>
  <c r="F485" i="18"/>
  <c r="G373" i="18"/>
  <c r="F373" i="18"/>
  <c r="D373" i="18"/>
  <c r="C373" i="18"/>
  <c r="J373" i="18"/>
  <c r="B373" i="18"/>
  <c r="H373" i="18"/>
  <c r="E373" i="18"/>
  <c r="I373" i="18"/>
  <c r="G431" i="18"/>
  <c r="E431" i="18"/>
  <c r="C431" i="18"/>
  <c r="F431" i="18"/>
  <c r="H431" i="18"/>
  <c r="B431" i="18"/>
  <c r="D431" i="18"/>
  <c r="I431" i="18"/>
  <c r="J431" i="18"/>
  <c r="B433" i="18"/>
  <c r="F433" i="18"/>
  <c r="E433" i="18"/>
  <c r="G433" i="18"/>
  <c r="J433" i="18"/>
  <c r="I433" i="18"/>
  <c r="H433" i="18"/>
  <c r="C433" i="18"/>
  <c r="D433" i="18"/>
  <c r="B492" i="18"/>
  <c r="G492" i="18"/>
  <c r="J492" i="18"/>
  <c r="I492" i="18"/>
  <c r="D492" i="18"/>
  <c r="F492" i="18"/>
  <c r="E492" i="18"/>
  <c r="H492" i="18"/>
  <c r="C492" i="18"/>
  <c r="F438" i="18"/>
  <c r="I438" i="18"/>
  <c r="H438" i="18"/>
  <c r="E438" i="18"/>
  <c r="J438" i="18"/>
  <c r="B438" i="18"/>
  <c r="D438" i="18"/>
  <c r="C438" i="18"/>
  <c r="G438" i="18"/>
  <c r="F161" i="18"/>
  <c r="D161" i="18"/>
  <c r="I161" i="18"/>
  <c r="H161" i="18"/>
  <c r="J161" i="18"/>
  <c r="G161" i="18"/>
  <c r="B161" i="18"/>
  <c r="E161" i="18"/>
  <c r="C161" i="18"/>
  <c r="C69" i="18"/>
  <c r="G69" i="18"/>
  <c r="E69" i="18"/>
  <c r="F69" i="18"/>
  <c r="B69" i="18"/>
  <c r="J69" i="18"/>
  <c r="D69" i="18"/>
  <c r="H69" i="18"/>
  <c r="I69" i="18" s="1"/>
  <c r="B223" i="18"/>
  <c r="C223" i="18"/>
  <c r="D223" i="18"/>
  <c r="I223" i="18"/>
  <c r="G223" i="18"/>
  <c r="J223" i="18"/>
  <c r="E223" i="18"/>
  <c r="H223" i="18"/>
  <c r="F223" i="18"/>
  <c r="I477" i="18"/>
  <c r="B477" i="18"/>
  <c r="J477" i="18"/>
  <c r="F477" i="18"/>
  <c r="C477" i="18"/>
  <c r="E477" i="18"/>
  <c r="D477" i="18"/>
  <c r="H477" i="18"/>
  <c r="G477" i="18"/>
  <c r="F236" i="18"/>
  <c r="E236" i="18"/>
  <c r="J236" i="18"/>
  <c r="G236" i="18"/>
  <c r="I236" i="18" s="1"/>
  <c r="C236" i="18"/>
  <c r="D236" i="18"/>
  <c r="H236" i="18"/>
  <c r="B236" i="18"/>
  <c r="D254" i="18"/>
  <c r="I254" i="18"/>
  <c r="H254" i="18"/>
  <c r="C254" i="18"/>
  <c r="G254" i="18"/>
  <c r="F254" i="18"/>
  <c r="B254" i="18"/>
  <c r="E254" i="18"/>
  <c r="J254" i="18"/>
  <c r="G277" i="18"/>
  <c r="I277" i="18" s="1"/>
  <c r="F277" i="18"/>
  <c r="E277" i="18"/>
  <c r="H277" i="18"/>
  <c r="B277" i="18"/>
  <c r="D277" i="18"/>
  <c r="C277" i="18"/>
  <c r="J277" i="18"/>
  <c r="B480" i="18"/>
  <c r="I480" i="18"/>
  <c r="H480" i="18"/>
  <c r="E480" i="18"/>
  <c r="F480" i="18"/>
  <c r="J480" i="18"/>
  <c r="D480" i="18"/>
  <c r="G480" i="18"/>
  <c r="C480" i="18"/>
  <c r="H278" i="18"/>
  <c r="G278" i="18"/>
  <c r="I278" i="18" s="1"/>
  <c r="B278" i="18"/>
  <c r="D278" i="18"/>
  <c r="C278" i="18"/>
  <c r="E278" i="18"/>
  <c r="F278" i="18"/>
  <c r="J278" i="18"/>
  <c r="B445" i="18"/>
  <c r="J445" i="18"/>
  <c r="I445" i="18"/>
  <c r="H445" i="18"/>
  <c r="F445" i="18"/>
  <c r="D445" i="18"/>
  <c r="E445" i="18"/>
  <c r="G445" i="18"/>
  <c r="C445" i="18"/>
  <c r="E88" i="18"/>
  <c r="G88" i="18"/>
  <c r="I88" i="18" s="1"/>
  <c r="D88" i="18"/>
  <c r="F88" i="18"/>
  <c r="J88" i="18"/>
  <c r="B88" i="18"/>
  <c r="H88" i="18"/>
  <c r="C88" i="18"/>
  <c r="H475" i="18"/>
  <c r="F475" i="18"/>
  <c r="E475" i="18"/>
  <c r="I475" i="18"/>
  <c r="J475" i="18"/>
  <c r="B475" i="18"/>
  <c r="C475" i="18"/>
  <c r="G475" i="18"/>
  <c r="D475" i="18"/>
  <c r="E126" i="18"/>
  <c r="G126" i="18"/>
  <c r="I126" i="18" s="1"/>
  <c r="B126" i="18"/>
  <c r="H126" i="18"/>
  <c r="F126" i="18"/>
  <c r="D126" i="18"/>
  <c r="C126" i="18"/>
  <c r="J126" i="18"/>
  <c r="F202" i="18"/>
  <c r="B202" i="18"/>
  <c r="E202" i="18"/>
  <c r="G202" i="18"/>
  <c r="D202" i="18"/>
  <c r="H202" i="18"/>
  <c r="I202" i="18" s="1"/>
  <c r="J202" i="18"/>
  <c r="C202" i="18"/>
  <c r="B497" i="18"/>
  <c r="H497" i="18"/>
  <c r="J497" i="18"/>
  <c r="G497" i="18"/>
  <c r="I497" i="18"/>
  <c r="E497" i="18"/>
  <c r="D497" i="18"/>
  <c r="F497" i="18"/>
  <c r="C497" i="18"/>
  <c r="I505" i="18"/>
  <c r="G505" i="18"/>
  <c r="J505" i="18"/>
  <c r="H505" i="18"/>
  <c r="E505" i="18"/>
  <c r="C505" i="18"/>
  <c r="F505" i="18"/>
  <c r="D505" i="18"/>
  <c r="B505" i="18"/>
  <c r="J447" i="18"/>
  <c r="H447" i="18"/>
  <c r="E447" i="18"/>
  <c r="G447" i="18"/>
  <c r="I447" i="18"/>
  <c r="F447" i="18"/>
  <c r="B447" i="18"/>
  <c r="D447" i="18"/>
  <c r="C447" i="18"/>
  <c r="B225" i="18"/>
  <c r="F225" i="18"/>
  <c r="C225" i="18"/>
  <c r="D225" i="18"/>
  <c r="E225" i="18"/>
  <c r="G225" i="18"/>
  <c r="H225" i="18"/>
  <c r="I225" i="18"/>
  <c r="J225" i="18"/>
  <c r="F237" i="18"/>
  <c r="C237" i="18"/>
  <c r="E237" i="18"/>
  <c r="D237" i="18"/>
  <c r="H237" i="18"/>
  <c r="I237" i="18" s="1"/>
  <c r="G237" i="18"/>
  <c r="J237" i="18"/>
  <c r="B237" i="18"/>
  <c r="C349" i="18"/>
  <c r="B349" i="18"/>
  <c r="I349" i="18"/>
  <c r="H349" i="18"/>
  <c r="D349" i="18"/>
  <c r="F349" i="18"/>
  <c r="G349" i="18"/>
  <c r="E349" i="18"/>
  <c r="J349" i="18"/>
  <c r="F160" i="18"/>
  <c r="E160" i="18"/>
  <c r="D160" i="18"/>
  <c r="G160" i="18"/>
  <c r="B160" i="18"/>
  <c r="J160" i="18"/>
  <c r="C160" i="18"/>
  <c r="H160" i="18"/>
  <c r="I160" i="18"/>
  <c r="D446" i="18"/>
  <c r="B446" i="18"/>
  <c r="E446" i="18"/>
  <c r="I446" i="18"/>
  <c r="C446" i="18"/>
  <c r="F446" i="18"/>
  <c r="J446" i="18"/>
  <c r="G446" i="18"/>
  <c r="H446" i="18"/>
  <c r="C157" i="18"/>
  <c r="B157" i="18"/>
  <c r="F157" i="18"/>
  <c r="E157" i="18"/>
  <c r="J157" i="18"/>
  <c r="D157" i="18"/>
  <c r="G157" i="18"/>
  <c r="I157" i="18" s="1"/>
  <c r="H157" i="18"/>
  <c r="J332" i="18"/>
  <c r="F332" i="18"/>
  <c r="H332" i="18"/>
  <c r="B332" i="18"/>
  <c r="G332" i="18"/>
  <c r="E332" i="18"/>
  <c r="C332" i="18"/>
  <c r="D332" i="18"/>
  <c r="I332" i="18"/>
  <c r="G153" i="18"/>
  <c r="I153" i="18" s="1"/>
  <c r="H153" i="18"/>
  <c r="D153" i="18"/>
  <c r="B153" i="18"/>
  <c r="J153" i="18"/>
  <c r="F153" i="18"/>
  <c r="E153" i="18"/>
  <c r="C153" i="18"/>
  <c r="J364" i="18"/>
  <c r="I364" i="18"/>
  <c r="C364" i="18"/>
  <c r="H364" i="18"/>
  <c r="E364" i="18"/>
  <c r="F364" i="18"/>
  <c r="G364" i="18"/>
  <c r="B364" i="18"/>
  <c r="D364" i="18"/>
  <c r="H483" i="18"/>
  <c r="C483" i="18"/>
  <c r="J483" i="18"/>
  <c r="G483" i="18"/>
  <c r="I483" i="18"/>
  <c r="E483" i="18"/>
  <c r="B483" i="18"/>
  <c r="F483" i="18"/>
  <c r="D483" i="18"/>
  <c r="C345" i="18"/>
  <c r="G345" i="18"/>
  <c r="I345" i="18"/>
  <c r="F345" i="18"/>
  <c r="B345" i="18"/>
  <c r="J345" i="18"/>
  <c r="E345" i="18"/>
  <c r="D345" i="18"/>
  <c r="H345" i="18"/>
  <c r="I396" i="18"/>
  <c r="D396" i="18"/>
  <c r="E396" i="18"/>
  <c r="B396" i="18"/>
  <c r="H396" i="18"/>
  <c r="J396" i="18"/>
  <c r="F396" i="18"/>
  <c r="G396" i="18"/>
  <c r="C396" i="18"/>
  <c r="C401" i="18"/>
  <c r="J401" i="18"/>
  <c r="E401" i="18"/>
  <c r="G401" i="18"/>
  <c r="D401" i="18"/>
  <c r="I401" i="18"/>
  <c r="H401" i="18"/>
  <c r="F401" i="18"/>
  <c r="B401" i="18"/>
  <c r="B181" i="18"/>
  <c r="H181" i="18"/>
  <c r="F181" i="18"/>
  <c r="E181" i="18"/>
  <c r="J181" i="18"/>
  <c r="C181" i="18"/>
  <c r="D181" i="18"/>
  <c r="G181" i="18"/>
  <c r="I181" i="18"/>
  <c r="B459" i="18"/>
  <c r="I459" i="18"/>
  <c r="G459" i="18"/>
  <c r="J459" i="18"/>
  <c r="C459" i="18"/>
  <c r="H459" i="18"/>
  <c r="D459" i="18"/>
  <c r="F459" i="18"/>
  <c r="E459" i="18"/>
  <c r="J319" i="18"/>
  <c r="H319" i="18"/>
  <c r="B319" i="18"/>
  <c r="F319" i="18"/>
  <c r="E319" i="18"/>
  <c r="D319" i="18"/>
  <c r="I319" i="18"/>
  <c r="G319" i="18"/>
  <c r="C319" i="18"/>
  <c r="B490" i="18"/>
  <c r="H490" i="18"/>
  <c r="D490" i="18"/>
  <c r="G490" i="18"/>
  <c r="I490" i="18"/>
  <c r="E490" i="18"/>
  <c r="C490" i="18"/>
  <c r="J490" i="18"/>
  <c r="F490" i="18"/>
  <c r="G266" i="18"/>
  <c r="C266" i="18"/>
  <c r="J266" i="18"/>
  <c r="E266" i="18"/>
  <c r="D266" i="18"/>
  <c r="F266" i="18"/>
  <c r="H266" i="18"/>
  <c r="I266" i="18" s="1"/>
  <c r="B266" i="18"/>
  <c r="H73" i="18"/>
  <c r="F73" i="18"/>
  <c r="C73" i="18"/>
  <c r="B73" i="18"/>
  <c r="J73" i="18"/>
  <c r="G73" i="18"/>
  <c r="I73" i="18"/>
  <c r="E73" i="18"/>
  <c r="D73" i="18"/>
  <c r="H137" i="18"/>
  <c r="G137" i="18"/>
  <c r="I137" i="18" s="1"/>
  <c r="D137" i="18"/>
  <c r="J137" i="18"/>
  <c r="F137" i="18"/>
  <c r="C137" i="18"/>
  <c r="E137" i="18"/>
  <c r="B137" i="18"/>
  <c r="F218" i="18"/>
  <c r="E218" i="18"/>
  <c r="J218" i="18"/>
  <c r="H218" i="18"/>
  <c r="C218" i="18"/>
  <c r="D218" i="18"/>
  <c r="B218" i="18"/>
  <c r="G218" i="18"/>
  <c r="I218" i="18" s="1"/>
  <c r="H368" i="18"/>
  <c r="D368" i="18"/>
  <c r="F368" i="18"/>
  <c r="E368" i="18"/>
  <c r="G368" i="18"/>
  <c r="J368" i="18"/>
  <c r="I368" i="18"/>
  <c r="C368" i="18"/>
  <c r="B368" i="18"/>
  <c r="D469" i="18"/>
  <c r="J469" i="18"/>
  <c r="G469" i="18"/>
  <c r="C469" i="18"/>
  <c r="F469" i="18"/>
  <c r="I469" i="18"/>
  <c r="B469" i="18"/>
  <c r="E469" i="18"/>
  <c r="H469" i="18"/>
  <c r="C439" i="18"/>
  <c r="F439" i="18"/>
  <c r="B439" i="18"/>
  <c r="E439" i="18"/>
  <c r="H439" i="18"/>
  <c r="J439" i="18"/>
  <c r="G439" i="18"/>
  <c r="D439" i="18"/>
  <c r="I439" i="18"/>
  <c r="B106" i="18"/>
  <c r="G106" i="18"/>
  <c r="I106" i="18" s="1"/>
  <c r="C106" i="18"/>
  <c r="F106" i="18"/>
  <c r="J106" i="18"/>
  <c r="D106" i="18"/>
  <c r="H106" i="18"/>
  <c r="E106" i="18"/>
  <c r="G267" i="18"/>
  <c r="I267" i="18" s="1"/>
  <c r="H267" i="18"/>
  <c r="J267" i="18"/>
  <c r="F267" i="18"/>
  <c r="B267" i="18"/>
  <c r="E267" i="18"/>
  <c r="C267" i="18"/>
  <c r="D267" i="18"/>
  <c r="J163" i="18"/>
  <c r="B163" i="18"/>
  <c r="F163" i="18"/>
  <c r="G163" i="18"/>
  <c r="H163" i="18"/>
  <c r="C163" i="18"/>
  <c r="E163" i="18"/>
  <c r="D163" i="18"/>
  <c r="I163" i="18"/>
  <c r="J333" i="18"/>
  <c r="B333" i="18"/>
  <c r="G333" i="18"/>
  <c r="F333" i="18"/>
  <c r="H333" i="18"/>
  <c r="E333" i="18"/>
  <c r="I333" i="18"/>
  <c r="D333" i="18"/>
  <c r="C333" i="18"/>
  <c r="E102" i="18"/>
  <c r="B102" i="18"/>
  <c r="D102" i="18"/>
  <c r="J102" i="18"/>
  <c r="F102" i="18"/>
  <c r="H102" i="18"/>
  <c r="C102" i="18"/>
  <c r="G102" i="18"/>
  <c r="I102" i="18" s="1"/>
  <c r="H273" i="18"/>
  <c r="C273" i="18"/>
  <c r="J273" i="18"/>
  <c r="G273" i="18"/>
  <c r="I273" i="18" s="1"/>
  <c r="D273" i="18"/>
  <c r="B273" i="18"/>
  <c r="E273" i="18"/>
  <c r="F273" i="18"/>
  <c r="B95" i="18"/>
  <c r="G95" i="18"/>
  <c r="D95" i="18"/>
  <c r="J95" i="18"/>
  <c r="H95" i="18"/>
  <c r="I95" i="18" s="1"/>
  <c r="C95" i="18"/>
  <c r="F95" i="18"/>
  <c r="E95" i="18"/>
  <c r="I376" i="18"/>
  <c r="D376" i="18"/>
  <c r="H376" i="18"/>
  <c r="G376" i="18"/>
  <c r="E376" i="18"/>
  <c r="B376" i="18"/>
  <c r="C376" i="18"/>
  <c r="F376" i="18"/>
  <c r="J376" i="18"/>
  <c r="B220" i="18"/>
  <c r="G220" i="18"/>
  <c r="I220" i="18" s="1"/>
  <c r="J220" i="18"/>
  <c r="C220" i="18"/>
  <c r="E220" i="18"/>
  <c r="H220" i="18"/>
  <c r="F220" i="18"/>
  <c r="D220" i="18"/>
  <c r="I451" i="18"/>
  <c r="F451" i="18"/>
  <c r="E451" i="18"/>
  <c r="D451" i="18"/>
  <c r="C451" i="18"/>
  <c r="J451" i="18"/>
  <c r="G451" i="18"/>
  <c r="H451" i="18"/>
  <c r="B451" i="18"/>
  <c r="G192" i="18"/>
  <c r="F192" i="18"/>
  <c r="J192" i="18"/>
  <c r="H192" i="18"/>
  <c r="C192" i="18"/>
  <c r="I192" i="18"/>
  <c r="E192" i="18"/>
  <c r="D192" i="18"/>
  <c r="B192" i="18"/>
  <c r="B184" i="18"/>
  <c r="J184" i="18"/>
  <c r="C184" i="18"/>
  <c r="D184" i="18"/>
  <c r="G184" i="18"/>
  <c r="E184" i="18"/>
  <c r="H184" i="18"/>
  <c r="I184" i="18" s="1"/>
  <c r="F184" i="18"/>
  <c r="F132" i="18"/>
  <c r="J132" i="18"/>
  <c r="D132" i="18"/>
  <c r="B132" i="18"/>
  <c r="G132" i="18"/>
  <c r="I132" i="18" s="1"/>
  <c r="E132" i="18"/>
  <c r="H132" i="18"/>
  <c r="C132" i="18"/>
  <c r="C307" i="18"/>
  <c r="E307" i="18"/>
  <c r="H307" i="18"/>
  <c r="I307" i="18"/>
  <c r="F307" i="18"/>
  <c r="B307" i="18"/>
  <c r="D307" i="18"/>
  <c r="G307" i="18"/>
  <c r="J307" i="18"/>
  <c r="E417" i="18"/>
  <c r="C417" i="18"/>
  <c r="B417" i="18"/>
  <c r="H417" i="18"/>
  <c r="F417" i="18"/>
  <c r="G417" i="18"/>
  <c r="D417" i="18"/>
  <c r="I417" i="18"/>
  <c r="J417" i="18"/>
  <c r="B389" i="18"/>
  <c r="H389" i="18"/>
  <c r="D389" i="18"/>
  <c r="J389" i="18"/>
  <c r="F389" i="18"/>
  <c r="E389" i="18"/>
  <c r="I389" i="18"/>
  <c r="C389" i="18"/>
  <c r="G389" i="18"/>
  <c r="G337" i="18"/>
  <c r="C337" i="18"/>
  <c r="F337" i="18"/>
  <c r="I337" i="18"/>
  <c r="D337" i="18"/>
  <c r="E337" i="18"/>
  <c r="J337" i="18"/>
  <c r="H337" i="18"/>
  <c r="B337" i="18"/>
  <c r="B434" i="18"/>
  <c r="C434" i="18"/>
  <c r="E434" i="18"/>
  <c r="J434" i="18"/>
  <c r="G434" i="18"/>
  <c r="F434" i="18"/>
  <c r="D434" i="18"/>
  <c r="I434" i="18"/>
  <c r="H434" i="18"/>
  <c r="I342" i="18"/>
  <c r="J342" i="18"/>
  <c r="G342" i="18"/>
  <c r="B342" i="18"/>
  <c r="E342" i="18"/>
  <c r="C342" i="18"/>
  <c r="D342" i="18"/>
  <c r="H342" i="18"/>
  <c r="F342" i="18"/>
  <c r="D399" i="18"/>
  <c r="H399" i="18"/>
  <c r="F399" i="18"/>
  <c r="C399" i="18"/>
  <c r="G399" i="18"/>
  <c r="I399" i="18"/>
  <c r="B399" i="18"/>
  <c r="E399" i="18"/>
  <c r="J399" i="18"/>
  <c r="B336" i="18"/>
  <c r="F336" i="18"/>
  <c r="C336" i="18"/>
  <c r="G336" i="18"/>
  <c r="H336" i="18"/>
  <c r="I336" i="18"/>
  <c r="D336" i="18"/>
  <c r="J336" i="18"/>
  <c r="E336" i="18"/>
  <c r="F166" i="18"/>
  <c r="D166" i="18"/>
  <c r="B166" i="18"/>
  <c r="E166" i="18"/>
  <c r="H166" i="18"/>
  <c r="C166" i="18"/>
  <c r="G166" i="18"/>
  <c r="I166" i="18" s="1"/>
  <c r="J166" i="18"/>
  <c r="G403" i="18"/>
  <c r="D403" i="18"/>
  <c r="E403" i="18"/>
  <c r="I403" i="18"/>
  <c r="H403" i="18"/>
  <c r="B403" i="18"/>
  <c r="C403" i="18"/>
  <c r="J403" i="18"/>
  <c r="F403" i="18"/>
  <c r="C241" i="18"/>
  <c r="J241" i="18"/>
  <c r="D241" i="18"/>
  <c r="F241" i="18"/>
  <c r="I241" i="18"/>
  <c r="H241" i="18"/>
  <c r="G241" i="18"/>
  <c r="E241" i="18"/>
  <c r="B241" i="18"/>
  <c r="F261" i="18"/>
  <c r="J261" i="18"/>
  <c r="H261" i="18"/>
  <c r="D261" i="18"/>
  <c r="B261" i="18"/>
  <c r="E261" i="18"/>
  <c r="G261" i="18"/>
  <c r="I261" i="18" s="1"/>
  <c r="C261" i="18"/>
  <c r="E162" i="18"/>
  <c r="J162" i="18"/>
  <c r="G162" i="18"/>
  <c r="I162" i="18" s="1"/>
  <c r="B162" i="18"/>
  <c r="C162" i="18"/>
  <c r="D162" i="18"/>
  <c r="F162" i="18"/>
  <c r="H162" i="18"/>
  <c r="E234" i="18"/>
  <c r="J234" i="18"/>
  <c r="G234" i="18"/>
  <c r="H234" i="18"/>
  <c r="I234" i="18"/>
  <c r="F234" i="18"/>
  <c r="C234" i="18"/>
  <c r="D234" i="18"/>
  <c r="B234" i="18"/>
  <c r="C258" i="18"/>
  <c r="H258" i="18"/>
  <c r="G258" i="18"/>
  <c r="I258" i="18" s="1"/>
  <c r="B258" i="18"/>
  <c r="E258" i="18"/>
  <c r="F258" i="18"/>
  <c r="D258" i="18"/>
  <c r="J258" i="18"/>
  <c r="G379" i="18"/>
  <c r="E379" i="18"/>
  <c r="C379" i="18"/>
  <c r="F379" i="18"/>
  <c r="B379" i="18"/>
  <c r="I379" i="18"/>
  <c r="H379" i="18"/>
  <c r="J379" i="18"/>
  <c r="D379" i="18"/>
  <c r="D286" i="18"/>
  <c r="E286" i="18"/>
  <c r="H286" i="18"/>
  <c r="I286" i="18" s="1"/>
  <c r="J286" i="18"/>
  <c r="B286" i="18"/>
  <c r="C286" i="18"/>
  <c r="G286" i="18"/>
  <c r="F286" i="18"/>
  <c r="I130" i="18"/>
  <c r="H130" i="18"/>
  <c r="G130" i="18"/>
  <c r="J130" i="18"/>
  <c r="B130" i="18"/>
  <c r="E130" i="18"/>
  <c r="C130" i="18"/>
  <c r="D130" i="18"/>
  <c r="F130" i="18"/>
  <c r="B310" i="18"/>
  <c r="E310" i="18"/>
  <c r="J310" i="18"/>
  <c r="D310" i="18"/>
  <c r="H310" i="18"/>
  <c r="F310" i="18"/>
  <c r="C310" i="18"/>
  <c r="G310" i="18"/>
  <c r="I310" i="18"/>
  <c r="I303" i="18"/>
  <c r="B303" i="18"/>
  <c r="F303" i="18"/>
  <c r="J303" i="18"/>
  <c r="D303" i="18"/>
  <c r="E303" i="18"/>
  <c r="C303" i="18"/>
  <c r="H303" i="18"/>
  <c r="G303" i="18"/>
  <c r="J135" i="18"/>
  <c r="B135" i="18"/>
  <c r="I135" i="18"/>
  <c r="F135" i="18"/>
  <c r="D135" i="18"/>
  <c r="C135" i="18"/>
  <c r="H135" i="18"/>
  <c r="E135" i="18"/>
  <c r="G135" i="18"/>
  <c r="E415" i="18"/>
  <c r="D415" i="18"/>
  <c r="C415" i="18"/>
  <c r="B415" i="18"/>
  <c r="F415" i="18"/>
  <c r="I415" i="18"/>
  <c r="G415" i="18"/>
  <c r="J415" i="18"/>
  <c r="H415" i="18"/>
  <c r="C495" i="18"/>
  <c r="B495" i="18"/>
  <c r="H495" i="18"/>
  <c r="E495" i="18"/>
  <c r="J495" i="18"/>
  <c r="F495" i="18"/>
  <c r="D495" i="18"/>
  <c r="I495" i="18"/>
  <c r="G495" i="18"/>
  <c r="G240" i="18"/>
  <c r="F240" i="18"/>
  <c r="B240" i="18"/>
  <c r="H240" i="18"/>
  <c r="I240" i="18" s="1"/>
  <c r="D240" i="18"/>
  <c r="C240" i="18"/>
  <c r="J240" i="18"/>
  <c r="E240" i="18"/>
  <c r="E422" i="18"/>
  <c r="C422" i="18"/>
  <c r="B422" i="18"/>
  <c r="F422" i="18"/>
  <c r="G422" i="18"/>
  <c r="D422" i="18"/>
  <c r="H422" i="18"/>
  <c r="I422" i="18"/>
  <c r="J422" i="18"/>
  <c r="C189" i="18"/>
  <c r="E189" i="18"/>
  <c r="D189" i="18"/>
  <c r="J189" i="18"/>
  <c r="B189" i="18"/>
  <c r="H189" i="18"/>
  <c r="G189" i="18"/>
  <c r="I189" i="18"/>
  <c r="F189" i="18"/>
  <c r="J293" i="18"/>
  <c r="D293" i="18"/>
  <c r="G293" i="18"/>
  <c r="C293" i="18"/>
  <c r="E293" i="18"/>
  <c r="I293" i="18"/>
  <c r="H293" i="18"/>
  <c r="F293" i="18"/>
  <c r="B293" i="18"/>
  <c r="C211" i="18"/>
  <c r="B211" i="18"/>
  <c r="J211" i="18"/>
  <c r="E211" i="18"/>
  <c r="G211" i="18"/>
  <c r="I211" i="18" s="1"/>
  <c r="H211" i="18"/>
  <c r="F211" i="18"/>
  <c r="D211" i="18"/>
  <c r="E209" i="18"/>
  <c r="B209" i="18"/>
  <c r="D209" i="18"/>
  <c r="F209" i="18"/>
  <c r="C209" i="18"/>
  <c r="J209" i="18"/>
  <c r="H209" i="18"/>
  <c r="G209" i="18"/>
  <c r="I209" i="18"/>
  <c r="F180" i="18"/>
  <c r="C180" i="18"/>
  <c r="E180" i="18"/>
  <c r="G180" i="18"/>
  <c r="B180" i="18"/>
  <c r="J180" i="18"/>
  <c r="D180" i="18"/>
  <c r="H180" i="18"/>
  <c r="I180" i="18" s="1"/>
  <c r="G294" i="18"/>
  <c r="F294" i="18"/>
  <c r="B294" i="18"/>
  <c r="H294" i="18"/>
  <c r="E294" i="18"/>
  <c r="C294" i="18"/>
  <c r="I294" i="18"/>
  <c r="J294" i="18"/>
  <c r="D294" i="18"/>
  <c r="F224" i="18"/>
  <c r="J224" i="18"/>
  <c r="E224" i="18"/>
  <c r="B224" i="18"/>
  <c r="H224" i="18"/>
  <c r="G224" i="18"/>
  <c r="I224" i="18" s="1"/>
  <c r="D224" i="18"/>
  <c r="C224" i="18"/>
  <c r="H315" i="18"/>
  <c r="I315" i="18"/>
  <c r="B315" i="18"/>
  <c r="J315" i="18"/>
  <c r="D315" i="18"/>
  <c r="E315" i="18"/>
  <c r="F315" i="18"/>
  <c r="C315" i="18"/>
  <c r="G315" i="18"/>
  <c r="D388" i="18"/>
  <c r="F388" i="18"/>
  <c r="E388" i="18"/>
  <c r="J388" i="18"/>
  <c r="G388" i="18"/>
  <c r="C388" i="18"/>
  <c r="H388" i="18"/>
  <c r="B388" i="18"/>
  <c r="I388" i="18"/>
  <c r="J351" i="18"/>
  <c r="D351" i="18"/>
  <c r="B351" i="18"/>
  <c r="G351" i="18"/>
  <c r="I351" i="18"/>
  <c r="E351" i="18"/>
  <c r="H351" i="18"/>
  <c r="C351" i="18"/>
  <c r="F351" i="18"/>
  <c r="G142" i="18"/>
  <c r="I142" i="18" s="1"/>
  <c r="F142" i="18"/>
  <c r="H142" i="18"/>
  <c r="B142" i="18"/>
  <c r="C142" i="18"/>
  <c r="J142" i="18"/>
  <c r="E142" i="18"/>
  <c r="D142" i="18"/>
  <c r="C350" i="18"/>
  <c r="I350" i="18"/>
  <c r="J350" i="18"/>
  <c r="F350" i="18"/>
  <c r="E350" i="18"/>
  <c r="D350" i="18"/>
  <c r="B350" i="18"/>
  <c r="G350" i="18"/>
  <c r="H350" i="18"/>
  <c r="B187" i="18"/>
  <c r="J187" i="18"/>
  <c r="D187" i="18"/>
  <c r="E187" i="18"/>
  <c r="C187" i="18"/>
  <c r="G187" i="18"/>
  <c r="I187" i="18" s="1"/>
  <c r="H187" i="18"/>
  <c r="F187" i="18"/>
  <c r="D212" i="18"/>
  <c r="H212" i="18"/>
  <c r="B212" i="18"/>
  <c r="G212" i="18"/>
  <c r="J212" i="18"/>
  <c r="C212" i="18"/>
  <c r="F212" i="18"/>
  <c r="E212" i="18"/>
  <c r="I212" i="18"/>
  <c r="I66" i="18" l="1"/>
  <c r="I64" i="18"/>
  <c r="I68" i="18"/>
  <c r="I67" i="18"/>
  <c r="H3" i="1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<sst xmlns="http://schemas.openxmlformats.org/spreadsheetml/2006/main" count="8538" uniqueCount="1245">
  <si>
    <t>PPE, SUPPLY &amp; INVENTORY MANAGEMENT SYSTEM</t>
  </si>
  <si>
    <t>Fiscal Year 2026–27  ·  Rebuilt formula-driven edition  ·  No macros, no external data connections</t>
  </si>
  <si>
    <t>HOW THIS WORKBOOK IS DESIGNED</t>
  </si>
  <si>
    <t>Design principle</t>
  </si>
  <si>
    <t>Every reporting sheet is driven by live Excel formulas. There are no VBA macros and no external data connections, so the workbook is self-contained, auditable, and safe to keep on a network drive in a regulated environment.</t>
  </si>
  <si>
    <t>No refresh required</t>
  </si>
  <si>
    <t>In the previous version the reporting sheets were pasted Power Query output that went stale until manually refreshed. Those sheets are now formulas — they recalculate the moment you enter data.</t>
  </si>
  <si>
    <t>Three layers</t>
  </si>
  <si>
    <t>INPUT sheets (you type here) → CALCULATION sheets (formulas only) → DASHBOARD (summary). Never type into a calculation sheet.</t>
  </si>
  <si>
    <t>Lot traceability</t>
  </si>
  <si>
    <t>Every receipt carries a Lot Number. Issues are allocated to lots on a First-Expiry-First-Out basis, so a recall can be traced from vendor lot to the staff member who received it.</t>
  </si>
  <si>
    <t>COLOUR LEGEND</t>
  </si>
  <si>
    <t>Yellow fill, blue text</t>
  </si>
  <si>
    <t>INPUT — type here. These are the only cells you should edit.</t>
  </si>
  <si>
    <t>Black text</t>
  </si>
  <si>
    <t>Formula — calculated within the same sheet. Do not overwrite.</t>
  </si>
  <si>
    <t>Green text</t>
  </si>
  <si>
    <t>Formula — pulls from another sheet. Do not overwrite.</t>
  </si>
  <si>
    <t>Grey header band</t>
  </si>
  <si>
    <t>Column headings. Locked layout — do not insert columns inside a table.</t>
  </si>
  <si>
    <t>SHEET INDEX</t>
  </si>
  <si>
    <t>Settings</t>
  </si>
  <si>
    <t>INPUT — alert thresholds, fiscal year start, lead times. Change the numbers here to retune every alert in the workbook.</t>
  </si>
  <si>
    <t>Items</t>
  </si>
  <si>
    <t>INPUT — item catalogue: unit rate, standard issue quantity, critical low threshold. The master list every other sheet looks up.</t>
  </si>
  <si>
    <t>Staff Directory</t>
  </si>
  <si>
    <t>INPUT — staff ID, name, role, area, contact. Source of truth for staff-linked lookups.</t>
  </si>
  <si>
    <t>Vendors</t>
  </si>
  <si>
    <t>INPUT — supplier and service vendor register.</t>
  </si>
  <si>
    <t>Holidays</t>
  </si>
  <si>
    <t>INPUT — statutory holidays. Used by WORKDAY() to schedule pickup and reissue dates.</t>
  </si>
  <si>
    <t>Receipts</t>
  </si>
  <si>
    <t>INPUT — one row per lot received from a vendor. This is the goods-in ledger.</t>
  </si>
  <si>
    <t>Issues</t>
  </si>
  <si>
    <t>INPUT — one row per item dispensed to a staff member. This is the goods-out ledger.</t>
  </si>
  <si>
    <t>Lot Balance</t>
  </si>
  <si>
    <t>CALC — per-lot balance with First-Expiry-First-Out allocation, days to expiry, and a recorded-vs-suggested variance check.</t>
  </si>
  <si>
    <t>Item Balance</t>
  </si>
  <si>
    <t>CALC — per-item on-hand quantity and value, stock status, earliest expiring lot, and the next lot to issue.</t>
  </si>
  <si>
    <t>Alerts - Low Stock</t>
  </si>
  <si>
    <t>CALC — items at or below their critical low threshold. Filter the Alert column.</t>
  </si>
  <si>
    <t>Alerts - Expiry</t>
  </si>
  <si>
    <t>CALC — lots expiring inside the alert window, or already expired. Filter the Alert column.</t>
  </si>
  <si>
    <t>Staff Summary</t>
  </si>
  <si>
    <t>CALC — per staff member: transactions, units issued, cost, last order, pending collections.</t>
  </si>
  <si>
    <t>Monthly Summary</t>
  </si>
  <si>
    <t>CALC — received and issued quantity and value by month, quarter, and fiscal year.</t>
  </si>
  <si>
    <t>Dashboard</t>
  </si>
  <si>
    <t>CALC — headline figures, alert counts, and highest-value items on hand.</t>
  </si>
  <si>
    <t>Office Supplies</t>
  </si>
  <si>
    <t>INPUT + CALC — non-PPE office and equipment orders.</t>
  </si>
  <si>
    <t>Professional Services</t>
  </si>
  <si>
    <t>INPUT + CALC — service vendor engagements and next scheduled service.</t>
  </si>
  <si>
    <t>DAILY WORKFLOW</t>
  </si>
  <si>
    <t>1. Goods arrive</t>
  </si>
  <si>
    <t>Add a row to Receipts: date ordered, vendor, lot number, item name, quantity received, expiry date, date received. Everything else fills itself.</t>
  </si>
  <si>
    <t>2. Item dispensed</t>
  </si>
  <si>
    <t>Add a row to Issues: order date, staff ID, item name, quantity, lot number. Enter the Tracking ID once the item is collected — Status flips to Collected automatically.</t>
  </si>
  <si>
    <t>3. Check alerts</t>
  </si>
  <si>
    <t>Open Alerts - Low Stock and Alerts - Expiry. Filter the Alert column to anything other than OK.</t>
  </si>
  <si>
    <t>4. Recall received</t>
  </si>
  <si>
    <t>Open Lot Balance, filter Lot Number to the recalled lot, then filter Issues by that lot to identify every staff member who received it.</t>
  </si>
  <si>
    <t>KNOWN GAPS CARRIED OVER FROM THE SOURCE WORKBOOK</t>
  </si>
  <si>
    <t>Critical Low not set for all items</t>
  </si>
  <si>
    <t>Item names are the join key</t>
  </si>
  <si>
    <t>Lookups match on Item Name text. Renaming an item in Items without updating Receipts and Issues will break its history. Consider adding an Item Code column later.</t>
  </si>
  <si>
    <t>Recorded lot vs suggested lot</t>
  </si>
  <si>
    <t>Lot Balance shows both the lot you recorded and the lot First-Expiry-First-Out would have suggested. A non-zero Variance means stock was issued out of expiry order — review it.</t>
  </si>
  <si>
    <t>IMPORTANT</t>
  </si>
  <si>
    <t>SETTINGS</t>
  </si>
  <si>
    <t>Change these values to retune every alert and schedule in the workbook.</t>
  </si>
  <si>
    <t>Setting</t>
  </si>
  <si>
    <t>Value</t>
  </si>
  <si>
    <t>What it controls</t>
  </si>
  <si>
    <t>Expiry alert window (days)</t>
  </si>
  <si>
    <t>A lot appears on Alerts - Expiry when days to expiry falls to or below this.</t>
  </si>
  <si>
    <t>Expiry critical window (days)</t>
  </si>
  <si>
    <t>A lot is flagged CRITICAL rather than EXPIRING inside this window.</t>
  </si>
  <si>
    <t>Low stock watch multiplier</t>
  </si>
  <si>
    <t>An item is flagged WATCH when on hand is below Critical Low multiplied by this.</t>
  </si>
  <si>
    <t>Fiscal year start</t>
  </si>
  <si>
    <t>First day of the fiscal year. Drives the Monthly Summary calendar.</t>
  </si>
  <si>
    <t>Pickup lead time (workdays)</t>
  </si>
  <si>
    <t>Workdays added to an order date to set the pickup date, skipping holidays.</t>
  </si>
  <si>
    <t>Reissue cycle (workdays)</t>
  </si>
  <si>
    <t>Workdays added to a pickup date to set the next scheduled issue.</t>
  </si>
  <si>
    <t>ITEM CATALOGUE</t>
  </si>
  <si>
    <t>INPUT. Master list of every PPE, office, and equipment item. Every other sheet looks up against Item Name.</t>
  </si>
  <si>
    <t>Item Name</t>
  </si>
  <si>
    <t>Item Type</t>
  </si>
  <si>
    <t>Size</t>
  </si>
  <si>
    <t>Unit Rate</t>
  </si>
  <si>
    <t>Standard Issue Qty</t>
  </si>
  <si>
    <t>Critical Low</t>
  </si>
  <si>
    <t>Group</t>
  </si>
  <si>
    <t>Pack / Unit Description</t>
  </si>
  <si>
    <t>Notes</t>
  </si>
  <si>
    <t>1804 N95 Mask</t>
  </si>
  <si>
    <t>Masks</t>
  </si>
  <si>
    <t>One Size</t>
  </si>
  <si>
    <t>PPE</t>
  </si>
  <si>
    <t>1860 N95 Mask</t>
  </si>
  <si>
    <t>1860S N95 Mask</t>
  </si>
  <si>
    <t>1870 N95 Mask</t>
  </si>
  <si>
    <t>1870+ N95 Mask</t>
  </si>
  <si>
    <t>8110S N95 Mask</t>
  </si>
  <si>
    <t>8210 N95 Mask</t>
  </si>
  <si>
    <t>9210+ N95 Mask</t>
  </si>
  <si>
    <t>CAN95</t>
  </si>
  <si>
    <t>CAN99</t>
  </si>
  <si>
    <t>Coverall with hood - VENCVCA300N</t>
  </si>
  <si>
    <t>IPAC</t>
  </si>
  <si>
    <t>LG/XL</t>
  </si>
  <si>
    <t>Coverall with shoe cover</t>
  </si>
  <si>
    <t>Standard</t>
  </si>
  <si>
    <t>Disinfectant Wipes</t>
  </si>
  <si>
    <t>Wipes</t>
  </si>
  <si>
    <t>Ear Savers</t>
  </si>
  <si>
    <t>Accessories</t>
  </si>
  <si>
    <t>Epinephrine</t>
  </si>
  <si>
    <t>Drug</t>
  </si>
  <si>
    <t>1 Amp</t>
  </si>
  <si>
    <t>Face Shields</t>
  </si>
  <si>
    <t>Eye Protection</t>
  </si>
  <si>
    <t>Gloves - Large</t>
  </si>
  <si>
    <t>Gloves</t>
  </si>
  <si>
    <t>Large</t>
  </si>
  <si>
    <t>Gloves - Medium</t>
  </si>
  <si>
    <t>Medium</t>
  </si>
  <si>
    <t>Gloves - Small</t>
  </si>
  <si>
    <t>Small</t>
  </si>
  <si>
    <t>Gloves - Small/100</t>
  </si>
  <si>
    <t>Gloves - X-Large</t>
  </si>
  <si>
    <t>X-Large</t>
  </si>
  <si>
    <t>Gloves - X-Small</t>
  </si>
  <si>
    <t>X-Small</t>
  </si>
  <si>
    <t>Goggles</t>
  </si>
  <si>
    <t>Hand Sanitizer</t>
  </si>
  <si>
    <t>Sanitizer</t>
  </si>
  <si>
    <t>118 ML</t>
  </si>
  <si>
    <t>ICE Cleats -Small</t>
  </si>
  <si>
    <t>ICE Cleats-Large</t>
  </si>
  <si>
    <t>ICE Cleats-Medium</t>
  </si>
  <si>
    <t>ICE Cleats-X-Large</t>
  </si>
  <si>
    <t>Infestation Supplies</t>
  </si>
  <si>
    <t>Level 1/2 - Water resistant Blue Gowns</t>
  </si>
  <si>
    <t>Apparel</t>
  </si>
  <si>
    <t>Level 1/2 - Yellow Gown</t>
  </si>
  <si>
    <t>narrative progress notes</t>
  </si>
  <si>
    <t>Documents</t>
  </si>
  <si>
    <t>Nurse on Duty Pass</t>
  </si>
  <si>
    <t>Personal Care activity Sheets</t>
  </si>
  <si>
    <t>HS Charts</t>
  </si>
  <si>
    <t>PSW Charts</t>
  </si>
  <si>
    <t>Shoe Covers</t>
  </si>
  <si>
    <t>Regular</t>
  </si>
  <si>
    <t>Surgical Masks</t>
  </si>
  <si>
    <t>Thermometer Cover</t>
  </si>
  <si>
    <t>Safety</t>
  </si>
  <si>
    <t>Wound sheets</t>
  </si>
  <si>
    <t>Block Visit Sheets</t>
  </si>
  <si>
    <t>IV Fluid sheets</t>
  </si>
  <si>
    <t>Flow Sheets</t>
  </si>
  <si>
    <t>BRM Envelopes</t>
  </si>
  <si>
    <t>ID Card</t>
  </si>
  <si>
    <t>ID Document</t>
  </si>
  <si>
    <t>CSS Ice Cleats Small</t>
  </si>
  <si>
    <t>CSS Ice Cleats Medium</t>
  </si>
  <si>
    <t>CSS Ice Cleats Large</t>
  </si>
  <si>
    <t>CSS Ice Cleats X Large</t>
  </si>
  <si>
    <t>PSW Charts TL 20</t>
  </si>
  <si>
    <t>PSW Charts TL 10</t>
  </si>
  <si>
    <t>Master Sign In Sheet</t>
  </si>
  <si>
    <t>Physician Order</t>
  </si>
  <si>
    <t>Progress report to Doctor</t>
  </si>
  <si>
    <t>Medication Administration Record Monthly</t>
  </si>
  <si>
    <t>Diabetic flow Sheet</t>
  </si>
  <si>
    <t>DNR</t>
  </si>
  <si>
    <t>Forms</t>
  </si>
  <si>
    <t>EDITH</t>
  </si>
  <si>
    <t>Palliative ESAS Forms</t>
  </si>
  <si>
    <t>Alcohol Swab</t>
  </si>
  <si>
    <t>Box</t>
  </si>
  <si>
    <t>BP CUFF</t>
  </si>
  <si>
    <t>Equipment</t>
  </si>
  <si>
    <t>Adult Regular</t>
  </si>
  <si>
    <t>Visit Record Sheet</t>
  </si>
  <si>
    <t>Sterile Gloves - Medium</t>
  </si>
  <si>
    <t>Sterile Gloves - Large</t>
  </si>
  <si>
    <t>Cell Phone Charger</t>
  </si>
  <si>
    <t>Electronic</t>
  </si>
  <si>
    <t>Hand Sanitizer OS</t>
  </si>
  <si>
    <t>236 ML</t>
  </si>
  <si>
    <t>Disinfectant Wipes OS</t>
  </si>
  <si>
    <t>Measuring Tape</t>
  </si>
  <si>
    <t>Metric</t>
  </si>
  <si>
    <t>60'</t>
  </si>
  <si>
    <t>Folders (Pocke)t used for Charts - Nursing - Dark Blue</t>
  </si>
  <si>
    <t>Folder</t>
  </si>
  <si>
    <t>Labels - 4" X 1 1/2 Used for Charts - Top</t>
  </si>
  <si>
    <t>Label</t>
  </si>
  <si>
    <t>Labels - 4" X 3 1/3" Used for Charts - Bottom</t>
  </si>
  <si>
    <t>A4 Paper Ream</t>
  </si>
  <si>
    <t>Stationery</t>
  </si>
  <si>
    <t>500 sheets</t>
  </si>
  <si>
    <t>1xReam</t>
  </si>
  <si>
    <t>Envelopes (Window)</t>
  </si>
  <si>
    <t>Standard (DL)</t>
  </si>
  <si>
    <t>Pack of 500</t>
  </si>
  <si>
    <t>Sticky Notes</t>
  </si>
  <si>
    <t>3 x 3 inch</t>
  </si>
  <si>
    <t>Pack of 12</t>
  </si>
  <si>
    <t>Ballpoint Pens</t>
  </si>
  <si>
    <t>0.7 mm tip</t>
  </si>
  <si>
    <t>Box of 60</t>
  </si>
  <si>
    <t>Fine Tip</t>
  </si>
  <si>
    <t>Pack of 36</t>
  </si>
  <si>
    <t>Dry Erase Markers - Black</t>
  </si>
  <si>
    <t>Dry Erase Markers - Assorted Color</t>
  </si>
  <si>
    <t>Pack of 4</t>
  </si>
  <si>
    <t>Spiral Notebooks</t>
  </si>
  <si>
    <t>A5, 100 pages</t>
  </si>
  <si>
    <t>Each</t>
  </si>
  <si>
    <t>File Folders</t>
  </si>
  <si>
    <t>A4 Size</t>
  </si>
  <si>
    <t>Pack of 10</t>
  </si>
  <si>
    <t>File Dividers</t>
  </si>
  <si>
    <t>5-tab set</t>
  </si>
  <si>
    <t>Set</t>
  </si>
  <si>
    <t>Binder Clips S</t>
  </si>
  <si>
    <t>Small 3/4"</t>
  </si>
  <si>
    <t>Pack of 48</t>
  </si>
  <si>
    <t>Stapler</t>
  </si>
  <si>
    <t>Standard size</t>
  </si>
  <si>
    <t>24/6</t>
  </si>
  <si>
    <t>Box of 1000</t>
  </si>
  <si>
    <t>Paper Clips</t>
  </si>
  <si>
    <t>33 mm</t>
  </si>
  <si>
    <t>Box of 100</t>
  </si>
  <si>
    <t>Scissors</t>
  </si>
  <si>
    <t>8 inch</t>
  </si>
  <si>
    <t>Tape Dispenser</t>
  </si>
  <si>
    <t>Standard desktop</t>
  </si>
  <si>
    <t>Packing Tape</t>
  </si>
  <si>
    <t>2 inch x 50 m</t>
  </si>
  <si>
    <t>Roll</t>
  </si>
  <si>
    <t>Bubble Wrap</t>
  </si>
  <si>
    <t>1 m width</t>
  </si>
  <si>
    <t>Meter</t>
  </si>
  <si>
    <t>Printer Toner</t>
  </si>
  <si>
    <t>HP 12A compatible</t>
  </si>
  <si>
    <t>Cartridge</t>
  </si>
  <si>
    <t>Ink Cartridge</t>
  </si>
  <si>
    <t>HP 803 or similar</t>
  </si>
  <si>
    <t>Desk Calendar</t>
  </si>
  <si>
    <t>Monthly format</t>
  </si>
  <si>
    <t>Wall Calendar</t>
  </si>
  <si>
    <t>Yearly format</t>
  </si>
  <si>
    <t>Correction Tape</t>
  </si>
  <si>
    <t>5 mm x 8 m</t>
  </si>
  <si>
    <t>Calculator</t>
  </si>
  <si>
    <t>12-digit display</t>
  </si>
  <si>
    <t>Mouse Pad</t>
  </si>
  <si>
    <t>USB Drive</t>
  </si>
  <si>
    <t>sds</t>
  </si>
  <si>
    <t>Tissue Box</t>
  </si>
  <si>
    <t>Pantry</t>
  </si>
  <si>
    <t>200 sheets</t>
  </si>
  <si>
    <t>Paper Towels</t>
  </si>
  <si>
    <t>2-ply, 100 sheets</t>
  </si>
  <si>
    <t>Hand Wash</t>
  </si>
  <si>
    <t>500 ml</t>
  </si>
  <si>
    <t>Bottle</t>
  </si>
  <si>
    <t>Coffee</t>
  </si>
  <si>
    <t>200 g</t>
  </si>
  <si>
    <t>Jar</t>
  </si>
  <si>
    <t>Tea Bags</t>
  </si>
  <si>
    <t>100 bags</t>
  </si>
  <si>
    <t>Sugar Sachets</t>
  </si>
  <si>
    <t>5 g each</t>
  </si>
  <si>
    <t>Pack of 100</t>
  </si>
  <si>
    <t>Disposable Cups</t>
  </si>
  <si>
    <t>200 ml</t>
  </si>
  <si>
    <t>Pack of 50</t>
  </si>
  <si>
    <t>TV Monitor 65 inches Board room</t>
  </si>
  <si>
    <t>Electronincs</t>
  </si>
  <si>
    <t>Plastic Forks and Spoons Set</t>
  </si>
  <si>
    <t>Cutlery</t>
  </si>
  <si>
    <t>360 pcs</t>
  </si>
  <si>
    <t>1 box</t>
  </si>
  <si>
    <t>Dry-Erase Markers - Chisel Tip - Black</t>
  </si>
  <si>
    <t>Chisel Tip</t>
  </si>
  <si>
    <t>1 Box of 12</t>
  </si>
  <si>
    <t>Binder Clips L</t>
  </si>
  <si>
    <t>Large 2"</t>
  </si>
  <si>
    <t>Box 500</t>
  </si>
  <si>
    <t>Box of 500</t>
  </si>
  <si>
    <t>Pink = no Critical Low threshold set; low-stock alerts cannot fire for that item until a value is entered.</t>
  </si>
  <si>
    <t>Green = a pack description that was stored in the numeric Standard Issue column in the source workbook and has been moved here (39 items). Standard Issue Qty must hold numbers only.</t>
  </si>
  <si>
    <t>STAFF DIRECTORY</t>
  </si>
  <si>
    <t>INPUT. Source of truth for staff-linked lookups. Staff ID must be unique.</t>
  </si>
  <si>
    <t>Staff ID</t>
  </si>
  <si>
    <t>Staff Name</t>
  </si>
  <si>
    <t>Role</t>
  </si>
  <si>
    <t>Area</t>
  </si>
  <si>
    <t>Email</t>
  </si>
  <si>
    <t>Contact</t>
  </si>
  <si>
    <t>Address</t>
  </si>
  <si>
    <t>RN</t>
  </si>
  <si>
    <t>RPN</t>
  </si>
  <si>
    <t>ADMN CO</t>
  </si>
  <si>
    <t>PSW</t>
  </si>
  <si>
    <t>TL/RPN</t>
  </si>
  <si>
    <t>OEE</t>
  </si>
  <si>
    <t>VENDOR REGISTER</t>
  </si>
  <si>
    <t>INPUT. Supply vendors and professional service vendors.</t>
  </si>
  <si>
    <t>Vendor Name</t>
  </si>
  <si>
    <t>Service Category</t>
  </si>
  <si>
    <t>Scope of Work</t>
  </si>
  <si>
    <t>Contact No</t>
  </si>
  <si>
    <t>Service Frequency</t>
  </si>
  <si>
    <t>Supply</t>
  </si>
  <si>
    <t>Epinephrine Supply</t>
  </si>
  <si>
    <t>PPE Supplies</t>
  </si>
  <si>
    <t>Gloves, Mask, Gown, Coverall</t>
  </si>
  <si>
    <t>Minor PPE Supplies</t>
  </si>
  <si>
    <t>Hand Sanitizer, Disinfectant Wipes</t>
  </si>
  <si>
    <t>Intake Files</t>
  </si>
  <si>
    <t>Ice Cleats</t>
  </si>
  <si>
    <t>Safety Gears</t>
  </si>
  <si>
    <t>Filing</t>
  </si>
  <si>
    <t>Folders</t>
  </si>
  <si>
    <t>Labels</t>
  </si>
  <si>
    <t>Forms Supply</t>
  </si>
  <si>
    <t>DNR &amp; EDITH</t>
  </si>
  <si>
    <t>Pro Svc Vendor</t>
  </si>
  <si>
    <t>Handyman</t>
  </si>
  <si>
    <t>Wall Mounting, Furniture repair, TV mounting, Rack Anchoring</t>
  </si>
  <si>
    <t>Locksmith</t>
  </si>
  <si>
    <t>3 Keypad locks and 5 deadbolt locks</t>
  </si>
  <si>
    <t>Office Water Supply</t>
  </si>
  <si>
    <t>Drinking Water supply</t>
  </si>
  <si>
    <t>Printer Maintenance</t>
  </si>
  <si>
    <t>Printer Services</t>
  </si>
  <si>
    <t>Record disposal &amp; Storage</t>
  </si>
  <si>
    <t>Off site Shredding Services</t>
  </si>
  <si>
    <t>STATUTORY HOLIDAYS</t>
  </si>
  <si>
    <t>INPUT. Used by WORKDAY() so pickup and reissue dates never land on a holiday.</t>
  </si>
  <si>
    <t>Holiday</t>
  </si>
  <si>
    <t>Date</t>
  </si>
  <si>
    <t>New Year's Day</t>
  </si>
  <si>
    <t>Family Day (Ontario)</t>
  </si>
  <si>
    <t>Good Friday</t>
  </si>
  <si>
    <t>Easter Monday</t>
  </si>
  <si>
    <t>Victoria Day</t>
  </si>
  <si>
    <t>Canada Day</t>
  </si>
  <si>
    <t>Civic Holiday (optional)</t>
  </si>
  <si>
    <t>Labour Day</t>
  </si>
  <si>
    <t>National Day for Truth and Reconciliation</t>
  </si>
  <si>
    <t>Thanksgiving Day</t>
  </si>
  <si>
    <t>Remembrance Day</t>
  </si>
  <si>
    <t>Christmas Day</t>
  </si>
  <si>
    <t>Boxing Day</t>
  </si>
  <si>
    <t>RECEIPTS  ·  GOODS-IN LEDGER</t>
  </si>
  <si>
    <t>INPUT. One row per lot received. Yellow columns are typed; the rest calculate.</t>
  </si>
  <si>
    <t>Date Ordered</t>
  </si>
  <si>
    <t>Lot Number</t>
  </si>
  <si>
    <t>Qty Received</t>
  </si>
  <si>
    <t>Expiry Date</t>
  </si>
  <si>
    <t>Date Received</t>
  </si>
  <si>
    <t>Received Value</t>
  </si>
  <si>
    <t>N955003713</t>
  </si>
  <si>
    <t>N955003716</t>
  </si>
  <si>
    <t>N955003715</t>
  </si>
  <si>
    <t>N955003718</t>
  </si>
  <si>
    <t>N955003717</t>
  </si>
  <si>
    <t>N955003712</t>
  </si>
  <si>
    <t>N955003714</t>
  </si>
  <si>
    <t>N955003711</t>
  </si>
  <si>
    <t>BWMALM143200-0</t>
  </si>
  <si>
    <t>N9550025</t>
  </si>
  <si>
    <t>ICCSS54321</t>
  </si>
  <si>
    <t>ICCSS4321</t>
  </si>
  <si>
    <t>ICCSS321</t>
  </si>
  <si>
    <t>ICCSS654321</t>
  </si>
  <si>
    <t>3146837-7000</t>
  </si>
  <si>
    <t>LYSL500290</t>
  </si>
  <si>
    <t>EDITH001</t>
  </si>
  <si>
    <t>A000065867</t>
  </si>
  <si>
    <t>0417HIC25-0</t>
  </si>
  <si>
    <t>0417HIC25-1</t>
  </si>
  <si>
    <t>LG5003002</t>
  </si>
  <si>
    <t>LG5003102</t>
  </si>
  <si>
    <t>LG5003202</t>
  </si>
  <si>
    <t>LG5003203</t>
  </si>
  <si>
    <t>LG5003302</t>
  </si>
  <si>
    <t>ZIM506129477-0</t>
  </si>
  <si>
    <t>ZIM506129477-1</t>
  </si>
  <si>
    <t>ZIM509135933-0</t>
  </si>
  <si>
    <t>ZIM509135933-1</t>
  </si>
  <si>
    <t>ZIM509135933-2</t>
  </si>
  <si>
    <t>ZIM509135935</t>
  </si>
  <si>
    <t>ZIM510135932</t>
  </si>
  <si>
    <t>ZIM510137970</t>
  </si>
  <si>
    <t>ZIM510137970-0</t>
  </si>
  <si>
    <t>ZIM511139904-0</t>
  </si>
  <si>
    <t>ZIM511139904-1</t>
  </si>
  <si>
    <t>0310HIC25</t>
  </si>
  <si>
    <t>MG5003004</t>
  </si>
  <si>
    <t>MG5003104</t>
  </si>
  <si>
    <t>MG5003204</t>
  </si>
  <si>
    <t>MG5003304</t>
  </si>
  <si>
    <t>MG5003404</t>
  </si>
  <si>
    <t>MG5003504</t>
  </si>
  <si>
    <t>MG5003604</t>
  </si>
  <si>
    <t>O17104</t>
  </si>
  <si>
    <t>ZIM503122464-0</t>
  </si>
  <si>
    <t>ZIM503122464-1</t>
  </si>
  <si>
    <t>ZIM503122464-2</t>
  </si>
  <si>
    <t>ZIM503122464-3</t>
  </si>
  <si>
    <t>ZIM503122464-4</t>
  </si>
  <si>
    <t>ZIM503122464-5</t>
  </si>
  <si>
    <t>ZIM503122464-6</t>
  </si>
  <si>
    <t>ZIM504126039-0</t>
  </si>
  <si>
    <t>ZIM504126040</t>
  </si>
  <si>
    <t>ZIM504126040-0</t>
  </si>
  <si>
    <t>ZIM504126040-1</t>
  </si>
  <si>
    <t>ZIM504126040-2</t>
  </si>
  <si>
    <t>O210LIC25</t>
  </si>
  <si>
    <t>SG5003003</t>
  </si>
  <si>
    <t>SG5003103</t>
  </si>
  <si>
    <t>SG5003203</t>
  </si>
  <si>
    <t>SG5003204</t>
  </si>
  <si>
    <t>SG5003303</t>
  </si>
  <si>
    <t>ZIM502120293</t>
  </si>
  <si>
    <t>ZIM503122461</t>
  </si>
  <si>
    <t>ZIM504124207-0</t>
  </si>
  <si>
    <t>ZIM504124207-1</t>
  </si>
  <si>
    <t>ZIM504124207-2</t>
  </si>
  <si>
    <t>ZIM504124207-3</t>
  </si>
  <si>
    <t>ZIM504124207-4</t>
  </si>
  <si>
    <t>ZIM504124207-5</t>
  </si>
  <si>
    <t>ZIM504124209-0</t>
  </si>
  <si>
    <t>ZIM504124209-1</t>
  </si>
  <si>
    <t>ZIM504124209-2</t>
  </si>
  <si>
    <t>ZIM512142069</t>
  </si>
  <si>
    <t>SG1005003000</t>
  </si>
  <si>
    <t>ZIM509136910</t>
  </si>
  <si>
    <t>XL5003001</t>
  </si>
  <si>
    <t>XL5003005</t>
  </si>
  <si>
    <t>GGL5003700</t>
  </si>
  <si>
    <t>563963-0</t>
  </si>
  <si>
    <t>563963-1</t>
  </si>
  <si>
    <t>563963-2</t>
  </si>
  <si>
    <t>563963-3</t>
  </si>
  <si>
    <t>563963-4</t>
  </si>
  <si>
    <t>563963-5</t>
  </si>
  <si>
    <t>563963-6</t>
  </si>
  <si>
    <t>563963-7</t>
  </si>
  <si>
    <t>PRLL500261</t>
  </si>
  <si>
    <t>PRLL500262</t>
  </si>
  <si>
    <t>PRLL500263</t>
  </si>
  <si>
    <t>PRLL500264</t>
  </si>
  <si>
    <t>20-21734-0</t>
  </si>
  <si>
    <t>20-21734-1</t>
  </si>
  <si>
    <t>IC321</t>
  </si>
  <si>
    <t>IC54321</t>
  </si>
  <si>
    <t>IC4321</t>
  </si>
  <si>
    <t>IC654321</t>
  </si>
  <si>
    <t>WRB500270</t>
  </si>
  <si>
    <t>YG500280</t>
  </si>
  <si>
    <t>SHCVR50001</t>
  </si>
  <si>
    <t>ST-L-1</t>
  </si>
  <si>
    <t>ST-M-1</t>
  </si>
  <si>
    <t>0125FPC24-0</t>
  </si>
  <si>
    <t>0125FPC24-1</t>
  </si>
  <si>
    <t>LV2 - 10034</t>
  </si>
  <si>
    <t>LV2 - 10035</t>
  </si>
  <si>
    <t>LV2-10039-0</t>
  </si>
  <si>
    <t>LV2-10039-1</t>
  </si>
  <si>
    <t>LV2-10039-2</t>
  </si>
  <si>
    <t>LV2-10039-3</t>
  </si>
  <si>
    <t>LV2-10040</t>
  </si>
  <si>
    <t>LV2-10040-0</t>
  </si>
  <si>
    <t>LV2-10040-1</t>
  </si>
  <si>
    <t>LV2-10040-2</t>
  </si>
  <si>
    <t>LV2-10040-3</t>
  </si>
  <si>
    <t>LV2-10041</t>
  </si>
  <si>
    <t>LV2-10041-0</t>
  </si>
  <si>
    <t>SM50037199</t>
  </si>
  <si>
    <t>SM5003720</t>
  </si>
  <si>
    <t>SM50037200</t>
  </si>
  <si>
    <t>ISSUES  ·  STAFF DISPENSING LEDGER</t>
  </si>
  <si>
    <t>Order Date</t>
  </si>
  <si>
    <t>Standard Issue</t>
  </si>
  <si>
    <t>Qty Issued</t>
  </si>
  <si>
    <t>Line Cost</t>
  </si>
  <si>
    <t>Pickup Date</t>
  </si>
  <si>
    <t>Next Scheduled</t>
  </si>
  <si>
    <t>Tracking ID</t>
  </si>
  <si>
    <t>Status</t>
  </si>
  <si>
    <t>Y</t>
  </si>
  <si>
    <t>TR ID</t>
  </si>
  <si>
    <t>LOT BALANCE  ·  FIRST-EXPIRY-FIRST-OUT ALLOCATION</t>
  </si>
  <si>
    <t>CALCULATED — do not type here. Mirrors Receipts row for row. Variance flags stock issued out of expiry order.</t>
  </si>
  <si>
    <t>Days To Expiry</t>
  </si>
  <si>
    <t>FEFO Rank</t>
  </si>
  <si>
    <t>Prior Lots Qty</t>
  </si>
  <si>
    <t>Issued (FEFO)</t>
  </si>
  <si>
    <t>Issued (Recorded)</t>
  </si>
  <si>
    <t>Variance</t>
  </si>
  <si>
    <t>Balance Value</t>
  </si>
  <si>
    <t>ITEM BALANCE  ·  ON HAND, VALUE AND STATUS</t>
  </si>
  <si>
    <t>CALCULATED — do not type here. One row per catalogue item.</t>
  </si>
  <si>
    <t>Total Received</t>
  </si>
  <si>
    <t>Total Issued</t>
  </si>
  <si>
    <t>On Hand</t>
  </si>
  <si>
    <t>Value On Hand</t>
  </si>
  <si>
    <t>Lots Received</t>
  </si>
  <si>
    <t>Lots With Balance</t>
  </si>
  <si>
    <t>Earliest Expiry</t>
  </si>
  <si>
    <t>Next Lot To Issue</t>
  </si>
  <si>
    <t>Stock Status</t>
  </si>
  <si>
    <t>Action Required</t>
  </si>
  <si>
    <t>ALERTS  ·  LOW STOCK</t>
  </si>
  <si>
    <t>CALCULATED. Filter the Alert column to anything other than OK to see what needs ordering.</t>
  </si>
  <si>
    <t>Out of stock:</t>
  </si>
  <si>
    <t>Low:</t>
  </si>
  <si>
    <t>Watch:</t>
  </si>
  <si>
    <t>No threshold set:</t>
  </si>
  <si>
    <t>Shortfall To Threshold</t>
  </si>
  <si>
    <t>Staff Covered At Standard Issue</t>
  </si>
  <si>
    <t>Alert</t>
  </si>
  <si>
    <t>ALERTS  ·  EXPIRY AND RECALL</t>
  </si>
  <si>
    <t>CALCULATED. Filter the Alert column. To trace a recall, filter Lot Number here then filter Issues by the same lot.</t>
  </si>
  <si>
    <t>Already expired with stock:</t>
  </si>
  <si>
    <t>Critical:</t>
  </si>
  <si>
    <t>Expiring in window:</t>
  </si>
  <si>
    <t>Value at risk:</t>
  </si>
  <si>
    <t>Staff Issued From This Lot</t>
  </si>
  <si>
    <t>STAFF ISSUE SUMMARY</t>
  </si>
  <si>
    <t>CALCULATED. One row per staff member in the directory.</t>
  </si>
  <si>
    <t>Transactions</t>
  </si>
  <si>
    <t>Units Issued</t>
  </si>
  <si>
    <t>Total Cost</t>
  </si>
  <si>
    <t>Last Order Date</t>
  </si>
  <si>
    <t>Next Scheduled Issue</t>
  </si>
  <si>
    <t>Pending Collections</t>
  </si>
  <si>
    <t>MONTHLY, QUARTERLY AND FISCAL YEAR SUMMARY</t>
  </si>
  <si>
    <t>CALCULATED. The fiscal calendar is driven by Fiscal Year Start on the Settings sheet.</t>
  </si>
  <si>
    <t>Period</t>
  </si>
  <si>
    <t>Period Start</t>
  </si>
  <si>
    <t>Period End</t>
  </si>
  <si>
    <t>Received Qty</t>
  </si>
  <si>
    <t>Issued Qty</t>
  </si>
  <si>
    <t>Issued Value</t>
  </si>
  <si>
    <t>Net Units</t>
  </si>
  <si>
    <t>Net Value</t>
  </si>
  <si>
    <t>QUARTERLY</t>
  </si>
  <si>
    <t>DASHBOARD</t>
  </si>
  <si>
    <t>CALCULATED. Headline position, alert counts and highest-value stock on hand.</t>
  </si>
  <si>
    <t>INVENTORY POSITION</t>
  </si>
  <si>
    <t>ALERTS</t>
  </si>
  <si>
    <t>ACTIVITY THIS FISCAL YEAR</t>
  </si>
  <si>
    <t>Catalogue items</t>
  </si>
  <si>
    <t>Out of stock</t>
  </si>
  <si>
    <t>Receipt lines</t>
  </si>
  <si>
    <t>Items with stock on hand</t>
  </si>
  <si>
    <t>Low stock</t>
  </si>
  <si>
    <t>Issue lines</t>
  </si>
  <si>
    <t>Total units on hand</t>
  </si>
  <si>
    <t>Watch list</t>
  </si>
  <si>
    <t>Units received</t>
  </si>
  <si>
    <t>Total value on hand</t>
  </si>
  <si>
    <t>Expired lots holding stock</t>
  </si>
  <si>
    <t>Units issued</t>
  </si>
  <si>
    <t>Lots tracked</t>
  </si>
  <si>
    <t>Lots expiring critically</t>
  </si>
  <si>
    <t>Value received</t>
  </si>
  <si>
    <t>Lots with balance</t>
  </si>
  <si>
    <t>Items with no threshold set</t>
  </si>
  <si>
    <t>Value issued to staff</t>
  </si>
  <si>
    <t>EXPOSURE</t>
  </si>
  <si>
    <t>DATA INTEGRITY CHECKS</t>
  </si>
  <si>
    <t>Value at expiry risk</t>
  </si>
  <si>
    <t>Items showing negative stock</t>
  </si>
  <si>
    <t>Pending staff collections</t>
  </si>
  <si>
    <t>Receipt lines: item not in catalogue</t>
  </si>
  <si>
    <t>Lots issued out of expiry order</t>
  </si>
  <si>
    <t>Issue lines: item not in catalogue</t>
  </si>
  <si>
    <t>Staff with at least one issue</t>
  </si>
  <si>
    <t>Issue lines: lot not in Receipts</t>
  </si>
  <si>
    <t>Issue lines: staff not in directory</t>
  </si>
  <si>
    <t>Items with no Critical Low set</t>
  </si>
  <si>
    <t>Highest value items on hand</t>
  </si>
  <si>
    <t>On Hand Qty</t>
  </si>
  <si>
    <t>Ranking uses LARGE on Value On Hand. If two items hold identical value, the first match in the catalogue is shown.</t>
  </si>
  <si>
    <t>OFFICE SUPPLIES AND EQUIPMENT</t>
  </si>
  <si>
    <t>INPUT plus calculated columns. Non-PPE orders.</t>
  </si>
  <si>
    <t>Qty Ordered</t>
  </si>
  <si>
    <t>Balance</t>
  </si>
  <si>
    <t>Vendor</t>
  </si>
  <si>
    <t>Remarks</t>
  </si>
  <si>
    <t>PROFESSIONAL SERVICES</t>
  </si>
  <si>
    <t>INPUT plus calculated columns. Service vendor engagements.</t>
  </si>
  <si>
    <t>Scope Of Work</t>
  </si>
  <si>
    <t>Cost</t>
  </si>
  <si>
    <t>Completion Date</t>
  </si>
  <si>
    <t>Vendor Email</t>
  </si>
  <si>
    <t>Vendor Contact</t>
  </si>
  <si>
    <t>Total service spend</t>
  </si>
  <si>
    <t>CHANGE LOG</t>
  </si>
  <si>
    <t>Staff ID auto-generated</t>
  </si>
  <si>
    <t>Staff Directory column A is now a formula: Role-###-Area, sequence numbered per role, with TBD substituted when Area is blank. Do not type into it — add a row with Role and Area and the ID builds itself. Issues staff IDs were rewritten to the new format to keep lookups intact.</t>
  </si>
  <si>
    <t>Email auto-generated</t>
  </si>
  <si>
    <t>Staff Name (pick)</t>
  </si>
  <si>
    <t>INPUT. One row per item dispensed. Pick the Staff Name from the dropdown — Staff ID, Role and Area fill in automatically. Enter Tracking ID when collected and Status updates itself.</t>
  </si>
  <si>
    <t>Issues entered by staff name</t>
  </si>
  <si>
    <t>Issues column C (Staff Name) is now the input with an in-cell dropdown sourced from Staff Directory names. Column B (Staff ID) is a formula that looks the ID up from the name, so you never type an ID.</t>
  </si>
  <si>
    <t>Monthly issues allowed per staff</t>
  </si>
  <si>
    <t>Monthly quota per staff per item = Standard Issue Qty x this. A staff member above that in a calendar month is flagged on Issues and listed on Alerts - Over Quota.</t>
  </si>
  <si>
    <t>Month</t>
  </si>
  <si>
    <t>Units This Month (Staff/Item)</t>
  </si>
  <si>
    <t>Monthly Quota</t>
  </si>
  <si>
    <t>Quota Status</t>
  </si>
  <si>
    <t>Breach Key</t>
  </si>
  <si>
    <t>First Breach</t>
  </si>
  <si>
    <t>Alert Row</t>
  </si>
  <si>
    <t>ALERTS  ·  OVER MONTHLY QUOTA</t>
  </si>
  <si>
    <t>Units This Month</t>
  </si>
  <si>
    <t>Over By</t>
  </si>
  <si>
    <t>Quota breaches:</t>
  </si>
  <si>
    <t>Issue rows over quota:</t>
  </si>
  <si>
    <t>Staff involved:</t>
  </si>
  <si>
    <t>Excess units:</t>
  </si>
  <si>
    <t>Over monthly quota (staff x item x month)</t>
  </si>
  <si>
    <t>Monthly quota alert</t>
  </si>
  <si>
    <t>An item's Standard Issue Qty is the monthly limit per staff member. Issues columns R-X calculate the month, the staff member's units for that item in that month, the quota, and a Quota Status of OK or OVER QUOTA. Alerts - Over Quota lists one row per staff x item x month breach, and the Dashboard carries the breach count. Settings C11 lets you allow more than one standard issue per month.</t>
  </si>
  <si>
    <t>Alerts - Over Quota</t>
  </si>
  <si>
    <t>CALC — staff members issued more than an item's monthly quota. One row per staff member, item and month.</t>
  </si>
  <si>
    <t>TL Approval</t>
  </si>
  <si>
    <t>Approved By / Ref</t>
  </si>
  <si>
    <t>Approved</t>
  </si>
  <si>
    <t>Over quota approved by team lead</t>
  </si>
  <si>
    <t>CALCULATED. One row per staff member, item and month where units issued exceeded the item's Standard Issue Qty. Set TL Approval to Approved on the Issues row to authorise the excess — the row turns green and drops off this list.</t>
  </si>
  <si>
    <t>Team lead override</t>
  </si>
  <si>
    <t>An over-quota row turns pink across the whole row. Set TL Approval (Issues column Y) to Approved and the row turns green, reads APPROVED BY TL, and drops off Alerts - Over Quota. Record who authorised it in Approved By / Ref (column Z). The Dashboard counts approved overrides separately.</t>
  </si>
  <si>
    <t>Row colour rules on Issues</t>
  </si>
  <si>
    <t>Green row = Tracking ID entered, so the item was collected. Pink row = over the monthly quota and not yet approved; pink outranks green so a breach is never hidden by a collected row. Green with APPROVED BY TL = over quota but authorised.</t>
  </si>
  <si>
    <t>Pickup location</t>
  </si>
  <si>
    <t>Named in the pickup notice email on Issues.</t>
  </si>
  <si>
    <t>Pickup days</t>
  </si>
  <si>
    <t>Wednesday to Friday</t>
  </si>
  <si>
    <t>Collection days quoted in the pickup notice.</t>
  </si>
  <si>
    <t>Pickup hours</t>
  </si>
  <si>
    <t>9:00 am to 4:00 pm</t>
  </si>
  <si>
    <t>Collection hours quoted in the pickup notice.</t>
  </si>
  <si>
    <t>Pickup roles</t>
  </si>
  <si>
    <t>Staff Email</t>
  </si>
  <si>
    <t>Notice Type</t>
  </si>
  <si>
    <t>Email Subject</t>
  </si>
  <si>
    <t>Email Body</t>
  </si>
  <si>
    <t>Mailto Link</t>
  </si>
  <si>
    <t>Pickup / dispatch notice</t>
  </si>
  <si>
    <t>Draft in Outlook</t>
  </si>
  <si>
    <t>Email sign-off</t>
  </si>
  <si>
    <t>Signature line at the foot of the pickup and dispatch notices.</t>
  </si>
  <si>
    <t>Roles that collect in person at the branch. Any other role, including RN, gets the dispatched / in transit notice.</t>
  </si>
  <si>
    <t>Staff First Name</t>
  </si>
  <si>
    <t>Sheet / Area</t>
  </si>
  <si>
    <t>Change</t>
  </si>
  <si>
    <t>Detail</t>
  </si>
  <si>
    <t>Done</t>
  </si>
  <si>
    <t>Staff IDs updated to the new format</t>
  </si>
  <si>
    <t>All 73 populated rows in column B were re-mapped to the new role-sequence-area IDs so every lookup on other sheets kept working.</t>
  </si>
  <si>
    <t>Duplicate email flagged</t>
  </si>
  <si>
    <t>Staff entry switched from ID to name</t>
  </si>
  <si>
    <t>Column C is now the input with a dropdown of staff names from the Staff Directory. Column B looks the Staff ID up automatically, so you never type an ID again.</t>
  </si>
  <si>
    <t>Monthly quota setting added</t>
  </si>
  <si>
    <t>Row 11: monthly issues allowed per staff, set to 1. Monthly quota per staff per item = Standard Issue Qty x this number.</t>
  </si>
  <si>
    <t>Monthly quota tracking added</t>
  </si>
  <si>
    <t>Columns R to X: Month, Units This Month for that staff member and item, Monthly Quota, Quota Status, plus three helper columns that de-duplicate breaches.</t>
  </si>
  <si>
    <t>New sheet</t>
  </si>
  <si>
    <t>One row per staff member, item and month over quota, with the excess. Summary band on row 3. Currently 3 breaches across 7 issue rows, 2 staff, 248 excess units.</t>
  </si>
  <si>
    <t>Quota counts added</t>
  </si>
  <si>
    <t>Row 17 counts staff x item x month breaches. Row 18 counts breaches approved by a team lead.</t>
  </si>
  <si>
    <t>Team lead approval override</t>
  </si>
  <si>
    <t>Column Y is an Approved / Not approved dropdown and column Z records who authorised it. Approving a row changes the status to APPROVED BY TL and drops it off the alert sheet.</t>
  </si>
  <si>
    <t>Row colour rules</t>
  </si>
  <si>
    <t>Pink row = over quota and not approved. Green row = Tracking ID entered, or over quota but approved. Pink outranks green so a breach is never hidden.</t>
  </si>
  <si>
    <t>Notice settings added</t>
  </si>
  <si>
    <t>Rows 12 to 16: pickup location, pickup days, pickup hours, pickup roles and the email sign-off. All wording in the notices comes from these cells.</t>
  </si>
  <si>
    <t>Pickup and dispatch email drafts</t>
  </si>
  <si>
    <t>Columns AA to AG build the notice: staff email, notice type, subject, a formatted body with greeting and pickup times, the mailto URL, a clickable Draft email link, and the first name used in the greeting.</t>
  </si>
  <si>
    <t>Notice routing rule</t>
  </si>
  <si>
    <t>Settings C15 lists the roles that collect in person, now PSW only. Every other role including RN gets the dispatched / in transit notice.</t>
  </si>
  <si>
    <t>Greeting changed to first name</t>
  </si>
  <si>
    <t>Issues, Staff Directory, Lot Balance</t>
  </si>
  <si>
    <t>Helper columns grouped</t>
  </si>
  <si>
    <t>Collapsible +/- groups instead of hidden columns: Issues AC:AE, V:X and AG; Staff Directory H:K; Lot Balance J:K. Click +/- above the column headers to expand.</t>
  </si>
  <si>
    <t>README</t>
  </si>
  <si>
    <t>Documentation updated</t>
  </si>
  <si>
    <t>Sheet index now lists Alerts - Over Quota. Change log rows 50 to 59 describe the quota rules, approval override, colour rules and notices, plus the planned Table conversion.</t>
  </si>
  <si>
    <t>Whole workbook</t>
  </si>
  <si>
    <t>Error check</t>
  </si>
  <si>
    <t>All 18 sheets scanned for error values after each change. No #REF!, #N/A, #VALUE! or #NAME? found.</t>
  </si>
  <si>
    <t>Change Log sheet</t>
  </si>
  <si>
    <t>Duplicate staff record removed</t>
  </si>
  <si>
    <t>Resolved</t>
  </si>
  <si>
    <t>Directory links rebuilt</t>
  </si>
  <si>
    <t>Columns A to D now map one-to-one to the Staff Directory rows. This cleared 60 #REF! cells across 6 rows - one caused by deleting directory row 87, and five (summary rows 63 to 67) that were already broken from an earlier row deletion and had a five-row offset. The sheet now lists all 243 staff.</t>
  </si>
  <si>
    <t>Staff Full Name</t>
  </si>
  <si>
    <t>Draft email links now self-generating</t>
  </si>
  <si>
    <t>Column AF now holds =IF(AE5="","",HYPERLINK(AE5,"Draft email")) down to row 3000, typed in by the user because add-ins are blocked from writing HYPERLINK. New rows build their own link and empty rows stay blank. No more manual refreshes.</t>
  </si>
  <si>
    <t>Issues and Receipts converted to Tables</t>
  </si>
  <si>
    <t>tblIssues (A4:AH3000) and tblReceipts (A4:K1000) created over the existing extent - no rows trimmed, because Lot Balance mirrors Receipts row-for-row with ~5,000 positional refs and trimming would have produced #REF! in rows 128-1000. Typing in the first row below a Table now extends it and inherits every formula, number format, the staff dropdown and the colour rules. Office Supplies and Professional Services not yet converted.</t>
  </si>
  <si>
    <t>Greeting now first and last name</t>
  </si>
  <si>
    <t>Email drafts shortened</t>
  </si>
  <si>
    <t>Subjects are now Supply order ready for pickup / Supply order dispatched, and each body is a greeting plus one line. Done to fit the 255-character limit on HYPERLINK - the longest mailto link is now 215 characters, was 606. The tracking reference, pickup detail block and sign-off were dropped, and the pickup wording is written into the column AD formula rather than read from Settings rows 12-16.</t>
  </si>
  <si>
    <t>Issues, Receipts, 7 dependent sheets</t>
  </si>
  <si>
    <t>Dependent formulas moved to structured references</t>
  </si>
  <si>
    <t>14,400 formulas repointed from fixed ranges like Issues!$B$5:$B$3000 to tblIssues[Staff ID] across Lot Balance, Item Balance, Alerts - Expiry, Alerts - Over Quota, Staff Summary, Monthly Summary and Dashboard, plus the Issues column S SUMIFS. Every Dashboard figure verified unchanged and all 21 sheets scanned clean.</t>
  </si>
  <si>
    <t>Issues (pre-Table), Receipts (pre-Table)</t>
  </si>
  <si>
    <t>Backup sheets added</t>
  </si>
  <si>
    <t>Copies of both logs taken immediately before the Table conversion. Delete them once you are satisfied the Tables behave correctly.</t>
  </si>
  <si>
    <t>How the Tables were built</t>
  </si>
  <si>
    <t>Lot Balance, Alerts - Expiry</t>
  </si>
  <si>
    <t>Lot Balance now grows with Receipts</t>
  </si>
  <si>
    <t>Lot Balance mirror extended from row 1000 to row 2000 and converted to the Table tblLotBalance (A4:Q2000). Alerts - Expiry mirror extended to row 2001 to match. Item Balance, Alerts - Expiry and Dashboard repointed from fixed ranges like 'Lot Balance'!$O$5:$O$1000 to tblLotBalance[Lot Balance] - 1,797 formulas. A new receipt now flows to Lot Balance and Alerts - Expiry with no action needed. Ceiling is 2000 lots; kept there rather than 3000 because each row runs several COUNTIFS/SUMIFS.</t>
  </si>
  <si>
    <t>Receipts, Lot Balance</t>
  </si>
  <si>
    <t>CAUTION - do not delete a Table row</t>
  </si>
  <si>
    <t>Lot Balance and Alerts - Expiry read their source row by position (Receipts!$D1001), so deleting a Receipts Table row turns the matching mirror row into #REF!. Clear the row contents instead of deleting the row. Deleting the Table object itself is worse: it erases the data and rewrites every structured reference in the workbook as #REF!. This happened during this session and was restored in full from the backup sheet - all Dashboard figures re-verified against the pre-change baseline.</t>
  </si>
  <si>
    <t>Note</t>
  </si>
  <si>
    <t>DONE - Issues, Receipts, Lot Balance</t>
  </si>
  <si>
    <t>CAUTION when editing</t>
  </si>
  <si>
    <t>A dated, row-by-row record of every change made during the 26 July 2026 session, including the open duplicate-email issue and the Table conversion. Record only - nothing depends on it.</t>
  </si>
  <si>
    <t>Issues, Staff Directory</t>
  </si>
  <si>
    <t>Staff dropdown now self-sizing</t>
  </si>
  <si>
    <t>Issues, Receipts</t>
  </si>
  <si>
    <t>Redundant blank rows trimmed</t>
  </si>
  <si>
    <t>The pre-filled formula rows below the last record were cleared and the Tables resized: tblIssues now A4:AH77, tblReceipts now A4:K127. This removes the green 'formula refers to empty cells' warning triangles that appeared on every blank row. Nothing was lost - typing in the first row below either Table extends it and auto-fills all formulas, the staff dropdown, the colour rules and the Draft email link (re-tested at Issues row 78 and Receipts row 128, then reverted). Lot Balance and Alerts - Expiry were deliberately NOT trimmed: they mirror Receipts by row position and must stay pre-filled ahead of it, otherwise a new receipt would have no matching mirror row. Their warning triangles are the price of that automatic mirroring.</t>
  </si>
  <si>
    <t>Thermometer</t>
  </si>
  <si>
    <t>Stethscope</t>
  </si>
  <si>
    <t>PPE EMERGENCY/CAR KIT</t>
  </si>
  <si>
    <t>Device</t>
  </si>
  <si>
    <t>Utility</t>
  </si>
  <si>
    <t>Hand Sanitizer 1L OS</t>
  </si>
  <si>
    <t>Disinfectant Wipes 180 OS</t>
  </si>
  <si>
    <t>Document</t>
  </si>
  <si>
    <t>Tool</t>
  </si>
  <si>
    <t>Chart</t>
  </si>
  <si>
    <t>Self Pickup</t>
  </si>
  <si>
    <t>Sample Org Charts PSW</t>
  </si>
  <si>
    <t>Sample Org Generic Flow Sheets</t>
  </si>
  <si>
    <t>Sample Org Charts</t>
  </si>
  <si>
    <t>Sample Org CONNECT Welcome Package PSW</t>
  </si>
  <si>
    <t>Sample Org CONNECT Welcome Package RPN TL</t>
  </si>
  <si>
    <t>Sample Org CONNECT Welcome Package RN</t>
  </si>
  <si>
    <t>Sample Org Week Water Bottle</t>
  </si>
  <si>
    <t>Top Sample Org Chart Label</t>
  </si>
  <si>
    <t>Bottom Sample Org Chart Label</t>
  </si>
  <si>
    <t>Sample Branch</t>
  </si>
  <si>
    <t>Sample Supply Team</t>
  </si>
  <si>
    <t>Column E is now first.surname@example.com, built from the staff name column. Helper columns H to K hold the cleaned name, first name, surname and greeting name.</t>
  </si>
  <si>
    <t>The body now opens Dear &lt;first name&gt;, using the Greeting Name from the Staff Directory. Falls back to the role if the name is not found.</t>
  </si>
  <si>
    <t>Helper column AH (Staff Full Name) joins First Name and Surname from the Staff Directory. Both drafts now open Dear &lt;first name&gt; &lt;surname&gt;. Column AG (first name only) kept as the fallback.</t>
  </si>
  <si>
    <t>The dropdown on Issues column C only read 'Staff Directory'!$B$5:$B$242, but the directory runs to row 247 - so the five most recently added staff were not offered and any row using them was flagged invalid with an error triangle. One Issues row (row 77) was affected. The list now points at a new workbook name, StaffNames, which auto-sizes to the last filled row of Staff Directory column B, so newly added staff appear in the dropdown straight away. A clearer error message was added too.</t>
  </si>
  <si>
    <t>Staff Directory column E is now a formula: first.last@example.com, derived in lower case from Staff Name (spaces become dots).</t>
  </si>
  <si>
    <t>Issues columns AA-AH build the staff notice. Notice type is driven by Settings C15: roles listed there collect in person and get the pickup notice, every other role including RN gets the dispatched / in transit notice. Both notices are deliberately short so the whole mailto link stays under the 255-character limit that the HYPERLINK formula imposes - the pickup wording (Sample Branch, Wed-Fri, 9am-4pm) is written into the column AD formula rather than pulled from Settings, and there is no sign-off. The dispatch notice no longer quotes the Tracking ID. Column AF is a HYPERLINK formula that builds its own Draft email link on every new row, so no refresh is ever needed. Longest link today is 215 characters; if a very long staff name ever pushes one past 255 the body needs trimming.</t>
  </si>
  <si>
    <t>Where</t>
  </si>
  <si>
    <t>Sample Org</t>
  </si>
  <si>
    <t>⚠ not in Items</t>
  </si>
  <si>
    <t>Lot Override</t>
  </si>
  <si>
    <t>Cum Units (Item)</t>
  </si>
  <si>
    <t>Line Start Unit</t>
  </si>
  <si>
    <t>FEFO Lot (Auto)</t>
  </si>
  <si>
    <t>Lot At Line End</t>
  </si>
  <si>
    <t>Lot Check</t>
  </si>
  <si>
    <t>All sheets</t>
  </si>
  <si>
    <t>Anonymisation audit against the manual guide</t>
  </si>
  <si>
    <t>Checked the shared copy against Manual_Anonymize_Restore_Guide.md. Correctly masked already: Staff Directory name/contact/address, Vendors name/email/contact/address, Issues staff name, Receipts vendor name. Gaps found: Items unit rates never masked, all five helper column groups left in place, real staff names still in this Change Log, organisation name / email domain / branch name throughout, real supplier names on Office Supplies, real costs on Professional Services, and a real user name in the file metadata. All items below were the fixes.</t>
  </si>
  <si>
    <t>Unit rates masked</t>
  </si>
  <si>
    <t>Column D overwritten with the guide's dummy rate (real rate x a stable row-based factor of 0.4x-1.8x, rounded to 2dp) then helper columns J:K deleted. Item names were left untouched so the restore can key on them. Everything downstream recalculated: Receipts unit rate / received value, Issues unit rate / line cost, Lot Balance, Item Balance, Office Supplies unit rate / total cost, Alerts and Dashboard values.</t>
  </si>
  <si>
    <t>Staff Directory, Vendors, Items, Issues, Receipts</t>
  </si>
  <si>
    <t>Anonymisation helper columns deleted</t>
  </si>
  <si>
    <t>Step 3.3 of the guide had not been done. Removed Staff Directory L:N, Vendors I:L, Items J:K, and the Column1 helper column inside tblIssues and tblReceipts. Staff Directory H:K (Name cleaned / First / Surname / Greeting) were kept - the model needs them. tblIssues went to A4:AH1977 and tblReceipts to A4:K127 as a result.</t>
  </si>
  <si>
    <t>Item Balance, Dashboard</t>
  </si>
  <si>
    <t>Mirror rows 121-123 repaired</t>
  </si>
  <si>
    <t>Deleting the Items helper columns turned Item Balance rows 121-123 into #REF! - those three rows had been pointing at Items J:K rather than at item rows, which also pushed Alerts - Low Stock rows 122-124 and Dashboard C7:C8 into #REF!. Repointed them at empty Items rows 598-600 so they render blank, matching the pre-existing -3 row offset in the rest of the mirror. No item lost: rows 124 onward still cover every item. Workbook-wide error sweep is now clean.</t>
  </si>
  <si>
    <t>Office Supplies, Professional Services</t>
  </si>
  <si>
    <t>Supplier names and service costs masked</t>
  </si>
  <si>
    <t>Three real retailers in Office Supplies column K replaced with Supplier 001-003 (one code per supplier, assigned alphabetically). Professional Services column E costs masked with the same stable row factor. Neither sheet was covered by the original guide. Both gained a Restore Key column holding the original row number (Office Supplies M, Professional Services K) so the restore survives inserted or deleted rows.</t>
  </si>
  <si>
    <t>Organisation identifiers scrubbed</t>
  </si>
  <si>
    <t>Change Log, README</t>
  </si>
  <si>
    <t>Real staff names removed from the narrative</t>
  </si>
  <si>
    <t>Six Change Log entries (D7, D8, D19, D25, D27, D33) named real staff members, one of them with a full work email address. Replaced with role descriptions and &lt;first name&gt; placeholders. README C52 and C57 had the real email domain and branch wording. Record-only cells - nothing depends on them.</t>
  </si>
  <si>
    <t>Restore Guide (new sheet)</t>
  </si>
  <si>
    <t>Restore Guide sheet added</t>
  </si>
  <si>
    <t>New sheet, positioned second. Part 1 rules for working in an anonymised copy, Part 2 an inventory of every masked column and what its dummy value encodes, Part 3 the restore procedure with ready-to-paste INDEX formulas, Part 4 the find-and-replace reversals, Part 5 what is still real (Staff ID encodes role and area, all dates / quantities / lot numbers / quota breaches are genuine, plus the metadata warning), Part 6 a log for rows added in the copy, Part 7 the full round-trip cycle including the forward masking formulas. Restore keys off the dummy values themselves, so inserting and deleting rows is safe - only re-sorting the five source sheets would break it.</t>
  </si>
  <si>
    <t>Lot Number now picks the FEFO lot automatically</t>
  </si>
  <si>
    <t>Column M was manual typing with only 73 of 1,921 rows filled. It is now a formula. Six columns added at the right end of tblIssues (now A4:AN1977): Lot Override, Cum Units (Item), Line Start Unit, FEFO Lot (Auto), Lot At Line End, Lot Check. Cum Units runs the total issued of that item down to the current row; Line Start Unit is the first unit the line consumes; the lot is the one whose window (Prior Lots Qty &lt; unit &lt;= Prior Lots Qty + Qty Received) contains it, read from Lot Balance which already ranks lots earliest-expiry-first. M reads =IF(Lot Override&lt;&gt;"",Lot Override,FEFO Lot (Auto)). The 73 previously typed lots were moved into Lot Override so nothing was lost. Cum Units to Lot At Line End are grouped behind a +/- toggle. No circular reference: the columns read Lot Balance A/B/D/K, which derive from Receipts only.</t>
  </si>
  <si>
    <t>Why the override column was kept</t>
  </si>
  <si>
    <t>If column M were purely formulaic, Lot Balance Issued (Recorded) would always equal Issued (FEFO) and Variance would be permanently zero, destroying the FEFO-compliance signal. With the override in place, Variance now flags 9 lots that were genuinely issued out of expiry order, instead of 34 rows that simply had no lot typed.</t>
  </si>
  <si>
    <t>Lot data quality found by the new check column</t>
  </si>
  <si>
    <t>Across 1,921 rows: 843 lots now filled automatically, 12 lines span two lots (the check column names the second), 46 previously typed lots match FEFO, 21 genuinely differ, 6 are not a lot of that item at all, and 993 rows name items with no Receipts entry at all - no lot can exist for those. That last group is also why Item Balance shows negative on-hand figures. Those rows fill themselves in once the missing receipts are entered.</t>
  </si>
  <si>
    <t>File properties</t>
  </si>
  <si>
    <t>Metadata still needs inspecting before sharing</t>
  </si>
  <si>
    <t>Excel stamps the last author on save, so the file still carries a real user name. Before sending any copy out, use File &gt; Info &gt; Check for Issues &gt; Inspect Document and remove document properties and personal information. This cannot be done from a formula.</t>
  </si>
  <si>
    <t>STATUS FOR WHOEVER PICKS THIS UP NEXT</t>
  </si>
  <si>
    <t>Topic</t>
  </si>
  <si>
    <t>What you need to know</t>
  </si>
  <si>
    <t>What this file is</t>
  </si>
  <si>
    <t>-</t>
  </si>
  <si>
    <t>This is the ANONYMISED copy of PPE_Supply_Inventory_FY26-27. Every name, contact, address, supplier and price in it is dummy data. The real data lives in the master file, which never leaves the restricted drive. Use this copy for structural work only.</t>
  </si>
  <si>
    <t>Fact</t>
  </si>
  <si>
    <t>Masking and restore spec</t>
  </si>
  <si>
    <t>Restore Guide sheet</t>
  </si>
  <si>
    <t>Parts 1-7: rules for working in the copy, an inventory of every masked column and what its dummy value encodes, the restore formulas, the find-and-replace reversals, what is still real, and Part 7 the full round-trip cycle with the forward masking formulas. Do not re-derive any of this - it is all on that sheet.</t>
  </si>
  <si>
    <t>Money figures are fake</t>
  </si>
  <si>
    <t>Items, Professional Services and everything derived</t>
  </si>
  <si>
    <t>Items unit rate and Professional Services cost are masked, so Received Value, Line Cost, Balance Value, Total Cost and every Dashboard money figure in THIS copy are meaningless. Never quote a financial number out of this file.</t>
  </si>
  <si>
    <t>Warning</t>
  </si>
  <si>
    <t>Never re-sort five sheets</t>
  </si>
  <si>
    <t>Staff Directory, Vendors, Items, Office Supplies, Professional Services</t>
  </si>
  <si>
    <t>Restore and re-masking both key off row position or the dummy value derived from it. Inserting and deleting rows is safe; sorting these five sheets breaks the mapping permanently.</t>
  </si>
  <si>
    <t>OPEN - missing receipts</t>
  </si>
  <si>
    <t>Issues, Receipts, Item Balance</t>
  </si>
  <si>
    <t>993 Issues rows name items that have no Receipts entry at all. No lot can be picked for them (Lot Check says 'no receipt on file'), and this is also why Item Balance shows negative on-hand figures. Entering the missing receipts clears both symptoms at once. Biggest outstanding data job.</t>
  </si>
  <si>
    <t>Open</t>
  </si>
  <si>
    <t>OPEN - 6 invalid lot overrides</t>
  </si>
  <si>
    <t>Issues, Lot Override column</t>
  </si>
  <si>
    <t>Six rows hold a Lot Override that is not a lot of that item - Issues row 7 is one of them (it held the organisation name). Decide per row: clear it so FEFO takes over, or correct it.</t>
  </si>
  <si>
    <t>OPEN - 21 FEFO deviations</t>
  </si>
  <si>
    <t>Issues, Lot Check column</t>
  </si>
  <si>
    <t>21 rows show 'Override - FEFO says X': a lot was issued out of expiry order. Confirm each was deliberate, or clear the override. Lot Balance Variance flags the 9 lots affected.</t>
  </si>
  <si>
    <t>OPEN - live file handoff</t>
  </si>
  <si>
    <t>Live workbook</t>
  </si>
  <si>
    <t>On 28 July 2026 the Issues FEFO column set (Lot Override, Cum Units, Line Start Unit, FEFO Lot (Auto), Lot At Line End, Lot Check, plus the Lot Number formula) was handed to the session holding the live workbook, matched by header name rather than column letter. Confirm it was actually applied there before relying on it.</t>
  </si>
  <si>
    <t>OPEN - metadata</t>
  </si>
  <si>
    <t>Excel stamps the last author on save, so this file still carries a real user name. Run File &gt; Info &gt; Check for Issues &gt; Inspect Document and remove document properties and personal information before any copy is shared.</t>
  </si>
  <si>
    <t>Known quirk - mirror offset</t>
  </si>
  <si>
    <t>Item Balance, Alerts - Low Stock</t>
  </si>
  <si>
    <t>Item Balance mirrors Items 1:1 down to row 120, then runs 3 rows behind from row 124 onward. Rows 121-123 are deliberately pointed at empty Items rows 598-600 so they render blank. This offset pre-dates the anonymisation work; it loses no items, but do not 'fix' it without checking Alerts - Low Stock, which mirrors Item Balance one row down.</t>
  </si>
  <si>
    <t>Admin Coordinator</t>
  </si>
  <si>
    <t>Issues, Lot Balance, Restore Guide</t>
  </si>
  <si>
    <t>Formula coordination and warning cleanup</t>
  </si>
  <si>
    <t>Normalized Issues column W first-breach formulas, restored Lot Balance rows 5:2000 to same-row Receipts mirror formulas per the change-log caution, and converted Restore Guide example formulas to text so they no longer act as live external links. Item Balance mirror offset was deliberately left unchanged per the known-quirk note.</t>
  </si>
  <si>
    <t>0312HIC25</t>
  </si>
  <si>
    <t>O211LIC25-0</t>
  </si>
  <si>
    <t>O16705</t>
  </si>
  <si>
    <t>0125FPC24-2</t>
  </si>
  <si>
    <t>20-21734-2</t>
  </si>
  <si>
    <t>O16689</t>
  </si>
  <si>
    <t>O211LIC25-1</t>
  </si>
  <si>
    <t>O742HIC25</t>
  </si>
  <si>
    <t>0125FPC24-3</t>
  </si>
  <si>
    <t>20-21734-3</t>
  </si>
  <si>
    <t>ZIM502120713</t>
  </si>
  <si>
    <t>ZIM504126040-4</t>
  </si>
  <si>
    <t>ZIM504124207-6</t>
  </si>
  <si>
    <t>ZIM511139904-2</t>
  </si>
  <si>
    <t>ZIM510329603</t>
  </si>
  <si>
    <t>ZIM504124207-7</t>
  </si>
  <si>
    <t>ZIM511139904-3</t>
  </si>
  <si>
    <t>C1-22197A</t>
  </si>
  <si>
    <t>ZIM510137962-0</t>
  </si>
  <si>
    <t>ZIM504124207-8</t>
  </si>
  <si>
    <t>24HA2050A7396</t>
  </si>
  <si>
    <t>20-21734-4</t>
  </si>
  <si>
    <t>ZIM510137964</t>
  </si>
  <si>
    <t>ZIM502120291</t>
  </si>
  <si>
    <t>315JIC25</t>
  </si>
  <si>
    <t>ZIM510137962-1</t>
  </si>
  <si>
    <t>ZIM601144366-0</t>
  </si>
  <si>
    <t>ZIM510137962-2</t>
  </si>
  <si>
    <t>ZIM601144366-1</t>
  </si>
  <si>
    <t>ZIM512142081</t>
  </si>
  <si>
    <t>O310LIC25</t>
  </si>
  <si>
    <t>ZIM510137942</t>
  </si>
  <si>
    <t>O17103</t>
  </si>
  <si>
    <t>20-21734-5</t>
  </si>
  <si>
    <t>ZIM604151579</t>
  </si>
  <si>
    <t>ZIM604151579-S</t>
  </si>
  <si>
    <t>ZIM512142081-1</t>
  </si>
  <si>
    <t>ZIM511139896</t>
  </si>
  <si>
    <t>22625VXO7</t>
  </si>
  <si>
    <t>102GPC24</t>
  </si>
  <si>
    <t>20-21734-6</t>
  </si>
  <si>
    <t>ZIM6044151580</t>
  </si>
  <si>
    <t>ZIM511139904</t>
  </si>
  <si>
    <t>ZIM512142080</t>
  </si>
  <si>
    <t>ZIM511142081-L</t>
  </si>
  <si>
    <t>ZIM604151579-S-2</t>
  </si>
  <si>
    <t>HS1L-1</t>
  </si>
  <si>
    <t>O101KPC24</t>
  </si>
  <si>
    <t>ZIM511139896-0</t>
  </si>
  <si>
    <t>241101JY320B2</t>
  </si>
  <si>
    <t>ZIM6044151580-1</t>
  </si>
  <si>
    <t>ZIM50913691-1</t>
  </si>
  <si>
    <t>ZIM502120713-1</t>
  </si>
  <si>
    <t>20-21734-7</t>
  </si>
  <si>
    <t>031125VXO7</t>
  </si>
  <si>
    <t>Therm-1</t>
  </si>
  <si>
    <t>Steth-1</t>
  </si>
  <si>
    <t>Restore Guide Part 4</t>
  </si>
  <si>
    <t>Text replacement pass applied</t>
  </si>
  <si>
    <t>Qty Override</t>
  </si>
  <si>
    <t>Qty Issued is now a formula with a Qty Override column</t>
  </si>
  <si>
    <t>Column J was manual typing on all 1,921 rows. It now reads =IF(Qty Override&lt;&gt;"",Qty Override,IF(Standard Issue="","",Standard Issue)) so a new row defaults to the item's Standard Issue Qty with nothing to type. A Qty Override column was added at the right end of tblIssues (now A4:AO1977) for lines that genuinely differ. The 3 rows whose typed quantity did not match Standard Issue were moved into the override first so nothing was lost: row 40 (240 vs 80), row 41 (4 vs 2), row 1303 (1 vs 160). Column J is now black (formula), the override column blue (input).</t>
  </si>
  <si>
    <t>Issues, Lot Balance, Item Balance, Alerts, Summaries, Dashboard</t>
  </si>
  <si>
    <t>Nine order lines that had a blank quantity now default to Standard Issue</t>
  </si>
  <si>
    <t>Rows 1927-1935 were real order lines with Item Name filled but Qty Issued left blank, so they contributed nothing to any balance, quota or cost figure. Under the new formula they now pick up their item's Standard Issue Qty. Total Qty Issued moved from 273,794 to 276,010 (+2,216 units) and total Line Cost from $34,447.70 to $34,601.20 (+$153.50); every other row is unchanged. If any of those nine lines was deliberately zero, enter 0 in its Qty Override cell.</t>
  </si>
  <si>
    <t>Issues, Change Log</t>
  </si>
  <si>
    <t>Qty Issued / Qty Override change applied to this workbook from the other session's steps</t>
  </si>
  <si>
    <t>Matched by header name, not column letter: Qty Override landed in column AO because tblIssues already ran to AN. Sequence followed - override column added to the Table, the 3 rows with a typed quantity different from Standard Issue moved into it (rows 40, 41, 1303), then J5:J1977 filled with the override-first formula. Line Cost in column L already held =IF(OR($J="",$K=""),"",$J*$K) so it was left alone. Verified after: no error values in the used range of Issues, Lot Balance, Item Balance, all three Alerts sheets, Staff Summary, Monthly Summary, Dashboard or this sheet. Totals before and after are in row 48 - they do not match, because nine blank-quantity rows now default to Standard Issue.</t>
  </si>
  <si>
    <t>Over-quota row highlight now covers the whole row</t>
  </si>
  <si>
    <t>The pink rule was applied to a patchwork of ranges (A5:Z23, A30:Z42, U16:U1926, G1927:I1977 and 17 others), so on most breach rows only part of the row turned pink and the columns outside those blocks stayed green or unfilled. Replaced with a single rule on A5:AO1977, =$U5="⚠ OVER QUOTA", pink fill #FCE4EC with dark red text, priority 1 so it still outranks the green collected rule. The green rule was rebuilt on the same full-width range (it stopped at AH, so the six FEFO columns and Qty Override were never shaded). 141 rows are currently over quota and 2 are approved by a team lead. A stale rule on P43:P46 keyed to column J = "✅" was deleted at the same time - it could never fire once J became a quantity formula. Five rules remain on the sheet: over-quota row, over-quota status cell, approved status cell, Tracking ID cell, collected row.</t>
  </si>
  <si>
    <t>Lastname001, Firstname001</t>
  </si>
  <si>
    <t>Lastname002, Firstname002</t>
  </si>
  <si>
    <t>Lastname003, Firstname003</t>
  </si>
  <si>
    <t>Lastname004, Firstname004</t>
  </si>
  <si>
    <t>Lastname005, Firstname005</t>
  </si>
  <si>
    <t>Lastname006, Firstname006</t>
  </si>
  <si>
    <t>Lastname007, Firstname007</t>
  </si>
  <si>
    <t>Lastname008, Firstname008</t>
  </si>
  <si>
    <t>Lastname009, Firstname009</t>
  </si>
  <si>
    <t>Lastname010, Firstname010</t>
  </si>
  <si>
    <t>Lastname011, Firstname011</t>
  </si>
  <si>
    <t>Lastname012, Firstname012</t>
  </si>
  <si>
    <t>Lastname013, Firstname013</t>
  </si>
  <si>
    <t>Lastname014, Firstname014</t>
  </si>
  <si>
    <t>Lastname015, Firstname015</t>
  </si>
  <si>
    <t>Lastname016, Firstname016</t>
  </si>
  <si>
    <t>Lastname017, Firstname017</t>
  </si>
  <si>
    <t>Lastname018, Firstname018</t>
  </si>
  <si>
    <t>Lastname019, Firstname019</t>
  </si>
  <si>
    <t>Lastname020, Firstname020</t>
  </si>
  <si>
    <t>Lastname021, Firstname021</t>
  </si>
  <si>
    <t>Lastname022, Firstname022</t>
  </si>
  <si>
    <t>Lastname023, Firstname023</t>
  </si>
  <si>
    <t>Lastname024, Firstname024</t>
  </si>
  <si>
    <t>Lastname025, Firstname025</t>
  </si>
  <si>
    <t>Lastname026, Firstname026</t>
  </si>
  <si>
    <t>Lastname027, Firstname027</t>
  </si>
  <si>
    <t>Lastname028, Firstname028</t>
  </si>
  <si>
    <t>Lastname029, Firstname029</t>
  </si>
  <si>
    <t>Lastname030, Firstname030</t>
  </si>
  <si>
    <t>Lastname031, Firstname031</t>
  </si>
  <si>
    <t>Lastname032, Firstname032</t>
  </si>
  <si>
    <t>Lastname033, Firstname033</t>
  </si>
  <si>
    <t>Lastname034, Firstname034</t>
  </si>
  <si>
    <t>Lastname035, Firstname035</t>
  </si>
  <si>
    <t>Lastname036, Firstname036</t>
  </si>
  <si>
    <t>Lastname037, Firstname037</t>
  </si>
  <si>
    <t>Lastname038, Firstname038</t>
  </si>
  <si>
    <t>Lastname039, Firstname039</t>
  </si>
  <si>
    <t>Lastname040, Firstname040</t>
  </si>
  <si>
    <t>Lastname041, Firstname041</t>
  </si>
  <si>
    <t>Lastname042, Firstname042</t>
  </si>
  <si>
    <t>Lastname043, Firstname043</t>
  </si>
  <si>
    <t>Lastname044, Firstname044</t>
  </si>
  <si>
    <t>Lastname045, Firstname045</t>
  </si>
  <si>
    <t>Lastname046, Firstname046</t>
  </si>
  <si>
    <t>Lastname047, Firstname047</t>
  </si>
  <si>
    <t>Lastname048, Firstname048</t>
  </si>
  <si>
    <t>Lastname049, Firstname049</t>
  </si>
  <si>
    <t>Lastname050, Firstname050</t>
  </si>
  <si>
    <t>Lastname051, Firstname051</t>
  </si>
  <si>
    <t>Lastname052, Firstname052</t>
  </si>
  <si>
    <t>Lastname053, Firstname053</t>
  </si>
  <si>
    <t>Lastname054, Firstname054</t>
  </si>
  <si>
    <t>Lastname055, Firstname055</t>
  </si>
  <si>
    <t>Lastname056, Firstname056</t>
  </si>
  <si>
    <t>Lastname057, Firstname057</t>
  </si>
  <si>
    <t>Lastname058, Firstname058</t>
  </si>
  <si>
    <t>Lastname059, Firstname059</t>
  </si>
  <si>
    <t>Lastname060, Firstname060</t>
  </si>
  <si>
    <t>Lastname061, Firstname061</t>
  </si>
  <si>
    <t>Lastname062, Firstname062</t>
  </si>
  <si>
    <t>Lastname063, Firstname063</t>
  </si>
  <si>
    <t>Lastname064, Firstname064</t>
  </si>
  <si>
    <t>Lastname065, Firstname065</t>
  </si>
  <si>
    <t>Lastname066, Firstname066</t>
  </si>
  <si>
    <t>Lastname067, Firstname067</t>
  </si>
  <si>
    <t>Lastname068, Firstname068</t>
  </si>
  <si>
    <t>Lastname069, Firstname069</t>
  </si>
  <si>
    <t>Lastname070, Firstname070</t>
  </si>
  <si>
    <t>Lastname071, Firstname071</t>
  </si>
  <si>
    <t>Lastname072, Firstname072</t>
  </si>
  <si>
    <t>Lastname073, Firstname073</t>
  </si>
  <si>
    <t>Lastname074, Firstname074</t>
  </si>
  <si>
    <t>Lastname075, Firstname075</t>
  </si>
  <si>
    <t>Lastname076, Firstname076</t>
  </si>
  <si>
    <t>Lastname077, Firstname077</t>
  </si>
  <si>
    <t>Lastname078, Firstname078</t>
  </si>
  <si>
    <t>Lastname079, Firstname079</t>
  </si>
  <si>
    <t>Lastname080, Firstname080</t>
  </si>
  <si>
    <t>Lastname081, Firstname081</t>
  </si>
  <si>
    <t>Lastname082, Firstname082</t>
  </si>
  <si>
    <t>Lastname083, Firstname083</t>
  </si>
  <si>
    <t>Lastname084, Firstname084</t>
  </si>
  <si>
    <t>Lastname085, Firstname085</t>
  </si>
  <si>
    <t>Lastname086, Firstname086</t>
  </si>
  <si>
    <t>Lastname087, Firstname087</t>
  </si>
  <si>
    <t>Lastname088, Firstname088</t>
  </si>
  <si>
    <t>Lastname089, Firstname089</t>
  </si>
  <si>
    <t>Lastname090, Firstname090</t>
  </si>
  <si>
    <t>Lastname091, Firstname091</t>
  </si>
  <si>
    <t>Lastname092, Firstname092</t>
  </si>
  <si>
    <t>Lastname093, Firstname093</t>
  </si>
  <si>
    <t>Lastname094, Firstname094</t>
  </si>
  <si>
    <t>Lastname095, Firstname095</t>
  </si>
  <si>
    <t>Lastname096, Firstname096</t>
  </si>
  <si>
    <t>Lastname097, Firstname097</t>
  </si>
  <si>
    <t>Lastname098, Firstname098</t>
  </si>
  <si>
    <t>Lastname099, Firstname099</t>
  </si>
  <si>
    <t>Lastname100, Firstname100</t>
  </si>
  <si>
    <t>Lastname101, Firstname101</t>
  </si>
  <si>
    <t>Lastname102, Firstname102</t>
  </si>
  <si>
    <t>Lastname103, Firstname103</t>
  </si>
  <si>
    <t>Lastname104, Firstname104</t>
  </si>
  <si>
    <t>Lastname105, Firstname105</t>
  </si>
  <si>
    <t>Lastname106, Firstname106</t>
  </si>
  <si>
    <t>Lastname107, Firstname107</t>
  </si>
  <si>
    <t>Lastname108, Firstname108</t>
  </si>
  <si>
    <t>Lastname109, Firstname109</t>
  </si>
  <si>
    <t>Lastname110, Firstname110</t>
  </si>
  <si>
    <t>Lastname111, Firstname111</t>
  </si>
  <si>
    <t>Lastname112, Firstname112</t>
  </si>
  <si>
    <t>Lastname113, Firstname113</t>
  </si>
  <si>
    <t>Lastname114, Firstname114</t>
  </si>
  <si>
    <t>Lastname115, Firstname115</t>
  </si>
  <si>
    <t>Lastname116, Firstname116</t>
  </si>
  <si>
    <t>Lastname117, Firstname117</t>
  </si>
  <si>
    <t>Lastname118, Firstname118</t>
  </si>
  <si>
    <t>Lastname119, Firstname119</t>
  </si>
  <si>
    <t>Lastname120, Firstname120</t>
  </si>
  <si>
    <t>Lastname121, Firstname121</t>
  </si>
  <si>
    <t>Lastname122, Firstname122</t>
  </si>
  <si>
    <t>Lastname123, Firstname123</t>
  </si>
  <si>
    <t>Lastname124, Firstname124</t>
  </si>
  <si>
    <t>Lastname125, Firstname125</t>
  </si>
  <si>
    <t>Lastname126, Firstname126</t>
  </si>
  <si>
    <t>Lastname127, Firstname127</t>
  </si>
  <si>
    <t>Lastname128, Firstname128</t>
  </si>
  <si>
    <t>Lastname129, Firstname129</t>
  </si>
  <si>
    <t>Lastname130, Firstname130</t>
  </si>
  <si>
    <t>Lastname131, Firstname131</t>
  </si>
  <si>
    <t>Lastname132, Firstname132</t>
  </si>
  <si>
    <t>Lastname133, Firstname133</t>
  </si>
  <si>
    <t>Lastname134, Firstname134</t>
  </si>
  <si>
    <t>Lastname135, Firstname135</t>
  </si>
  <si>
    <t>Lastname136, Firstname136</t>
  </si>
  <si>
    <t>Lastname137, Firstname137</t>
  </si>
  <si>
    <t>Lastname138, Firstname138</t>
  </si>
  <si>
    <t>Lastname139, Firstname139</t>
  </si>
  <si>
    <t>Lastname140, Firstname140</t>
  </si>
  <si>
    <t>Lastname141, Firstname141</t>
  </si>
  <si>
    <t>Lastname142, Firstname142</t>
  </si>
  <si>
    <t>Lastname143, Firstname143</t>
  </si>
  <si>
    <t>Lastname144, Firstname144</t>
  </si>
  <si>
    <t>Lastname145, Firstname145</t>
  </si>
  <si>
    <t>Lastname146, Firstname146</t>
  </si>
  <si>
    <t>Lastname147, Firstname147</t>
  </si>
  <si>
    <t>Lastname148, Firstname148</t>
  </si>
  <si>
    <t>Lastname149, Firstname149</t>
  </si>
  <si>
    <t>Lastname150, Firstname150</t>
  </si>
  <si>
    <t>Lastname151, Firstname151</t>
  </si>
  <si>
    <t>Lastname152, Firstname152</t>
  </si>
  <si>
    <t>Lastname153, Firstname153</t>
  </si>
  <si>
    <t>Lastname154, Firstname154</t>
  </si>
  <si>
    <t>Lastname155, Firstname155</t>
  </si>
  <si>
    <t>Lastname156, Firstname156</t>
  </si>
  <si>
    <t>Lastname157, Firstname157</t>
  </si>
  <si>
    <t>Lastname158, Firstname158</t>
  </si>
  <si>
    <t>Lastname159, Firstname159</t>
  </si>
  <si>
    <t>Lastname160, Firstname160</t>
  </si>
  <si>
    <t>Lastname161, Firstname161</t>
  </si>
  <si>
    <t>Lastname162, Firstname162</t>
  </si>
  <si>
    <t>Lastname163, Firstname163</t>
  </si>
  <si>
    <t>Lastname164, Firstname164</t>
  </si>
  <si>
    <t>Lastname165, Firstname165</t>
  </si>
  <si>
    <t>Lastname166, Firstname166</t>
  </si>
  <si>
    <t>Lastname167, Firstname167</t>
  </si>
  <si>
    <t>Lastname168, Firstname168</t>
  </si>
  <si>
    <t>Lastname169, Firstname169</t>
  </si>
  <si>
    <t>Lastname170, Firstname170</t>
  </si>
  <si>
    <t>Lastname171, Firstname171</t>
  </si>
  <si>
    <t>Lastname172, Firstname172</t>
  </si>
  <si>
    <t>Lastname173, Firstname173</t>
  </si>
  <si>
    <t>Lastname174, Firstname174</t>
  </si>
  <si>
    <t>Lastname175, Firstname175</t>
  </si>
  <si>
    <t>Lastname176, Firstname176</t>
  </si>
  <si>
    <t>Lastname177, Firstname177</t>
  </si>
  <si>
    <t>Lastname178, Firstname178</t>
  </si>
  <si>
    <t>Lastname179, Firstname179</t>
  </si>
  <si>
    <t>Lastname180, Firstname180</t>
  </si>
  <si>
    <t>Lastname181, Firstname181</t>
  </si>
  <si>
    <t>Lastname182, Firstname182</t>
  </si>
  <si>
    <t>Lastname183, Firstname183</t>
  </si>
  <si>
    <t>Lastname184, Firstname184</t>
  </si>
  <si>
    <t>Lastname185, Firstname185</t>
  </si>
  <si>
    <t>Lastname186, Firstname186</t>
  </si>
  <si>
    <t>Lastname187, Firstname187</t>
  </si>
  <si>
    <t>Lastname188, Firstname188</t>
  </si>
  <si>
    <t>Lastname189, Firstname189</t>
  </si>
  <si>
    <t>Lastname190, Firstname190</t>
  </si>
  <si>
    <t>Lastname191, Firstname191</t>
  </si>
  <si>
    <t>Lastname192, Firstname192</t>
  </si>
  <si>
    <t>Lastname193, Firstname193</t>
  </si>
  <si>
    <t>Lastname194, Firstname194</t>
  </si>
  <si>
    <t>Lastname195, Firstname195</t>
  </si>
  <si>
    <t>Lastname196, Firstname196</t>
  </si>
  <si>
    <t>Lastname197, Firstname197</t>
  </si>
  <si>
    <t>Lastname198, Firstname198</t>
  </si>
  <si>
    <t>Lastname199, Firstname199</t>
  </si>
  <si>
    <t>Lastname200, Firstname200</t>
  </si>
  <si>
    <t>Lastname201, Firstname201</t>
  </si>
  <si>
    <t>Lastname202, Firstname202</t>
  </si>
  <si>
    <t>Lastname203, Firstname203</t>
  </si>
  <si>
    <t>Lastname204, Firstname204</t>
  </si>
  <si>
    <t>Lastname205, Firstname205</t>
  </si>
  <si>
    <t>Lastname206, Firstname206</t>
  </si>
  <si>
    <t>Lastname207, Firstname207</t>
  </si>
  <si>
    <t>Lastname208, Firstname208</t>
  </si>
  <si>
    <t>Lastname209, Firstname209</t>
  </si>
  <si>
    <t>Lastname210, Firstname210</t>
  </si>
  <si>
    <t>Lastname211, Firstname211</t>
  </si>
  <si>
    <t>Lastname212, Firstname212</t>
  </si>
  <si>
    <t>Lastname213, Firstname213</t>
  </si>
  <si>
    <t>Lastname214, Firstname214</t>
  </si>
  <si>
    <t>Lastname215, Firstname215</t>
  </si>
  <si>
    <t>Lastname216, Firstname216</t>
  </si>
  <si>
    <t>Lastname217, Firstname217</t>
  </si>
  <si>
    <t>Lastname218, Firstname218</t>
  </si>
  <si>
    <t>Lastname219, Firstname219</t>
  </si>
  <si>
    <t>Lastname220, Firstname220</t>
  </si>
  <si>
    <t>Lastname221, Firstname221</t>
  </si>
  <si>
    <t>Lastname222, Firstname222</t>
  </si>
  <si>
    <t>Lastname223, Firstname223</t>
  </si>
  <si>
    <t>Lastname224, Firstname224</t>
  </si>
  <si>
    <t>Lastname225, Firstname225</t>
  </si>
  <si>
    <t>Lastname226, Firstname226</t>
  </si>
  <si>
    <t>Lastname227, Firstname227</t>
  </si>
  <si>
    <t>Lastname228, Firstname228</t>
  </si>
  <si>
    <t>Lastname229, Firstname229</t>
  </si>
  <si>
    <t>Lastname230, Firstname230</t>
  </si>
  <si>
    <t>Lastname231, Firstname231</t>
  </si>
  <si>
    <t>Lastname232, Firstname232</t>
  </si>
  <si>
    <t>Lastname233, Firstname233</t>
  </si>
  <si>
    <t>Lastname234, Firstname234</t>
  </si>
  <si>
    <t>Lastname235, Firstname235</t>
  </si>
  <si>
    <t>Lastname236, Firstname236</t>
  </si>
  <si>
    <t>Lastname237, Firstname237</t>
  </si>
  <si>
    <t>Lastname238, Firstname238</t>
  </si>
  <si>
    <t>Lastname239, Firstname239</t>
  </si>
  <si>
    <t>Lastname240, Firstname240</t>
  </si>
  <si>
    <t>Lastname241, Firstname241</t>
  </si>
  <si>
    <t>Lastname242, Firstname242</t>
  </si>
  <si>
    <t>Lastname243, Firstname243</t>
  </si>
  <si>
    <t>Lastname244, Firstname244</t>
  </si>
  <si>
    <t>Lastname245, Firstname245</t>
  </si>
  <si>
    <t>Lastname246, Firstname246</t>
  </si>
  <si>
    <t>Lastname247, Firstname247</t>
  </si>
  <si>
    <t>Lastname248, Firstname248</t>
  </si>
  <si>
    <t>Lastname249, Firstname249</t>
  </si>
  <si>
    <t>Lastname250, Firstname250</t>
  </si>
  <si>
    <t>Lastname251, Firstname251</t>
  </si>
  <si>
    <t>Lastname252, Firstname252</t>
  </si>
  <si>
    <t>Lastname253, Firstname253</t>
  </si>
  <si>
    <t>Lastname254, Firstname254</t>
  </si>
  <si>
    <t>Lastname255, Firstname255</t>
  </si>
  <si>
    <t>Lastname256, Firstname256</t>
  </si>
  <si>
    <t>Lastname257, Firstname257</t>
  </si>
  <si>
    <t>Lastname258, Firstname258</t>
  </si>
  <si>
    <t>Lastname259, Firstname259</t>
  </si>
  <si>
    <t>Lastname260, Firstname260</t>
  </si>
  <si>
    <t>Lastname261, Firstname261</t>
  </si>
  <si>
    <t>Lastname262, Firstname262</t>
  </si>
  <si>
    <t>Lastname263, Firstname263</t>
  </si>
  <si>
    <t>Lastname264, Firstname264</t>
  </si>
  <si>
    <t>Lastname265, Firstname265</t>
  </si>
  <si>
    <t>Acme Medical Supply</t>
  </si>
  <si>
    <t>Global PPE Distributors</t>
  </si>
  <si>
    <t>Northwind Office Supply</t>
  </si>
  <si>
    <t>Internal Health &amp; Safety</t>
  </si>
  <si>
    <t>Contoso Online Retail</t>
  </si>
  <si>
    <t>Homecare Forms Co</t>
  </si>
  <si>
    <t>Regional Supply Co</t>
  </si>
  <si>
    <t>Alpha Facilities Services</t>
  </si>
  <si>
    <t>Beta Locksmith Services</t>
  </si>
  <si>
    <t>Clearwater Water Services</t>
  </si>
  <si>
    <t>Delta Print Services</t>
  </si>
  <si>
    <t>Secure Records Storage</t>
  </si>
  <si>
    <t>Contoso Electronics</t>
  </si>
  <si>
    <t>Standard Twin-Pocket Folders, Light Blue</t>
  </si>
  <si>
    <t>Standard Twin-Pocket Folders, Black folder</t>
  </si>
  <si>
    <t>Marker Co Permanent Markers - Black</t>
  </si>
  <si>
    <t>Northwind Pastel Coloured Copy Paper - 8-1/2" x 11"</t>
  </si>
  <si>
    <t>Northwind Permanent Markers - Chisel Tip - Black</t>
  </si>
  <si>
    <t>Northwind Window Envelopes - FSC Certified - 4-1/8" x 9-1/2"</t>
  </si>
  <si>
    <t>Northwind Copy Paper</t>
  </si>
  <si>
    <t>Text replacement pass reversed. All organisation names, email domains, branch names, staff names and vendor names in this workbook are synthetic placeholders. The original values are not recorded anywhere in this file.</t>
  </si>
  <si>
    <t>Data notice</t>
  </si>
  <si>
    <t>DEMONSTRATION COPY — SAFE TO PUBLISH. All staff names, email addresses, vendor names, branch names and the organisation name in this workbook are synthetic placeholders. Staff names are Lastname###, Firstname### and emails are auto-derived at example.com. No real person, employer or supplier is identified. Quantities, dates, rates and costs are retained so the formula logic can be demonstrated end to end.</t>
  </si>
  <si>
    <t>Purpose</t>
  </si>
  <si>
    <t>Published as a portfolio example of a formula-driven Excel inventory system: FEFO lot allocation, expiry and low-stock alerting, per-staff monthly quota enforcement, and auto-generated notice emails. No macros, no external data connections.</t>
  </si>
  <si>
    <t>284 text cells changed: organisation short name to Sample Org, the retailer brand inside item names to a generic name, the email domain in the Staff Directory column E formula to @example.com, the branch wording hardcoded in the Issues column AD email body to Sample Branch, Settings C12 to Sample Branch and C16 to Sample Supply Team. Item names are text join keys, so the replacement was applied to Items, Receipts, Issues, Office Supplies, Professional Services and Vendors in one pass to keep every lookup matched. Issues column M also held the organisation name as a lot number on row 7.</t>
  </si>
  <si>
    <t>A1</t>
  </si>
  <si>
    <t>A2</t>
  </si>
  <si>
    <t>A3</t>
  </si>
  <si>
    <t>A4</t>
  </si>
  <si>
    <t>A5</t>
  </si>
  <si>
    <t>A6</t>
  </si>
  <si>
    <t>A7</t>
  </si>
  <si>
    <t>A8</t>
  </si>
  <si>
    <t>A9</t>
  </si>
  <si>
    <t>A10</t>
  </si>
  <si>
    <t>Column A is now a formula: role-sequence-area, e.g. PSW-001-A4. Area shows TBD when the Area cell is blank. Sequence numbers match the originals.</t>
  </si>
  <si>
    <t>Staff Directory, Issues, Vendors, Items, Receipts, Office Supplies, Settings, README</t>
  </si>
  <si>
    <t>Full anonymisation for public release</t>
  </si>
  <si>
    <t>265 unique staff names replaced with Lastname###, Firstname### placeholders across Staff Directory (590 rows) and Issues (1,973 rows). 295 email formulas repointed to @example.com. Branch wording reset to Sample Branch in Settings C12 and 1,973 Issues notice-body formulas; sign-off reset to Sample Supply Team. 14 vendor records plus 62 Receipts and 22 Office Supplies rows replaced with fictional vendor names; retailer brands inside item names replaced consistently across Items, Receipts, Issues and Office Supplies so the join keys still match. File metadata cleared. No formula logic was altered - only input cells and two hardcoded string literals.</t>
  </si>
  <si>
    <t>Staff Directory, Restore Guide</t>
  </si>
  <si>
    <t>Area codes masked; Restore Guide sheet removed</t>
  </si>
  <si>
    <t>The 10 real service-area codes in Staff Directory column D were replaced with generic codes A1-A10 across 242 rows, removing the residual re-identification risk noted in the old Restore Guide Part 5 (area codes plus per-staff transaction behaviour). Staff IDs in Staff Directory column A and Issues column B are formulas and rebuilt themselves; no formula hardcoded an area code, so nothing else needed changing. The Restore Guide sheet was then deleted: it documented the previous row-number-based masking scheme, which no longer matches this file, and it published the masking method itself. It is retained in the owner's private master copy. Earlier Change Log rows still reference it as history.</t>
  </si>
  <si>
    <t>Rows 87 and 88 both produced the same generated email address. Row 87 (a PSW A4 record) was deleted on request and row 88 kept. No duplicate emails or duplicate staff IDs remain across the 243 records.</t>
  </si>
  <si>
    <t>Row 87 (a PSW A4 record) deleted, row 88 (the same person under a PSW A5 record) kept. Staff count is now 243. PSW sequence numbers after that row shifted down by one, e.g. the kept record is now PSW-025-A5. Issues looks IDs up by name so nothing broke.</t>
  </si>
  <si>
    <t>Sample Org Nursing Charts A1</t>
  </si>
  <si>
    <t>SO A1 Charts</t>
  </si>
  <si>
    <t>Sample Org Nursing Charts A2</t>
  </si>
  <si>
    <t>SO A2 Charts</t>
  </si>
  <si>
    <t>Sample Org Nursing Charts A2 Bulk</t>
  </si>
  <si>
    <t>82 of 127 items have no critical low threshold, so low-stock alerts cannot fire for them. Those cells are highlighted yellow in Items — fill them in to activate the alert. The live count is on the Dashboard under Data Integrity Checks.</t>
  </si>
  <si>
    <t>Issues, Receipts and Lot Balance are now Excel Tables (tblIssues, tblReceipts, tblLotBalance). Type in the first row below Issues or Receipts and the Table extends itself, inheriting every formula, number format, the staff dropdown, the colour rules and the Draft email link. Lot Balance and Alerts - Expiry are calculated mirrors - they reach rows 2000 and 2001 and fill themselves in as Receipts grows, with nothing to drag. Office Supplies (data to row 400) and Professional Services (data to row 200, with the spend total in row 202) are still plain ranges and still go dead below those rows.</t>
  </si>
  <si>
    <t>No rows were trimmed. Lot Balance and Alerts - Expiry read their source row by position, so cutting Receipts back to the last record would have filled the mirror rows with #REF!. Current Table extents are Issues A4:AO1977, Receipts A4:K192 and Lot Balance A4:Q2000 - the cost is trailing blank rows inside each Table. About 16,200 dependent formulas across Lot Balance, Item Balance, Alerts - Expiry, Alerts - Over Quota, Staff Summary, Monthly Summary and Dashboard were repointed from fixed ranges to structured references such as tblIssues[Staff ID] and tblLotBalance[Lot Balance], so they follow the Tables as they grow. Lot Balance stops at 2000 because each row runs several COUNTIFS/SUMIFS; raising it later is quick now that dependents use structured references.</t>
  </si>
  <si>
    <t>Never delete a Receipts Table row - the Lot Balance and Alerts - Expiry mirrors read by position, so the matching mirror row turns into #REF!. Clear the row contents instead. Never delete a Table object either: that erases its data and rewrites every structured reference in the workbook as #REF!. There are no backup sheets in this copy, so save a file copy before any structural change.</t>
  </si>
  <si>
    <t>Formula audit - 4 August 2026</t>
  </si>
  <si>
    <t>Full-workbook formula audit. Staff Directory column E was returning #REF! on all 295 rows because the email formula still pointed at first-name and last-name columns that had been deleted; it was rebuilt to parse Staff Name (Lastname, Firstname) and now returns first.last@example.com for all 266 staff. Stale email formulas below the last staff row were cleared, as were 324 stray zeros in column B. Professional Services gained the missing spend total in E202 and its vendor email / contact lookups now return blank instead of 0 when the Vendors record is empty. No other sheet needed changes: the ~148,000 formula cells on Issues, Lot Balance, Item Balance, the three Alerts sheets, Staff Summary, Monthly Summary, Receipts and Dashboard contained no error values and no hardcoded overrides pasted over formulas.</t>
  </si>
  <si>
    <t>Staff Directory, Professional Services</t>
  </si>
  <si>
    <t>Formula audit - broken email column and missing total repaired</t>
  </si>
  <si>
    <t>Workbook-wide audit of ~148,000 formula cells across all 19 sheets. Staff Directory E5:E299 held the only error values in the file - 295 #REF! cells, because the email formula still referenced first-name and last-name columns deleted during an earlier restructure. Rebuilt as =IF($B5="","",IFERROR(LOWER(SUBSTITUTE(TRIM(MID($B5,FIND(",",$B5)+1,255))," ",".")&amp;"."&amp;SUBSTITUTE(TRIM(LEFT($B5,FIND(",",$B5)-1))," ","."))&amp;"@example.com","")), parsing the existing Lastname, Firstname value in column B. 266 addresses now generate, 265 of them unique - the one duplicate (rows 89 and 90) is a genuinely duplicated directory name, not a formula fault, and remains open. Also cleared 29 stale email formulas in E271:E299 that ran past the last staff row, and 324 stray zero values in B271:B594 that were inflating COUNTA-based staff counts. On Professional Services, added the missing =SUM($E$5:$E$200) beside the Total service spend label in E202, and appended &amp;"" inside the column H and I vendor lookups so an empty Vendors record returns blank rather than 0. Verified after: full recalculation, then a used-range scan of all 19 sheets returned zero error cells.</t>
  </si>
  <si>
    <t>README, Change Log</t>
  </si>
  <si>
    <t>Documentation refreshed to match the current file</t>
  </si>
  <si>
    <t>Corrected four stale statements on the README sheet: the critical-low gap now reads 82 of 127 items (was 73 of 116); Table extents corrected to Issues A4:AO1977 and Receipts A4:K192 (were quoted as A4:AH3000 and A4:K1000); the caution note no longer tells the reader to keep backup sheets, since Issues (pre-Table), Receipts (pre-Table) and Lot Balance (backup) are not present in this copy; and the Professional Services description now notes that data ends at row 200 with the spend total in row 202. Prepared repository documentation for public release on GitHub.</t>
  </si>
  <si>
    <t>Changes made to this workbook during the working sessions of 26 July 2026, 28 July 2026 and 4 August 2026. Newest entries at the bottom. This sheet is a record only - nothing else in the workbook depends on it. Read the OPEN ITEMS block below the log before resuming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</si>
</sst>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
    <numFmt numFmtId="166" formatCode="#,##0;\(#,##0\);\-"/>
    <numFmt numFmtId="167" formatCode="\$#,##0.00;&quot;($&quot;#,##0.00\);\-"/>
  </numFmts>
  <fonts count="35" x14ac:knownFonts="1">
    <font>
      <sz val="11"/>
      <color theme="1"/>
      <name val="Calibri"/>
      <family val="2"/>
      <charset val="1"/>
    </font>
    <font>
      <b/>
      <sz val="17"/>
      <color rgb="FF1B3A5C"/>
      <name val="Arial"/>
      <charset val="1"/>
    </font>
    <font>
      <i/>
      <sz val="10"/>
      <color rgb="FFC05621"/>
      <name val="Arial"/>
      <charset val="1"/>
    </font>
    <font>
      <b/>
      <sz val="11"/>
      <color rgb="FFFFFFFF"/>
      <name val="Arial"/>
      <charset val="1"/>
    </font>
    <font>
      <b/>
      <sz val="9"/>
      <color rgb="FF1B3A5C"/>
      <name val="Arial"/>
      <charset val="1"/>
    </font>
    <font>
      <sz val="9"/>
      <color rgb="FF1A1A1A"/>
      <name val="Arial"/>
      <charset val="1"/>
    </font>
    <font>
      <b/>
      <sz val="15"/>
      <color rgb="FF1B3A5C"/>
      <name val="Arial"/>
      <charset val="1"/>
    </font>
    <font>
      <i/>
      <sz val="9"/>
      <color rgb="FF6B7280"/>
      <name val="Arial"/>
      <charset val="1"/>
    </font>
    <font>
      <b/>
      <sz val="9"/>
      <color rgb="FFFFFFFF"/>
      <name val="Arial"/>
      <charset val="1"/>
    </font>
    <font>
      <b/>
      <sz val="9"/>
      <color rgb="FF1A1A1A"/>
      <name val="Arial"/>
      <charset val="1"/>
    </font>
    <font>
      <sz val="9"/>
      <color rgb="FF0000FF"/>
      <name val="Arial"/>
      <charset val="1"/>
    </font>
    <font>
      <i/>
      <sz val="9"/>
      <color rgb="FFB03030"/>
      <name val="Arial"/>
      <charset val="1"/>
    </font>
    <font>
      <i/>
      <sz val="9"/>
      <color rgb="FF2E6B2E"/>
      <name val="Arial"/>
      <charset val="1"/>
    </font>
    <font>
      <sz val="9"/>
      <color rgb="FF008000"/>
      <name val="Arial"/>
      <charset val="1"/>
    </font>
    <font>
      <b/>
      <sz val="9"/>
      <color rgb="FF008000"/>
      <name val="Arial"/>
      <charset val="1"/>
    </font>
    <font>
      <b/>
      <sz val="10"/>
      <color rgb="FFFFFFFF"/>
      <name val="Arial"/>
      <charset val="1"/>
    </font>
    <font>
      <i/>
      <sz val="8"/>
      <color rgb="FF6B7280"/>
      <name val="Arial"/>
      <charset val="1"/>
    </font>
    <font>
      <u/>
      <sz val="11"/>
      <color theme="10"/>
      <name val="Calibri"/>
      <family val="2"/>
      <charset val="1"/>
    </font>
    <font>
      <sz val="9"/>
      <color rgb="FF000000"/>
      <name val="Arial"/>
      <charset val="1"/>
    </font>
    <font>
      <b/>
      <sz val="10"/>
      <color rgb="FF1B3A5C"/>
      <name val="Arial"/>
    </font>
    <font>
      <sz val="9"/>
      <color theme="1"/>
      <name val="Arial"/>
    </font>
    <font>
      <b/>
      <sz val="9"/>
      <color rgb="FFFFFFFF"/>
      <name val="Arial"/>
    </font>
    <font>
      <sz val="9"/>
      <color rgb="FF000000"/>
      <name val="Arial"/>
    </font>
    <font>
      <sz val="9"/>
      <color rgb="FF008000"/>
      <name val="Arial"/>
    </font>
    <font>
      <b/>
      <sz val="9"/>
      <color rgb="FF000000"/>
      <name val="Arial"/>
    </font>
    <font>
      <sz val="9"/>
      <color rgb="FF0000FF"/>
      <name val="Arial"/>
    </font>
    <font>
      <sz val="9"/>
      <color rgb="FFC00000"/>
      <name val="Arial"/>
    </font>
    <font>
      <b/>
      <sz val="14"/>
      <color rgb="FF1B3A5C"/>
      <name val="Arial"/>
    </font>
    <font>
      <i/>
      <sz val="9"/>
      <color theme="1"/>
      <name val="Arial"/>
    </font>
    <font>
      <b/>
      <sz val="9"/>
      <color rgb="FF9C0006"/>
      <name val="Arial"/>
    </font>
    <font>
      <sz val="8"/>
      <name val="Calibri"/>
      <family val="2"/>
      <charset val="1"/>
    </font>
    <font>
      <b/>
      <sz val="11"/>
      <color rgb="FF1B3A5C"/>
      <name val="Arial"/>
    </font>
    <font>
      <sz val="9"/>
      <color rgb="FF1B3A5C"/>
      <name val="Arial"/>
    </font>
    <font>
      <b/>
      <sz val="9"/>
      <color rgb="FF7F6000"/>
      <name val="Arial"/>
    </font>
    <font>
      <sz val="11"/>
      <color theme="1"/>
      <name val="Aptos"/>
    </font>
  </fonts>
  <fills count="14">
    <fill>
      <patternFill patternType="none"/>
    </fill>
    <fill>
      <patternFill patternType="gray125"/>
    </fill>
    <fill>
      <patternFill patternType="solid">
        <fgColor rgb="FF1B3A5C"/>
        <bgColor rgb="FF333399"/>
      </patternFill>
    </fill>
    <fill>
      <patternFill patternType="solid">
        <fgColor rgb="FFFFF9DB"/>
        <bgColor rgb="FFFFF2CC"/>
      </patternFill>
    </fill>
    <fill>
      <patternFill patternType="solid">
        <fgColor rgb="FFFFE0E0"/>
        <bgColor rgb="FFE4E4E4"/>
      </patternFill>
    </fill>
    <fill>
      <patternFill patternType="solid">
        <fgColor rgb="FFE3F0DA"/>
        <bgColor rgb="FFE8EDF2"/>
      </patternFill>
    </fill>
    <fill>
      <patternFill patternType="solid">
        <fgColor rgb="FFE8EDF2"/>
        <bgColor rgb="FFEFEFEF"/>
      </patternFill>
    </fill>
    <fill>
      <patternFill patternType="solid">
        <fgColor rgb="FFFFFFFF"/>
        <bgColor indexed="64"/>
      </patternFill>
    </fill>
    <fill>
      <patternFill patternType="solid">
        <fgColor rgb="FFFFF9DB"/>
        <bgColor indexed="64"/>
      </patternFill>
    </fill>
    <fill>
      <patternFill patternType="solid">
        <fgColor rgb="FF1B3A5C"/>
        <bgColor indexed="64"/>
      </patternFill>
    </fill>
    <fill>
      <patternFill patternType="solid">
        <fgColor rgb="FFFFFF00"/>
        <bgColor indexed="64"/>
      </patternFill>
    </fill>
    <fill>
      <patternFill patternType="solid">
        <fgColor rgb="FFEEF3F8"/>
        <bgColor indexed="64"/>
      </patternFill>
    </fill>
    <fill>
      <patternFill patternType="solid">
        <fgColor rgb="FFFFF4CE"/>
        <bgColor indexed="64"/>
      </patternFill>
    </fill>
    <fill>
      <patternFill patternType="solid">
        <fgColor rgb="FFFDECEA"/>
        <bgColor indexed="64"/>
      </patternFill>
    </fill>
  </fills>
  <borders count="10">
    <border>
      <left/>
      <right/>
      <top/>
      <bottom/>
      <diagonal/>
    </border>
    <border>
      <left style="thin">
        <color rgb="FFBFC9D4"/>
      </left>
      <right style="thin">
        <color rgb="FFBFC9D4"/>
      </right>
      <top style="thin">
        <color rgb="FFBFC9D4"/>
      </top>
      <bottom style="thin">
        <color rgb="FFBFC9D4"/>
      </bottom>
      <diagonal/>
    </border>
    <border>
      <left style="thin">
        <color rgb="FFBFC9D4"/>
      </left>
      <right/>
      <top style="thin">
        <color rgb="FFBFC9D4"/>
      </top>
      <bottom style="thin">
        <color rgb="FFBFC9D4"/>
      </bottom>
      <diagonal/>
    </border>
    <border>
      <left style="thin">
        <color rgb="FFBFC9D4"/>
      </left>
      <right style="thin">
        <color rgb="FFBFC9D4"/>
      </right>
      <top/>
      <bottom style="thin">
        <color rgb="FFBFC9D4"/>
      </bottom>
      <diagonal/>
    </border>
    <border>
      <left style="thin">
        <color rgb="FFBFC9D4"/>
      </left>
      <right/>
      <top/>
      <bottom style="thin">
        <color rgb="FFBFC9D4"/>
      </bottom>
      <diagonal/>
    </border>
    <border>
      <left style="thin">
        <color rgb="FFBFC9D4"/>
      </left>
      <right style="thin">
        <color rgb="FFBFC9D4"/>
      </right>
      <top style="thin">
        <color rgb="FFBFC9D4"/>
      </top>
      <bottom/>
      <diagonal/>
    </border>
    <border>
      <left style="thin">
        <color rgb="FFBFC9D4"/>
      </left>
      <right/>
      <top style="thin">
        <color rgb="FFBFC9D4"/>
      </top>
      <bottom/>
      <diagonal/>
    </border>
    <border>
      <left/>
      <right style="thin">
        <color rgb="FFBFC9D4"/>
      </right>
      <top style="thin">
        <color rgb="FFBFC9D4"/>
      </top>
      <bottom style="thin">
        <color rgb="FFBFC9D4"/>
      </bottom>
      <diagonal/>
    </border>
    <border>
      <left/>
      <right style="thin">
        <color rgb="FFBFC9D4"/>
      </right>
      <top/>
      <bottom style="thin">
        <color rgb="FFBFC9D4"/>
      </bottom>
      <diagonal/>
    </border>
    <border>
      <left/>
      <right style="thin">
        <color rgb="FFBFC9D4"/>
      </right>
      <top style="thin">
        <color rgb="FFBFC9D4"/>
      </top>
      <bottom/>
      <diagonal/>
    </border>
  </borders>
  <cellStyleXfs count="2">
    <xf numFmtId="0" fontId="0" fillId="0" borderId="0"/>
    <xf numFmtId="0" fontId="17" fillId="0" borderId="0" applyNumberFormat="0" applyFill="0" applyBorder="0" applyAlignment="0" applyProtection="0"/>
  </cellStyleXfs>
  <cellXfs count="123">
    <xf numFmtId="0" fontId="0" fillId="0" borderId="0" xfId="0"/>
    <xf numFmtId="0" fontId="4" fillId="0" borderId="0" xfId="0" applyFont="1" applyAlignment="1">
      <alignment vertical="top" wrapText="1"/>
    </xf>
    <xf numFmtId="0" fontId="5" fillId="0" borderId="0" xfId="0" applyFont="1" applyAlignment="1">
      <alignment vertical="top" wrapText="1"/>
    </xf>
    <xf numFmtId="0" fontId="8" fillId="2" borderId="1" xfId="0" applyFont="1" applyFill="1" applyBorder="1" applyAlignment="1">
      <alignment horizontal="center" vertical="center" wrapText="1"/>
    </xf>
    <xf numFmtId="0" fontId="9" fillId="0" borderId="1" xfId="0" applyFont="1" applyBorder="1" applyAlignment="1">
      <alignment horizontal="left" vertical="center"/>
    </xf>
    <xf numFmtId="3" fontId="10" fillId="3" borderId="1" xfId="0" applyNumberFormat="1" applyFont="1" applyFill="1" applyBorder="1" applyAlignment="1">
      <alignment horizontal="center" vertical="center"/>
    </xf>
    <xf numFmtId="0" fontId="5" fillId="0" borderId="1" xfId="0" applyFont="1" applyBorder="1" applyAlignment="1">
      <alignment horizontal="left" vertical="center" wrapText="1"/>
    </xf>
    <xf numFmtId="4" fontId="10" fillId="3" borderId="1" xfId="0" applyNumberFormat="1" applyFont="1" applyFill="1" applyBorder="1" applyAlignment="1">
      <alignment horizontal="center" vertical="center"/>
    </xf>
    <xf numFmtId="164" fontId="10" fillId="3" borderId="1" xfId="0" applyNumberFormat="1" applyFont="1" applyFill="1" applyBorder="1" applyAlignment="1">
      <alignment horizontal="center" vertical="center"/>
    </xf>
    <xf numFmtId="0" fontId="10" fillId="3" borderId="1" xfId="0" applyFont="1" applyFill="1" applyBorder="1" applyAlignment="1">
      <alignment horizontal="left" vertical="center"/>
    </xf>
    <xf numFmtId="0" fontId="10" fillId="3" borderId="1" xfId="0" applyFont="1" applyFill="1" applyBorder="1" applyAlignment="1">
      <alignment horizontal="center" vertical="center"/>
    </xf>
    <xf numFmtId="165" fontId="10" fillId="3" borderId="1" xfId="0" applyNumberFormat="1" applyFont="1" applyFill="1" applyBorder="1" applyAlignment="1">
      <alignment horizontal="right" vertical="center"/>
    </xf>
    <xf numFmtId="166" fontId="10" fillId="3" borderId="1" xfId="0" applyNumberFormat="1" applyFont="1" applyFill="1" applyBorder="1" applyAlignment="1">
      <alignment horizontal="right" vertical="center"/>
    </xf>
    <xf numFmtId="166" fontId="10" fillId="4" borderId="1" xfId="0" applyNumberFormat="1" applyFont="1" applyFill="1" applyBorder="1" applyAlignment="1">
      <alignment horizontal="left" vertical="center"/>
    </xf>
    <xf numFmtId="166" fontId="10" fillId="3" borderId="1" xfId="0" applyNumberFormat="1" applyFont="1" applyFill="1" applyBorder="1" applyAlignment="1">
      <alignment horizontal="left" vertical="center"/>
    </xf>
    <xf numFmtId="0" fontId="10" fillId="5" borderId="1" xfId="0" applyFont="1" applyFill="1" applyBorder="1" applyAlignment="1">
      <alignment horizontal="left" vertical="center"/>
    </xf>
    <xf numFmtId="0" fontId="11" fillId="0" borderId="0" xfId="0" applyFont="1"/>
    <xf numFmtId="0" fontId="12" fillId="0" borderId="0" xfId="0" applyFont="1"/>
    <xf numFmtId="0" fontId="13" fillId="0" borderId="1" xfId="0" applyFont="1" applyBorder="1" applyAlignment="1">
      <alignment horizontal="left" vertical="center"/>
    </xf>
    <xf numFmtId="0" fontId="13" fillId="0" borderId="1" xfId="0" applyFont="1" applyBorder="1" applyAlignment="1">
      <alignment horizontal="center" vertical="center"/>
    </xf>
    <xf numFmtId="165" fontId="13" fillId="0" borderId="1" xfId="0" applyNumberFormat="1" applyFont="1" applyBorder="1" applyAlignment="1">
      <alignment horizontal="right" vertical="center"/>
    </xf>
    <xf numFmtId="167" fontId="5" fillId="0" borderId="1" xfId="0" applyNumberFormat="1" applyFont="1" applyBorder="1" applyAlignment="1">
      <alignment horizontal="right" vertical="center"/>
    </xf>
    <xf numFmtId="164" fontId="10" fillId="3" borderId="1" xfId="0" applyNumberFormat="1" applyFont="1" applyFill="1" applyBorder="1" applyAlignment="1">
      <alignment horizontal="left" vertical="center"/>
    </xf>
    <xf numFmtId="166" fontId="13" fillId="0" borderId="1" xfId="0" applyNumberFormat="1" applyFont="1" applyBorder="1" applyAlignment="1">
      <alignment horizontal="right" vertical="center"/>
    </xf>
    <xf numFmtId="164" fontId="5" fillId="0" borderId="1" xfId="0" applyNumberFormat="1" applyFont="1" applyBorder="1" applyAlignment="1">
      <alignment horizontal="center" vertical="center"/>
    </xf>
    <xf numFmtId="164" fontId="13" fillId="0" borderId="1" xfId="0" applyNumberFormat="1" applyFont="1" applyBorder="1" applyAlignment="1">
      <alignment horizontal="center" vertical="center"/>
    </xf>
    <xf numFmtId="166" fontId="5" fillId="0" borderId="1" xfId="0" applyNumberFormat="1" applyFont="1" applyBorder="1" applyAlignment="1">
      <alignment horizontal="right" vertical="center"/>
    </xf>
    <xf numFmtId="166" fontId="9" fillId="0" borderId="1" xfId="0" applyNumberFormat="1" applyFont="1" applyBorder="1" applyAlignment="1">
      <alignment horizontal="right" vertical="center"/>
    </xf>
    <xf numFmtId="0" fontId="9" fillId="0" borderId="1" xfId="0" applyFont="1" applyBorder="1" applyAlignment="1">
      <alignment horizontal="center" vertical="center"/>
    </xf>
    <xf numFmtId="0" fontId="5" fillId="0" borderId="1" xfId="0" applyFont="1" applyBorder="1" applyAlignment="1">
      <alignment horizontal="left" vertical="center"/>
    </xf>
    <xf numFmtId="0" fontId="9" fillId="0" borderId="1" xfId="0" applyFont="1" applyBorder="1" applyAlignment="1">
      <alignment horizontal="right" vertical="center"/>
    </xf>
    <xf numFmtId="0" fontId="14" fillId="0" borderId="1" xfId="0" applyFont="1" applyBorder="1" applyAlignment="1">
      <alignment horizontal="center" vertical="center"/>
    </xf>
    <xf numFmtId="167" fontId="9" fillId="0" borderId="1" xfId="0" applyNumberFormat="1" applyFont="1" applyBorder="1" applyAlignment="1">
      <alignment horizontal="right" vertical="center"/>
    </xf>
    <xf numFmtId="167" fontId="13" fillId="0" borderId="1" xfId="0" applyNumberFormat="1" applyFont="1" applyBorder="1" applyAlignment="1">
      <alignment horizontal="right" vertical="center"/>
    </xf>
    <xf numFmtId="0" fontId="8" fillId="2" borderId="0" xfId="0" applyFont="1" applyFill="1"/>
    <xf numFmtId="0" fontId="0" fillId="2" borderId="0" xfId="0" applyFill="1"/>
    <xf numFmtId="0" fontId="14" fillId="0" borderId="1" xfId="0" applyFont="1" applyBorder="1" applyAlignment="1">
      <alignment horizontal="left" vertical="center"/>
    </xf>
    <xf numFmtId="0" fontId="9" fillId="6" borderId="1" xfId="0" applyFont="1" applyFill="1" applyBorder="1" applyAlignment="1">
      <alignment horizontal="left" vertical="center"/>
    </xf>
    <xf numFmtId="166" fontId="9" fillId="6" borderId="1" xfId="0" applyNumberFormat="1" applyFont="1" applyFill="1" applyBorder="1" applyAlignment="1">
      <alignment horizontal="right" vertical="center"/>
    </xf>
    <xf numFmtId="167" fontId="9" fillId="6" borderId="1" xfId="0" applyNumberFormat="1" applyFont="1" applyFill="1" applyBorder="1" applyAlignment="1">
      <alignment horizontal="right" vertical="center"/>
    </xf>
    <xf numFmtId="0" fontId="5" fillId="0" borderId="1" xfId="0" applyFont="1" applyBorder="1" applyAlignment="1">
      <alignment vertical="center" indent="1"/>
    </xf>
    <xf numFmtId="166" fontId="4" fillId="0" borderId="1" xfId="0" applyNumberFormat="1" applyFont="1" applyBorder="1" applyAlignment="1">
      <alignment horizontal="right" vertical="center"/>
    </xf>
    <xf numFmtId="167" fontId="4" fillId="0" borderId="1" xfId="0" applyNumberFormat="1" applyFont="1" applyBorder="1" applyAlignment="1">
      <alignment horizontal="right" vertical="center"/>
    </xf>
    <xf numFmtId="0" fontId="16" fillId="0" borderId="0" xfId="0" applyFont="1"/>
    <xf numFmtId="167" fontId="10" fillId="3" borderId="1" xfId="0" applyNumberFormat="1" applyFont="1" applyFill="1" applyBorder="1" applyAlignment="1">
      <alignment horizontal="right" vertical="center"/>
    </xf>
    <xf numFmtId="167" fontId="10" fillId="3" borderId="1" xfId="0" applyNumberFormat="1" applyFont="1" applyFill="1" applyBorder="1" applyAlignment="1">
      <alignment horizontal="left" vertical="center"/>
    </xf>
    <xf numFmtId="0" fontId="18" fillId="7" borderId="1" xfId="0" applyFont="1" applyFill="1" applyBorder="1" applyAlignment="1">
      <alignment horizontal="left" vertical="center"/>
    </xf>
    <xf numFmtId="0" fontId="19" fillId="0" borderId="0" xfId="0" applyFont="1" applyAlignment="1">
      <alignment vertical="top" wrapText="1"/>
    </xf>
    <xf numFmtId="0" fontId="20" fillId="0" borderId="0" xfId="0" applyFont="1"/>
    <xf numFmtId="0" fontId="10" fillId="8" borderId="1" xfId="0" applyFont="1" applyFill="1" applyBorder="1" applyAlignment="1">
      <alignment horizontal="left" vertical="center"/>
    </xf>
    <xf numFmtId="0" fontId="21" fillId="9" borderId="0" xfId="0" applyFont="1" applyFill="1" applyAlignment="1">
      <alignment horizontal="center"/>
    </xf>
    <xf numFmtId="0" fontId="8" fillId="2" borderId="2" xfId="0" applyFont="1" applyFill="1" applyBorder="1" applyAlignment="1">
      <alignment horizontal="center" vertical="center" wrapText="1"/>
    </xf>
    <xf numFmtId="0" fontId="5" fillId="0" borderId="2" xfId="0" applyFont="1" applyBorder="1" applyAlignment="1">
      <alignment horizontal="center" vertical="center"/>
    </xf>
    <xf numFmtId="0" fontId="21" fillId="9" borderId="3" xfId="0" applyFont="1" applyFill="1" applyBorder="1" applyAlignment="1">
      <alignment horizontal="center"/>
    </xf>
    <xf numFmtId="0" fontId="21" fillId="9" borderId="4" xfId="0" applyFont="1" applyFill="1" applyBorder="1" applyAlignment="1">
      <alignment horizontal="center"/>
    </xf>
    <xf numFmtId="0" fontId="22" fillId="0" borderId="1" xfId="0" applyFont="1" applyBorder="1" applyAlignment="1">
      <alignment horizontal="center"/>
    </xf>
    <xf numFmtId="0" fontId="23" fillId="0" borderId="1" xfId="0" applyFont="1" applyBorder="1" applyAlignment="1">
      <alignment horizontal="center"/>
    </xf>
    <xf numFmtId="0" fontId="24" fillId="0" borderId="1" xfId="0" applyFont="1" applyBorder="1" applyAlignment="1">
      <alignment horizontal="center"/>
    </xf>
    <xf numFmtId="0" fontId="22" fillId="0" borderId="2" xfId="0" applyFont="1" applyBorder="1" applyAlignment="1">
      <alignment horizontal="center"/>
    </xf>
    <xf numFmtId="0" fontId="22" fillId="0" borderId="5" xfId="0" applyFont="1" applyBorder="1" applyAlignment="1">
      <alignment horizontal="center"/>
    </xf>
    <xf numFmtId="0" fontId="22" fillId="0" borderId="6" xfId="0" applyFont="1" applyBorder="1" applyAlignment="1">
      <alignment horizontal="center"/>
    </xf>
    <xf numFmtId="3" fontId="9" fillId="0" borderId="1" xfId="0" applyNumberFormat="1" applyFont="1" applyBorder="1" applyAlignment="1">
      <alignment horizontal="right" vertical="center"/>
    </xf>
    <xf numFmtId="0" fontId="25" fillId="8" borderId="0" xfId="0" applyFont="1" applyFill="1" applyAlignment="1">
      <alignment horizontal="center"/>
    </xf>
    <xf numFmtId="49" fontId="10" fillId="3" borderId="1" xfId="0" applyNumberFormat="1" applyFont="1" applyFill="1" applyBorder="1" applyAlignment="1">
      <alignment horizontal="left" vertical="center"/>
    </xf>
    <xf numFmtId="0" fontId="23" fillId="0" borderId="0" xfId="0" applyFont="1" applyAlignment="1">
      <alignment horizontal="left"/>
    </xf>
    <xf numFmtId="0" fontId="17" fillId="0" borderId="0" xfId="1" applyAlignment="1">
      <alignment horizontal="center"/>
    </xf>
    <xf numFmtId="0" fontId="22" fillId="0" borderId="0" xfId="0" applyFont="1" applyAlignment="1">
      <alignment horizontal="left"/>
    </xf>
    <xf numFmtId="0" fontId="26" fillId="0" borderId="0" xfId="0" applyFont="1"/>
    <xf numFmtId="0" fontId="27" fillId="0" borderId="0" xfId="0" applyFont="1"/>
    <xf numFmtId="0" fontId="28" fillId="0" borderId="0" xfId="0" applyFont="1"/>
    <xf numFmtId="14" fontId="20" fillId="0" borderId="0" xfId="0" applyNumberFormat="1" applyFont="1" applyAlignment="1">
      <alignment vertical="top" wrapText="1"/>
    </xf>
    <xf numFmtId="0" fontId="20" fillId="0" borderId="0" xfId="0" applyFont="1" applyAlignment="1">
      <alignment vertical="top" wrapText="1"/>
    </xf>
    <xf numFmtId="0" fontId="20" fillId="0" borderId="0" xfId="0" applyFont="1" applyAlignment="1">
      <alignment horizontal="center" vertical="top" wrapText="1"/>
    </xf>
    <xf numFmtId="0" fontId="8" fillId="2" borderId="7" xfId="0" applyFont="1" applyFill="1" applyBorder="1" applyAlignment="1">
      <alignment horizontal="center" vertical="center" wrapText="1"/>
    </xf>
    <xf numFmtId="164" fontId="10" fillId="3" borderId="7" xfId="0" applyNumberFormat="1" applyFont="1" applyFill="1" applyBorder="1" applyAlignment="1">
      <alignment horizontal="center" vertical="center"/>
    </xf>
    <xf numFmtId="164" fontId="10" fillId="3" borderId="7" xfId="0" applyNumberFormat="1" applyFont="1" applyFill="1" applyBorder="1" applyAlignment="1">
      <alignment horizontal="left" vertical="center"/>
    </xf>
    <xf numFmtId="0" fontId="8" fillId="2" borderId="8"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10" fillId="3" borderId="5" xfId="0" applyFont="1" applyFill="1" applyBorder="1" applyAlignment="1">
      <alignment horizontal="left" vertical="center"/>
    </xf>
    <xf numFmtId="0" fontId="13" fillId="0" borderId="5" xfId="0" applyFont="1" applyBorder="1" applyAlignment="1">
      <alignment horizontal="left" vertical="center"/>
    </xf>
    <xf numFmtId="0" fontId="13" fillId="0" borderId="5" xfId="0" applyFont="1" applyBorder="1" applyAlignment="1">
      <alignment horizontal="center" vertical="center"/>
    </xf>
    <xf numFmtId="164" fontId="10" fillId="3" borderId="5" xfId="0" applyNumberFormat="1" applyFont="1" applyFill="1" applyBorder="1" applyAlignment="1">
      <alignment horizontal="left" vertical="center"/>
    </xf>
    <xf numFmtId="165" fontId="13" fillId="0" borderId="5" xfId="0" applyNumberFormat="1" applyFont="1" applyBorder="1" applyAlignment="1">
      <alignment horizontal="right" vertical="center"/>
    </xf>
    <xf numFmtId="0" fontId="10" fillId="8" borderId="5" xfId="0" applyFont="1" applyFill="1" applyBorder="1" applyAlignment="1">
      <alignment horizontal="left" vertical="center"/>
    </xf>
    <xf numFmtId="166" fontId="13" fillId="0" borderId="5" xfId="0" applyNumberFormat="1" applyFont="1" applyBorder="1" applyAlignment="1">
      <alignment horizontal="right" vertical="center"/>
    </xf>
    <xf numFmtId="167" fontId="5" fillId="0" borderId="5" xfId="0" applyNumberFormat="1" applyFont="1" applyBorder="1" applyAlignment="1">
      <alignment horizontal="right" vertical="center"/>
    </xf>
    <xf numFmtId="164" fontId="5" fillId="0" borderId="5" xfId="0" applyNumberFormat="1" applyFont="1" applyBorder="1" applyAlignment="1">
      <alignment horizontal="center" vertical="center"/>
    </xf>
    <xf numFmtId="0" fontId="5" fillId="0" borderId="6" xfId="0" applyFont="1" applyBorder="1" applyAlignment="1">
      <alignment horizontal="center" vertical="center"/>
    </xf>
    <xf numFmtId="0" fontId="17" fillId="0" borderId="0" xfId="1" applyBorder="1" applyAlignment="1">
      <alignment horizontal="center"/>
    </xf>
    <xf numFmtId="0" fontId="13" fillId="0" borderId="7" xfId="0" applyFont="1" applyBorder="1" applyAlignment="1">
      <alignment horizontal="left" vertical="center"/>
    </xf>
    <xf numFmtId="0" fontId="13" fillId="0" borderId="9" xfId="0" applyFont="1" applyBorder="1" applyAlignment="1">
      <alignment horizontal="left" vertical="center"/>
    </xf>
    <xf numFmtId="164" fontId="13" fillId="0" borderId="5" xfId="0" applyNumberFormat="1" applyFont="1" applyBorder="1" applyAlignment="1">
      <alignment horizontal="center" vertical="center"/>
    </xf>
    <xf numFmtId="166" fontId="5" fillId="0" borderId="5" xfId="0" applyNumberFormat="1" applyFont="1" applyBorder="1" applyAlignment="1">
      <alignment horizontal="right" vertical="center"/>
    </xf>
    <xf numFmtId="0" fontId="0" fillId="0" borderId="1" xfId="0" applyBorder="1" applyAlignment="1">
      <alignment horizontal="center"/>
    </xf>
    <xf numFmtId="164" fontId="10" fillId="3" borderId="9" xfId="0" applyNumberFormat="1" applyFont="1" applyFill="1" applyBorder="1" applyAlignment="1">
      <alignment horizontal="center" vertical="center"/>
    </xf>
    <xf numFmtId="0" fontId="17" fillId="0" borderId="0" xfId="1" applyFill="1" applyBorder="1" applyAlignment="1">
      <alignment horizontal="center"/>
    </xf>
    <xf numFmtId="0" fontId="10" fillId="3" borderId="5" xfId="0" applyFont="1" applyFill="1" applyBorder="1" applyAlignment="1">
      <alignment horizontal="center" vertical="center"/>
    </xf>
    <xf numFmtId="0" fontId="13" fillId="0" borderId="1" xfId="0" applyFont="1" applyBorder="1" applyAlignment="1">
      <alignment horizontal="right" vertical="center"/>
    </xf>
    <xf numFmtId="0" fontId="24" fillId="0" borderId="5" xfId="0" applyFont="1" applyBorder="1" applyAlignment="1">
      <alignment horizontal="center"/>
    </xf>
    <xf numFmtId="0" fontId="0" fillId="0" borderId="5" xfId="0" applyBorder="1" applyAlignment="1">
      <alignment horizontal="center"/>
    </xf>
    <xf numFmtId="3" fontId="23" fillId="0" borderId="0" xfId="0" applyNumberFormat="1" applyFont="1" applyAlignment="1">
      <alignment horizontal="left"/>
    </xf>
    <xf numFmtId="0" fontId="25" fillId="0" borderId="0" xfId="0" applyFont="1" applyAlignment="1">
      <alignment horizontal="left"/>
    </xf>
    <xf numFmtId="0" fontId="8" fillId="10" borderId="1" xfId="0" applyFont="1" applyFill="1" applyBorder="1" applyAlignment="1">
      <alignment horizontal="center" vertical="center" wrapText="1"/>
    </xf>
    <xf numFmtId="0" fontId="22" fillId="0" borderId="0" xfId="0" applyFont="1" applyAlignment="1">
      <alignment horizontal="center" vertical="top" wrapText="1"/>
    </xf>
    <xf numFmtId="0" fontId="31" fillId="0" borderId="0" xfId="0" applyFont="1"/>
    <xf numFmtId="0" fontId="32" fillId="11" borderId="0" xfId="0" applyFont="1" applyFill="1" applyAlignment="1">
      <alignment horizontal="center" vertical="top" wrapText="1"/>
    </xf>
    <xf numFmtId="0" fontId="33" fillId="12" borderId="0" xfId="0" applyFont="1" applyFill="1" applyAlignment="1">
      <alignment horizontal="center" vertical="top" wrapText="1"/>
    </xf>
    <xf numFmtId="0" fontId="29" fillId="13" borderId="0" xfId="0" applyFont="1" applyFill="1" applyAlignment="1">
      <alignment horizontal="center" vertical="top" wrapText="1"/>
    </xf>
    <xf numFmtId="14" fontId="0" fillId="0" borderId="0" xfId="0" applyNumberFormat="1"/>
    <xf numFmtId="14" fontId="34" fillId="0" borderId="0" xfId="0" applyNumberFormat="1" applyFont="1"/>
    <xf numFmtId="0" fontId="34" fillId="0" borderId="0" xfId="0" applyFont="1"/>
    <xf numFmtId="164" fontId="10" fillId="3" borderId="5" xfId="0" applyNumberFormat="1" applyFont="1" applyFill="1" applyBorder="1" applyAlignment="1">
      <alignment horizontal="center" vertical="center"/>
    </xf>
    <xf numFmtId="166" fontId="10" fillId="3" borderId="5" xfId="0" applyNumberFormat="1" applyFont="1" applyFill="1" applyBorder="1" applyAlignment="1">
      <alignment horizontal="right" vertical="center"/>
    </xf>
    <xf numFmtId="166" fontId="25" fillId="0" borderId="0" xfId="0" applyNumberFormat="1" applyFont="1" applyAlignment="1">
      <alignment horizontal="right"/>
    </xf>
    <xf numFmtId="166" fontId="5" fillId="3" borderId="1" xfId="0" applyNumberFormat="1" applyFont="1" applyFill="1" applyBorder="1" applyAlignment="1">
      <alignment horizontal="right" vertical="center"/>
    </xf>
    <xf numFmtId="166" fontId="5" fillId="3" borderId="5" xfId="0" applyNumberFormat="1" applyFont="1" applyFill="1" applyBorder="1" applyAlignment="1">
      <alignment horizontal="right" vertical="center"/>
    </xf>
    <xf numFmtId="0" fontId="6" fillId="0" borderId="0" xfId="0" applyFont="1" applyAlignment="1">
      <alignment vertical="center"/>
    </xf>
    <xf numFmtId="0" fontId="7" fillId="0" borderId="0" xfId="0" applyFont="1"/>
    <xf numFmtId="0" fontId="3" fillId="2" borderId="0" xfId="0" applyFont="1" applyFill="1" applyAlignment="1">
      <alignment vertical="center" indent="1"/>
    </xf>
    <xf numFmtId="0" fontId="1" fillId="0" borderId="0" xfId="0" applyFont="1"/>
    <xf numFmtId="0" fontId="2" fillId="0" borderId="0" xfId="0" applyFont="1"/>
    <xf numFmtId="0" fontId="15" fillId="2" borderId="0" xfId="0" applyFont="1" applyFill="1" applyAlignment="1">
      <alignment vertical="center" indent="1"/>
    </xf>
  </cellXfs>
  <cellStyles count="2">
    <cellStyle name="Hyperlink" xfId="1" builtinId="8"/>
    <cellStyle name="Normal" xfId="0" builtinId="0"/>
  </cellStyles>
  <dxfs count="109">
    <dxf>
      <fill>
        <patternFill>
          <bgColor rgb="FFFFF2CC"/>
        </patternFill>
      </fill>
    </dxf>
    <dxf>
      <font>
        <color rgb="FF9C0006"/>
      </font>
      <fill>
        <patternFill patternType="solid">
          <fgColor indexed="64"/>
          <bgColor rgb="FFFFC7CE"/>
        </patternFill>
      </fill>
    </dxf>
    <dxf>
      <fill>
        <patternFill>
          <bgColor rgb="FFEFEFEF"/>
        </patternFill>
      </fill>
    </dxf>
    <dxf>
      <fill>
        <patternFill>
          <bgColor rgb="FFFFF2CC"/>
        </patternFill>
      </fill>
    </dxf>
    <dxf>
      <fill>
        <patternFill>
          <bgColor rgb="FFFFD9B3"/>
        </patternFill>
      </fill>
    </dxf>
    <dxf>
      <fill>
        <patternFill>
          <bgColor rgb="FFFFC7CE"/>
        </patternFill>
      </fill>
    </dxf>
    <dxf>
      <fill>
        <patternFill>
          <bgColor rgb="FFE4E4E4"/>
        </patternFill>
      </fill>
    </dxf>
    <dxf>
      <fill>
        <patternFill>
          <bgColor rgb="FFFFF2CC"/>
        </patternFill>
      </fill>
    </dxf>
    <dxf>
      <fill>
        <patternFill>
          <bgColor rgb="FFFFD9B3"/>
        </patternFill>
      </fill>
    </dxf>
    <dxf>
      <fill>
        <patternFill>
          <bgColor rgb="FFFFC7CE"/>
        </patternFill>
      </fill>
    </dxf>
    <dxf>
      <fill>
        <patternFill>
          <bgColor rgb="FFE9A5D0"/>
        </patternFill>
      </fill>
    </dxf>
    <dxf>
      <fill>
        <patternFill>
          <bgColor rgb="FFE4E4E4"/>
        </patternFill>
      </fill>
    </dxf>
    <dxf>
      <fill>
        <patternFill>
          <bgColor rgb="FFFFF2CC"/>
        </patternFill>
      </fill>
    </dxf>
    <dxf>
      <fill>
        <patternFill>
          <bgColor rgb="FFFFD9B3"/>
        </patternFill>
      </fill>
    </dxf>
    <dxf>
      <fill>
        <patternFill>
          <bgColor rgb="FFFFC7CE"/>
        </patternFill>
      </fill>
    </dxf>
    <dxf>
      <fill>
        <patternFill>
          <bgColor rgb="FFE9A5D0"/>
        </patternFill>
      </fill>
    </dxf>
    <dxf>
      <fill>
        <patternFill>
          <bgColor rgb="FFFFF2CC"/>
        </patternFill>
      </fill>
    </dxf>
    <dxf>
      <fill>
        <patternFill>
          <bgColor rgb="FFFFD9B3"/>
        </patternFill>
      </fill>
    </dxf>
    <dxf>
      <fill>
        <patternFill>
          <bgColor rgb="FFFFC7CE"/>
        </patternFill>
      </fill>
    </dxf>
    <dxf>
      <fill>
        <patternFill>
          <bgColor rgb="FFFFF2CC"/>
        </patternFill>
      </fill>
    </dxf>
    <dxf>
      <font>
        <color rgb="FF006100"/>
      </font>
      <fill>
        <patternFill patternType="solid">
          <fgColor indexed="64"/>
          <bgColor rgb="FFE8F5E9"/>
        </patternFill>
      </fill>
    </dxf>
    <dxf>
      <font>
        <b/>
        <i val="0"/>
      </font>
      <fill>
        <patternFill patternType="solid">
          <fgColor indexed="64"/>
          <bgColor rgb="FFF48FB1"/>
        </patternFill>
      </fill>
    </dxf>
    <dxf>
      <font>
        <u val="none"/>
        <color rgb="FF006100"/>
      </font>
      <fill>
        <patternFill patternType="solid">
          <fgColor indexed="64"/>
          <bgColor rgb="FFE8F5E9"/>
        </patternFill>
      </fill>
    </dxf>
    <dxf>
      <fill>
        <patternFill patternType="solid">
          <fgColor indexed="64"/>
          <bgColor rgb="FFE8F5E9"/>
        </patternFill>
      </fill>
    </dxf>
    <dxf>
      <font>
        <color rgb="FF9C0006"/>
      </font>
      <fill>
        <patternFill patternType="solid">
          <fgColor indexed="64"/>
          <bgColor rgb="FFFCE4EC"/>
        </patternFill>
      </fill>
    </dxf>
    <dxf>
      <font>
        <color rgb="FF006100"/>
      </font>
      <fill>
        <patternFill patternType="solid">
          <fgColor indexed="64"/>
          <bgColor rgb="FFE8F5E9"/>
        </patternFill>
      </fill>
    </dxf>
    <dxf>
      <font>
        <color rgb="FF006100"/>
      </font>
      <fill>
        <patternFill patternType="solid">
          <fgColor indexed="64"/>
          <bgColor rgb="FFE8F5E9"/>
        </patternFill>
      </fill>
    </dxf>
    <dxf>
      <font>
        <color rgb="FF9C5700"/>
      </font>
      <fill>
        <patternFill patternType="solid">
          <fgColor indexed="64"/>
          <bgColor rgb="FFFFEB9C"/>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b val="0"/>
        <i val="0"/>
        <strike val="0"/>
        <condense val="0"/>
        <extend val="0"/>
        <outline val="0"/>
        <shadow val="0"/>
        <u val="none"/>
        <vertAlign val="baseline"/>
        <sz val="9"/>
        <color rgb="FF1A1A1A"/>
        <name val="Arial"/>
        <charset val="1"/>
        <scheme val="none"/>
      </font>
      <alignment horizontal="center" vertical="center" textRotation="0" wrapText="0" indent="0" justifyLastLine="0" shrinkToFit="0" readingOrder="0"/>
      <border diagonalUp="0" diagonalDown="0">
        <left style="thin">
          <color rgb="FFBFC9D4"/>
        </left>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numFmt numFmtId="167" formatCode="\$#,##0.00;&quot;($&quot;#,##0.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numFmt numFmtId="166" formatCode="#,##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numFmt numFmtId="166" formatCode="#,##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numFmt numFmtId="166" formatCode="#,##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numFmt numFmtId="166" formatCode="#,##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numFmt numFmtId="166" formatCode="#,##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numFmt numFmtId="166" formatCode="#,##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numFmt numFmtId="166" formatCode="#,##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numFmt numFmtId="164" formatCode="yyyy\-mm\-dd"/>
      <alignment horizontal="center"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numFmt numFmtId="164" formatCode="yyyy\-mm\-dd"/>
      <alignment horizontal="center"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numFmt numFmtId="167" formatCode="\$#,##0.00;&quot;($&quot;#,##0.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numFmt numFmtId="165" formatCode="\$#,##0.00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numFmt numFmtId="166" formatCode="#,##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alignment horizontal="left" vertical="center" textRotation="0" wrapText="0" indent="0" justifyLastLine="0" shrinkToFit="0" readingOrder="0"/>
      <border diagonalUp="0" diagonalDown="0">
        <left/>
        <right style="thin">
          <color rgb="FFBFC9D4"/>
        </right>
        <top style="thin">
          <color rgb="FFBFC9D4"/>
        </top>
        <bottom style="thin">
          <color rgb="FFBFC9D4"/>
        </bottom>
        <vertical/>
        <horizontal/>
      </border>
    </dxf>
    <dxf>
      <border outline="0">
        <top style="thin">
          <color rgb="FFBFC9D4"/>
        </top>
      </border>
    </dxf>
    <dxf>
      <border outline="0">
        <left style="thin">
          <color rgb="FFBFC9D4"/>
        </left>
        <right style="thin">
          <color rgb="FFBFC9D4"/>
        </right>
        <top style="thin">
          <color rgb="FFBFC9D4"/>
        </top>
        <bottom style="thin">
          <color rgb="FFBFC9D4"/>
        </bottom>
      </border>
    </dxf>
    <dxf>
      <font>
        <b val="0"/>
        <i val="0"/>
        <strike val="0"/>
        <condense val="0"/>
        <extend val="0"/>
        <outline val="0"/>
        <shadow val="0"/>
        <u val="none"/>
        <vertAlign val="baseline"/>
        <sz val="9"/>
        <color rgb="FF1A1A1A"/>
        <name val="Arial"/>
        <charset val="1"/>
        <scheme val="none"/>
      </font>
      <alignment horizontal="right" vertical="center" textRotation="0" wrapText="0" indent="0" justifyLastLine="0" shrinkToFit="0" readingOrder="0"/>
    </dxf>
    <dxf>
      <border outline="0">
        <bottom style="thin">
          <color rgb="FFBFC9D4"/>
        </bottom>
      </border>
    </dxf>
    <dxf>
      <font>
        <b/>
        <i val="0"/>
        <strike val="0"/>
        <condense val="0"/>
        <extend val="0"/>
        <outline val="0"/>
        <shadow val="0"/>
        <u val="none"/>
        <vertAlign val="baseline"/>
        <sz val="9"/>
        <color rgb="FFFFFFFF"/>
        <name val="Arial"/>
        <charset val="1"/>
        <scheme val="none"/>
      </font>
      <fill>
        <patternFill patternType="solid">
          <fgColor rgb="FF333399"/>
          <bgColor rgb="FF1B3A5C"/>
        </patternFill>
      </fill>
      <alignment horizontal="center" vertical="center" textRotation="0" wrapText="1" indent="0" justifyLastLine="0" shrinkToFit="0" readingOrder="0"/>
      <border diagonalUp="0" diagonalDown="0" outline="0">
        <left style="thin">
          <color rgb="FFBFC9D4"/>
        </left>
        <right style="thin">
          <color rgb="FFBFC9D4"/>
        </right>
        <top/>
        <bottom/>
      </border>
    </dxf>
    <dxf>
      <font>
        <b val="0"/>
        <i val="0"/>
        <strike val="0"/>
        <condense val="0"/>
        <extend val="0"/>
        <outline val="0"/>
        <shadow val="0"/>
        <u val="none"/>
        <vertAlign val="baseline"/>
        <sz val="9"/>
        <color rgb="FF1A1A1A"/>
        <name val="Arial"/>
        <charset val="1"/>
        <scheme val="none"/>
      </font>
      <numFmt numFmtId="167" formatCode="\$#,##0.00;&quot;($&quot;#,##0.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numFmt numFmtId="165" formatCode="\$#,##0.00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FF"/>
        <name val="Arial"/>
        <charset val="1"/>
        <scheme val="none"/>
      </font>
      <numFmt numFmtId="164" formatCode="yyyy\-mm\-dd"/>
      <fill>
        <patternFill patternType="solid">
          <fgColor rgb="FFFFF2CC"/>
          <bgColor rgb="FFFFF9DB"/>
        </patternFill>
      </fill>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FF"/>
        <name val="Arial"/>
        <charset val="1"/>
        <scheme val="none"/>
      </font>
      <numFmt numFmtId="164" formatCode="yyyy\-mm\-dd"/>
      <fill>
        <patternFill patternType="solid">
          <fgColor rgb="FFFFF2CC"/>
          <bgColor rgb="FFFFF9DB"/>
        </patternFill>
      </fill>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FF"/>
        <name val="Arial"/>
        <charset val="1"/>
        <scheme val="none"/>
      </font>
      <numFmt numFmtId="166" formatCode="#,##0;\(#,##0\);\-"/>
      <fill>
        <patternFill patternType="solid">
          <fgColor rgb="FFFFF2CC"/>
          <bgColor rgb="FFFFF9DB"/>
        </patternFill>
      </fill>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alignment horizontal="center"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FF"/>
        <name val="Arial"/>
        <charset val="1"/>
        <scheme val="none"/>
      </font>
      <fill>
        <patternFill patternType="solid">
          <fgColor rgb="FFFFF2CC"/>
          <bgColor rgb="FFFFF9DB"/>
        </patternFill>
      </fill>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FF"/>
        <name val="Arial"/>
        <charset val="1"/>
        <scheme val="none"/>
      </font>
      <fill>
        <patternFill patternType="solid">
          <fgColor rgb="FFFFF2CC"/>
          <bgColor rgb="FFFFF9DB"/>
        </patternFill>
      </fill>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FF"/>
        <name val="Arial"/>
        <charset val="1"/>
        <scheme val="none"/>
      </font>
      <fill>
        <patternFill patternType="solid">
          <fgColor rgb="FFFFF2CC"/>
          <bgColor rgb="FFFFF9DB"/>
        </patternFill>
      </fill>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FF"/>
        <name val="Arial"/>
        <charset val="1"/>
        <scheme val="none"/>
      </font>
      <numFmt numFmtId="164" formatCode="yyyy\-mm\-dd"/>
      <fill>
        <patternFill patternType="solid">
          <fgColor rgb="FFFFF2CC"/>
          <bgColor rgb="FFFFF9DB"/>
        </patternFill>
      </fill>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FF"/>
        <name val="Arial"/>
        <charset val="1"/>
        <scheme val="none"/>
      </font>
      <fill>
        <patternFill patternType="solid">
          <fgColor rgb="FFFFF2CC"/>
          <bgColor rgb="FFFFF9DB"/>
        </patternFill>
      </fill>
      <alignment horizontal="left" vertical="center" textRotation="0" wrapText="0" indent="0" justifyLastLine="0" shrinkToFit="0" readingOrder="0"/>
    </dxf>
    <dxf>
      <border outline="0">
        <bottom style="thin">
          <color rgb="FFBFC9D4"/>
        </bottom>
      </border>
    </dxf>
    <dxf>
      <font>
        <b/>
        <i val="0"/>
        <strike val="0"/>
        <condense val="0"/>
        <extend val="0"/>
        <outline val="0"/>
        <shadow val="0"/>
        <u val="none"/>
        <vertAlign val="baseline"/>
        <sz val="9"/>
        <color rgb="FFFFFFFF"/>
        <name val="Arial"/>
        <charset val="1"/>
        <scheme val="none"/>
      </font>
      <fill>
        <patternFill patternType="solid">
          <fgColor rgb="FF333399"/>
          <bgColor rgb="FF1B3A5C"/>
        </patternFill>
      </fill>
      <alignment horizontal="center" vertical="center" textRotation="0" wrapText="1" indent="0" justifyLastLine="0" shrinkToFit="0" readingOrder="0"/>
      <border diagonalUp="0" diagonalDown="0" outline="0">
        <left style="thin">
          <color rgb="FFBFC9D4"/>
        </left>
        <right style="thin">
          <color rgb="FFBFC9D4"/>
        </right>
        <top/>
        <bottom/>
      </border>
    </dxf>
    <dxf>
      <font>
        <b val="0"/>
        <i val="0"/>
        <strike val="0"/>
        <condense val="0"/>
        <extend val="0"/>
        <outline val="0"/>
        <shadow val="0"/>
        <u val="none"/>
        <vertAlign val="baseline"/>
        <sz val="9"/>
        <color rgb="FF0000FF"/>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9"/>
        <color rgb="FF000000"/>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9"/>
        <color rgb="FF000000"/>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9"/>
        <color rgb="FF000000"/>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9"/>
        <color rgb="FF008000"/>
        <name val="Arial"/>
        <scheme val="none"/>
      </font>
      <numFmt numFmtId="3" formatCode="#,##0"/>
      <alignment horizontal="left" vertical="bottom" textRotation="0" wrapText="0" indent="0" justifyLastLine="0" shrinkToFit="0" readingOrder="0"/>
    </dxf>
    <dxf>
      <font>
        <b val="0"/>
        <i val="0"/>
        <strike val="0"/>
        <condense val="0"/>
        <extend val="0"/>
        <outline val="0"/>
        <shadow val="0"/>
        <u val="none"/>
        <vertAlign val="baseline"/>
        <sz val="9"/>
        <color rgb="FF008000"/>
        <name val="Arial"/>
        <scheme val="none"/>
      </font>
      <numFmt numFmtId="3" formatCode="#,##0"/>
      <alignment horizontal="left" vertical="bottom" textRotation="0" wrapText="0" indent="0" justifyLastLine="0" shrinkToFit="0" readingOrder="0"/>
    </dxf>
    <dxf>
      <font>
        <b val="0"/>
        <i val="0"/>
        <strike val="0"/>
        <condense val="0"/>
        <extend val="0"/>
        <outline val="0"/>
        <shadow val="0"/>
        <u val="none"/>
        <vertAlign val="baseline"/>
        <sz val="9"/>
        <color rgb="FF0000FF"/>
        <name val="Arial"/>
        <scheme val="none"/>
      </font>
      <alignment horizontal="left" vertical="bottom" textRotation="0" wrapText="0" indent="0" justifyLastLine="0" shrinkToFit="0" readingOrder="0"/>
    </dxf>
    <dxf>
      <font>
        <b val="0"/>
        <i val="0"/>
        <strike val="0"/>
        <condense val="0"/>
        <extend val="0"/>
        <outline val="0"/>
        <shadow val="0"/>
        <u val="none"/>
        <vertAlign val="baseline"/>
        <sz val="9"/>
        <color rgb="FF008000"/>
        <name val="Arial"/>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8000"/>
        <name val="Arial"/>
        <scheme val="none"/>
      </font>
      <alignment horizontal="left" vertical="bottom" textRotation="0" wrapText="0" indent="0" justifyLastLine="0" shrinkToFit="0" readingOrder="0"/>
    </dxf>
    <dxf>
      <font>
        <b val="0"/>
        <i val="0"/>
        <strike val="0"/>
        <condense val="0"/>
        <extend val="0"/>
        <outline val="0"/>
        <shadow val="0"/>
        <u val="none"/>
        <vertAlign val="baseline"/>
        <sz val="9"/>
        <color rgb="FF008000"/>
        <name val="Arial"/>
        <scheme val="none"/>
      </font>
      <alignment horizontal="left" vertical="bottom" textRotation="0" wrapText="0" indent="0" justifyLastLine="0" shrinkToFit="0" readingOrder="0"/>
    </dxf>
    <dxf>
      <font>
        <b val="0"/>
        <i val="0"/>
        <strike val="0"/>
        <condense val="0"/>
        <extend val="0"/>
        <outline val="0"/>
        <shadow val="0"/>
        <u val="none"/>
        <vertAlign val="baseline"/>
        <sz val="9"/>
        <color rgb="FF008000"/>
        <name val="Arial"/>
        <scheme val="none"/>
      </font>
      <alignment horizontal="left" vertical="bottom" textRotation="0" wrapText="0" indent="0" justifyLastLine="0" shrinkToFit="0" readingOrder="0"/>
    </dxf>
    <dxf>
      <font>
        <b val="0"/>
        <i val="0"/>
        <strike val="0"/>
        <condense val="0"/>
        <extend val="0"/>
        <outline val="0"/>
        <shadow val="0"/>
        <u val="none"/>
        <vertAlign val="baseline"/>
        <sz val="9"/>
        <color rgb="FF008000"/>
        <name val="Arial"/>
        <scheme val="none"/>
      </font>
      <alignment horizontal="left" vertical="bottom" textRotation="0" wrapText="0" indent="0" justifyLastLine="0" shrinkToFit="0" readingOrder="0"/>
    </dxf>
    <dxf>
      <font>
        <b val="0"/>
        <i val="0"/>
        <strike val="0"/>
        <condense val="0"/>
        <extend val="0"/>
        <outline val="0"/>
        <shadow val="0"/>
        <u val="none"/>
        <vertAlign val="baseline"/>
        <sz val="9"/>
        <color rgb="FF008000"/>
        <name val="Arial"/>
        <scheme val="none"/>
      </font>
      <alignment horizontal="left" vertical="bottom" textRotation="0" wrapText="0" indent="0" justifyLastLine="0" shrinkToFit="0" readingOrder="0"/>
    </dxf>
    <dxf>
      <font>
        <b val="0"/>
        <i val="0"/>
        <strike val="0"/>
        <condense val="0"/>
        <extend val="0"/>
        <outline val="0"/>
        <shadow val="0"/>
        <u val="none"/>
        <vertAlign val="baseline"/>
        <sz val="9"/>
        <color rgb="FF0000FF"/>
        <name val="Arial"/>
        <scheme val="none"/>
      </font>
      <fill>
        <patternFill patternType="solid">
          <fgColor indexed="64"/>
          <bgColor rgb="FFFFF9DB"/>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FF"/>
        <name val="Arial"/>
        <scheme val="none"/>
      </font>
      <fill>
        <patternFill patternType="solid">
          <fgColor indexed="64"/>
          <bgColor rgb="FFFFF9DB"/>
        </patternFill>
      </fill>
      <alignment horizontal="center" vertical="bottom" textRotation="0" wrapText="0" indent="0" justifyLastLine="0" shrinkToFit="0" readingOrder="0"/>
    </dxf>
    <dxf>
      <font>
        <b val="0"/>
        <i val="0"/>
        <strike val="0"/>
        <condense val="0"/>
        <extend val="0"/>
        <outline val="0"/>
        <shadow val="0"/>
        <u val="none"/>
        <vertAlign val="baseline"/>
        <sz val="9"/>
        <color rgb="FF000000"/>
        <name val="Arial"/>
        <scheme val="none"/>
      </font>
      <alignment horizontal="center" vertical="bottom" textRotation="0" wrapText="0" indent="0" justifyLastLine="0" shrinkToFit="0" readingOrder="0"/>
      <border diagonalUp="0" diagonalDown="0">
        <left style="thin">
          <color rgb="FFBFC9D4"/>
        </left>
        <right/>
        <top style="thin">
          <color rgb="FFBFC9D4"/>
        </top>
        <bottom style="thin">
          <color rgb="FFBFC9D4"/>
        </bottom>
        <vertical/>
        <horizontal/>
      </border>
    </dxf>
    <dxf>
      <font>
        <b val="0"/>
        <i val="0"/>
        <strike val="0"/>
        <condense val="0"/>
        <extend val="0"/>
        <outline val="0"/>
        <shadow val="0"/>
        <u val="none"/>
        <vertAlign val="baseline"/>
        <sz val="9"/>
        <color rgb="FF000000"/>
        <name val="Arial"/>
        <scheme val="none"/>
      </font>
      <alignment horizontal="center" vertical="bottom"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00"/>
        <name val="Arial"/>
        <scheme val="none"/>
      </font>
      <alignment horizontal="center" vertical="bottom"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i val="0"/>
        <strike val="0"/>
        <condense val="0"/>
        <extend val="0"/>
        <outline val="0"/>
        <shadow val="0"/>
        <u val="none"/>
        <vertAlign val="baseline"/>
        <sz val="9"/>
        <color rgb="FF000000"/>
        <name val="Arial"/>
        <scheme val="none"/>
      </font>
      <alignment horizontal="center" vertical="bottom"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scheme val="none"/>
      </font>
      <alignment horizontal="center" vertical="bottom"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00"/>
        <name val="Arial"/>
        <scheme val="none"/>
      </font>
      <numFmt numFmtId="0" formatCode="General"/>
      <alignment horizontal="center" vertical="bottom"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00"/>
        <name val="Arial"/>
        <scheme val="none"/>
      </font>
      <alignment horizontal="center" vertical="bottom"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alignment horizontal="center" vertical="center" textRotation="0" wrapText="0" indent="0" justifyLastLine="0" shrinkToFit="0" readingOrder="0"/>
      <border diagonalUp="0" diagonalDown="0">
        <left style="thin">
          <color rgb="FFBFC9D4"/>
        </left>
        <right/>
        <top style="thin">
          <color rgb="FFBFC9D4"/>
        </top>
        <bottom style="thin">
          <color rgb="FFBFC9D4"/>
        </bottom>
        <vertical/>
        <horizontal/>
      </border>
    </dxf>
    <dxf>
      <font>
        <b val="0"/>
        <i val="0"/>
        <strike val="0"/>
        <condense val="0"/>
        <extend val="0"/>
        <outline val="0"/>
        <shadow val="0"/>
        <u val="none"/>
        <vertAlign val="baseline"/>
        <sz val="9"/>
        <color rgb="FF0000FF"/>
        <name val="Arial"/>
        <charset val="1"/>
        <scheme val="none"/>
      </font>
      <fill>
        <patternFill patternType="solid">
          <fgColor rgb="FFFFF2CC"/>
          <bgColor rgb="FFFFF9DB"/>
        </patternFill>
      </fill>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numFmt numFmtId="164" formatCode="yyyy\-mm\-dd"/>
      <alignment horizontal="center"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numFmt numFmtId="164" formatCode="yyyy\-mm\-dd"/>
      <alignment horizontal="center"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FF"/>
        <name val="Arial"/>
        <charset val="1"/>
        <scheme val="none"/>
      </font>
      <fill>
        <patternFill patternType="solid">
          <fgColor rgb="FFFFF2CC"/>
          <bgColor rgb="FFFFF9DB"/>
        </patternFill>
      </fill>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numFmt numFmtId="167" formatCode="\$#,##0.00;&quot;($&quot;#,##0.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numFmt numFmtId="165" formatCode="\$#,##0.00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1A1A1A"/>
        <name val="Arial"/>
        <charset val="1"/>
        <scheme val="none"/>
      </font>
      <numFmt numFmtId="166" formatCode="#,##0;\(#,##0\);\-"/>
      <fill>
        <patternFill patternType="solid">
          <fgColor rgb="FFFFF2CC"/>
          <bgColor rgb="FFFFF9DB"/>
        </patternFill>
      </fill>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numFmt numFmtId="166" formatCode="#,##0;\(#,##0\);\-"/>
      <alignment horizontal="righ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alignment horizontal="center"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FF"/>
        <name val="Arial"/>
        <charset val="1"/>
        <scheme val="none"/>
      </font>
      <fill>
        <patternFill patternType="solid">
          <fgColor rgb="FFFFF2CC"/>
          <bgColor rgb="FFFFF9DB"/>
        </patternFill>
      </fill>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alignment horizontal="center"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alignment horizontal="center"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FF"/>
        <name val="Arial"/>
        <charset val="1"/>
        <scheme val="none"/>
      </font>
      <fill>
        <patternFill patternType="solid">
          <fgColor indexed="64"/>
          <bgColor rgb="FFFFF9DB"/>
        </patternFill>
      </fill>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8000"/>
        <name val="Arial"/>
        <charset val="1"/>
        <scheme val="none"/>
      </font>
      <alignment horizontal="left" vertical="center" textRotation="0" wrapText="0" indent="0" justifyLastLine="0" shrinkToFit="0" readingOrder="0"/>
      <border diagonalUp="0" diagonalDown="0">
        <left style="thin">
          <color rgb="FFBFC9D4"/>
        </left>
        <right style="thin">
          <color rgb="FFBFC9D4"/>
        </right>
        <top style="thin">
          <color rgb="FFBFC9D4"/>
        </top>
        <bottom style="thin">
          <color rgb="FFBFC9D4"/>
        </bottom>
        <vertical/>
        <horizontal/>
      </border>
    </dxf>
    <dxf>
      <font>
        <b val="0"/>
        <i val="0"/>
        <strike val="0"/>
        <condense val="0"/>
        <extend val="0"/>
        <outline val="0"/>
        <shadow val="0"/>
        <u val="none"/>
        <vertAlign val="baseline"/>
        <sz val="9"/>
        <color rgb="FF0000FF"/>
        <name val="Arial"/>
        <charset val="1"/>
        <scheme val="none"/>
      </font>
      <numFmt numFmtId="164" formatCode="yyyy\-mm\-dd"/>
      <fill>
        <patternFill patternType="solid">
          <fgColor rgb="FFFFF2CC"/>
          <bgColor rgb="FFFFF9DB"/>
        </patternFill>
      </fill>
      <alignment horizontal="left" vertical="center" textRotation="0" wrapText="0" indent="0" justifyLastLine="0" shrinkToFit="0" readingOrder="0"/>
      <border diagonalUp="0" diagonalDown="0">
        <left/>
        <right style="thin">
          <color rgb="FFBFC9D4"/>
        </right>
        <top style="thin">
          <color rgb="FFBFC9D4"/>
        </top>
        <bottom style="thin">
          <color rgb="FFBFC9D4"/>
        </bottom>
        <vertical/>
        <horizontal/>
      </border>
    </dxf>
    <dxf>
      <border outline="0">
        <left style="thin">
          <color rgb="FFBFC9D4"/>
        </left>
      </border>
    </dxf>
    <dxf>
      <font>
        <b val="0"/>
        <i val="0"/>
        <strike val="0"/>
        <condense val="0"/>
        <extend val="0"/>
        <outline val="0"/>
        <shadow val="0"/>
        <u val="none"/>
        <vertAlign val="baseline"/>
        <sz val="9"/>
        <color rgb="FF008000"/>
        <name val="Arial"/>
        <scheme val="none"/>
      </font>
      <alignment horizontal="left" vertical="bottom" textRotation="0" wrapText="0" indent="0" justifyLastLine="0" shrinkToFit="0" readingOrder="0"/>
    </dxf>
    <dxf>
      <font>
        <b/>
        <i val="0"/>
        <strike val="0"/>
        <condense val="0"/>
        <extend val="0"/>
        <outline val="0"/>
        <shadow val="0"/>
        <u val="none"/>
        <vertAlign val="baseline"/>
        <sz val="9"/>
        <color rgb="FFFFFFFF"/>
        <name val="Arial"/>
        <scheme val="none"/>
      </font>
      <fill>
        <patternFill patternType="solid">
          <fgColor indexed="64"/>
          <bgColor rgb="FF1B3A5C"/>
        </patternFill>
      </fill>
      <alignment horizontal="center" vertical="bottom"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4"/>
      <rgbColor rgb="FF878787"/>
      <rgbColor rgb="FF9999FF"/>
      <rgbColor rgb="FF993366"/>
      <rgbColor rgb="FFFFF9DB"/>
      <rgbColor rgb="FFE8ED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FEFEF"/>
      <rgbColor rgb="FFE3F0DA"/>
      <rgbColor rgb="FFFFF2CC"/>
      <rgbColor rgb="FFE4E4E4"/>
      <rgbColor rgb="FFE9A5D0"/>
      <rgbColor rgb="FFFFC7CE"/>
      <rgbColor rgb="FFFFD9B3"/>
      <rgbColor rgb="FF4F81BD"/>
      <rgbColor rgb="FF33CCCC"/>
      <rgbColor rgb="FF99CC00"/>
      <rgbColor rgb="FFFFE0E0"/>
      <rgbColor rgb="FFE8A33D"/>
      <rgbColor rgb="FFC05621"/>
      <rgbColor rgb="FF6B7280"/>
      <rgbColor rgb="FF969696"/>
      <rgbColor rgb="FF1B3A5C"/>
      <rgbColor rgb="FF2E6B2E"/>
      <rgbColor rgb="FF003300"/>
      <rgbColor rgb="FF333300"/>
      <rgbColor rgb="FFB0303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Issued value by month</a:t>
            </a:r>
          </a:p>
        </c:rich>
      </c:tx>
      <c:overlay val="0"/>
      <c:spPr>
        <a:noFill/>
        <a:ln w="0">
          <a:noFill/>
        </a:ln>
      </c:spPr>
    </c:title>
    <c:autoTitleDeleted val="0"/>
    <c:plotArea>
      <c:layout/>
      <c:barChart>
        <c:barDir val="col"/>
        <c:grouping val="clustered"/>
        <c:varyColors val="0"/>
        <c:ser>
          <c:idx val="0"/>
          <c:order val="0"/>
          <c:tx>
            <c:strRef>
              <c:f>'Monthly Summary'!$G$4</c:f>
              <c:strCache>
                <c:ptCount val="1"/>
                <c:pt idx="0">
                  <c:v>Issued Value</c:v>
                </c:pt>
              </c:strCache>
            </c:strRef>
          </c:tx>
          <c:spPr>
            <a:solidFill>
              <a:srgbClr val="4F81B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Summary'!$A$5:$A$16</c:f>
              <c:strCache>
                <c:ptCount val="12"/>
                <c:pt idx="0">
                  <c:v>Apr 2026</c:v>
                </c:pt>
                <c:pt idx="1">
                  <c:v>May 2026</c:v>
                </c:pt>
                <c:pt idx="2">
                  <c:v>Jun 2026</c:v>
                </c:pt>
                <c:pt idx="3">
                  <c:v>Jul 2026</c:v>
                </c:pt>
                <c:pt idx="4">
                  <c:v>Aug 2026</c:v>
                </c:pt>
                <c:pt idx="5">
                  <c:v>Sep 2026</c:v>
                </c:pt>
                <c:pt idx="6">
                  <c:v>Oct 2026</c:v>
                </c:pt>
                <c:pt idx="7">
                  <c:v>Nov 2026</c:v>
                </c:pt>
                <c:pt idx="8">
                  <c:v>Dec 2026</c:v>
                </c:pt>
                <c:pt idx="9">
                  <c:v>Jan 2027</c:v>
                </c:pt>
                <c:pt idx="10">
                  <c:v>Feb 2027</c:v>
                </c:pt>
                <c:pt idx="11">
                  <c:v>Mar 2027</c:v>
                </c:pt>
              </c:strCache>
            </c:strRef>
          </c:cat>
          <c:val>
            <c:numRef>
              <c:f>'Monthly Summary'!$G$5:$G$16</c:f>
              <c:numCache>
                <c:formatCode>\$#,##0.00;"($"#,##0.00\);\-</c:formatCode>
                <c:ptCount val="12"/>
                <c:pt idx="0">
                  <c:v>5271.9337000000087</c:v>
                </c:pt>
                <c:pt idx="1">
                  <c:v>6031.196900000009</c:v>
                </c:pt>
                <c:pt idx="2">
                  <c:v>12143.928099999952</c:v>
                </c:pt>
                <c:pt idx="3">
                  <c:v>11059.65759999996</c:v>
                </c:pt>
                <c:pt idx="4">
                  <c:v>94.480200000000011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EED7-4632-861B-A383A568CD9F}"/>
            </c:ext>
          </c:extLst>
        </c:ser>
        <c:dLbls>
          <c:showLegendKey val="0"/>
          <c:showVal val="0"/>
          <c:showCatName val="0"/>
          <c:showSerName val="0"/>
          <c:showPercent val="0"/>
          <c:showBubbleSize val="0"/>
        </c:dLbls>
        <c:gapWidth val="150"/>
        <c:axId val="64970542"/>
        <c:axId val="90100820"/>
      </c:barChart>
      <c:catAx>
        <c:axId val="6497054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0100820"/>
        <c:crosses val="autoZero"/>
        <c:auto val="1"/>
        <c:lblAlgn val="ctr"/>
        <c:lblOffset val="100"/>
        <c:noMultiLvlLbl val="0"/>
      </c:catAx>
      <c:valAx>
        <c:axId val="9010082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497054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7</xdr:col>
      <xdr:colOff>306720</xdr:colOff>
      <xdr:row>47</xdr:row>
      <xdr:rowOff>32040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66A3B1-0AB1-4A73-B6F3-C0CBA929AF6B}" name="tblReceipts" displayName="tblReceipts" ref="A4:K192" totalsRowShown="0" headerRowDxfId="65" dataDxfId="63" headerRowBorderDxfId="64">
  <autoFilter ref="A4:K192" xr:uid="{2966A3B1-0AB1-4A73-B6F3-C0CBA929AF6B}"/>
  <tableColumns count="11">
    <tableColumn id="1" xr3:uid="{BB31C8B6-3C81-483B-ADDE-0D94519D7537}" name="Date Ordered" dataDxfId="62"/>
    <tableColumn id="2" xr3:uid="{99C9E797-7332-43B4-A8A9-01F868E0A397}" name="Vendor Name" dataDxfId="61"/>
    <tableColumn id="3" xr3:uid="{912B390F-83E7-4259-A2C6-C0A4BC6035D0}" name="Lot Number" dataDxfId="60"/>
    <tableColumn id="4" xr3:uid="{40F6A7E3-597A-490A-9FCC-2B7110724F2C}" name="Item Name" dataDxfId="59"/>
    <tableColumn id="5" xr3:uid="{24F20A83-3323-4FF0-861B-4633627919F7}" name="Item Type" dataDxfId="58">
      <calculatedColumnFormula>IF($D5="","",IFERROR(INDEX(Items!$B$5:$B$597,MATCH($D5,Items!$A$5:$A$597,0)),"⚠ not in Items"))</calculatedColumnFormula>
    </tableColumn>
    <tableColumn id="6" xr3:uid="{EE60FA4B-3F30-40E5-AEF0-963F760CA838}" name="Size" dataDxfId="57">
      <calculatedColumnFormula>IF($D5="","",IFERROR(INDEX(Items!$C$5:$C$597,MATCH($D5,Items!$A$5:$A$597,0)),""))</calculatedColumnFormula>
    </tableColumn>
    <tableColumn id="7" xr3:uid="{5A2BAA79-2AED-48C0-89AB-7547147C3AFF}" name="Qty Received" dataDxfId="56"/>
    <tableColumn id="8" xr3:uid="{0F5C0B57-0994-42E0-8A2A-BC4F6BF1AB47}" name="Expiry Date" dataDxfId="55"/>
    <tableColumn id="9" xr3:uid="{7282663C-01B2-4E6F-A3D2-3852F3B21A6C}" name="Date Received" dataDxfId="54"/>
    <tableColumn id="10" xr3:uid="{9CF06522-9796-4C85-95E3-74B2553A6655}" name="Unit Rate" dataDxfId="53">
      <calculatedColumnFormula>IF($D5="","",IFERROR(INDEX(Items!$D$5:$D$597,MATCH($D5,Items!$A$5:$A$597,0)),""))</calculatedColumnFormula>
    </tableColumn>
    <tableColumn id="11" xr3:uid="{4D262678-636C-4BFE-B2E2-60041D0E0CD0}" name="Received Value" dataDxfId="52">
      <calculatedColumnFormula>IF(OR($G5="",$J5=""),"",$G5*$J5)</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AE8BA-528E-4339-98DE-017567DC7B33}" name="tblIssues" displayName="tblIssues" ref="A4:AO1977" totalsRowShown="0" headerRowDxfId="108" dataDxfId="107" tableBorderDxfId="106">
  <autoFilter ref="A4:AO1977" xr:uid="{6BFAE8BA-528E-4339-98DE-017567DC7B33}"/>
  <tableColumns count="41">
    <tableColumn id="1" xr3:uid="{999FCD86-5F7E-4860-A541-C851D77CEFF1}" name="Order Date" dataDxfId="105"/>
    <tableColumn id="2" xr3:uid="{EF9C7F56-C443-4A96-99F0-9DCE0C518094}" name="Staff ID" dataDxfId="104">
      <calculatedColumnFormula>IF($C5="","",IFERROR(INDEX('Staff Directory'!$A$5:$A$594,MATCH($C5,'Staff Directory'!$B$5:$B$594,0)),"⚠ unknown staff"))</calculatedColumnFormula>
    </tableColumn>
    <tableColumn id="3" xr3:uid="{4509A69A-6D38-41EA-AAD1-082C8A072483}" name="Staff Name (pick)" dataDxfId="103"/>
    <tableColumn id="4" xr3:uid="{2E1C25B2-4132-418C-AD64-B0BD053BBC04}" name="Role" dataDxfId="102">
      <calculatedColumnFormula>IF($B5="","",IFERROR(INDEX('Staff Directory'!$C$5:$C$594,MATCH($B5,'Staff Directory'!$A$5:$A$594,0)),""))</calculatedColumnFormula>
    </tableColumn>
    <tableColumn id="5" xr3:uid="{DFC57EB3-0EC7-410B-82E7-F3B486906D47}" name="Area" dataDxfId="101">
      <calculatedColumnFormula>IF($B5="","",IFERROR(INDEX('Staff Directory'!$D$5:$D$594,MATCH($B5,'Staff Directory'!$A$5:$A$594,0)),""))</calculatedColumnFormula>
    </tableColumn>
    <tableColumn id="6" xr3:uid="{E8D47B99-618B-418D-96F9-53BE5281F460}" name="Item Name" dataDxfId="100"/>
    <tableColumn id="7" xr3:uid="{03FABB5A-30AE-4A0E-A717-29A4582095AD}" name="Item Type" dataDxfId="99">
      <calculatedColumnFormula>IF($F5="","",IFERROR(INDEX(Items!$B$5:$B$597,MATCH($F5,Items!$A$5:$A$597,0)),"⚠ not in Items"))</calculatedColumnFormula>
    </tableColumn>
    <tableColumn id="8" xr3:uid="{8F0F045E-04D7-4D58-BC32-2768A546AF1C}" name="Size" dataDxfId="98">
      <calculatedColumnFormula>IF($F5="","",IFERROR(INDEX(Items!$C$5:$C$597,MATCH($F5,Items!$A$5:$A$597,0)),""))</calculatedColumnFormula>
    </tableColumn>
    <tableColumn id="9" xr3:uid="{5A75EDB1-A585-45C9-B51F-E80ABDF61977}" name="Standard Issue" dataDxfId="97">
      <calculatedColumnFormula>IF($F5="","",IFERROR(INDEX(Items!$E$5:$E$597,MATCH($F5,Items!$A$5:$A$597,0)),""))</calculatedColumnFormula>
    </tableColumn>
    <tableColumn id="10" xr3:uid="{2B599382-8D5E-429F-B948-DDE36C2E876C}" name="Qty Issued" dataDxfId="96">
      <calculatedColumnFormula>IF(tblIssues[[#This Row],[Qty Override]]&lt;&gt;"",tblIssues[[#This Row],[Qty Override]],IF(tblIssues[[#This Row],[Standard Issue]]="","",tblIssues[[#This Row],[Standard Issue]]))</calculatedColumnFormula>
    </tableColumn>
    <tableColumn id="11" xr3:uid="{1BC1AF5C-8895-4F02-B392-8B630F72EF8D}" name="Unit Rate" dataDxfId="95">
      <calculatedColumnFormula>IF($F5="","",IFERROR(INDEX(Items!$D$5:$D$597,MATCH($F5,Items!$A$5:$A$597,0)),""))</calculatedColumnFormula>
    </tableColumn>
    <tableColumn id="12" xr3:uid="{8D4A141A-7003-41DD-A653-193DBE1C06F4}" name="Line Cost" dataDxfId="94">
      <calculatedColumnFormula>IF(OR($J5="",$K5=""),"",$J5*$K5)</calculatedColumnFormula>
    </tableColumn>
    <tableColumn id="13" xr3:uid="{AA885A40-BE18-4489-9E90-4E08D6CA98FF}" name="Lot Number" dataDxfId="93"/>
    <tableColumn id="14" xr3:uid="{7577B1D9-E2A3-4EAC-9D25-1EB393FC5E82}" name="Pickup Date" dataDxfId="92">
      <calculatedColumnFormula>IF($A5="","",WORKDAY($A5,Settings!$C$9,HolidayDates))</calculatedColumnFormula>
    </tableColumn>
    <tableColumn id="15" xr3:uid="{CC12B9D0-1E7F-45D2-AD61-DCEDAC542880}" name="Next Scheduled" dataDxfId="91">
      <calculatedColumnFormula>IF($N5="","",WORKDAY($N5,Settings!$C$10,HolidayDates))</calculatedColumnFormula>
    </tableColumn>
    <tableColumn id="16" xr3:uid="{C38C6FBA-0B47-4C8D-AE6A-3B2412CFED65}" name="Tracking ID" dataDxfId="90"/>
    <tableColumn id="17" xr3:uid="{A4A8CD59-EAEF-4E52-B2B0-3F95A7B28F39}" name="Status" dataDxfId="89">
      <calculatedColumnFormula>IF($A5="","",IF($P5&lt;&gt;"","Collected","Pending"))</calculatedColumnFormula>
    </tableColumn>
    <tableColumn id="18" xr3:uid="{E5563361-84E2-410F-9164-428B6373F3DC}" name="Month" dataDxfId="88">
      <calculatedColumnFormula>IF($A5="","",TEXT($A5,"yyyy-mm"))</calculatedColumnFormula>
    </tableColumn>
    <tableColumn id="19" xr3:uid="{962857D1-15DE-4119-95DB-5D57FFC2B9AF}" name="Units This Month (Staff/Item)" dataDxfId="87">
      <calculatedColumnFormula>IF(OR($B5="",$F5="",$R5=""),"",SUMIFS(tblIssues[Qty Issued],tblIssues[Staff ID],$B5,tblIssues[Item Name],$F5,tblIssues[Month],$R5))</calculatedColumnFormula>
    </tableColumn>
    <tableColumn id="20" xr3:uid="{BBF4A4FC-93AF-4765-9DA4-98F92D53CBF9}" name="Monthly Quota" dataDxfId="86">
      <calculatedColumnFormula>IF($I5="","",$I5*Settings!$C$11)</calculatedColumnFormula>
    </tableColumn>
    <tableColumn id="21" xr3:uid="{3CD2334E-F1DD-465D-8EFD-0DBE5B788A8D}" name="Quota Status" dataDxfId="85">
      <calculatedColumnFormula>IF(OR($S5="",$T5=""),"",IF($S5&gt;$T5,IF($Y5="Approved","APPROVED BY TL","⚠ OVER QUOTA"),"OK"))</calculatedColumnFormula>
    </tableColumn>
    <tableColumn id="22" xr3:uid="{D1D50D62-B1C4-40D1-B256-BCE42E62D6AF}" name="Breach Key" dataDxfId="84">
      <calculatedColumnFormula>IF($U5="⚠ OVER QUOTA",$B5&amp;" | "&amp;$F5&amp;" | "&amp;$R5,"")</calculatedColumnFormula>
    </tableColumn>
    <tableColumn id="23" xr3:uid="{5AF2F0D0-97E5-4EE1-AA91-1DB22A74932F}" name="First Breach" dataDxfId="83">
      <calculatedColumnFormula>IF($V5="","",IF(COUNTIF($V$5:$V5,$V5)=1,1,""))</calculatedColumnFormula>
    </tableColumn>
    <tableColumn id="24" xr3:uid="{8DA3B0C8-1B64-4BDA-8003-9AACEBBF244C}" name="Alert Row" dataDxfId="82">
      <calculatedColumnFormula>IF($W5="","",MAX($X$4:X4)+1)</calculatedColumnFormula>
    </tableColumn>
    <tableColumn id="25" xr3:uid="{9CAF8178-B585-4306-86CD-DAF8FD215825}" name="TL Approval" dataDxfId="81"/>
    <tableColumn id="26" xr3:uid="{608C7DB6-AEC5-4A04-812D-C8CC17FA922D}" name="Approved By / Ref" dataDxfId="80"/>
    <tableColumn id="27" xr3:uid="{3DC21492-BF8E-447E-8F3E-83CAA7ECCD0C}" name="Staff Email" dataDxfId="79">
      <calculatedColumnFormula>IF($C5="","",IFERROR(INDEX('Staff Directory'!$E$5:$E$594,MATCH($C5,'Staff Directory'!$B$5:$B$594,0)),""))</calculatedColumnFormula>
    </tableColumn>
    <tableColumn id="28" xr3:uid="{AE6C9A89-777B-4BF7-9D34-CB0B8292056C}" name="Notice Type" dataDxfId="78">
      <calculatedColumnFormula>IF($C5="","",IF(ISNUMBER(SEARCH($D5,Settings!$C$15)),"Pickup","Dispatch"))</calculatedColumnFormula>
    </tableColumn>
    <tableColumn id="29" xr3:uid="{BC087FD9-FA40-4634-8910-4B79D57B7792}" name="Email Subject" dataDxfId="77">
      <calculatedColumnFormula>IF($AB5="Pickup","Supply order ready for pickup",IF($AB5="Dispatch","Supply order dispatched",""))</calculatedColumnFormula>
    </tableColumn>
    <tableColumn id="30" xr3:uid="{407CA6EB-13DE-4D69-BC12-6BC1E33D5611}" name="Email Body" dataDxfId="76">
      <calculatedColumnFormula>IF($AB5="Pickup","Dear "&amp;$AH5&amp;","&amp;CHAR(10)&amp;CHAR(10)&amp;"Your order is ready for pickup from GTA/Peel Branch, Wed-Fri 9am-4pm.",IF($AB5="Dispatch","Dear "&amp;$AH5&amp;","&amp;CHAR(10)&amp;CHAR(10)&amp;"Your order has been dispatched and is in transit. Reply if undelivered.",""))</calculatedColumnFormula>
    </tableColumn>
    <tableColumn id="31" xr3:uid="{6DACEA6D-84E0-4EC4-9332-608CB3568305}" name="Mailto Link" dataDxfId="75">
      <calculatedColumnFormula>IF(OR($AA5="",$AC5=""),"","mailto:"&amp;$AA5&amp;"?subject="&amp;_xlfn.ENCODEURL($AC5)&amp;"&amp;body="&amp;_xlfn.ENCODEURL($AD5))</calculatedColumnFormula>
    </tableColumn>
    <tableColumn id="32" xr3:uid="{7640A2EC-E587-452A-A1A6-F2236E131882}" name="Draft in Outlook" dataDxfId="74">
      <calculatedColumnFormula>IF(AE5="","",HYPERLINK(AE5,"Draft email"))</calculatedColumnFormula>
    </tableColumn>
    <tableColumn id="33" xr3:uid="{86C24818-7F0B-422E-8D77-8EBD2C0FCFE1}" name="Staff First Name" dataDxfId="73">
      <calculatedColumnFormula>IF($C5="","",IFERROR(INDEX('Staff Directory'!$K$595:$K$599,MATCH($C5,'Staff Directory'!$B$5:$B$599,0)),$D5))</calculatedColumnFormula>
    </tableColumn>
    <tableColumn id="34" xr3:uid="{049E25C2-FBEA-4702-BE2A-743460CF7316}" name="Staff Full Name">
      <calculatedColumnFormula>IF($C5="","",IFERROR(INDEX('Staff Directory'!$I$595:$I$599,MATCH($C5,'Staff Directory'!$B$5:$B$599,0))&amp;" "&amp;INDEX('Staff Directory'!$J$595:$J$599,MATCH($C5,'Staff Directory'!$B$5:$B$599,0)),$AG5))</calculatedColumnFormula>
    </tableColumn>
    <tableColumn id="36" xr3:uid="{8CA29843-18A1-4DA7-A341-BB01804B856E}" name="Lot Override" dataDxfId="72"/>
    <tableColumn id="37" xr3:uid="{9D38DF4C-5B66-404E-B05D-8032028D9E68}" name="Cum Units (Item)" dataDxfId="71">
      <calculatedColumnFormula>IF($F5="","",SUMIFS($J$5:$J5,$F$5:$F5,$F5))</calculatedColumnFormula>
    </tableColumn>
    <tableColumn id="38" xr3:uid="{9607F43C-C74B-466C-B73D-CC82434C4205}" name="Line Start Unit" dataDxfId="70">
      <calculatedColumnFormula>IF($F5="","",MAX(1,$AJ5-MAX($J5,0)+1))</calculatedColumnFormula>
    </tableColumn>
    <tableColumn id="39" xr3:uid="{E9ED52C7-26C7-4214-B33E-8613B88C3A5C}" name="FEFO Lot (Auto)" dataDxfId="69">
      <calculatedColumnFormula array="1">IF($F5="","",IFERROR(INDEX('Lot Balance'!$B$5:$B$500,MATCH(1,INDEX(('Lot Balance'!$A$5:$A$500=$F5)*('Lot Balance'!$K$5:$K$500&lt;$AK5)*('Lot Balance'!$K$5:$K$500+'Lot Balance'!$D$5:$D$500&gt;=$AK5),0),0)),""))</calculatedColumnFormula>
    </tableColumn>
    <tableColumn id="40" xr3:uid="{0C0642D6-2CBE-4CFF-AF71-5F3F149AC07E}" name="Lot At Line End" dataDxfId="68">
      <calculatedColumnFormula array="1">IF($F5="","",IFERROR(INDEX('Lot Balance'!$B$5:$B$500,MATCH(1,INDEX(('Lot Balance'!$A$5:$A$500=$F5)*('Lot Balance'!$K$5:$K$500&lt;$AJ5)*('Lot Balance'!$K$5:$K$500+'Lot Balance'!$D$5:$D$500&gt;=$AJ5),0),0)),""))</calculatedColumnFormula>
    </tableColumn>
    <tableColumn id="41" xr3:uid="{D87BBE45-1BA1-43DE-9E63-61453763E244}" name="Lot Check" dataDxfId="67">
      <calculatedColumnFormula>IF($F5="","",IF($AI5&lt;&gt;"",IF(COUNTIFS('Lot Balance'!$A$5:$A$500,$F5,'Lot Balance'!$B$5:$B$500,$AI5)=0,"⚠ override is not a lot of this item",IF($AI5=$AL5,"Override = FEFO","Override - FEFO says "&amp;$AL5)),IF($AL5="","⚠ no receipt on file for this item",IF($AM5&lt;&gt;$AL5,"FEFO auto - split, also "&amp;$AM5,"FEFO auto"))))</calculatedColumnFormula>
    </tableColumn>
    <tableColumn id="35" xr3:uid="{41BA3574-D694-4FDB-847A-76F1A71BFD88}" name="Qty Override" dataDxfId="66"/>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3F31F5-DF93-44A0-8CA2-B770F132D46F}" name="tblLotBalance" displayName="tblLotBalance" ref="A4:Q2000" totalsRowShown="0" headerRowDxfId="51" dataDxfId="49" headerRowBorderDxfId="50" tableBorderDxfId="48" totalsRowBorderDxfId="47">
  <autoFilter ref="A4:Q2000" xr:uid="{853F31F5-DF93-44A0-8CA2-B770F132D46F}"/>
  <tableColumns count="17">
    <tableColumn id="1" xr3:uid="{27AB6EE9-1BD0-46A9-B9DA-98FEFEB14C95}" name="Item Name" dataDxfId="46">
      <calculatedColumnFormula>IF(Receipts!$D5="","",Receipts!$D5)</calculatedColumnFormula>
    </tableColumn>
    <tableColumn id="2" xr3:uid="{C805BF68-25B2-4260-96A5-FDA256AD60D7}" name="Lot Number" dataDxfId="45">
      <calculatedColumnFormula>IF(Receipts!$C5="","",Receipts!$C5)</calculatedColumnFormula>
    </tableColumn>
    <tableColumn id="3" xr3:uid="{EB876A6F-8315-4AC7-8F92-3F487AD60F05}" name="Item Type" dataDxfId="44">
      <calculatedColumnFormula>IF($A5="","",IFERROR(INDEX(Items!$B$5:$B$597,MATCH($A5,Items!$A$5:$A$597,0)),""))</calculatedColumnFormula>
    </tableColumn>
    <tableColumn id="4" xr3:uid="{CFD57BCC-56D4-4ECE-A606-8178110CCCCC}" name="Qty Received" dataDxfId="43">
      <calculatedColumnFormula>IF($A5="","",N(Receipts!$G5))</calculatedColumnFormula>
    </tableColumn>
    <tableColumn id="5" xr3:uid="{BB82AEC1-49CF-48B5-A4CA-D456F7BC2149}" name="Unit Rate" dataDxfId="42">
      <calculatedColumnFormula>IF($A5="","",IFERROR(INDEX(Items!$D$5:$D$597,MATCH($A5,Items!$A$5:$A$597,0)),0))</calculatedColumnFormula>
    </tableColumn>
    <tableColumn id="6" xr3:uid="{2C062E33-922D-4455-BF03-F0C247E3B4D3}" name="Received Value" dataDxfId="41">
      <calculatedColumnFormula>IF($A5="","",$D5*$E5)</calculatedColumnFormula>
    </tableColumn>
    <tableColumn id="7" xr3:uid="{D9D2A4E1-6C42-439E-B046-D962577B39B2}" name="Date Received" dataDxfId="40">
      <calculatedColumnFormula>IF(Receipts!$I5="","",Receipts!$I5)</calculatedColumnFormula>
    </tableColumn>
    <tableColumn id="8" xr3:uid="{54A11268-FBCF-4DC5-8DDD-FF667A0BEAA9}" name="Expiry Date" dataDxfId="39">
      <calculatedColumnFormula>IF(Receipts!$H5="","",Receipts!$H5)</calculatedColumnFormula>
    </tableColumn>
    <tableColumn id="9" xr3:uid="{40370319-B9E8-48D7-801A-3BD68377445D}" name="Days To Expiry" dataDxfId="38">
      <calculatedColumnFormula>IF($H5="","",$H5-TODAY())</calculatedColumnFormula>
    </tableColumn>
    <tableColumn id="10" xr3:uid="{6A7DF798-458E-4B06-85A3-DF98DC94BF2E}" name="FEFO Rank" dataDxfId="37">
      <calculatedColumnFormula>IF($A5="","",COUNTIFS(tblReceipts[Item Name],$A5,tblReceipts[Expiry Date],"&lt;"&amp;$H5)+COUNTIFS(tblReceipts[Item Name],$A5,tblReceipts[Expiry Date],$H5,tblReceipts[Lot Number],"&lt;="&amp;Receipts!$C5))</calculatedColumnFormula>
    </tableColumn>
    <tableColumn id="11" xr3:uid="{3C32C9CD-2A37-4398-8675-15CDA4D2516F}" name="Prior Lots Qty" dataDxfId="36">
      <calculatedColumnFormula>IF($A5="","",SUMIFS(tblReceipts[Qty Received],tblReceipts[Item Name],$A5,tblReceipts[Expiry Date],"&lt;"&amp;$H5)+SUMIFS(tblReceipts[Qty Received],tblReceipts[Item Name],$A5,tblReceipts[Expiry Date],$H5,tblReceipts[Lot Number],"&lt;"&amp;Receipts!$C5))</calculatedColumnFormula>
    </tableColumn>
    <tableColumn id="12" xr3:uid="{E9E00FBB-9F55-4A81-B97E-02309F6D5131}" name="Issued (FEFO)" dataDxfId="35">
      <calculatedColumnFormula>IF($A5="","",MIN($D5,MAX(0,SUMIFS(tblIssues[Qty Issued],tblIssues[Item Name],$A5)-$K5)))</calculatedColumnFormula>
    </tableColumn>
    <tableColumn id="13" xr3:uid="{21851BA9-8777-4E4A-AB8C-4F6F6F50A1C8}" name="Issued (Recorded)" dataDxfId="34">
      <calculatedColumnFormula>IF($A5="","",SUMIFS(tblIssues[Qty Issued],tblIssues[Lot Number],$B5))</calculatedColumnFormula>
    </tableColumn>
    <tableColumn id="14" xr3:uid="{127F56CC-179C-4BB8-8D40-B34F1D348B9A}" name="Variance" dataDxfId="33">
      <calculatedColumnFormula>IF($A5="","",$M5-$L5)</calculatedColumnFormula>
    </tableColumn>
    <tableColumn id="15" xr3:uid="{93D90266-942E-4727-98C7-843325625BFB}" name="Lot Balance" dataDxfId="32">
      <calculatedColumnFormula>IF($A5="","",$D5-$L5)</calculatedColumnFormula>
    </tableColumn>
    <tableColumn id="16" xr3:uid="{40A49036-7E10-451E-BF92-7C6BD23C9EDD}" name="Balance Value" dataDxfId="31">
      <calculatedColumnFormula>IF($A5="","",$O5*$E5)</calculatedColumnFormula>
    </tableColumn>
    <tableColumn id="17" xr3:uid="{DAE10D7B-5FC0-4CEB-AAF9-E5D1D7E6CA13}" name="Status" dataDxfId="30">
      <calculatedColumnFormula>IF($A5="","",IF($O5&lt;=0,"Depleted",IF($I5&lt;0,"EXPIRED",IF($I5&lt;=Settings!$C$6,"CRITICAL",IF($I5&lt;=Settings!$C$5,"Expiring","In date")))))</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43A6B61-4577-4511-BF9C-B4F39A4894DD}">
  <we:reference id="wa200009404" version="1.0.0.8" store="en-US" storeType="OMEX"/>
  <we:alternateReferences>
    <we:reference id="WA200009404" version="1.0.0.8" store="" storeType="OMEX"/>
  </we:alternateReferences>
  <we:properties>
    <we:property name="claude.fileId" value="&quot;f40d2cff-6165-4c1f-8ba6-5a8138ca61e5&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8" Type="http://schemas.openxmlformats.org/officeDocument/2006/relationships/hyperlink" Target="../../../13.%20PUROLATOR/GTA%20SUPPLIES%20BILL%20OF%20LADING/APR%202026" TargetMode="External"/><Relationship Id="rId3" Type="http://schemas.openxmlformats.org/officeDocument/2006/relationships/hyperlink" Target="../../../13.%20PUROLATOR/GTA%20SUPPLIES%20BILL%20OF%20LADING/APR%202026" TargetMode="External"/><Relationship Id="rId7" Type="http://schemas.openxmlformats.org/officeDocument/2006/relationships/hyperlink" Target="../../../13.%20PUROLATOR/GTA%20SUPPLIES%20BILL%20OF%20LADING/APR%202026" TargetMode="External"/><Relationship Id="rId2" Type="http://schemas.openxmlformats.org/officeDocument/2006/relationships/hyperlink" Target="../../../13.%20PUROLATOR/GTA%20SUPPLIES%20BILL%20OF%20LADING/APR%202026" TargetMode="External"/><Relationship Id="rId1" Type="http://schemas.openxmlformats.org/officeDocument/2006/relationships/hyperlink" Target="../../../13.%20PUROLATOR/GTA%20SUPPLIES%20BILL%20OF%20LADING/APR%202026" TargetMode="External"/><Relationship Id="rId6" Type="http://schemas.openxmlformats.org/officeDocument/2006/relationships/hyperlink" Target="../../../13.%20PUROLATOR/GTA%20SUPPLIES%20BILL%20OF%20LADING/APR%202026" TargetMode="External"/><Relationship Id="rId5" Type="http://schemas.openxmlformats.org/officeDocument/2006/relationships/hyperlink" Target="../../../13.%20PUROLATOR/GTA%20SUPPLIES%20BILL%20OF%20LADING/APR%202026" TargetMode="External"/><Relationship Id="rId10" Type="http://schemas.openxmlformats.org/officeDocument/2006/relationships/table" Target="../tables/table2.xml"/><Relationship Id="rId4" Type="http://schemas.openxmlformats.org/officeDocument/2006/relationships/hyperlink" Target="../../../13.%20PUROLATOR/GTA%20SUPPLIES%20BILL%20OF%20LADING/APR%202026" TargetMode="External"/><Relationship Id="rId9" Type="http://schemas.openxmlformats.org/officeDocument/2006/relationships/hyperlink" Target="../../../13.%20PUROLATOR/GTA%20SUPPLIES%20BILL%20OF%20LADING/APR%202026"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B7280"/>
  </sheetPr>
  <dimension ref="B2:C62"/>
  <sheetViews>
    <sheetView showGridLines="0" zoomScaleNormal="100" workbookViewId="0"/>
  </sheetViews>
  <sheetFormatPr defaultColWidth="8.54296875" defaultRowHeight="14.5" x14ac:dyDescent="0.35"/>
  <cols>
    <col min="1" max="1" width="3" customWidth="1"/>
    <col min="2" max="2" width="34" customWidth="1"/>
    <col min="3" max="3" width="88" customWidth="1"/>
  </cols>
  <sheetData>
    <row r="2" spans="2:3" ht="25.5" customHeight="1" x14ac:dyDescent="0.45">
      <c r="B2" s="120" t="s">
        <v>0</v>
      </c>
      <c r="C2" s="120"/>
    </row>
    <row r="3" spans="2:3" x14ac:dyDescent="0.35">
      <c r="B3" s="121" t="s">
        <v>1</v>
      </c>
      <c r="C3" s="121"/>
    </row>
    <row r="5" spans="2:3" ht="19.5" customHeight="1" x14ac:dyDescent="0.35">
      <c r="B5" s="119" t="s">
        <v>2</v>
      </c>
      <c r="C5" s="119"/>
    </row>
    <row r="6" spans="2:3" ht="39" customHeight="1" x14ac:dyDescent="0.35">
      <c r="B6" s="1" t="s">
        <v>3</v>
      </c>
      <c r="C6" s="2" t="s">
        <v>4</v>
      </c>
    </row>
    <row r="7" spans="2:3" ht="39" customHeight="1" x14ac:dyDescent="0.35">
      <c r="B7" s="1" t="s">
        <v>5</v>
      </c>
      <c r="C7" s="2" t="s">
        <v>6</v>
      </c>
    </row>
    <row r="8" spans="2:3" ht="25.5" customHeight="1" x14ac:dyDescent="0.35">
      <c r="B8" s="1" t="s">
        <v>7</v>
      </c>
      <c r="C8" s="2" t="s">
        <v>8</v>
      </c>
    </row>
    <row r="9" spans="2:3" ht="25.5" customHeight="1" x14ac:dyDescent="0.35">
      <c r="B9" s="1" t="s">
        <v>9</v>
      </c>
      <c r="C9" s="2" t="s">
        <v>10</v>
      </c>
    </row>
    <row r="11" spans="2:3" ht="19.5" customHeight="1" x14ac:dyDescent="0.35">
      <c r="B11" s="119" t="s">
        <v>11</v>
      </c>
      <c r="C11" s="119"/>
    </row>
    <row r="12" spans="2:3" ht="12.75" customHeight="1" x14ac:dyDescent="0.35">
      <c r="B12" s="1" t="s">
        <v>12</v>
      </c>
      <c r="C12" s="2" t="s">
        <v>13</v>
      </c>
    </row>
    <row r="13" spans="2:3" ht="12.75" customHeight="1" x14ac:dyDescent="0.35">
      <c r="B13" s="1" t="s">
        <v>14</v>
      </c>
      <c r="C13" s="2" t="s">
        <v>15</v>
      </c>
    </row>
    <row r="14" spans="2:3" ht="12.75" customHeight="1" x14ac:dyDescent="0.35">
      <c r="B14" s="1" t="s">
        <v>16</v>
      </c>
      <c r="C14" s="2" t="s">
        <v>17</v>
      </c>
    </row>
    <row r="15" spans="2:3" ht="12.75" customHeight="1" x14ac:dyDescent="0.35">
      <c r="B15" s="1" t="s">
        <v>18</v>
      </c>
      <c r="C15" s="2" t="s">
        <v>19</v>
      </c>
    </row>
    <row r="17" spans="2:3" ht="19.5" customHeight="1" x14ac:dyDescent="0.35">
      <c r="B17" s="119" t="s">
        <v>20</v>
      </c>
      <c r="C17" s="119"/>
    </row>
    <row r="18" spans="2:3" ht="25.5" customHeight="1" x14ac:dyDescent="0.35">
      <c r="B18" s="1" t="s">
        <v>21</v>
      </c>
      <c r="C18" s="2" t="s">
        <v>22</v>
      </c>
    </row>
    <row r="19" spans="2:3" ht="25.5" customHeight="1" x14ac:dyDescent="0.35">
      <c r="B19" s="1" t="s">
        <v>23</v>
      </c>
      <c r="C19" s="2" t="s">
        <v>24</v>
      </c>
    </row>
    <row r="20" spans="2:3" ht="12.75" customHeight="1" x14ac:dyDescent="0.35">
      <c r="B20" s="1" t="s">
        <v>25</v>
      </c>
      <c r="C20" s="2" t="s">
        <v>26</v>
      </c>
    </row>
    <row r="21" spans="2:3" ht="12.75" customHeight="1" x14ac:dyDescent="0.35">
      <c r="B21" s="1" t="s">
        <v>27</v>
      </c>
      <c r="C21" s="2" t="s">
        <v>28</v>
      </c>
    </row>
    <row r="22" spans="2:3" ht="12.75" customHeight="1" x14ac:dyDescent="0.35">
      <c r="B22" s="1" t="s">
        <v>29</v>
      </c>
      <c r="C22" s="2" t="s">
        <v>30</v>
      </c>
    </row>
    <row r="23" spans="2:3" ht="12.75" customHeight="1" x14ac:dyDescent="0.35">
      <c r="B23" s="1" t="s">
        <v>31</v>
      </c>
      <c r="C23" s="2" t="s">
        <v>32</v>
      </c>
    </row>
    <row r="24" spans="2:3" ht="12.75" customHeight="1" x14ac:dyDescent="0.35">
      <c r="B24" s="1" t="s">
        <v>33</v>
      </c>
      <c r="C24" s="2" t="s">
        <v>34</v>
      </c>
    </row>
    <row r="25" spans="2:3" ht="25.5" customHeight="1" x14ac:dyDescent="0.35">
      <c r="B25" s="1" t="s">
        <v>35</v>
      </c>
      <c r="C25" s="2" t="s">
        <v>36</v>
      </c>
    </row>
    <row r="26" spans="2:3" ht="25.5" customHeight="1" x14ac:dyDescent="0.35">
      <c r="B26" s="1" t="s">
        <v>37</v>
      </c>
      <c r="C26" s="2" t="s">
        <v>38</v>
      </c>
    </row>
    <row r="27" spans="2:3" ht="12.75" customHeight="1" x14ac:dyDescent="0.35">
      <c r="B27" s="1" t="s">
        <v>39</v>
      </c>
      <c r="C27" s="2" t="s">
        <v>40</v>
      </c>
    </row>
    <row r="28" spans="2:3" ht="12.75" customHeight="1" x14ac:dyDescent="0.35">
      <c r="B28" s="1" t="s">
        <v>41</v>
      </c>
      <c r="C28" s="2" t="s">
        <v>42</v>
      </c>
    </row>
    <row r="29" spans="2:3" ht="12.75" customHeight="1" x14ac:dyDescent="0.35">
      <c r="B29" s="1" t="s">
        <v>638</v>
      </c>
      <c r="C29" s="2" t="s">
        <v>639</v>
      </c>
    </row>
    <row r="30" spans="2:3" ht="12.75" customHeight="1" x14ac:dyDescent="0.35">
      <c r="B30" s="1" t="s">
        <v>43</v>
      </c>
      <c r="C30" s="2" t="s">
        <v>44</v>
      </c>
    </row>
    <row r="31" spans="2:3" ht="12.75" customHeight="1" x14ac:dyDescent="0.35">
      <c r="B31" s="1" t="s">
        <v>45</v>
      </c>
      <c r="C31" s="2" t="s">
        <v>46</v>
      </c>
    </row>
    <row r="32" spans="2:3" ht="12.75" customHeight="1" x14ac:dyDescent="0.35">
      <c r="B32" s="1" t="s">
        <v>47</v>
      </c>
      <c r="C32" s="2" t="s">
        <v>48</v>
      </c>
    </row>
    <row r="33" spans="2:3" ht="12.75" customHeight="1" x14ac:dyDescent="0.35">
      <c r="B33" s="1" t="s">
        <v>49</v>
      </c>
      <c r="C33" s="2" t="s">
        <v>50</v>
      </c>
    </row>
    <row r="34" spans="2:3" x14ac:dyDescent="0.35">
      <c r="B34" s="1" t="s">
        <v>51</v>
      </c>
      <c r="C34" s="2" t="s">
        <v>52</v>
      </c>
    </row>
    <row r="35" spans="2:3" ht="19.5" customHeight="1" x14ac:dyDescent="0.35"/>
    <row r="36" spans="2:3" ht="25.5" customHeight="1" x14ac:dyDescent="0.35">
      <c r="B36" s="119" t="s">
        <v>53</v>
      </c>
      <c r="C36" s="119"/>
    </row>
    <row r="37" spans="2:3" ht="25.5" customHeight="1" x14ac:dyDescent="0.35">
      <c r="B37" s="1" t="s">
        <v>54</v>
      </c>
      <c r="C37" s="2" t="s">
        <v>55</v>
      </c>
    </row>
    <row r="38" spans="2:3" ht="25.5" customHeight="1" x14ac:dyDescent="0.35">
      <c r="B38" s="1" t="s">
        <v>56</v>
      </c>
      <c r="C38" s="2" t="s">
        <v>57</v>
      </c>
    </row>
    <row r="39" spans="2:3" ht="25.5" customHeight="1" x14ac:dyDescent="0.35">
      <c r="B39" s="1" t="s">
        <v>58</v>
      </c>
      <c r="C39" s="2" t="s">
        <v>59</v>
      </c>
    </row>
    <row r="40" spans="2:3" ht="23" x14ac:dyDescent="0.35">
      <c r="B40" s="1" t="s">
        <v>60</v>
      </c>
      <c r="C40" s="2" t="s">
        <v>61</v>
      </c>
    </row>
    <row r="41" spans="2:3" ht="19.5" customHeight="1" x14ac:dyDescent="0.35"/>
    <row r="42" spans="2:3" ht="25.5" customHeight="1" x14ac:dyDescent="0.35">
      <c r="B42" s="119" t="s">
        <v>62</v>
      </c>
      <c r="C42" s="119"/>
    </row>
    <row r="43" spans="2:3" ht="25.5" customHeight="1" x14ac:dyDescent="0.35">
      <c r="B43" s="1" t="s">
        <v>63</v>
      </c>
      <c r="C43" s="2" t="s">
        <v>1232</v>
      </c>
    </row>
    <row r="44" spans="2:3" ht="25.5" customHeight="1" x14ac:dyDescent="0.35">
      <c r="B44" s="1" t="s">
        <v>64</v>
      </c>
      <c r="C44" s="2" t="s">
        <v>65</v>
      </c>
    </row>
    <row r="45" spans="2:3" ht="23" x14ac:dyDescent="0.35">
      <c r="B45" s="1" t="s">
        <v>66</v>
      </c>
      <c r="C45" s="2" t="s">
        <v>67</v>
      </c>
    </row>
    <row r="46" spans="2:3" ht="19.5" customHeight="1" x14ac:dyDescent="0.35"/>
    <row r="47" spans="2:3" ht="25.5" customHeight="1" x14ac:dyDescent="0.35">
      <c r="B47" s="119" t="s">
        <v>68</v>
      </c>
      <c r="C47" s="119"/>
    </row>
    <row r="48" spans="2:3" ht="12.75" customHeight="1" x14ac:dyDescent="0.35">
      <c r="B48" s="1" t="s">
        <v>1203</v>
      </c>
      <c r="C48" s="2" t="s">
        <v>1204</v>
      </c>
    </row>
    <row r="49" spans="2:3" ht="34.5" x14ac:dyDescent="0.35">
      <c r="B49" s="1" t="s">
        <v>1205</v>
      </c>
      <c r="C49" s="2" t="s">
        <v>1206</v>
      </c>
    </row>
    <row r="50" spans="2:3" x14ac:dyDescent="0.35">
      <c r="B50" s="47" t="s">
        <v>611</v>
      </c>
    </row>
    <row r="51" spans="2:3" x14ac:dyDescent="0.35">
      <c r="B51" s="48" t="s">
        <v>612</v>
      </c>
      <c r="C51" s="48" t="s">
        <v>613</v>
      </c>
    </row>
    <row r="52" spans="2:3" x14ac:dyDescent="0.35">
      <c r="B52" s="48" t="s">
        <v>614</v>
      </c>
      <c r="C52" s="48" t="s">
        <v>767</v>
      </c>
    </row>
    <row r="53" spans="2:3" x14ac:dyDescent="0.35">
      <c r="B53" s="48" t="s">
        <v>617</v>
      </c>
      <c r="C53" s="48" t="s">
        <v>618</v>
      </c>
    </row>
    <row r="54" spans="2:3" x14ac:dyDescent="0.35">
      <c r="B54" s="48" t="s">
        <v>636</v>
      </c>
      <c r="C54" s="48" t="s">
        <v>637</v>
      </c>
    </row>
    <row r="55" spans="2:3" x14ac:dyDescent="0.35">
      <c r="B55" s="48" t="s">
        <v>645</v>
      </c>
      <c r="C55" s="48" t="s">
        <v>646</v>
      </c>
    </row>
    <row r="56" spans="2:3" x14ac:dyDescent="0.35">
      <c r="B56" s="48" t="s">
        <v>647</v>
      </c>
      <c r="C56" s="48" t="s">
        <v>648</v>
      </c>
    </row>
    <row r="57" spans="2:3" x14ac:dyDescent="0.35">
      <c r="B57" s="48" t="s">
        <v>663</v>
      </c>
      <c r="C57" s="48" t="s">
        <v>768</v>
      </c>
    </row>
    <row r="58" spans="2:3" x14ac:dyDescent="0.35">
      <c r="B58" s="67" t="s">
        <v>733</v>
      </c>
      <c r="C58" s="48" t="s">
        <v>1233</v>
      </c>
    </row>
    <row r="59" spans="2:3" x14ac:dyDescent="0.35">
      <c r="B59" s="67" t="s">
        <v>725</v>
      </c>
      <c r="C59" s="48" t="s">
        <v>1234</v>
      </c>
    </row>
    <row r="60" spans="2:3" x14ac:dyDescent="0.35">
      <c r="B60" s="48" t="s">
        <v>706</v>
      </c>
      <c r="C60" s="48" t="s">
        <v>735</v>
      </c>
    </row>
    <row r="61" spans="2:3" x14ac:dyDescent="0.35">
      <c r="B61" s="48" t="s">
        <v>734</v>
      </c>
      <c r="C61" s="48" t="s">
        <v>1235</v>
      </c>
    </row>
    <row r="62" spans="2:3" x14ac:dyDescent="0.35">
      <c r="B62" s="48" t="s">
        <v>1236</v>
      </c>
      <c r="C62" s="48" t="s">
        <v>1237</v>
      </c>
    </row>
  </sheetData>
  <mergeCells count="8">
    <mergeCell ref="B36:C36"/>
    <mergeCell ref="B42:C42"/>
    <mergeCell ref="B47:C47"/>
    <mergeCell ref="B2:C2"/>
    <mergeCell ref="B3:C3"/>
    <mergeCell ref="B5:C5"/>
    <mergeCell ref="B11:C11"/>
    <mergeCell ref="B17:C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568A-D05D-4E91-8969-14D9E0C30653}">
  <dimension ref="A1:E69"/>
  <sheetViews>
    <sheetView tabSelected="1" workbookViewId="0">
      <pane ySplit="4" topLeftCell="A61" activePane="bottomLeft" state="frozen"/>
      <selection pane="bottomLeft" activeCell="B73" sqref="B73"/>
    </sheetView>
  </sheetViews>
  <sheetFormatPr defaultRowHeight="14.5" x14ac:dyDescent="0.35"/>
  <cols>
    <col min="1" max="1" width="12.7265625" customWidth="1"/>
    <col min="2" max="2" width="23.54296875" customWidth="1"/>
    <col min="3" max="3" width="32.7265625" customWidth="1"/>
    <col min="4" max="4" width="76.453125" customWidth="1"/>
    <col min="5" max="5" width="11.81640625" customWidth="1"/>
  </cols>
  <sheetData>
    <row r="1" spans="1:5" ht="18" x14ac:dyDescent="0.4">
      <c r="A1" s="68" t="s">
        <v>611</v>
      </c>
    </row>
    <row r="2" spans="1:5" x14ac:dyDescent="0.35">
      <c r="A2" s="69" t="s">
        <v>1244</v>
      </c>
    </row>
    <row r="4" spans="1:5" x14ac:dyDescent="0.35">
      <c r="A4" s="50" t="s">
        <v>349</v>
      </c>
      <c r="B4" s="50" t="s">
        <v>669</v>
      </c>
      <c r="C4" s="50" t="s">
        <v>670</v>
      </c>
      <c r="D4" s="50" t="s">
        <v>671</v>
      </c>
      <c r="E4" s="50" t="s">
        <v>500</v>
      </c>
    </row>
    <row r="5" spans="1:5" ht="30" customHeight="1" x14ac:dyDescent="0.35">
      <c r="A5" s="70">
        <v>46229</v>
      </c>
      <c r="B5" s="71" t="s">
        <v>25</v>
      </c>
      <c r="C5" s="71" t="s">
        <v>612</v>
      </c>
      <c r="D5" s="71" t="s">
        <v>1218</v>
      </c>
      <c r="E5" s="72" t="s">
        <v>672</v>
      </c>
    </row>
    <row r="6" spans="1:5" ht="30" customHeight="1" x14ac:dyDescent="0.35">
      <c r="A6" s="70">
        <v>46229</v>
      </c>
      <c r="B6" s="71" t="s">
        <v>33</v>
      </c>
      <c r="C6" s="71" t="s">
        <v>673</v>
      </c>
      <c r="D6" s="71" t="s">
        <v>674</v>
      </c>
      <c r="E6" s="72" t="s">
        <v>672</v>
      </c>
    </row>
    <row r="7" spans="1:5" ht="30" customHeight="1" x14ac:dyDescent="0.35">
      <c r="A7" s="70">
        <v>46229</v>
      </c>
      <c r="B7" s="71" t="s">
        <v>25</v>
      </c>
      <c r="C7" s="71" t="s">
        <v>614</v>
      </c>
      <c r="D7" s="71" t="s">
        <v>763</v>
      </c>
      <c r="E7" s="72" t="s">
        <v>672</v>
      </c>
    </row>
    <row r="8" spans="1:5" ht="30" customHeight="1" x14ac:dyDescent="0.35">
      <c r="A8" s="70">
        <v>46229</v>
      </c>
      <c r="B8" s="71" t="s">
        <v>25</v>
      </c>
      <c r="C8" s="71" t="s">
        <v>675</v>
      </c>
      <c r="D8" s="71" t="s">
        <v>1225</v>
      </c>
      <c r="E8" s="72" t="s">
        <v>708</v>
      </c>
    </row>
    <row r="9" spans="1:5" ht="30" customHeight="1" x14ac:dyDescent="0.35">
      <c r="A9" s="70">
        <v>46229</v>
      </c>
      <c r="B9" s="71" t="s">
        <v>33</v>
      </c>
      <c r="C9" s="71" t="s">
        <v>676</v>
      </c>
      <c r="D9" s="71" t="s">
        <v>677</v>
      </c>
      <c r="E9" s="72" t="s">
        <v>672</v>
      </c>
    </row>
    <row r="10" spans="1:5" ht="30" customHeight="1" x14ac:dyDescent="0.35">
      <c r="A10" s="70">
        <v>46229</v>
      </c>
      <c r="B10" s="71" t="s">
        <v>21</v>
      </c>
      <c r="C10" s="71" t="s">
        <v>678</v>
      </c>
      <c r="D10" s="71" t="s">
        <v>679</v>
      </c>
      <c r="E10" s="72" t="s">
        <v>672</v>
      </c>
    </row>
    <row r="11" spans="1:5" ht="30" customHeight="1" x14ac:dyDescent="0.35">
      <c r="A11" s="70">
        <v>46229</v>
      </c>
      <c r="B11" s="71" t="s">
        <v>33</v>
      </c>
      <c r="C11" s="71" t="s">
        <v>680</v>
      </c>
      <c r="D11" s="71" t="s">
        <v>681</v>
      </c>
      <c r="E11" s="72" t="s">
        <v>672</v>
      </c>
    </row>
    <row r="12" spans="1:5" ht="30" customHeight="1" x14ac:dyDescent="0.35">
      <c r="A12" s="70">
        <v>46229</v>
      </c>
      <c r="B12" s="71" t="s">
        <v>638</v>
      </c>
      <c r="C12" s="71" t="s">
        <v>682</v>
      </c>
      <c r="D12" s="71" t="s">
        <v>683</v>
      </c>
      <c r="E12" s="72" t="s">
        <v>672</v>
      </c>
    </row>
    <row r="13" spans="1:5" ht="30" customHeight="1" x14ac:dyDescent="0.35">
      <c r="A13" s="70">
        <v>46229</v>
      </c>
      <c r="B13" s="71" t="s">
        <v>47</v>
      </c>
      <c r="C13" s="71" t="s">
        <v>684</v>
      </c>
      <c r="D13" s="71" t="s">
        <v>685</v>
      </c>
      <c r="E13" s="72" t="s">
        <v>672</v>
      </c>
    </row>
    <row r="14" spans="1:5" ht="30" customHeight="1" x14ac:dyDescent="0.35">
      <c r="A14" s="70">
        <v>46229</v>
      </c>
      <c r="B14" s="71" t="s">
        <v>33</v>
      </c>
      <c r="C14" s="71" t="s">
        <v>686</v>
      </c>
      <c r="D14" s="71" t="s">
        <v>687</v>
      </c>
      <c r="E14" s="72" t="s">
        <v>672</v>
      </c>
    </row>
    <row r="15" spans="1:5" ht="30" customHeight="1" x14ac:dyDescent="0.35">
      <c r="A15" s="70">
        <v>46229</v>
      </c>
      <c r="B15" s="71" t="s">
        <v>33</v>
      </c>
      <c r="C15" s="71" t="s">
        <v>688</v>
      </c>
      <c r="D15" s="71" t="s">
        <v>689</v>
      </c>
      <c r="E15" s="72" t="s">
        <v>672</v>
      </c>
    </row>
    <row r="16" spans="1:5" ht="30" customHeight="1" x14ac:dyDescent="0.35">
      <c r="A16" s="70">
        <v>46229</v>
      </c>
      <c r="B16" s="71" t="s">
        <v>21</v>
      </c>
      <c r="C16" s="71" t="s">
        <v>690</v>
      </c>
      <c r="D16" s="71" t="s">
        <v>691</v>
      </c>
      <c r="E16" s="72" t="s">
        <v>672</v>
      </c>
    </row>
    <row r="17" spans="1:5" ht="30" customHeight="1" x14ac:dyDescent="0.35">
      <c r="A17" s="70">
        <v>46229</v>
      </c>
      <c r="B17" s="71" t="s">
        <v>33</v>
      </c>
      <c r="C17" s="71" t="s">
        <v>692</v>
      </c>
      <c r="D17" s="71" t="s">
        <v>693</v>
      </c>
      <c r="E17" s="72" t="s">
        <v>672</v>
      </c>
    </row>
    <row r="18" spans="1:5" ht="30" customHeight="1" x14ac:dyDescent="0.35">
      <c r="A18" s="70">
        <v>46229</v>
      </c>
      <c r="B18" s="71" t="s">
        <v>33</v>
      </c>
      <c r="C18" s="71" t="s">
        <v>694</v>
      </c>
      <c r="D18" s="71" t="s">
        <v>695</v>
      </c>
      <c r="E18" s="72" t="s">
        <v>672</v>
      </c>
    </row>
    <row r="19" spans="1:5" ht="30" customHeight="1" x14ac:dyDescent="0.35">
      <c r="A19" s="70">
        <v>46229</v>
      </c>
      <c r="B19" s="71" t="s">
        <v>33</v>
      </c>
      <c r="C19" s="71" t="s">
        <v>696</v>
      </c>
      <c r="D19" s="71" t="s">
        <v>764</v>
      </c>
      <c r="E19" s="72" t="s">
        <v>672</v>
      </c>
    </row>
    <row r="20" spans="1:5" ht="30" customHeight="1" x14ac:dyDescent="0.35">
      <c r="A20" s="70">
        <v>46229</v>
      </c>
      <c r="B20" s="71" t="s">
        <v>33</v>
      </c>
      <c r="C20" s="71" t="s">
        <v>712</v>
      </c>
      <c r="D20" s="71" t="s">
        <v>713</v>
      </c>
      <c r="E20" s="72" t="s">
        <v>708</v>
      </c>
    </row>
    <row r="21" spans="1:5" ht="30" customHeight="1" x14ac:dyDescent="0.35">
      <c r="A21" s="70">
        <v>46229</v>
      </c>
      <c r="B21" s="71" t="s">
        <v>697</v>
      </c>
      <c r="C21" s="71" t="s">
        <v>698</v>
      </c>
      <c r="D21" s="71" t="s">
        <v>699</v>
      </c>
      <c r="E21" s="72" t="s">
        <v>672</v>
      </c>
    </row>
    <row r="22" spans="1:5" ht="30" customHeight="1" x14ac:dyDescent="0.35">
      <c r="A22" s="70">
        <v>46229</v>
      </c>
      <c r="B22" s="71" t="s">
        <v>700</v>
      </c>
      <c r="C22" s="71" t="s">
        <v>701</v>
      </c>
      <c r="D22" s="71" t="s">
        <v>702</v>
      </c>
      <c r="E22" s="72" t="s">
        <v>672</v>
      </c>
    </row>
    <row r="23" spans="1:5" ht="30" customHeight="1" x14ac:dyDescent="0.35">
      <c r="A23" s="70">
        <v>46229</v>
      </c>
      <c r="B23" s="71" t="s">
        <v>703</v>
      </c>
      <c r="C23" s="71" t="s">
        <v>714</v>
      </c>
      <c r="D23" s="71" t="s">
        <v>715</v>
      </c>
      <c r="E23" s="72" t="s">
        <v>672</v>
      </c>
    </row>
    <row r="24" spans="1:5" ht="30" customHeight="1" x14ac:dyDescent="0.35">
      <c r="A24" s="70">
        <v>46229</v>
      </c>
      <c r="B24" s="71" t="s">
        <v>703</v>
      </c>
      <c r="C24" s="71" t="s">
        <v>704</v>
      </c>
      <c r="D24" s="71" t="s">
        <v>705</v>
      </c>
      <c r="E24" s="72" t="s">
        <v>672</v>
      </c>
    </row>
    <row r="25" spans="1:5" ht="34.5" x14ac:dyDescent="0.35">
      <c r="A25" s="70">
        <v>46229</v>
      </c>
      <c r="B25" s="71" t="s">
        <v>25</v>
      </c>
      <c r="C25" s="71" t="s">
        <v>707</v>
      </c>
      <c r="D25" s="71" t="s">
        <v>1226</v>
      </c>
      <c r="E25" s="72" t="s">
        <v>672</v>
      </c>
    </row>
    <row r="26" spans="1:5" ht="34.5" x14ac:dyDescent="0.35">
      <c r="A26" s="70">
        <v>46229</v>
      </c>
      <c r="B26" s="71" t="s">
        <v>43</v>
      </c>
      <c r="C26" s="71" t="s">
        <v>709</v>
      </c>
      <c r="D26" s="71" t="s">
        <v>710</v>
      </c>
      <c r="E26" s="72" t="s">
        <v>672</v>
      </c>
    </row>
    <row r="27" spans="1:5" ht="23" x14ac:dyDescent="0.35">
      <c r="A27" s="70">
        <v>46229</v>
      </c>
      <c r="B27" s="71" t="s">
        <v>33</v>
      </c>
      <c r="C27" s="71" t="s">
        <v>716</v>
      </c>
      <c r="D27" s="71" t="s">
        <v>765</v>
      </c>
      <c r="E27" s="72" t="s">
        <v>672</v>
      </c>
    </row>
    <row r="28" spans="1:5" ht="57.5" x14ac:dyDescent="0.35">
      <c r="A28" s="70">
        <v>46229</v>
      </c>
      <c r="B28" s="71" t="s">
        <v>33</v>
      </c>
      <c r="C28" s="71" t="s">
        <v>717</v>
      </c>
      <c r="D28" s="71" t="s">
        <v>718</v>
      </c>
      <c r="E28" s="72" t="s">
        <v>672</v>
      </c>
    </row>
    <row r="29" spans="1:5" ht="46" x14ac:dyDescent="0.35">
      <c r="A29" s="70">
        <v>46229</v>
      </c>
      <c r="B29" s="71" t="s">
        <v>719</v>
      </c>
      <c r="C29" s="71" t="s">
        <v>720</v>
      </c>
      <c r="D29" s="71" t="s">
        <v>721</v>
      </c>
      <c r="E29" s="72" t="s">
        <v>672</v>
      </c>
    </row>
    <row r="30" spans="1:5" ht="23" x14ac:dyDescent="0.35">
      <c r="A30" s="70">
        <v>46229</v>
      </c>
      <c r="B30" s="71" t="s">
        <v>722</v>
      </c>
      <c r="C30" s="71" t="s">
        <v>723</v>
      </c>
      <c r="D30" s="71" t="s">
        <v>724</v>
      </c>
      <c r="E30" s="72" t="s">
        <v>672</v>
      </c>
    </row>
    <row r="31" spans="1:5" ht="57.5" x14ac:dyDescent="0.35">
      <c r="A31" s="70">
        <v>46229</v>
      </c>
      <c r="B31" s="71" t="s">
        <v>726</v>
      </c>
      <c r="C31" s="71" t="s">
        <v>727</v>
      </c>
      <c r="D31" s="71" t="s">
        <v>728</v>
      </c>
      <c r="E31" s="72" t="s">
        <v>672</v>
      </c>
    </row>
    <row r="32" spans="1:5" ht="57.5" x14ac:dyDescent="0.35">
      <c r="A32" s="70">
        <v>46229</v>
      </c>
      <c r="B32" s="71" t="s">
        <v>729</v>
      </c>
      <c r="C32" s="71" t="s">
        <v>730</v>
      </c>
      <c r="D32" s="71" t="s">
        <v>731</v>
      </c>
      <c r="E32" s="72" t="s">
        <v>732</v>
      </c>
    </row>
    <row r="33" spans="1:5" ht="57.5" x14ac:dyDescent="0.35">
      <c r="A33" s="70">
        <v>46229</v>
      </c>
      <c r="B33" s="71" t="s">
        <v>736</v>
      </c>
      <c r="C33" s="71" t="s">
        <v>737</v>
      </c>
      <c r="D33" s="71" t="s">
        <v>766</v>
      </c>
      <c r="E33" s="72" t="s">
        <v>672</v>
      </c>
    </row>
    <row r="34" spans="1:5" ht="92" x14ac:dyDescent="0.35">
      <c r="A34" s="70">
        <v>46229</v>
      </c>
      <c r="B34" s="71" t="s">
        <v>738</v>
      </c>
      <c r="C34" s="71" t="s">
        <v>739</v>
      </c>
      <c r="D34" s="71" t="s">
        <v>740</v>
      </c>
      <c r="E34" s="72" t="s">
        <v>672</v>
      </c>
    </row>
    <row r="35" spans="1:5" ht="69" x14ac:dyDescent="0.35">
      <c r="A35" s="70">
        <v>46231</v>
      </c>
      <c r="B35" s="71" t="s">
        <v>778</v>
      </c>
      <c r="C35" s="71" t="s">
        <v>779</v>
      </c>
      <c r="D35" s="71" t="s">
        <v>780</v>
      </c>
      <c r="E35" s="72" t="s">
        <v>672</v>
      </c>
    </row>
    <row r="36" spans="1:5" ht="57.5" x14ac:dyDescent="0.35">
      <c r="A36" s="70">
        <v>46231</v>
      </c>
      <c r="B36" s="71" t="s">
        <v>23</v>
      </c>
      <c r="C36" s="71" t="s">
        <v>781</v>
      </c>
      <c r="D36" s="71" t="s">
        <v>782</v>
      </c>
      <c r="E36" s="72" t="s">
        <v>672</v>
      </c>
    </row>
    <row r="37" spans="1:5" ht="46" x14ac:dyDescent="0.35">
      <c r="A37" s="70">
        <v>46231</v>
      </c>
      <c r="B37" s="71" t="s">
        <v>783</v>
      </c>
      <c r="C37" s="71" t="s">
        <v>784</v>
      </c>
      <c r="D37" s="71" t="s">
        <v>785</v>
      </c>
      <c r="E37" s="72" t="s">
        <v>672</v>
      </c>
    </row>
    <row r="38" spans="1:5" ht="57.5" x14ac:dyDescent="0.35">
      <c r="A38" s="70">
        <v>46231</v>
      </c>
      <c r="B38" s="71" t="s">
        <v>786</v>
      </c>
      <c r="C38" s="71" t="s">
        <v>787</v>
      </c>
      <c r="D38" s="71" t="s">
        <v>788</v>
      </c>
      <c r="E38" s="72" t="s">
        <v>672</v>
      </c>
    </row>
    <row r="39" spans="1:5" ht="57.5" x14ac:dyDescent="0.35">
      <c r="A39" s="70">
        <v>46231</v>
      </c>
      <c r="B39" s="71" t="s">
        <v>789</v>
      </c>
      <c r="C39" s="71" t="s">
        <v>790</v>
      </c>
      <c r="D39" s="71" t="s">
        <v>791</v>
      </c>
      <c r="E39" s="72" t="s">
        <v>672</v>
      </c>
    </row>
    <row r="40" spans="1:5" ht="80.5" x14ac:dyDescent="0.35">
      <c r="A40" s="70">
        <v>46231</v>
      </c>
      <c r="B40" s="71" t="s">
        <v>778</v>
      </c>
      <c r="C40" s="71" t="s">
        <v>792</v>
      </c>
      <c r="D40" s="71" t="s">
        <v>1207</v>
      </c>
      <c r="E40" s="72" t="s">
        <v>672</v>
      </c>
    </row>
    <row r="41" spans="1:5" ht="34.5" x14ac:dyDescent="0.35">
      <c r="A41" s="70">
        <v>46231</v>
      </c>
      <c r="B41" s="71" t="s">
        <v>793</v>
      </c>
      <c r="C41" s="71" t="s">
        <v>794</v>
      </c>
      <c r="D41" s="71" t="s">
        <v>795</v>
      </c>
      <c r="E41" s="72" t="s">
        <v>672</v>
      </c>
    </row>
    <row r="42" spans="1:5" ht="80.5" x14ac:dyDescent="0.35">
      <c r="A42" s="70">
        <v>46231</v>
      </c>
      <c r="B42" s="71" t="s">
        <v>796</v>
      </c>
      <c r="C42" s="71" t="s">
        <v>797</v>
      </c>
      <c r="D42" s="71" t="s">
        <v>798</v>
      </c>
      <c r="E42" s="72" t="s">
        <v>672</v>
      </c>
    </row>
    <row r="43" spans="1:5" ht="103.5" x14ac:dyDescent="0.35">
      <c r="A43" s="70">
        <v>46231</v>
      </c>
      <c r="B43" s="71" t="s">
        <v>33</v>
      </c>
      <c r="C43" s="71" t="s">
        <v>799</v>
      </c>
      <c r="D43" s="71" t="s">
        <v>800</v>
      </c>
      <c r="E43" s="72" t="s">
        <v>672</v>
      </c>
    </row>
    <row r="44" spans="1:5" ht="46" x14ac:dyDescent="0.35">
      <c r="A44" s="70">
        <v>46231</v>
      </c>
      <c r="B44" s="71" t="s">
        <v>33</v>
      </c>
      <c r="C44" s="71" t="s">
        <v>801</v>
      </c>
      <c r="D44" s="71" t="s">
        <v>802</v>
      </c>
      <c r="E44" s="104" t="s">
        <v>732</v>
      </c>
    </row>
    <row r="45" spans="1:5" ht="57.5" x14ac:dyDescent="0.35">
      <c r="A45" s="70">
        <v>46231</v>
      </c>
      <c r="B45" s="71" t="s">
        <v>33</v>
      </c>
      <c r="C45" s="71" t="s">
        <v>803</v>
      </c>
      <c r="D45" s="71" t="s">
        <v>804</v>
      </c>
      <c r="E45" s="104" t="s">
        <v>732</v>
      </c>
    </row>
    <row r="46" spans="1:5" ht="34.5" x14ac:dyDescent="0.35">
      <c r="A46" s="70">
        <v>46231</v>
      </c>
      <c r="B46" s="71" t="s">
        <v>805</v>
      </c>
      <c r="C46" s="71" t="s">
        <v>806</v>
      </c>
      <c r="D46" s="71" t="s">
        <v>807</v>
      </c>
      <c r="E46" s="104" t="s">
        <v>732</v>
      </c>
    </row>
    <row r="47" spans="1:5" ht="69" x14ac:dyDescent="0.35">
      <c r="A47" s="70">
        <v>46231</v>
      </c>
      <c r="B47" s="71" t="s">
        <v>33</v>
      </c>
      <c r="C47" s="71" t="s">
        <v>907</v>
      </c>
      <c r="D47" s="71" t="s">
        <v>908</v>
      </c>
      <c r="E47" s="104" t="s">
        <v>672</v>
      </c>
    </row>
    <row r="48" spans="1:5" ht="57.5" x14ac:dyDescent="0.35">
      <c r="A48" s="70">
        <v>46231</v>
      </c>
      <c r="B48" s="71" t="s">
        <v>909</v>
      </c>
      <c r="C48" s="71" t="s">
        <v>910</v>
      </c>
      <c r="D48" s="71" t="s">
        <v>911</v>
      </c>
      <c r="E48" s="104" t="s">
        <v>732</v>
      </c>
    </row>
    <row r="50" spans="1:5" x14ac:dyDescent="0.35">
      <c r="A50" s="105" t="s">
        <v>808</v>
      </c>
      <c r="B50" s="105"/>
      <c r="C50" s="105"/>
      <c r="D50" s="105"/>
    </row>
    <row r="51" spans="1:5" x14ac:dyDescent="0.35">
      <c r="A51" s="50" t="s">
        <v>809</v>
      </c>
      <c r="B51" s="50" t="s">
        <v>769</v>
      </c>
      <c r="C51" s="50" t="s">
        <v>810</v>
      </c>
      <c r="D51" s="50"/>
    </row>
    <row r="52" spans="1:5" ht="80.5" x14ac:dyDescent="0.35">
      <c r="A52" s="71" t="s">
        <v>811</v>
      </c>
      <c r="B52" s="71" t="s">
        <v>812</v>
      </c>
      <c r="C52" s="71" t="s">
        <v>813</v>
      </c>
      <c r="D52" s="106" t="s">
        <v>814</v>
      </c>
    </row>
    <row r="53" spans="1:5" ht="92" x14ac:dyDescent="0.35">
      <c r="A53" s="71" t="s">
        <v>815</v>
      </c>
      <c r="B53" s="71" t="s">
        <v>816</v>
      </c>
      <c r="C53" s="71" t="s">
        <v>817</v>
      </c>
      <c r="D53" s="106" t="s">
        <v>814</v>
      </c>
    </row>
    <row r="54" spans="1:5" ht="69" x14ac:dyDescent="0.35">
      <c r="A54" s="71" t="s">
        <v>818</v>
      </c>
      <c r="B54" s="71" t="s">
        <v>819</v>
      </c>
      <c r="C54" s="71" t="s">
        <v>820</v>
      </c>
      <c r="D54" s="107" t="s">
        <v>821</v>
      </c>
    </row>
    <row r="55" spans="1:5" ht="57.5" x14ac:dyDescent="0.35">
      <c r="A55" s="71" t="s">
        <v>822</v>
      </c>
      <c r="B55" s="71" t="s">
        <v>823</v>
      </c>
      <c r="C55" s="71" t="s">
        <v>824</v>
      </c>
      <c r="D55" s="107" t="s">
        <v>821</v>
      </c>
    </row>
    <row r="56" spans="1:5" ht="80.5" x14ac:dyDescent="0.35">
      <c r="A56" s="71" t="s">
        <v>825</v>
      </c>
      <c r="B56" s="71" t="s">
        <v>826</v>
      </c>
      <c r="C56" s="71" t="s">
        <v>827</v>
      </c>
      <c r="D56" s="108" t="s">
        <v>828</v>
      </c>
    </row>
    <row r="57" spans="1:5" ht="57.5" x14ac:dyDescent="0.35">
      <c r="A57" s="71" t="s">
        <v>829</v>
      </c>
      <c r="B57" s="71" t="s">
        <v>830</v>
      </c>
      <c r="C57" s="71" t="s">
        <v>831</v>
      </c>
      <c r="D57" s="108" t="s">
        <v>828</v>
      </c>
    </row>
    <row r="58" spans="1:5" ht="57.5" x14ac:dyDescent="0.35">
      <c r="A58" s="71" t="s">
        <v>832</v>
      </c>
      <c r="B58" s="71" t="s">
        <v>833</v>
      </c>
      <c r="C58" s="71" t="s">
        <v>834</v>
      </c>
      <c r="D58" s="108" t="s">
        <v>828</v>
      </c>
    </row>
    <row r="59" spans="1:5" ht="92" x14ac:dyDescent="0.35">
      <c r="A59" s="71" t="s">
        <v>835</v>
      </c>
      <c r="B59" s="71" t="s">
        <v>836</v>
      </c>
      <c r="C59" s="71" t="s">
        <v>837</v>
      </c>
      <c r="D59" s="108" t="s">
        <v>828</v>
      </c>
    </row>
    <row r="60" spans="1:5" ht="69" x14ac:dyDescent="0.35">
      <c r="A60" s="71" t="s">
        <v>838</v>
      </c>
      <c r="B60" s="71" t="s">
        <v>805</v>
      </c>
      <c r="C60" s="71" t="s">
        <v>839</v>
      </c>
      <c r="D60" s="108" t="s">
        <v>828</v>
      </c>
    </row>
    <row r="61" spans="1:5" ht="103.5" x14ac:dyDescent="0.35">
      <c r="A61" s="71" t="s">
        <v>840</v>
      </c>
      <c r="B61" s="71" t="s">
        <v>841</v>
      </c>
      <c r="C61" s="71" t="s">
        <v>842</v>
      </c>
      <c r="D61" s="106" t="s">
        <v>814</v>
      </c>
    </row>
    <row r="62" spans="1:5" x14ac:dyDescent="0.35">
      <c r="A62" s="110">
        <v>46231</v>
      </c>
      <c r="B62" s="111" t="s">
        <v>844</v>
      </c>
      <c r="C62" s="111" t="s">
        <v>845</v>
      </c>
      <c r="D62" s="111" t="s">
        <v>846</v>
      </c>
      <c r="E62" s="111" t="s">
        <v>672</v>
      </c>
    </row>
    <row r="63" spans="1:5" x14ac:dyDescent="0.35">
      <c r="A63" s="109">
        <v>46231</v>
      </c>
      <c r="B63" t="s">
        <v>904</v>
      </c>
      <c r="C63" t="s">
        <v>905</v>
      </c>
      <c r="D63" t="s">
        <v>1202</v>
      </c>
      <c r="E63" t="s">
        <v>672</v>
      </c>
    </row>
    <row r="64" spans="1:5" x14ac:dyDescent="0.35">
      <c r="A64" s="109">
        <v>46231</v>
      </c>
      <c r="B64" t="s">
        <v>912</v>
      </c>
      <c r="C64" t="s">
        <v>913</v>
      </c>
      <c r="D64" t="s">
        <v>914</v>
      </c>
      <c r="E64" t="s">
        <v>672</v>
      </c>
    </row>
    <row r="65" spans="1:5" x14ac:dyDescent="0.35">
      <c r="A65" s="109">
        <v>46231</v>
      </c>
      <c r="B65" t="s">
        <v>33</v>
      </c>
      <c r="C65" t="s">
        <v>915</v>
      </c>
      <c r="D65" t="s">
        <v>916</v>
      </c>
      <c r="E65" t="s">
        <v>672</v>
      </c>
    </row>
    <row r="66" spans="1:5" x14ac:dyDescent="0.35">
      <c r="A66" s="109">
        <v>46231</v>
      </c>
      <c r="B66" t="s">
        <v>1219</v>
      </c>
      <c r="C66" t="s">
        <v>1220</v>
      </c>
      <c r="D66" t="s">
        <v>1221</v>
      </c>
      <c r="E66" t="s">
        <v>672</v>
      </c>
    </row>
    <row r="67" spans="1:5" x14ac:dyDescent="0.35">
      <c r="A67" s="109">
        <v>46231</v>
      </c>
      <c r="B67" t="s">
        <v>1222</v>
      </c>
      <c r="C67" t="s">
        <v>1223</v>
      </c>
      <c r="D67" t="s">
        <v>1224</v>
      </c>
      <c r="E67" t="s">
        <v>672</v>
      </c>
    </row>
    <row r="68" spans="1:5" x14ac:dyDescent="0.35">
      <c r="A68" s="109">
        <f>DATE(2026,8,4)</f>
        <v>46238</v>
      </c>
      <c r="B68" t="s">
        <v>1238</v>
      </c>
      <c r="C68" t="s">
        <v>1239</v>
      </c>
      <c r="D68" t="s">
        <v>1240</v>
      </c>
      <c r="E68" t="s">
        <v>672</v>
      </c>
    </row>
    <row r="69" spans="1:5" x14ac:dyDescent="0.35">
      <c r="A69" s="109">
        <f>DATE(2026,8,4)</f>
        <v>46238</v>
      </c>
      <c r="B69" t="s">
        <v>1241</v>
      </c>
      <c r="C69" t="s">
        <v>1242</v>
      </c>
      <c r="D69" t="s">
        <v>1243</v>
      </c>
      <c r="E69" t="s">
        <v>672</v>
      </c>
    </row>
  </sheetData>
  <conditionalFormatting sqref="E5:E48">
    <cfRule type="containsText" dxfId="29" priority="1" operator="containsText" text="Open">
      <formula>NOT(ISERROR(SEARCH("Open",E5)))</formula>
    </cfRule>
    <cfRule type="containsText" dxfId="28" priority="2" operator="containsText" text="Planned">
      <formula>NOT(ISERROR(SEARCH("Planned",E5)))</formula>
    </cfRule>
    <cfRule type="containsText" dxfId="27" priority="3" operator="containsText" text="Ongoing">
      <formula>NOT(ISERROR(SEARCH("Ongoing",E5)))</formula>
    </cfRule>
    <cfRule type="containsText" dxfId="26" priority="4" operator="containsText" text="Resolved">
      <formula>NOT(ISERROR(SEARCH("Resolved",E5)))</formula>
    </cfRule>
    <cfRule type="containsText" dxfId="25" priority="5" operator="containsText" text="Done">
      <formula>NOT(ISERROR(SEARCH("Done",E5)))</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8A33D"/>
  </sheetPr>
  <dimension ref="A1:D16"/>
  <sheetViews>
    <sheetView showGridLines="0" zoomScaleNormal="100" workbookViewId="0">
      <pane ySplit="4" topLeftCell="A5" activePane="bottomLeft" state="frozen"/>
      <selection pane="bottomLeft" activeCell="C26" sqref="C26"/>
    </sheetView>
  </sheetViews>
  <sheetFormatPr defaultColWidth="8.54296875" defaultRowHeight="14.5" x14ac:dyDescent="0.35"/>
  <cols>
    <col min="1" max="1" width="3" customWidth="1"/>
    <col min="2" max="2" width="26.81640625" bestFit="1" customWidth="1"/>
    <col min="3" max="3" width="16.453125" bestFit="1" customWidth="1"/>
    <col min="4" max="4" width="65.81640625" bestFit="1" customWidth="1"/>
  </cols>
  <sheetData>
    <row r="1" spans="1:4" ht="24" customHeight="1" x14ac:dyDescent="0.35">
      <c r="A1" s="117" t="s">
        <v>69</v>
      </c>
      <c r="B1" s="117"/>
      <c r="C1" s="117"/>
      <c r="D1" s="117"/>
    </row>
    <row r="2" spans="1:4" ht="13.5" customHeight="1" x14ac:dyDescent="0.35">
      <c r="A2" s="118" t="s">
        <v>70</v>
      </c>
      <c r="B2" s="118"/>
      <c r="C2" s="118"/>
      <c r="D2" s="118"/>
    </row>
    <row r="4" spans="1:4" ht="25.5" customHeight="1" x14ac:dyDescent="0.35">
      <c r="A4" s="3"/>
      <c r="B4" s="3" t="s">
        <v>71</v>
      </c>
      <c r="C4" s="3" t="s">
        <v>72</v>
      </c>
      <c r="D4" s="3" t="s">
        <v>73</v>
      </c>
    </row>
    <row r="5" spans="1:4" ht="25.5" customHeight="1" x14ac:dyDescent="0.35">
      <c r="B5" s="4" t="s">
        <v>74</v>
      </c>
      <c r="C5" s="5">
        <v>180</v>
      </c>
      <c r="D5" s="6" t="s">
        <v>75</v>
      </c>
    </row>
    <row r="6" spans="1:4" ht="25.5" customHeight="1" x14ac:dyDescent="0.35">
      <c r="B6" s="4" t="s">
        <v>76</v>
      </c>
      <c r="C6" s="5">
        <v>30</v>
      </c>
      <c r="D6" s="6" t="s">
        <v>77</v>
      </c>
    </row>
    <row r="7" spans="1:4" ht="25.5" customHeight="1" x14ac:dyDescent="0.35">
      <c r="B7" s="4" t="s">
        <v>78</v>
      </c>
      <c r="C7" s="7">
        <v>1.25</v>
      </c>
      <c r="D7" s="6" t="s">
        <v>79</v>
      </c>
    </row>
    <row r="8" spans="1:4" ht="25.5" customHeight="1" x14ac:dyDescent="0.35">
      <c r="B8" s="4" t="s">
        <v>80</v>
      </c>
      <c r="C8" s="8">
        <v>46113</v>
      </c>
      <c r="D8" s="6" t="s">
        <v>81</v>
      </c>
    </row>
    <row r="9" spans="1:4" ht="25.5" customHeight="1" x14ac:dyDescent="0.35">
      <c r="B9" s="4" t="s">
        <v>82</v>
      </c>
      <c r="C9" s="5">
        <v>6</v>
      </c>
      <c r="D9" s="6" t="s">
        <v>83</v>
      </c>
    </row>
    <row r="10" spans="1:4" ht="25.5" customHeight="1" x14ac:dyDescent="0.35">
      <c r="B10" s="4" t="s">
        <v>84</v>
      </c>
      <c r="C10" s="5">
        <v>28</v>
      </c>
      <c r="D10" s="6" t="s">
        <v>85</v>
      </c>
    </row>
    <row r="11" spans="1:4" ht="23" x14ac:dyDescent="0.35">
      <c r="B11" s="4" t="s">
        <v>619</v>
      </c>
      <c r="C11" s="5">
        <v>1</v>
      </c>
      <c r="D11" s="6" t="s">
        <v>620</v>
      </c>
    </row>
    <row r="12" spans="1:4" x14ac:dyDescent="0.35">
      <c r="B12" s="4" t="s">
        <v>649</v>
      </c>
      <c r="C12" s="63" t="s">
        <v>761</v>
      </c>
      <c r="D12" s="6" t="s">
        <v>650</v>
      </c>
    </row>
    <row r="13" spans="1:4" x14ac:dyDescent="0.35">
      <c r="B13" s="4" t="s">
        <v>651</v>
      </c>
      <c r="C13" s="63" t="s">
        <v>652</v>
      </c>
      <c r="D13" s="6" t="s">
        <v>653</v>
      </c>
    </row>
    <row r="14" spans="1:4" x14ac:dyDescent="0.35">
      <c r="B14" s="4" t="s">
        <v>654</v>
      </c>
      <c r="C14" s="63" t="s">
        <v>655</v>
      </c>
      <c r="D14" s="6" t="s">
        <v>656</v>
      </c>
    </row>
    <row r="15" spans="1:4" ht="23" x14ac:dyDescent="0.35">
      <c r="B15" s="4" t="s">
        <v>657</v>
      </c>
      <c r="C15" s="63" t="s">
        <v>311</v>
      </c>
      <c r="D15" s="6" t="s">
        <v>667</v>
      </c>
    </row>
    <row r="16" spans="1:4" x14ac:dyDescent="0.35">
      <c r="B16" s="4" t="s">
        <v>665</v>
      </c>
      <c r="C16" s="63" t="s">
        <v>762</v>
      </c>
      <c r="D16" s="6" t="s">
        <v>666</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A33D"/>
  </sheetPr>
  <dimension ref="A1:I600"/>
  <sheetViews>
    <sheetView showGridLines="0" zoomScaleNormal="100" workbookViewId="0">
      <pane ySplit="4" topLeftCell="A5" activePane="bottomLeft" state="frozen"/>
      <selection pane="bottomLeft" activeCell="N593" sqref="N593"/>
    </sheetView>
  </sheetViews>
  <sheetFormatPr defaultColWidth="8.54296875" defaultRowHeight="14.5" x14ac:dyDescent="0.35"/>
  <cols>
    <col min="1" max="1" width="46" customWidth="1"/>
    <col min="2" max="2" width="17" customWidth="1"/>
    <col min="3" max="3" width="13" customWidth="1"/>
    <col min="4" max="4" width="12" customWidth="1"/>
    <col min="5" max="5" width="15" customWidth="1"/>
    <col min="6" max="6" width="12" customWidth="1"/>
    <col min="7" max="7" width="15" customWidth="1"/>
    <col min="8" max="8" width="22" customWidth="1"/>
    <col min="9" max="9" width="26" customWidth="1"/>
  </cols>
  <sheetData>
    <row r="1" spans="1:9" ht="24" customHeight="1" x14ac:dyDescent="0.35">
      <c r="A1" s="117" t="s">
        <v>86</v>
      </c>
      <c r="B1" s="117"/>
      <c r="C1" s="117"/>
      <c r="D1" s="117"/>
      <c r="E1" s="117"/>
      <c r="F1" s="117"/>
      <c r="G1" s="117"/>
      <c r="H1" s="117"/>
    </row>
    <row r="2" spans="1:9" ht="13.5" customHeight="1" x14ac:dyDescent="0.35">
      <c r="A2" s="118" t="s">
        <v>87</v>
      </c>
      <c r="B2" s="118"/>
      <c r="C2" s="118"/>
      <c r="D2" s="118"/>
      <c r="E2" s="118"/>
      <c r="F2" s="118"/>
      <c r="G2" s="118"/>
      <c r="H2" s="118"/>
    </row>
    <row r="4" spans="1:9" ht="25.5" customHeight="1" x14ac:dyDescent="0.35">
      <c r="A4" s="3" t="s">
        <v>88</v>
      </c>
      <c r="B4" s="3" t="s">
        <v>89</v>
      </c>
      <c r="C4" s="3" t="s">
        <v>90</v>
      </c>
      <c r="D4" s="3" t="s">
        <v>91</v>
      </c>
      <c r="E4" s="3" t="s">
        <v>92</v>
      </c>
      <c r="F4" s="3" t="s">
        <v>93</v>
      </c>
      <c r="G4" s="3" t="s">
        <v>94</v>
      </c>
      <c r="H4" s="3" t="s">
        <v>95</v>
      </c>
      <c r="I4" s="3" t="s">
        <v>96</v>
      </c>
    </row>
    <row r="5" spans="1:9" x14ac:dyDescent="0.35">
      <c r="A5" s="9" t="s">
        <v>97</v>
      </c>
      <c r="B5" s="9" t="s">
        <v>98</v>
      </c>
      <c r="C5" s="10" t="s">
        <v>99</v>
      </c>
      <c r="D5" s="11">
        <v>2.0499999999999998</v>
      </c>
      <c r="E5" s="12">
        <v>5</v>
      </c>
      <c r="F5" s="12">
        <v>500</v>
      </c>
      <c r="G5" s="10" t="s">
        <v>100</v>
      </c>
      <c r="H5" s="9"/>
      <c r="I5" s="9"/>
    </row>
    <row r="6" spans="1:9" x14ac:dyDescent="0.35">
      <c r="A6" s="9" t="s">
        <v>101</v>
      </c>
      <c r="B6" s="9" t="s">
        <v>98</v>
      </c>
      <c r="C6" s="10" t="s">
        <v>99</v>
      </c>
      <c r="D6" s="11">
        <v>2.0499999999999998</v>
      </c>
      <c r="E6" s="12">
        <v>5</v>
      </c>
      <c r="F6" s="12">
        <v>500</v>
      </c>
      <c r="G6" s="10" t="s">
        <v>100</v>
      </c>
      <c r="H6" s="9"/>
      <c r="I6" s="9"/>
    </row>
    <row r="7" spans="1:9" x14ac:dyDescent="0.35">
      <c r="A7" s="9" t="s">
        <v>102</v>
      </c>
      <c r="B7" s="9" t="s">
        <v>98</v>
      </c>
      <c r="C7" s="10" t="s">
        <v>99</v>
      </c>
      <c r="D7" s="11">
        <v>2.0499999999999998</v>
      </c>
      <c r="E7" s="12">
        <v>5</v>
      </c>
      <c r="F7" s="12">
        <v>500</v>
      </c>
      <c r="G7" s="10" t="s">
        <v>100</v>
      </c>
      <c r="H7" s="9"/>
      <c r="I7" s="9"/>
    </row>
    <row r="8" spans="1:9" x14ac:dyDescent="0.35">
      <c r="A8" s="9" t="s">
        <v>103</v>
      </c>
      <c r="B8" s="9" t="s">
        <v>98</v>
      </c>
      <c r="C8" s="10" t="s">
        <v>99</v>
      </c>
      <c r="D8" s="11">
        <v>2.0499999999999998</v>
      </c>
      <c r="E8" s="12">
        <v>5</v>
      </c>
      <c r="F8" s="12">
        <v>500</v>
      </c>
      <c r="G8" s="10" t="s">
        <v>100</v>
      </c>
      <c r="H8" s="9"/>
      <c r="I8" s="9"/>
    </row>
    <row r="9" spans="1:9" x14ac:dyDescent="0.35">
      <c r="A9" s="9" t="s">
        <v>104</v>
      </c>
      <c r="B9" s="9" t="s">
        <v>98</v>
      </c>
      <c r="C9" s="10" t="s">
        <v>99</v>
      </c>
      <c r="D9" s="11">
        <v>2.0499999999999998</v>
      </c>
      <c r="E9" s="12">
        <v>5</v>
      </c>
      <c r="F9" s="12">
        <v>500</v>
      </c>
      <c r="G9" s="10" t="s">
        <v>100</v>
      </c>
      <c r="H9" s="9"/>
      <c r="I9" s="9"/>
    </row>
    <row r="10" spans="1:9" x14ac:dyDescent="0.35">
      <c r="A10" s="9" t="s">
        <v>105</v>
      </c>
      <c r="B10" s="9" t="s">
        <v>98</v>
      </c>
      <c r="C10" s="10" t="s">
        <v>99</v>
      </c>
      <c r="D10" s="11">
        <v>1.45</v>
      </c>
      <c r="E10" s="12">
        <v>5</v>
      </c>
      <c r="F10" s="12">
        <v>500</v>
      </c>
      <c r="G10" s="10" t="s">
        <v>100</v>
      </c>
      <c r="H10" s="9"/>
      <c r="I10" s="9"/>
    </row>
    <row r="11" spans="1:9" x14ac:dyDescent="0.35">
      <c r="A11" s="9" t="s">
        <v>106</v>
      </c>
      <c r="B11" s="9" t="s">
        <v>98</v>
      </c>
      <c r="C11" s="10" t="s">
        <v>99</v>
      </c>
      <c r="D11" s="11">
        <v>1.45</v>
      </c>
      <c r="E11" s="12">
        <v>5</v>
      </c>
      <c r="F11" s="12">
        <v>500</v>
      </c>
      <c r="G11" s="10" t="s">
        <v>100</v>
      </c>
      <c r="H11" s="9"/>
      <c r="I11" s="9"/>
    </row>
    <row r="12" spans="1:9" x14ac:dyDescent="0.35">
      <c r="A12" s="9" t="s">
        <v>107</v>
      </c>
      <c r="B12" s="9" t="s">
        <v>98</v>
      </c>
      <c r="C12" s="10" t="s">
        <v>99</v>
      </c>
      <c r="D12" s="11">
        <v>1.45</v>
      </c>
      <c r="E12" s="12">
        <v>5</v>
      </c>
      <c r="F12" s="12">
        <v>500</v>
      </c>
      <c r="G12" s="10" t="s">
        <v>100</v>
      </c>
      <c r="H12" s="9"/>
      <c r="I12" s="9"/>
    </row>
    <row r="13" spans="1:9" x14ac:dyDescent="0.35">
      <c r="A13" s="9" t="s">
        <v>108</v>
      </c>
      <c r="B13" s="9" t="s">
        <v>98</v>
      </c>
      <c r="C13" s="10" t="s">
        <v>99</v>
      </c>
      <c r="D13" s="11">
        <v>1.35</v>
      </c>
      <c r="E13" s="12">
        <v>5</v>
      </c>
      <c r="F13" s="12">
        <v>500</v>
      </c>
      <c r="G13" s="10" t="s">
        <v>100</v>
      </c>
      <c r="H13" s="9"/>
      <c r="I13" s="9"/>
    </row>
    <row r="14" spans="1:9" x14ac:dyDescent="0.35">
      <c r="A14" s="9" t="s">
        <v>109</v>
      </c>
      <c r="B14" s="9" t="s">
        <v>98</v>
      </c>
      <c r="C14" s="10" t="s">
        <v>99</v>
      </c>
      <c r="D14" s="11">
        <v>1.35</v>
      </c>
      <c r="E14" s="12">
        <v>5</v>
      </c>
      <c r="F14" s="12">
        <v>500</v>
      </c>
      <c r="G14" s="10" t="s">
        <v>100</v>
      </c>
      <c r="H14" s="9"/>
      <c r="I14" s="9"/>
    </row>
    <row r="15" spans="1:9" x14ac:dyDescent="0.35">
      <c r="A15" s="9" t="s">
        <v>110</v>
      </c>
      <c r="B15" s="9" t="s">
        <v>111</v>
      </c>
      <c r="C15" s="10" t="s">
        <v>112</v>
      </c>
      <c r="D15" s="11">
        <v>3.29</v>
      </c>
      <c r="E15" s="12">
        <v>4</v>
      </c>
      <c r="F15" s="12">
        <v>100</v>
      </c>
      <c r="G15" s="10" t="s">
        <v>100</v>
      </c>
      <c r="H15" s="9"/>
      <c r="I15" s="9"/>
    </row>
    <row r="16" spans="1:9" x14ac:dyDescent="0.35">
      <c r="A16" s="9" t="s">
        <v>113</v>
      </c>
      <c r="B16" s="9" t="s">
        <v>111</v>
      </c>
      <c r="C16" s="10" t="s">
        <v>114</v>
      </c>
      <c r="D16" s="11">
        <v>5.16</v>
      </c>
      <c r="E16" s="12">
        <v>1</v>
      </c>
      <c r="F16" s="12">
        <v>500</v>
      </c>
      <c r="G16" s="10" t="s">
        <v>100</v>
      </c>
      <c r="H16" s="9"/>
      <c r="I16" s="9"/>
    </row>
    <row r="17" spans="1:9" x14ac:dyDescent="0.35">
      <c r="A17" s="9" t="s">
        <v>115</v>
      </c>
      <c r="B17" s="9" t="s">
        <v>116</v>
      </c>
      <c r="C17" s="10">
        <v>80</v>
      </c>
      <c r="D17" s="11">
        <v>0.1</v>
      </c>
      <c r="E17" s="12">
        <v>80</v>
      </c>
      <c r="F17" s="12">
        <v>50000</v>
      </c>
      <c r="G17" s="10" t="s">
        <v>100</v>
      </c>
      <c r="H17" s="9"/>
      <c r="I17" s="9"/>
    </row>
    <row r="18" spans="1:9" x14ac:dyDescent="0.35">
      <c r="A18" s="9" t="s">
        <v>117</v>
      </c>
      <c r="B18" s="9" t="s">
        <v>118</v>
      </c>
      <c r="C18" s="10" t="s">
        <v>99</v>
      </c>
      <c r="D18" s="11">
        <v>3</v>
      </c>
      <c r="E18" s="12">
        <v>1</v>
      </c>
      <c r="F18" s="13"/>
      <c r="G18" s="10" t="s">
        <v>100</v>
      </c>
      <c r="H18" s="9"/>
      <c r="I18" s="9"/>
    </row>
    <row r="19" spans="1:9" x14ac:dyDescent="0.35">
      <c r="A19" s="9" t="s">
        <v>119</v>
      </c>
      <c r="B19" s="9" t="s">
        <v>120</v>
      </c>
      <c r="C19" s="10" t="s">
        <v>121</v>
      </c>
      <c r="D19" s="11">
        <v>5.9</v>
      </c>
      <c r="E19" s="12">
        <v>2</v>
      </c>
      <c r="F19" s="13"/>
      <c r="G19" s="10" t="s">
        <v>100</v>
      </c>
      <c r="H19" s="9"/>
      <c r="I19" s="9"/>
    </row>
    <row r="20" spans="1:9" x14ac:dyDescent="0.35">
      <c r="A20" s="9" t="s">
        <v>122</v>
      </c>
      <c r="B20" s="9" t="s">
        <v>123</v>
      </c>
      <c r="C20" s="10" t="s">
        <v>99</v>
      </c>
      <c r="D20" s="11">
        <v>7</v>
      </c>
      <c r="E20" s="12">
        <v>1</v>
      </c>
      <c r="F20" s="13"/>
      <c r="G20" s="10" t="s">
        <v>100</v>
      </c>
      <c r="H20" s="9"/>
      <c r="I20" s="9"/>
    </row>
    <row r="21" spans="1:9" x14ac:dyDescent="0.35">
      <c r="A21" s="9" t="s">
        <v>124</v>
      </c>
      <c r="B21" s="9" t="s">
        <v>125</v>
      </c>
      <c r="C21" s="10" t="s">
        <v>126</v>
      </c>
      <c r="D21" s="11">
        <v>5.5E-2</v>
      </c>
      <c r="E21" s="12">
        <v>500</v>
      </c>
      <c r="F21" s="12">
        <v>4000</v>
      </c>
      <c r="G21" s="10" t="s">
        <v>100</v>
      </c>
      <c r="H21" s="9"/>
      <c r="I21" s="9"/>
    </row>
    <row r="22" spans="1:9" x14ac:dyDescent="0.35">
      <c r="A22" s="9" t="s">
        <v>127</v>
      </c>
      <c r="B22" s="9" t="s">
        <v>125</v>
      </c>
      <c r="C22" s="10" t="s">
        <v>128</v>
      </c>
      <c r="D22" s="11">
        <v>5.5E-2</v>
      </c>
      <c r="E22" s="12">
        <v>500</v>
      </c>
      <c r="F22" s="12">
        <v>7500</v>
      </c>
      <c r="G22" s="10" t="s">
        <v>100</v>
      </c>
      <c r="H22" s="9"/>
      <c r="I22" s="9"/>
    </row>
    <row r="23" spans="1:9" x14ac:dyDescent="0.35">
      <c r="A23" s="9" t="s">
        <v>129</v>
      </c>
      <c r="B23" s="9" t="s">
        <v>125</v>
      </c>
      <c r="C23" s="10" t="s">
        <v>130</v>
      </c>
      <c r="D23" s="11">
        <v>5.5E-2</v>
      </c>
      <c r="E23" s="12">
        <v>500</v>
      </c>
      <c r="F23" s="12">
        <v>4000</v>
      </c>
      <c r="G23" s="10" t="s">
        <v>100</v>
      </c>
      <c r="H23" s="9"/>
      <c r="I23" s="9"/>
    </row>
    <row r="24" spans="1:9" x14ac:dyDescent="0.35">
      <c r="A24" s="9" t="s">
        <v>131</v>
      </c>
      <c r="B24" s="9" t="s">
        <v>125</v>
      </c>
      <c r="C24" s="10" t="s">
        <v>130</v>
      </c>
      <c r="D24" s="11">
        <v>5.5E-2</v>
      </c>
      <c r="E24" s="12">
        <v>500</v>
      </c>
      <c r="F24" s="12">
        <v>1000</v>
      </c>
      <c r="G24" s="10" t="s">
        <v>100</v>
      </c>
      <c r="H24" s="9"/>
      <c r="I24" s="9"/>
    </row>
    <row r="25" spans="1:9" x14ac:dyDescent="0.35">
      <c r="A25" s="9" t="s">
        <v>132</v>
      </c>
      <c r="B25" s="9" t="s">
        <v>125</v>
      </c>
      <c r="C25" s="10" t="s">
        <v>133</v>
      </c>
      <c r="D25" s="11">
        <v>5.5E-2</v>
      </c>
      <c r="E25" s="12">
        <v>500</v>
      </c>
      <c r="F25" s="12">
        <v>4000</v>
      </c>
      <c r="G25" s="10" t="s">
        <v>100</v>
      </c>
      <c r="H25" s="9"/>
      <c r="I25" s="9"/>
    </row>
    <row r="26" spans="1:9" x14ac:dyDescent="0.35">
      <c r="A26" s="9" t="s">
        <v>134</v>
      </c>
      <c r="B26" s="9" t="s">
        <v>125</v>
      </c>
      <c r="C26" s="10" t="s">
        <v>135</v>
      </c>
      <c r="D26" s="11">
        <v>5.5E-2</v>
      </c>
      <c r="E26" s="12">
        <v>500</v>
      </c>
      <c r="F26" s="12">
        <v>4000</v>
      </c>
      <c r="G26" s="10" t="s">
        <v>100</v>
      </c>
      <c r="H26" s="9"/>
      <c r="I26" s="9"/>
    </row>
    <row r="27" spans="1:9" x14ac:dyDescent="0.35">
      <c r="A27" s="9" t="s">
        <v>136</v>
      </c>
      <c r="B27" s="9" t="s">
        <v>123</v>
      </c>
      <c r="C27" s="10" t="s">
        <v>99</v>
      </c>
      <c r="D27" s="11">
        <v>10</v>
      </c>
      <c r="E27" s="12">
        <v>1</v>
      </c>
      <c r="F27" s="13"/>
      <c r="G27" s="10" t="s">
        <v>100</v>
      </c>
      <c r="H27" s="9"/>
      <c r="I27" s="9"/>
    </row>
    <row r="28" spans="1:9" x14ac:dyDescent="0.35">
      <c r="A28" s="9" t="s">
        <v>137</v>
      </c>
      <c r="B28" s="9" t="s">
        <v>138</v>
      </c>
      <c r="C28" s="10" t="s">
        <v>139</v>
      </c>
      <c r="D28" s="11">
        <v>4.49</v>
      </c>
      <c r="E28" s="12">
        <v>2</v>
      </c>
      <c r="F28" s="12">
        <v>200</v>
      </c>
      <c r="G28" s="10" t="s">
        <v>100</v>
      </c>
      <c r="H28" s="9"/>
      <c r="I28" s="9"/>
    </row>
    <row r="29" spans="1:9" x14ac:dyDescent="0.35">
      <c r="A29" s="9" t="s">
        <v>140</v>
      </c>
      <c r="B29" s="9" t="s">
        <v>100</v>
      </c>
      <c r="C29" s="10" t="s">
        <v>130</v>
      </c>
      <c r="D29" s="11">
        <v>145.97999999999999</v>
      </c>
      <c r="E29" s="12">
        <v>1</v>
      </c>
      <c r="F29" s="13"/>
      <c r="G29" s="10" t="s">
        <v>100</v>
      </c>
      <c r="H29" s="9"/>
      <c r="I29" s="9"/>
    </row>
    <row r="30" spans="1:9" x14ac:dyDescent="0.35">
      <c r="A30" s="9" t="s">
        <v>141</v>
      </c>
      <c r="B30" s="9" t="s">
        <v>100</v>
      </c>
      <c r="C30" s="10" t="s">
        <v>126</v>
      </c>
      <c r="D30" s="11">
        <v>145.97999999999999</v>
      </c>
      <c r="E30" s="12">
        <v>1</v>
      </c>
      <c r="F30" s="13"/>
      <c r="G30" s="10" t="s">
        <v>100</v>
      </c>
      <c r="H30" s="9"/>
      <c r="I30" s="9"/>
    </row>
    <row r="31" spans="1:9" x14ac:dyDescent="0.35">
      <c r="A31" s="9" t="s">
        <v>142</v>
      </c>
      <c r="B31" s="9" t="s">
        <v>100</v>
      </c>
      <c r="C31" s="10" t="s">
        <v>128</v>
      </c>
      <c r="D31" s="11">
        <v>145.97999999999999</v>
      </c>
      <c r="E31" s="12">
        <v>1</v>
      </c>
      <c r="F31" s="13"/>
      <c r="G31" s="10" t="s">
        <v>100</v>
      </c>
      <c r="H31" s="9"/>
      <c r="I31" s="9"/>
    </row>
    <row r="32" spans="1:9" x14ac:dyDescent="0.35">
      <c r="A32" s="9" t="s">
        <v>143</v>
      </c>
      <c r="B32" s="9" t="s">
        <v>100</v>
      </c>
      <c r="C32" s="10" t="s">
        <v>133</v>
      </c>
      <c r="D32" s="11">
        <v>145.97999999999999</v>
      </c>
      <c r="E32" s="12">
        <v>1</v>
      </c>
      <c r="F32" s="13"/>
      <c r="G32" s="10" t="s">
        <v>100</v>
      </c>
      <c r="H32" s="9"/>
      <c r="I32" s="9"/>
    </row>
    <row r="33" spans="1:9" x14ac:dyDescent="0.35">
      <c r="A33" s="9" t="s">
        <v>144</v>
      </c>
      <c r="B33" s="9" t="s">
        <v>111</v>
      </c>
      <c r="C33" s="10" t="s">
        <v>99</v>
      </c>
      <c r="D33" s="11">
        <v>145.97999999999999</v>
      </c>
      <c r="E33" s="12">
        <v>4</v>
      </c>
      <c r="F33" s="13"/>
      <c r="G33" s="10" t="s">
        <v>100</v>
      </c>
      <c r="H33" s="9"/>
      <c r="I33" s="9"/>
    </row>
    <row r="34" spans="1:9" x14ac:dyDescent="0.35">
      <c r="A34" s="9" t="s">
        <v>145</v>
      </c>
      <c r="B34" s="9" t="s">
        <v>146</v>
      </c>
      <c r="C34" s="10" t="s">
        <v>99</v>
      </c>
      <c r="D34" s="11">
        <v>3</v>
      </c>
      <c r="E34" s="12">
        <v>5</v>
      </c>
      <c r="F34" s="12">
        <v>200</v>
      </c>
      <c r="G34" s="10" t="s">
        <v>100</v>
      </c>
      <c r="H34" s="9"/>
      <c r="I34" s="9"/>
    </row>
    <row r="35" spans="1:9" x14ac:dyDescent="0.35">
      <c r="A35" s="9" t="s">
        <v>147</v>
      </c>
      <c r="B35" s="9" t="s">
        <v>146</v>
      </c>
      <c r="C35" s="10" t="s">
        <v>99</v>
      </c>
      <c r="D35" s="11">
        <v>3</v>
      </c>
      <c r="E35" s="12">
        <v>5</v>
      </c>
      <c r="F35" s="12">
        <v>200</v>
      </c>
      <c r="G35" s="10" t="s">
        <v>100</v>
      </c>
      <c r="H35" s="9"/>
      <c r="I35" s="9"/>
    </row>
    <row r="36" spans="1:9" x14ac:dyDescent="0.35">
      <c r="A36" s="9" t="s">
        <v>148</v>
      </c>
      <c r="B36" s="9" t="s">
        <v>149</v>
      </c>
      <c r="C36" s="10" t="s">
        <v>114</v>
      </c>
      <c r="D36" s="11">
        <v>0</v>
      </c>
      <c r="E36" s="12">
        <v>20</v>
      </c>
      <c r="F36" s="13"/>
      <c r="G36" s="10" t="s">
        <v>100</v>
      </c>
      <c r="H36" s="9"/>
      <c r="I36" s="9"/>
    </row>
    <row r="37" spans="1:9" x14ac:dyDescent="0.35">
      <c r="A37" s="9" t="s">
        <v>150</v>
      </c>
      <c r="B37" s="9" t="s">
        <v>149</v>
      </c>
      <c r="C37" s="10" t="s">
        <v>114</v>
      </c>
      <c r="D37" s="11">
        <v>0</v>
      </c>
      <c r="E37" s="12">
        <v>1</v>
      </c>
      <c r="F37" s="13"/>
      <c r="G37" s="10" t="s">
        <v>100</v>
      </c>
      <c r="H37" s="9"/>
      <c r="I37" s="9"/>
    </row>
    <row r="38" spans="1:9" x14ac:dyDescent="0.35">
      <c r="A38" s="9" t="s">
        <v>151</v>
      </c>
      <c r="B38" s="9" t="s">
        <v>152</v>
      </c>
      <c r="C38" s="10" t="s">
        <v>114</v>
      </c>
      <c r="D38" s="11">
        <v>0</v>
      </c>
      <c r="E38" s="12">
        <v>20</v>
      </c>
      <c r="F38" s="13"/>
      <c r="G38" s="10" t="s">
        <v>100</v>
      </c>
      <c r="H38" s="9"/>
      <c r="I38" s="9"/>
    </row>
    <row r="39" spans="1:9" x14ac:dyDescent="0.35">
      <c r="A39" s="9" t="s">
        <v>153</v>
      </c>
      <c r="B39" s="9" t="s">
        <v>752</v>
      </c>
      <c r="C39" s="10" t="s">
        <v>114</v>
      </c>
      <c r="D39" s="11">
        <v>0</v>
      </c>
      <c r="E39" s="12">
        <v>5</v>
      </c>
      <c r="F39" s="13"/>
      <c r="G39" s="10" t="s">
        <v>100</v>
      </c>
      <c r="H39" s="9"/>
      <c r="I39" s="9"/>
    </row>
    <row r="40" spans="1:9" x14ac:dyDescent="0.35">
      <c r="A40" s="9" t="s">
        <v>154</v>
      </c>
      <c r="B40" s="9" t="s">
        <v>111</v>
      </c>
      <c r="C40" s="10" t="s">
        <v>155</v>
      </c>
      <c r="D40" s="11">
        <v>0.2</v>
      </c>
      <c r="E40" s="12">
        <v>50</v>
      </c>
      <c r="F40" s="12">
        <v>300</v>
      </c>
      <c r="G40" s="10" t="s">
        <v>100</v>
      </c>
      <c r="H40" s="9"/>
      <c r="I40" s="9"/>
    </row>
    <row r="41" spans="1:9" x14ac:dyDescent="0.35">
      <c r="A41" s="9" t="s">
        <v>156</v>
      </c>
      <c r="B41" s="9" t="s">
        <v>98</v>
      </c>
      <c r="C41" s="10" t="s">
        <v>99</v>
      </c>
      <c r="D41" s="11">
        <v>0.25</v>
      </c>
      <c r="E41" s="12">
        <v>50</v>
      </c>
      <c r="F41" s="12">
        <v>1000</v>
      </c>
      <c r="G41" s="10" t="s">
        <v>100</v>
      </c>
      <c r="H41" s="9"/>
      <c r="I41" s="9"/>
    </row>
    <row r="42" spans="1:9" x14ac:dyDescent="0.35">
      <c r="A42" s="9" t="s">
        <v>157</v>
      </c>
      <c r="B42" s="9" t="s">
        <v>158</v>
      </c>
      <c r="C42" s="10" t="s">
        <v>114</v>
      </c>
      <c r="D42" s="11">
        <v>1</v>
      </c>
      <c r="E42" s="12">
        <v>1</v>
      </c>
      <c r="F42" s="12">
        <v>100</v>
      </c>
      <c r="G42" s="10" t="s">
        <v>100</v>
      </c>
      <c r="H42" s="9"/>
      <c r="I42" s="9"/>
    </row>
    <row r="43" spans="1:9" x14ac:dyDescent="0.35">
      <c r="A43" s="9" t="s">
        <v>1227</v>
      </c>
      <c r="B43" s="9" t="s">
        <v>1228</v>
      </c>
      <c r="C43" s="10" t="s">
        <v>114</v>
      </c>
      <c r="D43" s="11"/>
      <c r="E43" s="12">
        <v>20</v>
      </c>
      <c r="F43" s="13"/>
      <c r="G43" s="10" t="s">
        <v>100</v>
      </c>
      <c r="H43" s="9"/>
      <c r="I43" s="9"/>
    </row>
    <row r="44" spans="1:9" x14ac:dyDescent="0.35">
      <c r="A44" s="9" t="s">
        <v>1229</v>
      </c>
      <c r="B44" s="9" t="s">
        <v>1230</v>
      </c>
      <c r="C44" s="10" t="s">
        <v>114</v>
      </c>
      <c r="D44" s="11"/>
      <c r="E44" s="12">
        <v>20</v>
      </c>
      <c r="F44" s="13"/>
      <c r="G44" s="10" t="s">
        <v>100</v>
      </c>
      <c r="H44" s="9"/>
      <c r="I44" s="9"/>
    </row>
    <row r="45" spans="1:9" x14ac:dyDescent="0.35">
      <c r="A45" s="9" t="s">
        <v>159</v>
      </c>
      <c r="B45" s="9" t="s">
        <v>149</v>
      </c>
      <c r="C45" s="10" t="s">
        <v>114</v>
      </c>
      <c r="D45" s="11">
        <v>0</v>
      </c>
      <c r="E45" s="12">
        <v>20</v>
      </c>
      <c r="F45" s="13"/>
      <c r="G45" s="10" t="s">
        <v>100</v>
      </c>
      <c r="H45" s="9"/>
      <c r="I45" s="9"/>
    </row>
    <row r="46" spans="1:9" x14ac:dyDescent="0.35">
      <c r="A46" s="9" t="s">
        <v>160</v>
      </c>
      <c r="B46" s="9" t="s">
        <v>149</v>
      </c>
      <c r="C46" s="10" t="s">
        <v>114</v>
      </c>
      <c r="D46" s="11">
        <v>0</v>
      </c>
      <c r="E46" s="12">
        <v>20</v>
      </c>
      <c r="F46" s="13"/>
      <c r="G46" s="10" t="s">
        <v>100</v>
      </c>
      <c r="H46" s="9"/>
      <c r="I46" s="9"/>
    </row>
    <row r="47" spans="1:9" x14ac:dyDescent="0.35">
      <c r="A47" s="9" t="s">
        <v>161</v>
      </c>
      <c r="B47" s="9" t="s">
        <v>149</v>
      </c>
      <c r="C47" s="10" t="s">
        <v>114</v>
      </c>
      <c r="D47" s="11">
        <v>0</v>
      </c>
      <c r="E47" s="12">
        <v>20</v>
      </c>
      <c r="F47" s="13"/>
      <c r="G47" s="10" t="s">
        <v>100</v>
      </c>
      <c r="H47" s="9"/>
      <c r="I47" s="9"/>
    </row>
    <row r="48" spans="1:9" x14ac:dyDescent="0.35">
      <c r="A48" s="9" t="s">
        <v>162</v>
      </c>
      <c r="B48" s="9" t="s">
        <v>149</v>
      </c>
      <c r="C48" s="10" t="s">
        <v>114</v>
      </c>
      <c r="D48" s="11">
        <v>0</v>
      </c>
      <c r="E48" s="12">
        <v>20</v>
      </c>
      <c r="F48" s="13"/>
      <c r="G48" s="10" t="s">
        <v>100</v>
      </c>
      <c r="H48" s="9"/>
      <c r="I48" s="9"/>
    </row>
    <row r="49" spans="1:9" x14ac:dyDescent="0.35">
      <c r="A49" s="9" t="s">
        <v>163</v>
      </c>
      <c r="B49" s="9" t="s">
        <v>149</v>
      </c>
      <c r="C49" s="10" t="s">
        <v>114</v>
      </c>
      <c r="D49" s="11">
        <v>0</v>
      </c>
      <c r="E49" s="12">
        <v>20</v>
      </c>
      <c r="F49" s="13"/>
      <c r="G49" s="10" t="s">
        <v>100</v>
      </c>
      <c r="H49" s="9"/>
      <c r="I49" s="9"/>
    </row>
    <row r="50" spans="1:9" x14ac:dyDescent="0.35">
      <c r="A50" s="9" t="s">
        <v>164</v>
      </c>
      <c r="B50" s="9" t="s">
        <v>165</v>
      </c>
      <c r="C50" s="10" t="s">
        <v>114</v>
      </c>
      <c r="D50" s="11">
        <v>0</v>
      </c>
      <c r="E50" s="12">
        <v>1</v>
      </c>
      <c r="F50" s="13"/>
      <c r="G50" s="10" t="s">
        <v>100</v>
      </c>
      <c r="H50" s="9"/>
      <c r="I50" s="9"/>
    </row>
    <row r="51" spans="1:9" x14ac:dyDescent="0.35">
      <c r="A51" s="9" t="s">
        <v>166</v>
      </c>
      <c r="B51" s="9" t="s">
        <v>100</v>
      </c>
      <c r="C51" s="10" t="s">
        <v>130</v>
      </c>
      <c r="D51" s="11">
        <v>145.97999999999999</v>
      </c>
      <c r="E51" s="12">
        <v>29</v>
      </c>
      <c r="F51" s="12">
        <v>29</v>
      </c>
      <c r="G51" s="10" t="s">
        <v>100</v>
      </c>
      <c r="H51" s="9"/>
      <c r="I51" s="9"/>
    </row>
    <row r="52" spans="1:9" x14ac:dyDescent="0.35">
      <c r="A52" s="9" t="s">
        <v>167</v>
      </c>
      <c r="B52" s="9" t="s">
        <v>100</v>
      </c>
      <c r="C52" s="10" t="s">
        <v>128</v>
      </c>
      <c r="D52" s="11">
        <v>145.97999999999999</v>
      </c>
      <c r="E52" s="12">
        <v>15</v>
      </c>
      <c r="F52" s="12">
        <v>15</v>
      </c>
      <c r="G52" s="10" t="s">
        <v>100</v>
      </c>
      <c r="H52" s="9"/>
      <c r="I52" s="9"/>
    </row>
    <row r="53" spans="1:9" x14ac:dyDescent="0.35">
      <c r="A53" s="9" t="s">
        <v>168</v>
      </c>
      <c r="B53" s="9" t="s">
        <v>100</v>
      </c>
      <c r="C53" s="10" t="s">
        <v>126</v>
      </c>
      <c r="D53" s="11">
        <v>145.97999999999999</v>
      </c>
      <c r="E53" s="12">
        <v>1</v>
      </c>
      <c r="F53" s="12">
        <v>1</v>
      </c>
      <c r="G53" s="10" t="s">
        <v>100</v>
      </c>
      <c r="H53" s="9"/>
      <c r="I53" s="9"/>
    </row>
    <row r="54" spans="1:9" x14ac:dyDescent="0.35">
      <c r="A54" s="9" t="s">
        <v>169</v>
      </c>
      <c r="B54" s="9" t="s">
        <v>100</v>
      </c>
      <c r="C54" s="10" t="s">
        <v>133</v>
      </c>
      <c r="D54" s="11">
        <v>145.97999999999999</v>
      </c>
      <c r="E54" s="12">
        <v>2</v>
      </c>
      <c r="F54" s="12">
        <v>2</v>
      </c>
      <c r="G54" s="10" t="s">
        <v>100</v>
      </c>
      <c r="H54" s="9"/>
      <c r="I54" s="9"/>
    </row>
    <row r="55" spans="1:9" x14ac:dyDescent="0.35">
      <c r="A55" s="9" t="s">
        <v>1231</v>
      </c>
      <c r="B55" s="9" t="s">
        <v>1230</v>
      </c>
      <c r="C55" s="10" t="s">
        <v>114</v>
      </c>
      <c r="D55" s="11"/>
      <c r="E55" s="12">
        <v>30</v>
      </c>
      <c r="F55" s="12">
        <v>30</v>
      </c>
      <c r="G55" s="10" t="s">
        <v>750</v>
      </c>
      <c r="H55" s="9"/>
      <c r="I55" s="9"/>
    </row>
    <row r="56" spans="1:9" x14ac:dyDescent="0.35">
      <c r="A56" s="9" t="s">
        <v>753</v>
      </c>
      <c r="B56" s="9" t="s">
        <v>754</v>
      </c>
      <c r="C56" s="10" t="s">
        <v>114</v>
      </c>
      <c r="D56" s="11"/>
      <c r="E56" s="12">
        <v>20</v>
      </c>
      <c r="F56" s="12">
        <v>20</v>
      </c>
      <c r="G56" s="10" t="s">
        <v>750</v>
      </c>
      <c r="H56" s="9"/>
      <c r="I56" s="9"/>
    </row>
    <row r="57" spans="1:9" x14ac:dyDescent="0.35">
      <c r="A57" s="9" t="s">
        <v>170</v>
      </c>
      <c r="B57" s="9" t="s">
        <v>752</v>
      </c>
      <c r="C57" s="10" t="s">
        <v>114</v>
      </c>
      <c r="D57" s="11">
        <v>0</v>
      </c>
      <c r="E57" s="12">
        <v>20</v>
      </c>
      <c r="F57" s="12">
        <v>20</v>
      </c>
      <c r="G57" s="10" t="s">
        <v>750</v>
      </c>
      <c r="H57" s="9"/>
      <c r="I57" s="9"/>
    </row>
    <row r="58" spans="1:9" x14ac:dyDescent="0.35">
      <c r="A58" s="9" t="s">
        <v>171</v>
      </c>
      <c r="B58" s="9" t="s">
        <v>752</v>
      </c>
      <c r="C58" s="10" t="s">
        <v>114</v>
      </c>
      <c r="D58" s="11">
        <v>0</v>
      </c>
      <c r="E58" s="12">
        <v>10</v>
      </c>
      <c r="F58" s="12">
        <v>10</v>
      </c>
      <c r="G58" s="10" t="s">
        <v>750</v>
      </c>
      <c r="H58" s="9"/>
      <c r="I58" s="9"/>
    </row>
    <row r="59" spans="1:9" x14ac:dyDescent="0.35">
      <c r="A59" s="9" t="s">
        <v>172</v>
      </c>
      <c r="B59" s="9" t="s">
        <v>752</v>
      </c>
      <c r="C59" s="10" t="s">
        <v>114</v>
      </c>
      <c r="D59" s="11">
        <v>0</v>
      </c>
      <c r="E59" s="12">
        <v>20</v>
      </c>
      <c r="F59" s="12">
        <v>10</v>
      </c>
      <c r="G59" s="10" t="s">
        <v>750</v>
      </c>
      <c r="H59" s="9"/>
      <c r="I59" s="9"/>
    </row>
    <row r="60" spans="1:9" x14ac:dyDescent="0.35">
      <c r="A60" s="9" t="s">
        <v>173</v>
      </c>
      <c r="B60" s="9" t="s">
        <v>1230</v>
      </c>
      <c r="C60" s="10" t="s">
        <v>114</v>
      </c>
      <c r="D60" s="11">
        <v>0</v>
      </c>
      <c r="E60" s="12">
        <v>20</v>
      </c>
      <c r="F60" s="12">
        <v>10</v>
      </c>
      <c r="G60" s="10" t="s">
        <v>750</v>
      </c>
      <c r="H60" s="9"/>
      <c r="I60" s="9"/>
    </row>
    <row r="61" spans="1:9" x14ac:dyDescent="0.35">
      <c r="A61" s="9" t="s">
        <v>174</v>
      </c>
      <c r="B61" s="9" t="s">
        <v>754</v>
      </c>
      <c r="C61" s="10" t="s">
        <v>114</v>
      </c>
      <c r="D61" s="11">
        <v>0</v>
      </c>
      <c r="E61" s="12">
        <v>20</v>
      </c>
      <c r="F61" s="12">
        <v>10</v>
      </c>
      <c r="G61" s="10" t="s">
        <v>750</v>
      </c>
      <c r="H61" s="9"/>
      <c r="I61" s="9"/>
    </row>
    <row r="62" spans="1:9" x14ac:dyDescent="0.35">
      <c r="A62" s="9" t="s">
        <v>175</v>
      </c>
      <c r="B62" s="9" t="s">
        <v>754</v>
      </c>
      <c r="C62" s="10" t="s">
        <v>114</v>
      </c>
      <c r="D62" s="11">
        <v>0</v>
      </c>
      <c r="E62" s="12">
        <v>20</v>
      </c>
      <c r="F62" s="12">
        <v>10</v>
      </c>
      <c r="G62" s="10" t="s">
        <v>750</v>
      </c>
      <c r="H62" s="9"/>
      <c r="I62" s="9"/>
    </row>
    <row r="63" spans="1:9" x14ac:dyDescent="0.35">
      <c r="A63" s="9" t="s">
        <v>176</v>
      </c>
      <c r="B63" s="9" t="s">
        <v>754</v>
      </c>
      <c r="C63" s="10" t="s">
        <v>114</v>
      </c>
      <c r="D63" s="11">
        <v>0</v>
      </c>
      <c r="E63" s="12">
        <v>20</v>
      </c>
      <c r="F63" s="12">
        <v>10</v>
      </c>
      <c r="G63" s="10" t="s">
        <v>750</v>
      </c>
      <c r="H63" s="9"/>
      <c r="I63" s="9"/>
    </row>
    <row r="64" spans="1:9" x14ac:dyDescent="0.35">
      <c r="A64" s="9" t="s">
        <v>177</v>
      </c>
      <c r="B64" s="9" t="s">
        <v>178</v>
      </c>
      <c r="C64" s="10" t="s">
        <v>114</v>
      </c>
      <c r="D64" s="11">
        <v>0</v>
      </c>
      <c r="E64" s="12">
        <v>5</v>
      </c>
      <c r="F64" s="12">
        <v>10</v>
      </c>
      <c r="G64" s="10" t="s">
        <v>178</v>
      </c>
      <c r="H64" s="9"/>
      <c r="I64" s="9"/>
    </row>
    <row r="65" spans="1:9" x14ac:dyDescent="0.35">
      <c r="A65" s="9" t="s">
        <v>179</v>
      </c>
      <c r="B65" s="9" t="s">
        <v>178</v>
      </c>
      <c r="C65" s="10" t="s">
        <v>114</v>
      </c>
      <c r="D65" s="11">
        <v>0</v>
      </c>
      <c r="E65" s="12">
        <v>5</v>
      </c>
      <c r="F65" s="12">
        <v>10</v>
      </c>
      <c r="G65" s="10" t="s">
        <v>178</v>
      </c>
      <c r="H65" s="9"/>
      <c r="I65" s="9"/>
    </row>
    <row r="66" spans="1:9" x14ac:dyDescent="0.35">
      <c r="A66" s="9" t="s">
        <v>180</v>
      </c>
      <c r="B66" s="9" t="s">
        <v>178</v>
      </c>
      <c r="C66" s="10" t="s">
        <v>114</v>
      </c>
      <c r="D66" s="11">
        <v>0</v>
      </c>
      <c r="E66" s="12">
        <v>20</v>
      </c>
      <c r="F66" s="12">
        <v>10</v>
      </c>
      <c r="G66" s="10" t="s">
        <v>178</v>
      </c>
      <c r="H66" s="9"/>
      <c r="I66" s="9"/>
    </row>
    <row r="67" spans="1:9" x14ac:dyDescent="0.35">
      <c r="A67" s="9" t="s">
        <v>181</v>
      </c>
      <c r="B67" s="9" t="s">
        <v>111</v>
      </c>
      <c r="C67" s="10" t="s">
        <v>182</v>
      </c>
      <c r="D67" s="11">
        <v>3.25</v>
      </c>
      <c r="E67" s="12">
        <v>200</v>
      </c>
      <c r="F67" s="12">
        <v>500</v>
      </c>
      <c r="G67" s="10" t="s">
        <v>100</v>
      </c>
      <c r="H67" s="9"/>
      <c r="I67" s="9"/>
    </row>
    <row r="68" spans="1:9" x14ac:dyDescent="0.35">
      <c r="A68" s="9" t="s">
        <v>183</v>
      </c>
      <c r="B68" s="9" t="s">
        <v>184</v>
      </c>
      <c r="C68" s="10" t="s">
        <v>185</v>
      </c>
      <c r="D68" s="11">
        <v>35</v>
      </c>
      <c r="E68" s="12">
        <v>1</v>
      </c>
      <c r="F68" s="13"/>
      <c r="G68" s="10" t="s">
        <v>749</v>
      </c>
      <c r="H68" s="9"/>
      <c r="I68" s="9"/>
    </row>
    <row r="69" spans="1:9" x14ac:dyDescent="0.35">
      <c r="A69" s="9" t="s">
        <v>186</v>
      </c>
      <c r="B69" s="9" t="s">
        <v>149</v>
      </c>
      <c r="C69" s="10" t="s">
        <v>114</v>
      </c>
      <c r="D69" s="11">
        <v>0</v>
      </c>
      <c r="E69" s="12">
        <v>20</v>
      </c>
      <c r="F69" s="13"/>
      <c r="G69" s="10" t="s">
        <v>750</v>
      </c>
      <c r="H69" s="9"/>
      <c r="I69" s="9"/>
    </row>
    <row r="70" spans="1:9" x14ac:dyDescent="0.35">
      <c r="A70" s="9" t="s">
        <v>187</v>
      </c>
      <c r="B70" s="9" t="s">
        <v>125</v>
      </c>
      <c r="C70" s="10" t="s">
        <v>128</v>
      </c>
      <c r="D70" s="11">
        <v>0.54</v>
      </c>
      <c r="E70" s="12">
        <v>10</v>
      </c>
      <c r="F70" s="13"/>
      <c r="G70" s="10" t="s">
        <v>100</v>
      </c>
      <c r="H70" s="9"/>
      <c r="I70" s="9"/>
    </row>
    <row r="71" spans="1:9" x14ac:dyDescent="0.35">
      <c r="A71" s="9" t="s">
        <v>188</v>
      </c>
      <c r="B71" s="9" t="s">
        <v>125</v>
      </c>
      <c r="C71" s="10" t="s">
        <v>126</v>
      </c>
      <c r="D71" s="11">
        <v>0.54</v>
      </c>
      <c r="E71" s="12">
        <v>10</v>
      </c>
      <c r="F71" s="13"/>
      <c r="G71" s="10" t="s">
        <v>100</v>
      </c>
      <c r="H71" s="9"/>
      <c r="I71" s="9"/>
    </row>
    <row r="72" spans="1:9" x14ac:dyDescent="0.35">
      <c r="A72" s="9" t="s">
        <v>189</v>
      </c>
      <c r="B72" s="9" t="s">
        <v>190</v>
      </c>
      <c r="C72" s="10" t="s">
        <v>114</v>
      </c>
      <c r="D72" s="11">
        <v>14</v>
      </c>
      <c r="E72" s="12">
        <v>1</v>
      </c>
      <c r="F72" s="13"/>
      <c r="G72" s="10" t="s">
        <v>100</v>
      </c>
      <c r="H72" s="9"/>
      <c r="I72" s="9"/>
    </row>
    <row r="73" spans="1:9" x14ac:dyDescent="0.35">
      <c r="A73" s="9" t="s">
        <v>191</v>
      </c>
      <c r="B73" s="9" t="s">
        <v>138</v>
      </c>
      <c r="C73" s="10" t="s">
        <v>192</v>
      </c>
      <c r="D73" s="11">
        <v>1E-4</v>
      </c>
      <c r="E73" s="12">
        <v>1</v>
      </c>
      <c r="F73" s="12">
        <v>200</v>
      </c>
      <c r="G73" s="10" t="s">
        <v>100</v>
      </c>
      <c r="H73" s="9"/>
      <c r="I73" s="9"/>
    </row>
    <row r="74" spans="1:9" x14ac:dyDescent="0.35">
      <c r="A74" s="9" t="s">
        <v>193</v>
      </c>
      <c r="B74" s="9" t="s">
        <v>116</v>
      </c>
      <c r="C74" s="10">
        <v>160</v>
      </c>
      <c r="D74" s="11">
        <v>0</v>
      </c>
      <c r="E74" s="12">
        <v>160</v>
      </c>
      <c r="F74" s="13"/>
      <c r="G74" s="10" t="s">
        <v>100</v>
      </c>
      <c r="H74" s="9"/>
      <c r="I74" s="9"/>
    </row>
    <row r="75" spans="1:9" x14ac:dyDescent="0.35">
      <c r="A75" s="9" t="s">
        <v>194</v>
      </c>
      <c r="B75" s="9" t="s">
        <v>195</v>
      </c>
      <c r="C75" s="10" t="s">
        <v>196</v>
      </c>
      <c r="D75" s="11">
        <v>2.5</v>
      </c>
      <c r="E75" s="12">
        <v>1</v>
      </c>
      <c r="F75" s="13"/>
      <c r="G75" s="10" t="s">
        <v>100</v>
      </c>
      <c r="H75" s="9"/>
      <c r="I75" s="9"/>
    </row>
    <row r="76" spans="1:9" x14ac:dyDescent="0.35">
      <c r="A76" s="9" t="s">
        <v>197</v>
      </c>
      <c r="B76" s="9" t="s">
        <v>198</v>
      </c>
      <c r="C76" s="10">
        <v>25</v>
      </c>
      <c r="D76" s="11">
        <v>0.63</v>
      </c>
      <c r="E76" s="12">
        <v>100</v>
      </c>
      <c r="F76" s="13"/>
      <c r="G76" s="10" t="s">
        <v>49</v>
      </c>
      <c r="H76" s="9"/>
      <c r="I76" s="9"/>
    </row>
    <row r="77" spans="1:9" x14ac:dyDescent="0.35">
      <c r="A77" s="9" t="s">
        <v>1195</v>
      </c>
      <c r="B77" s="9" t="s">
        <v>198</v>
      </c>
      <c r="C77" s="10">
        <v>25</v>
      </c>
      <c r="D77" s="11">
        <v>0.63</v>
      </c>
      <c r="E77" s="12">
        <v>100</v>
      </c>
      <c r="F77" s="13"/>
      <c r="G77" s="10" t="s">
        <v>49</v>
      </c>
      <c r="H77" s="9"/>
      <c r="I77" s="9"/>
    </row>
    <row r="78" spans="1:9" x14ac:dyDescent="0.35">
      <c r="A78" s="9" t="s">
        <v>1196</v>
      </c>
      <c r="B78" s="9" t="s">
        <v>198</v>
      </c>
      <c r="C78" s="10">
        <v>25</v>
      </c>
      <c r="D78" s="11">
        <v>0.78</v>
      </c>
      <c r="E78" s="12">
        <v>100</v>
      </c>
      <c r="F78" s="13"/>
      <c r="G78" s="10" t="s">
        <v>49</v>
      </c>
      <c r="H78" s="9"/>
      <c r="I78" s="9"/>
    </row>
    <row r="79" spans="1:9" x14ac:dyDescent="0.35">
      <c r="A79" s="9" t="s">
        <v>199</v>
      </c>
      <c r="B79" s="9" t="s">
        <v>200</v>
      </c>
      <c r="C79" s="10">
        <v>350</v>
      </c>
      <c r="D79" s="11">
        <v>4.4999999999999998E-2</v>
      </c>
      <c r="E79" s="12">
        <v>350</v>
      </c>
      <c r="F79" s="13"/>
      <c r="G79" s="10" t="s">
        <v>49</v>
      </c>
      <c r="H79" s="9"/>
      <c r="I79" s="9"/>
    </row>
    <row r="80" spans="1:9" x14ac:dyDescent="0.35">
      <c r="A80" s="9" t="s">
        <v>201</v>
      </c>
      <c r="B80" s="9" t="s">
        <v>200</v>
      </c>
      <c r="C80" s="10">
        <v>600</v>
      </c>
      <c r="D80" s="11">
        <v>7.4999999999999997E-2</v>
      </c>
      <c r="E80" s="12">
        <v>600</v>
      </c>
      <c r="F80" s="13"/>
      <c r="G80" s="10" t="s">
        <v>49</v>
      </c>
      <c r="H80" s="9"/>
      <c r="I80" s="9"/>
    </row>
    <row r="81" spans="1:9" x14ac:dyDescent="0.35">
      <c r="A81" s="9" t="s">
        <v>202</v>
      </c>
      <c r="B81" s="9" t="s">
        <v>203</v>
      </c>
      <c r="C81" s="10" t="s">
        <v>204</v>
      </c>
      <c r="D81" s="11">
        <v>7.3579999999999997</v>
      </c>
      <c r="E81" s="14"/>
      <c r="F81" s="13"/>
      <c r="G81" s="10" t="s">
        <v>49</v>
      </c>
      <c r="H81" s="15" t="s">
        <v>205</v>
      </c>
      <c r="I81" s="9"/>
    </row>
    <row r="82" spans="1:9" x14ac:dyDescent="0.35">
      <c r="A82" s="9" t="s">
        <v>206</v>
      </c>
      <c r="B82" s="9" t="s">
        <v>203</v>
      </c>
      <c r="C82" s="10" t="s">
        <v>207</v>
      </c>
      <c r="D82" s="11">
        <v>44.7</v>
      </c>
      <c r="E82" s="14"/>
      <c r="F82" s="13"/>
      <c r="G82" s="10" t="s">
        <v>49</v>
      </c>
      <c r="H82" s="15" t="s">
        <v>208</v>
      </c>
      <c r="I82" s="9"/>
    </row>
    <row r="83" spans="1:9" x14ac:dyDescent="0.35">
      <c r="A83" s="9" t="s">
        <v>209</v>
      </c>
      <c r="B83" s="9" t="s">
        <v>203</v>
      </c>
      <c r="C83" s="10" t="s">
        <v>210</v>
      </c>
      <c r="D83" s="11">
        <v>9.5</v>
      </c>
      <c r="E83" s="14"/>
      <c r="F83" s="13"/>
      <c r="G83" s="10" t="s">
        <v>49</v>
      </c>
      <c r="H83" s="15" t="s">
        <v>211</v>
      </c>
      <c r="I83" s="9"/>
    </row>
    <row r="84" spans="1:9" x14ac:dyDescent="0.35">
      <c r="A84" s="9" t="s">
        <v>212</v>
      </c>
      <c r="B84" s="9" t="s">
        <v>203</v>
      </c>
      <c r="C84" s="10" t="s">
        <v>213</v>
      </c>
      <c r="D84" s="11">
        <v>9.98</v>
      </c>
      <c r="E84" s="14"/>
      <c r="F84" s="13"/>
      <c r="G84" s="10" t="s">
        <v>49</v>
      </c>
      <c r="H84" s="15" t="s">
        <v>214</v>
      </c>
      <c r="I84" s="9"/>
    </row>
    <row r="85" spans="1:9" x14ac:dyDescent="0.35">
      <c r="A85" s="9" t="s">
        <v>1197</v>
      </c>
      <c r="B85" s="9" t="s">
        <v>203</v>
      </c>
      <c r="C85" s="10" t="s">
        <v>215</v>
      </c>
      <c r="D85" s="11">
        <v>32.99</v>
      </c>
      <c r="E85" s="14"/>
      <c r="F85" s="13"/>
      <c r="G85" s="10" t="s">
        <v>49</v>
      </c>
      <c r="H85" s="15" t="s">
        <v>216</v>
      </c>
      <c r="I85" s="9"/>
    </row>
    <row r="86" spans="1:9" x14ac:dyDescent="0.35">
      <c r="A86" s="9" t="s">
        <v>217</v>
      </c>
      <c r="B86" s="9" t="s">
        <v>203</v>
      </c>
      <c r="C86" s="10" t="s">
        <v>215</v>
      </c>
      <c r="D86" s="11">
        <v>21.99</v>
      </c>
      <c r="E86" s="14"/>
      <c r="F86" s="13"/>
      <c r="G86" s="10" t="s">
        <v>49</v>
      </c>
      <c r="H86" s="15" t="s">
        <v>211</v>
      </c>
      <c r="I86" s="9"/>
    </row>
    <row r="87" spans="1:9" x14ac:dyDescent="0.35">
      <c r="A87" s="9" t="s">
        <v>218</v>
      </c>
      <c r="B87" s="9" t="s">
        <v>203</v>
      </c>
      <c r="C87" s="10" t="s">
        <v>215</v>
      </c>
      <c r="D87" s="11">
        <v>7.49</v>
      </c>
      <c r="E87" s="14"/>
      <c r="F87" s="13"/>
      <c r="G87" s="10" t="s">
        <v>49</v>
      </c>
      <c r="H87" s="15" t="s">
        <v>219</v>
      </c>
      <c r="I87" s="9"/>
    </row>
    <row r="88" spans="1:9" x14ac:dyDescent="0.35">
      <c r="A88" s="9" t="s">
        <v>220</v>
      </c>
      <c r="B88" s="9" t="s">
        <v>203</v>
      </c>
      <c r="C88" s="10" t="s">
        <v>221</v>
      </c>
      <c r="D88" s="11">
        <v>2.5</v>
      </c>
      <c r="E88" s="14"/>
      <c r="F88" s="13"/>
      <c r="G88" s="10" t="s">
        <v>49</v>
      </c>
      <c r="H88" s="15" t="s">
        <v>222</v>
      </c>
      <c r="I88" s="9"/>
    </row>
    <row r="89" spans="1:9" x14ac:dyDescent="0.35">
      <c r="A89" s="9" t="s">
        <v>223</v>
      </c>
      <c r="B89" s="9" t="s">
        <v>203</v>
      </c>
      <c r="C89" s="10" t="s">
        <v>224</v>
      </c>
      <c r="D89" s="11">
        <v>10</v>
      </c>
      <c r="E89" s="14"/>
      <c r="F89" s="13"/>
      <c r="G89" s="10" t="s">
        <v>49</v>
      </c>
      <c r="H89" s="15" t="s">
        <v>225</v>
      </c>
      <c r="I89" s="9"/>
    </row>
    <row r="90" spans="1:9" x14ac:dyDescent="0.35">
      <c r="A90" s="9" t="s">
        <v>226</v>
      </c>
      <c r="B90" s="9" t="s">
        <v>203</v>
      </c>
      <c r="C90" s="10" t="s">
        <v>227</v>
      </c>
      <c r="D90" s="11">
        <v>3</v>
      </c>
      <c r="E90" s="14"/>
      <c r="F90" s="13"/>
      <c r="G90" s="10" t="s">
        <v>49</v>
      </c>
      <c r="H90" s="15" t="s">
        <v>228</v>
      </c>
      <c r="I90" s="9"/>
    </row>
    <row r="91" spans="1:9" x14ac:dyDescent="0.35">
      <c r="A91" s="9" t="s">
        <v>229</v>
      </c>
      <c r="B91" s="9" t="s">
        <v>203</v>
      </c>
      <c r="C91" s="10" t="s">
        <v>230</v>
      </c>
      <c r="D91" s="11">
        <v>3.47</v>
      </c>
      <c r="E91" s="14"/>
      <c r="F91" s="13"/>
      <c r="G91" s="10" t="s">
        <v>49</v>
      </c>
      <c r="H91" s="15" t="s">
        <v>231</v>
      </c>
      <c r="I91" s="9"/>
    </row>
    <row r="92" spans="1:9" x14ac:dyDescent="0.35">
      <c r="A92" s="9" t="s">
        <v>232</v>
      </c>
      <c r="B92" s="9" t="s">
        <v>203</v>
      </c>
      <c r="C92" s="10" t="s">
        <v>233</v>
      </c>
      <c r="D92" s="11">
        <v>9</v>
      </c>
      <c r="E92" s="14"/>
      <c r="F92" s="13"/>
      <c r="G92" s="10" t="s">
        <v>49</v>
      </c>
      <c r="H92" s="15" t="s">
        <v>222</v>
      </c>
      <c r="I92" s="9"/>
    </row>
    <row r="93" spans="1:9" x14ac:dyDescent="0.35">
      <c r="A93" s="9" t="s">
        <v>1201</v>
      </c>
      <c r="B93" s="9" t="s">
        <v>203</v>
      </c>
      <c r="C93" s="10" t="s">
        <v>234</v>
      </c>
      <c r="D93" s="11"/>
      <c r="E93" s="14"/>
      <c r="F93" s="13"/>
      <c r="G93" s="10" t="s">
        <v>49</v>
      </c>
      <c r="H93" s="15" t="s">
        <v>235</v>
      </c>
      <c r="I93" s="9"/>
    </row>
    <row r="94" spans="1:9" x14ac:dyDescent="0.35">
      <c r="A94" s="9" t="s">
        <v>236</v>
      </c>
      <c r="B94" s="9" t="s">
        <v>203</v>
      </c>
      <c r="C94" s="10" t="s">
        <v>237</v>
      </c>
      <c r="D94" s="11">
        <v>1.5</v>
      </c>
      <c r="E94" s="14"/>
      <c r="F94" s="13"/>
      <c r="G94" s="10" t="s">
        <v>49</v>
      </c>
      <c r="H94" s="15" t="s">
        <v>238</v>
      </c>
      <c r="I94" s="9"/>
    </row>
    <row r="95" spans="1:9" x14ac:dyDescent="0.35">
      <c r="A95" s="9" t="s">
        <v>239</v>
      </c>
      <c r="B95" s="9" t="s">
        <v>203</v>
      </c>
      <c r="C95" s="10" t="s">
        <v>240</v>
      </c>
      <c r="D95" s="11">
        <v>6</v>
      </c>
      <c r="E95" s="14"/>
      <c r="F95" s="13"/>
      <c r="G95" s="10" t="s">
        <v>49</v>
      </c>
      <c r="H95" s="15" t="s">
        <v>222</v>
      </c>
      <c r="I95" s="9"/>
    </row>
    <row r="96" spans="1:9" x14ac:dyDescent="0.35">
      <c r="A96" s="9" t="s">
        <v>241</v>
      </c>
      <c r="B96" s="9" t="s">
        <v>203</v>
      </c>
      <c r="C96" s="10" t="s">
        <v>242</v>
      </c>
      <c r="D96" s="11">
        <v>8</v>
      </c>
      <c r="E96" s="14"/>
      <c r="F96" s="13"/>
      <c r="G96" s="10" t="s">
        <v>49</v>
      </c>
      <c r="H96" s="15" t="s">
        <v>222</v>
      </c>
      <c r="I96" s="9"/>
    </row>
    <row r="97" spans="1:9" x14ac:dyDescent="0.35">
      <c r="A97" s="9" t="s">
        <v>243</v>
      </c>
      <c r="B97" s="9" t="s">
        <v>203</v>
      </c>
      <c r="C97" s="10" t="s">
        <v>244</v>
      </c>
      <c r="D97" s="11">
        <v>4</v>
      </c>
      <c r="E97" s="14"/>
      <c r="F97" s="13"/>
      <c r="G97" s="10" t="s">
        <v>49</v>
      </c>
      <c r="H97" s="15" t="s">
        <v>245</v>
      </c>
      <c r="I97" s="9"/>
    </row>
    <row r="98" spans="1:9" x14ac:dyDescent="0.35">
      <c r="A98" s="9" t="s">
        <v>246</v>
      </c>
      <c r="B98" s="9" t="s">
        <v>203</v>
      </c>
      <c r="C98" s="10" t="s">
        <v>247</v>
      </c>
      <c r="D98" s="11">
        <v>1</v>
      </c>
      <c r="E98" s="14"/>
      <c r="F98" s="13"/>
      <c r="G98" s="10" t="s">
        <v>49</v>
      </c>
      <c r="H98" s="15" t="s">
        <v>248</v>
      </c>
      <c r="I98" s="9"/>
    </row>
    <row r="99" spans="1:9" x14ac:dyDescent="0.35">
      <c r="A99" s="9" t="s">
        <v>249</v>
      </c>
      <c r="B99" s="9" t="s">
        <v>49</v>
      </c>
      <c r="C99" s="10" t="s">
        <v>250</v>
      </c>
      <c r="D99" s="11">
        <v>95</v>
      </c>
      <c r="E99" s="14"/>
      <c r="F99" s="13"/>
      <c r="G99" s="10" t="s">
        <v>49</v>
      </c>
      <c r="H99" s="15" t="s">
        <v>251</v>
      </c>
      <c r="I99" s="9"/>
    </row>
    <row r="100" spans="1:9" x14ac:dyDescent="0.35">
      <c r="A100" s="9" t="s">
        <v>252</v>
      </c>
      <c r="B100" s="9" t="s">
        <v>49</v>
      </c>
      <c r="C100" s="10" t="s">
        <v>253</v>
      </c>
      <c r="D100" s="11">
        <v>55</v>
      </c>
      <c r="E100" s="14"/>
      <c r="F100" s="13"/>
      <c r="G100" s="10" t="s">
        <v>49</v>
      </c>
      <c r="H100" s="15" t="s">
        <v>251</v>
      </c>
      <c r="I100" s="9"/>
    </row>
    <row r="101" spans="1:9" x14ac:dyDescent="0.35">
      <c r="A101" s="9" t="s">
        <v>254</v>
      </c>
      <c r="B101" s="9" t="s">
        <v>49</v>
      </c>
      <c r="C101" s="10" t="s">
        <v>255</v>
      </c>
      <c r="D101" s="11">
        <v>5</v>
      </c>
      <c r="E101" s="14"/>
      <c r="F101" s="13"/>
      <c r="G101" s="10" t="s">
        <v>49</v>
      </c>
      <c r="H101" s="15" t="s">
        <v>222</v>
      </c>
      <c r="I101" s="9"/>
    </row>
    <row r="102" spans="1:9" x14ac:dyDescent="0.35">
      <c r="A102" s="9" t="s">
        <v>256</v>
      </c>
      <c r="B102" s="9" t="s">
        <v>49</v>
      </c>
      <c r="C102" s="10" t="s">
        <v>257</v>
      </c>
      <c r="D102" s="11">
        <v>8</v>
      </c>
      <c r="E102" s="14"/>
      <c r="F102" s="13"/>
      <c r="G102" s="10" t="s">
        <v>49</v>
      </c>
      <c r="H102" s="15" t="s">
        <v>222</v>
      </c>
      <c r="I102" s="9"/>
    </row>
    <row r="103" spans="1:9" x14ac:dyDescent="0.35">
      <c r="A103" s="9" t="s">
        <v>258</v>
      </c>
      <c r="B103" s="9" t="s">
        <v>49</v>
      </c>
      <c r="C103" s="10" t="s">
        <v>259</v>
      </c>
      <c r="D103" s="11">
        <v>12.79</v>
      </c>
      <c r="E103" s="14"/>
      <c r="F103" s="13"/>
      <c r="G103" s="10" t="s">
        <v>49</v>
      </c>
      <c r="H103" s="15" t="s">
        <v>225</v>
      </c>
      <c r="I103" s="9"/>
    </row>
    <row r="104" spans="1:9" x14ac:dyDescent="0.35">
      <c r="A104" s="9" t="s">
        <v>260</v>
      </c>
      <c r="B104" s="9" t="s">
        <v>49</v>
      </c>
      <c r="C104" s="10" t="s">
        <v>261</v>
      </c>
      <c r="D104" s="11">
        <v>15</v>
      </c>
      <c r="E104" s="14"/>
      <c r="F104" s="13"/>
      <c r="G104" s="10" t="s">
        <v>49</v>
      </c>
      <c r="H104" s="15" t="s">
        <v>222</v>
      </c>
      <c r="I104" s="9"/>
    </row>
    <row r="105" spans="1:9" x14ac:dyDescent="0.35">
      <c r="A105" s="9" t="s">
        <v>262</v>
      </c>
      <c r="B105" s="9" t="s">
        <v>49</v>
      </c>
      <c r="C105" s="10" t="s">
        <v>233</v>
      </c>
      <c r="D105" s="11">
        <v>4</v>
      </c>
      <c r="E105" s="14"/>
      <c r="F105" s="13"/>
      <c r="G105" s="10" t="s">
        <v>49</v>
      </c>
      <c r="H105" s="15" t="s">
        <v>222</v>
      </c>
      <c r="I105" s="9"/>
    </row>
    <row r="106" spans="1:9" x14ac:dyDescent="0.35">
      <c r="A106" s="9" t="s">
        <v>263</v>
      </c>
      <c r="B106" s="9" t="s">
        <v>49</v>
      </c>
      <c r="C106" s="10" t="s">
        <v>264</v>
      </c>
      <c r="D106" s="11">
        <v>20</v>
      </c>
      <c r="E106" s="14"/>
      <c r="F106" s="13"/>
      <c r="G106" s="10" t="s">
        <v>49</v>
      </c>
      <c r="H106" s="15" t="s">
        <v>222</v>
      </c>
      <c r="I106" s="9"/>
    </row>
    <row r="107" spans="1:9" x14ac:dyDescent="0.35">
      <c r="A107" s="9" t="s">
        <v>265</v>
      </c>
      <c r="B107" s="9" t="s">
        <v>266</v>
      </c>
      <c r="C107" s="10" t="s">
        <v>267</v>
      </c>
      <c r="D107" s="11">
        <v>3.5</v>
      </c>
      <c r="E107" s="14"/>
      <c r="F107" s="13"/>
      <c r="G107" s="10" t="s">
        <v>49</v>
      </c>
      <c r="H107" s="15" t="s">
        <v>182</v>
      </c>
      <c r="I107" s="9"/>
    </row>
    <row r="108" spans="1:9" x14ac:dyDescent="0.35">
      <c r="A108" s="9" t="s">
        <v>268</v>
      </c>
      <c r="B108" s="9" t="s">
        <v>266</v>
      </c>
      <c r="C108" s="10" t="s">
        <v>269</v>
      </c>
      <c r="D108" s="11">
        <v>5</v>
      </c>
      <c r="E108" s="14"/>
      <c r="F108" s="13"/>
      <c r="G108" s="10" t="s">
        <v>49</v>
      </c>
      <c r="H108" s="15" t="s">
        <v>245</v>
      </c>
      <c r="I108" s="9"/>
    </row>
    <row r="109" spans="1:9" x14ac:dyDescent="0.35">
      <c r="A109" s="9" t="s">
        <v>270</v>
      </c>
      <c r="B109" s="9" t="s">
        <v>266</v>
      </c>
      <c r="C109" s="10" t="s">
        <v>271</v>
      </c>
      <c r="D109" s="11">
        <v>4</v>
      </c>
      <c r="E109" s="14"/>
      <c r="F109" s="13"/>
      <c r="G109" s="10" t="s">
        <v>49</v>
      </c>
      <c r="H109" s="15" t="s">
        <v>272</v>
      </c>
      <c r="I109" s="9"/>
    </row>
    <row r="110" spans="1:9" x14ac:dyDescent="0.35">
      <c r="A110" s="9" t="s">
        <v>273</v>
      </c>
      <c r="B110" s="9" t="s">
        <v>266</v>
      </c>
      <c r="C110" s="10" t="s">
        <v>274</v>
      </c>
      <c r="D110" s="11">
        <v>15</v>
      </c>
      <c r="E110" s="14"/>
      <c r="F110" s="13"/>
      <c r="G110" s="10" t="s">
        <v>49</v>
      </c>
      <c r="H110" s="15" t="s">
        <v>275</v>
      </c>
      <c r="I110" s="9"/>
    </row>
    <row r="111" spans="1:9" x14ac:dyDescent="0.35">
      <c r="A111" s="9" t="s">
        <v>276</v>
      </c>
      <c r="B111" s="9" t="s">
        <v>266</v>
      </c>
      <c r="C111" s="10" t="s">
        <v>277</v>
      </c>
      <c r="D111" s="11">
        <v>8</v>
      </c>
      <c r="E111" s="14"/>
      <c r="F111" s="13"/>
      <c r="G111" s="10" t="s">
        <v>49</v>
      </c>
      <c r="H111" s="15" t="s">
        <v>182</v>
      </c>
      <c r="I111" s="9"/>
    </row>
    <row r="112" spans="1:9" x14ac:dyDescent="0.35">
      <c r="A112" s="9" t="s">
        <v>278</v>
      </c>
      <c r="B112" s="9" t="s">
        <v>266</v>
      </c>
      <c r="C112" s="10" t="s">
        <v>279</v>
      </c>
      <c r="D112" s="11">
        <v>6</v>
      </c>
      <c r="E112" s="14"/>
      <c r="F112" s="13"/>
      <c r="G112" s="10" t="s">
        <v>49</v>
      </c>
      <c r="H112" s="15" t="s">
        <v>280</v>
      </c>
      <c r="I112" s="9"/>
    </row>
    <row r="113" spans="1:9" x14ac:dyDescent="0.35">
      <c r="A113" s="9" t="s">
        <v>281</v>
      </c>
      <c r="B113" s="9" t="s">
        <v>266</v>
      </c>
      <c r="C113" s="10" t="s">
        <v>282</v>
      </c>
      <c r="D113" s="11">
        <v>5.5</v>
      </c>
      <c r="E113" s="14"/>
      <c r="F113" s="13"/>
      <c r="G113" s="10" t="s">
        <v>49</v>
      </c>
      <c r="H113" s="15" t="s">
        <v>283</v>
      </c>
      <c r="I113" s="9"/>
    </row>
    <row r="114" spans="1:9" x14ac:dyDescent="0.35">
      <c r="A114" s="9" t="s">
        <v>284</v>
      </c>
      <c r="B114" s="9" t="s">
        <v>285</v>
      </c>
      <c r="C114" s="10">
        <v>65</v>
      </c>
      <c r="D114" s="11">
        <v>698</v>
      </c>
      <c r="E114" s="12">
        <v>1</v>
      </c>
      <c r="F114" s="13"/>
      <c r="G114" s="10" t="s">
        <v>49</v>
      </c>
      <c r="H114" s="9"/>
      <c r="I114" s="9"/>
    </row>
    <row r="115" spans="1:9" x14ac:dyDescent="0.35">
      <c r="A115" s="9" t="s">
        <v>286</v>
      </c>
      <c r="B115" s="9" t="s">
        <v>287</v>
      </c>
      <c r="C115" s="10" t="s">
        <v>288</v>
      </c>
      <c r="D115" s="11">
        <v>30.39</v>
      </c>
      <c r="E115" s="14"/>
      <c r="F115" s="13"/>
      <c r="G115" s="10" t="s">
        <v>49</v>
      </c>
      <c r="H115" s="15" t="s">
        <v>289</v>
      </c>
      <c r="I115" s="9"/>
    </row>
    <row r="116" spans="1:9" x14ac:dyDescent="0.35">
      <c r="A116" s="9" t="s">
        <v>1198</v>
      </c>
      <c r="B116" s="9" t="s">
        <v>203</v>
      </c>
      <c r="C116" s="10" t="s">
        <v>204</v>
      </c>
      <c r="D116" s="11"/>
      <c r="E116" s="14"/>
      <c r="F116" s="13"/>
      <c r="G116" s="10" t="s">
        <v>49</v>
      </c>
      <c r="H116" s="15" t="s">
        <v>205</v>
      </c>
      <c r="I116" s="9"/>
    </row>
    <row r="117" spans="1:9" x14ac:dyDescent="0.35">
      <c r="A117" s="9" t="s">
        <v>290</v>
      </c>
      <c r="B117" s="9" t="s">
        <v>203</v>
      </c>
      <c r="C117" s="10" t="s">
        <v>291</v>
      </c>
      <c r="D117" s="11">
        <v>18.239999999999998</v>
      </c>
      <c r="E117" s="14"/>
      <c r="F117" s="13"/>
      <c r="G117" s="10" t="s">
        <v>49</v>
      </c>
      <c r="H117" s="15" t="s">
        <v>292</v>
      </c>
      <c r="I117" s="9"/>
    </row>
    <row r="118" spans="1:9" x14ac:dyDescent="0.35">
      <c r="A118" s="9" t="s">
        <v>1199</v>
      </c>
      <c r="B118" s="9" t="s">
        <v>203</v>
      </c>
      <c r="C118" s="10" t="s">
        <v>291</v>
      </c>
      <c r="D118" s="11"/>
      <c r="E118" s="14"/>
      <c r="F118" s="13"/>
      <c r="G118" s="10" t="s">
        <v>49</v>
      </c>
      <c r="H118" s="15" t="s">
        <v>292</v>
      </c>
      <c r="I118" s="9"/>
    </row>
    <row r="119" spans="1:9" x14ac:dyDescent="0.35">
      <c r="A119" s="9" t="s">
        <v>293</v>
      </c>
      <c r="B119" s="9" t="s">
        <v>203</v>
      </c>
      <c r="C119" s="10" t="s">
        <v>294</v>
      </c>
      <c r="D119" s="11">
        <v>7.69</v>
      </c>
      <c r="E119" s="14"/>
      <c r="F119" s="13"/>
      <c r="G119" s="10" t="s">
        <v>49</v>
      </c>
      <c r="H119" s="15" t="s">
        <v>211</v>
      </c>
      <c r="I119" s="9"/>
    </row>
    <row r="120" spans="1:9" x14ac:dyDescent="0.35">
      <c r="A120" s="9" t="s">
        <v>1200</v>
      </c>
      <c r="B120" s="9" t="s">
        <v>203</v>
      </c>
      <c r="C120" s="10" t="s">
        <v>295</v>
      </c>
      <c r="D120" s="11"/>
      <c r="E120" s="14"/>
      <c r="F120" s="13"/>
      <c r="G120" s="10" t="s">
        <v>49</v>
      </c>
      <c r="H120" s="15" t="s">
        <v>296</v>
      </c>
      <c r="I120" s="9"/>
    </row>
    <row r="121" spans="1:9" x14ac:dyDescent="0.35">
      <c r="A121" s="9" t="s">
        <v>755</v>
      </c>
      <c r="B121" s="9" t="s">
        <v>149</v>
      </c>
      <c r="C121" s="10" t="s">
        <v>114</v>
      </c>
      <c r="D121" s="9"/>
      <c r="E121" s="9">
        <v>2</v>
      </c>
      <c r="F121" s="13"/>
      <c r="G121" s="10" t="s">
        <v>748</v>
      </c>
      <c r="H121" s="9"/>
      <c r="I121" s="9"/>
    </row>
    <row r="122" spans="1:9" x14ac:dyDescent="0.35">
      <c r="A122" s="9" t="s">
        <v>756</v>
      </c>
      <c r="B122" s="9" t="s">
        <v>149</v>
      </c>
      <c r="C122" s="10" t="s">
        <v>114</v>
      </c>
      <c r="D122" s="9"/>
      <c r="E122" s="9">
        <v>10</v>
      </c>
      <c r="F122" s="13"/>
      <c r="G122" s="10" t="s">
        <v>748</v>
      </c>
      <c r="H122" s="9"/>
      <c r="I122" s="9"/>
    </row>
    <row r="123" spans="1:9" x14ac:dyDescent="0.35">
      <c r="A123" s="9" t="s">
        <v>757</v>
      </c>
      <c r="B123" s="9" t="s">
        <v>149</v>
      </c>
      <c r="C123" s="10" t="s">
        <v>114</v>
      </c>
      <c r="D123" s="9"/>
      <c r="E123" s="9">
        <v>10</v>
      </c>
      <c r="F123" s="13"/>
      <c r="G123" s="10" t="s">
        <v>748</v>
      </c>
      <c r="H123" s="9"/>
      <c r="I123" s="9"/>
    </row>
    <row r="124" spans="1:9" x14ac:dyDescent="0.35">
      <c r="A124" s="9" t="s">
        <v>741</v>
      </c>
      <c r="B124" s="9" t="s">
        <v>744</v>
      </c>
      <c r="C124" s="10" t="s">
        <v>114</v>
      </c>
      <c r="D124" s="9">
        <v>8</v>
      </c>
      <c r="E124" s="9">
        <v>1</v>
      </c>
      <c r="F124" s="13"/>
      <c r="G124" s="10" t="s">
        <v>749</v>
      </c>
      <c r="H124" s="9"/>
      <c r="I124" s="9"/>
    </row>
    <row r="125" spans="1:9" x14ac:dyDescent="0.35">
      <c r="A125" s="9" t="s">
        <v>742</v>
      </c>
      <c r="B125" s="9" t="s">
        <v>744</v>
      </c>
      <c r="C125" s="10" t="s">
        <v>114</v>
      </c>
      <c r="D125" s="9">
        <v>12</v>
      </c>
      <c r="E125" s="9">
        <v>1</v>
      </c>
      <c r="F125" s="13"/>
      <c r="G125" s="10" t="s">
        <v>749</v>
      </c>
      <c r="H125" s="9"/>
      <c r="I125" s="9"/>
    </row>
    <row r="126" spans="1:9" x14ac:dyDescent="0.35">
      <c r="A126" s="9" t="s">
        <v>758</v>
      </c>
      <c r="B126" s="9" t="s">
        <v>745</v>
      </c>
      <c r="C126" s="10" t="s">
        <v>114</v>
      </c>
      <c r="D126" s="9"/>
      <c r="E126" s="9">
        <v>1</v>
      </c>
      <c r="F126" s="13"/>
      <c r="G126" s="10" t="s">
        <v>745</v>
      </c>
      <c r="H126" s="9"/>
      <c r="I126" s="9"/>
    </row>
    <row r="127" spans="1:9" x14ac:dyDescent="0.35">
      <c r="A127" s="9" t="s">
        <v>743</v>
      </c>
      <c r="B127" s="9" t="s">
        <v>100</v>
      </c>
      <c r="C127" s="10" t="s">
        <v>114</v>
      </c>
      <c r="D127" s="9">
        <v>0</v>
      </c>
      <c r="E127" s="9">
        <v>1</v>
      </c>
      <c r="F127" s="13"/>
      <c r="G127" s="10" t="s">
        <v>100</v>
      </c>
      <c r="H127" s="9"/>
      <c r="I127" s="9"/>
    </row>
    <row r="128" spans="1:9" x14ac:dyDescent="0.35">
      <c r="A128" s="9" t="s">
        <v>746</v>
      </c>
      <c r="B128" s="9" t="s">
        <v>100</v>
      </c>
      <c r="C128" s="10" t="s">
        <v>114</v>
      </c>
      <c r="D128" s="9">
        <v>0</v>
      </c>
      <c r="E128" s="9">
        <v>1</v>
      </c>
      <c r="F128" s="13"/>
      <c r="G128" s="10" t="s">
        <v>100</v>
      </c>
      <c r="H128" s="9"/>
      <c r="I128" s="9"/>
    </row>
    <row r="129" spans="1:9" x14ac:dyDescent="0.35">
      <c r="A129" s="9" t="s">
        <v>747</v>
      </c>
      <c r="B129" s="9" t="s">
        <v>116</v>
      </c>
      <c r="C129" s="10">
        <v>180</v>
      </c>
      <c r="D129" s="9">
        <v>0</v>
      </c>
      <c r="E129" s="9">
        <v>180</v>
      </c>
      <c r="F129" s="13"/>
      <c r="G129" s="10" t="s">
        <v>100</v>
      </c>
      <c r="H129" s="9"/>
      <c r="I129" s="9"/>
    </row>
    <row r="130" spans="1:9" x14ac:dyDescent="0.35">
      <c r="A130" s="9"/>
      <c r="B130" s="9"/>
      <c r="C130" s="9"/>
      <c r="D130" s="9"/>
      <c r="E130" s="9"/>
      <c r="F130" s="9"/>
      <c r="G130" s="9"/>
      <c r="H130" s="9"/>
      <c r="I130" s="9"/>
    </row>
    <row r="131" spans="1:9" x14ac:dyDescent="0.35">
      <c r="A131" s="9"/>
      <c r="B131" s="9"/>
      <c r="C131" s="9"/>
      <c r="D131" s="9"/>
      <c r="E131" s="9"/>
      <c r="F131" s="9"/>
      <c r="G131" s="9"/>
      <c r="H131" s="9"/>
      <c r="I131" s="9"/>
    </row>
    <row r="132" spans="1:9" x14ac:dyDescent="0.35">
      <c r="A132" s="9"/>
      <c r="B132" s="9"/>
      <c r="C132" s="9"/>
      <c r="D132" s="9"/>
      <c r="E132" s="9"/>
      <c r="F132" s="9"/>
      <c r="G132" s="9"/>
      <c r="H132" s="9"/>
      <c r="I132" s="9"/>
    </row>
    <row r="133" spans="1:9" x14ac:dyDescent="0.35">
      <c r="A133" s="9"/>
      <c r="B133" s="9"/>
      <c r="C133" s="9"/>
      <c r="D133" s="9"/>
      <c r="E133" s="9"/>
      <c r="F133" s="9"/>
      <c r="G133" s="9"/>
      <c r="H133" s="9"/>
      <c r="I133" s="9"/>
    </row>
    <row r="134" spans="1:9" x14ac:dyDescent="0.35">
      <c r="A134" s="9"/>
      <c r="B134" s="9"/>
      <c r="C134" s="9"/>
      <c r="D134" s="9"/>
      <c r="E134" s="9"/>
      <c r="F134" s="9"/>
      <c r="G134" s="9"/>
      <c r="H134" s="9"/>
      <c r="I134" s="9"/>
    </row>
    <row r="135" spans="1:9" x14ac:dyDescent="0.35">
      <c r="A135" s="9"/>
      <c r="B135" s="9"/>
      <c r="C135" s="9"/>
      <c r="D135" s="9"/>
      <c r="E135" s="9"/>
      <c r="F135" s="9"/>
      <c r="G135" s="9"/>
      <c r="H135" s="9"/>
      <c r="I135" s="9"/>
    </row>
    <row r="136" spans="1:9" x14ac:dyDescent="0.35">
      <c r="A136" s="9"/>
      <c r="B136" s="9"/>
      <c r="C136" s="9"/>
      <c r="D136" s="9"/>
      <c r="E136" s="9"/>
      <c r="F136" s="9"/>
      <c r="G136" s="9"/>
      <c r="H136" s="9"/>
      <c r="I136" s="9"/>
    </row>
    <row r="137" spans="1:9" x14ac:dyDescent="0.35">
      <c r="A137" s="9"/>
      <c r="B137" s="9"/>
      <c r="C137" s="9"/>
      <c r="D137" s="9"/>
      <c r="E137" s="9"/>
      <c r="F137" s="9"/>
      <c r="G137" s="9"/>
      <c r="H137" s="9"/>
      <c r="I137" s="9"/>
    </row>
    <row r="138" spans="1:9" x14ac:dyDescent="0.35">
      <c r="A138" s="9"/>
      <c r="B138" s="9"/>
      <c r="C138" s="9"/>
      <c r="D138" s="9"/>
      <c r="E138" s="9"/>
      <c r="F138" s="9"/>
      <c r="G138" s="9"/>
      <c r="H138" s="9"/>
      <c r="I138" s="9"/>
    </row>
    <row r="139" spans="1:9" x14ac:dyDescent="0.35">
      <c r="A139" s="9"/>
      <c r="B139" s="9"/>
      <c r="C139" s="9"/>
      <c r="D139" s="9"/>
      <c r="E139" s="9"/>
      <c r="F139" s="9"/>
      <c r="G139" s="9"/>
      <c r="H139" s="9"/>
      <c r="I139" s="9"/>
    </row>
    <row r="140" spans="1:9" x14ac:dyDescent="0.35">
      <c r="A140" s="9"/>
      <c r="B140" s="9"/>
      <c r="C140" s="9"/>
      <c r="D140" s="9"/>
      <c r="E140" s="9"/>
      <c r="F140" s="9"/>
      <c r="G140" s="9"/>
      <c r="H140" s="9"/>
      <c r="I140" s="9"/>
    </row>
    <row r="141" spans="1:9" x14ac:dyDescent="0.35">
      <c r="A141" s="9"/>
      <c r="B141" s="9"/>
      <c r="C141" s="9"/>
      <c r="D141" s="9"/>
      <c r="E141" s="9"/>
      <c r="F141" s="9"/>
      <c r="G141" s="9"/>
      <c r="H141" s="9"/>
      <c r="I141" s="9"/>
    </row>
    <row r="142" spans="1:9" x14ac:dyDescent="0.35">
      <c r="A142" s="9"/>
      <c r="B142" s="9"/>
      <c r="C142" s="9"/>
      <c r="D142" s="9"/>
      <c r="E142" s="9"/>
      <c r="F142" s="9"/>
      <c r="G142" s="9"/>
      <c r="H142" s="9"/>
      <c r="I142" s="9"/>
    </row>
    <row r="143" spans="1:9" x14ac:dyDescent="0.35">
      <c r="A143" s="9"/>
      <c r="B143" s="9"/>
      <c r="C143" s="9"/>
      <c r="D143" s="9"/>
      <c r="E143" s="9"/>
      <c r="F143" s="9"/>
      <c r="G143" s="9"/>
      <c r="H143" s="9"/>
      <c r="I143" s="9"/>
    </row>
    <row r="144" spans="1:9" x14ac:dyDescent="0.35">
      <c r="A144" s="9"/>
      <c r="B144" s="9"/>
      <c r="C144" s="9"/>
      <c r="D144" s="9"/>
      <c r="E144" s="9"/>
      <c r="F144" s="9"/>
      <c r="G144" s="9"/>
      <c r="H144" s="9"/>
      <c r="I144" s="9"/>
    </row>
    <row r="145" spans="1:9" x14ac:dyDescent="0.35">
      <c r="A145" s="9"/>
      <c r="B145" s="9"/>
      <c r="C145" s="9"/>
      <c r="D145" s="9"/>
      <c r="E145" s="9"/>
      <c r="F145" s="9"/>
      <c r="G145" s="9"/>
      <c r="H145" s="9"/>
      <c r="I145" s="9"/>
    </row>
    <row r="146" spans="1:9" x14ac:dyDescent="0.35">
      <c r="A146" s="9"/>
      <c r="B146" s="9"/>
      <c r="C146" s="9"/>
      <c r="D146" s="9"/>
      <c r="E146" s="9"/>
      <c r="F146" s="9"/>
      <c r="G146" s="9"/>
      <c r="H146" s="9"/>
      <c r="I146" s="9"/>
    </row>
    <row r="147" spans="1:9" x14ac:dyDescent="0.35">
      <c r="A147" s="9"/>
      <c r="B147" s="9"/>
      <c r="C147" s="9"/>
      <c r="D147" s="9"/>
      <c r="E147" s="9"/>
      <c r="F147" s="9"/>
      <c r="G147" s="9"/>
      <c r="H147" s="9"/>
      <c r="I147" s="9"/>
    </row>
    <row r="148" spans="1:9" x14ac:dyDescent="0.35">
      <c r="A148" s="9"/>
      <c r="B148" s="9"/>
      <c r="C148" s="9"/>
      <c r="D148" s="9"/>
      <c r="E148" s="9"/>
      <c r="F148" s="9"/>
      <c r="G148" s="9"/>
      <c r="H148" s="9"/>
      <c r="I148" s="9"/>
    </row>
    <row r="149" spans="1:9" x14ac:dyDescent="0.35">
      <c r="A149" s="9"/>
      <c r="B149" s="9"/>
      <c r="C149" s="9"/>
      <c r="D149" s="9"/>
      <c r="E149" s="9"/>
      <c r="F149" s="9"/>
      <c r="G149" s="9"/>
      <c r="H149" s="9"/>
      <c r="I149" s="9"/>
    </row>
    <row r="150" spans="1:9" x14ac:dyDescent="0.35">
      <c r="A150" s="9"/>
      <c r="B150" s="9"/>
      <c r="C150" s="9"/>
      <c r="D150" s="9"/>
      <c r="E150" s="9"/>
      <c r="F150" s="9"/>
      <c r="G150" s="9"/>
      <c r="H150" s="9"/>
      <c r="I150" s="9"/>
    </row>
    <row r="151" spans="1:9" x14ac:dyDescent="0.35">
      <c r="A151" s="9"/>
      <c r="B151" s="9"/>
      <c r="C151" s="9"/>
      <c r="D151" s="9"/>
      <c r="E151" s="9"/>
      <c r="F151" s="9"/>
      <c r="G151" s="9"/>
      <c r="H151" s="9"/>
      <c r="I151" s="9"/>
    </row>
    <row r="152" spans="1:9" x14ac:dyDescent="0.35">
      <c r="A152" s="9"/>
      <c r="B152" s="9"/>
      <c r="C152" s="9"/>
      <c r="D152" s="9"/>
      <c r="E152" s="9"/>
      <c r="F152" s="9"/>
      <c r="G152" s="9"/>
      <c r="H152" s="9"/>
      <c r="I152" s="9"/>
    </row>
    <row r="153" spans="1:9" x14ac:dyDescent="0.35">
      <c r="A153" s="9"/>
      <c r="B153" s="9"/>
      <c r="C153" s="9"/>
      <c r="D153" s="9"/>
      <c r="E153" s="9"/>
      <c r="F153" s="9"/>
      <c r="G153" s="9"/>
      <c r="H153" s="9"/>
      <c r="I153" s="9"/>
    </row>
    <row r="154" spans="1:9" x14ac:dyDescent="0.35">
      <c r="A154" s="9"/>
      <c r="B154" s="9"/>
      <c r="C154" s="9"/>
      <c r="D154" s="9"/>
      <c r="E154" s="9"/>
      <c r="F154" s="9"/>
      <c r="G154" s="9"/>
      <c r="H154" s="9"/>
      <c r="I154" s="9"/>
    </row>
    <row r="155" spans="1:9" x14ac:dyDescent="0.35">
      <c r="A155" s="9"/>
      <c r="B155" s="9"/>
      <c r="C155" s="9"/>
      <c r="D155" s="9"/>
      <c r="E155" s="9"/>
      <c r="F155" s="9"/>
      <c r="G155" s="9"/>
      <c r="H155" s="9"/>
      <c r="I155" s="9"/>
    </row>
    <row r="156" spans="1:9" x14ac:dyDescent="0.35">
      <c r="A156" s="9"/>
      <c r="B156" s="9"/>
      <c r="C156" s="9"/>
      <c r="D156" s="9"/>
      <c r="E156" s="9"/>
      <c r="F156" s="9"/>
      <c r="G156" s="9"/>
      <c r="H156" s="9"/>
      <c r="I156" s="9"/>
    </row>
    <row r="157" spans="1:9" x14ac:dyDescent="0.35">
      <c r="A157" s="9"/>
      <c r="B157" s="9"/>
      <c r="C157" s="9"/>
      <c r="D157" s="9"/>
      <c r="E157" s="9"/>
      <c r="F157" s="9"/>
      <c r="G157" s="9"/>
      <c r="H157" s="9"/>
      <c r="I157" s="9"/>
    </row>
    <row r="158" spans="1:9" x14ac:dyDescent="0.35">
      <c r="A158" s="9"/>
      <c r="B158" s="9"/>
      <c r="C158" s="9"/>
      <c r="D158" s="9"/>
      <c r="E158" s="9"/>
      <c r="F158" s="9"/>
      <c r="G158" s="9"/>
      <c r="H158" s="9"/>
      <c r="I158" s="9"/>
    </row>
    <row r="159" spans="1:9" x14ac:dyDescent="0.35">
      <c r="A159" s="9"/>
      <c r="B159" s="9"/>
      <c r="C159" s="9"/>
      <c r="D159" s="9"/>
      <c r="E159" s="9"/>
      <c r="F159" s="9"/>
      <c r="G159" s="9"/>
      <c r="H159" s="9"/>
      <c r="I159" s="9"/>
    </row>
    <row r="160" spans="1:9" x14ac:dyDescent="0.35">
      <c r="A160" s="9"/>
      <c r="B160" s="9"/>
      <c r="C160" s="9"/>
      <c r="D160" s="9"/>
      <c r="E160" s="9"/>
      <c r="F160" s="9"/>
      <c r="G160" s="9"/>
      <c r="H160" s="9"/>
      <c r="I160" s="9"/>
    </row>
    <row r="161" spans="1:9" x14ac:dyDescent="0.35">
      <c r="A161" s="9"/>
      <c r="B161" s="9"/>
      <c r="C161" s="9"/>
      <c r="D161" s="9"/>
      <c r="E161" s="9"/>
      <c r="F161" s="9"/>
      <c r="G161" s="9"/>
      <c r="H161" s="9"/>
      <c r="I161" s="9"/>
    </row>
    <row r="162" spans="1:9" x14ac:dyDescent="0.35">
      <c r="A162" s="9"/>
      <c r="B162" s="9"/>
      <c r="C162" s="9"/>
      <c r="D162" s="9"/>
      <c r="E162" s="9"/>
      <c r="F162" s="9"/>
      <c r="G162" s="9"/>
      <c r="H162" s="9"/>
      <c r="I162" s="9"/>
    </row>
    <row r="163" spans="1:9" x14ac:dyDescent="0.35">
      <c r="A163" s="9"/>
      <c r="B163" s="9"/>
      <c r="C163" s="9"/>
      <c r="D163" s="9"/>
      <c r="E163" s="9"/>
      <c r="F163" s="9"/>
      <c r="G163" s="9"/>
      <c r="H163" s="9"/>
      <c r="I163" s="9"/>
    </row>
    <row r="164" spans="1:9" x14ac:dyDescent="0.35">
      <c r="A164" s="9"/>
      <c r="B164" s="9"/>
      <c r="C164" s="9"/>
      <c r="D164" s="9"/>
      <c r="E164" s="9"/>
      <c r="F164" s="9"/>
      <c r="G164" s="9"/>
      <c r="H164" s="9"/>
      <c r="I164" s="9"/>
    </row>
    <row r="165" spans="1:9" x14ac:dyDescent="0.35">
      <c r="A165" s="9"/>
      <c r="B165" s="9"/>
      <c r="C165" s="9"/>
      <c r="D165" s="9"/>
      <c r="E165" s="9"/>
      <c r="F165" s="9"/>
      <c r="G165" s="9"/>
      <c r="H165" s="9"/>
      <c r="I165" s="9"/>
    </row>
    <row r="166" spans="1:9" x14ac:dyDescent="0.35">
      <c r="A166" s="9"/>
      <c r="B166" s="9"/>
      <c r="C166" s="9"/>
      <c r="D166" s="9"/>
      <c r="E166" s="9"/>
      <c r="F166" s="9"/>
      <c r="G166" s="9"/>
      <c r="H166" s="9"/>
      <c r="I166" s="9"/>
    </row>
    <row r="167" spans="1:9" x14ac:dyDescent="0.35">
      <c r="A167" s="9"/>
      <c r="B167" s="9"/>
      <c r="C167" s="9"/>
      <c r="D167" s="9"/>
      <c r="E167" s="9"/>
      <c r="F167" s="9"/>
      <c r="G167" s="9"/>
      <c r="H167" s="9"/>
      <c r="I167" s="9"/>
    </row>
    <row r="168" spans="1:9" x14ac:dyDescent="0.35">
      <c r="A168" s="9"/>
      <c r="B168" s="9"/>
      <c r="C168" s="9"/>
      <c r="D168" s="9"/>
      <c r="E168" s="9"/>
      <c r="F168" s="9"/>
      <c r="G168" s="9"/>
      <c r="H168" s="9"/>
      <c r="I168" s="9"/>
    </row>
    <row r="169" spans="1:9" x14ac:dyDescent="0.35">
      <c r="A169" s="9"/>
      <c r="B169" s="9"/>
      <c r="C169" s="9"/>
      <c r="D169" s="9"/>
      <c r="E169" s="9"/>
      <c r="F169" s="9"/>
      <c r="G169" s="9"/>
      <c r="H169" s="9"/>
      <c r="I169" s="9"/>
    </row>
    <row r="170" spans="1:9" x14ac:dyDescent="0.35">
      <c r="A170" s="9"/>
      <c r="B170" s="9"/>
      <c r="C170" s="9"/>
      <c r="D170" s="9"/>
      <c r="E170" s="9"/>
      <c r="F170" s="9"/>
      <c r="G170" s="9"/>
      <c r="H170" s="9"/>
      <c r="I170" s="9"/>
    </row>
    <row r="171" spans="1:9" x14ac:dyDescent="0.35">
      <c r="A171" s="9"/>
      <c r="B171" s="9"/>
      <c r="C171" s="9"/>
      <c r="D171" s="9"/>
      <c r="E171" s="9"/>
      <c r="F171" s="9"/>
      <c r="G171" s="9"/>
      <c r="H171" s="9"/>
      <c r="I171" s="9"/>
    </row>
    <row r="172" spans="1:9" x14ac:dyDescent="0.35">
      <c r="A172" s="9"/>
      <c r="B172" s="9"/>
      <c r="C172" s="9"/>
      <c r="D172" s="9"/>
      <c r="E172" s="9"/>
      <c r="F172" s="9"/>
      <c r="G172" s="9"/>
      <c r="H172" s="9"/>
      <c r="I172" s="9"/>
    </row>
    <row r="173" spans="1:9" x14ac:dyDescent="0.35">
      <c r="A173" s="9"/>
      <c r="B173" s="9"/>
      <c r="C173" s="9"/>
      <c r="D173" s="9"/>
      <c r="E173" s="9"/>
      <c r="F173" s="9"/>
      <c r="G173" s="9"/>
      <c r="H173" s="9"/>
      <c r="I173" s="9"/>
    </row>
    <row r="174" spans="1:9" x14ac:dyDescent="0.35">
      <c r="A174" s="9"/>
      <c r="B174" s="9"/>
      <c r="C174" s="9"/>
      <c r="D174" s="9"/>
      <c r="E174" s="9"/>
      <c r="F174" s="9"/>
      <c r="G174" s="9"/>
      <c r="H174" s="9"/>
      <c r="I174" s="9"/>
    </row>
    <row r="175" spans="1:9" x14ac:dyDescent="0.35">
      <c r="A175" s="9"/>
      <c r="B175" s="9"/>
      <c r="C175" s="9"/>
      <c r="D175" s="9"/>
      <c r="E175" s="9"/>
      <c r="F175" s="9"/>
      <c r="G175" s="9"/>
      <c r="H175" s="9"/>
      <c r="I175" s="9"/>
    </row>
    <row r="176" spans="1:9" x14ac:dyDescent="0.35">
      <c r="A176" s="9"/>
      <c r="B176" s="9"/>
      <c r="C176" s="9"/>
      <c r="D176" s="9"/>
      <c r="E176" s="9"/>
      <c r="F176" s="9"/>
      <c r="G176" s="9"/>
      <c r="H176" s="9"/>
      <c r="I176" s="9"/>
    </row>
    <row r="177" spans="1:9" x14ac:dyDescent="0.35">
      <c r="A177" s="9"/>
      <c r="B177" s="9"/>
      <c r="C177" s="9"/>
      <c r="D177" s="9"/>
      <c r="E177" s="9"/>
      <c r="F177" s="9"/>
      <c r="G177" s="9"/>
      <c r="H177" s="9"/>
      <c r="I177" s="9"/>
    </row>
    <row r="178" spans="1:9" x14ac:dyDescent="0.35">
      <c r="A178" s="9"/>
      <c r="B178" s="9"/>
      <c r="C178" s="9"/>
      <c r="D178" s="9"/>
      <c r="E178" s="9"/>
      <c r="F178" s="9"/>
      <c r="G178" s="9"/>
      <c r="H178" s="9"/>
      <c r="I178" s="9"/>
    </row>
    <row r="179" spans="1:9" x14ac:dyDescent="0.35">
      <c r="A179" s="9"/>
      <c r="B179" s="9"/>
      <c r="C179" s="9"/>
      <c r="D179" s="9"/>
      <c r="E179" s="9"/>
      <c r="F179" s="9"/>
      <c r="G179" s="9"/>
      <c r="H179" s="9"/>
      <c r="I179" s="9"/>
    </row>
    <row r="180" spans="1:9" x14ac:dyDescent="0.35">
      <c r="A180" s="9"/>
      <c r="B180" s="9"/>
      <c r="C180" s="9"/>
      <c r="D180" s="9"/>
      <c r="E180" s="9"/>
      <c r="F180" s="9"/>
      <c r="G180" s="9"/>
      <c r="H180" s="9"/>
      <c r="I180" s="9"/>
    </row>
    <row r="181" spans="1:9" x14ac:dyDescent="0.35">
      <c r="A181" s="9"/>
      <c r="B181" s="9"/>
      <c r="C181" s="9"/>
      <c r="D181" s="9"/>
      <c r="E181" s="9"/>
      <c r="F181" s="9"/>
      <c r="G181" s="9"/>
      <c r="H181" s="9"/>
      <c r="I181" s="9"/>
    </row>
    <row r="182" spans="1:9" x14ac:dyDescent="0.35">
      <c r="A182" s="9"/>
      <c r="B182" s="9"/>
      <c r="C182" s="9"/>
      <c r="D182" s="9"/>
      <c r="E182" s="9"/>
      <c r="F182" s="9"/>
      <c r="G182" s="9"/>
      <c r="H182" s="9"/>
      <c r="I182" s="9"/>
    </row>
    <row r="183" spans="1:9" x14ac:dyDescent="0.35">
      <c r="A183" s="9"/>
      <c r="B183" s="9"/>
      <c r="C183" s="9"/>
      <c r="D183" s="9"/>
      <c r="E183" s="9"/>
      <c r="F183" s="9"/>
      <c r="G183" s="9"/>
      <c r="H183" s="9"/>
      <c r="I183" s="9"/>
    </row>
    <row r="184" spans="1:9" x14ac:dyDescent="0.35">
      <c r="A184" s="9"/>
      <c r="B184" s="9"/>
      <c r="C184" s="9"/>
      <c r="D184" s="9"/>
      <c r="E184" s="9"/>
      <c r="F184" s="9"/>
      <c r="G184" s="9"/>
      <c r="H184" s="9"/>
      <c r="I184" s="9"/>
    </row>
    <row r="185" spans="1:9" x14ac:dyDescent="0.35">
      <c r="A185" s="9"/>
      <c r="B185" s="9"/>
      <c r="C185" s="9"/>
      <c r="D185" s="9"/>
      <c r="E185" s="9"/>
      <c r="F185" s="9"/>
      <c r="G185" s="9"/>
      <c r="H185" s="9"/>
      <c r="I185" s="9"/>
    </row>
    <row r="186" spans="1:9" x14ac:dyDescent="0.35">
      <c r="A186" s="9"/>
      <c r="B186" s="9"/>
      <c r="C186" s="9"/>
      <c r="D186" s="9"/>
      <c r="E186" s="9"/>
      <c r="F186" s="9"/>
      <c r="G186" s="9"/>
      <c r="H186" s="9"/>
      <c r="I186" s="9"/>
    </row>
    <row r="187" spans="1:9" x14ac:dyDescent="0.35">
      <c r="A187" s="9"/>
      <c r="B187" s="9"/>
      <c r="C187" s="9"/>
      <c r="D187" s="9"/>
      <c r="E187" s="9"/>
      <c r="F187" s="9"/>
      <c r="G187" s="9"/>
      <c r="H187" s="9"/>
      <c r="I187" s="9"/>
    </row>
    <row r="188" spans="1:9" x14ac:dyDescent="0.35">
      <c r="A188" s="9"/>
      <c r="B188" s="9"/>
      <c r="C188" s="9"/>
      <c r="D188" s="9"/>
      <c r="E188" s="9"/>
      <c r="F188" s="9"/>
      <c r="G188" s="9"/>
      <c r="H188" s="9"/>
      <c r="I188" s="9"/>
    </row>
    <row r="189" spans="1:9" x14ac:dyDescent="0.35">
      <c r="A189" s="9"/>
      <c r="B189" s="9"/>
      <c r="C189" s="9"/>
      <c r="D189" s="9"/>
      <c r="E189" s="9"/>
      <c r="F189" s="9"/>
      <c r="G189" s="9"/>
      <c r="H189" s="9"/>
      <c r="I189" s="9"/>
    </row>
    <row r="190" spans="1:9" x14ac:dyDescent="0.35">
      <c r="A190" s="9"/>
      <c r="B190" s="9"/>
      <c r="C190" s="9"/>
      <c r="D190" s="9"/>
      <c r="E190" s="9"/>
      <c r="F190" s="9"/>
      <c r="G190" s="9"/>
      <c r="H190" s="9"/>
      <c r="I190" s="9"/>
    </row>
    <row r="191" spans="1:9" x14ac:dyDescent="0.35">
      <c r="A191" s="9"/>
      <c r="B191" s="9"/>
      <c r="C191" s="9"/>
      <c r="D191" s="9"/>
      <c r="E191" s="9"/>
      <c r="F191" s="9"/>
      <c r="G191" s="9"/>
      <c r="H191" s="9"/>
      <c r="I191" s="9"/>
    </row>
    <row r="192" spans="1:9" x14ac:dyDescent="0.35">
      <c r="A192" s="9"/>
      <c r="B192" s="9"/>
      <c r="C192" s="9"/>
      <c r="D192" s="9"/>
      <c r="E192" s="9"/>
      <c r="F192" s="9"/>
      <c r="G192" s="9"/>
      <c r="H192" s="9"/>
      <c r="I192" s="9"/>
    </row>
    <row r="193" spans="1:9" x14ac:dyDescent="0.35">
      <c r="A193" s="9"/>
      <c r="B193" s="9"/>
      <c r="C193" s="9"/>
      <c r="D193" s="9"/>
      <c r="E193" s="9"/>
      <c r="F193" s="9"/>
      <c r="G193" s="9"/>
      <c r="H193" s="9"/>
      <c r="I193" s="9"/>
    </row>
    <row r="194" spans="1:9" x14ac:dyDescent="0.35">
      <c r="A194" s="9"/>
      <c r="B194" s="9"/>
      <c r="C194" s="9"/>
      <c r="D194" s="9"/>
      <c r="E194" s="9"/>
      <c r="F194" s="9"/>
      <c r="G194" s="9"/>
      <c r="H194" s="9"/>
      <c r="I194" s="9"/>
    </row>
    <row r="195" spans="1:9" x14ac:dyDescent="0.35">
      <c r="A195" s="9"/>
      <c r="B195" s="9"/>
      <c r="C195" s="9"/>
      <c r="D195" s="9"/>
      <c r="E195" s="9"/>
      <c r="F195" s="9"/>
      <c r="G195" s="9"/>
      <c r="H195" s="9"/>
      <c r="I195" s="9"/>
    </row>
    <row r="196" spans="1:9" x14ac:dyDescent="0.35">
      <c r="A196" s="9"/>
      <c r="B196" s="9"/>
      <c r="C196" s="9"/>
      <c r="D196" s="9"/>
      <c r="E196" s="9"/>
      <c r="F196" s="9"/>
      <c r="G196" s="9"/>
      <c r="H196" s="9"/>
      <c r="I196" s="9"/>
    </row>
    <row r="197" spans="1:9" x14ac:dyDescent="0.35">
      <c r="A197" s="9"/>
      <c r="B197" s="9"/>
      <c r="C197" s="9"/>
      <c r="D197" s="9"/>
      <c r="E197" s="9"/>
      <c r="F197" s="9"/>
      <c r="G197" s="9"/>
      <c r="H197" s="9"/>
      <c r="I197" s="9"/>
    </row>
    <row r="198" spans="1:9" x14ac:dyDescent="0.35">
      <c r="A198" s="9"/>
      <c r="B198" s="9"/>
      <c r="C198" s="9"/>
      <c r="D198" s="9"/>
      <c r="E198" s="9"/>
      <c r="F198" s="9"/>
      <c r="G198" s="9"/>
      <c r="H198" s="9"/>
      <c r="I198" s="9"/>
    </row>
    <row r="199" spans="1:9" x14ac:dyDescent="0.35">
      <c r="A199" s="9"/>
      <c r="B199" s="9"/>
      <c r="C199" s="9"/>
      <c r="D199" s="9"/>
      <c r="E199" s="9"/>
      <c r="F199" s="9"/>
      <c r="G199" s="9"/>
      <c r="H199" s="9"/>
      <c r="I199" s="9"/>
    </row>
    <row r="200" spans="1:9" x14ac:dyDescent="0.35">
      <c r="A200" s="9"/>
      <c r="B200" s="9"/>
      <c r="C200" s="9"/>
      <c r="D200" s="9"/>
      <c r="E200" s="9"/>
      <c r="F200" s="9"/>
      <c r="G200" s="9"/>
      <c r="H200" s="9"/>
      <c r="I200" s="9"/>
    </row>
    <row r="201" spans="1:9" x14ac:dyDescent="0.35">
      <c r="A201" s="9"/>
      <c r="B201" s="9"/>
      <c r="C201" s="9"/>
      <c r="D201" s="9"/>
      <c r="E201" s="9"/>
      <c r="F201" s="9"/>
      <c r="G201" s="9"/>
      <c r="H201" s="9"/>
      <c r="I201" s="9"/>
    </row>
    <row r="202" spans="1:9" x14ac:dyDescent="0.35">
      <c r="A202" s="9"/>
      <c r="B202" s="9"/>
      <c r="C202" s="9"/>
      <c r="D202" s="9"/>
      <c r="E202" s="9"/>
      <c r="F202" s="9"/>
      <c r="G202" s="9"/>
      <c r="H202" s="9"/>
      <c r="I202" s="9"/>
    </row>
    <row r="203" spans="1:9" x14ac:dyDescent="0.35">
      <c r="A203" s="9"/>
      <c r="B203" s="9"/>
      <c r="C203" s="9"/>
      <c r="D203" s="9"/>
      <c r="E203" s="9"/>
      <c r="F203" s="9"/>
      <c r="G203" s="9"/>
      <c r="H203" s="9"/>
      <c r="I203" s="9"/>
    </row>
    <row r="204" spans="1:9" x14ac:dyDescent="0.35">
      <c r="A204" s="9"/>
      <c r="B204" s="9"/>
      <c r="C204" s="9"/>
      <c r="D204" s="9"/>
      <c r="E204" s="9"/>
      <c r="F204" s="9"/>
      <c r="G204" s="9"/>
      <c r="H204" s="9"/>
      <c r="I204" s="9"/>
    </row>
    <row r="205" spans="1:9" x14ac:dyDescent="0.35">
      <c r="A205" s="9"/>
      <c r="B205" s="9"/>
      <c r="C205" s="9"/>
      <c r="D205" s="9"/>
      <c r="E205" s="9"/>
      <c r="F205" s="9"/>
      <c r="G205" s="9"/>
      <c r="H205" s="9"/>
      <c r="I205" s="9"/>
    </row>
    <row r="206" spans="1:9" x14ac:dyDescent="0.35">
      <c r="A206" s="9"/>
      <c r="B206" s="9"/>
      <c r="C206" s="9"/>
      <c r="D206" s="9"/>
      <c r="E206" s="9"/>
      <c r="F206" s="9"/>
      <c r="G206" s="9"/>
      <c r="H206" s="9"/>
      <c r="I206" s="9"/>
    </row>
    <row r="207" spans="1:9" x14ac:dyDescent="0.35">
      <c r="A207" s="9"/>
      <c r="B207" s="9"/>
      <c r="C207" s="9"/>
      <c r="D207" s="9"/>
      <c r="E207" s="9"/>
      <c r="F207" s="9"/>
      <c r="G207" s="9"/>
      <c r="H207" s="9"/>
      <c r="I207" s="9"/>
    </row>
    <row r="208" spans="1:9" x14ac:dyDescent="0.35">
      <c r="A208" s="9"/>
      <c r="B208" s="9"/>
      <c r="C208" s="9"/>
      <c r="D208" s="9"/>
      <c r="E208" s="9"/>
      <c r="F208" s="9"/>
      <c r="G208" s="9"/>
      <c r="H208" s="9"/>
      <c r="I208" s="9"/>
    </row>
    <row r="209" spans="1:9" x14ac:dyDescent="0.35">
      <c r="A209" s="9"/>
      <c r="B209" s="9"/>
      <c r="C209" s="9"/>
      <c r="D209" s="9"/>
      <c r="E209" s="9"/>
      <c r="F209" s="9"/>
      <c r="G209" s="9"/>
      <c r="H209" s="9"/>
      <c r="I209" s="9"/>
    </row>
    <row r="210" spans="1:9" x14ac:dyDescent="0.35">
      <c r="A210" s="9"/>
      <c r="B210" s="9"/>
      <c r="C210" s="9"/>
      <c r="D210" s="9"/>
      <c r="E210" s="9"/>
      <c r="F210" s="9"/>
      <c r="G210" s="9"/>
      <c r="H210" s="9"/>
      <c r="I210" s="9"/>
    </row>
    <row r="211" spans="1:9" x14ac:dyDescent="0.35">
      <c r="A211" s="9"/>
      <c r="B211" s="9"/>
      <c r="C211" s="9"/>
      <c r="D211" s="9"/>
      <c r="E211" s="9"/>
      <c r="F211" s="9"/>
      <c r="G211" s="9"/>
      <c r="H211" s="9"/>
      <c r="I211" s="9"/>
    </row>
    <row r="212" spans="1:9" x14ac:dyDescent="0.35">
      <c r="A212" s="9"/>
      <c r="B212" s="9"/>
      <c r="C212" s="9"/>
      <c r="D212" s="9"/>
      <c r="E212" s="9"/>
      <c r="F212" s="9"/>
      <c r="G212" s="9"/>
      <c r="H212" s="9"/>
      <c r="I212" s="9"/>
    </row>
    <row r="213" spans="1:9" x14ac:dyDescent="0.35">
      <c r="A213" s="9"/>
      <c r="B213" s="9"/>
      <c r="C213" s="9"/>
      <c r="D213" s="9"/>
      <c r="E213" s="9"/>
      <c r="F213" s="9"/>
      <c r="G213" s="9"/>
      <c r="H213" s="9"/>
      <c r="I213" s="9"/>
    </row>
    <row r="214" spans="1:9" x14ac:dyDescent="0.35">
      <c r="A214" s="9"/>
      <c r="B214" s="9"/>
      <c r="C214" s="9"/>
      <c r="D214" s="9"/>
      <c r="E214" s="9"/>
      <c r="F214" s="9"/>
      <c r="G214" s="9"/>
      <c r="H214" s="9"/>
      <c r="I214" s="9"/>
    </row>
    <row r="215" spans="1:9" x14ac:dyDescent="0.35">
      <c r="A215" s="9"/>
      <c r="B215" s="9"/>
      <c r="C215" s="9"/>
      <c r="D215" s="9"/>
      <c r="E215" s="9"/>
      <c r="F215" s="9"/>
      <c r="G215" s="9"/>
      <c r="H215" s="9"/>
      <c r="I215" s="9"/>
    </row>
    <row r="216" spans="1:9" x14ac:dyDescent="0.35">
      <c r="A216" s="9"/>
      <c r="B216" s="9"/>
      <c r="C216" s="9"/>
      <c r="D216" s="9"/>
      <c r="E216" s="9"/>
      <c r="F216" s="9"/>
      <c r="G216" s="9"/>
      <c r="H216" s="9"/>
      <c r="I216" s="9"/>
    </row>
    <row r="217" spans="1:9" x14ac:dyDescent="0.35">
      <c r="A217" s="9"/>
      <c r="B217" s="9"/>
      <c r="C217" s="9"/>
      <c r="D217" s="9"/>
      <c r="E217" s="9"/>
      <c r="F217" s="9"/>
      <c r="G217" s="9"/>
      <c r="H217" s="9"/>
      <c r="I217" s="9"/>
    </row>
    <row r="218" spans="1:9" x14ac:dyDescent="0.35">
      <c r="A218" s="9"/>
      <c r="B218" s="9"/>
      <c r="C218" s="9"/>
      <c r="D218" s="9"/>
      <c r="E218" s="9"/>
      <c r="F218" s="9"/>
      <c r="G218" s="9"/>
      <c r="H218" s="9"/>
      <c r="I218" s="9"/>
    </row>
    <row r="219" spans="1:9" x14ac:dyDescent="0.35">
      <c r="A219" s="9"/>
      <c r="B219" s="9"/>
      <c r="C219" s="9"/>
      <c r="D219" s="9"/>
      <c r="E219" s="9"/>
      <c r="F219" s="9"/>
      <c r="G219" s="9"/>
      <c r="H219" s="9"/>
      <c r="I219" s="9"/>
    </row>
    <row r="220" spans="1:9" x14ac:dyDescent="0.35">
      <c r="A220" s="9"/>
      <c r="B220" s="9"/>
      <c r="C220" s="9"/>
      <c r="D220" s="9"/>
      <c r="E220" s="9"/>
      <c r="F220" s="9"/>
      <c r="G220" s="9"/>
      <c r="H220" s="9"/>
      <c r="I220" s="9"/>
    </row>
    <row r="221" spans="1:9" x14ac:dyDescent="0.35">
      <c r="A221" s="9"/>
      <c r="B221" s="9"/>
      <c r="C221" s="9"/>
      <c r="D221" s="9"/>
      <c r="E221" s="9"/>
      <c r="F221" s="9"/>
      <c r="G221" s="9"/>
      <c r="H221" s="9"/>
      <c r="I221" s="9"/>
    </row>
    <row r="222" spans="1:9" x14ac:dyDescent="0.35">
      <c r="A222" s="9"/>
      <c r="B222" s="9"/>
      <c r="C222" s="9"/>
      <c r="D222" s="9"/>
      <c r="E222" s="9"/>
      <c r="F222" s="9"/>
      <c r="G222" s="9"/>
      <c r="H222" s="9"/>
      <c r="I222" s="9"/>
    </row>
    <row r="223" spans="1:9" x14ac:dyDescent="0.35">
      <c r="A223" s="9"/>
      <c r="B223" s="9"/>
      <c r="C223" s="9"/>
      <c r="D223" s="9"/>
      <c r="E223" s="9"/>
      <c r="F223" s="9"/>
      <c r="G223" s="9"/>
      <c r="H223" s="9"/>
      <c r="I223" s="9"/>
    </row>
    <row r="224" spans="1:9" x14ac:dyDescent="0.35">
      <c r="A224" s="9"/>
      <c r="B224" s="9"/>
      <c r="C224" s="9"/>
      <c r="D224" s="9"/>
      <c r="E224" s="9"/>
      <c r="F224" s="9"/>
      <c r="G224" s="9"/>
      <c r="H224" s="9"/>
      <c r="I224" s="9"/>
    </row>
    <row r="225" spans="1:9" x14ac:dyDescent="0.35">
      <c r="A225" s="9"/>
      <c r="B225" s="9"/>
      <c r="C225" s="9"/>
      <c r="D225" s="9"/>
      <c r="E225" s="9"/>
      <c r="F225" s="9"/>
      <c r="G225" s="9"/>
      <c r="H225" s="9"/>
      <c r="I225" s="9"/>
    </row>
    <row r="226" spans="1:9" x14ac:dyDescent="0.35">
      <c r="A226" s="9"/>
      <c r="B226" s="9"/>
      <c r="C226" s="9"/>
      <c r="D226" s="9"/>
      <c r="E226" s="9"/>
      <c r="F226" s="9"/>
      <c r="G226" s="9"/>
      <c r="H226" s="9"/>
      <c r="I226" s="9"/>
    </row>
    <row r="227" spans="1:9" x14ac:dyDescent="0.35">
      <c r="A227" s="9"/>
      <c r="B227" s="9"/>
      <c r="C227" s="9"/>
      <c r="D227" s="9"/>
      <c r="E227" s="9"/>
      <c r="F227" s="9"/>
      <c r="G227" s="9"/>
      <c r="H227" s="9"/>
      <c r="I227" s="9"/>
    </row>
    <row r="228" spans="1:9" x14ac:dyDescent="0.35">
      <c r="A228" s="9"/>
      <c r="B228" s="9"/>
      <c r="C228" s="9"/>
      <c r="D228" s="9"/>
      <c r="E228" s="9"/>
      <c r="F228" s="9"/>
      <c r="G228" s="9"/>
      <c r="H228" s="9"/>
      <c r="I228" s="9"/>
    </row>
    <row r="229" spans="1:9" x14ac:dyDescent="0.35">
      <c r="A229" s="9"/>
      <c r="B229" s="9"/>
      <c r="C229" s="9"/>
      <c r="D229" s="9"/>
      <c r="E229" s="9"/>
      <c r="F229" s="9"/>
      <c r="G229" s="9"/>
      <c r="H229" s="9"/>
      <c r="I229" s="9"/>
    </row>
    <row r="230" spans="1:9" x14ac:dyDescent="0.35">
      <c r="A230" s="9"/>
      <c r="B230" s="9"/>
      <c r="C230" s="9"/>
      <c r="D230" s="9"/>
      <c r="E230" s="9"/>
      <c r="F230" s="9"/>
      <c r="G230" s="9"/>
      <c r="H230" s="9"/>
      <c r="I230" s="9"/>
    </row>
    <row r="231" spans="1:9" x14ac:dyDescent="0.35">
      <c r="A231" s="9"/>
      <c r="B231" s="9"/>
      <c r="C231" s="9"/>
      <c r="D231" s="9"/>
      <c r="E231" s="9"/>
      <c r="F231" s="9"/>
      <c r="G231" s="9"/>
      <c r="H231" s="9"/>
      <c r="I231" s="9"/>
    </row>
    <row r="232" spans="1:9" x14ac:dyDescent="0.35">
      <c r="A232" s="9"/>
      <c r="B232" s="9"/>
      <c r="C232" s="9"/>
      <c r="D232" s="9"/>
      <c r="E232" s="9"/>
      <c r="F232" s="9"/>
      <c r="G232" s="9"/>
      <c r="H232" s="9"/>
      <c r="I232" s="9"/>
    </row>
    <row r="233" spans="1:9" x14ac:dyDescent="0.35">
      <c r="A233" s="9"/>
      <c r="B233" s="9"/>
      <c r="C233" s="9"/>
      <c r="D233" s="9"/>
      <c r="E233" s="9"/>
      <c r="F233" s="9"/>
      <c r="G233" s="9"/>
      <c r="H233" s="9"/>
      <c r="I233" s="9"/>
    </row>
    <row r="234" spans="1:9" x14ac:dyDescent="0.35">
      <c r="A234" s="9"/>
      <c r="B234" s="9"/>
      <c r="C234" s="9"/>
      <c r="D234" s="9"/>
      <c r="E234" s="9"/>
      <c r="F234" s="9"/>
      <c r="G234" s="9"/>
      <c r="H234" s="9"/>
      <c r="I234" s="9"/>
    </row>
    <row r="235" spans="1:9" x14ac:dyDescent="0.35">
      <c r="A235" s="9"/>
      <c r="B235" s="9"/>
      <c r="C235" s="9"/>
      <c r="D235" s="9"/>
      <c r="E235" s="9"/>
      <c r="F235" s="9"/>
      <c r="G235" s="9"/>
      <c r="H235" s="9"/>
      <c r="I235" s="9"/>
    </row>
    <row r="236" spans="1:9" x14ac:dyDescent="0.35">
      <c r="A236" s="9"/>
      <c r="B236" s="9"/>
      <c r="C236" s="9"/>
      <c r="D236" s="9"/>
      <c r="E236" s="9"/>
      <c r="F236" s="9"/>
      <c r="G236" s="9"/>
      <c r="H236" s="9"/>
      <c r="I236" s="9"/>
    </row>
    <row r="237" spans="1:9" x14ac:dyDescent="0.35">
      <c r="A237" s="9"/>
      <c r="B237" s="9"/>
      <c r="C237" s="9"/>
      <c r="D237" s="9"/>
      <c r="E237" s="9"/>
      <c r="F237" s="9"/>
      <c r="G237" s="9"/>
      <c r="H237" s="9"/>
      <c r="I237" s="9"/>
    </row>
    <row r="238" spans="1:9" x14ac:dyDescent="0.35">
      <c r="A238" s="9"/>
      <c r="B238" s="9"/>
      <c r="C238" s="9"/>
      <c r="D238" s="9"/>
      <c r="E238" s="9"/>
      <c r="F238" s="9"/>
      <c r="G238" s="9"/>
      <c r="H238" s="9"/>
      <c r="I238" s="9"/>
    </row>
    <row r="239" spans="1:9" x14ac:dyDescent="0.35">
      <c r="A239" s="9"/>
      <c r="B239" s="9"/>
      <c r="C239" s="9"/>
      <c r="D239" s="9"/>
      <c r="E239" s="9"/>
      <c r="F239" s="9"/>
      <c r="G239" s="9"/>
      <c r="H239" s="9"/>
      <c r="I239" s="9"/>
    </row>
    <row r="240" spans="1:9" x14ac:dyDescent="0.35">
      <c r="A240" s="9"/>
      <c r="B240" s="9"/>
      <c r="C240" s="9"/>
      <c r="D240" s="9"/>
      <c r="E240" s="9"/>
      <c r="F240" s="9"/>
      <c r="G240" s="9"/>
      <c r="H240" s="9"/>
      <c r="I240" s="9"/>
    </row>
    <row r="241" spans="1:9" x14ac:dyDescent="0.35">
      <c r="A241" s="9"/>
      <c r="B241" s="9"/>
      <c r="C241" s="9"/>
      <c r="D241" s="9"/>
      <c r="E241" s="9"/>
      <c r="F241" s="9"/>
      <c r="G241" s="9"/>
      <c r="H241" s="9"/>
      <c r="I241" s="9"/>
    </row>
    <row r="242" spans="1:9" x14ac:dyDescent="0.35">
      <c r="A242" s="9"/>
      <c r="B242" s="9"/>
      <c r="C242" s="9"/>
      <c r="D242" s="9"/>
      <c r="E242" s="9"/>
      <c r="F242" s="9"/>
      <c r="G242" s="9"/>
      <c r="H242" s="9"/>
      <c r="I242" s="9"/>
    </row>
    <row r="243" spans="1:9" x14ac:dyDescent="0.35">
      <c r="A243" s="9"/>
      <c r="B243" s="9"/>
      <c r="C243" s="9"/>
      <c r="D243" s="9"/>
      <c r="E243" s="9"/>
      <c r="F243" s="9"/>
      <c r="G243" s="9"/>
      <c r="H243" s="9"/>
      <c r="I243" s="9"/>
    </row>
    <row r="244" spans="1:9" x14ac:dyDescent="0.35">
      <c r="A244" s="9"/>
      <c r="B244" s="9"/>
      <c r="C244" s="9"/>
      <c r="D244" s="9"/>
      <c r="E244" s="9"/>
      <c r="F244" s="9"/>
      <c r="G244" s="9"/>
      <c r="H244" s="9"/>
      <c r="I244" s="9"/>
    </row>
    <row r="245" spans="1:9" x14ac:dyDescent="0.35">
      <c r="A245" s="9"/>
      <c r="B245" s="9"/>
      <c r="C245" s="9"/>
      <c r="D245" s="9"/>
      <c r="E245" s="9"/>
      <c r="F245" s="9"/>
      <c r="G245" s="9"/>
      <c r="H245" s="9"/>
      <c r="I245" s="9"/>
    </row>
    <row r="246" spans="1:9" x14ac:dyDescent="0.35">
      <c r="A246" s="9"/>
      <c r="B246" s="9"/>
      <c r="C246" s="9"/>
      <c r="D246" s="9"/>
      <c r="E246" s="9"/>
      <c r="F246" s="9"/>
      <c r="G246" s="9"/>
      <c r="H246" s="9"/>
      <c r="I246" s="9"/>
    </row>
    <row r="247" spans="1:9" x14ac:dyDescent="0.35">
      <c r="A247" s="9"/>
      <c r="B247" s="9"/>
      <c r="C247" s="9"/>
      <c r="D247" s="9"/>
      <c r="E247" s="9"/>
      <c r="F247" s="9"/>
      <c r="G247" s="9"/>
      <c r="H247" s="9"/>
      <c r="I247" s="9"/>
    </row>
    <row r="248" spans="1:9" x14ac:dyDescent="0.35">
      <c r="A248" s="9"/>
      <c r="B248" s="9"/>
      <c r="C248" s="9"/>
      <c r="D248" s="9"/>
      <c r="E248" s="9"/>
      <c r="F248" s="9"/>
      <c r="G248" s="9"/>
      <c r="H248" s="9"/>
      <c r="I248" s="9"/>
    </row>
    <row r="249" spans="1:9" x14ac:dyDescent="0.35">
      <c r="A249" s="9"/>
      <c r="B249" s="9"/>
      <c r="C249" s="9"/>
      <c r="D249" s="9"/>
      <c r="E249" s="9"/>
      <c r="F249" s="9"/>
      <c r="G249" s="9"/>
      <c r="H249" s="9"/>
      <c r="I249" s="9"/>
    </row>
    <row r="250" spans="1:9" x14ac:dyDescent="0.35">
      <c r="A250" s="9"/>
      <c r="B250" s="9"/>
      <c r="C250" s="9"/>
      <c r="D250" s="9"/>
      <c r="E250" s="9"/>
      <c r="F250" s="9"/>
      <c r="G250" s="9"/>
      <c r="H250" s="9"/>
      <c r="I250" s="9"/>
    </row>
    <row r="251" spans="1:9" x14ac:dyDescent="0.35">
      <c r="A251" s="9"/>
      <c r="B251" s="9"/>
      <c r="C251" s="9"/>
      <c r="D251" s="9"/>
      <c r="E251" s="9"/>
      <c r="F251" s="9"/>
      <c r="G251" s="9"/>
      <c r="H251" s="9"/>
      <c r="I251" s="9"/>
    </row>
    <row r="252" spans="1:9" x14ac:dyDescent="0.35">
      <c r="A252" s="9"/>
      <c r="B252" s="9"/>
      <c r="C252" s="9"/>
      <c r="D252" s="9"/>
      <c r="E252" s="9"/>
      <c r="F252" s="9"/>
      <c r="G252" s="9"/>
      <c r="H252" s="9"/>
      <c r="I252" s="9"/>
    </row>
    <row r="253" spans="1:9" x14ac:dyDescent="0.35">
      <c r="A253" s="9"/>
      <c r="B253" s="9"/>
      <c r="C253" s="9"/>
      <c r="D253" s="9"/>
      <c r="E253" s="9"/>
      <c r="F253" s="9"/>
      <c r="G253" s="9"/>
      <c r="H253" s="9"/>
      <c r="I253" s="9"/>
    </row>
    <row r="254" spans="1:9" x14ac:dyDescent="0.35">
      <c r="A254" s="9"/>
      <c r="B254" s="9"/>
      <c r="C254" s="9"/>
      <c r="D254" s="9"/>
      <c r="E254" s="9"/>
      <c r="F254" s="9"/>
      <c r="G254" s="9"/>
      <c r="H254" s="9"/>
      <c r="I254" s="9"/>
    </row>
    <row r="255" spans="1:9" x14ac:dyDescent="0.35">
      <c r="A255" s="9"/>
      <c r="B255" s="9"/>
      <c r="C255" s="9"/>
      <c r="D255" s="9"/>
      <c r="E255" s="9"/>
      <c r="F255" s="9"/>
      <c r="G255" s="9"/>
      <c r="H255" s="9"/>
      <c r="I255" s="9"/>
    </row>
    <row r="256" spans="1:9" x14ac:dyDescent="0.35">
      <c r="A256" s="9"/>
      <c r="B256" s="9"/>
      <c r="C256" s="9"/>
      <c r="D256" s="9"/>
      <c r="E256" s="9"/>
      <c r="F256" s="9"/>
      <c r="G256" s="9"/>
      <c r="H256" s="9"/>
      <c r="I256" s="9"/>
    </row>
    <row r="257" spans="1:9" x14ac:dyDescent="0.35">
      <c r="A257" s="9"/>
      <c r="B257" s="9"/>
      <c r="C257" s="9"/>
      <c r="D257" s="9"/>
      <c r="E257" s="9"/>
      <c r="F257" s="9"/>
      <c r="G257" s="9"/>
      <c r="H257" s="9"/>
      <c r="I257" s="9"/>
    </row>
    <row r="258" spans="1:9" x14ac:dyDescent="0.35">
      <c r="A258" s="9"/>
      <c r="B258" s="9"/>
      <c r="C258" s="9"/>
      <c r="D258" s="9"/>
      <c r="E258" s="9"/>
      <c r="F258" s="9"/>
      <c r="G258" s="9"/>
      <c r="H258" s="9"/>
      <c r="I258" s="9"/>
    </row>
    <row r="259" spans="1:9" x14ac:dyDescent="0.35">
      <c r="A259" s="9"/>
      <c r="B259" s="9"/>
      <c r="C259" s="9"/>
      <c r="D259" s="9"/>
      <c r="E259" s="9"/>
      <c r="F259" s="9"/>
      <c r="G259" s="9"/>
      <c r="H259" s="9"/>
      <c r="I259" s="9"/>
    </row>
    <row r="260" spans="1:9" x14ac:dyDescent="0.35">
      <c r="A260" s="9"/>
      <c r="B260" s="9"/>
      <c r="C260" s="9"/>
      <c r="D260" s="9"/>
      <c r="E260" s="9"/>
      <c r="F260" s="9"/>
      <c r="G260" s="9"/>
      <c r="H260" s="9"/>
      <c r="I260" s="9"/>
    </row>
    <row r="261" spans="1:9" x14ac:dyDescent="0.35">
      <c r="A261" s="9"/>
      <c r="B261" s="9"/>
      <c r="C261" s="9"/>
      <c r="D261" s="9"/>
      <c r="E261" s="9"/>
      <c r="F261" s="9"/>
      <c r="G261" s="9"/>
      <c r="H261" s="9"/>
      <c r="I261" s="9"/>
    </row>
    <row r="262" spans="1:9" x14ac:dyDescent="0.35">
      <c r="A262" s="9"/>
      <c r="B262" s="9"/>
      <c r="C262" s="9"/>
      <c r="D262" s="9"/>
      <c r="E262" s="9"/>
      <c r="F262" s="9"/>
      <c r="G262" s="9"/>
      <c r="H262" s="9"/>
      <c r="I262" s="9"/>
    </row>
    <row r="263" spans="1:9" x14ac:dyDescent="0.35">
      <c r="A263" s="9"/>
      <c r="B263" s="9"/>
      <c r="C263" s="9"/>
      <c r="D263" s="9"/>
      <c r="E263" s="9"/>
      <c r="F263" s="9"/>
      <c r="G263" s="9"/>
      <c r="H263" s="9"/>
      <c r="I263" s="9"/>
    </row>
    <row r="264" spans="1:9" x14ac:dyDescent="0.35">
      <c r="A264" s="9"/>
      <c r="B264" s="9"/>
      <c r="C264" s="9"/>
      <c r="D264" s="9"/>
      <c r="E264" s="9"/>
      <c r="F264" s="9"/>
      <c r="G264" s="9"/>
      <c r="H264" s="9"/>
      <c r="I264" s="9"/>
    </row>
    <row r="265" spans="1:9" x14ac:dyDescent="0.35">
      <c r="A265" s="9"/>
      <c r="B265" s="9"/>
      <c r="C265" s="9"/>
      <c r="D265" s="9"/>
      <c r="E265" s="9"/>
      <c r="F265" s="9"/>
      <c r="G265" s="9"/>
      <c r="H265" s="9"/>
      <c r="I265" s="9"/>
    </row>
    <row r="266" spans="1:9" x14ac:dyDescent="0.35">
      <c r="A266" s="9"/>
      <c r="B266" s="9"/>
      <c r="C266" s="9"/>
      <c r="D266" s="9"/>
      <c r="E266" s="9"/>
      <c r="F266" s="9"/>
      <c r="G266" s="9"/>
      <c r="H266" s="9"/>
      <c r="I266" s="9"/>
    </row>
    <row r="267" spans="1:9" x14ac:dyDescent="0.35">
      <c r="A267" s="9"/>
      <c r="B267" s="9"/>
      <c r="C267" s="9"/>
      <c r="D267" s="9"/>
      <c r="E267" s="9"/>
      <c r="F267" s="9"/>
      <c r="G267" s="9"/>
      <c r="H267" s="9"/>
      <c r="I267" s="9"/>
    </row>
    <row r="268" spans="1:9" x14ac:dyDescent="0.35">
      <c r="A268" s="9"/>
      <c r="B268" s="9"/>
      <c r="C268" s="9"/>
      <c r="D268" s="9"/>
      <c r="E268" s="9"/>
      <c r="F268" s="9"/>
      <c r="G268" s="9"/>
      <c r="H268" s="9"/>
      <c r="I268" s="9"/>
    </row>
    <row r="269" spans="1:9" x14ac:dyDescent="0.35">
      <c r="A269" s="9"/>
      <c r="B269" s="9"/>
      <c r="C269" s="9"/>
      <c r="D269" s="9"/>
      <c r="E269" s="9"/>
      <c r="F269" s="9"/>
      <c r="G269" s="9"/>
      <c r="H269" s="9"/>
      <c r="I269" s="9"/>
    </row>
    <row r="270" spans="1:9" x14ac:dyDescent="0.35">
      <c r="A270" s="9"/>
      <c r="B270" s="9"/>
      <c r="C270" s="9"/>
      <c r="D270" s="9"/>
      <c r="E270" s="9"/>
      <c r="F270" s="9"/>
      <c r="G270" s="9"/>
      <c r="H270" s="9"/>
      <c r="I270" s="9"/>
    </row>
    <row r="271" spans="1:9" x14ac:dyDescent="0.35">
      <c r="A271" s="9"/>
      <c r="B271" s="9"/>
      <c r="C271" s="9"/>
      <c r="D271" s="9"/>
      <c r="E271" s="9"/>
      <c r="F271" s="9"/>
      <c r="G271" s="9"/>
      <c r="H271" s="9"/>
      <c r="I271" s="9"/>
    </row>
    <row r="272" spans="1:9" x14ac:dyDescent="0.35">
      <c r="A272" s="9"/>
      <c r="B272" s="9"/>
      <c r="C272" s="9"/>
      <c r="D272" s="9"/>
      <c r="E272" s="9"/>
      <c r="F272" s="9"/>
      <c r="G272" s="9"/>
      <c r="H272" s="9"/>
      <c r="I272" s="9"/>
    </row>
    <row r="273" spans="1:9" x14ac:dyDescent="0.35">
      <c r="A273" s="9"/>
      <c r="B273" s="9"/>
      <c r="C273" s="9"/>
      <c r="D273" s="9"/>
      <c r="E273" s="9"/>
      <c r="F273" s="9"/>
      <c r="G273" s="9"/>
      <c r="H273" s="9"/>
      <c r="I273" s="9"/>
    </row>
    <row r="274" spans="1:9" x14ac:dyDescent="0.35">
      <c r="A274" s="9"/>
      <c r="B274" s="9"/>
      <c r="C274" s="9"/>
      <c r="D274" s="9"/>
      <c r="E274" s="9"/>
      <c r="F274" s="9"/>
      <c r="G274" s="9"/>
      <c r="H274" s="9"/>
      <c r="I274" s="9"/>
    </row>
    <row r="275" spans="1:9" x14ac:dyDescent="0.35">
      <c r="A275" s="9"/>
      <c r="B275" s="9"/>
      <c r="C275" s="9"/>
      <c r="D275" s="9"/>
      <c r="E275" s="9"/>
      <c r="F275" s="9"/>
      <c r="G275" s="9"/>
      <c r="H275" s="9"/>
      <c r="I275" s="9"/>
    </row>
    <row r="276" spans="1:9" x14ac:dyDescent="0.35">
      <c r="A276" s="9"/>
      <c r="B276" s="9"/>
      <c r="C276" s="9"/>
      <c r="D276" s="9"/>
      <c r="E276" s="9"/>
      <c r="F276" s="9"/>
      <c r="G276" s="9"/>
      <c r="H276" s="9"/>
      <c r="I276" s="9"/>
    </row>
    <row r="277" spans="1:9" x14ac:dyDescent="0.35">
      <c r="A277" s="9"/>
      <c r="B277" s="9"/>
      <c r="C277" s="9"/>
      <c r="D277" s="9"/>
      <c r="E277" s="9"/>
      <c r="F277" s="9"/>
      <c r="G277" s="9"/>
      <c r="H277" s="9"/>
      <c r="I277" s="9"/>
    </row>
    <row r="278" spans="1:9" x14ac:dyDescent="0.35">
      <c r="A278" s="9"/>
      <c r="B278" s="9"/>
      <c r="C278" s="9"/>
      <c r="D278" s="9"/>
      <c r="E278" s="9"/>
      <c r="F278" s="9"/>
      <c r="G278" s="9"/>
      <c r="H278" s="9"/>
      <c r="I278" s="9"/>
    </row>
    <row r="279" spans="1:9" x14ac:dyDescent="0.35">
      <c r="A279" s="9"/>
      <c r="B279" s="9"/>
      <c r="C279" s="9"/>
      <c r="D279" s="9"/>
      <c r="E279" s="9"/>
      <c r="F279" s="9"/>
      <c r="G279" s="9"/>
      <c r="H279" s="9"/>
      <c r="I279" s="9"/>
    </row>
    <row r="280" spans="1:9" x14ac:dyDescent="0.35">
      <c r="A280" s="9"/>
      <c r="B280" s="9"/>
      <c r="C280" s="9"/>
      <c r="D280" s="9"/>
      <c r="E280" s="9"/>
      <c r="F280" s="9"/>
      <c r="G280" s="9"/>
      <c r="H280" s="9"/>
      <c r="I280" s="9"/>
    </row>
    <row r="281" spans="1:9" x14ac:dyDescent="0.35">
      <c r="A281" s="9"/>
      <c r="B281" s="9"/>
      <c r="C281" s="9"/>
      <c r="D281" s="9"/>
      <c r="E281" s="9"/>
      <c r="F281" s="9"/>
      <c r="G281" s="9"/>
      <c r="H281" s="9"/>
      <c r="I281" s="9"/>
    </row>
    <row r="282" spans="1:9" x14ac:dyDescent="0.35">
      <c r="A282" s="9"/>
      <c r="B282" s="9"/>
      <c r="C282" s="9"/>
      <c r="D282" s="9"/>
      <c r="E282" s="9"/>
      <c r="F282" s="9"/>
      <c r="G282" s="9"/>
      <c r="H282" s="9"/>
      <c r="I282" s="9"/>
    </row>
    <row r="283" spans="1:9" x14ac:dyDescent="0.35">
      <c r="A283" s="9"/>
      <c r="B283" s="9"/>
      <c r="C283" s="9"/>
      <c r="D283" s="9"/>
      <c r="E283" s="9"/>
      <c r="F283" s="9"/>
      <c r="G283" s="9"/>
      <c r="H283" s="9"/>
      <c r="I283" s="9"/>
    </row>
    <row r="284" spans="1:9" x14ac:dyDescent="0.35">
      <c r="A284" s="9"/>
      <c r="B284" s="9"/>
      <c r="C284" s="9"/>
      <c r="D284" s="9"/>
      <c r="E284" s="9"/>
      <c r="F284" s="9"/>
      <c r="G284" s="9"/>
      <c r="H284" s="9"/>
      <c r="I284" s="9"/>
    </row>
    <row r="285" spans="1:9" x14ac:dyDescent="0.35">
      <c r="A285" s="9"/>
      <c r="B285" s="9"/>
      <c r="C285" s="9"/>
      <c r="D285" s="9"/>
      <c r="E285" s="9"/>
      <c r="F285" s="9"/>
      <c r="G285" s="9"/>
      <c r="H285" s="9"/>
      <c r="I285" s="9"/>
    </row>
    <row r="286" spans="1:9" x14ac:dyDescent="0.35">
      <c r="A286" s="9"/>
      <c r="B286" s="9"/>
      <c r="C286" s="9"/>
      <c r="D286" s="9"/>
      <c r="E286" s="9"/>
      <c r="F286" s="9"/>
      <c r="G286" s="9"/>
      <c r="H286" s="9"/>
      <c r="I286" s="9"/>
    </row>
    <row r="287" spans="1:9" x14ac:dyDescent="0.35">
      <c r="A287" s="9"/>
      <c r="B287" s="9"/>
      <c r="C287" s="9"/>
      <c r="D287" s="9"/>
      <c r="E287" s="9"/>
      <c r="F287" s="9"/>
      <c r="G287" s="9"/>
      <c r="H287" s="9"/>
      <c r="I287" s="9"/>
    </row>
    <row r="288" spans="1:9" x14ac:dyDescent="0.35">
      <c r="A288" s="9"/>
      <c r="B288" s="9"/>
      <c r="C288" s="9"/>
      <c r="D288" s="9"/>
      <c r="E288" s="9"/>
      <c r="F288" s="9"/>
      <c r="G288" s="9"/>
      <c r="H288" s="9"/>
      <c r="I288" s="9"/>
    </row>
    <row r="289" spans="1:9" x14ac:dyDescent="0.35">
      <c r="A289" s="9"/>
      <c r="B289" s="9"/>
      <c r="C289" s="9"/>
      <c r="D289" s="9"/>
      <c r="E289" s="9"/>
      <c r="F289" s="9"/>
      <c r="G289" s="9"/>
      <c r="H289" s="9"/>
      <c r="I289" s="9"/>
    </row>
    <row r="290" spans="1:9" x14ac:dyDescent="0.35">
      <c r="A290" s="9"/>
      <c r="B290" s="9"/>
      <c r="C290" s="9"/>
      <c r="D290" s="9"/>
      <c r="E290" s="9"/>
      <c r="F290" s="9"/>
      <c r="G290" s="9"/>
      <c r="H290" s="9"/>
      <c r="I290" s="9"/>
    </row>
    <row r="291" spans="1:9" x14ac:dyDescent="0.35">
      <c r="A291" s="9"/>
      <c r="B291" s="9"/>
      <c r="C291" s="9"/>
      <c r="D291" s="9"/>
      <c r="E291" s="9"/>
      <c r="F291" s="9"/>
      <c r="G291" s="9"/>
      <c r="H291" s="9"/>
      <c r="I291" s="9"/>
    </row>
    <row r="292" spans="1:9" x14ac:dyDescent="0.35">
      <c r="A292" s="9"/>
      <c r="B292" s="9"/>
      <c r="C292" s="9"/>
      <c r="D292" s="9"/>
      <c r="E292" s="9"/>
      <c r="F292" s="9"/>
      <c r="G292" s="9"/>
      <c r="H292" s="9"/>
      <c r="I292" s="9"/>
    </row>
    <row r="293" spans="1:9" x14ac:dyDescent="0.35">
      <c r="A293" s="9"/>
      <c r="B293" s="9"/>
      <c r="C293" s="9"/>
      <c r="D293" s="9"/>
      <c r="E293" s="9"/>
      <c r="F293" s="9"/>
      <c r="G293" s="9"/>
      <c r="H293" s="9"/>
      <c r="I293" s="9"/>
    </row>
    <row r="294" spans="1:9" x14ac:dyDescent="0.35">
      <c r="A294" s="9"/>
      <c r="B294" s="9"/>
      <c r="C294" s="9"/>
      <c r="D294" s="9"/>
      <c r="E294" s="9"/>
      <c r="F294" s="9"/>
      <c r="G294" s="9"/>
      <c r="H294" s="9"/>
      <c r="I294" s="9"/>
    </row>
    <row r="295" spans="1:9" x14ac:dyDescent="0.35">
      <c r="A295" s="9"/>
      <c r="B295" s="9"/>
      <c r="C295" s="9"/>
      <c r="D295" s="9"/>
      <c r="E295" s="9"/>
      <c r="F295" s="9"/>
      <c r="G295" s="9"/>
      <c r="H295" s="9"/>
      <c r="I295" s="9"/>
    </row>
    <row r="296" spans="1:9" x14ac:dyDescent="0.35">
      <c r="A296" s="9"/>
      <c r="B296" s="9"/>
      <c r="C296" s="9"/>
      <c r="D296" s="9"/>
      <c r="E296" s="9"/>
      <c r="F296" s="9"/>
      <c r="G296" s="9"/>
      <c r="H296" s="9"/>
      <c r="I296" s="9"/>
    </row>
    <row r="297" spans="1:9" x14ac:dyDescent="0.35">
      <c r="A297" s="9"/>
      <c r="B297" s="9"/>
      <c r="C297" s="9"/>
      <c r="D297" s="9"/>
      <c r="E297" s="9"/>
      <c r="F297" s="9"/>
      <c r="G297" s="9"/>
      <c r="H297" s="9"/>
      <c r="I297" s="9"/>
    </row>
    <row r="298" spans="1:9" x14ac:dyDescent="0.35">
      <c r="A298" s="9"/>
      <c r="B298" s="9"/>
      <c r="C298" s="9"/>
      <c r="D298" s="9"/>
      <c r="E298" s="9"/>
      <c r="F298" s="9"/>
      <c r="G298" s="9"/>
      <c r="H298" s="9"/>
      <c r="I298" s="9"/>
    </row>
    <row r="299" spans="1:9" x14ac:dyDescent="0.35">
      <c r="A299" s="9"/>
      <c r="B299" s="9"/>
      <c r="C299" s="9"/>
      <c r="D299" s="9"/>
      <c r="E299" s="9"/>
      <c r="F299" s="9"/>
      <c r="G299" s="9"/>
      <c r="H299" s="9"/>
      <c r="I299" s="9"/>
    </row>
    <row r="300" spans="1:9" x14ac:dyDescent="0.35">
      <c r="A300" s="9"/>
      <c r="B300" s="9"/>
      <c r="C300" s="9"/>
      <c r="D300" s="9"/>
      <c r="E300" s="9"/>
      <c r="F300" s="9"/>
      <c r="G300" s="9"/>
      <c r="H300" s="9"/>
      <c r="I300" s="9"/>
    </row>
    <row r="301" spans="1:9" x14ac:dyDescent="0.35">
      <c r="A301" s="9"/>
      <c r="B301" s="9"/>
      <c r="C301" s="9"/>
      <c r="D301" s="9"/>
      <c r="E301" s="9"/>
      <c r="F301" s="9"/>
      <c r="G301" s="9"/>
      <c r="H301" s="9"/>
      <c r="I301" s="9"/>
    </row>
    <row r="302" spans="1:9" x14ac:dyDescent="0.35">
      <c r="A302" s="9"/>
      <c r="B302" s="9"/>
      <c r="C302" s="9"/>
      <c r="D302" s="9"/>
      <c r="E302" s="9"/>
      <c r="F302" s="9"/>
      <c r="G302" s="9"/>
      <c r="H302" s="9"/>
      <c r="I302" s="9"/>
    </row>
    <row r="303" spans="1:9" x14ac:dyDescent="0.35">
      <c r="A303" s="9"/>
      <c r="B303" s="9"/>
      <c r="C303" s="9"/>
      <c r="D303" s="9"/>
      <c r="E303" s="9"/>
      <c r="F303" s="9"/>
      <c r="G303" s="9"/>
      <c r="H303" s="9"/>
      <c r="I303" s="9"/>
    </row>
    <row r="304" spans="1:9" x14ac:dyDescent="0.35">
      <c r="A304" s="9"/>
      <c r="B304" s="9"/>
      <c r="C304" s="9"/>
      <c r="D304" s="9"/>
      <c r="E304" s="9"/>
      <c r="F304" s="9"/>
      <c r="G304" s="9"/>
      <c r="H304" s="9"/>
      <c r="I304" s="9"/>
    </row>
    <row r="305" spans="1:9" x14ac:dyDescent="0.35">
      <c r="A305" s="9"/>
      <c r="B305" s="9"/>
      <c r="C305" s="9"/>
      <c r="D305" s="9"/>
      <c r="E305" s="9"/>
      <c r="F305" s="9"/>
      <c r="G305" s="9"/>
      <c r="H305" s="9"/>
      <c r="I305" s="9"/>
    </row>
    <row r="306" spans="1:9" x14ac:dyDescent="0.35">
      <c r="A306" s="9"/>
      <c r="B306" s="9"/>
      <c r="C306" s="9"/>
      <c r="D306" s="9"/>
      <c r="E306" s="9"/>
      <c r="F306" s="9"/>
      <c r="G306" s="9"/>
      <c r="H306" s="9"/>
      <c r="I306" s="9"/>
    </row>
    <row r="307" spans="1:9" x14ac:dyDescent="0.35">
      <c r="A307" s="9"/>
      <c r="B307" s="9"/>
      <c r="C307" s="9"/>
      <c r="D307" s="9"/>
      <c r="E307" s="9"/>
      <c r="F307" s="9"/>
      <c r="G307" s="9"/>
      <c r="H307" s="9"/>
      <c r="I307" s="9"/>
    </row>
    <row r="308" spans="1:9" x14ac:dyDescent="0.35">
      <c r="A308" s="9"/>
      <c r="B308" s="9"/>
      <c r="C308" s="9"/>
      <c r="D308" s="9"/>
      <c r="E308" s="9"/>
      <c r="F308" s="9"/>
      <c r="G308" s="9"/>
      <c r="H308" s="9"/>
      <c r="I308" s="9"/>
    </row>
    <row r="309" spans="1:9" x14ac:dyDescent="0.35">
      <c r="A309" s="9"/>
      <c r="B309" s="9"/>
      <c r="C309" s="9"/>
      <c r="D309" s="9"/>
      <c r="E309" s="9"/>
      <c r="F309" s="9"/>
      <c r="G309" s="9"/>
      <c r="H309" s="9"/>
      <c r="I309" s="9"/>
    </row>
    <row r="310" spans="1:9" x14ac:dyDescent="0.35">
      <c r="A310" s="9"/>
      <c r="B310" s="9"/>
      <c r="C310" s="9"/>
      <c r="D310" s="9"/>
      <c r="E310" s="9"/>
      <c r="F310" s="9"/>
      <c r="G310" s="9"/>
      <c r="H310" s="9"/>
      <c r="I310" s="9"/>
    </row>
    <row r="311" spans="1:9" x14ac:dyDescent="0.35">
      <c r="A311" s="9"/>
      <c r="B311" s="9"/>
      <c r="C311" s="9"/>
      <c r="D311" s="9"/>
      <c r="E311" s="9"/>
      <c r="F311" s="9"/>
      <c r="G311" s="9"/>
      <c r="H311" s="9"/>
      <c r="I311" s="9"/>
    </row>
    <row r="312" spans="1:9" x14ac:dyDescent="0.35">
      <c r="A312" s="9"/>
      <c r="B312" s="9"/>
      <c r="C312" s="9"/>
      <c r="D312" s="9"/>
      <c r="E312" s="9"/>
      <c r="F312" s="9"/>
      <c r="G312" s="9"/>
      <c r="H312" s="9"/>
      <c r="I312" s="9"/>
    </row>
    <row r="313" spans="1:9" x14ac:dyDescent="0.35">
      <c r="A313" s="9"/>
      <c r="B313" s="9"/>
      <c r="C313" s="9"/>
      <c r="D313" s="9"/>
      <c r="E313" s="9"/>
      <c r="F313" s="9"/>
      <c r="G313" s="9"/>
      <c r="H313" s="9"/>
      <c r="I313" s="9"/>
    </row>
    <row r="314" spans="1:9" x14ac:dyDescent="0.35">
      <c r="A314" s="9"/>
      <c r="B314" s="9"/>
      <c r="C314" s="9"/>
      <c r="D314" s="9"/>
      <c r="E314" s="9"/>
      <c r="F314" s="9"/>
      <c r="G314" s="9"/>
      <c r="H314" s="9"/>
      <c r="I314" s="9"/>
    </row>
    <row r="315" spans="1:9" x14ac:dyDescent="0.35">
      <c r="A315" s="9"/>
      <c r="B315" s="9"/>
      <c r="C315" s="9"/>
      <c r="D315" s="9"/>
      <c r="E315" s="9"/>
      <c r="F315" s="9"/>
      <c r="G315" s="9"/>
      <c r="H315" s="9"/>
      <c r="I315" s="9"/>
    </row>
    <row r="316" spans="1:9" x14ac:dyDescent="0.35">
      <c r="A316" s="9"/>
      <c r="B316" s="9"/>
      <c r="C316" s="9"/>
      <c r="D316" s="9"/>
      <c r="E316" s="9"/>
      <c r="F316" s="9"/>
      <c r="G316" s="9"/>
      <c r="H316" s="9"/>
      <c r="I316" s="9"/>
    </row>
    <row r="317" spans="1:9" x14ac:dyDescent="0.35">
      <c r="A317" s="9"/>
      <c r="B317" s="9"/>
      <c r="C317" s="9"/>
      <c r="D317" s="9"/>
      <c r="E317" s="9"/>
      <c r="F317" s="9"/>
      <c r="G317" s="9"/>
      <c r="H317" s="9"/>
      <c r="I317" s="9"/>
    </row>
    <row r="318" spans="1:9" x14ac:dyDescent="0.35">
      <c r="A318" s="9"/>
      <c r="B318" s="9"/>
      <c r="C318" s="9"/>
      <c r="D318" s="9"/>
      <c r="E318" s="9"/>
      <c r="F318" s="9"/>
      <c r="G318" s="9"/>
      <c r="H318" s="9"/>
      <c r="I318" s="9"/>
    </row>
    <row r="319" spans="1:9" x14ac:dyDescent="0.35">
      <c r="A319" s="9"/>
      <c r="B319" s="9"/>
      <c r="C319" s="9"/>
      <c r="D319" s="9"/>
      <c r="E319" s="9"/>
      <c r="F319" s="9"/>
      <c r="G319" s="9"/>
      <c r="H319" s="9"/>
      <c r="I319" s="9"/>
    </row>
    <row r="320" spans="1:9" x14ac:dyDescent="0.35">
      <c r="A320" s="9"/>
      <c r="B320" s="9"/>
      <c r="C320" s="9"/>
      <c r="D320" s="9"/>
      <c r="E320" s="9"/>
      <c r="F320" s="9"/>
      <c r="G320" s="9"/>
      <c r="H320" s="9"/>
      <c r="I320" s="9"/>
    </row>
    <row r="321" spans="1:9" x14ac:dyDescent="0.35">
      <c r="A321" s="9"/>
      <c r="B321" s="9"/>
      <c r="C321" s="9"/>
      <c r="D321" s="9"/>
      <c r="E321" s="9"/>
      <c r="F321" s="9"/>
      <c r="G321" s="9"/>
      <c r="H321" s="9"/>
      <c r="I321" s="9"/>
    </row>
    <row r="322" spans="1:9" x14ac:dyDescent="0.35">
      <c r="A322" s="9"/>
      <c r="B322" s="9"/>
      <c r="C322" s="9"/>
      <c r="D322" s="9"/>
      <c r="E322" s="9"/>
      <c r="F322" s="9"/>
      <c r="G322" s="9"/>
      <c r="H322" s="9"/>
      <c r="I322" s="9"/>
    </row>
    <row r="323" spans="1:9" x14ac:dyDescent="0.35">
      <c r="A323" s="9"/>
      <c r="B323" s="9"/>
      <c r="C323" s="9"/>
      <c r="D323" s="9"/>
      <c r="E323" s="9"/>
      <c r="F323" s="9"/>
      <c r="G323" s="9"/>
      <c r="H323" s="9"/>
      <c r="I323" s="9"/>
    </row>
    <row r="324" spans="1:9" x14ac:dyDescent="0.35">
      <c r="A324" s="9"/>
      <c r="B324" s="9"/>
      <c r="C324" s="9"/>
      <c r="D324" s="9"/>
      <c r="E324" s="9"/>
      <c r="F324" s="9"/>
      <c r="G324" s="9"/>
      <c r="H324" s="9"/>
      <c r="I324" s="9"/>
    </row>
    <row r="325" spans="1:9" x14ac:dyDescent="0.35">
      <c r="A325" s="9"/>
      <c r="B325" s="9"/>
      <c r="C325" s="9"/>
      <c r="D325" s="9"/>
      <c r="E325" s="9"/>
      <c r="F325" s="9"/>
      <c r="G325" s="9"/>
      <c r="H325" s="9"/>
      <c r="I325" s="9"/>
    </row>
    <row r="326" spans="1:9" x14ac:dyDescent="0.35">
      <c r="A326" s="9"/>
      <c r="B326" s="9"/>
      <c r="C326" s="9"/>
      <c r="D326" s="9"/>
      <c r="E326" s="9"/>
      <c r="F326" s="9"/>
      <c r="G326" s="9"/>
      <c r="H326" s="9"/>
      <c r="I326" s="9"/>
    </row>
    <row r="327" spans="1:9" x14ac:dyDescent="0.35">
      <c r="A327" s="9"/>
      <c r="B327" s="9"/>
      <c r="C327" s="9"/>
      <c r="D327" s="9"/>
      <c r="E327" s="9"/>
      <c r="F327" s="9"/>
      <c r="G327" s="9"/>
      <c r="H327" s="9"/>
      <c r="I327" s="9"/>
    </row>
    <row r="328" spans="1:9" x14ac:dyDescent="0.35">
      <c r="A328" s="9"/>
      <c r="B328" s="9"/>
      <c r="C328" s="9"/>
      <c r="D328" s="9"/>
      <c r="E328" s="9"/>
      <c r="F328" s="9"/>
      <c r="G328" s="9"/>
      <c r="H328" s="9"/>
      <c r="I328" s="9"/>
    </row>
    <row r="329" spans="1:9" x14ac:dyDescent="0.35">
      <c r="A329" s="9"/>
      <c r="B329" s="9"/>
      <c r="C329" s="9"/>
      <c r="D329" s="9"/>
      <c r="E329" s="9"/>
      <c r="F329" s="9"/>
      <c r="G329" s="9"/>
      <c r="H329" s="9"/>
      <c r="I329" s="9"/>
    </row>
    <row r="330" spans="1:9" x14ac:dyDescent="0.35">
      <c r="A330" s="9"/>
      <c r="B330" s="9"/>
      <c r="C330" s="9"/>
      <c r="D330" s="9"/>
      <c r="E330" s="9"/>
      <c r="F330" s="9"/>
      <c r="G330" s="9"/>
      <c r="H330" s="9"/>
      <c r="I330" s="9"/>
    </row>
    <row r="331" spans="1:9" x14ac:dyDescent="0.35">
      <c r="A331" s="9"/>
      <c r="B331" s="9"/>
      <c r="C331" s="9"/>
      <c r="D331" s="9"/>
      <c r="E331" s="9"/>
      <c r="F331" s="9"/>
      <c r="G331" s="9"/>
      <c r="H331" s="9"/>
      <c r="I331" s="9"/>
    </row>
    <row r="332" spans="1:9" x14ac:dyDescent="0.35">
      <c r="A332" s="9"/>
      <c r="B332" s="9"/>
      <c r="C332" s="9"/>
      <c r="D332" s="9"/>
      <c r="E332" s="9"/>
      <c r="F332" s="9"/>
      <c r="G332" s="9"/>
      <c r="H332" s="9"/>
      <c r="I332" s="9"/>
    </row>
    <row r="333" spans="1:9" x14ac:dyDescent="0.35">
      <c r="A333" s="9"/>
      <c r="B333" s="9"/>
      <c r="C333" s="9"/>
      <c r="D333" s="9"/>
      <c r="E333" s="9"/>
      <c r="F333" s="9"/>
      <c r="G333" s="9"/>
      <c r="H333" s="9"/>
      <c r="I333" s="9"/>
    </row>
    <row r="334" spans="1:9" x14ac:dyDescent="0.35">
      <c r="A334" s="9"/>
      <c r="B334" s="9"/>
      <c r="C334" s="9"/>
      <c r="D334" s="9"/>
      <c r="E334" s="9"/>
      <c r="F334" s="9"/>
      <c r="G334" s="9"/>
      <c r="H334" s="9"/>
      <c r="I334" s="9"/>
    </row>
    <row r="335" spans="1:9" x14ac:dyDescent="0.35">
      <c r="A335" s="9"/>
      <c r="B335" s="9"/>
      <c r="C335" s="9"/>
      <c r="D335" s="9"/>
      <c r="E335" s="9"/>
      <c r="F335" s="9"/>
      <c r="G335" s="9"/>
      <c r="H335" s="9"/>
      <c r="I335" s="9"/>
    </row>
    <row r="336" spans="1:9" x14ac:dyDescent="0.35">
      <c r="A336" s="9"/>
      <c r="B336" s="9"/>
      <c r="C336" s="9"/>
      <c r="D336" s="9"/>
      <c r="E336" s="9"/>
      <c r="F336" s="9"/>
      <c r="G336" s="9"/>
      <c r="H336" s="9"/>
      <c r="I336" s="9"/>
    </row>
    <row r="337" spans="1:9" x14ac:dyDescent="0.35">
      <c r="A337" s="9"/>
      <c r="B337" s="9"/>
      <c r="C337" s="9"/>
      <c r="D337" s="9"/>
      <c r="E337" s="9"/>
      <c r="F337" s="9"/>
      <c r="G337" s="9"/>
      <c r="H337" s="9"/>
      <c r="I337" s="9"/>
    </row>
    <row r="338" spans="1:9" x14ac:dyDescent="0.35">
      <c r="A338" s="9"/>
      <c r="B338" s="9"/>
      <c r="C338" s="9"/>
      <c r="D338" s="9"/>
      <c r="E338" s="9"/>
      <c r="F338" s="9"/>
      <c r="G338" s="9"/>
      <c r="H338" s="9"/>
      <c r="I338" s="9"/>
    </row>
    <row r="339" spans="1:9" x14ac:dyDescent="0.35">
      <c r="A339" s="9"/>
      <c r="B339" s="9"/>
      <c r="C339" s="9"/>
      <c r="D339" s="9"/>
      <c r="E339" s="9"/>
      <c r="F339" s="9"/>
      <c r="G339" s="9"/>
      <c r="H339" s="9"/>
      <c r="I339" s="9"/>
    </row>
    <row r="340" spans="1:9" x14ac:dyDescent="0.35">
      <c r="A340" s="9"/>
      <c r="B340" s="9"/>
      <c r="C340" s="9"/>
      <c r="D340" s="9"/>
      <c r="E340" s="9"/>
      <c r="F340" s="9"/>
      <c r="G340" s="9"/>
      <c r="H340" s="9"/>
      <c r="I340" s="9"/>
    </row>
    <row r="341" spans="1:9" x14ac:dyDescent="0.35">
      <c r="A341" s="9"/>
      <c r="B341" s="9"/>
      <c r="C341" s="9"/>
      <c r="D341" s="9"/>
      <c r="E341" s="9"/>
      <c r="F341" s="9"/>
      <c r="G341" s="9"/>
      <c r="H341" s="9"/>
      <c r="I341" s="9"/>
    </row>
    <row r="342" spans="1:9" x14ac:dyDescent="0.35">
      <c r="A342" s="9"/>
      <c r="B342" s="9"/>
      <c r="C342" s="9"/>
      <c r="D342" s="9"/>
      <c r="E342" s="9"/>
      <c r="F342" s="9"/>
      <c r="G342" s="9"/>
      <c r="H342" s="9"/>
      <c r="I342" s="9"/>
    </row>
    <row r="343" spans="1:9" x14ac:dyDescent="0.35">
      <c r="A343" s="9"/>
      <c r="B343" s="9"/>
      <c r="C343" s="9"/>
      <c r="D343" s="9"/>
      <c r="E343" s="9"/>
      <c r="F343" s="9"/>
      <c r="G343" s="9"/>
      <c r="H343" s="9"/>
      <c r="I343" s="9"/>
    </row>
    <row r="344" spans="1:9" x14ac:dyDescent="0.35">
      <c r="A344" s="9"/>
      <c r="B344" s="9"/>
      <c r="C344" s="9"/>
      <c r="D344" s="9"/>
      <c r="E344" s="9"/>
      <c r="F344" s="9"/>
      <c r="G344" s="9"/>
      <c r="H344" s="9"/>
      <c r="I344" s="9"/>
    </row>
    <row r="345" spans="1:9" x14ac:dyDescent="0.35">
      <c r="A345" s="9"/>
      <c r="B345" s="9"/>
      <c r="C345" s="9"/>
      <c r="D345" s="9"/>
      <c r="E345" s="9"/>
      <c r="F345" s="9"/>
      <c r="G345" s="9"/>
      <c r="H345" s="9"/>
      <c r="I345" s="9"/>
    </row>
    <row r="346" spans="1:9" x14ac:dyDescent="0.35">
      <c r="A346" s="9"/>
      <c r="B346" s="9"/>
      <c r="C346" s="9"/>
      <c r="D346" s="9"/>
      <c r="E346" s="9"/>
      <c r="F346" s="9"/>
      <c r="G346" s="9"/>
      <c r="H346" s="9"/>
      <c r="I346" s="9"/>
    </row>
    <row r="347" spans="1:9" x14ac:dyDescent="0.35">
      <c r="A347" s="9"/>
      <c r="B347" s="9"/>
      <c r="C347" s="9"/>
      <c r="D347" s="9"/>
      <c r="E347" s="9"/>
      <c r="F347" s="9"/>
      <c r="G347" s="9"/>
      <c r="H347" s="9"/>
      <c r="I347" s="9"/>
    </row>
    <row r="348" spans="1:9" x14ac:dyDescent="0.35">
      <c r="A348" s="9"/>
      <c r="B348" s="9"/>
      <c r="C348" s="9"/>
      <c r="D348" s="9"/>
      <c r="E348" s="9"/>
      <c r="F348" s="9"/>
      <c r="G348" s="9"/>
      <c r="H348" s="9"/>
      <c r="I348" s="9"/>
    </row>
    <row r="349" spans="1:9" x14ac:dyDescent="0.35">
      <c r="A349" s="9"/>
      <c r="B349" s="9"/>
      <c r="C349" s="9"/>
      <c r="D349" s="9"/>
      <c r="E349" s="9"/>
      <c r="F349" s="9"/>
      <c r="G349" s="9"/>
      <c r="H349" s="9"/>
      <c r="I349" s="9"/>
    </row>
    <row r="350" spans="1:9" x14ac:dyDescent="0.35">
      <c r="A350" s="9"/>
      <c r="B350" s="9"/>
      <c r="C350" s="9"/>
      <c r="D350" s="9"/>
      <c r="E350" s="9"/>
      <c r="F350" s="9"/>
      <c r="G350" s="9"/>
      <c r="H350" s="9"/>
      <c r="I350" s="9"/>
    </row>
    <row r="351" spans="1:9" x14ac:dyDescent="0.35">
      <c r="A351" s="9"/>
      <c r="B351" s="9"/>
      <c r="C351" s="9"/>
      <c r="D351" s="9"/>
      <c r="E351" s="9"/>
      <c r="F351" s="9"/>
      <c r="G351" s="9"/>
      <c r="H351" s="9"/>
      <c r="I351" s="9"/>
    </row>
    <row r="352" spans="1:9" x14ac:dyDescent="0.35">
      <c r="A352" s="9"/>
      <c r="B352" s="9"/>
      <c r="C352" s="9"/>
      <c r="D352" s="9"/>
      <c r="E352" s="9"/>
      <c r="F352" s="9"/>
      <c r="G352" s="9"/>
      <c r="H352" s="9"/>
      <c r="I352" s="9"/>
    </row>
    <row r="353" spans="1:9" x14ac:dyDescent="0.35">
      <c r="A353" s="9"/>
      <c r="B353" s="9"/>
      <c r="C353" s="9"/>
      <c r="D353" s="9"/>
      <c r="E353" s="9"/>
      <c r="F353" s="9"/>
      <c r="G353" s="9"/>
      <c r="H353" s="9"/>
      <c r="I353" s="9"/>
    </row>
    <row r="354" spans="1:9" x14ac:dyDescent="0.35">
      <c r="A354" s="9"/>
      <c r="B354" s="9"/>
      <c r="C354" s="9"/>
      <c r="D354" s="9"/>
      <c r="E354" s="9"/>
      <c r="F354" s="9"/>
      <c r="G354" s="9"/>
      <c r="H354" s="9"/>
      <c r="I354" s="9"/>
    </row>
    <row r="355" spans="1:9" x14ac:dyDescent="0.35">
      <c r="A355" s="9"/>
      <c r="B355" s="9"/>
      <c r="C355" s="9"/>
      <c r="D355" s="9"/>
      <c r="E355" s="9"/>
      <c r="F355" s="9"/>
      <c r="G355" s="9"/>
      <c r="H355" s="9"/>
      <c r="I355" s="9"/>
    </row>
    <row r="356" spans="1:9" x14ac:dyDescent="0.35">
      <c r="A356" s="9"/>
      <c r="B356" s="9"/>
      <c r="C356" s="9"/>
      <c r="D356" s="9"/>
      <c r="E356" s="9"/>
      <c r="F356" s="9"/>
      <c r="G356" s="9"/>
      <c r="H356" s="9"/>
      <c r="I356" s="9"/>
    </row>
    <row r="357" spans="1:9" x14ac:dyDescent="0.35">
      <c r="A357" s="9"/>
      <c r="B357" s="9"/>
      <c r="C357" s="9"/>
      <c r="D357" s="9"/>
      <c r="E357" s="9"/>
      <c r="F357" s="9"/>
      <c r="G357" s="9"/>
      <c r="H357" s="9"/>
      <c r="I357" s="9"/>
    </row>
    <row r="358" spans="1:9" x14ac:dyDescent="0.35">
      <c r="A358" s="9"/>
      <c r="B358" s="9"/>
      <c r="C358" s="9"/>
      <c r="D358" s="9"/>
      <c r="E358" s="9"/>
      <c r="F358" s="9"/>
      <c r="G358" s="9"/>
      <c r="H358" s="9"/>
      <c r="I358" s="9"/>
    </row>
    <row r="359" spans="1:9" x14ac:dyDescent="0.35">
      <c r="A359" s="9"/>
      <c r="B359" s="9"/>
      <c r="C359" s="9"/>
      <c r="D359" s="9"/>
      <c r="E359" s="9"/>
      <c r="F359" s="9"/>
      <c r="G359" s="9"/>
      <c r="H359" s="9"/>
      <c r="I359" s="9"/>
    </row>
    <row r="360" spans="1:9" x14ac:dyDescent="0.35">
      <c r="A360" s="9"/>
      <c r="B360" s="9"/>
      <c r="C360" s="9"/>
      <c r="D360" s="9"/>
      <c r="E360" s="9"/>
      <c r="F360" s="9"/>
      <c r="G360" s="9"/>
      <c r="H360" s="9"/>
      <c r="I360" s="9"/>
    </row>
    <row r="361" spans="1:9" x14ac:dyDescent="0.35">
      <c r="A361" s="9"/>
      <c r="B361" s="9"/>
      <c r="C361" s="9"/>
      <c r="D361" s="9"/>
      <c r="E361" s="9"/>
      <c r="F361" s="9"/>
      <c r="G361" s="9"/>
      <c r="H361" s="9"/>
      <c r="I361" s="9"/>
    </row>
    <row r="362" spans="1:9" x14ac:dyDescent="0.35">
      <c r="A362" s="9"/>
      <c r="B362" s="9"/>
      <c r="C362" s="9"/>
      <c r="D362" s="9"/>
      <c r="E362" s="9"/>
      <c r="F362" s="9"/>
      <c r="G362" s="9"/>
      <c r="H362" s="9"/>
      <c r="I362" s="9"/>
    </row>
    <row r="363" spans="1:9" x14ac:dyDescent="0.35">
      <c r="A363" s="9"/>
      <c r="B363" s="9"/>
      <c r="C363" s="9"/>
      <c r="D363" s="9"/>
      <c r="E363" s="9"/>
      <c r="F363" s="9"/>
      <c r="G363" s="9"/>
      <c r="H363" s="9"/>
      <c r="I363" s="9"/>
    </row>
    <row r="364" spans="1:9" x14ac:dyDescent="0.35">
      <c r="A364" s="9"/>
      <c r="B364" s="9"/>
      <c r="C364" s="9"/>
      <c r="D364" s="9"/>
      <c r="E364" s="9"/>
      <c r="F364" s="9"/>
      <c r="G364" s="9"/>
      <c r="H364" s="9"/>
      <c r="I364" s="9"/>
    </row>
    <row r="365" spans="1:9" x14ac:dyDescent="0.35">
      <c r="A365" s="9"/>
      <c r="B365" s="9"/>
      <c r="C365" s="9"/>
      <c r="D365" s="9"/>
      <c r="E365" s="9"/>
      <c r="F365" s="9"/>
      <c r="G365" s="9"/>
      <c r="H365" s="9"/>
      <c r="I365" s="9"/>
    </row>
    <row r="366" spans="1:9" x14ac:dyDescent="0.35">
      <c r="A366" s="9"/>
      <c r="B366" s="9"/>
      <c r="C366" s="9"/>
      <c r="D366" s="9"/>
      <c r="E366" s="9"/>
      <c r="F366" s="9"/>
      <c r="G366" s="9"/>
      <c r="H366" s="9"/>
      <c r="I366" s="9"/>
    </row>
    <row r="367" spans="1:9" x14ac:dyDescent="0.35">
      <c r="A367" s="9"/>
      <c r="B367" s="9"/>
      <c r="C367" s="9"/>
      <c r="D367" s="9"/>
      <c r="E367" s="9"/>
      <c r="F367" s="9"/>
      <c r="G367" s="9"/>
      <c r="H367" s="9"/>
      <c r="I367" s="9"/>
    </row>
    <row r="368" spans="1:9" x14ac:dyDescent="0.35">
      <c r="A368" s="9"/>
      <c r="B368" s="9"/>
      <c r="C368" s="9"/>
      <c r="D368" s="9"/>
      <c r="E368" s="9"/>
      <c r="F368" s="9"/>
      <c r="G368" s="9"/>
      <c r="H368" s="9"/>
      <c r="I368" s="9"/>
    </row>
    <row r="369" spans="1:9" x14ac:dyDescent="0.35">
      <c r="A369" s="9"/>
      <c r="B369" s="9"/>
      <c r="C369" s="9"/>
      <c r="D369" s="9"/>
      <c r="E369" s="9"/>
      <c r="F369" s="9"/>
      <c r="G369" s="9"/>
      <c r="H369" s="9"/>
      <c r="I369" s="9"/>
    </row>
    <row r="370" spans="1:9" x14ac:dyDescent="0.35">
      <c r="A370" s="9"/>
      <c r="B370" s="9"/>
      <c r="C370" s="9"/>
      <c r="D370" s="9"/>
      <c r="E370" s="9"/>
      <c r="F370" s="9"/>
      <c r="G370" s="9"/>
      <c r="H370" s="9"/>
      <c r="I370" s="9"/>
    </row>
    <row r="371" spans="1:9" x14ac:dyDescent="0.35">
      <c r="A371" s="9"/>
      <c r="B371" s="9"/>
      <c r="C371" s="9"/>
      <c r="D371" s="9"/>
      <c r="E371" s="9"/>
      <c r="F371" s="9"/>
      <c r="G371" s="9"/>
      <c r="H371" s="9"/>
      <c r="I371" s="9"/>
    </row>
    <row r="372" spans="1:9" x14ac:dyDescent="0.35">
      <c r="A372" s="9"/>
      <c r="B372" s="9"/>
      <c r="C372" s="9"/>
      <c r="D372" s="9"/>
      <c r="E372" s="9"/>
      <c r="F372" s="9"/>
      <c r="G372" s="9"/>
      <c r="H372" s="9"/>
      <c r="I372" s="9"/>
    </row>
    <row r="373" spans="1:9" x14ac:dyDescent="0.35">
      <c r="A373" s="9"/>
      <c r="B373" s="9"/>
      <c r="C373" s="9"/>
      <c r="D373" s="9"/>
      <c r="E373" s="9"/>
      <c r="F373" s="9"/>
      <c r="G373" s="9"/>
      <c r="H373" s="9"/>
      <c r="I373" s="9"/>
    </row>
    <row r="374" spans="1:9" x14ac:dyDescent="0.35">
      <c r="A374" s="9"/>
      <c r="B374" s="9"/>
      <c r="C374" s="9"/>
      <c r="D374" s="9"/>
      <c r="E374" s="9"/>
      <c r="F374" s="9"/>
      <c r="G374" s="9"/>
      <c r="H374" s="9"/>
      <c r="I374" s="9"/>
    </row>
    <row r="375" spans="1:9" x14ac:dyDescent="0.35">
      <c r="A375" s="9"/>
      <c r="B375" s="9"/>
      <c r="C375" s="9"/>
      <c r="D375" s="9"/>
      <c r="E375" s="9"/>
      <c r="F375" s="9"/>
      <c r="G375" s="9"/>
      <c r="H375" s="9"/>
      <c r="I375" s="9"/>
    </row>
    <row r="376" spans="1:9" x14ac:dyDescent="0.35">
      <c r="A376" s="9"/>
      <c r="B376" s="9"/>
      <c r="C376" s="9"/>
      <c r="D376" s="9"/>
      <c r="E376" s="9"/>
      <c r="F376" s="9"/>
      <c r="G376" s="9"/>
      <c r="H376" s="9"/>
      <c r="I376" s="9"/>
    </row>
    <row r="377" spans="1:9" x14ac:dyDescent="0.35">
      <c r="A377" s="9"/>
      <c r="B377" s="9"/>
      <c r="C377" s="9"/>
      <c r="D377" s="9"/>
      <c r="E377" s="9"/>
      <c r="F377" s="9"/>
      <c r="G377" s="9"/>
      <c r="H377" s="9"/>
      <c r="I377" s="9"/>
    </row>
    <row r="378" spans="1:9" x14ac:dyDescent="0.35">
      <c r="A378" s="9"/>
      <c r="B378" s="9"/>
      <c r="C378" s="9"/>
      <c r="D378" s="9"/>
      <c r="E378" s="9"/>
      <c r="F378" s="9"/>
      <c r="G378" s="9"/>
      <c r="H378" s="9"/>
      <c r="I378" s="9"/>
    </row>
    <row r="379" spans="1:9" x14ac:dyDescent="0.35">
      <c r="A379" s="9"/>
      <c r="B379" s="9"/>
      <c r="C379" s="9"/>
      <c r="D379" s="9"/>
      <c r="E379" s="9"/>
      <c r="F379" s="9"/>
      <c r="G379" s="9"/>
      <c r="H379" s="9"/>
      <c r="I379" s="9"/>
    </row>
    <row r="380" spans="1:9" x14ac:dyDescent="0.35">
      <c r="A380" s="9"/>
      <c r="B380" s="9"/>
      <c r="C380" s="9"/>
      <c r="D380" s="9"/>
      <c r="E380" s="9"/>
      <c r="F380" s="9"/>
      <c r="G380" s="9"/>
      <c r="H380" s="9"/>
      <c r="I380" s="9"/>
    </row>
    <row r="381" spans="1:9" x14ac:dyDescent="0.35">
      <c r="A381" s="9"/>
      <c r="B381" s="9"/>
      <c r="C381" s="9"/>
      <c r="D381" s="9"/>
      <c r="E381" s="9"/>
      <c r="F381" s="9"/>
      <c r="G381" s="9"/>
      <c r="H381" s="9"/>
      <c r="I381" s="9"/>
    </row>
    <row r="382" spans="1:9" x14ac:dyDescent="0.35">
      <c r="A382" s="9"/>
      <c r="B382" s="9"/>
      <c r="C382" s="9"/>
      <c r="D382" s="9"/>
      <c r="E382" s="9"/>
      <c r="F382" s="9"/>
      <c r="G382" s="9"/>
      <c r="H382" s="9"/>
      <c r="I382" s="9"/>
    </row>
    <row r="383" spans="1:9" x14ac:dyDescent="0.35">
      <c r="A383" s="9"/>
      <c r="B383" s="9"/>
      <c r="C383" s="9"/>
      <c r="D383" s="9"/>
      <c r="E383" s="9"/>
      <c r="F383" s="9"/>
      <c r="G383" s="9"/>
      <c r="H383" s="9"/>
      <c r="I383" s="9"/>
    </row>
    <row r="384" spans="1:9" x14ac:dyDescent="0.35">
      <c r="A384" s="9"/>
      <c r="B384" s="9"/>
      <c r="C384" s="9"/>
      <c r="D384" s="9"/>
      <c r="E384" s="9"/>
      <c r="F384" s="9"/>
      <c r="G384" s="9"/>
      <c r="H384" s="9"/>
      <c r="I384" s="9"/>
    </row>
    <row r="385" spans="1:9" x14ac:dyDescent="0.35">
      <c r="A385" s="9"/>
      <c r="B385" s="9"/>
      <c r="C385" s="9"/>
      <c r="D385" s="9"/>
      <c r="E385" s="9"/>
      <c r="F385" s="9"/>
      <c r="G385" s="9"/>
      <c r="H385" s="9"/>
      <c r="I385" s="9"/>
    </row>
    <row r="386" spans="1:9" x14ac:dyDescent="0.35">
      <c r="A386" s="9"/>
      <c r="B386" s="9"/>
      <c r="C386" s="9"/>
      <c r="D386" s="9"/>
      <c r="E386" s="9"/>
      <c r="F386" s="9"/>
      <c r="G386" s="9"/>
      <c r="H386" s="9"/>
      <c r="I386" s="9"/>
    </row>
    <row r="387" spans="1:9" x14ac:dyDescent="0.35">
      <c r="A387" s="9"/>
      <c r="B387" s="9"/>
      <c r="C387" s="9"/>
      <c r="D387" s="9"/>
      <c r="E387" s="9"/>
      <c r="F387" s="9"/>
      <c r="G387" s="9"/>
      <c r="H387" s="9"/>
      <c r="I387" s="9"/>
    </row>
    <row r="388" spans="1:9" x14ac:dyDescent="0.35">
      <c r="A388" s="9"/>
      <c r="B388" s="9"/>
      <c r="C388" s="9"/>
      <c r="D388" s="9"/>
      <c r="E388" s="9"/>
      <c r="F388" s="9"/>
      <c r="G388" s="9"/>
      <c r="H388" s="9"/>
      <c r="I388" s="9"/>
    </row>
    <row r="389" spans="1:9" x14ac:dyDescent="0.35">
      <c r="A389" s="9"/>
      <c r="B389" s="9"/>
      <c r="C389" s="9"/>
      <c r="D389" s="9"/>
      <c r="E389" s="9"/>
      <c r="F389" s="9"/>
      <c r="G389" s="9"/>
      <c r="H389" s="9"/>
      <c r="I389" s="9"/>
    </row>
    <row r="390" spans="1:9" x14ac:dyDescent="0.35">
      <c r="A390" s="9"/>
      <c r="B390" s="9"/>
      <c r="C390" s="9"/>
      <c r="D390" s="9"/>
      <c r="E390" s="9"/>
      <c r="F390" s="9"/>
      <c r="G390" s="9"/>
      <c r="H390" s="9"/>
      <c r="I390" s="9"/>
    </row>
    <row r="391" spans="1:9" x14ac:dyDescent="0.35">
      <c r="A391" s="9"/>
      <c r="B391" s="9"/>
      <c r="C391" s="9"/>
      <c r="D391" s="9"/>
      <c r="E391" s="9"/>
      <c r="F391" s="9"/>
      <c r="G391" s="9"/>
      <c r="H391" s="9"/>
      <c r="I391" s="9"/>
    </row>
    <row r="392" spans="1:9" x14ac:dyDescent="0.35">
      <c r="A392" s="9"/>
      <c r="B392" s="9"/>
      <c r="C392" s="9"/>
      <c r="D392" s="9"/>
      <c r="E392" s="9"/>
      <c r="F392" s="9"/>
      <c r="G392" s="9"/>
      <c r="H392" s="9"/>
      <c r="I392" s="9"/>
    </row>
    <row r="393" spans="1:9" x14ac:dyDescent="0.35">
      <c r="A393" s="9"/>
      <c r="B393" s="9"/>
      <c r="C393" s="9"/>
      <c r="D393" s="9"/>
      <c r="E393" s="9"/>
      <c r="F393" s="9"/>
      <c r="G393" s="9"/>
      <c r="H393" s="9"/>
      <c r="I393" s="9"/>
    </row>
    <row r="394" spans="1:9" x14ac:dyDescent="0.35">
      <c r="A394" s="9"/>
      <c r="B394" s="9"/>
      <c r="C394" s="9"/>
      <c r="D394" s="9"/>
      <c r="E394" s="9"/>
      <c r="F394" s="9"/>
      <c r="G394" s="9"/>
      <c r="H394" s="9"/>
      <c r="I394" s="9"/>
    </row>
    <row r="395" spans="1:9" x14ac:dyDescent="0.35">
      <c r="A395" s="9"/>
      <c r="B395" s="9"/>
      <c r="C395" s="9"/>
      <c r="D395" s="9"/>
      <c r="E395" s="9"/>
      <c r="F395" s="9"/>
      <c r="G395" s="9"/>
      <c r="H395" s="9"/>
      <c r="I395" s="9"/>
    </row>
    <row r="396" spans="1:9" x14ac:dyDescent="0.35">
      <c r="A396" s="9"/>
      <c r="B396" s="9"/>
      <c r="C396" s="9"/>
      <c r="D396" s="9"/>
      <c r="E396" s="9"/>
      <c r="F396" s="9"/>
      <c r="G396" s="9"/>
      <c r="H396" s="9"/>
      <c r="I396" s="9"/>
    </row>
    <row r="397" spans="1:9" x14ac:dyDescent="0.35">
      <c r="A397" s="9"/>
      <c r="B397" s="9"/>
      <c r="C397" s="9"/>
      <c r="D397" s="9"/>
      <c r="E397" s="9"/>
      <c r="F397" s="9"/>
      <c r="G397" s="9"/>
      <c r="H397" s="9"/>
      <c r="I397" s="9"/>
    </row>
    <row r="398" spans="1:9" x14ac:dyDescent="0.35">
      <c r="A398" s="9"/>
      <c r="B398" s="9"/>
      <c r="C398" s="9"/>
      <c r="D398" s="9"/>
      <c r="E398" s="9"/>
      <c r="F398" s="9"/>
      <c r="G398" s="9"/>
      <c r="H398" s="9"/>
      <c r="I398" s="9"/>
    </row>
    <row r="399" spans="1:9" x14ac:dyDescent="0.35">
      <c r="A399" s="9"/>
      <c r="B399" s="9"/>
      <c r="C399" s="9"/>
      <c r="D399" s="9"/>
      <c r="E399" s="9"/>
      <c r="F399" s="9"/>
      <c r="G399" s="9"/>
      <c r="H399" s="9"/>
      <c r="I399" s="9"/>
    </row>
    <row r="400" spans="1:9" x14ac:dyDescent="0.35">
      <c r="A400" s="9"/>
      <c r="B400" s="9"/>
      <c r="C400" s="9"/>
      <c r="D400" s="9"/>
      <c r="E400" s="9"/>
      <c r="F400" s="9"/>
      <c r="G400" s="9"/>
      <c r="H400" s="9"/>
      <c r="I400" s="9"/>
    </row>
    <row r="401" spans="1:9" x14ac:dyDescent="0.35">
      <c r="A401" s="9"/>
      <c r="B401" s="9"/>
      <c r="C401" s="9"/>
      <c r="D401" s="9"/>
      <c r="E401" s="9"/>
      <c r="F401" s="9"/>
      <c r="G401" s="9"/>
      <c r="H401" s="9"/>
      <c r="I401" s="9"/>
    </row>
    <row r="402" spans="1:9" x14ac:dyDescent="0.35">
      <c r="A402" s="9"/>
      <c r="B402" s="9"/>
      <c r="C402" s="9"/>
      <c r="D402" s="9"/>
      <c r="E402" s="9"/>
      <c r="F402" s="9"/>
      <c r="G402" s="9"/>
      <c r="H402" s="9"/>
      <c r="I402" s="9"/>
    </row>
    <row r="403" spans="1:9" x14ac:dyDescent="0.35">
      <c r="A403" s="9"/>
      <c r="B403" s="9"/>
      <c r="C403" s="9"/>
      <c r="D403" s="9"/>
      <c r="E403" s="9"/>
      <c r="F403" s="9"/>
      <c r="G403" s="9"/>
      <c r="H403" s="9"/>
      <c r="I403" s="9"/>
    </row>
    <row r="404" spans="1:9" x14ac:dyDescent="0.35">
      <c r="A404" s="9"/>
      <c r="B404" s="9"/>
      <c r="C404" s="9"/>
      <c r="D404" s="9"/>
      <c r="E404" s="9"/>
      <c r="F404" s="9"/>
      <c r="G404" s="9"/>
      <c r="H404" s="9"/>
      <c r="I404" s="9"/>
    </row>
    <row r="405" spans="1:9" x14ac:dyDescent="0.35">
      <c r="A405" s="9"/>
      <c r="B405" s="9"/>
      <c r="C405" s="9"/>
      <c r="D405" s="9"/>
      <c r="E405" s="9"/>
      <c r="F405" s="9"/>
      <c r="G405" s="9"/>
      <c r="H405" s="9"/>
      <c r="I405" s="9"/>
    </row>
    <row r="406" spans="1:9" x14ac:dyDescent="0.35">
      <c r="A406" s="9"/>
      <c r="B406" s="9"/>
      <c r="C406" s="9"/>
      <c r="D406" s="9"/>
      <c r="E406" s="9"/>
      <c r="F406" s="9"/>
      <c r="G406" s="9"/>
      <c r="H406" s="9"/>
      <c r="I406" s="9"/>
    </row>
    <row r="407" spans="1:9" x14ac:dyDescent="0.35">
      <c r="A407" s="9"/>
      <c r="B407" s="9"/>
      <c r="C407" s="9"/>
      <c r="D407" s="9"/>
      <c r="E407" s="9"/>
      <c r="F407" s="9"/>
      <c r="G407" s="9"/>
      <c r="H407" s="9"/>
      <c r="I407" s="9"/>
    </row>
    <row r="408" spans="1:9" x14ac:dyDescent="0.35">
      <c r="A408" s="9"/>
      <c r="B408" s="9"/>
      <c r="C408" s="9"/>
      <c r="D408" s="9"/>
      <c r="E408" s="9"/>
      <c r="F408" s="9"/>
      <c r="G408" s="9"/>
      <c r="H408" s="9"/>
      <c r="I408" s="9"/>
    </row>
    <row r="409" spans="1:9" x14ac:dyDescent="0.35">
      <c r="A409" s="9"/>
      <c r="B409" s="9"/>
      <c r="C409" s="9"/>
      <c r="D409" s="9"/>
      <c r="E409" s="9"/>
      <c r="F409" s="9"/>
      <c r="G409" s="9"/>
      <c r="H409" s="9"/>
      <c r="I409" s="9"/>
    </row>
    <row r="410" spans="1:9" x14ac:dyDescent="0.35">
      <c r="A410" s="9"/>
      <c r="B410" s="9"/>
      <c r="C410" s="9"/>
      <c r="D410" s="9"/>
      <c r="E410" s="9"/>
      <c r="F410" s="9"/>
      <c r="G410" s="9"/>
      <c r="H410" s="9"/>
      <c r="I410" s="9"/>
    </row>
    <row r="411" spans="1:9" x14ac:dyDescent="0.35">
      <c r="A411" s="9"/>
      <c r="B411" s="9"/>
      <c r="C411" s="9"/>
      <c r="D411" s="9"/>
      <c r="E411" s="9"/>
      <c r="F411" s="9"/>
      <c r="G411" s="9"/>
      <c r="H411" s="9"/>
      <c r="I411" s="9"/>
    </row>
    <row r="412" spans="1:9" x14ac:dyDescent="0.35">
      <c r="A412" s="9"/>
      <c r="B412" s="9"/>
      <c r="C412" s="9"/>
      <c r="D412" s="9"/>
      <c r="E412" s="9"/>
      <c r="F412" s="9"/>
      <c r="G412" s="9"/>
      <c r="H412" s="9"/>
      <c r="I412" s="9"/>
    </row>
    <row r="413" spans="1:9" x14ac:dyDescent="0.35">
      <c r="A413" s="9"/>
      <c r="B413" s="9"/>
      <c r="C413" s="9"/>
      <c r="D413" s="9"/>
      <c r="E413" s="9"/>
      <c r="F413" s="9"/>
      <c r="G413" s="9"/>
      <c r="H413" s="9"/>
      <c r="I413" s="9"/>
    </row>
    <row r="414" spans="1:9" x14ac:dyDescent="0.35">
      <c r="A414" s="9"/>
      <c r="B414" s="9"/>
      <c r="C414" s="9"/>
      <c r="D414" s="9"/>
      <c r="E414" s="9"/>
      <c r="F414" s="9"/>
      <c r="G414" s="9"/>
      <c r="H414" s="9"/>
      <c r="I414" s="9"/>
    </row>
    <row r="415" spans="1:9" x14ac:dyDescent="0.35">
      <c r="A415" s="9"/>
      <c r="B415" s="9"/>
      <c r="C415" s="9"/>
      <c r="D415" s="9"/>
      <c r="E415" s="9"/>
      <c r="F415" s="9"/>
      <c r="G415" s="9"/>
      <c r="H415" s="9"/>
      <c r="I415" s="9"/>
    </row>
    <row r="416" spans="1:9" x14ac:dyDescent="0.35">
      <c r="A416" s="9"/>
      <c r="B416" s="9"/>
      <c r="C416" s="9"/>
      <c r="D416" s="9"/>
      <c r="E416" s="9"/>
      <c r="F416" s="9"/>
      <c r="G416" s="9"/>
      <c r="H416" s="9"/>
      <c r="I416" s="9"/>
    </row>
    <row r="417" spans="1:9" x14ac:dyDescent="0.35">
      <c r="A417" s="9"/>
      <c r="B417" s="9"/>
      <c r="C417" s="9"/>
      <c r="D417" s="9"/>
      <c r="E417" s="9"/>
      <c r="F417" s="9"/>
      <c r="G417" s="9"/>
      <c r="H417" s="9"/>
      <c r="I417" s="9"/>
    </row>
    <row r="418" spans="1:9" x14ac:dyDescent="0.35">
      <c r="A418" s="9"/>
      <c r="B418" s="9"/>
      <c r="C418" s="9"/>
      <c r="D418" s="9"/>
      <c r="E418" s="9"/>
      <c r="F418" s="9"/>
      <c r="G418" s="9"/>
      <c r="H418" s="9"/>
      <c r="I418" s="9"/>
    </row>
    <row r="419" spans="1:9" x14ac:dyDescent="0.35">
      <c r="A419" s="9"/>
      <c r="B419" s="9"/>
      <c r="C419" s="9"/>
      <c r="D419" s="9"/>
      <c r="E419" s="9"/>
      <c r="F419" s="9"/>
      <c r="G419" s="9"/>
      <c r="H419" s="9"/>
      <c r="I419" s="9"/>
    </row>
    <row r="420" spans="1:9" x14ac:dyDescent="0.35">
      <c r="A420" s="9"/>
      <c r="B420" s="9"/>
      <c r="C420" s="9"/>
      <c r="D420" s="9"/>
      <c r="E420" s="9"/>
      <c r="F420" s="9"/>
      <c r="G420" s="9"/>
      <c r="H420" s="9"/>
      <c r="I420" s="9"/>
    </row>
    <row r="421" spans="1:9" x14ac:dyDescent="0.35">
      <c r="A421" s="9"/>
      <c r="B421" s="9"/>
      <c r="C421" s="9"/>
      <c r="D421" s="9"/>
      <c r="E421" s="9"/>
      <c r="F421" s="9"/>
      <c r="G421" s="9"/>
      <c r="H421" s="9"/>
      <c r="I421" s="9"/>
    </row>
    <row r="422" spans="1:9" x14ac:dyDescent="0.35">
      <c r="A422" s="9"/>
      <c r="B422" s="9"/>
      <c r="C422" s="9"/>
      <c r="D422" s="9"/>
      <c r="E422" s="9"/>
      <c r="F422" s="9"/>
      <c r="G422" s="9"/>
      <c r="H422" s="9"/>
      <c r="I422" s="9"/>
    </row>
    <row r="423" spans="1:9" x14ac:dyDescent="0.35">
      <c r="A423" s="9"/>
      <c r="B423" s="9"/>
      <c r="C423" s="9"/>
      <c r="D423" s="9"/>
      <c r="E423" s="9"/>
      <c r="F423" s="9"/>
      <c r="G423" s="9"/>
      <c r="H423" s="9"/>
      <c r="I423" s="9"/>
    </row>
    <row r="424" spans="1:9" x14ac:dyDescent="0.35">
      <c r="A424" s="9"/>
      <c r="B424" s="9"/>
      <c r="C424" s="9"/>
      <c r="D424" s="9"/>
      <c r="E424" s="9"/>
      <c r="F424" s="9"/>
      <c r="G424" s="9"/>
      <c r="H424" s="9"/>
      <c r="I424" s="9"/>
    </row>
    <row r="425" spans="1:9" x14ac:dyDescent="0.35">
      <c r="A425" s="9"/>
      <c r="B425" s="9"/>
      <c r="C425" s="9"/>
      <c r="D425" s="9"/>
      <c r="E425" s="9"/>
      <c r="F425" s="9"/>
      <c r="G425" s="9"/>
      <c r="H425" s="9"/>
      <c r="I425" s="9"/>
    </row>
    <row r="426" spans="1:9" x14ac:dyDescent="0.35">
      <c r="A426" s="9"/>
      <c r="B426" s="9"/>
      <c r="C426" s="9"/>
      <c r="D426" s="9"/>
      <c r="E426" s="9"/>
      <c r="F426" s="9"/>
      <c r="G426" s="9"/>
      <c r="H426" s="9"/>
      <c r="I426" s="9"/>
    </row>
    <row r="427" spans="1:9" x14ac:dyDescent="0.35">
      <c r="A427" s="9"/>
      <c r="B427" s="9"/>
      <c r="C427" s="9"/>
      <c r="D427" s="9"/>
      <c r="E427" s="9"/>
      <c r="F427" s="9"/>
      <c r="G427" s="9"/>
      <c r="H427" s="9"/>
      <c r="I427" s="9"/>
    </row>
    <row r="428" spans="1:9" x14ac:dyDescent="0.35">
      <c r="A428" s="9"/>
      <c r="B428" s="9"/>
      <c r="C428" s="9"/>
      <c r="D428" s="9"/>
      <c r="E428" s="9"/>
      <c r="F428" s="9"/>
      <c r="G428" s="9"/>
      <c r="H428" s="9"/>
      <c r="I428" s="9"/>
    </row>
    <row r="429" spans="1:9" x14ac:dyDescent="0.35">
      <c r="A429" s="9"/>
      <c r="B429" s="9"/>
      <c r="C429" s="9"/>
      <c r="D429" s="9"/>
      <c r="E429" s="9"/>
      <c r="F429" s="9"/>
      <c r="G429" s="9"/>
      <c r="H429" s="9"/>
      <c r="I429" s="9"/>
    </row>
    <row r="430" spans="1:9" x14ac:dyDescent="0.35">
      <c r="A430" s="9"/>
      <c r="B430" s="9"/>
      <c r="C430" s="9"/>
      <c r="D430" s="9"/>
      <c r="E430" s="9"/>
      <c r="F430" s="9"/>
      <c r="G430" s="9"/>
      <c r="H430" s="9"/>
      <c r="I430" s="9"/>
    </row>
    <row r="431" spans="1:9" x14ac:dyDescent="0.35">
      <c r="A431" s="9"/>
      <c r="B431" s="9"/>
      <c r="C431" s="9"/>
      <c r="D431" s="9"/>
      <c r="E431" s="9"/>
      <c r="F431" s="9"/>
      <c r="G431" s="9"/>
      <c r="H431" s="9"/>
      <c r="I431" s="9"/>
    </row>
    <row r="432" spans="1:9" x14ac:dyDescent="0.35">
      <c r="A432" s="9"/>
      <c r="B432" s="9"/>
      <c r="C432" s="9"/>
      <c r="D432" s="9"/>
      <c r="E432" s="9"/>
      <c r="F432" s="9"/>
      <c r="G432" s="9"/>
      <c r="H432" s="9"/>
      <c r="I432" s="9"/>
    </row>
    <row r="433" spans="1:9" x14ac:dyDescent="0.35">
      <c r="A433" s="9"/>
      <c r="B433" s="9"/>
      <c r="C433" s="9"/>
      <c r="D433" s="9"/>
      <c r="E433" s="9"/>
      <c r="F433" s="9"/>
      <c r="G433" s="9"/>
      <c r="H433" s="9"/>
      <c r="I433" s="9"/>
    </row>
    <row r="434" spans="1:9" x14ac:dyDescent="0.35">
      <c r="A434" s="9"/>
      <c r="B434" s="9"/>
      <c r="C434" s="9"/>
      <c r="D434" s="9"/>
      <c r="E434" s="9"/>
      <c r="F434" s="9"/>
      <c r="G434" s="9"/>
      <c r="H434" s="9"/>
      <c r="I434" s="9"/>
    </row>
    <row r="435" spans="1:9" x14ac:dyDescent="0.35">
      <c r="A435" s="9"/>
      <c r="B435" s="9"/>
      <c r="C435" s="9"/>
      <c r="D435" s="9"/>
      <c r="E435" s="9"/>
      <c r="F435" s="9"/>
      <c r="G435" s="9"/>
      <c r="H435" s="9"/>
      <c r="I435" s="9"/>
    </row>
    <row r="436" spans="1:9" x14ac:dyDescent="0.35">
      <c r="A436" s="9"/>
      <c r="B436" s="9"/>
      <c r="C436" s="9"/>
      <c r="D436" s="9"/>
      <c r="E436" s="9"/>
      <c r="F436" s="9"/>
      <c r="G436" s="9"/>
      <c r="H436" s="9"/>
      <c r="I436" s="9"/>
    </row>
    <row r="437" spans="1:9" x14ac:dyDescent="0.35">
      <c r="A437" s="9"/>
      <c r="B437" s="9"/>
      <c r="C437" s="9"/>
      <c r="D437" s="9"/>
      <c r="E437" s="9"/>
      <c r="F437" s="9"/>
      <c r="G437" s="9"/>
      <c r="H437" s="9"/>
      <c r="I437" s="9"/>
    </row>
    <row r="438" spans="1:9" x14ac:dyDescent="0.35">
      <c r="A438" s="9"/>
      <c r="B438" s="9"/>
      <c r="C438" s="9"/>
      <c r="D438" s="9"/>
      <c r="E438" s="9"/>
      <c r="F438" s="9"/>
      <c r="G438" s="9"/>
      <c r="H438" s="9"/>
      <c r="I438" s="9"/>
    </row>
    <row r="439" spans="1:9" x14ac:dyDescent="0.35">
      <c r="A439" s="9"/>
      <c r="B439" s="9"/>
      <c r="C439" s="9"/>
      <c r="D439" s="9"/>
      <c r="E439" s="9"/>
      <c r="F439" s="9"/>
      <c r="G439" s="9"/>
      <c r="H439" s="9"/>
      <c r="I439" s="9"/>
    </row>
    <row r="440" spans="1:9" x14ac:dyDescent="0.35">
      <c r="A440" s="9"/>
      <c r="B440" s="9"/>
      <c r="C440" s="9"/>
      <c r="D440" s="9"/>
      <c r="E440" s="9"/>
      <c r="F440" s="9"/>
      <c r="G440" s="9"/>
      <c r="H440" s="9"/>
      <c r="I440" s="9"/>
    </row>
    <row r="441" spans="1:9" x14ac:dyDescent="0.35">
      <c r="A441" s="9"/>
      <c r="B441" s="9"/>
      <c r="C441" s="9"/>
      <c r="D441" s="9"/>
      <c r="E441" s="9"/>
      <c r="F441" s="9"/>
      <c r="G441" s="9"/>
      <c r="H441" s="9"/>
      <c r="I441" s="9"/>
    </row>
    <row r="442" spans="1:9" x14ac:dyDescent="0.35">
      <c r="A442" s="9"/>
      <c r="B442" s="9"/>
      <c r="C442" s="9"/>
      <c r="D442" s="9"/>
      <c r="E442" s="9"/>
      <c r="F442" s="9"/>
      <c r="G442" s="9"/>
      <c r="H442" s="9"/>
      <c r="I442" s="9"/>
    </row>
    <row r="443" spans="1:9" x14ac:dyDescent="0.35">
      <c r="A443" s="9"/>
      <c r="B443" s="9"/>
      <c r="C443" s="9"/>
      <c r="D443" s="9"/>
      <c r="E443" s="9"/>
      <c r="F443" s="9"/>
      <c r="G443" s="9"/>
      <c r="H443" s="9"/>
      <c r="I443" s="9"/>
    </row>
    <row r="444" spans="1:9" x14ac:dyDescent="0.35">
      <c r="A444" s="9"/>
      <c r="B444" s="9"/>
      <c r="C444" s="9"/>
      <c r="D444" s="9"/>
      <c r="E444" s="9"/>
      <c r="F444" s="9"/>
      <c r="G444" s="9"/>
      <c r="H444" s="9"/>
      <c r="I444" s="9"/>
    </row>
    <row r="445" spans="1:9" x14ac:dyDescent="0.35">
      <c r="A445" s="9"/>
      <c r="B445" s="9"/>
      <c r="C445" s="9"/>
      <c r="D445" s="9"/>
      <c r="E445" s="9"/>
      <c r="F445" s="9"/>
      <c r="G445" s="9"/>
      <c r="H445" s="9"/>
      <c r="I445" s="9"/>
    </row>
    <row r="446" spans="1:9" x14ac:dyDescent="0.35">
      <c r="A446" s="9"/>
      <c r="B446" s="9"/>
      <c r="C446" s="9"/>
      <c r="D446" s="9"/>
      <c r="E446" s="9"/>
      <c r="F446" s="9"/>
      <c r="G446" s="9"/>
      <c r="H446" s="9"/>
      <c r="I446" s="9"/>
    </row>
    <row r="447" spans="1:9" x14ac:dyDescent="0.35">
      <c r="A447" s="9"/>
      <c r="B447" s="9"/>
      <c r="C447" s="9"/>
      <c r="D447" s="9"/>
      <c r="E447" s="9"/>
      <c r="F447" s="9"/>
      <c r="G447" s="9"/>
      <c r="H447" s="9"/>
      <c r="I447" s="9"/>
    </row>
    <row r="448" spans="1:9" x14ac:dyDescent="0.35">
      <c r="A448" s="9"/>
      <c r="B448" s="9"/>
      <c r="C448" s="9"/>
      <c r="D448" s="9"/>
      <c r="E448" s="9"/>
      <c r="F448" s="9"/>
      <c r="G448" s="9"/>
      <c r="H448" s="9"/>
      <c r="I448" s="9"/>
    </row>
    <row r="449" spans="1:9" x14ac:dyDescent="0.35">
      <c r="A449" s="9"/>
      <c r="B449" s="9"/>
      <c r="C449" s="9"/>
      <c r="D449" s="9"/>
      <c r="E449" s="9"/>
      <c r="F449" s="9"/>
      <c r="G449" s="9"/>
      <c r="H449" s="9"/>
      <c r="I449" s="9"/>
    </row>
    <row r="450" spans="1:9" x14ac:dyDescent="0.35">
      <c r="A450" s="9"/>
      <c r="B450" s="9"/>
      <c r="C450" s="9"/>
      <c r="D450" s="9"/>
      <c r="E450" s="9"/>
      <c r="F450" s="9"/>
      <c r="G450" s="9"/>
      <c r="H450" s="9"/>
      <c r="I450" s="9"/>
    </row>
    <row r="451" spans="1:9" x14ac:dyDescent="0.35">
      <c r="A451" s="9"/>
      <c r="B451" s="9"/>
      <c r="C451" s="9"/>
      <c r="D451" s="9"/>
      <c r="E451" s="9"/>
      <c r="F451" s="9"/>
      <c r="G451" s="9"/>
      <c r="H451" s="9"/>
      <c r="I451" s="9"/>
    </row>
    <row r="452" spans="1:9" x14ac:dyDescent="0.35">
      <c r="A452" s="9"/>
      <c r="B452" s="9"/>
      <c r="C452" s="9"/>
      <c r="D452" s="9"/>
      <c r="E452" s="9"/>
      <c r="F452" s="9"/>
      <c r="G452" s="9"/>
      <c r="H452" s="9"/>
      <c r="I452" s="9"/>
    </row>
    <row r="453" spans="1:9" x14ac:dyDescent="0.35">
      <c r="A453" s="9"/>
      <c r="B453" s="9"/>
      <c r="C453" s="9"/>
      <c r="D453" s="9"/>
      <c r="E453" s="9"/>
      <c r="F453" s="9"/>
      <c r="G453" s="9"/>
      <c r="H453" s="9"/>
      <c r="I453" s="9"/>
    </row>
    <row r="454" spans="1:9" x14ac:dyDescent="0.35">
      <c r="A454" s="9"/>
      <c r="B454" s="9"/>
      <c r="C454" s="9"/>
      <c r="D454" s="9"/>
      <c r="E454" s="9"/>
      <c r="F454" s="9"/>
      <c r="G454" s="9"/>
      <c r="H454" s="9"/>
      <c r="I454" s="9"/>
    </row>
    <row r="455" spans="1:9" x14ac:dyDescent="0.35">
      <c r="A455" s="9"/>
      <c r="B455" s="9"/>
      <c r="C455" s="9"/>
      <c r="D455" s="9"/>
      <c r="E455" s="9"/>
      <c r="F455" s="9"/>
      <c r="G455" s="9"/>
      <c r="H455" s="9"/>
      <c r="I455" s="9"/>
    </row>
    <row r="456" spans="1:9" x14ac:dyDescent="0.35">
      <c r="A456" s="9"/>
      <c r="B456" s="9"/>
      <c r="C456" s="9"/>
      <c r="D456" s="9"/>
      <c r="E456" s="9"/>
      <c r="F456" s="9"/>
      <c r="G456" s="9"/>
      <c r="H456" s="9"/>
      <c r="I456" s="9"/>
    </row>
    <row r="457" spans="1:9" x14ac:dyDescent="0.35">
      <c r="A457" s="9"/>
      <c r="B457" s="9"/>
      <c r="C457" s="9"/>
      <c r="D457" s="9"/>
      <c r="E457" s="9"/>
      <c r="F457" s="9"/>
      <c r="G457" s="9"/>
      <c r="H457" s="9"/>
      <c r="I457" s="9"/>
    </row>
    <row r="458" spans="1:9" x14ac:dyDescent="0.35">
      <c r="A458" s="9"/>
      <c r="B458" s="9"/>
      <c r="C458" s="9"/>
      <c r="D458" s="9"/>
      <c r="E458" s="9"/>
      <c r="F458" s="9"/>
      <c r="G458" s="9"/>
      <c r="H458" s="9"/>
      <c r="I458" s="9"/>
    </row>
    <row r="459" spans="1:9" x14ac:dyDescent="0.35">
      <c r="A459" s="9"/>
      <c r="B459" s="9"/>
      <c r="C459" s="9"/>
      <c r="D459" s="9"/>
      <c r="E459" s="9"/>
      <c r="F459" s="9"/>
      <c r="G459" s="9"/>
      <c r="H459" s="9"/>
      <c r="I459" s="9"/>
    </row>
    <row r="460" spans="1:9" x14ac:dyDescent="0.35">
      <c r="A460" s="9"/>
      <c r="B460" s="9"/>
      <c r="C460" s="9"/>
      <c r="D460" s="9"/>
      <c r="E460" s="9"/>
      <c r="F460" s="9"/>
      <c r="G460" s="9"/>
      <c r="H460" s="9"/>
      <c r="I460" s="9"/>
    </row>
    <row r="461" spans="1:9" x14ac:dyDescent="0.35">
      <c r="A461" s="9"/>
      <c r="B461" s="9"/>
      <c r="C461" s="9"/>
      <c r="D461" s="9"/>
      <c r="E461" s="9"/>
      <c r="F461" s="9"/>
      <c r="G461" s="9"/>
      <c r="H461" s="9"/>
      <c r="I461" s="9"/>
    </row>
    <row r="462" spans="1:9" x14ac:dyDescent="0.35">
      <c r="A462" s="9"/>
      <c r="B462" s="9"/>
      <c r="C462" s="9"/>
      <c r="D462" s="9"/>
      <c r="E462" s="9"/>
      <c r="F462" s="9"/>
      <c r="G462" s="9"/>
      <c r="H462" s="9"/>
      <c r="I462" s="9"/>
    </row>
    <row r="463" spans="1:9" x14ac:dyDescent="0.35">
      <c r="A463" s="9"/>
      <c r="B463" s="9"/>
      <c r="C463" s="9"/>
      <c r="D463" s="9"/>
      <c r="E463" s="9"/>
      <c r="F463" s="9"/>
      <c r="G463" s="9"/>
      <c r="H463" s="9"/>
      <c r="I463" s="9"/>
    </row>
    <row r="464" spans="1:9" x14ac:dyDescent="0.35">
      <c r="A464" s="9"/>
      <c r="B464" s="9"/>
      <c r="C464" s="9"/>
      <c r="D464" s="9"/>
      <c r="E464" s="9"/>
      <c r="F464" s="9"/>
      <c r="G464" s="9"/>
      <c r="H464" s="9"/>
      <c r="I464" s="9"/>
    </row>
    <row r="465" spans="1:9" x14ac:dyDescent="0.35">
      <c r="A465" s="9"/>
      <c r="B465" s="9"/>
      <c r="C465" s="9"/>
      <c r="D465" s="9"/>
      <c r="E465" s="9"/>
      <c r="F465" s="9"/>
      <c r="G465" s="9"/>
      <c r="H465" s="9"/>
      <c r="I465" s="9"/>
    </row>
    <row r="466" spans="1:9" x14ac:dyDescent="0.35">
      <c r="A466" s="9"/>
      <c r="B466" s="9"/>
      <c r="C466" s="9"/>
      <c r="D466" s="9"/>
      <c r="E466" s="9"/>
      <c r="F466" s="9"/>
      <c r="G466" s="9"/>
      <c r="H466" s="9"/>
      <c r="I466" s="9"/>
    </row>
    <row r="467" spans="1:9" x14ac:dyDescent="0.35">
      <c r="A467" s="9"/>
      <c r="B467" s="9"/>
      <c r="C467" s="9"/>
      <c r="D467" s="9"/>
      <c r="E467" s="9"/>
      <c r="F467" s="9"/>
      <c r="G467" s="9"/>
      <c r="H467" s="9"/>
      <c r="I467" s="9"/>
    </row>
    <row r="468" spans="1:9" x14ac:dyDescent="0.35">
      <c r="A468" s="9"/>
      <c r="B468" s="9"/>
      <c r="C468" s="9"/>
      <c r="D468" s="9"/>
      <c r="E468" s="9"/>
      <c r="F468" s="9"/>
      <c r="G468" s="9"/>
      <c r="H468" s="9"/>
      <c r="I468" s="9"/>
    </row>
    <row r="469" spans="1:9" x14ac:dyDescent="0.35">
      <c r="A469" s="9"/>
      <c r="B469" s="9"/>
      <c r="C469" s="9"/>
      <c r="D469" s="9"/>
      <c r="E469" s="9"/>
      <c r="F469" s="9"/>
      <c r="G469" s="9"/>
      <c r="H469" s="9"/>
      <c r="I469" s="9"/>
    </row>
    <row r="470" spans="1:9" x14ac:dyDescent="0.35">
      <c r="A470" s="9"/>
      <c r="B470" s="9"/>
      <c r="C470" s="9"/>
      <c r="D470" s="9"/>
      <c r="E470" s="9"/>
      <c r="F470" s="9"/>
      <c r="G470" s="9"/>
      <c r="H470" s="9"/>
      <c r="I470" s="9"/>
    </row>
    <row r="471" spans="1:9" x14ac:dyDescent="0.35">
      <c r="A471" s="9"/>
      <c r="B471" s="9"/>
      <c r="C471" s="9"/>
      <c r="D471" s="9"/>
      <c r="E471" s="9"/>
      <c r="F471" s="9"/>
      <c r="G471" s="9"/>
      <c r="H471" s="9"/>
      <c r="I471" s="9"/>
    </row>
    <row r="472" spans="1:9" x14ac:dyDescent="0.35">
      <c r="A472" s="9"/>
      <c r="B472" s="9"/>
      <c r="C472" s="9"/>
      <c r="D472" s="9"/>
      <c r="E472" s="9"/>
      <c r="F472" s="9"/>
      <c r="G472" s="9"/>
      <c r="H472" s="9"/>
      <c r="I472" s="9"/>
    </row>
    <row r="473" spans="1:9" x14ac:dyDescent="0.35">
      <c r="A473" s="9"/>
      <c r="B473" s="9"/>
      <c r="C473" s="9"/>
      <c r="D473" s="9"/>
      <c r="E473" s="9"/>
      <c r="F473" s="9"/>
      <c r="G473" s="9"/>
      <c r="H473" s="9"/>
      <c r="I473" s="9"/>
    </row>
    <row r="474" spans="1:9" x14ac:dyDescent="0.35">
      <c r="A474" s="9"/>
      <c r="B474" s="9"/>
      <c r="C474" s="9"/>
      <c r="D474" s="9"/>
      <c r="E474" s="9"/>
      <c r="F474" s="9"/>
      <c r="G474" s="9"/>
      <c r="H474" s="9"/>
      <c r="I474" s="9"/>
    </row>
    <row r="475" spans="1:9" x14ac:dyDescent="0.35">
      <c r="A475" s="9"/>
      <c r="B475" s="9"/>
      <c r="C475" s="9"/>
      <c r="D475" s="9"/>
      <c r="E475" s="9"/>
      <c r="F475" s="9"/>
      <c r="G475" s="9"/>
      <c r="H475" s="9"/>
      <c r="I475" s="9"/>
    </row>
    <row r="476" spans="1:9" x14ac:dyDescent="0.35">
      <c r="A476" s="9"/>
      <c r="B476" s="9"/>
      <c r="C476" s="9"/>
      <c r="D476" s="9"/>
      <c r="E476" s="9"/>
      <c r="F476" s="9"/>
      <c r="G476" s="9"/>
      <c r="H476" s="9"/>
      <c r="I476" s="9"/>
    </row>
    <row r="477" spans="1:9" x14ac:dyDescent="0.35">
      <c r="A477" s="9"/>
      <c r="B477" s="9"/>
      <c r="C477" s="9"/>
      <c r="D477" s="9"/>
      <c r="E477" s="9"/>
      <c r="F477" s="9"/>
      <c r="G477" s="9"/>
      <c r="H477" s="9"/>
      <c r="I477" s="9"/>
    </row>
    <row r="478" spans="1:9" x14ac:dyDescent="0.35">
      <c r="A478" s="9"/>
      <c r="B478" s="9"/>
      <c r="C478" s="9"/>
      <c r="D478" s="9"/>
      <c r="E478" s="9"/>
      <c r="F478" s="9"/>
      <c r="G478" s="9"/>
      <c r="H478" s="9"/>
      <c r="I478" s="9"/>
    </row>
    <row r="479" spans="1:9" x14ac:dyDescent="0.35">
      <c r="A479" s="9"/>
      <c r="B479" s="9"/>
      <c r="C479" s="9"/>
      <c r="D479" s="9"/>
      <c r="E479" s="9"/>
      <c r="F479" s="9"/>
      <c r="G479" s="9"/>
      <c r="H479" s="9"/>
      <c r="I479" s="9"/>
    </row>
    <row r="480" spans="1:9" x14ac:dyDescent="0.35">
      <c r="A480" s="9"/>
      <c r="B480" s="9"/>
      <c r="C480" s="9"/>
      <c r="D480" s="9"/>
      <c r="E480" s="9"/>
      <c r="F480" s="9"/>
      <c r="G480" s="9"/>
      <c r="H480" s="9"/>
      <c r="I480" s="9"/>
    </row>
    <row r="481" spans="1:9" x14ac:dyDescent="0.35">
      <c r="A481" s="9"/>
      <c r="B481" s="9"/>
      <c r="C481" s="9"/>
      <c r="D481" s="9"/>
      <c r="E481" s="9"/>
      <c r="F481" s="9"/>
      <c r="G481" s="9"/>
      <c r="H481" s="9"/>
      <c r="I481" s="9"/>
    </row>
    <row r="482" spans="1:9" x14ac:dyDescent="0.35">
      <c r="A482" s="9"/>
      <c r="B482" s="9"/>
      <c r="C482" s="9"/>
      <c r="D482" s="9"/>
      <c r="E482" s="9"/>
      <c r="F482" s="9"/>
      <c r="G482" s="9"/>
      <c r="H482" s="9"/>
      <c r="I482" s="9"/>
    </row>
    <row r="483" spans="1:9" x14ac:dyDescent="0.35">
      <c r="A483" s="9"/>
      <c r="B483" s="9"/>
      <c r="C483" s="9"/>
      <c r="D483" s="9"/>
      <c r="E483" s="9"/>
      <c r="F483" s="9"/>
      <c r="G483" s="9"/>
      <c r="H483" s="9"/>
      <c r="I483" s="9"/>
    </row>
    <row r="484" spans="1:9" x14ac:dyDescent="0.35">
      <c r="A484" s="9"/>
      <c r="B484" s="9"/>
      <c r="C484" s="9"/>
      <c r="D484" s="9"/>
      <c r="E484" s="9"/>
      <c r="F484" s="9"/>
      <c r="G484" s="9"/>
      <c r="H484" s="9"/>
      <c r="I484" s="9"/>
    </row>
    <row r="485" spans="1:9" x14ac:dyDescent="0.35">
      <c r="A485" s="9"/>
      <c r="B485" s="9"/>
      <c r="C485" s="9"/>
      <c r="D485" s="9"/>
      <c r="E485" s="9"/>
      <c r="F485" s="9"/>
      <c r="G485" s="9"/>
      <c r="H485" s="9"/>
      <c r="I485" s="9"/>
    </row>
    <row r="486" spans="1:9" x14ac:dyDescent="0.35">
      <c r="A486" s="9"/>
      <c r="B486" s="9"/>
      <c r="C486" s="9"/>
      <c r="D486" s="9"/>
      <c r="E486" s="9"/>
      <c r="F486" s="9"/>
      <c r="G486" s="9"/>
      <c r="H486" s="9"/>
      <c r="I486" s="9"/>
    </row>
    <row r="487" spans="1:9" x14ac:dyDescent="0.35">
      <c r="A487" s="9"/>
      <c r="B487" s="9"/>
      <c r="C487" s="9"/>
      <c r="D487" s="9"/>
      <c r="E487" s="9"/>
      <c r="F487" s="9"/>
      <c r="G487" s="9"/>
      <c r="H487" s="9"/>
      <c r="I487" s="9"/>
    </row>
    <row r="488" spans="1:9" x14ac:dyDescent="0.35">
      <c r="A488" s="9"/>
      <c r="B488" s="9"/>
      <c r="C488" s="9"/>
      <c r="D488" s="9"/>
      <c r="E488" s="9"/>
      <c r="F488" s="9"/>
      <c r="G488" s="9"/>
      <c r="H488" s="9"/>
      <c r="I488" s="9"/>
    </row>
    <row r="489" spans="1:9" x14ac:dyDescent="0.35">
      <c r="A489" s="9"/>
      <c r="B489" s="9"/>
      <c r="C489" s="9"/>
      <c r="D489" s="9"/>
      <c r="E489" s="9"/>
      <c r="F489" s="9"/>
      <c r="G489" s="9"/>
      <c r="H489" s="9"/>
      <c r="I489" s="9"/>
    </row>
    <row r="490" spans="1:9" x14ac:dyDescent="0.35">
      <c r="A490" s="9"/>
      <c r="B490" s="9"/>
      <c r="C490" s="9"/>
      <c r="D490" s="9"/>
      <c r="E490" s="9"/>
      <c r="F490" s="9"/>
      <c r="G490" s="9"/>
      <c r="H490" s="9"/>
      <c r="I490" s="9"/>
    </row>
    <row r="491" spans="1:9" x14ac:dyDescent="0.35">
      <c r="A491" s="9"/>
      <c r="B491" s="9"/>
      <c r="C491" s="9"/>
      <c r="D491" s="9"/>
      <c r="E491" s="9"/>
      <c r="F491" s="9"/>
      <c r="G491" s="9"/>
      <c r="H491" s="9"/>
      <c r="I491" s="9"/>
    </row>
    <row r="492" spans="1:9" x14ac:dyDescent="0.35">
      <c r="A492" s="9"/>
      <c r="B492" s="9"/>
      <c r="C492" s="9"/>
      <c r="D492" s="9"/>
      <c r="E492" s="9"/>
      <c r="F492" s="9"/>
      <c r="G492" s="9"/>
      <c r="H492" s="9"/>
      <c r="I492" s="9"/>
    </row>
    <row r="493" spans="1:9" x14ac:dyDescent="0.35">
      <c r="A493" s="9"/>
      <c r="B493" s="9"/>
      <c r="C493" s="9"/>
      <c r="D493" s="9"/>
      <c r="E493" s="9"/>
      <c r="F493" s="9"/>
      <c r="G493" s="9"/>
      <c r="H493" s="9"/>
      <c r="I493" s="9"/>
    </row>
    <row r="494" spans="1:9" x14ac:dyDescent="0.35">
      <c r="A494" s="9"/>
      <c r="B494" s="9"/>
      <c r="C494" s="9"/>
      <c r="D494" s="9"/>
      <c r="E494" s="9"/>
      <c r="F494" s="9"/>
      <c r="G494" s="9"/>
      <c r="H494" s="9"/>
      <c r="I494" s="9"/>
    </row>
    <row r="495" spans="1:9" x14ac:dyDescent="0.35">
      <c r="A495" s="9"/>
      <c r="B495" s="9"/>
      <c r="C495" s="9"/>
      <c r="D495" s="9"/>
      <c r="E495" s="9"/>
      <c r="F495" s="9"/>
      <c r="G495" s="9"/>
      <c r="H495" s="9"/>
      <c r="I495" s="9"/>
    </row>
    <row r="496" spans="1:9" x14ac:dyDescent="0.35">
      <c r="A496" s="9"/>
      <c r="B496" s="9"/>
      <c r="C496" s="9"/>
      <c r="D496" s="9"/>
      <c r="E496" s="9"/>
      <c r="F496" s="9"/>
      <c r="G496" s="9"/>
      <c r="H496" s="9"/>
      <c r="I496" s="9"/>
    </row>
    <row r="497" spans="1:9" x14ac:dyDescent="0.35">
      <c r="A497" s="9"/>
      <c r="B497" s="9"/>
      <c r="C497" s="9"/>
      <c r="D497" s="9"/>
      <c r="E497" s="9"/>
      <c r="F497" s="9"/>
      <c r="G497" s="9"/>
      <c r="H497" s="9"/>
      <c r="I497" s="9"/>
    </row>
    <row r="498" spans="1:9" x14ac:dyDescent="0.35">
      <c r="A498" s="9"/>
      <c r="B498" s="9"/>
      <c r="C498" s="9"/>
      <c r="D498" s="9"/>
      <c r="E498" s="9"/>
      <c r="F498" s="9"/>
      <c r="G498" s="9"/>
      <c r="H498" s="9"/>
      <c r="I498" s="9"/>
    </row>
    <row r="499" spans="1:9" x14ac:dyDescent="0.35">
      <c r="A499" s="9"/>
      <c r="B499" s="9"/>
      <c r="C499" s="9"/>
      <c r="D499" s="9"/>
      <c r="E499" s="9"/>
      <c r="F499" s="9"/>
      <c r="G499" s="9"/>
      <c r="H499" s="9"/>
      <c r="I499" s="9"/>
    </row>
    <row r="500" spans="1:9" x14ac:dyDescent="0.35">
      <c r="A500" s="9"/>
      <c r="B500" s="9"/>
      <c r="C500" s="9"/>
      <c r="D500" s="9"/>
      <c r="E500" s="9"/>
      <c r="F500" s="9"/>
      <c r="G500" s="9"/>
      <c r="H500" s="9"/>
      <c r="I500" s="9"/>
    </row>
    <row r="501" spans="1:9" x14ac:dyDescent="0.35">
      <c r="A501" s="9"/>
      <c r="B501" s="9"/>
      <c r="C501" s="9"/>
      <c r="D501" s="9"/>
      <c r="E501" s="9"/>
      <c r="F501" s="9"/>
      <c r="G501" s="9"/>
      <c r="H501" s="9"/>
      <c r="I501" s="9"/>
    </row>
    <row r="502" spans="1:9" x14ac:dyDescent="0.35">
      <c r="A502" s="9"/>
      <c r="B502" s="9"/>
      <c r="C502" s="9"/>
      <c r="D502" s="9"/>
      <c r="E502" s="9"/>
      <c r="F502" s="9"/>
      <c r="G502" s="9"/>
      <c r="H502" s="9"/>
      <c r="I502" s="9"/>
    </row>
    <row r="503" spans="1:9" x14ac:dyDescent="0.35">
      <c r="A503" s="9"/>
      <c r="B503" s="9"/>
      <c r="C503" s="9"/>
      <c r="D503" s="9"/>
      <c r="E503" s="9"/>
      <c r="F503" s="9"/>
      <c r="G503" s="9"/>
      <c r="H503" s="9"/>
      <c r="I503" s="9"/>
    </row>
    <row r="504" spans="1:9" x14ac:dyDescent="0.35">
      <c r="A504" s="9"/>
      <c r="B504" s="9"/>
      <c r="C504" s="9"/>
      <c r="D504" s="9"/>
      <c r="E504" s="9"/>
      <c r="F504" s="9"/>
      <c r="G504" s="9"/>
      <c r="H504" s="9"/>
      <c r="I504" s="9"/>
    </row>
    <row r="505" spans="1:9" x14ac:dyDescent="0.35">
      <c r="A505" s="9"/>
      <c r="B505" s="9"/>
      <c r="C505" s="9"/>
      <c r="D505" s="9"/>
      <c r="E505" s="9"/>
      <c r="F505" s="9"/>
      <c r="G505" s="9"/>
      <c r="H505" s="9"/>
      <c r="I505" s="9"/>
    </row>
    <row r="506" spans="1:9" x14ac:dyDescent="0.35">
      <c r="A506" s="9"/>
      <c r="B506" s="9"/>
      <c r="C506" s="9"/>
      <c r="D506" s="9"/>
      <c r="E506" s="9"/>
      <c r="F506" s="9"/>
      <c r="G506" s="9"/>
      <c r="H506" s="9"/>
      <c r="I506" s="9"/>
    </row>
    <row r="507" spans="1:9" x14ac:dyDescent="0.35">
      <c r="A507" s="9"/>
      <c r="B507" s="9"/>
      <c r="C507" s="9"/>
      <c r="D507" s="9"/>
      <c r="E507" s="9"/>
      <c r="F507" s="9"/>
      <c r="G507" s="9"/>
      <c r="H507" s="9"/>
      <c r="I507" s="9"/>
    </row>
    <row r="508" spans="1:9" x14ac:dyDescent="0.35">
      <c r="A508" s="9"/>
      <c r="B508" s="9"/>
      <c r="C508" s="9"/>
      <c r="D508" s="9"/>
      <c r="E508" s="9"/>
      <c r="F508" s="9"/>
      <c r="G508" s="9"/>
      <c r="H508" s="9"/>
      <c r="I508" s="9"/>
    </row>
    <row r="509" spans="1:9" x14ac:dyDescent="0.35">
      <c r="A509" s="9"/>
      <c r="B509" s="9"/>
      <c r="C509" s="9"/>
      <c r="D509" s="9"/>
      <c r="E509" s="9"/>
      <c r="F509" s="9"/>
      <c r="G509" s="9"/>
      <c r="H509" s="9"/>
      <c r="I509" s="9"/>
    </row>
    <row r="510" spans="1:9" x14ac:dyDescent="0.35">
      <c r="A510" s="9"/>
      <c r="B510" s="9"/>
      <c r="C510" s="9"/>
      <c r="D510" s="9"/>
      <c r="E510" s="9"/>
      <c r="F510" s="9"/>
      <c r="G510" s="9"/>
      <c r="H510" s="9"/>
      <c r="I510" s="9"/>
    </row>
    <row r="511" spans="1:9" x14ac:dyDescent="0.35">
      <c r="A511" s="9"/>
      <c r="B511" s="9"/>
      <c r="C511" s="9"/>
      <c r="D511" s="9"/>
      <c r="E511" s="9"/>
      <c r="F511" s="9"/>
      <c r="G511" s="9"/>
      <c r="H511" s="9"/>
      <c r="I511" s="9"/>
    </row>
    <row r="512" spans="1:9" x14ac:dyDescent="0.35">
      <c r="A512" s="9"/>
      <c r="B512" s="9"/>
      <c r="C512" s="9"/>
      <c r="D512" s="9"/>
      <c r="E512" s="9"/>
      <c r="F512" s="9"/>
      <c r="G512" s="9"/>
      <c r="H512" s="9"/>
      <c r="I512" s="9"/>
    </row>
    <row r="513" spans="1:9" x14ac:dyDescent="0.35">
      <c r="A513" s="9"/>
      <c r="B513" s="9"/>
      <c r="C513" s="9"/>
      <c r="D513" s="9"/>
      <c r="E513" s="9"/>
      <c r="F513" s="9"/>
      <c r="G513" s="9"/>
      <c r="H513" s="9"/>
      <c r="I513" s="9"/>
    </row>
    <row r="514" spans="1:9" x14ac:dyDescent="0.35">
      <c r="A514" s="9"/>
      <c r="B514" s="9"/>
      <c r="C514" s="9"/>
      <c r="D514" s="9"/>
      <c r="E514" s="9"/>
      <c r="F514" s="9"/>
      <c r="G514" s="9"/>
      <c r="H514" s="9"/>
      <c r="I514" s="9"/>
    </row>
    <row r="515" spans="1:9" x14ac:dyDescent="0.35">
      <c r="A515" s="9"/>
      <c r="B515" s="9"/>
      <c r="C515" s="9"/>
      <c r="D515" s="9"/>
      <c r="E515" s="9"/>
      <c r="F515" s="9"/>
      <c r="G515" s="9"/>
      <c r="H515" s="9"/>
      <c r="I515" s="9"/>
    </row>
    <row r="516" spans="1:9" x14ac:dyDescent="0.35">
      <c r="A516" s="9"/>
      <c r="B516" s="9"/>
      <c r="C516" s="9"/>
      <c r="D516" s="9"/>
      <c r="E516" s="9"/>
      <c r="F516" s="9"/>
      <c r="G516" s="9"/>
      <c r="H516" s="9"/>
      <c r="I516" s="9"/>
    </row>
    <row r="517" spans="1:9" x14ac:dyDescent="0.35">
      <c r="A517" s="9"/>
      <c r="B517" s="9"/>
      <c r="C517" s="9"/>
      <c r="D517" s="9"/>
      <c r="E517" s="9"/>
      <c r="F517" s="9"/>
      <c r="G517" s="9"/>
      <c r="H517" s="9"/>
      <c r="I517" s="9"/>
    </row>
    <row r="518" spans="1:9" x14ac:dyDescent="0.35">
      <c r="A518" s="9"/>
      <c r="B518" s="9"/>
      <c r="C518" s="9"/>
      <c r="D518" s="9"/>
      <c r="E518" s="9"/>
      <c r="F518" s="9"/>
      <c r="G518" s="9"/>
      <c r="H518" s="9"/>
      <c r="I518" s="9"/>
    </row>
    <row r="519" spans="1:9" x14ac:dyDescent="0.35">
      <c r="A519" s="9"/>
      <c r="B519" s="9"/>
      <c r="C519" s="9"/>
      <c r="D519" s="9"/>
      <c r="E519" s="9"/>
      <c r="F519" s="9"/>
      <c r="G519" s="9"/>
      <c r="H519" s="9"/>
      <c r="I519" s="9"/>
    </row>
    <row r="520" spans="1:9" x14ac:dyDescent="0.35">
      <c r="A520" s="9"/>
      <c r="B520" s="9"/>
      <c r="C520" s="9"/>
      <c r="D520" s="9"/>
      <c r="E520" s="9"/>
      <c r="F520" s="9"/>
      <c r="G520" s="9"/>
      <c r="H520" s="9"/>
      <c r="I520" s="9"/>
    </row>
    <row r="521" spans="1:9" x14ac:dyDescent="0.35">
      <c r="A521" s="9"/>
      <c r="B521" s="9"/>
      <c r="C521" s="9"/>
      <c r="D521" s="9"/>
      <c r="E521" s="9"/>
      <c r="F521" s="9"/>
      <c r="G521" s="9"/>
      <c r="H521" s="9"/>
      <c r="I521" s="9"/>
    </row>
    <row r="522" spans="1:9" x14ac:dyDescent="0.35">
      <c r="A522" s="9"/>
      <c r="B522" s="9"/>
      <c r="C522" s="9"/>
      <c r="D522" s="9"/>
      <c r="E522" s="9"/>
      <c r="F522" s="9"/>
      <c r="G522" s="9"/>
      <c r="H522" s="9"/>
      <c r="I522" s="9"/>
    </row>
    <row r="523" spans="1:9" x14ac:dyDescent="0.35">
      <c r="A523" s="9"/>
      <c r="B523" s="9"/>
      <c r="C523" s="9"/>
      <c r="D523" s="9"/>
      <c r="E523" s="9"/>
      <c r="F523" s="9"/>
      <c r="G523" s="9"/>
      <c r="H523" s="9"/>
      <c r="I523" s="9"/>
    </row>
    <row r="524" spans="1:9" x14ac:dyDescent="0.35">
      <c r="A524" s="9"/>
      <c r="B524" s="9"/>
      <c r="C524" s="9"/>
      <c r="D524" s="9"/>
      <c r="E524" s="9"/>
      <c r="F524" s="9"/>
      <c r="G524" s="9"/>
      <c r="H524" s="9"/>
      <c r="I524" s="9"/>
    </row>
    <row r="525" spans="1:9" x14ac:dyDescent="0.35">
      <c r="A525" s="9"/>
      <c r="B525" s="9"/>
      <c r="C525" s="9"/>
      <c r="D525" s="9"/>
      <c r="E525" s="9"/>
      <c r="F525" s="9"/>
      <c r="G525" s="9"/>
      <c r="H525" s="9"/>
      <c r="I525" s="9"/>
    </row>
    <row r="526" spans="1:9" x14ac:dyDescent="0.35">
      <c r="A526" s="9"/>
      <c r="B526" s="9"/>
      <c r="C526" s="9"/>
      <c r="D526" s="9"/>
      <c r="E526" s="9"/>
      <c r="F526" s="9"/>
      <c r="G526" s="9"/>
      <c r="H526" s="9"/>
      <c r="I526" s="9"/>
    </row>
    <row r="527" spans="1:9" x14ac:dyDescent="0.35">
      <c r="A527" s="9"/>
      <c r="B527" s="9"/>
      <c r="C527" s="9"/>
      <c r="D527" s="9"/>
      <c r="E527" s="9"/>
      <c r="F527" s="9"/>
      <c r="G527" s="9"/>
      <c r="H527" s="9"/>
      <c r="I527" s="9"/>
    </row>
    <row r="528" spans="1:9" x14ac:dyDescent="0.35">
      <c r="A528" s="9"/>
      <c r="B528" s="9"/>
      <c r="C528" s="9"/>
      <c r="D528" s="9"/>
      <c r="E528" s="9"/>
      <c r="F528" s="9"/>
      <c r="G528" s="9"/>
      <c r="H528" s="9"/>
      <c r="I528" s="9"/>
    </row>
    <row r="529" spans="1:9" x14ac:dyDescent="0.35">
      <c r="A529" s="9"/>
      <c r="B529" s="9"/>
      <c r="C529" s="9"/>
      <c r="D529" s="9"/>
      <c r="E529" s="9"/>
      <c r="F529" s="9"/>
      <c r="G529" s="9"/>
      <c r="H529" s="9"/>
      <c r="I529" s="9"/>
    </row>
    <row r="530" spans="1:9" x14ac:dyDescent="0.35">
      <c r="A530" s="9"/>
      <c r="B530" s="9"/>
      <c r="C530" s="9"/>
      <c r="D530" s="9"/>
      <c r="E530" s="9"/>
      <c r="F530" s="9"/>
      <c r="G530" s="9"/>
      <c r="H530" s="9"/>
      <c r="I530" s="9"/>
    </row>
    <row r="531" spans="1:9" x14ac:dyDescent="0.35">
      <c r="A531" s="9"/>
      <c r="B531" s="9"/>
      <c r="C531" s="9"/>
      <c r="D531" s="9"/>
      <c r="E531" s="9"/>
      <c r="F531" s="9"/>
      <c r="G531" s="9"/>
      <c r="H531" s="9"/>
      <c r="I531" s="9"/>
    </row>
    <row r="532" spans="1:9" x14ac:dyDescent="0.35">
      <c r="A532" s="9"/>
      <c r="B532" s="9"/>
      <c r="C532" s="9"/>
      <c r="D532" s="9"/>
      <c r="E532" s="9"/>
      <c r="F532" s="9"/>
      <c r="G532" s="9"/>
      <c r="H532" s="9"/>
      <c r="I532" s="9"/>
    </row>
    <row r="533" spans="1:9" x14ac:dyDescent="0.35">
      <c r="A533" s="9"/>
      <c r="B533" s="9"/>
      <c r="C533" s="9"/>
      <c r="D533" s="9"/>
      <c r="E533" s="9"/>
      <c r="F533" s="9"/>
      <c r="G533" s="9"/>
      <c r="H533" s="9"/>
      <c r="I533" s="9"/>
    </row>
    <row r="534" spans="1:9" x14ac:dyDescent="0.35">
      <c r="A534" s="9"/>
      <c r="B534" s="9"/>
      <c r="C534" s="9"/>
      <c r="D534" s="9"/>
      <c r="E534" s="9"/>
      <c r="F534" s="9"/>
      <c r="G534" s="9"/>
      <c r="H534" s="9"/>
      <c r="I534" s="9"/>
    </row>
    <row r="535" spans="1:9" x14ac:dyDescent="0.35">
      <c r="A535" s="9"/>
      <c r="B535" s="9"/>
      <c r="C535" s="9"/>
      <c r="D535" s="9"/>
      <c r="E535" s="9"/>
      <c r="F535" s="9"/>
      <c r="G535" s="9"/>
      <c r="H535" s="9"/>
      <c r="I535" s="9"/>
    </row>
    <row r="536" spans="1:9" x14ac:dyDescent="0.35">
      <c r="A536" s="9"/>
      <c r="B536" s="9"/>
      <c r="C536" s="9"/>
      <c r="D536" s="9"/>
      <c r="E536" s="9"/>
      <c r="F536" s="9"/>
      <c r="G536" s="9"/>
      <c r="H536" s="9"/>
      <c r="I536" s="9"/>
    </row>
    <row r="537" spans="1:9" x14ac:dyDescent="0.35">
      <c r="A537" s="9"/>
      <c r="B537" s="9"/>
      <c r="C537" s="9"/>
      <c r="D537" s="9"/>
      <c r="E537" s="9"/>
      <c r="F537" s="9"/>
      <c r="G537" s="9"/>
      <c r="H537" s="9"/>
      <c r="I537" s="9"/>
    </row>
    <row r="538" spans="1:9" x14ac:dyDescent="0.35">
      <c r="A538" s="9"/>
      <c r="B538" s="9"/>
      <c r="C538" s="9"/>
      <c r="D538" s="9"/>
      <c r="E538" s="9"/>
      <c r="F538" s="9"/>
      <c r="G538" s="9"/>
      <c r="H538" s="9"/>
      <c r="I538" s="9"/>
    </row>
    <row r="539" spans="1:9" x14ac:dyDescent="0.35">
      <c r="A539" s="9"/>
      <c r="B539" s="9"/>
      <c r="C539" s="9"/>
      <c r="D539" s="9"/>
      <c r="E539" s="9"/>
      <c r="F539" s="9"/>
      <c r="G539" s="9"/>
      <c r="H539" s="9"/>
      <c r="I539" s="9"/>
    </row>
    <row r="540" spans="1:9" x14ac:dyDescent="0.35">
      <c r="A540" s="9"/>
      <c r="B540" s="9"/>
      <c r="C540" s="9"/>
      <c r="D540" s="9"/>
      <c r="E540" s="9"/>
      <c r="F540" s="9"/>
      <c r="G540" s="9"/>
      <c r="H540" s="9"/>
      <c r="I540" s="9"/>
    </row>
    <row r="541" spans="1:9" x14ac:dyDescent="0.35">
      <c r="A541" s="9"/>
      <c r="B541" s="9"/>
      <c r="C541" s="9"/>
      <c r="D541" s="9"/>
      <c r="E541" s="9"/>
      <c r="F541" s="9"/>
      <c r="G541" s="9"/>
      <c r="H541" s="9"/>
      <c r="I541" s="9"/>
    </row>
    <row r="542" spans="1:9" x14ac:dyDescent="0.35">
      <c r="A542" s="9"/>
      <c r="B542" s="9"/>
      <c r="C542" s="9"/>
      <c r="D542" s="9"/>
      <c r="E542" s="9"/>
      <c r="F542" s="9"/>
      <c r="G542" s="9"/>
      <c r="H542" s="9"/>
      <c r="I542" s="9"/>
    </row>
    <row r="543" spans="1:9" x14ac:dyDescent="0.35">
      <c r="A543" s="9"/>
      <c r="B543" s="9"/>
      <c r="C543" s="9"/>
      <c r="D543" s="9"/>
      <c r="E543" s="9"/>
      <c r="F543" s="9"/>
      <c r="G543" s="9"/>
      <c r="H543" s="9"/>
      <c r="I543" s="9"/>
    </row>
    <row r="544" spans="1:9" x14ac:dyDescent="0.35">
      <c r="A544" s="9"/>
      <c r="B544" s="9"/>
      <c r="C544" s="9"/>
      <c r="D544" s="9"/>
      <c r="E544" s="9"/>
      <c r="F544" s="9"/>
      <c r="G544" s="9"/>
      <c r="H544" s="9"/>
      <c r="I544" s="9"/>
    </row>
    <row r="545" spans="1:9" x14ac:dyDescent="0.35">
      <c r="A545" s="9"/>
      <c r="B545" s="9"/>
      <c r="C545" s="9"/>
      <c r="D545" s="9"/>
      <c r="E545" s="9"/>
      <c r="F545" s="9"/>
      <c r="G545" s="9"/>
      <c r="H545" s="9"/>
      <c r="I545" s="9"/>
    </row>
    <row r="546" spans="1:9" x14ac:dyDescent="0.35">
      <c r="A546" s="9"/>
      <c r="B546" s="9"/>
      <c r="C546" s="9"/>
      <c r="D546" s="9"/>
      <c r="E546" s="9"/>
      <c r="F546" s="9"/>
      <c r="G546" s="9"/>
      <c r="H546" s="9"/>
      <c r="I546" s="9"/>
    </row>
    <row r="547" spans="1:9" x14ac:dyDescent="0.35">
      <c r="A547" s="9"/>
      <c r="B547" s="9"/>
      <c r="C547" s="9"/>
      <c r="D547" s="9"/>
      <c r="E547" s="9"/>
      <c r="F547" s="9"/>
      <c r="G547" s="9"/>
      <c r="H547" s="9"/>
      <c r="I547" s="9"/>
    </row>
    <row r="548" spans="1:9" x14ac:dyDescent="0.35">
      <c r="A548" s="9"/>
      <c r="B548" s="9"/>
      <c r="C548" s="9"/>
      <c r="D548" s="9"/>
      <c r="E548" s="9"/>
      <c r="F548" s="9"/>
      <c r="G548" s="9"/>
      <c r="H548" s="9"/>
      <c r="I548" s="9"/>
    </row>
    <row r="549" spans="1:9" x14ac:dyDescent="0.35">
      <c r="A549" s="9"/>
      <c r="B549" s="9"/>
      <c r="C549" s="9"/>
      <c r="D549" s="9"/>
      <c r="E549" s="9"/>
      <c r="F549" s="9"/>
      <c r="G549" s="9"/>
      <c r="H549" s="9"/>
      <c r="I549" s="9"/>
    </row>
    <row r="550" spans="1:9" x14ac:dyDescent="0.35">
      <c r="A550" s="9"/>
      <c r="B550" s="9"/>
      <c r="C550" s="9"/>
      <c r="D550" s="9"/>
      <c r="E550" s="9"/>
      <c r="F550" s="9"/>
      <c r="G550" s="9"/>
      <c r="H550" s="9"/>
      <c r="I550" s="9"/>
    </row>
    <row r="551" spans="1:9" x14ac:dyDescent="0.35">
      <c r="A551" s="9"/>
      <c r="B551" s="9"/>
      <c r="C551" s="9"/>
      <c r="D551" s="9"/>
      <c r="E551" s="9"/>
      <c r="F551" s="9"/>
      <c r="G551" s="9"/>
      <c r="H551" s="9"/>
      <c r="I551" s="9"/>
    </row>
    <row r="552" spans="1:9" x14ac:dyDescent="0.35">
      <c r="A552" s="9"/>
      <c r="B552" s="9"/>
      <c r="C552" s="9"/>
      <c r="D552" s="9"/>
      <c r="E552" s="9"/>
      <c r="F552" s="9"/>
      <c r="G552" s="9"/>
      <c r="H552" s="9"/>
      <c r="I552" s="9"/>
    </row>
    <row r="553" spans="1:9" x14ac:dyDescent="0.35">
      <c r="A553" s="9"/>
      <c r="B553" s="9"/>
      <c r="C553" s="9"/>
      <c r="D553" s="9"/>
      <c r="E553" s="9"/>
      <c r="F553" s="9"/>
      <c r="G553" s="9"/>
      <c r="H553" s="9"/>
      <c r="I553" s="9"/>
    </row>
    <row r="554" spans="1:9" x14ac:dyDescent="0.35">
      <c r="A554" s="9"/>
      <c r="B554" s="9"/>
      <c r="C554" s="9"/>
      <c r="D554" s="9"/>
      <c r="E554" s="9"/>
      <c r="F554" s="9"/>
      <c r="G554" s="9"/>
      <c r="H554" s="9"/>
      <c r="I554" s="9"/>
    </row>
    <row r="555" spans="1:9" x14ac:dyDescent="0.35">
      <c r="A555" s="9"/>
      <c r="B555" s="9"/>
      <c r="C555" s="9"/>
      <c r="D555" s="9"/>
      <c r="E555" s="9"/>
      <c r="F555" s="9"/>
      <c r="G555" s="9"/>
      <c r="H555" s="9"/>
      <c r="I555" s="9"/>
    </row>
    <row r="556" spans="1:9" x14ac:dyDescent="0.35">
      <c r="A556" s="9"/>
      <c r="B556" s="9"/>
      <c r="C556" s="9"/>
      <c r="D556" s="9"/>
      <c r="E556" s="9"/>
      <c r="F556" s="9"/>
      <c r="G556" s="9"/>
      <c r="H556" s="9"/>
      <c r="I556" s="9"/>
    </row>
    <row r="557" spans="1:9" x14ac:dyDescent="0.35">
      <c r="A557" s="9"/>
      <c r="B557" s="9"/>
      <c r="C557" s="9"/>
      <c r="D557" s="9"/>
      <c r="E557" s="9"/>
      <c r="F557" s="9"/>
      <c r="G557" s="9"/>
      <c r="H557" s="9"/>
      <c r="I557" s="9"/>
    </row>
    <row r="558" spans="1:9" x14ac:dyDescent="0.35">
      <c r="A558" s="9"/>
      <c r="B558" s="9"/>
      <c r="C558" s="9"/>
      <c r="D558" s="9"/>
      <c r="E558" s="9"/>
      <c r="F558" s="9"/>
      <c r="G558" s="9"/>
      <c r="H558" s="9"/>
      <c r="I558" s="9"/>
    </row>
    <row r="559" spans="1:9" x14ac:dyDescent="0.35">
      <c r="A559" s="9"/>
      <c r="B559" s="9"/>
      <c r="C559" s="9"/>
      <c r="D559" s="9"/>
      <c r="E559" s="9"/>
      <c r="F559" s="9"/>
      <c r="G559" s="9"/>
      <c r="H559" s="9"/>
      <c r="I559" s="9"/>
    </row>
    <row r="560" spans="1:9" x14ac:dyDescent="0.35">
      <c r="A560" s="9"/>
      <c r="B560" s="9"/>
      <c r="C560" s="9"/>
      <c r="D560" s="9"/>
      <c r="E560" s="9"/>
      <c r="F560" s="9"/>
      <c r="G560" s="9"/>
      <c r="H560" s="9"/>
      <c r="I560" s="9"/>
    </row>
    <row r="561" spans="1:9" x14ac:dyDescent="0.35">
      <c r="A561" s="9"/>
      <c r="B561" s="9"/>
      <c r="C561" s="9"/>
      <c r="D561" s="9"/>
      <c r="E561" s="9"/>
      <c r="F561" s="9"/>
      <c r="G561" s="9"/>
      <c r="H561" s="9"/>
      <c r="I561" s="9"/>
    </row>
    <row r="562" spans="1:9" x14ac:dyDescent="0.35">
      <c r="A562" s="9"/>
      <c r="B562" s="9"/>
      <c r="C562" s="9"/>
      <c r="D562" s="9"/>
      <c r="E562" s="9"/>
      <c r="F562" s="9"/>
      <c r="G562" s="9"/>
      <c r="H562" s="9"/>
      <c r="I562" s="9"/>
    </row>
    <row r="563" spans="1:9" x14ac:dyDescent="0.35">
      <c r="A563" s="9"/>
      <c r="B563" s="9"/>
      <c r="C563" s="9"/>
      <c r="D563" s="9"/>
      <c r="E563" s="9"/>
      <c r="F563" s="9"/>
      <c r="G563" s="9"/>
      <c r="H563" s="9"/>
      <c r="I563" s="9"/>
    </row>
    <row r="564" spans="1:9" x14ac:dyDescent="0.35">
      <c r="A564" s="9"/>
      <c r="B564" s="9"/>
      <c r="C564" s="9"/>
      <c r="D564" s="9"/>
      <c r="E564" s="9"/>
      <c r="F564" s="9"/>
      <c r="G564" s="9"/>
      <c r="H564" s="9"/>
      <c r="I564" s="9"/>
    </row>
    <row r="565" spans="1:9" x14ac:dyDescent="0.35">
      <c r="A565" s="9"/>
      <c r="B565" s="9"/>
      <c r="C565" s="9"/>
      <c r="D565" s="9"/>
      <c r="E565" s="9"/>
      <c r="F565" s="9"/>
      <c r="G565" s="9"/>
      <c r="H565" s="9"/>
      <c r="I565" s="9"/>
    </row>
    <row r="566" spans="1:9" x14ac:dyDescent="0.35">
      <c r="A566" s="9"/>
      <c r="B566" s="9"/>
      <c r="C566" s="9"/>
      <c r="D566" s="9"/>
      <c r="E566" s="9"/>
      <c r="F566" s="9"/>
      <c r="G566" s="9"/>
      <c r="H566" s="9"/>
      <c r="I566" s="9"/>
    </row>
    <row r="567" spans="1:9" x14ac:dyDescent="0.35">
      <c r="A567" s="9"/>
      <c r="B567" s="9"/>
      <c r="C567" s="9"/>
      <c r="D567" s="9"/>
      <c r="E567" s="9"/>
      <c r="F567" s="9"/>
      <c r="G567" s="9"/>
      <c r="H567" s="9"/>
      <c r="I567" s="9"/>
    </row>
    <row r="568" spans="1:9" x14ac:dyDescent="0.35">
      <c r="A568" s="9"/>
      <c r="B568" s="9"/>
      <c r="C568" s="9"/>
      <c r="D568" s="9"/>
      <c r="E568" s="9"/>
      <c r="F568" s="9"/>
      <c r="G568" s="9"/>
      <c r="H568" s="9"/>
      <c r="I568" s="9"/>
    </row>
    <row r="569" spans="1:9" x14ac:dyDescent="0.35">
      <c r="A569" s="9"/>
      <c r="B569" s="9"/>
      <c r="C569" s="9"/>
      <c r="D569" s="9"/>
      <c r="E569" s="9"/>
      <c r="F569" s="9"/>
      <c r="G569" s="9"/>
      <c r="H569" s="9"/>
      <c r="I569" s="9"/>
    </row>
    <row r="570" spans="1:9" x14ac:dyDescent="0.35">
      <c r="A570" s="9"/>
      <c r="B570" s="9"/>
      <c r="C570" s="9"/>
      <c r="D570" s="9"/>
      <c r="E570" s="9"/>
      <c r="F570" s="9"/>
      <c r="G570" s="9"/>
      <c r="H570" s="9"/>
      <c r="I570" s="9"/>
    </row>
    <row r="571" spans="1:9" x14ac:dyDescent="0.35">
      <c r="A571" s="9"/>
      <c r="B571" s="9"/>
      <c r="C571" s="9"/>
      <c r="D571" s="9"/>
      <c r="E571" s="9"/>
      <c r="F571" s="9"/>
      <c r="G571" s="9"/>
      <c r="H571" s="9"/>
      <c r="I571" s="9"/>
    </row>
    <row r="572" spans="1:9" x14ac:dyDescent="0.35">
      <c r="A572" s="9"/>
      <c r="B572" s="9"/>
      <c r="C572" s="9"/>
      <c r="D572" s="9"/>
      <c r="E572" s="9"/>
      <c r="F572" s="9"/>
      <c r="G572" s="9"/>
      <c r="H572" s="9"/>
      <c r="I572" s="9"/>
    </row>
    <row r="573" spans="1:9" x14ac:dyDescent="0.35">
      <c r="A573" s="9"/>
      <c r="B573" s="9"/>
      <c r="C573" s="9"/>
      <c r="D573" s="9"/>
      <c r="E573" s="9"/>
      <c r="F573" s="9"/>
      <c r="G573" s="9"/>
      <c r="H573" s="9"/>
      <c r="I573" s="9"/>
    </row>
    <row r="574" spans="1:9" x14ac:dyDescent="0.35">
      <c r="A574" s="9"/>
      <c r="B574" s="9"/>
      <c r="C574" s="9"/>
      <c r="D574" s="9"/>
      <c r="E574" s="9"/>
      <c r="F574" s="9"/>
      <c r="G574" s="9"/>
      <c r="H574" s="9"/>
      <c r="I574" s="9"/>
    </row>
    <row r="575" spans="1:9" x14ac:dyDescent="0.35">
      <c r="A575" s="9"/>
      <c r="B575" s="9"/>
      <c r="C575" s="9"/>
      <c r="D575" s="9"/>
      <c r="E575" s="9"/>
      <c r="F575" s="9"/>
      <c r="G575" s="9"/>
      <c r="H575" s="9"/>
      <c r="I575" s="9"/>
    </row>
    <row r="576" spans="1:9" x14ac:dyDescent="0.35">
      <c r="A576" s="9"/>
      <c r="B576" s="9"/>
      <c r="C576" s="9"/>
      <c r="D576" s="9"/>
      <c r="E576" s="9"/>
      <c r="F576" s="9"/>
      <c r="G576" s="9"/>
      <c r="H576" s="9"/>
      <c r="I576" s="9"/>
    </row>
    <row r="577" spans="1:9" x14ac:dyDescent="0.35">
      <c r="A577" s="9"/>
      <c r="B577" s="9"/>
      <c r="C577" s="9"/>
      <c r="D577" s="9"/>
      <c r="E577" s="9"/>
      <c r="F577" s="9"/>
      <c r="G577" s="9"/>
      <c r="H577" s="9"/>
      <c r="I577" s="9"/>
    </row>
    <row r="578" spans="1:9" x14ac:dyDescent="0.35">
      <c r="A578" s="9"/>
      <c r="B578" s="9"/>
      <c r="C578" s="9"/>
      <c r="D578" s="9"/>
      <c r="E578" s="9"/>
      <c r="F578" s="9"/>
      <c r="G578" s="9"/>
      <c r="H578" s="9"/>
      <c r="I578" s="9"/>
    </row>
    <row r="579" spans="1:9" x14ac:dyDescent="0.35">
      <c r="A579" s="9"/>
      <c r="B579" s="9"/>
      <c r="C579" s="9"/>
      <c r="D579" s="9"/>
      <c r="E579" s="9"/>
      <c r="F579" s="9"/>
      <c r="G579" s="9"/>
      <c r="H579" s="9"/>
      <c r="I579" s="9"/>
    </row>
    <row r="580" spans="1:9" x14ac:dyDescent="0.35">
      <c r="A580" s="9"/>
      <c r="B580" s="9"/>
      <c r="C580" s="9"/>
      <c r="D580" s="9"/>
      <c r="E580" s="9"/>
      <c r="F580" s="9"/>
      <c r="G580" s="9"/>
      <c r="H580" s="9"/>
      <c r="I580" s="9"/>
    </row>
    <row r="581" spans="1:9" x14ac:dyDescent="0.35">
      <c r="A581" s="9"/>
      <c r="B581" s="9"/>
      <c r="C581" s="9"/>
      <c r="D581" s="9"/>
      <c r="E581" s="9"/>
      <c r="F581" s="9"/>
      <c r="G581" s="9"/>
      <c r="H581" s="9"/>
      <c r="I581" s="9"/>
    </row>
    <row r="582" spans="1:9" x14ac:dyDescent="0.35">
      <c r="A582" s="9"/>
      <c r="B582" s="9"/>
      <c r="C582" s="9"/>
      <c r="D582" s="9"/>
      <c r="E582" s="9"/>
      <c r="F582" s="9"/>
      <c r="G582" s="9"/>
      <c r="H582" s="9"/>
      <c r="I582" s="9"/>
    </row>
    <row r="583" spans="1:9" x14ac:dyDescent="0.35">
      <c r="A583" s="9"/>
      <c r="B583" s="9"/>
      <c r="C583" s="9"/>
      <c r="D583" s="9"/>
      <c r="E583" s="9"/>
      <c r="F583" s="9"/>
      <c r="G583" s="9"/>
      <c r="H583" s="9"/>
      <c r="I583" s="9"/>
    </row>
    <row r="584" spans="1:9" x14ac:dyDescent="0.35">
      <c r="A584" s="9"/>
      <c r="B584" s="9"/>
      <c r="C584" s="9"/>
      <c r="D584" s="9"/>
      <c r="E584" s="9"/>
      <c r="F584" s="9"/>
      <c r="G584" s="9"/>
      <c r="H584" s="9"/>
      <c r="I584" s="9"/>
    </row>
    <row r="585" spans="1:9" x14ac:dyDescent="0.35">
      <c r="A585" s="9"/>
      <c r="B585" s="9"/>
      <c r="C585" s="9"/>
      <c r="D585" s="9"/>
      <c r="E585" s="9"/>
      <c r="F585" s="9"/>
      <c r="G585" s="9"/>
      <c r="H585" s="9"/>
      <c r="I585" s="9"/>
    </row>
    <row r="586" spans="1:9" x14ac:dyDescent="0.35">
      <c r="A586" s="9"/>
      <c r="B586" s="9"/>
      <c r="C586" s="9"/>
      <c r="D586" s="9"/>
      <c r="E586" s="9"/>
      <c r="F586" s="9"/>
      <c r="G586" s="9"/>
      <c r="H586" s="9"/>
      <c r="I586" s="9"/>
    </row>
    <row r="587" spans="1:9" x14ac:dyDescent="0.35">
      <c r="A587" s="9"/>
      <c r="B587" s="9"/>
      <c r="C587" s="9"/>
      <c r="D587" s="9"/>
      <c r="E587" s="9"/>
      <c r="F587" s="9"/>
      <c r="G587" s="9"/>
      <c r="H587" s="9"/>
      <c r="I587" s="9"/>
    </row>
    <row r="588" spans="1:9" x14ac:dyDescent="0.35">
      <c r="A588" s="9"/>
      <c r="B588" s="9"/>
      <c r="C588" s="9"/>
      <c r="D588" s="9"/>
      <c r="E588" s="9"/>
      <c r="F588" s="9"/>
      <c r="G588" s="9"/>
      <c r="H588" s="9"/>
      <c r="I588" s="9"/>
    </row>
    <row r="589" spans="1:9" x14ac:dyDescent="0.35">
      <c r="A589" s="9"/>
      <c r="B589" s="9"/>
      <c r="C589" s="9"/>
      <c r="D589" s="9"/>
      <c r="E589" s="9"/>
      <c r="F589" s="9"/>
      <c r="G589" s="9"/>
      <c r="H589" s="9"/>
      <c r="I589" s="9"/>
    </row>
    <row r="590" spans="1:9" x14ac:dyDescent="0.35">
      <c r="A590" s="9"/>
      <c r="B590" s="9"/>
      <c r="C590" s="9"/>
      <c r="D590" s="9"/>
      <c r="E590" s="9"/>
      <c r="F590" s="9"/>
      <c r="G590" s="9"/>
      <c r="H590" s="9"/>
      <c r="I590" s="9"/>
    </row>
    <row r="591" spans="1:9" x14ac:dyDescent="0.35">
      <c r="A591" s="9"/>
      <c r="B591" s="9"/>
      <c r="C591" s="9"/>
      <c r="D591" s="9"/>
      <c r="E591" s="9"/>
      <c r="F591" s="9"/>
      <c r="G591" s="9"/>
      <c r="H591" s="9"/>
      <c r="I591" s="9"/>
    </row>
    <row r="592" spans="1:9" x14ac:dyDescent="0.35">
      <c r="A592" s="9"/>
      <c r="B592" s="9"/>
      <c r="C592" s="9"/>
      <c r="D592" s="9"/>
      <c r="E592" s="9"/>
      <c r="F592" s="9"/>
      <c r="G592" s="9"/>
      <c r="H592" s="9"/>
      <c r="I592" s="9"/>
    </row>
    <row r="593" spans="1:9" x14ac:dyDescent="0.35">
      <c r="A593" s="9"/>
      <c r="B593" s="9"/>
      <c r="C593" s="9"/>
      <c r="D593" s="9"/>
      <c r="E593" s="9"/>
      <c r="F593" s="9"/>
      <c r="G593" s="9"/>
      <c r="H593" s="9"/>
      <c r="I593" s="9"/>
    </row>
    <row r="594" spans="1:9" x14ac:dyDescent="0.35">
      <c r="A594" s="9"/>
      <c r="B594" s="9"/>
      <c r="C594" s="9"/>
      <c r="D594" s="9"/>
      <c r="E594" s="9"/>
      <c r="F594" s="9"/>
      <c r="G594" s="9"/>
      <c r="H594" s="9"/>
      <c r="I594" s="9"/>
    </row>
    <row r="595" spans="1:9" x14ac:dyDescent="0.35">
      <c r="A595" s="9"/>
      <c r="B595" s="9"/>
      <c r="C595" s="9"/>
      <c r="D595" s="9"/>
      <c r="E595" s="9"/>
      <c r="F595" s="9"/>
      <c r="G595" s="9"/>
      <c r="H595" s="9"/>
      <c r="I595" s="9"/>
    </row>
    <row r="596" spans="1:9" x14ac:dyDescent="0.35">
      <c r="A596" s="9"/>
      <c r="B596" s="9"/>
      <c r="C596" s="9"/>
      <c r="D596" s="9"/>
      <c r="E596" s="9"/>
      <c r="F596" s="9"/>
      <c r="G596" s="9"/>
      <c r="H596" s="9"/>
      <c r="I596" s="9"/>
    </row>
    <row r="597" spans="1:9" x14ac:dyDescent="0.35">
      <c r="A597" s="9"/>
      <c r="B597" s="9"/>
      <c r="C597" s="9"/>
      <c r="D597" s="9"/>
      <c r="E597" s="9"/>
      <c r="F597" s="9"/>
      <c r="G597" s="9"/>
      <c r="H597" s="9"/>
      <c r="I597" s="9"/>
    </row>
    <row r="599" spans="1:9" x14ac:dyDescent="0.35">
      <c r="A599" s="16" t="s">
        <v>297</v>
      </c>
      <c r="D599">
        <v>0</v>
      </c>
    </row>
    <row r="600" spans="1:9" x14ac:dyDescent="0.35">
      <c r="A600" s="17" t="s">
        <v>298</v>
      </c>
      <c r="D600">
        <v>0</v>
      </c>
    </row>
  </sheetData>
  <autoFilter ref="A4:I597" xr:uid="{00000000-0009-0000-0000-000002000000}"/>
  <mergeCells count="2">
    <mergeCell ref="A1:H1"/>
    <mergeCell ref="A2:H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8A33D"/>
  </sheetPr>
  <dimension ref="A1:K594"/>
  <sheetViews>
    <sheetView showGridLines="0" zoomScale="98" zoomScaleNormal="100" workbookViewId="0">
      <pane ySplit="4" topLeftCell="A5" activePane="bottomLeft" state="frozen"/>
      <selection pane="bottomLeft" activeCell="E6" sqref="E6"/>
    </sheetView>
  </sheetViews>
  <sheetFormatPr defaultColWidth="8.54296875" defaultRowHeight="14.5" outlineLevelCol="1" x14ac:dyDescent="0.35"/>
  <cols>
    <col min="1" max="1" width="14" customWidth="1"/>
    <col min="2" max="2" width="22" customWidth="1"/>
    <col min="3" max="4" width="12" customWidth="1"/>
    <col min="5" max="5" width="30" customWidth="1"/>
    <col min="6" max="6" width="18" customWidth="1"/>
    <col min="7" max="7" width="34" customWidth="1"/>
    <col min="8" max="11" width="8.54296875" customWidth="1" outlineLevel="1"/>
  </cols>
  <sheetData>
    <row r="1" spans="1:7" ht="24" customHeight="1" x14ac:dyDescent="0.35">
      <c r="A1" s="117" t="s">
        <v>299</v>
      </c>
      <c r="B1" s="117"/>
      <c r="C1" s="117"/>
      <c r="D1" s="117"/>
      <c r="E1" s="117"/>
      <c r="F1" s="117"/>
      <c r="G1" s="117"/>
    </row>
    <row r="2" spans="1:7" ht="13.5" customHeight="1" x14ac:dyDescent="0.35">
      <c r="A2" s="118" t="s">
        <v>300</v>
      </c>
      <c r="B2" s="118"/>
      <c r="C2" s="118"/>
      <c r="D2" s="118"/>
      <c r="E2" s="118"/>
      <c r="F2" s="118"/>
      <c r="G2" s="118"/>
    </row>
    <row r="4" spans="1:7" ht="25.5" customHeight="1" x14ac:dyDescent="0.35">
      <c r="A4" s="3" t="s">
        <v>301</v>
      </c>
      <c r="B4" s="3" t="s">
        <v>302</v>
      </c>
      <c r="C4" s="3" t="s">
        <v>303</v>
      </c>
      <c r="D4" s="3" t="s">
        <v>304</v>
      </c>
      <c r="E4" s="3" t="s">
        <v>305</v>
      </c>
      <c r="F4" s="3" t="s">
        <v>306</v>
      </c>
      <c r="G4" s="3" t="s">
        <v>307</v>
      </c>
    </row>
    <row r="5" spans="1:7" x14ac:dyDescent="0.35">
      <c r="A5" s="46" t="str">
        <f>IF($C5="","",$C5&amp;"-"&amp;TEXT(COUNTIF($C$5:$C5,$C5),"000")&amp;"-"&amp;IF($D5="","TBD",$D5))</f>
        <v>RN-001-A1</v>
      </c>
      <c r="B5" s="9" t="s">
        <v>917</v>
      </c>
      <c r="C5" s="10" t="s">
        <v>308</v>
      </c>
      <c r="D5" s="10" t="s">
        <v>1208</v>
      </c>
      <c r="E5" s="46" t="str">
        <f>IF($B5="","",IFERROR(LOWER(SUBSTITUTE(TRIM(MID($B5,FIND(",",$B5)+1,255))," ",".")&amp;"."&amp;SUBSTITUTE(TRIM(LEFT($B5,FIND(",",$B5)-1))," ","."))&amp;"@example.com",""))</f>
        <v>firstname001.lastname001@example.com</v>
      </c>
      <c r="F5" s="9"/>
      <c r="G5" s="9"/>
    </row>
    <row r="6" spans="1:7" x14ac:dyDescent="0.35">
      <c r="A6" s="46" t="str">
        <f>IF($C6="","",$C6&amp;"-"&amp;TEXT(COUNTIF($C$5:$C6,$C6),"000")&amp;"-"&amp;IF($D6="","TBD",$D6))</f>
        <v>RN-002-A1</v>
      </c>
      <c r="B6" s="9" t="s">
        <v>918</v>
      </c>
      <c r="C6" s="10" t="s">
        <v>308</v>
      </c>
      <c r="D6" s="10" t="s">
        <v>1208</v>
      </c>
      <c r="E6" s="46" t="str">
        <f t="shared" ref="E6:E69" si="0">IF($B6="","",IFERROR(LOWER(SUBSTITUTE(TRIM(MID($B6,FIND(",",$B6)+1,255))," ",".")&amp;"."&amp;SUBSTITUTE(TRIM(LEFT($B6,FIND(",",$B6)-1))," ","."))&amp;"@example.com",""))</f>
        <v>firstname002.lastname002@example.com</v>
      </c>
      <c r="F6" s="9"/>
      <c r="G6" s="9"/>
    </row>
    <row r="7" spans="1:7" x14ac:dyDescent="0.35">
      <c r="A7" s="46" t="str">
        <f>IF($C7="","",$C7&amp;"-"&amp;TEXT(COUNTIF($C$5:$C7,$C7),"000")&amp;"-"&amp;IF($D7="","TBD",$D7))</f>
        <v>RN-003-A1</v>
      </c>
      <c r="B7" s="9" t="s">
        <v>919</v>
      </c>
      <c r="C7" s="10" t="s">
        <v>308</v>
      </c>
      <c r="D7" s="10" t="s">
        <v>1208</v>
      </c>
      <c r="E7" s="46" t="str">
        <f t="shared" si="0"/>
        <v>firstname003.lastname003@example.com</v>
      </c>
      <c r="F7" s="9"/>
      <c r="G7" s="9"/>
    </row>
    <row r="8" spans="1:7" x14ac:dyDescent="0.35">
      <c r="A8" s="46" t="str">
        <f>IF($C8="","",$C8&amp;"-"&amp;TEXT(COUNTIF($C$5:$C8,$C8),"000")&amp;"-"&amp;IF($D8="","TBD",$D8))</f>
        <v>RN-004-A2</v>
      </c>
      <c r="B8" s="9" t="s">
        <v>920</v>
      </c>
      <c r="C8" s="10" t="s">
        <v>308</v>
      </c>
      <c r="D8" s="10" t="s">
        <v>1209</v>
      </c>
      <c r="E8" s="46" t="str">
        <f t="shared" si="0"/>
        <v>firstname004.lastname004@example.com</v>
      </c>
      <c r="F8" s="9"/>
      <c r="G8" s="9"/>
    </row>
    <row r="9" spans="1:7" x14ac:dyDescent="0.35">
      <c r="A9" s="46" t="str">
        <f>IF($C9="","",$C9&amp;"-"&amp;TEXT(COUNTIF($C$5:$C9,$C9),"000")&amp;"-"&amp;IF($D9="","TBD",$D9))</f>
        <v>RN-005-A1</v>
      </c>
      <c r="B9" s="9" t="s">
        <v>921</v>
      </c>
      <c r="C9" s="10" t="s">
        <v>308</v>
      </c>
      <c r="D9" s="10" t="s">
        <v>1208</v>
      </c>
      <c r="E9" s="46" t="str">
        <f t="shared" si="0"/>
        <v>firstname005.lastname005@example.com</v>
      </c>
      <c r="F9" s="9"/>
      <c r="G9" s="9"/>
    </row>
    <row r="10" spans="1:7" x14ac:dyDescent="0.35">
      <c r="A10" s="46" t="str">
        <f>IF($C10="","",$C10&amp;"-"&amp;TEXT(COUNTIF($C$5:$C10,$C10),"000")&amp;"-"&amp;IF($D10="","TBD",$D10))</f>
        <v>RN-006-A1</v>
      </c>
      <c r="B10" s="9" t="s">
        <v>922</v>
      </c>
      <c r="C10" s="10" t="s">
        <v>308</v>
      </c>
      <c r="D10" s="10" t="s">
        <v>1208</v>
      </c>
      <c r="E10" s="46" t="str">
        <f t="shared" si="0"/>
        <v>firstname006.lastname006@example.com</v>
      </c>
      <c r="F10" s="9"/>
      <c r="G10" s="9"/>
    </row>
    <row r="11" spans="1:7" x14ac:dyDescent="0.35">
      <c r="A11" s="46" t="str">
        <f>IF($C11="","",$C11&amp;"-"&amp;TEXT(COUNTIF($C$5:$C11,$C11),"000")&amp;"-"&amp;IF($D11="","TBD",$D11))</f>
        <v>RN-007-A1</v>
      </c>
      <c r="B11" s="9" t="s">
        <v>923</v>
      </c>
      <c r="C11" s="10" t="s">
        <v>308</v>
      </c>
      <c r="D11" s="10" t="s">
        <v>1208</v>
      </c>
      <c r="E11" s="46" t="str">
        <f t="shared" si="0"/>
        <v>firstname007.lastname007@example.com</v>
      </c>
      <c r="F11" s="9"/>
      <c r="G11" s="9"/>
    </row>
    <row r="12" spans="1:7" x14ac:dyDescent="0.35">
      <c r="A12" s="46" t="str">
        <f>IF($C12="","",$C12&amp;"-"&amp;TEXT(COUNTIF($C$5:$C12,$C12),"000")&amp;"-"&amp;IF($D12="","TBD",$D12))</f>
        <v>RN-008-A1</v>
      </c>
      <c r="B12" s="9" t="s">
        <v>924</v>
      </c>
      <c r="C12" s="10" t="s">
        <v>308</v>
      </c>
      <c r="D12" s="10" t="s">
        <v>1208</v>
      </c>
      <c r="E12" s="46" t="str">
        <f t="shared" si="0"/>
        <v>firstname008.lastname008@example.com</v>
      </c>
      <c r="F12" s="9"/>
      <c r="G12" s="9"/>
    </row>
    <row r="13" spans="1:7" x14ac:dyDescent="0.35">
      <c r="A13" s="46" t="str">
        <f>IF($C13="","",$C13&amp;"-"&amp;TEXT(COUNTIF($C$5:$C13,$C13),"000")&amp;"-"&amp;IF($D13="","TBD",$D13))</f>
        <v>RN-009-A2</v>
      </c>
      <c r="B13" s="9" t="s">
        <v>925</v>
      </c>
      <c r="C13" s="10" t="s">
        <v>308</v>
      </c>
      <c r="D13" s="10" t="s">
        <v>1209</v>
      </c>
      <c r="E13" s="46" t="str">
        <f t="shared" si="0"/>
        <v>firstname009.lastname009@example.com</v>
      </c>
      <c r="F13" s="9"/>
      <c r="G13" s="9"/>
    </row>
    <row r="14" spans="1:7" x14ac:dyDescent="0.35">
      <c r="A14" s="46" t="str">
        <f>IF($C14="","",$C14&amp;"-"&amp;TEXT(COUNTIF($C$5:$C14,$C14),"000")&amp;"-"&amp;IF($D14="","TBD",$D14))</f>
        <v>RN-010-A2</v>
      </c>
      <c r="B14" s="9" t="s">
        <v>926</v>
      </c>
      <c r="C14" s="10" t="s">
        <v>308</v>
      </c>
      <c r="D14" s="10" t="s">
        <v>1209</v>
      </c>
      <c r="E14" s="46" t="str">
        <f t="shared" si="0"/>
        <v>firstname010.lastname010@example.com</v>
      </c>
      <c r="F14" s="9"/>
      <c r="G14" s="9"/>
    </row>
    <row r="15" spans="1:7" x14ac:dyDescent="0.35">
      <c r="A15" s="46" t="str">
        <f>IF($C15="","",$C15&amp;"-"&amp;TEXT(COUNTIF($C$5:$C15,$C15),"000")&amp;"-"&amp;IF($D15="","TBD",$D15))</f>
        <v>RN-011-A2</v>
      </c>
      <c r="B15" s="9" t="s">
        <v>927</v>
      </c>
      <c r="C15" s="10" t="s">
        <v>308</v>
      </c>
      <c r="D15" s="10" t="s">
        <v>1209</v>
      </c>
      <c r="E15" s="46" t="str">
        <f t="shared" si="0"/>
        <v>firstname011.lastname011@example.com</v>
      </c>
      <c r="F15" s="9"/>
      <c r="G15" s="9"/>
    </row>
    <row r="16" spans="1:7" x14ac:dyDescent="0.35">
      <c r="A16" s="46" t="str">
        <f>IF($C16="","",$C16&amp;"-"&amp;TEXT(COUNTIF($C$5:$C16,$C16),"000")&amp;"-"&amp;IF($D16="","TBD",$D16))</f>
        <v>RPN-001-A1</v>
      </c>
      <c r="B16" s="9" t="s">
        <v>928</v>
      </c>
      <c r="C16" s="10" t="s">
        <v>309</v>
      </c>
      <c r="D16" s="10" t="s">
        <v>1208</v>
      </c>
      <c r="E16" s="46" t="str">
        <f t="shared" si="0"/>
        <v>firstname012.lastname012@example.com</v>
      </c>
      <c r="F16" s="9"/>
      <c r="G16" s="9"/>
    </row>
    <row r="17" spans="1:7" x14ac:dyDescent="0.35">
      <c r="A17" s="46" t="str">
        <f>IF($C17="","",$C17&amp;"-"&amp;TEXT(COUNTIF($C$5:$C17,$C17),"000")&amp;"-"&amp;IF($D17="","TBD",$D17))</f>
        <v>RN-012-A1</v>
      </c>
      <c r="B17" s="9" t="s">
        <v>929</v>
      </c>
      <c r="C17" s="10" t="s">
        <v>308</v>
      </c>
      <c r="D17" s="10" t="s">
        <v>1208</v>
      </c>
      <c r="E17" s="46" t="str">
        <f t="shared" si="0"/>
        <v>firstname013.lastname013@example.com</v>
      </c>
      <c r="F17" s="9"/>
      <c r="G17" s="9"/>
    </row>
    <row r="18" spans="1:7" x14ac:dyDescent="0.35">
      <c r="A18" s="46" t="str">
        <f>IF($C18="","",$C18&amp;"-"&amp;TEXT(COUNTIF($C$5:$C18,$C18),"000")&amp;"-"&amp;IF($D18="","TBD",$D18))</f>
        <v>RN-013-A2</v>
      </c>
      <c r="B18" s="9" t="s">
        <v>930</v>
      </c>
      <c r="C18" s="10" t="s">
        <v>308</v>
      </c>
      <c r="D18" s="10" t="s">
        <v>1209</v>
      </c>
      <c r="E18" s="46" t="str">
        <f t="shared" si="0"/>
        <v>firstname014.lastname014@example.com</v>
      </c>
      <c r="F18" s="9"/>
      <c r="G18" s="9"/>
    </row>
    <row r="19" spans="1:7" x14ac:dyDescent="0.35">
      <c r="A19" s="46" t="str">
        <f>IF($C19="","",$C19&amp;"-"&amp;TEXT(COUNTIF($C$5:$C19,$C19),"000")&amp;"-"&amp;IF($D19="","TBD",$D19))</f>
        <v>RN-014-A1</v>
      </c>
      <c r="B19" s="9" t="s">
        <v>931</v>
      </c>
      <c r="C19" s="10" t="s">
        <v>308</v>
      </c>
      <c r="D19" s="10" t="s">
        <v>1208</v>
      </c>
      <c r="E19" s="46" t="str">
        <f t="shared" si="0"/>
        <v>firstname015.lastname015@example.com</v>
      </c>
      <c r="F19" s="9"/>
      <c r="G19" s="9"/>
    </row>
    <row r="20" spans="1:7" x14ac:dyDescent="0.35">
      <c r="A20" s="46" t="str">
        <f>IF($C20="","",$C20&amp;"-"&amp;TEXT(COUNTIF($C$5:$C20,$C20),"000")&amp;"-"&amp;IF($D20="","TBD",$D20))</f>
        <v>RN-015-A1</v>
      </c>
      <c r="B20" s="9" t="s">
        <v>932</v>
      </c>
      <c r="C20" s="10" t="s">
        <v>308</v>
      </c>
      <c r="D20" s="10" t="s">
        <v>1208</v>
      </c>
      <c r="E20" s="46" t="str">
        <f t="shared" si="0"/>
        <v>firstname016.lastname016@example.com</v>
      </c>
      <c r="F20" s="9"/>
      <c r="G20" s="9"/>
    </row>
    <row r="21" spans="1:7" x14ac:dyDescent="0.35">
      <c r="A21" s="46" t="str">
        <f>IF($C21="","",$C21&amp;"-"&amp;TEXT(COUNTIF($C$5:$C21,$C21),"000")&amp;"-"&amp;IF($D21="","TBD",$D21))</f>
        <v>RPN-002-A1</v>
      </c>
      <c r="B21" s="9" t="s">
        <v>933</v>
      </c>
      <c r="C21" s="10" t="s">
        <v>309</v>
      </c>
      <c r="D21" s="10" t="s">
        <v>1208</v>
      </c>
      <c r="E21" s="46" t="str">
        <f t="shared" si="0"/>
        <v>firstname017.lastname017@example.com</v>
      </c>
      <c r="F21" s="9"/>
      <c r="G21" s="9"/>
    </row>
    <row r="22" spans="1:7" x14ac:dyDescent="0.35">
      <c r="A22" s="46" t="str">
        <f>IF($C22="","",$C22&amp;"-"&amp;TEXT(COUNTIF($C$5:$C22,$C22),"000")&amp;"-"&amp;IF($D22="","TBD",$D22))</f>
        <v>RN-016-A1</v>
      </c>
      <c r="B22" s="9" t="s">
        <v>934</v>
      </c>
      <c r="C22" s="10" t="s">
        <v>308</v>
      </c>
      <c r="D22" s="10" t="s">
        <v>1208</v>
      </c>
      <c r="E22" s="46" t="str">
        <f t="shared" si="0"/>
        <v>firstname018.lastname018@example.com</v>
      </c>
      <c r="F22" s="9"/>
      <c r="G22" s="9"/>
    </row>
    <row r="23" spans="1:7" x14ac:dyDescent="0.35">
      <c r="A23" s="46" t="str">
        <f>IF($C23="","",$C23&amp;"-"&amp;TEXT(COUNTIF($C$5:$C23,$C23),"000")&amp;"-"&amp;IF($D23="","TBD",$D23))</f>
        <v>RPN-003-A1</v>
      </c>
      <c r="B23" s="9" t="s">
        <v>935</v>
      </c>
      <c r="C23" s="10" t="s">
        <v>309</v>
      </c>
      <c r="D23" s="10" t="s">
        <v>1208</v>
      </c>
      <c r="E23" s="46" t="str">
        <f t="shared" si="0"/>
        <v>firstname019.lastname019@example.com</v>
      </c>
      <c r="F23" s="9"/>
      <c r="G23" s="9"/>
    </row>
    <row r="24" spans="1:7" x14ac:dyDescent="0.35">
      <c r="A24" s="46" t="str">
        <f>IF($C24="","",$C24&amp;"-"&amp;TEXT(COUNTIF($C$5:$C24,$C24),"000")&amp;"-"&amp;IF($D24="","TBD",$D24))</f>
        <v>RN-017-A2</v>
      </c>
      <c r="B24" s="9" t="s">
        <v>936</v>
      </c>
      <c r="C24" s="10" t="s">
        <v>308</v>
      </c>
      <c r="D24" s="10" t="s">
        <v>1209</v>
      </c>
      <c r="E24" s="46" t="str">
        <f t="shared" si="0"/>
        <v>firstname020.lastname020@example.com</v>
      </c>
      <c r="F24" s="9"/>
      <c r="G24" s="9"/>
    </row>
    <row r="25" spans="1:7" x14ac:dyDescent="0.35">
      <c r="A25" s="46" t="str">
        <f>IF($C25="","",$C25&amp;"-"&amp;TEXT(COUNTIF($C$5:$C25,$C25),"000")&amp;"-"&amp;IF($D25="","TBD",$D25))</f>
        <v>RN-018-A2</v>
      </c>
      <c r="B25" s="9" t="s">
        <v>937</v>
      </c>
      <c r="C25" s="10" t="s">
        <v>308</v>
      </c>
      <c r="D25" s="10" t="s">
        <v>1209</v>
      </c>
      <c r="E25" s="46" t="str">
        <f t="shared" si="0"/>
        <v>firstname021.lastname021@example.com</v>
      </c>
      <c r="F25" s="9"/>
      <c r="G25" s="9"/>
    </row>
    <row r="26" spans="1:7" x14ac:dyDescent="0.35">
      <c r="A26" s="46" t="str">
        <f>IF($C26="","",$C26&amp;"-"&amp;TEXT(COUNTIF($C$5:$C26,$C26),"000")&amp;"-"&amp;IF($D26="","TBD",$D26))</f>
        <v>RN-019-A2</v>
      </c>
      <c r="B26" s="9" t="s">
        <v>938</v>
      </c>
      <c r="C26" s="10" t="s">
        <v>308</v>
      </c>
      <c r="D26" s="10" t="s">
        <v>1209</v>
      </c>
      <c r="E26" s="46" t="str">
        <f t="shared" si="0"/>
        <v>firstname022.lastname022@example.com</v>
      </c>
      <c r="F26" s="9"/>
      <c r="G26" s="9"/>
    </row>
    <row r="27" spans="1:7" x14ac:dyDescent="0.35">
      <c r="A27" s="46" t="str">
        <f>IF($C27="","",$C27&amp;"-"&amp;TEXT(COUNTIF($C$5:$C27,$C27),"000")&amp;"-"&amp;IF($D27="","TBD",$D27))</f>
        <v>RN-020-A2</v>
      </c>
      <c r="B27" s="9" t="s">
        <v>939</v>
      </c>
      <c r="C27" s="10" t="s">
        <v>308</v>
      </c>
      <c r="D27" s="10" t="s">
        <v>1209</v>
      </c>
      <c r="E27" s="46" t="str">
        <f t="shared" si="0"/>
        <v>firstname023.lastname023@example.com</v>
      </c>
      <c r="F27" s="9"/>
      <c r="G27" s="9"/>
    </row>
    <row r="28" spans="1:7" x14ac:dyDescent="0.35">
      <c r="A28" s="46" t="str">
        <f>IF($C28="","",$C28&amp;"-"&amp;TEXT(COUNTIF($C$5:$C28,$C28),"000")&amp;"-"&amp;IF($D28="","TBD",$D28))</f>
        <v>RPN-004-A1</v>
      </c>
      <c r="B28" s="9" t="s">
        <v>940</v>
      </c>
      <c r="C28" s="10" t="s">
        <v>309</v>
      </c>
      <c r="D28" s="10" t="s">
        <v>1208</v>
      </c>
      <c r="E28" s="46" t="str">
        <f t="shared" si="0"/>
        <v>firstname024.lastname024@example.com</v>
      </c>
      <c r="F28" s="9"/>
      <c r="G28" s="9"/>
    </row>
    <row r="29" spans="1:7" x14ac:dyDescent="0.35">
      <c r="A29" s="46" t="str">
        <f>IF($C29="","",$C29&amp;"-"&amp;TEXT(COUNTIF($C$5:$C29,$C29),"000")&amp;"-"&amp;IF($D29="","TBD",$D29))</f>
        <v>RN-021-A2</v>
      </c>
      <c r="B29" s="9" t="s">
        <v>941</v>
      </c>
      <c r="C29" s="10" t="s">
        <v>308</v>
      </c>
      <c r="D29" s="10" t="s">
        <v>1209</v>
      </c>
      <c r="E29" s="46" t="str">
        <f t="shared" si="0"/>
        <v>firstname025.lastname025@example.com</v>
      </c>
      <c r="F29" s="9"/>
      <c r="G29" s="9"/>
    </row>
    <row r="30" spans="1:7" x14ac:dyDescent="0.35">
      <c r="A30" s="46" t="str">
        <f>IF($C30="","",$C30&amp;"-"&amp;TEXT(COUNTIF($C$5:$C30,$C30),"000")&amp;"-"&amp;IF($D30="","TBD",$D30))</f>
        <v>RN-022-A2</v>
      </c>
      <c r="B30" s="9" t="s">
        <v>942</v>
      </c>
      <c r="C30" s="10" t="s">
        <v>308</v>
      </c>
      <c r="D30" s="10" t="s">
        <v>1209</v>
      </c>
      <c r="E30" s="46" t="str">
        <f t="shared" si="0"/>
        <v>firstname026.lastname026@example.com</v>
      </c>
      <c r="F30" s="9"/>
      <c r="G30" s="9"/>
    </row>
    <row r="31" spans="1:7" x14ac:dyDescent="0.35">
      <c r="A31" s="46" t="str">
        <f>IF($C31="","",$C31&amp;"-"&amp;TEXT(COUNTIF($C$5:$C31,$C31),"000")&amp;"-"&amp;IF($D31="","TBD",$D31))</f>
        <v>RN-023-A2</v>
      </c>
      <c r="B31" s="9" t="s">
        <v>943</v>
      </c>
      <c r="C31" s="10" t="s">
        <v>308</v>
      </c>
      <c r="D31" s="10" t="s">
        <v>1209</v>
      </c>
      <c r="E31" s="46" t="str">
        <f t="shared" si="0"/>
        <v>firstname027.lastname027@example.com</v>
      </c>
      <c r="F31" s="9"/>
      <c r="G31" s="9"/>
    </row>
    <row r="32" spans="1:7" x14ac:dyDescent="0.35">
      <c r="A32" s="46" t="str">
        <f>IF($C32="","",$C32&amp;"-"&amp;TEXT(COUNTIF($C$5:$C32,$C32),"000")&amp;"-"&amp;IF($D32="","TBD",$D32))</f>
        <v>RN-024-A2</v>
      </c>
      <c r="B32" s="9" t="s">
        <v>944</v>
      </c>
      <c r="C32" s="10" t="s">
        <v>308</v>
      </c>
      <c r="D32" s="10" t="s">
        <v>1209</v>
      </c>
      <c r="E32" s="46" t="str">
        <f t="shared" si="0"/>
        <v>firstname028.lastname028@example.com</v>
      </c>
      <c r="F32" s="9"/>
      <c r="G32" s="9"/>
    </row>
    <row r="33" spans="1:7" x14ac:dyDescent="0.35">
      <c r="A33" s="46" t="str">
        <f>IF($C33="","",$C33&amp;"-"&amp;TEXT(COUNTIF($C$5:$C33,$C33),"000")&amp;"-"&amp;IF($D33="","TBD",$D33))</f>
        <v>RN-025-A1</v>
      </c>
      <c r="B33" s="9" t="s">
        <v>945</v>
      </c>
      <c r="C33" s="10" t="s">
        <v>308</v>
      </c>
      <c r="D33" s="10" t="s">
        <v>1208</v>
      </c>
      <c r="E33" s="46" t="str">
        <f t="shared" si="0"/>
        <v>firstname029.lastname029@example.com</v>
      </c>
      <c r="F33" s="9"/>
      <c r="G33" s="9"/>
    </row>
    <row r="34" spans="1:7" x14ac:dyDescent="0.35">
      <c r="A34" s="46" t="str">
        <f>IF($C34="","",$C34&amp;"-"&amp;TEXT(COUNTIF($C$5:$C34,$C34),"000")&amp;"-"&amp;IF($D34="","TBD",$D34))</f>
        <v>RN-026-A2</v>
      </c>
      <c r="B34" s="9" t="s">
        <v>946</v>
      </c>
      <c r="C34" s="10" t="s">
        <v>308</v>
      </c>
      <c r="D34" s="10" t="s">
        <v>1209</v>
      </c>
      <c r="E34" s="46" t="str">
        <f t="shared" si="0"/>
        <v>firstname030.lastname030@example.com</v>
      </c>
      <c r="F34" s="9"/>
      <c r="G34" s="9"/>
    </row>
    <row r="35" spans="1:7" x14ac:dyDescent="0.35">
      <c r="A35" s="46" t="str">
        <f>IF($C35="","",$C35&amp;"-"&amp;TEXT(COUNTIF($C$5:$C35,$C35),"000")&amp;"-"&amp;IF($D35="","TBD",$D35))</f>
        <v>RN-027-A1</v>
      </c>
      <c r="B35" s="9" t="s">
        <v>947</v>
      </c>
      <c r="C35" s="10" t="s">
        <v>308</v>
      </c>
      <c r="D35" s="10" t="s">
        <v>1208</v>
      </c>
      <c r="E35" s="46" t="str">
        <f t="shared" si="0"/>
        <v>firstname031.lastname031@example.com</v>
      </c>
      <c r="F35" s="9"/>
      <c r="G35" s="9"/>
    </row>
    <row r="36" spans="1:7" x14ac:dyDescent="0.35">
      <c r="A36" s="46" t="str">
        <f>IF($C36="","",$C36&amp;"-"&amp;TEXT(COUNTIF($C$5:$C36,$C36),"000")&amp;"-"&amp;IF($D36="","TBD",$D36))</f>
        <v>RN-028-A1</v>
      </c>
      <c r="B36" s="9" t="s">
        <v>948</v>
      </c>
      <c r="C36" s="10" t="s">
        <v>308</v>
      </c>
      <c r="D36" s="10" t="s">
        <v>1208</v>
      </c>
      <c r="E36" s="46" t="str">
        <f t="shared" si="0"/>
        <v>firstname032.lastname032@example.com</v>
      </c>
      <c r="F36" s="9"/>
      <c r="G36" s="9"/>
    </row>
    <row r="37" spans="1:7" x14ac:dyDescent="0.35">
      <c r="A37" s="46" t="str">
        <f>IF($C37="","",$C37&amp;"-"&amp;TEXT(COUNTIF($C$5:$C37,$C37),"000")&amp;"-"&amp;IF($D37="","TBD",$D37))</f>
        <v>RN-029-A1</v>
      </c>
      <c r="B37" s="9" t="s">
        <v>949</v>
      </c>
      <c r="C37" s="10" t="s">
        <v>308</v>
      </c>
      <c r="D37" s="10" t="s">
        <v>1208</v>
      </c>
      <c r="E37" s="46" t="str">
        <f t="shared" si="0"/>
        <v>firstname033.lastname033@example.com</v>
      </c>
      <c r="F37" s="9"/>
      <c r="G37" s="9"/>
    </row>
    <row r="38" spans="1:7" x14ac:dyDescent="0.35">
      <c r="A38" s="46" t="str">
        <f>IF($C38="","",$C38&amp;"-"&amp;TEXT(COUNTIF($C$5:$C38,$C38),"000")&amp;"-"&amp;IF($D38="","TBD",$D38))</f>
        <v>RN-030-A2</v>
      </c>
      <c r="B38" s="9" t="s">
        <v>950</v>
      </c>
      <c r="C38" s="10" t="s">
        <v>308</v>
      </c>
      <c r="D38" s="10" t="s">
        <v>1209</v>
      </c>
      <c r="E38" s="46" t="str">
        <f t="shared" si="0"/>
        <v>firstname034.lastname034@example.com</v>
      </c>
      <c r="F38" s="9"/>
      <c r="G38" s="9"/>
    </row>
    <row r="39" spans="1:7" x14ac:dyDescent="0.35">
      <c r="A39" s="46" t="str">
        <f>IF($C39="","",$C39&amp;"-"&amp;TEXT(COUNTIF($C$5:$C39,$C39),"000")&amp;"-"&amp;IF($D39="","TBD",$D39))</f>
        <v>RN-031-A2</v>
      </c>
      <c r="B39" s="9" t="s">
        <v>951</v>
      </c>
      <c r="C39" s="10" t="s">
        <v>308</v>
      </c>
      <c r="D39" s="10" t="s">
        <v>1209</v>
      </c>
      <c r="E39" s="46" t="str">
        <f t="shared" si="0"/>
        <v>firstname035.lastname035@example.com</v>
      </c>
      <c r="F39" s="9"/>
      <c r="G39" s="9"/>
    </row>
    <row r="40" spans="1:7" x14ac:dyDescent="0.35">
      <c r="A40" s="46" t="str">
        <f>IF($C40="","",$C40&amp;"-"&amp;TEXT(COUNTIF($C$5:$C40,$C40),"000")&amp;"-"&amp;IF($D40="","TBD",$D40))</f>
        <v>RN-032-A1</v>
      </c>
      <c r="B40" s="9" t="s">
        <v>952</v>
      </c>
      <c r="C40" s="10" t="s">
        <v>308</v>
      </c>
      <c r="D40" s="10" t="s">
        <v>1208</v>
      </c>
      <c r="E40" s="46" t="str">
        <f t="shared" si="0"/>
        <v>firstname036.lastname036@example.com</v>
      </c>
      <c r="F40" s="9"/>
      <c r="G40" s="9"/>
    </row>
    <row r="41" spans="1:7" x14ac:dyDescent="0.35">
      <c r="A41" s="46" t="str">
        <f>IF($C41="","",$C41&amp;"-"&amp;TEXT(COUNTIF($C$5:$C41,$C41),"000")&amp;"-"&amp;IF($D41="","TBD",$D41))</f>
        <v>RPN-005-A1</v>
      </c>
      <c r="B41" s="9" t="s">
        <v>953</v>
      </c>
      <c r="C41" s="10" t="s">
        <v>309</v>
      </c>
      <c r="D41" s="10" t="s">
        <v>1208</v>
      </c>
      <c r="E41" s="46" t="str">
        <f t="shared" si="0"/>
        <v>firstname037.lastname037@example.com</v>
      </c>
      <c r="F41" s="9"/>
      <c r="G41" s="9"/>
    </row>
    <row r="42" spans="1:7" x14ac:dyDescent="0.35">
      <c r="A42" s="46" t="str">
        <f>IF($C42="","",$C42&amp;"-"&amp;TEXT(COUNTIF($C$5:$C42,$C42),"000")&amp;"-"&amp;IF($D42="","TBD",$D42))</f>
        <v>RN-033-A2</v>
      </c>
      <c r="B42" s="9" t="s">
        <v>954</v>
      </c>
      <c r="C42" s="10" t="s">
        <v>308</v>
      </c>
      <c r="D42" s="10" t="s">
        <v>1209</v>
      </c>
      <c r="E42" s="46" t="str">
        <f t="shared" si="0"/>
        <v>firstname038.lastname038@example.com</v>
      </c>
      <c r="F42" s="9"/>
      <c r="G42" s="9"/>
    </row>
    <row r="43" spans="1:7" x14ac:dyDescent="0.35">
      <c r="A43" s="46" t="str">
        <f>IF($C43="","",$C43&amp;"-"&amp;TEXT(COUNTIF($C$5:$C43,$C43),"000")&amp;"-"&amp;IF($D43="","TBD",$D43))</f>
        <v>RN-034-A1</v>
      </c>
      <c r="B43" s="9" t="s">
        <v>955</v>
      </c>
      <c r="C43" s="10" t="s">
        <v>308</v>
      </c>
      <c r="D43" s="10" t="s">
        <v>1208</v>
      </c>
      <c r="E43" s="46" t="str">
        <f t="shared" si="0"/>
        <v>firstname039.lastname039@example.com</v>
      </c>
      <c r="F43" s="9"/>
      <c r="G43" s="9"/>
    </row>
    <row r="44" spans="1:7" x14ac:dyDescent="0.35">
      <c r="A44" s="46" t="str">
        <f>IF($C44="","",$C44&amp;"-"&amp;TEXT(COUNTIF($C$5:$C44,$C44),"000")&amp;"-"&amp;IF($D44="","TBD",$D44))</f>
        <v>RN-035-A1</v>
      </c>
      <c r="B44" s="9" t="s">
        <v>956</v>
      </c>
      <c r="C44" s="10" t="s">
        <v>308</v>
      </c>
      <c r="D44" s="10" t="s">
        <v>1208</v>
      </c>
      <c r="E44" s="46" t="str">
        <f t="shared" si="0"/>
        <v>firstname040.lastname040@example.com</v>
      </c>
      <c r="F44" s="9"/>
      <c r="G44" s="9"/>
    </row>
    <row r="45" spans="1:7" x14ac:dyDescent="0.35">
      <c r="A45" s="46" t="str">
        <f>IF($C45="","",$C45&amp;"-"&amp;TEXT(COUNTIF($C$5:$C45,$C45),"000")&amp;"-"&amp;IF($D45="","TBD",$D45))</f>
        <v>RN-036-A1</v>
      </c>
      <c r="B45" s="9" t="s">
        <v>957</v>
      </c>
      <c r="C45" s="10" t="s">
        <v>308</v>
      </c>
      <c r="D45" s="10" t="s">
        <v>1208</v>
      </c>
      <c r="E45" s="46" t="str">
        <f t="shared" si="0"/>
        <v>firstname041.lastname041@example.com</v>
      </c>
      <c r="F45" s="9"/>
      <c r="G45" s="9"/>
    </row>
    <row r="46" spans="1:7" x14ac:dyDescent="0.35">
      <c r="A46" s="46" t="str">
        <f>IF($C46="","",$C46&amp;"-"&amp;TEXT(COUNTIF($C$5:$C46,$C46),"000")&amp;"-"&amp;IF($D46="","TBD",$D46))</f>
        <v>RPN-006-A1</v>
      </c>
      <c r="B46" s="9" t="s">
        <v>958</v>
      </c>
      <c r="C46" s="10" t="s">
        <v>309</v>
      </c>
      <c r="D46" s="10" t="s">
        <v>1208</v>
      </c>
      <c r="E46" s="46" t="str">
        <f t="shared" si="0"/>
        <v>firstname042.lastname042@example.com</v>
      </c>
      <c r="F46" s="9"/>
      <c r="G46" s="9"/>
    </row>
    <row r="47" spans="1:7" x14ac:dyDescent="0.35">
      <c r="A47" s="46" t="str">
        <f>IF($C47="","",$C47&amp;"-"&amp;TEXT(COUNTIF($C$5:$C47,$C47),"000")&amp;"-"&amp;IF($D47="","TBD",$D47))</f>
        <v>RN-037-A2</v>
      </c>
      <c r="B47" s="9" t="s">
        <v>959</v>
      </c>
      <c r="C47" s="10" t="s">
        <v>308</v>
      </c>
      <c r="D47" s="10" t="s">
        <v>1209</v>
      </c>
      <c r="E47" s="46" t="str">
        <f t="shared" si="0"/>
        <v>firstname043.lastname043@example.com</v>
      </c>
      <c r="F47" s="9"/>
      <c r="G47" s="9"/>
    </row>
    <row r="48" spans="1:7" x14ac:dyDescent="0.35">
      <c r="A48" s="46" t="str">
        <f>IF($C48="","",$C48&amp;"-"&amp;TEXT(COUNTIF($C$5:$C48,$C48),"000")&amp;"-"&amp;IF($D48="","TBD",$D48))</f>
        <v>RN-038-A1</v>
      </c>
      <c r="B48" s="9" t="s">
        <v>960</v>
      </c>
      <c r="C48" s="10" t="s">
        <v>308</v>
      </c>
      <c r="D48" s="10" t="s">
        <v>1208</v>
      </c>
      <c r="E48" s="46" t="str">
        <f t="shared" si="0"/>
        <v>firstname044.lastname044@example.com</v>
      </c>
      <c r="F48" s="9"/>
      <c r="G48" s="9"/>
    </row>
    <row r="49" spans="1:7" x14ac:dyDescent="0.35">
      <c r="A49" s="46" t="str">
        <f>IF($C49="","",$C49&amp;"-"&amp;TEXT(COUNTIF($C$5:$C49,$C49),"000")&amp;"-"&amp;IF($D49="","TBD",$D49))</f>
        <v>RN-039-A1</v>
      </c>
      <c r="B49" s="9" t="s">
        <v>961</v>
      </c>
      <c r="C49" s="10" t="s">
        <v>308</v>
      </c>
      <c r="D49" s="10" t="s">
        <v>1208</v>
      </c>
      <c r="E49" s="46" t="str">
        <f t="shared" si="0"/>
        <v>firstname045.lastname045@example.com</v>
      </c>
      <c r="F49" s="9"/>
      <c r="G49" s="9"/>
    </row>
    <row r="50" spans="1:7" x14ac:dyDescent="0.35">
      <c r="A50" s="46" t="str">
        <f>IF($C50="","",$C50&amp;"-"&amp;TEXT(COUNTIF($C$5:$C50,$C50),"000")&amp;"-"&amp;IF($D50="","TBD",$D50))</f>
        <v>RN-040-A2</v>
      </c>
      <c r="B50" s="9" t="s">
        <v>962</v>
      </c>
      <c r="C50" s="10" t="s">
        <v>308</v>
      </c>
      <c r="D50" s="10" t="s">
        <v>1209</v>
      </c>
      <c r="E50" s="46" t="str">
        <f t="shared" si="0"/>
        <v>firstname046.lastname046@example.com</v>
      </c>
      <c r="F50" s="9"/>
      <c r="G50" s="9"/>
    </row>
    <row r="51" spans="1:7" x14ac:dyDescent="0.35">
      <c r="A51" s="46" t="str">
        <f>IF($C51="","",$C51&amp;"-"&amp;TEXT(COUNTIF($C$5:$C51,$C51),"000")&amp;"-"&amp;IF($D51="","TBD",$D51))</f>
        <v>RPN-007-A1</v>
      </c>
      <c r="B51" s="9" t="s">
        <v>963</v>
      </c>
      <c r="C51" s="10" t="s">
        <v>309</v>
      </c>
      <c r="D51" s="10" t="s">
        <v>1208</v>
      </c>
      <c r="E51" s="46" t="str">
        <f t="shared" si="0"/>
        <v>firstname047.lastname047@example.com</v>
      </c>
      <c r="F51" s="9"/>
      <c r="G51" s="9"/>
    </row>
    <row r="52" spans="1:7" x14ac:dyDescent="0.35">
      <c r="A52" s="46" t="str">
        <f>IF($C52="","",$C52&amp;"-"&amp;TEXT(COUNTIF($C$5:$C52,$C52),"000")&amp;"-"&amp;IF($D52="","TBD",$D52))</f>
        <v>RN-041-A1</v>
      </c>
      <c r="B52" s="9" t="s">
        <v>964</v>
      </c>
      <c r="C52" s="10" t="s">
        <v>308</v>
      </c>
      <c r="D52" s="10" t="s">
        <v>1208</v>
      </c>
      <c r="E52" s="46" t="str">
        <f t="shared" si="0"/>
        <v>firstname048.lastname048@example.com</v>
      </c>
      <c r="F52" s="9"/>
      <c r="G52" s="9"/>
    </row>
    <row r="53" spans="1:7" x14ac:dyDescent="0.35">
      <c r="A53" s="46" t="str">
        <f>IF($C53="","",$C53&amp;"-"&amp;TEXT(COUNTIF($C$5:$C53,$C53),"000")&amp;"-"&amp;IF($D53="","TBD",$D53))</f>
        <v>RN-042-A1</v>
      </c>
      <c r="B53" s="9" t="s">
        <v>965</v>
      </c>
      <c r="C53" s="10" t="s">
        <v>308</v>
      </c>
      <c r="D53" s="10" t="s">
        <v>1208</v>
      </c>
      <c r="E53" s="46" t="str">
        <f t="shared" si="0"/>
        <v>firstname049.lastname049@example.com</v>
      </c>
      <c r="F53" s="9"/>
      <c r="G53" s="9"/>
    </row>
    <row r="54" spans="1:7" x14ac:dyDescent="0.35">
      <c r="A54" s="46" t="str">
        <f>IF($C54="","",$C54&amp;"-"&amp;TEXT(COUNTIF($C$5:$C54,$C54),"000")&amp;"-"&amp;IF($D54="","TBD",$D54))</f>
        <v>RN-043-A1</v>
      </c>
      <c r="B54" s="9" t="s">
        <v>966</v>
      </c>
      <c r="C54" s="10" t="s">
        <v>308</v>
      </c>
      <c r="D54" s="10" t="s">
        <v>1208</v>
      </c>
      <c r="E54" s="46" t="str">
        <f t="shared" si="0"/>
        <v>firstname050.lastname050@example.com</v>
      </c>
      <c r="F54" s="9"/>
      <c r="G54" s="9"/>
    </row>
    <row r="55" spans="1:7" x14ac:dyDescent="0.35">
      <c r="A55" s="46" t="str">
        <f>IF($C55="","",$C55&amp;"-"&amp;TEXT(COUNTIF($C$5:$C55,$C55),"000")&amp;"-"&amp;IF($D55="","TBD",$D55))</f>
        <v>RN-044-A2</v>
      </c>
      <c r="B55" s="9" t="s">
        <v>967</v>
      </c>
      <c r="C55" s="10" t="s">
        <v>308</v>
      </c>
      <c r="D55" s="10" t="s">
        <v>1209</v>
      </c>
      <c r="E55" s="46" t="str">
        <f t="shared" si="0"/>
        <v>firstname051.lastname051@example.com</v>
      </c>
      <c r="F55" s="9"/>
      <c r="G55" s="9"/>
    </row>
    <row r="56" spans="1:7" x14ac:dyDescent="0.35">
      <c r="A56" s="46" t="str">
        <f>IF($C56="","",$C56&amp;"-"&amp;TEXT(COUNTIF($C$5:$C56,$C56),"000")&amp;"-"&amp;IF($D56="","TBD",$D56))</f>
        <v>RN-045-A1</v>
      </c>
      <c r="B56" s="9" t="s">
        <v>968</v>
      </c>
      <c r="C56" s="10" t="s">
        <v>308</v>
      </c>
      <c r="D56" s="10" t="s">
        <v>1208</v>
      </c>
      <c r="E56" s="46" t="str">
        <f t="shared" si="0"/>
        <v>firstname052.lastname052@example.com</v>
      </c>
      <c r="F56" s="9"/>
      <c r="G56" s="9"/>
    </row>
    <row r="57" spans="1:7" x14ac:dyDescent="0.35">
      <c r="A57" s="46" t="str">
        <f>IF($C57="","",$C57&amp;"-"&amp;TEXT(COUNTIF($C$5:$C57,$C57),"000")&amp;"-"&amp;IF($D57="","TBD",$D57))</f>
        <v>RN-046-A1</v>
      </c>
      <c r="B57" s="9" t="s">
        <v>969</v>
      </c>
      <c r="C57" s="10" t="s">
        <v>308</v>
      </c>
      <c r="D57" s="10" t="s">
        <v>1208</v>
      </c>
      <c r="E57" s="46" t="str">
        <f t="shared" si="0"/>
        <v>firstname053.lastname053@example.com</v>
      </c>
      <c r="F57" s="9"/>
      <c r="G57" s="9"/>
    </row>
    <row r="58" spans="1:7" x14ac:dyDescent="0.35">
      <c r="A58" s="46" t="str">
        <f>IF($C58="","",$C58&amp;"-"&amp;TEXT(COUNTIF($C$5:$C58,$C58),"000")&amp;"-"&amp;IF($D58="","TBD",$D58))</f>
        <v>OEE-001-A3</v>
      </c>
      <c r="B58" s="9" t="s">
        <v>970</v>
      </c>
      <c r="C58" s="10" t="s">
        <v>313</v>
      </c>
      <c r="D58" s="10" t="s">
        <v>1210</v>
      </c>
      <c r="E58" s="46" t="str">
        <f t="shared" si="0"/>
        <v>firstname054.lastname054@example.com</v>
      </c>
      <c r="F58" s="9"/>
      <c r="G58" s="9"/>
    </row>
    <row r="59" spans="1:7" x14ac:dyDescent="0.35">
      <c r="A59" s="46" t="str">
        <f>IF($C59="","",$C59&amp;"-"&amp;TEXT(COUNTIF($C$5:$C59,$C59),"000")&amp;"-"&amp;IF($D59="","TBD",$D59))</f>
        <v>RN-047-TBD</v>
      </c>
      <c r="B59" s="9" t="s">
        <v>971</v>
      </c>
      <c r="C59" s="10" t="s">
        <v>308</v>
      </c>
      <c r="D59" s="10"/>
      <c r="E59" s="46" t="str">
        <f t="shared" si="0"/>
        <v>firstname055.lastname055@example.com</v>
      </c>
      <c r="F59" s="9"/>
      <c r="G59" s="9"/>
    </row>
    <row r="60" spans="1:7" x14ac:dyDescent="0.35">
      <c r="A60" s="46" t="str">
        <f>IF($C60="","",$C60&amp;"-"&amp;TEXT(COUNTIF($C$5:$C60,$C60),"000")&amp;"-"&amp;IF($D60="","TBD",$D60))</f>
        <v>RN-048-A1</v>
      </c>
      <c r="B60" s="9" t="s">
        <v>972</v>
      </c>
      <c r="C60" s="10" t="s">
        <v>308</v>
      </c>
      <c r="D60" s="10" t="s">
        <v>1208</v>
      </c>
      <c r="E60" s="46" t="str">
        <f t="shared" si="0"/>
        <v>firstname056.lastname056@example.com</v>
      </c>
      <c r="F60" s="9"/>
      <c r="G60" s="9"/>
    </row>
    <row r="61" spans="1:7" x14ac:dyDescent="0.35">
      <c r="A61" s="46" t="str">
        <f>IF($C61="","",$C61&amp;"-"&amp;TEXT(COUNTIF($C$5:$C61,$C61),"000")&amp;"-"&amp;IF($D61="","TBD",$D61))</f>
        <v>ADMN CO-001-TBD</v>
      </c>
      <c r="B61" s="9" t="s">
        <v>973</v>
      </c>
      <c r="C61" s="10" t="s">
        <v>310</v>
      </c>
      <c r="D61" s="10"/>
      <c r="E61" s="46" t="str">
        <f t="shared" si="0"/>
        <v>firstname057.lastname057@example.com</v>
      </c>
      <c r="F61" s="9"/>
      <c r="G61" s="9"/>
    </row>
    <row r="62" spans="1:7" x14ac:dyDescent="0.35">
      <c r="A62" s="46" t="str">
        <f>IF($C62="","",$C62&amp;"-"&amp;TEXT(COUNTIF($C$5:$C62,$C62),"000")&amp;"-"&amp;IF($D62="","TBD",$D62))</f>
        <v>RN-049-A1</v>
      </c>
      <c r="B62" s="9" t="s">
        <v>974</v>
      </c>
      <c r="C62" s="10" t="s">
        <v>308</v>
      </c>
      <c r="D62" s="10" t="s">
        <v>1208</v>
      </c>
      <c r="E62" s="46" t="str">
        <f t="shared" si="0"/>
        <v>firstname058.lastname058@example.com</v>
      </c>
      <c r="F62" s="9"/>
      <c r="G62" s="9"/>
    </row>
    <row r="63" spans="1:7" x14ac:dyDescent="0.35">
      <c r="A63" s="46" t="str">
        <f>IF($C63="","",$C63&amp;"-"&amp;TEXT(COUNTIF($C$5:$C63,$C63),"000")&amp;"-"&amp;IF($D63="","TBD",$D63))</f>
        <v>RN-050-A1</v>
      </c>
      <c r="B63" s="9" t="s">
        <v>975</v>
      </c>
      <c r="C63" s="10" t="s">
        <v>308</v>
      </c>
      <c r="D63" s="10" t="s">
        <v>1208</v>
      </c>
      <c r="E63" s="46" t="str">
        <f t="shared" si="0"/>
        <v>firstname059.lastname059@example.com</v>
      </c>
      <c r="F63" s="9"/>
      <c r="G63" s="9"/>
    </row>
    <row r="64" spans="1:7" x14ac:dyDescent="0.35">
      <c r="A64" s="46" t="str">
        <f>IF($C64="","",$C64&amp;"-"&amp;TEXT(COUNTIF($C$5:$C64,$C64),"000")&amp;"-"&amp;IF($D64="","TBD",$D64))</f>
        <v>RN-051-A2</v>
      </c>
      <c r="B64" s="9" t="s">
        <v>976</v>
      </c>
      <c r="C64" s="10" t="s">
        <v>308</v>
      </c>
      <c r="D64" s="10" t="s">
        <v>1209</v>
      </c>
      <c r="E64" s="46" t="str">
        <f t="shared" si="0"/>
        <v>firstname060.lastname060@example.com</v>
      </c>
      <c r="F64" s="9"/>
      <c r="G64" s="9"/>
    </row>
    <row r="65" spans="1:7" x14ac:dyDescent="0.35">
      <c r="A65" s="46" t="str">
        <f>IF($C65="","",$C65&amp;"-"&amp;TEXT(COUNTIF($C$5:$C65,$C65),"000")&amp;"-"&amp;IF($D65="","TBD",$D65))</f>
        <v>PSW-001-A4</v>
      </c>
      <c r="B65" s="9" t="s">
        <v>977</v>
      </c>
      <c r="C65" s="10" t="s">
        <v>311</v>
      </c>
      <c r="D65" s="10" t="s">
        <v>1211</v>
      </c>
      <c r="E65" s="46" t="str">
        <f t="shared" si="0"/>
        <v>firstname061.lastname061@example.com</v>
      </c>
      <c r="F65" s="9"/>
      <c r="G65" s="9"/>
    </row>
    <row r="66" spans="1:7" x14ac:dyDescent="0.35">
      <c r="A66" s="46" t="str">
        <f>IF($C66="","",$C66&amp;"-"&amp;TEXT(COUNTIF($C$5:$C66,$C66),"000")&amp;"-"&amp;IF($D66="","TBD",$D66))</f>
        <v>PSW-002-A4</v>
      </c>
      <c r="B66" s="9" t="s">
        <v>978</v>
      </c>
      <c r="C66" s="10" t="s">
        <v>311</v>
      </c>
      <c r="D66" s="10" t="s">
        <v>1211</v>
      </c>
      <c r="E66" s="46" t="str">
        <f t="shared" si="0"/>
        <v>firstname062.lastname062@example.com</v>
      </c>
      <c r="F66" s="9"/>
      <c r="G66" s="9"/>
    </row>
    <row r="67" spans="1:7" x14ac:dyDescent="0.35">
      <c r="A67" s="46" t="str">
        <f>IF($C67="","",$C67&amp;"-"&amp;TEXT(COUNTIF($C$5:$C67,$C67),"000")&amp;"-"&amp;IF($D67="","TBD",$D67))</f>
        <v>PSW-003-A4</v>
      </c>
      <c r="B67" s="9" t="s">
        <v>979</v>
      </c>
      <c r="C67" s="10" t="s">
        <v>311</v>
      </c>
      <c r="D67" s="10" t="s">
        <v>1211</v>
      </c>
      <c r="E67" s="46" t="str">
        <f t="shared" si="0"/>
        <v>firstname063.lastname063@example.com</v>
      </c>
      <c r="F67" s="9"/>
      <c r="G67" s="9"/>
    </row>
    <row r="68" spans="1:7" x14ac:dyDescent="0.35">
      <c r="A68" s="46" t="str">
        <f>IF($C68="","",$C68&amp;"-"&amp;TEXT(COUNTIF($C$5:$C68,$C68),"000")&amp;"-"&amp;IF($D68="","TBD",$D68))</f>
        <v>PSW-004-A4</v>
      </c>
      <c r="B68" s="9" t="s">
        <v>980</v>
      </c>
      <c r="C68" s="10" t="s">
        <v>311</v>
      </c>
      <c r="D68" s="10" t="s">
        <v>1211</v>
      </c>
      <c r="E68" s="46" t="str">
        <f t="shared" si="0"/>
        <v>firstname064.lastname064@example.com</v>
      </c>
      <c r="F68" s="9"/>
      <c r="G68" s="9"/>
    </row>
    <row r="69" spans="1:7" x14ac:dyDescent="0.35">
      <c r="A69" s="46" t="str">
        <f>IF($C69="","",$C69&amp;"-"&amp;TEXT(COUNTIF($C$5:$C69,$C69),"000")&amp;"-"&amp;IF($D69="","TBD",$D69))</f>
        <v>PSW-005-A5</v>
      </c>
      <c r="B69" s="9" t="s">
        <v>981</v>
      </c>
      <c r="C69" s="10" t="s">
        <v>311</v>
      </c>
      <c r="D69" s="10" t="s">
        <v>1212</v>
      </c>
      <c r="E69" s="46" t="str">
        <f t="shared" si="0"/>
        <v>firstname065.lastname065@example.com</v>
      </c>
      <c r="F69" s="9"/>
      <c r="G69" s="9"/>
    </row>
    <row r="70" spans="1:7" x14ac:dyDescent="0.35">
      <c r="A70" s="46" t="str">
        <f>IF($C70="","",$C70&amp;"-"&amp;TEXT(COUNTIF($C$5:$C70,$C70),"000")&amp;"-"&amp;IF($D70="","TBD",$D70))</f>
        <v>PSW-006-A6</v>
      </c>
      <c r="B70" s="9" t="s">
        <v>982</v>
      </c>
      <c r="C70" s="10" t="s">
        <v>311</v>
      </c>
      <c r="D70" s="10" t="s">
        <v>1213</v>
      </c>
      <c r="E70" s="46" t="str">
        <f t="shared" ref="E70:E133" si="1">IF($B70="","",IFERROR(LOWER(SUBSTITUTE(TRIM(MID($B70,FIND(",",$B70)+1,255))," ",".")&amp;"."&amp;SUBSTITUTE(TRIM(LEFT($B70,FIND(",",$B70)-1))," ","."))&amp;"@example.com",""))</f>
        <v>firstname066.lastname066@example.com</v>
      </c>
      <c r="F70" s="9"/>
      <c r="G70" s="9"/>
    </row>
    <row r="71" spans="1:7" x14ac:dyDescent="0.35">
      <c r="A71" s="46" t="str">
        <f>IF($C71="","",$C71&amp;"-"&amp;TEXT(COUNTIF($C$5:$C71,$C71),"000")&amp;"-"&amp;IF($D71="","TBD",$D71))</f>
        <v>PSW-007-A5</v>
      </c>
      <c r="B71" s="9" t="s">
        <v>983</v>
      </c>
      <c r="C71" s="10" t="s">
        <v>311</v>
      </c>
      <c r="D71" s="10" t="s">
        <v>1212</v>
      </c>
      <c r="E71" s="46" t="str">
        <f t="shared" si="1"/>
        <v>firstname067.lastname067@example.com</v>
      </c>
      <c r="F71" s="9"/>
      <c r="G71" s="9"/>
    </row>
    <row r="72" spans="1:7" x14ac:dyDescent="0.35">
      <c r="A72" s="46" t="str">
        <f>IF($C72="","",$C72&amp;"-"&amp;TEXT(COUNTIF($C$5:$C72,$C72),"000")&amp;"-"&amp;IF($D72="","TBD",$D72))</f>
        <v>PSW-008-A6</v>
      </c>
      <c r="B72" s="9" t="s">
        <v>984</v>
      </c>
      <c r="C72" s="10" t="s">
        <v>311</v>
      </c>
      <c r="D72" s="10" t="s">
        <v>1213</v>
      </c>
      <c r="E72" s="46" t="str">
        <f t="shared" si="1"/>
        <v>firstname068.lastname068@example.com</v>
      </c>
      <c r="F72" s="9"/>
      <c r="G72" s="9"/>
    </row>
    <row r="73" spans="1:7" x14ac:dyDescent="0.35">
      <c r="A73" s="46" t="str">
        <f>IF($C73="","",$C73&amp;"-"&amp;TEXT(COUNTIF($C$5:$C73,$C73),"000")&amp;"-"&amp;IF($D73="","TBD",$D73))</f>
        <v>PSW-009-A5</v>
      </c>
      <c r="B73" s="9" t="s">
        <v>985</v>
      </c>
      <c r="C73" s="10" t="s">
        <v>311</v>
      </c>
      <c r="D73" s="10" t="s">
        <v>1212</v>
      </c>
      <c r="E73" s="46" t="str">
        <f t="shared" si="1"/>
        <v>firstname069.lastname069@example.com</v>
      </c>
      <c r="F73" s="9"/>
      <c r="G73" s="9"/>
    </row>
    <row r="74" spans="1:7" x14ac:dyDescent="0.35">
      <c r="A74" s="46" t="str">
        <f>IF($C74="","",$C74&amp;"-"&amp;TEXT(COUNTIF($C$5:$C74,$C74),"000")&amp;"-"&amp;IF($D74="","TBD",$D74))</f>
        <v>PSW-010-A4</v>
      </c>
      <c r="B74" s="9" t="s">
        <v>986</v>
      </c>
      <c r="C74" s="10" t="s">
        <v>311</v>
      </c>
      <c r="D74" s="10" t="s">
        <v>1211</v>
      </c>
      <c r="E74" s="46" t="str">
        <f t="shared" si="1"/>
        <v>firstname070.lastname070@example.com</v>
      </c>
      <c r="F74" s="9"/>
      <c r="G74" s="9"/>
    </row>
    <row r="75" spans="1:7" x14ac:dyDescent="0.35">
      <c r="A75" s="46" t="str">
        <f>IF($C75="","",$C75&amp;"-"&amp;TEXT(COUNTIF($C$5:$C75,$C75),"000")&amp;"-"&amp;IF($D75="","TBD",$D75))</f>
        <v>PSW-011-A6</v>
      </c>
      <c r="B75" s="9" t="s">
        <v>987</v>
      </c>
      <c r="C75" s="10" t="s">
        <v>311</v>
      </c>
      <c r="D75" s="10" t="s">
        <v>1213</v>
      </c>
      <c r="E75" s="46" t="str">
        <f t="shared" si="1"/>
        <v>firstname071.lastname071@example.com</v>
      </c>
      <c r="F75" s="9"/>
      <c r="G75" s="9"/>
    </row>
    <row r="76" spans="1:7" x14ac:dyDescent="0.35">
      <c r="A76" s="46" t="str">
        <f>IF($C76="","",$C76&amp;"-"&amp;TEXT(COUNTIF($C$5:$C76,$C76),"000")&amp;"-"&amp;IF($D76="","TBD",$D76))</f>
        <v>PSW-012-A4</v>
      </c>
      <c r="B76" s="9" t="s">
        <v>988</v>
      </c>
      <c r="C76" s="10" t="s">
        <v>311</v>
      </c>
      <c r="D76" s="10" t="s">
        <v>1211</v>
      </c>
      <c r="E76" s="46" t="str">
        <f t="shared" si="1"/>
        <v>firstname072.lastname072@example.com</v>
      </c>
      <c r="F76" s="9"/>
      <c r="G76" s="9"/>
    </row>
    <row r="77" spans="1:7" x14ac:dyDescent="0.35">
      <c r="A77" s="46" t="str">
        <f>IF($C77="","",$C77&amp;"-"&amp;TEXT(COUNTIF($C$5:$C77,$C77),"000")&amp;"-"&amp;IF($D77="","TBD",$D77))</f>
        <v>PSW-013-A5</v>
      </c>
      <c r="B77" s="9" t="s">
        <v>989</v>
      </c>
      <c r="C77" s="10" t="s">
        <v>311</v>
      </c>
      <c r="D77" s="10" t="s">
        <v>1212</v>
      </c>
      <c r="E77" s="46" t="str">
        <f t="shared" si="1"/>
        <v>firstname073.lastname073@example.com</v>
      </c>
      <c r="F77" s="9"/>
      <c r="G77" s="9"/>
    </row>
    <row r="78" spans="1:7" x14ac:dyDescent="0.35">
      <c r="A78" s="46" t="str">
        <f>IF($C78="","",$C78&amp;"-"&amp;TEXT(COUNTIF($C$5:$C78,$C78),"000")&amp;"-"&amp;IF($D78="","TBD",$D78))</f>
        <v>PSW-014-A4</v>
      </c>
      <c r="B78" s="9" t="s">
        <v>990</v>
      </c>
      <c r="C78" s="10" t="s">
        <v>311</v>
      </c>
      <c r="D78" s="10" t="s">
        <v>1211</v>
      </c>
      <c r="E78" s="46" t="str">
        <f t="shared" si="1"/>
        <v>firstname074.lastname074@example.com</v>
      </c>
      <c r="F78" s="9"/>
      <c r="G78" s="9"/>
    </row>
    <row r="79" spans="1:7" x14ac:dyDescent="0.35">
      <c r="A79" s="46" t="str">
        <f>IF($C79="","",$C79&amp;"-"&amp;TEXT(COUNTIF($C$5:$C79,$C79),"000")&amp;"-"&amp;IF($D79="","TBD",$D79))</f>
        <v>PSW-015-A5</v>
      </c>
      <c r="B79" s="9" t="s">
        <v>991</v>
      </c>
      <c r="C79" s="10" t="s">
        <v>311</v>
      </c>
      <c r="D79" s="10" t="s">
        <v>1212</v>
      </c>
      <c r="E79" s="46" t="str">
        <f t="shared" si="1"/>
        <v>firstname075.lastname075@example.com</v>
      </c>
      <c r="F79" s="9"/>
      <c r="G79" s="9"/>
    </row>
    <row r="80" spans="1:7" x14ac:dyDescent="0.35">
      <c r="A80" s="46" t="str">
        <f>IF($C80="","",$C80&amp;"-"&amp;TEXT(COUNTIF($C$5:$C80,$C80),"000")&amp;"-"&amp;IF($D80="","TBD",$D80))</f>
        <v>PSW-016-A6</v>
      </c>
      <c r="B80" s="9" t="s">
        <v>992</v>
      </c>
      <c r="C80" s="10" t="s">
        <v>311</v>
      </c>
      <c r="D80" s="10" t="s">
        <v>1213</v>
      </c>
      <c r="E80" s="46" t="str">
        <f t="shared" si="1"/>
        <v>firstname076.lastname076@example.com</v>
      </c>
      <c r="F80" s="9"/>
      <c r="G80" s="9"/>
    </row>
    <row r="81" spans="1:7" x14ac:dyDescent="0.35">
      <c r="A81" s="46" t="str">
        <f>IF($C81="","",$C81&amp;"-"&amp;TEXT(COUNTIF($C$5:$C81,$C81),"000")&amp;"-"&amp;IF($D81="","TBD",$D81))</f>
        <v>PSW-017-A5</v>
      </c>
      <c r="B81" s="9" t="s">
        <v>993</v>
      </c>
      <c r="C81" s="10" t="s">
        <v>311</v>
      </c>
      <c r="D81" s="10" t="s">
        <v>1212</v>
      </c>
      <c r="E81" s="46" t="str">
        <f t="shared" si="1"/>
        <v>firstname077.lastname077@example.com</v>
      </c>
      <c r="F81" s="9"/>
      <c r="G81" s="9"/>
    </row>
    <row r="82" spans="1:7" x14ac:dyDescent="0.35">
      <c r="A82" s="46" t="str">
        <f>IF($C82="","",$C82&amp;"-"&amp;TEXT(COUNTIF($C$5:$C82,$C82),"000")&amp;"-"&amp;IF($D82="","TBD",$D82))</f>
        <v>PSW-018-A5</v>
      </c>
      <c r="B82" s="9" t="s">
        <v>994</v>
      </c>
      <c r="C82" s="10" t="s">
        <v>311</v>
      </c>
      <c r="D82" s="10" t="s">
        <v>1212</v>
      </c>
      <c r="E82" s="46" t="str">
        <f t="shared" si="1"/>
        <v>firstname078.lastname078@example.com</v>
      </c>
      <c r="F82" s="9"/>
      <c r="G82" s="9"/>
    </row>
    <row r="83" spans="1:7" x14ac:dyDescent="0.35">
      <c r="A83" s="46" t="str">
        <f>IF($C83="","",$C83&amp;"-"&amp;TEXT(COUNTIF($C$5:$C83,$C83),"000")&amp;"-"&amp;IF($D83="","TBD",$D83))</f>
        <v>PSW-019-A7</v>
      </c>
      <c r="B83" s="9" t="s">
        <v>995</v>
      </c>
      <c r="C83" s="10" t="s">
        <v>311</v>
      </c>
      <c r="D83" s="10" t="s">
        <v>1214</v>
      </c>
      <c r="E83" s="46" t="str">
        <f t="shared" si="1"/>
        <v>firstname079.lastname079@example.com</v>
      </c>
      <c r="F83" s="9"/>
      <c r="G83" s="9"/>
    </row>
    <row r="84" spans="1:7" x14ac:dyDescent="0.35">
      <c r="A84" s="46" t="str">
        <f>IF($C84="","",$C84&amp;"-"&amp;TEXT(COUNTIF($C$5:$C84,$C84),"000")&amp;"-"&amp;IF($D84="","TBD",$D84))</f>
        <v>PSW-020-A6</v>
      </c>
      <c r="B84" s="9" t="s">
        <v>996</v>
      </c>
      <c r="C84" s="10" t="s">
        <v>311</v>
      </c>
      <c r="D84" s="10" t="s">
        <v>1213</v>
      </c>
      <c r="E84" s="46" t="str">
        <f t="shared" si="1"/>
        <v>firstname080.lastname080@example.com</v>
      </c>
      <c r="F84" s="9"/>
      <c r="G84" s="9"/>
    </row>
    <row r="85" spans="1:7" x14ac:dyDescent="0.35">
      <c r="A85" s="46" t="str">
        <f>IF($C85="","",$C85&amp;"-"&amp;TEXT(COUNTIF($C$5:$C85,$C85),"000")&amp;"-"&amp;IF($D85="","TBD",$D85))</f>
        <v>PSW-021-A5</v>
      </c>
      <c r="B85" s="9" t="s">
        <v>997</v>
      </c>
      <c r="C85" s="10" t="s">
        <v>311</v>
      </c>
      <c r="D85" s="10" t="s">
        <v>1212</v>
      </c>
      <c r="E85" s="46" t="str">
        <f t="shared" si="1"/>
        <v>firstname081.lastname081@example.com</v>
      </c>
      <c r="F85" s="9"/>
      <c r="G85" s="9"/>
    </row>
    <row r="86" spans="1:7" x14ac:dyDescent="0.35">
      <c r="A86" s="46" t="str">
        <f>IF($C86="","",$C86&amp;"-"&amp;TEXT(COUNTIF($C$5:$C86,$C86),"000")&amp;"-"&amp;IF($D86="","TBD",$D86))</f>
        <v>PSW-022-A4</v>
      </c>
      <c r="B86" s="9" t="s">
        <v>998</v>
      </c>
      <c r="C86" s="10" t="s">
        <v>311</v>
      </c>
      <c r="D86" s="10" t="s">
        <v>1211</v>
      </c>
      <c r="E86" s="46" t="str">
        <f t="shared" si="1"/>
        <v>firstname082.lastname082@example.com</v>
      </c>
      <c r="F86" s="9"/>
      <c r="G86" s="9"/>
    </row>
    <row r="87" spans="1:7" x14ac:dyDescent="0.35">
      <c r="A87" s="46" t="str">
        <f>IF($C87="","",$C87&amp;"-"&amp;TEXT(COUNTIF($C$5:$C87,$C87),"000")&amp;"-"&amp;IF($D87="","TBD",$D87))</f>
        <v>PSW-023-A6</v>
      </c>
      <c r="B87" s="9" t="s">
        <v>999</v>
      </c>
      <c r="C87" s="10" t="s">
        <v>311</v>
      </c>
      <c r="D87" s="10" t="s">
        <v>1213</v>
      </c>
      <c r="E87" s="46" t="str">
        <f t="shared" si="1"/>
        <v>firstname083.lastname083@example.com</v>
      </c>
      <c r="F87" s="9"/>
      <c r="G87" s="9"/>
    </row>
    <row r="88" spans="1:7" x14ac:dyDescent="0.35">
      <c r="A88" s="46" t="str">
        <f>IF($C88="","",$C88&amp;"-"&amp;TEXT(COUNTIF($C$5:$C88,$C88),"000")&amp;"-"&amp;IF($D88="","TBD",$D88))</f>
        <v>PSW-024-A4</v>
      </c>
      <c r="B88" s="9" t="s">
        <v>1000</v>
      </c>
      <c r="C88" s="10" t="s">
        <v>311</v>
      </c>
      <c r="D88" s="10" t="s">
        <v>1211</v>
      </c>
      <c r="E88" s="46" t="str">
        <f t="shared" si="1"/>
        <v>firstname084.lastname084@example.com</v>
      </c>
      <c r="F88" s="9"/>
      <c r="G88" s="9"/>
    </row>
    <row r="89" spans="1:7" x14ac:dyDescent="0.35">
      <c r="A89" s="46" t="str">
        <f>IF($C89="","",$C89&amp;"-"&amp;TEXT(COUNTIF($C$5:$C89,$C89),"000")&amp;"-"&amp;IF($D89="","TBD",$D89))</f>
        <v>PSW-025-A4</v>
      </c>
      <c r="B89" s="9" t="s">
        <v>1001</v>
      </c>
      <c r="C89" s="10" t="s">
        <v>311</v>
      </c>
      <c r="D89" s="10" t="s">
        <v>1211</v>
      </c>
      <c r="E89" s="46" t="str">
        <f t="shared" si="1"/>
        <v>firstname085.lastname085@example.com</v>
      </c>
      <c r="F89" s="9"/>
      <c r="G89" s="9"/>
    </row>
    <row r="90" spans="1:7" x14ac:dyDescent="0.35">
      <c r="A90" s="46" t="str">
        <f>IF($C90="","",$C90&amp;"-"&amp;TEXT(COUNTIF($C$5:$C90,$C90),"000")&amp;"-"&amp;IF($D90="","TBD",$D90))</f>
        <v>PSW-026-A5</v>
      </c>
      <c r="B90" s="9" t="s">
        <v>1001</v>
      </c>
      <c r="C90" s="10" t="s">
        <v>311</v>
      </c>
      <c r="D90" s="10" t="s">
        <v>1212</v>
      </c>
      <c r="E90" s="46" t="str">
        <f t="shared" si="1"/>
        <v>firstname085.lastname085@example.com</v>
      </c>
      <c r="F90" s="9"/>
      <c r="G90" s="9"/>
    </row>
    <row r="91" spans="1:7" x14ac:dyDescent="0.35">
      <c r="A91" s="46" t="str">
        <f>IF($C91="","",$C91&amp;"-"&amp;TEXT(COUNTIF($C$5:$C91,$C91),"000")&amp;"-"&amp;IF($D91="","TBD",$D91))</f>
        <v>PSW-027-A6</v>
      </c>
      <c r="B91" s="9" t="s">
        <v>1002</v>
      </c>
      <c r="C91" s="10" t="s">
        <v>311</v>
      </c>
      <c r="D91" s="10" t="s">
        <v>1213</v>
      </c>
      <c r="E91" s="46" t="str">
        <f t="shared" si="1"/>
        <v>firstname086.lastname086@example.com</v>
      </c>
      <c r="F91" s="9"/>
      <c r="G91" s="9"/>
    </row>
    <row r="92" spans="1:7" x14ac:dyDescent="0.35">
      <c r="A92" s="46" t="str">
        <f>IF($C92="","",$C92&amp;"-"&amp;TEXT(COUNTIF($C$5:$C92,$C92),"000")&amp;"-"&amp;IF($D92="","TBD",$D92))</f>
        <v>PSW-028-A4</v>
      </c>
      <c r="B92" s="9" t="s">
        <v>1003</v>
      </c>
      <c r="C92" s="10" t="s">
        <v>311</v>
      </c>
      <c r="D92" s="10" t="s">
        <v>1211</v>
      </c>
      <c r="E92" s="46" t="str">
        <f t="shared" si="1"/>
        <v>firstname087.lastname087@example.com</v>
      </c>
      <c r="F92" s="9"/>
      <c r="G92" s="9"/>
    </row>
    <row r="93" spans="1:7" x14ac:dyDescent="0.35">
      <c r="A93" s="46" t="str">
        <f>IF($C93="","",$C93&amp;"-"&amp;TEXT(COUNTIF($C$5:$C93,$C93),"000")&amp;"-"&amp;IF($D93="","TBD",$D93))</f>
        <v>PSW-029-A5</v>
      </c>
      <c r="B93" s="9" t="s">
        <v>1004</v>
      </c>
      <c r="C93" s="10" t="s">
        <v>311</v>
      </c>
      <c r="D93" s="10" t="s">
        <v>1212</v>
      </c>
      <c r="E93" s="46" t="str">
        <f t="shared" si="1"/>
        <v>firstname088.lastname088@example.com</v>
      </c>
      <c r="F93" s="9"/>
      <c r="G93" s="9"/>
    </row>
    <row r="94" spans="1:7" x14ac:dyDescent="0.35">
      <c r="A94" s="46" t="str">
        <f>IF($C94="","",$C94&amp;"-"&amp;TEXT(COUNTIF($C$5:$C94,$C94),"000")&amp;"-"&amp;IF($D94="","TBD",$D94))</f>
        <v>PSW-030-A4</v>
      </c>
      <c r="B94" s="9" t="s">
        <v>1005</v>
      </c>
      <c r="C94" s="10" t="s">
        <v>311</v>
      </c>
      <c r="D94" s="10" t="s">
        <v>1211</v>
      </c>
      <c r="E94" s="46" t="str">
        <f t="shared" si="1"/>
        <v>firstname089.lastname089@example.com</v>
      </c>
      <c r="F94" s="9"/>
      <c r="G94" s="9"/>
    </row>
    <row r="95" spans="1:7" x14ac:dyDescent="0.35">
      <c r="A95" s="46" t="str">
        <f>IF($C95="","",$C95&amp;"-"&amp;TEXT(COUNTIF($C$5:$C95,$C95),"000")&amp;"-"&amp;IF($D95="","TBD",$D95))</f>
        <v>PSW-031-A4</v>
      </c>
      <c r="B95" s="9" t="s">
        <v>1006</v>
      </c>
      <c r="C95" s="10" t="s">
        <v>311</v>
      </c>
      <c r="D95" s="10" t="s">
        <v>1211</v>
      </c>
      <c r="E95" s="46" t="str">
        <f t="shared" si="1"/>
        <v>firstname090.lastname090@example.com</v>
      </c>
      <c r="F95" s="9"/>
      <c r="G95" s="9"/>
    </row>
    <row r="96" spans="1:7" x14ac:dyDescent="0.35">
      <c r="A96" s="46" t="str">
        <f>IF($C96="","",$C96&amp;"-"&amp;TEXT(COUNTIF($C$5:$C96,$C96),"000")&amp;"-"&amp;IF($D96="","TBD",$D96))</f>
        <v>PSW-032-A6</v>
      </c>
      <c r="B96" s="9" t="s">
        <v>1007</v>
      </c>
      <c r="C96" s="10" t="s">
        <v>311</v>
      </c>
      <c r="D96" s="10" t="s">
        <v>1213</v>
      </c>
      <c r="E96" s="46" t="str">
        <f t="shared" si="1"/>
        <v>firstname091.lastname091@example.com</v>
      </c>
      <c r="F96" s="9"/>
      <c r="G96" s="9"/>
    </row>
    <row r="97" spans="1:7" x14ac:dyDescent="0.35">
      <c r="A97" s="46" t="str">
        <f>IF($C97="","",$C97&amp;"-"&amp;TEXT(COUNTIF($C$5:$C97,$C97),"000")&amp;"-"&amp;IF($D97="","TBD",$D97))</f>
        <v>PSW-033-A4</v>
      </c>
      <c r="B97" s="9" t="s">
        <v>1008</v>
      </c>
      <c r="C97" s="10" t="s">
        <v>311</v>
      </c>
      <c r="D97" s="10" t="s">
        <v>1211</v>
      </c>
      <c r="E97" s="46" t="str">
        <f t="shared" si="1"/>
        <v>firstname092.lastname092@example.com</v>
      </c>
      <c r="F97" s="9"/>
      <c r="G97" s="9"/>
    </row>
    <row r="98" spans="1:7" x14ac:dyDescent="0.35">
      <c r="A98" s="46" t="str">
        <f>IF($C98="","",$C98&amp;"-"&amp;TEXT(COUNTIF($C$5:$C98,$C98),"000")&amp;"-"&amp;IF($D98="","TBD",$D98))</f>
        <v>PSW-034-A5</v>
      </c>
      <c r="B98" s="9" t="s">
        <v>1009</v>
      </c>
      <c r="C98" s="10" t="s">
        <v>311</v>
      </c>
      <c r="D98" s="10" t="s">
        <v>1212</v>
      </c>
      <c r="E98" s="46" t="str">
        <f t="shared" si="1"/>
        <v>firstname093.lastname093@example.com</v>
      </c>
      <c r="F98" s="9"/>
      <c r="G98" s="9"/>
    </row>
    <row r="99" spans="1:7" x14ac:dyDescent="0.35">
      <c r="A99" s="46" t="str">
        <f>IF($C99="","",$C99&amp;"-"&amp;TEXT(COUNTIF($C$5:$C99,$C99),"000")&amp;"-"&amp;IF($D99="","TBD",$D99))</f>
        <v>PSW-035-A5</v>
      </c>
      <c r="B99" s="9" t="s">
        <v>1010</v>
      </c>
      <c r="C99" s="10" t="s">
        <v>311</v>
      </c>
      <c r="D99" s="10" t="s">
        <v>1212</v>
      </c>
      <c r="E99" s="46" t="str">
        <f t="shared" si="1"/>
        <v>firstname094.lastname094@example.com</v>
      </c>
      <c r="F99" s="9"/>
      <c r="G99" s="9"/>
    </row>
    <row r="100" spans="1:7" x14ac:dyDescent="0.35">
      <c r="A100" s="46" t="str">
        <f>IF($C100="","",$C100&amp;"-"&amp;TEXT(COUNTIF($C$5:$C100,$C100),"000")&amp;"-"&amp;IF($D100="","TBD",$D100))</f>
        <v>PSW-036-A7</v>
      </c>
      <c r="B100" s="9" t="s">
        <v>1011</v>
      </c>
      <c r="C100" s="10" t="s">
        <v>311</v>
      </c>
      <c r="D100" s="10" t="s">
        <v>1214</v>
      </c>
      <c r="E100" s="46" t="str">
        <f t="shared" si="1"/>
        <v>firstname095.lastname095@example.com</v>
      </c>
      <c r="F100" s="9"/>
      <c r="G100" s="9"/>
    </row>
    <row r="101" spans="1:7" x14ac:dyDescent="0.35">
      <c r="A101" s="46" t="str">
        <f>IF($C101="","",$C101&amp;"-"&amp;TEXT(COUNTIF($C$5:$C101,$C101),"000")&amp;"-"&amp;IF($D101="","TBD",$D101))</f>
        <v>PSW-037-A4</v>
      </c>
      <c r="B101" s="9" t="s">
        <v>1012</v>
      </c>
      <c r="C101" s="10" t="s">
        <v>311</v>
      </c>
      <c r="D101" s="10" t="s">
        <v>1211</v>
      </c>
      <c r="E101" s="46" t="str">
        <f t="shared" si="1"/>
        <v>firstname096.lastname096@example.com</v>
      </c>
      <c r="F101" s="9"/>
      <c r="G101" s="9"/>
    </row>
    <row r="102" spans="1:7" x14ac:dyDescent="0.35">
      <c r="A102" s="46" t="str">
        <f>IF($C102="","",$C102&amp;"-"&amp;TEXT(COUNTIF($C$5:$C102,$C102),"000")&amp;"-"&amp;IF($D102="","TBD",$D102))</f>
        <v>PSW-038-A6</v>
      </c>
      <c r="B102" s="9" t="s">
        <v>1013</v>
      </c>
      <c r="C102" s="10" t="s">
        <v>311</v>
      </c>
      <c r="D102" s="10" t="s">
        <v>1213</v>
      </c>
      <c r="E102" s="46" t="str">
        <f t="shared" si="1"/>
        <v>firstname097.lastname097@example.com</v>
      </c>
      <c r="F102" s="9"/>
      <c r="G102" s="9"/>
    </row>
    <row r="103" spans="1:7" x14ac:dyDescent="0.35">
      <c r="A103" s="46" t="str">
        <f>IF($C103="","",$C103&amp;"-"&amp;TEXT(COUNTIF($C$5:$C103,$C103),"000")&amp;"-"&amp;IF($D103="","TBD",$D103))</f>
        <v>PSW-039-A5</v>
      </c>
      <c r="B103" s="9" t="s">
        <v>1014</v>
      </c>
      <c r="C103" s="10" t="s">
        <v>311</v>
      </c>
      <c r="D103" s="10" t="s">
        <v>1212</v>
      </c>
      <c r="E103" s="46" t="str">
        <f t="shared" si="1"/>
        <v>firstname098.lastname098@example.com</v>
      </c>
      <c r="F103" s="9"/>
      <c r="G103" s="9"/>
    </row>
    <row r="104" spans="1:7" x14ac:dyDescent="0.35">
      <c r="A104" s="46" t="str">
        <f>IF($C104="","",$C104&amp;"-"&amp;TEXT(COUNTIF($C$5:$C104,$C104),"000")&amp;"-"&amp;IF($D104="","TBD",$D104))</f>
        <v>PSW-040-A6</v>
      </c>
      <c r="B104" s="9" t="s">
        <v>1015</v>
      </c>
      <c r="C104" s="10" t="s">
        <v>311</v>
      </c>
      <c r="D104" s="10" t="s">
        <v>1213</v>
      </c>
      <c r="E104" s="46" t="str">
        <f t="shared" si="1"/>
        <v>firstname099.lastname099@example.com</v>
      </c>
      <c r="F104" s="9"/>
      <c r="G104" s="9"/>
    </row>
    <row r="105" spans="1:7" x14ac:dyDescent="0.35">
      <c r="A105" s="46" t="str">
        <f>IF($C105="","",$C105&amp;"-"&amp;TEXT(COUNTIF($C$5:$C105,$C105),"000")&amp;"-"&amp;IF($D105="","TBD",$D105))</f>
        <v>PSW-041-A4</v>
      </c>
      <c r="B105" s="9" t="s">
        <v>1016</v>
      </c>
      <c r="C105" s="10" t="s">
        <v>311</v>
      </c>
      <c r="D105" s="10" t="s">
        <v>1211</v>
      </c>
      <c r="E105" s="46" t="str">
        <f t="shared" si="1"/>
        <v>firstname100.lastname100@example.com</v>
      </c>
      <c r="F105" s="9"/>
      <c r="G105" s="9"/>
    </row>
    <row r="106" spans="1:7" x14ac:dyDescent="0.35">
      <c r="A106" s="46" t="str">
        <f>IF($C106="","",$C106&amp;"-"&amp;TEXT(COUNTIF($C$5:$C106,$C106),"000")&amp;"-"&amp;IF($D106="","TBD",$D106))</f>
        <v>PSW-042-A4</v>
      </c>
      <c r="B106" s="9" t="s">
        <v>1017</v>
      </c>
      <c r="C106" s="10" t="s">
        <v>311</v>
      </c>
      <c r="D106" s="10" t="s">
        <v>1211</v>
      </c>
      <c r="E106" s="46" t="str">
        <f t="shared" si="1"/>
        <v>firstname101.lastname101@example.com</v>
      </c>
      <c r="F106" s="9"/>
      <c r="G106" s="9"/>
    </row>
    <row r="107" spans="1:7" x14ac:dyDescent="0.35">
      <c r="A107" s="46" t="str">
        <f>IF($C107="","",$C107&amp;"-"&amp;TEXT(COUNTIF($C$5:$C107,$C107),"000")&amp;"-"&amp;IF($D107="","TBD",$D107))</f>
        <v>PSW-043-A5</v>
      </c>
      <c r="B107" s="9" t="s">
        <v>1018</v>
      </c>
      <c r="C107" s="10" t="s">
        <v>311</v>
      </c>
      <c r="D107" s="10" t="s">
        <v>1212</v>
      </c>
      <c r="E107" s="46" t="str">
        <f t="shared" si="1"/>
        <v>firstname102.lastname102@example.com</v>
      </c>
      <c r="F107" s="9"/>
      <c r="G107" s="9"/>
    </row>
    <row r="108" spans="1:7" x14ac:dyDescent="0.35">
      <c r="A108" s="46" t="str">
        <f>IF($C108="","",$C108&amp;"-"&amp;TEXT(COUNTIF($C$5:$C108,$C108),"000")&amp;"-"&amp;IF($D108="","TBD",$D108))</f>
        <v>PSW-044-A4</v>
      </c>
      <c r="B108" s="9" t="s">
        <v>1019</v>
      </c>
      <c r="C108" s="10" t="s">
        <v>311</v>
      </c>
      <c r="D108" s="10" t="s">
        <v>1211</v>
      </c>
      <c r="E108" s="46" t="str">
        <f t="shared" si="1"/>
        <v>firstname103.lastname103@example.com</v>
      </c>
      <c r="F108" s="9"/>
      <c r="G108" s="9"/>
    </row>
    <row r="109" spans="1:7" x14ac:dyDescent="0.35">
      <c r="A109" s="46" t="str">
        <f>IF($C109="","",$C109&amp;"-"&amp;TEXT(COUNTIF($C$5:$C109,$C109),"000")&amp;"-"&amp;IF($D109="","TBD",$D109))</f>
        <v>PSW-045-A4</v>
      </c>
      <c r="B109" s="9" t="s">
        <v>1020</v>
      </c>
      <c r="C109" s="10" t="s">
        <v>311</v>
      </c>
      <c r="D109" s="10" t="s">
        <v>1211</v>
      </c>
      <c r="E109" s="46" t="str">
        <f t="shared" si="1"/>
        <v>firstname104.lastname104@example.com</v>
      </c>
      <c r="F109" s="9"/>
      <c r="G109" s="9"/>
    </row>
    <row r="110" spans="1:7" x14ac:dyDescent="0.35">
      <c r="A110" s="46" t="str">
        <f>IF($C110="","",$C110&amp;"-"&amp;TEXT(COUNTIF($C$5:$C110,$C110),"000")&amp;"-"&amp;IF($D110="","TBD",$D110))</f>
        <v>TL/RPN-001-A8</v>
      </c>
      <c r="B110" s="9" t="s">
        <v>1021</v>
      </c>
      <c r="C110" s="10" t="s">
        <v>312</v>
      </c>
      <c r="D110" s="10" t="s">
        <v>1215</v>
      </c>
      <c r="E110" s="46" t="str">
        <f t="shared" si="1"/>
        <v>firstname105.lastname105@example.com</v>
      </c>
      <c r="F110" s="9"/>
      <c r="G110" s="9"/>
    </row>
    <row r="111" spans="1:7" x14ac:dyDescent="0.35">
      <c r="A111" s="46" t="str">
        <f>IF($C111="","",$C111&amp;"-"&amp;TEXT(COUNTIF($C$5:$C111,$C111),"000")&amp;"-"&amp;IF($D111="","TBD",$D111))</f>
        <v>PSW-046-A4</v>
      </c>
      <c r="B111" s="9" t="s">
        <v>1022</v>
      </c>
      <c r="C111" s="10" t="s">
        <v>311</v>
      </c>
      <c r="D111" s="10" t="s">
        <v>1211</v>
      </c>
      <c r="E111" s="46" t="str">
        <f t="shared" si="1"/>
        <v>firstname106.lastname106@example.com</v>
      </c>
      <c r="F111" s="9"/>
      <c r="G111" s="9"/>
    </row>
    <row r="112" spans="1:7" x14ac:dyDescent="0.35">
      <c r="A112" s="46" t="str">
        <f>IF($C112="","",$C112&amp;"-"&amp;TEXT(COUNTIF($C$5:$C112,$C112),"000")&amp;"-"&amp;IF($D112="","TBD",$D112))</f>
        <v>PSW-047-A5</v>
      </c>
      <c r="B112" s="9" t="s">
        <v>1023</v>
      </c>
      <c r="C112" s="10" t="s">
        <v>311</v>
      </c>
      <c r="D112" s="10" t="s">
        <v>1212</v>
      </c>
      <c r="E112" s="46" t="str">
        <f t="shared" si="1"/>
        <v>firstname107.lastname107@example.com</v>
      </c>
      <c r="F112" s="9"/>
      <c r="G112" s="9"/>
    </row>
    <row r="113" spans="1:7" x14ac:dyDescent="0.35">
      <c r="A113" s="46" t="str">
        <f>IF($C113="","",$C113&amp;"-"&amp;TEXT(COUNTIF($C$5:$C113,$C113),"000")&amp;"-"&amp;IF($D113="","TBD",$D113))</f>
        <v>PSW-048-A5</v>
      </c>
      <c r="B113" s="9" t="s">
        <v>1024</v>
      </c>
      <c r="C113" s="10" t="s">
        <v>311</v>
      </c>
      <c r="D113" s="10" t="s">
        <v>1212</v>
      </c>
      <c r="E113" s="46" t="str">
        <f t="shared" si="1"/>
        <v>firstname108.lastname108@example.com</v>
      </c>
      <c r="F113" s="9"/>
      <c r="G113" s="9"/>
    </row>
    <row r="114" spans="1:7" x14ac:dyDescent="0.35">
      <c r="A114" s="46" t="str">
        <f>IF($C114="","",$C114&amp;"-"&amp;TEXT(COUNTIF($C$5:$C114,$C114),"000")&amp;"-"&amp;IF($D114="","TBD",$D114))</f>
        <v>PSW-049-A4</v>
      </c>
      <c r="B114" s="9" t="s">
        <v>1025</v>
      </c>
      <c r="C114" s="10" t="s">
        <v>311</v>
      </c>
      <c r="D114" s="10" t="s">
        <v>1211</v>
      </c>
      <c r="E114" s="46" t="str">
        <f t="shared" si="1"/>
        <v>firstname109.lastname109@example.com</v>
      </c>
      <c r="F114" s="9"/>
      <c r="G114" s="9"/>
    </row>
    <row r="115" spans="1:7" x14ac:dyDescent="0.35">
      <c r="A115" s="46" t="str">
        <f>IF($C115="","",$C115&amp;"-"&amp;TEXT(COUNTIF($C$5:$C115,$C115),"000")&amp;"-"&amp;IF($D115="","TBD",$D115))</f>
        <v>PSW-050-A7</v>
      </c>
      <c r="B115" s="9" t="s">
        <v>1026</v>
      </c>
      <c r="C115" s="10" t="s">
        <v>311</v>
      </c>
      <c r="D115" s="10" t="s">
        <v>1214</v>
      </c>
      <c r="E115" s="46" t="str">
        <f t="shared" si="1"/>
        <v>firstname110.lastname110@example.com</v>
      </c>
      <c r="F115" s="9"/>
      <c r="G115" s="9"/>
    </row>
    <row r="116" spans="1:7" x14ac:dyDescent="0.35">
      <c r="A116" s="46" t="str">
        <f>IF($C116="","",$C116&amp;"-"&amp;TEXT(COUNTIF($C$5:$C116,$C116),"000")&amp;"-"&amp;IF($D116="","TBD",$D116))</f>
        <v>PSW-051-A4</v>
      </c>
      <c r="B116" s="9" t="s">
        <v>1027</v>
      </c>
      <c r="C116" s="10" t="s">
        <v>311</v>
      </c>
      <c r="D116" s="10" t="s">
        <v>1211</v>
      </c>
      <c r="E116" s="46" t="str">
        <f t="shared" si="1"/>
        <v>firstname111.lastname111@example.com</v>
      </c>
      <c r="F116" s="9"/>
      <c r="G116" s="9"/>
    </row>
    <row r="117" spans="1:7" x14ac:dyDescent="0.35">
      <c r="A117" s="46" t="str">
        <f>IF($C117="","",$C117&amp;"-"&amp;TEXT(COUNTIF($C$5:$C117,$C117),"000")&amp;"-"&amp;IF($D117="","TBD",$D117))</f>
        <v>PSW-052-A5</v>
      </c>
      <c r="B117" s="9" t="s">
        <v>1028</v>
      </c>
      <c r="C117" s="10" t="s">
        <v>311</v>
      </c>
      <c r="D117" s="10" t="s">
        <v>1212</v>
      </c>
      <c r="E117" s="46" t="str">
        <f t="shared" si="1"/>
        <v>firstname112.lastname112@example.com</v>
      </c>
      <c r="F117" s="9"/>
      <c r="G117" s="9"/>
    </row>
    <row r="118" spans="1:7" x14ac:dyDescent="0.35">
      <c r="A118" s="46" t="str">
        <f>IF($C118="","",$C118&amp;"-"&amp;TEXT(COUNTIF($C$5:$C118,$C118),"000")&amp;"-"&amp;IF($D118="","TBD",$D118))</f>
        <v>PSW-053-A4</v>
      </c>
      <c r="B118" s="9" t="s">
        <v>1029</v>
      </c>
      <c r="C118" s="10" t="s">
        <v>311</v>
      </c>
      <c r="D118" s="10" t="s">
        <v>1211</v>
      </c>
      <c r="E118" s="46" t="str">
        <f t="shared" si="1"/>
        <v>firstname113.lastname113@example.com</v>
      </c>
      <c r="F118" s="9"/>
      <c r="G118" s="9"/>
    </row>
    <row r="119" spans="1:7" x14ac:dyDescent="0.35">
      <c r="A119" s="46" t="str">
        <f>IF($C119="","",$C119&amp;"-"&amp;TEXT(COUNTIF($C$5:$C119,$C119),"000")&amp;"-"&amp;IF($D119="","TBD",$D119))</f>
        <v>PSW-054-A6</v>
      </c>
      <c r="B119" s="9" t="s">
        <v>1030</v>
      </c>
      <c r="C119" s="10" t="s">
        <v>311</v>
      </c>
      <c r="D119" s="10" t="s">
        <v>1213</v>
      </c>
      <c r="E119" s="46" t="str">
        <f t="shared" si="1"/>
        <v>firstname114.lastname114@example.com</v>
      </c>
      <c r="F119" s="9"/>
      <c r="G119" s="9"/>
    </row>
    <row r="120" spans="1:7" x14ac:dyDescent="0.35">
      <c r="A120" s="46" t="str">
        <f>IF($C120="","",$C120&amp;"-"&amp;TEXT(COUNTIF($C$5:$C120,$C120),"000")&amp;"-"&amp;IF($D120="","TBD",$D120))</f>
        <v>PSW-055-A4</v>
      </c>
      <c r="B120" s="9" t="s">
        <v>1031</v>
      </c>
      <c r="C120" s="10" t="s">
        <v>311</v>
      </c>
      <c r="D120" s="10" t="s">
        <v>1211</v>
      </c>
      <c r="E120" s="46" t="str">
        <f t="shared" si="1"/>
        <v>firstname115.lastname115@example.com</v>
      </c>
      <c r="F120" s="9"/>
      <c r="G120" s="9"/>
    </row>
    <row r="121" spans="1:7" x14ac:dyDescent="0.35">
      <c r="A121" s="46" t="str">
        <f>IF($C121="","",$C121&amp;"-"&amp;TEXT(COUNTIF($C$5:$C121,$C121),"000")&amp;"-"&amp;IF($D121="","TBD",$D121))</f>
        <v>PSW-056-A6</v>
      </c>
      <c r="B121" s="9" t="s">
        <v>1032</v>
      </c>
      <c r="C121" s="10" t="s">
        <v>311</v>
      </c>
      <c r="D121" s="10" t="s">
        <v>1213</v>
      </c>
      <c r="E121" s="46" t="str">
        <f t="shared" si="1"/>
        <v>firstname116.lastname116@example.com</v>
      </c>
      <c r="F121" s="9"/>
      <c r="G121" s="9"/>
    </row>
    <row r="122" spans="1:7" x14ac:dyDescent="0.35">
      <c r="A122" s="46" t="str">
        <f>IF($C122="","",$C122&amp;"-"&amp;TEXT(COUNTIF($C$5:$C122,$C122),"000")&amp;"-"&amp;IF($D122="","TBD",$D122))</f>
        <v>PSW-057-A5</v>
      </c>
      <c r="B122" s="9" t="s">
        <v>1033</v>
      </c>
      <c r="C122" s="10" t="s">
        <v>311</v>
      </c>
      <c r="D122" s="10" t="s">
        <v>1212</v>
      </c>
      <c r="E122" s="46" t="str">
        <f t="shared" si="1"/>
        <v>firstname117.lastname117@example.com</v>
      </c>
      <c r="F122" s="9"/>
      <c r="G122" s="9"/>
    </row>
    <row r="123" spans="1:7" x14ac:dyDescent="0.35">
      <c r="A123" s="46" t="str">
        <f>IF($C123="","",$C123&amp;"-"&amp;TEXT(COUNTIF($C$5:$C123,$C123),"000")&amp;"-"&amp;IF($D123="","TBD",$D123))</f>
        <v>PSW-058-A5</v>
      </c>
      <c r="B123" s="9" t="s">
        <v>1034</v>
      </c>
      <c r="C123" s="10" t="s">
        <v>311</v>
      </c>
      <c r="D123" s="10" t="s">
        <v>1212</v>
      </c>
      <c r="E123" s="46" t="str">
        <f t="shared" si="1"/>
        <v>firstname118.lastname118@example.com</v>
      </c>
      <c r="F123" s="9"/>
      <c r="G123" s="9"/>
    </row>
    <row r="124" spans="1:7" x14ac:dyDescent="0.35">
      <c r="A124" s="46" t="str">
        <f>IF($C124="","",$C124&amp;"-"&amp;TEXT(COUNTIF($C$5:$C124,$C124),"000")&amp;"-"&amp;IF($D124="","TBD",$D124))</f>
        <v>PSW-059-A6</v>
      </c>
      <c r="B124" s="9" t="s">
        <v>1035</v>
      </c>
      <c r="C124" s="10" t="s">
        <v>311</v>
      </c>
      <c r="D124" s="10" t="s">
        <v>1213</v>
      </c>
      <c r="E124" s="46" t="str">
        <f t="shared" si="1"/>
        <v>firstname119.lastname119@example.com</v>
      </c>
      <c r="F124" s="9"/>
      <c r="G124" s="9"/>
    </row>
    <row r="125" spans="1:7" x14ac:dyDescent="0.35">
      <c r="A125" s="46" t="str">
        <f>IF($C125="","",$C125&amp;"-"&amp;TEXT(COUNTIF($C$5:$C125,$C125),"000")&amp;"-"&amp;IF($D125="","TBD",$D125))</f>
        <v>PSW-060-A6</v>
      </c>
      <c r="B125" s="9" t="s">
        <v>1036</v>
      </c>
      <c r="C125" s="10" t="s">
        <v>311</v>
      </c>
      <c r="D125" s="10" t="s">
        <v>1213</v>
      </c>
      <c r="E125" s="46" t="str">
        <f t="shared" si="1"/>
        <v>firstname120.lastname120@example.com</v>
      </c>
      <c r="F125" s="9"/>
      <c r="G125" s="9"/>
    </row>
    <row r="126" spans="1:7" x14ac:dyDescent="0.35">
      <c r="A126" s="46" t="str">
        <f>IF($C126="","",$C126&amp;"-"&amp;TEXT(COUNTIF($C$5:$C126,$C126),"000")&amp;"-"&amp;IF($D126="","TBD",$D126))</f>
        <v>PSW-061-A5</v>
      </c>
      <c r="B126" s="9" t="s">
        <v>1037</v>
      </c>
      <c r="C126" s="10" t="s">
        <v>311</v>
      </c>
      <c r="D126" s="10" t="s">
        <v>1212</v>
      </c>
      <c r="E126" s="46" t="str">
        <f t="shared" si="1"/>
        <v>firstname121.lastname121@example.com</v>
      </c>
      <c r="F126" s="9"/>
      <c r="G126" s="9"/>
    </row>
    <row r="127" spans="1:7" x14ac:dyDescent="0.35">
      <c r="A127" s="46" t="str">
        <f>IF($C127="","",$C127&amp;"-"&amp;TEXT(COUNTIF($C$5:$C127,$C127),"000")&amp;"-"&amp;IF($D127="","TBD",$D127))</f>
        <v>PSW-062-A5</v>
      </c>
      <c r="B127" s="9" t="s">
        <v>1038</v>
      </c>
      <c r="C127" s="10" t="s">
        <v>311</v>
      </c>
      <c r="D127" s="10" t="s">
        <v>1212</v>
      </c>
      <c r="E127" s="46" t="str">
        <f t="shared" si="1"/>
        <v>firstname122.lastname122@example.com</v>
      </c>
      <c r="F127" s="9"/>
      <c r="G127" s="9"/>
    </row>
    <row r="128" spans="1:7" x14ac:dyDescent="0.35">
      <c r="A128" s="46" t="str">
        <f>IF($C128="","",$C128&amp;"-"&amp;TEXT(COUNTIF($C$5:$C128,$C128),"000")&amp;"-"&amp;IF($D128="","TBD",$D128))</f>
        <v>PSW-063-A6</v>
      </c>
      <c r="B128" s="9" t="s">
        <v>1039</v>
      </c>
      <c r="C128" s="10" t="s">
        <v>311</v>
      </c>
      <c r="D128" s="10" t="s">
        <v>1213</v>
      </c>
      <c r="E128" s="46" t="str">
        <f t="shared" si="1"/>
        <v>firstname123.lastname123@example.com</v>
      </c>
      <c r="F128" s="9"/>
      <c r="G128" s="9"/>
    </row>
    <row r="129" spans="1:7" x14ac:dyDescent="0.35">
      <c r="A129" s="46" t="str">
        <f>IF($C129="","",$C129&amp;"-"&amp;TEXT(COUNTIF($C$5:$C129,$C129),"000")&amp;"-"&amp;IF($D129="","TBD",$D129))</f>
        <v>PSW-064-A7</v>
      </c>
      <c r="B129" s="9" t="s">
        <v>1040</v>
      </c>
      <c r="C129" s="10" t="s">
        <v>311</v>
      </c>
      <c r="D129" s="10" t="s">
        <v>1214</v>
      </c>
      <c r="E129" s="46" t="str">
        <f t="shared" si="1"/>
        <v>firstname124.lastname124@example.com</v>
      </c>
      <c r="F129" s="9"/>
      <c r="G129" s="9"/>
    </row>
    <row r="130" spans="1:7" x14ac:dyDescent="0.35">
      <c r="A130" s="46" t="str">
        <f>IF($C130="","",$C130&amp;"-"&amp;TEXT(COUNTIF($C$5:$C130,$C130),"000")&amp;"-"&amp;IF($D130="","TBD",$D130))</f>
        <v>PSW-065-A4</v>
      </c>
      <c r="B130" s="9" t="s">
        <v>1041</v>
      </c>
      <c r="C130" s="10" t="s">
        <v>311</v>
      </c>
      <c r="D130" s="10" t="s">
        <v>1211</v>
      </c>
      <c r="E130" s="46" t="str">
        <f t="shared" si="1"/>
        <v>firstname125.lastname125@example.com</v>
      </c>
      <c r="F130" s="9"/>
      <c r="G130" s="9"/>
    </row>
    <row r="131" spans="1:7" x14ac:dyDescent="0.35">
      <c r="A131" s="46" t="str">
        <f>IF($C131="","",$C131&amp;"-"&amp;TEXT(COUNTIF($C$5:$C131,$C131),"000")&amp;"-"&amp;IF($D131="","TBD",$D131))</f>
        <v>PSW-066-A5</v>
      </c>
      <c r="B131" s="9" t="s">
        <v>1042</v>
      </c>
      <c r="C131" s="10" t="s">
        <v>311</v>
      </c>
      <c r="D131" s="10" t="s">
        <v>1212</v>
      </c>
      <c r="E131" s="46" t="str">
        <f t="shared" si="1"/>
        <v>firstname126.lastname126@example.com</v>
      </c>
      <c r="F131" s="9"/>
      <c r="G131" s="9"/>
    </row>
    <row r="132" spans="1:7" x14ac:dyDescent="0.35">
      <c r="A132" s="46" t="str">
        <f>IF($C132="","",$C132&amp;"-"&amp;TEXT(COUNTIF($C$5:$C132,$C132),"000")&amp;"-"&amp;IF($D132="","TBD",$D132))</f>
        <v>PSW-067-A7</v>
      </c>
      <c r="B132" s="9" t="s">
        <v>1043</v>
      </c>
      <c r="C132" s="10" t="s">
        <v>311</v>
      </c>
      <c r="D132" s="10" t="s">
        <v>1214</v>
      </c>
      <c r="E132" s="46" t="str">
        <f t="shared" si="1"/>
        <v>firstname127.lastname127@example.com</v>
      </c>
      <c r="F132" s="9"/>
      <c r="G132" s="9"/>
    </row>
    <row r="133" spans="1:7" x14ac:dyDescent="0.35">
      <c r="A133" s="46" t="str">
        <f>IF($C133="","",$C133&amp;"-"&amp;TEXT(COUNTIF($C$5:$C133,$C133),"000")&amp;"-"&amp;IF($D133="","TBD",$D133))</f>
        <v>PSW-068-A7</v>
      </c>
      <c r="B133" s="9" t="s">
        <v>1044</v>
      </c>
      <c r="C133" s="10" t="s">
        <v>311</v>
      </c>
      <c r="D133" s="10" t="s">
        <v>1214</v>
      </c>
      <c r="E133" s="46" t="str">
        <f t="shared" si="1"/>
        <v>firstname128.lastname128@example.com</v>
      </c>
      <c r="F133" s="9"/>
      <c r="G133" s="9"/>
    </row>
    <row r="134" spans="1:7" x14ac:dyDescent="0.35">
      <c r="A134" s="46" t="str">
        <f>IF($C134="","",$C134&amp;"-"&amp;TEXT(COUNTIF($C$5:$C134,$C134),"000")&amp;"-"&amp;IF($D134="","TBD",$D134))</f>
        <v>PSW-069-A4</v>
      </c>
      <c r="B134" s="9" t="s">
        <v>1045</v>
      </c>
      <c r="C134" s="10" t="s">
        <v>311</v>
      </c>
      <c r="D134" s="10" t="s">
        <v>1211</v>
      </c>
      <c r="E134" s="46" t="str">
        <f t="shared" ref="E134:E197" si="2">IF($B134="","",IFERROR(LOWER(SUBSTITUTE(TRIM(MID($B134,FIND(",",$B134)+1,255))," ",".")&amp;"."&amp;SUBSTITUTE(TRIM(LEFT($B134,FIND(",",$B134)-1))," ","."))&amp;"@example.com",""))</f>
        <v>firstname129.lastname129@example.com</v>
      </c>
      <c r="F134" s="9"/>
      <c r="G134" s="9"/>
    </row>
    <row r="135" spans="1:7" x14ac:dyDescent="0.35">
      <c r="A135" s="46" t="str">
        <f>IF($C135="","",$C135&amp;"-"&amp;TEXT(COUNTIF($C$5:$C135,$C135),"000")&amp;"-"&amp;IF($D135="","TBD",$D135))</f>
        <v>PSW-070-A6</v>
      </c>
      <c r="B135" s="9" t="s">
        <v>1046</v>
      </c>
      <c r="C135" s="10" t="s">
        <v>311</v>
      </c>
      <c r="D135" s="10" t="s">
        <v>1213</v>
      </c>
      <c r="E135" s="46" t="str">
        <f t="shared" si="2"/>
        <v>firstname130.lastname130@example.com</v>
      </c>
      <c r="F135" s="9"/>
      <c r="G135" s="9"/>
    </row>
    <row r="136" spans="1:7" x14ac:dyDescent="0.35">
      <c r="A136" s="46" t="str">
        <f>IF($C136="","",$C136&amp;"-"&amp;TEXT(COUNTIF($C$5:$C136,$C136),"000")&amp;"-"&amp;IF($D136="","TBD",$D136))</f>
        <v>PSW-071-TBD</v>
      </c>
      <c r="B136" s="9" t="s">
        <v>1047</v>
      </c>
      <c r="C136" s="10" t="s">
        <v>311</v>
      </c>
      <c r="D136" s="10"/>
      <c r="E136" s="46" t="str">
        <f t="shared" si="2"/>
        <v>firstname131.lastname131@example.com</v>
      </c>
      <c r="F136" s="9"/>
      <c r="G136" s="9"/>
    </row>
    <row r="137" spans="1:7" x14ac:dyDescent="0.35">
      <c r="A137" s="46" t="str">
        <f>IF($C137="","",$C137&amp;"-"&amp;TEXT(COUNTIF($C$5:$C137,$C137),"000")&amp;"-"&amp;IF($D137="","TBD",$D137))</f>
        <v>PSW-072-A5</v>
      </c>
      <c r="B137" s="9" t="s">
        <v>1048</v>
      </c>
      <c r="C137" s="10" t="s">
        <v>311</v>
      </c>
      <c r="D137" s="10" t="s">
        <v>1212</v>
      </c>
      <c r="E137" s="46" t="str">
        <f t="shared" si="2"/>
        <v>firstname132.lastname132@example.com</v>
      </c>
      <c r="F137" s="9"/>
      <c r="G137" s="9"/>
    </row>
    <row r="138" spans="1:7" x14ac:dyDescent="0.35">
      <c r="A138" s="46" t="str">
        <f>IF($C138="","",$C138&amp;"-"&amp;TEXT(COUNTIF($C$5:$C138,$C138),"000")&amp;"-"&amp;IF($D138="","TBD",$D138))</f>
        <v>PSW-073-A5</v>
      </c>
      <c r="B138" s="9" t="s">
        <v>1049</v>
      </c>
      <c r="C138" s="10" t="s">
        <v>311</v>
      </c>
      <c r="D138" s="10" t="s">
        <v>1212</v>
      </c>
      <c r="E138" s="46" t="str">
        <f t="shared" si="2"/>
        <v>firstname133.lastname133@example.com</v>
      </c>
      <c r="F138" s="9"/>
      <c r="G138" s="9"/>
    </row>
    <row r="139" spans="1:7" x14ac:dyDescent="0.35">
      <c r="A139" s="46" t="str">
        <f>IF($C139="","",$C139&amp;"-"&amp;TEXT(COUNTIF($C$5:$C139,$C139),"000")&amp;"-"&amp;IF($D139="","TBD",$D139))</f>
        <v>PSW-074-A5</v>
      </c>
      <c r="B139" s="9" t="s">
        <v>1050</v>
      </c>
      <c r="C139" s="10" t="s">
        <v>311</v>
      </c>
      <c r="D139" s="10" t="s">
        <v>1212</v>
      </c>
      <c r="E139" s="46" t="str">
        <f t="shared" si="2"/>
        <v>firstname134.lastname134@example.com</v>
      </c>
      <c r="F139" s="9"/>
      <c r="G139" s="9"/>
    </row>
    <row r="140" spans="1:7" x14ac:dyDescent="0.35">
      <c r="A140" s="46" t="str">
        <f>IF($C140="","",$C140&amp;"-"&amp;TEXT(COUNTIF($C$5:$C140,$C140),"000")&amp;"-"&amp;IF($D140="","TBD",$D140))</f>
        <v>PSW-075-A7</v>
      </c>
      <c r="B140" s="9" t="s">
        <v>1051</v>
      </c>
      <c r="C140" s="10" t="s">
        <v>311</v>
      </c>
      <c r="D140" s="10" t="s">
        <v>1214</v>
      </c>
      <c r="E140" s="46" t="str">
        <f t="shared" si="2"/>
        <v>firstname135.lastname135@example.com</v>
      </c>
      <c r="F140" s="9"/>
      <c r="G140" s="9"/>
    </row>
    <row r="141" spans="1:7" x14ac:dyDescent="0.35">
      <c r="A141" s="46" t="str">
        <f>IF($C141="","",$C141&amp;"-"&amp;TEXT(COUNTIF($C$5:$C141,$C141),"000")&amp;"-"&amp;IF($D141="","TBD",$D141))</f>
        <v>PSW-076-A5</v>
      </c>
      <c r="B141" s="9" t="s">
        <v>1052</v>
      </c>
      <c r="C141" s="10" t="s">
        <v>311</v>
      </c>
      <c r="D141" s="10" t="s">
        <v>1212</v>
      </c>
      <c r="E141" s="46" t="str">
        <f t="shared" si="2"/>
        <v>firstname136.lastname136@example.com</v>
      </c>
      <c r="F141" s="9"/>
      <c r="G141" s="9"/>
    </row>
    <row r="142" spans="1:7" x14ac:dyDescent="0.35">
      <c r="A142" s="46" t="str">
        <f>IF($C142="","",$C142&amp;"-"&amp;TEXT(COUNTIF($C$5:$C142,$C142),"000")&amp;"-"&amp;IF($D142="","TBD",$D142))</f>
        <v>PSW-077-A7</v>
      </c>
      <c r="B142" s="9" t="s">
        <v>1053</v>
      </c>
      <c r="C142" s="10" t="s">
        <v>311</v>
      </c>
      <c r="D142" s="10" t="s">
        <v>1214</v>
      </c>
      <c r="E142" s="46" t="str">
        <f t="shared" si="2"/>
        <v>firstname137.lastname137@example.com</v>
      </c>
      <c r="F142" s="9"/>
      <c r="G142" s="9"/>
    </row>
    <row r="143" spans="1:7" x14ac:dyDescent="0.35">
      <c r="A143" s="46" t="str">
        <f>IF($C143="","",$C143&amp;"-"&amp;TEXT(COUNTIF($C$5:$C143,$C143),"000")&amp;"-"&amp;IF($D143="","TBD",$D143))</f>
        <v>PSW-078-A4</v>
      </c>
      <c r="B143" s="9" t="s">
        <v>1054</v>
      </c>
      <c r="C143" s="10" t="s">
        <v>311</v>
      </c>
      <c r="D143" s="10" t="s">
        <v>1211</v>
      </c>
      <c r="E143" s="46" t="str">
        <f t="shared" si="2"/>
        <v>firstname138.lastname138@example.com</v>
      </c>
      <c r="F143" s="9"/>
      <c r="G143" s="9"/>
    </row>
    <row r="144" spans="1:7" x14ac:dyDescent="0.35">
      <c r="A144" s="46" t="str">
        <f>IF($C144="","",$C144&amp;"-"&amp;TEXT(COUNTIF($C$5:$C144,$C144),"000")&amp;"-"&amp;IF($D144="","TBD",$D144))</f>
        <v>PSW-079-A5</v>
      </c>
      <c r="B144" s="9" t="s">
        <v>1055</v>
      </c>
      <c r="C144" s="10" t="s">
        <v>311</v>
      </c>
      <c r="D144" s="10" t="s">
        <v>1212</v>
      </c>
      <c r="E144" s="46" t="str">
        <f t="shared" si="2"/>
        <v>firstname139.lastname139@example.com</v>
      </c>
      <c r="F144" s="9"/>
      <c r="G144" s="9"/>
    </row>
    <row r="145" spans="1:7" x14ac:dyDescent="0.35">
      <c r="A145" s="46" t="str">
        <f>IF($C145="","",$C145&amp;"-"&amp;TEXT(COUNTIF($C$5:$C145,$C145),"000")&amp;"-"&amp;IF($D145="","TBD",$D145))</f>
        <v>PSW-080-A5</v>
      </c>
      <c r="B145" s="9" t="s">
        <v>1056</v>
      </c>
      <c r="C145" s="10" t="s">
        <v>311</v>
      </c>
      <c r="D145" s="10" t="s">
        <v>1212</v>
      </c>
      <c r="E145" s="46" t="str">
        <f t="shared" si="2"/>
        <v>firstname140.lastname140@example.com</v>
      </c>
      <c r="F145" s="9"/>
      <c r="G145" s="9"/>
    </row>
    <row r="146" spans="1:7" x14ac:dyDescent="0.35">
      <c r="A146" s="46" t="str">
        <f>IF($C146="","",$C146&amp;"-"&amp;TEXT(COUNTIF($C$5:$C146,$C146),"000")&amp;"-"&amp;IF($D146="","TBD",$D146))</f>
        <v>PSW-081-A6</v>
      </c>
      <c r="B146" s="9" t="s">
        <v>1057</v>
      </c>
      <c r="C146" s="10" t="s">
        <v>311</v>
      </c>
      <c r="D146" s="10" t="s">
        <v>1213</v>
      </c>
      <c r="E146" s="46" t="str">
        <f t="shared" si="2"/>
        <v>firstname141.lastname141@example.com</v>
      </c>
      <c r="F146" s="9"/>
      <c r="G146" s="9"/>
    </row>
    <row r="147" spans="1:7" x14ac:dyDescent="0.35">
      <c r="A147" s="46" t="str">
        <f>IF($C147="","",$C147&amp;"-"&amp;TEXT(COUNTIF($C$5:$C147,$C147),"000")&amp;"-"&amp;IF($D147="","TBD",$D147))</f>
        <v>PSW-082-A5</v>
      </c>
      <c r="B147" s="9" t="s">
        <v>1058</v>
      </c>
      <c r="C147" s="10" t="s">
        <v>311</v>
      </c>
      <c r="D147" s="10" t="s">
        <v>1212</v>
      </c>
      <c r="E147" s="46" t="str">
        <f t="shared" si="2"/>
        <v>firstname142.lastname142@example.com</v>
      </c>
      <c r="F147" s="9"/>
      <c r="G147" s="9"/>
    </row>
    <row r="148" spans="1:7" x14ac:dyDescent="0.35">
      <c r="A148" s="46" t="str">
        <f>IF($C148="","",$C148&amp;"-"&amp;TEXT(COUNTIF($C$5:$C148,$C148),"000")&amp;"-"&amp;IF($D148="","TBD",$D148))</f>
        <v>PSW-083-A6</v>
      </c>
      <c r="B148" s="9" t="s">
        <v>1059</v>
      </c>
      <c r="C148" s="10" t="s">
        <v>311</v>
      </c>
      <c r="D148" s="10" t="s">
        <v>1213</v>
      </c>
      <c r="E148" s="46" t="str">
        <f t="shared" si="2"/>
        <v>firstname143.lastname143@example.com</v>
      </c>
      <c r="F148" s="9"/>
      <c r="G148" s="9"/>
    </row>
    <row r="149" spans="1:7" x14ac:dyDescent="0.35">
      <c r="A149" s="46" t="str">
        <f>IF($C149="","",$C149&amp;"-"&amp;TEXT(COUNTIF($C$5:$C149,$C149),"000")&amp;"-"&amp;IF($D149="","TBD",$D149))</f>
        <v>PSW-084-A5</v>
      </c>
      <c r="B149" s="9" t="s">
        <v>1060</v>
      </c>
      <c r="C149" s="10" t="s">
        <v>311</v>
      </c>
      <c r="D149" s="10" t="s">
        <v>1212</v>
      </c>
      <c r="E149" s="46" t="str">
        <f t="shared" si="2"/>
        <v>firstname144.lastname144@example.com</v>
      </c>
      <c r="F149" s="9"/>
      <c r="G149" s="9"/>
    </row>
    <row r="150" spans="1:7" x14ac:dyDescent="0.35">
      <c r="A150" s="46" t="str">
        <f>IF($C150="","",$C150&amp;"-"&amp;TEXT(COUNTIF($C$5:$C150,$C150),"000")&amp;"-"&amp;IF($D150="","TBD",$D150))</f>
        <v>PSW-085-A6</v>
      </c>
      <c r="B150" s="9" t="s">
        <v>1061</v>
      </c>
      <c r="C150" s="10" t="s">
        <v>311</v>
      </c>
      <c r="D150" s="10" t="s">
        <v>1213</v>
      </c>
      <c r="E150" s="46" t="str">
        <f t="shared" si="2"/>
        <v>firstname145.lastname145@example.com</v>
      </c>
      <c r="F150" s="9"/>
      <c r="G150" s="9"/>
    </row>
    <row r="151" spans="1:7" x14ac:dyDescent="0.35">
      <c r="A151" s="46" t="str">
        <f>IF($C151="","",$C151&amp;"-"&amp;TEXT(COUNTIF($C$5:$C151,$C151),"000")&amp;"-"&amp;IF($D151="","TBD",$D151))</f>
        <v>PSW-086-A4</v>
      </c>
      <c r="B151" s="9" t="s">
        <v>1062</v>
      </c>
      <c r="C151" s="10" t="s">
        <v>311</v>
      </c>
      <c r="D151" s="10" t="s">
        <v>1211</v>
      </c>
      <c r="E151" s="46" t="str">
        <f t="shared" si="2"/>
        <v>firstname146.lastname146@example.com</v>
      </c>
      <c r="F151" s="9"/>
      <c r="G151" s="9"/>
    </row>
    <row r="152" spans="1:7" x14ac:dyDescent="0.35">
      <c r="A152" s="46" t="str">
        <f>IF($C152="","",$C152&amp;"-"&amp;TEXT(COUNTIF($C$5:$C152,$C152),"000")&amp;"-"&amp;IF($D152="","TBD",$D152))</f>
        <v>PSW-087-A4</v>
      </c>
      <c r="B152" s="9" t="s">
        <v>1063</v>
      </c>
      <c r="C152" s="10" t="s">
        <v>311</v>
      </c>
      <c r="D152" s="10" t="s">
        <v>1211</v>
      </c>
      <c r="E152" s="46" t="str">
        <f t="shared" si="2"/>
        <v>firstname147.lastname147@example.com</v>
      </c>
      <c r="F152" s="9"/>
      <c r="G152" s="9"/>
    </row>
    <row r="153" spans="1:7" x14ac:dyDescent="0.35">
      <c r="A153" s="46" t="str">
        <f>IF($C153="","",$C153&amp;"-"&amp;TEXT(COUNTIF($C$5:$C153,$C153),"000")&amp;"-"&amp;IF($D153="","TBD",$D153))</f>
        <v>PSW-088-A6</v>
      </c>
      <c r="B153" s="9" t="s">
        <v>1064</v>
      </c>
      <c r="C153" s="10" t="s">
        <v>311</v>
      </c>
      <c r="D153" s="10" t="s">
        <v>1213</v>
      </c>
      <c r="E153" s="46" t="str">
        <f t="shared" si="2"/>
        <v>firstname148.lastname148@example.com</v>
      </c>
      <c r="F153" s="9"/>
      <c r="G153" s="9"/>
    </row>
    <row r="154" spans="1:7" x14ac:dyDescent="0.35">
      <c r="A154" s="46" t="str">
        <f>IF($C154="","",$C154&amp;"-"&amp;TEXT(COUNTIF($C$5:$C154,$C154),"000")&amp;"-"&amp;IF($D154="","TBD",$D154))</f>
        <v>TL/RPN-002-A9</v>
      </c>
      <c r="B154" s="9" t="s">
        <v>1065</v>
      </c>
      <c r="C154" s="10" t="s">
        <v>312</v>
      </c>
      <c r="D154" s="10" t="s">
        <v>1216</v>
      </c>
      <c r="E154" s="46" t="str">
        <f t="shared" si="2"/>
        <v>firstname149.lastname149@example.com</v>
      </c>
      <c r="F154" s="9"/>
      <c r="G154" s="9"/>
    </row>
    <row r="155" spans="1:7" x14ac:dyDescent="0.35">
      <c r="A155" s="46" t="str">
        <f>IF($C155="","",$C155&amp;"-"&amp;TEXT(COUNTIF($C$5:$C155,$C155),"000")&amp;"-"&amp;IF($D155="","TBD",$D155))</f>
        <v>PSW-089-A5</v>
      </c>
      <c r="B155" s="9" t="s">
        <v>1066</v>
      </c>
      <c r="C155" s="10" t="s">
        <v>311</v>
      </c>
      <c r="D155" s="10" t="s">
        <v>1212</v>
      </c>
      <c r="E155" s="46" t="str">
        <f t="shared" si="2"/>
        <v>firstname150.lastname150@example.com</v>
      </c>
      <c r="F155" s="9"/>
      <c r="G155" s="9"/>
    </row>
    <row r="156" spans="1:7" x14ac:dyDescent="0.35">
      <c r="A156" s="46" t="str">
        <f>IF($C156="","",$C156&amp;"-"&amp;TEXT(COUNTIF($C$5:$C156,$C156),"000")&amp;"-"&amp;IF($D156="","TBD",$D156))</f>
        <v>TL/RPN-003-A10</v>
      </c>
      <c r="B156" s="9" t="s">
        <v>1067</v>
      </c>
      <c r="C156" s="10" t="s">
        <v>312</v>
      </c>
      <c r="D156" s="10" t="s">
        <v>1217</v>
      </c>
      <c r="E156" s="46" t="str">
        <f t="shared" si="2"/>
        <v>firstname151.lastname151@example.com</v>
      </c>
      <c r="F156" s="9"/>
      <c r="G156" s="9"/>
    </row>
    <row r="157" spans="1:7" x14ac:dyDescent="0.35">
      <c r="A157" s="46" t="str">
        <f>IF($C157="","",$C157&amp;"-"&amp;TEXT(COUNTIF($C$5:$C157,$C157),"000")&amp;"-"&amp;IF($D157="","TBD",$D157))</f>
        <v>PSW-090-A6</v>
      </c>
      <c r="B157" s="9" t="s">
        <v>1068</v>
      </c>
      <c r="C157" s="10" t="s">
        <v>311</v>
      </c>
      <c r="D157" s="10" t="s">
        <v>1213</v>
      </c>
      <c r="E157" s="46" t="str">
        <f t="shared" si="2"/>
        <v>firstname152.lastname152@example.com</v>
      </c>
      <c r="F157" s="9"/>
      <c r="G157" s="9"/>
    </row>
    <row r="158" spans="1:7" x14ac:dyDescent="0.35">
      <c r="A158" s="46" t="str">
        <f>IF($C158="","",$C158&amp;"-"&amp;TEXT(COUNTIF($C$5:$C158,$C158),"000")&amp;"-"&amp;IF($D158="","TBD",$D158))</f>
        <v>PSW-091-A5</v>
      </c>
      <c r="B158" s="9" t="s">
        <v>1069</v>
      </c>
      <c r="C158" s="10" t="s">
        <v>311</v>
      </c>
      <c r="D158" s="10" t="s">
        <v>1212</v>
      </c>
      <c r="E158" s="46" t="str">
        <f t="shared" si="2"/>
        <v>firstname153.lastname153@example.com</v>
      </c>
      <c r="F158" s="9"/>
      <c r="G158" s="9"/>
    </row>
    <row r="159" spans="1:7" x14ac:dyDescent="0.35">
      <c r="A159" s="46" t="str">
        <f>IF($C159="","",$C159&amp;"-"&amp;TEXT(COUNTIF($C$5:$C159,$C159),"000")&amp;"-"&amp;IF($D159="","TBD",$D159))</f>
        <v>PSW-092-A4</v>
      </c>
      <c r="B159" s="9" t="s">
        <v>1070</v>
      </c>
      <c r="C159" s="10" t="s">
        <v>311</v>
      </c>
      <c r="D159" s="10" t="s">
        <v>1211</v>
      </c>
      <c r="E159" s="46" t="str">
        <f t="shared" si="2"/>
        <v>firstname154.lastname154@example.com</v>
      </c>
      <c r="F159" s="9"/>
      <c r="G159" s="9"/>
    </row>
    <row r="160" spans="1:7" x14ac:dyDescent="0.35">
      <c r="A160" s="46" t="str">
        <f>IF($C160="","",$C160&amp;"-"&amp;TEXT(COUNTIF($C$5:$C160,$C160),"000")&amp;"-"&amp;IF($D160="","TBD",$D160))</f>
        <v>PSW-093-TBD</v>
      </c>
      <c r="B160" s="9" t="s">
        <v>1071</v>
      </c>
      <c r="C160" s="10" t="s">
        <v>311</v>
      </c>
      <c r="D160" s="10"/>
      <c r="E160" s="46" t="str">
        <f t="shared" si="2"/>
        <v>firstname155.lastname155@example.com</v>
      </c>
      <c r="F160" s="9"/>
      <c r="G160" s="9"/>
    </row>
    <row r="161" spans="1:7" x14ac:dyDescent="0.35">
      <c r="A161" s="46" t="str">
        <f>IF($C161="","",$C161&amp;"-"&amp;TEXT(COUNTIF($C$5:$C161,$C161),"000")&amp;"-"&amp;IF($D161="","TBD",$D161))</f>
        <v>PSW-094-A6</v>
      </c>
      <c r="B161" s="9" t="s">
        <v>1072</v>
      </c>
      <c r="C161" s="10" t="s">
        <v>311</v>
      </c>
      <c r="D161" s="10" t="s">
        <v>1213</v>
      </c>
      <c r="E161" s="46" t="str">
        <f t="shared" si="2"/>
        <v>firstname156.lastname156@example.com</v>
      </c>
      <c r="F161" s="9"/>
      <c r="G161" s="9"/>
    </row>
    <row r="162" spans="1:7" x14ac:dyDescent="0.35">
      <c r="A162" s="46" t="str">
        <f>IF($C162="","",$C162&amp;"-"&amp;TEXT(COUNTIF($C$5:$C162,$C162),"000")&amp;"-"&amp;IF($D162="","TBD",$D162))</f>
        <v>PSW-095-A5</v>
      </c>
      <c r="B162" s="9" t="s">
        <v>1073</v>
      </c>
      <c r="C162" s="10" t="s">
        <v>311</v>
      </c>
      <c r="D162" s="10" t="s">
        <v>1212</v>
      </c>
      <c r="E162" s="46" t="str">
        <f t="shared" si="2"/>
        <v>firstname157.lastname157@example.com</v>
      </c>
      <c r="F162" s="9"/>
      <c r="G162" s="9"/>
    </row>
    <row r="163" spans="1:7" x14ac:dyDescent="0.35">
      <c r="A163" s="46" t="str">
        <f>IF($C163="","",$C163&amp;"-"&amp;TEXT(COUNTIF($C$5:$C163,$C163),"000")&amp;"-"&amp;IF($D163="","TBD",$D163))</f>
        <v>PSW-096-A5</v>
      </c>
      <c r="B163" s="9" t="s">
        <v>1074</v>
      </c>
      <c r="C163" s="10" t="s">
        <v>311</v>
      </c>
      <c r="D163" s="10" t="s">
        <v>1212</v>
      </c>
      <c r="E163" s="46" t="str">
        <f t="shared" si="2"/>
        <v>firstname158.lastname158@example.com</v>
      </c>
      <c r="F163" s="9"/>
      <c r="G163" s="9"/>
    </row>
    <row r="164" spans="1:7" x14ac:dyDescent="0.35">
      <c r="A164" s="46" t="str">
        <f>IF($C164="","",$C164&amp;"-"&amp;TEXT(COUNTIF($C$5:$C164,$C164),"000")&amp;"-"&amp;IF($D164="","TBD",$D164))</f>
        <v>PSW-097-A6</v>
      </c>
      <c r="B164" s="9" t="s">
        <v>1075</v>
      </c>
      <c r="C164" s="10" t="s">
        <v>311</v>
      </c>
      <c r="D164" s="10" t="s">
        <v>1213</v>
      </c>
      <c r="E164" s="46" t="str">
        <f t="shared" si="2"/>
        <v>firstname159.lastname159@example.com</v>
      </c>
      <c r="F164" s="9"/>
      <c r="G164" s="9"/>
    </row>
    <row r="165" spans="1:7" x14ac:dyDescent="0.35">
      <c r="A165" s="46" t="str">
        <f>IF($C165="","",$C165&amp;"-"&amp;TEXT(COUNTIF($C$5:$C165,$C165),"000")&amp;"-"&amp;IF($D165="","TBD",$D165))</f>
        <v>PSW-098-A4</v>
      </c>
      <c r="B165" s="9" t="s">
        <v>1076</v>
      </c>
      <c r="C165" s="10" t="s">
        <v>311</v>
      </c>
      <c r="D165" s="10" t="s">
        <v>1211</v>
      </c>
      <c r="E165" s="46" t="str">
        <f t="shared" si="2"/>
        <v>firstname160.lastname160@example.com</v>
      </c>
      <c r="F165" s="9"/>
      <c r="G165" s="9"/>
    </row>
    <row r="166" spans="1:7" x14ac:dyDescent="0.35">
      <c r="A166" s="46" t="str">
        <f>IF($C166="","",$C166&amp;"-"&amp;TEXT(COUNTIF($C$5:$C166,$C166),"000")&amp;"-"&amp;IF($D166="","TBD",$D166))</f>
        <v>PSW-099-A6</v>
      </c>
      <c r="B166" s="9" t="s">
        <v>1077</v>
      </c>
      <c r="C166" s="10" t="s">
        <v>311</v>
      </c>
      <c r="D166" s="10" t="s">
        <v>1213</v>
      </c>
      <c r="E166" s="46" t="str">
        <f t="shared" si="2"/>
        <v>firstname161.lastname161@example.com</v>
      </c>
      <c r="F166" s="9"/>
      <c r="G166" s="9"/>
    </row>
    <row r="167" spans="1:7" x14ac:dyDescent="0.35">
      <c r="A167" s="46" t="str">
        <f>IF($C167="","",$C167&amp;"-"&amp;TEXT(COUNTIF($C$5:$C167,$C167),"000")&amp;"-"&amp;IF($D167="","TBD",$D167))</f>
        <v>PSW-100-A6</v>
      </c>
      <c r="B167" s="9" t="s">
        <v>1078</v>
      </c>
      <c r="C167" s="10" t="s">
        <v>311</v>
      </c>
      <c r="D167" s="10" t="s">
        <v>1213</v>
      </c>
      <c r="E167" s="46" t="str">
        <f t="shared" si="2"/>
        <v>firstname162.lastname162@example.com</v>
      </c>
      <c r="F167" s="9"/>
      <c r="G167" s="9"/>
    </row>
    <row r="168" spans="1:7" x14ac:dyDescent="0.35">
      <c r="A168" s="46" t="str">
        <f>IF($C168="","",$C168&amp;"-"&amp;TEXT(COUNTIF($C$5:$C168,$C168),"000")&amp;"-"&amp;IF($D168="","TBD",$D168))</f>
        <v>PSW-101-A5</v>
      </c>
      <c r="B168" s="9" t="s">
        <v>1079</v>
      </c>
      <c r="C168" s="10" t="s">
        <v>311</v>
      </c>
      <c r="D168" s="10" t="s">
        <v>1212</v>
      </c>
      <c r="E168" s="46" t="str">
        <f t="shared" si="2"/>
        <v>firstname163.lastname163@example.com</v>
      </c>
      <c r="F168" s="9"/>
      <c r="G168" s="9"/>
    </row>
    <row r="169" spans="1:7" x14ac:dyDescent="0.35">
      <c r="A169" s="46" t="str">
        <f>IF($C169="","",$C169&amp;"-"&amp;TEXT(COUNTIF($C$5:$C169,$C169),"000")&amp;"-"&amp;IF($D169="","TBD",$D169))</f>
        <v>PSW-102-A6</v>
      </c>
      <c r="B169" s="9" t="s">
        <v>1080</v>
      </c>
      <c r="C169" s="10" t="s">
        <v>311</v>
      </c>
      <c r="D169" s="10" t="s">
        <v>1213</v>
      </c>
      <c r="E169" s="46" t="str">
        <f t="shared" si="2"/>
        <v>firstname164.lastname164@example.com</v>
      </c>
      <c r="F169" s="9"/>
      <c r="G169" s="9"/>
    </row>
    <row r="170" spans="1:7" x14ac:dyDescent="0.35">
      <c r="A170" s="46" t="str">
        <f>IF($C170="","",$C170&amp;"-"&amp;TEXT(COUNTIF($C$5:$C170,$C170),"000")&amp;"-"&amp;IF($D170="","TBD",$D170))</f>
        <v>PSW-103-A4</v>
      </c>
      <c r="B170" s="9" t="s">
        <v>1081</v>
      </c>
      <c r="C170" s="10" t="s">
        <v>311</v>
      </c>
      <c r="D170" s="10" t="s">
        <v>1211</v>
      </c>
      <c r="E170" s="46" t="str">
        <f t="shared" si="2"/>
        <v>firstname165.lastname165@example.com</v>
      </c>
      <c r="F170" s="9"/>
      <c r="G170" s="9"/>
    </row>
    <row r="171" spans="1:7" x14ac:dyDescent="0.35">
      <c r="A171" s="46" t="str">
        <f>IF($C171="","",$C171&amp;"-"&amp;TEXT(COUNTIF($C$5:$C171,$C171),"000")&amp;"-"&amp;IF($D171="","TBD",$D171))</f>
        <v>PSW-104-A6</v>
      </c>
      <c r="B171" s="9" t="s">
        <v>1082</v>
      </c>
      <c r="C171" s="10" t="s">
        <v>311</v>
      </c>
      <c r="D171" s="10" t="s">
        <v>1213</v>
      </c>
      <c r="E171" s="46" t="str">
        <f t="shared" si="2"/>
        <v>firstname166.lastname166@example.com</v>
      </c>
      <c r="F171" s="9"/>
      <c r="G171" s="9"/>
    </row>
    <row r="172" spans="1:7" x14ac:dyDescent="0.35">
      <c r="A172" s="46" t="str">
        <f>IF($C172="","",$C172&amp;"-"&amp;TEXT(COUNTIF($C$5:$C172,$C172),"000")&amp;"-"&amp;IF($D172="","TBD",$D172))</f>
        <v>PSW-105-A5</v>
      </c>
      <c r="B172" s="9" t="s">
        <v>1083</v>
      </c>
      <c r="C172" s="10" t="s">
        <v>311</v>
      </c>
      <c r="D172" s="10" t="s">
        <v>1212</v>
      </c>
      <c r="E172" s="46" t="str">
        <f t="shared" si="2"/>
        <v>firstname167.lastname167@example.com</v>
      </c>
      <c r="F172" s="9"/>
      <c r="G172" s="9"/>
    </row>
    <row r="173" spans="1:7" x14ac:dyDescent="0.35">
      <c r="A173" s="46" t="str">
        <f>IF($C173="","",$C173&amp;"-"&amp;TEXT(COUNTIF($C$5:$C173,$C173),"000")&amp;"-"&amp;IF($D173="","TBD",$D173))</f>
        <v>PSW-106-A4</v>
      </c>
      <c r="B173" s="9" t="s">
        <v>1084</v>
      </c>
      <c r="C173" s="10" t="s">
        <v>311</v>
      </c>
      <c r="D173" s="10" t="s">
        <v>1211</v>
      </c>
      <c r="E173" s="46" t="str">
        <f t="shared" si="2"/>
        <v>firstname168.lastname168@example.com</v>
      </c>
      <c r="F173" s="9"/>
      <c r="G173" s="9"/>
    </row>
    <row r="174" spans="1:7" x14ac:dyDescent="0.35">
      <c r="A174" s="46" t="str">
        <f>IF($C174="","",$C174&amp;"-"&amp;TEXT(COUNTIF($C$5:$C174,$C174),"000")&amp;"-"&amp;IF($D174="","TBD",$D174))</f>
        <v>PSW-107-A6</v>
      </c>
      <c r="B174" s="9" t="s">
        <v>1085</v>
      </c>
      <c r="C174" s="10" t="s">
        <v>311</v>
      </c>
      <c r="D174" s="10" t="s">
        <v>1213</v>
      </c>
      <c r="E174" s="46" t="str">
        <f t="shared" si="2"/>
        <v>firstname169.lastname169@example.com</v>
      </c>
      <c r="F174" s="9"/>
      <c r="G174" s="9"/>
    </row>
    <row r="175" spans="1:7" x14ac:dyDescent="0.35">
      <c r="A175" s="46" t="str">
        <f>IF($C175="","",$C175&amp;"-"&amp;TEXT(COUNTIF($C$5:$C175,$C175),"000")&amp;"-"&amp;IF($D175="","TBD",$D175))</f>
        <v>PSW-108-A4</v>
      </c>
      <c r="B175" s="9" t="s">
        <v>1086</v>
      </c>
      <c r="C175" s="10" t="s">
        <v>311</v>
      </c>
      <c r="D175" s="10" t="s">
        <v>1211</v>
      </c>
      <c r="E175" s="46" t="str">
        <f t="shared" si="2"/>
        <v>firstname170.lastname170@example.com</v>
      </c>
      <c r="F175" s="9"/>
      <c r="G175" s="9"/>
    </row>
    <row r="176" spans="1:7" x14ac:dyDescent="0.35">
      <c r="A176" s="46" t="str">
        <f>IF($C176="","",$C176&amp;"-"&amp;TEXT(COUNTIF($C$5:$C176,$C176),"000")&amp;"-"&amp;IF($D176="","TBD",$D176))</f>
        <v>PSW-109-A6</v>
      </c>
      <c r="B176" s="9" t="s">
        <v>1087</v>
      </c>
      <c r="C176" s="10" t="s">
        <v>311</v>
      </c>
      <c r="D176" s="10" t="s">
        <v>1213</v>
      </c>
      <c r="E176" s="46" t="str">
        <f t="shared" si="2"/>
        <v>firstname171.lastname171@example.com</v>
      </c>
      <c r="F176" s="9"/>
      <c r="G176" s="9"/>
    </row>
    <row r="177" spans="1:7" x14ac:dyDescent="0.35">
      <c r="A177" s="46" t="str">
        <f>IF($C177="","",$C177&amp;"-"&amp;TEXT(COUNTIF($C$5:$C177,$C177),"000")&amp;"-"&amp;IF($D177="","TBD",$D177))</f>
        <v>PSW-110-A6</v>
      </c>
      <c r="B177" s="9" t="s">
        <v>1088</v>
      </c>
      <c r="C177" s="10" t="s">
        <v>311</v>
      </c>
      <c r="D177" s="10" t="s">
        <v>1213</v>
      </c>
      <c r="E177" s="46" t="str">
        <f t="shared" si="2"/>
        <v>firstname172.lastname172@example.com</v>
      </c>
      <c r="F177" s="9"/>
      <c r="G177" s="9"/>
    </row>
    <row r="178" spans="1:7" x14ac:dyDescent="0.35">
      <c r="A178" s="46" t="str">
        <f>IF($C178="","",$C178&amp;"-"&amp;TEXT(COUNTIF($C$5:$C178,$C178),"000")&amp;"-"&amp;IF($D178="","TBD",$D178))</f>
        <v>PSW-111-A6</v>
      </c>
      <c r="B178" s="9" t="s">
        <v>1089</v>
      </c>
      <c r="C178" s="10" t="s">
        <v>311</v>
      </c>
      <c r="D178" s="10" t="s">
        <v>1213</v>
      </c>
      <c r="E178" s="46" t="str">
        <f t="shared" si="2"/>
        <v>firstname173.lastname173@example.com</v>
      </c>
      <c r="F178" s="9"/>
      <c r="G178" s="9"/>
    </row>
    <row r="179" spans="1:7" x14ac:dyDescent="0.35">
      <c r="A179" s="46" t="str">
        <f>IF($C179="","",$C179&amp;"-"&amp;TEXT(COUNTIF($C$5:$C179,$C179),"000")&amp;"-"&amp;IF($D179="","TBD",$D179))</f>
        <v>PSW-112-A4</v>
      </c>
      <c r="B179" s="9" t="s">
        <v>1090</v>
      </c>
      <c r="C179" s="10" t="s">
        <v>311</v>
      </c>
      <c r="D179" s="10" t="s">
        <v>1211</v>
      </c>
      <c r="E179" s="46" t="str">
        <f t="shared" si="2"/>
        <v>firstname174.lastname174@example.com</v>
      </c>
      <c r="F179" s="9"/>
      <c r="G179" s="9"/>
    </row>
    <row r="180" spans="1:7" x14ac:dyDescent="0.35">
      <c r="A180" s="46" t="str">
        <f>IF($C180="","",$C180&amp;"-"&amp;TEXT(COUNTIF($C$5:$C180,$C180),"000")&amp;"-"&amp;IF($D180="","TBD",$D180))</f>
        <v>PSW-113-A4</v>
      </c>
      <c r="B180" s="9" t="s">
        <v>1091</v>
      </c>
      <c r="C180" s="10" t="s">
        <v>311</v>
      </c>
      <c r="D180" s="10" t="s">
        <v>1211</v>
      </c>
      <c r="E180" s="46" t="str">
        <f t="shared" si="2"/>
        <v>firstname175.lastname175@example.com</v>
      </c>
      <c r="F180" s="9"/>
      <c r="G180" s="9"/>
    </row>
    <row r="181" spans="1:7" x14ac:dyDescent="0.35">
      <c r="A181" s="46" t="str">
        <f>IF($C181="","",$C181&amp;"-"&amp;TEXT(COUNTIF($C$5:$C181,$C181),"000")&amp;"-"&amp;IF($D181="","TBD",$D181))</f>
        <v>PSW-114-A4</v>
      </c>
      <c r="B181" s="9" t="s">
        <v>1092</v>
      </c>
      <c r="C181" s="10" t="s">
        <v>311</v>
      </c>
      <c r="D181" s="10" t="s">
        <v>1211</v>
      </c>
      <c r="E181" s="46" t="str">
        <f t="shared" si="2"/>
        <v>firstname176.lastname176@example.com</v>
      </c>
      <c r="F181" s="9"/>
      <c r="G181" s="9"/>
    </row>
    <row r="182" spans="1:7" x14ac:dyDescent="0.35">
      <c r="A182" s="46" t="str">
        <f>IF($C182="","",$C182&amp;"-"&amp;TEXT(COUNTIF($C$5:$C182,$C182),"000")&amp;"-"&amp;IF($D182="","TBD",$D182))</f>
        <v>PSW-115-A5</v>
      </c>
      <c r="B182" s="9" t="s">
        <v>1093</v>
      </c>
      <c r="C182" s="10" t="s">
        <v>311</v>
      </c>
      <c r="D182" s="10" t="s">
        <v>1212</v>
      </c>
      <c r="E182" s="46" t="str">
        <f t="shared" si="2"/>
        <v>firstname177.lastname177@example.com</v>
      </c>
      <c r="F182" s="9"/>
      <c r="G182" s="9"/>
    </row>
    <row r="183" spans="1:7" x14ac:dyDescent="0.35">
      <c r="A183" s="46" t="str">
        <f>IF($C183="","",$C183&amp;"-"&amp;TEXT(COUNTIF($C$5:$C183,$C183),"000")&amp;"-"&amp;IF($D183="","TBD",$D183))</f>
        <v>TL/RPN-004-A4</v>
      </c>
      <c r="B183" s="9" t="s">
        <v>1094</v>
      </c>
      <c r="C183" s="10" t="s">
        <v>312</v>
      </c>
      <c r="D183" s="10" t="s">
        <v>1211</v>
      </c>
      <c r="E183" s="46" t="str">
        <f t="shared" si="2"/>
        <v>firstname178.lastname178@example.com</v>
      </c>
      <c r="F183" s="9"/>
      <c r="G183" s="9"/>
    </row>
    <row r="184" spans="1:7" x14ac:dyDescent="0.35">
      <c r="A184" s="46" t="str">
        <f>IF($C184="","",$C184&amp;"-"&amp;TEXT(COUNTIF($C$5:$C184,$C184),"000")&amp;"-"&amp;IF($D184="","TBD",$D184))</f>
        <v>PSW-116-A6</v>
      </c>
      <c r="B184" s="9" t="s">
        <v>1095</v>
      </c>
      <c r="C184" s="10" t="s">
        <v>311</v>
      </c>
      <c r="D184" s="10" t="s">
        <v>1213</v>
      </c>
      <c r="E184" s="46" t="str">
        <f t="shared" si="2"/>
        <v>firstname179.lastname179@example.com</v>
      </c>
      <c r="F184" s="9"/>
      <c r="G184" s="9"/>
    </row>
    <row r="185" spans="1:7" x14ac:dyDescent="0.35">
      <c r="A185" s="46" t="str">
        <f>IF($C185="","",$C185&amp;"-"&amp;TEXT(COUNTIF($C$5:$C185,$C185),"000")&amp;"-"&amp;IF($D185="","TBD",$D185))</f>
        <v>PSW-117-A5</v>
      </c>
      <c r="B185" s="9" t="s">
        <v>1096</v>
      </c>
      <c r="C185" s="10" t="s">
        <v>311</v>
      </c>
      <c r="D185" s="10" t="s">
        <v>1212</v>
      </c>
      <c r="E185" s="46" t="str">
        <f t="shared" si="2"/>
        <v>firstname180.lastname180@example.com</v>
      </c>
      <c r="F185" s="9"/>
      <c r="G185" s="9"/>
    </row>
    <row r="186" spans="1:7" x14ac:dyDescent="0.35">
      <c r="A186" s="46" t="str">
        <f>IF($C186="","",$C186&amp;"-"&amp;TEXT(COUNTIF($C$5:$C186,$C186),"000")&amp;"-"&amp;IF($D186="","TBD",$D186))</f>
        <v>PSW-118-A5</v>
      </c>
      <c r="B186" s="9" t="s">
        <v>1097</v>
      </c>
      <c r="C186" s="10" t="s">
        <v>311</v>
      </c>
      <c r="D186" s="10" t="s">
        <v>1212</v>
      </c>
      <c r="E186" s="46" t="str">
        <f t="shared" si="2"/>
        <v>firstname181.lastname181@example.com</v>
      </c>
      <c r="F186" s="9"/>
      <c r="G186" s="9"/>
    </row>
    <row r="187" spans="1:7" x14ac:dyDescent="0.35">
      <c r="A187" s="46" t="str">
        <f>IF($C187="","",$C187&amp;"-"&amp;TEXT(COUNTIF($C$5:$C187,$C187),"000")&amp;"-"&amp;IF($D187="","TBD",$D187))</f>
        <v>PSW-119-A5</v>
      </c>
      <c r="B187" s="9" t="s">
        <v>1098</v>
      </c>
      <c r="C187" s="10" t="s">
        <v>311</v>
      </c>
      <c r="D187" s="10" t="s">
        <v>1212</v>
      </c>
      <c r="E187" s="46" t="str">
        <f t="shared" si="2"/>
        <v>firstname182.lastname182@example.com</v>
      </c>
      <c r="F187" s="9"/>
      <c r="G187" s="9"/>
    </row>
    <row r="188" spans="1:7" x14ac:dyDescent="0.35">
      <c r="A188" s="46" t="str">
        <f>IF($C188="","",$C188&amp;"-"&amp;TEXT(COUNTIF($C$5:$C188,$C188),"000")&amp;"-"&amp;IF($D188="","TBD",$D188))</f>
        <v>PSW-120-A5</v>
      </c>
      <c r="B188" s="9" t="s">
        <v>1099</v>
      </c>
      <c r="C188" s="10" t="s">
        <v>311</v>
      </c>
      <c r="D188" s="10" t="s">
        <v>1212</v>
      </c>
      <c r="E188" s="46" t="str">
        <f t="shared" si="2"/>
        <v>firstname183.lastname183@example.com</v>
      </c>
      <c r="F188" s="9"/>
      <c r="G188" s="9"/>
    </row>
    <row r="189" spans="1:7" x14ac:dyDescent="0.35">
      <c r="A189" s="46" t="str">
        <f>IF($C189="","",$C189&amp;"-"&amp;TEXT(COUNTIF($C$5:$C189,$C189),"000")&amp;"-"&amp;IF($D189="","TBD",$D189))</f>
        <v>PSW-121-A4</v>
      </c>
      <c r="B189" s="9" t="s">
        <v>1100</v>
      </c>
      <c r="C189" s="10" t="s">
        <v>311</v>
      </c>
      <c r="D189" s="10" t="s">
        <v>1211</v>
      </c>
      <c r="E189" s="46" t="str">
        <f t="shared" si="2"/>
        <v>firstname184.lastname184@example.com</v>
      </c>
      <c r="F189" s="9"/>
      <c r="G189" s="9"/>
    </row>
    <row r="190" spans="1:7" x14ac:dyDescent="0.35">
      <c r="A190" s="46" t="str">
        <f>IF($C190="","",$C190&amp;"-"&amp;TEXT(COUNTIF($C$5:$C190,$C190),"000")&amp;"-"&amp;IF($D190="","TBD",$D190))</f>
        <v>PSW-122-A5</v>
      </c>
      <c r="B190" s="9" t="s">
        <v>1101</v>
      </c>
      <c r="C190" s="10" t="s">
        <v>311</v>
      </c>
      <c r="D190" s="10" t="s">
        <v>1212</v>
      </c>
      <c r="E190" s="46" t="str">
        <f t="shared" si="2"/>
        <v>firstname185.lastname185@example.com</v>
      </c>
      <c r="F190" s="9"/>
      <c r="G190" s="9"/>
    </row>
    <row r="191" spans="1:7" x14ac:dyDescent="0.35">
      <c r="A191" s="46" t="str">
        <f>IF($C191="","",$C191&amp;"-"&amp;TEXT(COUNTIF($C$5:$C191,$C191),"000")&amp;"-"&amp;IF($D191="","TBD",$D191))</f>
        <v>PSW-123-A4</v>
      </c>
      <c r="B191" s="9" t="s">
        <v>1102</v>
      </c>
      <c r="C191" s="10" t="s">
        <v>311</v>
      </c>
      <c r="D191" s="10" t="s">
        <v>1211</v>
      </c>
      <c r="E191" s="46" t="str">
        <f t="shared" si="2"/>
        <v>firstname186.lastname186@example.com</v>
      </c>
      <c r="F191" s="9"/>
      <c r="G191" s="9"/>
    </row>
    <row r="192" spans="1:7" x14ac:dyDescent="0.35">
      <c r="A192" s="46" t="str">
        <f>IF($C192="","",$C192&amp;"-"&amp;TEXT(COUNTIF($C$5:$C192,$C192),"000")&amp;"-"&amp;IF($D192="","TBD",$D192))</f>
        <v>PSW-124-A6</v>
      </c>
      <c r="B192" s="9" t="s">
        <v>1103</v>
      </c>
      <c r="C192" s="10" t="s">
        <v>311</v>
      </c>
      <c r="D192" s="10" t="s">
        <v>1213</v>
      </c>
      <c r="E192" s="46" t="str">
        <f t="shared" si="2"/>
        <v>firstname187.lastname187@example.com</v>
      </c>
      <c r="F192" s="9"/>
      <c r="G192" s="9"/>
    </row>
    <row r="193" spans="1:7" x14ac:dyDescent="0.35">
      <c r="A193" s="46" t="str">
        <f>IF($C193="","",$C193&amp;"-"&amp;TEXT(COUNTIF($C$5:$C193,$C193),"000")&amp;"-"&amp;IF($D193="","TBD",$D193))</f>
        <v>PSW-125-A4</v>
      </c>
      <c r="B193" s="9" t="s">
        <v>1104</v>
      </c>
      <c r="C193" s="10" t="s">
        <v>311</v>
      </c>
      <c r="D193" s="10" t="s">
        <v>1211</v>
      </c>
      <c r="E193" s="46" t="str">
        <f t="shared" si="2"/>
        <v>firstname188.lastname188@example.com</v>
      </c>
      <c r="F193" s="9"/>
      <c r="G193" s="9"/>
    </row>
    <row r="194" spans="1:7" x14ac:dyDescent="0.35">
      <c r="A194" s="46" t="str">
        <f>IF($C194="","",$C194&amp;"-"&amp;TEXT(COUNTIF($C$5:$C194,$C194),"000")&amp;"-"&amp;IF($D194="","TBD",$D194))</f>
        <v>PSW-126-A6</v>
      </c>
      <c r="B194" s="9" t="s">
        <v>1105</v>
      </c>
      <c r="C194" s="10" t="s">
        <v>311</v>
      </c>
      <c r="D194" s="10" t="s">
        <v>1213</v>
      </c>
      <c r="E194" s="46" t="str">
        <f t="shared" si="2"/>
        <v>firstname189.lastname189@example.com</v>
      </c>
      <c r="F194" s="9"/>
      <c r="G194" s="9"/>
    </row>
    <row r="195" spans="1:7" x14ac:dyDescent="0.35">
      <c r="A195" s="46" t="str">
        <f>IF($C195="","",$C195&amp;"-"&amp;TEXT(COUNTIF($C$5:$C195,$C195),"000")&amp;"-"&amp;IF($D195="","TBD",$D195))</f>
        <v>PSW-127-A6</v>
      </c>
      <c r="B195" s="9" t="s">
        <v>1106</v>
      </c>
      <c r="C195" s="10" t="s">
        <v>311</v>
      </c>
      <c r="D195" s="10" t="s">
        <v>1213</v>
      </c>
      <c r="E195" s="46" t="str">
        <f t="shared" si="2"/>
        <v>firstname190.lastname190@example.com</v>
      </c>
      <c r="F195" s="9"/>
      <c r="G195" s="9"/>
    </row>
    <row r="196" spans="1:7" x14ac:dyDescent="0.35">
      <c r="A196" s="46" t="str">
        <f>IF($C196="","",$C196&amp;"-"&amp;TEXT(COUNTIF($C$5:$C196,$C196),"000")&amp;"-"&amp;IF($D196="","TBD",$D196))</f>
        <v>PSW-128-A6</v>
      </c>
      <c r="B196" s="9" t="s">
        <v>1107</v>
      </c>
      <c r="C196" s="10" t="s">
        <v>311</v>
      </c>
      <c r="D196" s="10" t="s">
        <v>1213</v>
      </c>
      <c r="E196" s="46" t="str">
        <f t="shared" si="2"/>
        <v>firstname191.lastname191@example.com</v>
      </c>
      <c r="F196" s="9"/>
      <c r="G196" s="9"/>
    </row>
    <row r="197" spans="1:7" x14ac:dyDescent="0.35">
      <c r="A197" s="46" t="str">
        <f>IF($C197="","",$C197&amp;"-"&amp;TEXT(COUNTIF($C$5:$C197,$C197),"000")&amp;"-"&amp;IF($D197="","TBD",$D197))</f>
        <v>PSW-129-A6</v>
      </c>
      <c r="B197" s="9" t="s">
        <v>1108</v>
      </c>
      <c r="C197" s="10" t="s">
        <v>311</v>
      </c>
      <c r="D197" s="10" t="s">
        <v>1213</v>
      </c>
      <c r="E197" s="46" t="str">
        <f t="shared" si="2"/>
        <v>firstname192.lastname192@example.com</v>
      </c>
      <c r="F197" s="9"/>
      <c r="G197" s="9"/>
    </row>
    <row r="198" spans="1:7" x14ac:dyDescent="0.35">
      <c r="A198" s="46" t="str">
        <f>IF($C198="","",$C198&amp;"-"&amp;TEXT(COUNTIF($C$5:$C198,$C198),"000")&amp;"-"&amp;IF($D198="","TBD",$D198))</f>
        <v>PSW-130-A6</v>
      </c>
      <c r="B198" s="9" t="s">
        <v>1109</v>
      </c>
      <c r="C198" s="10" t="s">
        <v>311</v>
      </c>
      <c r="D198" s="10" t="s">
        <v>1213</v>
      </c>
      <c r="E198" s="46" t="str">
        <f t="shared" ref="E198:E261" si="3">IF($B198="","",IFERROR(LOWER(SUBSTITUTE(TRIM(MID($B198,FIND(",",$B198)+1,255))," ",".")&amp;"."&amp;SUBSTITUTE(TRIM(LEFT($B198,FIND(",",$B198)-1))," ","."))&amp;"@example.com",""))</f>
        <v>firstname193.lastname193@example.com</v>
      </c>
      <c r="F198" s="9"/>
      <c r="G198" s="9"/>
    </row>
    <row r="199" spans="1:7" x14ac:dyDescent="0.35">
      <c r="A199" s="46" t="str">
        <f>IF($C199="","",$C199&amp;"-"&amp;TEXT(COUNTIF($C$5:$C199,$C199),"000")&amp;"-"&amp;IF($D199="","TBD",$D199))</f>
        <v>PSW-131-A5</v>
      </c>
      <c r="B199" s="9" t="s">
        <v>1110</v>
      </c>
      <c r="C199" s="10" t="s">
        <v>311</v>
      </c>
      <c r="D199" s="10" t="s">
        <v>1212</v>
      </c>
      <c r="E199" s="46" t="str">
        <f t="shared" si="3"/>
        <v>firstname194.lastname194@example.com</v>
      </c>
      <c r="F199" s="9"/>
      <c r="G199" s="9"/>
    </row>
    <row r="200" spans="1:7" x14ac:dyDescent="0.35">
      <c r="A200" s="46" t="str">
        <f>IF($C200="","",$C200&amp;"-"&amp;TEXT(COUNTIF($C$5:$C200,$C200),"000")&amp;"-"&amp;IF($D200="","TBD",$D200))</f>
        <v>PSW-132-A6</v>
      </c>
      <c r="B200" s="9" t="s">
        <v>1111</v>
      </c>
      <c r="C200" s="10" t="s">
        <v>311</v>
      </c>
      <c r="D200" s="10" t="s">
        <v>1213</v>
      </c>
      <c r="E200" s="46" t="str">
        <f t="shared" si="3"/>
        <v>firstname195.lastname195@example.com</v>
      </c>
      <c r="F200" s="9"/>
      <c r="G200" s="9"/>
    </row>
    <row r="201" spans="1:7" x14ac:dyDescent="0.35">
      <c r="A201" s="46" t="str">
        <f>IF($C201="","",$C201&amp;"-"&amp;TEXT(COUNTIF($C$5:$C201,$C201),"000")&amp;"-"&amp;IF($D201="","TBD",$D201))</f>
        <v>PSW-133-A6</v>
      </c>
      <c r="B201" s="9" t="s">
        <v>1112</v>
      </c>
      <c r="C201" s="10" t="s">
        <v>311</v>
      </c>
      <c r="D201" s="10" t="s">
        <v>1213</v>
      </c>
      <c r="E201" s="46" t="str">
        <f t="shared" si="3"/>
        <v>firstname196.lastname196@example.com</v>
      </c>
      <c r="F201" s="9"/>
      <c r="G201" s="9"/>
    </row>
    <row r="202" spans="1:7" x14ac:dyDescent="0.35">
      <c r="A202" s="46" t="str">
        <f>IF($C202="","",$C202&amp;"-"&amp;TEXT(COUNTIF($C$5:$C202,$C202),"000")&amp;"-"&amp;IF($D202="","TBD",$D202))</f>
        <v>PSW-134-A6</v>
      </c>
      <c r="B202" s="9" t="s">
        <v>1113</v>
      </c>
      <c r="C202" s="10" t="s">
        <v>311</v>
      </c>
      <c r="D202" s="10" t="s">
        <v>1213</v>
      </c>
      <c r="E202" s="46" t="str">
        <f t="shared" si="3"/>
        <v>firstname197.lastname197@example.com</v>
      </c>
      <c r="F202" s="9"/>
      <c r="G202" s="9"/>
    </row>
    <row r="203" spans="1:7" x14ac:dyDescent="0.35">
      <c r="A203" s="46" t="str">
        <f>IF($C203="","",$C203&amp;"-"&amp;TEXT(COUNTIF($C$5:$C203,$C203),"000")&amp;"-"&amp;IF($D203="","TBD",$D203))</f>
        <v>PSW-135-A5</v>
      </c>
      <c r="B203" s="9" t="s">
        <v>1114</v>
      </c>
      <c r="C203" s="10" t="s">
        <v>311</v>
      </c>
      <c r="D203" s="10" t="s">
        <v>1212</v>
      </c>
      <c r="E203" s="46" t="str">
        <f t="shared" si="3"/>
        <v>firstname198.lastname198@example.com</v>
      </c>
      <c r="F203" s="9"/>
      <c r="G203" s="9"/>
    </row>
    <row r="204" spans="1:7" x14ac:dyDescent="0.35">
      <c r="A204" s="46" t="str">
        <f>IF($C204="","",$C204&amp;"-"&amp;TEXT(COUNTIF($C$5:$C204,$C204),"000")&amp;"-"&amp;IF($D204="","TBD",$D204))</f>
        <v>PSW-136-A4</v>
      </c>
      <c r="B204" s="9" t="s">
        <v>1115</v>
      </c>
      <c r="C204" s="10" t="s">
        <v>311</v>
      </c>
      <c r="D204" s="10" t="s">
        <v>1211</v>
      </c>
      <c r="E204" s="46" t="str">
        <f t="shared" si="3"/>
        <v>firstname199.lastname199@example.com</v>
      </c>
      <c r="F204" s="9"/>
      <c r="G204" s="9"/>
    </row>
    <row r="205" spans="1:7" x14ac:dyDescent="0.35">
      <c r="A205" s="46" t="str">
        <f>IF($C205="","",$C205&amp;"-"&amp;TEXT(COUNTIF($C$5:$C205,$C205),"000")&amp;"-"&amp;IF($D205="","TBD",$D205))</f>
        <v>PSW-137-A6</v>
      </c>
      <c r="B205" s="9" t="s">
        <v>1116</v>
      </c>
      <c r="C205" s="10" t="s">
        <v>311</v>
      </c>
      <c r="D205" s="10" t="s">
        <v>1213</v>
      </c>
      <c r="E205" s="46" t="str">
        <f t="shared" si="3"/>
        <v>firstname200.lastname200@example.com</v>
      </c>
      <c r="F205" s="9"/>
      <c r="G205" s="9"/>
    </row>
    <row r="206" spans="1:7" x14ac:dyDescent="0.35">
      <c r="A206" s="46" t="str">
        <f>IF($C206="","",$C206&amp;"-"&amp;TEXT(COUNTIF($C$5:$C206,$C206),"000")&amp;"-"&amp;IF($D206="","TBD",$D206))</f>
        <v>PSW-138-A4</v>
      </c>
      <c r="B206" s="9" t="s">
        <v>1117</v>
      </c>
      <c r="C206" s="10" t="s">
        <v>311</v>
      </c>
      <c r="D206" s="10" t="s">
        <v>1211</v>
      </c>
      <c r="E206" s="46" t="str">
        <f t="shared" si="3"/>
        <v>firstname201.lastname201@example.com</v>
      </c>
      <c r="F206" s="9"/>
      <c r="G206" s="9"/>
    </row>
    <row r="207" spans="1:7" x14ac:dyDescent="0.35">
      <c r="A207" s="46" t="str">
        <f>IF($C207="","",$C207&amp;"-"&amp;TEXT(COUNTIF($C$5:$C207,$C207),"000")&amp;"-"&amp;IF($D207="","TBD",$D207))</f>
        <v>PSW-139-A4</v>
      </c>
      <c r="B207" s="9" t="s">
        <v>1118</v>
      </c>
      <c r="C207" s="10" t="s">
        <v>311</v>
      </c>
      <c r="D207" s="10" t="s">
        <v>1211</v>
      </c>
      <c r="E207" s="46" t="str">
        <f t="shared" si="3"/>
        <v>firstname202.lastname202@example.com</v>
      </c>
      <c r="F207" s="9"/>
      <c r="G207" s="9"/>
    </row>
    <row r="208" spans="1:7" x14ac:dyDescent="0.35">
      <c r="A208" s="46" t="str">
        <f>IF($C208="","",$C208&amp;"-"&amp;TEXT(COUNTIF($C$5:$C208,$C208),"000")&amp;"-"&amp;IF($D208="","TBD",$D208))</f>
        <v>PSW-140-A7</v>
      </c>
      <c r="B208" s="9" t="s">
        <v>1119</v>
      </c>
      <c r="C208" s="10" t="s">
        <v>311</v>
      </c>
      <c r="D208" s="10" t="s">
        <v>1214</v>
      </c>
      <c r="E208" s="46" t="str">
        <f t="shared" si="3"/>
        <v>firstname203.lastname203@example.com</v>
      </c>
      <c r="F208" s="9"/>
      <c r="G208" s="9"/>
    </row>
    <row r="209" spans="1:7" x14ac:dyDescent="0.35">
      <c r="A209" s="46" t="str">
        <f>IF($C209="","",$C209&amp;"-"&amp;TEXT(COUNTIF($C$5:$C209,$C209),"000")&amp;"-"&amp;IF($D209="","TBD",$D209))</f>
        <v>PSW-141-A6</v>
      </c>
      <c r="B209" s="9" t="s">
        <v>1120</v>
      </c>
      <c r="C209" s="10" t="s">
        <v>311</v>
      </c>
      <c r="D209" s="10" t="s">
        <v>1213</v>
      </c>
      <c r="E209" s="46" t="str">
        <f t="shared" si="3"/>
        <v>firstname204.lastname204@example.com</v>
      </c>
      <c r="F209" s="9"/>
      <c r="G209" s="9"/>
    </row>
    <row r="210" spans="1:7" x14ac:dyDescent="0.35">
      <c r="A210" s="46" t="str">
        <f>IF($C210="","",$C210&amp;"-"&amp;TEXT(COUNTIF($C$5:$C210,$C210),"000")&amp;"-"&amp;IF($D210="","TBD",$D210))</f>
        <v>PSW-142-A6</v>
      </c>
      <c r="B210" s="9" t="s">
        <v>1121</v>
      </c>
      <c r="C210" s="10" t="s">
        <v>311</v>
      </c>
      <c r="D210" s="10" t="s">
        <v>1213</v>
      </c>
      <c r="E210" s="46" t="str">
        <f t="shared" si="3"/>
        <v>firstname205.lastname205@example.com</v>
      </c>
      <c r="F210" s="9"/>
      <c r="G210" s="9"/>
    </row>
    <row r="211" spans="1:7" x14ac:dyDescent="0.35">
      <c r="A211" s="46" t="str">
        <f>IF($C211="","",$C211&amp;"-"&amp;TEXT(COUNTIF($C$5:$C211,$C211),"000")&amp;"-"&amp;IF($D211="","TBD",$D211))</f>
        <v>PSW-143-A4</v>
      </c>
      <c r="B211" s="9" t="s">
        <v>1122</v>
      </c>
      <c r="C211" s="10" t="s">
        <v>311</v>
      </c>
      <c r="D211" s="10" t="s">
        <v>1211</v>
      </c>
      <c r="E211" s="46" t="str">
        <f t="shared" si="3"/>
        <v>firstname206.lastname206@example.com</v>
      </c>
      <c r="F211" s="9"/>
      <c r="G211" s="9"/>
    </row>
    <row r="212" spans="1:7" x14ac:dyDescent="0.35">
      <c r="A212" s="46" t="str">
        <f>IF($C212="","",$C212&amp;"-"&amp;TEXT(COUNTIF($C$5:$C212,$C212),"000")&amp;"-"&amp;IF($D212="","TBD",$D212))</f>
        <v>PSW-144-A6</v>
      </c>
      <c r="B212" s="9" t="s">
        <v>1123</v>
      </c>
      <c r="C212" s="10" t="s">
        <v>311</v>
      </c>
      <c r="D212" s="10" t="s">
        <v>1213</v>
      </c>
      <c r="E212" s="46" t="str">
        <f t="shared" si="3"/>
        <v>firstname207.lastname207@example.com</v>
      </c>
      <c r="F212" s="9"/>
      <c r="G212" s="9"/>
    </row>
    <row r="213" spans="1:7" x14ac:dyDescent="0.35">
      <c r="A213" s="46" t="str">
        <f>IF($C213="","",$C213&amp;"-"&amp;TEXT(COUNTIF($C$5:$C213,$C213),"000")&amp;"-"&amp;IF($D213="","TBD",$D213))</f>
        <v>PSW-145-A5</v>
      </c>
      <c r="B213" s="9" t="s">
        <v>1124</v>
      </c>
      <c r="C213" s="10" t="s">
        <v>311</v>
      </c>
      <c r="D213" s="10" t="s">
        <v>1212</v>
      </c>
      <c r="E213" s="46" t="str">
        <f t="shared" si="3"/>
        <v>firstname208.lastname208@example.com</v>
      </c>
      <c r="F213" s="9"/>
      <c r="G213" s="9"/>
    </row>
    <row r="214" spans="1:7" x14ac:dyDescent="0.35">
      <c r="A214" s="46" t="str">
        <f>IF($C214="","",$C214&amp;"-"&amp;TEXT(COUNTIF($C$5:$C214,$C214),"000")&amp;"-"&amp;IF($D214="","TBD",$D214))</f>
        <v>PSW-146-A5</v>
      </c>
      <c r="B214" s="9" t="s">
        <v>1125</v>
      </c>
      <c r="C214" s="10" t="s">
        <v>311</v>
      </c>
      <c r="D214" s="10" t="s">
        <v>1212</v>
      </c>
      <c r="E214" s="46" t="str">
        <f t="shared" si="3"/>
        <v>firstname209.lastname209@example.com</v>
      </c>
      <c r="F214" s="9"/>
      <c r="G214" s="9"/>
    </row>
    <row r="215" spans="1:7" x14ac:dyDescent="0.35">
      <c r="A215" s="46" t="str">
        <f>IF($C215="","",$C215&amp;"-"&amp;TEXT(COUNTIF($C$5:$C215,$C215),"000")&amp;"-"&amp;IF($D215="","TBD",$D215))</f>
        <v>PSW-147-A5</v>
      </c>
      <c r="B215" s="9" t="s">
        <v>1126</v>
      </c>
      <c r="C215" s="10" t="s">
        <v>311</v>
      </c>
      <c r="D215" s="10" t="s">
        <v>1212</v>
      </c>
      <c r="E215" s="46" t="str">
        <f t="shared" si="3"/>
        <v>firstname210.lastname210@example.com</v>
      </c>
      <c r="F215" s="9"/>
      <c r="G215" s="9"/>
    </row>
    <row r="216" spans="1:7" x14ac:dyDescent="0.35">
      <c r="A216" s="46" t="str">
        <f>IF($C216="","",$C216&amp;"-"&amp;TEXT(COUNTIF($C$5:$C216,$C216),"000")&amp;"-"&amp;IF($D216="","TBD",$D216))</f>
        <v>PSW-148-A6</v>
      </c>
      <c r="B216" s="9" t="s">
        <v>1127</v>
      </c>
      <c r="C216" s="10" t="s">
        <v>311</v>
      </c>
      <c r="D216" s="10" t="s">
        <v>1213</v>
      </c>
      <c r="E216" s="46" t="str">
        <f t="shared" si="3"/>
        <v>firstname211.lastname211@example.com</v>
      </c>
      <c r="F216" s="9"/>
      <c r="G216" s="9"/>
    </row>
    <row r="217" spans="1:7" x14ac:dyDescent="0.35">
      <c r="A217" s="46" t="str">
        <f>IF($C217="","",$C217&amp;"-"&amp;TEXT(COUNTIF($C$5:$C217,$C217),"000")&amp;"-"&amp;IF($D217="","TBD",$D217))</f>
        <v>PSW-149-A5</v>
      </c>
      <c r="B217" s="9" t="s">
        <v>1128</v>
      </c>
      <c r="C217" s="10" t="s">
        <v>311</v>
      </c>
      <c r="D217" s="10" t="s">
        <v>1212</v>
      </c>
      <c r="E217" s="46" t="str">
        <f t="shared" si="3"/>
        <v>firstname212.lastname212@example.com</v>
      </c>
      <c r="F217" s="9"/>
      <c r="G217" s="9"/>
    </row>
    <row r="218" spans="1:7" x14ac:dyDescent="0.35">
      <c r="A218" s="46" t="str">
        <f>IF($C218="","",$C218&amp;"-"&amp;TEXT(COUNTIF($C$5:$C218,$C218),"000")&amp;"-"&amp;IF($D218="","TBD",$D218))</f>
        <v>PSW-150-A5</v>
      </c>
      <c r="B218" s="9" t="s">
        <v>1129</v>
      </c>
      <c r="C218" s="10" t="s">
        <v>311</v>
      </c>
      <c r="D218" s="10" t="s">
        <v>1212</v>
      </c>
      <c r="E218" s="46" t="str">
        <f t="shared" si="3"/>
        <v>firstname213.lastname213@example.com</v>
      </c>
      <c r="F218" s="9"/>
      <c r="G218" s="9"/>
    </row>
    <row r="219" spans="1:7" x14ac:dyDescent="0.35">
      <c r="A219" s="46" t="str">
        <f>IF($C219="","",$C219&amp;"-"&amp;TEXT(COUNTIF($C$5:$C219,$C219),"000")&amp;"-"&amp;IF($D219="","TBD",$D219))</f>
        <v>PSW-151-A4</v>
      </c>
      <c r="B219" s="9" t="s">
        <v>1130</v>
      </c>
      <c r="C219" s="10" t="s">
        <v>311</v>
      </c>
      <c r="D219" s="10" t="s">
        <v>1211</v>
      </c>
      <c r="E219" s="46" t="str">
        <f t="shared" si="3"/>
        <v>firstname214.lastname214@example.com</v>
      </c>
      <c r="F219" s="9"/>
      <c r="G219" s="9"/>
    </row>
    <row r="220" spans="1:7" x14ac:dyDescent="0.35">
      <c r="A220" s="46" t="str">
        <f>IF($C220="","",$C220&amp;"-"&amp;TEXT(COUNTIF($C$5:$C220,$C220),"000")&amp;"-"&amp;IF($D220="","TBD",$D220))</f>
        <v>PSW-152-A6</v>
      </c>
      <c r="B220" s="9" t="s">
        <v>1131</v>
      </c>
      <c r="C220" s="10" t="s">
        <v>311</v>
      </c>
      <c r="D220" s="10" t="s">
        <v>1213</v>
      </c>
      <c r="E220" s="46" t="str">
        <f t="shared" si="3"/>
        <v>firstname215.lastname215@example.com</v>
      </c>
      <c r="F220" s="9"/>
      <c r="G220" s="9"/>
    </row>
    <row r="221" spans="1:7" x14ac:dyDescent="0.35">
      <c r="A221" s="46" t="str">
        <f>IF($C221="","",$C221&amp;"-"&amp;TEXT(COUNTIF($C$5:$C221,$C221),"000")&amp;"-"&amp;IF($D221="","TBD",$D221))</f>
        <v>PSW-153-A7</v>
      </c>
      <c r="B221" s="9" t="s">
        <v>1132</v>
      </c>
      <c r="C221" s="10" t="s">
        <v>311</v>
      </c>
      <c r="D221" s="10" t="s">
        <v>1214</v>
      </c>
      <c r="E221" s="46" t="str">
        <f t="shared" si="3"/>
        <v>firstname216.lastname216@example.com</v>
      </c>
      <c r="F221" s="9"/>
      <c r="G221" s="9"/>
    </row>
    <row r="222" spans="1:7" x14ac:dyDescent="0.35">
      <c r="A222" s="46" t="str">
        <f>IF($C222="","",$C222&amp;"-"&amp;TEXT(COUNTIF($C$5:$C222,$C222),"000")&amp;"-"&amp;IF($D222="","TBD",$D222))</f>
        <v>PSW-154-A6</v>
      </c>
      <c r="B222" s="9" t="s">
        <v>1133</v>
      </c>
      <c r="C222" s="10" t="s">
        <v>311</v>
      </c>
      <c r="D222" s="10" t="s">
        <v>1213</v>
      </c>
      <c r="E222" s="46" t="str">
        <f t="shared" si="3"/>
        <v>firstname217.lastname217@example.com</v>
      </c>
      <c r="F222" s="9"/>
      <c r="G222" s="9"/>
    </row>
    <row r="223" spans="1:7" x14ac:dyDescent="0.35">
      <c r="A223" s="46" t="str">
        <f>IF($C223="","",$C223&amp;"-"&amp;TEXT(COUNTIF($C$5:$C223,$C223),"000")&amp;"-"&amp;IF($D223="","TBD",$D223))</f>
        <v>PSW-155-A5</v>
      </c>
      <c r="B223" s="9" t="s">
        <v>1134</v>
      </c>
      <c r="C223" s="10" t="s">
        <v>311</v>
      </c>
      <c r="D223" s="10" t="s">
        <v>1212</v>
      </c>
      <c r="E223" s="46" t="str">
        <f t="shared" si="3"/>
        <v>firstname218.lastname218@example.com</v>
      </c>
      <c r="F223" s="9"/>
      <c r="G223" s="9"/>
    </row>
    <row r="224" spans="1:7" x14ac:dyDescent="0.35">
      <c r="A224" s="46" t="str">
        <f>IF($C224="","",$C224&amp;"-"&amp;TEXT(COUNTIF($C$5:$C224,$C224),"000")&amp;"-"&amp;IF($D224="","TBD",$D224))</f>
        <v>PSW-156-A5</v>
      </c>
      <c r="B224" s="9" t="s">
        <v>1135</v>
      </c>
      <c r="C224" s="10" t="s">
        <v>311</v>
      </c>
      <c r="D224" s="10" t="s">
        <v>1212</v>
      </c>
      <c r="E224" s="46" t="str">
        <f t="shared" si="3"/>
        <v>firstname219.lastname219@example.com</v>
      </c>
      <c r="F224" s="9"/>
      <c r="G224" s="9"/>
    </row>
    <row r="225" spans="1:7" x14ac:dyDescent="0.35">
      <c r="A225" s="46" t="str">
        <f>IF($C225="","",$C225&amp;"-"&amp;TEXT(COUNTIF($C$5:$C225,$C225),"000")&amp;"-"&amp;IF($D225="","TBD",$D225))</f>
        <v>PSW-157-A5</v>
      </c>
      <c r="B225" s="9" t="s">
        <v>1136</v>
      </c>
      <c r="C225" s="10" t="s">
        <v>311</v>
      </c>
      <c r="D225" s="10" t="s">
        <v>1212</v>
      </c>
      <c r="E225" s="46" t="str">
        <f t="shared" si="3"/>
        <v>firstname220.lastname220@example.com</v>
      </c>
      <c r="F225" s="9"/>
      <c r="G225" s="9"/>
    </row>
    <row r="226" spans="1:7" x14ac:dyDescent="0.35">
      <c r="A226" s="46" t="str">
        <f>IF($C226="","",$C226&amp;"-"&amp;TEXT(COUNTIF($C$5:$C226,$C226),"000")&amp;"-"&amp;IF($D226="","TBD",$D226))</f>
        <v>PSW-158-A4</v>
      </c>
      <c r="B226" s="9" t="s">
        <v>1137</v>
      </c>
      <c r="C226" s="10" t="s">
        <v>311</v>
      </c>
      <c r="D226" s="10" t="s">
        <v>1211</v>
      </c>
      <c r="E226" s="46" t="str">
        <f t="shared" si="3"/>
        <v>firstname221.lastname221@example.com</v>
      </c>
      <c r="F226" s="9"/>
      <c r="G226" s="9"/>
    </row>
    <row r="227" spans="1:7" x14ac:dyDescent="0.35">
      <c r="A227" s="46" t="str">
        <f>IF($C227="","",$C227&amp;"-"&amp;TEXT(COUNTIF($C$5:$C227,$C227),"000")&amp;"-"&amp;IF($D227="","TBD",$D227))</f>
        <v>PSW-159-A6</v>
      </c>
      <c r="B227" s="9" t="s">
        <v>1138</v>
      </c>
      <c r="C227" s="10" t="s">
        <v>311</v>
      </c>
      <c r="D227" s="10" t="s">
        <v>1213</v>
      </c>
      <c r="E227" s="46" t="str">
        <f t="shared" si="3"/>
        <v>firstname222.lastname222@example.com</v>
      </c>
      <c r="F227" s="9"/>
      <c r="G227" s="9"/>
    </row>
    <row r="228" spans="1:7" x14ac:dyDescent="0.35">
      <c r="A228" s="46" t="str">
        <f>IF($C228="","",$C228&amp;"-"&amp;TEXT(COUNTIF($C$5:$C228,$C228),"000")&amp;"-"&amp;IF($D228="","TBD",$D228))</f>
        <v>PSW-160-A7</v>
      </c>
      <c r="B228" s="9" t="s">
        <v>1139</v>
      </c>
      <c r="C228" s="10" t="s">
        <v>311</v>
      </c>
      <c r="D228" s="10" t="s">
        <v>1214</v>
      </c>
      <c r="E228" s="46" t="str">
        <f t="shared" si="3"/>
        <v>firstname223.lastname223@example.com</v>
      </c>
      <c r="F228" s="9"/>
      <c r="G228" s="9"/>
    </row>
    <row r="229" spans="1:7" x14ac:dyDescent="0.35">
      <c r="A229" s="46" t="str">
        <f>IF($C229="","",$C229&amp;"-"&amp;TEXT(COUNTIF($C$5:$C229,$C229),"000")&amp;"-"&amp;IF($D229="","TBD",$D229))</f>
        <v>PSW-161-A6</v>
      </c>
      <c r="B229" s="9" t="s">
        <v>1140</v>
      </c>
      <c r="C229" s="10" t="s">
        <v>311</v>
      </c>
      <c r="D229" s="10" t="s">
        <v>1213</v>
      </c>
      <c r="E229" s="46" t="str">
        <f t="shared" si="3"/>
        <v>firstname224.lastname224@example.com</v>
      </c>
      <c r="F229" s="9"/>
      <c r="G229" s="9"/>
    </row>
    <row r="230" spans="1:7" x14ac:dyDescent="0.35">
      <c r="A230" s="46" t="str">
        <f>IF($C230="","",$C230&amp;"-"&amp;TEXT(COUNTIF($C$5:$C230,$C230),"000")&amp;"-"&amp;IF($D230="","TBD",$D230))</f>
        <v>PSW-162-A6</v>
      </c>
      <c r="B230" s="9" t="s">
        <v>1141</v>
      </c>
      <c r="C230" s="10" t="s">
        <v>311</v>
      </c>
      <c r="D230" s="10" t="s">
        <v>1213</v>
      </c>
      <c r="E230" s="46" t="str">
        <f t="shared" si="3"/>
        <v>firstname225.lastname225@example.com</v>
      </c>
      <c r="F230" s="9"/>
      <c r="G230" s="9"/>
    </row>
    <row r="231" spans="1:7" x14ac:dyDescent="0.35">
      <c r="A231" s="46" t="str">
        <f>IF($C231="","",$C231&amp;"-"&amp;TEXT(COUNTIF($C$5:$C231,$C231),"000")&amp;"-"&amp;IF($D231="","TBD",$D231))</f>
        <v>PSW-163-A5</v>
      </c>
      <c r="B231" s="9" t="s">
        <v>1142</v>
      </c>
      <c r="C231" s="10" t="s">
        <v>311</v>
      </c>
      <c r="D231" s="10" t="s">
        <v>1212</v>
      </c>
      <c r="E231" s="46" t="str">
        <f t="shared" si="3"/>
        <v>firstname226.lastname226@example.com</v>
      </c>
      <c r="F231" s="9"/>
      <c r="G231" s="9"/>
    </row>
    <row r="232" spans="1:7" x14ac:dyDescent="0.35">
      <c r="A232" s="46" t="str">
        <f>IF($C232="","",$C232&amp;"-"&amp;TEXT(COUNTIF($C$5:$C232,$C232),"000")&amp;"-"&amp;IF($D232="","TBD",$D232))</f>
        <v>PSW-164-A6</v>
      </c>
      <c r="B232" s="9" t="s">
        <v>1143</v>
      </c>
      <c r="C232" s="10" t="s">
        <v>311</v>
      </c>
      <c r="D232" s="10" t="s">
        <v>1213</v>
      </c>
      <c r="E232" s="46" t="str">
        <f t="shared" si="3"/>
        <v>firstname227.lastname227@example.com</v>
      </c>
      <c r="F232" s="9"/>
      <c r="G232" s="9"/>
    </row>
    <row r="233" spans="1:7" x14ac:dyDescent="0.35">
      <c r="A233" s="46" t="str">
        <f>IF($C233="","",$C233&amp;"-"&amp;TEXT(COUNTIF($C$5:$C233,$C233),"000")&amp;"-"&amp;IF($D233="","TBD",$D233))</f>
        <v>PSW-165-A6</v>
      </c>
      <c r="B233" s="9" t="s">
        <v>1144</v>
      </c>
      <c r="C233" s="10" t="s">
        <v>311</v>
      </c>
      <c r="D233" s="10" t="s">
        <v>1213</v>
      </c>
      <c r="E233" s="46" t="str">
        <f t="shared" si="3"/>
        <v>firstname228.lastname228@example.com</v>
      </c>
      <c r="F233" s="9"/>
      <c r="G233" s="9"/>
    </row>
    <row r="234" spans="1:7" x14ac:dyDescent="0.35">
      <c r="A234" s="46" t="str">
        <f>IF($C234="","",$C234&amp;"-"&amp;TEXT(COUNTIF($C$5:$C234,$C234),"000")&amp;"-"&amp;IF($D234="","TBD",$D234))</f>
        <v>PSW-166-A5</v>
      </c>
      <c r="B234" s="9" t="s">
        <v>1145</v>
      </c>
      <c r="C234" s="10" t="s">
        <v>311</v>
      </c>
      <c r="D234" s="10" t="s">
        <v>1212</v>
      </c>
      <c r="E234" s="46" t="str">
        <f t="shared" si="3"/>
        <v>firstname229.lastname229@example.com</v>
      </c>
      <c r="F234" s="9"/>
      <c r="G234" s="9"/>
    </row>
    <row r="235" spans="1:7" x14ac:dyDescent="0.35">
      <c r="A235" s="46" t="str">
        <f>IF($C235="","",$C235&amp;"-"&amp;TEXT(COUNTIF($C$5:$C235,$C235),"000")&amp;"-"&amp;IF($D235="","TBD",$D235))</f>
        <v>PSW-167-A4</v>
      </c>
      <c r="B235" s="9" t="s">
        <v>1146</v>
      </c>
      <c r="C235" s="10" t="s">
        <v>311</v>
      </c>
      <c r="D235" s="10" t="s">
        <v>1211</v>
      </c>
      <c r="E235" s="46" t="str">
        <f t="shared" si="3"/>
        <v>firstname230.lastname230@example.com</v>
      </c>
      <c r="F235" s="9"/>
      <c r="G235" s="9"/>
    </row>
    <row r="236" spans="1:7" x14ac:dyDescent="0.35">
      <c r="A236" s="46" t="str">
        <f>IF($C236="","",$C236&amp;"-"&amp;TEXT(COUNTIF($C$5:$C236,$C236),"000")&amp;"-"&amp;IF($D236="","TBD",$D236))</f>
        <v>PSW-168-A6</v>
      </c>
      <c r="B236" s="9" t="s">
        <v>1147</v>
      </c>
      <c r="C236" s="10" t="s">
        <v>311</v>
      </c>
      <c r="D236" s="10" t="s">
        <v>1213</v>
      </c>
      <c r="E236" s="46" t="str">
        <f t="shared" si="3"/>
        <v>firstname231.lastname231@example.com</v>
      </c>
      <c r="F236" s="9"/>
      <c r="G236" s="9"/>
    </row>
    <row r="237" spans="1:7" x14ac:dyDescent="0.35">
      <c r="A237" s="46" t="str">
        <f>IF($C237="","",$C237&amp;"-"&amp;TEXT(COUNTIF($C$5:$C237,$C237),"000")&amp;"-"&amp;IF($D237="","TBD",$D237))</f>
        <v>PSW-169-A6</v>
      </c>
      <c r="B237" s="9" t="s">
        <v>1148</v>
      </c>
      <c r="C237" s="10" t="s">
        <v>311</v>
      </c>
      <c r="D237" s="10" t="s">
        <v>1213</v>
      </c>
      <c r="E237" s="46" t="str">
        <f t="shared" si="3"/>
        <v>firstname232.lastname232@example.com</v>
      </c>
      <c r="F237" s="9"/>
      <c r="G237" s="9"/>
    </row>
    <row r="238" spans="1:7" x14ac:dyDescent="0.35">
      <c r="A238" s="46" t="str">
        <f>IF($C238="","",$C238&amp;"-"&amp;TEXT(COUNTIF($C$5:$C238,$C238),"000")&amp;"-"&amp;IF($D238="","TBD",$D238))</f>
        <v>PSW-170-A4</v>
      </c>
      <c r="B238" s="9" t="s">
        <v>1149</v>
      </c>
      <c r="C238" s="10" t="s">
        <v>311</v>
      </c>
      <c r="D238" s="10" t="s">
        <v>1211</v>
      </c>
      <c r="E238" s="46" t="str">
        <f t="shared" si="3"/>
        <v>firstname233.lastname233@example.com</v>
      </c>
      <c r="F238" s="9"/>
      <c r="G238" s="9"/>
    </row>
    <row r="239" spans="1:7" x14ac:dyDescent="0.35">
      <c r="A239" s="46" t="str">
        <f>IF($C239="","",$C239&amp;"-"&amp;TEXT(COUNTIF($C$5:$C239,$C239),"000")&amp;"-"&amp;IF($D239="","TBD",$D239))</f>
        <v>PSW-171-A4</v>
      </c>
      <c r="B239" s="9" t="s">
        <v>1150</v>
      </c>
      <c r="C239" s="10" t="s">
        <v>311</v>
      </c>
      <c r="D239" s="10" t="s">
        <v>1211</v>
      </c>
      <c r="E239" s="46" t="str">
        <f t="shared" si="3"/>
        <v>firstname234.lastname234@example.com</v>
      </c>
      <c r="F239" s="9"/>
      <c r="G239" s="9"/>
    </row>
    <row r="240" spans="1:7" x14ac:dyDescent="0.35">
      <c r="A240" s="46" t="str">
        <f>IF($C240="","",$C240&amp;"-"&amp;TEXT(COUNTIF($C$5:$C240,$C240),"000")&amp;"-"&amp;IF($D240="","TBD",$D240))</f>
        <v>PSW-172-TBD</v>
      </c>
      <c r="B240" s="9" t="s">
        <v>1151</v>
      </c>
      <c r="C240" s="10" t="s">
        <v>311</v>
      </c>
      <c r="D240" s="10"/>
      <c r="E240" s="46" t="str">
        <f t="shared" si="3"/>
        <v>firstname235.lastname235@example.com</v>
      </c>
      <c r="F240" s="9"/>
      <c r="G240" s="9"/>
    </row>
    <row r="241" spans="1:7" x14ac:dyDescent="0.35">
      <c r="A241" s="46" t="str">
        <f>IF($C241="","",$C241&amp;"-"&amp;TEXT(COUNTIF($C$5:$C241,$C241),"000")&amp;"-"&amp;IF($D241="","TBD",$D241))</f>
        <v>PSW-173-TBD</v>
      </c>
      <c r="B241" s="9" t="s">
        <v>1152</v>
      </c>
      <c r="C241" s="10" t="s">
        <v>311</v>
      </c>
      <c r="D241" s="10"/>
      <c r="E241" s="46" t="str">
        <f t="shared" si="3"/>
        <v>firstname236.lastname236@example.com</v>
      </c>
      <c r="F241" s="9"/>
      <c r="G241" s="9"/>
    </row>
    <row r="242" spans="1:7" x14ac:dyDescent="0.35">
      <c r="A242" s="46" t="str">
        <f>IF($C242="","",$C242&amp;"-"&amp;TEXT(COUNTIF($C$5:$C242,$C242),"000")&amp;"-"&amp;IF($D242="","TBD",$D242))</f>
        <v>PSW-174-TBD</v>
      </c>
      <c r="B242" s="9" t="s">
        <v>1153</v>
      </c>
      <c r="C242" s="10" t="s">
        <v>311</v>
      </c>
      <c r="D242" s="10"/>
      <c r="E242" s="46" t="str">
        <f t="shared" si="3"/>
        <v>firstname237.lastname237@example.com</v>
      </c>
      <c r="F242" s="9"/>
      <c r="G242" s="9"/>
    </row>
    <row r="243" spans="1:7" x14ac:dyDescent="0.35">
      <c r="A243" s="46" t="str">
        <f>IF($C243="","",$C243&amp;"-"&amp;TEXT(COUNTIF($C$5:$C243,$C243),"000")&amp;"-"&amp;IF($D243="","TBD",$D243))</f>
        <v>PSW-175-TBD</v>
      </c>
      <c r="B243" s="9" t="s">
        <v>1154</v>
      </c>
      <c r="C243" s="10" t="s">
        <v>311</v>
      </c>
      <c r="D243" s="10"/>
      <c r="E243" s="46" t="str">
        <f t="shared" si="3"/>
        <v>firstname238.lastname238@example.com</v>
      </c>
      <c r="F243" s="9"/>
      <c r="G243" s="9"/>
    </row>
    <row r="244" spans="1:7" x14ac:dyDescent="0.35">
      <c r="A244" s="46" t="str">
        <f>IF($C244="","",$C244&amp;"-"&amp;TEXT(COUNTIF($C$5:$C244,$C244),"000")&amp;"-"&amp;IF($D244="","TBD",$D244))</f>
        <v>PSW-176-TBD</v>
      </c>
      <c r="B244" s="9" t="s">
        <v>1155</v>
      </c>
      <c r="C244" s="10" t="s">
        <v>311</v>
      </c>
      <c r="D244" s="10"/>
      <c r="E244" s="46" t="str">
        <f t="shared" si="3"/>
        <v>firstname239.lastname239@example.com</v>
      </c>
      <c r="F244" s="9"/>
      <c r="G244" s="9"/>
    </row>
    <row r="245" spans="1:7" x14ac:dyDescent="0.35">
      <c r="A245" s="46" t="str">
        <f>IF($C245="","",$C245&amp;"-"&amp;TEXT(COUNTIF($C$5:$C245,$C245),"000")&amp;"-"&amp;IF($D245="","TBD",$D245))</f>
        <v>PSW-177-TBD</v>
      </c>
      <c r="B245" s="9" t="s">
        <v>1156</v>
      </c>
      <c r="C245" s="10" t="s">
        <v>311</v>
      </c>
      <c r="D245" s="10"/>
      <c r="E245" s="46" t="str">
        <f t="shared" si="3"/>
        <v>firstname240.lastname240@example.com</v>
      </c>
      <c r="F245" s="9"/>
      <c r="G245" s="9"/>
    </row>
    <row r="246" spans="1:7" x14ac:dyDescent="0.35">
      <c r="A246" s="46" t="str">
        <f>IF($C246="","",$C246&amp;"-"&amp;TEXT(COUNTIF($C$5:$C246,$C246),"000")&amp;"-"&amp;IF($D246="","TBD",$D246))</f>
        <v>PSW-178-TBD</v>
      </c>
      <c r="B246" s="9" t="s">
        <v>1157</v>
      </c>
      <c r="C246" s="10" t="s">
        <v>311</v>
      </c>
      <c r="D246" s="10"/>
      <c r="E246" s="46" t="str">
        <f t="shared" si="3"/>
        <v>firstname241.lastname241@example.com</v>
      </c>
      <c r="F246" s="9"/>
      <c r="G246" s="9"/>
    </row>
    <row r="247" spans="1:7" x14ac:dyDescent="0.35">
      <c r="A247" s="46" t="str">
        <f>IF($C247="","",$C247&amp;"-"&amp;TEXT(COUNTIF($C$5:$C247,$C247),"000")&amp;"-"&amp;IF($D247="","TBD",$D247))</f>
        <v>PSW-179-TBD</v>
      </c>
      <c r="B247" s="9" t="s">
        <v>1158</v>
      </c>
      <c r="C247" s="10" t="s">
        <v>311</v>
      </c>
      <c r="D247" s="10"/>
      <c r="E247" s="46" t="str">
        <f t="shared" si="3"/>
        <v>firstname242.lastname242@example.com</v>
      </c>
      <c r="F247" s="9"/>
      <c r="G247" s="9"/>
    </row>
    <row r="248" spans="1:7" x14ac:dyDescent="0.35">
      <c r="A248" s="46" t="str">
        <f>IF($C248="","",$C248&amp;"-"&amp;TEXT(COUNTIF($C$5:$C248,$C248),"000")&amp;"-"&amp;IF($D248="","TBD",$D248))</f>
        <v>PSW-180-A6</v>
      </c>
      <c r="B248" s="9" t="s">
        <v>1159</v>
      </c>
      <c r="C248" s="10" t="s">
        <v>311</v>
      </c>
      <c r="D248" s="10" t="s">
        <v>1213</v>
      </c>
      <c r="E248" s="46" t="str">
        <f t="shared" si="3"/>
        <v>firstname243.lastname243@example.com</v>
      </c>
      <c r="F248" s="9"/>
      <c r="G248" s="9"/>
    </row>
    <row r="249" spans="1:7" x14ac:dyDescent="0.35">
      <c r="A249" s="46" t="str">
        <f>IF($C249="","",$C249&amp;"-"&amp;TEXT(COUNTIF($C$5:$C249,$C249),"000")&amp;"-"&amp;IF($D249="","TBD",$D249))</f>
        <v>PSW-181-TBD</v>
      </c>
      <c r="B249" s="9" t="s">
        <v>1160</v>
      </c>
      <c r="C249" s="10" t="s">
        <v>311</v>
      </c>
      <c r="D249" s="10"/>
      <c r="E249" s="46" t="str">
        <f t="shared" si="3"/>
        <v>firstname244.lastname244@example.com</v>
      </c>
      <c r="F249" s="9"/>
      <c r="G249" s="9"/>
    </row>
    <row r="250" spans="1:7" x14ac:dyDescent="0.35">
      <c r="A250" s="46" t="str">
        <f>IF($C250="","",$C250&amp;"-"&amp;TEXT(COUNTIF($C$5:$C250,$C250),"000")&amp;"-"&amp;IF($D250="","TBD",$D250))</f>
        <v>PSW-182-A5</v>
      </c>
      <c r="B250" s="9" t="s">
        <v>1161</v>
      </c>
      <c r="C250" s="10" t="s">
        <v>311</v>
      </c>
      <c r="D250" s="10" t="s">
        <v>1212</v>
      </c>
      <c r="E250" s="46" t="str">
        <f t="shared" si="3"/>
        <v>firstname245.lastname245@example.com</v>
      </c>
      <c r="F250" s="9"/>
      <c r="G250" s="9"/>
    </row>
    <row r="251" spans="1:7" x14ac:dyDescent="0.35">
      <c r="A251" s="46" t="str">
        <f>IF($C251="","",$C251&amp;"-"&amp;TEXT(COUNTIF($C$5:$C251,$C251),"000")&amp;"-"&amp;IF($D251="","TBD",$D251))</f>
        <v>PSW-183-TBD</v>
      </c>
      <c r="B251" s="9" t="s">
        <v>1162</v>
      </c>
      <c r="C251" s="10" t="s">
        <v>311</v>
      </c>
      <c r="D251" s="9"/>
      <c r="E251" s="46" t="str">
        <f t="shared" si="3"/>
        <v>firstname246.lastname246@example.com</v>
      </c>
      <c r="F251" s="9"/>
      <c r="G251" s="9"/>
    </row>
    <row r="252" spans="1:7" x14ac:dyDescent="0.35">
      <c r="A252" s="46" t="str">
        <f>IF($C252="","",$C252&amp;"-"&amp;TEXT(COUNTIF($C$5:$C252,$C252),"000")&amp;"-"&amp;IF($D252="","TBD",$D252))</f>
        <v>PSW-184-TBD</v>
      </c>
      <c r="B252" s="9" t="s">
        <v>1163</v>
      </c>
      <c r="C252" s="10" t="s">
        <v>311</v>
      </c>
      <c r="D252" s="9"/>
      <c r="E252" s="46" t="str">
        <f t="shared" si="3"/>
        <v>firstname247.lastname247@example.com</v>
      </c>
      <c r="F252" s="9"/>
      <c r="G252" s="9"/>
    </row>
    <row r="253" spans="1:7" x14ac:dyDescent="0.35">
      <c r="A253" s="46" t="str">
        <f>IF($C253="","",$C253&amp;"-"&amp;TEXT(COUNTIF($C$5:$C253,$C253),"000")&amp;"-"&amp;IF($D253="","TBD",$D253))</f>
        <v>PSW-185-TBD</v>
      </c>
      <c r="B253" s="9" t="s">
        <v>1164</v>
      </c>
      <c r="C253" s="10" t="s">
        <v>311</v>
      </c>
      <c r="D253" s="9"/>
      <c r="E253" s="46" t="str">
        <f t="shared" si="3"/>
        <v>firstname248.lastname248@example.com</v>
      </c>
      <c r="F253" s="9"/>
      <c r="G253" s="9"/>
    </row>
    <row r="254" spans="1:7" x14ac:dyDescent="0.35">
      <c r="A254" s="46" t="str">
        <f>IF($C254="","",$C254&amp;"-"&amp;TEXT(COUNTIF($C$5:$C254,$C254),"000")&amp;"-"&amp;IF($D254="","TBD",$D254))</f>
        <v>PSW-186-TBD</v>
      </c>
      <c r="B254" s="9" t="s">
        <v>1165</v>
      </c>
      <c r="C254" s="10" t="s">
        <v>311</v>
      </c>
      <c r="D254" s="9"/>
      <c r="E254" s="46" t="str">
        <f t="shared" si="3"/>
        <v>firstname249.lastname249@example.com</v>
      </c>
      <c r="F254" s="9"/>
      <c r="G254" s="9"/>
    </row>
    <row r="255" spans="1:7" x14ac:dyDescent="0.35">
      <c r="A255" s="46" t="str">
        <f>IF($C255="","",$C255&amp;"-"&amp;TEXT(COUNTIF($C$5:$C255,$C255),"000")&amp;"-"&amp;IF($D255="","TBD",$D255))</f>
        <v>PSW-187-TBD</v>
      </c>
      <c r="B255" s="9" t="s">
        <v>1166</v>
      </c>
      <c r="C255" s="10" t="s">
        <v>311</v>
      </c>
      <c r="D255" s="9"/>
      <c r="E255" s="46" t="str">
        <f t="shared" si="3"/>
        <v>firstname250.lastname250@example.com</v>
      </c>
      <c r="F255" s="9"/>
      <c r="G255" s="9"/>
    </row>
    <row r="256" spans="1:7" x14ac:dyDescent="0.35">
      <c r="A256" s="46" t="str">
        <f>IF($C256="","",$C256&amp;"-"&amp;TEXT(COUNTIF($C$5:$C256,$C256),"000")&amp;"-"&amp;IF($D256="","TBD",$D256))</f>
        <v>PSW-188-TBD</v>
      </c>
      <c r="B256" s="9" t="s">
        <v>1167</v>
      </c>
      <c r="C256" s="10" t="s">
        <v>311</v>
      </c>
      <c r="D256" s="9"/>
      <c r="E256" s="46" t="str">
        <f t="shared" si="3"/>
        <v>firstname251.lastname251@example.com</v>
      </c>
      <c r="F256" s="9"/>
      <c r="G256" s="9"/>
    </row>
    <row r="257" spans="1:7" x14ac:dyDescent="0.35">
      <c r="A257" s="46" t="str">
        <f>IF($C257="","",$C257&amp;"-"&amp;TEXT(COUNTIF($C$5:$C257,$C257),"000")&amp;"-"&amp;IF($D257="","TBD",$D257))</f>
        <v>PSW-189-TBD</v>
      </c>
      <c r="B257" s="9" t="s">
        <v>1168</v>
      </c>
      <c r="C257" s="10" t="s">
        <v>311</v>
      </c>
      <c r="D257" s="9"/>
      <c r="E257" s="46" t="str">
        <f t="shared" si="3"/>
        <v>firstname252.lastname252@example.com</v>
      </c>
      <c r="F257" s="9"/>
      <c r="G257" s="9"/>
    </row>
    <row r="258" spans="1:7" x14ac:dyDescent="0.35">
      <c r="A258" s="46" t="str">
        <f>IF($C258="","",$C258&amp;"-"&amp;TEXT(COUNTIF($C$5:$C258,$C258),"000")&amp;"-"&amp;IF($D258="","TBD",$D258))</f>
        <v>PSW-190-TBD</v>
      </c>
      <c r="B258" s="9" t="s">
        <v>1169</v>
      </c>
      <c r="C258" s="10" t="s">
        <v>311</v>
      </c>
      <c r="D258" s="9"/>
      <c r="E258" s="46" t="str">
        <f t="shared" si="3"/>
        <v>firstname253.lastname253@example.com</v>
      </c>
      <c r="F258" s="9"/>
      <c r="G258" s="9"/>
    </row>
    <row r="259" spans="1:7" x14ac:dyDescent="0.35">
      <c r="A259" s="46" t="str">
        <f>IF($C259="","",$C259&amp;"-"&amp;TEXT(COUNTIF($C$5:$C259,$C259),"000")&amp;"-"&amp;IF($D259="","TBD",$D259))</f>
        <v>PSW-191-TBD</v>
      </c>
      <c r="B259" s="9" t="s">
        <v>1170</v>
      </c>
      <c r="C259" s="10" t="s">
        <v>311</v>
      </c>
      <c r="D259" s="9"/>
      <c r="E259" s="46" t="str">
        <f t="shared" si="3"/>
        <v>firstname254.lastname254@example.com</v>
      </c>
      <c r="F259" s="9"/>
      <c r="G259" s="9"/>
    </row>
    <row r="260" spans="1:7" x14ac:dyDescent="0.35">
      <c r="A260" s="46" t="str">
        <f>IF($C260="","",$C260&amp;"-"&amp;TEXT(COUNTIF($C$5:$C260,$C260),"000")&amp;"-"&amp;IF($D260="","TBD",$D260))</f>
        <v>PSW-192-TBD</v>
      </c>
      <c r="B260" s="9" t="s">
        <v>1171</v>
      </c>
      <c r="C260" s="10" t="s">
        <v>311</v>
      </c>
      <c r="D260" s="9"/>
      <c r="E260" s="46" t="str">
        <f t="shared" si="3"/>
        <v>firstname255.lastname255@example.com</v>
      </c>
      <c r="F260" s="9"/>
      <c r="G260" s="9"/>
    </row>
    <row r="261" spans="1:7" x14ac:dyDescent="0.35">
      <c r="A261" s="46" t="str">
        <f>IF($C261="","",$C261&amp;"-"&amp;TEXT(COUNTIF($C$5:$C261,$C261),"000")&amp;"-"&amp;IF($D261="","TBD",$D261))</f>
        <v>PSW-193-TBD</v>
      </c>
      <c r="B261" s="9" t="s">
        <v>1172</v>
      </c>
      <c r="C261" s="10" t="s">
        <v>311</v>
      </c>
      <c r="D261" s="9"/>
      <c r="E261" s="46" t="str">
        <f t="shared" si="3"/>
        <v>firstname256.lastname256@example.com</v>
      </c>
      <c r="F261" s="9"/>
      <c r="G261" s="9"/>
    </row>
    <row r="262" spans="1:7" x14ac:dyDescent="0.35">
      <c r="A262" s="46" t="str">
        <f>IF($C262="","",$C262&amp;"-"&amp;TEXT(COUNTIF($C$5:$C262,$C262),"000")&amp;"-"&amp;IF($D262="","TBD",$D262))</f>
        <v>OEE-002-A3</v>
      </c>
      <c r="B262" s="9" t="s">
        <v>1173</v>
      </c>
      <c r="C262" s="10" t="s">
        <v>313</v>
      </c>
      <c r="D262" s="10" t="s">
        <v>1210</v>
      </c>
      <c r="E262" s="46" t="str">
        <f t="shared" ref="E262:E270" si="4">IF($B262="","",IFERROR(LOWER(SUBSTITUTE(TRIM(MID($B262,FIND(",",$B262)+1,255))," ",".")&amp;"."&amp;SUBSTITUTE(TRIM(LEFT($B262,FIND(",",$B262)-1))," ","."))&amp;"@example.com",""))</f>
        <v>firstname257.lastname257@example.com</v>
      </c>
      <c r="F262" s="9"/>
      <c r="G262" s="9"/>
    </row>
    <row r="263" spans="1:7" x14ac:dyDescent="0.35">
      <c r="A263" s="46" t="str">
        <f>IF($C263="","",$C263&amp;"-"&amp;TEXT(COUNTIF($C$5:$C263,$C263),"000")&amp;"-"&amp;IF($D263="","TBD",$D263))</f>
        <v>OEE-003-A3</v>
      </c>
      <c r="B263" s="9" t="s">
        <v>1174</v>
      </c>
      <c r="C263" s="10" t="s">
        <v>313</v>
      </c>
      <c r="D263" s="10" t="s">
        <v>1210</v>
      </c>
      <c r="E263" s="46" t="str">
        <f t="shared" si="4"/>
        <v>firstname258.lastname258@example.com</v>
      </c>
      <c r="F263" s="9"/>
      <c r="G263" s="9"/>
    </row>
    <row r="264" spans="1:7" x14ac:dyDescent="0.35">
      <c r="A264" s="46" t="str">
        <f>IF($C264="","",$C264&amp;"-"&amp;TEXT(COUNTIF($C$5:$C264,$C264),"000")&amp;"-"&amp;IF($D264="","TBD",$D264))</f>
        <v>OEE-004-A3</v>
      </c>
      <c r="B264" s="9" t="s">
        <v>1175</v>
      </c>
      <c r="C264" s="10" t="s">
        <v>313</v>
      </c>
      <c r="D264" s="10" t="s">
        <v>1210</v>
      </c>
      <c r="E264" s="46" t="str">
        <f t="shared" si="4"/>
        <v>firstname259.lastname259@example.com</v>
      </c>
      <c r="F264" s="9"/>
      <c r="G264" s="9"/>
    </row>
    <row r="265" spans="1:7" x14ac:dyDescent="0.35">
      <c r="A265" s="46" t="str">
        <f>IF($C265="","",$C265&amp;"-"&amp;TEXT(COUNTIF($C$5:$C265,$C265),"000")&amp;"-"&amp;IF($D265="","TBD",$D265))</f>
        <v>OEE-005-A3</v>
      </c>
      <c r="B265" s="9" t="s">
        <v>1176</v>
      </c>
      <c r="C265" s="10" t="s">
        <v>313</v>
      </c>
      <c r="D265" s="10" t="s">
        <v>1210</v>
      </c>
      <c r="E265" s="46" t="str">
        <f t="shared" si="4"/>
        <v>firstname260.lastname260@example.com</v>
      </c>
      <c r="F265" s="9"/>
      <c r="G265" s="9"/>
    </row>
    <row r="266" spans="1:7" x14ac:dyDescent="0.35">
      <c r="A266" s="46" t="str">
        <f>IF($C266="","",$C266&amp;"-"&amp;TEXT(COUNTIF($C$5:$C266,$C266),"000")&amp;"-"&amp;IF($D266="","TBD",$D266))</f>
        <v>OEE-006-A3</v>
      </c>
      <c r="B266" s="9" t="s">
        <v>1177</v>
      </c>
      <c r="C266" s="10" t="s">
        <v>313</v>
      </c>
      <c r="D266" s="10" t="s">
        <v>1210</v>
      </c>
      <c r="E266" s="46" t="str">
        <f t="shared" si="4"/>
        <v>firstname261.lastname261@example.com</v>
      </c>
      <c r="F266" s="9"/>
      <c r="G266" s="9"/>
    </row>
    <row r="267" spans="1:7" x14ac:dyDescent="0.35">
      <c r="A267" s="46" t="str">
        <f>IF($C267="","",$C267&amp;"-"&amp;TEXT(COUNTIF($C$5:$C267,$C267),"000")&amp;"-"&amp;IF($D267="","TBD",$D267))</f>
        <v>OEE-007-A3</v>
      </c>
      <c r="B267" s="9" t="s">
        <v>1178</v>
      </c>
      <c r="C267" s="10" t="s">
        <v>313</v>
      </c>
      <c r="D267" s="10" t="s">
        <v>1210</v>
      </c>
      <c r="E267" s="46" t="str">
        <f t="shared" si="4"/>
        <v>firstname262.lastname262@example.com</v>
      </c>
      <c r="F267" s="9"/>
      <c r="G267" s="9"/>
    </row>
    <row r="268" spans="1:7" x14ac:dyDescent="0.35">
      <c r="A268" s="46" t="str">
        <f>IF($C268="","",$C268&amp;"-"&amp;TEXT(COUNTIF($C$5:$C268,$C268),"000")&amp;"-"&amp;IF($D268="","TBD",$D268))</f>
        <v>OEE-008-A3</v>
      </c>
      <c r="B268" s="9" t="s">
        <v>1179</v>
      </c>
      <c r="C268" s="10" t="s">
        <v>313</v>
      </c>
      <c r="D268" s="10" t="s">
        <v>1210</v>
      </c>
      <c r="E268" s="46" t="str">
        <f t="shared" si="4"/>
        <v>firstname263.lastname263@example.com</v>
      </c>
      <c r="F268" s="9"/>
      <c r="G268" s="9"/>
    </row>
    <row r="269" spans="1:7" x14ac:dyDescent="0.35">
      <c r="A269" s="46" t="str">
        <f>IF($C269="","",$C269&amp;"-"&amp;TEXT(COUNTIF($C$5:$C269,$C269),"000")&amp;"-"&amp;IF($D269="","TBD",$D269))</f>
        <v>OEE-009-A3</v>
      </c>
      <c r="B269" s="9" t="s">
        <v>1180</v>
      </c>
      <c r="C269" s="10" t="s">
        <v>313</v>
      </c>
      <c r="D269" s="10" t="s">
        <v>1210</v>
      </c>
      <c r="E269" s="46" t="str">
        <f t="shared" si="4"/>
        <v>firstname264.lastname264@example.com</v>
      </c>
      <c r="F269" s="9"/>
      <c r="G269" s="9"/>
    </row>
    <row r="270" spans="1:7" x14ac:dyDescent="0.35">
      <c r="A270" s="46" t="str">
        <f>IF($C270="","",$C270&amp;"-"&amp;TEXT(COUNTIF($C$5:$C270,$C270),"000")&amp;"-"&amp;IF($D270="","TBD",$D270))</f>
        <v>OEE-010-A3</v>
      </c>
      <c r="B270" s="9" t="s">
        <v>1181</v>
      </c>
      <c r="C270" s="10" t="s">
        <v>313</v>
      </c>
      <c r="D270" s="10" t="s">
        <v>1210</v>
      </c>
      <c r="E270" s="46" t="str">
        <f t="shared" si="4"/>
        <v>firstname265.lastname265@example.com</v>
      </c>
      <c r="F270" s="9"/>
      <c r="G270" s="9"/>
    </row>
    <row r="271" spans="1:7" x14ac:dyDescent="0.35">
      <c r="A271" s="9"/>
      <c r="B271" s="9"/>
      <c r="C271" s="9"/>
      <c r="D271" s="9"/>
      <c r="E271" s="46"/>
      <c r="F271" s="9"/>
      <c r="G271" s="9"/>
    </row>
    <row r="272" spans="1:7" x14ac:dyDescent="0.35">
      <c r="A272" s="9"/>
      <c r="B272" s="9"/>
      <c r="C272" s="9"/>
      <c r="D272" s="9"/>
      <c r="E272" s="46"/>
      <c r="F272" s="9"/>
      <c r="G272" s="9"/>
    </row>
    <row r="273" spans="1:7" x14ac:dyDescent="0.35">
      <c r="A273" s="9"/>
      <c r="B273" s="9"/>
      <c r="C273" s="9"/>
      <c r="D273" s="9"/>
      <c r="E273" s="46"/>
      <c r="F273" s="9"/>
      <c r="G273" s="9"/>
    </row>
    <row r="274" spans="1:7" x14ac:dyDescent="0.35">
      <c r="A274" s="9"/>
      <c r="B274" s="9"/>
      <c r="C274" s="9"/>
      <c r="D274" s="9"/>
      <c r="E274" s="46"/>
      <c r="F274" s="9"/>
      <c r="G274" s="9"/>
    </row>
    <row r="275" spans="1:7" x14ac:dyDescent="0.35">
      <c r="A275" s="9"/>
      <c r="B275" s="9"/>
      <c r="C275" s="9"/>
      <c r="D275" s="9"/>
      <c r="E275" s="46"/>
      <c r="F275" s="9"/>
      <c r="G275" s="9"/>
    </row>
    <row r="276" spans="1:7" x14ac:dyDescent="0.35">
      <c r="A276" s="9"/>
      <c r="B276" s="9"/>
      <c r="C276" s="9"/>
      <c r="D276" s="9"/>
      <c r="E276" s="46"/>
      <c r="F276" s="9"/>
      <c r="G276" s="9"/>
    </row>
    <row r="277" spans="1:7" x14ac:dyDescent="0.35">
      <c r="A277" s="9"/>
      <c r="B277" s="9"/>
      <c r="C277" s="9"/>
      <c r="D277" s="9"/>
      <c r="E277" s="46"/>
      <c r="F277" s="9"/>
      <c r="G277" s="9"/>
    </row>
    <row r="278" spans="1:7" x14ac:dyDescent="0.35">
      <c r="A278" s="9"/>
      <c r="B278" s="9"/>
      <c r="C278" s="9"/>
      <c r="D278" s="9"/>
      <c r="E278" s="46"/>
      <c r="F278" s="9"/>
      <c r="G278" s="9"/>
    </row>
    <row r="279" spans="1:7" x14ac:dyDescent="0.35">
      <c r="A279" s="9"/>
      <c r="B279" s="9"/>
      <c r="C279" s="9"/>
      <c r="D279" s="9"/>
      <c r="E279" s="46"/>
      <c r="F279" s="9"/>
      <c r="G279" s="9"/>
    </row>
    <row r="280" spans="1:7" x14ac:dyDescent="0.35">
      <c r="A280" s="9"/>
      <c r="B280" s="9"/>
      <c r="C280" s="9"/>
      <c r="D280" s="9"/>
      <c r="E280" s="46"/>
      <c r="F280" s="9"/>
      <c r="G280" s="9"/>
    </row>
    <row r="281" spans="1:7" x14ac:dyDescent="0.35">
      <c r="A281" s="9"/>
      <c r="B281" s="9"/>
      <c r="C281" s="9"/>
      <c r="D281" s="9"/>
      <c r="E281" s="46"/>
      <c r="F281" s="9"/>
      <c r="G281" s="9"/>
    </row>
    <row r="282" spans="1:7" x14ac:dyDescent="0.35">
      <c r="A282" s="9"/>
      <c r="B282" s="9"/>
      <c r="C282" s="9"/>
      <c r="D282" s="9"/>
      <c r="E282" s="46"/>
      <c r="F282" s="9"/>
      <c r="G282" s="9"/>
    </row>
    <row r="283" spans="1:7" x14ac:dyDescent="0.35">
      <c r="A283" s="9"/>
      <c r="B283" s="9"/>
      <c r="C283" s="9"/>
      <c r="D283" s="9"/>
      <c r="E283" s="46"/>
      <c r="F283" s="9"/>
      <c r="G283" s="9"/>
    </row>
    <row r="284" spans="1:7" x14ac:dyDescent="0.35">
      <c r="A284" s="9"/>
      <c r="B284" s="9"/>
      <c r="C284" s="9"/>
      <c r="D284" s="9"/>
      <c r="E284" s="46"/>
      <c r="F284" s="9"/>
      <c r="G284" s="9"/>
    </row>
    <row r="285" spans="1:7" x14ac:dyDescent="0.35">
      <c r="A285" s="9"/>
      <c r="B285" s="9"/>
      <c r="C285" s="9"/>
      <c r="D285" s="9"/>
      <c r="E285" s="46"/>
      <c r="F285" s="9"/>
      <c r="G285" s="9"/>
    </row>
    <row r="286" spans="1:7" x14ac:dyDescent="0.35">
      <c r="A286" s="9"/>
      <c r="B286" s="9"/>
      <c r="C286" s="9"/>
      <c r="D286" s="9"/>
      <c r="E286" s="46"/>
      <c r="F286" s="9"/>
      <c r="G286" s="9"/>
    </row>
    <row r="287" spans="1:7" x14ac:dyDescent="0.35">
      <c r="A287" s="9"/>
      <c r="B287" s="9"/>
      <c r="C287" s="9"/>
      <c r="D287" s="9"/>
      <c r="E287" s="46"/>
      <c r="F287" s="9"/>
      <c r="G287" s="9"/>
    </row>
    <row r="288" spans="1:7" x14ac:dyDescent="0.35">
      <c r="A288" s="9"/>
      <c r="B288" s="9"/>
      <c r="C288" s="9"/>
      <c r="D288" s="9"/>
      <c r="E288" s="46"/>
      <c r="F288" s="9"/>
      <c r="G288" s="9"/>
    </row>
    <row r="289" spans="1:7" x14ac:dyDescent="0.35">
      <c r="A289" s="9"/>
      <c r="B289" s="9"/>
      <c r="C289" s="9"/>
      <c r="D289" s="9"/>
      <c r="E289" s="46"/>
      <c r="F289" s="9"/>
      <c r="G289" s="9"/>
    </row>
    <row r="290" spans="1:7" x14ac:dyDescent="0.35">
      <c r="A290" s="9"/>
      <c r="B290" s="9"/>
      <c r="C290" s="9"/>
      <c r="D290" s="9"/>
      <c r="E290" s="46"/>
      <c r="F290" s="9"/>
      <c r="G290" s="9"/>
    </row>
    <row r="291" spans="1:7" x14ac:dyDescent="0.35">
      <c r="A291" s="9"/>
      <c r="B291" s="9"/>
      <c r="C291" s="9"/>
      <c r="D291" s="9"/>
      <c r="E291" s="46"/>
      <c r="F291" s="9"/>
      <c r="G291" s="9"/>
    </row>
    <row r="292" spans="1:7" x14ac:dyDescent="0.35">
      <c r="A292" s="9"/>
      <c r="B292" s="9"/>
      <c r="C292" s="9"/>
      <c r="D292" s="9"/>
      <c r="E292" s="46"/>
      <c r="F292" s="9"/>
      <c r="G292" s="9"/>
    </row>
    <row r="293" spans="1:7" x14ac:dyDescent="0.35">
      <c r="A293" s="9"/>
      <c r="B293" s="9"/>
      <c r="C293" s="9"/>
      <c r="D293" s="9"/>
      <c r="E293" s="46"/>
      <c r="F293" s="9"/>
      <c r="G293" s="9"/>
    </row>
    <row r="294" spans="1:7" x14ac:dyDescent="0.35">
      <c r="A294" s="9"/>
      <c r="B294" s="9"/>
      <c r="C294" s="9"/>
      <c r="D294" s="9"/>
      <c r="E294" s="46"/>
      <c r="F294" s="9"/>
      <c r="G294" s="9"/>
    </row>
    <row r="295" spans="1:7" x14ac:dyDescent="0.35">
      <c r="A295" s="9"/>
      <c r="B295" s="9"/>
      <c r="C295" s="9"/>
      <c r="D295" s="9"/>
      <c r="E295" s="46"/>
      <c r="F295" s="9"/>
      <c r="G295" s="9"/>
    </row>
    <row r="296" spans="1:7" x14ac:dyDescent="0.35">
      <c r="A296" s="9"/>
      <c r="B296" s="9"/>
      <c r="C296" s="9"/>
      <c r="D296" s="9"/>
      <c r="E296" s="46"/>
      <c r="F296" s="9"/>
      <c r="G296" s="9"/>
    </row>
    <row r="297" spans="1:7" x14ac:dyDescent="0.35">
      <c r="A297" s="9"/>
      <c r="B297" s="9"/>
      <c r="C297" s="9"/>
      <c r="D297" s="9"/>
      <c r="E297" s="46"/>
      <c r="F297" s="9"/>
      <c r="G297" s="9"/>
    </row>
    <row r="298" spans="1:7" x14ac:dyDescent="0.35">
      <c r="A298" s="9"/>
      <c r="B298" s="9"/>
      <c r="C298" s="9"/>
      <c r="D298" s="9"/>
      <c r="E298" s="46"/>
      <c r="F298" s="9"/>
      <c r="G298" s="9"/>
    </row>
    <row r="299" spans="1:7" x14ac:dyDescent="0.35">
      <c r="A299" s="9"/>
      <c r="B299" s="9"/>
      <c r="C299" s="9"/>
      <c r="D299" s="9"/>
      <c r="E299" s="46"/>
      <c r="F299" s="9"/>
      <c r="G299" s="9"/>
    </row>
    <row r="300" spans="1:7" x14ac:dyDescent="0.35">
      <c r="A300" s="9"/>
      <c r="B300" s="9"/>
      <c r="C300" s="9"/>
      <c r="D300" s="9"/>
      <c r="E300" s="9"/>
      <c r="F300" s="9"/>
      <c r="G300" s="9"/>
    </row>
    <row r="301" spans="1:7" x14ac:dyDescent="0.35">
      <c r="A301" s="9"/>
      <c r="B301" s="9"/>
      <c r="C301" s="9"/>
      <c r="D301" s="9"/>
      <c r="E301" s="9"/>
      <c r="F301" s="9"/>
      <c r="G301" s="9"/>
    </row>
    <row r="302" spans="1:7" x14ac:dyDescent="0.35">
      <c r="A302" s="9"/>
      <c r="B302" s="9"/>
      <c r="C302" s="9"/>
      <c r="D302" s="9"/>
      <c r="E302" s="9"/>
      <c r="F302" s="9"/>
      <c r="G302" s="9"/>
    </row>
    <row r="303" spans="1:7" x14ac:dyDescent="0.35">
      <c r="A303" s="9"/>
      <c r="B303" s="9"/>
      <c r="C303" s="9"/>
      <c r="D303" s="9"/>
      <c r="E303" s="9"/>
      <c r="F303" s="9"/>
      <c r="G303" s="9"/>
    </row>
    <row r="304" spans="1:7" x14ac:dyDescent="0.35">
      <c r="A304" s="9"/>
      <c r="B304" s="9"/>
      <c r="C304" s="9"/>
      <c r="D304" s="9"/>
      <c r="E304" s="9"/>
      <c r="F304" s="9"/>
      <c r="G304" s="9"/>
    </row>
    <row r="305" spans="1:7" x14ac:dyDescent="0.35">
      <c r="A305" s="9"/>
      <c r="B305" s="9"/>
      <c r="C305" s="9"/>
      <c r="D305" s="9"/>
      <c r="E305" s="9"/>
      <c r="F305" s="9"/>
      <c r="G305" s="9"/>
    </row>
    <row r="306" spans="1:7" x14ac:dyDescent="0.35">
      <c r="A306" s="9"/>
      <c r="B306" s="9"/>
      <c r="C306" s="9"/>
      <c r="D306" s="9"/>
      <c r="E306" s="9"/>
      <c r="F306" s="9"/>
      <c r="G306" s="9"/>
    </row>
    <row r="307" spans="1:7" x14ac:dyDescent="0.35">
      <c r="A307" s="9"/>
      <c r="B307" s="9"/>
      <c r="C307" s="9"/>
      <c r="D307" s="9"/>
      <c r="E307" s="9"/>
      <c r="F307" s="9"/>
      <c r="G307" s="9"/>
    </row>
    <row r="308" spans="1:7" x14ac:dyDescent="0.35">
      <c r="A308" s="9"/>
      <c r="B308" s="9"/>
      <c r="C308" s="9"/>
      <c r="D308" s="9"/>
      <c r="E308" s="9"/>
      <c r="F308" s="9"/>
      <c r="G308" s="9"/>
    </row>
    <row r="309" spans="1:7" x14ac:dyDescent="0.35">
      <c r="A309" s="9"/>
      <c r="B309" s="9"/>
      <c r="C309" s="9"/>
      <c r="D309" s="9"/>
      <c r="E309" s="9"/>
      <c r="F309" s="9"/>
      <c r="G309" s="9"/>
    </row>
    <row r="310" spans="1:7" x14ac:dyDescent="0.35">
      <c r="A310" s="9"/>
      <c r="B310" s="9"/>
      <c r="C310" s="9"/>
      <c r="D310" s="9"/>
      <c r="E310" s="9"/>
      <c r="F310" s="9"/>
      <c r="G310" s="9"/>
    </row>
    <row r="311" spans="1:7" x14ac:dyDescent="0.35">
      <c r="A311" s="9"/>
      <c r="B311" s="9"/>
      <c r="C311" s="9"/>
      <c r="D311" s="9"/>
      <c r="E311" s="9"/>
      <c r="F311" s="9"/>
      <c r="G311" s="9"/>
    </row>
    <row r="312" spans="1:7" x14ac:dyDescent="0.35">
      <c r="A312" s="9"/>
      <c r="B312" s="9"/>
      <c r="C312" s="9"/>
      <c r="D312" s="9"/>
      <c r="E312" s="9"/>
      <c r="F312" s="9"/>
      <c r="G312" s="9"/>
    </row>
    <row r="313" spans="1:7" x14ac:dyDescent="0.35">
      <c r="A313" s="9"/>
      <c r="B313" s="9"/>
      <c r="C313" s="9"/>
      <c r="D313" s="9"/>
      <c r="E313" s="9"/>
      <c r="F313" s="9"/>
      <c r="G313" s="9"/>
    </row>
    <row r="314" spans="1:7" x14ac:dyDescent="0.35">
      <c r="A314" s="9"/>
      <c r="B314" s="9"/>
      <c r="C314" s="9"/>
      <c r="D314" s="9"/>
      <c r="E314" s="9"/>
      <c r="F314" s="9"/>
      <c r="G314" s="9"/>
    </row>
    <row r="315" spans="1:7" x14ac:dyDescent="0.35">
      <c r="A315" s="9"/>
      <c r="B315" s="9"/>
      <c r="C315" s="9"/>
      <c r="D315" s="9"/>
      <c r="E315" s="9"/>
      <c r="F315" s="9"/>
      <c r="G315" s="9"/>
    </row>
    <row r="316" spans="1:7" x14ac:dyDescent="0.35">
      <c r="A316" s="9"/>
      <c r="B316" s="9"/>
      <c r="C316" s="9"/>
      <c r="D316" s="9"/>
      <c r="E316" s="9"/>
      <c r="F316" s="9"/>
      <c r="G316" s="9"/>
    </row>
    <row r="317" spans="1:7" x14ac:dyDescent="0.35">
      <c r="A317" s="9"/>
      <c r="B317" s="9"/>
      <c r="C317" s="9"/>
      <c r="D317" s="9"/>
      <c r="E317" s="9"/>
      <c r="F317" s="9"/>
      <c r="G317" s="9"/>
    </row>
    <row r="318" spans="1:7" x14ac:dyDescent="0.35">
      <c r="A318" s="9"/>
      <c r="B318" s="9"/>
      <c r="C318" s="9"/>
      <c r="D318" s="9"/>
      <c r="E318" s="9"/>
      <c r="F318" s="9"/>
      <c r="G318" s="9"/>
    </row>
    <row r="319" spans="1:7" x14ac:dyDescent="0.35">
      <c r="A319" s="9"/>
      <c r="B319" s="9"/>
      <c r="C319" s="9"/>
      <c r="D319" s="9"/>
      <c r="E319" s="9"/>
      <c r="F319" s="9"/>
      <c r="G319" s="9"/>
    </row>
    <row r="320" spans="1:7" x14ac:dyDescent="0.35">
      <c r="A320" s="9"/>
      <c r="B320" s="9"/>
      <c r="C320" s="9"/>
      <c r="D320" s="9"/>
      <c r="E320" s="9"/>
      <c r="F320" s="9"/>
      <c r="G320" s="9"/>
    </row>
    <row r="321" spans="1:7" x14ac:dyDescent="0.35">
      <c r="A321" s="9"/>
      <c r="B321" s="9"/>
      <c r="C321" s="9"/>
      <c r="D321" s="9"/>
      <c r="E321" s="9"/>
      <c r="F321" s="9"/>
      <c r="G321" s="9"/>
    </row>
    <row r="322" spans="1:7" x14ac:dyDescent="0.35">
      <c r="A322" s="9"/>
      <c r="B322" s="9"/>
      <c r="C322" s="9"/>
      <c r="D322" s="9"/>
      <c r="E322" s="9"/>
      <c r="F322" s="9"/>
      <c r="G322" s="9"/>
    </row>
    <row r="323" spans="1:7" x14ac:dyDescent="0.35">
      <c r="A323" s="9"/>
      <c r="B323" s="9"/>
      <c r="C323" s="9"/>
      <c r="D323" s="9"/>
      <c r="E323" s="9"/>
      <c r="F323" s="9"/>
      <c r="G323" s="9"/>
    </row>
    <row r="324" spans="1:7" x14ac:dyDescent="0.35">
      <c r="A324" s="9"/>
      <c r="B324" s="9"/>
      <c r="C324" s="9"/>
      <c r="D324" s="9"/>
      <c r="E324" s="9"/>
      <c r="F324" s="9"/>
      <c r="G324" s="9"/>
    </row>
    <row r="325" spans="1:7" x14ac:dyDescent="0.35">
      <c r="A325" s="9"/>
      <c r="B325" s="9"/>
      <c r="C325" s="9"/>
      <c r="D325" s="9"/>
      <c r="E325" s="9"/>
      <c r="F325" s="9"/>
      <c r="G325" s="9"/>
    </row>
    <row r="326" spans="1:7" x14ac:dyDescent="0.35">
      <c r="A326" s="9"/>
      <c r="B326" s="9"/>
      <c r="C326" s="9"/>
      <c r="D326" s="9"/>
      <c r="E326" s="9"/>
      <c r="F326" s="9"/>
      <c r="G326" s="9"/>
    </row>
    <row r="327" spans="1:7" x14ac:dyDescent="0.35">
      <c r="A327" s="9"/>
      <c r="B327" s="9"/>
      <c r="C327" s="9"/>
      <c r="D327" s="9"/>
      <c r="E327" s="9"/>
      <c r="F327" s="9"/>
      <c r="G327" s="9"/>
    </row>
    <row r="328" spans="1:7" x14ac:dyDescent="0.35">
      <c r="A328" s="9"/>
      <c r="B328" s="9"/>
      <c r="C328" s="9"/>
      <c r="D328" s="9"/>
      <c r="E328" s="9"/>
      <c r="F328" s="9"/>
      <c r="G328" s="9"/>
    </row>
    <row r="329" spans="1:7" x14ac:dyDescent="0.35">
      <c r="A329" s="9"/>
      <c r="B329" s="9"/>
      <c r="C329" s="9"/>
      <c r="D329" s="9"/>
      <c r="E329" s="9"/>
      <c r="F329" s="9"/>
      <c r="G329" s="9"/>
    </row>
    <row r="330" spans="1:7" x14ac:dyDescent="0.35">
      <c r="A330" s="9"/>
      <c r="B330" s="9"/>
      <c r="C330" s="9"/>
      <c r="D330" s="9"/>
      <c r="E330" s="9"/>
      <c r="F330" s="9"/>
      <c r="G330" s="9"/>
    </row>
    <row r="331" spans="1:7" x14ac:dyDescent="0.35">
      <c r="A331" s="9"/>
      <c r="B331" s="9"/>
      <c r="C331" s="9"/>
      <c r="D331" s="9"/>
      <c r="E331" s="9"/>
      <c r="F331" s="9"/>
      <c r="G331" s="9"/>
    </row>
    <row r="332" spans="1:7" x14ac:dyDescent="0.35">
      <c r="A332" s="9"/>
      <c r="B332" s="9"/>
      <c r="C332" s="9"/>
      <c r="D332" s="9"/>
      <c r="E332" s="9"/>
      <c r="F332" s="9"/>
      <c r="G332" s="9"/>
    </row>
    <row r="333" spans="1:7" x14ac:dyDescent="0.35">
      <c r="A333" s="9"/>
      <c r="B333" s="9"/>
      <c r="C333" s="9"/>
      <c r="D333" s="9"/>
      <c r="E333" s="9"/>
      <c r="F333" s="9"/>
      <c r="G333" s="9"/>
    </row>
    <row r="334" spans="1:7" x14ac:dyDescent="0.35">
      <c r="A334" s="9"/>
      <c r="B334" s="9"/>
      <c r="C334" s="9"/>
      <c r="D334" s="9"/>
      <c r="E334" s="9"/>
      <c r="F334" s="9"/>
      <c r="G334" s="9"/>
    </row>
    <row r="335" spans="1:7" x14ac:dyDescent="0.35">
      <c r="A335" s="9"/>
      <c r="B335" s="9"/>
      <c r="C335" s="9"/>
      <c r="D335" s="9"/>
      <c r="E335" s="9"/>
      <c r="F335" s="9"/>
      <c r="G335" s="9"/>
    </row>
    <row r="336" spans="1:7" x14ac:dyDescent="0.35">
      <c r="A336" s="9"/>
      <c r="B336" s="9"/>
      <c r="C336" s="9"/>
      <c r="D336" s="9"/>
      <c r="E336" s="9"/>
      <c r="F336" s="9"/>
      <c r="G336" s="9"/>
    </row>
    <row r="337" spans="1:7" x14ac:dyDescent="0.35">
      <c r="A337" s="9"/>
      <c r="B337" s="9"/>
      <c r="C337" s="9"/>
      <c r="D337" s="9"/>
      <c r="E337" s="9"/>
      <c r="F337" s="9"/>
      <c r="G337" s="9"/>
    </row>
    <row r="338" spans="1:7" x14ac:dyDescent="0.35">
      <c r="A338" s="9"/>
      <c r="B338" s="9"/>
      <c r="C338" s="9"/>
      <c r="D338" s="9"/>
      <c r="E338" s="9"/>
      <c r="F338" s="9"/>
      <c r="G338" s="9"/>
    </row>
    <row r="339" spans="1:7" x14ac:dyDescent="0.35">
      <c r="A339" s="9"/>
      <c r="B339" s="9"/>
      <c r="C339" s="9"/>
      <c r="D339" s="9"/>
      <c r="E339" s="9"/>
      <c r="F339" s="9"/>
      <c r="G339" s="9"/>
    </row>
    <row r="340" spans="1:7" x14ac:dyDescent="0.35">
      <c r="A340" s="9"/>
      <c r="B340" s="9"/>
      <c r="C340" s="9"/>
      <c r="D340" s="9"/>
      <c r="E340" s="9"/>
      <c r="F340" s="9"/>
      <c r="G340" s="9"/>
    </row>
    <row r="341" spans="1:7" x14ac:dyDescent="0.35">
      <c r="A341" s="9"/>
      <c r="B341" s="9"/>
      <c r="C341" s="9"/>
      <c r="D341" s="9"/>
      <c r="E341" s="9"/>
      <c r="F341" s="9"/>
      <c r="G341" s="9"/>
    </row>
    <row r="342" spans="1:7" x14ac:dyDescent="0.35">
      <c r="A342" s="9"/>
      <c r="B342" s="9"/>
      <c r="C342" s="9"/>
      <c r="D342" s="9"/>
      <c r="E342" s="9"/>
      <c r="F342" s="9"/>
      <c r="G342" s="9"/>
    </row>
    <row r="343" spans="1:7" x14ac:dyDescent="0.35">
      <c r="A343" s="9"/>
      <c r="B343" s="9"/>
      <c r="C343" s="9"/>
      <c r="D343" s="9"/>
      <c r="E343" s="9"/>
      <c r="F343" s="9"/>
      <c r="G343" s="9"/>
    </row>
    <row r="344" spans="1:7" x14ac:dyDescent="0.35">
      <c r="A344" s="9"/>
      <c r="B344" s="9"/>
      <c r="C344" s="9"/>
      <c r="D344" s="9"/>
      <c r="E344" s="9"/>
      <c r="F344" s="9"/>
      <c r="G344" s="9"/>
    </row>
    <row r="345" spans="1:7" x14ac:dyDescent="0.35">
      <c r="A345" s="9"/>
      <c r="B345" s="9"/>
      <c r="C345" s="9"/>
      <c r="D345" s="9"/>
      <c r="E345" s="9"/>
      <c r="F345" s="9"/>
      <c r="G345" s="9"/>
    </row>
    <row r="346" spans="1:7" x14ac:dyDescent="0.35">
      <c r="A346" s="9"/>
      <c r="B346" s="9"/>
      <c r="C346" s="9"/>
      <c r="D346" s="9"/>
      <c r="E346" s="9"/>
      <c r="F346" s="9"/>
      <c r="G346" s="9"/>
    </row>
    <row r="347" spans="1:7" x14ac:dyDescent="0.35">
      <c r="A347" s="9"/>
      <c r="B347" s="9"/>
      <c r="C347" s="9"/>
      <c r="D347" s="9"/>
      <c r="E347" s="9"/>
      <c r="F347" s="9"/>
      <c r="G347" s="9"/>
    </row>
    <row r="348" spans="1:7" x14ac:dyDescent="0.35">
      <c r="A348" s="9"/>
      <c r="B348" s="9"/>
      <c r="C348" s="9"/>
      <c r="D348" s="9"/>
      <c r="E348" s="9"/>
      <c r="F348" s="9"/>
      <c r="G348" s="9"/>
    </row>
    <row r="349" spans="1:7" x14ac:dyDescent="0.35">
      <c r="A349" s="9"/>
      <c r="B349" s="9"/>
      <c r="C349" s="9"/>
      <c r="D349" s="9"/>
      <c r="E349" s="9"/>
      <c r="F349" s="9"/>
      <c r="G349" s="9"/>
    </row>
    <row r="350" spans="1:7" x14ac:dyDescent="0.35">
      <c r="A350" s="9"/>
      <c r="B350" s="9"/>
      <c r="C350" s="9"/>
      <c r="D350" s="9"/>
      <c r="E350" s="9"/>
      <c r="F350" s="9"/>
      <c r="G350" s="9"/>
    </row>
    <row r="351" spans="1:7" x14ac:dyDescent="0.35">
      <c r="A351" s="9"/>
      <c r="B351" s="9"/>
      <c r="C351" s="9"/>
      <c r="D351" s="9"/>
      <c r="E351" s="9"/>
      <c r="F351" s="9"/>
      <c r="G351" s="9"/>
    </row>
    <row r="352" spans="1:7" x14ac:dyDescent="0.35">
      <c r="A352" s="9"/>
      <c r="B352" s="9"/>
      <c r="C352" s="9"/>
      <c r="D352" s="9"/>
      <c r="E352" s="9"/>
      <c r="F352" s="9"/>
      <c r="G352" s="9"/>
    </row>
    <row r="353" spans="1:7" x14ac:dyDescent="0.35">
      <c r="A353" s="9"/>
      <c r="B353" s="9"/>
      <c r="C353" s="9"/>
      <c r="D353" s="9"/>
      <c r="E353" s="9"/>
      <c r="F353" s="9"/>
      <c r="G353" s="9"/>
    </row>
    <row r="354" spans="1:7" x14ac:dyDescent="0.35">
      <c r="A354" s="9"/>
      <c r="B354" s="9"/>
      <c r="C354" s="9"/>
      <c r="D354" s="9"/>
      <c r="E354" s="9"/>
      <c r="F354" s="9"/>
      <c r="G354" s="9"/>
    </row>
    <row r="355" spans="1:7" x14ac:dyDescent="0.35">
      <c r="A355" s="9"/>
      <c r="B355" s="9"/>
      <c r="C355" s="9"/>
      <c r="D355" s="9"/>
      <c r="E355" s="9"/>
      <c r="F355" s="9"/>
      <c r="G355" s="9"/>
    </row>
    <row r="356" spans="1:7" x14ac:dyDescent="0.35">
      <c r="A356" s="9"/>
      <c r="B356" s="9"/>
      <c r="C356" s="9"/>
      <c r="D356" s="9"/>
      <c r="E356" s="9"/>
      <c r="F356" s="9"/>
      <c r="G356" s="9"/>
    </row>
    <row r="357" spans="1:7" x14ac:dyDescent="0.35">
      <c r="A357" s="9"/>
      <c r="B357" s="9"/>
      <c r="C357" s="9"/>
      <c r="D357" s="9"/>
      <c r="E357" s="9"/>
      <c r="F357" s="9"/>
      <c r="G357" s="9"/>
    </row>
    <row r="358" spans="1:7" x14ac:dyDescent="0.35">
      <c r="A358" s="9"/>
      <c r="B358" s="9"/>
      <c r="C358" s="9"/>
      <c r="D358" s="9"/>
      <c r="E358" s="9"/>
      <c r="F358" s="9"/>
      <c r="G358" s="9"/>
    </row>
    <row r="359" spans="1:7" x14ac:dyDescent="0.35">
      <c r="A359" s="9"/>
      <c r="B359" s="9"/>
      <c r="C359" s="9"/>
      <c r="D359" s="9"/>
      <c r="E359" s="9"/>
      <c r="F359" s="9"/>
      <c r="G359" s="9"/>
    </row>
    <row r="360" spans="1:7" x14ac:dyDescent="0.35">
      <c r="A360" s="9"/>
      <c r="B360" s="9"/>
      <c r="C360" s="9"/>
      <c r="D360" s="9"/>
      <c r="E360" s="9"/>
      <c r="F360" s="9"/>
      <c r="G360" s="9"/>
    </row>
    <row r="361" spans="1:7" x14ac:dyDescent="0.35">
      <c r="A361" s="9"/>
      <c r="B361" s="9"/>
      <c r="C361" s="9"/>
      <c r="D361" s="9"/>
      <c r="E361" s="9"/>
      <c r="F361" s="9"/>
      <c r="G361" s="9"/>
    </row>
    <row r="362" spans="1:7" x14ac:dyDescent="0.35">
      <c r="A362" s="9"/>
      <c r="B362" s="9"/>
      <c r="C362" s="9"/>
      <c r="D362" s="9"/>
      <c r="E362" s="9"/>
      <c r="F362" s="9"/>
      <c r="G362" s="9"/>
    </row>
    <row r="363" spans="1:7" x14ac:dyDescent="0.35">
      <c r="A363" s="9"/>
      <c r="B363" s="9"/>
      <c r="C363" s="9"/>
      <c r="D363" s="9"/>
      <c r="E363" s="9"/>
      <c r="F363" s="9"/>
      <c r="G363" s="9"/>
    </row>
    <row r="364" spans="1:7" x14ac:dyDescent="0.35">
      <c r="A364" s="9"/>
      <c r="B364" s="9"/>
      <c r="C364" s="9"/>
      <c r="D364" s="9"/>
      <c r="E364" s="9"/>
      <c r="F364" s="9"/>
      <c r="G364" s="9"/>
    </row>
    <row r="365" spans="1:7" x14ac:dyDescent="0.35">
      <c r="A365" s="9"/>
      <c r="B365" s="9"/>
      <c r="C365" s="9"/>
      <c r="D365" s="9"/>
      <c r="E365" s="9"/>
      <c r="F365" s="9"/>
      <c r="G365" s="9"/>
    </row>
    <row r="366" spans="1:7" x14ac:dyDescent="0.35">
      <c r="A366" s="9"/>
      <c r="B366" s="9"/>
      <c r="C366" s="9"/>
      <c r="D366" s="9"/>
      <c r="E366" s="9"/>
      <c r="F366" s="9"/>
      <c r="G366" s="9"/>
    </row>
    <row r="367" spans="1:7" x14ac:dyDescent="0.35">
      <c r="A367" s="9"/>
      <c r="B367" s="9"/>
      <c r="C367" s="9"/>
      <c r="D367" s="9"/>
      <c r="E367" s="9"/>
      <c r="F367" s="9"/>
      <c r="G367" s="9"/>
    </row>
    <row r="368" spans="1:7" x14ac:dyDescent="0.35">
      <c r="A368" s="9"/>
      <c r="B368" s="9"/>
      <c r="C368" s="9"/>
      <c r="D368" s="9"/>
      <c r="E368" s="9"/>
      <c r="F368" s="9"/>
      <c r="G368" s="9"/>
    </row>
    <row r="369" spans="1:7" x14ac:dyDescent="0.35">
      <c r="A369" s="9"/>
      <c r="B369" s="9"/>
      <c r="C369" s="9"/>
      <c r="D369" s="9"/>
      <c r="E369" s="9"/>
      <c r="F369" s="9"/>
      <c r="G369" s="9"/>
    </row>
    <row r="370" spans="1:7" x14ac:dyDescent="0.35">
      <c r="A370" s="9"/>
      <c r="B370" s="9"/>
      <c r="C370" s="9"/>
      <c r="D370" s="9"/>
      <c r="E370" s="9"/>
      <c r="F370" s="9"/>
      <c r="G370" s="9"/>
    </row>
    <row r="371" spans="1:7" x14ac:dyDescent="0.35">
      <c r="A371" s="9"/>
      <c r="B371" s="9"/>
      <c r="C371" s="9"/>
      <c r="D371" s="9"/>
      <c r="E371" s="9"/>
      <c r="F371" s="9"/>
      <c r="G371" s="9"/>
    </row>
    <row r="372" spans="1:7" x14ac:dyDescent="0.35">
      <c r="A372" s="9"/>
      <c r="B372" s="9"/>
      <c r="C372" s="9"/>
      <c r="D372" s="9"/>
      <c r="E372" s="9"/>
      <c r="F372" s="9"/>
      <c r="G372" s="9"/>
    </row>
    <row r="373" spans="1:7" x14ac:dyDescent="0.35">
      <c r="A373" s="9"/>
      <c r="B373" s="9"/>
      <c r="C373" s="9"/>
      <c r="D373" s="9"/>
      <c r="E373" s="9"/>
      <c r="F373" s="9"/>
      <c r="G373" s="9"/>
    </row>
    <row r="374" spans="1:7" x14ac:dyDescent="0.35">
      <c r="A374" s="9"/>
      <c r="B374" s="9"/>
      <c r="C374" s="9"/>
      <c r="D374" s="9"/>
      <c r="E374" s="9"/>
      <c r="F374" s="9"/>
      <c r="G374" s="9"/>
    </row>
    <row r="375" spans="1:7" x14ac:dyDescent="0.35">
      <c r="A375" s="9"/>
      <c r="B375" s="9"/>
      <c r="C375" s="9"/>
      <c r="D375" s="9"/>
      <c r="E375" s="9"/>
      <c r="F375" s="9"/>
      <c r="G375" s="9"/>
    </row>
    <row r="376" spans="1:7" x14ac:dyDescent="0.35">
      <c r="A376" s="9"/>
      <c r="B376" s="9"/>
      <c r="C376" s="9"/>
      <c r="D376" s="9"/>
      <c r="E376" s="9"/>
      <c r="F376" s="9"/>
      <c r="G376" s="9"/>
    </row>
    <row r="377" spans="1:7" x14ac:dyDescent="0.35">
      <c r="A377" s="9"/>
      <c r="B377" s="9"/>
      <c r="C377" s="9"/>
      <c r="D377" s="9"/>
      <c r="E377" s="9"/>
      <c r="F377" s="9"/>
      <c r="G377" s="9"/>
    </row>
    <row r="378" spans="1:7" x14ac:dyDescent="0.35">
      <c r="A378" s="9"/>
      <c r="B378" s="9"/>
      <c r="C378" s="9"/>
      <c r="D378" s="9"/>
      <c r="E378" s="9"/>
      <c r="F378" s="9"/>
      <c r="G378" s="9"/>
    </row>
    <row r="379" spans="1:7" x14ac:dyDescent="0.35">
      <c r="A379" s="9"/>
      <c r="B379" s="9"/>
      <c r="C379" s="9"/>
      <c r="D379" s="9"/>
      <c r="E379" s="9"/>
      <c r="F379" s="9"/>
      <c r="G379" s="9"/>
    </row>
    <row r="380" spans="1:7" x14ac:dyDescent="0.35">
      <c r="A380" s="9"/>
      <c r="B380" s="9"/>
      <c r="C380" s="9"/>
      <c r="D380" s="9"/>
      <c r="E380" s="9"/>
      <c r="F380" s="9"/>
      <c r="G380" s="9"/>
    </row>
    <row r="381" spans="1:7" x14ac:dyDescent="0.35">
      <c r="A381" s="9"/>
      <c r="B381" s="9"/>
      <c r="C381" s="9"/>
      <c r="D381" s="9"/>
      <c r="E381" s="9"/>
      <c r="F381" s="9"/>
      <c r="G381" s="9"/>
    </row>
    <row r="382" spans="1:7" x14ac:dyDescent="0.35">
      <c r="A382" s="9"/>
      <c r="B382" s="9"/>
      <c r="C382" s="9"/>
      <c r="D382" s="9"/>
      <c r="E382" s="9"/>
      <c r="F382" s="9"/>
      <c r="G382" s="9"/>
    </row>
    <row r="383" spans="1:7" x14ac:dyDescent="0.35">
      <c r="A383" s="9"/>
      <c r="B383" s="9"/>
      <c r="C383" s="9"/>
      <c r="D383" s="9"/>
      <c r="E383" s="9"/>
      <c r="F383" s="9"/>
      <c r="G383" s="9"/>
    </row>
    <row r="384" spans="1:7" x14ac:dyDescent="0.35">
      <c r="A384" s="9"/>
      <c r="B384" s="9"/>
      <c r="C384" s="9"/>
      <c r="D384" s="9"/>
      <c r="E384" s="9"/>
      <c r="F384" s="9"/>
      <c r="G384" s="9"/>
    </row>
    <row r="385" spans="1:7" x14ac:dyDescent="0.35">
      <c r="A385" s="9"/>
      <c r="B385" s="9"/>
      <c r="C385" s="9"/>
      <c r="D385" s="9"/>
      <c r="E385" s="9"/>
      <c r="F385" s="9"/>
      <c r="G385" s="9"/>
    </row>
    <row r="386" spans="1:7" x14ac:dyDescent="0.35">
      <c r="A386" s="9"/>
      <c r="B386" s="9"/>
      <c r="C386" s="9"/>
      <c r="D386" s="9"/>
      <c r="E386" s="9"/>
      <c r="F386" s="9"/>
      <c r="G386" s="9"/>
    </row>
    <row r="387" spans="1:7" x14ac:dyDescent="0.35">
      <c r="A387" s="9"/>
      <c r="B387" s="9"/>
      <c r="C387" s="9"/>
      <c r="D387" s="9"/>
      <c r="E387" s="9"/>
      <c r="F387" s="9"/>
      <c r="G387" s="9"/>
    </row>
    <row r="388" spans="1:7" x14ac:dyDescent="0.35">
      <c r="A388" s="9"/>
      <c r="B388" s="9"/>
      <c r="C388" s="9"/>
      <c r="D388" s="9"/>
      <c r="E388" s="9"/>
      <c r="F388" s="9"/>
      <c r="G388" s="9"/>
    </row>
    <row r="389" spans="1:7" x14ac:dyDescent="0.35">
      <c r="A389" s="9"/>
      <c r="B389" s="9"/>
      <c r="C389" s="9"/>
      <c r="D389" s="9"/>
      <c r="E389" s="9"/>
      <c r="F389" s="9"/>
      <c r="G389" s="9"/>
    </row>
    <row r="390" spans="1:7" x14ac:dyDescent="0.35">
      <c r="A390" s="9"/>
      <c r="B390" s="9"/>
      <c r="C390" s="9"/>
      <c r="D390" s="9"/>
      <c r="E390" s="9"/>
      <c r="F390" s="9"/>
      <c r="G390" s="9"/>
    </row>
    <row r="391" spans="1:7" x14ac:dyDescent="0.35">
      <c r="A391" s="9"/>
      <c r="B391" s="9"/>
      <c r="C391" s="9"/>
      <c r="D391" s="9"/>
      <c r="E391" s="9"/>
      <c r="F391" s="9"/>
      <c r="G391" s="9"/>
    </row>
    <row r="392" spans="1:7" x14ac:dyDescent="0.35">
      <c r="A392" s="9"/>
      <c r="B392" s="9"/>
      <c r="C392" s="9"/>
      <c r="D392" s="9"/>
      <c r="E392" s="9"/>
      <c r="F392" s="9"/>
      <c r="G392" s="9"/>
    </row>
    <row r="393" spans="1:7" x14ac:dyDescent="0.35">
      <c r="A393" s="9"/>
      <c r="B393" s="9"/>
      <c r="C393" s="9"/>
      <c r="D393" s="9"/>
      <c r="E393" s="9"/>
      <c r="F393" s="9"/>
      <c r="G393" s="9"/>
    </row>
    <row r="394" spans="1:7" x14ac:dyDescent="0.35">
      <c r="A394" s="9"/>
      <c r="B394" s="9"/>
      <c r="C394" s="9"/>
      <c r="D394" s="9"/>
      <c r="E394" s="9"/>
      <c r="F394" s="9"/>
      <c r="G394" s="9"/>
    </row>
    <row r="395" spans="1:7" x14ac:dyDescent="0.35">
      <c r="A395" s="9"/>
      <c r="B395" s="9"/>
      <c r="C395" s="9"/>
      <c r="D395" s="9"/>
      <c r="E395" s="9"/>
      <c r="F395" s="9"/>
      <c r="G395" s="9"/>
    </row>
    <row r="396" spans="1:7" x14ac:dyDescent="0.35">
      <c r="A396" s="9"/>
      <c r="B396" s="9"/>
      <c r="C396" s="9"/>
      <c r="D396" s="9"/>
      <c r="E396" s="9"/>
      <c r="F396" s="9"/>
      <c r="G396" s="9"/>
    </row>
    <row r="397" spans="1:7" x14ac:dyDescent="0.35">
      <c r="A397" s="9"/>
      <c r="B397" s="9"/>
      <c r="C397" s="9"/>
      <c r="D397" s="9"/>
      <c r="E397" s="9"/>
      <c r="F397" s="9"/>
      <c r="G397" s="9"/>
    </row>
    <row r="398" spans="1:7" x14ac:dyDescent="0.35">
      <c r="A398" s="9"/>
      <c r="B398" s="9"/>
      <c r="C398" s="9"/>
      <c r="D398" s="9"/>
      <c r="E398" s="9"/>
      <c r="F398" s="9"/>
      <c r="G398" s="9"/>
    </row>
    <row r="399" spans="1:7" x14ac:dyDescent="0.35">
      <c r="A399" s="9"/>
      <c r="B399" s="9"/>
      <c r="C399" s="9"/>
      <c r="D399" s="9"/>
      <c r="E399" s="9"/>
      <c r="F399" s="9"/>
      <c r="G399" s="9"/>
    </row>
    <row r="400" spans="1:7" x14ac:dyDescent="0.35">
      <c r="A400" s="9"/>
      <c r="B400" s="9"/>
      <c r="C400" s="9"/>
      <c r="D400" s="9"/>
      <c r="E400" s="9"/>
      <c r="F400" s="9"/>
      <c r="G400" s="9"/>
    </row>
    <row r="401" spans="1:7" x14ac:dyDescent="0.35">
      <c r="A401" s="9"/>
      <c r="B401" s="9"/>
      <c r="C401" s="9"/>
      <c r="D401" s="9"/>
      <c r="E401" s="9"/>
      <c r="F401" s="9"/>
      <c r="G401" s="9"/>
    </row>
    <row r="402" spans="1:7" x14ac:dyDescent="0.35">
      <c r="A402" s="9"/>
      <c r="B402" s="9"/>
      <c r="C402" s="9"/>
      <c r="D402" s="9"/>
      <c r="E402" s="9"/>
      <c r="F402" s="9"/>
      <c r="G402" s="9"/>
    </row>
    <row r="403" spans="1:7" x14ac:dyDescent="0.35">
      <c r="A403" s="9"/>
      <c r="B403" s="9"/>
      <c r="C403" s="9"/>
      <c r="D403" s="9"/>
      <c r="E403" s="9"/>
      <c r="F403" s="9"/>
      <c r="G403" s="9"/>
    </row>
    <row r="404" spans="1:7" x14ac:dyDescent="0.35">
      <c r="A404" s="9"/>
      <c r="B404" s="9"/>
      <c r="C404" s="9"/>
      <c r="D404" s="9"/>
      <c r="E404" s="9"/>
      <c r="F404" s="9"/>
      <c r="G404" s="9"/>
    </row>
    <row r="405" spans="1:7" x14ac:dyDescent="0.35">
      <c r="A405" s="9"/>
      <c r="B405" s="9"/>
      <c r="C405" s="9"/>
      <c r="D405" s="9"/>
      <c r="E405" s="9"/>
      <c r="F405" s="9"/>
      <c r="G405" s="9"/>
    </row>
    <row r="406" spans="1:7" x14ac:dyDescent="0.35">
      <c r="A406" s="9"/>
      <c r="B406" s="9"/>
      <c r="C406" s="9"/>
      <c r="D406" s="9"/>
      <c r="E406" s="9"/>
      <c r="F406" s="9"/>
      <c r="G406" s="9"/>
    </row>
    <row r="407" spans="1:7" x14ac:dyDescent="0.35">
      <c r="A407" s="9"/>
      <c r="B407" s="9"/>
      <c r="C407" s="9"/>
      <c r="D407" s="9"/>
      <c r="E407" s="9"/>
      <c r="F407" s="9"/>
      <c r="G407" s="9"/>
    </row>
    <row r="408" spans="1:7" x14ac:dyDescent="0.35">
      <c r="A408" s="9"/>
      <c r="B408" s="9"/>
      <c r="C408" s="9"/>
      <c r="D408" s="9"/>
      <c r="E408" s="9"/>
      <c r="F408" s="9"/>
      <c r="G408" s="9"/>
    </row>
    <row r="409" spans="1:7" x14ac:dyDescent="0.35">
      <c r="A409" s="9"/>
      <c r="B409" s="9"/>
      <c r="C409" s="9"/>
      <c r="D409" s="9"/>
      <c r="E409" s="9"/>
      <c r="F409" s="9"/>
      <c r="G409" s="9"/>
    </row>
    <row r="410" spans="1:7" x14ac:dyDescent="0.35">
      <c r="A410" s="9"/>
      <c r="B410" s="9"/>
      <c r="C410" s="9"/>
      <c r="D410" s="9"/>
      <c r="E410" s="9"/>
      <c r="F410" s="9"/>
      <c r="G410" s="9"/>
    </row>
    <row r="411" spans="1:7" x14ac:dyDescent="0.35">
      <c r="A411" s="9"/>
      <c r="B411" s="9"/>
      <c r="C411" s="9"/>
      <c r="D411" s="9"/>
      <c r="E411" s="9"/>
      <c r="F411" s="9"/>
      <c r="G411" s="9"/>
    </row>
    <row r="412" spans="1:7" x14ac:dyDescent="0.35">
      <c r="A412" s="9"/>
      <c r="B412" s="9"/>
      <c r="C412" s="9"/>
      <c r="D412" s="9"/>
      <c r="E412" s="9"/>
      <c r="F412" s="9"/>
      <c r="G412" s="9"/>
    </row>
    <row r="413" spans="1:7" x14ac:dyDescent="0.35">
      <c r="A413" s="9"/>
      <c r="B413" s="9"/>
      <c r="C413" s="9"/>
      <c r="D413" s="9"/>
      <c r="E413" s="9"/>
      <c r="F413" s="9"/>
      <c r="G413" s="9"/>
    </row>
    <row r="414" spans="1:7" x14ac:dyDescent="0.35">
      <c r="A414" s="9"/>
      <c r="B414" s="9"/>
      <c r="C414" s="9"/>
      <c r="D414" s="9"/>
      <c r="E414" s="9"/>
      <c r="F414" s="9"/>
      <c r="G414" s="9"/>
    </row>
    <row r="415" spans="1:7" x14ac:dyDescent="0.35">
      <c r="A415" s="9"/>
      <c r="B415" s="9"/>
      <c r="C415" s="9"/>
      <c r="D415" s="9"/>
      <c r="E415" s="9"/>
      <c r="F415" s="9"/>
      <c r="G415" s="9"/>
    </row>
    <row r="416" spans="1:7" x14ac:dyDescent="0.35">
      <c r="A416" s="9"/>
      <c r="B416" s="9"/>
      <c r="C416" s="9"/>
      <c r="D416" s="9"/>
      <c r="E416" s="9"/>
      <c r="F416" s="9"/>
      <c r="G416" s="9"/>
    </row>
    <row r="417" spans="1:7" x14ac:dyDescent="0.35">
      <c r="A417" s="9"/>
      <c r="B417" s="9"/>
      <c r="C417" s="9"/>
      <c r="D417" s="9"/>
      <c r="E417" s="9"/>
      <c r="F417" s="9"/>
      <c r="G417" s="9"/>
    </row>
    <row r="418" spans="1:7" x14ac:dyDescent="0.35">
      <c r="A418" s="9"/>
      <c r="B418" s="9"/>
      <c r="C418" s="9"/>
      <c r="D418" s="9"/>
      <c r="E418" s="9"/>
      <c r="F418" s="9"/>
      <c r="G418" s="9"/>
    </row>
    <row r="419" spans="1:7" x14ac:dyDescent="0.35">
      <c r="A419" s="9"/>
      <c r="B419" s="9"/>
      <c r="C419" s="9"/>
      <c r="D419" s="9"/>
      <c r="E419" s="9"/>
      <c r="F419" s="9"/>
      <c r="G419" s="9"/>
    </row>
    <row r="420" spans="1:7" x14ac:dyDescent="0.35">
      <c r="A420" s="9"/>
      <c r="B420" s="9"/>
      <c r="C420" s="9"/>
      <c r="D420" s="9"/>
      <c r="E420" s="9"/>
      <c r="F420" s="9"/>
      <c r="G420" s="9"/>
    </row>
    <row r="421" spans="1:7" x14ac:dyDescent="0.35">
      <c r="A421" s="9"/>
      <c r="B421" s="9"/>
      <c r="C421" s="9"/>
      <c r="D421" s="9"/>
      <c r="E421" s="9"/>
      <c r="F421" s="9"/>
      <c r="G421" s="9"/>
    </row>
    <row r="422" spans="1:7" x14ac:dyDescent="0.35">
      <c r="A422" s="9"/>
      <c r="B422" s="9"/>
      <c r="C422" s="9"/>
      <c r="D422" s="9"/>
      <c r="E422" s="9"/>
      <c r="F422" s="9"/>
      <c r="G422" s="9"/>
    </row>
    <row r="423" spans="1:7" x14ac:dyDescent="0.35">
      <c r="A423" s="9"/>
      <c r="B423" s="9"/>
      <c r="C423" s="9"/>
      <c r="D423" s="9"/>
      <c r="E423" s="9"/>
      <c r="F423" s="9"/>
      <c r="G423" s="9"/>
    </row>
    <row r="424" spans="1:7" x14ac:dyDescent="0.35">
      <c r="A424" s="9"/>
      <c r="B424" s="9"/>
      <c r="C424" s="9"/>
      <c r="D424" s="9"/>
      <c r="E424" s="9"/>
      <c r="F424" s="9"/>
      <c r="G424" s="9"/>
    </row>
    <row r="425" spans="1:7" x14ac:dyDescent="0.35">
      <c r="A425" s="9"/>
      <c r="B425" s="9"/>
      <c r="C425" s="9"/>
      <c r="D425" s="9"/>
      <c r="E425" s="9"/>
      <c r="F425" s="9"/>
      <c r="G425" s="9"/>
    </row>
    <row r="426" spans="1:7" x14ac:dyDescent="0.35">
      <c r="A426" s="9"/>
      <c r="B426" s="9"/>
      <c r="C426" s="9"/>
      <c r="D426" s="9"/>
      <c r="E426" s="9"/>
      <c r="F426" s="9"/>
      <c r="G426" s="9"/>
    </row>
    <row r="427" spans="1:7" x14ac:dyDescent="0.35">
      <c r="A427" s="9"/>
      <c r="B427" s="9"/>
      <c r="C427" s="9"/>
      <c r="D427" s="9"/>
      <c r="E427" s="9"/>
      <c r="F427" s="9"/>
      <c r="G427" s="9"/>
    </row>
    <row r="428" spans="1:7" x14ac:dyDescent="0.35">
      <c r="A428" s="9"/>
      <c r="B428" s="9"/>
      <c r="C428" s="9"/>
      <c r="D428" s="9"/>
      <c r="E428" s="9"/>
      <c r="F428" s="9"/>
      <c r="G428" s="9"/>
    </row>
    <row r="429" spans="1:7" x14ac:dyDescent="0.35">
      <c r="A429" s="9"/>
      <c r="B429" s="9"/>
      <c r="C429" s="9"/>
      <c r="D429" s="9"/>
      <c r="E429" s="9"/>
      <c r="F429" s="9"/>
      <c r="G429" s="9"/>
    </row>
    <row r="430" spans="1:7" x14ac:dyDescent="0.35">
      <c r="A430" s="9"/>
      <c r="B430" s="9"/>
      <c r="C430" s="9"/>
      <c r="D430" s="9"/>
      <c r="E430" s="9"/>
      <c r="F430" s="9"/>
      <c r="G430" s="9"/>
    </row>
    <row r="431" spans="1:7" x14ac:dyDescent="0.35">
      <c r="A431" s="9"/>
      <c r="B431" s="9"/>
      <c r="C431" s="9"/>
      <c r="D431" s="9"/>
      <c r="E431" s="9"/>
      <c r="F431" s="9"/>
      <c r="G431" s="9"/>
    </row>
    <row r="432" spans="1:7" x14ac:dyDescent="0.35">
      <c r="A432" s="9"/>
      <c r="B432" s="9"/>
      <c r="C432" s="9"/>
      <c r="D432" s="9"/>
      <c r="E432" s="9"/>
      <c r="F432" s="9"/>
      <c r="G432" s="9"/>
    </row>
    <row r="433" spans="1:7" x14ac:dyDescent="0.35">
      <c r="A433" s="9"/>
      <c r="B433" s="9"/>
      <c r="C433" s="9"/>
      <c r="D433" s="9"/>
      <c r="E433" s="9"/>
      <c r="F433" s="9"/>
      <c r="G433" s="9"/>
    </row>
    <row r="434" spans="1:7" x14ac:dyDescent="0.35">
      <c r="A434" s="9"/>
      <c r="B434" s="9"/>
      <c r="C434" s="9"/>
      <c r="D434" s="9"/>
      <c r="E434" s="9"/>
      <c r="F434" s="9"/>
      <c r="G434" s="9"/>
    </row>
    <row r="435" spans="1:7" x14ac:dyDescent="0.35">
      <c r="A435" s="9"/>
      <c r="B435" s="9"/>
      <c r="C435" s="9"/>
      <c r="D435" s="9"/>
      <c r="E435" s="9"/>
      <c r="F435" s="9"/>
      <c r="G435" s="9"/>
    </row>
    <row r="436" spans="1:7" x14ac:dyDescent="0.35">
      <c r="A436" s="9"/>
      <c r="B436" s="9"/>
      <c r="C436" s="9"/>
      <c r="D436" s="9"/>
      <c r="E436" s="9"/>
      <c r="F436" s="9"/>
      <c r="G436" s="9"/>
    </row>
    <row r="437" spans="1:7" x14ac:dyDescent="0.35">
      <c r="A437" s="9"/>
      <c r="B437" s="9"/>
      <c r="C437" s="9"/>
      <c r="D437" s="9"/>
      <c r="E437" s="9"/>
      <c r="F437" s="9"/>
      <c r="G437" s="9"/>
    </row>
    <row r="438" spans="1:7" x14ac:dyDescent="0.35">
      <c r="A438" s="9"/>
      <c r="B438" s="9"/>
      <c r="C438" s="9"/>
      <c r="D438" s="9"/>
      <c r="E438" s="9"/>
      <c r="F438" s="9"/>
      <c r="G438" s="9"/>
    </row>
    <row r="439" spans="1:7" x14ac:dyDescent="0.35">
      <c r="A439" s="9"/>
      <c r="B439" s="9"/>
      <c r="C439" s="9"/>
      <c r="D439" s="9"/>
      <c r="E439" s="9"/>
      <c r="F439" s="9"/>
      <c r="G439" s="9"/>
    </row>
    <row r="440" spans="1:7" x14ac:dyDescent="0.35">
      <c r="A440" s="9"/>
      <c r="B440" s="9"/>
      <c r="C440" s="9"/>
      <c r="D440" s="9"/>
      <c r="E440" s="9"/>
      <c r="F440" s="9"/>
      <c r="G440" s="9"/>
    </row>
    <row r="441" spans="1:7" x14ac:dyDescent="0.35">
      <c r="A441" s="9"/>
      <c r="B441" s="9"/>
      <c r="C441" s="9"/>
      <c r="D441" s="9"/>
      <c r="E441" s="9"/>
      <c r="F441" s="9"/>
      <c r="G441" s="9"/>
    </row>
    <row r="442" spans="1:7" x14ac:dyDescent="0.35">
      <c r="A442" s="9"/>
      <c r="B442" s="9"/>
      <c r="C442" s="9"/>
      <c r="D442" s="9"/>
      <c r="E442" s="9"/>
      <c r="F442" s="9"/>
      <c r="G442" s="9"/>
    </row>
    <row r="443" spans="1:7" x14ac:dyDescent="0.35">
      <c r="A443" s="9"/>
      <c r="B443" s="9"/>
      <c r="C443" s="9"/>
      <c r="D443" s="9"/>
      <c r="E443" s="9"/>
      <c r="F443" s="9"/>
      <c r="G443" s="9"/>
    </row>
    <row r="444" spans="1:7" x14ac:dyDescent="0.35">
      <c r="A444" s="9"/>
      <c r="B444" s="9"/>
      <c r="C444" s="9"/>
      <c r="D444" s="9"/>
      <c r="E444" s="9"/>
      <c r="F444" s="9"/>
      <c r="G444" s="9"/>
    </row>
    <row r="445" spans="1:7" x14ac:dyDescent="0.35">
      <c r="A445" s="9"/>
      <c r="B445" s="9"/>
      <c r="C445" s="9"/>
      <c r="D445" s="9"/>
      <c r="E445" s="9"/>
      <c r="F445" s="9"/>
      <c r="G445" s="9"/>
    </row>
    <row r="446" spans="1:7" x14ac:dyDescent="0.35">
      <c r="A446" s="9"/>
      <c r="B446" s="9"/>
      <c r="C446" s="9"/>
      <c r="D446" s="9"/>
      <c r="E446" s="9"/>
      <c r="F446" s="9"/>
      <c r="G446" s="9"/>
    </row>
    <row r="447" spans="1:7" x14ac:dyDescent="0.35">
      <c r="A447" s="9"/>
      <c r="B447" s="9"/>
      <c r="C447" s="9"/>
      <c r="D447" s="9"/>
      <c r="E447" s="9"/>
      <c r="F447" s="9"/>
      <c r="G447" s="9"/>
    </row>
    <row r="448" spans="1:7" x14ac:dyDescent="0.35">
      <c r="A448" s="9"/>
      <c r="B448" s="9"/>
      <c r="C448" s="9"/>
      <c r="D448" s="9"/>
      <c r="E448" s="9"/>
      <c r="F448" s="9"/>
      <c r="G448" s="9"/>
    </row>
    <row r="449" spans="1:7" x14ac:dyDescent="0.35">
      <c r="A449" s="9"/>
      <c r="B449" s="9"/>
      <c r="C449" s="9"/>
      <c r="D449" s="9"/>
      <c r="E449" s="9"/>
      <c r="F449" s="9"/>
      <c r="G449" s="9"/>
    </row>
    <row r="450" spans="1:7" x14ac:dyDescent="0.35">
      <c r="A450" s="9"/>
      <c r="B450" s="9"/>
      <c r="C450" s="9"/>
      <c r="D450" s="9"/>
      <c r="E450" s="9"/>
      <c r="F450" s="9"/>
      <c r="G450" s="9"/>
    </row>
    <row r="451" spans="1:7" x14ac:dyDescent="0.35">
      <c r="A451" s="9"/>
      <c r="B451" s="9"/>
      <c r="C451" s="9"/>
      <c r="D451" s="9"/>
      <c r="E451" s="9"/>
      <c r="F451" s="9"/>
      <c r="G451" s="9"/>
    </row>
    <row r="452" spans="1:7" x14ac:dyDescent="0.35">
      <c r="A452" s="9"/>
      <c r="B452" s="9"/>
      <c r="C452" s="9"/>
      <c r="D452" s="9"/>
      <c r="E452" s="9"/>
      <c r="F452" s="9"/>
      <c r="G452" s="9"/>
    </row>
    <row r="453" spans="1:7" x14ac:dyDescent="0.35">
      <c r="A453" s="9"/>
      <c r="B453" s="9"/>
      <c r="C453" s="9"/>
      <c r="D453" s="9"/>
      <c r="E453" s="9"/>
      <c r="F453" s="9"/>
      <c r="G453" s="9"/>
    </row>
    <row r="454" spans="1:7" x14ac:dyDescent="0.35">
      <c r="A454" s="9"/>
      <c r="B454" s="9"/>
      <c r="C454" s="9"/>
      <c r="D454" s="9"/>
      <c r="E454" s="9"/>
      <c r="F454" s="9"/>
      <c r="G454" s="9"/>
    </row>
    <row r="455" spans="1:7" x14ac:dyDescent="0.35">
      <c r="A455" s="9"/>
      <c r="B455" s="9"/>
      <c r="C455" s="9"/>
      <c r="D455" s="9"/>
      <c r="E455" s="9"/>
      <c r="F455" s="9"/>
      <c r="G455" s="9"/>
    </row>
    <row r="456" spans="1:7" x14ac:dyDescent="0.35">
      <c r="A456" s="9"/>
      <c r="B456" s="9"/>
      <c r="C456" s="9"/>
      <c r="D456" s="9"/>
      <c r="E456" s="9"/>
      <c r="F456" s="9"/>
      <c r="G456" s="9"/>
    </row>
    <row r="457" spans="1:7" x14ac:dyDescent="0.35">
      <c r="A457" s="9"/>
      <c r="B457" s="9"/>
      <c r="C457" s="9"/>
      <c r="D457" s="9"/>
      <c r="E457" s="9"/>
      <c r="F457" s="9"/>
      <c r="G457" s="9"/>
    </row>
    <row r="458" spans="1:7" x14ac:dyDescent="0.35">
      <c r="A458" s="9"/>
      <c r="B458" s="9"/>
      <c r="C458" s="9"/>
      <c r="D458" s="9"/>
      <c r="E458" s="9"/>
      <c r="F458" s="9"/>
      <c r="G458" s="9"/>
    </row>
    <row r="459" spans="1:7" x14ac:dyDescent="0.35">
      <c r="A459" s="9"/>
      <c r="B459" s="9"/>
      <c r="C459" s="9"/>
      <c r="D459" s="9"/>
      <c r="E459" s="9"/>
      <c r="F459" s="9"/>
      <c r="G459" s="9"/>
    </row>
    <row r="460" spans="1:7" x14ac:dyDescent="0.35">
      <c r="A460" s="9"/>
      <c r="B460" s="9"/>
      <c r="C460" s="9"/>
      <c r="D460" s="9"/>
      <c r="E460" s="9"/>
      <c r="F460" s="9"/>
      <c r="G460" s="9"/>
    </row>
    <row r="461" spans="1:7" x14ac:dyDescent="0.35">
      <c r="A461" s="9"/>
      <c r="B461" s="9"/>
      <c r="C461" s="9"/>
      <c r="D461" s="9"/>
      <c r="E461" s="9"/>
      <c r="F461" s="9"/>
      <c r="G461" s="9"/>
    </row>
    <row r="462" spans="1:7" x14ac:dyDescent="0.35">
      <c r="A462" s="9"/>
      <c r="B462" s="9"/>
      <c r="C462" s="9"/>
      <c r="D462" s="9"/>
      <c r="E462" s="9"/>
      <c r="F462" s="9"/>
      <c r="G462" s="9"/>
    </row>
    <row r="463" spans="1:7" x14ac:dyDescent="0.35">
      <c r="A463" s="9"/>
      <c r="B463" s="9"/>
      <c r="C463" s="9"/>
      <c r="D463" s="9"/>
      <c r="E463" s="9"/>
      <c r="F463" s="9"/>
      <c r="G463" s="9"/>
    </row>
    <row r="464" spans="1:7" x14ac:dyDescent="0.35">
      <c r="A464" s="9"/>
      <c r="B464" s="9"/>
      <c r="C464" s="9"/>
      <c r="D464" s="9"/>
      <c r="E464" s="9"/>
      <c r="F464" s="9"/>
      <c r="G464" s="9"/>
    </row>
    <row r="465" spans="1:7" x14ac:dyDescent="0.35">
      <c r="A465" s="9"/>
      <c r="B465" s="9"/>
      <c r="C465" s="9"/>
      <c r="D465" s="9"/>
      <c r="E465" s="9"/>
      <c r="F465" s="9"/>
      <c r="G465" s="9"/>
    </row>
    <row r="466" spans="1:7" x14ac:dyDescent="0.35">
      <c r="A466" s="9"/>
      <c r="B466" s="9"/>
      <c r="C466" s="9"/>
      <c r="D466" s="9"/>
      <c r="E466" s="9"/>
      <c r="F466" s="9"/>
      <c r="G466" s="9"/>
    </row>
    <row r="467" spans="1:7" x14ac:dyDescent="0.35">
      <c r="A467" s="9"/>
      <c r="B467" s="9"/>
      <c r="C467" s="9"/>
      <c r="D467" s="9"/>
      <c r="E467" s="9"/>
      <c r="F467" s="9"/>
      <c r="G467" s="9"/>
    </row>
    <row r="468" spans="1:7" x14ac:dyDescent="0.35">
      <c r="A468" s="9"/>
      <c r="B468" s="9"/>
      <c r="C468" s="9"/>
      <c r="D468" s="9"/>
      <c r="E468" s="9"/>
      <c r="F468" s="9"/>
      <c r="G468" s="9"/>
    </row>
    <row r="469" spans="1:7" x14ac:dyDescent="0.35">
      <c r="A469" s="9"/>
      <c r="B469" s="9"/>
      <c r="C469" s="9"/>
      <c r="D469" s="9"/>
      <c r="E469" s="9"/>
      <c r="F469" s="9"/>
      <c r="G469" s="9"/>
    </row>
    <row r="470" spans="1:7" x14ac:dyDescent="0.35">
      <c r="A470" s="9"/>
      <c r="B470" s="9"/>
      <c r="C470" s="9"/>
      <c r="D470" s="9"/>
      <c r="E470" s="9"/>
      <c r="F470" s="9"/>
      <c r="G470" s="9"/>
    </row>
    <row r="471" spans="1:7" x14ac:dyDescent="0.35">
      <c r="A471" s="9"/>
      <c r="B471" s="9"/>
      <c r="C471" s="9"/>
      <c r="D471" s="9"/>
      <c r="E471" s="9"/>
      <c r="F471" s="9"/>
      <c r="G471" s="9"/>
    </row>
    <row r="472" spans="1:7" x14ac:dyDescent="0.35">
      <c r="A472" s="9"/>
      <c r="B472" s="9"/>
      <c r="C472" s="9"/>
      <c r="D472" s="9"/>
      <c r="E472" s="9"/>
      <c r="F472" s="9"/>
      <c r="G472" s="9"/>
    </row>
    <row r="473" spans="1:7" x14ac:dyDescent="0.35">
      <c r="A473" s="9"/>
      <c r="B473" s="9"/>
      <c r="C473" s="9"/>
      <c r="D473" s="9"/>
      <c r="E473" s="9"/>
      <c r="F473" s="9"/>
      <c r="G473" s="9"/>
    </row>
    <row r="474" spans="1:7" x14ac:dyDescent="0.35">
      <c r="A474" s="9"/>
      <c r="B474" s="9"/>
      <c r="C474" s="9"/>
      <c r="D474" s="9"/>
      <c r="E474" s="9"/>
      <c r="F474" s="9"/>
      <c r="G474" s="9"/>
    </row>
    <row r="475" spans="1:7" x14ac:dyDescent="0.35">
      <c r="A475" s="9"/>
      <c r="B475" s="9"/>
      <c r="C475" s="9"/>
      <c r="D475" s="9"/>
      <c r="E475" s="9"/>
      <c r="F475" s="9"/>
      <c r="G475" s="9"/>
    </row>
    <row r="476" spans="1:7" x14ac:dyDescent="0.35">
      <c r="A476" s="9"/>
      <c r="B476" s="9"/>
      <c r="C476" s="9"/>
      <c r="D476" s="9"/>
      <c r="E476" s="9"/>
      <c r="F476" s="9"/>
      <c r="G476" s="9"/>
    </row>
    <row r="477" spans="1:7" x14ac:dyDescent="0.35">
      <c r="A477" s="9"/>
      <c r="B477" s="9"/>
      <c r="C477" s="9"/>
      <c r="D477" s="9"/>
      <c r="E477" s="9"/>
      <c r="F477" s="9"/>
      <c r="G477" s="9"/>
    </row>
    <row r="478" spans="1:7" x14ac:dyDescent="0.35">
      <c r="A478" s="9"/>
      <c r="B478" s="9"/>
      <c r="C478" s="9"/>
      <c r="D478" s="9"/>
      <c r="E478" s="9"/>
      <c r="F478" s="9"/>
      <c r="G478" s="9"/>
    </row>
    <row r="479" spans="1:7" x14ac:dyDescent="0.35">
      <c r="A479" s="9"/>
      <c r="B479" s="9"/>
      <c r="C479" s="9"/>
      <c r="D479" s="9"/>
      <c r="E479" s="9"/>
      <c r="F479" s="9"/>
      <c r="G479" s="9"/>
    </row>
    <row r="480" spans="1:7" x14ac:dyDescent="0.35">
      <c r="A480" s="9"/>
      <c r="B480" s="9"/>
      <c r="C480" s="9"/>
      <c r="D480" s="9"/>
      <c r="E480" s="9"/>
      <c r="F480" s="9"/>
      <c r="G480" s="9"/>
    </row>
    <row r="481" spans="1:7" x14ac:dyDescent="0.35">
      <c r="A481" s="9"/>
      <c r="B481" s="9"/>
      <c r="C481" s="9"/>
      <c r="D481" s="9"/>
      <c r="E481" s="9"/>
      <c r="F481" s="9"/>
      <c r="G481" s="9"/>
    </row>
    <row r="482" spans="1:7" x14ac:dyDescent="0.35">
      <c r="A482" s="9"/>
      <c r="B482" s="9"/>
      <c r="C482" s="9"/>
      <c r="D482" s="9"/>
      <c r="E482" s="9"/>
      <c r="F482" s="9"/>
      <c r="G482" s="9"/>
    </row>
    <row r="483" spans="1:7" x14ac:dyDescent="0.35">
      <c r="A483" s="9"/>
      <c r="B483" s="9"/>
      <c r="C483" s="9"/>
      <c r="D483" s="9"/>
      <c r="E483" s="9"/>
      <c r="F483" s="9"/>
      <c r="G483" s="9"/>
    </row>
    <row r="484" spans="1:7" x14ac:dyDescent="0.35">
      <c r="A484" s="9"/>
      <c r="B484" s="9"/>
      <c r="C484" s="9"/>
      <c r="D484" s="9"/>
      <c r="E484" s="9"/>
      <c r="F484" s="9"/>
      <c r="G484" s="9"/>
    </row>
    <row r="485" spans="1:7" x14ac:dyDescent="0.35">
      <c r="A485" s="9"/>
      <c r="B485" s="9"/>
      <c r="C485" s="9"/>
      <c r="D485" s="9"/>
      <c r="E485" s="9"/>
      <c r="F485" s="9"/>
      <c r="G485" s="9"/>
    </row>
    <row r="486" spans="1:7" x14ac:dyDescent="0.35">
      <c r="A486" s="9"/>
      <c r="B486" s="9"/>
      <c r="C486" s="9"/>
      <c r="D486" s="9"/>
      <c r="E486" s="9"/>
      <c r="F486" s="9"/>
      <c r="G486" s="9"/>
    </row>
    <row r="487" spans="1:7" x14ac:dyDescent="0.35">
      <c r="A487" s="9"/>
      <c r="B487" s="9"/>
      <c r="C487" s="9"/>
      <c r="D487" s="9"/>
      <c r="E487" s="9"/>
      <c r="F487" s="9"/>
      <c r="G487" s="9"/>
    </row>
    <row r="488" spans="1:7" x14ac:dyDescent="0.35">
      <c r="A488" s="9"/>
      <c r="B488" s="9"/>
      <c r="C488" s="9"/>
      <c r="D488" s="9"/>
      <c r="E488" s="9"/>
      <c r="F488" s="9"/>
      <c r="G488" s="9"/>
    </row>
    <row r="489" spans="1:7" x14ac:dyDescent="0.35">
      <c r="A489" s="9"/>
      <c r="B489" s="9"/>
      <c r="C489" s="9"/>
      <c r="D489" s="9"/>
      <c r="E489" s="9"/>
      <c r="F489" s="9"/>
      <c r="G489" s="9"/>
    </row>
    <row r="490" spans="1:7" x14ac:dyDescent="0.35">
      <c r="A490" s="9"/>
      <c r="B490" s="9"/>
      <c r="C490" s="9"/>
      <c r="D490" s="9"/>
      <c r="E490" s="9"/>
      <c r="F490" s="9"/>
      <c r="G490" s="9"/>
    </row>
    <row r="491" spans="1:7" x14ac:dyDescent="0.35">
      <c r="A491" s="9"/>
      <c r="B491" s="9"/>
      <c r="C491" s="9"/>
      <c r="D491" s="9"/>
      <c r="E491" s="9"/>
      <c r="F491" s="9"/>
      <c r="G491" s="9"/>
    </row>
    <row r="492" spans="1:7" x14ac:dyDescent="0.35">
      <c r="A492" s="9"/>
      <c r="B492" s="9"/>
      <c r="C492" s="9"/>
      <c r="D492" s="9"/>
      <c r="E492" s="9"/>
      <c r="F492" s="9"/>
      <c r="G492" s="9"/>
    </row>
    <row r="493" spans="1:7" x14ac:dyDescent="0.35">
      <c r="A493" s="9"/>
      <c r="B493" s="9"/>
      <c r="C493" s="9"/>
      <c r="D493" s="9"/>
      <c r="E493" s="9"/>
      <c r="F493" s="9"/>
      <c r="G493" s="9"/>
    </row>
    <row r="494" spans="1:7" x14ac:dyDescent="0.35">
      <c r="A494" s="9"/>
      <c r="B494" s="9"/>
      <c r="C494" s="9"/>
      <c r="D494" s="9"/>
      <c r="E494" s="9"/>
      <c r="F494" s="9"/>
      <c r="G494" s="9"/>
    </row>
    <row r="495" spans="1:7" x14ac:dyDescent="0.35">
      <c r="A495" s="9"/>
      <c r="B495" s="9"/>
      <c r="C495" s="9"/>
      <c r="D495" s="9"/>
      <c r="E495" s="9"/>
      <c r="F495" s="9"/>
      <c r="G495" s="9"/>
    </row>
    <row r="496" spans="1:7" x14ac:dyDescent="0.35">
      <c r="A496" s="9"/>
      <c r="B496" s="9"/>
      <c r="C496" s="9"/>
      <c r="D496" s="9"/>
      <c r="E496" s="9"/>
      <c r="F496" s="9"/>
      <c r="G496" s="9"/>
    </row>
    <row r="497" spans="1:7" x14ac:dyDescent="0.35">
      <c r="A497" s="9"/>
      <c r="B497" s="9"/>
      <c r="C497" s="9"/>
      <c r="D497" s="9"/>
      <c r="E497" s="9"/>
      <c r="F497" s="9"/>
      <c r="G497" s="9"/>
    </row>
    <row r="498" spans="1:7" x14ac:dyDescent="0.35">
      <c r="A498" s="9"/>
      <c r="B498" s="9"/>
      <c r="C498" s="9"/>
      <c r="D498" s="9"/>
      <c r="E498" s="9"/>
      <c r="F498" s="9"/>
      <c r="G498" s="9"/>
    </row>
    <row r="499" spans="1:7" x14ac:dyDescent="0.35">
      <c r="A499" s="9"/>
      <c r="B499" s="9"/>
      <c r="C499" s="9"/>
      <c r="D499" s="9"/>
      <c r="E499" s="9"/>
      <c r="F499" s="9"/>
      <c r="G499" s="9"/>
    </row>
    <row r="500" spans="1:7" x14ac:dyDescent="0.35">
      <c r="A500" s="9"/>
      <c r="B500" s="9"/>
      <c r="C500" s="9"/>
      <c r="D500" s="9"/>
      <c r="E500" s="9"/>
      <c r="F500" s="9"/>
      <c r="G500" s="9"/>
    </row>
    <row r="501" spans="1:7" x14ac:dyDescent="0.35">
      <c r="A501" s="9"/>
      <c r="B501" s="9"/>
      <c r="C501" s="9"/>
      <c r="D501" s="9"/>
      <c r="E501" s="9"/>
      <c r="F501" s="9"/>
      <c r="G501" s="9"/>
    </row>
    <row r="502" spans="1:7" x14ac:dyDescent="0.35">
      <c r="A502" s="9"/>
      <c r="B502" s="9"/>
      <c r="C502" s="9"/>
      <c r="D502" s="9"/>
      <c r="E502" s="9"/>
      <c r="F502" s="9"/>
      <c r="G502" s="9"/>
    </row>
    <row r="503" spans="1:7" x14ac:dyDescent="0.35">
      <c r="A503" s="9"/>
      <c r="B503" s="9"/>
      <c r="C503" s="9"/>
      <c r="D503" s="9"/>
      <c r="E503" s="9"/>
      <c r="F503" s="9"/>
      <c r="G503" s="9"/>
    </row>
    <row r="504" spans="1:7" x14ac:dyDescent="0.35">
      <c r="A504" s="9"/>
      <c r="B504" s="9"/>
      <c r="C504" s="9"/>
      <c r="D504" s="9"/>
      <c r="E504" s="9"/>
      <c r="F504" s="9"/>
      <c r="G504" s="9"/>
    </row>
    <row r="505" spans="1:7" x14ac:dyDescent="0.35">
      <c r="A505" s="9"/>
      <c r="B505" s="9"/>
      <c r="C505" s="9"/>
      <c r="D505" s="9"/>
      <c r="E505" s="9"/>
      <c r="F505" s="9"/>
      <c r="G505" s="9"/>
    </row>
    <row r="506" spans="1:7" x14ac:dyDescent="0.35">
      <c r="A506" s="9"/>
      <c r="B506" s="9"/>
      <c r="C506" s="9"/>
      <c r="D506" s="9"/>
      <c r="E506" s="9"/>
      <c r="F506" s="9"/>
      <c r="G506" s="9"/>
    </row>
    <row r="507" spans="1:7" x14ac:dyDescent="0.35">
      <c r="A507" s="9"/>
      <c r="B507" s="9"/>
      <c r="C507" s="9"/>
      <c r="D507" s="9"/>
      <c r="E507" s="9"/>
      <c r="F507" s="9"/>
      <c r="G507" s="9"/>
    </row>
    <row r="508" spans="1:7" x14ac:dyDescent="0.35">
      <c r="A508" s="9"/>
      <c r="B508" s="9"/>
      <c r="C508" s="9"/>
      <c r="D508" s="9"/>
      <c r="E508" s="9"/>
      <c r="F508" s="9"/>
      <c r="G508" s="9"/>
    </row>
    <row r="509" spans="1:7" x14ac:dyDescent="0.35">
      <c r="A509" s="9"/>
      <c r="B509" s="9"/>
      <c r="C509" s="9"/>
      <c r="D509" s="9"/>
      <c r="E509" s="9"/>
      <c r="F509" s="9"/>
      <c r="G509" s="9"/>
    </row>
    <row r="510" spans="1:7" x14ac:dyDescent="0.35">
      <c r="A510" s="9"/>
      <c r="B510" s="9"/>
      <c r="C510" s="9"/>
      <c r="D510" s="9"/>
      <c r="E510" s="9"/>
      <c r="F510" s="9"/>
      <c r="G510" s="9"/>
    </row>
    <row r="511" spans="1:7" x14ac:dyDescent="0.35">
      <c r="A511" s="9"/>
      <c r="B511" s="9"/>
      <c r="C511" s="9"/>
      <c r="D511" s="9"/>
      <c r="E511" s="9"/>
      <c r="F511" s="9"/>
      <c r="G511" s="9"/>
    </row>
    <row r="512" spans="1:7" x14ac:dyDescent="0.35">
      <c r="A512" s="9"/>
      <c r="B512" s="9"/>
      <c r="C512" s="9"/>
      <c r="D512" s="9"/>
      <c r="E512" s="9"/>
      <c r="F512" s="9"/>
      <c r="G512" s="9"/>
    </row>
    <row r="513" spans="1:7" x14ac:dyDescent="0.35">
      <c r="A513" s="9"/>
      <c r="B513" s="9"/>
      <c r="C513" s="9"/>
      <c r="D513" s="9"/>
      <c r="E513" s="9"/>
      <c r="F513" s="9"/>
      <c r="G513" s="9"/>
    </row>
    <row r="514" spans="1:7" x14ac:dyDescent="0.35">
      <c r="A514" s="9"/>
      <c r="B514" s="9"/>
      <c r="C514" s="9"/>
      <c r="D514" s="9"/>
      <c r="E514" s="9"/>
      <c r="F514" s="9"/>
      <c r="G514" s="9"/>
    </row>
    <row r="515" spans="1:7" x14ac:dyDescent="0.35">
      <c r="A515" s="9"/>
      <c r="B515" s="9"/>
      <c r="C515" s="9"/>
      <c r="D515" s="9"/>
      <c r="E515" s="9"/>
      <c r="F515" s="9"/>
      <c r="G515" s="9"/>
    </row>
    <row r="516" spans="1:7" x14ac:dyDescent="0.35">
      <c r="A516" s="9"/>
      <c r="B516" s="9"/>
      <c r="C516" s="9"/>
      <c r="D516" s="9"/>
      <c r="E516" s="9"/>
      <c r="F516" s="9"/>
      <c r="G516" s="9"/>
    </row>
    <row r="517" spans="1:7" x14ac:dyDescent="0.35">
      <c r="A517" s="9"/>
      <c r="B517" s="9"/>
      <c r="C517" s="9"/>
      <c r="D517" s="9"/>
      <c r="E517" s="9"/>
      <c r="F517" s="9"/>
      <c r="G517" s="9"/>
    </row>
    <row r="518" spans="1:7" x14ac:dyDescent="0.35">
      <c r="A518" s="9"/>
      <c r="B518" s="9"/>
      <c r="C518" s="9"/>
      <c r="D518" s="9"/>
      <c r="E518" s="9"/>
      <c r="F518" s="9"/>
      <c r="G518" s="9"/>
    </row>
    <row r="519" spans="1:7" x14ac:dyDescent="0.35">
      <c r="A519" s="9"/>
      <c r="B519" s="9"/>
      <c r="C519" s="9"/>
      <c r="D519" s="9"/>
      <c r="E519" s="9"/>
      <c r="F519" s="9"/>
      <c r="G519" s="9"/>
    </row>
    <row r="520" spans="1:7" x14ac:dyDescent="0.35">
      <c r="A520" s="9"/>
      <c r="B520" s="9"/>
      <c r="C520" s="9"/>
      <c r="D520" s="9"/>
      <c r="E520" s="9"/>
      <c r="F520" s="9"/>
      <c r="G520" s="9"/>
    </row>
    <row r="521" spans="1:7" x14ac:dyDescent="0.35">
      <c r="A521" s="9"/>
      <c r="B521" s="9"/>
      <c r="C521" s="9"/>
      <c r="D521" s="9"/>
      <c r="E521" s="9"/>
      <c r="F521" s="9"/>
      <c r="G521" s="9"/>
    </row>
    <row r="522" spans="1:7" x14ac:dyDescent="0.35">
      <c r="A522" s="9"/>
      <c r="B522" s="9"/>
      <c r="C522" s="9"/>
      <c r="D522" s="9"/>
      <c r="E522" s="9"/>
      <c r="F522" s="9"/>
      <c r="G522" s="9"/>
    </row>
    <row r="523" spans="1:7" x14ac:dyDescent="0.35">
      <c r="A523" s="9"/>
      <c r="B523" s="9"/>
      <c r="C523" s="9"/>
      <c r="D523" s="9"/>
      <c r="E523" s="9"/>
      <c r="F523" s="9"/>
      <c r="G523" s="9"/>
    </row>
    <row r="524" spans="1:7" x14ac:dyDescent="0.35">
      <c r="A524" s="9"/>
      <c r="B524" s="9"/>
      <c r="C524" s="9"/>
      <c r="D524" s="9"/>
      <c r="E524" s="9"/>
      <c r="F524" s="9"/>
      <c r="G524" s="9"/>
    </row>
    <row r="525" spans="1:7" x14ac:dyDescent="0.35">
      <c r="A525" s="9"/>
      <c r="B525" s="9"/>
      <c r="C525" s="9"/>
      <c r="D525" s="9"/>
      <c r="E525" s="9"/>
      <c r="F525" s="9"/>
      <c r="G525" s="9"/>
    </row>
    <row r="526" spans="1:7" x14ac:dyDescent="0.35">
      <c r="A526" s="9"/>
      <c r="B526" s="9"/>
      <c r="C526" s="9"/>
      <c r="D526" s="9"/>
      <c r="E526" s="9"/>
      <c r="F526" s="9"/>
      <c r="G526" s="9"/>
    </row>
    <row r="527" spans="1:7" x14ac:dyDescent="0.35">
      <c r="A527" s="9"/>
      <c r="B527" s="9"/>
      <c r="C527" s="9"/>
      <c r="D527" s="9"/>
      <c r="E527" s="9"/>
      <c r="F527" s="9"/>
      <c r="G527" s="9"/>
    </row>
    <row r="528" spans="1:7" x14ac:dyDescent="0.35">
      <c r="A528" s="9"/>
      <c r="B528" s="9"/>
      <c r="C528" s="9"/>
      <c r="D528" s="9"/>
      <c r="E528" s="9"/>
      <c r="F528" s="9"/>
      <c r="G528" s="9"/>
    </row>
    <row r="529" spans="1:7" x14ac:dyDescent="0.35">
      <c r="A529" s="9"/>
      <c r="B529" s="9"/>
      <c r="C529" s="9"/>
      <c r="D529" s="9"/>
      <c r="E529" s="9"/>
      <c r="F529" s="9"/>
      <c r="G529" s="9"/>
    </row>
    <row r="530" spans="1:7" x14ac:dyDescent="0.35">
      <c r="A530" s="9"/>
      <c r="B530" s="9"/>
      <c r="C530" s="9"/>
      <c r="D530" s="9"/>
      <c r="E530" s="9"/>
      <c r="F530" s="9"/>
      <c r="G530" s="9"/>
    </row>
    <row r="531" spans="1:7" x14ac:dyDescent="0.35">
      <c r="A531" s="9"/>
      <c r="B531" s="9"/>
      <c r="C531" s="9"/>
      <c r="D531" s="9"/>
      <c r="E531" s="9"/>
      <c r="F531" s="9"/>
      <c r="G531" s="9"/>
    </row>
    <row r="532" spans="1:7" x14ac:dyDescent="0.35">
      <c r="A532" s="9"/>
      <c r="B532" s="9"/>
      <c r="C532" s="9"/>
      <c r="D532" s="9"/>
      <c r="E532" s="9"/>
      <c r="F532" s="9"/>
      <c r="G532" s="9"/>
    </row>
    <row r="533" spans="1:7" x14ac:dyDescent="0.35">
      <c r="A533" s="9"/>
      <c r="B533" s="9"/>
      <c r="C533" s="9"/>
      <c r="D533" s="9"/>
      <c r="E533" s="9"/>
      <c r="F533" s="9"/>
      <c r="G533" s="9"/>
    </row>
    <row r="534" spans="1:7" x14ac:dyDescent="0.35">
      <c r="A534" s="9"/>
      <c r="B534" s="9"/>
      <c r="C534" s="9"/>
      <c r="D534" s="9"/>
      <c r="E534" s="9"/>
      <c r="F534" s="9"/>
      <c r="G534" s="9"/>
    </row>
    <row r="535" spans="1:7" x14ac:dyDescent="0.35">
      <c r="A535" s="9"/>
      <c r="B535" s="9"/>
      <c r="C535" s="9"/>
      <c r="D535" s="9"/>
      <c r="E535" s="9"/>
      <c r="F535" s="9"/>
      <c r="G535" s="9"/>
    </row>
    <row r="536" spans="1:7" x14ac:dyDescent="0.35">
      <c r="A536" s="9"/>
      <c r="B536" s="9"/>
      <c r="C536" s="9"/>
      <c r="D536" s="9"/>
      <c r="E536" s="9"/>
      <c r="F536" s="9"/>
      <c r="G536" s="9"/>
    </row>
    <row r="537" spans="1:7" x14ac:dyDescent="0.35">
      <c r="A537" s="9"/>
      <c r="B537" s="9"/>
      <c r="C537" s="9"/>
      <c r="D537" s="9"/>
      <c r="E537" s="9"/>
      <c r="F537" s="9"/>
      <c r="G537" s="9"/>
    </row>
    <row r="538" spans="1:7" x14ac:dyDescent="0.35">
      <c r="A538" s="9"/>
      <c r="B538" s="9"/>
      <c r="C538" s="9"/>
      <c r="D538" s="9"/>
      <c r="E538" s="9"/>
      <c r="F538" s="9"/>
      <c r="G538" s="9"/>
    </row>
    <row r="539" spans="1:7" x14ac:dyDescent="0.35">
      <c r="A539" s="9"/>
      <c r="B539" s="9"/>
      <c r="C539" s="9"/>
      <c r="D539" s="9"/>
      <c r="E539" s="9"/>
      <c r="F539" s="9"/>
      <c r="G539" s="9"/>
    </row>
    <row r="540" spans="1:7" x14ac:dyDescent="0.35">
      <c r="A540" s="9"/>
      <c r="B540" s="9"/>
      <c r="C540" s="9"/>
      <c r="D540" s="9"/>
      <c r="E540" s="9"/>
      <c r="F540" s="9"/>
      <c r="G540" s="9"/>
    </row>
    <row r="541" spans="1:7" x14ac:dyDescent="0.35">
      <c r="A541" s="9"/>
      <c r="B541" s="9"/>
      <c r="C541" s="9"/>
      <c r="D541" s="9"/>
      <c r="E541" s="9"/>
      <c r="F541" s="9"/>
      <c r="G541" s="9"/>
    </row>
    <row r="542" spans="1:7" x14ac:dyDescent="0.35">
      <c r="A542" s="9"/>
      <c r="B542" s="9"/>
      <c r="C542" s="9"/>
      <c r="D542" s="9"/>
      <c r="E542" s="9"/>
      <c r="F542" s="9"/>
      <c r="G542" s="9"/>
    </row>
    <row r="543" spans="1:7" x14ac:dyDescent="0.35">
      <c r="A543" s="9"/>
      <c r="B543" s="9"/>
      <c r="C543" s="9"/>
      <c r="D543" s="9"/>
      <c r="E543" s="9"/>
      <c r="F543" s="9"/>
      <c r="G543" s="9"/>
    </row>
    <row r="544" spans="1:7" x14ac:dyDescent="0.35">
      <c r="A544" s="9"/>
      <c r="B544" s="9"/>
      <c r="C544" s="9"/>
      <c r="D544" s="9"/>
      <c r="E544" s="9"/>
      <c r="F544" s="9"/>
      <c r="G544" s="9"/>
    </row>
    <row r="545" spans="1:7" x14ac:dyDescent="0.35">
      <c r="A545" s="9"/>
      <c r="B545" s="9"/>
      <c r="C545" s="9"/>
      <c r="D545" s="9"/>
      <c r="E545" s="9"/>
      <c r="F545" s="9"/>
      <c r="G545" s="9"/>
    </row>
    <row r="546" spans="1:7" x14ac:dyDescent="0.35">
      <c r="A546" s="9"/>
      <c r="B546" s="9"/>
      <c r="C546" s="9"/>
      <c r="D546" s="9"/>
      <c r="E546" s="9"/>
      <c r="F546" s="9"/>
      <c r="G546" s="9"/>
    </row>
    <row r="547" spans="1:7" x14ac:dyDescent="0.35">
      <c r="A547" s="9"/>
      <c r="B547" s="9"/>
      <c r="C547" s="9"/>
      <c r="D547" s="9"/>
      <c r="E547" s="9"/>
      <c r="F547" s="9"/>
      <c r="G547" s="9"/>
    </row>
    <row r="548" spans="1:7" x14ac:dyDescent="0.35">
      <c r="A548" s="9"/>
      <c r="B548" s="9"/>
      <c r="C548" s="9"/>
      <c r="D548" s="9"/>
      <c r="E548" s="9"/>
      <c r="F548" s="9"/>
      <c r="G548" s="9"/>
    </row>
    <row r="549" spans="1:7" x14ac:dyDescent="0.35">
      <c r="A549" s="9"/>
      <c r="B549" s="9"/>
      <c r="C549" s="9"/>
      <c r="D549" s="9"/>
      <c r="E549" s="9"/>
      <c r="F549" s="9"/>
      <c r="G549" s="9"/>
    </row>
    <row r="550" spans="1:7" x14ac:dyDescent="0.35">
      <c r="A550" s="9"/>
      <c r="B550" s="9"/>
      <c r="C550" s="9"/>
      <c r="D550" s="9"/>
      <c r="E550" s="9"/>
      <c r="F550" s="9"/>
      <c r="G550" s="9"/>
    </row>
    <row r="551" spans="1:7" x14ac:dyDescent="0.35">
      <c r="A551" s="9"/>
      <c r="B551" s="9"/>
      <c r="C551" s="9"/>
      <c r="D551" s="9"/>
      <c r="E551" s="9"/>
      <c r="F551" s="9"/>
      <c r="G551" s="9"/>
    </row>
    <row r="552" spans="1:7" x14ac:dyDescent="0.35">
      <c r="A552" s="9"/>
      <c r="B552" s="9"/>
      <c r="C552" s="9"/>
      <c r="D552" s="9"/>
      <c r="E552" s="9"/>
      <c r="F552" s="9"/>
      <c r="G552" s="9"/>
    </row>
    <row r="553" spans="1:7" x14ac:dyDescent="0.35">
      <c r="A553" s="9"/>
      <c r="B553" s="9"/>
      <c r="C553" s="9"/>
      <c r="D553" s="9"/>
      <c r="E553" s="9"/>
      <c r="F553" s="9"/>
      <c r="G553" s="9"/>
    </row>
    <row r="554" spans="1:7" x14ac:dyDescent="0.35">
      <c r="A554" s="9"/>
      <c r="B554" s="9"/>
      <c r="C554" s="9"/>
      <c r="D554" s="9"/>
      <c r="E554" s="9"/>
      <c r="F554" s="9"/>
      <c r="G554" s="9"/>
    </row>
    <row r="555" spans="1:7" x14ac:dyDescent="0.35">
      <c r="A555" s="9"/>
      <c r="B555" s="9"/>
      <c r="C555" s="9"/>
      <c r="D555" s="9"/>
      <c r="E555" s="9"/>
      <c r="F555" s="9"/>
      <c r="G555" s="9"/>
    </row>
    <row r="556" spans="1:7" x14ac:dyDescent="0.35">
      <c r="A556" s="9"/>
      <c r="B556" s="9"/>
      <c r="C556" s="9"/>
      <c r="D556" s="9"/>
      <c r="E556" s="9"/>
      <c r="F556" s="9"/>
      <c r="G556" s="9"/>
    </row>
    <row r="557" spans="1:7" x14ac:dyDescent="0.35">
      <c r="A557" s="9"/>
      <c r="B557" s="9"/>
      <c r="C557" s="9"/>
      <c r="D557" s="9"/>
      <c r="E557" s="9"/>
      <c r="F557" s="9"/>
      <c r="G557" s="9"/>
    </row>
    <row r="558" spans="1:7" x14ac:dyDescent="0.35">
      <c r="A558" s="9"/>
      <c r="B558" s="9"/>
      <c r="C558" s="9"/>
      <c r="D558" s="9"/>
      <c r="E558" s="9"/>
      <c r="F558" s="9"/>
      <c r="G558" s="9"/>
    </row>
    <row r="559" spans="1:7" x14ac:dyDescent="0.35">
      <c r="A559" s="9"/>
      <c r="B559" s="9"/>
      <c r="C559" s="9"/>
      <c r="D559" s="9"/>
      <c r="E559" s="9"/>
      <c r="F559" s="9"/>
      <c r="G559" s="9"/>
    </row>
    <row r="560" spans="1:7" x14ac:dyDescent="0.35">
      <c r="A560" s="9"/>
      <c r="B560" s="9"/>
      <c r="C560" s="9"/>
      <c r="D560" s="9"/>
      <c r="E560" s="9"/>
      <c r="F560" s="9"/>
      <c r="G560" s="9"/>
    </row>
    <row r="561" spans="1:7" x14ac:dyDescent="0.35">
      <c r="A561" s="9"/>
      <c r="B561" s="9"/>
      <c r="C561" s="9"/>
      <c r="D561" s="9"/>
      <c r="E561" s="9"/>
      <c r="F561" s="9"/>
      <c r="G561" s="9"/>
    </row>
    <row r="562" spans="1:7" x14ac:dyDescent="0.35">
      <c r="A562" s="9"/>
      <c r="B562" s="9"/>
      <c r="C562" s="9"/>
      <c r="D562" s="9"/>
      <c r="E562" s="9"/>
      <c r="F562" s="9"/>
      <c r="G562" s="9"/>
    </row>
    <row r="563" spans="1:7" x14ac:dyDescent="0.35">
      <c r="A563" s="9"/>
      <c r="B563" s="9"/>
      <c r="C563" s="9"/>
      <c r="D563" s="9"/>
      <c r="E563" s="9"/>
      <c r="F563" s="9"/>
      <c r="G563" s="9"/>
    </row>
    <row r="564" spans="1:7" x14ac:dyDescent="0.35">
      <c r="A564" s="9"/>
      <c r="B564" s="9"/>
      <c r="C564" s="9"/>
      <c r="D564" s="9"/>
      <c r="E564" s="9"/>
      <c r="F564" s="9"/>
      <c r="G564" s="9"/>
    </row>
    <row r="565" spans="1:7" x14ac:dyDescent="0.35">
      <c r="A565" s="9"/>
      <c r="B565" s="9"/>
      <c r="C565" s="9"/>
      <c r="D565" s="9"/>
      <c r="E565" s="9"/>
      <c r="F565" s="9"/>
      <c r="G565" s="9"/>
    </row>
    <row r="566" spans="1:7" x14ac:dyDescent="0.35">
      <c r="A566" s="9"/>
      <c r="B566" s="9"/>
      <c r="C566" s="9"/>
      <c r="D566" s="9"/>
      <c r="E566" s="9"/>
      <c r="F566" s="9"/>
      <c r="G566" s="9"/>
    </row>
    <row r="567" spans="1:7" x14ac:dyDescent="0.35">
      <c r="A567" s="9"/>
      <c r="B567" s="9"/>
      <c r="C567" s="9"/>
      <c r="D567" s="9"/>
      <c r="E567" s="9"/>
      <c r="F567" s="9"/>
      <c r="G567" s="9"/>
    </row>
    <row r="568" spans="1:7" x14ac:dyDescent="0.35">
      <c r="A568" s="9"/>
      <c r="B568" s="9"/>
      <c r="C568" s="9"/>
      <c r="D568" s="9"/>
      <c r="E568" s="9"/>
      <c r="F568" s="9"/>
      <c r="G568" s="9"/>
    </row>
    <row r="569" spans="1:7" x14ac:dyDescent="0.35">
      <c r="A569" s="9"/>
      <c r="B569" s="9"/>
      <c r="C569" s="9"/>
      <c r="D569" s="9"/>
      <c r="E569" s="9"/>
      <c r="F569" s="9"/>
      <c r="G569" s="9"/>
    </row>
    <row r="570" spans="1:7" x14ac:dyDescent="0.35">
      <c r="A570" s="9"/>
      <c r="B570" s="9"/>
      <c r="C570" s="9"/>
      <c r="D570" s="9"/>
      <c r="E570" s="9"/>
      <c r="F570" s="9"/>
      <c r="G570" s="9"/>
    </row>
    <row r="571" spans="1:7" x14ac:dyDescent="0.35">
      <c r="A571" s="9"/>
      <c r="B571" s="9"/>
      <c r="C571" s="9"/>
      <c r="D571" s="9"/>
      <c r="E571" s="9"/>
      <c r="F571" s="9"/>
      <c r="G571" s="9"/>
    </row>
    <row r="572" spans="1:7" x14ac:dyDescent="0.35">
      <c r="A572" s="9"/>
      <c r="B572" s="9"/>
      <c r="C572" s="9"/>
      <c r="D572" s="9"/>
      <c r="E572" s="9"/>
      <c r="F572" s="9"/>
      <c r="G572" s="9"/>
    </row>
    <row r="573" spans="1:7" x14ac:dyDescent="0.35">
      <c r="A573" s="9"/>
      <c r="B573" s="9"/>
      <c r="C573" s="9"/>
      <c r="D573" s="9"/>
      <c r="E573" s="9"/>
      <c r="F573" s="9"/>
      <c r="G573" s="9"/>
    </row>
    <row r="574" spans="1:7" x14ac:dyDescent="0.35">
      <c r="A574" s="9"/>
      <c r="B574" s="9"/>
      <c r="C574" s="9"/>
      <c r="D574" s="9"/>
      <c r="E574" s="9"/>
      <c r="F574" s="9"/>
      <c r="G574" s="9"/>
    </row>
    <row r="575" spans="1:7" x14ac:dyDescent="0.35">
      <c r="A575" s="9"/>
      <c r="B575" s="9"/>
      <c r="C575" s="9"/>
      <c r="D575" s="9"/>
      <c r="E575" s="9"/>
      <c r="F575" s="9"/>
      <c r="G575" s="9"/>
    </row>
    <row r="576" spans="1:7" x14ac:dyDescent="0.35">
      <c r="A576" s="9"/>
      <c r="B576" s="9"/>
      <c r="C576" s="9"/>
      <c r="D576" s="9"/>
      <c r="E576" s="9"/>
      <c r="F576" s="9"/>
      <c r="G576" s="9"/>
    </row>
    <row r="577" spans="1:7" x14ac:dyDescent="0.35">
      <c r="A577" s="9"/>
      <c r="B577" s="9"/>
      <c r="C577" s="9"/>
      <c r="D577" s="9"/>
      <c r="E577" s="9"/>
      <c r="F577" s="9"/>
      <c r="G577" s="9"/>
    </row>
    <row r="578" spans="1:7" x14ac:dyDescent="0.35">
      <c r="A578" s="9"/>
      <c r="B578" s="9"/>
      <c r="C578" s="9"/>
      <c r="D578" s="9"/>
      <c r="E578" s="9"/>
      <c r="F578" s="9"/>
      <c r="G578" s="9"/>
    </row>
    <row r="579" spans="1:7" x14ac:dyDescent="0.35">
      <c r="A579" s="9"/>
      <c r="B579" s="9"/>
      <c r="C579" s="9"/>
      <c r="D579" s="9"/>
      <c r="E579" s="9"/>
      <c r="F579" s="9"/>
      <c r="G579" s="9"/>
    </row>
    <row r="580" spans="1:7" x14ac:dyDescent="0.35">
      <c r="A580" s="9"/>
      <c r="B580" s="9"/>
      <c r="C580" s="9"/>
      <c r="D580" s="9"/>
      <c r="E580" s="9"/>
      <c r="F580" s="9"/>
      <c r="G580" s="9"/>
    </row>
    <row r="581" spans="1:7" x14ac:dyDescent="0.35">
      <c r="A581" s="9"/>
      <c r="B581" s="9"/>
      <c r="C581" s="9"/>
      <c r="D581" s="9"/>
      <c r="E581" s="9"/>
      <c r="F581" s="9"/>
      <c r="G581" s="9"/>
    </row>
    <row r="582" spans="1:7" x14ac:dyDescent="0.35">
      <c r="A582" s="9"/>
      <c r="B582" s="9"/>
      <c r="C582" s="9"/>
      <c r="D582" s="9"/>
      <c r="E582" s="9"/>
      <c r="F582" s="9"/>
      <c r="G582" s="9"/>
    </row>
    <row r="583" spans="1:7" x14ac:dyDescent="0.35">
      <c r="A583" s="9"/>
      <c r="B583" s="9"/>
      <c r="C583" s="9"/>
      <c r="D583" s="9"/>
      <c r="E583" s="9"/>
      <c r="F583" s="9"/>
      <c r="G583" s="9"/>
    </row>
    <row r="584" spans="1:7" x14ac:dyDescent="0.35">
      <c r="A584" s="9"/>
      <c r="B584" s="9"/>
      <c r="C584" s="9"/>
      <c r="D584" s="9"/>
      <c r="E584" s="9"/>
      <c r="F584" s="9"/>
      <c r="G584" s="9"/>
    </row>
    <row r="585" spans="1:7" x14ac:dyDescent="0.35">
      <c r="A585" s="9"/>
      <c r="B585" s="9"/>
      <c r="C585" s="9"/>
      <c r="D585" s="9"/>
      <c r="E585" s="9"/>
      <c r="F585" s="9"/>
      <c r="G585" s="9"/>
    </row>
    <row r="586" spans="1:7" x14ac:dyDescent="0.35">
      <c r="A586" s="9"/>
      <c r="B586" s="9"/>
      <c r="C586" s="9"/>
      <c r="D586" s="9"/>
      <c r="E586" s="9"/>
      <c r="F586" s="9"/>
      <c r="G586" s="9"/>
    </row>
    <row r="587" spans="1:7" x14ac:dyDescent="0.35">
      <c r="A587" s="9"/>
      <c r="B587" s="9"/>
      <c r="C587" s="9"/>
      <c r="D587" s="9"/>
      <c r="E587" s="9"/>
      <c r="F587" s="9"/>
      <c r="G587" s="9"/>
    </row>
    <row r="588" spans="1:7" x14ac:dyDescent="0.35">
      <c r="A588" s="9"/>
      <c r="B588" s="9"/>
      <c r="C588" s="9"/>
      <c r="D588" s="9"/>
      <c r="E588" s="9"/>
      <c r="F588" s="9"/>
      <c r="G588" s="9"/>
    </row>
    <row r="589" spans="1:7" x14ac:dyDescent="0.35">
      <c r="A589" s="9"/>
      <c r="B589" s="9"/>
      <c r="C589" s="9"/>
      <c r="D589" s="9"/>
      <c r="E589" s="9"/>
      <c r="F589" s="9"/>
      <c r="G589" s="9"/>
    </row>
    <row r="590" spans="1:7" x14ac:dyDescent="0.35">
      <c r="A590" s="9"/>
      <c r="B590" s="9"/>
      <c r="C590" s="9"/>
      <c r="D590" s="9"/>
      <c r="E590" s="9"/>
      <c r="F590" s="9"/>
      <c r="G590" s="9"/>
    </row>
    <row r="591" spans="1:7" x14ac:dyDescent="0.35">
      <c r="A591" s="9"/>
      <c r="B591" s="9"/>
      <c r="C591" s="9"/>
      <c r="D591" s="9"/>
      <c r="E591" s="9"/>
      <c r="F591" s="9"/>
      <c r="G591" s="9"/>
    </row>
    <row r="592" spans="1:7" x14ac:dyDescent="0.35">
      <c r="A592" s="9"/>
      <c r="B592" s="9"/>
      <c r="C592" s="9"/>
      <c r="D592" s="9"/>
      <c r="E592" s="9"/>
      <c r="F592" s="9"/>
      <c r="G592" s="9"/>
    </row>
    <row r="593" spans="1:7" x14ac:dyDescent="0.35">
      <c r="A593" s="9"/>
      <c r="B593" s="9"/>
      <c r="C593" s="9"/>
      <c r="D593" s="9"/>
      <c r="E593" s="9"/>
      <c r="F593" s="9"/>
      <c r="G593" s="9"/>
    </row>
    <row r="594" spans="1:7" x14ac:dyDescent="0.35">
      <c r="A594" s="9"/>
      <c r="B594" s="9"/>
      <c r="C594" s="9"/>
      <c r="D594" s="9"/>
      <c r="E594" s="9"/>
      <c r="F594" s="9"/>
      <c r="G594" s="9"/>
    </row>
  </sheetData>
  <autoFilter ref="A4:G594" xr:uid="{00000000-0009-0000-0000-000003000000}"/>
  <mergeCells count="2">
    <mergeCell ref="A1:G1"/>
    <mergeCell ref="A2:G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8A33D"/>
  </sheetPr>
  <dimension ref="A1:H100"/>
  <sheetViews>
    <sheetView showGridLines="0" zoomScaleNormal="100" workbookViewId="0">
      <pane ySplit="4" topLeftCell="A5" activePane="bottomLeft" state="frozen"/>
      <selection pane="bottomLeft" activeCell="H5" sqref="H5:H100"/>
    </sheetView>
  </sheetViews>
  <sheetFormatPr defaultColWidth="8.54296875" defaultRowHeight="14.5" x14ac:dyDescent="0.35"/>
  <cols>
    <col min="1" max="1" width="26" customWidth="1"/>
    <col min="2" max="2" width="15" customWidth="1"/>
    <col min="3" max="3" width="22" customWidth="1"/>
    <col min="4" max="4" width="34" customWidth="1"/>
    <col min="5" max="5" width="26" customWidth="1"/>
    <col min="6" max="6" width="16" customWidth="1"/>
    <col min="7" max="7" width="17" customWidth="1"/>
    <col min="8" max="8" width="30" customWidth="1"/>
  </cols>
  <sheetData>
    <row r="1" spans="1:8" ht="24" customHeight="1" x14ac:dyDescent="0.35">
      <c r="A1" s="117" t="s">
        <v>314</v>
      </c>
      <c r="B1" s="117"/>
      <c r="C1" s="117"/>
      <c r="D1" s="117"/>
      <c r="E1" s="117"/>
      <c r="F1" s="117"/>
      <c r="G1" s="117"/>
      <c r="H1" s="117"/>
    </row>
    <row r="2" spans="1:8" ht="13.5" customHeight="1" x14ac:dyDescent="0.35">
      <c r="A2" s="118" t="s">
        <v>315</v>
      </c>
      <c r="B2" s="118"/>
      <c r="C2" s="118"/>
      <c r="D2" s="118"/>
      <c r="E2" s="118"/>
      <c r="F2" s="118"/>
      <c r="G2" s="118"/>
      <c r="H2" s="118"/>
    </row>
    <row r="4" spans="1:8" ht="25.5" customHeight="1" x14ac:dyDescent="0.35">
      <c r="A4" s="3" t="s">
        <v>316</v>
      </c>
      <c r="B4" s="3" t="s">
        <v>94</v>
      </c>
      <c r="C4" s="3" t="s">
        <v>317</v>
      </c>
      <c r="D4" s="3" t="s">
        <v>318</v>
      </c>
      <c r="E4" s="3" t="s">
        <v>305</v>
      </c>
      <c r="F4" s="3" t="s">
        <v>319</v>
      </c>
      <c r="G4" s="3" t="s">
        <v>320</v>
      </c>
      <c r="H4" s="3" t="s">
        <v>307</v>
      </c>
    </row>
    <row r="5" spans="1:8" x14ac:dyDescent="0.35">
      <c r="A5" s="9" t="s">
        <v>1182</v>
      </c>
      <c r="B5" s="10" t="s">
        <v>321</v>
      </c>
      <c r="C5" s="9" t="s">
        <v>322</v>
      </c>
      <c r="D5" s="9" t="s">
        <v>119</v>
      </c>
      <c r="E5" s="9"/>
      <c r="F5" s="9"/>
      <c r="G5" s="10"/>
      <c r="H5" s="9"/>
    </row>
    <row r="6" spans="1:8" x14ac:dyDescent="0.35">
      <c r="A6" s="9" t="s">
        <v>1183</v>
      </c>
      <c r="B6" s="10" t="s">
        <v>321</v>
      </c>
      <c r="C6" s="9" t="s">
        <v>323</v>
      </c>
      <c r="D6" s="9" t="s">
        <v>324</v>
      </c>
      <c r="E6" s="9"/>
      <c r="F6" s="9"/>
      <c r="G6" s="10"/>
      <c r="H6" s="9"/>
    </row>
    <row r="7" spans="1:8" x14ac:dyDescent="0.35">
      <c r="A7" s="9" t="s">
        <v>1184</v>
      </c>
      <c r="B7" s="10" t="s">
        <v>321</v>
      </c>
      <c r="C7" s="9" t="s">
        <v>325</v>
      </c>
      <c r="D7" s="9" t="s">
        <v>326</v>
      </c>
      <c r="E7" s="9"/>
      <c r="F7" s="9"/>
      <c r="G7" s="10"/>
      <c r="H7" s="9"/>
    </row>
    <row r="8" spans="1:8" x14ac:dyDescent="0.35">
      <c r="A8" s="9" t="s">
        <v>843</v>
      </c>
      <c r="B8" s="10" t="s">
        <v>321</v>
      </c>
      <c r="C8" s="9" t="s">
        <v>754</v>
      </c>
      <c r="D8" s="9" t="s">
        <v>327</v>
      </c>
      <c r="E8" s="9"/>
      <c r="F8" s="9"/>
      <c r="G8" s="10"/>
      <c r="H8" s="9"/>
    </row>
    <row r="9" spans="1:8" x14ac:dyDescent="0.35">
      <c r="A9" s="9" t="s">
        <v>1185</v>
      </c>
      <c r="B9" s="10" t="s">
        <v>321</v>
      </c>
      <c r="C9" s="9" t="s">
        <v>328</v>
      </c>
      <c r="D9" s="9" t="s">
        <v>329</v>
      </c>
      <c r="E9" s="9"/>
      <c r="F9" s="9"/>
      <c r="G9" s="10"/>
      <c r="H9" s="9"/>
    </row>
    <row r="10" spans="1:8" x14ac:dyDescent="0.35">
      <c r="A10" s="9" t="s">
        <v>1186</v>
      </c>
      <c r="B10" s="10" t="s">
        <v>321</v>
      </c>
      <c r="C10" s="9" t="s">
        <v>330</v>
      </c>
      <c r="D10" s="9" t="s">
        <v>331</v>
      </c>
      <c r="E10" s="9"/>
      <c r="F10" s="9"/>
      <c r="G10" s="10"/>
      <c r="H10" s="9"/>
    </row>
    <row r="11" spans="1:8" x14ac:dyDescent="0.35">
      <c r="A11" s="9" t="s">
        <v>1186</v>
      </c>
      <c r="B11" s="10" t="s">
        <v>321</v>
      </c>
      <c r="C11" s="9" t="s">
        <v>332</v>
      </c>
      <c r="D11" s="9" t="s">
        <v>759</v>
      </c>
      <c r="E11" s="9"/>
      <c r="F11" s="9"/>
      <c r="G11" s="10"/>
      <c r="H11" s="9"/>
    </row>
    <row r="12" spans="1:8" x14ac:dyDescent="0.35">
      <c r="A12" s="9" t="s">
        <v>1186</v>
      </c>
      <c r="B12" s="10" t="s">
        <v>321</v>
      </c>
      <c r="C12" s="9" t="s">
        <v>332</v>
      </c>
      <c r="D12" s="9" t="s">
        <v>760</v>
      </c>
      <c r="E12" s="9"/>
      <c r="F12" s="9"/>
      <c r="G12" s="10"/>
      <c r="H12" s="9"/>
    </row>
    <row r="13" spans="1:8" x14ac:dyDescent="0.35">
      <c r="A13" s="9" t="s">
        <v>1187</v>
      </c>
      <c r="B13" s="10" t="s">
        <v>321</v>
      </c>
      <c r="C13" s="9" t="s">
        <v>333</v>
      </c>
      <c r="D13" s="9" t="s">
        <v>334</v>
      </c>
      <c r="E13" s="9"/>
      <c r="F13" s="9"/>
      <c r="G13" s="10"/>
      <c r="H13" s="9"/>
    </row>
    <row r="14" spans="1:8" x14ac:dyDescent="0.35">
      <c r="A14" s="9" t="s">
        <v>1188</v>
      </c>
      <c r="B14" s="10" t="s">
        <v>321</v>
      </c>
      <c r="C14" s="9" t="s">
        <v>323</v>
      </c>
      <c r="D14" s="9" t="s">
        <v>324</v>
      </c>
      <c r="E14" s="9"/>
      <c r="F14" s="9"/>
      <c r="G14" s="10"/>
      <c r="H14" s="9"/>
    </row>
    <row r="15" spans="1:8" x14ac:dyDescent="0.35">
      <c r="A15" s="9" t="s">
        <v>1189</v>
      </c>
      <c r="B15" s="10" t="s">
        <v>335</v>
      </c>
      <c r="C15" s="9" t="s">
        <v>336</v>
      </c>
      <c r="D15" s="9" t="s">
        <v>337</v>
      </c>
      <c r="E15" s="9"/>
      <c r="F15" s="9"/>
      <c r="G15" s="10"/>
      <c r="H15" s="9"/>
    </row>
    <row r="16" spans="1:8" x14ac:dyDescent="0.35">
      <c r="A16" s="9" t="s">
        <v>1190</v>
      </c>
      <c r="B16" s="10" t="s">
        <v>335</v>
      </c>
      <c r="C16" s="9" t="s">
        <v>338</v>
      </c>
      <c r="D16" s="9" t="s">
        <v>339</v>
      </c>
      <c r="E16" s="9"/>
      <c r="F16" s="9"/>
      <c r="G16" s="10"/>
      <c r="H16" s="9"/>
    </row>
    <row r="17" spans="1:8" x14ac:dyDescent="0.35">
      <c r="A17" s="9" t="s">
        <v>1191</v>
      </c>
      <c r="B17" s="10" t="s">
        <v>335</v>
      </c>
      <c r="C17" s="9" t="s">
        <v>340</v>
      </c>
      <c r="D17" s="9" t="s">
        <v>341</v>
      </c>
      <c r="E17" s="9"/>
      <c r="F17" s="9"/>
      <c r="G17" s="10">
        <v>30</v>
      </c>
      <c r="H17" s="9"/>
    </row>
    <row r="18" spans="1:8" x14ac:dyDescent="0.35">
      <c r="A18" s="9" t="s">
        <v>1192</v>
      </c>
      <c r="B18" s="10" t="s">
        <v>335</v>
      </c>
      <c r="C18" s="9" t="s">
        <v>342</v>
      </c>
      <c r="D18" s="9" t="s">
        <v>343</v>
      </c>
      <c r="E18" s="9"/>
      <c r="F18" s="9"/>
      <c r="G18" s="10"/>
      <c r="H18" s="9"/>
    </row>
    <row r="19" spans="1:8" x14ac:dyDescent="0.35">
      <c r="A19" s="9" t="s">
        <v>1193</v>
      </c>
      <c r="B19" s="10" t="s">
        <v>335</v>
      </c>
      <c r="C19" s="9" t="s">
        <v>344</v>
      </c>
      <c r="D19" s="9" t="s">
        <v>345</v>
      </c>
      <c r="E19" s="9"/>
      <c r="F19" s="9"/>
      <c r="G19" s="10">
        <v>30</v>
      </c>
      <c r="H19" s="9"/>
    </row>
    <row r="20" spans="1:8" x14ac:dyDescent="0.35">
      <c r="A20" s="9">
        <v>0</v>
      </c>
      <c r="B20" s="9"/>
      <c r="C20" s="9"/>
      <c r="D20" s="9"/>
      <c r="E20" s="9"/>
      <c r="F20" s="9"/>
      <c r="G20" s="9"/>
      <c r="H20" s="9"/>
    </row>
    <row r="21" spans="1:8" x14ac:dyDescent="0.35">
      <c r="A21" s="9">
        <v>0</v>
      </c>
      <c r="B21" s="9"/>
      <c r="C21" s="9"/>
      <c r="D21" s="9"/>
      <c r="E21" s="9"/>
      <c r="F21" s="9"/>
      <c r="G21" s="9"/>
      <c r="H21" s="9"/>
    </row>
    <row r="22" spans="1:8" x14ac:dyDescent="0.35">
      <c r="A22" s="9">
        <v>0</v>
      </c>
      <c r="B22" s="9"/>
      <c r="C22" s="9"/>
      <c r="D22" s="9"/>
      <c r="E22" s="9"/>
      <c r="F22" s="9"/>
      <c r="G22" s="9"/>
      <c r="H22" s="9"/>
    </row>
    <row r="23" spans="1:8" x14ac:dyDescent="0.35">
      <c r="A23" s="9">
        <v>0</v>
      </c>
      <c r="B23" s="9"/>
      <c r="C23" s="9"/>
      <c r="D23" s="9"/>
      <c r="E23" s="9"/>
      <c r="F23" s="9"/>
      <c r="G23" s="9"/>
      <c r="H23" s="9"/>
    </row>
    <row r="24" spans="1:8" x14ac:dyDescent="0.35">
      <c r="A24" s="9">
        <v>0</v>
      </c>
      <c r="B24" s="9"/>
      <c r="C24" s="9"/>
      <c r="D24" s="9"/>
      <c r="E24" s="9"/>
      <c r="F24" s="9"/>
      <c r="G24" s="9"/>
      <c r="H24" s="9"/>
    </row>
    <row r="25" spans="1:8" x14ac:dyDescent="0.35">
      <c r="A25" s="9">
        <v>0</v>
      </c>
      <c r="B25" s="9"/>
      <c r="C25" s="9"/>
      <c r="D25" s="9"/>
      <c r="E25" s="9"/>
      <c r="F25" s="9"/>
      <c r="G25" s="9"/>
      <c r="H25" s="9"/>
    </row>
    <row r="26" spans="1:8" x14ac:dyDescent="0.35">
      <c r="A26" s="9">
        <v>0</v>
      </c>
      <c r="B26" s="9"/>
      <c r="C26" s="9"/>
      <c r="D26" s="9"/>
      <c r="E26" s="9"/>
      <c r="F26" s="9"/>
      <c r="G26" s="9"/>
      <c r="H26" s="9"/>
    </row>
    <row r="27" spans="1:8" x14ac:dyDescent="0.35">
      <c r="A27" s="9">
        <v>0</v>
      </c>
      <c r="B27" s="9"/>
      <c r="C27" s="9"/>
      <c r="D27" s="9"/>
      <c r="E27" s="9"/>
      <c r="F27" s="9"/>
      <c r="G27" s="9"/>
      <c r="H27" s="9"/>
    </row>
    <row r="28" spans="1:8" x14ac:dyDescent="0.35">
      <c r="A28" s="9">
        <v>0</v>
      </c>
      <c r="B28" s="9"/>
      <c r="C28" s="9"/>
      <c r="D28" s="9"/>
      <c r="E28" s="9"/>
      <c r="F28" s="9"/>
      <c r="G28" s="9"/>
      <c r="H28" s="9"/>
    </row>
    <row r="29" spans="1:8" x14ac:dyDescent="0.35">
      <c r="A29" s="9">
        <v>0</v>
      </c>
      <c r="B29" s="9"/>
      <c r="C29" s="9"/>
      <c r="D29" s="9"/>
      <c r="E29" s="9"/>
      <c r="F29" s="9"/>
      <c r="G29" s="9"/>
      <c r="H29" s="9"/>
    </row>
    <row r="30" spans="1:8" x14ac:dyDescent="0.35">
      <c r="A30" s="9">
        <v>0</v>
      </c>
      <c r="B30" s="9"/>
      <c r="C30" s="9"/>
      <c r="D30" s="9"/>
      <c r="E30" s="9"/>
      <c r="F30" s="9"/>
      <c r="G30" s="9"/>
      <c r="H30" s="9"/>
    </row>
    <row r="31" spans="1:8" x14ac:dyDescent="0.35">
      <c r="A31" s="9">
        <v>0</v>
      </c>
      <c r="B31" s="9"/>
      <c r="C31" s="9"/>
      <c r="D31" s="9"/>
      <c r="E31" s="9"/>
      <c r="F31" s="9"/>
      <c r="G31" s="9"/>
      <c r="H31" s="9"/>
    </row>
    <row r="32" spans="1:8" x14ac:dyDescent="0.35">
      <c r="A32" s="9">
        <v>0</v>
      </c>
      <c r="B32" s="9"/>
      <c r="C32" s="9"/>
      <c r="D32" s="9"/>
      <c r="E32" s="9"/>
      <c r="F32" s="9"/>
      <c r="G32" s="9"/>
      <c r="H32" s="9"/>
    </row>
    <row r="33" spans="1:8" x14ac:dyDescent="0.35">
      <c r="A33" s="9">
        <v>0</v>
      </c>
      <c r="B33" s="9"/>
      <c r="C33" s="9"/>
      <c r="D33" s="9"/>
      <c r="E33" s="9"/>
      <c r="F33" s="9"/>
      <c r="G33" s="9"/>
      <c r="H33" s="9"/>
    </row>
    <row r="34" spans="1:8" x14ac:dyDescent="0.35">
      <c r="A34" s="9">
        <v>0</v>
      </c>
      <c r="B34" s="9"/>
      <c r="C34" s="9"/>
      <c r="D34" s="9"/>
      <c r="E34" s="9"/>
      <c r="F34" s="9"/>
      <c r="G34" s="9"/>
      <c r="H34" s="9"/>
    </row>
    <row r="35" spans="1:8" x14ac:dyDescent="0.35">
      <c r="A35" s="9">
        <v>0</v>
      </c>
      <c r="B35" s="9"/>
      <c r="C35" s="9"/>
      <c r="D35" s="9"/>
      <c r="E35" s="9"/>
      <c r="F35" s="9"/>
      <c r="G35" s="9"/>
      <c r="H35" s="9"/>
    </row>
    <row r="36" spans="1:8" x14ac:dyDescent="0.35">
      <c r="A36" s="9">
        <v>0</v>
      </c>
      <c r="B36" s="9"/>
      <c r="C36" s="9"/>
      <c r="D36" s="9"/>
      <c r="E36" s="9"/>
      <c r="F36" s="9"/>
      <c r="G36" s="9"/>
      <c r="H36" s="9"/>
    </row>
    <row r="37" spans="1:8" x14ac:dyDescent="0.35">
      <c r="A37" s="9">
        <v>0</v>
      </c>
      <c r="B37" s="9"/>
      <c r="C37" s="9"/>
      <c r="D37" s="9"/>
      <c r="E37" s="9"/>
      <c r="F37" s="9"/>
      <c r="G37" s="9"/>
      <c r="H37" s="9"/>
    </row>
    <row r="38" spans="1:8" x14ac:dyDescent="0.35">
      <c r="A38" s="9">
        <v>0</v>
      </c>
      <c r="B38" s="9"/>
      <c r="C38" s="9"/>
      <c r="D38" s="9"/>
      <c r="E38" s="9"/>
      <c r="F38" s="9"/>
      <c r="G38" s="9"/>
      <c r="H38" s="9"/>
    </row>
    <row r="39" spans="1:8" x14ac:dyDescent="0.35">
      <c r="A39" s="9">
        <v>0</v>
      </c>
      <c r="B39" s="9"/>
      <c r="C39" s="9"/>
      <c r="D39" s="9"/>
      <c r="E39" s="9"/>
      <c r="F39" s="9"/>
      <c r="G39" s="9"/>
      <c r="H39" s="9"/>
    </row>
    <row r="40" spans="1:8" x14ac:dyDescent="0.35">
      <c r="A40" s="9">
        <v>0</v>
      </c>
      <c r="B40" s="9"/>
      <c r="C40" s="9"/>
      <c r="D40" s="9"/>
      <c r="E40" s="9"/>
      <c r="F40" s="9"/>
      <c r="G40" s="9"/>
      <c r="H40" s="9"/>
    </row>
    <row r="41" spans="1:8" x14ac:dyDescent="0.35">
      <c r="A41" s="9">
        <v>0</v>
      </c>
      <c r="B41" s="9"/>
      <c r="C41" s="9"/>
      <c r="D41" s="9"/>
      <c r="E41" s="9"/>
      <c r="F41" s="9"/>
      <c r="G41" s="9"/>
      <c r="H41" s="9"/>
    </row>
    <row r="42" spans="1:8" x14ac:dyDescent="0.35">
      <c r="A42" s="9">
        <v>0</v>
      </c>
      <c r="B42" s="9"/>
      <c r="C42" s="9"/>
      <c r="D42" s="9"/>
      <c r="E42" s="9"/>
      <c r="F42" s="9"/>
      <c r="G42" s="9"/>
      <c r="H42" s="9"/>
    </row>
    <row r="43" spans="1:8" x14ac:dyDescent="0.35">
      <c r="A43" s="9">
        <v>0</v>
      </c>
      <c r="B43" s="9"/>
      <c r="C43" s="9"/>
      <c r="D43" s="9"/>
      <c r="E43" s="9"/>
      <c r="F43" s="9"/>
      <c r="G43" s="9"/>
      <c r="H43" s="9"/>
    </row>
    <row r="44" spans="1:8" x14ac:dyDescent="0.35">
      <c r="A44" s="9">
        <v>0</v>
      </c>
      <c r="B44" s="9"/>
      <c r="C44" s="9"/>
      <c r="D44" s="9"/>
      <c r="E44" s="9"/>
      <c r="F44" s="9"/>
      <c r="G44" s="9"/>
      <c r="H44" s="9"/>
    </row>
    <row r="45" spans="1:8" x14ac:dyDescent="0.35">
      <c r="A45" s="9">
        <v>0</v>
      </c>
      <c r="B45" s="9"/>
      <c r="C45" s="9"/>
      <c r="D45" s="9"/>
      <c r="E45" s="9"/>
      <c r="F45" s="9"/>
      <c r="G45" s="9"/>
      <c r="H45" s="9"/>
    </row>
    <row r="46" spans="1:8" x14ac:dyDescent="0.35">
      <c r="A46" s="9">
        <v>0</v>
      </c>
      <c r="B46" s="9"/>
      <c r="C46" s="9"/>
      <c r="D46" s="9"/>
      <c r="E46" s="9"/>
      <c r="F46" s="9"/>
      <c r="G46" s="9"/>
      <c r="H46" s="9"/>
    </row>
    <row r="47" spans="1:8" x14ac:dyDescent="0.35">
      <c r="A47" s="9">
        <v>0</v>
      </c>
      <c r="B47" s="9"/>
      <c r="C47" s="9"/>
      <c r="D47" s="9"/>
      <c r="E47" s="9"/>
      <c r="F47" s="9"/>
      <c r="G47" s="9"/>
      <c r="H47" s="9"/>
    </row>
    <row r="48" spans="1:8" x14ac:dyDescent="0.35">
      <c r="A48" s="9">
        <v>0</v>
      </c>
      <c r="B48" s="9"/>
      <c r="C48" s="9"/>
      <c r="D48" s="9"/>
      <c r="E48" s="9"/>
      <c r="F48" s="9"/>
      <c r="G48" s="9"/>
      <c r="H48" s="9"/>
    </row>
    <row r="49" spans="1:8" x14ac:dyDescent="0.35">
      <c r="A49" s="9">
        <v>0</v>
      </c>
      <c r="B49" s="9"/>
      <c r="C49" s="9"/>
      <c r="D49" s="9"/>
      <c r="E49" s="9"/>
      <c r="F49" s="9"/>
      <c r="G49" s="9"/>
      <c r="H49" s="9"/>
    </row>
    <row r="50" spans="1:8" x14ac:dyDescent="0.35">
      <c r="A50" s="9">
        <v>0</v>
      </c>
      <c r="B50" s="9"/>
      <c r="C50" s="9"/>
      <c r="D50" s="9"/>
      <c r="E50" s="9"/>
      <c r="F50" s="9"/>
      <c r="G50" s="9"/>
      <c r="H50" s="9"/>
    </row>
    <row r="51" spans="1:8" x14ac:dyDescent="0.35">
      <c r="A51" s="9">
        <v>0</v>
      </c>
      <c r="B51" s="9"/>
      <c r="C51" s="9"/>
      <c r="D51" s="9"/>
      <c r="E51" s="9"/>
      <c r="F51" s="9"/>
      <c r="G51" s="9"/>
      <c r="H51" s="9"/>
    </row>
    <row r="52" spans="1:8" x14ac:dyDescent="0.35">
      <c r="A52" s="9">
        <v>0</v>
      </c>
      <c r="B52" s="9"/>
      <c r="C52" s="9"/>
      <c r="D52" s="9"/>
      <c r="E52" s="9"/>
      <c r="F52" s="9"/>
      <c r="G52" s="9"/>
      <c r="H52" s="9"/>
    </row>
    <row r="53" spans="1:8" x14ac:dyDescent="0.35">
      <c r="A53" s="9">
        <v>0</v>
      </c>
      <c r="B53" s="9"/>
      <c r="C53" s="9"/>
      <c r="D53" s="9"/>
      <c r="E53" s="9"/>
      <c r="F53" s="9"/>
      <c r="G53" s="9"/>
      <c r="H53" s="9"/>
    </row>
    <row r="54" spans="1:8" x14ac:dyDescent="0.35">
      <c r="A54" s="9">
        <v>0</v>
      </c>
      <c r="B54" s="9"/>
      <c r="C54" s="9"/>
      <c r="D54" s="9"/>
      <c r="E54" s="9"/>
      <c r="F54" s="9"/>
      <c r="G54" s="9"/>
      <c r="H54" s="9"/>
    </row>
    <row r="55" spans="1:8" x14ac:dyDescent="0.35">
      <c r="A55" s="9">
        <v>0</v>
      </c>
      <c r="B55" s="9"/>
      <c r="C55" s="9"/>
      <c r="D55" s="9"/>
      <c r="E55" s="9"/>
      <c r="F55" s="9"/>
      <c r="G55" s="9"/>
      <c r="H55" s="9"/>
    </row>
    <row r="56" spans="1:8" x14ac:dyDescent="0.35">
      <c r="A56" s="9">
        <v>0</v>
      </c>
      <c r="B56" s="9"/>
      <c r="C56" s="9"/>
      <c r="D56" s="9"/>
      <c r="E56" s="9"/>
      <c r="F56" s="9"/>
      <c r="G56" s="9"/>
      <c r="H56" s="9"/>
    </row>
    <row r="57" spans="1:8" x14ac:dyDescent="0.35">
      <c r="A57" s="9">
        <v>0</v>
      </c>
      <c r="B57" s="9"/>
      <c r="C57" s="9"/>
      <c r="D57" s="9"/>
      <c r="E57" s="9"/>
      <c r="F57" s="9"/>
      <c r="G57" s="9"/>
      <c r="H57" s="9"/>
    </row>
    <row r="58" spans="1:8" x14ac:dyDescent="0.35">
      <c r="A58" s="9">
        <v>0</v>
      </c>
      <c r="B58" s="9"/>
      <c r="C58" s="9"/>
      <c r="D58" s="9"/>
      <c r="E58" s="9"/>
      <c r="F58" s="9"/>
      <c r="G58" s="9"/>
      <c r="H58" s="9"/>
    </row>
    <row r="59" spans="1:8" x14ac:dyDescent="0.35">
      <c r="A59" s="9">
        <v>0</v>
      </c>
      <c r="B59" s="9"/>
      <c r="C59" s="9"/>
      <c r="D59" s="9"/>
      <c r="E59" s="9"/>
      <c r="F59" s="9"/>
      <c r="G59" s="9"/>
      <c r="H59" s="9"/>
    </row>
    <row r="60" spans="1:8" x14ac:dyDescent="0.35">
      <c r="A60" s="9">
        <v>0</v>
      </c>
      <c r="B60" s="9"/>
      <c r="C60" s="9"/>
      <c r="D60" s="9"/>
      <c r="E60" s="9"/>
      <c r="F60" s="9"/>
      <c r="G60" s="9"/>
      <c r="H60" s="9"/>
    </row>
    <row r="61" spans="1:8" x14ac:dyDescent="0.35">
      <c r="A61" s="9">
        <v>0</v>
      </c>
      <c r="B61" s="9"/>
      <c r="C61" s="9"/>
      <c r="D61" s="9"/>
      <c r="E61" s="9"/>
      <c r="F61" s="9"/>
      <c r="G61" s="9"/>
      <c r="H61" s="9"/>
    </row>
    <row r="62" spans="1:8" x14ac:dyDescent="0.35">
      <c r="A62" s="9">
        <v>0</v>
      </c>
      <c r="B62" s="9"/>
      <c r="C62" s="9"/>
      <c r="D62" s="9"/>
      <c r="E62" s="9"/>
      <c r="F62" s="9"/>
      <c r="G62" s="9"/>
      <c r="H62" s="9"/>
    </row>
    <row r="63" spans="1:8" x14ac:dyDescent="0.35">
      <c r="A63" s="9">
        <v>0</v>
      </c>
      <c r="B63" s="9"/>
      <c r="C63" s="9"/>
      <c r="D63" s="9"/>
      <c r="E63" s="9"/>
      <c r="F63" s="9"/>
      <c r="G63" s="9"/>
      <c r="H63" s="9"/>
    </row>
    <row r="64" spans="1:8" x14ac:dyDescent="0.35">
      <c r="A64" s="9">
        <v>0</v>
      </c>
      <c r="B64" s="9"/>
      <c r="C64" s="9"/>
      <c r="D64" s="9"/>
      <c r="E64" s="9"/>
      <c r="F64" s="9"/>
      <c r="G64" s="9"/>
      <c r="H64" s="9"/>
    </row>
    <row r="65" spans="1:8" x14ac:dyDescent="0.35">
      <c r="A65" s="9">
        <v>0</v>
      </c>
      <c r="B65" s="9"/>
      <c r="C65" s="9"/>
      <c r="D65" s="9"/>
      <c r="E65" s="9"/>
      <c r="F65" s="9"/>
      <c r="G65" s="9"/>
      <c r="H65" s="9"/>
    </row>
    <row r="66" spans="1:8" x14ac:dyDescent="0.35">
      <c r="A66" s="9">
        <v>0</v>
      </c>
      <c r="B66" s="9"/>
      <c r="C66" s="9"/>
      <c r="D66" s="9"/>
      <c r="E66" s="9"/>
      <c r="F66" s="9"/>
      <c r="G66" s="9"/>
      <c r="H66" s="9"/>
    </row>
    <row r="67" spans="1:8" x14ac:dyDescent="0.35">
      <c r="A67" s="9">
        <v>0</v>
      </c>
      <c r="B67" s="9"/>
      <c r="C67" s="9"/>
      <c r="D67" s="9"/>
      <c r="E67" s="9"/>
      <c r="F67" s="9"/>
      <c r="G67" s="9"/>
      <c r="H67" s="9"/>
    </row>
    <row r="68" spans="1:8" x14ac:dyDescent="0.35">
      <c r="A68" s="9">
        <v>0</v>
      </c>
      <c r="B68" s="9"/>
      <c r="C68" s="9"/>
      <c r="D68" s="9"/>
      <c r="E68" s="9"/>
      <c r="F68" s="9"/>
      <c r="G68" s="9"/>
      <c r="H68" s="9"/>
    </row>
    <row r="69" spans="1:8" x14ac:dyDescent="0.35">
      <c r="A69" s="9">
        <v>0</v>
      </c>
      <c r="B69" s="9"/>
      <c r="C69" s="9"/>
      <c r="D69" s="9"/>
      <c r="E69" s="9"/>
      <c r="F69" s="9"/>
      <c r="G69" s="9"/>
      <c r="H69" s="9"/>
    </row>
    <row r="70" spans="1:8" x14ac:dyDescent="0.35">
      <c r="A70" s="9">
        <v>0</v>
      </c>
      <c r="B70" s="9"/>
      <c r="C70" s="9"/>
      <c r="D70" s="9"/>
      <c r="E70" s="9"/>
      <c r="F70" s="9"/>
      <c r="G70" s="9"/>
      <c r="H70" s="9"/>
    </row>
    <row r="71" spans="1:8" x14ac:dyDescent="0.35">
      <c r="A71" s="9">
        <v>0</v>
      </c>
      <c r="B71" s="9"/>
      <c r="C71" s="9"/>
      <c r="D71" s="9"/>
      <c r="E71" s="9"/>
      <c r="F71" s="9"/>
      <c r="G71" s="9"/>
      <c r="H71" s="9"/>
    </row>
    <row r="72" spans="1:8" x14ac:dyDescent="0.35">
      <c r="A72" s="9">
        <v>0</v>
      </c>
      <c r="B72" s="9"/>
      <c r="C72" s="9"/>
      <c r="D72" s="9"/>
      <c r="E72" s="9"/>
      <c r="F72" s="9"/>
      <c r="G72" s="9"/>
      <c r="H72" s="9"/>
    </row>
    <row r="73" spans="1:8" x14ac:dyDescent="0.35">
      <c r="A73" s="9">
        <v>0</v>
      </c>
      <c r="B73" s="9"/>
      <c r="C73" s="9"/>
      <c r="D73" s="9"/>
      <c r="E73" s="9"/>
      <c r="F73" s="9"/>
      <c r="G73" s="9"/>
      <c r="H73" s="9"/>
    </row>
    <row r="74" spans="1:8" x14ac:dyDescent="0.35">
      <c r="A74" s="9">
        <v>0</v>
      </c>
      <c r="B74" s="9"/>
      <c r="C74" s="9"/>
      <c r="D74" s="9"/>
      <c r="E74" s="9"/>
      <c r="F74" s="9"/>
      <c r="G74" s="9"/>
      <c r="H74" s="9"/>
    </row>
    <row r="75" spans="1:8" x14ac:dyDescent="0.35">
      <c r="A75" s="9">
        <v>0</v>
      </c>
      <c r="B75" s="9"/>
      <c r="C75" s="9"/>
      <c r="D75" s="9"/>
      <c r="E75" s="9"/>
      <c r="F75" s="9"/>
      <c r="G75" s="9"/>
      <c r="H75" s="9"/>
    </row>
    <row r="76" spans="1:8" x14ac:dyDescent="0.35">
      <c r="A76" s="9">
        <v>0</v>
      </c>
      <c r="B76" s="9"/>
      <c r="C76" s="9"/>
      <c r="D76" s="9"/>
      <c r="E76" s="9"/>
      <c r="F76" s="9"/>
      <c r="G76" s="9"/>
      <c r="H76" s="9"/>
    </row>
    <row r="77" spans="1:8" x14ac:dyDescent="0.35">
      <c r="A77" s="9">
        <v>0</v>
      </c>
      <c r="B77" s="9"/>
      <c r="C77" s="9"/>
      <c r="D77" s="9"/>
      <c r="E77" s="9"/>
      <c r="F77" s="9"/>
      <c r="G77" s="9"/>
      <c r="H77" s="9"/>
    </row>
    <row r="78" spans="1:8" x14ac:dyDescent="0.35">
      <c r="A78" s="9">
        <v>0</v>
      </c>
      <c r="B78" s="9"/>
      <c r="C78" s="9"/>
      <c r="D78" s="9"/>
      <c r="E78" s="9"/>
      <c r="F78" s="9"/>
      <c r="G78" s="9"/>
      <c r="H78" s="9"/>
    </row>
    <row r="79" spans="1:8" x14ac:dyDescent="0.35">
      <c r="A79" s="9">
        <v>0</v>
      </c>
      <c r="B79" s="9"/>
      <c r="C79" s="9"/>
      <c r="D79" s="9"/>
      <c r="E79" s="9"/>
      <c r="F79" s="9"/>
      <c r="G79" s="9"/>
      <c r="H79" s="9"/>
    </row>
    <row r="80" spans="1:8" x14ac:dyDescent="0.35">
      <c r="A80" s="9">
        <v>0</v>
      </c>
      <c r="B80" s="9"/>
      <c r="C80" s="9"/>
      <c r="D80" s="9"/>
      <c r="E80" s="9"/>
      <c r="F80" s="9"/>
      <c r="G80" s="9"/>
      <c r="H80" s="9"/>
    </row>
    <row r="81" spans="1:8" x14ac:dyDescent="0.35">
      <c r="A81" s="9">
        <v>0</v>
      </c>
      <c r="B81" s="9"/>
      <c r="C81" s="9"/>
      <c r="D81" s="9"/>
      <c r="E81" s="9"/>
      <c r="F81" s="9"/>
      <c r="G81" s="9"/>
      <c r="H81" s="9"/>
    </row>
    <row r="82" spans="1:8" x14ac:dyDescent="0.35">
      <c r="A82" s="9">
        <v>0</v>
      </c>
      <c r="B82" s="9"/>
      <c r="C82" s="9"/>
      <c r="D82" s="9"/>
      <c r="E82" s="9"/>
      <c r="F82" s="9"/>
      <c r="G82" s="9"/>
      <c r="H82" s="9"/>
    </row>
    <row r="83" spans="1:8" x14ac:dyDescent="0.35">
      <c r="A83" s="9">
        <v>0</v>
      </c>
      <c r="B83" s="9"/>
      <c r="C83" s="9"/>
      <c r="D83" s="9"/>
      <c r="E83" s="9"/>
      <c r="F83" s="9"/>
      <c r="G83" s="9"/>
      <c r="H83" s="9"/>
    </row>
    <row r="84" spans="1:8" x14ac:dyDescent="0.35">
      <c r="A84" s="9">
        <v>0</v>
      </c>
      <c r="B84" s="9"/>
      <c r="C84" s="9"/>
      <c r="D84" s="9"/>
      <c r="E84" s="9"/>
      <c r="F84" s="9"/>
      <c r="G84" s="9"/>
      <c r="H84" s="9"/>
    </row>
    <row r="85" spans="1:8" x14ac:dyDescent="0.35">
      <c r="A85" s="9">
        <v>0</v>
      </c>
      <c r="B85" s="9"/>
      <c r="C85" s="9"/>
      <c r="D85" s="9"/>
      <c r="E85" s="9"/>
      <c r="F85" s="9"/>
      <c r="G85" s="9"/>
      <c r="H85" s="9"/>
    </row>
    <row r="86" spans="1:8" x14ac:dyDescent="0.35">
      <c r="A86" s="9">
        <v>0</v>
      </c>
      <c r="B86" s="9"/>
      <c r="C86" s="9"/>
      <c r="D86" s="9"/>
      <c r="E86" s="9"/>
      <c r="F86" s="9"/>
      <c r="G86" s="9"/>
      <c r="H86" s="9"/>
    </row>
    <row r="87" spans="1:8" x14ac:dyDescent="0.35">
      <c r="A87" s="9">
        <v>0</v>
      </c>
      <c r="B87" s="9"/>
      <c r="C87" s="9"/>
      <c r="D87" s="9"/>
      <c r="E87" s="9"/>
      <c r="F87" s="9"/>
      <c r="G87" s="9"/>
      <c r="H87" s="9"/>
    </row>
    <row r="88" spans="1:8" x14ac:dyDescent="0.35">
      <c r="A88" s="9">
        <v>0</v>
      </c>
      <c r="B88" s="9"/>
      <c r="C88" s="9"/>
      <c r="D88" s="9"/>
      <c r="E88" s="9"/>
      <c r="F88" s="9"/>
      <c r="G88" s="9"/>
      <c r="H88" s="9"/>
    </row>
    <row r="89" spans="1:8" x14ac:dyDescent="0.35">
      <c r="A89" s="9">
        <v>0</v>
      </c>
      <c r="B89" s="9"/>
      <c r="C89" s="9"/>
      <c r="D89" s="9"/>
      <c r="E89" s="9"/>
      <c r="F89" s="9"/>
      <c r="G89" s="9"/>
      <c r="H89" s="9"/>
    </row>
    <row r="90" spans="1:8" x14ac:dyDescent="0.35">
      <c r="A90" s="9">
        <v>0</v>
      </c>
      <c r="B90" s="9"/>
      <c r="C90" s="9"/>
      <c r="D90" s="9"/>
      <c r="E90" s="9"/>
      <c r="F90" s="9"/>
      <c r="G90" s="9"/>
      <c r="H90" s="9"/>
    </row>
    <row r="91" spans="1:8" x14ac:dyDescent="0.35">
      <c r="A91" s="9">
        <v>0</v>
      </c>
      <c r="B91" s="9"/>
      <c r="C91" s="9"/>
      <c r="D91" s="9"/>
      <c r="E91" s="9"/>
      <c r="F91" s="9"/>
      <c r="G91" s="9"/>
      <c r="H91" s="9"/>
    </row>
    <row r="92" spans="1:8" x14ac:dyDescent="0.35">
      <c r="A92" s="9">
        <v>0</v>
      </c>
      <c r="B92" s="9"/>
      <c r="C92" s="9"/>
      <c r="D92" s="9"/>
      <c r="E92" s="9"/>
      <c r="F92" s="9"/>
      <c r="G92" s="9"/>
      <c r="H92" s="9"/>
    </row>
    <row r="93" spans="1:8" x14ac:dyDescent="0.35">
      <c r="A93" s="9">
        <v>0</v>
      </c>
      <c r="B93" s="9"/>
      <c r="C93" s="9"/>
      <c r="D93" s="9"/>
      <c r="E93" s="9"/>
      <c r="F93" s="9"/>
      <c r="G93" s="9"/>
      <c r="H93" s="9"/>
    </row>
    <row r="94" spans="1:8" x14ac:dyDescent="0.35">
      <c r="A94" s="9">
        <v>0</v>
      </c>
      <c r="B94" s="9"/>
      <c r="C94" s="9"/>
      <c r="D94" s="9"/>
      <c r="E94" s="9"/>
      <c r="F94" s="9"/>
      <c r="G94" s="9"/>
      <c r="H94" s="9"/>
    </row>
    <row r="95" spans="1:8" x14ac:dyDescent="0.35">
      <c r="A95" s="9">
        <v>0</v>
      </c>
      <c r="B95" s="9"/>
      <c r="C95" s="9"/>
      <c r="D95" s="9"/>
      <c r="E95" s="9"/>
      <c r="F95" s="9"/>
      <c r="G95" s="9"/>
      <c r="H95" s="9"/>
    </row>
    <row r="96" spans="1:8" x14ac:dyDescent="0.35">
      <c r="A96" s="9">
        <v>0</v>
      </c>
      <c r="B96" s="9"/>
      <c r="C96" s="9"/>
      <c r="D96" s="9"/>
      <c r="E96" s="9"/>
      <c r="F96" s="9"/>
      <c r="G96" s="9"/>
      <c r="H96" s="9"/>
    </row>
    <row r="97" spans="1:8" x14ac:dyDescent="0.35">
      <c r="A97" s="9">
        <v>0</v>
      </c>
      <c r="B97" s="9"/>
      <c r="C97" s="9"/>
      <c r="D97" s="9"/>
      <c r="E97" s="9"/>
      <c r="F97" s="9"/>
      <c r="G97" s="9"/>
      <c r="H97" s="9"/>
    </row>
    <row r="98" spans="1:8" x14ac:dyDescent="0.35">
      <c r="A98" s="9">
        <v>0</v>
      </c>
      <c r="B98" s="9"/>
      <c r="C98" s="9"/>
      <c r="D98" s="9"/>
      <c r="E98" s="9"/>
      <c r="F98" s="9"/>
      <c r="G98" s="9"/>
      <c r="H98" s="9"/>
    </row>
    <row r="99" spans="1:8" x14ac:dyDescent="0.35">
      <c r="A99" s="9">
        <v>0</v>
      </c>
      <c r="B99" s="9"/>
      <c r="C99" s="9"/>
      <c r="D99" s="9"/>
      <c r="E99" s="9"/>
      <c r="F99" s="9"/>
      <c r="G99" s="9"/>
      <c r="H99" s="9"/>
    </row>
    <row r="100" spans="1:8" x14ac:dyDescent="0.35">
      <c r="A100" s="9">
        <v>0</v>
      </c>
      <c r="B100" s="9"/>
      <c r="C100" s="9"/>
      <c r="D100" s="9"/>
      <c r="E100" s="9"/>
      <c r="F100" s="9"/>
      <c r="G100" s="9"/>
      <c r="H100" s="9"/>
    </row>
  </sheetData>
  <autoFilter ref="A4:H100" xr:uid="{00000000-0009-0000-0000-000004000000}"/>
  <mergeCells count="2">
    <mergeCell ref="A1:H1"/>
    <mergeCell ref="A2:H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8A33D"/>
  </sheetPr>
  <dimension ref="A1:C60"/>
  <sheetViews>
    <sheetView showGridLines="0" zoomScaleNormal="100" workbookViewId="0">
      <pane ySplit="4" topLeftCell="A5" activePane="bottomLeft" state="frozen"/>
      <selection pane="bottomLeft" sqref="A1:C1"/>
    </sheetView>
  </sheetViews>
  <sheetFormatPr defaultColWidth="8.54296875" defaultRowHeight="14.5" x14ac:dyDescent="0.35"/>
  <cols>
    <col min="1" max="1" width="34" customWidth="1"/>
    <col min="2" max="2" width="15" customWidth="1"/>
    <col min="3" max="3" width="40" customWidth="1"/>
  </cols>
  <sheetData>
    <row r="1" spans="1:3" ht="24" customHeight="1" x14ac:dyDescent="0.35">
      <c r="A1" s="117" t="s">
        <v>346</v>
      </c>
      <c r="B1" s="117"/>
      <c r="C1" s="117"/>
    </row>
    <row r="2" spans="1:3" ht="13.5" customHeight="1" x14ac:dyDescent="0.35">
      <c r="A2" s="118" t="s">
        <v>347</v>
      </c>
      <c r="B2" s="118"/>
      <c r="C2" s="118"/>
    </row>
    <row r="4" spans="1:3" ht="25.5" customHeight="1" x14ac:dyDescent="0.35">
      <c r="A4" s="3" t="s">
        <v>348</v>
      </c>
      <c r="B4" s="3" t="s">
        <v>349</v>
      </c>
      <c r="C4" s="3" t="s">
        <v>96</v>
      </c>
    </row>
    <row r="5" spans="1:3" x14ac:dyDescent="0.35">
      <c r="A5" s="9" t="s">
        <v>350</v>
      </c>
      <c r="B5" s="8">
        <v>45658</v>
      </c>
      <c r="C5" s="9"/>
    </row>
    <row r="6" spans="1:3" x14ac:dyDescent="0.35">
      <c r="A6" s="9" t="s">
        <v>351</v>
      </c>
      <c r="B6" s="8">
        <v>45705</v>
      </c>
      <c r="C6" s="9"/>
    </row>
    <row r="7" spans="1:3" x14ac:dyDescent="0.35">
      <c r="A7" s="9" t="s">
        <v>352</v>
      </c>
      <c r="B7" s="8">
        <v>45765</v>
      </c>
      <c r="C7" s="9"/>
    </row>
    <row r="8" spans="1:3" x14ac:dyDescent="0.35">
      <c r="A8" s="9" t="s">
        <v>353</v>
      </c>
      <c r="B8" s="8">
        <v>45768</v>
      </c>
      <c r="C8" s="9"/>
    </row>
    <row r="9" spans="1:3" x14ac:dyDescent="0.35">
      <c r="A9" s="9" t="s">
        <v>354</v>
      </c>
      <c r="B9" s="8">
        <v>45796</v>
      </c>
      <c r="C9" s="9"/>
    </row>
    <row r="10" spans="1:3" x14ac:dyDescent="0.35">
      <c r="A10" s="9" t="s">
        <v>355</v>
      </c>
      <c r="B10" s="8">
        <v>45839</v>
      </c>
      <c r="C10" s="9"/>
    </row>
    <row r="11" spans="1:3" x14ac:dyDescent="0.35">
      <c r="A11" s="9" t="s">
        <v>356</v>
      </c>
      <c r="B11" s="8">
        <v>45873</v>
      </c>
      <c r="C11" s="9"/>
    </row>
    <row r="12" spans="1:3" x14ac:dyDescent="0.35">
      <c r="A12" s="9" t="s">
        <v>357</v>
      </c>
      <c r="B12" s="8">
        <v>45901</v>
      </c>
      <c r="C12" s="9"/>
    </row>
    <row r="13" spans="1:3" x14ac:dyDescent="0.35">
      <c r="A13" s="9" t="s">
        <v>358</v>
      </c>
      <c r="B13" s="8">
        <v>45930</v>
      </c>
      <c r="C13" s="9"/>
    </row>
    <row r="14" spans="1:3" x14ac:dyDescent="0.35">
      <c r="A14" s="9" t="s">
        <v>359</v>
      </c>
      <c r="B14" s="8">
        <v>45943</v>
      </c>
      <c r="C14" s="9"/>
    </row>
    <row r="15" spans="1:3" x14ac:dyDescent="0.35">
      <c r="A15" s="9" t="s">
        <v>360</v>
      </c>
      <c r="B15" s="8">
        <v>45962</v>
      </c>
      <c r="C15" s="9"/>
    </row>
    <row r="16" spans="1:3" x14ac:dyDescent="0.35">
      <c r="A16" s="9" t="s">
        <v>361</v>
      </c>
      <c r="B16" s="8">
        <v>46016</v>
      </c>
      <c r="C16" s="9"/>
    </row>
    <row r="17" spans="1:3" x14ac:dyDescent="0.35">
      <c r="A17" s="9" t="s">
        <v>362</v>
      </c>
      <c r="B17" s="8">
        <v>46017</v>
      </c>
      <c r="C17" s="9"/>
    </row>
    <row r="18" spans="1:3" x14ac:dyDescent="0.35">
      <c r="A18" s="9"/>
      <c r="B18" s="9"/>
      <c r="C18" s="9"/>
    </row>
    <row r="19" spans="1:3" x14ac:dyDescent="0.35">
      <c r="A19" s="9"/>
      <c r="B19" s="9"/>
      <c r="C19" s="9"/>
    </row>
    <row r="20" spans="1:3" x14ac:dyDescent="0.35">
      <c r="A20" s="9"/>
      <c r="B20" s="9"/>
      <c r="C20" s="9"/>
    </row>
    <row r="21" spans="1:3" x14ac:dyDescent="0.35">
      <c r="A21" s="9"/>
      <c r="B21" s="9"/>
      <c r="C21" s="9"/>
    </row>
    <row r="22" spans="1:3" x14ac:dyDescent="0.35">
      <c r="A22" s="9"/>
      <c r="B22" s="9"/>
      <c r="C22" s="9"/>
    </row>
    <row r="23" spans="1:3" x14ac:dyDescent="0.35">
      <c r="A23" s="9"/>
      <c r="B23" s="9"/>
      <c r="C23" s="9"/>
    </row>
    <row r="24" spans="1:3" x14ac:dyDescent="0.35">
      <c r="A24" s="9"/>
      <c r="B24" s="9"/>
      <c r="C24" s="9"/>
    </row>
    <row r="25" spans="1:3" x14ac:dyDescent="0.35">
      <c r="A25" s="9"/>
      <c r="B25" s="9"/>
      <c r="C25" s="9"/>
    </row>
    <row r="26" spans="1:3" x14ac:dyDescent="0.35">
      <c r="A26" s="9"/>
      <c r="B26" s="9"/>
      <c r="C26" s="9"/>
    </row>
    <row r="27" spans="1:3" x14ac:dyDescent="0.35">
      <c r="A27" s="9"/>
      <c r="B27" s="9"/>
      <c r="C27" s="9"/>
    </row>
    <row r="28" spans="1:3" x14ac:dyDescent="0.35">
      <c r="A28" s="9"/>
      <c r="B28" s="9"/>
      <c r="C28" s="9"/>
    </row>
    <row r="29" spans="1:3" x14ac:dyDescent="0.35">
      <c r="A29" s="9"/>
      <c r="B29" s="9"/>
      <c r="C29" s="9"/>
    </row>
    <row r="30" spans="1:3" x14ac:dyDescent="0.35">
      <c r="A30" s="9"/>
      <c r="B30" s="9"/>
      <c r="C30" s="9"/>
    </row>
    <row r="31" spans="1:3" x14ac:dyDescent="0.35">
      <c r="A31" s="9"/>
      <c r="B31" s="9"/>
      <c r="C31" s="9"/>
    </row>
    <row r="32" spans="1:3" x14ac:dyDescent="0.35">
      <c r="A32" s="9"/>
      <c r="B32" s="9"/>
      <c r="C32" s="9"/>
    </row>
    <row r="33" spans="1:3" x14ac:dyDescent="0.35">
      <c r="A33" s="9"/>
      <c r="B33" s="9"/>
      <c r="C33" s="9"/>
    </row>
    <row r="34" spans="1:3" x14ac:dyDescent="0.35">
      <c r="A34" s="9"/>
      <c r="B34" s="9"/>
      <c r="C34" s="9"/>
    </row>
    <row r="35" spans="1:3" x14ac:dyDescent="0.35">
      <c r="A35" s="9"/>
      <c r="B35" s="9"/>
      <c r="C35" s="9"/>
    </row>
    <row r="36" spans="1:3" x14ac:dyDescent="0.35">
      <c r="A36" s="9"/>
      <c r="B36" s="9"/>
      <c r="C36" s="9"/>
    </row>
    <row r="37" spans="1:3" x14ac:dyDescent="0.35">
      <c r="A37" s="9"/>
      <c r="B37" s="9"/>
      <c r="C37" s="9"/>
    </row>
    <row r="38" spans="1:3" x14ac:dyDescent="0.35">
      <c r="A38" s="9"/>
      <c r="B38" s="9"/>
      <c r="C38" s="9"/>
    </row>
    <row r="39" spans="1:3" x14ac:dyDescent="0.35">
      <c r="A39" s="9"/>
      <c r="B39" s="9"/>
      <c r="C39" s="9"/>
    </row>
    <row r="40" spans="1:3" x14ac:dyDescent="0.35">
      <c r="A40" s="9"/>
      <c r="B40" s="9"/>
      <c r="C40" s="9"/>
    </row>
    <row r="41" spans="1:3" x14ac:dyDescent="0.35">
      <c r="A41" s="9"/>
      <c r="B41" s="9"/>
      <c r="C41" s="9"/>
    </row>
    <row r="42" spans="1:3" x14ac:dyDescent="0.35">
      <c r="A42" s="9"/>
      <c r="B42" s="9"/>
      <c r="C42" s="9"/>
    </row>
    <row r="43" spans="1:3" x14ac:dyDescent="0.35">
      <c r="A43" s="9"/>
      <c r="B43" s="9"/>
      <c r="C43" s="9"/>
    </row>
    <row r="44" spans="1:3" x14ac:dyDescent="0.35">
      <c r="A44" s="9"/>
      <c r="B44" s="9"/>
      <c r="C44" s="9"/>
    </row>
    <row r="45" spans="1:3" x14ac:dyDescent="0.35">
      <c r="A45" s="9"/>
      <c r="B45" s="9"/>
      <c r="C45" s="9"/>
    </row>
    <row r="46" spans="1:3" x14ac:dyDescent="0.35">
      <c r="A46" s="9"/>
      <c r="B46" s="9"/>
      <c r="C46" s="9"/>
    </row>
    <row r="47" spans="1:3" x14ac:dyDescent="0.35">
      <c r="A47" s="9"/>
      <c r="B47" s="9"/>
      <c r="C47" s="9"/>
    </row>
    <row r="48" spans="1:3" x14ac:dyDescent="0.35">
      <c r="A48" s="9"/>
      <c r="B48" s="9"/>
      <c r="C48" s="9"/>
    </row>
    <row r="49" spans="1:3" x14ac:dyDescent="0.35">
      <c r="A49" s="9"/>
      <c r="B49" s="9"/>
      <c r="C49" s="9"/>
    </row>
    <row r="50" spans="1:3" x14ac:dyDescent="0.35">
      <c r="A50" s="9"/>
      <c r="B50" s="9"/>
      <c r="C50" s="9"/>
    </row>
    <row r="51" spans="1:3" x14ac:dyDescent="0.35">
      <c r="A51" s="9"/>
      <c r="B51" s="9"/>
      <c r="C51" s="9"/>
    </row>
    <row r="52" spans="1:3" x14ac:dyDescent="0.35">
      <c r="A52" s="9"/>
      <c r="B52" s="9"/>
      <c r="C52" s="9"/>
    </row>
    <row r="53" spans="1:3" x14ac:dyDescent="0.35">
      <c r="A53" s="9"/>
      <c r="B53" s="9"/>
      <c r="C53" s="9"/>
    </row>
    <row r="54" spans="1:3" x14ac:dyDescent="0.35">
      <c r="A54" s="9"/>
      <c r="B54" s="9"/>
      <c r="C54" s="9"/>
    </row>
    <row r="55" spans="1:3" x14ac:dyDescent="0.35">
      <c r="A55" s="9"/>
      <c r="B55" s="9"/>
      <c r="C55" s="9"/>
    </row>
    <row r="56" spans="1:3" x14ac:dyDescent="0.35">
      <c r="A56" s="9"/>
      <c r="B56" s="9"/>
      <c r="C56" s="9"/>
    </row>
    <row r="57" spans="1:3" x14ac:dyDescent="0.35">
      <c r="A57" s="9"/>
      <c r="B57" s="9"/>
      <c r="C57" s="9"/>
    </row>
    <row r="58" spans="1:3" x14ac:dyDescent="0.35">
      <c r="A58" s="9"/>
      <c r="B58" s="9"/>
      <c r="C58" s="9"/>
    </row>
    <row r="59" spans="1:3" x14ac:dyDescent="0.35">
      <c r="A59" s="9"/>
      <c r="B59" s="9"/>
      <c r="C59" s="9"/>
    </row>
    <row r="60" spans="1:3" x14ac:dyDescent="0.35">
      <c r="A60" s="9"/>
      <c r="B60" s="9"/>
      <c r="C60" s="9"/>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8A33D"/>
  </sheetPr>
  <dimension ref="A1:K1003"/>
  <sheetViews>
    <sheetView showGridLines="0" zoomScale="98" zoomScaleNormal="100" workbookViewId="0">
      <pane ySplit="4" topLeftCell="A172" activePane="bottomLeft" state="frozen"/>
      <selection pane="bottomLeft" activeCell="D190" sqref="D190"/>
    </sheetView>
  </sheetViews>
  <sheetFormatPr defaultColWidth="8.54296875" defaultRowHeight="14.5" x14ac:dyDescent="0.35"/>
  <cols>
    <col min="1" max="1" width="13.54296875" customWidth="1"/>
    <col min="2" max="2" width="24" customWidth="1"/>
    <col min="3" max="3" width="18" customWidth="1"/>
    <col min="4" max="4" width="42" customWidth="1"/>
    <col min="5" max="5" width="16" customWidth="1"/>
    <col min="6" max="6" width="12" customWidth="1"/>
    <col min="7" max="7" width="13.81640625" customWidth="1"/>
    <col min="8" max="8" width="13" customWidth="1"/>
    <col min="9" max="9" width="14.54296875" customWidth="1"/>
    <col min="10" max="10" width="12" customWidth="1"/>
    <col min="11" max="11" width="15.54296875" customWidth="1"/>
  </cols>
  <sheetData>
    <row r="1" spans="1:11" ht="24" customHeight="1" x14ac:dyDescent="0.35">
      <c r="A1" s="117" t="s">
        <v>363</v>
      </c>
      <c r="B1" s="117"/>
      <c r="C1" s="117"/>
      <c r="D1" s="117"/>
      <c r="E1" s="117"/>
      <c r="F1" s="117"/>
      <c r="G1" s="117"/>
      <c r="H1" s="117"/>
      <c r="I1" s="117"/>
      <c r="J1" s="117"/>
      <c r="K1" s="117"/>
    </row>
    <row r="2" spans="1:11" ht="13.5" customHeight="1" x14ac:dyDescent="0.35">
      <c r="A2" s="118" t="s">
        <v>364</v>
      </c>
      <c r="B2" s="118"/>
      <c r="C2" s="118"/>
      <c r="D2" s="118"/>
      <c r="E2" s="118"/>
      <c r="F2" s="118"/>
      <c r="G2" s="118"/>
      <c r="H2" s="118"/>
      <c r="I2" s="118"/>
      <c r="J2" s="118"/>
      <c r="K2" s="118"/>
    </row>
    <row r="4" spans="1:11" ht="25.5" customHeight="1" x14ac:dyDescent="0.35">
      <c r="A4" s="3" t="s">
        <v>365</v>
      </c>
      <c r="B4" s="3" t="s">
        <v>316</v>
      </c>
      <c r="C4" s="3" t="s">
        <v>366</v>
      </c>
      <c r="D4" s="3" t="s">
        <v>88</v>
      </c>
      <c r="E4" s="3" t="s">
        <v>89</v>
      </c>
      <c r="F4" s="3" t="s">
        <v>90</v>
      </c>
      <c r="G4" s="3" t="s">
        <v>367</v>
      </c>
      <c r="H4" s="3" t="s">
        <v>368</v>
      </c>
      <c r="I4" s="3" t="s">
        <v>369</v>
      </c>
      <c r="J4" s="3" t="s">
        <v>91</v>
      </c>
      <c r="K4" s="3" t="s">
        <v>370</v>
      </c>
    </row>
    <row r="5" spans="1:11" x14ac:dyDescent="0.35">
      <c r="A5" s="8">
        <v>46112</v>
      </c>
      <c r="B5" s="9" t="s">
        <v>843</v>
      </c>
      <c r="C5" s="9" t="s">
        <v>371</v>
      </c>
      <c r="D5" s="9" t="s">
        <v>97</v>
      </c>
      <c r="E5" s="18" t="str">
        <f>IF($D5="","",IFERROR(INDEX(Items!$B$5:$B$597,MATCH($D5,Items!$A$5:$A$597,0)),"⚠ not in Items"))</f>
        <v>Masks</v>
      </c>
      <c r="F5" s="19" t="str">
        <f>IF($D5="","",IFERROR(INDEX(Items!$C$5:$C$597,MATCH($D5,Items!$A$5:$A$597,0)),""))</f>
        <v>One Size</v>
      </c>
      <c r="G5" s="12">
        <v>40</v>
      </c>
      <c r="H5" s="8">
        <v>46235</v>
      </c>
      <c r="I5" s="8">
        <v>46113</v>
      </c>
      <c r="J5" s="20">
        <f>IF($D5="","",IFERROR(INDEX(Items!$D$5:$D$597,MATCH($D5,Items!$A$5:$A$597,0)),""))</f>
        <v>2.0499999999999998</v>
      </c>
      <c r="K5" s="21">
        <f t="shared" ref="K5:K68" si="0">IF(OR($G5="",$J5=""),"",$G5*$J5)</f>
        <v>82</v>
      </c>
    </row>
    <row r="6" spans="1:11" x14ac:dyDescent="0.35">
      <c r="A6" s="8">
        <v>46112</v>
      </c>
      <c r="B6" s="9" t="s">
        <v>843</v>
      </c>
      <c r="C6" s="9" t="s">
        <v>372</v>
      </c>
      <c r="D6" s="9" t="s">
        <v>101</v>
      </c>
      <c r="E6" s="18" t="str">
        <f>IF($D6="","",IFERROR(INDEX(Items!$B$5:$B$597,MATCH($D6,Items!$A$5:$A$597,0)),"⚠ not in Items"))</f>
        <v>Masks</v>
      </c>
      <c r="F6" s="19" t="str">
        <f>IF($D6="","",IFERROR(INDEX(Items!$C$5:$C$597,MATCH($D6,Items!$A$5:$A$597,0)),""))</f>
        <v>One Size</v>
      </c>
      <c r="G6" s="12">
        <v>10840</v>
      </c>
      <c r="H6" s="8">
        <v>46235</v>
      </c>
      <c r="I6" s="8">
        <v>46113</v>
      </c>
      <c r="J6" s="20">
        <f>IF($D6="","",IFERROR(INDEX(Items!$D$5:$D$597,MATCH($D6,Items!$A$5:$A$597,0)),""))</f>
        <v>2.0499999999999998</v>
      </c>
      <c r="K6" s="21">
        <f t="shared" si="0"/>
        <v>22221.999999999996</v>
      </c>
    </row>
    <row r="7" spans="1:11" x14ac:dyDescent="0.35">
      <c r="A7" s="8">
        <v>46112</v>
      </c>
      <c r="B7" s="9" t="s">
        <v>843</v>
      </c>
      <c r="C7" s="9" t="s">
        <v>373</v>
      </c>
      <c r="D7" s="9" t="s">
        <v>102</v>
      </c>
      <c r="E7" s="18" t="str">
        <f>IF($D7="","",IFERROR(INDEX(Items!$B$5:$B$597,MATCH($D7,Items!$A$5:$A$597,0)),"⚠ not in Items"))</f>
        <v>Masks</v>
      </c>
      <c r="F7" s="19" t="str">
        <f>IF($D7="","",IFERROR(INDEX(Items!$C$5:$C$597,MATCH($D7,Items!$A$5:$A$597,0)),""))</f>
        <v>One Size</v>
      </c>
      <c r="G7" s="12">
        <v>9835</v>
      </c>
      <c r="H7" s="8">
        <v>46235</v>
      </c>
      <c r="I7" s="8">
        <v>46113</v>
      </c>
      <c r="J7" s="20">
        <f>IF($D7="","",IFERROR(INDEX(Items!$D$5:$D$597,MATCH($D7,Items!$A$5:$A$597,0)),""))</f>
        <v>2.0499999999999998</v>
      </c>
      <c r="K7" s="21">
        <f t="shared" si="0"/>
        <v>20161.75</v>
      </c>
    </row>
    <row r="8" spans="1:11" x14ac:dyDescent="0.35">
      <c r="A8" s="8">
        <v>46112</v>
      </c>
      <c r="B8" s="9" t="s">
        <v>843</v>
      </c>
      <c r="C8" s="9" t="s">
        <v>374</v>
      </c>
      <c r="D8" s="9" t="s">
        <v>103</v>
      </c>
      <c r="E8" s="18" t="str">
        <f>IF($D8="","",IFERROR(INDEX(Items!$B$5:$B$597,MATCH($D8,Items!$A$5:$A$597,0)),"⚠ not in Items"))</f>
        <v>Masks</v>
      </c>
      <c r="F8" s="19" t="str">
        <f>IF($D8="","",IFERROR(INDEX(Items!$C$5:$C$597,MATCH($D8,Items!$A$5:$A$597,0)),""))</f>
        <v>One Size</v>
      </c>
      <c r="G8" s="12">
        <v>230</v>
      </c>
      <c r="H8" s="8">
        <v>46235</v>
      </c>
      <c r="I8" s="8">
        <v>46113</v>
      </c>
      <c r="J8" s="20">
        <f>IF($D8="","",IFERROR(INDEX(Items!$D$5:$D$597,MATCH($D8,Items!$A$5:$A$597,0)),""))</f>
        <v>2.0499999999999998</v>
      </c>
      <c r="K8" s="21">
        <f t="shared" si="0"/>
        <v>471.49999999999994</v>
      </c>
    </row>
    <row r="9" spans="1:11" x14ac:dyDescent="0.35">
      <c r="A9" s="8">
        <v>46112</v>
      </c>
      <c r="B9" s="9" t="s">
        <v>843</v>
      </c>
      <c r="C9" s="9" t="s">
        <v>375</v>
      </c>
      <c r="D9" s="9" t="s">
        <v>104</v>
      </c>
      <c r="E9" s="18" t="str">
        <f>IF($D9="","",IFERROR(INDEX(Items!$B$5:$B$597,MATCH($D9,Items!$A$5:$A$597,0)),"⚠ not in Items"))</f>
        <v>Masks</v>
      </c>
      <c r="F9" s="19" t="str">
        <f>IF($D9="","",IFERROR(INDEX(Items!$C$5:$C$597,MATCH($D9,Items!$A$5:$A$597,0)),""))</f>
        <v>One Size</v>
      </c>
      <c r="G9" s="12">
        <v>18945</v>
      </c>
      <c r="H9" s="8">
        <v>46235</v>
      </c>
      <c r="I9" s="8">
        <v>46113</v>
      </c>
      <c r="J9" s="20">
        <f>IF($D9="","",IFERROR(INDEX(Items!$D$5:$D$597,MATCH($D9,Items!$A$5:$A$597,0)),""))</f>
        <v>2.0499999999999998</v>
      </c>
      <c r="K9" s="21">
        <f t="shared" si="0"/>
        <v>38837.25</v>
      </c>
    </row>
    <row r="10" spans="1:11" x14ac:dyDescent="0.35">
      <c r="A10" s="8">
        <v>46112</v>
      </c>
      <c r="B10" s="9" t="s">
        <v>843</v>
      </c>
      <c r="C10" s="9" t="s">
        <v>376</v>
      </c>
      <c r="D10" s="9" t="s">
        <v>105</v>
      </c>
      <c r="E10" s="18" t="str">
        <f>IF($D10="","",IFERROR(INDEX(Items!$B$5:$B$597,MATCH($D10,Items!$A$5:$A$597,0)),"⚠ not in Items"))</f>
        <v>Masks</v>
      </c>
      <c r="F10" s="19" t="str">
        <f>IF($D10="","",IFERROR(INDEX(Items!$C$5:$C$597,MATCH($D10,Items!$A$5:$A$597,0)),""))</f>
        <v>One Size</v>
      </c>
      <c r="G10" s="12">
        <v>3815</v>
      </c>
      <c r="H10" s="8">
        <v>46235</v>
      </c>
      <c r="I10" s="8">
        <v>46113</v>
      </c>
      <c r="J10" s="20">
        <f>IF($D10="","",IFERROR(INDEX(Items!$D$5:$D$597,MATCH($D10,Items!$A$5:$A$597,0)),""))</f>
        <v>1.45</v>
      </c>
      <c r="K10" s="21">
        <f t="shared" si="0"/>
        <v>5531.75</v>
      </c>
    </row>
    <row r="11" spans="1:11" x14ac:dyDescent="0.35">
      <c r="A11" s="8">
        <v>46112</v>
      </c>
      <c r="B11" s="9" t="s">
        <v>843</v>
      </c>
      <c r="C11" s="9" t="s">
        <v>377</v>
      </c>
      <c r="D11" s="9" t="s">
        <v>106</v>
      </c>
      <c r="E11" s="18" t="str">
        <f>IF($D11="","",IFERROR(INDEX(Items!$B$5:$B$597,MATCH($D11,Items!$A$5:$A$597,0)),"⚠ not in Items"))</f>
        <v>Masks</v>
      </c>
      <c r="F11" s="19" t="str">
        <f>IF($D11="","",IFERROR(INDEX(Items!$C$5:$C$597,MATCH($D11,Items!$A$5:$A$597,0)),""))</f>
        <v>One Size</v>
      </c>
      <c r="G11" s="12">
        <v>17485</v>
      </c>
      <c r="H11" s="8">
        <v>46235</v>
      </c>
      <c r="I11" s="8">
        <v>46113</v>
      </c>
      <c r="J11" s="20">
        <f>IF($D11="","",IFERROR(INDEX(Items!$D$5:$D$597,MATCH($D11,Items!$A$5:$A$597,0)),""))</f>
        <v>1.45</v>
      </c>
      <c r="K11" s="21">
        <f t="shared" si="0"/>
        <v>25353.25</v>
      </c>
    </row>
    <row r="12" spans="1:11" x14ac:dyDescent="0.35">
      <c r="A12" s="8">
        <v>46112</v>
      </c>
      <c r="B12" s="9" t="s">
        <v>843</v>
      </c>
      <c r="C12" s="9" t="s">
        <v>378</v>
      </c>
      <c r="D12" s="9" t="s">
        <v>107</v>
      </c>
      <c r="E12" s="18" t="str">
        <f>IF($D12="","",IFERROR(INDEX(Items!$B$5:$B$597,MATCH($D12,Items!$A$5:$A$597,0)),"⚠ not in Items"))</f>
        <v>Masks</v>
      </c>
      <c r="F12" s="19" t="str">
        <f>IF($D12="","",IFERROR(INDEX(Items!$C$5:$C$597,MATCH($D12,Items!$A$5:$A$597,0)),""))</f>
        <v>One Size</v>
      </c>
      <c r="G12" s="12">
        <v>0</v>
      </c>
      <c r="H12" s="8">
        <v>46235</v>
      </c>
      <c r="I12" s="8">
        <v>46113</v>
      </c>
      <c r="J12" s="20">
        <f>IF($D12="","",IFERROR(INDEX(Items!$D$5:$D$597,MATCH($D12,Items!$A$5:$A$597,0)),""))</f>
        <v>1.45</v>
      </c>
      <c r="K12" s="21">
        <f t="shared" si="0"/>
        <v>0</v>
      </c>
    </row>
    <row r="13" spans="1:11" x14ac:dyDescent="0.35">
      <c r="A13" s="8">
        <v>46112</v>
      </c>
      <c r="B13" s="9" t="s">
        <v>843</v>
      </c>
      <c r="C13" s="9">
        <v>4600093677</v>
      </c>
      <c r="D13" s="9" t="s">
        <v>181</v>
      </c>
      <c r="E13" s="18" t="str">
        <f>IF($D13="","",IFERROR(INDEX(Items!$B$5:$B$597,MATCH($D13,Items!$A$5:$A$597,0)),"⚠ not in Items"))</f>
        <v>IPAC</v>
      </c>
      <c r="F13" s="19" t="str">
        <f>IF($D13="","",IFERROR(INDEX(Items!$C$5:$C$597,MATCH($D13,Items!$A$5:$A$597,0)),""))</f>
        <v>Box</v>
      </c>
      <c r="G13" s="12">
        <v>1000</v>
      </c>
      <c r="H13" s="8">
        <v>46387</v>
      </c>
      <c r="I13" s="8">
        <v>46113</v>
      </c>
      <c r="J13" s="20">
        <f>IF($D13="","",IFERROR(INDEX(Items!$D$5:$D$597,MATCH($D13,Items!$A$5:$A$597,0)),""))</f>
        <v>3.25</v>
      </c>
      <c r="K13" s="21">
        <f t="shared" si="0"/>
        <v>3250</v>
      </c>
    </row>
    <row r="14" spans="1:11" x14ac:dyDescent="0.35">
      <c r="A14" s="8">
        <v>46112</v>
      </c>
      <c r="B14" s="9" t="s">
        <v>843</v>
      </c>
      <c r="C14" s="9" t="s">
        <v>379</v>
      </c>
      <c r="D14" s="9" t="s">
        <v>183</v>
      </c>
      <c r="E14" s="18" t="str">
        <f>IF($D14="","",IFERROR(INDEX(Items!$B$5:$B$597,MATCH($D14,Items!$A$5:$A$597,0)),"⚠ not in Items"))</f>
        <v>Equipment</v>
      </c>
      <c r="F14" s="19" t="str">
        <f>IF($D14="","",IFERROR(INDEX(Items!$C$5:$C$597,MATCH($D14,Items!$A$5:$A$597,0)),""))</f>
        <v>Adult Regular</v>
      </c>
      <c r="G14" s="12">
        <v>2</v>
      </c>
      <c r="H14" s="8">
        <v>47032</v>
      </c>
      <c r="I14" s="8">
        <v>46113</v>
      </c>
      <c r="J14" s="20">
        <f>IF($D14="","",IFERROR(INDEX(Items!$D$5:$D$597,MATCH($D14,Items!$A$5:$A$597,0)),""))</f>
        <v>35</v>
      </c>
      <c r="K14" s="21">
        <f t="shared" si="0"/>
        <v>70</v>
      </c>
    </row>
    <row r="15" spans="1:11" x14ac:dyDescent="0.35">
      <c r="A15" s="8">
        <v>46112</v>
      </c>
      <c r="B15" s="9" t="s">
        <v>843</v>
      </c>
      <c r="C15" s="9" t="s">
        <v>380</v>
      </c>
      <c r="D15" s="9" t="s">
        <v>109</v>
      </c>
      <c r="E15" s="18" t="str">
        <f>IF($D15="","",IFERROR(INDEX(Items!$B$5:$B$597,MATCH($D15,Items!$A$5:$A$597,0)),"⚠ not in Items"))</f>
        <v>Masks</v>
      </c>
      <c r="F15" s="19" t="str">
        <f>IF($D15="","",IFERROR(INDEX(Items!$C$5:$C$597,MATCH($D15,Items!$A$5:$A$597,0)),""))</f>
        <v>One Size</v>
      </c>
      <c r="G15" s="12">
        <v>25</v>
      </c>
      <c r="H15" s="8">
        <v>46235</v>
      </c>
      <c r="I15" s="8">
        <v>46113</v>
      </c>
      <c r="J15" s="20">
        <f>IF($D15="","",IFERROR(INDEX(Items!$D$5:$D$597,MATCH($D15,Items!$A$5:$A$597,0)),""))</f>
        <v>1.35</v>
      </c>
      <c r="K15" s="21">
        <f t="shared" si="0"/>
        <v>33.75</v>
      </c>
    </row>
    <row r="16" spans="1:11" x14ac:dyDescent="0.35">
      <c r="A16" s="8">
        <v>46112</v>
      </c>
      <c r="B16" s="9" t="s">
        <v>843</v>
      </c>
      <c r="C16" s="9" t="s">
        <v>381</v>
      </c>
      <c r="D16" s="9" t="s">
        <v>168</v>
      </c>
      <c r="E16" s="18" t="str">
        <f>IF($D16="","",IFERROR(INDEX(Items!$B$5:$B$597,MATCH($D16,Items!$A$5:$A$597,0)),"⚠ not in Items"))</f>
        <v>PPE</v>
      </c>
      <c r="F16" s="19" t="str">
        <f>IF($D16="","",IFERROR(INDEX(Items!$C$5:$C$597,MATCH($D16,Items!$A$5:$A$597,0)),""))</f>
        <v>Large</v>
      </c>
      <c r="G16" s="12">
        <v>0</v>
      </c>
      <c r="H16" s="8">
        <v>47386</v>
      </c>
      <c r="I16" s="8">
        <v>46113</v>
      </c>
      <c r="J16" s="20">
        <f>IF($D16="","",IFERROR(INDEX(Items!$D$5:$D$597,MATCH($D16,Items!$A$5:$A$597,0)),""))</f>
        <v>145.97999999999999</v>
      </c>
      <c r="K16" s="21">
        <f t="shared" si="0"/>
        <v>0</v>
      </c>
    </row>
    <row r="17" spans="1:11" x14ac:dyDescent="0.35">
      <c r="A17" s="8">
        <v>46112</v>
      </c>
      <c r="B17" s="9" t="s">
        <v>843</v>
      </c>
      <c r="C17" s="9" t="s">
        <v>382</v>
      </c>
      <c r="D17" s="9" t="s">
        <v>167</v>
      </c>
      <c r="E17" s="18" t="str">
        <f>IF($D17="","",IFERROR(INDEX(Items!$B$5:$B$597,MATCH($D17,Items!$A$5:$A$597,0)),"⚠ not in Items"))</f>
        <v>PPE</v>
      </c>
      <c r="F17" s="19" t="str">
        <f>IF($D17="","",IFERROR(INDEX(Items!$C$5:$C$597,MATCH($D17,Items!$A$5:$A$597,0)),""))</f>
        <v>Medium</v>
      </c>
      <c r="G17" s="12">
        <v>0</v>
      </c>
      <c r="H17" s="8">
        <v>47386</v>
      </c>
      <c r="I17" s="8">
        <v>46113</v>
      </c>
      <c r="J17" s="20">
        <f>IF($D17="","",IFERROR(INDEX(Items!$D$5:$D$597,MATCH($D17,Items!$A$5:$A$597,0)),""))</f>
        <v>145.97999999999999</v>
      </c>
      <c r="K17" s="21">
        <f t="shared" si="0"/>
        <v>0</v>
      </c>
    </row>
    <row r="18" spans="1:11" x14ac:dyDescent="0.35">
      <c r="A18" s="8">
        <v>46112</v>
      </c>
      <c r="B18" s="9" t="s">
        <v>843</v>
      </c>
      <c r="C18" s="9" t="s">
        <v>383</v>
      </c>
      <c r="D18" s="9" t="s">
        <v>166</v>
      </c>
      <c r="E18" s="18" t="str">
        <f>IF($D18="","",IFERROR(INDEX(Items!$B$5:$B$597,MATCH($D18,Items!$A$5:$A$597,0)),"⚠ not in Items"))</f>
        <v>PPE</v>
      </c>
      <c r="F18" s="19" t="str">
        <f>IF($D18="","",IFERROR(INDEX(Items!$C$5:$C$597,MATCH($D18,Items!$A$5:$A$597,0)),""))</f>
        <v>Small</v>
      </c>
      <c r="G18" s="12">
        <v>0</v>
      </c>
      <c r="H18" s="8">
        <v>47386</v>
      </c>
      <c r="I18" s="8">
        <v>46113</v>
      </c>
      <c r="J18" s="20">
        <f>IF($D18="","",IFERROR(INDEX(Items!$D$5:$D$597,MATCH($D18,Items!$A$5:$A$597,0)),""))</f>
        <v>145.97999999999999</v>
      </c>
      <c r="K18" s="21">
        <f t="shared" si="0"/>
        <v>0</v>
      </c>
    </row>
    <row r="19" spans="1:11" x14ac:dyDescent="0.35">
      <c r="A19" s="8">
        <v>46112</v>
      </c>
      <c r="B19" s="9" t="s">
        <v>843</v>
      </c>
      <c r="C19" s="9" t="s">
        <v>384</v>
      </c>
      <c r="D19" s="9" t="s">
        <v>169</v>
      </c>
      <c r="E19" s="18" t="str">
        <f>IF($D19="","",IFERROR(INDEX(Items!$B$5:$B$597,MATCH($D19,Items!$A$5:$A$597,0)),"⚠ not in Items"))</f>
        <v>PPE</v>
      </c>
      <c r="F19" s="19" t="str">
        <f>IF($D19="","",IFERROR(INDEX(Items!$C$5:$C$597,MATCH($D19,Items!$A$5:$A$597,0)),""))</f>
        <v>X-Large</v>
      </c>
      <c r="G19" s="12">
        <v>0</v>
      </c>
      <c r="H19" s="8">
        <v>47386</v>
      </c>
      <c r="I19" s="8">
        <v>46113</v>
      </c>
      <c r="J19" s="20">
        <f>IF($D19="","",IFERROR(INDEX(Items!$D$5:$D$597,MATCH($D19,Items!$A$5:$A$597,0)),""))</f>
        <v>145.97999999999999</v>
      </c>
      <c r="K19" s="21">
        <f t="shared" si="0"/>
        <v>0</v>
      </c>
    </row>
    <row r="20" spans="1:11" x14ac:dyDescent="0.35">
      <c r="A20" s="8">
        <v>46112</v>
      </c>
      <c r="B20" s="9" t="s">
        <v>843</v>
      </c>
      <c r="C20" s="9" t="s">
        <v>385</v>
      </c>
      <c r="D20" s="9" t="s">
        <v>177</v>
      </c>
      <c r="E20" s="18" t="str">
        <f>IF($D20="","",IFERROR(INDEX(Items!$B$5:$B$597,MATCH($D20,Items!$A$5:$A$597,0)),"⚠ not in Items"))</f>
        <v>Forms</v>
      </c>
      <c r="F20" s="19" t="str">
        <f>IF($D20="","",IFERROR(INDEX(Items!$C$5:$C$597,MATCH($D20,Items!$A$5:$A$597,0)),""))</f>
        <v>Standard</v>
      </c>
      <c r="G20" s="12">
        <v>153</v>
      </c>
      <c r="H20" s="8">
        <v>47046</v>
      </c>
      <c r="I20" s="8">
        <v>46113</v>
      </c>
      <c r="J20" s="20">
        <f>IF($D20="","",IFERROR(INDEX(Items!$D$5:$D$597,MATCH($D20,Items!$A$5:$A$597,0)),""))</f>
        <v>0</v>
      </c>
      <c r="K20" s="21">
        <f t="shared" si="0"/>
        <v>0</v>
      </c>
    </row>
    <row r="21" spans="1:11" x14ac:dyDescent="0.35">
      <c r="A21" s="8">
        <v>46112</v>
      </c>
      <c r="B21" s="9" t="s">
        <v>843</v>
      </c>
      <c r="C21" s="9" t="s">
        <v>386</v>
      </c>
      <c r="D21" s="9" t="s">
        <v>115</v>
      </c>
      <c r="E21" s="18" t="str">
        <f>IF($D21="","",IFERROR(INDEX(Items!$B$5:$B$597,MATCH($D21,Items!$A$5:$A$597,0)),"⚠ not in Items"))</f>
        <v>Wipes</v>
      </c>
      <c r="F21" s="19">
        <f>IF($D21="","",IFERROR(INDEX(Items!$C$5:$C$597,MATCH($D21,Items!$A$5:$A$597,0)),""))</f>
        <v>80</v>
      </c>
      <c r="G21" s="12">
        <v>192080</v>
      </c>
      <c r="H21" s="8">
        <v>47046</v>
      </c>
      <c r="I21" s="8">
        <v>46113</v>
      </c>
      <c r="J21" s="20">
        <f>IF($D21="","",IFERROR(INDEX(Items!$D$5:$D$597,MATCH($D21,Items!$A$5:$A$597,0)),""))</f>
        <v>0.1</v>
      </c>
      <c r="K21" s="21">
        <f t="shared" si="0"/>
        <v>19208</v>
      </c>
    </row>
    <row r="22" spans="1:11" x14ac:dyDescent="0.35">
      <c r="A22" s="8">
        <v>46112</v>
      </c>
      <c r="B22" s="9" t="s">
        <v>843</v>
      </c>
      <c r="C22" s="9" t="s">
        <v>387</v>
      </c>
      <c r="D22" s="9" t="s">
        <v>179</v>
      </c>
      <c r="E22" s="18" t="str">
        <f>IF($D22="","",IFERROR(INDEX(Items!$B$5:$B$597,MATCH($D22,Items!$A$5:$A$597,0)),"⚠ not in Items"))</f>
        <v>Forms</v>
      </c>
      <c r="F22" s="19" t="str">
        <f>IF($D22="","",IFERROR(INDEX(Items!$C$5:$C$597,MATCH($D22,Items!$A$5:$A$597,0)),""))</f>
        <v>Standard</v>
      </c>
      <c r="G22" s="12">
        <v>85</v>
      </c>
      <c r="H22" s="8">
        <v>47046</v>
      </c>
      <c r="I22" s="8">
        <v>46113</v>
      </c>
      <c r="J22" s="20">
        <f>IF($D22="","",IFERROR(INDEX(Items!$D$5:$D$597,MATCH($D22,Items!$A$5:$A$597,0)),""))</f>
        <v>0</v>
      </c>
      <c r="K22" s="21">
        <f t="shared" si="0"/>
        <v>0</v>
      </c>
    </row>
    <row r="23" spans="1:11" x14ac:dyDescent="0.35">
      <c r="A23" s="8">
        <v>46112</v>
      </c>
      <c r="B23" s="9" t="s">
        <v>843</v>
      </c>
      <c r="C23" s="9">
        <v>50037</v>
      </c>
      <c r="D23" s="9" t="s">
        <v>119</v>
      </c>
      <c r="E23" s="18" t="str">
        <f>IF($D23="","",IFERROR(INDEX(Items!$B$5:$B$597,MATCH($D23,Items!$A$5:$A$597,0)),"⚠ not in Items"))</f>
        <v>Drug</v>
      </c>
      <c r="F23" s="19" t="str">
        <f>IF($D23="","",IFERROR(INDEX(Items!$C$5:$C$597,MATCH($D23,Items!$A$5:$A$597,0)),""))</f>
        <v>1 Amp</v>
      </c>
      <c r="G23" s="12">
        <v>48</v>
      </c>
      <c r="H23" s="8">
        <v>46538</v>
      </c>
      <c r="I23" s="8">
        <v>46113</v>
      </c>
      <c r="J23" s="20">
        <f>IF($D23="","",IFERROR(INDEX(Items!$D$5:$D$597,MATCH($D23,Items!$A$5:$A$597,0)),""))</f>
        <v>5.9</v>
      </c>
      <c r="K23" s="21">
        <f t="shared" si="0"/>
        <v>283.20000000000005</v>
      </c>
    </row>
    <row r="24" spans="1:11" x14ac:dyDescent="0.35">
      <c r="A24" s="8">
        <v>46112</v>
      </c>
      <c r="B24" s="9" t="s">
        <v>843</v>
      </c>
      <c r="C24" s="9" t="s">
        <v>388</v>
      </c>
      <c r="D24" s="9" t="s">
        <v>119</v>
      </c>
      <c r="E24" s="18" t="str">
        <f>IF($D24="","",IFERROR(INDEX(Items!$B$5:$B$597,MATCH($D24,Items!$A$5:$A$597,0)),"⚠ not in Items"))</f>
        <v>Drug</v>
      </c>
      <c r="F24" s="19" t="str">
        <f>IF($D24="","",IFERROR(INDEX(Items!$C$5:$C$597,MATCH($D24,Items!$A$5:$A$597,0)),""))</f>
        <v>1 Amp</v>
      </c>
      <c r="G24" s="12">
        <v>0</v>
      </c>
      <c r="H24" s="8">
        <v>46022</v>
      </c>
      <c r="I24" s="8">
        <v>46113</v>
      </c>
      <c r="J24" s="20">
        <f>IF($D24="","",IFERROR(INDEX(Items!$D$5:$D$597,MATCH($D24,Items!$A$5:$A$597,0)),""))</f>
        <v>5.9</v>
      </c>
      <c r="K24" s="21">
        <f t="shared" si="0"/>
        <v>0</v>
      </c>
    </row>
    <row r="25" spans="1:11" x14ac:dyDescent="0.35">
      <c r="A25" s="8">
        <v>46112</v>
      </c>
      <c r="B25" s="9" t="s">
        <v>843</v>
      </c>
      <c r="C25" s="9" t="s">
        <v>389</v>
      </c>
      <c r="D25" s="9" t="s">
        <v>124</v>
      </c>
      <c r="E25" s="18" t="str">
        <f>IF($D25="","",IFERROR(INDEX(Items!$B$5:$B$597,MATCH($D25,Items!$A$5:$A$597,0)),"⚠ not in Items"))</f>
        <v>Gloves</v>
      </c>
      <c r="F25" s="19" t="str">
        <f>IF($D25="","",IFERROR(INDEX(Items!$C$5:$C$597,MATCH($D25,Items!$A$5:$A$597,0)),""))</f>
        <v>Large</v>
      </c>
      <c r="G25" s="12">
        <v>2000</v>
      </c>
      <c r="H25" s="8">
        <v>46285</v>
      </c>
      <c r="I25" s="8">
        <v>46113</v>
      </c>
      <c r="J25" s="20">
        <f>IF($D25="","",IFERROR(INDEX(Items!$D$5:$D$597,MATCH($D25,Items!$A$5:$A$597,0)),""))</f>
        <v>5.5E-2</v>
      </c>
      <c r="K25" s="21">
        <f t="shared" si="0"/>
        <v>110</v>
      </c>
    </row>
    <row r="26" spans="1:11" x14ac:dyDescent="0.35">
      <c r="A26" s="8">
        <v>46112</v>
      </c>
      <c r="B26" s="9" t="s">
        <v>843</v>
      </c>
      <c r="C26" s="9" t="s">
        <v>390</v>
      </c>
      <c r="D26" s="9" t="s">
        <v>124</v>
      </c>
      <c r="E26" s="18" t="str">
        <f>IF($D26="","",IFERROR(INDEX(Items!$B$5:$B$597,MATCH($D26,Items!$A$5:$A$597,0)),"⚠ not in Items"))</f>
        <v>Gloves</v>
      </c>
      <c r="F26" s="19" t="str">
        <f>IF($D26="","",IFERROR(INDEX(Items!$C$5:$C$597,MATCH($D26,Items!$A$5:$A$597,0)),""))</f>
        <v>Large</v>
      </c>
      <c r="G26" s="12">
        <v>7500</v>
      </c>
      <c r="H26" s="8">
        <v>46292</v>
      </c>
      <c r="I26" s="8">
        <v>46113</v>
      </c>
      <c r="J26" s="20">
        <f>IF($D26="","",IFERROR(INDEX(Items!$D$5:$D$597,MATCH($D26,Items!$A$5:$A$597,0)),""))</f>
        <v>5.5E-2</v>
      </c>
      <c r="K26" s="21">
        <f t="shared" si="0"/>
        <v>412.5</v>
      </c>
    </row>
    <row r="27" spans="1:11" x14ac:dyDescent="0.35">
      <c r="A27" s="8">
        <v>46112</v>
      </c>
      <c r="B27" s="9" t="s">
        <v>843</v>
      </c>
      <c r="C27" s="9" t="s">
        <v>391</v>
      </c>
      <c r="D27" s="9" t="s">
        <v>124</v>
      </c>
      <c r="E27" s="18" t="str">
        <f>IF($D27="","",IFERROR(INDEX(Items!$B$5:$B$597,MATCH($D27,Items!$A$5:$A$597,0)),"⚠ not in Items"))</f>
        <v>Gloves</v>
      </c>
      <c r="F27" s="19" t="str">
        <f>IF($D27="","",IFERROR(INDEX(Items!$C$5:$C$597,MATCH($D27,Items!$A$5:$A$597,0)),""))</f>
        <v>Large</v>
      </c>
      <c r="G27" s="12">
        <v>0</v>
      </c>
      <c r="H27" s="8">
        <v>46135</v>
      </c>
      <c r="I27" s="8">
        <v>46113</v>
      </c>
      <c r="J27" s="20">
        <f>IF($D27="","",IFERROR(INDEX(Items!$D$5:$D$597,MATCH($D27,Items!$A$5:$A$597,0)),""))</f>
        <v>5.5E-2</v>
      </c>
      <c r="K27" s="21">
        <f t="shared" si="0"/>
        <v>0</v>
      </c>
    </row>
    <row r="28" spans="1:11" x14ac:dyDescent="0.35">
      <c r="A28" s="8">
        <v>46112</v>
      </c>
      <c r="B28" s="9" t="s">
        <v>843</v>
      </c>
      <c r="C28" s="9" t="s">
        <v>392</v>
      </c>
      <c r="D28" s="9" t="s">
        <v>124</v>
      </c>
      <c r="E28" s="18" t="str">
        <f>IF($D28="","",IFERROR(INDEX(Items!$B$5:$B$597,MATCH($D28,Items!$A$5:$A$597,0)),"⚠ not in Items"))</f>
        <v>Gloves</v>
      </c>
      <c r="F28" s="19" t="str">
        <f>IF($D28="","",IFERROR(INDEX(Items!$C$5:$C$597,MATCH($D28,Items!$A$5:$A$597,0)),""))</f>
        <v>Large</v>
      </c>
      <c r="G28" s="12">
        <v>0</v>
      </c>
      <c r="H28" s="8">
        <v>46159</v>
      </c>
      <c r="I28" s="8">
        <v>46113</v>
      </c>
      <c r="J28" s="20">
        <f>IF($D28="","",IFERROR(INDEX(Items!$D$5:$D$597,MATCH($D28,Items!$A$5:$A$597,0)),""))</f>
        <v>5.5E-2</v>
      </c>
      <c r="K28" s="21">
        <f t="shared" si="0"/>
        <v>0</v>
      </c>
    </row>
    <row r="29" spans="1:11" x14ac:dyDescent="0.35">
      <c r="A29" s="8">
        <v>46112</v>
      </c>
      <c r="B29" s="9" t="s">
        <v>843</v>
      </c>
      <c r="C29" s="9" t="s">
        <v>393</v>
      </c>
      <c r="D29" s="9" t="s">
        <v>124</v>
      </c>
      <c r="E29" s="18" t="str">
        <f>IF($D29="","",IFERROR(INDEX(Items!$B$5:$B$597,MATCH($D29,Items!$A$5:$A$597,0)),"⚠ not in Items"))</f>
        <v>Gloves</v>
      </c>
      <c r="F29" s="19" t="str">
        <f>IF($D29="","",IFERROR(INDEX(Items!$C$5:$C$597,MATCH($D29,Items!$A$5:$A$597,0)),""))</f>
        <v>Large</v>
      </c>
      <c r="G29" s="12">
        <v>0</v>
      </c>
      <c r="H29" s="8">
        <v>46162</v>
      </c>
      <c r="I29" s="8">
        <v>46113</v>
      </c>
      <c r="J29" s="20">
        <f>IF($D29="","",IFERROR(INDEX(Items!$D$5:$D$597,MATCH($D29,Items!$A$5:$A$597,0)),""))</f>
        <v>5.5E-2</v>
      </c>
      <c r="K29" s="21">
        <f t="shared" si="0"/>
        <v>0</v>
      </c>
    </row>
    <row r="30" spans="1:11" x14ac:dyDescent="0.35">
      <c r="A30" s="8">
        <v>46112</v>
      </c>
      <c r="B30" s="9" t="s">
        <v>843</v>
      </c>
      <c r="C30" s="9" t="s">
        <v>394</v>
      </c>
      <c r="D30" s="9" t="s">
        <v>124</v>
      </c>
      <c r="E30" s="18" t="str">
        <f>IF($D30="","",IFERROR(INDEX(Items!$B$5:$B$597,MATCH($D30,Items!$A$5:$A$597,0)),"⚠ not in Items"))</f>
        <v>Gloves</v>
      </c>
      <c r="F30" s="19" t="str">
        <f>IF($D30="","",IFERROR(INDEX(Items!$C$5:$C$597,MATCH($D30,Items!$A$5:$A$597,0)),""))</f>
        <v>Large</v>
      </c>
      <c r="G30" s="12">
        <v>0</v>
      </c>
      <c r="H30" s="8">
        <v>46162</v>
      </c>
      <c r="I30" s="8">
        <v>46113</v>
      </c>
      <c r="J30" s="20">
        <f>IF($D30="","",IFERROR(INDEX(Items!$D$5:$D$597,MATCH($D30,Items!$A$5:$A$597,0)),""))</f>
        <v>5.5E-2</v>
      </c>
      <c r="K30" s="21">
        <f t="shared" si="0"/>
        <v>0</v>
      </c>
    </row>
    <row r="31" spans="1:11" x14ac:dyDescent="0.35">
      <c r="A31" s="8">
        <v>46112</v>
      </c>
      <c r="B31" s="9" t="s">
        <v>843</v>
      </c>
      <c r="C31" s="9" t="s">
        <v>395</v>
      </c>
      <c r="D31" s="9" t="s">
        <v>124</v>
      </c>
      <c r="E31" s="18" t="str">
        <f>IF($D31="","",IFERROR(INDEX(Items!$B$5:$B$597,MATCH($D31,Items!$A$5:$A$597,0)),"⚠ not in Items"))</f>
        <v>Gloves</v>
      </c>
      <c r="F31" s="19" t="str">
        <f>IF($D31="","",IFERROR(INDEX(Items!$C$5:$C$597,MATCH($D31,Items!$A$5:$A$597,0)),""))</f>
        <v>Large</v>
      </c>
      <c r="G31" s="12">
        <v>0</v>
      </c>
      <c r="H31" s="8">
        <v>46188</v>
      </c>
      <c r="I31" s="8">
        <v>46113</v>
      </c>
      <c r="J31" s="20">
        <f>IF($D31="","",IFERROR(INDEX(Items!$D$5:$D$597,MATCH($D31,Items!$A$5:$A$597,0)),""))</f>
        <v>5.5E-2</v>
      </c>
      <c r="K31" s="21">
        <f t="shared" si="0"/>
        <v>0</v>
      </c>
    </row>
    <row r="32" spans="1:11" x14ac:dyDescent="0.35">
      <c r="A32" s="8">
        <v>46112</v>
      </c>
      <c r="B32" s="9" t="s">
        <v>843</v>
      </c>
      <c r="C32" s="9" t="s">
        <v>396</v>
      </c>
      <c r="D32" s="9" t="s">
        <v>124</v>
      </c>
      <c r="E32" s="18" t="str">
        <f>IF($D32="","",IFERROR(INDEX(Items!$B$5:$B$597,MATCH($D32,Items!$A$5:$A$597,0)),"⚠ not in Items"))</f>
        <v>Gloves</v>
      </c>
      <c r="F32" s="19" t="str">
        <f>IF($D32="","",IFERROR(INDEX(Items!$C$5:$C$597,MATCH($D32,Items!$A$5:$A$597,0)),""))</f>
        <v>Large</v>
      </c>
      <c r="G32" s="12">
        <v>0</v>
      </c>
      <c r="H32" s="8">
        <v>46179</v>
      </c>
      <c r="I32" s="8">
        <v>46113</v>
      </c>
      <c r="J32" s="20">
        <f>IF($D32="","",IFERROR(INDEX(Items!$D$5:$D$597,MATCH($D32,Items!$A$5:$A$597,0)),""))</f>
        <v>5.5E-2</v>
      </c>
      <c r="K32" s="21">
        <f t="shared" si="0"/>
        <v>0</v>
      </c>
    </row>
    <row r="33" spans="1:11" x14ac:dyDescent="0.35">
      <c r="A33" s="8">
        <v>46112</v>
      </c>
      <c r="B33" s="9" t="s">
        <v>843</v>
      </c>
      <c r="C33" s="9" t="s">
        <v>397</v>
      </c>
      <c r="D33" s="9" t="s">
        <v>124</v>
      </c>
      <c r="E33" s="18" t="str">
        <f>IF($D33="","",IFERROR(INDEX(Items!$B$5:$B$597,MATCH($D33,Items!$A$5:$A$597,0)),"⚠ not in Items"))</f>
        <v>Gloves</v>
      </c>
      <c r="F33" s="19" t="str">
        <f>IF($D33="","",IFERROR(INDEX(Items!$C$5:$C$597,MATCH($D33,Items!$A$5:$A$597,0)),""))</f>
        <v>Large</v>
      </c>
      <c r="G33" s="12">
        <v>0</v>
      </c>
      <c r="H33" s="8">
        <v>46216</v>
      </c>
      <c r="I33" s="8">
        <v>46113</v>
      </c>
      <c r="J33" s="20">
        <f>IF($D33="","",IFERROR(INDEX(Items!$D$5:$D$597,MATCH($D33,Items!$A$5:$A$597,0)),""))</f>
        <v>5.5E-2</v>
      </c>
      <c r="K33" s="21">
        <f t="shared" si="0"/>
        <v>0</v>
      </c>
    </row>
    <row r="34" spans="1:11" x14ac:dyDescent="0.35">
      <c r="A34" s="8">
        <v>46112</v>
      </c>
      <c r="B34" s="9" t="s">
        <v>843</v>
      </c>
      <c r="C34" s="9" t="s">
        <v>398</v>
      </c>
      <c r="D34" s="9" t="s">
        <v>124</v>
      </c>
      <c r="E34" s="18" t="str">
        <f>IF($D34="","",IFERROR(INDEX(Items!$B$5:$B$597,MATCH($D34,Items!$A$5:$A$597,0)),"⚠ not in Items"))</f>
        <v>Gloves</v>
      </c>
      <c r="F34" s="19" t="str">
        <f>IF($D34="","",IFERROR(INDEX(Items!$C$5:$C$597,MATCH($D34,Items!$A$5:$A$597,0)),""))</f>
        <v>Large</v>
      </c>
      <c r="G34" s="12">
        <v>0</v>
      </c>
      <c r="H34" s="8">
        <v>46223</v>
      </c>
      <c r="I34" s="8">
        <v>46113</v>
      </c>
      <c r="J34" s="20">
        <f>IF($D34="","",IFERROR(INDEX(Items!$D$5:$D$597,MATCH($D34,Items!$A$5:$A$597,0)),""))</f>
        <v>5.5E-2</v>
      </c>
      <c r="K34" s="21">
        <f t="shared" si="0"/>
        <v>0</v>
      </c>
    </row>
    <row r="35" spans="1:11" x14ac:dyDescent="0.35">
      <c r="A35" s="8">
        <v>46112</v>
      </c>
      <c r="B35" s="9" t="s">
        <v>843</v>
      </c>
      <c r="C35" s="9" t="s">
        <v>399</v>
      </c>
      <c r="D35" s="9" t="s">
        <v>124</v>
      </c>
      <c r="E35" s="18" t="str">
        <f>IF($D35="","",IFERROR(INDEX(Items!$B$5:$B$597,MATCH($D35,Items!$A$5:$A$597,0)),"⚠ not in Items"))</f>
        <v>Gloves</v>
      </c>
      <c r="F35" s="19" t="str">
        <f>IF($D35="","",IFERROR(INDEX(Items!$C$5:$C$597,MATCH($D35,Items!$A$5:$A$597,0)),""))</f>
        <v>Large</v>
      </c>
      <c r="G35" s="12">
        <v>0</v>
      </c>
      <c r="H35" s="8">
        <v>46244</v>
      </c>
      <c r="I35" s="8">
        <v>46113</v>
      </c>
      <c r="J35" s="20">
        <f>IF($D35="","",IFERROR(INDEX(Items!$D$5:$D$597,MATCH($D35,Items!$A$5:$A$597,0)),""))</f>
        <v>5.5E-2</v>
      </c>
      <c r="K35" s="21">
        <f t="shared" si="0"/>
        <v>0</v>
      </c>
    </row>
    <row r="36" spans="1:11" x14ac:dyDescent="0.35">
      <c r="A36" s="8">
        <v>46112</v>
      </c>
      <c r="B36" s="9" t="s">
        <v>843</v>
      </c>
      <c r="C36" s="9" t="s">
        <v>400</v>
      </c>
      <c r="D36" s="9" t="s">
        <v>124</v>
      </c>
      <c r="E36" s="18" t="str">
        <f>IF($D36="","",IFERROR(INDEX(Items!$B$5:$B$597,MATCH($D36,Items!$A$5:$A$597,0)),"⚠ not in Items"))</f>
        <v>Gloves</v>
      </c>
      <c r="F36" s="19" t="str">
        <f>IF($D36="","",IFERROR(INDEX(Items!$C$5:$C$597,MATCH($D36,Items!$A$5:$A$597,0)),""))</f>
        <v>Large</v>
      </c>
      <c r="G36" s="12">
        <v>0</v>
      </c>
      <c r="H36" s="8">
        <v>46252</v>
      </c>
      <c r="I36" s="8">
        <v>46113</v>
      </c>
      <c r="J36" s="20">
        <f>IF($D36="","",IFERROR(INDEX(Items!$D$5:$D$597,MATCH($D36,Items!$A$5:$A$597,0)),""))</f>
        <v>5.5E-2</v>
      </c>
      <c r="K36" s="21">
        <f t="shared" si="0"/>
        <v>0</v>
      </c>
    </row>
    <row r="37" spans="1:11" x14ac:dyDescent="0.35">
      <c r="A37" s="8">
        <v>46112</v>
      </c>
      <c r="B37" s="9" t="s">
        <v>843</v>
      </c>
      <c r="C37" s="9" t="s">
        <v>401</v>
      </c>
      <c r="D37" s="9" t="s">
        <v>124</v>
      </c>
      <c r="E37" s="18" t="str">
        <f>IF($D37="","",IFERROR(INDEX(Items!$B$5:$B$597,MATCH($D37,Items!$A$5:$A$597,0)),"⚠ not in Items"))</f>
        <v>Gloves</v>
      </c>
      <c r="F37" s="19" t="str">
        <f>IF($D37="","",IFERROR(INDEX(Items!$C$5:$C$597,MATCH($D37,Items!$A$5:$A$597,0)),""))</f>
        <v>Large</v>
      </c>
      <c r="G37" s="12">
        <v>0</v>
      </c>
      <c r="H37" s="8">
        <v>46261</v>
      </c>
      <c r="I37" s="8">
        <v>46113</v>
      </c>
      <c r="J37" s="20">
        <f>IF($D37="","",IFERROR(INDEX(Items!$D$5:$D$597,MATCH($D37,Items!$A$5:$A$597,0)),""))</f>
        <v>5.5E-2</v>
      </c>
      <c r="K37" s="21">
        <f t="shared" si="0"/>
        <v>0</v>
      </c>
    </row>
    <row r="38" spans="1:11" x14ac:dyDescent="0.35">
      <c r="A38" s="8">
        <v>46112</v>
      </c>
      <c r="B38" s="9" t="s">
        <v>843</v>
      </c>
      <c r="C38" s="9" t="s">
        <v>402</v>
      </c>
      <c r="D38" s="9" t="s">
        <v>124</v>
      </c>
      <c r="E38" s="18" t="str">
        <f>IF($D38="","",IFERROR(INDEX(Items!$B$5:$B$597,MATCH($D38,Items!$A$5:$A$597,0)),"⚠ not in Items"))</f>
        <v>Gloves</v>
      </c>
      <c r="F38" s="19" t="str">
        <f>IF($D38="","",IFERROR(INDEX(Items!$C$5:$C$597,MATCH($D38,Items!$A$5:$A$597,0)),""))</f>
        <v>Large</v>
      </c>
      <c r="G38" s="12">
        <v>5000</v>
      </c>
      <c r="H38" s="8">
        <v>46275</v>
      </c>
      <c r="I38" s="8">
        <v>46113</v>
      </c>
      <c r="J38" s="20">
        <f>IF($D38="","",IFERROR(INDEX(Items!$D$5:$D$597,MATCH($D38,Items!$A$5:$A$597,0)),""))</f>
        <v>5.5E-2</v>
      </c>
      <c r="K38" s="21">
        <f t="shared" si="0"/>
        <v>275</v>
      </c>
    </row>
    <row r="39" spans="1:11" x14ac:dyDescent="0.35">
      <c r="A39" s="8">
        <v>46112</v>
      </c>
      <c r="B39" s="9" t="s">
        <v>843</v>
      </c>
      <c r="C39" s="9" t="s">
        <v>403</v>
      </c>
      <c r="D39" s="9" t="s">
        <v>124</v>
      </c>
      <c r="E39" s="18" t="str">
        <f>IF($D39="","",IFERROR(INDEX(Items!$B$5:$B$597,MATCH($D39,Items!$A$5:$A$597,0)),"⚠ not in Items"))</f>
        <v>Gloves</v>
      </c>
      <c r="F39" s="19" t="str">
        <f>IF($D39="","",IFERROR(INDEX(Items!$C$5:$C$597,MATCH($D39,Items!$A$5:$A$597,0)),""))</f>
        <v>Large</v>
      </c>
      <c r="G39" s="12">
        <v>0</v>
      </c>
      <c r="H39" s="8">
        <v>46229</v>
      </c>
      <c r="I39" s="8">
        <v>46113</v>
      </c>
      <c r="J39" s="20">
        <f>IF($D39="","",IFERROR(INDEX(Items!$D$5:$D$597,MATCH($D39,Items!$A$5:$A$597,0)),""))</f>
        <v>5.5E-2</v>
      </c>
      <c r="K39" s="21">
        <f t="shared" si="0"/>
        <v>0</v>
      </c>
    </row>
    <row r="40" spans="1:11" x14ac:dyDescent="0.35">
      <c r="A40" s="8">
        <v>46112</v>
      </c>
      <c r="B40" s="9" t="s">
        <v>843</v>
      </c>
      <c r="C40" s="9" t="s">
        <v>404</v>
      </c>
      <c r="D40" s="9" t="s">
        <v>124</v>
      </c>
      <c r="E40" s="18" t="str">
        <f>IF($D40="","",IFERROR(INDEX(Items!$B$5:$B$597,MATCH($D40,Items!$A$5:$A$597,0)),"⚠ not in Items"))</f>
        <v>Gloves</v>
      </c>
      <c r="F40" s="19" t="str">
        <f>IF($D40="","",IFERROR(INDEX(Items!$C$5:$C$597,MATCH($D40,Items!$A$5:$A$597,0)),""))</f>
        <v>Large</v>
      </c>
      <c r="G40" s="12">
        <v>250</v>
      </c>
      <c r="H40" s="8">
        <v>46270</v>
      </c>
      <c r="I40" s="8">
        <v>46113</v>
      </c>
      <c r="J40" s="20">
        <f>IF($D40="","",IFERROR(INDEX(Items!$D$5:$D$597,MATCH($D40,Items!$A$5:$A$597,0)),""))</f>
        <v>5.5E-2</v>
      </c>
      <c r="K40" s="21">
        <f t="shared" si="0"/>
        <v>13.75</v>
      </c>
    </row>
    <row r="41" spans="1:11" x14ac:dyDescent="0.35">
      <c r="A41" s="8">
        <v>46112</v>
      </c>
      <c r="B41" s="9" t="s">
        <v>843</v>
      </c>
      <c r="C41" s="9" t="s">
        <v>405</v>
      </c>
      <c r="D41" s="9" t="s">
        <v>124</v>
      </c>
      <c r="E41" s="18" t="str">
        <f>IF($D41="","",IFERROR(INDEX(Items!$B$5:$B$597,MATCH($D41,Items!$A$5:$A$597,0)),"⚠ not in Items"))</f>
        <v>Gloves</v>
      </c>
      <c r="F41" s="19" t="str">
        <f>IF($D41="","",IFERROR(INDEX(Items!$C$5:$C$597,MATCH($D41,Items!$A$5:$A$597,0)),""))</f>
        <v>Large</v>
      </c>
      <c r="G41" s="12">
        <v>5000</v>
      </c>
      <c r="H41" s="8">
        <v>46283</v>
      </c>
      <c r="I41" s="8">
        <v>46113</v>
      </c>
      <c r="J41" s="20">
        <f>IF($D41="","",IFERROR(INDEX(Items!$D$5:$D$597,MATCH($D41,Items!$A$5:$A$597,0)),""))</f>
        <v>5.5E-2</v>
      </c>
      <c r="K41" s="21">
        <f t="shared" si="0"/>
        <v>275</v>
      </c>
    </row>
    <row r="42" spans="1:11" x14ac:dyDescent="0.35">
      <c r="A42" s="8">
        <v>46112</v>
      </c>
      <c r="B42" s="9" t="s">
        <v>843</v>
      </c>
      <c r="C42" s="9" t="s">
        <v>406</v>
      </c>
      <c r="D42" s="9" t="s">
        <v>124</v>
      </c>
      <c r="E42" s="18" t="str">
        <f>IF($D42="","",IFERROR(INDEX(Items!$B$5:$B$597,MATCH($D42,Items!$A$5:$A$597,0)),"⚠ not in Items"))</f>
        <v>Gloves</v>
      </c>
      <c r="F42" s="19" t="str">
        <f>IF($D42="","",IFERROR(INDEX(Items!$C$5:$C$597,MATCH($D42,Items!$A$5:$A$597,0)),""))</f>
        <v>Large</v>
      </c>
      <c r="G42" s="12">
        <v>5000</v>
      </c>
      <c r="H42" s="8">
        <v>46289</v>
      </c>
      <c r="I42" s="8">
        <v>46113</v>
      </c>
      <c r="J42" s="20">
        <f>IF($D42="","",IFERROR(INDEX(Items!$D$5:$D$597,MATCH($D42,Items!$A$5:$A$597,0)),""))</f>
        <v>5.5E-2</v>
      </c>
      <c r="K42" s="21">
        <f t="shared" si="0"/>
        <v>275</v>
      </c>
    </row>
    <row r="43" spans="1:11" x14ac:dyDescent="0.35">
      <c r="A43" s="8">
        <v>46112</v>
      </c>
      <c r="B43" s="9" t="s">
        <v>843</v>
      </c>
      <c r="C43" s="9" t="s">
        <v>427</v>
      </c>
      <c r="D43" s="9" t="s">
        <v>127</v>
      </c>
      <c r="E43" s="18" t="str">
        <f>IF($D43="","",IFERROR(INDEX(Items!$B$5:$B$597,MATCH($D43,Items!$A$5:$A$597,0)),"⚠ not in Items"))</f>
        <v>Gloves</v>
      </c>
      <c r="F43" s="19" t="str">
        <f>IF($D43="","",IFERROR(INDEX(Items!$C$5:$C$597,MATCH($D43,Items!$A$5:$A$597,0)),""))</f>
        <v>Medium</v>
      </c>
      <c r="G43" s="12">
        <v>5000</v>
      </c>
      <c r="H43" s="8">
        <v>46285</v>
      </c>
      <c r="I43" s="8">
        <v>46113</v>
      </c>
      <c r="J43" s="20">
        <f>IF($D43="","",IFERROR(INDEX(Items!$D$5:$D$597,MATCH($D43,Items!$A$5:$A$597,0)),""))</f>
        <v>5.5E-2</v>
      </c>
      <c r="K43" s="21">
        <f t="shared" si="0"/>
        <v>275</v>
      </c>
    </row>
    <row r="44" spans="1:11" x14ac:dyDescent="0.35">
      <c r="A44" s="8">
        <v>46112</v>
      </c>
      <c r="B44" s="9" t="s">
        <v>843</v>
      </c>
      <c r="C44" s="9" t="s">
        <v>407</v>
      </c>
      <c r="D44" s="9" t="s">
        <v>127</v>
      </c>
      <c r="E44" s="18" t="str">
        <f>IF($D44="","",IFERROR(INDEX(Items!$B$5:$B$597,MATCH($D44,Items!$A$5:$A$597,0)),"⚠ not in Items"))</f>
        <v>Gloves</v>
      </c>
      <c r="F44" s="19" t="str">
        <f>IF($D44="","",IFERROR(INDEX(Items!$C$5:$C$597,MATCH($D44,Items!$A$5:$A$597,0)),""))</f>
        <v>Medium</v>
      </c>
      <c r="G44" s="12">
        <v>0</v>
      </c>
      <c r="H44" s="8">
        <v>46132</v>
      </c>
      <c r="I44" s="8">
        <v>46113</v>
      </c>
      <c r="J44" s="20">
        <f>IF($D44="","",IFERROR(INDEX(Items!$D$5:$D$597,MATCH($D44,Items!$A$5:$A$597,0)),""))</f>
        <v>5.5E-2</v>
      </c>
      <c r="K44" s="21">
        <f t="shared" si="0"/>
        <v>0</v>
      </c>
    </row>
    <row r="45" spans="1:11" x14ac:dyDescent="0.35">
      <c r="A45" s="8">
        <v>46112</v>
      </c>
      <c r="B45" s="9" t="s">
        <v>843</v>
      </c>
      <c r="C45" s="9" t="s">
        <v>408</v>
      </c>
      <c r="D45" s="9" t="s">
        <v>127</v>
      </c>
      <c r="E45" s="18" t="str">
        <f>IF($D45="","",IFERROR(INDEX(Items!$B$5:$B$597,MATCH($D45,Items!$A$5:$A$597,0)),"⚠ not in Items"))</f>
        <v>Gloves</v>
      </c>
      <c r="F45" s="19" t="str">
        <f>IF($D45="","",IFERROR(INDEX(Items!$C$5:$C$597,MATCH($D45,Items!$A$5:$A$597,0)),""))</f>
        <v>Medium</v>
      </c>
      <c r="G45" s="12">
        <v>0</v>
      </c>
      <c r="H45" s="8">
        <v>46140</v>
      </c>
      <c r="I45" s="8">
        <v>46113</v>
      </c>
      <c r="J45" s="20">
        <f>IF($D45="","",IFERROR(INDEX(Items!$D$5:$D$597,MATCH($D45,Items!$A$5:$A$597,0)),""))</f>
        <v>5.5E-2</v>
      </c>
      <c r="K45" s="21">
        <f t="shared" si="0"/>
        <v>0</v>
      </c>
    </row>
    <row r="46" spans="1:11" x14ac:dyDescent="0.35">
      <c r="A46" s="8">
        <v>46112</v>
      </c>
      <c r="B46" s="9" t="s">
        <v>843</v>
      </c>
      <c r="C46" s="9" t="s">
        <v>409</v>
      </c>
      <c r="D46" s="9" t="s">
        <v>127</v>
      </c>
      <c r="E46" s="18" t="str">
        <f>IF($D46="","",IFERROR(INDEX(Items!$B$5:$B$597,MATCH($D46,Items!$A$5:$A$597,0)),"⚠ not in Items"))</f>
        <v>Gloves</v>
      </c>
      <c r="F46" s="19" t="str">
        <f>IF($D46="","",IFERROR(INDEX(Items!$C$5:$C$597,MATCH($D46,Items!$A$5:$A$597,0)),""))</f>
        <v>Medium</v>
      </c>
      <c r="G46" s="12">
        <v>0</v>
      </c>
      <c r="H46" s="8">
        <v>46147</v>
      </c>
      <c r="I46" s="8">
        <v>46113</v>
      </c>
      <c r="J46" s="20">
        <f>IF($D46="","",IFERROR(INDEX(Items!$D$5:$D$597,MATCH($D46,Items!$A$5:$A$597,0)),""))</f>
        <v>5.5E-2</v>
      </c>
      <c r="K46" s="21">
        <f t="shared" si="0"/>
        <v>0</v>
      </c>
    </row>
    <row r="47" spans="1:11" x14ac:dyDescent="0.35">
      <c r="A47" s="8">
        <v>46112</v>
      </c>
      <c r="B47" s="9" t="s">
        <v>843</v>
      </c>
      <c r="C47" s="9" t="s">
        <v>410</v>
      </c>
      <c r="D47" s="9" t="s">
        <v>127</v>
      </c>
      <c r="E47" s="18" t="str">
        <f>IF($D47="","",IFERROR(INDEX(Items!$B$5:$B$597,MATCH($D47,Items!$A$5:$A$597,0)),"⚠ not in Items"))</f>
        <v>Gloves</v>
      </c>
      <c r="F47" s="19" t="str">
        <f>IF($D47="","",IFERROR(INDEX(Items!$C$5:$C$597,MATCH($D47,Items!$A$5:$A$597,0)),""))</f>
        <v>Medium</v>
      </c>
      <c r="G47" s="12">
        <v>0</v>
      </c>
      <c r="H47" s="8">
        <v>46159</v>
      </c>
      <c r="I47" s="8">
        <v>46113</v>
      </c>
      <c r="J47" s="20">
        <f>IF($D47="","",IFERROR(INDEX(Items!$D$5:$D$597,MATCH($D47,Items!$A$5:$A$597,0)),""))</f>
        <v>5.5E-2</v>
      </c>
      <c r="K47" s="21">
        <f t="shared" si="0"/>
        <v>0</v>
      </c>
    </row>
    <row r="48" spans="1:11" x14ac:dyDescent="0.35">
      <c r="A48" s="8">
        <v>46112</v>
      </c>
      <c r="B48" s="9" t="s">
        <v>843</v>
      </c>
      <c r="C48" s="9" t="s">
        <v>411</v>
      </c>
      <c r="D48" s="9" t="s">
        <v>127</v>
      </c>
      <c r="E48" s="18" t="str">
        <f>IF($D48="","",IFERROR(INDEX(Items!$B$5:$B$597,MATCH($D48,Items!$A$5:$A$597,0)),"⚠ not in Items"))</f>
        <v>Gloves</v>
      </c>
      <c r="F48" s="19" t="str">
        <f>IF($D48="","",IFERROR(INDEX(Items!$C$5:$C$597,MATCH($D48,Items!$A$5:$A$597,0)),""))</f>
        <v>Medium</v>
      </c>
      <c r="G48" s="12">
        <v>0</v>
      </c>
      <c r="H48" s="8">
        <v>46162</v>
      </c>
      <c r="I48" s="8">
        <v>46113</v>
      </c>
      <c r="J48" s="20">
        <f>IF($D48="","",IFERROR(INDEX(Items!$D$5:$D$597,MATCH($D48,Items!$A$5:$A$597,0)),""))</f>
        <v>5.5E-2</v>
      </c>
      <c r="K48" s="21">
        <f t="shared" si="0"/>
        <v>0</v>
      </c>
    </row>
    <row r="49" spans="1:11" x14ac:dyDescent="0.35">
      <c r="A49" s="8">
        <v>46112</v>
      </c>
      <c r="B49" s="9" t="s">
        <v>843</v>
      </c>
      <c r="C49" s="9" t="s">
        <v>412</v>
      </c>
      <c r="D49" s="9" t="s">
        <v>127</v>
      </c>
      <c r="E49" s="18" t="str">
        <f>IF($D49="","",IFERROR(INDEX(Items!$B$5:$B$597,MATCH($D49,Items!$A$5:$A$597,0)),"⚠ not in Items"))</f>
        <v>Gloves</v>
      </c>
      <c r="F49" s="19" t="str">
        <f>IF($D49="","",IFERROR(INDEX(Items!$C$5:$C$597,MATCH($D49,Items!$A$5:$A$597,0)),""))</f>
        <v>Medium</v>
      </c>
      <c r="G49" s="12">
        <v>0</v>
      </c>
      <c r="H49" s="8">
        <v>46172</v>
      </c>
      <c r="I49" s="8">
        <v>46113</v>
      </c>
      <c r="J49" s="20">
        <f>IF($D49="","",IFERROR(INDEX(Items!$D$5:$D$597,MATCH($D49,Items!$A$5:$A$597,0)),""))</f>
        <v>5.5E-2</v>
      </c>
      <c r="K49" s="21">
        <f t="shared" si="0"/>
        <v>0</v>
      </c>
    </row>
    <row r="50" spans="1:11" x14ac:dyDescent="0.35">
      <c r="A50" s="8">
        <v>46112</v>
      </c>
      <c r="B50" s="9" t="s">
        <v>843</v>
      </c>
      <c r="C50" s="9" t="s">
        <v>413</v>
      </c>
      <c r="D50" s="9" t="s">
        <v>127</v>
      </c>
      <c r="E50" s="18" t="str">
        <f>IF($D50="","",IFERROR(INDEX(Items!$B$5:$B$597,MATCH($D50,Items!$A$5:$A$597,0)),"⚠ not in Items"))</f>
        <v>Gloves</v>
      </c>
      <c r="F50" s="19" t="str">
        <f>IF($D50="","",IFERROR(INDEX(Items!$C$5:$C$597,MATCH($D50,Items!$A$5:$A$597,0)),""))</f>
        <v>Medium</v>
      </c>
      <c r="G50" s="12">
        <v>0</v>
      </c>
      <c r="H50" s="8">
        <v>46188</v>
      </c>
      <c r="I50" s="8">
        <v>46113</v>
      </c>
      <c r="J50" s="20">
        <f>IF($D50="","",IFERROR(INDEX(Items!$D$5:$D$597,MATCH($D50,Items!$A$5:$A$597,0)),""))</f>
        <v>5.5E-2</v>
      </c>
      <c r="K50" s="21">
        <f t="shared" si="0"/>
        <v>0</v>
      </c>
    </row>
    <row r="51" spans="1:11" x14ac:dyDescent="0.35">
      <c r="A51" s="8">
        <v>46112</v>
      </c>
      <c r="B51" s="9" t="s">
        <v>843</v>
      </c>
      <c r="C51" s="9" t="s">
        <v>414</v>
      </c>
      <c r="D51" s="9" t="s">
        <v>127</v>
      </c>
      <c r="E51" s="18" t="str">
        <f>IF($D51="","",IFERROR(INDEX(Items!$B$5:$B$597,MATCH($D51,Items!$A$5:$A$597,0)),"⚠ not in Items"))</f>
        <v>Gloves</v>
      </c>
      <c r="F51" s="19" t="str">
        <f>IF($D51="","",IFERROR(INDEX(Items!$C$5:$C$597,MATCH($D51,Items!$A$5:$A$597,0)),""))</f>
        <v>Medium</v>
      </c>
      <c r="G51" s="12">
        <v>0</v>
      </c>
      <c r="H51" s="8">
        <v>46292</v>
      </c>
      <c r="I51" s="8">
        <v>46113</v>
      </c>
      <c r="J51" s="20">
        <f>IF($D51="","",IFERROR(INDEX(Items!$D$5:$D$597,MATCH($D51,Items!$A$5:$A$597,0)),""))</f>
        <v>5.5E-2</v>
      </c>
      <c r="K51" s="21">
        <f t="shared" si="0"/>
        <v>0</v>
      </c>
    </row>
    <row r="52" spans="1:11" x14ac:dyDescent="0.35">
      <c r="A52" s="8">
        <v>46112</v>
      </c>
      <c r="B52" s="9" t="s">
        <v>843</v>
      </c>
      <c r="C52" s="9" t="s">
        <v>415</v>
      </c>
      <c r="D52" s="9" t="s">
        <v>127</v>
      </c>
      <c r="E52" s="18" t="str">
        <f>IF($D52="","",IFERROR(INDEX(Items!$B$5:$B$597,MATCH($D52,Items!$A$5:$A$597,0)),"⚠ not in Items"))</f>
        <v>Gloves</v>
      </c>
      <c r="F52" s="19" t="str">
        <f>IF($D52="","",IFERROR(INDEX(Items!$C$5:$C$597,MATCH($D52,Items!$A$5:$A$597,0)),""))</f>
        <v>Medium</v>
      </c>
      <c r="G52" s="12">
        <v>10000</v>
      </c>
      <c r="H52" s="8">
        <v>46179</v>
      </c>
      <c r="I52" s="8">
        <v>46113</v>
      </c>
      <c r="J52" s="20">
        <f>IF($D52="","",IFERROR(INDEX(Items!$D$5:$D$597,MATCH($D52,Items!$A$5:$A$597,0)),""))</f>
        <v>5.5E-2</v>
      </c>
      <c r="K52" s="21">
        <f t="shared" si="0"/>
        <v>550</v>
      </c>
    </row>
    <row r="53" spans="1:11" x14ac:dyDescent="0.35">
      <c r="A53" s="8">
        <v>46112</v>
      </c>
      <c r="B53" s="9" t="s">
        <v>843</v>
      </c>
      <c r="C53" s="9" t="s">
        <v>416</v>
      </c>
      <c r="D53" s="9" t="s">
        <v>127</v>
      </c>
      <c r="E53" s="18" t="str">
        <f>IF($D53="","",IFERROR(INDEX(Items!$B$5:$B$597,MATCH($D53,Items!$A$5:$A$597,0)),"⚠ not in Items"))</f>
        <v>Gloves</v>
      </c>
      <c r="F53" s="19" t="str">
        <f>IF($D53="","",IFERROR(INDEX(Items!$C$5:$C$597,MATCH($D53,Items!$A$5:$A$597,0)),""))</f>
        <v>Medium</v>
      </c>
      <c r="G53" s="12">
        <v>0</v>
      </c>
      <c r="H53" s="8">
        <v>46216</v>
      </c>
      <c r="I53" s="8">
        <v>46113</v>
      </c>
      <c r="J53" s="20">
        <f>IF($D53="","",IFERROR(INDEX(Items!$D$5:$D$597,MATCH($D53,Items!$A$5:$A$597,0)),""))</f>
        <v>5.5E-2</v>
      </c>
      <c r="K53" s="21">
        <f t="shared" si="0"/>
        <v>0</v>
      </c>
    </row>
    <row r="54" spans="1:11" x14ac:dyDescent="0.35">
      <c r="A54" s="8">
        <v>46112</v>
      </c>
      <c r="B54" s="9" t="s">
        <v>843</v>
      </c>
      <c r="C54" s="9" t="s">
        <v>417</v>
      </c>
      <c r="D54" s="9" t="s">
        <v>127</v>
      </c>
      <c r="E54" s="18" t="str">
        <f>IF($D54="","",IFERROR(INDEX(Items!$B$5:$B$597,MATCH($D54,Items!$A$5:$A$597,0)),"⚠ not in Items"))</f>
        <v>Gloves</v>
      </c>
      <c r="F54" s="19" t="str">
        <f>IF($D54="","",IFERROR(INDEX(Items!$C$5:$C$597,MATCH($D54,Items!$A$5:$A$597,0)),""))</f>
        <v>Medium</v>
      </c>
      <c r="G54" s="12">
        <v>0</v>
      </c>
      <c r="H54" s="8">
        <v>46223</v>
      </c>
      <c r="I54" s="8">
        <v>46113</v>
      </c>
      <c r="J54" s="20">
        <f>IF($D54="","",IFERROR(INDEX(Items!$D$5:$D$597,MATCH($D54,Items!$A$5:$A$597,0)),""))</f>
        <v>5.5E-2</v>
      </c>
      <c r="K54" s="21">
        <f t="shared" si="0"/>
        <v>0</v>
      </c>
    </row>
    <row r="55" spans="1:11" x14ac:dyDescent="0.35">
      <c r="A55" s="8">
        <v>46112</v>
      </c>
      <c r="B55" s="9" t="s">
        <v>843</v>
      </c>
      <c r="C55" s="9" t="s">
        <v>418</v>
      </c>
      <c r="D55" s="9" t="s">
        <v>127</v>
      </c>
      <c r="E55" s="18" t="str">
        <f>IF($D55="","",IFERROR(INDEX(Items!$B$5:$B$597,MATCH($D55,Items!$A$5:$A$597,0)),"⚠ not in Items"))</f>
        <v>Gloves</v>
      </c>
      <c r="F55" s="19" t="str">
        <f>IF($D55="","",IFERROR(INDEX(Items!$C$5:$C$597,MATCH($D55,Items!$A$5:$A$597,0)),""))</f>
        <v>Medium</v>
      </c>
      <c r="G55" s="12">
        <v>0</v>
      </c>
      <c r="H55" s="8">
        <v>46229</v>
      </c>
      <c r="I55" s="8">
        <v>46113</v>
      </c>
      <c r="J55" s="20">
        <f>IF($D55="","",IFERROR(INDEX(Items!$D$5:$D$597,MATCH($D55,Items!$A$5:$A$597,0)),""))</f>
        <v>5.5E-2</v>
      </c>
      <c r="K55" s="21">
        <f t="shared" si="0"/>
        <v>0</v>
      </c>
    </row>
    <row r="56" spans="1:11" x14ac:dyDescent="0.35">
      <c r="A56" s="8">
        <v>46112</v>
      </c>
      <c r="B56" s="9" t="s">
        <v>843</v>
      </c>
      <c r="C56" s="9" t="s">
        <v>419</v>
      </c>
      <c r="D56" s="9" t="s">
        <v>127</v>
      </c>
      <c r="E56" s="18" t="str">
        <f>IF($D56="","",IFERROR(INDEX(Items!$B$5:$B$597,MATCH($D56,Items!$A$5:$A$597,0)),"⚠ not in Items"))</f>
        <v>Gloves</v>
      </c>
      <c r="F56" s="19" t="str">
        <f>IF($D56="","",IFERROR(INDEX(Items!$C$5:$C$597,MATCH($D56,Items!$A$5:$A$597,0)),""))</f>
        <v>Medium</v>
      </c>
      <c r="G56" s="12">
        <v>0</v>
      </c>
      <c r="H56" s="8">
        <v>46238</v>
      </c>
      <c r="I56" s="8">
        <v>46113</v>
      </c>
      <c r="J56" s="20">
        <f>IF($D56="","",IFERROR(INDEX(Items!$D$5:$D$597,MATCH($D56,Items!$A$5:$A$597,0)),""))</f>
        <v>5.5E-2</v>
      </c>
      <c r="K56" s="21">
        <f t="shared" si="0"/>
        <v>0</v>
      </c>
    </row>
    <row r="57" spans="1:11" x14ac:dyDescent="0.35">
      <c r="A57" s="8">
        <v>46112</v>
      </c>
      <c r="B57" s="9" t="s">
        <v>843</v>
      </c>
      <c r="C57" s="9" t="s">
        <v>420</v>
      </c>
      <c r="D57" s="9" t="s">
        <v>127</v>
      </c>
      <c r="E57" s="18" t="str">
        <f>IF($D57="","",IFERROR(INDEX(Items!$B$5:$B$597,MATCH($D57,Items!$A$5:$A$597,0)),"⚠ not in Items"))</f>
        <v>Gloves</v>
      </c>
      <c r="F57" s="19" t="str">
        <f>IF($D57="","",IFERROR(INDEX(Items!$C$5:$C$597,MATCH($D57,Items!$A$5:$A$597,0)),""))</f>
        <v>Medium</v>
      </c>
      <c r="G57" s="12">
        <v>0</v>
      </c>
      <c r="H57" s="8">
        <v>46244</v>
      </c>
      <c r="I57" s="8">
        <v>46113</v>
      </c>
      <c r="J57" s="20">
        <f>IF($D57="","",IFERROR(INDEX(Items!$D$5:$D$597,MATCH($D57,Items!$A$5:$A$597,0)),""))</f>
        <v>5.5E-2</v>
      </c>
      <c r="K57" s="21">
        <f t="shared" si="0"/>
        <v>0</v>
      </c>
    </row>
    <row r="58" spans="1:11" x14ac:dyDescent="0.35">
      <c r="A58" s="8">
        <v>46112</v>
      </c>
      <c r="B58" s="9" t="s">
        <v>843</v>
      </c>
      <c r="C58" s="9" t="s">
        <v>421</v>
      </c>
      <c r="D58" s="9" t="s">
        <v>127</v>
      </c>
      <c r="E58" s="18" t="str">
        <f>IF($D58="","",IFERROR(INDEX(Items!$B$5:$B$597,MATCH($D58,Items!$A$5:$A$597,0)),"⚠ not in Items"))</f>
        <v>Gloves</v>
      </c>
      <c r="F58" s="19" t="str">
        <f>IF($D58="","",IFERROR(INDEX(Items!$C$5:$C$597,MATCH($D58,Items!$A$5:$A$597,0)),""))</f>
        <v>Medium</v>
      </c>
      <c r="G58" s="12">
        <v>0</v>
      </c>
      <c r="H58" s="8">
        <v>46252</v>
      </c>
      <c r="I58" s="8">
        <v>46113</v>
      </c>
      <c r="J58" s="20">
        <f>IF($D58="","",IFERROR(INDEX(Items!$D$5:$D$597,MATCH($D58,Items!$A$5:$A$597,0)),""))</f>
        <v>5.5E-2</v>
      </c>
      <c r="K58" s="21">
        <f t="shared" si="0"/>
        <v>0</v>
      </c>
    </row>
    <row r="59" spans="1:11" x14ac:dyDescent="0.35">
      <c r="A59" s="8">
        <v>46112</v>
      </c>
      <c r="B59" s="9" t="s">
        <v>843</v>
      </c>
      <c r="C59" s="9" t="s">
        <v>422</v>
      </c>
      <c r="D59" s="9" t="s">
        <v>127</v>
      </c>
      <c r="E59" s="18" t="str">
        <f>IF($D59="","",IFERROR(INDEX(Items!$B$5:$B$597,MATCH($D59,Items!$A$5:$A$597,0)),"⚠ not in Items"))</f>
        <v>Gloves</v>
      </c>
      <c r="F59" s="19" t="str">
        <f>IF($D59="","",IFERROR(INDEX(Items!$C$5:$C$597,MATCH($D59,Items!$A$5:$A$597,0)),""))</f>
        <v>Medium</v>
      </c>
      <c r="G59" s="12">
        <v>0</v>
      </c>
      <c r="H59" s="8">
        <v>46283</v>
      </c>
      <c r="I59" s="8">
        <v>46113</v>
      </c>
      <c r="J59" s="20">
        <f>IF($D59="","",IFERROR(INDEX(Items!$D$5:$D$597,MATCH($D59,Items!$A$5:$A$597,0)),""))</f>
        <v>5.5E-2</v>
      </c>
      <c r="K59" s="21">
        <f t="shared" si="0"/>
        <v>0</v>
      </c>
    </row>
    <row r="60" spans="1:11" x14ac:dyDescent="0.35">
      <c r="A60" s="8">
        <v>46112</v>
      </c>
      <c r="B60" s="9" t="s">
        <v>843</v>
      </c>
      <c r="C60" s="9" t="s">
        <v>423</v>
      </c>
      <c r="D60" s="9" t="s">
        <v>127</v>
      </c>
      <c r="E60" s="18" t="str">
        <f>IF($D60="","",IFERROR(INDEX(Items!$B$5:$B$597,MATCH($D60,Items!$A$5:$A$597,0)),"⚠ not in Items"))</f>
        <v>Gloves</v>
      </c>
      <c r="F60" s="19" t="str">
        <f>IF($D60="","",IFERROR(INDEX(Items!$C$5:$C$597,MATCH($D60,Items!$A$5:$A$597,0)),""))</f>
        <v>Medium</v>
      </c>
      <c r="G60" s="12">
        <v>0</v>
      </c>
      <c r="H60" s="8">
        <v>46261</v>
      </c>
      <c r="I60" s="8">
        <v>46113</v>
      </c>
      <c r="J60" s="20">
        <f>IF($D60="","",IFERROR(INDEX(Items!$D$5:$D$597,MATCH($D60,Items!$A$5:$A$597,0)),""))</f>
        <v>5.5E-2</v>
      </c>
      <c r="K60" s="21">
        <f t="shared" si="0"/>
        <v>0</v>
      </c>
    </row>
    <row r="61" spans="1:11" x14ac:dyDescent="0.35">
      <c r="A61" s="8">
        <v>46112</v>
      </c>
      <c r="B61" s="9" t="s">
        <v>843</v>
      </c>
      <c r="C61" s="9" t="s">
        <v>424</v>
      </c>
      <c r="D61" s="9" t="s">
        <v>127</v>
      </c>
      <c r="E61" s="18" t="str">
        <f>IF($D61="","",IFERROR(INDEX(Items!$B$5:$B$597,MATCH($D61,Items!$A$5:$A$597,0)),"⚠ not in Items"))</f>
        <v>Gloves</v>
      </c>
      <c r="F61" s="19" t="str">
        <f>IF($D61="","",IFERROR(INDEX(Items!$C$5:$C$597,MATCH($D61,Items!$A$5:$A$597,0)),""))</f>
        <v>Medium</v>
      </c>
      <c r="G61" s="12">
        <v>0</v>
      </c>
      <c r="H61" s="8">
        <v>46270</v>
      </c>
      <c r="I61" s="8">
        <v>46113</v>
      </c>
      <c r="J61" s="20">
        <f>IF($D61="","",IFERROR(INDEX(Items!$D$5:$D$597,MATCH($D61,Items!$A$5:$A$597,0)),""))</f>
        <v>5.5E-2</v>
      </c>
      <c r="K61" s="21">
        <f t="shared" si="0"/>
        <v>0</v>
      </c>
    </row>
    <row r="62" spans="1:11" x14ac:dyDescent="0.35">
      <c r="A62" s="8">
        <v>46112</v>
      </c>
      <c r="B62" s="9" t="s">
        <v>843</v>
      </c>
      <c r="C62" s="9" t="s">
        <v>425</v>
      </c>
      <c r="D62" s="9" t="s">
        <v>127</v>
      </c>
      <c r="E62" s="18" t="str">
        <f>IF($D62="","",IFERROR(INDEX(Items!$B$5:$B$597,MATCH($D62,Items!$A$5:$A$597,0)),"⚠ not in Items"))</f>
        <v>Gloves</v>
      </c>
      <c r="F62" s="19" t="str">
        <f>IF($D62="","",IFERROR(INDEX(Items!$C$5:$C$597,MATCH($D62,Items!$A$5:$A$597,0)),""))</f>
        <v>Medium</v>
      </c>
      <c r="G62" s="12">
        <v>0</v>
      </c>
      <c r="H62" s="8">
        <v>46275</v>
      </c>
      <c r="I62" s="8">
        <v>46113</v>
      </c>
      <c r="J62" s="20">
        <f>IF($D62="","",IFERROR(INDEX(Items!$D$5:$D$597,MATCH($D62,Items!$A$5:$A$597,0)),""))</f>
        <v>5.5E-2</v>
      </c>
      <c r="K62" s="21">
        <f t="shared" si="0"/>
        <v>0</v>
      </c>
    </row>
    <row r="63" spans="1:11" x14ac:dyDescent="0.35">
      <c r="A63" s="8">
        <v>46112</v>
      </c>
      <c r="B63" s="9" t="s">
        <v>843</v>
      </c>
      <c r="C63" s="9" t="s">
        <v>426</v>
      </c>
      <c r="D63" s="9" t="s">
        <v>127</v>
      </c>
      <c r="E63" s="18" t="str">
        <f>IF($D63="","",IFERROR(INDEX(Items!$B$5:$B$597,MATCH($D63,Items!$A$5:$A$597,0)),"⚠ not in Items"))</f>
        <v>Gloves</v>
      </c>
      <c r="F63" s="19" t="str">
        <f>IF($D63="","",IFERROR(INDEX(Items!$C$5:$C$597,MATCH($D63,Items!$A$5:$A$597,0)),""))</f>
        <v>Medium</v>
      </c>
      <c r="G63" s="12">
        <v>0</v>
      </c>
      <c r="H63" s="8">
        <v>46289</v>
      </c>
      <c r="I63" s="8">
        <v>46113</v>
      </c>
      <c r="J63" s="20">
        <f>IF($D63="","",IFERROR(INDEX(Items!$D$5:$D$597,MATCH($D63,Items!$A$5:$A$597,0)),""))</f>
        <v>5.5E-2</v>
      </c>
      <c r="K63" s="21">
        <f t="shared" si="0"/>
        <v>0</v>
      </c>
    </row>
    <row r="64" spans="1:11" x14ac:dyDescent="0.35">
      <c r="A64" s="8">
        <v>46112</v>
      </c>
      <c r="B64" s="9" t="s">
        <v>843</v>
      </c>
      <c r="C64" s="9" t="s">
        <v>428</v>
      </c>
      <c r="D64" s="9" t="s">
        <v>129</v>
      </c>
      <c r="E64" s="18" t="str">
        <f>IF($D64="","",IFERROR(INDEX(Items!$B$5:$B$597,MATCH($D64,Items!$A$5:$A$597,0)),"⚠ not in Items"))</f>
        <v>Gloves</v>
      </c>
      <c r="F64" s="19" t="str">
        <f>IF($D64="","",IFERROR(INDEX(Items!$C$5:$C$597,MATCH($D64,Items!$A$5:$A$597,0)),""))</f>
        <v>Small</v>
      </c>
      <c r="G64" s="12">
        <v>7500</v>
      </c>
      <c r="H64" s="8">
        <v>46292</v>
      </c>
      <c r="I64" s="8">
        <v>46113</v>
      </c>
      <c r="J64" s="20">
        <f>IF($D64="","",IFERROR(INDEX(Items!$D$5:$D$597,MATCH($D64,Items!$A$5:$A$597,0)),""))</f>
        <v>5.5E-2</v>
      </c>
      <c r="K64" s="21">
        <f t="shared" si="0"/>
        <v>412.5</v>
      </c>
    </row>
    <row r="65" spans="1:11" x14ac:dyDescent="0.35">
      <c r="A65" s="8">
        <v>46112</v>
      </c>
      <c r="B65" s="9" t="s">
        <v>843</v>
      </c>
      <c r="C65" s="9" t="s">
        <v>429</v>
      </c>
      <c r="D65" s="9" t="s">
        <v>129</v>
      </c>
      <c r="E65" s="18" t="str">
        <f>IF($D65="","",IFERROR(INDEX(Items!$B$5:$B$597,MATCH($D65,Items!$A$5:$A$597,0)),"⚠ not in Items"))</f>
        <v>Gloves</v>
      </c>
      <c r="F65" s="19" t="str">
        <f>IF($D65="","",IFERROR(INDEX(Items!$C$5:$C$597,MATCH($D65,Items!$A$5:$A$597,0)),""))</f>
        <v>Small</v>
      </c>
      <c r="G65" s="12">
        <v>0</v>
      </c>
      <c r="H65" s="8">
        <v>46133</v>
      </c>
      <c r="I65" s="8">
        <v>46113</v>
      </c>
      <c r="J65" s="20">
        <f>IF($D65="","",IFERROR(INDEX(Items!$D$5:$D$597,MATCH($D65,Items!$A$5:$A$597,0)),""))</f>
        <v>5.5E-2</v>
      </c>
      <c r="K65" s="21">
        <f t="shared" si="0"/>
        <v>0</v>
      </c>
    </row>
    <row r="66" spans="1:11" x14ac:dyDescent="0.35">
      <c r="A66" s="8">
        <v>46112</v>
      </c>
      <c r="B66" s="9" t="s">
        <v>843</v>
      </c>
      <c r="C66" s="9" t="s">
        <v>430</v>
      </c>
      <c r="D66" s="9" t="s">
        <v>129</v>
      </c>
      <c r="E66" s="18" t="str">
        <f>IF($D66="","",IFERROR(INDEX(Items!$B$5:$B$597,MATCH($D66,Items!$A$5:$A$597,0)),"⚠ not in Items"))</f>
        <v>Gloves</v>
      </c>
      <c r="F66" s="19" t="str">
        <f>IF($D66="","",IFERROR(INDEX(Items!$C$5:$C$597,MATCH($D66,Items!$A$5:$A$597,0)),""))</f>
        <v>Small</v>
      </c>
      <c r="G66" s="12">
        <v>0</v>
      </c>
      <c r="H66" s="8">
        <v>46147</v>
      </c>
      <c r="I66" s="8">
        <v>46113</v>
      </c>
      <c r="J66" s="20">
        <f>IF($D66="","",IFERROR(INDEX(Items!$D$5:$D$597,MATCH($D66,Items!$A$5:$A$597,0)),""))</f>
        <v>5.5E-2</v>
      </c>
      <c r="K66" s="21">
        <f t="shared" si="0"/>
        <v>0</v>
      </c>
    </row>
    <row r="67" spans="1:11" x14ac:dyDescent="0.35">
      <c r="A67" s="8">
        <v>46112</v>
      </c>
      <c r="B67" s="9" t="s">
        <v>843</v>
      </c>
      <c r="C67" s="9" t="s">
        <v>431</v>
      </c>
      <c r="D67" s="9" t="s">
        <v>129</v>
      </c>
      <c r="E67" s="18" t="str">
        <f>IF($D67="","",IFERROR(INDEX(Items!$B$5:$B$597,MATCH($D67,Items!$A$5:$A$597,0)),"⚠ not in Items"))</f>
        <v>Gloves</v>
      </c>
      <c r="F67" s="19" t="str">
        <f>IF($D67="","",IFERROR(INDEX(Items!$C$5:$C$597,MATCH($D67,Items!$A$5:$A$597,0)),""))</f>
        <v>Small</v>
      </c>
      <c r="G67" s="12">
        <v>0</v>
      </c>
      <c r="H67" s="8">
        <v>46159</v>
      </c>
      <c r="I67" s="8">
        <v>46113</v>
      </c>
      <c r="J67" s="20">
        <f>IF($D67="","",IFERROR(INDEX(Items!$D$5:$D$597,MATCH($D67,Items!$A$5:$A$597,0)),""))</f>
        <v>5.5E-2</v>
      </c>
      <c r="K67" s="21">
        <f t="shared" si="0"/>
        <v>0</v>
      </c>
    </row>
    <row r="68" spans="1:11" x14ac:dyDescent="0.35">
      <c r="A68" s="8">
        <v>46112</v>
      </c>
      <c r="B68" s="9" t="s">
        <v>843</v>
      </c>
      <c r="C68" s="9" t="s">
        <v>432</v>
      </c>
      <c r="D68" s="9" t="s">
        <v>129</v>
      </c>
      <c r="E68" s="18" t="str">
        <f>IF($D68="","",IFERROR(INDEX(Items!$B$5:$B$597,MATCH($D68,Items!$A$5:$A$597,0)),"⚠ not in Items"))</f>
        <v>Gloves</v>
      </c>
      <c r="F68" s="19" t="str">
        <f>IF($D68="","",IFERROR(INDEX(Items!$C$5:$C$597,MATCH($D68,Items!$A$5:$A$597,0)),""))</f>
        <v>Small</v>
      </c>
      <c r="G68" s="12">
        <v>0</v>
      </c>
      <c r="H68" s="8">
        <v>46188</v>
      </c>
      <c r="I68" s="8">
        <v>46113</v>
      </c>
      <c r="J68" s="20">
        <f>IF($D68="","",IFERROR(INDEX(Items!$D$5:$D$597,MATCH($D68,Items!$A$5:$A$597,0)),""))</f>
        <v>5.5E-2</v>
      </c>
      <c r="K68" s="21">
        <f t="shared" si="0"/>
        <v>0</v>
      </c>
    </row>
    <row r="69" spans="1:11" x14ac:dyDescent="0.35">
      <c r="A69" s="8">
        <v>46112</v>
      </c>
      <c r="B69" s="9" t="s">
        <v>843</v>
      </c>
      <c r="C69" s="9" t="s">
        <v>433</v>
      </c>
      <c r="D69" s="9" t="s">
        <v>129</v>
      </c>
      <c r="E69" s="18" t="str">
        <f>IF($D69="","",IFERROR(INDEX(Items!$B$5:$B$597,MATCH($D69,Items!$A$5:$A$597,0)),"⚠ not in Items"))</f>
        <v>Gloves</v>
      </c>
      <c r="F69" s="19" t="str">
        <f>IF($D69="","",IFERROR(INDEX(Items!$C$5:$C$597,MATCH($D69,Items!$A$5:$A$597,0)),""))</f>
        <v>Small</v>
      </c>
      <c r="G69" s="12">
        <v>0</v>
      </c>
      <c r="H69" s="8">
        <v>46162</v>
      </c>
      <c r="I69" s="8">
        <v>46113</v>
      </c>
      <c r="J69" s="20">
        <f>IF($D69="","",IFERROR(INDEX(Items!$D$5:$D$597,MATCH($D69,Items!$A$5:$A$597,0)),""))</f>
        <v>5.5E-2</v>
      </c>
      <c r="K69" s="21">
        <f t="shared" ref="K69:K127" si="1">IF(OR($G69="",$J69=""),"",$G69*$J69)</f>
        <v>0</v>
      </c>
    </row>
    <row r="70" spans="1:11" x14ac:dyDescent="0.35">
      <c r="A70" s="8">
        <v>46112</v>
      </c>
      <c r="B70" s="9" t="s">
        <v>843</v>
      </c>
      <c r="C70" s="9" t="s">
        <v>434</v>
      </c>
      <c r="D70" s="9" t="s">
        <v>129</v>
      </c>
      <c r="E70" s="18" t="str">
        <f>IF($D70="","",IFERROR(INDEX(Items!$B$5:$B$597,MATCH($D70,Items!$A$5:$A$597,0)),"⚠ not in Items"))</f>
        <v>Gloves</v>
      </c>
      <c r="F70" s="19" t="str">
        <f>IF($D70="","",IFERROR(INDEX(Items!$C$5:$C$597,MATCH($D70,Items!$A$5:$A$597,0)),""))</f>
        <v>Small</v>
      </c>
      <c r="G70" s="12">
        <v>0</v>
      </c>
      <c r="H70" s="8">
        <v>46179</v>
      </c>
      <c r="I70" s="8">
        <v>46113</v>
      </c>
      <c r="J70" s="20">
        <f>IF($D70="","",IFERROR(INDEX(Items!$D$5:$D$597,MATCH($D70,Items!$A$5:$A$597,0)),""))</f>
        <v>5.5E-2</v>
      </c>
      <c r="K70" s="21">
        <f t="shared" si="1"/>
        <v>0</v>
      </c>
    </row>
    <row r="71" spans="1:11" x14ac:dyDescent="0.35">
      <c r="A71" s="8">
        <v>46112</v>
      </c>
      <c r="B71" s="9" t="s">
        <v>843</v>
      </c>
      <c r="C71" s="9" t="s">
        <v>435</v>
      </c>
      <c r="D71" s="9" t="s">
        <v>129</v>
      </c>
      <c r="E71" s="18" t="str">
        <f>IF($D71="","",IFERROR(INDEX(Items!$B$5:$B$597,MATCH($D71,Items!$A$5:$A$597,0)),"⚠ not in Items"))</f>
        <v>Gloves</v>
      </c>
      <c r="F71" s="19" t="str">
        <f>IF($D71="","",IFERROR(INDEX(Items!$C$5:$C$597,MATCH($D71,Items!$A$5:$A$597,0)),""))</f>
        <v>Small</v>
      </c>
      <c r="G71" s="12">
        <v>2000</v>
      </c>
      <c r="H71" s="8">
        <v>46285</v>
      </c>
      <c r="I71" s="8">
        <v>46113</v>
      </c>
      <c r="J71" s="20">
        <f>IF($D71="","",IFERROR(INDEX(Items!$D$5:$D$597,MATCH($D71,Items!$A$5:$A$597,0)),""))</f>
        <v>5.5E-2</v>
      </c>
      <c r="K71" s="21">
        <f t="shared" si="1"/>
        <v>110</v>
      </c>
    </row>
    <row r="72" spans="1:11" x14ac:dyDescent="0.35">
      <c r="A72" s="8">
        <v>46112</v>
      </c>
      <c r="B72" s="9" t="s">
        <v>843</v>
      </c>
      <c r="C72" s="9" t="s">
        <v>436</v>
      </c>
      <c r="D72" s="9" t="s">
        <v>129</v>
      </c>
      <c r="E72" s="18" t="str">
        <f>IF($D72="","",IFERROR(INDEX(Items!$B$5:$B$597,MATCH($D72,Items!$A$5:$A$597,0)),"⚠ not in Items"))</f>
        <v>Gloves</v>
      </c>
      <c r="F72" s="19" t="str">
        <f>IF($D72="","",IFERROR(INDEX(Items!$C$5:$C$597,MATCH($D72,Items!$A$5:$A$597,0)),""))</f>
        <v>Small</v>
      </c>
      <c r="G72" s="12">
        <v>0</v>
      </c>
      <c r="H72" s="8">
        <v>46244</v>
      </c>
      <c r="I72" s="8">
        <v>46113</v>
      </c>
      <c r="J72" s="20">
        <f>IF($D72="","",IFERROR(INDEX(Items!$D$5:$D$597,MATCH($D72,Items!$A$5:$A$597,0)),""))</f>
        <v>5.5E-2</v>
      </c>
      <c r="K72" s="21">
        <f t="shared" si="1"/>
        <v>0</v>
      </c>
    </row>
    <row r="73" spans="1:11" x14ac:dyDescent="0.35">
      <c r="A73" s="8">
        <v>46112</v>
      </c>
      <c r="B73" s="9" t="s">
        <v>843</v>
      </c>
      <c r="C73" s="9" t="s">
        <v>437</v>
      </c>
      <c r="D73" s="9" t="s">
        <v>129</v>
      </c>
      <c r="E73" s="18" t="str">
        <f>IF($D73="","",IFERROR(INDEX(Items!$B$5:$B$597,MATCH($D73,Items!$A$5:$A$597,0)),"⚠ not in Items"))</f>
        <v>Gloves</v>
      </c>
      <c r="F73" s="19" t="str">
        <f>IF($D73="","",IFERROR(INDEX(Items!$C$5:$C$597,MATCH($D73,Items!$A$5:$A$597,0)),""))</f>
        <v>Small</v>
      </c>
      <c r="G73" s="12">
        <v>0</v>
      </c>
      <c r="H73" s="8">
        <v>46252</v>
      </c>
      <c r="I73" s="8">
        <v>46113</v>
      </c>
      <c r="J73" s="20">
        <f>IF($D73="","",IFERROR(INDEX(Items!$D$5:$D$597,MATCH($D73,Items!$A$5:$A$597,0)),""))</f>
        <v>5.5E-2</v>
      </c>
      <c r="K73" s="21">
        <f t="shared" si="1"/>
        <v>0</v>
      </c>
    </row>
    <row r="74" spans="1:11" x14ac:dyDescent="0.35">
      <c r="A74" s="8">
        <v>46112</v>
      </c>
      <c r="B74" s="9" t="s">
        <v>843</v>
      </c>
      <c r="C74" s="9" t="s">
        <v>438</v>
      </c>
      <c r="D74" s="9" t="s">
        <v>129</v>
      </c>
      <c r="E74" s="18" t="str">
        <f>IF($D74="","",IFERROR(INDEX(Items!$B$5:$B$597,MATCH($D74,Items!$A$5:$A$597,0)),"⚠ not in Items"))</f>
        <v>Gloves</v>
      </c>
      <c r="F74" s="19" t="str">
        <f>IF($D74="","",IFERROR(INDEX(Items!$C$5:$C$597,MATCH($D74,Items!$A$5:$A$597,0)),""))</f>
        <v>Small</v>
      </c>
      <c r="G74" s="12">
        <v>0</v>
      </c>
      <c r="H74" s="8">
        <v>46261</v>
      </c>
      <c r="I74" s="8">
        <v>46113</v>
      </c>
      <c r="J74" s="20">
        <f>IF($D74="","",IFERROR(INDEX(Items!$D$5:$D$597,MATCH($D74,Items!$A$5:$A$597,0)),""))</f>
        <v>5.5E-2</v>
      </c>
      <c r="K74" s="21">
        <f t="shared" si="1"/>
        <v>0</v>
      </c>
    </row>
    <row r="75" spans="1:11" x14ac:dyDescent="0.35">
      <c r="A75" s="8">
        <v>46112</v>
      </c>
      <c r="B75" s="9" t="s">
        <v>843</v>
      </c>
      <c r="C75" s="9" t="s">
        <v>439</v>
      </c>
      <c r="D75" s="9" t="s">
        <v>129</v>
      </c>
      <c r="E75" s="18" t="str">
        <f>IF($D75="","",IFERROR(INDEX(Items!$B$5:$B$597,MATCH($D75,Items!$A$5:$A$597,0)),"⚠ not in Items"))</f>
        <v>Gloves</v>
      </c>
      <c r="F75" s="19" t="str">
        <f>IF($D75="","",IFERROR(INDEX(Items!$C$5:$C$597,MATCH($D75,Items!$A$5:$A$597,0)),""))</f>
        <v>Small</v>
      </c>
      <c r="G75" s="12">
        <v>0</v>
      </c>
      <c r="H75" s="8">
        <v>46270</v>
      </c>
      <c r="I75" s="8">
        <v>46113</v>
      </c>
      <c r="J75" s="20">
        <f>IF($D75="","",IFERROR(INDEX(Items!$D$5:$D$597,MATCH($D75,Items!$A$5:$A$597,0)),""))</f>
        <v>5.5E-2</v>
      </c>
      <c r="K75" s="21">
        <f t="shared" si="1"/>
        <v>0</v>
      </c>
    </row>
    <row r="76" spans="1:11" x14ac:dyDescent="0.35">
      <c r="A76" s="8">
        <v>46112</v>
      </c>
      <c r="B76" s="9" t="s">
        <v>843</v>
      </c>
      <c r="C76" s="9" t="s">
        <v>440</v>
      </c>
      <c r="D76" s="9" t="s">
        <v>129</v>
      </c>
      <c r="E76" s="18" t="str">
        <f>IF($D76="","",IFERROR(INDEX(Items!$B$5:$B$597,MATCH($D76,Items!$A$5:$A$597,0)),"⚠ not in Items"))</f>
        <v>Gloves</v>
      </c>
      <c r="F76" s="19" t="str">
        <f>IF($D76="","",IFERROR(INDEX(Items!$C$5:$C$597,MATCH($D76,Items!$A$5:$A$597,0)),""))</f>
        <v>Small</v>
      </c>
      <c r="G76" s="12">
        <v>5000</v>
      </c>
      <c r="H76" s="8">
        <v>46283</v>
      </c>
      <c r="I76" s="8">
        <v>46113</v>
      </c>
      <c r="J76" s="20">
        <f>IF($D76="","",IFERROR(INDEX(Items!$D$5:$D$597,MATCH($D76,Items!$A$5:$A$597,0)),""))</f>
        <v>5.5E-2</v>
      </c>
      <c r="K76" s="21">
        <f t="shared" si="1"/>
        <v>275</v>
      </c>
    </row>
    <row r="77" spans="1:11" x14ac:dyDescent="0.35">
      <c r="A77" s="8">
        <v>46112</v>
      </c>
      <c r="B77" s="9" t="s">
        <v>843</v>
      </c>
      <c r="C77" s="9" t="s">
        <v>441</v>
      </c>
      <c r="D77" s="9" t="s">
        <v>129</v>
      </c>
      <c r="E77" s="18" t="str">
        <f>IF($D77="","",IFERROR(INDEX(Items!$B$5:$B$597,MATCH($D77,Items!$A$5:$A$597,0)),"⚠ not in Items"))</f>
        <v>Gloves</v>
      </c>
      <c r="F77" s="19" t="str">
        <f>IF($D77="","",IFERROR(INDEX(Items!$C$5:$C$597,MATCH($D77,Items!$A$5:$A$597,0)),""))</f>
        <v>Small</v>
      </c>
      <c r="G77" s="12">
        <v>5000</v>
      </c>
      <c r="H77" s="8">
        <v>46289</v>
      </c>
      <c r="I77" s="8">
        <v>46113</v>
      </c>
      <c r="J77" s="20">
        <f>IF($D77="","",IFERROR(INDEX(Items!$D$5:$D$597,MATCH($D77,Items!$A$5:$A$597,0)),""))</f>
        <v>5.5E-2</v>
      </c>
      <c r="K77" s="21">
        <f t="shared" si="1"/>
        <v>275</v>
      </c>
    </row>
    <row r="78" spans="1:11" x14ac:dyDescent="0.35">
      <c r="A78" s="8">
        <v>46112</v>
      </c>
      <c r="B78" s="9" t="s">
        <v>843</v>
      </c>
      <c r="C78" s="9" t="s">
        <v>442</v>
      </c>
      <c r="D78" s="9" t="s">
        <v>129</v>
      </c>
      <c r="E78" s="18" t="str">
        <f>IF($D78="","",IFERROR(INDEX(Items!$B$5:$B$597,MATCH($D78,Items!$A$5:$A$597,0)),"⚠ not in Items"))</f>
        <v>Gloves</v>
      </c>
      <c r="F78" s="19" t="str">
        <f>IF($D78="","",IFERROR(INDEX(Items!$C$5:$C$597,MATCH($D78,Items!$A$5:$A$597,0)),""))</f>
        <v>Small</v>
      </c>
      <c r="G78" s="12">
        <v>0</v>
      </c>
      <c r="H78" s="8">
        <v>46216</v>
      </c>
      <c r="I78" s="8">
        <v>46113</v>
      </c>
      <c r="J78" s="20">
        <f>IF($D78="","",IFERROR(INDEX(Items!$D$5:$D$597,MATCH($D78,Items!$A$5:$A$597,0)),""))</f>
        <v>5.5E-2</v>
      </c>
      <c r="K78" s="21">
        <f t="shared" si="1"/>
        <v>0</v>
      </c>
    </row>
    <row r="79" spans="1:11" x14ac:dyDescent="0.35">
      <c r="A79" s="8">
        <v>46112</v>
      </c>
      <c r="B79" s="9" t="s">
        <v>843</v>
      </c>
      <c r="C79" s="9" t="s">
        <v>443</v>
      </c>
      <c r="D79" s="9" t="s">
        <v>129</v>
      </c>
      <c r="E79" s="18" t="str">
        <f>IF($D79="","",IFERROR(INDEX(Items!$B$5:$B$597,MATCH($D79,Items!$A$5:$A$597,0)),"⚠ not in Items"))</f>
        <v>Gloves</v>
      </c>
      <c r="F79" s="19" t="str">
        <f>IF($D79="","",IFERROR(INDEX(Items!$C$5:$C$597,MATCH($D79,Items!$A$5:$A$597,0)),""))</f>
        <v>Small</v>
      </c>
      <c r="G79" s="12">
        <v>0</v>
      </c>
      <c r="H79" s="8">
        <v>46223</v>
      </c>
      <c r="I79" s="8">
        <v>46113</v>
      </c>
      <c r="J79" s="20">
        <f>IF($D79="","",IFERROR(INDEX(Items!$D$5:$D$597,MATCH($D79,Items!$A$5:$A$597,0)),""))</f>
        <v>5.5E-2</v>
      </c>
      <c r="K79" s="21">
        <f t="shared" si="1"/>
        <v>0</v>
      </c>
    </row>
    <row r="80" spans="1:11" x14ac:dyDescent="0.35">
      <c r="A80" s="8">
        <v>46112</v>
      </c>
      <c r="B80" s="9" t="s">
        <v>843</v>
      </c>
      <c r="C80" s="9" t="s">
        <v>444</v>
      </c>
      <c r="D80" s="9" t="s">
        <v>129</v>
      </c>
      <c r="E80" s="18" t="str">
        <f>IF($D80="","",IFERROR(INDEX(Items!$B$5:$B$597,MATCH($D80,Items!$A$5:$A$597,0)),"⚠ not in Items"))</f>
        <v>Gloves</v>
      </c>
      <c r="F80" s="19" t="str">
        <f>IF($D80="","",IFERROR(INDEX(Items!$C$5:$C$597,MATCH($D80,Items!$A$5:$A$597,0)),""))</f>
        <v>Small</v>
      </c>
      <c r="G80" s="12">
        <v>0</v>
      </c>
      <c r="H80" s="8">
        <v>46229</v>
      </c>
      <c r="I80" s="8">
        <v>46113</v>
      </c>
      <c r="J80" s="20">
        <f>IF($D80="","",IFERROR(INDEX(Items!$D$5:$D$597,MATCH($D80,Items!$A$5:$A$597,0)),""))</f>
        <v>5.5E-2</v>
      </c>
      <c r="K80" s="21">
        <f t="shared" si="1"/>
        <v>0</v>
      </c>
    </row>
    <row r="81" spans="1:11" x14ac:dyDescent="0.35">
      <c r="A81" s="8">
        <v>46112</v>
      </c>
      <c r="B81" s="9" t="s">
        <v>843</v>
      </c>
      <c r="C81" s="9" t="s">
        <v>445</v>
      </c>
      <c r="D81" s="9" t="s">
        <v>129</v>
      </c>
      <c r="E81" s="18" t="str">
        <f>IF($D81="","",IFERROR(INDEX(Items!$B$5:$B$597,MATCH($D81,Items!$A$5:$A$597,0)),"⚠ not in Items"))</f>
        <v>Gloves</v>
      </c>
      <c r="F81" s="19" t="str">
        <f>IF($D81="","",IFERROR(INDEX(Items!$C$5:$C$597,MATCH($D81,Items!$A$5:$A$597,0)),""))</f>
        <v>Small</v>
      </c>
      <c r="G81" s="12">
        <v>2750</v>
      </c>
      <c r="H81" s="8">
        <v>46275</v>
      </c>
      <c r="I81" s="8">
        <v>46113</v>
      </c>
      <c r="J81" s="20">
        <f>IF($D81="","",IFERROR(INDEX(Items!$D$5:$D$597,MATCH($D81,Items!$A$5:$A$597,0)),""))</f>
        <v>5.5E-2</v>
      </c>
      <c r="K81" s="21">
        <f t="shared" si="1"/>
        <v>151.25</v>
      </c>
    </row>
    <row r="82" spans="1:11" x14ac:dyDescent="0.35">
      <c r="A82" s="8">
        <v>46112</v>
      </c>
      <c r="B82" s="9" t="s">
        <v>843</v>
      </c>
      <c r="C82" s="9" t="s">
        <v>446</v>
      </c>
      <c r="D82" s="9" t="s">
        <v>131</v>
      </c>
      <c r="E82" s="18" t="str">
        <f>IF($D82="","",IFERROR(INDEX(Items!$B$5:$B$597,MATCH($D82,Items!$A$5:$A$597,0)),"⚠ not in Items"))</f>
        <v>Gloves</v>
      </c>
      <c r="F82" s="19" t="str">
        <f>IF($D82="","",IFERROR(INDEX(Items!$C$5:$C$597,MATCH($D82,Items!$A$5:$A$597,0)),""))</f>
        <v>Small</v>
      </c>
      <c r="G82" s="12">
        <v>0</v>
      </c>
      <c r="H82" s="8">
        <v>46159</v>
      </c>
      <c r="I82" s="8">
        <v>46113</v>
      </c>
      <c r="J82" s="20">
        <f>IF($D82="","",IFERROR(INDEX(Items!$D$5:$D$597,MATCH($D82,Items!$A$5:$A$597,0)),""))</f>
        <v>5.5E-2</v>
      </c>
      <c r="K82" s="21">
        <f t="shared" si="1"/>
        <v>0</v>
      </c>
    </row>
    <row r="83" spans="1:11" x14ac:dyDescent="0.35">
      <c r="A83" s="8">
        <v>46112</v>
      </c>
      <c r="B83" s="9" t="s">
        <v>843</v>
      </c>
      <c r="C83" s="9" t="s">
        <v>447</v>
      </c>
      <c r="D83" s="9" t="s">
        <v>131</v>
      </c>
      <c r="E83" s="18" t="str">
        <f>IF($D83="","",IFERROR(INDEX(Items!$B$5:$B$597,MATCH($D83,Items!$A$5:$A$597,0)),"⚠ not in Items"))</f>
        <v>Gloves</v>
      </c>
      <c r="F83" s="19" t="str">
        <f>IF($D83="","",IFERROR(INDEX(Items!$C$5:$C$597,MATCH($D83,Items!$A$5:$A$597,0)),""))</f>
        <v>Small</v>
      </c>
      <c r="G83" s="12">
        <v>0</v>
      </c>
      <c r="H83" s="8">
        <v>46179</v>
      </c>
      <c r="I83" s="8">
        <v>46113</v>
      </c>
      <c r="J83" s="20">
        <f>IF($D83="","",IFERROR(INDEX(Items!$D$5:$D$597,MATCH($D83,Items!$A$5:$A$597,0)),""))</f>
        <v>5.5E-2</v>
      </c>
      <c r="K83" s="21">
        <f t="shared" si="1"/>
        <v>0</v>
      </c>
    </row>
    <row r="84" spans="1:11" x14ac:dyDescent="0.35">
      <c r="A84" s="8">
        <v>46112</v>
      </c>
      <c r="B84" s="9" t="s">
        <v>843</v>
      </c>
      <c r="C84" s="9" t="s">
        <v>448</v>
      </c>
      <c r="D84" s="9" t="s">
        <v>132</v>
      </c>
      <c r="E84" s="18" t="str">
        <f>IF($D84="","",IFERROR(INDEX(Items!$B$5:$B$597,MATCH($D84,Items!$A$5:$A$597,0)),"⚠ not in Items"))</f>
        <v>Gloves</v>
      </c>
      <c r="F84" s="19" t="str">
        <f>IF($D84="","",IFERROR(INDEX(Items!$C$5:$C$597,MATCH($D84,Items!$A$5:$A$597,0)),""))</f>
        <v>X-Large</v>
      </c>
      <c r="G84" s="12">
        <v>0</v>
      </c>
      <c r="H84" s="8">
        <v>46147</v>
      </c>
      <c r="I84" s="8">
        <v>46113</v>
      </c>
      <c r="J84" s="20">
        <f>IF($D84="","",IFERROR(INDEX(Items!$D$5:$D$597,MATCH($D84,Items!$A$5:$A$597,0)),""))</f>
        <v>5.5E-2</v>
      </c>
      <c r="K84" s="21">
        <f t="shared" si="1"/>
        <v>0</v>
      </c>
    </row>
    <row r="85" spans="1:11" x14ac:dyDescent="0.35">
      <c r="A85" s="8">
        <v>46112</v>
      </c>
      <c r="B85" s="9" t="s">
        <v>843</v>
      </c>
      <c r="C85" s="9" t="s">
        <v>449</v>
      </c>
      <c r="D85" s="9" t="s">
        <v>132</v>
      </c>
      <c r="E85" s="18" t="str">
        <f>IF($D85="","",IFERROR(INDEX(Items!$B$5:$B$597,MATCH($D85,Items!$A$5:$A$597,0)),"⚠ not in Items"))</f>
        <v>Gloves</v>
      </c>
      <c r="F85" s="19" t="str">
        <f>IF($D85="","",IFERROR(INDEX(Items!$C$5:$C$597,MATCH($D85,Items!$A$5:$A$597,0)),""))</f>
        <v>X-Large</v>
      </c>
      <c r="G85" s="12">
        <v>1000</v>
      </c>
      <c r="H85" s="8">
        <v>46172</v>
      </c>
      <c r="I85" s="8">
        <v>46113</v>
      </c>
      <c r="J85" s="20">
        <f>IF($D85="","",IFERROR(INDEX(Items!$D$5:$D$597,MATCH($D85,Items!$A$5:$A$597,0)),""))</f>
        <v>5.5E-2</v>
      </c>
      <c r="K85" s="21">
        <f t="shared" si="1"/>
        <v>55</v>
      </c>
    </row>
    <row r="86" spans="1:11" x14ac:dyDescent="0.35">
      <c r="A86" s="8">
        <v>46112</v>
      </c>
      <c r="B86" s="9" t="s">
        <v>843</v>
      </c>
      <c r="C86" s="9" t="s">
        <v>450</v>
      </c>
      <c r="D86" s="9" t="s">
        <v>136</v>
      </c>
      <c r="E86" s="18" t="str">
        <f>IF($D86="","",IFERROR(INDEX(Items!$B$5:$B$597,MATCH($D86,Items!$A$5:$A$597,0)),"⚠ not in Items"))</f>
        <v>Eye Protection</v>
      </c>
      <c r="F86" s="19" t="str">
        <f>IF($D86="","",IFERROR(INDEX(Items!$C$5:$C$597,MATCH($D86,Items!$A$5:$A$597,0)),""))</f>
        <v>One Size</v>
      </c>
      <c r="G86" s="12">
        <v>30</v>
      </c>
      <c r="H86" s="8">
        <v>46235</v>
      </c>
      <c r="I86" s="8">
        <v>46113</v>
      </c>
      <c r="J86" s="20">
        <f>IF($D86="","",IFERROR(INDEX(Items!$D$5:$D$597,MATCH($D86,Items!$A$5:$A$597,0)),""))</f>
        <v>10</v>
      </c>
      <c r="K86" s="21">
        <f t="shared" si="1"/>
        <v>300</v>
      </c>
    </row>
    <row r="87" spans="1:11" x14ac:dyDescent="0.35">
      <c r="A87" s="8">
        <v>46112</v>
      </c>
      <c r="B87" s="9" t="s">
        <v>843</v>
      </c>
      <c r="C87" s="9" t="s">
        <v>451</v>
      </c>
      <c r="D87" s="9" t="s">
        <v>137</v>
      </c>
      <c r="E87" s="18" t="str">
        <f>IF($D87="","",IFERROR(INDEX(Items!$B$5:$B$597,MATCH($D87,Items!$A$5:$A$597,0)),"⚠ not in Items"))</f>
        <v>Sanitizer</v>
      </c>
      <c r="F87" s="19" t="str">
        <f>IF($D87="","",IFERROR(INDEX(Items!$C$5:$C$597,MATCH($D87,Items!$A$5:$A$597,0)),""))</f>
        <v>118 ML</v>
      </c>
      <c r="G87" s="12">
        <v>0</v>
      </c>
      <c r="H87" s="8">
        <v>47026</v>
      </c>
      <c r="I87" s="8">
        <v>46113</v>
      </c>
      <c r="J87" s="20">
        <f>IF($D87="","",IFERROR(INDEX(Items!$D$5:$D$597,MATCH($D87,Items!$A$5:$A$597,0)),""))</f>
        <v>4.49</v>
      </c>
      <c r="K87" s="21">
        <f t="shared" si="1"/>
        <v>0</v>
      </c>
    </row>
    <row r="88" spans="1:11" x14ac:dyDescent="0.35">
      <c r="A88" s="8">
        <v>46112</v>
      </c>
      <c r="B88" s="9" t="s">
        <v>843</v>
      </c>
      <c r="C88" s="9" t="s">
        <v>452</v>
      </c>
      <c r="D88" s="9" t="s">
        <v>137</v>
      </c>
      <c r="E88" s="18" t="str">
        <f>IF($D88="","",IFERROR(INDEX(Items!$B$5:$B$597,MATCH($D88,Items!$A$5:$A$597,0)),"⚠ not in Items"))</f>
        <v>Sanitizer</v>
      </c>
      <c r="F88" s="19" t="str">
        <f>IF($D88="","",IFERROR(INDEX(Items!$C$5:$C$597,MATCH($D88,Items!$A$5:$A$597,0)),""))</f>
        <v>118 ML</v>
      </c>
      <c r="G88" s="12">
        <v>0</v>
      </c>
      <c r="H88" s="8">
        <v>47026</v>
      </c>
      <c r="I88" s="8">
        <v>46113</v>
      </c>
      <c r="J88" s="20">
        <f>IF($D88="","",IFERROR(INDEX(Items!$D$5:$D$597,MATCH($D88,Items!$A$5:$A$597,0)),""))</f>
        <v>4.49</v>
      </c>
      <c r="K88" s="21">
        <f t="shared" si="1"/>
        <v>0</v>
      </c>
    </row>
    <row r="89" spans="1:11" x14ac:dyDescent="0.35">
      <c r="A89" s="8">
        <v>46112</v>
      </c>
      <c r="B89" s="9" t="s">
        <v>843</v>
      </c>
      <c r="C89" s="9" t="s">
        <v>453</v>
      </c>
      <c r="D89" s="9" t="s">
        <v>137</v>
      </c>
      <c r="E89" s="18" t="str">
        <f>IF($D89="","",IFERROR(INDEX(Items!$B$5:$B$597,MATCH($D89,Items!$A$5:$A$597,0)),"⚠ not in Items"))</f>
        <v>Sanitizer</v>
      </c>
      <c r="F89" s="19" t="str">
        <f>IF($D89="","",IFERROR(INDEX(Items!$C$5:$C$597,MATCH($D89,Items!$A$5:$A$597,0)),""))</f>
        <v>118 ML</v>
      </c>
      <c r="G89" s="12">
        <v>0</v>
      </c>
      <c r="H89" s="8">
        <v>47026</v>
      </c>
      <c r="I89" s="8">
        <v>46113</v>
      </c>
      <c r="J89" s="20">
        <f>IF($D89="","",IFERROR(INDEX(Items!$D$5:$D$597,MATCH($D89,Items!$A$5:$A$597,0)),""))</f>
        <v>4.49</v>
      </c>
      <c r="K89" s="21">
        <f t="shared" si="1"/>
        <v>0</v>
      </c>
    </row>
    <row r="90" spans="1:11" x14ac:dyDescent="0.35">
      <c r="A90" s="8">
        <v>46112</v>
      </c>
      <c r="B90" s="9" t="s">
        <v>843</v>
      </c>
      <c r="C90" s="9" t="s">
        <v>454</v>
      </c>
      <c r="D90" s="9" t="s">
        <v>137</v>
      </c>
      <c r="E90" s="18" t="str">
        <f>IF($D90="","",IFERROR(INDEX(Items!$B$5:$B$597,MATCH($D90,Items!$A$5:$A$597,0)),"⚠ not in Items"))</f>
        <v>Sanitizer</v>
      </c>
      <c r="F90" s="19" t="str">
        <f>IF($D90="","",IFERROR(INDEX(Items!$C$5:$C$597,MATCH($D90,Items!$A$5:$A$597,0)),""))</f>
        <v>118 ML</v>
      </c>
      <c r="G90" s="12">
        <v>0</v>
      </c>
      <c r="H90" s="8">
        <v>47026</v>
      </c>
      <c r="I90" s="8">
        <v>46113</v>
      </c>
      <c r="J90" s="20">
        <f>IF($D90="","",IFERROR(INDEX(Items!$D$5:$D$597,MATCH($D90,Items!$A$5:$A$597,0)),""))</f>
        <v>4.49</v>
      </c>
      <c r="K90" s="21">
        <f t="shared" si="1"/>
        <v>0</v>
      </c>
    </row>
    <row r="91" spans="1:11" x14ac:dyDescent="0.35">
      <c r="A91" s="8">
        <v>46112</v>
      </c>
      <c r="B91" s="9" t="s">
        <v>843</v>
      </c>
      <c r="C91" s="9" t="s">
        <v>455</v>
      </c>
      <c r="D91" s="9" t="s">
        <v>137</v>
      </c>
      <c r="E91" s="18" t="str">
        <f>IF($D91="","",IFERROR(INDEX(Items!$B$5:$B$597,MATCH($D91,Items!$A$5:$A$597,0)),"⚠ not in Items"))</f>
        <v>Sanitizer</v>
      </c>
      <c r="F91" s="19" t="str">
        <f>IF($D91="","",IFERROR(INDEX(Items!$C$5:$C$597,MATCH($D91,Items!$A$5:$A$597,0)),""))</f>
        <v>118 ML</v>
      </c>
      <c r="G91" s="12">
        <v>11</v>
      </c>
      <c r="H91" s="8">
        <v>47026</v>
      </c>
      <c r="I91" s="8">
        <v>46113</v>
      </c>
      <c r="J91" s="20">
        <f>IF($D91="","",IFERROR(INDEX(Items!$D$5:$D$597,MATCH($D91,Items!$A$5:$A$597,0)),""))</f>
        <v>4.49</v>
      </c>
      <c r="K91" s="21">
        <f t="shared" si="1"/>
        <v>49.39</v>
      </c>
    </row>
    <row r="92" spans="1:11" x14ac:dyDescent="0.35">
      <c r="A92" s="8">
        <v>46112</v>
      </c>
      <c r="B92" s="9" t="s">
        <v>843</v>
      </c>
      <c r="C92" s="9" t="s">
        <v>456</v>
      </c>
      <c r="D92" s="9" t="s">
        <v>137</v>
      </c>
      <c r="E92" s="18" t="str">
        <f>IF($D92="","",IFERROR(INDEX(Items!$B$5:$B$597,MATCH($D92,Items!$A$5:$A$597,0)),"⚠ not in Items"))</f>
        <v>Sanitizer</v>
      </c>
      <c r="F92" s="19" t="str">
        <f>IF($D92="","",IFERROR(INDEX(Items!$C$5:$C$597,MATCH($D92,Items!$A$5:$A$597,0)),""))</f>
        <v>118 ML</v>
      </c>
      <c r="G92" s="12">
        <v>48</v>
      </c>
      <c r="H92" s="8">
        <v>47026</v>
      </c>
      <c r="I92" s="8">
        <v>46113</v>
      </c>
      <c r="J92" s="20">
        <f>IF($D92="","",IFERROR(INDEX(Items!$D$5:$D$597,MATCH($D92,Items!$A$5:$A$597,0)),""))</f>
        <v>4.49</v>
      </c>
      <c r="K92" s="21">
        <f t="shared" si="1"/>
        <v>215.52</v>
      </c>
    </row>
    <row r="93" spans="1:11" x14ac:dyDescent="0.35">
      <c r="A93" s="8">
        <v>46112</v>
      </c>
      <c r="B93" s="9" t="s">
        <v>843</v>
      </c>
      <c r="C93" s="9" t="s">
        <v>457</v>
      </c>
      <c r="D93" s="9" t="s">
        <v>137</v>
      </c>
      <c r="E93" s="18" t="str">
        <f>IF($D93="","",IFERROR(INDEX(Items!$B$5:$B$597,MATCH($D93,Items!$A$5:$A$597,0)),"⚠ not in Items"))</f>
        <v>Sanitizer</v>
      </c>
      <c r="F93" s="19" t="str">
        <f>IF($D93="","",IFERROR(INDEX(Items!$C$5:$C$597,MATCH($D93,Items!$A$5:$A$597,0)),""))</f>
        <v>118 ML</v>
      </c>
      <c r="G93" s="12">
        <v>48</v>
      </c>
      <c r="H93" s="8">
        <v>47026</v>
      </c>
      <c r="I93" s="8">
        <v>46113</v>
      </c>
      <c r="J93" s="20">
        <f>IF($D93="","",IFERROR(INDEX(Items!$D$5:$D$597,MATCH($D93,Items!$A$5:$A$597,0)),""))</f>
        <v>4.49</v>
      </c>
      <c r="K93" s="21">
        <f t="shared" si="1"/>
        <v>215.52</v>
      </c>
    </row>
    <row r="94" spans="1:11" x14ac:dyDescent="0.35">
      <c r="A94" s="8">
        <v>46112</v>
      </c>
      <c r="B94" s="9" t="s">
        <v>843</v>
      </c>
      <c r="C94" s="9" t="s">
        <v>458</v>
      </c>
      <c r="D94" s="9" t="s">
        <v>137</v>
      </c>
      <c r="E94" s="18" t="str">
        <f>IF($D94="","",IFERROR(INDEX(Items!$B$5:$B$597,MATCH($D94,Items!$A$5:$A$597,0)),"⚠ not in Items"))</f>
        <v>Sanitizer</v>
      </c>
      <c r="F94" s="19" t="str">
        <f>IF($D94="","",IFERROR(INDEX(Items!$C$5:$C$597,MATCH($D94,Items!$A$5:$A$597,0)),""))</f>
        <v>118 ML</v>
      </c>
      <c r="G94" s="12">
        <v>48</v>
      </c>
      <c r="H94" s="8">
        <v>47026</v>
      </c>
      <c r="I94" s="8">
        <v>46113</v>
      </c>
      <c r="J94" s="20">
        <f>IF($D94="","",IFERROR(INDEX(Items!$D$5:$D$597,MATCH($D94,Items!$A$5:$A$597,0)),""))</f>
        <v>4.49</v>
      </c>
      <c r="K94" s="21">
        <f t="shared" si="1"/>
        <v>215.52</v>
      </c>
    </row>
    <row r="95" spans="1:11" x14ac:dyDescent="0.35">
      <c r="A95" s="8">
        <v>46112</v>
      </c>
      <c r="B95" s="9" t="s">
        <v>843</v>
      </c>
      <c r="C95" s="9" t="s">
        <v>459</v>
      </c>
      <c r="D95" s="9" t="s">
        <v>137</v>
      </c>
      <c r="E95" s="18" t="str">
        <f>IF($D95="","",IFERROR(INDEX(Items!$B$5:$B$597,MATCH($D95,Items!$A$5:$A$597,0)),"⚠ not in Items"))</f>
        <v>Sanitizer</v>
      </c>
      <c r="F95" s="19" t="str">
        <f>IF($D95="","",IFERROR(INDEX(Items!$C$5:$C$597,MATCH($D95,Items!$A$5:$A$597,0)),""))</f>
        <v>118 ML</v>
      </c>
      <c r="G95" s="12">
        <v>0</v>
      </c>
      <c r="H95" s="8">
        <v>47046</v>
      </c>
      <c r="I95" s="8">
        <v>46113</v>
      </c>
      <c r="J95" s="20">
        <f>IF($D95="","",IFERROR(INDEX(Items!$D$5:$D$597,MATCH($D95,Items!$A$5:$A$597,0)),""))</f>
        <v>4.49</v>
      </c>
      <c r="K95" s="21">
        <f t="shared" si="1"/>
        <v>0</v>
      </c>
    </row>
    <row r="96" spans="1:11" x14ac:dyDescent="0.35">
      <c r="A96" s="8">
        <v>46112</v>
      </c>
      <c r="B96" s="9" t="s">
        <v>843</v>
      </c>
      <c r="C96" s="9" t="s">
        <v>460</v>
      </c>
      <c r="D96" s="9" t="s">
        <v>137</v>
      </c>
      <c r="E96" s="18" t="str">
        <f>IF($D96="","",IFERROR(INDEX(Items!$B$5:$B$597,MATCH($D96,Items!$A$5:$A$597,0)),"⚠ not in Items"))</f>
        <v>Sanitizer</v>
      </c>
      <c r="F96" s="19" t="str">
        <f>IF($D96="","",IFERROR(INDEX(Items!$C$5:$C$597,MATCH($D96,Items!$A$5:$A$597,0)),""))</f>
        <v>118 ML</v>
      </c>
      <c r="G96" s="12">
        <v>0</v>
      </c>
      <c r="H96" s="8">
        <v>47776</v>
      </c>
      <c r="I96" s="8">
        <v>46113</v>
      </c>
      <c r="J96" s="20">
        <f>IF($D96="","",IFERROR(INDEX(Items!$D$5:$D$597,MATCH($D96,Items!$A$5:$A$597,0)),""))</f>
        <v>4.49</v>
      </c>
      <c r="K96" s="21">
        <f t="shared" si="1"/>
        <v>0</v>
      </c>
    </row>
    <row r="97" spans="1:11" x14ac:dyDescent="0.35">
      <c r="A97" s="8">
        <v>46112</v>
      </c>
      <c r="B97" s="9" t="s">
        <v>843</v>
      </c>
      <c r="C97" s="9" t="s">
        <v>461</v>
      </c>
      <c r="D97" s="9" t="s">
        <v>137</v>
      </c>
      <c r="E97" s="18" t="str">
        <f>IF($D97="","",IFERROR(INDEX(Items!$B$5:$B$597,MATCH($D97,Items!$A$5:$A$597,0)),"⚠ not in Items"))</f>
        <v>Sanitizer</v>
      </c>
      <c r="F97" s="19" t="str">
        <f>IF($D97="","",IFERROR(INDEX(Items!$C$5:$C$597,MATCH($D97,Items!$A$5:$A$597,0)),""))</f>
        <v>118 ML</v>
      </c>
      <c r="G97" s="12">
        <v>0</v>
      </c>
      <c r="H97" s="8">
        <v>46537</v>
      </c>
      <c r="I97" s="8">
        <v>46113</v>
      </c>
      <c r="J97" s="20">
        <f>IF($D97="","",IFERROR(INDEX(Items!$D$5:$D$597,MATCH($D97,Items!$A$5:$A$597,0)),""))</f>
        <v>4.49</v>
      </c>
      <c r="K97" s="21">
        <f t="shared" si="1"/>
        <v>0</v>
      </c>
    </row>
    <row r="98" spans="1:11" x14ac:dyDescent="0.35">
      <c r="A98" s="8">
        <v>46112</v>
      </c>
      <c r="B98" s="9" t="s">
        <v>843</v>
      </c>
      <c r="C98" s="9" t="s">
        <v>462</v>
      </c>
      <c r="D98" s="9" t="s">
        <v>137</v>
      </c>
      <c r="E98" s="18" t="str">
        <f>IF($D98="","",IFERROR(INDEX(Items!$B$5:$B$597,MATCH($D98,Items!$A$5:$A$597,0)),"⚠ not in Items"))</f>
        <v>Sanitizer</v>
      </c>
      <c r="F98" s="19" t="str">
        <f>IF($D98="","",IFERROR(INDEX(Items!$C$5:$C$597,MATCH($D98,Items!$A$5:$A$597,0)),""))</f>
        <v>118 ML</v>
      </c>
      <c r="G98" s="12">
        <v>0</v>
      </c>
      <c r="H98" s="8">
        <v>46554</v>
      </c>
      <c r="I98" s="8">
        <v>46113</v>
      </c>
      <c r="J98" s="20">
        <f>IF($D98="","",IFERROR(INDEX(Items!$D$5:$D$597,MATCH($D98,Items!$A$5:$A$597,0)),""))</f>
        <v>4.49</v>
      </c>
      <c r="K98" s="21">
        <f t="shared" si="1"/>
        <v>0</v>
      </c>
    </row>
    <row r="99" spans="1:11" x14ac:dyDescent="0.35">
      <c r="A99" s="8">
        <v>46112</v>
      </c>
      <c r="B99" s="9" t="s">
        <v>843</v>
      </c>
      <c r="C99" s="9" t="s">
        <v>463</v>
      </c>
      <c r="D99" s="9" t="s">
        <v>191</v>
      </c>
      <c r="E99" s="18" t="str">
        <f>IF($D99="","",IFERROR(INDEX(Items!$B$5:$B$597,MATCH($D99,Items!$A$5:$A$597,0)),"⚠ not in Items"))</f>
        <v>Sanitizer</v>
      </c>
      <c r="F99" s="19" t="str">
        <f>IF($D99="","",IFERROR(INDEX(Items!$C$5:$C$597,MATCH($D99,Items!$A$5:$A$597,0)),""))</f>
        <v>236 ML</v>
      </c>
      <c r="G99" s="12">
        <v>84</v>
      </c>
      <c r="H99" s="8">
        <v>47026</v>
      </c>
      <c r="I99" s="8">
        <v>46113</v>
      </c>
      <c r="J99" s="20">
        <f>IF($D99="","",IFERROR(INDEX(Items!$D$5:$D$597,MATCH($D99,Items!$A$5:$A$597,0)),""))</f>
        <v>1E-4</v>
      </c>
      <c r="K99" s="21">
        <f t="shared" si="1"/>
        <v>8.4000000000000012E-3</v>
      </c>
    </row>
    <row r="100" spans="1:11" x14ac:dyDescent="0.35">
      <c r="A100" s="8">
        <v>46112</v>
      </c>
      <c r="B100" s="9" t="s">
        <v>843</v>
      </c>
      <c r="C100" s="9" t="s">
        <v>464</v>
      </c>
      <c r="D100" s="9" t="s">
        <v>191</v>
      </c>
      <c r="E100" s="18" t="str">
        <f>IF($D100="","",IFERROR(INDEX(Items!$B$5:$B$597,MATCH($D100,Items!$A$5:$A$597,0)),"⚠ not in Items"))</f>
        <v>Sanitizer</v>
      </c>
      <c r="F100" s="19" t="str">
        <f>IF($D100="","",IFERROR(INDEX(Items!$C$5:$C$597,MATCH($D100,Items!$A$5:$A$597,0)),""))</f>
        <v>236 ML</v>
      </c>
      <c r="G100" s="12">
        <v>36</v>
      </c>
      <c r="H100" s="8">
        <v>46811</v>
      </c>
      <c r="I100" s="8">
        <v>46113</v>
      </c>
      <c r="J100" s="20">
        <f>IF($D100="","",IFERROR(INDEX(Items!$D$5:$D$597,MATCH($D100,Items!$A$5:$A$597,0)),""))</f>
        <v>1E-4</v>
      </c>
      <c r="K100" s="21">
        <f t="shared" si="1"/>
        <v>3.6000000000000003E-3</v>
      </c>
    </row>
    <row r="101" spans="1:11" x14ac:dyDescent="0.35">
      <c r="A101" s="8">
        <v>46112</v>
      </c>
      <c r="B101" s="9" t="s">
        <v>843</v>
      </c>
      <c r="C101" s="9" t="s">
        <v>465</v>
      </c>
      <c r="D101" s="9" t="s">
        <v>140</v>
      </c>
      <c r="E101" s="18" t="str">
        <f>IF($D101="","",IFERROR(INDEX(Items!$B$5:$B$597,MATCH($D101,Items!$A$5:$A$597,0)),"⚠ not in Items"))</f>
        <v>PPE</v>
      </c>
      <c r="F101" s="19" t="str">
        <f>IF($D101="","",IFERROR(INDEX(Items!$C$5:$C$597,MATCH($D101,Items!$A$5:$A$597,0)),""))</f>
        <v>Small</v>
      </c>
      <c r="G101" s="12">
        <v>15</v>
      </c>
      <c r="H101" s="8">
        <v>47386</v>
      </c>
      <c r="I101" s="8">
        <v>46113</v>
      </c>
      <c r="J101" s="20">
        <f>IF($D101="","",IFERROR(INDEX(Items!$D$5:$D$597,MATCH($D101,Items!$A$5:$A$597,0)),""))</f>
        <v>145.97999999999999</v>
      </c>
      <c r="K101" s="21">
        <f t="shared" si="1"/>
        <v>2189.6999999999998</v>
      </c>
    </row>
    <row r="102" spans="1:11" x14ac:dyDescent="0.35">
      <c r="A102" s="8">
        <v>46112</v>
      </c>
      <c r="B102" s="9" t="s">
        <v>843</v>
      </c>
      <c r="C102" s="9" t="s">
        <v>466</v>
      </c>
      <c r="D102" s="9" t="s">
        <v>141</v>
      </c>
      <c r="E102" s="18" t="str">
        <f>IF($D102="","",IFERROR(INDEX(Items!$B$5:$B$597,MATCH($D102,Items!$A$5:$A$597,0)),"⚠ not in Items"))</f>
        <v>PPE</v>
      </c>
      <c r="F102" s="19" t="str">
        <f>IF($D102="","",IFERROR(INDEX(Items!$C$5:$C$597,MATCH($D102,Items!$A$5:$A$597,0)),""))</f>
        <v>Large</v>
      </c>
      <c r="G102" s="12">
        <v>0</v>
      </c>
      <c r="H102" s="8">
        <v>47386</v>
      </c>
      <c r="I102" s="8">
        <v>46113</v>
      </c>
      <c r="J102" s="20">
        <f>IF($D102="","",IFERROR(INDEX(Items!$D$5:$D$597,MATCH($D102,Items!$A$5:$A$597,0)),""))</f>
        <v>145.97999999999999</v>
      </c>
      <c r="K102" s="21">
        <f t="shared" si="1"/>
        <v>0</v>
      </c>
    </row>
    <row r="103" spans="1:11" x14ac:dyDescent="0.35">
      <c r="A103" s="8">
        <v>46112</v>
      </c>
      <c r="B103" s="9" t="s">
        <v>843</v>
      </c>
      <c r="C103" s="9" t="s">
        <v>467</v>
      </c>
      <c r="D103" s="9" t="s">
        <v>142</v>
      </c>
      <c r="E103" s="18" t="str">
        <f>IF($D103="","",IFERROR(INDEX(Items!$B$5:$B$597,MATCH($D103,Items!$A$5:$A$597,0)),"⚠ not in Items"))</f>
        <v>PPE</v>
      </c>
      <c r="F103" s="19" t="str">
        <f>IF($D103="","",IFERROR(INDEX(Items!$C$5:$C$597,MATCH($D103,Items!$A$5:$A$597,0)),""))</f>
        <v>Medium</v>
      </c>
      <c r="G103" s="12">
        <v>1</v>
      </c>
      <c r="H103" s="8">
        <v>47386</v>
      </c>
      <c r="I103" s="8">
        <v>46113</v>
      </c>
      <c r="J103" s="20">
        <f>IF($D103="","",IFERROR(INDEX(Items!$D$5:$D$597,MATCH($D103,Items!$A$5:$A$597,0)),""))</f>
        <v>145.97999999999999</v>
      </c>
      <c r="K103" s="21">
        <f t="shared" si="1"/>
        <v>145.97999999999999</v>
      </c>
    </row>
    <row r="104" spans="1:11" x14ac:dyDescent="0.35">
      <c r="A104" s="8">
        <v>46112</v>
      </c>
      <c r="B104" s="9" t="s">
        <v>843</v>
      </c>
      <c r="C104" s="9" t="s">
        <v>468</v>
      </c>
      <c r="D104" s="9" t="s">
        <v>143</v>
      </c>
      <c r="E104" s="18" t="str">
        <f>IF($D104="","",IFERROR(INDEX(Items!$B$5:$B$597,MATCH($D104,Items!$A$5:$A$597,0)),"⚠ not in Items"))</f>
        <v>PPE</v>
      </c>
      <c r="F104" s="19" t="str">
        <f>IF($D104="","",IFERROR(INDEX(Items!$C$5:$C$597,MATCH($D104,Items!$A$5:$A$597,0)),""))</f>
        <v>X-Large</v>
      </c>
      <c r="G104" s="12">
        <v>4</v>
      </c>
      <c r="H104" s="8">
        <v>47386</v>
      </c>
      <c r="I104" s="8">
        <v>46113</v>
      </c>
      <c r="J104" s="20">
        <f>IF($D104="","",IFERROR(INDEX(Items!$D$5:$D$597,MATCH($D104,Items!$A$5:$A$597,0)),""))</f>
        <v>145.97999999999999</v>
      </c>
      <c r="K104" s="21">
        <f t="shared" si="1"/>
        <v>583.91999999999996</v>
      </c>
    </row>
    <row r="105" spans="1:11" x14ac:dyDescent="0.35">
      <c r="A105" s="8">
        <v>46112</v>
      </c>
      <c r="B105" s="9" t="s">
        <v>843</v>
      </c>
      <c r="C105" s="9" t="s">
        <v>469</v>
      </c>
      <c r="D105" s="9" t="s">
        <v>145</v>
      </c>
      <c r="E105" s="18" t="str">
        <f>IF($D105="","",IFERROR(INDEX(Items!$B$5:$B$597,MATCH($D105,Items!$A$5:$A$597,0)),"⚠ not in Items"))</f>
        <v>Apparel</v>
      </c>
      <c r="F105" s="19" t="str">
        <f>IF($D105="","",IFERROR(INDEX(Items!$C$5:$C$597,MATCH($D105,Items!$A$5:$A$597,0)),""))</f>
        <v>One Size</v>
      </c>
      <c r="G105" s="12">
        <v>280</v>
      </c>
      <c r="H105" s="8">
        <v>47046</v>
      </c>
      <c r="I105" s="8">
        <v>46113</v>
      </c>
      <c r="J105" s="20">
        <f>IF($D105="","",IFERROR(INDEX(Items!$D$5:$D$597,MATCH($D105,Items!$A$5:$A$597,0)),""))</f>
        <v>3</v>
      </c>
      <c r="K105" s="21">
        <f t="shared" si="1"/>
        <v>840</v>
      </c>
    </row>
    <row r="106" spans="1:11" x14ac:dyDescent="0.35">
      <c r="A106" s="8">
        <v>46112</v>
      </c>
      <c r="B106" s="9" t="s">
        <v>843</v>
      </c>
      <c r="C106" s="9" t="s">
        <v>470</v>
      </c>
      <c r="D106" s="9" t="s">
        <v>147</v>
      </c>
      <c r="E106" s="18" t="str">
        <f>IF($D106="","",IFERROR(INDEX(Items!$B$5:$B$597,MATCH($D106,Items!$A$5:$A$597,0)),"⚠ not in Items"))</f>
        <v>Apparel</v>
      </c>
      <c r="F106" s="19" t="str">
        <f>IF($D106="","",IFERROR(INDEX(Items!$C$5:$C$597,MATCH($D106,Items!$A$5:$A$597,0)),""))</f>
        <v>One Size</v>
      </c>
      <c r="G106" s="12">
        <v>1320</v>
      </c>
      <c r="H106" s="8">
        <v>47046</v>
      </c>
      <c r="I106" s="8">
        <v>46113</v>
      </c>
      <c r="J106" s="20">
        <f>IF($D106="","",IFERROR(INDEX(Items!$D$5:$D$597,MATCH($D106,Items!$A$5:$A$597,0)),""))</f>
        <v>3</v>
      </c>
      <c r="K106" s="21">
        <f t="shared" si="1"/>
        <v>3960</v>
      </c>
    </row>
    <row r="107" spans="1:11" x14ac:dyDescent="0.35">
      <c r="A107" s="8">
        <v>46112</v>
      </c>
      <c r="B107" s="9" t="s">
        <v>843</v>
      </c>
      <c r="C107" s="9" t="s">
        <v>471</v>
      </c>
      <c r="D107" s="9" t="s">
        <v>154</v>
      </c>
      <c r="E107" s="18" t="str">
        <f>IF($D107="","",IFERROR(INDEX(Items!$B$5:$B$597,MATCH($D107,Items!$A$5:$A$597,0)),"⚠ not in Items"))</f>
        <v>IPAC</v>
      </c>
      <c r="F107" s="19" t="str">
        <f>IF($D107="","",IFERROR(INDEX(Items!$C$5:$C$597,MATCH($D107,Items!$A$5:$A$597,0)),""))</f>
        <v>Regular</v>
      </c>
      <c r="G107" s="12">
        <v>0</v>
      </c>
      <c r="H107" s="8">
        <v>46537</v>
      </c>
      <c r="I107" s="8">
        <v>46113</v>
      </c>
      <c r="J107" s="20">
        <f>IF($D107="","",IFERROR(INDEX(Items!$D$5:$D$597,MATCH($D107,Items!$A$5:$A$597,0)),""))</f>
        <v>0.2</v>
      </c>
      <c r="K107" s="21">
        <f t="shared" si="1"/>
        <v>0</v>
      </c>
    </row>
    <row r="108" spans="1:11" x14ac:dyDescent="0.35">
      <c r="A108" s="8">
        <v>46112</v>
      </c>
      <c r="B108" s="9" t="s">
        <v>843</v>
      </c>
      <c r="C108" s="9" t="s">
        <v>472</v>
      </c>
      <c r="D108" s="9" t="s">
        <v>188</v>
      </c>
      <c r="E108" s="18" t="str">
        <f>IF($D108="","",IFERROR(INDEX(Items!$B$5:$B$597,MATCH($D108,Items!$A$5:$A$597,0)),"⚠ not in Items"))</f>
        <v>Gloves</v>
      </c>
      <c r="F108" s="19" t="str">
        <f>IF($D108="","",IFERROR(INDEX(Items!$C$5:$C$597,MATCH($D108,Items!$A$5:$A$597,0)),""))</f>
        <v>Large</v>
      </c>
      <c r="G108" s="12">
        <v>100</v>
      </c>
      <c r="H108" s="8">
        <v>46261</v>
      </c>
      <c r="I108" s="8">
        <v>46113</v>
      </c>
      <c r="J108" s="20">
        <f>IF($D108="","",IFERROR(INDEX(Items!$D$5:$D$597,MATCH($D108,Items!$A$5:$A$597,0)),""))</f>
        <v>0.54</v>
      </c>
      <c r="K108" s="21">
        <f t="shared" si="1"/>
        <v>54</v>
      </c>
    </row>
    <row r="109" spans="1:11" x14ac:dyDescent="0.35">
      <c r="A109" s="8">
        <v>46112</v>
      </c>
      <c r="B109" s="9" t="s">
        <v>843</v>
      </c>
      <c r="C109" s="9" t="s">
        <v>473</v>
      </c>
      <c r="D109" s="9" t="s">
        <v>187</v>
      </c>
      <c r="E109" s="18" t="str">
        <f>IF($D109="","",IFERROR(INDEX(Items!$B$5:$B$597,MATCH($D109,Items!$A$5:$A$597,0)),"⚠ not in Items"))</f>
        <v>Gloves</v>
      </c>
      <c r="F109" s="19" t="str">
        <f>IF($D109="","",IFERROR(INDEX(Items!$C$5:$C$597,MATCH($D109,Items!$A$5:$A$597,0)),""))</f>
        <v>Medium</v>
      </c>
      <c r="G109" s="12">
        <v>100</v>
      </c>
      <c r="H109" s="8">
        <v>46261</v>
      </c>
      <c r="I109" s="8">
        <v>46113</v>
      </c>
      <c r="J109" s="20">
        <f>IF($D109="","",IFERROR(INDEX(Items!$D$5:$D$597,MATCH($D109,Items!$A$5:$A$597,0)),""))</f>
        <v>0.54</v>
      </c>
      <c r="K109" s="21">
        <f t="shared" si="1"/>
        <v>54</v>
      </c>
    </row>
    <row r="110" spans="1:11" x14ac:dyDescent="0.35">
      <c r="A110" s="8">
        <v>46112</v>
      </c>
      <c r="B110" s="9" t="s">
        <v>843</v>
      </c>
      <c r="C110" s="9" t="s">
        <v>474</v>
      </c>
      <c r="D110" s="9" t="s">
        <v>156</v>
      </c>
      <c r="E110" s="18" t="str">
        <f>IF($D110="","",IFERROR(INDEX(Items!$B$5:$B$597,MATCH($D110,Items!$A$5:$A$597,0)),"⚠ not in Items"))</f>
        <v>Masks</v>
      </c>
      <c r="F110" s="19" t="str">
        <f>IF($D110="","",IFERROR(INDEX(Items!$C$5:$C$597,MATCH($D110,Items!$A$5:$A$597,0)),""))</f>
        <v>One Size</v>
      </c>
      <c r="G110" s="12">
        <v>6000</v>
      </c>
      <c r="H110" s="8">
        <v>46203</v>
      </c>
      <c r="I110" s="8">
        <v>46113</v>
      </c>
      <c r="J110" s="20">
        <f>IF($D110="","",IFERROR(INDEX(Items!$D$5:$D$597,MATCH($D110,Items!$A$5:$A$597,0)),""))</f>
        <v>0.25</v>
      </c>
      <c r="K110" s="21">
        <f t="shared" si="1"/>
        <v>1500</v>
      </c>
    </row>
    <row r="111" spans="1:11" x14ac:dyDescent="0.35">
      <c r="A111" s="8">
        <v>46112</v>
      </c>
      <c r="B111" s="9" t="s">
        <v>843</v>
      </c>
      <c r="C111" s="9" t="s">
        <v>475</v>
      </c>
      <c r="D111" s="9" t="s">
        <v>156</v>
      </c>
      <c r="E111" s="18" t="str">
        <f>IF($D111="","",IFERROR(INDEX(Items!$B$5:$B$597,MATCH($D111,Items!$A$5:$A$597,0)),"⚠ not in Items"))</f>
        <v>Masks</v>
      </c>
      <c r="F111" s="19" t="str">
        <f>IF($D111="","",IFERROR(INDEX(Items!$C$5:$C$597,MATCH($D111,Items!$A$5:$A$597,0)),""))</f>
        <v>One Size</v>
      </c>
      <c r="G111" s="12">
        <v>1200</v>
      </c>
      <c r="H111" s="8">
        <v>46203</v>
      </c>
      <c r="I111" s="8">
        <v>46113</v>
      </c>
      <c r="J111" s="20">
        <f>IF($D111="","",IFERROR(INDEX(Items!$D$5:$D$597,MATCH($D111,Items!$A$5:$A$597,0)),""))</f>
        <v>0.25</v>
      </c>
      <c r="K111" s="21">
        <f t="shared" si="1"/>
        <v>300</v>
      </c>
    </row>
    <row r="112" spans="1:11" x14ac:dyDescent="0.35">
      <c r="A112" s="8">
        <v>46112</v>
      </c>
      <c r="B112" s="9" t="s">
        <v>843</v>
      </c>
      <c r="C112" s="9" t="s">
        <v>476</v>
      </c>
      <c r="D112" s="9" t="s">
        <v>156</v>
      </c>
      <c r="E112" s="18" t="str">
        <f>IF($D112="","",IFERROR(INDEX(Items!$B$5:$B$597,MATCH($D112,Items!$A$5:$A$597,0)),"⚠ not in Items"))</f>
        <v>Masks</v>
      </c>
      <c r="F112" s="19" t="str">
        <f>IF($D112="","",IFERROR(INDEX(Items!$C$5:$C$597,MATCH($D112,Items!$A$5:$A$597,0)),""))</f>
        <v>One Size</v>
      </c>
      <c r="G112" s="12">
        <v>0</v>
      </c>
      <c r="H112" s="8">
        <v>46172</v>
      </c>
      <c r="I112" s="8">
        <v>46113</v>
      </c>
      <c r="J112" s="20">
        <f>IF($D112="","",IFERROR(INDEX(Items!$D$5:$D$597,MATCH($D112,Items!$A$5:$A$597,0)),""))</f>
        <v>0.25</v>
      </c>
      <c r="K112" s="21">
        <f t="shared" si="1"/>
        <v>0</v>
      </c>
    </row>
    <row r="113" spans="1:11" x14ac:dyDescent="0.35">
      <c r="A113" s="8">
        <v>46112</v>
      </c>
      <c r="B113" s="9" t="s">
        <v>843</v>
      </c>
      <c r="C113" s="9" t="s">
        <v>477</v>
      </c>
      <c r="D113" s="9" t="s">
        <v>156</v>
      </c>
      <c r="E113" s="18" t="str">
        <f>IF($D113="","",IFERROR(INDEX(Items!$B$5:$B$597,MATCH($D113,Items!$A$5:$A$597,0)),"⚠ not in Items"))</f>
        <v>Masks</v>
      </c>
      <c r="F113" s="19" t="str">
        <f>IF($D113="","",IFERROR(INDEX(Items!$C$5:$C$597,MATCH($D113,Items!$A$5:$A$597,0)),""))</f>
        <v>One Size</v>
      </c>
      <c r="G113" s="12">
        <v>0</v>
      </c>
      <c r="H113" s="8">
        <v>46554</v>
      </c>
      <c r="I113" s="8">
        <v>46113</v>
      </c>
      <c r="J113" s="20">
        <f>IF($D113="","",IFERROR(INDEX(Items!$D$5:$D$597,MATCH($D113,Items!$A$5:$A$597,0)),""))</f>
        <v>0.25</v>
      </c>
      <c r="K113" s="21">
        <f t="shared" si="1"/>
        <v>0</v>
      </c>
    </row>
    <row r="114" spans="1:11" x14ac:dyDescent="0.35">
      <c r="A114" s="8">
        <v>46112</v>
      </c>
      <c r="B114" s="9" t="s">
        <v>843</v>
      </c>
      <c r="C114" s="9" t="s">
        <v>478</v>
      </c>
      <c r="D114" s="9" t="s">
        <v>156</v>
      </c>
      <c r="E114" s="18" t="str">
        <f>IF($D114="","",IFERROR(INDEX(Items!$B$5:$B$597,MATCH($D114,Items!$A$5:$A$597,0)),"⚠ not in Items"))</f>
        <v>Masks</v>
      </c>
      <c r="F114" s="19" t="str">
        <f>IF($D114="","",IFERROR(INDEX(Items!$C$5:$C$597,MATCH($D114,Items!$A$5:$A$597,0)),""))</f>
        <v>One Size</v>
      </c>
      <c r="G114" s="12">
        <v>0</v>
      </c>
      <c r="H114" s="8">
        <v>46179</v>
      </c>
      <c r="I114" s="8">
        <v>46113</v>
      </c>
      <c r="J114" s="20">
        <f>IF($D114="","",IFERROR(INDEX(Items!$D$5:$D$597,MATCH($D114,Items!$A$5:$A$597,0)),""))</f>
        <v>0.25</v>
      </c>
      <c r="K114" s="21">
        <f t="shared" si="1"/>
        <v>0</v>
      </c>
    </row>
    <row r="115" spans="1:11" x14ac:dyDescent="0.35">
      <c r="A115" s="8">
        <v>46112</v>
      </c>
      <c r="B115" s="9" t="s">
        <v>843</v>
      </c>
      <c r="C115" s="9" t="s">
        <v>479</v>
      </c>
      <c r="D115" s="9" t="s">
        <v>156</v>
      </c>
      <c r="E115" s="18" t="str">
        <f>IF($D115="","",IFERROR(INDEX(Items!$B$5:$B$597,MATCH($D115,Items!$A$5:$A$597,0)),"⚠ not in Items"))</f>
        <v>Masks</v>
      </c>
      <c r="F115" s="19" t="str">
        <f>IF($D115="","",IFERROR(INDEX(Items!$C$5:$C$597,MATCH($D115,Items!$A$5:$A$597,0)),""))</f>
        <v>One Size</v>
      </c>
      <c r="G115" s="12">
        <v>0</v>
      </c>
      <c r="H115" s="8">
        <v>46216</v>
      </c>
      <c r="I115" s="8">
        <v>46113</v>
      </c>
      <c r="J115" s="20">
        <f>IF($D115="","",IFERROR(INDEX(Items!$D$5:$D$597,MATCH($D115,Items!$A$5:$A$597,0)),""))</f>
        <v>0.25</v>
      </c>
      <c r="K115" s="21">
        <f t="shared" si="1"/>
        <v>0</v>
      </c>
    </row>
    <row r="116" spans="1:11" x14ac:dyDescent="0.35">
      <c r="A116" s="8">
        <v>46112</v>
      </c>
      <c r="B116" s="9" t="s">
        <v>843</v>
      </c>
      <c r="C116" s="9" t="s">
        <v>480</v>
      </c>
      <c r="D116" s="9" t="s">
        <v>156</v>
      </c>
      <c r="E116" s="18" t="str">
        <f>IF($D116="","",IFERROR(INDEX(Items!$B$5:$B$597,MATCH($D116,Items!$A$5:$A$597,0)),"⚠ not in Items"))</f>
        <v>Masks</v>
      </c>
      <c r="F116" s="19" t="str">
        <f>IF($D116="","",IFERROR(INDEX(Items!$C$5:$C$597,MATCH($D116,Items!$A$5:$A$597,0)),""))</f>
        <v>One Size</v>
      </c>
      <c r="G116" s="12">
        <v>0</v>
      </c>
      <c r="H116" s="8">
        <v>46223</v>
      </c>
      <c r="I116" s="8">
        <v>46113</v>
      </c>
      <c r="J116" s="20">
        <f>IF($D116="","",IFERROR(INDEX(Items!$D$5:$D$597,MATCH($D116,Items!$A$5:$A$597,0)),""))</f>
        <v>0.25</v>
      </c>
      <c r="K116" s="21">
        <f t="shared" si="1"/>
        <v>0</v>
      </c>
    </row>
    <row r="117" spans="1:11" x14ac:dyDescent="0.35">
      <c r="A117" s="8">
        <v>46112</v>
      </c>
      <c r="B117" s="9" t="s">
        <v>843</v>
      </c>
      <c r="C117" s="9" t="s">
        <v>481</v>
      </c>
      <c r="D117" s="9" t="s">
        <v>156</v>
      </c>
      <c r="E117" s="18" t="str">
        <f>IF($D117="","",IFERROR(INDEX(Items!$B$5:$B$597,MATCH($D117,Items!$A$5:$A$597,0)),"⚠ not in Items"))</f>
        <v>Masks</v>
      </c>
      <c r="F117" s="19" t="str">
        <f>IF($D117="","",IFERROR(INDEX(Items!$C$5:$C$597,MATCH($D117,Items!$A$5:$A$597,0)),""))</f>
        <v>One Size</v>
      </c>
      <c r="G117" s="12">
        <v>0</v>
      </c>
      <c r="H117" s="8">
        <v>46229</v>
      </c>
      <c r="I117" s="8">
        <v>46113</v>
      </c>
      <c r="J117" s="20">
        <f>IF($D117="","",IFERROR(INDEX(Items!$D$5:$D$597,MATCH($D117,Items!$A$5:$A$597,0)),""))</f>
        <v>0.25</v>
      </c>
      <c r="K117" s="21">
        <f t="shared" si="1"/>
        <v>0</v>
      </c>
    </row>
    <row r="118" spans="1:11" x14ac:dyDescent="0.35">
      <c r="A118" s="8">
        <v>46112</v>
      </c>
      <c r="B118" s="9" t="s">
        <v>843</v>
      </c>
      <c r="C118" s="9" t="s">
        <v>482</v>
      </c>
      <c r="D118" s="9" t="s">
        <v>156</v>
      </c>
      <c r="E118" s="18" t="str">
        <f>IF($D118="","",IFERROR(INDEX(Items!$B$5:$B$597,MATCH($D118,Items!$A$5:$A$597,0)),"⚠ not in Items"))</f>
        <v>Masks</v>
      </c>
      <c r="F118" s="19" t="str">
        <f>IF($D118="","",IFERROR(INDEX(Items!$C$5:$C$597,MATCH($D118,Items!$A$5:$A$597,0)),""))</f>
        <v>One Size</v>
      </c>
      <c r="G118" s="12">
        <v>0</v>
      </c>
      <c r="H118" s="8">
        <v>46238</v>
      </c>
      <c r="I118" s="8">
        <v>46113</v>
      </c>
      <c r="J118" s="20">
        <f>IF($D118="","",IFERROR(INDEX(Items!$D$5:$D$597,MATCH($D118,Items!$A$5:$A$597,0)),""))</f>
        <v>0.25</v>
      </c>
      <c r="K118" s="21">
        <f t="shared" si="1"/>
        <v>0</v>
      </c>
    </row>
    <row r="119" spans="1:11" x14ac:dyDescent="0.35">
      <c r="A119" s="8">
        <v>46112</v>
      </c>
      <c r="B119" s="9" t="s">
        <v>843</v>
      </c>
      <c r="C119" s="9" t="s">
        <v>483</v>
      </c>
      <c r="D119" s="9" t="s">
        <v>156</v>
      </c>
      <c r="E119" s="18" t="str">
        <f>IF($D119="","",IFERROR(INDEX(Items!$B$5:$B$597,MATCH($D119,Items!$A$5:$A$597,0)),"⚠ not in Items"))</f>
        <v>Masks</v>
      </c>
      <c r="F119" s="19" t="str">
        <f>IF($D119="","",IFERROR(INDEX(Items!$C$5:$C$597,MATCH($D119,Items!$A$5:$A$597,0)),""))</f>
        <v>One Size</v>
      </c>
      <c r="G119" s="12">
        <v>0</v>
      </c>
      <c r="H119" s="8">
        <v>46261</v>
      </c>
      <c r="I119" s="8">
        <v>46113</v>
      </c>
      <c r="J119" s="20">
        <f>IF($D119="","",IFERROR(INDEX(Items!$D$5:$D$597,MATCH($D119,Items!$A$5:$A$597,0)),""))</f>
        <v>0.25</v>
      </c>
      <c r="K119" s="21">
        <f t="shared" si="1"/>
        <v>0</v>
      </c>
    </row>
    <row r="120" spans="1:11" x14ac:dyDescent="0.35">
      <c r="A120" s="8">
        <v>46112</v>
      </c>
      <c r="B120" s="9" t="s">
        <v>843</v>
      </c>
      <c r="C120" s="9" t="s">
        <v>484</v>
      </c>
      <c r="D120" s="9" t="s">
        <v>156</v>
      </c>
      <c r="E120" s="18" t="str">
        <f>IF($D120="","",IFERROR(INDEX(Items!$B$5:$B$597,MATCH($D120,Items!$A$5:$A$597,0)),"⚠ not in Items"))</f>
        <v>Masks</v>
      </c>
      <c r="F120" s="19" t="str">
        <f>IF($D120="","",IFERROR(INDEX(Items!$C$5:$C$597,MATCH($D120,Items!$A$5:$A$597,0)),""))</f>
        <v>One Size</v>
      </c>
      <c r="G120" s="12">
        <v>0</v>
      </c>
      <c r="H120" s="8">
        <v>46270</v>
      </c>
      <c r="I120" s="8">
        <v>46113</v>
      </c>
      <c r="J120" s="20">
        <f>IF($D120="","",IFERROR(INDEX(Items!$D$5:$D$597,MATCH($D120,Items!$A$5:$A$597,0)),""))</f>
        <v>0.25</v>
      </c>
      <c r="K120" s="21">
        <f t="shared" si="1"/>
        <v>0</v>
      </c>
    </row>
    <row r="121" spans="1:11" x14ac:dyDescent="0.35">
      <c r="A121" s="8">
        <v>46112</v>
      </c>
      <c r="B121" s="9" t="s">
        <v>843</v>
      </c>
      <c r="C121" s="9" t="s">
        <v>485</v>
      </c>
      <c r="D121" s="9" t="s">
        <v>156</v>
      </c>
      <c r="E121" s="18" t="str">
        <f>IF($D121="","",IFERROR(INDEX(Items!$B$5:$B$597,MATCH($D121,Items!$A$5:$A$597,0)),"⚠ not in Items"))</f>
        <v>Masks</v>
      </c>
      <c r="F121" s="19" t="str">
        <f>IF($D121="","",IFERROR(INDEX(Items!$C$5:$C$597,MATCH($D121,Items!$A$5:$A$597,0)),""))</f>
        <v>One Size</v>
      </c>
      <c r="G121" s="12">
        <v>900</v>
      </c>
      <c r="H121" s="8">
        <v>46275</v>
      </c>
      <c r="I121" s="8">
        <v>46113</v>
      </c>
      <c r="J121" s="20">
        <f>IF($D121="","",IFERROR(INDEX(Items!$D$5:$D$597,MATCH($D121,Items!$A$5:$A$597,0)),""))</f>
        <v>0.25</v>
      </c>
      <c r="K121" s="21">
        <f t="shared" si="1"/>
        <v>225</v>
      </c>
    </row>
    <row r="122" spans="1:11" x14ac:dyDescent="0.35">
      <c r="A122" s="8">
        <v>46112</v>
      </c>
      <c r="B122" s="9" t="s">
        <v>843</v>
      </c>
      <c r="C122" s="9" t="s">
        <v>486</v>
      </c>
      <c r="D122" s="9" t="s">
        <v>156</v>
      </c>
      <c r="E122" s="18" t="str">
        <f>IF($D122="","",IFERROR(INDEX(Items!$B$5:$B$597,MATCH($D122,Items!$A$5:$A$597,0)),"⚠ not in Items"))</f>
        <v>Masks</v>
      </c>
      <c r="F122" s="19" t="str">
        <f>IF($D122="","",IFERROR(INDEX(Items!$C$5:$C$597,MATCH($D122,Items!$A$5:$A$597,0)),""))</f>
        <v>One Size</v>
      </c>
      <c r="G122" s="12">
        <v>600</v>
      </c>
      <c r="H122" s="8">
        <v>46283</v>
      </c>
      <c r="I122" s="8">
        <v>46113</v>
      </c>
      <c r="J122" s="20">
        <f>IF($D122="","",IFERROR(INDEX(Items!$D$5:$D$597,MATCH($D122,Items!$A$5:$A$597,0)),""))</f>
        <v>0.25</v>
      </c>
      <c r="K122" s="21">
        <f t="shared" si="1"/>
        <v>150</v>
      </c>
    </row>
    <row r="123" spans="1:11" x14ac:dyDescent="0.35">
      <c r="A123" s="8">
        <v>46112</v>
      </c>
      <c r="B123" s="9" t="s">
        <v>843</v>
      </c>
      <c r="C123" s="9" t="s">
        <v>487</v>
      </c>
      <c r="D123" s="9" t="s">
        <v>156</v>
      </c>
      <c r="E123" s="18" t="str">
        <f>IF($D123="","",IFERROR(INDEX(Items!$B$5:$B$597,MATCH($D123,Items!$A$5:$A$597,0)),"⚠ not in Items"))</f>
        <v>Masks</v>
      </c>
      <c r="F123" s="19" t="str">
        <f>IF($D123="","",IFERROR(INDEX(Items!$C$5:$C$597,MATCH($D123,Items!$A$5:$A$597,0)),""))</f>
        <v>One Size</v>
      </c>
      <c r="G123" s="12">
        <v>0</v>
      </c>
      <c r="H123" s="8">
        <v>46244</v>
      </c>
      <c r="I123" s="8">
        <v>46113</v>
      </c>
      <c r="J123" s="20">
        <f>IF($D123="","",IFERROR(INDEX(Items!$D$5:$D$597,MATCH($D123,Items!$A$5:$A$597,0)),""))</f>
        <v>0.25</v>
      </c>
      <c r="K123" s="21">
        <f t="shared" si="1"/>
        <v>0</v>
      </c>
    </row>
    <row r="124" spans="1:11" x14ac:dyDescent="0.35">
      <c r="A124" s="8">
        <v>46112</v>
      </c>
      <c r="B124" s="9" t="s">
        <v>843</v>
      </c>
      <c r="C124" s="9" t="s">
        <v>488</v>
      </c>
      <c r="D124" s="9" t="s">
        <v>156</v>
      </c>
      <c r="E124" s="18" t="str">
        <f>IF($D124="","",IFERROR(INDEX(Items!$B$5:$B$597,MATCH($D124,Items!$A$5:$A$597,0)),"⚠ not in Items"))</f>
        <v>Masks</v>
      </c>
      <c r="F124" s="19" t="str">
        <f>IF($D124="","",IFERROR(INDEX(Items!$C$5:$C$597,MATCH($D124,Items!$A$5:$A$597,0)),""))</f>
        <v>One Size</v>
      </c>
      <c r="G124" s="12">
        <v>0</v>
      </c>
      <c r="H124" s="8">
        <v>46252</v>
      </c>
      <c r="I124" s="8">
        <v>46113</v>
      </c>
      <c r="J124" s="20">
        <f>IF($D124="","",IFERROR(INDEX(Items!$D$5:$D$597,MATCH($D124,Items!$A$5:$A$597,0)),""))</f>
        <v>0.25</v>
      </c>
      <c r="K124" s="21">
        <f t="shared" si="1"/>
        <v>0</v>
      </c>
    </row>
    <row r="125" spans="1:11" x14ac:dyDescent="0.35">
      <c r="A125" s="8">
        <v>46112</v>
      </c>
      <c r="B125" s="9" t="s">
        <v>843</v>
      </c>
      <c r="C125" s="9" t="s">
        <v>489</v>
      </c>
      <c r="D125" s="9" t="s">
        <v>156</v>
      </c>
      <c r="E125" s="18" t="str">
        <f>IF($D125="","",IFERROR(INDEX(Items!$B$5:$B$597,MATCH($D125,Items!$A$5:$A$597,0)),"⚠ not in Items"))</f>
        <v>Masks</v>
      </c>
      <c r="F125" s="19" t="str">
        <f>IF($D125="","",IFERROR(INDEX(Items!$C$5:$C$597,MATCH($D125,Items!$A$5:$A$597,0)),""))</f>
        <v>One Size</v>
      </c>
      <c r="G125" s="12">
        <v>0</v>
      </c>
      <c r="H125" s="8">
        <v>46318</v>
      </c>
      <c r="I125" s="8">
        <v>46113</v>
      </c>
      <c r="J125" s="20">
        <f>IF($D125="","",IFERROR(INDEX(Items!$D$5:$D$597,MATCH($D125,Items!$A$5:$A$597,0)),""))</f>
        <v>0.25</v>
      </c>
      <c r="K125" s="21">
        <f t="shared" si="1"/>
        <v>0</v>
      </c>
    </row>
    <row r="126" spans="1:11" x14ac:dyDescent="0.35">
      <c r="A126" s="8">
        <v>46112</v>
      </c>
      <c r="B126" s="9" t="s">
        <v>843</v>
      </c>
      <c r="C126" s="9" t="s">
        <v>490</v>
      </c>
      <c r="D126" s="9" t="s">
        <v>156</v>
      </c>
      <c r="E126" s="18" t="str">
        <f>IF($D126="","",IFERROR(INDEX(Items!$B$5:$B$597,MATCH($D126,Items!$A$5:$A$597,0)),"⚠ not in Items"))</f>
        <v>Masks</v>
      </c>
      <c r="F126" s="19" t="str">
        <f>IF($D126="","",IFERROR(INDEX(Items!$C$5:$C$597,MATCH($D126,Items!$A$5:$A$597,0)),""))</f>
        <v>One Size</v>
      </c>
      <c r="G126" s="12">
        <v>0</v>
      </c>
      <c r="H126" s="8">
        <v>46140</v>
      </c>
      <c r="I126" s="8">
        <v>46113</v>
      </c>
      <c r="J126" s="20">
        <f>IF($D126="","",IFERROR(INDEX(Items!$D$5:$D$597,MATCH($D126,Items!$A$5:$A$597,0)),""))</f>
        <v>0.25</v>
      </c>
      <c r="K126" s="21">
        <f t="shared" si="1"/>
        <v>0</v>
      </c>
    </row>
    <row r="127" spans="1:11" x14ac:dyDescent="0.35">
      <c r="A127" s="8">
        <v>46112</v>
      </c>
      <c r="B127" s="9" t="s">
        <v>843</v>
      </c>
      <c r="C127" s="9" t="s">
        <v>491</v>
      </c>
      <c r="D127" s="9" t="s">
        <v>156</v>
      </c>
      <c r="E127" s="18" t="str">
        <f>IF($D127="","",IFERROR(INDEX(Items!$B$5:$B$597,MATCH($D127,Items!$A$5:$A$597,0)),"⚠ not in Items"))</f>
        <v>Masks</v>
      </c>
      <c r="F127" s="19" t="str">
        <f>IF($D127="","",IFERROR(INDEX(Items!$C$5:$C$597,MATCH($D127,Items!$A$5:$A$597,0)),""))</f>
        <v>One Size</v>
      </c>
      <c r="G127" s="12">
        <v>0</v>
      </c>
      <c r="H127" s="8">
        <v>46147</v>
      </c>
      <c r="I127" s="8">
        <v>46113</v>
      </c>
      <c r="J127" s="20">
        <f>IF($D127="","",IFERROR(INDEX(Items!$D$5:$D$597,MATCH($D127,Items!$A$5:$A$597,0)),""))</f>
        <v>0.25</v>
      </c>
      <c r="K127" s="21">
        <f t="shared" si="1"/>
        <v>0</v>
      </c>
    </row>
    <row r="128" spans="1:11" x14ac:dyDescent="0.35">
      <c r="A128" s="22">
        <v>46112</v>
      </c>
      <c r="B128" s="9" t="s">
        <v>843</v>
      </c>
      <c r="C128" s="9" t="s">
        <v>901</v>
      </c>
      <c r="D128" s="9" t="s">
        <v>193</v>
      </c>
      <c r="E128" s="18" t="str">
        <f>IF($D128="","",IFERROR(INDEX(Items!$B$5:$B$597,MATCH($D128,Items!$A$5:$A$597,0)),"⚠ not in Items"))</f>
        <v>Wipes</v>
      </c>
      <c r="F128" s="19">
        <f>IF($D128="","",IFERROR(INDEX(Items!$C$5:$C$597,MATCH($D128,Items!$A$5:$A$597,0)),""))</f>
        <v>160</v>
      </c>
      <c r="G128" s="12">
        <v>3840</v>
      </c>
      <c r="H128" s="8">
        <v>46823</v>
      </c>
      <c r="I128" s="8">
        <v>46113</v>
      </c>
      <c r="J128" s="20">
        <f>IF($D128="","",IFERROR(INDEX(Items!$D$5:$D$597,MATCH($D128,Items!$A$5:$A$597,0)),""))</f>
        <v>0</v>
      </c>
      <c r="K128" s="21">
        <f t="shared" ref="K128:K159" si="2">IF(OR($G128="",$J128=""),"",$G128*$J128)</f>
        <v>0</v>
      </c>
    </row>
    <row r="129" spans="1:11" x14ac:dyDescent="0.35">
      <c r="A129" s="22">
        <v>46112</v>
      </c>
      <c r="B129" s="9" t="s">
        <v>843</v>
      </c>
      <c r="C129" s="9" t="s">
        <v>902</v>
      </c>
      <c r="D129" s="9" t="s">
        <v>741</v>
      </c>
      <c r="E129" s="18" t="str">
        <f>IF($D129="","",IFERROR(INDEX(Items!$B$5:$B$597,MATCH($D129,Items!$A$5:$A$597,0)),"⚠ not in Items"))</f>
        <v>Device</v>
      </c>
      <c r="F129" s="19" t="str">
        <f>IF($D129="","",IFERROR(INDEX(Items!$C$5:$C$597,MATCH($D129,Items!$A$5:$A$597,0)),""))</f>
        <v>Standard</v>
      </c>
      <c r="G129" s="12">
        <v>10</v>
      </c>
      <c r="H129" s="8">
        <v>47209</v>
      </c>
      <c r="I129" s="8">
        <v>46113</v>
      </c>
      <c r="J129" s="20">
        <f>IF($D129="","",IFERROR(INDEX(Items!$D$5:$D$597,MATCH($D129,Items!$A$5:$A$597,0)),""))</f>
        <v>8</v>
      </c>
      <c r="K129" s="21">
        <f t="shared" si="2"/>
        <v>80</v>
      </c>
    </row>
    <row r="130" spans="1:11" x14ac:dyDescent="0.35">
      <c r="A130" s="22">
        <v>46112</v>
      </c>
      <c r="B130" s="9" t="s">
        <v>843</v>
      </c>
      <c r="C130" s="9" t="s">
        <v>903</v>
      </c>
      <c r="D130" s="9" t="s">
        <v>742</v>
      </c>
      <c r="E130" s="18" t="str">
        <f>IF($D130="","",IFERROR(INDEX(Items!$B$5:$B$597,MATCH($D130,Items!$A$5:$A$597,0)),"⚠ not in Items"))</f>
        <v>Device</v>
      </c>
      <c r="F130" s="19" t="str">
        <f>IF($D130="","",IFERROR(INDEX(Items!$C$5:$C$597,MATCH($D130,Items!$A$5:$A$597,0)),""))</f>
        <v>Standard</v>
      </c>
      <c r="G130" s="12">
        <v>5</v>
      </c>
      <c r="H130" s="8">
        <v>47209</v>
      </c>
      <c r="I130" s="8">
        <v>46113</v>
      </c>
      <c r="J130" s="20">
        <f>IF($D130="","",IFERROR(INDEX(Items!$D$5:$D$597,MATCH($D130,Items!$A$5:$A$597,0)),""))</f>
        <v>12</v>
      </c>
      <c r="K130" s="21">
        <f t="shared" si="2"/>
        <v>60</v>
      </c>
    </row>
    <row r="131" spans="1:11" x14ac:dyDescent="0.35">
      <c r="A131" s="22">
        <v>46114</v>
      </c>
      <c r="B131" s="9" t="s">
        <v>1183</v>
      </c>
      <c r="C131" s="9" t="s">
        <v>427</v>
      </c>
      <c r="D131" s="9" t="s">
        <v>127</v>
      </c>
      <c r="E131" s="18" t="str">
        <f>IF($D131="","",IFERROR(INDEX(Items!$B$5:$B$597,MATCH($D131,Items!$A$5:$A$597,0)),"⚠ not in Items"))</f>
        <v>Gloves</v>
      </c>
      <c r="F131" s="19" t="str">
        <f>IF($D131="","",IFERROR(INDEX(Items!$C$5:$C$597,MATCH($D131,Items!$A$5:$A$597,0)),""))</f>
        <v>Medium</v>
      </c>
      <c r="G131" s="12">
        <v>7500</v>
      </c>
      <c r="H131" s="8">
        <v>46302</v>
      </c>
      <c r="I131" s="8">
        <v>46119</v>
      </c>
      <c r="J131" s="20">
        <f>IF($D131="","",IFERROR(INDEX(Items!$D$5:$D$597,MATCH($D131,Items!$A$5:$A$597,0)),""))</f>
        <v>5.5E-2</v>
      </c>
      <c r="K131" s="21">
        <f t="shared" si="2"/>
        <v>412.5</v>
      </c>
    </row>
    <row r="132" spans="1:11" x14ac:dyDescent="0.35">
      <c r="A132" s="22">
        <v>46119</v>
      </c>
      <c r="B132" s="9" t="s">
        <v>1188</v>
      </c>
      <c r="C132" s="9" t="s">
        <v>847</v>
      </c>
      <c r="D132" s="9" t="s">
        <v>127</v>
      </c>
      <c r="E132" s="18" t="str">
        <f>IF($D132="","",IFERROR(INDEX(Items!$B$5:$B$597,MATCH($D132,Items!$A$5:$A$597,0)),"⚠ not in Items"))</f>
        <v>Gloves</v>
      </c>
      <c r="F132" s="19" t="str">
        <f>IF($D132="","",IFERROR(INDEX(Items!$C$5:$C$597,MATCH($D132,Items!$A$5:$A$597,0)),""))</f>
        <v>Medium</v>
      </c>
      <c r="G132" s="12">
        <v>12000</v>
      </c>
      <c r="H132" s="8">
        <v>46302</v>
      </c>
      <c r="I132" s="8">
        <v>46121</v>
      </c>
      <c r="J132" s="20">
        <f>IF($D132="","",IFERROR(INDEX(Items!$D$5:$D$597,MATCH($D132,Items!$A$5:$A$597,0)),""))</f>
        <v>5.5E-2</v>
      </c>
      <c r="K132" s="21">
        <f t="shared" si="2"/>
        <v>660</v>
      </c>
    </row>
    <row r="133" spans="1:11" x14ac:dyDescent="0.35">
      <c r="A133" s="22">
        <v>46119</v>
      </c>
      <c r="B133" s="9" t="s">
        <v>1188</v>
      </c>
      <c r="C133" s="9" t="s">
        <v>848</v>
      </c>
      <c r="D133" s="9" t="s">
        <v>129</v>
      </c>
      <c r="E133" s="18" t="str">
        <f>IF($D133="","",IFERROR(INDEX(Items!$B$5:$B$597,MATCH($D133,Items!$A$5:$A$597,0)),"⚠ not in Items"))</f>
        <v>Gloves</v>
      </c>
      <c r="F133" s="19" t="str">
        <f>IF($D133="","",IFERROR(INDEX(Items!$C$5:$C$597,MATCH($D133,Items!$A$5:$A$597,0)),""))</f>
        <v>Small</v>
      </c>
      <c r="G133" s="12">
        <v>5000</v>
      </c>
      <c r="H133" s="8">
        <v>46302</v>
      </c>
      <c r="I133" s="8">
        <v>46121</v>
      </c>
      <c r="J133" s="20">
        <f>IF($D133="","",IFERROR(INDEX(Items!$D$5:$D$597,MATCH($D133,Items!$A$5:$A$597,0)),""))</f>
        <v>5.5E-2</v>
      </c>
      <c r="K133" s="21">
        <f t="shared" si="2"/>
        <v>275</v>
      </c>
    </row>
    <row r="134" spans="1:11" x14ac:dyDescent="0.35">
      <c r="A134" s="22">
        <v>46119</v>
      </c>
      <c r="B134" s="9" t="s">
        <v>1188</v>
      </c>
      <c r="C134" s="9" t="s">
        <v>849</v>
      </c>
      <c r="D134" s="9" t="s">
        <v>124</v>
      </c>
      <c r="E134" s="18" t="str">
        <f>IF($D134="","",IFERROR(INDEX(Items!$B$5:$B$597,MATCH($D134,Items!$A$5:$A$597,0)),"⚠ not in Items"))</f>
        <v>Gloves</v>
      </c>
      <c r="F134" s="19" t="str">
        <f>IF($D134="","",IFERROR(INDEX(Items!$C$5:$C$597,MATCH($D134,Items!$A$5:$A$597,0)),""))</f>
        <v>Large</v>
      </c>
      <c r="G134" s="12">
        <v>5000</v>
      </c>
      <c r="H134" s="8">
        <v>46302</v>
      </c>
      <c r="I134" s="8">
        <v>46121</v>
      </c>
      <c r="J134" s="20">
        <f>IF($D134="","",IFERROR(INDEX(Items!$D$5:$D$597,MATCH($D134,Items!$A$5:$A$597,0)),""))</f>
        <v>5.5E-2</v>
      </c>
      <c r="K134" s="21">
        <f t="shared" si="2"/>
        <v>275</v>
      </c>
    </row>
    <row r="135" spans="1:11" x14ac:dyDescent="0.35">
      <c r="A135" s="22">
        <v>46119</v>
      </c>
      <c r="B135" s="9" t="s">
        <v>1188</v>
      </c>
      <c r="C135" s="9" t="s">
        <v>850</v>
      </c>
      <c r="D135" s="9" t="s">
        <v>156</v>
      </c>
      <c r="E135" s="18" t="str">
        <f>IF($D135="","",IFERROR(INDEX(Items!$B$5:$B$597,MATCH($D135,Items!$A$5:$A$597,0)),"⚠ not in Items"))</f>
        <v>Masks</v>
      </c>
      <c r="F135" s="19" t="str">
        <f>IF($D135="","",IFERROR(INDEX(Items!$C$5:$C$597,MATCH($D135,Items!$A$5:$A$597,0)),""))</f>
        <v>One Size</v>
      </c>
      <c r="G135" s="12">
        <v>1000</v>
      </c>
      <c r="H135" s="8">
        <v>46203</v>
      </c>
      <c r="I135" s="8">
        <v>46121</v>
      </c>
      <c r="J135" s="20">
        <f>IF($D135="","",IFERROR(INDEX(Items!$D$5:$D$597,MATCH($D135,Items!$A$5:$A$597,0)),""))</f>
        <v>0.25</v>
      </c>
      <c r="K135" s="21">
        <f t="shared" si="2"/>
        <v>250</v>
      </c>
    </row>
    <row r="136" spans="1:11" x14ac:dyDescent="0.35">
      <c r="A136" s="22">
        <v>46119</v>
      </c>
      <c r="B136" s="9" t="s">
        <v>1188</v>
      </c>
      <c r="C136" s="9" t="s">
        <v>851</v>
      </c>
      <c r="D136" s="9" t="s">
        <v>191</v>
      </c>
      <c r="E136" s="18" t="str">
        <f>IF($D136="","",IFERROR(INDEX(Items!$B$5:$B$597,MATCH($D136,Items!$A$5:$A$597,0)),"⚠ not in Items"))</f>
        <v>Sanitizer</v>
      </c>
      <c r="F136" s="19" t="str">
        <f>IF($D136="","",IFERROR(INDEX(Items!$C$5:$C$597,MATCH($D136,Items!$A$5:$A$597,0)),""))</f>
        <v>236 ML</v>
      </c>
      <c r="G136" s="12">
        <v>36</v>
      </c>
      <c r="H136" s="8">
        <v>46811</v>
      </c>
      <c r="I136" s="8">
        <v>46121</v>
      </c>
      <c r="J136" s="20">
        <f>IF($D136="","",IFERROR(INDEX(Items!$D$5:$D$597,MATCH($D136,Items!$A$5:$A$597,0)),""))</f>
        <v>1E-4</v>
      </c>
      <c r="K136" s="21">
        <f t="shared" si="2"/>
        <v>3.6000000000000003E-3</v>
      </c>
    </row>
    <row r="137" spans="1:11" x14ac:dyDescent="0.35">
      <c r="A137" s="22">
        <v>46125</v>
      </c>
      <c r="B137" s="9" t="s">
        <v>1188</v>
      </c>
      <c r="C137" s="9" t="s">
        <v>852</v>
      </c>
      <c r="D137" s="9" t="s">
        <v>127</v>
      </c>
      <c r="E137" s="18" t="str">
        <f>IF($D137="","",IFERROR(INDEX(Items!$B$5:$B$597,MATCH($D137,Items!$A$5:$A$597,0)),"⚠ not in Items"))</f>
        <v>Gloves</v>
      </c>
      <c r="F137" s="19" t="str">
        <f>IF($D137="","",IFERROR(INDEX(Items!$C$5:$C$597,MATCH($D137,Items!$A$5:$A$597,0)),""))</f>
        <v>Medium</v>
      </c>
      <c r="G137" s="12">
        <v>10200</v>
      </c>
      <c r="H137" s="8">
        <v>46312</v>
      </c>
      <c r="I137" s="8">
        <v>46129</v>
      </c>
      <c r="J137" s="20">
        <f>IF($D137="","",IFERROR(INDEX(Items!$D$5:$D$597,MATCH($D137,Items!$A$5:$A$597,0)),""))</f>
        <v>5.5E-2</v>
      </c>
      <c r="K137" s="21">
        <f t="shared" si="2"/>
        <v>561</v>
      </c>
    </row>
    <row r="138" spans="1:11" x14ac:dyDescent="0.35">
      <c r="A138" s="22">
        <v>46125</v>
      </c>
      <c r="B138" s="9" t="s">
        <v>1188</v>
      </c>
      <c r="C138" s="9" t="s">
        <v>853</v>
      </c>
      <c r="D138" s="9" t="s">
        <v>129</v>
      </c>
      <c r="E138" s="18" t="str">
        <f>IF($D138="","",IFERROR(INDEX(Items!$B$5:$B$597,MATCH($D138,Items!$A$5:$A$597,0)),"⚠ not in Items"))</f>
        <v>Gloves</v>
      </c>
      <c r="F138" s="19" t="str">
        <f>IF($D138="","",IFERROR(INDEX(Items!$C$5:$C$597,MATCH($D138,Items!$A$5:$A$597,0)),""))</f>
        <v>Small</v>
      </c>
      <c r="G138" s="12">
        <v>2500</v>
      </c>
      <c r="H138" s="8">
        <v>46312</v>
      </c>
      <c r="I138" s="8">
        <v>46129</v>
      </c>
      <c r="J138" s="20">
        <f>IF($D138="","",IFERROR(INDEX(Items!$D$5:$D$597,MATCH($D138,Items!$A$5:$A$597,0)),""))</f>
        <v>5.5E-2</v>
      </c>
      <c r="K138" s="21">
        <f t="shared" si="2"/>
        <v>137.5</v>
      </c>
    </row>
    <row r="139" spans="1:11" x14ac:dyDescent="0.35">
      <c r="A139" s="22">
        <v>46125</v>
      </c>
      <c r="B139" s="9" t="s">
        <v>1188</v>
      </c>
      <c r="C139" s="9" t="s">
        <v>854</v>
      </c>
      <c r="D139" s="9" t="s">
        <v>124</v>
      </c>
      <c r="E139" s="18" t="str">
        <f>IF($D139="","",IFERROR(INDEX(Items!$B$5:$B$597,MATCH($D139,Items!$A$5:$A$597,0)),"⚠ not in Items"))</f>
        <v>Gloves</v>
      </c>
      <c r="F139" s="19" t="str">
        <f>IF($D139="","",IFERROR(INDEX(Items!$C$5:$C$597,MATCH($D139,Items!$A$5:$A$597,0)),""))</f>
        <v>Large</v>
      </c>
      <c r="G139" s="12">
        <v>2500</v>
      </c>
      <c r="H139" s="8">
        <v>46312</v>
      </c>
      <c r="I139" s="8">
        <v>46129</v>
      </c>
      <c r="J139" s="20">
        <f>IF($D139="","",IFERROR(INDEX(Items!$D$5:$D$597,MATCH($D139,Items!$A$5:$A$597,0)),""))</f>
        <v>5.5E-2</v>
      </c>
      <c r="K139" s="21">
        <f t="shared" si="2"/>
        <v>137.5</v>
      </c>
    </row>
    <row r="140" spans="1:11" x14ac:dyDescent="0.35">
      <c r="A140" s="22">
        <v>46125</v>
      </c>
      <c r="B140" s="9" t="s">
        <v>1188</v>
      </c>
      <c r="C140" s="9" t="s">
        <v>855</v>
      </c>
      <c r="D140" s="9" t="s">
        <v>156</v>
      </c>
      <c r="E140" s="18" t="str">
        <f>IF($D140="","",IFERROR(INDEX(Items!$B$5:$B$597,MATCH($D140,Items!$A$5:$A$597,0)),"⚠ not in Items"))</f>
        <v>Masks</v>
      </c>
      <c r="F140" s="19" t="str">
        <f>IF($D140="","",IFERROR(INDEX(Items!$C$5:$C$597,MATCH($D140,Items!$A$5:$A$597,0)),""))</f>
        <v>One Size</v>
      </c>
      <c r="G140" s="12">
        <v>1000</v>
      </c>
      <c r="H140" s="8">
        <v>46312</v>
      </c>
      <c r="I140" s="8">
        <v>46129</v>
      </c>
      <c r="J140" s="20">
        <f>IF($D140="","",IFERROR(INDEX(Items!$D$5:$D$597,MATCH($D140,Items!$A$5:$A$597,0)),""))</f>
        <v>0.25</v>
      </c>
      <c r="K140" s="21">
        <f t="shared" si="2"/>
        <v>250</v>
      </c>
    </row>
    <row r="141" spans="1:11" x14ac:dyDescent="0.35">
      <c r="A141" s="22">
        <v>46125</v>
      </c>
      <c r="B141" s="9" t="s">
        <v>1188</v>
      </c>
      <c r="C141" s="9" t="s">
        <v>856</v>
      </c>
      <c r="D141" s="9" t="s">
        <v>191</v>
      </c>
      <c r="E141" s="18" t="str">
        <f>IF($D141="","",IFERROR(INDEX(Items!$B$5:$B$597,MATCH($D141,Items!$A$5:$A$597,0)),"⚠ not in Items"))</f>
        <v>Sanitizer</v>
      </c>
      <c r="F141" s="19" t="str">
        <f>IF($D141="","",IFERROR(INDEX(Items!$C$5:$C$597,MATCH($D141,Items!$A$5:$A$597,0)),""))</f>
        <v>236 ML</v>
      </c>
      <c r="G141" s="12">
        <v>24</v>
      </c>
      <c r="H141" s="8">
        <v>46811</v>
      </c>
      <c r="I141" s="8">
        <v>46129</v>
      </c>
      <c r="J141" s="20">
        <f>IF($D141="","",IFERROR(INDEX(Items!$D$5:$D$597,MATCH($D141,Items!$A$5:$A$597,0)),""))</f>
        <v>1E-4</v>
      </c>
      <c r="K141" s="21">
        <f t="shared" si="2"/>
        <v>2.4000000000000002E-3</v>
      </c>
    </row>
    <row r="142" spans="1:11" x14ac:dyDescent="0.35">
      <c r="A142" s="22">
        <v>46125</v>
      </c>
      <c r="B142" s="9" t="s">
        <v>1188</v>
      </c>
      <c r="C142" s="9" t="s">
        <v>857</v>
      </c>
      <c r="D142" s="9" t="s">
        <v>132</v>
      </c>
      <c r="E142" s="18" t="str">
        <f>IF($D142="","",IFERROR(INDEX(Items!$B$5:$B$597,MATCH($D142,Items!$A$5:$A$597,0)),"⚠ not in Items"))</f>
        <v>Gloves</v>
      </c>
      <c r="F142" s="19" t="str">
        <f>IF($D142="","",IFERROR(INDEX(Items!$C$5:$C$597,MATCH($D142,Items!$A$5:$A$597,0)),""))</f>
        <v>X-Large</v>
      </c>
      <c r="G142" s="12">
        <v>2350</v>
      </c>
      <c r="H142" s="8">
        <v>46312</v>
      </c>
      <c r="I142" s="8">
        <v>46129</v>
      </c>
      <c r="J142" s="20">
        <f>IF($D142="","",IFERROR(INDEX(Items!$D$5:$D$597,MATCH($D142,Items!$A$5:$A$597,0)),""))</f>
        <v>5.5E-2</v>
      </c>
      <c r="K142" s="21">
        <f t="shared" si="2"/>
        <v>129.25</v>
      </c>
    </row>
    <row r="143" spans="1:11" x14ac:dyDescent="0.35">
      <c r="A143" s="22">
        <v>46135</v>
      </c>
      <c r="B143" s="9" t="s">
        <v>1183</v>
      </c>
      <c r="C143" s="9" t="s">
        <v>858</v>
      </c>
      <c r="D143" s="9" t="s">
        <v>127</v>
      </c>
      <c r="E143" s="18" t="str">
        <f>IF($D143="","",IFERROR(INDEX(Items!$B$5:$B$597,MATCH($D143,Items!$A$5:$A$597,0)),"⚠ not in Items"))</f>
        <v>Gloves</v>
      </c>
      <c r="F143" s="19" t="str">
        <f>IF($D143="","",IFERROR(INDEX(Items!$C$5:$C$597,MATCH($D143,Items!$A$5:$A$597,0)),""))</f>
        <v>Medium</v>
      </c>
      <c r="G143" s="12">
        <v>7500</v>
      </c>
      <c r="H143" s="8">
        <v>46321</v>
      </c>
      <c r="I143" s="8">
        <v>46139</v>
      </c>
      <c r="J143" s="20">
        <f>IF($D143="","",IFERROR(INDEX(Items!$D$5:$D$597,MATCH($D143,Items!$A$5:$A$597,0)),""))</f>
        <v>5.5E-2</v>
      </c>
      <c r="K143" s="21">
        <f t="shared" si="2"/>
        <v>412.5</v>
      </c>
    </row>
    <row r="144" spans="1:11" x14ac:dyDescent="0.35">
      <c r="A144" s="22">
        <v>46135</v>
      </c>
      <c r="B144" s="9" t="s">
        <v>1183</v>
      </c>
      <c r="C144" s="9" t="s">
        <v>859</v>
      </c>
      <c r="D144" s="9" t="s">
        <v>129</v>
      </c>
      <c r="E144" s="18" t="str">
        <f>IF($D144="","",IFERROR(INDEX(Items!$B$5:$B$597,MATCH($D144,Items!$A$5:$A$597,0)),"⚠ not in Items"))</f>
        <v>Gloves</v>
      </c>
      <c r="F144" s="19" t="str">
        <f>IF($D144="","",IFERROR(INDEX(Items!$C$5:$C$597,MATCH($D144,Items!$A$5:$A$597,0)),""))</f>
        <v>Small</v>
      </c>
      <c r="G144" s="12">
        <v>5000</v>
      </c>
      <c r="H144" s="8">
        <v>46321</v>
      </c>
      <c r="I144" s="8">
        <v>46139</v>
      </c>
      <c r="J144" s="20">
        <f>IF($D144="","",IFERROR(INDEX(Items!$D$5:$D$597,MATCH($D144,Items!$A$5:$A$597,0)),""))</f>
        <v>5.5E-2</v>
      </c>
      <c r="K144" s="21">
        <f t="shared" si="2"/>
        <v>275</v>
      </c>
    </row>
    <row r="145" spans="1:11" x14ac:dyDescent="0.35">
      <c r="A145" s="22">
        <v>46135</v>
      </c>
      <c r="B145" s="9" t="s">
        <v>1183</v>
      </c>
      <c r="C145" s="9" t="s">
        <v>860</v>
      </c>
      <c r="D145" s="9" t="s">
        <v>124</v>
      </c>
      <c r="E145" s="18" t="str">
        <f>IF($D145="","",IFERROR(INDEX(Items!$B$5:$B$597,MATCH($D145,Items!$A$5:$A$597,0)),"⚠ not in Items"))</f>
        <v>Gloves</v>
      </c>
      <c r="F145" s="19" t="str">
        <f>IF($D145="","",IFERROR(INDEX(Items!$C$5:$C$597,MATCH($D145,Items!$A$5:$A$597,0)),""))</f>
        <v>Large</v>
      </c>
      <c r="G145" s="12">
        <v>5000</v>
      </c>
      <c r="H145" s="8">
        <v>46321</v>
      </c>
      <c r="I145" s="8">
        <v>46139</v>
      </c>
      <c r="J145" s="20">
        <f>IF($D145="","",IFERROR(INDEX(Items!$D$5:$D$597,MATCH($D145,Items!$A$5:$A$597,0)),""))</f>
        <v>5.5E-2</v>
      </c>
      <c r="K145" s="21">
        <f t="shared" si="2"/>
        <v>275</v>
      </c>
    </row>
    <row r="146" spans="1:11" x14ac:dyDescent="0.35">
      <c r="A146" s="22">
        <v>46143</v>
      </c>
      <c r="B146" s="9" t="s">
        <v>1183</v>
      </c>
      <c r="C146" s="9" t="s">
        <v>861</v>
      </c>
      <c r="D146" s="9" t="s">
        <v>127</v>
      </c>
      <c r="E146" s="18" t="str">
        <f>IF($D146="","",IFERROR(INDEX(Items!$B$5:$B$597,MATCH($D146,Items!$A$5:$A$597,0)),"⚠ not in Items"))</f>
        <v>Gloves</v>
      </c>
      <c r="F146" s="19" t="str">
        <f>IF($D146="","",IFERROR(INDEX(Items!$C$5:$C$597,MATCH($D146,Items!$A$5:$A$597,0)),""))</f>
        <v>Medium</v>
      </c>
      <c r="G146" s="12">
        <v>5000</v>
      </c>
      <c r="H146" s="8">
        <v>46330</v>
      </c>
      <c r="I146" s="8">
        <v>46146</v>
      </c>
      <c r="J146" s="20">
        <f>IF($D146="","",IFERROR(INDEX(Items!$D$5:$D$597,MATCH($D146,Items!$A$5:$A$597,0)),""))</f>
        <v>5.5E-2</v>
      </c>
      <c r="K146" s="21">
        <f t="shared" si="2"/>
        <v>275</v>
      </c>
    </row>
    <row r="147" spans="1:11" x14ac:dyDescent="0.35">
      <c r="A147" s="22">
        <v>46143</v>
      </c>
      <c r="B147" s="9" t="s">
        <v>1183</v>
      </c>
      <c r="C147" s="9" t="s">
        <v>862</v>
      </c>
      <c r="D147" s="9" t="s">
        <v>129</v>
      </c>
      <c r="E147" s="18" t="str">
        <f>IF($D147="","",IFERROR(INDEX(Items!$B$5:$B$597,MATCH($D147,Items!$A$5:$A$597,0)),"⚠ not in Items"))</f>
        <v>Gloves</v>
      </c>
      <c r="F147" s="19" t="str">
        <f>IF($D147="","",IFERROR(INDEX(Items!$C$5:$C$597,MATCH($D147,Items!$A$5:$A$597,0)),""))</f>
        <v>Small</v>
      </c>
      <c r="G147" s="12">
        <v>2500</v>
      </c>
      <c r="H147" s="8">
        <v>46330</v>
      </c>
      <c r="I147" s="8">
        <v>46146</v>
      </c>
      <c r="J147" s="20">
        <f>IF($D147="","",IFERROR(INDEX(Items!$D$5:$D$597,MATCH($D147,Items!$A$5:$A$597,0)),""))</f>
        <v>5.5E-2</v>
      </c>
      <c r="K147" s="21">
        <f t="shared" si="2"/>
        <v>137.5</v>
      </c>
    </row>
    <row r="148" spans="1:11" x14ac:dyDescent="0.35">
      <c r="A148" s="22">
        <v>46143</v>
      </c>
      <c r="B148" s="9" t="s">
        <v>1183</v>
      </c>
      <c r="C148" s="9" t="s">
        <v>863</v>
      </c>
      <c r="D148" s="9" t="s">
        <v>124</v>
      </c>
      <c r="E148" s="18" t="str">
        <f>IF($D148="","",IFERROR(INDEX(Items!$B$5:$B$597,MATCH($D148,Items!$A$5:$A$597,0)),"⚠ not in Items"))</f>
        <v>Gloves</v>
      </c>
      <c r="F148" s="19" t="str">
        <f>IF($D148="","",IFERROR(INDEX(Items!$C$5:$C$597,MATCH($D148,Items!$A$5:$A$597,0)),""))</f>
        <v>Large</v>
      </c>
      <c r="G148" s="12">
        <v>2500</v>
      </c>
      <c r="H148" s="8">
        <v>46330</v>
      </c>
      <c r="I148" s="8">
        <v>46146</v>
      </c>
      <c r="J148" s="20">
        <f>IF($D148="","",IFERROR(INDEX(Items!$D$5:$D$597,MATCH($D148,Items!$A$5:$A$597,0)),""))</f>
        <v>5.5E-2</v>
      </c>
      <c r="K148" s="21">
        <f t="shared" si="2"/>
        <v>137.5</v>
      </c>
    </row>
    <row r="149" spans="1:11" x14ac:dyDescent="0.35">
      <c r="A149" s="22">
        <v>46143</v>
      </c>
      <c r="B149" s="9" t="s">
        <v>1183</v>
      </c>
      <c r="C149" s="9" t="s">
        <v>864</v>
      </c>
      <c r="D149" s="9" t="s">
        <v>109</v>
      </c>
      <c r="E149" s="18" t="str">
        <f>IF($D149="","",IFERROR(INDEX(Items!$B$5:$B$597,MATCH($D149,Items!$A$5:$A$597,0)),"⚠ not in Items"))</f>
        <v>Masks</v>
      </c>
      <c r="F149" s="19" t="str">
        <f>IF($D149="","",IFERROR(INDEX(Items!$C$5:$C$597,MATCH($D149,Items!$A$5:$A$597,0)),""))</f>
        <v>One Size</v>
      </c>
      <c r="G149" s="12">
        <v>25</v>
      </c>
      <c r="H149" s="8">
        <v>46599</v>
      </c>
      <c r="I149" s="8">
        <v>46146</v>
      </c>
      <c r="J149" s="20">
        <f>IF($D149="","",IFERROR(INDEX(Items!$D$5:$D$597,MATCH($D149,Items!$A$5:$A$597,0)),""))</f>
        <v>1.35</v>
      </c>
      <c r="K149" s="21">
        <f t="shared" si="2"/>
        <v>33.75</v>
      </c>
    </row>
    <row r="150" spans="1:11" x14ac:dyDescent="0.35">
      <c r="A150" s="22">
        <v>46153</v>
      </c>
      <c r="B150" s="9" t="s">
        <v>1183</v>
      </c>
      <c r="C150" s="9" t="s">
        <v>865</v>
      </c>
      <c r="D150" s="9" t="s">
        <v>127</v>
      </c>
      <c r="E150" s="18" t="str">
        <f>IF($D150="","",IFERROR(INDEX(Items!$B$5:$B$597,MATCH($D150,Items!$A$5:$A$597,0)),"⚠ not in Items"))</f>
        <v>Gloves</v>
      </c>
      <c r="F150" s="19" t="str">
        <f>IF($D150="","",IFERROR(INDEX(Items!$C$5:$C$597,MATCH($D150,Items!$A$5:$A$597,0)),""))</f>
        <v>Medium</v>
      </c>
      <c r="G150" s="12">
        <v>7500</v>
      </c>
      <c r="H150" s="8">
        <v>46340</v>
      </c>
      <c r="I150" s="8">
        <v>46156</v>
      </c>
      <c r="J150" s="20">
        <f>IF($D150="","",IFERROR(INDEX(Items!$D$5:$D$597,MATCH($D150,Items!$A$5:$A$597,0)),""))</f>
        <v>5.5E-2</v>
      </c>
      <c r="K150" s="21">
        <f t="shared" si="2"/>
        <v>412.5</v>
      </c>
    </row>
    <row r="151" spans="1:11" x14ac:dyDescent="0.35">
      <c r="A151" s="22">
        <v>46153</v>
      </c>
      <c r="B151" s="9" t="s">
        <v>1183</v>
      </c>
      <c r="C151" s="9" t="s">
        <v>866</v>
      </c>
      <c r="D151" s="9" t="s">
        <v>129</v>
      </c>
      <c r="E151" s="18" t="str">
        <f>IF($D151="","",IFERROR(INDEX(Items!$B$5:$B$597,MATCH($D151,Items!$A$5:$A$597,0)),"⚠ not in Items"))</f>
        <v>Gloves</v>
      </c>
      <c r="F151" s="19" t="str">
        <f>IF($D151="","",IFERROR(INDEX(Items!$C$5:$C$597,MATCH($D151,Items!$A$5:$A$597,0)),""))</f>
        <v>Small</v>
      </c>
      <c r="G151" s="12">
        <v>5000</v>
      </c>
      <c r="H151" s="8">
        <v>46340</v>
      </c>
      <c r="I151" s="8">
        <v>46156</v>
      </c>
      <c r="J151" s="20">
        <f>IF($D151="","",IFERROR(INDEX(Items!$D$5:$D$597,MATCH($D151,Items!$A$5:$A$597,0)),""))</f>
        <v>5.5E-2</v>
      </c>
      <c r="K151" s="21">
        <f t="shared" si="2"/>
        <v>275</v>
      </c>
    </row>
    <row r="152" spans="1:11" x14ac:dyDescent="0.35">
      <c r="A152" s="22">
        <v>46153</v>
      </c>
      <c r="B152" s="9" t="s">
        <v>1183</v>
      </c>
      <c r="C152" s="9" t="s">
        <v>863</v>
      </c>
      <c r="D152" s="9" t="s">
        <v>124</v>
      </c>
      <c r="E152" s="18" t="str">
        <f>IF($D152="","",IFERROR(INDEX(Items!$B$5:$B$597,MATCH($D152,Items!$A$5:$A$597,0)),"⚠ not in Items"))</f>
        <v>Gloves</v>
      </c>
      <c r="F152" s="19" t="str">
        <f>IF($D152="","",IFERROR(INDEX(Items!$C$5:$C$597,MATCH($D152,Items!$A$5:$A$597,0)),""))</f>
        <v>Large</v>
      </c>
      <c r="G152" s="12">
        <v>5000</v>
      </c>
      <c r="H152" s="8">
        <v>46340</v>
      </c>
      <c r="I152" s="8">
        <v>46156</v>
      </c>
      <c r="J152" s="20">
        <f>IF($D152="","",IFERROR(INDEX(Items!$D$5:$D$597,MATCH($D152,Items!$A$5:$A$597,0)),""))</f>
        <v>5.5E-2</v>
      </c>
      <c r="K152" s="21">
        <f t="shared" si="2"/>
        <v>275</v>
      </c>
    </row>
    <row r="153" spans="1:11" x14ac:dyDescent="0.35">
      <c r="A153" s="22">
        <v>46154</v>
      </c>
      <c r="B153" s="9" t="s">
        <v>1188</v>
      </c>
      <c r="C153" s="9" t="s">
        <v>867</v>
      </c>
      <c r="D153" s="9" t="s">
        <v>156</v>
      </c>
      <c r="E153" s="18" t="str">
        <f>IF($D153="","",IFERROR(INDEX(Items!$B$5:$B$597,MATCH($D153,Items!$A$5:$A$597,0)),"⚠ not in Items"))</f>
        <v>Masks</v>
      </c>
      <c r="F153" s="19" t="str">
        <f>IF($D153="","",IFERROR(INDEX(Items!$C$5:$C$597,MATCH($D153,Items!$A$5:$A$597,0)),""))</f>
        <v>One Size</v>
      </c>
      <c r="G153" s="12">
        <v>3000</v>
      </c>
      <c r="H153" s="8">
        <v>46246</v>
      </c>
      <c r="I153" s="8">
        <v>46156</v>
      </c>
      <c r="J153" s="20">
        <f>IF($D153="","",IFERROR(INDEX(Items!$D$5:$D$597,MATCH($D153,Items!$A$5:$A$597,0)),""))</f>
        <v>0.25</v>
      </c>
      <c r="K153" s="21">
        <f t="shared" si="2"/>
        <v>750</v>
      </c>
    </row>
    <row r="154" spans="1:11" x14ac:dyDescent="0.35">
      <c r="A154" s="22">
        <v>46154</v>
      </c>
      <c r="B154" s="9" t="s">
        <v>1188</v>
      </c>
      <c r="C154" s="9" t="s">
        <v>868</v>
      </c>
      <c r="D154" s="9" t="s">
        <v>191</v>
      </c>
      <c r="E154" s="18" t="str">
        <f>IF($D154="","",IFERROR(INDEX(Items!$B$5:$B$597,MATCH($D154,Items!$A$5:$A$597,0)),"⚠ not in Items"))</f>
        <v>Sanitizer</v>
      </c>
      <c r="F154" s="19" t="str">
        <f>IF($D154="","",IFERROR(INDEX(Items!$C$5:$C$597,MATCH($D154,Items!$A$5:$A$597,0)),""))</f>
        <v>236 ML</v>
      </c>
      <c r="G154" s="12">
        <v>60</v>
      </c>
      <c r="H154" s="8">
        <v>46811</v>
      </c>
      <c r="I154" s="8">
        <v>46156</v>
      </c>
      <c r="J154" s="20">
        <f>IF($D154="","",IFERROR(INDEX(Items!$D$5:$D$597,MATCH($D154,Items!$A$5:$A$597,0)),""))</f>
        <v>1E-4</v>
      </c>
      <c r="K154" s="21">
        <f t="shared" si="2"/>
        <v>6.0000000000000001E-3</v>
      </c>
    </row>
    <row r="155" spans="1:11" x14ac:dyDescent="0.35">
      <c r="A155" s="22">
        <v>46164</v>
      </c>
      <c r="B155" s="9" t="s">
        <v>1183</v>
      </c>
      <c r="C155" s="9" t="s">
        <v>869</v>
      </c>
      <c r="D155" s="9" t="s">
        <v>127</v>
      </c>
      <c r="E155" s="18" t="str">
        <f>IF($D155="","",IFERROR(INDEX(Items!$B$5:$B$597,MATCH($D155,Items!$A$5:$A$597,0)),"⚠ not in Items"))</f>
        <v>Gloves</v>
      </c>
      <c r="F155" s="19" t="str">
        <f>IF($D155="","",IFERROR(INDEX(Items!$C$5:$C$597,MATCH($D155,Items!$A$5:$A$597,0)),""))</f>
        <v>Medium</v>
      </c>
      <c r="G155" s="12">
        <v>5000</v>
      </c>
      <c r="H155" s="8">
        <v>46352</v>
      </c>
      <c r="I155" s="8">
        <v>46168</v>
      </c>
      <c r="J155" s="20">
        <f>IF($D155="","",IFERROR(INDEX(Items!$D$5:$D$597,MATCH($D155,Items!$A$5:$A$597,0)),""))</f>
        <v>5.5E-2</v>
      </c>
      <c r="K155" s="21">
        <f t="shared" si="2"/>
        <v>275</v>
      </c>
    </row>
    <row r="156" spans="1:11" x14ac:dyDescent="0.35">
      <c r="A156" s="22">
        <v>46164</v>
      </c>
      <c r="B156" s="9" t="s">
        <v>1183</v>
      </c>
      <c r="C156" s="9" t="s">
        <v>870</v>
      </c>
      <c r="D156" s="9" t="s">
        <v>129</v>
      </c>
      <c r="E156" s="18" t="str">
        <f>IF($D156="","",IFERROR(INDEX(Items!$B$5:$B$597,MATCH($D156,Items!$A$5:$A$597,0)),"⚠ not in Items"))</f>
        <v>Gloves</v>
      </c>
      <c r="F156" s="19" t="str">
        <f>IF($D156="","",IFERROR(INDEX(Items!$C$5:$C$597,MATCH($D156,Items!$A$5:$A$597,0)),""))</f>
        <v>Small</v>
      </c>
      <c r="G156" s="12">
        <v>5000</v>
      </c>
      <c r="H156" s="8">
        <v>46352</v>
      </c>
      <c r="I156" s="8">
        <v>46168</v>
      </c>
      <c r="J156" s="20">
        <f>IF($D156="","",IFERROR(INDEX(Items!$D$5:$D$597,MATCH($D156,Items!$A$5:$A$597,0)),""))</f>
        <v>5.5E-2</v>
      </c>
      <c r="K156" s="21">
        <f t="shared" si="2"/>
        <v>275</v>
      </c>
    </row>
    <row r="157" spans="1:11" x14ac:dyDescent="0.35">
      <c r="A157" s="22">
        <v>46164</v>
      </c>
      <c r="B157" s="9" t="s">
        <v>1183</v>
      </c>
      <c r="C157" s="9" t="s">
        <v>863</v>
      </c>
      <c r="D157" s="9" t="s">
        <v>124</v>
      </c>
      <c r="E157" s="18" t="str">
        <f>IF($D157="","",IFERROR(INDEX(Items!$B$5:$B$597,MATCH($D157,Items!$A$5:$A$597,0)),"⚠ not in Items"))</f>
        <v>Gloves</v>
      </c>
      <c r="F157" s="19" t="str">
        <f>IF($D157="","",IFERROR(INDEX(Items!$C$5:$C$597,MATCH($D157,Items!$A$5:$A$597,0)),""))</f>
        <v>Large</v>
      </c>
      <c r="G157" s="12">
        <v>2500</v>
      </c>
      <c r="H157" s="8">
        <v>46352</v>
      </c>
      <c r="I157" s="8">
        <v>46168</v>
      </c>
      <c r="J157" s="20">
        <f>IF($D157="","",IFERROR(INDEX(Items!$D$5:$D$597,MATCH($D157,Items!$A$5:$A$597,0)),""))</f>
        <v>5.5E-2</v>
      </c>
      <c r="K157" s="21">
        <f t="shared" si="2"/>
        <v>137.5</v>
      </c>
    </row>
    <row r="158" spans="1:11" x14ac:dyDescent="0.35">
      <c r="A158" s="22">
        <v>46164</v>
      </c>
      <c r="B158" s="9" t="s">
        <v>1188</v>
      </c>
      <c r="C158" s="9">
        <v>3024</v>
      </c>
      <c r="D158" s="9" t="s">
        <v>154</v>
      </c>
      <c r="E158" s="18" t="str">
        <f>IF($D158="","",IFERROR(INDEX(Items!$B$5:$B$597,MATCH($D158,Items!$A$5:$A$597,0)),"⚠ not in Items"))</f>
        <v>IPAC</v>
      </c>
      <c r="F158" s="19" t="str">
        <f>IF($D158="","",IFERROR(INDEX(Items!$C$5:$C$597,MATCH($D158,Items!$A$5:$A$597,0)),""))</f>
        <v>Regular</v>
      </c>
      <c r="G158" s="12">
        <v>300</v>
      </c>
      <c r="H158" s="8">
        <v>46718</v>
      </c>
      <c r="I158" s="8">
        <v>46169</v>
      </c>
      <c r="J158" s="20">
        <f>IF($D158="","",IFERROR(INDEX(Items!$D$5:$D$597,MATCH($D158,Items!$A$5:$A$597,0)),""))</f>
        <v>0.2</v>
      </c>
      <c r="K158" s="21">
        <f t="shared" si="2"/>
        <v>60</v>
      </c>
    </row>
    <row r="159" spans="1:11" x14ac:dyDescent="0.35">
      <c r="A159" s="22">
        <v>46164</v>
      </c>
      <c r="B159" s="9" t="s">
        <v>1188</v>
      </c>
      <c r="C159" s="9" t="s">
        <v>868</v>
      </c>
      <c r="D159" s="9" t="s">
        <v>191</v>
      </c>
      <c r="E159" s="18" t="str">
        <f>IF($D159="","",IFERROR(INDEX(Items!$B$5:$B$597,MATCH($D159,Items!$A$5:$A$597,0)),"⚠ not in Items"))</f>
        <v>Sanitizer</v>
      </c>
      <c r="F159" s="19" t="str">
        <f>IF($D159="","",IFERROR(INDEX(Items!$C$5:$C$597,MATCH($D159,Items!$A$5:$A$597,0)),""))</f>
        <v>236 ML</v>
      </c>
      <c r="G159" s="12">
        <v>60</v>
      </c>
      <c r="H159" s="8">
        <v>46811</v>
      </c>
      <c r="I159" s="8">
        <v>46169</v>
      </c>
      <c r="J159" s="20">
        <f>IF($D159="","",IFERROR(INDEX(Items!$D$5:$D$597,MATCH($D159,Items!$A$5:$A$597,0)),""))</f>
        <v>1E-4</v>
      </c>
      <c r="K159" s="21">
        <f t="shared" si="2"/>
        <v>6.0000000000000001E-3</v>
      </c>
    </row>
    <row r="160" spans="1:11" x14ac:dyDescent="0.35">
      <c r="A160" s="22">
        <v>46164</v>
      </c>
      <c r="B160" s="9" t="s">
        <v>1188</v>
      </c>
      <c r="C160" s="9" t="s">
        <v>871</v>
      </c>
      <c r="D160" s="9" t="s">
        <v>127</v>
      </c>
      <c r="E160" s="18" t="str">
        <f>IF($D160="","",IFERROR(INDEX(Items!$B$5:$B$597,MATCH($D160,Items!$A$5:$A$597,0)),"⚠ not in Items"))</f>
        <v>Gloves</v>
      </c>
      <c r="F160" s="19" t="str">
        <f>IF($D160="","",IFERROR(INDEX(Items!$C$5:$C$597,MATCH($D160,Items!$A$5:$A$597,0)),""))</f>
        <v>Medium</v>
      </c>
      <c r="G160" s="12">
        <v>2500</v>
      </c>
      <c r="H160" s="8">
        <v>46353</v>
      </c>
      <c r="I160" s="8">
        <v>46169</v>
      </c>
      <c r="J160" s="20">
        <f>IF($D160="","",IFERROR(INDEX(Items!$D$5:$D$597,MATCH($D160,Items!$A$5:$A$597,0)),""))</f>
        <v>5.5E-2</v>
      </c>
      <c r="K160" s="21">
        <f t="shared" ref="K160:K189" si="3">IF(OR($G160="",$J160=""),"",$G160*$J160)</f>
        <v>137.5</v>
      </c>
    </row>
    <row r="161" spans="1:11" x14ac:dyDescent="0.35">
      <c r="A161" s="22">
        <v>46171</v>
      </c>
      <c r="B161" s="9" t="s">
        <v>1183</v>
      </c>
      <c r="C161" s="9" t="s">
        <v>872</v>
      </c>
      <c r="D161" s="9" t="s">
        <v>127</v>
      </c>
      <c r="E161" s="18" t="str">
        <f>IF($D161="","",IFERROR(INDEX(Items!$B$5:$B$597,MATCH($D161,Items!$A$5:$A$597,0)),"⚠ not in Items"))</f>
        <v>Gloves</v>
      </c>
      <c r="F161" s="19" t="str">
        <f>IF($D161="","",IFERROR(INDEX(Items!$C$5:$C$597,MATCH($D161,Items!$A$5:$A$597,0)),""))</f>
        <v>Medium</v>
      </c>
      <c r="G161" s="12">
        <v>7500</v>
      </c>
      <c r="H161" s="8">
        <v>46364</v>
      </c>
      <c r="I161" s="8">
        <v>46181</v>
      </c>
      <c r="J161" s="20">
        <f>IF($D161="","",IFERROR(INDEX(Items!$D$5:$D$597,MATCH($D161,Items!$A$5:$A$597,0)),""))</f>
        <v>5.5E-2</v>
      </c>
      <c r="K161" s="21">
        <f t="shared" si="3"/>
        <v>412.5</v>
      </c>
    </row>
    <row r="162" spans="1:11" x14ac:dyDescent="0.35">
      <c r="A162" s="22">
        <v>46171</v>
      </c>
      <c r="B162" s="9" t="s">
        <v>1183</v>
      </c>
      <c r="C162" s="9" t="s">
        <v>873</v>
      </c>
      <c r="D162" s="9" t="s">
        <v>129</v>
      </c>
      <c r="E162" s="18" t="str">
        <f>IF($D162="","",IFERROR(INDEX(Items!$B$5:$B$597,MATCH($D162,Items!$A$5:$A$597,0)),"⚠ not in Items"))</f>
        <v>Gloves</v>
      </c>
      <c r="F162" s="19" t="str">
        <f>IF($D162="","",IFERROR(INDEX(Items!$C$5:$C$597,MATCH($D162,Items!$A$5:$A$597,0)),""))</f>
        <v>Small</v>
      </c>
      <c r="G162" s="12">
        <v>2500</v>
      </c>
      <c r="H162" s="8">
        <v>46364</v>
      </c>
      <c r="I162" s="8">
        <v>46181</v>
      </c>
      <c r="J162" s="20">
        <f>IF($D162="","",IFERROR(INDEX(Items!$D$5:$D$597,MATCH($D162,Items!$A$5:$A$597,0)),""))</f>
        <v>5.5E-2</v>
      </c>
      <c r="K162" s="21">
        <f t="shared" si="3"/>
        <v>137.5</v>
      </c>
    </row>
    <row r="163" spans="1:11" x14ac:dyDescent="0.35">
      <c r="A163" s="22">
        <v>46177</v>
      </c>
      <c r="B163" s="9" t="s">
        <v>1183</v>
      </c>
      <c r="C163" s="9" t="s">
        <v>874</v>
      </c>
      <c r="D163" s="9" t="s">
        <v>127</v>
      </c>
      <c r="E163" s="18" t="str">
        <f>IF($D163="","",IFERROR(INDEX(Items!$B$5:$B$597,MATCH($D163,Items!$A$5:$A$597,0)),"⚠ not in Items"))</f>
        <v>Gloves</v>
      </c>
      <c r="F163" s="19" t="str">
        <f>IF($D163="","",IFERROR(INDEX(Items!$C$5:$C$597,MATCH($D163,Items!$A$5:$A$597,0)),""))</f>
        <v>Medium</v>
      </c>
      <c r="G163" s="12">
        <v>12500</v>
      </c>
      <c r="H163" s="8">
        <v>46364</v>
      </c>
      <c r="I163" s="8">
        <v>46181</v>
      </c>
      <c r="J163" s="20">
        <f>IF($D163="","",IFERROR(INDEX(Items!$D$5:$D$597,MATCH($D163,Items!$A$5:$A$597,0)),""))</f>
        <v>5.5E-2</v>
      </c>
      <c r="K163" s="21">
        <f t="shared" si="3"/>
        <v>687.5</v>
      </c>
    </row>
    <row r="164" spans="1:11" x14ac:dyDescent="0.35">
      <c r="A164" s="22">
        <v>46177</v>
      </c>
      <c r="B164" s="9" t="s">
        <v>1183</v>
      </c>
      <c r="C164" s="9" t="s">
        <v>875</v>
      </c>
      <c r="D164" s="9" t="s">
        <v>129</v>
      </c>
      <c r="E164" s="18" t="str">
        <f>IF($D164="","",IFERROR(INDEX(Items!$B$5:$B$597,MATCH($D164,Items!$A$5:$A$597,0)),"⚠ not in Items"))</f>
        <v>Gloves</v>
      </c>
      <c r="F164" s="19" t="str">
        <f>IF($D164="","",IFERROR(INDEX(Items!$C$5:$C$597,MATCH($D164,Items!$A$5:$A$597,0)),""))</f>
        <v>Small</v>
      </c>
      <c r="G164" s="12">
        <v>7500</v>
      </c>
      <c r="H164" s="8">
        <v>46364</v>
      </c>
      <c r="I164" s="8">
        <v>46181</v>
      </c>
      <c r="J164" s="20">
        <f>IF($D164="","",IFERROR(INDEX(Items!$D$5:$D$597,MATCH($D164,Items!$A$5:$A$597,0)),""))</f>
        <v>5.5E-2</v>
      </c>
      <c r="K164" s="21">
        <f t="shared" si="3"/>
        <v>412.5</v>
      </c>
    </row>
    <row r="165" spans="1:11" x14ac:dyDescent="0.35">
      <c r="A165" s="22">
        <v>46177</v>
      </c>
      <c r="B165" s="9" t="s">
        <v>1183</v>
      </c>
      <c r="C165" s="9" t="s">
        <v>876</v>
      </c>
      <c r="D165" s="9" t="s">
        <v>124</v>
      </c>
      <c r="E165" s="18" t="str">
        <f>IF($D165="","",IFERROR(INDEX(Items!$B$5:$B$597,MATCH($D165,Items!$A$5:$A$597,0)),"⚠ not in Items"))</f>
        <v>Gloves</v>
      </c>
      <c r="F165" s="19" t="str">
        <f>IF($D165="","",IFERROR(INDEX(Items!$C$5:$C$597,MATCH($D165,Items!$A$5:$A$597,0)),""))</f>
        <v>Large</v>
      </c>
      <c r="G165" s="12">
        <v>5000</v>
      </c>
      <c r="H165" s="8">
        <v>46364</v>
      </c>
      <c r="I165" s="8">
        <v>46181</v>
      </c>
      <c r="J165" s="20">
        <f>IF($D165="","",IFERROR(INDEX(Items!$D$5:$D$597,MATCH($D165,Items!$A$5:$A$597,0)),""))</f>
        <v>5.5E-2</v>
      </c>
      <c r="K165" s="21">
        <f t="shared" si="3"/>
        <v>275</v>
      </c>
    </row>
    <row r="166" spans="1:11" x14ac:dyDescent="0.35">
      <c r="A166" s="22">
        <v>46177</v>
      </c>
      <c r="B166" s="9" t="s">
        <v>1188</v>
      </c>
      <c r="C166" s="9" t="s">
        <v>877</v>
      </c>
      <c r="D166" s="9" t="s">
        <v>127</v>
      </c>
      <c r="E166" s="18" t="str">
        <f>IF($D166="","",IFERROR(INDEX(Items!$B$5:$B$597,MATCH($D166,Items!$A$5:$A$597,0)),"⚠ not in Items"))</f>
        <v>Gloves</v>
      </c>
      <c r="F166" s="19" t="str">
        <f>IF($D166="","",IFERROR(INDEX(Items!$C$5:$C$597,MATCH($D166,Items!$A$5:$A$597,0)),""))</f>
        <v>Medium</v>
      </c>
      <c r="G166" s="12">
        <v>5000</v>
      </c>
      <c r="H166" s="8">
        <v>46364</v>
      </c>
      <c r="I166" s="8">
        <v>46181</v>
      </c>
      <c r="J166" s="20">
        <f>IF($D166="","",IFERROR(INDEX(Items!$D$5:$D$597,MATCH($D166,Items!$A$5:$A$597,0)),""))</f>
        <v>5.5E-2</v>
      </c>
      <c r="K166" s="21">
        <f t="shared" si="3"/>
        <v>275</v>
      </c>
    </row>
    <row r="167" spans="1:11" x14ac:dyDescent="0.35">
      <c r="A167" s="22">
        <v>46177</v>
      </c>
      <c r="B167" s="9" t="s">
        <v>1188</v>
      </c>
      <c r="C167" s="9" t="s">
        <v>878</v>
      </c>
      <c r="D167" s="9" t="s">
        <v>129</v>
      </c>
      <c r="E167" s="18" t="str">
        <f>IF($D167="","",IFERROR(INDEX(Items!$B$5:$B$597,MATCH($D167,Items!$A$5:$A$597,0)),"⚠ not in Items"))</f>
        <v>Gloves</v>
      </c>
      <c r="F167" s="19" t="str">
        <f>IF($D167="","",IFERROR(INDEX(Items!$C$5:$C$597,MATCH($D167,Items!$A$5:$A$597,0)),""))</f>
        <v>Small</v>
      </c>
      <c r="G167" s="12">
        <v>2700</v>
      </c>
      <c r="H167" s="8">
        <v>46364</v>
      </c>
      <c r="I167" s="8">
        <v>46181</v>
      </c>
      <c r="J167" s="20">
        <f>IF($D167="","",IFERROR(INDEX(Items!$D$5:$D$597,MATCH($D167,Items!$A$5:$A$597,0)),""))</f>
        <v>5.5E-2</v>
      </c>
      <c r="K167" s="21">
        <f t="shared" si="3"/>
        <v>148.5</v>
      </c>
    </row>
    <row r="168" spans="1:11" x14ac:dyDescent="0.35">
      <c r="A168" s="22">
        <v>46177</v>
      </c>
      <c r="B168" s="9" t="s">
        <v>1188</v>
      </c>
      <c r="C168" s="9" t="s">
        <v>879</v>
      </c>
      <c r="D168" s="9" t="s">
        <v>124</v>
      </c>
      <c r="E168" s="18" t="str">
        <f>IF($D168="","",IFERROR(INDEX(Items!$B$5:$B$597,MATCH($D168,Items!$A$5:$A$597,0)),"⚠ not in Items"))</f>
        <v>Gloves</v>
      </c>
      <c r="F168" s="19" t="str">
        <f>IF($D168="","",IFERROR(INDEX(Items!$C$5:$C$597,MATCH($D168,Items!$A$5:$A$597,0)),""))</f>
        <v>Large</v>
      </c>
      <c r="G168" s="12">
        <v>2500</v>
      </c>
      <c r="H168" s="8">
        <v>46364</v>
      </c>
      <c r="I168" s="8">
        <v>46181</v>
      </c>
      <c r="J168" s="20">
        <f>IF($D168="","",IFERROR(INDEX(Items!$D$5:$D$597,MATCH($D168,Items!$A$5:$A$597,0)),""))</f>
        <v>5.5E-2</v>
      </c>
      <c r="K168" s="21">
        <f t="shared" si="3"/>
        <v>137.5</v>
      </c>
    </row>
    <row r="169" spans="1:11" x14ac:dyDescent="0.35">
      <c r="A169" s="22">
        <v>46177</v>
      </c>
      <c r="B169" s="9" t="s">
        <v>1188</v>
      </c>
      <c r="C169" s="9" t="s">
        <v>880</v>
      </c>
      <c r="D169" s="9" t="s">
        <v>191</v>
      </c>
      <c r="E169" s="18" t="str">
        <f>IF($D169="","",IFERROR(INDEX(Items!$B$5:$B$597,MATCH($D169,Items!$A$5:$A$597,0)),"⚠ not in Items"))</f>
        <v>Sanitizer</v>
      </c>
      <c r="F169" s="19" t="str">
        <f>IF($D169="","",IFERROR(INDEX(Items!$C$5:$C$597,MATCH($D169,Items!$A$5:$A$597,0)),""))</f>
        <v>236 ML</v>
      </c>
      <c r="G169" s="12">
        <v>36</v>
      </c>
      <c r="H169" s="8">
        <v>46811</v>
      </c>
      <c r="I169" s="8">
        <v>46181</v>
      </c>
      <c r="J169" s="20">
        <f>IF($D169="","",IFERROR(INDEX(Items!$D$5:$D$597,MATCH($D169,Items!$A$5:$A$597,0)),""))</f>
        <v>1E-4</v>
      </c>
      <c r="K169" s="21">
        <f t="shared" si="3"/>
        <v>3.6000000000000003E-3</v>
      </c>
    </row>
    <row r="170" spans="1:11" x14ac:dyDescent="0.35">
      <c r="A170" s="22">
        <v>46186</v>
      </c>
      <c r="B170" s="9" t="s">
        <v>1183</v>
      </c>
      <c r="C170" s="9" t="s">
        <v>881</v>
      </c>
      <c r="D170" s="9" t="s">
        <v>127</v>
      </c>
      <c r="E170" s="18" t="str">
        <f>IF($D170="","",IFERROR(INDEX(Items!$B$5:$B$597,MATCH($D170,Items!$A$5:$A$597,0)),"⚠ not in Items"))</f>
        <v>Gloves</v>
      </c>
      <c r="F170" s="19" t="str">
        <f>IF($D170="","",IFERROR(INDEX(Items!$C$5:$C$597,MATCH($D170,Items!$A$5:$A$597,0)),""))</f>
        <v>Medium</v>
      </c>
      <c r="G170" s="12">
        <v>12500</v>
      </c>
      <c r="H170" s="8">
        <v>46373</v>
      </c>
      <c r="I170" s="8">
        <v>46190</v>
      </c>
      <c r="J170" s="20">
        <f>IF($D170="","",IFERROR(INDEX(Items!$D$5:$D$597,MATCH($D170,Items!$A$5:$A$597,0)),""))</f>
        <v>5.5E-2</v>
      </c>
      <c r="K170" s="21">
        <f t="shared" si="3"/>
        <v>687.5</v>
      </c>
    </row>
    <row r="171" spans="1:11" x14ac:dyDescent="0.35">
      <c r="A171" s="22">
        <v>46186</v>
      </c>
      <c r="B171" s="9" t="s">
        <v>1183</v>
      </c>
      <c r="C171" s="9" t="s">
        <v>882</v>
      </c>
      <c r="D171" s="9" t="s">
        <v>129</v>
      </c>
      <c r="E171" s="18" t="str">
        <f>IF($D171="","",IFERROR(INDEX(Items!$B$5:$B$597,MATCH($D171,Items!$A$5:$A$597,0)),"⚠ not in Items"))</f>
        <v>Gloves</v>
      </c>
      <c r="F171" s="19" t="str">
        <f>IF($D171="","",IFERROR(INDEX(Items!$C$5:$C$597,MATCH($D171,Items!$A$5:$A$597,0)),""))</f>
        <v>Small</v>
      </c>
      <c r="G171" s="12">
        <v>5000</v>
      </c>
      <c r="H171" s="8">
        <v>46373</v>
      </c>
      <c r="I171" s="8">
        <v>46190</v>
      </c>
      <c r="J171" s="20">
        <f>IF($D171="","",IFERROR(INDEX(Items!$D$5:$D$597,MATCH($D171,Items!$A$5:$A$597,0)),""))</f>
        <v>5.5E-2</v>
      </c>
      <c r="K171" s="21">
        <f t="shared" si="3"/>
        <v>275</v>
      </c>
    </row>
    <row r="172" spans="1:11" x14ac:dyDescent="0.35">
      <c r="A172" s="22">
        <v>46186</v>
      </c>
      <c r="B172" s="9" t="s">
        <v>1183</v>
      </c>
      <c r="C172" s="9" t="s">
        <v>883</v>
      </c>
      <c r="D172" s="9" t="s">
        <v>124</v>
      </c>
      <c r="E172" s="18" t="str">
        <f>IF($D172="","",IFERROR(INDEX(Items!$B$5:$B$597,MATCH($D172,Items!$A$5:$A$597,0)),"⚠ not in Items"))</f>
        <v>Gloves</v>
      </c>
      <c r="F172" s="19" t="str">
        <f>IF($D172="","",IFERROR(INDEX(Items!$C$5:$C$597,MATCH($D172,Items!$A$5:$A$597,0)),""))</f>
        <v>Large</v>
      </c>
      <c r="G172" s="12">
        <v>5000</v>
      </c>
      <c r="H172" s="8">
        <v>46373</v>
      </c>
      <c r="I172" s="8">
        <v>46190</v>
      </c>
      <c r="J172" s="20">
        <f>IF($D172="","",IFERROR(INDEX(Items!$D$5:$D$597,MATCH($D172,Items!$A$5:$A$597,0)),""))</f>
        <v>5.5E-2</v>
      </c>
      <c r="K172" s="21">
        <f t="shared" si="3"/>
        <v>275</v>
      </c>
    </row>
    <row r="173" spans="1:11" x14ac:dyDescent="0.35">
      <c r="A173" s="22">
        <v>46190</v>
      </c>
      <c r="B173" s="9" t="s">
        <v>1188</v>
      </c>
      <c r="C173" s="9" t="s">
        <v>884</v>
      </c>
      <c r="D173" s="9" t="s">
        <v>127</v>
      </c>
      <c r="E173" s="18" t="str">
        <f>IF($D173="","",IFERROR(INDEX(Items!$B$5:$B$597,MATCH($D173,Items!$A$5:$A$597,0)),"⚠ not in Items"))</f>
        <v>Gloves</v>
      </c>
      <c r="F173" s="19" t="str">
        <f>IF($D173="","",IFERROR(INDEX(Items!$C$5:$C$597,MATCH($D173,Items!$A$5:$A$597,0)),""))</f>
        <v>Medium</v>
      </c>
      <c r="G173" s="12">
        <v>2500</v>
      </c>
      <c r="H173" s="8">
        <v>46374</v>
      </c>
      <c r="I173" s="8">
        <v>46191</v>
      </c>
      <c r="J173" s="20">
        <f>IF($D173="","",IFERROR(INDEX(Items!$D$5:$D$597,MATCH($D173,Items!$A$5:$A$597,0)),""))</f>
        <v>5.5E-2</v>
      </c>
      <c r="K173" s="21">
        <f t="shared" si="3"/>
        <v>137.5</v>
      </c>
    </row>
    <row r="174" spans="1:11" x14ac:dyDescent="0.35">
      <c r="A174" s="22">
        <v>46190</v>
      </c>
      <c r="B174" s="9" t="s">
        <v>1188</v>
      </c>
      <c r="C174" s="9" t="s">
        <v>885</v>
      </c>
      <c r="D174" s="9" t="s">
        <v>193</v>
      </c>
      <c r="E174" s="18" t="str">
        <f>IF($D174="","",IFERROR(INDEX(Items!$B$5:$B$597,MATCH($D174,Items!$A$5:$A$597,0)),"⚠ not in Items"))</f>
        <v>Wipes</v>
      </c>
      <c r="F174" s="19">
        <f>IF($D174="","",IFERROR(INDEX(Items!$C$5:$C$597,MATCH($D174,Items!$A$5:$A$597,0)),""))</f>
        <v>160</v>
      </c>
      <c r="G174" s="12">
        <v>1920</v>
      </c>
      <c r="H174" s="8">
        <v>46784</v>
      </c>
      <c r="I174" s="8">
        <v>46191</v>
      </c>
      <c r="J174" s="20">
        <f>IF($D174="","",IFERROR(INDEX(Items!$D$5:$D$597,MATCH($D174,Items!$A$5:$A$597,0)),""))</f>
        <v>0</v>
      </c>
      <c r="K174" s="21">
        <f t="shared" si="3"/>
        <v>0</v>
      </c>
    </row>
    <row r="175" spans="1:11" x14ac:dyDescent="0.35">
      <c r="A175" s="22">
        <v>46190</v>
      </c>
      <c r="B175" s="9" t="s">
        <v>1188</v>
      </c>
      <c r="C175" s="9" t="s">
        <v>886</v>
      </c>
      <c r="D175" s="9" t="s">
        <v>156</v>
      </c>
      <c r="E175" s="18" t="str">
        <f>IF($D175="","",IFERROR(INDEX(Items!$B$5:$B$597,MATCH($D175,Items!$A$5:$A$597,0)),"⚠ not in Items"))</f>
        <v>Masks</v>
      </c>
      <c r="F175" s="19" t="str">
        <f>IF($D175="","",IFERROR(INDEX(Items!$C$5:$C$597,MATCH($D175,Items!$A$5:$A$597,0)),""))</f>
        <v>One Size</v>
      </c>
      <c r="G175" s="12">
        <v>3000</v>
      </c>
      <c r="H175" s="8">
        <v>46233</v>
      </c>
      <c r="I175" s="8">
        <v>46191</v>
      </c>
      <c r="J175" s="20">
        <f>IF($D175="","",IFERROR(INDEX(Items!$D$5:$D$597,MATCH($D175,Items!$A$5:$A$597,0)),""))</f>
        <v>0.25</v>
      </c>
      <c r="K175" s="21">
        <f t="shared" si="3"/>
        <v>750</v>
      </c>
    </row>
    <row r="176" spans="1:11" x14ac:dyDescent="0.35">
      <c r="A176" s="22">
        <v>46190</v>
      </c>
      <c r="B176" s="9" t="s">
        <v>1188</v>
      </c>
      <c r="C176" s="9" t="s">
        <v>887</v>
      </c>
      <c r="D176" s="9" t="s">
        <v>191</v>
      </c>
      <c r="E176" s="18" t="str">
        <f>IF($D176="","",IFERROR(INDEX(Items!$B$5:$B$597,MATCH($D176,Items!$A$5:$A$597,0)),"⚠ not in Items"))</f>
        <v>Sanitizer</v>
      </c>
      <c r="F176" s="19" t="str">
        <f>IF($D176="","",IFERROR(INDEX(Items!$C$5:$C$597,MATCH($D176,Items!$A$5:$A$597,0)),""))</f>
        <v>236 ML</v>
      </c>
      <c r="G176" s="12">
        <v>36</v>
      </c>
      <c r="H176" s="8">
        <v>46811</v>
      </c>
      <c r="I176" s="8">
        <v>46191</v>
      </c>
      <c r="J176" s="20">
        <f>IF($D176="","",IFERROR(INDEX(Items!$D$5:$D$597,MATCH($D176,Items!$A$5:$A$597,0)),""))</f>
        <v>1E-4</v>
      </c>
      <c r="K176" s="21">
        <f t="shared" si="3"/>
        <v>3.6000000000000003E-3</v>
      </c>
    </row>
    <row r="177" spans="1:11" x14ac:dyDescent="0.35">
      <c r="A177" s="22">
        <v>46209</v>
      </c>
      <c r="B177" s="9" t="s">
        <v>1183</v>
      </c>
      <c r="C177" s="9" t="s">
        <v>888</v>
      </c>
      <c r="D177" s="9" t="s">
        <v>127</v>
      </c>
      <c r="E177" s="18" t="str">
        <f>IF($D177="","",IFERROR(INDEX(Items!$B$5:$B$597,MATCH($D177,Items!$A$5:$A$597,0)),"⚠ not in Items"))</f>
        <v>Gloves</v>
      </c>
      <c r="F177" s="19" t="str">
        <f>IF($D177="","",IFERROR(INDEX(Items!$C$5:$C$597,MATCH($D177,Items!$A$5:$A$597,0)),""))</f>
        <v>Medium</v>
      </c>
      <c r="G177" s="12">
        <v>10000</v>
      </c>
      <c r="H177" s="8">
        <v>46395</v>
      </c>
      <c r="I177" s="8">
        <v>46211</v>
      </c>
      <c r="J177" s="20">
        <f>IF($D177="","",IFERROR(INDEX(Items!$D$5:$D$597,MATCH($D177,Items!$A$5:$A$597,0)),""))</f>
        <v>5.5E-2</v>
      </c>
      <c r="K177" s="21">
        <f t="shared" si="3"/>
        <v>550</v>
      </c>
    </row>
    <row r="178" spans="1:11" x14ac:dyDescent="0.35">
      <c r="A178" s="22">
        <v>46209</v>
      </c>
      <c r="B178" s="9" t="s">
        <v>1183</v>
      </c>
      <c r="C178" s="9" t="s">
        <v>889</v>
      </c>
      <c r="D178" s="9" t="s">
        <v>129</v>
      </c>
      <c r="E178" s="18" t="str">
        <f>IF($D178="","",IFERROR(INDEX(Items!$B$5:$B$597,MATCH($D178,Items!$A$5:$A$597,0)),"⚠ not in Items"))</f>
        <v>Gloves</v>
      </c>
      <c r="F178" s="19" t="str">
        <f>IF($D178="","",IFERROR(INDEX(Items!$C$5:$C$597,MATCH($D178,Items!$A$5:$A$597,0)),""))</f>
        <v>Small</v>
      </c>
      <c r="G178" s="12">
        <v>5000</v>
      </c>
      <c r="H178" s="8">
        <v>46395</v>
      </c>
      <c r="I178" s="8">
        <v>46211</v>
      </c>
      <c r="J178" s="20">
        <f>IF($D178="","",IFERROR(INDEX(Items!$D$5:$D$597,MATCH($D178,Items!$A$5:$A$597,0)),""))</f>
        <v>5.5E-2</v>
      </c>
      <c r="K178" s="21">
        <f t="shared" si="3"/>
        <v>275</v>
      </c>
    </row>
    <row r="179" spans="1:11" x14ac:dyDescent="0.35">
      <c r="A179" s="22">
        <v>46209</v>
      </c>
      <c r="B179" s="9" t="s">
        <v>1183</v>
      </c>
      <c r="C179" s="9" t="s">
        <v>890</v>
      </c>
      <c r="D179" s="9" t="s">
        <v>124</v>
      </c>
      <c r="E179" s="18" t="str">
        <f>IF($D179="","",IFERROR(INDEX(Items!$B$5:$B$597,MATCH($D179,Items!$A$5:$A$597,0)),"⚠ not in Items"))</f>
        <v>Gloves</v>
      </c>
      <c r="F179" s="19" t="str">
        <f>IF($D179="","",IFERROR(INDEX(Items!$C$5:$C$597,MATCH($D179,Items!$A$5:$A$597,0)),""))</f>
        <v>Large</v>
      </c>
      <c r="G179" s="12">
        <v>5000</v>
      </c>
      <c r="H179" s="8">
        <v>46395</v>
      </c>
      <c r="I179" s="8">
        <v>46211</v>
      </c>
      <c r="J179" s="20">
        <f>IF($D179="","",IFERROR(INDEX(Items!$D$5:$D$597,MATCH($D179,Items!$A$5:$A$597,0)),""))</f>
        <v>5.5E-2</v>
      </c>
      <c r="K179" s="21">
        <f t="shared" si="3"/>
        <v>275</v>
      </c>
    </row>
    <row r="180" spans="1:11" x14ac:dyDescent="0.35">
      <c r="A180" s="22">
        <v>46216</v>
      </c>
      <c r="B180" s="9" t="s">
        <v>1188</v>
      </c>
      <c r="C180" s="9" t="s">
        <v>891</v>
      </c>
      <c r="D180" s="9" t="s">
        <v>124</v>
      </c>
      <c r="E180" s="18" t="str">
        <f>IF($D180="","",IFERROR(INDEX(Items!$B$5:$B$597,MATCH($D180,Items!$A$5:$A$597,0)),"⚠ not in Items"))</f>
        <v>Gloves</v>
      </c>
      <c r="F180" s="19" t="str">
        <f>IF($D180="","",IFERROR(INDEX(Items!$C$5:$C$597,MATCH($D180,Items!$A$5:$A$597,0)),""))</f>
        <v>Large</v>
      </c>
      <c r="G180" s="12">
        <v>5000</v>
      </c>
      <c r="H180" s="8">
        <v>46404</v>
      </c>
      <c r="I180" s="8">
        <v>46220</v>
      </c>
      <c r="J180" s="20">
        <f>IF($D180="","",IFERROR(INDEX(Items!$D$5:$D$597,MATCH($D180,Items!$A$5:$A$597,0)),""))</f>
        <v>5.5E-2</v>
      </c>
      <c r="K180" s="21">
        <f t="shared" si="3"/>
        <v>275</v>
      </c>
    </row>
    <row r="181" spans="1:11" x14ac:dyDescent="0.35">
      <c r="A181" s="22">
        <v>46216</v>
      </c>
      <c r="B181" s="9" t="s">
        <v>1188</v>
      </c>
      <c r="C181" s="9" t="s">
        <v>892</v>
      </c>
      <c r="D181" s="9" t="s">
        <v>129</v>
      </c>
      <c r="E181" s="18" t="str">
        <f>IF($D181="","",IFERROR(INDEX(Items!$B$5:$B$597,MATCH($D181,Items!$A$5:$A$597,0)),"⚠ not in Items"))</f>
        <v>Gloves</v>
      </c>
      <c r="F181" s="19" t="str">
        <f>IF($D181="","",IFERROR(INDEX(Items!$C$5:$C$597,MATCH($D181,Items!$A$5:$A$597,0)),""))</f>
        <v>Small</v>
      </c>
      <c r="G181" s="12">
        <v>5000</v>
      </c>
      <c r="H181" s="8">
        <v>46404</v>
      </c>
      <c r="I181" s="8">
        <v>46220</v>
      </c>
      <c r="J181" s="20">
        <f>IF($D181="","",IFERROR(INDEX(Items!$D$5:$D$597,MATCH($D181,Items!$A$5:$A$597,0)),""))</f>
        <v>5.5E-2</v>
      </c>
      <c r="K181" s="21">
        <f t="shared" si="3"/>
        <v>275</v>
      </c>
    </row>
    <row r="182" spans="1:11" x14ac:dyDescent="0.35">
      <c r="A182" s="22">
        <v>46216</v>
      </c>
      <c r="B182" s="9" t="s">
        <v>1188</v>
      </c>
      <c r="C182" s="9" t="s">
        <v>887</v>
      </c>
      <c r="D182" s="9" t="s">
        <v>191</v>
      </c>
      <c r="E182" s="18" t="str">
        <f>IF($D182="","",IFERROR(INDEX(Items!$B$5:$B$597,MATCH($D182,Items!$A$5:$A$597,0)),"⚠ not in Items"))</f>
        <v>Sanitizer</v>
      </c>
      <c r="F182" s="19" t="str">
        <f>IF($D182="","",IFERROR(INDEX(Items!$C$5:$C$597,MATCH($D182,Items!$A$5:$A$597,0)),""))</f>
        <v>236 ML</v>
      </c>
      <c r="G182" s="12">
        <v>36</v>
      </c>
      <c r="H182" s="8">
        <v>46811</v>
      </c>
      <c r="I182" s="8">
        <v>46220</v>
      </c>
      <c r="J182" s="20">
        <f>IF($D182="","",IFERROR(INDEX(Items!$D$5:$D$597,MATCH($D182,Items!$A$5:$A$597,0)),""))</f>
        <v>1E-4</v>
      </c>
      <c r="K182" s="21">
        <f t="shared" si="3"/>
        <v>3.6000000000000003E-3</v>
      </c>
    </row>
    <row r="183" spans="1:11" x14ac:dyDescent="0.35">
      <c r="A183" s="22">
        <v>46216</v>
      </c>
      <c r="B183" s="9" t="s">
        <v>1188</v>
      </c>
      <c r="C183" s="9" t="s">
        <v>893</v>
      </c>
      <c r="D183" s="9" t="s">
        <v>746</v>
      </c>
      <c r="E183" s="18" t="str">
        <f>IF($D183="","",IFERROR(INDEX(Items!$B$5:$B$597,MATCH($D183,Items!$A$5:$A$597,0)),"⚠ not in Items"))</f>
        <v>PPE</v>
      </c>
      <c r="F183" s="19" t="str">
        <f>IF($D183="","",IFERROR(INDEX(Items!$C$5:$C$597,MATCH($D183,Items!$A$5:$A$597,0)),""))</f>
        <v>Standard</v>
      </c>
      <c r="G183" s="12">
        <v>12</v>
      </c>
      <c r="H183" s="8">
        <v>46811</v>
      </c>
      <c r="I183" s="8">
        <v>46220</v>
      </c>
      <c r="J183" s="20">
        <f>IF($D183="","",IFERROR(INDEX(Items!$D$5:$D$597,MATCH($D183,Items!$A$5:$A$597,0)),""))</f>
        <v>0</v>
      </c>
      <c r="K183" s="21">
        <f t="shared" si="3"/>
        <v>0</v>
      </c>
    </row>
    <row r="184" spans="1:11" x14ac:dyDescent="0.35">
      <c r="A184" s="22">
        <v>46216</v>
      </c>
      <c r="B184" s="9" t="s">
        <v>1188</v>
      </c>
      <c r="C184" s="9">
        <v>2510611</v>
      </c>
      <c r="D184" s="9" t="s">
        <v>747</v>
      </c>
      <c r="E184" s="18" t="str">
        <f>IF($D184="","",IFERROR(INDEX(Items!$B$5:$B$597,MATCH($D184,Items!$A$5:$A$597,0)),"⚠ not in Items"))</f>
        <v>Wipes</v>
      </c>
      <c r="F184" s="19">
        <f>IF($D184="","",IFERROR(INDEX(Items!$C$5:$C$597,MATCH($D184,Items!$A$5:$A$597,0)),""))</f>
        <v>180</v>
      </c>
      <c r="G184" s="12">
        <v>2160</v>
      </c>
      <c r="H184" s="8">
        <v>46555</v>
      </c>
      <c r="I184" s="8">
        <v>46220</v>
      </c>
      <c r="J184" s="20">
        <f>IF($D184="","",IFERROR(INDEX(Items!$D$5:$D$597,MATCH($D184,Items!$A$5:$A$597,0)),""))</f>
        <v>0</v>
      </c>
      <c r="K184" s="21">
        <f t="shared" si="3"/>
        <v>0</v>
      </c>
    </row>
    <row r="185" spans="1:11" x14ac:dyDescent="0.35">
      <c r="A185" s="22">
        <v>46216</v>
      </c>
      <c r="B185" s="9" t="s">
        <v>1188</v>
      </c>
      <c r="C185" s="9" t="s">
        <v>894</v>
      </c>
      <c r="D185" s="9" t="s">
        <v>156</v>
      </c>
      <c r="E185" s="18" t="str">
        <f>IF($D185="","",IFERROR(INDEX(Items!$B$5:$B$597,MATCH($D185,Items!$A$5:$A$597,0)),"⚠ not in Items"))</f>
        <v>Masks</v>
      </c>
      <c r="F185" s="19" t="str">
        <f>IF($D185="","",IFERROR(INDEX(Items!$C$5:$C$597,MATCH($D185,Items!$A$5:$A$597,0)),""))</f>
        <v>One Size</v>
      </c>
      <c r="G185" s="12">
        <v>3000</v>
      </c>
      <c r="H185" s="8">
        <v>46325</v>
      </c>
      <c r="I185" s="8">
        <v>46220</v>
      </c>
      <c r="J185" s="20">
        <f>IF($D185="","",IFERROR(INDEX(Items!$D$5:$D$597,MATCH($D185,Items!$A$5:$A$597,0)),""))</f>
        <v>0.25</v>
      </c>
      <c r="K185" s="21">
        <f t="shared" si="3"/>
        <v>750</v>
      </c>
    </row>
    <row r="186" spans="1:11" x14ac:dyDescent="0.35">
      <c r="A186" s="22">
        <v>46223</v>
      </c>
      <c r="B186" s="9" t="s">
        <v>1188</v>
      </c>
      <c r="C186" s="9" t="s">
        <v>895</v>
      </c>
      <c r="D186" s="9" t="s">
        <v>127</v>
      </c>
      <c r="E186" s="18" t="str">
        <f>IF($D186="","",IFERROR(INDEX(Items!$B$5:$B$597,MATCH($D186,Items!$A$5:$A$597,0)),"⚠ not in Items"))</f>
        <v>Gloves</v>
      </c>
      <c r="F186" s="19" t="str">
        <f>IF($D186="","",IFERROR(INDEX(Items!$C$5:$C$597,MATCH($D186,Items!$A$5:$A$597,0)),""))</f>
        <v>Medium</v>
      </c>
      <c r="G186" s="12">
        <v>10000</v>
      </c>
      <c r="H186" s="8">
        <v>46411</v>
      </c>
      <c r="I186" s="8">
        <v>46227</v>
      </c>
      <c r="J186" s="20">
        <f>IF($D186="","",IFERROR(INDEX(Items!$D$5:$D$597,MATCH($D186,Items!$A$5:$A$597,0)),""))</f>
        <v>5.5E-2</v>
      </c>
      <c r="K186" s="21">
        <f t="shared" si="3"/>
        <v>550</v>
      </c>
    </row>
    <row r="187" spans="1:11" x14ac:dyDescent="0.35">
      <c r="A187" s="22">
        <v>46223</v>
      </c>
      <c r="B187" s="9" t="s">
        <v>1188</v>
      </c>
      <c r="C187" s="9" t="s">
        <v>896</v>
      </c>
      <c r="D187" s="9" t="s">
        <v>156</v>
      </c>
      <c r="E187" s="18" t="str">
        <f>IF($D187="","",IFERROR(INDEX(Items!$B$5:$B$597,MATCH($D187,Items!$A$5:$A$597,0)),"⚠ not in Items"))</f>
        <v>Masks</v>
      </c>
      <c r="F187" s="19" t="str">
        <f>IF($D187="","",IFERROR(INDEX(Items!$C$5:$C$597,MATCH($D187,Items!$A$5:$A$597,0)),""))</f>
        <v>One Size</v>
      </c>
      <c r="G187" s="12">
        <v>2000</v>
      </c>
      <c r="H187" s="8">
        <v>46350</v>
      </c>
      <c r="I187" s="8">
        <v>46227</v>
      </c>
      <c r="J187" s="20">
        <f>IF($D187="","",IFERROR(INDEX(Items!$D$5:$D$597,MATCH($D187,Items!$A$5:$A$597,0)),""))</f>
        <v>0.25</v>
      </c>
      <c r="K187" s="21">
        <f t="shared" si="3"/>
        <v>500</v>
      </c>
    </row>
    <row r="188" spans="1:11" x14ac:dyDescent="0.35">
      <c r="A188" s="22">
        <v>46223</v>
      </c>
      <c r="B188" s="9" t="s">
        <v>1188</v>
      </c>
      <c r="C188" s="9">
        <v>3024</v>
      </c>
      <c r="D188" s="9" t="s">
        <v>154</v>
      </c>
      <c r="E188" s="18" t="str">
        <f>IF($D188="","",IFERROR(INDEX(Items!$B$5:$B$597,MATCH($D188,Items!$A$5:$A$597,0)),"⚠ not in Items"))</f>
        <v>IPAC</v>
      </c>
      <c r="F188" s="19" t="str">
        <f>IF($D188="","",IFERROR(INDEX(Items!$C$5:$C$597,MATCH($D188,Items!$A$5:$A$597,0)),""))</f>
        <v>Regular</v>
      </c>
      <c r="G188" s="12">
        <v>300</v>
      </c>
      <c r="H188" s="8">
        <v>46811</v>
      </c>
      <c r="I188" s="8">
        <v>46227</v>
      </c>
      <c r="J188" s="20">
        <f>IF($D188="","",IFERROR(INDEX(Items!$D$5:$D$597,MATCH($D188,Items!$A$5:$A$597,0)),""))</f>
        <v>0.2</v>
      </c>
      <c r="K188" s="21">
        <f t="shared" si="3"/>
        <v>60</v>
      </c>
    </row>
    <row r="189" spans="1:11" x14ac:dyDescent="0.35">
      <c r="A189" s="82">
        <v>46223</v>
      </c>
      <c r="B189" s="79" t="s">
        <v>1183</v>
      </c>
      <c r="C189" s="79" t="s">
        <v>897</v>
      </c>
      <c r="D189" s="79" t="s">
        <v>127</v>
      </c>
      <c r="E189" s="80" t="str">
        <f>IF($D189="","",IFERROR(INDEX(Items!$B$5:$B$597,MATCH($D189,Items!$A$5:$A$597,0)),"⚠ not in Items"))</f>
        <v>Gloves</v>
      </c>
      <c r="F189" s="81" t="str">
        <f>IF($D189="","",IFERROR(INDEX(Items!$C$5:$C$597,MATCH($D189,Items!$A$5:$A$597,0)),""))</f>
        <v>Medium</v>
      </c>
      <c r="G189" s="113">
        <v>12500</v>
      </c>
      <c r="H189" s="112">
        <v>46411</v>
      </c>
      <c r="I189" s="112">
        <v>46227</v>
      </c>
      <c r="J189" s="83">
        <f>IF($D189="","",IFERROR(INDEX(Items!$D$5:$D$597,MATCH($D189,Items!$A$5:$A$597,0)),""))</f>
        <v>5.5E-2</v>
      </c>
      <c r="K189" s="86">
        <f t="shared" si="3"/>
        <v>687.5</v>
      </c>
    </row>
    <row r="190" spans="1:11" x14ac:dyDescent="0.35">
      <c r="A190" s="22">
        <v>46223</v>
      </c>
      <c r="B190" s="9" t="s">
        <v>1183</v>
      </c>
      <c r="C190" s="9" t="s">
        <v>898</v>
      </c>
      <c r="D190" s="9" t="s">
        <v>131</v>
      </c>
      <c r="E190" s="18" t="str">
        <f>IF($D190="","",IFERROR(INDEX(Items!$B$5:$B$597,MATCH($D190,Items!$A$5:$A$597,0)),"⚠ not in Items"))</f>
        <v>Gloves</v>
      </c>
      <c r="F190" s="19" t="str">
        <f>IF($D190="","",IFERROR(INDEX(Items!$C$5:$C$597,MATCH($D190,Items!$A$5:$A$597,0)),""))</f>
        <v>Small</v>
      </c>
      <c r="G190" s="12">
        <v>1000</v>
      </c>
      <c r="H190" s="8">
        <v>46411</v>
      </c>
      <c r="I190" s="8">
        <v>46227</v>
      </c>
      <c r="J190" s="20">
        <f>IF($D190="","",IFERROR(INDEX(Items!$D$5:$D$597,MATCH($D190,Items!$A$5:$A$597,0)),""))</f>
        <v>5.5E-2</v>
      </c>
      <c r="K190" s="21">
        <f t="shared" ref="K190:K192" si="4">IF(OR($G190="",$J190=""),"",$G190*$J190)</f>
        <v>55</v>
      </c>
    </row>
    <row r="191" spans="1:11" x14ac:dyDescent="0.35">
      <c r="A191" s="22">
        <v>46223</v>
      </c>
      <c r="B191" s="9" t="s">
        <v>1183</v>
      </c>
      <c r="C191" s="9" t="s">
        <v>899</v>
      </c>
      <c r="D191" s="9" t="s">
        <v>132</v>
      </c>
      <c r="E191" s="18" t="str">
        <f>IF($D191="","",IFERROR(INDEX(Items!$B$5:$B$597,MATCH($D191,Items!$A$5:$A$597,0)),"⚠ not in Items"))</f>
        <v>Gloves</v>
      </c>
      <c r="F191" s="19" t="str">
        <f>IF($D191="","",IFERROR(INDEX(Items!$C$5:$C$597,MATCH($D191,Items!$A$5:$A$597,0)),""))</f>
        <v>X-Large</v>
      </c>
      <c r="G191" s="12">
        <v>2500</v>
      </c>
      <c r="H191" s="8">
        <v>46411</v>
      </c>
      <c r="I191" s="8">
        <v>46227</v>
      </c>
      <c r="J191" s="20">
        <f>IF($D191="","",IFERROR(INDEX(Items!$D$5:$D$597,MATCH($D191,Items!$A$5:$A$597,0)),""))</f>
        <v>5.5E-2</v>
      </c>
      <c r="K191" s="21">
        <f t="shared" si="4"/>
        <v>137.5</v>
      </c>
    </row>
    <row r="192" spans="1:11" x14ac:dyDescent="0.35">
      <c r="A192" s="22">
        <v>46223</v>
      </c>
      <c r="B192" s="9" t="s">
        <v>1188</v>
      </c>
      <c r="C192" s="9" t="s">
        <v>900</v>
      </c>
      <c r="D192" s="9" t="s">
        <v>191</v>
      </c>
      <c r="E192" s="18" t="str">
        <f>IF($D192="","",IFERROR(INDEX(Items!$B$5:$B$597,MATCH($D192,Items!$A$5:$A$597,0)),"⚠ not in Items"))</f>
        <v>Sanitizer</v>
      </c>
      <c r="F192" s="19" t="str">
        <f>IF($D192="","",IFERROR(INDEX(Items!$C$5:$C$597,MATCH($D192,Items!$A$5:$A$597,0)),""))</f>
        <v>236 ML</v>
      </c>
      <c r="G192" s="12">
        <v>36</v>
      </c>
      <c r="H192" s="8">
        <v>46811</v>
      </c>
      <c r="I192" s="8">
        <v>46227</v>
      </c>
      <c r="J192" s="20">
        <f>IF($D192="","",IFERROR(INDEX(Items!$D$5:$D$597,MATCH($D192,Items!$A$5:$A$597,0)),""))</f>
        <v>1E-4</v>
      </c>
      <c r="K192" s="21">
        <f t="shared" si="4"/>
        <v>3.6000000000000003E-3</v>
      </c>
    </row>
    <row r="193" spans="1:11" x14ac:dyDescent="0.35">
      <c r="A193" s="22"/>
      <c r="B193" s="9"/>
      <c r="C193" s="9"/>
      <c r="D193" s="9"/>
      <c r="E193" s="18"/>
      <c r="F193" s="19"/>
      <c r="G193" s="14"/>
      <c r="H193" s="22"/>
      <c r="I193" s="22"/>
      <c r="J193" s="20"/>
      <c r="K193" s="21"/>
    </row>
    <row r="194" spans="1:11" x14ac:dyDescent="0.35">
      <c r="A194" s="22"/>
      <c r="B194" s="9"/>
      <c r="C194" s="9"/>
      <c r="D194" s="9"/>
      <c r="E194" s="18"/>
      <c r="F194" s="19"/>
      <c r="G194" s="14"/>
      <c r="H194" s="22"/>
      <c r="I194" s="22"/>
      <c r="J194" s="20"/>
      <c r="K194" s="21"/>
    </row>
    <row r="195" spans="1:11" x14ac:dyDescent="0.35">
      <c r="A195" s="22"/>
      <c r="B195" s="9"/>
      <c r="C195" s="9"/>
      <c r="D195" s="9"/>
      <c r="E195" s="18"/>
      <c r="F195" s="19"/>
      <c r="G195" s="14"/>
      <c r="H195" s="22"/>
      <c r="I195" s="22"/>
      <c r="J195" s="20"/>
      <c r="K195" s="21"/>
    </row>
    <row r="196" spans="1:11" x14ac:dyDescent="0.35">
      <c r="A196" s="22"/>
      <c r="B196" s="9"/>
      <c r="C196" s="9"/>
      <c r="D196" s="9"/>
      <c r="E196" s="18"/>
      <c r="F196" s="19"/>
      <c r="G196" s="14"/>
      <c r="H196" s="22"/>
      <c r="I196" s="22"/>
      <c r="J196" s="20"/>
      <c r="K196" s="21"/>
    </row>
    <row r="197" spans="1:11" x14ac:dyDescent="0.35">
      <c r="A197" s="22"/>
      <c r="B197" s="9"/>
      <c r="C197" s="9"/>
      <c r="D197" s="9"/>
      <c r="E197" s="18"/>
      <c r="F197" s="19"/>
      <c r="G197" s="14"/>
      <c r="H197" s="22"/>
      <c r="I197" s="22"/>
      <c r="J197" s="20"/>
      <c r="K197" s="21"/>
    </row>
    <row r="198" spans="1:11" x14ac:dyDescent="0.35">
      <c r="A198" s="22"/>
      <c r="B198" s="9"/>
      <c r="C198" s="9"/>
      <c r="D198" s="9"/>
      <c r="E198" s="18"/>
      <c r="F198" s="19"/>
      <c r="G198" s="14"/>
      <c r="H198" s="22"/>
      <c r="I198" s="22"/>
      <c r="J198" s="20"/>
      <c r="K198" s="21"/>
    </row>
    <row r="199" spans="1:11" x14ac:dyDescent="0.35">
      <c r="A199" s="22"/>
      <c r="B199" s="9"/>
      <c r="C199" s="9"/>
      <c r="D199" s="9"/>
      <c r="E199" s="18"/>
      <c r="F199" s="19"/>
      <c r="G199" s="14"/>
      <c r="H199" s="22"/>
      <c r="I199" s="22"/>
      <c r="J199" s="20"/>
      <c r="K199" s="21"/>
    </row>
    <row r="200" spans="1:11" x14ac:dyDescent="0.35">
      <c r="A200" s="22"/>
      <c r="B200" s="9"/>
      <c r="C200" s="9"/>
      <c r="D200" s="9"/>
      <c r="E200" s="18"/>
      <c r="F200" s="19"/>
      <c r="G200" s="14"/>
      <c r="H200" s="22"/>
      <c r="I200" s="22"/>
      <c r="J200" s="20"/>
      <c r="K200" s="21"/>
    </row>
    <row r="201" spans="1:11" x14ac:dyDescent="0.35">
      <c r="A201" s="22"/>
      <c r="B201" s="9"/>
      <c r="C201" s="9"/>
      <c r="D201" s="9"/>
      <c r="E201" s="18"/>
      <c r="F201" s="19"/>
      <c r="G201" s="14"/>
      <c r="H201" s="22"/>
      <c r="I201" s="22"/>
      <c r="J201" s="20"/>
      <c r="K201" s="21"/>
    </row>
    <row r="202" spans="1:11" x14ac:dyDescent="0.35">
      <c r="A202" s="22"/>
      <c r="B202" s="9"/>
      <c r="C202" s="9"/>
      <c r="D202" s="9"/>
      <c r="E202" s="18"/>
      <c r="F202" s="19"/>
      <c r="G202" s="14"/>
      <c r="H202" s="22"/>
      <c r="I202" s="22"/>
      <c r="J202" s="20"/>
      <c r="K202" s="21"/>
    </row>
    <row r="203" spans="1:11" x14ac:dyDescent="0.35">
      <c r="A203" s="22"/>
      <c r="B203" s="9"/>
      <c r="C203" s="9"/>
      <c r="D203" s="9"/>
      <c r="E203" s="18"/>
      <c r="F203" s="19"/>
      <c r="G203" s="14"/>
      <c r="H203" s="22"/>
      <c r="I203" s="22"/>
      <c r="J203" s="20"/>
      <c r="K203" s="21"/>
    </row>
    <row r="204" spans="1:11" x14ac:dyDescent="0.35">
      <c r="A204" s="22"/>
      <c r="B204" s="9"/>
      <c r="C204" s="9"/>
      <c r="D204" s="9"/>
      <c r="E204" s="18"/>
      <c r="F204" s="19"/>
      <c r="G204" s="14"/>
      <c r="H204" s="22"/>
      <c r="I204" s="22"/>
      <c r="J204" s="20"/>
      <c r="K204" s="21"/>
    </row>
    <row r="205" spans="1:11" x14ac:dyDescent="0.35">
      <c r="A205" s="22"/>
      <c r="B205" s="9"/>
      <c r="C205" s="9"/>
      <c r="D205" s="9"/>
      <c r="E205" s="18"/>
      <c r="F205" s="19"/>
      <c r="G205" s="14"/>
      <c r="H205" s="22"/>
      <c r="I205" s="22"/>
      <c r="J205" s="20"/>
      <c r="K205" s="21"/>
    </row>
    <row r="206" spans="1:11" x14ac:dyDescent="0.35">
      <c r="A206" s="22"/>
      <c r="B206" s="9"/>
      <c r="C206" s="9"/>
      <c r="D206" s="9"/>
      <c r="E206" s="18"/>
      <c r="F206" s="19"/>
      <c r="G206" s="14"/>
      <c r="H206" s="22"/>
      <c r="I206" s="22"/>
      <c r="J206" s="20"/>
      <c r="K206" s="21"/>
    </row>
    <row r="207" spans="1:11" x14ac:dyDescent="0.35">
      <c r="A207" s="22"/>
      <c r="B207" s="9"/>
      <c r="C207" s="9"/>
      <c r="D207" s="9"/>
      <c r="E207" s="18"/>
      <c r="F207" s="19"/>
      <c r="G207" s="14"/>
      <c r="H207" s="22"/>
      <c r="I207" s="22"/>
      <c r="J207" s="20"/>
      <c r="K207" s="21"/>
    </row>
    <row r="208" spans="1:11" x14ac:dyDescent="0.35">
      <c r="A208" s="22"/>
      <c r="B208" s="9"/>
      <c r="C208" s="9"/>
      <c r="D208" s="9"/>
      <c r="E208" s="18"/>
      <c r="F208" s="19"/>
      <c r="G208" s="14"/>
      <c r="H208" s="22"/>
      <c r="I208" s="22"/>
      <c r="J208" s="20"/>
      <c r="K208" s="21"/>
    </row>
    <row r="209" spans="1:11" x14ac:dyDescent="0.35">
      <c r="A209" s="22"/>
      <c r="B209" s="9"/>
      <c r="C209" s="9"/>
      <c r="D209" s="9"/>
      <c r="E209" s="18"/>
      <c r="F209" s="19"/>
      <c r="G209" s="14"/>
      <c r="H209" s="22"/>
      <c r="I209" s="22"/>
      <c r="J209" s="20"/>
      <c r="K209" s="21"/>
    </row>
    <row r="210" spans="1:11" x14ac:dyDescent="0.35">
      <c r="A210" s="22"/>
      <c r="B210" s="9"/>
      <c r="C210" s="9"/>
      <c r="D210" s="9"/>
      <c r="E210" s="18"/>
      <c r="F210" s="19"/>
      <c r="G210" s="14"/>
      <c r="H210" s="22"/>
      <c r="I210" s="22"/>
      <c r="J210" s="20"/>
      <c r="K210" s="21"/>
    </row>
    <row r="211" spans="1:11" x14ac:dyDescent="0.35">
      <c r="A211" s="22"/>
      <c r="B211" s="9"/>
      <c r="C211" s="9"/>
      <c r="D211" s="9"/>
      <c r="E211" s="18"/>
      <c r="F211" s="19"/>
      <c r="G211" s="14"/>
      <c r="H211" s="22"/>
      <c r="I211" s="22"/>
      <c r="J211" s="20"/>
      <c r="K211" s="21"/>
    </row>
    <row r="212" spans="1:11" x14ac:dyDescent="0.35">
      <c r="A212" s="22"/>
      <c r="B212" s="9"/>
      <c r="C212" s="9"/>
      <c r="D212" s="9"/>
      <c r="E212" s="18"/>
      <c r="F212" s="19"/>
      <c r="G212" s="14"/>
      <c r="H212" s="22"/>
      <c r="I212" s="22"/>
      <c r="J212" s="20"/>
      <c r="K212" s="21"/>
    </row>
    <row r="213" spans="1:11" x14ac:dyDescent="0.35">
      <c r="A213" s="22"/>
      <c r="B213" s="9"/>
      <c r="C213" s="9"/>
      <c r="D213" s="9"/>
      <c r="E213" s="18"/>
      <c r="F213" s="19"/>
      <c r="G213" s="14"/>
      <c r="H213" s="22"/>
      <c r="I213" s="22"/>
      <c r="J213" s="20"/>
      <c r="K213" s="21"/>
    </row>
    <row r="214" spans="1:11" x14ac:dyDescent="0.35">
      <c r="A214" s="22"/>
      <c r="B214" s="9"/>
      <c r="C214" s="9"/>
      <c r="D214" s="9"/>
      <c r="E214" s="18"/>
      <c r="F214" s="19"/>
      <c r="G214" s="14"/>
      <c r="H214" s="22"/>
      <c r="I214" s="22"/>
      <c r="J214" s="20"/>
      <c r="K214" s="21"/>
    </row>
    <row r="215" spans="1:11" x14ac:dyDescent="0.35">
      <c r="A215" s="22"/>
      <c r="B215" s="9"/>
      <c r="C215" s="9"/>
      <c r="D215" s="9"/>
      <c r="E215" s="18"/>
      <c r="F215" s="19"/>
      <c r="G215" s="14"/>
      <c r="H215" s="22"/>
      <c r="I215" s="22"/>
      <c r="J215" s="20"/>
      <c r="K215" s="21"/>
    </row>
    <row r="216" spans="1:11" x14ac:dyDescent="0.35">
      <c r="A216" s="22"/>
      <c r="B216" s="9"/>
      <c r="C216" s="9"/>
      <c r="D216" s="9"/>
      <c r="E216" s="18"/>
      <c r="F216" s="19"/>
      <c r="G216" s="14"/>
      <c r="H216" s="22"/>
      <c r="I216" s="22"/>
      <c r="J216" s="20"/>
      <c r="K216" s="21"/>
    </row>
    <row r="217" spans="1:11" x14ac:dyDescent="0.35">
      <c r="A217" s="22"/>
      <c r="B217" s="9"/>
      <c r="C217" s="9"/>
      <c r="D217" s="9"/>
      <c r="E217" s="18"/>
      <c r="F217" s="19"/>
      <c r="G217" s="14"/>
      <c r="H217" s="22"/>
      <c r="I217" s="22"/>
      <c r="J217" s="20"/>
      <c r="K217" s="21"/>
    </row>
    <row r="218" spans="1:11" x14ac:dyDescent="0.35">
      <c r="A218" s="22"/>
      <c r="B218" s="9"/>
      <c r="C218" s="9"/>
      <c r="D218" s="9"/>
      <c r="E218" s="18"/>
      <c r="F218" s="19"/>
      <c r="G218" s="14"/>
      <c r="H218" s="22"/>
      <c r="I218" s="22"/>
      <c r="J218" s="20"/>
      <c r="K218" s="21"/>
    </row>
    <row r="219" spans="1:11" x14ac:dyDescent="0.35">
      <c r="A219" s="22"/>
      <c r="B219" s="9"/>
      <c r="C219" s="9"/>
      <c r="D219" s="9"/>
      <c r="E219" s="18"/>
      <c r="F219" s="19"/>
      <c r="G219" s="14"/>
      <c r="H219" s="22"/>
      <c r="I219" s="22"/>
      <c r="J219" s="20"/>
      <c r="K219" s="21"/>
    </row>
    <row r="220" spans="1:11" x14ac:dyDescent="0.35">
      <c r="A220" s="22"/>
      <c r="B220" s="9"/>
      <c r="C220" s="9"/>
      <c r="D220" s="9"/>
      <c r="E220" s="18"/>
      <c r="F220" s="19"/>
      <c r="G220" s="14"/>
      <c r="H220" s="22"/>
      <c r="I220" s="22"/>
      <c r="J220" s="20"/>
      <c r="K220" s="21"/>
    </row>
    <row r="221" spans="1:11" x14ac:dyDescent="0.35">
      <c r="A221" s="22"/>
      <c r="B221" s="9"/>
      <c r="C221" s="9"/>
      <c r="D221" s="9"/>
      <c r="E221" s="18"/>
      <c r="F221" s="19"/>
      <c r="G221" s="14"/>
      <c r="H221" s="22"/>
      <c r="I221" s="22"/>
      <c r="J221" s="20"/>
      <c r="K221" s="21"/>
    </row>
    <row r="222" spans="1:11" x14ac:dyDescent="0.35">
      <c r="A222" s="22"/>
      <c r="B222" s="9"/>
      <c r="C222" s="9"/>
      <c r="D222" s="9"/>
      <c r="E222" s="18"/>
      <c r="F222" s="19"/>
      <c r="G222" s="14"/>
      <c r="H222" s="22"/>
      <c r="I222" s="22"/>
      <c r="J222" s="20"/>
      <c r="K222" s="21"/>
    </row>
    <row r="223" spans="1:11" x14ac:dyDescent="0.35">
      <c r="A223" s="22"/>
      <c r="B223" s="9"/>
      <c r="C223" s="9"/>
      <c r="D223" s="9"/>
      <c r="E223" s="18"/>
      <c r="F223" s="19"/>
      <c r="G223" s="14"/>
      <c r="H223" s="22"/>
      <c r="I223" s="22"/>
      <c r="J223" s="20"/>
      <c r="K223" s="21"/>
    </row>
    <row r="224" spans="1:11" x14ac:dyDescent="0.35">
      <c r="A224" s="22"/>
      <c r="B224" s="9"/>
      <c r="C224" s="9"/>
      <c r="D224" s="9"/>
      <c r="E224" s="18"/>
      <c r="F224" s="19"/>
      <c r="G224" s="14"/>
      <c r="H224" s="22"/>
      <c r="I224" s="22"/>
      <c r="J224" s="20"/>
      <c r="K224" s="21"/>
    </row>
    <row r="225" spans="1:11" x14ac:dyDescent="0.35">
      <c r="A225" s="22"/>
      <c r="B225" s="9"/>
      <c r="C225" s="9"/>
      <c r="D225" s="9"/>
      <c r="E225" s="18"/>
      <c r="F225" s="19"/>
      <c r="G225" s="14"/>
      <c r="H225" s="22"/>
      <c r="I225" s="22"/>
      <c r="J225" s="20"/>
      <c r="K225" s="21"/>
    </row>
    <row r="226" spans="1:11" x14ac:dyDescent="0.35">
      <c r="A226" s="22"/>
      <c r="B226" s="9"/>
      <c r="C226" s="9"/>
      <c r="D226" s="9"/>
      <c r="E226" s="18"/>
      <c r="F226" s="19"/>
      <c r="G226" s="14"/>
      <c r="H226" s="22"/>
      <c r="I226" s="22"/>
      <c r="J226" s="20"/>
      <c r="K226" s="21"/>
    </row>
    <row r="227" spans="1:11" x14ac:dyDescent="0.35">
      <c r="A227" s="22"/>
      <c r="B227" s="9"/>
      <c r="C227" s="9"/>
      <c r="D227" s="9"/>
      <c r="E227" s="18"/>
      <c r="F227" s="19"/>
      <c r="G227" s="14"/>
      <c r="H227" s="22"/>
      <c r="I227" s="22"/>
      <c r="J227" s="20"/>
      <c r="K227" s="21"/>
    </row>
    <row r="228" spans="1:11" x14ac:dyDescent="0.35">
      <c r="A228" s="22"/>
      <c r="B228" s="9"/>
      <c r="C228" s="9"/>
      <c r="D228" s="9"/>
      <c r="E228" s="18"/>
      <c r="F228" s="19"/>
      <c r="G228" s="14"/>
      <c r="H228" s="22"/>
      <c r="I228" s="22"/>
      <c r="J228" s="20"/>
      <c r="K228" s="21"/>
    </row>
    <row r="229" spans="1:11" x14ac:dyDescent="0.35">
      <c r="A229" s="22"/>
      <c r="B229" s="9"/>
      <c r="C229" s="9"/>
      <c r="D229" s="9"/>
      <c r="E229" s="18"/>
      <c r="F229" s="19"/>
      <c r="G229" s="14"/>
      <c r="H229" s="22"/>
      <c r="I229" s="22"/>
      <c r="J229" s="20"/>
      <c r="K229" s="21"/>
    </row>
    <row r="230" spans="1:11" x14ac:dyDescent="0.35">
      <c r="A230" s="22"/>
      <c r="B230" s="9"/>
      <c r="C230" s="9"/>
      <c r="D230" s="9"/>
      <c r="E230" s="18"/>
      <c r="F230" s="19"/>
      <c r="G230" s="14"/>
      <c r="H230" s="22"/>
      <c r="I230" s="22"/>
      <c r="J230" s="20"/>
      <c r="K230" s="21"/>
    </row>
    <row r="231" spans="1:11" x14ac:dyDescent="0.35">
      <c r="A231" s="22"/>
      <c r="B231" s="9"/>
      <c r="C231" s="9"/>
      <c r="D231" s="9"/>
      <c r="E231" s="18"/>
      <c r="F231" s="19"/>
      <c r="G231" s="14"/>
      <c r="H231" s="22"/>
      <c r="I231" s="22"/>
      <c r="J231" s="20"/>
      <c r="K231" s="21"/>
    </row>
    <row r="232" spans="1:11" x14ac:dyDescent="0.35">
      <c r="A232" s="22"/>
      <c r="B232" s="9"/>
      <c r="C232" s="9"/>
      <c r="D232" s="9"/>
      <c r="E232" s="18"/>
      <c r="F232" s="19"/>
      <c r="G232" s="14"/>
      <c r="H232" s="22"/>
      <c r="I232" s="22"/>
      <c r="J232" s="20"/>
      <c r="K232" s="21"/>
    </row>
    <row r="233" spans="1:11" x14ac:dyDescent="0.35">
      <c r="A233" s="22"/>
      <c r="B233" s="9"/>
      <c r="C233" s="9"/>
      <c r="D233" s="9"/>
      <c r="E233" s="18"/>
      <c r="F233" s="19"/>
      <c r="G233" s="14"/>
      <c r="H233" s="22"/>
      <c r="I233" s="22"/>
      <c r="J233" s="20"/>
      <c r="K233" s="21"/>
    </row>
    <row r="234" spans="1:11" x14ac:dyDescent="0.35">
      <c r="A234" s="22"/>
      <c r="B234" s="9"/>
      <c r="C234" s="9"/>
      <c r="D234" s="9"/>
      <c r="E234" s="18"/>
      <c r="F234" s="19"/>
      <c r="G234" s="14"/>
      <c r="H234" s="22"/>
      <c r="I234" s="22"/>
      <c r="J234" s="20"/>
      <c r="K234" s="21"/>
    </row>
    <row r="235" spans="1:11" x14ac:dyDescent="0.35">
      <c r="A235" s="22"/>
      <c r="B235" s="9"/>
      <c r="C235" s="9"/>
      <c r="D235" s="9"/>
      <c r="E235" s="18"/>
      <c r="F235" s="19"/>
      <c r="G235" s="14"/>
      <c r="H235" s="22"/>
      <c r="I235" s="22"/>
      <c r="J235" s="20"/>
      <c r="K235" s="21"/>
    </row>
    <row r="236" spans="1:11" x14ac:dyDescent="0.35">
      <c r="A236" s="22"/>
      <c r="B236" s="9"/>
      <c r="C236" s="9"/>
      <c r="D236" s="9"/>
      <c r="E236" s="18"/>
      <c r="F236" s="19"/>
      <c r="G236" s="14"/>
      <c r="H236" s="22"/>
      <c r="I236" s="22"/>
      <c r="J236" s="20"/>
      <c r="K236" s="21"/>
    </row>
    <row r="237" spans="1:11" x14ac:dyDescent="0.35">
      <c r="A237" s="22"/>
      <c r="B237" s="9"/>
      <c r="C237" s="9"/>
      <c r="D237" s="9"/>
      <c r="E237" s="18"/>
      <c r="F237" s="19"/>
      <c r="G237" s="14"/>
      <c r="H237" s="22"/>
      <c r="I237" s="22"/>
      <c r="J237" s="20"/>
      <c r="K237" s="21"/>
    </row>
    <row r="238" spans="1:11" x14ac:dyDescent="0.35">
      <c r="A238" s="22"/>
      <c r="B238" s="9"/>
      <c r="C238" s="9"/>
      <c r="D238" s="9"/>
      <c r="E238" s="18"/>
      <c r="F238" s="19"/>
      <c r="G238" s="14"/>
      <c r="H238" s="22"/>
      <c r="I238" s="22"/>
      <c r="J238" s="20"/>
      <c r="K238" s="21"/>
    </row>
    <row r="239" spans="1:11" x14ac:dyDescent="0.35">
      <c r="A239" s="22"/>
      <c r="B239" s="9"/>
      <c r="C239" s="9"/>
      <c r="D239" s="9"/>
      <c r="E239" s="18"/>
      <c r="F239" s="19"/>
      <c r="G239" s="14"/>
      <c r="H239" s="22"/>
      <c r="I239" s="22"/>
      <c r="J239" s="20"/>
      <c r="K239" s="21"/>
    </row>
    <row r="240" spans="1:11" x14ac:dyDescent="0.35">
      <c r="A240" s="22"/>
      <c r="B240" s="9"/>
      <c r="C240" s="9"/>
      <c r="D240" s="9"/>
      <c r="E240" s="18"/>
      <c r="F240" s="19"/>
      <c r="G240" s="14"/>
      <c r="H240" s="22"/>
      <c r="I240" s="22"/>
      <c r="J240" s="20"/>
      <c r="K240" s="21"/>
    </row>
    <row r="241" spans="1:11" x14ac:dyDescent="0.35">
      <c r="A241" s="22"/>
      <c r="B241" s="9"/>
      <c r="C241" s="9"/>
      <c r="D241" s="9"/>
      <c r="E241" s="18"/>
      <c r="F241" s="19"/>
      <c r="G241" s="14"/>
      <c r="H241" s="22"/>
      <c r="I241" s="22"/>
      <c r="J241" s="20"/>
      <c r="K241" s="21"/>
    </row>
    <row r="242" spans="1:11" x14ac:dyDescent="0.35">
      <c r="A242" s="22"/>
      <c r="B242" s="9"/>
      <c r="C242" s="9"/>
      <c r="D242" s="9"/>
      <c r="E242" s="18"/>
      <c r="F242" s="19"/>
      <c r="G242" s="14"/>
      <c r="H242" s="22"/>
      <c r="I242" s="22"/>
      <c r="J242" s="20"/>
      <c r="K242" s="21"/>
    </row>
    <row r="243" spans="1:11" x14ac:dyDescent="0.35">
      <c r="A243" s="22"/>
      <c r="B243" s="9"/>
      <c r="C243" s="9"/>
      <c r="D243" s="9"/>
      <c r="E243" s="18"/>
      <c r="F243" s="19"/>
      <c r="G243" s="14"/>
      <c r="H243" s="22"/>
      <c r="I243" s="22"/>
      <c r="J243" s="20"/>
      <c r="K243" s="21"/>
    </row>
    <row r="244" spans="1:11" x14ac:dyDescent="0.35">
      <c r="A244" s="22"/>
      <c r="B244" s="9"/>
      <c r="C244" s="9"/>
      <c r="D244" s="9"/>
      <c r="E244" s="18"/>
      <c r="F244" s="19"/>
      <c r="G244" s="14"/>
      <c r="H244" s="22"/>
      <c r="I244" s="22"/>
      <c r="J244" s="20"/>
      <c r="K244" s="21"/>
    </row>
    <row r="245" spans="1:11" x14ac:dyDescent="0.35">
      <c r="A245" s="22"/>
      <c r="B245" s="9"/>
      <c r="C245" s="9"/>
      <c r="D245" s="9"/>
      <c r="E245" s="18"/>
      <c r="F245" s="19"/>
      <c r="G245" s="14"/>
      <c r="H245" s="22"/>
      <c r="I245" s="22"/>
      <c r="J245" s="20"/>
      <c r="K245" s="21"/>
    </row>
    <row r="246" spans="1:11" x14ac:dyDescent="0.35">
      <c r="A246" s="22"/>
      <c r="B246" s="9"/>
      <c r="C246" s="9"/>
      <c r="D246" s="9"/>
      <c r="E246" s="18"/>
      <c r="F246" s="19"/>
      <c r="G246" s="14"/>
      <c r="H246" s="22"/>
      <c r="I246" s="22"/>
      <c r="J246" s="20"/>
      <c r="K246" s="21"/>
    </row>
    <row r="247" spans="1:11" x14ac:dyDescent="0.35">
      <c r="A247" s="22"/>
      <c r="B247" s="9"/>
      <c r="C247" s="9"/>
      <c r="D247" s="9"/>
      <c r="E247" s="18"/>
      <c r="F247" s="19"/>
      <c r="G247" s="14"/>
      <c r="H247" s="22"/>
      <c r="I247" s="22"/>
      <c r="J247" s="20"/>
      <c r="K247" s="21"/>
    </row>
    <row r="248" spans="1:11" x14ac:dyDescent="0.35">
      <c r="A248" s="22"/>
      <c r="B248" s="9"/>
      <c r="C248" s="9"/>
      <c r="D248" s="9"/>
      <c r="E248" s="18"/>
      <c r="F248" s="19"/>
      <c r="G248" s="14"/>
      <c r="H248" s="22"/>
      <c r="I248" s="22"/>
      <c r="J248" s="20"/>
      <c r="K248" s="21"/>
    </row>
    <row r="249" spans="1:11" x14ac:dyDescent="0.35">
      <c r="A249" s="22"/>
      <c r="B249" s="9"/>
      <c r="C249" s="9"/>
      <c r="D249" s="9"/>
      <c r="E249" s="18"/>
      <c r="F249" s="19"/>
      <c r="G249" s="14"/>
      <c r="H249" s="22"/>
      <c r="I249" s="22"/>
      <c r="J249" s="20"/>
      <c r="K249" s="21"/>
    </row>
    <row r="250" spans="1:11" x14ac:dyDescent="0.35">
      <c r="A250" s="22"/>
      <c r="B250" s="9"/>
      <c r="C250" s="9"/>
      <c r="D250" s="9"/>
      <c r="E250" s="18"/>
      <c r="F250" s="19"/>
      <c r="G250" s="14"/>
      <c r="H250" s="22"/>
      <c r="I250" s="22"/>
      <c r="J250" s="20"/>
      <c r="K250" s="21"/>
    </row>
    <row r="251" spans="1:11" x14ac:dyDescent="0.35">
      <c r="A251" s="22"/>
      <c r="B251" s="9"/>
      <c r="C251" s="9"/>
      <c r="D251" s="9"/>
      <c r="E251" s="18"/>
      <c r="F251" s="19"/>
      <c r="G251" s="14"/>
      <c r="H251" s="22"/>
      <c r="I251" s="22"/>
      <c r="J251" s="20"/>
      <c r="K251" s="21"/>
    </row>
    <row r="252" spans="1:11" x14ac:dyDescent="0.35">
      <c r="A252" s="22"/>
      <c r="B252" s="9"/>
      <c r="C252" s="9"/>
      <c r="D252" s="9"/>
      <c r="E252" s="18"/>
      <c r="F252" s="19"/>
      <c r="G252" s="14"/>
      <c r="H252" s="22"/>
      <c r="I252" s="22"/>
      <c r="J252" s="20"/>
      <c r="K252" s="21"/>
    </row>
    <row r="253" spans="1:11" x14ac:dyDescent="0.35">
      <c r="A253" s="22"/>
      <c r="B253" s="9"/>
      <c r="C253" s="9"/>
      <c r="D253" s="9"/>
      <c r="E253" s="18"/>
      <c r="F253" s="19"/>
      <c r="G253" s="14"/>
      <c r="H253" s="22"/>
      <c r="I253" s="22"/>
      <c r="J253" s="20"/>
      <c r="K253" s="21"/>
    </row>
    <row r="254" spans="1:11" x14ac:dyDescent="0.35">
      <c r="A254" s="22"/>
      <c r="B254" s="9"/>
      <c r="C254" s="9"/>
      <c r="D254" s="9"/>
      <c r="E254" s="18"/>
      <c r="F254" s="19"/>
      <c r="G254" s="14"/>
      <c r="H254" s="22"/>
      <c r="I254" s="22"/>
      <c r="J254" s="20"/>
      <c r="K254" s="21"/>
    </row>
    <row r="255" spans="1:11" x14ac:dyDescent="0.35">
      <c r="A255" s="22"/>
      <c r="B255" s="9"/>
      <c r="C255" s="9"/>
      <c r="D255" s="9"/>
      <c r="E255" s="18"/>
      <c r="F255" s="19"/>
      <c r="G255" s="14"/>
      <c r="H255" s="22"/>
      <c r="I255" s="22"/>
      <c r="J255" s="20"/>
      <c r="K255" s="21"/>
    </row>
    <row r="256" spans="1:11" x14ac:dyDescent="0.35">
      <c r="A256" s="22"/>
      <c r="B256" s="9"/>
      <c r="C256" s="9"/>
      <c r="D256" s="9"/>
      <c r="E256" s="18"/>
      <c r="F256" s="19"/>
      <c r="G256" s="14"/>
      <c r="H256" s="22"/>
      <c r="I256" s="22"/>
      <c r="J256" s="20"/>
      <c r="K256" s="21"/>
    </row>
    <row r="257" spans="1:11" x14ac:dyDescent="0.35">
      <c r="A257" s="22"/>
      <c r="B257" s="9"/>
      <c r="C257" s="9"/>
      <c r="D257" s="9"/>
      <c r="E257" s="18"/>
      <c r="F257" s="19"/>
      <c r="G257" s="14"/>
      <c r="H257" s="22"/>
      <c r="I257" s="22"/>
      <c r="J257" s="20"/>
      <c r="K257" s="21"/>
    </row>
    <row r="258" spans="1:11" x14ac:dyDescent="0.35">
      <c r="A258" s="22"/>
      <c r="B258" s="9"/>
      <c r="C258" s="9"/>
      <c r="D258" s="9"/>
      <c r="E258" s="18"/>
      <c r="F258" s="19"/>
      <c r="G258" s="14"/>
      <c r="H258" s="22"/>
      <c r="I258" s="22"/>
      <c r="J258" s="20"/>
      <c r="K258" s="21"/>
    </row>
    <row r="259" spans="1:11" x14ac:dyDescent="0.35">
      <c r="A259" s="22"/>
      <c r="B259" s="9"/>
      <c r="C259" s="9"/>
      <c r="D259" s="9"/>
      <c r="E259" s="18"/>
      <c r="F259" s="19"/>
      <c r="G259" s="14"/>
      <c r="H259" s="22"/>
      <c r="I259" s="22"/>
      <c r="J259" s="20"/>
      <c r="K259" s="21"/>
    </row>
    <row r="260" spans="1:11" x14ac:dyDescent="0.35">
      <c r="A260" s="22"/>
      <c r="B260" s="9"/>
      <c r="C260" s="9"/>
      <c r="D260" s="9"/>
      <c r="E260" s="18"/>
      <c r="F260" s="19"/>
      <c r="G260" s="14"/>
      <c r="H260" s="22"/>
      <c r="I260" s="22"/>
      <c r="J260" s="20"/>
      <c r="K260" s="21"/>
    </row>
    <row r="261" spans="1:11" x14ac:dyDescent="0.35">
      <c r="A261" s="22"/>
      <c r="B261" s="9"/>
      <c r="C261" s="9"/>
      <c r="D261" s="9"/>
      <c r="E261" s="18"/>
      <c r="F261" s="19"/>
      <c r="G261" s="14"/>
      <c r="H261" s="22"/>
      <c r="I261" s="22"/>
      <c r="J261" s="20"/>
      <c r="K261" s="21"/>
    </row>
    <row r="262" spans="1:11" x14ac:dyDescent="0.35">
      <c r="A262" s="22"/>
      <c r="B262" s="9"/>
      <c r="C262" s="9"/>
      <c r="D262" s="9"/>
      <c r="E262" s="18"/>
      <c r="F262" s="19"/>
      <c r="G262" s="14"/>
      <c r="H262" s="22"/>
      <c r="I262" s="22"/>
      <c r="J262" s="20"/>
      <c r="K262" s="21"/>
    </row>
    <row r="263" spans="1:11" x14ac:dyDescent="0.35">
      <c r="A263" s="22"/>
      <c r="B263" s="9"/>
      <c r="C263" s="9"/>
      <c r="D263" s="9"/>
      <c r="E263" s="18"/>
      <c r="F263" s="19"/>
      <c r="G263" s="14"/>
      <c r="H263" s="22"/>
      <c r="I263" s="22"/>
      <c r="J263" s="20"/>
      <c r="K263" s="21"/>
    </row>
    <row r="264" spans="1:11" x14ac:dyDescent="0.35">
      <c r="A264" s="22"/>
      <c r="B264" s="9"/>
      <c r="C264" s="9"/>
      <c r="D264" s="9"/>
      <c r="E264" s="18"/>
      <c r="F264" s="19"/>
      <c r="G264" s="14"/>
      <c r="H264" s="22"/>
      <c r="I264" s="22"/>
      <c r="J264" s="20"/>
      <c r="K264" s="21"/>
    </row>
    <row r="265" spans="1:11" x14ac:dyDescent="0.35">
      <c r="A265" s="22"/>
      <c r="B265" s="9"/>
      <c r="C265" s="9"/>
      <c r="D265" s="9"/>
      <c r="E265" s="18"/>
      <c r="F265" s="19"/>
      <c r="G265" s="14"/>
      <c r="H265" s="22"/>
      <c r="I265" s="22"/>
      <c r="J265" s="20"/>
      <c r="K265" s="21"/>
    </row>
    <row r="266" spans="1:11" x14ac:dyDescent="0.35">
      <c r="A266" s="22"/>
      <c r="B266" s="9"/>
      <c r="C266" s="9"/>
      <c r="D266" s="9"/>
      <c r="E266" s="18"/>
      <c r="F266" s="19"/>
      <c r="G266" s="14"/>
      <c r="H266" s="22"/>
      <c r="I266" s="22"/>
      <c r="J266" s="20"/>
      <c r="K266" s="21"/>
    </row>
    <row r="267" spans="1:11" x14ac:dyDescent="0.35">
      <c r="A267" s="22"/>
      <c r="B267" s="9"/>
      <c r="C267" s="9"/>
      <c r="D267" s="9"/>
      <c r="E267" s="18"/>
      <c r="F267" s="19"/>
      <c r="G267" s="14"/>
      <c r="H267" s="22"/>
      <c r="I267" s="22"/>
      <c r="J267" s="20"/>
      <c r="K267" s="21"/>
    </row>
    <row r="268" spans="1:11" x14ac:dyDescent="0.35">
      <c r="A268" s="22"/>
      <c r="B268" s="9"/>
      <c r="C268" s="9"/>
      <c r="D268" s="9"/>
      <c r="E268" s="18"/>
      <c r="F268" s="19"/>
      <c r="G268" s="14"/>
      <c r="H268" s="22"/>
      <c r="I268" s="22"/>
      <c r="J268" s="20"/>
      <c r="K268" s="21"/>
    </row>
    <row r="269" spans="1:11" x14ac:dyDescent="0.35">
      <c r="A269" s="22"/>
      <c r="B269" s="9"/>
      <c r="C269" s="9"/>
      <c r="D269" s="9"/>
      <c r="E269" s="18"/>
      <c r="F269" s="19"/>
      <c r="G269" s="14"/>
      <c r="H269" s="22"/>
      <c r="I269" s="22"/>
      <c r="J269" s="20"/>
      <c r="K269" s="21"/>
    </row>
    <row r="270" spans="1:11" x14ac:dyDescent="0.35">
      <c r="A270" s="22"/>
      <c r="B270" s="9"/>
      <c r="C270" s="9"/>
      <c r="D270" s="9"/>
      <c r="E270" s="18"/>
      <c r="F270" s="19"/>
      <c r="G270" s="14"/>
      <c r="H270" s="22"/>
      <c r="I270" s="22"/>
      <c r="J270" s="20"/>
      <c r="K270" s="21"/>
    </row>
    <row r="271" spans="1:11" x14ac:dyDescent="0.35">
      <c r="A271" s="22"/>
      <c r="B271" s="9"/>
      <c r="C271" s="9"/>
      <c r="D271" s="9"/>
      <c r="E271" s="18"/>
      <c r="F271" s="19"/>
      <c r="G271" s="14"/>
      <c r="H271" s="22"/>
      <c r="I271" s="22"/>
      <c r="J271" s="20"/>
      <c r="K271" s="21"/>
    </row>
    <row r="272" spans="1:11" x14ac:dyDescent="0.35">
      <c r="A272" s="22"/>
      <c r="B272" s="9"/>
      <c r="C272" s="9"/>
      <c r="D272" s="9"/>
      <c r="E272" s="18"/>
      <c r="F272" s="19"/>
      <c r="G272" s="14"/>
      <c r="H272" s="22"/>
      <c r="I272" s="22"/>
      <c r="J272" s="20"/>
      <c r="K272" s="21"/>
    </row>
    <row r="273" spans="1:11" x14ac:dyDescent="0.35">
      <c r="A273" s="22"/>
      <c r="B273" s="9"/>
      <c r="C273" s="9"/>
      <c r="D273" s="9"/>
      <c r="E273" s="18"/>
      <c r="F273" s="19"/>
      <c r="G273" s="14"/>
      <c r="H273" s="22"/>
      <c r="I273" s="22"/>
      <c r="J273" s="20"/>
      <c r="K273" s="21"/>
    </row>
    <row r="274" spans="1:11" x14ac:dyDescent="0.35">
      <c r="A274" s="22"/>
      <c r="B274" s="9"/>
      <c r="C274" s="9"/>
      <c r="D274" s="9"/>
      <c r="E274" s="18"/>
      <c r="F274" s="19"/>
      <c r="G274" s="14"/>
      <c r="H274" s="22"/>
      <c r="I274" s="22"/>
      <c r="J274" s="20"/>
      <c r="K274" s="21"/>
    </row>
    <row r="275" spans="1:11" x14ac:dyDescent="0.35">
      <c r="A275" s="22"/>
      <c r="B275" s="9"/>
      <c r="C275" s="9"/>
      <c r="D275" s="9"/>
      <c r="E275" s="18"/>
      <c r="F275" s="19"/>
      <c r="G275" s="14"/>
      <c r="H275" s="22"/>
      <c r="I275" s="22"/>
      <c r="J275" s="20"/>
      <c r="K275" s="21"/>
    </row>
    <row r="276" spans="1:11" x14ac:dyDescent="0.35">
      <c r="A276" s="22"/>
      <c r="B276" s="9"/>
      <c r="C276" s="9"/>
      <c r="D276" s="9"/>
      <c r="E276" s="18"/>
      <c r="F276" s="19"/>
      <c r="G276" s="14"/>
      <c r="H276" s="22"/>
      <c r="I276" s="22"/>
      <c r="J276" s="20"/>
      <c r="K276" s="21"/>
    </row>
    <row r="277" spans="1:11" x14ac:dyDescent="0.35">
      <c r="A277" s="22"/>
      <c r="B277" s="9"/>
      <c r="C277" s="9"/>
      <c r="D277" s="9"/>
      <c r="E277" s="18"/>
      <c r="F277" s="19"/>
      <c r="G277" s="14"/>
      <c r="H277" s="22"/>
      <c r="I277" s="22"/>
      <c r="J277" s="20"/>
      <c r="K277" s="21"/>
    </row>
    <row r="278" spans="1:11" x14ac:dyDescent="0.35">
      <c r="A278" s="22"/>
      <c r="B278" s="9"/>
      <c r="C278" s="9"/>
      <c r="D278" s="9"/>
      <c r="E278" s="18"/>
      <c r="F278" s="19"/>
      <c r="G278" s="14"/>
      <c r="H278" s="22"/>
      <c r="I278" s="22"/>
      <c r="J278" s="20"/>
      <c r="K278" s="21"/>
    </row>
    <row r="279" spans="1:11" x14ac:dyDescent="0.35">
      <c r="A279" s="22"/>
      <c r="B279" s="9"/>
      <c r="C279" s="9"/>
      <c r="D279" s="9"/>
      <c r="E279" s="18"/>
      <c r="F279" s="19"/>
      <c r="G279" s="14"/>
      <c r="H279" s="22"/>
      <c r="I279" s="22"/>
      <c r="J279" s="20"/>
      <c r="K279" s="21"/>
    </row>
    <row r="280" spans="1:11" x14ac:dyDescent="0.35">
      <c r="A280" s="22"/>
      <c r="B280" s="9"/>
      <c r="C280" s="9"/>
      <c r="D280" s="9"/>
      <c r="E280" s="18"/>
      <c r="F280" s="19"/>
      <c r="G280" s="14"/>
      <c r="H280" s="22"/>
      <c r="I280" s="22"/>
      <c r="J280" s="20"/>
      <c r="K280" s="21"/>
    </row>
    <row r="281" spans="1:11" x14ac:dyDescent="0.35">
      <c r="A281" s="22"/>
      <c r="B281" s="9"/>
      <c r="C281" s="9"/>
      <c r="D281" s="9"/>
      <c r="E281" s="18"/>
      <c r="F281" s="19"/>
      <c r="G281" s="14"/>
      <c r="H281" s="22"/>
      <c r="I281" s="22"/>
      <c r="J281" s="20"/>
      <c r="K281" s="21"/>
    </row>
    <row r="282" spans="1:11" x14ac:dyDescent="0.35">
      <c r="A282" s="22"/>
      <c r="B282" s="9"/>
      <c r="C282" s="9"/>
      <c r="D282" s="9"/>
      <c r="E282" s="18"/>
      <c r="F282" s="19"/>
      <c r="G282" s="14"/>
      <c r="H282" s="22"/>
      <c r="I282" s="22"/>
      <c r="J282" s="20"/>
      <c r="K282" s="21"/>
    </row>
    <row r="283" spans="1:11" x14ac:dyDescent="0.35">
      <c r="A283" s="22"/>
      <c r="B283" s="9"/>
      <c r="C283" s="9"/>
      <c r="D283" s="9"/>
      <c r="E283" s="18"/>
      <c r="F283" s="19"/>
      <c r="G283" s="14"/>
      <c r="H283" s="22"/>
      <c r="I283" s="22"/>
      <c r="J283" s="20"/>
      <c r="K283" s="21"/>
    </row>
    <row r="284" spans="1:11" x14ac:dyDescent="0.35">
      <c r="A284" s="22"/>
      <c r="B284" s="9"/>
      <c r="C284" s="9"/>
      <c r="D284" s="9"/>
      <c r="E284" s="18"/>
      <c r="F284" s="19"/>
      <c r="G284" s="14"/>
      <c r="H284" s="22"/>
      <c r="I284" s="22"/>
      <c r="J284" s="20"/>
      <c r="K284" s="21"/>
    </row>
    <row r="285" spans="1:11" x14ac:dyDescent="0.35">
      <c r="A285" s="22"/>
      <c r="B285" s="9"/>
      <c r="C285" s="9"/>
      <c r="D285" s="9"/>
      <c r="E285" s="18"/>
      <c r="F285" s="19"/>
      <c r="G285" s="14"/>
      <c r="H285" s="22"/>
      <c r="I285" s="22"/>
      <c r="J285" s="20"/>
      <c r="K285" s="21"/>
    </row>
    <row r="286" spans="1:11" x14ac:dyDescent="0.35">
      <c r="A286" s="22"/>
      <c r="B286" s="9"/>
      <c r="C286" s="9"/>
      <c r="D286" s="9"/>
      <c r="E286" s="18"/>
      <c r="F286" s="19"/>
      <c r="G286" s="14"/>
      <c r="H286" s="22"/>
      <c r="I286" s="22"/>
      <c r="J286" s="20"/>
      <c r="K286" s="21"/>
    </row>
    <row r="287" spans="1:11" x14ac:dyDescent="0.35">
      <c r="A287" s="22"/>
      <c r="B287" s="9"/>
      <c r="C287" s="9"/>
      <c r="D287" s="9"/>
      <c r="E287" s="18"/>
      <c r="F287" s="19"/>
      <c r="G287" s="14"/>
      <c r="H287" s="22"/>
      <c r="I287" s="22"/>
      <c r="J287" s="20"/>
      <c r="K287" s="21"/>
    </row>
    <row r="288" spans="1:11" x14ac:dyDescent="0.35">
      <c r="A288" s="22"/>
      <c r="B288" s="9"/>
      <c r="C288" s="9"/>
      <c r="D288" s="9"/>
      <c r="E288" s="18"/>
      <c r="F288" s="19"/>
      <c r="G288" s="14"/>
      <c r="H288" s="22"/>
      <c r="I288" s="22"/>
      <c r="J288" s="20"/>
      <c r="K288" s="21"/>
    </row>
    <row r="289" spans="1:11" x14ac:dyDescent="0.35">
      <c r="A289" s="22"/>
      <c r="B289" s="9"/>
      <c r="C289" s="9"/>
      <c r="D289" s="9"/>
      <c r="E289" s="18"/>
      <c r="F289" s="19"/>
      <c r="G289" s="14"/>
      <c r="H289" s="22"/>
      <c r="I289" s="22"/>
      <c r="J289" s="20"/>
      <c r="K289" s="21"/>
    </row>
    <row r="290" spans="1:11" x14ac:dyDescent="0.35">
      <c r="A290" s="22"/>
      <c r="B290" s="9"/>
      <c r="C290" s="9"/>
      <c r="D290" s="9"/>
      <c r="E290" s="18"/>
      <c r="F290" s="19"/>
      <c r="G290" s="14"/>
      <c r="H290" s="22"/>
      <c r="I290" s="22"/>
      <c r="J290" s="20"/>
      <c r="K290" s="21"/>
    </row>
    <row r="291" spans="1:11" x14ac:dyDescent="0.35">
      <c r="A291" s="22"/>
      <c r="B291" s="9"/>
      <c r="C291" s="9"/>
      <c r="D291" s="9"/>
      <c r="E291" s="18"/>
      <c r="F291" s="19"/>
      <c r="G291" s="14"/>
      <c r="H291" s="22"/>
      <c r="I291" s="22"/>
      <c r="J291" s="20"/>
      <c r="K291" s="21"/>
    </row>
    <row r="292" spans="1:11" x14ac:dyDescent="0.35">
      <c r="A292" s="22"/>
      <c r="B292" s="9"/>
      <c r="C292" s="9"/>
      <c r="D292" s="9"/>
      <c r="E292" s="18"/>
      <c r="F292" s="19"/>
      <c r="G292" s="14"/>
      <c r="H292" s="22"/>
      <c r="I292" s="22"/>
      <c r="J292" s="20"/>
      <c r="K292" s="21"/>
    </row>
    <row r="293" spans="1:11" x14ac:dyDescent="0.35">
      <c r="A293" s="22"/>
      <c r="B293" s="9"/>
      <c r="C293" s="9"/>
      <c r="D293" s="9"/>
      <c r="E293" s="18"/>
      <c r="F293" s="19"/>
      <c r="G293" s="14"/>
      <c r="H293" s="22"/>
      <c r="I293" s="22"/>
      <c r="J293" s="20"/>
      <c r="K293" s="21"/>
    </row>
    <row r="294" spans="1:11" x14ac:dyDescent="0.35">
      <c r="A294" s="22"/>
      <c r="B294" s="9"/>
      <c r="C294" s="9"/>
      <c r="D294" s="9"/>
      <c r="E294" s="18"/>
      <c r="F294" s="19"/>
      <c r="G294" s="14"/>
      <c r="H294" s="22"/>
      <c r="I294" s="22"/>
      <c r="J294" s="20"/>
      <c r="K294" s="21"/>
    </row>
    <row r="295" spans="1:11" x14ac:dyDescent="0.35">
      <c r="A295" s="22"/>
      <c r="B295" s="9"/>
      <c r="C295" s="9"/>
      <c r="D295" s="9"/>
      <c r="E295" s="18"/>
      <c r="F295" s="19"/>
      <c r="G295" s="14"/>
      <c r="H295" s="22"/>
      <c r="I295" s="22"/>
      <c r="J295" s="20"/>
      <c r="K295" s="21"/>
    </row>
    <row r="296" spans="1:11" x14ac:dyDescent="0.35">
      <c r="A296" s="22"/>
      <c r="B296" s="9"/>
      <c r="C296" s="9"/>
      <c r="D296" s="9"/>
      <c r="E296" s="18"/>
      <c r="F296" s="19"/>
      <c r="G296" s="14"/>
      <c r="H296" s="22"/>
      <c r="I296" s="22"/>
      <c r="J296" s="20"/>
      <c r="K296" s="21"/>
    </row>
    <row r="297" spans="1:11" x14ac:dyDescent="0.35">
      <c r="A297" s="22"/>
      <c r="B297" s="9"/>
      <c r="C297" s="9"/>
      <c r="D297" s="9"/>
      <c r="E297" s="18"/>
      <c r="F297" s="19"/>
      <c r="G297" s="14"/>
      <c r="H297" s="22"/>
      <c r="I297" s="22"/>
      <c r="J297" s="20"/>
      <c r="K297" s="21"/>
    </row>
    <row r="298" spans="1:11" x14ac:dyDescent="0.35">
      <c r="A298" s="22"/>
      <c r="B298" s="9"/>
      <c r="C298" s="9"/>
      <c r="D298" s="9"/>
      <c r="E298" s="18"/>
      <c r="F298" s="19"/>
      <c r="G298" s="14"/>
      <c r="H298" s="22"/>
      <c r="I298" s="22"/>
      <c r="J298" s="20"/>
      <c r="K298" s="21"/>
    </row>
    <row r="299" spans="1:11" x14ac:dyDescent="0.35">
      <c r="A299" s="22"/>
      <c r="B299" s="9"/>
      <c r="C299" s="9"/>
      <c r="D299" s="9"/>
      <c r="E299" s="18"/>
      <c r="F299" s="19"/>
      <c r="G299" s="14"/>
      <c r="H299" s="22"/>
      <c r="I299" s="22"/>
      <c r="J299" s="20"/>
      <c r="K299" s="21"/>
    </row>
    <row r="300" spans="1:11" x14ac:dyDescent="0.35">
      <c r="A300" s="22"/>
      <c r="B300" s="9"/>
      <c r="C300" s="9"/>
      <c r="D300" s="9"/>
      <c r="E300" s="18"/>
      <c r="F300" s="19"/>
      <c r="G300" s="14"/>
      <c r="H300" s="22"/>
      <c r="I300" s="22"/>
      <c r="J300" s="20"/>
      <c r="K300" s="21"/>
    </row>
    <row r="301" spans="1:11" x14ac:dyDescent="0.35">
      <c r="A301" s="22"/>
      <c r="B301" s="9"/>
      <c r="C301" s="9"/>
      <c r="D301" s="9"/>
      <c r="E301" s="18"/>
      <c r="F301" s="19"/>
      <c r="G301" s="14"/>
      <c r="H301" s="22"/>
      <c r="I301" s="22"/>
      <c r="J301" s="20"/>
      <c r="K301" s="21"/>
    </row>
    <row r="302" spans="1:11" x14ac:dyDescent="0.35">
      <c r="A302" s="22"/>
      <c r="B302" s="9"/>
      <c r="C302" s="9"/>
      <c r="D302" s="9"/>
      <c r="E302" s="18"/>
      <c r="F302" s="19"/>
      <c r="G302" s="14"/>
      <c r="H302" s="22"/>
      <c r="I302" s="22"/>
      <c r="J302" s="20"/>
      <c r="K302" s="21"/>
    </row>
    <row r="303" spans="1:11" x14ac:dyDescent="0.35">
      <c r="A303" s="22"/>
      <c r="B303" s="9"/>
      <c r="C303" s="9"/>
      <c r="D303" s="9"/>
      <c r="E303" s="18"/>
      <c r="F303" s="19"/>
      <c r="G303" s="14"/>
      <c r="H303" s="22"/>
      <c r="I303" s="22"/>
      <c r="J303" s="20"/>
      <c r="K303" s="21"/>
    </row>
    <row r="304" spans="1:11" x14ac:dyDescent="0.35">
      <c r="A304" s="22"/>
      <c r="B304" s="9"/>
      <c r="C304" s="9"/>
      <c r="D304" s="9"/>
      <c r="E304" s="18"/>
      <c r="F304" s="19"/>
      <c r="G304" s="14"/>
      <c r="H304" s="22"/>
      <c r="I304" s="22"/>
      <c r="J304" s="20"/>
      <c r="K304" s="21"/>
    </row>
    <row r="305" spans="1:11" x14ac:dyDescent="0.35">
      <c r="A305" s="22"/>
      <c r="B305" s="9"/>
      <c r="C305" s="9"/>
      <c r="D305" s="9"/>
      <c r="E305" s="18"/>
      <c r="F305" s="19"/>
      <c r="G305" s="14"/>
      <c r="H305" s="22"/>
      <c r="I305" s="22"/>
      <c r="J305" s="20"/>
      <c r="K305" s="21"/>
    </row>
    <row r="306" spans="1:11" x14ac:dyDescent="0.35">
      <c r="A306" s="22"/>
      <c r="B306" s="9"/>
      <c r="C306" s="9"/>
      <c r="D306" s="9"/>
      <c r="E306" s="18"/>
      <c r="F306" s="19"/>
      <c r="G306" s="14"/>
      <c r="H306" s="22"/>
      <c r="I306" s="22"/>
      <c r="J306" s="20"/>
      <c r="K306" s="21"/>
    </row>
    <row r="307" spans="1:11" x14ac:dyDescent="0.35">
      <c r="A307" s="22"/>
      <c r="B307" s="9"/>
      <c r="C307" s="9"/>
      <c r="D307" s="9"/>
      <c r="E307" s="18"/>
      <c r="F307" s="19"/>
      <c r="G307" s="14"/>
      <c r="H307" s="22"/>
      <c r="I307" s="22"/>
      <c r="J307" s="20"/>
      <c r="K307" s="21"/>
    </row>
    <row r="308" spans="1:11" x14ac:dyDescent="0.35">
      <c r="A308" s="22"/>
      <c r="B308" s="9"/>
      <c r="C308" s="9"/>
      <c r="D308" s="9"/>
      <c r="E308" s="18"/>
      <c r="F308" s="19"/>
      <c r="G308" s="14"/>
      <c r="H308" s="22"/>
      <c r="I308" s="22"/>
      <c r="J308" s="20"/>
      <c r="K308" s="21"/>
    </row>
    <row r="309" spans="1:11" x14ac:dyDescent="0.35">
      <c r="A309" s="22"/>
      <c r="B309" s="9"/>
      <c r="C309" s="9"/>
      <c r="D309" s="9"/>
      <c r="E309" s="18"/>
      <c r="F309" s="19"/>
      <c r="G309" s="14"/>
      <c r="H309" s="22"/>
      <c r="I309" s="22"/>
      <c r="J309" s="20"/>
      <c r="K309" s="21"/>
    </row>
    <row r="310" spans="1:11" x14ac:dyDescent="0.35">
      <c r="A310" s="22"/>
      <c r="B310" s="9"/>
      <c r="C310" s="9"/>
      <c r="D310" s="9"/>
      <c r="E310" s="18"/>
      <c r="F310" s="19"/>
      <c r="G310" s="14"/>
      <c r="H310" s="22"/>
      <c r="I310" s="22"/>
      <c r="J310" s="20"/>
      <c r="K310" s="21"/>
    </row>
    <row r="311" spans="1:11" x14ac:dyDescent="0.35">
      <c r="A311" s="22"/>
      <c r="B311" s="9"/>
      <c r="C311" s="9"/>
      <c r="D311" s="9"/>
      <c r="E311" s="18"/>
      <c r="F311" s="19"/>
      <c r="G311" s="14"/>
      <c r="H311" s="22"/>
      <c r="I311" s="22"/>
      <c r="J311" s="20"/>
      <c r="K311" s="21"/>
    </row>
    <row r="312" spans="1:11" x14ac:dyDescent="0.35">
      <c r="A312" s="22"/>
      <c r="B312" s="9"/>
      <c r="C312" s="9"/>
      <c r="D312" s="9"/>
      <c r="E312" s="18"/>
      <c r="F312" s="19"/>
      <c r="G312" s="14"/>
      <c r="H312" s="22"/>
      <c r="I312" s="22"/>
      <c r="J312" s="20"/>
      <c r="K312" s="21"/>
    </row>
    <row r="313" spans="1:11" x14ac:dyDescent="0.35">
      <c r="A313" s="22"/>
      <c r="B313" s="9"/>
      <c r="C313" s="9"/>
      <c r="D313" s="9"/>
      <c r="E313" s="18"/>
      <c r="F313" s="19"/>
      <c r="G313" s="14"/>
      <c r="H313" s="22"/>
      <c r="I313" s="22"/>
      <c r="J313" s="20"/>
      <c r="K313" s="21"/>
    </row>
    <row r="314" spans="1:11" x14ac:dyDescent="0.35">
      <c r="A314" s="22"/>
      <c r="B314" s="9"/>
      <c r="C314" s="9"/>
      <c r="D314" s="9"/>
      <c r="E314" s="18"/>
      <c r="F314" s="19"/>
      <c r="G314" s="14"/>
      <c r="H314" s="22"/>
      <c r="I314" s="22"/>
      <c r="J314" s="20"/>
      <c r="K314" s="21"/>
    </row>
    <row r="315" spans="1:11" x14ac:dyDescent="0.35">
      <c r="A315" s="22"/>
      <c r="B315" s="9"/>
      <c r="C315" s="9"/>
      <c r="D315" s="9"/>
      <c r="E315" s="18"/>
      <c r="F315" s="19"/>
      <c r="G315" s="14"/>
      <c r="H315" s="22"/>
      <c r="I315" s="22"/>
      <c r="J315" s="20"/>
      <c r="K315" s="21"/>
    </row>
    <row r="316" spans="1:11" x14ac:dyDescent="0.35">
      <c r="A316" s="22"/>
      <c r="B316" s="9"/>
      <c r="C316" s="9"/>
      <c r="D316" s="9"/>
      <c r="E316" s="18"/>
      <c r="F316" s="19"/>
      <c r="G316" s="14"/>
      <c r="H316" s="22"/>
      <c r="I316" s="22"/>
      <c r="J316" s="20"/>
      <c r="K316" s="21"/>
    </row>
    <row r="317" spans="1:11" x14ac:dyDescent="0.35">
      <c r="A317" s="22"/>
      <c r="B317" s="9"/>
      <c r="C317" s="9"/>
      <c r="D317" s="9"/>
      <c r="E317" s="18"/>
      <c r="F317" s="19"/>
      <c r="G317" s="14"/>
      <c r="H317" s="22"/>
      <c r="I317" s="22"/>
      <c r="J317" s="20"/>
      <c r="K317" s="21"/>
    </row>
    <row r="318" spans="1:11" x14ac:dyDescent="0.35">
      <c r="A318" s="22"/>
      <c r="B318" s="9"/>
      <c r="C318" s="9"/>
      <c r="D318" s="9"/>
      <c r="E318" s="18"/>
      <c r="F318" s="19"/>
      <c r="G318" s="14"/>
      <c r="H318" s="22"/>
      <c r="I318" s="22"/>
      <c r="J318" s="20"/>
      <c r="K318" s="21"/>
    </row>
    <row r="319" spans="1:11" x14ac:dyDescent="0.35">
      <c r="A319" s="22"/>
      <c r="B319" s="9"/>
      <c r="C319" s="9"/>
      <c r="D319" s="9"/>
      <c r="E319" s="18"/>
      <c r="F319" s="19"/>
      <c r="G319" s="14"/>
      <c r="H319" s="22"/>
      <c r="I319" s="22"/>
      <c r="J319" s="20"/>
      <c r="K319" s="21"/>
    </row>
    <row r="320" spans="1:11" x14ac:dyDescent="0.35">
      <c r="A320" s="22"/>
      <c r="B320" s="9"/>
      <c r="C320" s="9"/>
      <c r="D320" s="9"/>
      <c r="E320" s="18"/>
      <c r="F320" s="19"/>
      <c r="G320" s="14"/>
      <c r="H320" s="22"/>
      <c r="I320" s="22"/>
      <c r="J320" s="20"/>
      <c r="K320" s="21"/>
    </row>
    <row r="321" spans="1:11" x14ac:dyDescent="0.35">
      <c r="A321" s="22"/>
      <c r="B321" s="9"/>
      <c r="C321" s="9"/>
      <c r="D321" s="9"/>
      <c r="E321" s="18"/>
      <c r="F321" s="19"/>
      <c r="G321" s="14"/>
      <c r="H321" s="22"/>
      <c r="I321" s="22"/>
      <c r="J321" s="20"/>
      <c r="K321" s="21"/>
    </row>
    <row r="322" spans="1:11" x14ac:dyDescent="0.35">
      <c r="A322" s="22"/>
      <c r="B322" s="9"/>
      <c r="C322" s="9"/>
      <c r="D322" s="9"/>
      <c r="E322" s="18"/>
      <c r="F322" s="19"/>
      <c r="G322" s="14"/>
      <c r="H322" s="22"/>
      <c r="I322" s="22"/>
      <c r="J322" s="20"/>
      <c r="K322" s="21"/>
    </row>
    <row r="323" spans="1:11" x14ac:dyDescent="0.35">
      <c r="A323" s="22"/>
      <c r="B323" s="9"/>
      <c r="C323" s="9"/>
      <c r="D323" s="9"/>
      <c r="E323" s="18"/>
      <c r="F323" s="19"/>
      <c r="G323" s="14"/>
      <c r="H323" s="22"/>
      <c r="I323" s="22"/>
      <c r="J323" s="20"/>
      <c r="K323" s="21"/>
    </row>
    <row r="324" spans="1:11" x14ac:dyDescent="0.35">
      <c r="A324" s="22"/>
      <c r="B324" s="9"/>
      <c r="C324" s="9"/>
      <c r="D324" s="9"/>
      <c r="E324" s="18"/>
      <c r="F324" s="19"/>
      <c r="G324" s="14"/>
      <c r="H324" s="22"/>
      <c r="I324" s="22"/>
      <c r="J324" s="20"/>
      <c r="K324" s="21"/>
    </row>
    <row r="325" spans="1:11" x14ac:dyDescent="0.35">
      <c r="A325" s="22"/>
      <c r="B325" s="9"/>
      <c r="C325" s="9"/>
      <c r="D325" s="9"/>
      <c r="E325" s="18"/>
      <c r="F325" s="19"/>
      <c r="G325" s="14"/>
      <c r="H325" s="22"/>
      <c r="I325" s="22"/>
      <c r="J325" s="20"/>
      <c r="K325" s="21"/>
    </row>
    <row r="326" spans="1:11" x14ac:dyDescent="0.35">
      <c r="A326" s="22"/>
      <c r="B326" s="9"/>
      <c r="C326" s="9"/>
      <c r="D326" s="9"/>
      <c r="E326" s="18"/>
      <c r="F326" s="19"/>
      <c r="G326" s="14"/>
      <c r="H326" s="22"/>
      <c r="I326" s="22"/>
      <c r="J326" s="20"/>
      <c r="K326" s="21"/>
    </row>
    <row r="327" spans="1:11" x14ac:dyDescent="0.35">
      <c r="A327" s="22"/>
      <c r="B327" s="9"/>
      <c r="C327" s="9"/>
      <c r="D327" s="9"/>
      <c r="E327" s="18"/>
      <c r="F327" s="19"/>
      <c r="G327" s="14"/>
      <c r="H327" s="22"/>
      <c r="I327" s="22"/>
      <c r="J327" s="20"/>
      <c r="K327" s="21"/>
    </row>
    <row r="328" spans="1:11" x14ac:dyDescent="0.35">
      <c r="A328" s="22"/>
      <c r="B328" s="9"/>
      <c r="C328" s="9"/>
      <c r="D328" s="9"/>
      <c r="E328" s="18"/>
      <c r="F328" s="19"/>
      <c r="G328" s="14"/>
      <c r="H328" s="22"/>
      <c r="I328" s="22"/>
      <c r="J328" s="20"/>
      <c r="K328" s="21"/>
    </row>
    <row r="329" spans="1:11" x14ac:dyDescent="0.35">
      <c r="A329" s="22"/>
      <c r="B329" s="9"/>
      <c r="C329" s="9"/>
      <c r="D329" s="9"/>
      <c r="E329" s="18"/>
      <c r="F329" s="19"/>
      <c r="G329" s="14"/>
      <c r="H329" s="22"/>
      <c r="I329" s="22"/>
      <c r="J329" s="20"/>
      <c r="K329" s="21"/>
    </row>
    <row r="330" spans="1:11" x14ac:dyDescent="0.35">
      <c r="A330" s="22"/>
      <c r="B330" s="9"/>
      <c r="C330" s="9"/>
      <c r="D330" s="9"/>
      <c r="E330" s="18"/>
      <c r="F330" s="19"/>
      <c r="G330" s="14"/>
      <c r="H330" s="22"/>
      <c r="I330" s="22"/>
      <c r="J330" s="20"/>
      <c r="K330" s="21"/>
    </row>
    <row r="331" spans="1:11" x14ac:dyDescent="0.35">
      <c r="A331" s="22"/>
      <c r="B331" s="9"/>
      <c r="C331" s="9"/>
      <c r="D331" s="9"/>
      <c r="E331" s="18"/>
      <c r="F331" s="19"/>
      <c r="G331" s="14"/>
      <c r="H331" s="22"/>
      <c r="I331" s="22"/>
      <c r="J331" s="20"/>
      <c r="K331" s="21"/>
    </row>
    <row r="332" spans="1:11" x14ac:dyDescent="0.35">
      <c r="A332" s="22"/>
      <c r="B332" s="9"/>
      <c r="C332" s="9"/>
      <c r="D332" s="9"/>
      <c r="E332" s="18"/>
      <c r="F332" s="19"/>
      <c r="G332" s="14"/>
      <c r="H332" s="22"/>
      <c r="I332" s="22"/>
      <c r="J332" s="20"/>
      <c r="K332" s="21"/>
    </row>
    <row r="333" spans="1:11" x14ac:dyDescent="0.35">
      <c r="A333" s="22"/>
      <c r="B333" s="9"/>
      <c r="C333" s="9"/>
      <c r="D333" s="9"/>
      <c r="E333" s="18"/>
      <c r="F333" s="19"/>
      <c r="G333" s="14"/>
      <c r="H333" s="22"/>
      <c r="I333" s="22"/>
      <c r="J333" s="20"/>
      <c r="K333" s="21"/>
    </row>
    <row r="334" spans="1:11" x14ac:dyDescent="0.35">
      <c r="A334" s="22"/>
      <c r="B334" s="9"/>
      <c r="C334" s="9"/>
      <c r="D334" s="9"/>
      <c r="E334" s="18"/>
      <c r="F334" s="19"/>
      <c r="G334" s="14"/>
      <c r="H334" s="22"/>
      <c r="I334" s="22"/>
      <c r="J334" s="20"/>
      <c r="K334" s="21"/>
    </row>
    <row r="335" spans="1:11" x14ac:dyDescent="0.35">
      <c r="A335" s="22"/>
      <c r="B335" s="9"/>
      <c r="C335" s="9"/>
      <c r="D335" s="9"/>
      <c r="E335" s="18"/>
      <c r="F335" s="19"/>
      <c r="G335" s="14"/>
      <c r="H335" s="22"/>
      <c r="I335" s="22"/>
      <c r="J335" s="20"/>
      <c r="K335" s="21"/>
    </row>
    <row r="336" spans="1:11" x14ac:dyDescent="0.35">
      <c r="A336" s="22"/>
      <c r="B336" s="9"/>
      <c r="C336" s="9"/>
      <c r="D336" s="9"/>
      <c r="E336" s="18"/>
      <c r="F336" s="19"/>
      <c r="G336" s="14"/>
      <c r="H336" s="22"/>
      <c r="I336" s="22"/>
      <c r="J336" s="20"/>
      <c r="K336" s="21"/>
    </row>
    <row r="337" spans="1:11" x14ac:dyDescent="0.35">
      <c r="A337" s="22"/>
      <c r="B337" s="9"/>
      <c r="C337" s="9"/>
      <c r="D337" s="9"/>
      <c r="E337" s="18"/>
      <c r="F337" s="19"/>
      <c r="G337" s="14"/>
      <c r="H337" s="22"/>
      <c r="I337" s="22"/>
      <c r="J337" s="20"/>
      <c r="K337" s="21"/>
    </row>
    <row r="338" spans="1:11" x14ac:dyDescent="0.35">
      <c r="A338" s="22"/>
      <c r="B338" s="9"/>
      <c r="C338" s="9"/>
      <c r="D338" s="9"/>
      <c r="E338" s="18"/>
      <c r="F338" s="19"/>
      <c r="G338" s="14"/>
      <c r="H338" s="22"/>
      <c r="I338" s="22"/>
      <c r="J338" s="20"/>
      <c r="K338" s="21"/>
    </row>
    <row r="339" spans="1:11" x14ac:dyDescent="0.35">
      <c r="A339" s="22"/>
      <c r="B339" s="9"/>
      <c r="C339" s="9"/>
      <c r="D339" s="9"/>
      <c r="E339" s="18"/>
      <c r="F339" s="19"/>
      <c r="G339" s="14"/>
      <c r="H339" s="22"/>
      <c r="I339" s="22"/>
      <c r="J339" s="20"/>
      <c r="K339" s="21"/>
    </row>
    <row r="340" spans="1:11" x14ac:dyDescent="0.35">
      <c r="A340" s="22"/>
      <c r="B340" s="9"/>
      <c r="C340" s="9"/>
      <c r="D340" s="9"/>
      <c r="E340" s="18"/>
      <c r="F340" s="19"/>
      <c r="G340" s="14"/>
      <c r="H340" s="22"/>
      <c r="I340" s="22"/>
      <c r="J340" s="20"/>
      <c r="K340" s="21"/>
    </row>
    <row r="341" spans="1:11" x14ac:dyDescent="0.35">
      <c r="A341" s="22"/>
      <c r="B341" s="9"/>
      <c r="C341" s="9"/>
      <c r="D341" s="9"/>
      <c r="E341" s="18"/>
      <c r="F341" s="19"/>
      <c r="G341" s="14"/>
      <c r="H341" s="22"/>
      <c r="I341" s="22"/>
      <c r="J341" s="20"/>
      <c r="K341" s="21"/>
    </row>
    <row r="342" spans="1:11" x14ac:dyDescent="0.35">
      <c r="A342" s="22"/>
      <c r="B342" s="9"/>
      <c r="C342" s="9"/>
      <c r="D342" s="9"/>
      <c r="E342" s="18"/>
      <c r="F342" s="19"/>
      <c r="G342" s="14"/>
      <c r="H342" s="22"/>
      <c r="I342" s="22"/>
      <c r="J342" s="20"/>
      <c r="K342" s="21"/>
    </row>
    <row r="343" spans="1:11" x14ac:dyDescent="0.35">
      <c r="A343" s="22"/>
      <c r="B343" s="9"/>
      <c r="C343" s="9"/>
      <c r="D343" s="9"/>
      <c r="E343" s="18"/>
      <c r="F343" s="19"/>
      <c r="G343" s="14"/>
      <c r="H343" s="22"/>
      <c r="I343" s="22"/>
      <c r="J343" s="20"/>
      <c r="K343" s="21"/>
    </row>
    <row r="344" spans="1:11" x14ac:dyDescent="0.35">
      <c r="A344" s="22"/>
      <c r="B344" s="9"/>
      <c r="C344" s="9"/>
      <c r="D344" s="9"/>
      <c r="E344" s="18"/>
      <c r="F344" s="19"/>
      <c r="G344" s="14"/>
      <c r="H344" s="22"/>
      <c r="I344" s="22"/>
      <c r="J344" s="20"/>
      <c r="K344" s="21"/>
    </row>
    <row r="345" spans="1:11" x14ac:dyDescent="0.35">
      <c r="A345" s="22"/>
      <c r="B345" s="9"/>
      <c r="C345" s="9"/>
      <c r="D345" s="9"/>
      <c r="E345" s="18"/>
      <c r="F345" s="19"/>
      <c r="G345" s="14"/>
      <c r="H345" s="22"/>
      <c r="I345" s="22"/>
      <c r="J345" s="20"/>
      <c r="K345" s="21"/>
    </row>
    <row r="346" spans="1:11" x14ac:dyDescent="0.35">
      <c r="A346" s="22"/>
      <c r="B346" s="9"/>
      <c r="C346" s="9"/>
      <c r="D346" s="9"/>
      <c r="E346" s="18"/>
      <c r="F346" s="19"/>
      <c r="G346" s="14"/>
      <c r="H346" s="22"/>
      <c r="I346" s="22"/>
      <c r="J346" s="20"/>
      <c r="K346" s="21"/>
    </row>
    <row r="347" spans="1:11" x14ac:dyDescent="0.35">
      <c r="A347" s="22"/>
      <c r="B347" s="9"/>
      <c r="C347" s="9"/>
      <c r="D347" s="9"/>
      <c r="E347" s="18"/>
      <c r="F347" s="19"/>
      <c r="G347" s="14"/>
      <c r="H347" s="22"/>
      <c r="I347" s="22"/>
      <c r="J347" s="20"/>
      <c r="K347" s="21"/>
    </row>
    <row r="348" spans="1:11" x14ac:dyDescent="0.35">
      <c r="A348" s="22"/>
      <c r="B348" s="9"/>
      <c r="C348" s="9"/>
      <c r="D348" s="9"/>
      <c r="E348" s="18"/>
      <c r="F348" s="19"/>
      <c r="G348" s="14"/>
      <c r="H348" s="22"/>
      <c r="I348" s="22"/>
      <c r="J348" s="20"/>
      <c r="K348" s="21"/>
    </row>
    <row r="349" spans="1:11" x14ac:dyDescent="0.35">
      <c r="A349" s="22"/>
      <c r="B349" s="9"/>
      <c r="C349" s="9"/>
      <c r="D349" s="9"/>
      <c r="E349" s="18"/>
      <c r="F349" s="19"/>
      <c r="G349" s="14"/>
      <c r="H349" s="22"/>
      <c r="I349" s="22"/>
      <c r="J349" s="20"/>
      <c r="K349" s="21"/>
    </row>
    <row r="350" spans="1:11" x14ac:dyDescent="0.35">
      <c r="A350" s="22"/>
      <c r="B350" s="9"/>
      <c r="C350" s="9"/>
      <c r="D350" s="9"/>
      <c r="E350" s="18"/>
      <c r="F350" s="19"/>
      <c r="G350" s="14"/>
      <c r="H350" s="22"/>
      <c r="I350" s="22"/>
      <c r="J350" s="20"/>
      <c r="K350" s="21"/>
    </row>
    <row r="351" spans="1:11" x14ac:dyDescent="0.35">
      <c r="A351" s="22"/>
      <c r="B351" s="9"/>
      <c r="C351" s="9"/>
      <c r="D351" s="9"/>
      <c r="E351" s="18"/>
      <c r="F351" s="19"/>
      <c r="G351" s="14"/>
      <c r="H351" s="22"/>
      <c r="I351" s="22"/>
      <c r="J351" s="20"/>
      <c r="K351" s="21"/>
    </row>
    <row r="352" spans="1:11" x14ac:dyDescent="0.35">
      <c r="A352" s="22"/>
      <c r="B352" s="9"/>
      <c r="C352" s="9"/>
      <c r="D352" s="9"/>
      <c r="E352" s="18"/>
      <c r="F352" s="19"/>
      <c r="G352" s="14"/>
      <c r="H352" s="22"/>
      <c r="I352" s="22"/>
      <c r="J352" s="20"/>
      <c r="K352" s="21"/>
    </row>
    <row r="353" spans="1:11" x14ac:dyDescent="0.35">
      <c r="A353" s="22"/>
      <c r="B353" s="9"/>
      <c r="C353" s="9"/>
      <c r="D353" s="9"/>
      <c r="E353" s="18"/>
      <c r="F353" s="19"/>
      <c r="G353" s="14"/>
      <c r="H353" s="22"/>
      <c r="I353" s="22"/>
      <c r="J353" s="20"/>
      <c r="K353" s="21"/>
    </row>
    <row r="354" spans="1:11" x14ac:dyDescent="0.35">
      <c r="A354" s="22"/>
      <c r="B354" s="9"/>
      <c r="C354" s="9"/>
      <c r="D354" s="9"/>
      <c r="E354" s="18"/>
      <c r="F354" s="19"/>
      <c r="G354" s="14"/>
      <c r="H354" s="22"/>
      <c r="I354" s="22"/>
      <c r="J354" s="20"/>
      <c r="K354" s="21"/>
    </row>
    <row r="355" spans="1:11" x14ac:dyDescent="0.35">
      <c r="A355" s="22"/>
      <c r="B355" s="9"/>
      <c r="C355" s="9"/>
      <c r="D355" s="9"/>
      <c r="E355" s="18"/>
      <c r="F355" s="19"/>
      <c r="G355" s="14"/>
      <c r="H355" s="22"/>
      <c r="I355" s="22"/>
      <c r="J355" s="20"/>
      <c r="K355" s="21"/>
    </row>
    <row r="356" spans="1:11" x14ac:dyDescent="0.35">
      <c r="A356" s="22"/>
      <c r="B356" s="9"/>
      <c r="C356" s="9"/>
      <c r="D356" s="9"/>
      <c r="E356" s="18"/>
      <c r="F356" s="19"/>
      <c r="G356" s="14"/>
      <c r="H356" s="22"/>
      <c r="I356" s="22"/>
      <c r="J356" s="20"/>
      <c r="K356" s="21"/>
    </row>
    <row r="357" spans="1:11" x14ac:dyDescent="0.35">
      <c r="A357" s="22"/>
      <c r="B357" s="9"/>
      <c r="C357" s="9"/>
      <c r="D357" s="9"/>
      <c r="E357" s="18"/>
      <c r="F357" s="19"/>
      <c r="G357" s="14"/>
      <c r="H357" s="22"/>
      <c r="I357" s="22"/>
      <c r="J357" s="20"/>
      <c r="K357" s="21"/>
    </row>
    <row r="358" spans="1:11" x14ac:dyDescent="0.35">
      <c r="A358" s="22"/>
      <c r="B358" s="9"/>
      <c r="C358" s="9"/>
      <c r="D358" s="9"/>
      <c r="E358" s="18"/>
      <c r="F358" s="19"/>
      <c r="G358" s="14"/>
      <c r="H358" s="22"/>
      <c r="I358" s="22"/>
      <c r="J358" s="20"/>
      <c r="K358" s="21"/>
    </row>
    <row r="359" spans="1:11" x14ac:dyDescent="0.35">
      <c r="A359" s="22"/>
      <c r="B359" s="9"/>
      <c r="C359" s="9"/>
      <c r="D359" s="9"/>
      <c r="E359" s="18"/>
      <c r="F359" s="19"/>
      <c r="G359" s="14"/>
      <c r="H359" s="22"/>
      <c r="I359" s="22"/>
      <c r="J359" s="20"/>
      <c r="K359" s="21"/>
    </row>
    <row r="360" spans="1:11" x14ac:dyDescent="0.35">
      <c r="A360" s="22"/>
      <c r="B360" s="9"/>
      <c r="C360" s="9"/>
      <c r="D360" s="9"/>
      <c r="E360" s="18"/>
      <c r="F360" s="19"/>
      <c r="G360" s="14"/>
      <c r="H360" s="22"/>
      <c r="I360" s="22"/>
      <c r="J360" s="20"/>
      <c r="K360" s="21"/>
    </row>
    <row r="361" spans="1:11" x14ac:dyDescent="0.35">
      <c r="A361" s="22"/>
      <c r="B361" s="9"/>
      <c r="C361" s="9"/>
      <c r="D361" s="9"/>
      <c r="E361" s="18"/>
      <c r="F361" s="19"/>
      <c r="G361" s="14"/>
      <c r="H361" s="22"/>
      <c r="I361" s="22"/>
      <c r="J361" s="20"/>
      <c r="K361" s="21"/>
    </row>
    <row r="362" spans="1:11" x14ac:dyDescent="0.35">
      <c r="A362" s="22"/>
      <c r="B362" s="9"/>
      <c r="C362" s="9"/>
      <c r="D362" s="9"/>
      <c r="E362" s="18"/>
      <c r="F362" s="19"/>
      <c r="G362" s="14"/>
      <c r="H362" s="22"/>
      <c r="I362" s="22"/>
      <c r="J362" s="20"/>
      <c r="K362" s="21"/>
    </row>
    <row r="363" spans="1:11" x14ac:dyDescent="0.35">
      <c r="A363" s="22"/>
      <c r="B363" s="9"/>
      <c r="C363" s="9"/>
      <c r="D363" s="9"/>
      <c r="E363" s="18"/>
      <c r="F363" s="19"/>
      <c r="G363" s="14"/>
      <c r="H363" s="22"/>
      <c r="I363" s="22"/>
      <c r="J363" s="20"/>
      <c r="K363" s="21"/>
    </row>
    <row r="364" spans="1:11" x14ac:dyDescent="0.35">
      <c r="A364" s="22"/>
      <c r="B364" s="9"/>
      <c r="C364" s="9"/>
      <c r="D364" s="9"/>
      <c r="E364" s="18"/>
      <c r="F364" s="19"/>
      <c r="G364" s="14"/>
      <c r="H364" s="22"/>
      <c r="I364" s="22"/>
      <c r="J364" s="20"/>
      <c r="K364" s="21"/>
    </row>
    <row r="365" spans="1:11" x14ac:dyDescent="0.35">
      <c r="A365" s="22"/>
      <c r="B365" s="9"/>
      <c r="C365" s="9"/>
      <c r="D365" s="9"/>
      <c r="E365" s="18"/>
      <c r="F365" s="19"/>
      <c r="G365" s="14"/>
      <c r="H365" s="22"/>
      <c r="I365" s="22"/>
      <c r="J365" s="20"/>
      <c r="K365" s="21"/>
    </row>
    <row r="366" spans="1:11" x14ac:dyDescent="0.35">
      <c r="A366" s="22"/>
      <c r="B366" s="9"/>
      <c r="C366" s="9"/>
      <c r="D366" s="9"/>
      <c r="E366" s="18"/>
      <c r="F366" s="19"/>
      <c r="G366" s="14"/>
      <c r="H366" s="22"/>
      <c r="I366" s="22"/>
      <c r="J366" s="20"/>
      <c r="K366" s="21"/>
    </row>
    <row r="367" spans="1:11" x14ac:dyDescent="0.35">
      <c r="A367" s="22"/>
      <c r="B367" s="9"/>
      <c r="C367" s="9"/>
      <c r="D367" s="9"/>
      <c r="E367" s="18"/>
      <c r="F367" s="19"/>
      <c r="G367" s="14"/>
      <c r="H367" s="22"/>
      <c r="I367" s="22"/>
      <c r="J367" s="20"/>
      <c r="K367" s="21"/>
    </row>
    <row r="368" spans="1:11" x14ac:dyDescent="0.35">
      <c r="A368" s="22"/>
      <c r="B368" s="9"/>
      <c r="C368" s="9"/>
      <c r="D368" s="9"/>
      <c r="E368" s="18"/>
      <c r="F368" s="19"/>
      <c r="G368" s="14"/>
      <c r="H368" s="22"/>
      <c r="I368" s="22"/>
      <c r="J368" s="20"/>
      <c r="K368" s="21"/>
    </row>
    <row r="369" spans="1:11" x14ac:dyDescent="0.35">
      <c r="A369" s="22"/>
      <c r="B369" s="9"/>
      <c r="C369" s="9"/>
      <c r="D369" s="9"/>
      <c r="E369" s="18"/>
      <c r="F369" s="19"/>
      <c r="G369" s="14"/>
      <c r="H369" s="22"/>
      <c r="I369" s="22"/>
      <c r="J369" s="20"/>
      <c r="K369" s="21"/>
    </row>
    <row r="370" spans="1:11" x14ac:dyDescent="0.35">
      <c r="A370" s="22"/>
      <c r="B370" s="9"/>
      <c r="C370" s="9"/>
      <c r="D370" s="9"/>
      <c r="E370" s="18"/>
      <c r="F370" s="19"/>
      <c r="G370" s="14"/>
      <c r="H370" s="22"/>
      <c r="I370" s="22"/>
      <c r="J370" s="20"/>
      <c r="K370" s="21"/>
    </row>
    <row r="371" spans="1:11" x14ac:dyDescent="0.35">
      <c r="A371" s="22"/>
      <c r="B371" s="9"/>
      <c r="C371" s="9"/>
      <c r="D371" s="9"/>
      <c r="E371" s="18"/>
      <c r="F371" s="19"/>
      <c r="G371" s="14"/>
      <c r="H371" s="22"/>
      <c r="I371" s="22"/>
      <c r="J371" s="20"/>
      <c r="K371" s="21"/>
    </row>
    <row r="372" spans="1:11" x14ac:dyDescent="0.35">
      <c r="A372" s="22"/>
      <c r="B372" s="9"/>
      <c r="C372" s="9"/>
      <c r="D372" s="9"/>
      <c r="E372" s="18"/>
      <c r="F372" s="19"/>
      <c r="G372" s="14"/>
      <c r="H372" s="22"/>
      <c r="I372" s="22"/>
      <c r="J372" s="20"/>
      <c r="K372" s="21"/>
    </row>
    <row r="373" spans="1:11" x14ac:dyDescent="0.35">
      <c r="A373" s="22"/>
      <c r="B373" s="9"/>
      <c r="C373" s="9"/>
      <c r="D373" s="9"/>
      <c r="E373" s="18"/>
      <c r="F373" s="19"/>
      <c r="G373" s="14"/>
      <c r="H373" s="22"/>
      <c r="I373" s="22"/>
      <c r="J373" s="20"/>
      <c r="K373" s="21"/>
    </row>
    <row r="374" spans="1:11" x14ac:dyDescent="0.35">
      <c r="A374" s="22"/>
      <c r="B374" s="9"/>
      <c r="C374" s="9"/>
      <c r="D374" s="9"/>
      <c r="E374" s="18"/>
      <c r="F374" s="19"/>
      <c r="G374" s="14"/>
      <c r="H374" s="22"/>
      <c r="I374" s="22"/>
      <c r="J374" s="20"/>
      <c r="K374" s="21"/>
    </row>
    <row r="375" spans="1:11" x14ac:dyDescent="0.35">
      <c r="A375" s="22"/>
      <c r="B375" s="9"/>
      <c r="C375" s="9"/>
      <c r="D375" s="9"/>
      <c r="E375" s="18"/>
      <c r="F375" s="19"/>
      <c r="G375" s="14"/>
      <c r="H375" s="22"/>
      <c r="I375" s="22"/>
      <c r="J375" s="20"/>
      <c r="K375" s="21"/>
    </row>
    <row r="376" spans="1:11" x14ac:dyDescent="0.35">
      <c r="A376" s="22"/>
      <c r="B376" s="9"/>
      <c r="C376" s="9"/>
      <c r="D376" s="9"/>
      <c r="E376" s="18"/>
      <c r="F376" s="19"/>
      <c r="G376" s="14"/>
      <c r="H376" s="22"/>
      <c r="I376" s="22"/>
      <c r="J376" s="20"/>
      <c r="K376" s="21"/>
    </row>
    <row r="377" spans="1:11" x14ac:dyDescent="0.35">
      <c r="A377" s="22"/>
      <c r="B377" s="9"/>
      <c r="C377" s="9"/>
      <c r="D377" s="9"/>
      <c r="E377" s="18"/>
      <c r="F377" s="19"/>
      <c r="G377" s="14"/>
      <c r="H377" s="22"/>
      <c r="I377" s="22"/>
      <c r="J377" s="20"/>
      <c r="K377" s="21"/>
    </row>
    <row r="378" spans="1:11" x14ac:dyDescent="0.35">
      <c r="A378" s="22"/>
      <c r="B378" s="9"/>
      <c r="C378" s="9"/>
      <c r="D378" s="9"/>
      <c r="E378" s="18"/>
      <c r="F378" s="19"/>
      <c r="G378" s="14"/>
      <c r="H378" s="22"/>
      <c r="I378" s="22"/>
      <c r="J378" s="20"/>
      <c r="K378" s="21"/>
    </row>
    <row r="379" spans="1:11" x14ac:dyDescent="0.35">
      <c r="A379" s="22"/>
      <c r="B379" s="9"/>
      <c r="C379" s="9"/>
      <c r="D379" s="9"/>
      <c r="E379" s="18"/>
      <c r="F379" s="19"/>
      <c r="G379" s="14"/>
      <c r="H379" s="22"/>
      <c r="I379" s="22"/>
      <c r="J379" s="20"/>
      <c r="K379" s="21"/>
    </row>
    <row r="380" spans="1:11" x14ac:dyDescent="0.35">
      <c r="A380" s="22"/>
      <c r="B380" s="9"/>
      <c r="C380" s="9"/>
      <c r="D380" s="9"/>
      <c r="E380" s="18"/>
      <c r="F380" s="19"/>
      <c r="G380" s="14"/>
      <c r="H380" s="22"/>
      <c r="I380" s="22"/>
      <c r="J380" s="20"/>
      <c r="K380" s="21"/>
    </row>
    <row r="381" spans="1:11" x14ac:dyDescent="0.35">
      <c r="A381" s="22"/>
      <c r="B381" s="9"/>
      <c r="C381" s="9"/>
      <c r="D381" s="9"/>
      <c r="E381" s="18"/>
      <c r="F381" s="19"/>
      <c r="G381" s="14"/>
      <c r="H381" s="22"/>
      <c r="I381" s="22"/>
      <c r="J381" s="20"/>
      <c r="K381" s="21"/>
    </row>
    <row r="382" spans="1:11" x14ac:dyDescent="0.35">
      <c r="A382" s="22"/>
      <c r="B382" s="9"/>
      <c r="C382" s="9"/>
      <c r="D382" s="9"/>
      <c r="E382" s="18"/>
      <c r="F382" s="19"/>
      <c r="G382" s="14"/>
      <c r="H382" s="22"/>
      <c r="I382" s="22"/>
      <c r="J382" s="20"/>
      <c r="K382" s="21"/>
    </row>
    <row r="383" spans="1:11" x14ac:dyDescent="0.35">
      <c r="A383" s="22"/>
      <c r="B383" s="9"/>
      <c r="C383" s="9"/>
      <c r="D383" s="9"/>
      <c r="E383" s="18"/>
      <c r="F383" s="19"/>
      <c r="G383" s="14"/>
      <c r="H383" s="22"/>
      <c r="I383" s="22"/>
      <c r="J383" s="20"/>
      <c r="K383" s="21"/>
    </row>
    <row r="384" spans="1:11" x14ac:dyDescent="0.35">
      <c r="A384" s="22"/>
      <c r="B384" s="9"/>
      <c r="C384" s="9"/>
      <c r="D384" s="9"/>
      <c r="E384" s="18"/>
      <c r="F384" s="19"/>
      <c r="G384" s="14"/>
      <c r="H384" s="22"/>
      <c r="I384" s="22"/>
      <c r="J384" s="20"/>
      <c r="K384" s="21"/>
    </row>
    <row r="385" spans="1:11" x14ac:dyDescent="0.35">
      <c r="A385" s="22"/>
      <c r="B385" s="9"/>
      <c r="C385" s="9"/>
      <c r="D385" s="9"/>
      <c r="E385" s="18"/>
      <c r="F385" s="19"/>
      <c r="G385" s="14"/>
      <c r="H385" s="22"/>
      <c r="I385" s="22"/>
      <c r="J385" s="20"/>
      <c r="K385" s="21"/>
    </row>
    <row r="386" spans="1:11" x14ac:dyDescent="0.35">
      <c r="A386" s="22"/>
      <c r="B386" s="9"/>
      <c r="C386" s="9"/>
      <c r="D386" s="9"/>
      <c r="E386" s="18"/>
      <c r="F386" s="19"/>
      <c r="G386" s="14"/>
      <c r="H386" s="22"/>
      <c r="I386" s="22"/>
      <c r="J386" s="20"/>
      <c r="K386" s="21"/>
    </row>
    <row r="387" spans="1:11" x14ac:dyDescent="0.35">
      <c r="A387" s="22"/>
      <c r="B387" s="9"/>
      <c r="C387" s="9"/>
      <c r="D387" s="9"/>
      <c r="E387" s="18"/>
      <c r="F387" s="19"/>
      <c r="G387" s="14"/>
      <c r="H387" s="22"/>
      <c r="I387" s="22"/>
      <c r="J387" s="20"/>
      <c r="K387" s="21"/>
    </row>
    <row r="388" spans="1:11" x14ac:dyDescent="0.35">
      <c r="A388" s="22"/>
      <c r="B388" s="9"/>
      <c r="C388" s="9"/>
      <c r="D388" s="9"/>
      <c r="E388" s="18"/>
      <c r="F388" s="19"/>
      <c r="G388" s="14"/>
      <c r="H388" s="22"/>
      <c r="I388" s="22"/>
      <c r="J388" s="20"/>
      <c r="K388" s="21"/>
    </row>
    <row r="389" spans="1:11" x14ac:dyDescent="0.35">
      <c r="A389" s="22"/>
      <c r="B389" s="9"/>
      <c r="C389" s="9"/>
      <c r="D389" s="9"/>
      <c r="E389" s="18"/>
      <c r="F389" s="19"/>
      <c r="G389" s="14"/>
      <c r="H389" s="22"/>
      <c r="I389" s="22"/>
      <c r="J389" s="20"/>
      <c r="K389" s="21"/>
    </row>
    <row r="390" spans="1:11" x14ac:dyDescent="0.35">
      <c r="A390" s="22"/>
      <c r="B390" s="9"/>
      <c r="C390" s="9"/>
      <c r="D390" s="9"/>
      <c r="E390" s="18"/>
      <c r="F390" s="19"/>
      <c r="G390" s="14"/>
      <c r="H390" s="22"/>
      <c r="I390" s="22"/>
      <c r="J390" s="20"/>
      <c r="K390" s="21"/>
    </row>
    <row r="391" spans="1:11" x14ac:dyDescent="0.35">
      <c r="A391" s="22"/>
      <c r="B391" s="9"/>
      <c r="C391" s="9"/>
      <c r="D391" s="9"/>
      <c r="E391" s="18"/>
      <c r="F391" s="19"/>
      <c r="G391" s="14"/>
      <c r="H391" s="22"/>
      <c r="I391" s="22"/>
      <c r="J391" s="20"/>
      <c r="K391" s="21"/>
    </row>
    <row r="392" spans="1:11" x14ac:dyDescent="0.35">
      <c r="A392" s="22"/>
      <c r="B392" s="9"/>
      <c r="C392" s="9"/>
      <c r="D392" s="9"/>
      <c r="E392" s="18"/>
      <c r="F392" s="19"/>
      <c r="G392" s="14"/>
      <c r="H392" s="22"/>
      <c r="I392" s="22"/>
      <c r="J392" s="20"/>
      <c r="K392" s="21"/>
    </row>
    <row r="393" spans="1:11" x14ac:dyDescent="0.35">
      <c r="A393" s="22"/>
      <c r="B393" s="9"/>
      <c r="C393" s="9"/>
      <c r="D393" s="9"/>
      <c r="E393" s="18"/>
      <c r="F393" s="19"/>
      <c r="G393" s="14"/>
      <c r="H393" s="22"/>
      <c r="I393" s="22"/>
      <c r="J393" s="20"/>
      <c r="K393" s="21"/>
    </row>
    <row r="394" spans="1:11" x14ac:dyDescent="0.35">
      <c r="A394" s="22"/>
      <c r="B394" s="9"/>
      <c r="C394" s="9"/>
      <c r="D394" s="9"/>
      <c r="E394" s="18"/>
      <c r="F394" s="19"/>
      <c r="G394" s="14"/>
      <c r="H394" s="22"/>
      <c r="I394" s="22"/>
      <c r="J394" s="20"/>
      <c r="K394" s="21"/>
    </row>
    <row r="395" spans="1:11" x14ac:dyDescent="0.35">
      <c r="A395" s="22"/>
      <c r="B395" s="9"/>
      <c r="C395" s="9"/>
      <c r="D395" s="9"/>
      <c r="E395" s="18"/>
      <c r="F395" s="19"/>
      <c r="G395" s="14"/>
      <c r="H395" s="22"/>
      <c r="I395" s="22"/>
      <c r="J395" s="20"/>
      <c r="K395" s="21"/>
    </row>
    <row r="396" spans="1:11" x14ac:dyDescent="0.35">
      <c r="A396" s="22"/>
      <c r="B396" s="9"/>
      <c r="C396" s="9"/>
      <c r="D396" s="9"/>
      <c r="E396" s="18"/>
      <c r="F396" s="19"/>
      <c r="G396" s="14"/>
      <c r="H396" s="22"/>
      <c r="I396" s="22"/>
      <c r="J396" s="20"/>
      <c r="K396" s="21"/>
    </row>
    <row r="397" spans="1:11" x14ac:dyDescent="0.35">
      <c r="A397" s="22"/>
      <c r="B397" s="9"/>
      <c r="C397" s="9"/>
      <c r="D397" s="9"/>
      <c r="E397" s="18"/>
      <c r="F397" s="19"/>
      <c r="G397" s="14"/>
      <c r="H397" s="22"/>
      <c r="I397" s="22"/>
      <c r="J397" s="20"/>
      <c r="K397" s="21"/>
    </row>
    <row r="398" spans="1:11" x14ac:dyDescent="0.35">
      <c r="A398" s="22"/>
      <c r="B398" s="9"/>
      <c r="C398" s="9"/>
      <c r="D398" s="9"/>
      <c r="E398" s="18"/>
      <c r="F398" s="19"/>
      <c r="G398" s="14"/>
      <c r="H398" s="22"/>
      <c r="I398" s="22"/>
      <c r="J398" s="20"/>
      <c r="K398" s="21"/>
    </row>
    <row r="399" spans="1:11" x14ac:dyDescent="0.35">
      <c r="A399" s="22"/>
      <c r="B399" s="9"/>
      <c r="C399" s="9"/>
      <c r="D399" s="9"/>
      <c r="E399" s="18"/>
      <c r="F399" s="19"/>
      <c r="G399" s="14"/>
      <c r="H399" s="22"/>
      <c r="I399" s="22"/>
      <c r="J399" s="20"/>
      <c r="K399" s="21"/>
    </row>
    <row r="400" spans="1:11" x14ac:dyDescent="0.35">
      <c r="A400" s="22"/>
      <c r="B400" s="9"/>
      <c r="C400" s="9"/>
      <c r="D400" s="9"/>
      <c r="E400" s="18"/>
      <c r="F400" s="19"/>
      <c r="G400" s="14"/>
      <c r="H400" s="22"/>
      <c r="I400" s="22"/>
      <c r="J400" s="20"/>
      <c r="K400" s="21"/>
    </row>
    <row r="401" spans="1:11" x14ac:dyDescent="0.35">
      <c r="A401" s="22"/>
      <c r="B401" s="9"/>
      <c r="C401" s="9"/>
      <c r="D401" s="9"/>
      <c r="E401" s="18"/>
      <c r="F401" s="19"/>
      <c r="G401" s="14"/>
      <c r="H401" s="22"/>
      <c r="I401" s="22"/>
      <c r="J401" s="20"/>
      <c r="K401" s="21"/>
    </row>
    <row r="402" spans="1:11" x14ac:dyDescent="0.35">
      <c r="A402" s="22"/>
      <c r="B402" s="9"/>
      <c r="C402" s="9"/>
      <c r="D402" s="9"/>
      <c r="E402" s="18"/>
      <c r="F402" s="19"/>
      <c r="G402" s="14"/>
      <c r="H402" s="22"/>
      <c r="I402" s="22"/>
      <c r="J402" s="20"/>
      <c r="K402" s="21"/>
    </row>
    <row r="403" spans="1:11" x14ac:dyDescent="0.35">
      <c r="A403" s="22"/>
      <c r="B403" s="9"/>
      <c r="C403" s="9"/>
      <c r="D403" s="9"/>
      <c r="E403" s="18"/>
      <c r="F403" s="19"/>
      <c r="G403" s="14"/>
      <c r="H403" s="22"/>
      <c r="I403" s="22"/>
      <c r="J403" s="20"/>
      <c r="K403" s="21"/>
    </row>
    <row r="404" spans="1:11" x14ac:dyDescent="0.35">
      <c r="A404" s="22"/>
      <c r="B404" s="9"/>
      <c r="C404" s="9"/>
      <c r="D404" s="9"/>
      <c r="E404" s="18"/>
      <c r="F404" s="19"/>
      <c r="G404" s="14"/>
      <c r="H404" s="22"/>
      <c r="I404" s="22"/>
      <c r="J404" s="20"/>
      <c r="K404" s="21"/>
    </row>
    <row r="405" spans="1:11" x14ac:dyDescent="0.35">
      <c r="A405" s="22"/>
      <c r="B405" s="9"/>
      <c r="C405" s="9"/>
      <c r="D405" s="9"/>
      <c r="E405" s="18"/>
      <c r="F405" s="19"/>
      <c r="G405" s="14"/>
      <c r="H405" s="22"/>
      <c r="I405" s="22"/>
      <c r="J405" s="20"/>
      <c r="K405" s="21"/>
    </row>
    <row r="406" spans="1:11" x14ac:dyDescent="0.35">
      <c r="A406" s="22"/>
      <c r="B406" s="9"/>
      <c r="C406" s="9"/>
      <c r="D406" s="9"/>
      <c r="E406" s="18"/>
      <c r="F406" s="19"/>
      <c r="G406" s="14"/>
      <c r="H406" s="22"/>
      <c r="I406" s="22"/>
      <c r="J406" s="20"/>
      <c r="K406" s="21"/>
    </row>
    <row r="407" spans="1:11" x14ac:dyDescent="0.35">
      <c r="A407" s="22"/>
      <c r="B407" s="9"/>
      <c r="C407" s="9"/>
      <c r="D407" s="9"/>
      <c r="E407" s="18"/>
      <c r="F407" s="19"/>
      <c r="G407" s="14"/>
      <c r="H407" s="22"/>
      <c r="I407" s="22"/>
      <c r="J407" s="20"/>
      <c r="K407" s="21"/>
    </row>
    <row r="408" spans="1:11" x14ac:dyDescent="0.35">
      <c r="A408" s="22"/>
      <c r="B408" s="9"/>
      <c r="C408" s="9"/>
      <c r="D408" s="9"/>
      <c r="E408" s="18"/>
      <c r="F408" s="19"/>
      <c r="G408" s="14"/>
      <c r="H408" s="22"/>
      <c r="I408" s="22"/>
      <c r="J408" s="20"/>
      <c r="K408" s="21"/>
    </row>
    <row r="409" spans="1:11" x14ac:dyDescent="0.35">
      <c r="A409" s="22"/>
      <c r="B409" s="9"/>
      <c r="C409" s="9"/>
      <c r="D409" s="9"/>
      <c r="E409" s="18"/>
      <c r="F409" s="19"/>
      <c r="G409" s="14"/>
      <c r="H409" s="22"/>
      <c r="I409" s="22"/>
      <c r="J409" s="20"/>
      <c r="K409" s="21"/>
    </row>
    <row r="410" spans="1:11" x14ac:dyDescent="0.35">
      <c r="A410" s="22"/>
      <c r="B410" s="9"/>
      <c r="C410" s="9"/>
      <c r="D410" s="9"/>
      <c r="E410" s="18"/>
      <c r="F410" s="19"/>
      <c r="G410" s="14"/>
      <c r="H410" s="22"/>
      <c r="I410" s="22"/>
      <c r="J410" s="20"/>
      <c r="K410" s="21"/>
    </row>
    <row r="411" spans="1:11" x14ac:dyDescent="0.35">
      <c r="A411" s="22"/>
      <c r="B411" s="9"/>
      <c r="C411" s="9"/>
      <c r="D411" s="9"/>
      <c r="E411" s="18"/>
      <c r="F411" s="19"/>
      <c r="G411" s="14"/>
      <c r="H411" s="22"/>
      <c r="I411" s="22"/>
      <c r="J411" s="20"/>
      <c r="K411" s="21"/>
    </row>
    <row r="412" spans="1:11" x14ac:dyDescent="0.35">
      <c r="A412" s="22"/>
      <c r="B412" s="9"/>
      <c r="C412" s="9"/>
      <c r="D412" s="9"/>
      <c r="E412" s="18"/>
      <c r="F412" s="19"/>
      <c r="G412" s="14"/>
      <c r="H412" s="22"/>
      <c r="I412" s="22"/>
      <c r="J412" s="20"/>
      <c r="K412" s="21"/>
    </row>
    <row r="413" spans="1:11" x14ac:dyDescent="0.35">
      <c r="A413" s="22"/>
      <c r="B413" s="9"/>
      <c r="C413" s="9"/>
      <c r="D413" s="9"/>
      <c r="E413" s="18"/>
      <c r="F413" s="19"/>
      <c r="G413" s="14"/>
      <c r="H413" s="22"/>
      <c r="I413" s="22"/>
      <c r="J413" s="20"/>
      <c r="K413" s="21"/>
    </row>
    <row r="414" spans="1:11" x14ac:dyDescent="0.35">
      <c r="A414" s="22"/>
      <c r="B414" s="9"/>
      <c r="C414" s="9"/>
      <c r="D414" s="9"/>
      <c r="E414" s="18"/>
      <c r="F414" s="19"/>
      <c r="G414" s="14"/>
      <c r="H414" s="22"/>
      <c r="I414" s="22"/>
      <c r="J414" s="20"/>
      <c r="K414" s="21"/>
    </row>
    <row r="415" spans="1:11" x14ac:dyDescent="0.35">
      <c r="A415" s="22"/>
      <c r="B415" s="9"/>
      <c r="C415" s="9"/>
      <c r="D415" s="9"/>
      <c r="E415" s="18"/>
      <c r="F415" s="19"/>
      <c r="G415" s="14"/>
      <c r="H415" s="22"/>
      <c r="I415" s="22"/>
      <c r="J415" s="20"/>
      <c r="K415" s="21"/>
    </row>
    <row r="416" spans="1:11" x14ac:dyDescent="0.35">
      <c r="A416" s="22"/>
      <c r="B416" s="9"/>
      <c r="C416" s="9"/>
      <c r="D416" s="9"/>
      <c r="E416" s="18"/>
      <c r="F416" s="19"/>
      <c r="G416" s="14"/>
      <c r="H416" s="22"/>
      <c r="I416" s="22"/>
      <c r="J416" s="20"/>
      <c r="K416" s="21"/>
    </row>
    <row r="417" spans="1:11" x14ac:dyDescent="0.35">
      <c r="A417" s="22"/>
      <c r="B417" s="9"/>
      <c r="C417" s="9"/>
      <c r="D417" s="9"/>
      <c r="E417" s="18"/>
      <c r="F417" s="19"/>
      <c r="G417" s="14"/>
      <c r="H417" s="22"/>
      <c r="I417" s="22"/>
      <c r="J417" s="20"/>
      <c r="K417" s="21"/>
    </row>
    <row r="418" spans="1:11" x14ac:dyDescent="0.35">
      <c r="A418" s="22"/>
      <c r="B418" s="9"/>
      <c r="C418" s="9"/>
      <c r="D418" s="9"/>
      <c r="E418" s="18"/>
      <c r="F418" s="19"/>
      <c r="G418" s="14"/>
      <c r="H418" s="22"/>
      <c r="I418" s="22"/>
      <c r="J418" s="20"/>
      <c r="K418" s="21"/>
    </row>
    <row r="419" spans="1:11" x14ac:dyDescent="0.35">
      <c r="A419" s="22"/>
      <c r="B419" s="9"/>
      <c r="C419" s="9"/>
      <c r="D419" s="9"/>
      <c r="E419" s="18"/>
      <c r="F419" s="19"/>
      <c r="G419" s="14"/>
      <c r="H419" s="22"/>
      <c r="I419" s="22"/>
      <c r="J419" s="20"/>
      <c r="K419" s="21"/>
    </row>
    <row r="420" spans="1:11" x14ac:dyDescent="0.35">
      <c r="A420" s="22"/>
      <c r="B420" s="9"/>
      <c r="C420" s="9"/>
      <c r="D420" s="9"/>
      <c r="E420" s="18"/>
      <c r="F420" s="19"/>
      <c r="G420" s="14"/>
      <c r="H420" s="22"/>
      <c r="I420" s="22"/>
      <c r="J420" s="20"/>
      <c r="K420" s="21"/>
    </row>
    <row r="421" spans="1:11" x14ac:dyDescent="0.35">
      <c r="A421" s="22"/>
      <c r="B421" s="9"/>
      <c r="C421" s="9"/>
      <c r="D421" s="9"/>
      <c r="E421" s="18"/>
      <c r="F421" s="19"/>
      <c r="G421" s="14"/>
      <c r="H421" s="22"/>
      <c r="I421" s="22"/>
      <c r="J421" s="20"/>
      <c r="K421" s="21"/>
    </row>
    <row r="422" spans="1:11" x14ac:dyDescent="0.35">
      <c r="A422" s="22"/>
      <c r="B422" s="9"/>
      <c r="C422" s="9"/>
      <c r="D422" s="9"/>
      <c r="E422" s="18"/>
      <c r="F422" s="19"/>
      <c r="G422" s="14"/>
      <c r="H422" s="22"/>
      <c r="I422" s="22"/>
      <c r="J422" s="20"/>
      <c r="K422" s="21"/>
    </row>
    <row r="423" spans="1:11" x14ac:dyDescent="0.35">
      <c r="A423" s="22"/>
      <c r="B423" s="9"/>
      <c r="C423" s="9"/>
      <c r="D423" s="9"/>
      <c r="E423" s="18"/>
      <c r="F423" s="19"/>
      <c r="G423" s="14"/>
      <c r="H423" s="22"/>
      <c r="I423" s="22"/>
      <c r="J423" s="20"/>
      <c r="K423" s="21"/>
    </row>
    <row r="424" spans="1:11" x14ac:dyDescent="0.35">
      <c r="A424" s="22"/>
      <c r="B424" s="9"/>
      <c r="C424" s="9"/>
      <c r="D424" s="9"/>
      <c r="E424" s="18"/>
      <c r="F424" s="19"/>
      <c r="G424" s="14"/>
      <c r="H424" s="22"/>
      <c r="I424" s="22"/>
      <c r="J424" s="20"/>
      <c r="K424" s="21"/>
    </row>
    <row r="425" spans="1:11" x14ac:dyDescent="0.35">
      <c r="A425" s="22"/>
      <c r="B425" s="9"/>
      <c r="C425" s="9"/>
      <c r="D425" s="9"/>
      <c r="E425" s="18"/>
      <c r="F425" s="19"/>
      <c r="G425" s="14"/>
      <c r="H425" s="22"/>
      <c r="I425" s="22"/>
      <c r="J425" s="20"/>
      <c r="K425" s="21"/>
    </row>
    <row r="426" spans="1:11" x14ac:dyDescent="0.35">
      <c r="A426" s="22"/>
      <c r="B426" s="9"/>
      <c r="C426" s="9"/>
      <c r="D426" s="9"/>
      <c r="E426" s="18"/>
      <c r="F426" s="19"/>
      <c r="G426" s="14"/>
      <c r="H426" s="22"/>
      <c r="I426" s="22"/>
      <c r="J426" s="20"/>
      <c r="K426" s="21"/>
    </row>
    <row r="427" spans="1:11" x14ac:dyDescent="0.35">
      <c r="A427" s="22"/>
      <c r="B427" s="9"/>
      <c r="C427" s="9"/>
      <c r="D427" s="9"/>
      <c r="E427" s="18"/>
      <c r="F427" s="19"/>
      <c r="G427" s="14"/>
      <c r="H427" s="22"/>
      <c r="I427" s="22"/>
      <c r="J427" s="20"/>
      <c r="K427" s="21"/>
    </row>
    <row r="428" spans="1:11" x14ac:dyDescent="0.35">
      <c r="A428" s="22"/>
      <c r="B428" s="9"/>
      <c r="C428" s="9"/>
      <c r="D428" s="9"/>
      <c r="E428" s="18"/>
      <c r="F428" s="19"/>
      <c r="G428" s="14"/>
      <c r="H428" s="22"/>
      <c r="I428" s="22"/>
      <c r="J428" s="20"/>
      <c r="K428" s="21"/>
    </row>
    <row r="429" spans="1:11" x14ac:dyDescent="0.35">
      <c r="A429" s="22"/>
      <c r="B429" s="9"/>
      <c r="C429" s="9"/>
      <c r="D429" s="9"/>
      <c r="E429" s="18"/>
      <c r="F429" s="19"/>
      <c r="G429" s="14"/>
      <c r="H429" s="22"/>
      <c r="I429" s="22"/>
      <c r="J429" s="20"/>
      <c r="K429" s="21"/>
    </row>
    <row r="430" spans="1:11" x14ac:dyDescent="0.35">
      <c r="A430" s="22"/>
      <c r="B430" s="9"/>
      <c r="C430" s="9"/>
      <c r="D430" s="9"/>
      <c r="E430" s="18"/>
      <c r="F430" s="19"/>
      <c r="G430" s="14"/>
      <c r="H430" s="22"/>
      <c r="I430" s="22"/>
      <c r="J430" s="20"/>
      <c r="K430" s="21"/>
    </row>
    <row r="431" spans="1:11" x14ac:dyDescent="0.35">
      <c r="A431" s="22"/>
      <c r="B431" s="9"/>
      <c r="C431" s="9"/>
      <c r="D431" s="9"/>
      <c r="E431" s="18"/>
      <c r="F431" s="19"/>
      <c r="G431" s="14"/>
      <c r="H431" s="22"/>
      <c r="I431" s="22"/>
      <c r="J431" s="20"/>
      <c r="K431" s="21"/>
    </row>
    <row r="432" spans="1:11" x14ac:dyDescent="0.35">
      <c r="A432" s="22"/>
      <c r="B432" s="9"/>
      <c r="C432" s="9"/>
      <c r="D432" s="9"/>
      <c r="E432" s="18"/>
      <c r="F432" s="19"/>
      <c r="G432" s="14"/>
      <c r="H432" s="22"/>
      <c r="I432" s="22"/>
      <c r="J432" s="20"/>
      <c r="K432" s="21"/>
    </row>
    <row r="433" spans="1:11" x14ac:dyDescent="0.35">
      <c r="A433" s="22"/>
      <c r="B433" s="9"/>
      <c r="C433" s="9"/>
      <c r="D433" s="9"/>
      <c r="E433" s="18"/>
      <c r="F433" s="19"/>
      <c r="G433" s="14"/>
      <c r="H433" s="22"/>
      <c r="I433" s="22"/>
      <c r="J433" s="20"/>
      <c r="K433" s="21"/>
    </row>
    <row r="434" spans="1:11" x14ac:dyDescent="0.35">
      <c r="A434" s="22"/>
      <c r="B434" s="9"/>
      <c r="C434" s="9"/>
      <c r="D434" s="9"/>
      <c r="E434" s="18"/>
      <c r="F434" s="19"/>
      <c r="G434" s="14"/>
      <c r="H434" s="22"/>
      <c r="I434" s="22"/>
      <c r="J434" s="20"/>
      <c r="K434" s="21"/>
    </row>
    <row r="435" spans="1:11" x14ac:dyDescent="0.35">
      <c r="A435" s="22"/>
      <c r="B435" s="9"/>
      <c r="C435" s="9"/>
      <c r="D435" s="9"/>
      <c r="E435" s="18"/>
      <c r="F435" s="19"/>
      <c r="G435" s="14"/>
      <c r="H435" s="22"/>
      <c r="I435" s="22"/>
      <c r="J435" s="20"/>
      <c r="K435" s="21"/>
    </row>
    <row r="436" spans="1:11" x14ac:dyDescent="0.35">
      <c r="A436" s="22"/>
      <c r="B436" s="9"/>
      <c r="C436" s="9"/>
      <c r="D436" s="9"/>
      <c r="E436" s="18"/>
      <c r="F436" s="19"/>
      <c r="G436" s="14"/>
      <c r="H436" s="22"/>
      <c r="I436" s="22"/>
      <c r="J436" s="20"/>
      <c r="K436" s="21"/>
    </row>
    <row r="437" spans="1:11" x14ac:dyDescent="0.35">
      <c r="A437" s="22"/>
      <c r="B437" s="9"/>
      <c r="C437" s="9"/>
      <c r="D437" s="9"/>
      <c r="E437" s="18"/>
      <c r="F437" s="19"/>
      <c r="G437" s="14"/>
      <c r="H437" s="22"/>
      <c r="I437" s="22"/>
      <c r="J437" s="20"/>
      <c r="K437" s="21"/>
    </row>
    <row r="438" spans="1:11" x14ac:dyDescent="0.35">
      <c r="A438" s="22"/>
      <c r="B438" s="9"/>
      <c r="C438" s="9"/>
      <c r="D438" s="9"/>
      <c r="E438" s="18"/>
      <c r="F438" s="19"/>
      <c r="G438" s="14"/>
      <c r="H438" s="22"/>
      <c r="I438" s="22"/>
      <c r="J438" s="20"/>
      <c r="K438" s="21"/>
    </row>
    <row r="439" spans="1:11" x14ac:dyDescent="0.35">
      <c r="A439" s="22"/>
      <c r="B439" s="9"/>
      <c r="C439" s="9"/>
      <c r="D439" s="9"/>
      <c r="E439" s="18"/>
      <c r="F439" s="19"/>
      <c r="G439" s="14"/>
      <c r="H439" s="22"/>
      <c r="I439" s="22"/>
      <c r="J439" s="20"/>
      <c r="K439" s="21"/>
    </row>
    <row r="440" spans="1:11" x14ac:dyDescent="0.35">
      <c r="A440" s="22"/>
      <c r="B440" s="9"/>
      <c r="C440" s="9"/>
      <c r="D440" s="9"/>
      <c r="E440" s="18"/>
      <c r="F440" s="19"/>
      <c r="G440" s="14"/>
      <c r="H440" s="22"/>
      <c r="I440" s="22"/>
      <c r="J440" s="20"/>
      <c r="K440" s="21"/>
    </row>
    <row r="441" spans="1:11" x14ac:dyDescent="0.35">
      <c r="A441" s="22"/>
      <c r="B441" s="9"/>
      <c r="C441" s="9"/>
      <c r="D441" s="9"/>
      <c r="E441" s="18"/>
      <c r="F441" s="19"/>
      <c r="G441" s="14"/>
      <c r="H441" s="22"/>
      <c r="I441" s="22"/>
      <c r="J441" s="20"/>
      <c r="K441" s="21"/>
    </row>
    <row r="442" spans="1:11" x14ac:dyDescent="0.35">
      <c r="A442" s="22"/>
      <c r="B442" s="9"/>
      <c r="C442" s="9"/>
      <c r="D442" s="9"/>
      <c r="E442" s="18"/>
      <c r="F442" s="19"/>
      <c r="G442" s="14"/>
      <c r="H442" s="22"/>
      <c r="I442" s="22"/>
      <c r="J442" s="20"/>
      <c r="K442" s="21"/>
    </row>
    <row r="443" spans="1:11" x14ac:dyDescent="0.35">
      <c r="A443" s="22"/>
      <c r="B443" s="9"/>
      <c r="C443" s="9"/>
      <c r="D443" s="9"/>
      <c r="E443" s="18"/>
      <c r="F443" s="19"/>
      <c r="G443" s="14"/>
      <c r="H443" s="22"/>
      <c r="I443" s="22"/>
      <c r="J443" s="20"/>
      <c r="K443" s="21"/>
    </row>
    <row r="444" spans="1:11" x14ac:dyDescent="0.35">
      <c r="A444" s="22"/>
      <c r="B444" s="9"/>
      <c r="C444" s="9"/>
      <c r="D444" s="9"/>
      <c r="E444" s="18"/>
      <c r="F444" s="19"/>
      <c r="G444" s="14"/>
      <c r="H444" s="22"/>
      <c r="I444" s="22"/>
      <c r="J444" s="20"/>
      <c r="K444" s="21"/>
    </row>
    <row r="445" spans="1:11" x14ac:dyDescent="0.35">
      <c r="A445" s="22"/>
      <c r="B445" s="9"/>
      <c r="C445" s="9"/>
      <c r="D445" s="9"/>
      <c r="E445" s="18"/>
      <c r="F445" s="19"/>
      <c r="G445" s="14"/>
      <c r="H445" s="22"/>
      <c r="I445" s="22"/>
      <c r="J445" s="20"/>
      <c r="K445" s="21"/>
    </row>
    <row r="446" spans="1:11" x14ac:dyDescent="0.35">
      <c r="A446" s="22"/>
      <c r="B446" s="9"/>
      <c r="C446" s="9"/>
      <c r="D446" s="9"/>
      <c r="E446" s="18"/>
      <c r="F446" s="19"/>
      <c r="G446" s="14"/>
      <c r="H446" s="22"/>
      <c r="I446" s="22"/>
      <c r="J446" s="20"/>
      <c r="K446" s="21"/>
    </row>
    <row r="447" spans="1:11" x14ac:dyDescent="0.35">
      <c r="A447" s="22"/>
      <c r="B447" s="9"/>
      <c r="C447" s="9"/>
      <c r="D447" s="9"/>
      <c r="E447" s="18"/>
      <c r="F447" s="19"/>
      <c r="G447" s="14"/>
      <c r="H447" s="22"/>
      <c r="I447" s="22"/>
      <c r="J447" s="20"/>
      <c r="K447" s="21"/>
    </row>
    <row r="448" spans="1:11" x14ac:dyDescent="0.35">
      <c r="A448" s="22"/>
      <c r="B448" s="9"/>
      <c r="C448" s="9"/>
      <c r="D448" s="9"/>
      <c r="E448" s="18"/>
      <c r="F448" s="19"/>
      <c r="G448" s="14"/>
      <c r="H448" s="22"/>
      <c r="I448" s="22"/>
      <c r="J448" s="20"/>
      <c r="K448" s="21"/>
    </row>
    <row r="449" spans="1:11" x14ac:dyDescent="0.35">
      <c r="A449" s="22"/>
      <c r="B449" s="9"/>
      <c r="C449" s="9"/>
      <c r="D449" s="9"/>
      <c r="E449" s="18"/>
      <c r="F449" s="19"/>
      <c r="G449" s="14"/>
      <c r="H449" s="22"/>
      <c r="I449" s="22"/>
      <c r="J449" s="20"/>
      <c r="K449" s="21"/>
    </row>
    <row r="450" spans="1:11" x14ac:dyDescent="0.35">
      <c r="A450" s="22"/>
      <c r="B450" s="9"/>
      <c r="C450" s="9"/>
      <c r="D450" s="9"/>
      <c r="E450" s="18"/>
      <c r="F450" s="19"/>
      <c r="G450" s="14"/>
      <c r="H450" s="22"/>
      <c r="I450" s="22"/>
      <c r="J450" s="20"/>
      <c r="K450" s="21"/>
    </row>
    <row r="451" spans="1:11" x14ac:dyDescent="0.35">
      <c r="A451" s="22"/>
      <c r="B451" s="9"/>
      <c r="C451" s="9"/>
      <c r="D451" s="9"/>
      <c r="E451" s="18"/>
      <c r="F451" s="19"/>
      <c r="G451" s="14"/>
      <c r="H451" s="22"/>
      <c r="I451" s="22"/>
      <c r="J451" s="20"/>
      <c r="K451" s="21"/>
    </row>
    <row r="452" spans="1:11" x14ac:dyDescent="0.35">
      <c r="A452" s="22"/>
      <c r="B452" s="9"/>
      <c r="C452" s="9"/>
      <c r="D452" s="9"/>
      <c r="E452" s="18"/>
      <c r="F452" s="19"/>
      <c r="G452" s="14"/>
      <c r="H452" s="22"/>
      <c r="I452" s="22"/>
      <c r="J452" s="20"/>
      <c r="K452" s="21"/>
    </row>
    <row r="453" spans="1:11" x14ac:dyDescent="0.35">
      <c r="A453" s="22"/>
      <c r="B453" s="9"/>
      <c r="C453" s="9"/>
      <c r="D453" s="9"/>
      <c r="E453" s="18"/>
      <c r="F453" s="19"/>
      <c r="G453" s="14"/>
      <c r="H453" s="22"/>
      <c r="I453" s="22"/>
      <c r="J453" s="20"/>
      <c r="K453" s="21"/>
    </row>
    <row r="454" spans="1:11" x14ac:dyDescent="0.35">
      <c r="A454" s="22"/>
      <c r="B454" s="9"/>
      <c r="C454" s="9"/>
      <c r="D454" s="9"/>
      <c r="E454" s="18"/>
      <c r="F454" s="19"/>
      <c r="G454" s="14"/>
      <c r="H454" s="22"/>
      <c r="I454" s="22"/>
      <c r="J454" s="20"/>
      <c r="K454" s="21"/>
    </row>
    <row r="455" spans="1:11" x14ac:dyDescent="0.35">
      <c r="A455" s="22"/>
      <c r="B455" s="9"/>
      <c r="C455" s="9"/>
      <c r="D455" s="9"/>
      <c r="E455" s="18"/>
      <c r="F455" s="19"/>
      <c r="G455" s="14"/>
      <c r="H455" s="22"/>
      <c r="I455" s="22"/>
      <c r="J455" s="20"/>
      <c r="K455" s="21"/>
    </row>
    <row r="456" spans="1:11" x14ac:dyDescent="0.35">
      <c r="A456" s="22"/>
      <c r="B456" s="9"/>
      <c r="C456" s="9"/>
      <c r="D456" s="9"/>
      <c r="E456" s="18"/>
      <c r="F456" s="19"/>
      <c r="G456" s="14"/>
      <c r="H456" s="22"/>
      <c r="I456" s="22"/>
      <c r="J456" s="20"/>
      <c r="K456" s="21"/>
    </row>
    <row r="457" spans="1:11" x14ac:dyDescent="0.35">
      <c r="A457" s="22"/>
      <c r="B457" s="9"/>
      <c r="C457" s="9"/>
      <c r="D457" s="9"/>
      <c r="E457" s="18"/>
      <c r="F457" s="19"/>
      <c r="G457" s="14"/>
      <c r="H457" s="22"/>
      <c r="I457" s="22"/>
      <c r="J457" s="20"/>
      <c r="K457" s="21"/>
    </row>
    <row r="458" spans="1:11" x14ac:dyDescent="0.35">
      <c r="A458" s="22"/>
      <c r="B458" s="9"/>
      <c r="C458" s="9"/>
      <c r="D458" s="9"/>
      <c r="E458" s="18"/>
      <c r="F458" s="19"/>
      <c r="G458" s="14"/>
      <c r="H458" s="22"/>
      <c r="I458" s="22"/>
      <c r="J458" s="20"/>
      <c r="K458" s="21"/>
    </row>
    <row r="459" spans="1:11" x14ac:dyDescent="0.35">
      <c r="A459" s="22"/>
      <c r="B459" s="9"/>
      <c r="C459" s="9"/>
      <c r="D459" s="9"/>
      <c r="E459" s="18"/>
      <c r="F459" s="19"/>
      <c r="G459" s="14"/>
      <c r="H459" s="22"/>
      <c r="I459" s="22"/>
      <c r="J459" s="20"/>
      <c r="K459" s="21"/>
    </row>
    <row r="460" spans="1:11" x14ac:dyDescent="0.35">
      <c r="A460" s="22"/>
      <c r="B460" s="9"/>
      <c r="C460" s="9"/>
      <c r="D460" s="9"/>
      <c r="E460" s="18"/>
      <c r="F460" s="19"/>
      <c r="G460" s="14"/>
      <c r="H460" s="22"/>
      <c r="I460" s="22"/>
      <c r="J460" s="20"/>
      <c r="K460" s="21"/>
    </row>
    <row r="461" spans="1:11" x14ac:dyDescent="0.35">
      <c r="A461" s="22"/>
      <c r="B461" s="9"/>
      <c r="C461" s="9"/>
      <c r="D461" s="9"/>
      <c r="E461" s="18"/>
      <c r="F461" s="19"/>
      <c r="G461" s="14"/>
      <c r="H461" s="22"/>
      <c r="I461" s="22"/>
      <c r="J461" s="20"/>
      <c r="K461" s="21"/>
    </row>
    <row r="462" spans="1:11" x14ac:dyDescent="0.35">
      <c r="A462" s="22"/>
      <c r="B462" s="9"/>
      <c r="C462" s="9"/>
      <c r="D462" s="9"/>
      <c r="E462" s="18"/>
      <c r="F462" s="19"/>
      <c r="G462" s="14"/>
      <c r="H462" s="22"/>
      <c r="I462" s="22"/>
      <c r="J462" s="20"/>
      <c r="K462" s="21"/>
    </row>
    <row r="463" spans="1:11" x14ac:dyDescent="0.35">
      <c r="A463" s="22"/>
      <c r="B463" s="9"/>
      <c r="C463" s="9"/>
      <c r="D463" s="9"/>
      <c r="E463" s="18"/>
      <c r="F463" s="19"/>
      <c r="G463" s="14"/>
      <c r="H463" s="22"/>
      <c r="I463" s="22"/>
      <c r="J463" s="20"/>
      <c r="K463" s="21"/>
    </row>
    <row r="464" spans="1:11" x14ac:dyDescent="0.35">
      <c r="A464" s="22"/>
      <c r="B464" s="9"/>
      <c r="C464" s="9"/>
      <c r="D464" s="9"/>
      <c r="E464" s="18"/>
      <c r="F464" s="19"/>
      <c r="G464" s="14"/>
      <c r="H464" s="22"/>
      <c r="I464" s="22"/>
      <c r="J464" s="20"/>
      <c r="K464" s="21"/>
    </row>
    <row r="465" spans="1:11" x14ac:dyDescent="0.35">
      <c r="A465" s="22"/>
      <c r="B465" s="9"/>
      <c r="C465" s="9"/>
      <c r="D465" s="9"/>
      <c r="E465" s="18"/>
      <c r="F465" s="19"/>
      <c r="G465" s="14"/>
      <c r="H465" s="22"/>
      <c r="I465" s="22"/>
      <c r="J465" s="20"/>
      <c r="K465" s="21"/>
    </row>
    <row r="466" spans="1:11" x14ac:dyDescent="0.35">
      <c r="A466" s="22"/>
      <c r="B466" s="9"/>
      <c r="C466" s="9"/>
      <c r="D466" s="9"/>
      <c r="E466" s="18"/>
      <c r="F466" s="19"/>
      <c r="G466" s="14"/>
      <c r="H466" s="22"/>
      <c r="I466" s="22"/>
      <c r="J466" s="20"/>
      <c r="K466" s="21"/>
    </row>
    <row r="467" spans="1:11" x14ac:dyDescent="0.35">
      <c r="A467" s="22"/>
      <c r="B467" s="9"/>
      <c r="C467" s="9"/>
      <c r="D467" s="9"/>
      <c r="E467" s="18"/>
      <c r="F467" s="19"/>
      <c r="G467" s="14"/>
      <c r="H467" s="22"/>
      <c r="I467" s="22"/>
      <c r="J467" s="20"/>
      <c r="K467" s="21"/>
    </row>
    <row r="468" spans="1:11" x14ac:dyDescent="0.35">
      <c r="A468" s="22"/>
      <c r="B468" s="9"/>
      <c r="C468" s="9"/>
      <c r="D468" s="9"/>
      <c r="E468" s="18"/>
      <c r="F468" s="19"/>
      <c r="G468" s="14"/>
      <c r="H468" s="22"/>
      <c r="I468" s="22"/>
      <c r="J468" s="20"/>
      <c r="K468" s="21"/>
    </row>
    <row r="469" spans="1:11" x14ac:dyDescent="0.35">
      <c r="A469" s="22"/>
      <c r="B469" s="9"/>
      <c r="C469" s="9"/>
      <c r="D469" s="9"/>
      <c r="E469" s="18"/>
      <c r="F469" s="19"/>
      <c r="G469" s="14"/>
      <c r="H469" s="22"/>
      <c r="I469" s="22"/>
      <c r="J469" s="20"/>
      <c r="K469" s="21"/>
    </row>
    <row r="470" spans="1:11" x14ac:dyDescent="0.35">
      <c r="A470" s="22"/>
      <c r="B470" s="9"/>
      <c r="C470" s="9"/>
      <c r="D470" s="9"/>
      <c r="E470" s="18"/>
      <c r="F470" s="19"/>
      <c r="G470" s="14"/>
      <c r="H470" s="22"/>
      <c r="I470" s="22"/>
      <c r="J470" s="20"/>
      <c r="K470" s="21"/>
    </row>
    <row r="471" spans="1:11" x14ac:dyDescent="0.35">
      <c r="A471" s="22"/>
      <c r="B471" s="9"/>
      <c r="C471" s="9"/>
      <c r="D471" s="9"/>
      <c r="E471" s="18"/>
      <c r="F471" s="19"/>
      <c r="G471" s="14"/>
      <c r="H471" s="22"/>
      <c r="I471" s="22"/>
      <c r="J471" s="20"/>
      <c r="K471" s="21"/>
    </row>
    <row r="472" spans="1:11" x14ac:dyDescent="0.35">
      <c r="A472" s="22"/>
      <c r="B472" s="9"/>
      <c r="C472" s="9"/>
      <c r="D472" s="9"/>
      <c r="E472" s="18"/>
      <c r="F472" s="19"/>
      <c r="G472" s="14"/>
      <c r="H472" s="22"/>
      <c r="I472" s="22"/>
      <c r="J472" s="20"/>
      <c r="K472" s="21"/>
    </row>
    <row r="473" spans="1:11" x14ac:dyDescent="0.35">
      <c r="A473" s="22"/>
      <c r="B473" s="9"/>
      <c r="C473" s="9"/>
      <c r="D473" s="9"/>
      <c r="E473" s="18"/>
      <c r="F473" s="19"/>
      <c r="G473" s="14"/>
      <c r="H473" s="22"/>
      <c r="I473" s="22"/>
      <c r="J473" s="20"/>
      <c r="K473" s="21"/>
    </row>
    <row r="474" spans="1:11" x14ac:dyDescent="0.35">
      <c r="A474" s="22"/>
      <c r="B474" s="9"/>
      <c r="C474" s="9"/>
      <c r="D474" s="9"/>
      <c r="E474" s="18"/>
      <c r="F474" s="19"/>
      <c r="G474" s="14"/>
      <c r="H474" s="22"/>
      <c r="I474" s="22"/>
      <c r="J474" s="20"/>
      <c r="K474" s="21"/>
    </row>
    <row r="475" spans="1:11" x14ac:dyDescent="0.35">
      <c r="A475" s="22"/>
      <c r="B475" s="9"/>
      <c r="C475" s="9"/>
      <c r="D475" s="9"/>
      <c r="E475" s="18"/>
      <c r="F475" s="19"/>
      <c r="G475" s="14"/>
      <c r="H475" s="22"/>
      <c r="I475" s="22"/>
      <c r="J475" s="20"/>
      <c r="K475" s="21"/>
    </row>
    <row r="476" spans="1:11" x14ac:dyDescent="0.35">
      <c r="A476" s="22"/>
      <c r="B476" s="9"/>
      <c r="C476" s="9"/>
      <c r="D476" s="9"/>
      <c r="E476" s="18"/>
      <c r="F476" s="19"/>
      <c r="G476" s="14"/>
      <c r="H476" s="22"/>
      <c r="I476" s="22"/>
      <c r="J476" s="20"/>
      <c r="K476" s="21"/>
    </row>
    <row r="477" spans="1:11" x14ac:dyDescent="0.35">
      <c r="A477" s="22"/>
      <c r="B477" s="9"/>
      <c r="C477" s="9"/>
      <c r="D477" s="9"/>
      <c r="E477" s="18"/>
      <c r="F477" s="19"/>
      <c r="G477" s="14"/>
      <c r="H477" s="22"/>
      <c r="I477" s="22"/>
      <c r="J477" s="20"/>
      <c r="K477" s="21"/>
    </row>
    <row r="478" spans="1:11" x14ac:dyDescent="0.35">
      <c r="A478" s="22"/>
      <c r="B478" s="9"/>
      <c r="C478" s="9"/>
      <c r="D478" s="9"/>
      <c r="E478" s="18"/>
      <c r="F478" s="19"/>
      <c r="G478" s="14"/>
      <c r="H478" s="22"/>
      <c r="I478" s="22"/>
      <c r="J478" s="20"/>
      <c r="K478" s="21"/>
    </row>
    <row r="479" spans="1:11" x14ac:dyDescent="0.35">
      <c r="A479" s="22"/>
      <c r="B479" s="9"/>
      <c r="C479" s="9"/>
      <c r="D479" s="9"/>
      <c r="E479" s="18"/>
      <c r="F479" s="19"/>
      <c r="G479" s="14"/>
      <c r="H479" s="22"/>
      <c r="I479" s="22"/>
      <c r="J479" s="20"/>
      <c r="K479" s="21"/>
    </row>
    <row r="480" spans="1:11" x14ac:dyDescent="0.35">
      <c r="A480" s="22"/>
      <c r="B480" s="9"/>
      <c r="C480" s="9"/>
      <c r="D480" s="9"/>
      <c r="E480" s="18"/>
      <c r="F480" s="19"/>
      <c r="G480" s="14"/>
      <c r="H480" s="22"/>
      <c r="I480" s="22"/>
      <c r="J480" s="20"/>
      <c r="K480" s="21"/>
    </row>
    <row r="481" spans="1:11" x14ac:dyDescent="0.35">
      <c r="A481" s="22"/>
      <c r="B481" s="9"/>
      <c r="C481" s="9"/>
      <c r="D481" s="9"/>
      <c r="E481" s="18"/>
      <c r="F481" s="19"/>
      <c r="G481" s="14"/>
      <c r="H481" s="22"/>
      <c r="I481" s="22"/>
      <c r="J481" s="20"/>
      <c r="K481" s="21"/>
    </row>
    <row r="482" spans="1:11" x14ac:dyDescent="0.35">
      <c r="A482" s="22"/>
      <c r="B482" s="9"/>
      <c r="C482" s="9"/>
      <c r="D482" s="9"/>
      <c r="E482" s="18"/>
      <c r="F482" s="19"/>
      <c r="G482" s="14"/>
      <c r="H482" s="22"/>
      <c r="I482" s="22"/>
      <c r="J482" s="20"/>
      <c r="K482" s="21"/>
    </row>
    <row r="483" spans="1:11" x14ac:dyDescent="0.35">
      <c r="A483" s="22"/>
      <c r="B483" s="9"/>
      <c r="C483" s="9"/>
      <c r="D483" s="9"/>
      <c r="E483" s="18"/>
      <c r="F483" s="19"/>
      <c r="G483" s="14"/>
      <c r="H483" s="22"/>
      <c r="I483" s="22"/>
      <c r="J483" s="20"/>
      <c r="K483" s="21"/>
    </row>
    <row r="484" spans="1:11" x14ac:dyDescent="0.35">
      <c r="A484" s="22"/>
      <c r="B484" s="9"/>
      <c r="C484" s="9"/>
      <c r="D484" s="9"/>
      <c r="E484" s="18"/>
      <c r="F484" s="19"/>
      <c r="G484" s="14"/>
      <c r="H484" s="22"/>
      <c r="I484" s="22"/>
      <c r="J484" s="20"/>
      <c r="K484" s="21"/>
    </row>
    <row r="485" spans="1:11" x14ac:dyDescent="0.35">
      <c r="A485" s="22"/>
      <c r="B485" s="9"/>
      <c r="C485" s="9"/>
      <c r="D485" s="9"/>
      <c r="E485" s="18"/>
      <c r="F485" s="19"/>
      <c r="G485" s="14"/>
      <c r="H485" s="22"/>
      <c r="I485" s="22"/>
      <c r="J485" s="20"/>
      <c r="K485" s="21"/>
    </row>
    <row r="486" spans="1:11" x14ac:dyDescent="0.35">
      <c r="A486" s="22"/>
      <c r="B486" s="9"/>
      <c r="C486" s="9"/>
      <c r="D486" s="9"/>
      <c r="E486" s="18"/>
      <c r="F486" s="19"/>
      <c r="G486" s="14"/>
      <c r="H486" s="22"/>
      <c r="I486" s="22"/>
      <c r="J486" s="20"/>
      <c r="K486" s="21"/>
    </row>
    <row r="487" spans="1:11" x14ac:dyDescent="0.35">
      <c r="A487" s="22"/>
      <c r="B487" s="9"/>
      <c r="C487" s="9"/>
      <c r="D487" s="9"/>
      <c r="E487" s="18"/>
      <c r="F487" s="19"/>
      <c r="G487" s="14"/>
      <c r="H487" s="22"/>
      <c r="I487" s="22"/>
      <c r="J487" s="20"/>
      <c r="K487" s="21"/>
    </row>
    <row r="488" spans="1:11" x14ac:dyDescent="0.35">
      <c r="A488" s="22"/>
      <c r="B488" s="9"/>
      <c r="C488" s="9"/>
      <c r="D488" s="9"/>
      <c r="E488" s="18"/>
      <c r="F488" s="19"/>
      <c r="G488" s="14"/>
      <c r="H488" s="22"/>
      <c r="I488" s="22"/>
      <c r="J488" s="20"/>
      <c r="K488" s="21"/>
    </row>
    <row r="489" spans="1:11" x14ac:dyDescent="0.35">
      <c r="A489" s="22"/>
      <c r="B489" s="9"/>
      <c r="C489" s="9"/>
      <c r="D489" s="9"/>
      <c r="E489" s="18"/>
      <c r="F489" s="19"/>
      <c r="G489" s="14"/>
      <c r="H489" s="22"/>
      <c r="I489" s="22"/>
      <c r="J489" s="20"/>
      <c r="K489" s="21"/>
    </row>
    <row r="490" spans="1:11" x14ac:dyDescent="0.35">
      <c r="A490" s="22"/>
      <c r="B490" s="9"/>
      <c r="C490" s="9"/>
      <c r="D490" s="9"/>
      <c r="E490" s="18"/>
      <c r="F490" s="19"/>
      <c r="G490" s="14"/>
      <c r="H490" s="22"/>
      <c r="I490" s="22"/>
      <c r="J490" s="20"/>
      <c r="K490" s="21"/>
    </row>
    <row r="491" spans="1:11" x14ac:dyDescent="0.35">
      <c r="A491" s="22"/>
      <c r="B491" s="9"/>
      <c r="C491" s="9"/>
      <c r="D491" s="9"/>
      <c r="E491" s="18"/>
      <c r="F491" s="19"/>
      <c r="G491" s="14"/>
      <c r="H491" s="22"/>
      <c r="I491" s="22"/>
      <c r="J491" s="20"/>
      <c r="K491" s="21"/>
    </row>
    <row r="492" spans="1:11" x14ac:dyDescent="0.35">
      <c r="A492" s="22"/>
      <c r="B492" s="9"/>
      <c r="C492" s="9"/>
      <c r="D492" s="9"/>
      <c r="E492" s="18"/>
      <c r="F492" s="19"/>
      <c r="G492" s="14"/>
      <c r="H492" s="22"/>
      <c r="I492" s="22"/>
      <c r="J492" s="20"/>
      <c r="K492" s="21"/>
    </row>
    <row r="493" spans="1:11" x14ac:dyDescent="0.35">
      <c r="A493" s="22"/>
      <c r="B493" s="9"/>
      <c r="C493" s="9"/>
      <c r="D493" s="9"/>
      <c r="E493" s="18"/>
      <c r="F493" s="19"/>
      <c r="G493" s="14"/>
      <c r="H493" s="22"/>
      <c r="I493" s="22"/>
      <c r="J493" s="20"/>
      <c r="K493" s="21"/>
    </row>
    <row r="494" spans="1:11" x14ac:dyDescent="0.35">
      <c r="A494" s="22"/>
      <c r="B494" s="9"/>
      <c r="C494" s="9"/>
      <c r="D494" s="9"/>
      <c r="E494" s="18"/>
      <c r="F494" s="19"/>
      <c r="G494" s="14"/>
      <c r="H494" s="22"/>
      <c r="I494" s="22"/>
      <c r="J494" s="20"/>
      <c r="K494" s="21"/>
    </row>
    <row r="495" spans="1:11" x14ac:dyDescent="0.35">
      <c r="A495" s="22"/>
      <c r="B495" s="9"/>
      <c r="C495" s="9"/>
      <c r="D495" s="9"/>
      <c r="E495" s="18"/>
      <c r="F495" s="19"/>
      <c r="G495" s="14"/>
      <c r="H495" s="22"/>
      <c r="I495" s="22"/>
      <c r="J495" s="20"/>
      <c r="K495" s="21"/>
    </row>
    <row r="496" spans="1:11" x14ac:dyDescent="0.35">
      <c r="A496" s="22"/>
      <c r="B496" s="9"/>
      <c r="C496" s="9"/>
      <c r="D496" s="9"/>
      <c r="E496" s="18"/>
      <c r="F496" s="19"/>
      <c r="G496" s="14"/>
      <c r="H496" s="22"/>
      <c r="I496" s="22"/>
      <c r="J496" s="20"/>
      <c r="K496" s="21"/>
    </row>
    <row r="497" spans="1:11" x14ac:dyDescent="0.35">
      <c r="A497" s="22"/>
      <c r="B497" s="9"/>
      <c r="C497" s="9"/>
      <c r="D497" s="9"/>
      <c r="E497" s="18"/>
      <c r="F497" s="19"/>
      <c r="G497" s="14"/>
      <c r="H497" s="22"/>
      <c r="I497" s="22"/>
      <c r="J497" s="20"/>
      <c r="K497" s="21"/>
    </row>
    <row r="498" spans="1:11" x14ac:dyDescent="0.35">
      <c r="A498" s="22"/>
      <c r="B498" s="9"/>
      <c r="C498" s="9"/>
      <c r="D498" s="9"/>
      <c r="E498" s="18"/>
      <c r="F498" s="19"/>
      <c r="G498" s="14"/>
      <c r="H498" s="22"/>
      <c r="I498" s="22"/>
      <c r="J498" s="20"/>
      <c r="K498" s="21"/>
    </row>
    <row r="499" spans="1:11" x14ac:dyDescent="0.35">
      <c r="A499" s="22"/>
      <c r="B499" s="9"/>
      <c r="C499" s="9"/>
      <c r="D499" s="9"/>
      <c r="E499" s="18"/>
      <c r="F499" s="19"/>
      <c r="G499" s="14"/>
      <c r="H499" s="22"/>
      <c r="I499" s="22"/>
      <c r="J499" s="20"/>
      <c r="K499" s="21"/>
    </row>
    <row r="500" spans="1:11" x14ac:dyDescent="0.35">
      <c r="A500" s="22"/>
      <c r="B500" s="9"/>
      <c r="C500" s="9"/>
      <c r="D500" s="9"/>
      <c r="E500" s="18"/>
      <c r="F500" s="19"/>
      <c r="G500" s="14"/>
      <c r="H500" s="22"/>
      <c r="I500" s="22"/>
      <c r="J500" s="20"/>
      <c r="K500" s="21"/>
    </row>
    <row r="501" spans="1:11" x14ac:dyDescent="0.35">
      <c r="A501" s="22"/>
      <c r="B501" s="9"/>
      <c r="C501" s="9"/>
      <c r="D501" s="9"/>
      <c r="E501" s="18"/>
      <c r="F501" s="19"/>
      <c r="G501" s="14"/>
      <c r="H501" s="22"/>
      <c r="I501" s="22"/>
      <c r="J501" s="20"/>
      <c r="K501" s="21"/>
    </row>
    <row r="502" spans="1:11" x14ac:dyDescent="0.35">
      <c r="A502" s="22"/>
      <c r="B502" s="9"/>
      <c r="C502" s="9"/>
      <c r="D502" s="9"/>
      <c r="E502" s="18"/>
      <c r="F502" s="19"/>
      <c r="G502" s="14"/>
      <c r="H502" s="22"/>
      <c r="I502" s="22"/>
      <c r="J502" s="20"/>
      <c r="K502" s="21"/>
    </row>
    <row r="503" spans="1:11" x14ac:dyDescent="0.35">
      <c r="A503" s="22"/>
      <c r="B503" s="9"/>
      <c r="C503" s="9"/>
      <c r="D503" s="9"/>
      <c r="E503" s="18"/>
      <c r="F503" s="19"/>
      <c r="G503" s="14"/>
      <c r="H503" s="22"/>
      <c r="I503" s="22"/>
      <c r="J503" s="20"/>
      <c r="K503" s="21"/>
    </row>
    <row r="504" spans="1:11" x14ac:dyDescent="0.35">
      <c r="A504" s="22"/>
      <c r="B504" s="9"/>
      <c r="C504" s="9"/>
      <c r="D504" s="9"/>
      <c r="E504" s="18"/>
      <c r="F504" s="19"/>
      <c r="G504" s="14"/>
      <c r="H504" s="22"/>
      <c r="I504" s="22"/>
      <c r="J504" s="20"/>
      <c r="K504" s="21"/>
    </row>
    <row r="505" spans="1:11" x14ac:dyDescent="0.35">
      <c r="A505" s="22"/>
      <c r="B505" s="9"/>
      <c r="C505" s="9"/>
      <c r="D505" s="9"/>
      <c r="E505" s="18"/>
      <c r="F505" s="19"/>
      <c r="G505" s="14"/>
      <c r="H505" s="22"/>
      <c r="I505" s="22"/>
      <c r="J505" s="20"/>
      <c r="K505" s="21"/>
    </row>
    <row r="506" spans="1:11" x14ac:dyDescent="0.35">
      <c r="A506" s="22"/>
      <c r="B506" s="9"/>
      <c r="C506" s="9"/>
      <c r="D506" s="9"/>
      <c r="E506" s="18"/>
      <c r="F506" s="19"/>
      <c r="G506" s="14"/>
      <c r="H506" s="22"/>
      <c r="I506" s="22"/>
      <c r="J506" s="20"/>
      <c r="K506" s="21"/>
    </row>
    <row r="507" spans="1:11" x14ac:dyDescent="0.35">
      <c r="A507" s="22"/>
      <c r="B507" s="9"/>
      <c r="C507" s="9"/>
      <c r="D507" s="9"/>
      <c r="E507" s="18"/>
      <c r="F507" s="19"/>
      <c r="G507" s="14"/>
      <c r="H507" s="22"/>
      <c r="I507" s="22"/>
      <c r="J507" s="20"/>
      <c r="K507" s="21"/>
    </row>
    <row r="508" spans="1:11" x14ac:dyDescent="0.35">
      <c r="A508" s="22"/>
      <c r="B508" s="9"/>
      <c r="C508" s="9"/>
      <c r="D508" s="9"/>
      <c r="E508" s="18"/>
      <c r="F508" s="19"/>
      <c r="G508" s="14"/>
      <c r="H508" s="22"/>
      <c r="I508" s="22"/>
      <c r="J508" s="20"/>
      <c r="K508" s="21"/>
    </row>
    <row r="509" spans="1:11" x14ac:dyDescent="0.35">
      <c r="A509" s="22"/>
      <c r="B509" s="9"/>
      <c r="C509" s="9"/>
      <c r="D509" s="9"/>
      <c r="E509" s="18"/>
      <c r="F509" s="19"/>
      <c r="G509" s="14"/>
      <c r="H509" s="22"/>
      <c r="I509" s="22"/>
      <c r="J509" s="20"/>
      <c r="K509" s="21"/>
    </row>
    <row r="510" spans="1:11" x14ac:dyDescent="0.35">
      <c r="A510" s="22"/>
      <c r="B510" s="9"/>
      <c r="C510" s="9"/>
      <c r="D510" s="9"/>
      <c r="E510" s="18"/>
      <c r="F510" s="19"/>
      <c r="G510" s="14"/>
      <c r="H510" s="22"/>
      <c r="I510" s="22"/>
      <c r="J510" s="20"/>
      <c r="K510" s="21"/>
    </row>
    <row r="511" spans="1:11" x14ac:dyDescent="0.35">
      <c r="A511" s="22"/>
      <c r="B511" s="9"/>
      <c r="C511" s="9"/>
      <c r="D511" s="9"/>
      <c r="E511" s="18"/>
      <c r="F511" s="19"/>
      <c r="G511" s="14"/>
      <c r="H511" s="22"/>
      <c r="I511" s="22"/>
      <c r="J511" s="20"/>
      <c r="K511" s="21"/>
    </row>
    <row r="512" spans="1:11" x14ac:dyDescent="0.35">
      <c r="A512" s="22"/>
      <c r="B512" s="9"/>
      <c r="C512" s="9"/>
      <c r="D512" s="9"/>
      <c r="E512" s="18"/>
      <c r="F512" s="19"/>
      <c r="G512" s="14"/>
      <c r="H512" s="22"/>
      <c r="I512" s="22"/>
      <c r="J512" s="20"/>
      <c r="K512" s="21"/>
    </row>
    <row r="513" spans="1:11" x14ac:dyDescent="0.35">
      <c r="A513" s="22"/>
      <c r="B513" s="9"/>
      <c r="C513" s="9"/>
      <c r="D513" s="9"/>
      <c r="E513" s="18"/>
      <c r="F513" s="19"/>
      <c r="G513" s="14"/>
      <c r="H513" s="22"/>
      <c r="I513" s="22"/>
      <c r="J513" s="20"/>
      <c r="K513" s="21"/>
    </row>
    <row r="514" spans="1:11" x14ac:dyDescent="0.35">
      <c r="A514" s="22"/>
      <c r="B514" s="9"/>
      <c r="C514" s="9"/>
      <c r="D514" s="9"/>
      <c r="E514" s="18"/>
      <c r="F514" s="19"/>
      <c r="G514" s="14"/>
      <c r="H514" s="22"/>
      <c r="I514" s="22"/>
      <c r="J514" s="20"/>
      <c r="K514" s="21"/>
    </row>
    <row r="515" spans="1:11" x14ac:dyDescent="0.35">
      <c r="A515" s="22"/>
      <c r="B515" s="9"/>
      <c r="C515" s="9"/>
      <c r="D515" s="9"/>
      <c r="E515" s="18"/>
      <c r="F515" s="19"/>
      <c r="G515" s="14"/>
      <c r="H515" s="22"/>
      <c r="I515" s="22"/>
      <c r="J515" s="20"/>
      <c r="K515" s="21"/>
    </row>
    <row r="516" spans="1:11" x14ac:dyDescent="0.35">
      <c r="A516" s="22"/>
      <c r="B516" s="9"/>
      <c r="C516" s="9"/>
      <c r="D516" s="9"/>
      <c r="E516" s="18"/>
      <c r="F516" s="19"/>
      <c r="G516" s="14"/>
      <c r="H516" s="22"/>
      <c r="I516" s="22"/>
      <c r="J516" s="20"/>
      <c r="K516" s="21"/>
    </row>
    <row r="517" spans="1:11" x14ac:dyDescent="0.35">
      <c r="A517" s="22"/>
      <c r="B517" s="9"/>
      <c r="C517" s="9"/>
      <c r="D517" s="9"/>
      <c r="E517" s="18"/>
      <c r="F517" s="19"/>
      <c r="G517" s="14"/>
      <c r="H517" s="22"/>
      <c r="I517" s="22"/>
      <c r="J517" s="20"/>
      <c r="K517" s="21"/>
    </row>
    <row r="518" spans="1:11" x14ac:dyDescent="0.35">
      <c r="A518" s="22"/>
      <c r="B518" s="9"/>
      <c r="C518" s="9"/>
      <c r="D518" s="9"/>
      <c r="E518" s="18"/>
      <c r="F518" s="19"/>
      <c r="G518" s="14"/>
      <c r="H518" s="22"/>
      <c r="I518" s="22"/>
      <c r="J518" s="20"/>
      <c r="K518" s="21"/>
    </row>
    <row r="519" spans="1:11" x14ac:dyDescent="0.35">
      <c r="A519" s="22"/>
      <c r="B519" s="9"/>
      <c r="C519" s="9"/>
      <c r="D519" s="9"/>
      <c r="E519" s="18"/>
      <c r="F519" s="19"/>
      <c r="G519" s="14"/>
      <c r="H519" s="22"/>
      <c r="I519" s="22"/>
      <c r="J519" s="20"/>
      <c r="K519" s="21"/>
    </row>
    <row r="520" spans="1:11" x14ac:dyDescent="0.35">
      <c r="A520" s="22"/>
      <c r="B520" s="9"/>
      <c r="C520" s="9"/>
      <c r="D520" s="9"/>
      <c r="E520" s="18"/>
      <c r="F520" s="19"/>
      <c r="G520" s="14"/>
      <c r="H520" s="22"/>
      <c r="I520" s="22"/>
      <c r="J520" s="20"/>
      <c r="K520" s="21"/>
    </row>
    <row r="521" spans="1:11" x14ac:dyDescent="0.35">
      <c r="A521" s="22"/>
      <c r="B521" s="9"/>
      <c r="C521" s="9"/>
      <c r="D521" s="9"/>
      <c r="E521" s="18"/>
      <c r="F521" s="19"/>
      <c r="G521" s="14"/>
      <c r="H521" s="22"/>
      <c r="I521" s="22"/>
      <c r="J521" s="20"/>
      <c r="K521" s="21"/>
    </row>
    <row r="522" spans="1:11" x14ac:dyDescent="0.35">
      <c r="A522" s="22"/>
      <c r="B522" s="9"/>
      <c r="C522" s="9"/>
      <c r="D522" s="9"/>
      <c r="E522" s="18"/>
      <c r="F522" s="19"/>
      <c r="G522" s="14"/>
      <c r="H522" s="22"/>
      <c r="I522" s="22"/>
      <c r="J522" s="20"/>
      <c r="K522" s="21"/>
    </row>
    <row r="523" spans="1:11" x14ac:dyDescent="0.35">
      <c r="A523" s="22"/>
      <c r="B523" s="9"/>
      <c r="C523" s="9"/>
      <c r="D523" s="9"/>
      <c r="E523" s="18"/>
      <c r="F523" s="19"/>
      <c r="G523" s="14"/>
      <c r="H523" s="22"/>
      <c r="I523" s="22"/>
      <c r="J523" s="20"/>
      <c r="K523" s="21"/>
    </row>
    <row r="524" spans="1:11" x14ac:dyDescent="0.35">
      <c r="A524" s="22"/>
      <c r="B524" s="9"/>
      <c r="C524" s="9"/>
      <c r="D524" s="9"/>
      <c r="E524" s="18"/>
      <c r="F524" s="19"/>
      <c r="G524" s="14"/>
      <c r="H524" s="22"/>
      <c r="I524" s="22"/>
      <c r="J524" s="20"/>
      <c r="K524" s="21"/>
    </row>
    <row r="525" spans="1:11" x14ac:dyDescent="0.35">
      <c r="A525" s="22"/>
      <c r="B525" s="9"/>
      <c r="C525" s="9"/>
      <c r="D525" s="9"/>
      <c r="E525" s="18"/>
      <c r="F525" s="19"/>
      <c r="G525" s="14"/>
      <c r="H525" s="22"/>
      <c r="I525" s="22"/>
      <c r="J525" s="20"/>
      <c r="K525" s="21"/>
    </row>
    <row r="526" spans="1:11" x14ac:dyDescent="0.35">
      <c r="A526" s="22"/>
      <c r="B526" s="9"/>
      <c r="C526" s="9"/>
      <c r="D526" s="9"/>
      <c r="E526" s="18"/>
      <c r="F526" s="19"/>
      <c r="G526" s="14"/>
      <c r="H526" s="22"/>
      <c r="I526" s="22"/>
      <c r="J526" s="20"/>
      <c r="K526" s="21"/>
    </row>
    <row r="527" spans="1:11" x14ac:dyDescent="0.35">
      <c r="A527" s="22"/>
      <c r="B527" s="9"/>
      <c r="C527" s="9"/>
      <c r="D527" s="9"/>
      <c r="E527" s="18"/>
      <c r="F527" s="19"/>
      <c r="G527" s="14"/>
      <c r="H527" s="22"/>
      <c r="I527" s="22"/>
      <c r="J527" s="20"/>
      <c r="K527" s="21"/>
    </row>
    <row r="528" spans="1:11" x14ac:dyDescent="0.35">
      <c r="A528" s="22"/>
      <c r="B528" s="9"/>
      <c r="C528" s="9"/>
      <c r="D528" s="9"/>
      <c r="E528" s="18"/>
      <c r="F528" s="19"/>
      <c r="G528" s="14"/>
      <c r="H528" s="22"/>
      <c r="I528" s="22"/>
      <c r="J528" s="20"/>
      <c r="K528" s="21"/>
    </row>
    <row r="529" spans="1:11" x14ac:dyDescent="0.35">
      <c r="A529" s="22"/>
      <c r="B529" s="9"/>
      <c r="C529" s="9"/>
      <c r="D529" s="9"/>
      <c r="E529" s="18"/>
      <c r="F529" s="19"/>
      <c r="G529" s="14"/>
      <c r="H529" s="22"/>
      <c r="I529" s="22"/>
      <c r="J529" s="20"/>
      <c r="K529" s="21"/>
    </row>
    <row r="530" spans="1:11" x14ac:dyDescent="0.35">
      <c r="A530" s="22"/>
      <c r="B530" s="9"/>
      <c r="C530" s="9"/>
      <c r="D530" s="9"/>
      <c r="E530" s="18"/>
      <c r="F530" s="19"/>
      <c r="G530" s="14"/>
      <c r="H530" s="22"/>
      <c r="I530" s="22"/>
      <c r="J530" s="20"/>
      <c r="K530" s="21"/>
    </row>
    <row r="531" spans="1:11" x14ac:dyDescent="0.35">
      <c r="A531" s="22"/>
      <c r="B531" s="9"/>
      <c r="C531" s="9"/>
      <c r="D531" s="9"/>
      <c r="E531" s="18"/>
      <c r="F531" s="19"/>
      <c r="G531" s="14"/>
      <c r="H531" s="22"/>
      <c r="I531" s="22"/>
      <c r="J531" s="20"/>
      <c r="K531" s="21"/>
    </row>
    <row r="532" spans="1:11" x14ac:dyDescent="0.35">
      <c r="A532" s="22"/>
      <c r="B532" s="9"/>
      <c r="C532" s="9"/>
      <c r="D532" s="9"/>
      <c r="E532" s="18"/>
      <c r="F532" s="19"/>
      <c r="G532" s="14"/>
      <c r="H532" s="22"/>
      <c r="I532" s="22"/>
      <c r="J532" s="20"/>
      <c r="K532" s="21"/>
    </row>
    <row r="533" spans="1:11" x14ac:dyDescent="0.35">
      <c r="A533" s="22"/>
      <c r="B533" s="9"/>
      <c r="C533" s="9"/>
      <c r="D533" s="9"/>
      <c r="E533" s="18"/>
      <c r="F533" s="19"/>
      <c r="G533" s="14"/>
      <c r="H533" s="22"/>
      <c r="I533" s="22"/>
      <c r="J533" s="20"/>
      <c r="K533" s="21"/>
    </row>
    <row r="534" spans="1:11" x14ac:dyDescent="0.35">
      <c r="A534" s="22"/>
      <c r="B534" s="9"/>
      <c r="C534" s="9"/>
      <c r="D534" s="9"/>
      <c r="E534" s="18"/>
      <c r="F534" s="19"/>
      <c r="G534" s="14"/>
      <c r="H534" s="22"/>
      <c r="I534" s="22"/>
      <c r="J534" s="20"/>
      <c r="K534" s="21"/>
    </row>
    <row r="535" spans="1:11" x14ac:dyDescent="0.35">
      <c r="A535" s="22"/>
      <c r="B535" s="9"/>
      <c r="C535" s="9"/>
      <c r="D535" s="9"/>
      <c r="E535" s="18"/>
      <c r="F535" s="19"/>
      <c r="G535" s="14"/>
      <c r="H535" s="22"/>
      <c r="I535" s="22"/>
      <c r="J535" s="20"/>
      <c r="K535" s="21"/>
    </row>
    <row r="536" spans="1:11" x14ac:dyDescent="0.35">
      <c r="A536" s="22"/>
      <c r="B536" s="9"/>
      <c r="C536" s="9"/>
      <c r="D536" s="9"/>
      <c r="E536" s="18"/>
      <c r="F536" s="19"/>
      <c r="G536" s="14"/>
      <c r="H536" s="22"/>
      <c r="I536" s="22"/>
      <c r="J536" s="20"/>
      <c r="K536" s="21"/>
    </row>
    <row r="537" spans="1:11" x14ac:dyDescent="0.35">
      <c r="A537" s="22"/>
      <c r="B537" s="9"/>
      <c r="C537" s="9"/>
      <c r="D537" s="9"/>
      <c r="E537" s="18"/>
      <c r="F537" s="19"/>
      <c r="G537" s="14"/>
      <c r="H537" s="22"/>
      <c r="I537" s="22"/>
      <c r="J537" s="20"/>
      <c r="K537" s="21"/>
    </row>
    <row r="538" spans="1:11" x14ac:dyDescent="0.35">
      <c r="A538" s="22"/>
      <c r="B538" s="9"/>
      <c r="C538" s="9"/>
      <c r="D538" s="9"/>
      <c r="E538" s="18"/>
      <c r="F538" s="19"/>
      <c r="G538" s="14"/>
      <c r="H538" s="22"/>
      <c r="I538" s="22"/>
      <c r="J538" s="20"/>
      <c r="K538" s="21"/>
    </row>
    <row r="539" spans="1:11" x14ac:dyDescent="0.35">
      <c r="A539" s="22"/>
      <c r="B539" s="9"/>
      <c r="C539" s="9"/>
      <c r="D539" s="9"/>
      <c r="E539" s="18"/>
      <c r="F539" s="19"/>
      <c r="G539" s="14"/>
      <c r="H539" s="22"/>
      <c r="I539" s="22"/>
      <c r="J539" s="20"/>
      <c r="K539" s="21"/>
    </row>
    <row r="540" spans="1:11" x14ac:dyDescent="0.35">
      <c r="A540" s="22"/>
      <c r="B540" s="9"/>
      <c r="C540" s="9"/>
      <c r="D540" s="9"/>
      <c r="E540" s="18"/>
      <c r="F540" s="19"/>
      <c r="G540" s="14"/>
      <c r="H540" s="22"/>
      <c r="I540" s="22"/>
      <c r="J540" s="20"/>
      <c r="K540" s="21"/>
    </row>
    <row r="541" spans="1:11" x14ac:dyDescent="0.35">
      <c r="A541" s="22"/>
      <c r="B541" s="9"/>
      <c r="C541" s="9"/>
      <c r="D541" s="9"/>
      <c r="E541" s="18"/>
      <c r="F541" s="19"/>
      <c r="G541" s="14"/>
      <c r="H541" s="22"/>
      <c r="I541" s="22"/>
      <c r="J541" s="20"/>
      <c r="K541" s="21"/>
    </row>
    <row r="542" spans="1:11" x14ac:dyDescent="0.35">
      <c r="A542" s="22"/>
      <c r="B542" s="9"/>
      <c r="C542" s="9"/>
      <c r="D542" s="9"/>
      <c r="E542" s="18"/>
      <c r="F542" s="19"/>
      <c r="G542" s="14"/>
      <c r="H542" s="22"/>
      <c r="I542" s="22"/>
      <c r="J542" s="20"/>
      <c r="K542" s="21"/>
    </row>
    <row r="543" spans="1:11" x14ac:dyDescent="0.35">
      <c r="A543" s="22"/>
      <c r="B543" s="9"/>
      <c r="C543" s="9"/>
      <c r="D543" s="9"/>
      <c r="E543" s="18"/>
      <c r="F543" s="19"/>
      <c r="G543" s="14"/>
      <c r="H543" s="22"/>
      <c r="I543" s="22"/>
      <c r="J543" s="20"/>
      <c r="K543" s="21"/>
    </row>
    <row r="544" spans="1:11" x14ac:dyDescent="0.35">
      <c r="A544" s="22"/>
      <c r="B544" s="9"/>
      <c r="C544" s="9"/>
      <c r="D544" s="9"/>
      <c r="E544" s="18"/>
      <c r="F544" s="19"/>
      <c r="G544" s="14"/>
      <c r="H544" s="22"/>
      <c r="I544" s="22"/>
      <c r="J544" s="20"/>
      <c r="K544" s="21"/>
    </row>
    <row r="545" spans="1:11" x14ac:dyDescent="0.35">
      <c r="A545" s="22"/>
      <c r="B545" s="9"/>
      <c r="C545" s="9"/>
      <c r="D545" s="9"/>
      <c r="E545" s="18"/>
      <c r="F545" s="19"/>
      <c r="G545" s="14"/>
      <c r="H545" s="22"/>
      <c r="I545" s="22"/>
      <c r="J545" s="20"/>
      <c r="K545" s="21"/>
    </row>
    <row r="546" spans="1:11" x14ac:dyDescent="0.35">
      <c r="A546" s="22"/>
      <c r="B546" s="9"/>
      <c r="C546" s="9"/>
      <c r="D546" s="9"/>
      <c r="E546" s="18"/>
      <c r="F546" s="19"/>
      <c r="G546" s="14"/>
      <c r="H546" s="22"/>
      <c r="I546" s="22"/>
      <c r="J546" s="20"/>
      <c r="K546" s="21"/>
    </row>
    <row r="547" spans="1:11" x14ac:dyDescent="0.35">
      <c r="A547" s="22"/>
      <c r="B547" s="9"/>
      <c r="C547" s="9"/>
      <c r="D547" s="9"/>
      <c r="E547" s="18"/>
      <c r="F547" s="19"/>
      <c r="G547" s="14"/>
      <c r="H547" s="22"/>
      <c r="I547" s="22"/>
      <c r="J547" s="20"/>
      <c r="K547" s="21"/>
    </row>
    <row r="548" spans="1:11" x14ac:dyDescent="0.35">
      <c r="A548" s="22"/>
      <c r="B548" s="9"/>
      <c r="C548" s="9"/>
      <c r="D548" s="9"/>
      <c r="E548" s="18"/>
      <c r="F548" s="19"/>
      <c r="G548" s="14"/>
      <c r="H548" s="22"/>
      <c r="I548" s="22"/>
      <c r="J548" s="20"/>
      <c r="K548" s="21"/>
    </row>
    <row r="549" spans="1:11" x14ac:dyDescent="0.35">
      <c r="A549" s="22"/>
      <c r="B549" s="9"/>
      <c r="C549" s="9"/>
      <c r="D549" s="9"/>
      <c r="E549" s="18"/>
      <c r="F549" s="19"/>
      <c r="G549" s="14"/>
      <c r="H549" s="22"/>
      <c r="I549" s="22"/>
      <c r="J549" s="20"/>
      <c r="K549" s="21"/>
    </row>
    <row r="550" spans="1:11" x14ac:dyDescent="0.35">
      <c r="A550" s="22"/>
      <c r="B550" s="9"/>
      <c r="C550" s="9"/>
      <c r="D550" s="9"/>
      <c r="E550" s="18"/>
      <c r="F550" s="19"/>
      <c r="G550" s="14"/>
      <c r="H550" s="22"/>
      <c r="I550" s="22"/>
      <c r="J550" s="20"/>
      <c r="K550" s="21"/>
    </row>
    <row r="551" spans="1:11" x14ac:dyDescent="0.35">
      <c r="A551" s="22"/>
      <c r="B551" s="9"/>
      <c r="C551" s="9"/>
      <c r="D551" s="9"/>
      <c r="E551" s="18"/>
      <c r="F551" s="19"/>
      <c r="G551" s="14"/>
      <c r="H551" s="22"/>
      <c r="I551" s="22"/>
      <c r="J551" s="20"/>
      <c r="K551" s="21"/>
    </row>
    <row r="552" spans="1:11" x14ac:dyDescent="0.35">
      <c r="A552" s="22"/>
      <c r="B552" s="9"/>
      <c r="C552" s="9"/>
      <c r="D552" s="9"/>
      <c r="E552" s="18"/>
      <c r="F552" s="19"/>
      <c r="G552" s="14"/>
      <c r="H552" s="22"/>
      <c r="I552" s="22"/>
      <c r="J552" s="20"/>
      <c r="K552" s="21"/>
    </row>
    <row r="553" spans="1:11" x14ac:dyDescent="0.35">
      <c r="A553" s="22"/>
      <c r="B553" s="9"/>
      <c r="C553" s="9"/>
      <c r="D553" s="9"/>
      <c r="E553" s="18"/>
      <c r="F553" s="19"/>
      <c r="G553" s="14"/>
      <c r="H553" s="22"/>
      <c r="I553" s="22"/>
      <c r="J553" s="20"/>
      <c r="K553" s="21"/>
    </row>
    <row r="554" spans="1:11" x14ac:dyDescent="0.35">
      <c r="A554" s="22"/>
      <c r="B554" s="9"/>
      <c r="C554" s="9"/>
      <c r="D554" s="9"/>
      <c r="E554" s="18"/>
      <c r="F554" s="19"/>
      <c r="G554" s="14"/>
      <c r="H554" s="22"/>
      <c r="I554" s="22"/>
      <c r="J554" s="20"/>
      <c r="K554" s="21"/>
    </row>
    <row r="555" spans="1:11" x14ac:dyDescent="0.35">
      <c r="A555" s="22"/>
      <c r="B555" s="9"/>
      <c r="C555" s="9"/>
      <c r="D555" s="9"/>
      <c r="E555" s="18"/>
      <c r="F555" s="19"/>
      <c r="G555" s="14"/>
      <c r="H555" s="22"/>
      <c r="I555" s="22"/>
      <c r="J555" s="20"/>
      <c r="K555" s="21"/>
    </row>
    <row r="556" spans="1:11" x14ac:dyDescent="0.35">
      <c r="A556" s="22"/>
      <c r="B556" s="9"/>
      <c r="C556" s="9"/>
      <c r="D556" s="9"/>
      <c r="E556" s="18"/>
      <c r="F556" s="19"/>
      <c r="G556" s="14"/>
      <c r="H556" s="22"/>
      <c r="I556" s="22"/>
      <c r="J556" s="20"/>
      <c r="K556" s="21"/>
    </row>
    <row r="557" spans="1:11" x14ac:dyDescent="0.35">
      <c r="A557" s="22"/>
      <c r="B557" s="9"/>
      <c r="C557" s="9"/>
      <c r="D557" s="9"/>
      <c r="E557" s="18"/>
      <c r="F557" s="19"/>
      <c r="G557" s="14"/>
      <c r="H557" s="22"/>
      <c r="I557" s="22"/>
      <c r="J557" s="20"/>
      <c r="K557" s="21"/>
    </row>
    <row r="558" spans="1:11" x14ac:dyDescent="0.35">
      <c r="A558" s="22"/>
      <c r="B558" s="9"/>
      <c r="C558" s="9"/>
      <c r="D558" s="9"/>
      <c r="E558" s="18"/>
      <c r="F558" s="19"/>
      <c r="G558" s="14"/>
      <c r="H558" s="22"/>
      <c r="I558" s="22"/>
      <c r="J558" s="20"/>
      <c r="K558" s="21"/>
    </row>
    <row r="559" spans="1:11" x14ac:dyDescent="0.35">
      <c r="A559" s="22"/>
      <c r="B559" s="9"/>
      <c r="C559" s="9"/>
      <c r="D559" s="9"/>
      <c r="E559" s="18"/>
      <c r="F559" s="19"/>
      <c r="G559" s="14"/>
      <c r="H559" s="22"/>
      <c r="I559" s="22"/>
      <c r="J559" s="20"/>
      <c r="K559" s="21"/>
    </row>
    <row r="560" spans="1:11" x14ac:dyDescent="0.35">
      <c r="A560" s="22"/>
      <c r="B560" s="9"/>
      <c r="C560" s="9"/>
      <c r="D560" s="9"/>
      <c r="E560" s="18"/>
      <c r="F560" s="19"/>
      <c r="G560" s="14"/>
      <c r="H560" s="22"/>
      <c r="I560" s="22"/>
      <c r="J560" s="20"/>
      <c r="K560" s="21"/>
    </row>
    <row r="561" spans="1:11" x14ac:dyDescent="0.35">
      <c r="A561" s="22"/>
      <c r="B561" s="9"/>
      <c r="C561" s="9"/>
      <c r="D561" s="9"/>
      <c r="E561" s="18"/>
      <c r="F561" s="19"/>
      <c r="G561" s="14"/>
      <c r="H561" s="22"/>
      <c r="I561" s="22"/>
      <c r="J561" s="20"/>
      <c r="K561" s="21"/>
    </row>
    <row r="562" spans="1:11" x14ac:dyDescent="0.35">
      <c r="A562" s="22"/>
      <c r="B562" s="9"/>
      <c r="C562" s="9"/>
      <c r="D562" s="9"/>
      <c r="E562" s="18"/>
      <c r="F562" s="19"/>
      <c r="G562" s="14"/>
      <c r="H562" s="22"/>
      <c r="I562" s="22"/>
      <c r="J562" s="20"/>
      <c r="K562" s="21"/>
    </row>
    <row r="563" spans="1:11" x14ac:dyDescent="0.35">
      <c r="A563" s="22"/>
      <c r="B563" s="9"/>
      <c r="C563" s="9"/>
      <c r="D563" s="9"/>
      <c r="E563" s="18"/>
      <c r="F563" s="19"/>
      <c r="G563" s="14"/>
      <c r="H563" s="22"/>
      <c r="I563" s="22"/>
      <c r="J563" s="20"/>
      <c r="K563" s="21"/>
    </row>
    <row r="564" spans="1:11" x14ac:dyDescent="0.35">
      <c r="A564" s="22"/>
      <c r="B564" s="9"/>
      <c r="C564" s="9"/>
      <c r="D564" s="9"/>
      <c r="E564" s="18"/>
      <c r="F564" s="19"/>
      <c r="G564" s="14"/>
      <c r="H564" s="22"/>
      <c r="I564" s="22"/>
      <c r="J564" s="20"/>
      <c r="K564" s="21"/>
    </row>
    <row r="565" spans="1:11" x14ac:dyDescent="0.35">
      <c r="A565" s="22"/>
      <c r="B565" s="9"/>
      <c r="C565" s="9"/>
      <c r="D565" s="9"/>
      <c r="E565" s="18"/>
      <c r="F565" s="19"/>
      <c r="G565" s="14"/>
      <c r="H565" s="22"/>
      <c r="I565" s="22"/>
      <c r="J565" s="20"/>
      <c r="K565" s="21"/>
    </row>
    <row r="566" spans="1:11" x14ac:dyDescent="0.35">
      <c r="A566" s="22"/>
      <c r="B566" s="9"/>
      <c r="C566" s="9"/>
      <c r="D566" s="9"/>
      <c r="E566" s="18"/>
      <c r="F566" s="19"/>
      <c r="G566" s="14"/>
      <c r="H566" s="22"/>
      <c r="I566" s="22"/>
      <c r="J566" s="20"/>
      <c r="K566" s="21"/>
    </row>
    <row r="567" spans="1:11" x14ac:dyDescent="0.35">
      <c r="A567" s="22"/>
      <c r="B567" s="9"/>
      <c r="C567" s="9"/>
      <c r="D567" s="9"/>
      <c r="E567" s="18"/>
      <c r="F567" s="19"/>
      <c r="G567" s="14"/>
      <c r="H567" s="22"/>
      <c r="I567" s="22"/>
      <c r="J567" s="20"/>
      <c r="K567" s="21"/>
    </row>
    <row r="568" spans="1:11" x14ac:dyDescent="0.35">
      <c r="A568" s="22"/>
      <c r="B568" s="9"/>
      <c r="C568" s="9"/>
      <c r="D568" s="9"/>
      <c r="E568" s="18"/>
      <c r="F568" s="19"/>
      <c r="G568" s="14"/>
      <c r="H568" s="22"/>
      <c r="I568" s="22"/>
      <c r="J568" s="20"/>
      <c r="K568" s="21"/>
    </row>
    <row r="569" spans="1:11" x14ac:dyDescent="0.35">
      <c r="A569" s="22"/>
      <c r="B569" s="9"/>
      <c r="C569" s="9"/>
      <c r="D569" s="9"/>
      <c r="E569" s="18"/>
      <c r="F569" s="19"/>
      <c r="G569" s="14"/>
      <c r="H569" s="22"/>
      <c r="I569" s="22"/>
      <c r="J569" s="20"/>
      <c r="K569" s="21"/>
    </row>
    <row r="570" spans="1:11" x14ac:dyDescent="0.35">
      <c r="A570" s="22"/>
      <c r="B570" s="9"/>
      <c r="C570" s="9"/>
      <c r="D570" s="9"/>
      <c r="E570" s="18"/>
      <c r="F570" s="19"/>
      <c r="G570" s="14"/>
      <c r="H570" s="22"/>
      <c r="I570" s="22"/>
      <c r="J570" s="20"/>
      <c r="K570" s="21"/>
    </row>
    <row r="571" spans="1:11" x14ac:dyDescent="0.35">
      <c r="A571" s="22"/>
      <c r="B571" s="9"/>
      <c r="C571" s="9"/>
      <c r="D571" s="9"/>
      <c r="E571" s="18"/>
      <c r="F571" s="19"/>
      <c r="G571" s="14"/>
      <c r="H571" s="22"/>
      <c r="I571" s="22"/>
      <c r="J571" s="20"/>
      <c r="K571" s="21"/>
    </row>
    <row r="572" spans="1:11" x14ac:dyDescent="0.35">
      <c r="A572" s="22"/>
      <c r="B572" s="9"/>
      <c r="C572" s="9"/>
      <c r="D572" s="9"/>
      <c r="E572" s="18"/>
      <c r="F572" s="19"/>
      <c r="G572" s="14"/>
      <c r="H572" s="22"/>
      <c r="I572" s="22"/>
      <c r="J572" s="20"/>
      <c r="K572" s="21"/>
    </row>
    <row r="573" spans="1:11" x14ac:dyDescent="0.35">
      <c r="A573" s="22"/>
      <c r="B573" s="9"/>
      <c r="C573" s="9"/>
      <c r="D573" s="9"/>
      <c r="E573" s="18"/>
      <c r="F573" s="19"/>
      <c r="G573" s="14"/>
      <c r="H573" s="22"/>
      <c r="I573" s="22"/>
      <c r="J573" s="20"/>
      <c r="K573" s="21"/>
    </row>
    <row r="574" spans="1:11" x14ac:dyDescent="0.35">
      <c r="A574" s="22"/>
      <c r="B574" s="9"/>
      <c r="C574" s="9"/>
      <c r="D574" s="9"/>
      <c r="E574" s="18"/>
      <c r="F574" s="19"/>
      <c r="G574" s="14"/>
      <c r="H574" s="22"/>
      <c r="I574" s="22"/>
      <c r="J574" s="20"/>
      <c r="K574" s="21"/>
    </row>
    <row r="575" spans="1:11" x14ac:dyDescent="0.35">
      <c r="A575" s="22"/>
      <c r="B575" s="9"/>
      <c r="C575" s="9"/>
      <c r="D575" s="9"/>
      <c r="E575" s="18"/>
      <c r="F575" s="19"/>
      <c r="G575" s="14"/>
      <c r="H575" s="22"/>
      <c r="I575" s="22"/>
      <c r="J575" s="20"/>
      <c r="K575" s="21"/>
    </row>
    <row r="576" spans="1:11" x14ac:dyDescent="0.35">
      <c r="A576" s="22"/>
      <c r="B576" s="9"/>
      <c r="C576" s="9"/>
      <c r="D576" s="9"/>
      <c r="E576" s="18"/>
      <c r="F576" s="19"/>
      <c r="G576" s="14"/>
      <c r="H576" s="22"/>
      <c r="I576" s="22"/>
      <c r="J576" s="20"/>
      <c r="K576" s="21"/>
    </row>
    <row r="577" spans="1:11" x14ac:dyDescent="0.35">
      <c r="A577" s="22"/>
      <c r="B577" s="9"/>
      <c r="C577" s="9"/>
      <c r="D577" s="9"/>
      <c r="E577" s="18"/>
      <c r="F577" s="19"/>
      <c r="G577" s="14"/>
      <c r="H577" s="22"/>
      <c r="I577" s="22"/>
      <c r="J577" s="20"/>
      <c r="K577" s="21"/>
    </row>
    <row r="578" spans="1:11" x14ac:dyDescent="0.35">
      <c r="A578" s="22"/>
      <c r="B578" s="9"/>
      <c r="C578" s="9"/>
      <c r="D578" s="9"/>
      <c r="E578" s="18"/>
      <c r="F578" s="19"/>
      <c r="G578" s="14"/>
      <c r="H578" s="22"/>
      <c r="I578" s="22"/>
      <c r="J578" s="20"/>
      <c r="K578" s="21"/>
    </row>
    <row r="579" spans="1:11" x14ac:dyDescent="0.35">
      <c r="A579" s="22"/>
      <c r="B579" s="9"/>
      <c r="C579" s="9"/>
      <c r="D579" s="9"/>
      <c r="E579" s="18"/>
      <c r="F579" s="19"/>
      <c r="G579" s="14"/>
      <c r="H579" s="22"/>
      <c r="I579" s="22"/>
      <c r="J579" s="20"/>
      <c r="K579" s="21"/>
    </row>
    <row r="580" spans="1:11" x14ac:dyDescent="0.35">
      <c r="A580" s="22"/>
      <c r="B580" s="9"/>
      <c r="C580" s="9"/>
      <c r="D580" s="9"/>
      <c r="E580" s="18"/>
      <c r="F580" s="19"/>
      <c r="G580" s="14"/>
      <c r="H580" s="22"/>
      <c r="I580" s="22"/>
      <c r="J580" s="20"/>
      <c r="K580" s="21"/>
    </row>
    <row r="581" spans="1:11" x14ac:dyDescent="0.35">
      <c r="A581" s="22"/>
      <c r="B581" s="9"/>
      <c r="C581" s="9"/>
      <c r="D581" s="9"/>
      <c r="E581" s="18"/>
      <c r="F581" s="19"/>
      <c r="G581" s="14"/>
      <c r="H581" s="22"/>
      <c r="I581" s="22"/>
      <c r="J581" s="20"/>
      <c r="K581" s="21"/>
    </row>
    <row r="582" spans="1:11" x14ac:dyDescent="0.35">
      <c r="A582" s="22"/>
      <c r="B582" s="9"/>
      <c r="C582" s="9"/>
      <c r="D582" s="9"/>
      <c r="E582" s="18"/>
      <c r="F582" s="19"/>
      <c r="G582" s="14"/>
      <c r="H582" s="22"/>
      <c r="I582" s="22"/>
      <c r="J582" s="20"/>
      <c r="K582" s="21"/>
    </row>
    <row r="583" spans="1:11" x14ac:dyDescent="0.35">
      <c r="A583" s="22"/>
      <c r="B583" s="9"/>
      <c r="C583" s="9"/>
      <c r="D583" s="9"/>
      <c r="E583" s="18"/>
      <c r="F583" s="19"/>
      <c r="G583" s="14"/>
      <c r="H583" s="22"/>
      <c r="I583" s="22"/>
      <c r="J583" s="20"/>
      <c r="K583" s="21"/>
    </row>
    <row r="584" spans="1:11" x14ac:dyDescent="0.35">
      <c r="A584" s="22"/>
      <c r="B584" s="9"/>
      <c r="C584" s="9"/>
      <c r="D584" s="9"/>
      <c r="E584" s="18"/>
      <c r="F584" s="19"/>
      <c r="G584" s="14"/>
      <c r="H584" s="22"/>
      <c r="I584" s="22"/>
      <c r="J584" s="20"/>
      <c r="K584" s="21"/>
    </row>
    <row r="585" spans="1:11" x14ac:dyDescent="0.35">
      <c r="A585" s="22"/>
      <c r="B585" s="9"/>
      <c r="C585" s="9"/>
      <c r="D585" s="9"/>
      <c r="E585" s="18"/>
      <c r="F585" s="19"/>
      <c r="G585" s="14"/>
      <c r="H585" s="22"/>
      <c r="I585" s="22"/>
      <c r="J585" s="20"/>
      <c r="K585" s="21"/>
    </row>
    <row r="586" spans="1:11" x14ac:dyDescent="0.35">
      <c r="A586" s="22"/>
      <c r="B586" s="9"/>
      <c r="C586" s="9"/>
      <c r="D586" s="9"/>
      <c r="E586" s="18"/>
      <c r="F586" s="19"/>
      <c r="G586" s="14"/>
      <c r="H586" s="22"/>
      <c r="I586" s="22"/>
      <c r="J586" s="20"/>
      <c r="K586" s="21"/>
    </row>
    <row r="587" spans="1:11" x14ac:dyDescent="0.35">
      <c r="A587" s="22"/>
      <c r="B587" s="9"/>
      <c r="C587" s="9"/>
      <c r="D587" s="9"/>
      <c r="E587" s="18"/>
      <c r="F587" s="19"/>
      <c r="G587" s="14"/>
      <c r="H587" s="22"/>
      <c r="I587" s="22"/>
      <c r="J587" s="20"/>
      <c r="K587" s="21"/>
    </row>
    <row r="588" spans="1:11" x14ac:dyDescent="0.35">
      <c r="A588" s="22"/>
      <c r="B588" s="9"/>
      <c r="C588" s="9"/>
      <c r="D588" s="9"/>
      <c r="E588" s="18"/>
      <c r="F588" s="19"/>
      <c r="G588" s="14"/>
      <c r="H588" s="22"/>
      <c r="I588" s="22"/>
      <c r="J588" s="20"/>
      <c r="K588" s="21"/>
    </row>
    <row r="589" spans="1:11" x14ac:dyDescent="0.35">
      <c r="A589" s="22"/>
      <c r="B589" s="9"/>
      <c r="C589" s="9"/>
      <c r="D589" s="9"/>
      <c r="E589" s="18"/>
      <c r="F589" s="19"/>
      <c r="G589" s="14"/>
      <c r="H589" s="22"/>
      <c r="I589" s="22"/>
      <c r="J589" s="20"/>
      <c r="K589" s="21"/>
    </row>
    <row r="590" spans="1:11" x14ac:dyDescent="0.35">
      <c r="A590" s="22"/>
      <c r="B590" s="9"/>
      <c r="C590" s="9"/>
      <c r="D590" s="9"/>
      <c r="E590" s="18"/>
      <c r="F590" s="19"/>
      <c r="G590" s="14"/>
      <c r="H590" s="22"/>
      <c r="I590" s="22"/>
      <c r="J590" s="20"/>
      <c r="K590" s="21"/>
    </row>
    <row r="591" spans="1:11" x14ac:dyDescent="0.35">
      <c r="A591" s="22"/>
      <c r="B591" s="9"/>
      <c r="C591" s="9"/>
      <c r="D591" s="9"/>
      <c r="E591" s="18"/>
      <c r="F591" s="19"/>
      <c r="G591" s="14"/>
      <c r="H591" s="22"/>
      <c r="I591" s="22"/>
      <c r="J591" s="20"/>
      <c r="K591" s="21"/>
    </row>
    <row r="592" spans="1:11" x14ac:dyDescent="0.35">
      <c r="A592" s="22"/>
      <c r="B592" s="9"/>
      <c r="C592" s="9"/>
      <c r="D592" s="9"/>
      <c r="E592" s="18"/>
      <c r="F592" s="19"/>
      <c r="G592" s="14"/>
      <c r="H592" s="22"/>
      <c r="I592" s="22"/>
      <c r="J592" s="20"/>
      <c r="K592" s="21"/>
    </row>
    <row r="593" spans="1:11" x14ac:dyDescent="0.35">
      <c r="A593" s="22"/>
      <c r="B593" s="9"/>
      <c r="C593" s="9"/>
      <c r="D593" s="9"/>
      <c r="E593" s="18"/>
      <c r="F593" s="19"/>
      <c r="G593" s="14"/>
      <c r="H593" s="22"/>
      <c r="I593" s="22"/>
      <c r="J593" s="20"/>
      <c r="K593" s="21"/>
    </row>
    <row r="594" spans="1:11" x14ac:dyDescent="0.35">
      <c r="A594" s="22"/>
      <c r="B594" s="9"/>
      <c r="C594" s="9"/>
      <c r="D594" s="9"/>
      <c r="E594" s="18"/>
      <c r="F594" s="19"/>
      <c r="G594" s="14"/>
      <c r="H594" s="22"/>
      <c r="I594" s="22"/>
      <c r="J594" s="20"/>
      <c r="K594" s="21"/>
    </row>
    <row r="595" spans="1:11" x14ac:dyDescent="0.35">
      <c r="A595" s="22"/>
      <c r="B595" s="9"/>
      <c r="C595" s="9"/>
      <c r="D595" s="9"/>
      <c r="E595" s="18"/>
      <c r="F595" s="19"/>
      <c r="G595" s="14"/>
      <c r="H595" s="22"/>
      <c r="I595" s="22"/>
      <c r="J595" s="20"/>
      <c r="K595" s="21"/>
    </row>
    <row r="596" spans="1:11" x14ac:dyDescent="0.35">
      <c r="A596" s="22"/>
      <c r="B596" s="9"/>
      <c r="C596" s="9"/>
      <c r="D596" s="9"/>
      <c r="E596" s="18"/>
      <c r="F596" s="19"/>
      <c r="G596" s="14"/>
      <c r="H596" s="22"/>
      <c r="I596" s="22"/>
      <c r="J596" s="20"/>
      <c r="K596" s="21"/>
    </row>
    <row r="597" spans="1:11" x14ac:dyDescent="0.35">
      <c r="A597" s="22"/>
      <c r="B597" s="9"/>
      <c r="C597" s="9"/>
      <c r="D597" s="9"/>
      <c r="E597" s="18"/>
      <c r="F597" s="19"/>
      <c r="G597" s="14"/>
      <c r="H597" s="22"/>
      <c r="I597" s="22"/>
      <c r="J597" s="20"/>
      <c r="K597" s="21"/>
    </row>
    <row r="598" spans="1:11" x14ac:dyDescent="0.35">
      <c r="A598" s="22"/>
      <c r="B598" s="9"/>
      <c r="C598" s="9"/>
      <c r="D598" s="9"/>
      <c r="E598" s="18"/>
      <c r="F598" s="19"/>
      <c r="G598" s="14"/>
      <c r="H598" s="22"/>
      <c r="I598" s="22"/>
      <c r="J598" s="20"/>
      <c r="K598" s="21"/>
    </row>
    <row r="599" spans="1:11" x14ac:dyDescent="0.35">
      <c r="A599" s="22"/>
      <c r="B599" s="9"/>
      <c r="C599" s="9"/>
      <c r="D599" s="9"/>
      <c r="E599" s="18"/>
      <c r="F599" s="19"/>
      <c r="G599" s="14"/>
      <c r="H599" s="22"/>
      <c r="I599" s="22"/>
      <c r="J599" s="20"/>
      <c r="K599" s="21"/>
    </row>
    <row r="600" spans="1:11" x14ac:dyDescent="0.35">
      <c r="A600" s="22"/>
      <c r="B600" s="9"/>
      <c r="C600" s="9"/>
      <c r="D600" s="9"/>
      <c r="E600" s="18"/>
      <c r="F600" s="19"/>
      <c r="G600" s="14"/>
      <c r="H600" s="22"/>
      <c r="I600" s="22"/>
      <c r="J600" s="20"/>
      <c r="K600" s="21"/>
    </row>
    <row r="601" spans="1:11" x14ac:dyDescent="0.35">
      <c r="A601" s="22"/>
      <c r="B601" s="9"/>
      <c r="C601" s="9"/>
      <c r="D601" s="9"/>
      <c r="E601" s="18"/>
      <c r="F601" s="19"/>
      <c r="G601" s="14"/>
      <c r="H601" s="22"/>
      <c r="I601" s="22"/>
      <c r="J601" s="20"/>
      <c r="K601" s="21"/>
    </row>
    <row r="602" spans="1:11" x14ac:dyDescent="0.35">
      <c r="A602" s="22"/>
      <c r="B602" s="9"/>
      <c r="C602" s="9"/>
      <c r="D602" s="9"/>
      <c r="E602" s="18"/>
      <c r="F602" s="19"/>
      <c r="G602" s="14"/>
      <c r="H602" s="22"/>
      <c r="I602" s="22"/>
      <c r="J602" s="20"/>
      <c r="K602" s="21"/>
    </row>
    <row r="603" spans="1:11" x14ac:dyDescent="0.35">
      <c r="A603" s="22"/>
      <c r="B603" s="9"/>
      <c r="C603" s="9"/>
      <c r="D603" s="9"/>
      <c r="E603" s="18"/>
      <c r="F603" s="19"/>
      <c r="G603" s="14"/>
      <c r="H603" s="22"/>
      <c r="I603" s="22"/>
      <c r="J603" s="20"/>
      <c r="K603" s="21"/>
    </row>
    <row r="604" spans="1:11" x14ac:dyDescent="0.35">
      <c r="A604" s="22"/>
      <c r="B604" s="9"/>
      <c r="C604" s="9"/>
      <c r="D604" s="9"/>
      <c r="E604" s="18"/>
      <c r="F604" s="19"/>
      <c r="G604" s="14"/>
      <c r="H604" s="22"/>
      <c r="I604" s="22"/>
      <c r="J604" s="20"/>
      <c r="K604" s="21"/>
    </row>
    <row r="605" spans="1:11" x14ac:dyDescent="0.35">
      <c r="A605" s="22"/>
      <c r="B605" s="9"/>
      <c r="C605" s="9"/>
      <c r="D605" s="9"/>
      <c r="E605" s="18"/>
      <c r="F605" s="19"/>
      <c r="G605" s="14"/>
      <c r="H605" s="22"/>
      <c r="I605" s="22"/>
      <c r="J605" s="20"/>
      <c r="K605" s="21"/>
    </row>
    <row r="606" spans="1:11" x14ac:dyDescent="0.35">
      <c r="A606" s="22"/>
      <c r="B606" s="9"/>
      <c r="C606" s="9"/>
      <c r="D606" s="9"/>
      <c r="E606" s="18"/>
      <c r="F606" s="19"/>
      <c r="G606" s="14"/>
      <c r="H606" s="22"/>
      <c r="I606" s="22"/>
      <c r="J606" s="20"/>
      <c r="K606" s="21"/>
    </row>
    <row r="607" spans="1:11" x14ac:dyDescent="0.35">
      <c r="A607" s="22"/>
      <c r="B607" s="9"/>
      <c r="C607" s="9"/>
      <c r="D607" s="9"/>
      <c r="E607" s="18"/>
      <c r="F607" s="19"/>
      <c r="G607" s="14"/>
      <c r="H607" s="22"/>
      <c r="I607" s="22"/>
      <c r="J607" s="20"/>
      <c r="K607" s="21"/>
    </row>
    <row r="608" spans="1:11" x14ac:dyDescent="0.35">
      <c r="A608" s="22"/>
      <c r="B608" s="9"/>
      <c r="C608" s="9"/>
      <c r="D608" s="9"/>
      <c r="E608" s="18"/>
      <c r="F608" s="19"/>
      <c r="G608" s="14"/>
      <c r="H608" s="22"/>
      <c r="I608" s="22"/>
      <c r="J608" s="20"/>
      <c r="K608" s="21"/>
    </row>
    <row r="609" spans="1:11" x14ac:dyDescent="0.35">
      <c r="A609" s="22"/>
      <c r="B609" s="9"/>
      <c r="C609" s="9"/>
      <c r="D609" s="9"/>
      <c r="E609" s="18"/>
      <c r="F609" s="19"/>
      <c r="G609" s="14"/>
      <c r="H609" s="22"/>
      <c r="I609" s="22"/>
      <c r="J609" s="20"/>
      <c r="K609" s="21"/>
    </row>
    <row r="610" spans="1:11" x14ac:dyDescent="0.35">
      <c r="A610" s="22"/>
      <c r="B610" s="9"/>
      <c r="C610" s="9"/>
      <c r="D610" s="9"/>
      <c r="E610" s="18"/>
      <c r="F610" s="19"/>
      <c r="G610" s="14"/>
      <c r="H610" s="22"/>
      <c r="I610" s="22"/>
      <c r="J610" s="20"/>
      <c r="K610" s="21"/>
    </row>
    <row r="611" spans="1:11" x14ac:dyDescent="0.35">
      <c r="A611" s="22"/>
      <c r="B611" s="9"/>
      <c r="C611" s="9"/>
      <c r="D611" s="9"/>
      <c r="E611" s="18"/>
      <c r="F611" s="19"/>
      <c r="G611" s="14"/>
      <c r="H611" s="22"/>
      <c r="I611" s="22"/>
      <c r="J611" s="20"/>
      <c r="K611" s="21"/>
    </row>
    <row r="612" spans="1:11" x14ac:dyDescent="0.35">
      <c r="A612" s="22"/>
      <c r="B612" s="9"/>
      <c r="C612" s="9"/>
      <c r="D612" s="9"/>
      <c r="E612" s="18"/>
      <c r="F612" s="19"/>
      <c r="G612" s="14"/>
      <c r="H612" s="22"/>
      <c r="I612" s="22"/>
      <c r="J612" s="20"/>
      <c r="K612" s="21"/>
    </row>
    <row r="613" spans="1:11" x14ac:dyDescent="0.35">
      <c r="A613" s="22"/>
      <c r="B613" s="9"/>
      <c r="C613" s="9"/>
      <c r="D613" s="9"/>
      <c r="E613" s="18"/>
      <c r="F613" s="19"/>
      <c r="G613" s="14"/>
      <c r="H613" s="22"/>
      <c r="I613" s="22"/>
      <c r="J613" s="20"/>
      <c r="K613" s="21"/>
    </row>
    <row r="614" spans="1:11" x14ac:dyDescent="0.35">
      <c r="A614" s="22"/>
      <c r="B614" s="9"/>
      <c r="C614" s="9"/>
      <c r="D614" s="9"/>
      <c r="E614" s="18"/>
      <c r="F614" s="19"/>
      <c r="G614" s="14"/>
      <c r="H614" s="22"/>
      <c r="I614" s="22"/>
      <c r="J614" s="20"/>
      <c r="K614" s="21"/>
    </row>
    <row r="615" spans="1:11" x14ac:dyDescent="0.35">
      <c r="A615" s="22"/>
      <c r="B615" s="9"/>
      <c r="C615" s="9"/>
      <c r="D615" s="9"/>
      <c r="E615" s="18"/>
      <c r="F615" s="19"/>
      <c r="G615" s="14"/>
      <c r="H615" s="22"/>
      <c r="I615" s="22"/>
      <c r="J615" s="20"/>
      <c r="K615" s="21"/>
    </row>
    <row r="616" spans="1:11" x14ac:dyDescent="0.35">
      <c r="A616" s="22"/>
      <c r="B616" s="9"/>
      <c r="C616" s="9"/>
      <c r="D616" s="9"/>
      <c r="E616" s="18"/>
      <c r="F616" s="19"/>
      <c r="G616" s="14"/>
      <c r="H616" s="22"/>
      <c r="I616" s="22"/>
      <c r="J616" s="20"/>
      <c r="K616" s="21"/>
    </row>
    <row r="617" spans="1:11" x14ac:dyDescent="0.35">
      <c r="A617" s="22"/>
      <c r="B617" s="9"/>
      <c r="C617" s="9"/>
      <c r="D617" s="9"/>
      <c r="E617" s="18"/>
      <c r="F617" s="19"/>
      <c r="G617" s="14"/>
      <c r="H617" s="22"/>
      <c r="I617" s="22"/>
      <c r="J617" s="20"/>
      <c r="K617" s="21"/>
    </row>
    <row r="618" spans="1:11" x14ac:dyDescent="0.35">
      <c r="A618" s="22"/>
      <c r="B618" s="9"/>
      <c r="C618" s="9"/>
      <c r="D618" s="9"/>
      <c r="E618" s="18"/>
      <c r="F618" s="19"/>
      <c r="G618" s="14"/>
      <c r="H618" s="22"/>
      <c r="I618" s="22"/>
      <c r="J618" s="20"/>
      <c r="K618" s="21"/>
    </row>
    <row r="619" spans="1:11" x14ac:dyDescent="0.35">
      <c r="A619" s="22"/>
      <c r="B619" s="9"/>
      <c r="C619" s="9"/>
      <c r="D619" s="9"/>
      <c r="E619" s="18"/>
      <c r="F619" s="19"/>
      <c r="G619" s="14"/>
      <c r="H619" s="22"/>
      <c r="I619" s="22"/>
      <c r="J619" s="20"/>
      <c r="K619" s="21"/>
    </row>
    <row r="620" spans="1:11" x14ac:dyDescent="0.35">
      <c r="A620" s="22"/>
      <c r="B620" s="9"/>
      <c r="C620" s="9"/>
      <c r="D620" s="9"/>
      <c r="E620" s="18"/>
      <c r="F620" s="19"/>
      <c r="G620" s="14"/>
      <c r="H620" s="22"/>
      <c r="I620" s="22"/>
      <c r="J620" s="20"/>
      <c r="K620" s="21"/>
    </row>
    <row r="621" spans="1:11" x14ac:dyDescent="0.35">
      <c r="A621" s="22"/>
      <c r="B621" s="9"/>
      <c r="C621" s="9"/>
      <c r="D621" s="9"/>
      <c r="E621" s="18"/>
      <c r="F621" s="19"/>
      <c r="G621" s="14"/>
      <c r="H621" s="22"/>
      <c r="I621" s="22"/>
      <c r="J621" s="20"/>
      <c r="K621" s="21"/>
    </row>
    <row r="622" spans="1:11" x14ac:dyDescent="0.35">
      <c r="A622" s="22"/>
      <c r="B622" s="9"/>
      <c r="C622" s="9"/>
      <c r="D622" s="9"/>
      <c r="E622" s="18"/>
      <c r="F622" s="19"/>
      <c r="G622" s="14"/>
      <c r="H622" s="22"/>
      <c r="I622" s="22"/>
      <c r="J622" s="20"/>
      <c r="K622" s="21"/>
    </row>
    <row r="623" spans="1:11" x14ac:dyDescent="0.35">
      <c r="A623" s="22"/>
      <c r="B623" s="9"/>
      <c r="C623" s="9"/>
      <c r="D623" s="9"/>
      <c r="E623" s="18"/>
      <c r="F623" s="19"/>
      <c r="G623" s="14"/>
      <c r="H623" s="22"/>
      <c r="I623" s="22"/>
      <c r="J623" s="20"/>
      <c r="K623" s="21"/>
    </row>
    <row r="624" spans="1:11" x14ac:dyDescent="0.35">
      <c r="A624" s="22"/>
      <c r="B624" s="9"/>
      <c r="C624" s="9"/>
      <c r="D624" s="9"/>
      <c r="E624" s="18"/>
      <c r="F624" s="19"/>
      <c r="G624" s="14"/>
      <c r="H624" s="22"/>
      <c r="I624" s="22"/>
      <c r="J624" s="20"/>
      <c r="K624" s="21"/>
    </row>
    <row r="625" spans="1:11" x14ac:dyDescent="0.35">
      <c r="A625" s="22"/>
      <c r="B625" s="9"/>
      <c r="C625" s="9"/>
      <c r="D625" s="9"/>
      <c r="E625" s="18"/>
      <c r="F625" s="19"/>
      <c r="G625" s="14"/>
      <c r="H625" s="22"/>
      <c r="I625" s="22"/>
      <c r="J625" s="20"/>
      <c r="K625" s="21"/>
    </row>
    <row r="626" spans="1:11" x14ac:dyDescent="0.35">
      <c r="A626" s="22"/>
      <c r="B626" s="9"/>
      <c r="C626" s="9"/>
      <c r="D626" s="9"/>
      <c r="E626" s="18"/>
      <c r="F626" s="19"/>
      <c r="G626" s="14"/>
      <c r="H626" s="22"/>
      <c r="I626" s="22"/>
      <c r="J626" s="20"/>
      <c r="K626" s="21"/>
    </row>
    <row r="627" spans="1:11" x14ac:dyDescent="0.35">
      <c r="A627" s="22"/>
      <c r="B627" s="9"/>
      <c r="C627" s="9"/>
      <c r="D627" s="9"/>
      <c r="E627" s="18"/>
      <c r="F627" s="19"/>
      <c r="G627" s="14"/>
      <c r="H627" s="22"/>
      <c r="I627" s="22"/>
      <c r="J627" s="20"/>
      <c r="K627" s="21"/>
    </row>
    <row r="628" spans="1:11" x14ac:dyDescent="0.35">
      <c r="A628" s="22"/>
      <c r="B628" s="9"/>
      <c r="C628" s="9"/>
      <c r="D628" s="9"/>
      <c r="E628" s="18"/>
      <c r="F628" s="19"/>
      <c r="G628" s="14"/>
      <c r="H628" s="22"/>
      <c r="I628" s="22"/>
      <c r="J628" s="20"/>
      <c r="K628" s="21"/>
    </row>
    <row r="629" spans="1:11" x14ac:dyDescent="0.35">
      <c r="A629" s="22"/>
      <c r="B629" s="9"/>
      <c r="C629" s="9"/>
      <c r="D629" s="9"/>
      <c r="E629" s="18"/>
      <c r="F629" s="19"/>
      <c r="G629" s="14"/>
      <c r="H629" s="22"/>
      <c r="I629" s="22"/>
      <c r="J629" s="20"/>
      <c r="K629" s="21"/>
    </row>
    <row r="630" spans="1:11" x14ac:dyDescent="0.35">
      <c r="A630" s="22"/>
      <c r="B630" s="9"/>
      <c r="C630" s="9"/>
      <c r="D630" s="9"/>
      <c r="E630" s="18"/>
      <c r="F630" s="19"/>
      <c r="G630" s="14"/>
      <c r="H630" s="22"/>
      <c r="I630" s="22"/>
      <c r="J630" s="20"/>
      <c r="K630" s="21"/>
    </row>
    <row r="631" spans="1:11" x14ac:dyDescent="0.35">
      <c r="A631" s="22"/>
      <c r="B631" s="9"/>
      <c r="C631" s="9"/>
      <c r="D631" s="9"/>
      <c r="E631" s="18"/>
      <c r="F631" s="19"/>
      <c r="G631" s="14"/>
      <c r="H631" s="22"/>
      <c r="I631" s="22"/>
      <c r="J631" s="20"/>
      <c r="K631" s="21"/>
    </row>
    <row r="632" spans="1:11" x14ac:dyDescent="0.35">
      <c r="A632" s="22"/>
      <c r="B632" s="9"/>
      <c r="C632" s="9"/>
      <c r="D632" s="9"/>
      <c r="E632" s="18"/>
      <c r="F632" s="19"/>
      <c r="G632" s="14"/>
      <c r="H632" s="22"/>
      <c r="I632" s="22"/>
      <c r="J632" s="20"/>
      <c r="K632" s="21"/>
    </row>
    <row r="633" spans="1:11" x14ac:dyDescent="0.35">
      <c r="A633" s="22"/>
      <c r="B633" s="9"/>
      <c r="C633" s="9"/>
      <c r="D633" s="9"/>
      <c r="E633" s="18"/>
      <c r="F633" s="19"/>
      <c r="G633" s="14"/>
      <c r="H633" s="22"/>
      <c r="I633" s="22"/>
      <c r="J633" s="20"/>
      <c r="K633" s="21"/>
    </row>
    <row r="634" spans="1:11" x14ac:dyDescent="0.35">
      <c r="A634" s="22"/>
      <c r="B634" s="9"/>
      <c r="C634" s="9"/>
      <c r="D634" s="9"/>
      <c r="E634" s="18"/>
      <c r="F634" s="19"/>
      <c r="G634" s="14"/>
      <c r="H634" s="22"/>
      <c r="I634" s="22"/>
      <c r="J634" s="20"/>
      <c r="K634" s="21"/>
    </row>
    <row r="635" spans="1:11" x14ac:dyDescent="0.35">
      <c r="A635" s="22"/>
      <c r="B635" s="9"/>
      <c r="C635" s="9"/>
      <c r="D635" s="9"/>
      <c r="E635" s="18"/>
      <c r="F635" s="19"/>
      <c r="G635" s="14"/>
      <c r="H635" s="22"/>
      <c r="I635" s="22"/>
      <c r="J635" s="20"/>
      <c r="K635" s="21"/>
    </row>
    <row r="636" spans="1:11" x14ac:dyDescent="0.35">
      <c r="A636" s="22"/>
      <c r="B636" s="9"/>
      <c r="C636" s="9"/>
      <c r="D636" s="9"/>
      <c r="E636" s="18"/>
      <c r="F636" s="19"/>
      <c r="G636" s="14"/>
      <c r="H636" s="22"/>
      <c r="I636" s="22"/>
      <c r="J636" s="20"/>
      <c r="K636" s="21"/>
    </row>
    <row r="637" spans="1:11" x14ac:dyDescent="0.35">
      <c r="A637" s="22"/>
      <c r="B637" s="9"/>
      <c r="C637" s="9"/>
      <c r="D637" s="9"/>
      <c r="E637" s="18"/>
      <c r="F637" s="19"/>
      <c r="G637" s="14"/>
      <c r="H637" s="22"/>
      <c r="I637" s="22"/>
      <c r="J637" s="20"/>
      <c r="K637" s="21"/>
    </row>
    <row r="638" spans="1:11" x14ac:dyDescent="0.35">
      <c r="A638" s="22"/>
      <c r="B638" s="9"/>
      <c r="C638" s="9"/>
      <c r="D638" s="9"/>
      <c r="E638" s="18"/>
      <c r="F638" s="19"/>
      <c r="G638" s="14"/>
      <c r="H638" s="22"/>
      <c r="I638" s="22"/>
      <c r="J638" s="20"/>
      <c r="K638" s="21"/>
    </row>
    <row r="639" spans="1:11" x14ac:dyDescent="0.35">
      <c r="A639" s="22"/>
      <c r="B639" s="9"/>
      <c r="C639" s="9"/>
      <c r="D639" s="9"/>
      <c r="E639" s="18"/>
      <c r="F639" s="19"/>
      <c r="G639" s="14"/>
      <c r="H639" s="22"/>
      <c r="I639" s="22"/>
      <c r="J639" s="20"/>
      <c r="K639" s="21"/>
    </row>
    <row r="640" spans="1:11" x14ac:dyDescent="0.35">
      <c r="A640" s="22"/>
      <c r="B640" s="9"/>
      <c r="C640" s="9"/>
      <c r="D640" s="9"/>
      <c r="E640" s="18"/>
      <c r="F640" s="19"/>
      <c r="G640" s="14"/>
      <c r="H640" s="22"/>
      <c r="I640" s="22"/>
      <c r="J640" s="20"/>
      <c r="K640" s="21"/>
    </row>
    <row r="641" spans="1:11" x14ac:dyDescent="0.35">
      <c r="A641" s="22"/>
      <c r="B641" s="9"/>
      <c r="C641" s="9"/>
      <c r="D641" s="9"/>
      <c r="E641" s="18"/>
      <c r="F641" s="19"/>
      <c r="G641" s="14"/>
      <c r="H641" s="22"/>
      <c r="I641" s="22"/>
      <c r="J641" s="20"/>
      <c r="K641" s="21"/>
    </row>
    <row r="642" spans="1:11" x14ac:dyDescent="0.35">
      <c r="A642" s="22"/>
      <c r="B642" s="9"/>
      <c r="C642" s="9"/>
      <c r="D642" s="9"/>
      <c r="E642" s="18"/>
      <c r="F642" s="19"/>
      <c r="G642" s="14"/>
      <c r="H642" s="22"/>
      <c r="I642" s="22"/>
      <c r="J642" s="20"/>
      <c r="K642" s="21"/>
    </row>
    <row r="643" spans="1:11" x14ac:dyDescent="0.35">
      <c r="A643" s="22"/>
      <c r="B643" s="9"/>
      <c r="C643" s="9"/>
      <c r="D643" s="9"/>
      <c r="E643" s="18"/>
      <c r="F643" s="19"/>
      <c r="G643" s="14"/>
      <c r="H643" s="22"/>
      <c r="I643" s="22"/>
      <c r="J643" s="20"/>
      <c r="K643" s="21"/>
    </row>
    <row r="644" spans="1:11" x14ac:dyDescent="0.35">
      <c r="A644" s="22"/>
      <c r="B644" s="9"/>
      <c r="C644" s="9"/>
      <c r="D644" s="9"/>
      <c r="E644" s="18"/>
      <c r="F644" s="19"/>
      <c r="G644" s="14"/>
      <c r="H644" s="22"/>
      <c r="I644" s="22"/>
      <c r="J644" s="20"/>
      <c r="K644" s="21"/>
    </row>
    <row r="645" spans="1:11" x14ac:dyDescent="0.35">
      <c r="A645" s="22"/>
      <c r="B645" s="9"/>
      <c r="C645" s="9"/>
      <c r="D645" s="9"/>
      <c r="E645" s="18"/>
      <c r="F645" s="19"/>
      <c r="G645" s="14"/>
      <c r="H645" s="22"/>
      <c r="I645" s="22"/>
      <c r="J645" s="20"/>
      <c r="K645" s="21"/>
    </row>
    <row r="646" spans="1:11" x14ac:dyDescent="0.35">
      <c r="A646" s="22"/>
      <c r="B646" s="9"/>
      <c r="C646" s="9"/>
      <c r="D646" s="9"/>
      <c r="E646" s="18"/>
      <c r="F646" s="19"/>
      <c r="G646" s="14"/>
      <c r="H646" s="22"/>
      <c r="I646" s="22"/>
      <c r="J646" s="20"/>
      <c r="K646" s="21"/>
    </row>
    <row r="647" spans="1:11" x14ac:dyDescent="0.35">
      <c r="A647" s="22"/>
      <c r="B647" s="9"/>
      <c r="C647" s="9"/>
      <c r="D647" s="9"/>
      <c r="E647" s="18"/>
      <c r="F647" s="19"/>
      <c r="G647" s="14"/>
      <c r="H647" s="22"/>
      <c r="I647" s="22"/>
      <c r="J647" s="20"/>
      <c r="K647" s="21"/>
    </row>
    <row r="648" spans="1:11" x14ac:dyDescent="0.35">
      <c r="A648" s="22"/>
      <c r="B648" s="9"/>
      <c r="C648" s="9"/>
      <c r="D648" s="9"/>
      <c r="E648" s="18"/>
      <c r="F648" s="19"/>
      <c r="G648" s="14"/>
      <c r="H648" s="22"/>
      <c r="I648" s="22"/>
      <c r="J648" s="20"/>
      <c r="K648" s="21"/>
    </row>
    <row r="649" spans="1:11" x14ac:dyDescent="0.35">
      <c r="A649" s="22"/>
      <c r="B649" s="9"/>
      <c r="C649" s="9"/>
      <c r="D649" s="9"/>
      <c r="E649" s="18"/>
      <c r="F649" s="19"/>
      <c r="G649" s="14"/>
      <c r="H649" s="22"/>
      <c r="I649" s="22"/>
      <c r="J649" s="20"/>
      <c r="K649" s="21"/>
    </row>
    <row r="650" spans="1:11" x14ac:dyDescent="0.35">
      <c r="A650" s="22"/>
      <c r="B650" s="9"/>
      <c r="C650" s="9"/>
      <c r="D650" s="9"/>
      <c r="E650" s="18"/>
      <c r="F650" s="19"/>
      <c r="G650" s="14"/>
      <c r="H650" s="22"/>
      <c r="I650" s="22"/>
      <c r="J650" s="20"/>
      <c r="K650" s="21"/>
    </row>
    <row r="651" spans="1:11" x14ac:dyDescent="0.35">
      <c r="A651" s="22"/>
      <c r="B651" s="9"/>
      <c r="C651" s="9"/>
      <c r="D651" s="9"/>
      <c r="E651" s="18"/>
      <c r="F651" s="19"/>
      <c r="G651" s="14"/>
      <c r="H651" s="22"/>
      <c r="I651" s="22"/>
      <c r="J651" s="20"/>
      <c r="K651" s="21"/>
    </row>
    <row r="652" spans="1:11" x14ac:dyDescent="0.35">
      <c r="A652" s="22"/>
      <c r="B652" s="9"/>
      <c r="C652" s="9"/>
      <c r="D652" s="9"/>
      <c r="E652" s="18"/>
      <c r="F652" s="19"/>
      <c r="G652" s="14"/>
      <c r="H652" s="22"/>
      <c r="I652" s="22"/>
      <c r="J652" s="20"/>
      <c r="K652" s="21"/>
    </row>
    <row r="653" spans="1:11" x14ac:dyDescent="0.35">
      <c r="A653" s="22"/>
      <c r="B653" s="9"/>
      <c r="C653" s="9"/>
      <c r="D653" s="9"/>
      <c r="E653" s="18"/>
      <c r="F653" s="19"/>
      <c r="G653" s="14"/>
      <c r="H653" s="22"/>
      <c r="I653" s="22"/>
      <c r="J653" s="20"/>
      <c r="K653" s="21"/>
    </row>
    <row r="654" spans="1:11" x14ac:dyDescent="0.35">
      <c r="A654" s="22"/>
      <c r="B654" s="9"/>
      <c r="C654" s="9"/>
      <c r="D654" s="9"/>
      <c r="E654" s="18"/>
      <c r="F654" s="19"/>
      <c r="G654" s="14"/>
      <c r="H654" s="22"/>
      <c r="I654" s="22"/>
      <c r="J654" s="20"/>
      <c r="K654" s="21"/>
    </row>
    <row r="655" spans="1:11" x14ac:dyDescent="0.35">
      <c r="A655" s="22"/>
      <c r="B655" s="9"/>
      <c r="C655" s="9"/>
      <c r="D655" s="9"/>
      <c r="E655" s="18"/>
      <c r="F655" s="19"/>
      <c r="G655" s="14"/>
      <c r="H655" s="22"/>
      <c r="I655" s="22"/>
      <c r="J655" s="20"/>
      <c r="K655" s="21"/>
    </row>
    <row r="656" spans="1:11" x14ac:dyDescent="0.35">
      <c r="A656" s="22"/>
      <c r="B656" s="9"/>
      <c r="C656" s="9"/>
      <c r="D656" s="9"/>
      <c r="E656" s="18"/>
      <c r="F656" s="19"/>
      <c r="G656" s="14"/>
      <c r="H656" s="22"/>
      <c r="I656" s="22"/>
      <c r="J656" s="20"/>
      <c r="K656" s="21"/>
    </row>
    <row r="657" spans="1:11" x14ac:dyDescent="0.35">
      <c r="A657" s="22"/>
      <c r="B657" s="9"/>
      <c r="C657" s="9"/>
      <c r="D657" s="9"/>
      <c r="E657" s="18"/>
      <c r="F657" s="19"/>
      <c r="G657" s="14"/>
      <c r="H657" s="22"/>
      <c r="I657" s="22"/>
      <c r="J657" s="20"/>
      <c r="K657" s="21"/>
    </row>
    <row r="658" spans="1:11" x14ac:dyDescent="0.35">
      <c r="A658" s="22"/>
      <c r="B658" s="9"/>
      <c r="C658" s="9"/>
      <c r="D658" s="9"/>
      <c r="E658" s="18"/>
      <c r="F658" s="19"/>
      <c r="G658" s="14"/>
      <c r="H658" s="22"/>
      <c r="I658" s="22"/>
      <c r="J658" s="20"/>
      <c r="K658" s="21"/>
    </row>
    <row r="659" spans="1:11" x14ac:dyDescent="0.35">
      <c r="A659" s="22"/>
      <c r="B659" s="9"/>
      <c r="C659" s="9"/>
      <c r="D659" s="9"/>
      <c r="E659" s="18"/>
      <c r="F659" s="19"/>
      <c r="G659" s="14"/>
      <c r="H659" s="22"/>
      <c r="I659" s="22"/>
      <c r="J659" s="20"/>
      <c r="K659" s="21"/>
    </row>
    <row r="660" spans="1:11" x14ac:dyDescent="0.35">
      <c r="A660" s="22"/>
      <c r="B660" s="9"/>
      <c r="C660" s="9"/>
      <c r="D660" s="9"/>
      <c r="E660" s="18"/>
      <c r="F660" s="19"/>
      <c r="G660" s="14"/>
      <c r="H660" s="22"/>
      <c r="I660" s="22"/>
      <c r="J660" s="20"/>
      <c r="K660" s="21"/>
    </row>
    <row r="661" spans="1:11" x14ac:dyDescent="0.35">
      <c r="A661" s="22"/>
      <c r="B661" s="9"/>
      <c r="C661" s="9"/>
      <c r="D661" s="9"/>
      <c r="E661" s="18"/>
      <c r="F661" s="19"/>
      <c r="G661" s="14"/>
      <c r="H661" s="22"/>
      <c r="I661" s="22"/>
      <c r="J661" s="20"/>
      <c r="K661" s="21"/>
    </row>
    <row r="662" spans="1:11" x14ac:dyDescent="0.35">
      <c r="A662" s="22"/>
      <c r="B662" s="9"/>
      <c r="C662" s="9"/>
      <c r="D662" s="9"/>
      <c r="E662" s="18"/>
      <c r="F662" s="19"/>
      <c r="G662" s="14"/>
      <c r="H662" s="22"/>
      <c r="I662" s="22"/>
      <c r="J662" s="20"/>
      <c r="K662" s="21"/>
    </row>
    <row r="663" spans="1:11" x14ac:dyDescent="0.35">
      <c r="A663" s="22"/>
      <c r="B663" s="9"/>
      <c r="C663" s="9"/>
      <c r="D663" s="9"/>
      <c r="E663" s="18"/>
      <c r="F663" s="19"/>
      <c r="G663" s="14"/>
      <c r="H663" s="22"/>
      <c r="I663" s="22"/>
      <c r="J663" s="20"/>
      <c r="K663" s="21"/>
    </row>
    <row r="664" spans="1:11" x14ac:dyDescent="0.35">
      <c r="A664" s="22"/>
      <c r="B664" s="9"/>
      <c r="C664" s="9"/>
      <c r="D664" s="9"/>
      <c r="E664" s="18"/>
      <c r="F664" s="19"/>
      <c r="G664" s="14"/>
      <c r="H664" s="22"/>
      <c r="I664" s="22"/>
      <c r="J664" s="20"/>
      <c r="K664" s="21"/>
    </row>
    <row r="665" spans="1:11" x14ac:dyDescent="0.35">
      <c r="A665" s="22"/>
      <c r="B665" s="9"/>
      <c r="C665" s="9"/>
      <c r="D665" s="9"/>
      <c r="E665" s="18"/>
      <c r="F665" s="19"/>
      <c r="G665" s="14"/>
      <c r="H665" s="22"/>
      <c r="I665" s="22"/>
      <c r="J665" s="20"/>
      <c r="K665" s="21"/>
    </row>
    <row r="666" spans="1:11" x14ac:dyDescent="0.35">
      <c r="A666" s="22"/>
      <c r="B666" s="9"/>
      <c r="C666" s="9"/>
      <c r="D666" s="9"/>
      <c r="E666" s="18"/>
      <c r="F666" s="19"/>
      <c r="G666" s="14"/>
      <c r="H666" s="22"/>
      <c r="I666" s="22"/>
      <c r="J666" s="20"/>
      <c r="K666" s="21"/>
    </row>
    <row r="667" spans="1:11" x14ac:dyDescent="0.35">
      <c r="A667" s="22"/>
      <c r="B667" s="9"/>
      <c r="C667" s="9"/>
      <c r="D667" s="9"/>
      <c r="E667" s="18"/>
      <c r="F667" s="19"/>
      <c r="G667" s="14"/>
      <c r="H667" s="22"/>
      <c r="I667" s="22"/>
      <c r="J667" s="20"/>
      <c r="K667" s="21"/>
    </row>
    <row r="668" spans="1:11" x14ac:dyDescent="0.35">
      <c r="A668" s="22"/>
      <c r="B668" s="9"/>
      <c r="C668" s="9"/>
      <c r="D668" s="9"/>
      <c r="E668" s="18"/>
      <c r="F668" s="19"/>
      <c r="G668" s="14"/>
      <c r="H668" s="22"/>
      <c r="I668" s="22"/>
      <c r="J668" s="20"/>
      <c r="K668" s="21"/>
    </row>
    <row r="669" spans="1:11" x14ac:dyDescent="0.35">
      <c r="A669" s="22"/>
      <c r="B669" s="9"/>
      <c r="C669" s="9"/>
      <c r="D669" s="9"/>
      <c r="E669" s="18"/>
      <c r="F669" s="19"/>
      <c r="G669" s="14"/>
      <c r="H669" s="22"/>
      <c r="I669" s="22"/>
      <c r="J669" s="20"/>
      <c r="K669" s="21"/>
    </row>
    <row r="670" spans="1:11" x14ac:dyDescent="0.35">
      <c r="A670" s="22"/>
      <c r="B670" s="9"/>
      <c r="C670" s="9"/>
      <c r="D670" s="9"/>
      <c r="E670" s="18"/>
      <c r="F670" s="19"/>
      <c r="G670" s="14"/>
      <c r="H670" s="22"/>
      <c r="I670" s="22"/>
      <c r="J670" s="20"/>
      <c r="K670" s="21"/>
    </row>
    <row r="671" spans="1:11" x14ac:dyDescent="0.35">
      <c r="A671" s="22"/>
      <c r="B671" s="9"/>
      <c r="C671" s="9"/>
      <c r="D671" s="9"/>
      <c r="E671" s="18"/>
      <c r="F671" s="19"/>
      <c r="G671" s="14"/>
      <c r="H671" s="22"/>
      <c r="I671" s="22"/>
      <c r="J671" s="20"/>
      <c r="K671" s="21"/>
    </row>
    <row r="672" spans="1:11" x14ac:dyDescent="0.35">
      <c r="A672" s="22"/>
      <c r="B672" s="9"/>
      <c r="C672" s="9"/>
      <c r="D672" s="9"/>
      <c r="E672" s="18"/>
      <c r="F672" s="19"/>
      <c r="G672" s="14"/>
      <c r="H672" s="22"/>
      <c r="I672" s="22"/>
      <c r="J672" s="20"/>
      <c r="K672" s="21"/>
    </row>
    <row r="673" spans="1:11" x14ac:dyDescent="0.35">
      <c r="A673" s="22"/>
      <c r="B673" s="9"/>
      <c r="C673" s="9"/>
      <c r="D673" s="9"/>
      <c r="E673" s="18"/>
      <c r="F673" s="19"/>
      <c r="G673" s="14"/>
      <c r="H673" s="22"/>
      <c r="I673" s="22"/>
      <c r="J673" s="20"/>
      <c r="K673" s="21"/>
    </row>
    <row r="674" spans="1:11" x14ac:dyDescent="0.35">
      <c r="A674" s="22"/>
      <c r="B674" s="9"/>
      <c r="C674" s="9"/>
      <c r="D674" s="9"/>
      <c r="E674" s="18"/>
      <c r="F674" s="19"/>
      <c r="G674" s="14"/>
      <c r="H674" s="22"/>
      <c r="I674" s="22"/>
      <c r="J674" s="20"/>
      <c r="K674" s="21"/>
    </row>
    <row r="675" spans="1:11" x14ac:dyDescent="0.35">
      <c r="A675" s="22"/>
      <c r="B675" s="9"/>
      <c r="C675" s="9"/>
      <c r="D675" s="9"/>
      <c r="E675" s="18"/>
      <c r="F675" s="19"/>
      <c r="G675" s="14"/>
      <c r="H675" s="22"/>
      <c r="I675" s="22"/>
      <c r="J675" s="20"/>
      <c r="K675" s="21"/>
    </row>
    <row r="676" spans="1:11" x14ac:dyDescent="0.35">
      <c r="A676" s="22"/>
      <c r="B676" s="9"/>
      <c r="C676" s="9"/>
      <c r="D676" s="9"/>
      <c r="E676" s="18"/>
      <c r="F676" s="19"/>
      <c r="G676" s="14"/>
      <c r="H676" s="22"/>
      <c r="I676" s="22"/>
      <c r="J676" s="20"/>
      <c r="K676" s="21"/>
    </row>
    <row r="677" spans="1:11" x14ac:dyDescent="0.35">
      <c r="A677" s="22"/>
      <c r="B677" s="9"/>
      <c r="C677" s="9"/>
      <c r="D677" s="9"/>
      <c r="E677" s="18"/>
      <c r="F677" s="19"/>
      <c r="G677" s="14"/>
      <c r="H677" s="22"/>
      <c r="I677" s="22"/>
      <c r="J677" s="20"/>
      <c r="K677" s="21"/>
    </row>
    <row r="678" spans="1:11" x14ac:dyDescent="0.35">
      <c r="A678" s="22"/>
      <c r="B678" s="9"/>
      <c r="C678" s="9"/>
      <c r="D678" s="9"/>
      <c r="E678" s="18"/>
      <c r="F678" s="19"/>
      <c r="G678" s="14"/>
      <c r="H678" s="22"/>
      <c r="I678" s="22"/>
      <c r="J678" s="20"/>
      <c r="K678" s="21"/>
    </row>
    <row r="679" spans="1:11" x14ac:dyDescent="0.35">
      <c r="A679" s="22"/>
      <c r="B679" s="9"/>
      <c r="C679" s="9"/>
      <c r="D679" s="9"/>
      <c r="E679" s="18"/>
      <c r="F679" s="19"/>
      <c r="G679" s="14"/>
      <c r="H679" s="22"/>
      <c r="I679" s="22"/>
      <c r="J679" s="20"/>
      <c r="K679" s="21"/>
    </row>
    <row r="680" spans="1:11" x14ac:dyDescent="0.35">
      <c r="A680" s="22"/>
      <c r="B680" s="9"/>
      <c r="C680" s="9"/>
      <c r="D680" s="9"/>
      <c r="E680" s="18"/>
      <c r="F680" s="19"/>
      <c r="G680" s="14"/>
      <c r="H680" s="22"/>
      <c r="I680" s="22"/>
      <c r="J680" s="20"/>
      <c r="K680" s="21"/>
    </row>
    <row r="681" spans="1:11" x14ac:dyDescent="0.35">
      <c r="A681" s="22"/>
      <c r="B681" s="9"/>
      <c r="C681" s="9"/>
      <c r="D681" s="9"/>
      <c r="E681" s="18"/>
      <c r="F681" s="19"/>
      <c r="G681" s="14"/>
      <c r="H681" s="22"/>
      <c r="I681" s="22"/>
      <c r="J681" s="20"/>
      <c r="K681" s="21"/>
    </row>
    <row r="682" spans="1:11" x14ac:dyDescent="0.35">
      <c r="A682" s="22"/>
      <c r="B682" s="9"/>
      <c r="C682" s="9"/>
      <c r="D682" s="9"/>
      <c r="E682" s="18"/>
      <c r="F682" s="19"/>
      <c r="G682" s="14"/>
      <c r="H682" s="22"/>
      <c r="I682" s="22"/>
      <c r="J682" s="20"/>
      <c r="K682" s="21"/>
    </row>
    <row r="683" spans="1:11" x14ac:dyDescent="0.35">
      <c r="A683" s="22"/>
      <c r="B683" s="9"/>
      <c r="C683" s="9"/>
      <c r="D683" s="9"/>
      <c r="E683" s="18"/>
      <c r="F683" s="19"/>
      <c r="G683" s="14"/>
      <c r="H683" s="22"/>
      <c r="I683" s="22"/>
      <c r="J683" s="20"/>
      <c r="K683" s="21"/>
    </row>
    <row r="684" spans="1:11" x14ac:dyDescent="0.35">
      <c r="A684" s="22"/>
      <c r="B684" s="9"/>
      <c r="C684" s="9"/>
      <c r="D684" s="9"/>
      <c r="E684" s="18"/>
      <c r="F684" s="19"/>
      <c r="G684" s="14"/>
      <c r="H684" s="22"/>
      <c r="I684" s="22"/>
      <c r="J684" s="20"/>
      <c r="K684" s="21"/>
    </row>
    <row r="685" spans="1:11" x14ac:dyDescent="0.35">
      <c r="A685" s="22"/>
      <c r="B685" s="9"/>
      <c r="C685" s="9"/>
      <c r="D685" s="9"/>
      <c r="E685" s="18"/>
      <c r="F685" s="19"/>
      <c r="G685" s="14"/>
      <c r="H685" s="22"/>
      <c r="I685" s="22"/>
      <c r="J685" s="20"/>
      <c r="K685" s="21"/>
    </row>
    <row r="686" spans="1:11" x14ac:dyDescent="0.35">
      <c r="A686" s="22"/>
      <c r="B686" s="9"/>
      <c r="C686" s="9"/>
      <c r="D686" s="9"/>
      <c r="E686" s="18"/>
      <c r="F686" s="19"/>
      <c r="G686" s="14"/>
      <c r="H686" s="22"/>
      <c r="I686" s="22"/>
      <c r="J686" s="20"/>
      <c r="K686" s="21"/>
    </row>
    <row r="687" spans="1:11" x14ac:dyDescent="0.35">
      <c r="A687" s="22"/>
      <c r="B687" s="9"/>
      <c r="C687" s="9"/>
      <c r="D687" s="9"/>
      <c r="E687" s="18"/>
      <c r="F687" s="19"/>
      <c r="G687" s="14"/>
      <c r="H687" s="22"/>
      <c r="I687" s="22"/>
      <c r="J687" s="20"/>
      <c r="K687" s="21"/>
    </row>
    <row r="688" spans="1:11" x14ac:dyDescent="0.35">
      <c r="A688" s="22"/>
      <c r="B688" s="9"/>
      <c r="C688" s="9"/>
      <c r="D688" s="9"/>
      <c r="E688" s="18"/>
      <c r="F688" s="19"/>
      <c r="G688" s="14"/>
      <c r="H688" s="22"/>
      <c r="I688" s="22"/>
      <c r="J688" s="20"/>
      <c r="K688" s="21"/>
    </row>
    <row r="689" spans="1:11" x14ac:dyDescent="0.35">
      <c r="A689" s="22"/>
      <c r="B689" s="9"/>
      <c r="C689" s="9"/>
      <c r="D689" s="9"/>
      <c r="E689" s="18"/>
      <c r="F689" s="19"/>
      <c r="G689" s="14"/>
      <c r="H689" s="22"/>
      <c r="I689" s="22"/>
      <c r="J689" s="20"/>
      <c r="K689" s="21"/>
    </row>
    <row r="690" spans="1:11" x14ac:dyDescent="0.35">
      <c r="A690" s="22"/>
      <c r="B690" s="9"/>
      <c r="C690" s="9"/>
      <c r="D690" s="9"/>
      <c r="E690" s="18"/>
      <c r="F690" s="19"/>
      <c r="G690" s="14"/>
      <c r="H690" s="22"/>
      <c r="I690" s="22"/>
      <c r="J690" s="20"/>
      <c r="K690" s="21"/>
    </row>
    <row r="691" spans="1:11" x14ac:dyDescent="0.35">
      <c r="A691" s="22"/>
      <c r="B691" s="9"/>
      <c r="C691" s="9"/>
      <c r="D691" s="9"/>
      <c r="E691" s="18"/>
      <c r="F691" s="19"/>
      <c r="G691" s="14"/>
      <c r="H691" s="22"/>
      <c r="I691" s="22"/>
      <c r="J691" s="20"/>
      <c r="K691" s="21"/>
    </row>
    <row r="692" spans="1:11" x14ac:dyDescent="0.35">
      <c r="A692" s="22"/>
      <c r="B692" s="9"/>
      <c r="C692" s="9"/>
      <c r="D692" s="9"/>
      <c r="E692" s="18"/>
      <c r="F692" s="19"/>
      <c r="G692" s="14"/>
      <c r="H692" s="22"/>
      <c r="I692" s="22"/>
      <c r="J692" s="20"/>
      <c r="K692" s="21"/>
    </row>
    <row r="693" spans="1:11" x14ac:dyDescent="0.35">
      <c r="A693" s="22"/>
      <c r="B693" s="9"/>
      <c r="C693" s="9"/>
      <c r="D693" s="9"/>
      <c r="E693" s="18"/>
      <c r="F693" s="19"/>
      <c r="G693" s="14"/>
      <c r="H693" s="22"/>
      <c r="I693" s="22"/>
      <c r="J693" s="20"/>
      <c r="K693" s="21"/>
    </row>
    <row r="694" spans="1:11" x14ac:dyDescent="0.35">
      <c r="A694" s="22"/>
      <c r="B694" s="9"/>
      <c r="C694" s="9"/>
      <c r="D694" s="9"/>
      <c r="E694" s="18"/>
      <c r="F694" s="19"/>
      <c r="G694" s="14"/>
      <c r="H694" s="22"/>
      <c r="I694" s="22"/>
      <c r="J694" s="20"/>
      <c r="K694" s="21"/>
    </row>
    <row r="695" spans="1:11" x14ac:dyDescent="0.35">
      <c r="A695" s="22"/>
      <c r="B695" s="9"/>
      <c r="C695" s="9"/>
      <c r="D695" s="9"/>
      <c r="E695" s="18"/>
      <c r="F695" s="19"/>
      <c r="G695" s="14"/>
      <c r="H695" s="22"/>
      <c r="I695" s="22"/>
      <c r="J695" s="20"/>
      <c r="K695" s="21"/>
    </row>
    <row r="696" spans="1:11" x14ac:dyDescent="0.35">
      <c r="A696" s="22"/>
      <c r="B696" s="9"/>
      <c r="C696" s="9"/>
      <c r="D696" s="9"/>
      <c r="E696" s="18"/>
      <c r="F696" s="19"/>
      <c r="G696" s="14"/>
      <c r="H696" s="22"/>
      <c r="I696" s="22"/>
      <c r="J696" s="20"/>
      <c r="K696" s="21"/>
    </row>
    <row r="697" spans="1:11" x14ac:dyDescent="0.35">
      <c r="A697" s="22"/>
      <c r="B697" s="9"/>
      <c r="C697" s="9"/>
      <c r="D697" s="9"/>
      <c r="E697" s="18"/>
      <c r="F697" s="19"/>
      <c r="G697" s="14"/>
      <c r="H697" s="22"/>
      <c r="I697" s="22"/>
      <c r="J697" s="20"/>
      <c r="K697" s="21"/>
    </row>
    <row r="698" spans="1:11" x14ac:dyDescent="0.35">
      <c r="A698" s="22"/>
      <c r="B698" s="9"/>
      <c r="C698" s="9"/>
      <c r="D698" s="9"/>
      <c r="E698" s="18"/>
      <c r="F698" s="19"/>
      <c r="G698" s="14"/>
      <c r="H698" s="22"/>
      <c r="I698" s="22"/>
      <c r="J698" s="20"/>
      <c r="K698" s="21"/>
    </row>
    <row r="699" spans="1:11" x14ac:dyDescent="0.35">
      <c r="A699" s="22"/>
      <c r="B699" s="9"/>
      <c r="C699" s="9"/>
      <c r="D699" s="9"/>
      <c r="E699" s="18"/>
      <c r="F699" s="19"/>
      <c r="G699" s="14"/>
      <c r="H699" s="22"/>
      <c r="I699" s="22"/>
      <c r="J699" s="20"/>
      <c r="K699" s="21"/>
    </row>
    <row r="700" spans="1:11" x14ac:dyDescent="0.35">
      <c r="A700" s="22"/>
      <c r="B700" s="9"/>
      <c r="C700" s="9"/>
      <c r="D700" s="9"/>
      <c r="E700" s="18"/>
      <c r="F700" s="19"/>
      <c r="G700" s="14"/>
      <c r="H700" s="22"/>
      <c r="I700" s="22"/>
      <c r="J700" s="20"/>
      <c r="K700" s="21"/>
    </row>
    <row r="701" spans="1:11" x14ac:dyDescent="0.35">
      <c r="A701" s="22"/>
      <c r="B701" s="9"/>
      <c r="C701" s="9"/>
      <c r="D701" s="9"/>
      <c r="E701" s="18"/>
      <c r="F701" s="19"/>
      <c r="G701" s="14"/>
      <c r="H701" s="22"/>
      <c r="I701" s="22"/>
      <c r="J701" s="20"/>
      <c r="K701" s="21"/>
    </row>
    <row r="702" spans="1:11" x14ac:dyDescent="0.35">
      <c r="A702" s="22"/>
      <c r="B702" s="9"/>
      <c r="C702" s="9"/>
      <c r="D702" s="9"/>
      <c r="E702" s="18"/>
      <c r="F702" s="19"/>
      <c r="G702" s="14"/>
      <c r="H702" s="22"/>
      <c r="I702" s="22"/>
      <c r="J702" s="20"/>
      <c r="K702" s="21"/>
    </row>
    <row r="703" spans="1:11" x14ac:dyDescent="0.35">
      <c r="A703" s="22"/>
      <c r="B703" s="9"/>
      <c r="C703" s="9"/>
      <c r="D703" s="9"/>
      <c r="E703" s="18"/>
      <c r="F703" s="19"/>
      <c r="G703" s="14"/>
      <c r="H703" s="22"/>
      <c r="I703" s="22"/>
      <c r="J703" s="20"/>
      <c r="K703" s="21"/>
    </row>
    <row r="704" spans="1:11" x14ac:dyDescent="0.35">
      <c r="A704" s="22"/>
      <c r="B704" s="9"/>
      <c r="C704" s="9"/>
      <c r="D704" s="9"/>
      <c r="E704" s="18"/>
      <c r="F704" s="19"/>
      <c r="G704" s="14"/>
      <c r="H704" s="22"/>
      <c r="I704" s="22"/>
      <c r="J704" s="20"/>
      <c r="K704" s="21"/>
    </row>
    <row r="705" spans="1:11" x14ac:dyDescent="0.35">
      <c r="A705" s="22"/>
      <c r="B705" s="9"/>
      <c r="C705" s="9"/>
      <c r="D705" s="9"/>
      <c r="E705" s="18"/>
      <c r="F705" s="19"/>
      <c r="G705" s="14"/>
      <c r="H705" s="22"/>
      <c r="I705" s="22"/>
      <c r="J705" s="20"/>
      <c r="K705" s="21"/>
    </row>
    <row r="706" spans="1:11" x14ac:dyDescent="0.35">
      <c r="A706" s="22"/>
      <c r="B706" s="9"/>
      <c r="C706" s="9"/>
      <c r="D706" s="9"/>
      <c r="E706" s="18"/>
      <c r="F706" s="19"/>
      <c r="G706" s="14"/>
      <c r="H706" s="22"/>
      <c r="I706" s="22"/>
      <c r="J706" s="20"/>
      <c r="K706" s="21"/>
    </row>
    <row r="707" spans="1:11" x14ac:dyDescent="0.35">
      <c r="A707" s="22"/>
      <c r="B707" s="9"/>
      <c r="C707" s="9"/>
      <c r="D707" s="9"/>
      <c r="E707" s="18"/>
      <c r="F707" s="19"/>
      <c r="G707" s="14"/>
      <c r="H707" s="22"/>
      <c r="I707" s="22"/>
      <c r="J707" s="20"/>
      <c r="K707" s="21"/>
    </row>
    <row r="708" spans="1:11" x14ac:dyDescent="0.35">
      <c r="A708" s="22"/>
      <c r="B708" s="9"/>
      <c r="C708" s="9"/>
      <c r="D708" s="9"/>
      <c r="E708" s="18"/>
      <c r="F708" s="19"/>
      <c r="G708" s="14"/>
      <c r="H708" s="22"/>
      <c r="I708" s="22"/>
      <c r="J708" s="20"/>
      <c r="K708" s="21"/>
    </row>
    <row r="709" spans="1:11" x14ac:dyDescent="0.35">
      <c r="A709" s="22"/>
      <c r="B709" s="9"/>
      <c r="C709" s="9"/>
      <c r="D709" s="9"/>
      <c r="E709" s="18"/>
      <c r="F709" s="19"/>
      <c r="G709" s="14"/>
      <c r="H709" s="22"/>
      <c r="I709" s="22"/>
      <c r="J709" s="20"/>
      <c r="K709" s="21"/>
    </row>
    <row r="710" spans="1:11" x14ac:dyDescent="0.35">
      <c r="A710" s="22"/>
      <c r="B710" s="9"/>
      <c r="C710" s="9"/>
      <c r="D710" s="9"/>
      <c r="E710" s="18"/>
      <c r="F710" s="19"/>
      <c r="G710" s="14"/>
      <c r="H710" s="22"/>
      <c r="I710" s="22"/>
      <c r="J710" s="20"/>
      <c r="K710" s="21"/>
    </row>
    <row r="711" spans="1:11" x14ac:dyDescent="0.35">
      <c r="A711" s="22"/>
      <c r="B711" s="9"/>
      <c r="C711" s="9"/>
      <c r="D711" s="9"/>
      <c r="E711" s="18"/>
      <c r="F711" s="19"/>
      <c r="G711" s="14"/>
      <c r="H711" s="22"/>
      <c r="I711" s="22"/>
      <c r="J711" s="20"/>
      <c r="K711" s="21"/>
    </row>
    <row r="712" spans="1:11" x14ac:dyDescent="0.35">
      <c r="A712" s="22"/>
      <c r="B712" s="9"/>
      <c r="C712" s="9"/>
      <c r="D712" s="9"/>
      <c r="E712" s="18"/>
      <c r="F712" s="19"/>
      <c r="G712" s="14"/>
      <c r="H712" s="22"/>
      <c r="I712" s="22"/>
      <c r="J712" s="20"/>
      <c r="K712" s="21"/>
    </row>
    <row r="713" spans="1:11" x14ac:dyDescent="0.35">
      <c r="A713" s="22"/>
      <c r="B713" s="9"/>
      <c r="C713" s="9"/>
      <c r="D713" s="9"/>
      <c r="E713" s="18"/>
      <c r="F713" s="19"/>
      <c r="G713" s="14"/>
      <c r="H713" s="22"/>
      <c r="I713" s="22"/>
      <c r="J713" s="20"/>
      <c r="K713" s="21"/>
    </row>
    <row r="714" spans="1:11" x14ac:dyDescent="0.35">
      <c r="A714" s="22"/>
      <c r="B714" s="9"/>
      <c r="C714" s="9"/>
      <c r="D714" s="9"/>
      <c r="E714" s="18"/>
      <c r="F714" s="19"/>
      <c r="G714" s="14"/>
      <c r="H714" s="22"/>
      <c r="I714" s="22"/>
      <c r="J714" s="20"/>
      <c r="K714" s="21"/>
    </row>
    <row r="715" spans="1:11" x14ac:dyDescent="0.35">
      <c r="A715" s="22"/>
      <c r="B715" s="9"/>
      <c r="C715" s="9"/>
      <c r="D715" s="9"/>
      <c r="E715" s="18"/>
      <c r="F715" s="19"/>
      <c r="G715" s="14"/>
      <c r="H715" s="22"/>
      <c r="I715" s="22"/>
      <c r="J715" s="20"/>
      <c r="K715" s="21"/>
    </row>
    <row r="716" spans="1:11" x14ac:dyDescent="0.35">
      <c r="A716" s="22"/>
      <c r="B716" s="9"/>
      <c r="C716" s="9"/>
      <c r="D716" s="9"/>
      <c r="E716" s="18"/>
      <c r="F716" s="19"/>
      <c r="G716" s="14"/>
      <c r="H716" s="22"/>
      <c r="I716" s="22"/>
      <c r="J716" s="20"/>
      <c r="K716" s="21"/>
    </row>
    <row r="717" spans="1:11" x14ac:dyDescent="0.35">
      <c r="A717" s="22"/>
      <c r="B717" s="9"/>
      <c r="C717" s="9"/>
      <c r="D717" s="9"/>
      <c r="E717" s="18"/>
      <c r="F717" s="19"/>
      <c r="G717" s="14"/>
      <c r="H717" s="22"/>
      <c r="I717" s="22"/>
      <c r="J717" s="20"/>
      <c r="K717" s="21"/>
    </row>
    <row r="718" spans="1:11" x14ac:dyDescent="0.35">
      <c r="A718" s="22"/>
      <c r="B718" s="9"/>
      <c r="C718" s="9"/>
      <c r="D718" s="9"/>
      <c r="E718" s="18"/>
      <c r="F718" s="19"/>
      <c r="G718" s="14"/>
      <c r="H718" s="22"/>
      <c r="I718" s="22"/>
      <c r="J718" s="20"/>
      <c r="K718" s="21"/>
    </row>
    <row r="719" spans="1:11" x14ac:dyDescent="0.35">
      <c r="A719" s="22"/>
      <c r="B719" s="9"/>
      <c r="C719" s="9"/>
      <c r="D719" s="9"/>
      <c r="E719" s="18"/>
      <c r="F719" s="19"/>
      <c r="G719" s="14"/>
      <c r="H719" s="22"/>
      <c r="I719" s="22"/>
      <c r="J719" s="20"/>
      <c r="K719" s="21"/>
    </row>
    <row r="720" spans="1:11" x14ac:dyDescent="0.35">
      <c r="A720" s="22"/>
      <c r="B720" s="9"/>
      <c r="C720" s="9"/>
      <c r="D720" s="9"/>
      <c r="E720" s="18"/>
      <c r="F720" s="19"/>
      <c r="G720" s="14"/>
      <c r="H720" s="22"/>
      <c r="I720" s="22"/>
      <c r="J720" s="20"/>
      <c r="K720" s="21"/>
    </row>
    <row r="721" spans="1:11" x14ac:dyDescent="0.35">
      <c r="A721" s="22"/>
      <c r="B721" s="9"/>
      <c r="C721" s="9"/>
      <c r="D721" s="9"/>
      <c r="E721" s="18"/>
      <c r="F721" s="19"/>
      <c r="G721" s="14"/>
      <c r="H721" s="22"/>
      <c r="I721" s="22"/>
      <c r="J721" s="20"/>
      <c r="K721" s="21"/>
    </row>
    <row r="722" spans="1:11" x14ac:dyDescent="0.35">
      <c r="A722" s="22"/>
      <c r="B722" s="9"/>
      <c r="C722" s="9"/>
      <c r="D722" s="9"/>
      <c r="E722" s="18"/>
      <c r="F722" s="19"/>
      <c r="G722" s="14"/>
      <c r="H722" s="22"/>
      <c r="I722" s="22"/>
      <c r="J722" s="20"/>
      <c r="K722" s="21"/>
    </row>
    <row r="723" spans="1:11" x14ac:dyDescent="0.35">
      <c r="A723" s="22"/>
      <c r="B723" s="9"/>
      <c r="C723" s="9"/>
      <c r="D723" s="9"/>
      <c r="E723" s="18"/>
      <c r="F723" s="19"/>
      <c r="G723" s="14"/>
      <c r="H723" s="22"/>
      <c r="I723" s="22"/>
      <c r="J723" s="20"/>
      <c r="K723" s="21"/>
    </row>
    <row r="724" spans="1:11" x14ac:dyDescent="0.35">
      <c r="A724" s="22"/>
      <c r="B724" s="9"/>
      <c r="C724" s="9"/>
      <c r="D724" s="9"/>
      <c r="E724" s="18"/>
      <c r="F724" s="19"/>
      <c r="G724" s="14"/>
      <c r="H724" s="22"/>
      <c r="I724" s="22"/>
      <c r="J724" s="20"/>
      <c r="K724" s="21"/>
    </row>
    <row r="725" spans="1:11" x14ac:dyDescent="0.35">
      <c r="A725" s="22"/>
      <c r="B725" s="9"/>
      <c r="C725" s="9"/>
      <c r="D725" s="9"/>
      <c r="E725" s="18"/>
      <c r="F725" s="19"/>
      <c r="G725" s="14"/>
      <c r="H725" s="22"/>
      <c r="I725" s="22"/>
      <c r="J725" s="20"/>
      <c r="K725" s="21"/>
    </row>
    <row r="726" spans="1:11" x14ac:dyDescent="0.35">
      <c r="A726" s="22"/>
      <c r="B726" s="9"/>
      <c r="C726" s="9"/>
      <c r="D726" s="9"/>
      <c r="E726" s="18"/>
      <c r="F726" s="19"/>
      <c r="G726" s="14"/>
      <c r="H726" s="22"/>
      <c r="I726" s="22"/>
      <c r="J726" s="20"/>
      <c r="K726" s="21"/>
    </row>
    <row r="727" spans="1:11" x14ac:dyDescent="0.35">
      <c r="A727" s="22"/>
      <c r="B727" s="9"/>
      <c r="C727" s="9"/>
      <c r="D727" s="9"/>
      <c r="E727" s="18"/>
      <c r="F727" s="19"/>
      <c r="G727" s="14"/>
      <c r="H727" s="22"/>
      <c r="I727" s="22"/>
      <c r="J727" s="20"/>
      <c r="K727" s="21"/>
    </row>
    <row r="728" spans="1:11" x14ac:dyDescent="0.35">
      <c r="A728" s="22"/>
      <c r="B728" s="9"/>
      <c r="C728" s="9"/>
      <c r="D728" s="9"/>
      <c r="E728" s="18"/>
      <c r="F728" s="19"/>
      <c r="G728" s="14"/>
      <c r="H728" s="22"/>
      <c r="I728" s="22"/>
      <c r="J728" s="20"/>
      <c r="K728" s="21"/>
    </row>
    <row r="729" spans="1:11" x14ac:dyDescent="0.35">
      <c r="A729" s="22"/>
      <c r="B729" s="9"/>
      <c r="C729" s="9"/>
      <c r="D729" s="9"/>
      <c r="E729" s="18"/>
      <c r="F729" s="19"/>
      <c r="G729" s="14"/>
      <c r="H729" s="22"/>
      <c r="I729" s="22"/>
      <c r="J729" s="20"/>
      <c r="K729" s="21"/>
    </row>
    <row r="730" spans="1:11" x14ac:dyDescent="0.35">
      <c r="A730" s="22"/>
      <c r="B730" s="9"/>
      <c r="C730" s="9"/>
      <c r="D730" s="9"/>
      <c r="E730" s="18"/>
      <c r="F730" s="19"/>
      <c r="G730" s="14"/>
      <c r="H730" s="22"/>
      <c r="I730" s="22"/>
      <c r="J730" s="20"/>
      <c r="K730" s="21"/>
    </row>
    <row r="731" spans="1:11" x14ac:dyDescent="0.35">
      <c r="A731" s="22"/>
      <c r="B731" s="9"/>
      <c r="C731" s="9"/>
      <c r="D731" s="9"/>
      <c r="E731" s="18"/>
      <c r="F731" s="19"/>
      <c r="G731" s="14"/>
      <c r="H731" s="22"/>
      <c r="I731" s="22"/>
      <c r="J731" s="20"/>
      <c r="K731" s="21"/>
    </row>
    <row r="732" spans="1:11" x14ac:dyDescent="0.35">
      <c r="A732" s="22"/>
      <c r="B732" s="9"/>
      <c r="C732" s="9"/>
      <c r="D732" s="9"/>
      <c r="E732" s="18"/>
      <c r="F732" s="19"/>
      <c r="G732" s="14"/>
      <c r="H732" s="22"/>
      <c r="I732" s="22"/>
      <c r="J732" s="20"/>
      <c r="K732" s="21"/>
    </row>
    <row r="733" spans="1:11" x14ac:dyDescent="0.35">
      <c r="A733" s="22"/>
      <c r="B733" s="9"/>
      <c r="C733" s="9"/>
      <c r="D733" s="9"/>
      <c r="E733" s="18"/>
      <c r="F733" s="19"/>
      <c r="G733" s="14"/>
      <c r="H733" s="22"/>
      <c r="I733" s="22"/>
      <c r="J733" s="20"/>
      <c r="K733" s="21"/>
    </row>
    <row r="734" spans="1:11" x14ac:dyDescent="0.35">
      <c r="A734" s="22"/>
      <c r="B734" s="9"/>
      <c r="C734" s="9"/>
      <c r="D734" s="9"/>
      <c r="E734" s="18"/>
      <c r="F734" s="19"/>
      <c r="G734" s="14"/>
      <c r="H734" s="22"/>
      <c r="I734" s="22"/>
      <c r="J734" s="20"/>
      <c r="K734" s="21"/>
    </row>
    <row r="735" spans="1:11" x14ac:dyDescent="0.35">
      <c r="A735" s="22"/>
      <c r="B735" s="9"/>
      <c r="C735" s="9"/>
      <c r="D735" s="9"/>
      <c r="E735" s="18"/>
      <c r="F735" s="19"/>
      <c r="G735" s="14"/>
      <c r="H735" s="22"/>
      <c r="I735" s="22"/>
      <c r="J735" s="20"/>
      <c r="K735" s="21"/>
    </row>
    <row r="736" spans="1:11" x14ac:dyDescent="0.35">
      <c r="A736" s="22"/>
      <c r="B736" s="9"/>
      <c r="C736" s="9"/>
      <c r="D736" s="9"/>
      <c r="E736" s="18"/>
      <c r="F736" s="19"/>
      <c r="G736" s="14"/>
      <c r="H736" s="22"/>
      <c r="I736" s="22"/>
      <c r="J736" s="20"/>
      <c r="K736" s="21"/>
    </row>
    <row r="737" spans="1:11" x14ac:dyDescent="0.35">
      <c r="A737" s="22"/>
      <c r="B737" s="9"/>
      <c r="C737" s="9"/>
      <c r="D737" s="9"/>
      <c r="E737" s="18"/>
      <c r="F737" s="19"/>
      <c r="G737" s="14"/>
      <c r="H737" s="22"/>
      <c r="I737" s="22"/>
      <c r="J737" s="20"/>
      <c r="K737" s="21"/>
    </row>
    <row r="738" spans="1:11" x14ac:dyDescent="0.35">
      <c r="A738" s="22"/>
      <c r="B738" s="9"/>
      <c r="C738" s="9"/>
      <c r="D738" s="9"/>
      <c r="E738" s="18"/>
      <c r="F738" s="19"/>
      <c r="G738" s="14"/>
      <c r="H738" s="22"/>
      <c r="I738" s="22"/>
      <c r="J738" s="20"/>
      <c r="K738" s="21"/>
    </row>
    <row r="739" spans="1:11" x14ac:dyDescent="0.35">
      <c r="A739" s="22"/>
      <c r="B739" s="9"/>
      <c r="C739" s="9"/>
      <c r="D739" s="9"/>
      <c r="E739" s="18"/>
      <c r="F739" s="19"/>
      <c r="G739" s="14"/>
      <c r="H739" s="22"/>
      <c r="I739" s="22"/>
      <c r="J739" s="20"/>
      <c r="K739" s="21"/>
    </row>
    <row r="740" spans="1:11" x14ac:dyDescent="0.35">
      <c r="A740" s="22"/>
      <c r="B740" s="9"/>
      <c r="C740" s="9"/>
      <c r="D740" s="9"/>
      <c r="E740" s="18"/>
      <c r="F740" s="19"/>
      <c r="G740" s="14"/>
      <c r="H740" s="22"/>
      <c r="I740" s="22"/>
      <c r="J740" s="20"/>
      <c r="K740" s="21"/>
    </row>
    <row r="741" spans="1:11" x14ac:dyDescent="0.35">
      <c r="A741" s="22"/>
      <c r="B741" s="9"/>
      <c r="C741" s="9"/>
      <c r="D741" s="9"/>
      <c r="E741" s="18"/>
      <c r="F741" s="19"/>
      <c r="G741" s="14"/>
      <c r="H741" s="22"/>
      <c r="I741" s="22"/>
      <c r="J741" s="20"/>
      <c r="K741" s="21"/>
    </row>
    <row r="742" spans="1:11" x14ac:dyDescent="0.35">
      <c r="A742" s="22"/>
      <c r="B742" s="9"/>
      <c r="C742" s="9"/>
      <c r="D742" s="9"/>
      <c r="E742" s="18"/>
      <c r="F742" s="19"/>
      <c r="G742" s="14"/>
      <c r="H742" s="22"/>
      <c r="I742" s="22"/>
      <c r="J742" s="20"/>
      <c r="K742" s="21"/>
    </row>
    <row r="743" spans="1:11" x14ac:dyDescent="0.35">
      <c r="A743" s="22"/>
      <c r="B743" s="9"/>
      <c r="C743" s="9"/>
      <c r="D743" s="9"/>
      <c r="E743" s="18"/>
      <c r="F743" s="19"/>
      <c r="G743" s="14"/>
      <c r="H743" s="22"/>
      <c r="I743" s="22"/>
      <c r="J743" s="20"/>
      <c r="K743" s="21"/>
    </row>
    <row r="744" spans="1:11" x14ac:dyDescent="0.35">
      <c r="A744" s="22"/>
      <c r="B744" s="9"/>
      <c r="C744" s="9"/>
      <c r="D744" s="9"/>
      <c r="E744" s="18"/>
      <c r="F744" s="19"/>
      <c r="G744" s="14"/>
      <c r="H744" s="22"/>
      <c r="I744" s="22"/>
      <c r="J744" s="20"/>
      <c r="K744" s="21"/>
    </row>
    <row r="745" spans="1:11" x14ac:dyDescent="0.35">
      <c r="A745" s="22"/>
      <c r="B745" s="9"/>
      <c r="C745" s="9"/>
      <c r="D745" s="9"/>
      <c r="E745" s="18"/>
      <c r="F745" s="19"/>
      <c r="G745" s="14"/>
      <c r="H745" s="22"/>
      <c r="I745" s="22"/>
      <c r="J745" s="20"/>
      <c r="K745" s="21"/>
    </row>
    <row r="746" spans="1:11" x14ac:dyDescent="0.35">
      <c r="A746" s="22"/>
      <c r="B746" s="9"/>
      <c r="C746" s="9"/>
      <c r="D746" s="9"/>
      <c r="E746" s="18"/>
      <c r="F746" s="19"/>
      <c r="G746" s="14"/>
      <c r="H746" s="22"/>
      <c r="I746" s="22"/>
      <c r="J746" s="20"/>
      <c r="K746" s="21"/>
    </row>
    <row r="747" spans="1:11" x14ac:dyDescent="0.35">
      <c r="A747" s="22"/>
      <c r="B747" s="9"/>
      <c r="C747" s="9"/>
      <c r="D747" s="9"/>
      <c r="E747" s="18"/>
      <c r="F747" s="19"/>
      <c r="G747" s="14"/>
      <c r="H747" s="22"/>
      <c r="I747" s="22"/>
      <c r="J747" s="20"/>
      <c r="K747" s="21"/>
    </row>
    <row r="748" spans="1:11" x14ac:dyDescent="0.35">
      <c r="A748" s="22"/>
      <c r="B748" s="9"/>
      <c r="C748" s="9"/>
      <c r="D748" s="9"/>
      <c r="E748" s="18"/>
      <c r="F748" s="19"/>
      <c r="G748" s="14"/>
      <c r="H748" s="22"/>
      <c r="I748" s="22"/>
      <c r="J748" s="20"/>
      <c r="K748" s="21"/>
    </row>
    <row r="749" spans="1:11" x14ac:dyDescent="0.35">
      <c r="A749" s="22"/>
      <c r="B749" s="9"/>
      <c r="C749" s="9"/>
      <c r="D749" s="9"/>
      <c r="E749" s="18"/>
      <c r="F749" s="19"/>
      <c r="G749" s="14"/>
      <c r="H749" s="22"/>
      <c r="I749" s="22"/>
      <c r="J749" s="20"/>
      <c r="K749" s="21"/>
    </row>
    <row r="750" spans="1:11" x14ac:dyDescent="0.35">
      <c r="A750" s="22"/>
      <c r="B750" s="9"/>
      <c r="C750" s="9"/>
      <c r="D750" s="9"/>
      <c r="E750" s="18"/>
      <c r="F750" s="19"/>
      <c r="G750" s="14"/>
      <c r="H750" s="22"/>
      <c r="I750" s="22"/>
      <c r="J750" s="20"/>
      <c r="K750" s="21"/>
    </row>
    <row r="751" spans="1:11" x14ac:dyDescent="0.35">
      <c r="A751" s="22"/>
      <c r="B751" s="9"/>
      <c r="C751" s="9"/>
      <c r="D751" s="9"/>
      <c r="E751" s="18"/>
      <c r="F751" s="19"/>
      <c r="G751" s="14"/>
      <c r="H751" s="22"/>
      <c r="I751" s="22"/>
      <c r="J751" s="20"/>
      <c r="K751" s="21"/>
    </row>
    <row r="752" spans="1:11" x14ac:dyDescent="0.35">
      <c r="A752" s="22"/>
      <c r="B752" s="9"/>
      <c r="C752" s="9"/>
      <c r="D752" s="9"/>
      <c r="E752" s="18"/>
      <c r="F752" s="19"/>
      <c r="G752" s="14"/>
      <c r="H752" s="22"/>
      <c r="I752" s="22"/>
      <c r="J752" s="20"/>
      <c r="K752" s="21"/>
    </row>
    <row r="753" spans="1:11" x14ac:dyDescent="0.35">
      <c r="A753" s="22"/>
      <c r="B753" s="9"/>
      <c r="C753" s="9"/>
      <c r="D753" s="9"/>
      <c r="E753" s="18"/>
      <c r="F753" s="19"/>
      <c r="G753" s="14"/>
      <c r="H753" s="22"/>
      <c r="I753" s="22"/>
      <c r="J753" s="20"/>
      <c r="K753" s="21"/>
    </row>
    <row r="754" spans="1:11" x14ac:dyDescent="0.35">
      <c r="A754" s="22"/>
      <c r="B754" s="9"/>
      <c r="C754" s="9"/>
      <c r="D754" s="9"/>
      <c r="E754" s="18"/>
      <c r="F754" s="19"/>
      <c r="G754" s="14"/>
      <c r="H754" s="22"/>
      <c r="I754" s="22"/>
      <c r="J754" s="20"/>
      <c r="K754" s="21"/>
    </row>
    <row r="755" spans="1:11" x14ac:dyDescent="0.35">
      <c r="A755" s="22"/>
      <c r="B755" s="9"/>
      <c r="C755" s="9"/>
      <c r="D755" s="9"/>
      <c r="E755" s="18"/>
      <c r="F755" s="19"/>
      <c r="G755" s="14"/>
      <c r="H755" s="22"/>
      <c r="I755" s="22"/>
      <c r="J755" s="20"/>
      <c r="K755" s="21"/>
    </row>
    <row r="756" spans="1:11" x14ac:dyDescent="0.35">
      <c r="A756" s="22"/>
      <c r="B756" s="9"/>
      <c r="C756" s="9"/>
      <c r="D756" s="9"/>
      <c r="E756" s="18"/>
      <c r="F756" s="19"/>
      <c r="G756" s="14"/>
      <c r="H756" s="22"/>
      <c r="I756" s="22"/>
      <c r="J756" s="20"/>
      <c r="K756" s="21"/>
    </row>
    <row r="757" spans="1:11" x14ac:dyDescent="0.35">
      <c r="A757" s="22"/>
      <c r="B757" s="9"/>
      <c r="C757" s="9"/>
      <c r="D757" s="9"/>
      <c r="E757" s="18"/>
      <c r="F757" s="19"/>
      <c r="G757" s="14"/>
      <c r="H757" s="22"/>
      <c r="I757" s="22"/>
      <c r="J757" s="20"/>
      <c r="K757" s="21"/>
    </row>
    <row r="758" spans="1:11" x14ac:dyDescent="0.35">
      <c r="A758" s="22"/>
      <c r="B758" s="9"/>
      <c r="C758" s="9"/>
      <c r="D758" s="9"/>
      <c r="E758" s="18"/>
      <c r="F758" s="19"/>
      <c r="G758" s="14"/>
      <c r="H758" s="22"/>
      <c r="I758" s="22"/>
      <c r="J758" s="20"/>
      <c r="K758" s="21"/>
    </row>
    <row r="759" spans="1:11" x14ac:dyDescent="0.35">
      <c r="A759" s="22"/>
      <c r="B759" s="9"/>
      <c r="C759" s="9"/>
      <c r="D759" s="9"/>
      <c r="E759" s="18"/>
      <c r="F759" s="19"/>
      <c r="G759" s="14"/>
      <c r="H759" s="22"/>
      <c r="I759" s="22"/>
      <c r="J759" s="20"/>
      <c r="K759" s="21"/>
    </row>
    <row r="760" spans="1:11" x14ac:dyDescent="0.35">
      <c r="A760" s="22"/>
      <c r="B760" s="9"/>
      <c r="C760" s="9"/>
      <c r="D760" s="9"/>
      <c r="E760" s="18"/>
      <c r="F760" s="19"/>
      <c r="G760" s="14"/>
      <c r="H760" s="22"/>
      <c r="I760" s="22"/>
      <c r="J760" s="20"/>
      <c r="K760" s="21"/>
    </row>
    <row r="761" spans="1:11" x14ac:dyDescent="0.35">
      <c r="A761" s="22"/>
      <c r="B761" s="9"/>
      <c r="C761" s="9"/>
      <c r="D761" s="9"/>
      <c r="E761" s="18"/>
      <c r="F761" s="19"/>
      <c r="G761" s="14"/>
      <c r="H761" s="22"/>
      <c r="I761" s="22"/>
      <c r="J761" s="20"/>
      <c r="K761" s="21"/>
    </row>
    <row r="762" spans="1:11" x14ac:dyDescent="0.35">
      <c r="A762" s="22"/>
      <c r="B762" s="9"/>
      <c r="C762" s="9"/>
      <c r="D762" s="9"/>
      <c r="E762" s="18"/>
      <c r="F762" s="19"/>
      <c r="G762" s="14"/>
      <c r="H762" s="22"/>
      <c r="I762" s="22"/>
      <c r="J762" s="20"/>
      <c r="K762" s="21"/>
    </row>
    <row r="763" spans="1:11" x14ac:dyDescent="0.35">
      <c r="A763" s="22"/>
      <c r="B763" s="9"/>
      <c r="C763" s="9"/>
      <c r="D763" s="9"/>
      <c r="E763" s="18"/>
      <c r="F763" s="19"/>
      <c r="G763" s="14"/>
      <c r="H763" s="22"/>
      <c r="I763" s="22"/>
      <c r="J763" s="20"/>
      <c r="K763" s="21"/>
    </row>
    <row r="764" spans="1:11" x14ac:dyDescent="0.35">
      <c r="A764" s="22"/>
      <c r="B764" s="9"/>
      <c r="C764" s="9"/>
      <c r="D764" s="9"/>
      <c r="E764" s="18"/>
      <c r="F764" s="19"/>
      <c r="G764" s="14"/>
      <c r="H764" s="22"/>
      <c r="I764" s="22"/>
      <c r="J764" s="20"/>
      <c r="K764" s="21"/>
    </row>
    <row r="765" spans="1:11" x14ac:dyDescent="0.35">
      <c r="A765" s="22"/>
      <c r="B765" s="9"/>
      <c r="C765" s="9"/>
      <c r="D765" s="9"/>
      <c r="E765" s="18"/>
      <c r="F765" s="19"/>
      <c r="G765" s="14"/>
      <c r="H765" s="22"/>
      <c r="I765" s="22"/>
      <c r="J765" s="20"/>
      <c r="K765" s="21"/>
    </row>
    <row r="766" spans="1:11" x14ac:dyDescent="0.35">
      <c r="A766" s="22"/>
      <c r="B766" s="9"/>
      <c r="C766" s="9"/>
      <c r="D766" s="9"/>
      <c r="E766" s="18"/>
      <c r="F766" s="19"/>
      <c r="G766" s="14"/>
      <c r="H766" s="22"/>
      <c r="I766" s="22"/>
      <c r="J766" s="20"/>
      <c r="K766" s="21"/>
    </row>
    <row r="767" spans="1:11" x14ac:dyDescent="0.35">
      <c r="A767" s="22"/>
      <c r="B767" s="9"/>
      <c r="C767" s="9"/>
      <c r="D767" s="9"/>
      <c r="E767" s="18"/>
      <c r="F767" s="19"/>
      <c r="G767" s="14"/>
      <c r="H767" s="22"/>
      <c r="I767" s="22"/>
      <c r="J767" s="20"/>
      <c r="K767" s="21"/>
    </row>
    <row r="768" spans="1:11" x14ac:dyDescent="0.35">
      <c r="A768" s="22"/>
      <c r="B768" s="9"/>
      <c r="C768" s="9"/>
      <c r="D768" s="9"/>
      <c r="E768" s="18"/>
      <c r="F768" s="19"/>
      <c r="G768" s="14"/>
      <c r="H768" s="22"/>
      <c r="I768" s="22"/>
      <c r="J768" s="20"/>
      <c r="K768" s="21"/>
    </row>
    <row r="769" spans="1:11" x14ac:dyDescent="0.35">
      <c r="A769" s="22"/>
      <c r="B769" s="9"/>
      <c r="C769" s="9"/>
      <c r="D769" s="9"/>
      <c r="E769" s="18"/>
      <c r="F769" s="19"/>
      <c r="G769" s="14"/>
      <c r="H769" s="22"/>
      <c r="I769" s="22"/>
      <c r="J769" s="20"/>
      <c r="K769" s="21"/>
    </row>
    <row r="770" spans="1:11" x14ac:dyDescent="0.35">
      <c r="A770" s="22"/>
      <c r="B770" s="9"/>
      <c r="C770" s="9"/>
      <c r="D770" s="9"/>
      <c r="E770" s="18"/>
      <c r="F770" s="19"/>
      <c r="G770" s="14"/>
      <c r="H770" s="22"/>
      <c r="I770" s="22"/>
      <c r="J770" s="20"/>
      <c r="K770" s="21"/>
    </row>
    <row r="771" spans="1:11" x14ac:dyDescent="0.35">
      <c r="A771" s="22"/>
      <c r="B771" s="9"/>
      <c r="C771" s="9"/>
      <c r="D771" s="9"/>
      <c r="E771" s="18"/>
      <c r="F771" s="19"/>
      <c r="G771" s="14"/>
      <c r="H771" s="22"/>
      <c r="I771" s="22"/>
      <c r="J771" s="20"/>
      <c r="K771" s="21"/>
    </row>
    <row r="772" spans="1:11" x14ac:dyDescent="0.35">
      <c r="A772" s="22"/>
      <c r="B772" s="9"/>
      <c r="C772" s="9"/>
      <c r="D772" s="9"/>
      <c r="E772" s="18"/>
      <c r="F772" s="19"/>
      <c r="G772" s="14"/>
      <c r="H772" s="22"/>
      <c r="I772" s="22"/>
      <c r="J772" s="20"/>
      <c r="K772" s="21"/>
    </row>
    <row r="773" spans="1:11" x14ac:dyDescent="0.35">
      <c r="A773" s="22"/>
      <c r="B773" s="9"/>
      <c r="C773" s="9"/>
      <c r="D773" s="9"/>
      <c r="E773" s="18"/>
      <c r="F773" s="19"/>
      <c r="G773" s="14"/>
      <c r="H773" s="22"/>
      <c r="I773" s="22"/>
      <c r="J773" s="20"/>
      <c r="K773" s="21"/>
    </row>
    <row r="774" spans="1:11" x14ac:dyDescent="0.35">
      <c r="A774" s="22"/>
      <c r="B774" s="9"/>
      <c r="C774" s="9"/>
      <c r="D774" s="9"/>
      <c r="E774" s="18"/>
      <c r="F774" s="19"/>
      <c r="G774" s="14"/>
      <c r="H774" s="22"/>
      <c r="I774" s="22"/>
      <c r="J774" s="20"/>
      <c r="K774" s="21"/>
    </row>
    <row r="775" spans="1:11" x14ac:dyDescent="0.35">
      <c r="A775" s="22"/>
      <c r="B775" s="9"/>
      <c r="C775" s="9"/>
      <c r="D775" s="9"/>
      <c r="E775" s="18"/>
      <c r="F775" s="19"/>
      <c r="G775" s="14"/>
      <c r="H775" s="22"/>
      <c r="I775" s="22"/>
      <c r="J775" s="20"/>
      <c r="K775" s="21"/>
    </row>
    <row r="776" spans="1:11" x14ac:dyDescent="0.35">
      <c r="A776" s="22"/>
      <c r="B776" s="9"/>
      <c r="C776" s="9"/>
      <c r="D776" s="9"/>
      <c r="E776" s="18"/>
      <c r="F776" s="19"/>
      <c r="G776" s="14"/>
      <c r="H776" s="22"/>
      <c r="I776" s="22"/>
      <c r="J776" s="20"/>
      <c r="K776" s="21"/>
    </row>
    <row r="777" spans="1:11" x14ac:dyDescent="0.35">
      <c r="A777" s="22"/>
      <c r="B777" s="9"/>
      <c r="C777" s="9"/>
      <c r="D777" s="9"/>
      <c r="E777" s="18"/>
      <c r="F777" s="19"/>
      <c r="G777" s="14"/>
      <c r="H777" s="22"/>
      <c r="I777" s="22"/>
      <c r="J777" s="20"/>
      <c r="K777" s="21"/>
    </row>
    <row r="778" spans="1:11" x14ac:dyDescent="0.35">
      <c r="A778" s="22"/>
      <c r="B778" s="9"/>
      <c r="C778" s="9"/>
      <c r="D778" s="9"/>
      <c r="E778" s="18"/>
      <c r="F778" s="19"/>
      <c r="G778" s="14"/>
      <c r="H778" s="22"/>
      <c r="I778" s="22"/>
      <c r="J778" s="20"/>
      <c r="K778" s="21"/>
    </row>
    <row r="779" spans="1:11" x14ac:dyDescent="0.35">
      <c r="A779" s="22"/>
      <c r="B779" s="9"/>
      <c r="C779" s="9"/>
      <c r="D779" s="9"/>
      <c r="E779" s="18"/>
      <c r="F779" s="19"/>
      <c r="G779" s="14"/>
      <c r="H779" s="22"/>
      <c r="I779" s="22"/>
      <c r="J779" s="20"/>
      <c r="K779" s="21"/>
    </row>
    <row r="780" spans="1:11" x14ac:dyDescent="0.35">
      <c r="A780" s="22"/>
      <c r="B780" s="9"/>
      <c r="C780" s="9"/>
      <c r="D780" s="9"/>
      <c r="E780" s="18"/>
      <c r="F780" s="19"/>
      <c r="G780" s="14"/>
      <c r="H780" s="22"/>
      <c r="I780" s="22"/>
      <c r="J780" s="20"/>
      <c r="K780" s="21"/>
    </row>
    <row r="781" spans="1:11" x14ac:dyDescent="0.35">
      <c r="A781" s="22"/>
      <c r="B781" s="9"/>
      <c r="C781" s="9"/>
      <c r="D781" s="9"/>
      <c r="E781" s="18"/>
      <c r="F781" s="19"/>
      <c r="G781" s="14"/>
      <c r="H781" s="22"/>
      <c r="I781" s="22"/>
      <c r="J781" s="20"/>
      <c r="K781" s="21"/>
    </row>
    <row r="782" spans="1:11" x14ac:dyDescent="0.35">
      <c r="A782" s="22"/>
      <c r="B782" s="9"/>
      <c r="C782" s="9"/>
      <c r="D782" s="9"/>
      <c r="E782" s="18"/>
      <c r="F782" s="19"/>
      <c r="G782" s="14"/>
      <c r="H782" s="22"/>
      <c r="I782" s="22"/>
      <c r="J782" s="20"/>
      <c r="K782" s="21"/>
    </row>
    <row r="783" spans="1:11" x14ac:dyDescent="0.35">
      <c r="A783" s="22"/>
      <c r="B783" s="9"/>
      <c r="C783" s="9"/>
      <c r="D783" s="9"/>
      <c r="E783" s="18"/>
      <c r="F783" s="19"/>
      <c r="G783" s="14"/>
      <c r="H783" s="22"/>
      <c r="I783" s="22"/>
      <c r="J783" s="20"/>
      <c r="K783" s="21"/>
    </row>
    <row r="784" spans="1:11" x14ac:dyDescent="0.35">
      <c r="A784" s="22"/>
      <c r="B784" s="9"/>
      <c r="C784" s="9"/>
      <c r="D784" s="9"/>
      <c r="E784" s="18"/>
      <c r="F784" s="19"/>
      <c r="G784" s="14"/>
      <c r="H784" s="22"/>
      <c r="I784" s="22"/>
      <c r="J784" s="20"/>
      <c r="K784" s="21"/>
    </row>
    <row r="785" spans="1:11" x14ac:dyDescent="0.35">
      <c r="A785" s="22"/>
      <c r="B785" s="9"/>
      <c r="C785" s="9"/>
      <c r="D785" s="9"/>
      <c r="E785" s="18"/>
      <c r="F785" s="19"/>
      <c r="G785" s="14"/>
      <c r="H785" s="22"/>
      <c r="I785" s="22"/>
      <c r="J785" s="20"/>
      <c r="K785" s="21"/>
    </row>
    <row r="786" spans="1:11" x14ac:dyDescent="0.35">
      <c r="A786" s="22"/>
      <c r="B786" s="9"/>
      <c r="C786" s="9"/>
      <c r="D786" s="9"/>
      <c r="E786" s="18"/>
      <c r="F786" s="19"/>
      <c r="G786" s="14"/>
      <c r="H786" s="22"/>
      <c r="I786" s="22"/>
      <c r="J786" s="20"/>
      <c r="K786" s="21"/>
    </row>
    <row r="787" spans="1:11" x14ac:dyDescent="0.35">
      <c r="A787" s="22"/>
      <c r="B787" s="9"/>
      <c r="C787" s="9"/>
      <c r="D787" s="9"/>
      <c r="E787" s="18"/>
      <c r="F787" s="19"/>
      <c r="G787" s="14"/>
      <c r="H787" s="22"/>
      <c r="I787" s="22"/>
      <c r="J787" s="20"/>
      <c r="K787" s="21"/>
    </row>
    <row r="788" spans="1:11" x14ac:dyDescent="0.35">
      <c r="A788" s="22"/>
      <c r="B788" s="9"/>
      <c r="C788" s="9"/>
      <c r="D788" s="9"/>
      <c r="E788" s="18"/>
      <c r="F788" s="19"/>
      <c r="G788" s="14"/>
      <c r="H788" s="22"/>
      <c r="I788" s="22"/>
      <c r="J788" s="20"/>
      <c r="K788" s="21"/>
    </row>
    <row r="789" spans="1:11" x14ac:dyDescent="0.35">
      <c r="A789" s="22"/>
      <c r="B789" s="9"/>
      <c r="C789" s="9"/>
      <c r="D789" s="9"/>
      <c r="E789" s="18"/>
      <c r="F789" s="19"/>
      <c r="G789" s="14"/>
      <c r="H789" s="22"/>
      <c r="I789" s="22"/>
      <c r="J789" s="20"/>
      <c r="K789" s="21"/>
    </row>
    <row r="790" spans="1:11" x14ac:dyDescent="0.35">
      <c r="A790" s="22"/>
      <c r="B790" s="9"/>
      <c r="C790" s="9"/>
      <c r="D790" s="9"/>
      <c r="E790" s="18"/>
      <c r="F790" s="19"/>
      <c r="G790" s="14"/>
      <c r="H790" s="22"/>
      <c r="I790" s="22"/>
      <c r="J790" s="20"/>
      <c r="K790" s="21"/>
    </row>
    <row r="791" spans="1:11" x14ac:dyDescent="0.35">
      <c r="A791" s="22"/>
      <c r="B791" s="9"/>
      <c r="C791" s="9"/>
      <c r="D791" s="9"/>
      <c r="E791" s="18"/>
      <c r="F791" s="19"/>
      <c r="G791" s="14"/>
      <c r="H791" s="22"/>
      <c r="I791" s="22"/>
      <c r="J791" s="20"/>
      <c r="K791" s="21"/>
    </row>
    <row r="792" spans="1:11" x14ac:dyDescent="0.35">
      <c r="A792" s="22"/>
      <c r="B792" s="9"/>
      <c r="C792" s="9"/>
      <c r="D792" s="9"/>
      <c r="E792" s="18"/>
      <c r="F792" s="19"/>
      <c r="G792" s="14"/>
      <c r="H792" s="22"/>
      <c r="I792" s="22"/>
      <c r="J792" s="20"/>
      <c r="K792" s="21"/>
    </row>
    <row r="793" spans="1:11" x14ac:dyDescent="0.35">
      <c r="A793" s="22"/>
      <c r="B793" s="9"/>
      <c r="C793" s="9"/>
      <c r="D793" s="9"/>
      <c r="E793" s="18"/>
      <c r="F793" s="19"/>
      <c r="G793" s="14"/>
      <c r="H793" s="22"/>
      <c r="I793" s="22"/>
      <c r="J793" s="20"/>
      <c r="K793" s="21"/>
    </row>
    <row r="794" spans="1:11" x14ac:dyDescent="0.35">
      <c r="A794" s="22"/>
      <c r="B794" s="9"/>
      <c r="C794" s="9"/>
      <c r="D794" s="9"/>
      <c r="E794" s="18"/>
      <c r="F794" s="19"/>
      <c r="G794" s="14"/>
      <c r="H794" s="22"/>
      <c r="I794" s="22"/>
      <c r="J794" s="20"/>
      <c r="K794" s="21"/>
    </row>
    <row r="795" spans="1:11" x14ac:dyDescent="0.35">
      <c r="A795" s="22"/>
      <c r="B795" s="9"/>
      <c r="C795" s="9"/>
      <c r="D795" s="9"/>
      <c r="E795" s="18"/>
      <c r="F795" s="19"/>
      <c r="G795" s="14"/>
      <c r="H795" s="22"/>
      <c r="I795" s="22"/>
      <c r="J795" s="20"/>
      <c r="K795" s="21"/>
    </row>
    <row r="796" spans="1:11" x14ac:dyDescent="0.35">
      <c r="A796" s="22"/>
      <c r="B796" s="9"/>
      <c r="C796" s="9"/>
      <c r="D796" s="9"/>
      <c r="E796" s="18"/>
      <c r="F796" s="19"/>
      <c r="G796" s="14"/>
      <c r="H796" s="22"/>
      <c r="I796" s="22"/>
      <c r="J796" s="20"/>
      <c r="K796" s="21"/>
    </row>
    <row r="797" spans="1:11" x14ac:dyDescent="0.35">
      <c r="A797" s="22"/>
      <c r="B797" s="9"/>
      <c r="C797" s="9"/>
      <c r="D797" s="9"/>
      <c r="E797" s="18"/>
      <c r="F797" s="19"/>
      <c r="G797" s="14"/>
      <c r="H797" s="22"/>
      <c r="I797" s="22"/>
      <c r="J797" s="20"/>
      <c r="K797" s="21"/>
    </row>
    <row r="798" spans="1:11" x14ac:dyDescent="0.35">
      <c r="A798" s="22"/>
      <c r="B798" s="9"/>
      <c r="C798" s="9"/>
      <c r="D798" s="9"/>
      <c r="E798" s="18"/>
      <c r="F798" s="19"/>
      <c r="G798" s="14"/>
      <c r="H798" s="22"/>
      <c r="I798" s="22"/>
      <c r="J798" s="20"/>
      <c r="K798" s="21"/>
    </row>
    <row r="799" spans="1:11" x14ac:dyDescent="0.35">
      <c r="A799" s="22"/>
      <c r="B799" s="9"/>
      <c r="C799" s="9"/>
      <c r="D799" s="9"/>
      <c r="E799" s="18"/>
      <c r="F799" s="19"/>
      <c r="G799" s="14"/>
      <c r="H799" s="22"/>
      <c r="I799" s="22"/>
      <c r="J799" s="20"/>
      <c r="K799" s="21"/>
    </row>
    <row r="800" spans="1:11" x14ac:dyDescent="0.35">
      <c r="A800" s="22"/>
      <c r="B800" s="9"/>
      <c r="C800" s="9"/>
      <c r="D800" s="9"/>
      <c r="E800" s="18"/>
      <c r="F800" s="19"/>
      <c r="G800" s="14"/>
      <c r="H800" s="22"/>
      <c r="I800" s="22"/>
      <c r="J800" s="20"/>
      <c r="K800" s="21"/>
    </row>
    <row r="801" spans="1:11" x14ac:dyDescent="0.35">
      <c r="A801" s="22"/>
      <c r="B801" s="9"/>
      <c r="C801" s="9"/>
      <c r="D801" s="9"/>
      <c r="E801" s="18"/>
      <c r="F801" s="19"/>
      <c r="G801" s="14"/>
      <c r="H801" s="22"/>
      <c r="I801" s="22"/>
      <c r="J801" s="20"/>
      <c r="K801" s="21"/>
    </row>
    <row r="802" spans="1:11" x14ac:dyDescent="0.35">
      <c r="A802" s="22"/>
      <c r="B802" s="9"/>
      <c r="C802" s="9"/>
      <c r="D802" s="9"/>
      <c r="E802" s="18"/>
      <c r="F802" s="19"/>
      <c r="G802" s="14"/>
      <c r="H802" s="22"/>
      <c r="I802" s="22"/>
      <c r="J802" s="20"/>
      <c r="K802" s="21"/>
    </row>
    <row r="803" spans="1:11" x14ac:dyDescent="0.35">
      <c r="A803" s="22"/>
      <c r="B803" s="9"/>
      <c r="C803" s="9"/>
      <c r="D803" s="9"/>
      <c r="E803" s="18"/>
      <c r="F803" s="19"/>
      <c r="G803" s="14"/>
      <c r="H803" s="22"/>
      <c r="I803" s="22"/>
      <c r="J803" s="20"/>
      <c r="K803" s="21"/>
    </row>
    <row r="804" spans="1:11" x14ac:dyDescent="0.35">
      <c r="A804" s="22"/>
      <c r="B804" s="9"/>
      <c r="C804" s="9"/>
      <c r="D804" s="9"/>
      <c r="E804" s="18"/>
      <c r="F804" s="19"/>
      <c r="G804" s="14"/>
      <c r="H804" s="22"/>
      <c r="I804" s="22"/>
      <c r="J804" s="20"/>
      <c r="K804" s="21"/>
    </row>
    <row r="805" spans="1:11" x14ac:dyDescent="0.35">
      <c r="A805" s="22"/>
      <c r="B805" s="9"/>
      <c r="C805" s="9"/>
      <c r="D805" s="9"/>
      <c r="E805" s="18"/>
      <c r="F805" s="19"/>
      <c r="G805" s="14"/>
      <c r="H805" s="22"/>
      <c r="I805" s="22"/>
      <c r="J805" s="20"/>
      <c r="K805" s="21"/>
    </row>
    <row r="806" spans="1:11" x14ac:dyDescent="0.35">
      <c r="A806" s="22"/>
      <c r="B806" s="9"/>
      <c r="C806" s="9"/>
      <c r="D806" s="9"/>
      <c r="E806" s="18"/>
      <c r="F806" s="19"/>
      <c r="G806" s="14"/>
      <c r="H806" s="22"/>
      <c r="I806" s="22"/>
      <c r="J806" s="20"/>
      <c r="K806" s="21"/>
    </row>
    <row r="807" spans="1:11" x14ac:dyDescent="0.35">
      <c r="A807" s="22"/>
      <c r="B807" s="9"/>
      <c r="C807" s="9"/>
      <c r="D807" s="9"/>
      <c r="E807" s="18"/>
      <c r="F807" s="19"/>
      <c r="G807" s="14"/>
      <c r="H807" s="22"/>
      <c r="I807" s="22"/>
      <c r="J807" s="20"/>
      <c r="K807" s="21"/>
    </row>
    <row r="808" spans="1:11" x14ac:dyDescent="0.35">
      <c r="A808" s="22"/>
      <c r="B808" s="9"/>
      <c r="C808" s="9"/>
      <c r="D808" s="9"/>
      <c r="E808" s="18"/>
      <c r="F808" s="19"/>
      <c r="G808" s="14"/>
      <c r="H808" s="22"/>
      <c r="I808" s="22"/>
      <c r="J808" s="20"/>
      <c r="K808" s="21"/>
    </row>
    <row r="809" spans="1:11" x14ac:dyDescent="0.35">
      <c r="A809" s="22"/>
      <c r="B809" s="9"/>
      <c r="C809" s="9"/>
      <c r="D809" s="9"/>
      <c r="E809" s="18"/>
      <c r="F809" s="19"/>
      <c r="G809" s="14"/>
      <c r="H809" s="22"/>
      <c r="I809" s="22"/>
      <c r="J809" s="20"/>
      <c r="K809" s="21"/>
    </row>
    <row r="810" spans="1:11" x14ac:dyDescent="0.35">
      <c r="A810" s="22"/>
      <c r="B810" s="9"/>
      <c r="C810" s="9"/>
      <c r="D810" s="9"/>
      <c r="E810" s="18"/>
      <c r="F810" s="19"/>
      <c r="G810" s="14"/>
      <c r="H810" s="22"/>
      <c r="I810" s="22"/>
      <c r="J810" s="20"/>
      <c r="K810" s="21"/>
    </row>
    <row r="811" spans="1:11" x14ac:dyDescent="0.35">
      <c r="A811" s="22"/>
      <c r="B811" s="9"/>
      <c r="C811" s="9"/>
      <c r="D811" s="9"/>
      <c r="E811" s="18"/>
      <c r="F811" s="19"/>
      <c r="G811" s="14"/>
      <c r="H811" s="22"/>
      <c r="I811" s="22"/>
      <c r="J811" s="20"/>
      <c r="K811" s="21"/>
    </row>
    <row r="812" spans="1:11" x14ac:dyDescent="0.35">
      <c r="A812" s="22"/>
      <c r="B812" s="9"/>
      <c r="C812" s="9"/>
      <c r="D812" s="9"/>
      <c r="E812" s="18"/>
      <c r="F812" s="19"/>
      <c r="G812" s="14"/>
      <c r="H812" s="22"/>
      <c r="I812" s="22"/>
      <c r="J812" s="20"/>
      <c r="K812" s="21"/>
    </row>
    <row r="813" spans="1:11" x14ac:dyDescent="0.35">
      <c r="A813" s="22"/>
      <c r="B813" s="9"/>
      <c r="C813" s="9"/>
      <c r="D813" s="9"/>
      <c r="E813" s="18"/>
      <c r="F813" s="19"/>
      <c r="G813" s="14"/>
      <c r="H813" s="22"/>
      <c r="I813" s="22"/>
      <c r="J813" s="20"/>
      <c r="K813" s="21"/>
    </row>
    <row r="814" spans="1:11" x14ac:dyDescent="0.35">
      <c r="A814" s="22"/>
      <c r="B814" s="9"/>
      <c r="C814" s="9"/>
      <c r="D814" s="9"/>
      <c r="E814" s="18"/>
      <c r="F814" s="19"/>
      <c r="G814" s="14"/>
      <c r="H814" s="22"/>
      <c r="I814" s="22"/>
      <c r="J814" s="20"/>
      <c r="K814" s="21"/>
    </row>
    <row r="815" spans="1:11" x14ac:dyDescent="0.35">
      <c r="A815" s="22"/>
      <c r="B815" s="9"/>
      <c r="C815" s="9"/>
      <c r="D815" s="9"/>
      <c r="E815" s="18"/>
      <c r="F815" s="19"/>
      <c r="G815" s="14"/>
      <c r="H815" s="22"/>
      <c r="I815" s="22"/>
      <c r="J815" s="20"/>
      <c r="K815" s="21"/>
    </row>
    <row r="816" spans="1:11" x14ac:dyDescent="0.35">
      <c r="A816" s="22"/>
      <c r="B816" s="9"/>
      <c r="C816" s="9"/>
      <c r="D816" s="9"/>
      <c r="E816" s="18"/>
      <c r="F816" s="19"/>
      <c r="G816" s="14"/>
      <c r="H816" s="22"/>
      <c r="I816" s="22"/>
      <c r="J816" s="20"/>
      <c r="K816" s="21"/>
    </row>
    <row r="817" spans="1:11" x14ac:dyDescent="0.35">
      <c r="A817" s="22"/>
      <c r="B817" s="9"/>
      <c r="C817" s="9"/>
      <c r="D817" s="9"/>
      <c r="E817" s="18"/>
      <c r="F817" s="19"/>
      <c r="G817" s="14"/>
      <c r="H817" s="22"/>
      <c r="I817" s="22"/>
      <c r="J817" s="20"/>
      <c r="K817" s="21"/>
    </row>
    <row r="818" spans="1:11" x14ac:dyDescent="0.35">
      <c r="A818" s="22"/>
      <c r="B818" s="9"/>
      <c r="C818" s="9"/>
      <c r="D818" s="9"/>
      <c r="E818" s="18"/>
      <c r="F818" s="19"/>
      <c r="G818" s="14"/>
      <c r="H818" s="22"/>
      <c r="I818" s="22"/>
      <c r="J818" s="20"/>
      <c r="K818" s="21"/>
    </row>
    <row r="819" spans="1:11" x14ac:dyDescent="0.35">
      <c r="A819" s="22"/>
      <c r="B819" s="9"/>
      <c r="C819" s="9"/>
      <c r="D819" s="9"/>
      <c r="E819" s="18"/>
      <c r="F819" s="19"/>
      <c r="G819" s="14"/>
      <c r="H819" s="22"/>
      <c r="I819" s="22"/>
      <c r="J819" s="20"/>
      <c r="K819" s="21"/>
    </row>
    <row r="820" spans="1:11" x14ac:dyDescent="0.35">
      <c r="A820" s="22"/>
      <c r="B820" s="9"/>
      <c r="C820" s="9"/>
      <c r="D820" s="9"/>
      <c r="E820" s="18"/>
      <c r="F820" s="19"/>
      <c r="G820" s="14"/>
      <c r="H820" s="22"/>
      <c r="I820" s="22"/>
      <c r="J820" s="20"/>
      <c r="K820" s="21"/>
    </row>
    <row r="821" spans="1:11" x14ac:dyDescent="0.35">
      <c r="A821" s="22"/>
      <c r="B821" s="9"/>
      <c r="C821" s="9"/>
      <c r="D821" s="9"/>
      <c r="E821" s="18"/>
      <c r="F821" s="19"/>
      <c r="G821" s="14"/>
      <c r="H821" s="22"/>
      <c r="I821" s="22"/>
      <c r="J821" s="20"/>
      <c r="K821" s="21"/>
    </row>
    <row r="822" spans="1:11" x14ac:dyDescent="0.35">
      <c r="A822" s="22"/>
      <c r="B822" s="9"/>
      <c r="C822" s="9"/>
      <c r="D822" s="9"/>
      <c r="E822" s="18"/>
      <c r="F822" s="19"/>
      <c r="G822" s="14"/>
      <c r="H822" s="22"/>
      <c r="I822" s="22"/>
      <c r="J822" s="20"/>
      <c r="K822" s="21"/>
    </row>
    <row r="823" spans="1:11" x14ac:dyDescent="0.35">
      <c r="A823" s="22"/>
      <c r="B823" s="9"/>
      <c r="C823" s="9"/>
      <c r="D823" s="9"/>
      <c r="E823" s="18"/>
      <c r="F823" s="19"/>
      <c r="G823" s="14"/>
      <c r="H823" s="22"/>
      <c r="I823" s="22"/>
      <c r="J823" s="20"/>
      <c r="K823" s="21"/>
    </row>
    <row r="824" spans="1:11" x14ac:dyDescent="0.35">
      <c r="A824" s="22"/>
      <c r="B824" s="9"/>
      <c r="C824" s="9"/>
      <c r="D824" s="9"/>
      <c r="E824" s="18"/>
      <c r="F824" s="19"/>
      <c r="G824" s="14"/>
      <c r="H824" s="22"/>
      <c r="I824" s="22"/>
      <c r="J824" s="20"/>
      <c r="K824" s="21"/>
    </row>
    <row r="825" spans="1:11" x14ac:dyDescent="0.35">
      <c r="A825" s="22"/>
      <c r="B825" s="9"/>
      <c r="C825" s="9"/>
      <c r="D825" s="9"/>
      <c r="E825" s="18"/>
      <c r="F825" s="19"/>
      <c r="G825" s="14"/>
      <c r="H825" s="22"/>
      <c r="I825" s="22"/>
      <c r="J825" s="20"/>
      <c r="K825" s="21"/>
    </row>
    <row r="826" spans="1:11" x14ac:dyDescent="0.35">
      <c r="A826" s="22"/>
      <c r="B826" s="9"/>
      <c r="C826" s="9"/>
      <c r="D826" s="9"/>
      <c r="E826" s="18"/>
      <c r="F826" s="19"/>
      <c r="G826" s="14"/>
      <c r="H826" s="22"/>
      <c r="I826" s="22"/>
      <c r="J826" s="20"/>
      <c r="K826" s="21"/>
    </row>
    <row r="827" spans="1:11" x14ac:dyDescent="0.35">
      <c r="A827" s="22"/>
      <c r="B827" s="9"/>
      <c r="C827" s="9"/>
      <c r="D827" s="9"/>
      <c r="E827" s="18"/>
      <c r="F827" s="19"/>
      <c r="G827" s="14"/>
      <c r="H827" s="22"/>
      <c r="I827" s="22"/>
      <c r="J827" s="20"/>
      <c r="K827" s="21"/>
    </row>
    <row r="828" spans="1:11" x14ac:dyDescent="0.35">
      <c r="A828" s="22"/>
      <c r="B828" s="9"/>
      <c r="C828" s="9"/>
      <c r="D828" s="9"/>
      <c r="E828" s="18"/>
      <c r="F828" s="19"/>
      <c r="G828" s="14"/>
      <c r="H828" s="22"/>
      <c r="I828" s="22"/>
      <c r="J828" s="20"/>
      <c r="K828" s="21"/>
    </row>
    <row r="829" spans="1:11" x14ac:dyDescent="0.35">
      <c r="A829" s="22"/>
      <c r="B829" s="9"/>
      <c r="C829" s="9"/>
      <c r="D829" s="9"/>
      <c r="E829" s="18"/>
      <c r="F829" s="19"/>
      <c r="G829" s="14"/>
      <c r="H829" s="22"/>
      <c r="I829" s="22"/>
      <c r="J829" s="20"/>
      <c r="K829" s="21"/>
    </row>
    <row r="830" spans="1:11" x14ac:dyDescent="0.35">
      <c r="A830" s="22"/>
      <c r="B830" s="9"/>
      <c r="C830" s="9"/>
      <c r="D830" s="9"/>
      <c r="E830" s="18"/>
      <c r="F830" s="19"/>
      <c r="G830" s="14"/>
      <c r="H830" s="22"/>
      <c r="I830" s="22"/>
      <c r="J830" s="20"/>
      <c r="K830" s="21"/>
    </row>
    <row r="831" spans="1:11" x14ac:dyDescent="0.35">
      <c r="A831" s="22"/>
      <c r="B831" s="9"/>
      <c r="C831" s="9"/>
      <c r="D831" s="9"/>
      <c r="E831" s="18"/>
      <c r="F831" s="19"/>
      <c r="G831" s="14"/>
      <c r="H831" s="22"/>
      <c r="I831" s="22"/>
      <c r="J831" s="20"/>
      <c r="K831" s="21"/>
    </row>
    <row r="832" spans="1:11" x14ac:dyDescent="0.35">
      <c r="A832" s="22"/>
      <c r="B832" s="9"/>
      <c r="C832" s="9"/>
      <c r="D832" s="9"/>
      <c r="E832" s="18"/>
      <c r="F832" s="19"/>
      <c r="G832" s="14"/>
      <c r="H832" s="22"/>
      <c r="I832" s="22"/>
      <c r="J832" s="20"/>
      <c r="K832" s="21"/>
    </row>
    <row r="833" spans="1:11" x14ac:dyDescent="0.35">
      <c r="A833" s="22"/>
      <c r="B833" s="9"/>
      <c r="C833" s="9"/>
      <c r="D833" s="9"/>
      <c r="E833" s="18"/>
      <c r="F833" s="19"/>
      <c r="G833" s="14"/>
      <c r="H833" s="22"/>
      <c r="I833" s="22"/>
      <c r="J833" s="20"/>
      <c r="K833" s="21"/>
    </row>
    <row r="834" spans="1:11" x14ac:dyDescent="0.35">
      <c r="A834" s="22"/>
      <c r="B834" s="9"/>
      <c r="C834" s="9"/>
      <c r="D834" s="9"/>
      <c r="E834" s="18"/>
      <c r="F834" s="19"/>
      <c r="G834" s="14"/>
      <c r="H834" s="22"/>
      <c r="I834" s="22"/>
      <c r="J834" s="20"/>
      <c r="K834" s="21"/>
    </row>
    <row r="835" spans="1:11" x14ac:dyDescent="0.35">
      <c r="A835" s="22"/>
      <c r="B835" s="9"/>
      <c r="C835" s="9"/>
      <c r="D835" s="9"/>
      <c r="E835" s="18"/>
      <c r="F835" s="19"/>
      <c r="G835" s="14"/>
      <c r="H835" s="22"/>
      <c r="I835" s="22"/>
      <c r="J835" s="20"/>
      <c r="K835" s="21"/>
    </row>
    <row r="836" spans="1:11" x14ac:dyDescent="0.35">
      <c r="A836" s="22"/>
      <c r="B836" s="9"/>
      <c r="C836" s="9"/>
      <c r="D836" s="9"/>
      <c r="E836" s="18"/>
      <c r="F836" s="19"/>
      <c r="G836" s="14"/>
      <c r="H836" s="22"/>
      <c r="I836" s="22"/>
      <c r="J836" s="20"/>
      <c r="K836" s="21"/>
    </row>
    <row r="837" spans="1:11" x14ac:dyDescent="0.35">
      <c r="A837" s="22"/>
      <c r="B837" s="9"/>
      <c r="C837" s="9"/>
      <c r="D837" s="9"/>
      <c r="E837" s="18"/>
      <c r="F837" s="19"/>
      <c r="G837" s="14"/>
      <c r="H837" s="22"/>
      <c r="I837" s="22"/>
      <c r="J837" s="20"/>
      <c r="K837" s="21"/>
    </row>
    <row r="838" spans="1:11" x14ac:dyDescent="0.35">
      <c r="A838" s="22"/>
      <c r="B838" s="9"/>
      <c r="C838" s="9"/>
      <c r="D838" s="9"/>
      <c r="E838" s="18"/>
      <c r="F838" s="19"/>
      <c r="G838" s="14"/>
      <c r="H838" s="22"/>
      <c r="I838" s="22"/>
      <c r="J838" s="20"/>
      <c r="K838" s="21"/>
    </row>
    <row r="839" spans="1:11" x14ac:dyDescent="0.35">
      <c r="A839" s="22"/>
      <c r="B839" s="9"/>
      <c r="C839" s="9"/>
      <c r="D839" s="9"/>
      <c r="E839" s="18"/>
      <c r="F839" s="19"/>
      <c r="G839" s="14"/>
      <c r="H839" s="22"/>
      <c r="I839" s="22"/>
      <c r="J839" s="20"/>
      <c r="K839" s="21"/>
    </row>
    <row r="840" spans="1:11" x14ac:dyDescent="0.35">
      <c r="A840" s="22"/>
      <c r="B840" s="9"/>
      <c r="C840" s="9"/>
      <c r="D840" s="9"/>
      <c r="E840" s="18"/>
      <c r="F840" s="19"/>
      <c r="G840" s="14"/>
      <c r="H840" s="22"/>
      <c r="I840" s="22"/>
      <c r="J840" s="20"/>
      <c r="K840" s="21"/>
    </row>
    <row r="841" spans="1:11" x14ac:dyDescent="0.35">
      <c r="A841" s="22"/>
      <c r="B841" s="9"/>
      <c r="C841" s="9"/>
      <c r="D841" s="9"/>
      <c r="E841" s="18"/>
      <c r="F841" s="19"/>
      <c r="G841" s="14"/>
      <c r="H841" s="22"/>
      <c r="I841" s="22"/>
      <c r="J841" s="20"/>
      <c r="K841" s="21"/>
    </row>
    <row r="842" spans="1:11" x14ac:dyDescent="0.35">
      <c r="A842" s="22"/>
      <c r="B842" s="9"/>
      <c r="C842" s="9"/>
      <c r="D842" s="9"/>
      <c r="E842" s="18"/>
      <c r="F842" s="19"/>
      <c r="G842" s="14"/>
      <c r="H842" s="22"/>
      <c r="I842" s="22"/>
      <c r="J842" s="20"/>
      <c r="K842" s="21"/>
    </row>
    <row r="843" spans="1:11" x14ac:dyDescent="0.35">
      <c r="A843" s="22"/>
      <c r="B843" s="9"/>
      <c r="C843" s="9"/>
      <c r="D843" s="9"/>
      <c r="E843" s="18"/>
      <c r="F843" s="19"/>
      <c r="G843" s="14"/>
      <c r="H843" s="22"/>
      <c r="I843" s="22"/>
      <c r="J843" s="20"/>
      <c r="K843" s="21"/>
    </row>
    <row r="844" spans="1:11" x14ac:dyDescent="0.35">
      <c r="A844" s="22"/>
      <c r="B844" s="9"/>
      <c r="C844" s="9"/>
      <c r="D844" s="9"/>
      <c r="E844" s="18"/>
      <c r="F844" s="19"/>
      <c r="G844" s="14"/>
      <c r="H844" s="22"/>
      <c r="I844" s="22"/>
      <c r="J844" s="20"/>
      <c r="K844" s="21"/>
    </row>
    <row r="845" spans="1:11" x14ac:dyDescent="0.35">
      <c r="A845" s="22"/>
      <c r="B845" s="9"/>
      <c r="C845" s="9"/>
      <c r="D845" s="9"/>
      <c r="E845" s="18"/>
      <c r="F845" s="19"/>
      <c r="G845" s="14"/>
      <c r="H845" s="22"/>
      <c r="I845" s="22"/>
      <c r="J845" s="20"/>
      <c r="K845" s="21"/>
    </row>
    <row r="846" spans="1:11" x14ac:dyDescent="0.35">
      <c r="A846" s="22"/>
      <c r="B846" s="9"/>
      <c r="C846" s="9"/>
      <c r="D846" s="9"/>
      <c r="E846" s="18"/>
      <c r="F846" s="19"/>
      <c r="G846" s="14"/>
      <c r="H846" s="22"/>
      <c r="I846" s="22"/>
      <c r="J846" s="20"/>
      <c r="K846" s="21"/>
    </row>
    <row r="847" spans="1:11" x14ac:dyDescent="0.35">
      <c r="A847" s="22"/>
      <c r="B847" s="9"/>
      <c r="C847" s="9"/>
      <c r="D847" s="9"/>
      <c r="E847" s="18"/>
      <c r="F847" s="19"/>
      <c r="G847" s="14"/>
      <c r="H847" s="22"/>
      <c r="I847" s="22"/>
      <c r="J847" s="20"/>
      <c r="K847" s="21"/>
    </row>
    <row r="848" spans="1:11" x14ac:dyDescent="0.35">
      <c r="A848" s="22"/>
      <c r="B848" s="9"/>
      <c r="C848" s="9"/>
      <c r="D848" s="9"/>
      <c r="E848" s="18"/>
      <c r="F848" s="19"/>
      <c r="G848" s="14"/>
      <c r="H848" s="22"/>
      <c r="I848" s="22"/>
      <c r="J848" s="20"/>
      <c r="K848" s="21"/>
    </row>
    <row r="849" spans="1:11" x14ac:dyDescent="0.35">
      <c r="A849" s="22"/>
      <c r="B849" s="9"/>
      <c r="C849" s="9"/>
      <c r="D849" s="9"/>
      <c r="E849" s="18"/>
      <c r="F849" s="19"/>
      <c r="G849" s="14"/>
      <c r="H849" s="22"/>
      <c r="I849" s="22"/>
      <c r="J849" s="20"/>
      <c r="K849" s="21"/>
    </row>
    <row r="850" spans="1:11" x14ac:dyDescent="0.35">
      <c r="A850" s="22"/>
      <c r="B850" s="9"/>
      <c r="C850" s="9"/>
      <c r="D850" s="9"/>
      <c r="E850" s="18"/>
      <c r="F850" s="19"/>
      <c r="G850" s="14"/>
      <c r="H850" s="22"/>
      <c r="I850" s="22"/>
      <c r="J850" s="20"/>
      <c r="K850" s="21"/>
    </row>
    <row r="851" spans="1:11" x14ac:dyDescent="0.35">
      <c r="A851" s="22"/>
      <c r="B851" s="9"/>
      <c r="C851" s="9"/>
      <c r="D851" s="9"/>
      <c r="E851" s="18"/>
      <c r="F851" s="19"/>
      <c r="G851" s="14"/>
      <c r="H851" s="22"/>
      <c r="I851" s="22"/>
      <c r="J851" s="20"/>
      <c r="K851" s="21"/>
    </row>
    <row r="852" spans="1:11" x14ac:dyDescent="0.35">
      <c r="A852" s="22"/>
      <c r="B852" s="9"/>
      <c r="C852" s="9"/>
      <c r="D852" s="9"/>
      <c r="E852" s="18"/>
      <c r="F852" s="19"/>
      <c r="G852" s="14"/>
      <c r="H852" s="22"/>
      <c r="I852" s="22"/>
      <c r="J852" s="20"/>
      <c r="K852" s="21"/>
    </row>
    <row r="853" spans="1:11" x14ac:dyDescent="0.35">
      <c r="A853" s="22"/>
      <c r="B853" s="9"/>
      <c r="C853" s="9"/>
      <c r="D853" s="9"/>
      <c r="E853" s="18"/>
      <c r="F853" s="19"/>
      <c r="G853" s="14"/>
      <c r="H853" s="22"/>
      <c r="I853" s="22"/>
      <c r="J853" s="20"/>
      <c r="K853" s="21"/>
    </row>
    <row r="854" spans="1:11" x14ac:dyDescent="0.35">
      <c r="A854" s="22"/>
      <c r="B854" s="9"/>
      <c r="C854" s="9"/>
      <c r="D854" s="9"/>
      <c r="E854" s="18"/>
      <c r="F854" s="19"/>
      <c r="G854" s="14"/>
      <c r="H854" s="22"/>
      <c r="I854" s="22"/>
      <c r="J854" s="20"/>
      <c r="K854" s="21"/>
    </row>
    <row r="855" spans="1:11" x14ac:dyDescent="0.35">
      <c r="A855" s="22"/>
      <c r="B855" s="9"/>
      <c r="C855" s="9"/>
      <c r="D855" s="9"/>
      <c r="E855" s="18"/>
      <c r="F855" s="19"/>
      <c r="G855" s="14"/>
      <c r="H855" s="22"/>
      <c r="I855" s="22"/>
      <c r="J855" s="20"/>
      <c r="K855" s="21"/>
    </row>
    <row r="856" spans="1:11" x14ac:dyDescent="0.35">
      <c r="A856" s="22"/>
      <c r="B856" s="9"/>
      <c r="C856" s="9"/>
      <c r="D856" s="9"/>
      <c r="E856" s="18"/>
      <c r="F856" s="19"/>
      <c r="G856" s="14"/>
      <c r="H856" s="22"/>
      <c r="I856" s="22"/>
      <c r="J856" s="20"/>
      <c r="K856" s="21"/>
    </row>
    <row r="857" spans="1:11" x14ac:dyDescent="0.35">
      <c r="A857" s="22"/>
      <c r="B857" s="9"/>
      <c r="C857" s="9"/>
      <c r="D857" s="9"/>
      <c r="E857" s="18"/>
      <c r="F857" s="19"/>
      <c r="G857" s="14"/>
      <c r="H857" s="22"/>
      <c r="I857" s="22"/>
      <c r="J857" s="20"/>
      <c r="K857" s="21"/>
    </row>
    <row r="858" spans="1:11" x14ac:dyDescent="0.35">
      <c r="A858" s="22"/>
      <c r="B858" s="9"/>
      <c r="C858" s="9"/>
      <c r="D858" s="9"/>
      <c r="E858" s="18"/>
      <c r="F858" s="19"/>
      <c r="G858" s="14"/>
      <c r="H858" s="22"/>
      <c r="I858" s="22"/>
      <c r="J858" s="20"/>
      <c r="K858" s="21"/>
    </row>
    <row r="859" spans="1:11" x14ac:dyDescent="0.35">
      <c r="A859" s="22"/>
      <c r="B859" s="9"/>
      <c r="C859" s="9"/>
      <c r="D859" s="9"/>
      <c r="E859" s="18"/>
      <c r="F859" s="19"/>
      <c r="G859" s="14"/>
      <c r="H859" s="22"/>
      <c r="I859" s="22"/>
      <c r="J859" s="20"/>
      <c r="K859" s="21"/>
    </row>
    <row r="860" spans="1:11" x14ac:dyDescent="0.35">
      <c r="A860" s="22"/>
      <c r="B860" s="9"/>
      <c r="C860" s="9"/>
      <c r="D860" s="9"/>
      <c r="E860" s="18"/>
      <c r="F860" s="19"/>
      <c r="G860" s="14"/>
      <c r="H860" s="22"/>
      <c r="I860" s="22"/>
      <c r="J860" s="20"/>
      <c r="K860" s="21"/>
    </row>
    <row r="861" spans="1:11" x14ac:dyDescent="0.35">
      <c r="A861" s="22"/>
      <c r="B861" s="9"/>
      <c r="C861" s="9"/>
      <c r="D861" s="9"/>
      <c r="E861" s="18"/>
      <c r="F861" s="19"/>
      <c r="G861" s="14"/>
      <c r="H861" s="22"/>
      <c r="I861" s="22"/>
      <c r="J861" s="20"/>
      <c r="K861" s="21"/>
    </row>
    <row r="862" spans="1:11" x14ac:dyDescent="0.35">
      <c r="A862" s="22"/>
      <c r="B862" s="9"/>
      <c r="C862" s="9"/>
      <c r="D862" s="9"/>
      <c r="E862" s="18"/>
      <c r="F862" s="19"/>
      <c r="G862" s="14"/>
      <c r="H862" s="22"/>
      <c r="I862" s="22"/>
      <c r="J862" s="20"/>
      <c r="K862" s="21"/>
    </row>
    <row r="863" spans="1:11" x14ac:dyDescent="0.35">
      <c r="A863" s="22"/>
      <c r="B863" s="9"/>
      <c r="C863" s="9"/>
      <c r="D863" s="9"/>
      <c r="E863" s="18"/>
      <c r="F863" s="19"/>
      <c r="G863" s="14"/>
      <c r="H863" s="22"/>
      <c r="I863" s="22"/>
      <c r="J863" s="20"/>
      <c r="K863" s="21"/>
    </row>
    <row r="864" spans="1:11" x14ac:dyDescent="0.35">
      <c r="A864" s="22"/>
      <c r="B864" s="9"/>
      <c r="C864" s="9"/>
      <c r="D864" s="9"/>
      <c r="E864" s="18"/>
      <c r="F864" s="19"/>
      <c r="G864" s="14"/>
      <c r="H864" s="22"/>
      <c r="I864" s="22"/>
      <c r="J864" s="20"/>
      <c r="K864" s="21"/>
    </row>
    <row r="865" spans="1:11" x14ac:dyDescent="0.35">
      <c r="A865" s="22"/>
      <c r="B865" s="9"/>
      <c r="C865" s="9"/>
      <c r="D865" s="9"/>
      <c r="E865" s="18"/>
      <c r="F865" s="19"/>
      <c r="G865" s="14"/>
      <c r="H865" s="22"/>
      <c r="I865" s="22"/>
      <c r="J865" s="20"/>
      <c r="K865" s="21"/>
    </row>
    <row r="866" spans="1:11" x14ac:dyDescent="0.35">
      <c r="A866" s="22"/>
      <c r="B866" s="9"/>
      <c r="C866" s="9"/>
      <c r="D866" s="9"/>
      <c r="E866" s="18"/>
      <c r="F866" s="19"/>
      <c r="G866" s="14"/>
      <c r="H866" s="22"/>
      <c r="I866" s="22"/>
      <c r="J866" s="20"/>
      <c r="K866" s="21"/>
    </row>
    <row r="867" spans="1:11" x14ac:dyDescent="0.35">
      <c r="A867" s="22"/>
      <c r="B867" s="9"/>
      <c r="C867" s="9"/>
      <c r="D867" s="9"/>
      <c r="E867" s="18"/>
      <c r="F867" s="19"/>
      <c r="G867" s="14"/>
      <c r="H867" s="22"/>
      <c r="I867" s="22"/>
      <c r="J867" s="20"/>
      <c r="K867" s="21"/>
    </row>
    <row r="868" spans="1:11" x14ac:dyDescent="0.35">
      <c r="A868" s="22"/>
      <c r="B868" s="9"/>
      <c r="C868" s="9"/>
      <c r="D868" s="9"/>
      <c r="E868" s="18"/>
      <c r="F868" s="19"/>
      <c r="G868" s="14"/>
      <c r="H868" s="22"/>
      <c r="I868" s="22"/>
      <c r="J868" s="20"/>
      <c r="K868" s="21"/>
    </row>
    <row r="869" spans="1:11" x14ac:dyDescent="0.35">
      <c r="A869" s="22"/>
      <c r="B869" s="9"/>
      <c r="C869" s="9"/>
      <c r="D869" s="9"/>
      <c r="E869" s="18"/>
      <c r="F869" s="19"/>
      <c r="G869" s="14"/>
      <c r="H869" s="22"/>
      <c r="I869" s="22"/>
      <c r="J869" s="20"/>
      <c r="K869" s="21"/>
    </row>
    <row r="870" spans="1:11" x14ac:dyDescent="0.35">
      <c r="A870" s="22"/>
      <c r="B870" s="9"/>
      <c r="C870" s="9"/>
      <c r="D870" s="9"/>
      <c r="E870" s="18"/>
      <c r="F870" s="19"/>
      <c r="G870" s="14"/>
      <c r="H870" s="22"/>
      <c r="I870" s="22"/>
      <c r="J870" s="20"/>
      <c r="K870" s="21"/>
    </row>
    <row r="871" spans="1:11" x14ac:dyDescent="0.35">
      <c r="A871" s="22"/>
      <c r="B871" s="9"/>
      <c r="C871" s="9"/>
      <c r="D871" s="9"/>
      <c r="E871" s="18"/>
      <c r="F871" s="19"/>
      <c r="G871" s="14"/>
      <c r="H871" s="22"/>
      <c r="I871" s="22"/>
      <c r="J871" s="20"/>
      <c r="K871" s="21"/>
    </row>
    <row r="872" spans="1:11" x14ac:dyDescent="0.35">
      <c r="A872" s="22"/>
      <c r="B872" s="9"/>
      <c r="C872" s="9"/>
      <c r="D872" s="9"/>
      <c r="E872" s="18"/>
      <c r="F872" s="19"/>
      <c r="G872" s="14"/>
      <c r="H872" s="22"/>
      <c r="I872" s="22"/>
      <c r="J872" s="20"/>
      <c r="K872" s="21"/>
    </row>
    <row r="873" spans="1:11" x14ac:dyDescent="0.35">
      <c r="A873" s="22"/>
      <c r="B873" s="9"/>
      <c r="C873" s="9"/>
      <c r="D873" s="9"/>
      <c r="E873" s="18"/>
      <c r="F873" s="19"/>
      <c r="G873" s="14"/>
      <c r="H873" s="22"/>
      <c r="I873" s="22"/>
      <c r="J873" s="20"/>
      <c r="K873" s="21"/>
    </row>
    <row r="874" spans="1:11" x14ac:dyDescent="0.35">
      <c r="A874" s="22"/>
      <c r="B874" s="9"/>
      <c r="C874" s="9"/>
      <c r="D874" s="9"/>
      <c r="E874" s="18"/>
      <c r="F874" s="19"/>
      <c r="G874" s="14"/>
      <c r="H874" s="22"/>
      <c r="I874" s="22"/>
      <c r="J874" s="20"/>
      <c r="K874" s="21"/>
    </row>
    <row r="875" spans="1:11" x14ac:dyDescent="0.35">
      <c r="A875" s="22"/>
      <c r="B875" s="9"/>
      <c r="C875" s="9"/>
      <c r="D875" s="9"/>
      <c r="E875" s="18"/>
      <c r="F875" s="19"/>
      <c r="G875" s="14"/>
      <c r="H875" s="22"/>
      <c r="I875" s="22"/>
      <c r="J875" s="20"/>
      <c r="K875" s="21"/>
    </row>
    <row r="876" spans="1:11" x14ac:dyDescent="0.35">
      <c r="A876" s="22"/>
      <c r="B876" s="9"/>
      <c r="C876" s="9"/>
      <c r="D876" s="9"/>
      <c r="E876" s="18"/>
      <c r="F876" s="19"/>
      <c r="G876" s="14"/>
      <c r="H876" s="22"/>
      <c r="I876" s="22"/>
      <c r="J876" s="20"/>
      <c r="K876" s="21"/>
    </row>
    <row r="877" spans="1:11" x14ac:dyDescent="0.35">
      <c r="A877" s="22"/>
      <c r="B877" s="9"/>
      <c r="C877" s="9"/>
      <c r="D877" s="9"/>
      <c r="E877" s="18"/>
      <c r="F877" s="19"/>
      <c r="G877" s="14"/>
      <c r="H877" s="22"/>
      <c r="I877" s="22"/>
      <c r="J877" s="20"/>
      <c r="K877" s="21"/>
    </row>
    <row r="878" spans="1:11" x14ac:dyDescent="0.35">
      <c r="A878" s="22"/>
      <c r="B878" s="9"/>
      <c r="C878" s="9"/>
      <c r="D878" s="9"/>
      <c r="E878" s="18"/>
      <c r="F878" s="19"/>
      <c r="G878" s="14"/>
      <c r="H878" s="22"/>
      <c r="I878" s="22"/>
      <c r="J878" s="20"/>
      <c r="K878" s="21"/>
    </row>
    <row r="879" spans="1:11" x14ac:dyDescent="0.35">
      <c r="A879" s="22"/>
      <c r="B879" s="9"/>
      <c r="C879" s="9"/>
      <c r="D879" s="9"/>
      <c r="E879" s="18"/>
      <c r="F879" s="19"/>
      <c r="G879" s="14"/>
      <c r="H879" s="22"/>
      <c r="I879" s="22"/>
      <c r="J879" s="20"/>
      <c r="K879" s="21"/>
    </row>
    <row r="880" spans="1:11" x14ac:dyDescent="0.35">
      <c r="A880" s="22"/>
      <c r="B880" s="9"/>
      <c r="C880" s="9"/>
      <c r="D880" s="9"/>
      <c r="E880" s="18"/>
      <c r="F880" s="19"/>
      <c r="G880" s="14"/>
      <c r="H880" s="22"/>
      <c r="I880" s="22"/>
      <c r="J880" s="20"/>
      <c r="K880" s="21"/>
    </row>
    <row r="881" spans="1:11" x14ac:dyDescent="0.35">
      <c r="A881" s="22"/>
      <c r="B881" s="9"/>
      <c r="C881" s="9"/>
      <c r="D881" s="9"/>
      <c r="E881" s="18"/>
      <c r="F881" s="19"/>
      <c r="G881" s="14"/>
      <c r="H881" s="22"/>
      <c r="I881" s="22"/>
      <c r="J881" s="20"/>
      <c r="K881" s="21"/>
    </row>
    <row r="882" spans="1:11" x14ac:dyDescent="0.35">
      <c r="A882" s="22"/>
      <c r="B882" s="9"/>
      <c r="C882" s="9"/>
      <c r="D882" s="9"/>
      <c r="E882" s="18"/>
      <c r="F882" s="19"/>
      <c r="G882" s="14"/>
      <c r="H882" s="22"/>
      <c r="I882" s="22"/>
      <c r="J882" s="20"/>
      <c r="K882" s="21"/>
    </row>
    <row r="883" spans="1:11" x14ac:dyDescent="0.35">
      <c r="A883" s="22"/>
      <c r="B883" s="9"/>
      <c r="C883" s="9"/>
      <c r="D883" s="9"/>
      <c r="E883" s="18"/>
      <c r="F883" s="19"/>
      <c r="G883" s="14"/>
      <c r="H883" s="22"/>
      <c r="I883" s="22"/>
      <c r="J883" s="20"/>
      <c r="K883" s="21"/>
    </row>
    <row r="884" spans="1:11" x14ac:dyDescent="0.35">
      <c r="A884" s="22"/>
      <c r="B884" s="9"/>
      <c r="C884" s="9"/>
      <c r="D884" s="9"/>
      <c r="E884" s="18"/>
      <c r="F884" s="19"/>
      <c r="G884" s="14"/>
      <c r="H884" s="22"/>
      <c r="I884" s="22"/>
      <c r="J884" s="20"/>
      <c r="K884" s="21"/>
    </row>
    <row r="885" spans="1:11" x14ac:dyDescent="0.35">
      <c r="A885" s="22"/>
      <c r="B885" s="9"/>
      <c r="C885" s="9"/>
      <c r="D885" s="9"/>
      <c r="E885" s="18"/>
      <c r="F885" s="19"/>
      <c r="G885" s="14"/>
      <c r="H885" s="22"/>
      <c r="I885" s="22"/>
      <c r="J885" s="20"/>
      <c r="K885" s="21"/>
    </row>
    <row r="886" spans="1:11" x14ac:dyDescent="0.35">
      <c r="A886" s="22"/>
      <c r="B886" s="9"/>
      <c r="C886" s="9"/>
      <c r="D886" s="9"/>
      <c r="E886" s="18"/>
      <c r="F886" s="19"/>
      <c r="G886" s="14"/>
      <c r="H886" s="22"/>
      <c r="I886" s="22"/>
      <c r="J886" s="20"/>
      <c r="K886" s="21"/>
    </row>
    <row r="887" spans="1:11" x14ac:dyDescent="0.35">
      <c r="A887" s="22"/>
      <c r="B887" s="9"/>
      <c r="C887" s="9"/>
      <c r="D887" s="9"/>
      <c r="E887" s="18"/>
      <c r="F887" s="19"/>
      <c r="G887" s="14"/>
      <c r="H887" s="22"/>
      <c r="I887" s="22"/>
      <c r="J887" s="20"/>
      <c r="K887" s="21"/>
    </row>
    <row r="888" spans="1:11" x14ac:dyDescent="0.35">
      <c r="A888" s="22"/>
      <c r="B888" s="9"/>
      <c r="C888" s="9"/>
      <c r="D888" s="9"/>
      <c r="E888" s="18"/>
      <c r="F888" s="19"/>
      <c r="G888" s="14"/>
      <c r="H888" s="22"/>
      <c r="I888" s="22"/>
      <c r="J888" s="20"/>
      <c r="K888" s="21"/>
    </row>
    <row r="889" spans="1:11" x14ac:dyDescent="0.35">
      <c r="A889" s="22"/>
      <c r="B889" s="9"/>
      <c r="C889" s="9"/>
      <c r="D889" s="9"/>
      <c r="E889" s="18"/>
      <c r="F889" s="19"/>
      <c r="G889" s="14"/>
      <c r="H889" s="22"/>
      <c r="I889" s="22"/>
      <c r="J889" s="20"/>
      <c r="K889" s="21"/>
    </row>
    <row r="890" spans="1:11" x14ac:dyDescent="0.35">
      <c r="A890" s="22"/>
      <c r="B890" s="9"/>
      <c r="C890" s="9"/>
      <c r="D890" s="9"/>
      <c r="E890" s="18"/>
      <c r="F890" s="19"/>
      <c r="G890" s="14"/>
      <c r="H890" s="22"/>
      <c r="I890" s="22"/>
      <c r="J890" s="20"/>
      <c r="K890" s="21"/>
    </row>
    <row r="891" spans="1:11" x14ac:dyDescent="0.35">
      <c r="A891" s="22"/>
      <c r="B891" s="9"/>
      <c r="C891" s="9"/>
      <c r="D891" s="9"/>
      <c r="E891" s="18"/>
      <c r="F891" s="19"/>
      <c r="G891" s="14"/>
      <c r="H891" s="22"/>
      <c r="I891" s="22"/>
      <c r="J891" s="20"/>
      <c r="K891" s="21"/>
    </row>
    <row r="892" spans="1:11" x14ac:dyDescent="0.35">
      <c r="A892" s="22"/>
      <c r="B892" s="9"/>
      <c r="C892" s="9"/>
      <c r="D892" s="9"/>
      <c r="E892" s="18"/>
      <c r="F892" s="19"/>
      <c r="G892" s="14"/>
      <c r="H892" s="22"/>
      <c r="I892" s="22"/>
      <c r="J892" s="20"/>
      <c r="K892" s="21"/>
    </row>
    <row r="893" spans="1:11" x14ac:dyDescent="0.35">
      <c r="A893" s="22"/>
      <c r="B893" s="9"/>
      <c r="C893" s="9"/>
      <c r="D893" s="9"/>
      <c r="E893" s="18"/>
      <c r="F893" s="19"/>
      <c r="G893" s="14"/>
      <c r="H893" s="22"/>
      <c r="I893" s="22"/>
      <c r="J893" s="20"/>
      <c r="K893" s="21"/>
    </row>
    <row r="894" spans="1:11" x14ac:dyDescent="0.35">
      <c r="A894" s="22"/>
      <c r="B894" s="9"/>
      <c r="C894" s="9"/>
      <c r="D894" s="9"/>
      <c r="E894" s="18"/>
      <c r="F894" s="19"/>
      <c r="G894" s="14"/>
      <c r="H894" s="22"/>
      <c r="I894" s="22"/>
      <c r="J894" s="20"/>
      <c r="K894" s="21"/>
    </row>
    <row r="895" spans="1:11" x14ac:dyDescent="0.35">
      <c r="A895" s="22"/>
      <c r="B895" s="9"/>
      <c r="C895" s="9"/>
      <c r="D895" s="9"/>
      <c r="E895" s="18"/>
      <c r="F895" s="19"/>
      <c r="G895" s="14"/>
      <c r="H895" s="22"/>
      <c r="I895" s="22"/>
      <c r="J895" s="20"/>
      <c r="K895" s="21"/>
    </row>
    <row r="896" spans="1:11" x14ac:dyDescent="0.35">
      <c r="A896" s="22"/>
      <c r="B896" s="9"/>
      <c r="C896" s="9"/>
      <c r="D896" s="9"/>
      <c r="E896" s="18"/>
      <c r="F896" s="19"/>
      <c r="G896" s="14"/>
      <c r="H896" s="22"/>
      <c r="I896" s="22"/>
      <c r="J896" s="20"/>
      <c r="K896" s="21"/>
    </row>
    <row r="897" spans="1:11" x14ac:dyDescent="0.35">
      <c r="A897" s="22"/>
      <c r="B897" s="9"/>
      <c r="C897" s="9"/>
      <c r="D897" s="9"/>
      <c r="E897" s="18"/>
      <c r="F897" s="19"/>
      <c r="G897" s="14"/>
      <c r="H897" s="22"/>
      <c r="I897" s="22"/>
      <c r="J897" s="20"/>
      <c r="K897" s="21"/>
    </row>
    <row r="898" spans="1:11" x14ac:dyDescent="0.35">
      <c r="A898" s="22"/>
      <c r="B898" s="9"/>
      <c r="C898" s="9"/>
      <c r="D898" s="9"/>
      <c r="E898" s="18"/>
      <c r="F898" s="19"/>
      <c r="G898" s="14"/>
      <c r="H898" s="22"/>
      <c r="I898" s="22"/>
      <c r="J898" s="20"/>
      <c r="K898" s="21"/>
    </row>
    <row r="899" spans="1:11" x14ac:dyDescent="0.35">
      <c r="A899" s="22"/>
      <c r="B899" s="9"/>
      <c r="C899" s="9"/>
      <c r="D899" s="9"/>
      <c r="E899" s="18"/>
      <c r="F899" s="19"/>
      <c r="G899" s="14"/>
      <c r="H899" s="22"/>
      <c r="I899" s="22"/>
      <c r="J899" s="20"/>
      <c r="K899" s="21"/>
    </row>
    <row r="900" spans="1:11" x14ac:dyDescent="0.35">
      <c r="A900" s="22"/>
      <c r="B900" s="9"/>
      <c r="C900" s="9"/>
      <c r="D900" s="9"/>
      <c r="E900" s="18"/>
      <c r="F900" s="19"/>
      <c r="G900" s="14"/>
      <c r="H900" s="22"/>
      <c r="I900" s="22"/>
      <c r="J900" s="20"/>
      <c r="K900" s="21"/>
    </row>
    <row r="901" spans="1:11" x14ac:dyDescent="0.35">
      <c r="A901" s="22"/>
      <c r="B901" s="9"/>
      <c r="C901" s="9"/>
      <c r="D901" s="9"/>
      <c r="E901" s="18"/>
      <c r="F901" s="19"/>
      <c r="G901" s="14"/>
      <c r="H901" s="22"/>
      <c r="I901" s="22"/>
      <c r="J901" s="20"/>
      <c r="K901" s="21"/>
    </row>
    <row r="902" spans="1:11" x14ac:dyDescent="0.35">
      <c r="A902" s="22"/>
      <c r="B902" s="9"/>
      <c r="C902" s="9"/>
      <c r="D902" s="9"/>
      <c r="E902" s="18"/>
      <c r="F902" s="19"/>
      <c r="G902" s="14"/>
      <c r="H902" s="22"/>
      <c r="I902" s="22"/>
      <c r="J902" s="20"/>
      <c r="K902" s="21"/>
    </row>
    <row r="903" spans="1:11" x14ac:dyDescent="0.35">
      <c r="A903" s="22"/>
      <c r="B903" s="9"/>
      <c r="C903" s="9"/>
      <c r="D903" s="9"/>
      <c r="E903" s="18"/>
      <c r="F903" s="19"/>
      <c r="G903" s="14"/>
      <c r="H903" s="22"/>
      <c r="I903" s="22"/>
      <c r="J903" s="20"/>
      <c r="K903" s="21"/>
    </row>
    <row r="904" spans="1:11" x14ac:dyDescent="0.35">
      <c r="A904" s="22"/>
      <c r="B904" s="9"/>
      <c r="C904" s="9"/>
      <c r="D904" s="9"/>
      <c r="E904" s="18"/>
      <c r="F904" s="19"/>
      <c r="G904" s="14"/>
      <c r="H904" s="22"/>
      <c r="I904" s="22"/>
      <c r="J904" s="20"/>
      <c r="K904" s="21"/>
    </row>
    <row r="905" spans="1:11" x14ac:dyDescent="0.35">
      <c r="A905" s="22"/>
      <c r="B905" s="9"/>
      <c r="C905" s="9"/>
      <c r="D905" s="9"/>
      <c r="E905" s="18"/>
      <c r="F905" s="19"/>
      <c r="G905" s="14"/>
      <c r="H905" s="22"/>
      <c r="I905" s="22"/>
      <c r="J905" s="20"/>
      <c r="K905" s="21"/>
    </row>
    <row r="906" spans="1:11" x14ac:dyDescent="0.35">
      <c r="A906" s="22"/>
      <c r="B906" s="9"/>
      <c r="C906" s="9"/>
      <c r="D906" s="9"/>
      <c r="E906" s="18"/>
      <c r="F906" s="19"/>
      <c r="G906" s="14"/>
      <c r="H906" s="22"/>
      <c r="I906" s="22"/>
      <c r="J906" s="20"/>
      <c r="K906" s="21"/>
    </row>
    <row r="907" spans="1:11" x14ac:dyDescent="0.35">
      <c r="A907" s="22"/>
      <c r="B907" s="9"/>
      <c r="C907" s="9"/>
      <c r="D907" s="9"/>
      <c r="E907" s="18"/>
      <c r="F907" s="19"/>
      <c r="G907" s="14"/>
      <c r="H907" s="22"/>
      <c r="I907" s="22"/>
      <c r="J907" s="20"/>
      <c r="K907" s="21"/>
    </row>
    <row r="908" spans="1:11" x14ac:dyDescent="0.35">
      <c r="A908" s="22"/>
      <c r="B908" s="9"/>
      <c r="C908" s="9"/>
      <c r="D908" s="9"/>
      <c r="E908" s="18"/>
      <c r="F908" s="19"/>
      <c r="G908" s="14"/>
      <c r="H908" s="22"/>
      <c r="I908" s="22"/>
      <c r="J908" s="20"/>
      <c r="K908" s="21"/>
    </row>
    <row r="909" spans="1:11" x14ac:dyDescent="0.35">
      <c r="A909" s="22"/>
      <c r="B909" s="9"/>
      <c r="C909" s="9"/>
      <c r="D909" s="9"/>
      <c r="E909" s="18"/>
      <c r="F909" s="19"/>
      <c r="G909" s="14"/>
      <c r="H909" s="22"/>
      <c r="I909" s="22"/>
      <c r="J909" s="20"/>
      <c r="K909" s="21"/>
    </row>
    <row r="910" spans="1:11" x14ac:dyDescent="0.35">
      <c r="A910" s="22"/>
      <c r="B910" s="9"/>
      <c r="C910" s="9"/>
      <c r="D910" s="9"/>
      <c r="E910" s="18"/>
      <c r="F910" s="19"/>
      <c r="G910" s="14"/>
      <c r="H910" s="22"/>
      <c r="I910" s="22"/>
      <c r="J910" s="20"/>
      <c r="K910" s="21"/>
    </row>
    <row r="911" spans="1:11" x14ac:dyDescent="0.35">
      <c r="A911" s="22"/>
      <c r="B911" s="9"/>
      <c r="C911" s="9"/>
      <c r="D911" s="9"/>
      <c r="E911" s="18"/>
      <c r="F911" s="19"/>
      <c r="G911" s="14"/>
      <c r="H911" s="22"/>
      <c r="I911" s="22"/>
      <c r="J911" s="20"/>
      <c r="K911" s="21"/>
    </row>
    <row r="912" spans="1:11" x14ac:dyDescent="0.35">
      <c r="A912" s="22"/>
      <c r="B912" s="9"/>
      <c r="C912" s="9"/>
      <c r="D912" s="9"/>
      <c r="E912" s="18"/>
      <c r="F912" s="19"/>
      <c r="G912" s="14"/>
      <c r="H912" s="22"/>
      <c r="I912" s="22"/>
      <c r="J912" s="20"/>
      <c r="K912" s="21"/>
    </row>
    <row r="913" spans="1:11" x14ac:dyDescent="0.35">
      <c r="A913" s="22"/>
      <c r="B913" s="9"/>
      <c r="C913" s="9"/>
      <c r="D913" s="9"/>
      <c r="E913" s="18"/>
      <c r="F913" s="19"/>
      <c r="G913" s="14"/>
      <c r="H913" s="22"/>
      <c r="I913" s="22"/>
      <c r="J913" s="20"/>
      <c r="K913" s="21"/>
    </row>
    <row r="914" spans="1:11" x14ac:dyDescent="0.35">
      <c r="A914" s="22"/>
      <c r="B914" s="9"/>
      <c r="C914" s="9"/>
      <c r="D914" s="9"/>
      <c r="E914" s="18"/>
      <c r="F914" s="19"/>
      <c r="G914" s="14"/>
      <c r="H914" s="22"/>
      <c r="I914" s="22"/>
      <c r="J914" s="20"/>
      <c r="K914" s="21"/>
    </row>
    <row r="915" spans="1:11" x14ac:dyDescent="0.35">
      <c r="A915" s="22"/>
      <c r="B915" s="9"/>
      <c r="C915" s="9"/>
      <c r="D915" s="9"/>
      <c r="E915" s="18"/>
      <c r="F915" s="19"/>
      <c r="G915" s="14"/>
      <c r="H915" s="22"/>
      <c r="I915" s="22"/>
      <c r="J915" s="20"/>
      <c r="K915" s="21"/>
    </row>
    <row r="916" spans="1:11" x14ac:dyDescent="0.35">
      <c r="A916" s="22"/>
      <c r="B916" s="9"/>
      <c r="C916" s="9"/>
      <c r="D916" s="9"/>
      <c r="E916" s="18"/>
      <c r="F916" s="19"/>
      <c r="G916" s="14"/>
      <c r="H916" s="22"/>
      <c r="I916" s="22"/>
      <c r="J916" s="20"/>
      <c r="K916" s="21"/>
    </row>
    <row r="917" spans="1:11" x14ac:dyDescent="0.35">
      <c r="A917" s="22"/>
      <c r="B917" s="9"/>
      <c r="C917" s="9"/>
      <c r="D917" s="9"/>
      <c r="E917" s="18"/>
      <c r="F917" s="19"/>
      <c r="G917" s="14"/>
      <c r="H917" s="22"/>
      <c r="I917" s="22"/>
      <c r="J917" s="20"/>
      <c r="K917" s="21"/>
    </row>
    <row r="918" spans="1:11" x14ac:dyDescent="0.35">
      <c r="A918" s="22"/>
      <c r="B918" s="9"/>
      <c r="C918" s="9"/>
      <c r="D918" s="9"/>
      <c r="E918" s="18"/>
      <c r="F918" s="19"/>
      <c r="G918" s="14"/>
      <c r="H918" s="22"/>
      <c r="I918" s="22"/>
      <c r="J918" s="20"/>
      <c r="K918" s="21"/>
    </row>
    <row r="919" spans="1:11" x14ac:dyDescent="0.35">
      <c r="A919" s="22"/>
      <c r="B919" s="9"/>
      <c r="C919" s="9"/>
      <c r="D919" s="9"/>
      <c r="E919" s="18"/>
      <c r="F919" s="19"/>
      <c r="G919" s="14"/>
      <c r="H919" s="22"/>
      <c r="I919" s="22"/>
      <c r="J919" s="20"/>
      <c r="K919" s="21"/>
    </row>
    <row r="920" spans="1:11" x14ac:dyDescent="0.35">
      <c r="A920" s="22"/>
      <c r="B920" s="9"/>
      <c r="C920" s="9"/>
      <c r="D920" s="9"/>
      <c r="E920" s="18"/>
      <c r="F920" s="19"/>
      <c r="G920" s="14"/>
      <c r="H920" s="22"/>
      <c r="I920" s="22"/>
      <c r="J920" s="20"/>
      <c r="K920" s="21"/>
    </row>
    <row r="921" spans="1:11" x14ac:dyDescent="0.35">
      <c r="A921" s="22"/>
      <c r="B921" s="9"/>
      <c r="C921" s="9"/>
      <c r="D921" s="9"/>
      <c r="E921" s="18"/>
      <c r="F921" s="19"/>
      <c r="G921" s="14"/>
      <c r="H921" s="22"/>
      <c r="I921" s="22"/>
      <c r="J921" s="20"/>
      <c r="K921" s="21"/>
    </row>
    <row r="922" spans="1:11" x14ac:dyDescent="0.35">
      <c r="A922" s="22"/>
      <c r="B922" s="9"/>
      <c r="C922" s="9"/>
      <c r="D922" s="9"/>
      <c r="E922" s="18"/>
      <c r="F922" s="19"/>
      <c r="G922" s="14"/>
      <c r="H922" s="22"/>
      <c r="I922" s="22"/>
      <c r="J922" s="20"/>
      <c r="K922" s="21"/>
    </row>
    <row r="923" spans="1:11" x14ac:dyDescent="0.35">
      <c r="A923" s="22"/>
      <c r="B923" s="9"/>
      <c r="C923" s="9"/>
      <c r="D923" s="9"/>
      <c r="E923" s="18"/>
      <c r="F923" s="19"/>
      <c r="G923" s="14"/>
      <c r="H923" s="22"/>
      <c r="I923" s="22"/>
      <c r="J923" s="20"/>
      <c r="K923" s="21"/>
    </row>
    <row r="924" spans="1:11" x14ac:dyDescent="0.35">
      <c r="A924" s="22"/>
      <c r="B924" s="9"/>
      <c r="C924" s="9"/>
      <c r="D924" s="9"/>
      <c r="E924" s="18"/>
      <c r="F924" s="19"/>
      <c r="G924" s="14"/>
      <c r="H924" s="22"/>
      <c r="I924" s="22"/>
      <c r="J924" s="20"/>
      <c r="K924" s="21"/>
    </row>
    <row r="925" spans="1:11" x14ac:dyDescent="0.35">
      <c r="A925" s="22"/>
      <c r="B925" s="9"/>
      <c r="C925" s="9"/>
      <c r="D925" s="9"/>
      <c r="E925" s="18"/>
      <c r="F925" s="19"/>
      <c r="G925" s="14"/>
      <c r="H925" s="22"/>
      <c r="I925" s="22"/>
      <c r="J925" s="20"/>
      <c r="K925" s="21"/>
    </row>
    <row r="926" spans="1:11" x14ac:dyDescent="0.35">
      <c r="A926" s="22"/>
      <c r="B926" s="9"/>
      <c r="C926" s="9"/>
      <c r="D926" s="9"/>
      <c r="E926" s="18"/>
      <c r="F926" s="19"/>
      <c r="G926" s="14"/>
      <c r="H926" s="22"/>
      <c r="I926" s="22"/>
      <c r="J926" s="20"/>
      <c r="K926" s="21"/>
    </row>
    <row r="927" spans="1:11" x14ac:dyDescent="0.35">
      <c r="A927" s="22"/>
      <c r="B927" s="9"/>
      <c r="C927" s="9"/>
      <c r="D927" s="9"/>
      <c r="E927" s="18"/>
      <c r="F927" s="19"/>
      <c r="G927" s="14"/>
      <c r="H927" s="22"/>
      <c r="I927" s="22"/>
      <c r="J927" s="20"/>
      <c r="K927" s="21"/>
    </row>
    <row r="928" spans="1:11" x14ac:dyDescent="0.35">
      <c r="A928" s="22"/>
      <c r="B928" s="9"/>
      <c r="C928" s="9"/>
      <c r="D928" s="9"/>
      <c r="E928" s="18"/>
      <c r="F928" s="19"/>
      <c r="G928" s="14"/>
      <c r="H928" s="22"/>
      <c r="I928" s="22"/>
      <c r="J928" s="20"/>
      <c r="K928" s="21"/>
    </row>
    <row r="929" spans="1:11" x14ac:dyDescent="0.35">
      <c r="A929" s="22"/>
      <c r="B929" s="9"/>
      <c r="C929" s="9"/>
      <c r="D929" s="9"/>
      <c r="E929" s="18"/>
      <c r="F929" s="19"/>
      <c r="G929" s="14"/>
      <c r="H929" s="22"/>
      <c r="I929" s="22"/>
      <c r="J929" s="20"/>
      <c r="K929" s="21"/>
    </row>
    <row r="930" spans="1:11" x14ac:dyDescent="0.35">
      <c r="A930" s="22"/>
      <c r="B930" s="9"/>
      <c r="C930" s="9"/>
      <c r="D930" s="9"/>
      <c r="E930" s="18"/>
      <c r="F930" s="19"/>
      <c r="G930" s="14"/>
      <c r="H930" s="22"/>
      <c r="I930" s="22"/>
      <c r="J930" s="20"/>
      <c r="K930" s="21"/>
    </row>
    <row r="931" spans="1:11" x14ac:dyDescent="0.35">
      <c r="A931" s="22"/>
      <c r="B931" s="9"/>
      <c r="C931" s="9"/>
      <c r="D931" s="9"/>
      <c r="E931" s="18"/>
      <c r="F931" s="19"/>
      <c r="G931" s="14"/>
      <c r="H931" s="22"/>
      <c r="I931" s="22"/>
      <c r="J931" s="20"/>
      <c r="K931" s="21"/>
    </row>
    <row r="932" spans="1:11" x14ac:dyDescent="0.35">
      <c r="A932" s="22"/>
      <c r="B932" s="9"/>
      <c r="C932" s="9"/>
      <c r="D932" s="9"/>
      <c r="E932" s="18"/>
      <c r="F932" s="19"/>
      <c r="G932" s="14"/>
      <c r="H932" s="22"/>
      <c r="I932" s="22"/>
      <c r="J932" s="20"/>
      <c r="K932" s="21"/>
    </row>
    <row r="933" spans="1:11" x14ac:dyDescent="0.35">
      <c r="A933" s="22"/>
      <c r="B933" s="9"/>
      <c r="C933" s="9"/>
      <c r="D933" s="9"/>
      <c r="E933" s="18"/>
      <c r="F933" s="19"/>
      <c r="G933" s="14"/>
      <c r="H933" s="22"/>
      <c r="I933" s="22"/>
      <c r="J933" s="20"/>
      <c r="K933" s="21"/>
    </row>
    <row r="934" spans="1:11" x14ac:dyDescent="0.35">
      <c r="A934" s="22"/>
      <c r="B934" s="9"/>
      <c r="C934" s="9"/>
      <c r="D934" s="9"/>
      <c r="E934" s="18"/>
      <c r="F934" s="19"/>
      <c r="G934" s="14"/>
      <c r="H934" s="22"/>
      <c r="I934" s="22"/>
      <c r="J934" s="20"/>
      <c r="K934" s="21"/>
    </row>
    <row r="935" spans="1:11" x14ac:dyDescent="0.35">
      <c r="A935" s="22"/>
      <c r="B935" s="9"/>
      <c r="C935" s="9"/>
      <c r="D935" s="9"/>
      <c r="E935" s="18"/>
      <c r="F935" s="19"/>
      <c r="G935" s="14"/>
      <c r="H935" s="22"/>
      <c r="I935" s="22"/>
      <c r="J935" s="20"/>
      <c r="K935" s="21"/>
    </row>
    <row r="936" spans="1:11" x14ac:dyDescent="0.35">
      <c r="A936" s="22"/>
      <c r="B936" s="9"/>
      <c r="C936" s="9"/>
      <c r="D936" s="9"/>
      <c r="E936" s="18"/>
      <c r="F936" s="19"/>
      <c r="G936" s="14"/>
      <c r="H936" s="22"/>
      <c r="I936" s="22"/>
      <c r="J936" s="20"/>
      <c r="K936" s="21"/>
    </row>
    <row r="937" spans="1:11" x14ac:dyDescent="0.35">
      <c r="A937" s="22"/>
      <c r="B937" s="9"/>
      <c r="C937" s="9"/>
      <c r="D937" s="9"/>
      <c r="E937" s="18"/>
      <c r="F937" s="19"/>
      <c r="G937" s="14"/>
      <c r="H937" s="22"/>
      <c r="I937" s="22"/>
      <c r="J937" s="20"/>
      <c r="K937" s="21"/>
    </row>
    <row r="938" spans="1:11" x14ac:dyDescent="0.35">
      <c r="A938" s="22"/>
      <c r="B938" s="9"/>
      <c r="C938" s="9"/>
      <c r="D938" s="9"/>
      <c r="E938" s="18"/>
      <c r="F938" s="19"/>
      <c r="G938" s="14"/>
      <c r="H938" s="22"/>
      <c r="I938" s="22"/>
      <c r="J938" s="20"/>
      <c r="K938" s="21"/>
    </row>
    <row r="939" spans="1:11" x14ac:dyDescent="0.35">
      <c r="A939" s="22"/>
      <c r="B939" s="9"/>
      <c r="C939" s="9"/>
      <c r="D939" s="9"/>
      <c r="E939" s="18"/>
      <c r="F939" s="19"/>
      <c r="G939" s="14"/>
      <c r="H939" s="22"/>
      <c r="I939" s="22"/>
      <c r="J939" s="20"/>
      <c r="K939" s="21"/>
    </row>
    <row r="940" spans="1:11" x14ac:dyDescent="0.35">
      <c r="A940" s="22"/>
      <c r="B940" s="9"/>
      <c r="C940" s="9"/>
      <c r="D940" s="9"/>
      <c r="E940" s="18"/>
      <c r="F940" s="19"/>
      <c r="G940" s="14"/>
      <c r="H940" s="22"/>
      <c r="I940" s="22"/>
      <c r="J940" s="20"/>
      <c r="K940" s="21"/>
    </row>
    <row r="941" spans="1:11" x14ac:dyDescent="0.35">
      <c r="A941" s="22"/>
      <c r="B941" s="9"/>
      <c r="C941" s="9"/>
      <c r="D941" s="9"/>
      <c r="E941" s="18"/>
      <c r="F941" s="19"/>
      <c r="G941" s="14"/>
      <c r="H941" s="22"/>
      <c r="I941" s="22"/>
      <c r="J941" s="20"/>
      <c r="K941" s="21"/>
    </row>
    <row r="942" spans="1:11" x14ac:dyDescent="0.35">
      <c r="A942" s="22"/>
      <c r="B942" s="9"/>
      <c r="C942" s="9"/>
      <c r="D942" s="9"/>
      <c r="E942" s="18"/>
      <c r="F942" s="19"/>
      <c r="G942" s="14"/>
      <c r="H942" s="22"/>
      <c r="I942" s="22"/>
      <c r="J942" s="20"/>
      <c r="K942" s="21"/>
    </row>
    <row r="943" spans="1:11" x14ac:dyDescent="0.35">
      <c r="A943" s="22"/>
      <c r="B943" s="9"/>
      <c r="C943" s="9"/>
      <c r="D943" s="9"/>
      <c r="E943" s="18"/>
      <c r="F943" s="19"/>
      <c r="G943" s="14"/>
      <c r="H943" s="22"/>
      <c r="I943" s="22"/>
      <c r="J943" s="20"/>
      <c r="K943" s="21"/>
    </row>
    <row r="944" spans="1:11" x14ac:dyDescent="0.35">
      <c r="A944" s="22"/>
      <c r="B944" s="9"/>
      <c r="C944" s="9"/>
      <c r="D944" s="9"/>
      <c r="E944" s="18"/>
      <c r="F944" s="19"/>
      <c r="G944" s="14"/>
      <c r="H944" s="22"/>
      <c r="I944" s="22"/>
      <c r="J944" s="20"/>
      <c r="K944" s="21"/>
    </row>
    <row r="945" spans="1:11" x14ac:dyDescent="0.35">
      <c r="A945" s="22"/>
      <c r="B945" s="9"/>
      <c r="C945" s="9"/>
      <c r="D945" s="9"/>
      <c r="E945" s="18"/>
      <c r="F945" s="19"/>
      <c r="G945" s="14"/>
      <c r="H945" s="22"/>
      <c r="I945" s="22"/>
      <c r="J945" s="20"/>
      <c r="K945" s="21"/>
    </row>
    <row r="946" spans="1:11" x14ac:dyDescent="0.35">
      <c r="A946" s="22"/>
      <c r="B946" s="9"/>
      <c r="C946" s="9"/>
      <c r="D946" s="9"/>
      <c r="E946" s="18"/>
      <c r="F946" s="19"/>
      <c r="G946" s="14"/>
      <c r="H946" s="22"/>
      <c r="I946" s="22"/>
      <c r="J946" s="20"/>
      <c r="K946" s="21"/>
    </row>
    <row r="947" spans="1:11" x14ac:dyDescent="0.35">
      <c r="A947" s="22"/>
      <c r="B947" s="9"/>
      <c r="C947" s="9"/>
      <c r="D947" s="9"/>
      <c r="E947" s="18"/>
      <c r="F947" s="19"/>
      <c r="G947" s="14"/>
      <c r="H947" s="22"/>
      <c r="I947" s="22"/>
      <c r="J947" s="20"/>
      <c r="K947" s="21"/>
    </row>
    <row r="948" spans="1:11" x14ac:dyDescent="0.35">
      <c r="A948" s="22"/>
      <c r="B948" s="9"/>
      <c r="C948" s="9"/>
      <c r="D948" s="9"/>
      <c r="E948" s="18"/>
      <c r="F948" s="19"/>
      <c r="G948" s="14"/>
      <c r="H948" s="22"/>
      <c r="I948" s="22"/>
      <c r="J948" s="20"/>
      <c r="K948" s="21"/>
    </row>
    <row r="949" spans="1:11" x14ac:dyDescent="0.35">
      <c r="A949" s="22"/>
      <c r="B949" s="9"/>
      <c r="C949" s="9"/>
      <c r="D949" s="9"/>
      <c r="E949" s="18"/>
      <c r="F949" s="19"/>
      <c r="G949" s="14"/>
      <c r="H949" s="22"/>
      <c r="I949" s="22"/>
      <c r="J949" s="20"/>
      <c r="K949" s="21"/>
    </row>
    <row r="950" spans="1:11" x14ac:dyDescent="0.35">
      <c r="A950" s="22"/>
      <c r="B950" s="9"/>
      <c r="C950" s="9"/>
      <c r="D950" s="9"/>
      <c r="E950" s="18"/>
      <c r="F950" s="19"/>
      <c r="G950" s="14"/>
      <c r="H950" s="22"/>
      <c r="I950" s="22"/>
      <c r="J950" s="20"/>
      <c r="K950" s="21"/>
    </row>
    <row r="951" spans="1:11" x14ac:dyDescent="0.35">
      <c r="A951" s="22"/>
      <c r="B951" s="9"/>
      <c r="C951" s="9"/>
      <c r="D951" s="9"/>
      <c r="E951" s="18"/>
      <c r="F951" s="19"/>
      <c r="G951" s="14"/>
      <c r="H951" s="22"/>
      <c r="I951" s="22"/>
      <c r="J951" s="20"/>
      <c r="K951" s="21"/>
    </row>
    <row r="952" spans="1:11" x14ac:dyDescent="0.35">
      <c r="A952" s="22"/>
      <c r="B952" s="9"/>
      <c r="C952" s="9"/>
      <c r="D952" s="9"/>
      <c r="E952" s="18"/>
      <c r="F952" s="19"/>
      <c r="G952" s="14"/>
      <c r="H952" s="22"/>
      <c r="I952" s="22"/>
      <c r="J952" s="20"/>
      <c r="K952" s="21"/>
    </row>
    <row r="953" spans="1:11" x14ac:dyDescent="0.35">
      <c r="A953" s="22"/>
      <c r="B953" s="9"/>
      <c r="C953" s="9"/>
      <c r="D953" s="9"/>
      <c r="E953" s="18"/>
      <c r="F953" s="19"/>
      <c r="G953" s="14"/>
      <c r="H953" s="22"/>
      <c r="I953" s="22"/>
      <c r="J953" s="20"/>
      <c r="K953" s="21"/>
    </row>
    <row r="954" spans="1:11" x14ac:dyDescent="0.35">
      <c r="A954" s="22"/>
      <c r="B954" s="9"/>
      <c r="C954" s="9"/>
      <c r="D954" s="9"/>
      <c r="E954" s="18"/>
      <c r="F954" s="19"/>
      <c r="G954" s="14"/>
      <c r="H954" s="22"/>
      <c r="I954" s="22"/>
      <c r="J954" s="20"/>
      <c r="K954" s="21"/>
    </row>
    <row r="955" spans="1:11" x14ac:dyDescent="0.35">
      <c r="A955" s="22"/>
      <c r="B955" s="9"/>
      <c r="C955" s="9"/>
      <c r="D955" s="9"/>
      <c r="E955" s="18"/>
      <c r="F955" s="19"/>
      <c r="G955" s="14"/>
      <c r="H955" s="22"/>
      <c r="I955" s="22"/>
      <c r="J955" s="20"/>
      <c r="K955" s="21"/>
    </row>
    <row r="956" spans="1:11" x14ac:dyDescent="0.35">
      <c r="A956" s="22"/>
      <c r="B956" s="9"/>
      <c r="C956" s="9"/>
      <c r="D956" s="9"/>
      <c r="E956" s="18"/>
      <c r="F956" s="19"/>
      <c r="G956" s="14"/>
      <c r="H956" s="22"/>
      <c r="I956" s="22"/>
      <c r="J956" s="20"/>
      <c r="K956" s="21"/>
    </row>
    <row r="957" spans="1:11" x14ac:dyDescent="0.35">
      <c r="A957" s="22"/>
      <c r="B957" s="9"/>
      <c r="C957" s="9"/>
      <c r="D957" s="9"/>
      <c r="E957" s="18"/>
      <c r="F957" s="19"/>
      <c r="G957" s="14"/>
      <c r="H957" s="22"/>
      <c r="I957" s="22"/>
      <c r="J957" s="20"/>
      <c r="K957" s="21"/>
    </row>
    <row r="958" spans="1:11" x14ac:dyDescent="0.35">
      <c r="A958" s="22"/>
      <c r="B958" s="9"/>
      <c r="C958" s="9"/>
      <c r="D958" s="9"/>
      <c r="E958" s="18"/>
      <c r="F958" s="19"/>
      <c r="G958" s="14"/>
      <c r="H958" s="22"/>
      <c r="I958" s="22"/>
      <c r="J958" s="20"/>
      <c r="K958" s="21"/>
    </row>
    <row r="959" spans="1:11" x14ac:dyDescent="0.35">
      <c r="A959" s="22"/>
      <c r="B959" s="9"/>
      <c r="C959" s="9"/>
      <c r="D959" s="9"/>
      <c r="E959" s="18"/>
      <c r="F959" s="19"/>
      <c r="G959" s="14"/>
      <c r="H959" s="22"/>
      <c r="I959" s="22"/>
      <c r="J959" s="20"/>
      <c r="K959" s="21"/>
    </row>
    <row r="960" spans="1:11" x14ac:dyDescent="0.35">
      <c r="A960" s="22"/>
      <c r="B960" s="9"/>
      <c r="C960" s="9"/>
      <c r="D960" s="9"/>
      <c r="E960" s="18"/>
      <c r="F960" s="19"/>
      <c r="G960" s="14"/>
      <c r="H960" s="22"/>
      <c r="I960" s="22"/>
      <c r="J960" s="20"/>
      <c r="K960" s="21"/>
    </row>
    <row r="961" spans="1:11" x14ac:dyDescent="0.35">
      <c r="A961" s="22"/>
      <c r="B961" s="9"/>
      <c r="C961" s="9"/>
      <c r="D961" s="9"/>
      <c r="E961" s="18"/>
      <c r="F961" s="19"/>
      <c r="G961" s="14"/>
      <c r="H961" s="22"/>
      <c r="I961" s="22"/>
      <c r="J961" s="20"/>
      <c r="K961" s="21"/>
    </row>
    <row r="962" spans="1:11" x14ac:dyDescent="0.35">
      <c r="A962" s="22"/>
      <c r="B962" s="9"/>
      <c r="C962" s="9"/>
      <c r="D962" s="9"/>
      <c r="E962" s="18"/>
      <c r="F962" s="19"/>
      <c r="G962" s="14"/>
      <c r="H962" s="22"/>
      <c r="I962" s="22"/>
      <c r="J962" s="20"/>
      <c r="K962" s="21"/>
    </row>
    <row r="963" spans="1:11" x14ac:dyDescent="0.35">
      <c r="A963" s="22"/>
      <c r="B963" s="9"/>
      <c r="C963" s="9"/>
      <c r="D963" s="9"/>
      <c r="E963" s="18"/>
      <c r="F963" s="19"/>
      <c r="G963" s="14"/>
      <c r="H963" s="22"/>
      <c r="I963" s="22"/>
      <c r="J963" s="20"/>
      <c r="K963" s="21"/>
    </row>
    <row r="964" spans="1:11" x14ac:dyDescent="0.35">
      <c r="A964" s="22"/>
      <c r="B964" s="9"/>
      <c r="C964" s="9"/>
      <c r="D964" s="9"/>
      <c r="E964" s="18"/>
      <c r="F964" s="19"/>
      <c r="G964" s="14"/>
      <c r="H964" s="22"/>
      <c r="I964" s="22"/>
      <c r="J964" s="20"/>
      <c r="K964" s="21"/>
    </row>
    <row r="965" spans="1:11" x14ac:dyDescent="0.35">
      <c r="A965" s="22"/>
      <c r="B965" s="9"/>
      <c r="C965" s="9"/>
      <c r="D965" s="9"/>
      <c r="E965" s="18"/>
      <c r="F965" s="19"/>
      <c r="G965" s="14"/>
      <c r="H965" s="22"/>
      <c r="I965" s="22"/>
      <c r="J965" s="20"/>
      <c r="K965" s="21"/>
    </row>
    <row r="966" spans="1:11" x14ac:dyDescent="0.35">
      <c r="A966" s="22"/>
      <c r="B966" s="9"/>
      <c r="C966" s="9"/>
      <c r="D966" s="9"/>
      <c r="E966" s="18"/>
      <c r="F966" s="19"/>
      <c r="G966" s="14"/>
      <c r="H966" s="22"/>
      <c r="I966" s="22"/>
      <c r="J966" s="20"/>
      <c r="K966" s="21"/>
    </row>
    <row r="967" spans="1:11" x14ac:dyDescent="0.35">
      <c r="A967" s="22"/>
      <c r="B967" s="9"/>
      <c r="C967" s="9"/>
      <c r="D967" s="9"/>
      <c r="E967" s="18"/>
      <c r="F967" s="19"/>
      <c r="G967" s="14"/>
      <c r="H967" s="22"/>
      <c r="I967" s="22"/>
      <c r="J967" s="20"/>
      <c r="K967" s="21"/>
    </row>
    <row r="968" spans="1:11" x14ac:dyDescent="0.35">
      <c r="A968" s="22"/>
      <c r="B968" s="9"/>
      <c r="C968" s="9"/>
      <c r="D968" s="9"/>
      <c r="E968" s="18"/>
      <c r="F968" s="19"/>
      <c r="G968" s="14"/>
      <c r="H968" s="22"/>
      <c r="I968" s="22"/>
      <c r="J968" s="20"/>
      <c r="K968" s="21"/>
    </row>
    <row r="969" spans="1:11" x14ac:dyDescent="0.35">
      <c r="A969" s="22"/>
      <c r="B969" s="9"/>
      <c r="C969" s="9"/>
      <c r="D969" s="9"/>
      <c r="E969" s="18"/>
      <c r="F969" s="19"/>
      <c r="G969" s="14"/>
      <c r="H969" s="22"/>
      <c r="I969" s="22"/>
      <c r="J969" s="20"/>
      <c r="K969" s="21"/>
    </row>
    <row r="970" spans="1:11" x14ac:dyDescent="0.35">
      <c r="A970" s="22"/>
      <c r="B970" s="9"/>
      <c r="C970" s="9"/>
      <c r="D970" s="9"/>
      <c r="E970" s="18"/>
      <c r="F970" s="19"/>
      <c r="G970" s="14"/>
      <c r="H970" s="22"/>
      <c r="I970" s="22"/>
      <c r="J970" s="20"/>
      <c r="K970" s="21"/>
    </row>
    <row r="971" spans="1:11" x14ac:dyDescent="0.35">
      <c r="A971" s="22"/>
      <c r="B971" s="9"/>
      <c r="C971" s="9"/>
      <c r="D971" s="9"/>
      <c r="E971" s="18"/>
      <c r="F971" s="19"/>
      <c r="G971" s="14"/>
      <c r="H971" s="22"/>
      <c r="I971" s="22"/>
      <c r="J971" s="20"/>
      <c r="K971" s="21"/>
    </row>
    <row r="972" spans="1:11" x14ac:dyDescent="0.35">
      <c r="A972" s="22"/>
      <c r="B972" s="9"/>
      <c r="C972" s="9"/>
      <c r="D972" s="9"/>
      <c r="E972" s="18"/>
      <c r="F972" s="19"/>
      <c r="G972" s="14"/>
      <c r="H972" s="22"/>
      <c r="I972" s="22"/>
      <c r="J972" s="20"/>
      <c r="K972" s="21"/>
    </row>
    <row r="973" spans="1:11" x14ac:dyDescent="0.35">
      <c r="A973" s="22"/>
      <c r="B973" s="9"/>
      <c r="C973" s="9"/>
      <c r="D973" s="9"/>
      <c r="E973" s="18"/>
      <c r="F973" s="19"/>
      <c r="G973" s="14"/>
      <c r="H973" s="22"/>
      <c r="I973" s="22"/>
      <c r="J973" s="20"/>
      <c r="K973" s="21"/>
    </row>
    <row r="974" spans="1:11" x14ac:dyDescent="0.35">
      <c r="A974" s="22"/>
      <c r="B974" s="9"/>
      <c r="C974" s="9"/>
      <c r="D974" s="9"/>
      <c r="E974" s="18"/>
      <c r="F974" s="19"/>
      <c r="G974" s="14"/>
      <c r="H974" s="22"/>
      <c r="I974" s="22"/>
      <c r="J974" s="20"/>
      <c r="K974" s="21"/>
    </row>
    <row r="975" spans="1:11" x14ac:dyDescent="0.35">
      <c r="A975" s="22"/>
      <c r="B975" s="9"/>
      <c r="C975" s="9"/>
      <c r="D975" s="9"/>
      <c r="E975" s="18"/>
      <c r="F975" s="19"/>
      <c r="G975" s="14"/>
      <c r="H975" s="22"/>
      <c r="I975" s="22"/>
      <c r="J975" s="20"/>
      <c r="K975" s="21"/>
    </row>
    <row r="976" spans="1:11" x14ac:dyDescent="0.35">
      <c r="A976" s="22"/>
      <c r="B976" s="9"/>
      <c r="C976" s="9"/>
      <c r="D976" s="9"/>
      <c r="E976" s="18"/>
      <c r="F976" s="19"/>
      <c r="G976" s="14"/>
      <c r="H976" s="22"/>
      <c r="I976" s="22"/>
      <c r="J976" s="20"/>
      <c r="K976" s="21"/>
    </row>
    <row r="977" spans="1:11" x14ac:dyDescent="0.35">
      <c r="A977" s="22"/>
      <c r="B977" s="9"/>
      <c r="C977" s="9"/>
      <c r="D977" s="9"/>
      <c r="E977" s="18"/>
      <c r="F977" s="19"/>
      <c r="G977" s="14"/>
      <c r="H977" s="22"/>
      <c r="I977" s="22"/>
      <c r="J977" s="20"/>
      <c r="K977" s="21"/>
    </row>
    <row r="978" spans="1:11" x14ac:dyDescent="0.35">
      <c r="A978" s="22"/>
      <c r="B978" s="9"/>
      <c r="C978" s="9"/>
      <c r="D978" s="9"/>
      <c r="E978" s="18"/>
      <c r="F978" s="19"/>
      <c r="G978" s="14"/>
      <c r="H978" s="22"/>
      <c r="I978" s="22"/>
      <c r="J978" s="20"/>
      <c r="K978" s="21"/>
    </row>
    <row r="979" spans="1:11" x14ac:dyDescent="0.35">
      <c r="A979" s="22"/>
      <c r="B979" s="9"/>
      <c r="C979" s="9"/>
      <c r="D979" s="9"/>
      <c r="E979" s="18"/>
      <c r="F979" s="19"/>
      <c r="G979" s="14"/>
      <c r="H979" s="22"/>
      <c r="I979" s="22"/>
      <c r="J979" s="20"/>
      <c r="K979" s="21"/>
    </row>
    <row r="980" spans="1:11" x14ac:dyDescent="0.35">
      <c r="A980" s="22"/>
      <c r="B980" s="9"/>
      <c r="C980" s="9"/>
      <c r="D980" s="9"/>
      <c r="E980" s="18"/>
      <c r="F980" s="19"/>
      <c r="G980" s="14"/>
      <c r="H980" s="22"/>
      <c r="I980" s="22"/>
      <c r="J980" s="20"/>
      <c r="K980" s="21"/>
    </row>
    <row r="981" spans="1:11" x14ac:dyDescent="0.35">
      <c r="A981" s="22"/>
      <c r="B981" s="9"/>
      <c r="C981" s="9"/>
      <c r="D981" s="9"/>
      <c r="E981" s="18"/>
      <c r="F981" s="19"/>
      <c r="G981" s="14"/>
      <c r="H981" s="22"/>
      <c r="I981" s="22"/>
      <c r="J981" s="20"/>
      <c r="K981" s="21"/>
    </row>
    <row r="982" spans="1:11" x14ac:dyDescent="0.35">
      <c r="A982" s="22"/>
      <c r="B982" s="9"/>
      <c r="C982" s="9"/>
      <c r="D982" s="9"/>
      <c r="E982" s="18"/>
      <c r="F982" s="19"/>
      <c r="G982" s="14"/>
      <c r="H982" s="22"/>
      <c r="I982" s="22"/>
      <c r="J982" s="20"/>
      <c r="K982" s="21"/>
    </row>
    <row r="983" spans="1:11" x14ac:dyDescent="0.35">
      <c r="A983" s="22"/>
      <c r="B983" s="9"/>
      <c r="C983" s="9"/>
      <c r="D983" s="9"/>
      <c r="E983" s="18"/>
      <c r="F983" s="19"/>
      <c r="G983" s="14"/>
      <c r="H983" s="22"/>
      <c r="I983" s="22"/>
      <c r="J983" s="20"/>
      <c r="K983" s="21"/>
    </row>
    <row r="984" spans="1:11" x14ac:dyDescent="0.35">
      <c r="A984" s="22"/>
      <c r="B984" s="9"/>
      <c r="C984" s="9"/>
      <c r="D984" s="9"/>
      <c r="E984" s="18"/>
      <c r="F984" s="19"/>
      <c r="G984" s="14"/>
      <c r="H984" s="22"/>
      <c r="I984" s="22"/>
      <c r="J984" s="20"/>
      <c r="K984" s="21"/>
    </row>
    <row r="985" spans="1:11" x14ac:dyDescent="0.35">
      <c r="A985" s="22"/>
      <c r="B985" s="9"/>
      <c r="C985" s="9"/>
      <c r="D985" s="9"/>
      <c r="E985" s="18"/>
      <c r="F985" s="19"/>
      <c r="G985" s="14"/>
      <c r="H985" s="22"/>
      <c r="I985" s="22"/>
      <c r="J985" s="20"/>
      <c r="K985" s="21"/>
    </row>
    <row r="986" spans="1:11" x14ac:dyDescent="0.35">
      <c r="A986" s="22"/>
      <c r="B986" s="9"/>
      <c r="C986" s="9"/>
      <c r="D986" s="9"/>
      <c r="E986" s="18"/>
      <c r="F986" s="19"/>
      <c r="G986" s="14"/>
      <c r="H986" s="22"/>
      <c r="I986" s="22"/>
      <c r="J986" s="20"/>
      <c r="K986" s="21"/>
    </row>
    <row r="987" spans="1:11" x14ac:dyDescent="0.35">
      <c r="A987" s="22"/>
      <c r="B987" s="9"/>
      <c r="C987" s="9"/>
      <c r="D987" s="9"/>
      <c r="E987" s="18"/>
      <c r="F987" s="19"/>
      <c r="G987" s="14"/>
      <c r="H987" s="22"/>
      <c r="I987" s="22"/>
      <c r="J987" s="20"/>
      <c r="K987" s="21"/>
    </row>
    <row r="988" spans="1:11" x14ac:dyDescent="0.35">
      <c r="A988" s="22"/>
      <c r="B988" s="9"/>
      <c r="C988" s="9"/>
      <c r="D988" s="9"/>
      <c r="E988" s="18"/>
      <c r="F988" s="19"/>
      <c r="G988" s="14"/>
      <c r="H988" s="22"/>
      <c r="I988" s="22"/>
      <c r="J988" s="20"/>
      <c r="K988" s="21"/>
    </row>
    <row r="989" spans="1:11" x14ac:dyDescent="0.35">
      <c r="A989" s="22"/>
      <c r="B989" s="9"/>
      <c r="C989" s="9"/>
      <c r="D989" s="9"/>
      <c r="E989" s="18"/>
      <c r="F989" s="19"/>
      <c r="G989" s="14"/>
      <c r="H989" s="22"/>
      <c r="I989" s="22"/>
      <c r="J989" s="20"/>
      <c r="K989" s="21"/>
    </row>
    <row r="990" spans="1:11" x14ac:dyDescent="0.35">
      <c r="A990" s="22"/>
      <c r="B990" s="9"/>
      <c r="C990" s="9"/>
      <c r="D990" s="9"/>
      <c r="E990" s="18"/>
      <c r="F990" s="19"/>
      <c r="G990" s="14"/>
      <c r="H990" s="22"/>
      <c r="I990" s="22"/>
      <c r="J990" s="20"/>
      <c r="K990" s="21"/>
    </row>
    <row r="991" spans="1:11" x14ac:dyDescent="0.35">
      <c r="A991" s="22"/>
      <c r="B991" s="9"/>
      <c r="C991" s="9"/>
      <c r="D991" s="9"/>
      <c r="E991" s="18"/>
      <c r="F991" s="19"/>
      <c r="G991" s="14"/>
      <c r="H991" s="22"/>
      <c r="I991" s="22"/>
      <c r="J991" s="20"/>
      <c r="K991" s="21"/>
    </row>
    <row r="992" spans="1:11" x14ac:dyDescent="0.35">
      <c r="A992" s="22"/>
      <c r="B992" s="9"/>
      <c r="C992" s="9"/>
      <c r="D992" s="9"/>
      <c r="E992" s="18"/>
      <c r="F992" s="19"/>
      <c r="G992" s="14"/>
      <c r="H992" s="22"/>
      <c r="I992" s="22"/>
      <c r="J992" s="20"/>
      <c r="K992" s="21"/>
    </row>
    <row r="993" spans="1:11" x14ac:dyDescent="0.35">
      <c r="A993" s="22"/>
      <c r="B993" s="9"/>
      <c r="C993" s="9"/>
      <c r="D993" s="9"/>
      <c r="E993" s="18"/>
      <c r="F993" s="19"/>
      <c r="G993" s="14"/>
      <c r="H993" s="22"/>
      <c r="I993" s="22"/>
      <c r="J993" s="20"/>
      <c r="K993" s="21"/>
    </row>
    <row r="994" spans="1:11" x14ac:dyDescent="0.35">
      <c r="A994" s="22"/>
      <c r="B994" s="9"/>
      <c r="C994" s="9"/>
      <c r="D994" s="9"/>
      <c r="E994" s="18"/>
      <c r="F994" s="19"/>
      <c r="G994" s="14"/>
      <c r="H994" s="22"/>
      <c r="I994" s="22"/>
      <c r="J994" s="20"/>
      <c r="K994" s="21"/>
    </row>
    <row r="995" spans="1:11" x14ac:dyDescent="0.35">
      <c r="A995" s="22"/>
      <c r="B995" s="9"/>
      <c r="C995" s="9"/>
      <c r="D995" s="9"/>
      <c r="E995" s="18"/>
      <c r="F995" s="19"/>
      <c r="G995" s="14"/>
      <c r="H995" s="22"/>
      <c r="I995" s="22"/>
      <c r="J995" s="20"/>
      <c r="K995" s="21"/>
    </row>
    <row r="996" spans="1:11" x14ac:dyDescent="0.35">
      <c r="A996" s="22"/>
      <c r="B996" s="9"/>
      <c r="C996" s="9"/>
      <c r="D996" s="9"/>
      <c r="E996" s="18"/>
      <c r="F996" s="19"/>
      <c r="G996" s="14"/>
      <c r="H996" s="22"/>
      <c r="I996" s="22"/>
      <c r="J996" s="20"/>
      <c r="K996" s="21"/>
    </row>
    <row r="997" spans="1:11" x14ac:dyDescent="0.35">
      <c r="A997" s="22"/>
      <c r="B997" s="9"/>
      <c r="C997" s="9"/>
      <c r="D997" s="9"/>
      <c r="E997" s="18"/>
      <c r="F997" s="19"/>
      <c r="G997" s="14"/>
      <c r="H997" s="22"/>
      <c r="I997" s="22"/>
      <c r="J997" s="20"/>
      <c r="K997" s="21"/>
    </row>
    <row r="998" spans="1:11" x14ac:dyDescent="0.35">
      <c r="A998" s="22"/>
      <c r="B998" s="9"/>
      <c r="C998" s="9"/>
      <c r="D998" s="9"/>
      <c r="E998" s="18"/>
      <c r="F998" s="19"/>
      <c r="G998" s="14"/>
      <c r="H998" s="22"/>
      <c r="I998" s="22"/>
      <c r="J998" s="20"/>
      <c r="K998" s="21"/>
    </row>
    <row r="999" spans="1:11" x14ac:dyDescent="0.35">
      <c r="A999" s="22"/>
      <c r="B999" s="9"/>
      <c r="C999" s="9"/>
      <c r="D999" s="9"/>
      <c r="E999" s="18"/>
      <c r="F999" s="19"/>
      <c r="G999" s="14"/>
      <c r="H999" s="22"/>
      <c r="I999" s="22"/>
      <c r="J999" s="20"/>
      <c r="K999" s="21"/>
    </row>
    <row r="1000" spans="1:11" x14ac:dyDescent="0.35">
      <c r="A1000" s="22"/>
      <c r="B1000" s="9"/>
      <c r="C1000" s="9"/>
      <c r="D1000" s="9"/>
      <c r="E1000" s="18"/>
      <c r="F1000" s="19"/>
      <c r="G1000" s="14"/>
      <c r="H1000" s="22"/>
      <c r="I1000" s="22"/>
      <c r="J1000" s="20"/>
      <c r="K1000" s="21"/>
    </row>
    <row r="1001" spans="1:11" x14ac:dyDescent="0.35">
      <c r="A1001" s="22"/>
      <c r="B1001" s="9"/>
      <c r="C1001" s="9"/>
      <c r="D1001" s="9"/>
      <c r="E1001" s="18"/>
      <c r="F1001" s="19"/>
      <c r="G1001" s="14"/>
      <c r="H1001" s="22"/>
      <c r="I1001" s="22"/>
      <c r="J1001" s="20"/>
      <c r="K1001" s="21"/>
    </row>
    <row r="1002" spans="1:11" x14ac:dyDescent="0.35">
      <c r="A1002" s="22"/>
      <c r="B1002" s="9"/>
      <c r="C1002" s="9"/>
      <c r="D1002" s="9"/>
      <c r="E1002" s="18"/>
      <c r="F1002" s="19"/>
      <c r="G1002" s="14"/>
      <c r="H1002" s="22"/>
      <c r="I1002" s="22"/>
      <c r="J1002" s="20"/>
      <c r="K1002" s="21"/>
    </row>
    <row r="1003" spans="1:11" x14ac:dyDescent="0.35">
      <c r="A1003" s="22"/>
      <c r="B1003" s="9"/>
      <c r="C1003" s="9"/>
      <c r="D1003" s="9"/>
      <c r="E1003" s="18"/>
      <c r="F1003" s="19"/>
      <c r="G1003" s="14"/>
      <c r="H1003" s="22"/>
      <c r="I1003" s="22"/>
      <c r="J1003" s="20"/>
      <c r="K1003" s="21"/>
    </row>
  </sheetData>
  <mergeCells count="2">
    <mergeCell ref="A1:K1"/>
    <mergeCell ref="A2:K2"/>
  </mergeCells>
  <dataValidations count="1">
    <dataValidation type="list" allowBlank="1" sqref="D5:D1003" xr:uid="{7D001C68-BEBA-4759-A981-18F36F0D324D}">
      <formula1>INDIRECT("Items!$A$5:$A$300")</formula1>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8A33D"/>
  </sheetPr>
  <dimension ref="A1:AO1977"/>
  <sheetViews>
    <sheetView showGridLines="0" zoomScale="90" zoomScaleNormal="100" workbookViewId="0">
      <pane ySplit="4" topLeftCell="A1912" activePane="bottomLeft" state="frozen"/>
      <selection pane="bottomLeft" activeCell="N1938" sqref="N1938"/>
    </sheetView>
  </sheetViews>
  <sheetFormatPr defaultColWidth="8.54296875" defaultRowHeight="14.5" outlineLevelCol="1" x14ac:dyDescent="0.35"/>
  <cols>
    <col min="1" max="1" width="13" customWidth="1"/>
    <col min="2" max="2" width="14" customWidth="1"/>
    <col min="3" max="3" width="18" customWidth="1"/>
    <col min="4" max="4" width="11" customWidth="1"/>
    <col min="5" max="5" width="15.453125" customWidth="1"/>
    <col min="6" max="6" width="40" customWidth="1"/>
    <col min="7" max="7" width="15" customWidth="1"/>
    <col min="8" max="8" width="11" customWidth="1"/>
    <col min="9" max="9" width="14.453125" customWidth="1"/>
    <col min="10" max="11" width="12" customWidth="1"/>
    <col min="12" max="12" width="13" customWidth="1"/>
    <col min="13" max="13" width="18" customWidth="1"/>
    <col min="14" max="14" width="13" customWidth="1"/>
    <col min="15" max="15" width="15.1796875" customWidth="1"/>
    <col min="16" max="16" width="13" customWidth="1"/>
    <col min="17" max="17" width="12" customWidth="1"/>
    <col min="18" max="18" width="7.54296875" customWidth="1"/>
    <col min="19" max="19" width="24.453125" customWidth="1"/>
    <col min="20" max="20" width="14" customWidth="1"/>
    <col min="21" max="21" width="14" bestFit="1" customWidth="1"/>
    <col min="22" max="22" width="35.453125" customWidth="1" outlineLevel="1"/>
    <col min="23" max="23" width="10.453125" customWidth="1" outlineLevel="1"/>
    <col min="24" max="24" width="14.1796875" customWidth="1" outlineLevel="1"/>
    <col min="25" max="25" width="14.26953125" customWidth="1"/>
    <col min="26" max="26" width="16.7265625" customWidth="1"/>
    <col min="27" max="27" width="25.453125" customWidth="1"/>
    <col min="28" max="28" width="12" customWidth="1"/>
    <col min="29" max="31" width="25.453125" customWidth="1" outlineLevel="1"/>
    <col min="32" max="32" width="16.453125" customWidth="1"/>
    <col min="33" max="33" width="8.54296875" customWidth="1" outlineLevel="1"/>
    <col min="34" max="34" width="14.453125" customWidth="1"/>
    <col min="35" max="35" width="20" customWidth="1"/>
    <col min="36" max="37" width="8.54296875" customWidth="1" outlineLevel="1"/>
    <col min="38" max="39" width="27.26953125" customWidth="1" outlineLevel="1"/>
    <col min="40" max="40" width="27.26953125" customWidth="1"/>
    <col min="41" max="41" width="12" customWidth="1"/>
  </cols>
  <sheetData>
    <row r="1" spans="1:41" ht="24" customHeight="1" x14ac:dyDescent="0.35">
      <c r="A1" s="117" t="s">
        <v>492</v>
      </c>
      <c r="B1" s="117"/>
      <c r="C1" s="117"/>
      <c r="D1" s="117"/>
      <c r="E1" s="117"/>
      <c r="F1" s="117"/>
      <c r="G1" s="117"/>
      <c r="H1" s="117"/>
      <c r="I1" s="117"/>
      <c r="J1" s="117"/>
      <c r="K1" s="117"/>
      <c r="L1" s="117"/>
      <c r="M1" s="117"/>
      <c r="N1" s="117"/>
      <c r="O1" s="117"/>
      <c r="P1" s="117"/>
      <c r="Q1" s="117"/>
    </row>
    <row r="2" spans="1:41" ht="13.5" customHeight="1" x14ac:dyDescent="0.35">
      <c r="A2" s="118" t="s">
        <v>616</v>
      </c>
      <c r="B2" s="118"/>
      <c r="C2" s="118"/>
      <c r="D2" s="118"/>
      <c r="E2" s="118"/>
      <c r="F2" s="118"/>
      <c r="G2" s="118"/>
      <c r="H2" s="118"/>
      <c r="I2" s="118"/>
      <c r="J2" s="118"/>
      <c r="K2" s="118"/>
      <c r="L2" s="118"/>
      <c r="M2" s="118"/>
      <c r="N2" s="118"/>
      <c r="O2" s="118"/>
      <c r="P2" s="118"/>
      <c r="Q2" s="118"/>
    </row>
    <row r="4" spans="1:41" ht="25.5" customHeight="1" x14ac:dyDescent="0.35">
      <c r="A4" s="73" t="s">
        <v>493</v>
      </c>
      <c r="B4" s="3" t="s">
        <v>301</v>
      </c>
      <c r="C4" s="3" t="s">
        <v>615</v>
      </c>
      <c r="D4" s="3" t="s">
        <v>303</v>
      </c>
      <c r="E4" s="3" t="s">
        <v>304</v>
      </c>
      <c r="F4" s="3" t="s">
        <v>88</v>
      </c>
      <c r="G4" s="3" t="s">
        <v>89</v>
      </c>
      <c r="H4" s="3" t="s">
        <v>90</v>
      </c>
      <c r="I4" s="3" t="s">
        <v>494</v>
      </c>
      <c r="J4" s="3" t="s">
        <v>495</v>
      </c>
      <c r="K4" s="3" t="s">
        <v>91</v>
      </c>
      <c r="L4" s="3" t="s">
        <v>496</v>
      </c>
      <c r="M4" s="3" t="s">
        <v>366</v>
      </c>
      <c r="N4" s="3" t="s">
        <v>497</v>
      </c>
      <c r="O4" s="3" t="s">
        <v>498</v>
      </c>
      <c r="P4" s="3" t="s">
        <v>499</v>
      </c>
      <c r="Q4" s="51" t="s">
        <v>500</v>
      </c>
      <c r="R4" s="53" t="s">
        <v>621</v>
      </c>
      <c r="S4" s="53" t="s">
        <v>622</v>
      </c>
      <c r="T4" s="53" t="s">
        <v>623</v>
      </c>
      <c r="U4" s="53" t="s">
        <v>624</v>
      </c>
      <c r="V4" s="53" t="s">
        <v>625</v>
      </c>
      <c r="W4" s="53" t="s">
        <v>626</v>
      </c>
      <c r="X4" s="54" t="s">
        <v>627</v>
      </c>
      <c r="Y4" s="50" t="s">
        <v>640</v>
      </c>
      <c r="Z4" s="50" t="s">
        <v>641</v>
      </c>
      <c r="AA4" s="50" t="s">
        <v>658</v>
      </c>
      <c r="AB4" s="50" t="s">
        <v>659</v>
      </c>
      <c r="AC4" s="50" t="s">
        <v>660</v>
      </c>
      <c r="AD4" s="50" t="s">
        <v>661</v>
      </c>
      <c r="AE4" s="50" t="s">
        <v>662</v>
      </c>
      <c r="AF4" s="50" t="s">
        <v>664</v>
      </c>
      <c r="AG4" s="50" t="s">
        <v>668</v>
      </c>
      <c r="AH4" s="50" t="s">
        <v>711</v>
      </c>
      <c r="AI4" s="103" t="s">
        <v>772</v>
      </c>
      <c r="AJ4" s="3" t="s">
        <v>773</v>
      </c>
      <c r="AK4" s="3" t="s">
        <v>774</v>
      </c>
      <c r="AL4" s="3" t="s">
        <v>775</v>
      </c>
      <c r="AM4" s="3" t="s">
        <v>776</v>
      </c>
      <c r="AN4" s="3" t="s">
        <v>777</v>
      </c>
      <c r="AO4" s="103" t="s">
        <v>906</v>
      </c>
    </row>
    <row r="5" spans="1:41" x14ac:dyDescent="0.35">
      <c r="A5" s="74">
        <v>46113</v>
      </c>
      <c r="B5" s="18" t="str">
        <f>IF($C5="","",IFERROR(INDEX('Staff Directory'!$A$5:$A$594,MATCH($C5,'Staff Directory'!$B$5:$B$594,0)),"⚠ unknown staff"))</f>
        <v>PSW-033-A4</v>
      </c>
      <c r="C5" s="49" t="s">
        <v>1008</v>
      </c>
      <c r="D5" s="19" t="str">
        <f>IF($B5="","",IFERROR(INDEX('Staff Directory'!$C$5:$C$594,MATCH($B5,'Staff Directory'!$A$5:$A$594,0)),""))</f>
        <v>PSW</v>
      </c>
      <c r="E5" s="19" t="str">
        <f>IF($B5="","",IFERROR(INDEX('Staff Directory'!$D$5:$D$594,MATCH($B5,'Staff Directory'!$A$5:$A$594,0)),""))</f>
        <v>A4</v>
      </c>
      <c r="F5" s="9" t="s">
        <v>129</v>
      </c>
      <c r="G5" s="18" t="str">
        <f>IF($F5="","",IFERROR(INDEX(Items!$B$5:$B$597,MATCH($F5,Items!$A$5:$A$597,0)),"⚠ not in Items"))</f>
        <v>Gloves</v>
      </c>
      <c r="H5" s="19" t="str">
        <f>IF($F5="","",IFERROR(INDEX(Items!$C$5:$C$597,MATCH($F5,Items!$A$5:$A$597,0)),""))</f>
        <v>Small</v>
      </c>
      <c r="I5" s="23">
        <f>IF($F5="","",IFERROR(INDEX(Items!$E$5:$E$597,MATCH($F5,Items!$A$5:$A$597,0)),""))</f>
        <v>500</v>
      </c>
      <c r="J5" s="115">
        <f>IF(tblIssues[[#This Row],[Qty Override]]&lt;&gt;"",tblIssues[[#This Row],[Qty Override]],IF(tblIssues[[#This Row],[Standard Issue]]="","",tblIssues[[#This Row],[Standard Issue]]))</f>
        <v>500</v>
      </c>
      <c r="K5" s="20">
        <f>IF($F5="","",IFERROR(INDEX(Items!$D$5:$D$597,MATCH($F5,Items!$A$5:$A$597,0)),""))</f>
        <v>5.5E-2</v>
      </c>
      <c r="L5" s="21">
        <f>IF(OR($J5="",$K5=""),"",$J5*$K5)</f>
        <v>27.5</v>
      </c>
      <c r="M5" s="9" t="str">
        <f>IF($F5="","",IF($AI5&lt;&gt;"",$AI5,$AL5))</f>
        <v>O210LIC25</v>
      </c>
      <c r="N5" s="24">
        <f>IF($A5="","",WORKDAY($A5,Settings!$C$9,HolidayDates))</f>
        <v>46121</v>
      </c>
      <c r="O5" s="24">
        <f>IF($N5="","",WORKDAY($N5,Settings!$C$10,HolidayDates))</f>
        <v>46161</v>
      </c>
      <c r="P5" s="10" t="s">
        <v>501</v>
      </c>
      <c r="Q5" s="52" t="str">
        <f t="shared" ref="Q5:Q68" si="0">IF($A5="","",IF($P5&lt;&gt;"","Collected","Pending"))</f>
        <v>Collected</v>
      </c>
      <c r="R5" s="55" t="str">
        <f>IF($A5="","",TEXT($A5,"yyyy-mm"))</f>
        <v>2026-04</v>
      </c>
      <c r="S5" s="55">
        <f>IF(OR($B5="",$F5="",$R5=""),"",SUMIFS(tblIssues[Qty Issued],tblIssues[Staff ID],$B5,tblIssues[Item Name],$F5,tblIssues[Month],$R5))</f>
        <v>500</v>
      </c>
      <c r="T5" s="56">
        <f>IF($I5="","",$I5*Settings!$C$11)</f>
        <v>500</v>
      </c>
      <c r="U5" s="57" t="str">
        <f>IF(OR($S5="",$T5=""),"",IF($S5&gt;$T5,IF($Y5="Approved","APPROVED BY TL","⚠ OVER QUOTA"),"OK"))</f>
        <v>OK</v>
      </c>
      <c r="V5" s="55" t="str">
        <f>IF($U5="⚠ OVER QUOTA",$B5&amp;" | "&amp;$F5&amp;" | "&amp;$R5,"")</f>
        <v/>
      </c>
      <c r="W5" s="55" t="str">
        <f>IF($V5="","",IF(COUNTIF($V$5:$V5,$V5)=1,1,""))</f>
        <v/>
      </c>
      <c r="X5" s="58" t="str">
        <f>IF($W5="","",MAX($X$4:X4)+1)</f>
        <v/>
      </c>
      <c r="Y5" s="62"/>
      <c r="Z5" s="62"/>
      <c r="AA5" s="64" t="str">
        <f>IF($C5="","",IFERROR(INDEX('Staff Directory'!$E$5:$E$594,MATCH($C5,'Staff Directory'!$B$5:$B$594,0)),""))</f>
        <v>firstname092.lastname092@example.com</v>
      </c>
      <c r="AB5" s="64" t="str">
        <f>IF($C5="","",IF(ISNUMBER(SEARCH($D5,Settings!$C$15)),"Pickup","Dispatch"))</f>
        <v>Pickup</v>
      </c>
      <c r="AC5" s="64" t="str">
        <f>IF($AB5="Pickup","Supply order ready for pickup",IF($AB5="Dispatch","Supply order dispatched",""))</f>
        <v>Supply order ready for pickup</v>
      </c>
      <c r="AD5" s="64" t="str">
        <f t="shared" ref="AD5:AD68" si="1">IF($AB5="Pickup","Dear "&amp;$AH5&amp;","&amp;CHAR(10)&amp;CHAR(10)&amp;"Your order is ready for pickup from Sample Branch, Wed-Fri 9am-4pm.",IF($AB5="Dispatch","Dear "&amp;$AH5&amp;","&amp;CHAR(10)&amp;CHAR(10)&amp;"Your order has been dispatched and is in transit. Reply if undelivered.",""))</f>
        <v>Dear PSW,
Your order is ready for pickup from Sample Branch, Wed-Fri 9am-4pm.</v>
      </c>
      <c r="AE5" s="64" t="str">
        <f t="shared" ref="AE5:AE68" si="2">IF(OR($AA5="",$AC5=""),"","mailto:"&amp;$AA5&amp;"?subject="&amp;_xlfn.ENCODEURL($AC5)&amp;"&amp;body="&amp;_xlfn.ENCODEURL($AD5))</f>
        <v>mailto:firstname092.lastname092@example.com?subject=Supply%20order%20ready%20for%20pickup&amp;body=Dear%20PSW%2C%0A%0AYour%20order%20is%20ready%20for%20pickup%20from%20Sample%20Branch%2C%20Wed-Fri%209am-4pm.</v>
      </c>
      <c r="AF5" s="65" t="str">
        <f>IF(AE5="","",HYPERLINK(AE5,"Draft email"))</f>
        <v>Draft email</v>
      </c>
      <c r="AG5" s="64" t="str">
        <f>IF($C5="","",IFERROR(INDEX('Staff Directory'!$K$595:$K$599,MATCH($C5,'Staff Directory'!$B$5:$B$599,0)),$D5))</f>
        <v>PSW</v>
      </c>
      <c r="AH5" t="str">
        <f>IF($C5="","",IFERROR(INDEX('Staff Directory'!$I$595:$I$599,MATCH($C5,'Staff Directory'!$B$5:$B$599,0))&amp;" "&amp;INDEX('Staff Directory'!$J$595:$J$599,MATCH($C5,'Staff Directory'!$B$5:$B$599,0)),$AG5))</f>
        <v>PSW</v>
      </c>
      <c r="AI5" s="102" t="s">
        <v>428</v>
      </c>
      <c r="AJ5" s="101">
        <f>IF($F5="","",SUMIFS($J$5:$J5,$F$5:$F5,$F5))</f>
        <v>500</v>
      </c>
      <c r="AK5" s="101">
        <f t="shared" ref="AK5:AK196" si="3">IF($F5="","",MAX(1,$AJ5-MAX($J5,0)+1))</f>
        <v>1</v>
      </c>
      <c r="AL5" s="66" t="str" cm="1">
        <f t="array" ref="AL5">IF($F5="","",IFERROR(INDEX('Lot Balance'!$B$5:$B$500,MATCH(1,INDEX(('Lot Balance'!$A$5:$A$500=$F5)*('Lot Balance'!$K$5:$K$500&lt;$AK5)*('Lot Balance'!$K$5:$K$500+'Lot Balance'!$D$5:$D$500&gt;=$AK5),0),0)),""))</f>
        <v>ZIM512142069</v>
      </c>
      <c r="AM5" s="66" t="str" cm="1">
        <f t="array" ref="AM5">IF($F5="","",IFERROR(INDEX('Lot Balance'!$B$5:$B$500,MATCH(1,INDEX(('Lot Balance'!$A$5:$A$500=$F5)*('Lot Balance'!$K$5:$K$500&lt;$AJ5)*('Lot Balance'!$K$5:$K$500+'Lot Balance'!$D$5:$D$500&gt;=$AJ5),0),0)),""))</f>
        <v>ZIM512142069</v>
      </c>
      <c r="AN5" s="66" t="str">
        <f>IF($F5="","",IF($AI5&lt;&gt;"",IF(COUNTIFS('Lot Balance'!$A$5:$A$500,$F5,'Lot Balance'!$B$5:$B$500,$AI5)=0,"⚠ override is not a lot of this item",IF($AI5=$AL5,"Override = FEFO","Override - FEFO says "&amp;$AL5)),IF($AL5="","⚠ no receipt on file for this item",IF($AM5&lt;&gt;$AL5,"FEFO auto - split, also "&amp;$AM5,"FEFO auto"))))</f>
        <v>Override - FEFO says ZIM512142069</v>
      </c>
      <c r="AO5" s="114"/>
    </row>
    <row r="6" spans="1:41" x14ac:dyDescent="0.35">
      <c r="A6" s="74">
        <v>46113</v>
      </c>
      <c r="B6" s="18" t="str">
        <f>IF($C6="","",IFERROR(INDEX('Staff Directory'!$A$5:$A$594,MATCH($C6,'Staff Directory'!$B$5:$B$594,0)),"⚠ unknown staff"))</f>
        <v>PSW-033-A4</v>
      </c>
      <c r="C6" s="49" t="s">
        <v>1008</v>
      </c>
      <c r="D6" s="19" t="str">
        <f>IF($B6="","",IFERROR(INDEX('Staff Directory'!$C$5:$C$594,MATCH($B6,'Staff Directory'!$A$5:$A$594,0)),""))</f>
        <v>PSW</v>
      </c>
      <c r="E6" s="19" t="str">
        <f>IF($B6="","",IFERROR(INDEX('Staff Directory'!$D$5:$D$594,MATCH($B6,'Staff Directory'!$A$5:$A$594,0)),""))</f>
        <v>A4</v>
      </c>
      <c r="F6" s="9" t="s">
        <v>156</v>
      </c>
      <c r="G6" s="18" t="str">
        <f>IF($F6="","",IFERROR(INDEX(Items!$B$5:$B$597,MATCH($F6,Items!$A$5:$A$597,0)),"⚠ not in Items"))</f>
        <v>Masks</v>
      </c>
      <c r="H6" s="19" t="str">
        <f>IF($F6="","",IFERROR(INDEX(Items!$C$5:$C$597,MATCH($F6,Items!$A$5:$A$597,0)),""))</f>
        <v>One Size</v>
      </c>
      <c r="I6" s="23">
        <f>IF($F6="","",IFERROR(INDEX(Items!$E$5:$E$597,MATCH($F6,Items!$A$5:$A$597,0)),""))</f>
        <v>50</v>
      </c>
      <c r="J6" s="115">
        <f>IF(tblIssues[[#This Row],[Qty Override]]&lt;&gt;"",tblIssues[[#This Row],[Qty Override]],IF(tblIssues[[#This Row],[Standard Issue]]="","",tblIssues[[#This Row],[Standard Issue]]))</f>
        <v>50</v>
      </c>
      <c r="K6" s="20">
        <f>IF($F6="","",IFERROR(INDEX(Items!$D$5:$D$597,MATCH($F6,Items!$A$5:$A$597,0)),""))</f>
        <v>0.25</v>
      </c>
      <c r="L6" s="21">
        <f t="shared" ref="L6:L69" si="4">IF(OR($J6="",$K6=""),"",$J6*$K6)</f>
        <v>12.5</v>
      </c>
      <c r="M6" s="9" t="str">
        <f t="shared" ref="M6:M69" si="5">IF($F6="","",IF($AI6&lt;&gt;"",$AI6,$AL6))</f>
        <v>0125FPC24-0</v>
      </c>
      <c r="N6" s="24">
        <f>IF($A6="","",WORKDAY($A6,Settings!$C$9,HolidayDates))</f>
        <v>46121</v>
      </c>
      <c r="O6" s="24">
        <f>IF($N6="","",WORKDAY($N6,Settings!$C$10,HolidayDates))</f>
        <v>46161</v>
      </c>
      <c r="P6" s="10" t="s">
        <v>501</v>
      </c>
      <c r="Q6" s="52" t="str">
        <f t="shared" si="0"/>
        <v>Collected</v>
      </c>
      <c r="R6" s="55" t="str">
        <f t="shared" ref="R6:R69" si="6">IF($A6="","",TEXT($A6,"yyyy-mm"))</f>
        <v>2026-04</v>
      </c>
      <c r="S6" s="55">
        <f>IF(OR($B6="",$F6="",$R6=""),"",SUMIFS(tblIssues[Qty Issued],tblIssues[Staff ID],$B6,tblIssues[Item Name],$F6,tblIssues[Month],$R6))</f>
        <v>50</v>
      </c>
      <c r="T6" s="56">
        <f>IF($I6="","",$I6*Settings!$C$11)</f>
        <v>50</v>
      </c>
      <c r="U6" s="57" t="str">
        <f t="shared" ref="U6:U69" si="7">IF(OR($S6="",$T6=""),"",IF($S6&gt;$T6,IF($Y6="Approved","APPROVED BY TL","⚠ OVER QUOTA"),"OK"))</f>
        <v>OK</v>
      </c>
      <c r="V6" s="55" t="str">
        <f t="shared" ref="V6:V69" si="8">IF($U6="⚠ OVER QUOTA",$B6&amp;" | "&amp;$F6&amp;" | "&amp;$R6,"")</f>
        <v/>
      </c>
      <c r="W6" s="55" t="str">
        <f>IF($V6="","",IF(COUNTIF($V$5:$V6,$V6)=1,1,""))</f>
        <v/>
      </c>
      <c r="X6" s="58" t="str">
        <f>IF($W6="","",MAX($X$4:X5)+1)</f>
        <v/>
      </c>
      <c r="Y6" s="62"/>
      <c r="Z6" s="62"/>
      <c r="AA6" s="64" t="str">
        <f>IF($C6="","",IFERROR(INDEX('Staff Directory'!$E$5:$E$594,MATCH($C6,'Staff Directory'!$B$5:$B$594,0)),""))</f>
        <v>firstname092.lastname092@example.com</v>
      </c>
      <c r="AB6" s="64" t="str">
        <f>IF($C6="","",IF(ISNUMBER(SEARCH($D6,Settings!$C$15)),"Pickup","Dispatch"))</f>
        <v>Pickup</v>
      </c>
      <c r="AC6" s="64" t="str">
        <f t="shared" ref="AC6:AC69" si="9">IF($AB6="Pickup","Supply order ready for pickup",IF($AB6="Dispatch","Supply order dispatched",""))</f>
        <v>Supply order ready for pickup</v>
      </c>
      <c r="AD6" s="64" t="str">
        <f t="shared" si="1"/>
        <v>Dear PSW,
Your order is ready for pickup from Sample Branch, Wed-Fri 9am-4pm.</v>
      </c>
      <c r="AE6" s="64" t="str">
        <f t="shared" si="2"/>
        <v>mailto:firstname092.lastname092@example.com?subject=Supply%20order%20ready%20for%20pickup&amp;body=Dear%20PSW%2C%0A%0AYour%20order%20is%20ready%20for%20pickup%20from%20Sample%20Branch%2C%20Wed-Fri%209am-4pm.</v>
      </c>
      <c r="AF6" s="65" t="str">
        <f t="shared" ref="AF6:AF69" si="10">IF(AE6="","",HYPERLINK(AE6,"Draft email"))</f>
        <v>Draft email</v>
      </c>
      <c r="AG6" s="64" t="str">
        <f>IF($C6="","",IFERROR(INDEX('Staff Directory'!$K$595:$K$599,MATCH($C6,'Staff Directory'!$B$5:$B$599,0)),$D6))</f>
        <v>PSW</v>
      </c>
      <c r="AH6" t="str">
        <f>IF($C6="","",IFERROR(INDEX('Staff Directory'!$I$595:$I$599,MATCH($C6,'Staff Directory'!$B$5:$B$599,0))&amp;" "&amp;INDEX('Staff Directory'!$J$595:$J$599,MATCH($C6,'Staff Directory'!$B$5:$B$599,0)),$AG6))</f>
        <v>PSW</v>
      </c>
      <c r="AI6" s="102" t="s">
        <v>474</v>
      </c>
      <c r="AJ6" s="101">
        <f>IF($F6="","",SUMIFS($J$5:$J6,$F$5:$F6,$F6))</f>
        <v>50</v>
      </c>
      <c r="AK6" s="101">
        <f t="shared" si="3"/>
        <v>1</v>
      </c>
      <c r="AL6" s="66" t="str" cm="1">
        <f t="array" ref="AL6">IF($F6="","",IFERROR(INDEX('Lot Balance'!$B$5:$B$500,MATCH(1,INDEX(('Lot Balance'!$A$5:$A$500=$F6)*('Lot Balance'!$K$5:$K$500&lt;$AK6)*('Lot Balance'!$K$5:$K$500+'Lot Balance'!$D$5:$D$500&gt;=$AK6),0),0)),""))</f>
        <v>0125FPC24-0</v>
      </c>
      <c r="AM6" s="66" t="str" cm="1">
        <f t="array" ref="AM6">IF($F6="","",IFERROR(INDEX('Lot Balance'!$B$5:$B$500,MATCH(1,INDEX(('Lot Balance'!$A$5:$A$500=$F6)*('Lot Balance'!$K$5:$K$500&lt;$AJ6)*('Lot Balance'!$K$5:$K$500+'Lot Balance'!$D$5:$D$500&gt;=$AJ6),0),0)),""))</f>
        <v>0125FPC24-0</v>
      </c>
      <c r="AN6" s="66" t="str">
        <f>IF($F6="","",IF($AI6&lt;&gt;"",IF(COUNTIFS('Lot Balance'!$A$5:$A$500,$F6,'Lot Balance'!$B$5:$B$500,$AI6)=0,"⚠ override is not a lot of this item",IF($AI6=$AL6,"Override = FEFO","Override - FEFO says "&amp;$AL6)),IF($AL6="","⚠ no receipt on file for this item",IF($AM6&lt;&gt;$AL6,"FEFO auto - split, also "&amp;$AM6,"FEFO auto"))))</f>
        <v>Override = FEFO</v>
      </c>
      <c r="AO6" s="114"/>
    </row>
    <row r="7" spans="1:41" x14ac:dyDescent="0.35">
      <c r="A7" s="74">
        <v>46113</v>
      </c>
      <c r="B7" s="18" t="str">
        <f>IF($C7="","",IFERROR(INDEX('Staff Directory'!$A$5:$A$594,MATCH($C7,'Staff Directory'!$B$5:$B$594,0)),"⚠ unknown staff"))</f>
        <v>PSW-033-A4</v>
      </c>
      <c r="C7" s="49" t="s">
        <v>1008</v>
      </c>
      <c r="D7" s="19" t="str">
        <f>IF($B7="","",IFERROR(INDEX('Staff Directory'!$C$5:$C$594,MATCH($B7,'Staff Directory'!$A$5:$A$594,0)),""))</f>
        <v>PSW</v>
      </c>
      <c r="E7" s="19" t="str">
        <f>IF($B7="","",IFERROR(INDEX('Staff Directory'!$D$5:$D$594,MATCH($B7,'Staff Directory'!$A$5:$A$594,0)),""))</f>
        <v>A4</v>
      </c>
      <c r="F7" s="9" t="s">
        <v>154</v>
      </c>
      <c r="G7" s="18" t="str">
        <f>IF($F7="","",IFERROR(INDEX(Items!$B$5:$B$597,MATCH($F7,Items!$A$5:$A$597,0)),"⚠ not in Items"))</f>
        <v>IPAC</v>
      </c>
      <c r="H7" s="19" t="str">
        <f>IF($F7="","",IFERROR(INDEX(Items!$C$5:$C$597,MATCH($F7,Items!$A$5:$A$597,0)),""))</f>
        <v>Regular</v>
      </c>
      <c r="I7" s="23">
        <f>IF($F7="","",IFERROR(INDEX(Items!$E$5:$E$597,MATCH($F7,Items!$A$5:$A$597,0)),""))</f>
        <v>50</v>
      </c>
      <c r="J7" s="115">
        <f>IF(tblIssues[[#This Row],[Qty Override]]&lt;&gt;"",tblIssues[[#This Row],[Qty Override]],IF(tblIssues[[#This Row],[Standard Issue]]="","",tblIssues[[#This Row],[Standard Issue]]))</f>
        <v>50</v>
      </c>
      <c r="K7" s="20">
        <f>IF($F7="","",IFERROR(INDEX(Items!$D$5:$D$597,MATCH($F7,Items!$A$5:$A$597,0)),""))</f>
        <v>0.2</v>
      </c>
      <c r="L7" s="21">
        <f t="shared" si="4"/>
        <v>10</v>
      </c>
      <c r="M7" s="9" t="str">
        <f t="shared" si="5"/>
        <v>Sample Org</v>
      </c>
      <c r="N7" s="24">
        <f>IF($A7="","",WORKDAY($A7,Settings!$C$9,HolidayDates))</f>
        <v>46121</v>
      </c>
      <c r="O7" s="24">
        <f>IF($N7="","",WORKDAY($N7,Settings!$C$10,HolidayDates))</f>
        <v>46161</v>
      </c>
      <c r="P7" s="10" t="s">
        <v>501</v>
      </c>
      <c r="Q7" s="52" t="str">
        <f t="shared" si="0"/>
        <v>Collected</v>
      </c>
      <c r="R7" s="55" t="str">
        <f t="shared" si="6"/>
        <v>2026-04</v>
      </c>
      <c r="S7" s="55">
        <f>IF(OR($B7="",$F7="",$R7=""),"",SUMIFS(tblIssues[Qty Issued],tblIssues[Staff ID],$B7,tblIssues[Item Name],$F7,tblIssues[Month],$R7))</f>
        <v>50</v>
      </c>
      <c r="T7" s="56">
        <f>IF($I7="","",$I7*Settings!$C$11)</f>
        <v>50</v>
      </c>
      <c r="U7" s="57" t="str">
        <f t="shared" si="7"/>
        <v>OK</v>
      </c>
      <c r="V7" s="55" t="str">
        <f t="shared" si="8"/>
        <v/>
      </c>
      <c r="W7" s="55" t="str">
        <f>IF($V7="","",IF(COUNTIF($V$5:$V7,$V7)=1,1,""))</f>
        <v/>
      </c>
      <c r="X7" s="58" t="str">
        <f>IF($W7="","",MAX($X$4:X6)+1)</f>
        <v/>
      </c>
      <c r="Y7" s="62"/>
      <c r="Z7" s="62"/>
      <c r="AA7" s="64" t="str">
        <f>IF($C7="","",IFERROR(INDEX('Staff Directory'!$E$5:$E$594,MATCH($C7,'Staff Directory'!$B$5:$B$594,0)),""))</f>
        <v>firstname092.lastname092@example.com</v>
      </c>
      <c r="AB7" s="64" t="str">
        <f>IF($C7="","",IF(ISNUMBER(SEARCH($D7,Settings!$C$15)),"Pickup","Dispatch"))</f>
        <v>Pickup</v>
      </c>
      <c r="AC7" s="64" t="str">
        <f t="shared" si="9"/>
        <v>Supply order ready for pickup</v>
      </c>
      <c r="AD7" s="64" t="str">
        <f t="shared" si="1"/>
        <v>Dear PSW,
Your order is ready for pickup from Sample Branch, Wed-Fri 9am-4pm.</v>
      </c>
      <c r="AE7" s="64" t="str">
        <f t="shared" si="2"/>
        <v>mailto:firstname092.lastname092@example.com?subject=Supply%20order%20ready%20for%20pickup&amp;body=Dear%20PSW%2C%0A%0AYour%20order%20is%20ready%20for%20pickup%20from%20Sample%20Branch%2C%20Wed-Fri%209am-4pm.</v>
      </c>
      <c r="AF7" s="65" t="str">
        <f t="shared" si="10"/>
        <v>Draft email</v>
      </c>
      <c r="AG7" s="64" t="str">
        <f>IF($C7="","",IFERROR(INDEX('Staff Directory'!$K$595:$K$599,MATCH($C7,'Staff Directory'!$B$5:$B$599,0)),$D7))</f>
        <v>PSW</v>
      </c>
      <c r="AH7" t="str">
        <f>IF($C7="","",IFERROR(INDEX('Staff Directory'!$I$595:$I$599,MATCH($C7,'Staff Directory'!$B$5:$B$599,0))&amp;" "&amp;INDEX('Staff Directory'!$J$595:$J$599,MATCH($C7,'Staff Directory'!$B$5:$B$599,0)),$AG7))</f>
        <v>PSW</v>
      </c>
      <c r="AI7" s="102" t="s">
        <v>770</v>
      </c>
      <c r="AJ7" s="101">
        <f>IF($F7="","",SUMIFS($J$5:$J7,$F$5:$F7,$F7))</f>
        <v>50</v>
      </c>
      <c r="AK7" s="101">
        <f t="shared" si="3"/>
        <v>1</v>
      </c>
      <c r="AL7" s="66" cm="1">
        <f t="array" ref="AL7">IF($F7="","",IFERROR(INDEX('Lot Balance'!$B$5:$B$500,MATCH(1,INDEX(('Lot Balance'!$A$5:$A$500=$F7)*('Lot Balance'!$K$5:$K$500&lt;$AK7)*('Lot Balance'!$K$5:$K$500+'Lot Balance'!$D$5:$D$500&gt;=$AK7),0),0)),""))</f>
        <v>3024</v>
      </c>
      <c r="AM7" s="66" cm="1">
        <f t="array" ref="AM7">IF($F7="","",IFERROR(INDEX('Lot Balance'!$B$5:$B$500,MATCH(1,INDEX(('Lot Balance'!$A$5:$A$500=$F7)*('Lot Balance'!$K$5:$K$500&lt;$AJ7)*('Lot Balance'!$K$5:$K$500+'Lot Balance'!$D$5:$D$500&gt;=$AJ7),0),0)),""))</f>
        <v>3024</v>
      </c>
      <c r="AN7" s="66" t="str">
        <f>IF($F7="","",IF($AI7&lt;&gt;"",IF(COUNTIFS('Lot Balance'!$A$5:$A$500,$F7,'Lot Balance'!$B$5:$B$500,$AI7)=0,"⚠ override is not a lot of this item",IF($AI7=$AL7,"Override = FEFO","Override - FEFO says "&amp;$AL7)),IF($AL7="","⚠ no receipt on file for this item",IF($AM7&lt;&gt;$AL7,"FEFO auto - split, also "&amp;$AM7,"FEFO auto"))))</f>
        <v>⚠ override is not a lot of this item</v>
      </c>
      <c r="AO7" s="114"/>
    </row>
    <row r="8" spans="1:41" x14ac:dyDescent="0.35">
      <c r="A8" s="74">
        <v>46113</v>
      </c>
      <c r="B8" s="18" t="str">
        <f>IF($C8="","",IFERROR(INDEX('Staff Directory'!$A$5:$A$594,MATCH($C8,'Staff Directory'!$B$5:$B$594,0)),"⚠ unknown staff"))</f>
        <v>PSW-102-A6</v>
      </c>
      <c r="C8" s="49" t="s">
        <v>1080</v>
      </c>
      <c r="D8" s="19" t="str">
        <f>IF($B8="","",IFERROR(INDEX('Staff Directory'!$C$5:$C$594,MATCH($B8,'Staff Directory'!$A$5:$A$594,0)),""))</f>
        <v>PSW</v>
      </c>
      <c r="E8" s="19" t="str">
        <f>IF($B8="","",IFERROR(INDEX('Staff Directory'!$D$5:$D$594,MATCH($B8,'Staff Directory'!$A$5:$A$594,0)),""))</f>
        <v>A6</v>
      </c>
      <c r="F8" s="9" t="s">
        <v>127</v>
      </c>
      <c r="G8" s="18" t="str">
        <f>IF($F8="","",IFERROR(INDEX(Items!$B$5:$B$597,MATCH($F8,Items!$A$5:$A$597,0)),"⚠ not in Items"))</f>
        <v>Gloves</v>
      </c>
      <c r="H8" s="19" t="str">
        <f>IF($F8="","",IFERROR(INDEX(Items!$C$5:$C$597,MATCH($F8,Items!$A$5:$A$597,0)),""))</f>
        <v>Medium</v>
      </c>
      <c r="I8" s="23">
        <f>IF($F8="","",IFERROR(INDEX(Items!$E$5:$E$597,MATCH($F8,Items!$A$5:$A$597,0)),""))</f>
        <v>500</v>
      </c>
      <c r="J8" s="115">
        <f>IF(tblIssues[[#This Row],[Qty Override]]&lt;&gt;"",tblIssues[[#This Row],[Qty Override]],IF(tblIssues[[#This Row],[Standard Issue]]="","",tblIssues[[#This Row],[Standard Issue]]))</f>
        <v>500</v>
      </c>
      <c r="K8" s="20">
        <f>IF($F8="","",IFERROR(INDEX(Items!$D$5:$D$597,MATCH($F8,Items!$A$5:$A$597,0)),""))</f>
        <v>5.5E-2</v>
      </c>
      <c r="L8" s="21">
        <f t="shared" si="4"/>
        <v>27.5</v>
      </c>
      <c r="M8" s="9" t="str">
        <f t="shared" si="5"/>
        <v>O17104</v>
      </c>
      <c r="N8" s="24">
        <f>IF($A8="","",WORKDAY($A8,Settings!$C$9,HolidayDates))</f>
        <v>46121</v>
      </c>
      <c r="O8" s="24">
        <f>IF($N8="","",WORKDAY($N8,Settings!$C$10,HolidayDates))</f>
        <v>46161</v>
      </c>
      <c r="P8" s="10" t="s">
        <v>501</v>
      </c>
      <c r="Q8" s="52" t="str">
        <f t="shared" si="0"/>
        <v>Collected</v>
      </c>
      <c r="R8" s="55" t="str">
        <f t="shared" si="6"/>
        <v>2026-04</v>
      </c>
      <c r="S8" s="55">
        <f>IF(OR($B8="",$F8="",$R8=""),"",SUMIFS(tblIssues[Qty Issued],tblIssues[Staff ID],$B8,tblIssues[Item Name],$F8,tblIssues[Month],$R8))</f>
        <v>500</v>
      </c>
      <c r="T8" s="56">
        <f>IF($I8="","",$I8*Settings!$C$11)</f>
        <v>500</v>
      </c>
      <c r="U8" s="57" t="str">
        <f t="shared" si="7"/>
        <v>OK</v>
      </c>
      <c r="V8" s="55" t="str">
        <f t="shared" si="8"/>
        <v/>
      </c>
      <c r="W8" s="55" t="str">
        <f>IF($V8="","",IF(COUNTIF($V$5:$V8,$V8)=1,1,""))</f>
        <v/>
      </c>
      <c r="X8" s="58" t="str">
        <f>IF($W8="","",MAX($X$4:X7)+1)</f>
        <v/>
      </c>
      <c r="Y8" s="62"/>
      <c r="Z8" s="62"/>
      <c r="AA8" s="64" t="str">
        <f>IF($C8="","",IFERROR(INDEX('Staff Directory'!$E$5:$E$594,MATCH($C8,'Staff Directory'!$B$5:$B$594,0)),""))</f>
        <v>firstname164.lastname164@example.com</v>
      </c>
      <c r="AB8" s="64" t="str">
        <f>IF($C8="","",IF(ISNUMBER(SEARCH($D8,Settings!$C$15)),"Pickup","Dispatch"))</f>
        <v>Pickup</v>
      </c>
      <c r="AC8" s="64" t="str">
        <f t="shared" si="9"/>
        <v>Supply order ready for pickup</v>
      </c>
      <c r="AD8" s="64" t="str">
        <f t="shared" si="1"/>
        <v>Dear PSW,
Your order is ready for pickup from Sample Branch, Wed-Fri 9am-4pm.</v>
      </c>
      <c r="AE8" s="64" t="str">
        <f t="shared" si="2"/>
        <v>mailto:firstname164.lastname164@example.com?subject=Supply%20order%20ready%20for%20pickup&amp;body=Dear%20PSW%2C%0A%0AYour%20order%20is%20ready%20for%20pickup%20from%20Sample%20Branch%2C%20Wed-Fri%209am-4pm.</v>
      </c>
      <c r="AF8" s="65" t="str">
        <f t="shared" si="10"/>
        <v>Draft email</v>
      </c>
      <c r="AG8" s="64" t="str">
        <f>IF($C8="","",IFERROR(INDEX('Staff Directory'!$K$595:$K$599,MATCH($C8,'Staff Directory'!$B$5:$B$599,0)),$D8))</f>
        <v>PSW</v>
      </c>
      <c r="AH8" t="str">
        <f>IF($C8="","",IFERROR(INDEX('Staff Directory'!$I$595:$I$599,MATCH($C8,'Staff Directory'!$B$5:$B$599,0))&amp;" "&amp;INDEX('Staff Directory'!$J$595:$J$599,MATCH($C8,'Staff Directory'!$B$5:$B$599,0)),$AG8))</f>
        <v>PSW</v>
      </c>
      <c r="AI8" s="102" t="s">
        <v>415</v>
      </c>
      <c r="AJ8" s="101">
        <f>IF($F8="","",SUMIFS($J$5:$J8,$F$5:$F8,$F8))</f>
        <v>500</v>
      </c>
      <c r="AK8" s="101">
        <f t="shared" si="3"/>
        <v>1</v>
      </c>
      <c r="AL8" s="66" t="str" cm="1">
        <f t="array" ref="AL8">IF($F8="","",IFERROR(INDEX('Lot Balance'!$B$5:$B$500,MATCH(1,INDEX(('Lot Balance'!$A$5:$A$500=$F8)*('Lot Balance'!$K$5:$K$500&lt;$AK8)*('Lot Balance'!$K$5:$K$500+'Lot Balance'!$D$5:$D$500&gt;=$AK8),0),0)),""))</f>
        <v>O17104</v>
      </c>
      <c r="AM8" s="66" t="str" cm="1">
        <f t="array" ref="AM8">IF($F8="","",IFERROR(INDEX('Lot Balance'!$B$5:$B$500,MATCH(1,INDEX(('Lot Balance'!$A$5:$A$500=$F8)*('Lot Balance'!$K$5:$K$500&lt;$AJ8)*('Lot Balance'!$K$5:$K$500+'Lot Balance'!$D$5:$D$500&gt;=$AJ8),0),0)),""))</f>
        <v>O17104</v>
      </c>
      <c r="AN8" s="66" t="str">
        <f>IF($F8="","",IF($AI8&lt;&gt;"",IF(COUNTIFS('Lot Balance'!$A$5:$A$500,$F8,'Lot Balance'!$B$5:$B$500,$AI8)=0,"⚠ override is not a lot of this item",IF($AI8=$AL8,"Override = FEFO","Override - FEFO says "&amp;$AL8)),IF($AL8="","⚠ no receipt on file for this item",IF($AM8&lt;&gt;$AL8,"FEFO auto - split, also "&amp;$AM8,"FEFO auto"))))</f>
        <v>Override = FEFO</v>
      </c>
      <c r="AO8" s="114"/>
    </row>
    <row r="9" spans="1:41" x14ac:dyDescent="0.35">
      <c r="A9" s="74">
        <v>46113</v>
      </c>
      <c r="B9" s="18" t="str">
        <f>IF($C9="","",IFERROR(INDEX('Staff Directory'!$A$5:$A$594,MATCH($C9,'Staff Directory'!$B$5:$B$594,0)),"⚠ unknown staff"))</f>
        <v>PSW-102-A6</v>
      </c>
      <c r="C9" s="49" t="s">
        <v>1080</v>
      </c>
      <c r="D9" s="19" t="str">
        <f>IF($B9="","",IFERROR(INDEX('Staff Directory'!$C$5:$C$594,MATCH($B9,'Staff Directory'!$A$5:$A$594,0)),""))</f>
        <v>PSW</v>
      </c>
      <c r="E9" s="19" t="str">
        <f>IF($B9="","",IFERROR(INDEX('Staff Directory'!$D$5:$D$594,MATCH($B9,'Staff Directory'!$A$5:$A$594,0)),""))</f>
        <v>A6</v>
      </c>
      <c r="F9" s="9" t="s">
        <v>137</v>
      </c>
      <c r="G9" s="18" t="str">
        <f>IF($F9="","",IFERROR(INDEX(Items!$B$5:$B$597,MATCH($F9,Items!$A$5:$A$597,0)),"⚠ not in Items"))</f>
        <v>Sanitizer</v>
      </c>
      <c r="H9" s="19" t="str">
        <f>IF($F9="","",IFERROR(INDEX(Items!$C$5:$C$597,MATCH($F9,Items!$A$5:$A$597,0)),""))</f>
        <v>118 ML</v>
      </c>
      <c r="I9" s="23">
        <f>IF($F9="","",IFERROR(INDEX(Items!$E$5:$E$597,MATCH($F9,Items!$A$5:$A$597,0)),""))</f>
        <v>2</v>
      </c>
      <c r="J9" s="115">
        <f>IF(tblIssues[[#This Row],[Qty Override]]&lt;&gt;"",tblIssues[[#This Row],[Qty Override]],IF(tblIssues[[#This Row],[Standard Issue]]="","",tblIssues[[#This Row],[Standard Issue]]))</f>
        <v>2</v>
      </c>
      <c r="K9" s="20">
        <f>IF($F9="","",IFERROR(INDEX(Items!$D$5:$D$597,MATCH($F9,Items!$A$5:$A$597,0)),""))</f>
        <v>4.49</v>
      </c>
      <c r="L9" s="21">
        <f t="shared" si="4"/>
        <v>8.98</v>
      </c>
      <c r="M9" s="9" t="str">
        <f t="shared" si="5"/>
        <v>563963-5</v>
      </c>
      <c r="N9" s="24">
        <f>IF($A9="","",WORKDAY($A9,Settings!$C$9,HolidayDates))</f>
        <v>46121</v>
      </c>
      <c r="O9" s="24">
        <f>IF($N9="","",WORKDAY($N9,Settings!$C$10,HolidayDates))</f>
        <v>46161</v>
      </c>
      <c r="P9" s="10" t="s">
        <v>501</v>
      </c>
      <c r="Q9" s="52" t="str">
        <f t="shared" si="0"/>
        <v>Collected</v>
      </c>
      <c r="R9" s="55" t="str">
        <f t="shared" si="6"/>
        <v>2026-04</v>
      </c>
      <c r="S9" s="55">
        <f>IF(OR($B9="",$F9="",$R9=""),"",SUMIFS(tblIssues[Qty Issued],tblIssues[Staff ID],$B9,tblIssues[Item Name],$F9,tblIssues[Month],$R9))</f>
        <v>2</v>
      </c>
      <c r="T9" s="56">
        <f>IF($I9="","",$I9*Settings!$C$11)</f>
        <v>2</v>
      </c>
      <c r="U9" s="57" t="str">
        <f t="shared" si="7"/>
        <v>OK</v>
      </c>
      <c r="V9" s="55" t="str">
        <f t="shared" si="8"/>
        <v/>
      </c>
      <c r="W9" s="55" t="str">
        <f>IF($V9="","",IF(COUNTIF($V$5:$V9,$V9)=1,1,""))</f>
        <v/>
      </c>
      <c r="X9" s="58" t="str">
        <f>IF($W9="","",MAX($X$4:X8)+1)</f>
        <v/>
      </c>
      <c r="Y9" s="62"/>
      <c r="Z9" s="62"/>
      <c r="AA9" s="64" t="str">
        <f>IF($C9="","",IFERROR(INDEX('Staff Directory'!$E$5:$E$594,MATCH($C9,'Staff Directory'!$B$5:$B$594,0)),""))</f>
        <v>firstname164.lastname164@example.com</v>
      </c>
      <c r="AB9" s="64" t="str">
        <f>IF($C9="","",IF(ISNUMBER(SEARCH($D9,Settings!$C$15)),"Pickup","Dispatch"))</f>
        <v>Pickup</v>
      </c>
      <c r="AC9" s="64" t="str">
        <f t="shared" si="9"/>
        <v>Supply order ready for pickup</v>
      </c>
      <c r="AD9" s="64" t="str">
        <f t="shared" si="1"/>
        <v>Dear PSW,
Your order is ready for pickup from Sample Branch, Wed-Fri 9am-4pm.</v>
      </c>
      <c r="AE9" s="64" t="str">
        <f t="shared" si="2"/>
        <v>mailto:firstname164.lastname164@example.com?subject=Supply%20order%20ready%20for%20pickup&amp;body=Dear%20PSW%2C%0A%0AYour%20order%20is%20ready%20for%20pickup%20from%20Sample%20Branch%2C%20Wed-Fri%209am-4pm.</v>
      </c>
      <c r="AF9" s="65" t="str">
        <f t="shared" si="10"/>
        <v>Draft email</v>
      </c>
      <c r="AG9" s="64" t="str">
        <f>IF($C9="","",IFERROR(INDEX('Staff Directory'!$K$595:$K$599,MATCH($C9,'Staff Directory'!$B$5:$B$599,0)),$D9))</f>
        <v>PSW</v>
      </c>
      <c r="AH9" t="str">
        <f>IF($C9="","",IFERROR(INDEX('Staff Directory'!$I$595:$I$599,MATCH($C9,'Staff Directory'!$B$5:$B$599,0))&amp;" "&amp;INDEX('Staff Directory'!$J$595:$J$599,MATCH($C9,'Staff Directory'!$B$5:$B$599,0)),$AG9))</f>
        <v>PSW</v>
      </c>
      <c r="AI9" s="102" t="s">
        <v>456</v>
      </c>
      <c r="AJ9" s="101">
        <f>IF($F9="","",SUMIFS($J$5:$J9,$F$5:$F9,$F9))</f>
        <v>2</v>
      </c>
      <c r="AK9" s="101">
        <f t="shared" si="3"/>
        <v>1</v>
      </c>
      <c r="AL9" s="66" t="str" cm="1">
        <f t="array" ref="AL9">IF($F9="","",IFERROR(INDEX('Lot Balance'!$B$5:$B$500,MATCH(1,INDEX(('Lot Balance'!$A$5:$A$500=$F9)*('Lot Balance'!$K$5:$K$500&lt;$AK9)*('Lot Balance'!$K$5:$K$500+'Lot Balance'!$D$5:$D$500&gt;=$AK9),0),0)),""))</f>
        <v>563963-4</v>
      </c>
      <c r="AM9" s="66" t="str" cm="1">
        <f t="array" ref="AM9">IF($F9="","",IFERROR(INDEX('Lot Balance'!$B$5:$B$500,MATCH(1,INDEX(('Lot Balance'!$A$5:$A$500=$F9)*('Lot Balance'!$K$5:$K$500&lt;$AJ9)*('Lot Balance'!$K$5:$K$500+'Lot Balance'!$D$5:$D$500&gt;=$AJ9),0),0)),""))</f>
        <v>563963-4</v>
      </c>
      <c r="AN9" s="66" t="str">
        <f>IF($F9="","",IF($AI9&lt;&gt;"",IF(COUNTIFS('Lot Balance'!$A$5:$A$500,$F9,'Lot Balance'!$B$5:$B$500,$AI9)=0,"⚠ override is not a lot of this item",IF($AI9=$AL9,"Override = FEFO","Override - FEFO says "&amp;$AL9)),IF($AL9="","⚠ no receipt on file for this item",IF($AM9&lt;&gt;$AL9,"FEFO auto - split, also "&amp;$AM9,"FEFO auto"))))</f>
        <v>Override - FEFO says 563963-4</v>
      </c>
      <c r="AO9" s="114"/>
    </row>
    <row r="10" spans="1:41" x14ac:dyDescent="0.35">
      <c r="A10" s="74">
        <v>46113</v>
      </c>
      <c r="B10" s="18" t="str">
        <f>IF($C10="","",IFERROR(INDEX('Staff Directory'!$A$5:$A$594,MATCH($C10,'Staff Directory'!$B$5:$B$594,0)),"⚠ unknown staff"))</f>
        <v>PSW-102-A6</v>
      </c>
      <c r="C10" s="49" t="s">
        <v>1080</v>
      </c>
      <c r="D10" s="19" t="str">
        <f>IF($B10="","",IFERROR(INDEX('Staff Directory'!$C$5:$C$594,MATCH($B10,'Staff Directory'!$A$5:$A$594,0)),""))</f>
        <v>PSW</v>
      </c>
      <c r="E10" s="19" t="str">
        <f>IF($B10="","",IFERROR(INDEX('Staff Directory'!$D$5:$D$594,MATCH($B10,'Staff Directory'!$A$5:$A$594,0)),""))</f>
        <v>A6</v>
      </c>
      <c r="F10" s="9" t="s">
        <v>115</v>
      </c>
      <c r="G10" s="18" t="str">
        <f>IF($F10="","",IFERROR(INDEX(Items!$B$5:$B$597,MATCH($F10,Items!$A$5:$A$597,0)),"⚠ not in Items"))</f>
        <v>Wipes</v>
      </c>
      <c r="H10" s="19">
        <f>IF($F10="","",IFERROR(INDEX(Items!$C$5:$C$597,MATCH($F10,Items!$A$5:$A$597,0)),""))</f>
        <v>80</v>
      </c>
      <c r="I10" s="23">
        <f>IF($F10="","",IFERROR(INDEX(Items!$E$5:$E$597,MATCH($F10,Items!$A$5:$A$597,0)),""))</f>
        <v>80</v>
      </c>
      <c r="J10" s="115">
        <f>IF(tblIssues[[#This Row],[Qty Override]]&lt;&gt;"",tblIssues[[#This Row],[Qty Override]],IF(tblIssues[[#This Row],[Standard Issue]]="","",tblIssues[[#This Row],[Standard Issue]]))</f>
        <v>80</v>
      </c>
      <c r="K10" s="20">
        <f>IF($F10="","",IFERROR(INDEX(Items!$D$5:$D$597,MATCH($F10,Items!$A$5:$A$597,0)),""))</f>
        <v>0.1</v>
      </c>
      <c r="L10" s="21">
        <f t="shared" si="4"/>
        <v>8</v>
      </c>
      <c r="M10" s="9" t="str">
        <f t="shared" si="5"/>
        <v>LYSL500290</v>
      </c>
      <c r="N10" s="24">
        <f>IF($A10="","",WORKDAY($A10,Settings!$C$9,HolidayDates))</f>
        <v>46121</v>
      </c>
      <c r="O10" s="24">
        <f>IF($N10="","",WORKDAY($N10,Settings!$C$10,HolidayDates))</f>
        <v>46161</v>
      </c>
      <c r="P10" s="10" t="s">
        <v>501</v>
      </c>
      <c r="Q10" s="52" t="str">
        <f t="shared" si="0"/>
        <v>Collected</v>
      </c>
      <c r="R10" s="55" t="str">
        <f t="shared" si="6"/>
        <v>2026-04</v>
      </c>
      <c r="S10" s="55">
        <f>IF(OR($B10="",$F10="",$R10=""),"",SUMIFS(tblIssues[Qty Issued],tblIssues[Staff ID],$B10,tblIssues[Item Name],$F10,tblIssues[Month],$R10))</f>
        <v>80</v>
      </c>
      <c r="T10" s="56">
        <f>IF($I10="","",$I10*Settings!$C$11)</f>
        <v>80</v>
      </c>
      <c r="U10" s="57" t="str">
        <f t="shared" si="7"/>
        <v>OK</v>
      </c>
      <c r="V10" s="55" t="str">
        <f t="shared" si="8"/>
        <v/>
      </c>
      <c r="W10" s="55" t="str">
        <f>IF($V10="","",IF(COUNTIF($V$5:$V10,$V10)=1,1,""))</f>
        <v/>
      </c>
      <c r="X10" s="58" t="str">
        <f>IF($W10="","",MAX($X$4:X9)+1)</f>
        <v/>
      </c>
      <c r="Y10" s="62"/>
      <c r="Z10" s="62"/>
      <c r="AA10" s="64" t="str">
        <f>IF($C10="","",IFERROR(INDEX('Staff Directory'!$E$5:$E$594,MATCH($C10,'Staff Directory'!$B$5:$B$594,0)),""))</f>
        <v>firstname164.lastname164@example.com</v>
      </c>
      <c r="AB10" s="64" t="str">
        <f>IF($C10="","",IF(ISNUMBER(SEARCH($D10,Settings!$C$15)),"Pickup","Dispatch"))</f>
        <v>Pickup</v>
      </c>
      <c r="AC10" s="64" t="str">
        <f t="shared" si="9"/>
        <v>Supply order ready for pickup</v>
      </c>
      <c r="AD10" s="64" t="str">
        <f t="shared" si="1"/>
        <v>Dear PSW,
Your order is ready for pickup from Sample Branch, Wed-Fri 9am-4pm.</v>
      </c>
      <c r="AE10" s="64" t="str">
        <f t="shared" si="2"/>
        <v>mailto:firstname164.lastname164@example.com?subject=Supply%20order%20ready%20for%20pickup&amp;body=Dear%20PSW%2C%0A%0AYour%20order%20is%20ready%20for%20pickup%20from%20Sample%20Branch%2C%20Wed-Fri%209am-4pm.</v>
      </c>
      <c r="AF10" s="65" t="str">
        <f t="shared" si="10"/>
        <v>Draft email</v>
      </c>
      <c r="AG10" s="64" t="str">
        <f>IF($C10="","",IFERROR(INDEX('Staff Directory'!$K$595:$K$599,MATCH($C10,'Staff Directory'!$B$5:$B$599,0)),$D10))</f>
        <v>PSW</v>
      </c>
      <c r="AH10" t="str">
        <f>IF($C10="","",IFERROR(INDEX('Staff Directory'!$I$595:$I$599,MATCH($C10,'Staff Directory'!$B$5:$B$599,0))&amp;" "&amp;INDEX('Staff Directory'!$J$595:$J$599,MATCH($C10,'Staff Directory'!$B$5:$B$599,0)),$AG10))</f>
        <v>PSW</v>
      </c>
      <c r="AI10" s="102" t="s">
        <v>386</v>
      </c>
      <c r="AJ10" s="101">
        <f>IF($F10="","",SUMIFS($J$5:$J10,$F$5:$F10,$F10))</f>
        <v>80</v>
      </c>
      <c r="AK10" s="101">
        <f t="shared" si="3"/>
        <v>1</v>
      </c>
      <c r="AL10" s="66" t="str" cm="1">
        <f t="array" ref="AL10">IF($F10="","",IFERROR(INDEX('Lot Balance'!$B$5:$B$500,MATCH(1,INDEX(('Lot Balance'!$A$5:$A$500=$F10)*('Lot Balance'!$K$5:$K$500&lt;$AK10)*('Lot Balance'!$K$5:$K$500+'Lot Balance'!$D$5:$D$500&gt;=$AK10),0),0)),""))</f>
        <v>LYSL500290</v>
      </c>
      <c r="AM10" s="66" t="str" cm="1">
        <f t="array" ref="AM10">IF($F10="","",IFERROR(INDEX('Lot Balance'!$B$5:$B$500,MATCH(1,INDEX(('Lot Balance'!$A$5:$A$500=$F10)*('Lot Balance'!$K$5:$K$500&lt;$AJ10)*('Lot Balance'!$K$5:$K$500+'Lot Balance'!$D$5:$D$500&gt;=$AJ10),0),0)),""))</f>
        <v>LYSL500290</v>
      </c>
      <c r="AN10" s="66" t="str">
        <f>IF($F10="","",IF($AI10&lt;&gt;"",IF(COUNTIFS('Lot Balance'!$A$5:$A$500,$F10,'Lot Balance'!$B$5:$B$500,$AI10)=0,"⚠ override is not a lot of this item",IF($AI10=$AL10,"Override = FEFO","Override - FEFO says "&amp;$AL10)),IF($AL10="","⚠ no receipt on file for this item",IF($AM10&lt;&gt;$AL10,"FEFO auto - split, also "&amp;$AM10,"FEFO auto"))))</f>
        <v>Override = FEFO</v>
      </c>
      <c r="AO10" s="114"/>
    </row>
    <row r="11" spans="1:41" x14ac:dyDescent="0.35">
      <c r="A11" s="74">
        <v>46113</v>
      </c>
      <c r="B11" s="18" t="str">
        <f>IF($C11="","",IFERROR(INDEX('Staff Directory'!$A$5:$A$594,MATCH($C11,'Staff Directory'!$B$5:$B$594,0)),"⚠ unknown staff"))</f>
        <v>PSW-102-A6</v>
      </c>
      <c r="C11" s="49" t="s">
        <v>1080</v>
      </c>
      <c r="D11" s="19" t="str">
        <f>IF($B11="","",IFERROR(INDEX('Staff Directory'!$C$5:$C$594,MATCH($B11,'Staff Directory'!$A$5:$A$594,0)),""))</f>
        <v>PSW</v>
      </c>
      <c r="E11" s="19" t="str">
        <f>IF($B11="","",IFERROR(INDEX('Staff Directory'!$D$5:$D$594,MATCH($B11,'Staff Directory'!$A$5:$A$594,0)),""))</f>
        <v>A6</v>
      </c>
      <c r="F11" s="9" t="s">
        <v>156</v>
      </c>
      <c r="G11" s="18" t="str">
        <f>IF($F11="","",IFERROR(INDEX(Items!$B$5:$B$597,MATCH($F11,Items!$A$5:$A$597,0)),"⚠ not in Items"))</f>
        <v>Masks</v>
      </c>
      <c r="H11" s="19" t="str">
        <f>IF($F11="","",IFERROR(INDEX(Items!$C$5:$C$597,MATCH($F11,Items!$A$5:$A$597,0)),""))</f>
        <v>One Size</v>
      </c>
      <c r="I11" s="23">
        <f>IF($F11="","",IFERROR(INDEX(Items!$E$5:$E$597,MATCH($F11,Items!$A$5:$A$597,0)),""))</f>
        <v>50</v>
      </c>
      <c r="J11" s="115">
        <f>IF(tblIssues[[#This Row],[Qty Override]]&lt;&gt;"",tblIssues[[#This Row],[Qty Override]],IF(tblIssues[[#This Row],[Standard Issue]]="","",tblIssues[[#This Row],[Standard Issue]]))</f>
        <v>50</v>
      </c>
      <c r="K11" s="20">
        <f>IF($F11="","",IFERROR(INDEX(Items!$D$5:$D$597,MATCH($F11,Items!$A$5:$A$597,0)),""))</f>
        <v>0.25</v>
      </c>
      <c r="L11" s="21">
        <f t="shared" si="4"/>
        <v>12.5</v>
      </c>
      <c r="M11" s="9" t="str">
        <f t="shared" si="5"/>
        <v>0125FPC24-0</v>
      </c>
      <c r="N11" s="24">
        <f>IF($A11="","",WORKDAY($A11,Settings!$C$9,HolidayDates))</f>
        <v>46121</v>
      </c>
      <c r="O11" s="24">
        <f>IF($N11="","",WORKDAY($N11,Settings!$C$10,HolidayDates))</f>
        <v>46161</v>
      </c>
      <c r="P11" s="10" t="s">
        <v>501</v>
      </c>
      <c r="Q11" s="52" t="str">
        <f t="shared" si="0"/>
        <v>Collected</v>
      </c>
      <c r="R11" s="55" t="str">
        <f t="shared" si="6"/>
        <v>2026-04</v>
      </c>
      <c r="S11" s="55">
        <f>IF(OR($B11="",$F11="",$R11=""),"",SUMIFS(tblIssues[Qty Issued],tblIssues[Staff ID],$B11,tblIssues[Item Name],$F11,tblIssues[Month],$R11))</f>
        <v>50</v>
      </c>
      <c r="T11" s="56">
        <f>IF($I11="","",$I11*Settings!$C$11)</f>
        <v>50</v>
      </c>
      <c r="U11" s="57" t="str">
        <f t="shared" si="7"/>
        <v>OK</v>
      </c>
      <c r="V11" s="55" t="str">
        <f t="shared" si="8"/>
        <v/>
      </c>
      <c r="W11" s="55" t="str">
        <f>IF($V11="","",IF(COUNTIF($V$5:$V11,$V11)=1,1,""))</f>
        <v/>
      </c>
      <c r="X11" s="58" t="str">
        <f>IF($W11="","",MAX($X$4:X10)+1)</f>
        <v/>
      </c>
      <c r="Y11" s="62"/>
      <c r="Z11" s="62"/>
      <c r="AA11" s="64" t="str">
        <f>IF($C11="","",IFERROR(INDEX('Staff Directory'!$E$5:$E$594,MATCH($C11,'Staff Directory'!$B$5:$B$594,0)),""))</f>
        <v>firstname164.lastname164@example.com</v>
      </c>
      <c r="AB11" s="64" t="str">
        <f>IF($C11="","",IF(ISNUMBER(SEARCH($D11,Settings!$C$15)),"Pickup","Dispatch"))</f>
        <v>Pickup</v>
      </c>
      <c r="AC11" s="64" t="str">
        <f t="shared" si="9"/>
        <v>Supply order ready for pickup</v>
      </c>
      <c r="AD11" s="64" t="str">
        <f t="shared" si="1"/>
        <v>Dear PSW,
Your order is ready for pickup from Sample Branch, Wed-Fri 9am-4pm.</v>
      </c>
      <c r="AE11" s="64" t="str">
        <f t="shared" si="2"/>
        <v>mailto:firstname164.lastname164@example.com?subject=Supply%20order%20ready%20for%20pickup&amp;body=Dear%20PSW%2C%0A%0AYour%20order%20is%20ready%20for%20pickup%20from%20Sample%20Branch%2C%20Wed-Fri%209am-4pm.</v>
      </c>
      <c r="AF11" s="65" t="str">
        <f t="shared" si="10"/>
        <v>Draft email</v>
      </c>
      <c r="AG11" s="64" t="str">
        <f>IF($C11="","",IFERROR(INDEX('Staff Directory'!$K$595:$K$599,MATCH($C11,'Staff Directory'!$B$5:$B$599,0)),$D11))</f>
        <v>PSW</v>
      </c>
      <c r="AH11" t="str">
        <f>IF($C11="","",IFERROR(INDEX('Staff Directory'!$I$595:$I$599,MATCH($C11,'Staff Directory'!$B$5:$B$599,0))&amp;" "&amp;INDEX('Staff Directory'!$J$595:$J$599,MATCH($C11,'Staff Directory'!$B$5:$B$599,0)),$AG11))</f>
        <v>PSW</v>
      </c>
      <c r="AI11" s="102" t="s">
        <v>474</v>
      </c>
      <c r="AJ11" s="101">
        <f>IF($F11="","",SUMIFS($J$5:$J11,$F$5:$F11,$F11))</f>
        <v>100</v>
      </c>
      <c r="AK11" s="101">
        <f t="shared" si="3"/>
        <v>51</v>
      </c>
      <c r="AL11" s="66" t="str" cm="1">
        <f t="array" ref="AL11">IF($F11="","",IFERROR(INDEX('Lot Balance'!$B$5:$B$500,MATCH(1,INDEX(('Lot Balance'!$A$5:$A$500=$F11)*('Lot Balance'!$K$5:$K$500&lt;$AK11)*('Lot Balance'!$K$5:$K$500+'Lot Balance'!$D$5:$D$500&gt;=$AK11),0),0)),""))</f>
        <v>0125FPC24-0</v>
      </c>
      <c r="AM11" s="66" t="str" cm="1">
        <f t="array" ref="AM11">IF($F11="","",IFERROR(INDEX('Lot Balance'!$B$5:$B$500,MATCH(1,INDEX(('Lot Balance'!$A$5:$A$500=$F11)*('Lot Balance'!$K$5:$K$500&lt;$AJ11)*('Lot Balance'!$K$5:$K$500+'Lot Balance'!$D$5:$D$500&gt;=$AJ11),0),0)),""))</f>
        <v>0125FPC24-0</v>
      </c>
      <c r="AN11" s="66" t="str">
        <f>IF($F11="","",IF($AI11&lt;&gt;"",IF(COUNTIFS('Lot Balance'!$A$5:$A$500,$F11,'Lot Balance'!$B$5:$B$500,$AI11)=0,"⚠ override is not a lot of this item",IF($AI11=$AL11,"Override = FEFO","Override - FEFO says "&amp;$AL11)),IF($AL11="","⚠ no receipt on file for this item",IF($AM11&lt;&gt;$AL11,"FEFO auto - split, also "&amp;$AM11,"FEFO auto"))))</f>
        <v>Override = FEFO</v>
      </c>
      <c r="AO11" s="114"/>
    </row>
    <row r="12" spans="1:41" x14ac:dyDescent="0.35">
      <c r="A12" s="74">
        <v>46113</v>
      </c>
      <c r="B12" s="18" t="str">
        <f>IF($C12="","",IFERROR(INDEX('Staff Directory'!$A$5:$A$594,MATCH($C12,'Staff Directory'!$B$5:$B$594,0)),"⚠ unknown staff"))</f>
        <v>PSW-079-A5</v>
      </c>
      <c r="C12" s="49" t="s">
        <v>1055</v>
      </c>
      <c r="D12" s="19" t="str">
        <f>IF($B12="","",IFERROR(INDEX('Staff Directory'!$C$5:$C$594,MATCH($B12,'Staff Directory'!$A$5:$A$594,0)),""))</f>
        <v>PSW</v>
      </c>
      <c r="E12" s="19" t="str">
        <f>IF($B12="","",IFERROR(INDEX('Staff Directory'!$D$5:$D$594,MATCH($B12,'Staff Directory'!$A$5:$A$594,0)),""))</f>
        <v>A5</v>
      </c>
      <c r="F12" s="9" t="s">
        <v>129</v>
      </c>
      <c r="G12" s="18" t="str">
        <f>IF($F12="","",IFERROR(INDEX(Items!$B$5:$B$597,MATCH($F12,Items!$A$5:$A$597,0)),"⚠ not in Items"))</f>
        <v>Gloves</v>
      </c>
      <c r="H12" s="19" t="str">
        <f>IF($F12="","",IFERROR(INDEX(Items!$C$5:$C$597,MATCH($F12,Items!$A$5:$A$597,0)),""))</f>
        <v>Small</v>
      </c>
      <c r="I12" s="23">
        <f>IF($F12="","",IFERROR(INDEX(Items!$E$5:$E$597,MATCH($F12,Items!$A$5:$A$597,0)),""))</f>
        <v>500</v>
      </c>
      <c r="J12" s="115">
        <f>IF(tblIssues[[#This Row],[Qty Override]]&lt;&gt;"",tblIssues[[#This Row],[Qty Override]],IF(tblIssues[[#This Row],[Standard Issue]]="","",tblIssues[[#This Row],[Standard Issue]]))</f>
        <v>500</v>
      </c>
      <c r="K12" s="20">
        <f>IF($F12="","",IFERROR(INDEX(Items!$D$5:$D$597,MATCH($F12,Items!$A$5:$A$597,0)),""))</f>
        <v>5.5E-2</v>
      </c>
      <c r="L12" s="21">
        <f t="shared" si="4"/>
        <v>27.5</v>
      </c>
      <c r="M12" s="9" t="str">
        <f t="shared" si="5"/>
        <v>O210LIC25</v>
      </c>
      <c r="N12" s="24">
        <f>IF($A12="","",WORKDAY($A12,Settings!$C$9,HolidayDates))</f>
        <v>46121</v>
      </c>
      <c r="O12" s="24">
        <f>IF($N12="","",WORKDAY($N12,Settings!$C$10,HolidayDates))</f>
        <v>46161</v>
      </c>
      <c r="P12" s="10" t="s">
        <v>501</v>
      </c>
      <c r="Q12" s="52" t="str">
        <f t="shared" si="0"/>
        <v>Collected</v>
      </c>
      <c r="R12" s="55" t="str">
        <f t="shared" si="6"/>
        <v>2026-04</v>
      </c>
      <c r="S12" s="55">
        <f>IF(OR($B12="",$F12="",$R12=""),"",SUMIFS(tblIssues[Qty Issued],tblIssues[Staff ID],$B12,tblIssues[Item Name],$F12,tblIssues[Month],$R12))</f>
        <v>500</v>
      </c>
      <c r="T12" s="56">
        <f>IF($I12="","",$I12*Settings!$C$11)</f>
        <v>500</v>
      </c>
      <c r="U12" s="57" t="str">
        <f t="shared" si="7"/>
        <v>OK</v>
      </c>
      <c r="V12" s="55" t="str">
        <f t="shared" si="8"/>
        <v/>
      </c>
      <c r="W12" s="55" t="str">
        <f>IF($V12="","",IF(COUNTIF($V$5:$V12,$V12)=1,1,""))</f>
        <v/>
      </c>
      <c r="X12" s="58" t="str">
        <f>IF($W12="","",MAX($X$4:X11)+1)</f>
        <v/>
      </c>
      <c r="Y12" s="62"/>
      <c r="Z12" s="62"/>
      <c r="AA12" s="64" t="str">
        <f>IF($C12="","",IFERROR(INDEX('Staff Directory'!$E$5:$E$594,MATCH($C12,'Staff Directory'!$B$5:$B$594,0)),""))</f>
        <v>firstname139.lastname139@example.com</v>
      </c>
      <c r="AB12" s="64" t="str">
        <f>IF($C12="","",IF(ISNUMBER(SEARCH($D12,Settings!$C$15)),"Pickup","Dispatch"))</f>
        <v>Pickup</v>
      </c>
      <c r="AC12" s="64" t="str">
        <f t="shared" si="9"/>
        <v>Supply order ready for pickup</v>
      </c>
      <c r="AD12" s="64" t="str">
        <f t="shared" si="1"/>
        <v>Dear PSW,
Your order is ready for pickup from Sample Branch, Wed-Fri 9am-4pm.</v>
      </c>
      <c r="AE12" s="64" t="str">
        <f t="shared" si="2"/>
        <v>mailto:firstname139.lastname139@example.com?subject=Supply%20order%20ready%20for%20pickup&amp;body=Dear%20PSW%2C%0A%0AYour%20order%20is%20ready%20for%20pickup%20from%20Sample%20Branch%2C%20Wed-Fri%209am-4pm.</v>
      </c>
      <c r="AF12" s="65" t="str">
        <f t="shared" si="10"/>
        <v>Draft email</v>
      </c>
      <c r="AG12" s="64" t="str">
        <f>IF($C12="","",IFERROR(INDEX('Staff Directory'!$K$595:$K$599,MATCH($C12,'Staff Directory'!$B$5:$B$599,0)),$D12))</f>
        <v>PSW</v>
      </c>
      <c r="AH12" t="str">
        <f>IF($C12="","",IFERROR(INDEX('Staff Directory'!$I$595:$I$599,MATCH($C12,'Staff Directory'!$B$5:$B$599,0))&amp;" "&amp;INDEX('Staff Directory'!$J$595:$J$599,MATCH($C12,'Staff Directory'!$B$5:$B$599,0)),$AG12))</f>
        <v>PSW</v>
      </c>
      <c r="AI12" s="102" t="s">
        <v>428</v>
      </c>
      <c r="AJ12" s="101">
        <f>IF($F12="","",SUMIFS($J$5:$J12,$F$5:$F12,$F12))</f>
        <v>1000</v>
      </c>
      <c r="AK12" s="101">
        <f t="shared" si="3"/>
        <v>501</v>
      </c>
      <c r="AL12" s="66" t="str" cm="1">
        <f t="array" ref="AL12">IF($F12="","",IFERROR(INDEX('Lot Balance'!$B$5:$B$500,MATCH(1,INDEX(('Lot Balance'!$A$5:$A$500=$F12)*('Lot Balance'!$K$5:$K$500&lt;$AK12)*('Lot Balance'!$K$5:$K$500+'Lot Balance'!$D$5:$D$500&gt;=$AK12),0),0)),""))</f>
        <v>ZIM512142069</v>
      </c>
      <c r="AM12" s="66" t="str" cm="1">
        <f t="array" ref="AM12">IF($F12="","",IFERROR(INDEX('Lot Balance'!$B$5:$B$500,MATCH(1,INDEX(('Lot Balance'!$A$5:$A$500=$F12)*('Lot Balance'!$K$5:$K$500&lt;$AJ12)*('Lot Balance'!$K$5:$K$500+'Lot Balance'!$D$5:$D$500&gt;=$AJ12),0),0)),""))</f>
        <v>ZIM512142069</v>
      </c>
      <c r="AN12" s="66" t="str">
        <f>IF($F12="","",IF($AI12&lt;&gt;"",IF(COUNTIFS('Lot Balance'!$A$5:$A$500,$F12,'Lot Balance'!$B$5:$B$500,$AI12)=0,"⚠ override is not a lot of this item",IF($AI12=$AL12,"Override = FEFO","Override - FEFO says "&amp;$AL12)),IF($AL12="","⚠ no receipt on file for this item",IF($AM12&lt;&gt;$AL12,"FEFO auto - split, also "&amp;$AM12,"FEFO auto"))))</f>
        <v>Override - FEFO says ZIM512142069</v>
      </c>
      <c r="AO12" s="114"/>
    </row>
    <row r="13" spans="1:41" x14ac:dyDescent="0.35">
      <c r="A13" s="74">
        <v>46113</v>
      </c>
      <c r="B13" s="18" t="str">
        <f>IF($C13="","",IFERROR(INDEX('Staff Directory'!$A$5:$A$594,MATCH($C13,'Staff Directory'!$B$5:$B$594,0)),"⚠ unknown staff"))</f>
        <v>PSW-079-A5</v>
      </c>
      <c r="C13" s="49" t="s">
        <v>1055</v>
      </c>
      <c r="D13" s="19" t="str">
        <f>IF($B13="","",IFERROR(INDEX('Staff Directory'!$C$5:$C$594,MATCH($B13,'Staff Directory'!$A$5:$A$594,0)),""))</f>
        <v>PSW</v>
      </c>
      <c r="E13" s="19" t="str">
        <f>IF($B13="","",IFERROR(INDEX('Staff Directory'!$D$5:$D$594,MATCH($B13,'Staff Directory'!$A$5:$A$594,0)),""))</f>
        <v>A5</v>
      </c>
      <c r="F13" s="9" t="s">
        <v>115</v>
      </c>
      <c r="G13" s="18" t="str">
        <f>IF($F13="","",IFERROR(INDEX(Items!$B$5:$B$597,MATCH($F13,Items!$A$5:$A$597,0)),"⚠ not in Items"))</f>
        <v>Wipes</v>
      </c>
      <c r="H13" s="19">
        <f>IF($F13="","",IFERROR(INDEX(Items!$C$5:$C$597,MATCH($F13,Items!$A$5:$A$597,0)),""))</f>
        <v>80</v>
      </c>
      <c r="I13" s="23">
        <f>IF($F13="","",IFERROR(INDEX(Items!$E$5:$E$597,MATCH($F13,Items!$A$5:$A$597,0)),""))</f>
        <v>80</v>
      </c>
      <c r="J13" s="115">
        <f>IF(tblIssues[[#This Row],[Qty Override]]&lt;&gt;"",tblIssues[[#This Row],[Qty Override]],IF(tblIssues[[#This Row],[Standard Issue]]="","",tblIssues[[#This Row],[Standard Issue]]))</f>
        <v>80</v>
      </c>
      <c r="K13" s="20">
        <f>IF($F13="","",IFERROR(INDEX(Items!$D$5:$D$597,MATCH($F13,Items!$A$5:$A$597,0)),""))</f>
        <v>0.1</v>
      </c>
      <c r="L13" s="21">
        <f t="shared" si="4"/>
        <v>8</v>
      </c>
      <c r="M13" s="9" t="str">
        <f t="shared" si="5"/>
        <v>LYSL500290</v>
      </c>
      <c r="N13" s="24">
        <f>IF($A13="","",WORKDAY($A13,Settings!$C$9,HolidayDates))</f>
        <v>46121</v>
      </c>
      <c r="O13" s="24">
        <f>IF($N13="","",WORKDAY($N13,Settings!$C$10,HolidayDates))</f>
        <v>46161</v>
      </c>
      <c r="P13" s="10" t="s">
        <v>501</v>
      </c>
      <c r="Q13" s="52" t="str">
        <f t="shared" si="0"/>
        <v>Collected</v>
      </c>
      <c r="R13" s="55" t="str">
        <f t="shared" si="6"/>
        <v>2026-04</v>
      </c>
      <c r="S13" s="55">
        <f>IF(OR($B13="",$F13="",$R13=""),"",SUMIFS(tblIssues[Qty Issued],tblIssues[Staff ID],$B13,tblIssues[Item Name],$F13,tblIssues[Month],$R13))</f>
        <v>80</v>
      </c>
      <c r="T13" s="56">
        <f>IF($I13="","",$I13*Settings!$C$11)</f>
        <v>80</v>
      </c>
      <c r="U13" s="57" t="str">
        <f t="shared" si="7"/>
        <v>OK</v>
      </c>
      <c r="V13" s="55" t="str">
        <f t="shared" si="8"/>
        <v/>
      </c>
      <c r="W13" s="55" t="str">
        <f>IF($V13="","",IF(COUNTIF($V$5:$V13,$V13)=1,1,""))</f>
        <v/>
      </c>
      <c r="X13" s="58" t="str">
        <f>IF($W13="","",MAX($X$4:X12)+1)</f>
        <v/>
      </c>
      <c r="Y13" s="62"/>
      <c r="Z13" s="62"/>
      <c r="AA13" s="64" t="str">
        <f>IF($C13="","",IFERROR(INDEX('Staff Directory'!$E$5:$E$594,MATCH($C13,'Staff Directory'!$B$5:$B$594,0)),""))</f>
        <v>firstname139.lastname139@example.com</v>
      </c>
      <c r="AB13" s="64" t="str">
        <f>IF($C13="","",IF(ISNUMBER(SEARCH($D13,Settings!$C$15)),"Pickup","Dispatch"))</f>
        <v>Pickup</v>
      </c>
      <c r="AC13" s="64" t="str">
        <f t="shared" si="9"/>
        <v>Supply order ready for pickup</v>
      </c>
      <c r="AD13" s="64" t="str">
        <f t="shared" si="1"/>
        <v>Dear PSW,
Your order is ready for pickup from Sample Branch, Wed-Fri 9am-4pm.</v>
      </c>
      <c r="AE13" s="64" t="str">
        <f t="shared" si="2"/>
        <v>mailto:firstname139.lastname139@example.com?subject=Supply%20order%20ready%20for%20pickup&amp;body=Dear%20PSW%2C%0A%0AYour%20order%20is%20ready%20for%20pickup%20from%20Sample%20Branch%2C%20Wed-Fri%209am-4pm.</v>
      </c>
      <c r="AF13" s="65" t="str">
        <f t="shared" si="10"/>
        <v>Draft email</v>
      </c>
      <c r="AG13" s="64" t="str">
        <f>IF($C13="","",IFERROR(INDEX('Staff Directory'!$K$595:$K$599,MATCH($C13,'Staff Directory'!$B$5:$B$599,0)),$D13))</f>
        <v>PSW</v>
      </c>
      <c r="AH13" t="str">
        <f>IF($C13="","",IFERROR(INDEX('Staff Directory'!$I$595:$I$599,MATCH($C13,'Staff Directory'!$B$5:$B$599,0))&amp;" "&amp;INDEX('Staff Directory'!$J$595:$J$599,MATCH($C13,'Staff Directory'!$B$5:$B$599,0)),$AG13))</f>
        <v>PSW</v>
      </c>
      <c r="AI13" s="102" t="s">
        <v>386</v>
      </c>
      <c r="AJ13" s="101">
        <f>IF($F13="","",SUMIFS($J$5:$J13,$F$5:$F13,$F13))</f>
        <v>160</v>
      </c>
      <c r="AK13" s="101">
        <f t="shared" si="3"/>
        <v>81</v>
      </c>
      <c r="AL13" s="66" t="str" cm="1">
        <f t="array" ref="AL13">IF($F13="","",IFERROR(INDEX('Lot Balance'!$B$5:$B$500,MATCH(1,INDEX(('Lot Balance'!$A$5:$A$500=$F13)*('Lot Balance'!$K$5:$K$500&lt;$AK13)*('Lot Balance'!$K$5:$K$500+'Lot Balance'!$D$5:$D$500&gt;=$AK13),0),0)),""))</f>
        <v>LYSL500290</v>
      </c>
      <c r="AM13" s="66" t="str" cm="1">
        <f t="array" ref="AM13">IF($F13="","",IFERROR(INDEX('Lot Balance'!$B$5:$B$500,MATCH(1,INDEX(('Lot Balance'!$A$5:$A$500=$F13)*('Lot Balance'!$K$5:$K$500&lt;$AJ13)*('Lot Balance'!$K$5:$K$500+'Lot Balance'!$D$5:$D$500&gt;=$AJ13),0),0)),""))</f>
        <v>LYSL500290</v>
      </c>
      <c r="AN13" s="66" t="str">
        <f>IF($F13="","",IF($AI13&lt;&gt;"",IF(COUNTIFS('Lot Balance'!$A$5:$A$500,$F13,'Lot Balance'!$B$5:$B$500,$AI13)=0,"⚠ override is not a lot of this item",IF($AI13=$AL13,"Override = FEFO","Override - FEFO says "&amp;$AL13)),IF($AL13="","⚠ no receipt on file for this item",IF($AM13&lt;&gt;$AL13,"FEFO auto - split, also "&amp;$AM13,"FEFO auto"))))</f>
        <v>Override = FEFO</v>
      </c>
      <c r="AO13" s="114"/>
    </row>
    <row r="14" spans="1:41" x14ac:dyDescent="0.35">
      <c r="A14" s="74">
        <v>46113</v>
      </c>
      <c r="B14" s="18" t="str">
        <f>IF($C14="","",IFERROR(INDEX('Staff Directory'!$A$5:$A$594,MATCH($C14,'Staff Directory'!$B$5:$B$594,0)),"⚠ unknown staff"))</f>
        <v>PSW-018-A5</v>
      </c>
      <c r="C14" s="49" t="s">
        <v>994</v>
      </c>
      <c r="D14" s="19" t="str">
        <f>IF($B14="","",IFERROR(INDEX('Staff Directory'!$C$5:$C$594,MATCH($B14,'Staff Directory'!$A$5:$A$594,0)),""))</f>
        <v>PSW</v>
      </c>
      <c r="E14" s="19" t="str">
        <f>IF($B14="","",IFERROR(INDEX('Staff Directory'!$D$5:$D$594,MATCH($B14,'Staff Directory'!$A$5:$A$594,0)),""))</f>
        <v>A5</v>
      </c>
      <c r="F14" s="9" t="s">
        <v>127</v>
      </c>
      <c r="G14" s="18" t="str">
        <f>IF($F14="","",IFERROR(INDEX(Items!$B$5:$B$597,MATCH($F14,Items!$A$5:$A$597,0)),"⚠ not in Items"))</f>
        <v>Gloves</v>
      </c>
      <c r="H14" s="19" t="str">
        <f>IF($F14="","",IFERROR(INDEX(Items!$C$5:$C$597,MATCH($F14,Items!$A$5:$A$597,0)),""))</f>
        <v>Medium</v>
      </c>
      <c r="I14" s="23">
        <f>IF($F14="","",IFERROR(INDEX(Items!$E$5:$E$597,MATCH($F14,Items!$A$5:$A$597,0)),""))</f>
        <v>500</v>
      </c>
      <c r="J14" s="115">
        <f>IF(tblIssues[[#This Row],[Qty Override]]&lt;&gt;"",tblIssues[[#This Row],[Qty Override]],IF(tblIssues[[#This Row],[Standard Issue]]="","",tblIssues[[#This Row],[Standard Issue]]))</f>
        <v>500</v>
      </c>
      <c r="K14" s="20">
        <f>IF($F14="","",IFERROR(INDEX(Items!$D$5:$D$597,MATCH($F14,Items!$A$5:$A$597,0)),""))</f>
        <v>5.5E-2</v>
      </c>
      <c r="L14" s="21">
        <f t="shared" si="4"/>
        <v>27.5</v>
      </c>
      <c r="M14" s="9" t="str">
        <f t="shared" si="5"/>
        <v>O17104</v>
      </c>
      <c r="N14" s="24">
        <f>IF($A14="","",WORKDAY($A14,Settings!$C$9,HolidayDates))</f>
        <v>46121</v>
      </c>
      <c r="O14" s="24">
        <f>IF($N14="","",WORKDAY($N14,Settings!$C$10,HolidayDates))</f>
        <v>46161</v>
      </c>
      <c r="P14" s="10" t="s">
        <v>501</v>
      </c>
      <c r="Q14" s="52" t="str">
        <f t="shared" si="0"/>
        <v>Collected</v>
      </c>
      <c r="R14" s="55" t="str">
        <f t="shared" si="6"/>
        <v>2026-04</v>
      </c>
      <c r="S14" s="55">
        <f>IF(OR($B14="",$F14="",$R14=""),"",SUMIFS(tblIssues[Qty Issued],tblIssues[Staff ID],$B14,tblIssues[Item Name],$F14,tblIssues[Month],$R14))</f>
        <v>500</v>
      </c>
      <c r="T14" s="56">
        <f>IF($I14="","",$I14*Settings!$C$11)</f>
        <v>500</v>
      </c>
      <c r="U14" s="57" t="str">
        <f t="shared" si="7"/>
        <v>OK</v>
      </c>
      <c r="V14" s="55" t="str">
        <f t="shared" si="8"/>
        <v/>
      </c>
      <c r="W14" s="55" t="str">
        <f>IF($V14="","",IF(COUNTIF($V$5:$V14,$V14)=1,1,""))</f>
        <v/>
      </c>
      <c r="X14" s="58" t="str">
        <f>IF($W14="","",MAX($X$4:X13)+1)</f>
        <v/>
      </c>
      <c r="Y14" s="62"/>
      <c r="Z14" s="62"/>
      <c r="AA14" s="64" t="str">
        <f>IF($C14="","",IFERROR(INDEX('Staff Directory'!$E$5:$E$594,MATCH($C14,'Staff Directory'!$B$5:$B$594,0)),""))</f>
        <v>firstname078.lastname078@example.com</v>
      </c>
      <c r="AB14" s="64" t="str">
        <f>IF($C14="","",IF(ISNUMBER(SEARCH($D14,Settings!$C$15)),"Pickup","Dispatch"))</f>
        <v>Pickup</v>
      </c>
      <c r="AC14" s="64" t="str">
        <f t="shared" si="9"/>
        <v>Supply order ready for pickup</v>
      </c>
      <c r="AD14" s="64" t="str">
        <f t="shared" si="1"/>
        <v>Dear PSW,
Your order is ready for pickup from Sample Branch, Wed-Fri 9am-4pm.</v>
      </c>
      <c r="AE14" s="64" t="str">
        <f t="shared" si="2"/>
        <v>mailto:firstname078.lastname078@example.com?subject=Supply%20order%20ready%20for%20pickup&amp;body=Dear%20PSW%2C%0A%0AYour%20order%20is%20ready%20for%20pickup%20from%20Sample%20Branch%2C%20Wed-Fri%209am-4pm.</v>
      </c>
      <c r="AF14" s="65" t="str">
        <f t="shared" si="10"/>
        <v>Draft email</v>
      </c>
      <c r="AG14" s="64" t="str">
        <f>IF($C14="","",IFERROR(INDEX('Staff Directory'!$K$595:$K$599,MATCH($C14,'Staff Directory'!$B$5:$B$599,0)),$D14))</f>
        <v>PSW</v>
      </c>
      <c r="AH14" t="str">
        <f>IF($C14="","",IFERROR(INDEX('Staff Directory'!$I$595:$I$599,MATCH($C14,'Staff Directory'!$B$5:$B$599,0))&amp;" "&amp;INDEX('Staff Directory'!$J$595:$J$599,MATCH($C14,'Staff Directory'!$B$5:$B$599,0)),$AG14))</f>
        <v>PSW</v>
      </c>
      <c r="AI14" s="102" t="s">
        <v>415</v>
      </c>
      <c r="AJ14" s="101">
        <f>IF($F14="","",SUMIFS($J$5:$J14,$F$5:$F14,$F14))</f>
        <v>1000</v>
      </c>
      <c r="AK14" s="101">
        <f t="shared" si="3"/>
        <v>501</v>
      </c>
      <c r="AL14" s="66" t="str" cm="1">
        <f t="array" ref="AL14">IF($F14="","",IFERROR(INDEX('Lot Balance'!$B$5:$B$500,MATCH(1,INDEX(('Lot Balance'!$A$5:$A$500=$F14)*('Lot Balance'!$K$5:$K$500&lt;$AK14)*('Lot Balance'!$K$5:$K$500+'Lot Balance'!$D$5:$D$500&gt;=$AK14),0),0)),""))</f>
        <v>O17104</v>
      </c>
      <c r="AM14" s="66" t="str" cm="1">
        <f t="array" ref="AM14">IF($F14="","",IFERROR(INDEX('Lot Balance'!$B$5:$B$500,MATCH(1,INDEX(('Lot Balance'!$A$5:$A$500=$F14)*('Lot Balance'!$K$5:$K$500&lt;$AJ14)*('Lot Balance'!$K$5:$K$500+'Lot Balance'!$D$5:$D$500&gt;=$AJ14),0),0)),""))</f>
        <v>O17104</v>
      </c>
      <c r="AN14" s="66" t="str">
        <f>IF($F14="","",IF($AI14&lt;&gt;"",IF(COUNTIFS('Lot Balance'!$A$5:$A$500,$F14,'Lot Balance'!$B$5:$B$500,$AI14)=0,"⚠ override is not a lot of this item",IF($AI14=$AL14,"Override = FEFO","Override - FEFO says "&amp;$AL14)),IF($AL14="","⚠ no receipt on file for this item",IF($AM14&lt;&gt;$AL14,"FEFO auto - split, also "&amp;$AM14,"FEFO auto"))))</f>
        <v>Override = FEFO</v>
      </c>
      <c r="AO14" s="114"/>
    </row>
    <row r="15" spans="1:41" x14ac:dyDescent="0.35">
      <c r="A15" s="74">
        <v>46113</v>
      </c>
      <c r="B15" s="18" t="str">
        <f>IF($C15="","",IFERROR(INDEX('Staff Directory'!$A$5:$A$594,MATCH($C15,'Staff Directory'!$B$5:$B$594,0)),"⚠ unknown staff"))</f>
        <v>PSW-018-A5</v>
      </c>
      <c r="C15" s="49" t="s">
        <v>994</v>
      </c>
      <c r="D15" s="19" t="str">
        <f>IF($B15="","",IFERROR(INDEX('Staff Directory'!$C$5:$C$594,MATCH($B15,'Staff Directory'!$A$5:$A$594,0)),""))</f>
        <v>PSW</v>
      </c>
      <c r="E15" s="19" t="str">
        <f>IF($B15="","",IFERROR(INDEX('Staff Directory'!$D$5:$D$594,MATCH($B15,'Staff Directory'!$A$5:$A$594,0)),""))</f>
        <v>A5</v>
      </c>
      <c r="F15" s="9" t="s">
        <v>137</v>
      </c>
      <c r="G15" s="18" t="str">
        <f>IF($F15="","",IFERROR(INDEX(Items!$B$5:$B$597,MATCH($F15,Items!$A$5:$A$597,0)),"⚠ not in Items"))</f>
        <v>Sanitizer</v>
      </c>
      <c r="H15" s="19" t="str">
        <f>IF($F15="","",IFERROR(INDEX(Items!$C$5:$C$597,MATCH($F15,Items!$A$5:$A$597,0)),""))</f>
        <v>118 ML</v>
      </c>
      <c r="I15" s="23">
        <f>IF($F15="","",IFERROR(INDEX(Items!$E$5:$E$597,MATCH($F15,Items!$A$5:$A$597,0)),""))</f>
        <v>2</v>
      </c>
      <c r="J15" s="115">
        <f>IF(tblIssues[[#This Row],[Qty Override]]&lt;&gt;"",tblIssues[[#This Row],[Qty Override]],IF(tblIssues[[#This Row],[Standard Issue]]="","",tblIssues[[#This Row],[Standard Issue]]))</f>
        <v>2</v>
      </c>
      <c r="K15" s="20">
        <f>IF($F15="","",IFERROR(INDEX(Items!$D$5:$D$597,MATCH($F15,Items!$A$5:$A$597,0)),""))</f>
        <v>4.49</v>
      </c>
      <c r="L15" s="21">
        <f t="shared" si="4"/>
        <v>8.98</v>
      </c>
      <c r="M15" s="9" t="str">
        <f t="shared" si="5"/>
        <v>563963-5</v>
      </c>
      <c r="N15" s="24">
        <f>IF($A15="","",WORKDAY($A15,Settings!$C$9,HolidayDates))</f>
        <v>46121</v>
      </c>
      <c r="O15" s="24">
        <f>IF($N15="","",WORKDAY($N15,Settings!$C$10,HolidayDates))</f>
        <v>46161</v>
      </c>
      <c r="P15" s="10" t="s">
        <v>501</v>
      </c>
      <c r="Q15" s="52" t="str">
        <f t="shared" si="0"/>
        <v>Collected</v>
      </c>
      <c r="R15" s="55" t="str">
        <f t="shared" si="6"/>
        <v>2026-04</v>
      </c>
      <c r="S15" s="55">
        <f>IF(OR($B15="",$F15="",$R15=""),"",SUMIFS(tblIssues[Qty Issued],tblIssues[Staff ID],$B15,tblIssues[Item Name],$F15,tblIssues[Month],$R15))</f>
        <v>2</v>
      </c>
      <c r="T15" s="56">
        <f>IF($I15="","",$I15*Settings!$C$11)</f>
        <v>2</v>
      </c>
      <c r="U15" s="57" t="str">
        <f t="shared" si="7"/>
        <v>OK</v>
      </c>
      <c r="V15" s="55" t="str">
        <f t="shared" si="8"/>
        <v/>
      </c>
      <c r="W15" s="55" t="str">
        <f>IF($V15="","",IF(COUNTIF($V$5:$V15,$V15)=1,1,""))</f>
        <v/>
      </c>
      <c r="X15" s="58" t="str">
        <f>IF($W15="","",MAX($X$4:X14)+1)</f>
        <v/>
      </c>
      <c r="Y15" s="62"/>
      <c r="Z15" s="62"/>
      <c r="AA15" s="64" t="str">
        <f>IF($C15="","",IFERROR(INDEX('Staff Directory'!$E$5:$E$594,MATCH($C15,'Staff Directory'!$B$5:$B$594,0)),""))</f>
        <v>firstname078.lastname078@example.com</v>
      </c>
      <c r="AB15" s="64" t="str">
        <f>IF($C15="","",IF(ISNUMBER(SEARCH($D15,Settings!$C$15)),"Pickup","Dispatch"))</f>
        <v>Pickup</v>
      </c>
      <c r="AC15" s="64" t="str">
        <f t="shared" si="9"/>
        <v>Supply order ready for pickup</v>
      </c>
      <c r="AD15" s="64" t="str">
        <f t="shared" si="1"/>
        <v>Dear PSW,
Your order is ready for pickup from Sample Branch, Wed-Fri 9am-4pm.</v>
      </c>
      <c r="AE15" s="64" t="str">
        <f t="shared" si="2"/>
        <v>mailto:firstname078.lastname078@example.com?subject=Supply%20order%20ready%20for%20pickup&amp;body=Dear%20PSW%2C%0A%0AYour%20order%20is%20ready%20for%20pickup%20from%20Sample%20Branch%2C%20Wed-Fri%209am-4pm.</v>
      </c>
      <c r="AF15" s="65" t="str">
        <f t="shared" si="10"/>
        <v>Draft email</v>
      </c>
      <c r="AG15" s="64" t="str">
        <f>IF($C15="","",IFERROR(INDEX('Staff Directory'!$K$595:$K$599,MATCH($C15,'Staff Directory'!$B$5:$B$599,0)),$D15))</f>
        <v>PSW</v>
      </c>
      <c r="AH15" t="str">
        <f>IF($C15="","",IFERROR(INDEX('Staff Directory'!$I$595:$I$599,MATCH($C15,'Staff Directory'!$B$5:$B$599,0))&amp;" "&amp;INDEX('Staff Directory'!$J$595:$J$599,MATCH($C15,'Staff Directory'!$B$5:$B$599,0)),$AG15))</f>
        <v>PSW</v>
      </c>
      <c r="AI15" s="102" t="s">
        <v>456</v>
      </c>
      <c r="AJ15" s="101">
        <f>IF($F15="","",SUMIFS($J$5:$J15,$F$5:$F15,$F15))</f>
        <v>4</v>
      </c>
      <c r="AK15" s="101">
        <f t="shared" si="3"/>
        <v>3</v>
      </c>
      <c r="AL15" s="66" t="str" cm="1">
        <f t="array" ref="AL15">IF($F15="","",IFERROR(INDEX('Lot Balance'!$B$5:$B$500,MATCH(1,INDEX(('Lot Balance'!$A$5:$A$500=$F15)*('Lot Balance'!$K$5:$K$500&lt;$AK15)*('Lot Balance'!$K$5:$K$500+'Lot Balance'!$D$5:$D$500&gt;=$AK15),0),0)),""))</f>
        <v>563963-4</v>
      </c>
      <c r="AM15" s="66" t="str" cm="1">
        <f t="array" ref="AM15">IF($F15="","",IFERROR(INDEX('Lot Balance'!$B$5:$B$500,MATCH(1,INDEX(('Lot Balance'!$A$5:$A$500=$F15)*('Lot Balance'!$K$5:$K$500&lt;$AJ15)*('Lot Balance'!$K$5:$K$500+'Lot Balance'!$D$5:$D$500&gt;=$AJ15),0),0)),""))</f>
        <v>563963-4</v>
      </c>
      <c r="AN15" s="66" t="str">
        <f>IF($F15="","",IF($AI15&lt;&gt;"",IF(COUNTIFS('Lot Balance'!$A$5:$A$500,$F15,'Lot Balance'!$B$5:$B$500,$AI15)=0,"⚠ override is not a lot of this item",IF($AI15=$AL15,"Override = FEFO","Override - FEFO says "&amp;$AL15)),IF($AL15="","⚠ no receipt on file for this item",IF($AM15&lt;&gt;$AL15,"FEFO auto - split, also "&amp;$AM15,"FEFO auto"))))</f>
        <v>Override - FEFO says 563963-4</v>
      </c>
      <c r="AO15" s="114"/>
    </row>
    <row r="16" spans="1:41" x14ac:dyDescent="0.35">
      <c r="A16" s="74">
        <v>46113</v>
      </c>
      <c r="B16" s="18" t="str">
        <f>IF($C16="","",IFERROR(INDEX('Staff Directory'!$A$5:$A$594,MATCH($C16,'Staff Directory'!$B$5:$B$594,0)),"⚠ unknown staff"))</f>
        <v>PSW-018-A5</v>
      </c>
      <c r="C16" s="49" t="s">
        <v>994</v>
      </c>
      <c r="D16" s="19" t="str">
        <f>IF($B16="","",IFERROR(INDEX('Staff Directory'!$C$5:$C$594,MATCH($B16,'Staff Directory'!$A$5:$A$594,0)),""))</f>
        <v>PSW</v>
      </c>
      <c r="E16" s="19" t="str">
        <f>IF($B16="","",IFERROR(INDEX('Staff Directory'!$D$5:$D$594,MATCH($B16,'Staff Directory'!$A$5:$A$594,0)),""))</f>
        <v>A5</v>
      </c>
      <c r="F16" s="9" t="s">
        <v>156</v>
      </c>
      <c r="G16" s="18" t="str">
        <f>IF($F16="","",IFERROR(INDEX(Items!$B$5:$B$597,MATCH($F16,Items!$A$5:$A$597,0)),"⚠ not in Items"))</f>
        <v>Masks</v>
      </c>
      <c r="H16" s="19" t="str">
        <f>IF($F16="","",IFERROR(INDEX(Items!$C$5:$C$597,MATCH($F16,Items!$A$5:$A$597,0)),""))</f>
        <v>One Size</v>
      </c>
      <c r="I16" s="23">
        <f>IF($F16="","",IFERROR(INDEX(Items!$E$5:$E$597,MATCH($F16,Items!$A$5:$A$597,0)),""))</f>
        <v>50</v>
      </c>
      <c r="J16" s="115">
        <f>IF(tblIssues[[#This Row],[Qty Override]]&lt;&gt;"",tblIssues[[#This Row],[Qty Override]],IF(tblIssues[[#This Row],[Standard Issue]]="","",tblIssues[[#This Row],[Standard Issue]]))</f>
        <v>50</v>
      </c>
      <c r="K16" s="20">
        <f>IF($F16="","",IFERROR(INDEX(Items!$D$5:$D$597,MATCH($F16,Items!$A$5:$A$597,0)),""))</f>
        <v>0.25</v>
      </c>
      <c r="L16" s="21">
        <f t="shared" si="4"/>
        <v>12.5</v>
      </c>
      <c r="M16" s="9" t="str">
        <f t="shared" si="5"/>
        <v>0125FPC24-0</v>
      </c>
      <c r="N16" s="24">
        <f>IF($A16="","",WORKDAY($A16,Settings!$C$9,HolidayDates))</f>
        <v>46121</v>
      </c>
      <c r="O16" s="24">
        <f>IF($N16="","",WORKDAY($N16,Settings!$C$10,HolidayDates))</f>
        <v>46161</v>
      </c>
      <c r="P16" s="10" t="s">
        <v>501</v>
      </c>
      <c r="Q16" s="52" t="str">
        <f t="shared" si="0"/>
        <v>Collected</v>
      </c>
      <c r="R16" s="55" t="str">
        <f t="shared" si="6"/>
        <v>2026-04</v>
      </c>
      <c r="S16" s="55">
        <f>IF(OR($B16="",$F16="",$R16=""),"",SUMIFS(tblIssues[Qty Issued],tblIssues[Staff ID],$B16,tblIssues[Item Name],$F16,tblIssues[Month],$R16))</f>
        <v>50</v>
      </c>
      <c r="T16" s="56">
        <f>IF($I16="","",$I16*Settings!$C$11)</f>
        <v>50</v>
      </c>
      <c r="U16" s="57" t="str">
        <f t="shared" si="7"/>
        <v>OK</v>
      </c>
      <c r="V16" s="55" t="str">
        <f t="shared" si="8"/>
        <v/>
      </c>
      <c r="W16" s="55" t="str">
        <f>IF($V16="","",IF(COUNTIF($V$5:$V16,$V16)=1,1,""))</f>
        <v/>
      </c>
      <c r="X16" s="58" t="str">
        <f>IF($W16="","",MAX($X$4:X15)+1)</f>
        <v/>
      </c>
      <c r="Y16" s="62"/>
      <c r="Z16" s="62"/>
      <c r="AA16" s="64" t="str">
        <f>IF($C16="","",IFERROR(INDEX('Staff Directory'!$E$5:$E$594,MATCH($C16,'Staff Directory'!$B$5:$B$594,0)),""))</f>
        <v>firstname078.lastname078@example.com</v>
      </c>
      <c r="AB16" s="64" t="str">
        <f>IF($C16="","",IF(ISNUMBER(SEARCH($D16,Settings!$C$15)),"Pickup","Dispatch"))</f>
        <v>Pickup</v>
      </c>
      <c r="AC16" s="64" t="str">
        <f t="shared" si="9"/>
        <v>Supply order ready for pickup</v>
      </c>
      <c r="AD16" s="64" t="str">
        <f t="shared" si="1"/>
        <v>Dear PSW,
Your order is ready for pickup from Sample Branch, Wed-Fri 9am-4pm.</v>
      </c>
      <c r="AE16" s="64" t="str">
        <f t="shared" si="2"/>
        <v>mailto:firstname078.lastname078@example.com?subject=Supply%20order%20ready%20for%20pickup&amp;body=Dear%20PSW%2C%0A%0AYour%20order%20is%20ready%20for%20pickup%20from%20Sample%20Branch%2C%20Wed-Fri%209am-4pm.</v>
      </c>
      <c r="AF16" s="65" t="str">
        <f t="shared" si="10"/>
        <v>Draft email</v>
      </c>
      <c r="AG16" s="64" t="str">
        <f>IF($C16="","",IFERROR(INDEX('Staff Directory'!$K$595:$K$599,MATCH($C16,'Staff Directory'!$B$5:$B$599,0)),$D16))</f>
        <v>PSW</v>
      </c>
      <c r="AH16" t="str">
        <f>IF($C16="","",IFERROR(INDEX('Staff Directory'!$I$595:$I$599,MATCH($C16,'Staff Directory'!$B$5:$B$599,0))&amp;" "&amp;INDEX('Staff Directory'!$J$595:$J$599,MATCH($C16,'Staff Directory'!$B$5:$B$599,0)),$AG16))</f>
        <v>PSW</v>
      </c>
      <c r="AI16" s="102" t="s">
        <v>474</v>
      </c>
      <c r="AJ16" s="101">
        <f>IF($F16="","",SUMIFS($J$5:$J16,$F$5:$F16,$F16))</f>
        <v>150</v>
      </c>
      <c r="AK16" s="101">
        <f t="shared" si="3"/>
        <v>101</v>
      </c>
      <c r="AL16" s="66" t="str" cm="1">
        <f t="array" ref="AL16">IF($F16="","",IFERROR(INDEX('Lot Balance'!$B$5:$B$500,MATCH(1,INDEX(('Lot Balance'!$A$5:$A$500=$F16)*('Lot Balance'!$K$5:$K$500&lt;$AK16)*('Lot Balance'!$K$5:$K$500+'Lot Balance'!$D$5:$D$500&gt;=$AK16),0),0)),""))</f>
        <v>0125FPC24-0</v>
      </c>
      <c r="AM16" s="66" t="str" cm="1">
        <f t="array" ref="AM16">IF($F16="","",IFERROR(INDEX('Lot Balance'!$B$5:$B$500,MATCH(1,INDEX(('Lot Balance'!$A$5:$A$500=$F16)*('Lot Balance'!$K$5:$K$500&lt;$AJ16)*('Lot Balance'!$K$5:$K$500+'Lot Balance'!$D$5:$D$500&gt;=$AJ16),0),0)),""))</f>
        <v>0125FPC24-0</v>
      </c>
      <c r="AN16" s="66" t="str">
        <f>IF($F16="","",IF($AI16&lt;&gt;"",IF(COUNTIFS('Lot Balance'!$A$5:$A$500,$F16,'Lot Balance'!$B$5:$B$500,$AI16)=0,"⚠ override is not a lot of this item",IF($AI16=$AL16,"Override = FEFO","Override - FEFO says "&amp;$AL16)),IF($AL16="","⚠ no receipt on file for this item",IF($AM16&lt;&gt;$AL16,"FEFO auto - split, also "&amp;$AM16,"FEFO auto"))))</f>
        <v>Override = FEFO</v>
      </c>
      <c r="AO16" s="114"/>
    </row>
    <row r="17" spans="1:41" x14ac:dyDescent="0.35">
      <c r="A17" s="74">
        <v>46113</v>
      </c>
      <c r="B17" s="18" t="str">
        <f>IF($C17="","",IFERROR(INDEX('Staff Directory'!$A$5:$A$594,MATCH($C17,'Staff Directory'!$B$5:$B$594,0)),"⚠ unknown staff"))</f>
        <v>PSW-127-A6</v>
      </c>
      <c r="C17" s="49" t="s">
        <v>1106</v>
      </c>
      <c r="D17" s="19" t="str">
        <f>IF($B17="","",IFERROR(INDEX('Staff Directory'!$C$5:$C$594,MATCH($B17,'Staff Directory'!$A$5:$A$594,0)),""))</f>
        <v>PSW</v>
      </c>
      <c r="E17" s="19" t="str">
        <f>IF($B17="","",IFERROR(INDEX('Staff Directory'!$D$5:$D$594,MATCH($B17,'Staff Directory'!$A$5:$A$594,0)),""))</f>
        <v>A6</v>
      </c>
      <c r="F17" s="9" t="s">
        <v>127</v>
      </c>
      <c r="G17" s="18" t="str">
        <f>IF($F17="","",IFERROR(INDEX(Items!$B$5:$B$597,MATCH($F17,Items!$A$5:$A$597,0)),"⚠ not in Items"))</f>
        <v>Gloves</v>
      </c>
      <c r="H17" s="19" t="str">
        <f>IF($F17="","",IFERROR(INDEX(Items!$C$5:$C$597,MATCH($F17,Items!$A$5:$A$597,0)),""))</f>
        <v>Medium</v>
      </c>
      <c r="I17" s="23">
        <f>IF($F17="","",IFERROR(INDEX(Items!$E$5:$E$597,MATCH($F17,Items!$A$5:$A$597,0)),""))</f>
        <v>500</v>
      </c>
      <c r="J17" s="115">
        <f>IF(tblIssues[[#This Row],[Qty Override]]&lt;&gt;"",tblIssues[[#This Row],[Qty Override]],IF(tblIssues[[#This Row],[Standard Issue]]="","",tblIssues[[#This Row],[Standard Issue]]))</f>
        <v>500</v>
      </c>
      <c r="K17" s="20">
        <f>IF($F17="","",IFERROR(INDEX(Items!$D$5:$D$597,MATCH($F17,Items!$A$5:$A$597,0)),""))</f>
        <v>5.5E-2</v>
      </c>
      <c r="L17" s="21">
        <f t="shared" si="4"/>
        <v>27.5</v>
      </c>
      <c r="M17" s="9" t="str">
        <f t="shared" si="5"/>
        <v>O17104</v>
      </c>
      <c r="N17" s="24">
        <f>IF($A17="","",WORKDAY($A17,Settings!$C$9,HolidayDates))</f>
        <v>46121</v>
      </c>
      <c r="O17" s="24">
        <f>IF($N17="","",WORKDAY($N17,Settings!$C$10,HolidayDates))</f>
        <v>46161</v>
      </c>
      <c r="P17" s="10" t="s">
        <v>501</v>
      </c>
      <c r="Q17" s="52" t="str">
        <f t="shared" si="0"/>
        <v>Collected</v>
      </c>
      <c r="R17" s="55" t="str">
        <f t="shared" si="6"/>
        <v>2026-04</v>
      </c>
      <c r="S17" s="55">
        <f>IF(OR($B17="",$F17="",$R17=""),"",SUMIFS(tblIssues[Qty Issued],tblIssues[Staff ID],$B17,tblIssues[Item Name],$F17,tblIssues[Month],$R17))</f>
        <v>500</v>
      </c>
      <c r="T17" s="56">
        <f>IF($I17="","",$I17*Settings!$C$11)</f>
        <v>500</v>
      </c>
      <c r="U17" s="57" t="str">
        <f t="shared" si="7"/>
        <v>OK</v>
      </c>
      <c r="V17" s="55" t="str">
        <f t="shared" si="8"/>
        <v/>
      </c>
      <c r="W17" s="55" t="str">
        <f>IF($V17="","",IF(COUNTIF($V$5:$V17,$V17)=1,1,""))</f>
        <v/>
      </c>
      <c r="X17" s="58" t="str">
        <f>IF($W17="","",MAX($X$4:X16)+1)</f>
        <v/>
      </c>
      <c r="Y17" s="62"/>
      <c r="Z17" s="62"/>
      <c r="AA17" s="64" t="str">
        <f>IF($C17="","",IFERROR(INDEX('Staff Directory'!$E$5:$E$594,MATCH($C17,'Staff Directory'!$B$5:$B$594,0)),""))</f>
        <v>firstname190.lastname190@example.com</v>
      </c>
      <c r="AB17" s="64" t="str">
        <f>IF($C17="","",IF(ISNUMBER(SEARCH($D17,Settings!$C$15)),"Pickup","Dispatch"))</f>
        <v>Pickup</v>
      </c>
      <c r="AC17" s="64" t="str">
        <f t="shared" si="9"/>
        <v>Supply order ready for pickup</v>
      </c>
      <c r="AD17" s="64" t="str">
        <f t="shared" si="1"/>
        <v>Dear PSW,
Your order is ready for pickup from Sample Branch, Wed-Fri 9am-4pm.</v>
      </c>
      <c r="AE17" s="64" t="str">
        <f t="shared" si="2"/>
        <v>mailto:firstname190.lastname190@example.com?subject=Supply%20order%20ready%20for%20pickup&amp;body=Dear%20PSW%2C%0A%0AYour%20order%20is%20ready%20for%20pickup%20from%20Sample%20Branch%2C%20Wed-Fri%209am-4pm.</v>
      </c>
      <c r="AF17" s="65" t="str">
        <f t="shared" si="10"/>
        <v>Draft email</v>
      </c>
      <c r="AG17" s="64" t="str">
        <f>IF($C17="","",IFERROR(INDEX('Staff Directory'!$K$595:$K$599,MATCH($C17,'Staff Directory'!$B$5:$B$599,0)),$D17))</f>
        <v>PSW</v>
      </c>
      <c r="AH17" t="str">
        <f>IF($C17="","",IFERROR(INDEX('Staff Directory'!$I$595:$I$599,MATCH($C17,'Staff Directory'!$B$5:$B$599,0))&amp;" "&amp;INDEX('Staff Directory'!$J$595:$J$599,MATCH($C17,'Staff Directory'!$B$5:$B$599,0)),$AG17))</f>
        <v>PSW</v>
      </c>
      <c r="AI17" s="102" t="s">
        <v>415</v>
      </c>
      <c r="AJ17" s="101">
        <f>IF($F17="","",SUMIFS($J$5:$J17,$F$5:$F17,$F17))</f>
        <v>1500</v>
      </c>
      <c r="AK17" s="101">
        <f t="shared" si="3"/>
        <v>1001</v>
      </c>
      <c r="AL17" s="66" t="str" cm="1">
        <f t="array" ref="AL17">IF($F17="","",IFERROR(INDEX('Lot Balance'!$B$5:$B$500,MATCH(1,INDEX(('Lot Balance'!$A$5:$A$500=$F17)*('Lot Balance'!$K$5:$K$500&lt;$AK17)*('Lot Balance'!$K$5:$K$500+'Lot Balance'!$D$5:$D$500&gt;=$AK17),0),0)),""))</f>
        <v>O17104</v>
      </c>
      <c r="AM17" s="66" t="str" cm="1">
        <f t="array" ref="AM17">IF($F17="","",IFERROR(INDEX('Lot Balance'!$B$5:$B$500,MATCH(1,INDEX(('Lot Balance'!$A$5:$A$500=$F17)*('Lot Balance'!$K$5:$K$500&lt;$AJ17)*('Lot Balance'!$K$5:$K$500+'Lot Balance'!$D$5:$D$500&gt;=$AJ17),0),0)),""))</f>
        <v>O17104</v>
      </c>
      <c r="AN17" s="66" t="str">
        <f>IF($F17="","",IF($AI17&lt;&gt;"",IF(COUNTIFS('Lot Balance'!$A$5:$A$500,$F17,'Lot Balance'!$B$5:$B$500,$AI17)=0,"⚠ override is not a lot of this item",IF($AI17=$AL17,"Override = FEFO","Override - FEFO says "&amp;$AL17)),IF($AL17="","⚠ no receipt on file for this item",IF($AM17&lt;&gt;$AL17,"FEFO auto - split, also "&amp;$AM17,"FEFO auto"))))</f>
        <v>Override = FEFO</v>
      </c>
      <c r="AO17" s="114"/>
    </row>
    <row r="18" spans="1:41" x14ac:dyDescent="0.35">
      <c r="A18" s="74">
        <v>46113</v>
      </c>
      <c r="B18" s="18" t="str">
        <f>IF($C18="","",IFERROR(INDEX('Staff Directory'!$A$5:$A$594,MATCH($C18,'Staff Directory'!$B$5:$B$594,0)),"⚠ unknown staff"))</f>
        <v>PSW-127-A6</v>
      </c>
      <c r="C18" s="49" t="s">
        <v>1106</v>
      </c>
      <c r="D18" s="19" t="str">
        <f>IF($B18="","",IFERROR(INDEX('Staff Directory'!$C$5:$C$594,MATCH($B18,'Staff Directory'!$A$5:$A$594,0)),""))</f>
        <v>PSW</v>
      </c>
      <c r="E18" s="19" t="str">
        <f>IF($B18="","",IFERROR(INDEX('Staff Directory'!$D$5:$D$594,MATCH($B18,'Staff Directory'!$A$5:$A$594,0)),""))</f>
        <v>A6</v>
      </c>
      <c r="F18" s="9" t="s">
        <v>137</v>
      </c>
      <c r="G18" s="18" t="str">
        <f>IF($F18="","",IFERROR(INDEX(Items!$B$5:$B$597,MATCH($F18,Items!$A$5:$A$597,0)),"⚠ not in Items"))</f>
        <v>Sanitizer</v>
      </c>
      <c r="H18" s="19" t="str">
        <f>IF($F18="","",IFERROR(INDEX(Items!$C$5:$C$597,MATCH($F18,Items!$A$5:$A$597,0)),""))</f>
        <v>118 ML</v>
      </c>
      <c r="I18" s="23">
        <f>IF($F18="","",IFERROR(INDEX(Items!$E$5:$E$597,MATCH($F18,Items!$A$5:$A$597,0)),""))</f>
        <v>2</v>
      </c>
      <c r="J18" s="115">
        <f>IF(tblIssues[[#This Row],[Qty Override]]&lt;&gt;"",tblIssues[[#This Row],[Qty Override]],IF(tblIssues[[#This Row],[Standard Issue]]="","",tblIssues[[#This Row],[Standard Issue]]))</f>
        <v>2</v>
      </c>
      <c r="K18" s="20">
        <f>IF($F18="","",IFERROR(INDEX(Items!$D$5:$D$597,MATCH($F18,Items!$A$5:$A$597,0)),""))</f>
        <v>4.49</v>
      </c>
      <c r="L18" s="21">
        <f t="shared" si="4"/>
        <v>8.98</v>
      </c>
      <c r="M18" s="9" t="str">
        <f t="shared" si="5"/>
        <v>563963-5</v>
      </c>
      <c r="N18" s="24">
        <f>IF($A18="","",WORKDAY($A18,Settings!$C$9,HolidayDates))</f>
        <v>46121</v>
      </c>
      <c r="O18" s="24">
        <f>IF($N18="","",WORKDAY($N18,Settings!$C$10,HolidayDates))</f>
        <v>46161</v>
      </c>
      <c r="P18" s="10" t="s">
        <v>501</v>
      </c>
      <c r="Q18" s="52" t="str">
        <f t="shared" si="0"/>
        <v>Collected</v>
      </c>
      <c r="R18" s="55" t="str">
        <f t="shared" si="6"/>
        <v>2026-04</v>
      </c>
      <c r="S18" s="55">
        <f>IF(OR($B18="",$F18="",$R18=""),"",SUMIFS(tblIssues[Qty Issued],tblIssues[Staff ID],$B18,tblIssues[Item Name],$F18,tblIssues[Month],$R18))</f>
        <v>2</v>
      </c>
      <c r="T18" s="56">
        <f>IF($I18="","",$I18*Settings!$C$11)</f>
        <v>2</v>
      </c>
      <c r="U18" s="57" t="str">
        <f t="shared" si="7"/>
        <v>OK</v>
      </c>
      <c r="V18" s="55" t="str">
        <f t="shared" si="8"/>
        <v/>
      </c>
      <c r="W18" s="55" t="str">
        <f>IF($V18="","",IF(COUNTIF($V$5:$V18,$V18)=1,1,""))</f>
        <v/>
      </c>
      <c r="X18" s="58" t="str">
        <f>IF($W18="","",MAX($X$4:X17)+1)</f>
        <v/>
      </c>
      <c r="Y18" s="62"/>
      <c r="Z18" s="62"/>
      <c r="AA18" s="64" t="str">
        <f>IF($C18="","",IFERROR(INDEX('Staff Directory'!$E$5:$E$594,MATCH($C18,'Staff Directory'!$B$5:$B$594,0)),""))</f>
        <v>firstname190.lastname190@example.com</v>
      </c>
      <c r="AB18" s="64" t="str">
        <f>IF($C18="","",IF(ISNUMBER(SEARCH($D18,Settings!$C$15)),"Pickup","Dispatch"))</f>
        <v>Pickup</v>
      </c>
      <c r="AC18" s="64" t="str">
        <f t="shared" si="9"/>
        <v>Supply order ready for pickup</v>
      </c>
      <c r="AD18" s="64" t="str">
        <f t="shared" si="1"/>
        <v>Dear PSW,
Your order is ready for pickup from Sample Branch, Wed-Fri 9am-4pm.</v>
      </c>
      <c r="AE18" s="64" t="str">
        <f t="shared" si="2"/>
        <v>mailto:firstname190.lastname190@example.com?subject=Supply%20order%20ready%20for%20pickup&amp;body=Dear%20PSW%2C%0A%0AYour%20order%20is%20ready%20for%20pickup%20from%20Sample%20Branch%2C%20Wed-Fri%209am-4pm.</v>
      </c>
      <c r="AF18" s="65" t="str">
        <f t="shared" si="10"/>
        <v>Draft email</v>
      </c>
      <c r="AG18" s="64" t="str">
        <f>IF($C18="","",IFERROR(INDEX('Staff Directory'!$K$595:$K$599,MATCH($C18,'Staff Directory'!$B$5:$B$599,0)),$D18))</f>
        <v>PSW</v>
      </c>
      <c r="AH18" t="str">
        <f>IF($C18="","",IFERROR(INDEX('Staff Directory'!$I$595:$I$599,MATCH($C18,'Staff Directory'!$B$5:$B$599,0))&amp;" "&amp;INDEX('Staff Directory'!$J$595:$J$599,MATCH($C18,'Staff Directory'!$B$5:$B$599,0)),$AG18))</f>
        <v>PSW</v>
      </c>
      <c r="AI18" s="102" t="s">
        <v>456</v>
      </c>
      <c r="AJ18" s="101">
        <f>IF($F18="","",SUMIFS($J$5:$J18,$F$5:$F18,$F18))</f>
        <v>6</v>
      </c>
      <c r="AK18" s="101">
        <f t="shared" si="3"/>
        <v>5</v>
      </c>
      <c r="AL18" s="66" t="str" cm="1">
        <f t="array" ref="AL18">IF($F18="","",IFERROR(INDEX('Lot Balance'!$B$5:$B$500,MATCH(1,INDEX(('Lot Balance'!$A$5:$A$500=$F18)*('Lot Balance'!$K$5:$K$500&lt;$AK18)*('Lot Balance'!$K$5:$K$500+'Lot Balance'!$D$5:$D$500&gt;=$AK18),0),0)),""))</f>
        <v>563963-4</v>
      </c>
      <c r="AM18" s="66" t="str" cm="1">
        <f t="array" ref="AM18">IF($F18="","",IFERROR(INDEX('Lot Balance'!$B$5:$B$500,MATCH(1,INDEX(('Lot Balance'!$A$5:$A$500=$F18)*('Lot Balance'!$K$5:$K$500&lt;$AJ18)*('Lot Balance'!$K$5:$K$500+'Lot Balance'!$D$5:$D$500&gt;=$AJ18),0),0)),""))</f>
        <v>563963-4</v>
      </c>
      <c r="AN18" s="66" t="str">
        <f>IF($F18="","",IF($AI18&lt;&gt;"",IF(COUNTIFS('Lot Balance'!$A$5:$A$500,$F18,'Lot Balance'!$B$5:$B$500,$AI18)=0,"⚠ override is not a lot of this item",IF($AI18=$AL18,"Override = FEFO","Override - FEFO says "&amp;$AL18)),IF($AL18="","⚠ no receipt on file for this item",IF($AM18&lt;&gt;$AL18,"FEFO auto - split, also "&amp;$AM18,"FEFO auto"))))</f>
        <v>Override - FEFO says 563963-4</v>
      </c>
      <c r="AO18" s="114"/>
    </row>
    <row r="19" spans="1:41" x14ac:dyDescent="0.35">
      <c r="A19" s="74">
        <v>46113</v>
      </c>
      <c r="B19" s="18" t="str">
        <f>IF($C19="","",IFERROR(INDEX('Staff Directory'!$A$5:$A$594,MATCH($C19,'Staff Directory'!$B$5:$B$594,0)),"⚠ unknown staff"))</f>
        <v>PSW-127-A6</v>
      </c>
      <c r="C19" s="49" t="s">
        <v>1106</v>
      </c>
      <c r="D19" s="19" t="str">
        <f>IF($B19="","",IFERROR(INDEX('Staff Directory'!$C$5:$C$594,MATCH($B19,'Staff Directory'!$A$5:$A$594,0)),""))</f>
        <v>PSW</v>
      </c>
      <c r="E19" s="19" t="str">
        <f>IF($B19="","",IFERROR(INDEX('Staff Directory'!$D$5:$D$594,MATCH($B19,'Staff Directory'!$A$5:$A$594,0)),""))</f>
        <v>A6</v>
      </c>
      <c r="F19" s="9" t="s">
        <v>115</v>
      </c>
      <c r="G19" s="18" t="str">
        <f>IF($F19="","",IFERROR(INDEX(Items!$B$5:$B$597,MATCH($F19,Items!$A$5:$A$597,0)),"⚠ not in Items"))</f>
        <v>Wipes</v>
      </c>
      <c r="H19" s="19">
        <f>IF($F19="","",IFERROR(INDEX(Items!$C$5:$C$597,MATCH($F19,Items!$A$5:$A$597,0)),""))</f>
        <v>80</v>
      </c>
      <c r="I19" s="23">
        <f>IF($F19="","",IFERROR(INDEX(Items!$E$5:$E$597,MATCH($F19,Items!$A$5:$A$597,0)),""))</f>
        <v>80</v>
      </c>
      <c r="J19" s="115">
        <f>IF(tblIssues[[#This Row],[Qty Override]]&lt;&gt;"",tblIssues[[#This Row],[Qty Override]],IF(tblIssues[[#This Row],[Standard Issue]]="","",tblIssues[[#This Row],[Standard Issue]]))</f>
        <v>80</v>
      </c>
      <c r="K19" s="20">
        <f>IF($F19="","",IFERROR(INDEX(Items!$D$5:$D$597,MATCH($F19,Items!$A$5:$A$597,0)),""))</f>
        <v>0.1</v>
      </c>
      <c r="L19" s="21">
        <f t="shared" si="4"/>
        <v>8</v>
      </c>
      <c r="M19" s="9" t="str">
        <f t="shared" si="5"/>
        <v>LYSL500290</v>
      </c>
      <c r="N19" s="24">
        <f>IF($A19="","",WORKDAY($A19,Settings!$C$9,HolidayDates))</f>
        <v>46121</v>
      </c>
      <c r="O19" s="24">
        <f>IF($N19="","",WORKDAY($N19,Settings!$C$10,HolidayDates))</f>
        <v>46161</v>
      </c>
      <c r="P19" s="10" t="s">
        <v>501</v>
      </c>
      <c r="Q19" s="52" t="str">
        <f t="shared" si="0"/>
        <v>Collected</v>
      </c>
      <c r="R19" s="55" t="str">
        <f t="shared" si="6"/>
        <v>2026-04</v>
      </c>
      <c r="S19" s="55">
        <f>IF(OR($B19="",$F19="",$R19=""),"",SUMIFS(tblIssues[Qty Issued],tblIssues[Staff ID],$B19,tblIssues[Item Name],$F19,tblIssues[Month],$R19))</f>
        <v>80</v>
      </c>
      <c r="T19" s="56">
        <f>IF($I19="","",$I19*Settings!$C$11)</f>
        <v>80</v>
      </c>
      <c r="U19" s="57" t="str">
        <f t="shared" si="7"/>
        <v>OK</v>
      </c>
      <c r="V19" s="55" t="str">
        <f t="shared" si="8"/>
        <v/>
      </c>
      <c r="W19" s="55" t="str">
        <f>IF($V19="","",IF(COUNTIF($V$5:$V19,$V19)=1,1,""))</f>
        <v/>
      </c>
      <c r="X19" s="58" t="str">
        <f>IF($W19="","",MAX($X$4:X18)+1)</f>
        <v/>
      </c>
      <c r="Y19" s="62"/>
      <c r="Z19" s="62"/>
      <c r="AA19" s="64" t="str">
        <f>IF($C19="","",IFERROR(INDEX('Staff Directory'!$E$5:$E$594,MATCH($C19,'Staff Directory'!$B$5:$B$594,0)),""))</f>
        <v>firstname190.lastname190@example.com</v>
      </c>
      <c r="AB19" s="64" t="str">
        <f>IF($C19="","",IF(ISNUMBER(SEARCH($D19,Settings!$C$15)),"Pickup","Dispatch"))</f>
        <v>Pickup</v>
      </c>
      <c r="AC19" s="64" t="str">
        <f t="shared" si="9"/>
        <v>Supply order ready for pickup</v>
      </c>
      <c r="AD19" s="64" t="str">
        <f t="shared" si="1"/>
        <v>Dear PSW,
Your order is ready for pickup from Sample Branch, Wed-Fri 9am-4pm.</v>
      </c>
      <c r="AE19" s="64" t="str">
        <f t="shared" si="2"/>
        <v>mailto:firstname190.lastname190@example.com?subject=Supply%20order%20ready%20for%20pickup&amp;body=Dear%20PSW%2C%0A%0AYour%20order%20is%20ready%20for%20pickup%20from%20Sample%20Branch%2C%20Wed-Fri%209am-4pm.</v>
      </c>
      <c r="AF19" s="65" t="str">
        <f t="shared" si="10"/>
        <v>Draft email</v>
      </c>
      <c r="AG19" s="64" t="str">
        <f>IF($C19="","",IFERROR(INDEX('Staff Directory'!$K$595:$K$599,MATCH($C19,'Staff Directory'!$B$5:$B$599,0)),$D19))</f>
        <v>PSW</v>
      </c>
      <c r="AH19" t="str">
        <f>IF($C19="","",IFERROR(INDEX('Staff Directory'!$I$595:$I$599,MATCH($C19,'Staff Directory'!$B$5:$B$599,0))&amp;" "&amp;INDEX('Staff Directory'!$J$595:$J$599,MATCH($C19,'Staff Directory'!$B$5:$B$599,0)),$AG19))</f>
        <v>PSW</v>
      </c>
      <c r="AI19" s="102" t="s">
        <v>386</v>
      </c>
      <c r="AJ19" s="101">
        <f>IF($F19="","",SUMIFS($J$5:$J19,$F$5:$F19,$F19))</f>
        <v>240</v>
      </c>
      <c r="AK19" s="101">
        <f t="shared" si="3"/>
        <v>161</v>
      </c>
      <c r="AL19" s="66" t="str" cm="1">
        <f t="array" ref="AL19">IF($F19="","",IFERROR(INDEX('Lot Balance'!$B$5:$B$500,MATCH(1,INDEX(('Lot Balance'!$A$5:$A$500=$F19)*('Lot Balance'!$K$5:$K$500&lt;$AK19)*('Lot Balance'!$K$5:$K$500+'Lot Balance'!$D$5:$D$500&gt;=$AK19),0),0)),""))</f>
        <v>LYSL500290</v>
      </c>
      <c r="AM19" s="66" t="str" cm="1">
        <f t="array" ref="AM19">IF($F19="","",IFERROR(INDEX('Lot Balance'!$B$5:$B$500,MATCH(1,INDEX(('Lot Balance'!$A$5:$A$500=$F19)*('Lot Balance'!$K$5:$K$500&lt;$AJ19)*('Lot Balance'!$K$5:$K$500+'Lot Balance'!$D$5:$D$500&gt;=$AJ19),0),0)),""))</f>
        <v>LYSL500290</v>
      </c>
      <c r="AN19" s="66" t="str">
        <f>IF($F19="","",IF($AI19&lt;&gt;"",IF(COUNTIFS('Lot Balance'!$A$5:$A$500,$F19,'Lot Balance'!$B$5:$B$500,$AI19)=0,"⚠ override is not a lot of this item",IF($AI19=$AL19,"Override = FEFO","Override - FEFO says "&amp;$AL19)),IF($AL19="","⚠ no receipt on file for this item",IF($AM19&lt;&gt;$AL19,"FEFO auto - split, also "&amp;$AM19,"FEFO auto"))))</f>
        <v>Override = FEFO</v>
      </c>
      <c r="AO19" s="114"/>
    </row>
    <row r="20" spans="1:41" x14ac:dyDescent="0.35">
      <c r="A20" s="74">
        <v>46113</v>
      </c>
      <c r="B20" s="18" t="str">
        <f>IF($C20="","",IFERROR(INDEX('Staff Directory'!$A$5:$A$594,MATCH($C20,'Staff Directory'!$B$5:$B$594,0)),"⚠ unknown staff"))</f>
        <v>PSW-127-A6</v>
      </c>
      <c r="C20" s="49" t="s">
        <v>1106</v>
      </c>
      <c r="D20" s="19" t="str">
        <f>IF($B20="","",IFERROR(INDEX('Staff Directory'!$C$5:$C$594,MATCH($B20,'Staff Directory'!$A$5:$A$594,0)),""))</f>
        <v>PSW</v>
      </c>
      <c r="E20" s="19" t="str">
        <f>IF($B20="","",IFERROR(INDEX('Staff Directory'!$D$5:$D$594,MATCH($B20,'Staff Directory'!$A$5:$A$594,0)),""))</f>
        <v>A6</v>
      </c>
      <c r="F20" s="9" t="s">
        <v>156</v>
      </c>
      <c r="G20" s="18" t="str">
        <f>IF($F20="","",IFERROR(INDEX(Items!$B$5:$B$597,MATCH($F20,Items!$A$5:$A$597,0)),"⚠ not in Items"))</f>
        <v>Masks</v>
      </c>
      <c r="H20" s="19" t="str">
        <f>IF($F20="","",IFERROR(INDEX(Items!$C$5:$C$597,MATCH($F20,Items!$A$5:$A$597,0)),""))</f>
        <v>One Size</v>
      </c>
      <c r="I20" s="23">
        <f>IF($F20="","",IFERROR(INDEX(Items!$E$5:$E$597,MATCH($F20,Items!$A$5:$A$597,0)),""))</f>
        <v>50</v>
      </c>
      <c r="J20" s="115">
        <f>IF(tblIssues[[#This Row],[Qty Override]]&lt;&gt;"",tblIssues[[#This Row],[Qty Override]],IF(tblIssues[[#This Row],[Standard Issue]]="","",tblIssues[[#This Row],[Standard Issue]]))</f>
        <v>50</v>
      </c>
      <c r="K20" s="20">
        <f>IF($F20="","",IFERROR(INDEX(Items!$D$5:$D$597,MATCH($F20,Items!$A$5:$A$597,0)),""))</f>
        <v>0.25</v>
      </c>
      <c r="L20" s="21">
        <f t="shared" si="4"/>
        <v>12.5</v>
      </c>
      <c r="M20" s="9" t="str">
        <f t="shared" si="5"/>
        <v>0125FPC24-0</v>
      </c>
      <c r="N20" s="24">
        <f>IF($A20="","",WORKDAY($A20,Settings!$C$9,HolidayDates))</f>
        <v>46121</v>
      </c>
      <c r="O20" s="24">
        <f>IF($N20="","",WORKDAY($N20,Settings!$C$10,HolidayDates))</f>
        <v>46161</v>
      </c>
      <c r="P20" s="10" t="s">
        <v>501</v>
      </c>
      <c r="Q20" s="52" t="str">
        <f t="shared" si="0"/>
        <v>Collected</v>
      </c>
      <c r="R20" s="55" t="str">
        <f t="shared" si="6"/>
        <v>2026-04</v>
      </c>
      <c r="S20" s="55">
        <f>IF(OR($B20="",$F20="",$R20=""),"",SUMIFS(tblIssues[Qty Issued],tblIssues[Staff ID],$B20,tblIssues[Item Name],$F20,tblIssues[Month],$R20))</f>
        <v>50</v>
      </c>
      <c r="T20" s="56">
        <f>IF($I20="","",$I20*Settings!$C$11)</f>
        <v>50</v>
      </c>
      <c r="U20" s="57" t="str">
        <f t="shared" si="7"/>
        <v>OK</v>
      </c>
      <c r="V20" s="55" t="str">
        <f t="shared" si="8"/>
        <v/>
      </c>
      <c r="W20" s="55" t="str">
        <f>IF($V20="","",IF(COUNTIF($V$5:$V20,$V20)=1,1,""))</f>
        <v/>
      </c>
      <c r="X20" s="58" t="str">
        <f>IF($W20="","",MAX($X$4:X19)+1)</f>
        <v/>
      </c>
      <c r="Y20" s="62"/>
      <c r="Z20" s="62"/>
      <c r="AA20" s="64" t="str">
        <f>IF($C20="","",IFERROR(INDEX('Staff Directory'!$E$5:$E$594,MATCH($C20,'Staff Directory'!$B$5:$B$594,0)),""))</f>
        <v>firstname190.lastname190@example.com</v>
      </c>
      <c r="AB20" s="64" t="str">
        <f>IF($C20="","",IF(ISNUMBER(SEARCH($D20,Settings!$C$15)),"Pickup","Dispatch"))</f>
        <v>Pickup</v>
      </c>
      <c r="AC20" s="64" t="str">
        <f t="shared" si="9"/>
        <v>Supply order ready for pickup</v>
      </c>
      <c r="AD20" s="64" t="str">
        <f t="shared" si="1"/>
        <v>Dear PSW,
Your order is ready for pickup from Sample Branch, Wed-Fri 9am-4pm.</v>
      </c>
      <c r="AE20" s="64" t="str">
        <f t="shared" si="2"/>
        <v>mailto:firstname190.lastname190@example.com?subject=Supply%20order%20ready%20for%20pickup&amp;body=Dear%20PSW%2C%0A%0AYour%20order%20is%20ready%20for%20pickup%20from%20Sample%20Branch%2C%20Wed-Fri%209am-4pm.</v>
      </c>
      <c r="AF20" s="65" t="str">
        <f t="shared" si="10"/>
        <v>Draft email</v>
      </c>
      <c r="AG20" s="64" t="str">
        <f>IF($C20="","",IFERROR(INDEX('Staff Directory'!$K$595:$K$599,MATCH($C20,'Staff Directory'!$B$5:$B$599,0)),$D20))</f>
        <v>PSW</v>
      </c>
      <c r="AH20" t="str">
        <f>IF($C20="","",IFERROR(INDEX('Staff Directory'!$I$595:$I$599,MATCH($C20,'Staff Directory'!$B$5:$B$599,0))&amp;" "&amp;INDEX('Staff Directory'!$J$595:$J$599,MATCH($C20,'Staff Directory'!$B$5:$B$599,0)),$AG20))</f>
        <v>PSW</v>
      </c>
      <c r="AI20" s="102" t="s">
        <v>474</v>
      </c>
      <c r="AJ20" s="101">
        <f>IF($F20="","",SUMIFS($J$5:$J20,$F$5:$F20,$F20))</f>
        <v>200</v>
      </c>
      <c r="AK20" s="101">
        <f t="shared" si="3"/>
        <v>151</v>
      </c>
      <c r="AL20" s="66" t="str" cm="1">
        <f t="array" ref="AL20">IF($F20="","",IFERROR(INDEX('Lot Balance'!$B$5:$B$500,MATCH(1,INDEX(('Lot Balance'!$A$5:$A$500=$F20)*('Lot Balance'!$K$5:$K$500&lt;$AK20)*('Lot Balance'!$K$5:$K$500+'Lot Balance'!$D$5:$D$500&gt;=$AK20),0),0)),""))</f>
        <v>0125FPC24-0</v>
      </c>
      <c r="AM20" s="66" t="str" cm="1">
        <f t="array" ref="AM20">IF($F20="","",IFERROR(INDEX('Lot Balance'!$B$5:$B$500,MATCH(1,INDEX(('Lot Balance'!$A$5:$A$500=$F20)*('Lot Balance'!$K$5:$K$500&lt;$AJ20)*('Lot Balance'!$K$5:$K$500+'Lot Balance'!$D$5:$D$500&gt;=$AJ20),0),0)),""))</f>
        <v>0125FPC24-0</v>
      </c>
      <c r="AN20" s="66" t="str">
        <f>IF($F20="","",IF($AI20&lt;&gt;"",IF(COUNTIFS('Lot Balance'!$A$5:$A$500,$F20,'Lot Balance'!$B$5:$B$500,$AI20)=0,"⚠ override is not a lot of this item",IF($AI20=$AL20,"Override = FEFO","Override - FEFO says "&amp;$AL20)),IF($AL20="","⚠ no receipt on file for this item",IF($AM20&lt;&gt;$AL20,"FEFO auto - split, also "&amp;$AM20,"FEFO auto"))))</f>
        <v>Override = FEFO</v>
      </c>
      <c r="AO20" s="114"/>
    </row>
    <row r="21" spans="1:41" x14ac:dyDescent="0.35">
      <c r="A21" s="74">
        <v>46113</v>
      </c>
      <c r="B21" s="18" t="str">
        <f>IF($C21="","",IFERROR(INDEX('Staff Directory'!$A$5:$A$594,MATCH($C21,'Staff Directory'!$B$5:$B$594,0)),"⚠ unknown staff"))</f>
        <v>PSW-056-A6</v>
      </c>
      <c r="C21" s="49" t="s">
        <v>1032</v>
      </c>
      <c r="D21" s="19" t="str">
        <f>IF($B21="","",IFERROR(INDEX('Staff Directory'!$C$5:$C$594,MATCH($B21,'Staff Directory'!$A$5:$A$594,0)),""))</f>
        <v>PSW</v>
      </c>
      <c r="E21" s="19" t="str">
        <f>IF($B21="","",IFERROR(INDEX('Staff Directory'!$D$5:$D$594,MATCH($B21,'Staff Directory'!$A$5:$A$594,0)),""))</f>
        <v>A6</v>
      </c>
      <c r="F21" s="9" t="s">
        <v>129</v>
      </c>
      <c r="G21" s="18" t="str">
        <f>IF($F21="","",IFERROR(INDEX(Items!$B$5:$B$597,MATCH($F21,Items!$A$5:$A$597,0)),"⚠ not in Items"))</f>
        <v>Gloves</v>
      </c>
      <c r="H21" s="19" t="str">
        <f>IF($F21="","",IFERROR(INDEX(Items!$C$5:$C$597,MATCH($F21,Items!$A$5:$A$597,0)),""))</f>
        <v>Small</v>
      </c>
      <c r="I21" s="23">
        <f>IF($F21="","",IFERROR(INDEX(Items!$E$5:$E$597,MATCH($F21,Items!$A$5:$A$597,0)),""))</f>
        <v>500</v>
      </c>
      <c r="J21" s="115">
        <f>IF(tblIssues[[#This Row],[Qty Override]]&lt;&gt;"",tblIssues[[#This Row],[Qty Override]],IF(tblIssues[[#This Row],[Standard Issue]]="","",tblIssues[[#This Row],[Standard Issue]]))</f>
        <v>500</v>
      </c>
      <c r="K21" s="20">
        <f>IF($F21="","",IFERROR(INDEX(Items!$D$5:$D$597,MATCH($F21,Items!$A$5:$A$597,0)),""))</f>
        <v>5.5E-2</v>
      </c>
      <c r="L21" s="21">
        <f t="shared" si="4"/>
        <v>27.5</v>
      </c>
      <c r="M21" s="9" t="str">
        <f t="shared" si="5"/>
        <v>O210LIC25</v>
      </c>
      <c r="N21" s="24">
        <f>IF($A21="","",WORKDAY($A21,Settings!$C$9,HolidayDates))</f>
        <v>46121</v>
      </c>
      <c r="O21" s="24">
        <f>IF($N21="","",WORKDAY($N21,Settings!$C$10,HolidayDates))</f>
        <v>46161</v>
      </c>
      <c r="P21" s="10" t="s">
        <v>501</v>
      </c>
      <c r="Q21" s="52" t="str">
        <f t="shared" si="0"/>
        <v>Collected</v>
      </c>
      <c r="R21" s="55" t="str">
        <f t="shared" si="6"/>
        <v>2026-04</v>
      </c>
      <c r="S21" s="55">
        <f>IF(OR($B21="",$F21="",$R21=""),"",SUMIFS(tblIssues[Qty Issued],tblIssues[Staff ID],$B21,tblIssues[Item Name],$F21,tblIssues[Month],$R21))</f>
        <v>500</v>
      </c>
      <c r="T21" s="56">
        <f>IF($I21="","",$I21*Settings!$C$11)</f>
        <v>500</v>
      </c>
      <c r="U21" s="57" t="str">
        <f t="shared" si="7"/>
        <v>OK</v>
      </c>
      <c r="V21" s="55" t="str">
        <f t="shared" si="8"/>
        <v/>
      </c>
      <c r="W21" s="55" t="str">
        <f>IF($V21="","",IF(COUNTIF($V$5:$V21,$V21)=1,1,""))</f>
        <v/>
      </c>
      <c r="X21" s="58" t="str">
        <f>IF($W21="","",MAX($X$4:X20)+1)</f>
        <v/>
      </c>
      <c r="Y21" s="62"/>
      <c r="Z21" s="62"/>
      <c r="AA21" s="64" t="str">
        <f>IF($C21="","",IFERROR(INDEX('Staff Directory'!$E$5:$E$594,MATCH($C21,'Staff Directory'!$B$5:$B$594,0)),""))</f>
        <v>firstname116.lastname116@example.com</v>
      </c>
      <c r="AB21" s="64" t="str">
        <f>IF($C21="","",IF(ISNUMBER(SEARCH($D21,Settings!$C$15)),"Pickup","Dispatch"))</f>
        <v>Pickup</v>
      </c>
      <c r="AC21" s="64" t="str">
        <f t="shared" si="9"/>
        <v>Supply order ready for pickup</v>
      </c>
      <c r="AD21" s="64" t="str">
        <f t="shared" si="1"/>
        <v>Dear PSW,
Your order is ready for pickup from Sample Branch, Wed-Fri 9am-4pm.</v>
      </c>
      <c r="AE21" s="64" t="str">
        <f t="shared" si="2"/>
        <v>mailto:firstname116.lastname116@example.com?subject=Supply%20order%20ready%20for%20pickup&amp;body=Dear%20PSW%2C%0A%0AYour%20order%20is%20ready%20for%20pickup%20from%20Sample%20Branch%2C%20Wed-Fri%209am-4pm.</v>
      </c>
      <c r="AF21" s="65" t="str">
        <f t="shared" si="10"/>
        <v>Draft email</v>
      </c>
      <c r="AG21" s="64" t="str">
        <f>IF($C21="","",IFERROR(INDEX('Staff Directory'!$K$595:$K$599,MATCH($C21,'Staff Directory'!$B$5:$B$599,0)),$D21))</f>
        <v>PSW</v>
      </c>
      <c r="AH21" t="str">
        <f>IF($C21="","",IFERROR(INDEX('Staff Directory'!$I$595:$I$599,MATCH($C21,'Staff Directory'!$B$5:$B$599,0))&amp;" "&amp;INDEX('Staff Directory'!$J$595:$J$599,MATCH($C21,'Staff Directory'!$B$5:$B$599,0)),$AG21))</f>
        <v>PSW</v>
      </c>
      <c r="AI21" s="102" t="s">
        <v>428</v>
      </c>
      <c r="AJ21" s="101">
        <f>IF($F21="","",SUMIFS($J$5:$J21,$F$5:$F21,$F21))</f>
        <v>1500</v>
      </c>
      <c r="AK21" s="101">
        <f t="shared" si="3"/>
        <v>1001</v>
      </c>
      <c r="AL21" s="66" t="str" cm="1">
        <f t="array" ref="AL21">IF($F21="","",IFERROR(INDEX('Lot Balance'!$B$5:$B$500,MATCH(1,INDEX(('Lot Balance'!$A$5:$A$500=$F21)*('Lot Balance'!$K$5:$K$500&lt;$AK21)*('Lot Balance'!$K$5:$K$500+'Lot Balance'!$D$5:$D$500&gt;=$AK21),0),0)),""))</f>
        <v>ZIM512142069</v>
      </c>
      <c r="AM21" s="66" t="str" cm="1">
        <f t="array" ref="AM21">IF($F21="","",IFERROR(INDEX('Lot Balance'!$B$5:$B$500,MATCH(1,INDEX(('Lot Balance'!$A$5:$A$500=$F21)*('Lot Balance'!$K$5:$K$500&lt;$AJ21)*('Lot Balance'!$K$5:$K$500+'Lot Balance'!$D$5:$D$500&gt;=$AJ21),0),0)),""))</f>
        <v>ZIM512142069</v>
      </c>
      <c r="AN21" s="66" t="str">
        <f>IF($F21="","",IF($AI21&lt;&gt;"",IF(COUNTIFS('Lot Balance'!$A$5:$A$500,$F21,'Lot Balance'!$B$5:$B$500,$AI21)=0,"⚠ override is not a lot of this item",IF($AI21=$AL21,"Override = FEFO","Override - FEFO says "&amp;$AL21)),IF($AL21="","⚠ no receipt on file for this item",IF($AM21&lt;&gt;$AL21,"FEFO auto - split, also "&amp;$AM21,"FEFO auto"))))</f>
        <v>Override - FEFO says ZIM512142069</v>
      </c>
      <c r="AO21" s="114"/>
    </row>
    <row r="22" spans="1:41" x14ac:dyDescent="0.35">
      <c r="A22" s="74">
        <v>46113</v>
      </c>
      <c r="B22" s="18" t="str">
        <f>IF($C22="","",IFERROR(INDEX('Staff Directory'!$A$5:$A$594,MATCH($C22,'Staff Directory'!$B$5:$B$594,0)),"⚠ unknown staff"))</f>
        <v>PSW-056-A6</v>
      </c>
      <c r="C22" s="49" t="s">
        <v>1032</v>
      </c>
      <c r="D22" s="19" t="str">
        <f>IF($B22="","",IFERROR(INDEX('Staff Directory'!$C$5:$C$594,MATCH($B22,'Staff Directory'!$A$5:$A$594,0)),""))</f>
        <v>PSW</v>
      </c>
      <c r="E22" s="19" t="str">
        <f>IF($B22="","",IFERROR(INDEX('Staff Directory'!$D$5:$D$594,MATCH($B22,'Staff Directory'!$A$5:$A$594,0)),""))</f>
        <v>A6</v>
      </c>
      <c r="F22" s="9" t="s">
        <v>115</v>
      </c>
      <c r="G22" s="18" t="str">
        <f>IF($F22="","",IFERROR(INDEX(Items!$B$5:$B$597,MATCH($F22,Items!$A$5:$A$597,0)),"⚠ not in Items"))</f>
        <v>Wipes</v>
      </c>
      <c r="H22" s="19">
        <f>IF($F22="","",IFERROR(INDEX(Items!$C$5:$C$597,MATCH($F22,Items!$A$5:$A$597,0)),""))</f>
        <v>80</v>
      </c>
      <c r="I22" s="23">
        <f>IF($F22="","",IFERROR(INDEX(Items!$E$5:$E$597,MATCH($F22,Items!$A$5:$A$597,0)),""))</f>
        <v>80</v>
      </c>
      <c r="J22" s="115">
        <f>IF(tblIssues[[#This Row],[Qty Override]]&lt;&gt;"",tblIssues[[#This Row],[Qty Override]],IF(tblIssues[[#This Row],[Standard Issue]]="","",tblIssues[[#This Row],[Standard Issue]]))</f>
        <v>80</v>
      </c>
      <c r="K22" s="20">
        <f>IF($F22="","",IFERROR(INDEX(Items!$D$5:$D$597,MATCH($F22,Items!$A$5:$A$597,0)),""))</f>
        <v>0.1</v>
      </c>
      <c r="L22" s="21">
        <f t="shared" si="4"/>
        <v>8</v>
      </c>
      <c r="M22" s="9" t="str">
        <f t="shared" si="5"/>
        <v>LYSL500290</v>
      </c>
      <c r="N22" s="24">
        <f>IF($A22="","",WORKDAY($A22,Settings!$C$9,HolidayDates))</f>
        <v>46121</v>
      </c>
      <c r="O22" s="24">
        <f>IF($N22="","",WORKDAY($N22,Settings!$C$10,HolidayDates))</f>
        <v>46161</v>
      </c>
      <c r="P22" s="10" t="s">
        <v>501</v>
      </c>
      <c r="Q22" s="52" t="str">
        <f t="shared" si="0"/>
        <v>Collected</v>
      </c>
      <c r="R22" s="55" t="str">
        <f t="shared" si="6"/>
        <v>2026-04</v>
      </c>
      <c r="S22" s="55">
        <f>IF(OR($B22="",$F22="",$R22=""),"",SUMIFS(tblIssues[Qty Issued],tblIssues[Staff ID],$B22,tblIssues[Item Name],$F22,tblIssues[Month],$R22))</f>
        <v>80</v>
      </c>
      <c r="T22" s="56">
        <f>IF($I22="","",$I22*Settings!$C$11)</f>
        <v>80</v>
      </c>
      <c r="U22" s="57" t="str">
        <f t="shared" si="7"/>
        <v>OK</v>
      </c>
      <c r="V22" s="55" t="str">
        <f t="shared" si="8"/>
        <v/>
      </c>
      <c r="W22" s="55" t="str">
        <f>IF($V22="","",IF(COUNTIF($V$5:$V22,$V22)=1,1,""))</f>
        <v/>
      </c>
      <c r="X22" s="58" t="str">
        <f>IF($W22="","",MAX($X$4:X21)+1)</f>
        <v/>
      </c>
      <c r="Y22" s="62"/>
      <c r="Z22" s="62"/>
      <c r="AA22" s="64" t="str">
        <f>IF($C22="","",IFERROR(INDEX('Staff Directory'!$E$5:$E$594,MATCH($C22,'Staff Directory'!$B$5:$B$594,0)),""))</f>
        <v>firstname116.lastname116@example.com</v>
      </c>
      <c r="AB22" s="64" t="str">
        <f>IF($C22="","",IF(ISNUMBER(SEARCH($D22,Settings!$C$15)),"Pickup","Dispatch"))</f>
        <v>Pickup</v>
      </c>
      <c r="AC22" s="64" t="str">
        <f t="shared" si="9"/>
        <v>Supply order ready for pickup</v>
      </c>
      <c r="AD22" s="64" t="str">
        <f t="shared" si="1"/>
        <v>Dear PSW,
Your order is ready for pickup from Sample Branch, Wed-Fri 9am-4pm.</v>
      </c>
      <c r="AE22" s="64" t="str">
        <f t="shared" si="2"/>
        <v>mailto:firstname116.lastname116@example.com?subject=Supply%20order%20ready%20for%20pickup&amp;body=Dear%20PSW%2C%0A%0AYour%20order%20is%20ready%20for%20pickup%20from%20Sample%20Branch%2C%20Wed-Fri%209am-4pm.</v>
      </c>
      <c r="AF22" s="65" t="str">
        <f t="shared" si="10"/>
        <v>Draft email</v>
      </c>
      <c r="AG22" s="64" t="str">
        <f>IF($C22="","",IFERROR(INDEX('Staff Directory'!$K$595:$K$599,MATCH($C22,'Staff Directory'!$B$5:$B$599,0)),$D22))</f>
        <v>PSW</v>
      </c>
      <c r="AH22" t="str">
        <f>IF($C22="","",IFERROR(INDEX('Staff Directory'!$I$595:$I$599,MATCH($C22,'Staff Directory'!$B$5:$B$599,0))&amp;" "&amp;INDEX('Staff Directory'!$J$595:$J$599,MATCH($C22,'Staff Directory'!$B$5:$B$599,0)),$AG22))</f>
        <v>PSW</v>
      </c>
      <c r="AI22" s="102" t="s">
        <v>386</v>
      </c>
      <c r="AJ22" s="101">
        <f>IF($F22="","",SUMIFS($J$5:$J22,$F$5:$F22,$F22))</f>
        <v>320</v>
      </c>
      <c r="AK22" s="101">
        <f t="shared" si="3"/>
        <v>241</v>
      </c>
      <c r="AL22" s="66" t="str" cm="1">
        <f t="array" ref="AL22">IF($F22="","",IFERROR(INDEX('Lot Balance'!$B$5:$B$500,MATCH(1,INDEX(('Lot Balance'!$A$5:$A$500=$F22)*('Lot Balance'!$K$5:$K$500&lt;$AK22)*('Lot Balance'!$K$5:$K$500+'Lot Balance'!$D$5:$D$500&gt;=$AK22),0),0)),""))</f>
        <v>LYSL500290</v>
      </c>
      <c r="AM22" s="66" t="str" cm="1">
        <f t="array" ref="AM22">IF($F22="","",IFERROR(INDEX('Lot Balance'!$B$5:$B$500,MATCH(1,INDEX(('Lot Balance'!$A$5:$A$500=$F22)*('Lot Balance'!$K$5:$K$500&lt;$AJ22)*('Lot Balance'!$K$5:$K$500+'Lot Balance'!$D$5:$D$500&gt;=$AJ22),0),0)),""))</f>
        <v>LYSL500290</v>
      </c>
      <c r="AN22" s="66" t="str">
        <f>IF($F22="","",IF($AI22&lt;&gt;"",IF(COUNTIFS('Lot Balance'!$A$5:$A$500,$F22,'Lot Balance'!$B$5:$B$500,$AI22)=0,"⚠ override is not a lot of this item",IF($AI22=$AL22,"Override = FEFO","Override - FEFO says "&amp;$AL22)),IF($AL22="","⚠ no receipt on file for this item",IF($AM22&lt;&gt;$AL22,"FEFO auto - split, also "&amp;$AM22,"FEFO auto"))))</f>
        <v>Override = FEFO</v>
      </c>
      <c r="AO22" s="114"/>
    </row>
    <row r="23" spans="1:41" x14ac:dyDescent="0.35">
      <c r="A23" s="74">
        <v>46113</v>
      </c>
      <c r="B23" s="18" t="str">
        <f>IF($C23="","",IFERROR(INDEX('Staff Directory'!$A$5:$A$594,MATCH($C23,'Staff Directory'!$B$5:$B$594,0)),"⚠ unknown staff"))</f>
        <v>PSW-056-A6</v>
      </c>
      <c r="C23" s="49" t="s">
        <v>1032</v>
      </c>
      <c r="D23" s="19" t="str">
        <f>IF($B23="","",IFERROR(INDEX('Staff Directory'!$C$5:$C$594,MATCH($B23,'Staff Directory'!$A$5:$A$594,0)),""))</f>
        <v>PSW</v>
      </c>
      <c r="E23" s="19" t="str">
        <f>IF($B23="","",IFERROR(INDEX('Staff Directory'!$D$5:$D$594,MATCH($B23,'Staff Directory'!$A$5:$A$594,0)),""))</f>
        <v>A6</v>
      </c>
      <c r="F23" s="9" t="s">
        <v>156</v>
      </c>
      <c r="G23" s="18" t="str">
        <f>IF($F23="","",IFERROR(INDEX(Items!$B$5:$B$597,MATCH($F23,Items!$A$5:$A$597,0)),"⚠ not in Items"))</f>
        <v>Masks</v>
      </c>
      <c r="H23" s="19" t="str">
        <f>IF($F23="","",IFERROR(INDEX(Items!$C$5:$C$597,MATCH($F23,Items!$A$5:$A$597,0)),""))</f>
        <v>One Size</v>
      </c>
      <c r="I23" s="23">
        <f>IF($F23="","",IFERROR(INDEX(Items!$E$5:$E$597,MATCH($F23,Items!$A$5:$A$597,0)),""))</f>
        <v>50</v>
      </c>
      <c r="J23" s="115">
        <f>IF(tblIssues[[#This Row],[Qty Override]]&lt;&gt;"",tblIssues[[#This Row],[Qty Override]],IF(tblIssues[[#This Row],[Standard Issue]]="","",tblIssues[[#This Row],[Standard Issue]]))</f>
        <v>50</v>
      </c>
      <c r="K23" s="20">
        <f>IF($F23="","",IFERROR(INDEX(Items!$D$5:$D$597,MATCH($F23,Items!$A$5:$A$597,0)),""))</f>
        <v>0.25</v>
      </c>
      <c r="L23" s="21">
        <f t="shared" si="4"/>
        <v>12.5</v>
      </c>
      <c r="M23" s="9" t="str">
        <f t="shared" si="5"/>
        <v>0125FPC24-0</v>
      </c>
      <c r="N23" s="24">
        <f>IF($A23="","",WORKDAY($A23,Settings!$C$9,HolidayDates))</f>
        <v>46121</v>
      </c>
      <c r="O23" s="24">
        <f>IF($N23="","",WORKDAY($N23,Settings!$C$10,HolidayDates))</f>
        <v>46161</v>
      </c>
      <c r="P23" s="10" t="s">
        <v>501</v>
      </c>
      <c r="Q23" s="52" t="str">
        <f t="shared" si="0"/>
        <v>Collected</v>
      </c>
      <c r="R23" s="55" t="str">
        <f t="shared" si="6"/>
        <v>2026-04</v>
      </c>
      <c r="S23" s="55">
        <f>IF(OR($B23="",$F23="",$R23=""),"",SUMIFS(tblIssues[Qty Issued],tblIssues[Staff ID],$B23,tblIssues[Item Name],$F23,tblIssues[Month],$R23))</f>
        <v>50</v>
      </c>
      <c r="T23" s="56">
        <f>IF($I23="","",$I23*Settings!$C$11)</f>
        <v>50</v>
      </c>
      <c r="U23" s="57" t="str">
        <f t="shared" si="7"/>
        <v>OK</v>
      </c>
      <c r="V23" s="55" t="str">
        <f t="shared" si="8"/>
        <v/>
      </c>
      <c r="W23" s="55" t="str">
        <f>IF($V23="","",IF(COUNTIF($V$5:$V23,$V23)=1,1,""))</f>
        <v/>
      </c>
      <c r="X23" s="58" t="str">
        <f>IF($W23="","",MAX($X$4:X22)+1)</f>
        <v/>
      </c>
      <c r="Y23" s="62"/>
      <c r="Z23" s="62"/>
      <c r="AA23" s="64" t="str">
        <f>IF($C23="","",IFERROR(INDEX('Staff Directory'!$E$5:$E$594,MATCH($C23,'Staff Directory'!$B$5:$B$594,0)),""))</f>
        <v>firstname116.lastname116@example.com</v>
      </c>
      <c r="AB23" s="64" t="str">
        <f>IF($C23="","",IF(ISNUMBER(SEARCH($D23,Settings!$C$15)),"Pickup","Dispatch"))</f>
        <v>Pickup</v>
      </c>
      <c r="AC23" s="64" t="str">
        <f t="shared" si="9"/>
        <v>Supply order ready for pickup</v>
      </c>
      <c r="AD23" s="64" t="str">
        <f t="shared" si="1"/>
        <v>Dear PSW,
Your order is ready for pickup from Sample Branch, Wed-Fri 9am-4pm.</v>
      </c>
      <c r="AE23" s="64" t="str">
        <f t="shared" si="2"/>
        <v>mailto:firstname116.lastname116@example.com?subject=Supply%20order%20ready%20for%20pickup&amp;body=Dear%20PSW%2C%0A%0AYour%20order%20is%20ready%20for%20pickup%20from%20Sample%20Branch%2C%20Wed-Fri%209am-4pm.</v>
      </c>
      <c r="AF23" s="65" t="str">
        <f t="shared" si="10"/>
        <v>Draft email</v>
      </c>
      <c r="AG23" s="64" t="str">
        <f>IF($C23="","",IFERROR(INDEX('Staff Directory'!$K$595:$K$599,MATCH($C23,'Staff Directory'!$B$5:$B$599,0)),$D23))</f>
        <v>PSW</v>
      </c>
      <c r="AH23" t="str">
        <f>IF($C23="","",IFERROR(INDEX('Staff Directory'!$I$595:$I$599,MATCH($C23,'Staff Directory'!$B$5:$B$599,0))&amp;" "&amp;INDEX('Staff Directory'!$J$595:$J$599,MATCH($C23,'Staff Directory'!$B$5:$B$599,0)),$AG23))</f>
        <v>PSW</v>
      </c>
      <c r="AI23" s="102" t="s">
        <v>474</v>
      </c>
      <c r="AJ23" s="101">
        <f>IF($F23="","",SUMIFS($J$5:$J23,$F$5:$F23,$F23))</f>
        <v>250</v>
      </c>
      <c r="AK23" s="101">
        <f t="shared" si="3"/>
        <v>201</v>
      </c>
      <c r="AL23" s="66" t="str" cm="1">
        <f t="array" ref="AL23">IF($F23="","",IFERROR(INDEX('Lot Balance'!$B$5:$B$500,MATCH(1,INDEX(('Lot Balance'!$A$5:$A$500=$F23)*('Lot Balance'!$K$5:$K$500&lt;$AK23)*('Lot Balance'!$K$5:$K$500+'Lot Balance'!$D$5:$D$500&gt;=$AK23),0),0)),""))</f>
        <v>0125FPC24-0</v>
      </c>
      <c r="AM23" s="66" t="str" cm="1">
        <f t="array" ref="AM23">IF($F23="","",IFERROR(INDEX('Lot Balance'!$B$5:$B$500,MATCH(1,INDEX(('Lot Balance'!$A$5:$A$500=$F23)*('Lot Balance'!$K$5:$K$500&lt;$AJ23)*('Lot Balance'!$K$5:$K$500+'Lot Balance'!$D$5:$D$500&gt;=$AJ23),0),0)),""))</f>
        <v>0125FPC24-0</v>
      </c>
      <c r="AN23" s="66" t="str">
        <f>IF($F23="","",IF($AI23&lt;&gt;"",IF(COUNTIFS('Lot Balance'!$A$5:$A$500,$F23,'Lot Balance'!$B$5:$B$500,$AI23)=0,"⚠ override is not a lot of this item",IF($AI23=$AL23,"Override = FEFO","Override - FEFO says "&amp;$AL23)),IF($AL23="","⚠ no receipt on file for this item",IF($AM23&lt;&gt;$AL23,"FEFO auto - split, also "&amp;$AM23,"FEFO auto"))))</f>
        <v>Override = FEFO</v>
      </c>
      <c r="AO23" s="114"/>
    </row>
    <row r="24" spans="1:41" x14ac:dyDescent="0.35">
      <c r="A24" s="74">
        <v>46113</v>
      </c>
      <c r="B24" s="18" t="str">
        <f>IF($C24="","",IFERROR(INDEX('Staff Directory'!$A$5:$A$594,MATCH($C24,'Staff Directory'!$B$5:$B$594,0)),"⚠ unknown staff"))</f>
        <v>RN-006-A1</v>
      </c>
      <c r="C24" s="49" t="s">
        <v>922</v>
      </c>
      <c r="D24" s="19" t="str">
        <f>IF($B24="","",IFERROR(INDEX('Staff Directory'!$C$5:$C$594,MATCH($B24,'Staff Directory'!$A$5:$A$594,0)),""))</f>
        <v>RN</v>
      </c>
      <c r="E24" s="19" t="str">
        <f>IF($B24="","",IFERROR(INDEX('Staff Directory'!$D$5:$D$594,MATCH($B24,'Staff Directory'!$A$5:$A$594,0)),""))</f>
        <v>A1</v>
      </c>
      <c r="F24" s="9" t="s">
        <v>124</v>
      </c>
      <c r="G24" s="18" t="str">
        <f>IF($F24="","",IFERROR(INDEX(Items!$B$5:$B$597,MATCH($F24,Items!$A$5:$A$597,0)),"⚠ not in Items"))</f>
        <v>Gloves</v>
      </c>
      <c r="H24" s="19" t="str">
        <f>IF($F24="","",IFERROR(INDEX(Items!$C$5:$C$597,MATCH($F24,Items!$A$5:$A$597,0)),""))</f>
        <v>Large</v>
      </c>
      <c r="I24" s="23">
        <f>IF($F24="","",IFERROR(INDEX(Items!$E$5:$E$597,MATCH($F24,Items!$A$5:$A$597,0)),""))</f>
        <v>500</v>
      </c>
      <c r="J24" s="115">
        <f>IF(tblIssues[[#This Row],[Qty Override]]&lt;&gt;"",tblIssues[[#This Row],[Qty Override]],IF(tblIssues[[#This Row],[Standard Issue]]="","",tblIssues[[#This Row],[Standard Issue]]))</f>
        <v>500</v>
      </c>
      <c r="K24" s="20">
        <f>IF($F24="","",IFERROR(INDEX(Items!$D$5:$D$597,MATCH($F24,Items!$A$5:$A$597,0)),""))</f>
        <v>5.5E-2</v>
      </c>
      <c r="L24" s="21">
        <f t="shared" si="4"/>
        <v>27.5</v>
      </c>
      <c r="M24" s="9" t="str">
        <f t="shared" si="5"/>
        <v>0417HIC25-0</v>
      </c>
      <c r="N24" s="24">
        <f>IF($A24="","",WORKDAY($A24,Settings!$C$9,HolidayDates))</f>
        <v>46121</v>
      </c>
      <c r="O24" s="24">
        <f>IF($N24="","",WORKDAY($N24,Settings!$C$10,HolidayDates))</f>
        <v>46161</v>
      </c>
      <c r="P24" s="96" t="s">
        <v>502</v>
      </c>
      <c r="Q24" s="52" t="str">
        <f t="shared" si="0"/>
        <v>Collected</v>
      </c>
      <c r="R24" s="55" t="str">
        <f t="shared" si="6"/>
        <v>2026-04</v>
      </c>
      <c r="S24" s="55">
        <f>IF(OR($B24="",$F24="",$R24=""),"",SUMIFS(tblIssues[Qty Issued],tblIssues[Staff ID],$B24,tblIssues[Item Name],$F24,tblIssues[Month],$R24))</f>
        <v>500</v>
      </c>
      <c r="T24" s="56">
        <f>IF($I24="","",$I24*Settings!$C$11)</f>
        <v>500</v>
      </c>
      <c r="U24" s="57" t="str">
        <f t="shared" si="7"/>
        <v>OK</v>
      </c>
      <c r="V24" s="55" t="str">
        <f t="shared" si="8"/>
        <v/>
      </c>
      <c r="W24" s="55" t="str">
        <f>IF($V24="","",IF(COUNTIF($V$5:$V24,$V24)=1,1,""))</f>
        <v/>
      </c>
      <c r="X24" s="58" t="str">
        <f>IF($W24="","",MAX($X$4:X23)+1)</f>
        <v/>
      </c>
      <c r="Y24" s="62"/>
      <c r="Z24" s="62"/>
      <c r="AA24" s="64" t="str">
        <f>IF($C24="","",IFERROR(INDEX('Staff Directory'!$E$5:$E$594,MATCH($C24,'Staff Directory'!$B$5:$B$594,0)),""))</f>
        <v>firstname006.lastname006@example.com</v>
      </c>
      <c r="AB24" s="64" t="str">
        <f>IF($C24="","",IF(ISNUMBER(SEARCH($D24,Settings!$C$15)),"Pickup","Dispatch"))</f>
        <v>Dispatch</v>
      </c>
      <c r="AC24" s="64" t="str">
        <f t="shared" si="9"/>
        <v>Supply order dispatched</v>
      </c>
      <c r="AD24" s="64" t="str">
        <f t="shared" si="1"/>
        <v>Dear RN,
Your order has been dispatched and is in transit. Reply if undelivered.</v>
      </c>
      <c r="AE24" s="64" t="str">
        <f t="shared" si="2"/>
        <v>mailto:firstname006.lastname006@example.com?subject=Supply%20order%20dispatched&amp;body=Dear%20RN%2C%0A%0AYour%20order%20has%20been%20dispatched%20and%20is%20in%20transit.%20Reply%20if%20undelivered.</v>
      </c>
      <c r="AF24" s="65" t="str">
        <f t="shared" si="10"/>
        <v>Draft email</v>
      </c>
      <c r="AG24" s="64" t="str">
        <f>IF($C24="","",IFERROR(INDEX('Staff Directory'!$K$595:$K$599,MATCH($C24,'Staff Directory'!$B$5:$B$599,0)),$D24))</f>
        <v>RN</v>
      </c>
      <c r="AH24" t="str">
        <f>IF($C24="","",IFERROR(INDEX('Staff Directory'!$I$595:$I$599,MATCH($C24,'Staff Directory'!$B$5:$B$599,0))&amp;" "&amp;INDEX('Staff Directory'!$J$595:$J$599,MATCH($C24,'Staff Directory'!$B$5:$B$599,0)),$AG24))</f>
        <v>RN</v>
      </c>
      <c r="AI24" s="102" t="s">
        <v>389</v>
      </c>
      <c r="AJ24" s="101">
        <f>IF($F24="","",SUMIFS($J$5:$J24,$F$5:$F24,$F24))</f>
        <v>500</v>
      </c>
      <c r="AK24" s="101">
        <f t="shared" si="3"/>
        <v>1</v>
      </c>
      <c r="AL24" s="66" t="str" cm="1">
        <f t="array" ref="AL24">IF($F24="","",IFERROR(INDEX('Lot Balance'!$B$5:$B$500,MATCH(1,INDEX(('Lot Balance'!$A$5:$A$500=$F24)*('Lot Balance'!$K$5:$K$500&lt;$AK24)*('Lot Balance'!$K$5:$K$500+'Lot Balance'!$D$5:$D$500&gt;=$AK24),0),0)),""))</f>
        <v>ZIM510137970-0</v>
      </c>
      <c r="AM24" s="66" t="str" cm="1">
        <f t="array" ref="AM24">IF($F24="","",IFERROR(INDEX('Lot Balance'!$B$5:$B$500,MATCH(1,INDEX(('Lot Balance'!$A$5:$A$500=$F24)*('Lot Balance'!$K$5:$K$500&lt;$AJ24)*('Lot Balance'!$K$5:$K$500+'Lot Balance'!$D$5:$D$500&gt;=$AJ24),0),0)),""))</f>
        <v>ZIM510135932</v>
      </c>
      <c r="AN24" s="66" t="str">
        <f>IF($F24="","",IF($AI24&lt;&gt;"",IF(COUNTIFS('Lot Balance'!$A$5:$A$500,$F24,'Lot Balance'!$B$5:$B$500,$AI24)=0,"⚠ override is not a lot of this item",IF($AI24=$AL24,"Override = FEFO","Override - FEFO says "&amp;$AL24)),IF($AL24="","⚠ no receipt on file for this item",IF($AM24&lt;&gt;$AL24,"FEFO auto - split, also "&amp;$AM24,"FEFO auto"))))</f>
        <v>Override - FEFO says ZIM510137970-0</v>
      </c>
      <c r="AO24" s="114"/>
    </row>
    <row r="25" spans="1:41" x14ac:dyDescent="0.35">
      <c r="A25" s="74">
        <v>46113</v>
      </c>
      <c r="B25" s="18" t="str">
        <f>IF($C25="","",IFERROR(INDEX('Staff Directory'!$A$5:$A$594,MATCH($C25,'Staff Directory'!$B$5:$B$594,0)),"⚠ unknown staff"))</f>
        <v>RN-006-A1</v>
      </c>
      <c r="C25" s="49" t="s">
        <v>922</v>
      </c>
      <c r="D25" s="19" t="str">
        <f>IF($B25="","",IFERROR(INDEX('Staff Directory'!$C$5:$C$594,MATCH($B25,'Staff Directory'!$A$5:$A$594,0)),""))</f>
        <v>RN</v>
      </c>
      <c r="E25" s="19" t="str">
        <f>IF($B25="","",IFERROR(INDEX('Staff Directory'!$D$5:$D$594,MATCH($B25,'Staff Directory'!$A$5:$A$594,0)),""))</f>
        <v>A1</v>
      </c>
      <c r="F25" s="9" t="s">
        <v>137</v>
      </c>
      <c r="G25" s="18" t="str">
        <f>IF($F25="","",IFERROR(INDEX(Items!$B$5:$B$597,MATCH($F25,Items!$A$5:$A$597,0)),"⚠ not in Items"))</f>
        <v>Sanitizer</v>
      </c>
      <c r="H25" s="19" t="str">
        <f>IF($F25="","",IFERROR(INDEX(Items!$C$5:$C$597,MATCH($F25,Items!$A$5:$A$597,0)),""))</f>
        <v>118 ML</v>
      </c>
      <c r="I25" s="23">
        <f>IF($F25="","",IFERROR(INDEX(Items!$E$5:$E$597,MATCH($F25,Items!$A$5:$A$597,0)),""))</f>
        <v>2</v>
      </c>
      <c r="J25" s="115">
        <f>IF(tblIssues[[#This Row],[Qty Override]]&lt;&gt;"",tblIssues[[#This Row],[Qty Override]],IF(tblIssues[[#This Row],[Standard Issue]]="","",tblIssues[[#This Row],[Standard Issue]]))</f>
        <v>2</v>
      </c>
      <c r="K25" s="20">
        <f>IF($F25="","",IFERROR(INDEX(Items!$D$5:$D$597,MATCH($F25,Items!$A$5:$A$597,0)),""))</f>
        <v>4.49</v>
      </c>
      <c r="L25" s="21">
        <f t="shared" si="4"/>
        <v>8.98</v>
      </c>
      <c r="M25" s="9" t="str">
        <f t="shared" si="5"/>
        <v>563963-5</v>
      </c>
      <c r="N25" s="24">
        <f>IF($A25="","",WORKDAY($A25,Settings!$C$9,HolidayDates))</f>
        <v>46121</v>
      </c>
      <c r="O25" s="24">
        <f>IF($N25="","",WORKDAY($N25,Settings!$C$10,HolidayDates))</f>
        <v>46161</v>
      </c>
      <c r="P25" s="96" t="s">
        <v>502</v>
      </c>
      <c r="Q25" s="52" t="str">
        <f t="shared" si="0"/>
        <v>Collected</v>
      </c>
      <c r="R25" s="55" t="str">
        <f t="shared" si="6"/>
        <v>2026-04</v>
      </c>
      <c r="S25" s="55">
        <f>IF(OR($B25="",$F25="",$R25=""),"",SUMIFS(tblIssues[Qty Issued],tblIssues[Staff ID],$B25,tblIssues[Item Name],$F25,tblIssues[Month],$R25))</f>
        <v>2</v>
      </c>
      <c r="T25" s="56">
        <f>IF($I25="","",$I25*Settings!$C$11)</f>
        <v>2</v>
      </c>
      <c r="U25" s="57" t="str">
        <f t="shared" si="7"/>
        <v>OK</v>
      </c>
      <c r="V25" s="55" t="str">
        <f t="shared" si="8"/>
        <v/>
      </c>
      <c r="W25" s="55" t="str">
        <f>IF($V25="","",IF(COUNTIF($V$5:$V25,$V25)=1,1,""))</f>
        <v/>
      </c>
      <c r="X25" s="58" t="str">
        <f>IF($W25="","",MAX($X$4:X24)+1)</f>
        <v/>
      </c>
      <c r="Y25" s="62"/>
      <c r="Z25" s="62"/>
      <c r="AA25" s="64" t="str">
        <f>IF($C25="","",IFERROR(INDEX('Staff Directory'!$E$5:$E$594,MATCH($C25,'Staff Directory'!$B$5:$B$594,0)),""))</f>
        <v>firstname006.lastname006@example.com</v>
      </c>
      <c r="AB25" s="64" t="str">
        <f>IF($C25="","",IF(ISNUMBER(SEARCH($D25,Settings!$C$15)),"Pickup","Dispatch"))</f>
        <v>Dispatch</v>
      </c>
      <c r="AC25" s="64" t="str">
        <f t="shared" si="9"/>
        <v>Supply order dispatched</v>
      </c>
      <c r="AD25" s="64" t="str">
        <f t="shared" si="1"/>
        <v>Dear RN,
Your order has been dispatched and is in transit. Reply if undelivered.</v>
      </c>
      <c r="AE25" s="64" t="str">
        <f t="shared" si="2"/>
        <v>mailto:firstname006.lastname006@example.com?subject=Supply%20order%20dispatched&amp;body=Dear%20RN%2C%0A%0AYour%20order%20has%20been%20dispatched%20and%20is%20in%20transit.%20Reply%20if%20undelivered.</v>
      </c>
      <c r="AF25" s="65" t="str">
        <f t="shared" si="10"/>
        <v>Draft email</v>
      </c>
      <c r="AG25" s="64" t="str">
        <f>IF($C25="","",IFERROR(INDEX('Staff Directory'!$K$595:$K$599,MATCH($C25,'Staff Directory'!$B$5:$B$599,0)),$D25))</f>
        <v>RN</v>
      </c>
      <c r="AH25" t="str">
        <f>IF($C25="","",IFERROR(INDEX('Staff Directory'!$I$595:$I$599,MATCH($C25,'Staff Directory'!$B$5:$B$599,0))&amp;" "&amp;INDEX('Staff Directory'!$J$595:$J$599,MATCH($C25,'Staff Directory'!$B$5:$B$599,0)),$AG25))</f>
        <v>RN</v>
      </c>
      <c r="AI25" s="102" t="s">
        <v>456</v>
      </c>
      <c r="AJ25" s="101">
        <f>IF($F25="","",SUMIFS($J$5:$J25,$F$5:$F25,$F25))</f>
        <v>8</v>
      </c>
      <c r="AK25" s="101">
        <f t="shared" si="3"/>
        <v>7</v>
      </c>
      <c r="AL25" s="66" t="str" cm="1">
        <f t="array" ref="AL25">IF($F25="","",IFERROR(INDEX('Lot Balance'!$B$5:$B$500,MATCH(1,INDEX(('Lot Balance'!$A$5:$A$500=$F25)*('Lot Balance'!$K$5:$K$500&lt;$AK25)*('Lot Balance'!$K$5:$K$500+'Lot Balance'!$D$5:$D$500&gt;=$AK25),0),0)),""))</f>
        <v>563963-4</v>
      </c>
      <c r="AM25" s="66" t="str" cm="1">
        <f t="array" ref="AM25">IF($F25="","",IFERROR(INDEX('Lot Balance'!$B$5:$B$500,MATCH(1,INDEX(('Lot Balance'!$A$5:$A$500=$F25)*('Lot Balance'!$K$5:$K$500&lt;$AJ25)*('Lot Balance'!$K$5:$K$500+'Lot Balance'!$D$5:$D$500&gt;=$AJ25),0),0)),""))</f>
        <v>563963-4</v>
      </c>
      <c r="AN25" s="66" t="str">
        <f>IF($F25="","",IF($AI25&lt;&gt;"",IF(COUNTIFS('Lot Balance'!$A$5:$A$500,$F25,'Lot Balance'!$B$5:$B$500,$AI25)=0,"⚠ override is not a lot of this item",IF($AI25=$AL25,"Override = FEFO","Override - FEFO says "&amp;$AL25)),IF($AL25="","⚠ no receipt on file for this item",IF($AM25&lt;&gt;$AL25,"FEFO auto - split, also "&amp;$AM25,"FEFO auto"))))</f>
        <v>Override - FEFO says 563963-4</v>
      </c>
      <c r="AO25" s="114"/>
    </row>
    <row r="26" spans="1:41" x14ac:dyDescent="0.35">
      <c r="A26" s="74">
        <v>46113</v>
      </c>
      <c r="B26" s="18" t="str">
        <f>IF($C26="","",IFERROR(INDEX('Staff Directory'!$A$5:$A$594,MATCH($C26,'Staff Directory'!$B$5:$B$594,0)),"⚠ unknown staff"))</f>
        <v>RN-006-A1</v>
      </c>
      <c r="C26" s="49" t="s">
        <v>922</v>
      </c>
      <c r="D26" s="19" t="str">
        <f>IF($B26="","",IFERROR(INDEX('Staff Directory'!$C$5:$C$594,MATCH($B26,'Staff Directory'!$A$5:$A$594,0)),""))</f>
        <v>RN</v>
      </c>
      <c r="E26" s="19" t="str">
        <f>IF($B26="","",IFERROR(INDEX('Staff Directory'!$D$5:$D$594,MATCH($B26,'Staff Directory'!$A$5:$A$594,0)),""))</f>
        <v>A1</v>
      </c>
      <c r="F26" s="9" t="s">
        <v>115</v>
      </c>
      <c r="G26" s="18" t="str">
        <f>IF($F26="","",IFERROR(INDEX(Items!$B$5:$B$597,MATCH($F26,Items!$A$5:$A$597,0)),"⚠ not in Items"))</f>
        <v>Wipes</v>
      </c>
      <c r="H26" s="19">
        <f>IF($F26="","",IFERROR(INDEX(Items!$C$5:$C$597,MATCH($F26,Items!$A$5:$A$597,0)),""))</f>
        <v>80</v>
      </c>
      <c r="I26" s="23">
        <f>IF($F26="","",IFERROR(INDEX(Items!$E$5:$E$597,MATCH($F26,Items!$A$5:$A$597,0)),""))</f>
        <v>80</v>
      </c>
      <c r="J26" s="115">
        <f>IF(tblIssues[[#This Row],[Qty Override]]&lt;&gt;"",tblIssues[[#This Row],[Qty Override]],IF(tblIssues[[#This Row],[Standard Issue]]="","",tblIssues[[#This Row],[Standard Issue]]))</f>
        <v>80</v>
      </c>
      <c r="K26" s="20">
        <f>IF($F26="","",IFERROR(INDEX(Items!$D$5:$D$597,MATCH($F26,Items!$A$5:$A$597,0)),""))</f>
        <v>0.1</v>
      </c>
      <c r="L26" s="21">
        <f t="shared" si="4"/>
        <v>8</v>
      </c>
      <c r="M26" s="9" t="str">
        <f t="shared" si="5"/>
        <v>LYSL500290</v>
      </c>
      <c r="N26" s="24">
        <f>IF($A26="","",WORKDAY($A26,Settings!$C$9,HolidayDates))</f>
        <v>46121</v>
      </c>
      <c r="O26" s="24">
        <f>IF($N26="","",WORKDAY($N26,Settings!$C$10,HolidayDates))</f>
        <v>46161</v>
      </c>
      <c r="P26" s="96" t="s">
        <v>502</v>
      </c>
      <c r="Q26" s="52" t="str">
        <f t="shared" si="0"/>
        <v>Collected</v>
      </c>
      <c r="R26" s="55" t="str">
        <f t="shared" si="6"/>
        <v>2026-04</v>
      </c>
      <c r="S26" s="55">
        <f>IF(OR($B26="",$F26="",$R26=""),"",SUMIFS(tblIssues[Qty Issued],tblIssues[Staff ID],$B26,tblIssues[Item Name],$F26,tblIssues[Month],$R26))</f>
        <v>80</v>
      </c>
      <c r="T26" s="56">
        <f>IF($I26="","",$I26*Settings!$C$11)</f>
        <v>80</v>
      </c>
      <c r="U26" s="57" t="str">
        <f t="shared" si="7"/>
        <v>OK</v>
      </c>
      <c r="V26" s="55" t="str">
        <f t="shared" si="8"/>
        <v/>
      </c>
      <c r="W26" s="55" t="str">
        <f>IF($V26="","",IF(COUNTIF($V$5:$V26,$V26)=1,1,""))</f>
        <v/>
      </c>
      <c r="X26" s="58" t="str">
        <f>IF($W26="","",MAX($X$4:X25)+1)</f>
        <v/>
      </c>
      <c r="Y26" s="62"/>
      <c r="Z26" s="62"/>
      <c r="AA26" s="64" t="str">
        <f>IF($C26="","",IFERROR(INDEX('Staff Directory'!$E$5:$E$594,MATCH($C26,'Staff Directory'!$B$5:$B$594,0)),""))</f>
        <v>firstname006.lastname006@example.com</v>
      </c>
      <c r="AB26" s="64" t="str">
        <f>IF($C26="","",IF(ISNUMBER(SEARCH($D26,Settings!$C$15)),"Pickup","Dispatch"))</f>
        <v>Dispatch</v>
      </c>
      <c r="AC26" s="64" t="str">
        <f t="shared" si="9"/>
        <v>Supply order dispatched</v>
      </c>
      <c r="AD26" s="64" t="str">
        <f t="shared" si="1"/>
        <v>Dear RN,
Your order has been dispatched and is in transit. Reply if undelivered.</v>
      </c>
      <c r="AE26" s="64" t="str">
        <f t="shared" si="2"/>
        <v>mailto:firstname006.lastname006@example.com?subject=Supply%20order%20dispatched&amp;body=Dear%20RN%2C%0A%0AYour%20order%20has%20been%20dispatched%20and%20is%20in%20transit.%20Reply%20if%20undelivered.</v>
      </c>
      <c r="AF26" s="65" t="str">
        <f t="shared" si="10"/>
        <v>Draft email</v>
      </c>
      <c r="AG26" s="64" t="str">
        <f>IF($C26="","",IFERROR(INDEX('Staff Directory'!$K$595:$K$599,MATCH($C26,'Staff Directory'!$B$5:$B$599,0)),$D26))</f>
        <v>RN</v>
      </c>
      <c r="AH26" t="str">
        <f>IF($C26="","",IFERROR(INDEX('Staff Directory'!$I$595:$I$599,MATCH($C26,'Staff Directory'!$B$5:$B$599,0))&amp;" "&amp;INDEX('Staff Directory'!$J$595:$J$599,MATCH($C26,'Staff Directory'!$B$5:$B$599,0)),$AG26))</f>
        <v>RN</v>
      </c>
      <c r="AI26" s="102" t="s">
        <v>386</v>
      </c>
      <c r="AJ26" s="101">
        <f>IF($F26="","",SUMIFS($J$5:$J26,$F$5:$F26,$F26))</f>
        <v>400</v>
      </c>
      <c r="AK26" s="101">
        <f t="shared" si="3"/>
        <v>321</v>
      </c>
      <c r="AL26" s="66" t="str" cm="1">
        <f t="array" ref="AL26">IF($F26="","",IFERROR(INDEX('Lot Balance'!$B$5:$B$500,MATCH(1,INDEX(('Lot Balance'!$A$5:$A$500=$F26)*('Lot Balance'!$K$5:$K$500&lt;$AK26)*('Lot Balance'!$K$5:$K$500+'Lot Balance'!$D$5:$D$500&gt;=$AK26),0),0)),""))</f>
        <v>LYSL500290</v>
      </c>
      <c r="AM26" s="66" t="str" cm="1">
        <f t="array" ref="AM26">IF($F26="","",IFERROR(INDEX('Lot Balance'!$B$5:$B$500,MATCH(1,INDEX(('Lot Balance'!$A$5:$A$500=$F26)*('Lot Balance'!$K$5:$K$500&lt;$AJ26)*('Lot Balance'!$K$5:$K$500+'Lot Balance'!$D$5:$D$500&gt;=$AJ26),0),0)),""))</f>
        <v>LYSL500290</v>
      </c>
      <c r="AN26" s="66" t="str">
        <f>IF($F26="","",IF($AI26&lt;&gt;"",IF(COUNTIFS('Lot Balance'!$A$5:$A$500,$F26,'Lot Balance'!$B$5:$B$500,$AI26)=0,"⚠ override is not a lot of this item",IF($AI26=$AL26,"Override = FEFO","Override - FEFO says "&amp;$AL26)),IF($AL26="","⚠ no receipt on file for this item",IF($AM26&lt;&gt;$AL26,"FEFO auto - split, also "&amp;$AM26,"FEFO auto"))))</f>
        <v>Override = FEFO</v>
      </c>
      <c r="AO26" s="114"/>
    </row>
    <row r="27" spans="1:41" x14ac:dyDescent="0.35">
      <c r="A27" s="74">
        <v>46113</v>
      </c>
      <c r="B27" s="18" t="str">
        <f>IF($C27="","",IFERROR(INDEX('Staff Directory'!$A$5:$A$594,MATCH($C27,'Staff Directory'!$B$5:$B$594,0)),"⚠ unknown staff"))</f>
        <v>RN-006-A1</v>
      </c>
      <c r="C27" s="49" t="s">
        <v>922</v>
      </c>
      <c r="D27" s="19" t="str">
        <f>IF($B27="","",IFERROR(INDEX('Staff Directory'!$C$5:$C$594,MATCH($B27,'Staff Directory'!$A$5:$A$594,0)),""))</f>
        <v>RN</v>
      </c>
      <c r="E27" s="19" t="str">
        <f>IF($B27="","",IFERROR(INDEX('Staff Directory'!$D$5:$D$594,MATCH($B27,'Staff Directory'!$A$5:$A$594,0)),""))</f>
        <v>A1</v>
      </c>
      <c r="F27" s="9" t="s">
        <v>156</v>
      </c>
      <c r="G27" s="18" t="str">
        <f>IF($F27="","",IFERROR(INDEX(Items!$B$5:$B$597,MATCH($F27,Items!$A$5:$A$597,0)),"⚠ not in Items"))</f>
        <v>Masks</v>
      </c>
      <c r="H27" s="19" t="str">
        <f>IF($F27="","",IFERROR(INDEX(Items!$C$5:$C$597,MATCH($F27,Items!$A$5:$A$597,0)),""))</f>
        <v>One Size</v>
      </c>
      <c r="I27" s="23">
        <f>IF($F27="","",IFERROR(INDEX(Items!$E$5:$E$597,MATCH($F27,Items!$A$5:$A$597,0)),""))</f>
        <v>50</v>
      </c>
      <c r="J27" s="115">
        <f>IF(tblIssues[[#This Row],[Qty Override]]&lt;&gt;"",tblIssues[[#This Row],[Qty Override]],IF(tblIssues[[#This Row],[Standard Issue]]="","",tblIssues[[#This Row],[Standard Issue]]))</f>
        <v>50</v>
      </c>
      <c r="K27" s="20">
        <f>IF($F27="","",IFERROR(INDEX(Items!$D$5:$D$597,MATCH($F27,Items!$A$5:$A$597,0)),""))</f>
        <v>0.25</v>
      </c>
      <c r="L27" s="21">
        <f t="shared" si="4"/>
        <v>12.5</v>
      </c>
      <c r="M27" s="9" t="str">
        <f t="shared" si="5"/>
        <v>0125FPC24-0</v>
      </c>
      <c r="N27" s="24">
        <f>IF($A27="","",WORKDAY($A27,Settings!$C$9,HolidayDates))</f>
        <v>46121</v>
      </c>
      <c r="O27" s="24">
        <f>IF($N27="","",WORKDAY($N27,Settings!$C$10,HolidayDates))</f>
        <v>46161</v>
      </c>
      <c r="P27" s="96" t="s">
        <v>502</v>
      </c>
      <c r="Q27" s="52" t="str">
        <f t="shared" si="0"/>
        <v>Collected</v>
      </c>
      <c r="R27" s="55" t="str">
        <f t="shared" si="6"/>
        <v>2026-04</v>
      </c>
      <c r="S27" s="55">
        <f>IF(OR($B27="",$F27="",$R27=""),"",SUMIFS(tblIssues[Qty Issued],tblIssues[Staff ID],$B27,tblIssues[Item Name],$F27,tblIssues[Month],$R27))</f>
        <v>50</v>
      </c>
      <c r="T27" s="56">
        <f>IF($I27="","",$I27*Settings!$C$11)</f>
        <v>50</v>
      </c>
      <c r="U27" s="57" t="str">
        <f t="shared" si="7"/>
        <v>OK</v>
      </c>
      <c r="V27" s="55" t="str">
        <f t="shared" si="8"/>
        <v/>
      </c>
      <c r="W27" s="55" t="str">
        <f>IF($V27="","",IF(COUNTIF($V$5:$V27,$V27)=1,1,""))</f>
        <v/>
      </c>
      <c r="X27" s="58" t="str">
        <f>IF($W27="","",MAX($X$4:X26)+1)</f>
        <v/>
      </c>
      <c r="Y27" s="62"/>
      <c r="Z27" s="62"/>
      <c r="AA27" s="64" t="str">
        <f>IF($C27="","",IFERROR(INDEX('Staff Directory'!$E$5:$E$594,MATCH($C27,'Staff Directory'!$B$5:$B$594,0)),""))</f>
        <v>firstname006.lastname006@example.com</v>
      </c>
      <c r="AB27" s="64" t="str">
        <f>IF($C27="","",IF(ISNUMBER(SEARCH($D27,Settings!$C$15)),"Pickup","Dispatch"))</f>
        <v>Dispatch</v>
      </c>
      <c r="AC27" s="64" t="str">
        <f t="shared" si="9"/>
        <v>Supply order dispatched</v>
      </c>
      <c r="AD27" s="64" t="str">
        <f t="shared" si="1"/>
        <v>Dear RN,
Your order has been dispatched and is in transit. Reply if undelivered.</v>
      </c>
      <c r="AE27" s="64" t="str">
        <f t="shared" si="2"/>
        <v>mailto:firstname006.lastname006@example.com?subject=Supply%20order%20dispatched&amp;body=Dear%20RN%2C%0A%0AYour%20order%20has%20been%20dispatched%20and%20is%20in%20transit.%20Reply%20if%20undelivered.</v>
      </c>
      <c r="AF27" s="65" t="str">
        <f t="shared" si="10"/>
        <v>Draft email</v>
      </c>
      <c r="AG27" s="64" t="str">
        <f>IF($C27="","",IFERROR(INDEX('Staff Directory'!$K$595:$K$599,MATCH($C27,'Staff Directory'!$B$5:$B$599,0)),$D27))</f>
        <v>RN</v>
      </c>
      <c r="AH27" t="str">
        <f>IF($C27="","",IFERROR(INDEX('Staff Directory'!$I$595:$I$599,MATCH($C27,'Staff Directory'!$B$5:$B$599,0))&amp;" "&amp;INDEX('Staff Directory'!$J$595:$J$599,MATCH($C27,'Staff Directory'!$B$5:$B$599,0)),$AG27))</f>
        <v>RN</v>
      </c>
      <c r="AI27" s="102" t="s">
        <v>474</v>
      </c>
      <c r="AJ27" s="101">
        <f>IF($F27="","",SUMIFS($J$5:$J27,$F$5:$F27,$F27))</f>
        <v>300</v>
      </c>
      <c r="AK27" s="101">
        <f t="shared" si="3"/>
        <v>251</v>
      </c>
      <c r="AL27" s="66" t="str" cm="1">
        <f t="array" ref="AL27">IF($F27="","",IFERROR(INDEX('Lot Balance'!$B$5:$B$500,MATCH(1,INDEX(('Lot Balance'!$A$5:$A$500=$F27)*('Lot Balance'!$K$5:$K$500&lt;$AK27)*('Lot Balance'!$K$5:$K$500+'Lot Balance'!$D$5:$D$500&gt;=$AK27),0),0)),""))</f>
        <v>0125FPC24-0</v>
      </c>
      <c r="AM27" s="66" t="str" cm="1">
        <f t="array" ref="AM27">IF($F27="","",IFERROR(INDEX('Lot Balance'!$B$5:$B$500,MATCH(1,INDEX(('Lot Balance'!$A$5:$A$500=$F27)*('Lot Balance'!$K$5:$K$500&lt;$AJ27)*('Lot Balance'!$K$5:$K$500+'Lot Balance'!$D$5:$D$500&gt;=$AJ27),0),0)),""))</f>
        <v>0125FPC24-0</v>
      </c>
      <c r="AN27" s="66" t="str">
        <f>IF($F27="","",IF($AI27&lt;&gt;"",IF(COUNTIFS('Lot Balance'!$A$5:$A$500,$F27,'Lot Balance'!$B$5:$B$500,$AI27)=0,"⚠ override is not a lot of this item",IF($AI27=$AL27,"Override = FEFO","Override - FEFO says "&amp;$AL27)),IF($AL27="","⚠ no receipt on file for this item",IF($AM27&lt;&gt;$AL27,"FEFO auto - split, also "&amp;$AM27,"FEFO auto"))))</f>
        <v>Override = FEFO</v>
      </c>
      <c r="AO27" s="114"/>
    </row>
    <row r="28" spans="1:41" x14ac:dyDescent="0.35">
      <c r="A28" s="74">
        <v>46113</v>
      </c>
      <c r="B28" s="18" t="str">
        <f>IF($C28="","",IFERROR(INDEX('Staff Directory'!$A$5:$A$594,MATCH($C28,'Staff Directory'!$B$5:$B$594,0)),"⚠ unknown staff"))</f>
        <v>RN-006-A1</v>
      </c>
      <c r="C28" s="49" t="s">
        <v>922</v>
      </c>
      <c r="D28" s="19" t="str">
        <f>IF($B28="","",IFERROR(INDEX('Staff Directory'!$C$5:$C$594,MATCH($B28,'Staff Directory'!$A$5:$A$594,0)),""))</f>
        <v>RN</v>
      </c>
      <c r="E28" s="19" t="str">
        <f>IF($B28="","",IFERROR(INDEX('Staff Directory'!$D$5:$D$594,MATCH($B28,'Staff Directory'!$A$5:$A$594,0)),""))</f>
        <v>A1</v>
      </c>
      <c r="F28" s="9" t="s">
        <v>1227</v>
      </c>
      <c r="G28" s="18" t="str">
        <f>IF($F28="","",IFERROR(INDEX(Items!$B$5:$B$597,MATCH($F28,Items!$A$5:$A$597,0)),"⚠ not in Items"))</f>
        <v>SO A1 Charts</v>
      </c>
      <c r="H28" s="19" t="str">
        <f>IF($F28="","",IFERROR(INDEX(Items!$C$5:$C$597,MATCH($F28,Items!$A$5:$A$597,0)),""))</f>
        <v>Standard</v>
      </c>
      <c r="I28" s="23">
        <f>IF($F28="","",IFERROR(INDEX(Items!$E$5:$E$597,MATCH($F28,Items!$A$5:$A$597,0)),""))</f>
        <v>20</v>
      </c>
      <c r="J28" s="115">
        <f>IF(tblIssues[[#This Row],[Qty Override]]&lt;&gt;"",tblIssues[[#This Row],[Qty Override]],IF(tblIssues[[#This Row],[Standard Issue]]="","",tblIssues[[#This Row],[Standard Issue]]))</f>
        <v>20</v>
      </c>
      <c r="K28" s="20">
        <f>IF($F28="","",IFERROR(INDEX(Items!$D$5:$D$597,MATCH($F28,Items!$A$5:$A$597,0)),""))</f>
        <v>0</v>
      </c>
      <c r="L28" s="21">
        <f t="shared" si="4"/>
        <v>0</v>
      </c>
      <c r="M28" s="9" t="str">
        <f t="shared" si="5"/>
        <v>Sample Org</v>
      </c>
      <c r="N28" s="24">
        <f>IF($A28="","",WORKDAY($A28,Settings!$C$9,HolidayDates))</f>
        <v>46121</v>
      </c>
      <c r="O28" s="24">
        <f>IF($N28="","",WORKDAY($N28,Settings!$C$10,HolidayDates))</f>
        <v>46161</v>
      </c>
      <c r="P28" s="96" t="s">
        <v>502</v>
      </c>
      <c r="Q28" s="52" t="str">
        <f t="shared" si="0"/>
        <v>Collected</v>
      </c>
      <c r="R28" s="55" t="str">
        <f t="shared" si="6"/>
        <v>2026-04</v>
      </c>
      <c r="S28" s="55">
        <f>IF(OR($B28="",$F28="",$R28=""),"",SUMIFS(tblIssues[Qty Issued],tblIssues[Staff ID],$B28,tblIssues[Item Name],$F28,tblIssues[Month],$R28))</f>
        <v>20</v>
      </c>
      <c r="T28" s="56">
        <f>IF($I28="","",$I28*Settings!$C$11)</f>
        <v>20</v>
      </c>
      <c r="U28" s="57" t="str">
        <f t="shared" si="7"/>
        <v>OK</v>
      </c>
      <c r="V28" s="55" t="str">
        <f t="shared" si="8"/>
        <v/>
      </c>
      <c r="W28" s="55" t="str">
        <f>IF($V28="","",IF(COUNTIF($V$5:$V28,$V28)=1,1,""))</f>
        <v/>
      </c>
      <c r="X28" s="58" t="str">
        <f>IF($W28="","",MAX($X$4:X27)+1)</f>
        <v/>
      </c>
      <c r="Y28" s="62"/>
      <c r="Z28" s="62"/>
      <c r="AA28" s="64" t="str">
        <f>IF($C28="","",IFERROR(INDEX('Staff Directory'!$E$5:$E$594,MATCH($C28,'Staff Directory'!$B$5:$B$594,0)),""))</f>
        <v>firstname006.lastname006@example.com</v>
      </c>
      <c r="AB28" s="64" t="str">
        <f>IF($C28="","",IF(ISNUMBER(SEARCH($D28,Settings!$C$15)),"Pickup","Dispatch"))</f>
        <v>Dispatch</v>
      </c>
      <c r="AC28" s="64" t="str">
        <f t="shared" si="9"/>
        <v>Supply order dispatched</v>
      </c>
      <c r="AD28" s="64" t="str">
        <f t="shared" si="1"/>
        <v>Dear RN,
Your order has been dispatched and is in transit. Reply if undelivered.</v>
      </c>
      <c r="AE28" s="64" t="str">
        <f t="shared" si="2"/>
        <v>mailto:firstname006.lastname006@example.com?subject=Supply%20order%20dispatched&amp;body=Dear%20RN%2C%0A%0AYour%20order%20has%20been%20dispatched%20and%20is%20in%20transit.%20Reply%20if%20undelivered.</v>
      </c>
      <c r="AF28" s="65" t="str">
        <f t="shared" si="10"/>
        <v>Draft email</v>
      </c>
      <c r="AG28" s="64" t="str">
        <f>IF($C28="","",IFERROR(INDEX('Staff Directory'!$K$595:$K$599,MATCH($C28,'Staff Directory'!$B$5:$B$599,0)),$D28))</f>
        <v>RN</v>
      </c>
      <c r="AH28" t="str">
        <f>IF($C28="","",IFERROR(INDEX('Staff Directory'!$I$595:$I$599,MATCH($C28,'Staff Directory'!$B$5:$B$599,0))&amp;" "&amp;INDEX('Staff Directory'!$J$595:$J$599,MATCH($C28,'Staff Directory'!$B$5:$B$599,0)),$AG28))</f>
        <v>RN</v>
      </c>
      <c r="AI28" s="102" t="s">
        <v>770</v>
      </c>
      <c r="AJ28" s="101">
        <f>IF($F28="","",SUMIFS($J$5:$J28,$F$5:$F28,$F28))</f>
        <v>20</v>
      </c>
      <c r="AK28" s="101">
        <f t="shared" si="3"/>
        <v>1</v>
      </c>
      <c r="AL28" s="66" t="str" cm="1">
        <f t="array" ref="AL28">IF($F28="","",IFERROR(INDEX('Lot Balance'!$B$5:$B$500,MATCH(1,INDEX(('Lot Balance'!$A$5:$A$500=$F28)*('Lot Balance'!$K$5:$K$500&lt;$AK28)*('Lot Balance'!$K$5:$K$500+'Lot Balance'!$D$5:$D$500&gt;=$AK28),0),0)),""))</f>
        <v/>
      </c>
      <c r="AM28" s="66" t="str" cm="1">
        <f t="array" ref="AM28">IF($F28="","",IFERROR(INDEX('Lot Balance'!$B$5:$B$500,MATCH(1,INDEX(('Lot Balance'!$A$5:$A$500=$F28)*('Lot Balance'!$K$5:$K$500&lt;$AJ28)*('Lot Balance'!$K$5:$K$500+'Lot Balance'!$D$5:$D$500&gt;=$AJ28),0),0)),""))</f>
        <v/>
      </c>
      <c r="AN28" s="66" t="str">
        <f>IF($F28="","",IF($AI28&lt;&gt;"",IF(COUNTIFS('Lot Balance'!$A$5:$A$500,$F28,'Lot Balance'!$B$5:$B$500,$AI28)=0,"⚠ override is not a lot of this item",IF($AI28=$AL28,"Override = FEFO","Override - FEFO says "&amp;$AL28)),IF($AL28="","⚠ no receipt on file for this item",IF($AM28&lt;&gt;$AL28,"FEFO auto - split, also "&amp;$AM28,"FEFO auto"))))</f>
        <v>⚠ override is not a lot of this item</v>
      </c>
      <c r="AO28" s="114"/>
    </row>
    <row r="29" spans="1:41" x14ac:dyDescent="0.35">
      <c r="A29" s="74">
        <v>46113</v>
      </c>
      <c r="B29" s="18" t="str">
        <f>IF($C29="","",IFERROR(INDEX('Staff Directory'!$A$5:$A$594,MATCH($C29,'Staff Directory'!$B$5:$B$594,0)),"⚠ unknown staff"))</f>
        <v>RN-006-A1</v>
      </c>
      <c r="C29" s="49" t="s">
        <v>922</v>
      </c>
      <c r="D29" s="19" t="str">
        <f>IF($B29="","",IFERROR(INDEX('Staff Directory'!$C$5:$C$594,MATCH($B29,'Staff Directory'!$A$5:$A$594,0)),""))</f>
        <v>RN</v>
      </c>
      <c r="E29" s="19" t="str">
        <f>IF($B29="","",IFERROR(INDEX('Staff Directory'!$D$5:$D$594,MATCH($B29,'Staff Directory'!$A$5:$A$594,0)),""))</f>
        <v>A1</v>
      </c>
      <c r="F29" s="9" t="s">
        <v>194</v>
      </c>
      <c r="G29" s="18" t="str">
        <f>IF($F29="","",IFERROR(INDEX(Items!$B$5:$B$597,MATCH($F29,Items!$A$5:$A$597,0)),"⚠ not in Items"))</f>
        <v>Metric</v>
      </c>
      <c r="H29" s="19" t="str">
        <f>IF($F29="","",IFERROR(INDEX(Items!$C$5:$C$597,MATCH($F29,Items!$A$5:$A$597,0)),""))</f>
        <v>60'</v>
      </c>
      <c r="I29" s="23">
        <f>IF($F29="","",IFERROR(INDEX(Items!$E$5:$E$597,MATCH($F29,Items!$A$5:$A$597,0)),""))</f>
        <v>1</v>
      </c>
      <c r="J29" s="115">
        <f>IF(tblIssues[[#This Row],[Qty Override]]&lt;&gt;"",tblIssues[[#This Row],[Qty Override]],IF(tblIssues[[#This Row],[Standard Issue]]="","",tblIssues[[#This Row],[Standard Issue]]))</f>
        <v>1</v>
      </c>
      <c r="K29" s="20">
        <f>IF($F29="","",IFERROR(INDEX(Items!$D$5:$D$597,MATCH($F29,Items!$A$5:$A$597,0)),""))</f>
        <v>2.5</v>
      </c>
      <c r="L29" s="21">
        <f t="shared" si="4"/>
        <v>2.5</v>
      </c>
      <c r="M29" s="9" t="str">
        <f t="shared" si="5"/>
        <v>Sample Org</v>
      </c>
      <c r="N29" s="24">
        <f>IF($A29="","",WORKDAY($A29,Settings!$C$9,HolidayDates))</f>
        <v>46121</v>
      </c>
      <c r="O29" s="24">
        <f>IF($N29="","",WORKDAY($N29,Settings!$C$10,HolidayDates))</f>
        <v>46161</v>
      </c>
      <c r="P29" s="96" t="s">
        <v>502</v>
      </c>
      <c r="Q29" s="52" t="str">
        <f t="shared" si="0"/>
        <v>Collected</v>
      </c>
      <c r="R29" s="55" t="str">
        <f t="shared" si="6"/>
        <v>2026-04</v>
      </c>
      <c r="S29" s="55">
        <f>IF(OR($B29="",$F29="",$R29=""),"",SUMIFS(tblIssues[Qty Issued],tblIssues[Staff ID],$B29,tblIssues[Item Name],$F29,tblIssues[Month],$R29))</f>
        <v>1</v>
      </c>
      <c r="T29" s="56">
        <f>IF($I29="","",$I29*Settings!$C$11)</f>
        <v>1</v>
      </c>
      <c r="U29" s="57" t="str">
        <f t="shared" si="7"/>
        <v>OK</v>
      </c>
      <c r="V29" s="55" t="str">
        <f t="shared" si="8"/>
        <v/>
      </c>
      <c r="W29" s="55" t="str">
        <f>IF($V29="","",IF(COUNTIF($V$5:$V29,$V29)=1,1,""))</f>
        <v/>
      </c>
      <c r="X29" s="58" t="str">
        <f>IF($W29="","",MAX($X$4:X28)+1)</f>
        <v/>
      </c>
      <c r="Y29" s="62"/>
      <c r="Z29" s="62"/>
      <c r="AA29" s="64" t="str">
        <f>IF($C29="","",IFERROR(INDEX('Staff Directory'!$E$5:$E$594,MATCH($C29,'Staff Directory'!$B$5:$B$594,0)),""))</f>
        <v>firstname006.lastname006@example.com</v>
      </c>
      <c r="AB29" s="64" t="str">
        <f>IF($C29="","",IF(ISNUMBER(SEARCH($D29,Settings!$C$15)),"Pickup","Dispatch"))</f>
        <v>Dispatch</v>
      </c>
      <c r="AC29" s="64" t="str">
        <f t="shared" si="9"/>
        <v>Supply order dispatched</v>
      </c>
      <c r="AD29" s="64" t="str">
        <f t="shared" si="1"/>
        <v>Dear RN,
Your order has been dispatched and is in transit. Reply if undelivered.</v>
      </c>
      <c r="AE29" s="64" t="str">
        <f t="shared" si="2"/>
        <v>mailto:firstname006.lastname006@example.com?subject=Supply%20order%20dispatched&amp;body=Dear%20RN%2C%0A%0AYour%20order%20has%20been%20dispatched%20and%20is%20in%20transit.%20Reply%20if%20undelivered.</v>
      </c>
      <c r="AF29" s="65" t="str">
        <f t="shared" si="10"/>
        <v>Draft email</v>
      </c>
      <c r="AG29" s="64" t="str">
        <f>IF($C29="","",IFERROR(INDEX('Staff Directory'!$K$595:$K$599,MATCH($C29,'Staff Directory'!$B$5:$B$599,0)),$D29))</f>
        <v>RN</v>
      </c>
      <c r="AH29" t="str">
        <f>IF($C29="","",IFERROR(INDEX('Staff Directory'!$I$595:$I$599,MATCH($C29,'Staff Directory'!$B$5:$B$599,0))&amp;" "&amp;INDEX('Staff Directory'!$J$595:$J$599,MATCH($C29,'Staff Directory'!$B$5:$B$599,0)),$AG29))</f>
        <v>RN</v>
      </c>
      <c r="AI29" s="102" t="s">
        <v>770</v>
      </c>
      <c r="AJ29" s="101">
        <f>IF($F29="","",SUMIFS($J$5:$J29,$F$5:$F29,$F29))</f>
        <v>1</v>
      </c>
      <c r="AK29" s="101">
        <f t="shared" si="3"/>
        <v>1</v>
      </c>
      <c r="AL29" s="66" t="str" cm="1">
        <f t="array" ref="AL29">IF($F29="","",IFERROR(INDEX('Lot Balance'!$B$5:$B$500,MATCH(1,INDEX(('Lot Balance'!$A$5:$A$500=$F29)*('Lot Balance'!$K$5:$K$500&lt;$AK29)*('Lot Balance'!$K$5:$K$500+'Lot Balance'!$D$5:$D$500&gt;=$AK29),0),0)),""))</f>
        <v/>
      </c>
      <c r="AM29" s="66" t="str" cm="1">
        <f t="array" ref="AM29">IF($F29="","",IFERROR(INDEX('Lot Balance'!$B$5:$B$500,MATCH(1,INDEX(('Lot Balance'!$A$5:$A$500=$F29)*('Lot Balance'!$K$5:$K$500&lt;$AJ29)*('Lot Balance'!$K$5:$K$500+'Lot Balance'!$D$5:$D$500&gt;=$AJ29),0),0)),""))</f>
        <v/>
      </c>
      <c r="AN29" s="66" t="str">
        <f>IF($F29="","",IF($AI29&lt;&gt;"",IF(COUNTIFS('Lot Balance'!$A$5:$A$500,$F29,'Lot Balance'!$B$5:$B$500,$AI29)=0,"⚠ override is not a lot of this item",IF($AI29=$AL29,"Override = FEFO","Override - FEFO says "&amp;$AL29)),IF($AL29="","⚠ no receipt on file for this item",IF($AM29&lt;&gt;$AL29,"FEFO auto - split, also "&amp;$AM29,"FEFO auto"))))</f>
        <v>⚠ override is not a lot of this item</v>
      </c>
      <c r="AO29" s="114"/>
    </row>
    <row r="30" spans="1:41" x14ac:dyDescent="0.35">
      <c r="A30" s="74">
        <v>46113</v>
      </c>
      <c r="B30" s="18" t="str">
        <f>IF($C30="","",IFERROR(INDEX('Staff Directory'!$A$5:$A$594,MATCH($C30,'Staff Directory'!$B$5:$B$594,0)),"⚠ unknown staff"))</f>
        <v>PSW-132-A6</v>
      </c>
      <c r="C30" s="49" t="s">
        <v>1111</v>
      </c>
      <c r="D30" s="19" t="str">
        <f>IF($B30="","",IFERROR(INDEX('Staff Directory'!$C$5:$C$594,MATCH($B30,'Staff Directory'!$A$5:$A$594,0)),""))</f>
        <v>PSW</v>
      </c>
      <c r="E30" s="19" t="str">
        <f>IF($B30="","",IFERROR(INDEX('Staff Directory'!$D$5:$D$594,MATCH($B30,'Staff Directory'!$A$5:$A$594,0)),""))</f>
        <v>A6</v>
      </c>
      <c r="F30" s="9" t="s">
        <v>124</v>
      </c>
      <c r="G30" s="18" t="str">
        <f>IF($F30="","",IFERROR(INDEX(Items!$B$5:$B$597,MATCH($F30,Items!$A$5:$A$597,0)),"⚠ not in Items"))</f>
        <v>Gloves</v>
      </c>
      <c r="H30" s="19" t="str">
        <f>IF($F30="","",IFERROR(INDEX(Items!$C$5:$C$597,MATCH($F30,Items!$A$5:$A$597,0)),""))</f>
        <v>Large</v>
      </c>
      <c r="I30" s="23">
        <f>IF($F30="","",IFERROR(INDEX(Items!$E$5:$E$597,MATCH($F30,Items!$A$5:$A$597,0)),""))</f>
        <v>500</v>
      </c>
      <c r="J30" s="115">
        <f>IF(tblIssues[[#This Row],[Qty Override]]&lt;&gt;"",tblIssues[[#This Row],[Qty Override]],IF(tblIssues[[#This Row],[Standard Issue]]="","",tblIssues[[#This Row],[Standard Issue]]))</f>
        <v>500</v>
      </c>
      <c r="K30" s="20">
        <f>IF($F30="","",IFERROR(INDEX(Items!$D$5:$D$597,MATCH($F30,Items!$A$5:$A$597,0)),""))</f>
        <v>5.5E-2</v>
      </c>
      <c r="L30" s="21">
        <f t="shared" si="4"/>
        <v>27.5</v>
      </c>
      <c r="M30" s="9" t="str">
        <f t="shared" si="5"/>
        <v>0417HIC25-0</v>
      </c>
      <c r="N30" s="24">
        <f>IF($A30="","",WORKDAY($A30,Settings!$C$9,HolidayDates))</f>
        <v>46121</v>
      </c>
      <c r="O30" s="24">
        <f>IF($N30="","",WORKDAY($N30,Settings!$C$10,HolidayDates))</f>
        <v>46161</v>
      </c>
      <c r="P30" s="10" t="s">
        <v>501</v>
      </c>
      <c r="Q30" s="52" t="str">
        <f t="shared" si="0"/>
        <v>Collected</v>
      </c>
      <c r="R30" s="55" t="str">
        <f t="shared" si="6"/>
        <v>2026-04</v>
      </c>
      <c r="S30" s="55">
        <f>IF(OR($B30="",$F30="",$R30=""),"",SUMIFS(tblIssues[Qty Issued],tblIssues[Staff ID],$B30,tblIssues[Item Name],$F30,tblIssues[Month],$R30))</f>
        <v>500</v>
      </c>
      <c r="T30" s="56">
        <f>IF($I30="","",$I30*Settings!$C$11)</f>
        <v>500</v>
      </c>
      <c r="U30" s="57" t="str">
        <f t="shared" si="7"/>
        <v>OK</v>
      </c>
      <c r="V30" s="55" t="str">
        <f t="shared" si="8"/>
        <v/>
      </c>
      <c r="W30" s="55" t="str">
        <f>IF($V30="","",IF(COUNTIF($V$5:$V30,$V30)=1,1,""))</f>
        <v/>
      </c>
      <c r="X30" s="58" t="str">
        <f>IF($W30="","",MAX($X$4:X29)+1)</f>
        <v/>
      </c>
      <c r="Y30" s="62"/>
      <c r="Z30" s="62"/>
      <c r="AA30" s="64" t="str">
        <f>IF($C30="","",IFERROR(INDEX('Staff Directory'!$E$5:$E$594,MATCH($C30,'Staff Directory'!$B$5:$B$594,0)),""))</f>
        <v>firstname195.lastname195@example.com</v>
      </c>
      <c r="AB30" s="64" t="str">
        <f>IF($C30="","",IF(ISNUMBER(SEARCH($D30,Settings!$C$15)),"Pickup","Dispatch"))</f>
        <v>Pickup</v>
      </c>
      <c r="AC30" s="64" t="str">
        <f t="shared" si="9"/>
        <v>Supply order ready for pickup</v>
      </c>
      <c r="AD30" s="64" t="str">
        <f t="shared" si="1"/>
        <v>Dear PSW,
Your order is ready for pickup from Sample Branch, Wed-Fri 9am-4pm.</v>
      </c>
      <c r="AE30" s="64" t="str">
        <f t="shared" si="2"/>
        <v>mailto:firstname195.lastname195@example.com?subject=Supply%20order%20ready%20for%20pickup&amp;body=Dear%20PSW%2C%0A%0AYour%20order%20is%20ready%20for%20pickup%20from%20Sample%20Branch%2C%20Wed-Fri%209am-4pm.</v>
      </c>
      <c r="AF30" s="65" t="str">
        <f t="shared" si="10"/>
        <v>Draft email</v>
      </c>
      <c r="AG30" s="64" t="str">
        <f>IF($C30="","",IFERROR(INDEX('Staff Directory'!$K$595:$K$599,MATCH($C30,'Staff Directory'!$B$5:$B$599,0)),$D30))</f>
        <v>PSW</v>
      </c>
      <c r="AH30" t="str">
        <f>IF($C30="","",IFERROR(INDEX('Staff Directory'!$I$595:$I$599,MATCH($C30,'Staff Directory'!$B$5:$B$599,0))&amp;" "&amp;INDEX('Staff Directory'!$J$595:$J$599,MATCH($C30,'Staff Directory'!$B$5:$B$599,0)),$AG30))</f>
        <v>PSW</v>
      </c>
      <c r="AI30" s="102" t="s">
        <v>389</v>
      </c>
      <c r="AJ30" s="101">
        <f>IF($F30="","",SUMIFS($J$5:$J30,$F$5:$F30,$F30))</f>
        <v>1000</v>
      </c>
      <c r="AK30" s="101">
        <f t="shared" si="3"/>
        <v>501</v>
      </c>
      <c r="AL30" s="66" t="str" cm="1">
        <f t="array" ref="AL30">IF($F30="","",IFERROR(INDEX('Lot Balance'!$B$5:$B$500,MATCH(1,INDEX(('Lot Balance'!$A$5:$A$500=$F30)*('Lot Balance'!$K$5:$K$500&lt;$AK30)*('Lot Balance'!$K$5:$K$500+'Lot Balance'!$D$5:$D$500&gt;=$AK30),0),0)),""))</f>
        <v>ZIM510135932</v>
      </c>
      <c r="AM30" s="66" t="str" cm="1">
        <f t="array" ref="AM30">IF($F30="","",IFERROR(INDEX('Lot Balance'!$B$5:$B$500,MATCH(1,INDEX(('Lot Balance'!$A$5:$A$500=$F30)*('Lot Balance'!$K$5:$K$500&lt;$AJ30)*('Lot Balance'!$K$5:$K$500+'Lot Balance'!$D$5:$D$500&gt;=$AJ30),0),0)),""))</f>
        <v>ZIM510135932</v>
      </c>
      <c r="AN30" s="66" t="str">
        <f>IF($F30="","",IF($AI30&lt;&gt;"",IF(COUNTIFS('Lot Balance'!$A$5:$A$500,$F30,'Lot Balance'!$B$5:$B$500,$AI30)=0,"⚠ override is not a lot of this item",IF($AI30=$AL30,"Override = FEFO","Override - FEFO says "&amp;$AL30)),IF($AL30="","⚠ no receipt on file for this item",IF($AM30&lt;&gt;$AL30,"FEFO auto - split, also "&amp;$AM30,"FEFO auto"))))</f>
        <v>Override - FEFO says ZIM510135932</v>
      </c>
      <c r="AO30" s="114"/>
    </row>
    <row r="31" spans="1:41" x14ac:dyDescent="0.35">
      <c r="A31" s="74">
        <v>46113</v>
      </c>
      <c r="B31" s="18" t="str">
        <f>IF($C31="","",IFERROR(INDEX('Staff Directory'!$A$5:$A$594,MATCH($C31,'Staff Directory'!$B$5:$B$594,0)),"⚠ unknown staff"))</f>
        <v>PSW-132-A6</v>
      </c>
      <c r="C31" s="49" t="s">
        <v>1111</v>
      </c>
      <c r="D31" s="19" t="str">
        <f>IF($B31="","",IFERROR(INDEX('Staff Directory'!$C$5:$C$594,MATCH($B31,'Staff Directory'!$A$5:$A$594,0)),""))</f>
        <v>PSW</v>
      </c>
      <c r="E31" s="19" t="str">
        <f>IF($B31="","",IFERROR(INDEX('Staff Directory'!$D$5:$D$594,MATCH($B31,'Staff Directory'!$A$5:$A$594,0)),""))</f>
        <v>A6</v>
      </c>
      <c r="F31" s="9" t="s">
        <v>137</v>
      </c>
      <c r="G31" s="18" t="str">
        <f>IF($F31="","",IFERROR(INDEX(Items!$B$5:$B$597,MATCH($F31,Items!$A$5:$A$597,0)),"⚠ not in Items"))</f>
        <v>Sanitizer</v>
      </c>
      <c r="H31" s="19" t="str">
        <f>IF($F31="","",IFERROR(INDEX(Items!$C$5:$C$597,MATCH($F31,Items!$A$5:$A$597,0)),""))</f>
        <v>118 ML</v>
      </c>
      <c r="I31" s="23">
        <f>IF($F31="","",IFERROR(INDEX(Items!$E$5:$E$597,MATCH($F31,Items!$A$5:$A$597,0)),""))</f>
        <v>2</v>
      </c>
      <c r="J31" s="115">
        <f>IF(tblIssues[[#This Row],[Qty Override]]&lt;&gt;"",tblIssues[[#This Row],[Qty Override]],IF(tblIssues[[#This Row],[Standard Issue]]="","",tblIssues[[#This Row],[Standard Issue]]))</f>
        <v>2</v>
      </c>
      <c r="K31" s="20">
        <f>IF($F31="","",IFERROR(INDEX(Items!$D$5:$D$597,MATCH($F31,Items!$A$5:$A$597,0)),""))</f>
        <v>4.49</v>
      </c>
      <c r="L31" s="21">
        <f t="shared" si="4"/>
        <v>8.98</v>
      </c>
      <c r="M31" s="9" t="str">
        <f t="shared" si="5"/>
        <v>563963-5</v>
      </c>
      <c r="N31" s="24">
        <f>IF($A31="","",WORKDAY($A31,Settings!$C$9,HolidayDates))</f>
        <v>46121</v>
      </c>
      <c r="O31" s="24">
        <f>IF($N31="","",WORKDAY($N31,Settings!$C$10,HolidayDates))</f>
        <v>46161</v>
      </c>
      <c r="P31" s="10" t="s">
        <v>501</v>
      </c>
      <c r="Q31" s="52" t="str">
        <f t="shared" si="0"/>
        <v>Collected</v>
      </c>
      <c r="R31" s="55" t="str">
        <f t="shared" si="6"/>
        <v>2026-04</v>
      </c>
      <c r="S31" s="55">
        <f>IF(OR($B31="",$F31="",$R31=""),"",SUMIFS(tblIssues[Qty Issued],tblIssues[Staff ID],$B31,tblIssues[Item Name],$F31,tblIssues[Month],$R31))</f>
        <v>2</v>
      </c>
      <c r="T31" s="56">
        <f>IF($I31="","",$I31*Settings!$C$11)</f>
        <v>2</v>
      </c>
      <c r="U31" s="57" t="str">
        <f t="shared" si="7"/>
        <v>OK</v>
      </c>
      <c r="V31" s="55" t="str">
        <f t="shared" si="8"/>
        <v/>
      </c>
      <c r="W31" s="55" t="str">
        <f>IF($V31="","",IF(COUNTIF($V$5:$V31,$V31)=1,1,""))</f>
        <v/>
      </c>
      <c r="X31" s="58" t="str">
        <f>IF($W31="","",MAX($X$4:X30)+1)</f>
        <v/>
      </c>
      <c r="Y31" s="62"/>
      <c r="Z31" s="62"/>
      <c r="AA31" s="64" t="str">
        <f>IF($C31="","",IFERROR(INDEX('Staff Directory'!$E$5:$E$594,MATCH($C31,'Staff Directory'!$B$5:$B$594,0)),""))</f>
        <v>firstname195.lastname195@example.com</v>
      </c>
      <c r="AB31" s="64" t="str">
        <f>IF($C31="","",IF(ISNUMBER(SEARCH($D31,Settings!$C$15)),"Pickup","Dispatch"))</f>
        <v>Pickup</v>
      </c>
      <c r="AC31" s="64" t="str">
        <f t="shared" si="9"/>
        <v>Supply order ready for pickup</v>
      </c>
      <c r="AD31" s="64" t="str">
        <f t="shared" si="1"/>
        <v>Dear PSW,
Your order is ready for pickup from Sample Branch, Wed-Fri 9am-4pm.</v>
      </c>
      <c r="AE31" s="64" t="str">
        <f t="shared" si="2"/>
        <v>mailto:firstname195.lastname195@example.com?subject=Supply%20order%20ready%20for%20pickup&amp;body=Dear%20PSW%2C%0A%0AYour%20order%20is%20ready%20for%20pickup%20from%20Sample%20Branch%2C%20Wed-Fri%209am-4pm.</v>
      </c>
      <c r="AF31" s="65" t="str">
        <f t="shared" si="10"/>
        <v>Draft email</v>
      </c>
      <c r="AG31" s="64" t="str">
        <f>IF($C31="","",IFERROR(INDEX('Staff Directory'!$K$595:$K$599,MATCH($C31,'Staff Directory'!$B$5:$B$599,0)),$D31))</f>
        <v>PSW</v>
      </c>
      <c r="AH31" t="str">
        <f>IF($C31="","",IFERROR(INDEX('Staff Directory'!$I$595:$I$599,MATCH($C31,'Staff Directory'!$B$5:$B$599,0))&amp;" "&amp;INDEX('Staff Directory'!$J$595:$J$599,MATCH($C31,'Staff Directory'!$B$5:$B$599,0)),$AG31))</f>
        <v>PSW</v>
      </c>
      <c r="AI31" s="102" t="s">
        <v>456</v>
      </c>
      <c r="AJ31" s="101">
        <f>IF($F31="","",SUMIFS($J$5:$J31,$F$5:$F31,$F31))</f>
        <v>10</v>
      </c>
      <c r="AK31" s="101">
        <f t="shared" si="3"/>
        <v>9</v>
      </c>
      <c r="AL31" s="66" t="str" cm="1">
        <f t="array" ref="AL31">IF($F31="","",IFERROR(INDEX('Lot Balance'!$B$5:$B$500,MATCH(1,INDEX(('Lot Balance'!$A$5:$A$500=$F31)*('Lot Balance'!$K$5:$K$500&lt;$AK31)*('Lot Balance'!$K$5:$K$500+'Lot Balance'!$D$5:$D$500&gt;=$AK31),0),0)),""))</f>
        <v>563963-4</v>
      </c>
      <c r="AM31" s="66" t="str" cm="1">
        <f t="array" ref="AM31">IF($F31="","",IFERROR(INDEX('Lot Balance'!$B$5:$B$500,MATCH(1,INDEX(('Lot Balance'!$A$5:$A$500=$F31)*('Lot Balance'!$K$5:$K$500&lt;$AJ31)*('Lot Balance'!$K$5:$K$500+'Lot Balance'!$D$5:$D$500&gt;=$AJ31),0),0)),""))</f>
        <v>563963-4</v>
      </c>
      <c r="AN31" s="66" t="str">
        <f>IF($F31="","",IF($AI31&lt;&gt;"",IF(COUNTIFS('Lot Balance'!$A$5:$A$500,$F31,'Lot Balance'!$B$5:$B$500,$AI31)=0,"⚠ override is not a lot of this item",IF($AI31=$AL31,"Override = FEFO","Override - FEFO says "&amp;$AL31)),IF($AL31="","⚠ no receipt on file for this item",IF($AM31&lt;&gt;$AL31,"FEFO auto - split, also "&amp;$AM31,"FEFO auto"))))</f>
        <v>Override - FEFO says 563963-4</v>
      </c>
      <c r="AO31" s="114"/>
    </row>
    <row r="32" spans="1:41" x14ac:dyDescent="0.35">
      <c r="A32" s="74">
        <v>46113</v>
      </c>
      <c r="B32" s="18" t="str">
        <f>IF($C32="","",IFERROR(INDEX('Staff Directory'!$A$5:$A$594,MATCH($C32,'Staff Directory'!$B$5:$B$594,0)),"⚠ unknown staff"))</f>
        <v>PSW-132-A6</v>
      </c>
      <c r="C32" s="49" t="s">
        <v>1111</v>
      </c>
      <c r="D32" s="19" t="str">
        <f>IF($B32="","",IFERROR(INDEX('Staff Directory'!$C$5:$C$594,MATCH($B32,'Staff Directory'!$A$5:$A$594,0)),""))</f>
        <v>PSW</v>
      </c>
      <c r="E32" s="19" t="str">
        <f>IF($B32="","",IFERROR(INDEX('Staff Directory'!$D$5:$D$594,MATCH($B32,'Staff Directory'!$A$5:$A$594,0)),""))</f>
        <v>A6</v>
      </c>
      <c r="F32" s="9" t="s">
        <v>115</v>
      </c>
      <c r="G32" s="18" t="str">
        <f>IF($F32="","",IFERROR(INDEX(Items!$B$5:$B$597,MATCH($F32,Items!$A$5:$A$597,0)),"⚠ not in Items"))</f>
        <v>Wipes</v>
      </c>
      <c r="H32" s="19">
        <f>IF($F32="","",IFERROR(INDEX(Items!$C$5:$C$597,MATCH($F32,Items!$A$5:$A$597,0)),""))</f>
        <v>80</v>
      </c>
      <c r="I32" s="23">
        <f>IF($F32="","",IFERROR(INDEX(Items!$E$5:$E$597,MATCH($F32,Items!$A$5:$A$597,0)),""))</f>
        <v>80</v>
      </c>
      <c r="J32" s="115">
        <f>IF(tblIssues[[#This Row],[Qty Override]]&lt;&gt;"",tblIssues[[#This Row],[Qty Override]],IF(tblIssues[[#This Row],[Standard Issue]]="","",tblIssues[[#This Row],[Standard Issue]]))</f>
        <v>80</v>
      </c>
      <c r="K32" s="20">
        <f>IF($F32="","",IFERROR(INDEX(Items!$D$5:$D$597,MATCH($F32,Items!$A$5:$A$597,0)),""))</f>
        <v>0.1</v>
      </c>
      <c r="L32" s="21">
        <f t="shared" si="4"/>
        <v>8</v>
      </c>
      <c r="M32" s="9" t="str">
        <f t="shared" si="5"/>
        <v>LYSL500290</v>
      </c>
      <c r="N32" s="24">
        <f>IF($A32="","",WORKDAY($A32,Settings!$C$9,HolidayDates))</f>
        <v>46121</v>
      </c>
      <c r="O32" s="24">
        <f>IF($N32="","",WORKDAY($N32,Settings!$C$10,HolidayDates))</f>
        <v>46161</v>
      </c>
      <c r="P32" s="10" t="s">
        <v>501</v>
      </c>
      <c r="Q32" s="52" t="str">
        <f t="shared" si="0"/>
        <v>Collected</v>
      </c>
      <c r="R32" s="55" t="str">
        <f t="shared" si="6"/>
        <v>2026-04</v>
      </c>
      <c r="S32" s="55">
        <f>IF(OR($B32="",$F32="",$R32=""),"",SUMIFS(tblIssues[Qty Issued],tblIssues[Staff ID],$B32,tblIssues[Item Name],$F32,tblIssues[Month],$R32))</f>
        <v>80</v>
      </c>
      <c r="T32" s="56">
        <f>IF($I32="","",$I32*Settings!$C$11)</f>
        <v>80</v>
      </c>
      <c r="U32" s="57" t="str">
        <f t="shared" si="7"/>
        <v>OK</v>
      </c>
      <c r="V32" s="55" t="str">
        <f t="shared" si="8"/>
        <v/>
      </c>
      <c r="W32" s="55" t="str">
        <f>IF($V32="","",IF(COUNTIF($V$5:$V32,$V32)=1,1,""))</f>
        <v/>
      </c>
      <c r="X32" s="58" t="str">
        <f>IF($W32="","",MAX($X$4:X31)+1)</f>
        <v/>
      </c>
      <c r="Y32" s="62"/>
      <c r="Z32" s="62"/>
      <c r="AA32" s="64" t="str">
        <f>IF($C32="","",IFERROR(INDEX('Staff Directory'!$E$5:$E$594,MATCH($C32,'Staff Directory'!$B$5:$B$594,0)),""))</f>
        <v>firstname195.lastname195@example.com</v>
      </c>
      <c r="AB32" s="64" t="str">
        <f>IF($C32="","",IF(ISNUMBER(SEARCH($D32,Settings!$C$15)),"Pickup","Dispatch"))</f>
        <v>Pickup</v>
      </c>
      <c r="AC32" s="64" t="str">
        <f t="shared" si="9"/>
        <v>Supply order ready for pickup</v>
      </c>
      <c r="AD32" s="64" t="str">
        <f t="shared" si="1"/>
        <v>Dear PSW,
Your order is ready for pickup from Sample Branch, Wed-Fri 9am-4pm.</v>
      </c>
      <c r="AE32" s="64" t="str">
        <f t="shared" si="2"/>
        <v>mailto:firstname195.lastname195@example.com?subject=Supply%20order%20ready%20for%20pickup&amp;body=Dear%20PSW%2C%0A%0AYour%20order%20is%20ready%20for%20pickup%20from%20Sample%20Branch%2C%20Wed-Fri%209am-4pm.</v>
      </c>
      <c r="AF32" s="65" t="str">
        <f t="shared" si="10"/>
        <v>Draft email</v>
      </c>
      <c r="AG32" s="64" t="str">
        <f>IF($C32="","",IFERROR(INDEX('Staff Directory'!$K$595:$K$599,MATCH($C32,'Staff Directory'!$B$5:$B$599,0)),$D32))</f>
        <v>PSW</v>
      </c>
      <c r="AH32" t="str">
        <f>IF($C32="","",IFERROR(INDEX('Staff Directory'!$I$595:$I$599,MATCH($C32,'Staff Directory'!$B$5:$B$599,0))&amp;" "&amp;INDEX('Staff Directory'!$J$595:$J$599,MATCH($C32,'Staff Directory'!$B$5:$B$599,0)),$AG32))</f>
        <v>PSW</v>
      </c>
      <c r="AI32" s="102" t="s">
        <v>386</v>
      </c>
      <c r="AJ32" s="101">
        <f>IF($F32="","",SUMIFS($J$5:$J32,$F$5:$F32,$F32))</f>
        <v>480</v>
      </c>
      <c r="AK32" s="101">
        <f t="shared" si="3"/>
        <v>401</v>
      </c>
      <c r="AL32" s="66" t="str" cm="1">
        <f t="array" ref="AL32">IF($F32="","",IFERROR(INDEX('Lot Balance'!$B$5:$B$500,MATCH(1,INDEX(('Lot Balance'!$A$5:$A$500=$F32)*('Lot Balance'!$K$5:$K$500&lt;$AK32)*('Lot Balance'!$K$5:$K$500+'Lot Balance'!$D$5:$D$500&gt;=$AK32),0),0)),""))</f>
        <v>LYSL500290</v>
      </c>
      <c r="AM32" s="66" t="str" cm="1">
        <f t="array" ref="AM32">IF($F32="","",IFERROR(INDEX('Lot Balance'!$B$5:$B$500,MATCH(1,INDEX(('Lot Balance'!$A$5:$A$500=$F32)*('Lot Balance'!$K$5:$K$500&lt;$AJ32)*('Lot Balance'!$K$5:$K$500+'Lot Balance'!$D$5:$D$500&gt;=$AJ32),0),0)),""))</f>
        <v>LYSL500290</v>
      </c>
      <c r="AN32" s="66" t="str">
        <f>IF($F32="","",IF($AI32&lt;&gt;"",IF(COUNTIFS('Lot Balance'!$A$5:$A$500,$F32,'Lot Balance'!$B$5:$B$500,$AI32)=0,"⚠ override is not a lot of this item",IF($AI32=$AL32,"Override = FEFO","Override - FEFO says "&amp;$AL32)),IF($AL32="","⚠ no receipt on file for this item",IF($AM32&lt;&gt;$AL32,"FEFO auto - split, also "&amp;$AM32,"FEFO auto"))))</f>
        <v>Override = FEFO</v>
      </c>
      <c r="AO32" s="114"/>
    </row>
    <row r="33" spans="1:41" x14ac:dyDescent="0.35">
      <c r="A33" s="74">
        <v>46113</v>
      </c>
      <c r="B33" s="18" t="str">
        <f>IF($C33="","",IFERROR(INDEX('Staff Directory'!$A$5:$A$594,MATCH($C33,'Staff Directory'!$B$5:$B$594,0)),"⚠ unknown staff"))</f>
        <v>PSW-162-A6</v>
      </c>
      <c r="C33" s="49" t="s">
        <v>1141</v>
      </c>
      <c r="D33" s="19" t="str">
        <f>IF($B33="","",IFERROR(INDEX('Staff Directory'!$C$5:$C$594,MATCH($B33,'Staff Directory'!$A$5:$A$594,0)),""))</f>
        <v>PSW</v>
      </c>
      <c r="E33" s="19" t="str">
        <f>IF($B33="","",IFERROR(INDEX('Staff Directory'!$D$5:$D$594,MATCH($B33,'Staff Directory'!$A$5:$A$594,0)),""))</f>
        <v>A6</v>
      </c>
      <c r="F33" s="9" t="s">
        <v>129</v>
      </c>
      <c r="G33" s="18" t="str">
        <f>IF($F33="","",IFERROR(INDEX(Items!$B$5:$B$597,MATCH($F33,Items!$A$5:$A$597,0)),"⚠ not in Items"))</f>
        <v>Gloves</v>
      </c>
      <c r="H33" s="19" t="str">
        <f>IF($F33="","",IFERROR(INDEX(Items!$C$5:$C$597,MATCH($F33,Items!$A$5:$A$597,0)),""))</f>
        <v>Small</v>
      </c>
      <c r="I33" s="23">
        <f>IF($F33="","",IFERROR(INDEX(Items!$E$5:$E$597,MATCH($F33,Items!$A$5:$A$597,0)),""))</f>
        <v>500</v>
      </c>
      <c r="J33" s="115">
        <f>IF(tblIssues[[#This Row],[Qty Override]]&lt;&gt;"",tblIssues[[#This Row],[Qty Override]],IF(tblIssues[[#This Row],[Standard Issue]]="","",tblIssues[[#This Row],[Standard Issue]]))</f>
        <v>500</v>
      </c>
      <c r="K33" s="20">
        <f>IF($F33="","",IFERROR(INDEX(Items!$D$5:$D$597,MATCH($F33,Items!$A$5:$A$597,0)),""))</f>
        <v>5.5E-2</v>
      </c>
      <c r="L33" s="21">
        <f t="shared" si="4"/>
        <v>27.5</v>
      </c>
      <c r="M33" s="9" t="str">
        <f t="shared" si="5"/>
        <v>O210LIC25</v>
      </c>
      <c r="N33" s="24">
        <f>IF($A33="","",WORKDAY($A33,Settings!$C$9,HolidayDates))</f>
        <v>46121</v>
      </c>
      <c r="O33" s="24">
        <f>IF($N33="","",WORKDAY($N33,Settings!$C$10,HolidayDates))</f>
        <v>46161</v>
      </c>
      <c r="P33" s="10" t="s">
        <v>501</v>
      </c>
      <c r="Q33" s="52" t="str">
        <f t="shared" si="0"/>
        <v>Collected</v>
      </c>
      <c r="R33" s="55" t="str">
        <f t="shared" si="6"/>
        <v>2026-04</v>
      </c>
      <c r="S33" s="55">
        <f>IF(OR($B33="",$F33="",$R33=""),"",SUMIFS(tblIssues[Qty Issued],tblIssues[Staff ID],$B33,tblIssues[Item Name],$F33,tblIssues[Month],$R33))</f>
        <v>500</v>
      </c>
      <c r="T33" s="56">
        <f>IF($I33="","",$I33*Settings!$C$11)</f>
        <v>500</v>
      </c>
      <c r="U33" s="57" t="str">
        <f t="shared" si="7"/>
        <v>OK</v>
      </c>
      <c r="V33" s="55" t="str">
        <f t="shared" si="8"/>
        <v/>
      </c>
      <c r="W33" s="55" t="str">
        <f>IF($V33="","",IF(COUNTIF($V$5:$V33,$V33)=1,1,""))</f>
        <v/>
      </c>
      <c r="X33" s="58" t="str">
        <f>IF($W33="","",MAX($X$4:X32)+1)</f>
        <v/>
      </c>
      <c r="Y33" s="62"/>
      <c r="Z33" s="62"/>
      <c r="AA33" s="64" t="str">
        <f>IF($C33="","",IFERROR(INDEX('Staff Directory'!$E$5:$E$594,MATCH($C33,'Staff Directory'!$B$5:$B$594,0)),""))</f>
        <v>firstname225.lastname225@example.com</v>
      </c>
      <c r="AB33" s="64" t="str">
        <f>IF($C33="","",IF(ISNUMBER(SEARCH($D33,Settings!$C$15)),"Pickup","Dispatch"))</f>
        <v>Pickup</v>
      </c>
      <c r="AC33" s="64" t="str">
        <f t="shared" si="9"/>
        <v>Supply order ready for pickup</v>
      </c>
      <c r="AD33" s="64" t="str">
        <f t="shared" si="1"/>
        <v>Dear PSW,
Your order is ready for pickup from Sample Branch, Wed-Fri 9am-4pm.</v>
      </c>
      <c r="AE33" s="64" t="str">
        <f t="shared" si="2"/>
        <v>mailto:firstname225.lastname225@example.com?subject=Supply%20order%20ready%20for%20pickup&amp;body=Dear%20PSW%2C%0A%0AYour%20order%20is%20ready%20for%20pickup%20from%20Sample%20Branch%2C%20Wed-Fri%209am-4pm.</v>
      </c>
      <c r="AF33" s="65" t="str">
        <f t="shared" si="10"/>
        <v>Draft email</v>
      </c>
      <c r="AG33" s="64" t="str">
        <f>IF($C33="","",IFERROR(INDEX('Staff Directory'!$K$595:$K$599,MATCH($C33,'Staff Directory'!$B$5:$B$599,0)),$D33))</f>
        <v>PSW</v>
      </c>
      <c r="AH33" t="str">
        <f>IF($C33="","",IFERROR(INDEX('Staff Directory'!$I$595:$I$599,MATCH($C33,'Staff Directory'!$B$5:$B$599,0))&amp;" "&amp;INDEX('Staff Directory'!$J$595:$J$599,MATCH($C33,'Staff Directory'!$B$5:$B$599,0)),$AG33))</f>
        <v>PSW</v>
      </c>
      <c r="AI33" s="102" t="s">
        <v>428</v>
      </c>
      <c r="AJ33" s="101">
        <f>IF($F33="","",SUMIFS($J$5:$J33,$F$5:$F33,$F33))</f>
        <v>2000</v>
      </c>
      <c r="AK33" s="101">
        <f t="shared" si="3"/>
        <v>1501</v>
      </c>
      <c r="AL33" s="66" t="str" cm="1">
        <f t="array" ref="AL33">IF($F33="","",IFERROR(INDEX('Lot Balance'!$B$5:$B$500,MATCH(1,INDEX(('Lot Balance'!$A$5:$A$500=$F33)*('Lot Balance'!$K$5:$K$500&lt;$AK33)*('Lot Balance'!$K$5:$K$500+'Lot Balance'!$D$5:$D$500&gt;=$AK33),0),0)),""))</f>
        <v>ZIM512142069</v>
      </c>
      <c r="AM33" s="66" t="str" cm="1">
        <f t="array" ref="AM33">IF($F33="","",IFERROR(INDEX('Lot Balance'!$B$5:$B$500,MATCH(1,INDEX(('Lot Balance'!$A$5:$A$500=$F33)*('Lot Balance'!$K$5:$K$500&lt;$AJ33)*('Lot Balance'!$K$5:$K$500+'Lot Balance'!$D$5:$D$500&gt;=$AJ33),0),0)),""))</f>
        <v>ZIM512142069</v>
      </c>
      <c r="AN33" s="66" t="str">
        <f>IF($F33="","",IF($AI33&lt;&gt;"",IF(COUNTIFS('Lot Balance'!$A$5:$A$500,$F33,'Lot Balance'!$B$5:$B$500,$AI33)=0,"⚠ override is not a lot of this item",IF($AI33=$AL33,"Override = FEFO","Override - FEFO says "&amp;$AL33)),IF($AL33="","⚠ no receipt on file for this item",IF($AM33&lt;&gt;$AL33,"FEFO auto - split, also "&amp;$AM33,"FEFO auto"))))</f>
        <v>Override - FEFO says ZIM512142069</v>
      </c>
      <c r="AO33" s="114"/>
    </row>
    <row r="34" spans="1:41" x14ac:dyDescent="0.35">
      <c r="A34" s="74">
        <v>46113</v>
      </c>
      <c r="B34" s="18" t="str">
        <f>IF($C34="","",IFERROR(INDEX('Staff Directory'!$A$5:$A$594,MATCH($C34,'Staff Directory'!$B$5:$B$594,0)),"⚠ unknown staff"))</f>
        <v>PSW-162-A6</v>
      </c>
      <c r="C34" s="49" t="s">
        <v>1141</v>
      </c>
      <c r="D34" s="19" t="str">
        <f>IF($B34="","",IFERROR(INDEX('Staff Directory'!$C$5:$C$594,MATCH($B34,'Staff Directory'!$A$5:$A$594,0)),""))</f>
        <v>PSW</v>
      </c>
      <c r="E34" s="19" t="str">
        <f>IF($B34="","",IFERROR(INDEX('Staff Directory'!$D$5:$D$594,MATCH($B34,'Staff Directory'!$A$5:$A$594,0)),""))</f>
        <v>A6</v>
      </c>
      <c r="F34" s="9" t="s">
        <v>115</v>
      </c>
      <c r="G34" s="18" t="str">
        <f>IF($F34="","",IFERROR(INDEX(Items!$B$5:$B$597,MATCH($F34,Items!$A$5:$A$597,0)),"⚠ not in Items"))</f>
        <v>Wipes</v>
      </c>
      <c r="H34" s="19">
        <f>IF($F34="","",IFERROR(INDEX(Items!$C$5:$C$597,MATCH($F34,Items!$A$5:$A$597,0)),""))</f>
        <v>80</v>
      </c>
      <c r="I34" s="23">
        <f>IF($F34="","",IFERROR(INDEX(Items!$E$5:$E$597,MATCH($F34,Items!$A$5:$A$597,0)),""))</f>
        <v>80</v>
      </c>
      <c r="J34" s="115">
        <f>IF(tblIssues[[#This Row],[Qty Override]]&lt;&gt;"",tblIssues[[#This Row],[Qty Override]],IF(tblIssues[[#This Row],[Standard Issue]]="","",tblIssues[[#This Row],[Standard Issue]]))</f>
        <v>80</v>
      </c>
      <c r="K34" s="20">
        <f>IF($F34="","",IFERROR(INDEX(Items!$D$5:$D$597,MATCH($F34,Items!$A$5:$A$597,0)),""))</f>
        <v>0.1</v>
      </c>
      <c r="L34" s="21">
        <f t="shared" si="4"/>
        <v>8</v>
      </c>
      <c r="M34" s="9" t="str">
        <f t="shared" si="5"/>
        <v>LYSL500290</v>
      </c>
      <c r="N34" s="24">
        <f>IF($A34="","",WORKDAY($A34,Settings!$C$9,HolidayDates))</f>
        <v>46121</v>
      </c>
      <c r="O34" s="24">
        <f>IF($N34="","",WORKDAY($N34,Settings!$C$10,HolidayDates))</f>
        <v>46161</v>
      </c>
      <c r="P34" s="10" t="s">
        <v>501</v>
      </c>
      <c r="Q34" s="52" t="str">
        <f t="shared" si="0"/>
        <v>Collected</v>
      </c>
      <c r="R34" s="55" t="str">
        <f t="shared" si="6"/>
        <v>2026-04</v>
      </c>
      <c r="S34" s="55">
        <f>IF(OR($B34="",$F34="",$R34=""),"",SUMIFS(tblIssues[Qty Issued],tblIssues[Staff ID],$B34,tblIssues[Item Name],$F34,tblIssues[Month],$R34))</f>
        <v>80</v>
      </c>
      <c r="T34" s="56">
        <f>IF($I34="","",$I34*Settings!$C$11)</f>
        <v>80</v>
      </c>
      <c r="U34" s="57" t="str">
        <f t="shared" si="7"/>
        <v>OK</v>
      </c>
      <c r="V34" s="55" t="str">
        <f t="shared" si="8"/>
        <v/>
      </c>
      <c r="W34" s="55" t="str">
        <f>IF($V34="","",IF(COUNTIF($V$5:$V34,$V34)=1,1,""))</f>
        <v/>
      </c>
      <c r="X34" s="58" t="str">
        <f>IF($W34="","",MAX($X$4:X33)+1)</f>
        <v/>
      </c>
      <c r="Y34" s="62"/>
      <c r="Z34" s="62"/>
      <c r="AA34" s="64" t="str">
        <f>IF($C34="","",IFERROR(INDEX('Staff Directory'!$E$5:$E$594,MATCH($C34,'Staff Directory'!$B$5:$B$594,0)),""))</f>
        <v>firstname225.lastname225@example.com</v>
      </c>
      <c r="AB34" s="64" t="str">
        <f>IF($C34="","",IF(ISNUMBER(SEARCH($D34,Settings!$C$15)),"Pickup","Dispatch"))</f>
        <v>Pickup</v>
      </c>
      <c r="AC34" s="64" t="str">
        <f t="shared" si="9"/>
        <v>Supply order ready for pickup</v>
      </c>
      <c r="AD34" s="64" t="str">
        <f t="shared" si="1"/>
        <v>Dear PSW,
Your order is ready for pickup from Sample Branch, Wed-Fri 9am-4pm.</v>
      </c>
      <c r="AE34" s="64" t="str">
        <f t="shared" si="2"/>
        <v>mailto:firstname225.lastname225@example.com?subject=Supply%20order%20ready%20for%20pickup&amp;body=Dear%20PSW%2C%0A%0AYour%20order%20is%20ready%20for%20pickup%20from%20Sample%20Branch%2C%20Wed-Fri%209am-4pm.</v>
      </c>
      <c r="AF34" s="65" t="str">
        <f t="shared" si="10"/>
        <v>Draft email</v>
      </c>
      <c r="AG34" s="64" t="str">
        <f>IF($C34="","",IFERROR(INDEX('Staff Directory'!$K$595:$K$599,MATCH($C34,'Staff Directory'!$B$5:$B$599,0)),$D34))</f>
        <v>PSW</v>
      </c>
      <c r="AH34" t="str">
        <f>IF($C34="","",IFERROR(INDEX('Staff Directory'!$I$595:$I$599,MATCH($C34,'Staff Directory'!$B$5:$B$599,0))&amp;" "&amp;INDEX('Staff Directory'!$J$595:$J$599,MATCH($C34,'Staff Directory'!$B$5:$B$599,0)),$AG34))</f>
        <v>PSW</v>
      </c>
      <c r="AI34" s="102" t="s">
        <v>386</v>
      </c>
      <c r="AJ34" s="101">
        <f>IF($F34="","",SUMIFS($J$5:$J34,$F$5:$F34,$F34))</f>
        <v>560</v>
      </c>
      <c r="AK34" s="101">
        <f t="shared" si="3"/>
        <v>481</v>
      </c>
      <c r="AL34" s="66" t="str" cm="1">
        <f t="array" ref="AL34">IF($F34="","",IFERROR(INDEX('Lot Balance'!$B$5:$B$500,MATCH(1,INDEX(('Lot Balance'!$A$5:$A$500=$F34)*('Lot Balance'!$K$5:$K$500&lt;$AK34)*('Lot Balance'!$K$5:$K$500+'Lot Balance'!$D$5:$D$500&gt;=$AK34),0),0)),""))</f>
        <v>LYSL500290</v>
      </c>
      <c r="AM34" s="66" t="str" cm="1">
        <f t="array" ref="AM34">IF($F34="","",IFERROR(INDEX('Lot Balance'!$B$5:$B$500,MATCH(1,INDEX(('Lot Balance'!$A$5:$A$500=$F34)*('Lot Balance'!$K$5:$K$500&lt;$AJ34)*('Lot Balance'!$K$5:$K$500+'Lot Balance'!$D$5:$D$500&gt;=$AJ34),0),0)),""))</f>
        <v>LYSL500290</v>
      </c>
      <c r="AN34" s="66" t="str">
        <f>IF($F34="","",IF($AI34&lt;&gt;"",IF(COUNTIFS('Lot Balance'!$A$5:$A$500,$F34,'Lot Balance'!$B$5:$B$500,$AI34)=0,"⚠ override is not a lot of this item",IF($AI34=$AL34,"Override = FEFO","Override - FEFO says "&amp;$AL34)),IF($AL34="","⚠ no receipt on file for this item",IF($AM34&lt;&gt;$AL34,"FEFO auto - split, also "&amp;$AM34,"FEFO auto"))))</f>
        <v>Override = FEFO</v>
      </c>
      <c r="AO34" s="114"/>
    </row>
    <row r="35" spans="1:41" x14ac:dyDescent="0.35">
      <c r="A35" s="74">
        <v>46113</v>
      </c>
      <c r="B35" s="18" t="str">
        <f>IF($C35="","",IFERROR(INDEX('Staff Directory'!$A$5:$A$594,MATCH($C35,'Staff Directory'!$B$5:$B$594,0)),"⚠ unknown staff"))</f>
        <v>PSW-162-A6</v>
      </c>
      <c r="C35" s="49" t="s">
        <v>1141</v>
      </c>
      <c r="D35" s="19" t="str">
        <f>IF($B35="","",IFERROR(INDEX('Staff Directory'!$C$5:$C$594,MATCH($B35,'Staff Directory'!$A$5:$A$594,0)),""))</f>
        <v>PSW</v>
      </c>
      <c r="E35" s="19" t="str">
        <f>IF($B35="","",IFERROR(INDEX('Staff Directory'!$D$5:$D$594,MATCH($B35,'Staff Directory'!$A$5:$A$594,0)),""))</f>
        <v>A6</v>
      </c>
      <c r="F35" s="9" t="s">
        <v>156</v>
      </c>
      <c r="G35" s="18" t="str">
        <f>IF($F35="","",IFERROR(INDEX(Items!$B$5:$B$597,MATCH($F35,Items!$A$5:$A$597,0)),"⚠ not in Items"))</f>
        <v>Masks</v>
      </c>
      <c r="H35" s="19" t="str">
        <f>IF($F35="","",IFERROR(INDEX(Items!$C$5:$C$597,MATCH($F35,Items!$A$5:$A$597,0)),""))</f>
        <v>One Size</v>
      </c>
      <c r="I35" s="23">
        <f>IF($F35="","",IFERROR(INDEX(Items!$E$5:$E$597,MATCH($F35,Items!$A$5:$A$597,0)),""))</f>
        <v>50</v>
      </c>
      <c r="J35" s="115">
        <f>IF(tblIssues[[#This Row],[Qty Override]]&lt;&gt;"",tblIssues[[#This Row],[Qty Override]],IF(tblIssues[[#This Row],[Standard Issue]]="","",tblIssues[[#This Row],[Standard Issue]]))</f>
        <v>50</v>
      </c>
      <c r="K35" s="20">
        <f>IF($F35="","",IFERROR(INDEX(Items!$D$5:$D$597,MATCH($F35,Items!$A$5:$A$597,0)),""))</f>
        <v>0.25</v>
      </c>
      <c r="L35" s="21">
        <f t="shared" si="4"/>
        <v>12.5</v>
      </c>
      <c r="M35" s="9" t="str">
        <f t="shared" si="5"/>
        <v>0125FPC24-0</v>
      </c>
      <c r="N35" s="24">
        <f>IF($A35="","",WORKDAY($A35,Settings!$C$9,HolidayDates))</f>
        <v>46121</v>
      </c>
      <c r="O35" s="24">
        <f>IF($N35="","",WORKDAY($N35,Settings!$C$10,HolidayDates))</f>
        <v>46161</v>
      </c>
      <c r="P35" s="10" t="s">
        <v>501</v>
      </c>
      <c r="Q35" s="52" t="str">
        <f t="shared" si="0"/>
        <v>Collected</v>
      </c>
      <c r="R35" s="55" t="str">
        <f t="shared" si="6"/>
        <v>2026-04</v>
      </c>
      <c r="S35" s="55">
        <f>IF(OR($B35="",$F35="",$R35=""),"",SUMIFS(tblIssues[Qty Issued],tblIssues[Staff ID],$B35,tblIssues[Item Name],$F35,tblIssues[Month],$R35))</f>
        <v>50</v>
      </c>
      <c r="T35" s="56">
        <f>IF($I35="","",$I35*Settings!$C$11)</f>
        <v>50</v>
      </c>
      <c r="U35" s="57" t="str">
        <f t="shared" si="7"/>
        <v>OK</v>
      </c>
      <c r="V35" s="55" t="str">
        <f t="shared" si="8"/>
        <v/>
      </c>
      <c r="W35" s="55" t="str">
        <f>IF($V35="","",IF(COUNTIF($V$5:$V35,$V35)=1,1,""))</f>
        <v/>
      </c>
      <c r="X35" s="58" t="str">
        <f>IF($W35="","",MAX($X$4:X34)+1)</f>
        <v/>
      </c>
      <c r="Y35" s="62"/>
      <c r="Z35" s="62"/>
      <c r="AA35" s="64" t="str">
        <f>IF($C35="","",IFERROR(INDEX('Staff Directory'!$E$5:$E$594,MATCH($C35,'Staff Directory'!$B$5:$B$594,0)),""))</f>
        <v>firstname225.lastname225@example.com</v>
      </c>
      <c r="AB35" s="64" t="str">
        <f>IF($C35="","",IF(ISNUMBER(SEARCH($D35,Settings!$C$15)),"Pickup","Dispatch"))</f>
        <v>Pickup</v>
      </c>
      <c r="AC35" s="64" t="str">
        <f t="shared" si="9"/>
        <v>Supply order ready for pickup</v>
      </c>
      <c r="AD35" s="64" t="str">
        <f t="shared" si="1"/>
        <v>Dear PSW,
Your order is ready for pickup from Sample Branch, Wed-Fri 9am-4pm.</v>
      </c>
      <c r="AE35" s="64" t="str">
        <f t="shared" si="2"/>
        <v>mailto:firstname225.lastname225@example.com?subject=Supply%20order%20ready%20for%20pickup&amp;body=Dear%20PSW%2C%0A%0AYour%20order%20is%20ready%20for%20pickup%20from%20Sample%20Branch%2C%20Wed-Fri%209am-4pm.</v>
      </c>
      <c r="AF35" s="65" t="str">
        <f t="shared" si="10"/>
        <v>Draft email</v>
      </c>
      <c r="AG35" s="64" t="str">
        <f>IF($C35="","",IFERROR(INDEX('Staff Directory'!$K$595:$K$599,MATCH($C35,'Staff Directory'!$B$5:$B$599,0)),$D35))</f>
        <v>PSW</v>
      </c>
      <c r="AH35" t="str">
        <f>IF($C35="","",IFERROR(INDEX('Staff Directory'!$I$595:$I$599,MATCH($C35,'Staff Directory'!$B$5:$B$599,0))&amp;" "&amp;INDEX('Staff Directory'!$J$595:$J$599,MATCH($C35,'Staff Directory'!$B$5:$B$599,0)),$AG35))</f>
        <v>PSW</v>
      </c>
      <c r="AI35" s="102" t="s">
        <v>474</v>
      </c>
      <c r="AJ35" s="101">
        <f>IF($F35="","",SUMIFS($J$5:$J35,$F$5:$F35,$F35))</f>
        <v>350</v>
      </c>
      <c r="AK35" s="101">
        <f t="shared" si="3"/>
        <v>301</v>
      </c>
      <c r="AL35" s="66" t="str" cm="1">
        <f t="array" ref="AL35">IF($F35="","",IFERROR(INDEX('Lot Balance'!$B$5:$B$500,MATCH(1,INDEX(('Lot Balance'!$A$5:$A$500=$F35)*('Lot Balance'!$K$5:$K$500&lt;$AK35)*('Lot Balance'!$K$5:$K$500+'Lot Balance'!$D$5:$D$500&gt;=$AK35),0),0)),""))</f>
        <v>0125FPC24-0</v>
      </c>
      <c r="AM35" s="66" t="str" cm="1">
        <f t="array" ref="AM35">IF($F35="","",IFERROR(INDEX('Lot Balance'!$B$5:$B$500,MATCH(1,INDEX(('Lot Balance'!$A$5:$A$500=$F35)*('Lot Balance'!$K$5:$K$500&lt;$AJ35)*('Lot Balance'!$K$5:$K$500+'Lot Balance'!$D$5:$D$500&gt;=$AJ35),0),0)),""))</f>
        <v>0125FPC24-0</v>
      </c>
      <c r="AN35" s="66" t="str">
        <f>IF($F35="","",IF($AI35&lt;&gt;"",IF(COUNTIFS('Lot Balance'!$A$5:$A$500,$F35,'Lot Balance'!$B$5:$B$500,$AI35)=0,"⚠ override is not a lot of this item",IF($AI35=$AL35,"Override = FEFO","Override - FEFO says "&amp;$AL35)),IF($AL35="","⚠ no receipt on file for this item",IF($AM35&lt;&gt;$AL35,"FEFO auto - split, also "&amp;$AM35,"FEFO auto"))))</f>
        <v>Override = FEFO</v>
      </c>
      <c r="AO35" s="114"/>
    </row>
    <row r="36" spans="1:41" x14ac:dyDescent="0.35">
      <c r="A36" s="74">
        <v>46113</v>
      </c>
      <c r="B36" s="18" t="str">
        <f>IF($C36="","",IFERROR(INDEX('Staff Directory'!$A$5:$A$594,MATCH($C36,'Staff Directory'!$B$5:$B$594,0)),"⚠ unknown staff"))</f>
        <v>PSW-171-A4</v>
      </c>
      <c r="C36" s="49" t="s">
        <v>1150</v>
      </c>
      <c r="D36" s="19" t="str">
        <f>IF($B36="","",IFERROR(INDEX('Staff Directory'!$C$5:$C$594,MATCH($B36,'Staff Directory'!$A$5:$A$594,0)),""))</f>
        <v>PSW</v>
      </c>
      <c r="E36" s="19" t="str">
        <f>IF($B36="","",IFERROR(INDEX('Staff Directory'!$D$5:$D$594,MATCH($B36,'Staff Directory'!$A$5:$A$594,0)),""))</f>
        <v>A4</v>
      </c>
      <c r="F36" s="9" t="s">
        <v>127</v>
      </c>
      <c r="G36" s="18" t="str">
        <f>IF($F36="","",IFERROR(INDEX(Items!$B$5:$B$597,MATCH($F36,Items!$A$5:$A$597,0)),"⚠ not in Items"))</f>
        <v>Gloves</v>
      </c>
      <c r="H36" s="19" t="str">
        <f>IF($F36="","",IFERROR(INDEX(Items!$C$5:$C$597,MATCH($F36,Items!$A$5:$A$597,0)),""))</f>
        <v>Medium</v>
      </c>
      <c r="I36" s="23">
        <f>IF($F36="","",IFERROR(INDEX(Items!$E$5:$E$597,MATCH($F36,Items!$A$5:$A$597,0)),""))</f>
        <v>500</v>
      </c>
      <c r="J36" s="115">
        <f>IF(tblIssues[[#This Row],[Qty Override]]&lt;&gt;"",tblIssues[[#This Row],[Qty Override]],IF(tblIssues[[#This Row],[Standard Issue]]="","",tblIssues[[#This Row],[Standard Issue]]))</f>
        <v>500</v>
      </c>
      <c r="K36" s="20">
        <f>IF($F36="","",IFERROR(INDEX(Items!$D$5:$D$597,MATCH($F36,Items!$A$5:$A$597,0)),""))</f>
        <v>5.5E-2</v>
      </c>
      <c r="L36" s="21">
        <f t="shared" si="4"/>
        <v>27.5</v>
      </c>
      <c r="M36" s="9" t="str">
        <f t="shared" si="5"/>
        <v>O17104</v>
      </c>
      <c r="N36" s="24">
        <f>IF($A36="","",WORKDAY($A36,Settings!$C$9,HolidayDates))</f>
        <v>46121</v>
      </c>
      <c r="O36" s="24">
        <f>IF($N36="","",WORKDAY($N36,Settings!$C$10,HolidayDates))</f>
        <v>46161</v>
      </c>
      <c r="P36" s="10" t="s">
        <v>501</v>
      </c>
      <c r="Q36" s="52" t="str">
        <f t="shared" si="0"/>
        <v>Collected</v>
      </c>
      <c r="R36" s="55" t="str">
        <f t="shared" si="6"/>
        <v>2026-04</v>
      </c>
      <c r="S36" s="55">
        <f>IF(OR($B36="",$F36="",$R36=""),"",SUMIFS(tblIssues[Qty Issued],tblIssues[Staff ID],$B36,tblIssues[Item Name],$F36,tblIssues[Month],$R36))</f>
        <v>500</v>
      </c>
      <c r="T36" s="56">
        <f>IF($I36="","",$I36*Settings!$C$11)</f>
        <v>500</v>
      </c>
      <c r="U36" s="57" t="str">
        <f t="shared" si="7"/>
        <v>OK</v>
      </c>
      <c r="V36" s="55" t="str">
        <f t="shared" si="8"/>
        <v/>
      </c>
      <c r="W36" s="55" t="str">
        <f>IF($V36="","",IF(COUNTIF($V$5:$V36,$V36)=1,1,""))</f>
        <v/>
      </c>
      <c r="X36" s="58" t="str">
        <f>IF($W36="","",MAX($X$4:X35)+1)</f>
        <v/>
      </c>
      <c r="Y36" s="62"/>
      <c r="Z36" s="62"/>
      <c r="AA36" s="64" t="str">
        <f>IF($C36="","",IFERROR(INDEX('Staff Directory'!$E$5:$E$594,MATCH($C36,'Staff Directory'!$B$5:$B$594,0)),""))</f>
        <v>firstname234.lastname234@example.com</v>
      </c>
      <c r="AB36" s="64" t="str">
        <f>IF($C36="","",IF(ISNUMBER(SEARCH($D36,Settings!$C$15)),"Pickup","Dispatch"))</f>
        <v>Pickup</v>
      </c>
      <c r="AC36" s="64" t="str">
        <f t="shared" si="9"/>
        <v>Supply order ready for pickup</v>
      </c>
      <c r="AD36" s="64" t="str">
        <f t="shared" si="1"/>
        <v>Dear PSW,
Your order is ready for pickup from Sample Branch, Wed-Fri 9am-4pm.</v>
      </c>
      <c r="AE36" s="64" t="str">
        <f t="shared" si="2"/>
        <v>mailto:firstname234.lastname234@example.com?subject=Supply%20order%20ready%20for%20pickup&amp;body=Dear%20PSW%2C%0A%0AYour%20order%20is%20ready%20for%20pickup%20from%20Sample%20Branch%2C%20Wed-Fri%209am-4pm.</v>
      </c>
      <c r="AF36" s="65" t="str">
        <f t="shared" si="10"/>
        <v>Draft email</v>
      </c>
      <c r="AG36" s="64" t="str">
        <f>IF($C36="","",IFERROR(INDEX('Staff Directory'!$K$595:$K$599,MATCH($C36,'Staff Directory'!$B$5:$B$599,0)),$D36))</f>
        <v>PSW</v>
      </c>
      <c r="AH36" t="str">
        <f>IF($C36="","",IFERROR(INDEX('Staff Directory'!$I$595:$I$599,MATCH($C36,'Staff Directory'!$B$5:$B$599,0))&amp;" "&amp;INDEX('Staff Directory'!$J$595:$J$599,MATCH($C36,'Staff Directory'!$B$5:$B$599,0)),$AG36))</f>
        <v>PSW</v>
      </c>
      <c r="AI36" s="102" t="s">
        <v>415</v>
      </c>
      <c r="AJ36" s="101">
        <f>IF($F36="","",SUMIFS($J$5:$J36,$F$5:$F36,$F36))</f>
        <v>2000</v>
      </c>
      <c r="AK36" s="101">
        <f t="shared" si="3"/>
        <v>1501</v>
      </c>
      <c r="AL36" s="66" t="str" cm="1">
        <f t="array" ref="AL36">IF($F36="","",IFERROR(INDEX('Lot Balance'!$B$5:$B$500,MATCH(1,INDEX(('Lot Balance'!$A$5:$A$500=$F36)*('Lot Balance'!$K$5:$K$500&lt;$AK36)*('Lot Balance'!$K$5:$K$500+'Lot Balance'!$D$5:$D$500&gt;=$AK36),0),0)),""))</f>
        <v>O17104</v>
      </c>
      <c r="AM36" s="66" t="str" cm="1">
        <f t="array" ref="AM36">IF($F36="","",IFERROR(INDEX('Lot Balance'!$B$5:$B$500,MATCH(1,INDEX(('Lot Balance'!$A$5:$A$500=$F36)*('Lot Balance'!$K$5:$K$500&lt;$AJ36)*('Lot Balance'!$K$5:$K$500+'Lot Balance'!$D$5:$D$500&gt;=$AJ36),0),0)),""))</f>
        <v>O17104</v>
      </c>
      <c r="AN36" s="66" t="str">
        <f>IF($F36="","",IF($AI36&lt;&gt;"",IF(COUNTIFS('Lot Balance'!$A$5:$A$500,$F36,'Lot Balance'!$B$5:$B$500,$AI36)=0,"⚠ override is not a lot of this item",IF($AI36=$AL36,"Override = FEFO","Override - FEFO says "&amp;$AL36)),IF($AL36="","⚠ no receipt on file for this item",IF($AM36&lt;&gt;$AL36,"FEFO auto - split, also "&amp;$AM36,"FEFO auto"))))</f>
        <v>Override = FEFO</v>
      </c>
      <c r="AO36" s="114"/>
    </row>
    <row r="37" spans="1:41" x14ac:dyDescent="0.35">
      <c r="A37" s="74">
        <v>46113</v>
      </c>
      <c r="B37" s="18" t="str">
        <f>IF($C37="","",IFERROR(INDEX('Staff Directory'!$A$5:$A$594,MATCH($C37,'Staff Directory'!$B$5:$B$594,0)),"⚠ unknown staff"))</f>
        <v>PSW-171-A4</v>
      </c>
      <c r="C37" s="49" t="s">
        <v>1150</v>
      </c>
      <c r="D37" s="19" t="str">
        <f>IF($B37="","",IFERROR(INDEX('Staff Directory'!$C$5:$C$594,MATCH($B37,'Staff Directory'!$A$5:$A$594,0)),""))</f>
        <v>PSW</v>
      </c>
      <c r="E37" s="19" t="str">
        <f>IF($B37="","",IFERROR(INDEX('Staff Directory'!$D$5:$D$594,MATCH($B37,'Staff Directory'!$A$5:$A$594,0)),""))</f>
        <v>A4</v>
      </c>
      <c r="F37" s="9" t="s">
        <v>137</v>
      </c>
      <c r="G37" s="18" t="str">
        <f>IF($F37="","",IFERROR(INDEX(Items!$B$5:$B$597,MATCH($F37,Items!$A$5:$A$597,0)),"⚠ not in Items"))</f>
        <v>Sanitizer</v>
      </c>
      <c r="H37" s="19" t="str">
        <f>IF($F37="","",IFERROR(INDEX(Items!$C$5:$C$597,MATCH($F37,Items!$A$5:$A$597,0)),""))</f>
        <v>118 ML</v>
      </c>
      <c r="I37" s="23">
        <f>IF($F37="","",IFERROR(INDEX(Items!$E$5:$E$597,MATCH($F37,Items!$A$5:$A$597,0)),""))</f>
        <v>2</v>
      </c>
      <c r="J37" s="115">
        <f>IF(tblIssues[[#This Row],[Qty Override]]&lt;&gt;"",tblIssues[[#This Row],[Qty Override]],IF(tblIssues[[#This Row],[Standard Issue]]="","",tblIssues[[#This Row],[Standard Issue]]))</f>
        <v>2</v>
      </c>
      <c r="K37" s="20">
        <f>IF($F37="","",IFERROR(INDEX(Items!$D$5:$D$597,MATCH($F37,Items!$A$5:$A$597,0)),""))</f>
        <v>4.49</v>
      </c>
      <c r="L37" s="21">
        <f t="shared" si="4"/>
        <v>8.98</v>
      </c>
      <c r="M37" s="9" t="str">
        <f t="shared" si="5"/>
        <v>563963-5</v>
      </c>
      <c r="N37" s="24">
        <f>IF($A37="","",WORKDAY($A37,Settings!$C$9,HolidayDates))</f>
        <v>46121</v>
      </c>
      <c r="O37" s="24">
        <f>IF($N37="","",WORKDAY($N37,Settings!$C$10,HolidayDates))</f>
        <v>46161</v>
      </c>
      <c r="P37" s="10" t="s">
        <v>501</v>
      </c>
      <c r="Q37" s="52" t="str">
        <f t="shared" si="0"/>
        <v>Collected</v>
      </c>
      <c r="R37" s="55" t="str">
        <f t="shared" si="6"/>
        <v>2026-04</v>
      </c>
      <c r="S37" s="55">
        <f>IF(OR($B37="",$F37="",$R37=""),"",SUMIFS(tblIssues[Qty Issued],tblIssues[Staff ID],$B37,tblIssues[Item Name],$F37,tblIssues[Month],$R37))</f>
        <v>2</v>
      </c>
      <c r="T37" s="56">
        <f>IF($I37="","",$I37*Settings!$C$11)</f>
        <v>2</v>
      </c>
      <c r="U37" s="57" t="str">
        <f t="shared" si="7"/>
        <v>OK</v>
      </c>
      <c r="V37" s="55" t="str">
        <f t="shared" si="8"/>
        <v/>
      </c>
      <c r="W37" s="55" t="str">
        <f>IF($V37="","",IF(COUNTIF($V$5:$V37,$V37)=1,1,""))</f>
        <v/>
      </c>
      <c r="X37" s="58" t="str">
        <f>IF($W37="","",MAX($X$4:X36)+1)</f>
        <v/>
      </c>
      <c r="Y37" s="62"/>
      <c r="Z37" s="62"/>
      <c r="AA37" s="64" t="str">
        <f>IF($C37="","",IFERROR(INDEX('Staff Directory'!$E$5:$E$594,MATCH($C37,'Staff Directory'!$B$5:$B$594,0)),""))</f>
        <v>firstname234.lastname234@example.com</v>
      </c>
      <c r="AB37" s="64" t="str">
        <f>IF($C37="","",IF(ISNUMBER(SEARCH($D37,Settings!$C$15)),"Pickup","Dispatch"))</f>
        <v>Pickup</v>
      </c>
      <c r="AC37" s="64" t="str">
        <f t="shared" si="9"/>
        <v>Supply order ready for pickup</v>
      </c>
      <c r="AD37" s="64" t="str">
        <f t="shared" si="1"/>
        <v>Dear PSW,
Your order is ready for pickup from Sample Branch, Wed-Fri 9am-4pm.</v>
      </c>
      <c r="AE37" s="64" t="str">
        <f t="shared" si="2"/>
        <v>mailto:firstname234.lastname234@example.com?subject=Supply%20order%20ready%20for%20pickup&amp;body=Dear%20PSW%2C%0A%0AYour%20order%20is%20ready%20for%20pickup%20from%20Sample%20Branch%2C%20Wed-Fri%209am-4pm.</v>
      </c>
      <c r="AF37" s="65" t="str">
        <f t="shared" si="10"/>
        <v>Draft email</v>
      </c>
      <c r="AG37" s="64" t="str">
        <f>IF($C37="","",IFERROR(INDEX('Staff Directory'!$K$595:$K$599,MATCH($C37,'Staff Directory'!$B$5:$B$599,0)),$D37))</f>
        <v>PSW</v>
      </c>
      <c r="AH37" t="str">
        <f>IF($C37="","",IFERROR(INDEX('Staff Directory'!$I$595:$I$599,MATCH($C37,'Staff Directory'!$B$5:$B$599,0))&amp;" "&amp;INDEX('Staff Directory'!$J$595:$J$599,MATCH($C37,'Staff Directory'!$B$5:$B$599,0)),$AG37))</f>
        <v>PSW</v>
      </c>
      <c r="AI37" s="102" t="s">
        <v>456</v>
      </c>
      <c r="AJ37" s="101">
        <f>IF($F37="","",SUMIFS($J$5:$J37,$F$5:$F37,$F37))</f>
        <v>12</v>
      </c>
      <c r="AK37" s="101">
        <f t="shared" si="3"/>
        <v>11</v>
      </c>
      <c r="AL37" s="66" t="str" cm="1">
        <f t="array" ref="AL37">IF($F37="","",IFERROR(INDEX('Lot Balance'!$B$5:$B$500,MATCH(1,INDEX(('Lot Balance'!$A$5:$A$500=$F37)*('Lot Balance'!$K$5:$K$500&lt;$AK37)*('Lot Balance'!$K$5:$K$500+'Lot Balance'!$D$5:$D$500&gt;=$AK37),0),0)),""))</f>
        <v>563963-4</v>
      </c>
      <c r="AM37" s="66" t="str" cm="1">
        <f t="array" ref="AM37">IF($F37="","",IFERROR(INDEX('Lot Balance'!$B$5:$B$500,MATCH(1,INDEX(('Lot Balance'!$A$5:$A$500=$F37)*('Lot Balance'!$K$5:$K$500&lt;$AJ37)*('Lot Balance'!$K$5:$K$500+'Lot Balance'!$D$5:$D$500&gt;=$AJ37),0),0)),""))</f>
        <v>563963-5</v>
      </c>
      <c r="AN37" s="66" t="str">
        <f>IF($F37="","",IF($AI37&lt;&gt;"",IF(COUNTIFS('Lot Balance'!$A$5:$A$500,$F37,'Lot Balance'!$B$5:$B$500,$AI37)=0,"⚠ override is not a lot of this item",IF($AI37=$AL37,"Override = FEFO","Override - FEFO says "&amp;$AL37)),IF($AL37="","⚠ no receipt on file for this item",IF($AM37&lt;&gt;$AL37,"FEFO auto - split, also "&amp;$AM37,"FEFO auto"))))</f>
        <v>Override - FEFO says 563963-4</v>
      </c>
      <c r="AO37" s="114"/>
    </row>
    <row r="38" spans="1:41" x14ac:dyDescent="0.35">
      <c r="A38" s="74">
        <v>46113</v>
      </c>
      <c r="B38" s="18" t="str">
        <f>IF($C38="","",IFERROR(INDEX('Staff Directory'!$A$5:$A$594,MATCH($C38,'Staff Directory'!$B$5:$B$594,0)),"⚠ unknown staff"))</f>
        <v>PSW-171-A4</v>
      </c>
      <c r="C38" s="49" t="s">
        <v>1150</v>
      </c>
      <c r="D38" s="19" t="str">
        <f>IF($B38="","",IFERROR(INDEX('Staff Directory'!$C$5:$C$594,MATCH($B38,'Staff Directory'!$A$5:$A$594,0)),""))</f>
        <v>PSW</v>
      </c>
      <c r="E38" s="19" t="str">
        <f>IF($B38="","",IFERROR(INDEX('Staff Directory'!$D$5:$D$594,MATCH($B38,'Staff Directory'!$A$5:$A$594,0)),""))</f>
        <v>A4</v>
      </c>
      <c r="F38" s="9" t="s">
        <v>115</v>
      </c>
      <c r="G38" s="18" t="str">
        <f>IF($F38="","",IFERROR(INDEX(Items!$B$5:$B$597,MATCH($F38,Items!$A$5:$A$597,0)),"⚠ not in Items"))</f>
        <v>Wipes</v>
      </c>
      <c r="H38" s="19">
        <f>IF($F38="","",IFERROR(INDEX(Items!$C$5:$C$597,MATCH($F38,Items!$A$5:$A$597,0)),""))</f>
        <v>80</v>
      </c>
      <c r="I38" s="23">
        <f>IF($F38="","",IFERROR(INDEX(Items!$E$5:$E$597,MATCH($F38,Items!$A$5:$A$597,0)),""))</f>
        <v>80</v>
      </c>
      <c r="J38" s="115">
        <f>IF(tblIssues[[#This Row],[Qty Override]]&lt;&gt;"",tblIssues[[#This Row],[Qty Override]],IF(tblIssues[[#This Row],[Standard Issue]]="","",tblIssues[[#This Row],[Standard Issue]]))</f>
        <v>80</v>
      </c>
      <c r="K38" s="20">
        <f>IF($F38="","",IFERROR(INDEX(Items!$D$5:$D$597,MATCH($F38,Items!$A$5:$A$597,0)),""))</f>
        <v>0.1</v>
      </c>
      <c r="L38" s="21">
        <f t="shared" si="4"/>
        <v>8</v>
      </c>
      <c r="M38" s="9" t="str">
        <f t="shared" si="5"/>
        <v>LYSL500290</v>
      </c>
      <c r="N38" s="24">
        <f>IF($A38="","",WORKDAY($A38,Settings!$C$9,HolidayDates))</f>
        <v>46121</v>
      </c>
      <c r="O38" s="24">
        <f>IF($N38="","",WORKDAY($N38,Settings!$C$10,HolidayDates))</f>
        <v>46161</v>
      </c>
      <c r="P38" s="10" t="s">
        <v>501</v>
      </c>
      <c r="Q38" s="52" t="str">
        <f t="shared" si="0"/>
        <v>Collected</v>
      </c>
      <c r="R38" s="55" t="str">
        <f t="shared" si="6"/>
        <v>2026-04</v>
      </c>
      <c r="S38" s="55">
        <f>IF(OR($B38="",$F38="",$R38=""),"",SUMIFS(tblIssues[Qty Issued],tblIssues[Staff ID],$B38,tblIssues[Item Name],$F38,tblIssues[Month],$R38))</f>
        <v>80</v>
      </c>
      <c r="T38" s="56">
        <f>IF($I38="","",$I38*Settings!$C$11)</f>
        <v>80</v>
      </c>
      <c r="U38" s="57" t="str">
        <f t="shared" si="7"/>
        <v>OK</v>
      </c>
      <c r="V38" s="55" t="str">
        <f t="shared" si="8"/>
        <v/>
      </c>
      <c r="W38" s="55" t="str">
        <f>IF($V38="","",IF(COUNTIF($V$5:$V38,$V38)=1,1,""))</f>
        <v/>
      </c>
      <c r="X38" s="58" t="str">
        <f>IF($W38="","",MAX($X$4:X37)+1)</f>
        <v/>
      </c>
      <c r="Y38" s="62"/>
      <c r="Z38" s="62"/>
      <c r="AA38" s="64" t="str">
        <f>IF($C38="","",IFERROR(INDEX('Staff Directory'!$E$5:$E$594,MATCH($C38,'Staff Directory'!$B$5:$B$594,0)),""))</f>
        <v>firstname234.lastname234@example.com</v>
      </c>
      <c r="AB38" s="64" t="str">
        <f>IF($C38="","",IF(ISNUMBER(SEARCH($D38,Settings!$C$15)),"Pickup","Dispatch"))</f>
        <v>Pickup</v>
      </c>
      <c r="AC38" s="64" t="str">
        <f t="shared" si="9"/>
        <v>Supply order ready for pickup</v>
      </c>
      <c r="AD38" s="64" t="str">
        <f t="shared" si="1"/>
        <v>Dear PSW,
Your order is ready for pickup from Sample Branch, Wed-Fri 9am-4pm.</v>
      </c>
      <c r="AE38" s="64" t="str">
        <f t="shared" si="2"/>
        <v>mailto:firstname234.lastname234@example.com?subject=Supply%20order%20ready%20for%20pickup&amp;body=Dear%20PSW%2C%0A%0AYour%20order%20is%20ready%20for%20pickup%20from%20Sample%20Branch%2C%20Wed-Fri%209am-4pm.</v>
      </c>
      <c r="AF38" s="65" t="str">
        <f t="shared" si="10"/>
        <v>Draft email</v>
      </c>
      <c r="AG38" s="64" t="str">
        <f>IF($C38="","",IFERROR(INDEX('Staff Directory'!$K$595:$K$599,MATCH($C38,'Staff Directory'!$B$5:$B$599,0)),$D38))</f>
        <v>PSW</v>
      </c>
      <c r="AH38" t="str">
        <f>IF($C38="","",IFERROR(INDEX('Staff Directory'!$I$595:$I$599,MATCH($C38,'Staff Directory'!$B$5:$B$599,0))&amp;" "&amp;INDEX('Staff Directory'!$J$595:$J$599,MATCH($C38,'Staff Directory'!$B$5:$B$599,0)),$AG38))</f>
        <v>PSW</v>
      </c>
      <c r="AI38" s="102" t="s">
        <v>386</v>
      </c>
      <c r="AJ38" s="101">
        <f>IF($F38="","",SUMIFS($J$5:$J38,$F$5:$F38,$F38))</f>
        <v>640</v>
      </c>
      <c r="AK38" s="101">
        <f t="shared" si="3"/>
        <v>561</v>
      </c>
      <c r="AL38" s="66" t="str" cm="1">
        <f t="array" ref="AL38">IF($F38="","",IFERROR(INDEX('Lot Balance'!$B$5:$B$500,MATCH(1,INDEX(('Lot Balance'!$A$5:$A$500=$F38)*('Lot Balance'!$K$5:$K$500&lt;$AK38)*('Lot Balance'!$K$5:$K$500+'Lot Balance'!$D$5:$D$500&gt;=$AK38),0),0)),""))</f>
        <v>LYSL500290</v>
      </c>
      <c r="AM38" s="66" t="str" cm="1">
        <f t="array" ref="AM38">IF($F38="","",IFERROR(INDEX('Lot Balance'!$B$5:$B$500,MATCH(1,INDEX(('Lot Balance'!$A$5:$A$500=$F38)*('Lot Balance'!$K$5:$K$500&lt;$AJ38)*('Lot Balance'!$K$5:$K$500+'Lot Balance'!$D$5:$D$500&gt;=$AJ38),0),0)),""))</f>
        <v>LYSL500290</v>
      </c>
      <c r="AN38" s="66" t="str">
        <f>IF($F38="","",IF($AI38&lt;&gt;"",IF(COUNTIFS('Lot Balance'!$A$5:$A$500,$F38,'Lot Balance'!$B$5:$B$500,$AI38)=0,"⚠ override is not a lot of this item",IF($AI38=$AL38,"Override = FEFO","Override - FEFO says "&amp;$AL38)),IF($AL38="","⚠ no receipt on file for this item",IF($AM38&lt;&gt;$AL38,"FEFO auto - split, also "&amp;$AM38,"FEFO auto"))))</f>
        <v>Override = FEFO</v>
      </c>
      <c r="AO38" s="114"/>
    </row>
    <row r="39" spans="1:41" x14ac:dyDescent="0.35">
      <c r="A39" s="74">
        <v>46113</v>
      </c>
      <c r="B39" s="18" t="str">
        <f>IF($C39="","",IFERROR(INDEX('Staff Directory'!$A$5:$A$594,MATCH($C39,'Staff Directory'!$B$5:$B$594,0)),"⚠ unknown staff"))</f>
        <v>PSW-171-A4</v>
      </c>
      <c r="C39" s="49" t="s">
        <v>1150</v>
      </c>
      <c r="D39" s="19" t="str">
        <f>IF($B39="","",IFERROR(INDEX('Staff Directory'!$C$5:$C$594,MATCH($B39,'Staff Directory'!$A$5:$A$594,0)),""))</f>
        <v>PSW</v>
      </c>
      <c r="E39" s="19" t="str">
        <f>IF($B39="","",IFERROR(INDEX('Staff Directory'!$D$5:$D$594,MATCH($B39,'Staff Directory'!$A$5:$A$594,0)),""))</f>
        <v>A4</v>
      </c>
      <c r="F39" s="9" t="s">
        <v>156</v>
      </c>
      <c r="G39" s="18" t="str">
        <f>IF($F39="","",IFERROR(INDEX(Items!$B$5:$B$597,MATCH($F39,Items!$A$5:$A$597,0)),"⚠ not in Items"))</f>
        <v>Masks</v>
      </c>
      <c r="H39" s="19" t="str">
        <f>IF($F39="","",IFERROR(INDEX(Items!$C$5:$C$597,MATCH($F39,Items!$A$5:$A$597,0)),""))</f>
        <v>One Size</v>
      </c>
      <c r="I39" s="23">
        <f>IF($F39="","",IFERROR(INDEX(Items!$E$5:$E$597,MATCH($F39,Items!$A$5:$A$597,0)),""))</f>
        <v>50</v>
      </c>
      <c r="J39" s="115">
        <f>IF(tblIssues[[#This Row],[Qty Override]]&lt;&gt;"",tblIssues[[#This Row],[Qty Override]],IF(tblIssues[[#This Row],[Standard Issue]]="","",tblIssues[[#This Row],[Standard Issue]]))</f>
        <v>50</v>
      </c>
      <c r="K39" s="20">
        <f>IF($F39="","",IFERROR(INDEX(Items!$D$5:$D$597,MATCH($F39,Items!$A$5:$A$597,0)),""))</f>
        <v>0.25</v>
      </c>
      <c r="L39" s="21">
        <f t="shared" si="4"/>
        <v>12.5</v>
      </c>
      <c r="M39" s="9" t="str">
        <f t="shared" si="5"/>
        <v>0125FPC24-0</v>
      </c>
      <c r="N39" s="24">
        <f>IF($A39="","",WORKDAY($A39,Settings!$C$9,HolidayDates))</f>
        <v>46121</v>
      </c>
      <c r="O39" s="24">
        <f>IF($N39="","",WORKDAY($N39,Settings!$C$10,HolidayDates))</f>
        <v>46161</v>
      </c>
      <c r="P39" s="10" t="s">
        <v>501</v>
      </c>
      <c r="Q39" s="52" t="str">
        <f t="shared" si="0"/>
        <v>Collected</v>
      </c>
      <c r="R39" s="55" t="str">
        <f t="shared" si="6"/>
        <v>2026-04</v>
      </c>
      <c r="S39" s="55">
        <f>IF(OR($B39="",$F39="",$R39=""),"",SUMIFS(tblIssues[Qty Issued],tblIssues[Staff ID],$B39,tblIssues[Item Name],$F39,tblIssues[Month],$R39))</f>
        <v>50</v>
      </c>
      <c r="T39" s="56">
        <f>IF($I39="","",$I39*Settings!$C$11)</f>
        <v>50</v>
      </c>
      <c r="U39" s="57" t="str">
        <f t="shared" si="7"/>
        <v>OK</v>
      </c>
      <c r="V39" s="55" t="str">
        <f t="shared" si="8"/>
        <v/>
      </c>
      <c r="W39" s="55" t="str">
        <f>IF($V39="","",IF(COUNTIF($V$5:$V39,$V39)=1,1,""))</f>
        <v/>
      </c>
      <c r="X39" s="58" t="str">
        <f>IF($W39="","",MAX($X$4:X38)+1)</f>
        <v/>
      </c>
      <c r="Y39" s="62"/>
      <c r="Z39" s="62"/>
      <c r="AA39" s="64" t="str">
        <f>IF($C39="","",IFERROR(INDEX('Staff Directory'!$E$5:$E$594,MATCH($C39,'Staff Directory'!$B$5:$B$594,0)),""))</f>
        <v>firstname234.lastname234@example.com</v>
      </c>
      <c r="AB39" s="64" t="str">
        <f>IF($C39="","",IF(ISNUMBER(SEARCH($D39,Settings!$C$15)),"Pickup","Dispatch"))</f>
        <v>Pickup</v>
      </c>
      <c r="AC39" s="64" t="str">
        <f t="shared" si="9"/>
        <v>Supply order ready for pickup</v>
      </c>
      <c r="AD39" s="64" t="str">
        <f t="shared" si="1"/>
        <v>Dear PSW,
Your order is ready for pickup from Sample Branch, Wed-Fri 9am-4pm.</v>
      </c>
      <c r="AE39" s="64" t="str">
        <f t="shared" si="2"/>
        <v>mailto:firstname234.lastname234@example.com?subject=Supply%20order%20ready%20for%20pickup&amp;body=Dear%20PSW%2C%0A%0AYour%20order%20is%20ready%20for%20pickup%20from%20Sample%20Branch%2C%20Wed-Fri%209am-4pm.</v>
      </c>
      <c r="AF39" s="65" t="str">
        <f t="shared" si="10"/>
        <v>Draft email</v>
      </c>
      <c r="AG39" s="64" t="str">
        <f>IF($C39="","",IFERROR(INDEX('Staff Directory'!$K$595:$K$599,MATCH($C39,'Staff Directory'!$B$5:$B$599,0)),$D39))</f>
        <v>PSW</v>
      </c>
      <c r="AH39" t="str">
        <f>IF($C39="","",IFERROR(INDEX('Staff Directory'!$I$595:$I$599,MATCH($C39,'Staff Directory'!$B$5:$B$599,0))&amp;" "&amp;INDEX('Staff Directory'!$J$595:$J$599,MATCH($C39,'Staff Directory'!$B$5:$B$599,0)),$AG39))</f>
        <v>PSW</v>
      </c>
      <c r="AI39" s="102" t="s">
        <v>474</v>
      </c>
      <c r="AJ39" s="101">
        <f>IF($F39="","",SUMIFS($J$5:$J39,$F$5:$F39,$F39))</f>
        <v>400</v>
      </c>
      <c r="AK39" s="101">
        <f t="shared" si="3"/>
        <v>351</v>
      </c>
      <c r="AL39" s="66" t="str" cm="1">
        <f t="array" ref="AL39">IF($F39="","",IFERROR(INDEX('Lot Balance'!$B$5:$B$500,MATCH(1,INDEX(('Lot Balance'!$A$5:$A$500=$F39)*('Lot Balance'!$K$5:$K$500&lt;$AK39)*('Lot Balance'!$K$5:$K$500+'Lot Balance'!$D$5:$D$500&gt;=$AK39),0),0)),""))</f>
        <v>0125FPC24-0</v>
      </c>
      <c r="AM39" s="66" t="str" cm="1">
        <f t="array" ref="AM39">IF($F39="","",IFERROR(INDEX('Lot Balance'!$B$5:$B$500,MATCH(1,INDEX(('Lot Balance'!$A$5:$A$500=$F39)*('Lot Balance'!$K$5:$K$500&lt;$AJ39)*('Lot Balance'!$K$5:$K$500+'Lot Balance'!$D$5:$D$500&gt;=$AJ39),0),0)),""))</f>
        <v>0125FPC24-0</v>
      </c>
      <c r="AN39" s="66" t="str">
        <f>IF($F39="","",IF($AI39&lt;&gt;"",IF(COUNTIFS('Lot Balance'!$A$5:$A$500,$F39,'Lot Balance'!$B$5:$B$500,$AI39)=0,"⚠ override is not a lot of this item",IF($AI39=$AL39,"Override = FEFO","Override - FEFO says "&amp;$AL39)),IF($AL39="","⚠ no receipt on file for this item",IF($AM39&lt;&gt;$AL39,"FEFO auto - split, also "&amp;$AM39,"FEFO auto"))))</f>
        <v>Override = FEFO</v>
      </c>
      <c r="AO39" s="114"/>
    </row>
    <row r="40" spans="1:41" x14ac:dyDescent="0.35">
      <c r="A40" s="74">
        <v>46113</v>
      </c>
      <c r="B40" s="18" t="str">
        <f>IF($C40="","",IFERROR(INDEX('Staff Directory'!$A$5:$A$594,MATCH($C40,'Staff Directory'!$B$5:$B$594,0)),"⚠ unknown staff"))</f>
        <v>TL/RPN-001-A8</v>
      </c>
      <c r="C40" s="49" t="s">
        <v>1021</v>
      </c>
      <c r="D40" s="19" t="str">
        <f>IF($B40="","",IFERROR(INDEX('Staff Directory'!$C$5:$C$594,MATCH($B40,'Staff Directory'!$A$5:$A$594,0)),""))</f>
        <v>TL/RPN</v>
      </c>
      <c r="E40" s="19" t="str">
        <f>IF($B40="","",IFERROR(INDEX('Staff Directory'!$D$5:$D$594,MATCH($B40,'Staff Directory'!$A$5:$A$594,0)),""))</f>
        <v>A8</v>
      </c>
      <c r="F40" s="9" t="s">
        <v>115</v>
      </c>
      <c r="G40" s="18" t="str">
        <f>IF($F40="","",IFERROR(INDEX(Items!$B$5:$B$597,MATCH($F40,Items!$A$5:$A$597,0)),"⚠ not in Items"))</f>
        <v>Wipes</v>
      </c>
      <c r="H40" s="19">
        <f>IF($F40="","",IFERROR(INDEX(Items!$C$5:$C$597,MATCH($F40,Items!$A$5:$A$597,0)),""))</f>
        <v>80</v>
      </c>
      <c r="I40" s="23">
        <f>IF($F40="","",IFERROR(INDEX(Items!$E$5:$E$597,MATCH($F40,Items!$A$5:$A$597,0)),""))</f>
        <v>80</v>
      </c>
      <c r="J40" s="115">
        <f>IF(tblIssues[[#This Row],[Qty Override]]&lt;&gt;"",tblIssues[[#This Row],[Qty Override]],IF(tblIssues[[#This Row],[Standard Issue]]="","",tblIssues[[#This Row],[Standard Issue]]))</f>
        <v>240</v>
      </c>
      <c r="K40" s="20">
        <f>IF($F40="","",IFERROR(INDEX(Items!$D$5:$D$597,MATCH($F40,Items!$A$5:$A$597,0)),""))</f>
        <v>0.1</v>
      </c>
      <c r="L40" s="21">
        <f t="shared" si="4"/>
        <v>24</v>
      </c>
      <c r="M40" s="9" t="str">
        <f t="shared" si="5"/>
        <v>LYSL500290</v>
      </c>
      <c r="N40" s="24">
        <f>IF($A40="","",WORKDAY($A40,Settings!$C$9,HolidayDates))</f>
        <v>46121</v>
      </c>
      <c r="O40" s="24">
        <f>IF($N40="","",WORKDAY($N40,Settings!$C$10,HolidayDates))</f>
        <v>46161</v>
      </c>
      <c r="P40" s="10" t="s">
        <v>501</v>
      </c>
      <c r="Q40" s="52" t="str">
        <f t="shared" si="0"/>
        <v>Collected</v>
      </c>
      <c r="R40" s="55" t="str">
        <f t="shared" si="6"/>
        <v>2026-04</v>
      </c>
      <c r="S40" s="55">
        <f>IF(OR($B40="",$F40="",$R40=""),"",SUMIFS(tblIssues[Qty Issued],tblIssues[Staff ID],$B40,tblIssues[Item Name],$F40,tblIssues[Month],$R40))</f>
        <v>240</v>
      </c>
      <c r="T40" s="56">
        <f>IF($I40="","",$I40*Settings!$C$11)</f>
        <v>80</v>
      </c>
      <c r="U40" s="57" t="str">
        <f t="shared" si="7"/>
        <v>APPROVED BY TL</v>
      </c>
      <c r="V40" s="55" t="str">
        <f t="shared" si="8"/>
        <v/>
      </c>
      <c r="W40" s="55" t="str">
        <f>IF($V40="","",IF(COUNTIF($V$5:$V40,$V40)=1,1,""))</f>
        <v/>
      </c>
      <c r="X40" s="58" t="str">
        <f>IF($W40="","",MAX($X$4:X39)+1)</f>
        <v/>
      </c>
      <c r="Y40" s="62" t="s">
        <v>642</v>
      </c>
      <c r="Z40" s="62"/>
      <c r="AA40" s="64" t="str">
        <f>IF($C40="","",IFERROR(INDEX('Staff Directory'!$E$5:$E$594,MATCH($C40,'Staff Directory'!$B$5:$B$594,0)),""))</f>
        <v>firstname105.lastname105@example.com</v>
      </c>
      <c r="AB40" s="64" t="str">
        <f>IF($C40="","",IF(ISNUMBER(SEARCH($D40,Settings!$C$15)),"Pickup","Dispatch"))</f>
        <v>Dispatch</v>
      </c>
      <c r="AC40" s="64" t="str">
        <f t="shared" si="9"/>
        <v>Supply order dispatched</v>
      </c>
      <c r="AD40" s="64" t="str">
        <f t="shared" si="1"/>
        <v>Dear TL/RPN,
Your order has been dispatched and is in transit. Reply if undelivered.</v>
      </c>
      <c r="AE40" s="64" t="str">
        <f t="shared" si="2"/>
        <v>mailto:firstname105.lastname105@example.com?subject=Supply%20order%20dispatched&amp;body=Dear%20TL%2FRPN%2C%0A%0AYour%20order%20has%20been%20dispatched%20and%20is%20in%20transit.%20Reply%20if%20undelivered.</v>
      </c>
      <c r="AF40" s="65" t="str">
        <f t="shared" si="10"/>
        <v>Draft email</v>
      </c>
      <c r="AG40" s="64" t="str">
        <f>IF($C40="","",IFERROR(INDEX('Staff Directory'!$K$595:$K$599,MATCH($C40,'Staff Directory'!$B$5:$B$599,0)),$D40))</f>
        <v>TL/RPN</v>
      </c>
      <c r="AH40" t="str">
        <f>IF($C40="","",IFERROR(INDEX('Staff Directory'!$I$595:$I$599,MATCH($C40,'Staff Directory'!$B$5:$B$599,0))&amp;" "&amp;INDEX('Staff Directory'!$J$595:$J$599,MATCH($C40,'Staff Directory'!$B$5:$B$599,0)),$AG40))</f>
        <v>TL/RPN</v>
      </c>
      <c r="AI40" s="102" t="s">
        <v>386</v>
      </c>
      <c r="AJ40" s="101">
        <f>IF($F40="","",SUMIFS($J$5:$J40,$F$5:$F40,$F40))</f>
        <v>880</v>
      </c>
      <c r="AK40" s="101">
        <f t="shared" si="3"/>
        <v>641</v>
      </c>
      <c r="AL40" s="66" t="str" cm="1">
        <f t="array" ref="AL40">IF($F40="","",IFERROR(INDEX('Lot Balance'!$B$5:$B$500,MATCH(1,INDEX(('Lot Balance'!$A$5:$A$500=$F40)*('Lot Balance'!$K$5:$K$500&lt;$AK40)*('Lot Balance'!$K$5:$K$500+'Lot Balance'!$D$5:$D$500&gt;=$AK40),0),0)),""))</f>
        <v>LYSL500290</v>
      </c>
      <c r="AM40" s="66" t="str" cm="1">
        <f t="array" ref="AM40">IF($F40="","",IFERROR(INDEX('Lot Balance'!$B$5:$B$500,MATCH(1,INDEX(('Lot Balance'!$A$5:$A$500=$F40)*('Lot Balance'!$K$5:$K$500&lt;$AJ40)*('Lot Balance'!$K$5:$K$500+'Lot Balance'!$D$5:$D$500&gt;=$AJ40),0),0)),""))</f>
        <v>LYSL500290</v>
      </c>
      <c r="AN40" s="66" t="str">
        <f>IF($F40="","",IF($AI40&lt;&gt;"",IF(COUNTIFS('Lot Balance'!$A$5:$A$500,$F40,'Lot Balance'!$B$5:$B$500,$AI40)=0,"⚠ override is not a lot of this item",IF($AI40=$AL40,"Override = FEFO","Override - FEFO says "&amp;$AL40)),IF($AL40="","⚠ no receipt on file for this item",IF($AM40&lt;&gt;$AL40,"FEFO auto - split, also "&amp;$AM40,"FEFO auto"))))</f>
        <v>Override = FEFO</v>
      </c>
      <c r="AO40" s="114">
        <v>240</v>
      </c>
    </row>
    <row r="41" spans="1:41" x14ac:dyDescent="0.35">
      <c r="A41" s="74">
        <v>46113</v>
      </c>
      <c r="B41" s="18" t="str">
        <f>IF($C41="","",IFERROR(INDEX('Staff Directory'!$A$5:$A$594,MATCH($C41,'Staff Directory'!$B$5:$B$594,0)),"⚠ unknown staff"))</f>
        <v>TL/RPN-001-A8</v>
      </c>
      <c r="C41" s="49" t="s">
        <v>1021</v>
      </c>
      <c r="D41" s="19" t="str">
        <f>IF($B41="","",IFERROR(INDEX('Staff Directory'!$C$5:$C$594,MATCH($B41,'Staff Directory'!$A$5:$A$594,0)),""))</f>
        <v>TL/RPN</v>
      </c>
      <c r="E41" s="19" t="str">
        <f>IF($B41="","",IFERROR(INDEX('Staff Directory'!$D$5:$D$594,MATCH($B41,'Staff Directory'!$A$5:$A$594,0)),""))</f>
        <v>A8</v>
      </c>
      <c r="F41" s="9" t="s">
        <v>137</v>
      </c>
      <c r="G41" s="18" t="str">
        <f>IF($F41="","",IFERROR(INDEX(Items!$B$5:$B$597,MATCH($F41,Items!$A$5:$A$597,0)),"⚠ not in Items"))</f>
        <v>Sanitizer</v>
      </c>
      <c r="H41" s="19" t="str">
        <f>IF($F41="","",IFERROR(INDEX(Items!$C$5:$C$597,MATCH($F41,Items!$A$5:$A$597,0)),""))</f>
        <v>118 ML</v>
      </c>
      <c r="I41" s="23">
        <f>IF($F41="","",IFERROR(INDEX(Items!$E$5:$E$597,MATCH($F41,Items!$A$5:$A$597,0)),""))</f>
        <v>2</v>
      </c>
      <c r="J41" s="115">
        <f>IF(tblIssues[[#This Row],[Qty Override]]&lt;&gt;"",tblIssues[[#This Row],[Qty Override]],IF(tblIssues[[#This Row],[Standard Issue]]="","",tblIssues[[#This Row],[Standard Issue]]))</f>
        <v>4</v>
      </c>
      <c r="K41" s="20">
        <f>IF($F41="","",IFERROR(INDEX(Items!$D$5:$D$597,MATCH($F41,Items!$A$5:$A$597,0)),""))</f>
        <v>4.49</v>
      </c>
      <c r="L41" s="21">
        <f t="shared" si="4"/>
        <v>17.96</v>
      </c>
      <c r="M41" s="9" t="str">
        <f t="shared" si="5"/>
        <v>563963-5</v>
      </c>
      <c r="N41" s="24">
        <f>IF($A41="","",WORKDAY($A41,Settings!$C$9,HolidayDates))</f>
        <v>46121</v>
      </c>
      <c r="O41" s="24">
        <f>IF($N41="","",WORKDAY($N41,Settings!$C$10,HolidayDates))</f>
        <v>46161</v>
      </c>
      <c r="P41" s="10" t="s">
        <v>501</v>
      </c>
      <c r="Q41" s="52" t="str">
        <f t="shared" si="0"/>
        <v>Collected</v>
      </c>
      <c r="R41" s="55" t="str">
        <f t="shared" si="6"/>
        <v>2026-04</v>
      </c>
      <c r="S41" s="55">
        <f>IF(OR($B41="",$F41="",$R41=""),"",SUMIFS(tblIssues[Qty Issued],tblIssues[Staff ID],$B41,tblIssues[Item Name],$F41,tblIssues[Month],$R41))</f>
        <v>4</v>
      </c>
      <c r="T41" s="56">
        <f>IF($I41="","",$I41*Settings!$C$11)</f>
        <v>2</v>
      </c>
      <c r="U41" s="57" t="str">
        <f t="shared" si="7"/>
        <v>APPROVED BY TL</v>
      </c>
      <c r="V41" s="55" t="str">
        <f t="shared" si="8"/>
        <v/>
      </c>
      <c r="W41" s="55" t="str">
        <f>IF($V41="","",IF(COUNTIF($V$5:$V41,$V41)=1,1,""))</f>
        <v/>
      </c>
      <c r="X41" s="58" t="str">
        <f>IF($W41="","",MAX($X$4:X40)+1)</f>
        <v/>
      </c>
      <c r="Y41" s="62" t="s">
        <v>642</v>
      </c>
      <c r="Z41" s="62"/>
      <c r="AA41" s="64" t="str">
        <f>IF($C41="","",IFERROR(INDEX('Staff Directory'!$E$5:$E$594,MATCH($C41,'Staff Directory'!$B$5:$B$594,0)),""))</f>
        <v>firstname105.lastname105@example.com</v>
      </c>
      <c r="AB41" s="64" t="str">
        <f>IF($C41="","",IF(ISNUMBER(SEARCH($D41,Settings!$C$15)),"Pickup","Dispatch"))</f>
        <v>Dispatch</v>
      </c>
      <c r="AC41" s="64" t="str">
        <f t="shared" si="9"/>
        <v>Supply order dispatched</v>
      </c>
      <c r="AD41" s="64" t="str">
        <f t="shared" si="1"/>
        <v>Dear TL/RPN,
Your order has been dispatched and is in transit. Reply if undelivered.</v>
      </c>
      <c r="AE41" s="64" t="str">
        <f t="shared" si="2"/>
        <v>mailto:firstname105.lastname105@example.com?subject=Supply%20order%20dispatched&amp;body=Dear%20TL%2FRPN%2C%0A%0AYour%20order%20has%20been%20dispatched%20and%20is%20in%20transit.%20Reply%20if%20undelivered.</v>
      </c>
      <c r="AF41" s="65" t="str">
        <f t="shared" si="10"/>
        <v>Draft email</v>
      </c>
      <c r="AG41" s="64" t="str">
        <f>IF($C41="","",IFERROR(INDEX('Staff Directory'!$K$595:$K$599,MATCH($C41,'Staff Directory'!$B$5:$B$599,0)),$D41))</f>
        <v>TL/RPN</v>
      </c>
      <c r="AH41" t="str">
        <f>IF($C41="","",IFERROR(INDEX('Staff Directory'!$I$595:$I$599,MATCH($C41,'Staff Directory'!$B$5:$B$599,0))&amp;" "&amp;INDEX('Staff Directory'!$J$595:$J$599,MATCH($C41,'Staff Directory'!$B$5:$B$599,0)),$AG41))</f>
        <v>TL/RPN</v>
      </c>
      <c r="AI41" s="102" t="s">
        <v>456</v>
      </c>
      <c r="AJ41" s="101">
        <f>IF($F41="","",SUMIFS($J$5:$J41,$F$5:$F41,$F41))</f>
        <v>16</v>
      </c>
      <c r="AK41" s="101">
        <f t="shared" si="3"/>
        <v>13</v>
      </c>
      <c r="AL41" s="66" t="str" cm="1">
        <f t="array" ref="AL41">IF($F41="","",IFERROR(INDEX('Lot Balance'!$B$5:$B$500,MATCH(1,INDEX(('Lot Balance'!$A$5:$A$500=$F41)*('Lot Balance'!$K$5:$K$500&lt;$AK41)*('Lot Balance'!$K$5:$K$500+'Lot Balance'!$D$5:$D$500&gt;=$AK41),0),0)),""))</f>
        <v>563963-5</v>
      </c>
      <c r="AM41" s="66" t="str" cm="1">
        <f t="array" ref="AM41">IF($F41="","",IFERROR(INDEX('Lot Balance'!$B$5:$B$500,MATCH(1,INDEX(('Lot Balance'!$A$5:$A$500=$F41)*('Lot Balance'!$K$5:$K$500&lt;$AJ41)*('Lot Balance'!$K$5:$K$500+'Lot Balance'!$D$5:$D$500&gt;=$AJ41),0),0)),""))</f>
        <v>563963-5</v>
      </c>
      <c r="AN41" s="66" t="str">
        <f>IF($F41="","",IF($AI41&lt;&gt;"",IF(COUNTIFS('Lot Balance'!$A$5:$A$500,$F41,'Lot Balance'!$B$5:$B$500,$AI41)=0,"⚠ override is not a lot of this item",IF($AI41=$AL41,"Override = FEFO","Override - FEFO says "&amp;$AL41)),IF($AL41="","⚠ no receipt on file for this item",IF($AM41&lt;&gt;$AL41,"FEFO auto - split, also "&amp;$AM41,"FEFO auto"))))</f>
        <v>Override = FEFO</v>
      </c>
      <c r="AO41" s="114">
        <v>4</v>
      </c>
    </row>
    <row r="42" spans="1:41" x14ac:dyDescent="0.35">
      <c r="A42" s="74">
        <v>46113</v>
      </c>
      <c r="B42" s="18" t="str">
        <f>IF($C42="","",IFERROR(INDEX('Staff Directory'!$A$5:$A$594,MATCH($C42,'Staff Directory'!$B$5:$B$594,0)),"⚠ unknown staff"))</f>
        <v>TL/RPN-002-A9</v>
      </c>
      <c r="C42" s="49" t="s">
        <v>1065</v>
      </c>
      <c r="D42" s="19" t="str">
        <f>IF($B42="","",IFERROR(INDEX('Staff Directory'!$C$5:$C$594,MATCH($B42,'Staff Directory'!$A$5:$A$594,0)),""))</f>
        <v>TL/RPN</v>
      </c>
      <c r="E42" s="19" t="str">
        <f>IF($B42="","",IFERROR(INDEX('Staff Directory'!$D$5:$D$594,MATCH($B42,'Staff Directory'!$A$5:$A$594,0)),""))</f>
        <v>A9</v>
      </c>
      <c r="F42" s="9" t="s">
        <v>193</v>
      </c>
      <c r="G42" s="18" t="str">
        <f>IF($F42="","",IFERROR(INDEX(Items!$B$5:$B$597,MATCH($F42,Items!$A$5:$A$597,0)),"⚠ not in Items"))</f>
        <v>Wipes</v>
      </c>
      <c r="H42" s="19">
        <f>IF($F42="","",IFERROR(INDEX(Items!$C$5:$C$597,MATCH($F42,Items!$A$5:$A$597,0)),""))</f>
        <v>160</v>
      </c>
      <c r="I42" s="23">
        <f>IF($F42="","",IFERROR(INDEX(Items!$E$5:$E$597,MATCH($F42,Items!$A$5:$A$597,0)),""))</f>
        <v>160</v>
      </c>
      <c r="J42" s="115">
        <f>IF(tblIssues[[#This Row],[Qty Override]]&lt;&gt;"",tblIssues[[#This Row],[Qty Override]],IF(tblIssues[[#This Row],[Standard Issue]]="","",tblIssues[[#This Row],[Standard Issue]]))</f>
        <v>160</v>
      </c>
      <c r="K42" s="20">
        <f>IF($F42="","",IFERROR(INDEX(Items!$D$5:$D$597,MATCH($F42,Items!$A$5:$A$597,0)),""))</f>
        <v>0</v>
      </c>
      <c r="L42" s="21">
        <f t="shared" si="4"/>
        <v>0</v>
      </c>
      <c r="M42" s="9" t="str">
        <f t="shared" si="5"/>
        <v>Sample Org</v>
      </c>
      <c r="N42" s="24">
        <f>IF($A42="","",WORKDAY($A42,Settings!$C$9,HolidayDates))</f>
        <v>46121</v>
      </c>
      <c r="O42" s="24">
        <f>IF($N42="","",WORKDAY($N42,Settings!$C$10,HolidayDates))</f>
        <v>46161</v>
      </c>
      <c r="P42" s="10" t="s">
        <v>501</v>
      </c>
      <c r="Q42" s="52" t="str">
        <f t="shared" si="0"/>
        <v>Collected</v>
      </c>
      <c r="R42" s="55" t="str">
        <f t="shared" si="6"/>
        <v>2026-04</v>
      </c>
      <c r="S42" s="55">
        <f>IF(OR($B42="",$F42="",$R42=""),"",SUMIFS(tblIssues[Qty Issued],tblIssues[Staff ID],$B42,tblIssues[Item Name],$F42,tblIssues[Month],$R42))</f>
        <v>480</v>
      </c>
      <c r="T42" s="56">
        <f>IF($I42="","",$I42*Settings!$C$11)</f>
        <v>160</v>
      </c>
      <c r="U42" s="57" t="str">
        <f t="shared" si="7"/>
        <v>⚠ OVER QUOTA</v>
      </c>
      <c r="V42" s="55" t="str">
        <f t="shared" si="8"/>
        <v>TL/RPN-002-A9 | Disinfectant Wipes OS | 2026-04</v>
      </c>
      <c r="W42" s="55">
        <f>IF($V42="","",IF(COUNTIF($V$5:$V42,$V42)=1,1,""))</f>
        <v>1</v>
      </c>
      <c r="X42" s="58">
        <f>IF($W42="","",MAX($X$4:X41)+1)</f>
        <v>1</v>
      </c>
      <c r="Y42" s="62"/>
      <c r="Z42" s="62"/>
      <c r="AA42" s="64" t="str">
        <f>IF($C42="","",IFERROR(INDEX('Staff Directory'!$E$5:$E$594,MATCH($C42,'Staff Directory'!$B$5:$B$594,0)),""))</f>
        <v>firstname149.lastname149@example.com</v>
      </c>
      <c r="AB42" s="64" t="str">
        <f>IF($C42="","",IF(ISNUMBER(SEARCH($D42,Settings!$C$15)),"Pickup","Dispatch"))</f>
        <v>Dispatch</v>
      </c>
      <c r="AC42" s="64" t="str">
        <f t="shared" si="9"/>
        <v>Supply order dispatched</v>
      </c>
      <c r="AD42" s="64" t="str">
        <f t="shared" si="1"/>
        <v>Dear TL/RPN,
Your order has been dispatched and is in transit. Reply if undelivered.</v>
      </c>
      <c r="AE42" s="64" t="str">
        <f t="shared" si="2"/>
        <v>mailto:firstname149.lastname149@example.com?subject=Supply%20order%20dispatched&amp;body=Dear%20TL%2FRPN%2C%0A%0AYour%20order%20has%20been%20dispatched%20and%20is%20in%20transit.%20Reply%20if%20undelivered.</v>
      </c>
      <c r="AF42" s="65" t="str">
        <f t="shared" si="10"/>
        <v>Draft email</v>
      </c>
      <c r="AG42" s="64" t="str">
        <f>IF($C42="","",IFERROR(INDEX('Staff Directory'!$K$595:$K$599,MATCH($C42,'Staff Directory'!$B$5:$B$599,0)),$D42))</f>
        <v>TL/RPN</v>
      </c>
      <c r="AH42" t="str">
        <f>IF($C42="","",IFERROR(INDEX('Staff Directory'!$I$595:$I$599,MATCH($C42,'Staff Directory'!$B$5:$B$599,0))&amp;" "&amp;INDEX('Staff Directory'!$J$595:$J$599,MATCH($C42,'Staff Directory'!$B$5:$B$599,0)),$AG42))</f>
        <v>TL/RPN</v>
      </c>
      <c r="AI42" s="102" t="s">
        <v>770</v>
      </c>
      <c r="AJ42" s="101">
        <f>IF($F42="","",SUMIFS($J$5:$J42,$F$5:$F42,$F42))</f>
        <v>160</v>
      </c>
      <c r="AK42" s="101">
        <f t="shared" si="3"/>
        <v>1</v>
      </c>
      <c r="AL42" s="66" t="str" cm="1">
        <f t="array" ref="AL42">IF($F42="","",IFERROR(INDEX('Lot Balance'!$B$5:$B$500,MATCH(1,INDEX(('Lot Balance'!$A$5:$A$500=$F42)*('Lot Balance'!$K$5:$K$500&lt;$AK42)*('Lot Balance'!$K$5:$K$500+'Lot Balance'!$D$5:$D$500&gt;=$AK42),0),0)),""))</f>
        <v>22625VXO7</v>
      </c>
      <c r="AM42" s="66" t="str" cm="1">
        <f t="array" ref="AM42">IF($F42="","",IFERROR(INDEX('Lot Balance'!$B$5:$B$500,MATCH(1,INDEX(('Lot Balance'!$A$5:$A$500=$F42)*('Lot Balance'!$K$5:$K$500&lt;$AJ42)*('Lot Balance'!$K$5:$K$500+'Lot Balance'!$D$5:$D$500&gt;=$AJ42),0),0)),""))</f>
        <v>22625VXO7</v>
      </c>
      <c r="AN42" s="66" t="str">
        <f>IF($F42="","",IF($AI42&lt;&gt;"",IF(COUNTIFS('Lot Balance'!$A$5:$A$500,$F42,'Lot Balance'!$B$5:$B$500,$AI42)=0,"⚠ override is not a lot of this item",IF($AI42=$AL42,"Override = FEFO","Override - FEFO says "&amp;$AL42)),IF($AL42="","⚠ no receipt on file for this item",IF($AM42&lt;&gt;$AL42,"FEFO auto - split, also "&amp;$AM42,"FEFO auto"))))</f>
        <v>⚠ override is not a lot of this item</v>
      </c>
      <c r="AO42" s="114"/>
    </row>
    <row r="43" spans="1:41" x14ac:dyDescent="0.35">
      <c r="A43" s="74">
        <v>46113</v>
      </c>
      <c r="B43" s="18" t="str">
        <f>IF($C43="","",IFERROR(INDEX('Staff Directory'!$A$5:$A$594,MATCH($C43,'Staff Directory'!$B$5:$B$594,0)),"⚠ unknown staff"))</f>
        <v>RN-021-A2</v>
      </c>
      <c r="C43" s="49" t="s">
        <v>941</v>
      </c>
      <c r="D43" s="19" t="str">
        <f>IF($B43="","",IFERROR(INDEX('Staff Directory'!$C$5:$C$594,MATCH($B43,'Staff Directory'!$A$5:$A$594,0)),""))</f>
        <v>RN</v>
      </c>
      <c r="E43" s="19" t="str">
        <f>IF($B43="","",IFERROR(INDEX('Staff Directory'!$D$5:$D$594,MATCH($B43,'Staff Directory'!$A$5:$A$594,0)),""))</f>
        <v>A2</v>
      </c>
      <c r="F43" s="9" t="s">
        <v>127</v>
      </c>
      <c r="G43" s="18" t="str">
        <f>IF($F43="","",IFERROR(INDEX(Items!$B$5:$B$597,MATCH($F43,Items!$A$5:$A$597,0)),"⚠ not in Items"))</f>
        <v>Gloves</v>
      </c>
      <c r="H43" s="19" t="str">
        <f>IF($F43="","",IFERROR(INDEX(Items!$C$5:$C$597,MATCH($F43,Items!$A$5:$A$597,0)),""))</f>
        <v>Medium</v>
      </c>
      <c r="I43" s="23">
        <f>IF($F43="","",IFERROR(INDEX(Items!$E$5:$E$597,MATCH($F43,Items!$A$5:$A$597,0)),""))</f>
        <v>500</v>
      </c>
      <c r="J43" s="115">
        <f>IF(tblIssues[[#This Row],[Qty Override]]&lt;&gt;"",tblIssues[[#This Row],[Qty Override]],IF(tblIssues[[#This Row],[Standard Issue]]="","",tblIssues[[#This Row],[Standard Issue]]))</f>
        <v>500</v>
      </c>
      <c r="K43" s="20">
        <f>IF($F43="","",IFERROR(INDEX(Items!$D$5:$D$597,MATCH($F43,Items!$A$5:$A$597,0)),""))</f>
        <v>5.5E-2</v>
      </c>
      <c r="L43" s="21">
        <f t="shared" si="4"/>
        <v>27.5</v>
      </c>
      <c r="M43" s="9" t="str">
        <f t="shared" si="5"/>
        <v>O17104</v>
      </c>
      <c r="N43" s="24">
        <f>IF($A43="","",WORKDAY($A43,Settings!$C$9,HolidayDates))</f>
        <v>46121</v>
      </c>
      <c r="O43" s="24">
        <f>IF($N43="","",WORKDAY($N43,Settings!$C$10,HolidayDates))</f>
        <v>46161</v>
      </c>
      <c r="P43" s="96" t="s">
        <v>502</v>
      </c>
      <c r="Q43" s="52" t="str">
        <f t="shared" si="0"/>
        <v>Collected</v>
      </c>
      <c r="R43" s="55" t="str">
        <f t="shared" si="6"/>
        <v>2026-04</v>
      </c>
      <c r="S43" s="55">
        <f>IF(OR($B43="",$F43="",$R43=""),"",SUMIFS(tblIssues[Qty Issued],tblIssues[Staff ID],$B43,tblIssues[Item Name],$F43,tblIssues[Month],$R43))</f>
        <v>500</v>
      </c>
      <c r="T43" s="56">
        <f>IF($I43="","",$I43*Settings!$C$11)</f>
        <v>500</v>
      </c>
      <c r="U43" s="57" t="str">
        <f t="shared" si="7"/>
        <v>OK</v>
      </c>
      <c r="V43" s="55" t="str">
        <f t="shared" si="8"/>
        <v/>
      </c>
      <c r="W43" s="55" t="str">
        <f>IF($V43="","",IF(COUNTIF($V$5:$V43,$V43)=1,1,""))</f>
        <v/>
      </c>
      <c r="X43" s="58" t="str">
        <f>IF($W43="","",MAX($X$4:X42)+1)</f>
        <v/>
      </c>
      <c r="Y43" s="62"/>
      <c r="Z43" s="62"/>
      <c r="AA43" s="64" t="str">
        <f>IF($C43="","",IFERROR(INDEX('Staff Directory'!$E$5:$E$594,MATCH($C43,'Staff Directory'!$B$5:$B$594,0)),""))</f>
        <v>firstname025.lastname025@example.com</v>
      </c>
      <c r="AB43" s="64" t="str">
        <f>IF($C43="","",IF(ISNUMBER(SEARCH($D43,Settings!$C$15)),"Pickup","Dispatch"))</f>
        <v>Dispatch</v>
      </c>
      <c r="AC43" s="64" t="str">
        <f t="shared" si="9"/>
        <v>Supply order dispatched</v>
      </c>
      <c r="AD43" s="64" t="str">
        <f t="shared" si="1"/>
        <v>Dear RN,
Your order has been dispatched and is in transit. Reply if undelivered.</v>
      </c>
      <c r="AE43" s="64" t="str">
        <f t="shared" si="2"/>
        <v>mailto:firstname025.lastname025@example.com?subject=Supply%20order%20dispatched&amp;body=Dear%20RN%2C%0A%0AYour%20order%20has%20been%20dispatched%20and%20is%20in%20transit.%20Reply%20if%20undelivered.</v>
      </c>
      <c r="AF43" s="65" t="str">
        <f t="shared" si="10"/>
        <v>Draft email</v>
      </c>
      <c r="AG43" s="64" t="str">
        <f>IF($C43="","",IFERROR(INDEX('Staff Directory'!$K$595:$K$599,MATCH($C43,'Staff Directory'!$B$5:$B$599,0)),$D43))</f>
        <v>RN</v>
      </c>
      <c r="AH43" t="str">
        <f>IF($C43="","",IFERROR(INDEX('Staff Directory'!$I$595:$I$599,MATCH($C43,'Staff Directory'!$B$5:$B$599,0))&amp;" "&amp;INDEX('Staff Directory'!$J$595:$J$599,MATCH($C43,'Staff Directory'!$B$5:$B$599,0)),$AG43))</f>
        <v>RN</v>
      </c>
      <c r="AI43" s="102" t="s">
        <v>415</v>
      </c>
      <c r="AJ43" s="101">
        <f>IF($F43="","",SUMIFS($J$5:$J43,$F$5:$F43,$F43))</f>
        <v>2500</v>
      </c>
      <c r="AK43" s="101">
        <f t="shared" si="3"/>
        <v>2001</v>
      </c>
      <c r="AL43" s="66" t="str" cm="1">
        <f t="array" ref="AL43">IF($F43="","",IFERROR(INDEX('Lot Balance'!$B$5:$B$500,MATCH(1,INDEX(('Lot Balance'!$A$5:$A$500=$F43)*('Lot Balance'!$K$5:$K$500&lt;$AK43)*('Lot Balance'!$K$5:$K$500+'Lot Balance'!$D$5:$D$500&gt;=$AK43),0),0)),""))</f>
        <v>O17104</v>
      </c>
      <c r="AM43" s="66" t="str" cm="1">
        <f t="array" ref="AM43">IF($F43="","",IFERROR(INDEX('Lot Balance'!$B$5:$B$500,MATCH(1,INDEX(('Lot Balance'!$A$5:$A$500=$F43)*('Lot Balance'!$K$5:$K$500&lt;$AJ43)*('Lot Balance'!$K$5:$K$500+'Lot Balance'!$D$5:$D$500&gt;=$AJ43),0),0)),""))</f>
        <v>O17104</v>
      </c>
      <c r="AN43" s="66" t="str">
        <f>IF($F43="","",IF($AI43&lt;&gt;"",IF(COUNTIFS('Lot Balance'!$A$5:$A$500,$F43,'Lot Balance'!$B$5:$B$500,$AI43)=0,"⚠ override is not a lot of this item",IF($AI43=$AL43,"Override = FEFO","Override - FEFO says "&amp;$AL43)),IF($AL43="","⚠ no receipt on file for this item",IF($AM43&lt;&gt;$AL43,"FEFO auto - split, also "&amp;$AM43,"FEFO auto"))))</f>
        <v>Override = FEFO</v>
      </c>
      <c r="AO43" s="114"/>
    </row>
    <row r="44" spans="1:41" x14ac:dyDescent="0.35">
      <c r="A44" s="74">
        <v>46113</v>
      </c>
      <c r="B44" s="18" t="str">
        <f>IF($C44="","",IFERROR(INDEX('Staff Directory'!$A$5:$A$594,MATCH($C44,'Staff Directory'!$B$5:$B$594,0)),"⚠ unknown staff"))</f>
        <v>RN-027-A1</v>
      </c>
      <c r="C44" s="49" t="s">
        <v>947</v>
      </c>
      <c r="D44" s="19" t="str">
        <f>IF($B44="","",IFERROR(INDEX('Staff Directory'!$C$5:$C$594,MATCH($B44,'Staff Directory'!$A$5:$A$594,0)),""))</f>
        <v>RN</v>
      </c>
      <c r="E44" s="19" t="str">
        <f>IF($B44="","",IFERROR(INDEX('Staff Directory'!$D$5:$D$594,MATCH($B44,'Staff Directory'!$A$5:$A$594,0)),""))</f>
        <v>A1</v>
      </c>
      <c r="F44" s="9" t="s">
        <v>129</v>
      </c>
      <c r="G44" s="18" t="str">
        <f>IF($F44="","",IFERROR(INDEX(Items!$B$5:$B$597,MATCH($F44,Items!$A$5:$A$597,0)),"⚠ not in Items"))</f>
        <v>Gloves</v>
      </c>
      <c r="H44" s="19" t="str">
        <f>IF($F44="","",IFERROR(INDEX(Items!$C$5:$C$597,MATCH($F44,Items!$A$5:$A$597,0)),""))</f>
        <v>Small</v>
      </c>
      <c r="I44" s="23">
        <f>IF($F44="","",IFERROR(INDEX(Items!$E$5:$E$597,MATCH($F44,Items!$A$5:$A$597,0)),""))</f>
        <v>500</v>
      </c>
      <c r="J44" s="115">
        <f>IF(tblIssues[[#This Row],[Qty Override]]&lt;&gt;"",tblIssues[[#This Row],[Qty Override]],IF(tblIssues[[#This Row],[Standard Issue]]="","",tblIssues[[#This Row],[Standard Issue]]))</f>
        <v>500</v>
      </c>
      <c r="K44" s="20">
        <f>IF($F44="","",IFERROR(INDEX(Items!$D$5:$D$597,MATCH($F44,Items!$A$5:$A$597,0)),""))</f>
        <v>5.5E-2</v>
      </c>
      <c r="L44" s="21">
        <f t="shared" si="4"/>
        <v>27.5</v>
      </c>
      <c r="M44" s="9" t="str">
        <f t="shared" si="5"/>
        <v>O210LIC25</v>
      </c>
      <c r="N44" s="24">
        <f>IF($A44="","",WORKDAY($A44,Settings!$C$9,HolidayDates))</f>
        <v>46121</v>
      </c>
      <c r="O44" s="24">
        <f>IF($N44="","",WORKDAY($N44,Settings!$C$10,HolidayDates))</f>
        <v>46161</v>
      </c>
      <c r="P44" s="96" t="s">
        <v>502</v>
      </c>
      <c r="Q44" s="52" t="str">
        <f t="shared" si="0"/>
        <v>Collected</v>
      </c>
      <c r="R44" s="55" t="str">
        <f t="shared" si="6"/>
        <v>2026-04</v>
      </c>
      <c r="S44" s="55">
        <f>IF(OR($B44="",$F44="",$R44=""),"",SUMIFS(tblIssues[Qty Issued],tblIssues[Staff ID],$B44,tblIssues[Item Name],$F44,tblIssues[Month],$R44))</f>
        <v>500</v>
      </c>
      <c r="T44" s="56">
        <f>IF($I44="","",$I44*Settings!$C$11)</f>
        <v>500</v>
      </c>
      <c r="U44" s="57" t="str">
        <f t="shared" si="7"/>
        <v>OK</v>
      </c>
      <c r="V44" s="55" t="str">
        <f t="shared" si="8"/>
        <v/>
      </c>
      <c r="W44" s="55" t="str">
        <f>IF($V44="","",IF(COUNTIF($V$5:$V44,$V44)=1,1,""))</f>
        <v/>
      </c>
      <c r="X44" s="58" t="str">
        <f>IF($W44="","",MAX($X$4:X43)+1)</f>
        <v/>
      </c>
      <c r="Y44" s="62"/>
      <c r="Z44" s="62"/>
      <c r="AA44" s="64" t="str">
        <f>IF($C44="","",IFERROR(INDEX('Staff Directory'!$E$5:$E$594,MATCH($C44,'Staff Directory'!$B$5:$B$594,0)),""))</f>
        <v>firstname031.lastname031@example.com</v>
      </c>
      <c r="AB44" s="64" t="str">
        <f>IF($C44="","",IF(ISNUMBER(SEARCH($D44,Settings!$C$15)),"Pickup","Dispatch"))</f>
        <v>Dispatch</v>
      </c>
      <c r="AC44" s="64" t="str">
        <f t="shared" si="9"/>
        <v>Supply order dispatched</v>
      </c>
      <c r="AD44" s="64" t="str">
        <f t="shared" si="1"/>
        <v>Dear RN,
Your order has been dispatched and is in transit. Reply if undelivered.</v>
      </c>
      <c r="AE44" s="64" t="str">
        <f t="shared" si="2"/>
        <v>mailto:firstname031.lastname031@example.com?subject=Supply%20order%20dispatched&amp;body=Dear%20RN%2C%0A%0AYour%20order%20has%20been%20dispatched%20and%20is%20in%20transit.%20Reply%20if%20undelivered.</v>
      </c>
      <c r="AF44" s="65" t="str">
        <f t="shared" si="10"/>
        <v>Draft email</v>
      </c>
      <c r="AG44" s="64" t="str">
        <f>IF($C44="","",IFERROR(INDEX('Staff Directory'!$K$595:$K$599,MATCH($C44,'Staff Directory'!$B$5:$B$599,0)),$D44))</f>
        <v>RN</v>
      </c>
      <c r="AH44" t="str">
        <f>IF($C44="","",IFERROR(INDEX('Staff Directory'!$I$595:$I$599,MATCH($C44,'Staff Directory'!$B$5:$B$599,0))&amp;" "&amp;INDEX('Staff Directory'!$J$595:$J$599,MATCH($C44,'Staff Directory'!$B$5:$B$599,0)),$AG44))</f>
        <v>RN</v>
      </c>
      <c r="AI44" s="102" t="s">
        <v>428</v>
      </c>
      <c r="AJ44" s="101">
        <f>IF($F44="","",SUMIFS($J$5:$J44,$F$5:$F44,$F44))</f>
        <v>2500</v>
      </c>
      <c r="AK44" s="101">
        <f t="shared" si="3"/>
        <v>2001</v>
      </c>
      <c r="AL44" s="66" t="str" cm="1">
        <f t="array" ref="AL44">IF($F44="","",IFERROR(INDEX('Lot Balance'!$B$5:$B$500,MATCH(1,INDEX(('Lot Balance'!$A$5:$A$500=$F44)*('Lot Balance'!$K$5:$K$500&lt;$AK44)*('Lot Balance'!$K$5:$K$500+'Lot Balance'!$D$5:$D$500&gt;=$AK44),0),0)),""))</f>
        <v>ZIM512142069</v>
      </c>
      <c r="AM44" s="66" t="str" cm="1">
        <f t="array" ref="AM44">IF($F44="","",IFERROR(INDEX('Lot Balance'!$B$5:$B$500,MATCH(1,INDEX(('Lot Balance'!$A$5:$A$500=$F44)*('Lot Balance'!$K$5:$K$500&lt;$AJ44)*('Lot Balance'!$K$5:$K$500+'Lot Balance'!$D$5:$D$500&gt;=$AJ44),0),0)),""))</f>
        <v>ZIM512142069</v>
      </c>
      <c r="AN44" s="66" t="str">
        <f>IF($F44="","",IF($AI44&lt;&gt;"",IF(COUNTIFS('Lot Balance'!$A$5:$A$500,$F44,'Lot Balance'!$B$5:$B$500,$AI44)=0,"⚠ override is not a lot of this item",IF($AI44=$AL44,"Override = FEFO","Override - FEFO says "&amp;$AL44)),IF($AL44="","⚠ no receipt on file for this item",IF($AM44&lt;&gt;$AL44,"FEFO auto - split, also "&amp;$AM44,"FEFO auto"))))</f>
        <v>Override - FEFO says ZIM512142069</v>
      </c>
      <c r="AO44" s="114"/>
    </row>
    <row r="45" spans="1:41" x14ac:dyDescent="0.35">
      <c r="A45" s="74">
        <v>46113</v>
      </c>
      <c r="B45" s="18" t="str">
        <f>IF($C45="","",IFERROR(INDEX('Staff Directory'!$A$5:$A$594,MATCH($C45,'Staff Directory'!$B$5:$B$594,0)),"⚠ unknown staff"))</f>
        <v>RN-027-A1</v>
      </c>
      <c r="C45" s="49" t="s">
        <v>947</v>
      </c>
      <c r="D45" s="19" t="str">
        <f>IF($B45="","",IFERROR(INDEX('Staff Directory'!$C$5:$C$594,MATCH($B45,'Staff Directory'!$A$5:$A$594,0)),""))</f>
        <v>RN</v>
      </c>
      <c r="E45" s="19" t="str">
        <f>IF($B45="","",IFERROR(INDEX('Staff Directory'!$D$5:$D$594,MATCH($B45,'Staff Directory'!$A$5:$A$594,0)),""))</f>
        <v>A1</v>
      </c>
      <c r="F45" s="9" t="s">
        <v>1227</v>
      </c>
      <c r="G45" s="18" t="str">
        <f>IF($F45="","",IFERROR(INDEX(Items!$B$5:$B$597,MATCH($F45,Items!$A$5:$A$597,0)),"⚠ not in Items"))</f>
        <v>SO A1 Charts</v>
      </c>
      <c r="H45" s="19" t="str">
        <f>IF($F45="","",IFERROR(INDEX(Items!$C$5:$C$597,MATCH($F45,Items!$A$5:$A$597,0)),""))</f>
        <v>Standard</v>
      </c>
      <c r="I45" s="23">
        <f>IF($F45="","",IFERROR(INDEX(Items!$E$5:$E$597,MATCH($F45,Items!$A$5:$A$597,0)),""))</f>
        <v>20</v>
      </c>
      <c r="J45" s="115">
        <f>IF(tblIssues[[#This Row],[Qty Override]]&lt;&gt;"",tblIssues[[#This Row],[Qty Override]],IF(tblIssues[[#This Row],[Standard Issue]]="","",tblIssues[[#This Row],[Standard Issue]]))</f>
        <v>20</v>
      </c>
      <c r="K45" s="20">
        <f>IF($F45="","",IFERROR(INDEX(Items!$D$5:$D$597,MATCH($F45,Items!$A$5:$A$597,0)),""))</f>
        <v>0</v>
      </c>
      <c r="L45" s="21">
        <f t="shared" si="4"/>
        <v>0</v>
      </c>
      <c r="M45" s="9" t="str">
        <f t="shared" si="5"/>
        <v>Sample Org</v>
      </c>
      <c r="N45" s="24">
        <f>IF($A45="","",WORKDAY($A45,Settings!$C$9,HolidayDates))</f>
        <v>46121</v>
      </c>
      <c r="O45" s="24">
        <f>IF($N45="","",WORKDAY($N45,Settings!$C$10,HolidayDates))</f>
        <v>46161</v>
      </c>
      <c r="P45" s="96" t="s">
        <v>502</v>
      </c>
      <c r="Q45" s="52" t="str">
        <f t="shared" si="0"/>
        <v>Collected</v>
      </c>
      <c r="R45" s="55" t="str">
        <f t="shared" si="6"/>
        <v>2026-04</v>
      </c>
      <c r="S45" s="55">
        <f>IF(OR($B45="",$F45="",$R45=""),"",SUMIFS(tblIssues[Qty Issued],tblIssues[Staff ID],$B45,tblIssues[Item Name],$F45,tblIssues[Month],$R45))</f>
        <v>20</v>
      </c>
      <c r="T45" s="56">
        <f>IF($I45="","",$I45*Settings!$C$11)</f>
        <v>20</v>
      </c>
      <c r="U45" s="57" t="str">
        <f t="shared" si="7"/>
        <v>OK</v>
      </c>
      <c r="V45" s="55" t="str">
        <f t="shared" si="8"/>
        <v/>
      </c>
      <c r="W45" s="55" t="str">
        <f>IF($V45="","",IF(COUNTIF($V$5:$V45,$V45)=1,1,""))</f>
        <v/>
      </c>
      <c r="X45" s="58" t="str">
        <f>IF($W45="","",MAX($X$4:X44)+1)</f>
        <v/>
      </c>
      <c r="Y45" s="62"/>
      <c r="Z45" s="62"/>
      <c r="AA45" s="64" t="str">
        <f>IF($C45="","",IFERROR(INDEX('Staff Directory'!$E$5:$E$594,MATCH($C45,'Staff Directory'!$B$5:$B$594,0)),""))</f>
        <v>firstname031.lastname031@example.com</v>
      </c>
      <c r="AB45" s="64" t="str">
        <f>IF($C45="","",IF(ISNUMBER(SEARCH($D45,Settings!$C$15)),"Pickup","Dispatch"))</f>
        <v>Dispatch</v>
      </c>
      <c r="AC45" s="64" t="str">
        <f t="shared" si="9"/>
        <v>Supply order dispatched</v>
      </c>
      <c r="AD45" s="64" t="str">
        <f t="shared" si="1"/>
        <v>Dear RN,
Your order has been dispatched and is in transit. Reply if undelivered.</v>
      </c>
      <c r="AE45" s="64" t="str">
        <f t="shared" si="2"/>
        <v>mailto:firstname031.lastname031@example.com?subject=Supply%20order%20dispatched&amp;body=Dear%20RN%2C%0A%0AYour%20order%20has%20been%20dispatched%20and%20is%20in%20transit.%20Reply%20if%20undelivered.</v>
      </c>
      <c r="AF45" s="65" t="str">
        <f t="shared" si="10"/>
        <v>Draft email</v>
      </c>
      <c r="AG45" s="64" t="str">
        <f>IF($C45="","",IFERROR(INDEX('Staff Directory'!$K$595:$K$599,MATCH($C45,'Staff Directory'!$B$5:$B$599,0)),$D45))</f>
        <v>RN</v>
      </c>
      <c r="AH45" t="str">
        <f>IF($C45="","",IFERROR(INDEX('Staff Directory'!$I$595:$I$599,MATCH($C45,'Staff Directory'!$B$5:$B$599,0))&amp;" "&amp;INDEX('Staff Directory'!$J$595:$J$599,MATCH($C45,'Staff Directory'!$B$5:$B$599,0)),$AG45))</f>
        <v>RN</v>
      </c>
      <c r="AI45" s="102" t="s">
        <v>770</v>
      </c>
      <c r="AJ45" s="101">
        <f>IF($F45="","",SUMIFS($J$5:$J45,$F$5:$F45,$F45))</f>
        <v>40</v>
      </c>
      <c r="AK45" s="101">
        <f t="shared" si="3"/>
        <v>21</v>
      </c>
      <c r="AL45" s="66" t="str" cm="1">
        <f t="array" ref="AL45">IF($F45="","",IFERROR(INDEX('Lot Balance'!$B$5:$B$500,MATCH(1,INDEX(('Lot Balance'!$A$5:$A$500=$F45)*('Lot Balance'!$K$5:$K$500&lt;$AK45)*('Lot Balance'!$K$5:$K$500+'Lot Balance'!$D$5:$D$500&gt;=$AK45),0),0)),""))</f>
        <v/>
      </c>
      <c r="AM45" s="66" t="str" cm="1">
        <f t="array" ref="AM45">IF($F45="","",IFERROR(INDEX('Lot Balance'!$B$5:$B$500,MATCH(1,INDEX(('Lot Balance'!$A$5:$A$500=$F45)*('Lot Balance'!$K$5:$K$500&lt;$AJ45)*('Lot Balance'!$K$5:$K$500+'Lot Balance'!$D$5:$D$500&gt;=$AJ45),0),0)),""))</f>
        <v/>
      </c>
      <c r="AN45" s="66" t="str">
        <f>IF($F45="","",IF($AI45&lt;&gt;"",IF(COUNTIFS('Lot Balance'!$A$5:$A$500,$F45,'Lot Balance'!$B$5:$B$500,$AI45)=0,"⚠ override is not a lot of this item",IF($AI45=$AL45,"Override = FEFO","Override - FEFO says "&amp;$AL45)),IF($AL45="","⚠ no receipt on file for this item",IF($AM45&lt;&gt;$AL45,"FEFO auto - split, also "&amp;$AM45,"FEFO auto"))))</f>
        <v>⚠ override is not a lot of this item</v>
      </c>
      <c r="AO45" s="114"/>
    </row>
    <row r="46" spans="1:41" x14ac:dyDescent="0.35">
      <c r="A46" s="74">
        <v>46113</v>
      </c>
      <c r="B46" s="18" t="str">
        <f>IF($C46="","",IFERROR(INDEX('Staff Directory'!$A$5:$A$594,MATCH($C46,'Staff Directory'!$B$5:$B$594,0)),"⚠ unknown staff"))</f>
        <v>RN-027-A1</v>
      </c>
      <c r="C46" s="49" t="s">
        <v>947</v>
      </c>
      <c r="D46" s="19" t="str">
        <f>IF($B46="","",IFERROR(INDEX('Staff Directory'!$C$5:$C$594,MATCH($B46,'Staff Directory'!$A$5:$A$594,0)),""))</f>
        <v>RN</v>
      </c>
      <c r="E46" s="19" t="str">
        <f>IF($B46="","",IFERROR(INDEX('Staff Directory'!$D$5:$D$594,MATCH($B46,'Staff Directory'!$A$5:$A$594,0)),""))</f>
        <v>A1</v>
      </c>
      <c r="F46" s="9" t="s">
        <v>159</v>
      </c>
      <c r="G46" s="18" t="str">
        <f>IF($F46="","",IFERROR(INDEX(Items!$B$5:$B$597,MATCH($F46,Items!$A$5:$A$597,0)),"⚠ not in Items"))</f>
        <v>Documents</v>
      </c>
      <c r="H46" s="19" t="str">
        <f>IF($F46="","",IFERROR(INDEX(Items!$C$5:$C$597,MATCH($F46,Items!$A$5:$A$597,0)),""))</f>
        <v>Standard</v>
      </c>
      <c r="I46" s="23">
        <f>IF($F46="","",IFERROR(INDEX(Items!$E$5:$E$597,MATCH($F46,Items!$A$5:$A$597,0)),""))</f>
        <v>20</v>
      </c>
      <c r="J46" s="115">
        <f>IF(tblIssues[[#This Row],[Qty Override]]&lt;&gt;"",tblIssues[[#This Row],[Qty Override]],IF(tblIssues[[#This Row],[Standard Issue]]="","",tblIssues[[#This Row],[Standard Issue]]))</f>
        <v>20</v>
      </c>
      <c r="K46" s="20">
        <f>IF($F46="","",IFERROR(INDEX(Items!$D$5:$D$597,MATCH($F46,Items!$A$5:$A$597,0)),""))</f>
        <v>0</v>
      </c>
      <c r="L46" s="21">
        <f t="shared" si="4"/>
        <v>0</v>
      </c>
      <c r="M46" s="9" t="str">
        <f t="shared" si="5"/>
        <v>Sample Org</v>
      </c>
      <c r="N46" s="24">
        <f>IF($A46="","",WORKDAY($A46,Settings!$C$9,HolidayDates))</f>
        <v>46121</v>
      </c>
      <c r="O46" s="24">
        <f>IF($N46="","",WORKDAY($N46,Settings!$C$10,HolidayDates))</f>
        <v>46161</v>
      </c>
      <c r="P46" s="96" t="s">
        <v>502</v>
      </c>
      <c r="Q46" s="52" t="str">
        <f t="shared" si="0"/>
        <v>Collected</v>
      </c>
      <c r="R46" s="55" t="str">
        <f t="shared" si="6"/>
        <v>2026-04</v>
      </c>
      <c r="S46" s="55">
        <f>IF(OR($B46="",$F46="",$R46=""),"",SUMIFS(tblIssues[Qty Issued],tblIssues[Staff ID],$B46,tblIssues[Item Name],$F46,tblIssues[Month],$R46))</f>
        <v>20</v>
      </c>
      <c r="T46" s="56">
        <f>IF($I46="","",$I46*Settings!$C$11)</f>
        <v>20</v>
      </c>
      <c r="U46" s="57" t="str">
        <f t="shared" si="7"/>
        <v>OK</v>
      </c>
      <c r="V46" s="55" t="str">
        <f t="shared" si="8"/>
        <v/>
      </c>
      <c r="W46" s="55" t="str">
        <f>IF($V46="","",IF(COUNTIF($V$5:$V46,$V46)=1,1,""))</f>
        <v/>
      </c>
      <c r="X46" s="58" t="str">
        <f>IF($W46="","",MAX($X$4:X45)+1)</f>
        <v/>
      </c>
      <c r="Y46" s="62"/>
      <c r="Z46" s="62"/>
      <c r="AA46" s="64" t="str">
        <f>IF($C46="","",IFERROR(INDEX('Staff Directory'!$E$5:$E$594,MATCH($C46,'Staff Directory'!$B$5:$B$594,0)),""))</f>
        <v>firstname031.lastname031@example.com</v>
      </c>
      <c r="AB46" s="64" t="str">
        <f>IF($C46="","",IF(ISNUMBER(SEARCH($D46,Settings!$C$15)),"Pickup","Dispatch"))</f>
        <v>Dispatch</v>
      </c>
      <c r="AC46" s="64" t="str">
        <f t="shared" si="9"/>
        <v>Supply order dispatched</v>
      </c>
      <c r="AD46" s="64" t="str">
        <f t="shared" si="1"/>
        <v>Dear RN,
Your order has been dispatched and is in transit. Reply if undelivered.</v>
      </c>
      <c r="AE46" s="64" t="str">
        <f t="shared" si="2"/>
        <v>mailto:firstname031.lastname031@example.com?subject=Supply%20order%20dispatched&amp;body=Dear%20RN%2C%0A%0AYour%20order%20has%20been%20dispatched%20and%20is%20in%20transit.%20Reply%20if%20undelivered.</v>
      </c>
      <c r="AF46" s="65" t="str">
        <f t="shared" si="10"/>
        <v>Draft email</v>
      </c>
      <c r="AG46" s="64" t="str">
        <f>IF($C46="","",IFERROR(INDEX('Staff Directory'!$K$595:$K$599,MATCH($C46,'Staff Directory'!$B$5:$B$599,0)),$D46))</f>
        <v>RN</v>
      </c>
      <c r="AH46" t="str">
        <f>IF($C46="","",IFERROR(INDEX('Staff Directory'!$I$595:$I$599,MATCH($C46,'Staff Directory'!$B$5:$B$599,0))&amp;" "&amp;INDEX('Staff Directory'!$J$595:$J$599,MATCH($C46,'Staff Directory'!$B$5:$B$599,0)),$AG46))</f>
        <v>RN</v>
      </c>
      <c r="AI46" s="102" t="s">
        <v>770</v>
      </c>
      <c r="AJ46" s="101">
        <f>IF($F46="","",SUMIFS($J$5:$J46,$F$5:$F46,$F46))</f>
        <v>20</v>
      </c>
      <c r="AK46" s="101">
        <f t="shared" si="3"/>
        <v>1</v>
      </c>
      <c r="AL46" s="66" t="str" cm="1">
        <f t="array" ref="AL46">IF($F46="","",IFERROR(INDEX('Lot Balance'!$B$5:$B$500,MATCH(1,INDEX(('Lot Balance'!$A$5:$A$500=$F46)*('Lot Balance'!$K$5:$K$500&lt;$AK46)*('Lot Balance'!$K$5:$K$500+'Lot Balance'!$D$5:$D$500&gt;=$AK46),0),0)),""))</f>
        <v/>
      </c>
      <c r="AM46" s="66" t="str" cm="1">
        <f t="array" ref="AM46">IF($F46="","",IFERROR(INDEX('Lot Balance'!$B$5:$B$500,MATCH(1,INDEX(('Lot Balance'!$A$5:$A$500=$F46)*('Lot Balance'!$K$5:$K$500&lt;$AJ46)*('Lot Balance'!$K$5:$K$500+'Lot Balance'!$D$5:$D$500&gt;=$AJ46),0),0)),""))</f>
        <v/>
      </c>
      <c r="AN46" s="66" t="str">
        <f>IF($F46="","",IF($AI46&lt;&gt;"",IF(COUNTIFS('Lot Balance'!$A$5:$A$500,$F46,'Lot Balance'!$B$5:$B$500,$AI46)=0,"⚠ override is not a lot of this item",IF($AI46=$AL46,"Override = FEFO","Override - FEFO says "&amp;$AL46)),IF($AL46="","⚠ no receipt on file for this item",IF($AM46&lt;&gt;$AL46,"FEFO auto - split, also "&amp;$AM46,"FEFO auto"))))</f>
        <v>⚠ override is not a lot of this item</v>
      </c>
      <c r="AO46" s="114"/>
    </row>
    <row r="47" spans="1:41" x14ac:dyDescent="0.35">
      <c r="A47" s="74">
        <v>46113</v>
      </c>
      <c r="B47" s="18" t="str">
        <f>IF($C47="","",IFERROR(INDEX('Staff Directory'!$A$5:$A$594,MATCH($C47,'Staff Directory'!$B$5:$B$594,0)),"⚠ unknown staff"))</f>
        <v>PSW-013-A5</v>
      </c>
      <c r="C47" s="49" t="s">
        <v>989</v>
      </c>
      <c r="D47" s="19" t="str">
        <f>IF($B47="","",IFERROR(INDEX('Staff Directory'!$C$5:$C$594,MATCH($B47,'Staff Directory'!$A$5:$A$594,0)),""))</f>
        <v>PSW</v>
      </c>
      <c r="E47" s="19" t="str">
        <f>IF($B47="","",IFERROR(INDEX('Staff Directory'!$D$5:$D$594,MATCH($B47,'Staff Directory'!$A$5:$A$594,0)),""))</f>
        <v>A5</v>
      </c>
      <c r="F47" s="9" t="s">
        <v>129</v>
      </c>
      <c r="G47" s="18" t="str">
        <f>IF($F47="","",IFERROR(INDEX(Items!$B$5:$B$597,MATCH($F47,Items!$A$5:$A$597,0)),"⚠ not in Items"))</f>
        <v>Gloves</v>
      </c>
      <c r="H47" s="19" t="str">
        <f>IF($F47="","",IFERROR(INDEX(Items!$C$5:$C$597,MATCH($F47,Items!$A$5:$A$597,0)),""))</f>
        <v>Small</v>
      </c>
      <c r="I47" s="23">
        <f>IF($F47="","",IFERROR(INDEX(Items!$E$5:$E$597,MATCH($F47,Items!$A$5:$A$597,0)),""))</f>
        <v>500</v>
      </c>
      <c r="J47" s="115">
        <f>IF(tblIssues[[#This Row],[Qty Override]]&lt;&gt;"",tblIssues[[#This Row],[Qty Override]],IF(tblIssues[[#This Row],[Standard Issue]]="","",tblIssues[[#This Row],[Standard Issue]]))</f>
        <v>500</v>
      </c>
      <c r="K47" s="20">
        <f>IF($F47="","",IFERROR(INDEX(Items!$D$5:$D$597,MATCH($F47,Items!$A$5:$A$597,0)),""))</f>
        <v>5.5E-2</v>
      </c>
      <c r="L47" s="21">
        <f t="shared" si="4"/>
        <v>27.5</v>
      </c>
      <c r="M47" s="9" t="str">
        <f t="shared" si="5"/>
        <v>O210LIC25</v>
      </c>
      <c r="N47" s="24">
        <f>IF($A47="","",WORKDAY($A47,Settings!$C$9,HolidayDates))</f>
        <v>46121</v>
      </c>
      <c r="O47" s="24">
        <f>IF($N47="","",WORKDAY($N47,Settings!$C$10,HolidayDates))</f>
        <v>46161</v>
      </c>
      <c r="P47" s="10" t="s">
        <v>501</v>
      </c>
      <c r="Q47" s="52" t="str">
        <f t="shared" si="0"/>
        <v>Collected</v>
      </c>
      <c r="R47" s="55" t="str">
        <f t="shared" si="6"/>
        <v>2026-04</v>
      </c>
      <c r="S47" s="55">
        <f>IF(OR($B47="",$F47="",$R47=""),"",SUMIFS(tblIssues[Qty Issued],tblIssues[Staff ID],$B47,tblIssues[Item Name],$F47,tblIssues[Month],$R47))</f>
        <v>500</v>
      </c>
      <c r="T47" s="56">
        <f>IF($I47="","",$I47*Settings!$C$11)</f>
        <v>500</v>
      </c>
      <c r="U47" s="57" t="str">
        <f t="shared" si="7"/>
        <v>OK</v>
      </c>
      <c r="V47" s="55" t="str">
        <f t="shared" si="8"/>
        <v/>
      </c>
      <c r="W47" s="55" t="str">
        <f>IF($V47="","",IF(COUNTIF($V$5:$V47,$V47)=1,1,""))</f>
        <v/>
      </c>
      <c r="X47" s="58" t="str">
        <f>IF($W47="","",MAX($X$4:X46)+1)</f>
        <v/>
      </c>
      <c r="Y47" s="62"/>
      <c r="Z47" s="62"/>
      <c r="AA47" s="64" t="str">
        <f>IF($C47="","",IFERROR(INDEX('Staff Directory'!$E$5:$E$594,MATCH($C47,'Staff Directory'!$B$5:$B$594,0)),""))</f>
        <v>firstname073.lastname073@example.com</v>
      </c>
      <c r="AB47" s="64" t="str">
        <f>IF($C47="","",IF(ISNUMBER(SEARCH($D47,Settings!$C$15)),"Pickup","Dispatch"))</f>
        <v>Pickup</v>
      </c>
      <c r="AC47" s="64" t="str">
        <f t="shared" si="9"/>
        <v>Supply order ready for pickup</v>
      </c>
      <c r="AD47" s="64" t="str">
        <f t="shared" si="1"/>
        <v>Dear PSW,
Your order is ready for pickup from Sample Branch, Wed-Fri 9am-4pm.</v>
      </c>
      <c r="AE47" s="64" t="str">
        <f t="shared" si="2"/>
        <v>mailto:firstname073.lastname073@example.com?subject=Supply%20order%20ready%20for%20pickup&amp;body=Dear%20PSW%2C%0A%0AYour%20order%20is%20ready%20for%20pickup%20from%20Sample%20Branch%2C%20Wed-Fri%209am-4pm.</v>
      </c>
      <c r="AF47" s="65" t="str">
        <f t="shared" si="10"/>
        <v>Draft email</v>
      </c>
      <c r="AG47" s="64" t="str">
        <f>IF($C47="","",IFERROR(INDEX('Staff Directory'!$K$595:$K$599,MATCH($C47,'Staff Directory'!$B$5:$B$599,0)),$D47))</f>
        <v>PSW</v>
      </c>
      <c r="AH47" t="str">
        <f>IF($C47="","",IFERROR(INDEX('Staff Directory'!$I$595:$I$599,MATCH($C47,'Staff Directory'!$B$5:$B$599,0))&amp;" "&amp;INDEX('Staff Directory'!$J$595:$J$599,MATCH($C47,'Staff Directory'!$B$5:$B$599,0)),$AG47))</f>
        <v>PSW</v>
      </c>
      <c r="AI47" s="102" t="s">
        <v>428</v>
      </c>
      <c r="AJ47" s="101">
        <f>IF($F47="","",SUMIFS($J$5:$J47,$F$5:$F47,$F47))</f>
        <v>3000</v>
      </c>
      <c r="AK47" s="101">
        <f t="shared" si="3"/>
        <v>2501</v>
      </c>
      <c r="AL47" s="66" t="str" cm="1">
        <f t="array" ref="AL47">IF($F47="","",IFERROR(INDEX('Lot Balance'!$B$5:$B$500,MATCH(1,INDEX(('Lot Balance'!$A$5:$A$500=$F47)*('Lot Balance'!$K$5:$K$500&lt;$AK47)*('Lot Balance'!$K$5:$K$500+'Lot Balance'!$D$5:$D$500&gt;=$AK47),0),0)),""))</f>
        <v>ZIM512142069</v>
      </c>
      <c r="AM47" s="66" t="str" cm="1">
        <f t="array" ref="AM47">IF($F47="","",IFERROR(INDEX('Lot Balance'!$B$5:$B$500,MATCH(1,INDEX(('Lot Balance'!$A$5:$A$500=$F47)*('Lot Balance'!$K$5:$K$500&lt;$AJ47)*('Lot Balance'!$K$5:$K$500+'Lot Balance'!$D$5:$D$500&gt;=$AJ47),0),0)),""))</f>
        <v>ZIM504124207-4</v>
      </c>
      <c r="AN47" s="66" t="str">
        <f>IF($F47="","",IF($AI47&lt;&gt;"",IF(COUNTIFS('Lot Balance'!$A$5:$A$500,$F47,'Lot Balance'!$B$5:$B$500,$AI47)=0,"⚠ override is not a lot of this item",IF($AI47=$AL47,"Override = FEFO","Override - FEFO says "&amp;$AL47)),IF($AL47="","⚠ no receipt on file for this item",IF($AM47&lt;&gt;$AL47,"FEFO auto - split, also "&amp;$AM47,"FEFO auto"))))</f>
        <v>Override - FEFO says ZIM512142069</v>
      </c>
      <c r="AO47" s="114"/>
    </row>
    <row r="48" spans="1:41" x14ac:dyDescent="0.35">
      <c r="A48" s="74">
        <v>46113</v>
      </c>
      <c r="B48" s="18" t="str">
        <f>IF($C48="","",IFERROR(INDEX('Staff Directory'!$A$5:$A$594,MATCH($C48,'Staff Directory'!$B$5:$B$594,0)),"⚠ unknown staff"))</f>
        <v>PSW-013-A5</v>
      </c>
      <c r="C48" s="49" t="s">
        <v>989</v>
      </c>
      <c r="D48" s="19" t="str">
        <f>IF($B48="","",IFERROR(INDEX('Staff Directory'!$C$5:$C$594,MATCH($B48,'Staff Directory'!$A$5:$A$594,0)),""))</f>
        <v>PSW</v>
      </c>
      <c r="E48" s="19" t="str">
        <f>IF($B48="","",IFERROR(INDEX('Staff Directory'!$D$5:$D$594,MATCH($B48,'Staff Directory'!$A$5:$A$594,0)),""))</f>
        <v>A5</v>
      </c>
      <c r="F48" s="9" t="s">
        <v>137</v>
      </c>
      <c r="G48" s="18" t="str">
        <f>IF($F48="","",IFERROR(INDEX(Items!$B$5:$B$597,MATCH($F48,Items!$A$5:$A$597,0)),"⚠ not in Items"))</f>
        <v>Sanitizer</v>
      </c>
      <c r="H48" s="19" t="str">
        <f>IF($F48="","",IFERROR(INDEX(Items!$C$5:$C$597,MATCH($F48,Items!$A$5:$A$597,0)),""))</f>
        <v>118 ML</v>
      </c>
      <c r="I48" s="23">
        <f>IF($F48="","",IFERROR(INDEX(Items!$E$5:$E$597,MATCH($F48,Items!$A$5:$A$597,0)),""))</f>
        <v>2</v>
      </c>
      <c r="J48" s="115">
        <f>IF(tblIssues[[#This Row],[Qty Override]]&lt;&gt;"",tblIssues[[#This Row],[Qty Override]],IF(tblIssues[[#This Row],[Standard Issue]]="","",tblIssues[[#This Row],[Standard Issue]]))</f>
        <v>2</v>
      </c>
      <c r="K48" s="20">
        <f>IF($F48="","",IFERROR(INDEX(Items!$D$5:$D$597,MATCH($F48,Items!$A$5:$A$597,0)),""))</f>
        <v>4.49</v>
      </c>
      <c r="L48" s="21">
        <f t="shared" si="4"/>
        <v>8.98</v>
      </c>
      <c r="M48" s="9" t="str">
        <f t="shared" si="5"/>
        <v>563963-5</v>
      </c>
      <c r="N48" s="24">
        <f>IF($A48="","",WORKDAY($A48,Settings!$C$9,HolidayDates))</f>
        <v>46121</v>
      </c>
      <c r="O48" s="24">
        <f>IF($N48="","",WORKDAY($N48,Settings!$C$10,HolidayDates))</f>
        <v>46161</v>
      </c>
      <c r="P48" s="10" t="s">
        <v>501</v>
      </c>
      <c r="Q48" s="52" t="str">
        <f t="shared" si="0"/>
        <v>Collected</v>
      </c>
      <c r="R48" s="55" t="str">
        <f t="shared" si="6"/>
        <v>2026-04</v>
      </c>
      <c r="S48" s="55">
        <f>IF(OR($B48="",$F48="",$R48=""),"",SUMIFS(tblIssues[Qty Issued],tblIssues[Staff ID],$B48,tblIssues[Item Name],$F48,tblIssues[Month],$R48))</f>
        <v>2</v>
      </c>
      <c r="T48" s="56">
        <f>IF($I48="","",$I48*Settings!$C$11)</f>
        <v>2</v>
      </c>
      <c r="U48" s="57" t="str">
        <f t="shared" si="7"/>
        <v>OK</v>
      </c>
      <c r="V48" s="55" t="str">
        <f t="shared" si="8"/>
        <v/>
      </c>
      <c r="W48" s="55" t="str">
        <f>IF($V48="","",IF(COUNTIF($V$5:$V48,$V48)=1,1,""))</f>
        <v/>
      </c>
      <c r="X48" s="58" t="str">
        <f>IF($W48="","",MAX($X$4:X47)+1)</f>
        <v/>
      </c>
      <c r="Y48" s="62"/>
      <c r="Z48" s="62"/>
      <c r="AA48" s="64" t="str">
        <f>IF($C48="","",IFERROR(INDEX('Staff Directory'!$E$5:$E$594,MATCH($C48,'Staff Directory'!$B$5:$B$594,0)),""))</f>
        <v>firstname073.lastname073@example.com</v>
      </c>
      <c r="AB48" s="64" t="str">
        <f>IF($C48="","",IF(ISNUMBER(SEARCH($D48,Settings!$C$15)),"Pickup","Dispatch"))</f>
        <v>Pickup</v>
      </c>
      <c r="AC48" s="64" t="str">
        <f t="shared" si="9"/>
        <v>Supply order ready for pickup</v>
      </c>
      <c r="AD48" s="64" t="str">
        <f t="shared" si="1"/>
        <v>Dear PSW,
Your order is ready for pickup from Sample Branch, Wed-Fri 9am-4pm.</v>
      </c>
      <c r="AE48" s="64" t="str">
        <f t="shared" si="2"/>
        <v>mailto:firstname073.lastname073@example.com?subject=Supply%20order%20ready%20for%20pickup&amp;body=Dear%20PSW%2C%0A%0AYour%20order%20is%20ready%20for%20pickup%20from%20Sample%20Branch%2C%20Wed-Fri%209am-4pm.</v>
      </c>
      <c r="AF48" s="65" t="str">
        <f t="shared" si="10"/>
        <v>Draft email</v>
      </c>
      <c r="AG48" s="64" t="str">
        <f>IF($C48="","",IFERROR(INDEX('Staff Directory'!$K$595:$K$599,MATCH($C48,'Staff Directory'!$B$5:$B$599,0)),$D48))</f>
        <v>PSW</v>
      </c>
      <c r="AH48" t="str">
        <f>IF($C48="","",IFERROR(INDEX('Staff Directory'!$I$595:$I$599,MATCH($C48,'Staff Directory'!$B$5:$B$599,0))&amp;" "&amp;INDEX('Staff Directory'!$J$595:$J$599,MATCH($C48,'Staff Directory'!$B$5:$B$599,0)),$AG48))</f>
        <v>PSW</v>
      </c>
      <c r="AI48" s="102" t="s">
        <v>456</v>
      </c>
      <c r="AJ48" s="101">
        <f>IF($F48="","",SUMIFS($J$5:$J48,$F$5:$F48,$F48))</f>
        <v>18</v>
      </c>
      <c r="AK48" s="101">
        <f t="shared" si="3"/>
        <v>17</v>
      </c>
      <c r="AL48" s="66" t="str" cm="1">
        <f t="array" ref="AL48">IF($F48="","",IFERROR(INDEX('Lot Balance'!$B$5:$B$500,MATCH(1,INDEX(('Lot Balance'!$A$5:$A$500=$F48)*('Lot Balance'!$K$5:$K$500&lt;$AK48)*('Lot Balance'!$K$5:$K$500+'Lot Balance'!$D$5:$D$500&gt;=$AK48),0),0)),""))</f>
        <v>563963-5</v>
      </c>
      <c r="AM48" s="66" t="str" cm="1">
        <f t="array" ref="AM48">IF($F48="","",IFERROR(INDEX('Lot Balance'!$B$5:$B$500,MATCH(1,INDEX(('Lot Balance'!$A$5:$A$500=$F48)*('Lot Balance'!$K$5:$K$500&lt;$AJ48)*('Lot Balance'!$K$5:$K$500+'Lot Balance'!$D$5:$D$500&gt;=$AJ48),0),0)),""))</f>
        <v>563963-5</v>
      </c>
      <c r="AN48" s="66" t="str">
        <f>IF($F48="","",IF($AI48&lt;&gt;"",IF(COUNTIFS('Lot Balance'!$A$5:$A$500,$F48,'Lot Balance'!$B$5:$B$500,$AI48)=0,"⚠ override is not a lot of this item",IF($AI48=$AL48,"Override = FEFO","Override - FEFO says "&amp;$AL48)),IF($AL48="","⚠ no receipt on file for this item",IF($AM48&lt;&gt;$AL48,"FEFO auto - split, also "&amp;$AM48,"FEFO auto"))))</f>
        <v>Override = FEFO</v>
      </c>
      <c r="AO48" s="114"/>
    </row>
    <row r="49" spans="1:41" x14ac:dyDescent="0.35">
      <c r="A49" s="74">
        <v>46113</v>
      </c>
      <c r="B49" s="18" t="str">
        <f>IF($C49="","",IFERROR(INDEX('Staff Directory'!$A$5:$A$594,MATCH($C49,'Staff Directory'!$B$5:$B$594,0)),"⚠ unknown staff"))</f>
        <v>PSW-013-A5</v>
      </c>
      <c r="C49" s="49" t="s">
        <v>989</v>
      </c>
      <c r="D49" s="19" t="str">
        <f>IF($B49="","",IFERROR(INDEX('Staff Directory'!$C$5:$C$594,MATCH($B49,'Staff Directory'!$A$5:$A$594,0)),""))</f>
        <v>PSW</v>
      </c>
      <c r="E49" s="19" t="str">
        <f>IF($B49="","",IFERROR(INDEX('Staff Directory'!$D$5:$D$594,MATCH($B49,'Staff Directory'!$A$5:$A$594,0)),""))</f>
        <v>A5</v>
      </c>
      <c r="F49" s="9" t="s">
        <v>115</v>
      </c>
      <c r="G49" s="18" t="str">
        <f>IF($F49="","",IFERROR(INDEX(Items!$B$5:$B$597,MATCH($F49,Items!$A$5:$A$597,0)),"⚠ not in Items"))</f>
        <v>Wipes</v>
      </c>
      <c r="H49" s="19">
        <f>IF($F49="","",IFERROR(INDEX(Items!$C$5:$C$597,MATCH($F49,Items!$A$5:$A$597,0)),""))</f>
        <v>80</v>
      </c>
      <c r="I49" s="23">
        <f>IF($F49="","",IFERROR(INDEX(Items!$E$5:$E$597,MATCH($F49,Items!$A$5:$A$597,0)),""))</f>
        <v>80</v>
      </c>
      <c r="J49" s="115">
        <f>IF(tblIssues[[#This Row],[Qty Override]]&lt;&gt;"",tblIssues[[#This Row],[Qty Override]],IF(tblIssues[[#This Row],[Standard Issue]]="","",tblIssues[[#This Row],[Standard Issue]]))</f>
        <v>80</v>
      </c>
      <c r="K49" s="20">
        <f>IF($F49="","",IFERROR(INDEX(Items!$D$5:$D$597,MATCH($F49,Items!$A$5:$A$597,0)),""))</f>
        <v>0.1</v>
      </c>
      <c r="L49" s="21">
        <f t="shared" si="4"/>
        <v>8</v>
      </c>
      <c r="M49" s="9" t="str">
        <f t="shared" si="5"/>
        <v>LYSL500290</v>
      </c>
      <c r="N49" s="24">
        <f>IF($A49="","",WORKDAY($A49,Settings!$C$9,HolidayDates))</f>
        <v>46121</v>
      </c>
      <c r="O49" s="24">
        <f>IF($N49="","",WORKDAY($N49,Settings!$C$10,HolidayDates))</f>
        <v>46161</v>
      </c>
      <c r="P49" s="10" t="s">
        <v>501</v>
      </c>
      <c r="Q49" s="52" t="str">
        <f t="shared" si="0"/>
        <v>Collected</v>
      </c>
      <c r="R49" s="55" t="str">
        <f t="shared" si="6"/>
        <v>2026-04</v>
      </c>
      <c r="S49" s="55">
        <f>IF(OR($B49="",$F49="",$R49=""),"",SUMIFS(tblIssues[Qty Issued],tblIssues[Staff ID],$B49,tblIssues[Item Name],$F49,tblIssues[Month],$R49))</f>
        <v>80</v>
      </c>
      <c r="T49" s="56">
        <f>IF($I49="","",$I49*Settings!$C$11)</f>
        <v>80</v>
      </c>
      <c r="U49" s="57" t="str">
        <f t="shared" si="7"/>
        <v>OK</v>
      </c>
      <c r="V49" s="55" t="str">
        <f t="shared" si="8"/>
        <v/>
      </c>
      <c r="W49" s="55" t="str">
        <f>IF($V49="","",IF(COUNTIF($V$5:$V49,$V49)=1,1,""))</f>
        <v/>
      </c>
      <c r="X49" s="58" t="str">
        <f>IF($W49="","",MAX($X$4:X48)+1)</f>
        <v/>
      </c>
      <c r="Y49" s="62"/>
      <c r="Z49" s="62"/>
      <c r="AA49" s="64" t="str">
        <f>IF($C49="","",IFERROR(INDEX('Staff Directory'!$E$5:$E$594,MATCH($C49,'Staff Directory'!$B$5:$B$594,0)),""))</f>
        <v>firstname073.lastname073@example.com</v>
      </c>
      <c r="AB49" s="64" t="str">
        <f>IF($C49="","",IF(ISNUMBER(SEARCH($D49,Settings!$C$15)),"Pickup","Dispatch"))</f>
        <v>Pickup</v>
      </c>
      <c r="AC49" s="64" t="str">
        <f t="shared" si="9"/>
        <v>Supply order ready for pickup</v>
      </c>
      <c r="AD49" s="64" t="str">
        <f t="shared" si="1"/>
        <v>Dear PSW,
Your order is ready for pickup from Sample Branch, Wed-Fri 9am-4pm.</v>
      </c>
      <c r="AE49" s="64" t="str">
        <f t="shared" si="2"/>
        <v>mailto:firstname073.lastname073@example.com?subject=Supply%20order%20ready%20for%20pickup&amp;body=Dear%20PSW%2C%0A%0AYour%20order%20is%20ready%20for%20pickup%20from%20Sample%20Branch%2C%20Wed-Fri%209am-4pm.</v>
      </c>
      <c r="AF49" s="65" t="str">
        <f t="shared" si="10"/>
        <v>Draft email</v>
      </c>
      <c r="AG49" s="64" t="str">
        <f>IF($C49="","",IFERROR(INDEX('Staff Directory'!$K$595:$K$599,MATCH($C49,'Staff Directory'!$B$5:$B$599,0)),$D49))</f>
        <v>PSW</v>
      </c>
      <c r="AH49" t="str">
        <f>IF($C49="","",IFERROR(INDEX('Staff Directory'!$I$595:$I$599,MATCH($C49,'Staff Directory'!$B$5:$B$599,0))&amp;" "&amp;INDEX('Staff Directory'!$J$595:$J$599,MATCH($C49,'Staff Directory'!$B$5:$B$599,0)),$AG49))</f>
        <v>PSW</v>
      </c>
      <c r="AI49" s="102" t="s">
        <v>386</v>
      </c>
      <c r="AJ49" s="101">
        <f>IF($F49="","",SUMIFS($J$5:$J49,$F$5:$F49,$F49))</f>
        <v>960</v>
      </c>
      <c r="AK49" s="101">
        <f t="shared" si="3"/>
        <v>881</v>
      </c>
      <c r="AL49" s="66" t="str" cm="1">
        <f t="array" ref="AL49">IF($F49="","",IFERROR(INDEX('Lot Balance'!$B$5:$B$500,MATCH(1,INDEX(('Lot Balance'!$A$5:$A$500=$F49)*('Lot Balance'!$K$5:$K$500&lt;$AK49)*('Lot Balance'!$K$5:$K$500+'Lot Balance'!$D$5:$D$500&gt;=$AK49),0),0)),""))</f>
        <v>LYSL500290</v>
      </c>
      <c r="AM49" s="66" t="str" cm="1">
        <f t="array" ref="AM49">IF($F49="","",IFERROR(INDEX('Lot Balance'!$B$5:$B$500,MATCH(1,INDEX(('Lot Balance'!$A$5:$A$500=$F49)*('Lot Balance'!$K$5:$K$500&lt;$AJ49)*('Lot Balance'!$K$5:$K$500+'Lot Balance'!$D$5:$D$500&gt;=$AJ49),0),0)),""))</f>
        <v>LYSL500290</v>
      </c>
      <c r="AN49" s="66" t="str">
        <f>IF($F49="","",IF($AI49&lt;&gt;"",IF(COUNTIFS('Lot Balance'!$A$5:$A$500,$F49,'Lot Balance'!$B$5:$B$500,$AI49)=0,"⚠ override is not a lot of this item",IF($AI49=$AL49,"Override = FEFO","Override - FEFO says "&amp;$AL49)),IF($AL49="","⚠ no receipt on file for this item",IF($AM49&lt;&gt;$AL49,"FEFO auto - split, also "&amp;$AM49,"FEFO auto"))))</f>
        <v>Override = FEFO</v>
      </c>
      <c r="AO49" s="114"/>
    </row>
    <row r="50" spans="1:41" x14ac:dyDescent="0.35">
      <c r="A50" s="74">
        <v>46113</v>
      </c>
      <c r="B50" s="18" t="str">
        <f>IF($C50="","",IFERROR(INDEX('Staff Directory'!$A$5:$A$594,MATCH($C50,'Staff Directory'!$B$5:$B$594,0)),"⚠ unknown staff"))</f>
        <v>PSW-013-A5</v>
      </c>
      <c r="C50" s="49" t="s">
        <v>989</v>
      </c>
      <c r="D50" s="19" t="str">
        <f>IF($B50="","",IFERROR(INDEX('Staff Directory'!$C$5:$C$594,MATCH($B50,'Staff Directory'!$A$5:$A$594,0)),""))</f>
        <v>PSW</v>
      </c>
      <c r="E50" s="19" t="str">
        <f>IF($B50="","",IFERROR(INDEX('Staff Directory'!$D$5:$D$594,MATCH($B50,'Staff Directory'!$A$5:$A$594,0)),""))</f>
        <v>A5</v>
      </c>
      <c r="F50" s="9" t="s">
        <v>156</v>
      </c>
      <c r="G50" s="18" t="str">
        <f>IF($F50="","",IFERROR(INDEX(Items!$B$5:$B$597,MATCH($F50,Items!$A$5:$A$597,0)),"⚠ not in Items"))</f>
        <v>Masks</v>
      </c>
      <c r="H50" s="19" t="str">
        <f>IF($F50="","",IFERROR(INDEX(Items!$C$5:$C$597,MATCH($F50,Items!$A$5:$A$597,0)),""))</f>
        <v>One Size</v>
      </c>
      <c r="I50" s="23">
        <f>IF($F50="","",IFERROR(INDEX(Items!$E$5:$E$597,MATCH($F50,Items!$A$5:$A$597,0)),""))</f>
        <v>50</v>
      </c>
      <c r="J50" s="115">
        <f>IF(tblIssues[[#This Row],[Qty Override]]&lt;&gt;"",tblIssues[[#This Row],[Qty Override]],IF(tblIssues[[#This Row],[Standard Issue]]="","",tblIssues[[#This Row],[Standard Issue]]))</f>
        <v>50</v>
      </c>
      <c r="K50" s="20">
        <f>IF($F50="","",IFERROR(INDEX(Items!$D$5:$D$597,MATCH($F50,Items!$A$5:$A$597,0)),""))</f>
        <v>0.25</v>
      </c>
      <c r="L50" s="21">
        <f t="shared" si="4"/>
        <v>12.5</v>
      </c>
      <c r="M50" s="9" t="str">
        <f t="shared" si="5"/>
        <v>0125FPC24-0</v>
      </c>
      <c r="N50" s="24">
        <f>IF($A50="","",WORKDAY($A50,Settings!$C$9,HolidayDates))</f>
        <v>46121</v>
      </c>
      <c r="O50" s="24">
        <f>IF($N50="","",WORKDAY($N50,Settings!$C$10,HolidayDates))</f>
        <v>46161</v>
      </c>
      <c r="P50" s="10" t="s">
        <v>501</v>
      </c>
      <c r="Q50" s="52" t="str">
        <f t="shared" si="0"/>
        <v>Collected</v>
      </c>
      <c r="R50" s="55" t="str">
        <f t="shared" si="6"/>
        <v>2026-04</v>
      </c>
      <c r="S50" s="55">
        <f>IF(OR($B50="",$F50="",$R50=""),"",SUMIFS(tblIssues[Qty Issued],tblIssues[Staff ID],$B50,tblIssues[Item Name],$F50,tblIssues[Month],$R50))</f>
        <v>50</v>
      </c>
      <c r="T50" s="56">
        <f>IF($I50="","",$I50*Settings!$C$11)</f>
        <v>50</v>
      </c>
      <c r="U50" s="57" t="str">
        <f t="shared" si="7"/>
        <v>OK</v>
      </c>
      <c r="V50" s="55" t="str">
        <f t="shared" si="8"/>
        <v/>
      </c>
      <c r="W50" s="55" t="str">
        <f>IF($V50="","",IF(COUNTIF($V$5:$V50,$V50)=1,1,""))</f>
        <v/>
      </c>
      <c r="X50" s="58" t="str">
        <f>IF($W50="","",MAX($X$4:X49)+1)</f>
        <v/>
      </c>
      <c r="Y50" s="62"/>
      <c r="Z50" s="62"/>
      <c r="AA50" s="64" t="str">
        <f>IF($C50="","",IFERROR(INDEX('Staff Directory'!$E$5:$E$594,MATCH($C50,'Staff Directory'!$B$5:$B$594,0)),""))</f>
        <v>firstname073.lastname073@example.com</v>
      </c>
      <c r="AB50" s="64" t="str">
        <f>IF($C50="","",IF(ISNUMBER(SEARCH($D50,Settings!$C$15)),"Pickup","Dispatch"))</f>
        <v>Pickup</v>
      </c>
      <c r="AC50" s="64" t="str">
        <f t="shared" si="9"/>
        <v>Supply order ready for pickup</v>
      </c>
      <c r="AD50" s="64" t="str">
        <f t="shared" si="1"/>
        <v>Dear PSW,
Your order is ready for pickup from Sample Branch, Wed-Fri 9am-4pm.</v>
      </c>
      <c r="AE50" s="64" t="str">
        <f t="shared" si="2"/>
        <v>mailto:firstname073.lastname073@example.com?subject=Supply%20order%20ready%20for%20pickup&amp;body=Dear%20PSW%2C%0A%0AYour%20order%20is%20ready%20for%20pickup%20from%20Sample%20Branch%2C%20Wed-Fri%209am-4pm.</v>
      </c>
      <c r="AF50" s="65" t="str">
        <f t="shared" si="10"/>
        <v>Draft email</v>
      </c>
      <c r="AG50" s="64" t="str">
        <f>IF($C50="","",IFERROR(INDEX('Staff Directory'!$K$595:$K$599,MATCH($C50,'Staff Directory'!$B$5:$B$599,0)),$D50))</f>
        <v>PSW</v>
      </c>
      <c r="AH50" t="str">
        <f>IF($C50="","",IFERROR(INDEX('Staff Directory'!$I$595:$I$599,MATCH($C50,'Staff Directory'!$B$5:$B$599,0))&amp;" "&amp;INDEX('Staff Directory'!$J$595:$J$599,MATCH($C50,'Staff Directory'!$B$5:$B$599,0)),$AG50))</f>
        <v>PSW</v>
      </c>
      <c r="AI50" s="102" t="s">
        <v>474</v>
      </c>
      <c r="AJ50" s="101">
        <f>IF($F50="","",SUMIFS($J$5:$J50,$F$5:$F50,$F50))</f>
        <v>450</v>
      </c>
      <c r="AK50" s="101">
        <f t="shared" si="3"/>
        <v>401</v>
      </c>
      <c r="AL50" s="66" t="str" cm="1">
        <f t="array" ref="AL50">IF($F50="","",IFERROR(INDEX('Lot Balance'!$B$5:$B$500,MATCH(1,INDEX(('Lot Balance'!$A$5:$A$500=$F50)*('Lot Balance'!$K$5:$K$500&lt;$AK50)*('Lot Balance'!$K$5:$K$500+'Lot Balance'!$D$5:$D$500&gt;=$AK50),0),0)),""))</f>
        <v>0125FPC24-0</v>
      </c>
      <c r="AM50" s="66" t="str" cm="1">
        <f t="array" ref="AM50">IF($F50="","",IFERROR(INDEX('Lot Balance'!$B$5:$B$500,MATCH(1,INDEX(('Lot Balance'!$A$5:$A$500=$F50)*('Lot Balance'!$K$5:$K$500&lt;$AJ50)*('Lot Balance'!$K$5:$K$500+'Lot Balance'!$D$5:$D$500&gt;=$AJ50),0),0)),""))</f>
        <v>0125FPC24-0</v>
      </c>
      <c r="AN50" s="66" t="str">
        <f>IF($F50="","",IF($AI50&lt;&gt;"",IF(COUNTIFS('Lot Balance'!$A$5:$A$500,$F50,'Lot Balance'!$B$5:$B$500,$AI50)=0,"⚠ override is not a lot of this item",IF($AI50=$AL50,"Override = FEFO","Override - FEFO says "&amp;$AL50)),IF($AL50="","⚠ no receipt on file for this item",IF($AM50&lt;&gt;$AL50,"FEFO auto - split, also "&amp;$AM50,"FEFO auto"))))</f>
        <v>Override = FEFO</v>
      </c>
      <c r="AO50" s="114"/>
    </row>
    <row r="51" spans="1:41" x14ac:dyDescent="0.35">
      <c r="A51" s="74">
        <v>46113</v>
      </c>
      <c r="B51" s="18" t="str">
        <f>IF($C51="","",IFERROR(INDEX('Staff Directory'!$A$5:$A$594,MATCH($C51,'Staff Directory'!$B$5:$B$594,0)),"⚠ unknown staff"))</f>
        <v>PSW-142-A6</v>
      </c>
      <c r="C51" s="49" t="s">
        <v>1121</v>
      </c>
      <c r="D51" s="19" t="str">
        <f>IF($B51="","",IFERROR(INDEX('Staff Directory'!$C$5:$C$594,MATCH($B51,'Staff Directory'!$A$5:$A$594,0)),""))</f>
        <v>PSW</v>
      </c>
      <c r="E51" s="19" t="str">
        <f>IF($B51="","",IFERROR(INDEX('Staff Directory'!$D$5:$D$594,MATCH($B51,'Staff Directory'!$A$5:$A$594,0)),""))</f>
        <v>A6</v>
      </c>
      <c r="F51" s="9" t="s">
        <v>129</v>
      </c>
      <c r="G51" s="18" t="str">
        <f>IF($F51="","",IFERROR(INDEX(Items!$B$5:$B$597,MATCH($F51,Items!$A$5:$A$597,0)),"⚠ not in Items"))</f>
        <v>Gloves</v>
      </c>
      <c r="H51" s="19" t="str">
        <f>IF($F51="","",IFERROR(INDEX(Items!$C$5:$C$597,MATCH($F51,Items!$A$5:$A$597,0)),""))</f>
        <v>Small</v>
      </c>
      <c r="I51" s="23">
        <f>IF($F51="","",IFERROR(INDEX(Items!$E$5:$E$597,MATCH($F51,Items!$A$5:$A$597,0)),""))</f>
        <v>500</v>
      </c>
      <c r="J51" s="115">
        <f>IF(tblIssues[[#This Row],[Qty Override]]&lt;&gt;"",tblIssues[[#This Row],[Qty Override]],IF(tblIssues[[#This Row],[Standard Issue]]="","",tblIssues[[#This Row],[Standard Issue]]))</f>
        <v>500</v>
      </c>
      <c r="K51" s="20">
        <f>IF($F51="","",IFERROR(INDEX(Items!$D$5:$D$597,MATCH($F51,Items!$A$5:$A$597,0)),""))</f>
        <v>5.5E-2</v>
      </c>
      <c r="L51" s="21">
        <f t="shared" si="4"/>
        <v>27.5</v>
      </c>
      <c r="M51" s="9" t="str">
        <f t="shared" si="5"/>
        <v>O210LIC25</v>
      </c>
      <c r="N51" s="24">
        <f>IF($A51="","",WORKDAY($A51,Settings!$C$9,HolidayDates))</f>
        <v>46121</v>
      </c>
      <c r="O51" s="24">
        <f>IF($N51="","",WORKDAY($N51,Settings!$C$10,HolidayDates))</f>
        <v>46161</v>
      </c>
      <c r="P51" s="10" t="s">
        <v>501</v>
      </c>
      <c r="Q51" s="52" t="str">
        <f t="shared" si="0"/>
        <v>Collected</v>
      </c>
      <c r="R51" s="55" t="str">
        <f t="shared" si="6"/>
        <v>2026-04</v>
      </c>
      <c r="S51" s="55">
        <f>IF(OR($B51="",$F51="",$R51=""),"",SUMIFS(tblIssues[Qty Issued],tblIssues[Staff ID],$B51,tblIssues[Item Name],$F51,tblIssues[Month],$R51))</f>
        <v>500</v>
      </c>
      <c r="T51" s="56">
        <f>IF($I51="","",$I51*Settings!$C$11)</f>
        <v>500</v>
      </c>
      <c r="U51" s="57" t="str">
        <f t="shared" si="7"/>
        <v>OK</v>
      </c>
      <c r="V51" s="55" t="str">
        <f t="shared" si="8"/>
        <v/>
      </c>
      <c r="W51" s="55" t="str">
        <f>IF($V51="","",IF(COUNTIF($V$5:$V51,$V51)=1,1,""))</f>
        <v/>
      </c>
      <c r="X51" s="58" t="str">
        <f>IF($W51="","",MAX($X$4:X50)+1)</f>
        <v/>
      </c>
      <c r="Y51" s="62"/>
      <c r="Z51" s="62"/>
      <c r="AA51" s="64" t="str">
        <f>IF($C51="","",IFERROR(INDEX('Staff Directory'!$E$5:$E$594,MATCH($C51,'Staff Directory'!$B$5:$B$594,0)),""))</f>
        <v>firstname205.lastname205@example.com</v>
      </c>
      <c r="AB51" s="64" t="str">
        <f>IF($C51="","",IF(ISNUMBER(SEARCH($D51,Settings!$C$15)),"Pickup","Dispatch"))</f>
        <v>Pickup</v>
      </c>
      <c r="AC51" s="64" t="str">
        <f t="shared" si="9"/>
        <v>Supply order ready for pickup</v>
      </c>
      <c r="AD51" s="64" t="str">
        <f t="shared" si="1"/>
        <v>Dear PSW,
Your order is ready for pickup from Sample Branch, Wed-Fri 9am-4pm.</v>
      </c>
      <c r="AE51" s="64" t="str">
        <f t="shared" si="2"/>
        <v>mailto:firstname205.lastname205@example.com?subject=Supply%20order%20ready%20for%20pickup&amp;body=Dear%20PSW%2C%0A%0AYour%20order%20is%20ready%20for%20pickup%20from%20Sample%20Branch%2C%20Wed-Fri%209am-4pm.</v>
      </c>
      <c r="AF51" s="65" t="str">
        <f t="shared" si="10"/>
        <v>Draft email</v>
      </c>
      <c r="AG51" s="64" t="str">
        <f>IF($C51="","",IFERROR(INDEX('Staff Directory'!$K$595:$K$599,MATCH($C51,'Staff Directory'!$B$5:$B$599,0)),$D51))</f>
        <v>PSW</v>
      </c>
      <c r="AH51" t="str">
        <f>IF($C51="","",IFERROR(INDEX('Staff Directory'!$I$595:$I$599,MATCH($C51,'Staff Directory'!$B$5:$B$599,0))&amp;" "&amp;INDEX('Staff Directory'!$J$595:$J$599,MATCH($C51,'Staff Directory'!$B$5:$B$599,0)),$AG51))</f>
        <v>PSW</v>
      </c>
      <c r="AI51" s="102" t="s">
        <v>428</v>
      </c>
      <c r="AJ51" s="101">
        <f>IF($F51="","",SUMIFS($J$5:$J51,$F$5:$F51,$F51))</f>
        <v>3500</v>
      </c>
      <c r="AK51" s="101">
        <f t="shared" si="3"/>
        <v>3001</v>
      </c>
      <c r="AL51" s="66" t="str" cm="1">
        <f t="array" ref="AL51">IF($F51="","",IFERROR(INDEX('Lot Balance'!$B$5:$B$500,MATCH(1,INDEX(('Lot Balance'!$A$5:$A$500=$F51)*('Lot Balance'!$K$5:$K$500&lt;$AK51)*('Lot Balance'!$K$5:$K$500+'Lot Balance'!$D$5:$D$500&gt;=$AK51),0),0)),""))</f>
        <v>ZIM504124207-4</v>
      </c>
      <c r="AM51" s="66" t="str" cm="1">
        <f t="array" ref="AM51">IF($F51="","",IFERROR(INDEX('Lot Balance'!$B$5:$B$500,MATCH(1,INDEX(('Lot Balance'!$A$5:$A$500=$F51)*('Lot Balance'!$K$5:$K$500&lt;$AJ51)*('Lot Balance'!$K$5:$K$500+'Lot Balance'!$D$5:$D$500&gt;=$AJ51),0),0)),""))</f>
        <v>ZIM504124207-4</v>
      </c>
      <c r="AN51" s="66" t="str">
        <f>IF($F51="","",IF($AI51&lt;&gt;"",IF(COUNTIFS('Lot Balance'!$A$5:$A$500,$F51,'Lot Balance'!$B$5:$B$500,$AI51)=0,"⚠ override is not a lot of this item",IF($AI51=$AL51,"Override = FEFO","Override - FEFO says "&amp;$AL51)),IF($AL51="","⚠ no receipt on file for this item",IF($AM51&lt;&gt;$AL51,"FEFO auto - split, also "&amp;$AM51,"FEFO auto"))))</f>
        <v>Override - FEFO says ZIM504124207-4</v>
      </c>
      <c r="AO51" s="114"/>
    </row>
    <row r="52" spans="1:41" x14ac:dyDescent="0.35">
      <c r="A52" s="74">
        <v>46113</v>
      </c>
      <c r="B52" s="18" t="str">
        <f>IF($C52="","",IFERROR(INDEX('Staff Directory'!$A$5:$A$594,MATCH($C52,'Staff Directory'!$B$5:$B$594,0)),"⚠ unknown staff"))</f>
        <v>PSW-142-A6</v>
      </c>
      <c r="C52" s="49" t="s">
        <v>1121</v>
      </c>
      <c r="D52" s="19" t="str">
        <f>IF($B52="","",IFERROR(INDEX('Staff Directory'!$C$5:$C$594,MATCH($B52,'Staff Directory'!$A$5:$A$594,0)),""))</f>
        <v>PSW</v>
      </c>
      <c r="E52" s="19" t="str">
        <f>IF($B52="","",IFERROR(INDEX('Staff Directory'!$D$5:$D$594,MATCH($B52,'Staff Directory'!$A$5:$A$594,0)),""))</f>
        <v>A6</v>
      </c>
      <c r="F52" s="9" t="s">
        <v>137</v>
      </c>
      <c r="G52" s="18" t="str">
        <f>IF($F52="","",IFERROR(INDEX(Items!$B$5:$B$597,MATCH($F52,Items!$A$5:$A$597,0)),"⚠ not in Items"))</f>
        <v>Sanitizer</v>
      </c>
      <c r="H52" s="19" t="str">
        <f>IF($F52="","",IFERROR(INDEX(Items!$C$5:$C$597,MATCH($F52,Items!$A$5:$A$597,0)),""))</f>
        <v>118 ML</v>
      </c>
      <c r="I52" s="23">
        <f>IF($F52="","",IFERROR(INDEX(Items!$E$5:$E$597,MATCH($F52,Items!$A$5:$A$597,0)),""))</f>
        <v>2</v>
      </c>
      <c r="J52" s="115">
        <f>IF(tblIssues[[#This Row],[Qty Override]]&lt;&gt;"",tblIssues[[#This Row],[Qty Override]],IF(tblIssues[[#This Row],[Standard Issue]]="","",tblIssues[[#This Row],[Standard Issue]]))</f>
        <v>2</v>
      </c>
      <c r="K52" s="20">
        <f>IF($F52="","",IFERROR(INDEX(Items!$D$5:$D$597,MATCH($F52,Items!$A$5:$A$597,0)),""))</f>
        <v>4.49</v>
      </c>
      <c r="L52" s="21">
        <f t="shared" si="4"/>
        <v>8.98</v>
      </c>
      <c r="M52" s="9" t="str">
        <f t="shared" si="5"/>
        <v>563963-5</v>
      </c>
      <c r="N52" s="24">
        <f>IF($A52="","",WORKDAY($A52,Settings!$C$9,HolidayDates))</f>
        <v>46121</v>
      </c>
      <c r="O52" s="24">
        <f>IF($N52="","",WORKDAY($N52,Settings!$C$10,HolidayDates))</f>
        <v>46161</v>
      </c>
      <c r="P52" s="10" t="s">
        <v>501</v>
      </c>
      <c r="Q52" s="52" t="str">
        <f t="shared" si="0"/>
        <v>Collected</v>
      </c>
      <c r="R52" s="55" t="str">
        <f t="shared" si="6"/>
        <v>2026-04</v>
      </c>
      <c r="S52" s="55">
        <f>IF(OR($B52="",$F52="",$R52=""),"",SUMIFS(tblIssues[Qty Issued],tblIssues[Staff ID],$B52,tblIssues[Item Name],$F52,tblIssues[Month],$R52))</f>
        <v>2</v>
      </c>
      <c r="T52" s="56">
        <f>IF($I52="","",$I52*Settings!$C$11)</f>
        <v>2</v>
      </c>
      <c r="U52" s="57" t="str">
        <f t="shared" si="7"/>
        <v>OK</v>
      </c>
      <c r="V52" s="55" t="str">
        <f t="shared" si="8"/>
        <v/>
      </c>
      <c r="W52" s="55" t="str">
        <f>IF($V52="","",IF(COUNTIF($V$5:$V52,$V52)=1,1,""))</f>
        <v/>
      </c>
      <c r="X52" s="58" t="str">
        <f>IF($W52="","",MAX($X$4:X51)+1)</f>
        <v/>
      </c>
      <c r="Y52" s="62"/>
      <c r="Z52" s="62"/>
      <c r="AA52" s="64" t="str">
        <f>IF($C52="","",IFERROR(INDEX('Staff Directory'!$E$5:$E$594,MATCH($C52,'Staff Directory'!$B$5:$B$594,0)),""))</f>
        <v>firstname205.lastname205@example.com</v>
      </c>
      <c r="AB52" s="64" t="str">
        <f>IF($C52="","",IF(ISNUMBER(SEARCH($D52,Settings!$C$15)),"Pickup","Dispatch"))</f>
        <v>Pickup</v>
      </c>
      <c r="AC52" s="64" t="str">
        <f t="shared" si="9"/>
        <v>Supply order ready for pickup</v>
      </c>
      <c r="AD52" s="64" t="str">
        <f t="shared" si="1"/>
        <v>Dear PSW,
Your order is ready for pickup from Sample Branch, Wed-Fri 9am-4pm.</v>
      </c>
      <c r="AE52" s="64" t="str">
        <f t="shared" si="2"/>
        <v>mailto:firstname205.lastname205@example.com?subject=Supply%20order%20ready%20for%20pickup&amp;body=Dear%20PSW%2C%0A%0AYour%20order%20is%20ready%20for%20pickup%20from%20Sample%20Branch%2C%20Wed-Fri%209am-4pm.</v>
      </c>
      <c r="AF52" s="65" t="str">
        <f t="shared" si="10"/>
        <v>Draft email</v>
      </c>
      <c r="AG52" s="64" t="str">
        <f>IF($C52="","",IFERROR(INDEX('Staff Directory'!$K$595:$K$599,MATCH($C52,'Staff Directory'!$B$5:$B$599,0)),$D52))</f>
        <v>PSW</v>
      </c>
      <c r="AH52" t="str">
        <f>IF($C52="","",IFERROR(INDEX('Staff Directory'!$I$595:$I$599,MATCH($C52,'Staff Directory'!$B$5:$B$599,0))&amp;" "&amp;INDEX('Staff Directory'!$J$595:$J$599,MATCH($C52,'Staff Directory'!$B$5:$B$599,0)),$AG52))</f>
        <v>PSW</v>
      </c>
      <c r="AI52" s="102" t="s">
        <v>456</v>
      </c>
      <c r="AJ52" s="101">
        <f>IF($F52="","",SUMIFS($J$5:$J52,$F$5:$F52,$F52))</f>
        <v>20</v>
      </c>
      <c r="AK52" s="101">
        <f t="shared" si="3"/>
        <v>19</v>
      </c>
      <c r="AL52" s="66" t="str" cm="1">
        <f t="array" ref="AL52">IF($F52="","",IFERROR(INDEX('Lot Balance'!$B$5:$B$500,MATCH(1,INDEX(('Lot Balance'!$A$5:$A$500=$F52)*('Lot Balance'!$K$5:$K$500&lt;$AK52)*('Lot Balance'!$K$5:$K$500+'Lot Balance'!$D$5:$D$500&gt;=$AK52),0),0)),""))</f>
        <v>563963-5</v>
      </c>
      <c r="AM52" s="66" t="str" cm="1">
        <f t="array" ref="AM52">IF($F52="","",IFERROR(INDEX('Lot Balance'!$B$5:$B$500,MATCH(1,INDEX(('Lot Balance'!$A$5:$A$500=$F52)*('Lot Balance'!$K$5:$K$500&lt;$AJ52)*('Lot Balance'!$K$5:$K$500+'Lot Balance'!$D$5:$D$500&gt;=$AJ52),0),0)),""))</f>
        <v>563963-5</v>
      </c>
      <c r="AN52" s="66" t="str">
        <f>IF($F52="","",IF($AI52&lt;&gt;"",IF(COUNTIFS('Lot Balance'!$A$5:$A$500,$F52,'Lot Balance'!$B$5:$B$500,$AI52)=0,"⚠ override is not a lot of this item",IF($AI52=$AL52,"Override = FEFO","Override - FEFO says "&amp;$AL52)),IF($AL52="","⚠ no receipt on file for this item",IF($AM52&lt;&gt;$AL52,"FEFO auto - split, also "&amp;$AM52,"FEFO auto"))))</f>
        <v>Override = FEFO</v>
      </c>
      <c r="AO52" s="114"/>
    </row>
    <row r="53" spans="1:41" x14ac:dyDescent="0.35">
      <c r="A53" s="74">
        <v>46113</v>
      </c>
      <c r="B53" s="18" t="str">
        <f>IF($C53="","",IFERROR(INDEX('Staff Directory'!$A$5:$A$594,MATCH($C53,'Staff Directory'!$B$5:$B$594,0)),"⚠ unknown staff"))</f>
        <v>PSW-142-A6</v>
      </c>
      <c r="C53" s="49" t="s">
        <v>1121</v>
      </c>
      <c r="D53" s="19" t="str">
        <f>IF($B53="","",IFERROR(INDEX('Staff Directory'!$C$5:$C$594,MATCH($B53,'Staff Directory'!$A$5:$A$594,0)),""))</f>
        <v>PSW</v>
      </c>
      <c r="E53" s="19" t="str">
        <f>IF($B53="","",IFERROR(INDEX('Staff Directory'!$D$5:$D$594,MATCH($B53,'Staff Directory'!$A$5:$A$594,0)),""))</f>
        <v>A6</v>
      </c>
      <c r="F53" s="9" t="s">
        <v>115</v>
      </c>
      <c r="G53" s="18" t="str">
        <f>IF($F53="","",IFERROR(INDEX(Items!$B$5:$B$597,MATCH($F53,Items!$A$5:$A$597,0)),"⚠ not in Items"))</f>
        <v>Wipes</v>
      </c>
      <c r="H53" s="19">
        <f>IF($F53="","",IFERROR(INDEX(Items!$C$5:$C$597,MATCH($F53,Items!$A$5:$A$597,0)),""))</f>
        <v>80</v>
      </c>
      <c r="I53" s="23">
        <f>IF($F53="","",IFERROR(INDEX(Items!$E$5:$E$597,MATCH($F53,Items!$A$5:$A$597,0)),""))</f>
        <v>80</v>
      </c>
      <c r="J53" s="115">
        <f>IF(tblIssues[[#This Row],[Qty Override]]&lt;&gt;"",tblIssues[[#This Row],[Qty Override]],IF(tblIssues[[#This Row],[Standard Issue]]="","",tblIssues[[#This Row],[Standard Issue]]))</f>
        <v>80</v>
      </c>
      <c r="K53" s="20">
        <f>IF($F53="","",IFERROR(INDEX(Items!$D$5:$D$597,MATCH($F53,Items!$A$5:$A$597,0)),""))</f>
        <v>0.1</v>
      </c>
      <c r="L53" s="21">
        <f t="shared" si="4"/>
        <v>8</v>
      </c>
      <c r="M53" s="9" t="str">
        <f t="shared" si="5"/>
        <v>LYSL500290</v>
      </c>
      <c r="N53" s="24">
        <f>IF($A53="","",WORKDAY($A53,Settings!$C$9,HolidayDates))</f>
        <v>46121</v>
      </c>
      <c r="O53" s="24">
        <f>IF($N53="","",WORKDAY($N53,Settings!$C$10,HolidayDates))</f>
        <v>46161</v>
      </c>
      <c r="P53" s="10" t="s">
        <v>501</v>
      </c>
      <c r="Q53" s="52" t="str">
        <f t="shared" si="0"/>
        <v>Collected</v>
      </c>
      <c r="R53" s="55" t="str">
        <f t="shared" si="6"/>
        <v>2026-04</v>
      </c>
      <c r="S53" s="55">
        <f>IF(OR($B53="",$F53="",$R53=""),"",SUMIFS(tblIssues[Qty Issued],tblIssues[Staff ID],$B53,tblIssues[Item Name],$F53,tblIssues[Month],$R53))</f>
        <v>80</v>
      </c>
      <c r="T53" s="56">
        <f>IF($I53="","",$I53*Settings!$C$11)</f>
        <v>80</v>
      </c>
      <c r="U53" s="57" t="str">
        <f t="shared" si="7"/>
        <v>OK</v>
      </c>
      <c r="V53" s="55" t="str">
        <f t="shared" si="8"/>
        <v/>
      </c>
      <c r="W53" s="55" t="str">
        <f>IF($V53="","",IF(COUNTIF($V$5:$V53,$V53)=1,1,""))</f>
        <v/>
      </c>
      <c r="X53" s="58" t="str">
        <f>IF($W53="","",MAX($X$4:X52)+1)</f>
        <v/>
      </c>
      <c r="Y53" s="62"/>
      <c r="Z53" s="62"/>
      <c r="AA53" s="64" t="str">
        <f>IF($C53="","",IFERROR(INDEX('Staff Directory'!$E$5:$E$594,MATCH($C53,'Staff Directory'!$B$5:$B$594,0)),""))</f>
        <v>firstname205.lastname205@example.com</v>
      </c>
      <c r="AB53" s="64" t="str">
        <f>IF($C53="","",IF(ISNUMBER(SEARCH($D53,Settings!$C$15)),"Pickup","Dispatch"))</f>
        <v>Pickup</v>
      </c>
      <c r="AC53" s="64" t="str">
        <f t="shared" si="9"/>
        <v>Supply order ready for pickup</v>
      </c>
      <c r="AD53" s="64" t="str">
        <f t="shared" si="1"/>
        <v>Dear PSW,
Your order is ready for pickup from Sample Branch, Wed-Fri 9am-4pm.</v>
      </c>
      <c r="AE53" s="64" t="str">
        <f t="shared" si="2"/>
        <v>mailto:firstname205.lastname205@example.com?subject=Supply%20order%20ready%20for%20pickup&amp;body=Dear%20PSW%2C%0A%0AYour%20order%20is%20ready%20for%20pickup%20from%20Sample%20Branch%2C%20Wed-Fri%209am-4pm.</v>
      </c>
      <c r="AF53" s="65" t="str">
        <f t="shared" si="10"/>
        <v>Draft email</v>
      </c>
      <c r="AG53" s="64" t="str">
        <f>IF($C53="","",IFERROR(INDEX('Staff Directory'!$K$595:$K$599,MATCH($C53,'Staff Directory'!$B$5:$B$599,0)),$D53))</f>
        <v>PSW</v>
      </c>
      <c r="AH53" t="str">
        <f>IF($C53="","",IFERROR(INDEX('Staff Directory'!$I$595:$I$599,MATCH($C53,'Staff Directory'!$B$5:$B$599,0))&amp;" "&amp;INDEX('Staff Directory'!$J$595:$J$599,MATCH($C53,'Staff Directory'!$B$5:$B$599,0)),$AG53))</f>
        <v>PSW</v>
      </c>
      <c r="AI53" s="102" t="s">
        <v>386</v>
      </c>
      <c r="AJ53" s="101">
        <f>IF($F53="","",SUMIFS($J$5:$J53,$F$5:$F53,$F53))</f>
        <v>1040</v>
      </c>
      <c r="AK53" s="101">
        <f t="shared" si="3"/>
        <v>961</v>
      </c>
      <c r="AL53" s="66" t="str" cm="1">
        <f t="array" ref="AL53">IF($F53="","",IFERROR(INDEX('Lot Balance'!$B$5:$B$500,MATCH(1,INDEX(('Lot Balance'!$A$5:$A$500=$F53)*('Lot Balance'!$K$5:$K$500&lt;$AK53)*('Lot Balance'!$K$5:$K$500+'Lot Balance'!$D$5:$D$500&gt;=$AK53),0),0)),""))</f>
        <v>LYSL500290</v>
      </c>
      <c r="AM53" s="66" t="str" cm="1">
        <f t="array" ref="AM53">IF($F53="","",IFERROR(INDEX('Lot Balance'!$B$5:$B$500,MATCH(1,INDEX(('Lot Balance'!$A$5:$A$500=$F53)*('Lot Balance'!$K$5:$K$500&lt;$AJ53)*('Lot Balance'!$K$5:$K$500+'Lot Balance'!$D$5:$D$500&gt;=$AJ53),0),0)),""))</f>
        <v>LYSL500290</v>
      </c>
      <c r="AN53" s="66" t="str">
        <f>IF($F53="","",IF($AI53&lt;&gt;"",IF(COUNTIFS('Lot Balance'!$A$5:$A$500,$F53,'Lot Balance'!$B$5:$B$500,$AI53)=0,"⚠ override is not a lot of this item",IF($AI53=$AL53,"Override = FEFO","Override - FEFO says "&amp;$AL53)),IF($AL53="","⚠ no receipt on file for this item",IF($AM53&lt;&gt;$AL53,"FEFO auto - split, also "&amp;$AM53,"FEFO auto"))))</f>
        <v>Override = FEFO</v>
      </c>
      <c r="AO53" s="114"/>
    </row>
    <row r="54" spans="1:41" x14ac:dyDescent="0.35">
      <c r="A54" s="74">
        <v>46113</v>
      </c>
      <c r="B54" s="18" t="str">
        <f>IF($C54="","",IFERROR(INDEX('Staff Directory'!$A$5:$A$594,MATCH($C54,'Staff Directory'!$B$5:$B$594,0)),"⚠ unknown staff"))</f>
        <v>PSW-142-A6</v>
      </c>
      <c r="C54" s="49" t="s">
        <v>1121</v>
      </c>
      <c r="D54" s="19" t="str">
        <f>IF($B54="","",IFERROR(INDEX('Staff Directory'!$C$5:$C$594,MATCH($B54,'Staff Directory'!$A$5:$A$594,0)),""))</f>
        <v>PSW</v>
      </c>
      <c r="E54" s="19" t="str">
        <f>IF($B54="","",IFERROR(INDEX('Staff Directory'!$D$5:$D$594,MATCH($B54,'Staff Directory'!$A$5:$A$594,0)),""))</f>
        <v>A6</v>
      </c>
      <c r="F54" s="9" t="s">
        <v>156</v>
      </c>
      <c r="G54" s="18" t="str">
        <f>IF($F54="","",IFERROR(INDEX(Items!$B$5:$B$597,MATCH($F54,Items!$A$5:$A$597,0)),"⚠ not in Items"))</f>
        <v>Masks</v>
      </c>
      <c r="H54" s="19" t="str">
        <f>IF($F54="","",IFERROR(INDEX(Items!$C$5:$C$597,MATCH($F54,Items!$A$5:$A$597,0)),""))</f>
        <v>One Size</v>
      </c>
      <c r="I54" s="23">
        <f>IF($F54="","",IFERROR(INDEX(Items!$E$5:$E$597,MATCH($F54,Items!$A$5:$A$597,0)),""))</f>
        <v>50</v>
      </c>
      <c r="J54" s="115">
        <f>IF(tblIssues[[#This Row],[Qty Override]]&lt;&gt;"",tblIssues[[#This Row],[Qty Override]],IF(tblIssues[[#This Row],[Standard Issue]]="","",tblIssues[[#This Row],[Standard Issue]]))</f>
        <v>50</v>
      </c>
      <c r="K54" s="20">
        <f>IF($F54="","",IFERROR(INDEX(Items!$D$5:$D$597,MATCH($F54,Items!$A$5:$A$597,0)),""))</f>
        <v>0.25</v>
      </c>
      <c r="L54" s="21">
        <f t="shared" si="4"/>
        <v>12.5</v>
      </c>
      <c r="M54" s="9" t="str">
        <f t="shared" si="5"/>
        <v>0125FPC24-0</v>
      </c>
      <c r="N54" s="24">
        <f>IF($A54="","",WORKDAY($A54,Settings!$C$9,HolidayDates))</f>
        <v>46121</v>
      </c>
      <c r="O54" s="24">
        <f>IF($N54="","",WORKDAY($N54,Settings!$C$10,HolidayDates))</f>
        <v>46161</v>
      </c>
      <c r="P54" s="10" t="s">
        <v>501</v>
      </c>
      <c r="Q54" s="52" t="str">
        <f t="shared" si="0"/>
        <v>Collected</v>
      </c>
      <c r="R54" s="55" t="str">
        <f t="shared" si="6"/>
        <v>2026-04</v>
      </c>
      <c r="S54" s="55">
        <f>IF(OR($B54="",$F54="",$R54=""),"",SUMIFS(tblIssues[Qty Issued],tblIssues[Staff ID],$B54,tblIssues[Item Name],$F54,tblIssues[Month],$R54))</f>
        <v>50</v>
      </c>
      <c r="T54" s="56">
        <f>IF($I54="","",$I54*Settings!$C$11)</f>
        <v>50</v>
      </c>
      <c r="U54" s="57" t="str">
        <f t="shared" si="7"/>
        <v>OK</v>
      </c>
      <c r="V54" s="55" t="str">
        <f t="shared" si="8"/>
        <v/>
      </c>
      <c r="W54" s="55" t="str">
        <f>IF($V54="","",IF(COUNTIF($V$5:$V54,$V54)=1,1,""))</f>
        <v/>
      </c>
      <c r="X54" s="58" t="str">
        <f>IF($W54="","",MAX($X$4:X53)+1)</f>
        <v/>
      </c>
      <c r="Y54" s="62"/>
      <c r="Z54" s="62"/>
      <c r="AA54" s="64" t="str">
        <f>IF($C54="","",IFERROR(INDEX('Staff Directory'!$E$5:$E$594,MATCH($C54,'Staff Directory'!$B$5:$B$594,0)),""))</f>
        <v>firstname205.lastname205@example.com</v>
      </c>
      <c r="AB54" s="64" t="str">
        <f>IF($C54="","",IF(ISNUMBER(SEARCH($D54,Settings!$C$15)),"Pickup","Dispatch"))</f>
        <v>Pickup</v>
      </c>
      <c r="AC54" s="64" t="str">
        <f t="shared" si="9"/>
        <v>Supply order ready for pickup</v>
      </c>
      <c r="AD54" s="64" t="str">
        <f t="shared" si="1"/>
        <v>Dear PSW,
Your order is ready for pickup from Sample Branch, Wed-Fri 9am-4pm.</v>
      </c>
      <c r="AE54" s="64" t="str">
        <f t="shared" si="2"/>
        <v>mailto:firstname205.lastname205@example.com?subject=Supply%20order%20ready%20for%20pickup&amp;body=Dear%20PSW%2C%0A%0AYour%20order%20is%20ready%20for%20pickup%20from%20Sample%20Branch%2C%20Wed-Fri%209am-4pm.</v>
      </c>
      <c r="AF54" s="65" t="str">
        <f t="shared" si="10"/>
        <v>Draft email</v>
      </c>
      <c r="AG54" s="64" t="str">
        <f>IF($C54="","",IFERROR(INDEX('Staff Directory'!$K$595:$K$599,MATCH($C54,'Staff Directory'!$B$5:$B$599,0)),$D54))</f>
        <v>PSW</v>
      </c>
      <c r="AH54" t="str">
        <f>IF($C54="","",IFERROR(INDEX('Staff Directory'!$I$595:$I$599,MATCH($C54,'Staff Directory'!$B$5:$B$599,0))&amp;" "&amp;INDEX('Staff Directory'!$J$595:$J$599,MATCH($C54,'Staff Directory'!$B$5:$B$599,0)),$AG54))</f>
        <v>PSW</v>
      </c>
      <c r="AI54" s="102" t="s">
        <v>474</v>
      </c>
      <c r="AJ54" s="101">
        <f>IF($F54="","",SUMIFS($J$5:$J54,$F$5:$F54,$F54))</f>
        <v>500</v>
      </c>
      <c r="AK54" s="101">
        <f t="shared" si="3"/>
        <v>451</v>
      </c>
      <c r="AL54" s="66" t="str" cm="1">
        <f t="array" ref="AL54">IF($F54="","",IFERROR(INDEX('Lot Balance'!$B$5:$B$500,MATCH(1,INDEX(('Lot Balance'!$A$5:$A$500=$F54)*('Lot Balance'!$K$5:$K$500&lt;$AK54)*('Lot Balance'!$K$5:$K$500+'Lot Balance'!$D$5:$D$500&gt;=$AK54),0),0)),""))</f>
        <v>0125FPC24-0</v>
      </c>
      <c r="AM54" s="66" t="str" cm="1">
        <f t="array" ref="AM54">IF($F54="","",IFERROR(INDEX('Lot Balance'!$B$5:$B$500,MATCH(1,INDEX(('Lot Balance'!$A$5:$A$500=$F54)*('Lot Balance'!$K$5:$K$500&lt;$AJ54)*('Lot Balance'!$K$5:$K$500+'Lot Balance'!$D$5:$D$500&gt;=$AJ54),0),0)),""))</f>
        <v>0125FPC24-0</v>
      </c>
      <c r="AN54" s="66" t="str">
        <f>IF($F54="","",IF($AI54&lt;&gt;"",IF(COUNTIFS('Lot Balance'!$A$5:$A$500,$F54,'Lot Balance'!$B$5:$B$500,$AI54)=0,"⚠ override is not a lot of this item",IF($AI54=$AL54,"Override = FEFO","Override - FEFO says "&amp;$AL54)),IF($AL54="","⚠ no receipt on file for this item",IF($AM54&lt;&gt;$AL54,"FEFO auto - split, also "&amp;$AM54,"FEFO auto"))))</f>
        <v>Override = FEFO</v>
      </c>
      <c r="AO54" s="114"/>
    </row>
    <row r="55" spans="1:41" x14ac:dyDescent="0.35">
      <c r="A55" s="74">
        <v>46113</v>
      </c>
      <c r="B55" s="18" t="str">
        <f>IF($C55="","",IFERROR(INDEX('Staff Directory'!$A$5:$A$594,MATCH($C55,'Staff Directory'!$B$5:$B$594,0)),"⚠ unknown staff"))</f>
        <v>PSW-138-A4</v>
      </c>
      <c r="C55" s="49" t="s">
        <v>1117</v>
      </c>
      <c r="D55" s="19" t="str">
        <f>IF($B55="","",IFERROR(INDEX('Staff Directory'!$C$5:$C$594,MATCH($B55,'Staff Directory'!$A$5:$A$594,0)),""))</f>
        <v>PSW</v>
      </c>
      <c r="E55" s="19" t="str">
        <f>IF($B55="","",IFERROR(INDEX('Staff Directory'!$D$5:$D$594,MATCH($B55,'Staff Directory'!$A$5:$A$594,0)),""))</f>
        <v>A4</v>
      </c>
      <c r="F55" s="9" t="s">
        <v>127</v>
      </c>
      <c r="G55" s="18" t="str">
        <f>IF($F55="","",IFERROR(INDEX(Items!$B$5:$B$597,MATCH($F55,Items!$A$5:$A$597,0)),"⚠ not in Items"))</f>
        <v>Gloves</v>
      </c>
      <c r="H55" s="19" t="str">
        <f>IF($F55="","",IFERROR(INDEX(Items!$C$5:$C$597,MATCH($F55,Items!$A$5:$A$597,0)),""))</f>
        <v>Medium</v>
      </c>
      <c r="I55" s="23">
        <f>IF($F55="","",IFERROR(INDEX(Items!$E$5:$E$597,MATCH($F55,Items!$A$5:$A$597,0)),""))</f>
        <v>500</v>
      </c>
      <c r="J55" s="115">
        <f>IF(tblIssues[[#This Row],[Qty Override]]&lt;&gt;"",tblIssues[[#This Row],[Qty Override]],IF(tblIssues[[#This Row],[Standard Issue]]="","",tblIssues[[#This Row],[Standard Issue]]))</f>
        <v>500</v>
      </c>
      <c r="K55" s="20">
        <f>IF($F55="","",IFERROR(INDEX(Items!$D$5:$D$597,MATCH($F55,Items!$A$5:$A$597,0)),""))</f>
        <v>5.5E-2</v>
      </c>
      <c r="L55" s="21">
        <f t="shared" si="4"/>
        <v>27.5</v>
      </c>
      <c r="M55" s="9" t="str">
        <f t="shared" si="5"/>
        <v>O17104</v>
      </c>
      <c r="N55" s="24">
        <f>IF($A55="","",WORKDAY($A55,Settings!$C$9,HolidayDates))</f>
        <v>46121</v>
      </c>
      <c r="O55" s="24">
        <f>IF($N55="","",WORKDAY($N55,Settings!$C$10,HolidayDates))</f>
        <v>46161</v>
      </c>
      <c r="P55" s="10" t="s">
        <v>501</v>
      </c>
      <c r="Q55" s="52" t="str">
        <f t="shared" si="0"/>
        <v>Collected</v>
      </c>
      <c r="R55" s="55" t="str">
        <f t="shared" si="6"/>
        <v>2026-04</v>
      </c>
      <c r="S55" s="55">
        <f>IF(OR($B55="",$F55="",$R55=""),"",SUMIFS(tblIssues[Qty Issued],tblIssues[Staff ID],$B55,tblIssues[Item Name],$F55,tblIssues[Month],$R55))</f>
        <v>500</v>
      </c>
      <c r="T55" s="56">
        <f>IF($I55="","",$I55*Settings!$C$11)</f>
        <v>500</v>
      </c>
      <c r="U55" s="57" t="str">
        <f t="shared" si="7"/>
        <v>OK</v>
      </c>
      <c r="V55" s="55" t="str">
        <f t="shared" si="8"/>
        <v/>
      </c>
      <c r="W55" s="55" t="str">
        <f>IF($V55="","",IF(COUNTIF($V$5:$V55,$V55)=1,1,""))</f>
        <v/>
      </c>
      <c r="X55" s="58" t="str">
        <f>IF($W55="","",MAX($X$4:X54)+1)</f>
        <v/>
      </c>
      <c r="Y55" s="62"/>
      <c r="Z55" s="62"/>
      <c r="AA55" s="64" t="str">
        <f>IF($C55="","",IFERROR(INDEX('Staff Directory'!$E$5:$E$594,MATCH($C55,'Staff Directory'!$B$5:$B$594,0)),""))</f>
        <v>firstname201.lastname201@example.com</v>
      </c>
      <c r="AB55" s="64" t="str">
        <f>IF($C55="","",IF(ISNUMBER(SEARCH($D55,Settings!$C$15)),"Pickup","Dispatch"))</f>
        <v>Pickup</v>
      </c>
      <c r="AC55" s="64" t="str">
        <f t="shared" si="9"/>
        <v>Supply order ready for pickup</v>
      </c>
      <c r="AD55" s="64" t="str">
        <f t="shared" si="1"/>
        <v>Dear PSW,
Your order is ready for pickup from Sample Branch, Wed-Fri 9am-4pm.</v>
      </c>
      <c r="AE55" s="64" t="str">
        <f t="shared" si="2"/>
        <v>mailto:firstname201.lastname201@example.com?subject=Supply%20order%20ready%20for%20pickup&amp;body=Dear%20PSW%2C%0A%0AYour%20order%20is%20ready%20for%20pickup%20from%20Sample%20Branch%2C%20Wed-Fri%209am-4pm.</v>
      </c>
      <c r="AF55" s="65" t="str">
        <f t="shared" si="10"/>
        <v>Draft email</v>
      </c>
      <c r="AG55" s="64" t="str">
        <f>IF($C55="","",IFERROR(INDEX('Staff Directory'!$K$595:$K$599,MATCH($C55,'Staff Directory'!$B$5:$B$599,0)),$D55))</f>
        <v>PSW</v>
      </c>
      <c r="AH55" t="str">
        <f>IF($C55="","",IFERROR(INDEX('Staff Directory'!$I$595:$I$599,MATCH($C55,'Staff Directory'!$B$5:$B$599,0))&amp;" "&amp;INDEX('Staff Directory'!$J$595:$J$599,MATCH($C55,'Staff Directory'!$B$5:$B$599,0)),$AG55))</f>
        <v>PSW</v>
      </c>
      <c r="AI55" s="102" t="s">
        <v>415</v>
      </c>
      <c r="AJ55" s="101">
        <f>IF($F55="","",SUMIFS($J$5:$J55,$F$5:$F55,$F55))</f>
        <v>3000</v>
      </c>
      <c r="AK55" s="101">
        <f t="shared" si="3"/>
        <v>2501</v>
      </c>
      <c r="AL55" s="66" t="str" cm="1">
        <f t="array" ref="AL55">IF($F55="","",IFERROR(INDEX('Lot Balance'!$B$5:$B$500,MATCH(1,INDEX(('Lot Balance'!$A$5:$A$500=$F55)*('Lot Balance'!$K$5:$K$500&lt;$AK55)*('Lot Balance'!$K$5:$K$500+'Lot Balance'!$D$5:$D$500&gt;=$AK55),0),0)),""))</f>
        <v>O17104</v>
      </c>
      <c r="AM55" s="66" t="str" cm="1">
        <f t="array" ref="AM55">IF($F55="","",IFERROR(INDEX('Lot Balance'!$B$5:$B$500,MATCH(1,INDEX(('Lot Balance'!$A$5:$A$500=$F55)*('Lot Balance'!$K$5:$K$500&lt;$AJ55)*('Lot Balance'!$K$5:$K$500+'Lot Balance'!$D$5:$D$500&gt;=$AJ55),0),0)),""))</f>
        <v>O17104</v>
      </c>
      <c r="AN55" s="66" t="str">
        <f>IF($F55="","",IF($AI55&lt;&gt;"",IF(COUNTIFS('Lot Balance'!$A$5:$A$500,$F55,'Lot Balance'!$B$5:$B$500,$AI55)=0,"⚠ override is not a lot of this item",IF($AI55=$AL55,"Override = FEFO","Override - FEFO says "&amp;$AL55)),IF($AL55="","⚠ no receipt on file for this item",IF($AM55&lt;&gt;$AL55,"FEFO auto - split, also "&amp;$AM55,"FEFO auto"))))</f>
        <v>Override = FEFO</v>
      </c>
      <c r="AO55" s="114"/>
    </row>
    <row r="56" spans="1:41" x14ac:dyDescent="0.35">
      <c r="A56" s="74">
        <v>46113</v>
      </c>
      <c r="B56" s="18" t="str">
        <f>IF($C56="","",IFERROR(INDEX('Staff Directory'!$A$5:$A$594,MATCH($C56,'Staff Directory'!$B$5:$B$594,0)),"⚠ unknown staff"))</f>
        <v>PSW-138-A4</v>
      </c>
      <c r="C56" s="49" t="s">
        <v>1117</v>
      </c>
      <c r="D56" s="19" t="str">
        <f>IF($B56="","",IFERROR(INDEX('Staff Directory'!$C$5:$C$594,MATCH($B56,'Staff Directory'!$A$5:$A$594,0)),""))</f>
        <v>PSW</v>
      </c>
      <c r="E56" s="19" t="str">
        <f>IF($B56="","",IFERROR(INDEX('Staff Directory'!$D$5:$D$594,MATCH($B56,'Staff Directory'!$A$5:$A$594,0)),""))</f>
        <v>A4</v>
      </c>
      <c r="F56" s="9" t="s">
        <v>137</v>
      </c>
      <c r="G56" s="18" t="str">
        <f>IF($F56="","",IFERROR(INDEX(Items!$B$5:$B$597,MATCH($F56,Items!$A$5:$A$597,0)),"⚠ not in Items"))</f>
        <v>Sanitizer</v>
      </c>
      <c r="H56" s="19" t="str">
        <f>IF($F56="","",IFERROR(INDEX(Items!$C$5:$C$597,MATCH($F56,Items!$A$5:$A$597,0)),""))</f>
        <v>118 ML</v>
      </c>
      <c r="I56" s="23">
        <f>IF($F56="","",IFERROR(INDEX(Items!$E$5:$E$597,MATCH($F56,Items!$A$5:$A$597,0)),""))</f>
        <v>2</v>
      </c>
      <c r="J56" s="115">
        <f>IF(tblIssues[[#This Row],[Qty Override]]&lt;&gt;"",tblIssues[[#This Row],[Qty Override]],IF(tblIssues[[#This Row],[Standard Issue]]="","",tblIssues[[#This Row],[Standard Issue]]))</f>
        <v>2</v>
      </c>
      <c r="K56" s="20">
        <f>IF($F56="","",IFERROR(INDEX(Items!$D$5:$D$597,MATCH($F56,Items!$A$5:$A$597,0)),""))</f>
        <v>4.49</v>
      </c>
      <c r="L56" s="21">
        <f t="shared" si="4"/>
        <v>8.98</v>
      </c>
      <c r="M56" s="9" t="str">
        <f t="shared" si="5"/>
        <v>563963-5</v>
      </c>
      <c r="N56" s="24">
        <f>IF($A56="","",WORKDAY($A56,Settings!$C$9,HolidayDates))</f>
        <v>46121</v>
      </c>
      <c r="O56" s="24">
        <f>IF($N56="","",WORKDAY($N56,Settings!$C$10,HolidayDates))</f>
        <v>46161</v>
      </c>
      <c r="P56" s="10" t="s">
        <v>501</v>
      </c>
      <c r="Q56" s="52" t="str">
        <f t="shared" si="0"/>
        <v>Collected</v>
      </c>
      <c r="R56" s="55" t="str">
        <f t="shared" si="6"/>
        <v>2026-04</v>
      </c>
      <c r="S56" s="55">
        <f>IF(OR($B56="",$F56="",$R56=""),"",SUMIFS(tblIssues[Qty Issued],tblIssues[Staff ID],$B56,tblIssues[Item Name],$F56,tblIssues[Month],$R56))</f>
        <v>2</v>
      </c>
      <c r="T56" s="56">
        <f>IF($I56="","",$I56*Settings!$C$11)</f>
        <v>2</v>
      </c>
      <c r="U56" s="57" t="str">
        <f t="shared" si="7"/>
        <v>OK</v>
      </c>
      <c r="V56" s="55" t="str">
        <f t="shared" si="8"/>
        <v/>
      </c>
      <c r="W56" s="55" t="str">
        <f>IF($V56="","",IF(COUNTIF($V$5:$V56,$V56)=1,1,""))</f>
        <v/>
      </c>
      <c r="X56" s="58" t="str">
        <f>IF($W56="","",MAX($X$4:X55)+1)</f>
        <v/>
      </c>
      <c r="Y56" s="62"/>
      <c r="Z56" s="62"/>
      <c r="AA56" s="64" t="str">
        <f>IF($C56="","",IFERROR(INDEX('Staff Directory'!$E$5:$E$594,MATCH($C56,'Staff Directory'!$B$5:$B$594,0)),""))</f>
        <v>firstname201.lastname201@example.com</v>
      </c>
      <c r="AB56" s="64" t="str">
        <f>IF($C56="","",IF(ISNUMBER(SEARCH($D56,Settings!$C$15)),"Pickup","Dispatch"))</f>
        <v>Pickup</v>
      </c>
      <c r="AC56" s="64" t="str">
        <f t="shared" si="9"/>
        <v>Supply order ready for pickup</v>
      </c>
      <c r="AD56" s="64" t="str">
        <f t="shared" si="1"/>
        <v>Dear PSW,
Your order is ready for pickup from Sample Branch, Wed-Fri 9am-4pm.</v>
      </c>
      <c r="AE56" s="64" t="str">
        <f t="shared" si="2"/>
        <v>mailto:firstname201.lastname201@example.com?subject=Supply%20order%20ready%20for%20pickup&amp;body=Dear%20PSW%2C%0A%0AYour%20order%20is%20ready%20for%20pickup%20from%20Sample%20Branch%2C%20Wed-Fri%209am-4pm.</v>
      </c>
      <c r="AF56" s="65" t="str">
        <f t="shared" si="10"/>
        <v>Draft email</v>
      </c>
      <c r="AG56" s="64" t="str">
        <f>IF($C56="","",IFERROR(INDEX('Staff Directory'!$K$595:$K$599,MATCH($C56,'Staff Directory'!$B$5:$B$599,0)),$D56))</f>
        <v>PSW</v>
      </c>
      <c r="AH56" t="str">
        <f>IF($C56="","",IFERROR(INDEX('Staff Directory'!$I$595:$I$599,MATCH($C56,'Staff Directory'!$B$5:$B$599,0))&amp;" "&amp;INDEX('Staff Directory'!$J$595:$J$599,MATCH($C56,'Staff Directory'!$B$5:$B$599,0)),$AG56))</f>
        <v>PSW</v>
      </c>
      <c r="AI56" s="102" t="s">
        <v>456</v>
      </c>
      <c r="AJ56" s="101">
        <f>IF($F56="","",SUMIFS($J$5:$J56,$F$5:$F56,$F56))</f>
        <v>22</v>
      </c>
      <c r="AK56" s="101">
        <f t="shared" si="3"/>
        <v>21</v>
      </c>
      <c r="AL56" s="66" t="str" cm="1">
        <f t="array" ref="AL56">IF($F56="","",IFERROR(INDEX('Lot Balance'!$B$5:$B$500,MATCH(1,INDEX(('Lot Balance'!$A$5:$A$500=$F56)*('Lot Balance'!$K$5:$K$500&lt;$AK56)*('Lot Balance'!$K$5:$K$500+'Lot Balance'!$D$5:$D$500&gt;=$AK56),0),0)),""))</f>
        <v>563963-5</v>
      </c>
      <c r="AM56" s="66" t="str" cm="1">
        <f t="array" ref="AM56">IF($F56="","",IFERROR(INDEX('Lot Balance'!$B$5:$B$500,MATCH(1,INDEX(('Lot Balance'!$A$5:$A$500=$F56)*('Lot Balance'!$K$5:$K$500&lt;$AJ56)*('Lot Balance'!$K$5:$K$500+'Lot Balance'!$D$5:$D$500&gt;=$AJ56),0),0)),""))</f>
        <v>563963-5</v>
      </c>
      <c r="AN56" s="66" t="str">
        <f>IF($F56="","",IF($AI56&lt;&gt;"",IF(COUNTIFS('Lot Balance'!$A$5:$A$500,$F56,'Lot Balance'!$B$5:$B$500,$AI56)=0,"⚠ override is not a lot of this item",IF($AI56=$AL56,"Override = FEFO","Override - FEFO says "&amp;$AL56)),IF($AL56="","⚠ no receipt on file for this item",IF($AM56&lt;&gt;$AL56,"FEFO auto - split, also "&amp;$AM56,"FEFO auto"))))</f>
        <v>Override = FEFO</v>
      </c>
      <c r="AO56" s="114"/>
    </row>
    <row r="57" spans="1:41" x14ac:dyDescent="0.35">
      <c r="A57" s="74">
        <v>46113</v>
      </c>
      <c r="B57" s="18" t="str">
        <f>IF($C57="","",IFERROR(INDEX('Staff Directory'!$A$5:$A$594,MATCH($C57,'Staff Directory'!$B$5:$B$594,0)),"⚠ unknown staff"))</f>
        <v>PSW-138-A4</v>
      </c>
      <c r="C57" s="49" t="s">
        <v>1117</v>
      </c>
      <c r="D57" s="19" t="str">
        <f>IF($B57="","",IFERROR(INDEX('Staff Directory'!$C$5:$C$594,MATCH($B57,'Staff Directory'!$A$5:$A$594,0)),""))</f>
        <v>PSW</v>
      </c>
      <c r="E57" s="19" t="str">
        <f>IF($B57="","",IFERROR(INDEX('Staff Directory'!$D$5:$D$594,MATCH($B57,'Staff Directory'!$A$5:$A$594,0)),""))</f>
        <v>A4</v>
      </c>
      <c r="F57" s="9" t="s">
        <v>115</v>
      </c>
      <c r="G57" s="18" t="str">
        <f>IF($F57="","",IFERROR(INDEX(Items!$B$5:$B$597,MATCH($F57,Items!$A$5:$A$597,0)),"⚠ not in Items"))</f>
        <v>Wipes</v>
      </c>
      <c r="H57" s="19">
        <f>IF($F57="","",IFERROR(INDEX(Items!$C$5:$C$597,MATCH($F57,Items!$A$5:$A$597,0)),""))</f>
        <v>80</v>
      </c>
      <c r="I57" s="23">
        <f>IF($F57="","",IFERROR(INDEX(Items!$E$5:$E$597,MATCH($F57,Items!$A$5:$A$597,0)),""))</f>
        <v>80</v>
      </c>
      <c r="J57" s="115">
        <f>IF(tblIssues[[#This Row],[Qty Override]]&lt;&gt;"",tblIssues[[#This Row],[Qty Override]],IF(tblIssues[[#This Row],[Standard Issue]]="","",tblIssues[[#This Row],[Standard Issue]]))</f>
        <v>80</v>
      </c>
      <c r="K57" s="20">
        <f>IF($F57="","",IFERROR(INDEX(Items!$D$5:$D$597,MATCH($F57,Items!$A$5:$A$597,0)),""))</f>
        <v>0.1</v>
      </c>
      <c r="L57" s="21">
        <f t="shared" si="4"/>
        <v>8</v>
      </c>
      <c r="M57" s="9" t="str">
        <f t="shared" si="5"/>
        <v>LYSL500290</v>
      </c>
      <c r="N57" s="24">
        <f>IF($A57="","",WORKDAY($A57,Settings!$C$9,HolidayDates))</f>
        <v>46121</v>
      </c>
      <c r="O57" s="24">
        <f>IF($N57="","",WORKDAY($N57,Settings!$C$10,HolidayDates))</f>
        <v>46161</v>
      </c>
      <c r="P57" s="10" t="s">
        <v>501</v>
      </c>
      <c r="Q57" s="52" t="str">
        <f t="shared" si="0"/>
        <v>Collected</v>
      </c>
      <c r="R57" s="55" t="str">
        <f t="shared" si="6"/>
        <v>2026-04</v>
      </c>
      <c r="S57" s="55">
        <f>IF(OR($B57="",$F57="",$R57=""),"",SUMIFS(tblIssues[Qty Issued],tblIssues[Staff ID],$B57,tblIssues[Item Name],$F57,tblIssues[Month],$R57))</f>
        <v>80</v>
      </c>
      <c r="T57" s="56">
        <f>IF($I57="","",$I57*Settings!$C$11)</f>
        <v>80</v>
      </c>
      <c r="U57" s="57" t="str">
        <f t="shared" si="7"/>
        <v>OK</v>
      </c>
      <c r="V57" s="55" t="str">
        <f t="shared" si="8"/>
        <v/>
      </c>
      <c r="W57" s="55" t="str">
        <f>IF($V57="","",IF(COUNTIF($V$5:$V57,$V57)=1,1,""))</f>
        <v/>
      </c>
      <c r="X57" s="58" t="str">
        <f>IF($W57="","",MAX($X$4:X56)+1)</f>
        <v/>
      </c>
      <c r="Y57" s="62"/>
      <c r="Z57" s="62"/>
      <c r="AA57" s="64" t="str">
        <f>IF($C57="","",IFERROR(INDEX('Staff Directory'!$E$5:$E$594,MATCH($C57,'Staff Directory'!$B$5:$B$594,0)),""))</f>
        <v>firstname201.lastname201@example.com</v>
      </c>
      <c r="AB57" s="64" t="str">
        <f>IF($C57="","",IF(ISNUMBER(SEARCH($D57,Settings!$C$15)),"Pickup","Dispatch"))</f>
        <v>Pickup</v>
      </c>
      <c r="AC57" s="64" t="str">
        <f t="shared" si="9"/>
        <v>Supply order ready for pickup</v>
      </c>
      <c r="AD57" s="64" t="str">
        <f t="shared" si="1"/>
        <v>Dear PSW,
Your order is ready for pickup from Sample Branch, Wed-Fri 9am-4pm.</v>
      </c>
      <c r="AE57" s="64" t="str">
        <f t="shared" si="2"/>
        <v>mailto:firstname201.lastname201@example.com?subject=Supply%20order%20ready%20for%20pickup&amp;body=Dear%20PSW%2C%0A%0AYour%20order%20is%20ready%20for%20pickup%20from%20Sample%20Branch%2C%20Wed-Fri%209am-4pm.</v>
      </c>
      <c r="AF57" s="65" t="str">
        <f t="shared" si="10"/>
        <v>Draft email</v>
      </c>
      <c r="AG57" s="64" t="str">
        <f>IF($C57="","",IFERROR(INDEX('Staff Directory'!$K$595:$K$599,MATCH($C57,'Staff Directory'!$B$5:$B$599,0)),$D57))</f>
        <v>PSW</v>
      </c>
      <c r="AH57" t="str">
        <f>IF($C57="","",IFERROR(INDEX('Staff Directory'!$I$595:$I$599,MATCH($C57,'Staff Directory'!$B$5:$B$599,0))&amp;" "&amp;INDEX('Staff Directory'!$J$595:$J$599,MATCH($C57,'Staff Directory'!$B$5:$B$599,0)),$AG57))</f>
        <v>PSW</v>
      </c>
      <c r="AI57" s="102" t="s">
        <v>386</v>
      </c>
      <c r="AJ57" s="101">
        <f>IF($F57="","",SUMIFS($J$5:$J57,$F$5:$F57,$F57))</f>
        <v>1120</v>
      </c>
      <c r="AK57" s="101">
        <f t="shared" si="3"/>
        <v>1041</v>
      </c>
      <c r="AL57" s="66" t="str" cm="1">
        <f t="array" ref="AL57">IF($F57="","",IFERROR(INDEX('Lot Balance'!$B$5:$B$500,MATCH(1,INDEX(('Lot Balance'!$A$5:$A$500=$F57)*('Lot Balance'!$K$5:$K$500&lt;$AK57)*('Lot Balance'!$K$5:$K$500+'Lot Balance'!$D$5:$D$500&gt;=$AK57),0),0)),""))</f>
        <v>LYSL500290</v>
      </c>
      <c r="AM57" s="66" t="str" cm="1">
        <f t="array" ref="AM57">IF($F57="","",IFERROR(INDEX('Lot Balance'!$B$5:$B$500,MATCH(1,INDEX(('Lot Balance'!$A$5:$A$500=$F57)*('Lot Balance'!$K$5:$K$500&lt;$AJ57)*('Lot Balance'!$K$5:$K$500+'Lot Balance'!$D$5:$D$500&gt;=$AJ57),0),0)),""))</f>
        <v>LYSL500290</v>
      </c>
      <c r="AN57" s="66" t="str">
        <f>IF($F57="","",IF($AI57&lt;&gt;"",IF(COUNTIFS('Lot Balance'!$A$5:$A$500,$F57,'Lot Balance'!$B$5:$B$500,$AI57)=0,"⚠ override is not a lot of this item",IF($AI57=$AL57,"Override = FEFO","Override - FEFO says "&amp;$AL57)),IF($AL57="","⚠ no receipt on file for this item",IF($AM57&lt;&gt;$AL57,"FEFO auto - split, also "&amp;$AM57,"FEFO auto"))))</f>
        <v>Override = FEFO</v>
      </c>
      <c r="AO57" s="114"/>
    </row>
    <row r="58" spans="1:41" x14ac:dyDescent="0.35">
      <c r="A58" s="74">
        <v>46113</v>
      </c>
      <c r="B58" s="18" t="str">
        <f>IF($C58="","",IFERROR(INDEX('Staff Directory'!$A$5:$A$594,MATCH($C58,'Staff Directory'!$B$5:$B$594,0)),"⚠ unknown staff"))</f>
        <v>PSW-004-A4</v>
      </c>
      <c r="C58" s="49" t="s">
        <v>980</v>
      </c>
      <c r="D58" s="19" t="str">
        <f>IF($B58="","",IFERROR(INDEX('Staff Directory'!$C$5:$C$594,MATCH($B58,'Staff Directory'!$A$5:$A$594,0)),""))</f>
        <v>PSW</v>
      </c>
      <c r="E58" s="19" t="str">
        <f>IF($B58="","",IFERROR(INDEX('Staff Directory'!$D$5:$D$594,MATCH($B58,'Staff Directory'!$A$5:$A$594,0)),""))</f>
        <v>A4</v>
      </c>
      <c r="F58" s="9" t="s">
        <v>129</v>
      </c>
      <c r="G58" s="18" t="str">
        <f>IF($F58="","",IFERROR(INDEX(Items!$B$5:$B$597,MATCH($F58,Items!$A$5:$A$597,0)),"⚠ not in Items"))</f>
        <v>Gloves</v>
      </c>
      <c r="H58" s="19" t="str">
        <f>IF($F58="","",IFERROR(INDEX(Items!$C$5:$C$597,MATCH($F58,Items!$A$5:$A$597,0)),""))</f>
        <v>Small</v>
      </c>
      <c r="I58" s="23">
        <f>IF($F58="","",IFERROR(INDEX(Items!$E$5:$E$597,MATCH($F58,Items!$A$5:$A$597,0)),""))</f>
        <v>500</v>
      </c>
      <c r="J58" s="115">
        <f>IF(tblIssues[[#This Row],[Qty Override]]&lt;&gt;"",tblIssues[[#This Row],[Qty Override]],IF(tblIssues[[#This Row],[Standard Issue]]="","",tblIssues[[#This Row],[Standard Issue]]))</f>
        <v>500</v>
      </c>
      <c r="K58" s="20">
        <f>IF($F58="","",IFERROR(INDEX(Items!$D$5:$D$597,MATCH($F58,Items!$A$5:$A$597,0)),""))</f>
        <v>5.5E-2</v>
      </c>
      <c r="L58" s="21">
        <f t="shared" si="4"/>
        <v>27.5</v>
      </c>
      <c r="M58" s="9" t="str">
        <f t="shared" si="5"/>
        <v>O210LIC25</v>
      </c>
      <c r="N58" s="24">
        <f>IF($A58="","",WORKDAY($A58,Settings!$C$9,HolidayDates))</f>
        <v>46121</v>
      </c>
      <c r="O58" s="24">
        <f>IF($N58="","",WORKDAY($N58,Settings!$C$10,HolidayDates))</f>
        <v>46161</v>
      </c>
      <c r="P58" s="10" t="s">
        <v>501</v>
      </c>
      <c r="Q58" s="52" t="str">
        <f t="shared" si="0"/>
        <v>Collected</v>
      </c>
      <c r="R58" s="55" t="str">
        <f t="shared" si="6"/>
        <v>2026-04</v>
      </c>
      <c r="S58" s="55">
        <f>IF(OR($B58="",$F58="",$R58=""),"",SUMIFS(tblIssues[Qty Issued],tblIssues[Staff ID],$B58,tblIssues[Item Name],$F58,tblIssues[Month],$R58))</f>
        <v>500</v>
      </c>
      <c r="T58" s="56">
        <f>IF($I58="","",$I58*Settings!$C$11)</f>
        <v>500</v>
      </c>
      <c r="U58" s="57" t="str">
        <f t="shared" si="7"/>
        <v>OK</v>
      </c>
      <c r="V58" s="55" t="str">
        <f t="shared" si="8"/>
        <v/>
      </c>
      <c r="W58" s="55" t="str">
        <f>IF($V58="","",IF(COUNTIF($V$5:$V58,$V58)=1,1,""))</f>
        <v/>
      </c>
      <c r="X58" s="58" t="str">
        <f>IF($W58="","",MAX($X$4:X57)+1)</f>
        <v/>
      </c>
      <c r="Y58" s="62"/>
      <c r="Z58" s="62"/>
      <c r="AA58" s="64" t="str">
        <f>IF($C58="","",IFERROR(INDEX('Staff Directory'!$E$5:$E$594,MATCH($C58,'Staff Directory'!$B$5:$B$594,0)),""))</f>
        <v>firstname064.lastname064@example.com</v>
      </c>
      <c r="AB58" s="64" t="str">
        <f>IF($C58="","",IF(ISNUMBER(SEARCH($D58,Settings!$C$15)),"Pickup","Dispatch"))</f>
        <v>Pickup</v>
      </c>
      <c r="AC58" s="64" t="str">
        <f t="shared" si="9"/>
        <v>Supply order ready for pickup</v>
      </c>
      <c r="AD58" s="64" t="str">
        <f t="shared" si="1"/>
        <v>Dear PSW,
Your order is ready for pickup from Sample Branch, Wed-Fri 9am-4pm.</v>
      </c>
      <c r="AE58" s="64" t="str">
        <f t="shared" si="2"/>
        <v>mailto:firstname064.lastname064@example.com?subject=Supply%20order%20ready%20for%20pickup&amp;body=Dear%20PSW%2C%0A%0AYour%20order%20is%20ready%20for%20pickup%20from%20Sample%20Branch%2C%20Wed-Fri%209am-4pm.</v>
      </c>
      <c r="AF58" s="65" t="str">
        <f t="shared" si="10"/>
        <v>Draft email</v>
      </c>
      <c r="AG58" s="64" t="str">
        <f>IF($C58="","",IFERROR(INDEX('Staff Directory'!$K$595:$K$599,MATCH($C58,'Staff Directory'!$B$5:$B$599,0)),$D58))</f>
        <v>PSW</v>
      </c>
      <c r="AH58" t="str">
        <f>IF($C58="","",IFERROR(INDEX('Staff Directory'!$I$595:$I$599,MATCH($C58,'Staff Directory'!$B$5:$B$599,0))&amp;" "&amp;INDEX('Staff Directory'!$J$595:$J$599,MATCH($C58,'Staff Directory'!$B$5:$B$599,0)),$AG58))</f>
        <v>PSW</v>
      </c>
      <c r="AI58" s="102" t="s">
        <v>428</v>
      </c>
      <c r="AJ58" s="101">
        <f>IF($F58="","",SUMIFS($J$5:$J58,$F$5:$F58,$F58))</f>
        <v>4000</v>
      </c>
      <c r="AK58" s="101">
        <f t="shared" si="3"/>
        <v>3501</v>
      </c>
      <c r="AL58" s="66" t="str" cm="1">
        <f t="array" ref="AL58">IF($F58="","",IFERROR(INDEX('Lot Balance'!$B$5:$B$500,MATCH(1,INDEX(('Lot Balance'!$A$5:$A$500=$F58)*('Lot Balance'!$K$5:$K$500&lt;$AK58)*('Lot Balance'!$K$5:$K$500+'Lot Balance'!$D$5:$D$500&gt;=$AK58),0),0)),""))</f>
        <v>ZIM504124207-4</v>
      </c>
      <c r="AM58" s="66" t="str" cm="1">
        <f t="array" ref="AM58">IF($F58="","",IFERROR(INDEX('Lot Balance'!$B$5:$B$500,MATCH(1,INDEX(('Lot Balance'!$A$5:$A$500=$F58)*('Lot Balance'!$K$5:$K$500&lt;$AJ58)*('Lot Balance'!$K$5:$K$500+'Lot Balance'!$D$5:$D$500&gt;=$AJ58),0),0)),""))</f>
        <v>ZIM504124207-4</v>
      </c>
      <c r="AN58" s="66" t="str">
        <f>IF($F58="","",IF($AI58&lt;&gt;"",IF(COUNTIFS('Lot Balance'!$A$5:$A$500,$F58,'Lot Balance'!$B$5:$B$500,$AI58)=0,"⚠ override is not a lot of this item",IF($AI58=$AL58,"Override = FEFO","Override - FEFO says "&amp;$AL58)),IF($AL58="","⚠ no receipt on file for this item",IF($AM58&lt;&gt;$AL58,"FEFO auto - split, also "&amp;$AM58,"FEFO auto"))))</f>
        <v>Override - FEFO says ZIM504124207-4</v>
      </c>
      <c r="AO58" s="114"/>
    </row>
    <row r="59" spans="1:41" x14ac:dyDescent="0.35">
      <c r="A59" s="74">
        <v>46113</v>
      </c>
      <c r="B59" s="18" t="str">
        <f>IF($C59="","",IFERROR(INDEX('Staff Directory'!$A$5:$A$594,MATCH($C59,'Staff Directory'!$B$5:$B$594,0)),"⚠ unknown staff"))</f>
        <v>PSW-004-A4</v>
      </c>
      <c r="C59" s="49" t="s">
        <v>980</v>
      </c>
      <c r="D59" s="19" t="str">
        <f>IF($B59="","",IFERROR(INDEX('Staff Directory'!$C$5:$C$594,MATCH($B59,'Staff Directory'!$A$5:$A$594,0)),""))</f>
        <v>PSW</v>
      </c>
      <c r="E59" s="19" t="str">
        <f>IF($B59="","",IFERROR(INDEX('Staff Directory'!$D$5:$D$594,MATCH($B59,'Staff Directory'!$A$5:$A$594,0)),""))</f>
        <v>A4</v>
      </c>
      <c r="F59" s="9" t="s">
        <v>115</v>
      </c>
      <c r="G59" s="18" t="str">
        <f>IF($F59="","",IFERROR(INDEX(Items!$B$5:$B$597,MATCH($F59,Items!$A$5:$A$597,0)),"⚠ not in Items"))</f>
        <v>Wipes</v>
      </c>
      <c r="H59" s="19">
        <f>IF($F59="","",IFERROR(INDEX(Items!$C$5:$C$597,MATCH($F59,Items!$A$5:$A$597,0)),""))</f>
        <v>80</v>
      </c>
      <c r="I59" s="23">
        <f>IF($F59="","",IFERROR(INDEX(Items!$E$5:$E$597,MATCH($F59,Items!$A$5:$A$597,0)),""))</f>
        <v>80</v>
      </c>
      <c r="J59" s="115">
        <f>IF(tblIssues[[#This Row],[Qty Override]]&lt;&gt;"",tblIssues[[#This Row],[Qty Override]],IF(tblIssues[[#This Row],[Standard Issue]]="","",tblIssues[[#This Row],[Standard Issue]]))</f>
        <v>80</v>
      </c>
      <c r="K59" s="20">
        <f>IF($F59="","",IFERROR(INDEX(Items!$D$5:$D$597,MATCH($F59,Items!$A$5:$A$597,0)),""))</f>
        <v>0.1</v>
      </c>
      <c r="L59" s="21">
        <f t="shared" si="4"/>
        <v>8</v>
      </c>
      <c r="M59" s="9" t="str">
        <f t="shared" si="5"/>
        <v>LYSL500290</v>
      </c>
      <c r="N59" s="24">
        <f>IF($A59="","",WORKDAY($A59,Settings!$C$9,HolidayDates))</f>
        <v>46121</v>
      </c>
      <c r="O59" s="24">
        <f>IF($N59="","",WORKDAY($N59,Settings!$C$10,HolidayDates))</f>
        <v>46161</v>
      </c>
      <c r="P59" s="10" t="s">
        <v>501</v>
      </c>
      <c r="Q59" s="52" t="str">
        <f t="shared" si="0"/>
        <v>Collected</v>
      </c>
      <c r="R59" s="55" t="str">
        <f t="shared" si="6"/>
        <v>2026-04</v>
      </c>
      <c r="S59" s="55">
        <f>IF(OR($B59="",$F59="",$R59=""),"",SUMIFS(tblIssues[Qty Issued],tblIssues[Staff ID],$B59,tblIssues[Item Name],$F59,tblIssues[Month],$R59))</f>
        <v>80</v>
      </c>
      <c r="T59" s="56">
        <f>IF($I59="","",$I59*Settings!$C$11)</f>
        <v>80</v>
      </c>
      <c r="U59" s="57" t="str">
        <f t="shared" si="7"/>
        <v>OK</v>
      </c>
      <c r="V59" s="55" t="str">
        <f t="shared" si="8"/>
        <v/>
      </c>
      <c r="W59" s="55" t="str">
        <f>IF($V59="","",IF(COUNTIF($V$5:$V59,$V59)=1,1,""))</f>
        <v/>
      </c>
      <c r="X59" s="58" t="str">
        <f>IF($W59="","",MAX($X$4:X58)+1)</f>
        <v/>
      </c>
      <c r="Y59" s="62"/>
      <c r="Z59" s="62"/>
      <c r="AA59" s="64" t="str">
        <f>IF($C59="","",IFERROR(INDEX('Staff Directory'!$E$5:$E$594,MATCH($C59,'Staff Directory'!$B$5:$B$594,0)),""))</f>
        <v>firstname064.lastname064@example.com</v>
      </c>
      <c r="AB59" s="64" t="str">
        <f>IF($C59="","",IF(ISNUMBER(SEARCH($D59,Settings!$C$15)),"Pickup","Dispatch"))</f>
        <v>Pickup</v>
      </c>
      <c r="AC59" s="64" t="str">
        <f t="shared" si="9"/>
        <v>Supply order ready for pickup</v>
      </c>
      <c r="AD59" s="64" t="str">
        <f t="shared" si="1"/>
        <v>Dear PSW,
Your order is ready for pickup from Sample Branch, Wed-Fri 9am-4pm.</v>
      </c>
      <c r="AE59" s="64" t="str">
        <f t="shared" si="2"/>
        <v>mailto:firstname064.lastname064@example.com?subject=Supply%20order%20ready%20for%20pickup&amp;body=Dear%20PSW%2C%0A%0AYour%20order%20is%20ready%20for%20pickup%20from%20Sample%20Branch%2C%20Wed-Fri%209am-4pm.</v>
      </c>
      <c r="AF59" s="65" t="str">
        <f t="shared" si="10"/>
        <v>Draft email</v>
      </c>
      <c r="AG59" s="64" t="str">
        <f>IF($C59="","",IFERROR(INDEX('Staff Directory'!$K$595:$K$599,MATCH($C59,'Staff Directory'!$B$5:$B$599,0)),$D59))</f>
        <v>PSW</v>
      </c>
      <c r="AH59" t="str">
        <f>IF($C59="","",IFERROR(INDEX('Staff Directory'!$I$595:$I$599,MATCH($C59,'Staff Directory'!$B$5:$B$599,0))&amp;" "&amp;INDEX('Staff Directory'!$J$595:$J$599,MATCH($C59,'Staff Directory'!$B$5:$B$599,0)),$AG59))</f>
        <v>PSW</v>
      </c>
      <c r="AI59" s="102" t="s">
        <v>386</v>
      </c>
      <c r="AJ59" s="101">
        <f>IF($F59="","",SUMIFS($J$5:$J59,$F$5:$F59,$F59))</f>
        <v>1200</v>
      </c>
      <c r="AK59" s="101">
        <f t="shared" si="3"/>
        <v>1121</v>
      </c>
      <c r="AL59" s="66" t="str" cm="1">
        <f t="array" ref="AL59">IF($F59="","",IFERROR(INDEX('Lot Balance'!$B$5:$B$500,MATCH(1,INDEX(('Lot Balance'!$A$5:$A$500=$F59)*('Lot Balance'!$K$5:$K$500&lt;$AK59)*('Lot Balance'!$K$5:$K$500+'Lot Balance'!$D$5:$D$500&gt;=$AK59),0),0)),""))</f>
        <v>LYSL500290</v>
      </c>
      <c r="AM59" s="66" t="str" cm="1">
        <f t="array" ref="AM59">IF($F59="","",IFERROR(INDEX('Lot Balance'!$B$5:$B$500,MATCH(1,INDEX(('Lot Balance'!$A$5:$A$500=$F59)*('Lot Balance'!$K$5:$K$500&lt;$AJ59)*('Lot Balance'!$K$5:$K$500+'Lot Balance'!$D$5:$D$500&gt;=$AJ59),0),0)),""))</f>
        <v>LYSL500290</v>
      </c>
      <c r="AN59" s="66" t="str">
        <f>IF($F59="","",IF($AI59&lt;&gt;"",IF(COUNTIFS('Lot Balance'!$A$5:$A$500,$F59,'Lot Balance'!$B$5:$B$500,$AI59)=0,"⚠ override is not a lot of this item",IF($AI59=$AL59,"Override = FEFO","Override - FEFO says "&amp;$AL59)),IF($AL59="","⚠ no receipt on file for this item",IF($AM59&lt;&gt;$AL59,"FEFO auto - split, also "&amp;$AM59,"FEFO auto"))))</f>
        <v>Override = FEFO</v>
      </c>
      <c r="AO59" s="114"/>
    </row>
    <row r="60" spans="1:41" x14ac:dyDescent="0.35">
      <c r="A60" s="74">
        <v>46113</v>
      </c>
      <c r="B60" s="18" t="str">
        <f>IF($C60="","",IFERROR(INDEX('Staff Directory'!$A$5:$A$594,MATCH($C60,'Staff Directory'!$B$5:$B$594,0)),"⚠ unknown staff"))</f>
        <v>PSW-004-A4</v>
      </c>
      <c r="C60" s="49" t="s">
        <v>980</v>
      </c>
      <c r="D60" s="19" t="str">
        <f>IF($B60="","",IFERROR(INDEX('Staff Directory'!$C$5:$C$594,MATCH($B60,'Staff Directory'!$A$5:$A$594,0)),""))</f>
        <v>PSW</v>
      </c>
      <c r="E60" s="19" t="str">
        <f>IF($B60="","",IFERROR(INDEX('Staff Directory'!$D$5:$D$594,MATCH($B60,'Staff Directory'!$A$5:$A$594,0)),""))</f>
        <v>A4</v>
      </c>
      <c r="F60" s="9" t="s">
        <v>156</v>
      </c>
      <c r="G60" s="18" t="str">
        <f>IF($F60="","",IFERROR(INDEX(Items!$B$5:$B$597,MATCH($F60,Items!$A$5:$A$597,0)),"⚠ not in Items"))</f>
        <v>Masks</v>
      </c>
      <c r="H60" s="19" t="str">
        <f>IF($F60="","",IFERROR(INDEX(Items!$C$5:$C$597,MATCH($F60,Items!$A$5:$A$597,0)),""))</f>
        <v>One Size</v>
      </c>
      <c r="I60" s="23">
        <f>IF($F60="","",IFERROR(INDEX(Items!$E$5:$E$597,MATCH($F60,Items!$A$5:$A$597,0)),""))</f>
        <v>50</v>
      </c>
      <c r="J60" s="115">
        <f>IF(tblIssues[[#This Row],[Qty Override]]&lt;&gt;"",tblIssues[[#This Row],[Qty Override]],IF(tblIssues[[#This Row],[Standard Issue]]="","",tblIssues[[#This Row],[Standard Issue]]))</f>
        <v>50</v>
      </c>
      <c r="K60" s="20">
        <f>IF($F60="","",IFERROR(INDEX(Items!$D$5:$D$597,MATCH($F60,Items!$A$5:$A$597,0)),""))</f>
        <v>0.25</v>
      </c>
      <c r="L60" s="21">
        <f t="shared" si="4"/>
        <v>12.5</v>
      </c>
      <c r="M60" s="9" t="str">
        <f t="shared" si="5"/>
        <v>0125FPC24-0</v>
      </c>
      <c r="N60" s="24">
        <f>IF($A60="","",WORKDAY($A60,Settings!$C$9,HolidayDates))</f>
        <v>46121</v>
      </c>
      <c r="O60" s="24">
        <f>IF($N60="","",WORKDAY($N60,Settings!$C$10,HolidayDates))</f>
        <v>46161</v>
      </c>
      <c r="P60" s="10" t="s">
        <v>501</v>
      </c>
      <c r="Q60" s="52" t="str">
        <f t="shared" si="0"/>
        <v>Collected</v>
      </c>
      <c r="R60" s="55" t="str">
        <f t="shared" si="6"/>
        <v>2026-04</v>
      </c>
      <c r="S60" s="55">
        <f>IF(OR($B60="",$F60="",$R60=""),"",SUMIFS(tblIssues[Qty Issued],tblIssues[Staff ID],$B60,tblIssues[Item Name],$F60,tblIssues[Month],$R60))</f>
        <v>50</v>
      </c>
      <c r="T60" s="56">
        <f>IF($I60="","",$I60*Settings!$C$11)</f>
        <v>50</v>
      </c>
      <c r="U60" s="57" t="str">
        <f t="shared" si="7"/>
        <v>OK</v>
      </c>
      <c r="V60" s="55" t="str">
        <f t="shared" si="8"/>
        <v/>
      </c>
      <c r="W60" s="55" t="str">
        <f>IF($V60="","",IF(COUNTIF($V$5:$V60,$V60)=1,1,""))</f>
        <v/>
      </c>
      <c r="X60" s="58" t="str">
        <f>IF($W60="","",MAX($X$4:X59)+1)</f>
        <v/>
      </c>
      <c r="Y60" s="62"/>
      <c r="Z60" s="62"/>
      <c r="AA60" s="64" t="str">
        <f>IF($C60="","",IFERROR(INDEX('Staff Directory'!$E$5:$E$594,MATCH($C60,'Staff Directory'!$B$5:$B$594,0)),""))</f>
        <v>firstname064.lastname064@example.com</v>
      </c>
      <c r="AB60" s="64" t="str">
        <f>IF($C60="","",IF(ISNUMBER(SEARCH($D60,Settings!$C$15)),"Pickup","Dispatch"))</f>
        <v>Pickup</v>
      </c>
      <c r="AC60" s="64" t="str">
        <f t="shared" si="9"/>
        <v>Supply order ready for pickup</v>
      </c>
      <c r="AD60" s="64" t="str">
        <f t="shared" si="1"/>
        <v>Dear PSW,
Your order is ready for pickup from Sample Branch, Wed-Fri 9am-4pm.</v>
      </c>
      <c r="AE60" s="64" t="str">
        <f t="shared" si="2"/>
        <v>mailto:firstname064.lastname064@example.com?subject=Supply%20order%20ready%20for%20pickup&amp;body=Dear%20PSW%2C%0A%0AYour%20order%20is%20ready%20for%20pickup%20from%20Sample%20Branch%2C%20Wed-Fri%209am-4pm.</v>
      </c>
      <c r="AF60" s="65" t="str">
        <f t="shared" si="10"/>
        <v>Draft email</v>
      </c>
      <c r="AG60" s="64" t="str">
        <f>IF($C60="","",IFERROR(INDEX('Staff Directory'!$K$595:$K$599,MATCH($C60,'Staff Directory'!$B$5:$B$599,0)),$D60))</f>
        <v>PSW</v>
      </c>
      <c r="AH60" t="str">
        <f>IF($C60="","",IFERROR(INDEX('Staff Directory'!$I$595:$I$599,MATCH($C60,'Staff Directory'!$B$5:$B$599,0))&amp;" "&amp;INDEX('Staff Directory'!$J$595:$J$599,MATCH($C60,'Staff Directory'!$B$5:$B$599,0)),$AG60))</f>
        <v>PSW</v>
      </c>
      <c r="AI60" s="102" t="s">
        <v>474</v>
      </c>
      <c r="AJ60" s="101">
        <f>IF($F60="","",SUMIFS($J$5:$J60,$F$5:$F60,$F60))</f>
        <v>550</v>
      </c>
      <c r="AK60" s="101">
        <f t="shared" si="3"/>
        <v>501</v>
      </c>
      <c r="AL60" s="66" t="str" cm="1">
        <f t="array" ref="AL60">IF($F60="","",IFERROR(INDEX('Lot Balance'!$B$5:$B$500,MATCH(1,INDEX(('Lot Balance'!$A$5:$A$500=$F60)*('Lot Balance'!$K$5:$K$500&lt;$AK60)*('Lot Balance'!$K$5:$K$500+'Lot Balance'!$D$5:$D$500&gt;=$AK60),0),0)),""))</f>
        <v>0125FPC24-0</v>
      </c>
      <c r="AM60" s="66" t="str" cm="1">
        <f t="array" ref="AM60">IF($F60="","",IFERROR(INDEX('Lot Balance'!$B$5:$B$500,MATCH(1,INDEX(('Lot Balance'!$A$5:$A$500=$F60)*('Lot Balance'!$K$5:$K$500&lt;$AJ60)*('Lot Balance'!$K$5:$K$500+'Lot Balance'!$D$5:$D$500&gt;=$AJ60),0),0)),""))</f>
        <v>0125FPC24-0</v>
      </c>
      <c r="AN60" s="66" t="str">
        <f>IF($F60="","",IF($AI60&lt;&gt;"",IF(COUNTIFS('Lot Balance'!$A$5:$A$500,$F60,'Lot Balance'!$B$5:$B$500,$AI60)=0,"⚠ override is not a lot of this item",IF($AI60=$AL60,"Override = FEFO","Override - FEFO says "&amp;$AL60)),IF($AL60="","⚠ no receipt on file for this item",IF($AM60&lt;&gt;$AL60,"FEFO auto - split, also "&amp;$AM60,"FEFO auto"))))</f>
        <v>Override = FEFO</v>
      </c>
      <c r="AO60" s="114"/>
    </row>
    <row r="61" spans="1:41" x14ac:dyDescent="0.35">
      <c r="A61" s="74">
        <v>46114</v>
      </c>
      <c r="B61" s="18" t="str">
        <f>IF($C61="","",IFERROR(INDEX('Staff Directory'!$A$5:$A$594,MATCH($C61,'Staff Directory'!$B$5:$B$594,0)),"⚠ unknown staff"))</f>
        <v>PSW-098-A4</v>
      </c>
      <c r="C61" s="49" t="s">
        <v>1076</v>
      </c>
      <c r="D61" s="19" t="str">
        <f>IF($B61="","",IFERROR(INDEX('Staff Directory'!$C$5:$C$594,MATCH($B61,'Staff Directory'!$A$5:$A$594,0)),""))</f>
        <v>PSW</v>
      </c>
      <c r="E61" s="19" t="str">
        <f>IF($B61="","",IFERROR(INDEX('Staff Directory'!$D$5:$D$594,MATCH($B61,'Staff Directory'!$A$5:$A$594,0)),""))</f>
        <v>A4</v>
      </c>
      <c r="F61" s="9" t="s">
        <v>127</v>
      </c>
      <c r="G61" s="18" t="str">
        <f>IF($F61="","",IFERROR(INDEX(Items!$B$5:$B$597,MATCH($F61,Items!$A$5:$A$597,0)),"⚠ not in Items"))</f>
        <v>Gloves</v>
      </c>
      <c r="H61" s="19" t="str">
        <f>IF($F61="","",IFERROR(INDEX(Items!$C$5:$C$597,MATCH($F61,Items!$A$5:$A$597,0)),""))</f>
        <v>Medium</v>
      </c>
      <c r="I61" s="23">
        <f>IF($F61="","",IFERROR(INDEX(Items!$E$5:$E$597,MATCH($F61,Items!$A$5:$A$597,0)),""))</f>
        <v>500</v>
      </c>
      <c r="J61" s="115">
        <f>IF(tblIssues[[#This Row],[Qty Override]]&lt;&gt;"",tblIssues[[#This Row],[Qty Override]],IF(tblIssues[[#This Row],[Standard Issue]]="","",tblIssues[[#This Row],[Standard Issue]]))</f>
        <v>500</v>
      </c>
      <c r="K61" s="20">
        <f>IF($F61="","",IFERROR(INDEX(Items!$D$5:$D$597,MATCH($F61,Items!$A$5:$A$597,0)),""))</f>
        <v>5.5E-2</v>
      </c>
      <c r="L61" s="21">
        <f t="shared" si="4"/>
        <v>27.5</v>
      </c>
      <c r="M61" s="9" t="str">
        <f t="shared" si="5"/>
        <v>O17104</v>
      </c>
      <c r="N61" s="24">
        <f>IF($A61="","",WORKDAY($A61,Settings!$C$9,HolidayDates))</f>
        <v>46122</v>
      </c>
      <c r="O61" s="24">
        <f>IF($N61="","",WORKDAY($N61,Settings!$C$10,HolidayDates))</f>
        <v>46162</v>
      </c>
      <c r="P61" s="10" t="s">
        <v>501</v>
      </c>
      <c r="Q61" s="52" t="str">
        <f t="shared" si="0"/>
        <v>Collected</v>
      </c>
      <c r="R61" s="55" t="str">
        <f t="shared" si="6"/>
        <v>2026-04</v>
      </c>
      <c r="S61" s="55">
        <f>IF(OR($B61="",$F61="",$R61=""),"",SUMIFS(tblIssues[Qty Issued],tblIssues[Staff ID],$B61,tblIssues[Item Name],$F61,tblIssues[Month],$R61))</f>
        <v>500</v>
      </c>
      <c r="T61" s="56">
        <f>IF($I61="","",$I61*Settings!$C$11)</f>
        <v>500</v>
      </c>
      <c r="U61" s="57" t="str">
        <f t="shared" si="7"/>
        <v>OK</v>
      </c>
      <c r="V61" s="55" t="str">
        <f t="shared" si="8"/>
        <v/>
      </c>
      <c r="W61" s="55" t="str">
        <f>IF($V61="","",IF(COUNTIF($V$5:$V61,$V61)=1,1,""))</f>
        <v/>
      </c>
      <c r="X61" s="58" t="str">
        <f>IF($W61="","",MAX($X$4:X60)+1)</f>
        <v/>
      </c>
      <c r="Y61" s="62"/>
      <c r="Z61" s="62"/>
      <c r="AA61" s="64" t="str">
        <f>IF($C61="","",IFERROR(INDEX('Staff Directory'!$E$5:$E$594,MATCH($C61,'Staff Directory'!$B$5:$B$594,0)),""))</f>
        <v>firstname160.lastname160@example.com</v>
      </c>
      <c r="AB61" s="64" t="str">
        <f>IF($C61="","",IF(ISNUMBER(SEARCH($D61,Settings!$C$15)),"Pickup","Dispatch"))</f>
        <v>Pickup</v>
      </c>
      <c r="AC61" s="64" t="str">
        <f t="shared" si="9"/>
        <v>Supply order ready for pickup</v>
      </c>
      <c r="AD61" s="64" t="str">
        <f t="shared" si="1"/>
        <v>Dear PSW,
Your order is ready for pickup from Sample Branch, Wed-Fri 9am-4pm.</v>
      </c>
      <c r="AE61" s="64" t="str">
        <f t="shared" si="2"/>
        <v>mailto:firstname160.lastname160@example.com?subject=Supply%20order%20ready%20for%20pickup&amp;body=Dear%20PSW%2C%0A%0AYour%20order%20is%20ready%20for%20pickup%20from%20Sample%20Branch%2C%20Wed-Fri%209am-4pm.</v>
      </c>
      <c r="AF61" s="65" t="str">
        <f t="shared" si="10"/>
        <v>Draft email</v>
      </c>
      <c r="AG61" s="64" t="str">
        <f>IF($C61="","",IFERROR(INDEX('Staff Directory'!$K$595:$K$599,MATCH($C61,'Staff Directory'!$B$5:$B$599,0)),$D61))</f>
        <v>PSW</v>
      </c>
      <c r="AH61" t="str">
        <f>IF($C61="","",IFERROR(INDEX('Staff Directory'!$I$595:$I$599,MATCH($C61,'Staff Directory'!$B$5:$B$599,0))&amp;" "&amp;INDEX('Staff Directory'!$J$595:$J$599,MATCH($C61,'Staff Directory'!$B$5:$B$599,0)),$AG61))</f>
        <v>PSW</v>
      </c>
      <c r="AI61" s="102" t="s">
        <v>415</v>
      </c>
      <c r="AJ61" s="101">
        <f>IF($F61="","",SUMIFS($J$5:$J61,$F$5:$F61,$F61))</f>
        <v>3500</v>
      </c>
      <c r="AK61" s="101">
        <f t="shared" si="3"/>
        <v>3001</v>
      </c>
      <c r="AL61" s="66" t="str" cm="1">
        <f t="array" ref="AL61">IF($F61="","",IFERROR(INDEX('Lot Balance'!$B$5:$B$500,MATCH(1,INDEX(('Lot Balance'!$A$5:$A$500=$F61)*('Lot Balance'!$K$5:$K$500&lt;$AK61)*('Lot Balance'!$K$5:$K$500+'Lot Balance'!$D$5:$D$500&gt;=$AK61),0),0)),""))</f>
        <v>O17104</v>
      </c>
      <c r="AM61" s="66" t="str" cm="1">
        <f t="array" ref="AM61">IF($F61="","",IFERROR(INDEX('Lot Balance'!$B$5:$B$500,MATCH(1,INDEX(('Lot Balance'!$A$5:$A$500=$F61)*('Lot Balance'!$K$5:$K$500&lt;$AJ61)*('Lot Balance'!$K$5:$K$500+'Lot Balance'!$D$5:$D$500&gt;=$AJ61),0),0)),""))</f>
        <v>O17104</v>
      </c>
      <c r="AN61" s="66" t="str">
        <f>IF($F61="","",IF($AI61&lt;&gt;"",IF(COUNTIFS('Lot Balance'!$A$5:$A$500,$F61,'Lot Balance'!$B$5:$B$500,$AI61)=0,"⚠ override is not a lot of this item",IF($AI61=$AL61,"Override = FEFO","Override - FEFO says "&amp;$AL61)),IF($AL61="","⚠ no receipt on file for this item",IF($AM61&lt;&gt;$AL61,"FEFO auto - split, also "&amp;$AM61,"FEFO auto"))))</f>
        <v>Override = FEFO</v>
      </c>
      <c r="AO61" s="114"/>
    </row>
    <row r="62" spans="1:41" x14ac:dyDescent="0.35">
      <c r="A62" s="74">
        <v>46114</v>
      </c>
      <c r="B62" s="18" t="str">
        <f>IF($C62="","",IFERROR(INDEX('Staff Directory'!$A$5:$A$594,MATCH($C62,'Staff Directory'!$B$5:$B$594,0)),"⚠ unknown staff"))</f>
        <v>PSW-098-A4</v>
      </c>
      <c r="C62" s="49" t="s">
        <v>1076</v>
      </c>
      <c r="D62" s="19" t="str">
        <f>IF($B62="","",IFERROR(INDEX('Staff Directory'!$C$5:$C$594,MATCH($B62,'Staff Directory'!$A$5:$A$594,0)),""))</f>
        <v>PSW</v>
      </c>
      <c r="E62" s="19" t="str">
        <f>IF($B62="","",IFERROR(INDEX('Staff Directory'!$D$5:$D$594,MATCH($B62,'Staff Directory'!$A$5:$A$594,0)),""))</f>
        <v>A4</v>
      </c>
      <c r="F62" s="9" t="s">
        <v>137</v>
      </c>
      <c r="G62" s="18" t="str">
        <f>IF($F62="","",IFERROR(INDEX(Items!$B$5:$B$597,MATCH($F62,Items!$A$5:$A$597,0)),"⚠ not in Items"))</f>
        <v>Sanitizer</v>
      </c>
      <c r="H62" s="19" t="str">
        <f>IF($F62="","",IFERROR(INDEX(Items!$C$5:$C$597,MATCH($F62,Items!$A$5:$A$597,0)),""))</f>
        <v>118 ML</v>
      </c>
      <c r="I62" s="23">
        <f>IF($F62="","",IFERROR(INDEX(Items!$E$5:$E$597,MATCH($F62,Items!$A$5:$A$597,0)),""))</f>
        <v>2</v>
      </c>
      <c r="J62" s="115">
        <f>IF(tblIssues[[#This Row],[Qty Override]]&lt;&gt;"",tblIssues[[#This Row],[Qty Override]],IF(tblIssues[[#This Row],[Standard Issue]]="","",tblIssues[[#This Row],[Standard Issue]]))</f>
        <v>2</v>
      </c>
      <c r="K62" s="20">
        <f>IF($F62="","",IFERROR(INDEX(Items!$D$5:$D$597,MATCH($F62,Items!$A$5:$A$597,0)),""))</f>
        <v>4.49</v>
      </c>
      <c r="L62" s="21">
        <f t="shared" si="4"/>
        <v>8.98</v>
      </c>
      <c r="M62" s="9" t="str">
        <f t="shared" si="5"/>
        <v>563963-5</v>
      </c>
      <c r="N62" s="24">
        <f>IF($A62="","",WORKDAY($A62,Settings!$C$9,HolidayDates))</f>
        <v>46122</v>
      </c>
      <c r="O62" s="24">
        <f>IF($N62="","",WORKDAY($N62,Settings!$C$10,HolidayDates))</f>
        <v>46162</v>
      </c>
      <c r="P62" s="10" t="s">
        <v>501</v>
      </c>
      <c r="Q62" s="52" t="str">
        <f t="shared" si="0"/>
        <v>Collected</v>
      </c>
      <c r="R62" s="55" t="str">
        <f t="shared" si="6"/>
        <v>2026-04</v>
      </c>
      <c r="S62" s="55">
        <f>IF(OR($B62="",$F62="",$R62=""),"",SUMIFS(tblIssues[Qty Issued],tblIssues[Staff ID],$B62,tblIssues[Item Name],$F62,tblIssues[Month],$R62))</f>
        <v>2</v>
      </c>
      <c r="T62" s="56">
        <f>IF($I62="","",$I62*Settings!$C$11)</f>
        <v>2</v>
      </c>
      <c r="U62" s="57" t="str">
        <f t="shared" si="7"/>
        <v>OK</v>
      </c>
      <c r="V62" s="55" t="str">
        <f t="shared" si="8"/>
        <v/>
      </c>
      <c r="W62" s="55" t="str">
        <f>IF($V62="","",IF(COUNTIF($V$5:$V62,$V62)=1,1,""))</f>
        <v/>
      </c>
      <c r="X62" s="58" t="str">
        <f>IF($W62="","",MAX($X$4:X61)+1)</f>
        <v/>
      </c>
      <c r="Y62" s="62"/>
      <c r="Z62" s="62"/>
      <c r="AA62" s="64" t="str">
        <f>IF($C62="","",IFERROR(INDEX('Staff Directory'!$E$5:$E$594,MATCH($C62,'Staff Directory'!$B$5:$B$594,0)),""))</f>
        <v>firstname160.lastname160@example.com</v>
      </c>
      <c r="AB62" s="64" t="str">
        <f>IF($C62="","",IF(ISNUMBER(SEARCH($D62,Settings!$C$15)),"Pickup","Dispatch"))</f>
        <v>Pickup</v>
      </c>
      <c r="AC62" s="64" t="str">
        <f t="shared" si="9"/>
        <v>Supply order ready for pickup</v>
      </c>
      <c r="AD62" s="64" t="str">
        <f t="shared" si="1"/>
        <v>Dear PSW,
Your order is ready for pickup from Sample Branch, Wed-Fri 9am-4pm.</v>
      </c>
      <c r="AE62" s="64" t="str">
        <f t="shared" si="2"/>
        <v>mailto:firstname160.lastname160@example.com?subject=Supply%20order%20ready%20for%20pickup&amp;body=Dear%20PSW%2C%0A%0AYour%20order%20is%20ready%20for%20pickup%20from%20Sample%20Branch%2C%20Wed-Fri%209am-4pm.</v>
      </c>
      <c r="AF62" s="65" t="str">
        <f t="shared" si="10"/>
        <v>Draft email</v>
      </c>
      <c r="AG62" s="64" t="str">
        <f>IF($C62="","",IFERROR(INDEX('Staff Directory'!$K$595:$K$599,MATCH($C62,'Staff Directory'!$B$5:$B$599,0)),$D62))</f>
        <v>PSW</v>
      </c>
      <c r="AH62" t="str">
        <f>IF($C62="","",IFERROR(INDEX('Staff Directory'!$I$595:$I$599,MATCH($C62,'Staff Directory'!$B$5:$B$599,0))&amp;" "&amp;INDEX('Staff Directory'!$J$595:$J$599,MATCH($C62,'Staff Directory'!$B$5:$B$599,0)),$AG62))</f>
        <v>PSW</v>
      </c>
      <c r="AI62" s="102" t="s">
        <v>456</v>
      </c>
      <c r="AJ62" s="101">
        <f>IF($F62="","",SUMIFS($J$5:$J62,$F$5:$F62,$F62))</f>
        <v>24</v>
      </c>
      <c r="AK62" s="101">
        <f t="shared" si="3"/>
        <v>23</v>
      </c>
      <c r="AL62" s="66" t="str" cm="1">
        <f t="array" ref="AL62">IF($F62="","",IFERROR(INDEX('Lot Balance'!$B$5:$B$500,MATCH(1,INDEX(('Lot Balance'!$A$5:$A$500=$F62)*('Lot Balance'!$K$5:$K$500&lt;$AK62)*('Lot Balance'!$K$5:$K$500+'Lot Balance'!$D$5:$D$500&gt;=$AK62),0),0)),""))</f>
        <v>563963-5</v>
      </c>
      <c r="AM62" s="66" t="str" cm="1">
        <f t="array" ref="AM62">IF($F62="","",IFERROR(INDEX('Lot Balance'!$B$5:$B$500,MATCH(1,INDEX(('Lot Balance'!$A$5:$A$500=$F62)*('Lot Balance'!$K$5:$K$500&lt;$AJ62)*('Lot Balance'!$K$5:$K$500+'Lot Balance'!$D$5:$D$500&gt;=$AJ62),0),0)),""))</f>
        <v>563963-5</v>
      </c>
      <c r="AN62" s="66" t="str">
        <f>IF($F62="","",IF($AI62&lt;&gt;"",IF(COUNTIFS('Lot Balance'!$A$5:$A$500,$F62,'Lot Balance'!$B$5:$B$500,$AI62)=0,"⚠ override is not a lot of this item",IF($AI62=$AL62,"Override = FEFO","Override - FEFO says "&amp;$AL62)),IF($AL62="","⚠ no receipt on file for this item",IF($AM62&lt;&gt;$AL62,"FEFO auto - split, also "&amp;$AM62,"FEFO auto"))))</f>
        <v>Override = FEFO</v>
      </c>
      <c r="AO62" s="114"/>
    </row>
    <row r="63" spans="1:41" x14ac:dyDescent="0.35">
      <c r="A63" s="74">
        <v>46114</v>
      </c>
      <c r="B63" s="18" t="str">
        <f>IF($C63="","",IFERROR(INDEX('Staff Directory'!$A$5:$A$594,MATCH($C63,'Staff Directory'!$B$5:$B$594,0)),"⚠ unknown staff"))</f>
        <v>PSW-098-A4</v>
      </c>
      <c r="C63" s="49" t="s">
        <v>1076</v>
      </c>
      <c r="D63" s="19" t="str">
        <f>IF($B63="","",IFERROR(INDEX('Staff Directory'!$C$5:$C$594,MATCH($B63,'Staff Directory'!$A$5:$A$594,0)),""))</f>
        <v>PSW</v>
      </c>
      <c r="E63" s="19" t="str">
        <f>IF($B63="","",IFERROR(INDEX('Staff Directory'!$D$5:$D$594,MATCH($B63,'Staff Directory'!$A$5:$A$594,0)),""))</f>
        <v>A4</v>
      </c>
      <c r="F63" s="9" t="s">
        <v>115</v>
      </c>
      <c r="G63" s="18" t="str">
        <f>IF($F63="","",IFERROR(INDEX(Items!$B$5:$B$597,MATCH($F63,Items!$A$5:$A$597,0)),"⚠ not in Items"))</f>
        <v>Wipes</v>
      </c>
      <c r="H63" s="19">
        <f>IF($F63="","",IFERROR(INDEX(Items!$C$5:$C$597,MATCH($F63,Items!$A$5:$A$597,0)),""))</f>
        <v>80</v>
      </c>
      <c r="I63" s="23">
        <f>IF($F63="","",IFERROR(INDEX(Items!$E$5:$E$597,MATCH($F63,Items!$A$5:$A$597,0)),""))</f>
        <v>80</v>
      </c>
      <c r="J63" s="115">
        <f>IF(tblIssues[[#This Row],[Qty Override]]&lt;&gt;"",tblIssues[[#This Row],[Qty Override]],IF(tblIssues[[#This Row],[Standard Issue]]="","",tblIssues[[#This Row],[Standard Issue]]))</f>
        <v>80</v>
      </c>
      <c r="K63" s="20">
        <f>IF($F63="","",IFERROR(INDEX(Items!$D$5:$D$597,MATCH($F63,Items!$A$5:$A$597,0)),""))</f>
        <v>0.1</v>
      </c>
      <c r="L63" s="21">
        <f t="shared" si="4"/>
        <v>8</v>
      </c>
      <c r="M63" s="9" t="str">
        <f t="shared" si="5"/>
        <v>LYSL500290</v>
      </c>
      <c r="N63" s="24">
        <f>IF($A63="","",WORKDAY($A63,Settings!$C$9,HolidayDates))</f>
        <v>46122</v>
      </c>
      <c r="O63" s="24">
        <f>IF($N63="","",WORKDAY($N63,Settings!$C$10,HolidayDates))</f>
        <v>46162</v>
      </c>
      <c r="P63" s="10" t="s">
        <v>501</v>
      </c>
      <c r="Q63" s="52" t="str">
        <f t="shared" si="0"/>
        <v>Collected</v>
      </c>
      <c r="R63" s="55" t="str">
        <f t="shared" si="6"/>
        <v>2026-04</v>
      </c>
      <c r="S63" s="55">
        <f>IF(OR($B63="",$F63="",$R63=""),"",SUMIFS(tblIssues[Qty Issued],tblIssues[Staff ID],$B63,tblIssues[Item Name],$F63,tblIssues[Month],$R63))</f>
        <v>80</v>
      </c>
      <c r="T63" s="56">
        <f>IF($I63="","",$I63*Settings!$C$11)</f>
        <v>80</v>
      </c>
      <c r="U63" s="57" t="str">
        <f t="shared" si="7"/>
        <v>OK</v>
      </c>
      <c r="V63" s="55" t="str">
        <f t="shared" si="8"/>
        <v/>
      </c>
      <c r="W63" s="55" t="str">
        <f>IF($V63="","",IF(COUNTIF($V$5:$V63,$V63)=1,1,""))</f>
        <v/>
      </c>
      <c r="X63" s="58" t="str">
        <f>IF($W63="","",MAX($X$4:X62)+1)</f>
        <v/>
      </c>
      <c r="Y63" s="62"/>
      <c r="Z63" s="62"/>
      <c r="AA63" s="64" t="str">
        <f>IF($C63="","",IFERROR(INDEX('Staff Directory'!$E$5:$E$594,MATCH($C63,'Staff Directory'!$B$5:$B$594,0)),""))</f>
        <v>firstname160.lastname160@example.com</v>
      </c>
      <c r="AB63" s="64" t="str">
        <f>IF($C63="","",IF(ISNUMBER(SEARCH($D63,Settings!$C$15)),"Pickup","Dispatch"))</f>
        <v>Pickup</v>
      </c>
      <c r="AC63" s="64" t="str">
        <f t="shared" si="9"/>
        <v>Supply order ready for pickup</v>
      </c>
      <c r="AD63" s="64" t="str">
        <f t="shared" si="1"/>
        <v>Dear PSW,
Your order is ready for pickup from Sample Branch, Wed-Fri 9am-4pm.</v>
      </c>
      <c r="AE63" s="64" t="str">
        <f t="shared" si="2"/>
        <v>mailto:firstname160.lastname160@example.com?subject=Supply%20order%20ready%20for%20pickup&amp;body=Dear%20PSW%2C%0A%0AYour%20order%20is%20ready%20for%20pickup%20from%20Sample%20Branch%2C%20Wed-Fri%209am-4pm.</v>
      </c>
      <c r="AF63" s="65" t="str">
        <f t="shared" si="10"/>
        <v>Draft email</v>
      </c>
      <c r="AG63" s="64" t="str">
        <f>IF($C63="","",IFERROR(INDEX('Staff Directory'!$K$595:$K$599,MATCH($C63,'Staff Directory'!$B$5:$B$599,0)),$D63))</f>
        <v>PSW</v>
      </c>
      <c r="AH63" t="str">
        <f>IF($C63="","",IFERROR(INDEX('Staff Directory'!$I$595:$I$599,MATCH($C63,'Staff Directory'!$B$5:$B$599,0))&amp;" "&amp;INDEX('Staff Directory'!$J$595:$J$599,MATCH($C63,'Staff Directory'!$B$5:$B$599,0)),$AG63))</f>
        <v>PSW</v>
      </c>
      <c r="AI63" s="102" t="s">
        <v>386</v>
      </c>
      <c r="AJ63" s="101">
        <f>IF($F63="","",SUMIFS($J$5:$J63,$F$5:$F63,$F63))</f>
        <v>1280</v>
      </c>
      <c r="AK63" s="101">
        <f t="shared" si="3"/>
        <v>1201</v>
      </c>
      <c r="AL63" s="66" t="str" cm="1">
        <f t="array" ref="AL63">IF($F63="","",IFERROR(INDEX('Lot Balance'!$B$5:$B$500,MATCH(1,INDEX(('Lot Balance'!$A$5:$A$500=$F63)*('Lot Balance'!$K$5:$K$500&lt;$AK63)*('Lot Balance'!$K$5:$K$500+'Lot Balance'!$D$5:$D$500&gt;=$AK63),0),0)),""))</f>
        <v>LYSL500290</v>
      </c>
      <c r="AM63" s="66" t="str" cm="1">
        <f t="array" ref="AM63">IF($F63="","",IFERROR(INDEX('Lot Balance'!$B$5:$B$500,MATCH(1,INDEX(('Lot Balance'!$A$5:$A$500=$F63)*('Lot Balance'!$K$5:$K$500&lt;$AJ63)*('Lot Balance'!$K$5:$K$500+'Lot Balance'!$D$5:$D$500&gt;=$AJ63),0),0)),""))</f>
        <v>LYSL500290</v>
      </c>
      <c r="AN63" s="66" t="str">
        <f>IF($F63="","",IF($AI63&lt;&gt;"",IF(COUNTIFS('Lot Balance'!$A$5:$A$500,$F63,'Lot Balance'!$B$5:$B$500,$AI63)=0,"⚠ override is not a lot of this item",IF($AI63=$AL63,"Override = FEFO","Override - FEFO says "&amp;$AL63)),IF($AL63="","⚠ no receipt on file for this item",IF($AM63&lt;&gt;$AL63,"FEFO auto - split, also "&amp;$AM63,"FEFO auto"))))</f>
        <v>Override = FEFO</v>
      </c>
      <c r="AO63" s="114"/>
    </row>
    <row r="64" spans="1:41" x14ac:dyDescent="0.35">
      <c r="A64" s="74">
        <v>46114</v>
      </c>
      <c r="B64" s="18" t="str">
        <f>IF($C64="","",IFERROR(INDEX('Staff Directory'!$A$5:$A$594,MATCH($C64,'Staff Directory'!$B$5:$B$594,0)),"⚠ unknown staff"))</f>
        <v>PSW-144-A6</v>
      </c>
      <c r="C64" s="49" t="s">
        <v>1123</v>
      </c>
      <c r="D64" s="19" t="str">
        <f>IF($B64="","",IFERROR(INDEX('Staff Directory'!$C$5:$C$594,MATCH($B64,'Staff Directory'!$A$5:$A$594,0)),""))</f>
        <v>PSW</v>
      </c>
      <c r="E64" s="19" t="str">
        <f>IF($B64="","",IFERROR(INDEX('Staff Directory'!$D$5:$D$594,MATCH($B64,'Staff Directory'!$A$5:$A$594,0)),""))</f>
        <v>A6</v>
      </c>
      <c r="F64" s="9" t="s">
        <v>129</v>
      </c>
      <c r="G64" s="18" t="str">
        <f>IF($F64="","",IFERROR(INDEX(Items!$B$5:$B$597,MATCH($F64,Items!$A$5:$A$597,0)),"⚠ not in Items"))</f>
        <v>Gloves</v>
      </c>
      <c r="H64" s="19" t="str">
        <f>IF($F64="","",IFERROR(INDEX(Items!$C$5:$C$597,MATCH($F64,Items!$A$5:$A$597,0)),""))</f>
        <v>Small</v>
      </c>
      <c r="I64" s="23">
        <f>IF($F64="","",IFERROR(INDEX(Items!$E$5:$E$597,MATCH($F64,Items!$A$5:$A$597,0)),""))</f>
        <v>500</v>
      </c>
      <c r="J64" s="115">
        <f>IF(tblIssues[[#This Row],[Qty Override]]&lt;&gt;"",tblIssues[[#This Row],[Qty Override]],IF(tblIssues[[#This Row],[Standard Issue]]="","",tblIssues[[#This Row],[Standard Issue]]))</f>
        <v>500</v>
      </c>
      <c r="K64" s="20">
        <f>IF($F64="","",IFERROR(INDEX(Items!$D$5:$D$597,MATCH($F64,Items!$A$5:$A$597,0)),""))</f>
        <v>5.5E-2</v>
      </c>
      <c r="L64" s="21">
        <f t="shared" si="4"/>
        <v>27.5</v>
      </c>
      <c r="M64" s="9" t="str">
        <f t="shared" si="5"/>
        <v>O210LIC25</v>
      </c>
      <c r="N64" s="24">
        <f>IF($A64="","",WORKDAY($A64,Settings!$C$9,HolidayDates))</f>
        <v>46122</v>
      </c>
      <c r="O64" s="24">
        <f>IF($N64="","",WORKDAY($N64,Settings!$C$10,HolidayDates))</f>
        <v>46162</v>
      </c>
      <c r="P64" s="10" t="s">
        <v>501</v>
      </c>
      <c r="Q64" s="52" t="str">
        <f t="shared" si="0"/>
        <v>Collected</v>
      </c>
      <c r="R64" s="55" t="str">
        <f t="shared" si="6"/>
        <v>2026-04</v>
      </c>
      <c r="S64" s="55">
        <f>IF(OR($B64="",$F64="",$R64=""),"",SUMIFS(tblIssues[Qty Issued],tblIssues[Staff ID],$B64,tblIssues[Item Name],$F64,tblIssues[Month],$R64))</f>
        <v>500</v>
      </c>
      <c r="T64" s="56">
        <f>IF($I64="","",$I64*Settings!$C$11)</f>
        <v>500</v>
      </c>
      <c r="U64" s="57" t="str">
        <f t="shared" si="7"/>
        <v>OK</v>
      </c>
      <c r="V64" s="55" t="str">
        <f t="shared" si="8"/>
        <v/>
      </c>
      <c r="W64" s="55" t="str">
        <f>IF($V64="","",IF(COUNTIF($V$5:$V64,$V64)=1,1,""))</f>
        <v/>
      </c>
      <c r="X64" s="58" t="str">
        <f>IF($W64="","",MAX($X$4:X63)+1)</f>
        <v/>
      </c>
      <c r="Y64" s="62"/>
      <c r="Z64" s="62"/>
      <c r="AA64" s="64" t="str">
        <f>IF($C64="","",IFERROR(INDEX('Staff Directory'!$E$5:$E$594,MATCH($C64,'Staff Directory'!$B$5:$B$594,0)),""))</f>
        <v>firstname207.lastname207@example.com</v>
      </c>
      <c r="AB64" s="64" t="str">
        <f>IF($C64="","",IF(ISNUMBER(SEARCH($D64,Settings!$C$15)),"Pickup","Dispatch"))</f>
        <v>Pickup</v>
      </c>
      <c r="AC64" s="64" t="str">
        <f t="shared" si="9"/>
        <v>Supply order ready for pickup</v>
      </c>
      <c r="AD64" s="64" t="str">
        <f t="shared" si="1"/>
        <v>Dear PSW,
Your order is ready for pickup from Sample Branch, Wed-Fri 9am-4pm.</v>
      </c>
      <c r="AE64" s="64" t="str">
        <f t="shared" si="2"/>
        <v>mailto:firstname207.lastname207@example.com?subject=Supply%20order%20ready%20for%20pickup&amp;body=Dear%20PSW%2C%0A%0AYour%20order%20is%20ready%20for%20pickup%20from%20Sample%20Branch%2C%20Wed-Fri%209am-4pm.</v>
      </c>
      <c r="AF64" s="65" t="str">
        <f t="shared" si="10"/>
        <v>Draft email</v>
      </c>
      <c r="AG64" s="64" t="str">
        <f>IF($C64="","",IFERROR(INDEX('Staff Directory'!$K$595:$K$599,MATCH($C64,'Staff Directory'!$B$5:$B$599,0)),$D64))</f>
        <v>PSW</v>
      </c>
      <c r="AH64" t="str">
        <f>IF($C64="","",IFERROR(INDEX('Staff Directory'!$I$595:$I$599,MATCH($C64,'Staff Directory'!$B$5:$B$599,0))&amp;" "&amp;INDEX('Staff Directory'!$J$595:$J$599,MATCH($C64,'Staff Directory'!$B$5:$B$599,0)),$AG64))</f>
        <v>PSW</v>
      </c>
      <c r="AI64" s="102" t="s">
        <v>428</v>
      </c>
      <c r="AJ64" s="101">
        <f>IF($F64="","",SUMIFS($J$5:$J64,$F$5:$F64,$F64))</f>
        <v>4500</v>
      </c>
      <c r="AK64" s="101">
        <f t="shared" si="3"/>
        <v>4001</v>
      </c>
      <c r="AL64" s="66" t="str" cm="1">
        <f t="array" ref="AL64">IF($F64="","",IFERROR(INDEX('Lot Balance'!$B$5:$B$500,MATCH(1,INDEX(('Lot Balance'!$A$5:$A$500=$F64)*('Lot Balance'!$K$5:$K$500&lt;$AK64)*('Lot Balance'!$K$5:$K$500+'Lot Balance'!$D$5:$D$500&gt;=$AK64),0),0)),""))</f>
        <v>ZIM504124207-4</v>
      </c>
      <c r="AM64" s="66" t="str" cm="1">
        <f t="array" ref="AM64">IF($F64="","",IFERROR(INDEX('Lot Balance'!$B$5:$B$500,MATCH(1,INDEX(('Lot Balance'!$A$5:$A$500=$F64)*('Lot Balance'!$K$5:$K$500&lt;$AJ64)*('Lot Balance'!$K$5:$K$500+'Lot Balance'!$D$5:$D$500&gt;=$AJ64),0),0)),""))</f>
        <v>ZIM504124207-4</v>
      </c>
      <c r="AN64" s="66" t="str">
        <f>IF($F64="","",IF($AI64&lt;&gt;"",IF(COUNTIFS('Lot Balance'!$A$5:$A$500,$F64,'Lot Balance'!$B$5:$B$500,$AI64)=0,"⚠ override is not a lot of this item",IF($AI64=$AL64,"Override = FEFO","Override - FEFO says "&amp;$AL64)),IF($AL64="","⚠ no receipt on file for this item",IF($AM64&lt;&gt;$AL64,"FEFO auto - split, also "&amp;$AM64,"FEFO auto"))))</f>
        <v>Override - FEFO says ZIM504124207-4</v>
      </c>
      <c r="AO64" s="114"/>
    </row>
    <row r="65" spans="1:41" x14ac:dyDescent="0.35">
      <c r="A65" s="74">
        <v>46114</v>
      </c>
      <c r="B65" s="18" t="str">
        <f>IF($C65="","",IFERROR(INDEX('Staff Directory'!$A$5:$A$594,MATCH($C65,'Staff Directory'!$B$5:$B$594,0)),"⚠ unknown staff"))</f>
        <v>PSW-032-A6</v>
      </c>
      <c r="C65" s="49" t="s">
        <v>1007</v>
      </c>
      <c r="D65" s="19" t="str">
        <f>IF($B65="","",IFERROR(INDEX('Staff Directory'!$C$5:$C$594,MATCH($B65,'Staff Directory'!$A$5:$A$594,0)),""))</f>
        <v>PSW</v>
      </c>
      <c r="E65" s="19" t="str">
        <f>IF($B65="","",IFERROR(INDEX('Staff Directory'!$D$5:$D$594,MATCH($B65,'Staff Directory'!$A$5:$A$594,0)),""))</f>
        <v>A6</v>
      </c>
      <c r="F65" s="9" t="s">
        <v>127</v>
      </c>
      <c r="G65" s="18" t="str">
        <f>IF($F65="","",IFERROR(INDEX(Items!$B$5:$B$597,MATCH($F65,Items!$A$5:$A$597,0)),"⚠ not in Items"))</f>
        <v>Gloves</v>
      </c>
      <c r="H65" s="19" t="str">
        <f>IF($F65="","",IFERROR(INDEX(Items!$C$5:$C$597,MATCH($F65,Items!$A$5:$A$597,0)),""))</f>
        <v>Medium</v>
      </c>
      <c r="I65" s="23">
        <f>IF($F65="","",IFERROR(INDEX(Items!$E$5:$E$597,MATCH($F65,Items!$A$5:$A$597,0)),""))</f>
        <v>500</v>
      </c>
      <c r="J65" s="115">
        <f>IF(tblIssues[[#This Row],[Qty Override]]&lt;&gt;"",tblIssues[[#This Row],[Qty Override]],IF(tblIssues[[#This Row],[Standard Issue]]="","",tblIssues[[#This Row],[Standard Issue]]))</f>
        <v>500</v>
      </c>
      <c r="K65" s="20">
        <f>IF($F65="","",IFERROR(INDEX(Items!$D$5:$D$597,MATCH($F65,Items!$A$5:$A$597,0)),""))</f>
        <v>5.5E-2</v>
      </c>
      <c r="L65" s="21">
        <f t="shared" si="4"/>
        <v>27.5</v>
      </c>
      <c r="M65" s="9" t="str">
        <f t="shared" si="5"/>
        <v>O17104</v>
      </c>
      <c r="N65" s="24">
        <f>IF($A65="","",WORKDAY($A65,Settings!$C$9,HolidayDates))</f>
        <v>46122</v>
      </c>
      <c r="O65" s="24">
        <f>IF($N65="","",WORKDAY($N65,Settings!$C$10,HolidayDates))</f>
        <v>46162</v>
      </c>
      <c r="P65" s="10" t="s">
        <v>501</v>
      </c>
      <c r="Q65" s="52" t="str">
        <f t="shared" si="0"/>
        <v>Collected</v>
      </c>
      <c r="R65" s="55" t="str">
        <f t="shared" si="6"/>
        <v>2026-04</v>
      </c>
      <c r="S65" s="55">
        <f>IF(OR($B65="",$F65="",$R65=""),"",SUMIFS(tblIssues[Qty Issued],tblIssues[Staff ID],$B65,tblIssues[Item Name],$F65,tblIssues[Month],$R65))</f>
        <v>500</v>
      </c>
      <c r="T65" s="56">
        <f>IF($I65="","",$I65*Settings!$C$11)</f>
        <v>500</v>
      </c>
      <c r="U65" s="57" t="str">
        <f t="shared" si="7"/>
        <v>OK</v>
      </c>
      <c r="V65" s="55" t="str">
        <f t="shared" si="8"/>
        <v/>
      </c>
      <c r="W65" s="55" t="str">
        <f>IF($V65="","",IF(COUNTIF($V$5:$V65,$V65)=1,1,""))</f>
        <v/>
      </c>
      <c r="X65" s="58" t="str">
        <f>IF($W65="","",MAX($X$4:X64)+1)</f>
        <v/>
      </c>
      <c r="Y65" s="62"/>
      <c r="Z65" s="62"/>
      <c r="AA65" s="64" t="str">
        <f>IF($C65="","",IFERROR(INDEX('Staff Directory'!$E$5:$E$594,MATCH($C65,'Staff Directory'!$B$5:$B$594,0)),""))</f>
        <v>firstname091.lastname091@example.com</v>
      </c>
      <c r="AB65" s="64" t="str">
        <f>IF($C65="","",IF(ISNUMBER(SEARCH($D65,Settings!$C$15)),"Pickup","Dispatch"))</f>
        <v>Pickup</v>
      </c>
      <c r="AC65" s="64" t="str">
        <f t="shared" si="9"/>
        <v>Supply order ready for pickup</v>
      </c>
      <c r="AD65" s="64" t="str">
        <f t="shared" si="1"/>
        <v>Dear PSW,
Your order is ready for pickup from Sample Branch, Wed-Fri 9am-4pm.</v>
      </c>
      <c r="AE65" s="64" t="str">
        <f t="shared" si="2"/>
        <v>mailto:firstname091.lastname091@example.com?subject=Supply%20order%20ready%20for%20pickup&amp;body=Dear%20PSW%2C%0A%0AYour%20order%20is%20ready%20for%20pickup%20from%20Sample%20Branch%2C%20Wed-Fri%209am-4pm.</v>
      </c>
      <c r="AF65" s="65" t="str">
        <f t="shared" si="10"/>
        <v>Draft email</v>
      </c>
      <c r="AG65" s="64" t="str">
        <f>IF($C65="","",IFERROR(INDEX('Staff Directory'!$K$595:$K$599,MATCH($C65,'Staff Directory'!$B$5:$B$599,0)),$D65))</f>
        <v>PSW</v>
      </c>
      <c r="AH65" t="str">
        <f>IF($C65="","",IFERROR(INDEX('Staff Directory'!$I$595:$I$599,MATCH($C65,'Staff Directory'!$B$5:$B$599,0))&amp;" "&amp;INDEX('Staff Directory'!$J$595:$J$599,MATCH($C65,'Staff Directory'!$B$5:$B$599,0)),$AG65))</f>
        <v>PSW</v>
      </c>
      <c r="AI65" s="102" t="s">
        <v>415</v>
      </c>
      <c r="AJ65" s="101">
        <f>IF($F65="","",SUMIFS($J$5:$J65,$F$5:$F65,$F65))</f>
        <v>4000</v>
      </c>
      <c r="AK65" s="101">
        <f t="shared" si="3"/>
        <v>3501</v>
      </c>
      <c r="AL65" s="66" t="str" cm="1">
        <f t="array" ref="AL65">IF($F65="","",IFERROR(INDEX('Lot Balance'!$B$5:$B$500,MATCH(1,INDEX(('Lot Balance'!$A$5:$A$500=$F65)*('Lot Balance'!$K$5:$K$500&lt;$AK65)*('Lot Balance'!$K$5:$K$500+'Lot Balance'!$D$5:$D$500&gt;=$AK65),0),0)),""))</f>
        <v>O17104</v>
      </c>
      <c r="AM65" s="66" t="str" cm="1">
        <f t="array" ref="AM65">IF($F65="","",IFERROR(INDEX('Lot Balance'!$B$5:$B$500,MATCH(1,INDEX(('Lot Balance'!$A$5:$A$500=$F65)*('Lot Balance'!$K$5:$K$500&lt;$AJ65)*('Lot Balance'!$K$5:$K$500+'Lot Balance'!$D$5:$D$500&gt;=$AJ65),0),0)),""))</f>
        <v>O17104</v>
      </c>
      <c r="AN65" s="66" t="str">
        <f>IF($F65="","",IF($AI65&lt;&gt;"",IF(COUNTIFS('Lot Balance'!$A$5:$A$500,$F65,'Lot Balance'!$B$5:$B$500,$AI65)=0,"⚠ override is not a lot of this item",IF($AI65=$AL65,"Override = FEFO","Override - FEFO says "&amp;$AL65)),IF($AL65="","⚠ no receipt on file for this item",IF($AM65&lt;&gt;$AL65,"FEFO auto - split, also "&amp;$AM65,"FEFO auto"))))</f>
        <v>Override = FEFO</v>
      </c>
      <c r="AO65" s="114"/>
    </row>
    <row r="66" spans="1:41" x14ac:dyDescent="0.35">
      <c r="A66" s="74">
        <v>46114</v>
      </c>
      <c r="B66" s="18" t="str">
        <f>IF($C66="","",IFERROR(INDEX('Staff Directory'!$A$5:$A$594,MATCH($C66,'Staff Directory'!$B$5:$B$594,0)),"⚠ unknown staff"))</f>
        <v>PSW-032-A6</v>
      </c>
      <c r="C66" s="49" t="s">
        <v>1007</v>
      </c>
      <c r="D66" s="19" t="str">
        <f>IF($B66="","",IFERROR(INDEX('Staff Directory'!$C$5:$C$594,MATCH($B66,'Staff Directory'!$A$5:$A$594,0)),""))</f>
        <v>PSW</v>
      </c>
      <c r="E66" s="19" t="str">
        <f>IF($B66="","",IFERROR(INDEX('Staff Directory'!$D$5:$D$594,MATCH($B66,'Staff Directory'!$A$5:$A$594,0)),""))</f>
        <v>A6</v>
      </c>
      <c r="F66" s="9" t="s">
        <v>115</v>
      </c>
      <c r="G66" s="18" t="str">
        <f>IF($F66="","",IFERROR(INDEX(Items!$B$5:$B$597,MATCH($F66,Items!$A$5:$A$597,0)),"⚠ not in Items"))</f>
        <v>Wipes</v>
      </c>
      <c r="H66" s="19">
        <f>IF($F66="","",IFERROR(INDEX(Items!$C$5:$C$597,MATCH($F66,Items!$A$5:$A$597,0)),""))</f>
        <v>80</v>
      </c>
      <c r="I66" s="23">
        <f>IF($F66="","",IFERROR(INDEX(Items!$E$5:$E$597,MATCH($F66,Items!$A$5:$A$597,0)),""))</f>
        <v>80</v>
      </c>
      <c r="J66" s="115">
        <f>IF(tblIssues[[#This Row],[Qty Override]]&lt;&gt;"",tblIssues[[#This Row],[Qty Override]],IF(tblIssues[[#This Row],[Standard Issue]]="","",tblIssues[[#This Row],[Standard Issue]]))</f>
        <v>80</v>
      </c>
      <c r="K66" s="20">
        <f>IF($F66="","",IFERROR(INDEX(Items!$D$5:$D$597,MATCH($F66,Items!$A$5:$A$597,0)),""))</f>
        <v>0.1</v>
      </c>
      <c r="L66" s="21">
        <f t="shared" si="4"/>
        <v>8</v>
      </c>
      <c r="M66" s="9" t="str">
        <f t="shared" si="5"/>
        <v>LYSL500290</v>
      </c>
      <c r="N66" s="24">
        <f>IF($A66="","",WORKDAY($A66,Settings!$C$9,HolidayDates))</f>
        <v>46122</v>
      </c>
      <c r="O66" s="24">
        <f>IF($N66="","",WORKDAY($N66,Settings!$C$10,HolidayDates))</f>
        <v>46162</v>
      </c>
      <c r="P66" s="10" t="s">
        <v>501</v>
      </c>
      <c r="Q66" s="52" t="str">
        <f t="shared" si="0"/>
        <v>Collected</v>
      </c>
      <c r="R66" s="55" t="str">
        <f t="shared" si="6"/>
        <v>2026-04</v>
      </c>
      <c r="S66" s="55">
        <f>IF(OR($B66="",$F66="",$R66=""),"",SUMIFS(tblIssues[Qty Issued],tblIssues[Staff ID],$B66,tblIssues[Item Name],$F66,tblIssues[Month],$R66))</f>
        <v>80</v>
      </c>
      <c r="T66" s="56">
        <f>IF($I66="","",$I66*Settings!$C$11)</f>
        <v>80</v>
      </c>
      <c r="U66" s="57" t="str">
        <f t="shared" si="7"/>
        <v>OK</v>
      </c>
      <c r="V66" s="55" t="str">
        <f t="shared" si="8"/>
        <v/>
      </c>
      <c r="W66" s="55" t="str">
        <f>IF($V66="","",IF(COUNTIF($V$5:$V66,$V66)=1,1,""))</f>
        <v/>
      </c>
      <c r="X66" s="58" t="str">
        <f>IF($W66="","",MAX($X$4:X65)+1)</f>
        <v/>
      </c>
      <c r="Y66" s="62"/>
      <c r="Z66" s="62"/>
      <c r="AA66" s="64" t="str">
        <f>IF($C66="","",IFERROR(INDEX('Staff Directory'!$E$5:$E$594,MATCH($C66,'Staff Directory'!$B$5:$B$594,0)),""))</f>
        <v>firstname091.lastname091@example.com</v>
      </c>
      <c r="AB66" s="64" t="str">
        <f>IF($C66="","",IF(ISNUMBER(SEARCH($D66,Settings!$C$15)),"Pickup","Dispatch"))</f>
        <v>Pickup</v>
      </c>
      <c r="AC66" s="64" t="str">
        <f t="shared" si="9"/>
        <v>Supply order ready for pickup</v>
      </c>
      <c r="AD66" s="64" t="str">
        <f t="shared" si="1"/>
        <v>Dear PSW,
Your order is ready for pickup from Sample Branch, Wed-Fri 9am-4pm.</v>
      </c>
      <c r="AE66" s="64" t="str">
        <f t="shared" si="2"/>
        <v>mailto:firstname091.lastname091@example.com?subject=Supply%20order%20ready%20for%20pickup&amp;body=Dear%20PSW%2C%0A%0AYour%20order%20is%20ready%20for%20pickup%20from%20Sample%20Branch%2C%20Wed-Fri%209am-4pm.</v>
      </c>
      <c r="AF66" s="65" t="str">
        <f t="shared" si="10"/>
        <v>Draft email</v>
      </c>
      <c r="AG66" s="64" t="str">
        <f>IF($C66="","",IFERROR(INDEX('Staff Directory'!$K$595:$K$599,MATCH($C66,'Staff Directory'!$B$5:$B$599,0)),$D66))</f>
        <v>PSW</v>
      </c>
      <c r="AH66" t="str">
        <f>IF($C66="","",IFERROR(INDEX('Staff Directory'!$I$595:$I$599,MATCH($C66,'Staff Directory'!$B$5:$B$599,0))&amp;" "&amp;INDEX('Staff Directory'!$J$595:$J$599,MATCH($C66,'Staff Directory'!$B$5:$B$599,0)),$AG66))</f>
        <v>PSW</v>
      </c>
      <c r="AI66" s="102" t="s">
        <v>386</v>
      </c>
      <c r="AJ66" s="101">
        <f>IF($F66="","",SUMIFS($J$5:$J66,$F$5:$F66,$F66))</f>
        <v>1360</v>
      </c>
      <c r="AK66" s="101">
        <f t="shared" si="3"/>
        <v>1281</v>
      </c>
      <c r="AL66" s="66" t="str" cm="1">
        <f t="array" ref="AL66">IF($F66="","",IFERROR(INDEX('Lot Balance'!$B$5:$B$500,MATCH(1,INDEX(('Lot Balance'!$A$5:$A$500=$F66)*('Lot Balance'!$K$5:$K$500&lt;$AK66)*('Lot Balance'!$K$5:$K$500+'Lot Balance'!$D$5:$D$500&gt;=$AK66),0),0)),""))</f>
        <v>LYSL500290</v>
      </c>
      <c r="AM66" s="66" t="str" cm="1">
        <f t="array" ref="AM66">IF($F66="","",IFERROR(INDEX('Lot Balance'!$B$5:$B$500,MATCH(1,INDEX(('Lot Balance'!$A$5:$A$500=$F66)*('Lot Balance'!$K$5:$K$500&lt;$AJ66)*('Lot Balance'!$K$5:$K$500+'Lot Balance'!$D$5:$D$500&gt;=$AJ66),0),0)),""))</f>
        <v>LYSL500290</v>
      </c>
      <c r="AN66" s="66" t="str">
        <f>IF($F66="","",IF($AI66&lt;&gt;"",IF(COUNTIFS('Lot Balance'!$A$5:$A$500,$F66,'Lot Balance'!$B$5:$B$500,$AI66)=0,"⚠ override is not a lot of this item",IF($AI66=$AL66,"Override = FEFO","Override - FEFO says "&amp;$AL66)),IF($AL66="","⚠ no receipt on file for this item",IF($AM66&lt;&gt;$AL66,"FEFO auto - split, also "&amp;$AM66,"FEFO auto"))))</f>
        <v>Override = FEFO</v>
      </c>
      <c r="AO66" s="114"/>
    </row>
    <row r="67" spans="1:41" x14ac:dyDescent="0.35">
      <c r="A67" s="74">
        <v>46114</v>
      </c>
      <c r="B67" s="18" t="str">
        <f>IF($C67="","",IFERROR(INDEX('Staff Directory'!$A$5:$A$594,MATCH($C67,'Staff Directory'!$B$5:$B$594,0)),"⚠ unknown staff"))</f>
        <v>PSW-032-A6</v>
      </c>
      <c r="C67" s="49" t="s">
        <v>1007</v>
      </c>
      <c r="D67" s="19" t="str">
        <f>IF($B67="","",IFERROR(INDEX('Staff Directory'!$C$5:$C$594,MATCH($B67,'Staff Directory'!$A$5:$A$594,0)),""))</f>
        <v>PSW</v>
      </c>
      <c r="E67" s="19" t="str">
        <f>IF($B67="","",IFERROR(INDEX('Staff Directory'!$D$5:$D$594,MATCH($B67,'Staff Directory'!$A$5:$A$594,0)),""))</f>
        <v>A6</v>
      </c>
      <c r="F67" s="9" t="s">
        <v>156</v>
      </c>
      <c r="G67" s="18" t="str">
        <f>IF($F67="","",IFERROR(INDEX(Items!$B$5:$B$597,MATCH($F67,Items!$A$5:$A$597,0)),"⚠ not in Items"))</f>
        <v>Masks</v>
      </c>
      <c r="H67" s="19" t="str">
        <f>IF($F67="","",IFERROR(INDEX(Items!$C$5:$C$597,MATCH($F67,Items!$A$5:$A$597,0)),""))</f>
        <v>One Size</v>
      </c>
      <c r="I67" s="23">
        <f>IF($F67="","",IFERROR(INDEX(Items!$E$5:$E$597,MATCH($F67,Items!$A$5:$A$597,0)),""))</f>
        <v>50</v>
      </c>
      <c r="J67" s="115">
        <f>IF(tblIssues[[#This Row],[Qty Override]]&lt;&gt;"",tblIssues[[#This Row],[Qty Override]],IF(tblIssues[[#This Row],[Standard Issue]]="","",tblIssues[[#This Row],[Standard Issue]]))</f>
        <v>50</v>
      </c>
      <c r="K67" s="20">
        <f>IF($F67="","",IFERROR(INDEX(Items!$D$5:$D$597,MATCH($F67,Items!$A$5:$A$597,0)),""))</f>
        <v>0.25</v>
      </c>
      <c r="L67" s="21">
        <f t="shared" si="4"/>
        <v>12.5</v>
      </c>
      <c r="M67" s="9" t="str">
        <f t="shared" si="5"/>
        <v>0125FPC24-0</v>
      </c>
      <c r="N67" s="24">
        <f>IF($A67="","",WORKDAY($A67,Settings!$C$9,HolidayDates))</f>
        <v>46122</v>
      </c>
      <c r="O67" s="24">
        <f>IF($N67="","",WORKDAY($N67,Settings!$C$10,HolidayDates))</f>
        <v>46162</v>
      </c>
      <c r="P67" s="10" t="s">
        <v>501</v>
      </c>
      <c r="Q67" s="52" t="str">
        <f t="shared" si="0"/>
        <v>Collected</v>
      </c>
      <c r="R67" s="55" t="str">
        <f t="shared" si="6"/>
        <v>2026-04</v>
      </c>
      <c r="S67" s="55">
        <f>IF(OR($B67="",$F67="",$R67=""),"",SUMIFS(tblIssues[Qty Issued],tblIssues[Staff ID],$B67,tblIssues[Item Name],$F67,tblIssues[Month],$R67))</f>
        <v>50</v>
      </c>
      <c r="T67" s="56">
        <f>IF($I67="","",$I67*Settings!$C$11)</f>
        <v>50</v>
      </c>
      <c r="U67" s="57" t="str">
        <f t="shared" si="7"/>
        <v>OK</v>
      </c>
      <c r="V67" s="55" t="str">
        <f t="shared" si="8"/>
        <v/>
      </c>
      <c r="W67" s="55" t="str">
        <f>IF($V67="","",IF(COUNTIF($V$5:$V67,$V67)=1,1,""))</f>
        <v/>
      </c>
      <c r="X67" s="58" t="str">
        <f>IF($W67="","",MAX($X$4:X66)+1)</f>
        <v/>
      </c>
      <c r="Y67" s="62"/>
      <c r="Z67" s="62"/>
      <c r="AA67" s="64" t="str">
        <f>IF($C67="","",IFERROR(INDEX('Staff Directory'!$E$5:$E$594,MATCH($C67,'Staff Directory'!$B$5:$B$594,0)),""))</f>
        <v>firstname091.lastname091@example.com</v>
      </c>
      <c r="AB67" s="64" t="str">
        <f>IF($C67="","",IF(ISNUMBER(SEARCH($D67,Settings!$C$15)),"Pickup","Dispatch"))</f>
        <v>Pickup</v>
      </c>
      <c r="AC67" s="64" t="str">
        <f t="shared" si="9"/>
        <v>Supply order ready for pickup</v>
      </c>
      <c r="AD67" s="64" t="str">
        <f t="shared" si="1"/>
        <v>Dear PSW,
Your order is ready for pickup from Sample Branch, Wed-Fri 9am-4pm.</v>
      </c>
      <c r="AE67" s="64" t="str">
        <f t="shared" si="2"/>
        <v>mailto:firstname091.lastname091@example.com?subject=Supply%20order%20ready%20for%20pickup&amp;body=Dear%20PSW%2C%0A%0AYour%20order%20is%20ready%20for%20pickup%20from%20Sample%20Branch%2C%20Wed-Fri%209am-4pm.</v>
      </c>
      <c r="AF67" s="65" t="str">
        <f t="shared" si="10"/>
        <v>Draft email</v>
      </c>
      <c r="AG67" s="64" t="str">
        <f>IF($C67="","",IFERROR(INDEX('Staff Directory'!$K$595:$K$599,MATCH($C67,'Staff Directory'!$B$5:$B$599,0)),$D67))</f>
        <v>PSW</v>
      </c>
      <c r="AH67" t="str">
        <f>IF($C67="","",IFERROR(INDEX('Staff Directory'!$I$595:$I$599,MATCH($C67,'Staff Directory'!$B$5:$B$599,0))&amp;" "&amp;INDEX('Staff Directory'!$J$595:$J$599,MATCH($C67,'Staff Directory'!$B$5:$B$599,0)),$AG67))</f>
        <v>PSW</v>
      </c>
      <c r="AI67" s="102" t="s">
        <v>474</v>
      </c>
      <c r="AJ67" s="101">
        <f>IF($F67="","",SUMIFS($J$5:$J67,$F$5:$F67,$F67))</f>
        <v>600</v>
      </c>
      <c r="AK67" s="101">
        <f t="shared" si="3"/>
        <v>551</v>
      </c>
      <c r="AL67" s="66" t="str" cm="1">
        <f t="array" ref="AL67">IF($F67="","",IFERROR(INDEX('Lot Balance'!$B$5:$B$500,MATCH(1,INDEX(('Lot Balance'!$A$5:$A$500=$F67)*('Lot Balance'!$K$5:$K$500&lt;$AK67)*('Lot Balance'!$K$5:$K$500+'Lot Balance'!$D$5:$D$500&gt;=$AK67),0),0)),""))</f>
        <v>0125FPC24-0</v>
      </c>
      <c r="AM67" s="66" t="str" cm="1">
        <f t="array" ref="AM67">IF($F67="","",IFERROR(INDEX('Lot Balance'!$B$5:$B$500,MATCH(1,INDEX(('Lot Balance'!$A$5:$A$500=$F67)*('Lot Balance'!$K$5:$K$500&lt;$AJ67)*('Lot Balance'!$K$5:$K$500+'Lot Balance'!$D$5:$D$500&gt;=$AJ67),0),0)),""))</f>
        <v>0125FPC24-0</v>
      </c>
      <c r="AN67" s="66" t="str">
        <f>IF($F67="","",IF($AI67&lt;&gt;"",IF(COUNTIFS('Lot Balance'!$A$5:$A$500,$F67,'Lot Balance'!$B$5:$B$500,$AI67)=0,"⚠ override is not a lot of this item",IF($AI67=$AL67,"Override = FEFO","Override - FEFO says "&amp;$AL67)),IF($AL67="","⚠ no receipt on file for this item",IF($AM67&lt;&gt;$AL67,"FEFO auto - split, also "&amp;$AM67,"FEFO auto"))))</f>
        <v>Override = FEFO</v>
      </c>
      <c r="AO67" s="114"/>
    </row>
    <row r="68" spans="1:41" x14ac:dyDescent="0.35">
      <c r="A68" s="74">
        <v>46114</v>
      </c>
      <c r="B68" s="18" t="str">
        <f>IF($C68="","",IFERROR(INDEX('Staff Directory'!$A$5:$A$594,MATCH($C68,'Staff Directory'!$B$5:$B$594,0)),"⚠ unknown staff"))</f>
        <v>PSW-118-A5</v>
      </c>
      <c r="C68" s="49" t="s">
        <v>1097</v>
      </c>
      <c r="D68" s="19" t="str">
        <f>IF($B68="","",IFERROR(INDEX('Staff Directory'!$C$5:$C$594,MATCH($B68,'Staff Directory'!$A$5:$A$594,0)),""))</f>
        <v>PSW</v>
      </c>
      <c r="E68" s="19" t="str">
        <f>IF($B68="","",IFERROR(INDEX('Staff Directory'!$D$5:$D$594,MATCH($B68,'Staff Directory'!$A$5:$A$594,0)),""))</f>
        <v>A5</v>
      </c>
      <c r="F68" s="9" t="s">
        <v>127</v>
      </c>
      <c r="G68" s="18" t="str">
        <f>IF($F68="","",IFERROR(INDEX(Items!$B$5:$B$597,MATCH($F68,Items!$A$5:$A$597,0)),"⚠ not in Items"))</f>
        <v>Gloves</v>
      </c>
      <c r="H68" s="19" t="str">
        <f>IF($F68="","",IFERROR(INDEX(Items!$C$5:$C$597,MATCH($F68,Items!$A$5:$A$597,0)),""))</f>
        <v>Medium</v>
      </c>
      <c r="I68" s="23">
        <f>IF($F68="","",IFERROR(INDEX(Items!$E$5:$E$597,MATCH($F68,Items!$A$5:$A$597,0)),""))</f>
        <v>500</v>
      </c>
      <c r="J68" s="115">
        <f>IF(tblIssues[[#This Row],[Qty Override]]&lt;&gt;"",tblIssues[[#This Row],[Qty Override]],IF(tblIssues[[#This Row],[Standard Issue]]="","",tblIssues[[#This Row],[Standard Issue]]))</f>
        <v>500</v>
      </c>
      <c r="K68" s="20">
        <f>IF($F68="","",IFERROR(INDEX(Items!$D$5:$D$597,MATCH($F68,Items!$A$5:$A$597,0)),""))</f>
        <v>5.5E-2</v>
      </c>
      <c r="L68" s="21">
        <f t="shared" si="4"/>
        <v>27.5</v>
      </c>
      <c r="M68" s="9" t="str">
        <f t="shared" si="5"/>
        <v>O17104</v>
      </c>
      <c r="N68" s="24">
        <f>IF($A68="","",WORKDAY($A68,Settings!$C$9,HolidayDates))</f>
        <v>46122</v>
      </c>
      <c r="O68" s="24">
        <f>IF($N68="","",WORKDAY($N68,Settings!$C$10,HolidayDates))</f>
        <v>46162</v>
      </c>
      <c r="P68" s="10" t="s">
        <v>501</v>
      </c>
      <c r="Q68" s="52" t="str">
        <f t="shared" si="0"/>
        <v>Collected</v>
      </c>
      <c r="R68" s="55" t="str">
        <f t="shared" si="6"/>
        <v>2026-04</v>
      </c>
      <c r="S68" s="55">
        <f>IF(OR($B68="",$F68="",$R68=""),"",SUMIFS(tblIssues[Qty Issued],tblIssues[Staff ID],$B68,tblIssues[Item Name],$F68,tblIssues[Month],$R68))</f>
        <v>500</v>
      </c>
      <c r="T68" s="56">
        <f>IF($I68="","",$I68*Settings!$C$11)</f>
        <v>500</v>
      </c>
      <c r="U68" s="57" t="str">
        <f t="shared" si="7"/>
        <v>OK</v>
      </c>
      <c r="V68" s="55" t="str">
        <f t="shared" si="8"/>
        <v/>
      </c>
      <c r="W68" s="55" t="str">
        <f>IF($V68="","",IF(COUNTIF($V$5:$V68,$V68)=1,1,""))</f>
        <v/>
      </c>
      <c r="X68" s="58" t="str">
        <f>IF($W68="","",MAX($X$4:X67)+1)</f>
        <v/>
      </c>
      <c r="Y68" s="62"/>
      <c r="Z68" s="62"/>
      <c r="AA68" s="64" t="str">
        <f>IF($C68="","",IFERROR(INDEX('Staff Directory'!$E$5:$E$594,MATCH($C68,'Staff Directory'!$B$5:$B$594,0)),""))</f>
        <v>firstname181.lastname181@example.com</v>
      </c>
      <c r="AB68" s="64" t="str">
        <f>IF($C68="","",IF(ISNUMBER(SEARCH($D68,Settings!$C$15)),"Pickup","Dispatch"))</f>
        <v>Pickup</v>
      </c>
      <c r="AC68" s="64" t="str">
        <f t="shared" si="9"/>
        <v>Supply order ready for pickup</v>
      </c>
      <c r="AD68" s="64" t="str">
        <f t="shared" si="1"/>
        <v>Dear PSW,
Your order is ready for pickup from Sample Branch, Wed-Fri 9am-4pm.</v>
      </c>
      <c r="AE68" s="64" t="str">
        <f t="shared" si="2"/>
        <v>mailto:firstname181.lastname181@example.com?subject=Supply%20order%20ready%20for%20pickup&amp;body=Dear%20PSW%2C%0A%0AYour%20order%20is%20ready%20for%20pickup%20from%20Sample%20Branch%2C%20Wed-Fri%209am-4pm.</v>
      </c>
      <c r="AF68" s="65" t="str">
        <f t="shared" si="10"/>
        <v>Draft email</v>
      </c>
      <c r="AG68" s="64" t="str">
        <f>IF($C68="","",IFERROR(INDEX('Staff Directory'!$K$595:$K$599,MATCH($C68,'Staff Directory'!$B$5:$B$599,0)),$D68))</f>
        <v>PSW</v>
      </c>
      <c r="AH68" t="str">
        <f>IF($C68="","",IFERROR(INDEX('Staff Directory'!$I$595:$I$599,MATCH($C68,'Staff Directory'!$B$5:$B$599,0))&amp;" "&amp;INDEX('Staff Directory'!$J$595:$J$599,MATCH($C68,'Staff Directory'!$B$5:$B$599,0)),$AG68))</f>
        <v>PSW</v>
      </c>
      <c r="AI68" s="102" t="s">
        <v>415</v>
      </c>
      <c r="AJ68" s="101">
        <f>IF($F68="","",SUMIFS($J$5:$J68,$F$5:$F68,$F68))</f>
        <v>4500</v>
      </c>
      <c r="AK68" s="101">
        <f t="shared" si="3"/>
        <v>4001</v>
      </c>
      <c r="AL68" s="66" t="str" cm="1">
        <f t="array" ref="AL68">IF($F68="","",IFERROR(INDEX('Lot Balance'!$B$5:$B$500,MATCH(1,INDEX(('Lot Balance'!$A$5:$A$500=$F68)*('Lot Balance'!$K$5:$K$500&lt;$AK68)*('Lot Balance'!$K$5:$K$500+'Lot Balance'!$D$5:$D$500&gt;=$AK68),0),0)),""))</f>
        <v>O17104</v>
      </c>
      <c r="AM68" s="66" t="str" cm="1">
        <f t="array" ref="AM68">IF($F68="","",IFERROR(INDEX('Lot Balance'!$B$5:$B$500,MATCH(1,INDEX(('Lot Balance'!$A$5:$A$500=$F68)*('Lot Balance'!$K$5:$K$500&lt;$AJ68)*('Lot Balance'!$K$5:$K$500+'Lot Balance'!$D$5:$D$500&gt;=$AJ68),0),0)),""))</f>
        <v>O17104</v>
      </c>
      <c r="AN68" s="66" t="str">
        <f>IF($F68="","",IF($AI68&lt;&gt;"",IF(COUNTIFS('Lot Balance'!$A$5:$A$500,$F68,'Lot Balance'!$B$5:$B$500,$AI68)=0,"⚠ override is not a lot of this item",IF($AI68=$AL68,"Override = FEFO","Override - FEFO says "&amp;$AL68)),IF($AL68="","⚠ no receipt on file for this item",IF($AM68&lt;&gt;$AL68,"FEFO auto - split, also "&amp;$AM68,"FEFO auto"))))</f>
        <v>Override = FEFO</v>
      </c>
      <c r="AO68" s="114"/>
    </row>
    <row r="69" spans="1:41" x14ac:dyDescent="0.35">
      <c r="A69" s="74">
        <v>46114</v>
      </c>
      <c r="B69" s="18" t="str">
        <f>IF($C69="","",IFERROR(INDEX('Staff Directory'!$A$5:$A$594,MATCH($C69,'Staff Directory'!$B$5:$B$594,0)),"⚠ unknown staff"))</f>
        <v>PSW-118-A5</v>
      </c>
      <c r="C69" s="49" t="s">
        <v>1097</v>
      </c>
      <c r="D69" s="19" t="str">
        <f>IF($B69="","",IFERROR(INDEX('Staff Directory'!$C$5:$C$594,MATCH($B69,'Staff Directory'!$A$5:$A$594,0)),""))</f>
        <v>PSW</v>
      </c>
      <c r="E69" s="19" t="str">
        <f>IF($B69="","",IFERROR(INDEX('Staff Directory'!$D$5:$D$594,MATCH($B69,'Staff Directory'!$A$5:$A$594,0)),""))</f>
        <v>A5</v>
      </c>
      <c r="F69" s="9" t="s">
        <v>156</v>
      </c>
      <c r="G69" s="18" t="str">
        <f>IF($F69="","",IFERROR(INDEX(Items!$B$5:$B$597,MATCH($F69,Items!$A$5:$A$597,0)),"⚠ not in Items"))</f>
        <v>Masks</v>
      </c>
      <c r="H69" s="19" t="str">
        <f>IF($F69="","",IFERROR(INDEX(Items!$C$5:$C$597,MATCH($F69,Items!$A$5:$A$597,0)),""))</f>
        <v>One Size</v>
      </c>
      <c r="I69" s="23">
        <f>IF($F69="","",IFERROR(INDEX(Items!$E$5:$E$597,MATCH($F69,Items!$A$5:$A$597,0)),""))</f>
        <v>50</v>
      </c>
      <c r="J69" s="115">
        <f>IF(tblIssues[[#This Row],[Qty Override]]&lt;&gt;"",tblIssues[[#This Row],[Qty Override]],IF(tblIssues[[#This Row],[Standard Issue]]="","",tblIssues[[#This Row],[Standard Issue]]))</f>
        <v>50</v>
      </c>
      <c r="K69" s="20">
        <f>IF($F69="","",IFERROR(INDEX(Items!$D$5:$D$597,MATCH($F69,Items!$A$5:$A$597,0)),""))</f>
        <v>0.25</v>
      </c>
      <c r="L69" s="21">
        <f t="shared" si="4"/>
        <v>12.5</v>
      </c>
      <c r="M69" s="9" t="str">
        <f t="shared" si="5"/>
        <v>0125FPC24-0</v>
      </c>
      <c r="N69" s="24">
        <f>IF($A69="","",WORKDAY($A69,Settings!$C$9,HolidayDates))</f>
        <v>46122</v>
      </c>
      <c r="O69" s="24">
        <f>IF($N69="","",WORKDAY($N69,Settings!$C$10,HolidayDates))</f>
        <v>46162</v>
      </c>
      <c r="P69" s="10" t="s">
        <v>501</v>
      </c>
      <c r="Q69" s="52" t="str">
        <f t="shared" ref="Q69:Q77" si="11">IF($A69="","",IF($P69&lt;&gt;"","Collected","Pending"))</f>
        <v>Collected</v>
      </c>
      <c r="R69" s="55" t="str">
        <f t="shared" si="6"/>
        <v>2026-04</v>
      </c>
      <c r="S69" s="55">
        <f>IF(OR($B69="",$F69="",$R69=""),"",SUMIFS(tblIssues[Qty Issued],tblIssues[Staff ID],$B69,tblIssues[Item Name],$F69,tblIssues[Month],$R69))</f>
        <v>50</v>
      </c>
      <c r="T69" s="56">
        <f>IF($I69="","",$I69*Settings!$C$11)</f>
        <v>50</v>
      </c>
      <c r="U69" s="57" t="str">
        <f t="shared" si="7"/>
        <v>OK</v>
      </c>
      <c r="V69" s="55" t="str">
        <f t="shared" si="8"/>
        <v/>
      </c>
      <c r="W69" s="55" t="str">
        <f>IF($V69="","",IF(COUNTIF($V$5:$V69,$V69)=1,1,""))</f>
        <v/>
      </c>
      <c r="X69" s="58" t="str">
        <f>IF($W69="","",MAX($X$4:X68)+1)</f>
        <v/>
      </c>
      <c r="Y69" s="62"/>
      <c r="Z69" s="62"/>
      <c r="AA69" s="64" t="str">
        <f>IF($C69="","",IFERROR(INDEX('Staff Directory'!$E$5:$E$594,MATCH($C69,'Staff Directory'!$B$5:$B$594,0)),""))</f>
        <v>firstname181.lastname181@example.com</v>
      </c>
      <c r="AB69" s="64" t="str">
        <f>IF($C69="","",IF(ISNUMBER(SEARCH($D69,Settings!$C$15)),"Pickup","Dispatch"))</f>
        <v>Pickup</v>
      </c>
      <c r="AC69" s="64" t="str">
        <f t="shared" si="9"/>
        <v>Supply order ready for pickup</v>
      </c>
      <c r="AD69" s="64" t="str">
        <f t="shared" ref="AD69:AD132" si="12">IF($AB69="Pickup","Dear "&amp;$AH69&amp;","&amp;CHAR(10)&amp;CHAR(10)&amp;"Your order is ready for pickup from Sample Branch, Wed-Fri 9am-4pm.",IF($AB69="Dispatch","Dear "&amp;$AH69&amp;","&amp;CHAR(10)&amp;CHAR(10)&amp;"Your order has been dispatched and is in transit. Reply if undelivered.",""))</f>
        <v>Dear PSW,
Your order is ready for pickup from Sample Branch, Wed-Fri 9am-4pm.</v>
      </c>
      <c r="AE69" s="64" t="str">
        <f t="shared" ref="AE69:AE132" si="13">IF(OR($AA69="",$AC69=""),"","mailto:"&amp;$AA69&amp;"?subject="&amp;_xlfn.ENCODEURL($AC69)&amp;"&amp;body="&amp;_xlfn.ENCODEURL($AD69))</f>
        <v>mailto:firstname181.lastname181@example.com?subject=Supply%20order%20ready%20for%20pickup&amp;body=Dear%20PSW%2C%0A%0AYour%20order%20is%20ready%20for%20pickup%20from%20Sample%20Branch%2C%20Wed-Fri%209am-4pm.</v>
      </c>
      <c r="AF69" s="65" t="str">
        <f t="shared" si="10"/>
        <v>Draft email</v>
      </c>
      <c r="AG69" s="64" t="str">
        <f>IF($C69="","",IFERROR(INDEX('Staff Directory'!$K$595:$K$599,MATCH($C69,'Staff Directory'!$B$5:$B$599,0)),$D69))</f>
        <v>PSW</v>
      </c>
      <c r="AH69" t="str">
        <f>IF($C69="","",IFERROR(INDEX('Staff Directory'!$I$595:$I$599,MATCH($C69,'Staff Directory'!$B$5:$B$599,0))&amp;" "&amp;INDEX('Staff Directory'!$J$595:$J$599,MATCH($C69,'Staff Directory'!$B$5:$B$599,0)),$AG69))</f>
        <v>PSW</v>
      </c>
      <c r="AI69" s="102" t="s">
        <v>474</v>
      </c>
      <c r="AJ69" s="101">
        <f>IF($F69="","",SUMIFS($J$5:$J69,$F$5:$F69,$F69))</f>
        <v>650</v>
      </c>
      <c r="AK69" s="101">
        <f t="shared" si="3"/>
        <v>601</v>
      </c>
      <c r="AL69" s="66" t="str" cm="1">
        <f t="array" ref="AL69">IF($F69="","",IFERROR(INDEX('Lot Balance'!$B$5:$B$500,MATCH(1,INDEX(('Lot Balance'!$A$5:$A$500=$F69)*('Lot Balance'!$K$5:$K$500&lt;$AK69)*('Lot Balance'!$K$5:$K$500+'Lot Balance'!$D$5:$D$500&gt;=$AK69),0),0)),""))</f>
        <v>0125FPC24-0</v>
      </c>
      <c r="AM69" s="66" t="str" cm="1">
        <f t="array" ref="AM69">IF($F69="","",IFERROR(INDEX('Lot Balance'!$B$5:$B$500,MATCH(1,INDEX(('Lot Balance'!$A$5:$A$500=$F69)*('Lot Balance'!$K$5:$K$500&lt;$AJ69)*('Lot Balance'!$K$5:$K$500+'Lot Balance'!$D$5:$D$500&gt;=$AJ69),0),0)),""))</f>
        <v>0125FPC24-0</v>
      </c>
      <c r="AN69" s="66" t="str">
        <f>IF($F69="","",IF($AI69&lt;&gt;"",IF(COUNTIFS('Lot Balance'!$A$5:$A$500,$F69,'Lot Balance'!$B$5:$B$500,$AI69)=0,"⚠ override is not a lot of this item",IF($AI69=$AL69,"Override = FEFO","Override - FEFO says "&amp;$AL69)),IF($AL69="","⚠ no receipt on file for this item",IF($AM69&lt;&gt;$AL69,"FEFO auto - split, also "&amp;$AM69,"FEFO auto"))))</f>
        <v>Override = FEFO</v>
      </c>
      <c r="AO69" s="114"/>
    </row>
    <row r="70" spans="1:41" x14ac:dyDescent="0.35">
      <c r="A70" s="74">
        <v>46114</v>
      </c>
      <c r="B70" s="18" t="str">
        <f>IF($C70="","",IFERROR(INDEX('Staff Directory'!$A$5:$A$594,MATCH($C70,'Staff Directory'!$B$5:$B$594,0)),"⚠ unknown staff"))</f>
        <v>PSW-116-A6</v>
      </c>
      <c r="C70" s="49" t="s">
        <v>1095</v>
      </c>
      <c r="D70" s="19" t="str">
        <f>IF($B70="","",IFERROR(INDEX('Staff Directory'!$C$5:$C$594,MATCH($B70,'Staff Directory'!$A$5:$A$594,0)),""))</f>
        <v>PSW</v>
      </c>
      <c r="E70" s="19" t="str">
        <f>IF($B70="","",IFERROR(INDEX('Staff Directory'!$D$5:$D$594,MATCH($B70,'Staff Directory'!$A$5:$A$594,0)),""))</f>
        <v>A6</v>
      </c>
      <c r="F70" s="9" t="s">
        <v>124</v>
      </c>
      <c r="G70" s="18" t="str">
        <f>IF($F70="","",IFERROR(INDEX(Items!$B$5:$B$597,MATCH($F70,Items!$A$5:$A$597,0)),"⚠ not in Items"))</f>
        <v>Gloves</v>
      </c>
      <c r="H70" s="19" t="str">
        <f>IF($F70="","",IFERROR(INDEX(Items!$C$5:$C$597,MATCH($F70,Items!$A$5:$A$597,0)),""))</f>
        <v>Large</v>
      </c>
      <c r="I70" s="23">
        <f>IF($F70="","",IFERROR(INDEX(Items!$E$5:$E$597,MATCH($F70,Items!$A$5:$A$597,0)),""))</f>
        <v>500</v>
      </c>
      <c r="J70" s="115">
        <f>IF(tblIssues[[#This Row],[Qty Override]]&lt;&gt;"",tblIssues[[#This Row],[Qty Override]],IF(tblIssues[[#This Row],[Standard Issue]]="","",tblIssues[[#This Row],[Standard Issue]]))</f>
        <v>500</v>
      </c>
      <c r="K70" s="20">
        <f>IF($F70="","",IFERROR(INDEX(Items!$D$5:$D$597,MATCH($F70,Items!$A$5:$A$597,0)),""))</f>
        <v>5.5E-2</v>
      </c>
      <c r="L70" s="21">
        <f t="shared" ref="L70:L133" si="14">IF(OR($J70="",$K70=""),"",$J70*$K70)</f>
        <v>27.5</v>
      </c>
      <c r="M70" s="9" t="str">
        <f t="shared" ref="M70:M133" si="15">IF($F70="","",IF($AI70&lt;&gt;"",$AI70,$AL70))</f>
        <v>0417HIC25-0</v>
      </c>
      <c r="N70" s="24">
        <f>IF($A70="","",WORKDAY($A70,Settings!$C$9,HolidayDates))</f>
        <v>46122</v>
      </c>
      <c r="O70" s="24">
        <f>IF($N70="","",WORKDAY($N70,Settings!$C$10,HolidayDates))</f>
        <v>46162</v>
      </c>
      <c r="P70" s="10" t="s">
        <v>501</v>
      </c>
      <c r="Q70" s="52" t="str">
        <f t="shared" si="11"/>
        <v>Collected</v>
      </c>
      <c r="R70" s="55" t="str">
        <f t="shared" ref="R70:R77" si="16">IF($A70="","",TEXT($A70,"yyyy-mm"))</f>
        <v>2026-04</v>
      </c>
      <c r="S70" s="55">
        <f>IF(OR($B70="",$F70="",$R70=""),"",SUMIFS(tblIssues[Qty Issued],tblIssues[Staff ID],$B70,tblIssues[Item Name],$F70,tblIssues[Month],$R70))</f>
        <v>500</v>
      </c>
      <c r="T70" s="56">
        <f>IF($I70="","",$I70*Settings!$C$11)</f>
        <v>500</v>
      </c>
      <c r="U70" s="57" t="str">
        <f t="shared" ref="U70:U133" si="17">IF(OR($S70="",$T70=""),"",IF($S70&gt;$T70,IF($Y70="Approved","APPROVED BY TL","⚠ OVER QUOTA"),"OK"))</f>
        <v>OK</v>
      </c>
      <c r="V70" s="55" t="str">
        <f t="shared" ref="V70:V77" si="18">IF($U70="⚠ OVER QUOTA",$B70&amp;" | "&amp;$F70&amp;" | "&amp;$R70,"")</f>
        <v/>
      </c>
      <c r="W70" s="55" t="str">
        <f>IF($V70="","",IF(COUNTIF($V$5:$V70,$V70)=1,1,""))</f>
        <v/>
      </c>
      <c r="X70" s="58" t="str">
        <f>IF($W70="","",MAX($X$4:X69)+1)</f>
        <v/>
      </c>
      <c r="Y70" s="62"/>
      <c r="Z70" s="62"/>
      <c r="AA70" s="64" t="str">
        <f>IF($C70="","",IFERROR(INDEX('Staff Directory'!$E$5:$E$594,MATCH($C70,'Staff Directory'!$B$5:$B$594,0)),""))</f>
        <v>firstname179.lastname179@example.com</v>
      </c>
      <c r="AB70" s="64" t="str">
        <f>IF($C70="","",IF(ISNUMBER(SEARCH($D70,Settings!$C$15)),"Pickup","Dispatch"))</f>
        <v>Pickup</v>
      </c>
      <c r="AC70" s="64" t="str">
        <f t="shared" ref="AC70:AC77" si="19">IF($AB70="Pickup","Supply order ready for pickup",IF($AB70="Dispatch","Supply order dispatched",""))</f>
        <v>Supply order ready for pickup</v>
      </c>
      <c r="AD70" s="64" t="str">
        <f t="shared" si="12"/>
        <v>Dear PSW,
Your order is ready for pickup from Sample Branch, Wed-Fri 9am-4pm.</v>
      </c>
      <c r="AE70" s="64" t="str">
        <f t="shared" si="13"/>
        <v>mailto:firstname179.lastname179@example.com?subject=Supply%20order%20ready%20for%20pickup&amp;body=Dear%20PSW%2C%0A%0AYour%20order%20is%20ready%20for%20pickup%20from%20Sample%20Branch%2C%20Wed-Fri%209am-4pm.</v>
      </c>
      <c r="AF70" s="65" t="str">
        <f t="shared" ref="AF70:AF77" si="20">IF(AE70="","",HYPERLINK(AE70,"Draft email"))</f>
        <v>Draft email</v>
      </c>
      <c r="AG70" s="64" t="str">
        <f>IF($C70="","",IFERROR(INDEX('Staff Directory'!$K$595:$K$599,MATCH($C70,'Staff Directory'!$B$5:$B$599,0)),$D70))</f>
        <v>PSW</v>
      </c>
      <c r="AH70" t="str">
        <f>IF($C70="","",IFERROR(INDEX('Staff Directory'!$I$595:$I$599,MATCH($C70,'Staff Directory'!$B$5:$B$599,0))&amp;" "&amp;INDEX('Staff Directory'!$J$595:$J$599,MATCH($C70,'Staff Directory'!$B$5:$B$599,0)),$AG70))</f>
        <v>PSW</v>
      </c>
      <c r="AI70" s="102" t="s">
        <v>389</v>
      </c>
      <c r="AJ70" s="101">
        <f>IF($F70="","",SUMIFS($J$5:$J70,$F$5:$F70,$F70))</f>
        <v>1500</v>
      </c>
      <c r="AK70" s="101">
        <f t="shared" si="3"/>
        <v>1001</v>
      </c>
      <c r="AL70" s="66" t="str" cm="1">
        <f t="array" ref="AL70">IF($F70="","",IFERROR(INDEX('Lot Balance'!$B$5:$B$500,MATCH(1,INDEX(('Lot Balance'!$A$5:$A$500=$F70)*('Lot Balance'!$K$5:$K$500&lt;$AK70)*('Lot Balance'!$K$5:$K$500+'Lot Balance'!$D$5:$D$500&gt;=$AK70),0),0)),""))</f>
        <v>ZIM510135932</v>
      </c>
      <c r="AM70" s="66" t="str" cm="1">
        <f t="array" ref="AM70">IF($F70="","",IFERROR(INDEX('Lot Balance'!$B$5:$B$500,MATCH(1,INDEX(('Lot Balance'!$A$5:$A$500=$F70)*('Lot Balance'!$K$5:$K$500&lt;$AJ70)*('Lot Balance'!$K$5:$K$500+'Lot Balance'!$D$5:$D$500&gt;=$AJ70),0),0)),""))</f>
        <v>ZIM510135932</v>
      </c>
      <c r="AN70" s="66" t="str">
        <f>IF($F70="","",IF($AI70&lt;&gt;"",IF(COUNTIFS('Lot Balance'!$A$5:$A$500,$F70,'Lot Balance'!$B$5:$B$500,$AI70)=0,"⚠ override is not a lot of this item",IF($AI70=$AL70,"Override = FEFO","Override - FEFO says "&amp;$AL70)),IF($AL70="","⚠ no receipt on file for this item",IF($AM70&lt;&gt;$AL70,"FEFO auto - split, also "&amp;$AM70,"FEFO auto"))))</f>
        <v>Override - FEFO says ZIM510135932</v>
      </c>
      <c r="AO70" s="114"/>
    </row>
    <row r="71" spans="1:41" x14ac:dyDescent="0.35">
      <c r="A71" s="74">
        <v>46114</v>
      </c>
      <c r="B71" s="18" t="str">
        <f>IF($C71="","",IFERROR(INDEX('Staff Directory'!$A$5:$A$594,MATCH($C71,'Staff Directory'!$B$5:$B$594,0)),"⚠ unknown staff"))</f>
        <v>PSW-116-A6</v>
      </c>
      <c r="C71" s="49" t="s">
        <v>1095</v>
      </c>
      <c r="D71" s="19" t="str">
        <f>IF($B71="","",IFERROR(INDEX('Staff Directory'!$C$5:$C$594,MATCH($B71,'Staff Directory'!$A$5:$A$594,0)),""))</f>
        <v>PSW</v>
      </c>
      <c r="E71" s="19" t="str">
        <f>IF($B71="","",IFERROR(INDEX('Staff Directory'!$D$5:$D$594,MATCH($B71,'Staff Directory'!$A$5:$A$594,0)),""))</f>
        <v>A6</v>
      </c>
      <c r="F71" s="9" t="s">
        <v>115</v>
      </c>
      <c r="G71" s="18" t="str">
        <f>IF($F71="","",IFERROR(INDEX(Items!$B$5:$B$597,MATCH($F71,Items!$A$5:$A$597,0)),"⚠ not in Items"))</f>
        <v>Wipes</v>
      </c>
      <c r="H71" s="19">
        <f>IF($F71="","",IFERROR(INDEX(Items!$C$5:$C$597,MATCH($F71,Items!$A$5:$A$597,0)),""))</f>
        <v>80</v>
      </c>
      <c r="I71" s="23">
        <f>IF($F71="","",IFERROR(INDEX(Items!$E$5:$E$597,MATCH($F71,Items!$A$5:$A$597,0)),""))</f>
        <v>80</v>
      </c>
      <c r="J71" s="115">
        <f>IF(tblIssues[[#This Row],[Qty Override]]&lt;&gt;"",tblIssues[[#This Row],[Qty Override]],IF(tblIssues[[#This Row],[Standard Issue]]="","",tblIssues[[#This Row],[Standard Issue]]))</f>
        <v>80</v>
      </c>
      <c r="K71" s="20">
        <f>IF($F71="","",IFERROR(INDEX(Items!$D$5:$D$597,MATCH($F71,Items!$A$5:$A$597,0)),""))</f>
        <v>0.1</v>
      </c>
      <c r="L71" s="21">
        <f t="shared" si="14"/>
        <v>8</v>
      </c>
      <c r="M71" s="9" t="str">
        <f t="shared" si="15"/>
        <v>LYSL500290</v>
      </c>
      <c r="N71" s="24">
        <f>IF($A71="","",WORKDAY($A71,Settings!$C$9,HolidayDates))</f>
        <v>46122</v>
      </c>
      <c r="O71" s="24">
        <f>IF($N71="","",WORKDAY($N71,Settings!$C$10,HolidayDates))</f>
        <v>46162</v>
      </c>
      <c r="P71" s="10" t="s">
        <v>501</v>
      </c>
      <c r="Q71" s="52" t="str">
        <f t="shared" si="11"/>
        <v>Collected</v>
      </c>
      <c r="R71" s="55" t="str">
        <f t="shared" si="16"/>
        <v>2026-04</v>
      </c>
      <c r="S71" s="55">
        <f>IF(OR($B71="",$F71="",$R71=""),"",SUMIFS(tblIssues[Qty Issued],tblIssues[Staff ID],$B71,tblIssues[Item Name],$F71,tblIssues[Month],$R71))</f>
        <v>80</v>
      </c>
      <c r="T71" s="56">
        <f>IF($I71="","",$I71*Settings!$C$11)</f>
        <v>80</v>
      </c>
      <c r="U71" s="57" t="str">
        <f t="shared" si="17"/>
        <v>OK</v>
      </c>
      <c r="V71" s="55" t="str">
        <f t="shared" si="18"/>
        <v/>
      </c>
      <c r="W71" s="55" t="str">
        <f>IF($V71="","",IF(COUNTIF($V$5:$V71,$V71)=1,1,""))</f>
        <v/>
      </c>
      <c r="X71" s="58" t="str">
        <f>IF($W71="","",MAX($X$4:X70)+1)</f>
        <v/>
      </c>
      <c r="Y71" s="62"/>
      <c r="Z71" s="62"/>
      <c r="AA71" s="64" t="str">
        <f>IF($C71="","",IFERROR(INDEX('Staff Directory'!$E$5:$E$594,MATCH($C71,'Staff Directory'!$B$5:$B$594,0)),""))</f>
        <v>firstname179.lastname179@example.com</v>
      </c>
      <c r="AB71" s="64" t="str">
        <f>IF($C71="","",IF(ISNUMBER(SEARCH($D71,Settings!$C$15)),"Pickup","Dispatch"))</f>
        <v>Pickup</v>
      </c>
      <c r="AC71" s="64" t="str">
        <f t="shared" si="19"/>
        <v>Supply order ready for pickup</v>
      </c>
      <c r="AD71" s="64" t="str">
        <f t="shared" si="12"/>
        <v>Dear PSW,
Your order is ready for pickup from Sample Branch, Wed-Fri 9am-4pm.</v>
      </c>
      <c r="AE71" s="64" t="str">
        <f t="shared" si="13"/>
        <v>mailto:firstname179.lastname179@example.com?subject=Supply%20order%20ready%20for%20pickup&amp;body=Dear%20PSW%2C%0A%0AYour%20order%20is%20ready%20for%20pickup%20from%20Sample%20Branch%2C%20Wed-Fri%209am-4pm.</v>
      </c>
      <c r="AF71" s="65" t="str">
        <f t="shared" si="20"/>
        <v>Draft email</v>
      </c>
      <c r="AG71" s="64" t="str">
        <f>IF($C71="","",IFERROR(INDEX('Staff Directory'!$K$595:$K$599,MATCH($C71,'Staff Directory'!$B$5:$B$599,0)),$D71))</f>
        <v>PSW</v>
      </c>
      <c r="AH71" t="str">
        <f>IF($C71="","",IFERROR(INDEX('Staff Directory'!$I$595:$I$599,MATCH($C71,'Staff Directory'!$B$5:$B$599,0))&amp;" "&amp;INDEX('Staff Directory'!$J$595:$J$599,MATCH($C71,'Staff Directory'!$B$5:$B$599,0)),$AG71))</f>
        <v>PSW</v>
      </c>
      <c r="AI71" s="102" t="s">
        <v>386</v>
      </c>
      <c r="AJ71" s="101">
        <f>IF($F71="","",SUMIFS($J$5:$J71,$F$5:$F71,$F71))</f>
        <v>1440</v>
      </c>
      <c r="AK71" s="101">
        <f t="shared" si="3"/>
        <v>1361</v>
      </c>
      <c r="AL71" s="66" t="str" cm="1">
        <f t="array" ref="AL71">IF($F71="","",IFERROR(INDEX('Lot Balance'!$B$5:$B$500,MATCH(1,INDEX(('Lot Balance'!$A$5:$A$500=$F71)*('Lot Balance'!$K$5:$K$500&lt;$AK71)*('Lot Balance'!$K$5:$K$500+'Lot Balance'!$D$5:$D$500&gt;=$AK71),0),0)),""))</f>
        <v>LYSL500290</v>
      </c>
      <c r="AM71" s="66" t="str" cm="1">
        <f t="array" ref="AM71">IF($F71="","",IFERROR(INDEX('Lot Balance'!$B$5:$B$500,MATCH(1,INDEX(('Lot Balance'!$A$5:$A$500=$F71)*('Lot Balance'!$K$5:$K$500&lt;$AJ71)*('Lot Balance'!$K$5:$K$500+'Lot Balance'!$D$5:$D$500&gt;=$AJ71),0),0)),""))</f>
        <v>LYSL500290</v>
      </c>
      <c r="AN71" s="66" t="str">
        <f>IF($F71="","",IF($AI71&lt;&gt;"",IF(COUNTIFS('Lot Balance'!$A$5:$A$500,$F71,'Lot Balance'!$B$5:$B$500,$AI71)=0,"⚠ override is not a lot of this item",IF($AI71=$AL71,"Override = FEFO","Override - FEFO says "&amp;$AL71)),IF($AL71="","⚠ no receipt on file for this item",IF($AM71&lt;&gt;$AL71,"FEFO auto - split, also "&amp;$AM71,"FEFO auto"))))</f>
        <v>Override = FEFO</v>
      </c>
      <c r="AO71" s="114"/>
    </row>
    <row r="72" spans="1:41" x14ac:dyDescent="0.35">
      <c r="A72" s="74">
        <v>46114</v>
      </c>
      <c r="B72" s="18" t="str">
        <f>IF($C72="","",IFERROR(INDEX('Staff Directory'!$A$5:$A$594,MATCH($C72,'Staff Directory'!$B$5:$B$594,0)),"⚠ unknown staff"))</f>
        <v>PSW-116-A6</v>
      </c>
      <c r="C72" s="49" t="s">
        <v>1095</v>
      </c>
      <c r="D72" s="19" t="str">
        <f>IF($B72="","",IFERROR(INDEX('Staff Directory'!$C$5:$C$594,MATCH($B72,'Staff Directory'!$A$5:$A$594,0)),""))</f>
        <v>PSW</v>
      </c>
      <c r="E72" s="19" t="str">
        <f>IF($B72="","",IFERROR(INDEX('Staff Directory'!$D$5:$D$594,MATCH($B72,'Staff Directory'!$A$5:$A$594,0)),""))</f>
        <v>A6</v>
      </c>
      <c r="F72" s="9" t="s">
        <v>137</v>
      </c>
      <c r="G72" s="18" t="str">
        <f>IF($F72="","",IFERROR(INDEX(Items!$B$5:$B$597,MATCH($F72,Items!$A$5:$A$597,0)),"⚠ not in Items"))</f>
        <v>Sanitizer</v>
      </c>
      <c r="H72" s="19" t="str">
        <f>IF($F72="","",IFERROR(INDEX(Items!$C$5:$C$597,MATCH($F72,Items!$A$5:$A$597,0)),""))</f>
        <v>118 ML</v>
      </c>
      <c r="I72" s="23">
        <f>IF($F72="","",IFERROR(INDEX(Items!$E$5:$E$597,MATCH($F72,Items!$A$5:$A$597,0)),""))</f>
        <v>2</v>
      </c>
      <c r="J72" s="115">
        <f>IF(tblIssues[[#This Row],[Qty Override]]&lt;&gt;"",tblIssues[[#This Row],[Qty Override]],IF(tblIssues[[#This Row],[Standard Issue]]="","",tblIssues[[#This Row],[Standard Issue]]))</f>
        <v>2</v>
      </c>
      <c r="K72" s="20">
        <f>IF($F72="","",IFERROR(INDEX(Items!$D$5:$D$597,MATCH($F72,Items!$A$5:$A$597,0)),""))</f>
        <v>4.49</v>
      </c>
      <c r="L72" s="21">
        <f t="shared" si="14"/>
        <v>8.98</v>
      </c>
      <c r="M72" s="9" t="str">
        <f t="shared" si="15"/>
        <v>563963-5</v>
      </c>
      <c r="N72" s="24">
        <f>IF($A72="","",WORKDAY($A72,Settings!$C$9,HolidayDates))</f>
        <v>46122</v>
      </c>
      <c r="O72" s="24">
        <f>IF($N72="","",WORKDAY($N72,Settings!$C$10,HolidayDates))</f>
        <v>46162</v>
      </c>
      <c r="P72" s="10" t="s">
        <v>501</v>
      </c>
      <c r="Q72" s="52" t="str">
        <f t="shared" si="11"/>
        <v>Collected</v>
      </c>
      <c r="R72" s="55" t="str">
        <f t="shared" si="16"/>
        <v>2026-04</v>
      </c>
      <c r="S72" s="55">
        <f>IF(OR($B72="",$F72="",$R72=""),"",SUMIFS(tblIssues[Qty Issued],tblIssues[Staff ID],$B72,tblIssues[Item Name],$F72,tblIssues[Month],$R72))</f>
        <v>2</v>
      </c>
      <c r="T72" s="56">
        <f>IF($I72="","",$I72*Settings!$C$11)</f>
        <v>2</v>
      </c>
      <c r="U72" s="57" t="str">
        <f t="shared" si="17"/>
        <v>OK</v>
      </c>
      <c r="V72" s="55" t="str">
        <f t="shared" si="18"/>
        <v/>
      </c>
      <c r="W72" s="55" t="str">
        <f>IF($V72="","",IF(COUNTIF($V$5:$V72,$V72)=1,1,""))</f>
        <v/>
      </c>
      <c r="X72" s="58" t="str">
        <f>IF($W72="","",MAX($X$4:X71)+1)</f>
        <v/>
      </c>
      <c r="Y72" s="62"/>
      <c r="Z72" s="62"/>
      <c r="AA72" s="64" t="str">
        <f>IF($C72="","",IFERROR(INDEX('Staff Directory'!$E$5:$E$594,MATCH($C72,'Staff Directory'!$B$5:$B$594,0)),""))</f>
        <v>firstname179.lastname179@example.com</v>
      </c>
      <c r="AB72" s="64" t="str">
        <f>IF($C72="","",IF(ISNUMBER(SEARCH($D72,Settings!$C$15)),"Pickup","Dispatch"))</f>
        <v>Pickup</v>
      </c>
      <c r="AC72" s="64" t="str">
        <f t="shared" si="19"/>
        <v>Supply order ready for pickup</v>
      </c>
      <c r="AD72" s="64" t="str">
        <f t="shared" si="12"/>
        <v>Dear PSW,
Your order is ready for pickup from Sample Branch, Wed-Fri 9am-4pm.</v>
      </c>
      <c r="AE72" s="64" t="str">
        <f t="shared" si="13"/>
        <v>mailto:firstname179.lastname179@example.com?subject=Supply%20order%20ready%20for%20pickup&amp;body=Dear%20PSW%2C%0A%0AYour%20order%20is%20ready%20for%20pickup%20from%20Sample%20Branch%2C%20Wed-Fri%209am-4pm.</v>
      </c>
      <c r="AF72" s="65" t="str">
        <f t="shared" si="20"/>
        <v>Draft email</v>
      </c>
      <c r="AG72" s="64" t="str">
        <f>IF($C72="","",IFERROR(INDEX('Staff Directory'!$K$595:$K$599,MATCH($C72,'Staff Directory'!$B$5:$B$599,0)),$D72))</f>
        <v>PSW</v>
      </c>
      <c r="AH72" t="str">
        <f>IF($C72="","",IFERROR(INDEX('Staff Directory'!$I$595:$I$599,MATCH($C72,'Staff Directory'!$B$5:$B$599,0))&amp;" "&amp;INDEX('Staff Directory'!$J$595:$J$599,MATCH($C72,'Staff Directory'!$B$5:$B$599,0)),$AG72))</f>
        <v>PSW</v>
      </c>
      <c r="AI72" s="102" t="s">
        <v>456</v>
      </c>
      <c r="AJ72" s="101">
        <f>IF($F72="","",SUMIFS($J$5:$J72,$F$5:$F72,$F72))</f>
        <v>26</v>
      </c>
      <c r="AK72" s="101">
        <f t="shared" si="3"/>
        <v>25</v>
      </c>
      <c r="AL72" s="66" t="str" cm="1">
        <f t="array" ref="AL72">IF($F72="","",IFERROR(INDEX('Lot Balance'!$B$5:$B$500,MATCH(1,INDEX(('Lot Balance'!$A$5:$A$500=$F72)*('Lot Balance'!$K$5:$K$500&lt;$AK72)*('Lot Balance'!$K$5:$K$500+'Lot Balance'!$D$5:$D$500&gt;=$AK72),0),0)),""))</f>
        <v>563963-5</v>
      </c>
      <c r="AM72" s="66" t="str" cm="1">
        <f t="array" ref="AM72">IF($F72="","",IFERROR(INDEX('Lot Balance'!$B$5:$B$500,MATCH(1,INDEX(('Lot Balance'!$A$5:$A$500=$F72)*('Lot Balance'!$K$5:$K$500&lt;$AJ72)*('Lot Balance'!$K$5:$K$500+'Lot Balance'!$D$5:$D$500&gt;=$AJ72),0),0)),""))</f>
        <v>563963-5</v>
      </c>
      <c r="AN72" s="66" t="str">
        <f>IF($F72="","",IF($AI72&lt;&gt;"",IF(COUNTIFS('Lot Balance'!$A$5:$A$500,$F72,'Lot Balance'!$B$5:$B$500,$AI72)=0,"⚠ override is not a lot of this item",IF($AI72=$AL72,"Override = FEFO","Override - FEFO says "&amp;$AL72)),IF($AL72="","⚠ no receipt on file for this item",IF($AM72&lt;&gt;$AL72,"FEFO auto - split, also "&amp;$AM72,"FEFO auto"))))</f>
        <v>Override = FEFO</v>
      </c>
      <c r="AO72" s="114"/>
    </row>
    <row r="73" spans="1:41" x14ac:dyDescent="0.35">
      <c r="A73" s="74">
        <v>46114</v>
      </c>
      <c r="B73" s="18" t="str">
        <f>IF($C73="","",IFERROR(INDEX('Staff Directory'!$A$5:$A$594,MATCH($C73,'Staff Directory'!$B$5:$B$594,0)),"⚠ unknown staff"))</f>
        <v>PSW-152-A6</v>
      </c>
      <c r="C73" s="49" t="s">
        <v>1131</v>
      </c>
      <c r="D73" s="19" t="str">
        <f>IF($B73="","",IFERROR(INDEX('Staff Directory'!$C$5:$C$594,MATCH($B73,'Staff Directory'!$A$5:$A$594,0)),""))</f>
        <v>PSW</v>
      </c>
      <c r="E73" s="19" t="str">
        <f>IF($B73="","",IFERROR(INDEX('Staff Directory'!$D$5:$D$594,MATCH($B73,'Staff Directory'!$A$5:$A$594,0)),""))</f>
        <v>A6</v>
      </c>
      <c r="F73" s="9" t="s">
        <v>127</v>
      </c>
      <c r="G73" s="18" t="str">
        <f>IF($F73="","",IFERROR(INDEX(Items!$B$5:$B$597,MATCH($F73,Items!$A$5:$A$597,0)),"⚠ not in Items"))</f>
        <v>Gloves</v>
      </c>
      <c r="H73" s="19" t="str">
        <f>IF($F73="","",IFERROR(INDEX(Items!$C$5:$C$597,MATCH($F73,Items!$A$5:$A$597,0)),""))</f>
        <v>Medium</v>
      </c>
      <c r="I73" s="23">
        <f>IF($F73="","",IFERROR(INDEX(Items!$E$5:$E$597,MATCH($F73,Items!$A$5:$A$597,0)),""))</f>
        <v>500</v>
      </c>
      <c r="J73" s="115">
        <f>IF(tblIssues[[#This Row],[Qty Override]]&lt;&gt;"",tblIssues[[#This Row],[Qty Override]],IF(tblIssues[[#This Row],[Standard Issue]]="","",tblIssues[[#This Row],[Standard Issue]]))</f>
        <v>500</v>
      </c>
      <c r="K73" s="20">
        <f>IF($F73="","",IFERROR(INDEX(Items!$D$5:$D$597,MATCH($F73,Items!$A$5:$A$597,0)),""))</f>
        <v>5.5E-2</v>
      </c>
      <c r="L73" s="21">
        <f t="shared" si="14"/>
        <v>27.5</v>
      </c>
      <c r="M73" s="9" t="str">
        <f t="shared" si="15"/>
        <v>O17104</v>
      </c>
      <c r="N73" s="24">
        <f>IF($A73="","",WORKDAY($A73,Settings!$C$9,HolidayDates))</f>
        <v>46122</v>
      </c>
      <c r="O73" s="24">
        <f>IF($N73="","",WORKDAY($N73,Settings!$C$10,HolidayDates))</f>
        <v>46162</v>
      </c>
      <c r="P73" s="10" t="s">
        <v>501</v>
      </c>
      <c r="Q73" s="52" t="str">
        <f t="shared" si="11"/>
        <v>Collected</v>
      </c>
      <c r="R73" s="55" t="str">
        <f t="shared" si="16"/>
        <v>2026-04</v>
      </c>
      <c r="S73" s="55">
        <f>IF(OR($B73="",$F73="",$R73=""),"",SUMIFS(tblIssues[Qty Issued],tblIssues[Staff ID],$B73,tblIssues[Item Name],$F73,tblIssues[Month],$R73))</f>
        <v>500</v>
      </c>
      <c r="T73" s="56">
        <f>IF($I73="","",$I73*Settings!$C$11)</f>
        <v>500</v>
      </c>
      <c r="U73" s="57" t="str">
        <f t="shared" si="17"/>
        <v>OK</v>
      </c>
      <c r="V73" s="55" t="str">
        <f t="shared" si="18"/>
        <v/>
      </c>
      <c r="W73" s="55" t="str">
        <f>IF($V73="","",IF(COUNTIF($V$5:$V73,$V73)=1,1,""))</f>
        <v/>
      </c>
      <c r="X73" s="58" t="str">
        <f>IF($W73="","",MAX($X$4:X72)+1)</f>
        <v/>
      </c>
      <c r="Y73" s="62"/>
      <c r="Z73" s="62"/>
      <c r="AA73" s="64" t="str">
        <f>IF($C73="","",IFERROR(INDEX('Staff Directory'!$E$5:$E$594,MATCH($C73,'Staff Directory'!$B$5:$B$594,0)),""))</f>
        <v>firstname215.lastname215@example.com</v>
      </c>
      <c r="AB73" s="64" t="str">
        <f>IF($C73="","",IF(ISNUMBER(SEARCH($D73,Settings!$C$15)),"Pickup","Dispatch"))</f>
        <v>Pickup</v>
      </c>
      <c r="AC73" s="64" t="str">
        <f t="shared" si="19"/>
        <v>Supply order ready for pickup</v>
      </c>
      <c r="AD73" s="64" t="str">
        <f t="shared" si="12"/>
        <v>Dear PSW,
Your order is ready for pickup from Sample Branch, Wed-Fri 9am-4pm.</v>
      </c>
      <c r="AE73" s="64" t="str">
        <f t="shared" si="13"/>
        <v>mailto:firstname215.lastname215@example.com?subject=Supply%20order%20ready%20for%20pickup&amp;body=Dear%20PSW%2C%0A%0AYour%20order%20is%20ready%20for%20pickup%20from%20Sample%20Branch%2C%20Wed-Fri%209am-4pm.</v>
      </c>
      <c r="AF73" s="65" t="str">
        <f t="shared" si="20"/>
        <v>Draft email</v>
      </c>
      <c r="AG73" s="64" t="str">
        <f>IF($C73="","",IFERROR(INDEX('Staff Directory'!$K$595:$K$599,MATCH($C73,'Staff Directory'!$B$5:$B$599,0)),$D73))</f>
        <v>PSW</v>
      </c>
      <c r="AH73" t="str">
        <f>IF($C73="","",IFERROR(INDEX('Staff Directory'!$I$595:$I$599,MATCH($C73,'Staff Directory'!$B$5:$B$599,0))&amp;" "&amp;INDEX('Staff Directory'!$J$595:$J$599,MATCH($C73,'Staff Directory'!$B$5:$B$599,0)),$AG73))</f>
        <v>PSW</v>
      </c>
      <c r="AI73" s="102" t="s">
        <v>415</v>
      </c>
      <c r="AJ73" s="101">
        <f>IF($F73="","",SUMIFS($J$5:$J73,$F$5:$F73,$F73))</f>
        <v>5000</v>
      </c>
      <c r="AK73" s="101">
        <f t="shared" si="3"/>
        <v>4501</v>
      </c>
      <c r="AL73" s="66" t="str" cm="1">
        <f t="array" ref="AL73">IF($F73="","",IFERROR(INDEX('Lot Balance'!$B$5:$B$500,MATCH(1,INDEX(('Lot Balance'!$A$5:$A$500=$F73)*('Lot Balance'!$K$5:$K$500&lt;$AK73)*('Lot Balance'!$K$5:$K$500+'Lot Balance'!$D$5:$D$500&gt;=$AK73),0),0)),""))</f>
        <v>O17104</v>
      </c>
      <c r="AM73" s="66" t="str" cm="1">
        <f t="array" ref="AM73">IF($F73="","",IFERROR(INDEX('Lot Balance'!$B$5:$B$500,MATCH(1,INDEX(('Lot Balance'!$A$5:$A$500=$F73)*('Lot Balance'!$K$5:$K$500&lt;$AJ73)*('Lot Balance'!$K$5:$K$500+'Lot Balance'!$D$5:$D$500&gt;=$AJ73),0),0)),""))</f>
        <v>O17104</v>
      </c>
      <c r="AN73" s="66" t="str">
        <f>IF($F73="","",IF($AI73&lt;&gt;"",IF(COUNTIFS('Lot Balance'!$A$5:$A$500,$F73,'Lot Balance'!$B$5:$B$500,$AI73)=0,"⚠ override is not a lot of this item",IF($AI73=$AL73,"Override = FEFO","Override - FEFO says "&amp;$AL73)),IF($AL73="","⚠ no receipt on file for this item",IF($AM73&lt;&gt;$AL73,"FEFO auto - split, also "&amp;$AM73,"FEFO auto"))))</f>
        <v>Override = FEFO</v>
      </c>
      <c r="AO73" s="114"/>
    </row>
    <row r="74" spans="1:41" x14ac:dyDescent="0.35">
      <c r="A74" s="74">
        <v>46114</v>
      </c>
      <c r="B74" s="18" t="str">
        <f>IF($C74="","",IFERROR(INDEX('Staff Directory'!$A$5:$A$594,MATCH($C74,'Staff Directory'!$B$5:$B$594,0)),"⚠ unknown staff"))</f>
        <v>RN-021-A2</v>
      </c>
      <c r="C74" s="49" t="s">
        <v>941</v>
      </c>
      <c r="D74" s="19" t="str">
        <f>IF($B74="","",IFERROR(INDEX('Staff Directory'!$C$5:$C$594,MATCH($B74,'Staff Directory'!$A$5:$A$594,0)),""))</f>
        <v>RN</v>
      </c>
      <c r="E74" s="19" t="str">
        <f>IF($B74="","",IFERROR(INDEX('Staff Directory'!$D$5:$D$594,MATCH($B74,'Staff Directory'!$A$5:$A$594,0)),""))</f>
        <v>A2</v>
      </c>
      <c r="F74" s="9" t="s">
        <v>137</v>
      </c>
      <c r="G74" s="18" t="str">
        <f>IF($F74="","",IFERROR(INDEX(Items!$B$5:$B$597,MATCH($F74,Items!$A$5:$A$597,0)),"⚠ not in Items"))</f>
        <v>Sanitizer</v>
      </c>
      <c r="H74" s="19" t="str">
        <f>IF($F74="","",IFERROR(INDEX(Items!$C$5:$C$597,MATCH($F74,Items!$A$5:$A$597,0)),""))</f>
        <v>118 ML</v>
      </c>
      <c r="I74" s="23">
        <f>IF($F74="","",IFERROR(INDEX(Items!$E$5:$E$597,MATCH($F74,Items!$A$5:$A$597,0)),""))</f>
        <v>2</v>
      </c>
      <c r="J74" s="115">
        <f>IF(tblIssues[[#This Row],[Qty Override]]&lt;&gt;"",tblIssues[[#This Row],[Qty Override]],IF(tblIssues[[#This Row],[Standard Issue]]="","",tblIssues[[#This Row],[Standard Issue]]))</f>
        <v>2</v>
      </c>
      <c r="K74" s="20">
        <f>IF($F74="","",IFERROR(INDEX(Items!$D$5:$D$597,MATCH($F74,Items!$A$5:$A$597,0)),""))</f>
        <v>4.49</v>
      </c>
      <c r="L74" s="21">
        <f t="shared" si="14"/>
        <v>8.98</v>
      </c>
      <c r="M74" s="9" t="str">
        <f t="shared" si="15"/>
        <v>563963-6</v>
      </c>
      <c r="N74" s="24">
        <f>IF($A74="","",WORKDAY($A74,Settings!$C$9,HolidayDates))</f>
        <v>46122</v>
      </c>
      <c r="O74" s="24">
        <f>IF($N74="","",WORKDAY($N74,Settings!$C$10,HolidayDates))</f>
        <v>46162</v>
      </c>
      <c r="P74" s="96" t="s">
        <v>502</v>
      </c>
      <c r="Q74" s="52" t="str">
        <f t="shared" si="11"/>
        <v>Collected</v>
      </c>
      <c r="R74" s="55" t="str">
        <f t="shared" si="16"/>
        <v>2026-04</v>
      </c>
      <c r="S74" s="55">
        <f>IF(OR($B74="",$F74="",$R74=""),"",SUMIFS(tblIssues[Qty Issued],tblIssues[Staff ID],$B74,tblIssues[Item Name],$F74,tblIssues[Month],$R74))</f>
        <v>2</v>
      </c>
      <c r="T74" s="56">
        <f>IF($I74="","",$I74*Settings!$C$11)</f>
        <v>2</v>
      </c>
      <c r="U74" s="57" t="str">
        <f t="shared" si="17"/>
        <v>OK</v>
      </c>
      <c r="V74" s="55" t="str">
        <f t="shared" si="18"/>
        <v/>
      </c>
      <c r="W74" s="55" t="str">
        <f>IF($V74="","",IF(COUNTIF($V$5:$V74,$V74)=1,1,""))</f>
        <v/>
      </c>
      <c r="X74" s="58" t="str">
        <f>IF($W74="","",MAX($X$4:X73)+1)</f>
        <v/>
      </c>
      <c r="Y74" s="62"/>
      <c r="Z74" s="62"/>
      <c r="AA74" s="64" t="str">
        <f>IF($C74="","",IFERROR(INDEX('Staff Directory'!$E$5:$E$594,MATCH($C74,'Staff Directory'!$B$5:$B$594,0)),""))</f>
        <v>firstname025.lastname025@example.com</v>
      </c>
      <c r="AB74" s="64" t="str">
        <f>IF($C74="","",IF(ISNUMBER(SEARCH($D74,Settings!$C$15)),"Pickup","Dispatch"))</f>
        <v>Dispatch</v>
      </c>
      <c r="AC74" s="64" t="str">
        <f t="shared" si="19"/>
        <v>Supply order dispatched</v>
      </c>
      <c r="AD74" s="64" t="str">
        <f t="shared" si="12"/>
        <v>Dear RN,
Your order has been dispatched and is in transit. Reply if undelivered.</v>
      </c>
      <c r="AE74" s="64" t="str">
        <f t="shared" si="13"/>
        <v>mailto:firstname025.lastname025@example.com?subject=Supply%20order%20dispatched&amp;body=Dear%20RN%2C%0A%0AYour%20order%20has%20been%20dispatched%20and%20is%20in%20transit.%20Reply%20if%20undelivered.</v>
      </c>
      <c r="AF74" s="65" t="str">
        <f t="shared" si="20"/>
        <v>Draft email</v>
      </c>
      <c r="AG74" s="64" t="str">
        <f>IF($C74="","",IFERROR(INDEX('Staff Directory'!$K$595:$K$599,MATCH($C74,'Staff Directory'!$B$5:$B$599,0)),$D74))</f>
        <v>RN</v>
      </c>
      <c r="AH74" t="str">
        <f>IF($C74="","",IFERROR(INDEX('Staff Directory'!$I$595:$I$599,MATCH($C74,'Staff Directory'!$B$5:$B$599,0))&amp;" "&amp;INDEX('Staff Directory'!$J$595:$J$599,MATCH($C74,'Staff Directory'!$B$5:$B$599,0)),$AG74))</f>
        <v>RN</v>
      </c>
      <c r="AI74" s="102" t="s">
        <v>457</v>
      </c>
      <c r="AJ74" s="101">
        <f>IF($F74="","",SUMIFS($J$5:$J74,$F$5:$F74,$F74))</f>
        <v>28</v>
      </c>
      <c r="AK74" s="101">
        <f t="shared" si="3"/>
        <v>27</v>
      </c>
      <c r="AL74" s="66" t="str" cm="1">
        <f t="array" ref="AL74">IF($F74="","",IFERROR(INDEX('Lot Balance'!$B$5:$B$500,MATCH(1,INDEX(('Lot Balance'!$A$5:$A$500=$F74)*('Lot Balance'!$K$5:$K$500&lt;$AK74)*('Lot Balance'!$K$5:$K$500+'Lot Balance'!$D$5:$D$500&gt;=$AK74),0),0)),""))</f>
        <v>563963-5</v>
      </c>
      <c r="AM74" s="66" t="str" cm="1">
        <f t="array" ref="AM74">IF($F74="","",IFERROR(INDEX('Lot Balance'!$B$5:$B$500,MATCH(1,INDEX(('Lot Balance'!$A$5:$A$500=$F74)*('Lot Balance'!$K$5:$K$500&lt;$AJ74)*('Lot Balance'!$K$5:$K$500+'Lot Balance'!$D$5:$D$500&gt;=$AJ74),0),0)),""))</f>
        <v>563963-5</v>
      </c>
      <c r="AN74" s="66" t="str">
        <f>IF($F74="","",IF($AI74&lt;&gt;"",IF(COUNTIFS('Lot Balance'!$A$5:$A$500,$F74,'Lot Balance'!$B$5:$B$500,$AI74)=0,"⚠ override is not a lot of this item",IF($AI74=$AL74,"Override = FEFO","Override - FEFO says "&amp;$AL74)),IF($AL74="","⚠ no receipt on file for this item",IF($AM74&lt;&gt;$AL74,"FEFO auto - split, also "&amp;$AM74,"FEFO auto"))))</f>
        <v>Override - FEFO says 563963-5</v>
      </c>
      <c r="AO74" s="114"/>
    </row>
    <row r="75" spans="1:41" x14ac:dyDescent="0.35">
      <c r="A75" s="74">
        <v>46114</v>
      </c>
      <c r="B75" s="18" t="str">
        <f>IF($C75="","",IFERROR(INDEX('Staff Directory'!$A$5:$A$594,MATCH($C75,'Staff Directory'!$B$5:$B$594,0)),"⚠ unknown staff"))</f>
        <v>RN-040-A2</v>
      </c>
      <c r="C75" s="49" t="s">
        <v>962</v>
      </c>
      <c r="D75" s="19" t="str">
        <f>IF($B75="","",IFERROR(INDEX('Staff Directory'!$C$5:$C$594,MATCH($B75,'Staff Directory'!$A$5:$A$594,0)),""))</f>
        <v>RN</v>
      </c>
      <c r="E75" s="19" t="str">
        <f>IF($B75="","",IFERROR(INDEX('Staff Directory'!$D$5:$D$594,MATCH($B75,'Staff Directory'!$A$5:$A$594,0)),""))</f>
        <v>A2</v>
      </c>
      <c r="F75" s="9" t="s">
        <v>127</v>
      </c>
      <c r="G75" s="18" t="str">
        <f>IF($F75="","",IFERROR(INDEX(Items!$B$5:$B$597,MATCH($F75,Items!$A$5:$A$597,0)),"⚠ not in Items"))</f>
        <v>Gloves</v>
      </c>
      <c r="H75" s="19" t="str">
        <f>IF($F75="","",IFERROR(INDEX(Items!$C$5:$C$597,MATCH($F75,Items!$A$5:$A$597,0)),""))</f>
        <v>Medium</v>
      </c>
      <c r="I75" s="23">
        <f>IF($F75="","",IFERROR(INDEX(Items!$E$5:$E$597,MATCH($F75,Items!$A$5:$A$597,0)),""))</f>
        <v>500</v>
      </c>
      <c r="J75" s="115">
        <f>IF(tblIssues[[#This Row],[Qty Override]]&lt;&gt;"",tblIssues[[#This Row],[Qty Override]],IF(tblIssues[[#This Row],[Standard Issue]]="","",tblIssues[[#This Row],[Standard Issue]]))</f>
        <v>500</v>
      </c>
      <c r="K75" s="20">
        <f>IF($F75="","",IFERROR(INDEX(Items!$D$5:$D$597,MATCH($F75,Items!$A$5:$A$597,0)),""))</f>
        <v>5.5E-2</v>
      </c>
      <c r="L75" s="21">
        <f t="shared" si="14"/>
        <v>27.5</v>
      </c>
      <c r="M75" s="9" t="str">
        <f t="shared" si="15"/>
        <v>O17104</v>
      </c>
      <c r="N75" s="24">
        <f>IF($A75="","",WORKDAY($A75,Settings!$C$9,HolidayDates))</f>
        <v>46122</v>
      </c>
      <c r="O75" s="24">
        <f>IF($N75="","",WORKDAY($N75,Settings!$C$10,HolidayDates))</f>
        <v>46162</v>
      </c>
      <c r="P75" s="96" t="s">
        <v>502</v>
      </c>
      <c r="Q75" s="52" t="str">
        <f t="shared" si="11"/>
        <v>Collected</v>
      </c>
      <c r="R75" s="55" t="str">
        <f t="shared" si="16"/>
        <v>2026-04</v>
      </c>
      <c r="S75" s="55">
        <f>IF(OR($B75="",$F75="",$R75=""),"",SUMIFS(tblIssues[Qty Issued],tblIssues[Staff ID],$B75,tblIssues[Item Name],$F75,tblIssues[Month],$R75))</f>
        <v>500</v>
      </c>
      <c r="T75" s="56">
        <f>IF($I75="","",$I75*Settings!$C$11)</f>
        <v>500</v>
      </c>
      <c r="U75" s="57" t="str">
        <f t="shared" si="17"/>
        <v>OK</v>
      </c>
      <c r="V75" s="55" t="str">
        <f t="shared" si="18"/>
        <v/>
      </c>
      <c r="W75" s="55" t="str">
        <f>IF($V75="","",IF(COUNTIF($V$5:$V75,$V75)=1,1,""))</f>
        <v/>
      </c>
      <c r="X75" s="58" t="str">
        <f>IF($W75="","",MAX($X$4:X74)+1)</f>
        <v/>
      </c>
      <c r="Y75" s="62"/>
      <c r="Z75" s="62"/>
      <c r="AA75" s="64" t="str">
        <f>IF($C75="","",IFERROR(INDEX('Staff Directory'!$E$5:$E$594,MATCH($C75,'Staff Directory'!$B$5:$B$594,0)),""))</f>
        <v>firstname046.lastname046@example.com</v>
      </c>
      <c r="AB75" s="64" t="str">
        <f>IF($C75="","",IF(ISNUMBER(SEARCH($D75,Settings!$C$15)),"Pickup","Dispatch"))</f>
        <v>Dispatch</v>
      </c>
      <c r="AC75" s="64" t="str">
        <f t="shared" si="19"/>
        <v>Supply order dispatched</v>
      </c>
      <c r="AD75" s="64" t="str">
        <f t="shared" si="12"/>
        <v>Dear RN,
Your order has been dispatched and is in transit. Reply if undelivered.</v>
      </c>
      <c r="AE75" s="64" t="str">
        <f t="shared" si="13"/>
        <v>mailto:firstname046.lastname046@example.com?subject=Supply%20order%20dispatched&amp;body=Dear%20RN%2C%0A%0AYour%20order%20has%20been%20dispatched%20and%20is%20in%20transit.%20Reply%20if%20undelivered.</v>
      </c>
      <c r="AF75" s="65" t="str">
        <f t="shared" si="20"/>
        <v>Draft email</v>
      </c>
      <c r="AG75" s="64" t="str">
        <f>IF($C75="","",IFERROR(INDEX('Staff Directory'!$K$595:$K$599,MATCH($C75,'Staff Directory'!$B$5:$B$599,0)),$D75))</f>
        <v>RN</v>
      </c>
      <c r="AH75" t="str">
        <f>IF($C75="","",IFERROR(INDEX('Staff Directory'!$I$595:$I$599,MATCH($C75,'Staff Directory'!$B$5:$B$599,0))&amp;" "&amp;INDEX('Staff Directory'!$J$595:$J$599,MATCH($C75,'Staff Directory'!$B$5:$B$599,0)),$AG75))</f>
        <v>RN</v>
      </c>
      <c r="AI75" s="102" t="s">
        <v>415</v>
      </c>
      <c r="AJ75" s="101">
        <f>IF($F75="","",SUMIFS($J$5:$J75,$F$5:$F75,$F75))</f>
        <v>5500</v>
      </c>
      <c r="AK75" s="101">
        <f t="shared" si="3"/>
        <v>5001</v>
      </c>
      <c r="AL75" s="66" t="str" cm="1">
        <f t="array" ref="AL75">IF($F75="","",IFERROR(INDEX('Lot Balance'!$B$5:$B$500,MATCH(1,INDEX(('Lot Balance'!$A$5:$A$500=$F75)*('Lot Balance'!$K$5:$K$500&lt;$AK75)*('Lot Balance'!$K$5:$K$500+'Lot Balance'!$D$5:$D$500&gt;=$AK75),0),0)),""))</f>
        <v>O17104</v>
      </c>
      <c r="AM75" s="66" t="str" cm="1">
        <f t="array" ref="AM75">IF($F75="","",IFERROR(INDEX('Lot Balance'!$B$5:$B$500,MATCH(1,INDEX(('Lot Balance'!$A$5:$A$500=$F75)*('Lot Balance'!$K$5:$K$500&lt;$AJ75)*('Lot Balance'!$K$5:$K$500+'Lot Balance'!$D$5:$D$500&gt;=$AJ75),0),0)),""))</f>
        <v>O17104</v>
      </c>
      <c r="AN75" s="66" t="str">
        <f>IF($F75="","",IF($AI75&lt;&gt;"",IF(COUNTIFS('Lot Balance'!$A$5:$A$500,$F75,'Lot Balance'!$B$5:$B$500,$AI75)=0,"⚠ override is not a lot of this item",IF($AI75=$AL75,"Override = FEFO","Override - FEFO says "&amp;$AL75)),IF($AL75="","⚠ no receipt on file for this item",IF($AM75&lt;&gt;$AL75,"FEFO auto - split, also "&amp;$AM75,"FEFO auto"))))</f>
        <v>Override = FEFO</v>
      </c>
      <c r="AO75" s="114"/>
    </row>
    <row r="76" spans="1:41" x14ac:dyDescent="0.35">
      <c r="A76" s="74">
        <v>46114</v>
      </c>
      <c r="B76" s="18" t="str">
        <f>IF($C76="","",IFERROR(INDEX('Staff Directory'!$A$5:$A$594,MATCH($C76,'Staff Directory'!$B$5:$B$594,0)),"⚠ unknown staff"))</f>
        <v>RN-040-A2</v>
      </c>
      <c r="C76" s="49" t="s">
        <v>962</v>
      </c>
      <c r="D76" s="19" t="str">
        <f>IF($B76="","",IFERROR(INDEX('Staff Directory'!$C$5:$C$594,MATCH($B76,'Staff Directory'!$A$5:$A$594,0)),""))</f>
        <v>RN</v>
      </c>
      <c r="E76" s="19" t="str">
        <f>IF($B76="","",IFERROR(INDEX('Staff Directory'!$D$5:$D$594,MATCH($B76,'Staff Directory'!$A$5:$A$594,0)),""))</f>
        <v>A2</v>
      </c>
      <c r="F76" s="9" t="s">
        <v>137</v>
      </c>
      <c r="G76" s="18" t="str">
        <f>IF($F76="","",IFERROR(INDEX(Items!$B$5:$B$597,MATCH($F76,Items!$A$5:$A$597,0)),"⚠ not in Items"))</f>
        <v>Sanitizer</v>
      </c>
      <c r="H76" s="19" t="str">
        <f>IF($F76="","",IFERROR(INDEX(Items!$C$5:$C$597,MATCH($F76,Items!$A$5:$A$597,0)),""))</f>
        <v>118 ML</v>
      </c>
      <c r="I76" s="23">
        <f>IF($F76="","",IFERROR(INDEX(Items!$E$5:$E$597,MATCH($F76,Items!$A$5:$A$597,0)),""))</f>
        <v>2</v>
      </c>
      <c r="J76" s="115">
        <f>IF(tblIssues[[#This Row],[Qty Override]]&lt;&gt;"",tblIssues[[#This Row],[Qty Override]],IF(tblIssues[[#This Row],[Standard Issue]]="","",tblIssues[[#This Row],[Standard Issue]]))</f>
        <v>2</v>
      </c>
      <c r="K76" s="20">
        <f>IF($F76="","",IFERROR(INDEX(Items!$D$5:$D$597,MATCH($F76,Items!$A$5:$A$597,0)),""))</f>
        <v>4.49</v>
      </c>
      <c r="L76" s="21">
        <f t="shared" si="14"/>
        <v>8.98</v>
      </c>
      <c r="M76" s="9" t="str">
        <f t="shared" si="15"/>
        <v>563963-6</v>
      </c>
      <c r="N76" s="24">
        <f>IF($A76="","",WORKDAY($A76,Settings!$C$9,HolidayDates))</f>
        <v>46122</v>
      </c>
      <c r="O76" s="24">
        <f>IF($N76="","",WORKDAY($N76,Settings!$C$10,HolidayDates))</f>
        <v>46162</v>
      </c>
      <c r="P76" s="96" t="s">
        <v>502</v>
      </c>
      <c r="Q76" s="52" t="str">
        <f t="shared" si="11"/>
        <v>Collected</v>
      </c>
      <c r="R76" s="55" t="str">
        <f t="shared" si="16"/>
        <v>2026-04</v>
      </c>
      <c r="S76" s="55">
        <f>IF(OR($B76="",$F76="",$R76=""),"",SUMIFS(tblIssues[Qty Issued],tblIssues[Staff ID],$B76,tblIssues[Item Name],$F76,tblIssues[Month],$R76))</f>
        <v>2</v>
      </c>
      <c r="T76" s="56">
        <f>IF($I76="","",$I76*Settings!$C$11)</f>
        <v>2</v>
      </c>
      <c r="U76" s="57" t="str">
        <f t="shared" si="17"/>
        <v>OK</v>
      </c>
      <c r="V76" s="55" t="str">
        <f t="shared" si="18"/>
        <v/>
      </c>
      <c r="W76" s="55" t="str">
        <f>IF($V76="","",IF(COUNTIF($V$5:$V76,$V76)=1,1,""))</f>
        <v/>
      </c>
      <c r="X76" s="58" t="str">
        <f>IF($W76="","",MAX($X$4:X75)+1)</f>
        <v/>
      </c>
      <c r="Y76" s="62"/>
      <c r="Z76" s="62"/>
      <c r="AA76" s="64" t="str">
        <f>IF($C76="","",IFERROR(INDEX('Staff Directory'!$E$5:$E$594,MATCH($C76,'Staff Directory'!$B$5:$B$594,0)),""))</f>
        <v>firstname046.lastname046@example.com</v>
      </c>
      <c r="AB76" s="64" t="str">
        <f>IF($C76="","",IF(ISNUMBER(SEARCH($D76,Settings!$C$15)),"Pickup","Dispatch"))</f>
        <v>Dispatch</v>
      </c>
      <c r="AC76" s="64" t="str">
        <f t="shared" si="19"/>
        <v>Supply order dispatched</v>
      </c>
      <c r="AD76" s="64" t="str">
        <f t="shared" si="12"/>
        <v>Dear RN,
Your order has been dispatched and is in transit. Reply if undelivered.</v>
      </c>
      <c r="AE76" s="64" t="str">
        <f t="shared" si="13"/>
        <v>mailto:firstname046.lastname046@example.com?subject=Supply%20order%20dispatched&amp;body=Dear%20RN%2C%0A%0AYour%20order%20has%20been%20dispatched%20and%20is%20in%20transit.%20Reply%20if%20undelivered.</v>
      </c>
      <c r="AF76" s="65" t="str">
        <f t="shared" si="20"/>
        <v>Draft email</v>
      </c>
      <c r="AG76" s="64" t="str">
        <f>IF($C76="","",IFERROR(INDEX('Staff Directory'!$K$595:$K$599,MATCH($C76,'Staff Directory'!$B$5:$B$599,0)),$D76))</f>
        <v>RN</v>
      </c>
      <c r="AH76" t="str">
        <f>IF($C76="","",IFERROR(INDEX('Staff Directory'!$I$595:$I$599,MATCH($C76,'Staff Directory'!$B$5:$B$599,0))&amp;" "&amp;INDEX('Staff Directory'!$J$595:$J$599,MATCH($C76,'Staff Directory'!$B$5:$B$599,0)),$AG76))</f>
        <v>RN</v>
      </c>
      <c r="AI76" s="102" t="s">
        <v>457</v>
      </c>
      <c r="AJ76" s="101">
        <f>IF($F76="","",SUMIFS($J$5:$J76,$F$5:$F76,$F76))</f>
        <v>30</v>
      </c>
      <c r="AK76" s="101">
        <f t="shared" si="3"/>
        <v>29</v>
      </c>
      <c r="AL76" s="66" t="str" cm="1">
        <f t="array" ref="AL76">IF($F76="","",IFERROR(INDEX('Lot Balance'!$B$5:$B$500,MATCH(1,INDEX(('Lot Balance'!$A$5:$A$500=$F76)*('Lot Balance'!$K$5:$K$500&lt;$AK76)*('Lot Balance'!$K$5:$K$500+'Lot Balance'!$D$5:$D$500&gt;=$AK76),0),0)),""))</f>
        <v>563963-5</v>
      </c>
      <c r="AM76" s="66" t="str" cm="1">
        <f t="array" ref="AM76">IF($F76="","",IFERROR(INDEX('Lot Balance'!$B$5:$B$500,MATCH(1,INDEX(('Lot Balance'!$A$5:$A$500=$F76)*('Lot Balance'!$K$5:$K$500&lt;$AJ76)*('Lot Balance'!$K$5:$K$500+'Lot Balance'!$D$5:$D$500&gt;=$AJ76),0),0)),""))</f>
        <v>563963-5</v>
      </c>
      <c r="AN76" s="66" t="str">
        <f>IF($F76="","",IF($AI76&lt;&gt;"",IF(COUNTIFS('Lot Balance'!$A$5:$A$500,$F76,'Lot Balance'!$B$5:$B$500,$AI76)=0,"⚠ override is not a lot of this item",IF($AI76=$AL76,"Override = FEFO","Override - FEFO says "&amp;$AL76)),IF($AL76="","⚠ no receipt on file for this item",IF($AM76&lt;&gt;$AL76,"FEFO auto - split, also "&amp;$AM76,"FEFO auto"))))</f>
        <v>Override - FEFO says 563963-5</v>
      </c>
      <c r="AO76" s="114"/>
    </row>
    <row r="77" spans="1:41" x14ac:dyDescent="0.35">
      <c r="A77" s="74">
        <v>46114</v>
      </c>
      <c r="B77" s="18" t="str">
        <f>IF($C77="","",IFERROR(INDEX('Staff Directory'!$A$5:$A$594,MATCH($C77,'Staff Directory'!$B$5:$B$594,0)),"⚠ unknown staff"))</f>
        <v>OEE-007-A3</v>
      </c>
      <c r="C77" s="49" t="s">
        <v>1178</v>
      </c>
      <c r="D77" s="19" t="str">
        <f>IF($B77="","",IFERROR(INDEX('Staff Directory'!$C$5:$C$594,MATCH($B77,'Staff Directory'!$A$5:$A$594,0)),""))</f>
        <v>OEE</v>
      </c>
      <c r="E77" s="19" t="str">
        <f>IF($B77="","",IFERROR(INDEX('Staff Directory'!$D$5:$D$594,MATCH($B77,'Staff Directory'!$A$5:$A$594,0)),""))</f>
        <v>A3</v>
      </c>
      <c r="F77" s="9" t="s">
        <v>137</v>
      </c>
      <c r="G77" s="18" t="str">
        <f>IF($F77="","",IFERROR(INDEX(Items!$B$5:$B$597,MATCH($F77,Items!$A$5:$A$597,0)),"⚠ not in Items"))</f>
        <v>Sanitizer</v>
      </c>
      <c r="H77" s="19" t="str">
        <f>IF($F77="","",IFERROR(INDEX(Items!$C$5:$C$597,MATCH($F77,Items!$A$5:$A$597,0)),""))</f>
        <v>118 ML</v>
      </c>
      <c r="I77" s="23">
        <f>IF($F77="","",IFERROR(INDEX(Items!$E$5:$E$597,MATCH($F77,Items!$A$5:$A$597,0)),""))</f>
        <v>2</v>
      </c>
      <c r="J77" s="115">
        <f>IF(tblIssues[[#This Row],[Qty Override]]&lt;&gt;"",tblIssues[[#This Row],[Qty Override]],IF(tblIssues[[#This Row],[Standard Issue]]="","",tblIssues[[#This Row],[Standard Issue]]))</f>
        <v>2</v>
      </c>
      <c r="K77" s="20">
        <f>IF($F77="","",IFERROR(INDEX(Items!$D$5:$D$597,MATCH($F77,Items!$A$5:$A$597,0)),""))</f>
        <v>4.49</v>
      </c>
      <c r="L77" s="21">
        <f t="shared" si="14"/>
        <v>8.98</v>
      </c>
      <c r="M77" s="9" t="str">
        <f t="shared" si="15"/>
        <v>563963-6</v>
      </c>
      <c r="N77" s="24">
        <f>IF($A77="","",WORKDAY($A77,Settings!$C$9,HolidayDates))</f>
        <v>46122</v>
      </c>
      <c r="O77" s="24">
        <f>IF($N77="","",WORKDAY($N77,Settings!$C$10,HolidayDates))</f>
        <v>46162</v>
      </c>
      <c r="P77" s="10" t="s">
        <v>501</v>
      </c>
      <c r="Q77" s="52" t="str">
        <f t="shared" si="11"/>
        <v>Collected</v>
      </c>
      <c r="R77" s="55" t="str">
        <f t="shared" si="16"/>
        <v>2026-04</v>
      </c>
      <c r="S77" s="55">
        <f>IF(OR($B77="",$F77="",$R77=""),"",SUMIFS(tblIssues[Qty Issued],tblIssues[Staff ID],$B77,tblIssues[Item Name],$F77,tblIssues[Month],$R77))</f>
        <v>2</v>
      </c>
      <c r="T77" s="56">
        <f>IF($I77="","",$I77*Settings!$C$11)</f>
        <v>2</v>
      </c>
      <c r="U77" s="57" t="str">
        <f t="shared" si="17"/>
        <v>OK</v>
      </c>
      <c r="V77" s="55" t="str">
        <f t="shared" si="18"/>
        <v/>
      </c>
      <c r="W77" s="94" t="str">
        <f>IF($V77="","",IF(COUNTIF($V$5:$V77,$V77)=1,1,""))</f>
        <v/>
      </c>
      <c r="X77" s="58" t="str">
        <f>IF($W77="","",MAX($X$4:X76)+1)</f>
        <v/>
      </c>
      <c r="Y77" s="62"/>
      <c r="Z77" s="62"/>
      <c r="AA77" s="64" t="str">
        <f>IF($C77="","",IFERROR(INDEX('Staff Directory'!$E$5:$E$594,MATCH($C77,'Staff Directory'!$B$5:$B$594,0)),""))</f>
        <v>firstname262.lastname262@example.com</v>
      </c>
      <c r="AB77" s="64" t="str">
        <f>IF($C77="","",IF(ISNUMBER(SEARCH($D77,Settings!$C$15)),"Pickup","Dispatch"))</f>
        <v>Dispatch</v>
      </c>
      <c r="AC77" s="64" t="str">
        <f t="shared" si="19"/>
        <v>Supply order dispatched</v>
      </c>
      <c r="AD77" s="64" t="str">
        <f t="shared" si="12"/>
        <v>Dear OEE,
Your order has been dispatched and is in transit. Reply if undelivered.</v>
      </c>
      <c r="AE77" s="64" t="str">
        <f t="shared" si="13"/>
        <v>mailto:firstname262.lastname262@example.com?subject=Supply%20order%20dispatched&amp;body=Dear%20OEE%2C%0A%0AYour%20order%20has%20been%20dispatched%20and%20is%20in%20transit.%20Reply%20if%20undelivered.</v>
      </c>
      <c r="AF77" s="65" t="str">
        <f t="shared" si="20"/>
        <v>Draft email</v>
      </c>
      <c r="AG77" s="64" t="str">
        <f>IF($C77="","",IFERROR(INDEX('Staff Directory'!$K$595:$K$599,MATCH($C77,'Staff Directory'!$B$5:$B$599,0)),$D77))</f>
        <v>OEE</v>
      </c>
      <c r="AH77" t="str">
        <f>IF($C77="","",IFERROR(INDEX('Staff Directory'!$I$595:$I$599,MATCH($C77,'Staff Directory'!$B$5:$B$599,0))&amp;" "&amp;INDEX('Staff Directory'!$J$595:$J$599,MATCH($C77,'Staff Directory'!$B$5:$B$599,0)),$AG77))</f>
        <v>OEE</v>
      </c>
      <c r="AI77" s="102" t="s">
        <v>457</v>
      </c>
      <c r="AJ77" s="101">
        <f>IF($F77="","",SUMIFS($J$5:$J77,$F$5:$F77,$F77))</f>
        <v>32</v>
      </c>
      <c r="AK77" s="101">
        <f t="shared" si="3"/>
        <v>31</v>
      </c>
      <c r="AL77" s="66" t="str" cm="1">
        <f t="array" ref="AL77">IF($F77="","",IFERROR(INDEX('Lot Balance'!$B$5:$B$500,MATCH(1,INDEX(('Lot Balance'!$A$5:$A$500=$F77)*('Lot Balance'!$K$5:$K$500&lt;$AK77)*('Lot Balance'!$K$5:$K$500+'Lot Balance'!$D$5:$D$500&gt;=$AK77),0),0)),""))</f>
        <v>563963-5</v>
      </c>
      <c r="AM77" s="66" t="str" cm="1">
        <f t="array" ref="AM77">IF($F77="","",IFERROR(INDEX('Lot Balance'!$B$5:$B$500,MATCH(1,INDEX(('Lot Balance'!$A$5:$A$500=$F77)*('Lot Balance'!$K$5:$K$500&lt;$AJ77)*('Lot Balance'!$K$5:$K$500+'Lot Balance'!$D$5:$D$500&gt;=$AJ77),0),0)),""))</f>
        <v>563963-5</v>
      </c>
      <c r="AN77" s="66" t="str">
        <f>IF($F77="","",IF($AI77&lt;&gt;"",IF(COUNTIFS('Lot Balance'!$A$5:$A$500,$F77,'Lot Balance'!$B$5:$B$500,$AI77)=0,"⚠ override is not a lot of this item",IF($AI77=$AL77,"Override = FEFO","Override - FEFO says "&amp;$AL77)),IF($AL77="","⚠ no receipt on file for this item",IF($AM77&lt;&gt;$AL77,"FEFO auto - split, also "&amp;$AM77,"FEFO auto"))))</f>
        <v>Override - FEFO says 563963-5</v>
      </c>
      <c r="AO77" s="114"/>
    </row>
    <row r="78" spans="1:41" x14ac:dyDescent="0.35">
      <c r="A78" s="74">
        <v>46119</v>
      </c>
      <c r="B78" s="18" t="str">
        <f>IF($C78="","",IFERROR(INDEX('Staff Directory'!$A$5:$A$594,MATCH($C78,'Staff Directory'!$B$5:$B$594,0)),"⚠ unknown staff"))</f>
        <v>RN-020-A2</v>
      </c>
      <c r="C78" s="49" t="s">
        <v>939</v>
      </c>
      <c r="D78" s="19" t="str">
        <f>IF($B78="","",IFERROR(INDEX('Staff Directory'!$C$5:$C$594,MATCH($B78,'Staff Directory'!$A$5:$A$594,0)),""))</f>
        <v>RN</v>
      </c>
      <c r="E78" s="19" t="str">
        <f>IF($B78="","",IFERROR(INDEX('Staff Directory'!$D$5:$D$594,MATCH($B78,'Staff Directory'!$A$5:$A$594,0)),""))</f>
        <v>A2</v>
      </c>
      <c r="F78" s="9" t="s">
        <v>124</v>
      </c>
      <c r="G78" s="18" t="str">
        <f>IF($F78="","",IFERROR(INDEX(Items!$B$5:$B$597,MATCH($F78,Items!$A$5:$A$597,0)),"⚠ not in Items"))</f>
        <v>Gloves</v>
      </c>
      <c r="H78" s="19" t="str">
        <f>IF($F78="","",IFERROR(INDEX(Items!$C$5:$C$597,MATCH($F78,Items!$A$5:$A$597,0)),""))</f>
        <v>Large</v>
      </c>
      <c r="I78" s="23">
        <f>IF($F78="","",IFERROR(INDEX(Items!$E$5:$E$597,MATCH($F78,Items!$A$5:$A$597,0)),""))</f>
        <v>500</v>
      </c>
      <c r="J78" s="115">
        <f>IF(tblIssues[[#This Row],[Qty Override]]&lt;&gt;"",tblIssues[[#This Row],[Qty Override]],IF(tblIssues[[#This Row],[Standard Issue]]="","",tblIssues[[#This Row],[Standard Issue]]))</f>
        <v>500</v>
      </c>
      <c r="K78" s="20">
        <f>IF($F78="","",IFERROR(INDEX(Items!$D$5:$D$597,MATCH($F78,Items!$A$5:$A$597,0)),""))</f>
        <v>5.5E-2</v>
      </c>
      <c r="L78" s="21">
        <f t="shared" si="14"/>
        <v>27.5</v>
      </c>
      <c r="M78" s="9" t="str">
        <f t="shared" si="15"/>
        <v>ZIM510135932</v>
      </c>
      <c r="N78" s="24">
        <f>IF($A78="","",WORKDAY($A78,Settings!$C$9,HolidayDates))</f>
        <v>46127</v>
      </c>
      <c r="O78" s="24">
        <f>IF($N78="","",WORKDAY($N78,Settings!$C$10,HolidayDates))</f>
        <v>46167</v>
      </c>
      <c r="P78" s="10" t="s">
        <v>502</v>
      </c>
      <c r="Q78" s="52" t="str">
        <f t="shared" ref="Q78:Q141" si="21">IF($A78="","",IF($P78&lt;&gt;"","Collected","Pending"))</f>
        <v>Collected</v>
      </c>
      <c r="R78" s="55" t="str">
        <f t="shared" ref="R78:R141" si="22">IF($A78="","",TEXT($A78,"yyyy-mm"))</f>
        <v>2026-04</v>
      </c>
      <c r="S78" s="55">
        <f>IF(OR($B78="",$F78="",$R78=""),"",SUMIFS(tblIssues[Qty Issued],tblIssues[Staff ID],$B78,tblIssues[Item Name],$F78,tblIssues[Month],$R78))</f>
        <v>500</v>
      </c>
      <c r="T78" s="56">
        <f>IF($I78="","",$I78*Settings!$C$11)</f>
        <v>500</v>
      </c>
      <c r="U78" s="57" t="str">
        <f t="shared" si="17"/>
        <v>OK</v>
      </c>
      <c r="V78" s="55" t="str">
        <f t="shared" ref="V78:V141" si="23">IF($U78="⚠ OVER QUOTA",$B78&amp;" | "&amp;$F78&amp;" | "&amp;$R78,"")</f>
        <v/>
      </c>
      <c r="W78" s="55" t="str">
        <f>IF($V78="","",IF(COUNTIF($V$5:$V78,$V78)=1,1,""))</f>
        <v/>
      </c>
      <c r="X78" s="58" t="str">
        <f>IF($W78="","",MAX($X$4:X77)+1)</f>
        <v/>
      </c>
      <c r="Y78" s="62"/>
      <c r="Z78" s="62"/>
      <c r="AA78" s="64" t="str">
        <f>IF($C78="","",IFERROR(INDEX('Staff Directory'!$E$5:$E$594,MATCH($C78,'Staff Directory'!$B$5:$B$594,0)),""))</f>
        <v>firstname023.lastname023@example.com</v>
      </c>
      <c r="AB78" s="64" t="str">
        <f>IF($C78="","",IF(ISNUMBER(SEARCH($D78,Settings!$C$15)),"Pickup","Dispatch"))</f>
        <v>Dispatch</v>
      </c>
      <c r="AC78" s="64" t="str">
        <f t="shared" ref="AC78:AC141" si="24">IF($AB78="Pickup","Supply order ready for pickup",IF($AB78="Dispatch","Supply order dispatched",""))</f>
        <v>Supply order dispatched</v>
      </c>
      <c r="AD78" s="64" t="str">
        <f t="shared" si="12"/>
        <v>Dear RN,
Your order has been dispatched and is in transit. Reply if undelivered.</v>
      </c>
      <c r="AE78" s="64" t="str">
        <f t="shared" si="13"/>
        <v>mailto:firstname023.lastname023@example.com?subject=Supply%20order%20dispatched&amp;body=Dear%20RN%2C%0A%0AYour%20order%20has%20been%20dispatched%20and%20is%20in%20transit.%20Reply%20if%20undelivered.</v>
      </c>
      <c r="AF78" s="89" t="str">
        <f t="shared" ref="AF78:AF141" si="25">IF(AE78="","",HYPERLINK(AE78,"Draft email"))</f>
        <v>Draft email</v>
      </c>
      <c r="AG78" s="64" t="str">
        <f>IF($C78="","",IFERROR(INDEX('Staff Directory'!$K$595:$K$599,MATCH($C78,'Staff Directory'!$B$5:$B$599,0)),$D78))</f>
        <v>RN</v>
      </c>
      <c r="AH78" t="str">
        <f>IF($C78="","",IFERROR(INDEX('Staff Directory'!$I$595:$I$599,MATCH($C78,'Staff Directory'!$B$5:$B$599,0))&amp;" "&amp;INDEX('Staff Directory'!$J$595:$J$599,MATCH($C78,'Staff Directory'!$B$5:$B$599,0)),$AG78))</f>
        <v>RN</v>
      </c>
      <c r="AI78" s="102"/>
      <c r="AJ78" s="101">
        <f>IF($F78="","",SUMIFS($J$5:$J78,$F$5:$F78,$F78))</f>
        <v>2000</v>
      </c>
      <c r="AK78" s="101">
        <f t="shared" si="3"/>
        <v>1501</v>
      </c>
      <c r="AL78" s="66" t="str" cm="1">
        <f t="array" ref="AL78">IF($F78="","",IFERROR(INDEX('Lot Balance'!$B$5:$B$500,MATCH(1,INDEX(('Lot Balance'!$A$5:$A$500=$F78)*('Lot Balance'!$K$5:$K$500&lt;$AK78)*('Lot Balance'!$K$5:$K$500+'Lot Balance'!$D$5:$D$500&gt;=$AK78),0),0)),""))</f>
        <v>ZIM510135932</v>
      </c>
      <c r="AM78" s="66" t="str" cm="1">
        <f t="array" ref="AM78">IF($F78="","",IFERROR(INDEX('Lot Balance'!$B$5:$B$500,MATCH(1,INDEX(('Lot Balance'!$A$5:$A$500=$F78)*('Lot Balance'!$K$5:$K$500&lt;$AJ78)*('Lot Balance'!$K$5:$K$500+'Lot Balance'!$D$5:$D$500&gt;=$AJ78),0),0)),""))</f>
        <v>ZIM510135932</v>
      </c>
      <c r="AN78" s="66" t="str">
        <f>IF($F78="","",IF($AI78&lt;&gt;"",IF(COUNTIFS('Lot Balance'!$A$5:$A$500,$F78,'Lot Balance'!$B$5:$B$500,$AI78)=0,"⚠ override is not a lot of this item",IF($AI78=$AL78,"Override = FEFO","Override - FEFO says "&amp;$AL78)),IF($AL78="","⚠ no receipt on file for this item",IF($AM78&lt;&gt;$AL78,"FEFO auto - split, also "&amp;$AM78,"FEFO auto"))))</f>
        <v>FEFO auto</v>
      </c>
      <c r="AO78" s="114"/>
    </row>
    <row r="79" spans="1:41" x14ac:dyDescent="0.35">
      <c r="A79" s="74">
        <v>46119</v>
      </c>
      <c r="B79" s="18" t="str">
        <f>IF($C79="","",IFERROR(INDEX('Staff Directory'!$A$5:$A$594,MATCH($C79,'Staff Directory'!$B$5:$B$594,0)),"⚠ unknown staff"))</f>
        <v>RN-020-A2</v>
      </c>
      <c r="C79" s="49" t="s">
        <v>939</v>
      </c>
      <c r="D79" s="19" t="str">
        <f>IF($B79="","",IFERROR(INDEX('Staff Directory'!$C$5:$C$594,MATCH($B79,'Staff Directory'!$A$5:$A$594,0)),""))</f>
        <v>RN</v>
      </c>
      <c r="E79" s="19" t="str">
        <f>IF($B79="","",IFERROR(INDEX('Staff Directory'!$D$5:$D$594,MATCH($B79,'Staff Directory'!$A$5:$A$594,0)),""))</f>
        <v>A2</v>
      </c>
      <c r="F79" s="9" t="s">
        <v>115</v>
      </c>
      <c r="G79" s="18" t="str">
        <f>IF($F79="","",IFERROR(INDEX(Items!$B$5:$B$597,MATCH($F79,Items!$A$5:$A$597,0)),"⚠ not in Items"))</f>
        <v>Wipes</v>
      </c>
      <c r="H79" s="19">
        <f>IF($F79="","",IFERROR(INDEX(Items!$C$5:$C$597,MATCH($F79,Items!$A$5:$A$597,0)),""))</f>
        <v>80</v>
      </c>
      <c r="I79" s="23">
        <f>IF($F79="","",IFERROR(INDEX(Items!$E$5:$E$597,MATCH($F79,Items!$A$5:$A$597,0)),""))</f>
        <v>80</v>
      </c>
      <c r="J79" s="115">
        <f>IF(tblIssues[[#This Row],[Qty Override]]&lt;&gt;"",tblIssues[[#This Row],[Qty Override]],IF(tblIssues[[#This Row],[Standard Issue]]="","",tblIssues[[#This Row],[Standard Issue]]))</f>
        <v>80</v>
      </c>
      <c r="K79" s="20">
        <f>IF($F79="","",IFERROR(INDEX(Items!$D$5:$D$597,MATCH($F79,Items!$A$5:$A$597,0)),""))</f>
        <v>0.1</v>
      </c>
      <c r="L79" s="21">
        <f t="shared" si="14"/>
        <v>8</v>
      </c>
      <c r="M79" s="9" t="str">
        <f t="shared" si="15"/>
        <v>LYSL500290</v>
      </c>
      <c r="N79" s="24">
        <f>IF($A79="","",WORKDAY($A79,Settings!$C$9,HolidayDates))</f>
        <v>46127</v>
      </c>
      <c r="O79" s="24">
        <f>IF($N79="","",WORKDAY($N79,Settings!$C$10,HolidayDates))</f>
        <v>46167</v>
      </c>
      <c r="P79" s="10" t="s">
        <v>502</v>
      </c>
      <c r="Q79" s="52" t="str">
        <f t="shared" si="21"/>
        <v>Collected</v>
      </c>
      <c r="R79" s="55" t="str">
        <f t="shared" si="22"/>
        <v>2026-04</v>
      </c>
      <c r="S79" s="55">
        <f>IF(OR($B79="",$F79="",$R79=""),"",SUMIFS(tblIssues[Qty Issued],tblIssues[Staff ID],$B79,tblIssues[Item Name],$F79,tblIssues[Month],$R79))</f>
        <v>80</v>
      </c>
      <c r="T79" s="56">
        <f>IF($I79="","",$I79*Settings!$C$11)</f>
        <v>80</v>
      </c>
      <c r="U79" s="57" t="str">
        <f t="shared" si="17"/>
        <v>OK</v>
      </c>
      <c r="V79" s="55" t="str">
        <f t="shared" si="23"/>
        <v/>
      </c>
      <c r="W79" s="55" t="str">
        <f>IF($V79="","",IF(COUNTIF($V$5:$V79,$V79)=1,1,""))</f>
        <v/>
      </c>
      <c r="X79" s="58" t="str">
        <f>IF($W79="","",MAX($X$4:X78)+1)</f>
        <v/>
      </c>
      <c r="Y79" s="62"/>
      <c r="Z79" s="62"/>
      <c r="AA79" s="64" t="str">
        <f>IF($C79="","",IFERROR(INDEX('Staff Directory'!$E$5:$E$594,MATCH($C79,'Staff Directory'!$B$5:$B$594,0)),""))</f>
        <v>firstname023.lastname023@example.com</v>
      </c>
      <c r="AB79" s="64" t="str">
        <f>IF($C79="","",IF(ISNUMBER(SEARCH($D79,Settings!$C$15)),"Pickup","Dispatch"))</f>
        <v>Dispatch</v>
      </c>
      <c r="AC79" s="64" t="str">
        <f t="shared" si="24"/>
        <v>Supply order dispatched</v>
      </c>
      <c r="AD79" s="64" t="str">
        <f t="shared" si="12"/>
        <v>Dear RN,
Your order has been dispatched and is in transit. Reply if undelivered.</v>
      </c>
      <c r="AE79" s="64" t="str">
        <f t="shared" si="13"/>
        <v>mailto:firstname023.lastname023@example.com?subject=Supply%20order%20dispatched&amp;body=Dear%20RN%2C%0A%0AYour%20order%20has%20been%20dispatched%20and%20is%20in%20transit.%20Reply%20if%20undelivered.</v>
      </c>
      <c r="AF79" s="89" t="str">
        <f t="shared" si="25"/>
        <v>Draft email</v>
      </c>
      <c r="AG79" s="64" t="str">
        <f>IF($C79="","",IFERROR(INDEX('Staff Directory'!$K$595:$K$599,MATCH($C79,'Staff Directory'!$B$5:$B$599,0)),$D79))</f>
        <v>RN</v>
      </c>
      <c r="AH79" t="str">
        <f>IF($C79="","",IFERROR(INDEX('Staff Directory'!$I$595:$I$599,MATCH($C79,'Staff Directory'!$B$5:$B$599,0))&amp;" "&amp;INDEX('Staff Directory'!$J$595:$J$599,MATCH($C79,'Staff Directory'!$B$5:$B$599,0)),$AG79))</f>
        <v>RN</v>
      </c>
      <c r="AI79" s="102"/>
      <c r="AJ79" s="101">
        <f>IF($F79="","",SUMIFS($J$5:$J79,$F$5:$F79,$F79))</f>
        <v>1520</v>
      </c>
      <c r="AK79" s="101">
        <f t="shared" si="3"/>
        <v>1441</v>
      </c>
      <c r="AL79" s="66" t="str" cm="1">
        <f t="array" ref="AL79">IF($F79="","",IFERROR(INDEX('Lot Balance'!$B$5:$B$500,MATCH(1,INDEX(('Lot Balance'!$A$5:$A$500=$F79)*('Lot Balance'!$K$5:$K$500&lt;$AK79)*('Lot Balance'!$K$5:$K$500+'Lot Balance'!$D$5:$D$500&gt;=$AK79),0),0)),""))</f>
        <v>LYSL500290</v>
      </c>
      <c r="AM79" s="66" t="str" cm="1">
        <f t="array" ref="AM79">IF($F79="","",IFERROR(INDEX('Lot Balance'!$B$5:$B$500,MATCH(1,INDEX(('Lot Balance'!$A$5:$A$500=$F79)*('Lot Balance'!$K$5:$K$500&lt;$AJ79)*('Lot Balance'!$K$5:$K$500+'Lot Balance'!$D$5:$D$500&gt;=$AJ79),0),0)),""))</f>
        <v>LYSL500290</v>
      </c>
      <c r="AN79" s="66" t="str">
        <f>IF($F79="","",IF($AI79&lt;&gt;"",IF(COUNTIFS('Lot Balance'!$A$5:$A$500,$F79,'Lot Balance'!$B$5:$B$500,$AI79)=0,"⚠ override is not a lot of this item",IF($AI79=$AL79,"Override = FEFO","Override - FEFO says "&amp;$AL79)),IF($AL79="","⚠ no receipt on file for this item",IF($AM79&lt;&gt;$AL79,"FEFO auto - split, also "&amp;$AM79,"FEFO auto"))))</f>
        <v>FEFO auto</v>
      </c>
      <c r="AO79" s="114"/>
    </row>
    <row r="80" spans="1:41" x14ac:dyDescent="0.35">
      <c r="A80" s="74">
        <v>46119</v>
      </c>
      <c r="B80" s="18" t="str">
        <f>IF($C80="","",IFERROR(INDEX('Staff Directory'!$A$5:$A$594,MATCH($C80,'Staff Directory'!$B$5:$B$594,0)),"⚠ unknown staff"))</f>
        <v>RN-020-A2</v>
      </c>
      <c r="C80" s="49" t="s">
        <v>939</v>
      </c>
      <c r="D80" s="19" t="str">
        <f>IF($B80="","",IFERROR(INDEX('Staff Directory'!$C$5:$C$594,MATCH($B80,'Staff Directory'!$A$5:$A$594,0)),""))</f>
        <v>RN</v>
      </c>
      <c r="E80" s="19" t="str">
        <f>IF($B80="","",IFERROR(INDEX('Staff Directory'!$D$5:$D$594,MATCH($B80,'Staff Directory'!$A$5:$A$594,0)),""))</f>
        <v>A2</v>
      </c>
      <c r="F80" s="9" t="s">
        <v>757</v>
      </c>
      <c r="G80" s="18" t="str">
        <f>IF($F80="","",IFERROR(INDEX(Items!$B$5:$B$597,MATCH($F80,Items!$A$5:$A$597,0)),"⚠ not in Items"))</f>
        <v>Documents</v>
      </c>
      <c r="H80" s="19" t="str">
        <f>IF($F80="","",IFERROR(INDEX(Items!$C$5:$C$597,MATCH($F80,Items!$A$5:$A$597,0)),""))</f>
        <v>Standard</v>
      </c>
      <c r="I80" s="23">
        <f>IF($F80="","",IFERROR(INDEX(Items!$E$5:$E$597,MATCH($F80,Items!$A$5:$A$597,0)),""))</f>
        <v>10</v>
      </c>
      <c r="J80" s="115">
        <f>IF(tblIssues[[#This Row],[Qty Override]]&lt;&gt;"",tblIssues[[#This Row],[Qty Override]],IF(tblIssues[[#This Row],[Standard Issue]]="","",tblIssues[[#This Row],[Standard Issue]]))</f>
        <v>10</v>
      </c>
      <c r="K80" s="20">
        <f>IF($F80="","",IFERROR(INDEX(Items!$D$5:$D$597,MATCH($F80,Items!$A$5:$A$597,0)),""))</f>
        <v>0</v>
      </c>
      <c r="L80" s="21">
        <f t="shared" si="14"/>
        <v>0</v>
      </c>
      <c r="M80" s="9" t="str">
        <f t="shared" si="15"/>
        <v/>
      </c>
      <c r="N80" s="24">
        <f>IF($A80="","",WORKDAY($A80,Settings!$C$9,HolidayDates))</f>
        <v>46127</v>
      </c>
      <c r="O80" s="24">
        <f>IF($N80="","",WORKDAY($N80,Settings!$C$10,HolidayDates))</f>
        <v>46167</v>
      </c>
      <c r="P80" s="10" t="s">
        <v>502</v>
      </c>
      <c r="Q80" s="52" t="str">
        <f t="shared" si="21"/>
        <v>Collected</v>
      </c>
      <c r="R80" s="55" t="str">
        <f t="shared" si="22"/>
        <v>2026-04</v>
      </c>
      <c r="S80" s="55">
        <f>IF(OR($B80="",$F80="",$R80=""),"",SUMIFS(tblIssues[Qty Issued],tblIssues[Staff ID],$B80,tblIssues[Item Name],$F80,tblIssues[Month],$R80))</f>
        <v>10</v>
      </c>
      <c r="T80" s="56">
        <f>IF($I80="","",$I80*Settings!$C$11)</f>
        <v>10</v>
      </c>
      <c r="U80" s="57" t="str">
        <f t="shared" si="17"/>
        <v>OK</v>
      </c>
      <c r="V80" s="55" t="str">
        <f t="shared" si="23"/>
        <v/>
      </c>
      <c r="W80" s="55" t="str">
        <f>IF($V80="","",IF(COUNTIF($V$5:$V80,$V80)=1,1,""))</f>
        <v/>
      </c>
      <c r="X80" s="58" t="str">
        <f>IF($W80="","",MAX($X$4:X79)+1)</f>
        <v/>
      </c>
      <c r="Y80" s="62"/>
      <c r="Z80" s="62"/>
      <c r="AA80" s="64" t="str">
        <f>IF($C80="","",IFERROR(INDEX('Staff Directory'!$E$5:$E$594,MATCH($C80,'Staff Directory'!$B$5:$B$594,0)),""))</f>
        <v>firstname023.lastname023@example.com</v>
      </c>
      <c r="AB80" s="64" t="str">
        <f>IF($C80="","",IF(ISNUMBER(SEARCH($D80,Settings!$C$15)),"Pickup","Dispatch"))</f>
        <v>Dispatch</v>
      </c>
      <c r="AC80" s="64" t="str">
        <f t="shared" si="24"/>
        <v>Supply order dispatched</v>
      </c>
      <c r="AD80" s="64" t="str">
        <f t="shared" si="12"/>
        <v>Dear RN,
Your order has been dispatched and is in transit. Reply if undelivered.</v>
      </c>
      <c r="AE80" s="64" t="str">
        <f t="shared" si="13"/>
        <v>mailto:firstname023.lastname023@example.com?subject=Supply%20order%20dispatched&amp;body=Dear%20RN%2C%0A%0AYour%20order%20has%20been%20dispatched%20and%20is%20in%20transit.%20Reply%20if%20undelivered.</v>
      </c>
      <c r="AF80" s="89" t="str">
        <f t="shared" si="25"/>
        <v>Draft email</v>
      </c>
      <c r="AG80" s="64" t="str">
        <f>IF($C80="","",IFERROR(INDEX('Staff Directory'!$K$595:$K$599,MATCH($C80,'Staff Directory'!$B$5:$B$599,0)),$D80))</f>
        <v>RN</v>
      </c>
      <c r="AH80" t="str">
        <f>IF($C80="","",IFERROR(INDEX('Staff Directory'!$I$595:$I$599,MATCH($C80,'Staff Directory'!$B$5:$B$599,0))&amp;" "&amp;INDEX('Staff Directory'!$J$595:$J$599,MATCH($C80,'Staff Directory'!$B$5:$B$599,0)),$AG80))</f>
        <v>RN</v>
      </c>
      <c r="AI80" s="102"/>
      <c r="AJ80" s="101">
        <f>IF($F80="","",SUMIFS($J$5:$J80,$F$5:$F80,$F80))</f>
        <v>10</v>
      </c>
      <c r="AK80" s="101">
        <f t="shared" si="3"/>
        <v>1</v>
      </c>
      <c r="AL80" s="66" t="str" cm="1">
        <f t="array" ref="AL80">IF($F80="","",IFERROR(INDEX('Lot Balance'!$B$5:$B$500,MATCH(1,INDEX(('Lot Balance'!$A$5:$A$500=$F80)*('Lot Balance'!$K$5:$K$500&lt;$AK80)*('Lot Balance'!$K$5:$K$500+'Lot Balance'!$D$5:$D$500&gt;=$AK80),0),0)),""))</f>
        <v/>
      </c>
      <c r="AM80" s="66" t="str" cm="1">
        <f t="array" ref="AM80">IF($F80="","",IFERROR(INDEX('Lot Balance'!$B$5:$B$500,MATCH(1,INDEX(('Lot Balance'!$A$5:$A$500=$F80)*('Lot Balance'!$K$5:$K$500&lt;$AJ80)*('Lot Balance'!$K$5:$K$500+'Lot Balance'!$D$5:$D$500&gt;=$AJ80),0),0)),""))</f>
        <v/>
      </c>
      <c r="AN80" s="66" t="str">
        <f>IF($F80="","",IF($AI80&lt;&gt;"",IF(COUNTIFS('Lot Balance'!$A$5:$A$500,$F80,'Lot Balance'!$B$5:$B$500,$AI80)=0,"⚠ override is not a lot of this item",IF($AI80=$AL80,"Override = FEFO","Override - FEFO says "&amp;$AL80)),IF($AL80="","⚠ no receipt on file for this item",IF($AM80&lt;&gt;$AL80,"FEFO auto - split, also "&amp;$AM80,"FEFO auto"))))</f>
        <v>⚠ no receipt on file for this item</v>
      </c>
      <c r="AO80" s="114"/>
    </row>
    <row r="81" spans="1:41" x14ac:dyDescent="0.35">
      <c r="A81" s="74">
        <v>46119</v>
      </c>
      <c r="B81" s="18" t="str">
        <f>IF($C81="","",IFERROR(INDEX('Staff Directory'!$A$5:$A$594,MATCH($C81,'Staff Directory'!$B$5:$B$594,0)),"⚠ unknown staff"))</f>
        <v>RN-031-A2</v>
      </c>
      <c r="C81" s="49" t="s">
        <v>951</v>
      </c>
      <c r="D81" s="19" t="str">
        <f>IF($B81="","",IFERROR(INDEX('Staff Directory'!$C$5:$C$594,MATCH($B81,'Staff Directory'!$A$5:$A$594,0)),""))</f>
        <v>RN</v>
      </c>
      <c r="E81" s="19" t="str">
        <f>IF($B81="","",IFERROR(INDEX('Staff Directory'!$D$5:$D$594,MATCH($B81,'Staff Directory'!$A$5:$A$594,0)),""))</f>
        <v>A2</v>
      </c>
      <c r="F81" s="9" t="s">
        <v>757</v>
      </c>
      <c r="G81" s="18" t="str">
        <f>IF($F81="","",IFERROR(INDEX(Items!$B$5:$B$597,MATCH($F81,Items!$A$5:$A$597,0)),"⚠ not in Items"))</f>
        <v>Documents</v>
      </c>
      <c r="H81" s="19" t="str">
        <f>IF($F81="","",IFERROR(INDEX(Items!$C$5:$C$597,MATCH($F81,Items!$A$5:$A$597,0)),""))</f>
        <v>Standard</v>
      </c>
      <c r="I81" s="23">
        <f>IF($F81="","",IFERROR(INDEX(Items!$E$5:$E$597,MATCH($F81,Items!$A$5:$A$597,0)),""))</f>
        <v>10</v>
      </c>
      <c r="J81" s="115">
        <f>IF(tblIssues[[#This Row],[Qty Override]]&lt;&gt;"",tblIssues[[#This Row],[Qty Override]],IF(tblIssues[[#This Row],[Standard Issue]]="","",tblIssues[[#This Row],[Standard Issue]]))</f>
        <v>10</v>
      </c>
      <c r="K81" s="20">
        <f>IF($F81="","",IFERROR(INDEX(Items!$D$5:$D$597,MATCH($F81,Items!$A$5:$A$597,0)),""))</f>
        <v>0</v>
      </c>
      <c r="L81" s="21">
        <f t="shared" si="14"/>
        <v>0</v>
      </c>
      <c r="M81" s="9" t="str">
        <f t="shared" si="15"/>
        <v/>
      </c>
      <c r="N81" s="24">
        <f>IF($A81="","",WORKDAY($A81,Settings!$C$9,HolidayDates))</f>
        <v>46127</v>
      </c>
      <c r="O81" s="24">
        <f>IF($N81="","",WORKDAY($N81,Settings!$C$10,HolidayDates))</f>
        <v>46167</v>
      </c>
      <c r="P81" s="10" t="s">
        <v>502</v>
      </c>
      <c r="Q81" s="52" t="str">
        <f t="shared" si="21"/>
        <v>Collected</v>
      </c>
      <c r="R81" s="55" t="str">
        <f t="shared" si="22"/>
        <v>2026-04</v>
      </c>
      <c r="S81" s="55">
        <f>IF(OR($B81="",$F81="",$R81=""),"",SUMIFS(tblIssues[Qty Issued],tblIssues[Staff ID],$B81,tblIssues[Item Name],$F81,tblIssues[Month],$R81))</f>
        <v>20</v>
      </c>
      <c r="T81" s="56">
        <f>IF($I81="","",$I81*Settings!$C$11)</f>
        <v>10</v>
      </c>
      <c r="U81" s="57" t="str">
        <f t="shared" si="17"/>
        <v>⚠ OVER QUOTA</v>
      </c>
      <c r="V81" s="55" t="str">
        <f t="shared" si="23"/>
        <v>RN-031-A2 | Sample Org CONNECT Welcome Package RN | 2026-04</v>
      </c>
      <c r="W81" s="55">
        <f>IF($V81="","",IF(COUNTIF($V$5:$V81,$V81)=1,1,""))</f>
        <v>1</v>
      </c>
      <c r="X81" s="58">
        <f>IF($W81="","",MAX($X$4:X80)+1)</f>
        <v>2</v>
      </c>
      <c r="Y81" s="62"/>
      <c r="Z81" s="62"/>
      <c r="AA81" s="64" t="str">
        <f>IF($C81="","",IFERROR(INDEX('Staff Directory'!$E$5:$E$594,MATCH($C81,'Staff Directory'!$B$5:$B$594,0)),""))</f>
        <v>firstname035.lastname035@example.com</v>
      </c>
      <c r="AB81" s="64" t="str">
        <f>IF($C81="","",IF(ISNUMBER(SEARCH($D81,Settings!$C$15)),"Pickup","Dispatch"))</f>
        <v>Dispatch</v>
      </c>
      <c r="AC81" s="64" t="str">
        <f t="shared" si="24"/>
        <v>Supply order dispatched</v>
      </c>
      <c r="AD81" s="64" t="str">
        <f t="shared" si="12"/>
        <v>Dear RN,
Your order has been dispatched and is in transit. Reply if undelivered.</v>
      </c>
      <c r="AE81" s="64" t="str">
        <f t="shared" si="13"/>
        <v>mailto:firstname035.lastname035@example.com?subject=Supply%20order%20dispatched&amp;body=Dear%20RN%2C%0A%0AYour%20order%20has%20been%20dispatched%20and%20is%20in%20transit.%20Reply%20if%20undelivered.</v>
      </c>
      <c r="AF81" s="89" t="str">
        <f t="shared" si="25"/>
        <v>Draft email</v>
      </c>
      <c r="AG81" s="64" t="str">
        <f>IF($C81="","",IFERROR(INDEX('Staff Directory'!$K$595:$K$599,MATCH($C81,'Staff Directory'!$B$5:$B$599,0)),$D81))</f>
        <v>RN</v>
      </c>
      <c r="AH81" t="str">
        <f>IF($C81="","",IFERROR(INDEX('Staff Directory'!$I$595:$I$599,MATCH($C81,'Staff Directory'!$B$5:$B$599,0))&amp;" "&amp;INDEX('Staff Directory'!$J$595:$J$599,MATCH($C81,'Staff Directory'!$B$5:$B$599,0)),$AG81))</f>
        <v>RN</v>
      </c>
      <c r="AI81" s="102"/>
      <c r="AJ81" s="101">
        <f>IF($F81="","",SUMIFS($J$5:$J81,$F$5:$F81,$F81))</f>
        <v>20</v>
      </c>
      <c r="AK81" s="101">
        <f t="shared" si="3"/>
        <v>11</v>
      </c>
      <c r="AL81" s="66" t="str" cm="1">
        <f t="array" ref="AL81">IF($F81="","",IFERROR(INDEX('Lot Balance'!$B$5:$B$500,MATCH(1,INDEX(('Lot Balance'!$A$5:$A$500=$F81)*('Lot Balance'!$K$5:$K$500&lt;$AK81)*('Lot Balance'!$K$5:$K$500+'Lot Balance'!$D$5:$D$500&gt;=$AK81),0),0)),""))</f>
        <v/>
      </c>
      <c r="AM81" s="66" t="str" cm="1">
        <f t="array" ref="AM81">IF($F81="","",IFERROR(INDEX('Lot Balance'!$B$5:$B$500,MATCH(1,INDEX(('Lot Balance'!$A$5:$A$500=$F81)*('Lot Balance'!$K$5:$K$500&lt;$AJ81)*('Lot Balance'!$K$5:$K$500+'Lot Balance'!$D$5:$D$500&gt;=$AJ81),0),0)),""))</f>
        <v/>
      </c>
      <c r="AN81" s="66" t="str">
        <f>IF($F81="","",IF($AI81&lt;&gt;"",IF(COUNTIFS('Lot Balance'!$A$5:$A$500,$F81,'Lot Balance'!$B$5:$B$500,$AI81)=0,"⚠ override is not a lot of this item",IF($AI81=$AL81,"Override = FEFO","Override - FEFO says "&amp;$AL81)),IF($AL81="","⚠ no receipt on file for this item",IF($AM81&lt;&gt;$AL81,"FEFO auto - split, also "&amp;$AM81,"FEFO auto"))))</f>
        <v>⚠ no receipt on file for this item</v>
      </c>
      <c r="AO81" s="114"/>
    </row>
    <row r="82" spans="1:41" x14ac:dyDescent="0.35">
      <c r="A82" s="74">
        <v>46119</v>
      </c>
      <c r="B82" s="18" t="str">
        <f>IF($C82="","",IFERROR(INDEX('Staff Directory'!$A$5:$A$594,MATCH($C82,'Staff Directory'!$B$5:$B$594,0)),"⚠ unknown staff"))</f>
        <v>RN-033-A2</v>
      </c>
      <c r="C82" s="49" t="s">
        <v>954</v>
      </c>
      <c r="D82" s="19" t="str">
        <f>IF($B82="","",IFERROR(INDEX('Staff Directory'!$C$5:$C$594,MATCH($B82,'Staff Directory'!$A$5:$A$594,0)),""))</f>
        <v>RN</v>
      </c>
      <c r="E82" s="19" t="str">
        <f>IF($B82="","",IFERROR(INDEX('Staff Directory'!$D$5:$D$594,MATCH($B82,'Staff Directory'!$A$5:$A$594,0)),""))</f>
        <v>A2</v>
      </c>
      <c r="F82" s="9" t="s">
        <v>124</v>
      </c>
      <c r="G82" s="18" t="str">
        <f>IF($F82="","",IFERROR(INDEX(Items!$B$5:$B$597,MATCH($F82,Items!$A$5:$A$597,0)),"⚠ not in Items"))</f>
        <v>Gloves</v>
      </c>
      <c r="H82" s="19" t="str">
        <f>IF($F82="","",IFERROR(INDEX(Items!$C$5:$C$597,MATCH($F82,Items!$A$5:$A$597,0)),""))</f>
        <v>Large</v>
      </c>
      <c r="I82" s="23">
        <f>IF($F82="","",IFERROR(INDEX(Items!$E$5:$E$597,MATCH($F82,Items!$A$5:$A$597,0)),""))</f>
        <v>500</v>
      </c>
      <c r="J82" s="115">
        <f>IF(tblIssues[[#This Row],[Qty Override]]&lt;&gt;"",tblIssues[[#This Row],[Qty Override]],IF(tblIssues[[#This Row],[Standard Issue]]="","",tblIssues[[#This Row],[Standard Issue]]))</f>
        <v>500</v>
      </c>
      <c r="K82" s="20">
        <f>IF($F82="","",IFERROR(INDEX(Items!$D$5:$D$597,MATCH($F82,Items!$A$5:$A$597,0)),""))</f>
        <v>5.5E-2</v>
      </c>
      <c r="L82" s="21">
        <f t="shared" si="14"/>
        <v>27.5</v>
      </c>
      <c r="M82" s="9" t="str">
        <f t="shared" si="15"/>
        <v>ZIM510135932</v>
      </c>
      <c r="N82" s="24">
        <f>IF($A82="","",WORKDAY($A82,Settings!$C$9,HolidayDates))</f>
        <v>46127</v>
      </c>
      <c r="O82" s="24">
        <f>IF($N82="","",WORKDAY($N82,Settings!$C$10,HolidayDates))</f>
        <v>46167</v>
      </c>
      <c r="P82" s="10" t="s">
        <v>502</v>
      </c>
      <c r="Q82" s="52" t="str">
        <f t="shared" si="21"/>
        <v>Collected</v>
      </c>
      <c r="R82" s="55" t="str">
        <f t="shared" si="22"/>
        <v>2026-04</v>
      </c>
      <c r="S82" s="55">
        <f>IF(OR($B82="",$F82="",$R82=""),"",SUMIFS(tblIssues[Qty Issued],tblIssues[Staff ID],$B82,tblIssues[Item Name],$F82,tblIssues[Month],$R82))</f>
        <v>500</v>
      </c>
      <c r="T82" s="56">
        <f>IF($I82="","",$I82*Settings!$C$11)</f>
        <v>500</v>
      </c>
      <c r="U82" s="57" t="str">
        <f t="shared" si="17"/>
        <v>OK</v>
      </c>
      <c r="V82" s="55" t="str">
        <f t="shared" si="23"/>
        <v/>
      </c>
      <c r="W82" s="55" t="str">
        <f>IF($V82="","",IF(COUNTIF($V$5:$V82,$V82)=1,1,""))</f>
        <v/>
      </c>
      <c r="X82" s="58" t="str">
        <f>IF($W82="","",MAX($X$4:X81)+1)</f>
        <v/>
      </c>
      <c r="Y82" s="62"/>
      <c r="Z82" s="62"/>
      <c r="AA82" s="64" t="str">
        <f>IF($C82="","",IFERROR(INDEX('Staff Directory'!$E$5:$E$594,MATCH($C82,'Staff Directory'!$B$5:$B$594,0)),""))</f>
        <v>firstname038.lastname038@example.com</v>
      </c>
      <c r="AB82" s="64" t="str">
        <f>IF($C82="","",IF(ISNUMBER(SEARCH($D82,Settings!$C$15)),"Pickup","Dispatch"))</f>
        <v>Dispatch</v>
      </c>
      <c r="AC82" s="64" t="str">
        <f t="shared" si="24"/>
        <v>Supply order dispatched</v>
      </c>
      <c r="AD82" s="64" t="str">
        <f t="shared" si="12"/>
        <v>Dear RN,
Your order has been dispatched and is in transit. Reply if undelivered.</v>
      </c>
      <c r="AE82" s="64" t="str">
        <f t="shared" si="13"/>
        <v>mailto:firstname038.lastname038@example.com?subject=Supply%20order%20dispatched&amp;body=Dear%20RN%2C%0A%0AYour%20order%20has%20been%20dispatched%20and%20is%20in%20transit.%20Reply%20if%20undelivered.</v>
      </c>
      <c r="AF82" s="89" t="str">
        <f t="shared" si="25"/>
        <v>Draft email</v>
      </c>
      <c r="AG82" s="64" t="str">
        <f>IF($C82="","",IFERROR(INDEX('Staff Directory'!$K$595:$K$599,MATCH($C82,'Staff Directory'!$B$5:$B$599,0)),$D82))</f>
        <v>RN</v>
      </c>
      <c r="AH82" t="str">
        <f>IF($C82="","",IFERROR(INDEX('Staff Directory'!$I$595:$I$599,MATCH($C82,'Staff Directory'!$B$5:$B$599,0))&amp;" "&amp;INDEX('Staff Directory'!$J$595:$J$599,MATCH($C82,'Staff Directory'!$B$5:$B$599,0)),$AG82))</f>
        <v>RN</v>
      </c>
      <c r="AI82" s="102"/>
      <c r="AJ82" s="101">
        <f>IF($F82="","",SUMIFS($J$5:$J82,$F$5:$F82,$F82))</f>
        <v>2500</v>
      </c>
      <c r="AK82" s="101">
        <f t="shared" si="3"/>
        <v>2001</v>
      </c>
      <c r="AL82" s="66" t="str" cm="1">
        <f t="array" ref="AL82">IF($F82="","",IFERROR(INDEX('Lot Balance'!$B$5:$B$500,MATCH(1,INDEX(('Lot Balance'!$A$5:$A$500=$F82)*('Lot Balance'!$K$5:$K$500&lt;$AK82)*('Lot Balance'!$K$5:$K$500+'Lot Balance'!$D$5:$D$500&gt;=$AK82),0),0)),""))</f>
        <v>ZIM510135932</v>
      </c>
      <c r="AM82" s="66" t="str" cm="1">
        <f t="array" ref="AM82">IF($F82="","",IFERROR(INDEX('Lot Balance'!$B$5:$B$500,MATCH(1,INDEX(('Lot Balance'!$A$5:$A$500=$F82)*('Lot Balance'!$K$5:$K$500&lt;$AJ82)*('Lot Balance'!$K$5:$K$500+'Lot Balance'!$D$5:$D$500&gt;=$AJ82),0),0)),""))</f>
        <v>ZIM510135932</v>
      </c>
      <c r="AN82" s="66" t="str">
        <f>IF($F82="","",IF($AI82&lt;&gt;"",IF(COUNTIFS('Lot Balance'!$A$5:$A$500,$F82,'Lot Balance'!$B$5:$B$500,$AI82)=0,"⚠ override is not a lot of this item",IF($AI82=$AL82,"Override = FEFO","Override - FEFO says "&amp;$AL82)),IF($AL82="","⚠ no receipt on file for this item",IF($AM82&lt;&gt;$AL82,"FEFO auto - split, also "&amp;$AM82,"FEFO auto"))))</f>
        <v>FEFO auto</v>
      </c>
      <c r="AO82" s="114"/>
    </row>
    <row r="83" spans="1:41" x14ac:dyDescent="0.35">
      <c r="A83" s="74">
        <v>46119</v>
      </c>
      <c r="B83" s="18" t="str">
        <f>IF($C83="","",IFERROR(INDEX('Staff Directory'!$A$5:$A$594,MATCH($C83,'Staff Directory'!$B$5:$B$594,0)),"⚠ unknown staff"))</f>
        <v>RN-033-A2</v>
      </c>
      <c r="C83" s="49" t="s">
        <v>954</v>
      </c>
      <c r="D83" s="19" t="str">
        <f>IF($B83="","",IFERROR(INDEX('Staff Directory'!$C$5:$C$594,MATCH($B83,'Staff Directory'!$A$5:$A$594,0)),""))</f>
        <v>RN</v>
      </c>
      <c r="E83" s="19" t="str">
        <f>IF($B83="","",IFERROR(INDEX('Staff Directory'!$D$5:$D$594,MATCH($B83,'Staff Directory'!$A$5:$A$594,0)),""))</f>
        <v>A2</v>
      </c>
      <c r="F83" s="9" t="s">
        <v>137</v>
      </c>
      <c r="G83" s="18" t="str">
        <f>IF($F83="","",IFERROR(INDEX(Items!$B$5:$B$597,MATCH($F83,Items!$A$5:$A$597,0)),"⚠ not in Items"))</f>
        <v>Sanitizer</v>
      </c>
      <c r="H83" s="19" t="str">
        <f>IF($F83="","",IFERROR(INDEX(Items!$C$5:$C$597,MATCH($F83,Items!$A$5:$A$597,0)),""))</f>
        <v>118 ML</v>
      </c>
      <c r="I83" s="23">
        <f>IF($F83="","",IFERROR(INDEX(Items!$E$5:$E$597,MATCH($F83,Items!$A$5:$A$597,0)),""))</f>
        <v>2</v>
      </c>
      <c r="J83" s="115">
        <f>IF(tblIssues[[#This Row],[Qty Override]]&lt;&gt;"",tblIssues[[#This Row],[Qty Override]],IF(tblIssues[[#This Row],[Standard Issue]]="","",tblIssues[[#This Row],[Standard Issue]]))</f>
        <v>2</v>
      </c>
      <c r="K83" s="20">
        <f>IF($F83="","",IFERROR(INDEX(Items!$D$5:$D$597,MATCH($F83,Items!$A$5:$A$597,0)),""))</f>
        <v>4.49</v>
      </c>
      <c r="L83" s="21">
        <f t="shared" si="14"/>
        <v>8.98</v>
      </c>
      <c r="M83" s="9" t="str">
        <f t="shared" si="15"/>
        <v>563963-5</v>
      </c>
      <c r="N83" s="24">
        <f>IF($A83="","",WORKDAY($A83,Settings!$C$9,HolidayDates))</f>
        <v>46127</v>
      </c>
      <c r="O83" s="24">
        <f>IF($N83="","",WORKDAY($N83,Settings!$C$10,HolidayDates))</f>
        <v>46167</v>
      </c>
      <c r="P83" s="10" t="s">
        <v>502</v>
      </c>
      <c r="Q83" s="52" t="str">
        <f t="shared" si="21"/>
        <v>Collected</v>
      </c>
      <c r="R83" s="55" t="str">
        <f t="shared" si="22"/>
        <v>2026-04</v>
      </c>
      <c r="S83" s="55">
        <f>IF(OR($B83="",$F83="",$R83=""),"",SUMIFS(tblIssues[Qty Issued],tblIssues[Staff ID],$B83,tblIssues[Item Name],$F83,tblIssues[Month],$R83))</f>
        <v>2</v>
      </c>
      <c r="T83" s="56">
        <f>IF($I83="","",$I83*Settings!$C$11)</f>
        <v>2</v>
      </c>
      <c r="U83" s="57" t="str">
        <f t="shared" si="17"/>
        <v>OK</v>
      </c>
      <c r="V83" s="55" t="str">
        <f t="shared" si="23"/>
        <v/>
      </c>
      <c r="W83" s="55" t="str">
        <f>IF($V83="","",IF(COUNTIF($V$5:$V83,$V83)=1,1,""))</f>
        <v/>
      </c>
      <c r="X83" s="58" t="str">
        <f>IF($W83="","",MAX($X$4:X82)+1)</f>
        <v/>
      </c>
      <c r="Y83" s="62"/>
      <c r="Z83" s="62"/>
      <c r="AA83" s="64" t="str">
        <f>IF($C83="","",IFERROR(INDEX('Staff Directory'!$E$5:$E$594,MATCH($C83,'Staff Directory'!$B$5:$B$594,0)),""))</f>
        <v>firstname038.lastname038@example.com</v>
      </c>
      <c r="AB83" s="64" t="str">
        <f>IF($C83="","",IF(ISNUMBER(SEARCH($D83,Settings!$C$15)),"Pickup","Dispatch"))</f>
        <v>Dispatch</v>
      </c>
      <c r="AC83" s="64" t="str">
        <f t="shared" si="24"/>
        <v>Supply order dispatched</v>
      </c>
      <c r="AD83" s="64" t="str">
        <f t="shared" si="12"/>
        <v>Dear RN,
Your order has been dispatched and is in transit. Reply if undelivered.</v>
      </c>
      <c r="AE83" s="64" t="str">
        <f t="shared" si="13"/>
        <v>mailto:firstname038.lastname038@example.com?subject=Supply%20order%20dispatched&amp;body=Dear%20RN%2C%0A%0AYour%20order%20has%20been%20dispatched%20and%20is%20in%20transit.%20Reply%20if%20undelivered.</v>
      </c>
      <c r="AF83" s="89" t="str">
        <f t="shared" si="25"/>
        <v>Draft email</v>
      </c>
      <c r="AG83" s="64" t="str">
        <f>IF($C83="","",IFERROR(INDEX('Staff Directory'!$K$595:$K$599,MATCH($C83,'Staff Directory'!$B$5:$B$599,0)),$D83))</f>
        <v>RN</v>
      </c>
      <c r="AH83" t="str">
        <f>IF($C83="","",IFERROR(INDEX('Staff Directory'!$I$595:$I$599,MATCH($C83,'Staff Directory'!$B$5:$B$599,0))&amp;" "&amp;INDEX('Staff Directory'!$J$595:$J$599,MATCH($C83,'Staff Directory'!$B$5:$B$599,0)),$AG83))</f>
        <v>RN</v>
      </c>
      <c r="AI83" s="102"/>
      <c r="AJ83" s="101">
        <f>IF($F83="","",SUMIFS($J$5:$J83,$F$5:$F83,$F83))</f>
        <v>34</v>
      </c>
      <c r="AK83" s="101">
        <f t="shared" si="3"/>
        <v>33</v>
      </c>
      <c r="AL83" s="66" t="str" cm="1">
        <f t="array" ref="AL83">IF($F83="","",IFERROR(INDEX('Lot Balance'!$B$5:$B$500,MATCH(1,INDEX(('Lot Balance'!$A$5:$A$500=$F83)*('Lot Balance'!$K$5:$K$500&lt;$AK83)*('Lot Balance'!$K$5:$K$500+'Lot Balance'!$D$5:$D$500&gt;=$AK83),0),0)),""))</f>
        <v>563963-5</v>
      </c>
      <c r="AM83" s="66" t="str" cm="1">
        <f t="array" ref="AM83">IF($F83="","",IFERROR(INDEX('Lot Balance'!$B$5:$B$500,MATCH(1,INDEX(('Lot Balance'!$A$5:$A$500=$F83)*('Lot Balance'!$K$5:$K$500&lt;$AJ83)*('Lot Balance'!$K$5:$K$500+'Lot Balance'!$D$5:$D$500&gt;=$AJ83),0),0)),""))</f>
        <v>563963-5</v>
      </c>
      <c r="AN83" s="66" t="str">
        <f>IF($F83="","",IF($AI83&lt;&gt;"",IF(COUNTIFS('Lot Balance'!$A$5:$A$500,$F83,'Lot Balance'!$B$5:$B$500,$AI83)=0,"⚠ override is not a lot of this item",IF($AI83=$AL83,"Override = FEFO","Override - FEFO says "&amp;$AL83)),IF($AL83="","⚠ no receipt on file for this item",IF($AM83&lt;&gt;$AL83,"FEFO auto - split, also "&amp;$AM83,"FEFO auto"))))</f>
        <v>FEFO auto</v>
      </c>
      <c r="AO83" s="114"/>
    </row>
    <row r="84" spans="1:41" x14ac:dyDescent="0.35">
      <c r="A84" s="74">
        <v>46119</v>
      </c>
      <c r="B84" s="18" t="str">
        <f>IF($C84="","",IFERROR(INDEX('Staff Directory'!$A$5:$A$594,MATCH($C84,'Staff Directory'!$B$5:$B$594,0)),"⚠ unknown staff"))</f>
        <v>RN-033-A2</v>
      </c>
      <c r="C84" s="49" t="s">
        <v>954</v>
      </c>
      <c r="D84" s="19" t="str">
        <f>IF($B84="","",IFERROR(INDEX('Staff Directory'!$C$5:$C$594,MATCH($B84,'Staff Directory'!$A$5:$A$594,0)),""))</f>
        <v>RN</v>
      </c>
      <c r="E84" s="19" t="str">
        <f>IF($B84="","",IFERROR(INDEX('Staff Directory'!$D$5:$D$594,MATCH($B84,'Staff Directory'!$A$5:$A$594,0)),""))</f>
        <v>A2</v>
      </c>
      <c r="F84" s="9" t="s">
        <v>115</v>
      </c>
      <c r="G84" s="18" t="str">
        <f>IF($F84="","",IFERROR(INDEX(Items!$B$5:$B$597,MATCH($F84,Items!$A$5:$A$597,0)),"⚠ not in Items"))</f>
        <v>Wipes</v>
      </c>
      <c r="H84" s="19">
        <f>IF($F84="","",IFERROR(INDEX(Items!$C$5:$C$597,MATCH($F84,Items!$A$5:$A$597,0)),""))</f>
        <v>80</v>
      </c>
      <c r="I84" s="23">
        <f>IF($F84="","",IFERROR(INDEX(Items!$E$5:$E$597,MATCH($F84,Items!$A$5:$A$597,0)),""))</f>
        <v>80</v>
      </c>
      <c r="J84" s="115">
        <f>IF(tblIssues[[#This Row],[Qty Override]]&lt;&gt;"",tblIssues[[#This Row],[Qty Override]],IF(tblIssues[[#This Row],[Standard Issue]]="","",tblIssues[[#This Row],[Standard Issue]]))</f>
        <v>80</v>
      </c>
      <c r="K84" s="20">
        <f>IF($F84="","",IFERROR(INDEX(Items!$D$5:$D$597,MATCH($F84,Items!$A$5:$A$597,0)),""))</f>
        <v>0.1</v>
      </c>
      <c r="L84" s="21">
        <f t="shared" si="14"/>
        <v>8</v>
      </c>
      <c r="M84" s="9" t="str">
        <f t="shared" si="15"/>
        <v>LYSL500290</v>
      </c>
      <c r="N84" s="24">
        <f>IF($A84="","",WORKDAY($A84,Settings!$C$9,HolidayDates))</f>
        <v>46127</v>
      </c>
      <c r="O84" s="24">
        <f>IF($N84="","",WORKDAY($N84,Settings!$C$10,HolidayDates))</f>
        <v>46167</v>
      </c>
      <c r="P84" s="10" t="s">
        <v>502</v>
      </c>
      <c r="Q84" s="52" t="str">
        <f t="shared" si="21"/>
        <v>Collected</v>
      </c>
      <c r="R84" s="55" t="str">
        <f t="shared" si="22"/>
        <v>2026-04</v>
      </c>
      <c r="S84" s="55">
        <f>IF(OR($B84="",$F84="",$R84=""),"",SUMIFS(tblIssues[Qty Issued],tblIssues[Staff ID],$B84,tblIssues[Item Name],$F84,tblIssues[Month],$R84))</f>
        <v>80</v>
      </c>
      <c r="T84" s="56">
        <f>IF($I84="","",$I84*Settings!$C$11)</f>
        <v>80</v>
      </c>
      <c r="U84" s="57" t="str">
        <f t="shared" si="17"/>
        <v>OK</v>
      </c>
      <c r="V84" s="55" t="str">
        <f t="shared" si="23"/>
        <v/>
      </c>
      <c r="W84" s="55" t="str">
        <f>IF($V84="","",IF(COUNTIF($V$5:$V84,$V84)=1,1,""))</f>
        <v/>
      </c>
      <c r="X84" s="58" t="str">
        <f>IF($W84="","",MAX($X$4:X83)+1)</f>
        <v/>
      </c>
      <c r="Y84" s="62"/>
      <c r="Z84" s="62"/>
      <c r="AA84" s="64" t="str">
        <f>IF($C84="","",IFERROR(INDEX('Staff Directory'!$E$5:$E$594,MATCH($C84,'Staff Directory'!$B$5:$B$594,0)),""))</f>
        <v>firstname038.lastname038@example.com</v>
      </c>
      <c r="AB84" s="64" t="str">
        <f>IF($C84="","",IF(ISNUMBER(SEARCH($D84,Settings!$C$15)),"Pickup","Dispatch"))</f>
        <v>Dispatch</v>
      </c>
      <c r="AC84" s="64" t="str">
        <f t="shared" si="24"/>
        <v>Supply order dispatched</v>
      </c>
      <c r="AD84" s="64" t="str">
        <f t="shared" si="12"/>
        <v>Dear RN,
Your order has been dispatched and is in transit. Reply if undelivered.</v>
      </c>
      <c r="AE84" s="64" t="str">
        <f t="shared" si="13"/>
        <v>mailto:firstname038.lastname038@example.com?subject=Supply%20order%20dispatched&amp;body=Dear%20RN%2C%0A%0AYour%20order%20has%20been%20dispatched%20and%20is%20in%20transit.%20Reply%20if%20undelivered.</v>
      </c>
      <c r="AF84" s="89" t="str">
        <f t="shared" si="25"/>
        <v>Draft email</v>
      </c>
      <c r="AG84" s="64" t="str">
        <f>IF($C84="","",IFERROR(INDEX('Staff Directory'!$K$595:$K$599,MATCH($C84,'Staff Directory'!$B$5:$B$599,0)),$D84))</f>
        <v>RN</v>
      </c>
      <c r="AH84" t="str">
        <f>IF($C84="","",IFERROR(INDEX('Staff Directory'!$I$595:$I$599,MATCH($C84,'Staff Directory'!$B$5:$B$599,0))&amp;" "&amp;INDEX('Staff Directory'!$J$595:$J$599,MATCH($C84,'Staff Directory'!$B$5:$B$599,0)),$AG84))</f>
        <v>RN</v>
      </c>
      <c r="AI84" s="102"/>
      <c r="AJ84" s="101">
        <f>IF($F84="","",SUMIFS($J$5:$J84,$F$5:$F84,$F84))</f>
        <v>1600</v>
      </c>
      <c r="AK84" s="101">
        <f t="shared" si="3"/>
        <v>1521</v>
      </c>
      <c r="AL84" s="66" t="str" cm="1">
        <f t="array" ref="AL84">IF($F84="","",IFERROR(INDEX('Lot Balance'!$B$5:$B$500,MATCH(1,INDEX(('Lot Balance'!$A$5:$A$500=$F84)*('Lot Balance'!$K$5:$K$500&lt;$AK84)*('Lot Balance'!$K$5:$K$500+'Lot Balance'!$D$5:$D$500&gt;=$AK84),0),0)),""))</f>
        <v>LYSL500290</v>
      </c>
      <c r="AM84" s="66" t="str" cm="1">
        <f t="array" ref="AM84">IF($F84="","",IFERROR(INDEX('Lot Balance'!$B$5:$B$500,MATCH(1,INDEX(('Lot Balance'!$A$5:$A$500=$F84)*('Lot Balance'!$K$5:$K$500&lt;$AJ84)*('Lot Balance'!$K$5:$K$500+'Lot Balance'!$D$5:$D$500&gt;=$AJ84),0),0)),""))</f>
        <v>LYSL500290</v>
      </c>
      <c r="AN84" s="66" t="str">
        <f>IF($F84="","",IF($AI84&lt;&gt;"",IF(COUNTIFS('Lot Balance'!$A$5:$A$500,$F84,'Lot Balance'!$B$5:$B$500,$AI84)=0,"⚠ override is not a lot of this item",IF($AI84=$AL84,"Override = FEFO","Override - FEFO says "&amp;$AL84)),IF($AL84="","⚠ no receipt on file for this item",IF($AM84&lt;&gt;$AL84,"FEFO auto - split, also "&amp;$AM84,"FEFO auto"))))</f>
        <v>FEFO auto</v>
      </c>
      <c r="AO84" s="114"/>
    </row>
    <row r="85" spans="1:41" x14ac:dyDescent="0.35">
      <c r="A85" s="74">
        <v>46119</v>
      </c>
      <c r="B85" s="18" t="str">
        <f>IF($C85="","",IFERROR(INDEX('Staff Directory'!$A$5:$A$594,MATCH($C85,'Staff Directory'!$B$5:$B$594,0)),"⚠ unknown staff"))</f>
        <v>RN-033-A2</v>
      </c>
      <c r="C85" s="49" t="s">
        <v>954</v>
      </c>
      <c r="D85" s="19" t="str">
        <f>IF($B85="","",IFERROR(INDEX('Staff Directory'!$C$5:$C$594,MATCH($B85,'Staff Directory'!$A$5:$A$594,0)),""))</f>
        <v>RN</v>
      </c>
      <c r="E85" s="19" t="str">
        <f>IF($B85="","",IFERROR(INDEX('Staff Directory'!$D$5:$D$594,MATCH($B85,'Staff Directory'!$A$5:$A$594,0)),""))</f>
        <v>A2</v>
      </c>
      <c r="F85" s="9" t="s">
        <v>156</v>
      </c>
      <c r="G85" s="18" t="str">
        <f>IF($F85="","",IFERROR(INDEX(Items!$B$5:$B$597,MATCH($F85,Items!$A$5:$A$597,0)),"⚠ not in Items"))</f>
        <v>Masks</v>
      </c>
      <c r="H85" s="19" t="str">
        <f>IF($F85="","",IFERROR(INDEX(Items!$C$5:$C$597,MATCH($F85,Items!$A$5:$A$597,0)),""))</f>
        <v>One Size</v>
      </c>
      <c r="I85" s="23">
        <f>IF($F85="","",IFERROR(INDEX(Items!$E$5:$E$597,MATCH($F85,Items!$A$5:$A$597,0)),""))</f>
        <v>50</v>
      </c>
      <c r="J85" s="115">
        <f>IF(tblIssues[[#This Row],[Qty Override]]&lt;&gt;"",tblIssues[[#This Row],[Qty Override]],IF(tblIssues[[#This Row],[Standard Issue]]="","",tblIssues[[#This Row],[Standard Issue]]))</f>
        <v>50</v>
      </c>
      <c r="K85" s="20">
        <f>IF($F85="","",IFERROR(INDEX(Items!$D$5:$D$597,MATCH($F85,Items!$A$5:$A$597,0)),""))</f>
        <v>0.25</v>
      </c>
      <c r="L85" s="21">
        <f t="shared" si="14"/>
        <v>12.5</v>
      </c>
      <c r="M85" s="9" t="str">
        <f t="shared" si="15"/>
        <v>0125FPC24-0</v>
      </c>
      <c r="N85" s="24">
        <f>IF($A85="","",WORKDAY($A85,Settings!$C$9,HolidayDates))</f>
        <v>46127</v>
      </c>
      <c r="O85" s="24">
        <f>IF($N85="","",WORKDAY($N85,Settings!$C$10,HolidayDates))</f>
        <v>46167</v>
      </c>
      <c r="P85" s="10" t="s">
        <v>502</v>
      </c>
      <c r="Q85" s="52" t="str">
        <f t="shared" si="21"/>
        <v>Collected</v>
      </c>
      <c r="R85" s="55" t="str">
        <f t="shared" si="22"/>
        <v>2026-04</v>
      </c>
      <c r="S85" s="55">
        <f>IF(OR($B85="",$F85="",$R85=""),"",SUMIFS(tblIssues[Qty Issued],tblIssues[Staff ID],$B85,tblIssues[Item Name],$F85,tblIssues[Month],$R85))</f>
        <v>50</v>
      </c>
      <c r="T85" s="56">
        <f>IF($I85="","",$I85*Settings!$C$11)</f>
        <v>50</v>
      </c>
      <c r="U85" s="57" t="str">
        <f t="shared" si="17"/>
        <v>OK</v>
      </c>
      <c r="V85" s="55" t="str">
        <f t="shared" si="23"/>
        <v/>
      </c>
      <c r="W85" s="55" t="str">
        <f>IF($V85="","",IF(COUNTIF($V$5:$V85,$V85)=1,1,""))</f>
        <v/>
      </c>
      <c r="X85" s="58" t="str">
        <f>IF($W85="","",MAX($X$4:X84)+1)</f>
        <v/>
      </c>
      <c r="Y85" s="62"/>
      <c r="Z85" s="62"/>
      <c r="AA85" s="64" t="str">
        <f>IF($C85="","",IFERROR(INDEX('Staff Directory'!$E$5:$E$594,MATCH($C85,'Staff Directory'!$B$5:$B$594,0)),""))</f>
        <v>firstname038.lastname038@example.com</v>
      </c>
      <c r="AB85" s="64" t="str">
        <f>IF($C85="","",IF(ISNUMBER(SEARCH($D85,Settings!$C$15)),"Pickup","Dispatch"))</f>
        <v>Dispatch</v>
      </c>
      <c r="AC85" s="64" t="str">
        <f t="shared" si="24"/>
        <v>Supply order dispatched</v>
      </c>
      <c r="AD85" s="64" t="str">
        <f t="shared" si="12"/>
        <v>Dear RN,
Your order has been dispatched and is in transit. Reply if undelivered.</v>
      </c>
      <c r="AE85" s="64" t="str">
        <f t="shared" si="13"/>
        <v>mailto:firstname038.lastname038@example.com?subject=Supply%20order%20dispatched&amp;body=Dear%20RN%2C%0A%0AYour%20order%20has%20been%20dispatched%20and%20is%20in%20transit.%20Reply%20if%20undelivered.</v>
      </c>
      <c r="AF85" s="89" t="str">
        <f t="shared" si="25"/>
        <v>Draft email</v>
      </c>
      <c r="AG85" s="64" t="str">
        <f>IF($C85="","",IFERROR(INDEX('Staff Directory'!$K$595:$K$599,MATCH($C85,'Staff Directory'!$B$5:$B$599,0)),$D85))</f>
        <v>RN</v>
      </c>
      <c r="AH85" t="str">
        <f>IF($C85="","",IFERROR(INDEX('Staff Directory'!$I$595:$I$599,MATCH($C85,'Staff Directory'!$B$5:$B$599,0))&amp;" "&amp;INDEX('Staff Directory'!$J$595:$J$599,MATCH($C85,'Staff Directory'!$B$5:$B$599,0)),$AG85))</f>
        <v>RN</v>
      </c>
      <c r="AI85" s="102"/>
      <c r="AJ85" s="101">
        <f>IF($F85="","",SUMIFS($J$5:$J85,$F$5:$F85,$F85))</f>
        <v>700</v>
      </c>
      <c r="AK85" s="101">
        <f t="shared" si="3"/>
        <v>651</v>
      </c>
      <c r="AL85" s="66" t="str" cm="1">
        <f t="array" ref="AL85">IF($F85="","",IFERROR(INDEX('Lot Balance'!$B$5:$B$500,MATCH(1,INDEX(('Lot Balance'!$A$5:$A$500=$F85)*('Lot Balance'!$K$5:$K$500&lt;$AK85)*('Lot Balance'!$K$5:$K$500+'Lot Balance'!$D$5:$D$500&gt;=$AK85),0),0)),""))</f>
        <v>0125FPC24-0</v>
      </c>
      <c r="AM85" s="66" t="str" cm="1">
        <f t="array" ref="AM85">IF($F85="","",IFERROR(INDEX('Lot Balance'!$B$5:$B$500,MATCH(1,INDEX(('Lot Balance'!$A$5:$A$500=$F85)*('Lot Balance'!$K$5:$K$500&lt;$AJ85)*('Lot Balance'!$K$5:$K$500+'Lot Balance'!$D$5:$D$500&gt;=$AJ85),0),0)),""))</f>
        <v>0125FPC24-0</v>
      </c>
      <c r="AN85" s="66" t="str">
        <f>IF($F85="","",IF($AI85&lt;&gt;"",IF(COUNTIFS('Lot Balance'!$A$5:$A$500,$F85,'Lot Balance'!$B$5:$B$500,$AI85)=0,"⚠ override is not a lot of this item",IF($AI85=$AL85,"Override = FEFO","Override - FEFO says "&amp;$AL85)),IF($AL85="","⚠ no receipt on file for this item",IF($AM85&lt;&gt;$AL85,"FEFO auto - split, also "&amp;$AM85,"FEFO auto"))))</f>
        <v>FEFO auto</v>
      </c>
      <c r="AO85" s="114"/>
    </row>
    <row r="86" spans="1:41" x14ac:dyDescent="0.35">
      <c r="A86" s="74">
        <v>46119</v>
      </c>
      <c r="B86" s="18" t="str">
        <f>IF($C86="","",IFERROR(INDEX('Staff Directory'!$A$5:$A$594,MATCH($C86,'Staff Directory'!$B$5:$B$594,0)),"⚠ unknown staff"))</f>
        <v>RN-033-A2</v>
      </c>
      <c r="C86" s="49" t="s">
        <v>954</v>
      </c>
      <c r="D86" s="19" t="str">
        <f>IF($B86="","",IFERROR(INDEX('Staff Directory'!$C$5:$C$594,MATCH($B86,'Staff Directory'!$A$5:$A$594,0)),""))</f>
        <v>RN</v>
      </c>
      <c r="E86" s="19" t="str">
        <f>IF($B86="","",IFERROR(INDEX('Staff Directory'!$D$5:$D$594,MATCH($B86,'Staff Directory'!$A$5:$A$594,0)),""))</f>
        <v>A2</v>
      </c>
      <c r="F86" s="9" t="s">
        <v>164</v>
      </c>
      <c r="G86" s="18" t="str">
        <f>IF($F86="","",IFERROR(INDEX(Items!$B$5:$B$597,MATCH($F86,Items!$A$5:$A$597,0)),"⚠ not in Items"))</f>
        <v>ID Document</v>
      </c>
      <c r="H86" s="19" t="str">
        <f>IF($F86="","",IFERROR(INDEX(Items!$C$5:$C$597,MATCH($F86,Items!$A$5:$A$597,0)),""))</f>
        <v>Standard</v>
      </c>
      <c r="I86" s="23">
        <f>IF($F86="","",IFERROR(INDEX(Items!$E$5:$E$597,MATCH($F86,Items!$A$5:$A$597,0)),""))</f>
        <v>1</v>
      </c>
      <c r="J86" s="115">
        <f>IF(tblIssues[[#This Row],[Qty Override]]&lt;&gt;"",tblIssues[[#This Row],[Qty Override]],IF(tblIssues[[#This Row],[Standard Issue]]="","",tblIssues[[#This Row],[Standard Issue]]))</f>
        <v>1</v>
      </c>
      <c r="K86" s="20">
        <f>IF($F86="","",IFERROR(INDEX(Items!$D$5:$D$597,MATCH($F86,Items!$A$5:$A$597,0)),""))</f>
        <v>0</v>
      </c>
      <c r="L86" s="21">
        <f t="shared" si="14"/>
        <v>0</v>
      </c>
      <c r="M86" s="9" t="str">
        <f t="shared" si="15"/>
        <v/>
      </c>
      <c r="N86" s="24">
        <f>IF($A86="","",WORKDAY($A86,Settings!$C$9,HolidayDates))</f>
        <v>46127</v>
      </c>
      <c r="O86" s="24">
        <f>IF($N86="","",WORKDAY($N86,Settings!$C$10,HolidayDates))</f>
        <v>46167</v>
      </c>
      <c r="P86" s="10" t="s">
        <v>502</v>
      </c>
      <c r="Q86" s="52" t="str">
        <f t="shared" si="21"/>
        <v>Collected</v>
      </c>
      <c r="R86" s="55" t="str">
        <f t="shared" si="22"/>
        <v>2026-04</v>
      </c>
      <c r="S86" s="55">
        <f>IF(OR($B86="",$F86="",$R86=""),"",SUMIFS(tblIssues[Qty Issued],tblIssues[Staff ID],$B86,tblIssues[Item Name],$F86,tblIssues[Month],$R86))</f>
        <v>1</v>
      </c>
      <c r="T86" s="56">
        <f>IF($I86="","",$I86*Settings!$C$11)</f>
        <v>1</v>
      </c>
      <c r="U86" s="57" t="str">
        <f t="shared" si="17"/>
        <v>OK</v>
      </c>
      <c r="V86" s="55" t="str">
        <f t="shared" si="23"/>
        <v/>
      </c>
      <c r="W86" s="55" t="str">
        <f>IF($V86="","",IF(COUNTIF($V$5:$V86,$V86)=1,1,""))</f>
        <v/>
      </c>
      <c r="X86" s="58" t="str">
        <f>IF($W86="","",MAX($X$4:X85)+1)</f>
        <v/>
      </c>
      <c r="Y86" s="62"/>
      <c r="Z86" s="62"/>
      <c r="AA86" s="64" t="str">
        <f>IF($C86="","",IFERROR(INDEX('Staff Directory'!$E$5:$E$594,MATCH($C86,'Staff Directory'!$B$5:$B$594,0)),""))</f>
        <v>firstname038.lastname038@example.com</v>
      </c>
      <c r="AB86" s="64" t="str">
        <f>IF($C86="","",IF(ISNUMBER(SEARCH($D86,Settings!$C$15)),"Pickup","Dispatch"))</f>
        <v>Dispatch</v>
      </c>
      <c r="AC86" s="64" t="str">
        <f t="shared" si="24"/>
        <v>Supply order dispatched</v>
      </c>
      <c r="AD86" s="64" t="str">
        <f t="shared" si="12"/>
        <v>Dear RN,
Your order has been dispatched and is in transit. Reply if undelivered.</v>
      </c>
      <c r="AE86" s="64" t="str">
        <f t="shared" si="13"/>
        <v>mailto:firstname038.lastname038@example.com?subject=Supply%20order%20dispatched&amp;body=Dear%20RN%2C%0A%0AYour%20order%20has%20been%20dispatched%20and%20is%20in%20transit.%20Reply%20if%20undelivered.</v>
      </c>
      <c r="AF86" s="89" t="str">
        <f t="shared" si="25"/>
        <v>Draft email</v>
      </c>
      <c r="AG86" s="64" t="str">
        <f>IF($C86="","",IFERROR(INDEX('Staff Directory'!$K$595:$K$599,MATCH($C86,'Staff Directory'!$B$5:$B$599,0)),$D86))</f>
        <v>RN</v>
      </c>
      <c r="AH86" t="str">
        <f>IF($C86="","",IFERROR(INDEX('Staff Directory'!$I$595:$I$599,MATCH($C86,'Staff Directory'!$B$5:$B$599,0))&amp;" "&amp;INDEX('Staff Directory'!$J$595:$J$599,MATCH($C86,'Staff Directory'!$B$5:$B$599,0)),$AG86))</f>
        <v>RN</v>
      </c>
      <c r="AI86" s="102"/>
      <c r="AJ86" s="101">
        <f>IF($F86="","",SUMIFS($J$5:$J86,$F$5:$F86,$F86))</f>
        <v>1</v>
      </c>
      <c r="AK86" s="101">
        <f t="shared" si="3"/>
        <v>1</v>
      </c>
      <c r="AL86" s="66" t="str" cm="1">
        <f t="array" ref="AL86">IF($F86="","",IFERROR(INDEX('Lot Balance'!$B$5:$B$500,MATCH(1,INDEX(('Lot Balance'!$A$5:$A$500=$F86)*('Lot Balance'!$K$5:$K$500&lt;$AK86)*('Lot Balance'!$K$5:$K$500+'Lot Balance'!$D$5:$D$500&gt;=$AK86),0),0)),""))</f>
        <v/>
      </c>
      <c r="AM86" s="66" t="str" cm="1">
        <f t="array" ref="AM86">IF($F86="","",IFERROR(INDEX('Lot Balance'!$B$5:$B$500,MATCH(1,INDEX(('Lot Balance'!$A$5:$A$500=$F86)*('Lot Balance'!$K$5:$K$500&lt;$AJ86)*('Lot Balance'!$K$5:$K$500+'Lot Balance'!$D$5:$D$500&gt;=$AJ86),0),0)),""))</f>
        <v/>
      </c>
      <c r="AN86" s="66" t="str">
        <f>IF($F86="","",IF($AI86&lt;&gt;"",IF(COUNTIFS('Lot Balance'!$A$5:$A$500,$F86,'Lot Balance'!$B$5:$B$500,$AI86)=0,"⚠ override is not a lot of this item",IF($AI86=$AL86,"Override = FEFO","Override - FEFO says "&amp;$AL86)),IF($AL86="","⚠ no receipt on file for this item",IF($AM86&lt;&gt;$AL86,"FEFO auto - split, also "&amp;$AM86,"FEFO auto"))))</f>
        <v>⚠ no receipt on file for this item</v>
      </c>
      <c r="AO86" s="114"/>
    </row>
    <row r="87" spans="1:41" x14ac:dyDescent="0.35">
      <c r="A87" s="74">
        <v>46119</v>
      </c>
      <c r="B87" s="18" t="str">
        <f>IF($C87="","",IFERROR(INDEX('Staff Directory'!$A$5:$A$594,MATCH($C87,'Staff Directory'!$B$5:$B$594,0)),"⚠ unknown staff"))</f>
        <v>RN-033-A2</v>
      </c>
      <c r="C87" s="49" t="s">
        <v>954</v>
      </c>
      <c r="D87" s="19" t="str">
        <f>IF($B87="","",IFERROR(INDEX('Staff Directory'!$C$5:$C$594,MATCH($B87,'Staff Directory'!$A$5:$A$594,0)),""))</f>
        <v>RN</v>
      </c>
      <c r="E87" s="19" t="str">
        <f>IF($B87="","",IFERROR(INDEX('Staff Directory'!$D$5:$D$594,MATCH($B87,'Staff Directory'!$A$5:$A$594,0)),""))</f>
        <v>A2</v>
      </c>
      <c r="F87" s="9" t="s">
        <v>757</v>
      </c>
      <c r="G87" s="18" t="str">
        <f>IF($F87="","",IFERROR(INDEX(Items!$B$5:$B$597,MATCH($F87,Items!$A$5:$A$597,0)),"⚠ not in Items"))</f>
        <v>Documents</v>
      </c>
      <c r="H87" s="19" t="str">
        <f>IF($F87="","",IFERROR(INDEX(Items!$C$5:$C$597,MATCH($F87,Items!$A$5:$A$597,0)),""))</f>
        <v>Standard</v>
      </c>
      <c r="I87" s="23">
        <f>IF($F87="","",IFERROR(INDEX(Items!$E$5:$E$597,MATCH($F87,Items!$A$5:$A$597,0)),""))</f>
        <v>10</v>
      </c>
      <c r="J87" s="115">
        <f>IF(tblIssues[[#This Row],[Qty Override]]&lt;&gt;"",tblIssues[[#This Row],[Qty Override]],IF(tblIssues[[#This Row],[Standard Issue]]="","",tblIssues[[#This Row],[Standard Issue]]))</f>
        <v>10</v>
      </c>
      <c r="K87" s="20">
        <f>IF($F87="","",IFERROR(INDEX(Items!$D$5:$D$597,MATCH($F87,Items!$A$5:$A$597,0)),""))</f>
        <v>0</v>
      </c>
      <c r="L87" s="21">
        <f t="shared" si="14"/>
        <v>0</v>
      </c>
      <c r="M87" s="9" t="str">
        <f t="shared" si="15"/>
        <v/>
      </c>
      <c r="N87" s="24">
        <f>IF($A87="","",WORKDAY($A87,Settings!$C$9,HolidayDates))</f>
        <v>46127</v>
      </c>
      <c r="O87" s="24">
        <f>IF($N87="","",WORKDAY($N87,Settings!$C$10,HolidayDates))</f>
        <v>46167</v>
      </c>
      <c r="P87" s="10" t="s">
        <v>502</v>
      </c>
      <c r="Q87" s="52" t="str">
        <f t="shared" si="21"/>
        <v>Collected</v>
      </c>
      <c r="R87" s="55" t="str">
        <f t="shared" si="22"/>
        <v>2026-04</v>
      </c>
      <c r="S87" s="55">
        <f>IF(OR($B87="",$F87="",$R87=""),"",SUMIFS(tblIssues[Qty Issued],tblIssues[Staff ID],$B87,tblIssues[Item Name],$F87,tblIssues[Month],$R87))</f>
        <v>10</v>
      </c>
      <c r="T87" s="56">
        <f>IF($I87="","",$I87*Settings!$C$11)</f>
        <v>10</v>
      </c>
      <c r="U87" s="57" t="str">
        <f t="shared" si="17"/>
        <v>OK</v>
      </c>
      <c r="V87" s="55" t="str">
        <f t="shared" si="23"/>
        <v/>
      </c>
      <c r="W87" s="55" t="str">
        <f>IF($V87="","",IF(COUNTIF($V$5:$V87,$V87)=1,1,""))</f>
        <v/>
      </c>
      <c r="X87" s="58" t="str">
        <f>IF($W87="","",MAX($X$4:X86)+1)</f>
        <v/>
      </c>
      <c r="Y87" s="62"/>
      <c r="Z87" s="62"/>
      <c r="AA87" s="64" t="str">
        <f>IF($C87="","",IFERROR(INDEX('Staff Directory'!$E$5:$E$594,MATCH($C87,'Staff Directory'!$B$5:$B$594,0)),""))</f>
        <v>firstname038.lastname038@example.com</v>
      </c>
      <c r="AB87" s="64" t="str">
        <f>IF($C87="","",IF(ISNUMBER(SEARCH($D87,Settings!$C$15)),"Pickup","Dispatch"))</f>
        <v>Dispatch</v>
      </c>
      <c r="AC87" s="64" t="str">
        <f t="shared" si="24"/>
        <v>Supply order dispatched</v>
      </c>
      <c r="AD87" s="64" t="str">
        <f t="shared" si="12"/>
        <v>Dear RN,
Your order has been dispatched and is in transit. Reply if undelivered.</v>
      </c>
      <c r="AE87" s="64" t="str">
        <f t="shared" si="13"/>
        <v>mailto:firstname038.lastname038@example.com?subject=Supply%20order%20dispatched&amp;body=Dear%20RN%2C%0A%0AYour%20order%20has%20been%20dispatched%20and%20is%20in%20transit.%20Reply%20if%20undelivered.</v>
      </c>
      <c r="AF87" s="89" t="str">
        <f t="shared" si="25"/>
        <v>Draft email</v>
      </c>
      <c r="AG87" s="64" t="str">
        <f>IF($C87="","",IFERROR(INDEX('Staff Directory'!$K$595:$K$599,MATCH($C87,'Staff Directory'!$B$5:$B$599,0)),$D87))</f>
        <v>RN</v>
      </c>
      <c r="AH87" t="str">
        <f>IF($C87="","",IFERROR(INDEX('Staff Directory'!$I$595:$I$599,MATCH($C87,'Staff Directory'!$B$5:$B$599,0))&amp;" "&amp;INDEX('Staff Directory'!$J$595:$J$599,MATCH($C87,'Staff Directory'!$B$5:$B$599,0)),$AG87))</f>
        <v>RN</v>
      </c>
      <c r="AI87" s="102"/>
      <c r="AJ87" s="101">
        <f>IF($F87="","",SUMIFS($J$5:$J87,$F$5:$F87,$F87))</f>
        <v>30</v>
      </c>
      <c r="AK87" s="101">
        <f t="shared" si="3"/>
        <v>21</v>
      </c>
      <c r="AL87" s="66" t="str" cm="1">
        <f t="array" ref="AL87">IF($F87="","",IFERROR(INDEX('Lot Balance'!$B$5:$B$500,MATCH(1,INDEX(('Lot Balance'!$A$5:$A$500=$F87)*('Lot Balance'!$K$5:$K$500&lt;$AK87)*('Lot Balance'!$K$5:$K$500+'Lot Balance'!$D$5:$D$500&gt;=$AK87),0),0)),""))</f>
        <v/>
      </c>
      <c r="AM87" s="66" t="str" cm="1">
        <f t="array" ref="AM87">IF($F87="","",IFERROR(INDEX('Lot Balance'!$B$5:$B$500,MATCH(1,INDEX(('Lot Balance'!$A$5:$A$500=$F87)*('Lot Balance'!$K$5:$K$500&lt;$AJ87)*('Lot Balance'!$K$5:$K$500+'Lot Balance'!$D$5:$D$500&gt;=$AJ87),0),0)),""))</f>
        <v/>
      </c>
      <c r="AN87" s="66" t="str">
        <f>IF($F87="","",IF($AI87&lt;&gt;"",IF(COUNTIFS('Lot Balance'!$A$5:$A$500,$F87,'Lot Balance'!$B$5:$B$500,$AI87)=0,"⚠ override is not a lot of this item",IF($AI87=$AL87,"Override = FEFO","Override - FEFO says "&amp;$AL87)),IF($AL87="","⚠ no receipt on file for this item",IF($AM87&lt;&gt;$AL87,"FEFO auto - split, also "&amp;$AM87,"FEFO auto"))))</f>
        <v>⚠ no receipt on file for this item</v>
      </c>
      <c r="AO87" s="114"/>
    </row>
    <row r="88" spans="1:41" x14ac:dyDescent="0.35">
      <c r="A88" s="74">
        <v>46119</v>
      </c>
      <c r="B88" s="18" t="str">
        <f>IF($C88="","",IFERROR(INDEX('Staff Directory'!$A$5:$A$594,MATCH($C88,'Staff Directory'!$B$5:$B$594,0)),"⚠ unknown staff"))</f>
        <v>RN-010-A2</v>
      </c>
      <c r="C88" s="49" t="s">
        <v>926</v>
      </c>
      <c r="D88" s="19" t="str">
        <f>IF($B88="","",IFERROR(INDEX('Staff Directory'!$C$5:$C$594,MATCH($B88,'Staff Directory'!$A$5:$A$594,0)),""))</f>
        <v>RN</v>
      </c>
      <c r="E88" s="19" t="str">
        <f>IF($B88="","",IFERROR(INDEX('Staff Directory'!$D$5:$D$594,MATCH($B88,'Staff Directory'!$A$5:$A$594,0)),""))</f>
        <v>A2</v>
      </c>
      <c r="F88" s="9" t="s">
        <v>757</v>
      </c>
      <c r="G88" s="18" t="str">
        <f>IF($F88="","",IFERROR(INDEX(Items!$B$5:$B$597,MATCH($F88,Items!$A$5:$A$597,0)),"⚠ not in Items"))</f>
        <v>Documents</v>
      </c>
      <c r="H88" s="19" t="str">
        <f>IF($F88="","",IFERROR(INDEX(Items!$C$5:$C$597,MATCH($F88,Items!$A$5:$A$597,0)),""))</f>
        <v>Standard</v>
      </c>
      <c r="I88" s="23">
        <f>IF($F88="","",IFERROR(INDEX(Items!$E$5:$E$597,MATCH($F88,Items!$A$5:$A$597,0)),""))</f>
        <v>10</v>
      </c>
      <c r="J88" s="115">
        <f>IF(tblIssues[[#This Row],[Qty Override]]&lt;&gt;"",tblIssues[[#This Row],[Qty Override]],IF(tblIssues[[#This Row],[Standard Issue]]="","",tblIssues[[#This Row],[Standard Issue]]))</f>
        <v>10</v>
      </c>
      <c r="K88" s="20">
        <f>IF($F88="","",IFERROR(INDEX(Items!$D$5:$D$597,MATCH($F88,Items!$A$5:$A$597,0)),""))</f>
        <v>0</v>
      </c>
      <c r="L88" s="21">
        <f t="shared" si="14"/>
        <v>0</v>
      </c>
      <c r="M88" s="9" t="str">
        <f t="shared" si="15"/>
        <v/>
      </c>
      <c r="N88" s="24">
        <f>IF($A88="","",WORKDAY($A88,Settings!$C$9,HolidayDates))</f>
        <v>46127</v>
      </c>
      <c r="O88" s="24">
        <f>IF($N88="","",WORKDAY($N88,Settings!$C$10,HolidayDates))</f>
        <v>46167</v>
      </c>
      <c r="P88" s="10" t="s">
        <v>502</v>
      </c>
      <c r="Q88" s="52" t="str">
        <f t="shared" si="21"/>
        <v>Collected</v>
      </c>
      <c r="R88" s="55" t="str">
        <f t="shared" si="22"/>
        <v>2026-04</v>
      </c>
      <c r="S88" s="55">
        <f>IF(OR($B88="",$F88="",$R88=""),"",SUMIFS(tblIssues[Qty Issued],tblIssues[Staff ID],$B88,tblIssues[Item Name],$F88,tblIssues[Month],$R88))</f>
        <v>10</v>
      </c>
      <c r="T88" s="56">
        <f>IF($I88="","",$I88*Settings!$C$11)</f>
        <v>10</v>
      </c>
      <c r="U88" s="57" t="str">
        <f t="shared" si="17"/>
        <v>OK</v>
      </c>
      <c r="V88" s="55" t="str">
        <f t="shared" si="23"/>
        <v/>
      </c>
      <c r="W88" s="55" t="str">
        <f>IF($V88="","",IF(COUNTIF($V$5:$V88,$V88)=1,1,""))</f>
        <v/>
      </c>
      <c r="X88" s="58" t="str">
        <f>IF($W88="","",MAX($X$4:X87)+1)</f>
        <v/>
      </c>
      <c r="Y88" s="62"/>
      <c r="Z88" s="62"/>
      <c r="AA88" s="64" t="str">
        <f>IF($C88="","",IFERROR(INDEX('Staff Directory'!$E$5:$E$594,MATCH($C88,'Staff Directory'!$B$5:$B$594,0)),""))</f>
        <v>firstname010.lastname010@example.com</v>
      </c>
      <c r="AB88" s="64" t="str">
        <f>IF($C88="","",IF(ISNUMBER(SEARCH($D88,Settings!$C$15)),"Pickup","Dispatch"))</f>
        <v>Dispatch</v>
      </c>
      <c r="AC88" s="64" t="str">
        <f t="shared" si="24"/>
        <v>Supply order dispatched</v>
      </c>
      <c r="AD88" s="64" t="str">
        <f t="shared" si="12"/>
        <v>Dear RN,
Your order has been dispatched and is in transit. Reply if undelivered.</v>
      </c>
      <c r="AE88" s="64" t="str">
        <f t="shared" si="13"/>
        <v>mailto:firstname010.lastname010@example.com?subject=Supply%20order%20dispatched&amp;body=Dear%20RN%2C%0A%0AYour%20order%20has%20been%20dispatched%20and%20is%20in%20transit.%20Reply%20if%20undelivered.</v>
      </c>
      <c r="AF88" s="89" t="str">
        <f t="shared" si="25"/>
        <v>Draft email</v>
      </c>
      <c r="AG88" s="64" t="str">
        <f>IF($C88="","",IFERROR(INDEX('Staff Directory'!$K$595:$K$599,MATCH($C88,'Staff Directory'!$B$5:$B$599,0)),$D88))</f>
        <v>RN</v>
      </c>
      <c r="AH88" t="str">
        <f>IF($C88="","",IFERROR(INDEX('Staff Directory'!$I$595:$I$599,MATCH($C88,'Staff Directory'!$B$5:$B$599,0))&amp;" "&amp;INDEX('Staff Directory'!$J$595:$J$599,MATCH($C88,'Staff Directory'!$B$5:$B$599,0)),$AG88))</f>
        <v>RN</v>
      </c>
      <c r="AI88" s="102"/>
      <c r="AJ88" s="101">
        <f>IF($F88="","",SUMIFS($J$5:$J88,$F$5:$F88,$F88))</f>
        <v>40</v>
      </c>
      <c r="AK88" s="101">
        <f t="shared" si="3"/>
        <v>31</v>
      </c>
      <c r="AL88" s="66" t="str" cm="1">
        <f t="array" ref="AL88">IF($F88="","",IFERROR(INDEX('Lot Balance'!$B$5:$B$500,MATCH(1,INDEX(('Lot Balance'!$A$5:$A$500=$F88)*('Lot Balance'!$K$5:$K$500&lt;$AK88)*('Lot Balance'!$K$5:$K$500+'Lot Balance'!$D$5:$D$500&gt;=$AK88),0),0)),""))</f>
        <v/>
      </c>
      <c r="AM88" s="66" t="str" cm="1">
        <f t="array" ref="AM88">IF($F88="","",IFERROR(INDEX('Lot Balance'!$B$5:$B$500,MATCH(1,INDEX(('Lot Balance'!$A$5:$A$500=$F88)*('Lot Balance'!$K$5:$K$500&lt;$AJ88)*('Lot Balance'!$K$5:$K$500+'Lot Balance'!$D$5:$D$500&gt;=$AJ88),0),0)),""))</f>
        <v/>
      </c>
      <c r="AN88" s="66" t="str">
        <f>IF($F88="","",IF($AI88&lt;&gt;"",IF(COUNTIFS('Lot Balance'!$A$5:$A$500,$F88,'Lot Balance'!$B$5:$B$500,$AI88)=0,"⚠ override is not a lot of this item",IF($AI88=$AL88,"Override = FEFO","Override - FEFO says "&amp;$AL88)),IF($AL88="","⚠ no receipt on file for this item",IF($AM88&lt;&gt;$AL88,"FEFO auto - split, also "&amp;$AM88,"FEFO auto"))))</f>
        <v>⚠ no receipt on file for this item</v>
      </c>
      <c r="AO88" s="114"/>
    </row>
    <row r="89" spans="1:41" x14ac:dyDescent="0.35">
      <c r="A89" s="74">
        <v>46119</v>
      </c>
      <c r="B89" s="18" t="str">
        <f>IF($C89="","",IFERROR(INDEX('Staff Directory'!$A$5:$A$594,MATCH($C89,'Staff Directory'!$B$5:$B$594,0)),"⚠ unknown staff"))</f>
        <v>PSW-149-A5</v>
      </c>
      <c r="C89" s="49" t="s">
        <v>1128</v>
      </c>
      <c r="D89" s="19" t="str">
        <f>IF($B89="","",IFERROR(INDEX('Staff Directory'!$C$5:$C$594,MATCH($B89,'Staff Directory'!$A$5:$A$594,0)),""))</f>
        <v>PSW</v>
      </c>
      <c r="E89" s="19" t="str">
        <f>IF($B89="","",IFERROR(INDEX('Staff Directory'!$D$5:$D$594,MATCH($B89,'Staff Directory'!$A$5:$A$594,0)),""))</f>
        <v>A5</v>
      </c>
      <c r="F89" s="9" t="s">
        <v>129</v>
      </c>
      <c r="G89" s="18" t="str">
        <f>IF($F89="","",IFERROR(INDEX(Items!$B$5:$B$597,MATCH($F89,Items!$A$5:$A$597,0)),"⚠ not in Items"))</f>
        <v>Gloves</v>
      </c>
      <c r="H89" s="19" t="str">
        <f>IF($F89="","",IFERROR(INDEX(Items!$C$5:$C$597,MATCH($F89,Items!$A$5:$A$597,0)),""))</f>
        <v>Small</v>
      </c>
      <c r="I89" s="23">
        <f>IF($F89="","",IFERROR(INDEX(Items!$E$5:$E$597,MATCH($F89,Items!$A$5:$A$597,0)),""))</f>
        <v>500</v>
      </c>
      <c r="J89" s="115">
        <f>IF(tblIssues[[#This Row],[Qty Override]]&lt;&gt;"",tblIssues[[#This Row],[Qty Override]],IF(tblIssues[[#This Row],[Standard Issue]]="","",tblIssues[[#This Row],[Standard Issue]]))</f>
        <v>500</v>
      </c>
      <c r="K89" s="20">
        <f>IF($F89="","",IFERROR(INDEX(Items!$D$5:$D$597,MATCH($F89,Items!$A$5:$A$597,0)),""))</f>
        <v>5.5E-2</v>
      </c>
      <c r="L89" s="21">
        <f t="shared" si="14"/>
        <v>27.5</v>
      </c>
      <c r="M89" s="9" t="str">
        <f t="shared" si="15"/>
        <v>ZIM504124207-4</v>
      </c>
      <c r="N89" s="24">
        <f>IF($A89="","",WORKDAY($A89,Settings!$C$9,HolidayDates))</f>
        <v>46127</v>
      </c>
      <c r="O89" s="24">
        <f>IF($N89="","",WORKDAY($N89,Settings!$C$10,HolidayDates))</f>
        <v>46167</v>
      </c>
      <c r="P89" s="10" t="s">
        <v>501</v>
      </c>
      <c r="Q89" s="52" t="str">
        <f t="shared" si="21"/>
        <v>Collected</v>
      </c>
      <c r="R89" s="55" t="str">
        <f t="shared" si="22"/>
        <v>2026-04</v>
      </c>
      <c r="S89" s="55">
        <f>IF(OR($B89="",$F89="",$R89=""),"",SUMIFS(tblIssues[Qty Issued],tblIssues[Staff ID],$B89,tblIssues[Item Name],$F89,tblIssues[Month],$R89))</f>
        <v>500</v>
      </c>
      <c r="T89" s="56">
        <f>IF($I89="","",$I89*Settings!$C$11)</f>
        <v>500</v>
      </c>
      <c r="U89" s="57" t="str">
        <f t="shared" si="17"/>
        <v>OK</v>
      </c>
      <c r="V89" s="55" t="str">
        <f t="shared" si="23"/>
        <v/>
      </c>
      <c r="W89" s="55" t="str">
        <f>IF($V89="","",IF(COUNTIF($V$5:$V89,$V89)=1,1,""))</f>
        <v/>
      </c>
      <c r="X89" s="58" t="str">
        <f>IF($W89="","",MAX($X$4:X88)+1)</f>
        <v/>
      </c>
      <c r="Y89" s="62"/>
      <c r="Z89" s="62"/>
      <c r="AA89" s="64" t="str">
        <f>IF($C89="","",IFERROR(INDEX('Staff Directory'!$E$5:$E$594,MATCH($C89,'Staff Directory'!$B$5:$B$594,0)),""))</f>
        <v>firstname212.lastname212@example.com</v>
      </c>
      <c r="AB89" s="64" t="str">
        <f>IF($C89="","",IF(ISNUMBER(SEARCH($D89,Settings!$C$15)),"Pickup","Dispatch"))</f>
        <v>Pickup</v>
      </c>
      <c r="AC89" s="64" t="str">
        <f t="shared" si="24"/>
        <v>Supply order ready for pickup</v>
      </c>
      <c r="AD89" s="64" t="str">
        <f t="shared" si="12"/>
        <v>Dear PSW,
Your order is ready for pickup from Sample Branch, Wed-Fri 9am-4pm.</v>
      </c>
      <c r="AE89" s="64" t="str">
        <f t="shared" si="13"/>
        <v>mailto:firstname212.lastname212@example.com?subject=Supply%20order%20ready%20for%20pickup&amp;body=Dear%20PSW%2C%0A%0AYour%20order%20is%20ready%20for%20pickup%20from%20Sample%20Branch%2C%20Wed-Fri%209am-4pm.</v>
      </c>
      <c r="AF89" s="89" t="str">
        <f t="shared" si="25"/>
        <v>Draft email</v>
      </c>
      <c r="AG89" s="64" t="str">
        <f>IF($C89="","",IFERROR(INDEX('Staff Directory'!$K$595:$K$599,MATCH($C89,'Staff Directory'!$B$5:$B$599,0)),$D89))</f>
        <v>PSW</v>
      </c>
      <c r="AH89" t="str">
        <f>IF($C89="","",IFERROR(INDEX('Staff Directory'!$I$595:$I$599,MATCH($C89,'Staff Directory'!$B$5:$B$599,0))&amp;" "&amp;INDEX('Staff Directory'!$J$595:$J$599,MATCH($C89,'Staff Directory'!$B$5:$B$599,0)),$AG89))</f>
        <v>PSW</v>
      </c>
      <c r="AI89" s="102"/>
      <c r="AJ89" s="101">
        <f>IF($F89="","",SUMIFS($J$5:$J89,$F$5:$F89,$F89))</f>
        <v>5000</v>
      </c>
      <c r="AK89" s="101">
        <f t="shared" si="3"/>
        <v>4501</v>
      </c>
      <c r="AL89" s="66" t="str" cm="1">
        <f t="array" ref="AL89">IF($F89="","",IFERROR(INDEX('Lot Balance'!$B$5:$B$500,MATCH(1,INDEX(('Lot Balance'!$A$5:$A$500=$F89)*('Lot Balance'!$K$5:$K$500&lt;$AK89)*('Lot Balance'!$K$5:$K$500+'Lot Balance'!$D$5:$D$500&gt;=$AK89),0),0)),""))</f>
        <v>ZIM504124207-4</v>
      </c>
      <c r="AM89" s="66" t="str" cm="1">
        <f t="array" ref="AM89">IF($F89="","",IFERROR(INDEX('Lot Balance'!$B$5:$B$500,MATCH(1,INDEX(('Lot Balance'!$A$5:$A$500=$F89)*('Lot Balance'!$K$5:$K$500&lt;$AJ89)*('Lot Balance'!$K$5:$K$500+'Lot Balance'!$D$5:$D$500&gt;=$AJ89),0),0)),""))</f>
        <v>ZIM504124207-4</v>
      </c>
      <c r="AN89" s="66" t="str">
        <f>IF($F89="","",IF($AI89&lt;&gt;"",IF(COUNTIFS('Lot Balance'!$A$5:$A$500,$F89,'Lot Balance'!$B$5:$B$500,$AI89)=0,"⚠ override is not a lot of this item",IF($AI89=$AL89,"Override = FEFO","Override - FEFO says "&amp;$AL89)),IF($AL89="","⚠ no receipt on file for this item",IF($AM89&lt;&gt;$AL89,"FEFO auto - split, also "&amp;$AM89,"FEFO auto"))))</f>
        <v>FEFO auto</v>
      </c>
      <c r="AO89" s="114"/>
    </row>
    <row r="90" spans="1:41" x14ac:dyDescent="0.35">
      <c r="A90" s="74">
        <v>46119</v>
      </c>
      <c r="B90" s="18" t="str">
        <f>IF($C90="","",IFERROR(INDEX('Staff Directory'!$A$5:$A$594,MATCH($C90,'Staff Directory'!$B$5:$B$594,0)),"⚠ unknown staff"))</f>
        <v>PSW-149-A5</v>
      </c>
      <c r="C90" s="49" t="s">
        <v>1128</v>
      </c>
      <c r="D90" s="19" t="str">
        <f>IF($B90="","",IFERROR(INDEX('Staff Directory'!$C$5:$C$594,MATCH($B90,'Staff Directory'!$A$5:$A$594,0)),""))</f>
        <v>PSW</v>
      </c>
      <c r="E90" s="19" t="str">
        <f>IF($B90="","",IFERROR(INDEX('Staff Directory'!$D$5:$D$594,MATCH($B90,'Staff Directory'!$A$5:$A$594,0)),""))</f>
        <v>A5</v>
      </c>
      <c r="F90" s="9" t="s">
        <v>115</v>
      </c>
      <c r="G90" s="18" t="str">
        <f>IF($F90="","",IFERROR(INDEX(Items!$B$5:$B$597,MATCH($F90,Items!$A$5:$A$597,0)),"⚠ not in Items"))</f>
        <v>Wipes</v>
      </c>
      <c r="H90" s="19">
        <f>IF($F90="","",IFERROR(INDEX(Items!$C$5:$C$597,MATCH($F90,Items!$A$5:$A$597,0)),""))</f>
        <v>80</v>
      </c>
      <c r="I90" s="23">
        <f>IF($F90="","",IFERROR(INDEX(Items!$E$5:$E$597,MATCH($F90,Items!$A$5:$A$597,0)),""))</f>
        <v>80</v>
      </c>
      <c r="J90" s="115">
        <f>IF(tblIssues[[#This Row],[Qty Override]]&lt;&gt;"",tblIssues[[#This Row],[Qty Override]],IF(tblIssues[[#This Row],[Standard Issue]]="","",tblIssues[[#This Row],[Standard Issue]]))</f>
        <v>80</v>
      </c>
      <c r="K90" s="20">
        <f>IF($F90="","",IFERROR(INDEX(Items!$D$5:$D$597,MATCH($F90,Items!$A$5:$A$597,0)),""))</f>
        <v>0.1</v>
      </c>
      <c r="L90" s="21">
        <f t="shared" si="14"/>
        <v>8</v>
      </c>
      <c r="M90" s="9" t="str">
        <f t="shared" si="15"/>
        <v>LYSL500290</v>
      </c>
      <c r="N90" s="24">
        <f>IF($A90="","",WORKDAY($A90,Settings!$C$9,HolidayDates))</f>
        <v>46127</v>
      </c>
      <c r="O90" s="24">
        <f>IF($N90="","",WORKDAY($N90,Settings!$C$10,HolidayDates))</f>
        <v>46167</v>
      </c>
      <c r="P90" s="10" t="s">
        <v>501</v>
      </c>
      <c r="Q90" s="52" t="str">
        <f t="shared" si="21"/>
        <v>Collected</v>
      </c>
      <c r="R90" s="55" t="str">
        <f t="shared" si="22"/>
        <v>2026-04</v>
      </c>
      <c r="S90" s="55">
        <f>IF(OR($B90="",$F90="",$R90=""),"",SUMIFS(tblIssues[Qty Issued],tblIssues[Staff ID],$B90,tblIssues[Item Name],$F90,tblIssues[Month],$R90))</f>
        <v>80</v>
      </c>
      <c r="T90" s="56">
        <f>IF($I90="","",$I90*Settings!$C$11)</f>
        <v>80</v>
      </c>
      <c r="U90" s="57" t="str">
        <f t="shared" si="17"/>
        <v>OK</v>
      </c>
      <c r="V90" s="55" t="str">
        <f t="shared" si="23"/>
        <v/>
      </c>
      <c r="W90" s="55" t="str">
        <f>IF($V90="","",IF(COUNTIF($V$5:$V90,$V90)=1,1,""))</f>
        <v/>
      </c>
      <c r="X90" s="58" t="str">
        <f>IF($W90="","",MAX($X$4:X89)+1)</f>
        <v/>
      </c>
      <c r="Y90" s="62"/>
      <c r="Z90" s="62"/>
      <c r="AA90" s="64" t="str">
        <f>IF($C90="","",IFERROR(INDEX('Staff Directory'!$E$5:$E$594,MATCH($C90,'Staff Directory'!$B$5:$B$594,0)),""))</f>
        <v>firstname212.lastname212@example.com</v>
      </c>
      <c r="AB90" s="64" t="str">
        <f>IF($C90="","",IF(ISNUMBER(SEARCH($D90,Settings!$C$15)),"Pickup","Dispatch"))</f>
        <v>Pickup</v>
      </c>
      <c r="AC90" s="64" t="str">
        <f t="shared" si="24"/>
        <v>Supply order ready for pickup</v>
      </c>
      <c r="AD90" s="64" t="str">
        <f t="shared" si="12"/>
        <v>Dear PSW,
Your order is ready for pickup from Sample Branch, Wed-Fri 9am-4pm.</v>
      </c>
      <c r="AE90" s="64" t="str">
        <f t="shared" si="13"/>
        <v>mailto:firstname212.lastname212@example.com?subject=Supply%20order%20ready%20for%20pickup&amp;body=Dear%20PSW%2C%0A%0AYour%20order%20is%20ready%20for%20pickup%20from%20Sample%20Branch%2C%20Wed-Fri%209am-4pm.</v>
      </c>
      <c r="AF90" s="89" t="str">
        <f t="shared" si="25"/>
        <v>Draft email</v>
      </c>
      <c r="AG90" s="64" t="str">
        <f>IF($C90="","",IFERROR(INDEX('Staff Directory'!$K$595:$K$599,MATCH($C90,'Staff Directory'!$B$5:$B$599,0)),$D90))</f>
        <v>PSW</v>
      </c>
      <c r="AH90" t="str">
        <f>IF($C90="","",IFERROR(INDEX('Staff Directory'!$I$595:$I$599,MATCH($C90,'Staff Directory'!$B$5:$B$599,0))&amp;" "&amp;INDEX('Staff Directory'!$J$595:$J$599,MATCH($C90,'Staff Directory'!$B$5:$B$599,0)),$AG90))</f>
        <v>PSW</v>
      </c>
      <c r="AI90" s="102"/>
      <c r="AJ90" s="101">
        <f>IF($F90="","",SUMIFS($J$5:$J90,$F$5:$F90,$F90))</f>
        <v>1680</v>
      </c>
      <c r="AK90" s="101">
        <f t="shared" si="3"/>
        <v>1601</v>
      </c>
      <c r="AL90" s="66" t="str" cm="1">
        <f t="array" ref="AL90">IF($F90="","",IFERROR(INDEX('Lot Balance'!$B$5:$B$500,MATCH(1,INDEX(('Lot Balance'!$A$5:$A$500=$F90)*('Lot Balance'!$K$5:$K$500&lt;$AK90)*('Lot Balance'!$K$5:$K$500+'Lot Balance'!$D$5:$D$500&gt;=$AK90),0),0)),""))</f>
        <v>LYSL500290</v>
      </c>
      <c r="AM90" s="66" t="str" cm="1">
        <f t="array" ref="AM90">IF($F90="","",IFERROR(INDEX('Lot Balance'!$B$5:$B$500,MATCH(1,INDEX(('Lot Balance'!$A$5:$A$500=$F90)*('Lot Balance'!$K$5:$K$500&lt;$AJ90)*('Lot Balance'!$K$5:$K$500+'Lot Balance'!$D$5:$D$500&gt;=$AJ90),0),0)),""))</f>
        <v>LYSL500290</v>
      </c>
      <c r="AN90" s="66" t="str">
        <f>IF($F90="","",IF($AI90&lt;&gt;"",IF(COUNTIFS('Lot Balance'!$A$5:$A$500,$F90,'Lot Balance'!$B$5:$B$500,$AI90)=0,"⚠ override is not a lot of this item",IF($AI90=$AL90,"Override = FEFO","Override - FEFO says "&amp;$AL90)),IF($AL90="","⚠ no receipt on file for this item",IF($AM90&lt;&gt;$AL90,"FEFO auto - split, also "&amp;$AM90,"FEFO auto"))))</f>
        <v>FEFO auto</v>
      </c>
      <c r="AO90" s="114"/>
    </row>
    <row r="91" spans="1:41" x14ac:dyDescent="0.35">
      <c r="A91" s="74">
        <v>46119</v>
      </c>
      <c r="B91" s="18" t="str">
        <f>IF($C91="","",IFERROR(INDEX('Staff Directory'!$A$5:$A$594,MATCH($C91,'Staff Directory'!$B$5:$B$594,0)),"⚠ unknown staff"))</f>
        <v>PSW-149-A5</v>
      </c>
      <c r="C91" s="49" t="s">
        <v>1128</v>
      </c>
      <c r="D91" s="19" t="str">
        <f>IF($B91="","",IFERROR(INDEX('Staff Directory'!$C$5:$C$594,MATCH($B91,'Staff Directory'!$A$5:$A$594,0)),""))</f>
        <v>PSW</v>
      </c>
      <c r="E91" s="19" t="str">
        <f>IF($B91="","",IFERROR(INDEX('Staff Directory'!$D$5:$D$594,MATCH($B91,'Staff Directory'!$A$5:$A$594,0)),""))</f>
        <v>A5</v>
      </c>
      <c r="F91" s="9" t="s">
        <v>156</v>
      </c>
      <c r="G91" s="18" t="str">
        <f>IF($F91="","",IFERROR(INDEX(Items!$B$5:$B$597,MATCH($F91,Items!$A$5:$A$597,0)),"⚠ not in Items"))</f>
        <v>Masks</v>
      </c>
      <c r="H91" s="19" t="str">
        <f>IF($F91="","",IFERROR(INDEX(Items!$C$5:$C$597,MATCH($F91,Items!$A$5:$A$597,0)),""))</f>
        <v>One Size</v>
      </c>
      <c r="I91" s="23">
        <f>IF($F91="","",IFERROR(INDEX(Items!$E$5:$E$597,MATCH($F91,Items!$A$5:$A$597,0)),""))</f>
        <v>50</v>
      </c>
      <c r="J91" s="115">
        <f>IF(tblIssues[[#This Row],[Qty Override]]&lt;&gt;"",tblIssues[[#This Row],[Qty Override]],IF(tblIssues[[#This Row],[Standard Issue]]="","",tblIssues[[#This Row],[Standard Issue]]))</f>
        <v>50</v>
      </c>
      <c r="K91" s="20">
        <f>IF($F91="","",IFERROR(INDEX(Items!$D$5:$D$597,MATCH($F91,Items!$A$5:$A$597,0)),""))</f>
        <v>0.25</v>
      </c>
      <c r="L91" s="21">
        <f t="shared" si="14"/>
        <v>12.5</v>
      </c>
      <c r="M91" s="9" t="str">
        <f t="shared" si="15"/>
        <v>0125FPC24-0</v>
      </c>
      <c r="N91" s="24">
        <f>IF($A91="","",WORKDAY($A91,Settings!$C$9,HolidayDates))</f>
        <v>46127</v>
      </c>
      <c r="O91" s="24">
        <f>IF($N91="","",WORKDAY($N91,Settings!$C$10,HolidayDates))</f>
        <v>46167</v>
      </c>
      <c r="P91" s="10" t="s">
        <v>501</v>
      </c>
      <c r="Q91" s="52" t="str">
        <f t="shared" si="21"/>
        <v>Collected</v>
      </c>
      <c r="R91" s="55" t="str">
        <f t="shared" si="22"/>
        <v>2026-04</v>
      </c>
      <c r="S91" s="55">
        <f>IF(OR($B91="",$F91="",$R91=""),"",SUMIFS(tblIssues[Qty Issued],tblIssues[Staff ID],$B91,tblIssues[Item Name],$F91,tblIssues[Month],$R91))</f>
        <v>50</v>
      </c>
      <c r="T91" s="56">
        <f>IF($I91="","",$I91*Settings!$C$11)</f>
        <v>50</v>
      </c>
      <c r="U91" s="57" t="str">
        <f t="shared" si="17"/>
        <v>OK</v>
      </c>
      <c r="V91" s="55" t="str">
        <f t="shared" si="23"/>
        <v/>
      </c>
      <c r="W91" s="55" t="str">
        <f>IF($V91="","",IF(COUNTIF($V$5:$V91,$V91)=1,1,""))</f>
        <v/>
      </c>
      <c r="X91" s="58" t="str">
        <f>IF($W91="","",MAX($X$4:X90)+1)</f>
        <v/>
      </c>
      <c r="Y91" s="62"/>
      <c r="Z91" s="62"/>
      <c r="AA91" s="64" t="str">
        <f>IF($C91="","",IFERROR(INDEX('Staff Directory'!$E$5:$E$594,MATCH($C91,'Staff Directory'!$B$5:$B$594,0)),""))</f>
        <v>firstname212.lastname212@example.com</v>
      </c>
      <c r="AB91" s="64" t="str">
        <f>IF($C91="","",IF(ISNUMBER(SEARCH($D91,Settings!$C$15)),"Pickup","Dispatch"))</f>
        <v>Pickup</v>
      </c>
      <c r="AC91" s="64" t="str">
        <f t="shared" si="24"/>
        <v>Supply order ready for pickup</v>
      </c>
      <c r="AD91" s="64" t="str">
        <f t="shared" si="12"/>
        <v>Dear PSW,
Your order is ready for pickup from Sample Branch, Wed-Fri 9am-4pm.</v>
      </c>
      <c r="AE91" s="64" t="str">
        <f t="shared" si="13"/>
        <v>mailto:firstname212.lastname212@example.com?subject=Supply%20order%20ready%20for%20pickup&amp;body=Dear%20PSW%2C%0A%0AYour%20order%20is%20ready%20for%20pickup%20from%20Sample%20Branch%2C%20Wed-Fri%209am-4pm.</v>
      </c>
      <c r="AF91" s="89" t="str">
        <f t="shared" si="25"/>
        <v>Draft email</v>
      </c>
      <c r="AG91" s="64" t="str">
        <f>IF($C91="","",IFERROR(INDEX('Staff Directory'!$K$595:$K$599,MATCH($C91,'Staff Directory'!$B$5:$B$599,0)),$D91))</f>
        <v>PSW</v>
      </c>
      <c r="AH91" t="str">
        <f>IF($C91="","",IFERROR(INDEX('Staff Directory'!$I$595:$I$599,MATCH($C91,'Staff Directory'!$B$5:$B$599,0))&amp;" "&amp;INDEX('Staff Directory'!$J$595:$J$599,MATCH($C91,'Staff Directory'!$B$5:$B$599,0)),$AG91))</f>
        <v>PSW</v>
      </c>
      <c r="AI91" s="102"/>
      <c r="AJ91" s="101">
        <f>IF($F91="","",SUMIFS($J$5:$J91,$F$5:$F91,$F91))</f>
        <v>750</v>
      </c>
      <c r="AK91" s="101">
        <f t="shared" si="3"/>
        <v>701</v>
      </c>
      <c r="AL91" s="66" t="str" cm="1">
        <f t="array" ref="AL91">IF($F91="","",IFERROR(INDEX('Lot Balance'!$B$5:$B$500,MATCH(1,INDEX(('Lot Balance'!$A$5:$A$500=$F91)*('Lot Balance'!$K$5:$K$500&lt;$AK91)*('Lot Balance'!$K$5:$K$500+'Lot Balance'!$D$5:$D$500&gt;=$AK91),0),0)),""))</f>
        <v>0125FPC24-0</v>
      </c>
      <c r="AM91" s="66" t="str" cm="1">
        <f t="array" ref="AM91">IF($F91="","",IFERROR(INDEX('Lot Balance'!$B$5:$B$500,MATCH(1,INDEX(('Lot Balance'!$A$5:$A$500=$F91)*('Lot Balance'!$K$5:$K$500&lt;$AJ91)*('Lot Balance'!$K$5:$K$500+'Lot Balance'!$D$5:$D$500&gt;=$AJ91),0),0)),""))</f>
        <v>0125FPC24-0</v>
      </c>
      <c r="AN91" s="66" t="str">
        <f>IF($F91="","",IF($AI91&lt;&gt;"",IF(COUNTIFS('Lot Balance'!$A$5:$A$500,$F91,'Lot Balance'!$B$5:$B$500,$AI91)=0,"⚠ override is not a lot of this item",IF($AI91=$AL91,"Override = FEFO","Override - FEFO says "&amp;$AL91)),IF($AL91="","⚠ no receipt on file for this item",IF($AM91&lt;&gt;$AL91,"FEFO auto - split, also "&amp;$AM91,"FEFO auto"))))</f>
        <v>FEFO auto</v>
      </c>
      <c r="AO91" s="114"/>
    </row>
    <row r="92" spans="1:41" x14ac:dyDescent="0.35">
      <c r="A92" s="74">
        <v>46119</v>
      </c>
      <c r="B92" s="18" t="str">
        <f>IF($C92="","",IFERROR(INDEX('Staff Directory'!$A$5:$A$594,MATCH($C92,'Staff Directory'!$B$5:$B$594,0)),"⚠ unknown staff"))</f>
        <v>PSW-149-A5</v>
      </c>
      <c r="C92" s="49" t="s">
        <v>1128</v>
      </c>
      <c r="D92" s="19" t="str">
        <f>IF($B92="","",IFERROR(INDEX('Staff Directory'!$C$5:$C$594,MATCH($B92,'Staff Directory'!$A$5:$A$594,0)),""))</f>
        <v>PSW</v>
      </c>
      <c r="E92" s="19" t="str">
        <f>IF($B92="","",IFERROR(INDEX('Staff Directory'!$D$5:$D$594,MATCH($B92,'Staff Directory'!$A$5:$A$594,0)),""))</f>
        <v>A5</v>
      </c>
      <c r="F92" s="9" t="s">
        <v>755</v>
      </c>
      <c r="G92" s="18" t="str">
        <f>IF($F92="","",IFERROR(INDEX(Items!$B$5:$B$597,MATCH($F92,Items!$A$5:$A$597,0)),"⚠ not in Items"))</f>
        <v>Documents</v>
      </c>
      <c r="H92" s="19" t="str">
        <f>IF($F92="","",IFERROR(INDEX(Items!$C$5:$C$597,MATCH($F92,Items!$A$5:$A$597,0)),""))</f>
        <v>Standard</v>
      </c>
      <c r="I92" s="23">
        <f>IF($F92="","",IFERROR(INDEX(Items!$E$5:$E$597,MATCH($F92,Items!$A$5:$A$597,0)),""))</f>
        <v>2</v>
      </c>
      <c r="J92" s="115">
        <f>IF(tblIssues[[#This Row],[Qty Override]]&lt;&gt;"",tblIssues[[#This Row],[Qty Override]],IF(tblIssues[[#This Row],[Standard Issue]]="","",tblIssues[[#This Row],[Standard Issue]]))</f>
        <v>2</v>
      </c>
      <c r="K92" s="20">
        <f>IF($F92="","",IFERROR(INDEX(Items!$D$5:$D$597,MATCH($F92,Items!$A$5:$A$597,0)),""))</f>
        <v>0</v>
      </c>
      <c r="L92" s="21">
        <f t="shared" si="14"/>
        <v>0</v>
      </c>
      <c r="M92" s="9" t="str">
        <f t="shared" si="15"/>
        <v/>
      </c>
      <c r="N92" s="24">
        <f>IF($A92="","",WORKDAY($A92,Settings!$C$9,HolidayDates))</f>
        <v>46127</v>
      </c>
      <c r="O92" s="24">
        <f>IF($N92="","",WORKDAY($N92,Settings!$C$10,HolidayDates))</f>
        <v>46167</v>
      </c>
      <c r="P92" s="10" t="s">
        <v>501</v>
      </c>
      <c r="Q92" s="52" t="str">
        <f t="shared" si="21"/>
        <v>Collected</v>
      </c>
      <c r="R92" s="55" t="str">
        <f t="shared" si="22"/>
        <v>2026-04</v>
      </c>
      <c r="S92" s="55">
        <f>IF(OR($B92="",$F92="",$R92=""),"",SUMIFS(tblIssues[Qty Issued],tblIssues[Staff ID],$B92,tblIssues[Item Name],$F92,tblIssues[Month],$R92))</f>
        <v>2</v>
      </c>
      <c r="T92" s="56">
        <f>IF($I92="","",$I92*Settings!$C$11)</f>
        <v>2</v>
      </c>
      <c r="U92" s="57" t="str">
        <f t="shared" si="17"/>
        <v>OK</v>
      </c>
      <c r="V92" s="55" t="str">
        <f t="shared" si="23"/>
        <v/>
      </c>
      <c r="W92" s="55" t="str">
        <f>IF($V92="","",IF(COUNTIF($V$5:$V92,$V92)=1,1,""))</f>
        <v/>
      </c>
      <c r="X92" s="58" t="str">
        <f>IF($W92="","",MAX($X$4:X91)+1)</f>
        <v/>
      </c>
      <c r="Y92" s="62"/>
      <c r="Z92" s="62"/>
      <c r="AA92" s="64" t="str">
        <f>IF($C92="","",IFERROR(INDEX('Staff Directory'!$E$5:$E$594,MATCH($C92,'Staff Directory'!$B$5:$B$594,0)),""))</f>
        <v>firstname212.lastname212@example.com</v>
      </c>
      <c r="AB92" s="64" t="str">
        <f>IF($C92="","",IF(ISNUMBER(SEARCH($D92,Settings!$C$15)),"Pickup","Dispatch"))</f>
        <v>Pickup</v>
      </c>
      <c r="AC92" s="64" t="str">
        <f t="shared" si="24"/>
        <v>Supply order ready for pickup</v>
      </c>
      <c r="AD92" s="64" t="str">
        <f t="shared" si="12"/>
        <v>Dear PSW,
Your order is ready for pickup from Sample Branch, Wed-Fri 9am-4pm.</v>
      </c>
      <c r="AE92" s="64" t="str">
        <f t="shared" si="13"/>
        <v>mailto:firstname212.lastname212@example.com?subject=Supply%20order%20ready%20for%20pickup&amp;body=Dear%20PSW%2C%0A%0AYour%20order%20is%20ready%20for%20pickup%20from%20Sample%20Branch%2C%20Wed-Fri%209am-4pm.</v>
      </c>
      <c r="AF92" s="89" t="str">
        <f t="shared" si="25"/>
        <v>Draft email</v>
      </c>
      <c r="AG92" s="64" t="str">
        <f>IF($C92="","",IFERROR(INDEX('Staff Directory'!$K$595:$K$599,MATCH($C92,'Staff Directory'!$B$5:$B$599,0)),$D92))</f>
        <v>PSW</v>
      </c>
      <c r="AH92" t="str">
        <f>IF($C92="","",IFERROR(INDEX('Staff Directory'!$I$595:$I$599,MATCH($C92,'Staff Directory'!$B$5:$B$599,0))&amp;" "&amp;INDEX('Staff Directory'!$J$595:$J$599,MATCH($C92,'Staff Directory'!$B$5:$B$599,0)),$AG92))</f>
        <v>PSW</v>
      </c>
      <c r="AI92" s="102"/>
      <c r="AJ92" s="101">
        <f>IF($F92="","",SUMIFS($J$5:$J92,$F$5:$F92,$F92))</f>
        <v>2</v>
      </c>
      <c r="AK92" s="101">
        <f t="shared" si="3"/>
        <v>1</v>
      </c>
      <c r="AL92" s="66" t="str" cm="1">
        <f t="array" ref="AL92">IF($F92="","",IFERROR(INDEX('Lot Balance'!$B$5:$B$500,MATCH(1,INDEX(('Lot Balance'!$A$5:$A$500=$F92)*('Lot Balance'!$K$5:$K$500&lt;$AK92)*('Lot Balance'!$K$5:$K$500+'Lot Balance'!$D$5:$D$500&gt;=$AK92),0),0)),""))</f>
        <v/>
      </c>
      <c r="AM92" s="66" t="str" cm="1">
        <f t="array" ref="AM92">IF($F92="","",IFERROR(INDEX('Lot Balance'!$B$5:$B$500,MATCH(1,INDEX(('Lot Balance'!$A$5:$A$500=$F92)*('Lot Balance'!$K$5:$K$500&lt;$AJ92)*('Lot Balance'!$K$5:$K$500+'Lot Balance'!$D$5:$D$500&gt;=$AJ92),0),0)),""))</f>
        <v/>
      </c>
      <c r="AN92" s="66" t="str">
        <f>IF($F92="","",IF($AI92&lt;&gt;"",IF(COUNTIFS('Lot Balance'!$A$5:$A$500,$F92,'Lot Balance'!$B$5:$B$500,$AI92)=0,"⚠ override is not a lot of this item",IF($AI92=$AL92,"Override = FEFO","Override - FEFO says "&amp;$AL92)),IF($AL92="","⚠ no receipt on file for this item",IF($AM92&lt;&gt;$AL92,"FEFO auto - split, also "&amp;$AM92,"FEFO auto"))))</f>
        <v>⚠ no receipt on file for this item</v>
      </c>
      <c r="AO92" s="114"/>
    </row>
    <row r="93" spans="1:41" x14ac:dyDescent="0.35">
      <c r="A93" s="74">
        <v>46119</v>
      </c>
      <c r="B93" s="18" t="str">
        <f>IF($C93="","",IFERROR(INDEX('Staff Directory'!$A$5:$A$594,MATCH($C93,'Staff Directory'!$B$5:$B$594,0)),"⚠ unknown staff"))</f>
        <v>RPN-006-A1</v>
      </c>
      <c r="C93" s="49" t="s">
        <v>958</v>
      </c>
      <c r="D93" s="19" t="str">
        <f>IF($B93="","",IFERROR(INDEX('Staff Directory'!$C$5:$C$594,MATCH($B93,'Staff Directory'!$A$5:$A$594,0)),""))</f>
        <v>RPN</v>
      </c>
      <c r="E93" s="19" t="str">
        <f>IF($B93="","",IFERROR(INDEX('Staff Directory'!$D$5:$D$594,MATCH($B93,'Staff Directory'!$A$5:$A$594,0)),""))</f>
        <v>A1</v>
      </c>
      <c r="F93" s="9" t="s">
        <v>127</v>
      </c>
      <c r="G93" s="18" t="str">
        <f>IF($F93="","",IFERROR(INDEX(Items!$B$5:$B$597,MATCH($F93,Items!$A$5:$A$597,0)),"⚠ not in Items"))</f>
        <v>Gloves</v>
      </c>
      <c r="H93" s="19" t="str">
        <f>IF($F93="","",IFERROR(INDEX(Items!$C$5:$C$597,MATCH($F93,Items!$A$5:$A$597,0)),""))</f>
        <v>Medium</v>
      </c>
      <c r="I93" s="23">
        <f>IF($F93="","",IFERROR(INDEX(Items!$E$5:$E$597,MATCH($F93,Items!$A$5:$A$597,0)),""))</f>
        <v>500</v>
      </c>
      <c r="J93" s="115">
        <f>IF(tblIssues[[#This Row],[Qty Override]]&lt;&gt;"",tblIssues[[#This Row],[Qty Override]],IF(tblIssues[[#This Row],[Standard Issue]]="","",tblIssues[[#This Row],[Standard Issue]]))</f>
        <v>500</v>
      </c>
      <c r="K93" s="20">
        <f>IF($F93="","",IFERROR(INDEX(Items!$D$5:$D$597,MATCH($F93,Items!$A$5:$A$597,0)),""))</f>
        <v>5.5E-2</v>
      </c>
      <c r="L93" s="21">
        <f t="shared" si="14"/>
        <v>27.5</v>
      </c>
      <c r="M93" s="9" t="str">
        <f t="shared" si="15"/>
        <v>O17104</v>
      </c>
      <c r="N93" s="24">
        <f>IF($A93="","",WORKDAY($A93,Settings!$C$9,HolidayDates))</f>
        <v>46127</v>
      </c>
      <c r="O93" s="24">
        <f>IF($N93="","",WORKDAY($N93,Settings!$C$10,HolidayDates))</f>
        <v>46167</v>
      </c>
      <c r="P93" s="10" t="s">
        <v>502</v>
      </c>
      <c r="Q93" s="52" t="str">
        <f t="shared" si="21"/>
        <v>Collected</v>
      </c>
      <c r="R93" s="55" t="str">
        <f t="shared" si="22"/>
        <v>2026-04</v>
      </c>
      <c r="S93" s="55">
        <f>IF(OR($B93="",$F93="",$R93=""),"",SUMIFS(tblIssues[Qty Issued],tblIssues[Staff ID],$B93,tblIssues[Item Name],$F93,tblIssues[Month],$R93))</f>
        <v>500</v>
      </c>
      <c r="T93" s="56">
        <f>IF($I93="","",$I93*Settings!$C$11)</f>
        <v>500</v>
      </c>
      <c r="U93" s="57" t="str">
        <f t="shared" si="17"/>
        <v>OK</v>
      </c>
      <c r="V93" s="55" t="str">
        <f t="shared" si="23"/>
        <v/>
      </c>
      <c r="W93" s="55" t="str">
        <f>IF($V93="","",IF(COUNTIF($V$5:$V93,$V93)=1,1,""))</f>
        <v/>
      </c>
      <c r="X93" s="58" t="str">
        <f>IF($W93="","",MAX($X$4:X92)+1)</f>
        <v/>
      </c>
      <c r="Y93" s="62"/>
      <c r="Z93" s="62"/>
      <c r="AA93" s="64" t="str">
        <f>IF($C93="","",IFERROR(INDEX('Staff Directory'!$E$5:$E$594,MATCH($C93,'Staff Directory'!$B$5:$B$594,0)),""))</f>
        <v>firstname042.lastname042@example.com</v>
      </c>
      <c r="AB93" s="64" t="str">
        <f>IF($C93="","",IF(ISNUMBER(SEARCH($D93,Settings!$C$15)),"Pickup","Dispatch"))</f>
        <v>Dispatch</v>
      </c>
      <c r="AC93" s="64" t="str">
        <f t="shared" si="24"/>
        <v>Supply order dispatched</v>
      </c>
      <c r="AD93" s="64" t="str">
        <f t="shared" si="12"/>
        <v>Dear RPN,
Your order has been dispatched and is in transit. Reply if undelivered.</v>
      </c>
      <c r="AE93" s="64" t="str">
        <f t="shared" si="13"/>
        <v>mailto:firstname042.lastname042@example.com?subject=Supply%20order%20dispatched&amp;body=Dear%20RPN%2C%0A%0AYour%20order%20has%20been%20dispatched%20and%20is%20in%20transit.%20Reply%20if%20undelivered.</v>
      </c>
      <c r="AF93" s="89" t="str">
        <f t="shared" si="25"/>
        <v>Draft email</v>
      </c>
      <c r="AG93" s="64" t="str">
        <f>IF($C93="","",IFERROR(INDEX('Staff Directory'!$K$595:$K$599,MATCH($C93,'Staff Directory'!$B$5:$B$599,0)),$D93))</f>
        <v>RPN</v>
      </c>
      <c r="AH93" t="str">
        <f>IF($C93="","",IFERROR(INDEX('Staff Directory'!$I$595:$I$599,MATCH($C93,'Staff Directory'!$B$5:$B$599,0))&amp;" "&amp;INDEX('Staff Directory'!$J$595:$J$599,MATCH($C93,'Staff Directory'!$B$5:$B$599,0)),$AG93))</f>
        <v>RPN</v>
      </c>
      <c r="AI93" s="102"/>
      <c r="AJ93" s="101">
        <f>IF($F93="","",SUMIFS($J$5:$J93,$F$5:$F93,$F93))</f>
        <v>6000</v>
      </c>
      <c r="AK93" s="101">
        <f t="shared" si="3"/>
        <v>5501</v>
      </c>
      <c r="AL93" s="66" t="str" cm="1">
        <f t="array" ref="AL93">IF($F93="","",IFERROR(INDEX('Lot Balance'!$B$5:$B$500,MATCH(1,INDEX(('Lot Balance'!$A$5:$A$500=$F93)*('Lot Balance'!$K$5:$K$500&lt;$AK93)*('Lot Balance'!$K$5:$K$500+'Lot Balance'!$D$5:$D$500&gt;=$AK93),0),0)),""))</f>
        <v>O17104</v>
      </c>
      <c r="AM93" s="66" t="str" cm="1">
        <f t="array" ref="AM93">IF($F93="","",IFERROR(INDEX('Lot Balance'!$B$5:$B$500,MATCH(1,INDEX(('Lot Balance'!$A$5:$A$500=$F93)*('Lot Balance'!$K$5:$K$500&lt;$AJ93)*('Lot Balance'!$K$5:$K$500+'Lot Balance'!$D$5:$D$500&gt;=$AJ93),0),0)),""))</f>
        <v>O17104</v>
      </c>
      <c r="AN93" s="66" t="str">
        <f>IF($F93="","",IF($AI93&lt;&gt;"",IF(COUNTIFS('Lot Balance'!$A$5:$A$500,$F93,'Lot Balance'!$B$5:$B$500,$AI93)=0,"⚠ override is not a lot of this item",IF($AI93=$AL93,"Override = FEFO","Override - FEFO says "&amp;$AL93)),IF($AL93="","⚠ no receipt on file for this item",IF($AM93&lt;&gt;$AL93,"FEFO auto - split, also "&amp;$AM93,"FEFO auto"))))</f>
        <v>FEFO auto</v>
      </c>
      <c r="AO93" s="114"/>
    </row>
    <row r="94" spans="1:41" x14ac:dyDescent="0.35">
      <c r="A94" s="74">
        <v>46119</v>
      </c>
      <c r="B94" s="18" t="str">
        <f>IF($C94="","",IFERROR(INDEX('Staff Directory'!$A$5:$A$594,MATCH($C94,'Staff Directory'!$B$5:$B$594,0)),"⚠ unknown staff"))</f>
        <v>RPN-006-A1</v>
      </c>
      <c r="C94" s="49" t="s">
        <v>958</v>
      </c>
      <c r="D94" s="19" t="str">
        <f>IF($B94="","",IFERROR(INDEX('Staff Directory'!$C$5:$C$594,MATCH($B94,'Staff Directory'!$A$5:$A$594,0)),""))</f>
        <v>RPN</v>
      </c>
      <c r="E94" s="19" t="str">
        <f>IF($B94="","",IFERROR(INDEX('Staff Directory'!$D$5:$D$594,MATCH($B94,'Staff Directory'!$A$5:$A$594,0)),""))</f>
        <v>A1</v>
      </c>
      <c r="F94" s="9" t="s">
        <v>137</v>
      </c>
      <c r="G94" s="18" t="str">
        <f>IF($F94="","",IFERROR(INDEX(Items!$B$5:$B$597,MATCH($F94,Items!$A$5:$A$597,0)),"⚠ not in Items"))</f>
        <v>Sanitizer</v>
      </c>
      <c r="H94" s="19" t="str">
        <f>IF($F94="","",IFERROR(INDEX(Items!$C$5:$C$597,MATCH($F94,Items!$A$5:$A$597,0)),""))</f>
        <v>118 ML</v>
      </c>
      <c r="I94" s="23">
        <f>IF($F94="","",IFERROR(INDEX(Items!$E$5:$E$597,MATCH($F94,Items!$A$5:$A$597,0)),""))</f>
        <v>2</v>
      </c>
      <c r="J94" s="115">
        <f>IF(tblIssues[[#This Row],[Qty Override]]&lt;&gt;"",tblIssues[[#This Row],[Qty Override]],IF(tblIssues[[#This Row],[Standard Issue]]="","",tblIssues[[#This Row],[Standard Issue]]))</f>
        <v>2</v>
      </c>
      <c r="K94" s="20">
        <f>IF($F94="","",IFERROR(INDEX(Items!$D$5:$D$597,MATCH($F94,Items!$A$5:$A$597,0)),""))</f>
        <v>4.49</v>
      </c>
      <c r="L94" s="21">
        <f t="shared" si="14"/>
        <v>8.98</v>
      </c>
      <c r="M94" s="9" t="str">
        <f t="shared" si="15"/>
        <v>563963-5</v>
      </c>
      <c r="N94" s="24">
        <f>IF($A94="","",WORKDAY($A94,Settings!$C$9,HolidayDates))</f>
        <v>46127</v>
      </c>
      <c r="O94" s="24">
        <f>IF($N94="","",WORKDAY($N94,Settings!$C$10,HolidayDates))</f>
        <v>46167</v>
      </c>
      <c r="P94" s="10" t="s">
        <v>502</v>
      </c>
      <c r="Q94" s="52" t="str">
        <f t="shared" si="21"/>
        <v>Collected</v>
      </c>
      <c r="R94" s="55" t="str">
        <f t="shared" si="22"/>
        <v>2026-04</v>
      </c>
      <c r="S94" s="55">
        <f>IF(OR($B94="",$F94="",$R94=""),"",SUMIFS(tblIssues[Qty Issued],tblIssues[Staff ID],$B94,tblIssues[Item Name],$F94,tblIssues[Month],$R94))</f>
        <v>2</v>
      </c>
      <c r="T94" s="56">
        <f>IF($I94="","",$I94*Settings!$C$11)</f>
        <v>2</v>
      </c>
      <c r="U94" s="57" t="str">
        <f t="shared" si="17"/>
        <v>OK</v>
      </c>
      <c r="V94" s="55" t="str">
        <f t="shared" si="23"/>
        <v/>
      </c>
      <c r="W94" s="55" t="str">
        <f>IF($V94="","",IF(COUNTIF($V$5:$V94,$V94)=1,1,""))</f>
        <v/>
      </c>
      <c r="X94" s="58" t="str">
        <f>IF($W94="","",MAX($X$4:X93)+1)</f>
        <v/>
      </c>
      <c r="Y94" s="62"/>
      <c r="Z94" s="62"/>
      <c r="AA94" s="64" t="str">
        <f>IF($C94="","",IFERROR(INDEX('Staff Directory'!$E$5:$E$594,MATCH($C94,'Staff Directory'!$B$5:$B$594,0)),""))</f>
        <v>firstname042.lastname042@example.com</v>
      </c>
      <c r="AB94" s="64" t="str">
        <f>IF($C94="","",IF(ISNUMBER(SEARCH($D94,Settings!$C$15)),"Pickup","Dispatch"))</f>
        <v>Dispatch</v>
      </c>
      <c r="AC94" s="64" t="str">
        <f t="shared" si="24"/>
        <v>Supply order dispatched</v>
      </c>
      <c r="AD94" s="64" t="str">
        <f t="shared" si="12"/>
        <v>Dear RPN,
Your order has been dispatched and is in transit. Reply if undelivered.</v>
      </c>
      <c r="AE94" s="64" t="str">
        <f t="shared" si="13"/>
        <v>mailto:firstname042.lastname042@example.com?subject=Supply%20order%20dispatched&amp;body=Dear%20RPN%2C%0A%0AYour%20order%20has%20been%20dispatched%20and%20is%20in%20transit.%20Reply%20if%20undelivered.</v>
      </c>
      <c r="AF94" s="89" t="str">
        <f t="shared" si="25"/>
        <v>Draft email</v>
      </c>
      <c r="AG94" s="64" t="str">
        <f>IF($C94="","",IFERROR(INDEX('Staff Directory'!$K$595:$K$599,MATCH($C94,'Staff Directory'!$B$5:$B$599,0)),$D94))</f>
        <v>RPN</v>
      </c>
      <c r="AH94" t="str">
        <f>IF($C94="","",IFERROR(INDEX('Staff Directory'!$I$595:$I$599,MATCH($C94,'Staff Directory'!$B$5:$B$599,0))&amp;" "&amp;INDEX('Staff Directory'!$J$595:$J$599,MATCH($C94,'Staff Directory'!$B$5:$B$599,0)),$AG94))</f>
        <v>RPN</v>
      </c>
      <c r="AI94" s="102"/>
      <c r="AJ94" s="101">
        <f>IF($F94="","",SUMIFS($J$5:$J94,$F$5:$F94,$F94))</f>
        <v>36</v>
      </c>
      <c r="AK94" s="101">
        <f t="shared" si="3"/>
        <v>35</v>
      </c>
      <c r="AL94" s="66" t="str" cm="1">
        <f t="array" ref="AL94">IF($F94="","",IFERROR(INDEX('Lot Balance'!$B$5:$B$500,MATCH(1,INDEX(('Lot Balance'!$A$5:$A$500=$F94)*('Lot Balance'!$K$5:$K$500&lt;$AK94)*('Lot Balance'!$K$5:$K$500+'Lot Balance'!$D$5:$D$500&gt;=$AK94),0),0)),""))</f>
        <v>563963-5</v>
      </c>
      <c r="AM94" s="66" t="str" cm="1">
        <f t="array" ref="AM94">IF($F94="","",IFERROR(INDEX('Lot Balance'!$B$5:$B$500,MATCH(1,INDEX(('Lot Balance'!$A$5:$A$500=$F94)*('Lot Balance'!$K$5:$K$500&lt;$AJ94)*('Lot Balance'!$K$5:$K$500+'Lot Balance'!$D$5:$D$500&gt;=$AJ94),0),0)),""))</f>
        <v>563963-5</v>
      </c>
      <c r="AN94" s="66" t="str">
        <f>IF($F94="","",IF($AI94&lt;&gt;"",IF(COUNTIFS('Lot Balance'!$A$5:$A$500,$F94,'Lot Balance'!$B$5:$B$500,$AI94)=0,"⚠ override is not a lot of this item",IF($AI94=$AL94,"Override = FEFO","Override - FEFO says "&amp;$AL94)),IF($AL94="","⚠ no receipt on file for this item",IF($AM94&lt;&gt;$AL94,"FEFO auto - split, also "&amp;$AM94,"FEFO auto"))))</f>
        <v>FEFO auto</v>
      </c>
      <c r="AO94" s="114"/>
    </row>
    <row r="95" spans="1:41" x14ac:dyDescent="0.35">
      <c r="A95" s="74">
        <v>46119</v>
      </c>
      <c r="B95" s="18" t="str">
        <f>IF($C95="","",IFERROR(INDEX('Staff Directory'!$A$5:$A$594,MATCH($C95,'Staff Directory'!$B$5:$B$594,0)),"⚠ unknown staff"))</f>
        <v>RPN-006-A1</v>
      </c>
      <c r="C95" s="49" t="s">
        <v>958</v>
      </c>
      <c r="D95" s="19" t="str">
        <f>IF($B95="","",IFERROR(INDEX('Staff Directory'!$C$5:$C$594,MATCH($B95,'Staff Directory'!$A$5:$A$594,0)),""))</f>
        <v>RPN</v>
      </c>
      <c r="E95" s="19" t="str">
        <f>IF($B95="","",IFERROR(INDEX('Staff Directory'!$D$5:$D$594,MATCH($B95,'Staff Directory'!$A$5:$A$594,0)),""))</f>
        <v>A1</v>
      </c>
      <c r="F95" s="9" t="s">
        <v>159</v>
      </c>
      <c r="G95" s="18" t="str">
        <f>IF($F95="","",IFERROR(INDEX(Items!$B$5:$B$597,MATCH($F95,Items!$A$5:$A$597,0)),"⚠ not in Items"))</f>
        <v>Documents</v>
      </c>
      <c r="H95" s="19" t="str">
        <f>IF($F95="","",IFERROR(INDEX(Items!$C$5:$C$597,MATCH($F95,Items!$A$5:$A$597,0)),""))</f>
        <v>Standard</v>
      </c>
      <c r="I95" s="23">
        <f>IF($F95="","",IFERROR(INDEX(Items!$E$5:$E$597,MATCH($F95,Items!$A$5:$A$597,0)),""))</f>
        <v>20</v>
      </c>
      <c r="J95" s="115">
        <f>IF(tblIssues[[#This Row],[Qty Override]]&lt;&gt;"",tblIssues[[#This Row],[Qty Override]],IF(tblIssues[[#This Row],[Standard Issue]]="","",tblIssues[[#This Row],[Standard Issue]]))</f>
        <v>20</v>
      </c>
      <c r="K95" s="20">
        <f>IF($F95="","",IFERROR(INDEX(Items!$D$5:$D$597,MATCH($F95,Items!$A$5:$A$597,0)),""))</f>
        <v>0</v>
      </c>
      <c r="L95" s="21">
        <f t="shared" si="14"/>
        <v>0</v>
      </c>
      <c r="M95" s="9" t="str">
        <f t="shared" si="15"/>
        <v/>
      </c>
      <c r="N95" s="24">
        <f>IF($A95="","",WORKDAY($A95,Settings!$C$9,HolidayDates))</f>
        <v>46127</v>
      </c>
      <c r="O95" s="24">
        <f>IF($N95="","",WORKDAY($N95,Settings!$C$10,HolidayDates))</f>
        <v>46167</v>
      </c>
      <c r="P95" s="10" t="s">
        <v>502</v>
      </c>
      <c r="Q95" s="52" t="str">
        <f t="shared" si="21"/>
        <v>Collected</v>
      </c>
      <c r="R95" s="55" t="str">
        <f t="shared" si="22"/>
        <v>2026-04</v>
      </c>
      <c r="S95" s="55">
        <f>IF(OR($B95="",$F95="",$R95=""),"",SUMIFS(tblIssues[Qty Issued],tblIssues[Staff ID],$B95,tblIssues[Item Name],$F95,tblIssues[Month],$R95))</f>
        <v>20</v>
      </c>
      <c r="T95" s="56">
        <f>IF($I95="","",$I95*Settings!$C$11)</f>
        <v>20</v>
      </c>
      <c r="U95" s="57" t="str">
        <f t="shared" si="17"/>
        <v>OK</v>
      </c>
      <c r="V95" s="55" t="str">
        <f t="shared" si="23"/>
        <v/>
      </c>
      <c r="W95" s="55" t="str">
        <f>IF($V95="","",IF(COUNTIF($V$5:$V95,$V95)=1,1,""))</f>
        <v/>
      </c>
      <c r="X95" s="58" t="str">
        <f>IF($W95="","",MAX($X$4:X94)+1)</f>
        <v/>
      </c>
      <c r="Y95" s="62"/>
      <c r="Z95" s="62"/>
      <c r="AA95" s="64" t="str">
        <f>IF($C95="","",IFERROR(INDEX('Staff Directory'!$E$5:$E$594,MATCH($C95,'Staff Directory'!$B$5:$B$594,0)),""))</f>
        <v>firstname042.lastname042@example.com</v>
      </c>
      <c r="AB95" s="64" t="str">
        <f>IF($C95="","",IF(ISNUMBER(SEARCH($D95,Settings!$C$15)),"Pickup","Dispatch"))</f>
        <v>Dispatch</v>
      </c>
      <c r="AC95" s="64" t="str">
        <f t="shared" si="24"/>
        <v>Supply order dispatched</v>
      </c>
      <c r="AD95" s="64" t="str">
        <f t="shared" si="12"/>
        <v>Dear RPN,
Your order has been dispatched and is in transit. Reply if undelivered.</v>
      </c>
      <c r="AE95" s="64" t="str">
        <f t="shared" si="13"/>
        <v>mailto:firstname042.lastname042@example.com?subject=Supply%20order%20dispatched&amp;body=Dear%20RPN%2C%0A%0AYour%20order%20has%20been%20dispatched%20and%20is%20in%20transit.%20Reply%20if%20undelivered.</v>
      </c>
      <c r="AF95" s="89" t="str">
        <f t="shared" si="25"/>
        <v>Draft email</v>
      </c>
      <c r="AG95" s="64" t="str">
        <f>IF($C95="","",IFERROR(INDEX('Staff Directory'!$K$595:$K$599,MATCH($C95,'Staff Directory'!$B$5:$B$599,0)),$D95))</f>
        <v>RPN</v>
      </c>
      <c r="AH95" t="str">
        <f>IF($C95="","",IFERROR(INDEX('Staff Directory'!$I$595:$I$599,MATCH($C95,'Staff Directory'!$B$5:$B$599,0))&amp;" "&amp;INDEX('Staff Directory'!$J$595:$J$599,MATCH($C95,'Staff Directory'!$B$5:$B$599,0)),$AG95))</f>
        <v>RPN</v>
      </c>
      <c r="AI95" s="102"/>
      <c r="AJ95" s="101">
        <f>IF($F95="","",SUMIFS($J$5:$J95,$F$5:$F95,$F95))</f>
        <v>40</v>
      </c>
      <c r="AK95" s="101">
        <f t="shared" si="3"/>
        <v>21</v>
      </c>
      <c r="AL95" s="66" t="str" cm="1">
        <f t="array" ref="AL95">IF($F95="","",IFERROR(INDEX('Lot Balance'!$B$5:$B$500,MATCH(1,INDEX(('Lot Balance'!$A$5:$A$500=$F95)*('Lot Balance'!$K$5:$K$500&lt;$AK95)*('Lot Balance'!$K$5:$K$500+'Lot Balance'!$D$5:$D$500&gt;=$AK95),0),0)),""))</f>
        <v/>
      </c>
      <c r="AM95" s="66" t="str" cm="1">
        <f t="array" ref="AM95">IF($F95="","",IFERROR(INDEX('Lot Balance'!$B$5:$B$500,MATCH(1,INDEX(('Lot Balance'!$A$5:$A$500=$F95)*('Lot Balance'!$K$5:$K$500&lt;$AJ95)*('Lot Balance'!$K$5:$K$500+'Lot Balance'!$D$5:$D$500&gt;=$AJ95),0),0)),""))</f>
        <v/>
      </c>
      <c r="AN95" s="66" t="str">
        <f>IF($F95="","",IF($AI95&lt;&gt;"",IF(COUNTIFS('Lot Balance'!$A$5:$A$500,$F95,'Lot Balance'!$B$5:$B$500,$AI95)=0,"⚠ override is not a lot of this item",IF($AI95=$AL95,"Override = FEFO","Override - FEFO says "&amp;$AL95)),IF($AL95="","⚠ no receipt on file for this item",IF($AM95&lt;&gt;$AL95,"FEFO auto - split, also "&amp;$AM95,"FEFO auto"))))</f>
        <v>⚠ no receipt on file for this item</v>
      </c>
      <c r="AO95" s="114"/>
    </row>
    <row r="96" spans="1:41" x14ac:dyDescent="0.35">
      <c r="A96" s="74">
        <v>46119</v>
      </c>
      <c r="B96" s="18" t="str">
        <f>IF($C96="","",IFERROR(INDEX('Staff Directory'!$A$5:$A$594,MATCH($C96,'Staff Directory'!$B$5:$B$594,0)),"⚠ unknown staff"))</f>
        <v>PSW-105-A5</v>
      </c>
      <c r="C96" s="49" t="s">
        <v>1083</v>
      </c>
      <c r="D96" s="19" t="str">
        <f>IF($B96="","",IFERROR(INDEX('Staff Directory'!$C$5:$C$594,MATCH($B96,'Staff Directory'!$A$5:$A$594,0)),""))</f>
        <v>PSW</v>
      </c>
      <c r="E96" s="19" t="str">
        <f>IF($B96="","",IFERROR(INDEX('Staff Directory'!$D$5:$D$594,MATCH($B96,'Staff Directory'!$A$5:$A$594,0)),""))</f>
        <v>A5</v>
      </c>
      <c r="F96" s="9" t="s">
        <v>127</v>
      </c>
      <c r="G96" s="18" t="str">
        <f>IF($F96="","",IFERROR(INDEX(Items!$B$5:$B$597,MATCH($F96,Items!$A$5:$A$597,0)),"⚠ not in Items"))</f>
        <v>Gloves</v>
      </c>
      <c r="H96" s="19" t="str">
        <f>IF($F96="","",IFERROR(INDEX(Items!$C$5:$C$597,MATCH($F96,Items!$A$5:$A$597,0)),""))</f>
        <v>Medium</v>
      </c>
      <c r="I96" s="23">
        <f>IF($F96="","",IFERROR(INDEX(Items!$E$5:$E$597,MATCH($F96,Items!$A$5:$A$597,0)),""))</f>
        <v>500</v>
      </c>
      <c r="J96" s="115">
        <f>IF(tblIssues[[#This Row],[Qty Override]]&lt;&gt;"",tblIssues[[#This Row],[Qty Override]],IF(tblIssues[[#This Row],[Standard Issue]]="","",tblIssues[[#This Row],[Standard Issue]]))</f>
        <v>500</v>
      </c>
      <c r="K96" s="20">
        <f>IF($F96="","",IFERROR(INDEX(Items!$D$5:$D$597,MATCH($F96,Items!$A$5:$A$597,0)),""))</f>
        <v>5.5E-2</v>
      </c>
      <c r="L96" s="21">
        <f t="shared" si="14"/>
        <v>27.5</v>
      </c>
      <c r="M96" s="9" t="str">
        <f t="shared" si="15"/>
        <v>O17104</v>
      </c>
      <c r="N96" s="24">
        <f>IF($A96="","",WORKDAY($A96,Settings!$C$9,HolidayDates))</f>
        <v>46127</v>
      </c>
      <c r="O96" s="24">
        <f>IF($N96="","",WORKDAY($N96,Settings!$C$10,HolidayDates))</f>
        <v>46167</v>
      </c>
      <c r="P96" s="10" t="s">
        <v>501</v>
      </c>
      <c r="Q96" s="52" t="str">
        <f t="shared" si="21"/>
        <v>Collected</v>
      </c>
      <c r="R96" s="55" t="str">
        <f t="shared" si="22"/>
        <v>2026-04</v>
      </c>
      <c r="S96" s="55">
        <f>IF(OR($B96="",$F96="",$R96=""),"",SUMIFS(tblIssues[Qty Issued],tblIssues[Staff ID],$B96,tblIssues[Item Name],$F96,tblIssues[Month],$R96))</f>
        <v>500</v>
      </c>
      <c r="T96" s="56">
        <f>IF($I96="","",$I96*Settings!$C$11)</f>
        <v>500</v>
      </c>
      <c r="U96" s="57" t="str">
        <f t="shared" si="17"/>
        <v>OK</v>
      </c>
      <c r="V96" s="55" t="str">
        <f t="shared" si="23"/>
        <v/>
      </c>
      <c r="W96" s="55" t="str">
        <f>IF($V96="","",IF(COUNTIF($V$5:$V96,$V96)=1,1,""))</f>
        <v/>
      </c>
      <c r="X96" s="58" t="str">
        <f>IF($W96="","",MAX($X$4:X95)+1)</f>
        <v/>
      </c>
      <c r="Y96" s="62"/>
      <c r="Z96" s="62"/>
      <c r="AA96" s="64" t="str">
        <f>IF($C96="","",IFERROR(INDEX('Staff Directory'!$E$5:$E$594,MATCH($C96,'Staff Directory'!$B$5:$B$594,0)),""))</f>
        <v>firstname167.lastname167@example.com</v>
      </c>
      <c r="AB96" s="64" t="str">
        <f>IF($C96="","",IF(ISNUMBER(SEARCH($D96,Settings!$C$15)),"Pickup","Dispatch"))</f>
        <v>Pickup</v>
      </c>
      <c r="AC96" s="64" t="str">
        <f t="shared" si="24"/>
        <v>Supply order ready for pickup</v>
      </c>
      <c r="AD96" s="64" t="str">
        <f t="shared" si="12"/>
        <v>Dear PSW,
Your order is ready for pickup from Sample Branch, Wed-Fri 9am-4pm.</v>
      </c>
      <c r="AE96" s="64" t="str">
        <f t="shared" si="13"/>
        <v>mailto:firstname167.lastname167@example.com?subject=Supply%20order%20ready%20for%20pickup&amp;body=Dear%20PSW%2C%0A%0AYour%20order%20is%20ready%20for%20pickup%20from%20Sample%20Branch%2C%20Wed-Fri%209am-4pm.</v>
      </c>
      <c r="AF96" s="89" t="str">
        <f t="shared" si="25"/>
        <v>Draft email</v>
      </c>
      <c r="AG96" s="64" t="str">
        <f>IF($C96="","",IFERROR(INDEX('Staff Directory'!$K$595:$K$599,MATCH($C96,'Staff Directory'!$B$5:$B$599,0)),$D96))</f>
        <v>PSW</v>
      </c>
      <c r="AH96" t="str">
        <f>IF($C96="","",IFERROR(INDEX('Staff Directory'!$I$595:$I$599,MATCH($C96,'Staff Directory'!$B$5:$B$599,0))&amp;" "&amp;INDEX('Staff Directory'!$J$595:$J$599,MATCH($C96,'Staff Directory'!$B$5:$B$599,0)),$AG96))</f>
        <v>PSW</v>
      </c>
      <c r="AI96" s="102"/>
      <c r="AJ96" s="101">
        <f>IF($F96="","",SUMIFS($J$5:$J96,$F$5:$F96,$F96))</f>
        <v>6500</v>
      </c>
      <c r="AK96" s="101">
        <f t="shared" si="3"/>
        <v>6001</v>
      </c>
      <c r="AL96" s="66" t="str" cm="1">
        <f t="array" ref="AL96">IF($F96="","",IFERROR(INDEX('Lot Balance'!$B$5:$B$500,MATCH(1,INDEX(('Lot Balance'!$A$5:$A$500=$F96)*('Lot Balance'!$K$5:$K$500&lt;$AK96)*('Lot Balance'!$K$5:$K$500+'Lot Balance'!$D$5:$D$500&gt;=$AK96),0),0)),""))</f>
        <v>O17104</v>
      </c>
      <c r="AM96" s="66" t="str" cm="1">
        <f t="array" ref="AM96">IF($F96="","",IFERROR(INDEX('Lot Balance'!$B$5:$B$500,MATCH(1,INDEX(('Lot Balance'!$A$5:$A$500=$F96)*('Lot Balance'!$K$5:$K$500&lt;$AJ96)*('Lot Balance'!$K$5:$K$500+'Lot Balance'!$D$5:$D$500&gt;=$AJ96),0),0)),""))</f>
        <v>O17104</v>
      </c>
      <c r="AN96" s="66" t="str">
        <f>IF($F96="","",IF($AI96&lt;&gt;"",IF(COUNTIFS('Lot Balance'!$A$5:$A$500,$F96,'Lot Balance'!$B$5:$B$500,$AI96)=0,"⚠ override is not a lot of this item",IF($AI96=$AL96,"Override = FEFO","Override - FEFO says "&amp;$AL96)),IF($AL96="","⚠ no receipt on file for this item",IF($AM96&lt;&gt;$AL96,"FEFO auto - split, also "&amp;$AM96,"FEFO auto"))))</f>
        <v>FEFO auto</v>
      </c>
      <c r="AO96" s="114"/>
    </row>
    <row r="97" spans="1:41" x14ac:dyDescent="0.35">
      <c r="A97" s="74">
        <v>46119</v>
      </c>
      <c r="B97" s="18" t="str">
        <f>IF($C97="","",IFERROR(INDEX('Staff Directory'!$A$5:$A$594,MATCH($C97,'Staff Directory'!$B$5:$B$594,0)),"⚠ unknown staff"))</f>
        <v>PSW-105-A5</v>
      </c>
      <c r="C97" s="49" t="s">
        <v>1083</v>
      </c>
      <c r="D97" s="19" t="str">
        <f>IF($B97="","",IFERROR(INDEX('Staff Directory'!$C$5:$C$594,MATCH($B97,'Staff Directory'!$A$5:$A$594,0)),""))</f>
        <v>PSW</v>
      </c>
      <c r="E97" s="19" t="str">
        <f>IF($B97="","",IFERROR(INDEX('Staff Directory'!$D$5:$D$594,MATCH($B97,'Staff Directory'!$A$5:$A$594,0)),""))</f>
        <v>A5</v>
      </c>
      <c r="F97" s="9" t="s">
        <v>137</v>
      </c>
      <c r="G97" s="18" t="str">
        <f>IF($F97="","",IFERROR(INDEX(Items!$B$5:$B$597,MATCH($F97,Items!$A$5:$A$597,0)),"⚠ not in Items"))</f>
        <v>Sanitizer</v>
      </c>
      <c r="H97" s="19" t="str">
        <f>IF($F97="","",IFERROR(INDEX(Items!$C$5:$C$597,MATCH($F97,Items!$A$5:$A$597,0)),""))</f>
        <v>118 ML</v>
      </c>
      <c r="I97" s="23">
        <f>IF($F97="","",IFERROR(INDEX(Items!$E$5:$E$597,MATCH($F97,Items!$A$5:$A$597,0)),""))</f>
        <v>2</v>
      </c>
      <c r="J97" s="115">
        <f>IF(tblIssues[[#This Row],[Qty Override]]&lt;&gt;"",tblIssues[[#This Row],[Qty Override]],IF(tblIssues[[#This Row],[Standard Issue]]="","",tblIssues[[#This Row],[Standard Issue]]))</f>
        <v>2</v>
      </c>
      <c r="K97" s="20">
        <f>IF($F97="","",IFERROR(INDEX(Items!$D$5:$D$597,MATCH($F97,Items!$A$5:$A$597,0)),""))</f>
        <v>4.49</v>
      </c>
      <c r="L97" s="21">
        <f t="shared" si="14"/>
        <v>8.98</v>
      </c>
      <c r="M97" s="9" t="str">
        <f t="shared" si="15"/>
        <v>563963-5</v>
      </c>
      <c r="N97" s="24">
        <f>IF($A97="","",WORKDAY($A97,Settings!$C$9,HolidayDates))</f>
        <v>46127</v>
      </c>
      <c r="O97" s="24">
        <f>IF($N97="","",WORKDAY($N97,Settings!$C$10,HolidayDates))</f>
        <v>46167</v>
      </c>
      <c r="P97" s="10" t="s">
        <v>501</v>
      </c>
      <c r="Q97" s="52" t="str">
        <f t="shared" si="21"/>
        <v>Collected</v>
      </c>
      <c r="R97" s="55" t="str">
        <f t="shared" si="22"/>
        <v>2026-04</v>
      </c>
      <c r="S97" s="55">
        <f>IF(OR($B97="",$F97="",$R97=""),"",SUMIFS(tblIssues[Qty Issued],tblIssues[Staff ID],$B97,tblIssues[Item Name],$F97,tblIssues[Month],$R97))</f>
        <v>2</v>
      </c>
      <c r="T97" s="56">
        <f>IF($I97="","",$I97*Settings!$C$11)</f>
        <v>2</v>
      </c>
      <c r="U97" s="57" t="str">
        <f t="shared" si="17"/>
        <v>OK</v>
      </c>
      <c r="V97" s="55" t="str">
        <f t="shared" si="23"/>
        <v/>
      </c>
      <c r="W97" s="55" t="str">
        <f>IF($V97="","",IF(COUNTIF($V$5:$V97,$V97)=1,1,""))</f>
        <v/>
      </c>
      <c r="X97" s="58" t="str">
        <f>IF($W97="","",MAX($X$4:X96)+1)</f>
        <v/>
      </c>
      <c r="Y97" s="62"/>
      <c r="Z97" s="62"/>
      <c r="AA97" s="64" t="str">
        <f>IF($C97="","",IFERROR(INDEX('Staff Directory'!$E$5:$E$594,MATCH($C97,'Staff Directory'!$B$5:$B$594,0)),""))</f>
        <v>firstname167.lastname167@example.com</v>
      </c>
      <c r="AB97" s="64" t="str">
        <f>IF($C97="","",IF(ISNUMBER(SEARCH($D97,Settings!$C$15)),"Pickup","Dispatch"))</f>
        <v>Pickup</v>
      </c>
      <c r="AC97" s="64" t="str">
        <f t="shared" si="24"/>
        <v>Supply order ready for pickup</v>
      </c>
      <c r="AD97" s="64" t="str">
        <f t="shared" si="12"/>
        <v>Dear PSW,
Your order is ready for pickup from Sample Branch, Wed-Fri 9am-4pm.</v>
      </c>
      <c r="AE97" s="64" t="str">
        <f t="shared" si="13"/>
        <v>mailto:firstname167.lastname167@example.com?subject=Supply%20order%20ready%20for%20pickup&amp;body=Dear%20PSW%2C%0A%0AYour%20order%20is%20ready%20for%20pickup%20from%20Sample%20Branch%2C%20Wed-Fri%209am-4pm.</v>
      </c>
      <c r="AF97" s="89" t="str">
        <f t="shared" si="25"/>
        <v>Draft email</v>
      </c>
      <c r="AG97" s="64" t="str">
        <f>IF($C97="","",IFERROR(INDEX('Staff Directory'!$K$595:$K$599,MATCH($C97,'Staff Directory'!$B$5:$B$599,0)),$D97))</f>
        <v>PSW</v>
      </c>
      <c r="AH97" t="str">
        <f>IF($C97="","",IFERROR(INDEX('Staff Directory'!$I$595:$I$599,MATCH($C97,'Staff Directory'!$B$5:$B$599,0))&amp;" "&amp;INDEX('Staff Directory'!$J$595:$J$599,MATCH($C97,'Staff Directory'!$B$5:$B$599,0)),$AG97))</f>
        <v>PSW</v>
      </c>
      <c r="AI97" s="102"/>
      <c r="AJ97" s="101">
        <f>IF($F97="","",SUMIFS($J$5:$J97,$F$5:$F97,$F97))</f>
        <v>38</v>
      </c>
      <c r="AK97" s="101">
        <f t="shared" si="3"/>
        <v>37</v>
      </c>
      <c r="AL97" s="66" t="str" cm="1">
        <f t="array" ref="AL97">IF($F97="","",IFERROR(INDEX('Lot Balance'!$B$5:$B$500,MATCH(1,INDEX(('Lot Balance'!$A$5:$A$500=$F97)*('Lot Balance'!$K$5:$K$500&lt;$AK97)*('Lot Balance'!$K$5:$K$500+'Lot Balance'!$D$5:$D$500&gt;=$AK97),0),0)),""))</f>
        <v>563963-5</v>
      </c>
      <c r="AM97" s="66" t="str" cm="1">
        <f t="array" ref="AM97">IF($F97="","",IFERROR(INDEX('Lot Balance'!$B$5:$B$500,MATCH(1,INDEX(('Lot Balance'!$A$5:$A$500=$F97)*('Lot Balance'!$K$5:$K$500&lt;$AJ97)*('Lot Balance'!$K$5:$K$500+'Lot Balance'!$D$5:$D$500&gt;=$AJ97),0),0)),""))</f>
        <v>563963-5</v>
      </c>
      <c r="AN97" s="66" t="str">
        <f>IF($F97="","",IF($AI97&lt;&gt;"",IF(COUNTIFS('Lot Balance'!$A$5:$A$500,$F97,'Lot Balance'!$B$5:$B$500,$AI97)=0,"⚠ override is not a lot of this item",IF($AI97=$AL97,"Override = FEFO","Override - FEFO says "&amp;$AL97)),IF($AL97="","⚠ no receipt on file for this item",IF($AM97&lt;&gt;$AL97,"FEFO auto - split, also "&amp;$AM97,"FEFO auto"))))</f>
        <v>FEFO auto</v>
      </c>
      <c r="AO97" s="114"/>
    </row>
    <row r="98" spans="1:41" x14ac:dyDescent="0.35">
      <c r="A98" s="74">
        <v>46119</v>
      </c>
      <c r="B98" s="18" t="str">
        <f>IF($C98="","",IFERROR(INDEX('Staff Directory'!$A$5:$A$594,MATCH($C98,'Staff Directory'!$B$5:$B$594,0)),"⚠ unknown staff"))</f>
        <v>PSW-105-A5</v>
      </c>
      <c r="C98" s="49" t="s">
        <v>1083</v>
      </c>
      <c r="D98" s="19" t="str">
        <f>IF($B98="","",IFERROR(INDEX('Staff Directory'!$C$5:$C$594,MATCH($B98,'Staff Directory'!$A$5:$A$594,0)),""))</f>
        <v>PSW</v>
      </c>
      <c r="E98" s="19" t="str">
        <f>IF($B98="","",IFERROR(INDEX('Staff Directory'!$D$5:$D$594,MATCH($B98,'Staff Directory'!$A$5:$A$594,0)),""))</f>
        <v>A5</v>
      </c>
      <c r="F98" s="9" t="s">
        <v>115</v>
      </c>
      <c r="G98" s="18" t="str">
        <f>IF($F98="","",IFERROR(INDEX(Items!$B$5:$B$597,MATCH($F98,Items!$A$5:$A$597,0)),"⚠ not in Items"))</f>
        <v>Wipes</v>
      </c>
      <c r="H98" s="19">
        <f>IF($F98="","",IFERROR(INDEX(Items!$C$5:$C$597,MATCH($F98,Items!$A$5:$A$597,0)),""))</f>
        <v>80</v>
      </c>
      <c r="I98" s="23">
        <f>IF($F98="","",IFERROR(INDEX(Items!$E$5:$E$597,MATCH($F98,Items!$A$5:$A$597,0)),""))</f>
        <v>80</v>
      </c>
      <c r="J98" s="115">
        <f>IF(tblIssues[[#This Row],[Qty Override]]&lt;&gt;"",tblIssues[[#This Row],[Qty Override]],IF(tblIssues[[#This Row],[Standard Issue]]="","",tblIssues[[#This Row],[Standard Issue]]))</f>
        <v>80</v>
      </c>
      <c r="K98" s="20">
        <f>IF($F98="","",IFERROR(INDEX(Items!$D$5:$D$597,MATCH($F98,Items!$A$5:$A$597,0)),""))</f>
        <v>0.1</v>
      </c>
      <c r="L98" s="21">
        <f t="shared" si="14"/>
        <v>8</v>
      </c>
      <c r="M98" s="9" t="str">
        <f t="shared" si="15"/>
        <v>LYSL500290</v>
      </c>
      <c r="N98" s="24">
        <f>IF($A98="","",WORKDAY($A98,Settings!$C$9,HolidayDates))</f>
        <v>46127</v>
      </c>
      <c r="O98" s="24">
        <f>IF($N98="","",WORKDAY($N98,Settings!$C$10,HolidayDates))</f>
        <v>46167</v>
      </c>
      <c r="P98" s="10" t="s">
        <v>501</v>
      </c>
      <c r="Q98" s="52" t="str">
        <f t="shared" si="21"/>
        <v>Collected</v>
      </c>
      <c r="R98" s="55" t="str">
        <f t="shared" si="22"/>
        <v>2026-04</v>
      </c>
      <c r="S98" s="55">
        <f>IF(OR($B98="",$F98="",$R98=""),"",SUMIFS(tblIssues[Qty Issued],tblIssues[Staff ID],$B98,tblIssues[Item Name],$F98,tblIssues[Month],$R98))</f>
        <v>80</v>
      </c>
      <c r="T98" s="56">
        <f>IF($I98="","",$I98*Settings!$C$11)</f>
        <v>80</v>
      </c>
      <c r="U98" s="57" t="str">
        <f t="shared" si="17"/>
        <v>OK</v>
      </c>
      <c r="V98" s="55" t="str">
        <f t="shared" si="23"/>
        <v/>
      </c>
      <c r="W98" s="55" t="str">
        <f>IF($V98="","",IF(COUNTIF($V$5:$V98,$V98)=1,1,""))</f>
        <v/>
      </c>
      <c r="X98" s="58" t="str">
        <f>IF($W98="","",MAX($X$4:X97)+1)</f>
        <v/>
      </c>
      <c r="Y98" s="62"/>
      <c r="Z98" s="62"/>
      <c r="AA98" s="64" t="str">
        <f>IF($C98="","",IFERROR(INDEX('Staff Directory'!$E$5:$E$594,MATCH($C98,'Staff Directory'!$B$5:$B$594,0)),""))</f>
        <v>firstname167.lastname167@example.com</v>
      </c>
      <c r="AB98" s="64" t="str">
        <f>IF($C98="","",IF(ISNUMBER(SEARCH($D98,Settings!$C$15)),"Pickup","Dispatch"))</f>
        <v>Pickup</v>
      </c>
      <c r="AC98" s="64" t="str">
        <f t="shared" si="24"/>
        <v>Supply order ready for pickup</v>
      </c>
      <c r="AD98" s="64" t="str">
        <f t="shared" si="12"/>
        <v>Dear PSW,
Your order is ready for pickup from Sample Branch, Wed-Fri 9am-4pm.</v>
      </c>
      <c r="AE98" s="64" t="str">
        <f t="shared" si="13"/>
        <v>mailto:firstname167.lastname167@example.com?subject=Supply%20order%20ready%20for%20pickup&amp;body=Dear%20PSW%2C%0A%0AYour%20order%20is%20ready%20for%20pickup%20from%20Sample%20Branch%2C%20Wed-Fri%209am-4pm.</v>
      </c>
      <c r="AF98" s="89" t="str">
        <f t="shared" si="25"/>
        <v>Draft email</v>
      </c>
      <c r="AG98" s="64" t="str">
        <f>IF($C98="","",IFERROR(INDEX('Staff Directory'!$K$595:$K$599,MATCH($C98,'Staff Directory'!$B$5:$B$599,0)),$D98))</f>
        <v>PSW</v>
      </c>
      <c r="AH98" t="str">
        <f>IF($C98="","",IFERROR(INDEX('Staff Directory'!$I$595:$I$599,MATCH($C98,'Staff Directory'!$B$5:$B$599,0))&amp;" "&amp;INDEX('Staff Directory'!$J$595:$J$599,MATCH($C98,'Staff Directory'!$B$5:$B$599,0)),$AG98))</f>
        <v>PSW</v>
      </c>
      <c r="AI98" s="102"/>
      <c r="AJ98" s="101">
        <f>IF($F98="","",SUMIFS($J$5:$J98,$F$5:$F98,$F98))</f>
        <v>1760</v>
      </c>
      <c r="AK98" s="101">
        <f t="shared" si="3"/>
        <v>1681</v>
      </c>
      <c r="AL98" s="66" t="str" cm="1">
        <f t="array" ref="AL98">IF($F98="","",IFERROR(INDEX('Lot Balance'!$B$5:$B$500,MATCH(1,INDEX(('Lot Balance'!$A$5:$A$500=$F98)*('Lot Balance'!$K$5:$K$500&lt;$AK98)*('Lot Balance'!$K$5:$K$500+'Lot Balance'!$D$5:$D$500&gt;=$AK98),0),0)),""))</f>
        <v>LYSL500290</v>
      </c>
      <c r="AM98" s="66" t="str" cm="1">
        <f t="array" ref="AM98">IF($F98="","",IFERROR(INDEX('Lot Balance'!$B$5:$B$500,MATCH(1,INDEX(('Lot Balance'!$A$5:$A$500=$F98)*('Lot Balance'!$K$5:$K$500&lt;$AJ98)*('Lot Balance'!$K$5:$K$500+'Lot Balance'!$D$5:$D$500&gt;=$AJ98),0),0)),""))</f>
        <v>LYSL500290</v>
      </c>
      <c r="AN98" s="66" t="str">
        <f>IF($F98="","",IF($AI98&lt;&gt;"",IF(COUNTIFS('Lot Balance'!$A$5:$A$500,$F98,'Lot Balance'!$B$5:$B$500,$AI98)=0,"⚠ override is not a lot of this item",IF($AI98=$AL98,"Override = FEFO","Override - FEFO says "&amp;$AL98)),IF($AL98="","⚠ no receipt on file for this item",IF($AM98&lt;&gt;$AL98,"FEFO auto - split, also "&amp;$AM98,"FEFO auto"))))</f>
        <v>FEFO auto</v>
      </c>
      <c r="AO98" s="114"/>
    </row>
    <row r="99" spans="1:41" x14ac:dyDescent="0.35">
      <c r="A99" s="74">
        <v>46119</v>
      </c>
      <c r="B99" s="18" t="str">
        <f>IF($C99="","",IFERROR(INDEX('Staff Directory'!$A$5:$A$594,MATCH($C99,'Staff Directory'!$B$5:$B$594,0)),"⚠ unknown staff"))</f>
        <v>PSW-105-A5</v>
      </c>
      <c r="C99" s="49" t="s">
        <v>1083</v>
      </c>
      <c r="D99" s="19" t="str">
        <f>IF($B99="","",IFERROR(INDEX('Staff Directory'!$C$5:$C$594,MATCH($B99,'Staff Directory'!$A$5:$A$594,0)),""))</f>
        <v>PSW</v>
      </c>
      <c r="E99" s="19" t="str">
        <f>IF($B99="","",IFERROR(INDEX('Staff Directory'!$D$5:$D$594,MATCH($B99,'Staff Directory'!$A$5:$A$594,0)),""))</f>
        <v>A5</v>
      </c>
      <c r="F99" s="9" t="s">
        <v>156</v>
      </c>
      <c r="G99" s="18" t="str">
        <f>IF($F99="","",IFERROR(INDEX(Items!$B$5:$B$597,MATCH($F99,Items!$A$5:$A$597,0)),"⚠ not in Items"))</f>
        <v>Masks</v>
      </c>
      <c r="H99" s="19" t="str">
        <f>IF($F99="","",IFERROR(INDEX(Items!$C$5:$C$597,MATCH($F99,Items!$A$5:$A$597,0)),""))</f>
        <v>One Size</v>
      </c>
      <c r="I99" s="23">
        <f>IF($F99="","",IFERROR(INDEX(Items!$E$5:$E$597,MATCH($F99,Items!$A$5:$A$597,0)),""))</f>
        <v>50</v>
      </c>
      <c r="J99" s="115">
        <f>IF(tblIssues[[#This Row],[Qty Override]]&lt;&gt;"",tblIssues[[#This Row],[Qty Override]],IF(tblIssues[[#This Row],[Standard Issue]]="","",tblIssues[[#This Row],[Standard Issue]]))</f>
        <v>50</v>
      </c>
      <c r="K99" s="20">
        <f>IF($F99="","",IFERROR(INDEX(Items!$D$5:$D$597,MATCH($F99,Items!$A$5:$A$597,0)),""))</f>
        <v>0.25</v>
      </c>
      <c r="L99" s="21">
        <f t="shared" si="14"/>
        <v>12.5</v>
      </c>
      <c r="M99" s="9" t="str">
        <f t="shared" si="15"/>
        <v>0125FPC24-0</v>
      </c>
      <c r="N99" s="24">
        <f>IF($A99="","",WORKDAY($A99,Settings!$C$9,HolidayDates))</f>
        <v>46127</v>
      </c>
      <c r="O99" s="24">
        <f>IF($N99="","",WORKDAY($N99,Settings!$C$10,HolidayDates))</f>
        <v>46167</v>
      </c>
      <c r="P99" s="10" t="s">
        <v>501</v>
      </c>
      <c r="Q99" s="52" t="str">
        <f t="shared" si="21"/>
        <v>Collected</v>
      </c>
      <c r="R99" s="55" t="str">
        <f t="shared" si="22"/>
        <v>2026-04</v>
      </c>
      <c r="S99" s="55">
        <f>IF(OR($B99="",$F99="",$R99=""),"",SUMIFS(tblIssues[Qty Issued],tblIssues[Staff ID],$B99,tblIssues[Item Name],$F99,tblIssues[Month],$R99))</f>
        <v>50</v>
      </c>
      <c r="T99" s="56">
        <f>IF($I99="","",$I99*Settings!$C$11)</f>
        <v>50</v>
      </c>
      <c r="U99" s="57" t="str">
        <f t="shared" si="17"/>
        <v>OK</v>
      </c>
      <c r="V99" s="55" t="str">
        <f t="shared" si="23"/>
        <v/>
      </c>
      <c r="W99" s="55" t="str">
        <f>IF($V99="","",IF(COUNTIF($V$5:$V99,$V99)=1,1,""))</f>
        <v/>
      </c>
      <c r="X99" s="58" t="str">
        <f>IF($W99="","",MAX($X$4:X98)+1)</f>
        <v/>
      </c>
      <c r="Y99" s="62"/>
      <c r="Z99" s="62"/>
      <c r="AA99" s="64" t="str">
        <f>IF($C99="","",IFERROR(INDEX('Staff Directory'!$E$5:$E$594,MATCH($C99,'Staff Directory'!$B$5:$B$594,0)),""))</f>
        <v>firstname167.lastname167@example.com</v>
      </c>
      <c r="AB99" s="64" t="str">
        <f>IF($C99="","",IF(ISNUMBER(SEARCH($D99,Settings!$C$15)),"Pickup","Dispatch"))</f>
        <v>Pickup</v>
      </c>
      <c r="AC99" s="64" t="str">
        <f t="shared" si="24"/>
        <v>Supply order ready for pickup</v>
      </c>
      <c r="AD99" s="64" t="str">
        <f t="shared" si="12"/>
        <v>Dear PSW,
Your order is ready for pickup from Sample Branch, Wed-Fri 9am-4pm.</v>
      </c>
      <c r="AE99" s="64" t="str">
        <f t="shared" si="13"/>
        <v>mailto:firstname167.lastname167@example.com?subject=Supply%20order%20ready%20for%20pickup&amp;body=Dear%20PSW%2C%0A%0AYour%20order%20is%20ready%20for%20pickup%20from%20Sample%20Branch%2C%20Wed-Fri%209am-4pm.</v>
      </c>
      <c r="AF99" s="89" t="str">
        <f t="shared" si="25"/>
        <v>Draft email</v>
      </c>
      <c r="AG99" s="64" t="str">
        <f>IF($C99="","",IFERROR(INDEX('Staff Directory'!$K$595:$K$599,MATCH($C99,'Staff Directory'!$B$5:$B$599,0)),$D99))</f>
        <v>PSW</v>
      </c>
      <c r="AH99" t="str">
        <f>IF($C99="","",IFERROR(INDEX('Staff Directory'!$I$595:$I$599,MATCH($C99,'Staff Directory'!$B$5:$B$599,0))&amp;" "&amp;INDEX('Staff Directory'!$J$595:$J$599,MATCH($C99,'Staff Directory'!$B$5:$B$599,0)),$AG99))</f>
        <v>PSW</v>
      </c>
      <c r="AI99" s="102"/>
      <c r="AJ99" s="101">
        <f>IF($F99="","",SUMIFS($J$5:$J99,$F$5:$F99,$F99))</f>
        <v>800</v>
      </c>
      <c r="AK99" s="101">
        <f t="shared" si="3"/>
        <v>751</v>
      </c>
      <c r="AL99" s="66" t="str" cm="1">
        <f t="array" ref="AL99">IF($F99="","",IFERROR(INDEX('Lot Balance'!$B$5:$B$500,MATCH(1,INDEX(('Lot Balance'!$A$5:$A$500=$F99)*('Lot Balance'!$K$5:$K$500&lt;$AK99)*('Lot Balance'!$K$5:$K$500+'Lot Balance'!$D$5:$D$500&gt;=$AK99),0),0)),""))</f>
        <v>0125FPC24-0</v>
      </c>
      <c r="AM99" s="66" t="str" cm="1">
        <f t="array" ref="AM99">IF($F99="","",IFERROR(INDEX('Lot Balance'!$B$5:$B$500,MATCH(1,INDEX(('Lot Balance'!$A$5:$A$500=$F99)*('Lot Balance'!$K$5:$K$500&lt;$AJ99)*('Lot Balance'!$K$5:$K$500+'Lot Balance'!$D$5:$D$500&gt;=$AJ99),0),0)),""))</f>
        <v>0125FPC24-0</v>
      </c>
      <c r="AN99" s="66" t="str">
        <f>IF($F99="","",IF($AI99&lt;&gt;"",IF(COUNTIFS('Lot Balance'!$A$5:$A$500,$F99,'Lot Balance'!$B$5:$B$500,$AI99)=0,"⚠ override is not a lot of this item",IF($AI99=$AL99,"Override = FEFO","Override - FEFO says "&amp;$AL99)),IF($AL99="","⚠ no receipt on file for this item",IF($AM99&lt;&gt;$AL99,"FEFO auto - split, also "&amp;$AM99,"FEFO auto"))))</f>
        <v>FEFO auto</v>
      </c>
      <c r="AO99" s="114"/>
    </row>
    <row r="100" spans="1:41" x14ac:dyDescent="0.35">
      <c r="A100" s="74">
        <v>46119</v>
      </c>
      <c r="B100" s="18" t="str">
        <f>IF($C100="","",IFERROR(INDEX('Staff Directory'!$A$5:$A$594,MATCH($C100,'Staff Directory'!$B$5:$B$594,0)),"⚠ unknown staff"))</f>
        <v>PSW-105-A5</v>
      </c>
      <c r="C100" s="49" t="s">
        <v>1083</v>
      </c>
      <c r="D100" s="19" t="str">
        <f>IF($B100="","",IFERROR(INDEX('Staff Directory'!$C$5:$C$594,MATCH($B100,'Staff Directory'!$A$5:$A$594,0)),""))</f>
        <v>PSW</v>
      </c>
      <c r="E100" s="19" t="str">
        <f>IF($B100="","",IFERROR(INDEX('Staff Directory'!$D$5:$D$594,MATCH($B100,'Staff Directory'!$A$5:$A$594,0)),""))</f>
        <v>A5</v>
      </c>
      <c r="F100" s="9" t="s">
        <v>755</v>
      </c>
      <c r="G100" s="18" t="str">
        <f>IF($F100="","",IFERROR(INDEX(Items!$B$5:$B$597,MATCH($F100,Items!$A$5:$A$597,0)),"⚠ not in Items"))</f>
        <v>Documents</v>
      </c>
      <c r="H100" s="19" t="str">
        <f>IF($F100="","",IFERROR(INDEX(Items!$C$5:$C$597,MATCH($F100,Items!$A$5:$A$597,0)),""))</f>
        <v>Standard</v>
      </c>
      <c r="I100" s="23">
        <f>IF($F100="","",IFERROR(INDEX(Items!$E$5:$E$597,MATCH($F100,Items!$A$5:$A$597,0)),""))</f>
        <v>2</v>
      </c>
      <c r="J100" s="115">
        <f>IF(tblIssues[[#This Row],[Qty Override]]&lt;&gt;"",tblIssues[[#This Row],[Qty Override]],IF(tblIssues[[#This Row],[Standard Issue]]="","",tblIssues[[#This Row],[Standard Issue]]))</f>
        <v>2</v>
      </c>
      <c r="K100" s="20">
        <f>IF($F100="","",IFERROR(INDEX(Items!$D$5:$D$597,MATCH($F100,Items!$A$5:$A$597,0)),""))</f>
        <v>0</v>
      </c>
      <c r="L100" s="21">
        <f t="shared" si="14"/>
        <v>0</v>
      </c>
      <c r="M100" s="9" t="str">
        <f t="shared" si="15"/>
        <v/>
      </c>
      <c r="N100" s="24">
        <f>IF($A100="","",WORKDAY($A100,Settings!$C$9,HolidayDates))</f>
        <v>46127</v>
      </c>
      <c r="O100" s="24">
        <f>IF($N100="","",WORKDAY($N100,Settings!$C$10,HolidayDates))</f>
        <v>46167</v>
      </c>
      <c r="P100" s="10" t="s">
        <v>501</v>
      </c>
      <c r="Q100" s="52" t="str">
        <f t="shared" si="21"/>
        <v>Collected</v>
      </c>
      <c r="R100" s="55" t="str">
        <f t="shared" si="22"/>
        <v>2026-04</v>
      </c>
      <c r="S100" s="55">
        <f>IF(OR($B100="",$F100="",$R100=""),"",SUMIFS(tblIssues[Qty Issued],tblIssues[Staff ID],$B100,tblIssues[Item Name],$F100,tblIssues[Month],$R100))</f>
        <v>2</v>
      </c>
      <c r="T100" s="56">
        <f>IF($I100="","",$I100*Settings!$C$11)</f>
        <v>2</v>
      </c>
      <c r="U100" s="57" t="str">
        <f t="shared" si="17"/>
        <v>OK</v>
      </c>
      <c r="V100" s="55" t="str">
        <f t="shared" si="23"/>
        <v/>
      </c>
      <c r="W100" s="55" t="str">
        <f>IF($V100="","",IF(COUNTIF($V$5:$V100,$V100)=1,1,""))</f>
        <v/>
      </c>
      <c r="X100" s="58" t="str">
        <f>IF($W100="","",MAX($X$4:X99)+1)</f>
        <v/>
      </c>
      <c r="Y100" s="62"/>
      <c r="Z100" s="62"/>
      <c r="AA100" s="64" t="str">
        <f>IF($C100="","",IFERROR(INDEX('Staff Directory'!$E$5:$E$594,MATCH($C100,'Staff Directory'!$B$5:$B$594,0)),""))</f>
        <v>firstname167.lastname167@example.com</v>
      </c>
      <c r="AB100" s="64" t="str">
        <f>IF($C100="","",IF(ISNUMBER(SEARCH($D100,Settings!$C$15)),"Pickup","Dispatch"))</f>
        <v>Pickup</v>
      </c>
      <c r="AC100" s="64" t="str">
        <f t="shared" si="24"/>
        <v>Supply order ready for pickup</v>
      </c>
      <c r="AD100" s="64" t="str">
        <f t="shared" si="12"/>
        <v>Dear PSW,
Your order is ready for pickup from Sample Branch, Wed-Fri 9am-4pm.</v>
      </c>
      <c r="AE100" s="64" t="str">
        <f t="shared" si="13"/>
        <v>mailto:firstname167.lastname167@example.com?subject=Supply%20order%20ready%20for%20pickup&amp;body=Dear%20PSW%2C%0A%0AYour%20order%20is%20ready%20for%20pickup%20from%20Sample%20Branch%2C%20Wed-Fri%209am-4pm.</v>
      </c>
      <c r="AF100" s="89" t="str">
        <f t="shared" si="25"/>
        <v>Draft email</v>
      </c>
      <c r="AG100" s="64" t="str">
        <f>IF($C100="","",IFERROR(INDEX('Staff Directory'!$K$595:$K$599,MATCH($C100,'Staff Directory'!$B$5:$B$599,0)),$D100))</f>
        <v>PSW</v>
      </c>
      <c r="AH100" t="str">
        <f>IF($C100="","",IFERROR(INDEX('Staff Directory'!$I$595:$I$599,MATCH($C100,'Staff Directory'!$B$5:$B$599,0))&amp;" "&amp;INDEX('Staff Directory'!$J$595:$J$599,MATCH($C100,'Staff Directory'!$B$5:$B$599,0)),$AG100))</f>
        <v>PSW</v>
      </c>
      <c r="AI100" s="102"/>
      <c r="AJ100" s="101">
        <f>IF($F100="","",SUMIFS($J$5:$J100,$F$5:$F100,$F100))</f>
        <v>4</v>
      </c>
      <c r="AK100" s="101">
        <f t="shared" si="3"/>
        <v>3</v>
      </c>
      <c r="AL100" s="66" t="str" cm="1">
        <f t="array" ref="AL100">IF($F100="","",IFERROR(INDEX('Lot Balance'!$B$5:$B$500,MATCH(1,INDEX(('Lot Balance'!$A$5:$A$500=$F100)*('Lot Balance'!$K$5:$K$500&lt;$AK100)*('Lot Balance'!$K$5:$K$500+'Lot Balance'!$D$5:$D$500&gt;=$AK100),0),0)),""))</f>
        <v/>
      </c>
      <c r="AM100" s="66" t="str" cm="1">
        <f t="array" ref="AM100">IF($F100="","",IFERROR(INDEX('Lot Balance'!$B$5:$B$500,MATCH(1,INDEX(('Lot Balance'!$A$5:$A$500=$F100)*('Lot Balance'!$K$5:$K$500&lt;$AJ100)*('Lot Balance'!$K$5:$K$500+'Lot Balance'!$D$5:$D$500&gt;=$AJ100),0),0)),""))</f>
        <v/>
      </c>
      <c r="AN100" s="66" t="str">
        <f>IF($F100="","",IF($AI100&lt;&gt;"",IF(COUNTIFS('Lot Balance'!$A$5:$A$500,$F100,'Lot Balance'!$B$5:$B$500,$AI100)=0,"⚠ override is not a lot of this item",IF($AI100=$AL100,"Override = FEFO","Override - FEFO says "&amp;$AL100)),IF($AL100="","⚠ no receipt on file for this item",IF($AM100&lt;&gt;$AL100,"FEFO auto - split, also "&amp;$AM100,"FEFO auto"))))</f>
        <v>⚠ no receipt on file for this item</v>
      </c>
      <c r="AO100" s="114"/>
    </row>
    <row r="101" spans="1:41" x14ac:dyDescent="0.35">
      <c r="A101" s="74">
        <v>46119</v>
      </c>
      <c r="B101" s="18" t="str">
        <f>IF($C101="","",IFERROR(INDEX('Staff Directory'!$A$5:$A$594,MATCH($C101,'Staff Directory'!$B$5:$B$594,0)),"⚠ unknown staff"))</f>
        <v>PSW-058-A5</v>
      </c>
      <c r="C101" s="49" t="s">
        <v>1034</v>
      </c>
      <c r="D101" s="19" t="str">
        <f>IF($B101="","",IFERROR(INDEX('Staff Directory'!$C$5:$C$594,MATCH($B101,'Staff Directory'!$A$5:$A$594,0)),""))</f>
        <v>PSW</v>
      </c>
      <c r="E101" s="19" t="str">
        <f>IF($B101="","",IFERROR(INDEX('Staff Directory'!$D$5:$D$594,MATCH($B101,'Staff Directory'!$A$5:$A$594,0)),""))</f>
        <v>A5</v>
      </c>
      <c r="F101" s="9" t="s">
        <v>127</v>
      </c>
      <c r="G101" s="18" t="str">
        <f>IF($F101="","",IFERROR(INDEX(Items!$B$5:$B$597,MATCH($F101,Items!$A$5:$A$597,0)),"⚠ not in Items"))</f>
        <v>Gloves</v>
      </c>
      <c r="H101" s="19" t="str">
        <f>IF($F101="","",IFERROR(INDEX(Items!$C$5:$C$597,MATCH($F101,Items!$A$5:$A$597,0)),""))</f>
        <v>Medium</v>
      </c>
      <c r="I101" s="23">
        <f>IF($F101="","",IFERROR(INDEX(Items!$E$5:$E$597,MATCH($F101,Items!$A$5:$A$597,0)),""))</f>
        <v>500</v>
      </c>
      <c r="J101" s="115">
        <f>IF(tblIssues[[#This Row],[Qty Override]]&lt;&gt;"",tblIssues[[#This Row],[Qty Override]],IF(tblIssues[[#This Row],[Standard Issue]]="","",tblIssues[[#This Row],[Standard Issue]]))</f>
        <v>500</v>
      </c>
      <c r="K101" s="20">
        <f>IF($F101="","",IFERROR(INDEX(Items!$D$5:$D$597,MATCH($F101,Items!$A$5:$A$597,0)),""))</f>
        <v>5.5E-2</v>
      </c>
      <c r="L101" s="21">
        <f t="shared" si="14"/>
        <v>27.5</v>
      </c>
      <c r="M101" s="9" t="str">
        <f t="shared" si="15"/>
        <v>O17104</v>
      </c>
      <c r="N101" s="24">
        <f>IF($A101="","",WORKDAY($A101,Settings!$C$9,HolidayDates))</f>
        <v>46127</v>
      </c>
      <c r="O101" s="24">
        <f>IF($N101="","",WORKDAY($N101,Settings!$C$10,HolidayDates))</f>
        <v>46167</v>
      </c>
      <c r="P101" s="10" t="s">
        <v>501</v>
      </c>
      <c r="Q101" s="52" t="str">
        <f t="shared" si="21"/>
        <v>Collected</v>
      </c>
      <c r="R101" s="55" t="str">
        <f t="shared" si="22"/>
        <v>2026-04</v>
      </c>
      <c r="S101" s="55">
        <f>IF(OR($B101="",$F101="",$R101=""),"",SUMIFS(tblIssues[Qty Issued],tblIssues[Staff ID],$B101,tblIssues[Item Name],$F101,tblIssues[Month],$R101))</f>
        <v>500</v>
      </c>
      <c r="T101" s="56">
        <f>IF($I101="","",$I101*Settings!$C$11)</f>
        <v>500</v>
      </c>
      <c r="U101" s="57" t="str">
        <f t="shared" si="17"/>
        <v>OK</v>
      </c>
      <c r="V101" s="55" t="str">
        <f t="shared" si="23"/>
        <v/>
      </c>
      <c r="W101" s="55" t="str">
        <f>IF($V101="","",IF(COUNTIF($V$5:$V101,$V101)=1,1,""))</f>
        <v/>
      </c>
      <c r="X101" s="58" t="str">
        <f>IF($W101="","",MAX($X$4:X100)+1)</f>
        <v/>
      </c>
      <c r="Y101" s="62"/>
      <c r="Z101" s="62"/>
      <c r="AA101" s="64" t="str">
        <f>IF($C101="","",IFERROR(INDEX('Staff Directory'!$E$5:$E$594,MATCH($C101,'Staff Directory'!$B$5:$B$594,0)),""))</f>
        <v>firstname118.lastname118@example.com</v>
      </c>
      <c r="AB101" s="64" t="str">
        <f>IF($C101="","",IF(ISNUMBER(SEARCH($D101,Settings!$C$15)),"Pickup","Dispatch"))</f>
        <v>Pickup</v>
      </c>
      <c r="AC101" s="64" t="str">
        <f t="shared" si="24"/>
        <v>Supply order ready for pickup</v>
      </c>
      <c r="AD101" s="64" t="str">
        <f t="shared" si="12"/>
        <v>Dear PSW,
Your order is ready for pickup from Sample Branch, Wed-Fri 9am-4pm.</v>
      </c>
      <c r="AE101" s="64" t="str">
        <f t="shared" si="13"/>
        <v>mailto:firstname118.lastname118@example.com?subject=Supply%20order%20ready%20for%20pickup&amp;body=Dear%20PSW%2C%0A%0AYour%20order%20is%20ready%20for%20pickup%20from%20Sample%20Branch%2C%20Wed-Fri%209am-4pm.</v>
      </c>
      <c r="AF101" s="89" t="str">
        <f t="shared" si="25"/>
        <v>Draft email</v>
      </c>
      <c r="AG101" s="64" t="str">
        <f>IF($C101="","",IFERROR(INDEX('Staff Directory'!$K$595:$K$599,MATCH($C101,'Staff Directory'!$B$5:$B$599,0)),$D101))</f>
        <v>PSW</v>
      </c>
      <c r="AH101" t="str">
        <f>IF($C101="","",IFERROR(INDEX('Staff Directory'!$I$595:$I$599,MATCH($C101,'Staff Directory'!$B$5:$B$599,0))&amp;" "&amp;INDEX('Staff Directory'!$J$595:$J$599,MATCH($C101,'Staff Directory'!$B$5:$B$599,0)),$AG101))</f>
        <v>PSW</v>
      </c>
      <c r="AI101" s="102"/>
      <c r="AJ101" s="101">
        <f>IF($F101="","",SUMIFS($J$5:$J101,$F$5:$F101,$F101))</f>
        <v>7000</v>
      </c>
      <c r="AK101" s="101">
        <f t="shared" si="3"/>
        <v>6501</v>
      </c>
      <c r="AL101" s="66" t="str" cm="1">
        <f t="array" ref="AL101">IF($F101="","",IFERROR(INDEX('Lot Balance'!$B$5:$B$500,MATCH(1,INDEX(('Lot Balance'!$A$5:$A$500=$F101)*('Lot Balance'!$K$5:$K$500&lt;$AK101)*('Lot Balance'!$K$5:$K$500+'Lot Balance'!$D$5:$D$500&gt;=$AK101),0),0)),""))</f>
        <v>O17104</v>
      </c>
      <c r="AM101" s="66" t="str" cm="1">
        <f t="array" ref="AM101">IF($F101="","",IFERROR(INDEX('Lot Balance'!$B$5:$B$500,MATCH(1,INDEX(('Lot Balance'!$A$5:$A$500=$F101)*('Lot Balance'!$K$5:$K$500&lt;$AJ101)*('Lot Balance'!$K$5:$K$500+'Lot Balance'!$D$5:$D$500&gt;=$AJ101),0),0)),""))</f>
        <v>O17104</v>
      </c>
      <c r="AN101" s="66" t="str">
        <f>IF($F101="","",IF($AI101&lt;&gt;"",IF(COUNTIFS('Lot Balance'!$A$5:$A$500,$F101,'Lot Balance'!$B$5:$B$500,$AI101)=0,"⚠ override is not a lot of this item",IF($AI101=$AL101,"Override = FEFO","Override - FEFO says "&amp;$AL101)),IF($AL101="","⚠ no receipt on file for this item",IF($AM101&lt;&gt;$AL101,"FEFO auto - split, also "&amp;$AM101,"FEFO auto"))))</f>
        <v>FEFO auto</v>
      </c>
      <c r="AO101" s="114"/>
    </row>
    <row r="102" spans="1:41" x14ac:dyDescent="0.35">
      <c r="A102" s="74">
        <v>46119</v>
      </c>
      <c r="B102" s="18" t="str">
        <f>IF($C102="","",IFERROR(INDEX('Staff Directory'!$A$5:$A$594,MATCH($C102,'Staff Directory'!$B$5:$B$594,0)),"⚠ unknown staff"))</f>
        <v>PSW-058-A5</v>
      </c>
      <c r="C102" s="49" t="s">
        <v>1034</v>
      </c>
      <c r="D102" s="19" t="str">
        <f>IF($B102="","",IFERROR(INDEX('Staff Directory'!$C$5:$C$594,MATCH($B102,'Staff Directory'!$A$5:$A$594,0)),""))</f>
        <v>PSW</v>
      </c>
      <c r="E102" s="19" t="str">
        <f>IF($B102="","",IFERROR(INDEX('Staff Directory'!$D$5:$D$594,MATCH($B102,'Staff Directory'!$A$5:$A$594,0)),""))</f>
        <v>A5</v>
      </c>
      <c r="F102" s="9" t="s">
        <v>115</v>
      </c>
      <c r="G102" s="18" t="str">
        <f>IF($F102="","",IFERROR(INDEX(Items!$B$5:$B$597,MATCH($F102,Items!$A$5:$A$597,0)),"⚠ not in Items"))</f>
        <v>Wipes</v>
      </c>
      <c r="H102" s="19">
        <f>IF($F102="","",IFERROR(INDEX(Items!$C$5:$C$597,MATCH($F102,Items!$A$5:$A$597,0)),""))</f>
        <v>80</v>
      </c>
      <c r="I102" s="23">
        <f>IF($F102="","",IFERROR(INDEX(Items!$E$5:$E$597,MATCH($F102,Items!$A$5:$A$597,0)),""))</f>
        <v>80</v>
      </c>
      <c r="J102" s="115">
        <f>IF(tblIssues[[#This Row],[Qty Override]]&lt;&gt;"",tblIssues[[#This Row],[Qty Override]],IF(tblIssues[[#This Row],[Standard Issue]]="","",tblIssues[[#This Row],[Standard Issue]]))</f>
        <v>80</v>
      </c>
      <c r="K102" s="20">
        <f>IF($F102="","",IFERROR(INDEX(Items!$D$5:$D$597,MATCH($F102,Items!$A$5:$A$597,0)),""))</f>
        <v>0.1</v>
      </c>
      <c r="L102" s="21">
        <f t="shared" si="14"/>
        <v>8</v>
      </c>
      <c r="M102" s="9" t="str">
        <f t="shared" si="15"/>
        <v>LYSL500290</v>
      </c>
      <c r="N102" s="24">
        <f>IF($A102="","",WORKDAY($A102,Settings!$C$9,HolidayDates))</f>
        <v>46127</v>
      </c>
      <c r="O102" s="24">
        <f>IF($N102="","",WORKDAY($N102,Settings!$C$10,HolidayDates))</f>
        <v>46167</v>
      </c>
      <c r="P102" s="10" t="s">
        <v>501</v>
      </c>
      <c r="Q102" s="52" t="str">
        <f t="shared" si="21"/>
        <v>Collected</v>
      </c>
      <c r="R102" s="55" t="str">
        <f t="shared" si="22"/>
        <v>2026-04</v>
      </c>
      <c r="S102" s="55">
        <f>IF(OR($B102="",$F102="",$R102=""),"",SUMIFS(tblIssues[Qty Issued],tblIssues[Staff ID],$B102,tblIssues[Item Name],$F102,tblIssues[Month],$R102))</f>
        <v>80</v>
      </c>
      <c r="T102" s="56">
        <f>IF($I102="","",$I102*Settings!$C$11)</f>
        <v>80</v>
      </c>
      <c r="U102" s="57" t="str">
        <f t="shared" si="17"/>
        <v>OK</v>
      </c>
      <c r="V102" s="55" t="str">
        <f t="shared" si="23"/>
        <v/>
      </c>
      <c r="W102" s="55" t="str">
        <f>IF($V102="","",IF(COUNTIF($V$5:$V102,$V102)=1,1,""))</f>
        <v/>
      </c>
      <c r="X102" s="58" t="str">
        <f>IF($W102="","",MAX($X$4:X101)+1)</f>
        <v/>
      </c>
      <c r="Y102" s="62"/>
      <c r="Z102" s="62"/>
      <c r="AA102" s="64" t="str">
        <f>IF($C102="","",IFERROR(INDEX('Staff Directory'!$E$5:$E$594,MATCH($C102,'Staff Directory'!$B$5:$B$594,0)),""))</f>
        <v>firstname118.lastname118@example.com</v>
      </c>
      <c r="AB102" s="64" t="str">
        <f>IF($C102="","",IF(ISNUMBER(SEARCH($D102,Settings!$C$15)),"Pickup","Dispatch"))</f>
        <v>Pickup</v>
      </c>
      <c r="AC102" s="64" t="str">
        <f t="shared" si="24"/>
        <v>Supply order ready for pickup</v>
      </c>
      <c r="AD102" s="64" t="str">
        <f t="shared" si="12"/>
        <v>Dear PSW,
Your order is ready for pickup from Sample Branch, Wed-Fri 9am-4pm.</v>
      </c>
      <c r="AE102" s="64" t="str">
        <f t="shared" si="13"/>
        <v>mailto:firstname118.lastname118@example.com?subject=Supply%20order%20ready%20for%20pickup&amp;body=Dear%20PSW%2C%0A%0AYour%20order%20is%20ready%20for%20pickup%20from%20Sample%20Branch%2C%20Wed-Fri%209am-4pm.</v>
      </c>
      <c r="AF102" s="89" t="str">
        <f t="shared" si="25"/>
        <v>Draft email</v>
      </c>
      <c r="AG102" s="64" t="str">
        <f>IF($C102="","",IFERROR(INDEX('Staff Directory'!$K$595:$K$599,MATCH($C102,'Staff Directory'!$B$5:$B$599,0)),$D102))</f>
        <v>PSW</v>
      </c>
      <c r="AH102" t="str">
        <f>IF($C102="","",IFERROR(INDEX('Staff Directory'!$I$595:$I$599,MATCH($C102,'Staff Directory'!$B$5:$B$599,0))&amp;" "&amp;INDEX('Staff Directory'!$J$595:$J$599,MATCH($C102,'Staff Directory'!$B$5:$B$599,0)),$AG102))</f>
        <v>PSW</v>
      </c>
      <c r="AI102" s="102"/>
      <c r="AJ102" s="101">
        <f>IF($F102="","",SUMIFS($J$5:$J102,$F$5:$F102,$F102))</f>
        <v>1840</v>
      </c>
      <c r="AK102" s="101">
        <f t="shared" si="3"/>
        <v>1761</v>
      </c>
      <c r="AL102" s="66" t="str" cm="1">
        <f t="array" ref="AL102">IF($F102="","",IFERROR(INDEX('Lot Balance'!$B$5:$B$500,MATCH(1,INDEX(('Lot Balance'!$A$5:$A$500=$F102)*('Lot Balance'!$K$5:$K$500&lt;$AK102)*('Lot Balance'!$K$5:$K$500+'Lot Balance'!$D$5:$D$500&gt;=$AK102),0),0)),""))</f>
        <v>LYSL500290</v>
      </c>
      <c r="AM102" s="66" t="str" cm="1">
        <f t="array" ref="AM102">IF($F102="","",IFERROR(INDEX('Lot Balance'!$B$5:$B$500,MATCH(1,INDEX(('Lot Balance'!$A$5:$A$500=$F102)*('Lot Balance'!$K$5:$K$500&lt;$AJ102)*('Lot Balance'!$K$5:$K$500+'Lot Balance'!$D$5:$D$500&gt;=$AJ102),0),0)),""))</f>
        <v>LYSL500290</v>
      </c>
      <c r="AN102" s="66" t="str">
        <f>IF($F102="","",IF($AI102&lt;&gt;"",IF(COUNTIFS('Lot Balance'!$A$5:$A$500,$F102,'Lot Balance'!$B$5:$B$500,$AI102)=0,"⚠ override is not a lot of this item",IF($AI102=$AL102,"Override = FEFO","Override - FEFO says "&amp;$AL102)),IF($AL102="","⚠ no receipt on file for this item",IF($AM102&lt;&gt;$AL102,"FEFO auto - split, also "&amp;$AM102,"FEFO auto"))))</f>
        <v>FEFO auto</v>
      </c>
      <c r="AO102" s="114"/>
    </row>
    <row r="103" spans="1:41" x14ac:dyDescent="0.35">
      <c r="A103" s="74">
        <v>46119</v>
      </c>
      <c r="B103" s="18" t="str">
        <f>IF($C103="","",IFERROR(INDEX('Staff Directory'!$A$5:$A$594,MATCH($C103,'Staff Directory'!$B$5:$B$594,0)),"⚠ unknown staff"))</f>
        <v>PSW-058-A5</v>
      </c>
      <c r="C103" s="49" t="s">
        <v>1034</v>
      </c>
      <c r="D103" s="19" t="str">
        <f>IF($B103="","",IFERROR(INDEX('Staff Directory'!$C$5:$C$594,MATCH($B103,'Staff Directory'!$A$5:$A$594,0)),""))</f>
        <v>PSW</v>
      </c>
      <c r="E103" s="19" t="str">
        <f>IF($B103="","",IFERROR(INDEX('Staff Directory'!$D$5:$D$594,MATCH($B103,'Staff Directory'!$A$5:$A$594,0)),""))</f>
        <v>A5</v>
      </c>
      <c r="F103" s="9" t="s">
        <v>755</v>
      </c>
      <c r="G103" s="18" t="str">
        <f>IF($F103="","",IFERROR(INDEX(Items!$B$5:$B$597,MATCH($F103,Items!$A$5:$A$597,0)),"⚠ not in Items"))</f>
        <v>Documents</v>
      </c>
      <c r="H103" s="19" t="str">
        <f>IF($F103="","",IFERROR(INDEX(Items!$C$5:$C$597,MATCH($F103,Items!$A$5:$A$597,0)),""))</f>
        <v>Standard</v>
      </c>
      <c r="I103" s="23">
        <f>IF($F103="","",IFERROR(INDEX(Items!$E$5:$E$597,MATCH($F103,Items!$A$5:$A$597,0)),""))</f>
        <v>2</v>
      </c>
      <c r="J103" s="115">
        <f>IF(tblIssues[[#This Row],[Qty Override]]&lt;&gt;"",tblIssues[[#This Row],[Qty Override]],IF(tblIssues[[#This Row],[Standard Issue]]="","",tblIssues[[#This Row],[Standard Issue]]))</f>
        <v>2</v>
      </c>
      <c r="K103" s="20">
        <f>IF($F103="","",IFERROR(INDEX(Items!$D$5:$D$597,MATCH($F103,Items!$A$5:$A$597,0)),""))</f>
        <v>0</v>
      </c>
      <c r="L103" s="21">
        <f t="shared" si="14"/>
        <v>0</v>
      </c>
      <c r="M103" s="9" t="str">
        <f t="shared" si="15"/>
        <v/>
      </c>
      <c r="N103" s="24">
        <f>IF($A103="","",WORKDAY($A103,Settings!$C$9,HolidayDates))</f>
        <v>46127</v>
      </c>
      <c r="O103" s="24">
        <f>IF($N103="","",WORKDAY($N103,Settings!$C$10,HolidayDates))</f>
        <v>46167</v>
      </c>
      <c r="P103" s="10" t="s">
        <v>501</v>
      </c>
      <c r="Q103" s="52" t="str">
        <f t="shared" si="21"/>
        <v>Collected</v>
      </c>
      <c r="R103" s="55" t="str">
        <f t="shared" si="22"/>
        <v>2026-04</v>
      </c>
      <c r="S103" s="55">
        <f>IF(OR($B103="",$F103="",$R103=""),"",SUMIFS(tblIssues[Qty Issued],tblIssues[Staff ID],$B103,tblIssues[Item Name],$F103,tblIssues[Month],$R103))</f>
        <v>2</v>
      </c>
      <c r="T103" s="56">
        <f>IF($I103="","",$I103*Settings!$C$11)</f>
        <v>2</v>
      </c>
      <c r="U103" s="57" t="str">
        <f t="shared" si="17"/>
        <v>OK</v>
      </c>
      <c r="V103" s="55" t="str">
        <f t="shared" si="23"/>
        <v/>
      </c>
      <c r="W103" s="55" t="str">
        <f>IF($V103="","",IF(COUNTIF($V$5:$V103,$V103)=1,1,""))</f>
        <v/>
      </c>
      <c r="X103" s="58" t="str">
        <f>IF($W103="","",MAX($X$4:X102)+1)</f>
        <v/>
      </c>
      <c r="Y103" s="62"/>
      <c r="Z103" s="62"/>
      <c r="AA103" s="64" t="str">
        <f>IF($C103="","",IFERROR(INDEX('Staff Directory'!$E$5:$E$594,MATCH($C103,'Staff Directory'!$B$5:$B$594,0)),""))</f>
        <v>firstname118.lastname118@example.com</v>
      </c>
      <c r="AB103" s="64" t="str">
        <f>IF($C103="","",IF(ISNUMBER(SEARCH($D103,Settings!$C$15)),"Pickup","Dispatch"))</f>
        <v>Pickup</v>
      </c>
      <c r="AC103" s="64" t="str">
        <f t="shared" si="24"/>
        <v>Supply order ready for pickup</v>
      </c>
      <c r="AD103" s="64" t="str">
        <f t="shared" si="12"/>
        <v>Dear PSW,
Your order is ready for pickup from Sample Branch, Wed-Fri 9am-4pm.</v>
      </c>
      <c r="AE103" s="64" t="str">
        <f t="shared" si="13"/>
        <v>mailto:firstname118.lastname118@example.com?subject=Supply%20order%20ready%20for%20pickup&amp;body=Dear%20PSW%2C%0A%0AYour%20order%20is%20ready%20for%20pickup%20from%20Sample%20Branch%2C%20Wed-Fri%209am-4pm.</v>
      </c>
      <c r="AF103" s="89" t="str">
        <f t="shared" si="25"/>
        <v>Draft email</v>
      </c>
      <c r="AG103" s="64" t="str">
        <f>IF($C103="","",IFERROR(INDEX('Staff Directory'!$K$595:$K$599,MATCH($C103,'Staff Directory'!$B$5:$B$599,0)),$D103))</f>
        <v>PSW</v>
      </c>
      <c r="AH103" t="str">
        <f>IF($C103="","",IFERROR(INDEX('Staff Directory'!$I$595:$I$599,MATCH($C103,'Staff Directory'!$B$5:$B$599,0))&amp;" "&amp;INDEX('Staff Directory'!$J$595:$J$599,MATCH($C103,'Staff Directory'!$B$5:$B$599,0)),$AG103))</f>
        <v>PSW</v>
      </c>
      <c r="AI103" s="102"/>
      <c r="AJ103" s="101">
        <f>IF($F103="","",SUMIFS($J$5:$J103,$F$5:$F103,$F103))</f>
        <v>6</v>
      </c>
      <c r="AK103" s="101">
        <f t="shared" si="3"/>
        <v>5</v>
      </c>
      <c r="AL103" s="66" t="str" cm="1">
        <f t="array" ref="AL103">IF($F103="","",IFERROR(INDEX('Lot Balance'!$B$5:$B$500,MATCH(1,INDEX(('Lot Balance'!$A$5:$A$500=$F103)*('Lot Balance'!$K$5:$K$500&lt;$AK103)*('Lot Balance'!$K$5:$K$500+'Lot Balance'!$D$5:$D$500&gt;=$AK103),0),0)),""))</f>
        <v/>
      </c>
      <c r="AM103" s="66" t="str" cm="1">
        <f t="array" ref="AM103">IF($F103="","",IFERROR(INDEX('Lot Balance'!$B$5:$B$500,MATCH(1,INDEX(('Lot Balance'!$A$5:$A$500=$F103)*('Lot Balance'!$K$5:$K$500&lt;$AJ103)*('Lot Balance'!$K$5:$K$500+'Lot Balance'!$D$5:$D$500&gt;=$AJ103),0),0)),""))</f>
        <v/>
      </c>
      <c r="AN103" s="66" t="str">
        <f>IF($F103="","",IF($AI103&lt;&gt;"",IF(COUNTIFS('Lot Balance'!$A$5:$A$500,$F103,'Lot Balance'!$B$5:$B$500,$AI103)=0,"⚠ override is not a lot of this item",IF($AI103=$AL103,"Override = FEFO","Override - FEFO says "&amp;$AL103)),IF($AL103="","⚠ no receipt on file for this item",IF($AM103&lt;&gt;$AL103,"FEFO auto - split, also "&amp;$AM103,"FEFO auto"))))</f>
        <v>⚠ no receipt on file for this item</v>
      </c>
      <c r="AO103" s="114"/>
    </row>
    <row r="104" spans="1:41" x14ac:dyDescent="0.35">
      <c r="A104" s="74">
        <v>46119</v>
      </c>
      <c r="B104" s="18" t="str">
        <f>IF($C104="","",IFERROR(INDEX('Staff Directory'!$A$5:$A$594,MATCH($C104,'Staff Directory'!$B$5:$B$594,0)),"⚠ unknown staff"))</f>
        <v>PSW-161-A6</v>
      </c>
      <c r="C104" s="49" t="s">
        <v>1140</v>
      </c>
      <c r="D104" s="19" t="str">
        <f>IF($B104="","",IFERROR(INDEX('Staff Directory'!$C$5:$C$594,MATCH($B104,'Staff Directory'!$A$5:$A$594,0)),""))</f>
        <v>PSW</v>
      </c>
      <c r="E104" s="19" t="str">
        <f>IF($B104="","",IFERROR(INDEX('Staff Directory'!$D$5:$D$594,MATCH($B104,'Staff Directory'!$A$5:$A$594,0)),""))</f>
        <v>A6</v>
      </c>
      <c r="F104" s="9" t="s">
        <v>127</v>
      </c>
      <c r="G104" s="18" t="str">
        <f>IF($F104="","",IFERROR(INDEX(Items!$B$5:$B$597,MATCH($F104,Items!$A$5:$A$597,0)),"⚠ not in Items"))</f>
        <v>Gloves</v>
      </c>
      <c r="H104" s="19" t="str">
        <f>IF($F104="","",IFERROR(INDEX(Items!$C$5:$C$597,MATCH($F104,Items!$A$5:$A$597,0)),""))</f>
        <v>Medium</v>
      </c>
      <c r="I104" s="23">
        <f>IF($F104="","",IFERROR(INDEX(Items!$E$5:$E$597,MATCH($F104,Items!$A$5:$A$597,0)),""))</f>
        <v>500</v>
      </c>
      <c r="J104" s="115">
        <f>IF(tblIssues[[#This Row],[Qty Override]]&lt;&gt;"",tblIssues[[#This Row],[Qty Override]],IF(tblIssues[[#This Row],[Standard Issue]]="","",tblIssues[[#This Row],[Standard Issue]]))</f>
        <v>500</v>
      </c>
      <c r="K104" s="20">
        <f>IF($F104="","",IFERROR(INDEX(Items!$D$5:$D$597,MATCH($F104,Items!$A$5:$A$597,0)),""))</f>
        <v>5.5E-2</v>
      </c>
      <c r="L104" s="21">
        <f t="shared" si="14"/>
        <v>27.5</v>
      </c>
      <c r="M104" s="9" t="str">
        <f t="shared" si="15"/>
        <v>O17104</v>
      </c>
      <c r="N104" s="24">
        <f>IF($A104="","",WORKDAY($A104,Settings!$C$9,HolidayDates))</f>
        <v>46127</v>
      </c>
      <c r="O104" s="24">
        <f>IF($N104="","",WORKDAY($N104,Settings!$C$10,HolidayDates))</f>
        <v>46167</v>
      </c>
      <c r="P104" s="10" t="s">
        <v>501</v>
      </c>
      <c r="Q104" s="52" t="str">
        <f t="shared" si="21"/>
        <v>Collected</v>
      </c>
      <c r="R104" s="55" t="str">
        <f t="shared" si="22"/>
        <v>2026-04</v>
      </c>
      <c r="S104" s="55">
        <f>IF(OR($B104="",$F104="",$R104=""),"",SUMIFS(tblIssues[Qty Issued],tblIssues[Staff ID],$B104,tblIssues[Item Name],$F104,tblIssues[Month],$R104))</f>
        <v>500</v>
      </c>
      <c r="T104" s="56">
        <f>IF($I104="","",$I104*Settings!$C$11)</f>
        <v>500</v>
      </c>
      <c r="U104" s="57" t="str">
        <f t="shared" si="17"/>
        <v>OK</v>
      </c>
      <c r="V104" s="55" t="str">
        <f t="shared" si="23"/>
        <v/>
      </c>
      <c r="W104" s="55" t="str">
        <f>IF($V104="","",IF(COUNTIF($V$5:$V104,$V104)=1,1,""))</f>
        <v/>
      </c>
      <c r="X104" s="58" t="str">
        <f>IF($W104="","",MAX($X$4:X103)+1)</f>
        <v/>
      </c>
      <c r="Y104" s="62"/>
      <c r="Z104" s="62"/>
      <c r="AA104" s="64" t="str">
        <f>IF($C104="","",IFERROR(INDEX('Staff Directory'!$E$5:$E$594,MATCH($C104,'Staff Directory'!$B$5:$B$594,0)),""))</f>
        <v>firstname224.lastname224@example.com</v>
      </c>
      <c r="AB104" s="64" t="str">
        <f>IF($C104="","",IF(ISNUMBER(SEARCH($D104,Settings!$C$15)),"Pickup","Dispatch"))</f>
        <v>Pickup</v>
      </c>
      <c r="AC104" s="64" t="str">
        <f t="shared" si="24"/>
        <v>Supply order ready for pickup</v>
      </c>
      <c r="AD104" s="64" t="str">
        <f t="shared" si="12"/>
        <v>Dear PSW,
Your order is ready for pickup from Sample Branch, Wed-Fri 9am-4pm.</v>
      </c>
      <c r="AE104" s="64" t="str">
        <f t="shared" si="13"/>
        <v>mailto:firstname224.lastname224@example.com?subject=Supply%20order%20ready%20for%20pickup&amp;body=Dear%20PSW%2C%0A%0AYour%20order%20is%20ready%20for%20pickup%20from%20Sample%20Branch%2C%20Wed-Fri%209am-4pm.</v>
      </c>
      <c r="AF104" s="89" t="str">
        <f t="shared" si="25"/>
        <v>Draft email</v>
      </c>
      <c r="AG104" s="64" t="str">
        <f>IF($C104="","",IFERROR(INDEX('Staff Directory'!$K$595:$K$599,MATCH($C104,'Staff Directory'!$B$5:$B$599,0)),$D104))</f>
        <v>PSW</v>
      </c>
      <c r="AH104" t="str">
        <f>IF($C104="","",IFERROR(INDEX('Staff Directory'!$I$595:$I$599,MATCH($C104,'Staff Directory'!$B$5:$B$599,0))&amp;" "&amp;INDEX('Staff Directory'!$J$595:$J$599,MATCH($C104,'Staff Directory'!$B$5:$B$599,0)),$AG104))</f>
        <v>PSW</v>
      </c>
      <c r="AI104" s="102"/>
      <c r="AJ104" s="101">
        <f>IF($F104="","",SUMIFS($J$5:$J104,$F$5:$F104,$F104))</f>
        <v>7500</v>
      </c>
      <c r="AK104" s="101">
        <f t="shared" si="3"/>
        <v>7001</v>
      </c>
      <c r="AL104" s="66" t="str" cm="1">
        <f t="array" ref="AL104">IF($F104="","",IFERROR(INDEX('Lot Balance'!$B$5:$B$500,MATCH(1,INDEX(('Lot Balance'!$A$5:$A$500=$F104)*('Lot Balance'!$K$5:$K$500&lt;$AK104)*('Lot Balance'!$K$5:$K$500+'Lot Balance'!$D$5:$D$500&gt;=$AK104),0),0)),""))</f>
        <v>O17104</v>
      </c>
      <c r="AM104" s="66" t="str" cm="1">
        <f t="array" ref="AM104">IF($F104="","",IFERROR(INDEX('Lot Balance'!$B$5:$B$500,MATCH(1,INDEX(('Lot Balance'!$A$5:$A$500=$F104)*('Lot Balance'!$K$5:$K$500&lt;$AJ104)*('Lot Balance'!$K$5:$K$500+'Lot Balance'!$D$5:$D$500&gt;=$AJ104),0),0)),""))</f>
        <v>O17104</v>
      </c>
      <c r="AN104" s="66" t="str">
        <f>IF($F104="","",IF($AI104&lt;&gt;"",IF(COUNTIFS('Lot Balance'!$A$5:$A$500,$F104,'Lot Balance'!$B$5:$B$500,$AI104)=0,"⚠ override is not a lot of this item",IF($AI104=$AL104,"Override = FEFO","Override - FEFO says "&amp;$AL104)),IF($AL104="","⚠ no receipt on file for this item",IF($AM104&lt;&gt;$AL104,"FEFO auto - split, also "&amp;$AM104,"FEFO auto"))))</f>
        <v>FEFO auto</v>
      </c>
      <c r="AO104" s="114"/>
    </row>
    <row r="105" spans="1:41" x14ac:dyDescent="0.35">
      <c r="A105" s="74">
        <v>46119</v>
      </c>
      <c r="B105" s="18" t="str">
        <f>IF($C105="","",IFERROR(INDEX('Staff Directory'!$A$5:$A$594,MATCH($C105,'Staff Directory'!$B$5:$B$594,0)),"⚠ unknown staff"))</f>
        <v>PSW-161-A6</v>
      </c>
      <c r="C105" s="49" t="s">
        <v>1140</v>
      </c>
      <c r="D105" s="19" t="str">
        <f>IF($B105="","",IFERROR(INDEX('Staff Directory'!$C$5:$C$594,MATCH($B105,'Staff Directory'!$A$5:$A$594,0)),""))</f>
        <v>PSW</v>
      </c>
      <c r="E105" s="19" t="str">
        <f>IF($B105="","",IFERROR(INDEX('Staff Directory'!$D$5:$D$594,MATCH($B105,'Staff Directory'!$A$5:$A$594,0)),""))</f>
        <v>A6</v>
      </c>
      <c r="F105" s="9" t="s">
        <v>115</v>
      </c>
      <c r="G105" s="18" t="str">
        <f>IF($F105="","",IFERROR(INDEX(Items!$B$5:$B$597,MATCH($F105,Items!$A$5:$A$597,0)),"⚠ not in Items"))</f>
        <v>Wipes</v>
      </c>
      <c r="H105" s="19">
        <f>IF($F105="","",IFERROR(INDEX(Items!$C$5:$C$597,MATCH($F105,Items!$A$5:$A$597,0)),""))</f>
        <v>80</v>
      </c>
      <c r="I105" s="23">
        <f>IF($F105="","",IFERROR(INDEX(Items!$E$5:$E$597,MATCH($F105,Items!$A$5:$A$597,0)),""))</f>
        <v>80</v>
      </c>
      <c r="J105" s="115">
        <f>IF(tblIssues[[#This Row],[Qty Override]]&lt;&gt;"",tblIssues[[#This Row],[Qty Override]],IF(tblIssues[[#This Row],[Standard Issue]]="","",tblIssues[[#This Row],[Standard Issue]]))</f>
        <v>80</v>
      </c>
      <c r="K105" s="20">
        <f>IF($F105="","",IFERROR(INDEX(Items!$D$5:$D$597,MATCH($F105,Items!$A$5:$A$597,0)),""))</f>
        <v>0.1</v>
      </c>
      <c r="L105" s="21">
        <f t="shared" si="14"/>
        <v>8</v>
      </c>
      <c r="M105" s="9" t="str">
        <f t="shared" si="15"/>
        <v>LYSL500290</v>
      </c>
      <c r="N105" s="24">
        <f>IF($A105="","",WORKDAY($A105,Settings!$C$9,HolidayDates))</f>
        <v>46127</v>
      </c>
      <c r="O105" s="24">
        <f>IF($N105="","",WORKDAY($N105,Settings!$C$10,HolidayDates))</f>
        <v>46167</v>
      </c>
      <c r="P105" s="10" t="s">
        <v>501</v>
      </c>
      <c r="Q105" s="52" t="str">
        <f t="shared" si="21"/>
        <v>Collected</v>
      </c>
      <c r="R105" s="55" t="str">
        <f t="shared" si="22"/>
        <v>2026-04</v>
      </c>
      <c r="S105" s="55">
        <f>IF(OR($B105="",$F105="",$R105=""),"",SUMIFS(tblIssues[Qty Issued],tblIssues[Staff ID],$B105,tblIssues[Item Name],$F105,tblIssues[Month],$R105))</f>
        <v>80</v>
      </c>
      <c r="T105" s="56">
        <f>IF($I105="","",$I105*Settings!$C$11)</f>
        <v>80</v>
      </c>
      <c r="U105" s="57" t="str">
        <f t="shared" si="17"/>
        <v>OK</v>
      </c>
      <c r="V105" s="55" t="str">
        <f t="shared" si="23"/>
        <v/>
      </c>
      <c r="W105" s="55" t="str">
        <f>IF($V105="","",IF(COUNTIF($V$5:$V105,$V105)=1,1,""))</f>
        <v/>
      </c>
      <c r="X105" s="58" t="str">
        <f>IF($W105="","",MAX($X$4:X104)+1)</f>
        <v/>
      </c>
      <c r="Y105" s="62"/>
      <c r="Z105" s="62"/>
      <c r="AA105" s="64" t="str">
        <f>IF($C105="","",IFERROR(INDEX('Staff Directory'!$E$5:$E$594,MATCH($C105,'Staff Directory'!$B$5:$B$594,0)),""))</f>
        <v>firstname224.lastname224@example.com</v>
      </c>
      <c r="AB105" s="64" t="str">
        <f>IF($C105="","",IF(ISNUMBER(SEARCH($D105,Settings!$C$15)),"Pickup","Dispatch"))</f>
        <v>Pickup</v>
      </c>
      <c r="AC105" s="64" t="str">
        <f t="shared" si="24"/>
        <v>Supply order ready for pickup</v>
      </c>
      <c r="AD105" s="64" t="str">
        <f t="shared" si="12"/>
        <v>Dear PSW,
Your order is ready for pickup from Sample Branch, Wed-Fri 9am-4pm.</v>
      </c>
      <c r="AE105" s="64" t="str">
        <f t="shared" si="13"/>
        <v>mailto:firstname224.lastname224@example.com?subject=Supply%20order%20ready%20for%20pickup&amp;body=Dear%20PSW%2C%0A%0AYour%20order%20is%20ready%20for%20pickup%20from%20Sample%20Branch%2C%20Wed-Fri%209am-4pm.</v>
      </c>
      <c r="AF105" s="89" t="str">
        <f t="shared" si="25"/>
        <v>Draft email</v>
      </c>
      <c r="AG105" s="64" t="str">
        <f>IF($C105="","",IFERROR(INDEX('Staff Directory'!$K$595:$K$599,MATCH($C105,'Staff Directory'!$B$5:$B$599,0)),$D105))</f>
        <v>PSW</v>
      </c>
      <c r="AH105" t="str">
        <f>IF($C105="","",IFERROR(INDEX('Staff Directory'!$I$595:$I$599,MATCH($C105,'Staff Directory'!$B$5:$B$599,0))&amp;" "&amp;INDEX('Staff Directory'!$J$595:$J$599,MATCH($C105,'Staff Directory'!$B$5:$B$599,0)),$AG105))</f>
        <v>PSW</v>
      </c>
      <c r="AI105" s="102"/>
      <c r="AJ105" s="101">
        <f>IF($F105="","",SUMIFS($J$5:$J105,$F$5:$F105,$F105))</f>
        <v>1920</v>
      </c>
      <c r="AK105" s="101">
        <f t="shared" si="3"/>
        <v>1841</v>
      </c>
      <c r="AL105" s="66" t="str" cm="1">
        <f t="array" ref="AL105">IF($F105="","",IFERROR(INDEX('Lot Balance'!$B$5:$B$500,MATCH(1,INDEX(('Lot Balance'!$A$5:$A$500=$F105)*('Lot Balance'!$K$5:$K$500&lt;$AK105)*('Lot Balance'!$K$5:$K$500+'Lot Balance'!$D$5:$D$500&gt;=$AK105),0),0)),""))</f>
        <v>LYSL500290</v>
      </c>
      <c r="AM105" s="66" t="str" cm="1">
        <f t="array" ref="AM105">IF($F105="","",IFERROR(INDEX('Lot Balance'!$B$5:$B$500,MATCH(1,INDEX(('Lot Balance'!$A$5:$A$500=$F105)*('Lot Balance'!$K$5:$K$500&lt;$AJ105)*('Lot Balance'!$K$5:$K$500+'Lot Balance'!$D$5:$D$500&gt;=$AJ105),0),0)),""))</f>
        <v>LYSL500290</v>
      </c>
      <c r="AN105" s="66" t="str">
        <f>IF($F105="","",IF($AI105&lt;&gt;"",IF(COUNTIFS('Lot Balance'!$A$5:$A$500,$F105,'Lot Balance'!$B$5:$B$500,$AI105)=0,"⚠ override is not a lot of this item",IF($AI105=$AL105,"Override = FEFO","Override - FEFO says "&amp;$AL105)),IF($AL105="","⚠ no receipt on file for this item",IF($AM105&lt;&gt;$AL105,"FEFO auto - split, also "&amp;$AM105,"FEFO auto"))))</f>
        <v>FEFO auto</v>
      </c>
      <c r="AO105" s="114"/>
    </row>
    <row r="106" spans="1:41" x14ac:dyDescent="0.35">
      <c r="A106" s="74">
        <v>46119</v>
      </c>
      <c r="B106" s="18" t="str">
        <f>IF($C106="","",IFERROR(INDEX('Staff Directory'!$A$5:$A$594,MATCH($C106,'Staff Directory'!$B$5:$B$594,0)),"⚠ unknown staff"))</f>
        <v>PSW-161-A6</v>
      </c>
      <c r="C106" s="49" t="s">
        <v>1140</v>
      </c>
      <c r="D106" s="19" t="str">
        <f>IF($B106="","",IFERROR(INDEX('Staff Directory'!$C$5:$C$594,MATCH($B106,'Staff Directory'!$A$5:$A$594,0)),""))</f>
        <v>PSW</v>
      </c>
      <c r="E106" s="19" t="str">
        <f>IF($B106="","",IFERROR(INDEX('Staff Directory'!$D$5:$D$594,MATCH($B106,'Staff Directory'!$A$5:$A$594,0)),""))</f>
        <v>A6</v>
      </c>
      <c r="F106" s="9" t="s">
        <v>755</v>
      </c>
      <c r="G106" s="18" t="str">
        <f>IF($F106="","",IFERROR(INDEX(Items!$B$5:$B$597,MATCH($F106,Items!$A$5:$A$597,0)),"⚠ not in Items"))</f>
        <v>Documents</v>
      </c>
      <c r="H106" s="19" t="str">
        <f>IF($F106="","",IFERROR(INDEX(Items!$C$5:$C$597,MATCH($F106,Items!$A$5:$A$597,0)),""))</f>
        <v>Standard</v>
      </c>
      <c r="I106" s="23">
        <f>IF($F106="","",IFERROR(INDEX(Items!$E$5:$E$597,MATCH($F106,Items!$A$5:$A$597,0)),""))</f>
        <v>2</v>
      </c>
      <c r="J106" s="115">
        <f>IF(tblIssues[[#This Row],[Qty Override]]&lt;&gt;"",tblIssues[[#This Row],[Qty Override]],IF(tblIssues[[#This Row],[Standard Issue]]="","",tblIssues[[#This Row],[Standard Issue]]))</f>
        <v>2</v>
      </c>
      <c r="K106" s="20">
        <f>IF($F106="","",IFERROR(INDEX(Items!$D$5:$D$597,MATCH($F106,Items!$A$5:$A$597,0)),""))</f>
        <v>0</v>
      </c>
      <c r="L106" s="21">
        <f t="shared" si="14"/>
        <v>0</v>
      </c>
      <c r="M106" s="9" t="str">
        <f t="shared" si="15"/>
        <v/>
      </c>
      <c r="N106" s="24">
        <f>IF($A106="","",WORKDAY($A106,Settings!$C$9,HolidayDates))</f>
        <v>46127</v>
      </c>
      <c r="O106" s="24">
        <f>IF($N106="","",WORKDAY($N106,Settings!$C$10,HolidayDates))</f>
        <v>46167</v>
      </c>
      <c r="P106" s="10" t="s">
        <v>501</v>
      </c>
      <c r="Q106" s="52" t="str">
        <f t="shared" si="21"/>
        <v>Collected</v>
      </c>
      <c r="R106" s="55" t="str">
        <f t="shared" si="22"/>
        <v>2026-04</v>
      </c>
      <c r="S106" s="55">
        <f>IF(OR($B106="",$F106="",$R106=""),"",SUMIFS(tblIssues[Qty Issued],tblIssues[Staff ID],$B106,tblIssues[Item Name],$F106,tblIssues[Month],$R106))</f>
        <v>2</v>
      </c>
      <c r="T106" s="56">
        <f>IF($I106="","",$I106*Settings!$C$11)</f>
        <v>2</v>
      </c>
      <c r="U106" s="57" t="str">
        <f t="shared" si="17"/>
        <v>OK</v>
      </c>
      <c r="V106" s="55" t="str">
        <f t="shared" si="23"/>
        <v/>
      </c>
      <c r="W106" s="55" t="str">
        <f>IF($V106="","",IF(COUNTIF($V$5:$V106,$V106)=1,1,""))</f>
        <v/>
      </c>
      <c r="X106" s="58" t="str">
        <f>IF($W106="","",MAX($X$4:X105)+1)</f>
        <v/>
      </c>
      <c r="Y106" s="62"/>
      <c r="Z106" s="62"/>
      <c r="AA106" s="64" t="str">
        <f>IF($C106="","",IFERROR(INDEX('Staff Directory'!$E$5:$E$594,MATCH($C106,'Staff Directory'!$B$5:$B$594,0)),""))</f>
        <v>firstname224.lastname224@example.com</v>
      </c>
      <c r="AB106" s="64" t="str">
        <f>IF($C106="","",IF(ISNUMBER(SEARCH($D106,Settings!$C$15)),"Pickup","Dispatch"))</f>
        <v>Pickup</v>
      </c>
      <c r="AC106" s="64" t="str">
        <f t="shared" si="24"/>
        <v>Supply order ready for pickup</v>
      </c>
      <c r="AD106" s="64" t="str">
        <f t="shared" si="12"/>
        <v>Dear PSW,
Your order is ready for pickup from Sample Branch, Wed-Fri 9am-4pm.</v>
      </c>
      <c r="AE106" s="64" t="str">
        <f t="shared" si="13"/>
        <v>mailto:firstname224.lastname224@example.com?subject=Supply%20order%20ready%20for%20pickup&amp;body=Dear%20PSW%2C%0A%0AYour%20order%20is%20ready%20for%20pickup%20from%20Sample%20Branch%2C%20Wed-Fri%209am-4pm.</v>
      </c>
      <c r="AF106" s="89" t="str">
        <f t="shared" si="25"/>
        <v>Draft email</v>
      </c>
      <c r="AG106" s="64" t="str">
        <f>IF($C106="","",IFERROR(INDEX('Staff Directory'!$K$595:$K$599,MATCH($C106,'Staff Directory'!$B$5:$B$599,0)),$D106))</f>
        <v>PSW</v>
      </c>
      <c r="AH106" t="str">
        <f>IF($C106="","",IFERROR(INDEX('Staff Directory'!$I$595:$I$599,MATCH($C106,'Staff Directory'!$B$5:$B$599,0))&amp;" "&amp;INDEX('Staff Directory'!$J$595:$J$599,MATCH($C106,'Staff Directory'!$B$5:$B$599,0)),$AG106))</f>
        <v>PSW</v>
      </c>
      <c r="AI106" s="102"/>
      <c r="AJ106" s="101">
        <f>IF($F106="","",SUMIFS($J$5:$J106,$F$5:$F106,$F106))</f>
        <v>8</v>
      </c>
      <c r="AK106" s="101">
        <f t="shared" si="3"/>
        <v>7</v>
      </c>
      <c r="AL106" s="66" t="str" cm="1">
        <f t="array" ref="AL106">IF($F106="","",IFERROR(INDEX('Lot Balance'!$B$5:$B$500,MATCH(1,INDEX(('Lot Balance'!$A$5:$A$500=$F106)*('Lot Balance'!$K$5:$K$500&lt;$AK106)*('Lot Balance'!$K$5:$K$500+'Lot Balance'!$D$5:$D$500&gt;=$AK106),0),0)),""))</f>
        <v/>
      </c>
      <c r="AM106" s="66" t="str" cm="1">
        <f t="array" ref="AM106">IF($F106="","",IFERROR(INDEX('Lot Balance'!$B$5:$B$500,MATCH(1,INDEX(('Lot Balance'!$A$5:$A$500=$F106)*('Lot Balance'!$K$5:$K$500&lt;$AJ106)*('Lot Balance'!$K$5:$K$500+'Lot Balance'!$D$5:$D$500&gt;=$AJ106),0),0)),""))</f>
        <v/>
      </c>
      <c r="AN106" s="66" t="str">
        <f>IF($F106="","",IF($AI106&lt;&gt;"",IF(COUNTIFS('Lot Balance'!$A$5:$A$500,$F106,'Lot Balance'!$B$5:$B$500,$AI106)=0,"⚠ override is not a lot of this item",IF($AI106=$AL106,"Override = FEFO","Override - FEFO says "&amp;$AL106)),IF($AL106="","⚠ no receipt on file for this item",IF($AM106&lt;&gt;$AL106,"FEFO auto - split, also "&amp;$AM106,"FEFO auto"))))</f>
        <v>⚠ no receipt on file for this item</v>
      </c>
      <c r="AO106" s="114"/>
    </row>
    <row r="107" spans="1:41" x14ac:dyDescent="0.35">
      <c r="A107" s="74">
        <v>46119</v>
      </c>
      <c r="B107" s="18" t="str">
        <f>IF($C107="","",IFERROR(INDEX('Staff Directory'!$A$5:$A$594,MATCH($C107,'Staff Directory'!$B$5:$B$594,0)),"⚠ unknown staff"))</f>
        <v>PSW-010-A4</v>
      </c>
      <c r="C107" s="49" t="s">
        <v>986</v>
      </c>
      <c r="D107" s="19" t="str">
        <f>IF($B107="","",IFERROR(INDEX('Staff Directory'!$C$5:$C$594,MATCH($B107,'Staff Directory'!$A$5:$A$594,0)),""))</f>
        <v>PSW</v>
      </c>
      <c r="E107" s="19" t="str">
        <f>IF($B107="","",IFERROR(INDEX('Staff Directory'!$D$5:$D$594,MATCH($B107,'Staff Directory'!$A$5:$A$594,0)),""))</f>
        <v>A4</v>
      </c>
      <c r="F107" s="9" t="s">
        <v>129</v>
      </c>
      <c r="G107" s="18" t="str">
        <f>IF($F107="","",IFERROR(INDEX(Items!$B$5:$B$597,MATCH($F107,Items!$A$5:$A$597,0)),"⚠ not in Items"))</f>
        <v>Gloves</v>
      </c>
      <c r="H107" s="19" t="str">
        <f>IF($F107="","",IFERROR(INDEX(Items!$C$5:$C$597,MATCH($F107,Items!$A$5:$A$597,0)),""))</f>
        <v>Small</v>
      </c>
      <c r="I107" s="23">
        <f>IF($F107="","",IFERROR(INDEX(Items!$E$5:$E$597,MATCH($F107,Items!$A$5:$A$597,0)),""))</f>
        <v>500</v>
      </c>
      <c r="J107" s="115">
        <f>IF(tblIssues[[#This Row],[Qty Override]]&lt;&gt;"",tblIssues[[#This Row],[Qty Override]],IF(tblIssues[[#This Row],[Standard Issue]]="","",tblIssues[[#This Row],[Standard Issue]]))</f>
        <v>500</v>
      </c>
      <c r="K107" s="20">
        <f>IF($F107="","",IFERROR(INDEX(Items!$D$5:$D$597,MATCH($F107,Items!$A$5:$A$597,0)),""))</f>
        <v>5.5E-2</v>
      </c>
      <c r="L107" s="21">
        <f t="shared" si="14"/>
        <v>27.5</v>
      </c>
      <c r="M107" s="9" t="str">
        <f t="shared" si="15"/>
        <v>ZIM504124207-4</v>
      </c>
      <c r="N107" s="24">
        <f>IF($A107="","",WORKDAY($A107,Settings!$C$9,HolidayDates))</f>
        <v>46127</v>
      </c>
      <c r="O107" s="24">
        <f>IF($N107="","",WORKDAY($N107,Settings!$C$10,HolidayDates))</f>
        <v>46167</v>
      </c>
      <c r="P107" s="10" t="s">
        <v>501</v>
      </c>
      <c r="Q107" s="52" t="str">
        <f t="shared" si="21"/>
        <v>Collected</v>
      </c>
      <c r="R107" s="55" t="str">
        <f t="shared" si="22"/>
        <v>2026-04</v>
      </c>
      <c r="S107" s="55">
        <f>IF(OR($B107="",$F107="",$R107=""),"",SUMIFS(tblIssues[Qty Issued],tblIssues[Staff ID],$B107,tblIssues[Item Name],$F107,tblIssues[Month],$R107))</f>
        <v>500</v>
      </c>
      <c r="T107" s="56">
        <f>IF($I107="","",$I107*Settings!$C$11)</f>
        <v>500</v>
      </c>
      <c r="U107" s="57" t="str">
        <f t="shared" si="17"/>
        <v>OK</v>
      </c>
      <c r="V107" s="55" t="str">
        <f t="shared" si="23"/>
        <v/>
      </c>
      <c r="W107" s="55" t="str">
        <f>IF($V107="","",IF(COUNTIF($V$5:$V107,$V107)=1,1,""))</f>
        <v/>
      </c>
      <c r="X107" s="58" t="str">
        <f>IF($W107="","",MAX($X$4:X106)+1)</f>
        <v/>
      </c>
      <c r="Y107" s="62"/>
      <c r="Z107" s="62"/>
      <c r="AA107" s="64" t="str">
        <f>IF($C107="","",IFERROR(INDEX('Staff Directory'!$E$5:$E$594,MATCH($C107,'Staff Directory'!$B$5:$B$594,0)),""))</f>
        <v>firstname070.lastname070@example.com</v>
      </c>
      <c r="AB107" s="64" t="str">
        <f>IF($C107="","",IF(ISNUMBER(SEARCH($D107,Settings!$C$15)),"Pickup","Dispatch"))</f>
        <v>Pickup</v>
      </c>
      <c r="AC107" s="64" t="str">
        <f t="shared" si="24"/>
        <v>Supply order ready for pickup</v>
      </c>
      <c r="AD107" s="64" t="str">
        <f t="shared" si="12"/>
        <v>Dear PSW,
Your order is ready for pickup from Sample Branch, Wed-Fri 9am-4pm.</v>
      </c>
      <c r="AE107" s="64" t="str">
        <f t="shared" si="13"/>
        <v>mailto:firstname070.lastname070@example.com?subject=Supply%20order%20ready%20for%20pickup&amp;body=Dear%20PSW%2C%0A%0AYour%20order%20is%20ready%20for%20pickup%20from%20Sample%20Branch%2C%20Wed-Fri%209am-4pm.</v>
      </c>
      <c r="AF107" s="89" t="str">
        <f t="shared" si="25"/>
        <v>Draft email</v>
      </c>
      <c r="AG107" s="64" t="str">
        <f>IF($C107="","",IFERROR(INDEX('Staff Directory'!$K$595:$K$599,MATCH($C107,'Staff Directory'!$B$5:$B$599,0)),$D107))</f>
        <v>PSW</v>
      </c>
      <c r="AH107" t="str">
        <f>IF($C107="","",IFERROR(INDEX('Staff Directory'!$I$595:$I$599,MATCH($C107,'Staff Directory'!$B$5:$B$599,0))&amp;" "&amp;INDEX('Staff Directory'!$J$595:$J$599,MATCH($C107,'Staff Directory'!$B$5:$B$599,0)),$AG107))</f>
        <v>PSW</v>
      </c>
      <c r="AI107" s="102"/>
      <c r="AJ107" s="101">
        <f>IF($F107="","",SUMIFS($J$5:$J107,$F$5:$F107,$F107))</f>
        <v>5500</v>
      </c>
      <c r="AK107" s="101">
        <f t="shared" si="3"/>
        <v>5001</v>
      </c>
      <c r="AL107" s="66" t="str" cm="1">
        <f t="array" ref="AL107">IF($F107="","",IFERROR(INDEX('Lot Balance'!$B$5:$B$500,MATCH(1,INDEX(('Lot Balance'!$A$5:$A$500=$F107)*('Lot Balance'!$K$5:$K$500&lt;$AK107)*('Lot Balance'!$K$5:$K$500+'Lot Balance'!$D$5:$D$500&gt;=$AK107),0),0)),""))</f>
        <v>ZIM504124207-4</v>
      </c>
      <c r="AM107" s="66" t="str" cm="1">
        <f t="array" ref="AM107">IF($F107="","",IFERROR(INDEX('Lot Balance'!$B$5:$B$500,MATCH(1,INDEX(('Lot Balance'!$A$5:$A$500=$F107)*('Lot Balance'!$K$5:$K$500&lt;$AJ107)*('Lot Balance'!$K$5:$K$500+'Lot Balance'!$D$5:$D$500&gt;=$AJ107),0),0)),""))</f>
        <v>ZIM504124207-4</v>
      </c>
      <c r="AN107" s="66" t="str">
        <f>IF($F107="","",IF($AI107&lt;&gt;"",IF(COUNTIFS('Lot Balance'!$A$5:$A$500,$F107,'Lot Balance'!$B$5:$B$500,$AI107)=0,"⚠ override is not a lot of this item",IF($AI107=$AL107,"Override = FEFO","Override - FEFO says "&amp;$AL107)),IF($AL107="","⚠ no receipt on file for this item",IF($AM107&lt;&gt;$AL107,"FEFO auto - split, also "&amp;$AM107,"FEFO auto"))))</f>
        <v>FEFO auto</v>
      </c>
      <c r="AO107" s="114"/>
    </row>
    <row r="108" spans="1:41" x14ac:dyDescent="0.35">
      <c r="A108" s="74">
        <v>46119</v>
      </c>
      <c r="B108" s="18" t="str">
        <f>IF($C108="","",IFERROR(INDEX('Staff Directory'!$A$5:$A$594,MATCH($C108,'Staff Directory'!$B$5:$B$594,0)),"⚠ unknown staff"))</f>
        <v>PSW-010-A4</v>
      </c>
      <c r="C108" s="49" t="s">
        <v>986</v>
      </c>
      <c r="D108" s="19" t="str">
        <f>IF($B108="","",IFERROR(INDEX('Staff Directory'!$C$5:$C$594,MATCH($B108,'Staff Directory'!$A$5:$A$594,0)),""))</f>
        <v>PSW</v>
      </c>
      <c r="E108" s="19" t="str">
        <f>IF($B108="","",IFERROR(INDEX('Staff Directory'!$D$5:$D$594,MATCH($B108,'Staff Directory'!$A$5:$A$594,0)),""))</f>
        <v>A4</v>
      </c>
      <c r="F108" s="9" t="s">
        <v>755</v>
      </c>
      <c r="G108" s="18" t="str">
        <f>IF($F108="","",IFERROR(INDEX(Items!$B$5:$B$597,MATCH($F108,Items!$A$5:$A$597,0)),"⚠ not in Items"))</f>
        <v>Documents</v>
      </c>
      <c r="H108" s="19" t="str">
        <f>IF($F108="","",IFERROR(INDEX(Items!$C$5:$C$597,MATCH($F108,Items!$A$5:$A$597,0)),""))</f>
        <v>Standard</v>
      </c>
      <c r="I108" s="23">
        <f>IF($F108="","",IFERROR(INDEX(Items!$E$5:$E$597,MATCH($F108,Items!$A$5:$A$597,0)),""))</f>
        <v>2</v>
      </c>
      <c r="J108" s="115">
        <f>IF(tblIssues[[#This Row],[Qty Override]]&lt;&gt;"",tblIssues[[#This Row],[Qty Override]],IF(tblIssues[[#This Row],[Standard Issue]]="","",tblIssues[[#This Row],[Standard Issue]]))</f>
        <v>2</v>
      </c>
      <c r="K108" s="20">
        <f>IF($F108="","",IFERROR(INDEX(Items!$D$5:$D$597,MATCH($F108,Items!$A$5:$A$597,0)),""))</f>
        <v>0</v>
      </c>
      <c r="L108" s="21">
        <f t="shared" si="14"/>
        <v>0</v>
      </c>
      <c r="M108" s="9" t="str">
        <f t="shared" si="15"/>
        <v/>
      </c>
      <c r="N108" s="24">
        <f>IF($A108="","",WORKDAY($A108,Settings!$C$9,HolidayDates))</f>
        <v>46127</v>
      </c>
      <c r="O108" s="24">
        <f>IF($N108="","",WORKDAY($N108,Settings!$C$10,HolidayDates))</f>
        <v>46167</v>
      </c>
      <c r="P108" s="10" t="s">
        <v>501</v>
      </c>
      <c r="Q108" s="52" t="str">
        <f t="shared" si="21"/>
        <v>Collected</v>
      </c>
      <c r="R108" s="55" t="str">
        <f t="shared" si="22"/>
        <v>2026-04</v>
      </c>
      <c r="S108" s="55">
        <f>IF(OR($B108="",$F108="",$R108=""),"",SUMIFS(tblIssues[Qty Issued],tblIssues[Staff ID],$B108,tblIssues[Item Name],$F108,tblIssues[Month],$R108))</f>
        <v>2</v>
      </c>
      <c r="T108" s="56">
        <f>IF($I108="","",$I108*Settings!$C$11)</f>
        <v>2</v>
      </c>
      <c r="U108" s="57" t="str">
        <f t="shared" si="17"/>
        <v>OK</v>
      </c>
      <c r="V108" s="55" t="str">
        <f t="shared" si="23"/>
        <v/>
      </c>
      <c r="W108" s="55" t="str">
        <f>IF($V108="","",IF(COUNTIF($V$5:$V108,$V108)=1,1,""))</f>
        <v/>
      </c>
      <c r="X108" s="58" t="str">
        <f>IF($W108="","",MAX($X$4:X107)+1)</f>
        <v/>
      </c>
      <c r="Y108" s="62"/>
      <c r="Z108" s="62"/>
      <c r="AA108" s="64" t="str">
        <f>IF($C108="","",IFERROR(INDEX('Staff Directory'!$E$5:$E$594,MATCH($C108,'Staff Directory'!$B$5:$B$594,0)),""))</f>
        <v>firstname070.lastname070@example.com</v>
      </c>
      <c r="AB108" s="64" t="str">
        <f>IF($C108="","",IF(ISNUMBER(SEARCH($D108,Settings!$C$15)),"Pickup","Dispatch"))</f>
        <v>Pickup</v>
      </c>
      <c r="AC108" s="64" t="str">
        <f t="shared" si="24"/>
        <v>Supply order ready for pickup</v>
      </c>
      <c r="AD108" s="64" t="str">
        <f t="shared" si="12"/>
        <v>Dear PSW,
Your order is ready for pickup from Sample Branch, Wed-Fri 9am-4pm.</v>
      </c>
      <c r="AE108" s="64" t="str">
        <f t="shared" si="13"/>
        <v>mailto:firstname070.lastname070@example.com?subject=Supply%20order%20ready%20for%20pickup&amp;body=Dear%20PSW%2C%0A%0AYour%20order%20is%20ready%20for%20pickup%20from%20Sample%20Branch%2C%20Wed-Fri%209am-4pm.</v>
      </c>
      <c r="AF108" s="89" t="str">
        <f t="shared" si="25"/>
        <v>Draft email</v>
      </c>
      <c r="AG108" s="64" t="str">
        <f>IF($C108="","",IFERROR(INDEX('Staff Directory'!$K$595:$K$599,MATCH($C108,'Staff Directory'!$B$5:$B$599,0)),$D108))</f>
        <v>PSW</v>
      </c>
      <c r="AH108" t="str">
        <f>IF($C108="","",IFERROR(INDEX('Staff Directory'!$I$595:$I$599,MATCH($C108,'Staff Directory'!$B$5:$B$599,0))&amp;" "&amp;INDEX('Staff Directory'!$J$595:$J$599,MATCH($C108,'Staff Directory'!$B$5:$B$599,0)),$AG108))</f>
        <v>PSW</v>
      </c>
      <c r="AI108" s="102"/>
      <c r="AJ108" s="101">
        <f>IF($F108="","",SUMIFS($J$5:$J108,$F$5:$F108,$F108))</f>
        <v>10</v>
      </c>
      <c r="AK108" s="101">
        <f t="shared" si="3"/>
        <v>9</v>
      </c>
      <c r="AL108" s="66" t="str" cm="1">
        <f t="array" ref="AL108">IF($F108="","",IFERROR(INDEX('Lot Balance'!$B$5:$B$500,MATCH(1,INDEX(('Lot Balance'!$A$5:$A$500=$F108)*('Lot Balance'!$K$5:$K$500&lt;$AK108)*('Lot Balance'!$K$5:$K$500+'Lot Balance'!$D$5:$D$500&gt;=$AK108),0),0)),""))</f>
        <v/>
      </c>
      <c r="AM108" s="66" t="str" cm="1">
        <f t="array" ref="AM108">IF($F108="","",IFERROR(INDEX('Lot Balance'!$B$5:$B$500,MATCH(1,INDEX(('Lot Balance'!$A$5:$A$500=$F108)*('Lot Balance'!$K$5:$K$500&lt;$AJ108)*('Lot Balance'!$K$5:$K$500+'Lot Balance'!$D$5:$D$500&gt;=$AJ108),0),0)),""))</f>
        <v/>
      </c>
      <c r="AN108" s="66" t="str">
        <f>IF($F108="","",IF($AI108&lt;&gt;"",IF(COUNTIFS('Lot Balance'!$A$5:$A$500,$F108,'Lot Balance'!$B$5:$B$500,$AI108)=0,"⚠ override is not a lot of this item",IF($AI108=$AL108,"Override = FEFO","Override - FEFO says "&amp;$AL108)),IF($AL108="","⚠ no receipt on file for this item",IF($AM108&lt;&gt;$AL108,"FEFO auto - split, also "&amp;$AM108,"FEFO auto"))))</f>
        <v>⚠ no receipt on file for this item</v>
      </c>
      <c r="AO108" s="114"/>
    </row>
    <row r="109" spans="1:41" x14ac:dyDescent="0.35">
      <c r="A109" s="74">
        <v>46119</v>
      </c>
      <c r="B109" s="18" t="str">
        <f>IF($C109="","",IFERROR(INDEX('Staff Directory'!$A$5:$A$594,MATCH($C109,'Staff Directory'!$B$5:$B$594,0)),"⚠ unknown staff"))</f>
        <v>PSW-057-A5</v>
      </c>
      <c r="C109" s="49" t="s">
        <v>1033</v>
      </c>
      <c r="D109" s="19" t="str">
        <f>IF($B109="","",IFERROR(INDEX('Staff Directory'!$C$5:$C$594,MATCH($B109,'Staff Directory'!$A$5:$A$594,0)),""))</f>
        <v>PSW</v>
      </c>
      <c r="E109" s="19" t="str">
        <f>IF($B109="","",IFERROR(INDEX('Staff Directory'!$D$5:$D$594,MATCH($B109,'Staff Directory'!$A$5:$A$594,0)),""))</f>
        <v>A5</v>
      </c>
      <c r="F109" s="9" t="s">
        <v>132</v>
      </c>
      <c r="G109" s="18" t="str">
        <f>IF($F109="","",IFERROR(INDEX(Items!$B$5:$B$597,MATCH($F109,Items!$A$5:$A$597,0)),"⚠ not in Items"))</f>
        <v>Gloves</v>
      </c>
      <c r="H109" s="19" t="str">
        <f>IF($F109="","",IFERROR(INDEX(Items!$C$5:$C$597,MATCH($F109,Items!$A$5:$A$597,0)),""))</f>
        <v>X-Large</v>
      </c>
      <c r="I109" s="23">
        <f>IF($F109="","",IFERROR(INDEX(Items!$E$5:$E$597,MATCH($F109,Items!$A$5:$A$597,0)),""))</f>
        <v>500</v>
      </c>
      <c r="J109" s="115">
        <f>IF(tblIssues[[#This Row],[Qty Override]]&lt;&gt;"",tblIssues[[#This Row],[Qty Override]],IF(tblIssues[[#This Row],[Standard Issue]]="","",tblIssues[[#This Row],[Standard Issue]]))</f>
        <v>500</v>
      </c>
      <c r="K109" s="20">
        <f>IF($F109="","",IFERROR(INDEX(Items!$D$5:$D$597,MATCH($F109,Items!$A$5:$A$597,0)),""))</f>
        <v>5.5E-2</v>
      </c>
      <c r="L109" s="21">
        <f t="shared" si="14"/>
        <v>27.5</v>
      </c>
      <c r="M109" s="9" t="str">
        <f t="shared" si="15"/>
        <v>XL5003005</v>
      </c>
      <c r="N109" s="24">
        <f>IF($A109="","",WORKDAY($A109,Settings!$C$9,HolidayDates))</f>
        <v>46127</v>
      </c>
      <c r="O109" s="24">
        <f>IF($N109="","",WORKDAY($N109,Settings!$C$10,HolidayDates))</f>
        <v>46167</v>
      </c>
      <c r="P109" s="10" t="s">
        <v>501</v>
      </c>
      <c r="Q109" s="52" t="str">
        <f t="shared" si="21"/>
        <v>Collected</v>
      </c>
      <c r="R109" s="55" t="str">
        <f t="shared" si="22"/>
        <v>2026-04</v>
      </c>
      <c r="S109" s="55">
        <f>IF(OR($B109="",$F109="",$R109=""),"",SUMIFS(tblIssues[Qty Issued],tblIssues[Staff ID],$B109,tblIssues[Item Name],$F109,tblIssues[Month],$R109))</f>
        <v>500</v>
      </c>
      <c r="T109" s="56">
        <f>IF($I109="","",$I109*Settings!$C$11)</f>
        <v>500</v>
      </c>
      <c r="U109" s="57" t="str">
        <f t="shared" si="17"/>
        <v>OK</v>
      </c>
      <c r="V109" s="55" t="str">
        <f t="shared" si="23"/>
        <v/>
      </c>
      <c r="W109" s="55" t="str">
        <f>IF($V109="","",IF(COUNTIF($V$5:$V109,$V109)=1,1,""))</f>
        <v/>
      </c>
      <c r="X109" s="58" t="str">
        <f>IF($W109="","",MAX($X$4:X108)+1)</f>
        <v/>
      </c>
      <c r="Y109" s="62"/>
      <c r="Z109" s="62"/>
      <c r="AA109" s="64" t="str">
        <f>IF($C109="","",IFERROR(INDEX('Staff Directory'!$E$5:$E$594,MATCH($C109,'Staff Directory'!$B$5:$B$594,0)),""))</f>
        <v>firstname117.lastname117@example.com</v>
      </c>
      <c r="AB109" s="64" t="str">
        <f>IF($C109="","",IF(ISNUMBER(SEARCH($D109,Settings!$C$15)),"Pickup","Dispatch"))</f>
        <v>Pickup</v>
      </c>
      <c r="AC109" s="64" t="str">
        <f t="shared" si="24"/>
        <v>Supply order ready for pickup</v>
      </c>
      <c r="AD109" s="64" t="str">
        <f t="shared" si="12"/>
        <v>Dear PSW,
Your order is ready for pickup from Sample Branch, Wed-Fri 9am-4pm.</v>
      </c>
      <c r="AE109" s="64" t="str">
        <f t="shared" si="13"/>
        <v>mailto:firstname117.lastname117@example.com?subject=Supply%20order%20ready%20for%20pickup&amp;body=Dear%20PSW%2C%0A%0AYour%20order%20is%20ready%20for%20pickup%20from%20Sample%20Branch%2C%20Wed-Fri%209am-4pm.</v>
      </c>
      <c r="AF109" s="89" t="str">
        <f t="shared" si="25"/>
        <v>Draft email</v>
      </c>
      <c r="AG109" s="64" t="str">
        <f>IF($C109="","",IFERROR(INDEX('Staff Directory'!$K$595:$K$599,MATCH($C109,'Staff Directory'!$B$5:$B$599,0)),$D109))</f>
        <v>PSW</v>
      </c>
      <c r="AH109" t="str">
        <f>IF($C109="","",IFERROR(INDEX('Staff Directory'!$I$595:$I$599,MATCH($C109,'Staff Directory'!$B$5:$B$599,0))&amp;" "&amp;INDEX('Staff Directory'!$J$595:$J$599,MATCH($C109,'Staff Directory'!$B$5:$B$599,0)),$AG109))</f>
        <v>PSW</v>
      </c>
      <c r="AI109" s="102"/>
      <c r="AJ109" s="101">
        <f>IF($F109="","",SUMIFS($J$5:$J109,$F$5:$F109,$F109))</f>
        <v>500</v>
      </c>
      <c r="AK109" s="101">
        <f t="shared" si="3"/>
        <v>1</v>
      </c>
      <c r="AL109" s="66" t="str" cm="1">
        <f t="array" ref="AL109">IF($F109="","",IFERROR(INDEX('Lot Balance'!$B$5:$B$500,MATCH(1,INDEX(('Lot Balance'!$A$5:$A$500=$F109)*('Lot Balance'!$K$5:$K$500&lt;$AK109)*('Lot Balance'!$K$5:$K$500+'Lot Balance'!$D$5:$D$500&gt;=$AK109),0),0)),""))</f>
        <v>XL5003005</v>
      </c>
      <c r="AM109" s="66" t="str" cm="1">
        <f t="array" ref="AM109">IF($F109="","",IFERROR(INDEX('Lot Balance'!$B$5:$B$500,MATCH(1,INDEX(('Lot Balance'!$A$5:$A$500=$F109)*('Lot Balance'!$K$5:$K$500&lt;$AJ109)*('Lot Balance'!$K$5:$K$500+'Lot Balance'!$D$5:$D$500&gt;=$AJ109),0),0)),""))</f>
        <v>XL5003005</v>
      </c>
      <c r="AN109" s="66" t="str">
        <f>IF($F109="","",IF($AI109&lt;&gt;"",IF(COUNTIFS('Lot Balance'!$A$5:$A$500,$F109,'Lot Balance'!$B$5:$B$500,$AI109)=0,"⚠ override is not a lot of this item",IF($AI109=$AL109,"Override = FEFO","Override - FEFO says "&amp;$AL109)),IF($AL109="","⚠ no receipt on file for this item",IF($AM109&lt;&gt;$AL109,"FEFO auto - split, also "&amp;$AM109,"FEFO auto"))))</f>
        <v>FEFO auto</v>
      </c>
      <c r="AO109" s="114"/>
    </row>
    <row r="110" spans="1:41" x14ac:dyDescent="0.35">
      <c r="A110" s="74">
        <v>46119</v>
      </c>
      <c r="B110" s="18" t="str">
        <f>IF($C110="","",IFERROR(INDEX('Staff Directory'!$A$5:$A$594,MATCH($C110,'Staff Directory'!$B$5:$B$594,0)),"⚠ unknown staff"))</f>
        <v>PSW-057-A5</v>
      </c>
      <c r="C110" s="49" t="s">
        <v>1033</v>
      </c>
      <c r="D110" s="19" t="str">
        <f>IF($B110="","",IFERROR(INDEX('Staff Directory'!$C$5:$C$594,MATCH($B110,'Staff Directory'!$A$5:$A$594,0)),""))</f>
        <v>PSW</v>
      </c>
      <c r="E110" s="19" t="str">
        <f>IF($B110="","",IFERROR(INDEX('Staff Directory'!$D$5:$D$594,MATCH($B110,'Staff Directory'!$A$5:$A$594,0)),""))</f>
        <v>A5</v>
      </c>
      <c r="F110" s="9" t="s">
        <v>137</v>
      </c>
      <c r="G110" s="18" t="str">
        <f>IF($F110="","",IFERROR(INDEX(Items!$B$5:$B$597,MATCH($F110,Items!$A$5:$A$597,0)),"⚠ not in Items"))</f>
        <v>Sanitizer</v>
      </c>
      <c r="H110" s="19" t="str">
        <f>IF($F110="","",IFERROR(INDEX(Items!$C$5:$C$597,MATCH($F110,Items!$A$5:$A$597,0)),""))</f>
        <v>118 ML</v>
      </c>
      <c r="I110" s="23">
        <f>IF($F110="","",IFERROR(INDEX(Items!$E$5:$E$597,MATCH($F110,Items!$A$5:$A$597,0)),""))</f>
        <v>2</v>
      </c>
      <c r="J110" s="115">
        <f>IF(tblIssues[[#This Row],[Qty Override]]&lt;&gt;"",tblIssues[[#This Row],[Qty Override]],IF(tblIssues[[#This Row],[Standard Issue]]="","",tblIssues[[#This Row],[Standard Issue]]))</f>
        <v>2</v>
      </c>
      <c r="K110" s="20">
        <f>IF($F110="","",IFERROR(INDEX(Items!$D$5:$D$597,MATCH($F110,Items!$A$5:$A$597,0)),""))</f>
        <v>4.49</v>
      </c>
      <c r="L110" s="21">
        <f t="shared" si="14"/>
        <v>8.98</v>
      </c>
      <c r="M110" s="9" t="str">
        <f t="shared" si="15"/>
        <v>563963-5</v>
      </c>
      <c r="N110" s="24">
        <f>IF($A110="","",WORKDAY($A110,Settings!$C$9,HolidayDates))</f>
        <v>46127</v>
      </c>
      <c r="O110" s="24">
        <f>IF($N110="","",WORKDAY($N110,Settings!$C$10,HolidayDates))</f>
        <v>46167</v>
      </c>
      <c r="P110" s="10" t="s">
        <v>501</v>
      </c>
      <c r="Q110" s="52" t="str">
        <f t="shared" si="21"/>
        <v>Collected</v>
      </c>
      <c r="R110" s="55" t="str">
        <f t="shared" si="22"/>
        <v>2026-04</v>
      </c>
      <c r="S110" s="55">
        <f>IF(OR($B110="",$F110="",$R110=""),"",SUMIFS(tblIssues[Qty Issued],tblIssues[Staff ID],$B110,tblIssues[Item Name],$F110,tblIssues[Month],$R110))</f>
        <v>2</v>
      </c>
      <c r="T110" s="56">
        <f>IF($I110="","",$I110*Settings!$C$11)</f>
        <v>2</v>
      </c>
      <c r="U110" s="57" t="str">
        <f t="shared" si="17"/>
        <v>OK</v>
      </c>
      <c r="V110" s="55" t="str">
        <f t="shared" si="23"/>
        <v/>
      </c>
      <c r="W110" s="55" t="str">
        <f>IF($V110="","",IF(COUNTIF($V$5:$V110,$V110)=1,1,""))</f>
        <v/>
      </c>
      <c r="X110" s="58" t="str">
        <f>IF($W110="","",MAX($X$4:X109)+1)</f>
        <v/>
      </c>
      <c r="Y110" s="62"/>
      <c r="Z110" s="62"/>
      <c r="AA110" s="64" t="str">
        <f>IF($C110="","",IFERROR(INDEX('Staff Directory'!$E$5:$E$594,MATCH($C110,'Staff Directory'!$B$5:$B$594,0)),""))</f>
        <v>firstname117.lastname117@example.com</v>
      </c>
      <c r="AB110" s="64" t="str">
        <f>IF($C110="","",IF(ISNUMBER(SEARCH($D110,Settings!$C$15)),"Pickup","Dispatch"))</f>
        <v>Pickup</v>
      </c>
      <c r="AC110" s="64" t="str">
        <f t="shared" si="24"/>
        <v>Supply order ready for pickup</v>
      </c>
      <c r="AD110" s="64" t="str">
        <f t="shared" si="12"/>
        <v>Dear PSW,
Your order is ready for pickup from Sample Branch, Wed-Fri 9am-4pm.</v>
      </c>
      <c r="AE110" s="64" t="str">
        <f t="shared" si="13"/>
        <v>mailto:firstname117.lastname117@example.com?subject=Supply%20order%20ready%20for%20pickup&amp;body=Dear%20PSW%2C%0A%0AYour%20order%20is%20ready%20for%20pickup%20from%20Sample%20Branch%2C%20Wed-Fri%209am-4pm.</v>
      </c>
      <c r="AF110" s="89" t="str">
        <f t="shared" si="25"/>
        <v>Draft email</v>
      </c>
      <c r="AG110" s="64" t="str">
        <f>IF($C110="","",IFERROR(INDEX('Staff Directory'!$K$595:$K$599,MATCH($C110,'Staff Directory'!$B$5:$B$599,0)),$D110))</f>
        <v>PSW</v>
      </c>
      <c r="AH110" t="str">
        <f>IF($C110="","",IFERROR(INDEX('Staff Directory'!$I$595:$I$599,MATCH($C110,'Staff Directory'!$B$5:$B$599,0))&amp;" "&amp;INDEX('Staff Directory'!$J$595:$J$599,MATCH($C110,'Staff Directory'!$B$5:$B$599,0)),$AG110))</f>
        <v>PSW</v>
      </c>
      <c r="AI110" s="102"/>
      <c r="AJ110" s="101">
        <f>IF($F110="","",SUMIFS($J$5:$J110,$F$5:$F110,$F110))</f>
        <v>40</v>
      </c>
      <c r="AK110" s="101">
        <f t="shared" si="3"/>
        <v>39</v>
      </c>
      <c r="AL110" s="66" t="str" cm="1">
        <f t="array" ref="AL110">IF($F110="","",IFERROR(INDEX('Lot Balance'!$B$5:$B$500,MATCH(1,INDEX(('Lot Balance'!$A$5:$A$500=$F110)*('Lot Balance'!$K$5:$K$500&lt;$AK110)*('Lot Balance'!$K$5:$K$500+'Lot Balance'!$D$5:$D$500&gt;=$AK110),0),0)),""))</f>
        <v>563963-5</v>
      </c>
      <c r="AM110" s="66" t="str" cm="1">
        <f t="array" ref="AM110">IF($F110="","",IFERROR(INDEX('Lot Balance'!$B$5:$B$500,MATCH(1,INDEX(('Lot Balance'!$A$5:$A$500=$F110)*('Lot Balance'!$K$5:$K$500&lt;$AJ110)*('Lot Balance'!$K$5:$K$500+'Lot Balance'!$D$5:$D$500&gt;=$AJ110),0),0)),""))</f>
        <v>563963-5</v>
      </c>
      <c r="AN110" s="66" t="str">
        <f>IF($F110="","",IF($AI110&lt;&gt;"",IF(COUNTIFS('Lot Balance'!$A$5:$A$500,$F110,'Lot Balance'!$B$5:$B$500,$AI110)=0,"⚠ override is not a lot of this item",IF($AI110=$AL110,"Override = FEFO","Override - FEFO says "&amp;$AL110)),IF($AL110="","⚠ no receipt on file for this item",IF($AM110&lt;&gt;$AL110,"FEFO auto - split, also "&amp;$AM110,"FEFO auto"))))</f>
        <v>FEFO auto</v>
      </c>
      <c r="AO110" s="114"/>
    </row>
    <row r="111" spans="1:41" x14ac:dyDescent="0.35">
      <c r="A111" s="74">
        <v>46119</v>
      </c>
      <c r="B111" s="18" t="str">
        <f>IF($C111="","",IFERROR(INDEX('Staff Directory'!$A$5:$A$594,MATCH($C111,'Staff Directory'!$B$5:$B$594,0)),"⚠ unknown staff"))</f>
        <v>PSW-057-A5</v>
      </c>
      <c r="C111" s="49" t="s">
        <v>1033</v>
      </c>
      <c r="D111" s="19" t="str">
        <f>IF($B111="","",IFERROR(INDEX('Staff Directory'!$C$5:$C$594,MATCH($B111,'Staff Directory'!$A$5:$A$594,0)),""))</f>
        <v>PSW</v>
      </c>
      <c r="E111" s="19" t="str">
        <f>IF($B111="","",IFERROR(INDEX('Staff Directory'!$D$5:$D$594,MATCH($B111,'Staff Directory'!$A$5:$A$594,0)),""))</f>
        <v>A5</v>
      </c>
      <c r="F111" s="9" t="s">
        <v>156</v>
      </c>
      <c r="G111" s="18" t="str">
        <f>IF($F111="","",IFERROR(INDEX(Items!$B$5:$B$597,MATCH($F111,Items!$A$5:$A$597,0)),"⚠ not in Items"))</f>
        <v>Masks</v>
      </c>
      <c r="H111" s="19" t="str">
        <f>IF($F111="","",IFERROR(INDEX(Items!$C$5:$C$597,MATCH($F111,Items!$A$5:$A$597,0)),""))</f>
        <v>One Size</v>
      </c>
      <c r="I111" s="23">
        <f>IF($F111="","",IFERROR(INDEX(Items!$E$5:$E$597,MATCH($F111,Items!$A$5:$A$597,0)),""))</f>
        <v>50</v>
      </c>
      <c r="J111" s="115">
        <f>IF(tblIssues[[#This Row],[Qty Override]]&lt;&gt;"",tblIssues[[#This Row],[Qty Override]],IF(tblIssues[[#This Row],[Standard Issue]]="","",tblIssues[[#This Row],[Standard Issue]]))</f>
        <v>50</v>
      </c>
      <c r="K111" s="20">
        <f>IF($F111="","",IFERROR(INDEX(Items!$D$5:$D$597,MATCH($F111,Items!$A$5:$A$597,0)),""))</f>
        <v>0.25</v>
      </c>
      <c r="L111" s="21">
        <f t="shared" si="14"/>
        <v>12.5</v>
      </c>
      <c r="M111" s="9" t="str">
        <f t="shared" si="15"/>
        <v>0125FPC24-0</v>
      </c>
      <c r="N111" s="24">
        <f>IF($A111="","",WORKDAY($A111,Settings!$C$9,HolidayDates))</f>
        <v>46127</v>
      </c>
      <c r="O111" s="24">
        <f>IF($N111="","",WORKDAY($N111,Settings!$C$10,HolidayDates))</f>
        <v>46167</v>
      </c>
      <c r="P111" s="10" t="s">
        <v>501</v>
      </c>
      <c r="Q111" s="52" t="str">
        <f t="shared" si="21"/>
        <v>Collected</v>
      </c>
      <c r="R111" s="55" t="str">
        <f t="shared" si="22"/>
        <v>2026-04</v>
      </c>
      <c r="S111" s="55">
        <f>IF(OR($B111="",$F111="",$R111=""),"",SUMIFS(tblIssues[Qty Issued],tblIssues[Staff ID],$B111,tblIssues[Item Name],$F111,tblIssues[Month],$R111))</f>
        <v>50</v>
      </c>
      <c r="T111" s="56">
        <f>IF($I111="","",$I111*Settings!$C$11)</f>
        <v>50</v>
      </c>
      <c r="U111" s="57" t="str">
        <f t="shared" si="17"/>
        <v>OK</v>
      </c>
      <c r="V111" s="55" t="str">
        <f t="shared" si="23"/>
        <v/>
      </c>
      <c r="W111" s="55" t="str">
        <f>IF($V111="","",IF(COUNTIF($V$5:$V111,$V111)=1,1,""))</f>
        <v/>
      </c>
      <c r="X111" s="58" t="str">
        <f>IF($W111="","",MAX($X$4:X110)+1)</f>
        <v/>
      </c>
      <c r="Y111" s="62"/>
      <c r="Z111" s="62"/>
      <c r="AA111" s="64" t="str">
        <f>IF($C111="","",IFERROR(INDEX('Staff Directory'!$E$5:$E$594,MATCH($C111,'Staff Directory'!$B$5:$B$594,0)),""))</f>
        <v>firstname117.lastname117@example.com</v>
      </c>
      <c r="AB111" s="64" t="str">
        <f>IF($C111="","",IF(ISNUMBER(SEARCH($D111,Settings!$C$15)),"Pickup","Dispatch"))</f>
        <v>Pickup</v>
      </c>
      <c r="AC111" s="64" t="str">
        <f t="shared" si="24"/>
        <v>Supply order ready for pickup</v>
      </c>
      <c r="AD111" s="64" t="str">
        <f t="shared" si="12"/>
        <v>Dear PSW,
Your order is ready for pickup from Sample Branch, Wed-Fri 9am-4pm.</v>
      </c>
      <c r="AE111" s="64" t="str">
        <f t="shared" si="13"/>
        <v>mailto:firstname117.lastname117@example.com?subject=Supply%20order%20ready%20for%20pickup&amp;body=Dear%20PSW%2C%0A%0AYour%20order%20is%20ready%20for%20pickup%20from%20Sample%20Branch%2C%20Wed-Fri%209am-4pm.</v>
      </c>
      <c r="AF111" s="89" t="str">
        <f t="shared" si="25"/>
        <v>Draft email</v>
      </c>
      <c r="AG111" s="64" t="str">
        <f>IF($C111="","",IFERROR(INDEX('Staff Directory'!$K$595:$K$599,MATCH($C111,'Staff Directory'!$B$5:$B$599,0)),$D111))</f>
        <v>PSW</v>
      </c>
      <c r="AH111" t="str">
        <f>IF($C111="","",IFERROR(INDEX('Staff Directory'!$I$595:$I$599,MATCH($C111,'Staff Directory'!$B$5:$B$599,0))&amp;" "&amp;INDEX('Staff Directory'!$J$595:$J$599,MATCH($C111,'Staff Directory'!$B$5:$B$599,0)),$AG111))</f>
        <v>PSW</v>
      </c>
      <c r="AI111" s="102"/>
      <c r="AJ111" s="101">
        <f>IF($F111="","",SUMIFS($J$5:$J111,$F$5:$F111,$F111))</f>
        <v>850</v>
      </c>
      <c r="AK111" s="101">
        <f t="shared" si="3"/>
        <v>801</v>
      </c>
      <c r="AL111" s="66" t="str" cm="1">
        <f t="array" ref="AL111">IF($F111="","",IFERROR(INDEX('Lot Balance'!$B$5:$B$500,MATCH(1,INDEX(('Lot Balance'!$A$5:$A$500=$F111)*('Lot Balance'!$K$5:$K$500&lt;$AK111)*('Lot Balance'!$K$5:$K$500+'Lot Balance'!$D$5:$D$500&gt;=$AK111),0),0)),""))</f>
        <v>0125FPC24-0</v>
      </c>
      <c r="AM111" s="66" t="str" cm="1">
        <f t="array" ref="AM111">IF($F111="","",IFERROR(INDEX('Lot Balance'!$B$5:$B$500,MATCH(1,INDEX(('Lot Balance'!$A$5:$A$500=$F111)*('Lot Balance'!$K$5:$K$500&lt;$AJ111)*('Lot Balance'!$K$5:$K$500+'Lot Balance'!$D$5:$D$500&gt;=$AJ111),0),0)),""))</f>
        <v>0125FPC24-0</v>
      </c>
      <c r="AN111" s="66" t="str">
        <f>IF($F111="","",IF($AI111&lt;&gt;"",IF(COUNTIFS('Lot Balance'!$A$5:$A$500,$F111,'Lot Balance'!$B$5:$B$500,$AI111)=0,"⚠ override is not a lot of this item",IF($AI111=$AL111,"Override = FEFO","Override - FEFO says "&amp;$AL111)),IF($AL111="","⚠ no receipt on file for this item",IF($AM111&lt;&gt;$AL111,"FEFO auto - split, also "&amp;$AM111,"FEFO auto"))))</f>
        <v>FEFO auto</v>
      </c>
      <c r="AO111" s="114"/>
    </row>
    <row r="112" spans="1:41" x14ac:dyDescent="0.35">
      <c r="A112" s="74">
        <v>46119</v>
      </c>
      <c r="B112" s="18" t="str">
        <f>IF($C112="","",IFERROR(INDEX('Staff Directory'!$A$5:$A$594,MATCH($C112,'Staff Directory'!$B$5:$B$594,0)),"⚠ unknown staff"))</f>
        <v>PSW-057-A5</v>
      </c>
      <c r="C112" s="49" t="s">
        <v>1033</v>
      </c>
      <c r="D112" s="19" t="str">
        <f>IF($B112="","",IFERROR(INDEX('Staff Directory'!$C$5:$C$594,MATCH($B112,'Staff Directory'!$A$5:$A$594,0)),""))</f>
        <v>PSW</v>
      </c>
      <c r="E112" s="19" t="str">
        <f>IF($B112="","",IFERROR(INDEX('Staff Directory'!$D$5:$D$594,MATCH($B112,'Staff Directory'!$A$5:$A$594,0)),""))</f>
        <v>A5</v>
      </c>
      <c r="F112" s="9" t="s">
        <v>154</v>
      </c>
      <c r="G112" s="18" t="str">
        <f>IF($F112="","",IFERROR(INDEX(Items!$B$5:$B$597,MATCH($F112,Items!$A$5:$A$597,0)),"⚠ not in Items"))</f>
        <v>IPAC</v>
      </c>
      <c r="H112" s="19" t="str">
        <f>IF($F112="","",IFERROR(INDEX(Items!$C$5:$C$597,MATCH($F112,Items!$A$5:$A$597,0)),""))</f>
        <v>Regular</v>
      </c>
      <c r="I112" s="23">
        <f>IF($F112="","",IFERROR(INDEX(Items!$E$5:$E$597,MATCH($F112,Items!$A$5:$A$597,0)),""))</f>
        <v>50</v>
      </c>
      <c r="J112" s="115">
        <f>IF(tblIssues[[#This Row],[Qty Override]]&lt;&gt;"",tblIssues[[#This Row],[Qty Override]],IF(tblIssues[[#This Row],[Standard Issue]]="","",tblIssues[[#This Row],[Standard Issue]]))</f>
        <v>50</v>
      </c>
      <c r="K112" s="20">
        <f>IF($F112="","",IFERROR(INDEX(Items!$D$5:$D$597,MATCH($F112,Items!$A$5:$A$597,0)),""))</f>
        <v>0.2</v>
      </c>
      <c r="L112" s="21">
        <f t="shared" si="14"/>
        <v>10</v>
      </c>
      <c r="M112" s="9">
        <f t="shared" si="15"/>
        <v>3024</v>
      </c>
      <c r="N112" s="24">
        <f>IF($A112="","",WORKDAY($A112,Settings!$C$9,HolidayDates))</f>
        <v>46127</v>
      </c>
      <c r="O112" s="24">
        <f>IF($N112="","",WORKDAY($N112,Settings!$C$10,HolidayDates))</f>
        <v>46167</v>
      </c>
      <c r="P112" s="10" t="s">
        <v>501</v>
      </c>
      <c r="Q112" s="52" t="str">
        <f t="shared" si="21"/>
        <v>Collected</v>
      </c>
      <c r="R112" s="55" t="str">
        <f t="shared" si="22"/>
        <v>2026-04</v>
      </c>
      <c r="S112" s="55">
        <f>IF(OR($B112="",$F112="",$R112=""),"",SUMIFS(tblIssues[Qty Issued],tblIssues[Staff ID],$B112,tblIssues[Item Name],$F112,tblIssues[Month],$R112))</f>
        <v>50</v>
      </c>
      <c r="T112" s="56">
        <f>IF($I112="","",$I112*Settings!$C$11)</f>
        <v>50</v>
      </c>
      <c r="U112" s="57" t="str">
        <f t="shared" si="17"/>
        <v>OK</v>
      </c>
      <c r="V112" s="55" t="str">
        <f t="shared" si="23"/>
        <v/>
      </c>
      <c r="W112" s="55" t="str">
        <f>IF($V112="","",IF(COUNTIF($V$5:$V112,$V112)=1,1,""))</f>
        <v/>
      </c>
      <c r="X112" s="58" t="str">
        <f>IF($W112="","",MAX($X$4:X111)+1)</f>
        <v/>
      </c>
      <c r="Y112" s="62"/>
      <c r="Z112" s="62"/>
      <c r="AA112" s="64" t="str">
        <f>IF($C112="","",IFERROR(INDEX('Staff Directory'!$E$5:$E$594,MATCH($C112,'Staff Directory'!$B$5:$B$594,0)),""))</f>
        <v>firstname117.lastname117@example.com</v>
      </c>
      <c r="AB112" s="64" t="str">
        <f>IF($C112="","",IF(ISNUMBER(SEARCH($D112,Settings!$C$15)),"Pickup","Dispatch"))</f>
        <v>Pickup</v>
      </c>
      <c r="AC112" s="64" t="str">
        <f t="shared" si="24"/>
        <v>Supply order ready for pickup</v>
      </c>
      <c r="AD112" s="64" t="str">
        <f t="shared" si="12"/>
        <v>Dear PSW,
Your order is ready for pickup from Sample Branch, Wed-Fri 9am-4pm.</v>
      </c>
      <c r="AE112" s="64" t="str">
        <f t="shared" si="13"/>
        <v>mailto:firstname117.lastname117@example.com?subject=Supply%20order%20ready%20for%20pickup&amp;body=Dear%20PSW%2C%0A%0AYour%20order%20is%20ready%20for%20pickup%20from%20Sample%20Branch%2C%20Wed-Fri%209am-4pm.</v>
      </c>
      <c r="AF112" s="89" t="str">
        <f t="shared" si="25"/>
        <v>Draft email</v>
      </c>
      <c r="AG112" s="64" t="str">
        <f>IF($C112="","",IFERROR(INDEX('Staff Directory'!$K$595:$K$599,MATCH($C112,'Staff Directory'!$B$5:$B$599,0)),$D112))</f>
        <v>PSW</v>
      </c>
      <c r="AH112" t="str">
        <f>IF($C112="","",IFERROR(INDEX('Staff Directory'!$I$595:$I$599,MATCH($C112,'Staff Directory'!$B$5:$B$599,0))&amp;" "&amp;INDEX('Staff Directory'!$J$595:$J$599,MATCH($C112,'Staff Directory'!$B$5:$B$599,0)),$AG112))</f>
        <v>PSW</v>
      </c>
      <c r="AI112" s="102"/>
      <c r="AJ112" s="101">
        <f>IF($F112="","",SUMIFS($J$5:$J112,$F$5:$F112,$F112))</f>
        <v>100</v>
      </c>
      <c r="AK112" s="101">
        <f t="shared" si="3"/>
        <v>51</v>
      </c>
      <c r="AL112" s="66" cm="1">
        <f t="array" ref="AL112">IF($F112="","",IFERROR(INDEX('Lot Balance'!$B$5:$B$500,MATCH(1,INDEX(('Lot Balance'!$A$5:$A$500=$F112)*('Lot Balance'!$K$5:$K$500&lt;$AK112)*('Lot Balance'!$K$5:$K$500+'Lot Balance'!$D$5:$D$500&gt;=$AK112),0),0)),""))</f>
        <v>3024</v>
      </c>
      <c r="AM112" s="66" cm="1">
        <f t="array" ref="AM112">IF($F112="","",IFERROR(INDEX('Lot Balance'!$B$5:$B$500,MATCH(1,INDEX(('Lot Balance'!$A$5:$A$500=$F112)*('Lot Balance'!$K$5:$K$500&lt;$AJ112)*('Lot Balance'!$K$5:$K$500+'Lot Balance'!$D$5:$D$500&gt;=$AJ112),0),0)),""))</f>
        <v>3024</v>
      </c>
      <c r="AN112" s="66" t="str">
        <f>IF($F112="","",IF($AI112&lt;&gt;"",IF(COUNTIFS('Lot Balance'!$A$5:$A$500,$F112,'Lot Balance'!$B$5:$B$500,$AI112)=0,"⚠ override is not a lot of this item",IF($AI112=$AL112,"Override = FEFO","Override - FEFO says "&amp;$AL112)),IF($AL112="","⚠ no receipt on file for this item",IF($AM112&lt;&gt;$AL112,"FEFO auto - split, also "&amp;$AM112,"FEFO auto"))))</f>
        <v>FEFO auto</v>
      </c>
      <c r="AO112" s="114"/>
    </row>
    <row r="113" spans="1:41" x14ac:dyDescent="0.35">
      <c r="A113" s="74">
        <v>46119</v>
      </c>
      <c r="B113" s="18" t="str">
        <f>IF($C113="","",IFERROR(INDEX('Staff Directory'!$A$5:$A$594,MATCH($C113,'Staff Directory'!$B$5:$B$594,0)),"⚠ unknown staff"))</f>
        <v>PSW-057-A5</v>
      </c>
      <c r="C113" s="49" t="s">
        <v>1033</v>
      </c>
      <c r="D113" s="19" t="str">
        <f>IF($B113="","",IFERROR(INDEX('Staff Directory'!$C$5:$C$594,MATCH($B113,'Staff Directory'!$A$5:$A$594,0)),""))</f>
        <v>PSW</v>
      </c>
      <c r="E113" s="19" t="str">
        <f>IF($B113="","",IFERROR(INDEX('Staff Directory'!$D$5:$D$594,MATCH($B113,'Staff Directory'!$A$5:$A$594,0)),""))</f>
        <v>A5</v>
      </c>
      <c r="F113" s="9" t="s">
        <v>755</v>
      </c>
      <c r="G113" s="18" t="str">
        <f>IF($F113="","",IFERROR(INDEX(Items!$B$5:$B$597,MATCH($F113,Items!$A$5:$A$597,0)),"⚠ not in Items"))</f>
        <v>Documents</v>
      </c>
      <c r="H113" s="19" t="str">
        <f>IF($F113="","",IFERROR(INDEX(Items!$C$5:$C$597,MATCH($F113,Items!$A$5:$A$597,0)),""))</f>
        <v>Standard</v>
      </c>
      <c r="I113" s="23">
        <f>IF($F113="","",IFERROR(INDEX(Items!$E$5:$E$597,MATCH($F113,Items!$A$5:$A$597,0)),""))</f>
        <v>2</v>
      </c>
      <c r="J113" s="115">
        <f>IF(tblIssues[[#This Row],[Qty Override]]&lt;&gt;"",tblIssues[[#This Row],[Qty Override]],IF(tblIssues[[#This Row],[Standard Issue]]="","",tblIssues[[#This Row],[Standard Issue]]))</f>
        <v>2</v>
      </c>
      <c r="K113" s="20">
        <f>IF($F113="","",IFERROR(INDEX(Items!$D$5:$D$597,MATCH($F113,Items!$A$5:$A$597,0)),""))</f>
        <v>0</v>
      </c>
      <c r="L113" s="21">
        <f t="shared" si="14"/>
        <v>0</v>
      </c>
      <c r="M113" s="9" t="str">
        <f t="shared" si="15"/>
        <v/>
      </c>
      <c r="N113" s="24">
        <f>IF($A113="","",WORKDAY($A113,Settings!$C$9,HolidayDates))</f>
        <v>46127</v>
      </c>
      <c r="O113" s="24">
        <f>IF($N113="","",WORKDAY($N113,Settings!$C$10,HolidayDates))</f>
        <v>46167</v>
      </c>
      <c r="P113" s="10" t="s">
        <v>501</v>
      </c>
      <c r="Q113" s="52" t="str">
        <f t="shared" si="21"/>
        <v>Collected</v>
      </c>
      <c r="R113" s="55" t="str">
        <f t="shared" si="22"/>
        <v>2026-04</v>
      </c>
      <c r="S113" s="55">
        <f>IF(OR($B113="",$F113="",$R113=""),"",SUMIFS(tblIssues[Qty Issued],tblIssues[Staff ID],$B113,tblIssues[Item Name],$F113,tblIssues[Month],$R113))</f>
        <v>2</v>
      </c>
      <c r="T113" s="56">
        <f>IF($I113="","",$I113*Settings!$C$11)</f>
        <v>2</v>
      </c>
      <c r="U113" s="57" t="str">
        <f t="shared" si="17"/>
        <v>OK</v>
      </c>
      <c r="V113" s="55" t="str">
        <f t="shared" si="23"/>
        <v/>
      </c>
      <c r="W113" s="55" t="str">
        <f>IF($V113="","",IF(COUNTIF($V$5:$V113,$V113)=1,1,""))</f>
        <v/>
      </c>
      <c r="X113" s="58" t="str">
        <f>IF($W113="","",MAX($X$4:X112)+1)</f>
        <v/>
      </c>
      <c r="Y113" s="62"/>
      <c r="Z113" s="62"/>
      <c r="AA113" s="64" t="str">
        <f>IF($C113="","",IFERROR(INDEX('Staff Directory'!$E$5:$E$594,MATCH($C113,'Staff Directory'!$B$5:$B$594,0)),""))</f>
        <v>firstname117.lastname117@example.com</v>
      </c>
      <c r="AB113" s="64" t="str">
        <f>IF($C113="","",IF(ISNUMBER(SEARCH($D113,Settings!$C$15)),"Pickup","Dispatch"))</f>
        <v>Pickup</v>
      </c>
      <c r="AC113" s="64" t="str">
        <f t="shared" si="24"/>
        <v>Supply order ready for pickup</v>
      </c>
      <c r="AD113" s="64" t="str">
        <f t="shared" si="12"/>
        <v>Dear PSW,
Your order is ready for pickup from Sample Branch, Wed-Fri 9am-4pm.</v>
      </c>
      <c r="AE113" s="64" t="str">
        <f t="shared" si="13"/>
        <v>mailto:firstname117.lastname117@example.com?subject=Supply%20order%20ready%20for%20pickup&amp;body=Dear%20PSW%2C%0A%0AYour%20order%20is%20ready%20for%20pickup%20from%20Sample%20Branch%2C%20Wed-Fri%209am-4pm.</v>
      </c>
      <c r="AF113" s="89" t="str">
        <f t="shared" si="25"/>
        <v>Draft email</v>
      </c>
      <c r="AG113" s="64" t="str">
        <f>IF($C113="","",IFERROR(INDEX('Staff Directory'!$K$595:$K$599,MATCH($C113,'Staff Directory'!$B$5:$B$599,0)),$D113))</f>
        <v>PSW</v>
      </c>
      <c r="AH113" t="str">
        <f>IF($C113="","",IFERROR(INDEX('Staff Directory'!$I$595:$I$599,MATCH($C113,'Staff Directory'!$B$5:$B$599,0))&amp;" "&amp;INDEX('Staff Directory'!$J$595:$J$599,MATCH($C113,'Staff Directory'!$B$5:$B$599,0)),$AG113))</f>
        <v>PSW</v>
      </c>
      <c r="AI113" s="102"/>
      <c r="AJ113" s="101">
        <f>IF($F113="","",SUMIFS($J$5:$J113,$F$5:$F113,$F113))</f>
        <v>12</v>
      </c>
      <c r="AK113" s="101">
        <f t="shared" si="3"/>
        <v>11</v>
      </c>
      <c r="AL113" s="66" t="str" cm="1">
        <f t="array" ref="AL113">IF($F113="","",IFERROR(INDEX('Lot Balance'!$B$5:$B$500,MATCH(1,INDEX(('Lot Balance'!$A$5:$A$500=$F113)*('Lot Balance'!$K$5:$K$500&lt;$AK113)*('Lot Balance'!$K$5:$K$500+'Lot Balance'!$D$5:$D$500&gt;=$AK113),0),0)),""))</f>
        <v/>
      </c>
      <c r="AM113" s="66" t="str" cm="1">
        <f t="array" ref="AM113">IF($F113="","",IFERROR(INDEX('Lot Balance'!$B$5:$B$500,MATCH(1,INDEX(('Lot Balance'!$A$5:$A$500=$F113)*('Lot Balance'!$K$5:$K$500&lt;$AJ113)*('Lot Balance'!$K$5:$K$500+'Lot Balance'!$D$5:$D$500&gt;=$AJ113),0),0)),""))</f>
        <v/>
      </c>
      <c r="AN113" s="66" t="str">
        <f>IF($F113="","",IF($AI113&lt;&gt;"",IF(COUNTIFS('Lot Balance'!$A$5:$A$500,$F113,'Lot Balance'!$B$5:$B$500,$AI113)=0,"⚠ override is not a lot of this item",IF($AI113=$AL113,"Override = FEFO","Override - FEFO says "&amp;$AL113)),IF($AL113="","⚠ no receipt on file for this item",IF($AM113&lt;&gt;$AL113,"FEFO auto - split, also "&amp;$AM113,"FEFO auto"))))</f>
        <v>⚠ no receipt on file for this item</v>
      </c>
      <c r="AO113" s="114"/>
    </row>
    <row r="114" spans="1:41" x14ac:dyDescent="0.35">
      <c r="A114" s="74">
        <v>46119</v>
      </c>
      <c r="B114" s="18" t="str">
        <f>IF($C114="","",IFERROR(INDEX('Staff Directory'!$A$5:$A$594,MATCH($C114,'Staff Directory'!$B$5:$B$594,0)),"⚠ unknown staff"))</f>
        <v>PSW-012-A4</v>
      </c>
      <c r="C114" s="49" t="s">
        <v>988</v>
      </c>
      <c r="D114" s="19" t="str">
        <f>IF($B114="","",IFERROR(INDEX('Staff Directory'!$C$5:$C$594,MATCH($B114,'Staff Directory'!$A$5:$A$594,0)),""))</f>
        <v>PSW</v>
      </c>
      <c r="E114" s="19" t="str">
        <f>IF($B114="","",IFERROR(INDEX('Staff Directory'!$D$5:$D$594,MATCH($B114,'Staff Directory'!$A$5:$A$594,0)),""))</f>
        <v>A4</v>
      </c>
      <c r="F114" s="9" t="s">
        <v>127</v>
      </c>
      <c r="G114" s="18" t="str">
        <f>IF($F114="","",IFERROR(INDEX(Items!$B$5:$B$597,MATCH($F114,Items!$A$5:$A$597,0)),"⚠ not in Items"))</f>
        <v>Gloves</v>
      </c>
      <c r="H114" s="19" t="str">
        <f>IF($F114="","",IFERROR(INDEX(Items!$C$5:$C$597,MATCH($F114,Items!$A$5:$A$597,0)),""))</f>
        <v>Medium</v>
      </c>
      <c r="I114" s="23">
        <f>IF($F114="","",IFERROR(INDEX(Items!$E$5:$E$597,MATCH($F114,Items!$A$5:$A$597,0)),""))</f>
        <v>500</v>
      </c>
      <c r="J114" s="115">
        <f>IF(tblIssues[[#This Row],[Qty Override]]&lt;&gt;"",tblIssues[[#This Row],[Qty Override]],IF(tblIssues[[#This Row],[Standard Issue]]="","",tblIssues[[#This Row],[Standard Issue]]))</f>
        <v>500</v>
      </c>
      <c r="K114" s="20">
        <f>IF($F114="","",IFERROR(INDEX(Items!$D$5:$D$597,MATCH($F114,Items!$A$5:$A$597,0)),""))</f>
        <v>5.5E-2</v>
      </c>
      <c r="L114" s="21">
        <f t="shared" si="14"/>
        <v>27.5</v>
      </c>
      <c r="M114" s="9" t="str">
        <f t="shared" si="15"/>
        <v>O17104</v>
      </c>
      <c r="N114" s="24">
        <f>IF($A114="","",WORKDAY($A114,Settings!$C$9,HolidayDates))</f>
        <v>46127</v>
      </c>
      <c r="O114" s="24">
        <f>IF($N114="","",WORKDAY($N114,Settings!$C$10,HolidayDates))</f>
        <v>46167</v>
      </c>
      <c r="P114" s="10" t="s">
        <v>501</v>
      </c>
      <c r="Q114" s="52" t="str">
        <f t="shared" si="21"/>
        <v>Collected</v>
      </c>
      <c r="R114" s="55" t="str">
        <f t="shared" si="22"/>
        <v>2026-04</v>
      </c>
      <c r="S114" s="55">
        <f>IF(OR($B114="",$F114="",$R114=""),"",SUMIFS(tblIssues[Qty Issued],tblIssues[Staff ID],$B114,tblIssues[Item Name],$F114,tblIssues[Month],$R114))</f>
        <v>500</v>
      </c>
      <c r="T114" s="56">
        <f>IF($I114="","",$I114*Settings!$C$11)</f>
        <v>500</v>
      </c>
      <c r="U114" s="57" t="str">
        <f t="shared" si="17"/>
        <v>OK</v>
      </c>
      <c r="V114" s="55" t="str">
        <f t="shared" si="23"/>
        <v/>
      </c>
      <c r="W114" s="55" t="str">
        <f>IF($V114="","",IF(COUNTIF($V$5:$V114,$V114)=1,1,""))</f>
        <v/>
      </c>
      <c r="X114" s="58" t="str">
        <f>IF($W114="","",MAX($X$4:X113)+1)</f>
        <v/>
      </c>
      <c r="Y114" s="62"/>
      <c r="Z114" s="62"/>
      <c r="AA114" s="64" t="str">
        <f>IF($C114="","",IFERROR(INDEX('Staff Directory'!$E$5:$E$594,MATCH($C114,'Staff Directory'!$B$5:$B$594,0)),""))</f>
        <v>firstname072.lastname072@example.com</v>
      </c>
      <c r="AB114" s="64" t="str">
        <f>IF($C114="","",IF(ISNUMBER(SEARCH($D114,Settings!$C$15)),"Pickup","Dispatch"))</f>
        <v>Pickup</v>
      </c>
      <c r="AC114" s="64" t="str">
        <f t="shared" si="24"/>
        <v>Supply order ready for pickup</v>
      </c>
      <c r="AD114" s="64" t="str">
        <f t="shared" si="12"/>
        <v>Dear PSW,
Your order is ready for pickup from Sample Branch, Wed-Fri 9am-4pm.</v>
      </c>
      <c r="AE114" s="64" t="str">
        <f t="shared" si="13"/>
        <v>mailto:firstname072.lastname072@example.com?subject=Supply%20order%20ready%20for%20pickup&amp;body=Dear%20PSW%2C%0A%0AYour%20order%20is%20ready%20for%20pickup%20from%20Sample%20Branch%2C%20Wed-Fri%209am-4pm.</v>
      </c>
      <c r="AF114" s="89" t="str">
        <f t="shared" si="25"/>
        <v>Draft email</v>
      </c>
      <c r="AG114" s="64" t="str">
        <f>IF($C114="","",IFERROR(INDEX('Staff Directory'!$K$595:$K$599,MATCH($C114,'Staff Directory'!$B$5:$B$599,0)),$D114))</f>
        <v>PSW</v>
      </c>
      <c r="AH114" t="str">
        <f>IF($C114="","",IFERROR(INDEX('Staff Directory'!$I$595:$I$599,MATCH($C114,'Staff Directory'!$B$5:$B$599,0))&amp;" "&amp;INDEX('Staff Directory'!$J$595:$J$599,MATCH($C114,'Staff Directory'!$B$5:$B$599,0)),$AG114))</f>
        <v>PSW</v>
      </c>
      <c r="AI114" s="102"/>
      <c r="AJ114" s="101">
        <f>IF($F114="","",SUMIFS($J$5:$J114,$F$5:$F114,$F114))</f>
        <v>8000</v>
      </c>
      <c r="AK114" s="101">
        <f t="shared" si="3"/>
        <v>7501</v>
      </c>
      <c r="AL114" s="66" t="str" cm="1">
        <f t="array" ref="AL114">IF($F114="","",IFERROR(INDEX('Lot Balance'!$B$5:$B$500,MATCH(1,INDEX(('Lot Balance'!$A$5:$A$500=$F114)*('Lot Balance'!$K$5:$K$500&lt;$AK114)*('Lot Balance'!$K$5:$K$500+'Lot Balance'!$D$5:$D$500&gt;=$AK114),0),0)),""))</f>
        <v>O17104</v>
      </c>
      <c r="AM114" s="66" t="str" cm="1">
        <f t="array" ref="AM114">IF($F114="","",IFERROR(INDEX('Lot Balance'!$B$5:$B$500,MATCH(1,INDEX(('Lot Balance'!$A$5:$A$500=$F114)*('Lot Balance'!$K$5:$K$500&lt;$AJ114)*('Lot Balance'!$K$5:$K$500+'Lot Balance'!$D$5:$D$500&gt;=$AJ114),0),0)),""))</f>
        <v>O17104</v>
      </c>
      <c r="AN114" s="66" t="str">
        <f>IF($F114="","",IF($AI114&lt;&gt;"",IF(COUNTIFS('Lot Balance'!$A$5:$A$500,$F114,'Lot Balance'!$B$5:$B$500,$AI114)=0,"⚠ override is not a lot of this item",IF($AI114=$AL114,"Override = FEFO","Override - FEFO says "&amp;$AL114)),IF($AL114="","⚠ no receipt on file for this item",IF($AM114&lt;&gt;$AL114,"FEFO auto - split, also "&amp;$AM114,"FEFO auto"))))</f>
        <v>FEFO auto</v>
      </c>
      <c r="AO114" s="114"/>
    </row>
    <row r="115" spans="1:41" x14ac:dyDescent="0.35">
      <c r="A115" s="74">
        <v>46119</v>
      </c>
      <c r="B115" s="18" t="str">
        <f>IF($C115="","",IFERROR(INDEX('Staff Directory'!$A$5:$A$594,MATCH($C115,'Staff Directory'!$B$5:$B$594,0)),"⚠ unknown staff"))</f>
        <v>PSW-012-A4</v>
      </c>
      <c r="C115" s="49" t="s">
        <v>988</v>
      </c>
      <c r="D115" s="19" t="str">
        <f>IF($B115="","",IFERROR(INDEX('Staff Directory'!$C$5:$C$594,MATCH($B115,'Staff Directory'!$A$5:$A$594,0)),""))</f>
        <v>PSW</v>
      </c>
      <c r="E115" s="19" t="str">
        <f>IF($B115="","",IFERROR(INDEX('Staff Directory'!$D$5:$D$594,MATCH($B115,'Staff Directory'!$A$5:$A$594,0)),""))</f>
        <v>A4</v>
      </c>
      <c r="F115" s="9" t="s">
        <v>156</v>
      </c>
      <c r="G115" s="18" t="str">
        <f>IF($F115="","",IFERROR(INDEX(Items!$B$5:$B$597,MATCH($F115,Items!$A$5:$A$597,0)),"⚠ not in Items"))</f>
        <v>Masks</v>
      </c>
      <c r="H115" s="19" t="str">
        <f>IF($F115="","",IFERROR(INDEX(Items!$C$5:$C$597,MATCH($F115,Items!$A$5:$A$597,0)),""))</f>
        <v>One Size</v>
      </c>
      <c r="I115" s="23">
        <f>IF($F115="","",IFERROR(INDEX(Items!$E$5:$E$597,MATCH($F115,Items!$A$5:$A$597,0)),""))</f>
        <v>50</v>
      </c>
      <c r="J115" s="115">
        <f>IF(tblIssues[[#This Row],[Qty Override]]&lt;&gt;"",tblIssues[[#This Row],[Qty Override]],IF(tblIssues[[#This Row],[Standard Issue]]="","",tblIssues[[#This Row],[Standard Issue]]))</f>
        <v>50</v>
      </c>
      <c r="K115" s="20">
        <f>IF($F115="","",IFERROR(INDEX(Items!$D$5:$D$597,MATCH($F115,Items!$A$5:$A$597,0)),""))</f>
        <v>0.25</v>
      </c>
      <c r="L115" s="21">
        <f t="shared" si="14"/>
        <v>12.5</v>
      </c>
      <c r="M115" s="9" t="str">
        <f t="shared" si="15"/>
        <v>0125FPC24-0</v>
      </c>
      <c r="N115" s="24">
        <f>IF($A115="","",WORKDAY($A115,Settings!$C$9,HolidayDates))</f>
        <v>46127</v>
      </c>
      <c r="O115" s="24">
        <f>IF($N115="","",WORKDAY($N115,Settings!$C$10,HolidayDates))</f>
        <v>46167</v>
      </c>
      <c r="P115" s="10" t="s">
        <v>501</v>
      </c>
      <c r="Q115" s="52" t="str">
        <f t="shared" si="21"/>
        <v>Collected</v>
      </c>
      <c r="R115" s="55" t="str">
        <f t="shared" si="22"/>
        <v>2026-04</v>
      </c>
      <c r="S115" s="55">
        <f>IF(OR($B115="",$F115="",$R115=""),"",SUMIFS(tblIssues[Qty Issued],tblIssues[Staff ID],$B115,tblIssues[Item Name],$F115,tblIssues[Month],$R115))</f>
        <v>50</v>
      </c>
      <c r="T115" s="56">
        <f>IF($I115="","",$I115*Settings!$C$11)</f>
        <v>50</v>
      </c>
      <c r="U115" s="57" t="str">
        <f t="shared" si="17"/>
        <v>OK</v>
      </c>
      <c r="V115" s="55" t="str">
        <f t="shared" si="23"/>
        <v/>
      </c>
      <c r="W115" s="55" t="str">
        <f>IF($V115="","",IF(COUNTIF($V$5:$V115,$V115)=1,1,""))</f>
        <v/>
      </c>
      <c r="X115" s="58" t="str">
        <f>IF($W115="","",MAX($X$4:X114)+1)</f>
        <v/>
      </c>
      <c r="Y115" s="62"/>
      <c r="Z115" s="62"/>
      <c r="AA115" s="64" t="str">
        <f>IF($C115="","",IFERROR(INDEX('Staff Directory'!$E$5:$E$594,MATCH($C115,'Staff Directory'!$B$5:$B$594,0)),""))</f>
        <v>firstname072.lastname072@example.com</v>
      </c>
      <c r="AB115" s="64" t="str">
        <f>IF($C115="","",IF(ISNUMBER(SEARCH($D115,Settings!$C$15)),"Pickup","Dispatch"))</f>
        <v>Pickup</v>
      </c>
      <c r="AC115" s="64" t="str">
        <f t="shared" si="24"/>
        <v>Supply order ready for pickup</v>
      </c>
      <c r="AD115" s="64" t="str">
        <f t="shared" si="12"/>
        <v>Dear PSW,
Your order is ready for pickup from Sample Branch, Wed-Fri 9am-4pm.</v>
      </c>
      <c r="AE115" s="64" t="str">
        <f t="shared" si="13"/>
        <v>mailto:firstname072.lastname072@example.com?subject=Supply%20order%20ready%20for%20pickup&amp;body=Dear%20PSW%2C%0A%0AYour%20order%20is%20ready%20for%20pickup%20from%20Sample%20Branch%2C%20Wed-Fri%209am-4pm.</v>
      </c>
      <c r="AF115" s="89" t="str">
        <f t="shared" si="25"/>
        <v>Draft email</v>
      </c>
      <c r="AG115" s="64" t="str">
        <f>IF($C115="","",IFERROR(INDEX('Staff Directory'!$K$595:$K$599,MATCH($C115,'Staff Directory'!$B$5:$B$599,0)),$D115))</f>
        <v>PSW</v>
      </c>
      <c r="AH115" t="str">
        <f>IF($C115="","",IFERROR(INDEX('Staff Directory'!$I$595:$I$599,MATCH($C115,'Staff Directory'!$B$5:$B$599,0))&amp;" "&amp;INDEX('Staff Directory'!$J$595:$J$599,MATCH($C115,'Staff Directory'!$B$5:$B$599,0)),$AG115))</f>
        <v>PSW</v>
      </c>
      <c r="AI115" s="102"/>
      <c r="AJ115" s="101">
        <f>IF($F115="","",SUMIFS($J$5:$J115,$F$5:$F115,$F115))</f>
        <v>900</v>
      </c>
      <c r="AK115" s="101">
        <f t="shared" si="3"/>
        <v>851</v>
      </c>
      <c r="AL115" s="66" t="str" cm="1">
        <f t="array" ref="AL115">IF($F115="","",IFERROR(INDEX('Lot Balance'!$B$5:$B$500,MATCH(1,INDEX(('Lot Balance'!$A$5:$A$500=$F115)*('Lot Balance'!$K$5:$K$500&lt;$AK115)*('Lot Balance'!$K$5:$K$500+'Lot Balance'!$D$5:$D$500&gt;=$AK115),0),0)),""))</f>
        <v>0125FPC24-0</v>
      </c>
      <c r="AM115" s="66" t="str" cm="1">
        <f t="array" ref="AM115">IF($F115="","",IFERROR(INDEX('Lot Balance'!$B$5:$B$500,MATCH(1,INDEX(('Lot Balance'!$A$5:$A$500=$F115)*('Lot Balance'!$K$5:$K$500&lt;$AJ115)*('Lot Balance'!$K$5:$K$500+'Lot Balance'!$D$5:$D$500&gt;=$AJ115),0),0)),""))</f>
        <v>0125FPC24-0</v>
      </c>
      <c r="AN115" s="66" t="str">
        <f>IF($F115="","",IF($AI115&lt;&gt;"",IF(COUNTIFS('Lot Balance'!$A$5:$A$500,$F115,'Lot Balance'!$B$5:$B$500,$AI115)=0,"⚠ override is not a lot of this item",IF($AI115=$AL115,"Override = FEFO","Override - FEFO says "&amp;$AL115)),IF($AL115="","⚠ no receipt on file for this item",IF($AM115&lt;&gt;$AL115,"FEFO auto - split, also "&amp;$AM115,"FEFO auto"))))</f>
        <v>FEFO auto</v>
      </c>
      <c r="AO115" s="114"/>
    </row>
    <row r="116" spans="1:41" x14ac:dyDescent="0.35">
      <c r="A116" s="74">
        <v>46119</v>
      </c>
      <c r="B116" s="18" t="str">
        <f>IF($C116="","",IFERROR(INDEX('Staff Directory'!$A$5:$A$594,MATCH($C116,'Staff Directory'!$B$5:$B$594,0)),"⚠ unknown staff"))</f>
        <v>PSW-012-A4</v>
      </c>
      <c r="C116" s="49" t="s">
        <v>988</v>
      </c>
      <c r="D116" s="19" t="str">
        <f>IF($B116="","",IFERROR(INDEX('Staff Directory'!$C$5:$C$594,MATCH($B116,'Staff Directory'!$A$5:$A$594,0)),""))</f>
        <v>PSW</v>
      </c>
      <c r="E116" s="19" t="str">
        <f>IF($B116="","",IFERROR(INDEX('Staff Directory'!$D$5:$D$594,MATCH($B116,'Staff Directory'!$A$5:$A$594,0)),""))</f>
        <v>A4</v>
      </c>
      <c r="F116" s="9" t="s">
        <v>755</v>
      </c>
      <c r="G116" s="18" t="str">
        <f>IF($F116="","",IFERROR(INDEX(Items!$B$5:$B$597,MATCH($F116,Items!$A$5:$A$597,0)),"⚠ not in Items"))</f>
        <v>Documents</v>
      </c>
      <c r="H116" s="19" t="str">
        <f>IF($F116="","",IFERROR(INDEX(Items!$C$5:$C$597,MATCH($F116,Items!$A$5:$A$597,0)),""))</f>
        <v>Standard</v>
      </c>
      <c r="I116" s="23">
        <f>IF($F116="","",IFERROR(INDEX(Items!$E$5:$E$597,MATCH($F116,Items!$A$5:$A$597,0)),""))</f>
        <v>2</v>
      </c>
      <c r="J116" s="115">
        <f>IF(tblIssues[[#This Row],[Qty Override]]&lt;&gt;"",tblIssues[[#This Row],[Qty Override]],IF(tblIssues[[#This Row],[Standard Issue]]="","",tblIssues[[#This Row],[Standard Issue]]))</f>
        <v>2</v>
      </c>
      <c r="K116" s="20">
        <f>IF($F116="","",IFERROR(INDEX(Items!$D$5:$D$597,MATCH($F116,Items!$A$5:$A$597,0)),""))</f>
        <v>0</v>
      </c>
      <c r="L116" s="21">
        <f t="shared" si="14"/>
        <v>0</v>
      </c>
      <c r="M116" s="9" t="str">
        <f t="shared" si="15"/>
        <v/>
      </c>
      <c r="N116" s="24">
        <f>IF($A116="","",WORKDAY($A116,Settings!$C$9,HolidayDates))</f>
        <v>46127</v>
      </c>
      <c r="O116" s="24">
        <f>IF($N116="","",WORKDAY($N116,Settings!$C$10,HolidayDates))</f>
        <v>46167</v>
      </c>
      <c r="P116" s="10" t="s">
        <v>501</v>
      </c>
      <c r="Q116" s="52" t="str">
        <f t="shared" si="21"/>
        <v>Collected</v>
      </c>
      <c r="R116" s="55" t="str">
        <f t="shared" si="22"/>
        <v>2026-04</v>
      </c>
      <c r="S116" s="55">
        <f>IF(OR($B116="",$F116="",$R116=""),"",SUMIFS(tblIssues[Qty Issued],tblIssues[Staff ID],$B116,tblIssues[Item Name],$F116,tblIssues[Month],$R116))</f>
        <v>2</v>
      </c>
      <c r="T116" s="56">
        <f>IF($I116="","",$I116*Settings!$C$11)</f>
        <v>2</v>
      </c>
      <c r="U116" s="57" t="str">
        <f t="shared" si="17"/>
        <v>OK</v>
      </c>
      <c r="V116" s="55" t="str">
        <f t="shared" si="23"/>
        <v/>
      </c>
      <c r="W116" s="55" t="str">
        <f>IF($V116="","",IF(COUNTIF($V$5:$V116,$V116)=1,1,""))</f>
        <v/>
      </c>
      <c r="X116" s="58" t="str">
        <f>IF($W116="","",MAX($X$4:X115)+1)</f>
        <v/>
      </c>
      <c r="Y116" s="62"/>
      <c r="Z116" s="62"/>
      <c r="AA116" s="64" t="str">
        <f>IF($C116="","",IFERROR(INDEX('Staff Directory'!$E$5:$E$594,MATCH($C116,'Staff Directory'!$B$5:$B$594,0)),""))</f>
        <v>firstname072.lastname072@example.com</v>
      </c>
      <c r="AB116" s="64" t="str">
        <f>IF($C116="","",IF(ISNUMBER(SEARCH($D116,Settings!$C$15)),"Pickup","Dispatch"))</f>
        <v>Pickup</v>
      </c>
      <c r="AC116" s="64" t="str">
        <f t="shared" si="24"/>
        <v>Supply order ready for pickup</v>
      </c>
      <c r="AD116" s="64" t="str">
        <f t="shared" si="12"/>
        <v>Dear PSW,
Your order is ready for pickup from Sample Branch, Wed-Fri 9am-4pm.</v>
      </c>
      <c r="AE116" s="64" t="str">
        <f t="shared" si="13"/>
        <v>mailto:firstname072.lastname072@example.com?subject=Supply%20order%20ready%20for%20pickup&amp;body=Dear%20PSW%2C%0A%0AYour%20order%20is%20ready%20for%20pickup%20from%20Sample%20Branch%2C%20Wed-Fri%209am-4pm.</v>
      </c>
      <c r="AF116" s="89" t="str">
        <f t="shared" si="25"/>
        <v>Draft email</v>
      </c>
      <c r="AG116" s="64" t="str">
        <f>IF($C116="","",IFERROR(INDEX('Staff Directory'!$K$595:$K$599,MATCH($C116,'Staff Directory'!$B$5:$B$599,0)),$D116))</f>
        <v>PSW</v>
      </c>
      <c r="AH116" t="str">
        <f>IF($C116="","",IFERROR(INDEX('Staff Directory'!$I$595:$I$599,MATCH($C116,'Staff Directory'!$B$5:$B$599,0))&amp;" "&amp;INDEX('Staff Directory'!$J$595:$J$599,MATCH($C116,'Staff Directory'!$B$5:$B$599,0)),$AG116))</f>
        <v>PSW</v>
      </c>
      <c r="AI116" s="102"/>
      <c r="AJ116" s="101">
        <f>IF($F116="","",SUMIFS($J$5:$J116,$F$5:$F116,$F116))</f>
        <v>14</v>
      </c>
      <c r="AK116" s="101">
        <f t="shared" si="3"/>
        <v>13</v>
      </c>
      <c r="AL116" s="66" t="str" cm="1">
        <f t="array" ref="AL116">IF($F116="","",IFERROR(INDEX('Lot Balance'!$B$5:$B$500,MATCH(1,INDEX(('Lot Balance'!$A$5:$A$500=$F116)*('Lot Balance'!$K$5:$K$500&lt;$AK116)*('Lot Balance'!$K$5:$K$500+'Lot Balance'!$D$5:$D$500&gt;=$AK116),0),0)),""))</f>
        <v/>
      </c>
      <c r="AM116" s="66" t="str" cm="1">
        <f t="array" ref="AM116">IF($F116="","",IFERROR(INDEX('Lot Balance'!$B$5:$B$500,MATCH(1,INDEX(('Lot Balance'!$A$5:$A$500=$F116)*('Lot Balance'!$K$5:$K$500&lt;$AJ116)*('Lot Balance'!$K$5:$K$500+'Lot Balance'!$D$5:$D$500&gt;=$AJ116),0),0)),""))</f>
        <v/>
      </c>
      <c r="AN116" s="66" t="str">
        <f>IF($F116="","",IF($AI116&lt;&gt;"",IF(COUNTIFS('Lot Balance'!$A$5:$A$500,$F116,'Lot Balance'!$B$5:$B$500,$AI116)=0,"⚠ override is not a lot of this item",IF($AI116=$AL116,"Override = FEFO","Override - FEFO says "&amp;$AL116)),IF($AL116="","⚠ no receipt on file for this item",IF($AM116&lt;&gt;$AL116,"FEFO auto - split, also "&amp;$AM116,"FEFO auto"))))</f>
        <v>⚠ no receipt on file for this item</v>
      </c>
      <c r="AO116" s="114"/>
    </row>
    <row r="117" spans="1:41" x14ac:dyDescent="0.35">
      <c r="A117" s="74">
        <v>46119</v>
      </c>
      <c r="B117" s="18" t="str">
        <f>IF($C117="","",IFERROR(INDEX('Staff Directory'!$A$5:$A$594,MATCH($C117,'Staff Directory'!$B$5:$B$594,0)),"⚠ unknown staff"))</f>
        <v>PSW-040-A6</v>
      </c>
      <c r="C117" s="49" t="s">
        <v>1015</v>
      </c>
      <c r="D117" s="19" t="str">
        <f>IF($B117="","",IFERROR(INDEX('Staff Directory'!$C$5:$C$594,MATCH($B117,'Staff Directory'!$A$5:$A$594,0)),""))</f>
        <v>PSW</v>
      </c>
      <c r="E117" s="19" t="str">
        <f>IF($B117="","",IFERROR(INDEX('Staff Directory'!$D$5:$D$594,MATCH($B117,'Staff Directory'!$A$5:$A$594,0)),""))</f>
        <v>A6</v>
      </c>
      <c r="F117" s="9" t="s">
        <v>129</v>
      </c>
      <c r="G117" s="18" t="str">
        <f>IF($F117="","",IFERROR(INDEX(Items!$B$5:$B$597,MATCH($F117,Items!$A$5:$A$597,0)),"⚠ not in Items"))</f>
        <v>Gloves</v>
      </c>
      <c r="H117" s="19" t="str">
        <f>IF($F117="","",IFERROR(INDEX(Items!$C$5:$C$597,MATCH($F117,Items!$A$5:$A$597,0)),""))</f>
        <v>Small</v>
      </c>
      <c r="I117" s="23">
        <f>IF($F117="","",IFERROR(INDEX(Items!$E$5:$E$597,MATCH($F117,Items!$A$5:$A$597,0)),""))</f>
        <v>500</v>
      </c>
      <c r="J117" s="115">
        <f>IF(tblIssues[[#This Row],[Qty Override]]&lt;&gt;"",tblIssues[[#This Row],[Qty Override]],IF(tblIssues[[#This Row],[Standard Issue]]="","",tblIssues[[#This Row],[Standard Issue]]))</f>
        <v>500</v>
      </c>
      <c r="K117" s="20">
        <f>IF($F117="","",IFERROR(INDEX(Items!$D$5:$D$597,MATCH($F117,Items!$A$5:$A$597,0)),""))</f>
        <v>5.5E-2</v>
      </c>
      <c r="L117" s="21">
        <f t="shared" si="14"/>
        <v>27.5</v>
      </c>
      <c r="M117" s="9" t="str">
        <f t="shared" si="15"/>
        <v>ZIM504124207-4</v>
      </c>
      <c r="N117" s="24">
        <f>IF($A117="","",WORKDAY($A117,Settings!$C$9,HolidayDates))</f>
        <v>46127</v>
      </c>
      <c r="O117" s="24">
        <f>IF($N117="","",WORKDAY($N117,Settings!$C$10,HolidayDates))</f>
        <v>46167</v>
      </c>
      <c r="P117" s="10" t="s">
        <v>501</v>
      </c>
      <c r="Q117" s="52" t="str">
        <f t="shared" si="21"/>
        <v>Collected</v>
      </c>
      <c r="R117" s="55" t="str">
        <f t="shared" si="22"/>
        <v>2026-04</v>
      </c>
      <c r="S117" s="55">
        <f>IF(OR($B117="",$F117="",$R117=""),"",SUMIFS(tblIssues[Qty Issued],tblIssues[Staff ID],$B117,tblIssues[Item Name],$F117,tblIssues[Month],$R117))</f>
        <v>500</v>
      </c>
      <c r="T117" s="56">
        <f>IF($I117="","",$I117*Settings!$C$11)</f>
        <v>500</v>
      </c>
      <c r="U117" s="57" t="str">
        <f t="shared" si="17"/>
        <v>OK</v>
      </c>
      <c r="V117" s="55" t="str">
        <f t="shared" si="23"/>
        <v/>
      </c>
      <c r="W117" s="55" t="str">
        <f>IF($V117="","",IF(COUNTIF($V$5:$V117,$V117)=1,1,""))</f>
        <v/>
      </c>
      <c r="X117" s="58" t="str">
        <f>IF($W117="","",MAX($X$4:X116)+1)</f>
        <v/>
      </c>
      <c r="Y117" s="62"/>
      <c r="Z117" s="62"/>
      <c r="AA117" s="64" t="str">
        <f>IF($C117="","",IFERROR(INDEX('Staff Directory'!$E$5:$E$594,MATCH($C117,'Staff Directory'!$B$5:$B$594,0)),""))</f>
        <v>firstname099.lastname099@example.com</v>
      </c>
      <c r="AB117" s="64" t="str">
        <f>IF($C117="","",IF(ISNUMBER(SEARCH($D117,Settings!$C$15)),"Pickup","Dispatch"))</f>
        <v>Pickup</v>
      </c>
      <c r="AC117" s="64" t="str">
        <f t="shared" si="24"/>
        <v>Supply order ready for pickup</v>
      </c>
      <c r="AD117" s="64" t="str">
        <f t="shared" si="12"/>
        <v>Dear PSW,
Your order is ready for pickup from Sample Branch, Wed-Fri 9am-4pm.</v>
      </c>
      <c r="AE117" s="64" t="str">
        <f t="shared" si="13"/>
        <v>mailto:firstname099.lastname099@example.com?subject=Supply%20order%20ready%20for%20pickup&amp;body=Dear%20PSW%2C%0A%0AYour%20order%20is%20ready%20for%20pickup%20from%20Sample%20Branch%2C%20Wed-Fri%209am-4pm.</v>
      </c>
      <c r="AF117" s="89" t="str">
        <f t="shared" si="25"/>
        <v>Draft email</v>
      </c>
      <c r="AG117" s="64" t="str">
        <f>IF($C117="","",IFERROR(INDEX('Staff Directory'!$K$595:$K$599,MATCH($C117,'Staff Directory'!$B$5:$B$599,0)),$D117))</f>
        <v>PSW</v>
      </c>
      <c r="AH117" t="str">
        <f>IF($C117="","",IFERROR(INDEX('Staff Directory'!$I$595:$I$599,MATCH($C117,'Staff Directory'!$B$5:$B$599,0))&amp;" "&amp;INDEX('Staff Directory'!$J$595:$J$599,MATCH($C117,'Staff Directory'!$B$5:$B$599,0)),$AG117))</f>
        <v>PSW</v>
      </c>
      <c r="AI117" s="102"/>
      <c r="AJ117" s="101">
        <f>IF($F117="","",SUMIFS($J$5:$J117,$F$5:$F117,$F117))</f>
        <v>6000</v>
      </c>
      <c r="AK117" s="101">
        <f t="shared" si="3"/>
        <v>5501</v>
      </c>
      <c r="AL117" s="66" t="str" cm="1">
        <f t="array" ref="AL117">IF($F117="","",IFERROR(INDEX('Lot Balance'!$B$5:$B$500,MATCH(1,INDEX(('Lot Balance'!$A$5:$A$500=$F117)*('Lot Balance'!$K$5:$K$500&lt;$AK117)*('Lot Balance'!$K$5:$K$500+'Lot Balance'!$D$5:$D$500&gt;=$AK117),0),0)),""))</f>
        <v>ZIM504124207-4</v>
      </c>
      <c r="AM117" s="66" t="str" cm="1">
        <f t="array" ref="AM117">IF($F117="","",IFERROR(INDEX('Lot Balance'!$B$5:$B$500,MATCH(1,INDEX(('Lot Balance'!$A$5:$A$500=$F117)*('Lot Balance'!$K$5:$K$500&lt;$AJ117)*('Lot Balance'!$K$5:$K$500+'Lot Balance'!$D$5:$D$500&gt;=$AJ117),0),0)),""))</f>
        <v>ZIM504124207-4</v>
      </c>
      <c r="AN117" s="66" t="str">
        <f>IF($F117="","",IF($AI117&lt;&gt;"",IF(COUNTIFS('Lot Balance'!$A$5:$A$500,$F117,'Lot Balance'!$B$5:$B$500,$AI117)=0,"⚠ override is not a lot of this item",IF($AI117=$AL117,"Override = FEFO","Override - FEFO says "&amp;$AL117)),IF($AL117="","⚠ no receipt on file for this item",IF($AM117&lt;&gt;$AL117,"FEFO auto - split, also "&amp;$AM117,"FEFO auto"))))</f>
        <v>FEFO auto</v>
      </c>
      <c r="AO117" s="114"/>
    </row>
    <row r="118" spans="1:41" x14ac:dyDescent="0.35">
      <c r="A118" s="74">
        <v>46119</v>
      </c>
      <c r="B118" s="18" t="str">
        <f>IF($C118="","",IFERROR(INDEX('Staff Directory'!$A$5:$A$594,MATCH($C118,'Staff Directory'!$B$5:$B$594,0)),"⚠ unknown staff"))</f>
        <v>PSW-040-A6</v>
      </c>
      <c r="C118" s="49" t="s">
        <v>1015</v>
      </c>
      <c r="D118" s="19" t="str">
        <f>IF($B118="","",IFERROR(INDEX('Staff Directory'!$C$5:$C$594,MATCH($B118,'Staff Directory'!$A$5:$A$594,0)),""))</f>
        <v>PSW</v>
      </c>
      <c r="E118" s="19" t="str">
        <f>IF($B118="","",IFERROR(INDEX('Staff Directory'!$D$5:$D$594,MATCH($B118,'Staff Directory'!$A$5:$A$594,0)),""))</f>
        <v>A6</v>
      </c>
      <c r="F118" s="9" t="s">
        <v>115</v>
      </c>
      <c r="G118" s="18" t="str">
        <f>IF($F118="","",IFERROR(INDEX(Items!$B$5:$B$597,MATCH($F118,Items!$A$5:$A$597,0)),"⚠ not in Items"))</f>
        <v>Wipes</v>
      </c>
      <c r="H118" s="19">
        <f>IF($F118="","",IFERROR(INDEX(Items!$C$5:$C$597,MATCH($F118,Items!$A$5:$A$597,0)),""))</f>
        <v>80</v>
      </c>
      <c r="I118" s="23">
        <f>IF($F118="","",IFERROR(INDEX(Items!$E$5:$E$597,MATCH($F118,Items!$A$5:$A$597,0)),""))</f>
        <v>80</v>
      </c>
      <c r="J118" s="115">
        <f>IF(tblIssues[[#This Row],[Qty Override]]&lt;&gt;"",tblIssues[[#This Row],[Qty Override]],IF(tblIssues[[#This Row],[Standard Issue]]="","",tblIssues[[#This Row],[Standard Issue]]))</f>
        <v>80</v>
      </c>
      <c r="K118" s="20">
        <f>IF($F118="","",IFERROR(INDEX(Items!$D$5:$D$597,MATCH($F118,Items!$A$5:$A$597,0)),""))</f>
        <v>0.1</v>
      </c>
      <c r="L118" s="21">
        <f t="shared" si="14"/>
        <v>8</v>
      </c>
      <c r="M118" s="9" t="str">
        <f t="shared" si="15"/>
        <v>LYSL500290</v>
      </c>
      <c r="N118" s="24">
        <f>IF($A118="","",WORKDAY($A118,Settings!$C$9,HolidayDates))</f>
        <v>46127</v>
      </c>
      <c r="O118" s="24">
        <f>IF($N118="","",WORKDAY($N118,Settings!$C$10,HolidayDates))</f>
        <v>46167</v>
      </c>
      <c r="P118" s="10" t="s">
        <v>501</v>
      </c>
      <c r="Q118" s="52" t="str">
        <f t="shared" si="21"/>
        <v>Collected</v>
      </c>
      <c r="R118" s="55" t="str">
        <f t="shared" si="22"/>
        <v>2026-04</v>
      </c>
      <c r="S118" s="55">
        <f>IF(OR($B118="",$F118="",$R118=""),"",SUMIFS(tblIssues[Qty Issued],tblIssues[Staff ID],$B118,tblIssues[Item Name],$F118,tblIssues[Month],$R118))</f>
        <v>80</v>
      </c>
      <c r="T118" s="56">
        <f>IF($I118="","",$I118*Settings!$C$11)</f>
        <v>80</v>
      </c>
      <c r="U118" s="57" t="str">
        <f t="shared" si="17"/>
        <v>OK</v>
      </c>
      <c r="V118" s="55" t="str">
        <f t="shared" si="23"/>
        <v/>
      </c>
      <c r="W118" s="55" t="str">
        <f>IF($V118="","",IF(COUNTIF($V$5:$V118,$V118)=1,1,""))</f>
        <v/>
      </c>
      <c r="X118" s="58" t="str">
        <f>IF($W118="","",MAX($X$4:X117)+1)</f>
        <v/>
      </c>
      <c r="Y118" s="62"/>
      <c r="Z118" s="62"/>
      <c r="AA118" s="64" t="str">
        <f>IF($C118="","",IFERROR(INDEX('Staff Directory'!$E$5:$E$594,MATCH($C118,'Staff Directory'!$B$5:$B$594,0)),""))</f>
        <v>firstname099.lastname099@example.com</v>
      </c>
      <c r="AB118" s="64" t="str">
        <f>IF($C118="","",IF(ISNUMBER(SEARCH($D118,Settings!$C$15)),"Pickup","Dispatch"))</f>
        <v>Pickup</v>
      </c>
      <c r="AC118" s="64" t="str">
        <f t="shared" si="24"/>
        <v>Supply order ready for pickup</v>
      </c>
      <c r="AD118" s="64" t="str">
        <f t="shared" si="12"/>
        <v>Dear PSW,
Your order is ready for pickup from Sample Branch, Wed-Fri 9am-4pm.</v>
      </c>
      <c r="AE118" s="64" t="str">
        <f t="shared" si="13"/>
        <v>mailto:firstname099.lastname099@example.com?subject=Supply%20order%20ready%20for%20pickup&amp;body=Dear%20PSW%2C%0A%0AYour%20order%20is%20ready%20for%20pickup%20from%20Sample%20Branch%2C%20Wed-Fri%209am-4pm.</v>
      </c>
      <c r="AF118" s="89" t="str">
        <f t="shared" si="25"/>
        <v>Draft email</v>
      </c>
      <c r="AG118" s="64" t="str">
        <f>IF($C118="","",IFERROR(INDEX('Staff Directory'!$K$595:$K$599,MATCH($C118,'Staff Directory'!$B$5:$B$599,0)),$D118))</f>
        <v>PSW</v>
      </c>
      <c r="AH118" t="str">
        <f>IF($C118="","",IFERROR(INDEX('Staff Directory'!$I$595:$I$599,MATCH($C118,'Staff Directory'!$B$5:$B$599,0))&amp;" "&amp;INDEX('Staff Directory'!$J$595:$J$599,MATCH($C118,'Staff Directory'!$B$5:$B$599,0)),$AG118))</f>
        <v>PSW</v>
      </c>
      <c r="AI118" s="102"/>
      <c r="AJ118" s="101">
        <f>IF($F118="","",SUMIFS($J$5:$J118,$F$5:$F118,$F118))</f>
        <v>2000</v>
      </c>
      <c r="AK118" s="101">
        <f t="shared" si="3"/>
        <v>1921</v>
      </c>
      <c r="AL118" s="66" t="str" cm="1">
        <f t="array" ref="AL118">IF($F118="","",IFERROR(INDEX('Lot Balance'!$B$5:$B$500,MATCH(1,INDEX(('Lot Balance'!$A$5:$A$500=$F118)*('Lot Balance'!$K$5:$K$500&lt;$AK118)*('Lot Balance'!$K$5:$K$500+'Lot Balance'!$D$5:$D$500&gt;=$AK118),0),0)),""))</f>
        <v>LYSL500290</v>
      </c>
      <c r="AM118" s="66" t="str" cm="1">
        <f t="array" ref="AM118">IF($F118="","",IFERROR(INDEX('Lot Balance'!$B$5:$B$500,MATCH(1,INDEX(('Lot Balance'!$A$5:$A$500=$F118)*('Lot Balance'!$K$5:$K$500&lt;$AJ118)*('Lot Balance'!$K$5:$K$500+'Lot Balance'!$D$5:$D$500&gt;=$AJ118),0),0)),""))</f>
        <v>LYSL500290</v>
      </c>
      <c r="AN118" s="66" t="str">
        <f>IF($F118="","",IF($AI118&lt;&gt;"",IF(COUNTIFS('Lot Balance'!$A$5:$A$500,$F118,'Lot Balance'!$B$5:$B$500,$AI118)=0,"⚠ override is not a lot of this item",IF($AI118=$AL118,"Override = FEFO","Override - FEFO says "&amp;$AL118)),IF($AL118="","⚠ no receipt on file for this item",IF($AM118&lt;&gt;$AL118,"FEFO auto - split, also "&amp;$AM118,"FEFO auto"))))</f>
        <v>FEFO auto</v>
      </c>
      <c r="AO118" s="114"/>
    </row>
    <row r="119" spans="1:41" x14ac:dyDescent="0.35">
      <c r="A119" s="74">
        <v>46119</v>
      </c>
      <c r="B119" s="18" t="str">
        <f>IF($C119="","",IFERROR(INDEX('Staff Directory'!$A$5:$A$594,MATCH($C119,'Staff Directory'!$B$5:$B$594,0)),"⚠ unknown staff"))</f>
        <v>PSW-040-A6</v>
      </c>
      <c r="C119" s="49" t="s">
        <v>1015</v>
      </c>
      <c r="D119" s="19" t="str">
        <f>IF($B119="","",IFERROR(INDEX('Staff Directory'!$C$5:$C$594,MATCH($B119,'Staff Directory'!$A$5:$A$594,0)),""))</f>
        <v>PSW</v>
      </c>
      <c r="E119" s="19" t="str">
        <f>IF($B119="","",IFERROR(INDEX('Staff Directory'!$D$5:$D$594,MATCH($B119,'Staff Directory'!$A$5:$A$594,0)),""))</f>
        <v>A6</v>
      </c>
      <c r="F119" s="9" t="s">
        <v>156</v>
      </c>
      <c r="G119" s="18" t="str">
        <f>IF($F119="","",IFERROR(INDEX(Items!$B$5:$B$597,MATCH($F119,Items!$A$5:$A$597,0)),"⚠ not in Items"))</f>
        <v>Masks</v>
      </c>
      <c r="H119" s="19" t="str">
        <f>IF($F119="","",IFERROR(INDEX(Items!$C$5:$C$597,MATCH($F119,Items!$A$5:$A$597,0)),""))</f>
        <v>One Size</v>
      </c>
      <c r="I119" s="23">
        <f>IF($F119="","",IFERROR(INDEX(Items!$E$5:$E$597,MATCH($F119,Items!$A$5:$A$597,0)),""))</f>
        <v>50</v>
      </c>
      <c r="J119" s="115">
        <f>IF(tblIssues[[#This Row],[Qty Override]]&lt;&gt;"",tblIssues[[#This Row],[Qty Override]],IF(tblIssues[[#This Row],[Standard Issue]]="","",tblIssues[[#This Row],[Standard Issue]]))</f>
        <v>50</v>
      </c>
      <c r="K119" s="20">
        <f>IF($F119="","",IFERROR(INDEX(Items!$D$5:$D$597,MATCH($F119,Items!$A$5:$A$597,0)),""))</f>
        <v>0.25</v>
      </c>
      <c r="L119" s="21">
        <f t="shared" si="14"/>
        <v>12.5</v>
      </c>
      <c r="M119" s="9" t="str">
        <f t="shared" si="15"/>
        <v>0125FPC24-0</v>
      </c>
      <c r="N119" s="24">
        <f>IF($A119="","",WORKDAY($A119,Settings!$C$9,HolidayDates))</f>
        <v>46127</v>
      </c>
      <c r="O119" s="24">
        <f>IF($N119="","",WORKDAY($N119,Settings!$C$10,HolidayDates))</f>
        <v>46167</v>
      </c>
      <c r="P119" s="10" t="s">
        <v>501</v>
      </c>
      <c r="Q119" s="52" t="str">
        <f t="shared" si="21"/>
        <v>Collected</v>
      </c>
      <c r="R119" s="55" t="str">
        <f t="shared" si="22"/>
        <v>2026-04</v>
      </c>
      <c r="S119" s="55">
        <f>IF(OR($B119="",$F119="",$R119=""),"",SUMIFS(tblIssues[Qty Issued],tblIssues[Staff ID],$B119,tblIssues[Item Name],$F119,tblIssues[Month],$R119))</f>
        <v>50</v>
      </c>
      <c r="T119" s="56">
        <f>IF($I119="","",$I119*Settings!$C$11)</f>
        <v>50</v>
      </c>
      <c r="U119" s="57" t="str">
        <f t="shared" si="17"/>
        <v>OK</v>
      </c>
      <c r="V119" s="55" t="str">
        <f t="shared" si="23"/>
        <v/>
      </c>
      <c r="W119" s="55" t="str">
        <f>IF($V119="","",IF(COUNTIF($V$5:$V119,$V119)=1,1,""))</f>
        <v/>
      </c>
      <c r="X119" s="58" t="str">
        <f>IF($W119="","",MAX($X$4:X118)+1)</f>
        <v/>
      </c>
      <c r="Y119" s="62"/>
      <c r="Z119" s="62"/>
      <c r="AA119" s="64" t="str">
        <f>IF($C119="","",IFERROR(INDEX('Staff Directory'!$E$5:$E$594,MATCH($C119,'Staff Directory'!$B$5:$B$594,0)),""))</f>
        <v>firstname099.lastname099@example.com</v>
      </c>
      <c r="AB119" s="64" t="str">
        <f>IF($C119="","",IF(ISNUMBER(SEARCH($D119,Settings!$C$15)),"Pickup","Dispatch"))</f>
        <v>Pickup</v>
      </c>
      <c r="AC119" s="64" t="str">
        <f t="shared" si="24"/>
        <v>Supply order ready for pickup</v>
      </c>
      <c r="AD119" s="64" t="str">
        <f t="shared" si="12"/>
        <v>Dear PSW,
Your order is ready for pickup from Sample Branch, Wed-Fri 9am-4pm.</v>
      </c>
      <c r="AE119" s="64" t="str">
        <f t="shared" si="13"/>
        <v>mailto:firstname099.lastname099@example.com?subject=Supply%20order%20ready%20for%20pickup&amp;body=Dear%20PSW%2C%0A%0AYour%20order%20is%20ready%20for%20pickup%20from%20Sample%20Branch%2C%20Wed-Fri%209am-4pm.</v>
      </c>
      <c r="AF119" s="89" t="str">
        <f t="shared" si="25"/>
        <v>Draft email</v>
      </c>
      <c r="AG119" s="64" t="str">
        <f>IF($C119="","",IFERROR(INDEX('Staff Directory'!$K$595:$K$599,MATCH($C119,'Staff Directory'!$B$5:$B$599,0)),$D119))</f>
        <v>PSW</v>
      </c>
      <c r="AH119" t="str">
        <f>IF($C119="","",IFERROR(INDEX('Staff Directory'!$I$595:$I$599,MATCH($C119,'Staff Directory'!$B$5:$B$599,0))&amp;" "&amp;INDEX('Staff Directory'!$J$595:$J$599,MATCH($C119,'Staff Directory'!$B$5:$B$599,0)),$AG119))</f>
        <v>PSW</v>
      </c>
      <c r="AI119" s="102"/>
      <c r="AJ119" s="101">
        <f>IF($F119="","",SUMIFS($J$5:$J119,$F$5:$F119,$F119))</f>
        <v>950</v>
      </c>
      <c r="AK119" s="101">
        <f t="shared" si="3"/>
        <v>901</v>
      </c>
      <c r="AL119" s="66" t="str" cm="1">
        <f t="array" ref="AL119">IF($F119="","",IFERROR(INDEX('Lot Balance'!$B$5:$B$500,MATCH(1,INDEX(('Lot Balance'!$A$5:$A$500=$F119)*('Lot Balance'!$K$5:$K$500&lt;$AK119)*('Lot Balance'!$K$5:$K$500+'Lot Balance'!$D$5:$D$500&gt;=$AK119),0),0)),""))</f>
        <v>0125FPC24-0</v>
      </c>
      <c r="AM119" s="66" t="str" cm="1">
        <f t="array" ref="AM119">IF($F119="","",IFERROR(INDEX('Lot Balance'!$B$5:$B$500,MATCH(1,INDEX(('Lot Balance'!$A$5:$A$500=$F119)*('Lot Balance'!$K$5:$K$500&lt;$AJ119)*('Lot Balance'!$K$5:$K$500+'Lot Balance'!$D$5:$D$500&gt;=$AJ119),0),0)),""))</f>
        <v>0125FPC24-0</v>
      </c>
      <c r="AN119" s="66" t="str">
        <f>IF($F119="","",IF($AI119&lt;&gt;"",IF(COUNTIFS('Lot Balance'!$A$5:$A$500,$F119,'Lot Balance'!$B$5:$B$500,$AI119)=0,"⚠ override is not a lot of this item",IF($AI119=$AL119,"Override = FEFO","Override - FEFO says "&amp;$AL119)),IF($AL119="","⚠ no receipt on file for this item",IF($AM119&lt;&gt;$AL119,"FEFO auto - split, also "&amp;$AM119,"FEFO auto"))))</f>
        <v>FEFO auto</v>
      </c>
      <c r="AO119" s="114"/>
    </row>
    <row r="120" spans="1:41" x14ac:dyDescent="0.35">
      <c r="A120" s="74">
        <v>46119</v>
      </c>
      <c r="B120" s="18" t="str">
        <f>IF($C120="","",IFERROR(INDEX('Staff Directory'!$A$5:$A$594,MATCH($C120,'Staff Directory'!$B$5:$B$594,0)),"⚠ unknown staff"))</f>
        <v>PSW-040-A6</v>
      </c>
      <c r="C120" s="49" t="s">
        <v>1015</v>
      </c>
      <c r="D120" s="19" t="str">
        <f>IF($B120="","",IFERROR(INDEX('Staff Directory'!$C$5:$C$594,MATCH($B120,'Staff Directory'!$A$5:$A$594,0)),""))</f>
        <v>PSW</v>
      </c>
      <c r="E120" s="19" t="str">
        <f>IF($B120="","",IFERROR(INDEX('Staff Directory'!$D$5:$D$594,MATCH($B120,'Staff Directory'!$A$5:$A$594,0)),""))</f>
        <v>A6</v>
      </c>
      <c r="F120" s="9" t="s">
        <v>755</v>
      </c>
      <c r="G120" s="18" t="str">
        <f>IF($F120="","",IFERROR(INDEX(Items!$B$5:$B$597,MATCH($F120,Items!$A$5:$A$597,0)),"⚠ not in Items"))</f>
        <v>Documents</v>
      </c>
      <c r="H120" s="19" t="str">
        <f>IF($F120="","",IFERROR(INDEX(Items!$C$5:$C$597,MATCH($F120,Items!$A$5:$A$597,0)),""))</f>
        <v>Standard</v>
      </c>
      <c r="I120" s="23">
        <f>IF($F120="","",IFERROR(INDEX(Items!$E$5:$E$597,MATCH($F120,Items!$A$5:$A$597,0)),""))</f>
        <v>2</v>
      </c>
      <c r="J120" s="115">
        <f>IF(tblIssues[[#This Row],[Qty Override]]&lt;&gt;"",tblIssues[[#This Row],[Qty Override]],IF(tblIssues[[#This Row],[Standard Issue]]="","",tblIssues[[#This Row],[Standard Issue]]))</f>
        <v>2</v>
      </c>
      <c r="K120" s="20">
        <f>IF($F120="","",IFERROR(INDEX(Items!$D$5:$D$597,MATCH($F120,Items!$A$5:$A$597,0)),""))</f>
        <v>0</v>
      </c>
      <c r="L120" s="21">
        <f t="shared" si="14"/>
        <v>0</v>
      </c>
      <c r="M120" s="9" t="str">
        <f t="shared" si="15"/>
        <v/>
      </c>
      <c r="N120" s="24">
        <f>IF($A120="","",WORKDAY($A120,Settings!$C$9,HolidayDates))</f>
        <v>46127</v>
      </c>
      <c r="O120" s="24">
        <f>IF($N120="","",WORKDAY($N120,Settings!$C$10,HolidayDates))</f>
        <v>46167</v>
      </c>
      <c r="P120" s="10" t="s">
        <v>501</v>
      </c>
      <c r="Q120" s="52" t="str">
        <f t="shared" si="21"/>
        <v>Collected</v>
      </c>
      <c r="R120" s="55" t="str">
        <f t="shared" si="22"/>
        <v>2026-04</v>
      </c>
      <c r="S120" s="55">
        <f>IF(OR($B120="",$F120="",$R120=""),"",SUMIFS(tblIssues[Qty Issued],tblIssues[Staff ID],$B120,tblIssues[Item Name],$F120,tblIssues[Month],$R120))</f>
        <v>2</v>
      </c>
      <c r="T120" s="56">
        <f>IF($I120="","",$I120*Settings!$C$11)</f>
        <v>2</v>
      </c>
      <c r="U120" s="57" t="str">
        <f t="shared" si="17"/>
        <v>OK</v>
      </c>
      <c r="V120" s="55" t="str">
        <f t="shared" si="23"/>
        <v/>
      </c>
      <c r="W120" s="55" t="str">
        <f>IF($V120="","",IF(COUNTIF($V$5:$V120,$V120)=1,1,""))</f>
        <v/>
      </c>
      <c r="X120" s="58" t="str">
        <f>IF($W120="","",MAX($X$4:X119)+1)</f>
        <v/>
      </c>
      <c r="Y120" s="62"/>
      <c r="Z120" s="62"/>
      <c r="AA120" s="64" t="str">
        <f>IF($C120="","",IFERROR(INDEX('Staff Directory'!$E$5:$E$594,MATCH($C120,'Staff Directory'!$B$5:$B$594,0)),""))</f>
        <v>firstname099.lastname099@example.com</v>
      </c>
      <c r="AB120" s="64" t="str">
        <f>IF($C120="","",IF(ISNUMBER(SEARCH($D120,Settings!$C$15)),"Pickup","Dispatch"))</f>
        <v>Pickup</v>
      </c>
      <c r="AC120" s="64" t="str">
        <f t="shared" si="24"/>
        <v>Supply order ready for pickup</v>
      </c>
      <c r="AD120" s="64" t="str">
        <f t="shared" si="12"/>
        <v>Dear PSW,
Your order is ready for pickup from Sample Branch, Wed-Fri 9am-4pm.</v>
      </c>
      <c r="AE120" s="64" t="str">
        <f t="shared" si="13"/>
        <v>mailto:firstname099.lastname099@example.com?subject=Supply%20order%20ready%20for%20pickup&amp;body=Dear%20PSW%2C%0A%0AYour%20order%20is%20ready%20for%20pickup%20from%20Sample%20Branch%2C%20Wed-Fri%209am-4pm.</v>
      </c>
      <c r="AF120" s="89" t="str">
        <f t="shared" si="25"/>
        <v>Draft email</v>
      </c>
      <c r="AG120" s="64" t="str">
        <f>IF($C120="","",IFERROR(INDEX('Staff Directory'!$K$595:$K$599,MATCH($C120,'Staff Directory'!$B$5:$B$599,0)),$D120))</f>
        <v>PSW</v>
      </c>
      <c r="AH120" t="str">
        <f>IF($C120="","",IFERROR(INDEX('Staff Directory'!$I$595:$I$599,MATCH($C120,'Staff Directory'!$B$5:$B$599,0))&amp;" "&amp;INDEX('Staff Directory'!$J$595:$J$599,MATCH($C120,'Staff Directory'!$B$5:$B$599,0)),$AG120))</f>
        <v>PSW</v>
      </c>
      <c r="AI120" s="102"/>
      <c r="AJ120" s="101">
        <f>IF($F120="","",SUMIFS($J$5:$J120,$F$5:$F120,$F120))</f>
        <v>16</v>
      </c>
      <c r="AK120" s="101">
        <f t="shared" si="3"/>
        <v>15</v>
      </c>
      <c r="AL120" s="66" t="str" cm="1">
        <f t="array" ref="AL120">IF($F120="","",IFERROR(INDEX('Lot Balance'!$B$5:$B$500,MATCH(1,INDEX(('Lot Balance'!$A$5:$A$500=$F120)*('Lot Balance'!$K$5:$K$500&lt;$AK120)*('Lot Balance'!$K$5:$K$500+'Lot Balance'!$D$5:$D$500&gt;=$AK120),0),0)),""))</f>
        <v/>
      </c>
      <c r="AM120" s="66" t="str" cm="1">
        <f t="array" ref="AM120">IF($F120="","",IFERROR(INDEX('Lot Balance'!$B$5:$B$500,MATCH(1,INDEX(('Lot Balance'!$A$5:$A$500=$F120)*('Lot Balance'!$K$5:$K$500&lt;$AJ120)*('Lot Balance'!$K$5:$K$500+'Lot Balance'!$D$5:$D$500&gt;=$AJ120),0),0)),""))</f>
        <v/>
      </c>
      <c r="AN120" s="66" t="str">
        <f>IF($F120="","",IF($AI120&lt;&gt;"",IF(COUNTIFS('Lot Balance'!$A$5:$A$500,$F120,'Lot Balance'!$B$5:$B$500,$AI120)=0,"⚠ override is not a lot of this item",IF($AI120=$AL120,"Override = FEFO","Override - FEFO says "&amp;$AL120)),IF($AL120="","⚠ no receipt on file for this item",IF($AM120&lt;&gt;$AL120,"FEFO auto - split, also "&amp;$AM120,"FEFO auto"))))</f>
        <v>⚠ no receipt on file for this item</v>
      </c>
      <c r="AO120" s="114"/>
    </row>
    <row r="121" spans="1:41" x14ac:dyDescent="0.35">
      <c r="A121" s="74">
        <v>46119</v>
      </c>
      <c r="B121" s="18" t="str">
        <f>IF($C121="","",IFERROR(INDEX('Staff Directory'!$A$5:$A$594,MATCH($C121,'Staff Directory'!$B$5:$B$594,0)),"⚠ unknown staff"))</f>
        <v>PSW-023-A6</v>
      </c>
      <c r="C121" s="49" t="s">
        <v>999</v>
      </c>
      <c r="D121" s="19" t="str">
        <f>IF($B121="","",IFERROR(INDEX('Staff Directory'!$C$5:$C$594,MATCH($B121,'Staff Directory'!$A$5:$A$594,0)),""))</f>
        <v>PSW</v>
      </c>
      <c r="E121" s="19" t="str">
        <f>IF($B121="","",IFERROR(INDEX('Staff Directory'!$D$5:$D$594,MATCH($B121,'Staff Directory'!$A$5:$A$594,0)),""))</f>
        <v>A6</v>
      </c>
      <c r="F121" s="9" t="s">
        <v>129</v>
      </c>
      <c r="G121" s="18" t="str">
        <f>IF($F121="","",IFERROR(INDEX(Items!$B$5:$B$597,MATCH($F121,Items!$A$5:$A$597,0)),"⚠ not in Items"))</f>
        <v>Gloves</v>
      </c>
      <c r="H121" s="19" t="str">
        <f>IF($F121="","",IFERROR(INDEX(Items!$C$5:$C$597,MATCH($F121,Items!$A$5:$A$597,0)),""))</f>
        <v>Small</v>
      </c>
      <c r="I121" s="23">
        <f>IF($F121="","",IFERROR(INDEX(Items!$E$5:$E$597,MATCH($F121,Items!$A$5:$A$597,0)),""))</f>
        <v>500</v>
      </c>
      <c r="J121" s="115">
        <f>IF(tblIssues[[#This Row],[Qty Override]]&lt;&gt;"",tblIssues[[#This Row],[Qty Override]],IF(tblIssues[[#This Row],[Standard Issue]]="","",tblIssues[[#This Row],[Standard Issue]]))</f>
        <v>500</v>
      </c>
      <c r="K121" s="20">
        <f>IF($F121="","",IFERROR(INDEX(Items!$D$5:$D$597,MATCH($F121,Items!$A$5:$A$597,0)),""))</f>
        <v>5.5E-2</v>
      </c>
      <c r="L121" s="21">
        <f t="shared" si="14"/>
        <v>27.5</v>
      </c>
      <c r="M121" s="9" t="str">
        <f t="shared" si="15"/>
        <v>ZIM504124207-4</v>
      </c>
      <c r="N121" s="24">
        <f>IF($A121="","",WORKDAY($A121,Settings!$C$9,HolidayDates))</f>
        <v>46127</v>
      </c>
      <c r="O121" s="24">
        <f>IF($N121="","",WORKDAY($N121,Settings!$C$10,HolidayDates))</f>
        <v>46167</v>
      </c>
      <c r="P121" s="10" t="s">
        <v>501</v>
      </c>
      <c r="Q121" s="52" t="str">
        <f t="shared" si="21"/>
        <v>Collected</v>
      </c>
      <c r="R121" s="55" t="str">
        <f t="shared" si="22"/>
        <v>2026-04</v>
      </c>
      <c r="S121" s="55">
        <f>IF(OR($B121="",$F121="",$R121=""),"",SUMIFS(tblIssues[Qty Issued],tblIssues[Staff ID],$B121,tblIssues[Item Name],$F121,tblIssues[Month],$R121))</f>
        <v>500</v>
      </c>
      <c r="T121" s="56">
        <f>IF($I121="","",$I121*Settings!$C$11)</f>
        <v>500</v>
      </c>
      <c r="U121" s="57" t="str">
        <f t="shared" si="17"/>
        <v>OK</v>
      </c>
      <c r="V121" s="55" t="str">
        <f t="shared" si="23"/>
        <v/>
      </c>
      <c r="W121" s="55" t="str">
        <f>IF($V121="","",IF(COUNTIF($V$5:$V121,$V121)=1,1,""))</f>
        <v/>
      </c>
      <c r="X121" s="58" t="str">
        <f>IF($W121="","",MAX($X$4:X120)+1)</f>
        <v/>
      </c>
      <c r="Y121" s="62"/>
      <c r="Z121" s="62"/>
      <c r="AA121" s="64" t="str">
        <f>IF($C121="","",IFERROR(INDEX('Staff Directory'!$E$5:$E$594,MATCH($C121,'Staff Directory'!$B$5:$B$594,0)),""))</f>
        <v>firstname083.lastname083@example.com</v>
      </c>
      <c r="AB121" s="64" t="str">
        <f>IF($C121="","",IF(ISNUMBER(SEARCH($D121,Settings!$C$15)),"Pickup","Dispatch"))</f>
        <v>Pickup</v>
      </c>
      <c r="AC121" s="64" t="str">
        <f t="shared" si="24"/>
        <v>Supply order ready for pickup</v>
      </c>
      <c r="AD121" s="64" t="str">
        <f t="shared" si="12"/>
        <v>Dear PSW,
Your order is ready for pickup from Sample Branch, Wed-Fri 9am-4pm.</v>
      </c>
      <c r="AE121" s="64" t="str">
        <f t="shared" si="13"/>
        <v>mailto:firstname083.lastname083@example.com?subject=Supply%20order%20ready%20for%20pickup&amp;body=Dear%20PSW%2C%0A%0AYour%20order%20is%20ready%20for%20pickup%20from%20Sample%20Branch%2C%20Wed-Fri%209am-4pm.</v>
      </c>
      <c r="AF121" s="89" t="str">
        <f t="shared" si="25"/>
        <v>Draft email</v>
      </c>
      <c r="AG121" s="64" t="str">
        <f>IF($C121="","",IFERROR(INDEX('Staff Directory'!$K$595:$K$599,MATCH($C121,'Staff Directory'!$B$5:$B$599,0)),$D121))</f>
        <v>PSW</v>
      </c>
      <c r="AH121" t="str">
        <f>IF($C121="","",IFERROR(INDEX('Staff Directory'!$I$595:$I$599,MATCH($C121,'Staff Directory'!$B$5:$B$599,0))&amp;" "&amp;INDEX('Staff Directory'!$J$595:$J$599,MATCH($C121,'Staff Directory'!$B$5:$B$599,0)),$AG121))</f>
        <v>PSW</v>
      </c>
      <c r="AI121" s="102"/>
      <c r="AJ121" s="101">
        <f>IF($F121="","",SUMIFS($J$5:$J121,$F$5:$F121,$F121))</f>
        <v>6500</v>
      </c>
      <c r="AK121" s="101">
        <f t="shared" si="3"/>
        <v>6001</v>
      </c>
      <c r="AL121" s="66" t="str" cm="1">
        <f t="array" ref="AL121">IF($F121="","",IFERROR(INDEX('Lot Balance'!$B$5:$B$500,MATCH(1,INDEX(('Lot Balance'!$A$5:$A$500=$F121)*('Lot Balance'!$K$5:$K$500&lt;$AK121)*('Lot Balance'!$K$5:$K$500+'Lot Balance'!$D$5:$D$500&gt;=$AK121),0),0)),""))</f>
        <v>ZIM504124207-4</v>
      </c>
      <c r="AM121" s="66" t="str" cm="1">
        <f t="array" ref="AM121">IF($F121="","",IFERROR(INDEX('Lot Balance'!$B$5:$B$500,MATCH(1,INDEX(('Lot Balance'!$A$5:$A$500=$F121)*('Lot Balance'!$K$5:$K$500&lt;$AJ121)*('Lot Balance'!$K$5:$K$500+'Lot Balance'!$D$5:$D$500&gt;=$AJ121),0),0)),""))</f>
        <v>ZIM504124207-4</v>
      </c>
      <c r="AN121" s="66" t="str">
        <f>IF($F121="","",IF($AI121&lt;&gt;"",IF(COUNTIFS('Lot Balance'!$A$5:$A$500,$F121,'Lot Balance'!$B$5:$B$500,$AI121)=0,"⚠ override is not a lot of this item",IF($AI121=$AL121,"Override = FEFO","Override - FEFO says "&amp;$AL121)),IF($AL121="","⚠ no receipt on file for this item",IF($AM121&lt;&gt;$AL121,"FEFO auto - split, also "&amp;$AM121,"FEFO auto"))))</f>
        <v>FEFO auto</v>
      </c>
      <c r="AO121" s="114"/>
    </row>
    <row r="122" spans="1:41" x14ac:dyDescent="0.35">
      <c r="A122" s="74">
        <v>46119</v>
      </c>
      <c r="B122" s="18" t="str">
        <f>IF($C122="","",IFERROR(INDEX('Staff Directory'!$A$5:$A$594,MATCH($C122,'Staff Directory'!$B$5:$B$594,0)),"⚠ unknown staff"))</f>
        <v>PSW-023-A6</v>
      </c>
      <c r="C122" s="49" t="s">
        <v>999</v>
      </c>
      <c r="D122" s="19" t="str">
        <f>IF($B122="","",IFERROR(INDEX('Staff Directory'!$C$5:$C$594,MATCH($B122,'Staff Directory'!$A$5:$A$594,0)),""))</f>
        <v>PSW</v>
      </c>
      <c r="E122" s="19" t="str">
        <f>IF($B122="","",IFERROR(INDEX('Staff Directory'!$D$5:$D$594,MATCH($B122,'Staff Directory'!$A$5:$A$594,0)),""))</f>
        <v>A6</v>
      </c>
      <c r="F122" s="9" t="s">
        <v>137</v>
      </c>
      <c r="G122" s="18" t="str">
        <f>IF($F122="","",IFERROR(INDEX(Items!$B$5:$B$597,MATCH($F122,Items!$A$5:$A$597,0)),"⚠ not in Items"))</f>
        <v>Sanitizer</v>
      </c>
      <c r="H122" s="19" t="str">
        <f>IF($F122="","",IFERROR(INDEX(Items!$C$5:$C$597,MATCH($F122,Items!$A$5:$A$597,0)),""))</f>
        <v>118 ML</v>
      </c>
      <c r="I122" s="23">
        <f>IF($F122="","",IFERROR(INDEX(Items!$E$5:$E$597,MATCH($F122,Items!$A$5:$A$597,0)),""))</f>
        <v>2</v>
      </c>
      <c r="J122" s="115">
        <f>IF(tblIssues[[#This Row],[Qty Override]]&lt;&gt;"",tblIssues[[#This Row],[Qty Override]],IF(tblIssues[[#This Row],[Standard Issue]]="","",tblIssues[[#This Row],[Standard Issue]]))</f>
        <v>2</v>
      </c>
      <c r="K122" s="20">
        <f>IF($F122="","",IFERROR(INDEX(Items!$D$5:$D$597,MATCH($F122,Items!$A$5:$A$597,0)),""))</f>
        <v>4.49</v>
      </c>
      <c r="L122" s="21">
        <f t="shared" si="14"/>
        <v>8.98</v>
      </c>
      <c r="M122" s="9" t="str">
        <f t="shared" si="15"/>
        <v>563963-5</v>
      </c>
      <c r="N122" s="24">
        <f>IF($A122="","",WORKDAY($A122,Settings!$C$9,HolidayDates))</f>
        <v>46127</v>
      </c>
      <c r="O122" s="24">
        <f>IF($N122="","",WORKDAY($N122,Settings!$C$10,HolidayDates))</f>
        <v>46167</v>
      </c>
      <c r="P122" s="10" t="s">
        <v>501</v>
      </c>
      <c r="Q122" s="52" t="str">
        <f t="shared" si="21"/>
        <v>Collected</v>
      </c>
      <c r="R122" s="55" t="str">
        <f t="shared" si="22"/>
        <v>2026-04</v>
      </c>
      <c r="S122" s="55">
        <f>IF(OR($B122="",$F122="",$R122=""),"",SUMIFS(tblIssues[Qty Issued],tblIssues[Staff ID],$B122,tblIssues[Item Name],$F122,tblIssues[Month],$R122))</f>
        <v>2</v>
      </c>
      <c r="T122" s="56">
        <f>IF($I122="","",$I122*Settings!$C$11)</f>
        <v>2</v>
      </c>
      <c r="U122" s="57" t="str">
        <f t="shared" si="17"/>
        <v>OK</v>
      </c>
      <c r="V122" s="55" t="str">
        <f t="shared" si="23"/>
        <v/>
      </c>
      <c r="W122" s="55" t="str">
        <f>IF($V122="","",IF(COUNTIF($V$5:$V122,$V122)=1,1,""))</f>
        <v/>
      </c>
      <c r="X122" s="58" t="str">
        <f>IF($W122="","",MAX($X$4:X121)+1)</f>
        <v/>
      </c>
      <c r="Y122" s="62"/>
      <c r="Z122" s="62"/>
      <c r="AA122" s="64" t="str">
        <f>IF($C122="","",IFERROR(INDEX('Staff Directory'!$E$5:$E$594,MATCH($C122,'Staff Directory'!$B$5:$B$594,0)),""))</f>
        <v>firstname083.lastname083@example.com</v>
      </c>
      <c r="AB122" s="64" t="str">
        <f>IF($C122="","",IF(ISNUMBER(SEARCH($D122,Settings!$C$15)),"Pickup","Dispatch"))</f>
        <v>Pickup</v>
      </c>
      <c r="AC122" s="64" t="str">
        <f t="shared" si="24"/>
        <v>Supply order ready for pickup</v>
      </c>
      <c r="AD122" s="64" t="str">
        <f t="shared" si="12"/>
        <v>Dear PSW,
Your order is ready for pickup from Sample Branch, Wed-Fri 9am-4pm.</v>
      </c>
      <c r="AE122" s="64" t="str">
        <f t="shared" si="13"/>
        <v>mailto:firstname083.lastname083@example.com?subject=Supply%20order%20ready%20for%20pickup&amp;body=Dear%20PSW%2C%0A%0AYour%20order%20is%20ready%20for%20pickup%20from%20Sample%20Branch%2C%20Wed-Fri%209am-4pm.</v>
      </c>
      <c r="AF122" s="89" t="str">
        <f t="shared" si="25"/>
        <v>Draft email</v>
      </c>
      <c r="AG122" s="64" t="str">
        <f>IF($C122="","",IFERROR(INDEX('Staff Directory'!$K$595:$K$599,MATCH($C122,'Staff Directory'!$B$5:$B$599,0)),$D122))</f>
        <v>PSW</v>
      </c>
      <c r="AH122" t="str">
        <f>IF($C122="","",IFERROR(INDEX('Staff Directory'!$I$595:$I$599,MATCH($C122,'Staff Directory'!$B$5:$B$599,0))&amp;" "&amp;INDEX('Staff Directory'!$J$595:$J$599,MATCH($C122,'Staff Directory'!$B$5:$B$599,0)),$AG122))</f>
        <v>PSW</v>
      </c>
      <c r="AI122" s="102"/>
      <c r="AJ122" s="101">
        <f>IF($F122="","",SUMIFS($J$5:$J122,$F$5:$F122,$F122))</f>
        <v>42</v>
      </c>
      <c r="AK122" s="101">
        <f t="shared" si="3"/>
        <v>41</v>
      </c>
      <c r="AL122" s="66" t="str" cm="1">
        <f t="array" ref="AL122">IF($F122="","",IFERROR(INDEX('Lot Balance'!$B$5:$B$500,MATCH(1,INDEX(('Lot Balance'!$A$5:$A$500=$F122)*('Lot Balance'!$K$5:$K$500&lt;$AK122)*('Lot Balance'!$K$5:$K$500+'Lot Balance'!$D$5:$D$500&gt;=$AK122),0),0)),""))</f>
        <v>563963-5</v>
      </c>
      <c r="AM122" s="66" t="str" cm="1">
        <f t="array" ref="AM122">IF($F122="","",IFERROR(INDEX('Lot Balance'!$B$5:$B$500,MATCH(1,INDEX(('Lot Balance'!$A$5:$A$500=$F122)*('Lot Balance'!$K$5:$K$500&lt;$AJ122)*('Lot Balance'!$K$5:$K$500+'Lot Balance'!$D$5:$D$500&gt;=$AJ122),0),0)),""))</f>
        <v>563963-5</v>
      </c>
      <c r="AN122" s="66" t="str">
        <f>IF($F122="","",IF($AI122&lt;&gt;"",IF(COUNTIFS('Lot Balance'!$A$5:$A$500,$F122,'Lot Balance'!$B$5:$B$500,$AI122)=0,"⚠ override is not a lot of this item",IF($AI122=$AL122,"Override = FEFO","Override - FEFO says "&amp;$AL122)),IF($AL122="","⚠ no receipt on file for this item",IF($AM122&lt;&gt;$AL122,"FEFO auto - split, also "&amp;$AM122,"FEFO auto"))))</f>
        <v>FEFO auto</v>
      </c>
      <c r="AO122" s="114"/>
    </row>
    <row r="123" spans="1:41" x14ac:dyDescent="0.35">
      <c r="A123" s="74">
        <v>46119</v>
      </c>
      <c r="B123" s="18" t="str">
        <f>IF($C123="","",IFERROR(INDEX('Staff Directory'!$A$5:$A$594,MATCH($C123,'Staff Directory'!$B$5:$B$594,0)),"⚠ unknown staff"))</f>
        <v>PSW-023-A6</v>
      </c>
      <c r="C123" s="49" t="s">
        <v>999</v>
      </c>
      <c r="D123" s="19" t="str">
        <f>IF($B123="","",IFERROR(INDEX('Staff Directory'!$C$5:$C$594,MATCH($B123,'Staff Directory'!$A$5:$A$594,0)),""))</f>
        <v>PSW</v>
      </c>
      <c r="E123" s="19" t="str">
        <f>IF($B123="","",IFERROR(INDEX('Staff Directory'!$D$5:$D$594,MATCH($B123,'Staff Directory'!$A$5:$A$594,0)),""))</f>
        <v>A6</v>
      </c>
      <c r="F123" s="9" t="s">
        <v>156</v>
      </c>
      <c r="G123" s="18" t="str">
        <f>IF($F123="","",IFERROR(INDEX(Items!$B$5:$B$597,MATCH($F123,Items!$A$5:$A$597,0)),"⚠ not in Items"))</f>
        <v>Masks</v>
      </c>
      <c r="H123" s="19" t="str">
        <f>IF($F123="","",IFERROR(INDEX(Items!$C$5:$C$597,MATCH($F123,Items!$A$5:$A$597,0)),""))</f>
        <v>One Size</v>
      </c>
      <c r="I123" s="23">
        <f>IF($F123="","",IFERROR(INDEX(Items!$E$5:$E$597,MATCH($F123,Items!$A$5:$A$597,0)),""))</f>
        <v>50</v>
      </c>
      <c r="J123" s="115">
        <f>IF(tblIssues[[#This Row],[Qty Override]]&lt;&gt;"",tblIssues[[#This Row],[Qty Override]],IF(tblIssues[[#This Row],[Standard Issue]]="","",tblIssues[[#This Row],[Standard Issue]]))</f>
        <v>50</v>
      </c>
      <c r="K123" s="20">
        <f>IF($F123="","",IFERROR(INDEX(Items!$D$5:$D$597,MATCH($F123,Items!$A$5:$A$597,0)),""))</f>
        <v>0.25</v>
      </c>
      <c r="L123" s="21">
        <f t="shared" si="14"/>
        <v>12.5</v>
      </c>
      <c r="M123" s="9" t="str">
        <f t="shared" si="15"/>
        <v>0125FPC24-0</v>
      </c>
      <c r="N123" s="24">
        <f>IF($A123="","",WORKDAY($A123,Settings!$C$9,HolidayDates))</f>
        <v>46127</v>
      </c>
      <c r="O123" s="24">
        <f>IF($N123="","",WORKDAY($N123,Settings!$C$10,HolidayDates))</f>
        <v>46167</v>
      </c>
      <c r="P123" s="10" t="s">
        <v>501</v>
      </c>
      <c r="Q123" s="52" t="str">
        <f t="shared" si="21"/>
        <v>Collected</v>
      </c>
      <c r="R123" s="55" t="str">
        <f t="shared" si="22"/>
        <v>2026-04</v>
      </c>
      <c r="S123" s="55">
        <f>IF(OR($B123="",$F123="",$R123=""),"",SUMIFS(tblIssues[Qty Issued],tblIssues[Staff ID],$B123,tblIssues[Item Name],$F123,tblIssues[Month],$R123))</f>
        <v>50</v>
      </c>
      <c r="T123" s="56">
        <f>IF($I123="","",$I123*Settings!$C$11)</f>
        <v>50</v>
      </c>
      <c r="U123" s="57" t="str">
        <f t="shared" si="17"/>
        <v>OK</v>
      </c>
      <c r="V123" s="55" t="str">
        <f t="shared" si="23"/>
        <v/>
      </c>
      <c r="W123" s="55" t="str">
        <f>IF($V123="","",IF(COUNTIF($V$5:$V123,$V123)=1,1,""))</f>
        <v/>
      </c>
      <c r="X123" s="58" t="str">
        <f>IF($W123="","",MAX($X$4:X122)+1)</f>
        <v/>
      </c>
      <c r="Y123" s="62"/>
      <c r="Z123" s="62"/>
      <c r="AA123" s="64" t="str">
        <f>IF($C123="","",IFERROR(INDEX('Staff Directory'!$E$5:$E$594,MATCH($C123,'Staff Directory'!$B$5:$B$594,0)),""))</f>
        <v>firstname083.lastname083@example.com</v>
      </c>
      <c r="AB123" s="64" t="str">
        <f>IF($C123="","",IF(ISNUMBER(SEARCH($D123,Settings!$C$15)),"Pickup","Dispatch"))</f>
        <v>Pickup</v>
      </c>
      <c r="AC123" s="64" t="str">
        <f t="shared" si="24"/>
        <v>Supply order ready for pickup</v>
      </c>
      <c r="AD123" s="64" t="str">
        <f t="shared" si="12"/>
        <v>Dear PSW,
Your order is ready for pickup from Sample Branch, Wed-Fri 9am-4pm.</v>
      </c>
      <c r="AE123" s="64" t="str">
        <f t="shared" si="13"/>
        <v>mailto:firstname083.lastname083@example.com?subject=Supply%20order%20ready%20for%20pickup&amp;body=Dear%20PSW%2C%0A%0AYour%20order%20is%20ready%20for%20pickup%20from%20Sample%20Branch%2C%20Wed-Fri%209am-4pm.</v>
      </c>
      <c r="AF123" s="89" t="str">
        <f t="shared" si="25"/>
        <v>Draft email</v>
      </c>
      <c r="AG123" s="64" t="str">
        <f>IF($C123="","",IFERROR(INDEX('Staff Directory'!$K$595:$K$599,MATCH($C123,'Staff Directory'!$B$5:$B$599,0)),$D123))</f>
        <v>PSW</v>
      </c>
      <c r="AH123" t="str">
        <f>IF($C123="","",IFERROR(INDEX('Staff Directory'!$I$595:$I$599,MATCH($C123,'Staff Directory'!$B$5:$B$599,0))&amp;" "&amp;INDEX('Staff Directory'!$J$595:$J$599,MATCH($C123,'Staff Directory'!$B$5:$B$599,0)),$AG123))</f>
        <v>PSW</v>
      </c>
      <c r="AI123" s="102"/>
      <c r="AJ123" s="101">
        <f>IF($F123="","",SUMIFS($J$5:$J123,$F$5:$F123,$F123))</f>
        <v>1000</v>
      </c>
      <c r="AK123" s="101">
        <f t="shared" si="3"/>
        <v>951</v>
      </c>
      <c r="AL123" s="66" t="str" cm="1">
        <f t="array" ref="AL123">IF($F123="","",IFERROR(INDEX('Lot Balance'!$B$5:$B$500,MATCH(1,INDEX(('Lot Balance'!$A$5:$A$500=$F123)*('Lot Balance'!$K$5:$K$500&lt;$AK123)*('Lot Balance'!$K$5:$K$500+'Lot Balance'!$D$5:$D$500&gt;=$AK123),0),0)),""))</f>
        <v>0125FPC24-0</v>
      </c>
      <c r="AM123" s="66" t="str" cm="1">
        <f t="array" ref="AM123">IF($F123="","",IFERROR(INDEX('Lot Balance'!$B$5:$B$500,MATCH(1,INDEX(('Lot Balance'!$A$5:$A$500=$F123)*('Lot Balance'!$K$5:$K$500&lt;$AJ123)*('Lot Balance'!$K$5:$K$500+'Lot Balance'!$D$5:$D$500&gt;=$AJ123),0),0)),""))</f>
        <v>0125FPC24-0</v>
      </c>
      <c r="AN123" s="66" t="str">
        <f>IF($F123="","",IF($AI123&lt;&gt;"",IF(COUNTIFS('Lot Balance'!$A$5:$A$500,$F123,'Lot Balance'!$B$5:$B$500,$AI123)=0,"⚠ override is not a lot of this item",IF($AI123=$AL123,"Override = FEFO","Override - FEFO says "&amp;$AL123)),IF($AL123="","⚠ no receipt on file for this item",IF($AM123&lt;&gt;$AL123,"FEFO auto - split, also "&amp;$AM123,"FEFO auto"))))</f>
        <v>FEFO auto</v>
      </c>
      <c r="AO123" s="114"/>
    </row>
    <row r="124" spans="1:41" x14ac:dyDescent="0.35">
      <c r="A124" s="74">
        <v>46119</v>
      </c>
      <c r="B124" s="18" t="str">
        <f>IF($C124="","",IFERROR(INDEX('Staff Directory'!$A$5:$A$594,MATCH($C124,'Staff Directory'!$B$5:$B$594,0)),"⚠ unknown staff"))</f>
        <v>PSW-023-A6</v>
      </c>
      <c r="C124" s="49" t="s">
        <v>999</v>
      </c>
      <c r="D124" s="19" t="str">
        <f>IF($B124="","",IFERROR(INDEX('Staff Directory'!$C$5:$C$594,MATCH($B124,'Staff Directory'!$A$5:$A$594,0)),""))</f>
        <v>PSW</v>
      </c>
      <c r="E124" s="19" t="str">
        <f>IF($B124="","",IFERROR(INDEX('Staff Directory'!$D$5:$D$594,MATCH($B124,'Staff Directory'!$A$5:$A$594,0)),""))</f>
        <v>A6</v>
      </c>
      <c r="F124" s="9" t="s">
        <v>147</v>
      </c>
      <c r="G124" s="18" t="str">
        <f>IF($F124="","",IFERROR(INDEX(Items!$B$5:$B$597,MATCH($F124,Items!$A$5:$A$597,0)),"⚠ not in Items"))</f>
        <v>Apparel</v>
      </c>
      <c r="H124" s="19" t="str">
        <f>IF($F124="","",IFERROR(INDEX(Items!$C$5:$C$597,MATCH($F124,Items!$A$5:$A$597,0)),""))</f>
        <v>One Size</v>
      </c>
      <c r="I124" s="23">
        <f>IF($F124="","",IFERROR(INDEX(Items!$E$5:$E$597,MATCH($F124,Items!$A$5:$A$597,0)),""))</f>
        <v>5</v>
      </c>
      <c r="J124" s="115">
        <f>IF(tblIssues[[#This Row],[Qty Override]]&lt;&gt;"",tblIssues[[#This Row],[Qty Override]],IF(tblIssues[[#This Row],[Standard Issue]]="","",tblIssues[[#This Row],[Standard Issue]]))</f>
        <v>5</v>
      </c>
      <c r="K124" s="20">
        <f>IF($F124="","",IFERROR(INDEX(Items!$D$5:$D$597,MATCH($F124,Items!$A$5:$A$597,0)),""))</f>
        <v>3</v>
      </c>
      <c r="L124" s="21">
        <f t="shared" si="14"/>
        <v>15</v>
      </c>
      <c r="M124" s="9" t="str">
        <f t="shared" si="15"/>
        <v>YG500280</v>
      </c>
      <c r="N124" s="24">
        <f>IF($A124="","",WORKDAY($A124,Settings!$C$9,HolidayDates))</f>
        <v>46127</v>
      </c>
      <c r="O124" s="24">
        <f>IF($N124="","",WORKDAY($N124,Settings!$C$10,HolidayDates))</f>
        <v>46167</v>
      </c>
      <c r="P124" s="10" t="s">
        <v>501</v>
      </c>
      <c r="Q124" s="52" t="str">
        <f t="shared" si="21"/>
        <v>Collected</v>
      </c>
      <c r="R124" s="55" t="str">
        <f t="shared" si="22"/>
        <v>2026-04</v>
      </c>
      <c r="S124" s="55">
        <f>IF(OR($B124="",$F124="",$R124=""),"",SUMIFS(tblIssues[Qty Issued],tblIssues[Staff ID],$B124,tblIssues[Item Name],$F124,tblIssues[Month],$R124))</f>
        <v>5</v>
      </c>
      <c r="T124" s="56">
        <f>IF($I124="","",$I124*Settings!$C$11)</f>
        <v>5</v>
      </c>
      <c r="U124" s="57" t="str">
        <f t="shared" si="17"/>
        <v>OK</v>
      </c>
      <c r="V124" s="55" t="str">
        <f t="shared" si="23"/>
        <v/>
      </c>
      <c r="W124" s="55" t="str">
        <f>IF($V124="","",IF(COUNTIF($V$5:$V124,$V124)=1,1,""))</f>
        <v/>
      </c>
      <c r="X124" s="58" t="str">
        <f>IF($W124="","",MAX($X$4:X123)+1)</f>
        <v/>
      </c>
      <c r="Y124" s="62"/>
      <c r="Z124" s="62"/>
      <c r="AA124" s="64" t="str">
        <f>IF($C124="","",IFERROR(INDEX('Staff Directory'!$E$5:$E$594,MATCH($C124,'Staff Directory'!$B$5:$B$594,0)),""))</f>
        <v>firstname083.lastname083@example.com</v>
      </c>
      <c r="AB124" s="64" t="str">
        <f>IF($C124="","",IF(ISNUMBER(SEARCH($D124,Settings!$C$15)),"Pickup","Dispatch"))</f>
        <v>Pickup</v>
      </c>
      <c r="AC124" s="64" t="str">
        <f t="shared" si="24"/>
        <v>Supply order ready for pickup</v>
      </c>
      <c r="AD124" s="64" t="str">
        <f t="shared" si="12"/>
        <v>Dear PSW,
Your order is ready for pickup from Sample Branch, Wed-Fri 9am-4pm.</v>
      </c>
      <c r="AE124" s="64" t="str">
        <f t="shared" si="13"/>
        <v>mailto:firstname083.lastname083@example.com?subject=Supply%20order%20ready%20for%20pickup&amp;body=Dear%20PSW%2C%0A%0AYour%20order%20is%20ready%20for%20pickup%20from%20Sample%20Branch%2C%20Wed-Fri%209am-4pm.</v>
      </c>
      <c r="AF124" s="89" t="str">
        <f t="shared" si="25"/>
        <v>Draft email</v>
      </c>
      <c r="AG124" s="64" t="str">
        <f>IF($C124="","",IFERROR(INDEX('Staff Directory'!$K$595:$K$599,MATCH($C124,'Staff Directory'!$B$5:$B$599,0)),$D124))</f>
        <v>PSW</v>
      </c>
      <c r="AH124" t="str">
        <f>IF($C124="","",IFERROR(INDEX('Staff Directory'!$I$595:$I$599,MATCH($C124,'Staff Directory'!$B$5:$B$599,0))&amp;" "&amp;INDEX('Staff Directory'!$J$595:$J$599,MATCH($C124,'Staff Directory'!$B$5:$B$599,0)),$AG124))</f>
        <v>PSW</v>
      </c>
      <c r="AI124" s="102"/>
      <c r="AJ124" s="101">
        <f>IF($F124="","",SUMIFS($J$5:$J124,$F$5:$F124,$F124))</f>
        <v>5</v>
      </c>
      <c r="AK124" s="101">
        <f t="shared" si="3"/>
        <v>1</v>
      </c>
      <c r="AL124" s="66" t="str" cm="1">
        <f t="array" ref="AL124">IF($F124="","",IFERROR(INDEX('Lot Balance'!$B$5:$B$500,MATCH(1,INDEX(('Lot Balance'!$A$5:$A$500=$F124)*('Lot Balance'!$K$5:$K$500&lt;$AK124)*('Lot Balance'!$K$5:$K$500+'Lot Balance'!$D$5:$D$500&gt;=$AK124),0),0)),""))</f>
        <v>YG500280</v>
      </c>
      <c r="AM124" s="66" t="str" cm="1">
        <f t="array" ref="AM124">IF($F124="","",IFERROR(INDEX('Lot Balance'!$B$5:$B$500,MATCH(1,INDEX(('Lot Balance'!$A$5:$A$500=$F124)*('Lot Balance'!$K$5:$K$500&lt;$AJ124)*('Lot Balance'!$K$5:$K$500+'Lot Balance'!$D$5:$D$500&gt;=$AJ124),0),0)),""))</f>
        <v>YG500280</v>
      </c>
      <c r="AN124" s="66" t="str">
        <f>IF($F124="","",IF($AI124&lt;&gt;"",IF(COUNTIFS('Lot Balance'!$A$5:$A$500,$F124,'Lot Balance'!$B$5:$B$500,$AI124)=0,"⚠ override is not a lot of this item",IF($AI124=$AL124,"Override = FEFO","Override - FEFO says "&amp;$AL124)),IF($AL124="","⚠ no receipt on file for this item",IF($AM124&lt;&gt;$AL124,"FEFO auto - split, also "&amp;$AM124,"FEFO auto"))))</f>
        <v>FEFO auto</v>
      </c>
      <c r="AO124" s="114"/>
    </row>
    <row r="125" spans="1:41" x14ac:dyDescent="0.35">
      <c r="A125" s="74">
        <v>46119</v>
      </c>
      <c r="B125" s="18" t="str">
        <f>IF($C125="","",IFERROR(INDEX('Staff Directory'!$A$5:$A$594,MATCH($C125,'Staff Directory'!$B$5:$B$594,0)),"⚠ unknown staff"))</f>
        <v>PSW-023-A6</v>
      </c>
      <c r="C125" s="49" t="s">
        <v>999</v>
      </c>
      <c r="D125" s="19" t="str">
        <f>IF($B125="","",IFERROR(INDEX('Staff Directory'!$C$5:$C$594,MATCH($B125,'Staff Directory'!$A$5:$A$594,0)),""))</f>
        <v>PSW</v>
      </c>
      <c r="E125" s="19" t="str">
        <f>IF($B125="","",IFERROR(INDEX('Staff Directory'!$D$5:$D$594,MATCH($B125,'Staff Directory'!$A$5:$A$594,0)),""))</f>
        <v>A6</v>
      </c>
      <c r="F125" s="9" t="s">
        <v>755</v>
      </c>
      <c r="G125" s="18" t="str">
        <f>IF($F125="","",IFERROR(INDEX(Items!$B$5:$B$597,MATCH($F125,Items!$A$5:$A$597,0)),"⚠ not in Items"))</f>
        <v>Documents</v>
      </c>
      <c r="H125" s="19" t="str">
        <f>IF($F125="","",IFERROR(INDEX(Items!$C$5:$C$597,MATCH($F125,Items!$A$5:$A$597,0)),""))</f>
        <v>Standard</v>
      </c>
      <c r="I125" s="23">
        <f>IF($F125="","",IFERROR(INDEX(Items!$E$5:$E$597,MATCH($F125,Items!$A$5:$A$597,0)),""))</f>
        <v>2</v>
      </c>
      <c r="J125" s="115">
        <f>IF(tblIssues[[#This Row],[Qty Override]]&lt;&gt;"",tblIssues[[#This Row],[Qty Override]],IF(tblIssues[[#This Row],[Standard Issue]]="","",tblIssues[[#This Row],[Standard Issue]]))</f>
        <v>2</v>
      </c>
      <c r="K125" s="20">
        <f>IF($F125="","",IFERROR(INDEX(Items!$D$5:$D$597,MATCH($F125,Items!$A$5:$A$597,0)),""))</f>
        <v>0</v>
      </c>
      <c r="L125" s="21">
        <f t="shared" si="14"/>
        <v>0</v>
      </c>
      <c r="M125" s="9" t="str">
        <f t="shared" si="15"/>
        <v/>
      </c>
      <c r="N125" s="24">
        <f>IF($A125="","",WORKDAY($A125,Settings!$C$9,HolidayDates))</f>
        <v>46127</v>
      </c>
      <c r="O125" s="24">
        <f>IF($N125="","",WORKDAY($N125,Settings!$C$10,HolidayDates))</f>
        <v>46167</v>
      </c>
      <c r="P125" s="10" t="s">
        <v>501</v>
      </c>
      <c r="Q125" s="52" t="str">
        <f t="shared" si="21"/>
        <v>Collected</v>
      </c>
      <c r="R125" s="55" t="str">
        <f t="shared" si="22"/>
        <v>2026-04</v>
      </c>
      <c r="S125" s="55">
        <f>IF(OR($B125="",$F125="",$R125=""),"",SUMIFS(tblIssues[Qty Issued],tblIssues[Staff ID],$B125,tblIssues[Item Name],$F125,tblIssues[Month],$R125))</f>
        <v>2</v>
      </c>
      <c r="T125" s="56">
        <f>IF($I125="","",$I125*Settings!$C$11)</f>
        <v>2</v>
      </c>
      <c r="U125" s="57" t="str">
        <f t="shared" si="17"/>
        <v>OK</v>
      </c>
      <c r="V125" s="55" t="str">
        <f t="shared" si="23"/>
        <v/>
      </c>
      <c r="W125" s="55" t="str">
        <f>IF($V125="","",IF(COUNTIF($V$5:$V125,$V125)=1,1,""))</f>
        <v/>
      </c>
      <c r="X125" s="58" t="str">
        <f>IF($W125="","",MAX($X$4:X124)+1)</f>
        <v/>
      </c>
      <c r="Y125" s="62"/>
      <c r="Z125" s="62"/>
      <c r="AA125" s="64" t="str">
        <f>IF($C125="","",IFERROR(INDEX('Staff Directory'!$E$5:$E$594,MATCH($C125,'Staff Directory'!$B$5:$B$594,0)),""))</f>
        <v>firstname083.lastname083@example.com</v>
      </c>
      <c r="AB125" s="64" t="str">
        <f>IF($C125="","",IF(ISNUMBER(SEARCH($D125,Settings!$C$15)),"Pickup","Dispatch"))</f>
        <v>Pickup</v>
      </c>
      <c r="AC125" s="64" t="str">
        <f t="shared" si="24"/>
        <v>Supply order ready for pickup</v>
      </c>
      <c r="AD125" s="64" t="str">
        <f t="shared" si="12"/>
        <v>Dear PSW,
Your order is ready for pickup from Sample Branch, Wed-Fri 9am-4pm.</v>
      </c>
      <c r="AE125" s="64" t="str">
        <f t="shared" si="13"/>
        <v>mailto:firstname083.lastname083@example.com?subject=Supply%20order%20ready%20for%20pickup&amp;body=Dear%20PSW%2C%0A%0AYour%20order%20is%20ready%20for%20pickup%20from%20Sample%20Branch%2C%20Wed-Fri%209am-4pm.</v>
      </c>
      <c r="AF125" s="89" t="str">
        <f t="shared" si="25"/>
        <v>Draft email</v>
      </c>
      <c r="AG125" s="64" t="str">
        <f>IF($C125="","",IFERROR(INDEX('Staff Directory'!$K$595:$K$599,MATCH($C125,'Staff Directory'!$B$5:$B$599,0)),$D125))</f>
        <v>PSW</v>
      </c>
      <c r="AH125" t="str">
        <f>IF($C125="","",IFERROR(INDEX('Staff Directory'!$I$595:$I$599,MATCH($C125,'Staff Directory'!$B$5:$B$599,0))&amp;" "&amp;INDEX('Staff Directory'!$J$595:$J$599,MATCH($C125,'Staff Directory'!$B$5:$B$599,0)),$AG125))</f>
        <v>PSW</v>
      </c>
      <c r="AI125" s="102"/>
      <c r="AJ125" s="101">
        <f>IF($F125="","",SUMIFS($J$5:$J125,$F$5:$F125,$F125))</f>
        <v>18</v>
      </c>
      <c r="AK125" s="101">
        <f t="shared" si="3"/>
        <v>17</v>
      </c>
      <c r="AL125" s="66" t="str" cm="1">
        <f t="array" ref="AL125">IF($F125="","",IFERROR(INDEX('Lot Balance'!$B$5:$B$500,MATCH(1,INDEX(('Lot Balance'!$A$5:$A$500=$F125)*('Lot Balance'!$K$5:$K$500&lt;$AK125)*('Lot Balance'!$K$5:$K$500+'Lot Balance'!$D$5:$D$500&gt;=$AK125),0),0)),""))</f>
        <v/>
      </c>
      <c r="AM125" s="66" t="str" cm="1">
        <f t="array" ref="AM125">IF($F125="","",IFERROR(INDEX('Lot Balance'!$B$5:$B$500,MATCH(1,INDEX(('Lot Balance'!$A$5:$A$500=$F125)*('Lot Balance'!$K$5:$K$500&lt;$AJ125)*('Lot Balance'!$K$5:$K$500+'Lot Balance'!$D$5:$D$500&gt;=$AJ125),0),0)),""))</f>
        <v/>
      </c>
      <c r="AN125" s="66" t="str">
        <f>IF($F125="","",IF($AI125&lt;&gt;"",IF(COUNTIFS('Lot Balance'!$A$5:$A$500,$F125,'Lot Balance'!$B$5:$B$500,$AI125)=0,"⚠ override is not a lot of this item",IF($AI125=$AL125,"Override = FEFO","Override - FEFO says "&amp;$AL125)),IF($AL125="","⚠ no receipt on file for this item",IF($AM125&lt;&gt;$AL125,"FEFO auto - split, also "&amp;$AM125,"FEFO auto"))))</f>
        <v>⚠ no receipt on file for this item</v>
      </c>
      <c r="AO125" s="114"/>
    </row>
    <row r="126" spans="1:41" x14ac:dyDescent="0.35">
      <c r="A126" s="74">
        <v>46119</v>
      </c>
      <c r="B126" s="18" t="str">
        <f>IF($C126="","",IFERROR(INDEX('Staff Directory'!$A$5:$A$594,MATCH($C126,'Staff Directory'!$B$5:$B$594,0)),"⚠ unknown staff"))</f>
        <v>PSW-082-A5</v>
      </c>
      <c r="C126" s="49" t="s">
        <v>1058</v>
      </c>
      <c r="D126" s="19" t="str">
        <f>IF($B126="","",IFERROR(INDEX('Staff Directory'!$C$5:$C$594,MATCH($B126,'Staff Directory'!$A$5:$A$594,0)),""))</f>
        <v>PSW</v>
      </c>
      <c r="E126" s="19" t="str">
        <f>IF($B126="","",IFERROR(INDEX('Staff Directory'!$D$5:$D$594,MATCH($B126,'Staff Directory'!$A$5:$A$594,0)),""))</f>
        <v>A5</v>
      </c>
      <c r="F126" s="9" t="s">
        <v>124</v>
      </c>
      <c r="G126" s="18" t="str">
        <f>IF($F126="","",IFERROR(INDEX(Items!$B$5:$B$597,MATCH($F126,Items!$A$5:$A$597,0)),"⚠ not in Items"))</f>
        <v>Gloves</v>
      </c>
      <c r="H126" s="19" t="str">
        <f>IF($F126="","",IFERROR(INDEX(Items!$C$5:$C$597,MATCH($F126,Items!$A$5:$A$597,0)),""))</f>
        <v>Large</v>
      </c>
      <c r="I126" s="23">
        <f>IF($F126="","",IFERROR(INDEX(Items!$E$5:$E$597,MATCH($F126,Items!$A$5:$A$597,0)),""))</f>
        <v>500</v>
      </c>
      <c r="J126" s="115">
        <f>IF(tblIssues[[#This Row],[Qty Override]]&lt;&gt;"",tblIssues[[#This Row],[Qty Override]],IF(tblIssues[[#This Row],[Standard Issue]]="","",tblIssues[[#This Row],[Standard Issue]]))</f>
        <v>500</v>
      </c>
      <c r="K126" s="20">
        <f>IF($F126="","",IFERROR(INDEX(Items!$D$5:$D$597,MATCH($F126,Items!$A$5:$A$597,0)),""))</f>
        <v>5.5E-2</v>
      </c>
      <c r="L126" s="21">
        <f t="shared" si="14"/>
        <v>27.5</v>
      </c>
      <c r="M126" s="9" t="str">
        <f t="shared" si="15"/>
        <v>ZIM510135932</v>
      </c>
      <c r="N126" s="24">
        <f>IF($A126="","",WORKDAY($A126,Settings!$C$9,HolidayDates))</f>
        <v>46127</v>
      </c>
      <c r="O126" s="24">
        <f>IF($N126="","",WORKDAY($N126,Settings!$C$10,HolidayDates))</f>
        <v>46167</v>
      </c>
      <c r="P126" s="10" t="s">
        <v>501</v>
      </c>
      <c r="Q126" s="52" t="str">
        <f t="shared" si="21"/>
        <v>Collected</v>
      </c>
      <c r="R126" s="55" t="str">
        <f t="shared" si="22"/>
        <v>2026-04</v>
      </c>
      <c r="S126" s="55">
        <f>IF(OR($B126="",$F126="",$R126=""),"",SUMIFS(tblIssues[Qty Issued],tblIssues[Staff ID],$B126,tblIssues[Item Name],$F126,tblIssues[Month],$R126))</f>
        <v>500</v>
      </c>
      <c r="T126" s="56">
        <f>IF($I126="","",$I126*Settings!$C$11)</f>
        <v>500</v>
      </c>
      <c r="U126" s="57" t="str">
        <f t="shared" si="17"/>
        <v>OK</v>
      </c>
      <c r="V126" s="55" t="str">
        <f t="shared" si="23"/>
        <v/>
      </c>
      <c r="W126" s="55" t="str">
        <f>IF($V126="","",IF(COUNTIF($V$5:$V126,$V126)=1,1,""))</f>
        <v/>
      </c>
      <c r="X126" s="58" t="str">
        <f>IF($W126="","",MAX($X$4:X125)+1)</f>
        <v/>
      </c>
      <c r="Y126" s="62"/>
      <c r="Z126" s="62"/>
      <c r="AA126" s="64" t="str">
        <f>IF($C126="","",IFERROR(INDEX('Staff Directory'!$E$5:$E$594,MATCH($C126,'Staff Directory'!$B$5:$B$594,0)),""))</f>
        <v>firstname142.lastname142@example.com</v>
      </c>
      <c r="AB126" s="64" t="str">
        <f>IF($C126="","",IF(ISNUMBER(SEARCH($D126,Settings!$C$15)),"Pickup","Dispatch"))</f>
        <v>Pickup</v>
      </c>
      <c r="AC126" s="64" t="str">
        <f t="shared" si="24"/>
        <v>Supply order ready for pickup</v>
      </c>
      <c r="AD126" s="64" t="str">
        <f t="shared" si="12"/>
        <v>Dear PSW,
Your order is ready for pickup from Sample Branch, Wed-Fri 9am-4pm.</v>
      </c>
      <c r="AE126" s="64" t="str">
        <f t="shared" si="13"/>
        <v>mailto:firstname142.lastname142@example.com?subject=Supply%20order%20ready%20for%20pickup&amp;body=Dear%20PSW%2C%0A%0AYour%20order%20is%20ready%20for%20pickup%20from%20Sample%20Branch%2C%20Wed-Fri%209am-4pm.</v>
      </c>
      <c r="AF126" s="89" t="str">
        <f t="shared" si="25"/>
        <v>Draft email</v>
      </c>
      <c r="AG126" s="64" t="str">
        <f>IF($C126="","",IFERROR(INDEX('Staff Directory'!$K$595:$K$599,MATCH($C126,'Staff Directory'!$B$5:$B$599,0)),$D126))</f>
        <v>PSW</v>
      </c>
      <c r="AH126" t="str">
        <f>IF($C126="","",IFERROR(INDEX('Staff Directory'!$I$595:$I$599,MATCH($C126,'Staff Directory'!$B$5:$B$599,0))&amp;" "&amp;INDEX('Staff Directory'!$J$595:$J$599,MATCH($C126,'Staff Directory'!$B$5:$B$599,0)),$AG126))</f>
        <v>PSW</v>
      </c>
      <c r="AI126" s="102"/>
      <c r="AJ126" s="101">
        <f>IF($F126="","",SUMIFS($J$5:$J126,$F$5:$F126,$F126))</f>
        <v>3000</v>
      </c>
      <c r="AK126" s="101">
        <f t="shared" si="3"/>
        <v>2501</v>
      </c>
      <c r="AL126" s="66" t="str" cm="1">
        <f t="array" ref="AL126">IF($F126="","",IFERROR(INDEX('Lot Balance'!$B$5:$B$500,MATCH(1,INDEX(('Lot Balance'!$A$5:$A$500=$F126)*('Lot Balance'!$K$5:$K$500&lt;$AK126)*('Lot Balance'!$K$5:$K$500+'Lot Balance'!$D$5:$D$500&gt;=$AK126),0),0)),""))</f>
        <v>ZIM510135932</v>
      </c>
      <c r="AM126" s="66" t="str" cm="1">
        <f t="array" ref="AM126">IF($F126="","",IFERROR(INDEX('Lot Balance'!$B$5:$B$500,MATCH(1,INDEX(('Lot Balance'!$A$5:$A$500=$F126)*('Lot Balance'!$K$5:$K$500&lt;$AJ126)*('Lot Balance'!$K$5:$K$500+'Lot Balance'!$D$5:$D$500&gt;=$AJ126),0),0)),""))</f>
        <v>ZIM510135932</v>
      </c>
      <c r="AN126" s="66" t="str">
        <f>IF($F126="","",IF($AI126&lt;&gt;"",IF(COUNTIFS('Lot Balance'!$A$5:$A$500,$F126,'Lot Balance'!$B$5:$B$500,$AI126)=0,"⚠ override is not a lot of this item",IF($AI126=$AL126,"Override = FEFO","Override - FEFO says "&amp;$AL126)),IF($AL126="","⚠ no receipt on file for this item",IF($AM126&lt;&gt;$AL126,"FEFO auto - split, also "&amp;$AM126,"FEFO auto"))))</f>
        <v>FEFO auto</v>
      </c>
      <c r="AO126" s="114"/>
    </row>
    <row r="127" spans="1:41" x14ac:dyDescent="0.35">
      <c r="A127" s="74">
        <v>46119</v>
      </c>
      <c r="B127" s="18" t="str">
        <f>IF($C127="","",IFERROR(INDEX('Staff Directory'!$A$5:$A$594,MATCH($C127,'Staff Directory'!$B$5:$B$594,0)),"⚠ unknown staff"))</f>
        <v>PSW-082-A5</v>
      </c>
      <c r="C127" s="49" t="s">
        <v>1058</v>
      </c>
      <c r="D127" s="19" t="str">
        <f>IF($B127="","",IFERROR(INDEX('Staff Directory'!$C$5:$C$594,MATCH($B127,'Staff Directory'!$A$5:$A$594,0)),""))</f>
        <v>PSW</v>
      </c>
      <c r="E127" s="19" t="str">
        <f>IF($B127="","",IFERROR(INDEX('Staff Directory'!$D$5:$D$594,MATCH($B127,'Staff Directory'!$A$5:$A$594,0)),""))</f>
        <v>A5</v>
      </c>
      <c r="F127" s="9" t="s">
        <v>137</v>
      </c>
      <c r="G127" s="18" t="str">
        <f>IF($F127="","",IFERROR(INDEX(Items!$B$5:$B$597,MATCH($F127,Items!$A$5:$A$597,0)),"⚠ not in Items"))</f>
        <v>Sanitizer</v>
      </c>
      <c r="H127" s="19" t="str">
        <f>IF($F127="","",IFERROR(INDEX(Items!$C$5:$C$597,MATCH($F127,Items!$A$5:$A$597,0)),""))</f>
        <v>118 ML</v>
      </c>
      <c r="I127" s="23">
        <f>IF($F127="","",IFERROR(INDEX(Items!$E$5:$E$597,MATCH($F127,Items!$A$5:$A$597,0)),""))</f>
        <v>2</v>
      </c>
      <c r="J127" s="115">
        <f>IF(tblIssues[[#This Row],[Qty Override]]&lt;&gt;"",tblIssues[[#This Row],[Qty Override]],IF(tblIssues[[#This Row],[Standard Issue]]="","",tblIssues[[#This Row],[Standard Issue]]))</f>
        <v>2</v>
      </c>
      <c r="K127" s="20">
        <f>IF($F127="","",IFERROR(INDEX(Items!$D$5:$D$597,MATCH($F127,Items!$A$5:$A$597,0)),""))</f>
        <v>4.49</v>
      </c>
      <c r="L127" s="21">
        <f t="shared" si="14"/>
        <v>8.98</v>
      </c>
      <c r="M127" s="9" t="str">
        <f t="shared" si="15"/>
        <v>563963-5</v>
      </c>
      <c r="N127" s="24">
        <f>IF($A127="","",WORKDAY($A127,Settings!$C$9,HolidayDates))</f>
        <v>46127</v>
      </c>
      <c r="O127" s="24">
        <f>IF($N127="","",WORKDAY($N127,Settings!$C$10,HolidayDates))</f>
        <v>46167</v>
      </c>
      <c r="P127" s="10" t="s">
        <v>501</v>
      </c>
      <c r="Q127" s="52" t="str">
        <f t="shared" si="21"/>
        <v>Collected</v>
      </c>
      <c r="R127" s="55" t="str">
        <f t="shared" si="22"/>
        <v>2026-04</v>
      </c>
      <c r="S127" s="55">
        <f>IF(OR($B127="",$F127="",$R127=""),"",SUMIFS(tblIssues[Qty Issued],tblIssues[Staff ID],$B127,tblIssues[Item Name],$F127,tblIssues[Month],$R127))</f>
        <v>2</v>
      </c>
      <c r="T127" s="56">
        <f>IF($I127="","",$I127*Settings!$C$11)</f>
        <v>2</v>
      </c>
      <c r="U127" s="57" t="str">
        <f t="shared" si="17"/>
        <v>OK</v>
      </c>
      <c r="V127" s="55" t="str">
        <f t="shared" si="23"/>
        <v/>
      </c>
      <c r="W127" s="55" t="str">
        <f>IF($V127="","",IF(COUNTIF($V$5:$V127,$V127)=1,1,""))</f>
        <v/>
      </c>
      <c r="X127" s="58" t="str">
        <f>IF($W127="","",MAX($X$4:X126)+1)</f>
        <v/>
      </c>
      <c r="Y127" s="62"/>
      <c r="Z127" s="62"/>
      <c r="AA127" s="64" t="str">
        <f>IF($C127="","",IFERROR(INDEX('Staff Directory'!$E$5:$E$594,MATCH($C127,'Staff Directory'!$B$5:$B$594,0)),""))</f>
        <v>firstname142.lastname142@example.com</v>
      </c>
      <c r="AB127" s="64" t="str">
        <f>IF($C127="","",IF(ISNUMBER(SEARCH($D127,Settings!$C$15)),"Pickup","Dispatch"))</f>
        <v>Pickup</v>
      </c>
      <c r="AC127" s="64" t="str">
        <f t="shared" si="24"/>
        <v>Supply order ready for pickup</v>
      </c>
      <c r="AD127" s="64" t="str">
        <f t="shared" si="12"/>
        <v>Dear PSW,
Your order is ready for pickup from Sample Branch, Wed-Fri 9am-4pm.</v>
      </c>
      <c r="AE127" s="64" t="str">
        <f t="shared" si="13"/>
        <v>mailto:firstname142.lastname142@example.com?subject=Supply%20order%20ready%20for%20pickup&amp;body=Dear%20PSW%2C%0A%0AYour%20order%20is%20ready%20for%20pickup%20from%20Sample%20Branch%2C%20Wed-Fri%209am-4pm.</v>
      </c>
      <c r="AF127" s="89" t="str">
        <f t="shared" si="25"/>
        <v>Draft email</v>
      </c>
      <c r="AG127" s="64" t="str">
        <f>IF($C127="","",IFERROR(INDEX('Staff Directory'!$K$595:$K$599,MATCH($C127,'Staff Directory'!$B$5:$B$599,0)),$D127))</f>
        <v>PSW</v>
      </c>
      <c r="AH127" t="str">
        <f>IF($C127="","",IFERROR(INDEX('Staff Directory'!$I$595:$I$599,MATCH($C127,'Staff Directory'!$B$5:$B$599,0))&amp;" "&amp;INDEX('Staff Directory'!$J$595:$J$599,MATCH($C127,'Staff Directory'!$B$5:$B$599,0)),$AG127))</f>
        <v>PSW</v>
      </c>
      <c r="AI127" s="102"/>
      <c r="AJ127" s="101">
        <f>IF($F127="","",SUMIFS($J$5:$J127,$F$5:$F127,$F127))</f>
        <v>44</v>
      </c>
      <c r="AK127" s="101">
        <f t="shared" si="3"/>
        <v>43</v>
      </c>
      <c r="AL127" s="66" t="str" cm="1">
        <f t="array" ref="AL127">IF($F127="","",IFERROR(INDEX('Lot Balance'!$B$5:$B$500,MATCH(1,INDEX(('Lot Balance'!$A$5:$A$500=$F127)*('Lot Balance'!$K$5:$K$500&lt;$AK127)*('Lot Balance'!$K$5:$K$500+'Lot Balance'!$D$5:$D$500&gt;=$AK127),0),0)),""))</f>
        <v>563963-5</v>
      </c>
      <c r="AM127" s="66" t="str" cm="1">
        <f t="array" ref="AM127">IF($F127="","",IFERROR(INDEX('Lot Balance'!$B$5:$B$500,MATCH(1,INDEX(('Lot Balance'!$A$5:$A$500=$F127)*('Lot Balance'!$K$5:$K$500&lt;$AJ127)*('Lot Balance'!$K$5:$K$500+'Lot Balance'!$D$5:$D$500&gt;=$AJ127),0),0)),""))</f>
        <v>563963-5</v>
      </c>
      <c r="AN127" s="66" t="str">
        <f>IF($F127="","",IF($AI127&lt;&gt;"",IF(COUNTIFS('Lot Balance'!$A$5:$A$500,$F127,'Lot Balance'!$B$5:$B$500,$AI127)=0,"⚠ override is not a lot of this item",IF($AI127=$AL127,"Override = FEFO","Override - FEFO says "&amp;$AL127)),IF($AL127="","⚠ no receipt on file for this item",IF($AM127&lt;&gt;$AL127,"FEFO auto - split, also "&amp;$AM127,"FEFO auto"))))</f>
        <v>FEFO auto</v>
      </c>
      <c r="AO127" s="114"/>
    </row>
    <row r="128" spans="1:41" x14ac:dyDescent="0.35">
      <c r="A128" s="74">
        <v>46119</v>
      </c>
      <c r="B128" s="18" t="str">
        <f>IF($C128="","",IFERROR(INDEX('Staff Directory'!$A$5:$A$594,MATCH($C128,'Staff Directory'!$B$5:$B$594,0)),"⚠ unknown staff"))</f>
        <v>PSW-082-A5</v>
      </c>
      <c r="C128" s="49" t="s">
        <v>1058</v>
      </c>
      <c r="D128" s="19" t="str">
        <f>IF($B128="","",IFERROR(INDEX('Staff Directory'!$C$5:$C$594,MATCH($B128,'Staff Directory'!$A$5:$A$594,0)),""))</f>
        <v>PSW</v>
      </c>
      <c r="E128" s="19" t="str">
        <f>IF($B128="","",IFERROR(INDEX('Staff Directory'!$D$5:$D$594,MATCH($B128,'Staff Directory'!$A$5:$A$594,0)),""))</f>
        <v>A5</v>
      </c>
      <c r="F128" s="9" t="s">
        <v>115</v>
      </c>
      <c r="G128" s="18" t="str">
        <f>IF($F128="","",IFERROR(INDEX(Items!$B$5:$B$597,MATCH($F128,Items!$A$5:$A$597,0)),"⚠ not in Items"))</f>
        <v>Wipes</v>
      </c>
      <c r="H128" s="19">
        <f>IF($F128="","",IFERROR(INDEX(Items!$C$5:$C$597,MATCH($F128,Items!$A$5:$A$597,0)),""))</f>
        <v>80</v>
      </c>
      <c r="I128" s="23">
        <f>IF($F128="","",IFERROR(INDEX(Items!$E$5:$E$597,MATCH($F128,Items!$A$5:$A$597,0)),""))</f>
        <v>80</v>
      </c>
      <c r="J128" s="115">
        <f>IF(tblIssues[[#This Row],[Qty Override]]&lt;&gt;"",tblIssues[[#This Row],[Qty Override]],IF(tblIssues[[#This Row],[Standard Issue]]="","",tblIssues[[#This Row],[Standard Issue]]))</f>
        <v>80</v>
      </c>
      <c r="K128" s="20">
        <f>IF($F128="","",IFERROR(INDEX(Items!$D$5:$D$597,MATCH($F128,Items!$A$5:$A$597,0)),""))</f>
        <v>0.1</v>
      </c>
      <c r="L128" s="21">
        <f t="shared" si="14"/>
        <v>8</v>
      </c>
      <c r="M128" s="9" t="str">
        <f t="shared" si="15"/>
        <v>LYSL500290</v>
      </c>
      <c r="N128" s="24">
        <f>IF($A128="","",WORKDAY($A128,Settings!$C$9,HolidayDates))</f>
        <v>46127</v>
      </c>
      <c r="O128" s="24">
        <f>IF($N128="","",WORKDAY($N128,Settings!$C$10,HolidayDates))</f>
        <v>46167</v>
      </c>
      <c r="P128" s="10" t="s">
        <v>501</v>
      </c>
      <c r="Q128" s="52" t="str">
        <f t="shared" si="21"/>
        <v>Collected</v>
      </c>
      <c r="R128" s="55" t="str">
        <f t="shared" si="22"/>
        <v>2026-04</v>
      </c>
      <c r="S128" s="55">
        <f>IF(OR($B128="",$F128="",$R128=""),"",SUMIFS(tblIssues[Qty Issued],tblIssues[Staff ID],$B128,tblIssues[Item Name],$F128,tblIssues[Month],$R128))</f>
        <v>80</v>
      </c>
      <c r="T128" s="56">
        <f>IF($I128="","",$I128*Settings!$C$11)</f>
        <v>80</v>
      </c>
      <c r="U128" s="57" t="str">
        <f t="shared" si="17"/>
        <v>OK</v>
      </c>
      <c r="V128" s="55" t="str">
        <f t="shared" si="23"/>
        <v/>
      </c>
      <c r="W128" s="55" t="str">
        <f>IF($V128="","",IF(COUNTIF($V$5:$V128,$V128)=1,1,""))</f>
        <v/>
      </c>
      <c r="X128" s="58" t="str">
        <f>IF($W128="","",MAX($X$4:X127)+1)</f>
        <v/>
      </c>
      <c r="Y128" s="62"/>
      <c r="Z128" s="62"/>
      <c r="AA128" s="64" t="str">
        <f>IF($C128="","",IFERROR(INDEX('Staff Directory'!$E$5:$E$594,MATCH($C128,'Staff Directory'!$B$5:$B$594,0)),""))</f>
        <v>firstname142.lastname142@example.com</v>
      </c>
      <c r="AB128" s="64" t="str">
        <f>IF($C128="","",IF(ISNUMBER(SEARCH($D128,Settings!$C$15)),"Pickup","Dispatch"))</f>
        <v>Pickup</v>
      </c>
      <c r="AC128" s="64" t="str">
        <f t="shared" si="24"/>
        <v>Supply order ready for pickup</v>
      </c>
      <c r="AD128" s="64" t="str">
        <f t="shared" si="12"/>
        <v>Dear PSW,
Your order is ready for pickup from Sample Branch, Wed-Fri 9am-4pm.</v>
      </c>
      <c r="AE128" s="64" t="str">
        <f t="shared" si="13"/>
        <v>mailto:firstname142.lastname142@example.com?subject=Supply%20order%20ready%20for%20pickup&amp;body=Dear%20PSW%2C%0A%0AYour%20order%20is%20ready%20for%20pickup%20from%20Sample%20Branch%2C%20Wed-Fri%209am-4pm.</v>
      </c>
      <c r="AF128" s="89" t="str">
        <f t="shared" si="25"/>
        <v>Draft email</v>
      </c>
      <c r="AG128" s="64" t="str">
        <f>IF($C128="","",IFERROR(INDEX('Staff Directory'!$K$595:$K$599,MATCH($C128,'Staff Directory'!$B$5:$B$599,0)),$D128))</f>
        <v>PSW</v>
      </c>
      <c r="AH128" t="str">
        <f>IF($C128="","",IFERROR(INDEX('Staff Directory'!$I$595:$I$599,MATCH($C128,'Staff Directory'!$B$5:$B$599,0))&amp;" "&amp;INDEX('Staff Directory'!$J$595:$J$599,MATCH($C128,'Staff Directory'!$B$5:$B$599,0)),$AG128))</f>
        <v>PSW</v>
      </c>
      <c r="AI128" s="102"/>
      <c r="AJ128" s="101">
        <f>IF($F128="","",SUMIFS($J$5:$J128,$F$5:$F128,$F128))</f>
        <v>2080</v>
      </c>
      <c r="AK128" s="101">
        <f t="shared" si="3"/>
        <v>2001</v>
      </c>
      <c r="AL128" s="66" t="str" cm="1">
        <f t="array" ref="AL128">IF($F128="","",IFERROR(INDEX('Lot Balance'!$B$5:$B$500,MATCH(1,INDEX(('Lot Balance'!$A$5:$A$500=$F128)*('Lot Balance'!$K$5:$K$500&lt;$AK128)*('Lot Balance'!$K$5:$K$500+'Lot Balance'!$D$5:$D$500&gt;=$AK128),0),0)),""))</f>
        <v>LYSL500290</v>
      </c>
      <c r="AM128" s="66" t="str" cm="1">
        <f t="array" ref="AM128">IF($F128="","",IFERROR(INDEX('Lot Balance'!$B$5:$B$500,MATCH(1,INDEX(('Lot Balance'!$A$5:$A$500=$F128)*('Lot Balance'!$K$5:$K$500&lt;$AJ128)*('Lot Balance'!$K$5:$K$500+'Lot Balance'!$D$5:$D$500&gt;=$AJ128),0),0)),""))</f>
        <v>LYSL500290</v>
      </c>
      <c r="AN128" s="66" t="str">
        <f>IF($F128="","",IF($AI128&lt;&gt;"",IF(COUNTIFS('Lot Balance'!$A$5:$A$500,$F128,'Lot Balance'!$B$5:$B$500,$AI128)=0,"⚠ override is not a lot of this item",IF($AI128=$AL128,"Override = FEFO","Override - FEFO says "&amp;$AL128)),IF($AL128="","⚠ no receipt on file for this item",IF($AM128&lt;&gt;$AL128,"FEFO auto - split, also "&amp;$AM128,"FEFO auto"))))</f>
        <v>FEFO auto</v>
      </c>
      <c r="AO128" s="114"/>
    </row>
    <row r="129" spans="1:41" x14ac:dyDescent="0.35">
      <c r="A129" s="74">
        <v>46119</v>
      </c>
      <c r="B129" s="18" t="str">
        <f>IF($C129="","",IFERROR(INDEX('Staff Directory'!$A$5:$A$594,MATCH($C129,'Staff Directory'!$B$5:$B$594,0)),"⚠ unknown staff"))</f>
        <v>PSW-082-A5</v>
      </c>
      <c r="C129" s="49" t="s">
        <v>1058</v>
      </c>
      <c r="D129" s="19" t="str">
        <f>IF($B129="","",IFERROR(INDEX('Staff Directory'!$C$5:$C$594,MATCH($B129,'Staff Directory'!$A$5:$A$594,0)),""))</f>
        <v>PSW</v>
      </c>
      <c r="E129" s="19" t="str">
        <f>IF($B129="","",IFERROR(INDEX('Staff Directory'!$D$5:$D$594,MATCH($B129,'Staff Directory'!$A$5:$A$594,0)),""))</f>
        <v>A5</v>
      </c>
      <c r="F129" s="9" t="s">
        <v>755</v>
      </c>
      <c r="G129" s="18" t="str">
        <f>IF($F129="","",IFERROR(INDEX(Items!$B$5:$B$597,MATCH($F129,Items!$A$5:$A$597,0)),"⚠ not in Items"))</f>
        <v>Documents</v>
      </c>
      <c r="H129" s="19" t="str">
        <f>IF($F129="","",IFERROR(INDEX(Items!$C$5:$C$597,MATCH($F129,Items!$A$5:$A$597,0)),""))</f>
        <v>Standard</v>
      </c>
      <c r="I129" s="23">
        <f>IF($F129="","",IFERROR(INDEX(Items!$E$5:$E$597,MATCH($F129,Items!$A$5:$A$597,0)),""))</f>
        <v>2</v>
      </c>
      <c r="J129" s="115">
        <f>IF(tblIssues[[#This Row],[Qty Override]]&lt;&gt;"",tblIssues[[#This Row],[Qty Override]],IF(tblIssues[[#This Row],[Standard Issue]]="","",tblIssues[[#This Row],[Standard Issue]]))</f>
        <v>2</v>
      </c>
      <c r="K129" s="20">
        <f>IF($F129="","",IFERROR(INDEX(Items!$D$5:$D$597,MATCH($F129,Items!$A$5:$A$597,0)),""))</f>
        <v>0</v>
      </c>
      <c r="L129" s="21">
        <f t="shared" si="14"/>
        <v>0</v>
      </c>
      <c r="M129" s="9" t="str">
        <f t="shared" si="15"/>
        <v/>
      </c>
      <c r="N129" s="24">
        <f>IF($A129="","",WORKDAY($A129,Settings!$C$9,HolidayDates))</f>
        <v>46127</v>
      </c>
      <c r="O129" s="24">
        <f>IF($N129="","",WORKDAY($N129,Settings!$C$10,HolidayDates))</f>
        <v>46167</v>
      </c>
      <c r="P129" s="10" t="s">
        <v>501</v>
      </c>
      <c r="Q129" s="52" t="str">
        <f t="shared" si="21"/>
        <v>Collected</v>
      </c>
      <c r="R129" s="55" t="str">
        <f t="shared" si="22"/>
        <v>2026-04</v>
      </c>
      <c r="S129" s="55">
        <f>IF(OR($B129="",$F129="",$R129=""),"",SUMIFS(tblIssues[Qty Issued],tblIssues[Staff ID],$B129,tblIssues[Item Name],$F129,tblIssues[Month],$R129))</f>
        <v>2</v>
      </c>
      <c r="T129" s="56">
        <f>IF($I129="","",$I129*Settings!$C$11)</f>
        <v>2</v>
      </c>
      <c r="U129" s="57" t="str">
        <f t="shared" si="17"/>
        <v>OK</v>
      </c>
      <c r="V129" s="55" t="str">
        <f t="shared" si="23"/>
        <v/>
      </c>
      <c r="W129" s="55" t="str">
        <f>IF($V129="","",IF(COUNTIF($V$5:$V129,$V129)=1,1,""))</f>
        <v/>
      </c>
      <c r="X129" s="58" t="str">
        <f>IF($W129="","",MAX($X$4:X128)+1)</f>
        <v/>
      </c>
      <c r="Y129" s="62"/>
      <c r="Z129" s="62"/>
      <c r="AA129" s="64" t="str">
        <f>IF($C129="","",IFERROR(INDEX('Staff Directory'!$E$5:$E$594,MATCH($C129,'Staff Directory'!$B$5:$B$594,0)),""))</f>
        <v>firstname142.lastname142@example.com</v>
      </c>
      <c r="AB129" s="64" t="str">
        <f>IF($C129="","",IF(ISNUMBER(SEARCH($D129,Settings!$C$15)),"Pickup","Dispatch"))</f>
        <v>Pickup</v>
      </c>
      <c r="AC129" s="64" t="str">
        <f t="shared" si="24"/>
        <v>Supply order ready for pickup</v>
      </c>
      <c r="AD129" s="64" t="str">
        <f t="shared" si="12"/>
        <v>Dear PSW,
Your order is ready for pickup from Sample Branch, Wed-Fri 9am-4pm.</v>
      </c>
      <c r="AE129" s="64" t="str">
        <f t="shared" si="13"/>
        <v>mailto:firstname142.lastname142@example.com?subject=Supply%20order%20ready%20for%20pickup&amp;body=Dear%20PSW%2C%0A%0AYour%20order%20is%20ready%20for%20pickup%20from%20Sample%20Branch%2C%20Wed-Fri%209am-4pm.</v>
      </c>
      <c r="AF129" s="89" t="str">
        <f t="shared" si="25"/>
        <v>Draft email</v>
      </c>
      <c r="AG129" s="64" t="str">
        <f>IF($C129="","",IFERROR(INDEX('Staff Directory'!$K$595:$K$599,MATCH($C129,'Staff Directory'!$B$5:$B$599,0)),$D129))</f>
        <v>PSW</v>
      </c>
      <c r="AH129" t="str">
        <f>IF($C129="","",IFERROR(INDEX('Staff Directory'!$I$595:$I$599,MATCH($C129,'Staff Directory'!$B$5:$B$599,0))&amp;" "&amp;INDEX('Staff Directory'!$J$595:$J$599,MATCH($C129,'Staff Directory'!$B$5:$B$599,0)),$AG129))</f>
        <v>PSW</v>
      </c>
      <c r="AI129" s="102"/>
      <c r="AJ129" s="101">
        <f>IF($F129="","",SUMIFS($J$5:$J129,$F$5:$F129,$F129))</f>
        <v>20</v>
      </c>
      <c r="AK129" s="101">
        <f t="shared" si="3"/>
        <v>19</v>
      </c>
      <c r="AL129" s="66" t="str" cm="1">
        <f t="array" ref="AL129">IF($F129="","",IFERROR(INDEX('Lot Balance'!$B$5:$B$500,MATCH(1,INDEX(('Lot Balance'!$A$5:$A$500=$F129)*('Lot Balance'!$K$5:$K$500&lt;$AK129)*('Lot Balance'!$K$5:$K$500+'Lot Balance'!$D$5:$D$500&gt;=$AK129),0),0)),""))</f>
        <v/>
      </c>
      <c r="AM129" s="66" t="str" cm="1">
        <f t="array" ref="AM129">IF($F129="","",IFERROR(INDEX('Lot Balance'!$B$5:$B$500,MATCH(1,INDEX(('Lot Balance'!$A$5:$A$500=$F129)*('Lot Balance'!$K$5:$K$500&lt;$AJ129)*('Lot Balance'!$K$5:$K$500+'Lot Balance'!$D$5:$D$500&gt;=$AJ129),0),0)),""))</f>
        <v/>
      </c>
      <c r="AN129" s="66" t="str">
        <f>IF($F129="","",IF($AI129&lt;&gt;"",IF(COUNTIFS('Lot Balance'!$A$5:$A$500,$F129,'Lot Balance'!$B$5:$B$500,$AI129)=0,"⚠ override is not a lot of this item",IF($AI129=$AL129,"Override = FEFO","Override - FEFO says "&amp;$AL129)),IF($AL129="","⚠ no receipt on file for this item",IF($AM129&lt;&gt;$AL129,"FEFO auto - split, also "&amp;$AM129,"FEFO auto"))))</f>
        <v>⚠ no receipt on file for this item</v>
      </c>
      <c r="AO129" s="114"/>
    </row>
    <row r="130" spans="1:41" x14ac:dyDescent="0.35">
      <c r="A130" s="74">
        <v>46119</v>
      </c>
      <c r="B130" s="18" t="str">
        <f>IF($C130="","",IFERROR(INDEX('Staff Directory'!$A$5:$A$594,MATCH($C130,'Staff Directory'!$B$5:$B$594,0)),"⚠ unknown staff"))</f>
        <v>PSW-047-A5</v>
      </c>
      <c r="C130" s="49" t="s">
        <v>1023</v>
      </c>
      <c r="D130" s="19" t="str">
        <f>IF($B130="","",IFERROR(INDEX('Staff Directory'!$C$5:$C$594,MATCH($B130,'Staff Directory'!$A$5:$A$594,0)),""))</f>
        <v>PSW</v>
      </c>
      <c r="E130" s="19" t="str">
        <f>IF($B130="","",IFERROR(INDEX('Staff Directory'!$D$5:$D$594,MATCH($B130,'Staff Directory'!$A$5:$A$594,0)),""))</f>
        <v>A5</v>
      </c>
      <c r="F130" s="9" t="s">
        <v>124</v>
      </c>
      <c r="G130" s="18" t="str">
        <f>IF($F130="","",IFERROR(INDEX(Items!$B$5:$B$597,MATCH($F130,Items!$A$5:$A$597,0)),"⚠ not in Items"))</f>
        <v>Gloves</v>
      </c>
      <c r="H130" s="19" t="str">
        <f>IF($F130="","",IFERROR(INDEX(Items!$C$5:$C$597,MATCH($F130,Items!$A$5:$A$597,0)),""))</f>
        <v>Large</v>
      </c>
      <c r="I130" s="23">
        <f>IF($F130="","",IFERROR(INDEX(Items!$E$5:$E$597,MATCH($F130,Items!$A$5:$A$597,0)),""))</f>
        <v>500</v>
      </c>
      <c r="J130" s="115">
        <f>IF(tblIssues[[#This Row],[Qty Override]]&lt;&gt;"",tblIssues[[#This Row],[Qty Override]],IF(tblIssues[[#This Row],[Standard Issue]]="","",tblIssues[[#This Row],[Standard Issue]]))</f>
        <v>500</v>
      </c>
      <c r="K130" s="20">
        <f>IF($F130="","",IFERROR(INDEX(Items!$D$5:$D$597,MATCH($F130,Items!$A$5:$A$597,0)),""))</f>
        <v>5.5E-2</v>
      </c>
      <c r="L130" s="21">
        <f t="shared" si="14"/>
        <v>27.5</v>
      </c>
      <c r="M130" s="9" t="str">
        <f t="shared" si="15"/>
        <v>ZIM510135932</v>
      </c>
      <c r="N130" s="24">
        <f>IF($A130="","",WORKDAY($A130,Settings!$C$9,HolidayDates))</f>
        <v>46127</v>
      </c>
      <c r="O130" s="24">
        <f>IF($N130="","",WORKDAY($N130,Settings!$C$10,HolidayDates))</f>
        <v>46167</v>
      </c>
      <c r="P130" s="10" t="s">
        <v>501</v>
      </c>
      <c r="Q130" s="52" t="str">
        <f t="shared" si="21"/>
        <v>Collected</v>
      </c>
      <c r="R130" s="55" t="str">
        <f t="shared" si="22"/>
        <v>2026-04</v>
      </c>
      <c r="S130" s="55">
        <f>IF(OR($B130="",$F130="",$R130=""),"",SUMIFS(tblIssues[Qty Issued],tblIssues[Staff ID],$B130,tblIssues[Item Name],$F130,tblIssues[Month],$R130))</f>
        <v>500</v>
      </c>
      <c r="T130" s="56">
        <f>IF($I130="","",$I130*Settings!$C$11)</f>
        <v>500</v>
      </c>
      <c r="U130" s="57" t="str">
        <f t="shared" si="17"/>
        <v>OK</v>
      </c>
      <c r="V130" s="55" t="str">
        <f t="shared" si="23"/>
        <v/>
      </c>
      <c r="W130" s="55" t="str">
        <f>IF($V130="","",IF(COUNTIF($V$5:$V130,$V130)=1,1,""))</f>
        <v/>
      </c>
      <c r="X130" s="58" t="str">
        <f>IF($W130="","",MAX($X$4:X129)+1)</f>
        <v/>
      </c>
      <c r="Y130" s="62"/>
      <c r="Z130" s="62"/>
      <c r="AA130" s="64" t="str">
        <f>IF($C130="","",IFERROR(INDEX('Staff Directory'!$E$5:$E$594,MATCH($C130,'Staff Directory'!$B$5:$B$594,0)),""))</f>
        <v>firstname107.lastname107@example.com</v>
      </c>
      <c r="AB130" s="64" t="str">
        <f>IF($C130="","",IF(ISNUMBER(SEARCH($D130,Settings!$C$15)),"Pickup","Dispatch"))</f>
        <v>Pickup</v>
      </c>
      <c r="AC130" s="64" t="str">
        <f t="shared" si="24"/>
        <v>Supply order ready for pickup</v>
      </c>
      <c r="AD130" s="64" t="str">
        <f t="shared" si="12"/>
        <v>Dear PSW,
Your order is ready for pickup from Sample Branch, Wed-Fri 9am-4pm.</v>
      </c>
      <c r="AE130" s="64" t="str">
        <f t="shared" si="13"/>
        <v>mailto:firstname107.lastname107@example.com?subject=Supply%20order%20ready%20for%20pickup&amp;body=Dear%20PSW%2C%0A%0AYour%20order%20is%20ready%20for%20pickup%20from%20Sample%20Branch%2C%20Wed-Fri%209am-4pm.</v>
      </c>
      <c r="AF130" s="89" t="str">
        <f t="shared" si="25"/>
        <v>Draft email</v>
      </c>
      <c r="AG130" s="64" t="str">
        <f>IF($C130="","",IFERROR(INDEX('Staff Directory'!$K$595:$K$599,MATCH($C130,'Staff Directory'!$B$5:$B$599,0)),$D130))</f>
        <v>PSW</v>
      </c>
      <c r="AH130" t="str">
        <f>IF($C130="","",IFERROR(INDEX('Staff Directory'!$I$595:$I$599,MATCH($C130,'Staff Directory'!$B$5:$B$599,0))&amp;" "&amp;INDEX('Staff Directory'!$J$595:$J$599,MATCH($C130,'Staff Directory'!$B$5:$B$599,0)),$AG130))</f>
        <v>PSW</v>
      </c>
      <c r="AI130" s="102"/>
      <c r="AJ130" s="101">
        <f>IF($F130="","",SUMIFS($J$5:$J130,$F$5:$F130,$F130))</f>
        <v>3500</v>
      </c>
      <c r="AK130" s="101">
        <f t="shared" si="3"/>
        <v>3001</v>
      </c>
      <c r="AL130" s="66" t="str" cm="1">
        <f t="array" ref="AL130">IF($F130="","",IFERROR(INDEX('Lot Balance'!$B$5:$B$500,MATCH(1,INDEX(('Lot Balance'!$A$5:$A$500=$F130)*('Lot Balance'!$K$5:$K$500&lt;$AK130)*('Lot Balance'!$K$5:$K$500+'Lot Balance'!$D$5:$D$500&gt;=$AK130),0),0)),""))</f>
        <v>ZIM510135932</v>
      </c>
      <c r="AM130" s="66" t="str" cm="1">
        <f t="array" ref="AM130">IF($F130="","",IFERROR(INDEX('Lot Balance'!$B$5:$B$500,MATCH(1,INDEX(('Lot Balance'!$A$5:$A$500=$F130)*('Lot Balance'!$K$5:$K$500&lt;$AJ130)*('Lot Balance'!$K$5:$K$500+'Lot Balance'!$D$5:$D$500&gt;=$AJ130),0),0)),""))</f>
        <v>ZIM510135932</v>
      </c>
      <c r="AN130" s="66" t="str">
        <f>IF($F130="","",IF($AI130&lt;&gt;"",IF(COUNTIFS('Lot Balance'!$A$5:$A$500,$F130,'Lot Balance'!$B$5:$B$500,$AI130)=0,"⚠ override is not a lot of this item",IF($AI130=$AL130,"Override = FEFO","Override - FEFO says "&amp;$AL130)),IF($AL130="","⚠ no receipt on file for this item",IF($AM130&lt;&gt;$AL130,"FEFO auto - split, also "&amp;$AM130,"FEFO auto"))))</f>
        <v>FEFO auto</v>
      </c>
      <c r="AO130" s="114"/>
    </row>
    <row r="131" spans="1:41" x14ac:dyDescent="0.35">
      <c r="A131" s="74">
        <v>46119</v>
      </c>
      <c r="B131" s="18" t="str">
        <f>IF($C131="","",IFERROR(INDEX('Staff Directory'!$A$5:$A$594,MATCH($C131,'Staff Directory'!$B$5:$B$594,0)),"⚠ unknown staff"))</f>
        <v>PSW-047-A5</v>
      </c>
      <c r="C131" s="49" t="s">
        <v>1023</v>
      </c>
      <c r="D131" s="19" t="str">
        <f>IF($B131="","",IFERROR(INDEX('Staff Directory'!$C$5:$C$594,MATCH($B131,'Staff Directory'!$A$5:$A$594,0)),""))</f>
        <v>PSW</v>
      </c>
      <c r="E131" s="19" t="str">
        <f>IF($B131="","",IFERROR(INDEX('Staff Directory'!$D$5:$D$594,MATCH($B131,'Staff Directory'!$A$5:$A$594,0)),""))</f>
        <v>A5</v>
      </c>
      <c r="F131" s="9" t="s">
        <v>137</v>
      </c>
      <c r="G131" s="18" t="str">
        <f>IF($F131="","",IFERROR(INDEX(Items!$B$5:$B$597,MATCH($F131,Items!$A$5:$A$597,0)),"⚠ not in Items"))</f>
        <v>Sanitizer</v>
      </c>
      <c r="H131" s="19" t="str">
        <f>IF($F131="","",IFERROR(INDEX(Items!$C$5:$C$597,MATCH($F131,Items!$A$5:$A$597,0)),""))</f>
        <v>118 ML</v>
      </c>
      <c r="I131" s="23">
        <f>IF($F131="","",IFERROR(INDEX(Items!$E$5:$E$597,MATCH($F131,Items!$A$5:$A$597,0)),""))</f>
        <v>2</v>
      </c>
      <c r="J131" s="115">
        <f>IF(tblIssues[[#This Row],[Qty Override]]&lt;&gt;"",tblIssues[[#This Row],[Qty Override]],IF(tblIssues[[#This Row],[Standard Issue]]="","",tblIssues[[#This Row],[Standard Issue]]))</f>
        <v>2</v>
      </c>
      <c r="K131" s="20">
        <f>IF($F131="","",IFERROR(INDEX(Items!$D$5:$D$597,MATCH($F131,Items!$A$5:$A$597,0)),""))</f>
        <v>4.49</v>
      </c>
      <c r="L131" s="21">
        <f t="shared" si="14"/>
        <v>8.98</v>
      </c>
      <c r="M131" s="9" t="str">
        <f t="shared" si="15"/>
        <v>563963-5</v>
      </c>
      <c r="N131" s="24">
        <f>IF($A131="","",WORKDAY($A131,Settings!$C$9,HolidayDates))</f>
        <v>46127</v>
      </c>
      <c r="O131" s="24">
        <f>IF($N131="","",WORKDAY($N131,Settings!$C$10,HolidayDates))</f>
        <v>46167</v>
      </c>
      <c r="P131" s="10" t="s">
        <v>501</v>
      </c>
      <c r="Q131" s="52" t="str">
        <f t="shared" si="21"/>
        <v>Collected</v>
      </c>
      <c r="R131" s="55" t="str">
        <f t="shared" si="22"/>
        <v>2026-04</v>
      </c>
      <c r="S131" s="55">
        <f>IF(OR($B131="",$F131="",$R131=""),"",SUMIFS(tblIssues[Qty Issued],tblIssues[Staff ID],$B131,tblIssues[Item Name],$F131,tblIssues[Month],$R131))</f>
        <v>2</v>
      </c>
      <c r="T131" s="56">
        <f>IF($I131="","",$I131*Settings!$C$11)</f>
        <v>2</v>
      </c>
      <c r="U131" s="57" t="str">
        <f t="shared" si="17"/>
        <v>OK</v>
      </c>
      <c r="V131" s="55" t="str">
        <f t="shared" si="23"/>
        <v/>
      </c>
      <c r="W131" s="55" t="str">
        <f>IF($V131="","",IF(COUNTIF($V$5:$V131,$V131)=1,1,""))</f>
        <v/>
      </c>
      <c r="X131" s="58" t="str">
        <f>IF($W131="","",MAX($X$4:X130)+1)</f>
        <v/>
      </c>
      <c r="Y131" s="62"/>
      <c r="Z131" s="62"/>
      <c r="AA131" s="64" t="str">
        <f>IF($C131="","",IFERROR(INDEX('Staff Directory'!$E$5:$E$594,MATCH($C131,'Staff Directory'!$B$5:$B$594,0)),""))</f>
        <v>firstname107.lastname107@example.com</v>
      </c>
      <c r="AB131" s="64" t="str">
        <f>IF($C131="","",IF(ISNUMBER(SEARCH($D131,Settings!$C$15)),"Pickup","Dispatch"))</f>
        <v>Pickup</v>
      </c>
      <c r="AC131" s="64" t="str">
        <f t="shared" si="24"/>
        <v>Supply order ready for pickup</v>
      </c>
      <c r="AD131" s="64" t="str">
        <f t="shared" si="12"/>
        <v>Dear PSW,
Your order is ready for pickup from Sample Branch, Wed-Fri 9am-4pm.</v>
      </c>
      <c r="AE131" s="64" t="str">
        <f t="shared" si="13"/>
        <v>mailto:firstname107.lastname107@example.com?subject=Supply%20order%20ready%20for%20pickup&amp;body=Dear%20PSW%2C%0A%0AYour%20order%20is%20ready%20for%20pickup%20from%20Sample%20Branch%2C%20Wed-Fri%209am-4pm.</v>
      </c>
      <c r="AF131" s="89" t="str">
        <f t="shared" si="25"/>
        <v>Draft email</v>
      </c>
      <c r="AG131" s="64" t="str">
        <f>IF($C131="","",IFERROR(INDEX('Staff Directory'!$K$595:$K$599,MATCH($C131,'Staff Directory'!$B$5:$B$599,0)),$D131))</f>
        <v>PSW</v>
      </c>
      <c r="AH131" t="str">
        <f>IF($C131="","",IFERROR(INDEX('Staff Directory'!$I$595:$I$599,MATCH($C131,'Staff Directory'!$B$5:$B$599,0))&amp;" "&amp;INDEX('Staff Directory'!$J$595:$J$599,MATCH($C131,'Staff Directory'!$B$5:$B$599,0)),$AG131))</f>
        <v>PSW</v>
      </c>
      <c r="AI131" s="102"/>
      <c r="AJ131" s="101">
        <f>IF($F131="","",SUMIFS($J$5:$J131,$F$5:$F131,$F131))</f>
        <v>46</v>
      </c>
      <c r="AK131" s="101">
        <f t="shared" si="3"/>
        <v>45</v>
      </c>
      <c r="AL131" s="66" t="str" cm="1">
        <f t="array" ref="AL131">IF($F131="","",IFERROR(INDEX('Lot Balance'!$B$5:$B$500,MATCH(1,INDEX(('Lot Balance'!$A$5:$A$500=$F131)*('Lot Balance'!$K$5:$K$500&lt;$AK131)*('Lot Balance'!$K$5:$K$500+'Lot Balance'!$D$5:$D$500&gt;=$AK131),0),0)),""))</f>
        <v>563963-5</v>
      </c>
      <c r="AM131" s="66" t="str" cm="1">
        <f t="array" ref="AM131">IF($F131="","",IFERROR(INDEX('Lot Balance'!$B$5:$B$500,MATCH(1,INDEX(('Lot Balance'!$A$5:$A$500=$F131)*('Lot Balance'!$K$5:$K$500&lt;$AJ131)*('Lot Balance'!$K$5:$K$500+'Lot Balance'!$D$5:$D$500&gt;=$AJ131),0),0)),""))</f>
        <v>563963-5</v>
      </c>
      <c r="AN131" s="66" t="str">
        <f>IF($F131="","",IF($AI131&lt;&gt;"",IF(COUNTIFS('Lot Balance'!$A$5:$A$500,$F131,'Lot Balance'!$B$5:$B$500,$AI131)=0,"⚠ override is not a lot of this item",IF($AI131=$AL131,"Override = FEFO","Override - FEFO says "&amp;$AL131)),IF($AL131="","⚠ no receipt on file for this item",IF($AM131&lt;&gt;$AL131,"FEFO auto - split, also "&amp;$AM131,"FEFO auto"))))</f>
        <v>FEFO auto</v>
      </c>
      <c r="AO131" s="114"/>
    </row>
    <row r="132" spans="1:41" x14ac:dyDescent="0.35">
      <c r="A132" s="74">
        <v>46119</v>
      </c>
      <c r="B132" s="18" t="str">
        <f>IF($C132="","",IFERROR(INDEX('Staff Directory'!$A$5:$A$594,MATCH($C132,'Staff Directory'!$B$5:$B$594,0)),"⚠ unknown staff"))</f>
        <v>PSW-047-A5</v>
      </c>
      <c r="C132" s="49" t="s">
        <v>1023</v>
      </c>
      <c r="D132" s="19" t="str">
        <f>IF($B132="","",IFERROR(INDEX('Staff Directory'!$C$5:$C$594,MATCH($B132,'Staff Directory'!$A$5:$A$594,0)),""))</f>
        <v>PSW</v>
      </c>
      <c r="E132" s="19" t="str">
        <f>IF($B132="","",IFERROR(INDEX('Staff Directory'!$D$5:$D$594,MATCH($B132,'Staff Directory'!$A$5:$A$594,0)),""))</f>
        <v>A5</v>
      </c>
      <c r="F132" s="9" t="s">
        <v>115</v>
      </c>
      <c r="G132" s="18" t="str">
        <f>IF($F132="","",IFERROR(INDEX(Items!$B$5:$B$597,MATCH($F132,Items!$A$5:$A$597,0)),"⚠ not in Items"))</f>
        <v>Wipes</v>
      </c>
      <c r="H132" s="19">
        <f>IF($F132="","",IFERROR(INDEX(Items!$C$5:$C$597,MATCH($F132,Items!$A$5:$A$597,0)),""))</f>
        <v>80</v>
      </c>
      <c r="I132" s="23">
        <f>IF($F132="","",IFERROR(INDEX(Items!$E$5:$E$597,MATCH($F132,Items!$A$5:$A$597,0)),""))</f>
        <v>80</v>
      </c>
      <c r="J132" s="115">
        <f>IF(tblIssues[[#This Row],[Qty Override]]&lt;&gt;"",tblIssues[[#This Row],[Qty Override]],IF(tblIssues[[#This Row],[Standard Issue]]="","",tblIssues[[#This Row],[Standard Issue]]))</f>
        <v>80</v>
      </c>
      <c r="K132" s="20">
        <f>IF($F132="","",IFERROR(INDEX(Items!$D$5:$D$597,MATCH($F132,Items!$A$5:$A$597,0)),""))</f>
        <v>0.1</v>
      </c>
      <c r="L132" s="21">
        <f t="shared" si="14"/>
        <v>8</v>
      </c>
      <c r="M132" s="9" t="str">
        <f t="shared" si="15"/>
        <v>LYSL500290</v>
      </c>
      <c r="N132" s="24">
        <f>IF($A132="","",WORKDAY($A132,Settings!$C$9,HolidayDates))</f>
        <v>46127</v>
      </c>
      <c r="O132" s="24">
        <f>IF($N132="","",WORKDAY($N132,Settings!$C$10,HolidayDates))</f>
        <v>46167</v>
      </c>
      <c r="P132" s="10" t="s">
        <v>501</v>
      </c>
      <c r="Q132" s="52" t="str">
        <f t="shared" si="21"/>
        <v>Collected</v>
      </c>
      <c r="R132" s="55" t="str">
        <f t="shared" si="22"/>
        <v>2026-04</v>
      </c>
      <c r="S132" s="55">
        <f>IF(OR($B132="",$F132="",$R132=""),"",SUMIFS(tblIssues[Qty Issued],tblIssues[Staff ID],$B132,tblIssues[Item Name],$F132,tblIssues[Month],$R132))</f>
        <v>80</v>
      </c>
      <c r="T132" s="56">
        <f>IF($I132="","",$I132*Settings!$C$11)</f>
        <v>80</v>
      </c>
      <c r="U132" s="57" t="str">
        <f t="shared" si="17"/>
        <v>OK</v>
      </c>
      <c r="V132" s="55" t="str">
        <f t="shared" si="23"/>
        <v/>
      </c>
      <c r="W132" s="55" t="str">
        <f>IF($V132="","",IF(COUNTIF($V$5:$V132,$V132)=1,1,""))</f>
        <v/>
      </c>
      <c r="X132" s="58" t="str">
        <f>IF($W132="","",MAX($X$4:X131)+1)</f>
        <v/>
      </c>
      <c r="Y132" s="62"/>
      <c r="Z132" s="62"/>
      <c r="AA132" s="64" t="str">
        <f>IF($C132="","",IFERROR(INDEX('Staff Directory'!$E$5:$E$594,MATCH($C132,'Staff Directory'!$B$5:$B$594,0)),""))</f>
        <v>firstname107.lastname107@example.com</v>
      </c>
      <c r="AB132" s="64" t="str">
        <f>IF($C132="","",IF(ISNUMBER(SEARCH($D132,Settings!$C$15)),"Pickup","Dispatch"))</f>
        <v>Pickup</v>
      </c>
      <c r="AC132" s="64" t="str">
        <f t="shared" si="24"/>
        <v>Supply order ready for pickup</v>
      </c>
      <c r="AD132" s="64" t="str">
        <f t="shared" si="12"/>
        <v>Dear PSW,
Your order is ready for pickup from Sample Branch, Wed-Fri 9am-4pm.</v>
      </c>
      <c r="AE132" s="64" t="str">
        <f t="shared" si="13"/>
        <v>mailto:firstname107.lastname107@example.com?subject=Supply%20order%20ready%20for%20pickup&amp;body=Dear%20PSW%2C%0A%0AYour%20order%20is%20ready%20for%20pickup%20from%20Sample%20Branch%2C%20Wed-Fri%209am-4pm.</v>
      </c>
      <c r="AF132" s="89" t="str">
        <f t="shared" si="25"/>
        <v>Draft email</v>
      </c>
      <c r="AG132" s="64" t="str">
        <f>IF($C132="","",IFERROR(INDEX('Staff Directory'!$K$595:$K$599,MATCH($C132,'Staff Directory'!$B$5:$B$599,0)),$D132))</f>
        <v>PSW</v>
      </c>
      <c r="AH132" t="str">
        <f>IF($C132="","",IFERROR(INDEX('Staff Directory'!$I$595:$I$599,MATCH($C132,'Staff Directory'!$B$5:$B$599,0))&amp;" "&amp;INDEX('Staff Directory'!$J$595:$J$599,MATCH($C132,'Staff Directory'!$B$5:$B$599,0)),$AG132))</f>
        <v>PSW</v>
      </c>
      <c r="AI132" s="102"/>
      <c r="AJ132" s="101">
        <f>IF($F132="","",SUMIFS($J$5:$J132,$F$5:$F132,$F132))</f>
        <v>2160</v>
      </c>
      <c r="AK132" s="101">
        <f t="shared" si="3"/>
        <v>2081</v>
      </c>
      <c r="AL132" s="66" t="str" cm="1">
        <f t="array" ref="AL132">IF($F132="","",IFERROR(INDEX('Lot Balance'!$B$5:$B$500,MATCH(1,INDEX(('Lot Balance'!$A$5:$A$500=$F132)*('Lot Balance'!$K$5:$K$500&lt;$AK132)*('Lot Balance'!$K$5:$K$500+'Lot Balance'!$D$5:$D$500&gt;=$AK132),0),0)),""))</f>
        <v>LYSL500290</v>
      </c>
      <c r="AM132" s="66" t="str" cm="1">
        <f t="array" ref="AM132">IF($F132="","",IFERROR(INDEX('Lot Balance'!$B$5:$B$500,MATCH(1,INDEX(('Lot Balance'!$A$5:$A$500=$F132)*('Lot Balance'!$K$5:$K$500&lt;$AJ132)*('Lot Balance'!$K$5:$K$500+'Lot Balance'!$D$5:$D$500&gt;=$AJ132),0),0)),""))</f>
        <v>LYSL500290</v>
      </c>
      <c r="AN132" s="66" t="str">
        <f>IF($F132="","",IF($AI132&lt;&gt;"",IF(COUNTIFS('Lot Balance'!$A$5:$A$500,$F132,'Lot Balance'!$B$5:$B$500,$AI132)=0,"⚠ override is not a lot of this item",IF($AI132=$AL132,"Override = FEFO","Override - FEFO says "&amp;$AL132)),IF($AL132="","⚠ no receipt on file for this item",IF($AM132&lt;&gt;$AL132,"FEFO auto - split, also "&amp;$AM132,"FEFO auto"))))</f>
        <v>FEFO auto</v>
      </c>
      <c r="AO132" s="114"/>
    </row>
    <row r="133" spans="1:41" x14ac:dyDescent="0.35">
      <c r="A133" s="74">
        <v>46119</v>
      </c>
      <c r="B133" s="18" t="str">
        <f>IF($C133="","",IFERROR(INDEX('Staff Directory'!$A$5:$A$594,MATCH($C133,'Staff Directory'!$B$5:$B$594,0)),"⚠ unknown staff"))</f>
        <v>PSW-047-A5</v>
      </c>
      <c r="C133" s="49" t="s">
        <v>1023</v>
      </c>
      <c r="D133" s="19" t="str">
        <f>IF($B133="","",IFERROR(INDEX('Staff Directory'!$C$5:$C$594,MATCH($B133,'Staff Directory'!$A$5:$A$594,0)),""))</f>
        <v>PSW</v>
      </c>
      <c r="E133" s="19" t="str">
        <f>IF($B133="","",IFERROR(INDEX('Staff Directory'!$D$5:$D$594,MATCH($B133,'Staff Directory'!$A$5:$A$594,0)),""))</f>
        <v>A5</v>
      </c>
      <c r="F133" s="9" t="s">
        <v>156</v>
      </c>
      <c r="G133" s="18" t="str">
        <f>IF($F133="","",IFERROR(INDEX(Items!$B$5:$B$597,MATCH($F133,Items!$A$5:$A$597,0)),"⚠ not in Items"))</f>
        <v>Masks</v>
      </c>
      <c r="H133" s="19" t="str">
        <f>IF($F133="","",IFERROR(INDEX(Items!$C$5:$C$597,MATCH($F133,Items!$A$5:$A$597,0)),""))</f>
        <v>One Size</v>
      </c>
      <c r="I133" s="23">
        <f>IF($F133="","",IFERROR(INDEX(Items!$E$5:$E$597,MATCH($F133,Items!$A$5:$A$597,0)),""))</f>
        <v>50</v>
      </c>
      <c r="J133" s="115">
        <f>IF(tblIssues[[#This Row],[Qty Override]]&lt;&gt;"",tblIssues[[#This Row],[Qty Override]],IF(tblIssues[[#This Row],[Standard Issue]]="","",tblIssues[[#This Row],[Standard Issue]]))</f>
        <v>50</v>
      </c>
      <c r="K133" s="20">
        <f>IF($F133="","",IFERROR(INDEX(Items!$D$5:$D$597,MATCH($F133,Items!$A$5:$A$597,0)),""))</f>
        <v>0.25</v>
      </c>
      <c r="L133" s="21">
        <f t="shared" si="14"/>
        <v>12.5</v>
      </c>
      <c r="M133" s="9" t="str">
        <f t="shared" si="15"/>
        <v>0125FPC24-0</v>
      </c>
      <c r="N133" s="24">
        <f>IF($A133="","",WORKDAY($A133,Settings!$C$9,HolidayDates))</f>
        <v>46127</v>
      </c>
      <c r="O133" s="24">
        <f>IF($N133="","",WORKDAY($N133,Settings!$C$10,HolidayDates))</f>
        <v>46167</v>
      </c>
      <c r="P133" s="10" t="s">
        <v>501</v>
      </c>
      <c r="Q133" s="52" t="str">
        <f t="shared" si="21"/>
        <v>Collected</v>
      </c>
      <c r="R133" s="55" t="str">
        <f t="shared" si="22"/>
        <v>2026-04</v>
      </c>
      <c r="S133" s="55">
        <f>IF(OR($B133="",$F133="",$R133=""),"",SUMIFS(tblIssues[Qty Issued],tblIssues[Staff ID],$B133,tblIssues[Item Name],$F133,tblIssues[Month],$R133))</f>
        <v>50</v>
      </c>
      <c r="T133" s="56">
        <f>IF($I133="","",$I133*Settings!$C$11)</f>
        <v>50</v>
      </c>
      <c r="U133" s="57" t="str">
        <f t="shared" si="17"/>
        <v>OK</v>
      </c>
      <c r="V133" s="55" t="str">
        <f t="shared" si="23"/>
        <v/>
      </c>
      <c r="W133" s="55" t="str">
        <f>IF($V133="","",IF(COUNTIF($V$5:$V133,$V133)=1,1,""))</f>
        <v/>
      </c>
      <c r="X133" s="58" t="str">
        <f>IF($W133="","",MAX($X$4:X132)+1)</f>
        <v/>
      </c>
      <c r="Y133" s="62"/>
      <c r="Z133" s="62"/>
      <c r="AA133" s="64" t="str">
        <f>IF($C133="","",IFERROR(INDEX('Staff Directory'!$E$5:$E$594,MATCH($C133,'Staff Directory'!$B$5:$B$594,0)),""))</f>
        <v>firstname107.lastname107@example.com</v>
      </c>
      <c r="AB133" s="64" t="str">
        <f>IF($C133="","",IF(ISNUMBER(SEARCH($D133,Settings!$C$15)),"Pickup","Dispatch"))</f>
        <v>Pickup</v>
      </c>
      <c r="AC133" s="64" t="str">
        <f t="shared" si="24"/>
        <v>Supply order ready for pickup</v>
      </c>
      <c r="AD133" s="64" t="str">
        <f t="shared" ref="AD133:AD196" si="26">IF($AB133="Pickup","Dear "&amp;$AH133&amp;","&amp;CHAR(10)&amp;CHAR(10)&amp;"Your order is ready for pickup from Sample Branch, Wed-Fri 9am-4pm.",IF($AB133="Dispatch","Dear "&amp;$AH133&amp;","&amp;CHAR(10)&amp;CHAR(10)&amp;"Your order has been dispatched and is in transit. Reply if undelivered.",""))</f>
        <v>Dear PSW,
Your order is ready for pickup from Sample Branch, Wed-Fri 9am-4pm.</v>
      </c>
      <c r="AE133" s="64" t="str">
        <f t="shared" ref="AE133:AE196" si="27">IF(OR($AA133="",$AC133=""),"","mailto:"&amp;$AA133&amp;"?subject="&amp;_xlfn.ENCODEURL($AC133)&amp;"&amp;body="&amp;_xlfn.ENCODEURL($AD133))</f>
        <v>mailto:firstname107.lastname107@example.com?subject=Supply%20order%20ready%20for%20pickup&amp;body=Dear%20PSW%2C%0A%0AYour%20order%20is%20ready%20for%20pickup%20from%20Sample%20Branch%2C%20Wed-Fri%209am-4pm.</v>
      </c>
      <c r="AF133" s="89" t="str">
        <f t="shared" si="25"/>
        <v>Draft email</v>
      </c>
      <c r="AG133" s="64" t="str">
        <f>IF($C133="","",IFERROR(INDEX('Staff Directory'!$K$595:$K$599,MATCH($C133,'Staff Directory'!$B$5:$B$599,0)),$D133))</f>
        <v>PSW</v>
      </c>
      <c r="AH133" t="str">
        <f>IF($C133="","",IFERROR(INDEX('Staff Directory'!$I$595:$I$599,MATCH($C133,'Staff Directory'!$B$5:$B$599,0))&amp;" "&amp;INDEX('Staff Directory'!$J$595:$J$599,MATCH($C133,'Staff Directory'!$B$5:$B$599,0)),$AG133))</f>
        <v>PSW</v>
      </c>
      <c r="AI133" s="102"/>
      <c r="AJ133" s="101">
        <f>IF($F133="","",SUMIFS($J$5:$J133,$F$5:$F133,$F133))</f>
        <v>1050</v>
      </c>
      <c r="AK133" s="101">
        <f t="shared" si="3"/>
        <v>1001</v>
      </c>
      <c r="AL133" s="66" t="str" cm="1">
        <f t="array" ref="AL133">IF($F133="","",IFERROR(INDEX('Lot Balance'!$B$5:$B$500,MATCH(1,INDEX(('Lot Balance'!$A$5:$A$500=$F133)*('Lot Balance'!$K$5:$K$500&lt;$AK133)*('Lot Balance'!$K$5:$K$500+'Lot Balance'!$D$5:$D$500&gt;=$AK133),0),0)),""))</f>
        <v>0125FPC24-0</v>
      </c>
      <c r="AM133" s="66" t="str" cm="1">
        <f t="array" ref="AM133">IF($F133="","",IFERROR(INDEX('Lot Balance'!$B$5:$B$500,MATCH(1,INDEX(('Lot Balance'!$A$5:$A$500=$F133)*('Lot Balance'!$K$5:$K$500&lt;$AJ133)*('Lot Balance'!$K$5:$K$500+'Lot Balance'!$D$5:$D$500&gt;=$AJ133),0),0)),""))</f>
        <v>0125FPC24-0</v>
      </c>
      <c r="AN133" s="66" t="str">
        <f>IF($F133="","",IF($AI133&lt;&gt;"",IF(COUNTIFS('Lot Balance'!$A$5:$A$500,$F133,'Lot Balance'!$B$5:$B$500,$AI133)=0,"⚠ override is not a lot of this item",IF($AI133=$AL133,"Override = FEFO","Override - FEFO says "&amp;$AL133)),IF($AL133="","⚠ no receipt on file for this item",IF($AM133&lt;&gt;$AL133,"FEFO auto - split, also "&amp;$AM133,"FEFO auto"))))</f>
        <v>FEFO auto</v>
      </c>
      <c r="AO133" s="114"/>
    </row>
    <row r="134" spans="1:41" x14ac:dyDescent="0.35">
      <c r="A134" s="74">
        <v>46119</v>
      </c>
      <c r="B134" s="18" t="str">
        <f>IF($C134="","",IFERROR(INDEX('Staff Directory'!$A$5:$A$594,MATCH($C134,'Staff Directory'!$B$5:$B$594,0)),"⚠ unknown staff"))</f>
        <v>PSW-047-A5</v>
      </c>
      <c r="C134" s="49" t="s">
        <v>1023</v>
      </c>
      <c r="D134" s="19" t="str">
        <f>IF($B134="","",IFERROR(INDEX('Staff Directory'!$C$5:$C$594,MATCH($B134,'Staff Directory'!$A$5:$A$594,0)),""))</f>
        <v>PSW</v>
      </c>
      <c r="E134" s="19" t="str">
        <f>IF($B134="","",IFERROR(INDEX('Staff Directory'!$D$5:$D$594,MATCH($B134,'Staff Directory'!$A$5:$A$594,0)),""))</f>
        <v>A5</v>
      </c>
      <c r="F134" s="9" t="s">
        <v>755</v>
      </c>
      <c r="G134" s="18" t="str">
        <f>IF($F134="","",IFERROR(INDEX(Items!$B$5:$B$597,MATCH($F134,Items!$A$5:$A$597,0)),"⚠ not in Items"))</f>
        <v>Documents</v>
      </c>
      <c r="H134" s="19" t="str">
        <f>IF($F134="","",IFERROR(INDEX(Items!$C$5:$C$597,MATCH($F134,Items!$A$5:$A$597,0)),""))</f>
        <v>Standard</v>
      </c>
      <c r="I134" s="23">
        <f>IF($F134="","",IFERROR(INDEX(Items!$E$5:$E$597,MATCH($F134,Items!$A$5:$A$597,0)),""))</f>
        <v>2</v>
      </c>
      <c r="J134" s="115">
        <f>IF(tblIssues[[#This Row],[Qty Override]]&lt;&gt;"",tblIssues[[#This Row],[Qty Override]],IF(tblIssues[[#This Row],[Standard Issue]]="","",tblIssues[[#This Row],[Standard Issue]]))</f>
        <v>2</v>
      </c>
      <c r="K134" s="20">
        <f>IF($F134="","",IFERROR(INDEX(Items!$D$5:$D$597,MATCH($F134,Items!$A$5:$A$597,0)),""))</f>
        <v>0</v>
      </c>
      <c r="L134" s="21">
        <f t="shared" ref="L134:L197" si="28">IF(OR($J134="",$K134=""),"",$J134*$K134)</f>
        <v>0</v>
      </c>
      <c r="M134" s="9" t="str">
        <f t="shared" ref="M134:M197" si="29">IF($F134="","",IF($AI134&lt;&gt;"",$AI134,$AL134))</f>
        <v/>
      </c>
      <c r="N134" s="24">
        <f>IF($A134="","",WORKDAY($A134,Settings!$C$9,HolidayDates))</f>
        <v>46127</v>
      </c>
      <c r="O134" s="24">
        <f>IF($N134="","",WORKDAY($N134,Settings!$C$10,HolidayDates))</f>
        <v>46167</v>
      </c>
      <c r="P134" s="10" t="s">
        <v>501</v>
      </c>
      <c r="Q134" s="52" t="str">
        <f t="shared" si="21"/>
        <v>Collected</v>
      </c>
      <c r="R134" s="55" t="str">
        <f t="shared" si="22"/>
        <v>2026-04</v>
      </c>
      <c r="S134" s="55">
        <f>IF(OR($B134="",$F134="",$R134=""),"",SUMIFS(tblIssues[Qty Issued],tblIssues[Staff ID],$B134,tblIssues[Item Name],$F134,tblIssues[Month],$R134))</f>
        <v>2</v>
      </c>
      <c r="T134" s="56">
        <f>IF($I134="","",$I134*Settings!$C$11)</f>
        <v>2</v>
      </c>
      <c r="U134" s="57" t="str">
        <f t="shared" ref="U134:U197" si="30">IF(OR($S134="",$T134=""),"",IF($S134&gt;$T134,IF($Y134="Approved","APPROVED BY TL","⚠ OVER QUOTA"),"OK"))</f>
        <v>OK</v>
      </c>
      <c r="V134" s="55" t="str">
        <f t="shared" si="23"/>
        <v/>
      </c>
      <c r="W134" s="55" t="str">
        <f>IF($V134="","",IF(COUNTIF($V$5:$V134,$V134)=1,1,""))</f>
        <v/>
      </c>
      <c r="X134" s="58" t="str">
        <f>IF($W134="","",MAX($X$4:X133)+1)</f>
        <v/>
      </c>
      <c r="Y134" s="62"/>
      <c r="Z134" s="62"/>
      <c r="AA134" s="64" t="str">
        <f>IF($C134="","",IFERROR(INDEX('Staff Directory'!$E$5:$E$594,MATCH($C134,'Staff Directory'!$B$5:$B$594,0)),""))</f>
        <v>firstname107.lastname107@example.com</v>
      </c>
      <c r="AB134" s="64" t="str">
        <f>IF($C134="","",IF(ISNUMBER(SEARCH($D134,Settings!$C$15)),"Pickup","Dispatch"))</f>
        <v>Pickup</v>
      </c>
      <c r="AC134" s="64" t="str">
        <f t="shared" si="24"/>
        <v>Supply order ready for pickup</v>
      </c>
      <c r="AD134" s="64" t="str">
        <f t="shared" si="26"/>
        <v>Dear PSW,
Your order is ready for pickup from Sample Branch, Wed-Fri 9am-4pm.</v>
      </c>
      <c r="AE134" s="64" t="str">
        <f t="shared" si="27"/>
        <v>mailto:firstname107.lastname107@example.com?subject=Supply%20order%20ready%20for%20pickup&amp;body=Dear%20PSW%2C%0A%0AYour%20order%20is%20ready%20for%20pickup%20from%20Sample%20Branch%2C%20Wed-Fri%209am-4pm.</v>
      </c>
      <c r="AF134" s="89" t="str">
        <f t="shared" si="25"/>
        <v>Draft email</v>
      </c>
      <c r="AG134" s="64" t="str">
        <f>IF($C134="","",IFERROR(INDEX('Staff Directory'!$K$595:$K$599,MATCH($C134,'Staff Directory'!$B$5:$B$599,0)),$D134))</f>
        <v>PSW</v>
      </c>
      <c r="AH134" t="str">
        <f>IF($C134="","",IFERROR(INDEX('Staff Directory'!$I$595:$I$599,MATCH($C134,'Staff Directory'!$B$5:$B$599,0))&amp;" "&amp;INDEX('Staff Directory'!$J$595:$J$599,MATCH($C134,'Staff Directory'!$B$5:$B$599,0)),$AG134))</f>
        <v>PSW</v>
      </c>
      <c r="AI134" s="102"/>
      <c r="AJ134" s="101">
        <f>IF($F134="","",SUMIFS($J$5:$J134,$F$5:$F134,$F134))</f>
        <v>22</v>
      </c>
      <c r="AK134" s="101">
        <f t="shared" si="3"/>
        <v>21</v>
      </c>
      <c r="AL134" s="66" t="str" cm="1">
        <f t="array" ref="AL134">IF($F134="","",IFERROR(INDEX('Lot Balance'!$B$5:$B$500,MATCH(1,INDEX(('Lot Balance'!$A$5:$A$500=$F134)*('Lot Balance'!$K$5:$K$500&lt;$AK134)*('Lot Balance'!$K$5:$K$500+'Lot Balance'!$D$5:$D$500&gt;=$AK134),0),0)),""))</f>
        <v/>
      </c>
      <c r="AM134" s="66" t="str" cm="1">
        <f t="array" ref="AM134">IF($F134="","",IFERROR(INDEX('Lot Balance'!$B$5:$B$500,MATCH(1,INDEX(('Lot Balance'!$A$5:$A$500=$F134)*('Lot Balance'!$K$5:$K$500&lt;$AJ134)*('Lot Balance'!$K$5:$K$500+'Lot Balance'!$D$5:$D$500&gt;=$AJ134),0),0)),""))</f>
        <v/>
      </c>
      <c r="AN134" s="66" t="str">
        <f>IF($F134="","",IF($AI134&lt;&gt;"",IF(COUNTIFS('Lot Balance'!$A$5:$A$500,$F134,'Lot Balance'!$B$5:$B$500,$AI134)=0,"⚠ override is not a lot of this item",IF($AI134=$AL134,"Override = FEFO","Override - FEFO says "&amp;$AL134)),IF($AL134="","⚠ no receipt on file for this item",IF($AM134&lt;&gt;$AL134,"FEFO auto - split, also "&amp;$AM134,"FEFO auto"))))</f>
        <v>⚠ no receipt on file for this item</v>
      </c>
      <c r="AO134" s="114"/>
    </row>
    <row r="135" spans="1:41" x14ac:dyDescent="0.35">
      <c r="A135" s="74">
        <v>46121</v>
      </c>
      <c r="B135" s="18" t="str">
        <f>IF($C135="","",IFERROR(INDEX('Staff Directory'!$A$5:$A$594,MATCH($C135,'Staff Directory'!$B$5:$B$594,0)),"⚠ unknown staff"))</f>
        <v>PSW-061-A5</v>
      </c>
      <c r="C135" s="49" t="s">
        <v>1037</v>
      </c>
      <c r="D135" s="19" t="str">
        <f>IF($B135="","",IFERROR(INDEX('Staff Directory'!$C$5:$C$594,MATCH($B135,'Staff Directory'!$A$5:$A$594,0)),""))</f>
        <v>PSW</v>
      </c>
      <c r="E135" s="19" t="str">
        <f>IF($B135="","",IFERROR(INDEX('Staff Directory'!$D$5:$D$594,MATCH($B135,'Staff Directory'!$A$5:$A$594,0)),""))</f>
        <v>A5</v>
      </c>
      <c r="F135" s="9" t="s">
        <v>127</v>
      </c>
      <c r="G135" s="18" t="str">
        <f>IF($F135="","",IFERROR(INDEX(Items!$B$5:$B$597,MATCH($F135,Items!$A$5:$A$597,0)),"⚠ not in Items"))</f>
        <v>Gloves</v>
      </c>
      <c r="H135" s="19" t="str">
        <f>IF($F135="","",IFERROR(INDEX(Items!$C$5:$C$597,MATCH($F135,Items!$A$5:$A$597,0)),""))</f>
        <v>Medium</v>
      </c>
      <c r="I135" s="23">
        <f>IF($F135="","",IFERROR(INDEX(Items!$E$5:$E$597,MATCH($F135,Items!$A$5:$A$597,0)),""))</f>
        <v>500</v>
      </c>
      <c r="J135" s="115">
        <f>IF(tblIssues[[#This Row],[Qty Override]]&lt;&gt;"",tblIssues[[#This Row],[Qty Override]],IF(tblIssues[[#This Row],[Standard Issue]]="","",tblIssues[[#This Row],[Standard Issue]]))</f>
        <v>500</v>
      </c>
      <c r="K135" s="20">
        <f>IF($F135="","",IFERROR(INDEX(Items!$D$5:$D$597,MATCH($F135,Items!$A$5:$A$597,0)),""))</f>
        <v>5.5E-2</v>
      </c>
      <c r="L135" s="21">
        <f t="shared" si="28"/>
        <v>27.5</v>
      </c>
      <c r="M135" s="9" t="str">
        <f t="shared" si="29"/>
        <v>O17104</v>
      </c>
      <c r="N135" s="24">
        <f>IF($A135="","",WORKDAY($A135,Settings!$C$9,HolidayDates))</f>
        <v>46129</v>
      </c>
      <c r="O135" s="24">
        <f>IF($N135="","",WORKDAY($N135,Settings!$C$10,HolidayDates))</f>
        <v>46169</v>
      </c>
      <c r="P135" s="10" t="s">
        <v>501</v>
      </c>
      <c r="Q135" s="52" t="str">
        <f t="shared" si="21"/>
        <v>Collected</v>
      </c>
      <c r="R135" s="55" t="str">
        <f t="shared" si="22"/>
        <v>2026-04</v>
      </c>
      <c r="S135" s="55">
        <f>IF(OR($B135="",$F135="",$R135=""),"",SUMIFS(tblIssues[Qty Issued],tblIssues[Staff ID],$B135,tblIssues[Item Name],$F135,tblIssues[Month],$R135))</f>
        <v>500</v>
      </c>
      <c r="T135" s="56">
        <f>IF($I135="","",$I135*Settings!$C$11)</f>
        <v>500</v>
      </c>
      <c r="U135" s="57" t="str">
        <f t="shared" si="30"/>
        <v>OK</v>
      </c>
      <c r="V135" s="55" t="str">
        <f t="shared" si="23"/>
        <v/>
      </c>
      <c r="W135" s="55" t="str">
        <f>IF($V135="","",IF(COUNTIF($V$5:$V135,$V135)=1,1,""))</f>
        <v/>
      </c>
      <c r="X135" s="58" t="str">
        <f>IF($W135="","",MAX($X$4:X134)+1)</f>
        <v/>
      </c>
      <c r="Y135" s="62"/>
      <c r="Z135" s="62"/>
      <c r="AA135" s="64" t="str">
        <f>IF($C135="","",IFERROR(INDEX('Staff Directory'!$E$5:$E$594,MATCH($C135,'Staff Directory'!$B$5:$B$594,0)),""))</f>
        <v>firstname121.lastname121@example.com</v>
      </c>
      <c r="AB135" s="64" t="str">
        <f>IF($C135="","",IF(ISNUMBER(SEARCH($D135,Settings!$C$15)),"Pickup","Dispatch"))</f>
        <v>Pickup</v>
      </c>
      <c r="AC135" s="64" t="str">
        <f t="shared" si="24"/>
        <v>Supply order ready for pickup</v>
      </c>
      <c r="AD135" s="64" t="str">
        <f t="shared" si="26"/>
        <v>Dear PSW,
Your order is ready for pickup from Sample Branch, Wed-Fri 9am-4pm.</v>
      </c>
      <c r="AE135" s="64" t="str">
        <f t="shared" si="27"/>
        <v>mailto:firstname121.lastname121@example.com?subject=Supply%20order%20ready%20for%20pickup&amp;body=Dear%20PSW%2C%0A%0AYour%20order%20is%20ready%20for%20pickup%20from%20Sample%20Branch%2C%20Wed-Fri%209am-4pm.</v>
      </c>
      <c r="AF135" s="89" t="str">
        <f t="shared" si="25"/>
        <v>Draft email</v>
      </c>
      <c r="AG135" s="64" t="str">
        <f>IF($C135="","",IFERROR(INDEX('Staff Directory'!$K$595:$K$599,MATCH($C135,'Staff Directory'!$B$5:$B$599,0)),$D135))</f>
        <v>PSW</v>
      </c>
      <c r="AH135" t="str">
        <f>IF($C135="","",IFERROR(INDEX('Staff Directory'!$I$595:$I$599,MATCH($C135,'Staff Directory'!$B$5:$B$599,0))&amp;" "&amp;INDEX('Staff Directory'!$J$595:$J$599,MATCH($C135,'Staff Directory'!$B$5:$B$599,0)),$AG135))</f>
        <v>PSW</v>
      </c>
      <c r="AI135" s="102"/>
      <c r="AJ135" s="101">
        <f>IF($F135="","",SUMIFS($J$5:$J135,$F$5:$F135,$F135))</f>
        <v>8500</v>
      </c>
      <c r="AK135" s="101">
        <f t="shared" si="3"/>
        <v>8001</v>
      </c>
      <c r="AL135" s="66" t="str" cm="1">
        <f t="array" ref="AL135">IF($F135="","",IFERROR(INDEX('Lot Balance'!$B$5:$B$500,MATCH(1,INDEX(('Lot Balance'!$A$5:$A$500=$F135)*('Lot Balance'!$K$5:$K$500&lt;$AK135)*('Lot Balance'!$K$5:$K$500+'Lot Balance'!$D$5:$D$500&gt;=$AK135),0),0)),""))</f>
        <v>O17104</v>
      </c>
      <c r="AM135" s="66" t="str" cm="1">
        <f t="array" ref="AM135">IF($F135="","",IFERROR(INDEX('Lot Balance'!$B$5:$B$500,MATCH(1,INDEX(('Lot Balance'!$A$5:$A$500=$F135)*('Lot Balance'!$K$5:$K$500&lt;$AJ135)*('Lot Balance'!$K$5:$K$500+'Lot Balance'!$D$5:$D$500&gt;=$AJ135),0),0)),""))</f>
        <v>O17104</v>
      </c>
      <c r="AN135" s="66" t="str">
        <f>IF($F135="","",IF($AI135&lt;&gt;"",IF(COUNTIFS('Lot Balance'!$A$5:$A$500,$F135,'Lot Balance'!$B$5:$B$500,$AI135)=0,"⚠ override is not a lot of this item",IF($AI135=$AL135,"Override = FEFO","Override - FEFO says "&amp;$AL135)),IF($AL135="","⚠ no receipt on file for this item",IF($AM135&lt;&gt;$AL135,"FEFO auto - split, also "&amp;$AM135,"FEFO auto"))))</f>
        <v>FEFO auto</v>
      </c>
      <c r="AO135" s="114"/>
    </row>
    <row r="136" spans="1:41" x14ac:dyDescent="0.35">
      <c r="A136" s="74">
        <v>46121</v>
      </c>
      <c r="B136" s="18" t="str">
        <f>IF($C136="","",IFERROR(INDEX('Staff Directory'!$A$5:$A$594,MATCH($C136,'Staff Directory'!$B$5:$B$594,0)),"⚠ unknown staff"))</f>
        <v>PSW-061-A5</v>
      </c>
      <c r="C136" s="49" t="s">
        <v>1037</v>
      </c>
      <c r="D136" s="19" t="str">
        <f>IF($B136="","",IFERROR(INDEX('Staff Directory'!$C$5:$C$594,MATCH($B136,'Staff Directory'!$A$5:$A$594,0)),""))</f>
        <v>PSW</v>
      </c>
      <c r="E136" s="19" t="str">
        <f>IF($B136="","",IFERROR(INDEX('Staff Directory'!$D$5:$D$594,MATCH($B136,'Staff Directory'!$A$5:$A$594,0)),""))</f>
        <v>A5</v>
      </c>
      <c r="F136" s="9" t="s">
        <v>115</v>
      </c>
      <c r="G136" s="18" t="str">
        <f>IF($F136="","",IFERROR(INDEX(Items!$B$5:$B$597,MATCH($F136,Items!$A$5:$A$597,0)),"⚠ not in Items"))</f>
        <v>Wipes</v>
      </c>
      <c r="H136" s="19">
        <f>IF($F136="","",IFERROR(INDEX(Items!$C$5:$C$597,MATCH($F136,Items!$A$5:$A$597,0)),""))</f>
        <v>80</v>
      </c>
      <c r="I136" s="23">
        <f>IF($F136="","",IFERROR(INDEX(Items!$E$5:$E$597,MATCH($F136,Items!$A$5:$A$597,0)),""))</f>
        <v>80</v>
      </c>
      <c r="J136" s="115">
        <f>IF(tblIssues[[#This Row],[Qty Override]]&lt;&gt;"",tblIssues[[#This Row],[Qty Override]],IF(tblIssues[[#This Row],[Standard Issue]]="","",tblIssues[[#This Row],[Standard Issue]]))</f>
        <v>80</v>
      </c>
      <c r="K136" s="20">
        <f>IF($F136="","",IFERROR(INDEX(Items!$D$5:$D$597,MATCH($F136,Items!$A$5:$A$597,0)),""))</f>
        <v>0.1</v>
      </c>
      <c r="L136" s="21">
        <f t="shared" si="28"/>
        <v>8</v>
      </c>
      <c r="M136" s="9" t="str">
        <f t="shared" si="29"/>
        <v>LYSL500290</v>
      </c>
      <c r="N136" s="24">
        <f>IF($A136="","",WORKDAY($A136,Settings!$C$9,HolidayDates))</f>
        <v>46129</v>
      </c>
      <c r="O136" s="24">
        <f>IF($N136="","",WORKDAY($N136,Settings!$C$10,HolidayDates))</f>
        <v>46169</v>
      </c>
      <c r="P136" s="10" t="s">
        <v>501</v>
      </c>
      <c r="Q136" s="52" t="str">
        <f t="shared" si="21"/>
        <v>Collected</v>
      </c>
      <c r="R136" s="55" t="str">
        <f t="shared" si="22"/>
        <v>2026-04</v>
      </c>
      <c r="S136" s="55">
        <f>IF(OR($B136="",$F136="",$R136=""),"",SUMIFS(tblIssues[Qty Issued],tblIssues[Staff ID],$B136,tblIssues[Item Name],$F136,tblIssues[Month],$R136))</f>
        <v>80</v>
      </c>
      <c r="T136" s="56">
        <f>IF($I136="","",$I136*Settings!$C$11)</f>
        <v>80</v>
      </c>
      <c r="U136" s="57" t="str">
        <f t="shared" si="30"/>
        <v>OK</v>
      </c>
      <c r="V136" s="55" t="str">
        <f t="shared" si="23"/>
        <v/>
      </c>
      <c r="W136" s="55" t="str">
        <f>IF($V136="","",IF(COUNTIF($V$5:$V136,$V136)=1,1,""))</f>
        <v/>
      </c>
      <c r="X136" s="58" t="str">
        <f>IF($W136="","",MAX($X$4:X135)+1)</f>
        <v/>
      </c>
      <c r="Y136" s="62"/>
      <c r="Z136" s="62"/>
      <c r="AA136" s="64" t="str">
        <f>IF($C136="","",IFERROR(INDEX('Staff Directory'!$E$5:$E$594,MATCH($C136,'Staff Directory'!$B$5:$B$594,0)),""))</f>
        <v>firstname121.lastname121@example.com</v>
      </c>
      <c r="AB136" s="64" t="str">
        <f>IF($C136="","",IF(ISNUMBER(SEARCH($D136,Settings!$C$15)),"Pickup","Dispatch"))</f>
        <v>Pickup</v>
      </c>
      <c r="AC136" s="64" t="str">
        <f t="shared" si="24"/>
        <v>Supply order ready for pickup</v>
      </c>
      <c r="AD136" s="64" t="str">
        <f t="shared" si="26"/>
        <v>Dear PSW,
Your order is ready for pickup from Sample Branch, Wed-Fri 9am-4pm.</v>
      </c>
      <c r="AE136" s="64" t="str">
        <f t="shared" si="27"/>
        <v>mailto:firstname121.lastname121@example.com?subject=Supply%20order%20ready%20for%20pickup&amp;body=Dear%20PSW%2C%0A%0AYour%20order%20is%20ready%20for%20pickup%20from%20Sample%20Branch%2C%20Wed-Fri%209am-4pm.</v>
      </c>
      <c r="AF136" s="89" t="str">
        <f t="shared" si="25"/>
        <v>Draft email</v>
      </c>
      <c r="AG136" s="64" t="str">
        <f>IF($C136="","",IFERROR(INDEX('Staff Directory'!$K$595:$K$599,MATCH($C136,'Staff Directory'!$B$5:$B$599,0)),$D136))</f>
        <v>PSW</v>
      </c>
      <c r="AH136" t="str">
        <f>IF($C136="","",IFERROR(INDEX('Staff Directory'!$I$595:$I$599,MATCH($C136,'Staff Directory'!$B$5:$B$599,0))&amp;" "&amp;INDEX('Staff Directory'!$J$595:$J$599,MATCH($C136,'Staff Directory'!$B$5:$B$599,0)),$AG136))</f>
        <v>PSW</v>
      </c>
      <c r="AI136" s="102"/>
      <c r="AJ136" s="101">
        <f>IF($F136="","",SUMIFS($J$5:$J136,$F$5:$F136,$F136))</f>
        <v>2240</v>
      </c>
      <c r="AK136" s="101">
        <f t="shared" si="3"/>
        <v>2161</v>
      </c>
      <c r="AL136" s="66" t="str" cm="1">
        <f t="array" ref="AL136">IF($F136="","",IFERROR(INDEX('Lot Balance'!$B$5:$B$500,MATCH(1,INDEX(('Lot Balance'!$A$5:$A$500=$F136)*('Lot Balance'!$K$5:$K$500&lt;$AK136)*('Lot Balance'!$K$5:$K$500+'Lot Balance'!$D$5:$D$500&gt;=$AK136),0),0)),""))</f>
        <v>LYSL500290</v>
      </c>
      <c r="AM136" s="66" t="str" cm="1">
        <f t="array" ref="AM136">IF($F136="","",IFERROR(INDEX('Lot Balance'!$B$5:$B$500,MATCH(1,INDEX(('Lot Balance'!$A$5:$A$500=$F136)*('Lot Balance'!$K$5:$K$500&lt;$AJ136)*('Lot Balance'!$K$5:$K$500+'Lot Balance'!$D$5:$D$500&gt;=$AJ136),0),0)),""))</f>
        <v>LYSL500290</v>
      </c>
      <c r="AN136" s="66" t="str">
        <f>IF($F136="","",IF($AI136&lt;&gt;"",IF(COUNTIFS('Lot Balance'!$A$5:$A$500,$F136,'Lot Balance'!$B$5:$B$500,$AI136)=0,"⚠ override is not a lot of this item",IF($AI136=$AL136,"Override = FEFO","Override - FEFO says "&amp;$AL136)),IF($AL136="","⚠ no receipt on file for this item",IF($AM136&lt;&gt;$AL136,"FEFO auto - split, also "&amp;$AM136,"FEFO auto"))))</f>
        <v>FEFO auto</v>
      </c>
      <c r="AO136" s="114"/>
    </row>
    <row r="137" spans="1:41" x14ac:dyDescent="0.35">
      <c r="A137" s="74">
        <v>46121</v>
      </c>
      <c r="B137" s="18" t="str">
        <f>IF($C137="","",IFERROR(INDEX('Staff Directory'!$A$5:$A$594,MATCH($C137,'Staff Directory'!$B$5:$B$594,0)),"⚠ unknown staff"))</f>
        <v>PSW-061-A5</v>
      </c>
      <c r="C137" s="49" t="s">
        <v>1037</v>
      </c>
      <c r="D137" s="19" t="str">
        <f>IF($B137="","",IFERROR(INDEX('Staff Directory'!$C$5:$C$594,MATCH($B137,'Staff Directory'!$A$5:$A$594,0)),""))</f>
        <v>PSW</v>
      </c>
      <c r="E137" s="19" t="str">
        <f>IF($B137="","",IFERROR(INDEX('Staff Directory'!$D$5:$D$594,MATCH($B137,'Staff Directory'!$A$5:$A$594,0)),""))</f>
        <v>A5</v>
      </c>
      <c r="F137" s="9" t="s">
        <v>755</v>
      </c>
      <c r="G137" s="18" t="str">
        <f>IF($F137="","",IFERROR(INDEX(Items!$B$5:$B$597,MATCH($F137,Items!$A$5:$A$597,0)),"⚠ not in Items"))</f>
        <v>Documents</v>
      </c>
      <c r="H137" s="19" t="str">
        <f>IF($F137="","",IFERROR(INDEX(Items!$C$5:$C$597,MATCH($F137,Items!$A$5:$A$597,0)),""))</f>
        <v>Standard</v>
      </c>
      <c r="I137" s="23">
        <f>IF($F137="","",IFERROR(INDEX(Items!$E$5:$E$597,MATCH($F137,Items!$A$5:$A$597,0)),""))</f>
        <v>2</v>
      </c>
      <c r="J137" s="115">
        <f>IF(tblIssues[[#This Row],[Qty Override]]&lt;&gt;"",tblIssues[[#This Row],[Qty Override]],IF(tblIssues[[#This Row],[Standard Issue]]="","",tblIssues[[#This Row],[Standard Issue]]))</f>
        <v>2</v>
      </c>
      <c r="K137" s="20">
        <f>IF($F137="","",IFERROR(INDEX(Items!$D$5:$D$597,MATCH($F137,Items!$A$5:$A$597,0)),""))</f>
        <v>0</v>
      </c>
      <c r="L137" s="21">
        <f t="shared" si="28"/>
        <v>0</v>
      </c>
      <c r="M137" s="9" t="str">
        <f t="shared" si="29"/>
        <v/>
      </c>
      <c r="N137" s="24">
        <f>IF($A137="","",WORKDAY($A137,Settings!$C$9,HolidayDates))</f>
        <v>46129</v>
      </c>
      <c r="O137" s="24">
        <f>IF($N137="","",WORKDAY($N137,Settings!$C$10,HolidayDates))</f>
        <v>46169</v>
      </c>
      <c r="P137" s="10" t="s">
        <v>501</v>
      </c>
      <c r="Q137" s="52" t="str">
        <f t="shared" si="21"/>
        <v>Collected</v>
      </c>
      <c r="R137" s="55" t="str">
        <f t="shared" si="22"/>
        <v>2026-04</v>
      </c>
      <c r="S137" s="55">
        <f>IF(OR($B137="",$F137="",$R137=""),"",SUMIFS(tblIssues[Qty Issued],tblIssues[Staff ID],$B137,tblIssues[Item Name],$F137,tblIssues[Month],$R137))</f>
        <v>2</v>
      </c>
      <c r="T137" s="56">
        <f>IF($I137="","",$I137*Settings!$C$11)</f>
        <v>2</v>
      </c>
      <c r="U137" s="57" t="str">
        <f t="shared" si="30"/>
        <v>OK</v>
      </c>
      <c r="V137" s="55" t="str">
        <f t="shared" si="23"/>
        <v/>
      </c>
      <c r="W137" s="55" t="str">
        <f>IF($V137="","",IF(COUNTIF($V$5:$V137,$V137)=1,1,""))</f>
        <v/>
      </c>
      <c r="X137" s="58" t="str">
        <f>IF($W137="","",MAX($X$4:X136)+1)</f>
        <v/>
      </c>
      <c r="Y137" s="62"/>
      <c r="Z137" s="62"/>
      <c r="AA137" s="64" t="str">
        <f>IF($C137="","",IFERROR(INDEX('Staff Directory'!$E$5:$E$594,MATCH($C137,'Staff Directory'!$B$5:$B$594,0)),""))</f>
        <v>firstname121.lastname121@example.com</v>
      </c>
      <c r="AB137" s="64" t="str">
        <f>IF($C137="","",IF(ISNUMBER(SEARCH($D137,Settings!$C$15)),"Pickup","Dispatch"))</f>
        <v>Pickup</v>
      </c>
      <c r="AC137" s="64" t="str">
        <f t="shared" si="24"/>
        <v>Supply order ready for pickup</v>
      </c>
      <c r="AD137" s="64" t="str">
        <f t="shared" si="26"/>
        <v>Dear PSW,
Your order is ready for pickup from Sample Branch, Wed-Fri 9am-4pm.</v>
      </c>
      <c r="AE137" s="64" t="str">
        <f t="shared" si="27"/>
        <v>mailto:firstname121.lastname121@example.com?subject=Supply%20order%20ready%20for%20pickup&amp;body=Dear%20PSW%2C%0A%0AYour%20order%20is%20ready%20for%20pickup%20from%20Sample%20Branch%2C%20Wed-Fri%209am-4pm.</v>
      </c>
      <c r="AF137" s="89" t="str">
        <f t="shared" si="25"/>
        <v>Draft email</v>
      </c>
      <c r="AG137" s="64" t="str">
        <f>IF($C137="","",IFERROR(INDEX('Staff Directory'!$K$595:$K$599,MATCH($C137,'Staff Directory'!$B$5:$B$599,0)),$D137))</f>
        <v>PSW</v>
      </c>
      <c r="AH137" t="str">
        <f>IF($C137="","",IFERROR(INDEX('Staff Directory'!$I$595:$I$599,MATCH($C137,'Staff Directory'!$B$5:$B$599,0))&amp;" "&amp;INDEX('Staff Directory'!$J$595:$J$599,MATCH($C137,'Staff Directory'!$B$5:$B$599,0)),$AG137))</f>
        <v>PSW</v>
      </c>
      <c r="AI137" s="102"/>
      <c r="AJ137" s="101">
        <f>IF($F137="","",SUMIFS($J$5:$J137,$F$5:$F137,$F137))</f>
        <v>24</v>
      </c>
      <c r="AK137" s="101">
        <f t="shared" si="3"/>
        <v>23</v>
      </c>
      <c r="AL137" s="66" t="str" cm="1">
        <f t="array" ref="AL137">IF($F137="","",IFERROR(INDEX('Lot Balance'!$B$5:$B$500,MATCH(1,INDEX(('Lot Balance'!$A$5:$A$500=$F137)*('Lot Balance'!$K$5:$K$500&lt;$AK137)*('Lot Balance'!$K$5:$K$500+'Lot Balance'!$D$5:$D$500&gt;=$AK137),0),0)),""))</f>
        <v/>
      </c>
      <c r="AM137" s="66" t="str" cm="1">
        <f t="array" ref="AM137">IF($F137="","",IFERROR(INDEX('Lot Balance'!$B$5:$B$500,MATCH(1,INDEX(('Lot Balance'!$A$5:$A$500=$F137)*('Lot Balance'!$K$5:$K$500&lt;$AJ137)*('Lot Balance'!$K$5:$K$500+'Lot Balance'!$D$5:$D$500&gt;=$AJ137),0),0)),""))</f>
        <v/>
      </c>
      <c r="AN137" s="66" t="str">
        <f>IF($F137="","",IF($AI137&lt;&gt;"",IF(COUNTIFS('Lot Balance'!$A$5:$A$500,$F137,'Lot Balance'!$B$5:$B$500,$AI137)=0,"⚠ override is not a lot of this item",IF($AI137=$AL137,"Override = FEFO","Override - FEFO says "&amp;$AL137)),IF($AL137="","⚠ no receipt on file for this item",IF($AM137&lt;&gt;$AL137,"FEFO auto - split, also "&amp;$AM137,"FEFO auto"))))</f>
        <v>⚠ no receipt on file for this item</v>
      </c>
      <c r="AO137" s="114"/>
    </row>
    <row r="138" spans="1:41" x14ac:dyDescent="0.35">
      <c r="A138" s="74">
        <v>46121</v>
      </c>
      <c r="B138" s="18" t="str">
        <f>IF($C138="","",IFERROR(INDEX('Staff Directory'!$A$5:$A$594,MATCH($C138,'Staff Directory'!$B$5:$B$594,0)),"⚠ unknown staff"))</f>
        <v>PSW-130-A6</v>
      </c>
      <c r="C138" s="49" t="s">
        <v>1109</v>
      </c>
      <c r="D138" s="19" t="str">
        <f>IF($B138="","",IFERROR(INDEX('Staff Directory'!$C$5:$C$594,MATCH($B138,'Staff Directory'!$A$5:$A$594,0)),""))</f>
        <v>PSW</v>
      </c>
      <c r="E138" s="19" t="str">
        <f>IF($B138="","",IFERROR(INDEX('Staff Directory'!$D$5:$D$594,MATCH($B138,'Staff Directory'!$A$5:$A$594,0)),""))</f>
        <v>A6</v>
      </c>
      <c r="F138" s="9" t="s">
        <v>127</v>
      </c>
      <c r="G138" s="18" t="str">
        <f>IF($F138="","",IFERROR(INDEX(Items!$B$5:$B$597,MATCH($F138,Items!$A$5:$A$597,0)),"⚠ not in Items"))</f>
        <v>Gloves</v>
      </c>
      <c r="H138" s="19" t="str">
        <f>IF($F138="","",IFERROR(INDEX(Items!$C$5:$C$597,MATCH($F138,Items!$A$5:$A$597,0)),""))</f>
        <v>Medium</v>
      </c>
      <c r="I138" s="23">
        <f>IF($F138="","",IFERROR(INDEX(Items!$E$5:$E$597,MATCH($F138,Items!$A$5:$A$597,0)),""))</f>
        <v>500</v>
      </c>
      <c r="J138" s="115">
        <f>IF(tblIssues[[#This Row],[Qty Override]]&lt;&gt;"",tblIssues[[#This Row],[Qty Override]],IF(tblIssues[[#This Row],[Standard Issue]]="","",tblIssues[[#This Row],[Standard Issue]]))</f>
        <v>500</v>
      </c>
      <c r="K138" s="20">
        <f>IF($F138="","",IFERROR(INDEX(Items!$D$5:$D$597,MATCH($F138,Items!$A$5:$A$597,0)),""))</f>
        <v>5.5E-2</v>
      </c>
      <c r="L138" s="21">
        <f t="shared" si="28"/>
        <v>27.5</v>
      </c>
      <c r="M138" s="9" t="str">
        <f t="shared" si="29"/>
        <v>O17104</v>
      </c>
      <c r="N138" s="24">
        <f>IF($A138="","",WORKDAY($A138,Settings!$C$9,HolidayDates))</f>
        <v>46129</v>
      </c>
      <c r="O138" s="24">
        <f>IF($N138="","",WORKDAY($N138,Settings!$C$10,HolidayDates))</f>
        <v>46169</v>
      </c>
      <c r="P138" s="10" t="s">
        <v>501</v>
      </c>
      <c r="Q138" s="52" t="str">
        <f t="shared" si="21"/>
        <v>Collected</v>
      </c>
      <c r="R138" s="55" t="str">
        <f t="shared" si="22"/>
        <v>2026-04</v>
      </c>
      <c r="S138" s="55">
        <f>IF(OR($B138="",$F138="",$R138=""),"",SUMIFS(tblIssues[Qty Issued],tblIssues[Staff ID],$B138,tblIssues[Item Name],$F138,tblIssues[Month],$R138))</f>
        <v>500</v>
      </c>
      <c r="T138" s="56">
        <f>IF($I138="","",$I138*Settings!$C$11)</f>
        <v>500</v>
      </c>
      <c r="U138" s="57" t="str">
        <f t="shared" si="30"/>
        <v>OK</v>
      </c>
      <c r="V138" s="55" t="str">
        <f t="shared" si="23"/>
        <v/>
      </c>
      <c r="W138" s="55" t="str">
        <f>IF($V138="","",IF(COUNTIF($V$5:$V138,$V138)=1,1,""))</f>
        <v/>
      </c>
      <c r="X138" s="58" t="str">
        <f>IF($W138="","",MAX($X$4:X137)+1)</f>
        <v/>
      </c>
      <c r="Y138" s="62"/>
      <c r="Z138" s="62"/>
      <c r="AA138" s="64" t="str">
        <f>IF($C138="","",IFERROR(INDEX('Staff Directory'!$E$5:$E$594,MATCH($C138,'Staff Directory'!$B$5:$B$594,0)),""))</f>
        <v>firstname193.lastname193@example.com</v>
      </c>
      <c r="AB138" s="64" t="str">
        <f>IF($C138="","",IF(ISNUMBER(SEARCH($D138,Settings!$C$15)),"Pickup","Dispatch"))</f>
        <v>Pickup</v>
      </c>
      <c r="AC138" s="64" t="str">
        <f t="shared" si="24"/>
        <v>Supply order ready for pickup</v>
      </c>
      <c r="AD138" s="64" t="str">
        <f t="shared" si="26"/>
        <v>Dear PSW,
Your order is ready for pickup from Sample Branch, Wed-Fri 9am-4pm.</v>
      </c>
      <c r="AE138" s="64" t="str">
        <f t="shared" si="27"/>
        <v>mailto:firstname193.lastname193@example.com?subject=Supply%20order%20ready%20for%20pickup&amp;body=Dear%20PSW%2C%0A%0AYour%20order%20is%20ready%20for%20pickup%20from%20Sample%20Branch%2C%20Wed-Fri%209am-4pm.</v>
      </c>
      <c r="AF138" s="89" t="str">
        <f t="shared" si="25"/>
        <v>Draft email</v>
      </c>
      <c r="AG138" s="64" t="str">
        <f>IF($C138="","",IFERROR(INDEX('Staff Directory'!$K$595:$K$599,MATCH($C138,'Staff Directory'!$B$5:$B$599,0)),$D138))</f>
        <v>PSW</v>
      </c>
      <c r="AH138" t="str">
        <f>IF($C138="","",IFERROR(INDEX('Staff Directory'!$I$595:$I$599,MATCH($C138,'Staff Directory'!$B$5:$B$599,0))&amp;" "&amp;INDEX('Staff Directory'!$J$595:$J$599,MATCH($C138,'Staff Directory'!$B$5:$B$599,0)),$AG138))</f>
        <v>PSW</v>
      </c>
      <c r="AI138" s="102"/>
      <c r="AJ138" s="101">
        <f>IF($F138="","",SUMIFS($J$5:$J138,$F$5:$F138,$F138))</f>
        <v>9000</v>
      </c>
      <c r="AK138" s="101">
        <f t="shared" si="3"/>
        <v>8501</v>
      </c>
      <c r="AL138" s="66" t="str" cm="1">
        <f t="array" ref="AL138">IF($F138="","",IFERROR(INDEX('Lot Balance'!$B$5:$B$500,MATCH(1,INDEX(('Lot Balance'!$A$5:$A$500=$F138)*('Lot Balance'!$K$5:$K$500&lt;$AK138)*('Lot Balance'!$K$5:$K$500+'Lot Balance'!$D$5:$D$500&gt;=$AK138),0),0)),""))</f>
        <v>O17104</v>
      </c>
      <c r="AM138" s="66" t="str" cm="1">
        <f t="array" ref="AM138">IF($F138="","",IFERROR(INDEX('Lot Balance'!$B$5:$B$500,MATCH(1,INDEX(('Lot Balance'!$A$5:$A$500=$F138)*('Lot Balance'!$K$5:$K$500&lt;$AJ138)*('Lot Balance'!$K$5:$K$500+'Lot Balance'!$D$5:$D$500&gt;=$AJ138),0),0)),""))</f>
        <v>O17104</v>
      </c>
      <c r="AN138" s="66" t="str">
        <f>IF($F138="","",IF($AI138&lt;&gt;"",IF(COUNTIFS('Lot Balance'!$A$5:$A$500,$F138,'Lot Balance'!$B$5:$B$500,$AI138)=0,"⚠ override is not a lot of this item",IF($AI138=$AL138,"Override = FEFO","Override - FEFO says "&amp;$AL138)),IF($AL138="","⚠ no receipt on file for this item",IF($AM138&lt;&gt;$AL138,"FEFO auto - split, also "&amp;$AM138,"FEFO auto"))))</f>
        <v>FEFO auto</v>
      </c>
      <c r="AO138" s="114"/>
    </row>
    <row r="139" spans="1:41" x14ac:dyDescent="0.35">
      <c r="A139" s="74">
        <v>46121</v>
      </c>
      <c r="B139" s="18" t="str">
        <f>IF($C139="","",IFERROR(INDEX('Staff Directory'!$A$5:$A$594,MATCH($C139,'Staff Directory'!$B$5:$B$594,0)),"⚠ unknown staff"))</f>
        <v>PSW-130-A6</v>
      </c>
      <c r="C139" s="49" t="s">
        <v>1109</v>
      </c>
      <c r="D139" s="19" t="str">
        <f>IF($B139="","",IFERROR(INDEX('Staff Directory'!$C$5:$C$594,MATCH($B139,'Staff Directory'!$A$5:$A$594,0)),""))</f>
        <v>PSW</v>
      </c>
      <c r="E139" s="19" t="str">
        <f>IF($B139="","",IFERROR(INDEX('Staff Directory'!$D$5:$D$594,MATCH($B139,'Staff Directory'!$A$5:$A$594,0)),""))</f>
        <v>A6</v>
      </c>
      <c r="F139" s="9" t="s">
        <v>137</v>
      </c>
      <c r="G139" s="18" t="str">
        <f>IF($F139="","",IFERROR(INDEX(Items!$B$5:$B$597,MATCH($F139,Items!$A$5:$A$597,0)),"⚠ not in Items"))</f>
        <v>Sanitizer</v>
      </c>
      <c r="H139" s="19" t="str">
        <f>IF($F139="","",IFERROR(INDEX(Items!$C$5:$C$597,MATCH($F139,Items!$A$5:$A$597,0)),""))</f>
        <v>118 ML</v>
      </c>
      <c r="I139" s="23">
        <f>IF($F139="","",IFERROR(INDEX(Items!$E$5:$E$597,MATCH($F139,Items!$A$5:$A$597,0)),""))</f>
        <v>2</v>
      </c>
      <c r="J139" s="115">
        <f>IF(tblIssues[[#This Row],[Qty Override]]&lt;&gt;"",tblIssues[[#This Row],[Qty Override]],IF(tblIssues[[#This Row],[Standard Issue]]="","",tblIssues[[#This Row],[Standard Issue]]))</f>
        <v>2</v>
      </c>
      <c r="K139" s="20">
        <f>IF($F139="","",IFERROR(INDEX(Items!$D$5:$D$597,MATCH($F139,Items!$A$5:$A$597,0)),""))</f>
        <v>4.49</v>
      </c>
      <c r="L139" s="21">
        <f t="shared" si="28"/>
        <v>8.98</v>
      </c>
      <c r="M139" s="9" t="str">
        <f t="shared" si="29"/>
        <v>563963-5</v>
      </c>
      <c r="N139" s="24">
        <f>IF($A139="","",WORKDAY($A139,Settings!$C$9,HolidayDates))</f>
        <v>46129</v>
      </c>
      <c r="O139" s="24">
        <f>IF($N139="","",WORKDAY($N139,Settings!$C$10,HolidayDates))</f>
        <v>46169</v>
      </c>
      <c r="P139" s="10" t="s">
        <v>501</v>
      </c>
      <c r="Q139" s="52" t="str">
        <f t="shared" si="21"/>
        <v>Collected</v>
      </c>
      <c r="R139" s="55" t="str">
        <f t="shared" si="22"/>
        <v>2026-04</v>
      </c>
      <c r="S139" s="55">
        <f>IF(OR($B139="",$F139="",$R139=""),"",SUMIFS(tblIssues[Qty Issued],tblIssues[Staff ID],$B139,tblIssues[Item Name],$F139,tblIssues[Month],$R139))</f>
        <v>2</v>
      </c>
      <c r="T139" s="56">
        <f>IF($I139="","",$I139*Settings!$C$11)</f>
        <v>2</v>
      </c>
      <c r="U139" s="57" t="str">
        <f t="shared" si="30"/>
        <v>OK</v>
      </c>
      <c r="V139" s="55" t="str">
        <f t="shared" si="23"/>
        <v/>
      </c>
      <c r="W139" s="55" t="str">
        <f>IF($V139="","",IF(COUNTIF($V$5:$V139,$V139)=1,1,""))</f>
        <v/>
      </c>
      <c r="X139" s="58" t="str">
        <f>IF($W139="","",MAX($X$4:X138)+1)</f>
        <v/>
      </c>
      <c r="Y139" s="62"/>
      <c r="Z139" s="62"/>
      <c r="AA139" s="64" t="str">
        <f>IF($C139="","",IFERROR(INDEX('Staff Directory'!$E$5:$E$594,MATCH($C139,'Staff Directory'!$B$5:$B$594,0)),""))</f>
        <v>firstname193.lastname193@example.com</v>
      </c>
      <c r="AB139" s="64" t="str">
        <f>IF($C139="","",IF(ISNUMBER(SEARCH($D139,Settings!$C$15)),"Pickup","Dispatch"))</f>
        <v>Pickup</v>
      </c>
      <c r="AC139" s="64" t="str">
        <f t="shared" si="24"/>
        <v>Supply order ready for pickup</v>
      </c>
      <c r="AD139" s="64" t="str">
        <f t="shared" si="26"/>
        <v>Dear PSW,
Your order is ready for pickup from Sample Branch, Wed-Fri 9am-4pm.</v>
      </c>
      <c r="AE139" s="64" t="str">
        <f t="shared" si="27"/>
        <v>mailto:firstname193.lastname193@example.com?subject=Supply%20order%20ready%20for%20pickup&amp;body=Dear%20PSW%2C%0A%0AYour%20order%20is%20ready%20for%20pickup%20from%20Sample%20Branch%2C%20Wed-Fri%209am-4pm.</v>
      </c>
      <c r="AF139" s="89" t="str">
        <f t="shared" si="25"/>
        <v>Draft email</v>
      </c>
      <c r="AG139" s="64" t="str">
        <f>IF($C139="","",IFERROR(INDEX('Staff Directory'!$K$595:$K$599,MATCH($C139,'Staff Directory'!$B$5:$B$599,0)),$D139))</f>
        <v>PSW</v>
      </c>
      <c r="AH139" t="str">
        <f>IF($C139="","",IFERROR(INDEX('Staff Directory'!$I$595:$I$599,MATCH($C139,'Staff Directory'!$B$5:$B$599,0))&amp;" "&amp;INDEX('Staff Directory'!$J$595:$J$599,MATCH($C139,'Staff Directory'!$B$5:$B$599,0)),$AG139))</f>
        <v>PSW</v>
      </c>
      <c r="AI139" s="102"/>
      <c r="AJ139" s="101">
        <f>IF($F139="","",SUMIFS($J$5:$J139,$F$5:$F139,$F139))</f>
        <v>48</v>
      </c>
      <c r="AK139" s="101">
        <f t="shared" si="3"/>
        <v>47</v>
      </c>
      <c r="AL139" s="66" t="str" cm="1">
        <f t="array" ref="AL139">IF($F139="","",IFERROR(INDEX('Lot Balance'!$B$5:$B$500,MATCH(1,INDEX(('Lot Balance'!$A$5:$A$500=$F139)*('Lot Balance'!$K$5:$K$500&lt;$AK139)*('Lot Balance'!$K$5:$K$500+'Lot Balance'!$D$5:$D$500&gt;=$AK139),0),0)),""))</f>
        <v>563963-5</v>
      </c>
      <c r="AM139" s="66" t="str" cm="1">
        <f t="array" ref="AM139">IF($F139="","",IFERROR(INDEX('Lot Balance'!$B$5:$B$500,MATCH(1,INDEX(('Lot Balance'!$A$5:$A$500=$F139)*('Lot Balance'!$K$5:$K$500&lt;$AJ139)*('Lot Balance'!$K$5:$K$500+'Lot Balance'!$D$5:$D$500&gt;=$AJ139),0),0)),""))</f>
        <v>563963-5</v>
      </c>
      <c r="AN139" s="66" t="str">
        <f>IF($F139="","",IF($AI139&lt;&gt;"",IF(COUNTIFS('Lot Balance'!$A$5:$A$500,$F139,'Lot Balance'!$B$5:$B$500,$AI139)=0,"⚠ override is not a lot of this item",IF($AI139=$AL139,"Override = FEFO","Override - FEFO says "&amp;$AL139)),IF($AL139="","⚠ no receipt on file for this item",IF($AM139&lt;&gt;$AL139,"FEFO auto - split, also "&amp;$AM139,"FEFO auto"))))</f>
        <v>FEFO auto</v>
      </c>
      <c r="AO139" s="114"/>
    </row>
    <row r="140" spans="1:41" x14ac:dyDescent="0.35">
      <c r="A140" s="74">
        <v>46121</v>
      </c>
      <c r="B140" s="18" t="str">
        <f>IF($C140="","",IFERROR(INDEX('Staff Directory'!$A$5:$A$594,MATCH($C140,'Staff Directory'!$B$5:$B$594,0)),"⚠ unknown staff"))</f>
        <v>PSW-130-A6</v>
      </c>
      <c r="C140" s="49" t="s">
        <v>1109</v>
      </c>
      <c r="D140" s="19" t="str">
        <f>IF($B140="","",IFERROR(INDEX('Staff Directory'!$C$5:$C$594,MATCH($B140,'Staff Directory'!$A$5:$A$594,0)),""))</f>
        <v>PSW</v>
      </c>
      <c r="E140" s="19" t="str">
        <f>IF($B140="","",IFERROR(INDEX('Staff Directory'!$D$5:$D$594,MATCH($B140,'Staff Directory'!$A$5:$A$594,0)),""))</f>
        <v>A6</v>
      </c>
      <c r="F140" s="9" t="s">
        <v>115</v>
      </c>
      <c r="G140" s="18" t="str">
        <f>IF($F140="","",IFERROR(INDEX(Items!$B$5:$B$597,MATCH($F140,Items!$A$5:$A$597,0)),"⚠ not in Items"))</f>
        <v>Wipes</v>
      </c>
      <c r="H140" s="19">
        <f>IF($F140="","",IFERROR(INDEX(Items!$C$5:$C$597,MATCH($F140,Items!$A$5:$A$597,0)),""))</f>
        <v>80</v>
      </c>
      <c r="I140" s="23">
        <f>IF($F140="","",IFERROR(INDEX(Items!$E$5:$E$597,MATCH($F140,Items!$A$5:$A$597,0)),""))</f>
        <v>80</v>
      </c>
      <c r="J140" s="115">
        <f>IF(tblIssues[[#This Row],[Qty Override]]&lt;&gt;"",tblIssues[[#This Row],[Qty Override]],IF(tblIssues[[#This Row],[Standard Issue]]="","",tblIssues[[#This Row],[Standard Issue]]))</f>
        <v>80</v>
      </c>
      <c r="K140" s="20">
        <f>IF($F140="","",IFERROR(INDEX(Items!$D$5:$D$597,MATCH($F140,Items!$A$5:$A$597,0)),""))</f>
        <v>0.1</v>
      </c>
      <c r="L140" s="21">
        <f t="shared" si="28"/>
        <v>8</v>
      </c>
      <c r="M140" s="9" t="str">
        <f t="shared" si="29"/>
        <v>LYSL500290</v>
      </c>
      <c r="N140" s="24">
        <f>IF($A140="","",WORKDAY($A140,Settings!$C$9,HolidayDates))</f>
        <v>46129</v>
      </c>
      <c r="O140" s="24">
        <f>IF($N140="","",WORKDAY($N140,Settings!$C$10,HolidayDates))</f>
        <v>46169</v>
      </c>
      <c r="P140" s="10" t="s">
        <v>501</v>
      </c>
      <c r="Q140" s="52" t="str">
        <f t="shared" si="21"/>
        <v>Collected</v>
      </c>
      <c r="R140" s="55" t="str">
        <f t="shared" si="22"/>
        <v>2026-04</v>
      </c>
      <c r="S140" s="55">
        <f>IF(OR($B140="",$F140="",$R140=""),"",SUMIFS(tblIssues[Qty Issued],tblIssues[Staff ID],$B140,tblIssues[Item Name],$F140,tblIssues[Month],$R140))</f>
        <v>80</v>
      </c>
      <c r="T140" s="56">
        <f>IF($I140="","",$I140*Settings!$C$11)</f>
        <v>80</v>
      </c>
      <c r="U140" s="57" t="str">
        <f t="shared" si="30"/>
        <v>OK</v>
      </c>
      <c r="V140" s="55" t="str">
        <f t="shared" si="23"/>
        <v/>
      </c>
      <c r="W140" s="55" t="str">
        <f>IF($V140="","",IF(COUNTIF($V$5:$V140,$V140)=1,1,""))</f>
        <v/>
      </c>
      <c r="X140" s="58" t="str">
        <f>IF($W140="","",MAX($X$4:X139)+1)</f>
        <v/>
      </c>
      <c r="Y140" s="62"/>
      <c r="Z140" s="62"/>
      <c r="AA140" s="64" t="str">
        <f>IF($C140="","",IFERROR(INDEX('Staff Directory'!$E$5:$E$594,MATCH($C140,'Staff Directory'!$B$5:$B$594,0)),""))</f>
        <v>firstname193.lastname193@example.com</v>
      </c>
      <c r="AB140" s="64" t="str">
        <f>IF($C140="","",IF(ISNUMBER(SEARCH($D140,Settings!$C$15)),"Pickup","Dispatch"))</f>
        <v>Pickup</v>
      </c>
      <c r="AC140" s="64" t="str">
        <f t="shared" si="24"/>
        <v>Supply order ready for pickup</v>
      </c>
      <c r="AD140" s="64" t="str">
        <f t="shared" si="26"/>
        <v>Dear PSW,
Your order is ready for pickup from Sample Branch, Wed-Fri 9am-4pm.</v>
      </c>
      <c r="AE140" s="64" t="str">
        <f t="shared" si="27"/>
        <v>mailto:firstname193.lastname193@example.com?subject=Supply%20order%20ready%20for%20pickup&amp;body=Dear%20PSW%2C%0A%0AYour%20order%20is%20ready%20for%20pickup%20from%20Sample%20Branch%2C%20Wed-Fri%209am-4pm.</v>
      </c>
      <c r="AF140" s="89" t="str">
        <f t="shared" si="25"/>
        <v>Draft email</v>
      </c>
      <c r="AG140" s="64" t="str">
        <f>IF($C140="","",IFERROR(INDEX('Staff Directory'!$K$595:$K$599,MATCH($C140,'Staff Directory'!$B$5:$B$599,0)),$D140))</f>
        <v>PSW</v>
      </c>
      <c r="AH140" t="str">
        <f>IF($C140="","",IFERROR(INDEX('Staff Directory'!$I$595:$I$599,MATCH($C140,'Staff Directory'!$B$5:$B$599,0))&amp;" "&amp;INDEX('Staff Directory'!$J$595:$J$599,MATCH($C140,'Staff Directory'!$B$5:$B$599,0)),$AG140))</f>
        <v>PSW</v>
      </c>
      <c r="AI140" s="102"/>
      <c r="AJ140" s="101">
        <f>IF($F140="","",SUMIFS($J$5:$J140,$F$5:$F140,$F140))</f>
        <v>2320</v>
      </c>
      <c r="AK140" s="101">
        <f t="shared" si="3"/>
        <v>2241</v>
      </c>
      <c r="AL140" s="66" t="str" cm="1">
        <f t="array" ref="AL140">IF($F140="","",IFERROR(INDEX('Lot Balance'!$B$5:$B$500,MATCH(1,INDEX(('Lot Balance'!$A$5:$A$500=$F140)*('Lot Balance'!$K$5:$K$500&lt;$AK140)*('Lot Balance'!$K$5:$K$500+'Lot Balance'!$D$5:$D$500&gt;=$AK140),0),0)),""))</f>
        <v>LYSL500290</v>
      </c>
      <c r="AM140" s="66" t="str" cm="1">
        <f t="array" ref="AM140">IF($F140="","",IFERROR(INDEX('Lot Balance'!$B$5:$B$500,MATCH(1,INDEX(('Lot Balance'!$A$5:$A$500=$F140)*('Lot Balance'!$K$5:$K$500&lt;$AJ140)*('Lot Balance'!$K$5:$K$500+'Lot Balance'!$D$5:$D$500&gt;=$AJ140),0),0)),""))</f>
        <v>LYSL500290</v>
      </c>
      <c r="AN140" s="66" t="str">
        <f>IF($F140="","",IF($AI140&lt;&gt;"",IF(COUNTIFS('Lot Balance'!$A$5:$A$500,$F140,'Lot Balance'!$B$5:$B$500,$AI140)=0,"⚠ override is not a lot of this item",IF($AI140=$AL140,"Override = FEFO","Override - FEFO says "&amp;$AL140)),IF($AL140="","⚠ no receipt on file for this item",IF($AM140&lt;&gt;$AL140,"FEFO auto - split, also "&amp;$AM140,"FEFO auto"))))</f>
        <v>FEFO auto</v>
      </c>
      <c r="AO140" s="114"/>
    </row>
    <row r="141" spans="1:41" x14ac:dyDescent="0.35">
      <c r="A141" s="74">
        <v>46121</v>
      </c>
      <c r="B141" s="18" t="str">
        <f>IF($C141="","",IFERROR(INDEX('Staff Directory'!$A$5:$A$594,MATCH($C141,'Staff Directory'!$B$5:$B$594,0)),"⚠ unknown staff"))</f>
        <v>PSW-130-A6</v>
      </c>
      <c r="C141" s="49" t="s">
        <v>1109</v>
      </c>
      <c r="D141" s="19" t="str">
        <f>IF($B141="","",IFERROR(INDEX('Staff Directory'!$C$5:$C$594,MATCH($B141,'Staff Directory'!$A$5:$A$594,0)),""))</f>
        <v>PSW</v>
      </c>
      <c r="E141" s="19" t="str">
        <f>IF($B141="","",IFERROR(INDEX('Staff Directory'!$D$5:$D$594,MATCH($B141,'Staff Directory'!$A$5:$A$594,0)),""))</f>
        <v>A6</v>
      </c>
      <c r="F141" s="9" t="s">
        <v>156</v>
      </c>
      <c r="G141" s="18" t="str">
        <f>IF($F141="","",IFERROR(INDEX(Items!$B$5:$B$597,MATCH($F141,Items!$A$5:$A$597,0)),"⚠ not in Items"))</f>
        <v>Masks</v>
      </c>
      <c r="H141" s="19" t="str">
        <f>IF($F141="","",IFERROR(INDEX(Items!$C$5:$C$597,MATCH($F141,Items!$A$5:$A$597,0)),""))</f>
        <v>One Size</v>
      </c>
      <c r="I141" s="23">
        <f>IF($F141="","",IFERROR(INDEX(Items!$E$5:$E$597,MATCH($F141,Items!$A$5:$A$597,0)),""))</f>
        <v>50</v>
      </c>
      <c r="J141" s="115">
        <f>IF(tblIssues[[#This Row],[Qty Override]]&lt;&gt;"",tblIssues[[#This Row],[Qty Override]],IF(tblIssues[[#This Row],[Standard Issue]]="","",tblIssues[[#This Row],[Standard Issue]]))</f>
        <v>50</v>
      </c>
      <c r="K141" s="20">
        <f>IF($F141="","",IFERROR(INDEX(Items!$D$5:$D$597,MATCH($F141,Items!$A$5:$A$597,0)),""))</f>
        <v>0.25</v>
      </c>
      <c r="L141" s="21">
        <f t="shared" si="28"/>
        <v>12.5</v>
      </c>
      <c r="M141" s="9" t="str">
        <f t="shared" si="29"/>
        <v>0125FPC24-0</v>
      </c>
      <c r="N141" s="24">
        <f>IF($A141="","",WORKDAY($A141,Settings!$C$9,HolidayDates))</f>
        <v>46129</v>
      </c>
      <c r="O141" s="24">
        <f>IF($N141="","",WORKDAY($N141,Settings!$C$10,HolidayDates))</f>
        <v>46169</v>
      </c>
      <c r="P141" s="10" t="s">
        <v>501</v>
      </c>
      <c r="Q141" s="52" t="str">
        <f t="shared" si="21"/>
        <v>Collected</v>
      </c>
      <c r="R141" s="55" t="str">
        <f t="shared" si="22"/>
        <v>2026-04</v>
      </c>
      <c r="S141" s="55">
        <f>IF(OR($B141="",$F141="",$R141=""),"",SUMIFS(tblIssues[Qty Issued],tblIssues[Staff ID],$B141,tblIssues[Item Name],$F141,tblIssues[Month],$R141))</f>
        <v>50</v>
      </c>
      <c r="T141" s="56">
        <f>IF($I141="","",$I141*Settings!$C$11)</f>
        <v>50</v>
      </c>
      <c r="U141" s="57" t="str">
        <f t="shared" si="30"/>
        <v>OK</v>
      </c>
      <c r="V141" s="55" t="str">
        <f t="shared" si="23"/>
        <v/>
      </c>
      <c r="W141" s="55" t="str">
        <f>IF($V141="","",IF(COUNTIF($V$5:$V141,$V141)=1,1,""))</f>
        <v/>
      </c>
      <c r="X141" s="58" t="str">
        <f>IF($W141="","",MAX($X$4:X140)+1)</f>
        <v/>
      </c>
      <c r="Y141" s="62"/>
      <c r="Z141" s="62"/>
      <c r="AA141" s="64" t="str">
        <f>IF($C141="","",IFERROR(INDEX('Staff Directory'!$E$5:$E$594,MATCH($C141,'Staff Directory'!$B$5:$B$594,0)),""))</f>
        <v>firstname193.lastname193@example.com</v>
      </c>
      <c r="AB141" s="64" t="str">
        <f>IF($C141="","",IF(ISNUMBER(SEARCH($D141,Settings!$C$15)),"Pickup","Dispatch"))</f>
        <v>Pickup</v>
      </c>
      <c r="AC141" s="64" t="str">
        <f t="shared" si="24"/>
        <v>Supply order ready for pickup</v>
      </c>
      <c r="AD141" s="64" t="str">
        <f t="shared" si="26"/>
        <v>Dear PSW,
Your order is ready for pickup from Sample Branch, Wed-Fri 9am-4pm.</v>
      </c>
      <c r="AE141" s="64" t="str">
        <f t="shared" si="27"/>
        <v>mailto:firstname193.lastname193@example.com?subject=Supply%20order%20ready%20for%20pickup&amp;body=Dear%20PSW%2C%0A%0AYour%20order%20is%20ready%20for%20pickup%20from%20Sample%20Branch%2C%20Wed-Fri%209am-4pm.</v>
      </c>
      <c r="AF141" s="89" t="str">
        <f t="shared" si="25"/>
        <v>Draft email</v>
      </c>
      <c r="AG141" s="64" t="str">
        <f>IF($C141="","",IFERROR(INDEX('Staff Directory'!$K$595:$K$599,MATCH($C141,'Staff Directory'!$B$5:$B$599,0)),$D141))</f>
        <v>PSW</v>
      </c>
      <c r="AH141" t="str">
        <f>IF($C141="","",IFERROR(INDEX('Staff Directory'!$I$595:$I$599,MATCH($C141,'Staff Directory'!$B$5:$B$599,0))&amp;" "&amp;INDEX('Staff Directory'!$J$595:$J$599,MATCH($C141,'Staff Directory'!$B$5:$B$599,0)),$AG141))</f>
        <v>PSW</v>
      </c>
      <c r="AI141" s="102"/>
      <c r="AJ141" s="101">
        <f>IF($F141="","",SUMIFS($J$5:$J141,$F$5:$F141,$F141))</f>
        <v>1100</v>
      </c>
      <c r="AK141" s="101">
        <f t="shared" si="3"/>
        <v>1051</v>
      </c>
      <c r="AL141" s="66" t="str" cm="1">
        <f t="array" ref="AL141">IF($F141="","",IFERROR(INDEX('Lot Balance'!$B$5:$B$500,MATCH(1,INDEX(('Lot Balance'!$A$5:$A$500=$F141)*('Lot Balance'!$K$5:$K$500&lt;$AK141)*('Lot Balance'!$K$5:$K$500+'Lot Balance'!$D$5:$D$500&gt;=$AK141),0),0)),""))</f>
        <v>0125FPC24-0</v>
      </c>
      <c r="AM141" s="66" t="str" cm="1">
        <f t="array" ref="AM141">IF($F141="","",IFERROR(INDEX('Lot Balance'!$B$5:$B$500,MATCH(1,INDEX(('Lot Balance'!$A$5:$A$500=$F141)*('Lot Balance'!$K$5:$K$500&lt;$AJ141)*('Lot Balance'!$K$5:$K$500+'Lot Balance'!$D$5:$D$500&gt;=$AJ141),0),0)),""))</f>
        <v>0125FPC24-0</v>
      </c>
      <c r="AN141" s="66" t="str">
        <f>IF($F141="","",IF($AI141&lt;&gt;"",IF(COUNTIFS('Lot Balance'!$A$5:$A$500,$F141,'Lot Balance'!$B$5:$B$500,$AI141)=0,"⚠ override is not a lot of this item",IF($AI141=$AL141,"Override = FEFO","Override - FEFO says "&amp;$AL141)),IF($AL141="","⚠ no receipt on file for this item",IF($AM141&lt;&gt;$AL141,"FEFO auto - split, also "&amp;$AM141,"FEFO auto"))))</f>
        <v>FEFO auto</v>
      </c>
      <c r="AO141" s="114"/>
    </row>
    <row r="142" spans="1:41" x14ac:dyDescent="0.35">
      <c r="A142" s="74">
        <v>46121</v>
      </c>
      <c r="B142" s="18" t="str">
        <f>IF($C142="","",IFERROR(INDEX('Staff Directory'!$A$5:$A$594,MATCH($C142,'Staff Directory'!$B$5:$B$594,0)),"⚠ unknown staff"))</f>
        <v>PSW-130-A6</v>
      </c>
      <c r="C142" s="49" t="s">
        <v>1109</v>
      </c>
      <c r="D142" s="19" t="str">
        <f>IF($B142="","",IFERROR(INDEX('Staff Directory'!$C$5:$C$594,MATCH($B142,'Staff Directory'!$A$5:$A$594,0)),""))</f>
        <v>PSW</v>
      </c>
      <c r="E142" s="19" t="str">
        <f>IF($B142="","",IFERROR(INDEX('Staff Directory'!$D$5:$D$594,MATCH($B142,'Staff Directory'!$A$5:$A$594,0)),""))</f>
        <v>A6</v>
      </c>
      <c r="F142" s="9" t="s">
        <v>755</v>
      </c>
      <c r="G142" s="18" t="str">
        <f>IF($F142="","",IFERROR(INDEX(Items!$B$5:$B$597,MATCH($F142,Items!$A$5:$A$597,0)),"⚠ not in Items"))</f>
        <v>Documents</v>
      </c>
      <c r="H142" s="19" t="str">
        <f>IF($F142="","",IFERROR(INDEX(Items!$C$5:$C$597,MATCH($F142,Items!$A$5:$A$597,0)),""))</f>
        <v>Standard</v>
      </c>
      <c r="I142" s="23">
        <f>IF($F142="","",IFERROR(INDEX(Items!$E$5:$E$597,MATCH($F142,Items!$A$5:$A$597,0)),""))</f>
        <v>2</v>
      </c>
      <c r="J142" s="115">
        <f>IF(tblIssues[[#This Row],[Qty Override]]&lt;&gt;"",tblIssues[[#This Row],[Qty Override]],IF(tblIssues[[#This Row],[Standard Issue]]="","",tblIssues[[#This Row],[Standard Issue]]))</f>
        <v>2</v>
      </c>
      <c r="K142" s="20">
        <f>IF($F142="","",IFERROR(INDEX(Items!$D$5:$D$597,MATCH($F142,Items!$A$5:$A$597,0)),""))</f>
        <v>0</v>
      </c>
      <c r="L142" s="21">
        <f t="shared" si="28"/>
        <v>0</v>
      </c>
      <c r="M142" s="9" t="str">
        <f t="shared" si="29"/>
        <v/>
      </c>
      <c r="N142" s="24">
        <f>IF($A142="","",WORKDAY($A142,Settings!$C$9,HolidayDates))</f>
        <v>46129</v>
      </c>
      <c r="O142" s="24">
        <f>IF($N142="","",WORKDAY($N142,Settings!$C$10,HolidayDates))</f>
        <v>46169</v>
      </c>
      <c r="P142" s="10" t="s">
        <v>501</v>
      </c>
      <c r="Q142" s="52" t="str">
        <f t="shared" ref="Q142:Q205" si="31">IF($A142="","",IF($P142&lt;&gt;"","Collected","Pending"))</f>
        <v>Collected</v>
      </c>
      <c r="R142" s="55" t="str">
        <f t="shared" ref="R142:R205" si="32">IF($A142="","",TEXT($A142,"yyyy-mm"))</f>
        <v>2026-04</v>
      </c>
      <c r="S142" s="55">
        <f>IF(OR($B142="",$F142="",$R142=""),"",SUMIFS(tblIssues[Qty Issued],tblIssues[Staff ID],$B142,tblIssues[Item Name],$F142,tblIssues[Month],$R142))</f>
        <v>2</v>
      </c>
      <c r="T142" s="56">
        <f>IF($I142="","",$I142*Settings!$C$11)</f>
        <v>2</v>
      </c>
      <c r="U142" s="57" t="str">
        <f t="shared" si="30"/>
        <v>OK</v>
      </c>
      <c r="V142" s="55" t="str">
        <f t="shared" ref="V142:V205" si="33">IF($U142="⚠ OVER QUOTA",$B142&amp;" | "&amp;$F142&amp;" | "&amp;$R142,"")</f>
        <v/>
      </c>
      <c r="W142" s="55" t="str">
        <f>IF($V142="","",IF(COUNTIF($V$5:$V142,$V142)=1,1,""))</f>
        <v/>
      </c>
      <c r="X142" s="58" t="str">
        <f>IF($W142="","",MAX($X$4:X141)+1)</f>
        <v/>
      </c>
      <c r="Y142" s="62"/>
      <c r="Z142" s="62"/>
      <c r="AA142" s="64" t="str">
        <f>IF($C142="","",IFERROR(INDEX('Staff Directory'!$E$5:$E$594,MATCH($C142,'Staff Directory'!$B$5:$B$594,0)),""))</f>
        <v>firstname193.lastname193@example.com</v>
      </c>
      <c r="AB142" s="64" t="str">
        <f>IF($C142="","",IF(ISNUMBER(SEARCH($D142,Settings!$C$15)),"Pickup","Dispatch"))</f>
        <v>Pickup</v>
      </c>
      <c r="AC142" s="64" t="str">
        <f t="shared" ref="AC142:AC205" si="34">IF($AB142="Pickup","Supply order ready for pickup",IF($AB142="Dispatch","Supply order dispatched",""))</f>
        <v>Supply order ready for pickup</v>
      </c>
      <c r="AD142" s="64" t="str">
        <f t="shared" si="26"/>
        <v>Dear PSW,
Your order is ready for pickup from Sample Branch, Wed-Fri 9am-4pm.</v>
      </c>
      <c r="AE142" s="64" t="str">
        <f t="shared" si="27"/>
        <v>mailto:firstname193.lastname193@example.com?subject=Supply%20order%20ready%20for%20pickup&amp;body=Dear%20PSW%2C%0A%0AYour%20order%20is%20ready%20for%20pickup%20from%20Sample%20Branch%2C%20Wed-Fri%209am-4pm.</v>
      </c>
      <c r="AF142" s="89" t="str">
        <f t="shared" ref="AF142:AF205" si="35">IF(AE142="","",HYPERLINK(AE142,"Draft email"))</f>
        <v>Draft email</v>
      </c>
      <c r="AG142" s="64" t="str">
        <f>IF($C142="","",IFERROR(INDEX('Staff Directory'!$K$595:$K$599,MATCH($C142,'Staff Directory'!$B$5:$B$599,0)),$D142))</f>
        <v>PSW</v>
      </c>
      <c r="AH142" t="str">
        <f>IF($C142="","",IFERROR(INDEX('Staff Directory'!$I$595:$I$599,MATCH($C142,'Staff Directory'!$B$5:$B$599,0))&amp;" "&amp;INDEX('Staff Directory'!$J$595:$J$599,MATCH($C142,'Staff Directory'!$B$5:$B$599,0)),$AG142))</f>
        <v>PSW</v>
      </c>
      <c r="AI142" s="102"/>
      <c r="AJ142" s="101">
        <f>IF($F142="","",SUMIFS($J$5:$J142,$F$5:$F142,$F142))</f>
        <v>26</v>
      </c>
      <c r="AK142" s="101">
        <f t="shared" si="3"/>
        <v>25</v>
      </c>
      <c r="AL142" s="66" t="str" cm="1">
        <f t="array" ref="AL142">IF($F142="","",IFERROR(INDEX('Lot Balance'!$B$5:$B$500,MATCH(1,INDEX(('Lot Balance'!$A$5:$A$500=$F142)*('Lot Balance'!$K$5:$K$500&lt;$AK142)*('Lot Balance'!$K$5:$K$500+'Lot Balance'!$D$5:$D$500&gt;=$AK142),0),0)),""))</f>
        <v/>
      </c>
      <c r="AM142" s="66" t="str" cm="1">
        <f t="array" ref="AM142">IF($F142="","",IFERROR(INDEX('Lot Balance'!$B$5:$B$500,MATCH(1,INDEX(('Lot Balance'!$A$5:$A$500=$F142)*('Lot Balance'!$K$5:$K$500&lt;$AJ142)*('Lot Balance'!$K$5:$K$500+'Lot Balance'!$D$5:$D$500&gt;=$AJ142),0),0)),""))</f>
        <v/>
      </c>
      <c r="AN142" s="66" t="str">
        <f>IF($F142="","",IF($AI142&lt;&gt;"",IF(COUNTIFS('Lot Balance'!$A$5:$A$500,$F142,'Lot Balance'!$B$5:$B$500,$AI142)=0,"⚠ override is not a lot of this item",IF($AI142=$AL142,"Override = FEFO","Override - FEFO says "&amp;$AL142)),IF($AL142="","⚠ no receipt on file for this item",IF($AM142&lt;&gt;$AL142,"FEFO auto - split, also "&amp;$AM142,"FEFO auto"))))</f>
        <v>⚠ no receipt on file for this item</v>
      </c>
      <c r="AO142" s="114"/>
    </row>
    <row r="143" spans="1:41" x14ac:dyDescent="0.35">
      <c r="A143" s="74">
        <v>46121</v>
      </c>
      <c r="B143" s="18" t="str">
        <f>IF($C143="","",IFERROR(INDEX('Staff Directory'!$A$5:$A$594,MATCH($C143,'Staff Directory'!$B$5:$B$594,0)),"⚠ unknown staff"))</f>
        <v>PSW-095-A5</v>
      </c>
      <c r="C143" s="49" t="s">
        <v>1073</v>
      </c>
      <c r="D143" s="19" t="str">
        <f>IF($B143="","",IFERROR(INDEX('Staff Directory'!$C$5:$C$594,MATCH($B143,'Staff Directory'!$A$5:$A$594,0)),""))</f>
        <v>PSW</v>
      </c>
      <c r="E143" s="19" t="str">
        <f>IF($B143="","",IFERROR(INDEX('Staff Directory'!$D$5:$D$594,MATCH($B143,'Staff Directory'!$A$5:$A$594,0)),""))</f>
        <v>A5</v>
      </c>
      <c r="F143" s="9" t="s">
        <v>127</v>
      </c>
      <c r="G143" s="18" t="str">
        <f>IF($F143="","",IFERROR(INDEX(Items!$B$5:$B$597,MATCH($F143,Items!$A$5:$A$597,0)),"⚠ not in Items"))</f>
        <v>Gloves</v>
      </c>
      <c r="H143" s="19" t="str">
        <f>IF($F143="","",IFERROR(INDEX(Items!$C$5:$C$597,MATCH($F143,Items!$A$5:$A$597,0)),""))</f>
        <v>Medium</v>
      </c>
      <c r="I143" s="23">
        <f>IF($F143="","",IFERROR(INDEX(Items!$E$5:$E$597,MATCH($F143,Items!$A$5:$A$597,0)),""))</f>
        <v>500</v>
      </c>
      <c r="J143" s="115">
        <f>IF(tblIssues[[#This Row],[Qty Override]]&lt;&gt;"",tblIssues[[#This Row],[Qty Override]],IF(tblIssues[[#This Row],[Standard Issue]]="","",tblIssues[[#This Row],[Standard Issue]]))</f>
        <v>500</v>
      </c>
      <c r="K143" s="20">
        <f>IF($F143="","",IFERROR(INDEX(Items!$D$5:$D$597,MATCH($F143,Items!$A$5:$A$597,0)),""))</f>
        <v>5.5E-2</v>
      </c>
      <c r="L143" s="21">
        <f t="shared" si="28"/>
        <v>27.5</v>
      </c>
      <c r="M143" s="9" t="str">
        <f t="shared" si="29"/>
        <v>O17104</v>
      </c>
      <c r="N143" s="24">
        <f>IF($A143="","",WORKDAY($A143,Settings!$C$9,HolidayDates))</f>
        <v>46129</v>
      </c>
      <c r="O143" s="24">
        <f>IF($N143="","",WORKDAY($N143,Settings!$C$10,HolidayDates))</f>
        <v>46169</v>
      </c>
      <c r="P143" s="10" t="s">
        <v>501</v>
      </c>
      <c r="Q143" s="52" t="str">
        <f t="shared" si="31"/>
        <v>Collected</v>
      </c>
      <c r="R143" s="55" t="str">
        <f t="shared" si="32"/>
        <v>2026-04</v>
      </c>
      <c r="S143" s="55">
        <f>IF(OR($B143="",$F143="",$R143=""),"",SUMIFS(tblIssues[Qty Issued],tblIssues[Staff ID],$B143,tblIssues[Item Name],$F143,tblIssues[Month],$R143))</f>
        <v>500</v>
      </c>
      <c r="T143" s="56">
        <f>IF($I143="","",$I143*Settings!$C$11)</f>
        <v>500</v>
      </c>
      <c r="U143" s="57" t="str">
        <f t="shared" si="30"/>
        <v>OK</v>
      </c>
      <c r="V143" s="55" t="str">
        <f t="shared" si="33"/>
        <v/>
      </c>
      <c r="W143" s="55" t="str">
        <f>IF($V143="","",IF(COUNTIF($V$5:$V143,$V143)=1,1,""))</f>
        <v/>
      </c>
      <c r="X143" s="58" t="str">
        <f>IF($W143="","",MAX($X$4:X142)+1)</f>
        <v/>
      </c>
      <c r="Y143" s="62"/>
      <c r="Z143" s="62"/>
      <c r="AA143" s="64" t="str">
        <f>IF($C143="","",IFERROR(INDEX('Staff Directory'!$E$5:$E$594,MATCH($C143,'Staff Directory'!$B$5:$B$594,0)),""))</f>
        <v>firstname157.lastname157@example.com</v>
      </c>
      <c r="AB143" s="64" t="str">
        <f>IF($C143="","",IF(ISNUMBER(SEARCH($D143,Settings!$C$15)),"Pickup","Dispatch"))</f>
        <v>Pickup</v>
      </c>
      <c r="AC143" s="64" t="str">
        <f t="shared" si="34"/>
        <v>Supply order ready for pickup</v>
      </c>
      <c r="AD143" s="64" t="str">
        <f t="shared" si="26"/>
        <v>Dear PSW,
Your order is ready for pickup from Sample Branch, Wed-Fri 9am-4pm.</v>
      </c>
      <c r="AE143" s="64" t="str">
        <f t="shared" si="27"/>
        <v>mailto:firstname157.lastname157@example.com?subject=Supply%20order%20ready%20for%20pickup&amp;body=Dear%20PSW%2C%0A%0AYour%20order%20is%20ready%20for%20pickup%20from%20Sample%20Branch%2C%20Wed-Fri%209am-4pm.</v>
      </c>
      <c r="AF143" s="89" t="str">
        <f t="shared" si="35"/>
        <v>Draft email</v>
      </c>
      <c r="AG143" s="64" t="str">
        <f>IF($C143="","",IFERROR(INDEX('Staff Directory'!$K$595:$K$599,MATCH($C143,'Staff Directory'!$B$5:$B$599,0)),$D143))</f>
        <v>PSW</v>
      </c>
      <c r="AH143" t="str">
        <f>IF($C143="","",IFERROR(INDEX('Staff Directory'!$I$595:$I$599,MATCH($C143,'Staff Directory'!$B$5:$B$599,0))&amp;" "&amp;INDEX('Staff Directory'!$J$595:$J$599,MATCH($C143,'Staff Directory'!$B$5:$B$599,0)),$AG143))</f>
        <v>PSW</v>
      </c>
      <c r="AI143" s="102"/>
      <c r="AJ143" s="101">
        <f>IF($F143="","",SUMIFS($J$5:$J143,$F$5:$F143,$F143))</f>
        <v>9500</v>
      </c>
      <c r="AK143" s="101">
        <f t="shared" si="3"/>
        <v>9001</v>
      </c>
      <c r="AL143" s="66" t="str" cm="1">
        <f t="array" ref="AL143">IF($F143="","",IFERROR(INDEX('Lot Balance'!$B$5:$B$500,MATCH(1,INDEX(('Lot Balance'!$A$5:$A$500=$F143)*('Lot Balance'!$K$5:$K$500&lt;$AK143)*('Lot Balance'!$K$5:$K$500+'Lot Balance'!$D$5:$D$500&gt;=$AK143),0),0)),""))</f>
        <v>O17104</v>
      </c>
      <c r="AM143" s="66" t="str" cm="1">
        <f t="array" ref="AM143">IF($F143="","",IFERROR(INDEX('Lot Balance'!$B$5:$B$500,MATCH(1,INDEX(('Lot Balance'!$A$5:$A$500=$F143)*('Lot Balance'!$K$5:$K$500&lt;$AJ143)*('Lot Balance'!$K$5:$K$500+'Lot Balance'!$D$5:$D$500&gt;=$AJ143),0),0)),""))</f>
        <v>O17104</v>
      </c>
      <c r="AN143" s="66" t="str">
        <f>IF($F143="","",IF($AI143&lt;&gt;"",IF(COUNTIFS('Lot Balance'!$A$5:$A$500,$F143,'Lot Balance'!$B$5:$B$500,$AI143)=0,"⚠ override is not a lot of this item",IF($AI143=$AL143,"Override = FEFO","Override - FEFO says "&amp;$AL143)),IF($AL143="","⚠ no receipt on file for this item",IF($AM143&lt;&gt;$AL143,"FEFO auto - split, also "&amp;$AM143,"FEFO auto"))))</f>
        <v>FEFO auto</v>
      </c>
      <c r="AO143" s="114"/>
    </row>
    <row r="144" spans="1:41" x14ac:dyDescent="0.35">
      <c r="A144" s="74">
        <v>46121</v>
      </c>
      <c r="B144" s="18" t="str">
        <f>IF($C144="","",IFERROR(INDEX('Staff Directory'!$A$5:$A$594,MATCH($C144,'Staff Directory'!$B$5:$B$594,0)),"⚠ unknown staff"))</f>
        <v>PSW-095-A5</v>
      </c>
      <c r="C144" s="49" t="s">
        <v>1073</v>
      </c>
      <c r="D144" s="19" t="str">
        <f>IF($B144="","",IFERROR(INDEX('Staff Directory'!$C$5:$C$594,MATCH($B144,'Staff Directory'!$A$5:$A$594,0)),""))</f>
        <v>PSW</v>
      </c>
      <c r="E144" s="19" t="str">
        <f>IF($B144="","",IFERROR(INDEX('Staff Directory'!$D$5:$D$594,MATCH($B144,'Staff Directory'!$A$5:$A$594,0)),""))</f>
        <v>A5</v>
      </c>
      <c r="F144" s="9" t="s">
        <v>137</v>
      </c>
      <c r="G144" s="18" t="str">
        <f>IF($F144="","",IFERROR(INDEX(Items!$B$5:$B$597,MATCH($F144,Items!$A$5:$A$597,0)),"⚠ not in Items"))</f>
        <v>Sanitizer</v>
      </c>
      <c r="H144" s="19" t="str">
        <f>IF($F144="","",IFERROR(INDEX(Items!$C$5:$C$597,MATCH($F144,Items!$A$5:$A$597,0)),""))</f>
        <v>118 ML</v>
      </c>
      <c r="I144" s="23">
        <f>IF($F144="","",IFERROR(INDEX(Items!$E$5:$E$597,MATCH($F144,Items!$A$5:$A$597,0)),""))</f>
        <v>2</v>
      </c>
      <c r="J144" s="115">
        <f>IF(tblIssues[[#This Row],[Qty Override]]&lt;&gt;"",tblIssues[[#This Row],[Qty Override]],IF(tblIssues[[#This Row],[Standard Issue]]="","",tblIssues[[#This Row],[Standard Issue]]))</f>
        <v>2</v>
      </c>
      <c r="K144" s="20">
        <f>IF($F144="","",IFERROR(INDEX(Items!$D$5:$D$597,MATCH($F144,Items!$A$5:$A$597,0)),""))</f>
        <v>4.49</v>
      </c>
      <c r="L144" s="21">
        <f t="shared" si="28"/>
        <v>8.98</v>
      </c>
      <c r="M144" s="9" t="str">
        <f t="shared" si="29"/>
        <v>563963-5</v>
      </c>
      <c r="N144" s="24">
        <f>IF($A144="","",WORKDAY($A144,Settings!$C$9,HolidayDates))</f>
        <v>46129</v>
      </c>
      <c r="O144" s="24">
        <f>IF($N144="","",WORKDAY($N144,Settings!$C$10,HolidayDates))</f>
        <v>46169</v>
      </c>
      <c r="P144" s="10" t="s">
        <v>501</v>
      </c>
      <c r="Q144" s="52" t="str">
        <f t="shared" si="31"/>
        <v>Collected</v>
      </c>
      <c r="R144" s="55" t="str">
        <f t="shared" si="32"/>
        <v>2026-04</v>
      </c>
      <c r="S144" s="55">
        <f>IF(OR($B144="",$F144="",$R144=""),"",SUMIFS(tblIssues[Qty Issued],tblIssues[Staff ID],$B144,tblIssues[Item Name],$F144,tblIssues[Month],$R144))</f>
        <v>2</v>
      </c>
      <c r="T144" s="56">
        <f>IF($I144="","",$I144*Settings!$C$11)</f>
        <v>2</v>
      </c>
      <c r="U144" s="57" t="str">
        <f t="shared" si="30"/>
        <v>OK</v>
      </c>
      <c r="V144" s="55" t="str">
        <f t="shared" si="33"/>
        <v/>
      </c>
      <c r="W144" s="55" t="str">
        <f>IF($V144="","",IF(COUNTIF($V$5:$V144,$V144)=1,1,""))</f>
        <v/>
      </c>
      <c r="X144" s="58" t="str">
        <f>IF($W144="","",MAX($X$4:X143)+1)</f>
        <v/>
      </c>
      <c r="Y144" s="62"/>
      <c r="Z144" s="62"/>
      <c r="AA144" s="64" t="str">
        <f>IF($C144="","",IFERROR(INDEX('Staff Directory'!$E$5:$E$594,MATCH($C144,'Staff Directory'!$B$5:$B$594,0)),""))</f>
        <v>firstname157.lastname157@example.com</v>
      </c>
      <c r="AB144" s="64" t="str">
        <f>IF($C144="","",IF(ISNUMBER(SEARCH($D144,Settings!$C$15)),"Pickup","Dispatch"))</f>
        <v>Pickup</v>
      </c>
      <c r="AC144" s="64" t="str">
        <f t="shared" si="34"/>
        <v>Supply order ready for pickup</v>
      </c>
      <c r="AD144" s="64" t="str">
        <f t="shared" si="26"/>
        <v>Dear PSW,
Your order is ready for pickup from Sample Branch, Wed-Fri 9am-4pm.</v>
      </c>
      <c r="AE144" s="64" t="str">
        <f t="shared" si="27"/>
        <v>mailto:firstname157.lastname157@example.com?subject=Supply%20order%20ready%20for%20pickup&amp;body=Dear%20PSW%2C%0A%0AYour%20order%20is%20ready%20for%20pickup%20from%20Sample%20Branch%2C%20Wed-Fri%209am-4pm.</v>
      </c>
      <c r="AF144" s="89" t="str">
        <f t="shared" si="35"/>
        <v>Draft email</v>
      </c>
      <c r="AG144" s="64" t="str">
        <f>IF($C144="","",IFERROR(INDEX('Staff Directory'!$K$595:$K$599,MATCH($C144,'Staff Directory'!$B$5:$B$599,0)),$D144))</f>
        <v>PSW</v>
      </c>
      <c r="AH144" t="str">
        <f>IF($C144="","",IFERROR(INDEX('Staff Directory'!$I$595:$I$599,MATCH($C144,'Staff Directory'!$B$5:$B$599,0))&amp;" "&amp;INDEX('Staff Directory'!$J$595:$J$599,MATCH($C144,'Staff Directory'!$B$5:$B$599,0)),$AG144))</f>
        <v>PSW</v>
      </c>
      <c r="AI144" s="102"/>
      <c r="AJ144" s="101">
        <f>IF($F144="","",SUMIFS($J$5:$J144,$F$5:$F144,$F144))</f>
        <v>50</v>
      </c>
      <c r="AK144" s="101">
        <f t="shared" si="3"/>
        <v>49</v>
      </c>
      <c r="AL144" s="66" t="str" cm="1">
        <f t="array" ref="AL144">IF($F144="","",IFERROR(INDEX('Lot Balance'!$B$5:$B$500,MATCH(1,INDEX(('Lot Balance'!$A$5:$A$500=$F144)*('Lot Balance'!$K$5:$K$500&lt;$AK144)*('Lot Balance'!$K$5:$K$500+'Lot Balance'!$D$5:$D$500&gt;=$AK144),0),0)),""))</f>
        <v>563963-5</v>
      </c>
      <c r="AM144" s="66" t="str" cm="1">
        <f t="array" ref="AM144">IF($F144="","",IFERROR(INDEX('Lot Balance'!$B$5:$B$500,MATCH(1,INDEX(('Lot Balance'!$A$5:$A$500=$F144)*('Lot Balance'!$K$5:$K$500&lt;$AJ144)*('Lot Balance'!$K$5:$K$500+'Lot Balance'!$D$5:$D$500&gt;=$AJ144),0),0)),""))</f>
        <v>563963-5</v>
      </c>
      <c r="AN144" s="66" t="str">
        <f>IF($F144="","",IF($AI144&lt;&gt;"",IF(COUNTIFS('Lot Balance'!$A$5:$A$500,$F144,'Lot Balance'!$B$5:$B$500,$AI144)=0,"⚠ override is not a lot of this item",IF($AI144=$AL144,"Override = FEFO","Override - FEFO says "&amp;$AL144)),IF($AL144="","⚠ no receipt on file for this item",IF($AM144&lt;&gt;$AL144,"FEFO auto - split, also "&amp;$AM144,"FEFO auto"))))</f>
        <v>FEFO auto</v>
      </c>
      <c r="AO144" s="114"/>
    </row>
    <row r="145" spans="1:41" x14ac:dyDescent="0.35">
      <c r="A145" s="74">
        <v>46121</v>
      </c>
      <c r="B145" s="18" t="str">
        <f>IF($C145="","",IFERROR(INDEX('Staff Directory'!$A$5:$A$594,MATCH($C145,'Staff Directory'!$B$5:$B$594,0)),"⚠ unknown staff"))</f>
        <v>PSW-095-A5</v>
      </c>
      <c r="C145" s="49" t="s">
        <v>1073</v>
      </c>
      <c r="D145" s="19" t="str">
        <f>IF($B145="","",IFERROR(INDEX('Staff Directory'!$C$5:$C$594,MATCH($B145,'Staff Directory'!$A$5:$A$594,0)),""))</f>
        <v>PSW</v>
      </c>
      <c r="E145" s="19" t="str">
        <f>IF($B145="","",IFERROR(INDEX('Staff Directory'!$D$5:$D$594,MATCH($B145,'Staff Directory'!$A$5:$A$594,0)),""))</f>
        <v>A5</v>
      </c>
      <c r="F145" s="9" t="s">
        <v>115</v>
      </c>
      <c r="G145" s="18" t="str">
        <f>IF($F145="","",IFERROR(INDEX(Items!$B$5:$B$597,MATCH($F145,Items!$A$5:$A$597,0)),"⚠ not in Items"))</f>
        <v>Wipes</v>
      </c>
      <c r="H145" s="19">
        <f>IF($F145="","",IFERROR(INDEX(Items!$C$5:$C$597,MATCH($F145,Items!$A$5:$A$597,0)),""))</f>
        <v>80</v>
      </c>
      <c r="I145" s="23">
        <f>IF($F145="","",IFERROR(INDEX(Items!$E$5:$E$597,MATCH($F145,Items!$A$5:$A$597,0)),""))</f>
        <v>80</v>
      </c>
      <c r="J145" s="115">
        <f>IF(tblIssues[[#This Row],[Qty Override]]&lt;&gt;"",tblIssues[[#This Row],[Qty Override]],IF(tblIssues[[#This Row],[Standard Issue]]="","",tblIssues[[#This Row],[Standard Issue]]))</f>
        <v>80</v>
      </c>
      <c r="K145" s="20">
        <f>IF($F145="","",IFERROR(INDEX(Items!$D$5:$D$597,MATCH($F145,Items!$A$5:$A$597,0)),""))</f>
        <v>0.1</v>
      </c>
      <c r="L145" s="21">
        <f t="shared" si="28"/>
        <v>8</v>
      </c>
      <c r="M145" s="9" t="str">
        <f t="shared" si="29"/>
        <v>LYSL500290</v>
      </c>
      <c r="N145" s="24">
        <f>IF($A145="","",WORKDAY($A145,Settings!$C$9,HolidayDates))</f>
        <v>46129</v>
      </c>
      <c r="O145" s="24">
        <f>IF($N145="","",WORKDAY($N145,Settings!$C$10,HolidayDates))</f>
        <v>46169</v>
      </c>
      <c r="P145" s="10" t="s">
        <v>501</v>
      </c>
      <c r="Q145" s="52" t="str">
        <f t="shared" si="31"/>
        <v>Collected</v>
      </c>
      <c r="R145" s="55" t="str">
        <f t="shared" si="32"/>
        <v>2026-04</v>
      </c>
      <c r="S145" s="55">
        <f>IF(OR($B145="",$F145="",$R145=""),"",SUMIFS(tblIssues[Qty Issued],tblIssues[Staff ID],$B145,tblIssues[Item Name],$F145,tblIssues[Month],$R145))</f>
        <v>80</v>
      </c>
      <c r="T145" s="56">
        <f>IF($I145="","",$I145*Settings!$C$11)</f>
        <v>80</v>
      </c>
      <c r="U145" s="57" t="str">
        <f t="shared" si="30"/>
        <v>OK</v>
      </c>
      <c r="V145" s="55" t="str">
        <f t="shared" si="33"/>
        <v/>
      </c>
      <c r="W145" s="55" t="str">
        <f>IF($V145="","",IF(COUNTIF($V$5:$V145,$V145)=1,1,""))</f>
        <v/>
      </c>
      <c r="X145" s="58" t="str">
        <f>IF($W145="","",MAX($X$4:X144)+1)</f>
        <v/>
      </c>
      <c r="Y145" s="62"/>
      <c r="Z145" s="62"/>
      <c r="AA145" s="64" t="str">
        <f>IF($C145="","",IFERROR(INDEX('Staff Directory'!$E$5:$E$594,MATCH($C145,'Staff Directory'!$B$5:$B$594,0)),""))</f>
        <v>firstname157.lastname157@example.com</v>
      </c>
      <c r="AB145" s="64" t="str">
        <f>IF($C145="","",IF(ISNUMBER(SEARCH($D145,Settings!$C$15)),"Pickup","Dispatch"))</f>
        <v>Pickup</v>
      </c>
      <c r="AC145" s="64" t="str">
        <f t="shared" si="34"/>
        <v>Supply order ready for pickup</v>
      </c>
      <c r="AD145" s="64" t="str">
        <f t="shared" si="26"/>
        <v>Dear PSW,
Your order is ready for pickup from Sample Branch, Wed-Fri 9am-4pm.</v>
      </c>
      <c r="AE145" s="64" t="str">
        <f t="shared" si="27"/>
        <v>mailto:firstname157.lastname157@example.com?subject=Supply%20order%20ready%20for%20pickup&amp;body=Dear%20PSW%2C%0A%0AYour%20order%20is%20ready%20for%20pickup%20from%20Sample%20Branch%2C%20Wed-Fri%209am-4pm.</v>
      </c>
      <c r="AF145" s="89" t="str">
        <f t="shared" si="35"/>
        <v>Draft email</v>
      </c>
      <c r="AG145" s="64" t="str">
        <f>IF($C145="","",IFERROR(INDEX('Staff Directory'!$K$595:$K$599,MATCH($C145,'Staff Directory'!$B$5:$B$599,0)),$D145))</f>
        <v>PSW</v>
      </c>
      <c r="AH145" t="str">
        <f>IF($C145="","",IFERROR(INDEX('Staff Directory'!$I$595:$I$599,MATCH($C145,'Staff Directory'!$B$5:$B$599,0))&amp;" "&amp;INDEX('Staff Directory'!$J$595:$J$599,MATCH($C145,'Staff Directory'!$B$5:$B$599,0)),$AG145))</f>
        <v>PSW</v>
      </c>
      <c r="AI145" s="102"/>
      <c r="AJ145" s="101">
        <f>IF($F145="","",SUMIFS($J$5:$J145,$F$5:$F145,$F145))</f>
        <v>2400</v>
      </c>
      <c r="AK145" s="101">
        <f t="shared" si="3"/>
        <v>2321</v>
      </c>
      <c r="AL145" s="66" t="str" cm="1">
        <f t="array" ref="AL145">IF($F145="","",IFERROR(INDEX('Lot Balance'!$B$5:$B$500,MATCH(1,INDEX(('Lot Balance'!$A$5:$A$500=$F145)*('Lot Balance'!$K$5:$K$500&lt;$AK145)*('Lot Balance'!$K$5:$K$500+'Lot Balance'!$D$5:$D$500&gt;=$AK145),0),0)),""))</f>
        <v>LYSL500290</v>
      </c>
      <c r="AM145" s="66" t="str" cm="1">
        <f t="array" ref="AM145">IF($F145="","",IFERROR(INDEX('Lot Balance'!$B$5:$B$500,MATCH(1,INDEX(('Lot Balance'!$A$5:$A$500=$F145)*('Lot Balance'!$K$5:$K$500&lt;$AJ145)*('Lot Balance'!$K$5:$K$500+'Lot Balance'!$D$5:$D$500&gt;=$AJ145),0),0)),""))</f>
        <v>LYSL500290</v>
      </c>
      <c r="AN145" s="66" t="str">
        <f>IF($F145="","",IF($AI145&lt;&gt;"",IF(COUNTIFS('Lot Balance'!$A$5:$A$500,$F145,'Lot Balance'!$B$5:$B$500,$AI145)=0,"⚠ override is not a lot of this item",IF($AI145=$AL145,"Override = FEFO","Override - FEFO says "&amp;$AL145)),IF($AL145="","⚠ no receipt on file for this item",IF($AM145&lt;&gt;$AL145,"FEFO auto - split, also "&amp;$AM145,"FEFO auto"))))</f>
        <v>FEFO auto</v>
      </c>
      <c r="AO145" s="114"/>
    </row>
    <row r="146" spans="1:41" x14ac:dyDescent="0.35">
      <c r="A146" s="74">
        <v>46121</v>
      </c>
      <c r="B146" s="18" t="str">
        <f>IF($C146="","",IFERROR(INDEX('Staff Directory'!$A$5:$A$594,MATCH($C146,'Staff Directory'!$B$5:$B$594,0)),"⚠ unknown staff"))</f>
        <v>PSW-095-A5</v>
      </c>
      <c r="C146" s="49" t="s">
        <v>1073</v>
      </c>
      <c r="D146" s="19" t="str">
        <f>IF($B146="","",IFERROR(INDEX('Staff Directory'!$C$5:$C$594,MATCH($B146,'Staff Directory'!$A$5:$A$594,0)),""))</f>
        <v>PSW</v>
      </c>
      <c r="E146" s="19" t="str">
        <f>IF($B146="","",IFERROR(INDEX('Staff Directory'!$D$5:$D$594,MATCH($B146,'Staff Directory'!$A$5:$A$594,0)),""))</f>
        <v>A5</v>
      </c>
      <c r="F146" s="9" t="s">
        <v>156</v>
      </c>
      <c r="G146" s="18" t="str">
        <f>IF($F146="","",IFERROR(INDEX(Items!$B$5:$B$597,MATCH($F146,Items!$A$5:$A$597,0)),"⚠ not in Items"))</f>
        <v>Masks</v>
      </c>
      <c r="H146" s="19" t="str">
        <f>IF($F146="","",IFERROR(INDEX(Items!$C$5:$C$597,MATCH($F146,Items!$A$5:$A$597,0)),""))</f>
        <v>One Size</v>
      </c>
      <c r="I146" s="23">
        <f>IF($F146="","",IFERROR(INDEX(Items!$E$5:$E$597,MATCH($F146,Items!$A$5:$A$597,0)),""))</f>
        <v>50</v>
      </c>
      <c r="J146" s="115">
        <f>IF(tblIssues[[#This Row],[Qty Override]]&lt;&gt;"",tblIssues[[#This Row],[Qty Override]],IF(tblIssues[[#This Row],[Standard Issue]]="","",tblIssues[[#This Row],[Standard Issue]]))</f>
        <v>50</v>
      </c>
      <c r="K146" s="20">
        <f>IF($F146="","",IFERROR(INDEX(Items!$D$5:$D$597,MATCH($F146,Items!$A$5:$A$597,0)),""))</f>
        <v>0.25</v>
      </c>
      <c r="L146" s="21">
        <f t="shared" si="28"/>
        <v>12.5</v>
      </c>
      <c r="M146" s="9" t="str">
        <f t="shared" si="29"/>
        <v>0125FPC24-0</v>
      </c>
      <c r="N146" s="24">
        <f>IF($A146="","",WORKDAY($A146,Settings!$C$9,HolidayDates))</f>
        <v>46129</v>
      </c>
      <c r="O146" s="24">
        <f>IF($N146="","",WORKDAY($N146,Settings!$C$10,HolidayDates))</f>
        <v>46169</v>
      </c>
      <c r="P146" s="10" t="s">
        <v>501</v>
      </c>
      <c r="Q146" s="52" t="str">
        <f t="shared" si="31"/>
        <v>Collected</v>
      </c>
      <c r="R146" s="55" t="str">
        <f t="shared" si="32"/>
        <v>2026-04</v>
      </c>
      <c r="S146" s="55">
        <f>IF(OR($B146="",$F146="",$R146=""),"",SUMIFS(tblIssues[Qty Issued],tblIssues[Staff ID],$B146,tblIssues[Item Name],$F146,tblIssues[Month],$R146))</f>
        <v>50</v>
      </c>
      <c r="T146" s="56">
        <f>IF($I146="","",$I146*Settings!$C$11)</f>
        <v>50</v>
      </c>
      <c r="U146" s="57" t="str">
        <f t="shared" si="30"/>
        <v>OK</v>
      </c>
      <c r="V146" s="55" t="str">
        <f t="shared" si="33"/>
        <v/>
      </c>
      <c r="W146" s="55" t="str">
        <f>IF($V146="","",IF(COUNTIF($V$5:$V146,$V146)=1,1,""))</f>
        <v/>
      </c>
      <c r="X146" s="58" t="str">
        <f>IF($W146="","",MAX($X$4:X145)+1)</f>
        <v/>
      </c>
      <c r="Y146" s="62"/>
      <c r="Z146" s="62"/>
      <c r="AA146" s="64" t="str">
        <f>IF($C146="","",IFERROR(INDEX('Staff Directory'!$E$5:$E$594,MATCH($C146,'Staff Directory'!$B$5:$B$594,0)),""))</f>
        <v>firstname157.lastname157@example.com</v>
      </c>
      <c r="AB146" s="64" t="str">
        <f>IF($C146="","",IF(ISNUMBER(SEARCH($D146,Settings!$C$15)),"Pickup","Dispatch"))</f>
        <v>Pickup</v>
      </c>
      <c r="AC146" s="64" t="str">
        <f t="shared" si="34"/>
        <v>Supply order ready for pickup</v>
      </c>
      <c r="AD146" s="64" t="str">
        <f t="shared" si="26"/>
        <v>Dear PSW,
Your order is ready for pickup from Sample Branch, Wed-Fri 9am-4pm.</v>
      </c>
      <c r="AE146" s="64" t="str">
        <f t="shared" si="27"/>
        <v>mailto:firstname157.lastname157@example.com?subject=Supply%20order%20ready%20for%20pickup&amp;body=Dear%20PSW%2C%0A%0AYour%20order%20is%20ready%20for%20pickup%20from%20Sample%20Branch%2C%20Wed-Fri%209am-4pm.</v>
      </c>
      <c r="AF146" s="89" t="str">
        <f t="shared" si="35"/>
        <v>Draft email</v>
      </c>
      <c r="AG146" s="64" t="str">
        <f>IF($C146="","",IFERROR(INDEX('Staff Directory'!$K$595:$K$599,MATCH($C146,'Staff Directory'!$B$5:$B$599,0)),$D146))</f>
        <v>PSW</v>
      </c>
      <c r="AH146" t="str">
        <f>IF($C146="","",IFERROR(INDEX('Staff Directory'!$I$595:$I$599,MATCH($C146,'Staff Directory'!$B$5:$B$599,0))&amp;" "&amp;INDEX('Staff Directory'!$J$595:$J$599,MATCH($C146,'Staff Directory'!$B$5:$B$599,0)),$AG146))</f>
        <v>PSW</v>
      </c>
      <c r="AI146" s="102"/>
      <c r="AJ146" s="101">
        <f>IF($F146="","",SUMIFS($J$5:$J146,$F$5:$F146,$F146))</f>
        <v>1150</v>
      </c>
      <c r="AK146" s="101">
        <f t="shared" si="3"/>
        <v>1101</v>
      </c>
      <c r="AL146" s="66" t="str" cm="1">
        <f t="array" ref="AL146">IF($F146="","",IFERROR(INDEX('Lot Balance'!$B$5:$B$500,MATCH(1,INDEX(('Lot Balance'!$A$5:$A$500=$F146)*('Lot Balance'!$K$5:$K$500&lt;$AK146)*('Lot Balance'!$K$5:$K$500+'Lot Balance'!$D$5:$D$500&gt;=$AK146),0),0)),""))</f>
        <v>0125FPC24-0</v>
      </c>
      <c r="AM146" s="66" t="str" cm="1">
        <f t="array" ref="AM146">IF($F146="","",IFERROR(INDEX('Lot Balance'!$B$5:$B$500,MATCH(1,INDEX(('Lot Balance'!$A$5:$A$500=$F146)*('Lot Balance'!$K$5:$K$500&lt;$AJ146)*('Lot Balance'!$K$5:$K$500+'Lot Balance'!$D$5:$D$500&gt;=$AJ146),0),0)),""))</f>
        <v>0125FPC24-0</v>
      </c>
      <c r="AN146" s="66" t="str">
        <f>IF($F146="","",IF($AI146&lt;&gt;"",IF(COUNTIFS('Lot Balance'!$A$5:$A$500,$F146,'Lot Balance'!$B$5:$B$500,$AI146)=0,"⚠ override is not a lot of this item",IF($AI146=$AL146,"Override = FEFO","Override - FEFO says "&amp;$AL146)),IF($AL146="","⚠ no receipt on file for this item",IF($AM146&lt;&gt;$AL146,"FEFO auto - split, also "&amp;$AM146,"FEFO auto"))))</f>
        <v>FEFO auto</v>
      </c>
      <c r="AO146" s="114"/>
    </row>
    <row r="147" spans="1:41" x14ac:dyDescent="0.35">
      <c r="A147" s="74">
        <v>46121</v>
      </c>
      <c r="B147" s="18" t="str">
        <f>IF($C147="","",IFERROR(INDEX('Staff Directory'!$A$5:$A$594,MATCH($C147,'Staff Directory'!$B$5:$B$594,0)),"⚠ unknown staff"))</f>
        <v>PSW-095-A5</v>
      </c>
      <c r="C147" s="49" t="s">
        <v>1073</v>
      </c>
      <c r="D147" s="19" t="str">
        <f>IF($B147="","",IFERROR(INDEX('Staff Directory'!$C$5:$C$594,MATCH($B147,'Staff Directory'!$A$5:$A$594,0)),""))</f>
        <v>PSW</v>
      </c>
      <c r="E147" s="19" t="str">
        <f>IF($B147="","",IFERROR(INDEX('Staff Directory'!$D$5:$D$594,MATCH($B147,'Staff Directory'!$A$5:$A$594,0)),""))</f>
        <v>A5</v>
      </c>
      <c r="F147" s="9" t="s">
        <v>147</v>
      </c>
      <c r="G147" s="18" t="str">
        <f>IF($F147="","",IFERROR(INDEX(Items!$B$5:$B$597,MATCH($F147,Items!$A$5:$A$597,0)),"⚠ not in Items"))</f>
        <v>Apparel</v>
      </c>
      <c r="H147" s="19" t="str">
        <f>IF($F147="","",IFERROR(INDEX(Items!$C$5:$C$597,MATCH($F147,Items!$A$5:$A$597,0)),""))</f>
        <v>One Size</v>
      </c>
      <c r="I147" s="23">
        <f>IF($F147="","",IFERROR(INDEX(Items!$E$5:$E$597,MATCH($F147,Items!$A$5:$A$597,0)),""))</f>
        <v>5</v>
      </c>
      <c r="J147" s="115">
        <f>IF(tblIssues[[#This Row],[Qty Override]]&lt;&gt;"",tblIssues[[#This Row],[Qty Override]],IF(tblIssues[[#This Row],[Standard Issue]]="","",tblIssues[[#This Row],[Standard Issue]]))</f>
        <v>5</v>
      </c>
      <c r="K147" s="20">
        <f>IF($F147="","",IFERROR(INDEX(Items!$D$5:$D$597,MATCH($F147,Items!$A$5:$A$597,0)),""))</f>
        <v>3</v>
      </c>
      <c r="L147" s="21">
        <f t="shared" si="28"/>
        <v>15</v>
      </c>
      <c r="M147" s="9" t="str">
        <f t="shared" si="29"/>
        <v>YG500280</v>
      </c>
      <c r="N147" s="24">
        <f>IF($A147="","",WORKDAY($A147,Settings!$C$9,HolidayDates))</f>
        <v>46129</v>
      </c>
      <c r="O147" s="24">
        <f>IF($N147="","",WORKDAY($N147,Settings!$C$10,HolidayDates))</f>
        <v>46169</v>
      </c>
      <c r="P147" s="10" t="s">
        <v>501</v>
      </c>
      <c r="Q147" s="52" t="str">
        <f t="shared" si="31"/>
        <v>Collected</v>
      </c>
      <c r="R147" s="55" t="str">
        <f t="shared" si="32"/>
        <v>2026-04</v>
      </c>
      <c r="S147" s="55">
        <f>IF(OR($B147="",$F147="",$R147=""),"",SUMIFS(tblIssues[Qty Issued],tblIssues[Staff ID],$B147,tblIssues[Item Name],$F147,tblIssues[Month],$R147))</f>
        <v>5</v>
      </c>
      <c r="T147" s="56">
        <f>IF($I147="","",$I147*Settings!$C$11)</f>
        <v>5</v>
      </c>
      <c r="U147" s="57" t="str">
        <f t="shared" si="30"/>
        <v>OK</v>
      </c>
      <c r="V147" s="55" t="str">
        <f t="shared" si="33"/>
        <v/>
      </c>
      <c r="W147" s="55" t="str">
        <f>IF($V147="","",IF(COUNTIF($V$5:$V147,$V147)=1,1,""))</f>
        <v/>
      </c>
      <c r="X147" s="58" t="str">
        <f>IF($W147="","",MAX($X$4:X146)+1)</f>
        <v/>
      </c>
      <c r="Y147" s="62"/>
      <c r="Z147" s="62"/>
      <c r="AA147" s="64" t="str">
        <f>IF($C147="","",IFERROR(INDEX('Staff Directory'!$E$5:$E$594,MATCH($C147,'Staff Directory'!$B$5:$B$594,0)),""))</f>
        <v>firstname157.lastname157@example.com</v>
      </c>
      <c r="AB147" s="64" t="str">
        <f>IF($C147="","",IF(ISNUMBER(SEARCH($D147,Settings!$C$15)),"Pickup","Dispatch"))</f>
        <v>Pickup</v>
      </c>
      <c r="AC147" s="64" t="str">
        <f t="shared" si="34"/>
        <v>Supply order ready for pickup</v>
      </c>
      <c r="AD147" s="64" t="str">
        <f t="shared" si="26"/>
        <v>Dear PSW,
Your order is ready for pickup from Sample Branch, Wed-Fri 9am-4pm.</v>
      </c>
      <c r="AE147" s="64" t="str">
        <f t="shared" si="27"/>
        <v>mailto:firstname157.lastname157@example.com?subject=Supply%20order%20ready%20for%20pickup&amp;body=Dear%20PSW%2C%0A%0AYour%20order%20is%20ready%20for%20pickup%20from%20Sample%20Branch%2C%20Wed-Fri%209am-4pm.</v>
      </c>
      <c r="AF147" s="89" t="str">
        <f t="shared" si="35"/>
        <v>Draft email</v>
      </c>
      <c r="AG147" s="64" t="str">
        <f>IF($C147="","",IFERROR(INDEX('Staff Directory'!$K$595:$K$599,MATCH($C147,'Staff Directory'!$B$5:$B$599,0)),$D147))</f>
        <v>PSW</v>
      </c>
      <c r="AH147" t="str">
        <f>IF($C147="","",IFERROR(INDEX('Staff Directory'!$I$595:$I$599,MATCH($C147,'Staff Directory'!$B$5:$B$599,0))&amp;" "&amp;INDEX('Staff Directory'!$J$595:$J$599,MATCH($C147,'Staff Directory'!$B$5:$B$599,0)),$AG147))</f>
        <v>PSW</v>
      </c>
      <c r="AI147" s="102"/>
      <c r="AJ147" s="101">
        <f>IF($F147="","",SUMIFS($J$5:$J147,$F$5:$F147,$F147))</f>
        <v>10</v>
      </c>
      <c r="AK147" s="101">
        <f t="shared" si="3"/>
        <v>6</v>
      </c>
      <c r="AL147" s="66" t="str" cm="1">
        <f t="array" ref="AL147">IF($F147="","",IFERROR(INDEX('Lot Balance'!$B$5:$B$500,MATCH(1,INDEX(('Lot Balance'!$A$5:$A$500=$F147)*('Lot Balance'!$K$5:$K$500&lt;$AK147)*('Lot Balance'!$K$5:$K$500+'Lot Balance'!$D$5:$D$500&gt;=$AK147),0),0)),""))</f>
        <v>YG500280</v>
      </c>
      <c r="AM147" s="66" t="str" cm="1">
        <f t="array" ref="AM147">IF($F147="","",IFERROR(INDEX('Lot Balance'!$B$5:$B$500,MATCH(1,INDEX(('Lot Balance'!$A$5:$A$500=$F147)*('Lot Balance'!$K$5:$K$500&lt;$AJ147)*('Lot Balance'!$K$5:$K$500+'Lot Balance'!$D$5:$D$500&gt;=$AJ147),0),0)),""))</f>
        <v>YG500280</v>
      </c>
      <c r="AN147" s="66" t="str">
        <f>IF($F147="","",IF($AI147&lt;&gt;"",IF(COUNTIFS('Lot Balance'!$A$5:$A$500,$F147,'Lot Balance'!$B$5:$B$500,$AI147)=0,"⚠ override is not a lot of this item",IF($AI147=$AL147,"Override = FEFO","Override - FEFO says "&amp;$AL147)),IF($AL147="","⚠ no receipt on file for this item",IF($AM147&lt;&gt;$AL147,"FEFO auto - split, also "&amp;$AM147,"FEFO auto"))))</f>
        <v>FEFO auto</v>
      </c>
      <c r="AO147" s="114"/>
    </row>
    <row r="148" spans="1:41" x14ac:dyDescent="0.35">
      <c r="A148" s="74">
        <v>46121</v>
      </c>
      <c r="B148" s="18" t="str">
        <f>IF($C148="","",IFERROR(INDEX('Staff Directory'!$A$5:$A$594,MATCH($C148,'Staff Directory'!$B$5:$B$594,0)),"⚠ unknown staff"))</f>
        <v>PSW-095-A5</v>
      </c>
      <c r="C148" s="49" t="s">
        <v>1073</v>
      </c>
      <c r="D148" s="19" t="str">
        <f>IF($B148="","",IFERROR(INDEX('Staff Directory'!$C$5:$C$594,MATCH($B148,'Staff Directory'!$A$5:$A$594,0)),""))</f>
        <v>PSW</v>
      </c>
      <c r="E148" s="19" t="str">
        <f>IF($B148="","",IFERROR(INDEX('Staff Directory'!$D$5:$D$594,MATCH($B148,'Staff Directory'!$A$5:$A$594,0)),""))</f>
        <v>A5</v>
      </c>
      <c r="F148" s="9" t="s">
        <v>755</v>
      </c>
      <c r="G148" s="18" t="str">
        <f>IF($F148="","",IFERROR(INDEX(Items!$B$5:$B$597,MATCH($F148,Items!$A$5:$A$597,0)),"⚠ not in Items"))</f>
        <v>Documents</v>
      </c>
      <c r="H148" s="19" t="str">
        <f>IF($F148="","",IFERROR(INDEX(Items!$C$5:$C$597,MATCH($F148,Items!$A$5:$A$597,0)),""))</f>
        <v>Standard</v>
      </c>
      <c r="I148" s="23">
        <f>IF($F148="","",IFERROR(INDEX(Items!$E$5:$E$597,MATCH($F148,Items!$A$5:$A$597,0)),""))</f>
        <v>2</v>
      </c>
      <c r="J148" s="115">
        <f>IF(tblIssues[[#This Row],[Qty Override]]&lt;&gt;"",tblIssues[[#This Row],[Qty Override]],IF(tblIssues[[#This Row],[Standard Issue]]="","",tblIssues[[#This Row],[Standard Issue]]))</f>
        <v>2</v>
      </c>
      <c r="K148" s="20">
        <f>IF($F148="","",IFERROR(INDEX(Items!$D$5:$D$597,MATCH($F148,Items!$A$5:$A$597,0)),""))</f>
        <v>0</v>
      </c>
      <c r="L148" s="21">
        <f t="shared" si="28"/>
        <v>0</v>
      </c>
      <c r="M148" s="9" t="str">
        <f t="shared" si="29"/>
        <v/>
      </c>
      <c r="N148" s="24">
        <f>IF($A148="","",WORKDAY($A148,Settings!$C$9,HolidayDates))</f>
        <v>46129</v>
      </c>
      <c r="O148" s="24">
        <f>IF($N148="","",WORKDAY($N148,Settings!$C$10,HolidayDates))</f>
        <v>46169</v>
      </c>
      <c r="P148" s="10" t="s">
        <v>501</v>
      </c>
      <c r="Q148" s="52" t="str">
        <f t="shared" si="31"/>
        <v>Collected</v>
      </c>
      <c r="R148" s="55" t="str">
        <f t="shared" si="32"/>
        <v>2026-04</v>
      </c>
      <c r="S148" s="55">
        <f>IF(OR($B148="",$F148="",$R148=""),"",SUMIFS(tblIssues[Qty Issued],tblIssues[Staff ID],$B148,tblIssues[Item Name],$F148,tblIssues[Month],$R148))</f>
        <v>2</v>
      </c>
      <c r="T148" s="56">
        <f>IF($I148="","",$I148*Settings!$C$11)</f>
        <v>2</v>
      </c>
      <c r="U148" s="57" t="str">
        <f t="shared" si="30"/>
        <v>OK</v>
      </c>
      <c r="V148" s="55" t="str">
        <f t="shared" si="33"/>
        <v/>
      </c>
      <c r="W148" s="55" t="str">
        <f>IF($V148="","",IF(COUNTIF($V$5:$V148,$V148)=1,1,""))</f>
        <v/>
      </c>
      <c r="X148" s="58" t="str">
        <f>IF($W148="","",MAX($X$4:X147)+1)</f>
        <v/>
      </c>
      <c r="Y148" s="62"/>
      <c r="Z148" s="62"/>
      <c r="AA148" s="64" t="str">
        <f>IF($C148="","",IFERROR(INDEX('Staff Directory'!$E$5:$E$594,MATCH($C148,'Staff Directory'!$B$5:$B$594,0)),""))</f>
        <v>firstname157.lastname157@example.com</v>
      </c>
      <c r="AB148" s="64" t="str">
        <f>IF($C148="","",IF(ISNUMBER(SEARCH($D148,Settings!$C$15)),"Pickup","Dispatch"))</f>
        <v>Pickup</v>
      </c>
      <c r="AC148" s="64" t="str">
        <f t="shared" si="34"/>
        <v>Supply order ready for pickup</v>
      </c>
      <c r="AD148" s="64" t="str">
        <f t="shared" si="26"/>
        <v>Dear PSW,
Your order is ready for pickup from Sample Branch, Wed-Fri 9am-4pm.</v>
      </c>
      <c r="AE148" s="64" t="str">
        <f t="shared" si="27"/>
        <v>mailto:firstname157.lastname157@example.com?subject=Supply%20order%20ready%20for%20pickup&amp;body=Dear%20PSW%2C%0A%0AYour%20order%20is%20ready%20for%20pickup%20from%20Sample%20Branch%2C%20Wed-Fri%209am-4pm.</v>
      </c>
      <c r="AF148" s="89" t="str">
        <f t="shared" si="35"/>
        <v>Draft email</v>
      </c>
      <c r="AG148" s="64" t="str">
        <f>IF($C148="","",IFERROR(INDEX('Staff Directory'!$K$595:$K$599,MATCH($C148,'Staff Directory'!$B$5:$B$599,0)),$D148))</f>
        <v>PSW</v>
      </c>
      <c r="AH148" t="str">
        <f>IF($C148="","",IFERROR(INDEX('Staff Directory'!$I$595:$I$599,MATCH($C148,'Staff Directory'!$B$5:$B$599,0))&amp;" "&amp;INDEX('Staff Directory'!$J$595:$J$599,MATCH($C148,'Staff Directory'!$B$5:$B$599,0)),$AG148))</f>
        <v>PSW</v>
      </c>
      <c r="AI148" s="102"/>
      <c r="AJ148" s="101">
        <f>IF($F148="","",SUMIFS($J$5:$J148,$F$5:$F148,$F148))</f>
        <v>28</v>
      </c>
      <c r="AK148" s="101">
        <f t="shared" si="3"/>
        <v>27</v>
      </c>
      <c r="AL148" s="66" t="str" cm="1">
        <f t="array" ref="AL148">IF($F148="","",IFERROR(INDEX('Lot Balance'!$B$5:$B$500,MATCH(1,INDEX(('Lot Balance'!$A$5:$A$500=$F148)*('Lot Balance'!$K$5:$K$500&lt;$AK148)*('Lot Balance'!$K$5:$K$500+'Lot Balance'!$D$5:$D$500&gt;=$AK148),0),0)),""))</f>
        <v/>
      </c>
      <c r="AM148" s="66" t="str" cm="1">
        <f t="array" ref="AM148">IF($F148="","",IFERROR(INDEX('Lot Balance'!$B$5:$B$500,MATCH(1,INDEX(('Lot Balance'!$A$5:$A$500=$F148)*('Lot Balance'!$K$5:$K$500&lt;$AJ148)*('Lot Balance'!$K$5:$K$500+'Lot Balance'!$D$5:$D$500&gt;=$AJ148),0),0)),""))</f>
        <v/>
      </c>
      <c r="AN148" s="66" t="str">
        <f>IF($F148="","",IF($AI148&lt;&gt;"",IF(COUNTIFS('Lot Balance'!$A$5:$A$500,$F148,'Lot Balance'!$B$5:$B$500,$AI148)=0,"⚠ override is not a lot of this item",IF($AI148=$AL148,"Override = FEFO","Override - FEFO says "&amp;$AL148)),IF($AL148="","⚠ no receipt on file for this item",IF($AM148&lt;&gt;$AL148,"FEFO auto - split, also "&amp;$AM148,"FEFO auto"))))</f>
        <v>⚠ no receipt on file for this item</v>
      </c>
      <c r="AO148" s="114"/>
    </row>
    <row r="149" spans="1:41" x14ac:dyDescent="0.35">
      <c r="A149" s="74">
        <v>46121</v>
      </c>
      <c r="B149" s="18" t="str">
        <f>IF($C149="","",IFERROR(INDEX('Staff Directory'!$A$5:$A$594,MATCH($C149,'Staff Directory'!$B$5:$B$594,0)),"⚠ unknown staff"))</f>
        <v>PSW-030-A4</v>
      </c>
      <c r="C149" s="49" t="s">
        <v>1005</v>
      </c>
      <c r="D149" s="19" t="str">
        <f>IF($B149="","",IFERROR(INDEX('Staff Directory'!$C$5:$C$594,MATCH($B149,'Staff Directory'!$A$5:$A$594,0)),""))</f>
        <v>PSW</v>
      </c>
      <c r="E149" s="19" t="str">
        <f>IF($B149="","",IFERROR(INDEX('Staff Directory'!$D$5:$D$594,MATCH($B149,'Staff Directory'!$A$5:$A$594,0)),""))</f>
        <v>A4</v>
      </c>
      <c r="F149" s="9" t="s">
        <v>127</v>
      </c>
      <c r="G149" s="18" t="str">
        <f>IF($F149="","",IFERROR(INDEX(Items!$B$5:$B$597,MATCH($F149,Items!$A$5:$A$597,0)),"⚠ not in Items"))</f>
        <v>Gloves</v>
      </c>
      <c r="H149" s="19" t="str">
        <f>IF($F149="","",IFERROR(INDEX(Items!$C$5:$C$597,MATCH($F149,Items!$A$5:$A$597,0)),""))</f>
        <v>Medium</v>
      </c>
      <c r="I149" s="23">
        <f>IF($F149="","",IFERROR(INDEX(Items!$E$5:$E$597,MATCH($F149,Items!$A$5:$A$597,0)),""))</f>
        <v>500</v>
      </c>
      <c r="J149" s="115">
        <f>IF(tblIssues[[#This Row],[Qty Override]]&lt;&gt;"",tblIssues[[#This Row],[Qty Override]],IF(tblIssues[[#This Row],[Standard Issue]]="","",tblIssues[[#This Row],[Standard Issue]]))</f>
        <v>500</v>
      </c>
      <c r="K149" s="20">
        <f>IF($F149="","",IFERROR(INDEX(Items!$D$5:$D$597,MATCH($F149,Items!$A$5:$A$597,0)),""))</f>
        <v>5.5E-2</v>
      </c>
      <c r="L149" s="21">
        <f t="shared" si="28"/>
        <v>27.5</v>
      </c>
      <c r="M149" s="9" t="str">
        <f t="shared" si="29"/>
        <v>O17104</v>
      </c>
      <c r="N149" s="24">
        <f>IF($A149="","",WORKDAY($A149,Settings!$C$9,HolidayDates))</f>
        <v>46129</v>
      </c>
      <c r="O149" s="24">
        <f>IF($N149="","",WORKDAY($N149,Settings!$C$10,HolidayDates))</f>
        <v>46169</v>
      </c>
      <c r="P149" s="10" t="s">
        <v>501</v>
      </c>
      <c r="Q149" s="52" t="str">
        <f t="shared" si="31"/>
        <v>Collected</v>
      </c>
      <c r="R149" s="55" t="str">
        <f t="shared" si="32"/>
        <v>2026-04</v>
      </c>
      <c r="S149" s="55">
        <f>IF(OR($B149="",$F149="",$R149=""),"",SUMIFS(tblIssues[Qty Issued],tblIssues[Staff ID],$B149,tblIssues[Item Name],$F149,tblIssues[Month],$R149))</f>
        <v>500</v>
      </c>
      <c r="T149" s="56">
        <f>IF($I149="","",$I149*Settings!$C$11)</f>
        <v>500</v>
      </c>
      <c r="U149" s="57" t="str">
        <f t="shared" si="30"/>
        <v>OK</v>
      </c>
      <c r="V149" s="55" t="str">
        <f t="shared" si="33"/>
        <v/>
      </c>
      <c r="W149" s="55" t="str">
        <f>IF($V149="","",IF(COUNTIF($V$5:$V149,$V149)=1,1,""))</f>
        <v/>
      </c>
      <c r="X149" s="58" t="str">
        <f>IF($W149="","",MAX($X$4:X148)+1)</f>
        <v/>
      </c>
      <c r="Y149" s="62"/>
      <c r="Z149" s="62"/>
      <c r="AA149" s="64" t="str">
        <f>IF($C149="","",IFERROR(INDEX('Staff Directory'!$E$5:$E$594,MATCH($C149,'Staff Directory'!$B$5:$B$594,0)),""))</f>
        <v>firstname089.lastname089@example.com</v>
      </c>
      <c r="AB149" s="64" t="str">
        <f>IF($C149="","",IF(ISNUMBER(SEARCH($D149,Settings!$C$15)),"Pickup","Dispatch"))</f>
        <v>Pickup</v>
      </c>
      <c r="AC149" s="64" t="str">
        <f t="shared" si="34"/>
        <v>Supply order ready for pickup</v>
      </c>
      <c r="AD149" s="64" t="str">
        <f t="shared" si="26"/>
        <v>Dear PSW,
Your order is ready for pickup from Sample Branch, Wed-Fri 9am-4pm.</v>
      </c>
      <c r="AE149" s="64" t="str">
        <f t="shared" si="27"/>
        <v>mailto:firstname089.lastname089@example.com?subject=Supply%20order%20ready%20for%20pickup&amp;body=Dear%20PSW%2C%0A%0AYour%20order%20is%20ready%20for%20pickup%20from%20Sample%20Branch%2C%20Wed-Fri%209am-4pm.</v>
      </c>
      <c r="AF149" s="89" t="str">
        <f t="shared" si="35"/>
        <v>Draft email</v>
      </c>
      <c r="AG149" s="64" t="str">
        <f>IF($C149="","",IFERROR(INDEX('Staff Directory'!$K$595:$K$599,MATCH($C149,'Staff Directory'!$B$5:$B$599,0)),$D149))</f>
        <v>PSW</v>
      </c>
      <c r="AH149" t="str">
        <f>IF($C149="","",IFERROR(INDEX('Staff Directory'!$I$595:$I$599,MATCH($C149,'Staff Directory'!$B$5:$B$599,0))&amp;" "&amp;INDEX('Staff Directory'!$J$595:$J$599,MATCH($C149,'Staff Directory'!$B$5:$B$599,0)),$AG149))</f>
        <v>PSW</v>
      </c>
      <c r="AI149" s="102"/>
      <c r="AJ149" s="101">
        <f>IF($F149="","",SUMIFS($J$5:$J149,$F$5:$F149,$F149))</f>
        <v>10000</v>
      </c>
      <c r="AK149" s="101">
        <f t="shared" si="3"/>
        <v>9501</v>
      </c>
      <c r="AL149" s="66" t="str" cm="1">
        <f t="array" ref="AL149">IF($F149="","",IFERROR(INDEX('Lot Balance'!$B$5:$B$500,MATCH(1,INDEX(('Lot Balance'!$A$5:$A$500=$F149)*('Lot Balance'!$K$5:$K$500&lt;$AK149)*('Lot Balance'!$K$5:$K$500+'Lot Balance'!$D$5:$D$500&gt;=$AK149),0),0)),""))</f>
        <v>O17104</v>
      </c>
      <c r="AM149" s="66" t="str" cm="1">
        <f t="array" ref="AM149">IF($F149="","",IFERROR(INDEX('Lot Balance'!$B$5:$B$500,MATCH(1,INDEX(('Lot Balance'!$A$5:$A$500=$F149)*('Lot Balance'!$K$5:$K$500&lt;$AJ149)*('Lot Balance'!$K$5:$K$500+'Lot Balance'!$D$5:$D$500&gt;=$AJ149),0),0)),""))</f>
        <v>O17104</v>
      </c>
      <c r="AN149" s="66" t="str">
        <f>IF($F149="","",IF($AI149&lt;&gt;"",IF(COUNTIFS('Lot Balance'!$A$5:$A$500,$F149,'Lot Balance'!$B$5:$B$500,$AI149)=0,"⚠ override is not a lot of this item",IF($AI149=$AL149,"Override = FEFO","Override - FEFO says "&amp;$AL149)),IF($AL149="","⚠ no receipt on file for this item",IF($AM149&lt;&gt;$AL149,"FEFO auto - split, also "&amp;$AM149,"FEFO auto"))))</f>
        <v>FEFO auto</v>
      </c>
      <c r="AO149" s="114"/>
    </row>
    <row r="150" spans="1:41" x14ac:dyDescent="0.35">
      <c r="A150" s="74">
        <v>46121</v>
      </c>
      <c r="B150" s="18" t="str">
        <f>IF($C150="","",IFERROR(INDEX('Staff Directory'!$A$5:$A$594,MATCH($C150,'Staff Directory'!$B$5:$B$594,0)),"⚠ unknown staff"))</f>
        <v>PSW-030-A4</v>
      </c>
      <c r="C150" s="49" t="s">
        <v>1005</v>
      </c>
      <c r="D150" s="19" t="str">
        <f>IF($B150="","",IFERROR(INDEX('Staff Directory'!$C$5:$C$594,MATCH($B150,'Staff Directory'!$A$5:$A$594,0)),""))</f>
        <v>PSW</v>
      </c>
      <c r="E150" s="19" t="str">
        <f>IF($B150="","",IFERROR(INDEX('Staff Directory'!$D$5:$D$594,MATCH($B150,'Staff Directory'!$A$5:$A$594,0)),""))</f>
        <v>A4</v>
      </c>
      <c r="F150" s="9" t="s">
        <v>137</v>
      </c>
      <c r="G150" s="18" t="str">
        <f>IF($F150="","",IFERROR(INDEX(Items!$B$5:$B$597,MATCH($F150,Items!$A$5:$A$597,0)),"⚠ not in Items"))</f>
        <v>Sanitizer</v>
      </c>
      <c r="H150" s="19" t="str">
        <f>IF($F150="","",IFERROR(INDEX(Items!$C$5:$C$597,MATCH($F150,Items!$A$5:$A$597,0)),""))</f>
        <v>118 ML</v>
      </c>
      <c r="I150" s="23">
        <f>IF($F150="","",IFERROR(INDEX(Items!$E$5:$E$597,MATCH($F150,Items!$A$5:$A$597,0)),""))</f>
        <v>2</v>
      </c>
      <c r="J150" s="115">
        <f>IF(tblIssues[[#This Row],[Qty Override]]&lt;&gt;"",tblIssues[[#This Row],[Qty Override]],IF(tblIssues[[#This Row],[Standard Issue]]="","",tblIssues[[#This Row],[Standard Issue]]))</f>
        <v>2</v>
      </c>
      <c r="K150" s="20">
        <f>IF($F150="","",IFERROR(INDEX(Items!$D$5:$D$597,MATCH($F150,Items!$A$5:$A$597,0)),""))</f>
        <v>4.49</v>
      </c>
      <c r="L150" s="21">
        <f t="shared" si="28"/>
        <v>8.98</v>
      </c>
      <c r="M150" s="9" t="str">
        <f t="shared" si="29"/>
        <v>563963-5</v>
      </c>
      <c r="N150" s="24">
        <f>IF($A150="","",WORKDAY($A150,Settings!$C$9,HolidayDates))</f>
        <v>46129</v>
      </c>
      <c r="O150" s="24">
        <f>IF($N150="","",WORKDAY($N150,Settings!$C$10,HolidayDates))</f>
        <v>46169</v>
      </c>
      <c r="P150" s="10" t="s">
        <v>501</v>
      </c>
      <c r="Q150" s="52" t="str">
        <f t="shared" si="31"/>
        <v>Collected</v>
      </c>
      <c r="R150" s="55" t="str">
        <f t="shared" si="32"/>
        <v>2026-04</v>
      </c>
      <c r="S150" s="55">
        <f>IF(OR($B150="",$F150="",$R150=""),"",SUMIFS(tblIssues[Qty Issued],tblIssues[Staff ID],$B150,tblIssues[Item Name],$F150,tblIssues[Month],$R150))</f>
        <v>2</v>
      </c>
      <c r="T150" s="56">
        <f>IF($I150="","",$I150*Settings!$C$11)</f>
        <v>2</v>
      </c>
      <c r="U150" s="57" t="str">
        <f t="shared" si="30"/>
        <v>OK</v>
      </c>
      <c r="V150" s="55" t="str">
        <f t="shared" si="33"/>
        <v/>
      </c>
      <c r="W150" s="55" t="str">
        <f>IF($V150="","",IF(COUNTIF($V$5:$V150,$V150)=1,1,""))</f>
        <v/>
      </c>
      <c r="X150" s="58" t="str">
        <f>IF($W150="","",MAX($X$4:X149)+1)</f>
        <v/>
      </c>
      <c r="Y150" s="62"/>
      <c r="Z150" s="62"/>
      <c r="AA150" s="64" t="str">
        <f>IF($C150="","",IFERROR(INDEX('Staff Directory'!$E$5:$E$594,MATCH($C150,'Staff Directory'!$B$5:$B$594,0)),""))</f>
        <v>firstname089.lastname089@example.com</v>
      </c>
      <c r="AB150" s="64" t="str">
        <f>IF($C150="","",IF(ISNUMBER(SEARCH($D150,Settings!$C$15)),"Pickup","Dispatch"))</f>
        <v>Pickup</v>
      </c>
      <c r="AC150" s="64" t="str">
        <f t="shared" si="34"/>
        <v>Supply order ready for pickup</v>
      </c>
      <c r="AD150" s="64" t="str">
        <f t="shared" si="26"/>
        <v>Dear PSW,
Your order is ready for pickup from Sample Branch, Wed-Fri 9am-4pm.</v>
      </c>
      <c r="AE150" s="64" t="str">
        <f t="shared" si="27"/>
        <v>mailto:firstname089.lastname089@example.com?subject=Supply%20order%20ready%20for%20pickup&amp;body=Dear%20PSW%2C%0A%0AYour%20order%20is%20ready%20for%20pickup%20from%20Sample%20Branch%2C%20Wed-Fri%209am-4pm.</v>
      </c>
      <c r="AF150" s="89" t="str">
        <f t="shared" si="35"/>
        <v>Draft email</v>
      </c>
      <c r="AG150" s="64" t="str">
        <f>IF($C150="","",IFERROR(INDEX('Staff Directory'!$K$595:$K$599,MATCH($C150,'Staff Directory'!$B$5:$B$599,0)),$D150))</f>
        <v>PSW</v>
      </c>
      <c r="AH150" t="str">
        <f>IF($C150="","",IFERROR(INDEX('Staff Directory'!$I$595:$I$599,MATCH($C150,'Staff Directory'!$B$5:$B$599,0))&amp;" "&amp;INDEX('Staff Directory'!$J$595:$J$599,MATCH($C150,'Staff Directory'!$B$5:$B$599,0)),$AG150))</f>
        <v>PSW</v>
      </c>
      <c r="AI150" s="102"/>
      <c r="AJ150" s="101">
        <f>IF($F150="","",SUMIFS($J$5:$J150,$F$5:$F150,$F150))</f>
        <v>52</v>
      </c>
      <c r="AK150" s="101">
        <f t="shared" si="3"/>
        <v>51</v>
      </c>
      <c r="AL150" s="66" t="str" cm="1">
        <f t="array" ref="AL150">IF($F150="","",IFERROR(INDEX('Lot Balance'!$B$5:$B$500,MATCH(1,INDEX(('Lot Balance'!$A$5:$A$500=$F150)*('Lot Balance'!$K$5:$K$500&lt;$AK150)*('Lot Balance'!$K$5:$K$500+'Lot Balance'!$D$5:$D$500&gt;=$AK150),0),0)),""))</f>
        <v>563963-5</v>
      </c>
      <c r="AM150" s="66" t="str" cm="1">
        <f t="array" ref="AM150">IF($F150="","",IFERROR(INDEX('Lot Balance'!$B$5:$B$500,MATCH(1,INDEX(('Lot Balance'!$A$5:$A$500=$F150)*('Lot Balance'!$K$5:$K$500&lt;$AJ150)*('Lot Balance'!$K$5:$K$500+'Lot Balance'!$D$5:$D$500&gt;=$AJ150),0),0)),""))</f>
        <v>563963-5</v>
      </c>
      <c r="AN150" s="66" t="str">
        <f>IF($F150="","",IF($AI150&lt;&gt;"",IF(COUNTIFS('Lot Balance'!$A$5:$A$500,$F150,'Lot Balance'!$B$5:$B$500,$AI150)=0,"⚠ override is not a lot of this item",IF($AI150=$AL150,"Override = FEFO","Override - FEFO says "&amp;$AL150)),IF($AL150="","⚠ no receipt on file for this item",IF($AM150&lt;&gt;$AL150,"FEFO auto - split, also "&amp;$AM150,"FEFO auto"))))</f>
        <v>FEFO auto</v>
      </c>
      <c r="AO150" s="114"/>
    </row>
    <row r="151" spans="1:41" x14ac:dyDescent="0.35">
      <c r="A151" s="74">
        <v>46121</v>
      </c>
      <c r="B151" s="18" t="str">
        <f>IF($C151="","",IFERROR(INDEX('Staff Directory'!$A$5:$A$594,MATCH($C151,'Staff Directory'!$B$5:$B$594,0)),"⚠ unknown staff"))</f>
        <v>PSW-030-A4</v>
      </c>
      <c r="C151" s="49" t="s">
        <v>1005</v>
      </c>
      <c r="D151" s="19" t="str">
        <f>IF($B151="","",IFERROR(INDEX('Staff Directory'!$C$5:$C$594,MATCH($B151,'Staff Directory'!$A$5:$A$594,0)),""))</f>
        <v>PSW</v>
      </c>
      <c r="E151" s="19" t="str">
        <f>IF($B151="","",IFERROR(INDEX('Staff Directory'!$D$5:$D$594,MATCH($B151,'Staff Directory'!$A$5:$A$594,0)),""))</f>
        <v>A4</v>
      </c>
      <c r="F151" s="9" t="s">
        <v>115</v>
      </c>
      <c r="G151" s="18" t="str">
        <f>IF($F151="","",IFERROR(INDEX(Items!$B$5:$B$597,MATCH($F151,Items!$A$5:$A$597,0)),"⚠ not in Items"))</f>
        <v>Wipes</v>
      </c>
      <c r="H151" s="19">
        <f>IF($F151="","",IFERROR(INDEX(Items!$C$5:$C$597,MATCH($F151,Items!$A$5:$A$597,0)),""))</f>
        <v>80</v>
      </c>
      <c r="I151" s="23">
        <f>IF($F151="","",IFERROR(INDEX(Items!$E$5:$E$597,MATCH($F151,Items!$A$5:$A$597,0)),""))</f>
        <v>80</v>
      </c>
      <c r="J151" s="115">
        <f>IF(tblIssues[[#This Row],[Qty Override]]&lt;&gt;"",tblIssues[[#This Row],[Qty Override]],IF(tblIssues[[#This Row],[Standard Issue]]="","",tblIssues[[#This Row],[Standard Issue]]))</f>
        <v>80</v>
      </c>
      <c r="K151" s="20">
        <f>IF($F151="","",IFERROR(INDEX(Items!$D$5:$D$597,MATCH($F151,Items!$A$5:$A$597,0)),""))</f>
        <v>0.1</v>
      </c>
      <c r="L151" s="21">
        <f t="shared" si="28"/>
        <v>8</v>
      </c>
      <c r="M151" s="9" t="str">
        <f t="shared" si="29"/>
        <v>LYSL500290</v>
      </c>
      <c r="N151" s="24">
        <f>IF($A151="","",WORKDAY($A151,Settings!$C$9,HolidayDates))</f>
        <v>46129</v>
      </c>
      <c r="O151" s="24">
        <f>IF($N151="","",WORKDAY($N151,Settings!$C$10,HolidayDates))</f>
        <v>46169</v>
      </c>
      <c r="P151" s="10" t="s">
        <v>501</v>
      </c>
      <c r="Q151" s="52" t="str">
        <f t="shared" si="31"/>
        <v>Collected</v>
      </c>
      <c r="R151" s="55" t="str">
        <f t="shared" si="32"/>
        <v>2026-04</v>
      </c>
      <c r="S151" s="55">
        <f>IF(OR($B151="",$F151="",$R151=""),"",SUMIFS(tblIssues[Qty Issued],tblIssues[Staff ID],$B151,tblIssues[Item Name],$F151,tblIssues[Month],$R151))</f>
        <v>80</v>
      </c>
      <c r="T151" s="56">
        <f>IF($I151="","",$I151*Settings!$C$11)</f>
        <v>80</v>
      </c>
      <c r="U151" s="57" t="str">
        <f t="shared" si="30"/>
        <v>OK</v>
      </c>
      <c r="V151" s="55" t="str">
        <f t="shared" si="33"/>
        <v/>
      </c>
      <c r="W151" s="55" t="str">
        <f>IF($V151="","",IF(COUNTIF($V$5:$V151,$V151)=1,1,""))</f>
        <v/>
      </c>
      <c r="X151" s="58" t="str">
        <f>IF($W151="","",MAX($X$4:X150)+1)</f>
        <v/>
      </c>
      <c r="Y151" s="62"/>
      <c r="Z151" s="62"/>
      <c r="AA151" s="64" t="str">
        <f>IF($C151="","",IFERROR(INDEX('Staff Directory'!$E$5:$E$594,MATCH($C151,'Staff Directory'!$B$5:$B$594,0)),""))</f>
        <v>firstname089.lastname089@example.com</v>
      </c>
      <c r="AB151" s="64" t="str">
        <f>IF($C151="","",IF(ISNUMBER(SEARCH($D151,Settings!$C$15)),"Pickup","Dispatch"))</f>
        <v>Pickup</v>
      </c>
      <c r="AC151" s="64" t="str">
        <f t="shared" si="34"/>
        <v>Supply order ready for pickup</v>
      </c>
      <c r="AD151" s="64" t="str">
        <f t="shared" si="26"/>
        <v>Dear PSW,
Your order is ready for pickup from Sample Branch, Wed-Fri 9am-4pm.</v>
      </c>
      <c r="AE151" s="64" t="str">
        <f t="shared" si="27"/>
        <v>mailto:firstname089.lastname089@example.com?subject=Supply%20order%20ready%20for%20pickup&amp;body=Dear%20PSW%2C%0A%0AYour%20order%20is%20ready%20for%20pickup%20from%20Sample%20Branch%2C%20Wed-Fri%209am-4pm.</v>
      </c>
      <c r="AF151" s="89" t="str">
        <f t="shared" si="35"/>
        <v>Draft email</v>
      </c>
      <c r="AG151" s="64" t="str">
        <f>IF($C151="","",IFERROR(INDEX('Staff Directory'!$K$595:$K$599,MATCH($C151,'Staff Directory'!$B$5:$B$599,0)),$D151))</f>
        <v>PSW</v>
      </c>
      <c r="AH151" t="str">
        <f>IF($C151="","",IFERROR(INDEX('Staff Directory'!$I$595:$I$599,MATCH($C151,'Staff Directory'!$B$5:$B$599,0))&amp;" "&amp;INDEX('Staff Directory'!$J$595:$J$599,MATCH($C151,'Staff Directory'!$B$5:$B$599,0)),$AG151))</f>
        <v>PSW</v>
      </c>
      <c r="AI151" s="102"/>
      <c r="AJ151" s="101">
        <f>IF($F151="","",SUMIFS($J$5:$J151,$F$5:$F151,$F151))</f>
        <v>2480</v>
      </c>
      <c r="AK151" s="101">
        <f t="shared" si="3"/>
        <v>2401</v>
      </c>
      <c r="AL151" s="66" t="str" cm="1">
        <f t="array" ref="AL151">IF($F151="","",IFERROR(INDEX('Lot Balance'!$B$5:$B$500,MATCH(1,INDEX(('Lot Balance'!$A$5:$A$500=$F151)*('Lot Balance'!$K$5:$K$500&lt;$AK151)*('Lot Balance'!$K$5:$K$500+'Lot Balance'!$D$5:$D$500&gt;=$AK151),0),0)),""))</f>
        <v>LYSL500290</v>
      </c>
      <c r="AM151" s="66" t="str" cm="1">
        <f t="array" ref="AM151">IF($F151="","",IFERROR(INDEX('Lot Balance'!$B$5:$B$500,MATCH(1,INDEX(('Lot Balance'!$A$5:$A$500=$F151)*('Lot Balance'!$K$5:$K$500&lt;$AJ151)*('Lot Balance'!$K$5:$K$500+'Lot Balance'!$D$5:$D$500&gt;=$AJ151),0),0)),""))</f>
        <v>LYSL500290</v>
      </c>
      <c r="AN151" s="66" t="str">
        <f>IF($F151="","",IF($AI151&lt;&gt;"",IF(COUNTIFS('Lot Balance'!$A$5:$A$500,$F151,'Lot Balance'!$B$5:$B$500,$AI151)=0,"⚠ override is not a lot of this item",IF($AI151=$AL151,"Override = FEFO","Override - FEFO says "&amp;$AL151)),IF($AL151="","⚠ no receipt on file for this item",IF($AM151&lt;&gt;$AL151,"FEFO auto - split, also "&amp;$AM151,"FEFO auto"))))</f>
        <v>FEFO auto</v>
      </c>
      <c r="AO151" s="114"/>
    </row>
    <row r="152" spans="1:41" x14ac:dyDescent="0.35">
      <c r="A152" s="74">
        <v>46121</v>
      </c>
      <c r="B152" s="18" t="str">
        <f>IF($C152="","",IFERROR(INDEX('Staff Directory'!$A$5:$A$594,MATCH($C152,'Staff Directory'!$B$5:$B$594,0)),"⚠ unknown staff"))</f>
        <v>PSW-030-A4</v>
      </c>
      <c r="C152" s="49" t="s">
        <v>1005</v>
      </c>
      <c r="D152" s="19" t="str">
        <f>IF($B152="","",IFERROR(INDEX('Staff Directory'!$C$5:$C$594,MATCH($B152,'Staff Directory'!$A$5:$A$594,0)),""))</f>
        <v>PSW</v>
      </c>
      <c r="E152" s="19" t="str">
        <f>IF($B152="","",IFERROR(INDEX('Staff Directory'!$D$5:$D$594,MATCH($B152,'Staff Directory'!$A$5:$A$594,0)),""))</f>
        <v>A4</v>
      </c>
      <c r="F152" s="9" t="s">
        <v>156</v>
      </c>
      <c r="G152" s="18" t="str">
        <f>IF($F152="","",IFERROR(INDEX(Items!$B$5:$B$597,MATCH($F152,Items!$A$5:$A$597,0)),"⚠ not in Items"))</f>
        <v>Masks</v>
      </c>
      <c r="H152" s="19" t="str">
        <f>IF($F152="","",IFERROR(INDEX(Items!$C$5:$C$597,MATCH($F152,Items!$A$5:$A$597,0)),""))</f>
        <v>One Size</v>
      </c>
      <c r="I152" s="23">
        <f>IF($F152="","",IFERROR(INDEX(Items!$E$5:$E$597,MATCH($F152,Items!$A$5:$A$597,0)),""))</f>
        <v>50</v>
      </c>
      <c r="J152" s="115">
        <f>IF(tblIssues[[#This Row],[Qty Override]]&lt;&gt;"",tblIssues[[#This Row],[Qty Override]],IF(tblIssues[[#This Row],[Standard Issue]]="","",tblIssues[[#This Row],[Standard Issue]]))</f>
        <v>50</v>
      </c>
      <c r="K152" s="20">
        <f>IF($F152="","",IFERROR(INDEX(Items!$D$5:$D$597,MATCH($F152,Items!$A$5:$A$597,0)),""))</f>
        <v>0.25</v>
      </c>
      <c r="L152" s="21">
        <f t="shared" si="28"/>
        <v>12.5</v>
      </c>
      <c r="M152" s="9" t="str">
        <f t="shared" si="29"/>
        <v>0125FPC24-0</v>
      </c>
      <c r="N152" s="24">
        <f>IF($A152="","",WORKDAY($A152,Settings!$C$9,HolidayDates))</f>
        <v>46129</v>
      </c>
      <c r="O152" s="24">
        <f>IF($N152="","",WORKDAY($N152,Settings!$C$10,HolidayDates))</f>
        <v>46169</v>
      </c>
      <c r="P152" s="10" t="s">
        <v>501</v>
      </c>
      <c r="Q152" s="52" t="str">
        <f t="shared" si="31"/>
        <v>Collected</v>
      </c>
      <c r="R152" s="55" t="str">
        <f t="shared" si="32"/>
        <v>2026-04</v>
      </c>
      <c r="S152" s="55">
        <f>IF(OR($B152="",$F152="",$R152=""),"",SUMIFS(tblIssues[Qty Issued],tblIssues[Staff ID],$B152,tblIssues[Item Name],$F152,tblIssues[Month],$R152))</f>
        <v>50</v>
      </c>
      <c r="T152" s="56">
        <f>IF($I152="","",$I152*Settings!$C$11)</f>
        <v>50</v>
      </c>
      <c r="U152" s="57" t="str">
        <f t="shared" si="30"/>
        <v>OK</v>
      </c>
      <c r="V152" s="55" t="str">
        <f t="shared" si="33"/>
        <v/>
      </c>
      <c r="W152" s="55" t="str">
        <f>IF($V152="","",IF(COUNTIF($V$5:$V152,$V152)=1,1,""))</f>
        <v/>
      </c>
      <c r="X152" s="58" t="str">
        <f>IF($W152="","",MAX($X$4:X151)+1)</f>
        <v/>
      </c>
      <c r="Y152" s="62"/>
      <c r="Z152" s="62"/>
      <c r="AA152" s="64" t="str">
        <f>IF($C152="","",IFERROR(INDEX('Staff Directory'!$E$5:$E$594,MATCH($C152,'Staff Directory'!$B$5:$B$594,0)),""))</f>
        <v>firstname089.lastname089@example.com</v>
      </c>
      <c r="AB152" s="64" t="str">
        <f>IF($C152="","",IF(ISNUMBER(SEARCH($D152,Settings!$C$15)),"Pickup","Dispatch"))</f>
        <v>Pickup</v>
      </c>
      <c r="AC152" s="64" t="str">
        <f t="shared" si="34"/>
        <v>Supply order ready for pickup</v>
      </c>
      <c r="AD152" s="64" t="str">
        <f t="shared" si="26"/>
        <v>Dear PSW,
Your order is ready for pickup from Sample Branch, Wed-Fri 9am-4pm.</v>
      </c>
      <c r="AE152" s="64" t="str">
        <f t="shared" si="27"/>
        <v>mailto:firstname089.lastname089@example.com?subject=Supply%20order%20ready%20for%20pickup&amp;body=Dear%20PSW%2C%0A%0AYour%20order%20is%20ready%20for%20pickup%20from%20Sample%20Branch%2C%20Wed-Fri%209am-4pm.</v>
      </c>
      <c r="AF152" s="89" t="str">
        <f t="shared" si="35"/>
        <v>Draft email</v>
      </c>
      <c r="AG152" s="64" t="str">
        <f>IF($C152="","",IFERROR(INDEX('Staff Directory'!$K$595:$K$599,MATCH($C152,'Staff Directory'!$B$5:$B$599,0)),$D152))</f>
        <v>PSW</v>
      </c>
      <c r="AH152" t="str">
        <f>IF($C152="","",IFERROR(INDEX('Staff Directory'!$I$595:$I$599,MATCH($C152,'Staff Directory'!$B$5:$B$599,0))&amp;" "&amp;INDEX('Staff Directory'!$J$595:$J$599,MATCH($C152,'Staff Directory'!$B$5:$B$599,0)),$AG152))</f>
        <v>PSW</v>
      </c>
      <c r="AI152" s="102"/>
      <c r="AJ152" s="101">
        <f>IF($F152="","",SUMIFS($J$5:$J152,$F$5:$F152,$F152))</f>
        <v>1200</v>
      </c>
      <c r="AK152" s="101">
        <f t="shared" si="3"/>
        <v>1151</v>
      </c>
      <c r="AL152" s="66" t="str" cm="1">
        <f t="array" ref="AL152">IF($F152="","",IFERROR(INDEX('Lot Balance'!$B$5:$B$500,MATCH(1,INDEX(('Lot Balance'!$A$5:$A$500=$F152)*('Lot Balance'!$K$5:$K$500&lt;$AK152)*('Lot Balance'!$K$5:$K$500+'Lot Balance'!$D$5:$D$500&gt;=$AK152),0),0)),""))</f>
        <v>0125FPC24-0</v>
      </c>
      <c r="AM152" s="66" t="str" cm="1">
        <f t="array" ref="AM152">IF($F152="","",IFERROR(INDEX('Lot Balance'!$B$5:$B$500,MATCH(1,INDEX(('Lot Balance'!$A$5:$A$500=$F152)*('Lot Balance'!$K$5:$K$500&lt;$AJ152)*('Lot Balance'!$K$5:$K$500+'Lot Balance'!$D$5:$D$500&gt;=$AJ152),0),0)),""))</f>
        <v>0125FPC24-0</v>
      </c>
      <c r="AN152" s="66" t="str">
        <f>IF($F152="","",IF($AI152&lt;&gt;"",IF(COUNTIFS('Lot Balance'!$A$5:$A$500,$F152,'Lot Balance'!$B$5:$B$500,$AI152)=0,"⚠ override is not a lot of this item",IF($AI152=$AL152,"Override = FEFO","Override - FEFO says "&amp;$AL152)),IF($AL152="","⚠ no receipt on file for this item",IF($AM152&lt;&gt;$AL152,"FEFO auto - split, also "&amp;$AM152,"FEFO auto"))))</f>
        <v>FEFO auto</v>
      </c>
      <c r="AO152" s="114"/>
    </row>
    <row r="153" spans="1:41" x14ac:dyDescent="0.35">
      <c r="A153" s="74">
        <v>46121</v>
      </c>
      <c r="B153" s="18" t="str">
        <f>IF($C153="","",IFERROR(INDEX('Staff Directory'!$A$5:$A$594,MATCH($C153,'Staff Directory'!$B$5:$B$594,0)),"⚠ unknown staff"))</f>
        <v>PSW-030-A4</v>
      </c>
      <c r="C153" s="49" t="s">
        <v>1005</v>
      </c>
      <c r="D153" s="19" t="str">
        <f>IF($B153="","",IFERROR(INDEX('Staff Directory'!$C$5:$C$594,MATCH($B153,'Staff Directory'!$A$5:$A$594,0)),""))</f>
        <v>PSW</v>
      </c>
      <c r="E153" s="19" t="str">
        <f>IF($B153="","",IFERROR(INDEX('Staff Directory'!$D$5:$D$594,MATCH($B153,'Staff Directory'!$A$5:$A$594,0)),""))</f>
        <v>A4</v>
      </c>
      <c r="F153" s="9" t="s">
        <v>755</v>
      </c>
      <c r="G153" s="18" t="str">
        <f>IF($F153="","",IFERROR(INDEX(Items!$B$5:$B$597,MATCH($F153,Items!$A$5:$A$597,0)),"⚠ not in Items"))</f>
        <v>Documents</v>
      </c>
      <c r="H153" s="19" t="str">
        <f>IF($F153="","",IFERROR(INDEX(Items!$C$5:$C$597,MATCH($F153,Items!$A$5:$A$597,0)),""))</f>
        <v>Standard</v>
      </c>
      <c r="I153" s="23">
        <f>IF($F153="","",IFERROR(INDEX(Items!$E$5:$E$597,MATCH($F153,Items!$A$5:$A$597,0)),""))</f>
        <v>2</v>
      </c>
      <c r="J153" s="115">
        <f>IF(tblIssues[[#This Row],[Qty Override]]&lt;&gt;"",tblIssues[[#This Row],[Qty Override]],IF(tblIssues[[#This Row],[Standard Issue]]="","",tblIssues[[#This Row],[Standard Issue]]))</f>
        <v>2</v>
      </c>
      <c r="K153" s="20">
        <f>IF($F153="","",IFERROR(INDEX(Items!$D$5:$D$597,MATCH($F153,Items!$A$5:$A$597,0)),""))</f>
        <v>0</v>
      </c>
      <c r="L153" s="21">
        <f t="shared" si="28"/>
        <v>0</v>
      </c>
      <c r="M153" s="9" t="str">
        <f t="shared" si="29"/>
        <v/>
      </c>
      <c r="N153" s="24">
        <f>IF($A153="","",WORKDAY($A153,Settings!$C$9,HolidayDates))</f>
        <v>46129</v>
      </c>
      <c r="O153" s="24">
        <f>IF($N153="","",WORKDAY($N153,Settings!$C$10,HolidayDates))</f>
        <v>46169</v>
      </c>
      <c r="P153" s="10" t="s">
        <v>501</v>
      </c>
      <c r="Q153" s="52" t="str">
        <f t="shared" si="31"/>
        <v>Collected</v>
      </c>
      <c r="R153" s="55" t="str">
        <f t="shared" si="32"/>
        <v>2026-04</v>
      </c>
      <c r="S153" s="55">
        <f>IF(OR($B153="",$F153="",$R153=""),"",SUMIFS(tblIssues[Qty Issued],tblIssues[Staff ID],$B153,tblIssues[Item Name],$F153,tblIssues[Month],$R153))</f>
        <v>2</v>
      </c>
      <c r="T153" s="56">
        <f>IF($I153="","",$I153*Settings!$C$11)</f>
        <v>2</v>
      </c>
      <c r="U153" s="57" t="str">
        <f t="shared" si="30"/>
        <v>OK</v>
      </c>
      <c r="V153" s="55" t="str">
        <f t="shared" si="33"/>
        <v/>
      </c>
      <c r="W153" s="55" t="str">
        <f>IF($V153="","",IF(COUNTIF($V$5:$V153,$V153)=1,1,""))</f>
        <v/>
      </c>
      <c r="X153" s="58" t="str">
        <f>IF($W153="","",MAX($X$4:X152)+1)</f>
        <v/>
      </c>
      <c r="Y153" s="62"/>
      <c r="Z153" s="62"/>
      <c r="AA153" s="64" t="str">
        <f>IF($C153="","",IFERROR(INDEX('Staff Directory'!$E$5:$E$594,MATCH($C153,'Staff Directory'!$B$5:$B$594,0)),""))</f>
        <v>firstname089.lastname089@example.com</v>
      </c>
      <c r="AB153" s="64" t="str">
        <f>IF($C153="","",IF(ISNUMBER(SEARCH($D153,Settings!$C$15)),"Pickup","Dispatch"))</f>
        <v>Pickup</v>
      </c>
      <c r="AC153" s="64" t="str">
        <f t="shared" si="34"/>
        <v>Supply order ready for pickup</v>
      </c>
      <c r="AD153" s="64" t="str">
        <f t="shared" si="26"/>
        <v>Dear PSW,
Your order is ready for pickup from Sample Branch, Wed-Fri 9am-4pm.</v>
      </c>
      <c r="AE153" s="64" t="str">
        <f t="shared" si="27"/>
        <v>mailto:firstname089.lastname089@example.com?subject=Supply%20order%20ready%20for%20pickup&amp;body=Dear%20PSW%2C%0A%0AYour%20order%20is%20ready%20for%20pickup%20from%20Sample%20Branch%2C%20Wed-Fri%209am-4pm.</v>
      </c>
      <c r="AF153" s="89" t="str">
        <f t="shared" si="35"/>
        <v>Draft email</v>
      </c>
      <c r="AG153" s="64" t="str">
        <f>IF($C153="","",IFERROR(INDEX('Staff Directory'!$K$595:$K$599,MATCH($C153,'Staff Directory'!$B$5:$B$599,0)),$D153))</f>
        <v>PSW</v>
      </c>
      <c r="AH153" t="str">
        <f>IF($C153="","",IFERROR(INDEX('Staff Directory'!$I$595:$I$599,MATCH($C153,'Staff Directory'!$B$5:$B$599,0))&amp;" "&amp;INDEX('Staff Directory'!$J$595:$J$599,MATCH($C153,'Staff Directory'!$B$5:$B$599,0)),$AG153))</f>
        <v>PSW</v>
      </c>
      <c r="AI153" s="102"/>
      <c r="AJ153" s="101">
        <f>IF($F153="","",SUMIFS($J$5:$J153,$F$5:$F153,$F153))</f>
        <v>30</v>
      </c>
      <c r="AK153" s="101">
        <f t="shared" si="3"/>
        <v>29</v>
      </c>
      <c r="AL153" s="66" t="str" cm="1">
        <f t="array" ref="AL153">IF($F153="","",IFERROR(INDEX('Lot Balance'!$B$5:$B$500,MATCH(1,INDEX(('Lot Balance'!$A$5:$A$500=$F153)*('Lot Balance'!$K$5:$K$500&lt;$AK153)*('Lot Balance'!$K$5:$K$500+'Lot Balance'!$D$5:$D$500&gt;=$AK153),0),0)),""))</f>
        <v/>
      </c>
      <c r="AM153" s="66" t="str" cm="1">
        <f t="array" ref="AM153">IF($F153="","",IFERROR(INDEX('Lot Balance'!$B$5:$B$500,MATCH(1,INDEX(('Lot Balance'!$A$5:$A$500=$F153)*('Lot Balance'!$K$5:$K$500&lt;$AJ153)*('Lot Balance'!$K$5:$K$500+'Lot Balance'!$D$5:$D$500&gt;=$AJ153),0),0)),""))</f>
        <v/>
      </c>
      <c r="AN153" s="66" t="str">
        <f>IF($F153="","",IF($AI153&lt;&gt;"",IF(COUNTIFS('Lot Balance'!$A$5:$A$500,$F153,'Lot Balance'!$B$5:$B$500,$AI153)=0,"⚠ override is not a lot of this item",IF($AI153=$AL153,"Override = FEFO","Override - FEFO says "&amp;$AL153)),IF($AL153="","⚠ no receipt on file for this item",IF($AM153&lt;&gt;$AL153,"FEFO auto - split, also "&amp;$AM153,"FEFO auto"))))</f>
        <v>⚠ no receipt on file for this item</v>
      </c>
      <c r="AO153" s="114"/>
    </row>
    <row r="154" spans="1:41" x14ac:dyDescent="0.35">
      <c r="A154" s="74">
        <v>46121</v>
      </c>
      <c r="B154" s="18" t="str">
        <f>IF($C154="","",IFERROR(INDEX('Staff Directory'!$A$5:$A$594,MATCH($C154,'Staff Directory'!$B$5:$B$594,0)),"⚠ unknown staff"))</f>
        <v>RN-004-A2</v>
      </c>
      <c r="C154" s="49" t="s">
        <v>920</v>
      </c>
      <c r="D154" s="19" t="str">
        <f>IF($B154="","",IFERROR(INDEX('Staff Directory'!$C$5:$C$594,MATCH($B154,'Staff Directory'!$A$5:$A$594,0)),""))</f>
        <v>RN</v>
      </c>
      <c r="E154" s="19" t="str">
        <f>IF($B154="","",IFERROR(INDEX('Staff Directory'!$D$5:$D$594,MATCH($B154,'Staff Directory'!$A$5:$A$594,0)),""))</f>
        <v>A2</v>
      </c>
      <c r="F154" s="9" t="s">
        <v>127</v>
      </c>
      <c r="G154" s="18" t="str">
        <f>IF($F154="","",IFERROR(INDEX(Items!$B$5:$B$597,MATCH($F154,Items!$A$5:$A$597,0)),"⚠ not in Items"))</f>
        <v>Gloves</v>
      </c>
      <c r="H154" s="19" t="str">
        <f>IF($F154="","",IFERROR(INDEX(Items!$C$5:$C$597,MATCH($F154,Items!$A$5:$A$597,0)),""))</f>
        <v>Medium</v>
      </c>
      <c r="I154" s="23">
        <f>IF($F154="","",IFERROR(INDEX(Items!$E$5:$E$597,MATCH($F154,Items!$A$5:$A$597,0)),""))</f>
        <v>500</v>
      </c>
      <c r="J154" s="115">
        <f>IF(tblIssues[[#This Row],[Qty Override]]&lt;&gt;"",tblIssues[[#This Row],[Qty Override]],IF(tblIssues[[#This Row],[Standard Issue]]="","",tblIssues[[#This Row],[Standard Issue]]))</f>
        <v>500</v>
      </c>
      <c r="K154" s="20">
        <f>IF($F154="","",IFERROR(INDEX(Items!$D$5:$D$597,MATCH($F154,Items!$A$5:$A$597,0)),""))</f>
        <v>5.5E-2</v>
      </c>
      <c r="L154" s="21">
        <f t="shared" si="28"/>
        <v>27.5</v>
      </c>
      <c r="M154" s="9" t="str">
        <f t="shared" si="29"/>
        <v>ZIM504126040-2</v>
      </c>
      <c r="N154" s="24">
        <f>IF($A154="","",WORKDAY($A154,Settings!$C$9,HolidayDates))</f>
        <v>46129</v>
      </c>
      <c r="O154" s="24">
        <f>IF($N154="","",WORKDAY($N154,Settings!$C$10,HolidayDates))</f>
        <v>46169</v>
      </c>
      <c r="P154" s="10" t="s">
        <v>502</v>
      </c>
      <c r="Q154" s="52" t="str">
        <f t="shared" si="31"/>
        <v>Collected</v>
      </c>
      <c r="R154" s="55" t="str">
        <f t="shared" si="32"/>
        <v>2026-04</v>
      </c>
      <c r="S154" s="55">
        <f>IF(OR($B154="",$F154="",$R154=""),"",SUMIFS(tblIssues[Qty Issued],tblIssues[Staff ID],$B154,tblIssues[Item Name],$F154,tblIssues[Month],$R154))</f>
        <v>500</v>
      </c>
      <c r="T154" s="56">
        <f>IF($I154="","",$I154*Settings!$C$11)</f>
        <v>500</v>
      </c>
      <c r="U154" s="57" t="str">
        <f t="shared" si="30"/>
        <v>OK</v>
      </c>
      <c r="V154" s="55" t="str">
        <f t="shared" si="33"/>
        <v/>
      </c>
      <c r="W154" s="55" t="str">
        <f>IF($V154="","",IF(COUNTIF($V$5:$V154,$V154)=1,1,""))</f>
        <v/>
      </c>
      <c r="X154" s="58" t="str">
        <f>IF($W154="","",MAX($X$4:X153)+1)</f>
        <v/>
      </c>
      <c r="Y154" s="62"/>
      <c r="Z154" s="62"/>
      <c r="AA154" s="64" t="str">
        <f>IF($C154="","",IFERROR(INDEX('Staff Directory'!$E$5:$E$594,MATCH($C154,'Staff Directory'!$B$5:$B$594,0)),""))</f>
        <v>firstname004.lastname004@example.com</v>
      </c>
      <c r="AB154" s="64" t="str">
        <f>IF($C154="","",IF(ISNUMBER(SEARCH($D154,Settings!$C$15)),"Pickup","Dispatch"))</f>
        <v>Dispatch</v>
      </c>
      <c r="AC154" s="64" t="str">
        <f t="shared" si="34"/>
        <v>Supply order dispatched</v>
      </c>
      <c r="AD154" s="64" t="str">
        <f t="shared" si="26"/>
        <v>Dear  ,
Your order has been dispatched and is in transit. Reply if undelivered.</v>
      </c>
      <c r="AE154" s="64" t="str">
        <f t="shared" si="27"/>
        <v>mailto:firstname004.lastname004@example.com?subject=Supply%20order%20dispatched&amp;body=Dear%20%20%2C%0A%0AYour%20order%20has%20been%20dispatched%20and%20is%20in%20transit.%20Reply%20if%20undelivered.</v>
      </c>
      <c r="AF154" s="89" t="str">
        <f t="shared" si="35"/>
        <v>Draft email</v>
      </c>
      <c r="AG154" s="64">
        <f>IF($C154="","",IFERROR(INDEX('Staff Directory'!$K$595:$K$599,MATCH($C154,'Staff Directory'!$B$5:$B$599,0)),$D154))</f>
        <v>0</v>
      </c>
      <c r="AH154" t="str">
        <f>IF($C154="","",IFERROR(INDEX('Staff Directory'!$I$595:$I$599,MATCH($C154,'Staff Directory'!$B$5:$B$599,0))&amp;" "&amp;INDEX('Staff Directory'!$J$595:$J$599,MATCH($C154,'Staff Directory'!$B$5:$B$599,0)),$AG154))</f>
        <v xml:space="preserve"> </v>
      </c>
      <c r="AI154" s="102"/>
      <c r="AJ154" s="101">
        <f>IF($F154="","",SUMIFS($J$5:$J154,$F$5:$F154,$F154))</f>
        <v>10500</v>
      </c>
      <c r="AK154" s="101">
        <f t="shared" si="3"/>
        <v>10001</v>
      </c>
      <c r="AL154" s="66" t="str" cm="1">
        <f t="array" ref="AL154">IF($F154="","",IFERROR(INDEX('Lot Balance'!$B$5:$B$500,MATCH(1,INDEX(('Lot Balance'!$A$5:$A$500=$F154)*('Lot Balance'!$K$5:$K$500&lt;$AK154)*('Lot Balance'!$K$5:$K$500+'Lot Balance'!$D$5:$D$500&gt;=$AK154),0),0)),""))</f>
        <v>ZIM504126040-2</v>
      </c>
      <c r="AM154" s="66" t="str" cm="1">
        <f t="array" ref="AM154">IF($F154="","",IFERROR(INDEX('Lot Balance'!$B$5:$B$500,MATCH(1,INDEX(('Lot Balance'!$A$5:$A$500=$F154)*('Lot Balance'!$K$5:$K$500&lt;$AJ154)*('Lot Balance'!$K$5:$K$500+'Lot Balance'!$D$5:$D$500&gt;=$AJ154),0),0)),""))</f>
        <v>ZIM504126040-2</v>
      </c>
      <c r="AN154" s="66" t="str">
        <f>IF($F154="","",IF($AI154&lt;&gt;"",IF(COUNTIFS('Lot Balance'!$A$5:$A$500,$F154,'Lot Balance'!$B$5:$B$500,$AI154)=0,"⚠ override is not a lot of this item",IF($AI154=$AL154,"Override = FEFO","Override - FEFO says "&amp;$AL154)),IF($AL154="","⚠ no receipt on file for this item",IF($AM154&lt;&gt;$AL154,"FEFO auto - split, also "&amp;$AM154,"FEFO auto"))))</f>
        <v>FEFO auto</v>
      </c>
      <c r="AO154" s="114"/>
    </row>
    <row r="155" spans="1:41" x14ac:dyDescent="0.35">
      <c r="A155" s="74">
        <v>46121</v>
      </c>
      <c r="B155" s="18" t="str">
        <f>IF($C155="","",IFERROR(INDEX('Staff Directory'!$A$5:$A$594,MATCH($C155,'Staff Directory'!$B$5:$B$594,0)),"⚠ unknown staff"))</f>
        <v>RN-004-A2</v>
      </c>
      <c r="C155" s="49" t="s">
        <v>920</v>
      </c>
      <c r="D155" s="19" t="str">
        <f>IF($B155="","",IFERROR(INDEX('Staff Directory'!$C$5:$C$594,MATCH($B155,'Staff Directory'!$A$5:$A$594,0)),""))</f>
        <v>RN</v>
      </c>
      <c r="E155" s="19" t="str">
        <f>IF($B155="","",IFERROR(INDEX('Staff Directory'!$D$5:$D$594,MATCH($B155,'Staff Directory'!$A$5:$A$594,0)),""))</f>
        <v>A2</v>
      </c>
      <c r="F155" s="9" t="s">
        <v>137</v>
      </c>
      <c r="G155" s="18" t="str">
        <f>IF($F155="","",IFERROR(INDEX(Items!$B$5:$B$597,MATCH($F155,Items!$A$5:$A$597,0)),"⚠ not in Items"))</f>
        <v>Sanitizer</v>
      </c>
      <c r="H155" s="19" t="str">
        <f>IF($F155="","",IFERROR(INDEX(Items!$C$5:$C$597,MATCH($F155,Items!$A$5:$A$597,0)),""))</f>
        <v>118 ML</v>
      </c>
      <c r="I155" s="23">
        <f>IF($F155="","",IFERROR(INDEX(Items!$E$5:$E$597,MATCH($F155,Items!$A$5:$A$597,0)),""))</f>
        <v>2</v>
      </c>
      <c r="J155" s="115">
        <f>IF(tblIssues[[#This Row],[Qty Override]]&lt;&gt;"",tblIssues[[#This Row],[Qty Override]],IF(tblIssues[[#This Row],[Standard Issue]]="","",tblIssues[[#This Row],[Standard Issue]]))</f>
        <v>2</v>
      </c>
      <c r="K155" s="20">
        <f>IF($F155="","",IFERROR(INDEX(Items!$D$5:$D$597,MATCH($F155,Items!$A$5:$A$597,0)),""))</f>
        <v>4.49</v>
      </c>
      <c r="L155" s="21">
        <f t="shared" si="28"/>
        <v>8.98</v>
      </c>
      <c r="M155" s="9" t="str">
        <f t="shared" si="29"/>
        <v>563963-5</v>
      </c>
      <c r="N155" s="24">
        <f>IF($A155="","",WORKDAY($A155,Settings!$C$9,HolidayDates))</f>
        <v>46129</v>
      </c>
      <c r="O155" s="24">
        <f>IF($N155="","",WORKDAY($N155,Settings!$C$10,HolidayDates))</f>
        <v>46169</v>
      </c>
      <c r="P155" s="10" t="s">
        <v>502</v>
      </c>
      <c r="Q155" s="52" t="str">
        <f t="shared" si="31"/>
        <v>Collected</v>
      </c>
      <c r="R155" s="55" t="str">
        <f t="shared" si="32"/>
        <v>2026-04</v>
      </c>
      <c r="S155" s="55">
        <f>IF(OR($B155="",$F155="",$R155=""),"",SUMIFS(tblIssues[Qty Issued],tblIssues[Staff ID],$B155,tblIssues[Item Name],$F155,tblIssues[Month],$R155))</f>
        <v>2</v>
      </c>
      <c r="T155" s="56">
        <f>IF($I155="","",$I155*Settings!$C$11)</f>
        <v>2</v>
      </c>
      <c r="U155" s="57" t="str">
        <f t="shared" si="30"/>
        <v>OK</v>
      </c>
      <c r="V155" s="55" t="str">
        <f t="shared" si="33"/>
        <v/>
      </c>
      <c r="W155" s="55" t="str">
        <f>IF($V155="","",IF(COUNTIF($V$5:$V155,$V155)=1,1,""))</f>
        <v/>
      </c>
      <c r="X155" s="58" t="str">
        <f>IF($W155="","",MAX($X$4:X154)+1)</f>
        <v/>
      </c>
      <c r="Y155" s="62"/>
      <c r="Z155" s="62"/>
      <c r="AA155" s="64" t="str">
        <f>IF($C155="","",IFERROR(INDEX('Staff Directory'!$E$5:$E$594,MATCH($C155,'Staff Directory'!$B$5:$B$594,0)),""))</f>
        <v>firstname004.lastname004@example.com</v>
      </c>
      <c r="AB155" s="64" t="str">
        <f>IF($C155="","",IF(ISNUMBER(SEARCH($D155,Settings!$C$15)),"Pickup","Dispatch"))</f>
        <v>Dispatch</v>
      </c>
      <c r="AC155" s="64" t="str">
        <f t="shared" si="34"/>
        <v>Supply order dispatched</v>
      </c>
      <c r="AD155" s="64" t="str">
        <f t="shared" si="26"/>
        <v>Dear  ,
Your order has been dispatched and is in transit. Reply if undelivered.</v>
      </c>
      <c r="AE155" s="64" t="str">
        <f t="shared" si="27"/>
        <v>mailto:firstname004.lastname004@example.com?subject=Supply%20order%20dispatched&amp;body=Dear%20%20%2C%0A%0AYour%20order%20has%20been%20dispatched%20and%20is%20in%20transit.%20Reply%20if%20undelivered.</v>
      </c>
      <c r="AF155" s="89" t="str">
        <f t="shared" si="35"/>
        <v>Draft email</v>
      </c>
      <c r="AG155" s="64">
        <f>IF($C155="","",IFERROR(INDEX('Staff Directory'!$K$595:$K$599,MATCH($C155,'Staff Directory'!$B$5:$B$599,0)),$D155))</f>
        <v>0</v>
      </c>
      <c r="AH155" t="str">
        <f>IF($C155="","",IFERROR(INDEX('Staff Directory'!$I$595:$I$599,MATCH($C155,'Staff Directory'!$B$5:$B$599,0))&amp;" "&amp;INDEX('Staff Directory'!$J$595:$J$599,MATCH($C155,'Staff Directory'!$B$5:$B$599,0)),$AG155))</f>
        <v xml:space="preserve"> </v>
      </c>
      <c r="AI155" s="102"/>
      <c r="AJ155" s="101">
        <f>IF($F155="","",SUMIFS($J$5:$J155,$F$5:$F155,$F155))</f>
        <v>54</v>
      </c>
      <c r="AK155" s="101">
        <f t="shared" si="3"/>
        <v>53</v>
      </c>
      <c r="AL155" s="66" t="str" cm="1">
        <f t="array" ref="AL155">IF($F155="","",IFERROR(INDEX('Lot Balance'!$B$5:$B$500,MATCH(1,INDEX(('Lot Balance'!$A$5:$A$500=$F155)*('Lot Balance'!$K$5:$K$500&lt;$AK155)*('Lot Balance'!$K$5:$K$500+'Lot Balance'!$D$5:$D$500&gt;=$AK155),0),0)),""))</f>
        <v>563963-5</v>
      </c>
      <c r="AM155" s="66" t="str" cm="1">
        <f t="array" ref="AM155">IF($F155="","",IFERROR(INDEX('Lot Balance'!$B$5:$B$500,MATCH(1,INDEX(('Lot Balance'!$A$5:$A$500=$F155)*('Lot Balance'!$K$5:$K$500&lt;$AJ155)*('Lot Balance'!$K$5:$K$500+'Lot Balance'!$D$5:$D$500&gt;=$AJ155),0),0)),""))</f>
        <v>563963-5</v>
      </c>
      <c r="AN155" s="66" t="str">
        <f>IF($F155="","",IF($AI155&lt;&gt;"",IF(COUNTIFS('Lot Balance'!$A$5:$A$500,$F155,'Lot Balance'!$B$5:$B$500,$AI155)=0,"⚠ override is not a lot of this item",IF($AI155=$AL155,"Override = FEFO","Override - FEFO says "&amp;$AL155)),IF($AL155="","⚠ no receipt on file for this item",IF($AM155&lt;&gt;$AL155,"FEFO auto - split, also "&amp;$AM155,"FEFO auto"))))</f>
        <v>FEFO auto</v>
      </c>
      <c r="AO155" s="114"/>
    </row>
    <row r="156" spans="1:41" x14ac:dyDescent="0.35">
      <c r="A156" s="74">
        <v>46121</v>
      </c>
      <c r="B156" s="18" t="str">
        <f>IF($C156="","",IFERROR(INDEX('Staff Directory'!$A$5:$A$594,MATCH($C156,'Staff Directory'!$B$5:$B$594,0)),"⚠ unknown staff"))</f>
        <v>RN-004-A2</v>
      </c>
      <c r="C156" s="49" t="s">
        <v>920</v>
      </c>
      <c r="D156" s="19" t="str">
        <f>IF($B156="","",IFERROR(INDEX('Staff Directory'!$C$5:$C$594,MATCH($B156,'Staff Directory'!$A$5:$A$594,0)),""))</f>
        <v>RN</v>
      </c>
      <c r="E156" s="19" t="str">
        <f>IF($B156="","",IFERROR(INDEX('Staff Directory'!$D$5:$D$594,MATCH($B156,'Staff Directory'!$A$5:$A$594,0)),""))</f>
        <v>A2</v>
      </c>
      <c r="F156" s="9" t="s">
        <v>159</v>
      </c>
      <c r="G156" s="18" t="str">
        <f>IF($F156="","",IFERROR(INDEX(Items!$B$5:$B$597,MATCH($F156,Items!$A$5:$A$597,0)),"⚠ not in Items"))</f>
        <v>Documents</v>
      </c>
      <c r="H156" s="19" t="str">
        <f>IF($F156="","",IFERROR(INDEX(Items!$C$5:$C$597,MATCH($F156,Items!$A$5:$A$597,0)),""))</f>
        <v>Standard</v>
      </c>
      <c r="I156" s="23">
        <f>IF($F156="","",IFERROR(INDEX(Items!$E$5:$E$597,MATCH($F156,Items!$A$5:$A$597,0)),""))</f>
        <v>20</v>
      </c>
      <c r="J156" s="115">
        <f>IF(tblIssues[[#This Row],[Qty Override]]&lt;&gt;"",tblIssues[[#This Row],[Qty Override]],IF(tblIssues[[#This Row],[Standard Issue]]="","",tblIssues[[#This Row],[Standard Issue]]))</f>
        <v>20</v>
      </c>
      <c r="K156" s="20">
        <f>IF($F156="","",IFERROR(INDEX(Items!$D$5:$D$597,MATCH($F156,Items!$A$5:$A$597,0)),""))</f>
        <v>0</v>
      </c>
      <c r="L156" s="21">
        <f t="shared" si="28"/>
        <v>0</v>
      </c>
      <c r="M156" s="9" t="str">
        <f t="shared" si="29"/>
        <v/>
      </c>
      <c r="N156" s="24">
        <f>IF($A156="","",WORKDAY($A156,Settings!$C$9,HolidayDates))</f>
        <v>46129</v>
      </c>
      <c r="O156" s="24">
        <f>IF($N156="","",WORKDAY($N156,Settings!$C$10,HolidayDates))</f>
        <v>46169</v>
      </c>
      <c r="P156" s="10" t="s">
        <v>502</v>
      </c>
      <c r="Q156" s="52" t="str">
        <f t="shared" si="31"/>
        <v>Collected</v>
      </c>
      <c r="R156" s="55" t="str">
        <f t="shared" si="32"/>
        <v>2026-04</v>
      </c>
      <c r="S156" s="55">
        <f>IF(OR($B156="",$F156="",$R156=""),"",SUMIFS(tblIssues[Qty Issued],tblIssues[Staff ID],$B156,tblIssues[Item Name],$F156,tblIssues[Month],$R156))</f>
        <v>20</v>
      </c>
      <c r="T156" s="56">
        <f>IF($I156="","",$I156*Settings!$C$11)</f>
        <v>20</v>
      </c>
      <c r="U156" s="57" t="str">
        <f t="shared" si="30"/>
        <v>OK</v>
      </c>
      <c r="V156" s="55" t="str">
        <f t="shared" si="33"/>
        <v/>
      </c>
      <c r="W156" s="55" t="str">
        <f>IF($V156="","",IF(COUNTIF($V$5:$V156,$V156)=1,1,""))</f>
        <v/>
      </c>
      <c r="X156" s="58" t="str">
        <f>IF($W156="","",MAX($X$4:X155)+1)</f>
        <v/>
      </c>
      <c r="Y156" s="62"/>
      <c r="Z156" s="62"/>
      <c r="AA156" s="64" t="str">
        <f>IF($C156="","",IFERROR(INDEX('Staff Directory'!$E$5:$E$594,MATCH($C156,'Staff Directory'!$B$5:$B$594,0)),""))</f>
        <v>firstname004.lastname004@example.com</v>
      </c>
      <c r="AB156" s="64" t="str">
        <f>IF($C156="","",IF(ISNUMBER(SEARCH($D156,Settings!$C$15)),"Pickup","Dispatch"))</f>
        <v>Dispatch</v>
      </c>
      <c r="AC156" s="64" t="str">
        <f t="shared" si="34"/>
        <v>Supply order dispatched</v>
      </c>
      <c r="AD156" s="64" t="str">
        <f t="shared" si="26"/>
        <v>Dear  ,
Your order has been dispatched and is in transit. Reply if undelivered.</v>
      </c>
      <c r="AE156" s="64" t="str">
        <f t="shared" si="27"/>
        <v>mailto:firstname004.lastname004@example.com?subject=Supply%20order%20dispatched&amp;body=Dear%20%20%2C%0A%0AYour%20order%20has%20been%20dispatched%20and%20is%20in%20transit.%20Reply%20if%20undelivered.</v>
      </c>
      <c r="AF156" s="89" t="str">
        <f t="shared" si="35"/>
        <v>Draft email</v>
      </c>
      <c r="AG156" s="64">
        <f>IF($C156="","",IFERROR(INDEX('Staff Directory'!$K$595:$K$599,MATCH($C156,'Staff Directory'!$B$5:$B$599,0)),$D156))</f>
        <v>0</v>
      </c>
      <c r="AH156" t="str">
        <f>IF($C156="","",IFERROR(INDEX('Staff Directory'!$I$595:$I$599,MATCH($C156,'Staff Directory'!$B$5:$B$599,0))&amp;" "&amp;INDEX('Staff Directory'!$J$595:$J$599,MATCH($C156,'Staff Directory'!$B$5:$B$599,0)),$AG156))</f>
        <v xml:space="preserve"> </v>
      </c>
      <c r="AI156" s="102"/>
      <c r="AJ156" s="101">
        <f>IF($F156="","",SUMIFS($J$5:$J156,$F$5:$F156,$F156))</f>
        <v>60</v>
      </c>
      <c r="AK156" s="101">
        <f t="shared" si="3"/>
        <v>41</v>
      </c>
      <c r="AL156" s="66" t="str" cm="1">
        <f t="array" ref="AL156">IF($F156="","",IFERROR(INDEX('Lot Balance'!$B$5:$B$500,MATCH(1,INDEX(('Lot Balance'!$A$5:$A$500=$F156)*('Lot Balance'!$K$5:$K$500&lt;$AK156)*('Lot Balance'!$K$5:$K$500+'Lot Balance'!$D$5:$D$500&gt;=$AK156),0),0)),""))</f>
        <v/>
      </c>
      <c r="AM156" s="66" t="str" cm="1">
        <f t="array" ref="AM156">IF($F156="","",IFERROR(INDEX('Lot Balance'!$B$5:$B$500,MATCH(1,INDEX(('Lot Balance'!$A$5:$A$500=$F156)*('Lot Balance'!$K$5:$K$500&lt;$AJ156)*('Lot Balance'!$K$5:$K$500+'Lot Balance'!$D$5:$D$500&gt;=$AJ156),0),0)),""))</f>
        <v/>
      </c>
      <c r="AN156" s="66" t="str">
        <f>IF($F156="","",IF($AI156&lt;&gt;"",IF(COUNTIFS('Lot Balance'!$A$5:$A$500,$F156,'Lot Balance'!$B$5:$B$500,$AI156)=0,"⚠ override is not a lot of this item",IF($AI156=$AL156,"Override = FEFO","Override - FEFO says "&amp;$AL156)),IF($AL156="","⚠ no receipt on file for this item",IF($AM156&lt;&gt;$AL156,"FEFO auto - split, also "&amp;$AM156,"FEFO auto"))))</f>
        <v>⚠ no receipt on file for this item</v>
      </c>
      <c r="AO156" s="114"/>
    </row>
    <row r="157" spans="1:41" x14ac:dyDescent="0.35">
      <c r="A157" s="74">
        <v>46121</v>
      </c>
      <c r="B157" s="18" t="str">
        <f>IF($C157="","",IFERROR(INDEX('Staff Directory'!$A$5:$A$594,MATCH($C157,'Staff Directory'!$B$5:$B$594,0)),"⚠ unknown staff"))</f>
        <v>RN-004-A2</v>
      </c>
      <c r="C157" s="49" t="s">
        <v>920</v>
      </c>
      <c r="D157" s="19" t="str">
        <f>IF($B157="","",IFERROR(INDEX('Staff Directory'!$C$5:$C$594,MATCH($B157,'Staff Directory'!$A$5:$A$594,0)),""))</f>
        <v>RN</v>
      </c>
      <c r="E157" s="19" t="str">
        <f>IF($B157="","",IFERROR(INDEX('Staff Directory'!$D$5:$D$594,MATCH($B157,'Staff Directory'!$A$5:$A$594,0)),""))</f>
        <v>A2</v>
      </c>
      <c r="F157" s="9" t="s">
        <v>160</v>
      </c>
      <c r="G157" s="18" t="str">
        <f>IF($F157="","",IFERROR(INDEX(Items!$B$5:$B$597,MATCH($F157,Items!$A$5:$A$597,0)),"⚠ not in Items"))</f>
        <v>Documents</v>
      </c>
      <c r="H157" s="19" t="str">
        <f>IF($F157="","",IFERROR(INDEX(Items!$C$5:$C$597,MATCH($F157,Items!$A$5:$A$597,0)),""))</f>
        <v>Standard</v>
      </c>
      <c r="I157" s="23">
        <f>IF($F157="","",IFERROR(INDEX(Items!$E$5:$E$597,MATCH($F157,Items!$A$5:$A$597,0)),""))</f>
        <v>20</v>
      </c>
      <c r="J157" s="115">
        <f>IF(tblIssues[[#This Row],[Qty Override]]&lt;&gt;"",tblIssues[[#This Row],[Qty Override]],IF(tblIssues[[#This Row],[Standard Issue]]="","",tblIssues[[#This Row],[Standard Issue]]))</f>
        <v>20</v>
      </c>
      <c r="K157" s="20">
        <f>IF($F157="","",IFERROR(INDEX(Items!$D$5:$D$597,MATCH($F157,Items!$A$5:$A$597,0)),""))</f>
        <v>0</v>
      </c>
      <c r="L157" s="21">
        <f t="shared" si="28"/>
        <v>0</v>
      </c>
      <c r="M157" s="9" t="str">
        <f t="shared" si="29"/>
        <v/>
      </c>
      <c r="N157" s="24">
        <f>IF($A157="","",WORKDAY($A157,Settings!$C$9,HolidayDates))</f>
        <v>46129</v>
      </c>
      <c r="O157" s="24">
        <f>IF($N157="","",WORKDAY($N157,Settings!$C$10,HolidayDates))</f>
        <v>46169</v>
      </c>
      <c r="P157" s="10" t="s">
        <v>502</v>
      </c>
      <c r="Q157" s="52" t="str">
        <f t="shared" si="31"/>
        <v>Collected</v>
      </c>
      <c r="R157" s="55" t="str">
        <f t="shared" si="32"/>
        <v>2026-04</v>
      </c>
      <c r="S157" s="55">
        <f>IF(OR($B157="",$F157="",$R157=""),"",SUMIFS(tblIssues[Qty Issued],tblIssues[Staff ID],$B157,tblIssues[Item Name],$F157,tblIssues[Month],$R157))</f>
        <v>20</v>
      </c>
      <c r="T157" s="56">
        <f>IF($I157="","",$I157*Settings!$C$11)</f>
        <v>20</v>
      </c>
      <c r="U157" s="57" t="str">
        <f t="shared" si="30"/>
        <v>OK</v>
      </c>
      <c r="V157" s="55" t="str">
        <f t="shared" si="33"/>
        <v/>
      </c>
      <c r="W157" s="55" t="str">
        <f>IF($V157="","",IF(COUNTIF($V$5:$V157,$V157)=1,1,""))</f>
        <v/>
      </c>
      <c r="X157" s="58" t="str">
        <f>IF($W157="","",MAX($X$4:X156)+1)</f>
        <v/>
      </c>
      <c r="Y157" s="62"/>
      <c r="Z157" s="62"/>
      <c r="AA157" s="64" t="str">
        <f>IF($C157="","",IFERROR(INDEX('Staff Directory'!$E$5:$E$594,MATCH($C157,'Staff Directory'!$B$5:$B$594,0)),""))</f>
        <v>firstname004.lastname004@example.com</v>
      </c>
      <c r="AB157" s="64" t="str">
        <f>IF($C157="","",IF(ISNUMBER(SEARCH($D157,Settings!$C$15)),"Pickup","Dispatch"))</f>
        <v>Dispatch</v>
      </c>
      <c r="AC157" s="64" t="str">
        <f t="shared" si="34"/>
        <v>Supply order dispatched</v>
      </c>
      <c r="AD157" s="64" t="str">
        <f t="shared" si="26"/>
        <v>Dear  ,
Your order has been dispatched and is in transit. Reply if undelivered.</v>
      </c>
      <c r="AE157" s="64" t="str">
        <f t="shared" si="27"/>
        <v>mailto:firstname004.lastname004@example.com?subject=Supply%20order%20dispatched&amp;body=Dear%20%20%2C%0A%0AYour%20order%20has%20been%20dispatched%20and%20is%20in%20transit.%20Reply%20if%20undelivered.</v>
      </c>
      <c r="AF157" s="89" t="str">
        <f t="shared" si="35"/>
        <v>Draft email</v>
      </c>
      <c r="AG157" s="64">
        <f>IF($C157="","",IFERROR(INDEX('Staff Directory'!$K$595:$K$599,MATCH($C157,'Staff Directory'!$B$5:$B$599,0)),$D157))</f>
        <v>0</v>
      </c>
      <c r="AH157" t="str">
        <f>IF($C157="","",IFERROR(INDEX('Staff Directory'!$I$595:$I$599,MATCH($C157,'Staff Directory'!$B$5:$B$599,0))&amp;" "&amp;INDEX('Staff Directory'!$J$595:$J$599,MATCH($C157,'Staff Directory'!$B$5:$B$599,0)),$AG157))</f>
        <v xml:space="preserve"> </v>
      </c>
      <c r="AI157" s="102"/>
      <c r="AJ157" s="101">
        <f>IF($F157="","",SUMIFS($J$5:$J157,$F$5:$F157,$F157))</f>
        <v>20</v>
      </c>
      <c r="AK157" s="101">
        <f t="shared" si="3"/>
        <v>1</v>
      </c>
      <c r="AL157" s="66" t="str" cm="1">
        <f t="array" ref="AL157">IF($F157="","",IFERROR(INDEX('Lot Balance'!$B$5:$B$500,MATCH(1,INDEX(('Lot Balance'!$A$5:$A$500=$F157)*('Lot Balance'!$K$5:$K$500&lt;$AK157)*('Lot Balance'!$K$5:$K$500+'Lot Balance'!$D$5:$D$500&gt;=$AK157),0),0)),""))</f>
        <v/>
      </c>
      <c r="AM157" s="66" t="str" cm="1">
        <f t="array" ref="AM157">IF($F157="","",IFERROR(INDEX('Lot Balance'!$B$5:$B$500,MATCH(1,INDEX(('Lot Balance'!$A$5:$A$500=$F157)*('Lot Balance'!$K$5:$K$500&lt;$AJ157)*('Lot Balance'!$K$5:$K$500+'Lot Balance'!$D$5:$D$500&gt;=$AJ157),0),0)),""))</f>
        <v/>
      </c>
      <c r="AN157" s="66" t="str">
        <f>IF($F157="","",IF($AI157&lt;&gt;"",IF(COUNTIFS('Lot Balance'!$A$5:$A$500,$F157,'Lot Balance'!$B$5:$B$500,$AI157)=0,"⚠ override is not a lot of this item",IF($AI157=$AL157,"Override = FEFO","Override - FEFO says "&amp;$AL157)),IF($AL157="","⚠ no receipt on file for this item",IF($AM157&lt;&gt;$AL157,"FEFO auto - split, also "&amp;$AM157,"FEFO auto"))))</f>
        <v>⚠ no receipt on file for this item</v>
      </c>
      <c r="AO157" s="114"/>
    </row>
    <row r="158" spans="1:41" x14ac:dyDescent="0.35">
      <c r="A158" s="74">
        <v>46121</v>
      </c>
      <c r="B158" s="18" t="str">
        <f>IF($C158="","",IFERROR(INDEX('Staff Directory'!$A$5:$A$594,MATCH($C158,'Staff Directory'!$B$5:$B$594,0)),"⚠ unknown staff"))</f>
        <v>RN-004-A2</v>
      </c>
      <c r="C158" s="49" t="s">
        <v>920</v>
      </c>
      <c r="D158" s="19" t="str">
        <f>IF($B158="","",IFERROR(INDEX('Staff Directory'!$C$5:$C$594,MATCH($B158,'Staff Directory'!$A$5:$A$594,0)),""))</f>
        <v>RN</v>
      </c>
      <c r="E158" s="19" t="str">
        <f>IF($B158="","",IFERROR(INDEX('Staff Directory'!$D$5:$D$594,MATCH($B158,'Staff Directory'!$A$5:$A$594,0)),""))</f>
        <v>A2</v>
      </c>
      <c r="F158" s="9" t="s">
        <v>757</v>
      </c>
      <c r="G158" s="18" t="str">
        <f>IF($F158="","",IFERROR(INDEX(Items!$B$5:$B$597,MATCH($F158,Items!$A$5:$A$597,0)),"⚠ not in Items"))</f>
        <v>Documents</v>
      </c>
      <c r="H158" s="19" t="str">
        <f>IF($F158="","",IFERROR(INDEX(Items!$C$5:$C$597,MATCH($F158,Items!$A$5:$A$597,0)),""))</f>
        <v>Standard</v>
      </c>
      <c r="I158" s="23">
        <f>IF($F158="","",IFERROR(INDEX(Items!$E$5:$E$597,MATCH($F158,Items!$A$5:$A$597,0)),""))</f>
        <v>10</v>
      </c>
      <c r="J158" s="115">
        <f>IF(tblIssues[[#This Row],[Qty Override]]&lt;&gt;"",tblIssues[[#This Row],[Qty Override]],IF(tblIssues[[#This Row],[Standard Issue]]="","",tblIssues[[#This Row],[Standard Issue]]))</f>
        <v>10</v>
      </c>
      <c r="K158" s="20">
        <f>IF($F158="","",IFERROR(INDEX(Items!$D$5:$D$597,MATCH($F158,Items!$A$5:$A$597,0)),""))</f>
        <v>0</v>
      </c>
      <c r="L158" s="21">
        <f t="shared" si="28"/>
        <v>0</v>
      </c>
      <c r="M158" s="9" t="str">
        <f t="shared" si="29"/>
        <v/>
      </c>
      <c r="N158" s="24">
        <f>IF($A158="","",WORKDAY($A158,Settings!$C$9,HolidayDates))</f>
        <v>46129</v>
      </c>
      <c r="O158" s="24">
        <f>IF($N158="","",WORKDAY($N158,Settings!$C$10,HolidayDates))</f>
        <v>46169</v>
      </c>
      <c r="P158" s="10" t="s">
        <v>502</v>
      </c>
      <c r="Q158" s="52" t="str">
        <f t="shared" si="31"/>
        <v>Collected</v>
      </c>
      <c r="R158" s="55" t="str">
        <f t="shared" si="32"/>
        <v>2026-04</v>
      </c>
      <c r="S158" s="55">
        <f>IF(OR($B158="",$F158="",$R158=""),"",SUMIFS(tblIssues[Qty Issued],tblIssues[Staff ID],$B158,tblIssues[Item Name],$F158,tblIssues[Month],$R158))</f>
        <v>10</v>
      </c>
      <c r="T158" s="56">
        <f>IF($I158="","",$I158*Settings!$C$11)</f>
        <v>10</v>
      </c>
      <c r="U158" s="57" t="str">
        <f t="shared" si="30"/>
        <v>OK</v>
      </c>
      <c r="V158" s="55" t="str">
        <f t="shared" si="33"/>
        <v/>
      </c>
      <c r="W158" s="55" t="str">
        <f>IF($V158="","",IF(COUNTIF($V$5:$V158,$V158)=1,1,""))</f>
        <v/>
      </c>
      <c r="X158" s="58" t="str">
        <f>IF($W158="","",MAX($X$4:X157)+1)</f>
        <v/>
      </c>
      <c r="Y158" s="62"/>
      <c r="Z158" s="62"/>
      <c r="AA158" s="64" t="str">
        <f>IF($C158="","",IFERROR(INDEX('Staff Directory'!$E$5:$E$594,MATCH($C158,'Staff Directory'!$B$5:$B$594,0)),""))</f>
        <v>firstname004.lastname004@example.com</v>
      </c>
      <c r="AB158" s="64" t="str">
        <f>IF($C158="","",IF(ISNUMBER(SEARCH($D158,Settings!$C$15)),"Pickup","Dispatch"))</f>
        <v>Dispatch</v>
      </c>
      <c r="AC158" s="64" t="str">
        <f t="shared" si="34"/>
        <v>Supply order dispatched</v>
      </c>
      <c r="AD158" s="64" t="str">
        <f t="shared" si="26"/>
        <v>Dear  ,
Your order has been dispatched and is in transit. Reply if undelivered.</v>
      </c>
      <c r="AE158" s="64" t="str">
        <f t="shared" si="27"/>
        <v>mailto:firstname004.lastname004@example.com?subject=Supply%20order%20dispatched&amp;body=Dear%20%20%2C%0A%0AYour%20order%20has%20been%20dispatched%20and%20is%20in%20transit.%20Reply%20if%20undelivered.</v>
      </c>
      <c r="AF158" s="89" t="str">
        <f t="shared" si="35"/>
        <v>Draft email</v>
      </c>
      <c r="AG158" s="64">
        <f>IF($C158="","",IFERROR(INDEX('Staff Directory'!$K$595:$K$599,MATCH($C158,'Staff Directory'!$B$5:$B$599,0)),$D158))</f>
        <v>0</v>
      </c>
      <c r="AH158" t="str">
        <f>IF($C158="","",IFERROR(INDEX('Staff Directory'!$I$595:$I$599,MATCH($C158,'Staff Directory'!$B$5:$B$599,0))&amp;" "&amp;INDEX('Staff Directory'!$J$595:$J$599,MATCH($C158,'Staff Directory'!$B$5:$B$599,0)),$AG158))</f>
        <v xml:space="preserve"> </v>
      </c>
      <c r="AI158" s="102"/>
      <c r="AJ158" s="101">
        <f>IF($F158="","",SUMIFS($J$5:$J158,$F$5:$F158,$F158))</f>
        <v>50</v>
      </c>
      <c r="AK158" s="101">
        <f t="shared" si="3"/>
        <v>41</v>
      </c>
      <c r="AL158" s="66" t="str" cm="1">
        <f t="array" ref="AL158">IF($F158="","",IFERROR(INDEX('Lot Balance'!$B$5:$B$500,MATCH(1,INDEX(('Lot Balance'!$A$5:$A$500=$F158)*('Lot Balance'!$K$5:$K$500&lt;$AK158)*('Lot Balance'!$K$5:$K$500+'Lot Balance'!$D$5:$D$500&gt;=$AK158),0),0)),""))</f>
        <v/>
      </c>
      <c r="AM158" s="66" t="str" cm="1">
        <f t="array" ref="AM158">IF($F158="","",IFERROR(INDEX('Lot Balance'!$B$5:$B$500,MATCH(1,INDEX(('Lot Balance'!$A$5:$A$500=$F158)*('Lot Balance'!$K$5:$K$500&lt;$AJ158)*('Lot Balance'!$K$5:$K$500+'Lot Balance'!$D$5:$D$500&gt;=$AJ158),0),0)),""))</f>
        <v/>
      </c>
      <c r="AN158" s="66" t="str">
        <f>IF($F158="","",IF($AI158&lt;&gt;"",IF(COUNTIFS('Lot Balance'!$A$5:$A$500,$F158,'Lot Balance'!$B$5:$B$500,$AI158)=0,"⚠ override is not a lot of this item",IF($AI158=$AL158,"Override = FEFO","Override - FEFO says "&amp;$AL158)),IF($AL158="","⚠ no receipt on file for this item",IF($AM158&lt;&gt;$AL158,"FEFO auto - split, also "&amp;$AM158,"FEFO auto"))))</f>
        <v>⚠ no receipt on file for this item</v>
      </c>
      <c r="AO158" s="114"/>
    </row>
    <row r="159" spans="1:41" x14ac:dyDescent="0.35">
      <c r="A159" s="74">
        <v>46121</v>
      </c>
      <c r="B159" s="18" t="str">
        <f>IF($C159="","",IFERROR(INDEX('Staff Directory'!$A$5:$A$594,MATCH($C159,'Staff Directory'!$B$5:$B$594,0)),"⚠ unknown staff"))</f>
        <v>RN-018-A2</v>
      </c>
      <c r="C159" s="49" t="s">
        <v>937</v>
      </c>
      <c r="D159" s="19" t="str">
        <f>IF($B159="","",IFERROR(INDEX('Staff Directory'!$C$5:$C$594,MATCH($B159,'Staff Directory'!$A$5:$A$594,0)),""))</f>
        <v>RN</v>
      </c>
      <c r="E159" s="19" t="str">
        <f>IF($B159="","",IFERROR(INDEX('Staff Directory'!$D$5:$D$594,MATCH($B159,'Staff Directory'!$A$5:$A$594,0)),""))</f>
        <v>A2</v>
      </c>
      <c r="F159" s="9" t="s">
        <v>127</v>
      </c>
      <c r="G159" s="18" t="str">
        <f>IF($F159="","",IFERROR(INDEX(Items!$B$5:$B$597,MATCH($F159,Items!$A$5:$A$597,0)),"⚠ not in Items"))</f>
        <v>Gloves</v>
      </c>
      <c r="H159" s="19" t="str">
        <f>IF($F159="","",IFERROR(INDEX(Items!$C$5:$C$597,MATCH($F159,Items!$A$5:$A$597,0)),""))</f>
        <v>Medium</v>
      </c>
      <c r="I159" s="23">
        <f>IF($F159="","",IFERROR(INDEX(Items!$E$5:$E$597,MATCH($F159,Items!$A$5:$A$597,0)),""))</f>
        <v>500</v>
      </c>
      <c r="J159" s="115">
        <f>IF(tblIssues[[#This Row],[Qty Override]]&lt;&gt;"",tblIssues[[#This Row],[Qty Override]],IF(tblIssues[[#This Row],[Standard Issue]]="","",tblIssues[[#This Row],[Standard Issue]]))</f>
        <v>500</v>
      </c>
      <c r="K159" s="20">
        <f>IF($F159="","",IFERROR(INDEX(Items!$D$5:$D$597,MATCH($F159,Items!$A$5:$A$597,0)),""))</f>
        <v>5.5E-2</v>
      </c>
      <c r="L159" s="21">
        <f t="shared" si="28"/>
        <v>27.5</v>
      </c>
      <c r="M159" s="9" t="str">
        <f t="shared" si="29"/>
        <v>ZIM504126040-2</v>
      </c>
      <c r="N159" s="24">
        <f>IF($A159="","",WORKDAY($A159,Settings!$C$9,HolidayDates))</f>
        <v>46129</v>
      </c>
      <c r="O159" s="24">
        <f>IF($N159="","",WORKDAY($N159,Settings!$C$10,HolidayDates))</f>
        <v>46169</v>
      </c>
      <c r="P159" s="10" t="s">
        <v>502</v>
      </c>
      <c r="Q159" s="52" t="str">
        <f t="shared" si="31"/>
        <v>Collected</v>
      </c>
      <c r="R159" s="55" t="str">
        <f t="shared" si="32"/>
        <v>2026-04</v>
      </c>
      <c r="S159" s="55">
        <f>IF(OR($B159="",$F159="",$R159=""),"",SUMIFS(tblIssues[Qty Issued],tblIssues[Staff ID],$B159,tblIssues[Item Name],$F159,tblIssues[Month],$R159))</f>
        <v>500</v>
      </c>
      <c r="T159" s="56">
        <f>IF($I159="","",$I159*Settings!$C$11)</f>
        <v>500</v>
      </c>
      <c r="U159" s="57" t="str">
        <f t="shared" si="30"/>
        <v>OK</v>
      </c>
      <c r="V159" s="55" t="str">
        <f t="shared" si="33"/>
        <v/>
      </c>
      <c r="W159" s="55" t="str">
        <f>IF($V159="","",IF(COUNTIF($V$5:$V159,$V159)=1,1,""))</f>
        <v/>
      </c>
      <c r="X159" s="58" t="str">
        <f>IF($W159="","",MAX($X$4:X158)+1)</f>
        <v/>
      </c>
      <c r="Y159" s="62"/>
      <c r="Z159" s="62"/>
      <c r="AA159" s="64" t="str">
        <f>IF($C159="","",IFERROR(INDEX('Staff Directory'!$E$5:$E$594,MATCH($C159,'Staff Directory'!$B$5:$B$594,0)),""))</f>
        <v>firstname021.lastname021@example.com</v>
      </c>
      <c r="AB159" s="64" t="str">
        <f>IF($C159="","",IF(ISNUMBER(SEARCH($D159,Settings!$C$15)),"Pickup","Dispatch"))</f>
        <v>Dispatch</v>
      </c>
      <c r="AC159" s="64" t="str">
        <f t="shared" si="34"/>
        <v>Supply order dispatched</v>
      </c>
      <c r="AD159" s="64" t="str">
        <f t="shared" si="26"/>
        <v>Dear RN,
Your order has been dispatched and is in transit. Reply if undelivered.</v>
      </c>
      <c r="AE159" s="64" t="str">
        <f t="shared" si="27"/>
        <v>mailto:firstname021.lastname021@example.com?subject=Supply%20order%20dispatched&amp;body=Dear%20RN%2C%0A%0AYour%20order%20has%20been%20dispatched%20and%20is%20in%20transit.%20Reply%20if%20undelivered.</v>
      </c>
      <c r="AF159" s="89" t="str">
        <f t="shared" si="35"/>
        <v>Draft email</v>
      </c>
      <c r="AG159" s="64" t="str">
        <f>IF($C159="","",IFERROR(INDEX('Staff Directory'!$K$595:$K$599,MATCH($C159,'Staff Directory'!$B$5:$B$599,0)),$D159))</f>
        <v>RN</v>
      </c>
      <c r="AH159" t="str">
        <f>IF($C159="","",IFERROR(INDEX('Staff Directory'!$I$595:$I$599,MATCH($C159,'Staff Directory'!$B$5:$B$599,0))&amp;" "&amp;INDEX('Staff Directory'!$J$595:$J$599,MATCH($C159,'Staff Directory'!$B$5:$B$599,0)),$AG159))</f>
        <v>RN</v>
      </c>
      <c r="AI159" s="102"/>
      <c r="AJ159" s="101">
        <f>IF($F159="","",SUMIFS($J$5:$J159,$F$5:$F159,$F159))</f>
        <v>11000</v>
      </c>
      <c r="AK159" s="101">
        <f t="shared" si="3"/>
        <v>10501</v>
      </c>
      <c r="AL159" s="66" t="str" cm="1">
        <f t="array" ref="AL159">IF($F159="","",IFERROR(INDEX('Lot Balance'!$B$5:$B$500,MATCH(1,INDEX(('Lot Balance'!$A$5:$A$500=$F159)*('Lot Balance'!$K$5:$K$500&lt;$AK159)*('Lot Balance'!$K$5:$K$500+'Lot Balance'!$D$5:$D$500&gt;=$AK159),0),0)),""))</f>
        <v>ZIM504126040-2</v>
      </c>
      <c r="AM159" s="66" t="str" cm="1">
        <f t="array" ref="AM159">IF($F159="","",IFERROR(INDEX('Lot Balance'!$B$5:$B$500,MATCH(1,INDEX(('Lot Balance'!$A$5:$A$500=$F159)*('Lot Balance'!$K$5:$K$500&lt;$AJ159)*('Lot Balance'!$K$5:$K$500+'Lot Balance'!$D$5:$D$500&gt;=$AJ159),0),0)),""))</f>
        <v>ZIM504126040-2</v>
      </c>
      <c r="AN159" s="66" t="str">
        <f>IF($F159="","",IF($AI159&lt;&gt;"",IF(COUNTIFS('Lot Balance'!$A$5:$A$500,$F159,'Lot Balance'!$B$5:$B$500,$AI159)=0,"⚠ override is not a lot of this item",IF($AI159=$AL159,"Override = FEFO","Override - FEFO says "&amp;$AL159)),IF($AL159="","⚠ no receipt on file for this item",IF($AM159&lt;&gt;$AL159,"FEFO auto - split, also "&amp;$AM159,"FEFO auto"))))</f>
        <v>FEFO auto</v>
      </c>
      <c r="AO159" s="114"/>
    </row>
    <row r="160" spans="1:41" x14ac:dyDescent="0.35">
      <c r="A160" s="74">
        <v>46121</v>
      </c>
      <c r="B160" s="18" t="str">
        <f>IF($C160="","",IFERROR(INDEX('Staff Directory'!$A$5:$A$594,MATCH($C160,'Staff Directory'!$B$5:$B$594,0)),"⚠ unknown staff"))</f>
        <v>RN-018-A2</v>
      </c>
      <c r="C160" s="49" t="s">
        <v>937</v>
      </c>
      <c r="D160" s="19" t="str">
        <f>IF($B160="","",IFERROR(INDEX('Staff Directory'!$C$5:$C$594,MATCH($B160,'Staff Directory'!$A$5:$A$594,0)),""))</f>
        <v>RN</v>
      </c>
      <c r="E160" s="19" t="str">
        <f>IF($B160="","",IFERROR(INDEX('Staff Directory'!$D$5:$D$594,MATCH($B160,'Staff Directory'!$A$5:$A$594,0)),""))</f>
        <v>A2</v>
      </c>
      <c r="F160" s="9" t="s">
        <v>137</v>
      </c>
      <c r="G160" s="18" t="str">
        <f>IF($F160="","",IFERROR(INDEX(Items!$B$5:$B$597,MATCH($F160,Items!$A$5:$A$597,0)),"⚠ not in Items"))</f>
        <v>Sanitizer</v>
      </c>
      <c r="H160" s="19" t="str">
        <f>IF($F160="","",IFERROR(INDEX(Items!$C$5:$C$597,MATCH($F160,Items!$A$5:$A$597,0)),""))</f>
        <v>118 ML</v>
      </c>
      <c r="I160" s="23">
        <f>IF($F160="","",IFERROR(INDEX(Items!$E$5:$E$597,MATCH($F160,Items!$A$5:$A$597,0)),""))</f>
        <v>2</v>
      </c>
      <c r="J160" s="115">
        <f>IF(tblIssues[[#This Row],[Qty Override]]&lt;&gt;"",tblIssues[[#This Row],[Qty Override]],IF(tblIssues[[#This Row],[Standard Issue]]="","",tblIssues[[#This Row],[Standard Issue]]))</f>
        <v>2</v>
      </c>
      <c r="K160" s="20">
        <f>IF($F160="","",IFERROR(INDEX(Items!$D$5:$D$597,MATCH($F160,Items!$A$5:$A$597,0)),""))</f>
        <v>4.49</v>
      </c>
      <c r="L160" s="21">
        <f t="shared" si="28"/>
        <v>8.98</v>
      </c>
      <c r="M160" s="9" t="str">
        <f t="shared" si="29"/>
        <v>563963-5</v>
      </c>
      <c r="N160" s="24">
        <f>IF($A160="","",WORKDAY($A160,Settings!$C$9,HolidayDates))</f>
        <v>46129</v>
      </c>
      <c r="O160" s="24">
        <f>IF($N160="","",WORKDAY($N160,Settings!$C$10,HolidayDates))</f>
        <v>46169</v>
      </c>
      <c r="P160" s="10" t="s">
        <v>502</v>
      </c>
      <c r="Q160" s="52" t="str">
        <f t="shared" si="31"/>
        <v>Collected</v>
      </c>
      <c r="R160" s="55" t="str">
        <f t="shared" si="32"/>
        <v>2026-04</v>
      </c>
      <c r="S160" s="55">
        <f>IF(OR($B160="",$F160="",$R160=""),"",SUMIFS(tblIssues[Qty Issued],tblIssues[Staff ID],$B160,tblIssues[Item Name],$F160,tblIssues[Month],$R160))</f>
        <v>2</v>
      </c>
      <c r="T160" s="56">
        <f>IF($I160="","",$I160*Settings!$C$11)</f>
        <v>2</v>
      </c>
      <c r="U160" s="57" t="str">
        <f t="shared" si="30"/>
        <v>OK</v>
      </c>
      <c r="V160" s="55" t="str">
        <f t="shared" si="33"/>
        <v/>
      </c>
      <c r="W160" s="55" t="str">
        <f>IF($V160="","",IF(COUNTIF($V$5:$V160,$V160)=1,1,""))</f>
        <v/>
      </c>
      <c r="X160" s="58" t="str">
        <f>IF($W160="","",MAX($X$4:X159)+1)</f>
        <v/>
      </c>
      <c r="Y160" s="62"/>
      <c r="Z160" s="62"/>
      <c r="AA160" s="64" t="str">
        <f>IF($C160="","",IFERROR(INDEX('Staff Directory'!$E$5:$E$594,MATCH($C160,'Staff Directory'!$B$5:$B$594,0)),""))</f>
        <v>firstname021.lastname021@example.com</v>
      </c>
      <c r="AB160" s="64" t="str">
        <f>IF($C160="","",IF(ISNUMBER(SEARCH($D160,Settings!$C$15)),"Pickup","Dispatch"))</f>
        <v>Dispatch</v>
      </c>
      <c r="AC160" s="64" t="str">
        <f t="shared" si="34"/>
        <v>Supply order dispatched</v>
      </c>
      <c r="AD160" s="64" t="str">
        <f t="shared" si="26"/>
        <v>Dear RN,
Your order has been dispatched and is in transit. Reply if undelivered.</v>
      </c>
      <c r="AE160" s="64" t="str">
        <f t="shared" si="27"/>
        <v>mailto:firstname021.lastname021@example.com?subject=Supply%20order%20dispatched&amp;body=Dear%20RN%2C%0A%0AYour%20order%20has%20been%20dispatched%20and%20is%20in%20transit.%20Reply%20if%20undelivered.</v>
      </c>
      <c r="AF160" s="89" t="str">
        <f t="shared" si="35"/>
        <v>Draft email</v>
      </c>
      <c r="AG160" s="64" t="str">
        <f>IF($C160="","",IFERROR(INDEX('Staff Directory'!$K$595:$K$599,MATCH($C160,'Staff Directory'!$B$5:$B$599,0)),$D160))</f>
        <v>RN</v>
      </c>
      <c r="AH160" t="str">
        <f>IF($C160="","",IFERROR(INDEX('Staff Directory'!$I$595:$I$599,MATCH($C160,'Staff Directory'!$B$5:$B$599,0))&amp;" "&amp;INDEX('Staff Directory'!$J$595:$J$599,MATCH($C160,'Staff Directory'!$B$5:$B$599,0)),$AG160))</f>
        <v>RN</v>
      </c>
      <c r="AI160" s="102"/>
      <c r="AJ160" s="101">
        <f>IF($F160="","",SUMIFS($J$5:$J160,$F$5:$F160,$F160))</f>
        <v>56</v>
      </c>
      <c r="AK160" s="101">
        <f t="shared" si="3"/>
        <v>55</v>
      </c>
      <c r="AL160" s="66" t="str" cm="1">
        <f t="array" ref="AL160">IF($F160="","",IFERROR(INDEX('Lot Balance'!$B$5:$B$500,MATCH(1,INDEX(('Lot Balance'!$A$5:$A$500=$F160)*('Lot Balance'!$K$5:$K$500&lt;$AK160)*('Lot Balance'!$K$5:$K$500+'Lot Balance'!$D$5:$D$500&gt;=$AK160),0),0)),""))</f>
        <v>563963-5</v>
      </c>
      <c r="AM160" s="66" t="str" cm="1">
        <f t="array" ref="AM160">IF($F160="","",IFERROR(INDEX('Lot Balance'!$B$5:$B$500,MATCH(1,INDEX(('Lot Balance'!$A$5:$A$500=$F160)*('Lot Balance'!$K$5:$K$500&lt;$AJ160)*('Lot Balance'!$K$5:$K$500+'Lot Balance'!$D$5:$D$500&gt;=$AJ160),0),0)),""))</f>
        <v>563963-5</v>
      </c>
      <c r="AN160" s="66" t="str">
        <f>IF($F160="","",IF($AI160&lt;&gt;"",IF(COUNTIFS('Lot Balance'!$A$5:$A$500,$F160,'Lot Balance'!$B$5:$B$500,$AI160)=0,"⚠ override is not a lot of this item",IF($AI160=$AL160,"Override = FEFO","Override - FEFO says "&amp;$AL160)),IF($AL160="","⚠ no receipt on file for this item",IF($AM160&lt;&gt;$AL160,"FEFO auto - split, also "&amp;$AM160,"FEFO auto"))))</f>
        <v>FEFO auto</v>
      </c>
      <c r="AO160" s="114"/>
    </row>
    <row r="161" spans="1:41" x14ac:dyDescent="0.35">
      <c r="A161" s="74">
        <v>46121</v>
      </c>
      <c r="B161" s="18" t="str">
        <f>IF($C161="","",IFERROR(INDEX('Staff Directory'!$A$5:$A$594,MATCH($C161,'Staff Directory'!$B$5:$B$594,0)),"⚠ unknown staff"))</f>
        <v>RN-018-A2</v>
      </c>
      <c r="C161" s="49" t="s">
        <v>937</v>
      </c>
      <c r="D161" s="19" t="str">
        <f>IF($B161="","",IFERROR(INDEX('Staff Directory'!$C$5:$C$594,MATCH($B161,'Staff Directory'!$A$5:$A$594,0)),""))</f>
        <v>RN</v>
      </c>
      <c r="E161" s="19" t="str">
        <f>IF($B161="","",IFERROR(INDEX('Staff Directory'!$D$5:$D$594,MATCH($B161,'Staff Directory'!$A$5:$A$594,0)),""))</f>
        <v>A2</v>
      </c>
      <c r="F161" s="9" t="s">
        <v>115</v>
      </c>
      <c r="G161" s="18" t="str">
        <f>IF($F161="","",IFERROR(INDEX(Items!$B$5:$B$597,MATCH($F161,Items!$A$5:$A$597,0)),"⚠ not in Items"))</f>
        <v>Wipes</v>
      </c>
      <c r="H161" s="19">
        <f>IF($F161="","",IFERROR(INDEX(Items!$C$5:$C$597,MATCH($F161,Items!$A$5:$A$597,0)),""))</f>
        <v>80</v>
      </c>
      <c r="I161" s="23">
        <f>IF($F161="","",IFERROR(INDEX(Items!$E$5:$E$597,MATCH($F161,Items!$A$5:$A$597,0)),""))</f>
        <v>80</v>
      </c>
      <c r="J161" s="115">
        <f>IF(tblIssues[[#This Row],[Qty Override]]&lt;&gt;"",tblIssues[[#This Row],[Qty Override]],IF(tblIssues[[#This Row],[Standard Issue]]="","",tblIssues[[#This Row],[Standard Issue]]))</f>
        <v>80</v>
      </c>
      <c r="K161" s="20">
        <f>IF($F161="","",IFERROR(INDEX(Items!$D$5:$D$597,MATCH($F161,Items!$A$5:$A$597,0)),""))</f>
        <v>0.1</v>
      </c>
      <c r="L161" s="21">
        <f t="shared" si="28"/>
        <v>8</v>
      </c>
      <c r="M161" s="9" t="str">
        <f t="shared" si="29"/>
        <v>LYSL500290</v>
      </c>
      <c r="N161" s="24">
        <f>IF($A161="","",WORKDAY($A161,Settings!$C$9,HolidayDates))</f>
        <v>46129</v>
      </c>
      <c r="O161" s="24">
        <f>IF($N161="","",WORKDAY($N161,Settings!$C$10,HolidayDates))</f>
        <v>46169</v>
      </c>
      <c r="P161" s="10" t="s">
        <v>502</v>
      </c>
      <c r="Q161" s="52" t="str">
        <f t="shared" si="31"/>
        <v>Collected</v>
      </c>
      <c r="R161" s="55" t="str">
        <f t="shared" si="32"/>
        <v>2026-04</v>
      </c>
      <c r="S161" s="55">
        <f>IF(OR($B161="",$F161="",$R161=""),"",SUMIFS(tblIssues[Qty Issued],tblIssues[Staff ID],$B161,tblIssues[Item Name],$F161,tblIssues[Month],$R161))</f>
        <v>80</v>
      </c>
      <c r="T161" s="56">
        <f>IF($I161="","",$I161*Settings!$C$11)</f>
        <v>80</v>
      </c>
      <c r="U161" s="57" t="str">
        <f t="shared" si="30"/>
        <v>OK</v>
      </c>
      <c r="V161" s="55" t="str">
        <f t="shared" si="33"/>
        <v/>
      </c>
      <c r="W161" s="55" t="str">
        <f>IF($V161="","",IF(COUNTIF($V$5:$V161,$V161)=1,1,""))</f>
        <v/>
      </c>
      <c r="X161" s="58" t="str">
        <f>IF($W161="","",MAX($X$4:X160)+1)</f>
        <v/>
      </c>
      <c r="Y161" s="62"/>
      <c r="Z161" s="62"/>
      <c r="AA161" s="64" t="str">
        <f>IF($C161="","",IFERROR(INDEX('Staff Directory'!$E$5:$E$594,MATCH($C161,'Staff Directory'!$B$5:$B$594,0)),""))</f>
        <v>firstname021.lastname021@example.com</v>
      </c>
      <c r="AB161" s="64" t="str">
        <f>IF($C161="","",IF(ISNUMBER(SEARCH($D161,Settings!$C$15)),"Pickup","Dispatch"))</f>
        <v>Dispatch</v>
      </c>
      <c r="AC161" s="64" t="str">
        <f t="shared" si="34"/>
        <v>Supply order dispatched</v>
      </c>
      <c r="AD161" s="64" t="str">
        <f t="shared" si="26"/>
        <v>Dear RN,
Your order has been dispatched and is in transit. Reply if undelivered.</v>
      </c>
      <c r="AE161" s="64" t="str">
        <f t="shared" si="27"/>
        <v>mailto:firstname021.lastname021@example.com?subject=Supply%20order%20dispatched&amp;body=Dear%20RN%2C%0A%0AYour%20order%20has%20been%20dispatched%20and%20is%20in%20transit.%20Reply%20if%20undelivered.</v>
      </c>
      <c r="AF161" s="89" t="str">
        <f t="shared" si="35"/>
        <v>Draft email</v>
      </c>
      <c r="AG161" s="64" t="str">
        <f>IF($C161="","",IFERROR(INDEX('Staff Directory'!$K$595:$K$599,MATCH($C161,'Staff Directory'!$B$5:$B$599,0)),$D161))</f>
        <v>RN</v>
      </c>
      <c r="AH161" t="str">
        <f>IF($C161="","",IFERROR(INDEX('Staff Directory'!$I$595:$I$599,MATCH($C161,'Staff Directory'!$B$5:$B$599,0))&amp;" "&amp;INDEX('Staff Directory'!$J$595:$J$599,MATCH($C161,'Staff Directory'!$B$5:$B$599,0)),$AG161))</f>
        <v>RN</v>
      </c>
      <c r="AI161" s="102"/>
      <c r="AJ161" s="101">
        <f>IF($F161="","",SUMIFS($J$5:$J161,$F$5:$F161,$F161))</f>
        <v>2560</v>
      </c>
      <c r="AK161" s="101">
        <f t="shared" si="3"/>
        <v>2481</v>
      </c>
      <c r="AL161" s="66" t="str" cm="1">
        <f t="array" ref="AL161">IF($F161="","",IFERROR(INDEX('Lot Balance'!$B$5:$B$500,MATCH(1,INDEX(('Lot Balance'!$A$5:$A$500=$F161)*('Lot Balance'!$K$5:$K$500&lt;$AK161)*('Lot Balance'!$K$5:$K$500+'Lot Balance'!$D$5:$D$500&gt;=$AK161),0),0)),""))</f>
        <v>LYSL500290</v>
      </c>
      <c r="AM161" s="66" t="str" cm="1">
        <f t="array" ref="AM161">IF($F161="","",IFERROR(INDEX('Lot Balance'!$B$5:$B$500,MATCH(1,INDEX(('Lot Balance'!$A$5:$A$500=$F161)*('Lot Balance'!$K$5:$K$500&lt;$AJ161)*('Lot Balance'!$K$5:$K$500+'Lot Balance'!$D$5:$D$500&gt;=$AJ161),0),0)),""))</f>
        <v>LYSL500290</v>
      </c>
      <c r="AN161" s="66" t="str">
        <f>IF($F161="","",IF($AI161&lt;&gt;"",IF(COUNTIFS('Lot Balance'!$A$5:$A$500,$F161,'Lot Balance'!$B$5:$B$500,$AI161)=0,"⚠ override is not a lot of this item",IF($AI161=$AL161,"Override = FEFO","Override - FEFO says "&amp;$AL161)),IF($AL161="","⚠ no receipt on file for this item",IF($AM161&lt;&gt;$AL161,"FEFO auto - split, also "&amp;$AM161,"FEFO auto"))))</f>
        <v>FEFO auto</v>
      </c>
      <c r="AO161" s="114"/>
    </row>
    <row r="162" spans="1:41" x14ac:dyDescent="0.35">
      <c r="A162" s="74">
        <v>46121</v>
      </c>
      <c r="B162" s="18" t="str">
        <f>IF($C162="","",IFERROR(INDEX('Staff Directory'!$A$5:$A$594,MATCH($C162,'Staff Directory'!$B$5:$B$594,0)),"⚠ unknown staff"))</f>
        <v>RN-018-A2</v>
      </c>
      <c r="C162" s="49" t="s">
        <v>937</v>
      </c>
      <c r="D162" s="19" t="str">
        <f>IF($B162="","",IFERROR(INDEX('Staff Directory'!$C$5:$C$594,MATCH($B162,'Staff Directory'!$A$5:$A$594,0)),""))</f>
        <v>RN</v>
      </c>
      <c r="E162" s="19" t="str">
        <f>IF($B162="","",IFERROR(INDEX('Staff Directory'!$D$5:$D$594,MATCH($B162,'Staff Directory'!$A$5:$A$594,0)),""))</f>
        <v>A2</v>
      </c>
      <c r="F162" s="9" t="s">
        <v>156</v>
      </c>
      <c r="G162" s="18" t="str">
        <f>IF($F162="","",IFERROR(INDEX(Items!$B$5:$B$597,MATCH($F162,Items!$A$5:$A$597,0)),"⚠ not in Items"))</f>
        <v>Masks</v>
      </c>
      <c r="H162" s="19" t="str">
        <f>IF($F162="","",IFERROR(INDEX(Items!$C$5:$C$597,MATCH($F162,Items!$A$5:$A$597,0)),""))</f>
        <v>One Size</v>
      </c>
      <c r="I162" s="23">
        <f>IF($F162="","",IFERROR(INDEX(Items!$E$5:$E$597,MATCH($F162,Items!$A$5:$A$597,0)),""))</f>
        <v>50</v>
      </c>
      <c r="J162" s="115">
        <f>IF(tblIssues[[#This Row],[Qty Override]]&lt;&gt;"",tblIssues[[#This Row],[Qty Override]],IF(tblIssues[[#This Row],[Standard Issue]]="","",tblIssues[[#This Row],[Standard Issue]]))</f>
        <v>50</v>
      </c>
      <c r="K162" s="20">
        <f>IF($F162="","",IFERROR(INDEX(Items!$D$5:$D$597,MATCH($F162,Items!$A$5:$A$597,0)),""))</f>
        <v>0.25</v>
      </c>
      <c r="L162" s="21">
        <f t="shared" si="28"/>
        <v>12.5</v>
      </c>
      <c r="M162" s="9" t="str">
        <f t="shared" si="29"/>
        <v>0125FPC24-0</v>
      </c>
      <c r="N162" s="24">
        <f>IF($A162="","",WORKDAY($A162,Settings!$C$9,HolidayDates))</f>
        <v>46129</v>
      </c>
      <c r="O162" s="24">
        <f>IF($N162="","",WORKDAY($N162,Settings!$C$10,HolidayDates))</f>
        <v>46169</v>
      </c>
      <c r="P162" s="10" t="s">
        <v>502</v>
      </c>
      <c r="Q162" s="52" t="str">
        <f t="shared" si="31"/>
        <v>Collected</v>
      </c>
      <c r="R162" s="55" t="str">
        <f t="shared" si="32"/>
        <v>2026-04</v>
      </c>
      <c r="S162" s="55">
        <f>IF(OR($B162="",$F162="",$R162=""),"",SUMIFS(tblIssues[Qty Issued],tblIssues[Staff ID],$B162,tblIssues[Item Name],$F162,tblIssues[Month],$R162))</f>
        <v>50</v>
      </c>
      <c r="T162" s="56">
        <f>IF($I162="","",$I162*Settings!$C$11)</f>
        <v>50</v>
      </c>
      <c r="U162" s="57" t="str">
        <f t="shared" si="30"/>
        <v>OK</v>
      </c>
      <c r="V162" s="55" t="str">
        <f t="shared" si="33"/>
        <v/>
      </c>
      <c r="W162" s="55" t="str">
        <f>IF($V162="","",IF(COUNTIF($V$5:$V162,$V162)=1,1,""))</f>
        <v/>
      </c>
      <c r="X162" s="58" t="str">
        <f>IF($W162="","",MAX($X$4:X161)+1)</f>
        <v/>
      </c>
      <c r="Y162" s="62"/>
      <c r="Z162" s="62"/>
      <c r="AA162" s="64" t="str">
        <f>IF($C162="","",IFERROR(INDEX('Staff Directory'!$E$5:$E$594,MATCH($C162,'Staff Directory'!$B$5:$B$594,0)),""))</f>
        <v>firstname021.lastname021@example.com</v>
      </c>
      <c r="AB162" s="64" t="str">
        <f>IF($C162="","",IF(ISNUMBER(SEARCH($D162,Settings!$C$15)),"Pickup","Dispatch"))</f>
        <v>Dispatch</v>
      </c>
      <c r="AC162" s="64" t="str">
        <f t="shared" si="34"/>
        <v>Supply order dispatched</v>
      </c>
      <c r="AD162" s="64" t="str">
        <f t="shared" si="26"/>
        <v>Dear RN,
Your order has been dispatched and is in transit. Reply if undelivered.</v>
      </c>
      <c r="AE162" s="64" t="str">
        <f t="shared" si="27"/>
        <v>mailto:firstname021.lastname021@example.com?subject=Supply%20order%20dispatched&amp;body=Dear%20RN%2C%0A%0AYour%20order%20has%20been%20dispatched%20and%20is%20in%20transit.%20Reply%20if%20undelivered.</v>
      </c>
      <c r="AF162" s="89" t="str">
        <f t="shared" si="35"/>
        <v>Draft email</v>
      </c>
      <c r="AG162" s="64" t="str">
        <f>IF($C162="","",IFERROR(INDEX('Staff Directory'!$K$595:$K$599,MATCH($C162,'Staff Directory'!$B$5:$B$599,0)),$D162))</f>
        <v>RN</v>
      </c>
      <c r="AH162" t="str">
        <f>IF($C162="","",IFERROR(INDEX('Staff Directory'!$I$595:$I$599,MATCH($C162,'Staff Directory'!$B$5:$B$599,0))&amp;" "&amp;INDEX('Staff Directory'!$J$595:$J$599,MATCH($C162,'Staff Directory'!$B$5:$B$599,0)),$AG162))</f>
        <v>RN</v>
      </c>
      <c r="AI162" s="102"/>
      <c r="AJ162" s="101">
        <f>IF($F162="","",SUMIFS($J$5:$J162,$F$5:$F162,$F162))</f>
        <v>1250</v>
      </c>
      <c r="AK162" s="101">
        <f t="shared" si="3"/>
        <v>1201</v>
      </c>
      <c r="AL162" s="66" t="str" cm="1">
        <f t="array" ref="AL162">IF($F162="","",IFERROR(INDEX('Lot Balance'!$B$5:$B$500,MATCH(1,INDEX(('Lot Balance'!$A$5:$A$500=$F162)*('Lot Balance'!$K$5:$K$500&lt;$AK162)*('Lot Balance'!$K$5:$K$500+'Lot Balance'!$D$5:$D$500&gt;=$AK162),0),0)),""))</f>
        <v>0125FPC24-0</v>
      </c>
      <c r="AM162" s="66" t="str" cm="1">
        <f t="array" ref="AM162">IF($F162="","",IFERROR(INDEX('Lot Balance'!$B$5:$B$500,MATCH(1,INDEX(('Lot Balance'!$A$5:$A$500=$F162)*('Lot Balance'!$K$5:$K$500&lt;$AJ162)*('Lot Balance'!$K$5:$K$500+'Lot Balance'!$D$5:$D$500&gt;=$AJ162),0),0)),""))</f>
        <v>0125FPC24-0</v>
      </c>
      <c r="AN162" s="66" t="str">
        <f>IF($F162="","",IF($AI162&lt;&gt;"",IF(COUNTIFS('Lot Balance'!$A$5:$A$500,$F162,'Lot Balance'!$B$5:$B$500,$AI162)=0,"⚠ override is not a lot of this item",IF($AI162=$AL162,"Override = FEFO","Override - FEFO says "&amp;$AL162)),IF($AL162="","⚠ no receipt on file for this item",IF($AM162&lt;&gt;$AL162,"FEFO auto - split, also "&amp;$AM162,"FEFO auto"))))</f>
        <v>FEFO auto</v>
      </c>
      <c r="AO162" s="114"/>
    </row>
    <row r="163" spans="1:41" x14ac:dyDescent="0.35">
      <c r="A163" s="74">
        <v>46121</v>
      </c>
      <c r="B163" s="18" t="str">
        <f>IF($C163="","",IFERROR(INDEX('Staff Directory'!$A$5:$A$594,MATCH($C163,'Staff Directory'!$B$5:$B$594,0)),"⚠ unknown staff"))</f>
        <v>RN-018-A2</v>
      </c>
      <c r="C163" s="49" t="s">
        <v>937</v>
      </c>
      <c r="D163" s="19" t="str">
        <f>IF($B163="","",IFERROR(INDEX('Staff Directory'!$C$5:$C$594,MATCH($B163,'Staff Directory'!$A$5:$A$594,0)),""))</f>
        <v>RN</v>
      </c>
      <c r="E163" s="19" t="str">
        <f>IF($B163="","",IFERROR(INDEX('Staff Directory'!$D$5:$D$594,MATCH($B163,'Staff Directory'!$A$5:$A$594,0)),""))</f>
        <v>A2</v>
      </c>
      <c r="F163" s="9" t="s">
        <v>757</v>
      </c>
      <c r="G163" s="18" t="str">
        <f>IF($F163="","",IFERROR(INDEX(Items!$B$5:$B$597,MATCH($F163,Items!$A$5:$A$597,0)),"⚠ not in Items"))</f>
        <v>Documents</v>
      </c>
      <c r="H163" s="19" t="str">
        <f>IF($F163="","",IFERROR(INDEX(Items!$C$5:$C$597,MATCH($F163,Items!$A$5:$A$597,0)),""))</f>
        <v>Standard</v>
      </c>
      <c r="I163" s="23">
        <f>IF($F163="","",IFERROR(INDEX(Items!$E$5:$E$597,MATCH($F163,Items!$A$5:$A$597,0)),""))</f>
        <v>10</v>
      </c>
      <c r="J163" s="115">
        <f>IF(tblIssues[[#This Row],[Qty Override]]&lt;&gt;"",tblIssues[[#This Row],[Qty Override]],IF(tblIssues[[#This Row],[Standard Issue]]="","",tblIssues[[#This Row],[Standard Issue]]))</f>
        <v>10</v>
      </c>
      <c r="K163" s="20">
        <f>IF($F163="","",IFERROR(INDEX(Items!$D$5:$D$597,MATCH($F163,Items!$A$5:$A$597,0)),""))</f>
        <v>0</v>
      </c>
      <c r="L163" s="21">
        <f t="shared" si="28"/>
        <v>0</v>
      </c>
      <c r="M163" s="9" t="str">
        <f t="shared" si="29"/>
        <v/>
      </c>
      <c r="N163" s="24">
        <f>IF($A163="","",WORKDAY($A163,Settings!$C$9,HolidayDates))</f>
        <v>46129</v>
      </c>
      <c r="O163" s="24">
        <f>IF($N163="","",WORKDAY($N163,Settings!$C$10,HolidayDates))</f>
        <v>46169</v>
      </c>
      <c r="P163" s="10" t="s">
        <v>502</v>
      </c>
      <c r="Q163" s="52" t="str">
        <f t="shared" si="31"/>
        <v>Collected</v>
      </c>
      <c r="R163" s="55" t="str">
        <f t="shared" si="32"/>
        <v>2026-04</v>
      </c>
      <c r="S163" s="55">
        <f>IF(OR($B163="",$F163="",$R163=""),"",SUMIFS(tblIssues[Qty Issued],tblIssues[Staff ID],$B163,tblIssues[Item Name],$F163,tblIssues[Month],$R163))</f>
        <v>10</v>
      </c>
      <c r="T163" s="56">
        <f>IF($I163="","",$I163*Settings!$C$11)</f>
        <v>10</v>
      </c>
      <c r="U163" s="57" t="str">
        <f t="shared" si="30"/>
        <v>OK</v>
      </c>
      <c r="V163" s="55" t="str">
        <f t="shared" si="33"/>
        <v/>
      </c>
      <c r="W163" s="55" t="str">
        <f>IF($V163="","",IF(COUNTIF($V$5:$V163,$V163)=1,1,""))</f>
        <v/>
      </c>
      <c r="X163" s="58" t="str">
        <f>IF($W163="","",MAX($X$4:X162)+1)</f>
        <v/>
      </c>
      <c r="Y163" s="62"/>
      <c r="Z163" s="62"/>
      <c r="AA163" s="64" t="str">
        <f>IF($C163="","",IFERROR(INDEX('Staff Directory'!$E$5:$E$594,MATCH($C163,'Staff Directory'!$B$5:$B$594,0)),""))</f>
        <v>firstname021.lastname021@example.com</v>
      </c>
      <c r="AB163" s="64" t="str">
        <f>IF($C163="","",IF(ISNUMBER(SEARCH($D163,Settings!$C$15)),"Pickup","Dispatch"))</f>
        <v>Dispatch</v>
      </c>
      <c r="AC163" s="64" t="str">
        <f t="shared" si="34"/>
        <v>Supply order dispatched</v>
      </c>
      <c r="AD163" s="64" t="str">
        <f t="shared" si="26"/>
        <v>Dear RN,
Your order has been dispatched and is in transit. Reply if undelivered.</v>
      </c>
      <c r="AE163" s="64" t="str">
        <f t="shared" si="27"/>
        <v>mailto:firstname021.lastname021@example.com?subject=Supply%20order%20dispatched&amp;body=Dear%20RN%2C%0A%0AYour%20order%20has%20been%20dispatched%20and%20is%20in%20transit.%20Reply%20if%20undelivered.</v>
      </c>
      <c r="AF163" s="89" t="str">
        <f t="shared" si="35"/>
        <v>Draft email</v>
      </c>
      <c r="AG163" s="64" t="str">
        <f>IF($C163="","",IFERROR(INDEX('Staff Directory'!$K$595:$K$599,MATCH($C163,'Staff Directory'!$B$5:$B$599,0)),$D163))</f>
        <v>RN</v>
      </c>
      <c r="AH163" t="str">
        <f>IF($C163="","",IFERROR(INDEX('Staff Directory'!$I$595:$I$599,MATCH($C163,'Staff Directory'!$B$5:$B$599,0))&amp;" "&amp;INDEX('Staff Directory'!$J$595:$J$599,MATCH($C163,'Staff Directory'!$B$5:$B$599,0)),$AG163))</f>
        <v>RN</v>
      </c>
      <c r="AI163" s="102"/>
      <c r="AJ163" s="101">
        <f>IF($F163="","",SUMIFS($J$5:$J163,$F$5:$F163,$F163))</f>
        <v>60</v>
      </c>
      <c r="AK163" s="101">
        <f t="shared" si="3"/>
        <v>51</v>
      </c>
      <c r="AL163" s="66" t="str" cm="1">
        <f t="array" ref="AL163">IF($F163="","",IFERROR(INDEX('Lot Balance'!$B$5:$B$500,MATCH(1,INDEX(('Lot Balance'!$A$5:$A$500=$F163)*('Lot Balance'!$K$5:$K$500&lt;$AK163)*('Lot Balance'!$K$5:$K$500+'Lot Balance'!$D$5:$D$500&gt;=$AK163),0),0)),""))</f>
        <v/>
      </c>
      <c r="AM163" s="66" t="str" cm="1">
        <f t="array" ref="AM163">IF($F163="","",IFERROR(INDEX('Lot Balance'!$B$5:$B$500,MATCH(1,INDEX(('Lot Balance'!$A$5:$A$500=$F163)*('Lot Balance'!$K$5:$K$500&lt;$AJ163)*('Lot Balance'!$K$5:$K$500+'Lot Balance'!$D$5:$D$500&gt;=$AJ163),0),0)),""))</f>
        <v/>
      </c>
      <c r="AN163" s="66" t="str">
        <f>IF($F163="","",IF($AI163&lt;&gt;"",IF(COUNTIFS('Lot Balance'!$A$5:$A$500,$F163,'Lot Balance'!$B$5:$B$500,$AI163)=0,"⚠ override is not a lot of this item",IF($AI163=$AL163,"Override = FEFO","Override - FEFO says "&amp;$AL163)),IF($AL163="","⚠ no receipt on file for this item",IF($AM163&lt;&gt;$AL163,"FEFO auto - split, also "&amp;$AM163,"FEFO auto"))))</f>
        <v>⚠ no receipt on file for this item</v>
      </c>
      <c r="AO163" s="114"/>
    </row>
    <row r="164" spans="1:41" x14ac:dyDescent="0.35">
      <c r="A164" s="74">
        <v>46121</v>
      </c>
      <c r="B164" s="18" t="str">
        <f>IF($C164="","",IFERROR(INDEX('Staff Directory'!$A$5:$A$594,MATCH($C164,'Staff Directory'!$B$5:$B$594,0)),"⚠ unknown staff"))</f>
        <v>RN-011-A2</v>
      </c>
      <c r="C164" s="49" t="s">
        <v>927</v>
      </c>
      <c r="D164" s="19" t="str">
        <f>IF($B164="","",IFERROR(INDEX('Staff Directory'!$C$5:$C$594,MATCH($B164,'Staff Directory'!$A$5:$A$594,0)),""))</f>
        <v>RN</v>
      </c>
      <c r="E164" s="19" t="str">
        <f>IF($B164="","",IFERROR(INDEX('Staff Directory'!$D$5:$D$594,MATCH($B164,'Staff Directory'!$A$5:$A$594,0)),""))</f>
        <v>A2</v>
      </c>
      <c r="F164" s="9" t="s">
        <v>127</v>
      </c>
      <c r="G164" s="18" t="str">
        <f>IF($F164="","",IFERROR(INDEX(Items!$B$5:$B$597,MATCH($F164,Items!$A$5:$A$597,0)),"⚠ not in Items"))</f>
        <v>Gloves</v>
      </c>
      <c r="H164" s="19" t="str">
        <f>IF($F164="","",IFERROR(INDEX(Items!$C$5:$C$597,MATCH($F164,Items!$A$5:$A$597,0)),""))</f>
        <v>Medium</v>
      </c>
      <c r="I164" s="23">
        <f>IF($F164="","",IFERROR(INDEX(Items!$E$5:$E$597,MATCH($F164,Items!$A$5:$A$597,0)),""))</f>
        <v>500</v>
      </c>
      <c r="J164" s="115">
        <f>IF(tblIssues[[#This Row],[Qty Override]]&lt;&gt;"",tblIssues[[#This Row],[Qty Override]],IF(tblIssues[[#This Row],[Standard Issue]]="","",tblIssues[[#This Row],[Standard Issue]]))</f>
        <v>500</v>
      </c>
      <c r="K164" s="20">
        <f>IF($F164="","",IFERROR(INDEX(Items!$D$5:$D$597,MATCH($F164,Items!$A$5:$A$597,0)),""))</f>
        <v>5.5E-2</v>
      </c>
      <c r="L164" s="21">
        <f t="shared" si="28"/>
        <v>27.5</v>
      </c>
      <c r="M164" s="9" t="str">
        <f t="shared" si="29"/>
        <v>ZIM504126040-2</v>
      </c>
      <c r="N164" s="24">
        <f>IF($A164="","",WORKDAY($A164,Settings!$C$9,HolidayDates))</f>
        <v>46129</v>
      </c>
      <c r="O164" s="24">
        <f>IF($N164="","",WORKDAY($N164,Settings!$C$10,HolidayDates))</f>
        <v>46169</v>
      </c>
      <c r="P164" s="10" t="s">
        <v>502</v>
      </c>
      <c r="Q164" s="52" t="str">
        <f t="shared" si="31"/>
        <v>Collected</v>
      </c>
      <c r="R164" s="55" t="str">
        <f t="shared" si="32"/>
        <v>2026-04</v>
      </c>
      <c r="S164" s="55">
        <f>IF(OR($B164="",$F164="",$R164=""),"",SUMIFS(tblIssues[Qty Issued],tblIssues[Staff ID],$B164,tblIssues[Item Name],$F164,tblIssues[Month],$R164))</f>
        <v>500</v>
      </c>
      <c r="T164" s="56">
        <f>IF($I164="","",$I164*Settings!$C$11)</f>
        <v>500</v>
      </c>
      <c r="U164" s="57" t="str">
        <f t="shared" si="30"/>
        <v>OK</v>
      </c>
      <c r="V164" s="55" t="str">
        <f t="shared" si="33"/>
        <v/>
      </c>
      <c r="W164" s="55" t="str">
        <f>IF($V164="","",IF(COUNTIF($V$5:$V164,$V164)=1,1,""))</f>
        <v/>
      </c>
      <c r="X164" s="58" t="str">
        <f>IF($W164="","",MAX($X$4:X163)+1)</f>
        <v/>
      </c>
      <c r="Y164" s="62"/>
      <c r="Z164" s="62"/>
      <c r="AA164" s="64" t="str">
        <f>IF($C164="","",IFERROR(INDEX('Staff Directory'!$E$5:$E$594,MATCH($C164,'Staff Directory'!$B$5:$B$594,0)),""))</f>
        <v>firstname011.lastname011@example.com</v>
      </c>
      <c r="AB164" s="64" t="str">
        <f>IF($C164="","",IF(ISNUMBER(SEARCH($D164,Settings!$C$15)),"Pickup","Dispatch"))</f>
        <v>Dispatch</v>
      </c>
      <c r="AC164" s="64" t="str">
        <f t="shared" si="34"/>
        <v>Supply order dispatched</v>
      </c>
      <c r="AD164" s="64" t="str">
        <f t="shared" si="26"/>
        <v>Dear RN,
Your order has been dispatched and is in transit. Reply if undelivered.</v>
      </c>
      <c r="AE164" s="64" t="str">
        <f t="shared" si="27"/>
        <v>mailto:firstname011.lastname011@example.com?subject=Supply%20order%20dispatched&amp;body=Dear%20RN%2C%0A%0AYour%20order%20has%20been%20dispatched%20and%20is%20in%20transit.%20Reply%20if%20undelivered.</v>
      </c>
      <c r="AF164" s="89" t="str">
        <f t="shared" si="35"/>
        <v>Draft email</v>
      </c>
      <c r="AG164" s="64" t="str">
        <f>IF($C164="","",IFERROR(INDEX('Staff Directory'!$K$595:$K$599,MATCH($C164,'Staff Directory'!$B$5:$B$599,0)),$D164))</f>
        <v>RN</v>
      </c>
      <c r="AH164" t="str">
        <f>IF($C164="","",IFERROR(INDEX('Staff Directory'!$I$595:$I$599,MATCH($C164,'Staff Directory'!$B$5:$B$599,0))&amp;" "&amp;INDEX('Staff Directory'!$J$595:$J$599,MATCH($C164,'Staff Directory'!$B$5:$B$599,0)),$AG164))</f>
        <v>RN</v>
      </c>
      <c r="AI164" s="102"/>
      <c r="AJ164" s="101">
        <f>IF($F164="","",SUMIFS($J$5:$J164,$F$5:$F164,$F164))</f>
        <v>11500</v>
      </c>
      <c r="AK164" s="101">
        <f t="shared" si="3"/>
        <v>11001</v>
      </c>
      <c r="AL164" s="66" t="str" cm="1">
        <f t="array" ref="AL164">IF($F164="","",IFERROR(INDEX('Lot Balance'!$B$5:$B$500,MATCH(1,INDEX(('Lot Balance'!$A$5:$A$500=$F164)*('Lot Balance'!$K$5:$K$500&lt;$AK164)*('Lot Balance'!$K$5:$K$500+'Lot Balance'!$D$5:$D$500&gt;=$AK164),0),0)),""))</f>
        <v>ZIM504126040-2</v>
      </c>
      <c r="AM164" s="66" t="str" cm="1">
        <f t="array" ref="AM164">IF($F164="","",IFERROR(INDEX('Lot Balance'!$B$5:$B$500,MATCH(1,INDEX(('Lot Balance'!$A$5:$A$500=$F164)*('Lot Balance'!$K$5:$K$500&lt;$AJ164)*('Lot Balance'!$K$5:$K$500+'Lot Balance'!$D$5:$D$500&gt;=$AJ164),0),0)),""))</f>
        <v>ZIM504126040-2</v>
      </c>
      <c r="AN164" s="66" t="str">
        <f>IF($F164="","",IF($AI164&lt;&gt;"",IF(COUNTIFS('Lot Balance'!$A$5:$A$500,$F164,'Lot Balance'!$B$5:$B$500,$AI164)=0,"⚠ override is not a lot of this item",IF($AI164=$AL164,"Override = FEFO","Override - FEFO says "&amp;$AL164)),IF($AL164="","⚠ no receipt on file for this item",IF($AM164&lt;&gt;$AL164,"FEFO auto - split, also "&amp;$AM164,"FEFO auto"))))</f>
        <v>FEFO auto</v>
      </c>
      <c r="AO164" s="114"/>
    </row>
    <row r="165" spans="1:41" x14ac:dyDescent="0.35">
      <c r="A165" s="74">
        <v>46121</v>
      </c>
      <c r="B165" s="18" t="str">
        <f>IF($C165="","",IFERROR(INDEX('Staff Directory'!$A$5:$A$594,MATCH($C165,'Staff Directory'!$B$5:$B$594,0)),"⚠ unknown staff"))</f>
        <v>RN-011-A2</v>
      </c>
      <c r="C165" s="49" t="s">
        <v>927</v>
      </c>
      <c r="D165" s="19" t="str">
        <f>IF($B165="","",IFERROR(INDEX('Staff Directory'!$C$5:$C$594,MATCH($B165,'Staff Directory'!$A$5:$A$594,0)),""))</f>
        <v>RN</v>
      </c>
      <c r="E165" s="19" t="str">
        <f>IF($B165="","",IFERROR(INDEX('Staff Directory'!$D$5:$D$594,MATCH($B165,'Staff Directory'!$A$5:$A$594,0)),""))</f>
        <v>A2</v>
      </c>
      <c r="F165" s="9" t="s">
        <v>137</v>
      </c>
      <c r="G165" s="18" t="str">
        <f>IF($F165="","",IFERROR(INDEX(Items!$B$5:$B$597,MATCH($F165,Items!$A$5:$A$597,0)),"⚠ not in Items"))</f>
        <v>Sanitizer</v>
      </c>
      <c r="H165" s="19" t="str">
        <f>IF($F165="","",IFERROR(INDEX(Items!$C$5:$C$597,MATCH($F165,Items!$A$5:$A$597,0)),""))</f>
        <v>118 ML</v>
      </c>
      <c r="I165" s="23">
        <f>IF($F165="","",IFERROR(INDEX(Items!$E$5:$E$597,MATCH($F165,Items!$A$5:$A$597,0)),""))</f>
        <v>2</v>
      </c>
      <c r="J165" s="115">
        <f>IF(tblIssues[[#This Row],[Qty Override]]&lt;&gt;"",tblIssues[[#This Row],[Qty Override]],IF(tblIssues[[#This Row],[Standard Issue]]="","",tblIssues[[#This Row],[Standard Issue]]))</f>
        <v>2</v>
      </c>
      <c r="K165" s="20">
        <f>IF($F165="","",IFERROR(INDEX(Items!$D$5:$D$597,MATCH($F165,Items!$A$5:$A$597,0)),""))</f>
        <v>4.49</v>
      </c>
      <c r="L165" s="21">
        <f t="shared" si="28"/>
        <v>8.98</v>
      </c>
      <c r="M165" s="9" t="str">
        <f t="shared" si="29"/>
        <v>563963-5</v>
      </c>
      <c r="N165" s="24">
        <f>IF($A165="","",WORKDAY($A165,Settings!$C$9,HolidayDates))</f>
        <v>46129</v>
      </c>
      <c r="O165" s="24">
        <f>IF($N165="","",WORKDAY($N165,Settings!$C$10,HolidayDates))</f>
        <v>46169</v>
      </c>
      <c r="P165" s="10" t="s">
        <v>502</v>
      </c>
      <c r="Q165" s="52" t="str">
        <f t="shared" si="31"/>
        <v>Collected</v>
      </c>
      <c r="R165" s="55" t="str">
        <f t="shared" si="32"/>
        <v>2026-04</v>
      </c>
      <c r="S165" s="55">
        <f>IF(OR($B165="",$F165="",$R165=""),"",SUMIFS(tblIssues[Qty Issued],tblIssues[Staff ID],$B165,tblIssues[Item Name],$F165,tblIssues[Month],$R165))</f>
        <v>2</v>
      </c>
      <c r="T165" s="56">
        <f>IF($I165="","",$I165*Settings!$C$11)</f>
        <v>2</v>
      </c>
      <c r="U165" s="57" t="str">
        <f t="shared" si="30"/>
        <v>OK</v>
      </c>
      <c r="V165" s="55" t="str">
        <f t="shared" si="33"/>
        <v/>
      </c>
      <c r="W165" s="55" t="str">
        <f>IF($V165="","",IF(COUNTIF($V$5:$V165,$V165)=1,1,""))</f>
        <v/>
      </c>
      <c r="X165" s="58" t="str">
        <f>IF($W165="","",MAX($X$4:X164)+1)</f>
        <v/>
      </c>
      <c r="Y165" s="62"/>
      <c r="Z165" s="62"/>
      <c r="AA165" s="64" t="str">
        <f>IF($C165="","",IFERROR(INDEX('Staff Directory'!$E$5:$E$594,MATCH($C165,'Staff Directory'!$B$5:$B$594,0)),""))</f>
        <v>firstname011.lastname011@example.com</v>
      </c>
      <c r="AB165" s="64" t="str">
        <f>IF($C165="","",IF(ISNUMBER(SEARCH($D165,Settings!$C$15)),"Pickup","Dispatch"))</f>
        <v>Dispatch</v>
      </c>
      <c r="AC165" s="64" t="str">
        <f t="shared" si="34"/>
        <v>Supply order dispatched</v>
      </c>
      <c r="AD165" s="64" t="str">
        <f t="shared" si="26"/>
        <v>Dear RN,
Your order has been dispatched and is in transit. Reply if undelivered.</v>
      </c>
      <c r="AE165" s="64" t="str">
        <f t="shared" si="27"/>
        <v>mailto:firstname011.lastname011@example.com?subject=Supply%20order%20dispatched&amp;body=Dear%20RN%2C%0A%0AYour%20order%20has%20been%20dispatched%20and%20is%20in%20transit.%20Reply%20if%20undelivered.</v>
      </c>
      <c r="AF165" s="89" t="str">
        <f t="shared" si="35"/>
        <v>Draft email</v>
      </c>
      <c r="AG165" s="64" t="str">
        <f>IF($C165="","",IFERROR(INDEX('Staff Directory'!$K$595:$K$599,MATCH($C165,'Staff Directory'!$B$5:$B$599,0)),$D165))</f>
        <v>RN</v>
      </c>
      <c r="AH165" t="str">
        <f>IF($C165="","",IFERROR(INDEX('Staff Directory'!$I$595:$I$599,MATCH($C165,'Staff Directory'!$B$5:$B$599,0))&amp;" "&amp;INDEX('Staff Directory'!$J$595:$J$599,MATCH($C165,'Staff Directory'!$B$5:$B$599,0)),$AG165))</f>
        <v>RN</v>
      </c>
      <c r="AI165" s="102"/>
      <c r="AJ165" s="101">
        <f>IF($F165="","",SUMIFS($J$5:$J165,$F$5:$F165,$F165))</f>
        <v>58</v>
      </c>
      <c r="AK165" s="101">
        <f t="shared" si="3"/>
        <v>57</v>
      </c>
      <c r="AL165" s="66" t="str" cm="1">
        <f t="array" ref="AL165">IF($F165="","",IFERROR(INDEX('Lot Balance'!$B$5:$B$500,MATCH(1,INDEX(('Lot Balance'!$A$5:$A$500=$F165)*('Lot Balance'!$K$5:$K$500&lt;$AK165)*('Lot Balance'!$K$5:$K$500+'Lot Balance'!$D$5:$D$500&gt;=$AK165),0),0)),""))</f>
        <v>563963-5</v>
      </c>
      <c r="AM165" s="66" t="str" cm="1">
        <f t="array" ref="AM165">IF($F165="","",IFERROR(INDEX('Lot Balance'!$B$5:$B$500,MATCH(1,INDEX(('Lot Balance'!$A$5:$A$500=$F165)*('Lot Balance'!$K$5:$K$500&lt;$AJ165)*('Lot Balance'!$K$5:$K$500+'Lot Balance'!$D$5:$D$500&gt;=$AJ165),0),0)),""))</f>
        <v>563963-5</v>
      </c>
      <c r="AN165" s="66" t="str">
        <f>IF($F165="","",IF($AI165&lt;&gt;"",IF(COUNTIFS('Lot Balance'!$A$5:$A$500,$F165,'Lot Balance'!$B$5:$B$500,$AI165)=0,"⚠ override is not a lot of this item",IF($AI165=$AL165,"Override = FEFO","Override - FEFO says "&amp;$AL165)),IF($AL165="","⚠ no receipt on file for this item",IF($AM165&lt;&gt;$AL165,"FEFO auto - split, also "&amp;$AM165,"FEFO auto"))))</f>
        <v>FEFO auto</v>
      </c>
      <c r="AO165" s="114"/>
    </row>
    <row r="166" spans="1:41" x14ac:dyDescent="0.35">
      <c r="A166" s="74">
        <v>46121</v>
      </c>
      <c r="B166" s="18" t="str">
        <f>IF($C166="","",IFERROR(INDEX('Staff Directory'!$A$5:$A$594,MATCH($C166,'Staff Directory'!$B$5:$B$594,0)),"⚠ unknown staff"))</f>
        <v>RN-011-A2</v>
      </c>
      <c r="C166" s="49" t="s">
        <v>927</v>
      </c>
      <c r="D166" s="19" t="str">
        <f>IF($B166="","",IFERROR(INDEX('Staff Directory'!$C$5:$C$594,MATCH($B166,'Staff Directory'!$A$5:$A$594,0)),""))</f>
        <v>RN</v>
      </c>
      <c r="E166" s="19" t="str">
        <f>IF($B166="","",IFERROR(INDEX('Staff Directory'!$D$5:$D$594,MATCH($B166,'Staff Directory'!$A$5:$A$594,0)),""))</f>
        <v>A2</v>
      </c>
      <c r="F166" s="9" t="s">
        <v>115</v>
      </c>
      <c r="G166" s="18" t="str">
        <f>IF($F166="","",IFERROR(INDEX(Items!$B$5:$B$597,MATCH($F166,Items!$A$5:$A$597,0)),"⚠ not in Items"))</f>
        <v>Wipes</v>
      </c>
      <c r="H166" s="19">
        <f>IF($F166="","",IFERROR(INDEX(Items!$C$5:$C$597,MATCH($F166,Items!$A$5:$A$597,0)),""))</f>
        <v>80</v>
      </c>
      <c r="I166" s="23">
        <f>IF($F166="","",IFERROR(INDEX(Items!$E$5:$E$597,MATCH($F166,Items!$A$5:$A$597,0)),""))</f>
        <v>80</v>
      </c>
      <c r="J166" s="115">
        <f>IF(tblIssues[[#This Row],[Qty Override]]&lt;&gt;"",tblIssues[[#This Row],[Qty Override]],IF(tblIssues[[#This Row],[Standard Issue]]="","",tblIssues[[#This Row],[Standard Issue]]))</f>
        <v>80</v>
      </c>
      <c r="K166" s="20">
        <f>IF($F166="","",IFERROR(INDEX(Items!$D$5:$D$597,MATCH($F166,Items!$A$5:$A$597,0)),""))</f>
        <v>0.1</v>
      </c>
      <c r="L166" s="21">
        <f t="shared" si="28"/>
        <v>8</v>
      </c>
      <c r="M166" s="9" t="str">
        <f t="shared" si="29"/>
        <v>LYSL500290</v>
      </c>
      <c r="N166" s="24">
        <f>IF($A166="","",WORKDAY($A166,Settings!$C$9,HolidayDates))</f>
        <v>46129</v>
      </c>
      <c r="O166" s="24">
        <f>IF($N166="","",WORKDAY($N166,Settings!$C$10,HolidayDates))</f>
        <v>46169</v>
      </c>
      <c r="P166" s="10" t="s">
        <v>502</v>
      </c>
      <c r="Q166" s="52" t="str">
        <f t="shared" si="31"/>
        <v>Collected</v>
      </c>
      <c r="R166" s="55" t="str">
        <f t="shared" si="32"/>
        <v>2026-04</v>
      </c>
      <c r="S166" s="55">
        <f>IF(OR($B166="",$F166="",$R166=""),"",SUMIFS(tblIssues[Qty Issued],tblIssues[Staff ID],$B166,tblIssues[Item Name],$F166,tblIssues[Month],$R166))</f>
        <v>80</v>
      </c>
      <c r="T166" s="56">
        <f>IF($I166="","",$I166*Settings!$C$11)</f>
        <v>80</v>
      </c>
      <c r="U166" s="57" t="str">
        <f t="shared" si="30"/>
        <v>OK</v>
      </c>
      <c r="V166" s="55" t="str">
        <f t="shared" si="33"/>
        <v/>
      </c>
      <c r="W166" s="55" t="str">
        <f>IF($V166="","",IF(COUNTIF($V$5:$V166,$V166)=1,1,""))</f>
        <v/>
      </c>
      <c r="X166" s="58" t="str">
        <f>IF($W166="","",MAX($X$4:X165)+1)</f>
        <v/>
      </c>
      <c r="Y166" s="62"/>
      <c r="Z166" s="62"/>
      <c r="AA166" s="64" t="str">
        <f>IF($C166="","",IFERROR(INDEX('Staff Directory'!$E$5:$E$594,MATCH($C166,'Staff Directory'!$B$5:$B$594,0)),""))</f>
        <v>firstname011.lastname011@example.com</v>
      </c>
      <c r="AB166" s="64" t="str">
        <f>IF($C166="","",IF(ISNUMBER(SEARCH($D166,Settings!$C$15)),"Pickup","Dispatch"))</f>
        <v>Dispatch</v>
      </c>
      <c r="AC166" s="64" t="str">
        <f t="shared" si="34"/>
        <v>Supply order dispatched</v>
      </c>
      <c r="AD166" s="64" t="str">
        <f t="shared" si="26"/>
        <v>Dear RN,
Your order has been dispatched and is in transit. Reply if undelivered.</v>
      </c>
      <c r="AE166" s="64" t="str">
        <f t="shared" si="27"/>
        <v>mailto:firstname011.lastname011@example.com?subject=Supply%20order%20dispatched&amp;body=Dear%20RN%2C%0A%0AYour%20order%20has%20been%20dispatched%20and%20is%20in%20transit.%20Reply%20if%20undelivered.</v>
      </c>
      <c r="AF166" s="89" t="str">
        <f t="shared" si="35"/>
        <v>Draft email</v>
      </c>
      <c r="AG166" s="64" t="str">
        <f>IF($C166="","",IFERROR(INDEX('Staff Directory'!$K$595:$K$599,MATCH($C166,'Staff Directory'!$B$5:$B$599,0)),$D166))</f>
        <v>RN</v>
      </c>
      <c r="AH166" t="str">
        <f>IF($C166="","",IFERROR(INDEX('Staff Directory'!$I$595:$I$599,MATCH($C166,'Staff Directory'!$B$5:$B$599,0))&amp;" "&amp;INDEX('Staff Directory'!$J$595:$J$599,MATCH($C166,'Staff Directory'!$B$5:$B$599,0)),$AG166))</f>
        <v>RN</v>
      </c>
      <c r="AI166" s="102"/>
      <c r="AJ166" s="101">
        <f>IF($F166="","",SUMIFS($J$5:$J166,$F$5:$F166,$F166))</f>
        <v>2640</v>
      </c>
      <c r="AK166" s="101">
        <f t="shared" si="3"/>
        <v>2561</v>
      </c>
      <c r="AL166" s="66" t="str" cm="1">
        <f t="array" ref="AL166">IF($F166="","",IFERROR(INDEX('Lot Balance'!$B$5:$B$500,MATCH(1,INDEX(('Lot Balance'!$A$5:$A$500=$F166)*('Lot Balance'!$K$5:$K$500&lt;$AK166)*('Lot Balance'!$K$5:$K$500+'Lot Balance'!$D$5:$D$500&gt;=$AK166),0),0)),""))</f>
        <v>LYSL500290</v>
      </c>
      <c r="AM166" s="66" t="str" cm="1">
        <f t="array" ref="AM166">IF($F166="","",IFERROR(INDEX('Lot Balance'!$B$5:$B$500,MATCH(1,INDEX(('Lot Balance'!$A$5:$A$500=$F166)*('Lot Balance'!$K$5:$K$500&lt;$AJ166)*('Lot Balance'!$K$5:$K$500+'Lot Balance'!$D$5:$D$500&gt;=$AJ166),0),0)),""))</f>
        <v>LYSL500290</v>
      </c>
      <c r="AN166" s="66" t="str">
        <f>IF($F166="","",IF($AI166&lt;&gt;"",IF(COUNTIFS('Lot Balance'!$A$5:$A$500,$F166,'Lot Balance'!$B$5:$B$500,$AI166)=0,"⚠ override is not a lot of this item",IF($AI166=$AL166,"Override = FEFO","Override - FEFO says "&amp;$AL166)),IF($AL166="","⚠ no receipt on file for this item",IF($AM166&lt;&gt;$AL166,"FEFO auto - split, also "&amp;$AM166,"FEFO auto"))))</f>
        <v>FEFO auto</v>
      </c>
      <c r="AO166" s="114"/>
    </row>
    <row r="167" spans="1:41" x14ac:dyDescent="0.35">
      <c r="A167" s="74">
        <v>46121</v>
      </c>
      <c r="B167" s="18" t="str">
        <f>IF($C167="","",IFERROR(INDEX('Staff Directory'!$A$5:$A$594,MATCH($C167,'Staff Directory'!$B$5:$B$594,0)),"⚠ unknown staff"))</f>
        <v>RN-011-A2</v>
      </c>
      <c r="C167" s="49" t="s">
        <v>927</v>
      </c>
      <c r="D167" s="19" t="str">
        <f>IF($B167="","",IFERROR(INDEX('Staff Directory'!$C$5:$C$594,MATCH($B167,'Staff Directory'!$A$5:$A$594,0)),""))</f>
        <v>RN</v>
      </c>
      <c r="E167" s="19" t="str">
        <f>IF($B167="","",IFERROR(INDEX('Staff Directory'!$D$5:$D$594,MATCH($B167,'Staff Directory'!$A$5:$A$594,0)),""))</f>
        <v>A2</v>
      </c>
      <c r="F167" s="9" t="s">
        <v>156</v>
      </c>
      <c r="G167" s="18" t="str">
        <f>IF($F167="","",IFERROR(INDEX(Items!$B$5:$B$597,MATCH($F167,Items!$A$5:$A$597,0)),"⚠ not in Items"))</f>
        <v>Masks</v>
      </c>
      <c r="H167" s="19" t="str">
        <f>IF($F167="","",IFERROR(INDEX(Items!$C$5:$C$597,MATCH($F167,Items!$A$5:$A$597,0)),""))</f>
        <v>One Size</v>
      </c>
      <c r="I167" s="23">
        <f>IF($F167="","",IFERROR(INDEX(Items!$E$5:$E$597,MATCH($F167,Items!$A$5:$A$597,0)),""))</f>
        <v>50</v>
      </c>
      <c r="J167" s="115">
        <f>IF(tblIssues[[#This Row],[Qty Override]]&lt;&gt;"",tblIssues[[#This Row],[Qty Override]],IF(tblIssues[[#This Row],[Standard Issue]]="","",tblIssues[[#This Row],[Standard Issue]]))</f>
        <v>50</v>
      </c>
      <c r="K167" s="20">
        <f>IF($F167="","",IFERROR(INDEX(Items!$D$5:$D$597,MATCH($F167,Items!$A$5:$A$597,0)),""))</f>
        <v>0.25</v>
      </c>
      <c r="L167" s="21">
        <f t="shared" si="28"/>
        <v>12.5</v>
      </c>
      <c r="M167" s="9" t="str">
        <f t="shared" si="29"/>
        <v>0125FPC24-0</v>
      </c>
      <c r="N167" s="24">
        <f>IF($A167="","",WORKDAY($A167,Settings!$C$9,HolidayDates))</f>
        <v>46129</v>
      </c>
      <c r="O167" s="24">
        <f>IF($N167="","",WORKDAY($N167,Settings!$C$10,HolidayDates))</f>
        <v>46169</v>
      </c>
      <c r="P167" s="10" t="s">
        <v>502</v>
      </c>
      <c r="Q167" s="52" t="str">
        <f t="shared" si="31"/>
        <v>Collected</v>
      </c>
      <c r="R167" s="55" t="str">
        <f t="shared" si="32"/>
        <v>2026-04</v>
      </c>
      <c r="S167" s="55">
        <f>IF(OR($B167="",$F167="",$R167=""),"",SUMIFS(tblIssues[Qty Issued],tblIssues[Staff ID],$B167,tblIssues[Item Name],$F167,tblIssues[Month],$R167))</f>
        <v>50</v>
      </c>
      <c r="T167" s="56">
        <f>IF($I167="","",$I167*Settings!$C$11)</f>
        <v>50</v>
      </c>
      <c r="U167" s="57" t="str">
        <f t="shared" si="30"/>
        <v>OK</v>
      </c>
      <c r="V167" s="55" t="str">
        <f t="shared" si="33"/>
        <v/>
      </c>
      <c r="W167" s="55" t="str">
        <f>IF($V167="","",IF(COUNTIF($V$5:$V167,$V167)=1,1,""))</f>
        <v/>
      </c>
      <c r="X167" s="58" t="str">
        <f>IF($W167="","",MAX($X$4:X166)+1)</f>
        <v/>
      </c>
      <c r="Y167" s="62"/>
      <c r="Z167" s="62"/>
      <c r="AA167" s="64" t="str">
        <f>IF($C167="","",IFERROR(INDEX('Staff Directory'!$E$5:$E$594,MATCH($C167,'Staff Directory'!$B$5:$B$594,0)),""))</f>
        <v>firstname011.lastname011@example.com</v>
      </c>
      <c r="AB167" s="64" t="str">
        <f>IF($C167="","",IF(ISNUMBER(SEARCH($D167,Settings!$C$15)),"Pickup","Dispatch"))</f>
        <v>Dispatch</v>
      </c>
      <c r="AC167" s="64" t="str">
        <f t="shared" si="34"/>
        <v>Supply order dispatched</v>
      </c>
      <c r="AD167" s="64" t="str">
        <f t="shared" si="26"/>
        <v>Dear RN,
Your order has been dispatched and is in transit. Reply if undelivered.</v>
      </c>
      <c r="AE167" s="64" t="str">
        <f t="shared" si="27"/>
        <v>mailto:firstname011.lastname011@example.com?subject=Supply%20order%20dispatched&amp;body=Dear%20RN%2C%0A%0AYour%20order%20has%20been%20dispatched%20and%20is%20in%20transit.%20Reply%20if%20undelivered.</v>
      </c>
      <c r="AF167" s="89" t="str">
        <f t="shared" si="35"/>
        <v>Draft email</v>
      </c>
      <c r="AG167" s="64" t="str">
        <f>IF($C167="","",IFERROR(INDEX('Staff Directory'!$K$595:$K$599,MATCH($C167,'Staff Directory'!$B$5:$B$599,0)),$D167))</f>
        <v>RN</v>
      </c>
      <c r="AH167" t="str">
        <f>IF($C167="","",IFERROR(INDEX('Staff Directory'!$I$595:$I$599,MATCH($C167,'Staff Directory'!$B$5:$B$599,0))&amp;" "&amp;INDEX('Staff Directory'!$J$595:$J$599,MATCH($C167,'Staff Directory'!$B$5:$B$599,0)),$AG167))</f>
        <v>RN</v>
      </c>
      <c r="AI167" s="102"/>
      <c r="AJ167" s="101">
        <f>IF($F167="","",SUMIFS($J$5:$J167,$F$5:$F167,$F167))</f>
        <v>1300</v>
      </c>
      <c r="AK167" s="101">
        <f t="shared" si="3"/>
        <v>1251</v>
      </c>
      <c r="AL167" s="66" t="str" cm="1">
        <f t="array" ref="AL167">IF($F167="","",IFERROR(INDEX('Lot Balance'!$B$5:$B$500,MATCH(1,INDEX(('Lot Balance'!$A$5:$A$500=$F167)*('Lot Balance'!$K$5:$K$500&lt;$AK167)*('Lot Balance'!$K$5:$K$500+'Lot Balance'!$D$5:$D$500&gt;=$AK167),0),0)),""))</f>
        <v>0125FPC24-0</v>
      </c>
      <c r="AM167" s="66" t="str" cm="1">
        <f t="array" ref="AM167">IF($F167="","",IFERROR(INDEX('Lot Balance'!$B$5:$B$500,MATCH(1,INDEX(('Lot Balance'!$A$5:$A$500=$F167)*('Lot Balance'!$K$5:$K$500&lt;$AJ167)*('Lot Balance'!$K$5:$K$500+'Lot Balance'!$D$5:$D$500&gt;=$AJ167),0),0)),""))</f>
        <v>0125FPC24-0</v>
      </c>
      <c r="AN167" s="66" t="str">
        <f>IF($F167="","",IF($AI167&lt;&gt;"",IF(COUNTIFS('Lot Balance'!$A$5:$A$500,$F167,'Lot Balance'!$B$5:$B$500,$AI167)=0,"⚠ override is not a lot of this item",IF($AI167=$AL167,"Override = FEFO","Override - FEFO says "&amp;$AL167)),IF($AL167="","⚠ no receipt on file for this item",IF($AM167&lt;&gt;$AL167,"FEFO auto - split, also "&amp;$AM167,"FEFO auto"))))</f>
        <v>FEFO auto</v>
      </c>
      <c r="AO167" s="114"/>
    </row>
    <row r="168" spans="1:41" x14ac:dyDescent="0.35">
      <c r="A168" s="74">
        <v>46121</v>
      </c>
      <c r="B168" s="18" t="str">
        <f>IF($C168="","",IFERROR(INDEX('Staff Directory'!$A$5:$A$594,MATCH($C168,'Staff Directory'!$B$5:$B$594,0)),"⚠ unknown staff"))</f>
        <v>RN-011-A2</v>
      </c>
      <c r="C168" s="49" t="s">
        <v>927</v>
      </c>
      <c r="D168" s="19" t="str">
        <f>IF($B168="","",IFERROR(INDEX('Staff Directory'!$C$5:$C$594,MATCH($B168,'Staff Directory'!$A$5:$A$594,0)),""))</f>
        <v>RN</v>
      </c>
      <c r="E168" s="19" t="str">
        <f>IF($B168="","",IFERROR(INDEX('Staff Directory'!$D$5:$D$594,MATCH($B168,'Staff Directory'!$A$5:$A$594,0)),""))</f>
        <v>A2</v>
      </c>
      <c r="F168" s="9" t="s">
        <v>757</v>
      </c>
      <c r="G168" s="18" t="str">
        <f>IF($F168="","",IFERROR(INDEX(Items!$B$5:$B$597,MATCH($F168,Items!$A$5:$A$597,0)),"⚠ not in Items"))</f>
        <v>Documents</v>
      </c>
      <c r="H168" s="19" t="str">
        <f>IF($F168="","",IFERROR(INDEX(Items!$C$5:$C$597,MATCH($F168,Items!$A$5:$A$597,0)),""))</f>
        <v>Standard</v>
      </c>
      <c r="I168" s="23">
        <f>IF($F168="","",IFERROR(INDEX(Items!$E$5:$E$597,MATCH($F168,Items!$A$5:$A$597,0)),""))</f>
        <v>10</v>
      </c>
      <c r="J168" s="115">
        <f>IF(tblIssues[[#This Row],[Qty Override]]&lt;&gt;"",tblIssues[[#This Row],[Qty Override]],IF(tblIssues[[#This Row],[Standard Issue]]="","",tblIssues[[#This Row],[Standard Issue]]))</f>
        <v>10</v>
      </c>
      <c r="K168" s="20">
        <f>IF($F168="","",IFERROR(INDEX(Items!$D$5:$D$597,MATCH($F168,Items!$A$5:$A$597,0)),""))</f>
        <v>0</v>
      </c>
      <c r="L168" s="21">
        <f t="shared" si="28"/>
        <v>0</v>
      </c>
      <c r="M168" s="9" t="str">
        <f t="shared" si="29"/>
        <v/>
      </c>
      <c r="N168" s="24">
        <f>IF($A168="","",WORKDAY($A168,Settings!$C$9,HolidayDates))</f>
        <v>46129</v>
      </c>
      <c r="O168" s="24">
        <f>IF($N168="","",WORKDAY($N168,Settings!$C$10,HolidayDates))</f>
        <v>46169</v>
      </c>
      <c r="P168" s="10" t="s">
        <v>502</v>
      </c>
      <c r="Q168" s="52" t="str">
        <f t="shared" si="31"/>
        <v>Collected</v>
      </c>
      <c r="R168" s="55" t="str">
        <f t="shared" si="32"/>
        <v>2026-04</v>
      </c>
      <c r="S168" s="55">
        <f>IF(OR($B168="",$F168="",$R168=""),"",SUMIFS(tblIssues[Qty Issued],tblIssues[Staff ID],$B168,tblIssues[Item Name],$F168,tblIssues[Month],$R168))</f>
        <v>10</v>
      </c>
      <c r="T168" s="56">
        <f>IF($I168="","",$I168*Settings!$C$11)</f>
        <v>10</v>
      </c>
      <c r="U168" s="57" t="str">
        <f t="shared" si="30"/>
        <v>OK</v>
      </c>
      <c r="V168" s="55" t="str">
        <f t="shared" si="33"/>
        <v/>
      </c>
      <c r="W168" s="55" t="str">
        <f>IF($V168="","",IF(COUNTIF($V$5:$V168,$V168)=1,1,""))</f>
        <v/>
      </c>
      <c r="X168" s="58" t="str">
        <f>IF($W168="","",MAX($X$4:X167)+1)</f>
        <v/>
      </c>
      <c r="Y168" s="62"/>
      <c r="Z168" s="62"/>
      <c r="AA168" s="64" t="str">
        <f>IF($C168="","",IFERROR(INDEX('Staff Directory'!$E$5:$E$594,MATCH($C168,'Staff Directory'!$B$5:$B$594,0)),""))</f>
        <v>firstname011.lastname011@example.com</v>
      </c>
      <c r="AB168" s="64" t="str">
        <f>IF($C168="","",IF(ISNUMBER(SEARCH($D168,Settings!$C$15)),"Pickup","Dispatch"))</f>
        <v>Dispatch</v>
      </c>
      <c r="AC168" s="64" t="str">
        <f t="shared" si="34"/>
        <v>Supply order dispatched</v>
      </c>
      <c r="AD168" s="64" t="str">
        <f t="shared" si="26"/>
        <v>Dear RN,
Your order has been dispatched and is in transit. Reply if undelivered.</v>
      </c>
      <c r="AE168" s="64" t="str">
        <f t="shared" si="27"/>
        <v>mailto:firstname011.lastname011@example.com?subject=Supply%20order%20dispatched&amp;body=Dear%20RN%2C%0A%0AYour%20order%20has%20been%20dispatched%20and%20is%20in%20transit.%20Reply%20if%20undelivered.</v>
      </c>
      <c r="AF168" s="89" t="str">
        <f t="shared" si="35"/>
        <v>Draft email</v>
      </c>
      <c r="AG168" s="64" t="str">
        <f>IF($C168="","",IFERROR(INDEX('Staff Directory'!$K$595:$K$599,MATCH($C168,'Staff Directory'!$B$5:$B$599,0)),$D168))</f>
        <v>RN</v>
      </c>
      <c r="AH168" t="str">
        <f>IF($C168="","",IFERROR(INDEX('Staff Directory'!$I$595:$I$599,MATCH($C168,'Staff Directory'!$B$5:$B$599,0))&amp;" "&amp;INDEX('Staff Directory'!$J$595:$J$599,MATCH($C168,'Staff Directory'!$B$5:$B$599,0)),$AG168))</f>
        <v>RN</v>
      </c>
      <c r="AI168" s="102"/>
      <c r="AJ168" s="101">
        <f>IF($F168="","",SUMIFS($J$5:$J168,$F$5:$F168,$F168))</f>
        <v>70</v>
      </c>
      <c r="AK168" s="101">
        <f t="shared" si="3"/>
        <v>61</v>
      </c>
      <c r="AL168" s="66" t="str" cm="1">
        <f t="array" ref="AL168">IF($F168="","",IFERROR(INDEX('Lot Balance'!$B$5:$B$500,MATCH(1,INDEX(('Lot Balance'!$A$5:$A$500=$F168)*('Lot Balance'!$K$5:$K$500&lt;$AK168)*('Lot Balance'!$K$5:$K$500+'Lot Balance'!$D$5:$D$500&gt;=$AK168),0),0)),""))</f>
        <v/>
      </c>
      <c r="AM168" s="66" t="str" cm="1">
        <f t="array" ref="AM168">IF($F168="","",IFERROR(INDEX('Lot Balance'!$B$5:$B$500,MATCH(1,INDEX(('Lot Balance'!$A$5:$A$500=$F168)*('Lot Balance'!$K$5:$K$500&lt;$AJ168)*('Lot Balance'!$K$5:$K$500+'Lot Balance'!$D$5:$D$500&gt;=$AJ168),0),0)),""))</f>
        <v/>
      </c>
      <c r="AN168" s="66" t="str">
        <f>IF($F168="","",IF($AI168&lt;&gt;"",IF(COUNTIFS('Lot Balance'!$A$5:$A$500,$F168,'Lot Balance'!$B$5:$B$500,$AI168)=0,"⚠ override is not a lot of this item",IF($AI168=$AL168,"Override = FEFO","Override - FEFO says "&amp;$AL168)),IF($AL168="","⚠ no receipt on file for this item",IF($AM168&lt;&gt;$AL168,"FEFO auto - split, also "&amp;$AM168,"FEFO auto"))))</f>
        <v>⚠ no receipt on file for this item</v>
      </c>
      <c r="AO168" s="114"/>
    </row>
    <row r="169" spans="1:41" x14ac:dyDescent="0.35">
      <c r="A169" s="74">
        <v>46121</v>
      </c>
      <c r="B169" s="18" t="str">
        <f>IF($C169="","",IFERROR(INDEX('Staff Directory'!$A$5:$A$594,MATCH($C169,'Staff Directory'!$B$5:$B$594,0)),"⚠ unknown staff"))</f>
        <v>RN-030-A2</v>
      </c>
      <c r="C169" s="49" t="s">
        <v>950</v>
      </c>
      <c r="D169" s="19" t="str">
        <f>IF($B169="","",IFERROR(INDEX('Staff Directory'!$C$5:$C$594,MATCH($B169,'Staff Directory'!$A$5:$A$594,0)),""))</f>
        <v>RN</v>
      </c>
      <c r="E169" s="19" t="str">
        <f>IF($B169="","",IFERROR(INDEX('Staff Directory'!$D$5:$D$594,MATCH($B169,'Staff Directory'!$A$5:$A$594,0)),""))</f>
        <v>A2</v>
      </c>
      <c r="F169" s="9" t="s">
        <v>757</v>
      </c>
      <c r="G169" s="18" t="str">
        <f>IF($F169="","",IFERROR(INDEX(Items!$B$5:$B$597,MATCH($F169,Items!$A$5:$A$597,0)),"⚠ not in Items"))</f>
        <v>Documents</v>
      </c>
      <c r="H169" s="19" t="str">
        <f>IF($F169="","",IFERROR(INDEX(Items!$C$5:$C$597,MATCH($F169,Items!$A$5:$A$597,0)),""))</f>
        <v>Standard</v>
      </c>
      <c r="I169" s="23">
        <f>IF($F169="","",IFERROR(INDEX(Items!$E$5:$E$597,MATCH($F169,Items!$A$5:$A$597,0)),""))</f>
        <v>10</v>
      </c>
      <c r="J169" s="115">
        <f>IF(tblIssues[[#This Row],[Qty Override]]&lt;&gt;"",tblIssues[[#This Row],[Qty Override]],IF(tblIssues[[#This Row],[Standard Issue]]="","",tblIssues[[#This Row],[Standard Issue]]))</f>
        <v>10</v>
      </c>
      <c r="K169" s="20">
        <f>IF($F169="","",IFERROR(INDEX(Items!$D$5:$D$597,MATCH($F169,Items!$A$5:$A$597,0)),""))</f>
        <v>0</v>
      </c>
      <c r="L169" s="21">
        <f t="shared" si="28"/>
        <v>0</v>
      </c>
      <c r="M169" s="9" t="str">
        <f t="shared" si="29"/>
        <v/>
      </c>
      <c r="N169" s="24">
        <f>IF($A169="","",WORKDAY($A169,Settings!$C$9,HolidayDates))</f>
        <v>46129</v>
      </c>
      <c r="O169" s="24">
        <f>IF($N169="","",WORKDAY($N169,Settings!$C$10,HolidayDates))</f>
        <v>46169</v>
      </c>
      <c r="P169" s="10" t="s">
        <v>502</v>
      </c>
      <c r="Q169" s="52" t="str">
        <f t="shared" si="31"/>
        <v>Collected</v>
      </c>
      <c r="R169" s="55" t="str">
        <f t="shared" si="32"/>
        <v>2026-04</v>
      </c>
      <c r="S169" s="55">
        <f>IF(OR($B169="",$F169="",$R169=""),"",SUMIFS(tblIssues[Qty Issued],tblIssues[Staff ID],$B169,tblIssues[Item Name],$F169,tblIssues[Month],$R169))</f>
        <v>10</v>
      </c>
      <c r="T169" s="56">
        <f>IF($I169="","",$I169*Settings!$C$11)</f>
        <v>10</v>
      </c>
      <c r="U169" s="57" t="str">
        <f t="shared" si="30"/>
        <v>OK</v>
      </c>
      <c r="V169" s="55" t="str">
        <f t="shared" si="33"/>
        <v/>
      </c>
      <c r="W169" s="55" t="str">
        <f>IF($V169="","",IF(COUNTIF($V$5:$V169,$V169)=1,1,""))</f>
        <v/>
      </c>
      <c r="X169" s="58" t="str">
        <f>IF($W169="","",MAX($X$4:X168)+1)</f>
        <v/>
      </c>
      <c r="Y169" s="62"/>
      <c r="Z169" s="62"/>
      <c r="AA169" s="64" t="str">
        <f>IF($C169="","",IFERROR(INDEX('Staff Directory'!$E$5:$E$594,MATCH($C169,'Staff Directory'!$B$5:$B$594,0)),""))</f>
        <v>firstname034.lastname034@example.com</v>
      </c>
      <c r="AB169" s="64" t="str">
        <f>IF($C169="","",IF(ISNUMBER(SEARCH($D169,Settings!$C$15)),"Pickup","Dispatch"))</f>
        <v>Dispatch</v>
      </c>
      <c r="AC169" s="64" t="str">
        <f t="shared" si="34"/>
        <v>Supply order dispatched</v>
      </c>
      <c r="AD169" s="64" t="str">
        <f t="shared" si="26"/>
        <v>Dear RN,
Your order has been dispatched and is in transit. Reply if undelivered.</v>
      </c>
      <c r="AE169" s="64" t="str">
        <f t="shared" si="27"/>
        <v>mailto:firstname034.lastname034@example.com?subject=Supply%20order%20dispatched&amp;body=Dear%20RN%2C%0A%0AYour%20order%20has%20been%20dispatched%20and%20is%20in%20transit.%20Reply%20if%20undelivered.</v>
      </c>
      <c r="AF169" s="89" t="str">
        <f t="shared" si="35"/>
        <v>Draft email</v>
      </c>
      <c r="AG169" s="64" t="str">
        <f>IF($C169="","",IFERROR(INDEX('Staff Directory'!$K$595:$K$599,MATCH($C169,'Staff Directory'!$B$5:$B$599,0)),$D169))</f>
        <v>RN</v>
      </c>
      <c r="AH169" t="str">
        <f>IF($C169="","",IFERROR(INDEX('Staff Directory'!$I$595:$I$599,MATCH($C169,'Staff Directory'!$B$5:$B$599,0))&amp;" "&amp;INDEX('Staff Directory'!$J$595:$J$599,MATCH($C169,'Staff Directory'!$B$5:$B$599,0)),$AG169))</f>
        <v>RN</v>
      </c>
      <c r="AI169" s="102"/>
      <c r="AJ169" s="101">
        <f>IF($F169="","",SUMIFS($J$5:$J169,$F$5:$F169,$F169))</f>
        <v>80</v>
      </c>
      <c r="AK169" s="101">
        <f t="shared" si="3"/>
        <v>71</v>
      </c>
      <c r="AL169" s="66" t="str" cm="1">
        <f t="array" ref="AL169">IF($F169="","",IFERROR(INDEX('Lot Balance'!$B$5:$B$500,MATCH(1,INDEX(('Lot Balance'!$A$5:$A$500=$F169)*('Lot Balance'!$K$5:$K$500&lt;$AK169)*('Lot Balance'!$K$5:$K$500+'Lot Balance'!$D$5:$D$500&gt;=$AK169),0),0)),""))</f>
        <v/>
      </c>
      <c r="AM169" s="66" t="str" cm="1">
        <f t="array" ref="AM169">IF($F169="","",IFERROR(INDEX('Lot Balance'!$B$5:$B$500,MATCH(1,INDEX(('Lot Balance'!$A$5:$A$500=$F169)*('Lot Balance'!$K$5:$K$500&lt;$AJ169)*('Lot Balance'!$K$5:$K$500+'Lot Balance'!$D$5:$D$500&gt;=$AJ169),0),0)),""))</f>
        <v/>
      </c>
      <c r="AN169" s="66" t="str">
        <f>IF($F169="","",IF($AI169&lt;&gt;"",IF(COUNTIFS('Lot Balance'!$A$5:$A$500,$F169,'Lot Balance'!$B$5:$B$500,$AI169)=0,"⚠ override is not a lot of this item",IF($AI169=$AL169,"Override = FEFO","Override - FEFO says "&amp;$AL169)),IF($AL169="","⚠ no receipt on file for this item",IF($AM169&lt;&gt;$AL169,"FEFO auto - split, also "&amp;$AM169,"FEFO auto"))))</f>
        <v>⚠ no receipt on file for this item</v>
      </c>
      <c r="AO169" s="114"/>
    </row>
    <row r="170" spans="1:41" x14ac:dyDescent="0.35">
      <c r="A170" s="74">
        <v>46121</v>
      </c>
      <c r="B170" s="18" t="str">
        <f>IF($C170="","",IFERROR(INDEX('Staff Directory'!$A$5:$A$594,MATCH($C170,'Staff Directory'!$B$5:$B$594,0)),"⚠ unknown staff"))</f>
        <v>RN-017-A2</v>
      </c>
      <c r="C170" s="49" t="s">
        <v>936</v>
      </c>
      <c r="D170" s="19" t="str">
        <f>IF($B170="","",IFERROR(INDEX('Staff Directory'!$C$5:$C$594,MATCH($B170,'Staff Directory'!$A$5:$A$594,0)),""))</f>
        <v>RN</v>
      </c>
      <c r="E170" s="19" t="str">
        <f>IF($B170="","",IFERROR(INDEX('Staff Directory'!$D$5:$D$594,MATCH($B170,'Staff Directory'!$A$5:$A$594,0)),""))</f>
        <v>A2</v>
      </c>
      <c r="F170" s="9" t="s">
        <v>757</v>
      </c>
      <c r="G170" s="18" t="str">
        <f>IF($F170="","",IFERROR(INDEX(Items!$B$5:$B$597,MATCH($F170,Items!$A$5:$A$597,0)),"⚠ not in Items"))</f>
        <v>Documents</v>
      </c>
      <c r="H170" s="19" t="str">
        <f>IF($F170="","",IFERROR(INDEX(Items!$C$5:$C$597,MATCH($F170,Items!$A$5:$A$597,0)),""))</f>
        <v>Standard</v>
      </c>
      <c r="I170" s="23">
        <f>IF($F170="","",IFERROR(INDEX(Items!$E$5:$E$597,MATCH($F170,Items!$A$5:$A$597,0)),""))</f>
        <v>10</v>
      </c>
      <c r="J170" s="115">
        <f>IF(tblIssues[[#This Row],[Qty Override]]&lt;&gt;"",tblIssues[[#This Row],[Qty Override]],IF(tblIssues[[#This Row],[Standard Issue]]="","",tblIssues[[#This Row],[Standard Issue]]))</f>
        <v>10</v>
      </c>
      <c r="K170" s="20">
        <f>IF($F170="","",IFERROR(INDEX(Items!$D$5:$D$597,MATCH($F170,Items!$A$5:$A$597,0)),""))</f>
        <v>0</v>
      </c>
      <c r="L170" s="21">
        <f t="shared" si="28"/>
        <v>0</v>
      </c>
      <c r="M170" s="9" t="str">
        <f t="shared" si="29"/>
        <v/>
      </c>
      <c r="N170" s="24">
        <f>IF($A170="","",WORKDAY($A170,Settings!$C$9,HolidayDates))</f>
        <v>46129</v>
      </c>
      <c r="O170" s="24">
        <f>IF($N170="","",WORKDAY($N170,Settings!$C$10,HolidayDates))</f>
        <v>46169</v>
      </c>
      <c r="P170" s="10" t="s">
        <v>502</v>
      </c>
      <c r="Q170" s="52" t="str">
        <f t="shared" si="31"/>
        <v>Collected</v>
      </c>
      <c r="R170" s="55" t="str">
        <f t="shared" si="32"/>
        <v>2026-04</v>
      </c>
      <c r="S170" s="55">
        <f>IF(OR($B170="",$F170="",$R170=""),"",SUMIFS(tblIssues[Qty Issued],tblIssues[Staff ID],$B170,tblIssues[Item Name],$F170,tblIssues[Month],$R170))</f>
        <v>10</v>
      </c>
      <c r="T170" s="56">
        <f>IF($I170="","",$I170*Settings!$C$11)</f>
        <v>10</v>
      </c>
      <c r="U170" s="57" t="str">
        <f t="shared" si="30"/>
        <v>OK</v>
      </c>
      <c r="V170" s="55" t="str">
        <f t="shared" si="33"/>
        <v/>
      </c>
      <c r="W170" s="55" t="str">
        <f>IF($V170="","",IF(COUNTIF($V$5:$V170,$V170)=1,1,""))</f>
        <v/>
      </c>
      <c r="X170" s="58" t="str">
        <f>IF($W170="","",MAX($X$4:X169)+1)</f>
        <v/>
      </c>
      <c r="Y170" s="62"/>
      <c r="Z170" s="62"/>
      <c r="AA170" s="64" t="str">
        <f>IF($C170="","",IFERROR(INDEX('Staff Directory'!$E$5:$E$594,MATCH($C170,'Staff Directory'!$B$5:$B$594,0)),""))</f>
        <v>firstname020.lastname020@example.com</v>
      </c>
      <c r="AB170" s="64" t="str">
        <f>IF($C170="","",IF(ISNUMBER(SEARCH($D170,Settings!$C$15)),"Pickup","Dispatch"))</f>
        <v>Dispatch</v>
      </c>
      <c r="AC170" s="64" t="str">
        <f t="shared" si="34"/>
        <v>Supply order dispatched</v>
      </c>
      <c r="AD170" s="64" t="str">
        <f t="shared" si="26"/>
        <v>Dear RN,
Your order has been dispatched and is in transit. Reply if undelivered.</v>
      </c>
      <c r="AE170" s="64" t="str">
        <f t="shared" si="27"/>
        <v>mailto:firstname020.lastname020@example.com?subject=Supply%20order%20dispatched&amp;body=Dear%20RN%2C%0A%0AYour%20order%20has%20been%20dispatched%20and%20is%20in%20transit.%20Reply%20if%20undelivered.</v>
      </c>
      <c r="AF170" s="89" t="str">
        <f t="shared" si="35"/>
        <v>Draft email</v>
      </c>
      <c r="AG170" s="64" t="str">
        <f>IF($C170="","",IFERROR(INDEX('Staff Directory'!$K$595:$K$599,MATCH($C170,'Staff Directory'!$B$5:$B$599,0)),$D170))</f>
        <v>RN</v>
      </c>
      <c r="AH170" t="str">
        <f>IF($C170="","",IFERROR(INDEX('Staff Directory'!$I$595:$I$599,MATCH($C170,'Staff Directory'!$B$5:$B$599,0))&amp;" "&amp;INDEX('Staff Directory'!$J$595:$J$599,MATCH($C170,'Staff Directory'!$B$5:$B$599,0)),$AG170))</f>
        <v>RN</v>
      </c>
      <c r="AI170" s="102"/>
      <c r="AJ170" s="101">
        <f>IF($F170="","",SUMIFS($J$5:$J170,$F$5:$F170,$F170))</f>
        <v>90</v>
      </c>
      <c r="AK170" s="101">
        <f t="shared" si="3"/>
        <v>81</v>
      </c>
      <c r="AL170" s="66" t="str" cm="1">
        <f t="array" ref="AL170">IF($F170="","",IFERROR(INDEX('Lot Balance'!$B$5:$B$500,MATCH(1,INDEX(('Lot Balance'!$A$5:$A$500=$F170)*('Lot Balance'!$K$5:$K$500&lt;$AK170)*('Lot Balance'!$K$5:$K$500+'Lot Balance'!$D$5:$D$500&gt;=$AK170),0),0)),""))</f>
        <v/>
      </c>
      <c r="AM170" s="66" t="str" cm="1">
        <f t="array" ref="AM170">IF($F170="","",IFERROR(INDEX('Lot Balance'!$B$5:$B$500,MATCH(1,INDEX(('Lot Balance'!$A$5:$A$500=$F170)*('Lot Balance'!$K$5:$K$500&lt;$AJ170)*('Lot Balance'!$K$5:$K$500+'Lot Balance'!$D$5:$D$500&gt;=$AJ170),0),0)),""))</f>
        <v/>
      </c>
      <c r="AN170" s="66" t="str">
        <f>IF($F170="","",IF($AI170&lt;&gt;"",IF(COUNTIFS('Lot Balance'!$A$5:$A$500,$F170,'Lot Balance'!$B$5:$B$500,$AI170)=0,"⚠ override is not a lot of this item",IF($AI170=$AL170,"Override = FEFO","Override - FEFO says "&amp;$AL170)),IF($AL170="","⚠ no receipt on file for this item",IF($AM170&lt;&gt;$AL170,"FEFO auto - split, also "&amp;$AM170,"FEFO auto"))))</f>
        <v>⚠ no receipt on file for this item</v>
      </c>
      <c r="AO170" s="114"/>
    </row>
    <row r="171" spans="1:41" x14ac:dyDescent="0.35">
      <c r="A171" s="74">
        <v>46121</v>
      </c>
      <c r="B171" s="18" t="str">
        <f>IF($C171="","",IFERROR(INDEX('Staff Directory'!$A$5:$A$594,MATCH($C171,'Staff Directory'!$B$5:$B$594,0)),"⚠ unknown staff"))</f>
        <v>RN-013-A2</v>
      </c>
      <c r="C171" s="49" t="s">
        <v>930</v>
      </c>
      <c r="D171" s="19" t="str">
        <f>IF($B171="","",IFERROR(INDEX('Staff Directory'!$C$5:$C$594,MATCH($B171,'Staff Directory'!$A$5:$A$594,0)),""))</f>
        <v>RN</v>
      </c>
      <c r="E171" s="19" t="str">
        <f>IF($B171="","",IFERROR(INDEX('Staff Directory'!$D$5:$D$594,MATCH($B171,'Staff Directory'!$A$5:$A$594,0)),""))</f>
        <v>A2</v>
      </c>
      <c r="F171" s="9" t="s">
        <v>757</v>
      </c>
      <c r="G171" s="18" t="str">
        <f>IF($F171="","",IFERROR(INDEX(Items!$B$5:$B$597,MATCH($F171,Items!$A$5:$A$597,0)),"⚠ not in Items"))</f>
        <v>Documents</v>
      </c>
      <c r="H171" s="19" t="str">
        <f>IF($F171="","",IFERROR(INDEX(Items!$C$5:$C$597,MATCH($F171,Items!$A$5:$A$597,0)),""))</f>
        <v>Standard</v>
      </c>
      <c r="I171" s="23">
        <f>IF($F171="","",IFERROR(INDEX(Items!$E$5:$E$597,MATCH($F171,Items!$A$5:$A$597,0)),""))</f>
        <v>10</v>
      </c>
      <c r="J171" s="115">
        <f>IF(tblIssues[[#This Row],[Qty Override]]&lt;&gt;"",tblIssues[[#This Row],[Qty Override]],IF(tblIssues[[#This Row],[Standard Issue]]="","",tblIssues[[#This Row],[Standard Issue]]))</f>
        <v>10</v>
      </c>
      <c r="K171" s="20">
        <f>IF($F171="","",IFERROR(INDEX(Items!$D$5:$D$597,MATCH($F171,Items!$A$5:$A$597,0)),""))</f>
        <v>0</v>
      </c>
      <c r="L171" s="21">
        <f t="shared" si="28"/>
        <v>0</v>
      </c>
      <c r="M171" s="9" t="str">
        <f t="shared" si="29"/>
        <v/>
      </c>
      <c r="N171" s="24">
        <f>IF($A171="","",WORKDAY($A171,Settings!$C$9,HolidayDates))</f>
        <v>46129</v>
      </c>
      <c r="O171" s="24">
        <f>IF($N171="","",WORKDAY($N171,Settings!$C$10,HolidayDates))</f>
        <v>46169</v>
      </c>
      <c r="P171" s="10" t="s">
        <v>502</v>
      </c>
      <c r="Q171" s="52" t="str">
        <f t="shared" si="31"/>
        <v>Collected</v>
      </c>
      <c r="R171" s="55" t="str">
        <f t="shared" si="32"/>
        <v>2026-04</v>
      </c>
      <c r="S171" s="55">
        <f>IF(OR($B171="",$F171="",$R171=""),"",SUMIFS(tblIssues[Qty Issued],tblIssues[Staff ID],$B171,tblIssues[Item Name],$F171,tblIssues[Month],$R171))</f>
        <v>10</v>
      </c>
      <c r="T171" s="56">
        <f>IF($I171="","",$I171*Settings!$C$11)</f>
        <v>10</v>
      </c>
      <c r="U171" s="57" t="str">
        <f t="shared" si="30"/>
        <v>OK</v>
      </c>
      <c r="V171" s="55" t="str">
        <f t="shared" si="33"/>
        <v/>
      </c>
      <c r="W171" s="55" t="str">
        <f>IF($V171="","",IF(COUNTIF($V$5:$V171,$V171)=1,1,""))</f>
        <v/>
      </c>
      <c r="X171" s="58" t="str">
        <f>IF($W171="","",MAX($X$4:X170)+1)</f>
        <v/>
      </c>
      <c r="Y171" s="62"/>
      <c r="Z171" s="62"/>
      <c r="AA171" s="64" t="str">
        <f>IF($C171="","",IFERROR(INDEX('Staff Directory'!$E$5:$E$594,MATCH($C171,'Staff Directory'!$B$5:$B$594,0)),""))</f>
        <v>firstname014.lastname014@example.com</v>
      </c>
      <c r="AB171" s="64" t="str">
        <f>IF($C171="","",IF(ISNUMBER(SEARCH($D171,Settings!$C$15)),"Pickup","Dispatch"))</f>
        <v>Dispatch</v>
      </c>
      <c r="AC171" s="64" t="str">
        <f t="shared" si="34"/>
        <v>Supply order dispatched</v>
      </c>
      <c r="AD171" s="64" t="str">
        <f t="shared" si="26"/>
        <v>Dear RN,
Your order has been dispatched and is in transit. Reply if undelivered.</v>
      </c>
      <c r="AE171" s="64" t="str">
        <f t="shared" si="27"/>
        <v>mailto:firstname014.lastname014@example.com?subject=Supply%20order%20dispatched&amp;body=Dear%20RN%2C%0A%0AYour%20order%20has%20been%20dispatched%20and%20is%20in%20transit.%20Reply%20if%20undelivered.</v>
      </c>
      <c r="AF171" s="89" t="str">
        <f t="shared" si="35"/>
        <v>Draft email</v>
      </c>
      <c r="AG171" s="64" t="str">
        <f>IF($C171="","",IFERROR(INDEX('Staff Directory'!$K$595:$K$599,MATCH($C171,'Staff Directory'!$B$5:$B$599,0)),$D171))</f>
        <v>RN</v>
      </c>
      <c r="AH171" t="str">
        <f>IF($C171="","",IFERROR(INDEX('Staff Directory'!$I$595:$I$599,MATCH($C171,'Staff Directory'!$B$5:$B$599,0))&amp;" "&amp;INDEX('Staff Directory'!$J$595:$J$599,MATCH($C171,'Staff Directory'!$B$5:$B$599,0)),$AG171))</f>
        <v>RN</v>
      </c>
      <c r="AI171" s="102"/>
      <c r="AJ171" s="101">
        <f>IF($F171="","",SUMIFS($J$5:$J171,$F$5:$F171,$F171))</f>
        <v>100</v>
      </c>
      <c r="AK171" s="101">
        <f t="shared" si="3"/>
        <v>91</v>
      </c>
      <c r="AL171" s="66" t="str" cm="1">
        <f t="array" ref="AL171">IF($F171="","",IFERROR(INDEX('Lot Balance'!$B$5:$B$500,MATCH(1,INDEX(('Lot Balance'!$A$5:$A$500=$F171)*('Lot Balance'!$K$5:$K$500&lt;$AK171)*('Lot Balance'!$K$5:$K$500+'Lot Balance'!$D$5:$D$500&gt;=$AK171),0),0)),""))</f>
        <v/>
      </c>
      <c r="AM171" s="66" t="str" cm="1">
        <f t="array" ref="AM171">IF($F171="","",IFERROR(INDEX('Lot Balance'!$B$5:$B$500,MATCH(1,INDEX(('Lot Balance'!$A$5:$A$500=$F171)*('Lot Balance'!$K$5:$K$500&lt;$AJ171)*('Lot Balance'!$K$5:$K$500+'Lot Balance'!$D$5:$D$500&gt;=$AJ171),0),0)),""))</f>
        <v/>
      </c>
      <c r="AN171" s="66" t="str">
        <f>IF($F171="","",IF($AI171&lt;&gt;"",IF(COUNTIFS('Lot Balance'!$A$5:$A$500,$F171,'Lot Balance'!$B$5:$B$500,$AI171)=0,"⚠ override is not a lot of this item",IF($AI171=$AL171,"Override = FEFO","Override - FEFO says "&amp;$AL171)),IF($AL171="","⚠ no receipt on file for this item",IF($AM171&lt;&gt;$AL171,"FEFO auto - split, also "&amp;$AM171,"FEFO auto"))))</f>
        <v>⚠ no receipt on file for this item</v>
      </c>
      <c r="AO171" s="114"/>
    </row>
    <row r="172" spans="1:41" x14ac:dyDescent="0.35">
      <c r="A172" s="74">
        <v>46121</v>
      </c>
      <c r="B172" s="18" t="str">
        <f>IF($C172="","",IFERROR(INDEX('Staff Directory'!$A$5:$A$594,MATCH($C172,'Staff Directory'!$B$5:$B$594,0)),"⚠ unknown staff"))</f>
        <v>RN-044-A2</v>
      </c>
      <c r="C172" s="49" t="s">
        <v>967</v>
      </c>
      <c r="D172" s="19" t="str">
        <f>IF($B172="","",IFERROR(INDEX('Staff Directory'!$C$5:$C$594,MATCH($B172,'Staff Directory'!$A$5:$A$594,0)),""))</f>
        <v>RN</v>
      </c>
      <c r="E172" s="19" t="str">
        <f>IF($B172="","",IFERROR(INDEX('Staff Directory'!$D$5:$D$594,MATCH($B172,'Staff Directory'!$A$5:$A$594,0)),""))</f>
        <v>A2</v>
      </c>
      <c r="F172" s="9" t="s">
        <v>757</v>
      </c>
      <c r="G172" s="18" t="str">
        <f>IF($F172="","",IFERROR(INDEX(Items!$B$5:$B$597,MATCH($F172,Items!$A$5:$A$597,0)),"⚠ not in Items"))</f>
        <v>Documents</v>
      </c>
      <c r="H172" s="19" t="str">
        <f>IF($F172="","",IFERROR(INDEX(Items!$C$5:$C$597,MATCH($F172,Items!$A$5:$A$597,0)),""))</f>
        <v>Standard</v>
      </c>
      <c r="I172" s="23">
        <f>IF($F172="","",IFERROR(INDEX(Items!$E$5:$E$597,MATCH($F172,Items!$A$5:$A$597,0)),""))</f>
        <v>10</v>
      </c>
      <c r="J172" s="115">
        <f>IF(tblIssues[[#This Row],[Qty Override]]&lt;&gt;"",tblIssues[[#This Row],[Qty Override]],IF(tblIssues[[#This Row],[Standard Issue]]="","",tblIssues[[#This Row],[Standard Issue]]))</f>
        <v>10</v>
      </c>
      <c r="K172" s="20">
        <f>IF($F172="","",IFERROR(INDEX(Items!$D$5:$D$597,MATCH($F172,Items!$A$5:$A$597,0)),""))</f>
        <v>0</v>
      </c>
      <c r="L172" s="21">
        <f t="shared" si="28"/>
        <v>0</v>
      </c>
      <c r="M172" s="9" t="str">
        <f t="shared" si="29"/>
        <v/>
      </c>
      <c r="N172" s="24">
        <f>IF($A172="","",WORKDAY($A172,Settings!$C$9,HolidayDates))</f>
        <v>46129</v>
      </c>
      <c r="O172" s="24">
        <f>IF($N172="","",WORKDAY($N172,Settings!$C$10,HolidayDates))</f>
        <v>46169</v>
      </c>
      <c r="P172" s="10" t="s">
        <v>502</v>
      </c>
      <c r="Q172" s="52" t="str">
        <f t="shared" si="31"/>
        <v>Collected</v>
      </c>
      <c r="R172" s="55" t="str">
        <f t="shared" si="32"/>
        <v>2026-04</v>
      </c>
      <c r="S172" s="55">
        <f>IF(OR($B172="",$F172="",$R172=""),"",SUMIFS(tblIssues[Qty Issued],tblIssues[Staff ID],$B172,tblIssues[Item Name],$F172,tblIssues[Month],$R172))</f>
        <v>10</v>
      </c>
      <c r="T172" s="56">
        <f>IF($I172="","",$I172*Settings!$C$11)</f>
        <v>10</v>
      </c>
      <c r="U172" s="57" t="str">
        <f t="shared" si="30"/>
        <v>OK</v>
      </c>
      <c r="V172" s="55" t="str">
        <f t="shared" si="33"/>
        <v/>
      </c>
      <c r="W172" s="55" t="str">
        <f>IF($V172="","",IF(COUNTIF($V$5:$V172,$V172)=1,1,""))</f>
        <v/>
      </c>
      <c r="X172" s="58" t="str">
        <f>IF($W172="","",MAX($X$4:X171)+1)</f>
        <v/>
      </c>
      <c r="Y172" s="62"/>
      <c r="Z172" s="62"/>
      <c r="AA172" s="64" t="str">
        <f>IF($C172="","",IFERROR(INDEX('Staff Directory'!$E$5:$E$594,MATCH($C172,'Staff Directory'!$B$5:$B$594,0)),""))</f>
        <v>firstname051.lastname051@example.com</v>
      </c>
      <c r="AB172" s="64" t="str">
        <f>IF($C172="","",IF(ISNUMBER(SEARCH($D172,Settings!$C$15)),"Pickup","Dispatch"))</f>
        <v>Dispatch</v>
      </c>
      <c r="AC172" s="64" t="str">
        <f t="shared" si="34"/>
        <v>Supply order dispatched</v>
      </c>
      <c r="AD172" s="64" t="str">
        <f t="shared" si="26"/>
        <v>Dear RN,
Your order has been dispatched and is in transit. Reply if undelivered.</v>
      </c>
      <c r="AE172" s="64" t="str">
        <f t="shared" si="27"/>
        <v>mailto:firstname051.lastname051@example.com?subject=Supply%20order%20dispatched&amp;body=Dear%20RN%2C%0A%0AYour%20order%20has%20been%20dispatched%20and%20is%20in%20transit.%20Reply%20if%20undelivered.</v>
      </c>
      <c r="AF172" s="89" t="str">
        <f t="shared" si="35"/>
        <v>Draft email</v>
      </c>
      <c r="AG172" s="64" t="str">
        <f>IF($C172="","",IFERROR(INDEX('Staff Directory'!$K$595:$K$599,MATCH($C172,'Staff Directory'!$B$5:$B$599,0)),$D172))</f>
        <v>RN</v>
      </c>
      <c r="AH172" t="str">
        <f>IF($C172="","",IFERROR(INDEX('Staff Directory'!$I$595:$I$599,MATCH($C172,'Staff Directory'!$B$5:$B$599,0))&amp;" "&amp;INDEX('Staff Directory'!$J$595:$J$599,MATCH($C172,'Staff Directory'!$B$5:$B$599,0)),$AG172))</f>
        <v>RN</v>
      </c>
      <c r="AI172" s="102"/>
      <c r="AJ172" s="101">
        <f>IF($F172="","",SUMIFS($J$5:$J172,$F$5:$F172,$F172))</f>
        <v>110</v>
      </c>
      <c r="AK172" s="101">
        <f t="shared" si="3"/>
        <v>101</v>
      </c>
      <c r="AL172" s="66" t="str" cm="1">
        <f t="array" ref="AL172">IF($F172="","",IFERROR(INDEX('Lot Balance'!$B$5:$B$500,MATCH(1,INDEX(('Lot Balance'!$A$5:$A$500=$F172)*('Lot Balance'!$K$5:$K$500&lt;$AK172)*('Lot Balance'!$K$5:$K$500+'Lot Balance'!$D$5:$D$500&gt;=$AK172),0),0)),""))</f>
        <v/>
      </c>
      <c r="AM172" s="66" t="str" cm="1">
        <f t="array" ref="AM172">IF($F172="","",IFERROR(INDEX('Lot Balance'!$B$5:$B$500,MATCH(1,INDEX(('Lot Balance'!$A$5:$A$500=$F172)*('Lot Balance'!$K$5:$K$500&lt;$AJ172)*('Lot Balance'!$K$5:$K$500+'Lot Balance'!$D$5:$D$500&gt;=$AJ172),0),0)),""))</f>
        <v/>
      </c>
      <c r="AN172" s="66" t="str">
        <f>IF($F172="","",IF($AI172&lt;&gt;"",IF(COUNTIFS('Lot Balance'!$A$5:$A$500,$F172,'Lot Balance'!$B$5:$B$500,$AI172)=0,"⚠ override is not a lot of this item",IF($AI172=$AL172,"Override = FEFO","Override - FEFO says "&amp;$AL172)),IF($AL172="","⚠ no receipt on file for this item",IF($AM172&lt;&gt;$AL172,"FEFO auto - split, also "&amp;$AM172,"FEFO auto"))))</f>
        <v>⚠ no receipt on file for this item</v>
      </c>
      <c r="AO172" s="114"/>
    </row>
    <row r="173" spans="1:41" x14ac:dyDescent="0.35">
      <c r="A173" s="74">
        <v>46121</v>
      </c>
      <c r="B173" s="18" t="str">
        <f>IF($C173="","",IFERROR(INDEX('Staff Directory'!$A$5:$A$594,MATCH($C173,'Staff Directory'!$B$5:$B$594,0)),"⚠ unknown staff"))</f>
        <v>RN-021-A2</v>
      </c>
      <c r="C173" s="49" t="s">
        <v>941</v>
      </c>
      <c r="D173" s="19" t="str">
        <f>IF($B173="","",IFERROR(INDEX('Staff Directory'!$C$5:$C$594,MATCH($B173,'Staff Directory'!$A$5:$A$594,0)),""))</f>
        <v>RN</v>
      </c>
      <c r="E173" s="19" t="str">
        <f>IF($B173="","",IFERROR(INDEX('Staff Directory'!$D$5:$D$594,MATCH($B173,'Staff Directory'!$A$5:$A$594,0)),""))</f>
        <v>A2</v>
      </c>
      <c r="F173" s="9" t="s">
        <v>757</v>
      </c>
      <c r="G173" s="18" t="str">
        <f>IF($F173="","",IFERROR(INDEX(Items!$B$5:$B$597,MATCH($F173,Items!$A$5:$A$597,0)),"⚠ not in Items"))</f>
        <v>Documents</v>
      </c>
      <c r="H173" s="19" t="str">
        <f>IF($F173="","",IFERROR(INDEX(Items!$C$5:$C$597,MATCH($F173,Items!$A$5:$A$597,0)),""))</f>
        <v>Standard</v>
      </c>
      <c r="I173" s="23">
        <f>IF($F173="","",IFERROR(INDEX(Items!$E$5:$E$597,MATCH($F173,Items!$A$5:$A$597,0)),""))</f>
        <v>10</v>
      </c>
      <c r="J173" s="115">
        <f>IF(tblIssues[[#This Row],[Qty Override]]&lt;&gt;"",tblIssues[[#This Row],[Qty Override]],IF(tblIssues[[#This Row],[Standard Issue]]="","",tblIssues[[#This Row],[Standard Issue]]))</f>
        <v>10</v>
      </c>
      <c r="K173" s="20">
        <f>IF($F173="","",IFERROR(INDEX(Items!$D$5:$D$597,MATCH($F173,Items!$A$5:$A$597,0)),""))</f>
        <v>0</v>
      </c>
      <c r="L173" s="21">
        <f t="shared" si="28"/>
        <v>0</v>
      </c>
      <c r="M173" s="9" t="str">
        <f t="shared" si="29"/>
        <v/>
      </c>
      <c r="N173" s="24">
        <f>IF($A173="","",WORKDAY($A173,Settings!$C$9,HolidayDates))</f>
        <v>46129</v>
      </c>
      <c r="O173" s="24">
        <f>IF($N173="","",WORKDAY($N173,Settings!$C$10,HolidayDates))</f>
        <v>46169</v>
      </c>
      <c r="P173" s="10" t="s">
        <v>502</v>
      </c>
      <c r="Q173" s="52" t="str">
        <f t="shared" si="31"/>
        <v>Collected</v>
      </c>
      <c r="R173" s="55" t="str">
        <f t="shared" si="32"/>
        <v>2026-04</v>
      </c>
      <c r="S173" s="55">
        <f>IF(OR($B173="",$F173="",$R173=""),"",SUMIFS(tblIssues[Qty Issued],tblIssues[Staff ID],$B173,tblIssues[Item Name],$F173,tblIssues[Month],$R173))</f>
        <v>10</v>
      </c>
      <c r="T173" s="56">
        <f>IF($I173="","",$I173*Settings!$C$11)</f>
        <v>10</v>
      </c>
      <c r="U173" s="57" t="str">
        <f t="shared" si="30"/>
        <v>OK</v>
      </c>
      <c r="V173" s="55" t="str">
        <f t="shared" si="33"/>
        <v/>
      </c>
      <c r="W173" s="55" t="str">
        <f>IF($V173="","",IF(COUNTIF($V$5:$V173,$V173)=1,1,""))</f>
        <v/>
      </c>
      <c r="X173" s="58" t="str">
        <f>IF($W173="","",MAX($X$4:X172)+1)</f>
        <v/>
      </c>
      <c r="Y173" s="62"/>
      <c r="Z173" s="62"/>
      <c r="AA173" s="64" t="str">
        <f>IF($C173="","",IFERROR(INDEX('Staff Directory'!$E$5:$E$594,MATCH($C173,'Staff Directory'!$B$5:$B$594,0)),""))</f>
        <v>firstname025.lastname025@example.com</v>
      </c>
      <c r="AB173" s="64" t="str">
        <f>IF($C173="","",IF(ISNUMBER(SEARCH($D173,Settings!$C$15)),"Pickup","Dispatch"))</f>
        <v>Dispatch</v>
      </c>
      <c r="AC173" s="64" t="str">
        <f t="shared" si="34"/>
        <v>Supply order dispatched</v>
      </c>
      <c r="AD173" s="64" t="str">
        <f t="shared" si="26"/>
        <v>Dear RN,
Your order has been dispatched and is in transit. Reply if undelivered.</v>
      </c>
      <c r="AE173" s="64" t="str">
        <f t="shared" si="27"/>
        <v>mailto:firstname025.lastname025@example.com?subject=Supply%20order%20dispatched&amp;body=Dear%20RN%2C%0A%0AYour%20order%20has%20been%20dispatched%20and%20is%20in%20transit.%20Reply%20if%20undelivered.</v>
      </c>
      <c r="AF173" s="89" t="str">
        <f t="shared" si="35"/>
        <v>Draft email</v>
      </c>
      <c r="AG173" s="64" t="str">
        <f>IF($C173="","",IFERROR(INDEX('Staff Directory'!$K$595:$K$599,MATCH($C173,'Staff Directory'!$B$5:$B$599,0)),$D173))</f>
        <v>RN</v>
      </c>
      <c r="AH173" t="str">
        <f>IF($C173="","",IFERROR(INDEX('Staff Directory'!$I$595:$I$599,MATCH($C173,'Staff Directory'!$B$5:$B$599,0))&amp;" "&amp;INDEX('Staff Directory'!$J$595:$J$599,MATCH($C173,'Staff Directory'!$B$5:$B$599,0)),$AG173))</f>
        <v>RN</v>
      </c>
      <c r="AI173" s="102"/>
      <c r="AJ173" s="101">
        <f>IF($F173="","",SUMIFS($J$5:$J173,$F$5:$F173,$F173))</f>
        <v>120</v>
      </c>
      <c r="AK173" s="101">
        <f t="shared" si="3"/>
        <v>111</v>
      </c>
      <c r="AL173" s="66" t="str" cm="1">
        <f t="array" ref="AL173">IF($F173="","",IFERROR(INDEX('Lot Balance'!$B$5:$B$500,MATCH(1,INDEX(('Lot Balance'!$A$5:$A$500=$F173)*('Lot Balance'!$K$5:$K$500&lt;$AK173)*('Lot Balance'!$K$5:$K$500+'Lot Balance'!$D$5:$D$500&gt;=$AK173),0),0)),""))</f>
        <v/>
      </c>
      <c r="AM173" s="66" t="str" cm="1">
        <f t="array" ref="AM173">IF($F173="","",IFERROR(INDEX('Lot Balance'!$B$5:$B$500,MATCH(1,INDEX(('Lot Balance'!$A$5:$A$500=$F173)*('Lot Balance'!$K$5:$K$500&lt;$AJ173)*('Lot Balance'!$K$5:$K$500+'Lot Balance'!$D$5:$D$500&gt;=$AJ173),0),0)),""))</f>
        <v/>
      </c>
      <c r="AN173" s="66" t="str">
        <f>IF($F173="","",IF($AI173&lt;&gt;"",IF(COUNTIFS('Lot Balance'!$A$5:$A$500,$F173,'Lot Balance'!$B$5:$B$500,$AI173)=0,"⚠ override is not a lot of this item",IF($AI173=$AL173,"Override = FEFO","Override - FEFO says "&amp;$AL173)),IF($AL173="","⚠ no receipt on file for this item",IF($AM173&lt;&gt;$AL173,"FEFO auto - split, also "&amp;$AM173,"FEFO auto"))))</f>
        <v>⚠ no receipt on file for this item</v>
      </c>
      <c r="AO173" s="114"/>
    </row>
    <row r="174" spans="1:41" x14ac:dyDescent="0.35">
      <c r="A174" s="74">
        <v>46121</v>
      </c>
      <c r="B174" s="18" t="str">
        <f>IF($C174="","",IFERROR(INDEX('Staff Directory'!$A$5:$A$594,MATCH($C174,'Staff Directory'!$B$5:$B$594,0)),"⚠ unknown staff"))</f>
        <v>RN-009-A2</v>
      </c>
      <c r="C174" s="49" t="s">
        <v>925</v>
      </c>
      <c r="D174" s="19" t="str">
        <f>IF($B174="","",IFERROR(INDEX('Staff Directory'!$C$5:$C$594,MATCH($B174,'Staff Directory'!$A$5:$A$594,0)),""))</f>
        <v>RN</v>
      </c>
      <c r="E174" s="19" t="str">
        <f>IF($B174="","",IFERROR(INDEX('Staff Directory'!$D$5:$D$594,MATCH($B174,'Staff Directory'!$A$5:$A$594,0)),""))</f>
        <v>A2</v>
      </c>
      <c r="F174" s="9" t="s">
        <v>757</v>
      </c>
      <c r="G174" s="18" t="str">
        <f>IF($F174="","",IFERROR(INDEX(Items!$B$5:$B$597,MATCH($F174,Items!$A$5:$A$597,0)),"⚠ not in Items"))</f>
        <v>Documents</v>
      </c>
      <c r="H174" s="19" t="str">
        <f>IF($F174="","",IFERROR(INDEX(Items!$C$5:$C$597,MATCH($F174,Items!$A$5:$A$597,0)),""))</f>
        <v>Standard</v>
      </c>
      <c r="I174" s="23">
        <f>IF($F174="","",IFERROR(INDEX(Items!$E$5:$E$597,MATCH($F174,Items!$A$5:$A$597,0)),""))</f>
        <v>10</v>
      </c>
      <c r="J174" s="115">
        <f>IF(tblIssues[[#This Row],[Qty Override]]&lt;&gt;"",tblIssues[[#This Row],[Qty Override]],IF(tblIssues[[#This Row],[Standard Issue]]="","",tblIssues[[#This Row],[Standard Issue]]))</f>
        <v>10</v>
      </c>
      <c r="K174" s="20">
        <f>IF($F174="","",IFERROR(INDEX(Items!$D$5:$D$597,MATCH($F174,Items!$A$5:$A$597,0)),""))</f>
        <v>0</v>
      </c>
      <c r="L174" s="21">
        <f t="shared" si="28"/>
        <v>0</v>
      </c>
      <c r="M174" s="9" t="str">
        <f t="shared" si="29"/>
        <v/>
      </c>
      <c r="N174" s="24">
        <f>IF($A174="","",WORKDAY($A174,Settings!$C$9,HolidayDates))</f>
        <v>46129</v>
      </c>
      <c r="O174" s="24">
        <f>IF($N174="","",WORKDAY($N174,Settings!$C$10,HolidayDates))</f>
        <v>46169</v>
      </c>
      <c r="P174" s="10" t="s">
        <v>502</v>
      </c>
      <c r="Q174" s="52" t="str">
        <f t="shared" si="31"/>
        <v>Collected</v>
      </c>
      <c r="R174" s="55" t="str">
        <f t="shared" si="32"/>
        <v>2026-04</v>
      </c>
      <c r="S174" s="55">
        <f>IF(OR($B174="",$F174="",$R174=""),"",SUMIFS(tblIssues[Qty Issued],tblIssues[Staff ID],$B174,tblIssues[Item Name],$F174,tblIssues[Month],$R174))</f>
        <v>10</v>
      </c>
      <c r="T174" s="56">
        <f>IF($I174="","",$I174*Settings!$C$11)</f>
        <v>10</v>
      </c>
      <c r="U174" s="57" t="str">
        <f t="shared" si="30"/>
        <v>OK</v>
      </c>
      <c r="V174" s="55" t="str">
        <f t="shared" si="33"/>
        <v/>
      </c>
      <c r="W174" s="55" t="str">
        <f>IF($V174="","",IF(COUNTIF($V$5:$V174,$V174)=1,1,""))</f>
        <v/>
      </c>
      <c r="X174" s="58" t="str">
        <f>IF($W174="","",MAX($X$4:X173)+1)</f>
        <v/>
      </c>
      <c r="Y174" s="62"/>
      <c r="Z174" s="62"/>
      <c r="AA174" s="64" t="str">
        <f>IF($C174="","",IFERROR(INDEX('Staff Directory'!$E$5:$E$594,MATCH($C174,'Staff Directory'!$B$5:$B$594,0)),""))</f>
        <v>firstname009.lastname009@example.com</v>
      </c>
      <c r="AB174" s="64" t="str">
        <f>IF($C174="","",IF(ISNUMBER(SEARCH($D174,Settings!$C$15)),"Pickup","Dispatch"))</f>
        <v>Dispatch</v>
      </c>
      <c r="AC174" s="64" t="str">
        <f t="shared" si="34"/>
        <v>Supply order dispatched</v>
      </c>
      <c r="AD174" s="64" t="str">
        <f t="shared" si="26"/>
        <v>Dear RN,
Your order has been dispatched and is in transit. Reply if undelivered.</v>
      </c>
      <c r="AE174" s="64" t="str">
        <f t="shared" si="27"/>
        <v>mailto:firstname009.lastname009@example.com?subject=Supply%20order%20dispatched&amp;body=Dear%20RN%2C%0A%0AYour%20order%20has%20been%20dispatched%20and%20is%20in%20transit.%20Reply%20if%20undelivered.</v>
      </c>
      <c r="AF174" s="89" t="str">
        <f t="shared" si="35"/>
        <v>Draft email</v>
      </c>
      <c r="AG174" s="64" t="str">
        <f>IF($C174="","",IFERROR(INDEX('Staff Directory'!$K$595:$K$599,MATCH($C174,'Staff Directory'!$B$5:$B$599,0)),$D174))</f>
        <v>RN</v>
      </c>
      <c r="AH174" t="str">
        <f>IF($C174="","",IFERROR(INDEX('Staff Directory'!$I$595:$I$599,MATCH($C174,'Staff Directory'!$B$5:$B$599,0))&amp;" "&amp;INDEX('Staff Directory'!$J$595:$J$599,MATCH($C174,'Staff Directory'!$B$5:$B$599,0)),$AG174))</f>
        <v>RN</v>
      </c>
      <c r="AI174" s="102"/>
      <c r="AJ174" s="101">
        <f>IF($F174="","",SUMIFS($J$5:$J174,$F$5:$F174,$F174))</f>
        <v>130</v>
      </c>
      <c r="AK174" s="101">
        <f t="shared" si="3"/>
        <v>121</v>
      </c>
      <c r="AL174" s="66" t="str" cm="1">
        <f t="array" ref="AL174">IF($F174="","",IFERROR(INDEX('Lot Balance'!$B$5:$B$500,MATCH(1,INDEX(('Lot Balance'!$A$5:$A$500=$F174)*('Lot Balance'!$K$5:$K$500&lt;$AK174)*('Lot Balance'!$K$5:$K$500+'Lot Balance'!$D$5:$D$500&gt;=$AK174),0),0)),""))</f>
        <v/>
      </c>
      <c r="AM174" s="66" t="str" cm="1">
        <f t="array" ref="AM174">IF($F174="","",IFERROR(INDEX('Lot Balance'!$B$5:$B$500,MATCH(1,INDEX(('Lot Balance'!$A$5:$A$500=$F174)*('Lot Balance'!$K$5:$K$500&lt;$AJ174)*('Lot Balance'!$K$5:$K$500+'Lot Balance'!$D$5:$D$500&gt;=$AJ174),0),0)),""))</f>
        <v/>
      </c>
      <c r="AN174" s="66" t="str">
        <f>IF($F174="","",IF($AI174&lt;&gt;"",IF(COUNTIFS('Lot Balance'!$A$5:$A$500,$F174,'Lot Balance'!$B$5:$B$500,$AI174)=0,"⚠ override is not a lot of this item",IF($AI174=$AL174,"Override = FEFO","Override - FEFO says "&amp;$AL174)),IF($AL174="","⚠ no receipt on file for this item",IF($AM174&lt;&gt;$AL174,"FEFO auto - split, also "&amp;$AM174,"FEFO auto"))))</f>
        <v>⚠ no receipt on file for this item</v>
      </c>
      <c r="AO174" s="114"/>
    </row>
    <row r="175" spans="1:41" x14ac:dyDescent="0.35">
      <c r="A175" s="74">
        <v>46121</v>
      </c>
      <c r="B175" s="18" t="str">
        <f>IF($C175="","",IFERROR(INDEX('Staff Directory'!$A$5:$A$594,MATCH($C175,'Staff Directory'!$B$5:$B$594,0)),"⚠ unknown staff"))</f>
        <v>RN-024-A2</v>
      </c>
      <c r="C175" s="49" t="s">
        <v>944</v>
      </c>
      <c r="D175" s="19" t="str">
        <f>IF($B175="","",IFERROR(INDEX('Staff Directory'!$C$5:$C$594,MATCH($B175,'Staff Directory'!$A$5:$A$594,0)),""))</f>
        <v>RN</v>
      </c>
      <c r="E175" s="19" t="str">
        <f>IF($B175="","",IFERROR(INDEX('Staff Directory'!$D$5:$D$594,MATCH($B175,'Staff Directory'!$A$5:$A$594,0)),""))</f>
        <v>A2</v>
      </c>
      <c r="F175" s="9" t="s">
        <v>757</v>
      </c>
      <c r="G175" s="18" t="str">
        <f>IF($F175="","",IFERROR(INDEX(Items!$B$5:$B$597,MATCH($F175,Items!$A$5:$A$597,0)),"⚠ not in Items"))</f>
        <v>Documents</v>
      </c>
      <c r="H175" s="19" t="str">
        <f>IF($F175="","",IFERROR(INDEX(Items!$C$5:$C$597,MATCH($F175,Items!$A$5:$A$597,0)),""))</f>
        <v>Standard</v>
      </c>
      <c r="I175" s="23">
        <f>IF($F175="","",IFERROR(INDEX(Items!$E$5:$E$597,MATCH($F175,Items!$A$5:$A$597,0)),""))</f>
        <v>10</v>
      </c>
      <c r="J175" s="115">
        <f>IF(tblIssues[[#This Row],[Qty Override]]&lt;&gt;"",tblIssues[[#This Row],[Qty Override]],IF(tblIssues[[#This Row],[Standard Issue]]="","",tblIssues[[#This Row],[Standard Issue]]))</f>
        <v>10</v>
      </c>
      <c r="K175" s="20">
        <f>IF($F175="","",IFERROR(INDEX(Items!$D$5:$D$597,MATCH($F175,Items!$A$5:$A$597,0)),""))</f>
        <v>0</v>
      </c>
      <c r="L175" s="21">
        <f t="shared" si="28"/>
        <v>0</v>
      </c>
      <c r="M175" s="9" t="str">
        <f t="shared" si="29"/>
        <v/>
      </c>
      <c r="N175" s="24">
        <f>IF($A175="","",WORKDAY($A175,Settings!$C$9,HolidayDates))</f>
        <v>46129</v>
      </c>
      <c r="O175" s="24">
        <f>IF($N175="","",WORKDAY($N175,Settings!$C$10,HolidayDates))</f>
        <v>46169</v>
      </c>
      <c r="P175" s="10" t="s">
        <v>502</v>
      </c>
      <c r="Q175" s="52" t="str">
        <f t="shared" si="31"/>
        <v>Collected</v>
      </c>
      <c r="R175" s="55" t="str">
        <f t="shared" si="32"/>
        <v>2026-04</v>
      </c>
      <c r="S175" s="55">
        <f>IF(OR($B175="",$F175="",$R175=""),"",SUMIFS(tblIssues[Qty Issued],tblIssues[Staff ID],$B175,tblIssues[Item Name],$F175,tblIssues[Month],$R175))</f>
        <v>10</v>
      </c>
      <c r="T175" s="56">
        <f>IF($I175="","",$I175*Settings!$C$11)</f>
        <v>10</v>
      </c>
      <c r="U175" s="57" t="str">
        <f t="shared" si="30"/>
        <v>OK</v>
      </c>
      <c r="V175" s="55" t="str">
        <f t="shared" si="33"/>
        <v/>
      </c>
      <c r="W175" s="55" t="str">
        <f>IF($V175="","",IF(COUNTIF($V$5:$V175,$V175)=1,1,""))</f>
        <v/>
      </c>
      <c r="X175" s="58" t="str">
        <f>IF($W175="","",MAX($X$4:X174)+1)</f>
        <v/>
      </c>
      <c r="Y175" s="62"/>
      <c r="Z175" s="62"/>
      <c r="AA175" s="64" t="str">
        <f>IF($C175="","",IFERROR(INDEX('Staff Directory'!$E$5:$E$594,MATCH($C175,'Staff Directory'!$B$5:$B$594,0)),""))</f>
        <v>firstname028.lastname028@example.com</v>
      </c>
      <c r="AB175" s="64" t="str">
        <f>IF($C175="","",IF(ISNUMBER(SEARCH($D175,Settings!$C$15)),"Pickup","Dispatch"))</f>
        <v>Dispatch</v>
      </c>
      <c r="AC175" s="64" t="str">
        <f t="shared" si="34"/>
        <v>Supply order dispatched</v>
      </c>
      <c r="AD175" s="64" t="str">
        <f t="shared" si="26"/>
        <v>Dear RN,
Your order has been dispatched and is in transit. Reply if undelivered.</v>
      </c>
      <c r="AE175" s="64" t="str">
        <f t="shared" si="27"/>
        <v>mailto:firstname028.lastname028@example.com?subject=Supply%20order%20dispatched&amp;body=Dear%20RN%2C%0A%0AYour%20order%20has%20been%20dispatched%20and%20is%20in%20transit.%20Reply%20if%20undelivered.</v>
      </c>
      <c r="AF175" s="89" t="str">
        <f t="shared" si="35"/>
        <v>Draft email</v>
      </c>
      <c r="AG175" s="64" t="str">
        <f>IF($C175="","",IFERROR(INDEX('Staff Directory'!$K$595:$K$599,MATCH($C175,'Staff Directory'!$B$5:$B$599,0)),$D175))</f>
        <v>RN</v>
      </c>
      <c r="AH175" t="str">
        <f>IF($C175="","",IFERROR(INDEX('Staff Directory'!$I$595:$I$599,MATCH($C175,'Staff Directory'!$B$5:$B$599,0))&amp;" "&amp;INDEX('Staff Directory'!$J$595:$J$599,MATCH($C175,'Staff Directory'!$B$5:$B$599,0)),$AG175))</f>
        <v>RN</v>
      </c>
      <c r="AI175" s="102"/>
      <c r="AJ175" s="101">
        <f>IF($F175="","",SUMIFS($J$5:$J175,$F$5:$F175,$F175))</f>
        <v>140</v>
      </c>
      <c r="AK175" s="101">
        <f t="shared" si="3"/>
        <v>131</v>
      </c>
      <c r="AL175" s="66" t="str" cm="1">
        <f t="array" ref="AL175">IF($F175="","",IFERROR(INDEX('Lot Balance'!$B$5:$B$500,MATCH(1,INDEX(('Lot Balance'!$A$5:$A$500=$F175)*('Lot Balance'!$K$5:$K$500&lt;$AK175)*('Lot Balance'!$K$5:$K$500+'Lot Balance'!$D$5:$D$500&gt;=$AK175),0),0)),""))</f>
        <v/>
      </c>
      <c r="AM175" s="66" t="str" cm="1">
        <f t="array" ref="AM175">IF($F175="","",IFERROR(INDEX('Lot Balance'!$B$5:$B$500,MATCH(1,INDEX(('Lot Balance'!$A$5:$A$500=$F175)*('Lot Balance'!$K$5:$K$500&lt;$AJ175)*('Lot Balance'!$K$5:$K$500+'Lot Balance'!$D$5:$D$500&gt;=$AJ175),0),0)),""))</f>
        <v/>
      </c>
      <c r="AN175" s="66" t="str">
        <f>IF($F175="","",IF($AI175&lt;&gt;"",IF(COUNTIFS('Lot Balance'!$A$5:$A$500,$F175,'Lot Balance'!$B$5:$B$500,$AI175)=0,"⚠ override is not a lot of this item",IF($AI175=$AL175,"Override = FEFO","Override - FEFO says "&amp;$AL175)),IF($AL175="","⚠ no receipt on file for this item",IF($AM175&lt;&gt;$AL175,"FEFO auto - split, also "&amp;$AM175,"FEFO auto"))))</f>
        <v>⚠ no receipt on file for this item</v>
      </c>
      <c r="AO175" s="114"/>
    </row>
    <row r="176" spans="1:41" x14ac:dyDescent="0.35">
      <c r="A176" s="74">
        <v>46121</v>
      </c>
      <c r="B176" s="18" t="str">
        <f>IF($C176="","",IFERROR(INDEX('Staff Directory'!$A$5:$A$594,MATCH($C176,'Staff Directory'!$B$5:$B$594,0)),"⚠ unknown staff"))</f>
        <v>RN-026-A2</v>
      </c>
      <c r="C176" s="49" t="s">
        <v>946</v>
      </c>
      <c r="D176" s="19" t="str">
        <f>IF($B176="","",IFERROR(INDEX('Staff Directory'!$C$5:$C$594,MATCH($B176,'Staff Directory'!$A$5:$A$594,0)),""))</f>
        <v>RN</v>
      </c>
      <c r="E176" s="19" t="str">
        <f>IF($B176="","",IFERROR(INDEX('Staff Directory'!$D$5:$D$594,MATCH($B176,'Staff Directory'!$A$5:$A$594,0)),""))</f>
        <v>A2</v>
      </c>
      <c r="F176" s="9" t="s">
        <v>757</v>
      </c>
      <c r="G176" s="18" t="str">
        <f>IF($F176="","",IFERROR(INDEX(Items!$B$5:$B$597,MATCH($F176,Items!$A$5:$A$597,0)),"⚠ not in Items"))</f>
        <v>Documents</v>
      </c>
      <c r="H176" s="19" t="str">
        <f>IF($F176="","",IFERROR(INDEX(Items!$C$5:$C$597,MATCH($F176,Items!$A$5:$A$597,0)),""))</f>
        <v>Standard</v>
      </c>
      <c r="I176" s="23">
        <f>IF($F176="","",IFERROR(INDEX(Items!$E$5:$E$597,MATCH($F176,Items!$A$5:$A$597,0)),""))</f>
        <v>10</v>
      </c>
      <c r="J176" s="115">
        <f>IF(tblIssues[[#This Row],[Qty Override]]&lt;&gt;"",tblIssues[[#This Row],[Qty Override]],IF(tblIssues[[#This Row],[Standard Issue]]="","",tblIssues[[#This Row],[Standard Issue]]))</f>
        <v>10</v>
      </c>
      <c r="K176" s="20">
        <f>IF($F176="","",IFERROR(INDEX(Items!$D$5:$D$597,MATCH($F176,Items!$A$5:$A$597,0)),""))</f>
        <v>0</v>
      </c>
      <c r="L176" s="21">
        <f t="shared" si="28"/>
        <v>0</v>
      </c>
      <c r="M176" s="9" t="str">
        <f t="shared" si="29"/>
        <v/>
      </c>
      <c r="N176" s="24">
        <f>IF($A176="","",WORKDAY($A176,Settings!$C$9,HolidayDates))</f>
        <v>46129</v>
      </c>
      <c r="O176" s="24">
        <f>IF($N176="","",WORKDAY($N176,Settings!$C$10,HolidayDates))</f>
        <v>46169</v>
      </c>
      <c r="P176" s="10" t="s">
        <v>502</v>
      </c>
      <c r="Q176" s="52" t="str">
        <f t="shared" si="31"/>
        <v>Collected</v>
      </c>
      <c r="R176" s="55" t="str">
        <f t="shared" si="32"/>
        <v>2026-04</v>
      </c>
      <c r="S176" s="55">
        <f>IF(OR($B176="",$F176="",$R176=""),"",SUMIFS(tblIssues[Qty Issued],tblIssues[Staff ID],$B176,tblIssues[Item Name],$F176,tblIssues[Month],$R176))</f>
        <v>10</v>
      </c>
      <c r="T176" s="56">
        <f>IF($I176="","",$I176*Settings!$C$11)</f>
        <v>10</v>
      </c>
      <c r="U176" s="57" t="str">
        <f t="shared" si="30"/>
        <v>OK</v>
      </c>
      <c r="V176" s="55" t="str">
        <f t="shared" si="33"/>
        <v/>
      </c>
      <c r="W176" s="55" t="str">
        <f>IF($V176="","",IF(COUNTIF($V$5:$V176,$V176)=1,1,""))</f>
        <v/>
      </c>
      <c r="X176" s="58" t="str">
        <f>IF($W176="","",MAX($X$4:X175)+1)</f>
        <v/>
      </c>
      <c r="Y176" s="62"/>
      <c r="Z176" s="62"/>
      <c r="AA176" s="64" t="str">
        <f>IF($C176="","",IFERROR(INDEX('Staff Directory'!$E$5:$E$594,MATCH($C176,'Staff Directory'!$B$5:$B$594,0)),""))</f>
        <v>firstname030.lastname030@example.com</v>
      </c>
      <c r="AB176" s="64" t="str">
        <f>IF($C176="","",IF(ISNUMBER(SEARCH($D176,Settings!$C$15)),"Pickup","Dispatch"))</f>
        <v>Dispatch</v>
      </c>
      <c r="AC176" s="64" t="str">
        <f t="shared" si="34"/>
        <v>Supply order dispatched</v>
      </c>
      <c r="AD176" s="64" t="str">
        <f t="shared" si="26"/>
        <v>Dear RN,
Your order has been dispatched and is in transit. Reply if undelivered.</v>
      </c>
      <c r="AE176" s="64" t="str">
        <f t="shared" si="27"/>
        <v>mailto:firstname030.lastname030@example.com?subject=Supply%20order%20dispatched&amp;body=Dear%20RN%2C%0A%0AYour%20order%20has%20been%20dispatched%20and%20is%20in%20transit.%20Reply%20if%20undelivered.</v>
      </c>
      <c r="AF176" s="89" t="str">
        <f t="shared" si="35"/>
        <v>Draft email</v>
      </c>
      <c r="AG176" s="64" t="str">
        <f>IF($C176="","",IFERROR(INDEX('Staff Directory'!$K$595:$K$599,MATCH($C176,'Staff Directory'!$B$5:$B$599,0)),$D176))</f>
        <v>RN</v>
      </c>
      <c r="AH176" t="str">
        <f>IF($C176="","",IFERROR(INDEX('Staff Directory'!$I$595:$I$599,MATCH($C176,'Staff Directory'!$B$5:$B$599,0))&amp;" "&amp;INDEX('Staff Directory'!$J$595:$J$599,MATCH($C176,'Staff Directory'!$B$5:$B$599,0)),$AG176))</f>
        <v>RN</v>
      </c>
      <c r="AI176" s="102"/>
      <c r="AJ176" s="101">
        <f>IF($F176="","",SUMIFS($J$5:$J176,$F$5:$F176,$F176))</f>
        <v>150</v>
      </c>
      <c r="AK176" s="101">
        <f t="shared" si="3"/>
        <v>141</v>
      </c>
      <c r="AL176" s="66" t="str" cm="1">
        <f t="array" ref="AL176">IF($F176="","",IFERROR(INDEX('Lot Balance'!$B$5:$B$500,MATCH(1,INDEX(('Lot Balance'!$A$5:$A$500=$F176)*('Lot Balance'!$K$5:$K$500&lt;$AK176)*('Lot Balance'!$K$5:$K$500+'Lot Balance'!$D$5:$D$500&gt;=$AK176),0),0)),""))</f>
        <v/>
      </c>
      <c r="AM176" s="66" t="str" cm="1">
        <f t="array" ref="AM176">IF($F176="","",IFERROR(INDEX('Lot Balance'!$B$5:$B$500,MATCH(1,INDEX(('Lot Balance'!$A$5:$A$500=$F176)*('Lot Balance'!$K$5:$K$500&lt;$AJ176)*('Lot Balance'!$K$5:$K$500+'Lot Balance'!$D$5:$D$500&gt;=$AJ176),0),0)),""))</f>
        <v/>
      </c>
      <c r="AN176" s="66" t="str">
        <f>IF($F176="","",IF($AI176&lt;&gt;"",IF(COUNTIFS('Lot Balance'!$A$5:$A$500,$F176,'Lot Balance'!$B$5:$B$500,$AI176)=0,"⚠ override is not a lot of this item",IF($AI176=$AL176,"Override = FEFO","Override - FEFO says "&amp;$AL176)),IF($AL176="","⚠ no receipt on file for this item",IF($AM176&lt;&gt;$AL176,"FEFO auto - split, also "&amp;$AM176,"FEFO auto"))))</f>
        <v>⚠ no receipt on file for this item</v>
      </c>
      <c r="AO176" s="114"/>
    </row>
    <row r="177" spans="1:41" x14ac:dyDescent="0.35">
      <c r="A177" s="74">
        <v>46121</v>
      </c>
      <c r="B177" s="18" t="str">
        <f>IF($C177="","",IFERROR(INDEX('Staff Directory'!$A$5:$A$594,MATCH($C177,'Staff Directory'!$B$5:$B$594,0)),"⚠ unknown staff"))</f>
        <v>RN-025-A1</v>
      </c>
      <c r="C177" s="49" t="s">
        <v>945</v>
      </c>
      <c r="D177" s="19" t="str">
        <f>IF($B177="","",IFERROR(INDEX('Staff Directory'!$C$5:$C$594,MATCH($B177,'Staff Directory'!$A$5:$A$594,0)),""))</f>
        <v>RN</v>
      </c>
      <c r="E177" s="19" t="str">
        <f>IF($B177="","",IFERROR(INDEX('Staff Directory'!$D$5:$D$594,MATCH($B177,'Staff Directory'!$A$5:$A$594,0)),""))</f>
        <v>A1</v>
      </c>
      <c r="F177" s="9" t="s">
        <v>127</v>
      </c>
      <c r="G177" s="18" t="str">
        <f>IF($F177="","",IFERROR(INDEX(Items!$B$5:$B$597,MATCH($F177,Items!$A$5:$A$597,0)),"⚠ not in Items"))</f>
        <v>Gloves</v>
      </c>
      <c r="H177" s="19" t="str">
        <f>IF($F177="","",IFERROR(INDEX(Items!$C$5:$C$597,MATCH($F177,Items!$A$5:$A$597,0)),""))</f>
        <v>Medium</v>
      </c>
      <c r="I177" s="23">
        <f>IF($F177="","",IFERROR(INDEX(Items!$E$5:$E$597,MATCH($F177,Items!$A$5:$A$597,0)),""))</f>
        <v>500</v>
      </c>
      <c r="J177" s="115">
        <f>IF(tblIssues[[#This Row],[Qty Override]]&lt;&gt;"",tblIssues[[#This Row],[Qty Override]],IF(tblIssues[[#This Row],[Standard Issue]]="","",tblIssues[[#This Row],[Standard Issue]]))</f>
        <v>500</v>
      </c>
      <c r="K177" s="20">
        <f>IF($F177="","",IFERROR(INDEX(Items!$D$5:$D$597,MATCH($F177,Items!$A$5:$A$597,0)),""))</f>
        <v>5.5E-2</v>
      </c>
      <c r="L177" s="21">
        <f t="shared" si="28"/>
        <v>27.5</v>
      </c>
      <c r="M177" s="9" t="str">
        <f t="shared" si="29"/>
        <v>ZIM504126040-2</v>
      </c>
      <c r="N177" s="24">
        <f>IF($A177="","",WORKDAY($A177,Settings!$C$9,HolidayDates))</f>
        <v>46129</v>
      </c>
      <c r="O177" s="24">
        <f>IF($N177="","",WORKDAY($N177,Settings!$C$10,HolidayDates))</f>
        <v>46169</v>
      </c>
      <c r="P177" s="10" t="s">
        <v>502</v>
      </c>
      <c r="Q177" s="52" t="str">
        <f t="shared" si="31"/>
        <v>Collected</v>
      </c>
      <c r="R177" s="55" t="str">
        <f t="shared" si="32"/>
        <v>2026-04</v>
      </c>
      <c r="S177" s="55">
        <f>IF(OR($B177="",$F177="",$R177=""),"",SUMIFS(tblIssues[Qty Issued],tblIssues[Staff ID],$B177,tblIssues[Item Name],$F177,tblIssues[Month],$R177))</f>
        <v>500</v>
      </c>
      <c r="T177" s="56">
        <f>IF($I177="","",$I177*Settings!$C$11)</f>
        <v>500</v>
      </c>
      <c r="U177" s="57" t="str">
        <f t="shared" si="30"/>
        <v>OK</v>
      </c>
      <c r="V177" s="55" t="str">
        <f t="shared" si="33"/>
        <v/>
      </c>
      <c r="W177" s="55" t="str">
        <f>IF($V177="","",IF(COUNTIF($V$5:$V177,$V177)=1,1,""))</f>
        <v/>
      </c>
      <c r="X177" s="58" t="str">
        <f>IF($W177="","",MAX($X$4:X176)+1)</f>
        <v/>
      </c>
      <c r="Y177" s="62"/>
      <c r="Z177" s="62"/>
      <c r="AA177" s="64" t="str">
        <f>IF($C177="","",IFERROR(INDEX('Staff Directory'!$E$5:$E$594,MATCH($C177,'Staff Directory'!$B$5:$B$594,0)),""))</f>
        <v>firstname029.lastname029@example.com</v>
      </c>
      <c r="AB177" s="64" t="str">
        <f>IF($C177="","",IF(ISNUMBER(SEARCH($D177,Settings!$C$15)),"Pickup","Dispatch"))</f>
        <v>Dispatch</v>
      </c>
      <c r="AC177" s="64" t="str">
        <f t="shared" si="34"/>
        <v>Supply order dispatched</v>
      </c>
      <c r="AD177" s="64" t="str">
        <f t="shared" si="26"/>
        <v>Dear RN,
Your order has been dispatched and is in transit. Reply if undelivered.</v>
      </c>
      <c r="AE177" s="64" t="str">
        <f t="shared" si="27"/>
        <v>mailto:firstname029.lastname029@example.com?subject=Supply%20order%20dispatched&amp;body=Dear%20RN%2C%0A%0AYour%20order%20has%20been%20dispatched%20and%20is%20in%20transit.%20Reply%20if%20undelivered.</v>
      </c>
      <c r="AF177" s="89" t="str">
        <f t="shared" si="35"/>
        <v>Draft email</v>
      </c>
      <c r="AG177" s="64" t="str">
        <f>IF($C177="","",IFERROR(INDEX('Staff Directory'!$K$595:$K$599,MATCH($C177,'Staff Directory'!$B$5:$B$599,0)),$D177))</f>
        <v>RN</v>
      </c>
      <c r="AH177" t="str">
        <f>IF($C177="","",IFERROR(INDEX('Staff Directory'!$I$595:$I$599,MATCH($C177,'Staff Directory'!$B$5:$B$599,0))&amp;" "&amp;INDEX('Staff Directory'!$J$595:$J$599,MATCH($C177,'Staff Directory'!$B$5:$B$599,0)),$AG177))</f>
        <v>RN</v>
      </c>
      <c r="AI177" s="102"/>
      <c r="AJ177" s="101">
        <f>IF($F177="","",SUMIFS($J$5:$J177,$F$5:$F177,$F177))</f>
        <v>12000</v>
      </c>
      <c r="AK177" s="101">
        <f t="shared" si="3"/>
        <v>11501</v>
      </c>
      <c r="AL177" s="66" t="str" cm="1">
        <f t="array" ref="AL177">IF($F177="","",IFERROR(INDEX('Lot Balance'!$B$5:$B$500,MATCH(1,INDEX(('Lot Balance'!$A$5:$A$500=$F177)*('Lot Balance'!$K$5:$K$500&lt;$AK177)*('Lot Balance'!$K$5:$K$500+'Lot Balance'!$D$5:$D$500&gt;=$AK177),0),0)),""))</f>
        <v>ZIM504126040-2</v>
      </c>
      <c r="AM177" s="66" t="str" cm="1">
        <f t="array" ref="AM177">IF($F177="","",IFERROR(INDEX('Lot Balance'!$B$5:$B$500,MATCH(1,INDEX(('Lot Balance'!$A$5:$A$500=$F177)*('Lot Balance'!$K$5:$K$500&lt;$AJ177)*('Lot Balance'!$K$5:$K$500+'Lot Balance'!$D$5:$D$500&gt;=$AJ177),0),0)),""))</f>
        <v>ZIM504126040-2</v>
      </c>
      <c r="AN177" s="66" t="str">
        <f>IF($F177="","",IF($AI177&lt;&gt;"",IF(COUNTIFS('Lot Balance'!$A$5:$A$500,$F177,'Lot Balance'!$B$5:$B$500,$AI177)=0,"⚠ override is not a lot of this item",IF($AI177=$AL177,"Override = FEFO","Override - FEFO says "&amp;$AL177)),IF($AL177="","⚠ no receipt on file for this item",IF($AM177&lt;&gt;$AL177,"FEFO auto - split, also "&amp;$AM177,"FEFO auto"))))</f>
        <v>FEFO auto</v>
      </c>
      <c r="AO177" s="114"/>
    </row>
    <row r="178" spans="1:41" x14ac:dyDescent="0.35">
      <c r="A178" s="74">
        <v>46121</v>
      </c>
      <c r="B178" s="18" t="str">
        <f>IF($C178="","",IFERROR(INDEX('Staff Directory'!$A$5:$A$594,MATCH($C178,'Staff Directory'!$B$5:$B$594,0)),"⚠ unknown staff"))</f>
        <v>RN-025-A1</v>
      </c>
      <c r="C178" s="49" t="s">
        <v>945</v>
      </c>
      <c r="D178" s="19" t="str">
        <f>IF($B178="","",IFERROR(INDEX('Staff Directory'!$C$5:$C$594,MATCH($B178,'Staff Directory'!$A$5:$A$594,0)),""))</f>
        <v>RN</v>
      </c>
      <c r="E178" s="19" t="str">
        <f>IF($B178="","",IFERROR(INDEX('Staff Directory'!$D$5:$D$594,MATCH($B178,'Staff Directory'!$A$5:$A$594,0)),""))</f>
        <v>A1</v>
      </c>
      <c r="F178" s="9" t="s">
        <v>137</v>
      </c>
      <c r="G178" s="18" t="str">
        <f>IF($F178="","",IFERROR(INDEX(Items!$B$5:$B$597,MATCH($F178,Items!$A$5:$A$597,0)),"⚠ not in Items"))</f>
        <v>Sanitizer</v>
      </c>
      <c r="H178" s="19" t="str">
        <f>IF($F178="","",IFERROR(INDEX(Items!$C$5:$C$597,MATCH($F178,Items!$A$5:$A$597,0)),""))</f>
        <v>118 ML</v>
      </c>
      <c r="I178" s="23">
        <f>IF($F178="","",IFERROR(INDEX(Items!$E$5:$E$597,MATCH($F178,Items!$A$5:$A$597,0)),""))</f>
        <v>2</v>
      </c>
      <c r="J178" s="115">
        <f>IF(tblIssues[[#This Row],[Qty Override]]&lt;&gt;"",tblIssues[[#This Row],[Qty Override]],IF(tblIssues[[#This Row],[Standard Issue]]="","",tblIssues[[#This Row],[Standard Issue]]))</f>
        <v>2</v>
      </c>
      <c r="K178" s="20">
        <f>IF($F178="","",IFERROR(INDEX(Items!$D$5:$D$597,MATCH($F178,Items!$A$5:$A$597,0)),""))</f>
        <v>4.49</v>
      </c>
      <c r="L178" s="21">
        <f t="shared" si="28"/>
        <v>8.98</v>
      </c>
      <c r="M178" s="9" t="str">
        <f t="shared" si="29"/>
        <v>563963-5</v>
      </c>
      <c r="N178" s="24">
        <f>IF($A178="","",WORKDAY($A178,Settings!$C$9,HolidayDates))</f>
        <v>46129</v>
      </c>
      <c r="O178" s="24">
        <f>IF($N178="","",WORKDAY($N178,Settings!$C$10,HolidayDates))</f>
        <v>46169</v>
      </c>
      <c r="P178" s="10" t="s">
        <v>502</v>
      </c>
      <c r="Q178" s="52" t="str">
        <f t="shared" si="31"/>
        <v>Collected</v>
      </c>
      <c r="R178" s="55" t="str">
        <f t="shared" si="32"/>
        <v>2026-04</v>
      </c>
      <c r="S178" s="55">
        <f>IF(OR($B178="",$F178="",$R178=""),"",SUMIFS(tblIssues[Qty Issued],tblIssues[Staff ID],$B178,tblIssues[Item Name],$F178,tblIssues[Month],$R178))</f>
        <v>2</v>
      </c>
      <c r="T178" s="56">
        <f>IF($I178="","",$I178*Settings!$C$11)</f>
        <v>2</v>
      </c>
      <c r="U178" s="57" t="str">
        <f t="shared" si="30"/>
        <v>OK</v>
      </c>
      <c r="V178" s="55" t="str">
        <f t="shared" si="33"/>
        <v/>
      </c>
      <c r="W178" s="55" t="str">
        <f>IF($V178="","",IF(COUNTIF($V$5:$V178,$V178)=1,1,""))</f>
        <v/>
      </c>
      <c r="X178" s="58" t="str">
        <f>IF($W178="","",MAX($X$4:X177)+1)</f>
        <v/>
      </c>
      <c r="Y178" s="62"/>
      <c r="Z178" s="62"/>
      <c r="AA178" s="64" t="str">
        <f>IF($C178="","",IFERROR(INDEX('Staff Directory'!$E$5:$E$594,MATCH($C178,'Staff Directory'!$B$5:$B$594,0)),""))</f>
        <v>firstname029.lastname029@example.com</v>
      </c>
      <c r="AB178" s="64" t="str">
        <f>IF($C178="","",IF(ISNUMBER(SEARCH($D178,Settings!$C$15)),"Pickup","Dispatch"))</f>
        <v>Dispatch</v>
      </c>
      <c r="AC178" s="64" t="str">
        <f t="shared" si="34"/>
        <v>Supply order dispatched</v>
      </c>
      <c r="AD178" s="64" t="str">
        <f t="shared" si="26"/>
        <v>Dear RN,
Your order has been dispatched and is in transit. Reply if undelivered.</v>
      </c>
      <c r="AE178" s="64" t="str">
        <f t="shared" si="27"/>
        <v>mailto:firstname029.lastname029@example.com?subject=Supply%20order%20dispatched&amp;body=Dear%20RN%2C%0A%0AYour%20order%20has%20been%20dispatched%20and%20is%20in%20transit.%20Reply%20if%20undelivered.</v>
      </c>
      <c r="AF178" s="89" t="str">
        <f t="shared" si="35"/>
        <v>Draft email</v>
      </c>
      <c r="AG178" s="64" t="str">
        <f>IF($C178="","",IFERROR(INDEX('Staff Directory'!$K$595:$K$599,MATCH($C178,'Staff Directory'!$B$5:$B$599,0)),$D178))</f>
        <v>RN</v>
      </c>
      <c r="AH178" t="str">
        <f>IF($C178="","",IFERROR(INDEX('Staff Directory'!$I$595:$I$599,MATCH($C178,'Staff Directory'!$B$5:$B$599,0))&amp;" "&amp;INDEX('Staff Directory'!$J$595:$J$599,MATCH($C178,'Staff Directory'!$B$5:$B$599,0)),$AG178))</f>
        <v>RN</v>
      </c>
      <c r="AI178" s="102"/>
      <c r="AJ178" s="101">
        <f>IF($F178="","",SUMIFS($J$5:$J178,$F$5:$F178,$F178))</f>
        <v>60</v>
      </c>
      <c r="AK178" s="101">
        <f t="shared" si="3"/>
        <v>59</v>
      </c>
      <c r="AL178" s="66" t="str" cm="1">
        <f t="array" ref="AL178">IF($F178="","",IFERROR(INDEX('Lot Balance'!$B$5:$B$500,MATCH(1,INDEX(('Lot Balance'!$A$5:$A$500=$F178)*('Lot Balance'!$K$5:$K$500&lt;$AK178)*('Lot Balance'!$K$5:$K$500+'Lot Balance'!$D$5:$D$500&gt;=$AK178),0),0)),""))</f>
        <v>563963-5</v>
      </c>
      <c r="AM178" s="66" t="str" cm="1">
        <f t="array" ref="AM178">IF($F178="","",IFERROR(INDEX('Lot Balance'!$B$5:$B$500,MATCH(1,INDEX(('Lot Balance'!$A$5:$A$500=$F178)*('Lot Balance'!$K$5:$K$500&lt;$AJ178)*('Lot Balance'!$K$5:$K$500+'Lot Balance'!$D$5:$D$500&gt;=$AJ178),0),0)),""))</f>
        <v>563963-6</v>
      </c>
      <c r="AN178" s="66" t="str">
        <f>IF($F178="","",IF($AI178&lt;&gt;"",IF(COUNTIFS('Lot Balance'!$A$5:$A$500,$F178,'Lot Balance'!$B$5:$B$500,$AI178)=0,"⚠ override is not a lot of this item",IF($AI178=$AL178,"Override = FEFO","Override - FEFO says "&amp;$AL178)),IF($AL178="","⚠ no receipt on file for this item",IF($AM178&lt;&gt;$AL178,"FEFO auto - split, also "&amp;$AM178,"FEFO auto"))))</f>
        <v>FEFO auto - split, also 563963-6</v>
      </c>
      <c r="AO178" s="114"/>
    </row>
    <row r="179" spans="1:41" x14ac:dyDescent="0.35">
      <c r="A179" s="74">
        <v>46121</v>
      </c>
      <c r="B179" s="18" t="str">
        <f>IF($C179="","",IFERROR(INDEX('Staff Directory'!$A$5:$A$594,MATCH($C179,'Staff Directory'!$B$5:$B$594,0)),"⚠ unknown staff"))</f>
        <v>RN-025-A1</v>
      </c>
      <c r="C179" s="49" t="s">
        <v>945</v>
      </c>
      <c r="D179" s="19" t="str">
        <f>IF($B179="","",IFERROR(INDEX('Staff Directory'!$C$5:$C$594,MATCH($B179,'Staff Directory'!$A$5:$A$594,0)),""))</f>
        <v>RN</v>
      </c>
      <c r="E179" s="19" t="str">
        <f>IF($B179="","",IFERROR(INDEX('Staff Directory'!$D$5:$D$594,MATCH($B179,'Staff Directory'!$A$5:$A$594,0)),""))</f>
        <v>A1</v>
      </c>
      <c r="F179" s="9" t="s">
        <v>1227</v>
      </c>
      <c r="G179" s="18" t="str">
        <f>IF($F179="","",IFERROR(INDEX(Items!$B$5:$B$597,MATCH($F179,Items!$A$5:$A$597,0)),"⚠ not in Items"))</f>
        <v>SO A1 Charts</v>
      </c>
      <c r="H179" s="19" t="str">
        <f>IF($F179="","",IFERROR(INDEX(Items!$C$5:$C$597,MATCH($F179,Items!$A$5:$A$597,0)),""))</f>
        <v>Standard</v>
      </c>
      <c r="I179" s="23">
        <f>IF($F179="","",IFERROR(INDEX(Items!$E$5:$E$597,MATCH($F179,Items!$A$5:$A$597,0)),""))</f>
        <v>20</v>
      </c>
      <c r="J179" s="115">
        <f>IF(tblIssues[[#This Row],[Qty Override]]&lt;&gt;"",tblIssues[[#This Row],[Qty Override]],IF(tblIssues[[#This Row],[Standard Issue]]="","",tblIssues[[#This Row],[Standard Issue]]))</f>
        <v>20</v>
      </c>
      <c r="K179" s="20">
        <f>IF($F179="","",IFERROR(INDEX(Items!$D$5:$D$597,MATCH($F179,Items!$A$5:$A$597,0)),""))</f>
        <v>0</v>
      </c>
      <c r="L179" s="21">
        <f t="shared" si="28"/>
        <v>0</v>
      </c>
      <c r="M179" s="9" t="str">
        <f t="shared" si="29"/>
        <v/>
      </c>
      <c r="N179" s="24">
        <f>IF($A179="","",WORKDAY($A179,Settings!$C$9,HolidayDates))</f>
        <v>46129</v>
      </c>
      <c r="O179" s="24">
        <f>IF($N179="","",WORKDAY($N179,Settings!$C$10,HolidayDates))</f>
        <v>46169</v>
      </c>
      <c r="P179" s="10" t="s">
        <v>502</v>
      </c>
      <c r="Q179" s="52" t="str">
        <f t="shared" si="31"/>
        <v>Collected</v>
      </c>
      <c r="R179" s="55" t="str">
        <f t="shared" si="32"/>
        <v>2026-04</v>
      </c>
      <c r="S179" s="55">
        <f>IF(OR($B179="",$F179="",$R179=""),"",SUMIFS(tblIssues[Qty Issued],tblIssues[Staff ID],$B179,tblIssues[Item Name],$F179,tblIssues[Month],$R179))</f>
        <v>20</v>
      </c>
      <c r="T179" s="56">
        <f>IF($I179="","",$I179*Settings!$C$11)</f>
        <v>20</v>
      </c>
      <c r="U179" s="57" t="str">
        <f t="shared" si="30"/>
        <v>OK</v>
      </c>
      <c r="V179" s="55" t="str">
        <f t="shared" si="33"/>
        <v/>
      </c>
      <c r="W179" s="55" t="str">
        <f>IF($V179="","",IF(COUNTIF($V$5:$V179,$V179)=1,1,""))</f>
        <v/>
      </c>
      <c r="X179" s="58" t="str">
        <f>IF($W179="","",MAX($X$4:X178)+1)</f>
        <v/>
      </c>
      <c r="Y179" s="62"/>
      <c r="Z179" s="62"/>
      <c r="AA179" s="64" t="str">
        <f>IF($C179="","",IFERROR(INDEX('Staff Directory'!$E$5:$E$594,MATCH($C179,'Staff Directory'!$B$5:$B$594,0)),""))</f>
        <v>firstname029.lastname029@example.com</v>
      </c>
      <c r="AB179" s="64" t="str">
        <f>IF($C179="","",IF(ISNUMBER(SEARCH($D179,Settings!$C$15)),"Pickup","Dispatch"))</f>
        <v>Dispatch</v>
      </c>
      <c r="AC179" s="64" t="str">
        <f t="shared" si="34"/>
        <v>Supply order dispatched</v>
      </c>
      <c r="AD179" s="64" t="str">
        <f t="shared" si="26"/>
        <v>Dear RN,
Your order has been dispatched and is in transit. Reply if undelivered.</v>
      </c>
      <c r="AE179" s="64" t="str">
        <f t="shared" si="27"/>
        <v>mailto:firstname029.lastname029@example.com?subject=Supply%20order%20dispatched&amp;body=Dear%20RN%2C%0A%0AYour%20order%20has%20been%20dispatched%20and%20is%20in%20transit.%20Reply%20if%20undelivered.</v>
      </c>
      <c r="AF179" s="89" t="str">
        <f t="shared" si="35"/>
        <v>Draft email</v>
      </c>
      <c r="AG179" s="64" t="str">
        <f>IF($C179="","",IFERROR(INDEX('Staff Directory'!$K$595:$K$599,MATCH($C179,'Staff Directory'!$B$5:$B$599,0)),$D179))</f>
        <v>RN</v>
      </c>
      <c r="AH179" t="str">
        <f>IF($C179="","",IFERROR(INDEX('Staff Directory'!$I$595:$I$599,MATCH($C179,'Staff Directory'!$B$5:$B$599,0))&amp;" "&amp;INDEX('Staff Directory'!$J$595:$J$599,MATCH($C179,'Staff Directory'!$B$5:$B$599,0)),$AG179))</f>
        <v>RN</v>
      </c>
      <c r="AI179" s="102"/>
      <c r="AJ179" s="101">
        <f>IF($F179="","",SUMIFS($J$5:$J179,$F$5:$F179,$F179))</f>
        <v>60</v>
      </c>
      <c r="AK179" s="101">
        <f t="shared" si="3"/>
        <v>41</v>
      </c>
      <c r="AL179" s="66" t="str" cm="1">
        <f t="array" ref="AL179">IF($F179="","",IFERROR(INDEX('Lot Balance'!$B$5:$B$500,MATCH(1,INDEX(('Lot Balance'!$A$5:$A$500=$F179)*('Lot Balance'!$K$5:$K$500&lt;$AK179)*('Lot Balance'!$K$5:$K$500+'Lot Balance'!$D$5:$D$500&gt;=$AK179),0),0)),""))</f>
        <v/>
      </c>
      <c r="AM179" s="66" t="str" cm="1">
        <f t="array" ref="AM179">IF($F179="","",IFERROR(INDEX('Lot Balance'!$B$5:$B$500,MATCH(1,INDEX(('Lot Balance'!$A$5:$A$500=$F179)*('Lot Balance'!$K$5:$K$500&lt;$AJ179)*('Lot Balance'!$K$5:$K$500+'Lot Balance'!$D$5:$D$500&gt;=$AJ179),0),0)),""))</f>
        <v/>
      </c>
      <c r="AN179" s="66" t="str">
        <f>IF($F179="","",IF($AI179&lt;&gt;"",IF(COUNTIFS('Lot Balance'!$A$5:$A$500,$F179,'Lot Balance'!$B$5:$B$500,$AI179)=0,"⚠ override is not a lot of this item",IF($AI179=$AL179,"Override = FEFO","Override - FEFO says "&amp;$AL179)),IF($AL179="","⚠ no receipt on file for this item",IF($AM179&lt;&gt;$AL179,"FEFO auto - split, also "&amp;$AM179,"FEFO auto"))))</f>
        <v>⚠ no receipt on file for this item</v>
      </c>
      <c r="AO179" s="114"/>
    </row>
    <row r="180" spans="1:41" x14ac:dyDescent="0.35">
      <c r="A180" s="74">
        <v>46121</v>
      </c>
      <c r="B180" s="18" t="str">
        <f>IF($C180="","",IFERROR(INDEX('Staff Directory'!$A$5:$A$594,MATCH($C180,'Staff Directory'!$B$5:$B$594,0)),"⚠ unknown staff"))</f>
        <v>RN-025-A1</v>
      </c>
      <c r="C180" s="49" t="s">
        <v>945</v>
      </c>
      <c r="D180" s="19" t="str">
        <f>IF($B180="","",IFERROR(INDEX('Staff Directory'!$C$5:$C$594,MATCH($B180,'Staff Directory'!$A$5:$A$594,0)),""))</f>
        <v>RN</v>
      </c>
      <c r="E180" s="19" t="str">
        <f>IF($B180="","",IFERROR(INDEX('Staff Directory'!$D$5:$D$594,MATCH($B180,'Staff Directory'!$A$5:$A$594,0)),""))</f>
        <v>A1</v>
      </c>
      <c r="F180" s="9" t="s">
        <v>162</v>
      </c>
      <c r="G180" s="18" t="str">
        <f>IF($F180="","",IFERROR(INDEX(Items!$B$5:$B$597,MATCH($F180,Items!$A$5:$A$597,0)),"⚠ not in Items"))</f>
        <v>Documents</v>
      </c>
      <c r="H180" s="19" t="str">
        <f>IF($F180="","",IFERROR(INDEX(Items!$C$5:$C$597,MATCH($F180,Items!$A$5:$A$597,0)),""))</f>
        <v>Standard</v>
      </c>
      <c r="I180" s="23">
        <f>IF($F180="","",IFERROR(INDEX(Items!$E$5:$E$597,MATCH($F180,Items!$A$5:$A$597,0)),""))</f>
        <v>20</v>
      </c>
      <c r="J180" s="115">
        <f>IF(tblIssues[[#This Row],[Qty Override]]&lt;&gt;"",tblIssues[[#This Row],[Qty Override]],IF(tblIssues[[#This Row],[Standard Issue]]="","",tblIssues[[#This Row],[Standard Issue]]))</f>
        <v>20</v>
      </c>
      <c r="K180" s="20">
        <f>IF($F180="","",IFERROR(INDEX(Items!$D$5:$D$597,MATCH($F180,Items!$A$5:$A$597,0)),""))</f>
        <v>0</v>
      </c>
      <c r="L180" s="21">
        <f t="shared" si="28"/>
        <v>0</v>
      </c>
      <c r="M180" s="9" t="str">
        <f t="shared" si="29"/>
        <v/>
      </c>
      <c r="N180" s="24">
        <f>IF($A180="","",WORKDAY($A180,Settings!$C$9,HolidayDates))</f>
        <v>46129</v>
      </c>
      <c r="O180" s="24">
        <f>IF($N180="","",WORKDAY($N180,Settings!$C$10,HolidayDates))</f>
        <v>46169</v>
      </c>
      <c r="P180" s="10" t="s">
        <v>502</v>
      </c>
      <c r="Q180" s="52" t="str">
        <f t="shared" si="31"/>
        <v>Collected</v>
      </c>
      <c r="R180" s="55" t="str">
        <f t="shared" si="32"/>
        <v>2026-04</v>
      </c>
      <c r="S180" s="55">
        <f>IF(OR($B180="",$F180="",$R180=""),"",SUMIFS(tblIssues[Qty Issued],tblIssues[Staff ID],$B180,tblIssues[Item Name],$F180,tblIssues[Month],$R180))</f>
        <v>20</v>
      </c>
      <c r="T180" s="56">
        <f>IF($I180="","",$I180*Settings!$C$11)</f>
        <v>20</v>
      </c>
      <c r="U180" s="57" t="str">
        <f t="shared" si="30"/>
        <v>OK</v>
      </c>
      <c r="V180" s="55" t="str">
        <f t="shared" si="33"/>
        <v/>
      </c>
      <c r="W180" s="55" t="str">
        <f>IF($V180="","",IF(COUNTIF($V$5:$V180,$V180)=1,1,""))</f>
        <v/>
      </c>
      <c r="X180" s="58" t="str">
        <f>IF($W180="","",MAX($X$4:X179)+1)</f>
        <v/>
      </c>
      <c r="Y180" s="62"/>
      <c r="Z180" s="62"/>
      <c r="AA180" s="64" t="str">
        <f>IF($C180="","",IFERROR(INDEX('Staff Directory'!$E$5:$E$594,MATCH($C180,'Staff Directory'!$B$5:$B$594,0)),""))</f>
        <v>firstname029.lastname029@example.com</v>
      </c>
      <c r="AB180" s="64" t="str">
        <f>IF($C180="","",IF(ISNUMBER(SEARCH($D180,Settings!$C$15)),"Pickup","Dispatch"))</f>
        <v>Dispatch</v>
      </c>
      <c r="AC180" s="64" t="str">
        <f t="shared" si="34"/>
        <v>Supply order dispatched</v>
      </c>
      <c r="AD180" s="64" t="str">
        <f t="shared" si="26"/>
        <v>Dear RN,
Your order has been dispatched and is in transit. Reply if undelivered.</v>
      </c>
      <c r="AE180" s="64" t="str">
        <f t="shared" si="27"/>
        <v>mailto:firstname029.lastname029@example.com?subject=Supply%20order%20dispatched&amp;body=Dear%20RN%2C%0A%0AYour%20order%20has%20been%20dispatched%20and%20is%20in%20transit.%20Reply%20if%20undelivered.</v>
      </c>
      <c r="AF180" s="89" t="str">
        <f t="shared" si="35"/>
        <v>Draft email</v>
      </c>
      <c r="AG180" s="64" t="str">
        <f>IF($C180="","",IFERROR(INDEX('Staff Directory'!$K$595:$K$599,MATCH($C180,'Staff Directory'!$B$5:$B$599,0)),$D180))</f>
        <v>RN</v>
      </c>
      <c r="AH180" t="str">
        <f>IF($C180="","",IFERROR(INDEX('Staff Directory'!$I$595:$I$599,MATCH($C180,'Staff Directory'!$B$5:$B$599,0))&amp;" "&amp;INDEX('Staff Directory'!$J$595:$J$599,MATCH($C180,'Staff Directory'!$B$5:$B$599,0)),$AG180))</f>
        <v>RN</v>
      </c>
      <c r="AI180" s="102"/>
      <c r="AJ180" s="101">
        <f>IF($F180="","",SUMIFS($J$5:$J180,$F$5:$F180,$F180))</f>
        <v>20</v>
      </c>
      <c r="AK180" s="101">
        <f t="shared" si="3"/>
        <v>1</v>
      </c>
      <c r="AL180" s="66" t="str" cm="1">
        <f t="array" ref="AL180">IF($F180="","",IFERROR(INDEX('Lot Balance'!$B$5:$B$500,MATCH(1,INDEX(('Lot Balance'!$A$5:$A$500=$F180)*('Lot Balance'!$K$5:$K$500&lt;$AK180)*('Lot Balance'!$K$5:$K$500+'Lot Balance'!$D$5:$D$500&gt;=$AK180),0),0)),""))</f>
        <v/>
      </c>
      <c r="AM180" s="66" t="str" cm="1">
        <f t="array" ref="AM180">IF($F180="","",IFERROR(INDEX('Lot Balance'!$B$5:$B$500,MATCH(1,INDEX(('Lot Balance'!$A$5:$A$500=$F180)*('Lot Balance'!$K$5:$K$500&lt;$AJ180)*('Lot Balance'!$K$5:$K$500+'Lot Balance'!$D$5:$D$500&gt;=$AJ180),0),0)),""))</f>
        <v/>
      </c>
      <c r="AN180" s="66" t="str">
        <f>IF($F180="","",IF($AI180&lt;&gt;"",IF(COUNTIFS('Lot Balance'!$A$5:$A$500,$F180,'Lot Balance'!$B$5:$B$500,$AI180)=0,"⚠ override is not a lot of this item",IF($AI180=$AL180,"Override = FEFO","Override - FEFO says "&amp;$AL180)),IF($AL180="","⚠ no receipt on file for this item",IF($AM180&lt;&gt;$AL180,"FEFO auto - split, also "&amp;$AM180,"FEFO auto"))))</f>
        <v>⚠ no receipt on file for this item</v>
      </c>
      <c r="AO180" s="114"/>
    </row>
    <row r="181" spans="1:41" x14ac:dyDescent="0.35">
      <c r="A181" s="74">
        <v>46126</v>
      </c>
      <c r="B181" s="18" t="str">
        <f>IF($C181="","",IFERROR(INDEX('Staff Directory'!$A$5:$A$594,MATCH($C181,'Staff Directory'!$B$5:$B$594,0)),"⚠ unknown staff"))</f>
        <v>PSW-055-A4</v>
      </c>
      <c r="C181" s="49" t="s">
        <v>1031</v>
      </c>
      <c r="D181" s="19" t="str">
        <f>IF($B181="","",IFERROR(INDEX('Staff Directory'!$C$5:$C$594,MATCH($B181,'Staff Directory'!$A$5:$A$594,0)),""))</f>
        <v>PSW</v>
      </c>
      <c r="E181" s="19" t="str">
        <f>IF($B181="","",IFERROR(INDEX('Staff Directory'!$D$5:$D$594,MATCH($B181,'Staff Directory'!$A$5:$A$594,0)),""))</f>
        <v>A4</v>
      </c>
      <c r="F181" s="9" t="s">
        <v>124</v>
      </c>
      <c r="G181" s="18" t="str">
        <f>IF($F181="","",IFERROR(INDEX(Items!$B$5:$B$597,MATCH($F181,Items!$A$5:$A$597,0)),"⚠ not in Items"))</f>
        <v>Gloves</v>
      </c>
      <c r="H181" s="19" t="str">
        <f>IF($F181="","",IFERROR(INDEX(Items!$C$5:$C$597,MATCH($F181,Items!$A$5:$A$597,0)),""))</f>
        <v>Large</v>
      </c>
      <c r="I181" s="23">
        <f>IF($F181="","",IFERROR(INDEX(Items!$E$5:$E$597,MATCH($F181,Items!$A$5:$A$597,0)),""))</f>
        <v>500</v>
      </c>
      <c r="J181" s="115">
        <f>IF(tblIssues[[#This Row],[Qty Override]]&lt;&gt;"",tblIssues[[#This Row],[Qty Override]],IF(tblIssues[[#This Row],[Standard Issue]]="","",tblIssues[[#This Row],[Standard Issue]]))</f>
        <v>500</v>
      </c>
      <c r="K181" s="20">
        <f>IF($F181="","",IFERROR(INDEX(Items!$D$5:$D$597,MATCH($F181,Items!$A$5:$A$597,0)),""))</f>
        <v>5.5E-2</v>
      </c>
      <c r="L181" s="21">
        <f t="shared" si="28"/>
        <v>27.5</v>
      </c>
      <c r="M181" s="9" t="str">
        <f t="shared" si="29"/>
        <v>ZIM510135932</v>
      </c>
      <c r="N181" s="24">
        <f>IF($A181="","",WORKDAY($A181,Settings!$C$9,HolidayDates))</f>
        <v>46134</v>
      </c>
      <c r="O181" s="24">
        <f>IF($N181="","",WORKDAY($N181,Settings!$C$10,HolidayDates))</f>
        <v>46174</v>
      </c>
      <c r="P181" s="10" t="s">
        <v>501</v>
      </c>
      <c r="Q181" s="52" t="str">
        <f t="shared" si="31"/>
        <v>Collected</v>
      </c>
      <c r="R181" s="55" t="str">
        <f t="shared" si="32"/>
        <v>2026-04</v>
      </c>
      <c r="S181" s="55">
        <f>IF(OR($B181="",$F181="",$R181=""),"",SUMIFS(tblIssues[Qty Issued],tblIssues[Staff ID],$B181,tblIssues[Item Name],$F181,tblIssues[Month],$R181))</f>
        <v>500</v>
      </c>
      <c r="T181" s="56">
        <f>IF($I181="","",$I181*Settings!$C$11)</f>
        <v>500</v>
      </c>
      <c r="U181" s="57" t="str">
        <f t="shared" si="30"/>
        <v>OK</v>
      </c>
      <c r="V181" s="55" t="str">
        <f t="shared" si="33"/>
        <v/>
      </c>
      <c r="W181" s="55" t="str">
        <f>IF($V181="","",IF(COUNTIF($V$5:$V181,$V181)=1,1,""))</f>
        <v/>
      </c>
      <c r="X181" s="58" t="str">
        <f>IF($W181="","",MAX($X$4:X180)+1)</f>
        <v/>
      </c>
      <c r="Y181" s="62"/>
      <c r="Z181" s="62"/>
      <c r="AA181" s="64" t="str">
        <f>IF($C181="","",IFERROR(INDEX('Staff Directory'!$E$5:$E$594,MATCH($C181,'Staff Directory'!$B$5:$B$594,0)),""))</f>
        <v>firstname115.lastname115@example.com</v>
      </c>
      <c r="AB181" s="64" t="str">
        <f>IF($C181="","",IF(ISNUMBER(SEARCH($D181,Settings!$C$15)),"Pickup","Dispatch"))</f>
        <v>Pickup</v>
      </c>
      <c r="AC181" s="64" t="str">
        <f t="shared" si="34"/>
        <v>Supply order ready for pickup</v>
      </c>
      <c r="AD181" s="64" t="str">
        <f t="shared" si="26"/>
        <v>Dear PSW,
Your order is ready for pickup from Sample Branch, Wed-Fri 9am-4pm.</v>
      </c>
      <c r="AE181" s="64" t="str">
        <f t="shared" si="27"/>
        <v>mailto:firstname115.lastname115@example.com?subject=Supply%20order%20ready%20for%20pickup&amp;body=Dear%20PSW%2C%0A%0AYour%20order%20is%20ready%20for%20pickup%20from%20Sample%20Branch%2C%20Wed-Fri%209am-4pm.</v>
      </c>
      <c r="AF181" s="89" t="str">
        <f t="shared" si="35"/>
        <v>Draft email</v>
      </c>
      <c r="AG181" s="64" t="str">
        <f>IF($C181="","",IFERROR(INDEX('Staff Directory'!$K$595:$K$599,MATCH($C181,'Staff Directory'!$B$5:$B$599,0)),$D181))</f>
        <v>PSW</v>
      </c>
      <c r="AH181" t="str">
        <f>IF($C181="","",IFERROR(INDEX('Staff Directory'!$I$595:$I$599,MATCH($C181,'Staff Directory'!$B$5:$B$599,0))&amp;" "&amp;INDEX('Staff Directory'!$J$595:$J$599,MATCH($C181,'Staff Directory'!$B$5:$B$599,0)),$AG181))</f>
        <v>PSW</v>
      </c>
      <c r="AI181" s="102"/>
      <c r="AJ181" s="101">
        <f>IF($F181="","",SUMIFS($J$5:$J181,$F$5:$F181,$F181))</f>
        <v>4000</v>
      </c>
      <c r="AK181" s="101">
        <f t="shared" si="3"/>
        <v>3501</v>
      </c>
      <c r="AL181" s="66" t="str" cm="1">
        <f t="array" ref="AL181">IF($F181="","",IFERROR(INDEX('Lot Balance'!$B$5:$B$500,MATCH(1,INDEX(('Lot Balance'!$A$5:$A$500=$F181)*('Lot Balance'!$K$5:$K$500&lt;$AK181)*('Lot Balance'!$K$5:$K$500+'Lot Balance'!$D$5:$D$500&gt;=$AK181),0),0)),""))</f>
        <v>ZIM510135932</v>
      </c>
      <c r="AM181" s="66" t="str" cm="1">
        <f t="array" ref="AM181">IF($F181="","",IFERROR(INDEX('Lot Balance'!$B$5:$B$500,MATCH(1,INDEX(('Lot Balance'!$A$5:$A$500=$F181)*('Lot Balance'!$K$5:$K$500&lt;$AJ181)*('Lot Balance'!$K$5:$K$500+'Lot Balance'!$D$5:$D$500&gt;=$AJ181),0),0)),""))</f>
        <v>ZIM510135932</v>
      </c>
      <c r="AN181" s="66" t="str">
        <f>IF($F181="","",IF($AI181&lt;&gt;"",IF(COUNTIFS('Lot Balance'!$A$5:$A$500,$F181,'Lot Balance'!$B$5:$B$500,$AI181)=0,"⚠ override is not a lot of this item",IF($AI181=$AL181,"Override = FEFO","Override - FEFO says "&amp;$AL181)),IF($AL181="","⚠ no receipt on file for this item",IF($AM181&lt;&gt;$AL181,"FEFO auto - split, also "&amp;$AM181,"FEFO auto"))))</f>
        <v>FEFO auto</v>
      </c>
      <c r="AO181" s="114"/>
    </row>
    <row r="182" spans="1:41" x14ac:dyDescent="0.35">
      <c r="A182" s="74">
        <v>46126</v>
      </c>
      <c r="B182" s="18" t="str">
        <f>IF($C182="","",IFERROR(INDEX('Staff Directory'!$A$5:$A$594,MATCH($C182,'Staff Directory'!$B$5:$B$594,0)),"⚠ unknown staff"))</f>
        <v>PSW-055-A4</v>
      </c>
      <c r="C182" s="49" t="s">
        <v>1031</v>
      </c>
      <c r="D182" s="19" t="str">
        <f>IF($B182="","",IFERROR(INDEX('Staff Directory'!$C$5:$C$594,MATCH($B182,'Staff Directory'!$A$5:$A$594,0)),""))</f>
        <v>PSW</v>
      </c>
      <c r="E182" s="19" t="str">
        <f>IF($B182="","",IFERROR(INDEX('Staff Directory'!$D$5:$D$594,MATCH($B182,'Staff Directory'!$A$5:$A$594,0)),""))</f>
        <v>A4</v>
      </c>
      <c r="F182" s="9" t="s">
        <v>137</v>
      </c>
      <c r="G182" s="18" t="str">
        <f>IF($F182="","",IFERROR(INDEX(Items!$B$5:$B$597,MATCH($F182,Items!$A$5:$A$597,0)),"⚠ not in Items"))</f>
        <v>Sanitizer</v>
      </c>
      <c r="H182" s="19" t="str">
        <f>IF($F182="","",IFERROR(INDEX(Items!$C$5:$C$597,MATCH($F182,Items!$A$5:$A$597,0)),""))</f>
        <v>118 ML</v>
      </c>
      <c r="I182" s="23">
        <f>IF($F182="","",IFERROR(INDEX(Items!$E$5:$E$597,MATCH($F182,Items!$A$5:$A$597,0)),""))</f>
        <v>2</v>
      </c>
      <c r="J182" s="115">
        <f>IF(tblIssues[[#This Row],[Qty Override]]&lt;&gt;"",tblIssues[[#This Row],[Qty Override]],IF(tblIssues[[#This Row],[Standard Issue]]="","",tblIssues[[#This Row],[Standard Issue]]))</f>
        <v>2</v>
      </c>
      <c r="K182" s="20">
        <f>IF($F182="","",IFERROR(INDEX(Items!$D$5:$D$597,MATCH($F182,Items!$A$5:$A$597,0)),""))</f>
        <v>4.49</v>
      </c>
      <c r="L182" s="21">
        <f t="shared" si="28"/>
        <v>8.98</v>
      </c>
      <c r="M182" s="9" t="str">
        <f t="shared" si="29"/>
        <v>563963-6</v>
      </c>
      <c r="N182" s="24">
        <f>IF($A182="","",WORKDAY($A182,Settings!$C$9,HolidayDates))</f>
        <v>46134</v>
      </c>
      <c r="O182" s="24">
        <f>IF($N182="","",WORKDAY($N182,Settings!$C$10,HolidayDates))</f>
        <v>46174</v>
      </c>
      <c r="P182" s="10" t="s">
        <v>501</v>
      </c>
      <c r="Q182" s="52" t="str">
        <f t="shared" si="31"/>
        <v>Collected</v>
      </c>
      <c r="R182" s="55" t="str">
        <f t="shared" si="32"/>
        <v>2026-04</v>
      </c>
      <c r="S182" s="55">
        <f>IF(OR($B182="",$F182="",$R182=""),"",SUMIFS(tblIssues[Qty Issued],tblIssues[Staff ID],$B182,tblIssues[Item Name],$F182,tblIssues[Month],$R182))</f>
        <v>2</v>
      </c>
      <c r="T182" s="56">
        <f>IF($I182="","",$I182*Settings!$C$11)</f>
        <v>2</v>
      </c>
      <c r="U182" s="57" t="str">
        <f t="shared" si="30"/>
        <v>OK</v>
      </c>
      <c r="V182" s="55" t="str">
        <f t="shared" si="33"/>
        <v/>
      </c>
      <c r="W182" s="55" t="str">
        <f>IF($V182="","",IF(COUNTIF($V$5:$V182,$V182)=1,1,""))</f>
        <v/>
      </c>
      <c r="X182" s="58" t="str">
        <f>IF($W182="","",MAX($X$4:X181)+1)</f>
        <v/>
      </c>
      <c r="Y182" s="62"/>
      <c r="Z182" s="62"/>
      <c r="AA182" s="64" t="str">
        <f>IF($C182="","",IFERROR(INDEX('Staff Directory'!$E$5:$E$594,MATCH($C182,'Staff Directory'!$B$5:$B$594,0)),""))</f>
        <v>firstname115.lastname115@example.com</v>
      </c>
      <c r="AB182" s="64" t="str">
        <f>IF($C182="","",IF(ISNUMBER(SEARCH($D182,Settings!$C$15)),"Pickup","Dispatch"))</f>
        <v>Pickup</v>
      </c>
      <c r="AC182" s="64" t="str">
        <f t="shared" si="34"/>
        <v>Supply order ready for pickup</v>
      </c>
      <c r="AD182" s="64" t="str">
        <f t="shared" si="26"/>
        <v>Dear PSW,
Your order is ready for pickup from Sample Branch, Wed-Fri 9am-4pm.</v>
      </c>
      <c r="AE182" s="64" t="str">
        <f t="shared" si="27"/>
        <v>mailto:firstname115.lastname115@example.com?subject=Supply%20order%20ready%20for%20pickup&amp;body=Dear%20PSW%2C%0A%0AYour%20order%20is%20ready%20for%20pickup%20from%20Sample%20Branch%2C%20Wed-Fri%209am-4pm.</v>
      </c>
      <c r="AF182" s="89" t="str">
        <f t="shared" si="35"/>
        <v>Draft email</v>
      </c>
      <c r="AG182" s="64" t="str">
        <f>IF($C182="","",IFERROR(INDEX('Staff Directory'!$K$595:$K$599,MATCH($C182,'Staff Directory'!$B$5:$B$599,0)),$D182))</f>
        <v>PSW</v>
      </c>
      <c r="AH182" t="str">
        <f>IF($C182="","",IFERROR(INDEX('Staff Directory'!$I$595:$I$599,MATCH($C182,'Staff Directory'!$B$5:$B$599,0))&amp;" "&amp;INDEX('Staff Directory'!$J$595:$J$599,MATCH($C182,'Staff Directory'!$B$5:$B$599,0)),$AG182))</f>
        <v>PSW</v>
      </c>
      <c r="AI182" s="102"/>
      <c r="AJ182" s="101">
        <f>IF($F182="","",SUMIFS($J$5:$J182,$F$5:$F182,$F182))</f>
        <v>62</v>
      </c>
      <c r="AK182" s="101">
        <f t="shared" si="3"/>
        <v>61</v>
      </c>
      <c r="AL182" s="66" t="str" cm="1">
        <f t="array" ref="AL182">IF($F182="","",IFERROR(INDEX('Lot Balance'!$B$5:$B$500,MATCH(1,INDEX(('Lot Balance'!$A$5:$A$500=$F182)*('Lot Balance'!$K$5:$K$500&lt;$AK182)*('Lot Balance'!$K$5:$K$500+'Lot Balance'!$D$5:$D$500&gt;=$AK182),0),0)),""))</f>
        <v>563963-6</v>
      </c>
      <c r="AM182" s="66" t="str" cm="1">
        <f t="array" ref="AM182">IF($F182="","",IFERROR(INDEX('Lot Balance'!$B$5:$B$500,MATCH(1,INDEX(('Lot Balance'!$A$5:$A$500=$F182)*('Lot Balance'!$K$5:$K$500&lt;$AJ182)*('Lot Balance'!$K$5:$K$500+'Lot Balance'!$D$5:$D$500&gt;=$AJ182),0),0)),""))</f>
        <v>563963-6</v>
      </c>
      <c r="AN182" s="66" t="str">
        <f>IF($F182="","",IF($AI182&lt;&gt;"",IF(COUNTIFS('Lot Balance'!$A$5:$A$500,$F182,'Lot Balance'!$B$5:$B$500,$AI182)=0,"⚠ override is not a lot of this item",IF($AI182=$AL182,"Override = FEFO","Override - FEFO says "&amp;$AL182)),IF($AL182="","⚠ no receipt on file for this item",IF($AM182&lt;&gt;$AL182,"FEFO auto - split, also "&amp;$AM182,"FEFO auto"))))</f>
        <v>FEFO auto</v>
      </c>
      <c r="AO182" s="114"/>
    </row>
    <row r="183" spans="1:41" x14ac:dyDescent="0.35">
      <c r="A183" s="74">
        <v>46126</v>
      </c>
      <c r="B183" s="18" t="str">
        <f>IF($C183="","",IFERROR(INDEX('Staff Directory'!$A$5:$A$594,MATCH($C183,'Staff Directory'!$B$5:$B$594,0)),"⚠ unknown staff"))</f>
        <v>PSW-055-A4</v>
      </c>
      <c r="C183" s="49" t="s">
        <v>1031</v>
      </c>
      <c r="D183" s="19" t="str">
        <f>IF($B183="","",IFERROR(INDEX('Staff Directory'!$C$5:$C$594,MATCH($B183,'Staff Directory'!$A$5:$A$594,0)),""))</f>
        <v>PSW</v>
      </c>
      <c r="E183" s="19" t="str">
        <f>IF($B183="","",IFERROR(INDEX('Staff Directory'!$D$5:$D$594,MATCH($B183,'Staff Directory'!$A$5:$A$594,0)),""))</f>
        <v>A4</v>
      </c>
      <c r="F183" s="9" t="s">
        <v>115</v>
      </c>
      <c r="G183" s="18" t="str">
        <f>IF($F183="","",IFERROR(INDEX(Items!$B$5:$B$597,MATCH($F183,Items!$A$5:$A$597,0)),"⚠ not in Items"))</f>
        <v>Wipes</v>
      </c>
      <c r="H183" s="19">
        <f>IF($F183="","",IFERROR(INDEX(Items!$C$5:$C$597,MATCH($F183,Items!$A$5:$A$597,0)),""))</f>
        <v>80</v>
      </c>
      <c r="I183" s="23">
        <f>IF($F183="","",IFERROR(INDEX(Items!$E$5:$E$597,MATCH($F183,Items!$A$5:$A$597,0)),""))</f>
        <v>80</v>
      </c>
      <c r="J183" s="115">
        <f>IF(tblIssues[[#This Row],[Qty Override]]&lt;&gt;"",tblIssues[[#This Row],[Qty Override]],IF(tblIssues[[#This Row],[Standard Issue]]="","",tblIssues[[#This Row],[Standard Issue]]))</f>
        <v>80</v>
      </c>
      <c r="K183" s="20">
        <f>IF($F183="","",IFERROR(INDEX(Items!$D$5:$D$597,MATCH($F183,Items!$A$5:$A$597,0)),""))</f>
        <v>0.1</v>
      </c>
      <c r="L183" s="21">
        <f t="shared" si="28"/>
        <v>8</v>
      </c>
      <c r="M183" s="9" t="str">
        <f t="shared" si="29"/>
        <v>LYSL500290</v>
      </c>
      <c r="N183" s="24">
        <f>IF($A183="","",WORKDAY($A183,Settings!$C$9,HolidayDates))</f>
        <v>46134</v>
      </c>
      <c r="O183" s="24">
        <f>IF($N183="","",WORKDAY($N183,Settings!$C$10,HolidayDates))</f>
        <v>46174</v>
      </c>
      <c r="P183" s="10" t="s">
        <v>501</v>
      </c>
      <c r="Q183" s="52" t="str">
        <f t="shared" si="31"/>
        <v>Collected</v>
      </c>
      <c r="R183" s="55" t="str">
        <f t="shared" si="32"/>
        <v>2026-04</v>
      </c>
      <c r="S183" s="55">
        <f>IF(OR($B183="",$F183="",$R183=""),"",SUMIFS(tblIssues[Qty Issued],tblIssues[Staff ID],$B183,tblIssues[Item Name],$F183,tblIssues[Month],$R183))</f>
        <v>80</v>
      </c>
      <c r="T183" s="56">
        <f>IF($I183="","",$I183*Settings!$C$11)</f>
        <v>80</v>
      </c>
      <c r="U183" s="57" t="str">
        <f t="shared" si="30"/>
        <v>OK</v>
      </c>
      <c r="V183" s="55" t="str">
        <f t="shared" si="33"/>
        <v/>
      </c>
      <c r="W183" s="55" t="str">
        <f>IF($V183="","",IF(COUNTIF($V$5:$V183,$V183)=1,1,""))</f>
        <v/>
      </c>
      <c r="X183" s="58" t="str">
        <f>IF($W183="","",MAX($X$4:X182)+1)</f>
        <v/>
      </c>
      <c r="Y183" s="62"/>
      <c r="Z183" s="62"/>
      <c r="AA183" s="64" t="str">
        <f>IF($C183="","",IFERROR(INDEX('Staff Directory'!$E$5:$E$594,MATCH($C183,'Staff Directory'!$B$5:$B$594,0)),""))</f>
        <v>firstname115.lastname115@example.com</v>
      </c>
      <c r="AB183" s="64" t="str">
        <f>IF($C183="","",IF(ISNUMBER(SEARCH($D183,Settings!$C$15)),"Pickup","Dispatch"))</f>
        <v>Pickup</v>
      </c>
      <c r="AC183" s="64" t="str">
        <f t="shared" si="34"/>
        <v>Supply order ready for pickup</v>
      </c>
      <c r="AD183" s="64" t="str">
        <f t="shared" si="26"/>
        <v>Dear PSW,
Your order is ready for pickup from Sample Branch, Wed-Fri 9am-4pm.</v>
      </c>
      <c r="AE183" s="64" t="str">
        <f t="shared" si="27"/>
        <v>mailto:firstname115.lastname115@example.com?subject=Supply%20order%20ready%20for%20pickup&amp;body=Dear%20PSW%2C%0A%0AYour%20order%20is%20ready%20for%20pickup%20from%20Sample%20Branch%2C%20Wed-Fri%209am-4pm.</v>
      </c>
      <c r="AF183" s="89" t="str">
        <f t="shared" si="35"/>
        <v>Draft email</v>
      </c>
      <c r="AG183" s="64" t="str">
        <f>IF($C183="","",IFERROR(INDEX('Staff Directory'!$K$595:$K$599,MATCH($C183,'Staff Directory'!$B$5:$B$599,0)),$D183))</f>
        <v>PSW</v>
      </c>
      <c r="AH183" t="str">
        <f>IF($C183="","",IFERROR(INDEX('Staff Directory'!$I$595:$I$599,MATCH($C183,'Staff Directory'!$B$5:$B$599,0))&amp;" "&amp;INDEX('Staff Directory'!$J$595:$J$599,MATCH($C183,'Staff Directory'!$B$5:$B$599,0)),$AG183))</f>
        <v>PSW</v>
      </c>
      <c r="AI183" s="102"/>
      <c r="AJ183" s="101">
        <f>IF($F183="","",SUMIFS($J$5:$J183,$F$5:$F183,$F183))</f>
        <v>2720</v>
      </c>
      <c r="AK183" s="101">
        <f t="shared" si="3"/>
        <v>2641</v>
      </c>
      <c r="AL183" s="66" t="str" cm="1">
        <f t="array" ref="AL183">IF($F183="","",IFERROR(INDEX('Lot Balance'!$B$5:$B$500,MATCH(1,INDEX(('Lot Balance'!$A$5:$A$500=$F183)*('Lot Balance'!$K$5:$K$500&lt;$AK183)*('Lot Balance'!$K$5:$K$500+'Lot Balance'!$D$5:$D$500&gt;=$AK183),0),0)),""))</f>
        <v>LYSL500290</v>
      </c>
      <c r="AM183" s="66" t="str" cm="1">
        <f t="array" ref="AM183">IF($F183="","",IFERROR(INDEX('Lot Balance'!$B$5:$B$500,MATCH(1,INDEX(('Lot Balance'!$A$5:$A$500=$F183)*('Lot Balance'!$K$5:$K$500&lt;$AJ183)*('Lot Balance'!$K$5:$K$500+'Lot Balance'!$D$5:$D$500&gt;=$AJ183),0),0)),""))</f>
        <v>LYSL500290</v>
      </c>
      <c r="AN183" s="66" t="str">
        <f>IF($F183="","",IF($AI183&lt;&gt;"",IF(COUNTIFS('Lot Balance'!$A$5:$A$500,$F183,'Lot Balance'!$B$5:$B$500,$AI183)=0,"⚠ override is not a lot of this item",IF($AI183=$AL183,"Override = FEFO","Override - FEFO says "&amp;$AL183)),IF($AL183="","⚠ no receipt on file for this item",IF($AM183&lt;&gt;$AL183,"FEFO auto - split, also "&amp;$AM183,"FEFO auto"))))</f>
        <v>FEFO auto</v>
      </c>
      <c r="AO183" s="114"/>
    </row>
    <row r="184" spans="1:41" x14ac:dyDescent="0.35">
      <c r="A184" s="74">
        <v>46126</v>
      </c>
      <c r="B184" s="18" t="str">
        <f>IF($C184="","",IFERROR(INDEX('Staff Directory'!$A$5:$A$594,MATCH($C184,'Staff Directory'!$B$5:$B$594,0)),"⚠ unknown staff"))</f>
        <v>PSW-055-A4</v>
      </c>
      <c r="C184" s="49" t="s">
        <v>1031</v>
      </c>
      <c r="D184" s="19" t="str">
        <f>IF($B184="","",IFERROR(INDEX('Staff Directory'!$C$5:$C$594,MATCH($B184,'Staff Directory'!$A$5:$A$594,0)),""))</f>
        <v>PSW</v>
      </c>
      <c r="E184" s="19" t="str">
        <f>IF($B184="","",IFERROR(INDEX('Staff Directory'!$D$5:$D$594,MATCH($B184,'Staff Directory'!$A$5:$A$594,0)),""))</f>
        <v>A4</v>
      </c>
      <c r="F184" s="9" t="s">
        <v>156</v>
      </c>
      <c r="G184" s="18" t="str">
        <f>IF($F184="","",IFERROR(INDEX(Items!$B$5:$B$597,MATCH($F184,Items!$A$5:$A$597,0)),"⚠ not in Items"))</f>
        <v>Masks</v>
      </c>
      <c r="H184" s="19" t="str">
        <f>IF($F184="","",IFERROR(INDEX(Items!$C$5:$C$597,MATCH($F184,Items!$A$5:$A$597,0)),""))</f>
        <v>One Size</v>
      </c>
      <c r="I184" s="23">
        <f>IF($F184="","",IFERROR(INDEX(Items!$E$5:$E$597,MATCH($F184,Items!$A$5:$A$597,0)),""))</f>
        <v>50</v>
      </c>
      <c r="J184" s="115">
        <f>IF(tblIssues[[#This Row],[Qty Override]]&lt;&gt;"",tblIssues[[#This Row],[Qty Override]],IF(tblIssues[[#This Row],[Standard Issue]]="","",tblIssues[[#This Row],[Standard Issue]]))</f>
        <v>50</v>
      </c>
      <c r="K184" s="20">
        <f>IF($F184="","",IFERROR(INDEX(Items!$D$5:$D$597,MATCH($F184,Items!$A$5:$A$597,0)),""))</f>
        <v>0.25</v>
      </c>
      <c r="L184" s="21">
        <f t="shared" si="28"/>
        <v>12.5</v>
      </c>
      <c r="M184" s="9" t="str">
        <f t="shared" si="29"/>
        <v>0125FPC24-0</v>
      </c>
      <c r="N184" s="24">
        <f>IF($A184="","",WORKDAY($A184,Settings!$C$9,HolidayDates))</f>
        <v>46134</v>
      </c>
      <c r="O184" s="24">
        <f>IF($N184="","",WORKDAY($N184,Settings!$C$10,HolidayDates))</f>
        <v>46174</v>
      </c>
      <c r="P184" s="10" t="s">
        <v>501</v>
      </c>
      <c r="Q184" s="52" t="str">
        <f t="shared" si="31"/>
        <v>Collected</v>
      </c>
      <c r="R184" s="55" t="str">
        <f t="shared" si="32"/>
        <v>2026-04</v>
      </c>
      <c r="S184" s="55">
        <f>IF(OR($B184="",$F184="",$R184=""),"",SUMIFS(tblIssues[Qty Issued],tblIssues[Staff ID],$B184,tblIssues[Item Name],$F184,tblIssues[Month],$R184))</f>
        <v>50</v>
      </c>
      <c r="T184" s="56">
        <f>IF($I184="","",$I184*Settings!$C$11)</f>
        <v>50</v>
      </c>
      <c r="U184" s="57" t="str">
        <f t="shared" si="30"/>
        <v>OK</v>
      </c>
      <c r="V184" s="55" t="str">
        <f t="shared" si="33"/>
        <v/>
      </c>
      <c r="W184" s="55" t="str">
        <f>IF($V184="","",IF(COUNTIF($V$5:$V184,$V184)=1,1,""))</f>
        <v/>
      </c>
      <c r="X184" s="58" t="str">
        <f>IF($W184="","",MAX($X$4:X183)+1)</f>
        <v/>
      </c>
      <c r="Y184" s="62"/>
      <c r="Z184" s="62"/>
      <c r="AA184" s="64" t="str">
        <f>IF($C184="","",IFERROR(INDEX('Staff Directory'!$E$5:$E$594,MATCH($C184,'Staff Directory'!$B$5:$B$594,0)),""))</f>
        <v>firstname115.lastname115@example.com</v>
      </c>
      <c r="AB184" s="64" t="str">
        <f>IF($C184="","",IF(ISNUMBER(SEARCH($D184,Settings!$C$15)),"Pickup","Dispatch"))</f>
        <v>Pickup</v>
      </c>
      <c r="AC184" s="64" t="str">
        <f t="shared" si="34"/>
        <v>Supply order ready for pickup</v>
      </c>
      <c r="AD184" s="64" t="str">
        <f t="shared" si="26"/>
        <v>Dear PSW,
Your order is ready for pickup from Sample Branch, Wed-Fri 9am-4pm.</v>
      </c>
      <c r="AE184" s="64" t="str">
        <f t="shared" si="27"/>
        <v>mailto:firstname115.lastname115@example.com?subject=Supply%20order%20ready%20for%20pickup&amp;body=Dear%20PSW%2C%0A%0AYour%20order%20is%20ready%20for%20pickup%20from%20Sample%20Branch%2C%20Wed-Fri%209am-4pm.</v>
      </c>
      <c r="AF184" s="89" t="str">
        <f t="shared" si="35"/>
        <v>Draft email</v>
      </c>
      <c r="AG184" s="64" t="str">
        <f>IF($C184="","",IFERROR(INDEX('Staff Directory'!$K$595:$K$599,MATCH($C184,'Staff Directory'!$B$5:$B$599,0)),$D184))</f>
        <v>PSW</v>
      </c>
      <c r="AH184" t="str">
        <f>IF($C184="","",IFERROR(INDEX('Staff Directory'!$I$595:$I$599,MATCH($C184,'Staff Directory'!$B$5:$B$599,0))&amp;" "&amp;INDEX('Staff Directory'!$J$595:$J$599,MATCH($C184,'Staff Directory'!$B$5:$B$599,0)),$AG184))</f>
        <v>PSW</v>
      </c>
      <c r="AI184" s="102"/>
      <c r="AJ184" s="101">
        <f>IF($F184="","",SUMIFS($J$5:$J184,$F$5:$F184,$F184))</f>
        <v>1350</v>
      </c>
      <c r="AK184" s="101">
        <f t="shared" si="3"/>
        <v>1301</v>
      </c>
      <c r="AL184" s="66" t="str" cm="1">
        <f t="array" ref="AL184">IF($F184="","",IFERROR(INDEX('Lot Balance'!$B$5:$B$500,MATCH(1,INDEX(('Lot Balance'!$A$5:$A$500=$F184)*('Lot Balance'!$K$5:$K$500&lt;$AK184)*('Lot Balance'!$K$5:$K$500+'Lot Balance'!$D$5:$D$500&gt;=$AK184),0),0)),""))</f>
        <v>0125FPC24-0</v>
      </c>
      <c r="AM184" s="66" t="str" cm="1">
        <f t="array" ref="AM184">IF($F184="","",IFERROR(INDEX('Lot Balance'!$B$5:$B$500,MATCH(1,INDEX(('Lot Balance'!$A$5:$A$500=$F184)*('Lot Balance'!$K$5:$K$500&lt;$AJ184)*('Lot Balance'!$K$5:$K$500+'Lot Balance'!$D$5:$D$500&gt;=$AJ184),0),0)),""))</f>
        <v>0125FPC24-0</v>
      </c>
      <c r="AN184" s="66" t="str">
        <f>IF($F184="","",IF($AI184&lt;&gt;"",IF(COUNTIFS('Lot Balance'!$A$5:$A$500,$F184,'Lot Balance'!$B$5:$B$500,$AI184)=0,"⚠ override is not a lot of this item",IF($AI184=$AL184,"Override = FEFO","Override - FEFO says "&amp;$AL184)),IF($AL184="","⚠ no receipt on file for this item",IF($AM184&lt;&gt;$AL184,"FEFO auto - split, also "&amp;$AM184,"FEFO auto"))))</f>
        <v>FEFO auto</v>
      </c>
      <c r="AO184" s="114"/>
    </row>
    <row r="185" spans="1:41" x14ac:dyDescent="0.35">
      <c r="A185" s="74">
        <v>46126</v>
      </c>
      <c r="B185" s="18" t="str">
        <f>IF($C185="","",IFERROR(INDEX('Staff Directory'!$A$5:$A$594,MATCH($C185,'Staff Directory'!$B$5:$B$594,0)),"⚠ unknown staff"))</f>
        <v>PSW-055-A4</v>
      </c>
      <c r="C185" s="49" t="s">
        <v>1031</v>
      </c>
      <c r="D185" s="19" t="str">
        <f>IF($B185="","",IFERROR(INDEX('Staff Directory'!$C$5:$C$594,MATCH($B185,'Staff Directory'!$A$5:$A$594,0)),""))</f>
        <v>PSW</v>
      </c>
      <c r="E185" s="19" t="str">
        <f>IF($B185="","",IFERROR(INDEX('Staff Directory'!$D$5:$D$594,MATCH($B185,'Staff Directory'!$A$5:$A$594,0)),""))</f>
        <v>A4</v>
      </c>
      <c r="F185" s="9" t="s">
        <v>147</v>
      </c>
      <c r="G185" s="18" t="str">
        <f>IF($F185="","",IFERROR(INDEX(Items!$B$5:$B$597,MATCH($F185,Items!$A$5:$A$597,0)),"⚠ not in Items"))</f>
        <v>Apparel</v>
      </c>
      <c r="H185" s="19" t="str">
        <f>IF($F185="","",IFERROR(INDEX(Items!$C$5:$C$597,MATCH($F185,Items!$A$5:$A$597,0)),""))</f>
        <v>One Size</v>
      </c>
      <c r="I185" s="23">
        <f>IF($F185="","",IFERROR(INDEX(Items!$E$5:$E$597,MATCH($F185,Items!$A$5:$A$597,0)),""))</f>
        <v>5</v>
      </c>
      <c r="J185" s="115">
        <f>IF(tblIssues[[#This Row],[Qty Override]]&lt;&gt;"",tblIssues[[#This Row],[Qty Override]],IF(tblIssues[[#This Row],[Standard Issue]]="","",tblIssues[[#This Row],[Standard Issue]]))</f>
        <v>5</v>
      </c>
      <c r="K185" s="20">
        <f>IF($F185="","",IFERROR(INDEX(Items!$D$5:$D$597,MATCH($F185,Items!$A$5:$A$597,0)),""))</f>
        <v>3</v>
      </c>
      <c r="L185" s="21">
        <f t="shared" si="28"/>
        <v>15</v>
      </c>
      <c r="M185" s="9" t="str">
        <f t="shared" si="29"/>
        <v>YG500280</v>
      </c>
      <c r="N185" s="24">
        <f>IF($A185="","",WORKDAY($A185,Settings!$C$9,HolidayDates))</f>
        <v>46134</v>
      </c>
      <c r="O185" s="24">
        <f>IF($N185="","",WORKDAY($N185,Settings!$C$10,HolidayDates))</f>
        <v>46174</v>
      </c>
      <c r="P185" s="10" t="s">
        <v>501</v>
      </c>
      <c r="Q185" s="52" t="str">
        <f t="shared" si="31"/>
        <v>Collected</v>
      </c>
      <c r="R185" s="55" t="str">
        <f t="shared" si="32"/>
        <v>2026-04</v>
      </c>
      <c r="S185" s="55">
        <f>IF(OR($B185="",$F185="",$R185=""),"",SUMIFS(tblIssues[Qty Issued],tblIssues[Staff ID],$B185,tblIssues[Item Name],$F185,tblIssues[Month],$R185))</f>
        <v>10</v>
      </c>
      <c r="T185" s="56">
        <f>IF($I185="","",$I185*Settings!$C$11)</f>
        <v>5</v>
      </c>
      <c r="U185" s="57" t="str">
        <f t="shared" si="30"/>
        <v>⚠ OVER QUOTA</v>
      </c>
      <c r="V185" s="55" t="str">
        <f t="shared" si="33"/>
        <v>PSW-055-A4 | Level 1/2 - Yellow Gown | 2026-04</v>
      </c>
      <c r="W185" s="55">
        <f>IF($V185="","",IF(COUNTIF($V$5:$V185,$V185)=1,1,""))</f>
        <v>1</v>
      </c>
      <c r="X185" s="58">
        <f>IF($W185="","",MAX($X$4:X184)+1)</f>
        <v>3</v>
      </c>
      <c r="Y185" s="62"/>
      <c r="Z185" s="62"/>
      <c r="AA185" s="64" t="str">
        <f>IF($C185="","",IFERROR(INDEX('Staff Directory'!$E$5:$E$594,MATCH($C185,'Staff Directory'!$B$5:$B$594,0)),""))</f>
        <v>firstname115.lastname115@example.com</v>
      </c>
      <c r="AB185" s="64" t="str">
        <f>IF($C185="","",IF(ISNUMBER(SEARCH($D185,Settings!$C$15)),"Pickup","Dispatch"))</f>
        <v>Pickup</v>
      </c>
      <c r="AC185" s="64" t="str">
        <f t="shared" si="34"/>
        <v>Supply order ready for pickup</v>
      </c>
      <c r="AD185" s="64" t="str">
        <f t="shared" si="26"/>
        <v>Dear PSW,
Your order is ready for pickup from Sample Branch, Wed-Fri 9am-4pm.</v>
      </c>
      <c r="AE185" s="64" t="str">
        <f t="shared" si="27"/>
        <v>mailto:firstname115.lastname115@example.com?subject=Supply%20order%20ready%20for%20pickup&amp;body=Dear%20PSW%2C%0A%0AYour%20order%20is%20ready%20for%20pickup%20from%20Sample%20Branch%2C%20Wed-Fri%209am-4pm.</v>
      </c>
      <c r="AF185" s="89" t="str">
        <f t="shared" si="35"/>
        <v>Draft email</v>
      </c>
      <c r="AG185" s="64" t="str">
        <f>IF($C185="","",IFERROR(INDEX('Staff Directory'!$K$595:$K$599,MATCH($C185,'Staff Directory'!$B$5:$B$599,0)),$D185))</f>
        <v>PSW</v>
      </c>
      <c r="AH185" t="str">
        <f>IF($C185="","",IFERROR(INDEX('Staff Directory'!$I$595:$I$599,MATCH($C185,'Staff Directory'!$B$5:$B$599,0))&amp;" "&amp;INDEX('Staff Directory'!$J$595:$J$599,MATCH($C185,'Staff Directory'!$B$5:$B$599,0)),$AG185))</f>
        <v>PSW</v>
      </c>
      <c r="AI185" s="102"/>
      <c r="AJ185" s="101">
        <f>IF($F185="","",SUMIFS($J$5:$J185,$F$5:$F185,$F185))</f>
        <v>15</v>
      </c>
      <c r="AK185" s="101">
        <f t="shared" si="3"/>
        <v>11</v>
      </c>
      <c r="AL185" s="66" t="str" cm="1">
        <f t="array" ref="AL185">IF($F185="","",IFERROR(INDEX('Lot Balance'!$B$5:$B$500,MATCH(1,INDEX(('Lot Balance'!$A$5:$A$500=$F185)*('Lot Balance'!$K$5:$K$500&lt;$AK185)*('Lot Balance'!$K$5:$K$500+'Lot Balance'!$D$5:$D$500&gt;=$AK185),0),0)),""))</f>
        <v>YG500280</v>
      </c>
      <c r="AM185" s="66" t="str" cm="1">
        <f t="array" ref="AM185">IF($F185="","",IFERROR(INDEX('Lot Balance'!$B$5:$B$500,MATCH(1,INDEX(('Lot Balance'!$A$5:$A$500=$F185)*('Lot Balance'!$K$5:$K$500&lt;$AJ185)*('Lot Balance'!$K$5:$K$500+'Lot Balance'!$D$5:$D$500&gt;=$AJ185),0),0)),""))</f>
        <v>YG500280</v>
      </c>
      <c r="AN185" s="66" t="str">
        <f>IF($F185="","",IF($AI185&lt;&gt;"",IF(COUNTIFS('Lot Balance'!$A$5:$A$500,$F185,'Lot Balance'!$B$5:$B$500,$AI185)=0,"⚠ override is not a lot of this item",IF($AI185=$AL185,"Override = FEFO","Override - FEFO says "&amp;$AL185)),IF($AL185="","⚠ no receipt on file for this item",IF($AM185&lt;&gt;$AL185,"FEFO auto - split, also "&amp;$AM185,"FEFO auto"))))</f>
        <v>FEFO auto</v>
      </c>
      <c r="AO185" s="114"/>
    </row>
    <row r="186" spans="1:41" x14ac:dyDescent="0.35">
      <c r="A186" s="74">
        <v>46126</v>
      </c>
      <c r="B186" s="18" t="str">
        <f>IF($C186="","",IFERROR(INDEX('Staff Directory'!$A$5:$A$594,MATCH($C186,'Staff Directory'!$B$5:$B$594,0)),"⚠ unknown staff"))</f>
        <v>PSW-055-A4</v>
      </c>
      <c r="C186" s="49" t="s">
        <v>1031</v>
      </c>
      <c r="D186" s="19" t="str">
        <f>IF($B186="","",IFERROR(INDEX('Staff Directory'!$C$5:$C$594,MATCH($B186,'Staff Directory'!$A$5:$A$594,0)),""))</f>
        <v>PSW</v>
      </c>
      <c r="E186" s="19" t="str">
        <f>IF($B186="","",IFERROR(INDEX('Staff Directory'!$D$5:$D$594,MATCH($B186,'Staff Directory'!$A$5:$A$594,0)),""))</f>
        <v>A4</v>
      </c>
      <c r="F186" s="9" t="s">
        <v>755</v>
      </c>
      <c r="G186" s="18" t="str">
        <f>IF($F186="","",IFERROR(INDEX(Items!$B$5:$B$597,MATCH($F186,Items!$A$5:$A$597,0)),"⚠ not in Items"))</f>
        <v>Documents</v>
      </c>
      <c r="H186" s="19" t="str">
        <f>IF($F186="","",IFERROR(INDEX(Items!$C$5:$C$597,MATCH($F186,Items!$A$5:$A$597,0)),""))</f>
        <v>Standard</v>
      </c>
      <c r="I186" s="23">
        <f>IF($F186="","",IFERROR(INDEX(Items!$E$5:$E$597,MATCH($F186,Items!$A$5:$A$597,0)),""))</f>
        <v>2</v>
      </c>
      <c r="J186" s="115">
        <f>IF(tblIssues[[#This Row],[Qty Override]]&lt;&gt;"",tblIssues[[#This Row],[Qty Override]],IF(tblIssues[[#This Row],[Standard Issue]]="","",tblIssues[[#This Row],[Standard Issue]]))</f>
        <v>2</v>
      </c>
      <c r="K186" s="20">
        <f>IF($F186="","",IFERROR(INDEX(Items!$D$5:$D$597,MATCH($F186,Items!$A$5:$A$597,0)),""))</f>
        <v>0</v>
      </c>
      <c r="L186" s="21">
        <f t="shared" si="28"/>
        <v>0</v>
      </c>
      <c r="M186" s="9" t="str">
        <f t="shared" si="29"/>
        <v/>
      </c>
      <c r="N186" s="24">
        <f>IF($A186="","",WORKDAY($A186,Settings!$C$9,HolidayDates))</f>
        <v>46134</v>
      </c>
      <c r="O186" s="24">
        <f>IF($N186="","",WORKDAY($N186,Settings!$C$10,HolidayDates))</f>
        <v>46174</v>
      </c>
      <c r="P186" s="10" t="s">
        <v>501</v>
      </c>
      <c r="Q186" s="52" t="str">
        <f t="shared" si="31"/>
        <v>Collected</v>
      </c>
      <c r="R186" s="55" t="str">
        <f t="shared" si="32"/>
        <v>2026-04</v>
      </c>
      <c r="S186" s="55">
        <f>IF(OR($B186="",$F186="",$R186=""),"",SUMIFS(tblIssues[Qty Issued],tblIssues[Staff ID],$B186,tblIssues[Item Name],$F186,tblIssues[Month],$R186))</f>
        <v>2</v>
      </c>
      <c r="T186" s="56">
        <f>IF($I186="","",$I186*Settings!$C$11)</f>
        <v>2</v>
      </c>
      <c r="U186" s="57" t="str">
        <f t="shared" si="30"/>
        <v>OK</v>
      </c>
      <c r="V186" s="55" t="str">
        <f t="shared" si="33"/>
        <v/>
      </c>
      <c r="W186" s="55" t="str">
        <f>IF($V186="","",IF(COUNTIF($V$5:$V186,$V186)=1,1,""))</f>
        <v/>
      </c>
      <c r="X186" s="58" t="str">
        <f>IF($W186="","",MAX($X$4:X185)+1)</f>
        <v/>
      </c>
      <c r="Y186" s="62"/>
      <c r="Z186" s="62"/>
      <c r="AA186" s="64" t="str">
        <f>IF($C186="","",IFERROR(INDEX('Staff Directory'!$E$5:$E$594,MATCH($C186,'Staff Directory'!$B$5:$B$594,0)),""))</f>
        <v>firstname115.lastname115@example.com</v>
      </c>
      <c r="AB186" s="64" t="str">
        <f>IF($C186="","",IF(ISNUMBER(SEARCH($D186,Settings!$C$15)),"Pickup","Dispatch"))</f>
        <v>Pickup</v>
      </c>
      <c r="AC186" s="64" t="str">
        <f t="shared" si="34"/>
        <v>Supply order ready for pickup</v>
      </c>
      <c r="AD186" s="64" t="str">
        <f t="shared" si="26"/>
        <v>Dear PSW,
Your order is ready for pickup from Sample Branch, Wed-Fri 9am-4pm.</v>
      </c>
      <c r="AE186" s="64" t="str">
        <f t="shared" si="27"/>
        <v>mailto:firstname115.lastname115@example.com?subject=Supply%20order%20ready%20for%20pickup&amp;body=Dear%20PSW%2C%0A%0AYour%20order%20is%20ready%20for%20pickup%20from%20Sample%20Branch%2C%20Wed-Fri%209am-4pm.</v>
      </c>
      <c r="AF186" s="89" t="str">
        <f t="shared" si="35"/>
        <v>Draft email</v>
      </c>
      <c r="AG186" s="64" t="str">
        <f>IF($C186="","",IFERROR(INDEX('Staff Directory'!$K$595:$K$599,MATCH($C186,'Staff Directory'!$B$5:$B$599,0)),$D186))</f>
        <v>PSW</v>
      </c>
      <c r="AH186" t="str">
        <f>IF($C186="","",IFERROR(INDEX('Staff Directory'!$I$595:$I$599,MATCH($C186,'Staff Directory'!$B$5:$B$599,0))&amp;" "&amp;INDEX('Staff Directory'!$J$595:$J$599,MATCH($C186,'Staff Directory'!$B$5:$B$599,0)),$AG186))</f>
        <v>PSW</v>
      </c>
      <c r="AI186" s="102"/>
      <c r="AJ186" s="101">
        <f>IF($F186="","",SUMIFS($J$5:$J186,$F$5:$F186,$F186))</f>
        <v>32</v>
      </c>
      <c r="AK186" s="101">
        <f t="shared" si="3"/>
        <v>31</v>
      </c>
      <c r="AL186" s="66" t="str" cm="1">
        <f t="array" ref="AL186">IF($F186="","",IFERROR(INDEX('Lot Balance'!$B$5:$B$500,MATCH(1,INDEX(('Lot Balance'!$A$5:$A$500=$F186)*('Lot Balance'!$K$5:$K$500&lt;$AK186)*('Lot Balance'!$K$5:$K$500+'Lot Balance'!$D$5:$D$500&gt;=$AK186),0),0)),""))</f>
        <v/>
      </c>
      <c r="AM186" s="66" t="str" cm="1">
        <f t="array" ref="AM186">IF($F186="","",IFERROR(INDEX('Lot Balance'!$B$5:$B$500,MATCH(1,INDEX(('Lot Balance'!$A$5:$A$500=$F186)*('Lot Balance'!$K$5:$K$500&lt;$AJ186)*('Lot Balance'!$K$5:$K$500+'Lot Balance'!$D$5:$D$500&gt;=$AJ186),0),0)),""))</f>
        <v/>
      </c>
      <c r="AN186" s="66" t="str">
        <f>IF($F186="","",IF($AI186&lt;&gt;"",IF(COUNTIFS('Lot Balance'!$A$5:$A$500,$F186,'Lot Balance'!$B$5:$B$500,$AI186)=0,"⚠ override is not a lot of this item",IF($AI186=$AL186,"Override = FEFO","Override - FEFO says "&amp;$AL186)),IF($AL186="","⚠ no receipt on file for this item",IF($AM186&lt;&gt;$AL186,"FEFO auto - split, also "&amp;$AM186,"FEFO auto"))))</f>
        <v>⚠ no receipt on file for this item</v>
      </c>
      <c r="AO186" s="114"/>
    </row>
    <row r="187" spans="1:41" x14ac:dyDescent="0.35">
      <c r="A187" s="74">
        <v>46126</v>
      </c>
      <c r="B187" s="18" t="str">
        <f>IF($C187="","",IFERROR(INDEX('Staff Directory'!$A$5:$A$594,MATCH($C187,'Staff Directory'!$B$5:$B$594,0)),"⚠ unknown staff"))</f>
        <v>PSW-071-TBD</v>
      </c>
      <c r="C187" s="49" t="s">
        <v>1047</v>
      </c>
      <c r="D187" s="19" t="str">
        <f>IF($B187="","",IFERROR(INDEX('Staff Directory'!$C$5:$C$594,MATCH($B187,'Staff Directory'!$A$5:$A$594,0)),""))</f>
        <v>PSW</v>
      </c>
      <c r="E187" s="19">
        <f>IF($B187="","",IFERROR(INDEX('Staff Directory'!$D$5:$D$594,MATCH($B187,'Staff Directory'!$A$5:$A$594,0)),""))</f>
        <v>0</v>
      </c>
      <c r="F187" s="9" t="s">
        <v>127</v>
      </c>
      <c r="G187" s="18" t="str">
        <f>IF($F187="","",IFERROR(INDEX(Items!$B$5:$B$597,MATCH($F187,Items!$A$5:$A$597,0)),"⚠ not in Items"))</f>
        <v>Gloves</v>
      </c>
      <c r="H187" s="19" t="str">
        <f>IF($F187="","",IFERROR(INDEX(Items!$C$5:$C$597,MATCH($F187,Items!$A$5:$A$597,0)),""))</f>
        <v>Medium</v>
      </c>
      <c r="I187" s="23">
        <f>IF($F187="","",IFERROR(INDEX(Items!$E$5:$E$597,MATCH($F187,Items!$A$5:$A$597,0)),""))</f>
        <v>500</v>
      </c>
      <c r="J187" s="115">
        <f>IF(tblIssues[[#This Row],[Qty Override]]&lt;&gt;"",tblIssues[[#This Row],[Qty Override]],IF(tblIssues[[#This Row],[Standard Issue]]="","",tblIssues[[#This Row],[Standard Issue]]))</f>
        <v>500</v>
      </c>
      <c r="K187" s="20">
        <f>IF($F187="","",IFERROR(INDEX(Items!$D$5:$D$597,MATCH($F187,Items!$A$5:$A$597,0)),""))</f>
        <v>5.5E-2</v>
      </c>
      <c r="L187" s="21">
        <f t="shared" si="28"/>
        <v>27.5</v>
      </c>
      <c r="M187" s="9" t="str">
        <f t="shared" si="29"/>
        <v>ZIM504126040-2</v>
      </c>
      <c r="N187" s="24">
        <f>IF($A187="","",WORKDAY($A187,Settings!$C$9,HolidayDates))</f>
        <v>46134</v>
      </c>
      <c r="O187" s="24">
        <f>IF($N187="","",WORKDAY($N187,Settings!$C$10,HolidayDates))</f>
        <v>46174</v>
      </c>
      <c r="P187" s="10" t="s">
        <v>501</v>
      </c>
      <c r="Q187" s="52" t="str">
        <f t="shared" si="31"/>
        <v>Collected</v>
      </c>
      <c r="R187" s="55" t="str">
        <f t="shared" si="32"/>
        <v>2026-04</v>
      </c>
      <c r="S187" s="55">
        <f>IF(OR($B187="",$F187="",$R187=""),"",SUMIFS(tblIssues[Qty Issued],tblIssues[Staff ID],$B187,tblIssues[Item Name],$F187,tblIssues[Month],$R187))</f>
        <v>500</v>
      </c>
      <c r="T187" s="56">
        <f>IF($I187="","",$I187*Settings!$C$11)</f>
        <v>500</v>
      </c>
      <c r="U187" s="57" t="str">
        <f t="shared" si="30"/>
        <v>OK</v>
      </c>
      <c r="V187" s="55" t="str">
        <f t="shared" si="33"/>
        <v/>
      </c>
      <c r="W187" s="55" t="str">
        <f>IF($V187="","",IF(COUNTIF($V$5:$V187,$V187)=1,1,""))</f>
        <v/>
      </c>
      <c r="X187" s="58" t="str">
        <f>IF($W187="","",MAX($X$4:X186)+1)</f>
        <v/>
      </c>
      <c r="Y187" s="62"/>
      <c r="Z187" s="62"/>
      <c r="AA187" s="64" t="str">
        <f>IF($C187="","",IFERROR(INDEX('Staff Directory'!$E$5:$E$594,MATCH($C187,'Staff Directory'!$B$5:$B$594,0)),""))</f>
        <v>firstname131.lastname131@example.com</v>
      </c>
      <c r="AB187" s="64" t="str">
        <f>IF($C187="","",IF(ISNUMBER(SEARCH($D187,Settings!$C$15)),"Pickup","Dispatch"))</f>
        <v>Pickup</v>
      </c>
      <c r="AC187" s="64" t="str">
        <f t="shared" si="34"/>
        <v>Supply order ready for pickup</v>
      </c>
      <c r="AD187" s="64" t="str">
        <f t="shared" si="26"/>
        <v>Dear PSW,
Your order is ready for pickup from Sample Branch, Wed-Fri 9am-4pm.</v>
      </c>
      <c r="AE187" s="64" t="str">
        <f t="shared" si="27"/>
        <v>mailto:firstname131.lastname131@example.com?subject=Supply%20order%20ready%20for%20pickup&amp;body=Dear%20PSW%2C%0A%0AYour%20order%20is%20ready%20for%20pickup%20from%20Sample%20Branch%2C%20Wed-Fri%209am-4pm.</v>
      </c>
      <c r="AF187" s="89" t="str">
        <f t="shared" si="35"/>
        <v>Draft email</v>
      </c>
      <c r="AG187" s="64" t="str">
        <f>IF($C187="","",IFERROR(INDEX('Staff Directory'!$K$595:$K$599,MATCH($C187,'Staff Directory'!$B$5:$B$599,0)),$D187))</f>
        <v>PSW</v>
      </c>
      <c r="AH187" t="str">
        <f>IF($C187="","",IFERROR(INDEX('Staff Directory'!$I$595:$I$599,MATCH($C187,'Staff Directory'!$B$5:$B$599,0))&amp;" "&amp;INDEX('Staff Directory'!$J$595:$J$599,MATCH($C187,'Staff Directory'!$B$5:$B$599,0)),$AG187))</f>
        <v>PSW</v>
      </c>
      <c r="AI187" s="102"/>
      <c r="AJ187" s="101">
        <f>IF($F187="","",SUMIFS($J$5:$J187,$F$5:$F187,$F187))</f>
        <v>12500</v>
      </c>
      <c r="AK187" s="101">
        <f t="shared" si="3"/>
        <v>12001</v>
      </c>
      <c r="AL187" s="66" t="str" cm="1">
        <f t="array" ref="AL187">IF($F187="","",IFERROR(INDEX('Lot Balance'!$B$5:$B$500,MATCH(1,INDEX(('Lot Balance'!$A$5:$A$500=$F187)*('Lot Balance'!$K$5:$K$500&lt;$AK187)*('Lot Balance'!$K$5:$K$500+'Lot Balance'!$D$5:$D$500&gt;=$AK187),0),0)),""))</f>
        <v>ZIM504126040-2</v>
      </c>
      <c r="AM187" s="66" t="str" cm="1">
        <f t="array" ref="AM187">IF($F187="","",IFERROR(INDEX('Lot Balance'!$B$5:$B$500,MATCH(1,INDEX(('Lot Balance'!$A$5:$A$500=$F187)*('Lot Balance'!$K$5:$K$500&lt;$AJ187)*('Lot Balance'!$K$5:$K$500+'Lot Balance'!$D$5:$D$500&gt;=$AJ187),0),0)),""))</f>
        <v>ZIM504126040-2</v>
      </c>
      <c r="AN187" s="66" t="str">
        <f>IF($F187="","",IF($AI187&lt;&gt;"",IF(COUNTIFS('Lot Balance'!$A$5:$A$500,$F187,'Lot Balance'!$B$5:$B$500,$AI187)=0,"⚠ override is not a lot of this item",IF($AI187=$AL187,"Override = FEFO","Override - FEFO says "&amp;$AL187)),IF($AL187="","⚠ no receipt on file for this item",IF($AM187&lt;&gt;$AL187,"FEFO auto - split, also "&amp;$AM187,"FEFO auto"))))</f>
        <v>FEFO auto</v>
      </c>
      <c r="AO187" s="114"/>
    </row>
    <row r="188" spans="1:41" x14ac:dyDescent="0.35">
      <c r="A188" s="74">
        <v>46126</v>
      </c>
      <c r="B188" s="18" t="str">
        <f>IF($C188="","",IFERROR(INDEX('Staff Directory'!$A$5:$A$594,MATCH($C188,'Staff Directory'!$B$5:$B$594,0)),"⚠ unknown staff"))</f>
        <v>PSW-071-TBD</v>
      </c>
      <c r="C188" s="49" t="s">
        <v>1047</v>
      </c>
      <c r="D188" s="19" t="str">
        <f>IF($B188="","",IFERROR(INDEX('Staff Directory'!$C$5:$C$594,MATCH($B188,'Staff Directory'!$A$5:$A$594,0)),""))</f>
        <v>PSW</v>
      </c>
      <c r="E188" s="19">
        <f>IF($B188="","",IFERROR(INDEX('Staff Directory'!$D$5:$D$594,MATCH($B188,'Staff Directory'!$A$5:$A$594,0)),""))</f>
        <v>0</v>
      </c>
      <c r="F188" s="9" t="s">
        <v>137</v>
      </c>
      <c r="G188" s="18" t="str">
        <f>IF($F188="","",IFERROR(INDEX(Items!$B$5:$B$597,MATCH($F188,Items!$A$5:$A$597,0)),"⚠ not in Items"))</f>
        <v>Sanitizer</v>
      </c>
      <c r="H188" s="19" t="str">
        <f>IF($F188="","",IFERROR(INDEX(Items!$C$5:$C$597,MATCH($F188,Items!$A$5:$A$597,0)),""))</f>
        <v>118 ML</v>
      </c>
      <c r="I188" s="23">
        <f>IF($F188="","",IFERROR(INDEX(Items!$E$5:$E$597,MATCH($F188,Items!$A$5:$A$597,0)),""))</f>
        <v>2</v>
      </c>
      <c r="J188" s="115">
        <f>IF(tblIssues[[#This Row],[Qty Override]]&lt;&gt;"",tblIssues[[#This Row],[Qty Override]],IF(tblIssues[[#This Row],[Standard Issue]]="","",tblIssues[[#This Row],[Standard Issue]]))</f>
        <v>2</v>
      </c>
      <c r="K188" s="20">
        <f>IF($F188="","",IFERROR(INDEX(Items!$D$5:$D$597,MATCH($F188,Items!$A$5:$A$597,0)),""))</f>
        <v>4.49</v>
      </c>
      <c r="L188" s="21">
        <f t="shared" si="28"/>
        <v>8.98</v>
      </c>
      <c r="M188" s="9" t="str">
        <f t="shared" si="29"/>
        <v>563963-6</v>
      </c>
      <c r="N188" s="24">
        <f>IF($A188="","",WORKDAY($A188,Settings!$C$9,HolidayDates))</f>
        <v>46134</v>
      </c>
      <c r="O188" s="24">
        <f>IF($N188="","",WORKDAY($N188,Settings!$C$10,HolidayDates))</f>
        <v>46174</v>
      </c>
      <c r="P188" s="10" t="s">
        <v>501</v>
      </c>
      <c r="Q188" s="52" t="str">
        <f t="shared" si="31"/>
        <v>Collected</v>
      </c>
      <c r="R188" s="55" t="str">
        <f t="shared" si="32"/>
        <v>2026-04</v>
      </c>
      <c r="S188" s="55">
        <f>IF(OR($B188="",$F188="",$R188=""),"",SUMIFS(tblIssues[Qty Issued],tblIssues[Staff ID],$B188,tblIssues[Item Name],$F188,tblIssues[Month],$R188))</f>
        <v>2</v>
      </c>
      <c r="T188" s="56">
        <f>IF($I188="","",$I188*Settings!$C$11)</f>
        <v>2</v>
      </c>
      <c r="U188" s="57" t="str">
        <f t="shared" si="30"/>
        <v>OK</v>
      </c>
      <c r="V188" s="55" t="str">
        <f t="shared" si="33"/>
        <v/>
      </c>
      <c r="W188" s="55" t="str">
        <f>IF($V188="","",IF(COUNTIF($V$5:$V188,$V188)=1,1,""))</f>
        <v/>
      </c>
      <c r="X188" s="58" t="str">
        <f>IF($W188="","",MAX($X$4:X187)+1)</f>
        <v/>
      </c>
      <c r="Y188" s="62"/>
      <c r="Z188" s="62"/>
      <c r="AA188" s="64" t="str">
        <f>IF($C188="","",IFERROR(INDEX('Staff Directory'!$E$5:$E$594,MATCH($C188,'Staff Directory'!$B$5:$B$594,0)),""))</f>
        <v>firstname131.lastname131@example.com</v>
      </c>
      <c r="AB188" s="64" t="str">
        <f>IF($C188="","",IF(ISNUMBER(SEARCH($D188,Settings!$C$15)),"Pickup","Dispatch"))</f>
        <v>Pickup</v>
      </c>
      <c r="AC188" s="64" t="str">
        <f t="shared" si="34"/>
        <v>Supply order ready for pickup</v>
      </c>
      <c r="AD188" s="64" t="str">
        <f t="shared" si="26"/>
        <v>Dear PSW,
Your order is ready for pickup from Sample Branch, Wed-Fri 9am-4pm.</v>
      </c>
      <c r="AE188" s="64" t="str">
        <f t="shared" si="27"/>
        <v>mailto:firstname131.lastname131@example.com?subject=Supply%20order%20ready%20for%20pickup&amp;body=Dear%20PSW%2C%0A%0AYour%20order%20is%20ready%20for%20pickup%20from%20Sample%20Branch%2C%20Wed-Fri%209am-4pm.</v>
      </c>
      <c r="AF188" s="89" t="str">
        <f t="shared" si="35"/>
        <v>Draft email</v>
      </c>
      <c r="AG188" s="64" t="str">
        <f>IF($C188="","",IFERROR(INDEX('Staff Directory'!$K$595:$K$599,MATCH($C188,'Staff Directory'!$B$5:$B$599,0)),$D188))</f>
        <v>PSW</v>
      </c>
      <c r="AH188" t="str">
        <f>IF($C188="","",IFERROR(INDEX('Staff Directory'!$I$595:$I$599,MATCH($C188,'Staff Directory'!$B$5:$B$599,0))&amp;" "&amp;INDEX('Staff Directory'!$J$595:$J$599,MATCH($C188,'Staff Directory'!$B$5:$B$599,0)),$AG188))</f>
        <v>PSW</v>
      </c>
      <c r="AI188" s="102"/>
      <c r="AJ188" s="101">
        <f>IF($F188="","",SUMIFS($J$5:$J188,$F$5:$F188,$F188))</f>
        <v>64</v>
      </c>
      <c r="AK188" s="101">
        <f t="shared" si="3"/>
        <v>63</v>
      </c>
      <c r="AL188" s="66" t="str" cm="1">
        <f t="array" ref="AL188">IF($F188="","",IFERROR(INDEX('Lot Balance'!$B$5:$B$500,MATCH(1,INDEX(('Lot Balance'!$A$5:$A$500=$F188)*('Lot Balance'!$K$5:$K$500&lt;$AK188)*('Lot Balance'!$K$5:$K$500+'Lot Balance'!$D$5:$D$500&gt;=$AK188),0),0)),""))</f>
        <v>563963-6</v>
      </c>
      <c r="AM188" s="66" t="str" cm="1">
        <f t="array" ref="AM188">IF($F188="","",IFERROR(INDEX('Lot Balance'!$B$5:$B$500,MATCH(1,INDEX(('Lot Balance'!$A$5:$A$500=$F188)*('Lot Balance'!$K$5:$K$500&lt;$AJ188)*('Lot Balance'!$K$5:$K$500+'Lot Balance'!$D$5:$D$500&gt;=$AJ188),0),0)),""))</f>
        <v>563963-6</v>
      </c>
      <c r="AN188" s="66" t="str">
        <f>IF($F188="","",IF($AI188&lt;&gt;"",IF(COUNTIFS('Lot Balance'!$A$5:$A$500,$F188,'Lot Balance'!$B$5:$B$500,$AI188)=0,"⚠ override is not a lot of this item",IF($AI188=$AL188,"Override = FEFO","Override - FEFO says "&amp;$AL188)),IF($AL188="","⚠ no receipt on file for this item",IF($AM188&lt;&gt;$AL188,"FEFO auto - split, also "&amp;$AM188,"FEFO auto"))))</f>
        <v>FEFO auto</v>
      </c>
      <c r="AO188" s="114"/>
    </row>
    <row r="189" spans="1:41" x14ac:dyDescent="0.35">
      <c r="A189" s="74">
        <v>46126</v>
      </c>
      <c r="B189" s="18" t="str">
        <f>IF($C189="","",IFERROR(INDEX('Staff Directory'!$A$5:$A$594,MATCH($C189,'Staff Directory'!$B$5:$B$594,0)),"⚠ unknown staff"))</f>
        <v>PSW-071-TBD</v>
      </c>
      <c r="C189" s="49" t="s">
        <v>1047</v>
      </c>
      <c r="D189" s="19" t="str">
        <f>IF($B189="","",IFERROR(INDEX('Staff Directory'!$C$5:$C$594,MATCH($B189,'Staff Directory'!$A$5:$A$594,0)),""))</f>
        <v>PSW</v>
      </c>
      <c r="E189" s="19">
        <f>IF($B189="","",IFERROR(INDEX('Staff Directory'!$D$5:$D$594,MATCH($B189,'Staff Directory'!$A$5:$A$594,0)),""))</f>
        <v>0</v>
      </c>
      <c r="F189" s="9" t="s">
        <v>115</v>
      </c>
      <c r="G189" s="18" t="str">
        <f>IF($F189="","",IFERROR(INDEX(Items!$B$5:$B$597,MATCH($F189,Items!$A$5:$A$597,0)),"⚠ not in Items"))</f>
        <v>Wipes</v>
      </c>
      <c r="H189" s="19">
        <f>IF($F189="","",IFERROR(INDEX(Items!$C$5:$C$597,MATCH($F189,Items!$A$5:$A$597,0)),""))</f>
        <v>80</v>
      </c>
      <c r="I189" s="23">
        <f>IF($F189="","",IFERROR(INDEX(Items!$E$5:$E$597,MATCH($F189,Items!$A$5:$A$597,0)),""))</f>
        <v>80</v>
      </c>
      <c r="J189" s="115">
        <f>IF(tblIssues[[#This Row],[Qty Override]]&lt;&gt;"",tblIssues[[#This Row],[Qty Override]],IF(tblIssues[[#This Row],[Standard Issue]]="","",tblIssues[[#This Row],[Standard Issue]]))</f>
        <v>80</v>
      </c>
      <c r="K189" s="20">
        <f>IF($F189="","",IFERROR(INDEX(Items!$D$5:$D$597,MATCH($F189,Items!$A$5:$A$597,0)),""))</f>
        <v>0.1</v>
      </c>
      <c r="L189" s="21">
        <f t="shared" si="28"/>
        <v>8</v>
      </c>
      <c r="M189" s="9" t="str">
        <f t="shared" si="29"/>
        <v>LYSL500290</v>
      </c>
      <c r="N189" s="24">
        <f>IF($A189="","",WORKDAY($A189,Settings!$C$9,HolidayDates))</f>
        <v>46134</v>
      </c>
      <c r="O189" s="24">
        <f>IF($N189="","",WORKDAY($N189,Settings!$C$10,HolidayDates))</f>
        <v>46174</v>
      </c>
      <c r="P189" s="10" t="s">
        <v>501</v>
      </c>
      <c r="Q189" s="52" t="str">
        <f t="shared" si="31"/>
        <v>Collected</v>
      </c>
      <c r="R189" s="55" t="str">
        <f t="shared" si="32"/>
        <v>2026-04</v>
      </c>
      <c r="S189" s="55">
        <f>IF(OR($B189="",$F189="",$R189=""),"",SUMIFS(tblIssues[Qty Issued],tblIssues[Staff ID],$B189,tblIssues[Item Name],$F189,tblIssues[Month],$R189))</f>
        <v>80</v>
      </c>
      <c r="T189" s="56">
        <f>IF($I189="","",$I189*Settings!$C$11)</f>
        <v>80</v>
      </c>
      <c r="U189" s="57" t="str">
        <f t="shared" si="30"/>
        <v>OK</v>
      </c>
      <c r="V189" s="55" t="str">
        <f t="shared" si="33"/>
        <v/>
      </c>
      <c r="W189" s="55" t="str">
        <f>IF($V189="","",IF(COUNTIF($V$5:$V189,$V189)=1,1,""))</f>
        <v/>
      </c>
      <c r="X189" s="58" t="str">
        <f>IF($W189="","",MAX($X$4:X188)+1)</f>
        <v/>
      </c>
      <c r="Y189" s="62"/>
      <c r="Z189" s="62"/>
      <c r="AA189" s="64" t="str">
        <f>IF($C189="","",IFERROR(INDEX('Staff Directory'!$E$5:$E$594,MATCH($C189,'Staff Directory'!$B$5:$B$594,0)),""))</f>
        <v>firstname131.lastname131@example.com</v>
      </c>
      <c r="AB189" s="64" t="str">
        <f>IF($C189="","",IF(ISNUMBER(SEARCH($D189,Settings!$C$15)),"Pickup","Dispatch"))</f>
        <v>Pickup</v>
      </c>
      <c r="AC189" s="64" t="str">
        <f t="shared" si="34"/>
        <v>Supply order ready for pickup</v>
      </c>
      <c r="AD189" s="64" t="str">
        <f t="shared" si="26"/>
        <v>Dear PSW,
Your order is ready for pickup from Sample Branch, Wed-Fri 9am-4pm.</v>
      </c>
      <c r="AE189" s="64" t="str">
        <f t="shared" si="27"/>
        <v>mailto:firstname131.lastname131@example.com?subject=Supply%20order%20ready%20for%20pickup&amp;body=Dear%20PSW%2C%0A%0AYour%20order%20is%20ready%20for%20pickup%20from%20Sample%20Branch%2C%20Wed-Fri%209am-4pm.</v>
      </c>
      <c r="AF189" s="89" t="str">
        <f t="shared" si="35"/>
        <v>Draft email</v>
      </c>
      <c r="AG189" s="64" t="str">
        <f>IF($C189="","",IFERROR(INDEX('Staff Directory'!$K$595:$K$599,MATCH($C189,'Staff Directory'!$B$5:$B$599,0)),$D189))</f>
        <v>PSW</v>
      </c>
      <c r="AH189" t="str">
        <f>IF($C189="","",IFERROR(INDEX('Staff Directory'!$I$595:$I$599,MATCH($C189,'Staff Directory'!$B$5:$B$599,0))&amp;" "&amp;INDEX('Staff Directory'!$J$595:$J$599,MATCH($C189,'Staff Directory'!$B$5:$B$599,0)),$AG189))</f>
        <v>PSW</v>
      </c>
      <c r="AI189" s="102"/>
      <c r="AJ189" s="101">
        <f>IF($F189="","",SUMIFS($J$5:$J189,$F$5:$F189,$F189))</f>
        <v>2800</v>
      </c>
      <c r="AK189" s="101">
        <f t="shared" si="3"/>
        <v>2721</v>
      </c>
      <c r="AL189" s="66" t="str" cm="1">
        <f t="array" ref="AL189">IF($F189="","",IFERROR(INDEX('Lot Balance'!$B$5:$B$500,MATCH(1,INDEX(('Lot Balance'!$A$5:$A$500=$F189)*('Lot Balance'!$K$5:$K$500&lt;$AK189)*('Lot Balance'!$K$5:$K$500+'Lot Balance'!$D$5:$D$500&gt;=$AK189),0),0)),""))</f>
        <v>LYSL500290</v>
      </c>
      <c r="AM189" s="66" t="str" cm="1">
        <f t="array" ref="AM189">IF($F189="","",IFERROR(INDEX('Lot Balance'!$B$5:$B$500,MATCH(1,INDEX(('Lot Balance'!$A$5:$A$500=$F189)*('Lot Balance'!$K$5:$K$500&lt;$AJ189)*('Lot Balance'!$K$5:$K$500+'Lot Balance'!$D$5:$D$500&gt;=$AJ189),0),0)),""))</f>
        <v>LYSL500290</v>
      </c>
      <c r="AN189" s="66" t="str">
        <f>IF($F189="","",IF($AI189&lt;&gt;"",IF(COUNTIFS('Lot Balance'!$A$5:$A$500,$F189,'Lot Balance'!$B$5:$B$500,$AI189)=0,"⚠ override is not a lot of this item",IF($AI189=$AL189,"Override = FEFO","Override - FEFO says "&amp;$AL189)),IF($AL189="","⚠ no receipt on file for this item",IF($AM189&lt;&gt;$AL189,"FEFO auto - split, also "&amp;$AM189,"FEFO auto"))))</f>
        <v>FEFO auto</v>
      </c>
      <c r="AO189" s="114"/>
    </row>
    <row r="190" spans="1:41" x14ac:dyDescent="0.35">
      <c r="A190" s="74">
        <v>46126</v>
      </c>
      <c r="B190" s="18" t="str">
        <f>IF($C190="","",IFERROR(INDEX('Staff Directory'!$A$5:$A$594,MATCH($C190,'Staff Directory'!$B$5:$B$594,0)),"⚠ unknown staff"))</f>
        <v>PSW-071-TBD</v>
      </c>
      <c r="C190" s="49" t="s">
        <v>1047</v>
      </c>
      <c r="D190" s="19" t="str">
        <f>IF($B190="","",IFERROR(INDEX('Staff Directory'!$C$5:$C$594,MATCH($B190,'Staff Directory'!$A$5:$A$594,0)),""))</f>
        <v>PSW</v>
      </c>
      <c r="E190" s="19">
        <f>IF($B190="","",IFERROR(INDEX('Staff Directory'!$D$5:$D$594,MATCH($B190,'Staff Directory'!$A$5:$A$594,0)),""))</f>
        <v>0</v>
      </c>
      <c r="F190" s="9" t="s">
        <v>156</v>
      </c>
      <c r="G190" s="18" t="str">
        <f>IF($F190="","",IFERROR(INDEX(Items!$B$5:$B$597,MATCH($F190,Items!$A$5:$A$597,0)),"⚠ not in Items"))</f>
        <v>Masks</v>
      </c>
      <c r="H190" s="19" t="str">
        <f>IF($F190="","",IFERROR(INDEX(Items!$C$5:$C$597,MATCH($F190,Items!$A$5:$A$597,0)),""))</f>
        <v>One Size</v>
      </c>
      <c r="I190" s="23">
        <f>IF($F190="","",IFERROR(INDEX(Items!$E$5:$E$597,MATCH($F190,Items!$A$5:$A$597,0)),""))</f>
        <v>50</v>
      </c>
      <c r="J190" s="115">
        <f>IF(tblIssues[[#This Row],[Qty Override]]&lt;&gt;"",tblIssues[[#This Row],[Qty Override]],IF(tblIssues[[#This Row],[Standard Issue]]="","",tblIssues[[#This Row],[Standard Issue]]))</f>
        <v>50</v>
      </c>
      <c r="K190" s="20">
        <f>IF($F190="","",IFERROR(INDEX(Items!$D$5:$D$597,MATCH($F190,Items!$A$5:$A$597,0)),""))</f>
        <v>0.25</v>
      </c>
      <c r="L190" s="21">
        <f t="shared" si="28"/>
        <v>12.5</v>
      </c>
      <c r="M190" s="9" t="str">
        <f t="shared" si="29"/>
        <v>0125FPC24-0</v>
      </c>
      <c r="N190" s="24">
        <f>IF($A190="","",WORKDAY($A190,Settings!$C$9,HolidayDates))</f>
        <v>46134</v>
      </c>
      <c r="O190" s="24">
        <f>IF($N190="","",WORKDAY($N190,Settings!$C$10,HolidayDates))</f>
        <v>46174</v>
      </c>
      <c r="P190" s="10" t="s">
        <v>501</v>
      </c>
      <c r="Q190" s="52" t="str">
        <f t="shared" si="31"/>
        <v>Collected</v>
      </c>
      <c r="R190" s="55" t="str">
        <f t="shared" si="32"/>
        <v>2026-04</v>
      </c>
      <c r="S190" s="55">
        <f>IF(OR($B190="",$F190="",$R190=""),"",SUMIFS(tblIssues[Qty Issued],tblIssues[Staff ID],$B190,tblIssues[Item Name],$F190,tblIssues[Month],$R190))</f>
        <v>50</v>
      </c>
      <c r="T190" s="56">
        <f>IF($I190="","",$I190*Settings!$C$11)</f>
        <v>50</v>
      </c>
      <c r="U190" s="57" t="str">
        <f t="shared" si="30"/>
        <v>OK</v>
      </c>
      <c r="V190" s="55" t="str">
        <f t="shared" si="33"/>
        <v/>
      </c>
      <c r="W190" s="55" t="str">
        <f>IF($V190="","",IF(COUNTIF($V$5:$V190,$V190)=1,1,""))</f>
        <v/>
      </c>
      <c r="X190" s="58" t="str">
        <f>IF($W190="","",MAX($X$4:X189)+1)</f>
        <v/>
      </c>
      <c r="Y190" s="62"/>
      <c r="Z190" s="62"/>
      <c r="AA190" s="64" t="str">
        <f>IF($C190="","",IFERROR(INDEX('Staff Directory'!$E$5:$E$594,MATCH($C190,'Staff Directory'!$B$5:$B$594,0)),""))</f>
        <v>firstname131.lastname131@example.com</v>
      </c>
      <c r="AB190" s="64" t="str">
        <f>IF($C190="","",IF(ISNUMBER(SEARCH($D190,Settings!$C$15)),"Pickup","Dispatch"))</f>
        <v>Pickup</v>
      </c>
      <c r="AC190" s="64" t="str">
        <f t="shared" si="34"/>
        <v>Supply order ready for pickup</v>
      </c>
      <c r="AD190" s="64" t="str">
        <f t="shared" si="26"/>
        <v>Dear PSW,
Your order is ready for pickup from Sample Branch, Wed-Fri 9am-4pm.</v>
      </c>
      <c r="AE190" s="64" t="str">
        <f t="shared" si="27"/>
        <v>mailto:firstname131.lastname131@example.com?subject=Supply%20order%20ready%20for%20pickup&amp;body=Dear%20PSW%2C%0A%0AYour%20order%20is%20ready%20for%20pickup%20from%20Sample%20Branch%2C%20Wed-Fri%209am-4pm.</v>
      </c>
      <c r="AF190" s="89" t="str">
        <f t="shared" si="35"/>
        <v>Draft email</v>
      </c>
      <c r="AG190" s="64" t="str">
        <f>IF($C190="","",IFERROR(INDEX('Staff Directory'!$K$595:$K$599,MATCH($C190,'Staff Directory'!$B$5:$B$599,0)),$D190))</f>
        <v>PSW</v>
      </c>
      <c r="AH190" t="str">
        <f>IF($C190="","",IFERROR(INDEX('Staff Directory'!$I$595:$I$599,MATCH($C190,'Staff Directory'!$B$5:$B$599,0))&amp;" "&amp;INDEX('Staff Directory'!$J$595:$J$599,MATCH($C190,'Staff Directory'!$B$5:$B$599,0)),$AG190))</f>
        <v>PSW</v>
      </c>
      <c r="AI190" s="102"/>
      <c r="AJ190" s="101">
        <f>IF($F190="","",SUMIFS($J$5:$J190,$F$5:$F190,$F190))</f>
        <v>1400</v>
      </c>
      <c r="AK190" s="101">
        <f t="shared" si="3"/>
        <v>1351</v>
      </c>
      <c r="AL190" s="66" t="str" cm="1">
        <f t="array" ref="AL190">IF($F190="","",IFERROR(INDEX('Lot Balance'!$B$5:$B$500,MATCH(1,INDEX(('Lot Balance'!$A$5:$A$500=$F190)*('Lot Balance'!$K$5:$K$500&lt;$AK190)*('Lot Balance'!$K$5:$K$500+'Lot Balance'!$D$5:$D$500&gt;=$AK190),0),0)),""))</f>
        <v>0125FPC24-0</v>
      </c>
      <c r="AM190" s="66" t="str" cm="1">
        <f t="array" ref="AM190">IF($F190="","",IFERROR(INDEX('Lot Balance'!$B$5:$B$500,MATCH(1,INDEX(('Lot Balance'!$A$5:$A$500=$F190)*('Lot Balance'!$K$5:$K$500&lt;$AJ190)*('Lot Balance'!$K$5:$K$500+'Lot Balance'!$D$5:$D$500&gt;=$AJ190),0),0)),""))</f>
        <v>0125FPC24-0</v>
      </c>
      <c r="AN190" s="66" t="str">
        <f>IF($F190="","",IF($AI190&lt;&gt;"",IF(COUNTIFS('Lot Balance'!$A$5:$A$500,$F190,'Lot Balance'!$B$5:$B$500,$AI190)=0,"⚠ override is not a lot of this item",IF($AI190=$AL190,"Override = FEFO","Override - FEFO says "&amp;$AL190)),IF($AL190="","⚠ no receipt on file for this item",IF($AM190&lt;&gt;$AL190,"FEFO auto - split, also "&amp;$AM190,"FEFO auto"))))</f>
        <v>FEFO auto</v>
      </c>
      <c r="AO190" s="114"/>
    </row>
    <row r="191" spans="1:41" x14ac:dyDescent="0.35">
      <c r="A191" s="74">
        <v>46126</v>
      </c>
      <c r="B191" s="18" t="str">
        <f>IF($C191="","",IFERROR(INDEX('Staff Directory'!$A$5:$A$594,MATCH($C191,'Staff Directory'!$B$5:$B$594,0)),"⚠ unknown staff"))</f>
        <v>PSW-071-TBD</v>
      </c>
      <c r="C191" s="49" t="s">
        <v>1047</v>
      </c>
      <c r="D191" s="19" t="str">
        <f>IF($B191="","",IFERROR(INDEX('Staff Directory'!$C$5:$C$594,MATCH($B191,'Staff Directory'!$A$5:$A$594,0)),""))</f>
        <v>PSW</v>
      </c>
      <c r="E191" s="19">
        <f>IF($B191="","",IFERROR(INDEX('Staff Directory'!$D$5:$D$594,MATCH($B191,'Staff Directory'!$A$5:$A$594,0)),""))</f>
        <v>0</v>
      </c>
      <c r="F191" s="9" t="s">
        <v>755</v>
      </c>
      <c r="G191" s="18" t="str">
        <f>IF($F191="","",IFERROR(INDEX(Items!$B$5:$B$597,MATCH($F191,Items!$A$5:$A$597,0)),"⚠ not in Items"))</f>
        <v>Documents</v>
      </c>
      <c r="H191" s="19" t="str">
        <f>IF($F191="","",IFERROR(INDEX(Items!$C$5:$C$597,MATCH($F191,Items!$A$5:$A$597,0)),""))</f>
        <v>Standard</v>
      </c>
      <c r="I191" s="23">
        <f>IF($F191="","",IFERROR(INDEX(Items!$E$5:$E$597,MATCH($F191,Items!$A$5:$A$597,0)),""))</f>
        <v>2</v>
      </c>
      <c r="J191" s="115">
        <f>IF(tblIssues[[#This Row],[Qty Override]]&lt;&gt;"",tblIssues[[#This Row],[Qty Override]],IF(tblIssues[[#This Row],[Standard Issue]]="","",tblIssues[[#This Row],[Standard Issue]]))</f>
        <v>2</v>
      </c>
      <c r="K191" s="20">
        <f>IF($F191="","",IFERROR(INDEX(Items!$D$5:$D$597,MATCH($F191,Items!$A$5:$A$597,0)),""))</f>
        <v>0</v>
      </c>
      <c r="L191" s="21">
        <f t="shared" si="28"/>
        <v>0</v>
      </c>
      <c r="M191" s="9" t="str">
        <f t="shared" si="29"/>
        <v/>
      </c>
      <c r="N191" s="24">
        <f>IF($A191="","",WORKDAY($A191,Settings!$C$9,HolidayDates))</f>
        <v>46134</v>
      </c>
      <c r="O191" s="24">
        <f>IF($N191="","",WORKDAY($N191,Settings!$C$10,HolidayDates))</f>
        <v>46174</v>
      </c>
      <c r="P191" s="10" t="s">
        <v>501</v>
      </c>
      <c r="Q191" s="52" t="str">
        <f t="shared" si="31"/>
        <v>Collected</v>
      </c>
      <c r="R191" s="55" t="str">
        <f t="shared" si="32"/>
        <v>2026-04</v>
      </c>
      <c r="S191" s="55">
        <f>IF(OR($B191="",$F191="",$R191=""),"",SUMIFS(tblIssues[Qty Issued],tblIssues[Staff ID],$B191,tblIssues[Item Name],$F191,tblIssues[Month],$R191))</f>
        <v>2</v>
      </c>
      <c r="T191" s="56">
        <f>IF($I191="","",$I191*Settings!$C$11)</f>
        <v>2</v>
      </c>
      <c r="U191" s="57" t="str">
        <f t="shared" si="30"/>
        <v>OK</v>
      </c>
      <c r="V191" s="55" t="str">
        <f t="shared" si="33"/>
        <v/>
      </c>
      <c r="W191" s="55" t="str">
        <f>IF($V191="","",IF(COUNTIF($V$5:$V191,$V191)=1,1,""))</f>
        <v/>
      </c>
      <c r="X191" s="58" t="str">
        <f>IF($W191="","",MAX($X$4:X190)+1)</f>
        <v/>
      </c>
      <c r="Y191" s="62"/>
      <c r="Z191" s="62"/>
      <c r="AA191" s="64" t="str">
        <f>IF($C191="","",IFERROR(INDEX('Staff Directory'!$E$5:$E$594,MATCH($C191,'Staff Directory'!$B$5:$B$594,0)),""))</f>
        <v>firstname131.lastname131@example.com</v>
      </c>
      <c r="AB191" s="64" t="str">
        <f>IF($C191="","",IF(ISNUMBER(SEARCH($D191,Settings!$C$15)),"Pickup","Dispatch"))</f>
        <v>Pickup</v>
      </c>
      <c r="AC191" s="64" t="str">
        <f t="shared" si="34"/>
        <v>Supply order ready for pickup</v>
      </c>
      <c r="AD191" s="64" t="str">
        <f t="shared" si="26"/>
        <v>Dear PSW,
Your order is ready for pickup from Sample Branch, Wed-Fri 9am-4pm.</v>
      </c>
      <c r="AE191" s="64" t="str">
        <f t="shared" si="27"/>
        <v>mailto:firstname131.lastname131@example.com?subject=Supply%20order%20ready%20for%20pickup&amp;body=Dear%20PSW%2C%0A%0AYour%20order%20is%20ready%20for%20pickup%20from%20Sample%20Branch%2C%20Wed-Fri%209am-4pm.</v>
      </c>
      <c r="AF191" s="89" t="str">
        <f t="shared" si="35"/>
        <v>Draft email</v>
      </c>
      <c r="AG191" s="64" t="str">
        <f>IF($C191="","",IFERROR(INDEX('Staff Directory'!$K$595:$K$599,MATCH($C191,'Staff Directory'!$B$5:$B$599,0)),$D191))</f>
        <v>PSW</v>
      </c>
      <c r="AH191" t="str">
        <f>IF($C191="","",IFERROR(INDEX('Staff Directory'!$I$595:$I$599,MATCH($C191,'Staff Directory'!$B$5:$B$599,0))&amp;" "&amp;INDEX('Staff Directory'!$J$595:$J$599,MATCH($C191,'Staff Directory'!$B$5:$B$599,0)),$AG191))</f>
        <v>PSW</v>
      </c>
      <c r="AI191" s="102"/>
      <c r="AJ191" s="101">
        <f>IF($F191="","",SUMIFS($J$5:$J191,$F$5:$F191,$F191))</f>
        <v>34</v>
      </c>
      <c r="AK191" s="101">
        <f t="shared" si="3"/>
        <v>33</v>
      </c>
      <c r="AL191" s="66" t="str" cm="1">
        <f t="array" ref="AL191">IF($F191="","",IFERROR(INDEX('Lot Balance'!$B$5:$B$500,MATCH(1,INDEX(('Lot Balance'!$A$5:$A$500=$F191)*('Lot Balance'!$K$5:$K$500&lt;$AK191)*('Lot Balance'!$K$5:$K$500+'Lot Balance'!$D$5:$D$500&gt;=$AK191),0),0)),""))</f>
        <v/>
      </c>
      <c r="AM191" s="66" t="str" cm="1">
        <f t="array" ref="AM191">IF($F191="","",IFERROR(INDEX('Lot Balance'!$B$5:$B$500,MATCH(1,INDEX(('Lot Balance'!$A$5:$A$500=$F191)*('Lot Balance'!$K$5:$K$500&lt;$AJ191)*('Lot Balance'!$K$5:$K$500+'Lot Balance'!$D$5:$D$500&gt;=$AJ191),0),0)),""))</f>
        <v/>
      </c>
      <c r="AN191" s="66" t="str">
        <f>IF($F191="","",IF($AI191&lt;&gt;"",IF(COUNTIFS('Lot Balance'!$A$5:$A$500,$F191,'Lot Balance'!$B$5:$B$500,$AI191)=0,"⚠ override is not a lot of this item",IF($AI191=$AL191,"Override = FEFO","Override - FEFO says "&amp;$AL191)),IF($AL191="","⚠ no receipt on file for this item",IF($AM191&lt;&gt;$AL191,"FEFO auto - split, also "&amp;$AM191,"FEFO auto"))))</f>
        <v>⚠ no receipt on file for this item</v>
      </c>
      <c r="AO191" s="114"/>
    </row>
    <row r="192" spans="1:41" x14ac:dyDescent="0.35">
      <c r="A192" s="74">
        <v>46126</v>
      </c>
      <c r="B192" s="18" t="str">
        <f>IF($C192="","",IFERROR(INDEX('Staff Directory'!$A$5:$A$594,MATCH($C192,'Staff Directory'!$B$5:$B$594,0)),"⚠ unknown staff"))</f>
        <v>PSW-113-A4</v>
      </c>
      <c r="C192" s="49" t="s">
        <v>1091</v>
      </c>
      <c r="D192" s="19" t="str">
        <f>IF($B192="","",IFERROR(INDEX('Staff Directory'!$C$5:$C$594,MATCH($B192,'Staff Directory'!$A$5:$A$594,0)),""))</f>
        <v>PSW</v>
      </c>
      <c r="E192" s="19" t="str">
        <f>IF($B192="","",IFERROR(INDEX('Staff Directory'!$D$5:$D$594,MATCH($B192,'Staff Directory'!$A$5:$A$594,0)),""))</f>
        <v>A4</v>
      </c>
      <c r="F192" s="9" t="s">
        <v>127</v>
      </c>
      <c r="G192" s="18" t="str">
        <f>IF($F192="","",IFERROR(INDEX(Items!$B$5:$B$597,MATCH($F192,Items!$A$5:$A$597,0)),"⚠ not in Items"))</f>
        <v>Gloves</v>
      </c>
      <c r="H192" s="19" t="str">
        <f>IF($F192="","",IFERROR(INDEX(Items!$C$5:$C$597,MATCH($F192,Items!$A$5:$A$597,0)),""))</f>
        <v>Medium</v>
      </c>
      <c r="I192" s="23">
        <f>IF($F192="","",IFERROR(INDEX(Items!$E$5:$E$597,MATCH($F192,Items!$A$5:$A$597,0)),""))</f>
        <v>500</v>
      </c>
      <c r="J192" s="115">
        <f>IF(tblIssues[[#This Row],[Qty Override]]&lt;&gt;"",tblIssues[[#This Row],[Qty Override]],IF(tblIssues[[#This Row],[Standard Issue]]="","",tblIssues[[#This Row],[Standard Issue]]))</f>
        <v>500</v>
      </c>
      <c r="K192" s="20">
        <f>IF($F192="","",IFERROR(INDEX(Items!$D$5:$D$597,MATCH($F192,Items!$A$5:$A$597,0)),""))</f>
        <v>5.5E-2</v>
      </c>
      <c r="L192" s="21">
        <f t="shared" si="28"/>
        <v>27.5</v>
      </c>
      <c r="M192" s="9" t="str">
        <f t="shared" si="29"/>
        <v>ZIM504126040-2</v>
      </c>
      <c r="N192" s="24">
        <f>IF($A192="","",WORKDAY($A192,Settings!$C$9,HolidayDates))</f>
        <v>46134</v>
      </c>
      <c r="O192" s="24">
        <f>IF($N192="","",WORKDAY($N192,Settings!$C$10,HolidayDates))</f>
        <v>46174</v>
      </c>
      <c r="P192" s="10" t="s">
        <v>501</v>
      </c>
      <c r="Q192" s="52" t="str">
        <f t="shared" si="31"/>
        <v>Collected</v>
      </c>
      <c r="R192" s="55" t="str">
        <f t="shared" si="32"/>
        <v>2026-04</v>
      </c>
      <c r="S192" s="55">
        <f>IF(OR($B192="",$F192="",$R192=""),"",SUMIFS(tblIssues[Qty Issued],tblIssues[Staff ID],$B192,tblIssues[Item Name],$F192,tblIssues[Month],$R192))</f>
        <v>500</v>
      </c>
      <c r="T192" s="56">
        <f>IF($I192="","",$I192*Settings!$C$11)</f>
        <v>500</v>
      </c>
      <c r="U192" s="57" t="str">
        <f t="shared" si="30"/>
        <v>OK</v>
      </c>
      <c r="V192" s="55" t="str">
        <f t="shared" si="33"/>
        <v/>
      </c>
      <c r="W192" s="55" t="str">
        <f>IF($V192="","",IF(COUNTIF($V$5:$V192,$V192)=1,1,""))</f>
        <v/>
      </c>
      <c r="X192" s="58" t="str">
        <f>IF($W192="","",MAX($X$4:X191)+1)</f>
        <v/>
      </c>
      <c r="Y192" s="62"/>
      <c r="Z192" s="62"/>
      <c r="AA192" s="64" t="str">
        <f>IF($C192="","",IFERROR(INDEX('Staff Directory'!$E$5:$E$594,MATCH($C192,'Staff Directory'!$B$5:$B$594,0)),""))</f>
        <v>firstname175.lastname175@example.com</v>
      </c>
      <c r="AB192" s="64" t="str">
        <f>IF($C192="","",IF(ISNUMBER(SEARCH($D192,Settings!$C$15)),"Pickup","Dispatch"))</f>
        <v>Pickup</v>
      </c>
      <c r="AC192" s="64" t="str">
        <f t="shared" si="34"/>
        <v>Supply order ready for pickup</v>
      </c>
      <c r="AD192" s="64" t="str">
        <f t="shared" si="26"/>
        <v>Dear PSW,
Your order is ready for pickup from Sample Branch, Wed-Fri 9am-4pm.</v>
      </c>
      <c r="AE192" s="64" t="str">
        <f t="shared" si="27"/>
        <v>mailto:firstname175.lastname175@example.com?subject=Supply%20order%20ready%20for%20pickup&amp;body=Dear%20PSW%2C%0A%0AYour%20order%20is%20ready%20for%20pickup%20from%20Sample%20Branch%2C%20Wed-Fri%209am-4pm.</v>
      </c>
      <c r="AF192" s="89" t="str">
        <f t="shared" si="35"/>
        <v>Draft email</v>
      </c>
      <c r="AG192" s="64" t="str">
        <f>IF($C192="","",IFERROR(INDEX('Staff Directory'!$K$595:$K$599,MATCH($C192,'Staff Directory'!$B$5:$B$599,0)),$D192))</f>
        <v>PSW</v>
      </c>
      <c r="AH192" t="str">
        <f>IF($C192="","",IFERROR(INDEX('Staff Directory'!$I$595:$I$599,MATCH($C192,'Staff Directory'!$B$5:$B$599,0))&amp;" "&amp;INDEX('Staff Directory'!$J$595:$J$599,MATCH($C192,'Staff Directory'!$B$5:$B$599,0)),$AG192))</f>
        <v>PSW</v>
      </c>
      <c r="AI192" s="102"/>
      <c r="AJ192" s="101">
        <f>IF($F192="","",SUMIFS($J$5:$J192,$F$5:$F192,$F192))</f>
        <v>13000</v>
      </c>
      <c r="AK192" s="101">
        <f t="shared" si="3"/>
        <v>12501</v>
      </c>
      <c r="AL192" s="66" t="str" cm="1">
        <f t="array" ref="AL192">IF($F192="","",IFERROR(INDEX('Lot Balance'!$B$5:$B$500,MATCH(1,INDEX(('Lot Balance'!$A$5:$A$500=$F192)*('Lot Balance'!$K$5:$K$500&lt;$AK192)*('Lot Balance'!$K$5:$K$500+'Lot Balance'!$D$5:$D$500&gt;=$AK192),0),0)),""))</f>
        <v>ZIM504126040-2</v>
      </c>
      <c r="AM192" s="66" t="str" cm="1">
        <f t="array" ref="AM192">IF($F192="","",IFERROR(INDEX('Lot Balance'!$B$5:$B$500,MATCH(1,INDEX(('Lot Balance'!$A$5:$A$500=$F192)*('Lot Balance'!$K$5:$K$500&lt;$AJ192)*('Lot Balance'!$K$5:$K$500+'Lot Balance'!$D$5:$D$500&gt;=$AJ192),0),0)),""))</f>
        <v>ZIM504126040-2</v>
      </c>
      <c r="AN192" s="66" t="str">
        <f>IF($F192="","",IF($AI192&lt;&gt;"",IF(COUNTIFS('Lot Balance'!$A$5:$A$500,$F192,'Lot Balance'!$B$5:$B$500,$AI192)=0,"⚠ override is not a lot of this item",IF($AI192=$AL192,"Override = FEFO","Override - FEFO says "&amp;$AL192)),IF($AL192="","⚠ no receipt on file for this item",IF($AM192&lt;&gt;$AL192,"FEFO auto - split, also "&amp;$AM192,"FEFO auto"))))</f>
        <v>FEFO auto</v>
      </c>
      <c r="AO192" s="114"/>
    </row>
    <row r="193" spans="1:41" x14ac:dyDescent="0.35">
      <c r="A193" s="74">
        <v>46126</v>
      </c>
      <c r="B193" s="18" t="str">
        <f>IF($C193="","",IFERROR(INDEX('Staff Directory'!$A$5:$A$594,MATCH($C193,'Staff Directory'!$B$5:$B$594,0)),"⚠ unknown staff"))</f>
        <v>PSW-113-A4</v>
      </c>
      <c r="C193" s="49" t="s">
        <v>1091</v>
      </c>
      <c r="D193" s="19" t="str">
        <f>IF($B193="","",IFERROR(INDEX('Staff Directory'!$C$5:$C$594,MATCH($B193,'Staff Directory'!$A$5:$A$594,0)),""))</f>
        <v>PSW</v>
      </c>
      <c r="E193" s="19" t="str">
        <f>IF($B193="","",IFERROR(INDEX('Staff Directory'!$D$5:$D$594,MATCH($B193,'Staff Directory'!$A$5:$A$594,0)),""))</f>
        <v>A4</v>
      </c>
      <c r="F193" s="9" t="s">
        <v>137</v>
      </c>
      <c r="G193" s="18" t="str">
        <f>IF($F193="","",IFERROR(INDEX(Items!$B$5:$B$597,MATCH($F193,Items!$A$5:$A$597,0)),"⚠ not in Items"))</f>
        <v>Sanitizer</v>
      </c>
      <c r="H193" s="19" t="str">
        <f>IF($F193="","",IFERROR(INDEX(Items!$C$5:$C$597,MATCH($F193,Items!$A$5:$A$597,0)),""))</f>
        <v>118 ML</v>
      </c>
      <c r="I193" s="23">
        <f>IF($F193="","",IFERROR(INDEX(Items!$E$5:$E$597,MATCH($F193,Items!$A$5:$A$597,0)),""))</f>
        <v>2</v>
      </c>
      <c r="J193" s="115">
        <f>IF(tblIssues[[#This Row],[Qty Override]]&lt;&gt;"",tblIssues[[#This Row],[Qty Override]],IF(tblIssues[[#This Row],[Standard Issue]]="","",tblIssues[[#This Row],[Standard Issue]]))</f>
        <v>2</v>
      </c>
      <c r="K193" s="20">
        <f>IF($F193="","",IFERROR(INDEX(Items!$D$5:$D$597,MATCH($F193,Items!$A$5:$A$597,0)),""))</f>
        <v>4.49</v>
      </c>
      <c r="L193" s="21">
        <f t="shared" si="28"/>
        <v>8.98</v>
      </c>
      <c r="M193" s="9" t="str">
        <f t="shared" si="29"/>
        <v>563963-6</v>
      </c>
      <c r="N193" s="24">
        <f>IF($A193="","",WORKDAY($A193,Settings!$C$9,HolidayDates))</f>
        <v>46134</v>
      </c>
      <c r="O193" s="24">
        <f>IF($N193="","",WORKDAY($N193,Settings!$C$10,HolidayDates))</f>
        <v>46174</v>
      </c>
      <c r="P193" s="10" t="s">
        <v>501</v>
      </c>
      <c r="Q193" s="52" t="str">
        <f t="shared" si="31"/>
        <v>Collected</v>
      </c>
      <c r="R193" s="55" t="str">
        <f t="shared" si="32"/>
        <v>2026-04</v>
      </c>
      <c r="S193" s="55">
        <f>IF(OR($B193="",$F193="",$R193=""),"",SUMIFS(tblIssues[Qty Issued],tblIssues[Staff ID],$B193,tblIssues[Item Name],$F193,tblIssues[Month],$R193))</f>
        <v>2</v>
      </c>
      <c r="T193" s="56">
        <f>IF($I193="","",$I193*Settings!$C$11)</f>
        <v>2</v>
      </c>
      <c r="U193" s="57" t="str">
        <f t="shared" si="30"/>
        <v>OK</v>
      </c>
      <c r="V193" s="55" t="str">
        <f t="shared" si="33"/>
        <v/>
      </c>
      <c r="W193" s="55" t="str">
        <f>IF($V193="","",IF(COUNTIF($V$5:$V193,$V193)=1,1,""))</f>
        <v/>
      </c>
      <c r="X193" s="58" t="str">
        <f>IF($W193="","",MAX($X$4:X192)+1)</f>
        <v/>
      </c>
      <c r="Y193" s="62"/>
      <c r="Z193" s="62"/>
      <c r="AA193" s="64" t="str">
        <f>IF($C193="","",IFERROR(INDEX('Staff Directory'!$E$5:$E$594,MATCH($C193,'Staff Directory'!$B$5:$B$594,0)),""))</f>
        <v>firstname175.lastname175@example.com</v>
      </c>
      <c r="AB193" s="64" t="str">
        <f>IF($C193="","",IF(ISNUMBER(SEARCH($D193,Settings!$C$15)),"Pickup","Dispatch"))</f>
        <v>Pickup</v>
      </c>
      <c r="AC193" s="64" t="str">
        <f t="shared" si="34"/>
        <v>Supply order ready for pickup</v>
      </c>
      <c r="AD193" s="64" t="str">
        <f t="shared" si="26"/>
        <v>Dear PSW,
Your order is ready for pickup from Sample Branch, Wed-Fri 9am-4pm.</v>
      </c>
      <c r="AE193" s="64" t="str">
        <f t="shared" si="27"/>
        <v>mailto:firstname175.lastname175@example.com?subject=Supply%20order%20ready%20for%20pickup&amp;body=Dear%20PSW%2C%0A%0AYour%20order%20is%20ready%20for%20pickup%20from%20Sample%20Branch%2C%20Wed-Fri%209am-4pm.</v>
      </c>
      <c r="AF193" s="89" t="str">
        <f t="shared" si="35"/>
        <v>Draft email</v>
      </c>
      <c r="AG193" s="64" t="str">
        <f>IF($C193="","",IFERROR(INDEX('Staff Directory'!$K$595:$K$599,MATCH($C193,'Staff Directory'!$B$5:$B$599,0)),$D193))</f>
        <v>PSW</v>
      </c>
      <c r="AH193" t="str">
        <f>IF($C193="","",IFERROR(INDEX('Staff Directory'!$I$595:$I$599,MATCH($C193,'Staff Directory'!$B$5:$B$599,0))&amp;" "&amp;INDEX('Staff Directory'!$J$595:$J$599,MATCH($C193,'Staff Directory'!$B$5:$B$599,0)),$AG193))</f>
        <v>PSW</v>
      </c>
      <c r="AI193" s="102"/>
      <c r="AJ193" s="101">
        <f>IF($F193="","",SUMIFS($J$5:$J193,$F$5:$F193,$F193))</f>
        <v>66</v>
      </c>
      <c r="AK193" s="101">
        <f t="shared" si="3"/>
        <v>65</v>
      </c>
      <c r="AL193" s="66" t="str" cm="1">
        <f t="array" ref="AL193">IF($F193="","",IFERROR(INDEX('Lot Balance'!$B$5:$B$500,MATCH(1,INDEX(('Lot Balance'!$A$5:$A$500=$F193)*('Lot Balance'!$K$5:$K$500&lt;$AK193)*('Lot Balance'!$K$5:$K$500+'Lot Balance'!$D$5:$D$500&gt;=$AK193),0),0)),""))</f>
        <v>563963-6</v>
      </c>
      <c r="AM193" s="66" t="str" cm="1">
        <f t="array" ref="AM193">IF($F193="","",IFERROR(INDEX('Lot Balance'!$B$5:$B$500,MATCH(1,INDEX(('Lot Balance'!$A$5:$A$500=$F193)*('Lot Balance'!$K$5:$K$500&lt;$AJ193)*('Lot Balance'!$K$5:$K$500+'Lot Balance'!$D$5:$D$500&gt;=$AJ193),0),0)),""))</f>
        <v>563963-6</v>
      </c>
      <c r="AN193" s="66" t="str">
        <f>IF($F193="","",IF($AI193&lt;&gt;"",IF(COUNTIFS('Lot Balance'!$A$5:$A$500,$F193,'Lot Balance'!$B$5:$B$500,$AI193)=0,"⚠ override is not a lot of this item",IF($AI193=$AL193,"Override = FEFO","Override - FEFO says "&amp;$AL193)),IF($AL193="","⚠ no receipt on file for this item",IF($AM193&lt;&gt;$AL193,"FEFO auto - split, also "&amp;$AM193,"FEFO auto"))))</f>
        <v>FEFO auto</v>
      </c>
      <c r="AO193" s="114"/>
    </row>
    <row r="194" spans="1:41" x14ac:dyDescent="0.35">
      <c r="A194" s="74">
        <v>46126</v>
      </c>
      <c r="B194" s="18" t="str">
        <f>IF($C194="","",IFERROR(INDEX('Staff Directory'!$A$5:$A$594,MATCH($C194,'Staff Directory'!$B$5:$B$594,0)),"⚠ unknown staff"))</f>
        <v>PSW-113-A4</v>
      </c>
      <c r="C194" s="49" t="s">
        <v>1091</v>
      </c>
      <c r="D194" s="19" t="str">
        <f>IF($B194="","",IFERROR(INDEX('Staff Directory'!$C$5:$C$594,MATCH($B194,'Staff Directory'!$A$5:$A$594,0)),""))</f>
        <v>PSW</v>
      </c>
      <c r="E194" s="19" t="str">
        <f>IF($B194="","",IFERROR(INDEX('Staff Directory'!$D$5:$D$594,MATCH($B194,'Staff Directory'!$A$5:$A$594,0)),""))</f>
        <v>A4</v>
      </c>
      <c r="F194" s="9" t="s">
        <v>115</v>
      </c>
      <c r="G194" s="18" t="str">
        <f>IF($F194="","",IFERROR(INDEX(Items!$B$5:$B$597,MATCH($F194,Items!$A$5:$A$597,0)),"⚠ not in Items"))</f>
        <v>Wipes</v>
      </c>
      <c r="H194" s="19">
        <f>IF($F194="","",IFERROR(INDEX(Items!$C$5:$C$597,MATCH($F194,Items!$A$5:$A$597,0)),""))</f>
        <v>80</v>
      </c>
      <c r="I194" s="23">
        <f>IF($F194="","",IFERROR(INDEX(Items!$E$5:$E$597,MATCH($F194,Items!$A$5:$A$597,0)),""))</f>
        <v>80</v>
      </c>
      <c r="J194" s="115">
        <f>IF(tblIssues[[#This Row],[Qty Override]]&lt;&gt;"",tblIssues[[#This Row],[Qty Override]],IF(tblIssues[[#This Row],[Standard Issue]]="","",tblIssues[[#This Row],[Standard Issue]]))</f>
        <v>80</v>
      </c>
      <c r="K194" s="20">
        <f>IF($F194="","",IFERROR(INDEX(Items!$D$5:$D$597,MATCH($F194,Items!$A$5:$A$597,0)),""))</f>
        <v>0.1</v>
      </c>
      <c r="L194" s="21">
        <f t="shared" si="28"/>
        <v>8</v>
      </c>
      <c r="M194" s="9" t="str">
        <f t="shared" si="29"/>
        <v>LYSL500290</v>
      </c>
      <c r="N194" s="24">
        <f>IF($A194="","",WORKDAY($A194,Settings!$C$9,HolidayDates))</f>
        <v>46134</v>
      </c>
      <c r="O194" s="24">
        <f>IF($N194="","",WORKDAY($N194,Settings!$C$10,HolidayDates))</f>
        <v>46174</v>
      </c>
      <c r="P194" s="10" t="s">
        <v>501</v>
      </c>
      <c r="Q194" s="52" t="str">
        <f t="shared" si="31"/>
        <v>Collected</v>
      </c>
      <c r="R194" s="55" t="str">
        <f t="shared" si="32"/>
        <v>2026-04</v>
      </c>
      <c r="S194" s="55">
        <f>IF(OR($B194="",$F194="",$R194=""),"",SUMIFS(tblIssues[Qty Issued],tblIssues[Staff ID],$B194,tblIssues[Item Name],$F194,tblIssues[Month],$R194))</f>
        <v>80</v>
      </c>
      <c r="T194" s="56">
        <f>IF($I194="","",$I194*Settings!$C$11)</f>
        <v>80</v>
      </c>
      <c r="U194" s="57" t="str">
        <f t="shared" si="30"/>
        <v>OK</v>
      </c>
      <c r="V194" s="55" t="str">
        <f t="shared" si="33"/>
        <v/>
      </c>
      <c r="W194" s="55" t="str">
        <f>IF($V194="","",IF(COUNTIF($V$5:$V194,$V194)=1,1,""))</f>
        <v/>
      </c>
      <c r="X194" s="58" t="str">
        <f>IF($W194="","",MAX($X$4:X193)+1)</f>
        <v/>
      </c>
      <c r="Y194" s="62"/>
      <c r="Z194" s="62"/>
      <c r="AA194" s="64" t="str">
        <f>IF($C194="","",IFERROR(INDEX('Staff Directory'!$E$5:$E$594,MATCH($C194,'Staff Directory'!$B$5:$B$594,0)),""))</f>
        <v>firstname175.lastname175@example.com</v>
      </c>
      <c r="AB194" s="64" t="str">
        <f>IF($C194="","",IF(ISNUMBER(SEARCH($D194,Settings!$C$15)),"Pickup","Dispatch"))</f>
        <v>Pickup</v>
      </c>
      <c r="AC194" s="64" t="str">
        <f t="shared" si="34"/>
        <v>Supply order ready for pickup</v>
      </c>
      <c r="AD194" s="64" t="str">
        <f t="shared" si="26"/>
        <v>Dear PSW,
Your order is ready for pickup from Sample Branch, Wed-Fri 9am-4pm.</v>
      </c>
      <c r="AE194" s="64" t="str">
        <f t="shared" si="27"/>
        <v>mailto:firstname175.lastname175@example.com?subject=Supply%20order%20ready%20for%20pickup&amp;body=Dear%20PSW%2C%0A%0AYour%20order%20is%20ready%20for%20pickup%20from%20Sample%20Branch%2C%20Wed-Fri%209am-4pm.</v>
      </c>
      <c r="AF194" s="89" t="str">
        <f t="shared" si="35"/>
        <v>Draft email</v>
      </c>
      <c r="AG194" s="64" t="str">
        <f>IF($C194="","",IFERROR(INDEX('Staff Directory'!$K$595:$K$599,MATCH($C194,'Staff Directory'!$B$5:$B$599,0)),$D194))</f>
        <v>PSW</v>
      </c>
      <c r="AH194" t="str">
        <f>IF($C194="","",IFERROR(INDEX('Staff Directory'!$I$595:$I$599,MATCH($C194,'Staff Directory'!$B$5:$B$599,0))&amp;" "&amp;INDEX('Staff Directory'!$J$595:$J$599,MATCH($C194,'Staff Directory'!$B$5:$B$599,0)),$AG194))</f>
        <v>PSW</v>
      </c>
      <c r="AI194" s="102"/>
      <c r="AJ194" s="101">
        <f>IF($F194="","",SUMIFS($J$5:$J194,$F$5:$F194,$F194))</f>
        <v>2880</v>
      </c>
      <c r="AK194" s="101">
        <f t="shared" si="3"/>
        <v>2801</v>
      </c>
      <c r="AL194" s="66" t="str" cm="1">
        <f t="array" ref="AL194">IF($F194="","",IFERROR(INDEX('Lot Balance'!$B$5:$B$500,MATCH(1,INDEX(('Lot Balance'!$A$5:$A$500=$F194)*('Lot Balance'!$K$5:$K$500&lt;$AK194)*('Lot Balance'!$K$5:$K$500+'Lot Balance'!$D$5:$D$500&gt;=$AK194),0),0)),""))</f>
        <v>LYSL500290</v>
      </c>
      <c r="AM194" s="66" t="str" cm="1">
        <f t="array" ref="AM194">IF($F194="","",IFERROR(INDEX('Lot Balance'!$B$5:$B$500,MATCH(1,INDEX(('Lot Balance'!$A$5:$A$500=$F194)*('Lot Balance'!$K$5:$K$500&lt;$AJ194)*('Lot Balance'!$K$5:$K$500+'Lot Balance'!$D$5:$D$500&gt;=$AJ194),0),0)),""))</f>
        <v>LYSL500290</v>
      </c>
      <c r="AN194" s="66" t="str">
        <f>IF($F194="","",IF($AI194&lt;&gt;"",IF(COUNTIFS('Lot Balance'!$A$5:$A$500,$F194,'Lot Balance'!$B$5:$B$500,$AI194)=0,"⚠ override is not a lot of this item",IF($AI194=$AL194,"Override = FEFO","Override - FEFO says "&amp;$AL194)),IF($AL194="","⚠ no receipt on file for this item",IF($AM194&lt;&gt;$AL194,"FEFO auto - split, also "&amp;$AM194,"FEFO auto"))))</f>
        <v>FEFO auto</v>
      </c>
      <c r="AO194" s="114"/>
    </row>
    <row r="195" spans="1:41" x14ac:dyDescent="0.35">
      <c r="A195" s="74">
        <v>46126</v>
      </c>
      <c r="B195" s="18" t="str">
        <f>IF($C195="","",IFERROR(INDEX('Staff Directory'!$A$5:$A$594,MATCH($C195,'Staff Directory'!$B$5:$B$594,0)),"⚠ unknown staff"))</f>
        <v>PSW-113-A4</v>
      </c>
      <c r="C195" s="49" t="s">
        <v>1091</v>
      </c>
      <c r="D195" s="19" t="str">
        <f>IF($B195="","",IFERROR(INDEX('Staff Directory'!$C$5:$C$594,MATCH($B195,'Staff Directory'!$A$5:$A$594,0)),""))</f>
        <v>PSW</v>
      </c>
      <c r="E195" s="19" t="str">
        <f>IF($B195="","",IFERROR(INDEX('Staff Directory'!$D$5:$D$594,MATCH($B195,'Staff Directory'!$A$5:$A$594,0)),""))</f>
        <v>A4</v>
      </c>
      <c r="F195" s="9" t="s">
        <v>156</v>
      </c>
      <c r="G195" s="18" t="str">
        <f>IF($F195="","",IFERROR(INDEX(Items!$B$5:$B$597,MATCH($F195,Items!$A$5:$A$597,0)),"⚠ not in Items"))</f>
        <v>Masks</v>
      </c>
      <c r="H195" s="19" t="str">
        <f>IF($F195="","",IFERROR(INDEX(Items!$C$5:$C$597,MATCH($F195,Items!$A$5:$A$597,0)),""))</f>
        <v>One Size</v>
      </c>
      <c r="I195" s="23">
        <f>IF($F195="","",IFERROR(INDEX(Items!$E$5:$E$597,MATCH($F195,Items!$A$5:$A$597,0)),""))</f>
        <v>50</v>
      </c>
      <c r="J195" s="115">
        <f>IF(tblIssues[[#This Row],[Qty Override]]&lt;&gt;"",tblIssues[[#This Row],[Qty Override]],IF(tblIssues[[#This Row],[Standard Issue]]="","",tblIssues[[#This Row],[Standard Issue]]))</f>
        <v>50</v>
      </c>
      <c r="K195" s="20">
        <f>IF($F195="","",IFERROR(INDEX(Items!$D$5:$D$597,MATCH($F195,Items!$A$5:$A$597,0)),""))</f>
        <v>0.25</v>
      </c>
      <c r="L195" s="21">
        <f t="shared" si="28"/>
        <v>12.5</v>
      </c>
      <c r="M195" s="9" t="str">
        <f t="shared" si="29"/>
        <v>0125FPC24-0</v>
      </c>
      <c r="N195" s="24">
        <f>IF($A195="","",WORKDAY($A195,Settings!$C$9,HolidayDates))</f>
        <v>46134</v>
      </c>
      <c r="O195" s="24">
        <f>IF($N195="","",WORKDAY($N195,Settings!$C$10,HolidayDates))</f>
        <v>46174</v>
      </c>
      <c r="P195" s="10" t="s">
        <v>501</v>
      </c>
      <c r="Q195" s="52" t="str">
        <f t="shared" si="31"/>
        <v>Collected</v>
      </c>
      <c r="R195" s="55" t="str">
        <f t="shared" si="32"/>
        <v>2026-04</v>
      </c>
      <c r="S195" s="55">
        <f>IF(OR($B195="",$F195="",$R195=""),"",SUMIFS(tblIssues[Qty Issued],tblIssues[Staff ID],$B195,tblIssues[Item Name],$F195,tblIssues[Month],$R195))</f>
        <v>50</v>
      </c>
      <c r="T195" s="56">
        <f>IF($I195="","",$I195*Settings!$C$11)</f>
        <v>50</v>
      </c>
      <c r="U195" s="57" t="str">
        <f t="shared" si="30"/>
        <v>OK</v>
      </c>
      <c r="V195" s="55" t="str">
        <f t="shared" si="33"/>
        <v/>
      </c>
      <c r="W195" s="55" t="str">
        <f>IF($V195="","",IF(COUNTIF($V$5:$V195,$V195)=1,1,""))</f>
        <v/>
      </c>
      <c r="X195" s="58" t="str">
        <f>IF($W195="","",MAX($X$4:X194)+1)</f>
        <v/>
      </c>
      <c r="Y195" s="62"/>
      <c r="Z195" s="62"/>
      <c r="AA195" s="64" t="str">
        <f>IF($C195="","",IFERROR(INDEX('Staff Directory'!$E$5:$E$594,MATCH($C195,'Staff Directory'!$B$5:$B$594,0)),""))</f>
        <v>firstname175.lastname175@example.com</v>
      </c>
      <c r="AB195" s="64" t="str">
        <f>IF($C195="","",IF(ISNUMBER(SEARCH($D195,Settings!$C$15)),"Pickup","Dispatch"))</f>
        <v>Pickup</v>
      </c>
      <c r="AC195" s="64" t="str">
        <f t="shared" si="34"/>
        <v>Supply order ready for pickup</v>
      </c>
      <c r="AD195" s="64" t="str">
        <f t="shared" si="26"/>
        <v>Dear PSW,
Your order is ready for pickup from Sample Branch, Wed-Fri 9am-4pm.</v>
      </c>
      <c r="AE195" s="64" t="str">
        <f t="shared" si="27"/>
        <v>mailto:firstname175.lastname175@example.com?subject=Supply%20order%20ready%20for%20pickup&amp;body=Dear%20PSW%2C%0A%0AYour%20order%20is%20ready%20for%20pickup%20from%20Sample%20Branch%2C%20Wed-Fri%209am-4pm.</v>
      </c>
      <c r="AF195" s="89" t="str">
        <f t="shared" si="35"/>
        <v>Draft email</v>
      </c>
      <c r="AG195" s="64" t="str">
        <f>IF($C195="","",IFERROR(INDEX('Staff Directory'!$K$595:$K$599,MATCH($C195,'Staff Directory'!$B$5:$B$599,0)),$D195))</f>
        <v>PSW</v>
      </c>
      <c r="AH195" t="str">
        <f>IF($C195="","",IFERROR(INDEX('Staff Directory'!$I$595:$I$599,MATCH($C195,'Staff Directory'!$B$5:$B$599,0))&amp;" "&amp;INDEX('Staff Directory'!$J$595:$J$599,MATCH($C195,'Staff Directory'!$B$5:$B$599,0)),$AG195))</f>
        <v>PSW</v>
      </c>
      <c r="AI195" s="102"/>
      <c r="AJ195" s="101">
        <f>IF($F195="","",SUMIFS($J$5:$J195,$F$5:$F195,$F195))</f>
        <v>1450</v>
      </c>
      <c r="AK195" s="101">
        <f t="shared" si="3"/>
        <v>1401</v>
      </c>
      <c r="AL195" s="66" t="str" cm="1">
        <f t="array" ref="AL195">IF($F195="","",IFERROR(INDEX('Lot Balance'!$B$5:$B$500,MATCH(1,INDEX(('Lot Balance'!$A$5:$A$500=$F195)*('Lot Balance'!$K$5:$K$500&lt;$AK195)*('Lot Balance'!$K$5:$K$500+'Lot Balance'!$D$5:$D$500&gt;=$AK195),0),0)),""))</f>
        <v>0125FPC24-0</v>
      </c>
      <c r="AM195" s="66" t="str" cm="1">
        <f t="array" ref="AM195">IF($F195="","",IFERROR(INDEX('Lot Balance'!$B$5:$B$500,MATCH(1,INDEX(('Lot Balance'!$A$5:$A$500=$F195)*('Lot Balance'!$K$5:$K$500&lt;$AJ195)*('Lot Balance'!$K$5:$K$500+'Lot Balance'!$D$5:$D$500&gt;=$AJ195),0),0)),""))</f>
        <v>0125FPC24-0</v>
      </c>
      <c r="AN195" s="66" t="str">
        <f>IF($F195="","",IF($AI195&lt;&gt;"",IF(COUNTIFS('Lot Balance'!$A$5:$A$500,$F195,'Lot Balance'!$B$5:$B$500,$AI195)=0,"⚠ override is not a lot of this item",IF($AI195=$AL195,"Override = FEFO","Override - FEFO says "&amp;$AL195)),IF($AL195="","⚠ no receipt on file for this item",IF($AM195&lt;&gt;$AL195,"FEFO auto - split, also "&amp;$AM195,"FEFO auto"))))</f>
        <v>FEFO auto</v>
      </c>
      <c r="AO195" s="114"/>
    </row>
    <row r="196" spans="1:41" x14ac:dyDescent="0.35">
      <c r="A196" s="74">
        <v>46126</v>
      </c>
      <c r="B196" s="18" t="str">
        <f>IF($C196="","",IFERROR(INDEX('Staff Directory'!$A$5:$A$594,MATCH($C196,'Staff Directory'!$B$5:$B$594,0)),"⚠ unknown staff"))</f>
        <v>PSW-113-A4</v>
      </c>
      <c r="C196" s="49" t="s">
        <v>1091</v>
      </c>
      <c r="D196" s="19" t="str">
        <f>IF($B196="","",IFERROR(INDEX('Staff Directory'!$C$5:$C$594,MATCH($B196,'Staff Directory'!$A$5:$A$594,0)),""))</f>
        <v>PSW</v>
      </c>
      <c r="E196" s="19" t="str">
        <f>IF($B196="","",IFERROR(INDEX('Staff Directory'!$D$5:$D$594,MATCH($B196,'Staff Directory'!$A$5:$A$594,0)),""))</f>
        <v>A4</v>
      </c>
      <c r="F196" s="9" t="s">
        <v>755</v>
      </c>
      <c r="G196" s="18" t="str">
        <f>IF($F196="","",IFERROR(INDEX(Items!$B$5:$B$597,MATCH($F196,Items!$A$5:$A$597,0)),"⚠ not in Items"))</f>
        <v>Documents</v>
      </c>
      <c r="H196" s="19" t="str">
        <f>IF($F196="","",IFERROR(INDEX(Items!$C$5:$C$597,MATCH($F196,Items!$A$5:$A$597,0)),""))</f>
        <v>Standard</v>
      </c>
      <c r="I196" s="23">
        <f>IF($F196="","",IFERROR(INDEX(Items!$E$5:$E$597,MATCH($F196,Items!$A$5:$A$597,0)),""))</f>
        <v>2</v>
      </c>
      <c r="J196" s="115">
        <f>IF(tblIssues[[#This Row],[Qty Override]]&lt;&gt;"",tblIssues[[#This Row],[Qty Override]],IF(tblIssues[[#This Row],[Standard Issue]]="","",tblIssues[[#This Row],[Standard Issue]]))</f>
        <v>2</v>
      </c>
      <c r="K196" s="20">
        <f>IF($F196="","",IFERROR(INDEX(Items!$D$5:$D$597,MATCH($F196,Items!$A$5:$A$597,0)),""))</f>
        <v>0</v>
      </c>
      <c r="L196" s="21">
        <f t="shared" si="28"/>
        <v>0</v>
      </c>
      <c r="M196" s="9" t="str">
        <f t="shared" si="29"/>
        <v/>
      </c>
      <c r="N196" s="24">
        <f>IF($A196="","",WORKDAY($A196,Settings!$C$9,HolidayDates))</f>
        <v>46134</v>
      </c>
      <c r="O196" s="24">
        <f>IF($N196="","",WORKDAY($N196,Settings!$C$10,HolidayDates))</f>
        <v>46174</v>
      </c>
      <c r="P196" s="10" t="s">
        <v>501</v>
      </c>
      <c r="Q196" s="52" t="str">
        <f t="shared" si="31"/>
        <v>Collected</v>
      </c>
      <c r="R196" s="55" t="str">
        <f t="shared" si="32"/>
        <v>2026-04</v>
      </c>
      <c r="S196" s="55">
        <f>IF(OR($B196="",$F196="",$R196=""),"",SUMIFS(tblIssues[Qty Issued],tblIssues[Staff ID],$B196,tblIssues[Item Name],$F196,tblIssues[Month],$R196))</f>
        <v>2</v>
      </c>
      <c r="T196" s="56">
        <f>IF($I196="","",$I196*Settings!$C$11)</f>
        <v>2</v>
      </c>
      <c r="U196" s="57" t="str">
        <f t="shared" si="30"/>
        <v>OK</v>
      </c>
      <c r="V196" s="55" t="str">
        <f t="shared" si="33"/>
        <v/>
      </c>
      <c r="W196" s="55" t="str">
        <f>IF($V196="","",IF(COUNTIF($V$5:$V196,$V196)=1,1,""))</f>
        <v/>
      </c>
      <c r="X196" s="58" t="str">
        <f>IF($W196="","",MAX($X$4:X195)+1)</f>
        <v/>
      </c>
      <c r="Y196" s="62"/>
      <c r="Z196" s="62"/>
      <c r="AA196" s="64" t="str">
        <f>IF($C196="","",IFERROR(INDEX('Staff Directory'!$E$5:$E$594,MATCH($C196,'Staff Directory'!$B$5:$B$594,0)),""))</f>
        <v>firstname175.lastname175@example.com</v>
      </c>
      <c r="AB196" s="64" t="str">
        <f>IF($C196="","",IF(ISNUMBER(SEARCH($D196,Settings!$C$15)),"Pickup","Dispatch"))</f>
        <v>Pickup</v>
      </c>
      <c r="AC196" s="64" t="str">
        <f t="shared" si="34"/>
        <v>Supply order ready for pickup</v>
      </c>
      <c r="AD196" s="64" t="str">
        <f t="shared" si="26"/>
        <v>Dear PSW,
Your order is ready for pickup from Sample Branch, Wed-Fri 9am-4pm.</v>
      </c>
      <c r="AE196" s="64" t="str">
        <f t="shared" si="27"/>
        <v>mailto:firstname175.lastname175@example.com?subject=Supply%20order%20ready%20for%20pickup&amp;body=Dear%20PSW%2C%0A%0AYour%20order%20is%20ready%20for%20pickup%20from%20Sample%20Branch%2C%20Wed-Fri%209am-4pm.</v>
      </c>
      <c r="AF196" s="89" t="str">
        <f t="shared" si="35"/>
        <v>Draft email</v>
      </c>
      <c r="AG196" s="64" t="str">
        <f>IF($C196="","",IFERROR(INDEX('Staff Directory'!$K$595:$K$599,MATCH($C196,'Staff Directory'!$B$5:$B$599,0)),$D196))</f>
        <v>PSW</v>
      </c>
      <c r="AH196" t="str">
        <f>IF($C196="","",IFERROR(INDEX('Staff Directory'!$I$595:$I$599,MATCH($C196,'Staff Directory'!$B$5:$B$599,0))&amp;" "&amp;INDEX('Staff Directory'!$J$595:$J$599,MATCH($C196,'Staff Directory'!$B$5:$B$599,0)),$AG196))</f>
        <v>PSW</v>
      </c>
      <c r="AI196" s="102"/>
      <c r="AJ196" s="101">
        <f>IF($F196="","",SUMIFS($J$5:$J196,$F$5:$F196,$F196))</f>
        <v>36</v>
      </c>
      <c r="AK196" s="101">
        <f t="shared" si="3"/>
        <v>35</v>
      </c>
      <c r="AL196" s="66" t="str" cm="1">
        <f t="array" ref="AL196">IF($F196="","",IFERROR(INDEX('Lot Balance'!$B$5:$B$500,MATCH(1,INDEX(('Lot Balance'!$A$5:$A$500=$F196)*('Lot Balance'!$K$5:$K$500&lt;$AK196)*('Lot Balance'!$K$5:$K$500+'Lot Balance'!$D$5:$D$500&gt;=$AK196),0),0)),""))</f>
        <v/>
      </c>
      <c r="AM196" s="66" t="str" cm="1">
        <f t="array" ref="AM196">IF($F196="","",IFERROR(INDEX('Lot Balance'!$B$5:$B$500,MATCH(1,INDEX(('Lot Balance'!$A$5:$A$500=$F196)*('Lot Balance'!$K$5:$K$500&lt;$AJ196)*('Lot Balance'!$K$5:$K$500+'Lot Balance'!$D$5:$D$500&gt;=$AJ196),0),0)),""))</f>
        <v/>
      </c>
      <c r="AN196" s="66" t="str">
        <f>IF($F196="","",IF($AI196&lt;&gt;"",IF(COUNTIFS('Lot Balance'!$A$5:$A$500,$F196,'Lot Balance'!$B$5:$B$500,$AI196)=0,"⚠ override is not a lot of this item",IF($AI196=$AL196,"Override = FEFO","Override - FEFO says "&amp;$AL196)),IF($AL196="","⚠ no receipt on file for this item",IF($AM196&lt;&gt;$AL196,"FEFO auto - split, also "&amp;$AM196,"FEFO auto"))))</f>
        <v>⚠ no receipt on file for this item</v>
      </c>
      <c r="AO196" s="114"/>
    </row>
    <row r="197" spans="1:41" x14ac:dyDescent="0.35">
      <c r="A197" s="74">
        <v>46126</v>
      </c>
      <c r="B197" s="18" t="str">
        <f>IF($C197="","",IFERROR(INDEX('Staff Directory'!$A$5:$A$594,MATCH($C197,'Staff Directory'!$B$5:$B$594,0)),"⚠ unknown staff"))</f>
        <v>PSW-008-A6</v>
      </c>
      <c r="C197" s="49" t="s">
        <v>984</v>
      </c>
      <c r="D197" s="19" t="str">
        <f>IF($B197="","",IFERROR(INDEX('Staff Directory'!$C$5:$C$594,MATCH($B197,'Staff Directory'!$A$5:$A$594,0)),""))</f>
        <v>PSW</v>
      </c>
      <c r="E197" s="19" t="str">
        <f>IF($B197="","",IFERROR(INDEX('Staff Directory'!$D$5:$D$594,MATCH($B197,'Staff Directory'!$A$5:$A$594,0)),""))</f>
        <v>A6</v>
      </c>
      <c r="F197" s="9" t="s">
        <v>129</v>
      </c>
      <c r="G197" s="18" t="str">
        <f>IF($F197="","",IFERROR(INDEX(Items!$B$5:$B$597,MATCH($F197,Items!$A$5:$A$597,0)),"⚠ not in Items"))</f>
        <v>Gloves</v>
      </c>
      <c r="H197" s="19" t="str">
        <f>IF($F197="","",IFERROR(INDEX(Items!$C$5:$C$597,MATCH($F197,Items!$A$5:$A$597,0)),""))</f>
        <v>Small</v>
      </c>
      <c r="I197" s="23">
        <f>IF($F197="","",IFERROR(INDEX(Items!$E$5:$E$597,MATCH($F197,Items!$A$5:$A$597,0)),""))</f>
        <v>500</v>
      </c>
      <c r="J197" s="115">
        <f>IF(tblIssues[[#This Row],[Qty Override]]&lt;&gt;"",tblIssues[[#This Row],[Qty Override]],IF(tblIssues[[#This Row],[Standard Issue]]="","",tblIssues[[#This Row],[Standard Issue]]))</f>
        <v>500</v>
      </c>
      <c r="K197" s="20">
        <f>IF($F197="","",IFERROR(INDEX(Items!$D$5:$D$597,MATCH($F197,Items!$A$5:$A$597,0)),""))</f>
        <v>5.5E-2</v>
      </c>
      <c r="L197" s="21">
        <f t="shared" si="28"/>
        <v>27.5</v>
      </c>
      <c r="M197" s="9" t="str">
        <f t="shared" si="29"/>
        <v>ZIM504124207-4</v>
      </c>
      <c r="N197" s="24">
        <f>IF($A197="","",WORKDAY($A197,Settings!$C$9,HolidayDates))</f>
        <v>46134</v>
      </c>
      <c r="O197" s="24">
        <f>IF($N197="","",WORKDAY($N197,Settings!$C$10,HolidayDates))</f>
        <v>46174</v>
      </c>
      <c r="P197" s="10" t="s">
        <v>501</v>
      </c>
      <c r="Q197" s="52" t="str">
        <f t="shared" si="31"/>
        <v>Collected</v>
      </c>
      <c r="R197" s="55" t="str">
        <f t="shared" si="32"/>
        <v>2026-04</v>
      </c>
      <c r="S197" s="55">
        <f>IF(OR($B197="",$F197="",$R197=""),"",SUMIFS(tblIssues[Qty Issued],tblIssues[Staff ID],$B197,tblIssues[Item Name],$F197,tblIssues[Month],$R197))</f>
        <v>500</v>
      </c>
      <c r="T197" s="56">
        <f>IF($I197="","",$I197*Settings!$C$11)</f>
        <v>500</v>
      </c>
      <c r="U197" s="57" t="str">
        <f t="shared" si="30"/>
        <v>OK</v>
      </c>
      <c r="V197" s="55" t="str">
        <f t="shared" si="33"/>
        <v/>
      </c>
      <c r="W197" s="55" t="str">
        <f>IF($V197="","",IF(COUNTIF($V$5:$V197,$V197)=1,1,""))</f>
        <v/>
      </c>
      <c r="X197" s="58" t="str">
        <f>IF($W197="","",MAX($X$4:X196)+1)</f>
        <v/>
      </c>
      <c r="Y197" s="62"/>
      <c r="Z197" s="62"/>
      <c r="AA197" s="64" t="str">
        <f>IF($C197="","",IFERROR(INDEX('Staff Directory'!$E$5:$E$594,MATCH($C197,'Staff Directory'!$B$5:$B$594,0)),""))</f>
        <v>firstname068.lastname068@example.com</v>
      </c>
      <c r="AB197" s="64" t="str">
        <f>IF($C197="","",IF(ISNUMBER(SEARCH($D197,Settings!$C$15)),"Pickup","Dispatch"))</f>
        <v>Pickup</v>
      </c>
      <c r="AC197" s="64" t="str">
        <f t="shared" si="34"/>
        <v>Supply order ready for pickup</v>
      </c>
      <c r="AD197" s="64" t="str">
        <f t="shared" ref="AD197:AD260" si="36">IF($AB197="Pickup","Dear "&amp;$AH197&amp;","&amp;CHAR(10)&amp;CHAR(10)&amp;"Your order is ready for pickup from Sample Branch, Wed-Fri 9am-4pm.",IF($AB197="Dispatch","Dear "&amp;$AH197&amp;","&amp;CHAR(10)&amp;CHAR(10)&amp;"Your order has been dispatched and is in transit. Reply if undelivered.",""))</f>
        <v>Dear PSW,
Your order is ready for pickup from Sample Branch, Wed-Fri 9am-4pm.</v>
      </c>
      <c r="AE197" s="64" t="str">
        <f t="shared" ref="AE197:AE260" si="37">IF(OR($AA197="",$AC197=""),"","mailto:"&amp;$AA197&amp;"?subject="&amp;_xlfn.ENCODEURL($AC197)&amp;"&amp;body="&amp;_xlfn.ENCODEURL($AD197))</f>
        <v>mailto:firstname068.lastname068@example.com?subject=Supply%20order%20ready%20for%20pickup&amp;body=Dear%20PSW%2C%0A%0AYour%20order%20is%20ready%20for%20pickup%20from%20Sample%20Branch%2C%20Wed-Fri%209am-4pm.</v>
      </c>
      <c r="AF197" s="89" t="str">
        <f t="shared" si="35"/>
        <v>Draft email</v>
      </c>
      <c r="AG197" s="64" t="str">
        <f>IF($C197="","",IFERROR(INDEX('Staff Directory'!$K$595:$K$599,MATCH($C197,'Staff Directory'!$B$5:$B$599,0)),$D197))</f>
        <v>PSW</v>
      </c>
      <c r="AH197" t="str">
        <f>IF($C197="","",IFERROR(INDEX('Staff Directory'!$I$595:$I$599,MATCH($C197,'Staff Directory'!$B$5:$B$599,0))&amp;" "&amp;INDEX('Staff Directory'!$J$595:$J$599,MATCH($C197,'Staff Directory'!$B$5:$B$599,0)),$AG197))</f>
        <v>PSW</v>
      </c>
      <c r="AI197" s="102"/>
      <c r="AJ197" s="101">
        <f>IF($F197="","",SUMIFS($J$5:$J197,$F$5:$F197,$F197))</f>
        <v>7000</v>
      </c>
      <c r="AK197" s="101">
        <f t="shared" ref="AK197:AK260" si="38">IF($F197="","",MAX(1,$AJ197-MAX($J197,0)+1))</f>
        <v>6501</v>
      </c>
      <c r="AL197" s="66" t="str" cm="1">
        <f t="array" ref="AL197">IF($F197="","",IFERROR(INDEX('Lot Balance'!$B$5:$B$500,MATCH(1,INDEX(('Lot Balance'!$A$5:$A$500=$F197)*('Lot Balance'!$K$5:$K$500&lt;$AK197)*('Lot Balance'!$K$5:$K$500+'Lot Balance'!$D$5:$D$500&gt;=$AK197),0),0)),""))</f>
        <v>ZIM504124207-4</v>
      </c>
      <c r="AM197" s="66" t="str" cm="1">
        <f t="array" ref="AM197">IF($F197="","",IFERROR(INDEX('Lot Balance'!$B$5:$B$500,MATCH(1,INDEX(('Lot Balance'!$A$5:$A$500=$F197)*('Lot Balance'!$K$5:$K$500&lt;$AJ197)*('Lot Balance'!$K$5:$K$500+'Lot Balance'!$D$5:$D$500&gt;=$AJ197),0),0)),""))</f>
        <v>ZIM504124207-4</v>
      </c>
      <c r="AN197" s="66" t="str">
        <f>IF($F197="","",IF($AI197&lt;&gt;"",IF(COUNTIFS('Lot Balance'!$A$5:$A$500,$F197,'Lot Balance'!$B$5:$B$500,$AI197)=0,"⚠ override is not a lot of this item",IF($AI197=$AL197,"Override = FEFO","Override - FEFO says "&amp;$AL197)),IF($AL197="","⚠ no receipt on file for this item",IF($AM197&lt;&gt;$AL197,"FEFO auto - split, also "&amp;$AM197,"FEFO auto"))))</f>
        <v>FEFO auto</v>
      </c>
      <c r="AO197" s="114"/>
    </row>
    <row r="198" spans="1:41" x14ac:dyDescent="0.35">
      <c r="A198" s="74">
        <v>46126</v>
      </c>
      <c r="B198" s="18" t="str">
        <f>IF($C198="","",IFERROR(INDEX('Staff Directory'!$A$5:$A$594,MATCH($C198,'Staff Directory'!$B$5:$B$594,0)),"⚠ unknown staff"))</f>
        <v>PSW-008-A6</v>
      </c>
      <c r="C198" s="49" t="s">
        <v>984</v>
      </c>
      <c r="D198" s="19" t="str">
        <f>IF($B198="","",IFERROR(INDEX('Staff Directory'!$C$5:$C$594,MATCH($B198,'Staff Directory'!$A$5:$A$594,0)),""))</f>
        <v>PSW</v>
      </c>
      <c r="E198" s="19" t="str">
        <f>IF($B198="","",IFERROR(INDEX('Staff Directory'!$D$5:$D$594,MATCH($B198,'Staff Directory'!$A$5:$A$594,0)),""))</f>
        <v>A6</v>
      </c>
      <c r="F198" s="9" t="s">
        <v>115</v>
      </c>
      <c r="G198" s="18" t="str">
        <f>IF($F198="","",IFERROR(INDEX(Items!$B$5:$B$597,MATCH($F198,Items!$A$5:$A$597,0)),"⚠ not in Items"))</f>
        <v>Wipes</v>
      </c>
      <c r="H198" s="19">
        <f>IF($F198="","",IFERROR(INDEX(Items!$C$5:$C$597,MATCH($F198,Items!$A$5:$A$597,0)),""))</f>
        <v>80</v>
      </c>
      <c r="I198" s="23">
        <f>IF($F198="","",IFERROR(INDEX(Items!$E$5:$E$597,MATCH($F198,Items!$A$5:$A$597,0)),""))</f>
        <v>80</v>
      </c>
      <c r="J198" s="115">
        <f>IF(tblIssues[[#This Row],[Qty Override]]&lt;&gt;"",tblIssues[[#This Row],[Qty Override]],IF(tblIssues[[#This Row],[Standard Issue]]="","",tblIssues[[#This Row],[Standard Issue]]))</f>
        <v>80</v>
      </c>
      <c r="K198" s="20">
        <f>IF($F198="","",IFERROR(INDEX(Items!$D$5:$D$597,MATCH($F198,Items!$A$5:$A$597,0)),""))</f>
        <v>0.1</v>
      </c>
      <c r="L198" s="21">
        <f t="shared" ref="L198:L261" si="39">IF(OR($J198="",$K198=""),"",$J198*$K198)</f>
        <v>8</v>
      </c>
      <c r="M198" s="9" t="str">
        <f t="shared" ref="M198:M261" si="40">IF($F198="","",IF($AI198&lt;&gt;"",$AI198,$AL198))</f>
        <v>LYSL500290</v>
      </c>
      <c r="N198" s="24">
        <f>IF($A198="","",WORKDAY($A198,Settings!$C$9,HolidayDates))</f>
        <v>46134</v>
      </c>
      <c r="O198" s="24">
        <f>IF($N198="","",WORKDAY($N198,Settings!$C$10,HolidayDates))</f>
        <v>46174</v>
      </c>
      <c r="P198" s="10" t="s">
        <v>501</v>
      </c>
      <c r="Q198" s="52" t="str">
        <f t="shared" si="31"/>
        <v>Collected</v>
      </c>
      <c r="R198" s="55" t="str">
        <f t="shared" si="32"/>
        <v>2026-04</v>
      </c>
      <c r="S198" s="55">
        <f>IF(OR($B198="",$F198="",$R198=""),"",SUMIFS(tblIssues[Qty Issued],tblIssues[Staff ID],$B198,tblIssues[Item Name],$F198,tblIssues[Month],$R198))</f>
        <v>80</v>
      </c>
      <c r="T198" s="56">
        <f>IF($I198="","",$I198*Settings!$C$11)</f>
        <v>80</v>
      </c>
      <c r="U198" s="57" t="str">
        <f t="shared" ref="U198:U261" si="41">IF(OR($S198="",$T198=""),"",IF($S198&gt;$T198,IF($Y198="Approved","APPROVED BY TL","⚠ OVER QUOTA"),"OK"))</f>
        <v>OK</v>
      </c>
      <c r="V198" s="55" t="str">
        <f t="shared" si="33"/>
        <v/>
      </c>
      <c r="W198" s="55" t="str">
        <f>IF($V198="","",IF(COUNTIF($V$5:$V198,$V198)=1,1,""))</f>
        <v/>
      </c>
      <c r="X198" s="58" t="str">
        <f>IF($W198="","",MAX($X$4:X197)+1)</f>
        <v/>
      </c>
      <c r="Y198" s="62"/>
      <c r="Z198" s="62"/>
      <c r="AA198" s="64" t="str">
        <f>IF($C198="","",IFERROR(INDEX('Staff Directory'!$E$5:$E$594,MATCH($C198,'Staff Directory'!$B$5:$B$594,0)),""))</f>
        <v>firstname068.lastname068@example.com</v>
      </c>
      <c r="AB198" s="64" t="str">
        <f>IF($C198="","",IF(ISNUMBER(SEARCH($D198,Settings!$C$15)),"Pickup","Dispatch"))</f>
        <v>Pickup</v>
      </c>
      <c r="AC198" s="64" t="str">
        <f t="shared" si="34"/>
        <v>Supply order ready for pickup</v>
      </c>
      <c r="AD198" s="64" t="str">
        <f t="shared" si="36"/>
        <v>Dear PSW,
Your order is ready for pickup from Sample Branch, Wed-Fri 9am-4pm.</v>
      </c>
      <c r="AE198" s="64" t="str">
        <f t="shared" si="37"/>
        <v>mailto:firstname068.lastname068@example.com?subject=Supply%20order%20ready%20for%20pickup&amp;body=Dear%20PSW%2C%0A%0AYour%20order%20is%20ready%20for%20pickup%20from%20Sample%20Branch%2C%20Wed-Fri%209am-4pm.</v>
      </c>
      <c r="AF198" s="89" t="str">
        <f t="shared" si="35"/>
        <v>Draft email</v>
      </c>
      <c r="AG198" s="64" t="str">
        <f>IF($C198="","",IFERROR(INDEX('Staff Directory'!$K$595:$K$599,MATCH($C198,'Staff Directory'!$B$5:$B$599,0)),$D198))</f>
        <v>PSW</v>
      </c>
      <c r="AH198" t="str">
        <f>IF($C198="","",IFERROR(INDEX('Staff Directory'!$I$595:$I$599,MATCH($C198,'Staff Directory'!$B$5:$B$599,0))&amp;" "&amp;INDEX('Staff Directory'!$J$595:$J$599,MATCH($C198,'Staff Directory'!$B$5:$B$599,0)),$AG198))</f>
        <v>PSW</v>
      </c>
      <c r="AI198" s="102"/>
      <c r="AJ198" s="101">
        <f>IF($F198="","",SUMIFS($J$5:$J198,$F$5:$F198,$F198))</f>
        <v>2960</v>
      </c>
      <c r="AK198" s="101">
        <f t="shared" si="38"/>
        <v>2881</v>
      </c>
      <c r="AL198" s="66" t="str" cm="1">
        <f t="array" ref="AL198">IF($F198="","",IFERROR(INDEX('Lot Balance'!$B$5:$B$500,MATCH(1,INDEX(('Lot Balance'!$A$5:$A$500=$F198)*('Lot Balance'!$K$5:$K$500&lt;$AK198)*('Lot Balance'!$K$5:$K$500+'Lot Balance'!$D$5:$D$500&gt;=$AK198),0),0)),""))</f>
        <v>LYSL500290</v>
      </c>
      <c r="AM198" s="66" t="str" cm="1">
        <f t="array" ref="AM198">IF($F198="","",IFERROR(INDEX('Lot Balance'!$B$5:$B$500,MATCH(1,INDEX(('Lot Balance'!$A$5:$A$500=$F198)*('Lot Balance'!$K$5:$K$500&lt;$AJ198)*('Lot Balance'!$K$5:$K$500+'Lot Balance'!$D$5:$D$500&gt;=$AJ198),0),0)),""))</f>
        <v>LYSL500290</v>
      </c>
      <c r="AN198" s="66" t="str">
        <f>IF($F198="","",IF($AI198&lt;&gt;"",IF(COUNTIFS('Lot Balance'!$A$5:$A$500,$F198,'Lot Balance'!$B$5:$B$500,$AI198)=0,"⚠ override is not a lot of this item",IF($AI198=$AL198,"Override = FEFO","Override - FEFO says "&amp;$AL198)),IF($AL198="","⚠ no receipt on file for this item",IF($AM198&lt;&gt;$AL198,"FEFO auto - split, also "&amp;$AM198,"FEFO auto"))))</f>
        <v>FEFO auto</v>
      </c>
      <c r="AO198" s="114"/>
    </row>
    <row r="199" spans="1:41" x14ac:dyDescent="0.35">
      <c r="A199" s="74">
        <v>46126</v>
      </c>
      <c r="B199" s="18" t="str">
        <f>IF($C199="","",IFERROR(INDEX('Staff Directory'!$A$5:$A$594,MATCH($C199,'Staff Directory'!$B$5:$B$594,0)),"⚠ unknown staff"))</f>
        <v>PSW-008-A6</v>
      </c>
      <c r="C199" s="49" t="s">
        <v>984</v>
      </c>
      <c r="D199" s="19" t="str">
        <f>IF($B199="","",IFERROR(INDEX('Staff Directory'!$C$5:$C$594,MATCH($B199,'Staff Directory'!$A$5:$A$594,0)),""))</f>
        <v>PSW</v>
      </c>
      <c r="E199" s="19" t="str">
        <f>IF($B199="","",IFERROR(INDEX('Staff Directory'!$D$5:$D$594,MATCH($B199,'Staff Directory'!$A$5:$A$594,0)),""))</f>
        <v>A6</v>
      </c>
      <c r="F199" s="9" t="s">
        <v>755</v>
      </c>
      <c r="G199" s="18" t="str">
        <f>IF($F199="","",IFERROR(INDEX(Items!$B$5:$B$597,MATCH($F199,Items!$A$5:$A$597,0)),"⚠ not in Items"))</f>
        <v>Documents</v>
      </c>
      <c r="H199" s="19" t="str">
        <f>IF($F199="","",IFERROR(INDEX(Items!$C$5:$C$597,MATCH($F199,Items!$A$5:$A$597,0)),""))</f>
        <v>Standard</v>
      </c>
      <c r="I199" s="23">
        <f>IF($F199="","",IFERROR(INDEX(Items!$E$5:$E$597,MATCH($F199,Items!$A$5:$A$597,0)),""))</f>
        <v>2</v>
      </c>
      <c r="J199" s="115">
        <f>IF(tblIssues[[#This Row],[Qty Override]]&lt;&gt;"",tblIssues[[#This Row],[Qty Override]],IF(tblIssues[[#This Row],[Standard Issue]]="","",tblIssues[[#This Row],[Standard Issue]]))</f>
        <v>2</v>
      </c>
      <c r="K199" s="20">
        <f>IF($F199="","",IFERROR(INDEX(Items!$D$5:$D$597,MATCH($F199,Items!$A$5:$A$597,0)),""))</f>
        <v>0</v>
      </c>
      <c r="L199" s="21">
        <f t="shared" si="39"/>
        <v>0</v>
      </c>
      <c r="M199" s="9" t="str">
        <f t="shared" si="40"/>
        <v/>
      </c>
      <c r="N199" s="24">
        <f>IF($A199="","",WORKDAY($A199,Settings!$C$9,HolidayDates))</f>
        <v>46134</v>
      </c>
      <c r="O199" s="24">
        <f>IF($N199="","",WORKDAY($N199,Settings!$C$10,HolidayDates))</f>
        <v>46174</v>
      </c>
      <c r="P199" s="10" t="s">
        <v>501</v>
      </c>
      <c r="Q199" s="52" t="str">
        <f t="shared" si="31"/>
        <v>Collected</v>
      </c>
      <c r="R199" s="55" t="str">
        <f t="shared" si="32"/>
        <v>2026-04</v>
      </c>
      <c r="S199" s="55">
        <f>IF(OR($B199="",$F199="",$R199=""),"",SUMIFS(tblIssues[Qty Issued],tblIssues[Staff ID],$B199,tblIssues[Item Name],$F199,tblIssues[Month],$R199))</f>
        <v>2</v>
      </c>
      <c r="T199" s="56">
        <f>IF($I199="","",$I199*Settings!$C$11)</f>
        <v>2</v>
      </c>
      <c r="U199" s="57" t="str">
        <f t="shared" si="41"/>
        <v>OK</v>
      </c>
      <c r="V199" s="55" t="str">
        <f t="shared" si="33"/>
        <v/>
      </c>
      <c r="W199" s="55" t="str">
        <f>IF($V199="","",IF(COUNTIF($V$5:$V199,$V199)=1,1,""))</f>
        <v/>
      </c>
      <c r="X199" s="58" t="str">
        <f>IF($W199="","",MAX($X$4:X198)+1)</f>
        <v/>
      </c>
      <c r="Y199" s="62"/>
      <c r="Z199" s="62"/>
      <c r="AA199" s="64" t="str">
        <f>IF($C199="","",IFERROR(INDEX('Staff Directory'!$E$5:$E$594,MATCH($C199,'Staff Directory'!$B$5:$B$594,0)),""))</f>
        <v>firstname068.lastname068@example.com</v>
      </c>
      <c r="AB199" s="64" t="str">
        <f>IF($C199="","",IF(ISNUMBER(SEARCH($D199,Settings!$C$15)),"Pickup","Dispatch"))</f>
        <v>Pickup</v>
      </c>
      <c r="AC199" s="64" t="str">
        <f t="shared" si="34"/>
        <v>Supply order ready for pickup</v>
      </c>
      <c r="AD199" s="64" t="str">
        <f t="shared" si="36"/>
        <v>Dear PSW,
Your order is ready for pickup from Sample Branch, Wed-Fri 9am-4pm.</v>
      </c>
      <c r="AE199" s="64" t="str">
        <f t="shared" si="37"/>
        <v>mailto:firstname068.lastname068@example.com?subject=Supply%20order%20ready%20for%20pickup&amp;body=Dear%20PSW%2C%0A%0AYour%20order%20is%20ready%20for%20pickup%20from%20Sample%20Branch%2C%20Wed-Fri%209am-4pm.</v>
      </c>
      <c r="AF199" s="89" t="str">
        <f t="shared" si="35"/>
        <v>Draft email</v>
      </c>
      <c r="AG199" s="64" t="str">
        <f>IF($C199="","",IFERROR(INDEX('Staff Directory'!$K$595:$K$599,MATCH($C199,'Staff Directory'!$B$5:$B$599,0)),$D199))</f>
        <v>PSW</v>
      </c>
      <c r="AH199" t="str">
        <f>IF($C199="","",IFERROR(INDEX('Staff Directory'!$I$595:$I$599,MATCH($C199,'Staff Directory'!$B$5:$B$599,0))&amp;" "&amp;INDEX('Staff Directory'!$J$595:$J$599,MATCH($C199,'Staff Directory'!$B$5:$B$599,0)),$AG199))</f>
        <v>PSW</v>
      </c>
      <c r="AI199" s="102"/>
      <c r="AJ199" s="101">
        <f>IF($F199="","",SUMIFS($J$5:$J199,$F$5:$F199,$F199))</f>
        <v>38</v>
      </c>
      <c r="AK199" s="101">
        <f t="shared" si="38"/>
        <v>37</v>
      </c>
      <c r="AL199" s="66" t="str" cm="1">
        <f t="array" ref="AL199">IF($F199="","",IFERROR(INDEX('Lot Balance'!$B$5:$B$500,MATCH(1,INDEX(('Lot Balance'!$A$5:$A$500=$F199)*('Lot Balance'!$K$5:$K$500&lt;$AK199)*('Lot Balance'!$K$5:$K$500+'Lot Balance'!$D$5:$D$500&gt;=$AK199),0),0)),""))</f>
        <v/>
      </c>
      <c r="AM199" s="66" t="str" cm="1">
        <f t="array" ref="AM199">IF($F199="","",IFERROR(INDEX('Lot Balance'!$B$5:$B$500,MATCH(1,INDEX(('Lot Balance'!$A$5:$A$500=$F199)*('Lot Balance'!$K$5:$K$500&lt;$AJ199)*('Lot Balance'!$K$5:$K$500+'Lot Balance'!$D$5:$D$500&gt;=$AJ199),0),0)),""))</f>
        <v/>
      </c>
      <c r="AN199" s="66" t="str">
        <f>IF($F199="","",IF($AI199&lt;&gt;"",IF(COUNTIFS('Lot Balance'!$A$5:$A$500,$F199,'Lot Balance'!$B$5:$B$500,$AI199)=0,"⚠ override is not a lot of this item",IF($AI199=$AL199,"Override = FEFO","Override - FEFO says "&amp;$AL199)),IF($AL199="","⚠ no receipt on file for this item",IF($AM199&lt;&gt;$AL199,"FEFO auto - split, also "&amp;$AM199,"FEFO auto"))))</f>
        <v>⚠ no receipt on file for this item</v>
      </c>
      <c r="AO199" s="114"/>
    </row>
    <row r="200" spans="1:41" x14ac:dyDescent="0.35">
      <c r="A200" s="74">
        <v>46126</v>
      </c>
      <c r="B200" s="18" t="str">
        <f>IF($C200="","",IFERROR(INDEX('Staff Directory'!$A$5:$A$594,MATCH($C200,'Staff Directory'!$B$5:$B$594,0)),"⚠ unknown staff"))</f>
        <v>PSW-046-A4</v>
      </c>
      <c r="C200" s="49" t="s">
        <v>1022</v>
      </c>
      <c r="D200" s="19" t="str">
        <f>IF($B200="","",IFERROR(INDEX('Staff Directory'!$C$5:$C$594,MATCH($B200,'Staff Directory'!$A$5:$A$594,0)),""))</f>
        <v>PSW</v>
      </c>
      <c r="E200" s="19" t="str">
        <f>IF($B200="","",IFERROR(INDEX('Staff Directory'!$D$5:$D$594,MATCH($B200,'Staff Directory'!$A$5:$A$594,0)),""))</f>
        <v>A4</v>
      </c>
      <c r="F200" s="9" t="s">
        <v>129</v>
      </c>
      <c r="G200" s="18" t="str">
        <f>IF($F200="","",IFERROR(INDEX(Items!$B$5:$B$597,MATCH($F200,Items!$A$5:$A$597,0)),"⚠ not in Items"))</f>
        <v>Gloves</v>
      </c>
      <c r="H200" s="19" t="str">
        <f>IF($F200="","",IFERROR(INDEX(Items!$C$5:$C$597,MATCH($F200,Items!$A$5:$A$597,0)),""))</f>
        <v>Small</v>
      </c>
      <c r="I200" s="23">
        <f>IF($F200="","",IFERROR(INDEX(Items!$E$5:$E$597,MATCH($F200,Items!$A$5:$A$597,0)),""))</f>
        <v>500</v>
      </c>
      <c r="J200" s="115">
        <f>IF(tblIssues[[#This Row],[Qty Override]]&lt;&gt;"",tblIssues[[#This Row],[Qty Override]],IF(tblIssues[[#This Row],[Standard Issue]]="","",tblIssues[[#This Row],[Standard Issue]]))</f>
        <v>500</v>
      </c>
      <c r="K200" s="20">
        <f>IF($F200="","",IFERROR(INDEX(Items!$D$5:$D$597,MATCH($F200,Items!$A$5:$A$597,0)),""))</f>
        <v>5.5E-2</v>
      </c>
      <c r="L200" s="21">
        <f t="shared" si="39"/>
        <v>27.5</v>
      </c>
      <c r="M200" s="9" t="str">
        <f t="shared" si="40"/>
        <v>ZIM504124207-4</v>
      </c>
      <c r="N200" s="24">
        <f>IF($A200="","",WORKDAY($A200,Settings!$C$9,HolidayDates))</f>
        <v>46134</v>
      </c>
      <c r="O200" s="24">
        <f>IF($N200="","",WORKDAY($N200,Settings!$C$10,HolidayDates))</f>
        <v>46174</v>
      </c>
      <c r="P200" s="10" t="s">
        <v>501</v>
      </c>
      <c r="Q200" s="52" t="str">
        <f t="shared" si="31"/>
        <v>Collected</v>
      </c>
      <c r="R200" s="55" t="str">
        <f t="shared" si="32"/>
        <v>2026-04</v>
      </c>
      <c r="S200" s="55">
        <f>IF(OR($B200="",$F200="",$R200=""),"",SUMIFS(tblIssues[Qty Issued],tblIssues[Staff ID],$B200,tblIssues[Item Name],$F200,tblIssues[Month],$R200))</f>
        <v>500</v>
      </c>
      <c r="T200" s="56">
        <f>IF($I200="","",$I200*Settings!$C$11)</f>
        <v>500</v>
      </c>
      <c r="U200" s="57" t="str">
        <f t="shared" si="41"/>
        <v>OK</v>
      </c>
      <c r="V200" s="55" t="str">
        <f t="shared" si="33"/>
        <v/>
      </c>
      <c r="W200" s="55" t="str">
        <f>IF($V200="","",IF(COUNTIF($V$5:$V200,$V200)=1,1,""))</f>
        <v/>
      </c>
      <c r="X200" s="58" t="str">
        <f>IF($W200="","",MAX($X$4:X199)+1)</f>
        <v/>
      </c>
      <c r="Y200" s="62"/>
      <c r="Z200" s="62"/>
      <c r="AA200" s="64" t="str">
        <f>IF($C200="","",IFERROR(INDEX('Staff Directory'!$E$5:$E$594,MATCH($C200,'Staff Directory'!$B$5:$B$594,0)),""))</f>
        <v>firstname106.lastname106@example.com</v>
      </c>
      <c r="AB200" s="64" t="str">
        <f>IF($C200="","",IF(ISNUMBER(SEARCH($D200,Settings!$C$15)),"Pickup","Dispatch"))</f>
        <v>Pickup</v>
      </c>
      <c r="AC200" s="64" t="str">
        <f t="shared" si="34"/>
        <v>Supply order ready for pickup</v>
      </c>
      <c r="AD200" s="64" t="str">
        <f t="shared" si="36"/>
        <v>Dear PSW,
Your order is ready for pickup from Sample Branch, Wed-Fri 9am-4pm.</v>
      </c>
      <c r="AE200" s="64" t="str">
        <f t="shared" si="37"/>
        <v>mailto:firstname106.lastname106@example.com?subject=Supply%20order%20ready%20for%20pickup&amp;body=Dear%20PSW%2C%0A%0AYour%20order%20is%20ready%20for%20pickup%20from%20Sample%20Branch%2C%20Wed-Fri%209am-4pm.</v>
      </c>
      <c r="AF200" s="89" t="str">
        <f t="shared" si="35"/>
        <v>Draft email</v>
      </c>
      <c r="AG200" s="64" t="str">
        <f>IF($C200="","",IFERROR(INDEX('Staff Directory'!$K$595:$K$599,MATCH($C200,'Staff Directory'!$B$5:$B$599,0)),$D200))</f>
        <v>PSW</v>
      </c>
      <c r="AH200" t="str">
        <f>IF($C200="","",IFERROR(INDEX('Staff Directory'!$I$595:$I$599,MATCH($C200,'Staff Directory'!$B$5:$B$599,0))&amp;" "&amp;INDEX('Staff Directory'!$J$595:$J$599,MATCH($C200,'Staff Directory'!$B$5:$B$599,0)),$AG200))</f>
        <v>PSW</v>
      </c>
      <c r="AI200" s="102"/>
      <c r="AJ200" s="101">
        <f>IF($F200="","",SUMIFS($J$5:$J200,$F$5:$F200,$F200))</f>
        <v>7500</v>
      </c>
      <c r="AK200" s="101">
        <f t="shared" si="38"/>
        <v>7001</v>
      </c>
      <c r="AL200" s="66" t="str" cm="1">
        <f t="array" ref="AL200">IF($F200="","",IFERROR(INDEX('Lot Balance'!$B$5:$B$500,MATCH(1,INDEX(('Lot Balance'!$A$5:$A$500=$F200)*('Lot Balance'!$K$5:$K$500&lt;$AK200)*('Lot Balance'!$K$5:$K$500+'Lot Balance'!$D$5:$D$500&gt;=$AK200),0),0)),""))</f>
        <v>ZIM504124207-4</v>
      </c>
      <c r="AM200" s="66" t="str" cm="1">
        <f t="array" ref="AM200">IF($F200="","",IFERROR(INDEX('Lot Balance'!$B$5:$B$500,MATCH(1,INDEX(('Lot Balance'!$A$5:$A$500=$F200)*('Lot Balance'!$K$5:$K$500&lt;$AJ200)*('Lot Balance'!$K$5:$K$500+'Lot Balance'!$D$5:$D$500&gt;=$AJ200),0),0)),""))</f>
        <v>ZIM504124207-4</v>
      </c>
      <c r="AN200" s="66" t="str">
        <f>IF($F200="","",IF($AI200&lt;&gt;"",IF(COUNTIFS('Lot Balance'!$A$5:$A$500,$F200,'Lot Balance'!$B$5:$B$500,$AI200)=0,"⚠ override is not a lot of this item",IF($AI200=$AL200,"Override = FEFO","Override - FEFO says "&amp;$AL200)),IF($AL200="","⚠ no receipt on file for this item",IF($AM200&lt;&gt;$AL200,"FEFO auto - split, also "&amp;$AM200,"FEFO auto"))))</f>
        <v>FEFO auto</v>
      </c>
      <c r="AO200" s="114"/>
    </row>
    <row r="201" spans="1:41" x14ac:dyDescent="0.35">
      <c r="A201" s="74">
        <v>46126</v>
      </c>
      <c r="B201" s="18" t="str">
        <f>IF($C201="","",IFERROR(INDEX('Staff Directory'!$A$5:$A$594,MATCH($C201,'Staff Directory'!$B$5:$B$594,0)),"⚠ unknown staff"))</f>
        <v>PSW-046-A4</v>
      </c>
      <c r="C201" s="49" t="s">
        <v>1022</v>
      </c>
      <c r="D201" s="19" t="str">
        <f>IF($B201="","",IFERROR(INDEX('Staff Directory'!$C$5:$C$594,MATCH($B201,'Staff Directory'!$A$5:$A$594,0)),""))</f>
        <v>PSW</v>
      </c>
      <c r="E201" s="19" t="str">
        <f>IF($B201="","",IFERROR(INDEX('Staff Directory'!$D$5:$D$594,MATCH($B201,'Staff Directory'!$A$5:$A$594,0)),""))</f>
        <v>A4</v>
      </c>
      <c r="F201" s="9" t="s">
        <v>115</v>
      </c>
      <c r="G201" s="18" t="str">
        <f>IF($F201="","",IFERROR(INDEX(Items!$B$5:$B$597,MATCH($F201,Items!$A$5:$A$597,0)),"⚠ not in Items"))</f>
        <v>Wipes</v>
      </c>
      <c r="H201" s="19">
        <f>IF($F201="","",IFERROR(INDEX(Items!$C$5:$C$597,MATCH($F201,Items!$A$5:$A$597,0)),""))</f>
        <v>80</v>
      </c>
      <c r="I201" s="23">
        <f>IF($F201="","",IFERROR(INDEX(Items!$E$5:$E$597,MATCH($F201,Items!$A$5:$A$597,0)),""))</f>
        <v>80</v>
      </c>
      <c r="J201" s="115">
        <f>IF(tblIssues[[#This Row],[Qty Override]]&lt;&gt;"",tblIssues[[#This Row],[Qty Override]],IF(tblIssues[[#This Row],[Standard Issue]]="","",tblIssues[[#This Row],[Standard Issue]]))</f>
        <v>80</v>
      </c>
      <c r="K201" s="20">
        <f>IF($F201="","",IFERROR(INDEX(Items!$D$5:$D$597,MATCH($F201,Items!$A$5:$A$597,0)),""))</f>
        <v>0.1</v>
      </c>
      <c r="L201" s="21">
        <f t="shared" si="39"/>
        <v>8</v>
      </c>
      <c r="M201" s="9" t="str">
        <f t="shared" si="40"/>
        <v>LYSL500290</v>
      </c>
      <c r="N201" s="24">
        <f>IF($A201="","",WORKDAY($A201,Settings!$C$9,HolidayDates))</f>
        <v>46134</v>
      </c>
      <c r="O201" s="24">
        <f>IF($N201="","",WORKDAY($N201,Settings!$C$10,HolidayDates))</f>
        <v>46174</v>
      </c>
      <c r="P201" s="10" t="s">
        <v>501</v>
      </c>
      <c r="Q201" s="52" t="str">
        <f t="shared" si="31"/>
        <v>Collected</v>
      </c>
      <c r="R201" s="55" t="str">
        <f t="shared" si="32"/>
        <v>2026-04</v>
      </c>
      <c r="S201" s="55">
        <f>IF(OR($B201="",$F201="",$R201=""),"",SUMIFS(tblIssues[Qty Issued],tblIssues[Staff ID],$B201,tblIssues[Item Name],$F201,tblIssues[Month],$R201))</f>
        <v>80</v>
      </c>
      <c r="T201" s="56">
        <f>IF($I201="","",$I201*Settings!$C$11)</f>
        <v>80</v>
      </c>
      <c r="U201" s="57" t="str">
        <f t="shared" si="41"/>
        <v>OK</v>
      </c>
      <c r="V201" s="55" t="str">
        <f t="shared" si="33"/>
        <v/>
      </c>
      <c r="W201" s="55" t="str">
        <f>IF($V201="","",IF(COUNTIF($V$5:$V201,$V201)=1,1,""))</f>
        <v/>
      </c>
      <c r="X201" s="58" t="str">
        <f>IF($W201="","",MAX($X$4:X200)+1)</f>
        <v/>
      </c>
      <c r="Y201" s="62"/>
      <c r="Z201" s="62"/>
      <c r="AA201" s="64" t="str">
        <f>IF($C201="","",IFERROR(INDEX('Staff Directory'!$E$5:$E$594,MATCH($C201,'Staff Directory'!$B$5:$B$594,0)),""))</f>
        <v>firstname106.lastname106@example.com</v>
      </c>
      <c r="AB201" s="64" t="str">
        <f>IF($C201="","",IF(ISNUMBER(SEARCH($D201,Settings!$C$15)),"Pickup","Dispatch"))</f>
        <v>Pickup</v>
      </c>
      <c r="AC201" s="64" t="str">
        <f t="shared" si="34"/>
        <v>Supply order ready for pickup</v>
      </c>
      <c r="AD201" s="64" t="str">
        <f t="shared" si="36"/>
        <v>Dear PSW,
Your order is ready for pickup from Sample Branch, Wed-Fri 9am-4pm.</v>
      </c>
      <c r="AE201" s="64" t="str">
        <f t="shared" si="37"/>
        <v>mailto:firstname106.lastname106@example.com?subject=Supply%20order%20ready%20for%20pickup&amp;body=Dear%20PSW%2C%0A%0AYour%20order%20is%20ready%20for%20pickup%20from%20Sample%20Branch%2C%20Wed-Fri%209am-4pm.</v>
      </c>
      <c r="AF201" s="89" t="str">
        <f t="shared" si="35"/>
        <v>Draft email</v>
      </c>
      <c r="AG201" s="64" t="str">
        <f>IF($C201="","",IFERROR(INDEX('Staff Directory'!$K$595:$K$599,MATCH($C201,'Staff Directory'!$B$5:$B$599,0)),$D201))</f>
        <v>PSW</v>
      </c>
      <c r="AH201" t="str">
        <f>IF($C201="","",IFERROR(INDEX('Staff Directory'!$I$595:$I$599,MATCH($C201,'Staff Directory'!$B$5:$B$599,0))&amp;" "&amp;INDEX('Staff Directory'!$J$595:$J$599,MATCH($C201,'Staff Directory'!$B$5:$B$599,0)),$AG201))</f>
        <v>PSW</v>
      </c>
      <c r="AI201" s="102"/>
      <c r="AJ201" s="101">
        <f>IF($F201="","",SUMIFS($J$5:$J201,$F$5:$F201,$F201))</f>
        <v>3040</v>
      </c>
      <c r="AK201" s="101">
        <f t="shared" si="38"/>
        <v>2961</v>
      </c>
      <c r="AL201" s="66" t="str" cm="1">
        <f t="array" ref="AL201">IF($F201="","",IFERROR(INDEX('Lot Balance'!$B$5:$B$500,MATCH(1,INDEX(('Lot Balance'!$A$5:$A$500=$F201)*('Lot Balance'!$K$5:$K$500&lt;$AK201)*('Lot Balance'!$K$5:$K$500+'Lot Balance'!$D$5:$D$500&gt;=$AK201),0),0)),""))</f>
        <v>LYSL500290</v>
      </c>
      <c r="AM201" s="66" t="str" cm="1">
        <f t="array" ref="AM201">IF($F201="","",IFERROR(INDEX('Lot Balance'!$B$5:$B$500,MATCH(1,INDEX(('Lot Balance'!$A$5:$A$500=$F201)*('Lot Balance'!$K$5:$K$500&lt;$AJ201)*('Lot Balance'!$K$5:$K$500+'Lot Balance'!$D$5:$D$500&gt;=$AJ201),0),0)),""))</f>
        <v>LYSL500290</v>
      </c>
      <c r="AN201" s="66" t="str">
        <f>IF($F201="","",IF($AI201&lt;&gt;"",IF(COUNTIFS('Lot Balance'!$A$5:$A$500,$F201,'Lot Balance'!$B$5:$B$500,$AI201)=0,"⚠ override is not a lot of this item",IF($AI201=$AL201,"Override = FEFO","Override - FEFO says "&amp;$AL201)),IF($AL201="","⚠ no receipt on file for this item",IF($AM201&lt;&gt;$AL201,"FEFO auto - split, also "&amp;$AM201,"FEFO auto"))))</f>
        <v>FEFO auto</v>
      </c>
      <c r="AO201" s="114"/>
    </row>
    <row r="202" spans="1:41" x14ac:dyDescent="0.35">
      <c r="A202" s="74">
        <v>46126</v>
      </c>
      <c r="B202" s="18" t="str">
        <f>IF($C202="","",IFERROR(INDEX('Staff Directory'!$A$5:$A$594,MATCH($C202,'Staff Directory'!$B$5:$B$594,0)),"⚠ unknown staff"))</f>
        <v>PSW-046-A4</v>
      </c>
      <c r="C202" s="49" t="s">
        <v>1022</v>
      </c>
      <c r="D202" s="19" t="str">
        <f>IF($B202="","",IFERROR(INDEX('Staff Directory'!$C$5:$C$594,MATCH($B202,'Staff Directory'!$A$5:$A$594,0)),""))</f>
        <v>PSW</v>
      </c>
      <c r="E202" s="19" t="str">
        <f>IF($B202="","",IFERROR(INDEX('Staff Directory'!$D$5:$D$594,MATCH($B202,'Staff Directory'!$A$5:$A$594,0)),""))</f>
        <v>A4</v>
      </c>
      <c r="F202" s="9" t="s">
        <v>755</v>
      </c>
      <c r="G202" s="18" t="str">
        <f>IF($F202="","",IFERROR(INDEX(Items!$B$5:$B$597,MATCH($F202,Items!$A$5:$A$597,0)),"⚠ not in Items"))</f>
        <v>Documents</v>
      </c>
      <c r="H202" s="19" t="str">
        <f>IF($F202="","",IFERROR(INDEX(Items!$C$5:$C$597,MATCH($F202,Items!$A$5:$A$597,0)),""))</f>
        <v>Standard</v>
      </c>
      <c r="I202" s="23">
        <f>IF($F202="","",IFERROR(INDEX(Items!$E$5:$E$597,MATCH($F202,Items!$A$5:$A$597,0)),""))</f>
        <v>2</v>
      </c>
      <c r="J202" s="115">
        <f>IF(tblIssues[[#This Row],[Qty Override]]&lt;&gt;"",tblIssues[[#This Row],[Qty Override]],IF(tblIssues[[#This Row],[Standard Issue]]="","",tblIssues[[#This Row],[Standard Issue]]))</f>
        <v>2</v>
      </c>
      <c r="K202" s="20">
        <f>IF($F202="","",IFERROR(INDEX(Items!$D$5:$D$597,MATCH($F202,Items!$A$5:$A$597,0)),""))</f>
        <v>0</v>
      </c>
      <c r="L202" s="21">
        <f t="shared" si="39"/>
        <v>0</v>
      </c>
      <c r="M202" s="9" t="str">
        <f t="shared" si="40"/>
        <v/>
      </c>
      <c r="N202" s="24">
        <f>IF($A202="","",WORKDAY($A202,Settings!$C$9,HolidayDates))</f>
        <v>46134</v>
      </c>
      <c r="O202" s="24">
        <f>IF($N202="","",WORKDAY($N202,Settings!$C$10,HolidayDates))</f>
        <v>46174</v>
      </c>
      <c r="P202" s="10" t="s">
        <v>501</v>
      </c>
      <c r="Q202" s="52" t="str">
        <f t="shared" si="31"/>
        <v>Collected</v>
      </c>
      <c r="R202" s="55" t="str">
        <f t="shared" si="32"/>
        <v>2026-04</v>
      </c>
      <c r="S202" s="55">
        <f>IF(OR($B202="",$F202="",$R202=""),"",SUMIFS(tblIssues[Qty Issued],tblIssues[Staff ID],$B202,tblIssues[Item Name],$F202,tblIssues[Month],$R202))</f>
        <v>2</v>
      </c>
      <c r="T202" s="56">
        <f>IF($I202="","",$I202*Settings!$C$11)</f>
        <v>2</v>
      </c>
      <c r="U202" s="57" t="str">
        <f t="shared" si="41"/>
        <v>OK</v>
      </c>
      <c r="V202" s="55" t="str">
        <f t="shared" si="33"/>
        <v/>
      </c>
      <c r="W202" s="55" t="str">
        <f>IF($V202="","",IF(COUNTIF($V$5:$V202,$V202)=1,1,""))</f>
        <v/>
      </c>
      <c r="X202" s="58" t="str">
        <f>IF($W202="","",MAX($X$4:X201)+1)</f>
        <v/>
      </c>
      <c r="Y202" s="62"/>
      <c r="Z202" s="62"/>
      <c r="AA202" s="64" t="str">
        <f>IF($C202="","",IFERROR(INDEX('Staff Directory'!$E$5:$E$594,MATCH($C202,'Staff Directory'!$B$5:$B$594,0)),""))</f>
        <v>firstname106.lastname106@example.com</v>
      </c>
      <c r="AB202" s="64" t="str">
        <f>IF($C202="","",IF(ISNUMBER(SEARCH($D202,Settings!$C$15)),"Pickup","Dispatch"))</f>
        <v>Pickup</v>
      </c>
      <c r="AC202" s="64" t="str">
        <f t="shared" si="34"/>
        <v>Supply order ready for pickup</v>
      </c>
      <c r="AD202" s="64" t="str">
        <f t="shared" si="36"/>
        <v>Dear PSW,
Your order is ready for pickup from Sample Branch, Wed-Fri 9am-4pm.</v>
      </c>
      <c r="AE202" s="64" t="str">
        <f t="shared" si="37"/>
        <v>mailto:firstname106.lastname106@example.com?subject=Supply%20order%20ready%20for%20pickup&amp;body=Dear%20PSW%2C%0A%0AYour%20order%20is%20ready%20for%20pickup%20from%20Sample%20Branch%2C%20Wed-Fri%209am-4pm.</v>
      </c>
      <c r="AF202" s="89" t="str">
        <f t="shared" si="35"/>
        <v>Draft email</v>
      </c>
      <c r="AG202" s="64" t="str">
        <f>IF($C202="","",IFERROR(INDEX('Staff Directory'!$K$595:$K$599,MATCH($C202,'Staff Directory'!$B$5:$B$599,0)),$D202))</f>
        <v>PSW</v>
      </c>
      <c r="AH202" t="str">
        <f>IF($C202="","",IFERROR(INDEX('Staff Directory'!$I$595:$I$599,MATCH($C202,'Staff Directory'!$B$5:$B$599,0))&amp;" "&amp;INDEX('Staff Directory'!$J$595:$J$599,MATCH($C202,'Staff Directory'!$B$5:$B$599,0)),$AG202))</f>
        <v>PSW</v>
      </c>
      <c r="AI202" s="102"/>
      <c r="AJ202" s="101">
        <f>IF($F202="","",SUMIFS($J$5:$J202,$F$5:$F202,$F202))</f>
        <v>40</v>
      </c>
      <c r="AK202" s="101">
        <f t="shared" si="38"/>
        <v>39</v>
      </c>
      <c r="AL202" s="66" t="str" cm="1">
        <f t="array" ref="AL202">IF($F202="","",IFERROR(INDEX('Lot Balance'!$B$5:$B$500,MATCH(1,INDEX(('Lot Balance'!$A$5:$A$500=$F202)*('Lot Balance'!$K$5:$K$500&lt;$AK202)*('Lot Balance'!$K$5:$K$500+'Lot Balance'!$D$5:$D$500&gt;=$AK202),0),0)),""))</f>
        <v/>
      </c>
      <c r="AM202" s="66" t="str" cm="1">
        <f t="array" ref="AM202">IF($F202="","",IFERROR(INDEX('Lot Balance'!$B$5:$B$500,MATCH(1,INDEX(('Lot Balance'!$A$5:$A$500=$F202)*('Lot Balance'!$K$5:$K$500&lt;$AJ202)*('Lot Balance'!$K$5:$K$500+'Lot Balance'!$D$5:$D$500&gt;=$AJ202),0),0)),""))</f>
        <v/>
      </c>
      <c r="AN202" s="66" t="str">
        <f>IF($F202="","",IF($AI202&lt;&gt;"",IF(COUNTIFS('Lot Balance'!$A$5:$A$500,$F202,'Lot Balance'!$B$5:$B$500,$AI202)=0,"⚠ override is not a lot of this item",IF($AI202=$AL202,"Override = FEFO","Override - FEFO says "&amp;$AL202)),IF($AL202="","⚠ no receipt on file for this item",IF($AM202&lt;&gt;$AL202,"FEFO auto - split, also "&amp;$AM202,"FEFO auto"))))</f>
        <v>⚠ no receipt on file for this item</v>
      </c>
      <c r="AO202" s="114"/>
    </row>
    <row r="203" spans="1:41" x14ac:dyDescent="0.35">
      <c r="A203" s="74">
        <v>46126</v>
      </c>
      <c r="B203" s="18" t="str">
        <f>IF($C203="","",IFERROR(INDEX('Staff Directory'!$A$5:$A$594,MATCH($C203,'Staff Directory'!$B$5:$B$594,0)),"⚠ unknown staff"))</f>
        <v>PSW-011-A6</v>
      </c>
      <c r="C203" s="49" t="s">
        <v>987</v>
      </c>
      <c r="D203" s="19" t="str">
        <f>IF($B203="","",IFERROR(INDEX('Staff Directory'!$C$5:$C$594,MATCH($B203,'Staff Directory'!$A$5:$A$594,0)),""))</f>
        <v>PSW</v>
      </c>
      <c r="E203" s="19" t="str">
        <f>IF($B203="","",IFERROR(INDEX('Staff Directory'!$D$5:$D$594,MATCH($B203,'Staff Directory'!$A$5:$A$594,0)),""))</f>
        <v>A6</v>
      </c>
      <c r="F203" s="9" t="s">
        <v>129</v>
      </c>
      <c r="G203" s="18" t="str">
        <f>IF($F203="","",IFERROR(INDEX(Items!$B$5:$B$597,MATCH($F203,Items!$A$5:$A$597,0)),"⚠ not in Items"))</f>
        <v>Gloves</v>
      </c>
      <c r="H203" s="19" t="str">
        <f>IF($F203="","",IFERROR(INDEX(Items!$C$5:$C$597,MATCH($F203,Items!$A$5:$A$597,0)),""))</f>
        <v>Small</v>
      </c>
      <c r="I203" s="23">
        <f>IF($F203="","",IFERROR(INDEX(Items!$E$5:$E$597,MATCH($F203,Items!$A$5:$A$597,0)),""))</f>
        <v>500</v>
      </c>
      <c r="J203" s="115">
        <f>IF(tblIssues[[#This Row],[Qty Override]]&lt;&gt;"",tblIssues[[#This Row],[Qty Override]],IF(tblIssues[[#This Row],[Standard Issue]]="","",tblIssues[[#This Row],[Standard Issue]]))</f>
        <v>500</v>
      </c>
      <c r="K203" s="20">
        <f>IF($F203="","",IFERROR(INDEX(Items!$D$5:$D$597,MATCH($F203,Items!$A$5:$A$597,0)),""))</f>
        <v>5.5E-2</v>
      </c>
      <c r="L203" s="21">
        <f t="shared" si="39"/>
        <v>27.5</v>
      </c>
      <c r="M203" s="9" t="str">
        <f t="shared" si="40"/>
        <v>ZIM504124207-4</v>
      </c>
      <c r="N203" s="24">
        <f>IF($A203="","",WORKDAY($A203,Settings!$C$9,HolidayDates))</f>
        <v>46134</v>
      </c>
      <c r="O203" s="24">
        <f>IF($N203="","",WORKDAY($N203,Settings!$C$10,HolidayDates))</f>
        <v>46174</v>
      </c>
      <c r="P203" s="10" t="s">
        <v>501</v>
      </c>
      <c r="Q203" s="52" t="str">
        <f t="shared" si="31"/>
        <v>Collected</v>
      </c>
      <c r="R203" s="55" t="str">
        <f t="shared" si="32"/>
        <v>2026-04</v>
      </c>
      <c r="S203" s="55">
        <f>IF(OR($B203="",$F203="",$R203=""),"",SUMIFS(tblIssues[Qty Issued],tblIssues[Staff ID],$B203,tblIssues[Item Name],$F203,tblIssues[Month],$R203))</f>
        <v>500</v>
      </c>
      <c r="T203" s="56">
        <f>IF($I203="","",$I203*Settings!$C$11)</f>
        <v>500</v>
      </c>
      <c r="U203" s="57" t="str">
        <f t="shared" si="41"/>
        <v>OK</v>
      </c>
      <c r="V203" s="55" t="str">
        <f t="shared" si="33"/>
        <v/>
      </c>
      <c r="W203" s="55" t="str">
        <f>IF($V203="","",IF(COUNTIF($V$5:$V203,$V203)=1,1,""))</f>
        <v/>
      </c>
      <c r="X203" s="58" t="str">
        <f>IF($W203="","",MAX($X$4:X202)+1)</f>
        <v/>
      </c>
      <c r="Y203" s="62"/>
      <c r="Z203" s="62"/>
      <c r="AA203" s="64" t="str">
        <f>IF($C203="","",IFERROR(INDEX('Staff Directory'!$E$5:$E$594,MATCH($C203,'Staff Directory'!$B$5:$B$594,0)),""))</f>
        <v>firstname071.lastname071@example.com</v>
      </c>
      <c r="AB203" s="64" t="str">
        <f>IF($C203="","",IF(ISNUMBER(SEARCH($D203,Settings!$C$15)),"Pickup","Dispatch"))</f>
        <v>Pickup</v>
      </c>
      <c r="AC203" s="64" t="str">
        <f t="shared" si="34"/>
        <v>Supply order ready for pickup</v>
      </c>
      <c r="AD203" s="64" t="str">
        <f t="shared" si="36"/>
        <v>Dear PSW,
Your order is ready for pickup from Sample Branch, Wed-Fri 9am-4pm.</v>
      </c>
      <c r="AE203" s="64" t="str">
        <f t="shared" si="37"/>
        <v>mailto:firstname071.lastname071@example.com?subject=Supply%20order%20ready%20for%20pickup&amp;body=Dear%20PSW%2C%0A%0AYour%20order%20is%20ready%20for%20pickup%20from%20Sample%20Branch%2C%20Wed-Fri%209am-4pm.</v>
      </c>
      <c r="AF203" s="89" t="str">
        <f t="shared" si="35"/>
        <v>Draft email</v>
      </c>
      <c r="AG203" s="64" t="str">
        <f>IF($C203="","",IFERROR(INDEX('Staff Directory'!$K$595:$K$599,MATCH($C203,'Staff Directory'!$B$5:$B$599,0)),$D203))</f>
        <v>PSW</v>
      </c>
      <c r="AH203" t="str">
        <f>IF($C203="","",IFERROR(INDEX('Staff Directory'!$I$595:$I$599,MATCH($C203,'Staff Directory'!$B$5:$B$599,0))&amp;" "&amp;INDEX('Staff Directory'!$J$595:$J$599,MATCH($C203,'Staff Directory'!$B$5:$B$599,0)),$AG203))</f>
        <v>PSW</v>
      </c>
      <c r="AI203" s="102"/>
      <c r="AJ203" s="101">
        <f>IF($F203="","",SUMIFS($J$5:$J203,$F$5:$F203,$F203))</f>
        <v>8000</v>
      </c>
      <c r="AK203" s="101">
        <f t="shared" si="38"/>
        <v>7501</v>
      </c>
      <c r="AL203" s="66" t="str" cm="1">
        <f t="array" ref="AL203">IF($F203="","",IFERROR(INDEX('Lot Balance'!$B$5:$B$500,MATCH(1,INDEX(('Lot Balance'!$A$5:$A$500=$F203)*('Lot Balance'!$K$5:$K$500&lt;$AK203)*('Lot Balance'!$K$5:$K$500+'Lot Balance'!$D$5:$D$500&gt;=$AK203),0),0)),""))</f>
        <v>ZIM504124207-4</v>
      </c>
      <c r="AM203" s="66" t="str" cm="1">
        <f t="array" ref="AM203">IF($F203="","",IFERROR(INDEX('Lot Balance'!$B$5:$B$500,MATCH(1,INDEX(('Lot Balance'!$A$5:$A$500=$F203)*('Lot Balance'!$K$5:$K$500&lt;$AJ203)*('Lot Balance'!$K$5:$K$500+'Lot Balance'!$D$5:$D$500&gt;=$AJ203),0),0)),""))</f>
        <v>ZIM503122461</v>
      </c>
      <c r="AN203" s="66" t="str">
        <f>IF($F203="","",IF($AI203&lt;&gt;"",IF(COUNTIFS('Lot Balance'!$A$5:$A$500,$F203,'Lot Balance'!$B$5:$B$500,$AI203)=0,"⚠ override is not a lot of this item",IF($AI203=$AL203,"Override = FEFO","Override - FEFO says "&amp;$AL203)),IF($AL203="","⚠ no receipt on file for this item",IF($AM203&lt;&gt;$AL203,"FEFO auto - split, also "&amp;$AM203,"FEFO auto"))))</f>
        <v>FEFO auto - split, also ZIM503122461</v>
      </c>
      <c r="AO203" s="114"/>
    </row>
    <row r="204" spans="1:41" x14ac:dyDescent="0.35">
      <c r="A204" s="74">
        <v>46126</v>
      </c>
      <c r="B204" s="18" t="str">
        <f>IF($C204="","",IFERROR(INDEX('Staff Directory'!$A$5:$A$594,MATCH($C204,'Staff Directory'!$B$5:$B$594,0)),"⚠ unknown staff"))</f>
        <v>PSW-011-A6</v>
      </c>
      <c r="C204" s="49" t="s">
        <v>987</v>
      </c>
      <c r="D204" s="19" t="str">
        <f>IF($B204="","",IFERROR(INDEX('Staff Directory'!$C$5:$C$594,MATCH($B204,'Staff Directory'!$A$5:$A$594,0)),""))</f>
        <v>PSW</v>
      </c>
      <c r="E204" s="19" t="str">
        <f>IF($B204="","",IFERROR(INDEX('Staff Directory'!$D$5:$D$594,MATCH($B204,'Staff Directory'!$A$5:$A$594,0)),""))</f>
        <v>A6</v>
      </c>
      <c r="F204" s="9" t="s">
        <v>156</v>
      </c>
      <c r="G204" s="18" t="str">
        <f>IF($F204="","",IFERROR(INDEX(Items!$B$5:$B$597,MATCH($F204,Items!$A$5:$A$597,0)),"⚠ not in Items"))</f>
        <v>Masks</v>
      </c>
      <c r="H204" s="19" t="str">
        <f>IF($F204="","",IFERROR(INDEX(Items!$C$5:$C$597,MATCH($F204,Items!$A$5:$A$597,0)),""))</f>
        <v>One Size</v>
      </c>
      <c r="I204" s="23">
        <f>IF($F204="","",IFERROR(INDEX(Items!$E$5:$E$597,MATCH($F204,Items!$A$5:$A$597,0)),""))</f>
        <v>50</v>
      </c>
      <c r="J204" s="115">
        <f>IF(tblIssues[[#This Row],[Qty Override]]&lt;&gt;"",tblIssues[[#This Row],[Qty Override]],IF(tblIssues[[#This Row],[Standard Issue]]="","",tblIssues[[#This Row],[Standard Issue]]))</f>
        <v>50</v>
      </c>
      <c r="K204" s="20">
        <f>IF($F204="","",IFERROR(INDEX(Items!$D$5:$D$597,MATCH($F204,Items!$A$5:$A$597,0)),""))</f>
        <v>0.25</v>
      </c>
      <c r="L204" s="21">
        <f t="shared" si="39"/>
        <v>12.5</v>
      </c>
      <c r="M204" s="9" t="str">
        <f t="shared" si="40"/>
        <v>0125FPC24-0</v>
      </c>
      <c r="N204" s="24">
        <f>IF($A204="","",WORKDAY($A204,Settings!$C$9,HolidayDates))</f>
        <v>46134</v>
      </c>
      <c r="O204" s="24">
        <f>IF($N204="","",WORKDAY($N204,Settings!$C$10,HolidayDates))</f>
        <v>46174</v>
      </c>
      <c r="P204" s="10" t="s">
        <v>501</v>
      </c>
      <c r="Q204" s="52" t="str">
        <f t="shared" si="31"/>
        <v>Collected</v>
      </c>
      <c r="R204" s="55" t="str">
        <f t="shared" si="32"/>
        <v>2026-04</v>
      </c>
      <c r="S204" s="55">
        <f>IF(OR($B204="",$F204="",$R204=""),"",SUMIFS(tblIssues[Qty Issued],tblIssues[Staff ID],$B204,tblIssues[Item Name],$F204,tblIssues[Month],$R204))</f>
        <v>50</v>
      </c>
      <c r="T204" s="56">
        <f>IF($I204="","",$I204*Settings!$C$11)</f>
        <v>50</v>
      </c>
      <c r="U204" s="57" t="str">
        <f t="shared" si="41"/>
        <v>OK</v>
      </c>
      <c r="V204" s="55" t="str">
        <f t="shared" si="33"/>
        <v/>
      </c>
      <c r="W204" s="55" t="str">
        <f>IF($V204="","",IF(COUNTIF($V$5:$V204,$V204)=1,1,""))</f>
        <v/>
      </c>
      <c r="X204" s="58" t="str">
        <f>IF($W204="","",MAX($X$4:X203)+1)</f>
        <v/>
      </c>
      <c r="Y204" s="62"/>
      <c r="Z204" s="62"/>
      <c r="AA204" s="64" t="str">
        <f>IF($C204="","",IFERROR(INDEX('Staff Directory'!$E$5:$E$594,MATCH($C204,'Staff Directory'!$B$5:$B$594,0)),""))</f>
        <v>firstname071.lastname071@example.com</v>
      </c>
      <c r="AB204" s="64" t="str">
        <f>IF($C204="","",IF(ISNUMBER(SEARCH($D204,Settings!$C$15)),"Pickup","Dispatch"))</f>
        <v>Pickup</v>
      </c>
      <c r="AC204" s="64" t="str">
        <f t="shared" si="34"/>
        <v>Supply order ready for pickup</v>
      </c>
      <c r="AD204" s="64" t="str">
        <f t="shared" si="36"/>
        <v>Dear PSW,
Your order is ready for pickup from Sample Branch, Wed-Fri 9am-4pm.</v>
      </c>
      <c r="AE204" s="64" t="str">
        <f t="shared" si="37"/>
        <v>mailto:firstname071.lastname071@example.com?subject=Supply%20order%20ready%20for%20pickup&amp;body=Dear%20PSW%2C%0A%0AYour%20order%20is%20ready%20for%20pickup%20from%20Sample%20Branch%2C%20Wed-Fri%209am-4pm.</v>
      </c>
      <c r="AF204" s="89" t="str">
        <f t="shared" si="35"/>
        <v>Draft email</v>
      </c>
      <c r="AG204" s="64" t="str">
        <f>IF($C204="","",IFERROR(INDEX('Staff Directory'!$K$595:$K$599,MATCH($C204,'Staff Directory'!$B$5:$B$599,0)),$D204))</f>
        <v>PSW</v>
      </c>
      <c r="AH204" t="str">
        <f>IF($C204="","",IFERROR(INDEX('Staff Directory'!$I$595:$I$599,MATCH($C204,'Staff Directory'!$B$5:$B$599,0))&amp;" "&amp;INDEX('Staff Directory'!$J$595:$J$599,MATCH($C204,'Staff Directory'!$B$5:$B$599,0)),$AG204))</f>
        <v>PSW</v>
      </c>
      <c r="AI204" s="102"/>
      <c r="AJ204" s="101">
        <f>IF($F204="","",SUMIFS($J$5:$J204,$F$5:$F204,$F204))</f>
        <v>1500</v>
      </c>
      <c r="AK204" s="101">
        <f t="shared" si="38"/>
        <v>1451</v>
      </c>
      <c r="AL204" s="66" t="str" cm="1">
        <f t="array" ref="AL204">IF($F204="","",IFERROR(INDEX('Lot Balance'!$B$5:$B$500,MATCH(1,INDEX(('Lot Balance'!$A$5:$A$500=$F204)*('Lot Balance'!$K$5:$K$500&lt;$AK204)*('Lot Balance'!$K$5:$K$500+'Lot Balance'!$D$5:$D$500&gt;=$AK204),0),0)),""))</f>
        <v>0125FPC24-0</v>
      </c>
      <c r="AM204" s="66" t="str" cm="1">
        <f t="array" ref="AM204">IF($F204="","",IFERROR(INDEX('Lot Balance'!$B$5:$B$500,MATCH(1,INDEX(('Lot Balance'!$A$5:$A$500=$F204)*('Lot Balance'!$K$5:$K$500&lt;$AJ204)*('Lot Balance'!$K$5:$K$500+'Lot Balance'!$D$5:$D$500&gt;=$AJ204),0),0)),""))</f>
        <v>0125FPC24-0</v>
      </c>
      <c r="AN204" s="66" t="str">
        <f>IF($F204="","",IF($AI204&lt;&gt;"",IF(COUNTIFS('Lot Balance'!$A$5:$A$500,$F204,'Lot Balance'!$B$5:$B$500,$AI204)=0,"⚠ override is not a lot of this item",IF($AI204=$AL204,"Override = FEFO","Override - FEFO says "&amp;$AL204)),IF($AL204="","⚠ no receipt on file for this item",IF($AM204&lt;&gt;$AL204,"FEFO auto - split, also "&amp;$AM204,"FEFO auto"))))</f>
        <v>FEFO auto</v>
      </c>
      <c r="AO204" s="114"/>
    </row>
    <row r="205" spans="1:41" x14ac:dyDescent="0.35">
      <c r="A205" s="74">
        <v>46126</v>
      </c>
      <c r="B205" s="18" t="str">
        <f>IF($C205="","",IFERROR(INDEX('Staff Directory'!$A$5:$A$594,MATCH($C205,'Staff Directory'!$B$5:$B$594,0)),"⚠ unknown staff"))</f>
        <v>PSW-011-A6</v>
      </c>
      <c r="C205" s="49" t="s">
        <v>987</v>
      </c>
      <c r="D205" s="19" t="str">
        <f>IF($B205="","",IFERROR(INDEX('Staff Directory'!$C$5:$C$594,MATCH($B205,'Staff Directory'!$A$5:$A$594,0)),""))</f>
        <v>PSW</v>
      </c>
      <c r="E205" s="19" t="str">
        <f>IF($B205="","",IFERROR(INDEX('Staff Directory'!$D$5:$D$594,MATCH($B205,'Staff Directory'!$A$5:$A$594,0)),""))</f>
        <v>A6</v>
      </c>
      <c r="F205" s="9" t="s">
        <v>755</v>
      </c>
      <c r="G205" s="18" t="str">
        <f>IF($F205="","",IFERROR(INDEX(Items!$B$5:$B$597,MATCH($F205,Items!$A$5:$A$597,0)),"⚠ not in Items"))</f>
        <v>Documents</v>
      </c>
      <c r="H205" s="19" t="str">
        <f>IF($F205="","",IFERROR(INDEX(Items!$C$5:$C$597,MATCH($F205,Items!$A$5:$A$597,0)),""))</f>
        <v>Standard</v>
      </c>
      <c r="I205" s="23">
        <f>IF($F205="","",IFERROR(INDEX(Items!$E$5:$E$597,MATCH($F205,Items!$A$5:$A$597,0)),""))</f>
        <v>2</v>
      </c>
      <c r="J205" s="115">
        <f>IF(tblIssues[[#This Row],[Qty Override]]&lt;&gt;"",tblIssues[[#This Row],[Qty Override]],IF(tblIssues[[#This Row],[Standard Issue]]="","",tblIssues[[#This Row],[Standard Issue]]))</f>
        <v>2</v>
      </c>
      <c r="K205" s="20">
        <f>IF($F205="","",IFERROR(INDEX(Items!$D$5:$D$597,MATCH($F205,Items!$A$5:$A$597,0)),""))</f>
        <v>0</v>
      </c>
      <c r="L205" s="21">
        <f t="shared" si="39"/>
        <v>0</v>
      </c>
      <c r="M205" s="9" t="str">
        <f t="shared" si="40"/>
        <v/>
      </c>
      <c r="N205" s="24">
        <f>IF($A205="","",WORKDAY($A205,Settings!$C$9,HolidayDates))</f>
        <v>46134</v>
      </c>
      <c r="O205" s="24">
        <f>IF($N205="","",WORKDAY($N205,Settings!$C$10,HolidayDates))</f>
        <v>46174</v>
      </c>
      <c r="P205" s="10" t="s">
        <v>501</v>
      </c>
      <c r="Q205" s="52" t="str">
        <f t="shared" si="31"/>
        <v>Collected</v>
      </c>
      <c r="R205" s="55" t="str">
        <f t="shared" si="32"/>
        <v>2026-04</v>
      </c>
      <c r="S205" s="55">
        <f>IF(OR($B205="",$F205="",$R205=""),"",SUMIFS(tblIssues[Qty Issued],tblIssues[Staff ID],$B205,tblIssues[Item Name],$F205,tblIssues[Month],$R205))</f>
        <v>2</v>
      </c>
      <c r="T205" s="56">
        <f>IF($I205="","",$I205*Settings!$C$11)</f>
        <v>2</v>
      </c>
      <c r="U205" s="57" t="str">
        <f t="shared" si="41"/>
        <v>OK</v>
      </c>
      <c r="V205" s="55" t="str">
        <f t="shared" si="33"/>
        <v/>
      </c>
      <c r="W205" s="55" t="str">
        <f>IF($V205="","",IF(COUNTIF($V$5:$V205,$V205)=1,1,""))</f>
        <v/>
      </c>
      <c r="X205" s="58" t="str">
        <f>IF($W205="","",MAX($X$4:X204)+1)</f>
        <v/>
      </c>
      <c r="Y205" s="62"/>
      <c r="Z205" s="62"/>
      <c r="AA205" s="64" t="str">
        <f>IF($C205="","",IFERROR(INDEX('Staff Directory'!$E$5:$E$594,MATCH($C205,'Staff Directory'!$B$5:$B$594,0)),""))</f>
        <v>firstname071.lastname071@example.com</v>
      </c>
      <c r="AB205" s="64" t="str">
        <f>IF($C205="","",IF(ISNUMBER(SEARCH($D205,Settings!$C$15)),"Pickup","Dispatch"))</f>
        <v>Pickup</v>
      </c>
      <c r="AC205" s="64" t="str">
        <f t="shared" si="34"/>
        <v>Supply order ready for pickup</v>
      </c>
      <c r="AD205" s="64" t="str">
        <f t="shared" si="36"/>
        <v>Dear PSW,
Your order is ready for pickup from Sample Branch, Wed-Fri 9am-4pm.</v>
      </c>
      <c r="AE205" s="64" t="str">
        <f t="shared" si="37"/>
        <v>mailto:firstname071.lastname071@example.com?subject=Supply%20order%20ready%20for%20pickup&amp;body=Dear%20PSW%2C%0A%0AYour%20order%20is%20ready%20for%20pickup%20from%20Sample%20Branch%2C%20Wed-Fri%209am-4pm.</v>
      </c>
      <c r="AF205" s="89" t="str">
        <f t="shared" si="35"/>
        <v>Draft email</v>
      </c>
      <c r="AG205" s="64" t="str">
        <f>IF($C205="","",IFERROR(INDEX('Staff Directory'!$K$595:$K$599,MATCH($C205,'Staff Directory'!$B$5:$B$599,0)),$D205))</f>
        <v>PSW</v>
      </c>
      <c r="AH205" t="str">
        <f>IF($C205="","",IFERROR(INDEX('Staff Directory'!$I$595:$I$599,MATCH($C205,'Staff Directory'!$B$5:$B$599,0))&amp;" "&amp;INDEX('Staff Directory'!$J$595:$J$599,MATCH($C205,'Staff Directory'!$B$5:$B$599,0)),$AG205))</f>
        <v>PSW</v>
      </c>
      <c r="AI205" s="102"/>
      <c r="AJ205" s="101">
        <f>IF($F205="","",SUMIFS($J$5:$J205,$F$5:$F205,$F205))</f>
        <v>42</v>
      </c>
      <c r="AK205" s="101">
        <f t="shared" si="38"/>
        <v>41</v>
      </c>
      <c r="AL205" s="66" t="str" cm="1">
        <f t="array" ref="AL205">IF($F205="","",IFERROR(INDEX('Lot Balance'!$B$5:$B$500,MATCH(1,INDEX(('Lot Balance'!$A$5:$A$500=$F205)*('Lot Balance'!$K$5:$K$500&lt;$AK205)*('Lot Balance'!$K$5:$K$500+'Lot Balance'!$D$5:$D$500&gt;=$AK205),0),0)),""))</f>
        <v/>
      </c>
      <c r="AM205" s="66" t="str" cm="1">
        <f t="array" ref="AM205">IF($F205="","",IFERROR(INDEX('Lot Balance'!$B$5:$B$500,MATCH(1,INDEX(('Lot Balance'!$A$5:$A$500=$F205)*('Lot Balance'!$K$5:$K$500&lt;$AJ205)*('Lot Balance'!$K$5:$K$500+'Lot Balance'!$D$5:$D$500&gt;=$AJ205),0),0)),""))</f>
        <v/>
      </c>
      <c r="AN205" s="66" t="str">
        <f>IF($F205="","",IF($AI205&lt;&gt;"",IF(COUNTIFS('Lot Balance'!$A$5:$A$500,$F205,'Lot Balance'!$B$5:$B$500,$AI205)=0,"⚠ override is not a lot of this item",IF($AI205=$AL205,"Override = FEFO","Override - FEFO says "&amp;$AL205)),IF($AL205="","⚠ no receipt on file for this item",IF($AM205&lt;&gt;$AL205,"FEFO auto - split, also "&amp;$AM205,"FEFO auto"))))</f>
        <v>⚠ no receipt on file for this item</v>
      </c>
      <c r="AO205" s="114"/>
    </row>
    <row r="206" spans="1:41" x14ac:dyDescent="0.35">
      <c r="A206" s="74">
        <v>46126</v>
      </c>
      <c r="B206" s="18" t="str">
        <f>IF($C206="","",IFERROR(INDEX('Staff Directory'!$A$5:$A$594,MATCH($C206,'Staff Directory'!$B$5:$B$594,0)),"⚠ unknown staff"))</f>
        <v>PSW-124-A6</v>
      </c>
      <c r="C206" s="49" t="s">
        <v>1103</v>
      </c>
      <c r="D206" s="19" t="str">
        <f>IF($B206="","",IFERROR(INDEX('Staff Directory'!$C$5:$C$594,MATCH($B206,'Staff Directory'!$A$5:$A$594,0)),""))</f>
        <v>PSW</v>
      </c>
      <c r="E206" s="19" t="str">
        <f>IF($B206="","",IFERROR(INDEX('Staff Directory'!$D$5:$D$594,MATCH($B206,'Staff Directory'!$A$5:$A$594,0)),""))</f>
        <v>A6</v>
      </c>
      <c r="F206" s="9" t="s">
        <v>124</v>
      </c>
      <c r="G206" s="18" t="str">
        <f>IF($F206="","",IFERROR(INDEX(Items!$B$5:$B$597,MATCH($F206,Items!$A$5:$A$597,0)),"⚠ not in Items"))</f>
        <v>Gloves</v>
      </c>
      <c r="H206" s="19" t="str">
        <f>IF($F206="","",IFERROR(INDEX(Items!$C$5:$C$597,MATCH($F206,Items!$A$5:$A$597,0)),""))</f>
        <v>Large</v>
      </c>
      <c r="I206" s="23">
        <f>IF($F206="","",IFERROR(INDEX(Items!$E$5:$E$597,MATCH($F206,Items!$A$5:$A$597,0)),""))</f>
        <v>500</v>
      </c>
      <c r="J206" s="115">
        <f>IF(tblIssues[[#This Row],[Qty Override]]&lt;&gt;"",tblIssues[[#This Row],[Qty Override]],IF(tblIssues[[#This Row],[Standard Issue]]="","",tblIssues[[#This Row],[Standard Issue]]))</f>
        <v>500</v>
      </c>
      <c r="K206" s="20">
        <f>IF($F206="","",IFERROR(INDEX(Items!$D$5:$D$597,MATCH($F206,Items!$A$5:$A$597,0)),""))</f>
        <v>5.5E-2</v>
      </c>
      <c r="L206" s="21">
        <f t="shared" si="39"/>
        <v>27.5</v>
      </c>
      <c r="M206" s="9" t="str">
        <f t="shared" si="40"/>
        <v>ZIM510135932</v>
      </c>
      <c r="N206" s="24">
        <f>IF($A206="","",WORKDAY($A206,Settings!$C$9,HolidayDates))</f>
        <v>46134</v>
      </c>
      <c r="O206" s="24">
        <f>IF($N206="","",WORKDAY($N206,Settings!$C$10,HolidayDates))</f>
        <v>46174</v>
      </c>
      <c r="P206" s="10" t="s">
        <v>501</v>
      </c>
      <c r="Q206" s="52" t="str">
        <f t="shared" ref="Q206:Q269" si="42">IF($A206="","",IF($P206&lt;&gt;"","Collected","Pending"))</f>
        <v>Collected</v>
      </c>
      <c r="R206" s="55" t="str">
        <f t="shared" ref="R206:R269" si="43">IF($A206="","",TEXT($A206,"yyyy-mm"))</f>
        <v>2026-04</v>
      </c>
      <c r="S206" s="55">
        <f>IF(OR($B206="",$F206="",$R206=""),"",SUMIFS(tblIssues[Qty Issued],tblIssues[Staff ID],$B206,tblIssues[Item Name],$F206,tblIssues[Month],$R206))</f>
        <v>500</v>
      </c>
      <c r="T206" s="56">
        <f>IF($I206="","",$I206*Settings!$C$11)</f>
        <v>500</v>
      </c>
      <c r="U206" s="57" t="str">
        <f t="shared" si="41"/>
        <v>OK</v>
      </c>
      <c r="V206" s="55" t="str">
        <f t="shared" ref="V206:V269" si="44">IF($U206="⚠ OVER QUOTA",$B206&amp;" | "&amp;$F206&amp;" | "&amp;$R206,"")</f>
        <v/>
      </c>
      <c r="W206" s="55" t="str">
        <f>IF($V206="","",IF(COUNTIF($V$5:$V206,$V206)=1,1,""))</f>
        <v/>
      </c>
      <c r="X206" s="58" t="str">
        <f>IF($W206="","",MAX($X$4:X205)+1)</f>
        <v/>
      </c>
      <c r="Y206" s="62"/>
      <c r="Z206" s="62"/>
      <c r="AA206" s="64" t="str">
        <f>IF($C206="","",IFERROR(INDEX('Staff Directory'!$E$5:$E$594,MATCH($C206,'Staff Directory'!$B$5:$B$594,0)),""))</f>
        <v>firstname187.lastname187@example.com</v>
      </c>
      <c r="AB206" s="64" t="str">
        <f>IF($C206="","",IF(ISNUMBER(SEARCH($D206,Settings!$C$15)),"Pickup","Dispatch"))</f>
        <v>Pickup</v>
      </c>
      <c r="AC206" s="64" t="str">
        <f t="shared" ref="AC206:AC269" si="45">IF($AB206="Pickup","Supply order ready for pickup",IF($AB206="Dispatch","Supply order dispatched",""))</f>
        <v>Supply order ready for pickup</v>
      </c>
      <c r="AD206" s="64" t="str">
        <f t="shared" si="36"/>
        <v>Dear PSW,
Your order is ready for pickup from Sample Branch, Wed-Fri 9am-4pm.</v>
      </c>
      <c r="AE206" s="64" t="str">
        <f t="shared" si="37"/>
        <v>mailto:firstname187.lastname187@example.com?subject=Supply%20order%20ready%20for%20pickup&amp;body=Dear%20PSW%2C%0A%0AYour%20order%20is%20ready%20for%20pickup%20from%20Sample%20Branch%2C%20Wed-Fri%209am-4pm.</v>
      </c>
      <c r="AF206" s="89" t="str">
        <f t="shared" ref="AF206:AF269" si="46">IF(AE206="","",HYPERLINK(AE206,"Draft email"))</f>
        <v>Draft email</v>
      </c>
      <c r="AG206" s="64" t="str">
        <f>IF($C206="","",IFERROR(INDEX('Staff Directory'!$K$595:$K$599,MATCH($C206,'Staff Directory'!$B$5:$B$599,0)),$D206))</f>
        <v>PSW</v>
      </c>
      <c r="AH206" t="str">
        <f>IF($C206="","",IFERROR(INDEX('Staff Directory'!$I$595:$I$599,MATCH($C206,'Staff Directory'!$B$5:$B$599,0))&amp;" "&amp;INDEX('Staff Directory'!$J$595:$J$599,MATCH($C206,'Staff Directory'!$B$5:$B$599,0)),$AG206))</f>
        <v>PSW</v>
      </c>
      <c r="AI206" s="102"/>
      <c r="AJ206" s="101">
        <f>IF($F206="","",SUMIFS($J$5:$J206,$F$5:$F206,$F206))</f>
        <v>4500</v>
      </c>
      <c r="AK206" s="101">
        <f t="shared" si="38"/>
        <v>4001</v>
      </c>
      <c r="AL206" s="66" t="str" cm="1">
        <f t="array" ref="AL206">IF($F206="","",IFERROR(INDEX('Lot Balance'!$B$5:$B$500,MATCH(1,INDEX(('Lot Balance'!$A$5:$A$500=$F206)*('Lot Balance'!$K$5:$K$500&lt;$AK206)*('Lot Balance'!$K$5:$K$500+'Lot Balance'!$D$5:$D$500&gt;=$AK206),0),0)),""))</f>
        <v>ZIM510135932</v>
      </c>
      <c r="AM206" s="66" t="str" cm="1">
        <f t="array" ref="AM206">IF($F206="","",IFERROR(INDEX('Lot Balance'!$B$5:$B$500,MATCH(1,INDEX(('Lot Balance'!$A$5:$A$500=$F206)*('Lot Balance'!$K$5:$K$500&lt;$AJ206)*('Lot Balance'!$K$5:$K$500+'Lot Balance'!$D$5:$D$500&gt;=$AJ206),0),0)),""))</f>
        <v>ZIM510135932</v>
      </c>
      <c r="AN206" s="66" t="str">
        <f>IF($F206="","",IF($AI206&lt;&gt;"",IF(COUNTIFS('Lot Balance'!$A$5:$A$500,$F206,'Lot Balance'!$B$5:$B$500,$AI206)=0,"⚠ override is not a lot of this item",IF($AI206=$AL206,"Override = FEFO","Override - FEFO says "&amp;$AL206)),IF($AL206="","⚠ no receipt on file for this item",IF($AM206&lt;&gt;$AL206,"FEFO auto - split, also "&amp;$AM206,"FEFO auto"))))</f>
        <v>FEFO auto</v>
      </c>
      <c r="AO206" s="114"/>
    </row>
    <row r="207" spans="1:41" x14ac:dyDescent="0.35">
      <c r="A207" s="74">
        <v>46126</v>
      </c>
      <c r="B207" s="18" t="str">
        <f>IF($C207="","",IFERROR(INDEX('Staff Directory'!$A$5:$A$594,MATCH($C207,'Staff Directory'!$B$5:$B$594,0)),"⚠ unknown staff"))</f>
        <v>PSW-124-A6</v>
      </c>
      <c r="C207" s="49" t="s">
        <v>1103</v>
      </c>
      <c r="D207" s="19" t="str">
        <f>IF($B207="","",IFERROR(INDEX('Staff Directory'!$C$5:$C$594,MATCH($B207,'Staff Directory'!$A$5:$A$594,0)),""))</f>
        <v>PSW</v>
      </c>
      <c r="E207" s="19" t="str">
        <f>IF($B207="","",IFERROR(INDEX('Staff Directory'!$D$5:$D$594,MATCH($B207,'Staff Directory'!$A$5:$A$594,0)),""))</f>
        <v>A6</v>
      </c>
      <c r="F207" s="9" t="s">
        <v>115</v>
      </c>
      <c r="G207" s="18" t="str">
        <f>IF($F207="","",IFERROR(INDEX(Items!$B$5:$B$597,MATCH($F207,Items!$A$5:$A$597,0)),"⚠ not in Items"))</f>
        <v>Wipes</v>
      </c>
      <c r="H207" s="19">
        <f>IF($F207="","",IFERROR(INDEX(Items!$C$5:$C$597,MATCH($F207,Items!$A$5:$A$597,0)),""))</f>
        <v>80</v>
      </c>
      <c r="I207" s="23">
        <f>IF($F207="","",IFERROR(INDEX(Items!$E$5:$E$597,MATCH($F207,Items!$A$5:$A$597,0)),""))</f>
        <v>80</v>
      </c>
      <c r="J207" s="115">
        <f>IF(tblIssues[[#This Row],[Qty Override]]&lt;&gt;"",tblIssues[[#This Row],[Qty Override]],IF(tblIssues[[#This Row],[Standard Issue]]="","",tblIssues[[#This Row],[Standard Issue]]))</f>
        <v>80</v>
      </c>
      <c r="K207" s="20">
        <f>IF($F207="","",IFERROR(INDEX(Items!$D$5:$D$597,MATCH($F207,Items!$A$5:$A$597,0)),""))</f>
        <v>0.1</v>
      </c>
      <c r="L207" s="21">
        <f t="shared" si="39"/>
        <v>8</v>
      </c>
      <c r="M207" s="9" t="str">
        <f t="shared" si="40"/>
        <v>LYSL500290</v>
      </c>
      <c r="N207" s="24">
        <f>IF($A207="","",WORKDAY($A207,Settings!$C$9,HolidayDates))</f>
        <v>46134</v>
      </c>
      <c r="O207" s="24">
        <f>IF($N207="","",WORKDAY($N207,Settings!$C$10,HolidayDates))</f>
        <v>46174</v>
      </c>
      <c r="P207" s="10" t="s">
        <v>501</v>
      </c>
      <c r="Q207" s="52" t="str">
        <f t="shared" si="42"/>
        <v>Collected</v>
      </c>
      <c r="R207" s="55" t="str">
        <f t="shared" si="43"/>
        <v>2026-04</v>
      </c>
      <c r="S207" s="55">
        <f>IF(OR($B207="",$F207="",$R207=""),"",SUMIFS(tblIssues[Qty Issued],tblIssues[Staff ID],$B207,tblIssues[Item Name],$F207,tblIssues[Month],$R207))</f>
        <v>80</v>
      </c>
      <c r="T207" s="56">
        <f>IF($I207="","",$I207*Settings!$C$11)</f>
        <v>80</v>
      </c>
      <c r="U207" s="57" t="str">
        <f t="shared" si="41"/>
        <v>OK</v>
      </c>
      <c r="V207" s="55" t="str">
        <f t="shared" si="44"/>
        <v/>
      </c>
      <c r="W207" s="55" t="str">
        <f>IF($V207="","",IF(COUNTIF($V$5:$V207,$V207)=1,1,""))</f>
        <v/>
      </c>
      <c r="X207" s="58" t="str">
        <f>IF($W207="","",MAX($X$4:X206)+1)</f>
        <v/>
      </c>
      <c r="Y207" s="62"/>
      <c r="Z207" s="62"/>
      <c r="AA207" s="64" t="str">
        <f>IF($C207="","",IFERROR(INDEX('Staff Directory'!$E$5:$E$594,MATCH($C207,'Staff Directory'!$B$5:$B$594,0)),""))</f>
        <v>firstname187.lastname187@example.com</v>
      </c>
      <c r="AB207" s="64" t="str">
        <f>IF($C207="","",IF(ISNUMBER(SEARCH($D207,Settings!$C$15)),"Pickup","Dispatch"))</f>
        <v>Pickup</v>
      </c>
      <c r="AC207" s="64" t="str">
        <f t="shared" si="45"/>
        <v>Supply order ready for pickup</v>
      </c>
      <c r="AD207" s="64" t="str">
        <f t="shared" si="36"/>
        <v>Dear PSW,
Your order is ready for pickup from Sample Branch, Wed-Fri 9am-4pm.</v>
      </c>
      <c r="AE207" s="64" t="str">
        <f t="shared" si="37"/>
        <v>mailto:firstname187.lastname187@example.com?subject=Supply%20order%20ready%20for%20pickup&amp;body=Dear%20PSW%2C%0A%0AYour%20order%20is%20ready%20for%20pickup%20from%20Sample%20Branch%2C%20Wed-Fri%209am-4pm.</v>
      </c>
      <c r="AF207" s="89" t="str">
        <f t="shared" si="46"/>
        <v>Draft email</v>
      </c>
      <c r="AG207" s="64" t="str">
        <f>IF($C207="","",IFERROR(INDEX('Staff Directory'!$K$595:$K$599,MATCH($C207,'Staff Directory'!$B$5:$B$599,0)),$D207))</f>
        <v>PSW</v>
      </c>
      <c r="AH207" t="str">
        <f>IF($C207="","",IFERROR(INDEX('Staff Directory'!$I$595:$I$599,MATCH($C207,'Staff Directory'!$B$5:$B$599,0))&amp;" "&amp;INDEX('Staff Directory'!$J$595:$J$599,MATCH($C207,'Staff Directory'!$B$5:$B$599,0)),$AG207))</f>
        <v>PSW</v>
      </c>
      <c r="AI207" s="102"/>
      <c r="AJ207" s="101">
        <f>IF($F207="","",SUMIFS($J$5:$J207,$F$5:$F207,$F207))</f>
        <v>3120</v>
      </c>
      <c r="AK207" s="101">
        <f t="shared" si="38"/>
        <v>3041</v>
      </c>
      <c r="AL207" s="66" t="str" cm="1">
        <f t="array" ref="AL207">IF($F207="","",IFERROR(INDEX('Lot Balance'!$B$5:$B$500,MATCH(1,INDEX(('Lot Balance'!$A$5:$A$500=$F207)*('Lot Balance'!$K$5:$K$500&lt;$AK207)*('Lot Balance'!$K$5:$K$500+'Lot Balance'!$D$5:$D$500&gt;=$AK207),0),0)),""))</f>
        <v>LYSL500290</v>
      </c>
      <c r="AM207" s="66" t="str" cm="1">
        <f t="array" ref="AM207">IF($F207="","",IFERROR(INDEX('Lot Balance'!$B$5:$B$500,MATCH(1,INDEX(('Lot Balance'!$A$5:$A$500=$F207)*('Lot Balance'!$K$5:$K$500&lt;$AJ207)*('Lot Balance'!$K$5:$K$500+'Lot Balance'!$D$5:$D$500&gt;=$AJ207),0),0)),""))</f>
        <v>LYSL500290</v>
      </c>
      <c r="AN207" s="66" t="str">
        <f>IF($F207="","",IF($AI207&lt;&gt;"",IF(COUNTIFS('Lot Balance'!$A$5:$A$500,$F207,'Lot Balance'!$B$5:$B$500,$AI207)=0,"⚠ override is not a lot of this item",IF($AI207=$AL207,"Override = FEFO","Override - FEFO says "&amp;$AL207)),IF($AL207="","⚠ no receipt on file for this item",IF($AM207&lt;&gt;$AL207,"FEFO auto - split, also "&amp;$AM207,"FEFO auto"))))</f>
        <v>FEFO auto</v>
      </c>
      <c r="AO207" s="114"/>
    </row>
    <row r="208" spans="1:41" x14ac:dyDescent="0.35">
      <c r="A208" s="74">
        <v>46126</v>
      </c>
      <c r="B208" s="18" t="str">
        <f>IF($C208="","",IFERROR(INDEX('Staff Directory'!$A$5:$A$594,MATCH($C208,'Staff Directory'!$B$5:$B$594,0)),"⚠ unknown staff"))</f>
        <v>PSW-124-A6</v>
      </c>
      <c r="C208" s="49" t="s">
        <v>1103</v>
      </c>
      <c r="D208" s="19" t="str">
        <f>IF($B208="","",IFERROR(INDEX('Staff Directory'!$C$5:$C$594,MATCH($B208,'Staff Directory'!$A$5:$A$594,0)),""))</f>
        <v>PSW</v>
      </c>
      <c r="E208" s="19" t="str">
        <f>IF($B208="","",IFERROR(INDEX('Staff Directory'!$D$5:$D$594,MATCH($B208,'Staff Directory'!$A$5:$A$594,0)),""))</f>
        <v>A6</v>
      </c>
      <c r="F208" s="9" t="s">
        <v>156</v>
      </c>
      <c r="G208" s="18" t="str">
        <f>IF($F208="","",IFERROR(INDEX(Items!$B$5:$B$597,MATCH($F208,Items!$A$5:$A$597,0)),"⚠ not in Items"))</f>
        <v>Masks</v>
      </c>
      <c r="H208" s="19" t="str">
        <f>IF($F208="","",IFERROR(INDEX(Items!$C$5:$C$597,MATCH($F208,Items!$A$5:$A$597,0)),""))</f>
        <v>One Size</v>
      </c>
      <c r="I208" s="23">
        <f>IF($F208="","",IFERROR(INDEX(Items!$E$5:$E$597,MATCH($F208,Items!$A$5:$A$597,0)),""))</f>
        <v>50</v>
      </c>
      <c r="J208" s="115">
        <f>IF(tblIssues[[#This Row],[Qty Override]]&lt;&gt;"",tblIssues[[#This Row],[Qty Override]],IF(tblIssues[[#This Row],[Standard Issue]]="","",tblIssues[[#This Row],[Standard Issue]]))</f>
        <v>50</v>
      </c>
      <c r="K208" s="20">
        <f>IF($F208="","",IFERROR(INDEX(Items!$D$5:$D$597,MATCH($F208,Items!$A$5:$A$597,0)),""))</f>
        <v>0.25</v>
      </c>
      <c r="L208" s="21">
        <f t="shared" si="39"/>
        <v>12.5</v>
      </c>
      <c r="M208" s="9" t="str">
        <f t="shared" si="40"/>
        <v>0125FPC24-0</v>
      </c>
      <c r="N208" s="24">
        <f>IF($A208="","",WORKDAY($A208,Settings!$C$9,HolidayDates))</f>
        <v>46134</v>
      </c>
      <c r="O208" s="24">
        <f>IF($N208="","",WORKDAY($N208,Settings!$C$10,HolidayDates))</f>
        <v>46174</v>
      </c>
      <c r="P208" s="10" t="s">
        <v>501</v>
      </c>
      <c r="Q208" s="52" t="str">
        <f t="shared" si="42"/>
        <v>Collected</v>
      </c>
      <c r="R208" s="55" t="str">
        <f t="shared" si="43"/>
        <v>2026-04</v>
      </c>
      <c r="S208" s="55">
        <f>IF(OR($B208="",$F208="",$R208=""),"",SUMIFS(tblIssues[Qty Issued],tblIssues[Staff ID],$B208,tblIssues[Item Name],$F208,tblIssues[Month],$R208))</f>
        <v>50</v>
      </c>
      <c r="T208" s="56">
        <f>IF($I208="","",$I208*Settings!$C$11)</f>
        <v>50</v>
      </c>
      <c r="U208" s="57" t="str">
        <f t="shared" si="41"/>
        <v>OK</v>
      </c>
      <c r="V208" s="55" t="str">
        <f t="shared" si="44"/>
        <v/>
      </c>
      <c r="W208" s="55" t="str">
        <f>IF($V208="","",IF(COUNTIF($V$5:$V208,$V208)=1,1,""))</f>
        <v/>
      </c>
      <c r="X208" s="58" t="str">
        <f>IF($W208="","",MAX($X$4:X207)+1)</f>
        <v/>
      </c>
      <c r="Y208" s="62"/>
      <c r="Z208" s="62"/>
      <c r="AA208" s="64" t="str">
        <f>IF($C208="","",IFERROR(INDEX('Staff Directory'!$E$5:$E$594,MATCH($C208,'Staff Directory'!$B$5:$B$594,0)),""))</f>
        <v>firstname187.lastname187@example.com</v>
      </c>
      <c r="AB208" s="64" t="str">
        <f>IF($C208="","",IF(ISNUMBER(SEARCH($D208,Settings!$C$15)),"Pickup","Dispatch"))</f>
        <v>Pickup</v>
      </c>
      <c r="AC208" s="64" t="str">
        <f t="shared" si="45"/>
        <v>Supply order ready for pickup</v>
      </c>
      <c r="AD208" s="64" t="str">
        <f t="shared" si="36"/>
        <v>Dear PSW,
Your order is ready for pickup from Sample Branch, Wed-Fri 9am-4pm.</v>
      </c>
      <c r="AE208" s="64" t="str">
        <f t="shared" si="37"/>
        <v>mailto:firstname187.lastname187@example.com?subject=Supply%20order%20ready%20for%20pickup&amp;body=Dear%20PSW%2C%0A%0AYour%20order%20is%20ready%20for%20pickup%20from%20Sample%20Branch%2C%20Wed-Fri%209am-4pm.</v>
      </c>
      <c r="AF208" s="89" t="str">
        <f t="shared" si="46"/>
        <v>Draft email</v>
      </c>
      <c r="AG208" s="64" t="str">
        <f>IF($C208="","",IFERROR(INDEX('Staff Directory'!$K$595:$K$599,MATCH($C208,'Staff Directory'!$B$5:$B$599,0)),$D208))</f>
        <v>PSW</v>
      </c>
      <c r="AH208" t="str">
        <f>IF($C208="","",IFERROR(INDEX('Staff Directory'!$I$595:$I$599,MATCH($C208,'Staff Directory'!$B$5:$B$599,0))&amp;" "&amp;INDEX('Staff Directory'!$J$595:$J$599,MATCH($C208,'Staff Directory'!$B$5:$B$599,0)),$AG208))</f>
        <v>PSW</v>
      </c>
      <c r="AI208" s="102"/>
      <c r="AJ208" s="101">
        <f>IF($F208="","",SUMIFS($J$5:$J208,$F$5:$F208,$F208))</f>
        <v>1550</v>
      </c>
      <c r="AK208" s="101">
        <f t="shared" si="38"/>
        <v>1501</v>
      </c>
      <c r="AL208" s="66" t="str" cm="1">
        <f t="array" ref="AL208">IF($F208="","",IFERROR(INDEX('Lot Balance'!$B$5:$B$500,MATCH(1,INDEX(('Lot Balance'!$A$5:$A$500=$F208)*('Lot Balance'!$K$5:$K$500&lt;$AK208)*('Lot Balance'!$K$5:$K$500+'Lot Balance'!$D$5:$D$500&gt;=$AK208),0),0)),""))</f>
        <v>0125FPC24-0</v>
      </c>
      <c r="AM208" s="66" t="str" cm="1">
        <f t="array" ref="AM208">IF($F208="","",IFERROR(INDEX('Lot Balance'!$B$5:$B$500,MATCH(1,INDEX(('Lot Balance'!$A$5:$A$500=$F208)*('Lot Balance'!$K$5:$K$500&lt;$AJ208)*('Lot Balance'!$K$5:$K$500+'Lot Balance'!$D$5:$D$500&gt;=$AJ208),0),0)),""))</f>
        <v>0125FPC24-0</v>
      </c>
      <c r="AN208" s="66" t="str">
        <f>IF($F208="","",IF($AI208&lt;&gt;"",IF(COUNTIFS('Lot Balance'!$A$5:$A$500,$F208,'Lot Balance'!$B$5:$B$500,$AI208)=0,"⚠ override is not a lot of this item",IF($AI208=$AL208,"Override = FEFO","Override - FEFO says "&amp;$AL208)),IF($AL208="","⚠ no receipt on file for this item",IF($AM208&lt;&gt;$AL208,"FEFO auto - split, also "&amp;$AM208,"FEFO auto"))))</f>
        <v>FEFO auto</v>
      </c>
      <c r="AO208" s="114"/>
    </row>
    <row r="209" spans="1:41" x14ac:dyDescent="0.35">
      <c r="A209" s="74">
        <v>46126</v>
      </c>
      <c r="B209" s="18" t="str">
        <f>IF($C209="","",IFERROR(INDEX('Staff Directory'!$A$5:$A$594,MATCH($C209,'Staff Directory'!$B$5:$B$594,0)),"⚠ unknown staff"))</f>
        <v>PSW-124-A6</v>
      </c>
      <c r="C209" s="49" t="s">
        <v>1103</v>
      </c>
      <c r="D209" s="19" t="str">
        <f>IF($B209="","",IFERROR(INDEX('Staff Directory'!$C$5:$C$594,MATCH($B209,'Staff Directory'!$A$5:$A$594,0)),""))</f>
        <v>PSW</v>
      </c>
      <c r="E209" s="19" t="str">
        <f>IF($B209="","",IFERROR(INDEX('Staff Directory'!$D$5:$D$594,MATCH($B209,'Staff Directory'!$A$5:$A$594,0)),""))</f>
        <v>A6</v>
      </c>
      <c r="F209" s="9" t="s">
        <v>755</v>
      </c>
      <c r="G209" s="18" t="str">
        <f>IF($F209="","",IFERROR(INDEX(Items!$B$5:$B$597,MATCH($F209,Items!$A$5:$A$597,0)),"⚠ not in Items"))</f>
        <v>Documents</v>
      </c>
      <c r="H209" s="19" t="str">
        <f>IF($F209="","",IFERROR(INDEX(Items!$C$5:$C$597,MATCH($F209,Items!$A$5:$A$597,0)),""))</f>
        <v>Standard</v>
      </c>
      <c r="I209" s="23">
        <f>IF($F209="","",IFERROR(INDEX(Items!$E$5:$E$597,MATCH($F209,Items!$A$5:$A$597,0)),""))</f>
        <v>2</v>
      </c>
      <c r="J209" s="115">
        <f>IF(tblIssues[[#This Row],[Qty Override]]&lt;&gt;"",tblIssues[[#This Row],[Qty Override]],IF(tblIssues[[#This Row],[Standard Issue]]="","",tblIssues[[#This Row],[Standard Issue]]))</f>
        <v>2</v>
      </c>
      <c r="K209" s="20">
        <f>IF($F209="","",IFERROR(INDEX(Items!$D$5:$D$597,MATCH($F209,Items!$A$5:$A$597,0)),""))</f>
        <v>0</v>
      </c>
      <c r="L209" s="21">
        <f t="shared" si="39"/>
        <v>0</v>
      </c>
      <c r="M209" s="9" t="str">
        <f t="shared" si="40"/>
        <v/>
      </c>
      <c r="N209" s="24">
        <f>IF($A209="","",WORKDAY($A209,Settings!$C$9,HolidayDates))</f>
        <v>46134</v>
      </c>
      <c r="O209" s="24">
        <f>IF($N209="","",WORKDAY($N209,Settings!$C$10,HolidayDates))</f>
        <v>46174</v>
      </c>
      <c r="P209" s="10" t="s">
        <v>501</v>
      </c>
      <c r="Q209" s="52" t="str">
        <f t="shared" si="42"/>
        <v>Collected</v>
      </c>
      <c r="R209" s="55" t="str">
        <f t="shared" si="43"/>
        <v>2026-04</v>
      </c>
      <c r="S209" s="55">
        <f>IF(OR($B209="",$F209="",$R209=""),"",SUMIFS(tblIssues[Qty Issued],tblIssues[Staff ID],$B209,tblIssues[Item Name],$F209,tblIssues[Month],$R209))</f>
        <v>2</v>
      </c>
      <c r="T209" s="56">
        <f>IF($I209="","",$I209*Settings!$C$11)</f>
        <v>2</v>
      </c>
      <c r="U209" s="57" t="str">
        <f t="shared" si="41"/>
        <v>OK</v>
      </c>
      <c r="V209" s="55" t="str">
        <f t="shared" si="44"/>
        <v/>
      </c>
      <c r="W209" s="55" t="str">
        <f>IF($V209="","",IF(COUNTIF($V$5:$V209,$V209)=1,1,""))</f>
        <v/>
      </c>
      <c r="X209" s="58" t="str">
        <f>IF($W209="","",MAX($X$4:X208)+1)</f>
        <v/>
      </c>
      <c r="Y209" s="62"/>
      <c r="Z209" s="62"/>
      <c r="AA209" s="64" t="str">
        <f>IF($C209="","",IFERROR(INDEX('Staff Directory'!$E$5:$E$594,MATCH($C209,'Staff Directory'!$B$5:$B$594,0)),""))</f>
        <v>firstname187.lastname187@example.com</v>
      </c>
      <c r="AB209" s="64" t="str">
        <f>IF($C209="","",IF(ISNUMBER(SEARCH($D209,Settings!$C$15)),"Pickup","Dispatch"))</f>
        <v>Pickup</v>
      </c>
      <c r="AC209" s="64" t="str">
        <f t="shared" si="45"/>
        <v>Supply order ready for pickup</v>
      </c>
      <c r="AD209" s="64" t="str">
        <f t="shared" si="36"/>
        <v>Dear PSW,
Your order is ready for pickup from Sample Branch, Wed-Fri 9am-4pm.</v>
      </c>
      <c r="AE209" s="64" t="str">
        <f t="shared" si="37"/>
        <v>mailto:firstname187.lastname187@example.com?subject=Supply%20order%20ready%20for%20pickup&amp;body=Dear%20PSW%2C%0A%0AYour%20order%20is%20ready%20for%20pickup%20from%20Sample%20Branch%2C%20Wed-Fri%209am-4pm.</v>
      </c>
      <c r="AF209" s="89" t="str">
        <f t="shared" si="46"/>
        <v>Draft email</v>
      </c>
      <c r="AG209" s="64" t="str">
        <f>IF($C209="","",IFERROR(INDEX('Staff Directory'!$K$595:$K$599,MATCH($C209,'Staff Directory'!$B$5:$B$599,0)),$D209))</f>
        <v>PSW</v>
      </c>
      <c r="AH209" t="str">
        <f>IF($C209="","",IFERROR(INDEX('Staff Directory'!$I$595:$I$599,MATCH($C209,'Staff Directory'!$B$5:$B$599,0))&amp;" "&amp;INDEX('Staff Directory'!$J$595:$J$599,MATCH($C209,'Staff Directory'!$B$5:$B$599,0)),$AG209))</f>
        <v>PSW</v>
      </c>
      <c r="AI209" s="102"/>
      <c r="AJ209" s="101">
        <f>IF($F209="","",SUMIFS($J$5:$J209,$F$5:$F209,$F209))</f>
        <v>44</v>
      </c>
      <c r="AK209" s="101">
        <f t="shared" si="38"/>
        <v>43</v>
      </c>
      <c r="AL209" s="66" t="str" cm="1">
        <f t="array" ref="AL209">IF($F209="","",IFERROR(INDEX('Lot Balance'!$B$5:$B$500,MATCH(1,INDEX(('Lot Balance'!$A$5:$A$500=$F209)*('Lot Balance'!$K$5:$K$500&lt;$AK209)*('Lot Balance'!$K$5:$K$500+'Lot Balance'!$D$5:$D$500&gt;=$AK209),0),0)),""))</f>
        <v/>
      </c>
      <c r="AM209" s="66" t="str" cm="1">
        <f t="array" ref="AM209">IF($F209="","",IFERROR(INDEX('Lot Balance'!$B$5:$B$500,MATCH(1,INDEX(('Lot Balance'!$A$5:$A$500=$F209)*('Lot Balance'!$K$5:$K$500&lt;$AJ209)*('Lot Balance'!$K$5:$K$500+'Lot Balance'!$D$5:$D$500&gt;=$AJ209),0),0)),""))</f>
        <v/>
      </c>
      <c r="AN209" s="66" t="str">
        <f>IF($F209="","",IF($AI209&lt;&gt;"",IF(COUNTIFS('Lot Balance'!$A$5:$A$500,$F209,'Lot Balance'!$B$5:$B$500,$AI209)=0,"⚠ override is not a lot of this item",IF($AI209=$AL209,"Override = FEFO","Override - FEFO says "&amp;$AL209)),IF($AL209="","⚠ no receipt on file for this item",IF($AM209&lt;&gt;$AL209,"FEFO auto - split, also "&amp;$AM209,"FEFO auto"))))</f>
        <v>⚠ no receipt on file for this item</v>
      </c>
      <c r="AO209" s="114"/>
    </row>
    <row r="210" spans="1:41" x14ac:dyDescent="0.35">
      <c r="A210" s="74">
        <v>46126</v>
      </c>
      <c r="B210" s="18" t="str">
        <f>IF($C210="","",IFERROR(INDEX('Staff Directory'!$A$5:$A$594,MATCH($C210,'Staff Directory'!$B$5:$B$594,0)),"⚠ unknown staff"))</f>
        <v>PSW-104-A6</v>
      </c>
      <c r="C210" s="49" t="s">
        <v>1082</v>
      </c>
      <c r="D210" s="19" t="str">
        <f>IF($B210="","",IFERROR(INDEX('Staff Directory'!$C$5:$C$594,MATCH($B210,'Staff Directory'!$A$5:$A$594,0)),""))</f>
        <v>PSW</v>
      </c>
      <c r="E210" s="19" t="str">
        <f>IF($B210="","",IFERROR(INDEX('Staff Directory'!$D$5:$D$594,MATCH($B210,'Staff Directory'!$A$5:$A$594,0)),""))</f>
        <v>A6</v>
      </c>
      <c r="F210" s="9" t="s">
        <v>127</v>
      </c>
      <c r="G210" s="18" t="str">
        <f>IF($F210="","",IFERROR(INDEX(Items!$B$5:$B$597,MATCH($F210,Items!$A$5:$A$597,0)),"⚠ not in Items"))</f>
        <v>Gloves</v>
      </c>
      <c r="H210" s="19" t="str">
        <f>IF($F210="","",IFERROR(INDEX(Items!$C$5:$C$597,MATCH($F210,Items!$A$5:$A$597,0)),""))</f>
        <v>Medium</v>
      </c>
      <c r="I210" s="23">
        <f>IF($F210="","",IFERROR(INDEX(Items!$E$5:$E$597,MATCH($F210,Items!$A$5:$A$597,0)),""))</f>
        <v>500</v>
      </c>
      <c r="J210" s="115">
        <f>IF(tblIssues[[#This Row],[Qty Override]]&lt;&gt;"",tblIssues[[#This Row],[Qty Override]],IF(tblIssues[[#This Row],[Standard Issue]]="","",tblIssues[[#This Row],[Standard Issue]]))</f>
        <v>500</v>
      </c>
      <c r="K210" s="20">
        <f>IF($F210="","",IFERROR(INDEX(Items!$D$5:$D$597,MATCH($F210,Items!$A$5:$A$597,0)),""))</f>
        <v>5.5E-2</v>
      </c>
      <c r="L210" s="21">
        <f t="shared" si="39"/>
        <v>27.5</v>
      </c>
      <c r="M210" s="9" t="str">
        <f t="shared" si="40"/>
        <v>ZIM504126040-2</v>
      </c>
      <c r="N210" s="24">
        <f>IF($A210="","",WORKDAY($A210,Settings!$C$9,HolidayDates))</f>
        <v>46134</v>
      </c>
      <c r="O210" s="24">
        <f>IF($N210="","",WORKDAY($N210,Settings!$C$10,HolidayDates))</f>
        <v>46174</v>
      </c>
      <c r="P210" s="10" t="s">
        <v>501</v>
      </c>
      <c r="Q210" s="52" t="str">
        <f t="shared" si="42"/>
        <v>Collected</v>
      </c>
      <c r="R210" s="55" t="str">
        <f t="shared" si="43"/>
        <v>2026-04</v>
      </c>
      <c r="S210" s="55">
        <f>IF(OR($B210="",$F210="",$R210=""),"",SUMIFS(tblIssues[Qty Issued],tblIssues[Staff ID],$B210,tblIssues[Item Name],$F210,tblIssues[Month],$R210))</f>
        <v>500</v>
      </c>
      <c r="T210" s="56">
        <f>IF($I210="","",$I210*Settings!$C$11)</f>
        <v>500</v>
      </c>
      <c r="U210" s="57" t="str">
        <f t="shared" si="41"/>
        <v>OK</v>
      </c>
      <c r="V210" s="55" t="str">
        <f t="shared" si="44"/>
        <v/>
      </c>
      <c r="W210" s="55" t="str">
        <f>IF($V210="","",IF(COUNTIF($V$5:$V210,$V210)=1,1,""))</f>
        <v/>
      </c>
      <c r="X210" s="58" t="str">
        <f>IF($W210="","",MAX($X$4:X209)+1)</f>
        <v/>
      </c>
      <c r="Y210" s="62"/>
      <c r="Z210" s="62"/>
      <c r="AA210" s="64" t="str">
        <f>IF($C210="","",IFERROR(INDEX('Staff Directory'!$E$5:$E$594,MATCH($C210,'Staff Directory'!$B$5:$B$594,0)),""))</f>
        <v>firstname166.lastname166@example.com</v>
      </c>
      <c r="AB210" s="64" t="str">
        <f>IF($C210="","",IF(ISNUMBER(SEARCH($D210,Settings!$C$15)),"Pickup","Dispatch"))</f>
        <v>Pickup</v>
      </c>
      <c r="AC210" s="64" t="str">
        <f t="shared" si="45"/>
        <v>Supply order ready for pickup</v>
      </c>
      <c r="AD210" s="64" t="str">
        <f t="shared" si="36"/>
        <v>Dear PSW,
Your order is ready for pickup from Sample Branch, Wed-Fri 9am-4pm.</v>
      </c>
      <c r="AE210" s="64" t="str">
        <f t="shared" si="37"/>
        <v>mailto:firstname166.lastname166@example.com?subject=Supply%20order%20ready%20for%20pickup&amp;body=Dear%20PSW%2C%0A%0AYour%20order%20is%20ready%20for%20pickup%20from%20Sample%20Branch%2C%20Wed-Fri%209am-4pm.</v>
      </c>
      <c r="AF210" s="89" t="str">
        <f t="shared" si="46"/>
        <v>Draft email</v>
      </c>
      <c r="AG210" s="64" t="str">
        <f>IF($C210="","",IFERROR(INDEX('Staff Directory'!$K$595:$K$599,MATCH($C210,'Staff Directory'!$B$5:$B$599,0)),$D210))</f>
        <v>PSW</v>
      </c>
      <c r="AH210" t="str">
        <f>IF($C210="","",IFERROR(INDEX('Staff Directory'!$I$595:$I$599,MATCH($C210,'Staff Directory'!$B$5:$B$599,0))&amp;" "&amp;INDEX('Staff Directory'!$J$595:$J$599,MATCH($C210,'Staff Directory'!$B$5:$B$599,0)),$AG210))</f>
        <v>PSW</v>
      </c>
      <c r="AI210" s="102"/>
      <c r="AJ210" s="101">
        <f>IF($F210="","",SUMIFS($J$5:$J210,$F$5:$F210,$F210))</f>
        <v>13500</v>
      </c>
      <c r="AK210" s="101">
        <f t="shared" si="38"/>
        <v>13001</v>
      </c>
      <c r="AL210" s="66" t="str" cm="1">
        <f t="array" ref="AL210">IF($F210="","",IFERROR(INDEX('Lot Balance'!$B$5:$B$500,MATCH(1,INDEX(('Lot Balance'!$A$5:$A$500=$F210)*('Lot Balance'!$K$5:$K$500&lt;$AK210)*('Lot Balance'!$K$5:$K$500+'Lot Balance'!$D$5:$D$500&gt;=$AK210),0),0)),""))</f>
        <v>ZIM504126040-2</v>
      </c>
      <c r="AM210" s="66" t="str" cm="1">
        <f t="array" ref="AM210">IF($F210="","",IFERROR(INDEX('Lot Balance'!$B$5:$B$500,MATCH(1,INDEX(('Lot Balance'!$A$5:$A$500=$F210)*('Lot Balance'!$K$5:$K$500&lt;$AJ210)*('Lot Balance'!$K$5:$K$500+'Lot Balance'!$D$5:$D$500&gt;=$AJ210),0),0)),""))</f>
        <v>ZIM504126040-2</v>
      </c>
      <c r="AN210" s="66" t="str">
        <f>IF($F210="","",IF($AI210&lt;&gt;"",IF(COUNTIFS('Lot Balance'!$A$5:$A$500,$F210,'Lot Balance'!$B$5:$B$500,$AI210)=0,"⚠ override is not a lot of this item",IF($AI210=$AL210,"Override = FEFO","Override - FEFO says "&amp;$AL210)),IF($AL210="","⚠ no receipt on file for this item",IF($AM210&lt;&gt;$AL210,"FEFO auto - split, also "&amp;$AM210,"FEFO auto"))))</f>
        <v>FEFO auto</v>
      </c>
      <c r="AO210" s="114"/>
    </row>
    <row r="211" spans="1:41" x14ac:dyDescent="0.35">
      <c r="A211" s="74">
        <v>46126</v>
      </c>
      <c r="B211" s="18" t="str">
        <f>IF($C211="","",IFERROR(INDEX('Staff Directory'!$A$5:$A$594,MATCH($C211,'Staff Directory'!$B$5:$B$594,0)),"⚠ unknown staff"))</f>
        <v>PSW-104-A6</v>
      </c>
      <c r="C211" s="49" t="s">
        <v>1082</v>
      </c>
      <c r="D211" s="19" t="str">
        <f>IF($B211="","",IFERROR(INDEX('Staff Directory'!$C$5:$C$594,MATCH($B211,'Staff Directory'!$A$5:$A$594,0)),""))</f>
        <v>PSW</v>
      </c>
      <c r="E211" s="19" t="str">
        <f>IF($B211="","",IFERROR(INDEX('Staff Directory'!$D$5:$D$594,MATCH($B211,'Staff Directory'!$A$5:$A$594,0)),""))</f>
        <v>A6</v>
      </c>
      <c r="F211" s="9" t="s">
        <v>137</v>
      </c>
      <c r="G211" s="18" t="str">
        <f>IF($F211="","",IFERROR(INDEX(Items!$B$5:$B$597,MATCH($F211,Items!$A$5:$A$597,0)),"⚠ not in Items"))</f>
        <v>Sanitizer</v>
      </c>
      <c r="H211" s="19" t="str">
        <f>IF($F211="","",IFERROR(INDEX(Items!$C$5:$C$597,MATCH($F211,Items!$A$5:$A$597,0)),""))</f>
        <v>118 ML</v>
      </c>
      <c r="I211" s="23">
        <f>IF($F211="","",IFERROR(INDEX(Items!$E$5:$E$597,MATCH($F211,Items!$A$5:$A$597,0)),""))</f>
        <v>2</v>
      </c>
      <c r="J211" s="115">
        <f>IF(tblIssues[[#This Row],[Qty Override]]&lt;&gt;"",tblIssues[[#This Row],[Qty Override]],IF(tblIssues[[#This Row],[Standard Issue]]="","",tblIssues[[#This Row],[Standard Issue]]))</f>
        <v>2</v>
      </c>
      <c r="K211" s="20">
        <f>IF($F211="","",IFERROR(INDEX(Items!$D$5:$D$597,MATCH($F211,Items!$A$5:$A$597,0)),""))</f>
        <v>4.49</v>
      </c>
      <c r="L211" s="21">
        <f t="shared" si="39"/>
        <v>8.98</v>
      </c>
      <c r="M211" s="9" t="str">
        <f t="shared" si="40"/>
        <v>563963-6</v>
      </c>
      <c r="N211" s="24">
        <f>IF($A211="","",WORKDAY($A211,Settings!$C$9,HolidayDates))</f>
        <v>46134</v>
      </c>
      <c r="O211" s="24">
        <f>IF($N211="","",WORKDAY($N211,Settings!$C$10,HolidayDates))</f>
        <v>46174</v>
      </c>
      <c r="P211" s="10" t="s">
        <v>501</v>
      </c>
      <c r="Q211" s="52" t="str">
        <f t="shared" si="42"/>
        <v>Collected</v>
      </c>
      <c r="R211" s="55" t="str">
        <f t="shared" si="43"/>
        <v>2026-04</v>
      </c>
      <c r="S211" s="55">
        <f>IF(OR($B211="",$F211="",$R211=""),"",SUMIFS(tblIssues[Qty Issued],tblIssues[Staff ID],$B211,tblIssues[Item Name],$F211,tblIssues[Month],$R211))</f>
        <v>2</v>
      </c>
      <c r="T211" s="56">
        <f>IF($I211="","",$I211*Settings!$C$11)</f>
        <v>2</v>
      </c>
      <c r="U211" s="57" t="str">
        <f t="shared" si="41"/>
        <v>OK</v>
      </c>
      <c r="V211" s="55" t="str">
        <f t="shared" si="44"/>
        <v/>
      </c>
      <c r="W211" s="55" t="str">
        <f>IF($V211="","",IF(COUNTIF($V$5:$V211,$V211)=1,1,""))</f>
        <v/>
      </c>
      <c r="X211" s="58" t="str">
        <f>IF($W211="","",MAX($X$4:X210)+1)</f>
        <v/>
      </c>
      <c r="Y211" s="62"/>
      <c r="Z211" s="62"/>
      <c r="AA211" s="64" t="str">
        <f>IF($C211="","",IFERROR(INDEX('Staff Directory'!$E$5:$E$594,MATCH($C211,'Staff Directory'!$B$5:$B$594,0)),""))</f>
        <v>firstname166.lastname166@example.com</v>
      </c>
      <c r="AB211" s="64" t="str">
        <f>IF($C211="","",IF(ISNUMBER(SEARCH($D211,Settings!$C$15)),"Pickup","Dispatch"))</f>
        <v>Pickup</v>
      </c>
      <c r="AC211" s="64" t="str">
        <f t="shared" si="45"/>
        <v>Supply order ready for pickup</v>
      </c>
      <c r="AD211" s="64" t="str">
        <f t="shared" si="36"/>
        <v>Dear PSW,
Your order is ready for pickup from Sample Branch, Wed-Fri 9am-4pm.</v>
      </c>
      <c r="AE211" s="64" t="str">
        <f t="shared" si="37"/>
        <v>mailto:firstname166.lastname166@example.com?subject=Supply%20order%20ready%20for%20pickup&amp;body=Dear%20PSW%2C%0A%0AYour%20order%20is%20ready%20for%20pickup%20from%20Sample%20Branch%2C%20Wed-Fri%209am-4pm.</v>
      </c>
      <c r="AF211" s="89" t="str">
        <f t="shared" si="46"/>
        <v>Draft email</v>
      </c>
      <c r="AG211" s="64" t="str">
        <f>IF($C211="","",IFERROR(INDEX('Staff Directory'!$K$595:$K$599,MATCH($C211,'Staff Directory'!$B$5:$B$599,0)),$D211))</f>
        <v>PSW</v>
      </c>
      <c r="AH211" t="str">
        <f>IF($C211="","",IFERROR(INDEX('Staff Directory'!$I$595:$I$599,MATCH($C211,'Staff Directory'!$B$5:$B$599,0))&amp;" "&amp;INDEX('Staff Directory'!$J$595:$J$599,MATCH($C211,'Staff Directory'!$B$5:$B$599,0)),$AG211))</f>
        <v>PSW</v>
      </c>
      <c r="AI211" s="102"/>
      <c r="AJ211" s="101">
        <f>IF($F211="","",SUMIFS($J$5:$J211,$F$5:$F211,$F211))</f>
        <v>68</v>
      </c>
      <c r="AK211" s="101">
        <f t="shared" si="38"/>
        <v>67</v>
      </c>
      <c r="AL211" s="66" t="str" cm="1">
        <f t="array" ref="AL211">IF($F211="","",IFERROR(INDEX('Lot Balance'!$B$5:$B$500,MATCH(1,INDEX(('Lot Balance'!$A$5:$A$500=$F211)*('Lot Balance'!$K$5:$K$500&lt;$AK211)*('Lot Balance'!$K$5:$K$500+'Lot Balance'!$D$5:$D$500&gt;=$AK211),0),0)),""))</f>
        <v>563963-6</v>
      </c>
      <c r="AM211" s="66" t="str" cm="1">
        <f t="array" ref="AM211">IF($F211="","",IFERROR(INDEX('Lot Balance'!$B$5:$B$500,MATCH(1,INDEX(('Lot Balance'!$A$5:$A$500=$F211)*('Lot Balance'!$K$5:$K$500&lt;$AJ211)*('Lot Balance'!$K$5:$K$500+'Lot Balance'!$D$5:$D$500&gt;=$AJ211),0),0)),""))</f>
        <v>563963-6</v>
      </c>
      <c r="AN211" s="66" t="str">
        <f>IF($F211="","",IF($AI211&lt;&gt;"",IF(COUNTIFS('Lot Balance'!$A$5:$A$500,$F211,'Lot Balance'!$B$5:$B$500,$AI211)=0,"⚠ override is not a lot of this item",IF($AI211=$AL211,"Override = FEFO","Override - FEFO says "&amp;$AL211)),IF($AL211="","⚠ no receipt on file for this item",IF($AM211&lt;&gt;$AL211,"FEFO auto - split, also "&amp;$AM211,"FEFO auto"))))</f>
        <v>FEFO auto</v>
      </c>
      <c r="AO211" s="114"/>
    </row>
    <row r="212" spans="1:41" x14ac:dyDescent="0.35">
      <c r="A212" s="74">
        <v>46126</v>
      </c>
      <c r="B212" s="18" t="str">
        <f>IF($C212="","",IFERROR(INDEX('Staff Directory'!$A$5:$A$594,MATCH($C212,'Staff Directory'!$B$5:$B$594,0)),"⚠ unknown staff"))</f>
        <v>PSW-104-A6</v>
      </c>
      <c r="C212" s="49" t="s">
        <v>1082</v>
      </c>
      <c r="D212" s="19" t="str">
        <f>IF($B212="","",IFERROR(INDEX('Staff Directory'!$C$5:$C$594,MATCH($B212,'Staff Directory'!$A$5:$A$594,0)),""))</f>
        <v>PSW</v>
      </c>
      <c r="E212" s="19" t="str">
        <f>IF($B212="","",IFERROR(INDEX('Staff Directory'!$D$5:$D$594,MATCH($B212,'Staff Directory'!$A$5:$A$594,0)),""))</f>
        <v>A6</v>
      </c>
      <c r="F212" s="9" t="s">
        <v>115</v>
      </c>
      <c r="G212" s="18" t="str">
        <f>IF($F212="","",IFERROR(INDEX(Items!$B$5:$B$597,MATCH($F212,Items!$A$5:$A$597,0)),"⚠ not in Items"))</f>
        <v>Wipes</v>
      </c>
      <c r="H212" s="19">
        <f>IF($F212="","",IFERROR(INDEX(Items!$C$5:$C$597,MATCH($F212,Items!$A$5:$A$597,0)),""))</f>
        <v>80</v>
      </c>
      <c r="I212" s="23">
        <f>IF($F212="","",IFERROR(INDEX(Items!$E$5:$E$597,MATCH($F212,Items!$A$5:$A$597,0)),""))</f>
        <v>80</v>
      </c>
      <c r="J212" s="115">
        <f>IF(tblIssues[[#This Row],[Qty Override]]&lt;&gt;"",tblIssues[[#This Row],[Qty Override]],IF(tblIssues[[#This Row],[Standard Issue]]="","",tblIssues[[#This Row],[Standard Issue]]))</f>
        <v>80</v>
      </c>
      <c r="K212" s="20">
        <f>IF($F212="","",IFERROR(INDEX(Items!$D$5:$D$597,MATCH($F212,Items!$A$5:$A$597,0)),""))</f>
        <v>0.1</v>
      </c>
      <c r="L212" s="21">
        <f t="shared" si="39"/>
        <v>8</v>
      </c>
      <c r="M212" s="9" t="str">
        <f t="shared" si="40"/>
        <v>LYSL500290</v>
      </c>
      <c r="N212" s="24">
        <f>IF($A212="","",WORKDAY($A212,Settings!$C$9,HolidayDates))</f>
        <v>46134</v>
      </c>
      <c r="O212" s="24">
        <f>IF($N212="","",WORKDAY($N212,Settings!$C$10,HolidayDates))</f>
        <v>46174</v>
      </c>
      <c r="P212" s="10" t="s">
        <v>501</v>
      </c>
      <c r="Q212" s="52" t="str">
        <f t="shared" si="42"/>
        <v>Collected</v>
      </c>
      <c r="R212" s="55" t="str">
        <f t="shared" si="43"/>
        <v>2026-04</v>
      </c>
      <c r="S212" s="55">
        <f>IF(OR($B212="",$F212="",$R212=""),"",SUMIFS(tblIssues[Qty Issued],tblIssues[Staff ID],$B212,tblIssues[Item Name],$F212,tblIssues[Month],$R212))</f>
        <v>80</v>
      </c>
      <c r="T212" s="56">
        <f>IF($I212="","",$I212*Settings!$C$11)</f>
        <v>80</v>
      </c>
      <c r="U212" s="57" t="str">
        <f t="shared" si="41"/>
        <v>OK</v>
      </c>
      <c r="V212" s="55" t="str">
        <f t="shared" si="44"/>
        <v/>
      </c>
      <c r="W212" s="55" t="str">
        <f>IF($V212="","",IF(COUNTIF($V$5:$V212,$V212)=1,1,""))</f>
        <v/>
      </c>
      <c r="X212" s="58" t="str">
        <f>IF($W212="","",MAX($X$4:X211)+1)</f>
        <v/>
      </c>
      <c r="Y212" s="62"/>
      <c r="Z212" s="62"/>
      <c r="AA212" s="64" t="str">
        <f>IF($C212="","",IFERROR(INDEX('Staff Directory'!$E$5:$E$594,MATCH($C212,'Staff Directory'!$B$5:$B$594,0)),""))</f>
        <v>firstname166.lastname166@example.com</v>
      </c>
      <c r="AB212" s="64" t="str">
        <f>IF($C212="","",IF(ISNUMBER(SEARCH($D212,Settings!$C$15)),"Pickup","Dispatch"))</f>
        <v>Pickup</v>
      </c>
      <c r="AC212" s="64" t="str">
        <f t="shared" si="45"/>
        <v>Supply order ready for pickup</v>
      </c>
      <c r="AD212" s="64" t="str">
        <f t="shared" si="36"/>
        <v>Dear PSW,
Your order is ready for pickup from Sample Branch, Wed-Fri 9am-4pm.</v>
      </c>
      <c r="AE212" s="64" t="str">
        <f t="shared" si="37"/>
        <v>mailto:firstname166.lastname166@example.com?subject=Supply%20order%20ready%20for%20pickup&amp;body=Dear%20PSW%2C%0A%0AYour%20order%20is%20ready%20for%20pickup%20from%20Sample%20Branch%2C%20Wed-Fri%209am-4pm.</v>
      </c>
      <c r="AF212" s="89" t="str">
        <f t="shared" si="46"/>
        <v>Draft email</v>
      </c>
      <c r="AG212" s="64" t="str">
        <f>IF($C212="","",IFERROR(INDEX('Staff Directory'!$K$595:$K$599,MATCH($C212,'Staff Directory'!$B$5:$B$599,0)),$D212))</f>
        <v>PSW</v>
      </c>
      <c r="AH212" t="str">
        <f>IF($C212="","",IFERROR(INDEX('Staff Directory'!$I$595:$I$599,MATCH($C212,'Staff Directory'!$B$5:$B$599,0))&amp;" "&amp;INDEX('Staff Directory'!$J$595:$J$599,MATCH($C212,'Staff Directory'!$B$5:$B$599,0)),$AG212))</f>
        <v>PSW</v>
      </c>
      <c r="AI212" s="102"/>
      <c r="AJ212" s="101">
        <f>IF($F212="","",SUMIFS($J$5:$J212,$F$5:$F212,$F212))</f>
        <v>3200</v>
      </c>
      <c r="AK212" s="101">
        <f t="shared" si="38"/>
        <v>3121</v>
      </c>
      <c r="AL212" s="66" t="str" cm="1">
        <f t="array" ref="AL212">IF($F212="","",IFERROR(INDEX('Lot Balance'!$B$5:$B$500,MATCH(1,INDEX(('Lot Balance'!$A$5:$A$500=$F212)*('Lot Balance'!$K$5:$K$500&lt;$AK212)*('Lot Balance'!$K$5:$K$500+'Lot Balance'!$D$5:$D$500&gt;=$AK212),0),0)),""))</f>
        <v>LYSL500290</v>
      </c>
      <c r="AM212" s="66" t="str" cm="1">
        <f t="array" ref="AM212">IF($F212="","",IFERROR(INDEX('Lot Balance'!$B$5:$B$500,MATCH(1,INDEX(('Lot Balance'!$A$5:$A$500=$F212)*('Lot Balance'!$K$5:$K$500&lt;$AJ212)*('Lot Balance'!$K$5:$K$500+'Lot Balance'!$D$5:$D$500&gt;=$AJ212),0),0)),""))</f>
        <v>LYSL500290</v>
      </c>
      <c r="AN212" s="66" t="str">
        <f>IF($F212="","",IF($AI212&lt;&gt;"",IF(COUNTIFS('Lot Balance'!$A$5:$A$500,$F212,'Lot Balance'!$B$5:$B$500,$AI212)=0,"⚠ override is not a lot of this item",IF($AI212=$AL212,"Override = FEFO","Override - FEFO says "&amp;$AL212)),IF($AL212="","⚠ no receipt on file for this item",IF($AM212&lt;&gt;$AL212,"FEFO auto - split, also "&amp;$AM212,"FEFO auto"))))</f>
        <v>FEFO auto</v>
      </c>
      <c r="AO212" s="114"/>
    </row>
    <row r="213" spans="1:41" x14ac:dyDescent="0.35">
      <c r="A213" s="74">
        <v>46126</v>
      </c>
      <c r="B213" s="18" t="str">
        <f>IF($C213="","",IFERROR(INDEX('Staff Directory'!$A$5:$A$594,MATCH($C213,'Staff Directory'!$B$5:$B$594,0)),"⚠ unknown staff"))</f>
        <v>PSW-104-A6</v>
      </c>
      <c r="C213" s="49" t="s">
        <v>1082</v>
      </c>
      <c r="D213" s="19" t="str">
        <f>IF($B213="","",IFERROR(INDEX('Staff Directory'!$C$5:$C$594,MATCH($B213,'Staff Directory'!$A$5:$A$594,0)),""))</f>
        <v>PSW</v>
      </c>
      <c r="E213" s="19" t="str">
        <f>IF($B213="","",IFERROR(INDEX('Staff Directory'!$D$5:$D$594,MATCH($B213,'Staff Directory'!$A$5:$A$594,0)),""))</f>
        <v>A6</v>
      </c>
      <c r="F213" s="9" t="s">
        <v>156</v>
      </c>
      <c r="G213" s="18" t="str">
        <f>IF($F213="","",IFERROR(INDEX(Items!$B$5:$B$597,MATCH($F213,Items!$A$5:$A$597,0)),"⚠ not in Items"))</f>
        <v>Masks</v>
      </c>
      <c r="H213" s="19" t="str">
        <f>IF($F213="","",IFERROR(INDEX(Items!$C$5:$C$597,MATCH($F213,Items!$A$5:$A$597,0)),""))</f>
        <v>One Size</v>
      </c>
      <c r="I213" s="23">
        <f>IF($F213="","",IFERROR(INDEX(Items!$E$5:$E$597,MATCH($F213,Items!$A$5:$A$597,0)),""))</f>
        <v>50</v>
      </c>
      <c r="J213" s="115">
        <f>IF(tblIssues[[#This Row],[Qty Override]]&lt;&gt;"",tblIssues[[#This Row],[Qty Override]],IF(tblIssues[[#This Row],[Standard Issue]]="","",tblIssues[[#This Row],[Standard Issue]]))</f>
        <v>50</v>
      </c>
      <c r="K213" s="20">
        <f>IF($F213="","",IFERROR(INDEX(Items!$D$5:$D$597,MATCH($F213,Items!$A$5:$A$597,0)),""))</f>
        <v>0.25</v>
      </c>
      <c r="L213" s="21">
        <f t="shared" si="39"/>
        <v>12.5</v>
      </c>
      <c r="M213" s="9" t="str">
        <f t="shared" si="40"/>
        <v>0125FPC24-0</v>
      </c>
      <c r="N213" s="24">
        <f>IF($A213="","",WORKDAY($A213,Settings!$C$9,HolidayDates))</f>
        <v>46134</v>
      </c>
      <c r="O213" s="24">
        <f>IF($N213="","",WORKDAY($N213,Settings!$C$10,HolidayDates))</f>
        <v>46174</v>
      </c>
      <c r="P213" s="10" t="s">
        <v>501</v>
      </c>
      <c r="Q213" s="52" t="str">
        <f t="shared" si="42"/>
        <v>Collected</v>
      </c>
      <c r="R213" s="55" t="str">
        <f t="shared" si="43"/>
        <v>2026-04</v>
      </c>
      <c r="S213" s="55">
        <f>IF(OR($B213="",$F213="",$R213=""),"",SUMIFS(tblIssues[Qty Issued],tblIssues[Staff ID],$B213,tblIssues[Item Name],$F213,tblIssues[Month],$R213))</f>
        <v>50</v>
      </c>
      <c r="T213" s="56">
        <f>IF($I213="","",$I213*Settings!$C$11)</f>
        <v>50</v>
      </c>
      <c r="U213" s="57" t="str">
        <f t="shared" si="41"/>
        <v>OK</v>
      </c>
      <c r="V213" s="55" t="str">
        <f t="shared" si="44"/>
        <v/>
      </c>
      <c r="W213" s="55" t="str">
        <f>IF($V213="","",IF(COUNTIF($V$5:$V213,$V213)=1,1,""))</f>
        <v/>
      </c>
      <c r="X213" s="58" t="str">
        <f>IF($W213="","",MAX($X$4:X212)+1)</f>
        <v/>
      </c>
      <c r="Y213" s="62"/>
      <c r="Z213" s="62"/>
      <c r="AA213" s="64" t="str">
        <f>IF($C213="","",IFERROR(INDEX('Staff Directory'!$E$5:$E$594,MATCH($C213,'Staff Directory'!$B$5:$B$594,0)),""))</f>
        <v>firstname166.lastname166@example.com</v>
      </c>
      <c r="AB213" s="64" t="str">
        <f>IF($C213="","",IF(ISNUMBER(SEARCH($D213,Settings!$C$15)),"Pickup","Dispatch"))</f>
        <v>Pickup</v>
      </c>
      <c r="AC213" s="64" t="str">
        <f t="shared" si="45"/>
        <v>Supply order ready for pickup</v>
      </c>
      <c r="AD213" s="64" t="str">
        <f t="shared" si="36"/>
        <v>Dear PSW,
Your order is ready for pickup from Sample Branch, Wed-Fri 9am-4pm.</v>
      </c>
      <c r="AE213" s="64" t="str">
        <f t="shared" si="37"/>
        <v>mailto:firstname166.lastname166@example.com?subject=Supply%20order%20ready%20for%20pickup&amp;body=Dear%20PSW%2C%0A%0AYour%20order%20is%20ready%20for%20pickup%20from%20Sample%20Branch%2C%20Wed-Fri%209am-4pm.</v>
      </c>
      <c r="AF213" s="89" t="str">
        <f t="shared" si="46"/>
        <v>Draft email</v>
      </c>
      <c r="AG213" s="64" t="str">
        <f>IF($C213="","",IFERROR(INDEX('Staff Directory'!$K$595:$K$599,MATCH($C213,'Staff Directory'!$B$5:$B$599,0)),$D213))</f>
        <v>PSW</v>
      </c>
      <c r="AH213" t="str">
        <f>IF($C213="","",IFERROR(INDEX('Staff Directory'!$I$595:$I$599,MATCH($C213,'Staff Directory'!$B$5:$B$599,0))&amp;" "&amp;INDEX('Staff Directory'!$J$595:$J$599,MATCH($C213,'Staff Directory'!$B$5:$B$599,0)),$AG213))</f>
        <v>PSW</v>
      </c>
      <c r="AI213" s="102"/>
      <c r="AJ213" s="101">
        <f>IF($F213="","",SUMIFS($J$5:$J213,$F$5:$F213,$F213))</f>
        <v>1600</v>
      </c>
      <c r="AK213" s="101">
        <f t="shared" si="38"/>
        <v>1551</v>
      </c>
      <c r="AL213" s="66" t="str" cm="1">
        <f t="array" ref="AL213">IF($F213="","",IFERROR(INDEX('Lot Balance'!$B$5:$B$500,MATCH(1,INDEX(('Lot Balance'!$A$5:$A$500=$F213)*('Lot Balance'!$K$5:$K$500&lt;$AK213)*('Lot Balance'!$K$5:$K$500+'Lot Balance'!$D$5:$D$500&gt;=$AK213),0),0)),""))</f>
        <v>0125FPC24-0</v>
      </c>
      <c r="AM213" s="66" t="str" cm="1">
        <f t="array" ref="AM213">IF($F213="","",IFERROR(INDEX('Lot Balance'!$B$5:$B$500,MATCH(1,INDEX(('Lot Balance'!$A$5:$A$500=$F213)*('Lot Balance'!$K$5:$K$500&lt;$AJ213)*('Lot Balance'!$K$5:$K$500+'Lot Balance'!$D$5:$D$500&gt;=$AJ213),0),0)),""))</f>
        <v>0125FPC24-0</v>
      </c>
      <c r="AN213" s="66" t="str">
        <f>IF($F213="","",IF($AI213&lt;&gt;"",IF(COUNTIFS('Lot Balance'!$A$5:$A$500,$F213,'Lot Balance'!$B$5:$B$500,$AI213)=0,"⚠ override is not a lot of this item",IF($AI213=$AL213,"Override = FEFO","Override - FEFO says "&amp;$AL213)),IF($AL213="","⚠ no receipt on file for this item",IF($AM213&lt;&gt;$AL213,"FEFO auto - split, also "&amp;$AM213,"FEFO auto"))))</f>
        <v>FEFO auto</v>
      </c>
      <c r="AO213" s="114"/>
    </row>
    <row r="214" spans="1:41" x14ac:dyDescent="0.35">
      <c r="A214" s="74">
        <v>46126</v>
      </c>
      <c r="B214" s="18" t="str">
        <f>IF($C214="","",IFERROR(INDEX('Staff Directory'!$A$5:$A$594,MATCH($C214,'Staff Directory'!$B$5:$B$594,0)),"⚠ unknown staff"))</f>
        <v>PSW-104-A6</v>
      </c>
      <c r="C214" s="49" t="s">
        <v>1082</v>
      </c>
      <c r="D214" s="19" t="str">
        <f>IF($B214="","",IFERROR(INDEX('Staff Directory'!$C$5:$C$594,MATCH($B214,'Staff Directory'!$A$5:$A$594,0)),""))</f>
        <v>PSW</v>
      </c>
      <c r="E214" s="19" t="str">
        <f>IF($B214="","",IFERROR(INDEX('Staff Directory'!$D$5:$D$594,MATCH($B214,'Staff Directory'!$A$5:$A$594,0)),""))</f>
        <v>A6</v>
      </c>
      <c r="F214" s="9" t="s">
        <v>755</v>
      </c>
      <c r="G214" s="18" t="str">
        <f>IF($F214="","",IFERROR(INDEX(Items!$B$5:$B$597,MATCH($F214,Items!$A$5:$A$597,0)),"⚠ not in Items"))</f>
        <v>Documents</v>
      </c>
      <c r="H214" s="19" t="str">
        <f>IF($F214="","",IFERROR(INDEX(Items!$C$5:$C$597,MATCH($F214,Items!$A$5:$A$597,0)),""))</f>
        <v>Standard</v>
      </c>
      <c r="I214" s="23">
        <f>IF($F214="","",IFERROR(INDEX(Items!$E$5:$E$597,MATCH($F214,Items!$A$5:$A$597,0)),""))</f>
        <v>2</v>
      </c>
      <c r="J214" s="115">
        <f>IF(tblIssues[[#This Row],[Qty Override]]&lt;&gt;"",tblIssues[[#This Row],[Qty Override]],IF(tblIssues[[#This Row],[Standard Issue]]="","",tblIssues[[#This Row],[Standard Issue]]))</f>
        <v>2</v>
      </c>
      <c r="K214" s="20">
        <f>IF($F214="","",IFERROR(INDEX(Items!$D$5:$D$597,MATCH($F214,Items!$A$5:$A$597,0)),""))</f>
        <v>0</v>
      </c>
      <c r="L214" s="21">
        <f t="shared" si="39"/>
        <v>0</v>
      </c>
      <c r="M214" s="9" t="str">
        <f t="shared" si="40"/>
        <v/>
      </c>
      <c r="N214" s="24">
        <f>IF($A214="","",WORKDAY($A214,Settings!$C$9,HolidayDates))</f>
        <v>46134</v>
      </c>
      <c r="O214" s="24">
        <f>IF($N214="","",WORKDAY($N214,Settings!$C$10,HolidayDates))</f>
        <v>46174</v>
      </c>
      <c r="P214" s="10" t="s">
        <v>501</v>
      </c>
      <c r="Q214" s="52" t="str">
        <f t="shared" si="42"/>
        <v>Collected</v>
      </c>
      <c r="R214" s="55" t="str">
        <f t="shared" si="43"/>
        <v>2026-04</v>
      </c>
      <c r="S214" s="55">
        <f>IF(OR($B214="",$F214="",$R214=""),"",SUMIFS(tblIssues[Qty Issued],tblIssues[Staff ID],$B214,tblIssues[Item Name],$F214,tblIssues[Month],$R214))</f>
        <v>2</v>
      </c>
      <c r="T214" s="56">
        <f>IF($I214="","",$I214*Settings!$C$11)</f>
        <v>2</v>
      </c>
      <c r="U214" s="57" t="str">
        <f t="shared" si="41"/>
        <v>OK</v>
      </c>
      <c r="V214" s="55" t="str">
        <f t="shared" si="44"/>
        <v/>
      </c>
      <c r="W214" s="55" t="str">
        <f>IF($V214="","",IF(COUNTIF($V$5:$V214,$V214)=1,1,""))</f>
        <v/>
      </c>
      <c r="X214" s="58" t="str">
        <f>IF($W214="","",MAX($X$4:X213)+1)</f>
        <v/>
      </c>
      <c r="Y214" s="62"/>
      <c r="Z214" s="62"/>
      <c r="AA214" s="64" t="str">
        <f>IF($C214="","",IFERROR(INDEX('Staff Directory'!$E$5:$E$594,MATCH($C214,'Staff Directory'!$B$5:$B$594,0)),""))</f>
        <v>firstname166.lastname166@example.com</v>
      </c>
      <c r="AB214" s="64" t="str">
        <f>IF($C214="","",IF(ISNUMBER(SEARCH($D214,Settings!$C$15)),"Pickup","Dispatch"))</f>
        <v>Pickup</v>
      </c>
      <c r="AC214" s="64" t="str">
        <f t="shared" si="45"/>
        <v>Supply order ready for pickup</v>
      </c>
      <c r="AD214" s="64" t="str">
        <f t="shared" si="36"/>
        <v>Dear PSW,
Your order is ready for pickup from Sample Branch, Wed-Fri 9am-4pm.</v>
      </c>
      <c r="AE214" s="64" t="str">
        <f t="shared" si="37"/>
        <v>mailto:firstname166.lastname166@example.com?subject=Supply%20order%20ready%20for%20pickup&amp;body=Dear%20PSW%2C%0A%0AYour%20order%20is%20ready%20for%20pickup%20from%20Sample%20Branch%2C%20Wed-Fri%209am-4pm.</v>
      </c>
      <c r="AF214" s="89" t="str">
        <f t="shared" si="46"/>
        <v>Draft email</v>
      </c>
      <c r="AG214" s="64" t="str">
        <f>IF($C214="","",IFERROR(INDEX('Staff Directory'!$K$595:$K$599,MATCH($C214,'Staff Directory'!$B$5:$B$599,0)),$D214))</f>
        <v>PSW</v>
      </c>
      <c r="AH214" t="str">
        <f>IF($C214="","",IFERROR(INDEX('Staff Directory'!$I$595:$I$599,MATCH($C214,'Staff Directory'!$B$5:$B$599,0))&amp;" "&amp;INDEX('Staff Directory'!$J$595:$J$599,MATCH($C214,'Staff Directory'!$B$5:$B$599,0)),$AG214))</f>
        <v>PSW</v>
      </c>
      <c r="AI214" s="102"/>
      <c r="AJ214" s="101">
        <f>IF($F214="","",SUMIFS($J$5:$J214,$F$5:$F214,$F214))</f>
        <v>46</v>
      </c>
      <c r="AK214" s="101">
        <f t="shared" si="38"/>
        <v>45</v>
      </c>
      <c r="AL214" s="66" t="str" cm="1">
        <f t="array" ref="AL214">IF($F214="","",IFERROR(INDEX('Lot Balance'!$B$5:$B$500,MATCH(1,INDEX(('Lot Balance'!$A$5:$A$500=$F214)*('Lot Balance'!$K$5:$K$500&lt;$AK214)*('Lot Balance'!$K$5:$K$500+'Lot Balance'!$D$5:$D$500&gt;=$AK214),0),0)),""))</f>
        <v/>
      </c>
      <c r="AM214" s="66" t="str" cm="1">
        <f t="array" ref="AM214">IF($F214="","",IFERROR(INDEX('Lot Balance'!$B$5:$B$500,MATCH(1,INDEX(('Lot Balance'!$A$5:$A$500=$F214)*('Lot Balance'!$K$5:$K$500&lt;$AJ214)*('Lot Balance'!$K$5:$K$500+'Lot Balance'!$D$5:$D$500&gt;=$AJ214),0),0)),""))</f>
        <v/>
      </c>
      <c r="AN214" s="66" t="str">
        <f>IF($F214="","",IF($AI214&lt;&gt;"",IF(COUNTIFS('Lot Balance'!$A$5:$A$500,$F214,'Lot Balance'!$B$5:$B$500,$AI214)=0,"⚠ override is not a lot of this item",IF($AI214=$AL214,"Override = FEFO","Override - FEFO says "&amp;$AL214)),IF($AL214="","⚠ no receipt on file for this item",IF($AM214&lt;&gt;$AL214,"FEFO auto - split, also "&amp;$AM214,"FEFO auto"))))</f>
        <v>⚠ no receipt on file for this item</v>
      </c>
      <c r="AO214" s="114"/>
    </row>
    <row r="215" spans="1:41" x14ac:dyDescent="0.35">
      <c r="A215" s="74">
        <v>46126</v>
      </c>
      <c r="B215" s="18" t="str">
        <f>IF($C215="","",IFERROR(INDEX('Staff Directory'!$A$5:$A$594,MATCH($C215,'Staff Directory'!$B$5:$B$594,0)),"⚠ unknown staff"))</f>
        <v>PSW-131-A5</v>
      </c>
      <c r="C215" s="49" t="s">
        <v>1110</v>
      </c>
      <c r="D215" s="19" t="str">
        <f>IF($B215="","",IFERROR(INDEX('Staff Directory'!$C$5:$C$594,MATCH($B215,'Staff Directory'!$A$5:$A$594,0)),""))</f>
        <v>PSW</v>
      </c>
      <c r="E215" s="19" t="str">
        <f>IF($B215="","",IFERROR(INDEX('Staff Directory'!$D$5:$D$594,MATCH($B215,'Staff Directory'!$A$5:$A$594,0)),""))</f>
        <v>A5</v>
      </c>
      <c r="F215" s="9" t="s">
        <v>129</v>
      </c>
      <c r="G215" s="18" t="str">
        <f>IF($F215="","",IFERROR(INDEX(Items!$B$5:$B$597,MATCH($F215,Items!$A$5:$A$597,0)),"⚠ not in Items"))</f>
        <v>Gloves</v>
      </c>
      <c r="H215" s="19" t="str">
        <f>IF($F215="","",IFERROR(INDEX(Items!$C$5:$C$597,MATCH($F215,Items!$A$5:$A$597,0)),""))</f>
        <v>Small</v>
      </c>
      <c r="I215" s="23">
        <f>IF($F215="","",IFERROR(INDEX(Items!$E$5:$E$597,MATCH($F215,Items!$A$5:$A$597,0)),""))</f>
        <v>500</v>
      </c>
      <c r="J215" s="115">
        <f>IF(tblIssues[[#This Row],[Qty Override]]&lt;&gt;"",tblIssues[[#This Row],[Qty Override]],IF(tblIssues[[#This Row],[Standard Issue]]="","",tblIssues[[#This Row],[Standard Issue]]))</f>
        <v>500</v>
      </c>
      <c r="K215" s="20">
        <f>IF($F215="","",IFERROR(INDEX(Items!$D$5:$D$597,MATCH($F215,Items!$A$5:$A$597,0)),""))</f>
        <v>5.5E-2</v>
      </c>
      <c r="L215" s="21">
        <f t="shared" si="39"/>
        <v>27.5</v>
      </c>
      <c r="M215" s="9" t="str">
        <f t="shared" si="40"/>
        <v>ZIM503122461</v>
      </c>
      <c r="N215" s="24">
        <f>IF($A215="","",WORKDAY($A215,Settings!$C$9,HolidayDates))</f>
        <v>46134</v>
      </c>
      <c r="O215" s="24">
        <f>IF($N215="","",WORKDAY($N215,Settings!$C$10,HolidayDates))</f>
        <v>46174</v>
      </c>
      <c r="P215" s="10" t="s">
        <v>501</v>
      </c>
      <c r="Q215" s="52" t="str">
        <f t="shared" si="42"/>
        <v>Collected</v>
      </c>
      <c r="R215" s="55" t="str">
        <f t="shared" si="43"/>
        <v>2026-04</v>
      </c>
      <c r="S215" s="55">
        <f>IF(OR($B215="",$F215="",$R215=""),"",SUMIFS(tblIssues[Qty Issued],tblIssues[Staff ID],$B215,tblIssues[Item Name],$F215,tblIssues[Month],$R215))</f>
        <v>500</v>
      </c>
      <c r="T215" s="56">
        <f>IF($I215="","",$I215*Settings!$C$11)</f>
        <v>500</v>
      </c>
      <c r="U215" s="57" t="str">
        <f t="shared" si="41"/>
        <v>OK</v>
      </c>
      <c r="V215" s="55" t="str">
        <f t="shared" si="44"/>
        <v/>
      </c>
      <c r="W215" s="55" t="str">
        <f>IF($V215="","",IF(COUNTIF($V$5:$V215,$V215)=1,1,""))</f>
        <v/>
      </c>
      <c r="X215" s="58" t="str">
        <f>IF($W215="","",MAX($X$4:X214)+1)</f>
        <v/>
      </c>
      <c r="Y215" s="62"/>
      <c r="Z215" s="62"/>
      <c r="AA215" s="64" t="str">
        <f>IF($C215="","",IFERROR(INDEX('Staff Directory'!$E$5:$E$594,MATCH($C215,'Staff Directory'!$B$5:$B$594,0)),""))</f>
        <v>firstname194.lastname194@example.com</v>
      </c>
      <c r="AB215" s="64" t="str">
        <f>IF($C215="","",IF(ISNUMBER(SEARCH($D215,Settings!$C$15)),"Pickup","Dispatch"))</f>
        <v>Pickup</v>
      </c>
      <c r="AC215" s="64" t="str">
        <f t="shared" si="45"/>
        <v>Supply order ready for pickup</v>
      </c>
      <c r="AD215" s="64" t="str">
        <f t="shared" si="36"/>
        <v>Dear PSW,
Your order is ready for pickup from Sample Branch, Wed-Fri 9am-4pm.</v>
      </c>
      <c r="AE215" s="64" t="str">
        <f t="shared" si="37"/>
        <v>mailto:firstname194.lastname194@example.com?subject=Supply%20order%20ready%20for%20pickup&amp;body=Dear%20PSW%2C%0A%0AYour%20order%20is%20ready%20for%20pickup%20from%20Sample%20Branch%2C%20Wed-Fri%209am-4pm.</v>
      </c>
      <c r="AF215" s="89" t="str">
        <f t="shared" si="46"/>
        <v>Draft email</v>
      </c>
      <c r="AG215" s="64" t="str">
        <f>IF($C215="","",IFERROR(INDEX('Staff Directory'!$K$595:$K$599,MATCH($C215,'Staff Directory'!$B$5:$B$599,0)),$D215))</f>
        <v>PSW</v>
      </c>
      <c r="AH215" t="str">
        <f>IF($C215="","",IFERROR(INDEX('Staff Directory'!$I$595:$I$599,MATCH($C215,'Staff Directory'!$B$5:$B$599,0))&amp;" "&amp;INDEX('Staff Directory'!$J$595:$J$599,MATCH($C215,'Staff Directory'!$B$5:$B$599,0)),$AG215))</f>
        <v>PSW</v>
      </c>
      <c r="AI215" s="102"/>
      <c r="AJ215" s="101">
        <f>IF($F215="","",SUMIFS($J$5:$J215,$F$5:$F215,$F215))</f>
        <v>8500</v>
      </c>
      <c r="AK215" s="101">
        <f t="shared" si="38"/>
        <v>8001</v>
      </c>
      <c r="AL215" s="66" t="str" cm="1">
        <f t="array" ref="AL215">IF($F215="","",IFERROR(INDEX('Lot Balance'!$B$5:$B$500,MATCH(1,INDEX(('Lot Balance'!$A$5:$A$500=$F215)*('Lot Balance'!$K$5:$K$500&lt;$AK215)*('Lot Balance'!$K$5:$K$500+'Lot Balance'!$D$5:$D$500&gt;=$AK215),0),0)),""))</f>
        <v>ZIM503122461</v>
      </c>
      <c r="AM215" s="66" t="str" cm="1">
        <f t="array" ref="AM215">IF($F215="","",IFERROR(INDEX('Lot Balance'!$B$5:$B$500,MATCH(1,INDEX(('Lot Balance'!$A$5:$A$500=$F215)*('Lot Balance'!$K$5:$K$500&lt;$AJ215)*('Lot Balance'!$K$5:$K$500+'Lot Balance'!$D$5:$D$500&gt;=$AJ215),0),0)),""))</f>
        <v>ZIM503122461</v>
      </c>
      <c r="AN215" s="66" t="str">
        <f>IF($F215="","",IF($AI215&lt;&gt;"",IF(COUNTIFS('Lot Balance'!$A$5:$A$500,$F215,'Lot Balance'!$B$5:$B$500,$AI215)=0,"⚠ override is not a lot of this item",IF($AI215=$AL215,"Override = FEFO","Override - FEFO says "&amp;$AL215)),IF($AL215="","⚠ no receipt on file for this item",IF($AM215&lt;&gt;$AL215,"FEFO auto - split, also "&amp;$AM215,"FEFO auto"))))</f>
        <v>FEFO auto</v>
      </c>
      <c r="AO215" s="114"/>
    </row>
    <row r="216" spans="1:41" x14ac:dyDescent="0.35">
      <c r="A216" s="74">
        <v>46126</v>
      </c>
      <c r="B216" s="18" t="str">
        <f>IF($C216="","",IFERROR(INDEX('Staff Directory'!$A$5:$A$594,MATCH($C216,'Staff Directory'!$B$5:$B$594,0)),"⚠ unknown staff"))</f>
        <v>PSW-131-A5</v>
      </c>
      <c r="C216" s="49" t="s">
        <v>1110</v>
      </c>
      <c r="D216" s="19" t="str">
        <f>IF($B216="","",IFERROR(INDEX('Staff Directory'!$C$5:$C$594,MATCH($B216,'Staff Directory'!$A$5:$A$594,0)),""))</f>
        <v>PSW</v>
      </c>
      <c r="E216" s="19" t="str">
        <f>IF($B216="","",IFERROR(INDEX('Staff Directory'!$D$5:$D$594,MATCH($B216,'Staff Directory'!$A$5:$A$594,0)),""))</f>
        <v>A5</v>
      </c>
      <c r="F216" s="9" t="s">
        <v>137</v>
      </c>
      <c r="G216" s="18" t="str">
        <f>IF($F216="","",IFERROR(INDEX(Items!$B$5:$B$597,MATCH($F216,Items!$A$5:$A$597,0)),"⚠ not in Items"))</f>
        <v>Sanitizer</v>
      </c>
      <c r="H216" s="19" t="str">
        <f>IF($F216="","",IFERROR(INDEX(Items!$C$5:$C$597,MATCH($F216,Items!$A$5:$A$597,0)),""))</f>
        <v>118 ML</v>
      </c>
      <c r="I216" s="23">
        <f>IF($F216="","",IFERROR(INDEX(Items!$E$5:$E$597,MATCH($F216,Items!$A$5:$A$597,0)),""))</f>
        <v>2</v>
      </c>
      <c r="J216" s="115">
        <f>IF(tblIssues[[#This Row],[Qty Override]]&lt;&gt;"",tblIssues[[#This Row],[Qty Override]],IF(tblIssues[[#This Row],[Standard Issue]]="","",tblIssues[[#This Row],[Standard Issue]]))</f>
        <v>2</v>
      </c>
      <c r="K216" s="20">
        <f>IF($F216="","",IFERROR(INDEX(Items!$D$5:$D$597,MATCH($F216,Items!$A$5:$A$597,0)),""))</f>
        <v>4.49</v>
      </c>
      <c r="L216" s="21">
        <f t="shared" si="39"/>
        <v>8.98</v>
      </c>
      <c r="M216" s="9" t="str">
        <f t="shared" si="40"/>
        <v>563963-6</v>
      </c>
      <c r="N216" s="24">
        <f>IF($A216="","",WORKDAY($A216,Settings!$C$9,HolidayDates))</f>
        <v>46134</v>
      </c>
      <c r="O216" s="24">
        <f>IF($N216="","",WORKDAY($N216,Settings!$C$10,HolidayDates))</f>
        <v>46174</v>
      </c>
      <c r="P216" s="10" t="s">
        <v>501</v>
      </c>
      <c r="Q216" s="52" t="str">
        <f t="shared" si="42"/>
        <v>Collected</v>
      </c>
      <c r="R216" s="55" t="str">
        <f t="shared" si="43"/>
        <v>2026-04</v>
      </c>
      <c r="S216" s="55">
        <f>IF(OR($B216="",$F216="",$R216=""),"",SUMIFS(tblIssues[Qty Issued],tblIssues[Staff ID],$B216,tblIssues[Item Name],$F216,tblIssues[Month],$R216))</f>
        <v>2</v>
      </c>
      <c r="T216" s="56">
        <f>IF($I216="","",$I216*Settings!$C$11)</f>
        <v>2</v>
      </c>
      <c r="U216" s="57" t="str">
        <f t="shared" si="41"/>
        <v>OK</v>
      </c>
      <c r="V216" s="55" t="str">
        <f t="shared" si="44"/>
        <v/>
      </c>
      <c r="W216" s="55" t="str">
        <f>IF($V216="","",IF(COUNTIF($V$5:$V216,$V216)=1,1,""))</f>
        <v/>
      </c>
      <c r="X216" s="58" t="str">
        <f>IF($W216="","",MAX($X$4:X215)+1)</f>
        <v/>
      </c>
      <c r="Y216" s="62"/>
      <c r="Z216" s="62"/>
      <c r="AA216" s="64" t="str">
        <f>IF($C216="","",IFERROR(INDEX('Staff Directory'!$E$5:$E$594,MATCH($C216,'Staff Directory'!$B$5:$B$594,0)),""))</f>
        <v>firstname194.lastname194@example.com</v>
      </c>
      <c r="AB216" s="64" t="str">
        <f>IF($C216="","",IF(ISNUMBER(SEARCH($D216,Settings!$C$15)),"Pickup","Dispatch"))</f>
        <v>Pickup</v>
      </c>
      <c r="AC216" s="64" t="str">
        <f t="shared" si="45"/>
        <v>Supply order ready for pickup</v>
      </c>
      <c r="AD216" s="64" t="str">
        <f t="shared" si="36"/>
        <v>Dear PSW,
Your order is ready for pickup from Sample Branch, Wed-Fri 9am-4pm.</v>
      </c>
      <c r="AE216" s="64" t="str">
        <f t="shared" si="37"/>
        <v>mailto:firstname194.lastname194@example.com?subject=Supply%20order%20ready%20for%20pickup&amp;body=Dear%20PSW%2C%0A%0AYour%20order%20is%20ready%20for%20pickup%20from%20Sample%20Branch%2C%20Wed-Fri%209am-4pm.</v>
      </c>
      <c r="AF216" s="89" t="str">
        <f t="shared" si="46"/>
        <v>Draft email</v>
      </c>
      <c r="AG216" s="64" t="str">
        <f>IF($C216="","",IFERROR(INDEX('Staff Directory'!$K$595:$K$599,MATCH($C216,'Staff Directory'!$B$5:$B$599,0)),$D216))</f>
        <v>PSW</v>
      </c>
      <c r="AH216" t="str">
        <f>IF($C216="","",IFERROR(INDEX('Staff Directory'!$I$595:$I$599,MATCH($C216,'Staff Directory'!$B$5:$B$599,0))&amp;" "&amp;INDEX('Staff Directory'!$J$595:$J$599,MATCH($C216,'Staff Directory'!$B$5:$B$599,0)),$AG216))</f>
        <v>PSW</v>
      </c>
      <c r="AI216" s="102"/>
      <c r="AJ216" s="101">
        <f>IF($F216="","",SUMIFS($J$5:$J216,$F$5:$F216,$F216))</f>
        <v>70</v>
      </c>
      <c r="AK216" s="101">
        <f t="shared" si="38"/>
        <v>69</v>
      </c>
      <c r="AL216" s="66" t="str" cm="1">
        <f t="array" ref="AL216">IF($F216="","",IFERROR(INDEX('Lot Balance'!$B$5:$B$500,MATCH(1,INDEX(('Lot Balance'!$A$5:$A$500=$F216)*('Lot Balance'!$K$5:$K$500&lt;$AK216)*('Lot Balance'!$K$5:$K$500+'Lot Balance'!$D$5:$D$500&gt;=$AK216),0),0)),""))</f>
        <v>563963-6</v>
      </c>
      <c r="AM216" s="66" t="str" cm="1">
        <f t="array" ref="AM216">IF($F216="","",IFERROR(INDEX('Lot Balance'!$B$5:$B$500,MATCH(1,INDEX(('Lot Balance'!$A$5:$A$500=$F216)*('Lot Balance'!$K$5:$K$500&lt;$AJ216)*('Lot Balance'!$K$5:$K$500+'Lot Balance'!$D$5:$D$500&gt;=$AJ216),0),0)),""))</f>
        <v>563963-6</v>
      </c>
      <c r="AN216" s="66" t="str">
        <f>IF($F216="","",IF($AI216&lt;&gt;"",IF(COUNTIFS('Lot Balance'!$A$5:$A$500,$F216,'Lot Balance'!$B$5:$B$500,$AI216)=0,"⚠ override is not a lot of this item",IF($AI216=$AL216,"Override = FEFO","Override - FEFO says "&amp;$AL216)),IF($AL216="","⚠ no receipt on file for this item",IF($AM216&lt;&gt;$AL216,"FEFO auto - split, also "&amp;$AM216,"FEFO auto"))))</f>
        <v>FEFO auto</v>
      </c>
      <c r="AO216" s="114"/>
    </row>
    <row r="217" spans="1:41" x14ac:dyDescent="0.35">
      <c r="A217" s="74">
        <v>46126</v>
      </c>
      <c r="B217" s="18" t="str">
        <f>IF($C217="","",IFERROR(INDEX('Staff Directory'!$A$5:$A$594,MATCH($C217,'Staff Directory'!$B$5:$B$594,0)),"⚠ unknown staff"))</f>
        <v>PSW-131-A5</v>
      </c>
      <c r="C217" s="49" t="s">
        <v>1110</v>
      </c>
      <c r="D217" s="19" t="str">
        <f>IF($B217="","",IFERROR(INDEX('Staff Directory'!$C$5:$C$594,MATCH($B217,'Staff Directory'!$A$5:$A$594,0)),""))</f>
        <v>PSW</v>
      </c>
      <c r="E217" s="19" t="str">
        <f>IF($B217="","",IFERROR(INDEX('Staff Directory'!$D$5:$D$594,MATCH($B217,'Staff Directory'!$A$5:$A$594,0)),""))</f>
        <v>A5</v>
      </c>
      <c r="F217" s="9" t="s">
        <v>115</v>
      </c>
      <c r="G217" s="18" t="str">
        <f>IF($F217="","",IFERROR(INDEX(Items!$B$5:$B$597,MATCH($F217,Items!$A$5:$A$597,0)),"⚠ not in Items"))</f>
        <v>Wipes</v>
      </c>
      <c r="H217" s="19">
        <f>IF($F217="","",IFERROR(INDEX(Items!$C$5:$C$597,MATCH($F217,Items!$A$5:$A$597,0)),""))</f>
        <v>80</v>
      </c>
      <c r="I217" s="23">
        <f>IF($F217="","",IFERROR(INDEX(Items!$E$5:$E$597,MATCH($F217,Items!$A$5:$A$597,0)),""))</f>
        <v>80</v>
      </c>
      <c r="J217" s="115">
        <f>IF(tblIssues[[#This Row],[Qty Override]]&lt;&gt;"",tblIssues[[#This Row],[Qty Override]],IF(tblIssues[[#This Row],[Standard Issue]]="","",tblIssues[[#This Row],[Standard Issue]]))</f>
        <v>80</v>
      </c>
      <c r="K217" s="20">
        <f>IF($F217="","",IFERROR(INDEX(Items!$D$5:$D$597,MATCH($F217,Items!$A$5:$A$597,0)),""))</f>
        <v>0.1</v>
      </c>
      <c r="L217" s="21">
        <f t="shared" si="39"/>
        <v>8</v>
      </c>
      <c r="M217" s="9" t="str">
        <f t="shared" si="40"/>
        <v>LYSL500290</v>
      </c>
      <c r="N217" s="24">
        <f>IF($A217="","",WORKDAY($A217,Settings!$C$9,HolidayDates))</f>
        <v>46134</v>
      </c>
      <c r="O217" s="24">
        <f>IF($N217="","",WORKDAY($N217,Settings!$C$10,HolidayDates))</f>
        <v>46174</v>
      </c>
      <c r="P217" s="10" t="s">
        <v>501</v>
      </c>
      <c r="Q217" s="52" t="str">
        <f t="shared" si="42"/>
        <v>Collected</v>
      </c>
      <c r="R217" s="55" t="str">
        <f t="shared" si="43"/>
        <v>2026-04</v>
      </c>
      <c r="S217" s="55">
        <f>IF(OR($B217="",$F217="",$R217=""),"",SUMIFS(tblIssues[Qty Issued],tblIssues[Staff ID],$B217,tblIssues[Item Name],$F217,tblIssues[Month],$R217))</f>
        <v>80</v>
      </c>
      <c r="T217" s="56">
        <f>IF($I217="","",$I217*Settings!$C$11)</f>
        <v>80</v>
      </c>
      <c r="U217" s="57" t="str">
        <f t="shared" si="41"/>
        <v>OK</v>
      </c>
      <c r="V217" s="55" t="str">
        <f t="shared" si="44"/>
        <v/>
      </c>
      <c r="W217" s="55" t="str">
        <f>IF($V217="","",IF(COUNTIF($V$5:$V217,$V217)=1,1,""))</f>
        <v/>
      </c>
      <c r="X217" s="58" t="str">
        <f>IF($W217="","",MAX($X$4:X216)+1)</f>
        <v/>
      </c>
      <c r="Y217" s="62"/>
      <c r="Z217" s="62"/>
      <c r="AA217" s="64" t="str">
        <f>IF($C217="","",IFERROR(INDEX('Staff Directory'!$E$5:$E$594,MATCH($C217,'Staff Directory'!$B$5:$B$594,0)),""))</f>
        <v>firstname194.lastname194@example.com</v>
      </c>
      <c r="AB217" s="64" t="str">
        <f>IF($C217="","",IF(ISNUMBER(SEARCH($D217,Settings!$C$15)),"Pickup","Dispatch"))</f>
        <v>Pickup</v>
      </c>
      <c r="AC217" s="64" t="str">
        <f t="shared" si="45"/>
        <v>Supply order ready for pickup</v>
      </c>
      <c r="AD217" s="64" t="str">
        <f t="shared" si="36"/>
        <v>Dear PSW,
Your order is ready for pickup from Sample Branch, Wed-Fri 9am-4pm.</v>
      </c>
      <c r="AE217" s="64" t="str">
        <f t="shared" si="37"/>
        <v>mailto:firstname194.lastname194@example.com?subject=Supply%20order%20ready%20for%20pickup&amp;body=Dear%20PSW%2C%0A%0AYour%20order%20is%20ready%20for%20pickup%20from%20Sample%20Branch%2C%20Wed-Fri%209am-4pm.</v>
      </c>
      <c r="AF217" s="89" t="str">
        <f t="shared" si="46"/>
        <v>Draft email</v>
      </c>
      <c r="AG217" s="64" t="str">
        <f>IF($C217="","",IFERROR(INDEX('Staff Directory'!$K$595:$K$599,MATCH($C217,'Staff Directory'!$B$5:$B$599,0)),$D217))</f>
        <v>PSW</v>
      </c>
      <c r="AH217" t="str">
        <f>IF($C217="","",IFERROR(INDEX('Staff Directory'!$I$595:$I$599,MATCH($C217,'Staff Directory'!$B$5:$B$599,0))&amp;" "&amp;INDEX('Staff Directory'!$J$595:$J$599,MATCH($C217,'Staff Directory'!$B$5:$B$599,0)),$AG217))</f>
        <v>PSW</v>
      </c>
      <c r="AI217" s="102"/>
      <c r="AJ217" s="101">
        <f>IF($F217="","",SUMIFS($J$5:$J217,$F$5:$F217,$F217))</f>
        <v>3280</v>
      </c>
      <c r="AK217" s="101">
        <f t="shared" si="38"/>
        <v>3201</v>
      </c>
      <c r="AL217" s="66" t="str" cm="1">
        <f t="array" ref="AL217">IF($F217="","",IFERROR(INDEX('Lot Balance'!$B$5:$B$500,MATCH(1,INDEX(('Lot Balance'!$A$5:$A$500=$F217)*('Lot Balance'!$K$5:$K$500&lt;$AK217)*('Lot Balance'!$K$5:$K$500+'Lot Balance'!$D$5:$D$500&gt;=$AK217),0),0)),""))</f>
        <v>LYSL500290</v>
      </c>
      <c r="AM217" s="66" t="str" cm="1">
        <f t="array" ref="AM217">IF($F217="","",IFERROR(INDEX('Lot Balance'!$B$5:$B$500,MATCH(1,INDEX(('Lot Balance'!$A$5:$A$500=$F217)*('Lot Balance'!$K$5:$K$500&lt;$AJ217)*('Lot Balance'!$K$5:$K$500+'Lot Balance'!$D$5:$D$500&gt;=$AJ217),0),0)),""))</f>
        <v>LYSL500290</v>
      </c>
      <c r="AN217" s="66" t="str">
        <f>IF($F217="","",IF($AI217&lt;&gt;"",IF(COUNTIFS('Lot Balance'!$A$5:$A$500,$F217,'Lot Balance'!$B$5:$B$500,$AI217)=0,"⚠ override is not a lot of this item",IF($AI217=$AL217,"Override = FEFO","Override - FEFO says "&amp;$AL217)),IF($AL217="","⚠ no receipt on file for this item",IF($AM217&lt;&gt;$AL217,"FEFO auto - split, also "&amp;$AM217,"FEFO auto"))))</f>
        <v>FEFO auto</v>
      </c>
      <c r="AO217" s="114"/>
    </row>
    <row r="218" spans="1:41" x14ac:dyDescent="0.35">
      <c r="A218" s="74">
        <v>46126</v>
      </c>
      <c r="B218" s="18" t="str">
        <f>IF($C218="","",IFERROR(INDEX('Staff Directory'!$A$5:$A$594,MATCH($C218,'Staff Directory'!$B$5:$B$594,0)),"⚠ unknown staff"))</f>
        <v>PSW-131-A5</v>
      </c>
      <c r="C218" s="49" t="s">
        <v>1110</v>
      </c>
      <c r="D218" s="19" t="str">
        <f>IF($B218="","",IFERROR(INDEX('Staff Directory'!$C$5:$C$594,MATCH($B218,'Staff Directory'!$A$5:$A$594,0)),""))</f>
        <v>PSW</v>
      </c>
      <c r="E218" s="19" t="str">
        <f>IF($B218="","",IFERROR(INDEX('Staff Directory'!$D$5:$D$594,MATCH($B218,'Staff Directory'!$A$5:$A$594,0)),""))</f>
        <v>A5</v>
      </c>
      <c r="F218" s="9" t="s">
        <v>755</v>
      </c>
      <c r="G218" s="18" t="str">
        <f>IF($F218="","",IFERROR(INDEX(Items!$B$5:$B$597,MATCH($F218,Items!$A$5:$A$597,0)),"⚠ not in Items"))</f>
        <v>Documents</v>
      </c>
      <c r="H218" s="19" t="str">
        <f>IF($F218="","",IFERROR(INDEX(Items!$C$5:$C$597,MATCH($F218,Items!$A$5:$A$597,0)),""))</f>
        <v>Standard</v>
      </c>
      <c r="I218" s="23">
        <f>IF($F218="","",IFERROR(INDEX(Items!$E$5:$E$597,MATCH($F218,Items!$A$5:$A$597,0)),""))</f>
        <v>2</v>
      </c>
      <c r="J218" s="115">
        <f>IF(tblIssues[[#This Row],[Qty Override]]&lt;&gt;"",tblIssues[[#This Row],[Qty Override]],IF(tblIssues[[#This Row],[Standard Issue]]="","",tblIssues[[#This Row],[Standard Issue]]))</f>
        <v>2</v>
      </c>
      <c r="K218" s="20">
        <f>IF($F218="","",IFERROR(INDEX(Items!$D$5:$D$597,MATCH($F218,Items!$A$5:$A$597,0)),""))</f>
        <v>0</v>
      </c>
      <c r="L218" s="21">
        <f t="shared" si="39"/>
        <v>0</v>
      </c>
      <c r="M218" s="9" t="str">
        <f t="shared" si="40"/>
        <v/>
      </c>
      <c r="N218" s="24">
        <f>IF($A218="","",WORKDAY($A218,Settings!$C$9,HolidayDates))</f>
        <v>46134</v>
      </c>
      <c r="O218" s="24">
        <f>IF($N218="","",WORKDAY($N218,Settings!$C$10,HolidayDates))</f>
        <v>46174</v>
      </c>
      <c r="P218" s="10" t="s">
        <v>501</v>
      </c>
      <c r="Q218" s="52" t="str">
        <f t="shared" si="42"/>
        <v>Collected</v>
      </c>
      <c r="R218" s="55" t="str">
        <f t="shared" si="43"/>
        <v>2026-04</v>
      </c>
      <c r="S218" s="55">
        <f>IF(OR($B218="",$F218="",$R218=""),"",SUMIFS(tblIssues[Qty Issued],tblIssues[Staff ID],$B218,tblIssues[Item Name],$F218,tblIssues[Month],$R218))</f>
        <v>2</v>
      </c>
      <c r="T218" s="56">
        <f>IF($I218="","",$I218*Settings!$C$11)</f>
        <v>2</v>
      </c>
      <c r="U218" s="57" t="str">
        <f t="shared" si="41"/>
        <v>OK</v>
      </c>
      <c r="V218" s="55" t="str">
        <f t="shared" si="44"/>
        <v/>
      </c>
      <c r="W218" s="55" t="str">
        <f>IF($V218="","",IF(COUNTIF($V$5:$V218,$V218)=1,1,""))</f>
        <v/>
      </c>
      <c r="X218" s="58" t="str">
        <f>IF($W218="","",MAX($X$4:X217)+1)</f>
        <v/>
      </c>
      <c r="Y218" s="62"/>
      <c r="Z218" s="62"/>
      <c r="AA218" s="64" t="str">
        <f>IF($C218="","",IFERROR(INDEX('Staff Directory'!$E$5:$E$594,MATCH($C218,'Staff Directory'!$B$5:$B$594,0)),""))</f>
        <v>firstname194.lastname194@example.com</v>
      </c>
      <c r="AB218" s="64" t="str">
        <f>IF($C218="","",IF(ISNUMBER(SEARCH($D218,Settings!$C$15)),"Pickup","Dispatch"))</f>
        <v>Pickup</v>
      </c>
      <c r="AC218" s="64" t="str">
        <f t="shared" si="45"/>
        <v>Supply order ready for pickup</v>
      </c>
      <c r="AD218" s="64" t="str">
        <f t="shared" si="36"/>
        <v>Dear PSW,
Your order is ready for pickup from Sample Branch, Wed-Fri 9am-4pm.</v>
      </c>
      <c r="AE218" s="64" t="str">
        <f t="shared" si="37"/>
        <v>mailto:firstname194.lastname194@example.com?subject=Supply%20order%20ready%20for%20pickup&amp;body=Dear%20PSW%2C%0A%0AYour%20order%20is%20ready%20for%20pickup%20from%20Sample%20Branch%2C%20Wed-Fri%209am-4pm.</v>
      </c>
      <c r="AF218" s="89" t="str">
        <f t="shared" si="46"/>
        <v>Draft email</v>
      </c>
      <c r="AG218" s="64" t="str">
        <f>IF($C218="","",IFERROR(INDEX('Staff Directory'!$K$595:$K$599,MATCH($C218,'Staff Directory'!$B$5:$B$599,0)),$D218))</f>
        <v>PSW</v>
      </c>
      <c r="AH218" t="str">
        <f>IF($C218="","",IFERROR(INDEX('Staff Directory'!$I$595:$I$599,MATCH($C218,'Staff Directory'!$B$5:$B$599,0))&amp;" "&amp;INDEX('Staff Directory'!$J$595:$J$599,MATCH($C218,'Staff Directory'!$B$5:$B$599,0)),$AG218))</f>
        <v>PSW</v>
      </c>
      <c r="AI218" s="102"/>
      <c r="AJ218" s="101">
        <f>IF($F218="","",SUMIFS($J$5:$J218,$F$5:$F218,$F218))</f>
        <v>48</v>
      </c>
      <c r="AK218" s="101">
        <f t="shared" si="38"/>
        <v>47</v>
      </c>
      <c r="AL218" s="66" t="str" cm="1">
        <f t="array" ref="AL218">IF($F218="","",IFERROR(INDEX('Lot Balance'!$B$5:$B$500,MATCH(1,INDEX(('Lot Balance'!$A$5:$A$500=$F218)*('Lot Balance'!$K$5:$K$500&lt;$AK218)*('Lot Balance'!$K$5:$K$500+'Lot Balance'!$D$5:$D$500&gt;=$AK218),0),0)),""))</f>
        <v/>
      </c>
      <c r="AM218" s="66" t="str" cm="1">
        <f t="array" ref="AM218">IF($F218="","",IFERROR(INDEX('Lot Balance'!$B$5:$B$500,MATCH(1,INDEX(('Lot Balance'!$A$5:$A$500=$F218)*('Lot Balance'!$K$5:$K$500&lt;$AJ218)*('Lot Balance'!$K$5:$K$500+'Lot Balance'!$D$5:$D$500&gt;=$AJ218),0),0)),""))</f>
        <v/>
      </c>
      <c r="AN218" s="66" t="str">
        <f>IF($F218="","",IF($AI218&lt;&gt;"",IF(COUNTIFS('Lot Balance'!$A$5:$A$500,$F218,'Lot Balance'!$B$5:$B$500,$AI218)=0,"⚠ override is not a lot of this item",IF($AI218=$AL218,"Override = FEFO","Override - FEFO says "&amp;$AL218)),IF($AL218="","⚠ no receipt on file for this item",IF($AM218&lt;&gt;$AL218,"FEFO auto - split, also "&amp;$AM218,"FEFO auto"))))</f>
        <v>⚠ no receipt on file for this item</v>
      </c>
      <c r="AO218" s="114"/>
    </row>
    <row r="219" spans="1:41" x14ac:dyDescent="0.35">
      <c r="A219" s="74">
        <v>46126</v>
      </c>
      <c r="B219" s="18" t="str">
        <f>IF($C219="","",IFERROR(INDEX('Staff Directory'!$A$5:$A$594,MATCH($C219,'Staff Directory'!$B$5:$B$594,0)),"⚠ unknown staff"))</f>
        <v>PSW-073-A5</v>
      </c>
      <c r="C219" s="49" t="s">
        <v>1049</v>
      </c>
      <c r="D219" s="19" t="str">
        <f>IF($B219="","",IFERROR(INDEX('Staff Directory'!$C$5:$C$594,MATCH($B219,'Staff Directory'!$A$5:$A$594,0)),""))</f>
        <v>PSW</v>
      </c>
      <c r="E219" s="19" t="str">
        <f>IF($B219="","",IFERROR(INDEX('Staff Directory'!$D$5:$D$594,MATCH($B219,'Staff Directory'!$A$5:$A$594,0)),""))</f>
        <v>A5</v>
      </c>
      <c r="F219" s="9" t="s">
        <v>129</v>
      </c>
      <c r="G219" s="18" t="str">
        <f>IF($F219="","",IFERROR(INDEX(Items!$B$5:$B$597,MATCH($F219,Items!$A$5:$A$597,0)),"⚠ not in Items"))</f>
        <v>Gloves</v>
      </c>
      <c r="H219" s="19" t="str">
        <f>IF($F219="","",IFERROR(INDEX(Items!$C$5:$C$597,MATCH($F219,Items!$A$5:$A$597,0)),""))</f>
        <v>Small</v>
      </c>
      <c r="I219" s="23">
        <f>IF($F219="","",IFERROR(INDEX(Items!$E$5:$E$597,MATCH($F219,Items!$A$5:$A$597,0)),""))</f>
        <v>500</v>
      </c>
      <c r="J219" s="115">
        <f>IF(tblIssues[[#This Row],[Qty Override]]&lt;&gt;"",tblIssues[[#This Row],[Qty Override]],IF(tblIssues[[#This Row],[Standard Issue]]="","",tblIssues[[#This Row],[Standard Issue]]))</f>
        <v>500</v>
      </c>
      <c r="K219" s="20">
        <f>IF($F219="","",IFERROR(INDEX(Items!$D$5:$D$597,MATCH($F219,Items!$A$5:$A$597,0)),""))</f>
        <v>5.5E-2</v>
      </c>
      <c r="L219" s="21">
        <f t="shared" si="39"/>
        <v>27.5</v>
      </c>
      <c r="M219" s="9" t="str">
        <f t="shared" si="40"/>
        <v>ZIM503122461</v>
      </c>
      <c r="N219" s="24">
        <f>IF($A219="","",WORKDAY($A219,Settings!$C$9,HolidayDates))</f>
        <v>46134</v>
      </c>
      <c r="O219" s="24">
        <f>IF($N219="","",WORKDAY($N219,Settings!$C$10,HolidayDates))</f>
        <v>46174</v>
      </c>
      <c r="P219" s="10" t="s">
        <v>501</v>
      </c>
      <c r="Q219" s="52" t="str">
        <f t="shared" si="42"/>
        <v>Collected</v>
      </c>
      <c r="R219" s="55" t="str">
        <f t="shared" si="43"/>
        <v>2026-04</v>
      </c>
      <c r="S219" s="55">
        <f>IF(OR($B219="",$F219="",$R219=""),"",SUMIFS(tblIssues[Qty Issued],tblIssues[Staff ID],$B219,tblIssues[Item Name],$F219,tblIssues[Month],$R219))</f>
        <v>500</v>
      </c>
      <c r="T219" s="56">
        <f>IF($I219="","",$I219*Settings!$C$11)</f>
        <v>500</v>
      </c>
      <c r="U219" s="57" t="str">
        <f t="shared" si="41"/>
        <v>OK</v>
      </c>
      <c r="V219" s="55" t="str">
        <f t="shared" si="44"/>
        <v/>
      </c>
      <c r="W219" s="55" t="str">
        <f>IF($V219="","",IF(COUNTIF($V$5:$V219,$V219)=1,1,""))</f>
        <v/>
      </c>
      <c r="X219" s="58" t="str">
        <f>IF($W219="","",MAX($X$4:X218)+1)</f>
        <v/>
      </c>
      <c r="Y219" s="62"/>
      <c r="Z219" s="62"/>
      <c r="AA219" s="64" t="str">
        <f>IF($C219="","",IFERROR(INDEX('Staff Directory'!$E$5:$E$594,MATCH($C219,'Staff Directory'!$B$5:$B$594,0)),""))</f>
        <v>firstname133.lastname133@example.com</v>
      </c>
      <c r="AB219" s="64" t="str">
        <f>IF($C219="","",IF(ISNUMBER(SEARCH($D219,Settings!$C$15)),"Pickup","Dispatch"))</f>
        <v>Pickup</v>
      </c>
      <c r="AC219" s="64" t="str">
        <f t="shared" si="45"/>
        <v>Supply order ready for pickup</v>
      </c>
      <c r="AD219" s="64" t="str">
        <f t="shared" si="36"/>
        <v>Dear PSW,
Your order is ready for pickup from Sample Branch, Wed-Fri 9am-4pm.</v>
      </c>
      <c r="AE219" s="64" t="str">
        <f t="shared" si="37"/>
        <v>mailto:firstname133.lastname133@example.com?subject=Supply%20order%20ready%20for%20pickup&amp;body=Dear%20PSW%2C%0A%0AYour%20order%20is%20ready%20for%20pickup%20from%20Sample%20Branch%2C%20Wed-Fri%209am-4pm.</v>
      </c>
      <c r="AF219" s="89" t="str">
        <f t="shared" si="46"/>
        <v>Draft email</v>
      </c>
      <c r="AG219" s="64" t="str">
        <f>IF($C219="","",IFERROR(INDEX('Staff Directory'!$K$595:$K$599,MATCH($C219,'Staff Directory'!$B$5:$B$599,0)),$D219))</f>
        <v>PSW</v>
      </c>
      <c r="AH219" t="str">
        <f>IF($C219="","",IFERROR(INDEX('Staff Directory'!$I$595:$I$599,MATCH($C219,'Staff Directory'!$B$5:$B$599,0))&amp;" "&amp;INDEX('Staff Directory'!$J$595:$J$599,MATCH($C219,'Staff Directory'!$B$5:$B$599,0)),$AG219))</f>
        <v>PSW</v>
      </c>
      <c r="AI219" s="102"/>
      <c r="AJ219" s="101">
        <f>IF($F219="","",SUMIFS($J$5:$J219,$F$5:$F219,$F219))</f>
        <v>9000</v>
      </c>
      <c r="AK219" s="101">
        <f t="shared" si="38"/>
        <v>8501</v>
      </c>
      <c r="AL219" s="66" t="str" cm="1">
        <f t="array" ref="AL219">IF($F219="","",IFERROR(INDEX('Lot Balance'!$B$5:$B$500,MATCH(1,INDEX(('Lot Balance'!$A$5:$A$500=$F219)*('Lot Balance'!$K$5:$K$500&lt;$AK219)*('Lot Balance'!$K$5:$K$500+'Lot Balance'!$D$5:$D$500&gt;=$AK219),0),0)),""))</f>
        <v>ZIM503122461</v>
      </c>
      <c r="AM219" s="66" t="str" cm="1">
        <f t="array" ref="AM219">IF($F219="","",IFERROR(INDEX('Lot Balance'!$B$5:$B$500,MATCH(1,INDEX(('Lot Balance'!$A$5:$A$500=$F219)*('Lot Balance'!$K$5:$K$500&lt;$AJ219)*('Lot Balance'!$K$5:$K$500+'Lot Balance'!$D$5:$D$500&gt;=$AJ219),0),0)),""))</f>
        <v>ZIM503122461</v>
      </c>
      <c r="AN219" s="66" t="str">
        <f>IF($F219="","",IF($AI219&lt;&gt;"",IF(COUNTIFS('Lot Balance'!$A$5:$A$500,$F219,'Lot Balance'!$B$5:$B$500,$AI219)=0,"⚠ override is not a lot of this item",IF($AI219=$AL219,"Override = FEFO","Override - FEFO says "&amp;$AL219)),IF($AL219="","⚠ no receipt on file for this item",IF($AM219&lt;&gt;$AL219,"FEFO auto - split, also "&amp;$AM219,"FEFO auto"))))</f>
        <v>FEFO auto</v>
      </c>
      <c r="AO219" s="114"/>
    </row>
    <row r="220" spans="1:41" x14ac:dyDescent="0.35">
      <c r="A220" s="74">
        <v>46126</v>
      </c>
      <c r="B220" s="18" t="str">
        <f>IF($C220="","",IFERROR(INDEX('Staff Directory'!$A$5:$A$594,MATCH($C220,'Staff Directory'!$B$5:$B$594,0)),"⚠ unknown staff"))</f>
        <v>PSW-073-A5</v>
      </c>
      <c r="C220" s="49" t="s">
        <v>1049</v>
      </c>
      <c r="D220" s="19" t="str">
        <f>IF($B220="","",IFERROR(INDEX('Staff Directory'!$C$5:$C$594,MATCH($B220,'Staff Directory'!$A$5:$A$594,0)),""))</f>
        <v>PSW</v>
      </c>
      <c r="E220" s="19" t="str">
        <f>IF($B220="","",IFERROR(INDEX('Staff Directory'!$D$5:$D$594,MATCH($B220,'Staff Directory'!$A$5:$A$594,0)),""))</f>
        <v>A5</v>
      </c>
      <c r="F220" s="9" t="s">
        <v>156</v>
      </c>
      <c r="G220" s="18" t="str">
        <f>IF($F220="","",IFERROR(INDEX(Items!$B$5:$B$597,MATCH($F220,Items!$A$5:$A$597,0)),"⚠ not in Items"))</f>
        <v>Masks</v>
      </c>
      <c r="H220" s="19" t="str">
        <f>IF($F220="","",IFERROR(INDEX(Items!$C$5:$C$597,MATCH($F220,Items!$A$5:$A$597,0)),""))</f>
        <v>One Size</v>
      </c>
      <c r="I220" s="23">
        <f>IF($F220="","",IFERROR(INDEX(Items!$E$5:$E$597,MATCH($F220,Items!$A$5:$A$597,0)),""))</f>
        <v>50</v>
      </c>
      <c r="J220" s="115">
        <f>IF(tblIssues[[#This Row],[Qty Override]]&lt;&gt;"",tblIssues[[#This Row],[Qty Override]],IF(tblIssues[[#This Row],[Standard Issue]]="","",tblIssues[[#This Row],[Standard Issue]]))</f>
        <v>50</v>
      </c>
      <c r="K220" s="20">
        <f>IF($F220="","",IFERROR(INDEX(Items!$D$5:$D$597,MATCH($F220,Items!$A$5:$A$597,0)),""))</f>
        <v>0.25</v>
      </c>
      <c r="L220" s="21">
        <f t="shared" si="39"/>
        <v>12.5</v>
      </c>
      <c r="M220" s="9" t="str">
        <f t="shared" si="40"/>
        <v>0125FPC24-0</v>
      </c>
      <c r="N220" s="24">
        <f>IF($A220="","",WORKDAY($A220,Settings!$C$9,HolidayDates))</f>
        <v>46134</v>
      </c>
      <c r="O220" s="24">
        <f>IF($N220="","",WORKDAY($N220,Settings!$C$10,HolidayDates))</f>
        <v>46174</v>
      </c>
      <c r="P220" s="10" t="s">
        <v>501</v>
      </c>
      <c r="Q220" s="52" t="str">
        <f t="shared" si="42"/>
        <v>Collected</v>
      </c>
      <c r="R220" s="55" t="str">
        <f t="shared" si="43"/>
        <v>2026-04</v>
      </c>
      <c r="S220" s="55">
        <f>IF(OR($B220="",$F220="",$R220=""),"",SUMIFS(tblIssues[Qty Issued],tblIssues[Staff ID],$B220,tblIssues[Item Name],$F220,tblIssues[Month],$R220))</f>
        <v>50</v>
      </c>
      <c r="T220" s="56">
        <f>IF($I220="","",$I220*Settings!$C$11)</f>
        <v>50</v>
      </c>
      <c r="U220" s="57" t="str">
        <f t="shared" si="41"/>
        <v>OK</v>
      </c>
      <c r="V220" s="55" t="str">
        <f t="shared" si="44"/>
        <v/>
      </c>
      <c r="W220" s="55" t="str">
        <f>IF($V220="","",IF(COUNTIF($V$5:$V220,$V220)=1,1,""))</f>
        <v/>
      </c>
      <c r="X220" s="58" t="str">
        <f>IF($W220="","",MAX($X$4:X219)+1)</f>
        <v/>
      </c>
      <c r="Y220" s="62"/>
      <c r="Z220" s="62"/>
      <c r="AA220" s="64" t="str">
        <f>IF($C220="","",IFERROR(INDEX('Staff Directory'!$E$5:$E$594,MATCH($C220,'Staff Directory'!$B$5:$B$594,0)),""))</f>
        <v>firstname133.lastname133@example.com</v>
      </c>
      <c r="AB220" s="64" t="str">
        <f>IF($C220="","",IF(ISNUMBER(SEARCH($D220,Settings!$C$15)),"Pickup","Dispatch"))</f>
        <v>Pickup</v>
      </c>
      <c r="AC220" s="64" t="str">
        <f t="shared" si="45"/>
        <v>Supply order ready for pickup</v>
      </c>
      <c r="AD220" s="64" t="str">
        <f t="shared" si="36"/>
        <v>Dear PSW,
Your order is ready for pickup from Sample Branch, Wed-Fri 9am-4pm.</v>
      </c>
      <c r="AE220" s="64" t="str">
        <f t="shared" si="37"/>
        <v>mailto:firstname133.lastname133@example.com?subject=Supply%20order%20ready%20for%20pickup&amp;body=Dear%20PSW%2C%0A%0AYour%20order%20is%20ready%20for%20pickup%20from%20Sample%20Branch%2C%20Wed-Fri%209am-4pm.</v>
      </c>
      <c r="AF220" s="89" t="str">
        <f t="shared" si="46"/>
        <v>Draft email</v>
      </c>
      <c r="AG220" s="64" t="str">
        <f>IF($C220="","",IFERROR(INDEX('Staff Directory'!$K$595:$K$599,MATCH($C220,'Staff Directory'!$B$5:$B$599,0)),$D220))</f>
        <v>PSW</v>
      </c>
      <c r="AH220" t="str">
        <f>IF($C220="","",IFERROR(INDEX('Staff Directory'!$I$595:$I$599,MATCH($C220,'Staff Directory'!$B$5:$B$599,0))&amp;" "&amp;INDEX('Staff Directory'!$J$595:$J$599,MATCH($C220,'Staff Directory'!$B$5:$B$599,0)),$AG220))</f>
        <v>PSW</v>
      </c>
      <c r="AI220" s="102"/>
      <c r="AJ220" s="101">
        <f>IF($F220="","",SUMIFS($J$5:$J220,$F$5:$F220,$F220))</f>
        <v>1650</v>
      </c>
      <c r="AK220" s="101">
        <f t="shared" si="38"/>
        <v>1601</v>
      </c>
      <c r="AL220" s="66" t="str" cm="1">
        <f t="array" ref="AL220">IF($F220="","",IFERROR(INDEX('Lot Balance'!$B$5:$B$500,MATCH(1,INDEX(('Lot Balance'!$A$5:$A$500=$F220)*('Lot Balance'!$K$5:$K$500&lt;$AK220)*('Lot Balance'!$K$5:$K$500+'Lot Balance'!$D$5:$D$500&gt;=$AK220),0),0)),""))</f>
        <v>0125FPC24-0</v>
      </c>
      <c r="AM220" s="66" t="str" cm="1">
        <f t="array" ref="AM220">IF($F220="","",IFERROR(INDEX('Lot Balance'!$B$5:$B$500,MATCH(1,INDEX(('Lot Balance'!$A$5:$A$500=$F220)*('Lot Balance'!$K$5:$K$500&lt;$AJ220)*('Lot Balance'!$K$5:$K$500+'Lot Balance'!$D$5:$D$500&gt;=$AJ220),0),0)),""))</f>
        <v>0125FPC24-0</v>
      </c>
      <c r="AN220" s="66" t="str">
        <f>IF($F220="","",IF($AI220&lt;&gt;"",IF(COUNTIFS('Lot Balance'!$A$5:$A$500,$F220,'Lot Balance'!$B$5:$B$500,$AI220)=0,"⚠ override is not a lot of this item",IF($AI220=$AL220,"Override = FEFO","Override - FEFO says "&amp;$AL220)),IF($AL220="","⚠ no receipt on file for this item",IF($AM220&lt;&gt;$AL220,"FEFO auto - split, also "&amp;$AM220,"FEFO auto"))))</f>
        <v>FEFO auto</v>
      </c>
      <c r="AO220" s="114"/>
    </row>
    <row r="221" spans="1:41" x14ac:dyDescent="0.35">
      <c r="A221" s="74">
        <v>46126</v>
      </c>
      <c r="B221" s="18" t="str">
        <f>IF($C221="","",IFERROR(INDEX('Staff Directory'!$A$5:$A$594,MATCH($C221,'Staff Directory'!$B$5:$B$594,0)),"⚠ unknown staff"))</f>
        <v>PSW-073-A5</v>
      </c>
      <c r="C221" s="49" t="s">
        <v>1049</v>
      </c>
      <c r="D221" s="19" t="str">
        <f>IF($B221="","",IFERROR(INDEX('Staff Directory'!$C$5:$C$594,MATCH($B221,'Staff Directory'!$A$5:$A$594,0)),""))</f>
        <v>PSW</v>
      </c>
      <c r="E221" s="19" t="str">
        <f>IF($B221="","",IFERROR(INDEX('Staff Directory'!$D$5:$D$594,MATCH($B221,'Staff Directory'!$A$5:$A$594,0)),""))</f>
        <v>A5</v>
      </c>
      <c r="F221" s="9" t="s">
        <v>755</v>
      </c>
      <c r="G221" s="18" t="str">
        <f>IF($F221="","",IFERROR(INDEX(Items!$B$5:$B$597,MATCH($F221,Items!$A$5:$A$597,0)),"⚠ not in Items"))</f>
        <v>Documents</v>
      </c>
      <c r="H221" s="19" t="str">
        <f>IF($F221="","",IFERROR(INDEX(Items!$C$5:$C$597,MATCH($F221,Items!$A$5:$A$597,0)),""))</f>
        <v>Standard</v>
      </c>
      <c r="I221" s="23">
        <f>IF($F221="","",IFERROR(INDEX(Items!$E$5:$E$597,MATCH($F221,Items!$A$5:$A$597,0)),""))</f>
        <v>2</v>
      </c>
      <c r="J221" s="115">
        <f>IF(tblIssues[[#This Row],[Qty Override]]&lt;&gt;"",tblIssues[[#This Row],[Qty Override]],IF(tblIssues[[#This Row],[Standard Issue]]="","",tblIssues[[#This Row],[Standard Issue]]))</f>
        <v>2</v>
      </c>
      <c r="K221" s="20">
        <f>IF($F221="","",IFERROR(INDEX(Items!$D$5:$D$597,MATCH($F221,Items!$A$5:$A$597,0)),""))</f>
        <v>0</v>
      </c>
      <c r="L221" s="21">
        <f t="shared" si="39"/>
        <v>0</v>
      </c>
      <c r="M221" s="9" t="str">
        <f t="shared" si="40"/>
        <v/>
      </c>
      <c r="N221" s="24">
        <f>IF($A221="","",WORKDAY($A221,Settings!$C$9,HolidayDates))</f>
        <v>46134</v>
      </c>
      <c r="O221" s="24">
        <f>IF($N221="","",WORKDAY($N221,Settings!$C$10,HolidayDates))</f>
        <v>46174</v>
      </c>
      <c r="P221" s="10" t="s">
        <v>501</v>
      </c>
      <c r="Q221" s="52" t="str">
        <f t="shared" si="42"/>
        <v>Collected</v>
      </c>
      <c r="R221" s="55" t="str">
        <f t="shared" si="43"/>
        <v>2026-04</v>
      </c>
      <c r="S221" s="55">
        <f>IF(OR($B221="",$F221="",$R221=""),"",SUMIFS(tblIssues[Qty Issued],tblIssues[Staff ID],$B221,tblIssues[Item Name],$F221,tblIssues[Month],$R221))</f>
        <v>2</v>
      </c>
      <c r="T221" s="56">
        <f>IF($I221="","",$I221*Settings!$C$11)</f>
        <v>2</v>
      </c>
      <c r="U221" s="57" t="str">
        <f t="shared" si="41"/>
        <v>OK</v>
      </c>
      <c r="V221" s="55" t="str">
        <f t="shared" si="44"/>
        <v/>
      </c>
      <c r="W221" s="55" t="str">
        <f>IF($V221="","",IF(COUNTIF($V$5:$V221,$V221)=1,1,""))</f>
        <v/>
      </c>
      <c r="X221" s="58" t="str">
        <f>IF($W221="","",MAX($X$4:X220)+1)</f>
        <v/>
      </c>
      <c r="Y221" s="62"/>
      <c r="Z221" s="62"/>
      <c r="AA221" s="64" t="str">
        <f>IF($C221="","",IFERROR(INDEX('Staff Directory'!$E$5:$E$594,MATCH($C221,'Staff Directory'!$B$5:$B$594,0)),""))</f>
        <v>firstname133.lastname133@example.com</v>
      </c>
      <c r="AB221" s="64" t="str">
        <f>IF($C221="","",IF(ISNUMBER(SEARCH($D221,Settings!$C$15)),"Pickup","Dispatch"))</f>
        <v>Pickup</v>
      </c>
      <c r="AC221" s="64" t="str">
        <f t="shared" si="45"/>
        <v>Supply order ready for pickup</v>
      </c>
      <c r="AD221" s="64" t="str">
        <f t="shared" si="36"/>
        <v>Dear PSW,
Your order is ready for pickup from Sample Branch, Wed-Fri 9am-4pm.</v>
      </c>
      <c r="AE221" s="64" t="str">
        <f t="shared" si="37"/>
        <v>mailto:firstname133.lastname133@example.com?subject=Supply%20order%20ready%20for%20pickup&amp;body=Dear%20PSW%2C%0A%0AYour%20order%20is%20ready%20for%20pickup%20from%20Sample%20Branch%2C%20Wed-Fri%209am-4pm.</v>
      </c>
      <c r="AF221" s="89" t="str">
        <f t="shared" si="46"/>
        <v>Draft email</v>
      </c>
      <c r="AG221" s="64" t="str">
        <f>IF($C221="","",IFERROR(INDEX('Staff Directory'!$K$595:$K$599,MATCH($C221,'Staff Directory'!$B$5:$B$599,0)),$D221))</f>
        <v>PSW</v>
      </c>
      <c r="AH221" t="str">
        <f>IF($C221="","",IFERROR(INDEX('Staff Directory'!$I$595:$I$599,MATCH($C221,'Staff Directory'!$B$5:$B$599,0))&amp;" "&amp;INDEX('Staff Directory'!$J$595:$J$599,MATCH($C221,'Staff Directory'!$B$5:$B$599,0)),$AG221))</f>
        <v>PSW</v>
      </c>
      <c r="AI221" s="102"/>
      <c r="AJ221" s="101">
        <f>IF($F221="","",SUMIFS($J$5:$J221,$F$5:$F221,$F221))</f>
        <v>50</v>
      </c>
      <c r="AK221" s="101">
        <f t="shared" si="38"/>
        <v>49</v>
      </c>
      <c r="AL221" s="66" t="str" cm="1">
        <f t="array" ref="AL221">IF($F221="","",IFERROR(INDEX('Lot Balance'!$B$5:$B$500,MATCH(1,INDEX(('Lot Balance'!$A$5:$A$500=$F221)*('Lot Balance'!$K$5:$K$500&lt;$AK221)*('Lot Balance'!$K$5:$K$500+'Lot Balance'!$D$5:$D$500&gt;=$AK221),0),0)),""))</f>
        <v/>
      </c>
      <c r="AM221" s="66" t="str" cm="1">
        <f t="array" ref="AM221">IF($F221="","",IFERROR(INDEX('Lot Balance'!$B$5:$B$500,MATCH(1,INDEX(('Lot Balance'!$A$5:$A$500=$F221)*('Lot Balance'!$K$5:$K$500&lt;$AJ221)*('Lot Balance'!$K$5:$K$500+'Lot Balance'!$D$5:$D$500&gt;=$AJ221),0),0)),""))</f>
        <v/>
      </c>
      <c r="AN221" s="66" t="str">
        <f>IF($F221="","",IF($AI221&lt;&gt;"",IF(COUNTIFS('Lot Balance'!$A$5:$A$500,$F221,'Lot Balance'!$B$5:$B$500,$AI221)=0,"⚠ override is not a lot of this item",IF($AI221=$AL221,"Override = FEFO","Override - FEFO says "&amp;$AL221)),IF($AL221="","⚠ no receipt on file for this item",IF($AM221&lt;&gt;$AL221,"FEFO auto - split, also "&amp;$AM221,"FEFO auto"))))</f>
        <v>⚠ no receipt on file for this item</v>
      </c>
      <c r="AO221" s="114"/>
    </row>
    <row r="222" spans="1:41" x14ac:dyDescent="0.35">
      <c r="A222" s="74">
        <v>46126</v>
      </c>
      <c r="B222" s="18" t="str">
        <f>IF($C222="","",IFERROR(INDEX('Staff Directory'!$A$5:$A$594,MATCH($C222,'Staff Directory'!$B$5:$B$594,0)),"⚠ unknown staff"))</f>
        <v>PSW-063-A6</v>
      </c>
      <c r="C222" s="49" t="s">
        <v>1039</v>
      </c>
      <c r="D222" s="19" t="str">
        <f>IF($B222="","",IFERROR(INDEX('Staff Directory'!$C$5:$C$594,MATCH($B222,'Staff Directory'!$A$5:$A$594,0)),""))</f>
        <v>PSW</v>
      </c>
      <c r="E222" s="19" t="str">
        <f>IF($B222="","",IFERROR(INDEX('Staff Directory'!$D$5:$D$594,MATCH($B222,'Staff Directory'!$A$5:$A$594,0)),""))</f>
        <v>A6</v>
      </c>
      <c r="F222" s="9" t="s">
        <v>129</v>
      </c>
      <c r="G222" s="18" t="str">
        <f>IF($F222="","",IFERROR(INDEX(Items!$B$5:$B$597,MATCH($F222,Items!$A$5:$A$597,0)),"⚠ not in Items"))</f>
        <v>Gloves</v>
      </c>
      <c r="H222" s="19" t="str">
        <f>IF($F222="","",IFERROR(INDEX(Items!$C$5:$C$597,MATCH($F222,Items!$A$5:$A$597,0)),""))</f>
        <v>Small</v>
      </c>
      <c r="I222" s="23">
        <f>IF($F222="","",IFERROR(INDEX(Items!$E$5:$E$597,MATCH($F222,Items!$A$5:$A$597,0)),""))</f>
        <v>500</v>
      </c>
      <c r="J222" s="115">
        <f>IF(tblIssues[[#This Row],[Qty Override]]&lt;&gt;"",tblIssues[[#This Row],[Qty Override]],IF(tblIssues[[#This Row],[Standard Issue]]="","",tblIssues[[#This Row],[Standard Issue]]))</f>
        <v>500</v>
      </c>
      <c r="K222" s="20">
        <f>IF($F222="","",IFERROR(INDEX(Items!$D$5:$D$597,MATCH($F222,Items!$A$5:$A$597,0)),""))</f>
        <v>5.5E-2</v>
      </c>
      <c r="L222" s="21">
        <f t="shared" si="39"/>
        <v>27.5</v>
      </c>
      <c r="M222" s="9" t="str">
        <f t="shared" si="40"/>
        <v>ZIM503122461</v>
      </c>
      <c r="N222" s="24">
        <f>IF($A222="","",WORKDAY($A222,Settings!$C$9,HolidayDates))</f>
        <v>46134</v>
      </c>
      <c r="O222" s="24">
        <f>IF($N222="","",WORKDAY($N222,Settings!$C$10,HolidayDates))</f>
        <v>46174</v>
      </c>
      <c r="P222" s="10" t="s">
        <v>501</v>
      </c>
      <c r="Q222" s="52" t="str">
        <f t="shared" si="42"/>
        <v>Collected</v>
      </c>
      <c r="R222" s="55" t="str">
        <f t="shared" si="43"/>
        <v>2026-04</v>
      </c>
      <c r="S222" s="55">
        <f>IF(OR($B222="",$F222="",$R222=""),"",SUMIFS(tblIssues[Qty Issued],tblIssues[Staff ID],$B222,tblIssues[Item Name],$F222,tblIssues[Month],$R222))</f>
        <v>500</v>
      </c>
      <c r="T222" s="56">
        <f>IF($I222="","",$I222*Settings!$C$11)</f>
        <v>500</v>
      </c>
      <c r="U222" s="57" t="str">
        <f t="shared" si="41"/>
        <v>OK</v>
      </c>
      <c r="V222" s="55" t="str">
        <f t="shared" si="44"/>
        <v/>
      </c>
      <c r="W222" s="55" t="str">
        <f>IF($V222="","",IF(COUNTIF($V$5:$V222,$V222)=1,1,""))</f>
        <v/>
      </c>
      <c r="X222" s="58" t="str">
        <f>IF($W222="","",MAX($X$4:X221)+1)</f>
        <v/>
      </c>
      <c r="Y222" s="62"/>
      <c r="Z222" s="62"/>
      <c r="AA222" s="64" t="str">
        <f>IF($C222="","",IFERROR(INDEX('Staff Directory'!$E$5:$E$594,MATCH($C222,'Staff Directory'!$B$5:$B$594,0)),""))</f>
        <v>firstname123.lastname123@example.com</v>
      </c>
      <c r="AB222" s="64" t="str">
        <f>IF($C222="","",IF(ISNUMBER(SEARCH($D222,Settings!$C$15)),"Pickup","Dispatch"))</f>
        <v>Pickup</v>
      </c>
      <c r="AC222" s="64" t="str">
        <f t="shared" si="45"/>
        <v>Supply order ready for pickup</v>
      </c>
      <c r="AD222" s="64" t="str">
        <f t="shared" si="36"/>
        <v>Dear PSW,
Your order is ready for pickup from Sample Branch, Wed-Fri 9am-4pm.</v>
      </c>
      <c r="AE222" s="64" t="str">
        <f t="shared" si="37"/>
        <v>mailto:firstname123.lastname123@example.com?subject=Supply%20order%20ready%20for%20pickup&amp;body=Dear%20PSW%2C%0A%0AYour%20order%20is%20ready%20for%20pickup%20from%20Sample%20Branch%2C%20Wed-Fri%209am-4pm.</v>
      </c>
      <c r="AF222" s="89" t="str">
        <f t="shared" si="46"/>
        <v>Draft email</v>
      </c>
      <c r="AG222" s="64" t="str">
        <f>IF($C222="","",IFERROR(INDEX('Staff Directory'!$K$595:$K$599,MATCH($C222,'Staff Directory'!$B$5:$B$599,0)),$D222))</f>
        <v>PSW</v>
      </c>
      <c r="AH222" t="str">
        <f>IF($C222="","",IFERROR(INDEX('Staff Directory'!$I$595:$I$599,MATCH($C222,'Staff Directory'!$B$5:$B$599,0))&amp;" "&amp;INDEX('Staff Directory'!$J$595:$J$599,MATCH($C222,'Staff Directory'!$B$5:$B$599,0)),$AG222))</f>
        <v>PSW</v>
      </c>
      <c r="AI222" s="102"/>
      <c r="AJ222" s="101">
        <f>IF($F222="","",SUMIFS($J$5:$J222,$F$5:$F222,$F222))</f>
        <v>9500</v>
      </c>
      <c r="AK222" s="101">
        <f t="shared" si="38"/>
        <v>9001</v>
      </c>
      <c r="AL222" s="66" t="str" cm="1">
        <f t="array" ref="AL222">IF($F222="","",IFERROR(INDEX('Lot Balance'!$B$5:$B$500,MATCH(1,INDEX(('Lot Balance'!$A$5:$A$500=$F222)*('Lot Balance'!$K$5:$K$500&lt;$AK222)*('Lot Balance'!$K$5:$K$500+'Lot Balance'!$D$5:$D$500&gt;=$AK222),0),0)),""))</f>
        <v>ZIM503122461</v>
      </c>
      <c r="AM222" s="66" t="str" cm="1">
        <f t="array" ref="AM222">IF($F222="","",IFERROR(INDEX('Lot Balance'!$B$5:$B$500,MATCH(1,INDEX(('Lot Balance'!$A$5:$A$500=$F222)*('Lot Balance'!$K$5:$K$500&lt;$AJ222)*('Lot Balance'!$K$5:$K$500+'Lot Balance'!$D$5:$D$500&gt;=$AJ222),0),0)),""))</f>
        <v>ZIM503122461</v>
      </c>
      <c r="AN222" s="66" t="str">
        <f>IF($F222="","",IF($AI222&lt;&gt;"",IF(COUNTIFS('Lot Balance'!$A$5:$A$500,$F222,'Lot Balance'!$B$5:$B$500,$AI222)=0,"⚠ override is not a lot of this item",IF($AI222=$AL222,"Override = FEFO","Override - FEFO says "&amp;$AL222)),IF($AL222="","⚠ no receipt on file for this item",IF($AM222&lt;&gt;$AL222,"FEFO auto - split, also "&amp;$AM222,"FEFO auto"))))</f>
        <v>FEFO auto</v>
      </c>
      <c r="AO222" s="114"/>
    </row>
    <row r="223" spans="1:41" x14ac:dyDescent="0.35">
      <c r="A223" s="74">
        <v>46126</v>
      </c>
      <c r="B223" s="18" t="str">
        <f>IF($C223="","",IFERROR(INDEX('Staff Directory'!$A$5:$A$594,MATCH($C223,'Staff Directory'!$B$5:$B$594,0)),"⚠ unknown staff"))</f>
        <v>PSW-063-A6</v>
      </c>
      <c r="C223" s="49" t="s">
        <v>1039</v>
      </c>
      <c r="D223" s="19" t="str">
        <f>IF($B223="","",IFERROR(INDEX('Staff Directory'!$C$5:$C$594,MATCH($B223,'Staff Directory'!$A$5:$A$594,0)),""))</f>
        <v>PSW</v>
      </c>
      <c r="E223" s="19" t="str">
        <f>IF($B223="","",IFERROR(INDEX('Staff Directory'!$D$5:$D$594,MATCH($B223,'Staff Directory'!$A$5:$A$594,0)),""))</f>
        <v>A6</v>
      </c>
      <c r="F223" s="9" t="s">
        <v>137</v>
      </c>
      <c r="G223" s="18" t="str">
        <f>IF($F223="","",IFERROR(INDEX(Items!$B$5:$B$597,MATCH($F223,Items!$A$5:$A$597,0)),"⚠ not in Items"))</f>
        <v>Sanitizer</v>
      </c>
      <c r="H223" s="19" t="str">
        <f>IF($F223="","",IFERROR(INDEX(Items!$C$5:$C$597,MATCH($F223,Items!$A$5:$A$597,0)),""))</f>
        <v>118 ML</v>
      </c>
      <c r="I223" s="23">
        <f>IF($F223="","",IFERROR(INDEX(Items!$E$5:$E$597,MATCH($F223,Items!$A$5:$A$597,0)),""))</f>
        <v>2</v>
      </c>
      <c r="J223" s="115">
        <f>IF(tblIssues[[#This Row],[Qty Override]]&lt;&gt;"",tblIssues[[#This Row],[Qty Override]],IF(tblIssues[[#This Row],[Standard Issue]]="","",tblIssues[[#This Row],[Standard Issue]]))</f>
        <v>2</v>
      </c>
      <c r="K223" s="20">
        <f>IF($F223="","",IFERROR(INDEX(Items!$D$5:$D$597,MATCH($F223,Items!$A$5:$A$597,0)),""))</f>
        <v>4.49</v>
      </c>
      <c r="L223" s="21">
        <f t="shared" si="39"/>
        <v>8.98</v>
      </c>
      <c r="M223" s="9" t="str">
        <f t="shared" si="40"/>
        <v>563963-6</v>
      </c>
      <c r="N223" s="24">
        <f>IF($A223="","",WORKDAY($A223,Settings!$C$9,HolidayDates))</f>
        <v>46134</v>
      </c>
      <c r="O223" s="24">
        <f>IF($N223="","",WORKDAY($N223,Settings!$C$10,HolidayDates))</f>
        <v>46174</v>
      </c>
      <c r="P223" s="10" t="s">
        <v>501</v>
      </c>
      <c r="Q223" s="52" t="str">
        <f t="shared" si="42"/>
        <v>Collected</v>
      </c>
      <c r="R223" s="55" t="str">
        <f t="shared" si="43"/>
        <v>2026-04</v>
      </c>
      <c r="S223" s="55">
        <f>IF(OR($B223="",$F223="",$R223=""),"",SUMIFS(tblIssues[Qty Issued],tblIssues[Staff ID],$B223,tblIssues[Item Name],$F223,tblIssues[Month],$R223))</f>
        <v>2</v>
      </c>
      <c r="T223" s="56">
        <f>IF($I223="","",$I223*Settings!$C$11)</f>
        <v>2</v>
      </c>
      <c r="U223" s="57" t="str">
        <f t="shared" si="41"/>
        <v>OK</v>
      </c>
      <c r="V223" s="55" t="str">
        <f t="shared" si="44"/>
        <v/>
      </c>
      <c r="W223" s="55" t="str">
        <f>IF($V223="","",IF(COUNTIF($V$5:$V223,$V223)=1,1,""))</f>
        <v/>
      </c>
      <c r="X223" s="58" t="str">
        <f>IF($W223="","",MAX($X$4:X222)+1)</f>
        <v/>
      </c>
      <c r="Y223" s="62"/>
      <c r="Z223" s="62"/>
      <c r="AA223" s="64" t="str">
        <f>IF($C223="","",IFERROR(INDEX('Staff Directory'!$E$5:$E$594,MATCH($C223,'Staff Directory'!$B$5:$B$594,0)),""))</f>
        <v>firstname123.lastname123@example.com</v>
      </c>
      <c r="AB223" s="64" t="str">
        <f>IF($C223="","",IF(ISNUMBER(SEARCH($D223,Settings!$C$15)),"Pickup","Dispatch"))</f>
        <v>Pickup</v>
      </c>
      <c r="AC223" s="64" t="str">
        <f t="shared" si="45"/>
        <v>Supply order ready for pickup</v>
      </c>
      <c r="AD223" s="64" t="str">
        <f t="shared" si="36"/>
        <v>Dear PSW,
Your order is ready for pickup from Sample Branch, Wed-Fri 9am-4pm.</v>
      </c>
      <c r="AE223" s="64" t="str">
        <f t="shared" si="37"/>
        <v>mailto:firstname123.lastname123@example.com?subject=Supply%20order%20ready%20for%20pickup&amp;body=Dear%20PSW%2C%0A%0AYour%20order%20is%20ready%20for%20pickup%20from%20Sample%20Branch%2C%20Wed-Fri%209am-4pm.</v>
      </c>
      <c r="AF223" s="89" t="str">
        <f t="shared" si="46"/>
        <v>Draft email</v>
      </c>
      <c r="AG223" s="64" t="str">
        <f>IF($C223="","",IFERROR(INDEX('Staff Directory'!$K$595:$K$599,MATCH($C223,'Staff Directory'!$B$5:$B$599,0)),$D223))</f>
        <v>PSW</v>
      </c>
      <c r="AH223" t="str">
        <f>IF($C223="","",IFERROR(INDEX('Staff Directory'!$I$595:$I$599,MATCH($C223,'Staff Directory'!$B$5:$B$599,0))&amp;" "&amp;INDEX('Staff Directory'!$J$595:$J$599,MATCH($C223,'Staff Directory'!$B$5:$B$599,0)),$AG223))</f>
        <v>PSW</v>
      </c>
      <c r="AI223" s="102"/>
      <c r="AJ223" s="101">
        <f>IF($F223="","",SUMIFS($J$5:$J223,$F$5:$F223,$F223))</f>
        <v>72</v>
      </c>
      <c r="AK223" s="101">
        <f t="shared" si="38"/>
        <v>71</v>
      </c>
      <c r="AL223" s="66" t="str" cm="1">
        <f t="array" ref="AL223">IF($F223="","",IFERROR(INDEX('Lot Balance'!$B$5:$B$500,MATCH(1,INDEX(('Lot Balance'!$A$5:$A$500=$F223)*('Lot Balance'!$K$5:$K$500&lt;$AK223)*('Lot Balance'!$K$5:$K$500+'Lot Balance'!$D$5:$D$500&gt;=$AK223),0),0)),""))</f>
        <v>563963-6</v>
      </c>
      <c r="AM223" s="66" t="str" cm="1">
        <f t="array" ref="AM223">IF($F223="","",IFERROR(INDEX('Lot Balance'!$B$5:$B$500,MATCH(1,INDEX(('Lot Balance'!$A$5:$A$500=$F223)*('Lot Balance'!$K$5:$K$500&lt;$AJ223)*('Lot Balance'!$K$5:$K$500+'Lot Balance'!$D$5:$D$500&gt;=$AJ223),0),0)),""))</f>
        <v>563963-6</v>
      </c>
      <c r="AN223" s="66" t="str">
        <f>IF($F223="","",IF($AI223&lt;&gt;"",IF(COUNTIFS('Lot Balance'!$A$5:$A$500,$F223,'Lot Balance'!$B$5:$B$500,$AI223)=0,"⚠ override is not a lot of this item",IF($AI223=$AL223,"Override = FEFO","Override - FEFO says "&amp;$AL223)),IF($AL223="","⚠ no receipt on file for this item",IF($AM223&lt;&gt;$AL223,"FEFO auto - split, also "&amp;$AM223,"FEFO auto"))))</f>
        <v>FEFO auto</v>
      </c>
      <c r="AO223" s="114"/>
    </row>
    <row r="224" spans="1:41" x14ac:dyDescent="0.35">
      <c r="A224" s="74">
        <v>46126</v>
      </c>
      <c r="B224" s="18" t="str">
        <f>IF($C224="","",IFERROR(INDEX('Staff Directory'!$A$5:$A$594,MATCH($C224,'Staff Directory'!$B$5:$B$594,0)),"⚠ unknown staff"))</f>
        <v>PSW-063-A6</v>
      </c>
      <c r="C224" s="49" t="s">
        <v>1039</v>
      </c>
      <c r="D224" s="19" t="str">
        <f>IF($B224="","",IFERROR(INDEX('Staff Directory'!$C$5:$C$594,MATCH($B224,'Staff Directory'!$A$5:$A$594,0)),""))</f>
        <v>PSW</v>
      </c>
      <c r="E224" s="19" t="str">
        <f>IF($B224="","",IFERROR(INDEX('Staff Directory'!$D$5:$D$594,MATCH($B224,'Staff Directory'!$A$5:$A$594,0)),""))</f>
        <v>A6</v>
      </c>
      <c r="F224" s="9" t="s">
        <v>115</v>
      </c>
      <c r="G224" s="18" t="str">
        <f>IF($F224="","",IFERROR(INDEX(Items!$B$5:$B$597,MATCH($F224,Items!$A$5:$A$597,0)),"⚠ not in Items"))</f>
        <v>Wipes</v>
      </c>
      <c r="H224" s="19">
        <f>IF($F224="","",IFERROR(INDEX(Items!$C$5:$C$597,MATCH($F224,Items!$A$5:$A$597,0)),""))</f>
        <v>80</v>
      </c>
      <c r="I224" s="23">
        <f>IF($F224="","",IFERROR(INDEX(Items!$E$5:$E$597,MATCH($F224,Items!$A$5:$A$597,0)),""))</f>
        <v>80</v>
      </c>
      <c r="J224" s="115">
        <f>IF(tblIssues[[#This Row],[Qty Override]]&lt;&gt;"",tblIssues[[#This Row],[Qty Override]],IF(tblIssues[[#This Row],[Standard Issue]]="","",tblIssues[[#This Row],[Standard Issue]]))</f>
        <v>80</v>
      </c>
      <c r="K224" s="20">
        <f>IF($F224="","",IFERROR(INDEX(Items!$D$5:$D$597,MATCH($F224,Items!$A$5:$A$597,0)),""))</f>
        <v>0.1</v>
      </c>
      <c r="L224" s="21">
        <f t="shared" si="39"/>
        <v>8</v>
      </c>
      <c r="M224" s="9" t="str">
        <f t="shared" si="40"/>
        <v>LYSL500290</v>
      </c>
      <c r="N224" s="24">
        <f>IF($A224="","",WORKDAY($A224,Settings!$C$9,HolidayDates))</f>
        <v>46134</v>
      </c>
      <c r="O224" s="24">
        <f>IF($N224="","",WORKDAY($N224,Settings!$C$10,HolidayDates))</f>
        <v>46174</v>
      </c>
      <c r="P224" s="10" t="s">
        <v>501</v>
      </c>
      <c r="Q224" s="52" t="str">
        <f t="shared" si="42"/>
        <v>Collected</v>
      </c>
      <c r="R224" s="55" t="str">
        <f t="shared" si="43"/>
        <v>2026-04</v>
      </c>
      <c r="S224" s="55">
        <f>IF(OR($B224="",$F224="",$R224=""),"",SUMIFS(tblIssues[Qty Issued],tblIssues[Staff ID],$B224,tblIssues[Item Name],$F224,tblIssues[Month],$R224))</f>
        <v>80</v>
      </c>
      <c r="T224" s="56">
        <f>IF($I224="","",$I224*Settings!$C$11)</f>
        <v>80</v>
      </c>
      <c r="U224" s="57" t="str">
        <f t="shared" si="41"/>
        <v>OK</v>
      </c>
      <c r="V224" s="55" t="str">
        <f t="shared" si="44"/>
        <v/>
      </c>
      <c r="W224" s="55" t="str">
        <f>IF($V224="","",IF(COUNTIF($V$5:$V224,$V224)=1,1,""))</f>
        <v/>
      </c>
      <c r="X224" s="58" t="str">
        <f>IF($W224="","",MAX($X$4:X223)+1)</f>
        <v/>
      </c>
      <c r="Y224" s="62"/>
      <c r="Z224" s="62"/>
      <c r="AA224" s="64" t="str">
        <f>IF($C224="","",IFERROR(INDEX('Staff Directory'!$E$5:$E$594,MATCH($C224,'Staff Directory'!$B$5:$B$594,0)),""))</f>
        <v>firstname123.lastname123@example.com</v>
      </c>
      <c r="AB224" s="64" t="str">
        <f>IF($C224="","",IF(ISNUMBER(SEARCH($D224,Settings!$C$15)),"Pickup","Dispatch"))</f>
        <v>Pickup</v>
      </c>
      <c r="AC224" s="64" t="str">
        <f t="shared" si="45"/>
        <v>Supply order ready for pickup</v>
      </c>
      <c r="AD224" s="64" t="str">
        <f t="shared" si="36"/>
        <v>Dear PSW,
Your order is ready for pickup from Sample Branch, Wed-Fri 9am-4pm.</v>
      </c>
      <c r="AE224" s="64" t="str">
        <f t="shared" si="37"/>
        <v>mailto:firstname123.lastname123@example.com?subject=Supply%20order%20ready%20for%20pickup&amp;body=Dear%20PSW%2C%0A%0AYour%20order%20is%20ready%20for%20pickup%20from%20Sample%20Branch%2C%20Wed-Fri%209am-4pm.</v>
      </c>
      <c r="AF224" s="89" t="str">
        <f t="shared" si="46"/>
        <v>Draft email</v>
      </c>
      <c r="AG224" s="64" t="str">
        <f>IF($C224="","",IFERROR(INDEX('Staff Directory'!$K$595:$K$599,MATCH($C224,'Staff Directory'!$B$5:$B$599,0)),$D224))</f>
        <v>PSW</v>
      </c>
      <c r="AH224" t="str">
        <f>IF($C224="","",IFERROR(INDEX('Staff Directory'!$I$595:$I$599,MATCH($C224,'Staff Directory'!$B$5:$B$599,0))&amp;" "&amp;INDEX('Staff Directory'!$J$595:$J$599,MATCH($C224,'Staff Directory'!$B$5:$B$599,0)),$AG224))</f>
        <v>PSW</v>
      </c>
      <c r="AI224" s="102"/>
      <c r="AJ224" s="101">
        <f>IF($F224="","",SUMIFS($J$5:$J224,$F$5:$F224,$F224))</f>
        <v>3360</v>
      </c>
      <c r="AK224" s="101">
        <f t="shared" si="38"/>
        <v>3281</v>
      </c>
      <c r="AL224" s="66" t="str" cm="1">
        <f t="array" ref="AL224">IF($F224="","",IFERROR(INDEX('Lot Balance'!$B$5:$B$500,MATCH(1,INDEX(('Lot Balance'!$A$5:$A$500=$F224)*('Lot Balance'!$K$5:$K$500&lt;$AK224)*('Lot Balance'!$K$5:$K$500+'Lot Balance'!$D$5:$D$500&gt;=$AK224),0),0)),""))</f>
        <v>LYSL500290</v>
      </c>
      <c r="AM224" s="66" t="str" cm="1">
        <f t="array" ref="AM224">IF($F224="","",IFERROR(INDEX('Lot Balance'!$B$5:$B$500,MATCH(1,INDEX(('Lot Balance'!$A$5:$A$500=$F224)*('Lot Balance'!$K$5:$K$500&lt;$AJ224)*('Lot Balance'!$K$5:$K$500+'Lot Balance'!$D$5:$D$500&gt;=$AJ224),0),0)),""))</f>
        <v>LYSL500290</v>
      </c>
      <c r="AN224" s="66" t="str">
        <f>IF($F224="","",IF($AI224&lt;&gt;"",IF(COUNTIFS('Lot Balance'!$A$5:$A$500,$F224,'Lot Balance'!$B$5:$B$500,$AI224)=0,"⚠ override is not a lot of this item",IF($AI224=$AL224,"Override = FEFO","Override - FEFO says "&amp;$AL224)),IF($AL224="","⚠ no receipt on file for this item",IF($AM224&lt;&gt;$AL224,"FEFO auto - split, also "&amp;$AM224,"FEFO auto"))))</f>
        <v>FEFO auto</v>
      </c>
      <c r="AO224" s="114"/>
    </row>
    <row r="225" spans="1:41" x14ac:dyDescent="0.35">
      <c r="A225" s="74">
        <v>46126</v>
      </c>
      <c r="B225" s="18" t="str">
        <f>IF($C225="","",IFERROR(INDEX('Staff Directory'!$A$5:$A$594,MATCH($C225,'Staff Directory'!$B$5:$B$594,0)),"⚠ unknown staff"))</f>
        <v>PSW-063-A6</v>
      </c>
      <c r="C225" s="49" t="s">
        <v>1039</v>
      </c>
      <c r="D225" s="19" t="str">
        <f>IF($B225="","",IFERROR(INDEX('Staff Directory'!$C$5:$C$594,MATCH($B225,'Staff Directory'!$A$5:$A$594,0)),""))</f>
        <v>PSW</v>
      </c>
      <c r="E225" s="19" t="str">
        <f>IF($B225="","",IFERROR(INDEX('Staff Directory'!$D$5:$D$594,MATCH($B225,'Staff Directory'!$A$5:$A$594,0)),""))</f>
        <v>A6</v>
      </c>
      <c r="F225" s="9" t="s">
        <v>156</v>
      </c>
      <c r="G225" s="18" t="str">
        <f>IF($F225="","",IFERROR(INDEX(Items!$B$5:$B$597,MATCH($F225,Items!$A$5:$A$597,0)),"⚠ not in Items"))</f>
        <v>Masks</v>
      </c>
      <c r="H225" s="19" t="str">
        <f>IF($F225="","",IFERROR(INDEX(Items!$C$5:$C$597,MATCH($F225,Items!$A$5:$A$597,0)),""))</f>
        <v>One Size</v>
      </c>
      <c r="I225" s="23">
        <f>IF($F225="","",IFERROR(INDEX(Items!$E$5:$E$597,MATCH($F225,Items!$A$5:$A$597,0)),""))</f>
        <v>50</v>
      </c>
      <c r="J225" s="115">
        <f>IF(tblIssues[[#This Row],[Qty Override]]&lt;&gt;"",tblIssues[[#This Row],[Qty Override]],IF(tblIssues[[#This Row],[Standard Issue]]="","",tblIssues[[#This Row],[Standard Issue]]))</f>
        <v>50</v>
      </c>
      <c r="K225" s="20">
        <f>IF($F225="","",IFERROR(INDEX(Items!$D$5:$D$597,MATCH($F225,Items!$A$5:$A$597,0)),""))</f>
        <v>0.25</v>
      </c>
      <c r="L225" s="21">
        <f t="shared" si="39"/>
        <v>12.5</v>
      </c>
      <c r="M225" s="9" t="str">
        <f t="shared" si="40"/>
        <v>0125FPC24-0</v>
      </c>
      <c r="N225" s="24">
        <f>IF($A225="","",WORKDAY($A225,Settings!$C$9,HolidayDates))</f>
        <v>46134</v>
      </c>
      <c r="O225" s="24">
        <f>IF($N225="","",WORKDAY($N225,Settings!$C$10,HolidayDates))</f>
        <v>46174</v>
      </c>
      <c r="P225" s="10" t="s">
        <v>501</v>
      </c>
      <c r="Q225" s="52" t="str">
        <f t="shared" si="42"/>
        <v>Collected</v>
      </c>
      <c r="R225" s="55" t="str">
        <f t="shared" si="43"/>
        <v>2026-04</v>
      </c>
      <c r="S225" s="55">
        <f>IF(OR($B225="",$F225="",$R225=""),"",SUMIFS(tblIssues[Qty Issued],tblIssues[Staff ID],$B225,tblIssues[Item Name],$F225,tblIssues[Month],$R225))</f>
        <v>50</v>
      </c>
      <c r="T225" s="56">
        <f>IF($I225="","",$I225*Settings!$C$11)</f>
        <v>50</v>
      </c>
      <c r="U225" s="57" t="str">
        <f t="shared" si="41"/>
        <v>OK</v>
      </c>
      <c r="V225" s="55" t="str">
        <f t="shared" si="44"/>
        <v/>
      </c>
      <c r="W225" s="55" t="str">
        <f>IF($V225="","",IF(COUNTIF($V$5:$V225,$V225)=1,1,""))</f>
        <v/>
      </c>
      <c r="X225" s="58" t="str">
        <f>IF($W225="","",MAX($X$4:X224)+1)</f>
        <v/>
      </c>
      <c r="Y225" s="62"/>
      <c r="Z225" s="62"/>
      <c r="AA225" s="64" t="str">
        <f>IF($C225="","",IFERROR(INDEX('Staff Directory'!$E$5:$E$594,MATCH($C225,'Staff Directory'!$B$5:$B$594,0)),""))</f>
        <v>firstname123.lastname123@example.com</v>
      </c>
      <c r="AB225" s="64" t="str">
        <f>IF($C225="","",IF(ISNUMBER(SEARCH($D225,Settings!$C$15)),"Pickup","Dispatch"))</f>
        <v>Pickup</v>
      </c>
      <c r="AC225" s="64" t="str">
        <f t="shared" si="45"/>
        <v>Supply order ready for pickup</v>
      </c>
      <c r="AD225" s="64" t="str">
        <f t="shared" si="36"/>
        <v>Dear PSW,
Your order is ready for pickup from Sample Branch, Wed-Fri 9am-4pm.</v>
      </c>
      <c r="AE225" s="64" t="str">
        <f t="shared" si="37"/>
        <v>mailto:firstname123.lastname123@example.com?subject=Supply%20order%20ready%20for%20pickup&amp;body=Dear%20PSW%2C%0A%0AYour%20order%20is%20ready%20for%20pickup%20from%20Sample%20Branch%2C%20Wed-Fri%209am-4pm.</v>
      </c>
      <c r="AF225" s="89" t="str">
        <f t="shared" si="46"/>
        <v>Draft email</v>
      </c>
      <c r="AG225" s="64" t="str">
        <f>IF($C225="","",IFERROR(INDEX('Staff Directory'!$K$595:$K$599,MATCH($C225,'Staff Directory'!$B$5:$B$599,0)),$D225))</f>
        <v>PSW</v>
      </c>
      <c r="AH225" t="str">
        <f>IF($C225="","",IFERROR(INDEX('Staff Directory'!$I$595:$I$599,MATCH($C225,'Staff Directory'!$B$5:$B$599,0))&amp;" "&amp;INDEX('Staff Directory'!$J$595:$J$599,MATCH($C225,'Staff Directory'!$B$5:$B$599,0)),$AG225))</f>
        <v>PSW</v>
      </c>
      <c r="AI225" s="102"/>
      <c r="AJ225" s="101">
        <f>IF($F225="","",SUMIFS($J$5:$J225,$F$5:$F225,$F225))</f>
        <v>1700</v>
      </c>
      <c r="AK225" s="101">
        <f t="shared" si="38"/>
        <v>1651</v>
      </c>
      <c r="AL225" s="66" t="str" cm="1">
        <f t="array" ref="AL225">IF($F225="","",IFERROR(INDEX('Lot Balance'!$B$5:$B$500,MATCH(1,INDEX(('Lot Balance'!$A$5:$A$500=$F225)*('Lot Balance'!$K$5:$K$500&lt;$AK225)*('Lot Balance'!$K$5:$K$500+'Lot Balance'!$D$5:$D$500&gt;=$AK225),0),0)),""))</f>
        <v>0125FPC24-0</v>
      </c>
      <c r="AM225" s="66" t="str" cm="1">
        <f t="array" ref="AM225">IF($F225="","",IFERROR(INDEX('Lot Balance'!$B$5:$B$500,MATCH(1,INDEX(('Lot Balance'!$A$5:$A$500=$F225)*('Lot Balance'!$K$5:$K$500&lt;$AJ225)*('Lot Balance'!$K$5:$K$500+'Lot Balance'!$D$5:$D$500&gt;=$AJ225),0),0)),""))</f>
        <v>0125FPC24-0</v>
      </c>
      <c r="AN225" s="66" t="str">
        <f>IF($F225="","",IF($AI225&lt;&gt;"",IF(COUNTIFS('Lot Balance'!$A$5:$A$500,$F225,'Lot Balance'!$B$5:$B$500,$AI225)=0,"⚠ override is not a lot of this item",IF($AI225=$AL225,"Override = FEFO","Override - FEFO says "&amp;$AL225)),IF($AL225="","⚠ no receipt on file for this item",IF($AM225&lt;&gt;$AL225,"FEFO auto - split, also "&amp;$AM225,"FEFO auto"))))</f>
        <v>FEFO auto</v>
      </c>
      <c r="AO225" s="114"/>
    </row>
    <row r="226" spans="1:41" x14ac:dyDescent="0.35">
      <c r="A226" s="74">
        <v>46126</v>
      </c>
      <c r="B226" s="18" t="str">
        <f>IF($C226="","",IFERROR(INDEX('Staff Directory'!$A$5:$A$594,MATCH($C226,'Staff Directory'!$B$5:$B$594,0)),"⚠ unknown staff"))</f>
        <v>PSW-063-A6</v>
      </c>
      <c r="C226" s="49" t="s">
        <v>1039</v>
      </c>
      <c r="D226" s="19" t="str">
        <f>IF($B226="","",IFERROR(INDEX('Staff Directory'!$C$5:$C$594,MATCH($B226,'Staff Directory'!$A$5:$A$594,0)),""))</f>
        <v>PSW</v>
      </c>
      <c r="E226" s="19" t="str">
        <f>IF($B226="","",IFERROR(INDEX('Staff Directory'!$D$5:$D$594,MATCH($B226,'Staff Directory'!$A$5:$A$594,0)),""))</f>
        <v>A6</v>
      </c>
      <c r="F226" s="9" t="s">
        <v>755</v>
      </c>
      <c r="G226" s="18" t="str">
        <f>IF($F226="","",IFERROR(INDEX(Items!$B$5:$B$597,MATCH($F226,Items!$A$5:$A$597,0)),"⚠ not in Items"))</f>
        <v>Documents</v>
      </c>
      <c r="H226" s="19" t="str">
        <f>IF($F226="","",IFERROR(INDEX(Items!$C$5:$C$597,MATCH($F226,Items!$A$5:$A$597,0)),""))</f>
        <v>Standard</v>
      </c>
      <c r="I226" s="23">
        <f>IF($F226="","",IFERROR(INDEX(Items!$E$5:$E$597,MATCH($F226,Items!$A$5:$A$597,0)),""))</f>
        <v>2</v>
      </c>
      <c r="J226" s="115">
        <f>IF(tblIssues[[#This Row],[Qty Override]]&lt;&gt;"",tblIssues[[#This Row],[Qty Override]],IF(tblIssues[[#This Row],[Standard Issue]]="","",tblIssues[[#This Row],[Standard Issue]]))</f>
        <v>2</v>
      </c>
      <c r="K226" s="20">
        <f>IF($F226="","",IFERROR(INDEX(Items!$D$5:$D$597,MATCH($F226,Items!$A$5:$A$597,0)),""))</f>
        <v>0</v>
      </c>
      <c r="L226" s="21">
        <f t="shared" si="39"/>
        <v>0</v>
      </c>
      <c r="M226" s="9" t="str">
        <f t="shared" si="40"/>
        <v/>
      </c>
      <c r="N226" s="24">
        <f>IF($A226="","",WORKDAY($A226,Settings!$C$9,HolidayDates))</f>
        <v>46134</v>
      </c>
      <c r="O226" s="24">
        <f>IF($N226="","",WORKDAY($N226,Settings!$C$10,HolidayDates))</f>
        <v>46174</v>
      </c>
      <c r="P226" s="10" t="s">
        <v>501</v>
      </c>
      <c r="Q226" s="52" t="str">
        <f t="shared" si="42"/>
        <v>Collected</v>
      </c>
      <c r="R226" s="55" t="str">
        <f t="shared" si="43"/>
        <v>2026-04</v>
      </c>
      <c r="S226" s="55">
        <f>IF(OR($B226="",$F226="",$R226=""),"",SUMIFS(tblIssues[Qty Issued],tblIssues[Staff ID],$B226,tblIssues[Item Name],$F226,tblIssues[Month],$R226))</f>
        <v>2</v>
      </c>
      <c r="T226" s="56">
        <f>IF($I226="","",$I226*Settings!$C$11)</f>
        <v>2</v>
      </c>
      <c r="U226" s="57" t="str">
        <f t="shared" si="41"/>
        <v>OK</v>
      </c>
      <c r="V226" s="55" t="str">
        <f t="shared" si="44"/>
        <v/>
      </c>
      <c r="W226" s="55" t="str">
        <f>IF($V226="","",IF(COUNTIF($V$5:$V226,$V226)=1,1,""))</f>
        <v/>
      </c>
      <c r="X226" s="58" t="str">
        <f>IF($W226="","",MAX($X$4:X225)+1)</f>
        <v/>
      </c>
      <c r="Y226" s="62"/>
      <c r="Z226" s="62"/>
      <c r="AA226" s="64" t="str">
        <f>IF($C226="","",IFERROR(INDEX('Staff Directory'!$E$5:$E$594,MATCH($C226,'Staff Directory'!$B$5:$B$594,0)),""))</f>
        <v>firstname123.lastname123@example.com</v>
      </c>
      <c r="AB226" s="64" t="str">
        <f>IF($C226="","",IF(ISNUMBER(SEARCH($D226,Settings!$C$15)),"Pickup","Dispatch"))</f>
        <v>Pickup</v>
      </c>
      <c r="AC226" s="64" t="str">
        <f t="shared" si="45"/>
        <v>Supply order ready for pickup</v>
      </c>
      <c r="AD226" s="64" t="str">
        <f t="shared" si="36"/>
        <v>Dear PSW,
Your order is ready for pickup from Sample Branch, Wed-Fri 9am-4pm.</v>
      </c>
      <c r="AE226" s="64" t="str">
        <f t="shared" si="37"/>
        <v>mailto:firstname123.lastname123@example.com?subject=Supply%20order%20ready%20for%20pickup&amp;body=Dear%20PSW%2C%0A%0AYour%20order%20is%20ready%20for%20pickup%20from%20Sample%20Branch%2C%20Wed-Fri%209am-4pm.</v>
      </c>
      <c r="AF226" s="89" t="str">
        <f t="shared" si="46"/>
        <v>Draft email</v>
      </c>
      <c r="AG226" s="64" t="str">
        <f>IF($C226="","",IFERROR(INDEX('Staff Directory'!$K$595:$K$599,MATCH($C226,'Staff Directory'!$B$5:$B$599,0)),$D226))</f>
        <v>PSW</v>
      </c>
      <c r="AH226" t="str">
        <f>IF($C226="","",IFERROR(INDEX('Staff Directory'!$I$595:$I$599,MATCH($C226,'Staff Directory'!$B$5:$B$599,0))&amp;" "&amp;INDEX('Staff Directory'!$J$595:$J$599,MATCH($C226,'Staff Directory'!$B$5:$B$599,0)),$AG226))</f>
        <v>PSW</v>
      </c>
      <c r="AI226" s="102"/>
      <c r="AJ226" s="101">
        <f>IF($F226="","",SUMIFS($J$5:$J226,$F$5:$F226,$F226))</f>
        <v>52</v>
      </c>
      <c r="AK226" s="101">
        <f t="shared" si="38"/>
        <v>51</v>
      </c>
      <c r="AL226" s="66" t="str" cm="1">
        <f t="array" ref="AL226">IF($F226="","",IFERROR(INDEX('Lot Balance'!$B$5:$B$500,MATCH(1,INDEX(('Lot Balance'!$A$5:$A$500=$F226)*('Lot Balance'!$K$5:$K$500&lt;$AK226)*('Lot Balance'!$K$5:$K$500+'Lot Balance'!$D$5:$D$500&gt;=$AK226),0),0)),""))</f>
        <v/>
      </c>
      <c r="AM226" s="66" t="str" cm="1">
        <f t="array" ref="AM226">IF($F226="","",IFERROR(INDEX('Lot Balance'!$B$5:$B$500,MATCH(1,INDEX(('Lot Balance'!$A$5:$A$500=$F226)*('Lot Balance'!$K$5:$K$500&lt;$AJ226)*('Lot Balance'!$K$5:$K$500+'Lot Balance'!$D$5:$D$500&gt;=$AJ226),0),0)),""))</f>
        <v/>
      </c>
      <c r="AN226" s="66" t="str">
        <f>IF($F226="","",IF($AI226&lt;&gt;"",IF(COUNTIFS('Lot Balance'!$A$5:$A$500,$F226,'Lot Balance'!$B$5:$B$500,$AI226)=0,"⚠ override is not a lot of this item",IF($AI226=$AL226,"Override = FEFO","Override - FEFO says "&amp;$AL226)),IF($AL226="","⚠ no receipt on file for this item",IF($AM226&lt;&gt;$AL226,"FEFO auto - split, also "&amp;$AM226,"FEFO auto"))))</f>
        <v>⚠ no receipt on file for this item</v>
      </c>
      <c r="AO226" s="114"/>
    </row>
    <row r="227" spans="1:41" x14ac:dyDescent="0.35">
      <c r="A227" s="74">
        <v>46126</v>
      </c>
      <c r="B227" s="18" t="str">
        <f>IF($C227="","",IFERROR(INDEX('Staff Directory'!$A$5:$A$594,MATCH($C227,'Staff Directory'!$B$5:$B$594,0)),"⚠ unknown staff"))</f>
        <v>PSW-087-A4</v>
      </c>
      <c r="C227" s="49" t="s">
        <v>1063</v>
      </c>
      <c r="D227" s="19" t="str">
        <f>IF($B227="","",IFERROR(INDEX('Staff Directory'!$C$5:$C$594,MATCH($B227,'Staff Directory'!$A$5:$A$594,0)),""))</f>
        <v>PSW</v>
      </c>
      <c r="E227" s="19" t="str">
        <f>IF($B227="","",IFERROR(INDEX('Staff Directory'!$D$5:$D$594,MATCH($B227,'Staff Directory'!$A$5:$A$594,0)),""))</f>
        <v>A4</v>
      </c>
      <c r="F227" s="9" t="s">
        <v>129</v>
      </c>
      <c r="G227" s="18" t="str">
        <f>IF($F227="","",IFERROR(INDEX(Items!$B$5:$B$597,MATCH($F227,Items!$A$5:$A$597,0)),"⚠ not in Items"))</f>
        <v>Gloves</v>
      </c>
      <c r="H227" s="19" t="str">
        <f>IF($F227="","",IFERROR(INDEX(Items!$C$5:$C$597,MATCH($F227,Items!$A$5:$A$597,0)),""))</f>
        <v>Small</v>
      </c>
      <c r="I227" s="23">
        <f>IF($F227="","",IFERROR(INDEX(Items!$E$5:$E$597,MATCH($F227,Items!$A$5:$A$597,0)),""))</f>
        <v>500</v>
      </c>
      <c r="J227" s="115">
        <f>IF(tblIssues[[#This Row],[Qty Override]]&lt;&gt;"",tblIssues[[#This Row],[Qty Override]],IF(tblIssues[[#This Row],[Standard Issue]]="","",tblIssues[[#This Row],[Standard Issue]]))</f>
        <v>500</v>
      </c>
      <c r="K227" s="20">
        <f>IF($F227="","",IFERROR(INDEX(Items!$D$5:$D$597,MATCH($F227,Items!$A$5:$A$597,0)),""))</f>
        <v>5.5E-2</v>
      </c>
      <c r="L227" s="21">
        <f t="shared" si="39"/>
        <v>27.5</v>
      </c>
      <c r="M227" s="9" t="str">
        <f t="shared" si="40"/>
        <v>ZIM503122461</v>
      </c>
      <c r="N227" s="24">
        <f>IF($A227="","",WORKDAY($A227,Settings!$C$9,HolidayDates))</f>
        <v>46134</v>
      </c>
      <c r="O227" s="24">
        <f>IF($N227="","",WORKDAY($N227,Settings!$C$10,HolidayDates))</f>
        <v>46174</v>
      </c>
      <c r="P227" s="10" t="s">
        <v>501</v>
      </c>
      <c r="Q227" s="52" t="str">
        <f t="shared" si="42"/>
        <v>Collected</v>
      </c>
      <c r="R227" s="55" t="str">
        <f t="shared" si="43"/>
        <v>2026-04</v>
      </c>
      <c r="S227" s="55">
        <f>IF(OR($B227="",$F227="",$R227=""),"",SUMIFS(tblIssues[Qty Issued],tblIssues[Staff ID],$B227,tblIssues[Item Name],$F227,tblIssues[Month],$R227))</f>
        <v>500</v>
      </c>
      <c r="T227" s="56">
        <f>IF($I227="","",$I227*Settings!$C$11)</f>
        <v>500</v>
      </c>
      <c r="U227" s="57" t="str">
        <f t="shared" si="41"/>
        <v>OK</v>
      </c>
      <c r="V227" s="55" t="str">
        <f t="shared" si="44"/>
        <v/>
      </c>
      <c r="W227" s="55" t="str">
        <f>IF($V227="","",IF(COUNTIF($V$5:$V227,$V227)=1,1,""))</f>
        <v/>
      </c>
      <c r="X227" s="58" t="str">
        <f>IF($W227="","",MAX($X$4:X226)+1)</f>
        <v/>
      </c>
      <c r="Y227" s="62"/>
      <c r="Z227" s="62"/>
      <c r="AA227" s="64" t="str">
        <f>IF($C227="","",IFERROR(INDEX('Staff Directory'!$E$5:$E$594,MATCH($C227,'Staff Directory'!$B$5:$B$594,0)),""))</f>
        <v>firstname147.lastname147@example.com</v>
      </c>
      <c r="AB227" s="64" t="str">
        <f>IF($C227="","",IF(ISNUMBER(SEARCH($D227,Settings!$C$15)),"Pickup","Dispatch"))</f>
        <v>Pickup</v>
      </c>
      <c r="AC227" s="64" t="str">
        <f t="shared" si="45"/>
        <v>Supply order ready for pickup</v>
      </c>
      <c r="AD227" s="64" t="str">
        <f t="shared" si="36"/>
        <v>Dear PSW,
Your order is ready for pickup from Sample Branch, Wed-Fri 9am-4pm.</v>
      </c>
      <c r="AE227" s="64" t="str">
        <f t="shared" si="37"/>
        <v>mailto:firstname147.lastname147@example.com?subject=Supply%20order%20ready%20for%20pickup&amp;body=Dear%20PSW%2C%0A%0AYour%20order%20is%20ready%20for%20pickup%20from%20Sample%20Branch%2C%20Wed-Fri%209am-4pm.</v>
      </c>
      <c r="AF227" s="89" t="str">
        <f t="shared" si="46"/>
        <v>Draft email</v>
      </c>
      <c r="AG227" s="64" t="str">
        <f>IF($C227="","",IFERROR(INDEX('Staff Directory'!$K$595:$K$599,MATCH($C227,'Staff Directory'!$B$5:$B$599,0)),$D227))</f>
        <v>PSW</v>
      </c>
      <c r="AH227" t="str">
        <f>IF($C227="","",IFERROR(INDEX('Staff Directory'!$I$595:$I$599,MATCH($C227,'Staff Directory'!$B$5:$B$599,0))&amp;" "&amp;INDEX('Staff Directory'!$J$595:$J$599,MATCH($C227,'Staff Directory'!$B$5:$B$599,0)),$AG227))</f>
        <v>PSW</v>
      </c>
      <c r="AI227" s="102"/>
      <c r="AJ227" s="101">
        <f>IF($F227="","",SUMIFS($J$5:$J227,$F$5:$F227,$F227))</f>
        <v>10000</v>
      </c>
      <c r="AK227" s="101">
        <f t="shared" si="38"/>
        <v>9501</v>
      </c>
      <c r="AL227" s="66" t="str" cm="1">
        <f t="array" ref="AL227">IF($F227="","",IFERROR(INDEX('Lot Balance'!$B$5:$B$500,MATCH(1,INDEX(('Lot Balance'!$A$5:$A$500=$F227)*('Lot Balance'!$K$5:$K$500&lt;$AK227)*('Lot Balance'!$K$5:$K$500+'Lot Balance'!$D$5:$D$500&gt;=$AK227),0),0)),""))</f>
        <v>ZIM503122461</v>
      </c>
      <c r="AM227" s="66" t="str" cm="1">
        <f t="array" ref="AM227">IF($F227="","",IFERROR(INDEX('Lot Balance'!$B$5:$B$500,MATCH(1,INDEX(('Lot Balance'!$A$5:$A$500=$F227)*('Lot Balance'!$K$5:$K$500&lt;$AJ227)*('Lot Balance'!$K$5:$K$500+'Lot Balance'!$D$5:$D$500&gt;=$AJ227),0),0)),""))</f>
        <v>ZIM504124207-5</v>
      </c>
      <c r="AN227" s="66" t="str">
        <f>IF($F227="","",IF($AI227&lt;&gt;"",IF(COUNTIFS('Lot Balance'!$A$5:$A$500,$F227,'Lot Balance'!$B$5:$B$500,$AI227)=0,"⚠ override is not a lot of this item",IF($AI227=$AL227,"Override = FEFO","Override - FEFO says "&amp;$AL227)),IF($AL227="","⚠ no receipt on file for this item",IF($AM227&lt;&gt;$AL227,"FEFO auto - split, also "&amp;$AM227,"FEFO auto"))))</f>
        <v>FEFO auto - split, also ZIM504124207-5</v>
      </c>
      <c r="AO227" s="114"/>
    </row>
    <row r="228" spans="1:41" x14ac:dyDescent="0.35">
      <c r="A228" s="74">
        <v>46126</v>
      </c>
      <c r="B228" s="18" t="str">
        <f>IF($C228="","",IFERROR(INDEX('Staff Directory'!$A$5:$A$594,MATCH($C228,'Staff Directory'!$B$5:$B$594,0)),"⚠ unknown staff"))</f>
        <v>PSW-087-A4</v>
      </c>
      <c r="C228" s="49" t="s">
        <v>1063</v>
      </c>
      <c r="D228" s="19" t="str">
        <f>IF($B228="","",IFERROR(INDEX('Staff Directory'!$C$5:$C$594,MATCH($B228,'Staff Directory'!$A$5:$A$594,0)),""))</f>
        <v>PSW</v>
      </c>
      <c r="E228" s="19" t="str">
        <f>IF($B228="","",IFERROR(INDEX('Staff Directory'!$D$5:$D$594,MATCH($B228,'Staff Directory'!$A$5:$A$594,0)),""))</f>
        <v>A4</v>
      </c>
      <c r="F228" s="9" t="s">
        <v>191</v>
      </c>
      <c r="G228" s="18" t="str">
        <f>IF($F228="","",IFERROR(INDEX(Items!$B$5:$B$597,MATCH($F228,Items!$A$5:$A$597,0)),"⚠ not in Items"))</f>
        <v>Sanitizer</v>
      </c>
      <c r="H228" s="19" t="str">
        <f>IF($F228="","",IFERROR(INDEX(Items!$C$5:$C$597,MATCH($F228,Items!$A$5:$A$597,0)),""))</f>
        <v>236 ML</v>
      </c>
      <c r="I228" s="23">
        <f>IF($F228="","",IFERROR(INDEX(Items!$E$5:$E$597,MATCH($F228,Items!$A$5:$A$597,0)),""))</f>
        <v>1</v>
      </c>
      <c r="J228" s="115">
        <f>IF(tblIssues[[#This Row],[Qty Override]]&lt;&gt;"",tblIssues[[#This Row],[Qty Override]],IF(tblIssues[[#This Row],[Standard Issue]]="","",tblIssues[[#This Row],[Standard Issue]]))</f>
        <v>1</v>
      </c>
      <c r="K228" s="20">
        <f>IF($F228="","",IFERROR(INDEX(Items!$D$5:$D$597,MATCH($F228,Items!$A$5:$A$597,0)),""))</f>
        <v>1E-4</v>
      </c>
      <c r="L228" s="21">
        <f t="shared" si="39"/>
        <v>1E-4</v>
      </c>
      <c r="M228" s="9" t="str">
        <f t="shared" si="40"/>
        <v>20-21734-1</v>
      </c>
      <c r="N228" s="24">
        <f>IF($A228="","",WORKDAY($A228,Settings!$C$9,HolidayDates))</f>
        <v>46134</v>
      </c>
      <c r="O228" s="24">
        <f>IF($N228="","",WORKDAY($N228,Settings!$C$10,HolidayDates))</f>
        <v>46174</v>
      </c>
      <c r="P228" s="10" t="s">
        <v>501</v>
      </c>
      <c r="Q228" s="52" t="str">
        <f t="shared" si="42"/>
        <v>Collected</v>
      </c>
      <c r="R228" s="55" t="str">
        <f t="shared" si="43"/>
        <v>2026-04</v>
      </c>
      <c r="S228" s="55">
        <f>IF(OR($B228="",$F228="",$R228=""),"",SUMIFS(tblIssues[Qty Issued],tblIssues[Staff ID],$B228,tblIssues[Item Name],$F228,tblIssues[Month],$R228))</f>
        <v>1</v>
      </c>
      <c r="T228" s="56">
        <f>IF($I228="","",$I228*Settings!$C$11)</f>
        <v>1</v>
      </c>
      <c r="U228" s="57" t="str">
        <f t="shared" si="41"/>
        <v>OK</v>
      </c>
      <c r="V228" s="55" t="str">
        <f t="shared" si="44"/>
        <v/>
      </c>
      <c r="W228" s="55" t="str">
        <f>IF($V228="","",IF(COUNTIF($V$5:$V228,$V228)=1,1,""))</f>
        <v/>
      </c>
      <c r="X228" s="58" t="str">
        <f>IF($W228="","",MAX($X$4:X227)+1)</f>
        <v/>
      </c>
      <c r="Y228" s="62"/>
      <c r="Z228" s="62"/>
      <c r="AA228" s="64" t="str">
        <f>IF($C228="","",IFERROR(INDEX('Staff Directory'!$E$5:$E$594,MATCH($C228,'Staff Directory'!$B$5:$B$594,0)),""))</f>
        <v>firstname147.lastname147@example.com</v>
      </c>
      <c r="AB228" s="64" t="str">
        <f>IF($C228="","",IF(ISNUMBER(SEARCH($D228,Settings!$C$15)),"Pickup","Dispatch"))</f>
        <v>Pickup</v>
      </c>
      <c r="AC228" s="64" t="str">
        <f t="shared" si="45"/>
        <v>Supply order ready for pickup</v>
      </c>
      <c r="AD228" s="64" t="str">
        <f t="shared" si="36"/>
        <v>Dear PSW,
Your order is ready for pickup from Sample Branch, Wed-Fri 9am-4pm.</v>
      </c>
      <c r="AE228" s="64" t="str">
        <f t="shared" si="37"/>
        <v>mailto:firstname147.lastname147@example.com?subject=Supply%20order%20ready%20for%20pickup&amp;body=Dear%20PSW%2C%0A%0AYour%20order%20is%20ready%20for%20pickup%20from%20Sample%20Branch%2C%20Wed-Fri%209am-4pm.</v>
      </c>
      <c r="AF228" s="89" t="str">
        <f t="shared" si="46"/>
        <v>Draft email</v>
      </c>
      <c r="AG228" s="64" t="str">
        <f>IF($C228="","",IFERROR(INDEX('Staff Directory'!$K$595:$K$599,MATCH($C228,'Staff Directory'!$B$5:$B$599,0)),$D228))</f>
        <v>PSW</v>
      </c>
      <c r="AH228" t="str">
        <f>IF($C228="","",IFERROR(INDEX('Staff Directory'!$I$595:$I$599,MATCH($C228,'Staff Directory'!$B$5:$B$599,0))&amp;" "&amp;INDEX('Staff Directory'!$J$595:$J$599,MATCH($C228,'Staff Directory'!$B$5:$B$599,0)),$AG228))</f>
        <v>PSW</v>
      </c>
      <c r="AI228" s="102"/>
      <c r="AJ228" s="101">
        <f>IF($F228="","",SUMIFS($J$5:$J228,$F$5:$F228,$F228))</f>
        <v>1</v>
      </c>
      <c r="AK228" s="101">
        <f t="shared" si="38"/>
        <v>1</v>
      </c>
      <c r="AL228" s="66" t="str" cm="1">
        <f t="array" ref="AL228">IF($F228="","",IFERROR(INDEX('Lot Balance'!$B$5:$B$500,MATCH(1,INDEX(('Lot Balance'!$A$5:$A$500=$F228)*('Lot Balance'!$K$5:$K$500&lt;$AK228)*('Lot Balance'!$K$5:$K$500+'Lot Balance'!$D$5:$D$500&gt;=$AK228),0),0)),""))</f>
        <v>20-21734-1</v>
      </c>
      <c r="AM228" s="66" t="str" cm="1">
        <f t="array" ref="AM228">IF($F228="","",IFERROR(INDEX('Lot Balance'!$B$5:$B$500,MATCH(1,INDEX(('Lot Balance'!$A$5:$A$500=$F228)*('Lot Balance'!$K$5:$K$500&lt;$AJ228)*('Lot Balance'!$K$5:$K$500+'Lot Balance'!$D$5:$D$500&gt;=$AJ228),0),0)),""))</f>
        <v>20-21734-1</v>
      </c>
      <c r="AN228" s="66" t="str">
        <f>IF($F228="","",IF($AI228&lt;&gt;"",IF(COUNTIFS('Lot Balance'!$A$5:$A$500,$F228,'Lot Balance'!$B$5:$B$500,$AI228)=0,"⚠ override is not a lot of this item",IF($AI228=$AL228,"Override = FEFO","Override - FEFO says "&amp;$AL228)),IF($AL228="","⚠ no receipt on file for this item",IF($AM228&lt;&gt;$AL228,"FEFO auto - split, also "&amp;$AM228,"FEFO auto"))))</f>
        <v>FEFO auto</v>
      </c>
      <c r="AO228" s="114"/>
    </row>
    <row r="229" spans="1:41" x14ac:dyDescent="0.35">
      <c r="A229" s="74">
        <v>46126</v>
      </c>
      <c r="B229" s="18" t="str">
        <f>IF($C229="","",IFERROR(INDEX('Staff Directory'!$A$5:$A$594,MATCH($C229,'Staff Directory'!$B$5:$B$594,0)),"⚠ unknown staff"))</f>
        <v>PSW-087-A4</v>
      </c>
      <c r="C229" s="49" t="s">
        <v>1063</v>
      </c>
      <c r="D229" s="19" t="str">
        <f>IF($B229="","",IFERROR(INDEX('Staff Directory'!$C$5:$C$594,MATCH($B229,'Staff Directory'!$A$5:$A$594,0)),""))</f>
        <v>PSW</v>
      </c>
      <c r="E229" s="19" t="str">
        <f>IF($B229="","",IFERROR(INDEX('Staff Directory'!$D$5:$D$594,MATCH($B229,'Staff Directory'!$A$5:$A$594,0)),""))</f>
        <v>A4</v>
      </c>
      <c r="F229" s="9" t="s">
        <v>115</v>
      </c>
      <c r="G229" s="18" t="str">
        <f>IF($F229="","",IFERROR(INDEX(Items!$B$5:$B$597,MATCH($F229,Items!$A$5:$A$597,0)),"⚠ not in Items"))</f>
        <v>Wipes</v>
      </c>
      <c r="H229" s="19">
        <f>IF($F229="","",IFERROR(INDEX(Items!$C$5:$C$597,MATCH($F229,Items!$A$5:$A$597,0)),""))</f>
        <v>80</v>
      </c>
      <c r="I229" s="23">
        <f>IF($F229="","",IFERROR(INDEX(Items!$E$5:$E$597,MATCH($F229,Items!$A$5:$A$597,0)),""))</f>
        <v>80</v>
      </c>
      <c r="J229" s="115">
        <f>IF(tblIssues[[#This Row],[Qty Override]]&lt;&gt;"",tblIssues[[#This Row],[Qty Override]],IF(tblIssues[[#This Row],[Standard Issue]]="","",tblIssues[[#This Row],[Standard Issue]]))</f>
        <v>80</v>
      </c>
      <c r="K229" s="20">
        <f>IF($F229="","",IFERROR(INDEX(Items!$D$5:$D$597,MATCH($F229,Items!$A$5:$A$597,0)),""))</f>
        <v>0.1</v>
      </c>
      <c r="L229" s="21">
        <f t="shared" si="39"/>
        <v>8</v>
      </c>
      <c r="M229" s="9" t="str">
        <f t="shared" si="40"/>
        <v>LYSL500290</v>
      </c>
      <c r="N229" s="24">
        <f>IF($A229="","",WORKDAY($A229,Settings!$C$9,HolidayDates))</f>
        <v>46134</v>
      </c>
      <c r="O229" s="24">
        <f>IF($N229="","",WORKDAY($N229,Settings!$C$10,HolidayDates))</f>
        <v>46174</v>
      </c>
      <c r="P229" s="10" t="s">
        <v>501</v>
      </c>
      <c r="Q229" s="52" t="str">
        <f t="shared" si="42"/>
        <v>Collected</v>
      </c>
      <c r="R229" s="55" t="str">
        <f t="shared" si="43"/>
        <v>2026-04</v>
      </c>
      <c r="S229" s="55">
        <f>IF(OR($B229="",$F229="",$R229=""),"",SUMIFS(tblIssues[Qty Issued],tblIssues[Staff ID],$B229,tblIssues[Item Name],$F229,tblIssues[Month],$R229))</f>
        <v>80</v>
      </c>
      <c r="T229" s="56">
        <f>IF($I229="","",$I229*Settings!$C$11)</f>
        <v>80</v>
      </c>
      <c r="U229" s="57" t="str">
        <f t="shared" si="41"/>
        <v>OK</v>
      </c>
      <c r="V229" s="55" t="str">
        <f t="shared" si="44"/>
        <v/>
      </c>
      <c r="W229" s="55" t="str">
        <f>IF($V229="","",IF(COUNTIF($V$5:$V229,$V229)=1,1,""))</f>
        <v/>
      </c>
      <c r="X229" s="58" t="str">
        <f>IF($W229="","",MAX($X$4:X228)+1)</f>
        <v/>
      </c>
      <c r="Y229" s="62"/>
      <c r="Z229" s="62"/>
      <c r="AA229" s="64" t="str">
        <f>IF($C229="","",IFERROR(INDEX('Staff Directory'!$E$5:$E$594,MATCH($C229,'Staff Directory'!$B$5:$B$594,0)),""))</f>
        <v>firstname147.lastname147@example.com</v>
      </c>
      <c r="AB229" s="64" t="str">
        <f>IF($C229="","",IF(ISNUMBER(SEARCH($D229,Settings!$C$15)),"Pickup","Dispatch"))</f>
        <v>Pickup</v>
      </c>
      <c r="AC229" s="64" t="str">
        <f t="shared" si="45"/>
        <v>Supply order ready for pickup</v>
      </c>
      <c r="AD229" s="64" t="str">
        <f t="shared" si="36"/>
        <v>Dear PSW,
Your order is ready for pickup from Sample Branch, Wed-Fri 9am-4pm.</v>
      </c>
      <c r="AE229" s="64" t="str">
        <f t="shared" si="37"/>
        <v>mailto:firstname147.lastname147@example.com?subject=Supply%20order%20ready%20for%20pickup&amp;body=Dear%20PSW%2C%0A%0AYour%20order%20is%20ready%20for%20pickup%20from%20Sample%20Branch%2C%20Wed-Fri%209am-4pm.</v>
      </c>
      <c r="AF229" s="89" t="str">
        <f t="shared" si="46"/>
        <v>Draft email</v>
      </c>
      <c r="AG229" s="64" t="str">
        <f>IF($C229="","",IFERROR(INDEX('Staff Directory'!$K$595:$K$599,MATCH($C229,'Staff Directory'!$B$5:$B$599,0)),$D229))</f>
        <v>PSW</v>
      </c>
      <c r="AH229" t="str">
        <f>IF($C229="","",IFERROR(INDEX('Staff Directory'!$I$595:$I$599,MATCH($C229,'Staff Directory'!$B$5:$B$599,0))&amp;" "&amp;INDEX('Staff Directory'!$J$595:$J$599,MATCH($C229,'Staff Directory'!$B$5:$B$599,0)),$AG229))</f>
        <v>PSW</v>
      </c>
      <c r="AI229" s="102"/>
      <c r="AJ229" s="101">
        <f>IF($F229="","",SUMIFS($J$5:$J229,$F$5:$F229,$F229))</f>
        <v>3440</v>
      </c>
      <c r="AK229" s="101">
        <f t="shared" si="38"/>
        <v>3361</v>
      </c>
      <c r="AL229" s="66" t="str" cm="1">
        <f t="array" ref="AL229">IF($F229="","",IFERROR(INDEX('Lot Balance'!$B$5:$B$500,MATCH(1,INDEX(('Lot Balance'!$A$5:$A$500=$F229)*('Lot Balance'!$K$5:$K$500&lt;$AK229)*('Lot Balance'!$K$5:$K$500+'Lot Balance'!$D$5:$D$500&gt;=$AK229),0),0)),""))</f>
        <v>LYSL500290</v>
      </c>
      <c r="AM229" s="66" t="str" cm="1">
        <f t="array" ref="AM229">IF($F229="","",IFERROR(INDEX('Lot Balance'!$B$5:$B$500,MATCH(1,INDEX(('Lot Balance'!$A$5:$A$500=$F229)*('Lot Balance'!$K$5:$K$500&lt;$AJ229)*('Lot Balance'!$K$5:$K$500+'Lot Balance'!$D$5:$D$500&gt;=$AJ229),0),0)),""))</f>
        <v>LYSL500290</v>
      </c>
      <c r="AN229" s="66" t="str">
        <f>IF($F229="","",IF($AI229&lt;&gt;"",IF(COUNTIFS('Lot Balance'!$A$5:$A$500,$F229,'Lot Balance'!$B$5:$B$500,$AI229)=0,"⚠ override is not a lot of this item",IF($AI229=$AL229,"Override = FEFO","Override - FEFO says "&amp;$AL229)),IF($AL229="","⚠ no receipt on file for this item",IF($AM229&lt;&gt;$AL229,"FEFO auto - split, also "&amp;$AM229,"FEFO auto"))))</f>
        <v>FEFO auto</v>
      </c>
      <c r="AO229" s="114"/>
    </row>
    <row r="230" spans="1:41" x14ac:dyDescent="0.35">
      <c r="A230" s="74">
        <v>46126</v>
      </c>
      <c r="B230" s="18" t="str">
        <f>IF($C230="","",IFERROR(INDEX('Staff Directory'!$A$5:$A$594,MATCH($C230,'Staff Directory'!$B$5:$B$594,0)),"⚠ unknown staff"))</f>
        <v>PSW-087-A4</v>
      </c>
      <c r="C230" s="49" t="s">
        <v>1063</v>
      </c>
      <c r="D230" s="19" t="str">
        <f>IF($B230="","",IFERROR(INDEX('Staff Directory'!$C$5:$C$594,MATCH($B230,'Staff Directory'!$A$5:$A$594,0)),""))</f>
        <v>PSW</v>
      </c>
      <c r="E230" s="19" t="str">
        <f>IF($B230="","",IFERROR(INDEX('Staff Directory'!$D$5:$D$594,MATCH($B230,'Staff Directory'!$A$5:$A$594,0)),""))</f>
        <v>A4</v>
      </c>
      <c r="F230" s="9" t="s">
        <v>755</v>
      </c>
      <c r="G230" s="18" t="str">
        <f>IF($F230="","",IFERROR(INDEX(Items!$B$5:$B$597,MATCH($F230,Items!$A$5:$A$597,0)),"⚠ not in Items"))</f>
        <v>Documents</v>
      </c>
      <c r="H230" s="19" t="str">
        <f>IF($F230="","",IFERROR(INDEX(Items!$C$5:$C$597,MATCH($F230,Items!$A$5:$A$597,0)),""))</f>
        <v>Standard</v>
      </c>
      <c r="I230" s="23">
        <f>IF($F230="","",IFERROR(INDEX(Items!$E$5:$E$597,MATCH($F230,Items!$A$5:$A$597,0)),""))</f>
        <v>2</v>
      </c>
      <c r="J230" s="115">
        <f>IF(tblIssues[[#This Row],[Qty Override]]&lt;&gt;"",tblIssues[[#This Row],[Qty Override]],IF(tblIssues[[#This Row],[Standard Issue]]="","",tblIssues[[#This Row],[Standard Issue]]))</f>
        <v>2</v>
      </c>
      <c r="K230" s="20">
        <f>IF($F230="","",IFERROR(INDEX(Items!$D$5:$D$597,MATCH($F230,Items!$A$5:$A$597,0)),""))</f>
        <v>0</v>
      </c>
      <c r="L230" s="21">
        <f t="shared" si="39"/>
        <v>0</v>
      </c>
      <c r="M230" s="9" t="str">
        <f t="shared" si="40"/>
        <v/>
      </c>
      <c r="N230" s="24">
        <f>IF($A230="","",WORKDAY($A230,Settings!$C$9,HolidayDates))</f>
        <v>46134</v>
      </c>
      <c r="O230" s="24">
        <f>IF($N230="","",WORKDAY($N230,Settings!$C$10,HolidayDates))</f>
        <v>46174</v>
      </c>
      <c r="P230" s="10" t="s">
        <v>501</v>
      </c>
      <c r="Q230" s="52" t="str">
        <f t="shared" si="42"/>
        <v>Collected</v>
      </c>
      <c r="R230" s="55" t="str">
        <f t="shared" si="43"/>
        <v>2026-04</v>
      </c>
      <c r="S230" s="55">
        <f>IF(OR($B230="",$F230="",$R230=""),"",SUMIFS(tblIssues[Qty Issued],tblIssues[Staff ID],$B230,tblIssues[Item Name],$F230,tblIssues[Month],$R230))</f>
        <v>2</v>
      </c>
      <c r="T230" s="56">
        <f>IF($I230="","",$I230*Settings!$C$11)</f>
        <v>2</v>
      </c>
      <c r="U230" s="57" t="str">
        <f t="shared" si="41"/>
        <v>OK</v>
      </c>
      <c r="V230" s="55" t="str">
        <f t="shared" si="44"/>
        <v/>
      </c>
      <c r="W230" s="55" t="str">
        <f>IF($V230="","",IF(COUNTIF($V$5:$V230,$V230)=1,1,""))</f>
        <v/>
      </c>
      <c r="X230" s="58" t="str">
        <f>IF($W230="","",MAX($X$4:X229)+1)</f>
        <v/>
      </c>
      <c r="Y230" s="62"/>
      <c r="Z230" s="62"/>
      <c r="AA230" s="64" t="str">
        <f>IF($C230="","",IFERROR(INDEX('Staff Directory'!$E$5:$E$594,MATCH($C230,'Staff Directory'!$B$5:$B$594,0)),""))</f>
        <v>firstname147.lastname147@example.com</v>
      </c>
      <c r="AB230" s="64" t="str">
        <f>IF($C230="","",IF(ISNUMBER(SEARCH($D230,Settings!$C$15)),"Pickup","Dispatch"))</f>
        <v>Pickup</v>
      </c>
      <c r="AC230" s="64" t="str">
        <f t="shared" si="45"/>
        <v>Supply order ready for pickup</v>
      </c>
      <c r="AD230" s="64" t="str">
        <f t="shared" si="36"/>
        <v>Dear PSW,
Your order is ready for pickup from Sample Branch, Wed-Fri 9am-4pm.</v>
      </c>
      <c r="AE230" s="64" t="str">
        <f t="shared" si="37"/>
        <v>mailto:firstname147.lastname147@example.com?subject=Supply%20order%20ready%20for%20pickup&amp;body=Dear%20PSW%2C%0A%0AYour%20order%20is%20ready%20for%20pickup%20from%20Sample%20Branch%2C%20Wed-Fri%209am-4pm.</v>
      </c>
      <c r="AF230" s="89" t="str">
        <f t="shared" si="46"/>
        <v>Draft email</v>
      </c>
      <c r="AG230" s="64" t="str">
        <f>IF($C230="","",IFERROR(INDEX('Staff Directory'!$K$595:$K$599,MATCH($C230,'Staff Directory'!$B$5:$B$599,0)),$D230))</f>
        <v>PSW</v>
      </c>
      <c r="AH230" t="str">
        <f>IF($C230="","",IFERROR(INDEX('Staff Directory'!$I$595:$I$599,MATCH($C230,'Staff Directory'!$B$5:$B$599,0))&amp;" "&amp;INDEX('Staff Directory'!$J$595:$J$599,MATCH($C230,'Staff Directory'!$B$5:$B$599,0)),$AG230))</f>
        <v>PSW</v>
      </c>
      <c r="AI230" s="102"/>
      <c r="AJ230" s="101">
        <f>IF($F230="","",SUMIFS($J$5:$J230,$F$5:$F230,$F230))</f>
        <v>54</v>
      </c>
      <c r="AK230" s="101">
        <f t="shared" si="38"/>
        <v>53</v>
      </c>
      <c r="AL230" s="66" t="str" cm="1">
        <f t="array" ref="AL230">IF($F230="","",IFERROR(INDEX('Lot Balance'!$B$5:$B$500,MATCH(1,INDEX(('Lot Balance'!$A$5:$A$500=$F230)*('Lot Balance'!$K$5:$K$500&lt;$AK230)*('Lot Balance'!$K$5:$K$500+'Lot Balance'!$D$5:$D$500&gt;=$AK230),0),0)),""))</f>
        <v/>
      </c>
      <c r="AM230" s="66" t="str" cm="1">
        <f t="array" ref="AM230">IF($F230="","",IFERROR(INDEX('Lot Balance'!$B$5:$B$500,MATCH(1,INDEX(('Lot Balance'!$A$5:$A$500=$F230)*('Lot Balance'!$K$5:$K$500&lt;$AJ230)*('Lot Balance'!$K$5:$K$500+'Lot Balance'!$D$5:$D$500&gt;=$AJ230),0),0)),""))</f>
        <v/>
      </c>
      <c r="AN230" s="66" t="str">
        <f>IF($F230="","",IF($AI230&lt;&gt;"",IF(COUNTIFS('Lot Balance'!$A$5:$A$500,$F230,'Lot Balance'!$B$5:$B$500,$AI230)=0,"⚠ override is not a lot of this item",IF($AI230=$AL230,"Override = FEFO","Override - FEFO says "&amp;$AL230)),IF($AL230="","⚠ no receipt on file for this item",IF($AM230&lt;&gt;$AL230,"FEFO auto - split, also "&amp;$AM230,"FEFO auto"))))</f>
        <v>⚠ no receipt on file for this item</v>
      </c>
      <c r="AO230" s="114"/>
    </row>
    <row r="231" spans="1:41" x14ac:dyDescent="0.35">
      <c r="A231" s="74">
        <v>46126</v>
      </c>
      <c r="B231" s="18" t="str">
        <f>IF($C231="","",IFERROR(INDEX('Staff Directory'!$A$5:$A$594,MATCH($C231,'Staff Directory'!$B$5:$B$594,0)),"⚠ unknown staff"))</f>
        <v>PSW-115-A5</v>
      </c>
      <c r="C231" s="49" t="s">
        <v>1093</v>
      </c>
      <c r="D231" s="19" t="str">
        <f>IF($B231="","",IFERROR(INDEX('Staff Directory'!$C$5:$C$594,MATCH($B231,'Staff Directory'!$A$5:$A$594,0)),""))</f>
        <v>PSW</v>
      </c>
      <c r="E231" s="19" t="str">
        <f>IF($B231="","",IFERROR(INDEX('Staff Directory'!$D$5:$D$594,MATCH($B231,'Staff Directory'!$A$5:$A$594,0)),""))</f>
        <v>A5</v>
      </c>
      <c r="F231" s="9" t="s">
        <v>127</v>
      </c>
      <c r="G231" s="18" t="str">
        <f>IF($F231="","",IFERROR(INDEX(Items!$B$5:$B$597,MATCH($F231,Items!$A$5:$A$597,0)),"⚠ not in Items"))</f>
        <v>Gloves</v>
      </c>
      <c r="H231" s="19" t="str">
        <f>IF($F231="","",IFERROR(INDEX(Items!$C$5:$C$597,MATCH($F231,Items!$A$5:$A$597,0)),""))</f>
        <v>Medium</v>
      </c>
      <c r="I231" s="23">
        <f>IF($F231="","",IFERROR(INDEX(Items!$E$5:$E$597,MATCH($F231,Items!$A$5:$A$597,0)),""))</f>
        <v>500</v>
      </c>
      <c r="J231" s="115">
        <f>IF(tblIssues[[#This Row],[Qty Override]]&lt;&gt;"",tblIssues[[#This Row],[Qty Override]],IF(tblIssues[[#This Row],[Standard Issue]]="","",tblIssues[[#This Row],[Standard Issue]]))</f>
        <v>500</v>
      </c>
      <c r="K231" s="20">
        <f>IF($F231="","",IFERROR(INDEX(Items!$D$5:$D$597,MATCH($F231,Items!$A$5:$A$597,0)),""))</f>
        <v>5.5E-2</v>
      </c>
      <c r="L231" s="21">
        <f t="shared" si="39"/>
        <v>27.5</v>
      </c>
      <c r="M231" s="9" t="str">
        <f t="shared" si="40"/>
        <v>ZIM504126040-2</v>
      </c>
      <c r="N231" s="24">
        <f>IF($A231="","",WORKDAY($A231,Settings!$C$9,HolidayDates))</f>
        <v>46134</v>
      </c>
      <c r="O231" s="24">
        <f>IF($N231="","",WORKDAY($N231,Settings!$C$10,HolidayDates))</f>
        <v>46174</v>
      </c>
      <c r="P231" s="10" t="s">
        <v>501</v>
      </c>
      <c r="Q231" s="52" t="str">
        <f t="shared" si="42"/>
        <v>Collected</v>
      </c>
      <c r="R231" s="55" t="str">
        <f t="shared" si="43"/>
        <v>2026-04</v>
      </c>
      <c r="S231" s="55">
        <f>IF(OR($B231="",$F231="",$R231=""),"",SUMIFS(tblIssues[Qty Issued],tblIssues[Staff ID],$B231,tblIssues[Item Name],$F231,tblIssues[Month],$R231))</f>
        <v>500</v>
      </c>
      <c r="T231" s="56">
        <f>IF($I231="","",$I231*Settings!$C$11)</f>
        <v>500</v>
      </c>
      <c r="U231" s="57" t="str">
        <f t="shared" si="41"/>
        <v>OK</v>
      </c>
      <c r="V231" s="55" t="str">
        <f t="shared" si="44"/>
        <v/>
      </c>
      <c r="W231" s="55" t="str">
        <f>IF($V231="","",IF(COUNTIF($V$5:$V231,$V231)=1,1,""))</f>
        <v/>
      </c>
      <c r="X231" s="58" t="str">
        <f>IF($W231="","",MAX($X$4:X230)+1)</f>
        <v/>
      </c>
      <c r="Y231" s="62"/>
      <c r="Z231" s="62"/>
      <c r="AA231" s="64" t="str">
        <f>IF($C231="","",IFERROR(INDEX('Staff Directory'!$E$5:$E$594,MATCH($C231,'Staff Directory'!$B$5:$B$594,0)),""))</f>
        <v>firstname177.lastname177@example.com</v>
      </c>
      <c r="AB231" s="64" t="str">
        <f>IF($C231="","",IF(ISNUMBER(SEARCH($D231,Settings!$C$15)),"Pickup","Dispatch"))</f>
        <v>Pickup</v>
      </c>
      <c r="AC231" s="64" t="str">
        <f t="shared" si="45"/>
        <v>Supply order ready for pickup</v>
      </c>
      <c r="AD231" s="64" t="str">
        <f t="shared" si="36"/>
        <v>Dear PSW,
Your order is ready for pickup from Sample Branch, Wed-Fri 9am-4pm.</v>
      </c>
      <c r="AE231" s="64" t="str">
        <f t="shared" si="37"/>
        <v>mailto:firstname177.lastname177@example.com?subject=Supply%20order%20ready%20for%20pickup&amp;body=Dear%20PSW%2C%0A%0AYour%20order%20is%20ready%20for%20pickup%20from%20Sample%20Branch%2C%20Wed-Fri%209am-4pm.</v>
      </c>
      <c r="AF231" s="89" t="str">
        <f t="shared" si="46"/>
        <v>Draft email</v>
      </c>
      <c r="AG231" s="64" t="str">
        <f>IF($C231="","",IFERROR(INDEX('Staff Directory'!$K$595:$K$599,MATCH($C231,'Staff Directory'!$B$5:$B$599,0)),$D231))</f>
        <v>PSW</v>
      </c>
      <c r="AH231" t="str">
        <f>IF($C231="","",IFERROR(INDEX('Staff Directory'!$I$595:$I$599,MATCH($C231,'Staff Directory'!$B$5:$B$599,0))&amp;" "&amp;INDEX('Staff Directory'!$J$595:$J$599,MATCH($C231,'Staff Directory'!$B$5:$B$599,0)),$AG231))</f>
        <v>PSW</v>
      </c>
      <c r="AI231" s="102"/>
      <c r="AJ231" s="101">
        <f>IF($F231="","",SUMIFS($J$5:$J231,$F$5:$F231,$F231))</f>
        <v>14000</v>
      </c>
      <c r="AK231" s="101">
        <f t="shared" si="38"/>
        <v>13501</v>
      </c>
      <c r="AL231" s="66" t="str" cm="1">
        <f t="array" ref="AL231">IF($F231="","",IFERROR(INDEX('Lot Balance'!$B$5:$B$500,MATCH(1,INDEX(('Lot Balance'!$A$5:$A$500=$F231)*('Lot Balance'!$K$5:$K$500&lt;$AK231)*('Lot Balance'!$K$5:$K$500+'Lot Balance'!$D$5:$D$500&gt;=$AK231),0),0)),""))</f>
        <v>ZIM504126040-2</v>
      </c>
      <c r="AM231" s="66" t="str" cm="1">
        <f t="array" ref="AM231">IF($F231="","",IFERROR(INDEX('Lot Balance'!$B$5:$B$500,MATCH(1,INDEX(('Lot Balance'!$A$5:$A$500=$F231)*('Lot Balance'!$K$5:$K$500&lt;$AJ231)*('Lot Balance'!$K$5:$K$500+'Lot Balance'!$D$5:$D$500&gt;=$AJ231),0),0)),""))</f>
        <v>ZIM504126040-2</v>
      </c>
      <c r="AN231" s="66" t="str">
        <f>IF($F231="","",IF($AI231&lt;&gt;"",IF(COUNTIFS('Lot Balance'!$A$5:$A$500,$F231,'Lot Balance'!$B$5:$B$500,$AI231)=0,"⚠ override is not a lot of this item",IF($AI231=$AL231,"Override = FEFO","Override - FEFO says "&amp;$AL231)),IF($AL231="","⚠ no receipt on file for this item",IF($AM231&lt;&gt;$AL231,"FEFO auto - split, also "&amp;$AM231,"FEFO auto"))))</f>
        <v>FEFO auto</v>
      </c>
      <c r="AO231" s="114"/>
    </row>
    <row r="232" spans="1:41" x14ac:dyDescent="0.35">
      <c r="A232" s="74">
        <v>46126</v>
      </c>
      <c r="B232" s="18" t="str">
        <f>IF($C232="","",IFERROR(INDEX('Staff Directory'!$A$5:$A$594,MATCH($C232,'Staff Directory'!$B$5:$B$594,0)),"⚠ unknown staff"))</f>
        <v>PSW-115-A5</v>
      </c>
      <c r="C232" s="49" t="s">
        <v>1093</v>
      </c>
      <c r="D232" s="19" t="str">
        <f>IF($B232="","",IFERROR(INDEX('Staff Directory'!$C$5:$C$594,MATCH($B232,'Staff Directory'!$A$5:$A$594,0)),""))</f>
        <v>PSW</v>
      </c>
      <c r="E232" s="19" t="str">
        <f>IF($B232="","",IFERROR(INDEX('Staff Directory'!$D$5:$D$594,MATCH($B232,'Staff Directory'!$A$5:$A$594,0)),""))</f>
        <v>A5</v>
      </c>
      <c r="F232" s="9" t="s">
        <v>755</v>
      </c>
      <c r="G232" s="18" t="str">
        <f>IF($F232="","",IFERROR(INDEX(Items!$B$5:$B$597,MATCH($F232,Items!$A$5:$A$597,0)),"⚠ not in Items"))</f>
        <v>Documents</v>
      </c>
      <c r="H232" s="19" t="str">
        <f>IF($F232="","",IFERROR(INDEX(Items!$C$5:$C$597,MATCH($F232,Items!$A$5:$A$597,0)),""))</f>
        <v>Standard</v>
      </c>
      <c r="I232" s="23">
        <f>IF($F232="","",IFERROR(INDEX(Items!$E$5:$E$597,MATCH($F232,Items!$A$5:$A$597,0)),""))</f>
        <v>2</v>
      </c>
      <c r="J232" s="115">
        <f>IF(tblIssues[[#This Row],[Qty Override]]&lt;&gt;"",tblIssues[[#This Row],[Qty Override]],IF(tblIssues[[#This Row],[Standard Issue]]="","",tblIssues[[#This Row],[Standard Issue]]))</f>
        <v>2</v>
      </c>
      <c r="K232" s="20">
        <f>IF($F232="","",IFERROR(INDEX(Items!$D$5:$D$597,MATCH($F232,Items!$A$5:$A$597,0)),""))</f>
        <v>0</v>
      </c>
      <c r="L232" s="21">
        <f t="shared" si="39"/>
        <v>0</v>
      </c>
      <c r="M232" s="9" t="str">
        <f t="shared" si="40"/>
        <v/>
      </c>
      <c r="N232" s="24">
        <f>IF($A232="","",WORKDAY($A232,Settings!$C$9,HolidayDates))</f>
        <v>46134</v>
      </c>
      <c r="O232" s="24">
        <f>IF($N232="","",WORKDAY($N232,Settings!$C$10,HolidayDates))</f>
        <v>46174</v>
      </c>
      <c r="P232" s="10" t="s">
        <v>501</v>
      </c>
      <c r="Q232" s="52" t="str">
        <f t="shared" si="42"/>
        <v>Collected</v>
      </c>
      <c r="R232" s="55" t="str">
        <f t="shared" si="43"/>
        <v>2026-04</v>
      </c>
      <c r="S232" s="55">
        <f>IF(OR($B232="",$F232="",$R232=""),"",SUMIFS(tblIssues[Qty Issued],tblIssues[Staff ID],$B232,tblIssues[Item Name],$F232,tblIssues[Month],$R232))</f>
        <v>2</v>
      </c>
      <c r="T232" s="56">
        <f>IF($I232="","",$I232*Settings!$C$11)</f>
        <v>2</v>
      </c>
      <c r="U232" s="57" t="str">
        <f t="shared" si="41"/>
        <v>OK</v>
      </c>
      <c r="V232" s="55" t="str">
        <f t="shared" si="44"/>
        <v/>
      </c>
      <c r="W232" s="55" t="str">
        <f>IF($V232="","",IF(COUNTIF($V$5:$V232,$V232)=1,1,""))</f>
        <v/>
      </c>
      <c r="X232" s="58" t="str">
        <f>IF($W232="","",MAX($X$4:X231)+1)</f>
        <v/>
      </c>
      <c r="Y232" s="62"/>
      <c r="Z232" s="62"/>
      <c r="AA232" s="64" t="str">
        <f>IF($C232="","",IFERROR(INDEX('Staff Directory'!$E$5:$E$594,MATCH($C232,'Staff Directory'!$B$5:$B$594,0)),""))</f>
        <v>firstname177.lastname177@example.com</v>
      </c>
      <c r="AB232" s="64" t="str">
        <f>IF($C232="","",IF(ISNUMBER(SEARCH($D232,Settings!$C$15)),"Pickup","Dispatch"))</f>
        <v>Pickup</v>
      </c>
      <c r="AC232" s="64" t="str">
        <f t="shared" si="45"/>
        <v>Supply order ready for pickup</v>
      </c>
      <c r="AD232" s="64" t="str">
        <f t="shared" si="36"/>
        <v>Dear PSW,
Your order is ready for pickup from Sample Branch, Wed-Fri 9am-4pm.</v>
      </c>
      <c r="AE232" s="64" t="str">
        <f t="shared" si="37"/>
        <v>mailto:firstname177.lastname177@example.com?subject=Supply%20order%20ready%20for%20pickup&amp;body=Dear%20PSW%2C%0A%0AYour%20order%20is%20ready%20for%20pickup%20from%20Sample%20Branch%2C%20Wed-Fri%209am-4pm.</v>
      </c>
      <c r="AF232" s="89" t="str">
        <f t="shared" si="46"/>
        <v>Draft email</v>
      </c>
      <c r="AG232" s="64" t="str">
        <f>IF($C232="","",IFERROR(INDEX('Staff Directory'!$K$595:$K$599,MATCH($C232,'Staff Directory'!$B$5:$B$599,0)),$D232))</f>
        <v>PSW</v>
      </c>
      <c r="AH232" t="str">
        <f>IF($C232="","",IFERROR(INDEX('Staff Directory'!$I$595:$I$599,MATCH($C232,'Staff Directory'!$B$5:$B$599,0))&amp;" "&amp;INDEX('Staff Directory'!$J$595:$J$599,MATCH($C232,'Staff Directory'!$B$5:$B$599,0)),$AG232))</f>
        <v>PSW</v>
      </c>
      <c r="AI232" s="102"/>
      <c r="AJ232" s="101">
        <f>IF($F232="","",SUMIFS($J$5:$J232,$F$5:$F232,$F232))</f>
        <v>56</v>
      </c>
      <c r="AK232" s="101">
        <f t="shared" si="38"/>
        <v>55</v>
      </c>
      <c r="AL232" s="66" t="str" cm="1">
        <f t="array" ref="AL232">IF($F232="","",IFERROR(INDEX('Lot Balance'!$B$5:$B$500,MATCH(1,INDEX(('Lot Balance'!$A$5:$A$500=$F232)*('Lot Balance'!$K$5:$K$500&lt;$AK232)*('Lot Balance'!$K$5:$K$500+'Lot Balance'!$D$5:$D$500&gt;=$AK232),0),0)),""))</f>
        <v/>
      </c>
      <c r="AM232" s="66" t="str" cm="1">
        <f t="array" ref="AM232">IF($F232="","",IFERROR(INDEX('Lot Balance'!$B$5:$B$500,MATCH(1,INDEX(('Lot Balance'!$A$5:$A$500=$F232)*('Lot Balance'!$K$5:$K$500&lt;$AJ232)*('Lot Balance'!$K$5:$K$500+'Lot Balance'!$D$5:$D$500&gt;=$AJ232),0),0)),""))</f>
        <v/>
      </c>
      <c r="AN232" s="66" t="str">
        <f>IF($F232="","",IF($AI232&lt;&gt;"",IF(COUNTIFS('Lot Balance'!$A$5:$A$500,$F232,'Lot Balance'!$B$5:$B$500,$AI232)=0,"⚠ override is not a lot of this item",IF($AI232=$AL232,"Override = FEFO","Override - FEFO says "&amp;$AL232)),IF($AL232="","⚠ no receipt on file for this item",IF($AM232&lt;&gt;$AL232,"FEFO auto - split, also "&amp;$AM232,"FEFO auto"))))</f>
        <v>⚠ no receipt on file for this item</v>
      </c>
      <c r="AO232" s="114"/>
    </row>
    <row r="233" spans="1:41" x14ac:dyDescent="0.35">
      <c r="A233" s="74">
        <v>46126</v>
      </c>
      <c r="B233" s="18" t="str">
        <f>IF($C233="","",IFERROR(INDEX('Staff Directory'!$A$5:$A$594,MATCH($C233,'Staff Directory'!$B$5:$B$594,0)),"⚠ unknown staff"))</f>
        <v>PSW-070-A6</v>
      </c>
      <c r="C233" s="49" t="s">
        <v>1046</v>
      </c>
      <c r="D233" s="19" t="str">
        <f>IF($B233="","",IFERROR(INDEX('Staff Directory'!$C$5:$C$594,MATCH($B233,'Staff Directory'!$A$5:$A$594,0)),""))</f>
        <v>PSW</v>
      </c>
      <c r="E233" s="19" t="str">
        <f>IF($B233="","",IFERROR(INDEX('Staff Directory'!$D$5:$D$594,MATCH($B233,'Staff Directory'!$A$5:$A$594,0)),""))</f>
        <v>A6</v>
      </c>
      <c r="F233" s="9" t="s">
        <v>129</v>
      </c>
      <c r="G233" s="18" t="str">
        <f>IF($F233="","",IFERROR(INDEX(Items!$B$5:$B$597,MATCH($F233,Items!$A$5:$A$597,0)),"⚠ not in Items"))</f>
        <v>Gloves</v>
      </c>
      <c r="H233" s="19" t="str">
        <f>IF($F233="","",IFERROR(INDEX(Items!$C$5:$C$597,MATCH($F233,Items!$A$5:$A$597,0)),""))</f>
        <v>Small</v>
      </c>
      <c r="I233" s="23">
        <f>IF($F233="","",IFERROR(INDEX(Items!$E$5:$E$597,MATCH($F233,Items!$A$5:$A$597,0)),""))</f>
        <v>500</v>
      </c>
      <c r="J233" s="115">
        <f>IF(tblIssues[[#This Row],[Qty Override]]&lt;&gt;"",tblIssues[[#This Row],[Qty Override]],IF(tblIssues[[#This Row],[Standard Issue]]="","",tblIssues[[#This Row],[Standard Issue]]))</f>
        <v>500</v>
      </c>
      <c r="K233" s="20">
        <f>IF($F233="","",IFERROR(INDEX(Items!$D$5:$D$597,MATCH($F233,Items!$A$5:$A$597,0)),""))</f>
        <v>5.5E-2</v>
      </c>
      <c r="L233" s="21">
        <f t="shared" si="39"/>
        <v>27.5</v>
      </c>
      <c r="M233" s="9" t="str">
        <f t="shared" si="40"/>
        <v>ZIM504124207-5</v>
      </c>
      <c r="N233" s="24">
        <f>IF($A233="","",WORKDAY($A233,Settings!$C$9,HolidayDates))</f>
        <v>46134</v>
      </c>
      <c r="O233" s="24">
        <f>IF($N233="","",WORKDAY($N233,Settings!$C$10,HolidayDates))</f>
        <v>46174</v>
      </c>
      <c r="P233" s="10" t="s">
        <v>501</v>
      </c>
      <c r="Q233" s="52" t="str">
        <f t="shared" si="42"/>
        <v>Collected</v>
      </c>
      <c r="R233" s="55" t="str">
        <f t="shared" si="43"/>
        <v>2026-04</v>
      </c>
      <c r="S233" s="55">
        <f>IF(OR($B233="",$F233="",$R233=""),"",SUMIFS(tblIssues[Qty Issued],tblIssues[Staff ID],$B233,tblIssues[Item Name],$F233,tblIssues[Month],$R233))</f>
        <v>500</v>
      </c>
      <c r="T233" s="56">
        <f>IF($I233="","",$I233*Settings!$C$11)</f>
        <v>500</v>
      </c>
      <c r="U233" s="57" t="str">
        <f t="shared" si="41"/>
        <v>OK</v>
      </c>
      <c r="V233" s="55" t="str">
        <f t="shared" si="44"/>
        <v/>
      </c>
      <c r="W233" s="55" t="str">
        <f>IF($V233="","",IF(COUNTIF($V$5:$V233,$V233)=1,1,""))</f>
        <v/>
      </c>
      <c r="X233" s="58" t="str">
        <f>IF($W233="","",MAX($X$4:X232)+1)</f>
        <v/>
      </c>
      <c r="Y233" s="62"/>
      <c r="Z233" s="62"/>
      <c r="AA233" s="64" t="str">
        <f>IF($C233="","",IFERROR(INDEX('Staff Directory'!$E$5:$E$594,MATCH($C233,'Staff Directory'!$B$5:$B$594,0)),""))</f>
        <v>firstname130.lastname130@example.com</v>
      </c>
      <c r="AB233" s="64" t="str">
        <f>IF($C233="","",IF(ISNUMBER(SEARCH($D233,Settings!$C$15)),"Pickup","Dispatch"))</f>
        <v>Pickup</v>
      </c>
      <c r="AC233" s="64" t="str">
        <f t="shared" si="45"/>
        <v>Supply order ready for pickup</v>
      </c>
      <c r="AD233" s="64" t="str">
        <f t="shared" si="36"/>
        <v>Dear PSW,
Your order is ready for pickup from Sample Branch, Wed-Fri 9am-4pm.</v>
      </c>
      <c r="AE233" s="64" t="str">
        <f t="shared" si="37"/>
        <v>mailto:firstname130.lastname130@example.com?subject=Supply%20order%20ready%20for%20pickup&amp;body=Dear%20PSW%2C%0A%0AYour%20order%20is%20ready%20for%20pickup%20from%20Sample%20Branch%2C%20Wed-Fri%209am-4pm.</v>
      </c>
      <c r="AF233" s="89" t="str">
        <f t="shared" si="46"/>
        <v>Draft email</v>
      </c>
      <c r="AG233" s="64" t="str">
        <f>IF($C233="","",IFERROR(INDEX('Staff Directory'!$K$595:$K$599,MATCH($C233,'Staff Directory'!$B$5:$B$599,0)),$D233))</f>
        <v>PSW</v>
      </c>
      <c r="AH233" t="str">
        <f>IF($C233="","",IFERROR(INDEX('Staff Directory'!$I$595:$I$599,MATCH($C233,'Staff Directory'!$B$5:$B$599,0))&amp;" "&amp;INDEX('Staff Directory'!$J$595:$J$599,MATCH($C233,'Staff Directory'!$B$5:$B$599,0)),$AG233))</f>
        <v>PSW</v>
      </c>
      <c r="AI233" s="102"/>
      <c r="AJ233" s="101">
        <f>IF($F233="","",SUMIFS($J$5:$J233,$F$5:$F233,$F233))</f>
        <v>10500</v>
      </c>
      <c r="AK233" s="101">
        <f t="shared" si="38"/>
        <v>10001</v>
      </c>
      <c r="AL233" s="66" t="str" cm="1">
        <f t="array" ref="AL233">IF($F233="","",IFERROR(INDEX('Lot Balance'!$B$5:$B$500,MATCH(1,INDEX(('Lot Balance'!$A$5:$A$500=$F233)*('Lot Balance'!$K$5:$K$500&lt;$AK233)*('Lot Balance'!$K$5:$K$500+'Lot Balance'!$D$5:$D$500&gt;=$AK233),0),0)),""))</f>
        <v>ZIM504124207-5</v>
      </c>
      <c r="AM233" s="66" t="str" cm="1">
        <f t="array" ref="AM233">IF($F233="","",IFERROR(INDEX('Lot Balance'!$B$5:$B$500,MATCH(1,INDEX(('Lot Balance'!$A$5:$A$500=$F233)*('Lot Balance'!$K$5:$K$500&lt;$AJ233)*('Lot Balance'!$K$5:$K$500+'Lot Balance'!$D$5:$D$500&gt;=$AJ233),0),0)),""))</f>
        <v>ZIM504124207-5</v>
      </c>
      <c r="AN233" s="66" t="str">
        <f>IF($F233="","",IF($AI233&lt;&gt;"",IF(COUNTIFS('Lot Balance'!$A$5:$A$500,$F233,'Lot Balance'!$B$5:$B$500,$AI233)=0,"⚠ override is not a lot of this item",IF($AI233=$AL233,"Override = FEFO","Override - FEFO says "&amp;$AL233)),IF($AL233="","⚠ no receipt on file for this item",IF($AM233&lt;&gt;$AL233,"FEFO auto - split, also "&amp;$AM233,"FEFO auto"))))</f>
        <v>FEFO auto</v>
      </c>
      <c r="AO233" s="114"/>
    </row>
    <row r="234" spans="1:41" x14ac:dyDescent="0.35">
      <c r="A234" s="74">
        <v>46126</v>
      </c>
      <c r="B234" s="18" t="str">
        <f>IF($C234="","",IFERROR(INDEX('Staff Directory'!$A$5:$A$594,MATCH($C234,'Staff Directory'!$B$5:$B$594,0)),"⚠ unknown staff"))</f>
        <v>PSW-070-A6</v>
      </c>
      <c r="C234" s="49" t="s">
        <v>1046</v>
      </c>
      <c r="D234" s="19" t="str">
        <f>IF($B234="","",IFERROR(INDEX('Staff Directory'!$C$5:$C$594,MATCH($B234,'Staff Directory'!$A$5:$A$594,0)),""))</f>
        <v>PSW</v>
      </c>
      <c r="E234" s="19" t="str">
        <f>IF($B234="","",IFERROR(INDEX('Staff Directory'!$D$5:$D$594,MATCH($B234,'Staff Directory'!$A$5:$A$594,0)),""))</f>
        <v>A6</v>
      </c>
      <c r="F234" s="9" t="s">
        <v>191</v>
      </c>
      <c r="G234" s="18" t="str">
        <f>IF($F234="","",IFERROR(INDEX(Items!$B$5:$B$597,MATCH($F234,Items!$A$5:$A$597,0)),"⚠ not in Items"))</f>
        <v>Sanitizer</v>
      </c>
      <c r="H234" s="19" t="str">
        <f>IF($F234="","",IFERROR(INDEX(Items!$C$5:$C$597,MATCH($F234,Items!$A$5:$A$597,0)),""))</f>
        <v>236 ML</v>
      </c>
      <c r="I234" s="23">
        <f>IF($F234="","",IFERROR(INDEX(Items!$E$5:$E$597,MATCH($F234,Items!$A$5:$A$597,0)),""))</f>
        <v>1</v>
      </c>
      <c r="J234" s="115">
        <f>IF(tblIssues[[#This Row],[Qty Override]]&lt;&gt;"",tblIssues[[#This Row],[Qty Override]],IF(tblIssues[[#This Row],[Standard Issue]]="","",tblIssues[[#This Row],[Standard Issue]]))</f>
        <v>1</v>
      </c>
      <c r="K234" s="20">
        <f>IF($F234="","",IFERROR(INDEX(Items!$D$5:$D$597,MATCH($F234,Items!$A$5:$A$597,0)),""))</f>
        <v>1E-4</v>
      </c>
      <c r="L234" s="21">
        <f t="shared" si="39"/>
        <v>1E-4</v>
      </c>
      <c r="M234" s="9" t="str">
        <f t="shared" si="40"/>
        <v>20-21734-1</v>
      </c>
      <c r="N234" s="24">
        <f>IF($A234="","",WORKDAY($A234,Settings!$C$9,HolidayDates))</f>
        <v>46134</v>
      </c>
      <c r="O234" s="24">
        <f>IF($N234="","",WORKDAY($N234,Settings!$C$10,HolidayDates))</f>
        <v>46174</v>
      </c>
      <c r="P234" s="10" t="s">
        <v>501</v>
      </c>
      <c r="Q234" s="52" t="str">
        <f t="shared" si="42"/>
        <v>Collected</v>
      </c>
      <c r="R234" s="55" t="str">
        <f t="shared" si="43"/>
        <v>2026-04</v>
      </c>
      <c r="S234" s="55">
        <f>IF(OR($B234="",$F234="",$R234=""),"",SUMIFS(tblIssues[Qty Issued],tblIssues[Staff ID],$B234,tblIssues[Item Name],$F234,tblIssues[Month],$R234))</f>
        <v>1</v>
      </c>
      <c r="T234" s="56">
        <f>IF($I234="","",$I234*Settings!$C$11)</f>
        <v>1</v>
      </c>
      <c r="U234" s="57" t="str">
        <f t="shared" si="41"/>
        <v>OK</v>
      </c>
      <c r="V234" s="55" t="str">
        <f t="shared" si="44"/>
        <v/>
      </c>
      <c r="W234" s="55" t="str">
        <f>IF($V234="","",IF(COUNTIF($V$5:$V234,$V234)=1,1,""))</f>
        <v/>
      </c>
      <c r="X234" s="58" t="str">
        <f>IF($W234="","",MAX($X$4:X233)+1)</f>
        <v/>
      </c>
      <c r="Y234" s="62"/>
      <c r="Z234" s="62"/>
      <c r="AA234" s="64" t="str">
        <f>IF($C234="","",IFERROR(INDEX('Staff Directory'!$E$5:$E$594,MATCH($C234,'Staff Directory'!$B$5:$B$594,0)),""))</f>
        <v>firstname130.lastname130@example.com</v>
      </c>
      <c r="AB234" s="64" t="str">
        <f>IF($C234="","",IF(ISNUMBER(SEARCH($D234,Settings!$C$15)),"Pickup","Dispatch"))</f>
        <v>Pickup</v>
      </c>
      <c r="AC234" s="64" t="str">
        <f t="shared" si="45"/>
        <v>Supply order ready for pickup</v>
      </c>
      <c r="AD234" s="64" t="str">
        <f t="shared" si="36"/>
        <v>Dear PSW,
Your order is ready for pickup from Sample Branch, Wed-Fri 9am-4pm.</v>
      </c>
      <c r="AE234" s="64" t="str">
        <f t="shared" si="37"/>
        <v>mailto:firstname130.lastname130@example.com?subject=Supply%20order%20ready%20for%20pickup&amp;body=Dear%20PSW%2C%0A%0AYour%20order%20is%20ready%20for%20pickup%20from%20Sample%20Branch%2C%20Wed-Fri%209am-4pm.</v>
      </c>
      <c r="AF234" s="89" t="str">
        <f t="shared" si="46"/>
        <v>Draft email</v>
      </c>
      <c r="AG234" s="64" t="str">
        <f>IF($C234="","",IFERROR(INDEX('Staff Directory'!$K$595:$K$599,MATCH($C234,'Staff Directory'!$B$5:$B$599,0)),$D234))</f>
        <v>PSW</v>
      </c>
      <c r="AH234" t="str">
        <f>IF($C234="","",IFERROR(INDEX('Staff Directory'!$I$595:$I$599,MATCH($C234,'Staff Directory'!$B$5:$B$599,0))&amp;" "&amp;INDEX('Staff Directory'!$J$595:$J$599,MATCH($C234,'Staff Directory'!$B$5:$B$599,0)),$AG234))</f>
        <v>PSW</v>
      </c>
      <c r="AI234" s="102"/>
      <c r="AJ234" s="101">
        <f>IF($F234="","",SUMIFS($J$5:$J234,$F$5:$F234,$F234))</f>
        <v>2</v>
      </c>
      <c r="AK234" s="101">
        <f t="shared" si="38"/>
        <v>2</v>
      </c>
      <c r="AL234" s="66" t="str" cm="1">
        <f t="array" ref="AL234">IF($F234="","",IFERROR(INDEX('Lot Balance'!$B$5:$B$500,MATCH(1,INDEX(('Lot Balance'!$A$5:$A$500=$F234)*('Lot Balance'!$K$5:$K$500&lt;$AK234)*('Lot Balance'!$K$5:$K$500+'Lot Balance'!$D$5:$D$500&gt;=$AK234),0),0)),""))</f>
        <v>20-21734-1</v>
      </c>
      <c r="AM234" s="66" t="str" cm="1">
        <f t="array" ref="AM234">IF($F234="","",IFERROR(INDEX('Lot Balance'!$B$5:$B$500,MATCH(1,INDEX(('Lot Balance'!$A$5:$A$500=$F234)*('Lot Balance'!$K$5:$K$500&lt;$AJ234)*('Lot Balance'!$K$5:$K$500+'Lot Balance'!$D$5:$D$500&gt;=$AJ234),0),0)),""))</f>
        <v>20-21734-1</v>
      </c>
      <c r="AN234" s="66" t="str">
        <f>IF($F234="","",IF($AI234&lt;&gt;"",IF(COUNTIFS('Lot Balance'!$A$5:$A$500,$F234,'Lot Balance'!$B$5:$B$500,$AI234)=0,"⚠ override is not a lot of this item",IF($AI234=$AL234,"Override = FEFO","Override - FEFO says "&amp;$AL234)),IF($AL234="","⚠ no receipt on file for this item",IF($AM234&lt;&gt;$AL234,"FEFO auto - split, also "&amp;$AM234,"FEFO auto"))))</f>
        <v>FEFO auto</v>
      </c>
      <c r="AO234" s="114"/>
    </row>
    <row r="235" spans="1:41" x14ac:dyDescent="0.35">
      <c r="A235" s="74">
        <v>46126</v>
      </c>
      <c r="B235" s="18" t="str">
        <f>IF($C235="","",IFERROR(INDEX('Staff Directory'!$A$5:$A$594,MATCH($C235,'Staff Directory'!$B$5:$B$594,0)),"⚠ unknown staff"))</f>
        <v>PSW-070-A6</v>
      </c>
      <c r="C235" s="49" t="s">
        <v>1046</v>
      </c>
      <c r="D235" s="19" t="str">
        <f>IF($B235="","",IFERROR(INDEX('Staff Directory'!$C$5:$C$594,MATCH($B235,'Staff Directory'!$A$5:$A$594,0)),""))</f>
        <v>PSW</v>
      </c>
      <c r="E235" s="19" t="str">
        <f>IF($B235="","",IFERROR(INDEX('Staff Directory'!$D$5:$D$594,MATCH($B235,'Staff Directory'!$A$5:$A$594,0)),""))</f>
        <v>A6</v>
      </c>
      <c r="F235" s="9" t="s">
        <v>755</v>
      </c>
      <c r="G235" s="18" t="str">
        <f>IF($F235="","",IFERROR(INDEX(Items!$B$5:$B$597,MATCH($F235,Items!$A$5:$A$597,0)),"⚠ not in Items"))</f>
        <v>Documents</v>
      </c>
      <c r="H235" s="19" t="str">
        <f>IF($F235="","",IFERROR(INDEX(Items!$C$5:$C$597,MATCH($F235,Items!$A$5:$A$597,0)),""))</f>
        <v>Standard</v>
      </c>
      <c r="I235" s="23">
        <f>IF($F235="","",IFERROR(INDEX(Items!$E$5:$E$597,MATCH($F235,Items!$A$5:$A$597,0)),""))</f>
        <v>2</v>
      </c>
      <c r="J235" s="115">
        <f>IF(tblIssues[[#This Row],[Qty Override]]&lt;&gt;"",tblIssues[[#This Row],[Qty Override]],IF(tblIssues[[#This Row],[Standard Issue]]="","",tblIssues[[#This Row],[Standard Issue]]))</f>
        <v>2</v>
      </c>
      <c r="K235" s="20">
        <f>IF($F235="","",IFERROR(INDEX(Items!$D$5:$D$597,MATCH($F235,Items!$A$5:$A$597,0)),""))</f>
        <v>0</v>
      </c>
      <c r="L235" s="21">
        <f t="shared" si="39"/>
        <v>0</v>
      </c>
      <c r="M235" s="9" t="str">
        <f t="shared" si="40"/>
        <v/>
      </c>
      <c r="N235" s="24">
        <f>IF($A235="","",WORKDAY($A235,Settings!$C$9,HolidayDates))</f>
        <v>46134</v>
      </c>
      <c r="O235" s="24">
        <f>IF($N235="","",WORKDAY($N235,Settings!$C$10,HolidayDates))</f>
        <v>46174</v>
      </c>
      <c r="P235" s="10" t="s">
        <v>501</v>
      </c>
      <c r="Q235" s="52" t="str">
        <f t="shared" si="42"/>
        <v>Collected</v>
      </c>
      <c r="R235" s="55" t="str">
        <f t="shared" si="43"/>
        <v>2026-04</v>
      </c>
      <c r="S235" s="55">
        <f>IF(OR($B235="",$F235="",$R235=""),"",SUMIFS(tblIssues[Qty Issued],tblIssues[Staff ID],$B235,tblIssues[Item Name],$F235,tblIssues[Month],$R235))</f>
        <v>2</v>
      </c>
      <c r="T235" s="56">
        <f>IF($I235="","",$I235*Settings!$C$11)</f>
        <v>2</v>
      </c>
      <c r="U235" s="57" t="str">
        <f t="shared" si="41"/>
        <v>OK</v>
      </c>
      <c r="V235" s="55" t="str">
        <f t="shared" si="44"/>
        <v/>
      </c>
      <c r="W235" s="55" t="str">
        <f>IF($V235="","",IF(COUNTIF($V$5:$V235,$V235)=1,1,""))</f>
        <v/>
      </c>
      <c r="X235" s="58" t="str">
        <f>IF($W235="","",MAX($X$4:X234)+1)</f>
        <v/>
      </c>
      <c r="Y235" s="62"/>
      <c r="Z235" s="62"/>
      <c r="AA235" s="64" t="str">
        <f>IF($C235="","",IFERROR(INDEX('Staff Directory'!$E$5:$E$594,MATCH($C235,'Staff Directory'!$B$5:$B$594,0)),""))</f>
        <v>firstname130.lastname130@example.com</v>
      </c>
      <c r="AB235" s="64" t="str">
        <f>IF($C235="","",IF(ISNUMBER(SEARCH($D235,Settings!$C$15)),"Pickup","Dispatch"))</f>
        <v>Pickup</v>
      </c>
      <c r="AC235" s="64" t="str">
        <f t="shared" si="45"/>
        <v>Supply order ready for pickup</v>
      </c>
      <c r="AD235" s="64" t="str">
        <f t="shared" si="36"/>
        <v>Dear PSW,
Your order is ready for pickup from Sample Branch, Wed-Fri 9am-4pm.</v>
      </c>
      <c r="AE235" s="64" t="str">
        <f t="shared" si="37"/>
        <v>mailto:firstname130.lastname130@example.com?subject=Supply%20order%20ready%20for%20pickup&amp;body=Dear%20PSW%2C%0A%0AYour%20order%20is%20ready%20for%20pickup%20from%20Sample%20Branch%2C%20Wed-Fri%209am-4pm.</v>
      </c>
      <c r="AF235" s="89" t="str">
        <f t="shared" si="46"/>
        <v>Draft email</v>
      </c>
      <c r="AG235" s="64" t="str">
        <f>IF($C235="","",IFERROR(INDEX('Staff Directory'!$K$595:$K$599,MATCH($C235,'Staff Directory'!$B$5:$B$599,0)),$D235))</f>
        <v>PSW</v>
      </c>
      <c r="AH235" t="str">
        <f>IF($C235="","",IFERROR(INDEX('Staff Directory'!$I$595:$I$599,MATCH($C235,'Staff Directory'!$B$5:$B$599,0))&amp;" "&amp;INDEX('Staff Directory'!$J$595:$J$599,MATCH($C235,'Staff Directory'!$B$5:$B$599,0)),$AG235))</f>
        <v>PSW</v>
      </c>
      <c r="AI235" s="102"/>
      <c r="AJ235" s="101">
        <f>IF($F235="","",SUMIFS($J$5:$J235,$F$5:$F235,$F235))</f>
        <v>58</v>
      </c>
      <c r="AK235" s="101">
        <f t="shared" si="38"/>
        <v>57</v>
      </c>
      <c r="AL235" s="66" t="str" cm="1">
        <f t="array" ref="AL235">IF($F235="","",IFERROR(INDEX('Lot Balance'!$B$5:$B$500,MATCH(1,INDEX(('Lot Balance'!$A$5:$A$500=$F235)*('Lot Balance'!$K$5:$K$500&lt;$AK235)*('Lot Balance'!$K$5:$K$500+'Lot Balance'!$D$5:$D$500&gt;=$AK235),0),0)),""))</f>
        <v/>
      </c>
      <c r="AM235" s="66" t="str" cm="1">
        <f t="array" ref="AM235">IF($F235="","",IFERROR(INDEX('Lot Balance'!$B$5:$B$500,MATCH(1,INDEX(('Lot Balance'!$A$5:$A$500=$F235)*('Lot Balance'!$K$5:$K$500&lt;$AJ235)*('Lot Balance'!$K$5:$K$500+'Lot Balance'!$D$5:$D$500&gt;=$AJ235),0),0)),""))</f>
        <v/>
      </c>
      <c r="AN235" s="66" t="str">
        <f>IF($F235="","",IF($AI235&lt;&gt;"",IF(COUNTIFS('Lot Balance'!$A$5:$A$500,$F235,'Lot Balance'!$B$5:$B$500,$AI235)=0,"⚠ override is not a lot of this item",IF($AI235=$AL235,"Override = FEFO","Override - FEFO says "&amp;$AL235)),IF($AL235="","⚠ no receipt on file for this item",IF($AM235&lt;&gt;$AL235,"FEFO auto - split, also "&amp;$AM235,"FEFO auto"))))</f>
        <v>⚠ no receipt on file for this item</v>
      </c>
      <c r="AO235" s="114"/>
    </row>
    <row r="236" spans="1:41" x14ac:dyDescent="0.35">
      <c r="A236" s="74">
        <v>46126</v>
      </c>
      <c r="B236" s="18" t="str">
        <f>IF($C236="","",IFERROR(INDEX('Staff Directory'!$A$5:$A$594,MATCH($C236,'Staff Directory'!$B$5:$B$594,0)),"⚠ unknown staff"))</f>
        <v>PSW-126-A6</v>
      </c>
      <c r="C236" s="49" t="s">
        <v>1105</v>
      </c>
      <c r="D236" s="19" t="str">
        <f>IF($B236="","",IFERROR(INDEX('Staff Directory'!$C$5:$C$594,MATCH($B236,'Staff Directory'!$A$5:$A$594,0)),""))</f>
        <v>PSW</v>
      </c>
      <c r="E236" s="19" t="str">
        <f>IF($B236="","",IFERROR(INDEX('Staff Directory'!$D$5:$D$594,MATCH($B236,'Staff Directory'!$A$5:$A$594,0)),""))</f>
        <v>A6</v>
      </c>
      <c r="F236" s="9" t="s">
        <v>124</v>
      </c>
      <c r="G236" s="18" t="str">
        <f>IF($F236="","",IFERROR(INDEX(Items!$B$5:$B$597,MATCH($F236,Items!$A$5:$A$597,0)),"⚠ not in Items"))</f>
        <v>Gloves</v>
      </c>
      <c r="H236" s="19" t="str">
        <f>IF($F236="","",IFERROR(INDEX(Items!$C$5:$C$597,MATCH($F236,Items!$A$5:$A$597,0)),""))</f>
        <v>Large</v>
      </c>
      <c r="I236" s="23">
        <f>IF($F236="","",IFERROR(INDEX(Items!$E$5:$E$597,MATCH($F236,Items!$A$5:$A$597,0)),""))</f>
        <v>500</v>
      </c>
      <c r="J236" s="115">
        <f>IF(tblIssues[[#This Row],[Qty Override]]&lt;&gt;"",tblIssues[[#This Row],[Qty Override]],IF(tblIssues[[#This Row],[Standard Issue]]="","",tblIssues[[#This Row],[Standard Issue]]))</f>
        <v>500</v>
      </c>
      <c r="K236" s="20">
        <f>IF($F236="","",IFERROR(INDEX(Items!$D$5:$D$597,MATCH($F236,Items!$A$5:$A$597,0)),""))</f>
        <v>5.5E-2</v>
      </c>
      <c r="L236" s="21">
        <f t="shared" si="39"/>
        <v>27.5</v>
      </c>
      <c r="M236" s="9" t="str">
        <f t="shared" si="40"/>
        <v>ZIM510135932</v>
      </c>
      <c r="N236" s="24">
        <f>IF($A236="","",WORKDAY($A236,Settings!$C$9,HolidayDates))</f>
        <v>46134</v>
      </c>
      <c r="O236" s="24">
        <f>IF($N236="","",WORKDAY($N236,Settings!$C$10,HolidayDates))</f>
        <v>46174</v>
      </c>
      <c r="P236" s="10" t="s">
        <v>501</v>
      </c>
      <c r="Q236" s="52" t="str">
        <f t="shared" si="42"/>
        <v>Collected</v>
      </c>
      <c r="R236" s="55" t="str">
        <f t="shared" si="43"/>
        <v>2026-04</v>
      </c>
      <c r="S236" s="55">
        <f>IF(OR($B236="",$F236="",$R236=""),"",SUMIFS(tblIssues[Qty Issued],tblIssues[Staff ID],$B236,tblIssues[Item Name],$F236,tblIssues[Month],$R236))</f>
        <v>500</v>
      </c>
      <c r="T236" s="56">
        <f>IF($I236="","",$I236*Settings!$C$11)</f>
        <v>500</v>
      </c>
      <c r="U236" s="57" t="str">
        <f t="shared" si="41"/>
        <v>OK</v>
      </c>
      <c r="V236" s="55" t="str">
        <f t="shared" si="44"/>
        <v/>
      </c>
      <c r="W236" s="55" t="str">
        <f>IF($V236="","",IF(COUNTIF($V$5:$V236,$V236)=1,1,""))</f>
        <v/>
      </c>
      <c r="X236" s="58" t="str">
        <f>IF($W236="","",MAX($X$4:X235)+1)</f>
        <v/>
      </c>
      <c r="Y236" s="62"/>
      <c r="Z236" s="62"/>
      <c r="AA236" s="64" t="str">
        <f>IF($C236="","",IFERROR(INDEX('Staff Directory'!$E$5:$E$594,MATCH($C236,'Staff Directory'!$B$5:$B$594,0)),""))</f>
        <v>firstname189.lastname189@example.com</v>
      </c>
      <c r="AB236" s="64" t="str">
        <f>IF($C236="","",IF(ISNUMBER(SEARCH($D236,Settings!$C$15)),"Pickup","Dispatch"))</f>
        <v>Pickup</v>
      </c>
      <c r="AC236" s="64" t="str">
        <f t="shared" si="45"/>
        <v>Supply order ready for pickup</v>
      </c>
      <c r="AD236" s="64" t="str">
        <f t="shared" si="36"/>
        <v>Dear PSW,
Your order is ready for pickup from Sample Branch, Wed-Fri 9am-4pm.</v>
      </c>
      <c r="AE236" s="64" t="str">
        <f t="shared" si="37"/>
        <v>mailto:firstname189.lastname189@example.com?subject=Supply%20order%20ready%20for%20pickup&amp;body=Dear%20PSW%2C%0A%0AYour%20order%20is%20ready%20for%20pickup%20from%20Sample%20Branch%2C%20Wed-Fri%209am-4pm.</v>
      </c>
      <c r="AF236" s="89" t="str">
        <f t="shared" si="46"/>
        <v>Draft email</v>
      </c>
      <c r="AG236" s="64" t="str">
        <f>IF($C236="","",IFERROR(INDEX('Staff Directory'!$K$595:$K$599,MATCH($C236,'Staff Directory'!$B$5:$B$599,0)),$D236))</f>
        <v>PSW</v>
      </c>
      <c r="AH236" t="str">
        <f>IF($C236="","",IFERROR(INDEX('Staff Directory'!$I$595:$I$599,MATCH($C236,'Staff Directory'!$B$5:$B$599,0))&amp;" "&amp;INDEX('Staff Directory'!$J$595:$J$599,MATCH($C236,'Staff Directory'!$B$5:$B$599,0)),$AG236))</f>
        <v>PSW</v>
      </c>
      <c r="AI236" s="102"/>
      <c r="AJ236" s="101">
        <f>IF($F236="","",SUMIFS($J$5:$J236,$F$5:$F236,$F236))</f>
        <v>5000</v>
      </c>
      <c r="AK236" s="101">
        <f t="shared" si="38"/>
        <v>4501</v>
      </c>
      <c r="AL236" s="66" t="str" cm="1">
        <f t="array" ref="AL236">IF($F236="","",IFERROR(INDEX('Lot Balance'!$B$5:$B$500,MATCH(1,INDEX(('Lot Balance'!$A$5:$A$500=$F236)*('Lot Balance'!$K$5:$K$500&lt;$AK236)*('Lot Balance'!$K$5:$K$500+'Lot Balance'!$D$5:$D$500&gt;=$AK236),0),0)),""))</f>
        <v>ZIM510135932</v>
      </c>
      <c r="AM236" s="66" t="str" cm="1">
        <f t="array" ref="AM236">IF($F236="","",IFERROR(INDEX('Lot Balance'!$B$5:$B$500,MATCH(1,INDEX(('Lot Balance'!$A$5:$A$500=$F236)*('Lot Balance'!$K$5:$K$500&lt;$AJ236)*('Lot Balance'!$K$5:$K$500+'Lot Balance'!$D$5:$D$500&gt;=$AJ236),0),0)),""))</f>
        <v>ZIM510135932</v>
      </c>
      <c r="AN236" s="66" t="str">
        <f>IF($F236="","",IF($AI236&lt;&gt;"",IF(COUNTIFS('Lot Balance'!$A$5:$A$500,$F236,'Lot Balance'!$B$5:$B$500,$AI236)=0,"⚠ override is not a lot of this item",IF($AI236=$AL236,"Override = FEFO","Override - FEFO says "&amp;$AL236)),IF($AL236="","⚠ no receipt on file for this item",IF($AM236&lt;&gt;$AL236,"FEFO auto - split, also "&amp;$AM236,"FEFO auto"))))</f>
        <v>FEFO auto</v>
      </c>
      <c r="AO236" s="114"/>
    </row>
    <row r="237" spans="1:41" x14ac:dyDescent="0.35">
      <c r="A237" s="74">
        <v>46126</v>
      </c>
      <c r="B237" s="18" t="str">
        <f>IF($C237="","",IFERROR(INDEX('Staff Directory'!$A$5:$A$594,MATCH($C237,'Staff Directory'!$B$5:$B$594,0)),"⚠ unknown staff"))</f>
        <v>PSW-126-A6</v>
      </c>
      <c r="C237" s="49" t="s">
        <v>1105</v>
      </c>
      <c r="D237" s="19" t="str">
        <f>IF($B237="","",IFERROR(INDEX('Staff Directory'!$C$5:$C$594,MATCH($B237,'Staff Directory'!$A$5:$A$594,0)),""))</f>
        <v>PSW</v>
      </c>
      <c r="E237" s="19" t="str">
        <f>IF($B237="","",IFERROR(INDEX('Staff Directory'!$D$5:$D$594,MATCH($B237,'Staff Directory'!$A$5:$A$594,0)),""))</f>
        <v>A6</v>
      </c>
      <c r="F237" s="9" t="s">
        <v>755</v>
      </c>
      <c r="G237" s="18" t="str">
        <f>IF($F237="","",IFERROR(INDEX(Items!$B$5:$B$597,MATCH($F237,Items!$A$5:$A$597,0)),"⚠ not in Items"))</f>
        <v>Documents</v>
      </c>
      <c r="H237" s="19" t="str">
        <f>IF($F237="","",IFERROR(INDEX(Items!$C$5:$C$597,MATCH($F237,Items!$A$5:$A$597,0)),""))</f>
        <v>Standard</v>
      </c>
      <c r="I237" s="23">
        <f>IF($F237="","",IFERROR(INDEX(Items!$E$5:$E$597,MATCH($F237,Items!$A$5:$A$597,0)),""))</f>
        <v>2</v>
      </c>
      <c r="J237" s="115">
        <f>IF(tblIssues[[#This Row],[Qty Override]]&lt;&gt;"",tblIssues[[#This Row],[Qty Override]],IF(tblIssues[[#This Row],[Standard Issue]]="","",tblIssues[[#This Row],[Standard Issue]]))</f>
        <v>2</v>
      </c>
      <c r="K237" s="20">
        <f>IF($F237="","",IFERROR(INDEX(Items!$D$5:$D$597,MATCH($F237,Items!$A$5:$A$597,0)),""))</f>
        <v>0</v>
      </c>
      <c r="L237" s="21">
        <f t="shared" si="39"/>
        <v>0</v>
      </c>
      <c r="M237" s="9" t="str">
        <f t="shared" si="40"/>
        <v/>
      </c>
      <c r="N237" s="24">
        <f>IF($A237="","",WORKDAY($A237,Settings!$C$9,HolidayDates))</f>
        <v>46134</v>
      </c>
      <c r="O237" s="24">
        <f>IF($N237="","",WORKDAY($N237,Settings!$C$10,HolidayDates))</f>
        <v>46174</v>
      </c>
      <c r="P237" s="10" t="s">
        <v>501</v>
      </c>
      <c r="Q237" s="52" t="str">
        <f t="shared" si="42"/>
        <v>Collected</v>
      </c>
      <c r="R237" s="55" t="str">
        <f t="shared" si="43"/>
        <v>2026-04</v>
      </c>
      <c r="S237" s="55">
        <f>IF(OR($B237="",$F237="",$R237=""),"",SUMIFS(tblIssues[Qty Issued],tblIssues[Staff ID],$B237,tblIssues[Item Name],$F237,tblIssues[Month],$R237))</f>
        <v>2</v>
      </c>
      <c r="T237" s="56">
        <f>IF($I237="","",$I237*Settings!$C$11)</f>
        <v>2</v>
      </c>
      <c r="U237" s="57" t="str">
        <f t="shared" si="41"/>
        <v>OK</v>
      </c>
      <c r="V237" s="55" t="str">
        <f t="shared" si="44"/>
        <v/>
      </c>
      <c r="W237" s="55" t="str">
        <f>IF($V237="","",IF(COUNTIF($V$5:$V237,$V237)=1,1,""))</f>
        <v/>
      </c>
      <c r="X237" s="58" t="str">
        <f>IF($W237="","",MAX($X$4:X236)+1)</f>
        <v/>
      </c>
      <c r="Y237" s="62"/>
      <c r="Z237" s="62"/>
      <c r="AA237" s="64" t="str">
        <f>IF($C237="","",IFERROR(INDEX('Staff Directory'!$E$5:$E$594,MATCH($C237,'Staff Directory'!$B$5:$B$594,0)),""))</f>
        <v>firstname189.lastname189@example.com</v>
      </c>
      <c r="AB237" s="64" t="str">
        <f>IF($C237="","",IF(ISNUMBER(SEARCH($D237,Settings!$C$15)),"Pickup","Dispatch"))</f>
        <v>Pickup</v>
      </c>
      <c r="AC237" s="64" t="str">
        <f t="shared" si="45"/>
        <v>Supply order ready for pickup</v>
      </c>
      <c r="AD237" s="64" t="str">
        <f t="shared" si="36"/>
        <v>Dear PSW,
Your order is ready for pickup from Sample Branch, Wed-Fri 9am-4pm.</v>
      </c>
      <c r="AE237" s="64" t="str">
        <f t="shared" si="37"/>
        <v>mailto:firstname189.lastname189@example.com?subject=Supply%20order%20ready%20for%20pickup&amp;body=Dear%20PSW%2C%0A%0AYour%20order%20is%20ready%20for%20pickup%20from%20Sample%20Branch%2C%20Wed-Fri%209am-4pm.</v>
      </c>
      <c r="AF237" s="89" t="str">
        <f t="shared" si="46"/>
        <v>Draft email</v>
      </c>
      <c r="AG237" s="64" t="str">
        <f>IF($C237="","",IFERROR(INDEX('Staff Directory'!$K$595:$K$599,MATCH($C237,'Staff Directory'!$B$5:$B$599,0)),$D237))</f>
        <v>PSW</v>
      </c>
      <c r="AH237" t="str">
        <f>IF($C237="","",IFERROR(INDEX('Staff Directory'!$I$595:$I$599,MATCH($C237,'Staff Directory'!$B$5:$B$599,0))&amp;" "&amp;INDEX('Staff Directory'!$J$595:$J$599,MATCH($C237,'Staff Directory'!$B$5:$B$599,0)),$AG237))</f>
        <v>PSW</v>
      </c>
      <c r="AI237" s="102"/>
      <c r="AJ237" s="101">
        <f>IF($F237="","",SUMIFS($J$5:$J237,$F$5:$F237,$F237))</f>
        <v>60</v>
      </c>
      <c r="AK237" s="101">
        <f t="shared" si="38"/>
        <v>59</v>
      </c>
      <c r="AL237" s="66" t="str" cm="1">
        <f t="array" ref="AL237">IF($F237="","",IFERROR(INDEX('Lot Balance'!$B$5:$B$500,MATCH(1,INDEX(('Lot Balance'!$A$5:$A$500=$F237)*('Lot Balance'!$K$5:$K$500&lt;$AK237)*('Lot Balance'!$K$5:$K$500+'Lot Balance'!$D$5:$D$500&gt;=$AK237),0),0)),""))</f>
        <v/>
      </c>
      <c r="AM237" s="66" t="str" cm="1">
        <f t="array" ref="AM237">IF($F237="","",IFERROR(INDEX('Lot Balance'!$B$5:$B$500,MATCH(1,INDEX(('Lot Balance'!$A$5:$A$500=$F237)*('Lot Balance'!$K$5:$K$500&lt;$AJ237)*('Lot Balance'!$K$5:$K$500+'Lot Balance'!$D$5:$D$500&gt;=$AJ237),0),0)),""))</f>
        <v/>
      </c>
      <c r="AN237" s="66" t="str">
        <f>IF($F237="","",IF($AI237&lt;&gt;"",IF(COUNTIFS('Lot Balance'!$A$5:$A$500,$F237,'Lot Balance'!$B$5:$B$500,$AI237)=0,"⚠ override is not a lot of this item",IF($AI237=$AL237,"Override = FEFO","Override - FEFO says "&amp;$AL237)),IF($AL237="","⚠ no receipt on file for this item",IF($AM237&lt;&gt;$AL237,"FEFO auto - split, also "&amp;$AM237,"FEFO auto"))))</f>
        <v>⚠ no receipt on file for this item</v>
      </c>
      <c r="AO237" s="114"/>
    </row>
    <row r="238" spans="1:41" x14ac:dyDescent="0.35">
      <c r="A238" s="74">
        <v>46127</v>
      </c>
      <c r="B238" s="18" t="str">
        <f>IF($C238="","",IFERROR(INDEX('Staff Directory'!$A$5:$A$594,MATCH($C238,'Staff Directory'!$B$5:$B$594,0)),"⚠ unknown staff"))</f>
        <v>PSW-068-A7</v>
      </c>
      <c r="C238" s="49" t="s">
        <v>1044</v>
      </c>
      <c r="D238" s="19" t="str">
        <f>IF($B238="","",IFERROR(INDEX('Staff Directory'!$C$5:$C$594,MATCH($B238,'Staff Directory'!$A$5:$A$594,0)),""))</f>
        <v>PSW</v>
      </c>
      <c r="E238" s="19" t="str">
        <f>IF($B238="","",IFERROR(INDEX('Staff Directory'!$D$5:$D$594,MATCH($B238,'Staff Directory'!$A$5:$A$594,0)),""))</f>
        <v>A7</v>
      </c>
      <c r="F238" s="9" t="s">
        <v>127</v>
      </c>
      <c r="G238" s="18" t="str">
        <f>IF($F238="","",IFERROR(INDEX(Items!$B$5:$B$597,MATCH($F238,Items!$A$5:$A$597,0)),"⚠ not in Items"))</f>
        <v>Gloves</v>
      </c>
      <c r="H238" s="19" t="str">
        <f>IF($F238="","",IFERROR(INDEX(Items!$C$5:$C$597,MATCH($F238,Items!$A$5:$A$597,0)),""))</f>
        <v>Medium</v>
      </c>
      <c r="I238" s="23">
        <f>IF($F238="","",IFERROR(INDEX(Items!$E$5:$E$597,MATCH($F238,Items!$A$5:$A$597,0)),""))</f>
        <v>500</v>
      </c>
      <c r="J238" s="115">
        <f>IF(tblIssues[[#This Row],[Qty Override]]&lt;&gt;"",tblIssues[[#This Row],[Qty Override]],IF(tblIssues[[#This Row],[Standard Issue]]="","",tblIssues[[#This Row],[Standard Issue]]))</f>
        <v>500</v>
      </c>
      <c r="K238" s="20">
        <f>IF($F238="","",IFERROR(INDEX(Items!$D$5:$D$597,MATCH($F238,Items!$A$5:$A$597,0)),""))</f>
        <v>5.5E-2</v>
      </c>
      <c r="L238" s="21">
        <f t="shared" si="39"/>
        <v>27.5</v>
      </c>
      <c r="M238" s="9" t="str">
        <f t="shared" si="40"/>
        <v>ZIM504126040-2</v>
      </c>
      <c r="N238" s="24">
        <f>IF($A238="","",WORKDAY($A238,Settings!$C$9,HolidayDates))</f>
        <v>46135</v>
      </c>
      <c r="O238" s="24">
        <f>IF($N238="","",WORKDAY($N238,Settings!$C$10,HolidayDates))</f>
        <v>46175</v>
      </c>
      <c r="P238" s="10" t="s">
        <v>501</v>
      </c>
      <c r="Q238" s="52" t="str">
        <f t="shared" si="42"/>
        <v>Collected</v>
      </c>
      <c r="R238" s="55" t="str">
        <f t="shared" si="43"/>
        <v>2026-04</v>
      </c>
      <c r="S238" s="55">
        <f>IF(OR($B238="",$F238="",$R238=""),"",SUMIFS(tblIssues[Qty Issued],tblIssues[Staff ID],$B238,tblIssues[Item Name],$F238,tblIssues[Month],$R238))</f>
        <v>500</v>
      </c>
      <c r="T238" s="56">
        <f>IF($I238="","",$I238*Settings!$C$11)</f>
        <v>500</v>
      </c>
      <c r="U238" s="57" t="str">
        <f t="shared" si="41"/>
        <v>OK</v>
      </c>
      <c r="V238" s="55" t="str">
        <f t="shared" si="44"/>
        <v/>
      </c>
      <c r="W238" s="55" t="str">
        <f>IF($V238="","",IF(COUNTIF($V$5:$V238,$V238)=1,1,""))</f>
        <v/>
      </c>
      <c r="X238" s="58" t="str">
        <f>IF($W238="","",MAX($X$4:X237)+1)</f>
        <v/>
      </c>
      <c r="Y238" s="62"/>
      <c r="Z238" s="62"/>
      <c r="AA238" s="64" t="str">
        <f>IF($C238="","",IFERROR(INDEX('Staff Directory'!$E$5:$E$594,MATCH($C238,'Staff Directory'!$B$5:$B$594,0)),""))</f>
        <v>firstname128.lastname128@example.com</v>
      </c>
      <c r="AB238" s="64" t="str">
        <f>IF($C238="","",IF(ISNUMBER(SEARCH($D238,Settings!$C$15)),"Pickup","Dispatch"))</f>
        <v>Pickup</v>
      </c>
      <c r="AC238" s="64" t="str">
        <f t="shared" si="45"/>
        <v>Supply order ready for pickup</v>
      </c>
      <c r="AD238" s="64" t="str">
        <f t="shared" si="36"/>
        <v>Dear PSW,
Your order is ready for pickup from Sample Branch, Wed-Fri 9am-4pm.</v>
      </c>
      <c r="AE238" s="64" t="str">
        <f t="shared" si="37"/>
        <v>mailto:firstname128.lastname128@example.com?subject=Supply%20order%20ready%20for%20pickup&amp;body=Dear%20PSW%2C%0A%0AYour%20order%20is%20ready%20for%20pickup%20from%20Sample%20Branch%2C%20Wed-Fri%209am-4pm.</v>
      </c>
      <c r="AF238" s="89" t="str">
        <f t="shared" si="46"/>
        <v>Draft email</v>
      </c>
      <c r="AG238" s="64" t="str">
        <f>IF($C238="","",IFERROR(INDEX('Staff Directory'!$K$595:$K$599,MATCH($C238,'Staff Directory'!$B$5:$B$599,0)),$D238))</f>
        <v>PSW</v>
      </c>
      <c r="AH238" t="str">
        <f>IF($C238="","",IFERROR(INDEX('Staff Directory'!$I$595:$I$599,MATCH($C238,'Staff Directory'!$B$5:$B$599,0))&amp;" "&amp;INDEX('Staff Directory'!$J$595:$J$599,MATCH($C238,'Staff Directory'!$B$5:$B$599,0)),$AG238))</f>
        <v>PSW</v>
      </c>
      <c r="AI238" s="102"/>
      <c r="AJ238" s="101">
        <f>IF($F238="","",SUMIFS($J$5:$J238,$F$5:$F238,$F238))</f>
        <v>14500</v>
      </c>
      <c r="AK238" s="101">
        <f t="shared" si="38"/>
        <v>14001</v>
      </c>
      <c r="AL238" s="66" t="str" cm="1">
        <f t="array" ref="AL238">IF($F238="","",IFERROR(INDEX('Lot Balance'!$B$5:$B$500,MATCH(1,INDEX(('Lot Balance'!$A$5:$A$500=$F238)*('Lot Balance'!$K$5:$K$500&lt;$AK238)*('Lot Balance'!$K$5:$K$500+'Lot Balance'!$D$5:$D$500&gt;=$AK238),0),0)),""))</f>
        <v>ZIM504126040-2</v>
      </c>
      <c r="AM238" s="66" t="str" cm="1">
        <f t="array" ref="AM238">IF($F238="","",IFERROR(INDEX('Lot Balance'!$B$5:$B$500,MATCH(1,INDEX(('Lot Balance'!$A$5:$A$500=$F238)*('Lot Balance'!$K$5:$K$500&lt;$AJ238)*('Lot Balance'!$K$5:$K$500+'Lot Balance'!$D$5:$D$500&gt;=$AJ238),0),0)),""))</f>
        <v>ZIM504126040-2</v>
      </c>
      <c r="AN238" s="66" t="str">
        <f>IF($F238="","",IF($AI238&lt;&gt;"",IF(COUNTIFS('Lot Balance'!$A$5:$A$500,$F238,'Lot Balance'!$B$5:$B$500,$AI238)=0,"⚠ override is not a lot of this item",IF($AI238=$AL238,"Override = FEFO","Override - FEFO says "&amp;$AL238)),IF($AL238="","⚠ no receipt on file for this item",IF($AM238&lt;&gt;$AL238,"FEFO auto - split, also "&amp;$AM238,"FEFO auto"))))</f>
        <v>FEFO auto</v>
      </c>
      <c r="AO238" s="114"/>
    </row>
    <row r="239" spans="1:41" x14ac:dyDescent="0.35">
      <c r="A239" s="74">
        <v>46127</v>
      </c>
      <c r="B239" s="18" t="str">
        <f>IF($C239="","",IFERROR(INDEX('Staff Directory'!$A$5:$A$594,MATCH($C239,'Staff Directory'!$B$5:$B$594,0)),"⚠ unknown staff"))</f>
        <v>PSW-068-A7</v>
      </c>
      <c r="C239" s="49" t="s">
        <v>1044</v>
      </c>
      <c r="D239" s="19" t="str">
        <f>IF($B239="","",IFERROR(INDEX('Staff Directory'!$C$5:$C$594,MATCH($B239,'Staff Directory'!$A$5:$A$594,0)),""))</f>
        <v>PSW</v>
      </c>
      <c r="E239" s="19" t="str">
        <f>IF($B239="","",IFERROR(INDEX('Staff Directory'!$D$5:$D$594,MATCH($B239,'Staff Directory'!$A$5:$A$594,0)),""))</f>
        <v>A7</v>
      </c>
      <c r="F239" s="9" t="s">
        <v>191</v>
      </c>
      <c r="G239" s="18" t="str">
        <f>IF($F239="","",IFERROR(INDEX(Items!$B$5:$B$597,MATCH($F239,Items!$A$5:$A$597,0)),"⚠ not in Items"))</f>
        <v>Sanitizer</v>
      </c>
      <c r="H239" s="19" t="str">
        <f>IF($F239="","",IFERROR(INDEX(Items!$C$5:$C$597,MATCH($F239,Items!$A$5:$A$597,0)),""))</f>
        <v>236 ML</v>
      </c>
      <c r="I239" s="23">
        <f>IF($F239="","",IFERROR(INDEX(Items!$E$5:$E$597,MATCH($F239,Items!$A$5:$A$597,0)),""))</f>
        <v>1</v>
      </c>
      <c r="J239" s="115">
        <f>IF(tblIssues[[#This Row],[Qty Override]]&lt;&gt;"",tblIssues[[#This Row],[Qty Override]],IF(tblIssues[[#This Row],[Standard Issue]]="","",tblIssues[[#This Row],[Standard Issue]]))</f>
        <v>1</v>
      </c>
      <c r="K239" s="20">
        <f>IF($F239="","",IFERROR(INDEX(Items!$D$5:$D$597,MATCH($F239,Items!$A$5:$A$597,0)),""))</f>
        <v>1E-4</v>
      </c>
      <c r="L239" s="21">
        <f t="shared" si="39"/>
        <v>1E-4</v>
      </c>
      <c r="M239" s="9" t="str">
        <f t="shared" si="40"/>
        <v>20-21734-1</v>
      </c>
      <c r="N239" s="24">
        <f>IF($A239="","",WORKDAY($A239,Settings!$C$9,HolidayDates))</f>
        <v>46135</v>
      </c>
      <c r="O239" s="24">
        <f>IF($N239="","",WORKDAY($N239,Settings!$C$10,HolidayDates))</f>
        <v>46175</v>
      </c>
      <c r="P239" s="10" t="s">
        <v>501</v>
      </c>
      <c r="Q239" s="52" t="str">
        <f t="shared" si="42"/>
        <v>Collected</v>
      </c>
      <c r="R239" s="55" t="str">
        <f t="shared" si="43"/>
        <v>2026-04</v>
      </c>
      <c r="S239" s="55">
        <f>IF(OR($B239="",$F239="",$R239=""),"",SUMIFS(tblIssues[Qty Issued],tblIssues[Staff ID],$B239,tblIssues[Item Name],$F239,tblIssues[Month],$R239))</f>
        <v>1</v>
      </c>
      <c r="T239" s="56">
        <f>IF($I239="","",$I239*Settings!$C$11)</f>
        <v>1</v>
      </c>
      <c r="U239" s="57" t="str">
        <f t="shared" si="41"/>
        <v>OK</v>
      </c>
      <c r="V239" s="55" t="str">
        <f t="shared" si="44"/>
        <v/>
      </c>
      <c r="W239" s="55" t="str">
        <f>IF($V239="","",IF(COUNTIF($V$5:$V239,$V239)=1,1,""))</f>
        <v/>
      </c>
      <c r="X239" s="58" t="str">
        <f>IF($W239="","",MAX($X$4:X238)+1)</f>
        <v/>
      </c>
      <c r="Y239" s="62"/>
      <c r="Z239" s="62"/>
      <c r="AA239" s="64" t="str">
        <f>IF($C239="","",IFERROR(INDEX('Staff Directory'!$E$5:$E$594,MATCH($C239,'Staff Directory'!$B$5:$B$594,0)),""))</f>
        <v>firstname128.lastname128@example.com</v>
      </c>
      <c r="AB239" s="64" t="str">
        <f>IF($C239="","",IF(ISNUMBER(SEARCH($D239,Settings!$C$15)),"Pickup","Dispatch"))</f>
        <v>Pickup</v>
      </c>
      <c r="AC239" s="64" t="str">
        <f t="shared" si="45"/>
        <v>Supply order ready for pickup</v>
      </c>
      <c r="AD239" s="64" t="str">
        <f t="shared" si="36"/>
        <v>Dear PSW,
Your order is ready for pickup from Sample Branch, Wed-Fri 9am-4pm.</v>
      </c>
      <c r="AE239" s="64" t="str">
        <f t="shared" si="37"/>
        <v>mailto:firstname128.lastname128@example.com?subject=Supply%20order%20ready%20for%20pickup&amp;body=Dear%20PSW%2C%0A%0AYour%20order%20is%20ready%20for%20pickup%20from%20Sample%20Branch%2C%20Wed-Fri%209am-4pm.</v>
      </c>
      <c r="AF239" s="89" t="str">
        <f t="shared" si="46"/>
        <v>Draft email</v>
      </c>
      <c r="AG239" s="64" t="str">
        <f>IF($C239="","",IFERROR(INDEX('Staff Directory'!$K$595:$K$599,MATCH($C239,'Staff Directory'!$B$5:$B$599,0)),$D239))</f>
        <v>PSW</v>
      </c>
      <c r="AH239" t="str">
        <f>IF($C239="","",IFERROR(INDEX('Staff Directory'!$I$595:$I$599,MATCH($C239,'Staff Directory'!$B$5:$B$599,0))&amp;" "&amp;INDEX('Staff Directory'!$J$595:$J$599,MATCH($C239,'Staff Directory'!$B$5:$B$599,0)),$AG239))</f>
        <v>PSW</v>
      </c>
      <c r="AI239" s="102"/>
      <c r="AJ239" s="101">
        <f>IF($F239="","",SUMIFS($J$5:$J239,$F$5:$F239,$F239))</f>
        <v>3</v>
      </c>
      <c r="AK239" s="101">
        <f t="shared" si="38"/>
        <v>3</v>
      </c>
      <c r="AL239" s="66" t="str" cm="1">
        <f t="array" ref="AL239">IF($F239="","",IFERROR(INDEX('Lot Balance'!$B$5:$B$500,MATCH(1,INDEX(('Lot Balance'!$A$5:$A$500=$F239)*('Lot Balance'!$K$5:$K$500&lt;$AK239)*('Lot Balance'!$K$5:$K$500+'Lot Balance'!$D$5:$D$500&gt;=$AK239),0),0)),""))</f>
        <v>20-21734-1</v>
      </c>
      <c r="AM239" s="66" t="str" cm="1">
        <f t="array" ref="AM239">IF($F239="","",IFERROR(INDEX('Lot Balance'!$B$5:$B$500,MATCH(1,INDEX(('Lot Balance'!$A$5:$A$500=$F239)*('Lot Balance'!$K$5:$K$500&lt;$AJ239)*('Lot Balance'!$K$5:$K$500+'Lot Balance'!$D$5:$D$500&gt;=$AJ239),0),0)),""))</f>
        <v>20-21734-1</v>
      </c>
      <c r="AN239" s="66" t="str">
        <f>IF($F239="","",IF($AI239&lt;&gt;"",IF(COUNTIFS('Lot Balance'!$A$5:$A$500,$F239,'Lot Balance'!$B$5:$B$500,$AI239)=0,"⚠ override is not a lot of this item",IF($AI239=$AL239,"Override = FEFO","Override - FEFO says "&amp;$AL239)),IF($AL239="","⚠ no receipt on file for this item",IF($AM239&lt;&gt;$AL239,"FEFO auto - split, also "&amp;$AM239,"FEFO auto"))))</f>
        <v>FEFO auto</v>
      </c>
      <c r="AO239" s="114"/>
    </row>
    <row r="240" spans="1:41" x14ac:dyDescent="0.35">
      <c r="A240" s="74">
        <v>46127</v>
      </c>
      <c r="B240" s="18" t="str">
        <f>IF($C240="","",IFERROR(INDEX('Staff Directory'!$A$5:$A$594,MATCH($C240,'Staff Directory'!$B$5:$B$594,0)),"⚠ unknown staff"))</f>
        <v>PSW-068-A7</v>
      </c>
      <c r="C240" s="49" t="s">
        <v>1044</v>
      </c>
      <c r="D240" s="19" t="str">
        <f>IF($B240="","",IFERROR(INDEX('Staff Directory'!$C$5:$C$594,MATCH($B240,'Staff Directory'!$A$5:$A$594,0)),""))</f>
        <v>PSW</v>
      </c>
      <c r="E240" s="19" t="str">
        <f>IF($B240="","",IFERROR(INDEX('Staff Directory'!$D$5:$D$594,MATCH($B240,'Staff Directory'!$A$5:$A$594,0)),""))</f>
        <v>A7</v>
      </c>
      <c r="F240" s="9" t="s">
        <v>115</v>
      </c>
      <c r="G240" s="18" t="str">
        <f>IF($F240="","",IFERROR(INDEX(Items!$B$5:$B$597,MATCH($F240,Items!$A$5:$A$597,0)),"⚠ not in Items"))</f>
        <v>Wipes</v>
      </c>
      <c r="H240" s="19">
        <f>IF($F240="","",IFERROR(INDEX(Items!$C$5:$C$597,MATCH($F240,Items!$A$5:$A$597,0)),""))</f>
        <v>80</v>
      </c>
      <c r="I240" s="23">
        <f>IF($F240="","",IFERROR(INDEX(Items!$E$5:$E$597,MATCH($F240,Items!$A$5:$A$597,0)),""))</f>
        <v>80</v>
      </c>
      <c r="J240" s="115">
        <f>IF(tblIssues[[#This Row],[Qty Override]]&lt;&gt;"",tblIssues[[#This Row],[Qty Override]],IF(tblIssues[[#This Row],[Standard Issue]]="","",tblIssues[[#This Row],[Standard Issue]]))</f>
        <v>80</v>
      </c>
      <c r="K240" s="20">
        <f>IF($F240="","",IFERROR(INDEX(Items!$D$5:$D$597,MATCH($F240,Items!$A$5:$A$597,0)),""))</f>
        <v>0.1</v>
      </c>
      <c r="L240" s="21">
        <f t="shared" si="39"/>
        <v>8</v>
      </c>
      <c r="M240" s="9" t="str">
        <f t="shared" si="40"/>
        <v>LYSL500290</v>
      </c>
      <c r="N240" s="24">
        <f>IF($A240="","",WORKDAY($A240,Settings!$C$9,HolidayDates))</f>
        <v>46135</v>
      </c>
      <c r="O240" s="24">
        <f>IF($N240="","",WORKDAY($N240,Settings!$C$10,HolidayDates))</f>
        <v>46175</v>
      </c>
      <c r="P240" s="10" t="s">
        <v>501</v>
      </c>
      <c r="Q240" s="52" t="str">
        <f t="shared" si="42"/>
        <v>Collected</v>
      </c>
      <c r="R240" s="55" t="str">
        <f t="shared" si="43"/>
        <v>2026-04</v>
      </c>
      <c r="S240" s="55">
        <f>IF(OR($B240="",$F240="",$R240=""),"",SUMIFS(tblIssues[Qty Issued],tblIssues[Staff ID],$B240,tblIssues[Item Name],$F240,tblIssues[Month],$R240))</f>
        <v>80</v>
      </c>
      <c r="T240" s="56">
        <f>IF($I240="","",$I240*Settings!$C$11)</f>
        <v>80</v>
      </c>
      <c r="U240" s="57" t="str">
        <f t="shared" si="41"/>
        <v>OK</v>
      </c>
      <c r="V240" s="55" t="str">
        <f t="shared" si="44"/>
        <v/>
      </c>
      <c r="W240" s="55" t="str">
        <f>IF($V240="","",IF(COUNTIF($V$5:$V240,$V240)=1,1,""))</f>
        <v/>
      </c>
      <c r="X240" s="58" t="str">
        <f>IF($W240="","",MAX($X$4:X239)+1)</f>
        <v/>
      </c>
      <c r="Y240" s="62"/>
      <c r="Z240" s="62"/>
      <c r="AA240" s="64" t="str">
        <f>IF($C240="","",IFERROR(INDEX('Staff Directory'!$E$5:$E$594,MATCH($C240,'Staff Directory'!$B$5:$B$594,0)),""))</f>
        <v>firstname128.lastname128@example.com</v>
      </c>
      <c r="AB240" s="64" t="str">
        <f>IF($C240="","",IF(ISNUMBER(SEARCH($D240,Settings!$C$15)),"Pickup","Dispatch"))</f>
        <v>Pickup</v>
      </c>
      <c r="AC240" s="64" t="str">
        <f t="shared" si="45"/>
        <v>Supply order ready for pickup</v>
      </c>
      <c r="AD240" s="64" t="str">
        <f t="shared" si="36"/>
        <v>Dear PSW,
Your order is ready for pickup from Sample Branch, Wed-Fri 9am-4pm.</v>
      </c>
      <c r="AE240" s="64" t="str">
        <f t="shared" si="37"/>
        <v>mailto:firstname128.lastname128@example.com?subject=Supply%20order%20ready%20for%20pickup&amp;body=Dear%20PSW%2C%0A%0AYour%20order%20is%20ready%20for%20pickup%20from%20Sample%20Branch%2C%20Wed-Fri%209am-4pm.</v>
      </c>
      <c r="AF240" s="89" t="str">
        <f t="shared" si="46"/>
        <v>Draft email</v>
      </c>
      <c r="AG240" s="64" t="str">
        <f>IF($C240="","",IFERROR(INDEX('Staff Directory'!$K$595:$K$599,MATCH($C240,'Staff Directory'!$B$5:$B$599,0)),$D240))</f>
        <v>PSW</v>
      </c>
      <c r="AH240" t="str">
        <f>IF($C240="","",IFERROR(INDEX('Staff Directory'!$I$595:$I$599,MATCH($C240,'Staff Directory'!$B$5:$B$599,0))&amp;" "&amp;INDEX('Staff Directory'!$J$595:$J$599,MATCH($C240,'Staff Directory'!$B$5:$B$599,0)),$AG240))</f>
        <v>PSW</v>
      </c>
      <c r="AI240" s="102"/>
      <c r="AJ240" s="101">
        <f>IF($F240="","",SUMIFS($J$5:$J240,$F$5:$F240,$F240))</f>
        <v>3520</v>
      </c>
      <c r="AK240" s="101">
        <f t="shared" si="38"/>
        <v>3441</v>
      </c>
      <c r="AL240" s="66" t="str" cm="1">
        <f t="array" ref="AL240">IF($F240="","",IFERROR(INDEX('Lot Balance'!$B$5:$B$500,MATCH(1,INDEX(('Lot Balance'!$A$5:$A$500=$F240)*('Lot Balance'!$K$5:$K$500&lt;$AK240)*('Lot Balance'!$K$5:$K$500+'Lot Balance'!$D$5:$D$500&gt;=$AK240),0),0)),""))</f>
        <v>LYSL500290</v>
      </c>
      <c r="AM240" s="66" t="str" cm="1">
        <f t="array" ref="AM240">IF($F240="","",IFERROR(INDEX('Lot Balance'!$B$5:$B$500,MATCH(1,INDEX(('Lot Balance'!$A$5:$A$500=$F240)*('Lot Balance'!$K$5:$K$500&lt;$AJ240)*('Lot Balance'!$K$5:$K$500+'Lot Balance'!$D$5:$D$500&gt;=$AJ240),0),0)),""))</f>
        <v>LYSL500290</v>
      </c>
      <c r="AN240" s="66" t="str">
        <f>IF($F240="","",IF($AI240&lt;&gt;"",IF(COUNTIFS('Lot Balance'!$A$5:$A$500,$F240,'Lot Balance'!$B$5:$B$500,$AI240)=0,"⚠ override is not a lot of this item",IF($AI240=$AL240,"Override = FEFO","Override - FEFO says "&amp;$AL240)),IF($AL240="","⚠ no receipt on file for this item",IF($AM240&lt;&gt;$AL240,"FEFO auto - split, also "&amp;$AM240,"FEFO auto"))))</f>
        <v>FEFO auto</v>
      </c>
      <c r="AO240" s="114"/>
    </row>
    <row r="241" spans="1:41" x14ac:dyDescent="0.35">
      <c r="A241" s="74">
        <v>46127</v>
      </c>
      <c r="B241" s="18" t="str">
        <f>IF($C241="","",IFERROR(INDEX('Staff Directory'!$A$5:$A$594,MATCH($C241,'Staff Directory'!$B$5:$B$594,0)),"⚠ unknown staff"))</f>
        <v>PSW-068-A7</v>
      </c>
      <c r="C241" s="49" t="s">
        <v>1044</v>
      </c>
      <c r="D241" s="19" t="str">
        <f>IF($B241="","",IFERROR(INDEX('Staff Directory'!$C$5:$C$594,MATCH($B241,'Staff Directory'!$A$5:$A$594,0)),""))</f>
        <v>PSW</v>
      </c>
      <c r="E241" s="19" t="str">
        <f>IF($B241="","",IFERROR(INDEX('Staff Directory'!$D$5:$D$594,MATCH($B241,'Staff Directory'!$A$5:$A$594,0)),""))</f>
        <v>A7</v>
      </c>
      <c r="F241" s="9" t="s">
        <v>156</v>
      </c>
      <c r="G241" s="18" t="str">
        <f>IF($F241="","",IFERROR(INDEX(Items!$B$5:$B$597,MATCH($F241,Items!$A$5:$A$597,0)),"⚠ not in Items"))</f>
        <v>Masks</v>
      </c>
      <c r="H241" s="19" t="str">
        <f>IF($F241="","",IFERROR(INDEX(Items!$C$5:$C$597,MATCH($F241,Items!$A$5:$A$597,0)),""))</f>
        <v>One Size</v>
      </c>
      <c r="I241" s="23">
        <f>IF($F241="","",IFERROR(INDEX(Items!$E$5:$E$597,MATCH($F241,Items!$A$5:$A$597,0)),""))</f>
        <v>50</v>
      </c>
      <c r="J241" s="115">
        <f>IF(tblIssues[[#This Row],[Qty Override]]&lt;&gt;"",tblIssues[[#This Row],[Qty Override]],IF(tblIssues[[#This Row],[Standard Issue]]="","",tblIssues[[#This Row],[Standard Issue]]))</f>
        <v>50</v>
      </c>
      <c r="K241" s="20">
        <f>IF($F241="","",IFERROR(INDEX(Items!$D$5:$D$597,MATCH($F241,Items!$A$5:$A$597,0)),""))</f>
        <v>0.25</v>
      </c>
      <c r="L241" s="21">
        <f t="shared" si="39"/>
        <v>12.5</v>
      </c>
      <c r="M241" s="9" t="str">
        <f t="shared" si="40"/>
        <v>0125FPC24-0</v>
      </c>
      <c r="N241" s="24">
        <f>IF($A241="","",WORKDAY($A241,Settings!$C$9,HolidayDates))</f>
        <v>46135</v>
      </c>
      <c r="O241" s="24">
        <f>IF($N241="","",WORKDAY($N241,Settings!$C$10,HolidayDates))</f>
        <v>46175</v>
      </c>
      <c r="P241" s="10" t="s">
        <v>501</v>
      </c>
      <c r="Q241" s="52" t="str">
        <f t="shared" si="42"/>
        <v>Collected</v>
      </c>
      <c r="R241" s="55" t="str">
        <f t="shared" si="43"/>
        <v>2026-04</v>
      </c>
      <c r="S241" s="55">
        <f>IF(OR($B241="",$F241="",$R241=""),"",SUMIFS(tblIssues[Qty Issued],tblIssues[Staff ID],$B241,tblIssues[Item Name],$F241,tblIssues[Month],$R241))</f>
        <v>50</v>
      </c>
      <c r="T241" s="56">
        <f>IF($I241="","",$I241*Settings!$C$11)</f>
        <v>50</v>
      </c>
      <c r="U241" s="57" t="str">
        <f t="shared" si="41"/>
        <v>OK</v>
      </c>
      <c r="V241" s="55" t="str">
        <f t="shared" si="44"/>
        <v/>
      </c>
      <c r="W241" s="55" t="str">
        <f>IF($V241="","",IF(COUNTIF($V$5:$V241,$V241)=1,1,""))</f>
        <v/>
      </c>
      <c r="X241" s="58" t="str">
        <f>IF($W241="","",MAX($X$4:X240)+1)</f>
        <v/>
      </c>
      <c r="Y241" s="62"/>
      <c r="Z241" s="62"/>
      <c r="AA241" s="64" t="str">
        <f>IF($C241="","",IFERROR(INDEX('Staff Directory'!$E$5:$E$594,MATCH($C241,'Staff Directory'!$B$5:$B$594,0)),""))</f>
        <v>firstname128.lastname128@example.com</v>
      </c>
      <c r="AB241" s="64" t="str">
        <f>IF($C241="","",IF(ISNUMBER(SEARCH($D241,Settings!$C$15)),"Pickup","Dispatch"))</f>
        <v>Pickup</v>
      </c>
      <c r="AC241" s="64" t="str">
        <f t="shared" si="45"/>
        <v>Supply order ready for pickup</v>
      </c>
      <c r="AD241" s="64" t="str">
        <f t="shared" si="36"/>
        <v>Dear PSW,
Your order is ready for pickup from Sample Branch, Wed-Fri 9am-4pm.</v>
      </c>
      <c r="AE241" s="64" t="str">
        <f t="shared" si="37"/>
        <v>mailto:firstname128.lastname128@example.com?subject=Supply%20order%20ready%20for%20pickup&amp;body=Dear%20PSW%2C%0A%0AYour%20order%20is%20ready%20for%20pickup%20from%20Sample%20Branch%2C%20Wed-Fri%209am-4pm.</v>
      </c>
      <c r="AF241" s="89" t="str">
        <f t="shared" si="46"/>
        <v>Draft email</v>
      </c>
      <c r="AG241" s="64" t="str">
        <f>IF($C241="","",IFERROR(INDEX('Staff Directory'!$K$595:$K$599,MATCH($C241,'Staff Directory'!$B$5:$B$599,0)),$D241))</f>
        <v>PSW</v>
      </c>
      <c r="AH241" t="str">
        <f>IF($C241="","",IFERROR(INDEX('Staff Directory'!$I$595:$I$599,MATCH($C241,'Staff Directory'!$B$5:$B$599,0))&amp;" "&amp;INDEX('Staff Directory'!$J$595:$J$599,MATCH($C241,'Staff Directory'!$B$5:$B$599,0)),$AG241))</f>
        <v>PSW</v>
      </c>
      <c r="AI241" s="102"/>
      <c r="AJ241" s="101">
        <f>IF($F241="","",SUMIFS($J$5:$J241,$F$5:$F241,$F241))</f>
        <v>1750</v>
      </c>
      <c r="AK241" s="101">
        <f t="shared" si="38"/>
        <v>1701</v>
      </c>
      <c r="AL241" s="66" t="str" cm="1">
        <f t="array" ref="AL241">IF($F241="","",IFERROR(INDEX('Lot Balance'!$B$5:$B$500,MATCH(1,INDEX(('Lot Balance'!$A$5:$A$500=$F241)*('Lot Balance'!$K$5:$K$500&lt;$AK241)*('Lot Balance'!$K$5:$K$500+'Lot Balance'!$D$5:$D$500&gt;=$AK241),0),0)),""))</f>
        <v>0125FPC24-0</v>
      </c>
      <c r="AM241" s="66" t="str" cm="1">
        <f t="array" ref="AM241">IF($F241="","",IFERROR(INDEX('Lot Balance'!$B$5:$B$500,MATCH(1,INDEX(('Lot Balance'!$A$5:$A$500=$F241)*('Lot Balance'!$K$5:$K$500&lt;$AJ241)*('Lot Balance'!$K$5:$K$500+'Lot Balance'!$D$5:$D$500&gt;=$AJ241),0),0)),""))</f>
        <v>0125FPC24-0</v>
      </c>
      <c r="AN241" s="66" t="str">
        <f>IF($F241="","",IF($AI241&lt;&gt;"",IF(COUNTIFS('Lot Balance'!$A$5:$A$500,$F241,'Lot Balance'!$B$5:$B$500,$AI241)=0,"⚠ override is not a lot of this item",IF($AI241=$AL241,"Override = FEFO","Override - FEFO says "&amp;$AL241)),IF($AL241="","⚠ no receipt on file for this item",IF($AM241&lt;&gt;$AL241,"FEFO auto - split, also "&amp;$AM241,"FEFO auto"))))</f>
        <v>FEFO auto</v>
      </c>
      <c r="AO241" s="114"/>
    </row>
    <row r="242" spans="1:41" x14ac:dyDescent="0.35">
      <c r="A242" s="74">
        <v>46127</v>
      </c>
      <c r="B242" s="18" t="str">
        <f>IF($C242="","",IFERROR(INDEX('Staff Directory'!$A$5:$A$594,MATCH($C242,'Staff Directory'!$B$5:$B$594,0)),"⚠ unknown staff"))</f>
        <v>PSW-068-A7</v>
      </c>
      <c r="C242" s="49" t="s">
        <v>1044</v>
      </c>
      <c r="D242" s="19" t="str">
        <f>IF($B242="","",IFERROR(INDEX('Staff Directory'!$C$5:$C$594,MATCH($B242,'Staff Directory'!$A$5:$A$594,0)),""))</f>
        <v>PSW</v>
      </c>
      <c r="E242" s="19" t="str">
        <f>IF($B242="","",IFERROR(INDEX('Staff Directory'!$D$5:$D$594,MATCH($B242,'Staff Directory'!$A$5:$A$594,0)),""))</f>
        <v>A7</v>
      </c>
      <c r="F242" s="9" t="s">
        <v>755</v>
      </c>
      <c r="G242" s="18" t="str">
        <f>IF($F242="","",IFERROR(INDEX(Items!$B$5:$B$597,MATCH($F242,Items!$A$5:$A$597,0)),"⚠ not in Items"))</f>
        <v>Documents</v>
      </c>
      <c r="H242" s="19" t="str">
        <f>IF($F242="","",IFERROR(INDEX(Items!$C$5:$C$597,MATCH($F242,Items!$A$5:$A$597,0)),""))</f>
        <v>Standard</v>
      </c>
      <c r="I242" s="23">
        <f>IF($F242="","",IFERROR(INDEX(Items!$E$5:$E$597,MATCH($F242,Items!$A$5:$A$597,0)),""))</f>
        <v>2</v>
      </c>
      <c r="J242" s="115">
        <f>IF(tblIssues[[#This Row],[Qty Override]]&lt;&gt;"",tblIssues[[#This Row],[Qty Override]],IF(tblIssues[[#This Row],[Standard Issue]]="","",tblIssues[[#This Row],[Standard Issue]]))</f>
        <v>2</v>
      </c>
      <c r="K242" s="20">
        <f>IF($F242="","",IFERROR(INDEX(Items!$D$5:$D$597,MATCH($F242,Items!$A$5:$A$597,0)),""))</f>
        <v>0</v>
      </c>
      <c r="L242" s="21">
        <f t="shared" si="39"/>
        <v>0</v>
      </c>
      <c r="M242" s="9" t="str">
        <f t="shared" si="40"/>
        <v/>
      </c>
      <c r="N242" s="24">
        <f>IF($A242="","",WORKDAY($A242,Settings!$C$9,HolidayDates))</f>
        <v>46135</v>
      </c>
      <c r="O242" s="24">
        <f>IF($N242="","",WORKDAY($N242,Settings!$C$10,HolidayDates))</f>
        <v>46175</v>
      </c>
      <c r="P242" s="10" t="s">
        <v>501</v>
      </c>
      <c r="Q242" s="52" t="str">
        <f t="shared" si="42"/>
        <v>Collected</v>
      </c>
      <c r="R242" s="55" t="str">
        <f t="shared" si="43"/>
        <v>2026-04</v>
      </c>
      <c r="S242" s="55">
        <f>IF(OR($B242="",$F242="",$R242=""),"",SUMIFS(tblIssues[Qty Issued],tblIssues[Staff ID],$B242,tblIssues[Item Name],$F242,tblIssues[Month],$R242))</f>
        <v>2</v>
      </c>
      <c r="T242" s="56">
        <f>IF($I242="","",$I242*Settings!$C$11)</f>
        <v>2</v>
      </c>
      <c r="U242" s="57" t="str">
        <f t="shared" si="41"/>
        <v>OK</v>
      </c>
      <c r="V242" s="55" t="str">
        <f t="shared" si="44"/>
        <v/>
      </c>
      <c r="W242" s="55" t="str">
        <f>IF($V242="","",IF(COUNTIF($V$5:$V242,$V242)=1,1,""))</f>
        <v/>
      </c>
      <c r="X242" s="58" t="str">
        <f>IF($W242="","",MAX($X$4:X241)+1)</f>
        <v/>
      </c>
      <c r="Y242" s="62"/>
      <c r="Z242" s="62"/>
      <c r="AA242" s="64" t="str">
        <f>IF($C242="","",IFERROR(INDEX('Staff Directory'!$E$5:$E$594,MATCH($C242,'Staff Directory'!$B$5:$B$594,0)),""))</f>
        <v>firstname128.lastname128@example.com</v>
      </c>
      <c r="AB242" s="64" t="str">
        <f>IF($C242="","",IF(ISNUMBER(SEARCH($D242,Settings!$C$15)),"Pickup","Dispatch"))</f>
        <v>Pickup</v>
      </c>
      <c r="AC242" s="64" t="str">
        <f t="shared" si="45"/>
        <v>Supply order ready for pickup</v>
      </c>
      <c r="AD242" s="64" t="str">
        <f t="shared" si="36"/>
        <v>Dear PSW,
Your order is ready for pickup from Sample Branch, Wed-Fri 9am-4pm.</v>
      </c>
      <c r="AE242" s="64" t="str">
        <f t="shared" si="37"/>
        <v>mailto:firstname128.lastname128@example.com?subject=Supply%20order%20ready%20for%20pickup&amp;body=Dear%20PSW%2C%0A%0AYour%20order%20is%20ready%20for%20pickup%20from%20Sample%20Branch%2C%20Wed-Fri%209am-4pm.</v>
      </c>
      <c r="AF242" s="89" t="str">
        <f t="shared" si="46"/>
        <v>Draft email</v>
      </c>
      <c r="AG242" s="64" t="str">
        <f>IF($C242="","",IFERROR(INDEX('Staff Directory'!$K$595:$K$599,MATCH($C242,'Staff Directory'!$B$5:$B$599,0)),$D242))</f>
        <v>PSW</v>
      </c>
      <c r="AH242" t="str">
        <f>IF($C242="","",IFERROR(INDEX('Staff Directory'!$I$595:$I$599,MATCH($C242,'Staff Directory'!$B$5:$B$599,0))&amp;" "&amp;INDEX('Staff Directory'!$J$595:$J$599,MATCH($C242,'Staff Directory'!$B$5:$B$599,0)),$AG242))</f>
        <v>PSW</v>
      </c>
      <c r="AI242" s="102"/>
      <c r="AJ242" s="101">
        <f>IF($F242="","",SUMIFS($J$5:$J242,$F$5:$F242,$F242))</f>
        <v>62</v>
      </c>
      <c r="AK242" s="101">
        <f t="shared" si="38"/>
        <v>61</v>
      </c>
      <c r="AL242" s="66" t="str" cm="1">
        <f t="array" ref="AL242">IF($F242="","",IFERROR(INDEX('Lot Balance'!$B$5:$B$500,MATCH(1,INDEX(('Lot Balance'!$A$5:$A$500=$F242)*('Lot Balance'!$K$5:$K$500&lt;$AK242)*('Lot Balance'!$K$5:$K$500+'Lot Balance'!$D$5:$D$500&gt;=$AK242),0),0)),""))</f>
        <v/>
      </c>
      <c r="AM242" s="66" t="str" cm="1">
        <f t="array" ref="AM242">IF($F242="","",IFERROR(INDEX('Lot Balance'!$B$5:$B$500,MATCH(1,INDEX(('Lot Balance'!$A$5:$A$500=$F242)*('Lot Balance'!$K$5:$K$500&lt;$AJ242)*('Lot Balance'!$K$5:$K$500+'Lot Balance'!$D$5:$D$500&gt;=$AJ242),0),0)),""))</f>
        <v/>
      </c>
      <c r="AN242" s="66" t="str">
        <f>IF($F242="","",IF($AI242&lt;&gt;"",IF(COUNTIFS('Lot Balance'!$A$5:$A$500,$F242,'Lot Balance'!$B$5:$B$500,$AI242)=0,"⚠ override is not a lot of this item",IF($AI242=$AL242,"Override = FEFO","Override - FEFO says "&amp;$AL242)),IF($AL242="","⚠ no receipt on file for this item",IF($AM242&lt;&gt;$AL242,"FEFO auto - split, also "&amp;$AM242,"FEFO auto"))))</f>
        <v>⚠ no receipt on file for this item</v>
      </c>
      <c r="AO242" s="114"/>
    </row>
    <row r="243" spans="1:41" x14ac:dyDescent="0.35">
      <c r="A243" s="74">
        <v>46127</v>
      </c>
      <c r="B243" s="18" t="str">
        <f>IF($C243="","",IFERROR(INDEX('Staff Directory'!$A$5:$A$594,MATCH($C243,'Staff Directory'!$B$5:$B$594,0)),"⚠ unknown staff"))</f>
        <v>PSW-069-A4</v>
      </c>
      <c r="C243" s="49" t="s">
        <v>1045</v>
      </c>
      <c r="D243" s="19" t="str">
        <f>IF($B243="","",IFERROR(INDEX('Staff Directory'!$C$5:$C$594,MATCH($B243,'Staff Directory'!$A$5:$A$594,0)),""))</f>
        <v>PSW</v>
      </c>
      <c r="E243" s="19" t="str">
        <f>IF($B243="","",IFERROR(INDEX('Staff Directory'!$D$5:$D$594,MATCH($B243,'Staff Directory'!$A$5:$A$594,0)),""))</f>
        <v>A4</v>
      </c>
      <c r="F243" s="9" t="s">
        <v>129</v>
      </c>
      <c r="G243" s="18" t="str">
        <f>IF($F243="","",IFERROR(INDEX(Items!$B$5:$B$597,MATCH($F243,Items!$A$5:$A$597,0)),"⚠ not in Items"))</f>
        <v>Gloves</v>
      </c>
      <c r="H243" s="19" t="str">
        <f>IF($F243="","",IFERROR(INDEX(Items!$C$5:$C$597,MATCH($F243,Items!$A$5:$A$597,0)),""))</f>
        <v>Small</v>
      </c>
      <c r="I243" s="23">
        <f>IF($F243="","",IFERROR(INDEX(Items!$E$5:$E$597,MATCH($F243,Items!$A$5:$A$597,0)),""))</f>
        <v>500</v>
      </c>
      <c r="J243" s="115">
        <f>IF(tblIssues[[#This Row],[Qty Override]]&lt;&gt;"",tblIssues[[#This Row],[Qty Override]],IF(tblIssues[[#This Row],[Standard Issue]]="","",tblIssues[[#This Row],[Standard Issue]]))</f>
        <v>500</v>
      </c>
      <c r="K243" s="20">
        <f>IF($F243="","",IFERROR(INDEX(Items!$D$5:$D$597,MATCH($F243,Items!$A$5:$A$597,0)),""))</f>
        <v>5.5E-2</v>
      </c>
      <c r="L243" s="21">
        <f t="shared" si="39"/>
        <v>27.5</v>
      </c>
      <c r="M243" s="9" t="str">
        <f t="shared" si="40"/>
        <v>ZIM504124207-5</v>
      </c>
      <c r="N243" s="24">
        <f>IF($A243="","",WORKDAY($A243,Settings!$C$9,HolidayDates))</f>
        <v>46135</v>
      </c>
      <c r="O243" s="24">
        <f>IF($N243="","",WORKDAY($N243,Settings!$C$10,HolidayDates))</f>
        <v>46175</v>
      </c>
      <c r="P243" s="10" t="s">
        <v>501</v>
      </c>
      <c r="Q243" s="52" t="str">
        <f t="shared" si="42"/>
        <v>Collected</v>
      </c>
      <c r="R243" s="55" t="str">
        <f t="shared" si="43"/>
        <v>2026-04</v>
      </c>
      <c r="S243" s="55">
        <f>IF(OR($B243="",$F243="",$R243=""),"",SUMIFS(tblIssues[Qty Issued],tblIssues[Staff ID],$B243,tblIssues[Item Name],$F243,tblIssues[Month],$R243))</f>
        <v>500</v>
      </c>
      <c r="T243" s="56">
        <f>IF($I243="","",$I243*Settings!$C$11)</f>
        <v>500</v>
      </c>
      <c r="U243" s="57" t="str">
        <f t="shared" si="41"/>
        <v>OK</v>
      </c>
      <c r="V243" s="55" t="str">
        <f t="shared" si="44"/>
        <v/>
      </c>
      <c r="W243" s="55" t="str">
        <f>IF($V243="","",IF(COUNTIF($V$5:$V243,$V243)=1,1,""))</f>
        <v/>
      </c>
      <c r="X243" s="58" t="str">
        <f>IF($W243="","",MAX($X$4:X242)+1)</f>
        <v/>
      </c>
      <c r="Y243" s="62"/>
      <c r="Z243" s="62"/>
      <c r="AA243" s="64" t="str">
        <f>IF($C243="","",IFERROR(INDEX('Staff Directory'!$E$5:$E$594,MATCH($C243,'Staff Directory'!$B$5:$B$594,0)),""))</f>
        <v>firstname129.lastname129@example.com</v>
      </c>
      <c r="AB243" s="64" t="str">
        <f>IF($C243="","",IF(ISNUMBER(SEARCH($D243,Settings!$C$15)),"Pickup","Dispatch"))</f>
        <v>Pickup</v>
      </c>
      <c r="AC243" s="64" t="str">
        <f t="shared" si="45"/>
        <v>Supply order ready for pickup</v>
      </c>
      <c r="AD243" s="64" t="str">
        <f t="shared" si="36"/>
        <v>Dear PSW,
Your order is ready for pickup from Sample Branch, Wed-Fri 9am-4pm.</v>
      </c>
      <c r="AE243" s="64" t="str">
        <f t="shared" si="37"/>
        <v>mailto:firstname129.lastname129@example.com?subject=Supply%20order%20ready%20for%20pickup&amp;body=Dear%20PSW%2C%0A%0AYour%20order%20is%20ready%20for%20pickup%20from%20Sample%20Branch%2C%20Wed-Fri%209am-4pm.</v>
      </c>
      <c r="AF243" s="89" t="str">
        <f t="shared" si="46"/>
        <v>Draft email</v>
      </c>
      <c r="AG243" s="64" t="str">
        <f>IF($C243="","",IFERROR(INDEX('Staff Directory'!$K$595:$K$599,MATCH($C243,'Staff Directory'!$B$5:$B$599,0)),$D243))</f>
        <v>PSW</v>
      </c>
      <c r="AH243" t="str">
        <f>IF($C243="","",IFERROR(INDEX('Staff Directory'!$I$595:$I$599,MATCH($C243,'Staff Directory'!$B$5:$B$599,0))&amp;" "&amp;INDEX('Staff Directory'!$J$595:$J$599,MATCH($C243,'Staff Directory'!$B$5:$B$599,0)),$AG243))</f>
        <v>PSW</v>
      </c>
      <c r="AI243" s="102"/>
      <c r="AJ243" s="101">
        <f>IF($F243="","",SUMIFS($J$5:$J243,$F$5:$F243,$F243))</f>
        <v>11000</v>
      </c>
      <c r="AK243" s="101">
        <f t="shared" si="38"/>
        <v>10501</v>
      </c>
      <c r="AL243" s="66" t="str" cm="1">
        <f t="array" ref="AL243">IF($F243="","",IFERROR(INDEX('Lot Balance'!$B$5:$B$500,MATCH(1,INDEX(('Lot Balance'!$A$5:$A$500=$F243)*('Lot Balance'!$K$5:$K$500&lt;$AK243)*('Lot Balance'!$K$5:$K$500+'Lot Balance'!$D$5:$D$500&gt;=$AK243),0),0)),""))</f>
        <v>ZIM504124207-5</v>
      </c>
      <c r="AM243" s="66" t="str" cm="1">
        <f t="array" ref="AM243">IF($F243="","",IFERROR(INDEX('Lot Balance'!$B$5:$B$500,MATCH(1,INDEX(('Lot Balance'!$A$5:$A$500=$F243)*('Lot Balance'!$K$5:$K$500&lt;$AJ243)*('Lot Balance'!$K$5:$K$500+'Lot Balance'!$D$5:$D$500&gt;=$AJ243),0),0)),""))</f>
        <v>ZIM504124207-5</v>
      </c>
      <c r="AN243" s="66" t="str">
        <f>IF($F243="","",IF($AI243&lt;&gt;"",IF(COUNTIFS('Lot Balance'!$A$5:$A$500,$F243,'Lot Balance'!$B$5:$B$500,$AI243)=0,"⚠ override is not a lot of this item",IF($AI243=$AL243,"Override = FEFO","Override - FEFO says "&amp;$AL243)),IF($AL243="","⚠ no receipt on file for this item",IF($AM243&lt;&gt;$AL243,"FEFO auto - split, also "&amp;$AM243,"FEFO auto"))))</f>
        <v>FEFO auto</v>
      </c>
      <c r="AO243" s="114"/>
    </row>
    <row r="244" spans="1:41" x14ac:dyDescent="0.35">
      <c r="A244" s="74">
        <v>46127</v>
      </c>
      <c r="B244" s="18" t="str">
        <f>IF($C244="","",IFERROR(INDEX('Staff Directory'!$A$5:$A$594,MATCH($C244,'Staff Directory'!$B$5:$B$594,0)),"⚠ unknown staff"))</f>
        <v>PSW-069-A4</v>
      </c>
      <c r="C244" s="49" t="s">
        <v>1045</v>
      </c>
      <c r="D244" s="19" t="str">
        <f>IF($B244="","",IFERROR(INDEX('Staff Directory'!$C$5:$C$594,MATCH($B244,'Staff Directory'!$A$5:$A$594,0)),""))</f>
        <v>PSW</v>
      </c>
      <c r="E244" s="19" t="str">
        <f>IF($B244="","",IFERROR(INDEX('Staff Directory'!$D$5:$D$594,MATCH($B244,'Staff Directory'!$A$5:$A$594,0)),""))</f>
        <v>A4</v>
      </c>
      <c r="F244" s="9" t="s">
        <v>191</v>
      </c>
      <c r="G244" s="18" t="str">
        <f>IF($F244="","",IFERROR(INDEX(Items!$B$5:$B$597,MATCH($F244,Items!$A$5:$A$597,0)),"⚠ not in Items"))</f>
        <v>Sanitizer</v>
      </c>
      <c r="H244" s="19" t="str">
        <f>IF($F244="","",IFERROR(INDEX(Items!$C$5:$C$597,MATCH($F244,Items!$A$5:$A$597,0)),""))</f>
        <v>236 ML</v>
      </c>
      <c r="I244" s="23">
        <f>IF($F244="","",IFERROR(INDEX(Items!$E$5:$E$597,MATCH($F244,Items!$A$5:$A$597,0)),""))</f>
        <v>1</v>
      </c>
      <c r="J244" s="115">
        <f>IF(tblIssues[[#This Row],[Qty Override]]&lt;&gt;"",tblIssues[[#This Row],[Qty Override]],IF(tblIssues[[#This Row],[Standard Issue]]="","",tblIssues[[#This Row],[Standard Issue]]))</f>
        <v>1</v>
      </c>
      <c r="K244" s="20">
        <f>IF($F244="","",IFERROR(INDEX(Items!$D$5:$D$597,MATCH($F244,Items!$A$5:$A$597,0)),""))</f>
        <v>1E-4</v>
      </c>
      <c r="L244" s="21">
        <f t="shared" si="39"/>
        <v>1E-4</v>
      </c>
      <c r="M244" s="9" t="str">
        <f t="shared" si="40"/>
        <v>20-21734-1</v>
      </c>
      <c r="N244" s="24">
        <f>IF($A244="","",WORKDAY($A244,Settings!$C$9,HolidayDates))</f>
        <v>46135</v>
      </c>
      <c r="O244" s="24">
        <f>IF($N244="","",WORKDAY($N244,Settings!$C$10,HolidayDates))</f>
        <v>46175</v>
      </c>
      <c r="P244" s="10" t="s">
        <v>501</v>
      </c>
      <c r="Q244" s="52" t="str">
        <f t="shared" si="42"/>
        <v>Collected</v>
      </c>
      <c r="R244" s="55" t="str">
        <f t="shared" si="43"/>
        <v>2026-04</v>
      </c>
      <c r="S244" s="55">
        <f>IF(OR($B244="",$F244="",$R244=""),"",SUMIFS(tblIssues[Qty Issued],tblIssues[Staff ID],$B244,tblIssues[Item Name],$F244,tblIssues[Month],$R244))</f>
        <v>1</v>
      </c>
      <c r="T244" s="56">
        <f>IF($I244="","",$I244*Settings!$C$11)</f>
        <v>1</v>
      </c>
      <c r="U244" s="57" t="str">
        <f t="shared" si="41"/>
        <v>OK</v>
      </c>
      <c r="V244" s="55" t="str">
        <f t="shared" si="44"/>
        <v/>
      </c>
      <c r="W244" s="55" t="str">
        <f>IF($V244="","",IF(COUNTIF($V$5:$V244,$V244)=1,1,""))</f>
        <v/>
      </c>
      <c r="X244" s="58" t="str">
        <f>IF($W244="","",MAX($X$4:X243)+1)</f>
        <v/>
      </c>
      <c r="Y244" s="62"/>
      <c r="Z244" s="62"/>
      <c r="AA244" s="64" t="str">
        <f>IF($C244="","",IFERROR(INDEX('Staff Directory'!$E$5:$E$594,MATCH($C244,'Staff Directory'!$B$5:$B$594,0)),""))</f>
        <v>firstname129.lastname129@example.com</v>
      </c>
      <c r="AB244" s="64" t="str">
        <f>IF($C244="","",IF(ISNUMBER(SEARCH($D244,Settings!$C$15)),"Pickup","Dispatch"))</f>
        <v>Pickup</v>
      </c>
      <c r="AC244" s="64" t="str">
        <f t="shared" si="45"/>
        <v>Supply order ready for pickup</v>
      </c>
      <c r="AD244" s="64" t="str">
        <f t="shared" si="36"/>
        <v>Dear PSW,
Your order is ready for pickup from Sample Branch, Wed-Fri 9am-4pm.</v>
      </c>
      <c r="AE244" s="64" t="str">
        <f t="shared" si="37"/>
        <v>mailto:firstname129.lastname129@example.com?subject=Supply%20order%20ready%20for%20pickup&amp;body=Dear%20PSW%2C%0A%0AYour%20order%20is%20ready%20for%20pickup%20from%20Sample%20Branch%2C%20Wed-Fri%209am-4pm.</v>
      </c>
      <c r="AF244" s="89" t="str">
        <f t="shared" si="46"/>
        <v>Draft email</v>
      </c>
      <c r="AG244" s="64" t="str">
        <f>IF($C244="","",IFERROR(INDEX('Staff Directory'!$K$595:$K$599,MATCH($C244,'Staff Directory'!$B$5:$B$599,0)),$D244))</f>
        <v>PSW</v>
      </c>
      <c r="AH244" t="str">
        <f>IF($C244="","",IFERROR(INDEX('Staff Directory'!$I$595:$I$599,MATCH($C244,'Staff Directory'!$B$5:$B$599,0))&amp;" "&amp;INDEX('Staff Directory'!$J$595:$J$599,MATCH($C244,'Staff Directory'!$B$5:$B$599,0)),$AG244))</f>
        <v>PSW</v>
      </c>
      <c r="AI244" s="102"/>
      <c r="AJ244" s="101">
        <f>IF($F244="","",SUMIFS($J$5:$J244,$F$5:$F244,$F244))</f>
        <v>4</v>
      </c>
      <c r="AK244" s="101">
        <f t="shared" si="38"/>
        <v>4</v>
      </c>
      <c r="AL244" s="66" t="str" cm="1">
        <f t="array" ref="AL244">IF($F244="","",IFERROR(INDEX('Lot Balance'!$B$5:$B$500,MATCH(1,INDEX(('Lot Balance'!$A$5:$A$500=$F244)*('Lot Balance'!$K$5:$K$500&lt;$AK244)*('Lot Balance'!$K$5:$K$500+'Lot Balance'!$D$5:$D$500&gt;=$AK244),0),0)),""))</f>
        <v>20-21734-1</v>
      </c>
      <c r="AM244" s="66" t="str" cm="1">
        <f t="array" ref="AM244">IF($F244="","",IFERROR(INDEX('Lot Balance'!$B$5:$B$500,MATCH(1,INDEX(('Lot Balance'!$A$5:$A$500=$F244)*('Lot Balance'!$K$5:$K$500&lt;$AJ244)*('Lot Balance'!$K$5:$K$500+'Lot Balance'!$D$5:$D$500&gt;=$AJ244),0),0)),""))</f>
        <v>20-21734-1</v>
      </c>
      <c r="AN244" s="66" t="str">
        <f>IF($F244="","",IF($AI244&lt;&gt;"",IF(COUNTIFS('Lot Balance'!$A$5:$A$500,$F244,'Lot Balance'!$B$5:$B$500,$AI244)=0,"⚠ override is not a lot of this item",IF($AI244=$AL244,"Override = FEFO","Override - FEFO says "&amp;$AL244)),IF($AL244="","⚠ no receipt on file for this item",IF($AM244&lt;&gt;$AL244,"FEFO auto - split, also "&amp;$AM244,"FEFO auto"))))</f>
        <v>FEFO auto</v>
      </c>
      <c r="AO244" s="114"/>
    </row>
    <row r="245" spans="1:41" x14ac:dyDescent="0.35">
      <c r="A245" s="74">
        <v>46127</v>
      </c>
      <c r="B245" s="18" t="str">
        <f>IF($C245="","",IFERROR(INDEX('Staff Directory'!$A$5:$A$594,MATCH($C245,'Staff Directory'!$B$5:$B$594,0)),"⚠ unknown staff"))</f>
        <v>PSW-069-A4</v>
      </c>
      <c r="C245" s="49" t="s">
        <v>1045</v>
      </c>
      <c r="D245" s="19" t="str">
        <f>IF($B245="","",IFERROR(INDEX('Staff Directory'!$C$5:$C$594,MATCH($B245,'Staff Directory'!$A$5:$A$594,0)),""))</f>
        <v>PSW</v>
      </c>
      <c r="E245" s="19" t="str">
        <f>IF($B245="","",IFERROR(INDEX('Staff Directory'!$D$5:$D$594,MATCH($B245,'Staff Directory'!$A$5:$A$594,0)),""))</f>
        <v>A4</v>
      </c>
      <c r="F245" s="9" t="s">
        <v>156</v>
      </c>
      <c r="G245" s="18" t="str">
        <f>IF($F245="","",IFERROR(INDEX(Items!$B$5:$B$597,MATCH($F245,Items!$A$5:$A$597,0)),"⚠ not in Items"))</f>
        <v>Masks</v>
      </c>
      <c r="H245" s="19" t="str">
        <f>IF($F245="","",IFERROR(INDEX(Items!$C$5:$C$597,MATCH($F245,Items!$A$5:$A$597,0)),""))</f>
        <v>One Size</v>
      </c>
      <c r="I245" s="23">
        <f>IF($F245="","",IFERROR(INDEX(Items!$E$5:$E$597,MATCH($F245,Items!$A$5:$A$597,0)),""))</f>
        <v>50</v>
      </c>
      <c r="J245" s="115">
        <f>IF(tblIssues[[#This Row],[Qty Override]]&lt;&gt;"",tblIssues[[#This Row],[Qty Override]],IF(tblIssues[[#This Row],[Standard Issue]]="","",tblIssues[[#This Row],[Standard Issue]]))</f>
        <v>50</v>
      </c>
      <c r="K245" s="20">
        <f>IF($F245="","",IFERROR(INDEX(Items!$D$5:$D$597,MATCH($F245,Items!$A$5:$A$597,0)),""))</f>
        <v>0.25</v>
      </c>
      <c r="L245" s="21">
        <f t="shared" si="39"/>
        <v>12.5</v>
      </c>
      <c r="M245" s="9" t="str">
        <f t="shared" si="40"/>
        <v>0125FPC24-0</v>
      </c>
      <c r="N245" s="24">
        <f>IF($A245="","",WORKDAY($A245,Settings!$C$9,HolidayDates))</f>
        <v>46135</v>
      </c>
      <c r="O245" s="24">
        <f>IF($N245="","",WORKDAY($N245,Settings!$C$10,HolidayDates))</f>
        <v>46175</v>
      </c>
      <c r="P245" s="10" t="s">
        <v>501</v>
      </c>
      <c r="Q245" s="52" t="str">
        <f t="shared" si="42"/>
        <v>Collected</v>
      </c>
      <c r="R245" s="55" t="str">
        <f t="shared" si="43"/>
        <v>2026-04</v>
      </c>
      <c r="S245" s="55">
        <f>IF(OR($B245="",$F245="",$R245=""),"",SUMIFS(tblIssues[Qty Issued],tblIssues[Staff ID],$B245,tblIssues[Item Name],$F245,tblIssues[Month],$R245))</f>
        <v>50</v>
      </c>
      <c r="T245" s="56">
        <f>IF($I245="","",$I245*Settings!$C$11)</f>
        <v>50</v>
      </c>
      <c r="U245" s="57" t="str">
        <f t="shared" si="41"/>
        <v>OK</v>
      </c>
      <c r="V245" s="55" t="str">
        <f t="shared" si="44"/>
        <v/>
      </c>
      <c r="W245" s="55" t="str">
        <f>IF($V245="","",IF(COUNTIF($V$5:$V245,$V245)=1,1,""))</f>
        <v/>
      </c>
      <c r="X245" s="58" t="str">
        <f>IF($W245="","",MAX($X$4:X244)+1)</f>
        <v/>
      </c>
      <c r="Y245" s="62"/>
      <c r="Z245" s="62"/>
      <c r="AA245" s="64" t="str">
        <f>IF($C245="","",IFERROR(INDEX('Staff Directory'!$E$5:$E$594,MATCH($C245,'Staff Directory'!$B$5:$B$594,0)),""))</f>
        <v>firstname129.lastname129@example.com</v>
      </c>
      <c r="AB245" s="64" t="str">
        <f>IF($C245="","",IF(ISNUMBER(SEARCH($D245,Settings!$C$15)),"Pickup","Dispatch"))</f>
        <v>Pickup</v>
      </c>
      <c r="AC245" s="64" t="str">
        <f t="shared" si="45"/>
        <v>Supply order ready for pickup</v>
      </c>
      <c r="AD245" s="64" t="str">
        <f t="shared" si="36"/>
        <v>Dear PSW,
Your order is ready for pickup from Sample Branch, Wed-Fri 9am-4pm.</v>
      </c>
      <c r="AE245" s="64" t="str">
        <f t="shared" si="37"/>
        <v>mailto:firstname129.lastname129@example.com?subject=Supply%20order%20ready%20for%20pickup&amp;body=Dear%20PSW%2C%0A%0AYour%20order%20is%20ready%20for%20pickup%20from%20Sample%20Branch%2C%20Wed-Fri%209am-4pm.</v>
      </c>
      <c r="AF245" s="89" t="str">
        <f t="shared" si="46"/>
        <v>Draft email</v>
      </c>
      <c r="AG245" s="64" t="str">
        <f>IF($C245="","",IFERROR(INDEX('Staff Directory'!$K$595:$K$599,MATCH($C245,'Staff Directory'!$B$5:$B$599,0)),$D245))</f>
        <v>PSW</v>
      </c>
      <c r="AH245" t="str">
        <f>IF($C245="","",IFERROR(INDEX('Staff Directory'!$I$595:$I$599,MATCH($C245,'Staff Directory'!$B$5:$B$599,0))&amp;" "&amp;INDEX('Staff Directory'!$J$595:$J$599,MATCH($C245,'Staff Directory'!$B$5:$B$599,0)),$AG245))</f>
        <v>PSW</v>
      </c>
      <c r="AI245" s="102"/>
      <c r="AJ245" s="101">
        <f>IF($F245="","",SUMIFS($J$5:$J245,$F$5:$F245,$F245))</f>
        <v>1800</v>
      </c>
      <c r="AK245" s="101">
        <f t="shared" si="38"/>
        <v>1751</v>
      </c>
      <c r="AL245" s="66" t="str" cm="1">
        <f t="array" ref="AL245">IF($F245="","",IFERROR(INDEX('Lot Balance'!$B$5:$B$500,MATCH(1,INDEX(('Lot Balance'!$A$5:$A$500=$F245)*('Lot Balance'!$K$5:$K$500&lt;$AK245)*('Lot Balance'!$K$5:$K$500+'Lot Balance'!$D$5:$D$500&gt;=$AK245),0),0)),""))</f>
        <v>0125FPC24-0</v>
      </c>
      <c r="AM245" s="66" t="str" cm="1">
        <f t="array" ref="AM245">IF($F245="","",IFERROR(INDEX('Lot Balance'!$B$5:$B$500,MATCH(1,INDEX(('Lot Balance'!$A$5:$A$500=$F245)*('Lot Balance'!$K$5:$K$500&lt;$AJ245)*('Lot Balance'!$K$5:$K$500+'Lot Balance'!$D$5:$D$500&gt;=$AJ245),0),0)),""))</f>
        <v>0125FPC24-0</v>
      </c>
      <c r="AN245" s="66" t="str">
        <f>IF($F245="","",IF($AI245&lt;&gt;"",IF(COUNTIFS('Lot Balance'!$A$5:$A$500,$F245,'Lot Balance'!$B$5:$B$500,$AI245)=0,"⚠ override is not a lot of this item",IF($AI245=$AL245,"Override = FEFO","Override - FEFO says "&amp;$AL245)),IF($AL245="","⚠ no receipt on file for this item",IF($AM245&lt;&gt;$AL245,"FEFO auto - split, also "&amp;$AM245,"FEFO auto"))))</f>
        <v>FEFO auto</v>
      </c>
      <c r="AO245" s="114"/>
    </row>
    <row r="246" spans="1:41" x14ac:dyDescent="0.35">
      <c r="A246" s="74">
        <v>46127</v>
      </c>
      <c r="B246" s="18" t="str">
        <f>IF($C246="","",IFERROR(INDEX('Staff Directory'!$A$5:$A$594,MATCH($C246,'Staff Directory'!$B$5:$B$594,0)),"⚠ unknown staff"))</f>
        <v>PSW-069-A4</v>
      </c>
      <c r="C246" s="49" t="s">
        <v>1045</v>
      </c>
      <c r="D246" s="19" t="str">
        <f>IF($B246="","",IFERROR(INDEX('Staff Directory'!$C$5:$C$594,MATCH($B246,'Staff Directory'!$A$5:$A$594,0)),""))</f>
        <v>PSW</v>
      </c>
      <c r="E246" s="19" t="str">
        <f>IF($B246="","",IFERROR(INDEX('Staff Directory'!$D$5:$D$594,MATCH($B246,'Staff Directory'!$A$5:$A$594,0)),""))</f>
        <v>A4</v>
      </c>
      <c r="F246" s="9" t="s">
        <v>755</v>
      </c>
      <c r="G246" s="18" t="str">
        <f>IF($F246="","",IFERROR(INDEX(Items!$B$5:$B$597,MATCH($F246,Items!$A$5:$A$597,0)),"⚠ not in Items"))</f>
        <v>Documents</v>
      </c>
      <c r="H246" s="19" t="str">
        <f>IF($F246="","",IFERROR(INDEX(Items!$C$5:$C$597,MATCH($F246,Items!$A$5:$A$597,0)),""))</f>
        <v>Standard</v>
      </c>
      <c r="I246" s="23">
        <f>IF($F246="","",IFERROR(INDEX(Items!$E$5:$E$597,MATCH($F246,Items!$A$5:$A$597,0)),""))</f>
        <v>2</v>
      </c>
      <c r="J246" s="115">
        <f>IF(tblIssues[[#This Row],[Qty Override]]&lt;&gt;"",tblIssues[[#This Row],[Qty Override]],IF(tblIssues[[#This Row],[Standard Issue]]="","",tblIssues[[#This Row],[Standard Issue]]))</f>
        <v>2</v>
      </c>
      <c r="K246" s="20">
        <f>IF($F246="","",IFERROR(INDEX(Items!$D$5:$D$597,MATCH($F246,Items!$A$5:$A$597,0)),""))</f>
        <v>0</v>
      </c>
      <c r="L246" s="21">
        <f t="shared" si="39"/>
        <v>0</v>
      </c>
      <c r="M246" s="9" t="str">
        <f t="shared" si="40"/>
        <v/>
      </c>
      <c r="N246" s="24">
        <f>IF($A246="","",WORKDAY($A246,Settings!$C$9,HolidayDates))</f>
        <v>46135</v>
      </c>
      <c r="O246" s="24">
        <f>IF($N246="","",WORKDAY($N246,Settings!$C$10,HolidayDates))</f>
        <v>46175</v>
      </c>
      <c r="P246" s="10" t="s">
        <v>501</v>
      </c>
      <c r="Q246" s="52" t="str">
        <f t="shared" si="42"/>
        <v>Collected</v>
      </c>
      <c r="R246" s="55" t="str">
        <f t="shared" si="43"/>
        <v>2026-04</v>
      </c>
      <c r="S246" s="55">
        <f>IF(OR($B246="",$F246="",$R246=""),"",SUMIFS(tblIssues[Qty Issued],tblIssues[Staff ID],$B246,tblIssues[Item Name],$F246,tblIssues[Month],$R246))</f>
        <v>2</v>
      </c>
      <c r="T246" s="56">
        <f>IF($I246="","",$I246*Settings!$C$11)</f>
        <v>2</v>
      </c>
      <c r="U246" s="57" t="str">
        <f t="shared" si="41"/>
        <v>OK</v>
      </c>
      <c r="V246" s="55" t="str">
        <f t="shared" si="44"/>
        <v/>
      </c>
      <c r="W246" s="55" t="str">
        <f>IF($V246="","",IF(COUNTIF($V$5:$V246,$V246)=1,1,""))</f>
        <v/>
      </c>
      <c r="X246" s="58" t="str">
        <f>IF($W246="","",MAX($X$4:X245)+1)</f>
        <v/>
      </c>
      <c r="Y246" s="62"/>
      <c r="Z246" s="62"/>
      <c r="AA246" s="64" t="str">
        <f>IF($C246="","",IFERROR(INDEX('Staff Directory'!$E$5:$E$594,MATCH($C246,'Staff Directory'!$B$5:$B$594,0)),""))</f>
        <v>firstname129.lastname129@example.com</v>
      </c>
      <c r="AB246" s="64" t="str">
        <f>IF($C246="","",IF(ISNUMBER(SEARCH($D246,Settings!$C$15)),"Pickup","Dispatch"))</f>
        <v>Pickup</v>
      </c>
      <c r="AC246" s="64" t="str">
        <f t="shared" si="45"/>
        <v>Supply order ready for pickup</v>
      </c>
      <c r="AD246" s="64" t="str">
        <f t="shared" si="36"/>
        <v>Dear PSW,
Your order is ready for pickup from Sample Branch, Wed-Fri 9am-4pm.</v>
      </c>
      <c r="AE246" s="64" t="str">
        <f t="shared" si="37"/>
        <v>mailto:firstname129.lastname129@example.com?subject=Supply%20order%20ready%20for%20pickup&amp;body=Dear%20PSW%2C%0A%0AYour%20order%20is%20ready%20for%20pickup%20from%20Sample%20Branch%2C%20Wed-Fri%209am-4pm.</v>
      </c>
      <c r="AF246" s="89" t="str">
        <f t="shared" si="46"/>
        <v>Draft email</v>
      </c>
      <c r="AG246" s="64" t="str">
        <f>IF($C246="","",IFERROR(INDEX('Staff Directory'!$K$595:$K$599,MATCH($C246,'Staff Directory'!$B$5:$B$599,0)),$D246))</f>
        <v>PSW</v>
      </c>
      <c r="AH246" t="str">
        <f>IF($C246="","",IFERROR(INDEX('Staff Directory'!$I$595:$I$599,MATCH($C246,'Staff Directory'!$B$5:$B$599,0))&amp;" "&amp;INDEX('Staff Directory'!$J$595:$J$599,MATCH($C246,'Staff Directory'!$B$5:$B$599,0)),$AG246))</f>
        <v>PSW</v>
      </c>
      <c r="AI246" s="102"/>
      <c r="AJ246" s="101">
        <f>IF($F246="","",SUMIFS($J$5:$J246,$F$5:$F246,$F246))</f>
        <v>64</v>
      </c>
      <c r="AK246" s="101">
        <f t="shared" si="38"/>
        <v>63</v>
      </c>
      <c r="AL246" s="66" t="str" cm="1">
        <f t="array" ref="AL246">IF($F246="","",IFERROR(INDEX('Lot Balance'!$B$5:$B$500,MATCH(1,INDEX(('Lot Balance'!$A$5:$A$500=$F246)*('Lot Balance'!$K$5:$K$500&lt;$AK246)*('Lot Balance'!$K$5:$K$500+'Lot Balance'!$D$5:$D$500&gt;=$AK246),0),0)),""))</f>
        <v/>
      </c>
      <c r="AM246" s="66" t="str" cm="1">
        <f t="array" ref="AM246">IF($F246="","",IFERROR(INDEX('Lot Balance'!$B$5:$B$500,MATCH(1,INDEX(('Lot Balance'!$A$5:$A$500=$F246)*('Lot Balance'!$K$5:$K$500&lt;$AJ246)*('Lot Balance'!$K$5:$K$500+'Lot Balance'!$D$5:$D$500&gt;=$AJ246),0),0)),""))</f>
        <v/>
      </c>
      <c r="AN246" s="66" t="str">
        <f>IF($F246="","",IF($AI246&lt;&gt;"",IF(COUNTIFS('Lot Balance'!$A$5:$A$500,$F246,'Lot Balance'!$B$5:$B$500,$AI246)=0,"⚠ override is not a lot of this item",IF($AI246=$AL246,"Override = FEFO","Override - FEFO says "&amp;$AL246)),IF($AL246="","⚠ no receipt on file for this item",IF($AM246&lt;&gt;$AL246,"FEFO auto - split, also "&amp;$AM246,"FEFO auto"))))</f>
        <v>⚠ no receipt on file for this item</v>
      </c>
      <c r="AO246" s="114"/>
    </row>
    <row r="247" spans="1:41" x14ac:dyDescent="0.35">
      <c r="A247" s="74">
        <v>46127</v>
      </c>
      <c r="B247" s="18" t="str">
        <f>IF($C247="","",IFERROR(INDEX('Staff Directory'!$A$5:$A$594,MATCH($C247,'Staff Directory'!$B$5:$B$594,0)),"⚠ unknown staff"))</f>
        <v>PSW-086-A4</v>
      </c>
      <c r="C247" s="49" t="s">
        <v>1062</v>
      </c>
      <c r="D247" s="19" t="str">
        <f>IF($B247="","",IFERROR(INDEX('Staff Directory'!$C$5:$C$594,MATCH($B247,'Staff Directory'!$A$5:$A$594,0)),""))</f>
        <v>PSW</v>
      </c>
      <c r="E247" s="19" t="str">
        <f>IF($B247="","",IFERROR(INDEX('Staff Directory'!$D$5:$D$594,MATCH($B247,'Staff Directory'!$A$5:$A$594,0)),""))</f>
        <v>A4</v>
      </c>
      <c r="F247" s="9" t="s">
        <v>127</v>
      </c>
      <c r="G247" s="18" t="str">
        <f>IF($F247="","",IFERROR(INDEX(Items!$B$5:$B$597,MATCH($F247,Items!$A$5:$A$597,0)),"⚠ not in Items"))</f>
        <v>Gloves</v>
      </c>
      <c r="H247" s="19" t="str">
        <f>IF($F247="","",IFERROR(INDEX(Items!$C$5:$C$597,MATCH($F247,Items!$A$5:$A$597,0)),""))</f>
        <v>Medium</v>
      </c>
      <c r="I247" s="23">
        <f>IF($F247="","",IFERROR(INDEX(Items!$E$5:$E$597,MATCH($F247,Items!$A$5:$A$597,0)),""))</f>
        <v>500</v>
      </c>
      <c r="J247" s="115">
        <f>IF(tblIssues[[#This Row],[Qty Override]]&lt;&gt;"",tblIssues[[#This Row],[Qty Override]],IF(tblIssues[[#This Row],[Standard Issue]]="","",tblIssues[[#This Row],[Standard Issue]]))</f>
        <v>500</v>
      </c>
      <c r="K247" s="20">
        <f>IF($F247="","",IFERROR(INDEX(Items!$D$5:$D$597,MATCH($F247,Items!$A$5:$A$597,0)),""))</f>
        <v>5.5E-2</v>
      </c>
      <c r="L247" s="21">
        <f t="shared" si="39"/>
        <v>27.5</v>
      </c>
      <c r="M247" s="9" t="str">
        <f t="shared" si="40"/>
        <v>ZIM504126040-2</v>
      </c>
      <c r="N247" s="24">
        <f>IF($A247="","",WORKDAY($A247,Settings!$C$9,HolidayDates))</f>
        <v>46135</v>
      </c>
      <c r="O247" s="24">
        <f>IF($N247="","",WORKDAY($N247,Settings!$C$10,HolidayDates))</f>
        <v>46175</v>
      </c>
      <c r="P247" s="10" t="s">
        <v>501</v>
      </c>
      <c r="Q247" s="52" t="str">
        <f t="shared" si="42"/>
        <v>Collected</v>
      </c>
      <c r="R247" s="55" t="str">
        <f t="shared" si="43"/>
        <v>2026-04</v>
      </c>
      <c r="S247" s="55">
        <f>IF(OR($B247="",$F247="",$R247=""),"",SUMIFS(tblIssues[Qty Issued],tblIssues[Staff ID],$B247,tblIssues[Item Name],$F247,tblIssues[Month],$R247))</f>
        <v>500</v>
      </c>
      <c r="T247" s="56">
        <f>IF($I247="","",$I247*Settings!$C$11)</f>
        <v>500</v>
      </c>
      <c r="U247" s="57" t="str">
        <f t="shared" si="41"/>
        <v>OK</v>
      </c>
      <c r="V247" s="55" t="str">
        <f t="shared" si="44"/>
        <v/>
      </c>
      <c r="W247" s="55" t="str">
        <f>IF($V247="","",IF(COUNTIF($V$5:$V247,$V247)=1,1,""))</f>
        <v/>
      </c>
      <c r="X247" s="58" t="str">
        <f>IF($W247="","",MAX($X$4:X246)+1)</f>
        <v/>
      </c>
      <c r="Y247" s="62"/>
      <c r="Z247" s="62"/>
      <c r="AA247" s="64" t="str">
        <f>IF($C247="","",IFERROR(INDEX('Staff Directory'!$E$5:$E$594,MATCH($C247,'Staff Directory'!$B$5:$B$594,0)),""))</f>
        <v>firstname146.lastname146@example.com</v>
      </c>
      <c r="AB247" s="64" t="str">
        <f>IF($C247="","",IF(ISNUMBER(SEARCH($D247,Settings!$C$15)),"Pickup","Dispatch"))</f>
        <v>Pickup</v>
      </c>
      <c r="AC247" s="64" t="str">
        <f t="shared" si="45"/>
        <v>Supply order ready for pickup</v>
      </c>
      <c r="AD247" s="64" t="str">
        <f t="shared" si="36"/>
        <v>Dear PSW,
Your order is ready for pickup from Sample Branch, Wed-Fri 9am-4pm.</v>
      </c>
      <c r="AE247" s="64" t="str">
        <f t="shared" si="37"/>
        <v>mailto:firstname146.lastname146@example.com?subject=Supply%20order%20ready%20for%20pickup&amp;body=Dear%20PSW%2C%0A%0AYour%20order%20is%20ready%20for%20pickup%20from%20Sample%20Branch%2C%20Wed-Fri%209am-4pm.</v>
      </c>
      <c r="AF247" s="89" t="str">
        <f t="shared" si="46"/>
        <v>Draft email</v>
      </c>
      <c r="AG247" s="64" t="str">
        <f>IF($C247="","",IFERROR(INDEX('Staff Directory'!$K$595:$K$599,MATCH($C247,'Staff Directory'!$B$5:$B$599,0)),$D247))</f>
        <v>PSW</v>
      </c>
      <c r="AH247" t="str">
        <f>IF($C247="","",IFERROR(INDEX('Staff Directory'!$I$595:$I$599,MATCH($C247,'Staff Directory'!$B$5:$B$599,0))&amp;" "&amp;INDEX('Staff Directory'!$J$595:$J$599,MATCH($C247,'Staff Directory'!$B$5:$B$599,0)),$AG247))</f>
        <v>PSW</v>
      </c>
      <c r="AI247" s="102"/>
      <c r="AJ247" s="101">
        <f>IF($F247="","",SUMIFS($J$5:$J247,$F$5:$F247,$F247))</f>
        <v>15000</v>
      </c>
      <c r="AK247" s="101">
        <f t="shared" si="38"/>
        <v>14501</v>
      </c>
      <c r="AL247" s="66" t="str" cm="1">
        <f t="array" ref="AL247">IF($F247="","",IFERROR(INDEX('Lot Balance'!$B$5:$B$500,MATCH(1,INDEX(('Lot Balance'!$A$5:$A$500=$F247)*('Lot Balance'!$K$5:$K$500&lt;$AK247)*('Lot Balance'!$K$5:$K$500+'Lot Balance'!$D$5:$D$500&gt;=$AK247),0),0)),""))</f>
        <v>ZIM504126040-2</v>
      </c>
      <c r="AM247" s="66" t="str" cm="1">
        <f t="array" ref="AM247">IF($F247="","",IFERROR(INDEX('Lot Balance'!$B$5:$B$500,MATCH(1,INDEX(('Lot Balance'!$A$5:$A$500=$F247)*('Lot Balance'!$K$5:$K$500&lt;$AJ247)*('Lot Balance'!$K$5:$K$500+'Lot Balance'!$D$5:$D$500&gt;=$AJ247),0),0)),""))</f>
        <v>ZIM504126040-2</v>
      </c>
      <c r="AN247" s="66" t="str">
        <f>IF($F247="","",IF($AI247&lt;&gt;"",IF(COUNTIFS('Lot Balance'!$A$5:$A$500,$F247,'Lot Balance'!$B$5:$B$500,$AI247)=0,"⚠ override is not a lot of this item",IF($AI247=$AL247,"Override = FEFO","Override - FEFO says "&amp;$AL247)),IF($AL247="","⚠ no receipt on file for this item",IF($AM247&lt;&gt;$AL247,"FEFO auto - split, also "&amp;$AM247,"FEFO auto"))))</f>
        <v>FEFO auto</v>
      </c>
      <c r="AO247" s="114"/>
    </row>
    <row r="248" spans="1:41" x14ac:dyDescent="0.35">
      <c r="A248" s="74">
        <v>46127</v>
      </c>
      <c r="B248" s="18" t="str">
        <f>IF($C248="","",IFERROR(INDEX('Staff Directory'!$A$5:$A$594,MATCH($C248,'Staff Directory'!$B$5:$B$594,0)),"⚠ unknown staff"))</f>
        <v>PSW-086-A4</v>
      </c>
      <c r="C248" s="49" t="s">
        <v>1062</v>
      </c>
      <c r="D248" s="19" t="str">
        <f>IF($B248="","",IFERROR(INDEX('Staff Directory'!$C$5:$C$594,MATCH($B248,'Staff Directory'!$A$5:$A$594,0)),""))</f>
        <v>PSW</v>
      </c>
      <c r="E248" s="19" t="str">
        <f>IF($B248="","",IFERROR(INDEX('Staff Directory'!$D$5:$D$594,MATCH($B248,'Staff Directory'!$A$5:$A$594,0)),""))</f>
        <v>A4</v>
      </c>
      <c r="F248" s="9" t="s">
        <v>115</v>
      </c>
      <c r="G248" s="18" t="str">
        <f>IF($F248="","",IFERROR(INDEX(Items!$B$5:$B$597,MATCH($F248,Items!$A$5:$A$597,0)),"⚠ not in Items"))</f>
        <v>Wipes</v>
      </c>
      <c r="H248" s="19">
        <f>IF($F248="","",IFERROR(INDEX(Items!$C$5:$C$597,MATCH($F248,Items!$A$5:$A$597,0)),""))</f>
        <v>80</v>
      </c>
      <c r="I248" s="23">
        <f>IF($F248="","",IFERROR(INDEX(Items!$E$5:$E$597,MATCH($F248,Items!$A$5:$A$597,0)),""))</f>
        <v>80</v>
      </c>
      <c r="J248" s="115">
        <f>IF(tblIssues[[#This Row],[Qty Override]]&lt;&gt;"",tblIssues[[#This Row],[Qty Override]],IF(tblIssues[[#This Row],[Standard Issue]]="","",tblIssues[[#This Row],[Standard Issue]]))</f>
        <v>80</v>
      </c>
      <c r="K248" s="20">
        <f>IF($F248="","",IFERROR(INDEX(Items!$D$5:$D$597,MATCH($F248,Items!$A$5:$A$597,0)),""))</f>
        <v>0.1</v>
      </c>
      <c r="L248" s="21">
        <f t="shared" si="39"/>
        <v>8</v>
      </c>
      <c r="M248" s="9" t="str">
        <f t="shared" si="40"/>
        <v>LYSL500290</v>
      </c>
      <c r="N248" s="24">
        <f>IF($A248="","",WORKDAY($A248,Settings!$C$9,HolidayDates))</f>
        <v>46135</v>
      </c>
      <c r="O248" s="24">
        <f>IF($N248="","",WORKDAY($N248,Settings!$C$10,HolidayDates))</f>
        <v>46175</v>
      </c>
      <c r="P248" s="10" t="s">
        <v>501</v>
      </c>
      <c r="Q248" s="52" t="str">
        <f t="shared" si="42"/>
        <v>Collected</v>
      </c>
      <c r="R248" s="55" t="str">
        <f t="shared" si="43"/>
        <v>2026-04</v>
      </c>
      <c r="S248" s="55">
        <f>IF(OR($B248="",$F248="",$R248=""),"",SUMIFS(tblIssues[Qty Issued],tblIssues[Staff ID],$B248,tblIssues[Item Name],$F248,tblIssues[Month],$R248))</f>
        <v>80</v>
      </c>
      <c r="T248" s="56">
        <f>IF($I248="","",$I248*Settings!$C$11)</f>
        <v>80</v>
      </c>
      <c r="U248" s="57" t="str">
        <f t="shared" si="41"/>
        <v>OK</v>
      </c>
      <c r="V248" s="55" t="str">
        <f t="shared" si="44"/>
        <v/>
      </c>
      <c r="W248" s="55" t="str">
        <f>IF($V248="","",IF(COUNTIF($V$5:$V248,$V248)=1,1,""))</f>
        <v/>
      </c>
      <c r="X248" s="58" t="str">
        <f>IF($W248="","",MAX($X$4:X247)+1)</f>
        <v/>
      </c>
      <c r="Y248" s="62"/>
      <c r="Z248" s="62"/>
      <c r="AA248" s="64" t="str">
        <f>IF($C248="","",IFERROR(INDEX('Staff Directory'!$E$5:$E$594,MATCH($C248,'Staff Directory'!$B$5:$B$594,0)),""))</f>
        <v>firstname146.lastname146@example.com</v>
      </c>
      <c r="AB248" s="64" t="str">
        <f>IF($C248="","",IF(ISNUMBER(SEARCH($D248,Settings!$C$15)),"Pickup","Dispatch"))</f>
        <v>Pickup</v>
      </c>
      <c r="AC248" s="64" t="str">
        <f t="shared" si="45"/>
        <v>Supply order ready for pickup</v>
      </c>
      <c r="AD248" s="64" t="str">
        <f t="shared" si="36"/>
        <v>Dear PSW,
Your order is ready for pickup from Sample Branch, Wed-Fri 9am-4pm.</v>
      </c>
      <c r="AE248" s="64" t="str">
        <f t="shared" si="37"/>
        <v>mailto:firstname146.lastname146@example.com?subject=Supply%20order%20ready%20for%20pickup&amp;body=Dear%20PSW%2C%0A%0AYour%20order%20is%20ready%20for%20pickup%20from%20Sample%20Branch%2C%20Wed-Fri%209am-4pm.</v>
      </c>
      <c r="AF248" s="89" t="str">
        <f t="shared" si="46"/>
        <v>Draft email</v>
      </c>
      <c r="AG248" s="64" t="str">
        <f>IF($C248="","",IFERROR(INDEX('Staff Directory'!$K$595:$K$599,MATCH($C248,'Staff Directory'!$B$5:$B$599,0)),$D248))</f>
        <v>PSW</v>
      </c>
      <c r="AH248" t="str">
        <f>IF($C248="","",IFERROR(INDEX('Staff Directory'!$I$595:$I$599,MATCH($C248,'Staff Directory'!$B$5:$B$599,0))&amp;" "&amp;INDEX('Staff Directory'!$J$595:$J$599,MATCH($C248,'Staff Directory'!$B$5:$B$599,0)),$AG248))</f>
        <v>PSW</v>
      </c>
      <c r="AI248" s="102"/>
      <c r="AJ248" s="101">
        <f>IF($F248="","",SUMIFS($J$5:$J248,$F$5:$F248,$F248))</f>
        <v>3600</v>
      </c>
      <c r="AK248" s="101">
        <f t="shared" si="38"/>
        <v>3521</v>
      </c>
      <c r="AL248" s="66" t="str" cm="1">
        <f t="array" ref="AL248">IF($F248="","",IFERROR(INDEX('Lot Balance'!$B$5:$B$500,MATCH(1,INDEX(('Lot Balance'!$A$5:$A$500=$F248)*('Lot Balance'!$K$5:$K$500&lt;$AK248)*('Lot Balance'!$K$5:$K$500+'Lot Balance'!$D$5:$D$500&gt;=$AK248),0),0)),""))</f>
        <v>LYSL500290</v>
      </c>
      <c r="AM248" s="66" t="str" cm="1">
        <f t="array" ref="AM248">IF($F248="","",IFERROR(INDEX('Lot Balance'!$B$5:$B$500,MATCH(1,INDEX(('Lot Balance'!$A$5:$A$500=$F248)*('Lot Balance'!$K$5:$K$500&lt;$AJ248)*('Lot Balance'!$K$5:$K$500+'Lot Balance'!$D$5:$D$500&gt;=$AJ248),0),0)),""))</f>
        <v>LYSL500290</v>
      </c>
      <c r="AN248" s="66" t="str">
        <f>IF($F248="","",IF($AI248&lt;&gt;"",IF(COUNTIFS('Lot Balance'!$A$5:$A$500,$F248,'Lot Balance'!$B$5:$B$500,$AI248)=0,"⚠ override is not a lot of this item",IF($AI248=$AL248,"Override = FEFO","Override - FEFO says "&amp;$AL248)),IF($AL248="","⚠ no receipt on file for this item",IF($AM248&lt;&gt;$AL248,"FEFO auto - split, also "&amp;$AM248,"FEFO auto"))))</f>
        <v>FEFO auto</v>
      </c>
      <c r="AO248" s="114"/>
    </row>
    <row r="249" spans="1:41" x14ac:dyDescent="0.35">
      <c r="A249" s="74">
        <v>46127</v>
      </c>
      <c r="B249" s="18" t="str">
        <f>IF($C249="","",IFERROR(INDEX('Staff Directory'!$A$5:$A$594,MATCH($C249,'Staff Directory'!$B$5:$B$594,0)),"⚠ unknown staff"))</f>
        <v>PSW-086-A4</v>
      </c>
      <c r="C249" s="49" t="s">
        <v>1062</v>
      </c>
      <c r="D249" s="19" t="str">
        <f>IF($B249="","",IFERROR(INDEX('Staff Directory'!$C$5:$C$594,MATCH($B249,'Staff Directory'!$A$5:$A$594,0)),""))</f>
        <v>PSW</v>
      </c>
      <c r="E249" s="19" t="str">
        <f>IF($B249="","",IFERROR(INDEX('Staff Directory'!$D$5:$D$594,MATCH($B249,'Staff Directory'!$A$5:$A$594,0)),""))</f>
        <v>A4</v>
      </c>
      <c r="F249" s="9" t="s">
        <v>755</v>
      </c>
      <c r="G249" s="18" t="str">
        <f>IF($F249="","",IFERROR(INDEX(Items!$B$5:$B$597,MATCH($F249,Items!$A$5:$A$597,0)),"⚠ not in Items"))</f>
        <v>Documents</v>
      </c>
      <c r="H249" s="19" t="str">
        <f>IF($F249="","",IFERROR(INDEX(Items!$C$5:$C$597,MATCH($F249,Items!$A$5:$A$597,0)),""))</f>
        <v>Standard</v>
      </c>
      <c r="I249" s="23">
        <f>IF($F249="","",IFERROR(INDEX(Items!$E$5:$E$597,MATCH($F249,Items!$A$5:$A$597,0)),""))</f>
        <v>2</v>
      </c>
      <c r="J249" s="115">
        <f>IF(tblIssues[[#This Row],[Qty Override]]&lt;&gt;"",tblIssues[[#This Row],[Qty Override]],IF(tblIssues[[#This Row],[Standard Issue]]="","",tblIssues[[#This Row],[Standard Issue]]))</f>
        <v>2</v>
      </c>
      <c r="K249" s="20">
        <f>IF($F249="","",IFERROR(INDEX(Items!$D$5:$D$597,MATCH($F249,Items!$A$5:$A$597,0)),""))</f>
        <v>0</v>
      </c>
      <c r="L249" s="21">
        <f t="shared" si="39"/>
        <v>0</v>
      </c>
      <c r="M249" s="9" t="str">
        <f t="shared" si="40"/>
        <v/>
      </c>
      <c r="N249" s="24">
        <f>IF($A249="","",WORKDAY($A249,Settings!$C$9,HolidayDates))</f>
        <v>46135</v>
      </c>
      <c r="O249" s="24">
        <f>IF($N249="","",WORKDAY($N249,Settings!$C$10,HolidayDates))</f>
        <v>46175</v>
      </c>
      <c r="P249" s="10" t="s">
        <v>501</v>
      </c>
      <c r="Q249" s="52" t="str">
        <f t="shared" si="42"/>
        <v>Collected</v>
      </c>
      <c r="R249" s="55" t="str">
        <f t="shared" si="43"/>
        <v>2026-04</v>
      </c>
      <c r="S249" s="55">
        <f>IF(OR($B249="",$F249="",$R249=""),"",SUMIFS(tblIssues[Qty Issued],tblIssues[Staff ID],$B249,tblIssues[Item Name],$F249,tblIssues[Month],$R249))</f>
        <v>2</v>
      </c>
      <c r="T249" s="56">
        <f>IF($I249="","",$I249*Settings!$C$11)</f>
        <v>2</v>
      </c>
      <c r="U249" s="57" t="str">
        <f t="shared" si="41"/>
        <v>OK</v>
      </c>
      <c r="V249" s="55" t="str">
        <f t="shared" si="44"/>
        <v/>
      </c>
      <c r="W249" s="55" t="str">
        <f>IF($V249="","",IF(COUNTIF($V$5:$V249,$V249)=1,1,""))</f>
        <v/>
      </c>
      <c r="X249" s="58" t="str">
        <f>IF($W249="","",MAX($X$4:X248)+1)</f>
        <v/>
      </c>
      <c r="Y249" s="62"/>
      <c r="Z249" s="62"/>
      <c r="AA249" s="64" t="str">
        <f>IF($C249="","",IFERROR(INDEX('Staff Directory'!$E$5:$E$594,MATCH($C249,'Staff Directory'!$B$5:$B$594,0)),""))</f>
        <v>firstname146.lastname146@example.com</v>
      </c>
      <c r="AB249" s="64" t="str">
        <f>IF($C249="","",IF(ISNUMBER(SEARCH($D249,Settings!$C$15)),"Pickup","Dispatch"))</f>
        <v>Pickup</v>
      </c>
      <c r="AC249" s="64" t="str">
        <f t="shared" si="45"/>
        <v>Supply order ready for pickup</v>
      </c>
      <c r="AD249" s="64" t="str">
        <f t="shared" si="36"/>
        <v>Dear PSW,
Your order is ready for pickup from Sample Branch, Wed-Fri 9am-4pm.</v>
      </c>
      <c r="AE249" s="64" t="str">
        <f t="shared" si="37"/>
        <v>mailto:firstname146.lastname146@example.com?subject=Supply%20order%20ready%20for%20pickup&amp;body=Dear%20PSW%2C%0A%0AYour%20order%20is%20ready%20for%20pickup%20from%20Sample%20Branch%2C%20Wed-Fri%209am-4pm.</v>
      </c>
      <c r="AF249" s="89" t="str">
        <f t="shared" si="46"/>
        <v>Draft email</v>
      </c>
      <c r="AG249" s="64" t="str">
        <f>IF($C249="","",IFERROR(INDEX('Staff Directory'!$K$595:$K$599,MATCH($C249,'Staff Directory'!$B$5:$B$599,0)),$D249))</f>
        <v>PSW</v>
      </c>
      <c r="AH249" t="str">
        <f>IF($C249="","",IFERROR(INDEX('Staff Directory'!$I$595:$I$599,MATCH($C249,'Staff Directory'!$B$5:$B$599,0))&amp;" "&amp;INDEX('Staff Directory'!$J$595:$J$599,MATCH($C249,'Staff Directory'!$B$5:$B$599,0)),$AG249))</f>
        <v>PSW</v>
      </c>
      <c r="AI249" s="102"/>
      <c r="AJ249" s="101">
        <f>IF($F249="","",SUMIFS($J$5:$J249,$F$5:$F249,$F249))</f>
        <v>66</v>
      </c>
      <c r="AK249" s="101">
        <f t="shared" si="38"/>
        <v>65</v>
      </c>
      <c r="AL249" s="66" t="str" cm="1">
        <f t="array" ref="AL249">IF($F249="","",IFERROR(INDEX('Lot Balance'!$B$5:$B$500,MATCH(1,INDEX(('Lot Balance'!$A$5:$A$500=$F249)*('Lot Balance'!$K$5:$K$500&lt;$AK249)*('Lot Balance'!$K$5:$K$500+'Lot Balance'!$D$5:$D$500&gt;=$AK249),0),0)),""))</f>
        <v/>
      </c>
      <c r="AM249" s="66" t="str" cm="1">
        <f t="array" ref="AM249">IF($F249="","",IFERROR(INDEX('Lot Balance'!$B$5:$B$500,MATCH(1,INDEX(('Lot Balance'!$A$5:$A$500=$F249)*('Lot Balance'!$K$5:$K$500&lt;$AJ249)*('Lot Balance'!$K$5:$K$500+'Lot Balance'!$D$5:$D$500&gt;=$AJ249),0),0)),""))</f>
        <v/>
      </c>
      <c r="AN249" s="66" t="str">
        <f>IF($F249="","",IF($AI249&lt;&gt;"",IF(COUNTIFS('Lot Balance'!$A$5:$A$500,$F249,'Lot Balance'!$B$5:$B$500,$AI249)=0,"⚠ override is not a lot of this item",IF($AI249=$AL249,"Override = FEFO","Override - FEFO says "&amp;$AL249)),IF($AL249="","⚠ no receipt on file for this item",IF($AM249&lt;&gt;$AL249,"FEFO auto - split, also "&amp;$AM249,"FEFO auto"))))</f>
        <v>⚠ no receipt on file for this item</v>
      </c>
      <c r="AO249" s="114"/>
    </row>
    <row r="250" spans="1:41" x14ac:dyDescent="0.35">
      <c r="A250" s="74">
        <v>46127</v>
      </c>
      <c r="B250" s="18" t="str">
        <f>IF($C250="","",IFERROR(INDEX('Staff Directory'!$A$5:$A$594,MATCH($C250,'Staff Directory'!$B$5:$B$594,0)),"⚠ unknown staff"))</f>
        <v>PSW-017-A5</v>
      </c>
      <c r="C250" s="49" t="s">
        <v>993</v>
      </c>
      <c r="D250" s="19" t="str">
        <f>IF($B250="","",IFERROR(INDEX('Staff Directory'!$C$5:$C$594,MATCH($B250,'Staff Directory'!$A$5:$A$594,0)),""))</f>
        <v>PSW</v>
      </c>
      <c r="E250" s="19" t="str">
        <f>IF($B250="","",IFERROR(INDEX('Staff Directory'!$D$5:$D$594,MATCH($B250,'Staff Directory'!$A$5:$A$594,0)),""))</f>
        <v>A5</v>
      </c>
      <c r="F250" s="9" t="s">
        <v>124</v>
      </c>
      <c r="G250" s="18" t="str">
        <f>IF($F250="","",IFERROR(INDEX(Items!$B$5:$B$597,MATCH($F250,Items!$A$5:$A$597,0)),"⚠ not in Items"))</f>
        <v>Gloves</v>
      </c>
      <c r="H250" s="19" t="str">
        <f>IF($F250="","",IFERROR(INDEX(Items!$C$5:$C$597,MATCH($F250,Items!$A$5:$A$597,0)),""))</f>
        <v>Large</v>
      </c>
      <c r="I250" s="23">
        <f>IF($F250="","",IFERROR(INDEX(Items!$E$5:$E$597,MATCH($F250,Items!$A$5:$A$597,0)),""))</f>
        <v>500</v>
      </c>
      <c r="J250" s="115">
        <f>IF(tblIssues[[#This Row],[Qty Override]]&lt;&gt;"",tblIssues[[#This Row],[Qty Override]],IF(tblIssues[[#This Row],[Standard Issue]]="","",tblIssues[[#This Row],[Standard Issue]]))</f>
        <v>500</v>
      </c>
      <c r="K250" s="20">
        <f>IF($F250="","",IFERROR(INDEX(Items!$D$5:$D$597,MATCH($F250,Items!$A$5:$A$597,0)),""))</f>
        <v>5.5E-2</v>
      </c>
      <c r="L250" s="21">
        <f t="shared" si="39"/>
        <v>27.5</v>
      </c>
      <c r="M250" s="9" t="str">
        <f t="shared" si="40"/>
        <v>ZIM510135932</v>
      </c>
      <c r="N250" s="24">
        <f>IF($A250="","",WORKDAY($A250,Settings!$C$9,HolidayDates))</f>
        <v>46135</v>
      </c>
      <c r="O250" s="24">
        <f>IF($N250="","",WORKDAY($N250,Settings!$C$10,HolidayDates))</f>
        <v>46175</v>
      </c>
      <c r="P250" s="10" t="s">
        <v>501</v>
      </c>
      <c r="Q250" s="52" t="str">
        <f t="shared" si="42"/>
        <v>Collected</v>
      </c>
      <c r="R250" s="55" t="str">
        <f t="shared" si="43"/>
        <v>2026-04</v>
      </c>
      <c r="S250" s="55">
        <f>IF(OR($B250="",$F250="",$R250=""),"",SUMIFS(tblIssues[Qty Issued],tblIssues[Staff ID],$B250,tblIssues[Item Name],$F250,tblIssues[Month],$R250))</f>
        <v>500</v>
      </c>
      <c r="T250" s="56">
        <f>IF($I250="","",$I250*Settings!$C$11)</f>
        <v>500</v>
      </c>
      <c r="U250" s="57" t="str">
        <f t="shared" si="41"/>
        <v>OK</v>
      </c>
      <c r="V250" s="55" t="str">
        <f t="shared" si="44"/>
        <v/>
      </c>
      <c r="W250" s="55" t="str">
        <f>IF($V250="","",IF(COUNTIF($V$5:$V250,$V250)=1,1,""))</f>
        <v/>
      </c>
      <c r="X250" s="58" t="str">
        <f>IF($W250="","",MAX($X$4:X249)+1)</f>
        <v/>
      </c>
      <c r="Y250" s="62"/>
      <c r="Z250" s="62"/>
      <c r="AA250" s="64" t="str">
        <f>IF($C250="","",IFERROR(INDEX('Staff Directory'!$E$5:$E$594,MATCH($C250,'Staff Directory'!$B$5:$B$594,0)),""))</f>
        <v>firstname077.lastname077@example.com</v>
      </c>
      <c r="AB250" s="64" t="str">
        <f>IF($C250="","",IF(ISNUMBER(SEARCH($D250,Settings!$C$15)),"Pickup","Dispatch"))</f>
        <v>Pickup</v>
      </c>
      <c r="AC250" s="64" t="str">
        <f t="shared" si="45"/>
        <v>Supply order ready for pickup</v>
      </c>
      <c r="AD250" s="64" t="str">
        <f t="shared" si="36"/>
        <v>Dear PSW,
Your order is ready for pickup from Sample Branch, Wed-Fri 9am-4pm.</v>
      </c>
      <c r="AE250" s="64" t="str">
        <f t="shared" si="37"/>
        <v>mailto:firstname077.lastname077@example.com?subject=Supply%20order%20ready%20for%20pickup&amp;body=Dear%20PSW%2C%0A%0AYour%20order%20is%20ready%20for%20pickup%20from%20Sample%20Branch%2C%20Wed-Fri%209am-4pm.</v>
      </c>
      <c r="AF250" s="89" t="str">
        <f t="shared" si="46"/>
        <v>Draft email</v>
      </c>
      <c r="AG250" s="64" t="str">
        <f>IF($C250="","",IFERROR(INDEX('Staff Directory'!$K$595:$K$599,MATCH($C250,'Staff Directory'!$B$5:$B$599,0)),$D250))</f>
        <v>PSW</v>
      </c>
      <c r="AH250" t="str">
        <f>IF($C250="","",IFERROR(INDEX('Staff Directory'!$I$595:$I$599,MATCH($C250,'Staff Directory'!$B$5:$B$599,0))&amp;" "&amp;INDEX('Staff Directory'!$J$595:$J$599,MATCH($C250,'Staff Directory'!$B$5:$B$599,0)),$AG250))</f>
        <v>PSW</v>
      </c>
      <c r="AI250" s="102"/>
      <c r="AJ250" s="101">
        <f>IF($F250="","",SUMIFS($J$5:$J250,$F$5:$F250,$F250))</f>
        <v>5500</v>
      </c>
      <c r="AK250" s="101">
        <f t="shared" si="38"/>
        <v>5001</v>
      </c>
      <c r="AL250" s="66" t="str" cm="1">
        <f t="array" ref="AL250">IF($F250="","",IFERROR(INDEX('Lot Balance'!$B$5:$B$500,MATCH(1,INDEX(('Lot Balance'!$A$5:$A$500=$F250)*('Lot Balance'!$K$5:$K$500&lt;$AK250)*('Lot Balance'!$K$5:$K$500+'Lot Balance'!$D$5:$D$500&gt;=$AK250),0),0)),""))</f>
        <v>ZIM510135932</v>
      </c>
      <c r="AM250" s="66" t="str" cm="1">
        <f t="array" ref="AM250">IF($F250="","",IFERROR(INDEX('Lot Balance'!$B$5:$B$500,MATCH(1,INDEX(('Lot Balance'!$A$5:$A$500=$F250)*('Lot Balance'!$K$5:$K$500&lt;$AJ250)*('Lot Balance'!$K$5:$K$500+'Lot Balance'!$D$5:$D$500&gt;=$AJ250),0),0)),""))</f>
        <v>ZIM511139904-0</v>
      </c>
      <c r="AN250" s="66" t="str">
        <f>IF($F250="","",IF($AI250&lt;&gt;"",IF(COUNTIFS('Lot Balance'!$A$5:$A$500,$F250,'Lot Balance'!$B$5:$B$500,$AI250)=0,"⚠ override is not a lot of this item",IF($AI250=$AL250,"Override = FEFO","Override - FEFO says "&amp;$AL250)),IF($AL250="","⚠ no receipt on file for this item",IF($AM250&lt;&gt;$AL250,"FEFO auto - split, also "&amp;$AM250,"FEFO auto"))))</f>
        <v>FEFO auto - split, also ZIM511139904-0</v>
      </c>
      <c r="AO250" s="114"/>
    </row>
    <row r="251" spans="1:41" x14ac:dyDescent="0.35">
      <c r="A251" s="74">
        <v>46127</v>
      </c>
      <c r="B251" s="18" t="str">
        <f>IF($C251="","",IFERROR(INDEX('Staff Directory'!$A$5:$A$594,MATCH($C251,'Staff Directory'!$B$5:$B$594,0)),"⚠ unknown staff"))</f>
        <v>PSW-017-A5</v>
      </c>
      <c r="C251" s="49" t="s">
        <v>993</v>
      </c>
      <c r="D251" s="19" t="str">
        <f>IF($B251="","",IFERROR(INDEX('Staff Directory'!$C$5:$C$594,MATCH($B251,'Staff Directory'!$A$5:$A$594,0)),""))</f>
        <v>PSW</v>
      </c>
      <c r="E251" s="19" t="str">
        <f>IF($B251="","",IFERROR(INDEX('Staff Directory'!$D$5:$D$594,MATCH($B251,'Staff Directory'!$A$5:$A$594,0)),""))</f>
        <v>A5</v>
      </c>
      <c r="F251" s="9" t="s">
        <v>191</v>
      </c>
      <c r="G251" s="18" t="str">
        <f>IF($F251="","",IFERROR(INDEX(Items!$B$5:$B$597,MATCH($F251,Items!$A$5:$A$597,0)),"⚠ not in Items"))</f>
        <v>Sanitizer</v>
      </c>
      <c r="H251" s="19" t="str">
        <f>IF($F251="","",IFERROR(INDEX(Items!$C$5:$C$597,MATCH($F251,Items!$A$5:$A$597,0)),""))</f>
        <v>236 ML</v>
      </c>
      <c r="I251" s="23">
        <f>IF($F251="","",IFERROR(INDEX(Items!$E$5:$E$597,MATCH($F251,Items!$A$5:$A$597,0)),""))</f>
        <v>1</v>
      </c>
      <c r="J251" s="115">
        <f>IF(tblIssues[[#This Row],[Qty Override]]&lt;&gt;"",tblIssues[[#This Row],[Qty Override]],IF(tblIssues[[#This Row],[Standard Issue]]="","",tblIssues[[#This Row],[Standard Issue]]))</f>
        <v>1</v>
      </c>
      <c r="K251" s="20">
        <f>IF($F251="","",IFERROR(INDEX(Items!$D$5:$D$597,MATCH($F251,Items!$A$5:$A$597,0)),""))</f>
        <v>1E-4</v>
      </c>
      <c r="L251" s="21">
        <f t="shared" si="39"/>
        <v>1E-4</v>
      </c>
      <c r="M251" s="9" t="str">
        <f t="shared" si="40"/>
        <v>20-21734-1</v>
      </c>
      <c r="N251" s="24">
        <f>IF($A251="","",WORKDAY($A251,Settings!$C$9,HolidayDates))</f>
        <v>46135</v>
      </c>
      <c r="O251" s="24">
        <f>IF($N251="","",WORKDAY($N251,Settings!$C$10,HolidayDates))</f>
        <v>46175</v>
      </c>
      <c r="P251" s="10" t="s">
        <v>501</v>
      </c>
      <c r="Q251" s="52" t="str">
        <f t="shared" si="42"/>
        <v>Collected</v>
      </c>
      <c r="R251" s="55" t="str">
        <f t="shared" si="43"/>
        <v>2026-04</v>
      </c>
      <c r="S251" s="55">
        <f>IF(OR($B251="",$F251="",$R251=""),"",SUMIFS(tblIssues[Qty Issued],tblIssues[Staff ID],$B251,tblIssues[Item Name],$F251,tblIssues[Month],$R251))</f>
        <v>1</v>
      </c>
      <c r="T251" s="56">
        <f>IF($I251="","",$I251*Settings!$C$11)</f>
        <v>1</v>
      </c>
      <c r="U251" s="57" t="str">
        <f t="shared" si="41"/>
        <v>OK</v>
      </c>
      <c r="V251" s="55" t="str">
        <f t="shared" si="44"/>
        <v/>
      </c>
      <c r="W251" s="55" t="str">
        <f>IF($V251="","",IF(COUNTIF($V$5:$V251,$V251)=1,1,""))</f>
        <v/>
      </c>
      <c r="X251" s="58" t="str">
        <f>IF($W251="","",MAX($X$4:X250)+1)</f>
        <v/>
      </c>
      <c r="Y251" s="62"/>
      <c r="Z251" s="62"/>
      <c r="AA251" s="64" t="str">
        <f>IF($C251="","",IFERROR(INDEX('Staff Directory'!$E$5:$E$594,MATCH($C251,'Staff Directory'!$B$5:$B$594,0)),""))</f>
        <v>firstname077.lastname077@example.com</v>
      </c>
      <c r="AB251" s="64" t="str">
        <f>IF($C251="","",IF(ISNUMBER(SEARCH($D251,Settings!$C$15)),"Pickup","Dispatch"))</f>
        <v>Pickup</v>
      </c>
      <c r="AC251" s="64" t="str">
        <f t="shared" si="45"/>
        <v>Supply order ready for pickup</v>
      </c>
      <c r="AD251" s="64" t="str">
        <f t="shared" si="36"/>
        <v>Dear PSW,
Your order is ready for pickup from Sample Branch, Wed-Fri 9am-4pm.</v>
      </c>
      <c r="AE251" s="64" t="str">
        <f t="shared" si="37"/>
        <v>mailto:firstname077.lastname077@example.com?subject=Supply%20order%20ready%20for%20pickup&amp;body=Dear%20PSW%2C%0A%0AYour%20order%20is%20ready%20for%20pickup%20from%20Sample%20Branch%2C%20Wed-Fri%209am-4pm.</v>
      </c>
      <c r="AF251" s="89" t="str">
        <f t="shared" si="46"/>
        <v>Draft email</v>
      </c>
      <c r="AG251" s="64" t="str">
        <f>IF($C251="","",IFERROR(INDEX('Staff Directory'!$K$595:$K$599,MATCH($C251,'Staff Directory'!$B$5:$B$599,0)),$D251))</f>
        <v>PSW</v>
      </c>
      <c r="AH251" t="str">
        <f>IF($C251="","",IFERROR(INDEX('Staff Directory'!$I$595:$I$599,MATCH($C251,'Staff Directory'!$B$5:$B$599,0))&amp;" "&amp;INDEX('Staff Directory'!$J$595:$J$599,MATCH($C251,'Staff Directory'!$B$5:$B$599,0)),$AG251))</f>
        <v>PSW</v>
      </c>
      <c r="AI251" s="102"/>
      <c r="AJ251" s="101">
        <f>IF($F251="","",SUMIFS($J$5:$J251,$F$5:$F251,$F251))</f>
        <v>5</v>
      </c>
      <c r="AK251" s="101">
        <f t="shared" si="38"/>
        <v>5</v>
      </c>
      <c r="AL251" s="66" t="str" cm="1">
        <f t="array" ref="AL251">IF($F251="","",IFERROR(INDEX('Lot Balance'!$B$5:$B$500,MATCH(1,INDEX(('Lot Balance'!$A$5:$A$500=$F251)*('Lot Balance'!$K$5:$K$500&lt;$AK251)*('Lot Balance'!$K$5:$K$500+'Lot Balance'!$D$5:$D$500&gt;=$AK251),0),0)),""))</f>
        <v>20-21734-1</v>
      </c>
      <c r="AM251" s="66" t="str" cm="1">
        <f t="array" ref="AM251">IF($F251="","",IFERROR(INDEX('Lot Balance'!$B$5:$B$500,MATCH(1,INDEX(('Lot Balance'!$A$5:$A$500=$F251)*('Lot Balance'!$K$5:$K$500&lt;$AJ251)*('Lot Balance'!$K$5:$K$500+'Lot Balance'!$D$5:$D$500&gt;=$AJ251),0),0)),""))</f>
        <v>20-21734-1</v>
      </c>
      <c r="AN251" s="66" t="str">
        <f>IF($F251="","",IF($AI251&lt;&gt;"",IF(COUNTIFS('Lot Balance'!$A$5:$A$500,$F251,'Lot Balance'!$B$5:$B$500,$AI251)=0,"⚠ override is not a lot of this item",IF($AI251=$AL251,"Override = FEFO","Override - FEFO says "&amp;$AL251)),IF($AL251="","⚠ no receipt on file for this item",IF($AM251&lt;&gt;$AL251,"FEFO auto - split, also "&amp;$AM251,"FEFO auto"))))</f>
        <v>FEFO auto</v>
      </c>
      <c r="AO251" s="114"/>
    </row>
    <row r="252" spans="1:41" x14ac:dyDescent="0.35">
      <c r="A252" s="74">
        <v>46127</v>
      </c>
      <c r="B252" s="18" t="str">
        <f>IF($C252="","",IFERROR(INDEX('Staff Directory'!$A$5:$A$594,MATCH($C252,'Staff Directory'!$B$5:$B$594,0)),"⚠ unknown staff"))</f>
        <v>PSW-017-A5</v>
      </c>
      <c r="C252" s="49" t="s">
        <v>993</v>
      </c>
      <c r="D252" s="19" t="str">
        <f>IF($B252="","",IFERROR(INDEX('Staff Directory'!$C$5:$C$594,MATCH($B252,'Staff Directory'!$A$5:$A$594,0)),""))</f>
        <v>PSW</v>
      </c>
      <c r="E252" s="19" t="str">
        <f>IF($B252="","",IFERROR(INDEX('Staff Directory'!$D$5:$D$594,MATCH($B252,'Staff Directory'!$A$5:$A$594,0)),""))</f>
        <v>A5</v>
      </c>
      <c r="F252" s="9" t="s">
        <v>156</v>
      </c>
      <c r="G252" s="18" t="str">
        <f>IF($F252="","",IFERROR(INDEX(Items!$B$5:$B$597,MATCH($F252,Items!$A$5:$A$597,0)),"⚠ not in Items"))</f>
        <v>Masks</v>
      </c>
      <c r="H252" s="19" t="str">
        <f>IF($F252="","",IFERROR(INDEX(Items!$C$5:$C$597,MATCH($F252,Items!$A$5:$A$597,0)),""))</f>
        <v>One Size</v>
      </c>
      <c r="I252" s="23">
        <f>IF($F252="","",IFERROR(INDEX(Items!$E$5:$E$597,MATCH($F252,Items!$A$5:$A$597,0)),""))</f>
        <v>50</v>
      </c>
      <c r="J252" s="115">
        <f>IF(tblIssues[[#This Row],[Qty Override]]&lt;&gt;"",tblIssues[[#This Row],[Qty Override]],IF(tblIssues[[#This Row],[Standard Issue]]="","",tblIssues[[#This Row],[Standard Issue]]))</f>
        <v>50</v>
      </c>
      <c r="K252" s="20">
        <f>IF($F252="","",IFERROR(INDEX(Items!$D$5:$D$597,MATCH($F252,Items!$A$5:$A$597,0)),""))</f>
        <v>0.25</v>
      </c>
      <c r="L252" s="21">
        <f t="shared" si="39"/>
        <v>12.5</v>
      </c>
      <c r="M252" s="9" t="str">
        <f t="shared" si="40"/>
        <v>0125FPC24-0</v>
      </c>
      <c r="N252" s="24">
        <f>IF($A252="","",WORKDAY($A252,Settings!$C$9,HolidayDates))</f>
        <v>46135</v>
      </c>
      <c r="O252" s="24">
        <f>IF($N252="","",WORKDAY($N252,Settings!$C$10,HolidayDates))</f>
        <v>46175</v>
      </c>
      <c r="P252" s="10" t="s">
        <v>501</v>
      </c>
      <c r="Q252" s="52" t="str">
        <f t="shared" si="42"/>
        <v>Collected</v>
      </c>
      <c r="R252" s="55" t="str">
        <f t="shared" si="43"/>
        <v>2026-04</v>
      </c>
      <c r="S252" s="55">
        <f>IF(OR($B252="",$F252="",$R252=""),"",SUMIFS(tblIssues[Qty Issued],tblIssues[Staff ID],$B252,tblIssues[Item Name],$F252,tblIssues[Month],$R252))</f>
        <v>50</v>
      </c>
      <c r="T252" s="56">
        <f>IF($I252="","",$I252*Settings!$C$11)</f>
        <v>50</v>
      </c>
      <c r="U252" s="57" t="str">
        <f t="shared" si="41"/>
        <v>OK</v>
      </c>
      <c r="V252" s="55" t="str">
        <f t="shared" si="44"/>
        <v/>
      </c>
      <c r="W252" s="55" t="str">
        <f>IF($V252="","",IF(COUNTIF($V$5:$V252,$V252)=1,1,""))</f>
        <v/>
      </c>
      <c r="X252" s="58" t="str">
        <f>IF($W252="","",MAX($X$4:X251)+1)</f>
        <v/>
      </c>
      <c r="Y252" s="62"/>
      <c r="Z252" s="62"/>
      <c r="AA252" s="64" t="str">
        <f>IF($C252="","",IFERROR(INDEX('Staff Directory'!$E$5:$E$594,MATCH($C252,'Staff Directory'!$B$5:$B$594,0)),""))</f>
        <v>firstname077.lastname077@example.com</v>
      </c>
      <c r="AB252" s="64" t="str">
        <f>IF($C252="","",IF(ISNUMBER(SEARCH($D252,Settings!$C$15)),"Pickup","Dispatch"))</f>
        <v>Pickup</v>
      </c>
      <c r="AC252" s="64" t="str">
        <f t="shared" si="45"/>
        <v>Supply order ready for pickup</v>
      </c>
      <c r="AD252" s="64" t="str">
        <f t="shared" si="36"/>
        <v>Dear PSW,
Your order is ready for pickup from Sample Branch, Wed-Fri 9am-4pm.</v>
      </c>
      <c r="AE252" s="64" t="str">
        <f t="shared" si="37"/>
        <v>mailto:firstname077.lastname077@example.com?subject=Supply%20order%20ready%20for%20pickup&amp;body=Dear%20PSW%2C%0A%0AYour%20order%20is%20ready%20for%20pickup%20from%20Sample%20Branch%2C%20Wed-Fri%209am-4pm.</v>
      </c>
      <c r="AF252" s="89" t="str">
        <f t="shared" si="46"/>
        <v>Draft email</v>
      </c>
      <c r="AG252" s="64" t="str">
        <f>IF($C252="","",IFERROR(INDEX('Staff Directory'!$K$595:$K$599,MATCH($C252,'Staff Directory'!$B$5:$B$599,0)),$D252))</f>
        <v>PSW</v>
      </c>
      <c r="AH252" t="str">
        <f>IF($C252="","",IFERROR(INDEX('Staff Directory'!$I$595:$I$599,MATCH($C252,'Staff Directory'!$B$5:$B$599,0))&amp;" "&amp;INDEX('Staff Directory'!$J$595:$J$599,MATCH($C252,'Staff Directory'!$B$5:$B$599,0)),$AG252))</f>
        <v>PSW</v>
      </c>
      <c r="AI252" s="102"/>
      <c r="AJ252" s="101">
        <f>IF($F252="","",SUMIFS($J$5:$J252,$F$5:$F252,$F252))</f>
        <v>1850</v>
      </c>
      <c r="AK252" s="101">
        <f t="shared" si="38"/>
        <v>1801</v>
      </c>
      <c r="AL252" s="66" t="str" cm="1">
        <f t="array" ref="AL252">IF($F252="","",IFERROR(INDEX('Lot Balance'!$B$5:$B$500,MATCH(1,INDEX(('Lot Balance'!$A$5:$A$500=$F252)*('Lot Balance'!$K$5:$K$500&lt;$AK252)*('Lot Balance'!$K$5:$K$500+'Lot Balance'!$D$5:$D$500&gt;=$AK252),0),0)),""))</f>
        <v>0125FPC24-0</v>
      </c>
      <c r="AM252" s="66" t="str" cm="1">
        <f t="array" ref="AM252">IF($F252="","",IFERROR(INDEX('Lot Balance'!$B$5:$B$500,MATCH(1,INDEX(('Lot Balance'!$A$5:$A$500=$F252)*('Lot Balance'!$K$5:$K$500&lt;$AJ252)*('Lot Balance'!$K$5:$K$500+'Lot Balance'!$D$5:$D$500&gt;=$AJ252),0),0)),""))</f>
        <v>0125FPC24-0</v>
      </c>
      <c r="AN252" s="66" t="str">
        <f>IF($F252="","",IF($AI252&lt;&gt;"",IF(COUNTIFS('Lot Balance'!$A$5:$A$500,$F252,'Lot Balance'!$B$5:$B$500,$AI252)=0,"⚠ override is not a lot of this item",IF($AI252=$AL252,"Override = FEFO","Override - FEFO says "&amp;$AL252)),IF($AL252="","⚠ no receipt on file for this item",IF($AM252&lt;&gt;$AL252,"FEFO auto - split, also "&amp;$AM252,"FEFO auto"))))</f>
        <v>FEFO auto</v>
      </c>
      <c r="AO252" s="114"/>
    </row>
    <row r="253" spans="1:41" x14ac:dyDescent="0.35">
      <c r="A253" s="74">
        <v>46127</v>
      </c>
      <c r="B253" s="18" t="str">
        <f>IF($C253="","",IFERROR(INDEX('Staff Directory'!$A$5:$A$594,MATCH($C253,'Staff Directory'!$B$5:$B$594,0)),"⚠ unknown staff"))</f>
        <v>PSW-017-A5</v>
      </c>
      <c r="C253" s="49" t="s">
        <v>993</v>
      </c>
      <c r="D253" s="19" t="str">
        <f>IF($B253="","",IFERROR(INDEX('Staff Directory'!$C$5:$C$594,MATCH($B253,'Staff Directory'!$A$5:$A$594,0)),""))</f>
        <v>PSW</v>
      </c>
      <c r="E253" s="19" t="str">
        <f>IF($B253="","",IFERROR(INDEX('Staff Directory'!$D$5:$D$594,MATCH($B253,'Staff Directory'!$A$5:$A$594,0)),""))</f>
        <v>A5</v>
      </c>
      <c r="F253" s="9" t="s">
        <v>154</v>
      </c>
      <c r="G253" s="18" t="str">
        <f>IF($F253="","",IFERROR(INDEX(Items!$B$5:$B$597,MATCH($F253,Items!$A$5:$A$597,0)),"⚠ not in Items"))</f>
        <v>IPAC</v>
      </c>
      <c r="H253" s="19" t="str">
        <f>IF($F253="","",IFERROR(INDEX(Items!$C$5:$C$597,MATCH($F253,Items!$A$5:$A$597,0)),""))</f>
        <v>Regular</v>
      </c>
      <c r="I253" s="23">
        <f>IF($F253="","",IFERROR(INDEX(Items!$E$5:$E$597,MATCH($F253,Items!$A$5:$A$597,0)),""))</f>
        <v>50</v>
      </c>
      <c r="J253" s="115">
        <f>IF(tblIssues[[#This Row],[Qty Override]]&lt;&gt;"",tblIssues[[#This Row],[Qty Override]],IF(tblIssues[[#This Row],[Standard Issue]]="","",tblIssues[[#This Row],[Standard Issue]]))</f>
        <v>50</v>
      </c>
      <c r="K253" s="20">
        <f>IF($F253="","",IFERROR(INDEX(Items!$D$5:$D$597,MATCH($F253,Items!$A$5:$A$597,0)),""))</f>
        <v>0.2</v>
      </c>
      <c r="L253" s="21">
        <f t="shared" si="39"/>
        <v>10</v>
      </c>
      <c r="M253" s="9">
        <f t="shared" si="40"/>
        <v>3024</v>
      </c>
      <c r="N253" s="24">
        <f>IF($A253="","",WORKDAY($A253,Settings!$C$9,HolidayDates))</f>
        <v>46135</v>
      </c>
      <c r="O253" s="24">
        <f>IF($N253="","",WORKDAY($N253,Settings!$C$10,HolidayDates))</f>
        <v>46175</v>
      </c>
      <c r="P253" s="10" t="s">
        <v>501</v>
      </c>
      <c r="Q253" s="52" t="str">
        <f t="shared" si="42"/>
        <v>Collected</v>
      </c>
      <c r="R253" s="55" t="str">
        <f t="shared" si="43"/>
        <v>2026-04</v>
      </c>
      <c r="S253" s="55">
        <f>IF(OR($B253="",$F253="",$R253=""),"",SUMIFS(tblIssues[Qty Issued],tblIssues[Staff ID],$B253,tblIssues[Item Name],$F253,tblIssues[Month],$R253))</f>
        <v>50</v>
      </c>
      <c r="T253" s="56">
        <f>IF($I253="","",$I253*Settings!$C$11)</f>
        <v>50</v>
      </c>
      <c r="U253" s="57" t="str">
        <f t="shared" si="41"/>
        <v>OK</v>
      </c>
      <c r="V253" s="55" t="str">
        <f t="shared" si="44"/>
        <v/>
      </c>
      <c r="W253" s="55" t="str">
        <f>IF($V253="","",IF(COUNTIF($V$5:$V253,$V253)=1,1,""))</f>
        <v/>
      </c>
      <c r="X253" s="58" t="str">
        <f>IF($W253="","",MAX($X$4:X252)+1)</f>
        <v/>
      </c>
      <c r="Y253" s="62"/>
      <c r="Z253" s="62"/>
      <c r="AA253" s="64" t="str">
        <f>IF($C253="","",IFERROR(INDEX('Staff Directory'!$E$5:$E$594,MATCH($C253,'Staff Directory'!$B$5:$B$594,0)),""))</f>
        <v>firstname077.lastname077@example.com</v>
      </c>
      <c r="AB253" s="64" t="str">
        <f>IF($C253="","",IF(ISNUMBER(SEARCH($D253,Settings!$C$15)),"Pickup","Dispatch"))</f>
        <v>Pickup</v>
      </c>
      <c r="AC253" s="64" t="str">
        <f t="shared" si="45"/>
        <v>Supply order ready for pickup</v>
      </c>
      <c r="AD253" s="64" t="str">
        <f t="shared" si="36"/>
        <v>Dear PSW,
Your order is ready for pickup from Sample Branch, Wed-Fri 9am-4pm.</v>
      </c>
      <c r="AE253" s="64" t="str">
        <f t="shared" si="37"/>
        <v>mailto:firstname077.lastname077@example.com?subject=Supply%20order%20ready%20for%20pickup&amp;body=Dear%20PSW%2C%0A%0AYour%20order%20is%20ready%20for%20pickup%20from%20Sample%20Branch%2C%20Wed-Fri%209am-4pm.</v>
      </c>
      <c r="AF253" s="89" t="str">
        <f t="shared" si="46"/>
        <v>Draft email</v>
      </c>
      <c r="AG253" s="64" t="str">
        <f>IF($C253="","",IFERROR(INDEX('Staff Directory'!$K$595:$K$599,MATCH($C253,'Staff Directory'!$B$5:$B$599,0)),$D253))</f>
        <v>PSW</v>
      </c>
      <c r="AH253" t="str">
        <f>IF($C253="","",IFERROR(INDEX('Staff Directory'!$I$595:$I$599,MATCH($C253,'Staff Directory'!$B$5:$B$599,0))&amp;" "&amp;INDEX('Staff Directory'!$J$595:$J$599,MATCH($C253,'Staff Directory'!$B$5:$B$599,0)),$AG253))</f>
        <v>PSW</v>
      </c>
      <c r="AI253" s="102"/>
      <c r="AJ253" s="101">
        <f>IF($F253="","",SUMIFS($J$5:$J253,$F$5:$F253,$F253))</f>
        <v>150</v>
      </c>
      <c r="AK253" s="101">
        <f t="shared" si="38"/>
        <v>101</v>
      </c>
      <c r="AL253" s="66" cm="1">
        <f t="array" ref="AL253">IF($F253="","",IFERROR(INDEX('Lot Balance'!$B$5:$B$500,MATCH(1,INDEX(('Lot Balance'!$A$5:$A$500=$F253)*('Lot Balance'!$K$5:$K$500&lt;$AK253)*('Lot Balance'!$K$5:$K$500+'Lot Balance'!$D$5:$D$500&gt;=$AK253),0),0)),""))</f>
        <v>3024</v>
      </c>
      <c r="AM253" s="66" cm="1">
        <f t="array" ref="AM253">IF($F253="","",IFERROR(INDEX('Lot Balance'!$B$5:$B$500,MATCH(1,INDEX(('Lot Balance'!$A$5:$A$500=$F253)*('Lot Balance'!$K$5:$K$500&lt;$AJ253)*('Lot Balance'!$K$5:$K$500+'Lot Balance'!$D$5:$D$500&gt;=$AJ253),0),0)),""))</f>
        <v>3024</v>
      </c>
      <c r="AN253" s="66" t="str">
        <f>IF($F253="","",IF($AI253&lt;&gt;"",IF(COUNTIFS('Lot Balance'!$A$5:$A$500,$F253,'Lot Balance'!$B$5:$B$500,$AI253)=0,"⚠ override is not a lot of this item",IF($AI253=$AL253,"Override = FEFO","Override - FEFO says "&amp;$AL253)),IF($AL253="","⚠ no receipt on file for this item",IF($AM253&lt;&gt;$AL253,"FEFO auto - split, also "&amp;$AM253,"FEFO auto"))))</f>
        <v>FEFO auto</v>
      </c>
      <c r="AO253" s="114"/>
    </row>
    <row r="254" spans="1:41" x14ac:dyDescent="0.35">
      <c r="A254" s="74">
        <v>46127</v>
      </c>
      <c r="B254" s="18" t="str">
        <f>IF($C254="","",IFERROR(INDEX('Staff Directory'!$A$5:$A$594,MATCH($C254,'Staff Directory'!$B$5:$B$594,0)),"⚠ unknown staff"))</f>
        <v>PSW-017-A5</v>
      </c>
      <c r="C254" s="49" t="s">
        <v>993</v>
      </c>
      <c r="D254" s="19" t="str">
        <f>IF($B254="","",IFERROR(INDEX('Staff Directory'!$C$5:$C$594,MATCH($B254,'Staff Directory'!$A$5:$A$594,0)),""))</f>
        <v>PSW</v>
      </c>
      <c r="E254" s="19" t="str">
        <f>IF($B254="","",IFERROR(INDEX('Staff Directory'!$D$5:$D$594,MATCH($B254,'Staff Directory'!$A$5:$A$594,0)),""))</f>
        <v>A5</v>
      </c>
      <c r="F254" s="9" t="s">
        <v>755</v>
      </c>
      <c r="G254" s="18" t="str">
        <f>IF($F254="","",IFERROR(INDEX(Items!$B$5:$B$597,MATCH($F254,Items!$A$5:$A$597,0)),"⚠ not in Items"))</f>
        <v>Documents</v>
      </c>
      <c r="H254" s="19" t="str">
        <f>IF($F254="","",IFERROR(INDEX(Items!$C$5:$C$597,MATCH($F254,Items!$A$5:$A$597,0)),""))</f>
        <v>Standard</v>
      </c>
      <c r="I254" s="23">
        <f>IF($F254="","",IFERROR(INDEX(Items!$E$5:$E$597,MATCH($F254,Items!$A$5:$A$597,0)),""))</f>
        <v>2</v>
      </c>
      <c r="J254" s="115">
        <f>IF(tblIssues[[#This Row],[Qty Override]]&lt;&gt;"",tblIssues[[#This Row],[Qty Override]],IF(tblIssues[[#This Row],[Standard Issue]]="","",tblIssues[[#This Row],[Standard Issue]]))</f>
        <v>2</v>
      </c>
      <c r="K254" s="20">
        <f>IF($F254="","",IFERROR(INDEX(Items!$D$5:$D$597,MATCH($F254,Items!$A$5:$A$597,0)),""))</f>
        <v>0</v>
      </c>
      <c r="L254" s="21">
        <f t="shared" si="39"/>
        <v>0</v>
      </c>
      <c r="M254" s="9" t="str">
        <f t="shared" si="40"/>
        <v/>
      </c>
      <c r="N254" s="24">
        <f>IF($A254="","",WORKDAY($A254,Settings!$C$9,HolidayDates))</f>
        <v>46135</v>
      </c>
      <c r="O254" s="24">
        <f>IF($N254="","",WORKDAY($N254,Settings!$C$10,HolidayDates))</f>
        <v>46175</v>
      </c>
      <c r="P254" s="10" t="s">
        <v>501</v>
      </c>
      <c r="Q254" s="52" t="str">
        <f t="shared" si="42"/>
        <v>Collected</v>
      </c>
      <c r="R254" s="55" t="str">
        <f t="shared" si="43"/>
        <v>2026-04</v>
      </c>
      <c r="S254" s="55">
        <f>IF(OR($B254="",$F254="",$R254=""),"",SUMIFS(tblIssues[Qty Issued],tblIssues[Staff ID],$B254,tblIssues[Item Name],$F254,tblIssues[Month],$R254))</f>
        <v>2</v>
      </c>
      <c r="T254" s="56">
        <f>IF($I254="","",$I254*Settings!$C$11)</f>
        <v>2</v>
      </c>
      <c r="U254" s="57" t="str">
        <f t="shared" si="41"/>
        <v>OK</v>
      </c>
      <c r="V254" s="55" t="str">
        <f t="shared" si="44"/>
        <v/>
      </c>
      <c r="W254" s="55" t="str">
        <f>IF($V254="","",IF(COUNTIF($V$5:$V254,$V254)=1,1,""))</f>
        <v/>
      </c>
      <c r="X254" s="58" t="str">
        <f>IF($W254="","",MAX($X$4:X253)+1)</f>
        <v/>
      </c>
      <c r="Y254" s="62"/>
      <c r="Z254" s="62"/>
      <c r="AA254" s="64" t="str">
        <f>IF($C254="","",IFERROR(INDEX('Staff Directory'!$E$5:$E$594,MATCH($C254,'Staff Directory'!$B$5:$B$594,0)),""))</f>
        <v>firstname077.lastname077@example.com</v>
      </c>
      <c r="AB254" s="64" t="str">
        <f>IF($C254="","",IF(ISNUMBER(SEARCH($D254,Settings!$C$15)),"Pickup","Dispatch"))</f>
        <v>Pickup</v>
      </c>
      <c r="AC254" s="64" t="str">
        <f t="shared" si="45"/>
        <v>Supply order ready for pickup</v>
      </c>
      <c r="AD254" s="64" t="str">
        <f t="shared" si="36"/>
        <v>Dear PSW,
Your order is ready for pickup from Sample Branch, Wed-Fri 9am-4pm.</v>
      </c>
      <c r="AE254" s="64" t="str">
        <f t="shared" si="37"/>
        <v>mailto:firstname077.lastname077@example.com?subject=Supply%20order%20ready%20for%20pickup&amp;body=Dear%20PSW%2C%0A%0AYour%20order%20is%20ready%20for%20pickup%20from%20Sample%20Branch%2C%20Wed-Fri%209am-4pm.</v>
      </c>
      <c r="AF254" s="89" t="str">
        <f t="shared" si="46"/>
        <v>Draft email</v>
      </c>
      <c r="AG254" s="64" t="str">
        <f>IF($C254="","",IFERROR(INDEX('Staff Directory'!$K$595:$K$599,MATCH($C254,'Staff Directory'!$B$5:$B$599,0)),$D254))</f>
        <v>PSW</v>
      </c>
      <c r="AH254" t="str">
        <f>IF($C254="","",IFERROR(INDEX('Staff Directory'!$I$595:$I$599,MATCH($C254,'Staff Directory'!$B$5:$B$599,0))&amp;" "&amp;INDEX('Staff Directory'!$J$595:$J$599,MATCH($C254,'Staff Directory'!$B$5:$B$599,0)),$AG254))</f>
        <v>PSW</v>
      </c>
      <c r="AI254" s="102"/>
      <c r="AJ254" s="101">
        <f>IF($F254="","",SUMIFS($J$5:$J254,$F$5:$F254,$F254))</f>
        <v>68</v>
      </c>
      <c r="AK254" s="101">
        <f t="shared" si="38"/>
        <v>67</v>
      </c>
      <c r="AL254" s="66" t="str" cm="1">
        <f t="array" ref="AL254">IF($F254="","",IFERROR(INDEX('Lot Balance'!$B$5:$B$500,MATCH(1,INDEX(('Lot Balance'!$A$5:$A$500=$F254)*('Lot Balance'!$K$5:$K$500&lt;$AK254)*('Lot Balance'!$K$5:$K$500+'Lot Balance'!$D$5:$D$500&gt;=$AK254),0),0)),""))</f>
        <v/>
      </c>
      <c r="AM254" s="66" t="str" cm="1">
        <f t="array" ref="AM254">IF($F254="","",IFERROR(INDEX('Lot Balance'!$B$5:$B$500,MATCH(1,INDEX(('Lot Balance'!$A$5:$A$500=$F254)*('Lot Balance'!$K$5:$K$500&lt;$AJ254)*('Lot Balance'!$K$5:$K$500+'Lot Balance'!$D$5:$D$500&gt;=$AJ254),0),0)),""))</f>
        <v/>
      </c>
      <c r="AN254" s="66" t="str">
        <f>IF($F254="","",IF($AI254&lt;&gt;"",IF(COUNTIFS('Lot Balance'!$A$5:$A$500,$F254,'Lot Balance'!$B$5:$B$500,$AI254)=0,"⚠ override is not a lot of this item",IF($AI254=$AL254,"Override = FEFO","Override - FEFO says "&amp;$AL254)),IF($AL254="","⚠ no receipt on file for this item",IF($AM254&lt;&gt;$AL254,"FEFO auto - split, also "&amp;$AM254,"FEFO auto"))))</f>
        <v>⚠ no receipt on file for this item</v>
      </c>
      <c r="AO254" s="114"/>
    </row>
    <row r="255" spans="1:41" x14ac:dyDescent="0.35">
      <c r="A255" s="74">
        <v>46127</v>
      </c>
      <c r="B255" s="18" t="str">
        <f>IF($C255="","",IFERROR(INDEX('Staff Directory'!$A$5:$A$594,MATCH($C255,'Staff Directory'!$B$5:$B$594,0)),"⚠ unknown staff"))</f>
        <v>PSW-107-A6</v>
      </c>
      <c r="C255" s="49" t="s">
        <v>1085</v>
      </c>
      <c r="D255" s="19" t="str">
        <f>IF($B255="","",IFERROR(INDEX('Staff Directory'!$C$5:$C$594,MATCH($B255,'Staff Directory'!$A$5:$A$594,0)),""))</f>
        <v>PSW</v>
      </c>
      <c r="E255" s="19" t="str">
        <f>IF($B255="","",IFERROR(INDEX('Staff Directory'!$D$5:$D$594,MATCH($B255,'Staff Directory'!$A$5:$A$594,0)),""))</f>
        <v>A6</v>
      </c>
      <c r="F255" s="9" t="s">
        <v>124</v>
      </c>
      <c r="G255" s="18" t="str">
        <f>IF($F255="","",IFERROR(INDEX(Items!$B$5:$B$597,MATCH($F255,Items!$A$5:$A$597,0)),"⚠ not in Items"))</f>
        <v>Gloves</v>
      </c>
      <c r="H255" s="19" t="str">
        <f>IF($F255="","",IFERROR(INDEX(Items!$C$5:$C$597,MATCH($F255,Items!$A$5:$A$597,0)),""))</f>
        <v>Large</v>
      </c>
      <c r="I255" s="23">
        <f>IF($F255="","",IFERROR(INDEX(Items!$E$5:$E$597,MATCH($F255,Items!$A$5:$A$597,0)),""))</f>
        <v>500</v>
      </c>
      <c r="J255" s="115">
        <f>IF(tblIssues[[#This Row],[Qty Override]]&lt;&gt;"",tblIssues[[#This Row],[Qty Override]],IF(tblIssues[[#This Row],[Standard Issue]]="","",tblIssues[[#This Row],[Standard Issue]]))</f>
        <v>500</v>
      </c>
      <c r="K255" s="20">
        <f>IF($F255="","",IFERROR(INDEX(Items!$D$5:$D$597,MATCH($F255,Items!$A$5:$A$597,0)),""))</f>
        <v>5.5E-2</v>
      </c>
      <c r="L255" s="21">
        <f t="shared" si="39"/>
        <v>27.5</v>
      </c>
      <c r="M255" s="9" t="str">
        <f t="shared" si="40"/>
        <v>ZIM511139904-0</v>
      </c>
      <c r="N255" s="24">
        <f>IF($A255="","",WORKDAY($A255,Settings!$C$9,HolidayDates))</f>
        <v>46135</v>
      </c>
      <c r="O255" s="24">
        <f>IF($N255="","",WORKDAY($N255,Settings!$C$10,HolidayDates))</f>
        <v>46175</v>
      </c>
      <c r="P255" s="10" t="s">
        <v>501</v>
      </c>
      <c r="Q255" s="52" t="str">
        <f t="shared" si="42"/>
        <v>Collected</v>
      </c>
      <c r="R255" s="55" t="str">
        <f t="shared" si="43"/>
        <v>2026-04</v>
      </c>
      <c r="S255" s="55">
        <f>IF(OR($B255="",$F255="",$R255=""),"",SUMIFS(tblIssues[Qty Issued],tblIssues[Staff ID],$B255,tblIssues[Item Name],$F255,tblIssues[Month],$R255))</f>
        <v>500</v>
      </c>
      <c r="T255" s="56">
        <f>IF($I255="","",$I255*Settings!$C$11)</f>
        <v>500</v>
      </c>
      <c r="U255" s="57" t="str">
        <f t="shared" si="41"/>
        <v>OK</v>
      </c>
      <c r="V255" s="55" t="str">
        <f t="shared" si="44"/>
        <v/>
      </c>
      <c r="W255" s="55" t="str">
        <f>IF($V255="","",IF(COUNTIF($V$5:$V255,$V255)=1,1,""))</f>
        <v/>
      </c>
      <c r="X255" s="58" t="str">
        <f>IF($W255="","",MAX($X$4:X254)+1)</f>
        <v/>
      </c>
      <c r="Y255" s="62"/>
      <c r="Z255" s="62"/>
      <c r="AA255" s="64" t="str">
        <f>IF($C255="","",IFERROR(INDEX('Staff Directory'!$E$5:$E$594,MATCH($C255,'Staff Directory'!$B$5:$B$594,0)),""))</f>
        <v>firstname169.lastname169@example.com</v>
      </c>
      <c r="AB255" s="64" t="str">
        <f>IF($C255="","",IF(ISNUMBER(SEARCH($D255,Settings!$C$15)),"Pickup","Dispatch"))</f>
        <v>Pickup</v>
      </c>
      <c r="AC255" s="64" t="str">
        <f t="shared" si="45"/>
        <v>Supply order ready for pickup</v>
      </c>
      <c r="AD255" s="64" t="str">
        <f t="shared" si="36"/>
        <v>Dear PSW,
Your order is ready for pickup from Sample Branch, Wed-Fri 9am-4pm.</v>
      </c>
      <c r="AE255" s="64" t="str">
        <f t="shared" si="37"/>
        <v>mailto:firstname169.lastname169@example.com?subject=Supply%20order%20ready%20for%20pickup&amp;body=Dear%20PSW%2C%0A%0AYour%20order%20is%20ready%20for%20pickup%20from%20Sample%20Branch%2C%20Wed-Fri%209am-4pm.</v>
      </c>
      <c r="AF255" s="89" t="str">
        <f t="shared" si="46"/>
        <v>Draft email</v>
      </c>
      <c r="AG255" s="64" t="str">
        <f>IF($C255="","",IFERROR(INDEX('Staff Directory'!$K$595:$K$599,MATCH($C255,'Staff Directory'!$B$5:$B$599,0)),$D255))</f>
        <v>PSW</v>
      </c>
      <c r="AH255" t="str">
        <f>IF($C255="","",IFERROR(INDEX('Staff Directory'!$I$595:$I$599,MATCH($C255,'Staff Directory'!$B$5:$B$599,0))&amp;" "&amp;INDEX('Staff Directory'!$J$595:$J$599,MATCH($C255,'Staff Directory'!$B$5:$B$599,0)),$AG255))</f>
        <v>PSW</v>
      </c>
      <c r="AI255" s="102"/>
      <c r="AJ255" s="101">
        <f>IF($F255="","",SUMIFS($J$5:$J255,$F$5:$F255,$F255))</f>
        <v>6000</v>
      </c>
      <c r="AK255" s="101">
        <f t="shared" si="38"/>
        <v>5501</v>
      </c>
      <c r="AL255" s="66" t="str" cm="1">
        <f t="array" ref="AL255">IF($F255="","",IFERROR(INDEX('Lot Balance'!$B$5:$B$500,MATCH(1,INDEX(('Lot Balance'!$A$5:$A$500=$F255)*('Lot Balance'!$K$5:$K$500&lt;$AK255)*('Lot Balance'!$K$5:$K$500+'Lot Balance'!$D$5:$D$500&gt;=$AK255),0),0)),""))</f>
        <v>ZIM511139904-0</v>
      </c>
      <c r="AM255" s="66" t="str" cm="1">
        <f t="array" ref="AM255">IF($F255="","",IFERROR(INDEX('Lot Balance'!$B$5:$B$500,MATCH(1,INDEX(('Lot Balance'!$A$5:$A$500=$F255)*('Lot Balance'!$K$5:$K$500&lt;$AJ255)*('Lot Balance'!$K$5:$K$500+'Lot Balance'!$D$5:$D$500&gt;=$AJ255),0),0)),""))</f>
        <v>ZIM511139904-0</v>
      </c>
      <c r="AN255" s="66" t="str">
        <f>IF($F255="","",IF($AI255&lt;&gt;"",IF(COUNTIFS('Lot Balance'!$A$5:$A$500,$F255,'Lot Balance'!$B$5:$B$500,$AI255)=0,"⚠ override is not a lot of this item",IF($AI255=$AL255,"Override = FEFO","Override - FEFO says "&amp;$AL255)),IF($AL255="","⚠ no receipt on file for this item",IF($AM255&lt;&gt;$AL255,"FEFO auto - split, also "&amp;$AM255,"FEFO auto"))))</f>
        <v>FEFO auto</v>
      </c>
      <c r="AO255" s="114"/>
    </row>
    <row r="256" spans="1:41" x14ac:dyDescent="0.35">
      <c r="A256" s="74">
        <v>46127</v>
      </c>
      <c r="B256" s="18" t="str">
        <f>IF($C256="","",IFERROR(INDEX('Staff Directory'!$A$5:$A$594,MATCH($C256,'Staff Directory'!$B$5:$B$594,0)),"⚠ unknown staff"))</f>
        <v>PSW-107-A6</v>
      </c>
      <c r="C256" s="49" t="s">
        <v>1085</v>
      </c>
      <c r="D256" s="19" t="str">
        <f>IF($B256="","",IFERROR(INDEX('Staff Directory'!$C$5:$C$594,MATCH($B256,'Staff Directory'!$A$5:$A$594,0)),""))</f>
        <v>PSW</v>
      </c>
      <c r="E256" s="19" t="str">
        <f>IF($B256="","",IFERROR(INDEX('Staff Directory'!$D$5:$D$594,MATCH($B256,'Staff Directory'!$A$5:$A$594,0)),""))</f>
        <v>A6</v>
      </c>
      <c r="F256" s="9" t="s">
        <v>191</v>
      </c>
      <c r="G256" s="18" t="str">
        <f>IF($F256="","",IFERROR(INDEX(Items!$B$5:$B$597,MATCH($F256,Items!$A$5:$A$597,0)),"⚠ not in Items"))</f>
        <v>Sanitizer</v>
      </c>
      <c r="H256" s="19" t="str">
        <f>IF($F256="","",IFERROR(INDEX(Items!$C$5:$C$597,MATCH($F256,Items!$A$5:$A$597,0)),""))</f>
        <v>236 ML</v>
      </c>
      <c r="I256" s="23">
        <f>IF($F256="","",IFERROR(INDEX(Items!$E$5:$E$597,MATCH($F256,Items!$A$5:$A$597,0)),""))</f>
        <v>1</v>
      </c>
      <c r="J256" s="115">
        <f>IF(tblIssues[[#This Row],[Qty Override]]&lt;&gt;"",tblIssues[[#This Row],[Qty Override]],IF(tblIssues[[#This Row],[Standard Issue]]="","",tblIssues[[#This Row],[Standard Issue]]))</f>
        <v>1</v>
      </c>
      <c r="K256" s="20">
        <f>IF($F256="","",IFERROR(INDEX(Items!$D$5:$D$597,MATCH($F256,Items!$A$5:$A$597,0)),""))</f>
        <v>1E-4</v>
      </c>
      <c r="L256" s="21">
        <f t="shared" si="39"/>
        <v>1E-4</v>
      </c>
      <c r="M256" s="9" t="str">
        <f t="shared" si="40"/>
        <v>20-21734-1</v>
      </c>
      <c r="N256" s="24">
        <f>IF($A256="","",WORKDAY($A256,Settings!$C$9,HolidayDates))</f>
        <v>46135</v>
      </c>
      <c r="O256" s="24">
        <f>IF($N256="","",WORKDAY($N256,Settings!$C$10,HolidayDates))</f>
        <v>46175</v>
      </c>
      <c r="P256" s="10" t="s">
        <v>501</v>
      </c>
      <c r="Q256" s="52" t="str">
        <f t="shared" si="42"/>
        <v>Collected</v>
      </c>
      <c r="R256" s="55" t="str">
        <f t="shared" si="43"/>
        <v>2026-04</v>
      </c>
      <c r="S256" s="55">
        <f>IF(OR($B256="",$F256="",$R256=""),"",SUMIFS(tblIssues[Qty Issued],tblIssues[Staff ID],$B256,tblIssues[Item Name],$F256,tblIssues[Month],$R256))</f>
        <v>1</v>
      </c>
      <c r="T256" s="56">
        <f>IF($I256="","",$I256*Settings!$C$11)</f>
        <v>1</v>
      </c>
      <c r="U256" s="57" t="str">
        <f t="shared" si="41"/>
        <v>OK</v>
      </c>
      <c r="V256" s="55" t="str">
        <f t="shared" si="44"/>
        <v/>
      </c>
      <c r="W256" s="55" t="str">
        <f>IF($V256="","",IF(COUNTIF($V$5:$V256,$V256)=1,1,""))</f>
        <v/>
      </c>
      <c r="X256" s="58" t="str">
        <f>IF($W256="","",MAX($X$4:X255)+1)</f>
        <v/>
      </c>
      <c r="Y256" s="62"/>
      <c r="Z256" s="62"/>
      <c r="AA256" s="64" t="str">
        <f>IF($C256="","",IFERROR(INDEX('Staff Directory'!$E$5:$E$594,MATCH($C256,'Staff Directory'!$B$5:$B$594,0)),""))</f>
        <v>firstname169.lastname169@example.com</v>
      </c>
      <c r="AB256" s="64" t="str">
        <f>IF($C256="","",IF(ISNUMBER(SEARCH($D256,Settings!$C$15)),"Pickup","Dispatch"))</f>
        <v>Pickup</v>
      </c>
      <c r="AC256" s="64" t="str">
        <f t="shared" si="45"/>
        <v>Supply order ready for pickup</v>
      </c>
      <c r="AD256" s="64" t="str">
        <f t="shared" si="36"/>
        <v>Dear PSW,
Your order is ready for pickup from Sample Branch, Wed-Fri 9am-4pm.</v>
      </c>
      <c r="AE256" s="64" t="str">
        <f t="shared" si="37"/>
        <v>mailto:firstname169.lastname169@example.com?subject=Supply%20order%20ready%20for%20pickup&amp;body=Dear%20PSW%2C%0A%0AYour%20order%20is%20ready%20for%20pickup%20from%20Sample%20Branch%2C%20Wed-Fri%209am-4pm.</v>
      </c>
      <c r="AF256" s="89" t="str">
        <f t="shared" si="46"/>
        <v>Draft email</v>
      </c>
      <c r="AG256" s="64" t="str">
        <f>IF($C256="","",IFERROR(INDEX('Staff Directory'!$K$595:$K$599,MATCH($C256,'Staff Directory'!$B$5:$B$599,0)),$D256))</f>
        <v>PSW</v>
      </c>
      <c r="AH256" t="str">
        <f>IF($C256="","",IFERROR(INDEX('Staff Directory'!$I$595:$I$599,MATCH($C256,'Staff Directory'!$B$5:$B$599,0))&amp;" "&amp;INDEX('Staff Directory'!$J$595:$J$599,MATCH($C256,'Staff Directory'!$B$5:$B$599,0)),$AG256))</f>
        <v>PSW</v>
      </c>
      <c r="AI256" s="102"/>
      <c r="AJ256" s="101">
        <f>IF($F256="","",SUMIFS($J$5:$J256,$F$5:$F256,$F256))</f>
        <v>6</v>
      </c>
      <c r="AK256" s="101">
        <f t="shared" si="38"/>
        <v>6</v>
      </c>
      <c r="AL256" s="66" t="str" cm="1">
        <f t="array" ref="AL256">IF($F256="","",IFERROR(INDEX('Lot Balance'!$B$5:$B$500,MATCH(1,INDEX(('Lot Balance'!$A$5:$A$500=$F256)*('Lot Balance'!$K$5:$K$500&lt;$AK256)*('Lot Balance'!$K$5:$K$500+'Lot Balance'!$D$5:$D$500&gt;=$AK256),0),0)),""))</f>
        <v>20-21734-1</v>
      </c>
      <c r="AM256" s="66" t="str" cm="1">
        <f t="array" ref="AM256">IF($F256="","",IFERROR(INDEX('Lot Balance'!$B$5:$B$500,MATCH(1,INDEX(('Lot Balance'!$A$5:$A$500=$F256)*('Lot Balance'!$K$5:$K$500&lt;$AJ256)*('Lot Balance'!$K$5:$K$500+'Lot Balance'!$D$5:$D$500&gt;=$AJ256),0),0)),""))</f>
        <v>20-21734-1</v>
      </c>
      <c r="AN256" s="66" t="str">
        <f>IF($F256="","",IF($AI256&lt;&gt;"",IF(COUNTIFS('Lot Balance'!$A$5:$A$500,$F256,'Lot Balance'!$B$5:$B$500,$AI256)=0,"⚠ override is not a lot of this item",IF($AI256=$AL256,"Override = FEFO","Override - FEFO says "&amp;$AL256)),IF($AL256="","⚠ no receipt on file for this item",IF($AM256&lt;&gt;$AL256,"FEFO auto - split, also "&amp;$AM256,"FEFO auto"))))</f>
        <v>FEFO auto</v>
      </c>
      <c r="AO256" s="114"/>
    </row>
    <row r="257" spans="1:41" x14ac:dyDescent="0.35">
      <c r="A257" s="74">
        <v>46127</v>
      </c>
      <c r="B257" s="18" t="str">
        <f>IF($C257="","",IFERROR(INDEX('Staff Directory'!$A$5:$A$594,MATCH($C257,'Staff Directory'!$B$5:$B$594,0)),"⚠ unknown staff"))</f>
        <v>PSW-107-A6</v>
      </c>
      <c r="C257" s="49" t="s">
        <v>1085</v>
      </c>
      <c r="D257" s="19" t="str">
        <f>IF($B257="","",IFERROR(INDEX('Staff Directory'!$C$5:$C$594,MATCH($B257,'Staff Directory'!$A$5:$A$594,0)),""))</f>
        <v>PSW</v>
      </c>
      <c r="E257" s="19" t="str">
        <f>IF($B257="","",IFERROR(INDEX('Staff Directory'!$D$5:$D$594,MATCH($B257,'Staff Directory'!$A$5:$A$594,0)),""))</f>
        <v>A6</v>
      </c>
      <c r="F257" s="9" t="s">
        <v>156</v>
      </c>
      <c r="G257" s="18" t="str">
        <f>IF($F257="","",IFERROR(INDEX(Items!$B$5:$B$597,MATCH($F257,Items!$A$5:$A$597,0)),"⚠ not in Items"))</f>
        <v>Masks</v>
      </c>
      <c r="H257" s="19" t="str">
        <f>IF($F257="","",IFERROR(INDEX(Items!$C$5:$C$597,MATCH($F257,Items!$A$5:$A$597,0)),""))</f>
        <v>One Size</v>
      </c>
      <c r="I257" s="23">
        <f>IF($F257="","",IFERROR(INDEX(Items!$E$5:$E$597,MATCH($F257,Items!$A$5:$A$597,0)),""))</f>
        <v>50</v>
      </c>
      <c r="J257" s="115">
        <f>IF(tblIssues[[#This Row],[Qty Override]]&lt;&gt;"",tblIssues[[#This Row],[Qty Override]],IF(tblIssues[[#This Row],[Standard Issue]]="","",tblIssues[[#This Row],[Standard Issue]]))</f>
        <v>50</v>
      </c>
      <c r="K257" s="20">
        <f>IF($F257="","",IFERROR(INDEX(Items!$D$5:$D$597,MATCH($F257,Items!$A$5:$A$597,0)),""))</f>
        <v>0.25</v>
      </c>
      <c r="L257" s="21">
        <f t="shared" si="39"/>
        <v>12.5</v>
      </c>
      <c r="M257" s="9" t="str">
        <f t="shared" si="40"/>
        <v>0125FPC24-0</v>
      </c>
      <c r="N257" s="24">
        <f>IF($A257="","",WORKDAY($A257,Settings!$C$9,HolidayDates))</f>
        <v>46135</v>
      </c>
      <c r="O257" s="24">
        <f>IF($N257="","",WORKDAY($N257,Settings!$C$10,HolidayDates))</f>
        <v>46175</v>
      </c>
      <c r="P257" s="10" t="s">
        <v>501</v>
      </c>
      <c r="Q257" s="52" t="str">
        <f t="shared" si="42"/>
        <v>Collected</v>
      </c>
      <c r="R257" s="55" t="str">
        <f t="shared" si="43"/>
        <v>2026-04</v>
      </c>
      <c r="S257" s="55">
        <f>IF(OR($B257="",$F257="",$R257=""),"",SUMIFS(tblIssues[Qty Issued],tblIssues[Staff ID],$B257,tblIssues[Item Name],$F257,tblIssues[Month],$R257))</f>
        <v>50</v>
      </c>
      <c r="T257" s="56">
        <f>IF($I257="","",$I257*Settings!$C$11)</f>
        <v>50</v>
      </c>
      <c r="U257" s="57" t="str">
        <f t="shared" si="41"/>
        <v>OK</v>
      </c>
      <c r="V257" s="55" t="str">
        <f t="shared" si="44"/>
        <v/>
      </c>
      <c r="W257" s="55" t="str">
        <f>IF($V257="","",IF(COUNTIF($V$5:$V257,$V257)=1,1,""))</f>
        <v/>
      </c>
      <c r="X257" s="58" t="str">
        <f>IF($W257="","",MAX($X$4:X256)+1)</f>
        <v/>
      </c>
      <c r="Y257" s="62"/>
      <c r="Z257" s="62"/>
      <c r="AA257" s="64" t="str">
        <f>IF($C257="","",IFERROR(INDEX('Staff Directory'!$E$5:$E$594,MATCH($C257,'Staff Directory'!$B$5:$B$594,0)),""))</f>
        <v>firstname169.lastname169@example.com</v>
      </c>
      <c r="AB257" s="64" t="str">
        <f>IF($C257="","",IF(ISNUMBER(SEARCH($D257,Settings!$C$15)),"Pickup","Dispatch"))</f>
        <v>Pickup</v>
      </c>
      <c r="AC257" s="64" t="str">
        <f t="shared" si="45"/>
        <v>Supply order ready for pickup</v>
      </c>
      <c r="AD257" s="64" t="str">
        <f t="shared" si="36"/>
        <v>Dear PSW,
Your order is ready for pickup from Sample Branch, Wed-Fri 9am-4pm.</v>
      </c>
      <c r="AE257" s="64" t="str">
        <f t="shared" si="37"/>
        <v>mailto:firstname169.lastname169@example.com?subject=Supply%20order%20ready%20for%20pickup&amp;body=Dear%20PSW%2C%0A%0AYour%20order%20is%20ready%20for%20pickup%20from%20Sample%20Branch%2C%20Wed-Fri%209am-4pm.</v>
      </c>
      <c r="AF257" s="89" t="str">
        <f t="shared" si="46"/>
        <v>Draft email</v>
      </c>
      <c r="AG257" s="64" t="str">
        <f>IF($C257="","",IFERROR(INDEX('Staff Directory'!$K$595:$K$599,MATCH($C257,'Staff Directory'!$B$5:$B$599,0)),$D257))</f>
        <v>PSW</v>
      </c>
      <c r="AH257" t="str">
        <f>IF($C257="","",IFERROR(INDEX('Staff Directory'!$I$595:$I$599,MATCH($C257,'Staff Directory'!$B$5:$B$599,0))&amp;" "&amp;INDEX('Staff Directory'!$J$595:$J$599,MATCH($C257,'Staff Directory'!$B$5:$B$599,0)),$AG257))</f>
        <v>PSW</v>
      </c>
      <c r="AI257" s="102"/>
      <c r="AJ257" s="101">
        <f>IF($F257="","",SUMIFS($J$5:$J257,$F$5:$F257,$F257))</f>
        <v>1900</v>
      </c>
      <c r="AK257" s="101">
        <f t="shared" si="38"/>
        <v>1851</v>
      </c>
      <c r="AL257" s="66" t="str" cm="1">
        <f t="array" ref="AL257">IF($F257="","",IFERROR(INDEX('Lot Balance'!$B$5:$B$500,MATCH(1,INDEX(('Lot Balance'!$A$5:$A$500=$F257)*('Lot Balance'!$K$5:$K$500&lt;$AK257)*('Lot Balance'!$K$5:$K$500+'Lot Balance'!$D$5:$D$500&gt;=$AK257),0),0)),""))</f>
        <v>0125FPC24-0</v>
      </c>
      <c r="AM257" s="66" t="str" cm="1">
        <f t="array" ref="AM257">IF($F257="","",IFERROR(INDEX('Lot Balance'!$B$5:$B$500,MATCH(1,INDEX(('Lot Balance'!$A$5:$A$500=$F257)*('Lot Balance'!$K$5:$K$500&lt;$AJ257)*('Lot Balance'!$K$5:$K$500+'Lot Balance'!$D$5:$D$500&gt;=$AJ257),0),0)),""))</f>
        <v>0125FPC24-0</v>
      </c>
      <c r="AN257" s="66" t="str">
        <f>IF($F257="","",IF($AI257&lt;&gt;"",IF(COUNTIFS('Lot Balance'!$A$5:$A$500,$F257,'Lot Balance'!$B$5:$B$500,$AI257)=0,"⚠ override is not a lot of this item",IF($AI257=$AL257,"Override = FEFO","Override - FEFO says "&amp;$AL257)),IF($AL257="","⚠ no receipt on file for this item",IF($AM257&lt;&gt;$AL257,"FEFO auto - split, also "&amp;$AM257,"FEFO auto"))))</f>
        <v>FEFO auto</v>
      </c>
      <c r="AO257" s="114"/>
    </row>
    <row r="258" spans="1:41" x14ac:dyDescent="0.35">
      <c r="A258" s="74">
        <v>46127</v>
      </c>
      <c r="B258" s="18" t="str">
        <f>IF($C258="","",IFERROR(INDEX('Staff Directory'!$A$5:$A$594,MATCH($C258,'Staff Directory'!$B$5:$B$594,0)),"⚠ unknown staff"))</f>
        <v>PSW-107-A6</v>
      </c>
      <c r="C258" s="49" t="s">
        <v>1085</v>
      </c>
      <c r="D258" s="19" t="str">
        <f>IF($B258="","",IFERROR(INDEX('Staff Directory'!$C$5:$C$594,MATCH($B258,'Staff Directory'!$A$5:$A$594,0)),""))</f>
        <v>PSW</v>
      </c>
      <c r="E258" s="19" t="str">
        <f>IF($B258="","",IFERROR(INDEX('Staff Directory'!$D$5:$D$594,MATCH($B258,'Staff Directory'!$A$5:$A$594,0)),""))</f>
        <v>A6</v>
      </c>
      <c r="F258" s="9" t="s">
        <v>755</v>
      </c>
      <c r="G258" s="18" t="str">
        <f>IF($F258="","",IFERROR(INDEX(Items!$B$5:$B$597,MATCH($F258,Items!$A$5:$A$597,0)),"⚠ not in Items"))</f>
        <v>Documents</v>
      </c>
      <c r="H258" s="19" t="str">
        <f>IF($F258="","",IFERROR(INDEX(Items!$C$5:$C$597,MATCH($F258,Items!$A$5:$A$597,0)),""))</f>
        <v>Standard</v>
      </c>
      <c r="I258" s="23">
        <f>IF($F258="","",IFERROR(INDEX(Items!$E$5:$E$597,MATCH($F258,Items!$A$5:$A$597,0)),""))</f>
        <v>2</v>
      </c>
      <c r="J258" s="115">
        <f>IF(tblIssues[[#This Row],[Qty Override]]&lt;&gt;"",tblIssues[[#This Row],[Qty Override]],IF(tblIssues[[#This Row],[Standard Issue]]="","",tblIssues[[#This Row],[Standard Issue]]))</f>
        <v>2</v>
      </c>
      <c r="K258" s="20">
        <f>IF($F258="","",IFERROR(INDEX(Items!$D$5:$D$597,MATCH($F258,Items!$A$5:$A$597,0)),""))</f>
        <v>0</v>
      </c>
      <c r="L258" s="21">
        <f t="shared" si="39"/>
        <v>0</v>
      </c>
      <c r="M258" s="9" t="str">
        <f t="shared" si="40"/>
        <v/>
      </c>
      <c r="N258" s="24">
        <f>IF($A258="","",WORKDAY($A258,Settings!$C$9,HolidayDates))</f>
        <v>46135</v>
      </c>
      <c r="O258" s="24">
        <f>IF($N258="","",WORKDAY($N258,Settings!$C$10,HolidayDates))</f>
        <v>46175</v>
      </c>
      <c r="P258" s="10" t="s">
        <v>501</v>
      </c>
      <c r="Q258" s="52" t="str">
        <f t="shared" si="42"/>
        <v>Collected</v>
      </c>
      <c r="R258" s="55" t="str">
        <f t="shared" si="43"/>
        <v>2026-04</v>
      </c>
      <c r="S258" s="55">
        <f>IF(OR($B258="",$F258="",$R258=""),"",SUMIFS(tblIssues[Qty Issued],tblIssues[Staff ID],$B258,tblIssues[Item Name],$F258,tblIssues[Month],$R258))</f>
        <v>2</v>
      </c>
      <c r="T258" s="56">
        <f>IF($I258="","",$I258*Settings!$C$11)</f>
        <v>2</v>
      </c>
      <c r="U258" s="57" t="str">
        <f t="shared" si="41"/>
        <v>OK</v>
      </c>
      <c r="V258" s="55" t="str">
        <f t="shared" si="44"/>
        <v/>
      </c>
      <c r="W258" s="55" t="str">
        <f>IF($V258="","",IF(COUNTIF($V$5:$V258,$V258)=1,1,""))</f>
        <v/>
      </c>
      <c r="X258" s="58" t="str">
        <f>IF($W258="","",MAX($X$4:X257)+1)</f>
        <v/>
      </c>
      <c r="Y258" s="62"/>
      <c r="Z258" s="62"/>
      <c r="AA258" s="64" t="str">
        <f>IF($C258="","",IFERROR(INDEX('Staff Directory'!$E$5:$E$594,MATCH($C258,'Staff Directory'!$B$5:$B$594,0)),""))</f>
        <v>firstname169.lastname169@example.com</v>
      </c>
      <c r="AB258" s="64" t="str">
        <f>IF($C258="","",IF(ISNUMBER(SEARCH($D258,Settings!$C$15)),"Pickup","Dispatch"))</f>
        <v>Pickup</v>
      </c>
      <c r="AC258" s="64" t="str">
        <f t="shared" si="45"/>
        <v>Supply order ready for pickup</v>
      </c>
      <c r="AD258" s="64" t="str">
        <f t="shared" si="36"/>
        <v>Dear PSW,
Your order is ready for pickup from Sample Branch, Wed-Fri 9am-4pm.</v>
      </c>
      <c r="AE258" s="64" t="str">
        <f t="shared" si="37"/>
        <v>mailto:firstname169.lastname169@example.com?subject=Supply%20order%20ready%20for%20pickup&amp;body=Dear%20PSW%2C%0A%0AYour%20order%20is%20ready%20for%20pickup%20from%20Sample%20Branch%2C%20Wed-Fri%209am-4pm.</v>
      </c>
      <c r="AF258" s="89" t="str">
        <f t="shared" si="46"/>
        <v>Draft email</v>
      </c>
      <c r="AG258" s="64" t="str">
        <f>IF($C258="","",IFERROR(INDEX('Staff Directory'!$K$595:$K$599,MATCH($C258,'Staff Directory'!$B$5:$B$599,0)),$D258))</f>
        <v>PSW</v>
      </c>
      <c r="AH258" t="str">
        <f>IF($C258="","",IFERROR(INDEX('Staff Directory'!$I$595:$I$599,MATCH($C258,'Staff Directory'!$B$5:$B$599,0))&amp;" "&amp;INDEX('Staff Directory'!$J$595:$J$599,MATCH($C258,'Staff Directory'!$B$5:$B$599,0)),$AG258))</f>
        <v>PSW</v>
      </c>
      <c r="AI258" s="102"/>
      <c r="AJ258" s="101">
        <f>IF($F258="","",SUMIFS($J$5:$J258,$F$5:$F258,$F258))</f>
        <v>70</v>
      </c>
      <c r="AK258" s="101">
        <f t="shared" si="38"/>
        <v>69</v>
      </c>
      <c r="AL258" s="66" t="str" cm="1">
        <f t="array" ref="AL258">IF($F258="","",IFERROR(INDEX('Lot Balance'!$B$5:$B$500,MATCH(1,INDEX(('Lot Balance'!$A$5:$A$500=$F258)*('Lot Balance'!$K$5:$K$500&lt;$AK258)*('Lot Balance'!$K$5:$K$500+'Lot Balance'!$D$5:$D$500&gt;=$AK258),0),0)),""))</f>
        <v/>
      </c>
      <c r="AM258" s="66" t="str" cm="1">
        <f t="array" ref="AM258">IF($F258="","",IFERROR(INDEX('Lot Balance'!$B$5:$B$500,MATCH(1,INDEX(('Lot Balance'!$A$5:$A$500=$F258)*('Lot Balance'!$K$5:$K$500&lt;$AJ258)*('Lot Balance'!$K$5:$K$500+'Lot Balance'!$D$5:$D$500&gt;=$AJ258),0),0)),""))</f>
        <v/>
      </c>
      <c r="AN258" s="66" t="str">
        <f>IF($F258="","",IF($AI258&lt;&gt;"",IF(COUNTIFS('Lot Balance'!$A$5:$A$500,$F258,'Lot Balance'!$B$5:$B$500,$AI258)=0,"⚠ override is not a lot of this item",IF($AI258=$AL258,"Override = FEFO","Override - FEFO says "&amp;$AL258)),IF($AL258="","⚠ no receipt on file for this item",IF($AM258&lt;&gt;$AL258,"FEFO auto - split, also "&amp;$AM258,"FEFO auto"))))</f>
        <v>⚠ no receipt on file for this item</v>
      </c>
      <c r="AO258" s="114"/>
    </row>
    <row r="259" spans="1:41" x14ac:dyDescent="0.35">
      <c r="A259" s="74">
        <v>46127</v>
      </c>
      <c r="B259" s="18" t="str">
        <f>IF($C259="","",IFERROR(INDEX('Staff Directory'!$A$5:$A$594,MATCH($C259,'Staff Directory'!$B$5:$B$594,0)),"⚠ unknown staff"))</f>
        <v>RN-045-A1</v>
      </c>
      <c r="C259" s="49" t="s">
        <v>968</v>
      </c>
      <c r="D259" s="19" t="str">
        <f>IF($B259="","",IFERROR(INDEX('Staff Directory'!$C$5:$C$594,MATCH($B259,'Staff Directory'!$A$5:$A$594,0)),""))</f>
        <v>RN</v>
      </c>
      <c r="E259" s="19" t="str">
        <f>IF($B259="","",IFERROR(INDEX('Staff Directory'!$D$5:$D$594,MATCH($B259,'Staff Directory'!$A$5:$A$594,0)),""))</f>
        <v>A1</v>
      </c>
      <c r="F259" s="9" t="s">
        <v>127</v>
      </c>
      <c r="G259" s="18" t="str">
        <f>IF($F259="","",IFERROR(INDEX(Items!$B$5:$B$597,MATCH($F259,Items!$A$5:$A$597,0)),"⚠ not in Items"))</f>
        <v>Gloves</v>
      </c>
      <c r="H259" s="19" t="str">
        <f>IF($F259="","",IFERROR(INDEX(Items!$C$5:$C$597,MATCH($F259,Items!$A$5:$A$597,0)),""))</f>
        <v>Medium</v>
      </c>
      <c r="I259" s="23">
        <f>IF($F259="","",IFERROR(INDEX(Items!$E$5:$E$597,MATCH($F259,Items!$A$5:$A$597,0)),""))</f>
        <v>500</v>
      </c>
      <c r="J259" s="115">
        <f>IF(tblIssues[[#This Row],[Qty Override]]&lt;&gt;"",tblIssues[[#This Row],[Qty Override]],IF(tblIssues[[#This Row],[Standard Issue]]="","",tblIssues[[#This Row],[Standard Issue]]))</f>
        <v>500</v>
      </c>
      <c r="K259" s="20">
        <f>IF($F259="","",IFERROR(INDEX(Items!$D$5:$D$597,MATCH($F259,Items!$A$5:$A$597,0)),""))</f>
        <v>5.5E-2</v>
      </c>
      <c r="L259" s="21">
        <f t="shared" si="39"/>
        <v>27.5</v>
      </c>
      <c r="M259" s="9" t="str">
        <f t="shared" si="40"/>
        <v>0312HIC25</v>
      </c>
      <c r="N259" s="24">
        <f>IF($A259="","",WORKDAY($A259,Settings!$C$9,HolidayDates))</f>
        <v>46135</v>
      </c>
      <c r="O259" s="24">
        <f>IF($N259="","",WORKDAY($N259,Settings!$C$10,HolidayDates))</f>
        <v>46175</v>
      </c>
      <c r="P259" s="10" t="s">
        <v>502</v>
      </c>
      <c r="Q259" s="52" t="str">
        <f t="shared" si="42"/>
        <v>Collected</v>
      </c>
      <c r="R259" s="55" t="str">
        <f t="shared" si="43"/>
        <v>2026-04</v>
      </c>
      <c r="S259" s="55">
        <f>IF(OR($B259="",$F259="",$R259=""),"",SUMIFS(tblIssues[Qty Issued],tblIssues[Staff ID],$B259,tblIssues[Item Name],$F259,tblIssues[Month],$R259))</f>
        <v>500</v>
      </c>
      <c r="T259" s="56">
        <f>IF($I259="","",$I259*Settings!$C$11)</f>
        <v>500</v>
      </c>
      <c r="U259" s="57" t="str">
        <f t="shared" si="41"/>
        <v>OK</v>
      </c>
      <c r="V259" s="55" t="str">
        <f t="shared" si="44"/>
        <v/>
      </c>
      <c r="W259" s="55" t="str">
        <f>IF($V259="","",IF(COUNTIF($V$5:$V259,$V259)=1,1,""))</f>
        <v/>
      </c>
      <c r="X259" s="58" t="str">
        <f>IF($W259="","",MAX($X$4:X258)+1)</f>
        <v/>
      </c>
      <c r="Y259" s="62"/>
      <c r="Z259" s="62"/>
      <c r="AA259" s="64" t="str">
        <f>IF($C259="","",IFERROR(INDEX('Staff Directory'!$E$5:$E$594,MATCH($C259,'Staff Directory'!$B$5:$B$594,0)),""))</f>
        <v>firstname052.lastname052@example.com</v>
      </c>
      <c r="AB259" s="64" t="str">
        <f>IF($C259="","",IF(ISNUMBER(SEARCH($D259,Settings!$C$15)),"Pickup","Dispatch"))</f>
        <v>Dispatch</v>
      </c>
      <c r="AC259" s="64" t="str">
        <f t="shared" si="45"/>
        <v>Supply order dispatched</v>
      </c>
      <c r="AD259" s="64" t="str">
        <f t="shared" si="36"/>
        <v>Dear RN,
Your order has been dispatched and is in transit. Reply if undelivered.</v>
      </c>
      <c r="AE259" s="64" t="str">
        <f t="shared" si="37"/>
        <v>mailto:firstname052.lastname052@example.com?subject=Supply%20order%20dispatched&amp;body=Dear%20RN%2C%0A%0AYour%20order%20has%20been%20dispatched%20and%20is%20in%20transit.%20Reply%20if%20undelivered.</v>
      </c>
      <c r="AF259" s="89" t="str">
        <f t="shared" si="46"/>
        <v>Draft email</v>
      </c>
      <c r="AG259" s="64" t="str">
        <f>IF($C259="","",IFERROR(INDEX('Staff Directory'!$K$595:$K$599,MATCH($C259,'Staff Directory'!$B$5:$B$599,0)),$D259))</f>
        <v>RN</v>
      </c>
      <c r="AH259" t="str">
        <f>IF($C259="","",IFERROR(INDEX('Staff Directory'!$I$595:$I$599,MATCH($C259,'Staff Directory'!$B$5:$B$599,0))&amp;" "&amp;INDEX('Staff Directory'!$J$595:$J$599,MATCH($C259,'Staff Directory'!$B$5:$B$599,0)),$AG259))</f>
        <v>RN</v>
      </c>
      <c r="AI259" s="102"/>
      <c r="AJ259" s="101">
        <f>IF($F259="","",SUMIFS($J$5:$J259,$F$5:$F259,$F259))</f>
        <v>15500</v>
      </c>
      <c r="AK259" s="101">
        <f t="shared" si="38"/>
        <v>15001</v>
      </c>
      <c r="AL259" s="66" t="str" cm="1">
        <f t="array" ref="AL259">IF($F259="","",IFERROR(INDEX('Lot Balance'!$B$5:$B$500,MATCH(1,INDEX(('Lot Balance'!$A$5:$A$500=$F259)*('Lot Balance'!$K$5:$K$500&lt;$AK259)*('Lot Balance'!$K$5:$K$500+'Lot Balance'!$D$5:$D$500&gt;=$AK259),0),0)),""))</f>
        <v>0312HIC25</v>
      </c>
      <c r="AM259" s="66" t="str" cm="1">
        <f t="array" ref="AM259">IF($F259="","",IFERROR(INDEX('Lot Balance'!$B$5:$B$500,MATCH(1,INDEX(('Lot Balance'!$A$5:$A$500=$F259)*('Lot Balance'!$K$5:$K$500&lt;$AJ259)*('Lot Balance'!$K$5:$K$500+'Lot Balance'!$D$5:$D$500&gt;=$AJ259),0),0)),""))</f>
        <v>0312HIC25</v>
      </c>
      <c r="AN259" s="66" t="str">
        <f>IF($F259="","",IF($AI259&lt;&gt;"",IF(COUNTIFS('Lot Balance'!$A$5:$A$500,$F259,'Lot Balance'!$B$5:$B$500,$AI259)=0,"⚠ override is not a lot of this item",IF($AI259=$AL259,"Override = FEFO","Override - FEFO says "&amp;$AL259)),IF($AL259="","⚠ no receipt on file for this item",IF($AM259&lt;&gt;$AL259,"FEFO auto - split, also "&amp;$AM259,"FEFO auto"))))</f>
        <v>FEFO auto</v>
      </c>
      <c r="AO259" s="114"/>
    </row>
    <row r="260" spans="1:41" x14ac:dyDescent="0.35">
      <c r="A260" s="74">
        <v>46127</v>
      </c>
      <c r="B260" s="18" t="str">
        <f>IF($C260="","",IFERROR(INDEX('Staff Directory'!$A$5:$A$594,MATCH($C260,'Staff Directory'!$B$5:$B$594,0)),"⚠ unknown staff"))</f>
        <v>RN-045-A1</v>
      </c>
      <c r="C260" s="49" t="s">
        <v>968</v>
      </c>
      <c r="D260" s="19" t="str">
        <f>IF($B260="","",IFERROR(INDEX('Staff Directory'!$C$5:$C$594,MATCH($B260,'Staff Directory'!$A$5:$A$594,0)),""))</f>
        <v>RN</v>
      </c>
      <c r="E260" s="19" t="str">
        <f>IF($B260="","",IFERROR(INDEX('Staff Directory'!$D$5:$D$594,MATCH($B260,'Staff Directory'!$A$5:$A$594,0)),""))</f>
        <v>A1</v>
      </c>
      <c r="F260" s="9" t="s">
        <v>191</v>
      </c>
      <c r="G260" s="18" t="str">
        <f>IF($F260="","",IFERROR(INDEX(Items!$B$5:$B$597,MATCH($F260,Items!$A$5:$A$597,0)),"⚠ not in Items"))</f>
        <v>Sanitizer</v>
      </c>
      <c r="H260" s="19" t="str">
        <f>IF($F260="","",IFERROR(INDEX(Items!$C$5:$C$597,MATCH($F260,Items!$A$5:$A$597,0)),""))</f>
        <v>236 ML</v>
      </c>
      <c r="I260" s="23">
        <f>IF($F260="","",IFERROR(INDEX(Items!$E$5:$E$597,MATCH($F260,Items!$A$5:$A$597,0)),""))</f>
        <v>1</v>
      </c>
      <c r="J260" s="115">
        <f>IF(tblIssues[[#This Row],[Qty Override]]&lt;&gt;"",tblIssues[[#This Row],[Qty Override]],IF(tblIssues[[#This Row],[Standard Issue]]="","",tblIssues[[#This Row],[Standard Issue]]))</f>
        <v>1</v>
      </c>
      <c r="K260" s="20">
        <f>IF($F260="","",IFERROR(INDEX(Items!$D$5:$D$597,MATCH($F260,Items!$A$5:$A$597,0)),""))</f>
        <v>1E-4</v>
      </c>
      <c r="L260" s="21">
        <f t="shared" si="39"/>
        <v>1E-4</v>
      </c>
      <c r="M260" s="9" t="str">
        <f t="shared" si="40"/>
        <v>20-21734-1</v>
      </c>
      <c r="N260" s="24">
        <f>IF($A260="","",WORKDAY($A260,Settings!$C$9,HolidayDates))</f>
        <v>46135</v>
      </c>
      <c r="O260" s="24">
        <f>IF($N260="","",WORKDAY($N260,Settings!$C$10,HolidayDates))</f>
        <v>46175</v>
      </c>
      <c r="P260" s="10" t="s">
        <v>502</v>
      </c>
      <c r="Q260" s="52" t="str">
        <f t="shared" si="42"/>
        <v>Collected</v>
      </c>
      <c r="R260" s="55" t="str">
        <f t="shared" si="43"/>
        <v>2026-04</v>
      </c>
      <c r="S260" s="55">
        <f>IF(OR($B260="",$F260="",$R260=""),"",SUMIFS(tblIssues[Qty Issued],tblIssues[Staff ID],$B260,tblIssues[Item Name],$F260,tblIssues[Month],$R260))</f>
        <v>2</v>
      </c>
      <c r="T260" s="56">
        <f>IF($I260="","",$I260*Settings!$C$11)</f>
        <v>1</v>
      </c>
      <c r="U260" s="57" t="str">
        <f t="shared" si="41"/>
        <v>⚠ OVER QUOTA</v>
      </c>
      <c r="V260" s="55" t="str">
        <f t="shared" si="44"/>
        <v>RN-045-A1 | Hand Sanitizer OS | 2026-04</v>
      </c>
      <c r="W260" s="55">
        <f>IF($V260="","",IF(COUNTIF($V$5:$V260,$V260)=1,1,""))</f>
        <v>1</v>
      </c>
      <c r="X260" s="58">
        <f>IF($W260="","",MAX($X$4:X259)+1)</f>
        <v>4</v>
      </c>
      <c r="Y260" s="62"/>
      <c r="Z260" s="62"/>
      <c r="AA260" s="64" t="str">
        <f>IF($C260="","",IFERROR(INDEX('Staff Directory'!$E$5:$E$594,MATCH($C260,'Staff Directory'!$B$5:$B$594,0)),""))</f>
        <v>firstname052.lastname052@example.com</v>
      </c>
      <c r="AB260" s="64" t="str">
        <f>IF($C260="","",IF(ISNUMBER(SEARCH($D260,Settings!$C$15)),"Pickup","Dispatch"))</f>
        <v>Dispatch</v>
      </c>
      <c r="AC260" s="64" t="str">
        <f t="shared" si="45"/>
        <v>Supply order dispatched</v>
      </c>
      <c r="AD260" s="64" t="str">
        <f t="shared" si="36"/>
        <v>Dear RN,
Your order has been dispatched and is in transit. Reply if undelivered.</v>
      </c>
      <c r="AE260" s="64" t="str">
        <f t="shared" si="37"/>
        <v>mailto:firstname052.lastname052@example.com?subject=Supply%20order%20dispatched&amp;body=Dear%20RN%2C%0A%0AYour%20order%20has%20been%20dispatched%20and%20is%20in%20transit.%20Reply%20if%20undelivered.</v>
      </c>
      <c r="AF260" s="89" t="str">
        <f t="shared" si="46"/>
        <v>Draft email</v>
      </c>
      <c r="AG260" s="64" t="str">
        <f>IF($C260="","",IFERROR(INDEX('Staff Directory'!$K$595:$K$599,MATCH($C260,'Staff Directory'!$B$5:$B$599,0)),$D260))</f>
        <v>RN</v>
      </c>
      <c r="AH260" t="str">
        <f>IF($C260="","",IFERROR(INDEX('Staff Directory'!$I$595:$I$599,MATCH($C260,'Staff Directory'!$B$5:$B$599,0))&amp;" "&amp;INDEX('Staff Directory'!$J$595:$J$599,MATCH($C260,'Staff Directory'!$B$5:$B$599,0)),$AG260))</f>
        <v>RN</v>
      </c>
      <c r="AI260" s="102"/>
      <c r="AJ260" s="101">
        <f>IF($F260="","",SUMIFS($J$5:$J260,$F$5:$F260,$F260))</f>
        <v>7</v>
      </c>
      <c r="AK260" s="101">
        <f t="shared" si="38"/>
        <v>7</v>
      </c>
      <c r="AL260" s="66" t="str" cm="1">
        <f t="array" ref="AL260">IF($F260="","",IFERROR(INDEX('Lot Balance'!$B$5:$B$500,MATCH(1,INDEX(('Lot Balance'!$A$5:$A$500=$F260)*('Lot Balance'!$K$5:$K$500&lt;$AK260)*('Lot Balance'!$K$5:$K$500+'Lot Balance'!$D$5:$D$500&gt;=$AK260),0),0)),""))</f>
        <v>20-21734-1</v>
      </c>
      <c r="AM260" s="66" t="str" cm="1">
        <f t="array" ref="AM260">IF($F260="","",IFERROR(INDEX('Lot Balance'!$B$5:$B$500,MATCH(1,INDEX(('Lot Balance'!$A$5:$A$500=$F260)*('Lot Balance'!$K$5:$K$500&lt;$AJ260)*('Lot Balance'!$K$5:$K$500+'Lot Balance'!$D$5:$D$500&gt;=$AJ260),0),0)),""))</f>
        <v>20-21734-1</v>
      </c>
      <c r="AN260" s="66" t="str">
        <f>IF($F260="","",IF($AI260&lt;&gt;"",IF(COUNTIFS('Lot Balance'!$A$5:$A$500,$F260,'Lot Balance'!$B$5:$B$500,$AI260)=0,"⚠ override is not a lot of this item",IF($AI260=$AL260,"Override = FEFO","Override - FEFO says "&amp;$AL260)),IF($AL260="","⚠ no receipt on file for this item",IF($AM260&lt;&gt;$AL260,"FEFO auto - split, also "&amp;$AM260,"FEFO auto"))))</f>
        <v>FEFO auto</v>
      </c>
      <c r="AO260" s="114"/>
    </row>
    <row r="261" spans="1:41" x14ac:dyDescent="0.35">
      <c r="A261" s="74">
        <v>46127</v>
      </c>
      <c r="B261" s="18" t="str">
        <f>IF($C261="","",IFERROR(INDEX('Staff Directory'!$A$5:$A$594,MATCH($C261,'Staff Directory'!$B$5:$B$594,0)),"⚠ unknown staff"))</f>
        <v>RN-045-A1</v>
      </c>
      <c r="C261" s="49" t="s">
        <v>968</v>
      </c>
      <c r="D261" s="19" t="str">
        <f>IF($B261="","",IFERROR(INDEX('Staff Directory'!$C$5:$C$594,MATCH($B261,'Staff Directory'!$A$5:$A$594,0)),""))</f>
        <v>RN</v>
      </c>
      <c r="E261" s="19" t="str">
        <f>IF($B261="","",IFERROR(INDEX('Staff Directory'!$D$5:$D$594,MATCH($B261,'Staff Directory'!$A$5:$A$594,0)),""))</f>
        <v>A1</v>
      </c>
      <c r="F261" s="9" t="s">
        <v>191</v>
      </c>
      <c r="G261" s="18" t="str">
        <f>IF($F261="","",IFERROR(INDEX(Items!$B$5:$B$597,MATCH($F261,Items!$A$5:$A$597,0)),"⚠ not in Items"))</f>
        <v>Sanitizer</v>
      </c>
      <c r="H261" s="19" t="str">
        <f>IF($F261="","",IFERROR(INDEX(Items!$C$5:$C$597,MATCH($F261,Items!$A$5:$A$597,0)),""))</f>
        <v>236 ML</v>
      </c>
      <c r="I261" s="23">
        <f>IF($F261="","",IFERROR(INDEX(Items!$E$5:$E$597,MATCH($F261,Items!$A$5:$A$597,0)),""))</f>
        <v>1</v>
      </c>
      <c r="J261" s="115">
        <f>IF(tblIssues[[#This Row],[Qty Override]]&lt;&gt;"",tblIssues[[#This Row],[Qty Override]],IF(tblIssues[[#This Row],[Standard Issue]]="","",tblIssues[[#This Row],[Standard Issue]]))</f>
        <v>1</v>
      </c>
      <c r="K261" s="20">
        <f>IF($F261="","",IFERROR(INDEX(Items!$D$5:$D$597,MATCH($F261,Items!$A$5:$A$597,0)),""))</f>
        <v>1E-4</v>
      </c>
      <c r="L261" s="21">
        <f t="shared" si="39"/>
        <v>1E-4</v>
      </c>
      <c r="M261" s="9" t="str">
        <f t="shared" si="40"/>
        <v>20-21734-1</v>
      </c>
      <c r="N261" s="24">
        <f>IF($A261="","",WORKDAY($A261,Settings!$C$9,HolidayDates))</f>
        <v>46135</v>
      </c>
      <c r="O261" s="24">
        <f>IF($N261="","",WORKDAY($N261,Settings!$C$10,HolidayDates))</f>
        <v>46175</v>
      </c>
      <c r="P261" s="10" t="s">
        <v>502</v>
      </c>
      <c r="Q261" s="52" t="str">
        <f t="shared" si="42"/>
        <v>Collected</v>
      </c>
      <c r="R261" s="55" t="str">
        <f t="shared" si="43"/>
        <v>2026-04</v>
      </c>
      <c r="S261" s="55">
        <f>IF(OR($B261="",$F261="",$R261=""),"",SUMIFS(tblIssues[Qty Issued],tblIssues[Staff ID],$B261,tblIssues[Item Name],$F261,tblIssues[Month],$R261))</f>
        <v>2</v>
      </c>
      <c r="T261" s="56">
        <f>IF($I261="","",$I261*Settings!$C$11)</f>
        <v>1</v>
      </c>
      <c r="U261" s="57" t="str">
        <f t="shared" si="41"/>
        <v>⚠ OVER QUOTA</v>
      </c>
      <c r="V261" s="55" t="str">
        <f t="shared" si="44"/>
        <v>RN-045-A1 | Hand Sanitizer OS | 2026-04</v>
      </c>
      <c r="W261" s="55" t="str">
        <f>IF($V261="","",IF(COUNTIF($V$5:$V261,$V261)=1,1,""))</f>
        <v/>
      </c>
      <c r="X261" s="58" t="str">
        <f>IF($W261="","",MAX($X$4:X260)+1)</f>
        <v/>
      </c>
      <c r="Y261" s="62"/>
      <c r="Z261" s="62"/>
      <c r="AA261" s="64" t="str">
        <f>IF($C261="","",IFERROR(INDEX('Staff Directory'!$E$5:$E$594,MATCH($C261,'Staff Directory'!$B$5:$B$594,0)),""))</f>
        <v>firstname052.lastname052@example.com</v>
      </c>
      <c r="AB261" s="64" t="str">
        <f>IF($C261="","",IF(ISNUMBER(SEARCH($D261,Settings!$C$15)),"Pickup","Dispatch"))</f>
        <v>Dispatch</v>
      </c>
      <c r="AC261" s="64" t="str">
        <f t="shared" si="45"/>
        <v>Supply order dispatched</v>
      </c>
      <c r="AD261" s="64" t="str">
        <f t="shared" ref="AD261:AD324" si="47">IF($AB261="Pickup","Dear "&amp;$AH261&amp;","&amp;CHAR(10)&amp;CHAR(10)&amp;"Your order is ready for pickup from Sample Branch, Wed-Fri 9am-4pm.",IF($AB261="Dispatch","Dear "&amp;$AH261&amp;","&amp;CHAR(10)&amp;CHAR(10)&amp;"Your order has been dispatched and is in transit. Reply if undelivered.",""))</f>
        <v>Dear RN,
Your order has been dispatched and is in transit. Reply if undelivered.</v>
      </c>
      <c r="AE261" s="64" t="str">
        <f t="shared" ref="AE261:AE324" si="48">IF(OR($AA261="",$AC261=""),"","mailto:"&amp;$AA261&amp;"?subject="&amp;_xlfn.ENCODEURL($AC261)&amp;"&amp;body="&amp;_xlfn.ENCODEURL($AD261))</f>
        <v>mailto:firstname052.lastname052@example.com?subject=Supply%20order%20dispatched&amp;body=Dear%20RN%2C%0A%0AYour%20order%20has%20been%20dispatched%20and%20is%20in%20transit.%20Reply%20if%20undelivered.</v>
      </c>
      <c r="AF261" s="89" t="str">
        <f t="shared" si="46"/>
        <v>Draft email</v>
      </c>
      <c r="AG261" s="64" t="str">
        <f>IF($C261="","",IFERROR(INDEX('Staff Directory'!$K$595:$K$599,MATCH($C261,'Staff Directory'!$B$5:$B$599,0)),$D261))</f>
        <v>RN</v>
      </c>
      <c r="AH261" t="str">
        <f>IF($C261="","",IFERROR(INDEX('Staff Directory'!$I$595:$I$599,MATCH($C261,'Staff Directory'!$B$5:$B$599,0))&amp;" "&amp;INDEX('Staff Directory'!$J$595:$J$599,MATCH($C261,'Staff Directory'!$B$5:$B$599,0)),$AG261))</f>
        <v>RN</v>
      </c>
      <c r="AI261" s="102"/>
      <c r="AJ261" s="101">
        <f>IF($F261="","",SUMIFS($J$5:$J261,$F$5:$F261,$F261))</f>
        <v>8</v>
      </c>
      <c r="AK261" s="101">
        <f t="shared" ref="AK261:AK324" si="49">IF($F261="","",MAX(1,$AJ261-MAX($J261,0)+1))</f>
        <v>8</v>
      </c>
      <c r="AL261" s="66" t="str" cm="1">
        <f t="array" ref="AL261">IF($F261="","",IFERROR(INDEX('Lot Balance'!$B$5:$B$500,MATCH(1,INDEX(('Lot Balance'!$A$5:$A$500=$F261)*('Lot Balance'!$K$5:$K$500&lt;$AK261)*('Lot Balance'!$K$5:$K$500+'Lot Balance'!$D$5:$D$500&gt;=$AK261),0),0)),""))</f>
        <v>20-21734-1</v>
      </c>
      <c r="AM261" s="66" t="str" cm="1">
        <f t="array" ref="AM261">IF($F261="","",IFERROR(INDEX('Lot Balance'!$B$5:$B$500,MATCH(1,INDEX(('Lot Balance'!$A$5:$A$500=$F261)*('Lot Balance'!$K$5:$K$500&lt;$AJ261)*('Lot Balance'!$K$5:$K$500+'Lot Balance'!$D$5:$D$500&gt;=$AJ261),0),0)),""))</f>
        <v>20-21734-1</v>
      </c>
      <c r="AN261" s="66" t="str">
        <f>IF($F261="","",IF($AI261&lt;&gt;"",IF(COUNTIFS('Lot Balance'!$A$5:$A$500,$F261,'Lot Balance'!$B$5:$B$500,$AI261)=0,"⚠ override is not a lot of this item",IF($AI261=$AL261,"Override = FEFO","Override - FEFO says "&amp;$AL261)),IF($AL261="","⚠ no receipt on file for this item",IF($AM261&lt;&gt;$AL261,"FEFO auto - split, also "&amp;$AM261,"FEFO auto"))))</f>
        <v>FEFO auto</v>
      </c>
      <c r="AO261" s="114"/>
    </row>
    <row r="262" spans="1:41" x14ac:dyDescent="0.35">
      <c r="A262" s="74">
        <v>46127</v>
      </c>
      <c r="B262" s="18" t="str">
        <f>IF($C262="","",IFERROR(INDEX('Staff Directory'!$A$5:$A$594,MATCH($C262,'Staff Directory'!$B$5:$B$594,0)),"⚠ unknown staff"))</f>
        <v>RN-045-A1</v>
      </c>
      <c r="C262" s="49" t="s">
        <v>968</v>
      </c>
      <c r="D262" s="19" t="str">
        <f>IF($B262="","",IFERROR(INDEX('Staff Directory'!$C$5:$C$594,MATCH($B262,'Staff Directory'!$A$5:$A$594,0)),""))</f>
        <v>RN</v>
      </c>
      <c r="E262" s="19" t="str">
        <f>IF($B262="","",IFERROR(INDEX('Staff Directory'!$D$5:$D$594,MATCH($B262,'Staff Directory'!$A$5:$A$594,0)),""))</f>
        <v>A1</v>
      </c>
      <c r="F262" s="9" t="s">
        <v>1227</v>
      </c>
      <c r="G262" s="18" t="str">
        <f>IF($F262="","",IFERROR(INDEX(Items!$B$5:$B$597,MATCH($F262,Items!$A$5:$A$597,0)),"⚠ not in Items"))</f>
        <v>SO A1 Charts</v>
      </c>
      <c r="H262" s="19" t="str">
        <f>IF($F262="","",IFERROR(INDEX(Items!$C$5:$C$597,MATCH($F262,Items!$A$5:$A$597,0)),""))</f>
        <v>Standard</v>
      </c>
      <c r="I262" s="23">
        <f>IF($F262="","",IFERROR(INDEX(Items!$E$5:$E$597,MATCH($F262,Items!$A$5:$A$597,0)),""))</f>
        <v>20</v>
      </c>
      <c r="J262" s="115">
        <f>IF(tblIssues[[#This Row],[Qty Override]]&lt;&gt;"",tblIssues[[#This Row],[Qty Override]],IF(tblIssues[[#This Row],[Standard Issue]]="","",tblIssues[[#This Row],[Standard Issue]]))</f>
        <v>20</v>
      </c>
      <c r="K262" s="20">
        <f>IF($F262="","",IFERROR(INDEX(Items!$D$5:$D$597,MATCH($F262,Items!$A$5:$A$597,0)),""))</f>
        <v>0</v>
      </c>
      <c r="L262" s="21">
        <f t="shared" ref="L262:L325" si="50">IF(OR($J262="",$K262=""),"",$J262*$K262)</f>
        <v>0</v>
      </c>
      <c r="M262" s="9" t="str">
        <f t="shared" ref="M262:M325" si="51">IF($F262="","",IF($AI262&lt;&gt;"",$AI262,$AL262))</f>
        <v/>
      </c>
      <c r="N262" s="24">
        <f>IF($A262="","",WORKDAY($A262,Settings!$C$9,HolidayDates))</f>
        <v>46135</v>
      </c>
      <c r="O262" s="24">
        <f>IF($N262="","",WORKDAY($N262,Settings!$C$10,HolidayDates))</f>
        <v>46175</v>
      </c>
      <c r="P262" s="10" t="s">
        <v>502</v>
      </c>
      <c r="Q262" s="52" t="str">
        <f t="shared" si="42"/>
        <v>Collected</v>
      </c>
      <c r="R262" s="55" t="str">
        <f t="shared" si="43"/>
        <v>2026-04</v>
      </c>
      <c r="S262" s="55">
        <f>IF(OR($B262="",$F262="",$R262=""),"",SUMIFS(tblIssues[Qty Issued],tblIssues[Staff ID],$B262,tblIssues[Item Name],$F262,tblIssues[Month],$R262))</f>
        <v>20</v>
      </c>
      <c r="T262" s="56">
        <f>IF($I262="","",$I262*Settings!$C$11)</f>
        <v>20</v>
      </c>
      <c r="U262" s="57" t="str">
        <f t="shared" ref="U262:U325" si="52">IF(OR($S262="",$T262=""),"",IF($S262&gt;$T262,IF($Y262="Approved","APPROVED BY TL","⚠ OVER QUOTA"),"OK"))</f>
        <v>OK</v>
      </c>
      <c r="V262" s="55" t="str">
        <f t="shared" si="44"/>
        <v/>
      </c>
      <c r="W262" s="55" t="str">
        <f>IF($V262="","",IF(COUNTIF($V$5:$V262,$V262)=1,1,""))</f>
        <v/>
      </c>
      <c r="X262" s="58" t="str">
        <f>IF($W262="","",MAX($X$4:X261)+1)</f>
        <v/>
      </c>
      <c r="Y262" s="62"/>
      <c r="Z262" s="62"/>
      <c r="AA262" s="64" t="str">
        <f>IF($C262="","",IFERROR(INDEX('Staff Directory'!$E$5:$E$594,MATCH($C262,'Staff Directory'!$B$5:$B$594,0)),""))</f>
        <v>firstname052.lastname052@example.com</v>
      </c>
      <c r="AB262" s="64" t="str">
        <f>IF($C262="","",IF(ISNUMBER(SEARCH($D262,Settings!$C$15)),"Pickup","Dispatch"))</f>
        <v>Dispatch</v>
      </c>
      <c r="AC262" s="64" t="str">
        <f t="shared" si="45"/>
        <v>Supply order dispatched</v>
      </c>
      <c r="AD262" s="64" t="str">
        <f t="shared" si="47"/>
        <v>Dear RN,
Your order has been dispatched and is in transit. Reply if undelivered.</v>
      </c>
      <c r="AE262" s="64" t="str">
        <f t="shared" si="48"/>
        <v>mailto:firstname052.lastname052@example.com?subject=Supply%20order%20dispatched&amp;body=Dear%20RN%2C%0A%0AYour%20order%20has%20been%20dispatched%20and%20is%20in%20transit.%20Reply%20if%20undelivered.</v>
      </c>
      <c r="AF262" s="89" t="str">
        <f t="shared" si="46"/>
        <v>Draft email</v>
      </c>
      <c r="AG262" s="64" t="str">
        <f>IF($C262="","",IFERROR(INDEX('Staff Directory'!$K$595:$K$599,MATCH($C262,'Staff Directory'!$B$5:$B$599,0)),$D262))</f>
        <v>RN</v>
      </c>
      <c r="AH262" t="str">
        <f>IF($C262="","",IFERROR(INDEX('Staff Directory'!$I$595:$I$599,MATCH($C262,'Staff Directory'!$B$5:$B$599,0))&amp;" "&amp;INDEX('Staff Directory'!$J$595:$J$599,MATCH($C262,'Staff Directory'!$B$5:$B$599,0)),$AG262))</f>
        <v>RN</v>
      </c>
      <c r="AI262" s="102"/>
      <c r="AJ262" s="101">
        <f>IF($F262="","",SUMIFS($J$5:$J262,$F$5:$F262,$F262))</f>
        <v>80</v>
      </c>
      <c r="AK262" s="101">
        <f t="shared" si="49"/>
        <v>61</v>
      </c>
      <c r="AL262" s="66" t="str" cm="1">
        <f t="array" ref="AL262">IF($F262="","",IFERROR(INDEX('Lot Balance'!$B$5:$B$500,MATCH(1,INDEX(('Lot Balance'!$A$5:$A$500=$F262)*('Lot Balance'!$K$5:$K$500&lt;$AK262)*('Lot Balance'!$K$5:$K$500+'Lot Balance'!$D$5:$D$500&gt;=$AK262),0),0)),""))</f>
        <v/>
      </c>
      <c r="AM262" s="66" t="str" cm="1">
        <f t="array" ref="AM262">IF($F262="","",IFERROR(INDEX('Lot Balance'!$B$5:$B$500,MATCH(1,INDEX(('Lot Balance'!$A$5:$A$500=$F262)*('Lot Balance'!$K$5:$K$500&lt;$AJ262)*('Lot Balance'!$K$5:$K$500+'Lot Balance'!$D$5:$D$500&gt;=$AJ262),0),0)),""))</f>
        <v/>
      </c>
      <c r="AN262" s="66" t="str">
        <f>IF($F262="","",IF($AI262&lt;&gt;"",IF(COUNTIFS('Lot Balance'!$A$5:$A$500,$F262,'Lot Balance'!$B$5:$B$500,$AI262)=0,"⚠ override is not a lot of this item",IF($AI262=$AL262,"Override = FEFO","Override - FEFO says "&amp;$AL262)),IF($AL262="","⚠ no receipt on file for this item",IF($AM262&lt;&gt;$AL262,"FEFO auto - split, also "&amp;$AM262,"FEFO auto"))))</f>
        <v>⚠ no receipt on file for this item</v>
      </c>
      <c r="AO262" s="114"/>
    </row>
    <row r="263" spans="1:41" x14ac:dyDescent="0.35">
      <c r="A263" s="74">
        <v>46127</v>
      </c>
      <c r="B263" s="18" t="str">
        <f>IF($C263="","",IFERROR(INDEX('Staff Directory'!$A$5:$A$594,MATCH($C263,'Staff Directory'!$B$5:$B$594,0)),"⚠ unknown staff"))</f>
        <v>RN-045-A1</v>
      </c>
      <c r="C263" s="49" t="s">
        <v>968</v>
      </c>
      <c r="D263" s="19" t="str">
        <f>IF($B263="","",IFERROR(INDEX('Staff Directory'!$C$5:$C$594,MATCH($B263,'Staff Directory'!$A$5:$A$594,0)),""))</f>
        <v>RN</v>
      </c>
      <c r="E263" s="19" t="str">
        <f>IF($B263="","",IFERROR(INDEX('Staff Directory'!$D$5:$D$594,MATCH($B263,'Staff Directory'!$A$5:$A$594,0)),""))</f>
        <v>A1</v>
      </c>
      <c r="F263" s="9" t="s">
        <v>162</v>
      </c>
      <c r="G263" s="18" t="str">
        <f>IF($F263="","",IFERROR(INDEX(Items!$B$5:$B$597,MATCH($F263,Items!$A$5:$A$597,0)),"⚠ not in Items"))</f>
        <v>Documents</v>
      </c>
      <c r="H263" s="19" t="str">
        <f>IF($F263="","",IFERROR(INDEX(Items!$C$5:$C$597,MATCH($F263,Items!$A$5:$A$597,0)),""))</f>
        <v>Standard</v>
      </c>
      <c r="I263" s="23">
        <f>IF($F263="","",IFERROR(INDEX(Items!$E$5:$E$597,MATCH($F263,Items!$A$5:$A$597,0)),""))</f>
        <v>20</v>
      </c>
      <c r="J263" s="115">
        <f>IF(tblIssues[[#This Row],[Qty Override]]&lt;&gt;"",tblIssues[[#This Row],[Qty Override]],IF(tblIssues[[#This Row],[Standard Issue]]="","",tblIssues[[#This Row],[Standard Issue]]))</f>
        <v>20</v>
      </c>
      <c r="K263" s="20">
        <f>IF($F263="","",IFERROR(INDEX(Items!$D$5:$D$597,MATCH($F263,Items!$A$5:$A$597,0)),""))</f>
        <v>0</v>
      </c>
      <c r="L263" s="21">
        <f t="shared" si="50"/>
        <v>0</v>
      </c>
      <c r="M263" s="9" t="str">
        <f t="shared" si="51"/>
        <v/>
      </c>
      <c r="N263" s="24">
        <f>IF($A263="","",WORKDAY($A263,Settings!$C$9,HolidayDates))</f>
        <v>46135</v>
      </c>
      <c r="O263" s="24">
        <f>IF($N263="","",WORKDAY($N263,Settings!$C$10,HolidayDates))</f>
        <v>46175</v>
      </c>
      <c r="P263" s="10" t="s">
        <v>502</v>
      </c>
      <c r="Q263" s="52" t="str">
        <f t="shared" si="42"/>
        <v>Collected</v>
      </c>
      <c r="R263" s="55" t="str">
        <f t="shared" si="43"/>
        <v>2026-04</v>
      </c>
      <c r="S263" s="55">
        <f>IF(OR($B263="",$F263="",$R263=""),"",SUMIFS(tblIssues[Qty Issued],tblIssues[Staff ID],$B263,tblIssues[Item Name],$F263,tblIssues[Month],$R263))</f>
        <v>20</v>
      </c>
      <c r="T263" s="56">
        <f>IF($I263="","",$I263*Settings!$C$11)</f>
        <v>20</v>
      </c>
      <c r="U263" s="57" t="str">
        <f t="shared" si="52"/>
        <v>OK</v>
      </c>
      <c r="V263" s="55" t="str">
        <f t="shared" si="44"/>
        <v/>
      </c>
      <c r="W263" s="55" t="str">
        <f>IF($V263="","",IF(COUNTIF($V$5:$V263,$V263)=1,1,""))</f>
        <v/>
      </c>
      <c r="X263" s="58" t="str">
        <f>IF($W263="","",MAX($X$4:X262)+1)</f>
        <v/>
      </c>
      <c r="Y263" s="62"/>
      <c r="Z263" s="62"/>
      <c r="AA263" s="64" t="str">
        <f>IF($C263="","",IFERROR(INDEX('Staff Directory'!$E$5:$E$594,MATCH($C263,'Staff Directory'!$B$5:$B$594,0)),""))</f>
        <v>firstname052.lastname052@example.com</v>
      </c>
      <c r="AB263" s="64" t="str">
        <f>IF($C263="","",IF(ISNUMBER(SEARCH($D263,Settings!$C$15)),"Pickup","Dispatch"))</f>
        <v>Dispatch</v>
      </c>
      <c r="AC263" s="64" t="str">
        <f t="shared" si="45"/>
        <v>Supply order dispatched</v>
      </c>
      <c r="AD263" s="64" t="str">
        <f t="shared" si="47"/>
        <v>Dear RN,
Your order has been dispatched and is in transit. Reply if undelivered.</v>
      </c>
      <c r="AE263" s="64" t="str">
        <f t="shared" si="48"/>
        <v>mailto:firstname052.lastname052@example.com?subject=Supply%20order%20dispatched&amp;body=Dear%20RN%2C%0A%0AYour%20order%20has%20been%20dispatched%20and%20is%20in%20transit.%20Reply%20if%20undelivered.</v>
      </c>
      <c r="AF263" s="89" t="str">
        <f t="shared" si="46"/>
        <v>Draft email</v>
      </c>
      <c r="AG263" s="64" t="str">
        <f>IF($C263="","",IFERROR(INDEX('Staff Directory'!$K$595:$K$599,MATCH($C263,'Staff Directory'!$B$5:$B$599,0)),$D263))</f>
        <v>RN</v>
      </c>
      <c r="AH263" t="str">
        <f>IF($C263="","",IFERROR(INDEX('Staff Directory'!$I$595:$I$599,MATCH($C263,'Staff Directory'!$B$5:$B$599,0))&amp;" "&amp;INDEX('Staff Directory'!$J$595:$J$599,MATCH($C263,'Staff Directory'!$B$5:$B$599,0)),$AG263))</f>
        <v>RN</v>
      </c>
      <c r="AI263" s="102"/>
      <c r="AJ263" s="101">
        <f>IF($F263="","",SUMIFS($J$5:$J263,$F$5:$F263,$F263))</f>
        <v>40</v>
      </c>
      <c r="AK263" s="101">
        <f t="shared" si="49"/>
        <v>21</v>
      </c>
      <c r="AL263" s="66" t="str" cm="1">
        <f t="array" ref="AL263">IF($F263="","",IFERROR(INDEX('Lot Balance'!$B$5:$B$500,MATCH(1,INDEX(('Lot Balance'!$A$5:$A$500=$F263)*('Lot Balance'!$K$5:$K$500&lt;$AK263)*('Lot Balance'!$K$5:$K$500+'Lot Balance'!$D$5:$D$500&gt;=$AK263),0),0)),""))</f>
        <v/>
      </c>
      <c r="AM263" s="66" t="str" cm="1">
        <f t="array" ref="AM263">IF($F263="","",IFERROR(INDEX('Lot Balance'!$B$5:$B$500,MATCH(1,INDEX(('Lot Balance'!$A$5:$A$500=$F263)*('Lot Balance'!$K$5:$K$500&lt;$AJ263)*('Lot Balance'!$K$5:$K$500+'Lot Balance'!$D$5:$D$500&gt;=$AJ263),0),0)),""))</f>
        <v/>
      </c>
      <c r="AN263" s="66" t="str">
        <f>IF($F263="","",IF($AI263&lt;&gt;"",IF(COUNTIFS('Lot Balance'!$A$5:$A$500,$F263,'Lot Balance'!$B$5:$B$500,$AI263)=0,"⚠ override is not a lot of this item",IF($AI263=$AL263,"Override = FEFO","Override - FEFO says "&amp;$AL263)),IF($AL263="","⚠ no receipt on file for this item",IF($AM263&lt;&gt;$AL263,"FEFO auto - split, also "&amp;$AM263,"FEFO auto"))))</f>
        <v>⚠ no receipt on file for this item</v>
      </c>
      <c r="AO263" s="114"/>
    </row>
    <row r="264" spans="1:41" x14ac:dyDescent="0.35">
      <c r="A264" s="74">
        <v>46127</v>
      </c>
      <c r="B264" s="18" t="str">
        <f>IF($C264="","",IFERROR(INDEX('Staff Directory'!$A$5:$A$594,MATCH($C264,'Staff Directory'!$B$5:$B$594,0)),"⚠ unknown staff"))</f>
        <v>RN-009-A2</v>
      </c>
      <c r="C264" s="49" t="s">
        <v>925</v>
      </c>
      <c r="D264" s="19" t="str">
        <f>IF($B264="","",IFERROR(INDEX('Staff Directory'!$C$5:$C$594,MATCH($B264,'Staff Directory'!$A$5:$A$594,0)),""))</f>
        <v>RN</v>
      </c>
      <c r="E264" s="19" t="str">
        <f>IF($B264="","",IFERROR(INDEX('Staff Directory'!$D$5:$D$594,MATCH($B264,'Staff Directory'!$A$5:$A$594,0)),""))</f>
        <v>A2</v>
      </c>
      <c r="F264" s="9" t="s">
        <v>127</v>
      </c>
      <c r="G264" s="18" t="str">
        <f>IF($F264="","",IFERROR(INDEX(Items!$B$5:$B$597,MATCH($F264,Items!$A$5:$A$597,0)),"⚠ not in Items"))</f>
        <v>Gloves</v>
      </c>
      <c r="H264" s="19" t="str">
        <f>IF($F264="","",IFERROR(INDEX(Items!$C$5:$C$597,MATCH($F264,Items!$A$5:$A$597,0)),""))</f>
        <v>Medium</v>
      </c>
      <c r="I264" s="23">
        <f>IF($F264="","",IFERROR(INDEX(Items!$E$5:$E$597,MATCH($F264,Items!$A$5:$A$597,0)),""))</f>
        <v>500</v>
      </c>
      <c r="J264" s="115">
        <f>IF(tblIssues[[#This Row],[Qty Override]]&lt;&gt;"",tblIssues[[#This Row],[Qty Override]],IF(tblIssues[[#This Row],[Standard Issue]]="","",tblIssues[[#This Row],[Standard Issue]]))</f>
        <v>500</v>
      </c>
      <c r="K264" s="20">
        <f>IF($F264="","",IFERROR(INDEX(Items!$D$5:$D$597,MATCH($F264,Items!$A$5:$A$597,0)),""))</f>
        <v>5.5E-2</v>
      </c>
      <c r="L264" s="21">
        <f t="shared" si="50"/>
        <v>27.5</v>
      </c>
      <c r="M264" s="9" t="str">
        <f t="shared" si="51"/>
        <v>0312HIC25</v>
      </c>
      <c r="N264" s="24">
        <f>IF($A264="","",WORKDAY($A264,Settings!$C$9,HolidayDates))</f>
        <v>46135</v>
      </c>
      <c r="O264" s="24">
        <f>IF($N264="","",WORKDAY($N264,Settings!$C$10,HolidayDates))</f>
        <v>46175</v>
      </c>
      <c r="P264" s="10" t="s">
        <v>502</v>
      </c>
      <c r="Q264" s="52" t="str">
        <f t="shared" si="42"/>
        <v>Collected</v>
      </c>
      <c r="R264" s="55" t="str">
        <f t="shared" si="43"/>
        <v>2026-04</v>
      </c>
      <c r="S264" s="55">
        <f>IF(OR($B264="",$F264="",$R264=""),"",SUMIFS(tblIssues[Qty Issued],tblIssues[Staff ID],$B264,tblIssues[Item Name],$F264,tblIssues[Month],$R264))</f>
        <v>500</v>
      </c>
      <c r="T264" s="56">
        <f>IF($I264="","",$I264*Settings!$C$11)</f>
        <v>500</v>
      </c>
      <c r="U264" s="57" t="str">
        <f t="shared" si="52"/>
        <v>OK</v>
      </c>
      <c r="V264" s="55" t="str">
        <f t="shared" si="44"/>
        <v/>
      </c>
      <c r="W264" s="55" t="str">
        <f>IF($V264="","",IF(COUNTIF($V$5:$V264,$V264)=1,1,""))</f>
        <v/>
      </c>
      <c r="X264" s="58" t="str">
        <f>IF($W264="","",MAX($X$4:X263)+1)</f>
        <v/>
      </c>
      <c r="Y264" s="62"/>
      <c r="Z264" s="62"/>
      <c r="AA264" s="64" t="str">
        <f>IF($C264="","",IFERROR(INDEX('Staff Directory'!$E$5:$E$594,MATCH($C264,'Staff Directory'!$B$5:$B$594,0)),""))</f>
        <v>firstname009.lastname009@example.com</v>
      </c>
      <c r="AB264" s="64" t="str">
        <f>IF($C264="","",IF(ISNUMBER(SEARCH($D264,Settings!$C$15)),"Pickup","Dispatch"))</f>
        <v>Dispatch</v>
      </c>
      <c r="AC264" s="64" t="str">
        <f t="shared" si="45"/>
        <v>Supply order dispatched</v>
      </c>
      <c r="AD264" s="64" t="str">
        <f t="shared" si="47"/>
        <v>Dear RN,
Your order has been dispatched and is in transit. Reply if undelivered.</v>
      </c>
      <c r="AE264" s="64" t="str">
        <f t="shared" si="48"/>
        <v>mailto:firstname009.lastname009@example.com?subject=Supply%20order%20dispatched&amp;body=Dear%20RN%2C%0A%0AYour%20order%20has%20been%20dispatched%20and%20is%20in%20transit.%20Reply%20if%20undelivered.</v>
      </c>
      <c r="AF264" s="89" t="str">
        <f t="shared" si="46"/>
        <v>Draft email</v>
      </c>
      <c r="AG264" s="64" t="str">
        <f>IF($C264="","",IFERROR(INDEX('Staff Directory'!$K$595:$K$599,MATCH($C264,'Staff Directory'!$B$5:$B$599,0)),$D264))</f>
        <v>RN</v>
      </c>
      <c r="AH264" t="str">
        <f>IF($C264="","",IFERROR(INDEX('Staff Directory'!$I$595:$I$599,MATCH($C264,'Staff Directory'!$B$5:$B$599,0))&amp;" "&amp;INDEX('Staff Directory'!$J$595:$J$599,MATCH($C264,'Staff Directory'!$B$5:$B$599,0)),$AG264))</f>
        <v>RN</v>
      </c>
      <c r="AI264" s="102"/>
      <c r="AJ264" s="101">
        <f>IF($F264="","",SUMIFS($J$5:$J264,$F$5:$F264,$F264))</f>
        <v>16000</v>
      </c>
      <c r="AK264" s="101">
        <f t="shared" si="49"/>
        <v>15501</v>
      </c>
      <c r="AL264" s="66" t="str" cm="1">
        <f t="array" ref="AL264">IF($F264="","",IFERROR(INDEX('Lot Balance'!$B$5:$B$500,MATCH(1,INDEX(('Lot Balance'!$A$5:$A$500=$F264)*('Lot Balance'!$K$5:$K$500&lt;$AK264)*('Lot Balance'!$K$5:$K$500+'Lot Balance'!$D$5:$D$500&gt;=$AK264),0),0)),""))</f>
        <v>0312HIC25</v>
      </c>
      <c r="AM264" s="66" t="str" cm="1">
        <f t="array" ref="AM264">IF($F264="","",IFERROR(INDEX('Lot Balance'!$B$5:$B$500,MATCH(1,INDEX(('Lot Balance'!$A$5:$A$500=$F264)*('Lot Balance'!$K$5:$K$500&lt;$AJ264)*('Lot Balance'!$K$5:$K$500+'Lot Balance'!$D$5:$D$500&gt;=$AJ264),0),0)),""))</f>
        <v>0312HIC25</v>
      </c>
      <c r="AN264" s="66" t="str">
        <f>IF($F264="","",IF($AI264&lt;&gt;"",IF(COUNTIFS('Lot Balance'!$A$5:$A$500,$F264,'Lot Balance'!$B$5:$B$500,$AI264)=0,"⚠ override is not a lot of this item",IF($AI264=$AL264,"Override = FEFO","Override - FEFO says "&amp;$AL264)),IF($AL264="","⚠ no receipt on file for this item",IF($AM264&lt;&gt;$AL264,"FEFO auto - split, also "&amp;$AM264,"FEFO auto"))))</f>
        <v>FEFO auto</v>
      </c>
      <c r="AO264" s="114"/>
    </row>
    <row r="265" spans="1:41" x14ac:dyDescent="0.35">
      <c r="A265" s="74">
        <v>46127</v>
      </c>
      <c r="B265" s="18" t="str">
        <f>IF($C265="","",IFERROR(INDEX('Staff Directory'!$A$5:$A$594,MATCH($C265,'Staff Directory'!$B$5:$B$594,0)),"⚠ unknown staff"))</f>
        <v>RN-009-A2</v>
      </c>
      <c r="C265" s="49" t="s">
        <v>925</v>
      </c>
      <c r="D265" s="19" t="str">
        <f>IF($B265="","",IFERROR(INDEX('Staff Directory'!$C$5:$C$594,MATCH($B265,'Staff Directory'!$A$5:$A$594,0)),""))</f>
        <v>RN</v>
      </c>
      <c r="E265" s="19" t="str">
        <f>IF($B265="","",IFERROR(INDEX('Staff Directory'!$D$5:$D$594,MATCH($B265,'Staff Directory'!$A$5:$A$594,0)),""))</f>
        <v>A2</v>
      </c>
      <c r="F265" s="9" t="s">
        <v>191</v>
      </c>
      <c r="G265" s="18" t="str">
        <f>IF($F265="","",IFERROR(INDEX(Items!$B$5:$B$597,MATCH($F265,Items!$A$5:$A$597,0)),"⚠ not in Items"))</f>
        <v>Sanitizer</v>
      </c>
      <c r="H265" s="19" t="str">
        <f>IF($F265="","",IFERROR(INDEX(Items!$C$5:$C$597,MATCH($F265,Items!$A$5:$A$597,0)),""))</f>
        <v>236 ML</v>
      </c>
      <c r="I265" s="23">
        <f>IF($F265="","",IFERROR(INDEX(Items!$E$5:$E$597,MATCH($F265,Items!$A$5:$A$597,0)),""))</f>
        <v>1</v>
      </c>
      <c r="J265" s="115">
        <f>IF(tblIssues[[#This Row],[Qty Override]]&lt;&gt;"",tblIssues[[#This Row],[Qty Override]],IF(tblIssues[[#This Row],[Standard Issue]]="","",tblIssues[[#This Row],[Standard Issue]]))</f>
        <v>1</v>
      </c>
      <c r="K265" s="20">
        <f>IF($F265="","",IFERROR(INDEX(Items!$D$5:$D$597,MATCH($F265,Items!$A$5:$A$597,0)),""))</f>
        <v>1E-4</v>
      </c>
      <c r="L265" s="21">
        <f t="shared" si="50"/>
        <v>1E-4</v>
      </c>
      <c r="M265" s="9" t="str">
        <f t="shared" si="51"/>
        <v>20-21734-1</v>
      </c>
      <c r="N265" s="24">
        <f>IF($A265="","",WORKDAY($A265,Settings!$C$9,HolidayDates))</f>
        <v>46135</v>
      </c>
      <c r="O265" s="24">
        <f>IF($N265="","",WORKDAY($N265,Settings!$C$10,HolidayDates))</f>
        <v>46175</v>
      </c>
      <c r="P265" s="10" t="s">
        <v>502</v>
      </c>
      <c r="Q265" s="52" t="str">
        <f t="shared" si="42"/>
        <v>Collected</v>
      </c>
      <c r="R265" s="55" t="str">
        <f t="shared" si="43"/>
        <v>2026-04</v>
      </c>
      <c r="S265" s="55">
        <f>IF(OR($B265="",$F265="",$R265=""),"",SUMIFS(tblIssues[Qty Issued],tblIssues[Staff ID],$B265,tblIssues[Item Name],$F265,tblIssues[Month],$R265))</f>
        <v>2</v>
      </c>
      <c r="T265" s="56">
        <f>IF($I265="","",$I265*Settings!$C$11)</f>
        <v>1</v>
      </c>
      <c r="U265" s="57" t="str">
        <f t="shared" si="52"/>
        <v>⚠ OVER QUOTA</v>
      </c>
      <c r="V265" s="55" t="str">
        <f t="shared" si="44"/>
        <v>RN-009-A2 | Hand Sanitizer OS | 2026-04</v>
      </c>
      <c r="W265" s="55">
        <f>IF($V265="","",IF(COUNTIF($V$5:$V265,$V265)=1,1,""))</f>
        <v>1</v>
      </c>
      <c r="X265" s="58">
        <f>IF($W265="","",MAX($X$4:X264)+1)</f>
        <v>5</v>
      </c>
      <c r="Y265" s="62"/>
      <c r="Z265" s="62"/>
      <c r="AA265" s="64" t="str">
        <f>IF($C265="","",IFERROR(INDEX('Staff Directory'!$E$5:$E$594,MATCH($C265,'Staff Directory'!$B$5:$B$594,0)),""))</f>
        <v>firstname009.lastname009@example.com</v>
      </c>
      <c r="AB265" s="64" t="str">
        <f>IF($C265="","",IF(ISNUMBER(SEARCH($D265,Settings!$C$15)),"Pickup","Dispatch"))</f>
        <v>Dispatch</v>
      </c>
      <c r="AC265" s="64" t="str">
        <f t="shared" si="45"/>
        <v>Supply order dispatched</v>
      </c>
      <c r="AD265" s="64" t="str">
        <f t="shared" si="47"/>
        <v>Dear RN,
Your order has been dispatched and is in transit. Reply if undelivered.</v>
      </c>
      <c r="AE265" s="64" t="str">
        <f t="shared" si="48"/>
        <v>mailto:firstname009.lastname009@example.com?subject=Supply%20order%20dispatched&amp;body=Dear%20RN%2C%0A%0AYour%20order%20has%20been%20dispatched%20and%20is%20in%20transit.%20Reply%20if%20undelivered.</v>
      </c>
      <c r="AF265" s="89" t="str">
        <f t="shared" si="46"/>
        <v>Draft email</v>
      </c>
      <c r="AG265" s="64" t="str">
        <f>IF($C265="","",IFERROR(INDEX('Staff Directory'!$K$595:$K$599,MATCH($C265,'Staff Directory'!$B$5:$B$599,0)),$D265))</f>
        <v>RN</v>
      </c>
      <c r="AH265" t="str">
        <f>IF($C265="","",IFERROR(INDEX('Staff Directory'!$I$595:$I$599,MATCH($C265,'Staff Directory'!$B$5:$B$599,0))&amp;" "&amp;INDEX('Staff Directory'!$J$595:$J$599,MATCH($C265,'Staff Directory'!$B$5:$B$599,0)),$AG265))</f>
        <v>RN</v>
      </c>
      <c r="AI265" s="102"/>
      <c r="AJ265" s="101">
        <f>IF($F265="","",SUMIFS($J$5:$J265,$F$5:$F265,$F265))</f>
        <v>9</v>
      </c>
      <c r="AK265" s="101">
        <f t="shared" si="49"/>
        <v>9</v>
      </c>
      <c r="AL265" s="66" t="str" cm="1">
        <f t="array" ref="AL265">IF($F265="","",IFERROR(INDEX('Lot Balance'!$B$5:$B$500,MATCH(1,INDEX(('Lot Balance'!$A$5:$A$500=$F265)*('Lot Balance'!$K$5:$K$500&lt;$AK265)*('Lot Balance'!$K$5:$K$500+'Lot Balance'!$D$5:$D$500&gt;=$AK265),0),0)),""))</f>
        <v>20-21734-1</v>
      </c>
      <c r="AM265" s="66" t="str" cm="1">
        <f t="array" ref="AM265">IF($F265="","",IFERROR(INDEX('Lot Balance'!$B$5:$B$500,MATCH(1,INDEX(('Lot Balance'!$A$5:$A$500=$F265)*('Lot Balance'!$K$5:$K$500&lt;$AJ265)*('Lot Balance'!$K$5:$K$500+'Lot Balance'!$D$5:$D$500&gt;=$AJ265),0),0)),""))</f>
        <v>20-21734-1</v>
      </c>
      <c r="AN265" s="66" t="str">
        <f>IF($F265="","",IF($AI265&lt;&gt;"",IF(COUNTIFS('Lot Balance'!$A$5:$A$500,$F265,'Lot Balance'!$B$5:$B$500,$AI265)=0,"⚠ override is not a lot of this item",IF($AI265=$AL265,"Override = FEFO","Override - FEFO says "&amp;$AL265)),IF($AL265="","⚠ no receipt on file for this item",IF($AM265&lt;&gt;$AL265,"FEFO auto - split, also "&amp;$AM265,"FEFO auto"))))</f>
        <v>FEFO auto</v>
      </c>
      <c r="AO265" s="114"/>
    </row>
    <row r="266" spans="1:41" x14ac:dyDescent="0.35">
      <c r="A266" s="74">
        <v>46127</v>
      </c>
      <c r="B266" s="18" t="str">
        <f>IF($C266="","",IFERROR(INDEX('Staff Directory'!$A$5:$A$594,MATCH($C266,'Staff Directory'!$B$5:$B$594,0)),"⚠ unknown staff"))</f>
        <v>RN-009-A2</v>
      </c>
      <c r="C266" s="49" t="s">
        <v>925</v>
      </c>
      <c r="D266" s="19" t="str">
        <f>IF($B266="","",IFERROR(INDEX('Staff Directory'!$C$5:$C$594,MATCH($B266,'Staff Directory'!$A$5:$A$594,0)),""))</f>
        <v>RN</v>
      </c>
      <c r="E266" s="19" t="str">
        <f>IF($B266="","",IFERROR(INDEX('Staff Directory'!$D$5:$D$594,MATCH($B266,'Staff Directory'!$A$5:$A$594,0)),""))</f>
        <v>A2</v>
      </c>
      <c r="F266" s="9" t="s">
        <v>191</v>
      </c>
      <c r="G266" s="18" t="str">
        <f>IF($F266="","",IFERROR(INDEX(Items!$B$5:$B$597,MATCH($F266,Items!$A$5:$A$597,0)),"⚠ not in Items"))</f>
        <v>Sanitizer</v>
      </c>
      <c r="H266" s="19" t="str">
        <f>IF($F266="","",IFERROR(INDEX(Items!$C$5:$C$597,MATCH($F266,Items!$A$5:$A$597,0)),""))</f>
        <v>236 ML</v>
      </c>
      <c r="I266" s="23">
        <f>IF($F266="","",IFERROR(INDEX(Items!$E$5:$E$597,MATCH($F266,Items!$A$5:$A$597,0)),""))</f>
        <v>1</v>
      </c>
      <c r="J266" s="115">
        <f>IF(tblIssues[[#This Row],[Qty Override]]&lt;&gt;"",tblIssues[[#This Row],[Qty Override]],IF(tblIssues[[#This Row],[Standard Issue]]="","",tblIssues[[#This Row],[Standard Issue]]))</f>
        <v>1</v>
      </c>
      <c r="K266" s="20">
        <f>IF($F266="","",IFERROR(INDEX(Items!$D$5:$D$597,MATCH($F266,Items!$A$5:$A$597,0)),""))</f>
        <v>1E-4</v>
      </c>
      <c r="L266" s="21">
        <f t="shared" si="50"/>
        <v>1E-4</v>
      </c>
      <c r="M266" s="9" t="str">
        <f t="shared" si="51"/>
        <v>20-21734-1</v>
      </c>
      <c r="N266" s="24">
        <f>IF($A266="","",WORKDAY($A266,Settings!$C$9,HolidayDates))</f>
        <v>46135</v>
      </c>
      <c r="O266" s="24">
        <f>IF($N266="","",WORKDAY($N266,Settings!$C$10,HolidayDates))</f>
        <v>46175</v>
      </c>
      <c r="P266" s="10" t="s">
        <v>502</v>
      </c>
      <c r="Q266" s="52" t="str">
        <f t="shared" si="42"/>
        <v>Collected</v>
      </c>
      <c r="R266" s="55" t="str">
        <f t="shared" si="43"/>
        <v>2026-04</v>
      </c>
      <c r="S266" s="55">
        <f>IF(OR($B266="",$F266="",$R266=""),"",SUMIFS(tblIssues[Qty Issued],tblIssues[Staff ID],$B266,tblIssues[Item Name],$F266,tblIssues[Month],$R266))</f>
        <v>2</v>
      </c>
      <c r="T266" s="56">
        <f>IF($I266="","",$I266*Settings!$C$11)</f>
        <v>1</v>
      </c>
      <c r="U266" s="57" t="str">
        <f t="shared" si="52"/>
        <v>⚠ OVER QUOTA</v>
      </c>
      <c r="V266" s="55" t="str">
        <f t="shared" si="44"/>
        <v>RN-009-A2 | Hand Sanitizer OS | 2026-04</v>
      </c>
      <c r="W266" s="55" t="str">
        <f>IF($V266="","",IF(COUNTIF($V$5:$V266,$V266)=1,1,""))</f>
        <v/>
      </c>
      <c r="X266" s="58" t="str">
        <f>IF($W266="","",MAX($X$4:X265)+1)</f>
        <v/>
      </c>
      <c r="Y266" s="62"/>
      <c r="Z266" s="62"/>
      <c r="AA266" s="64" t="str">
        <f>IF($C266="","",IFERROR(INDEX('Staff Directory'!$E$5:$E$594,MATCH($C266,'Staff Directory'!$B$5:$B$594,0)),""))</f>
        <v>firstname009.lastname009@example.com</v>
      </c>
      <c r="AB266" s="64" t="str">
        <f>IF($C266="","",IF(ISNUMBER(SEARCH($D266,Settings!$C$15)),"Pickup","Dispatch"))</f>
        <v>Dispatch</v>
      </c>
      <c r="AC266" s="64" t="str">
        <f t="shared" si="45"/>
        <v>Supply order dispatched</v>
      </c>
      <c r="AD266" s="64" t="str">
        <f t="shared" si="47"/>
        <v>Dear RN,
Your order has been dispatched and is in transit. Reply if undelivered.</v>
      </c>
      <c r="AE266" s="64" t="str">
        <f t="shared" si="48"/>
        <v>mailto:firstname009.lastname009@example.com?subject=Supply%20order%20dispatched&amp;body=Dear%20RN%2C%0A%0AYour%20order%20has%20been%20dispatched%20and%20is%20in%20transit.%20Reply%20if%20undelivered.</v>
      </c>
      <c r="AF266" s="89" t="str">
        <f t="shared" si="46"/>
        <v>Draft email</v>
      </c>
      <c r="AG266" s="64" t="str">
        <f>IF($C266="","",IFERROR(INDEX('Staff Directory'!$K$595:$K$599,MATCH($C266,'Staff Directory'!$B$5:$B$599,0)),$D266))</f>
        <v>RN</v>
      </c>
      <c r="AH266" t="str">
        <f>IF($C266="","",IFERROR(INDEX('Staff Directory'!$I$595:$I$599,MATCH($C266,'Staff Directory'!$B$5:$B$599,0))&amp;" "&amp;INDEX('Staff Directory'!$J$595:$J$599,MATCH($C266,'Staff Directory'!$B$5:$B$599,0)),$AG266))</f>
        <v>RN</v>
      </c>
      <c r="AI266" s="102"/>
      <c r="AJ266" s="101">
        <f>IF($F266="","",SUMIFS($J$5:$J266,$F$5:$F266,$F266))</f>
        <v>10</v>
      </c>
      <c r="AK266" s="101">
        <f t="shared" si="49"/>
        <v>10</v>
      </c>
      <c r="AL266" s="66" t="str" cm="1">
        <f t="array" ref="AL266">IF($F266="","",IFERROR(INDEX('Lot Balance'!$B$5:$B$500,MATCH(1,INDEX(('Lot Balance'!$A$5:$A$500=$F266)*('Lot Balance'!$K$5:$K$500&lt;$AK266)*('Lot Balance'!$K$5:$K$500+'Lot Balance'!$D$5:$D$500&gt;=$AK266),0),0)),""))</f>
        <v>20-21734-1</v>
      </c>
      <c r="AM266" s="66" t="str" cm="1">
        <f t="array" ref="AM266">IF($F266="","",IFERROR(INDEX('Lot Balance'!$B$5:$B$500,MATCH(1,INDEX(('Lot Balance'!$A$5:$A$500=$F266)*('Lot Balance'!$K$5:$K$500&lt;$AJ266)*('Lot Balance'!$K$5:$K$500+'Lot Balance'!$D$5:$D$500&gt;=$AJ266),0),0)),""))</f>
        <v>20-21734-1</v>
      </c>
      <c r="AN266" s="66" t="str">
        <f>IF($F266="","",IF($AI266&lt;&gt;"",IF(COUNTIFS('Lot Balance'!$A$5:$A$500,$F266,'Lot Balance'!$B$5:$B$500,$AI266)=0,"⚠ override is not a lot of this item",IF($AI266=$AL266,"Override = FEFO","Override - FEFO says "&amp;$AL266)),IF($AL266="","⚠ no receipt on file for this item",IF($AM266&lt;&gt;$AL266,"FEFO auto - split, also "&amp;$AM266,"FEFO auto"))))</f>
        <v>FEFO auto</v>
      </c>
      <c r="AO266" s="114"/>
    </row>
    <row r="267" spans="1:41" x14ac:dyDescent="0.35">
      <c r="A267" s="74">
        <v>46127</v>
      </c>
      <c r="B267" s="18" t="str">
        <f>IF($C267="","",IFERROR(INDEX('Staff Directory'!$A$5:$A$594,MATCH($C267,'Staff Directory'!$B$5:$B$594,0)),"⚠ unknown staff"))</f>
        <v>RN-009-A2</v>
      </c>
      <c r="C267" s="49" t="s">
        <v>925</v>
      </c>
      <c r="D267" s="19" t="str">
        <f>IF($B267="","",IFERROR(INDEX('Staff Directory'!$C$5:$C$594,MATCH($B267,'Staff Directory'!$A$5:$A$594,0)),""))</f>
        <v>RN</v>
      </c>
      <c r="E267" s="19" t="str">
        <f>IF($B267="","",IFERROR(INDEX('Staff Directory'!$D$5:$D$594,MATCH($B267,'Staff Directory'!$A$5:$A$594,0)),""))</f>
        <v>A2</v>
      </c>
      <c r="F267" s="9" t="s">
        <v>115</v>
      </c>
      <c r="G267" s="18" t="str">
        <f>IF($F267="","",IFERROR(INDEX(Items!$B$5:$B$597,MATCH($F267,Items!$A$5:$A$597,0)),"⚠ not in Items"))</f>
        <v>Wipes</v>
      </c>
      <c r="H267" s="19">
        <f>IF($F267="","",IFERROR(INDEX(Items!$C$5:$C$597,MATCH($F267,Items!$A$5:$A$597,0)),""))</f>
        <v>80</v>
      </c>
      <c r="I267" s="23">
        <f>IF($F267="","",IFERROR(INDEX(Items!$E$5:$E$597,MATCH($F267,Items!$A$5:$A$597,0)),""))</f>
        <v>80</v>
      </c>
      <c r="J267" s="115">
        <f>IF(tblIssues[[#This Row],[Qty Override]]&lt;&gt;"",tblIssues[[#This Row],[Qty Override]],IF(tblIssues[[#This Row],[Standard Issue]]="","",tblIssues[[#This Row],[Standard Issue]]))</f>
        <v>80</v>
      </c>
      <c r="K267" s="20">
        <f>IF($F267="","",IFERROR(INDEX(Items!$D$5:$D$597,MATCH($F267,Items!$A$5:$A$597,0)),""))</f>
        <v>0.1</v>
      </c>
      <c r="L267" s="21">
        <f t="shared" si="50"/>
        <v>8</v>
      </c>
      <c r="M267" s="9" t="str">
        <f t="shared" si="51"/>
        <v>LYSL500290</v>
      </c>
      <c r="N267" s="24">
        <f>IF($A267="","",WORKDAY($A267,Settings!$C$9,HolidayDates))</f>
        <v>46135</v>
      </c>
      <c r="O267" s="24">
        <f>IF($N267="","",WORKDAY($N267,Settings!$C$10,HolidayDates))</f>
        <v>46175</v>
      </c>
      <c r="P267" s="10" t="s">
        <v>502</v>
      </c>
      <c r="Q267" s="52" t="str">
        <f t="shared" si="42"/>
        <v>Collected</v>
      </c>
      <c r="R267" s="55" t="str">
        <f t="shared" si="43"/>
        <v>2026-04</v>
      </c>
      <c r="S267" s="55">
        <f>IF(OR($B267="",$F267="",$R267=""),"",SUMIFS(tblIssues[Qty Issued],tblIssues[Staff ID],$B267,tblIssues[Item Name],$F267,tblIssues[Month],$R267))</f>
        <v>80</v>
      </c>
      <c r="T267" s="56">
        <f>IF($I267="","",$I267*Settings!$C$11)</f>
        <v>80</v>
      </c>
      <c r="U267" s="57" t="str">
        <f t="shared" si="52"/>
        <v>OK</v>
      </c>
      <c r="V267" s="55" t="str">
        <f t="shared" si="44"/>
        <v/>
      </c>
      <c r="W267" s="55" t="str">
        <f>IF($V267="","",IF(COUNTIF($V$5:$V267,$V267)=1,1,""))</f>
        <v/>
      </c>
      <c r="X267" s="58" t="str">
        <f>IF($W267="","",MAX($X$4:X266)+1)</f>
        <v/>
      </c>
      <c r="Y267" s="62"/>
      <c r="Z267" s="62"/>
      <c r="AA267" s="64" t="str">
        <f>IF($C267="","",IFERROR(INDEX('Staff Directory'!$E$5:$E$594,MATCH($C267,'Staff Directory'!$B$5:$B$594,0)),""))</f>
        <v>firstname009.lastname009@example.com</v>
      </c>
      <c r="AB267" s="64" t="str">
        <f>IF($C267="","",IF(ISNUMBER(SEARCH($D267,Settings!$C$15)),"Pickup","Dispatch"))</f>
        <v>Dispatch</v>
      </c>
      <c r="AC267" s="64" t="str">
        <f t="shared" si="45"/>
        <v>Supply order dispatched</v>
      </c>
      <c r="AD267" s="64" t="str">
        <f t="shared" si="47"/>
        <v>Dear RN,
Your order has been dispatched and is in transit. Reply if undelivered.</v>
      </c>
      <c r="AE267" s="64" t="str">
        <f t="shared" si="48"/>
        <v>mailto:firstname009.lastname009@example.com?subject=Supply%20order%20dispatched&amp;body=Dear%20RN%2C%0A%0AYour%20order%20has%20been%20dispatched%20and%20is%20in%20transit.%20Reply%20if%20undelivered.</v>
      </c>
      <c r="AF267" s="89" t="str">
        <f t="shared" si="46"/>
        <v>Draft email</v>
      </c>
      <c r="AG267" s="64" t="str">
        <f>IF($C267="","",IFERROR(INDEX('Staff Directory'!$K$595:$K$599,MATCH($C267,'Staff Directory'!$B$5:$B$599,0)),$D267))</f>
        <v>RN</v>
      </c>
      <c r="AH267" t="str">
        <f>IF($C267="","",IFERROR(INDEX('Staff Directory'!$I$595:$I$599,MATCH($C267,'Staff Directory'!$B$5:$B$599,0))&amp;" "&amp;INDEX('Staff Directory'!$J$595:$J$599,MATCH($C267,'Staff Directory'!$B$5:$B$599,0)),$AG267))</f>
        <v>RN</v>
      </c>
      <c r="AI267" s="102"/>
      <c r="AJ267" s="101">
        <f>IF($F267="","",SUMIFS($J$5:$J267,$F$5:$F267,$F267))</f>
        <v>3680</v>
      </c>
      <c r="AK267" s="101">
        <f t="shared" si="49"/>
        <v>3601</v>
      </c>
      <c r="AL267" s="66" t="str" cm="1">
        <f t="array" ref="AL267">IF($F267="","",IFERROR(INDEX('Lot Balance'!$B$5:$B$500,MATCH(1,INDEX(('Lot Balance'!$A$5:$A$500=$F267)*('Lot Balance'!$K$5:$K$500&lt;$AK267)*('Lot Balance'!$K$5:$K$500+'Lot Balance'!$D$5:$D$500&gt;=$AK267),0),0)),""))</f>
        <v>LYSL500290</v>
      </c>
      <c r="AM267" s="66" t="str" cm="1">
        <f t="array" ref="AM267">IF($F267="","",IFERROR(INDEX('Lot Balance'!$B$5:$B$500,MATCH(1,INDEX(('Lot Balance'!$A$5:$A$500=$F267)*('Lot Balance'!$K$5:$K$500&lt;$AJ267)*('Lot Balance'!$K$5:$K$500+'Lot Balance'!$D$5:$D$500&gt;=$AJ267),0),0)),""))</f>
        <v>LYSL500290</v>
      </c>
      <c r="AN267" s="66" t="str">
        <f>IF($F267="","",IF($AI267&lt;&gt;"",IF(COUNTIFS('Lot Balance'!$A$5:$A$500,$F267,'Lot Balance'!$B$5:$B$500,$AI267)=0,"⚠ override is not a lot of this item",IF($AI267=$AL267,"Override = FEFO","Override - FEFO says "&amp;$AL267)),IF($AL267="","⚠ no receipt on file for this item",IF($AM267&lt;&gt;$AL267,"FEFO auto - split, also "&amp;$AM267,"FEFO auto"))))</f>
        <v>FEFO auto</v>
      </c>
      <c r="AO267" s="114"/>
    </row>
    <row r="268" spans="1:41" x14ac:dyDescent="0.35">
      <c r="A268" s="74">
        <v>46127</v>
      </c>
      <c r="B268" s="18" t="str">
        <f>IF($C268="","",IFERROR(INDEX('Staff Directory'!$A$5:$A$594,MATCH($C268,'Staff Directory'!$B$5:$B$594,0)),"⚠ unknown staff"))</f>
        <v>RN-009-A2</v>
      </c>
      <c r="C268" s="49" t="s">
        <v>925</v>
      </c>
      <c r="D268" s="19" t="str">
        <f>IF($B268="","",IFERROR(INDEX('Staff Directory'!$C$5:$C$594,MATCH($B268,'Staff Directory'!$A$5:$A$594,0)),""))</f>
        <v>RN</v>
      </c>
      <c r="E268" s="19" t="str">
        <f>IF($B268="","",IFERROR(INDEX('Staff Directory'!$D$5:$D$594,MATCH($B268,'Staff Directory'!$A$5:$A$594,0)),""))</f>
        <v>A2</v>
      </c>
      <c r="F268" s="9" t="s">
        <v>156</v>
      </c>
      <c r="G268" s="18" t="str">
        <f>IF($F268="","",IFERROR(INDEX(Items!$B$5:$B$597,MATCH($F268,Items!$A$5:$A$597,0)),"⚠ not in Items"))</f>
        <v>Masks</v>
      </c>
      <c r="H268" s="19" t="str">
        <f>IF($F268="","",IFERROR(INDEX(Items!$C$5:$C$597,MATCH($F268,Items!$A$5:$A$597,0)),""))</f>
        <v>One Size</v>
      </c>
      <c r="I268" s="23">
        <f>IF($F268="","",IFERROR(INDEX(Items!$E$5:$E$597,MATCH($F268,Items!$A$5:$A$597,0)),""))</f>
        <v>50</v>
      </c>
      <c r="J268" s="115">
        <f>IF(tblIssues[[#This Row],[Qty Override]]&lt;&gt;"",tblIssues[[#This Row],[Qty Override]],IF(tblIssues[[#This Row],[Standard Issue]]="","",tblIssues[[#This Row],[Standard Issue]]))</f>
        <v>50</v>
      </c>
      <c r="K268" s="20">
        <f>IF($F268="","",IFERROR(INDEX(Items!$D$5:$D$597,MATCH($F268,Items!$A$5:$A$597,0)),""))</f>
        <v>0.25</v>
      </c>
      <c r="L268" s="21">
        <f t="shared" si="50"/>
        <v>12.5</v>
      </c>
      <c r="M268" s="9" t="str">
        <f t="shared" si="51"/>
        <v>0125FPC24-0</v>
      </c>
      <c r="N268" s="24">
        <f>IF($A268="","",WORKDAY($A268,Settings!$C$9,HolidayDates))</f>
        <v>46135</v>
      </c>
      <c r="O268" s="24">
        <f>IF($N268="","",WORKDAY($N268,Settings!$C$10,HolidayDates))</f>
        <v>46175</v>
      </c>
      <c r="P268" s="10" t="s">
        <v>502</v>
      </c>
      <c r="Q268" s="52" t="str">
        <f t="shared" si="42"/>
        <v>Collected</v>
      </c>
      <c r="R268" s="55" t="str">
        <f t="shared" si="43"/>
        <v>2026-04</v>
      </c>
      <c r="S268" s="55">
        <f>IF(OR($B268="",$F268="",$R268=""),"",SUMIFS(tblIssues[Qty Issued],tblIssues[Staff ID],$B268,tblIssues[Item Name],$F268,tblIssues[Month],$R268))</f>
        <v>50</v>
      </c>
      <c r="T268" s="56">
        <f>IF($I268="","",$I268*Settings!$C$11)</f>
        <v>50</v>
      </c>
      <c r="U268" s="57" t="str">
        <f t="shared" si="52"/>
        <v>OK</v>
      </c>
      <c r="V268" s="55" t="str">
        <f t="shared" si="44"/>
        <v/>
      </c>
      <c r="W268" s="55" t="str">
        <f>IF($V268="","",IF(COUNTIF($V$5:$V268,$V268)=1,1,""))</f>
        <v/>
      </c>
      <c r="X268" s="58" t="str">
        <f>IF($W268="","",MAX($X$4:X267)+1)</f>
        <v/>
      </c>
      <c r="Y268" s="62"/>
      <c r="Z268" s="62"/>
      <c r="AA268" s="64" t="str">
        <f>IF($C268="","",IFERROR(INDEX('Staff Directory'!$E$5:$E$594,MATCH($C268,'Staff Directory'!$B$5:$B$594,0)),""))</f>
        <v>firstname009.lastname009@example.com</v>
      </c>
      <c r="AB268" s="64" t="str">
        <f>IF($C268="","",IF(ISNUMBER(SEARCH($D268,Settings!$C$15)),"Pickup","Dispatch"))</f>
        <v>Dispatch</v>
      </c>
      <c r="AC268" s="64" t="str">
        <f t="shared" si="45"/>
        <v>Supply order dispatched</v>
      </c>
      <c r="AD268" s="64" t="str">
        <f t="shared" si="47"/>
        <v>Dear RN,
Your order has been dispatched and is in transit. Reply if undelivered.</v>
      </c>
      <c r="AE268" s="64" t="str">
        <f t="shared" si="48"/>
        <v>mailto:firstname009.lastname009@example.com?subject=Supply%20order%20dispatched&amp;body=Dear%20RN%2C%0A%0AYour%20order%20has%20been%20dispatched%20and%20is%20in%20transit.%20Reply%20if%20undelivered.</v>
      </c>
      <c r="AF268" s="89" t="str">
        <f t="shared" si="46"/>
        <v>Draft email</v>
      </c>
      <c r="AG268" s="64" t="str">
        <f>IF($C268="","",IFERROR(INDEX('Staff Directory'!$K$595:$K$599,MATCH($C268,'Staff Directory'!$B$5:$B$599,0)),$D268))</f>
        <v>RN</v>
      </c>
      <c r="AH268" t="str">
        <f>IF($C268="","",IFERROR(INDEX('Staff Directory'!$I$595:$I$599,MATCH($C268,'Staff Directory'!$B$5:$B$599,0))&amp;" "&amp;INDEX('Staff Directory'!$J$595:$J$599,MATCH($C268,'Staff Directory'!$B$5:$B$599,0)),$AG268))</f>
        <v>RN</v>
      </c>
      <c r="AI268" s="102"/>
      <c r="AJ268" s="101">
        <f>IF($F268="","",SUMIFS($J$5:$J268,$F$5:$F268,$F268))</f>
        <v>1950</v>
      </c>
      <c r="AK268" s="101">
        <f t="shared" si="49"/>
        <v>1901</v>
      </c>
      <c r="AL268" s="66" t="str" cm="1">
        <f t="array" ref="AL268">IF($F268="","",IFERROR(INDEX('Lot Balance'!$B$5:$B$500,MATCH(1,INDEX(('Lot Balance'!$A$5:$A$500=$F268)*('Lot Balance'!$K$5:$K$500&lt;$AK268)*('Lot Balance'!$K$5:$K$500+'Lot Balance'!$D$5:$D$500&gt;=$AK268),0),0)),""))</f>
        <v>0125FPC24-0</v>
      </c>
      <c r="AM268" s="66" t="str" cm="1">
        <f t="array" ref="AM268">IF($F268="","",IFERROR(INDEX('Lot Balance'!$B$5:$B$500,MATCH(1,INDEX(('Lot Balance'!$A$5:$A$500=$F268)*('Lot Balance'!$K$5:$K$500&lt;$AJ268)*('Lot Balance'!$K$5:$K$500+'Lot Balance'!$D$5:$D$500&gt;=$AJ268),0),0)),""))</f>
        <v>0125FPC24-0</v>
      </c>
      <c r="AN268" s="66" t="str">
        <f>IF($F268="","",IF($AI268&lt;&gt;"",IF(COUNTIFS('Lot Balance'!$A$5:$A$500,$F268,'Lot Balance'!$B$5:$B$500,$AI268)=0,"⚠ override is not a lot of this item",IF($AI268=$AL268,"Override = FEFO","Override - FEFO says "&amp;$AL268)),IF($AL268="","⚠ no receipt on file for this item",IF($AM268&lt;&gt;$AL268,"FEFO auto - split, also "&amp;$AM268,"FEFO auto"))))</f>
        <v>FEFO auto</v>
      </c>
      <c r="AO268" s="114"/>
    </row>
    <row r="269" spans="1:41" x14ac:dyDescent="0.35">
      <c r="A269" s="74">
        <v>46127</v>
      </c>
      <c r="B269" s="18" t="str">
        <f>IF($C269="","",IFERROR(INDEX('Staff Directory'!$A$5:$A$594,MATCH($C269,'Staff Directory'!$B$5:$B$594,0)),"⚠ unknown staff"))</f>
        <v>TL/RPN-002-A9</v>
      </c>
      <c r="C269" s="49" t="s">
        <v>1065</v>
      </c>
      <c r="D269" s="19" t="str">
        <f>IF($B269="","",IFERROR(INDEX('Staff Directory'!$C$5:$C$594,MATCH($B269,'Staff Directory'!$A$5:$A$594,0)),""))</f>
        <v>TL/RPN</v>
      </c>
      <c r="E269" s="19" t="str">
        <f>IF($B269="","",IFERROR(INDEX('Staff Directory'!$D$5:$D$594,MATCH($B269,'Staff Directory'!$A$5:$A$594,0)),""))</f>
        <v>A9</v>
      </c>
      <c r="F269" s="9" t="s">
        <v>127</v>
      </c>
      <c r="G269" s="18" t="str">
        <f>IF($F269="","",IFERROR(INDEX(Items!$B$5:$B$597,MATCH($F269,Items!$A$5:$A$597,0)),"⚠ not in Items"))</f>
        <v>Gloves</v>
      </c>
      <c r="H269" s="19" t="str">
        <f>IF($F269="","",IFERROR(INDEX(Items!$C$5:$C$597,MATCH($F269,Items!$A$5:$A$597,0)),""))</f>
        <v>Medium</v>
      </c>
      <c r="I269" s="23">
        <f>IF($F269="","",IFERROR(INDEX(Items!$E$5:$E$597,MATCH($F269,Items!$A$5:$A$597,0)),""))</f>
        <v>500</v>
      </c>
      <c r="J269" s="115">
        <f>IF(tblIssues[[#This Row],[Qty Override]]&lt;&gt;"",tblIssues[[#This Row],[Qty Override]],IF(tblIssues[[#This Row],[Standard Issue]]="","",tblIssues[[#This Row],[Standard Issue]]))</f>
        <v>500</v>
      </c>
      <c r="K269" s="20">
        <f>IF($F269="","",IFERROR(INDEX(Items!$D$5:$D$597,MATCH($F269,Items!$A$5:$A$597,0)),""))</f>
        <v>5.5E-2</v>
      </c>
      <c r="L269" s="21">
        <f t="shared" si="50"/>
        <v>27.5</v>
      </c>
      <c r="M269" s="9" t="str">
        <f t="shared" si="51"/>
        <v>0312HIC25</v>
      </c>
      <c r="N269" s="24">
        <f>IF($A269="","",WORKDAY($A269,Settings!$C$9,HolidayDates))</f>
        <v>46135</v>
      </c>
      <c r="O269" s="24">
        <f>IF($N269="","",WORKDAY($N269,Settings!$C$10,HolidayDates))</f>
        <v>46175</v>
      </c>
      <c r="P269" s="10" t="s">
        <v>501</v>
      </c>
      <c r="Q269" s="52" t="str">
        <f t="shared" si="42"/>
        <v>Collected</v>
      </c>
      <c r="R269" s="55" t="str">
        <f t="shared" si="43"/>
        <v>2026-04</v>
      </c>
      <c r="S269" s="55">
        <f>IF(OR($B269="",$F269="",$R269=""),"",SUMIFS(tblIssues[Qty Issued],tblIssues[Staff ID],$B269,tblIssues[Item Name],$F269,tblIssues[Month],$R269))</f>
        <v>500</v>
      </c>
      <c r="T269" s="56">
        <f>IF($I269="","",$I269*Settings!$C$11)</f>
        <v>500</v>
      </c>
      <c r="U269" s="57" t="str">
        <f t="shared" si="52"/>
        <v>OK</v>
      </c>
      <c r="V269" s="55" t="str">
        <f t="shared" si="44"/>
        <v/>
      </c>
      <c r="W269" s="55" t="str">
        <f>IF($V269="","",IF(COUNTIF($V$5:$V269,$V269)=1,1,""))</f>
        <v/>
      </c>
      <c r="X269" s="58" t="str">
        <f>IF($W269="","",MAX($X$4:X268)+1)</f>
        <v/>
      </c>
      <c r="Y269" s="62"/>
      <c r="Z269" s="62"/>
      <c r="AA269" s="64" t="str">
        <f>IF($C269="","",IFERROR(INDEX('Staff Directory'!$E$5:$E$594,MATCH($C269,'Staff Directory'!$B$5:$B$594,0)),""))</f>
        <v>firstname149.lastname149@example.com</v>
      </c>
      <c r="AB269" s="64" t="str">
        <f>IF($C269="","",IF(ISNUMBER(SEARCH($D269,Settings!$C$15)),"Pickup","Dispatch"))</f>
        <v>Dispatch</v>
      </c>
      <c r="AC269" s="64" t="str">
        <f t="shared" si="45"/>
        <v>Supply order dispatched</v>
      </c>
      <c r="AD269" s="64" t="str">
        <f t="shared" si="47"/>
        <v>Dear TL/RPN,
Your order has been dispatched and is in transit. Reply if undelivered.</v>
      </c>
      <c r="AE269" s="64" t="str">
        <f t="shared" si="48"/>
        <v>mailto:firstname149.lastname149@example.com?subject=Supply%20order%20dispatched&amp;body=Dear%20TL%2FRPN%2C%0A%0AYour%20order%20has%20been%20dispatched%20and%20is%20in%20transit.%20Reply%20if%20undelivered.</v>
      </c>
      <c r="AF269" s="89" t="str">
        <f t="shared" si="46"/>
        <v>Draft email</v>
      </c>
      <c r="AG269" s="64" t="str">
        <f>IF($C269="","",IFERROR(INDEX('Staff Directory'!$K$595:$K$599,MATCH($C269,'Staff Directory'!$B$5:$B$599,0)),$D269))</f>
        <v>TL/RPN</v>
      </c>
      <c r="AH269" t="str">
        <f>IF($C269="","",IFERROR(INDEX('Staff Directory'!$I$595:$I$599,MATCH($C269,'Staff Directory'!$B$5:$B$599,0))&amp;" "&amp;INDEX('Staff Directory'!$J$595:$J$599,MATCH($C269,'Staff Directory'!$B$5:$B$599,0)),$AG269))</f>
        <v>TL/RPN</v>
      </c>
      <c r="AI269" s="102"/>
      <c r="AJ269" s="101">
        <f>IF($F269="","",SUMIFS($J$5:$J269,$F$5:$F269,$F269))</f>
        <v>16500</v>
      </c>
      <c r="AK269" s="101">
        <f t="shared" si="49"/>
        <v>16001</v>
      </c>
      <c r="AL269" s="66" t="str" cm="1">
        <f t="array" ref="AL269">IF($F269="","",IFERROR(INDEX('Lot Balance'!$B$5:$B$500,MATCH(1,INDEX(('Lot Balance'!$A$5:$A$500=$F269)*('Lot Balance'!$K$5:$K$500&lt;$AK269)*('Lot Balance'!$K$5:$K$500+'Lot Balance'!$D$5:$D$500&gt;=$AK269),0),0)),""))</f>
        <v>0312HIC25</v>
      </c>
      <c r="AM269" s="66" t="str" cm="1">
        <f t="array" ref="AM269">IF($F269="","",IFERROR(INDEX('Lot Balance'!$B$5:$B$500,MATCH(1,INDEX(('Lot Balance'!$A$5:$A$500=$F269)*('Lot Balance'!$K$5:$K$500&lt;$AJ269)*('Lot Balance'!$K$5:$K$500+'Lot Balance'!$D$5:$D$500&gt;=$AJ269),0),0)),""))</f>
        <v>0312HIC25</v>
      </c>
      <c r="AN269" s="66" t="str">
        <f>IF($F269="","",IF($AI269&lt;&gt;"",IF(COUNTIFS('Lot Balance'!$A$5:$A$500,$F269,'Lot Balance'!$B$5:$B$500,$AI269)=0,"⚠ override is not a lot of this item",IF($AI269=$AL269,"Override = FEFO","Override - FEFO says "&amp;$AL269)),IF($AL269="","⚠ no receipt on file for this item",IF($AM269&lt;&gt;$AL269,"FEFO auto - split, also "&amp;$AM269,"FEFO auto"))))</f>
        <v>FEFO auto</v>
      </c>
      <c r="AO269" s="114"/>
    </row>
    <row r="270" spans="1:41" x14ac:dyDescent="0.35">
      <c r="A270" s="74">
        <v>46127</v>
      </c>
      <c r="B270" s="18" t="str">
        <f>IF($C270="","",IFERROR(INDEX('Staff Directory'!$A$5:$A$594,MATCH($C270,'Staff Directory'!$B$5:$B$594,0)),"⚠ unknown staff"))</f>
        <v>TL/RPN-002-A9</v>
      </c>
      <c r="C270" s="49" t="s">
        <v>1065</v>
      </c>
      <c r="D270" s="19" t="str">
        <f>IF($B270="","",IFERROR(INDEX('Staff Directory'!$C$5:$C$594,MATCH($B270,'Staff Directory'!$A$5:$A$594,0)),""))</f>
        <v>TL/RPN</v>
      </c>
      <c r="E270" s="19" t="str">
        <f>IF($B270="","",IFERROR(INDEX('Staff Directory'!$D$5:$D$594,MATCH($B270,'Staff Directory'!$A$5:$A$594,0)),""))</f>
        <v>A9</v>
      </c>
      <c r="F270" s="9" t="s">
        <v>191</v>
      </c>
      <c r="G270" s="18" t="str">
        <f>IF($F270="","",IFERROR(INDEX(Items!$B$5:$B$597,MATCH($F270,Items!$A$5:$A$597,0)),"⚠ not in Items"))</f>
        <v>Sanitizer</v>
      </c>
      <c r="H270" s="19" t="str">
        <f>IF($F270="","",IFERROR(INDEX(Items!$C$5:$C$597,MATCH($F270,Items!$A$5:$A$597,0)),""))</f>
        <v>236 ML</v>
      </c>
      <c r="I270" s="23">
        <f>IF($F270="","",IFERROR(INDEX(Items!$E$5:$E$597,MATCH($F270,Items!$A$5:$A$597,0)),""))</f>
        <v>1</v>
      </c>
      <c r="J270" s="115">
        <f>IF(tblIssues[[#This Row],[Qty Override]]&lt;&gt;"",tblIssues[[#This Row],[Qty Override]],IF(tblIssues[[#This Row],[Standard Issue]]="","",tblIssues[[#This Row],[Standard Issue]]))</f>
        <v>1</v>
      </c>
      <c r="K270" s="20">
        <f>IF($F270="","",IFERROR(INDEX(Items!$D$5:$D$597,MATCH($F270,Items!$A$5:$A$597,0)),""))</f>
        <v>1E-4</v>
      </c>
      <c r="L270" s="21">
        <f t="shared" si="50"/>
        <v>1E-4</v>
      </c>
      <c r="M270" s="9" t="str">
        <f t="shared" si="51"/>
        <v>20-21734-1</v>
      </c>
      <c r="N270" s="24">
        <f>IF($A270="","",WORKDAY($A270,Settings!$C$9,HolidayDates))</f>
        <v>46135</v>
      </c>
      <c r="O270" s="24">
        <f>IF($N270="","",WORKDAY($N270,Settings!$C$10,HolidayDates))</f>
        <v>46175</v>
      </c>
      <c r="P270" s="10" t="s">
        <v>501</v>
      </c>
      <c r="Q270" s="52" t="str">
        <f t="shared" ref="Q270:Q333" si="53">IF($A270="","",IF($P270&lt;&gt;"","Collected","Pending"))</f>
        <v>Collected</v>
      </c>
      <c r="R270" s="55" t="str">
        <f t="shared" ref="R270:R333" si="54">IF($A270="","",TEXT($A270,"yyyy-mm"))</f>
        <v>2026-04</v>
      </c>
      <c r="S270" s="55">
        <f>IF(OR($B270="",$F270="",$R270=""),"",SUMIFS(tblIssues[Qty Issued],tblIssues[Staff ID],$B270,tblIssues[Item Name],$F270,tblIssues[Month],$R270))</f>
        <v>1</v>
      </c>
      <c r="T270" s="56">
        <f>IF($I270="","",$I270*Settings!$C$11)</f>
        <v>1</v>
      </c>
      <c r="U270" s="57" t="str">
        <f t="shared" si="52"/>
        <v>OK</v>
      </c>
      <c r="V270" s="55" t="str">
        <f t="shared" ref="V270:V333" si="55">IF($U270="⚠ OVER QUOTA",$B270&amp;" | "&amp;$F270&amp;" | "&amp;$R270,"")</f>
        <v/>
      </c>
      <c r="W270" s="55" t="str">
        <f>IF($V270="","",IF(COUNTIF($V$5:$V270,$V270)=1,1,""))</f>
        <v/>
      </c>
      <c r="X270" s="58" t="str">
        <f>IF($W270="","",MAX($X$4:X269)+1)</f>
        <v/>
      </c>
      <c r="Y270" s="62"/>
      <c r="Z270" s="62"/>
      <c r="AA270" s="64" t="str">
        <f>IF($C270="","",IFERROR(INDEX('Staff Directory'!$E$5:$E$594,MATCH($C270,'Staff Directory'!$B$5:$B$594,0)),""))</f>
        <v>firstname149.lastname149@example.com</v>
      </c>
      <c r="AB270" s="64" t="str">
        <f>IF($C270="","",IF(ISNUMBER(SEARCH($D270,Settings!$C$15)),"Pickup","Dispatch"))</f>
        <v>Dispatch</v>
      </c>
      <c r="AC270" s="64" t="str">
        <f t="shared" ref="AC270:AC333" si="56">IF($AB270="Pickup","Supply order ready for pickup",IF($AB270="Dispatch","Supply order dispatched",""))</f>
        <v>Supply order dispatched</v>
      </c>
      <c r="AD270" s="64" t="str">
        <f t="shared" si="47"/>
        <v>Dear TL/RPN,
Your order has been dispatched and is in transit. Reply if undelivered.</v>
      </c>
      <c r="AE270" s="64" t="str">
        <f t="shared" si="48"/>
        <v>mailto:firstname149.lastname149@example.com?subject=Supply%20order%20dispatched&amp;body=Dear%20TL%2FRPN%2C%0A%0AYour%20order%20has%20been%20dispatched%20and%20is%20in%20transit.%20Reply%20if%20undelivered.</v>
      </c>
      <c r="AF270" s="89" t="str">
        <f t="shared" ref="AF270:AF333" si="57">IF(AE270="","",HYPERLINK(AE270,"Draft email"))</f>
        <v>Draft email</v>
      </c>
      <c r="AG270" s="64" t="str">
        <f>IF($C270="","",IFERROR(INDEX('Staff Directory'!$K$595:$K$599,MATCH($C270,'Staff Directory'!$B$5:$B$599,0)),$D270))</f>
        <v>TL/RPN</v>
      </c>
      <c r="AH270" t="str">
        <f>IF($C270="","",IFERROR(INDEX('Staff Directory'!$I$595:$I$599,MATCH($C270,'Staff Directory'!$B$5:$B$599,0))&amp;" "&amp;INDEX('Staff Directory'!$J$595:$J$599,MATCH($C270,'Staff Directory'!$B$5:$B$599,0)),$AG270))</f>
        <v>TL/RPN</v>
      </c>
      <c r="AI270" s="102"/>
      <c r="AJ270" s="101">
        <f>IF($F270="","",SUMIFS($J$5:$J270,$F$5:$F270,$F270))</f>
        <v>11</v>
      </c>
      <c r="AK270" s="101">
        <f t="shared" si="49"/>
        <v>11</v>
      </c>
      <c r="AL270" s="66" t="str" cm="1">
        <f t="array" ref="AL270">IF($F270="","",IFERROR(INDEX('Lot Balance'!$B$5:$B$500,MATCH(1,INDEX(('Lot Balance'!$A$5:$A$500=$F270)*('Lot Balance'!$K$5:$K$500&lt;$AK270)*('Lot Balance'!$K$5:$K$500+'Lot Balance'!$D$5:$D$500&gt;=$AK270),0),0)),""))</f>
        <v>20-21734-1</v>
      </c>
      <c r="AM270" s="66" t="str" cm="1">
        <f t="array" ref="AM270">IF($F270="","",IFERROR(INDEX('Lot Balance'!$B$5:$B$500,MATCH(1,INDEX(('Lot Balance'!$A$5:$A$500=$F270)*('Lot Balance'!$K$5:$K$500&lt;$AJ270)*('Lot Balance'!$K$5:$K$500+'Lot Balance'!$D$5:$D$500&gt;=$AJ270),0),0)),""))</f>
        <v>20-21734-1</v>
      </c>
      <c r="AN270" s="66" t="str">
        <f>IF($F270="","",IF($AI270&lt;&gt;"",IF(COUNTIFS('Lot Balance'!$A$5:$A$500,$F270,'Lot Balance'!$B$5:$B$500,$AI270)=0,"⚠ override is not a lot of this item",IF($AI270=$AL270,"Override = FEFO","Override - FEFO says "&amp;$AL270)),IF($AL270="","⚠ no receipt on file for this item",IF($AM270&lt;&gt;$AL270,"FEFO auto - split, also "&amp;$AM270,"FEFO auto"))))</f>
        <v>FEFO auto</v>
      </c>
      <c r="AO270" s="114"/>
    </row>
    <row r="271" spans="1:41" x14ac:dyDescent="0.35">
      <c r="A271" s="74">
        <v>46127</v>
      </c>
      <c r="B271" s="18" t="str">
        <f>IF($C271="","",IFERROR(INDEX('Staff Directory'!$A$5:$A$594,MATCH($C271,'Staff Directory'!$B$5:$B$594,0)),"⚠ unknown staff"))</f>
        <v>TL/RPN-002-A9</v>
      </c>
      <c r="C271" s="49" t="s">
        <v>1065</v>
      </c>
      <c r="D271" s="19" t="str">
        <f>IF($B271="","",IFERROR(INDEX('Staff Directory'!$C$5:$C$594,MATCH($B271,'Staff Directory'!$A$5:$A$594,0)),""))</f>
        <v>TL/RPN</v>
      </c>
      <c r="E271" s="19" t="str">
        <f>IF($B271="","",IFERROR(INDEX('Staff Directory'!$D$5:$D$594,MATCH($B271,'Staff Directory'!$A$5:$A$594,0)),""))</f>
        <v>A9</v>
      </c>
      <c r="F271" s="9" t="s">
        <v>193</v>
      </c>
      <c r="G271" s="18" t="str">
        <f>IF($F271="","",IFERROR(INDEX(Items!$B$5:$B$597,MATCH($F271,Items!$A$5:$A$597,0)),"⚠ not in Items"))</f>
        <v>Wipes</v>
      </c>
      <c r="H271" s="19">
        <f>IF($F271="","",IFERROR(INDEX(Items!$C$5:$C$597,MATCH($F271,Items!$A$5:$A$597,0)),""))</f>
        <v>160</v>
      </c>
      <c r="I271" s="23">
        <f>IF($F271="","",IFERROR(INDEX(Items!$E$5:$E$597,MATCH($F271,Items!$A$5:$A$597,0)),""))</f>
        <v>160</v>
      </c>
      <c r="J271" s="115">
        <f>IF(tblIssues[[#This Row],[Qty Override]]&lt;&gt;"",tblIssues[[#This Row],[Qty Override]],IF(tblIssues[[#This Row],[Standard Issue]]="","",tblIssues[[#This Row],[Standard Issue]]))</f>
        <v>160</v>
      </c>
      <c r="K271" s="20">
        <f>IF($F271="","",IFERROR(INDEX(Items!$D$5:$D$597,MATCH($F271,Items!$A$5:$A$597,0)),""))</f>
        <v>0</v>
      </c>
      <c r="L271" s="21">
        <f t="shared" si="50"/>
        <v>0</v>
      </c>
      <c r="M271" s="9" t="str">
        <f t="shared" si="51"/>
        <v>22625VXO7</v>
      </c>
      <c r="N271" s="24">
        <f>IF($A271="","",WORKDAY($A271,Settings!$C$9,HolidayDates))</f>
        <v>46135</v>
      </c>
      <c r="O271" s="24">
        <f>IF($N271="","",WORKDAY($N271,Settings!$C$10,HolidayDates))</f>
        <v>46175</v>
      </c>
      <c r="P271" s="10" t="s">
        <v>501</v>
      </c>
      <c r="Q271" s="52" t="str">
        <f t="shared" si="53"/>
        <v>Collected</v>
      </c>
      <c r="R271" s="55" t="str">
        <f t="shared" si="54"/>
        <v>2026-04</v>
      </c>
      <c r="S271" s="55">
        <f>IF(OR($B271="",$F271="",$R271=""),"",SUMIFS(tblIssues[Qty Issued],tblIssues[Staff ID],$B271,tblIssues[Item Name],$F271,tblIssues[Month],$R271))</f>
        <v>480</v>
      </c>
      <c r="T271" s="56">
        <f>IF($I271="","",$I271*Settings!$C$11)</f>
        <v>160</v>
      </c>
      <c r="U271" s="57" t="str">
        <f t="shared" si="52"/>
        <v>⚠ OVER QUOTA</v>
      </c>
      <c r="V271" s="55" t="str">
        <f t="shared" si="55"/>
        <v>TL/RPN-002-A9 | Disinfectant Wipes OS | 2026-04</v>
      </c>
      <c r="W271" s="55" t="str">
        <f>IF($V271="","",IF(COUNTIF($V$5:$V271,$V271)=1,1,""))</f>
        <v/>
      </c>
      <c r="X271" s="58" t="str">
        <f>IF($W271="","",MAX($X$4:X270)+1)</f>
        <v/>
      </c>
      <c r="Y271" s="62"/>
      <c r="Z271" s="62"/>
      <c r="AA271" s="64" t="str">
        <f>IF($C271="","",IFERROR(INDEX('Staff Directory'!$E$5:$E$594,MATCH($C271,'Staff Directory'!$B$5:$B$594,0)),""))</f>
        <v>firstname149.lastname149@example.com</v>
      </c>
      <c r="AB271" s="64" t="str">
        <f>IF($C271="","",IF(ISNUMBER(SEARCH($D271,Settings!$C$15)),"Pickup","Dispatch"))</f>
        <v>Dispatch</v>
      </c>
      <c r="AC271" s="64" t="str">
        <f t="shared" si="56"/>
        <v>Supply order dispatched</v>
      </c>
      <c r="AD271" s="64" t="str">
        <f t="shared" si="47"/>
        <v>Dear TL/RPN,
Your order has been dispatched and is in transit. Reply if undelivered.</v>
      </c>
      <c r="AE271" s="64" t="str">
        <f t="shared" si="48"/>
        <v>mailto:firstname149.lastname149@example.com?subject=Supply%20order%20dispatched&amp;body=Dear%20TL%2FRPN%2C%0A%0AYour%20order%20has%20been%20dispatched%20and%20is%20in%20transit.%20Reply%20if%20undelivered.</v>
      </c>
      <c r="AF271" s="89" t="str">
        <f t="shared" si="57"/>
        <v>Draft email</v>
      </c>
      <c r="AG271" s="64" t="str">
        <f>IF($C271="","",IFERROR(INDEX('Staff Directory'!$K$595:$K$599,MATCH($C271,'Staff Directory'!$B$5:$B$599,0)),$D271))</f>
        <v>TL/RPN</v>
      </c>
      <c r="AH271" t="str">
        <f>IF($C271="","",IFERROR(INDEX('Staff Directory'!$I$595:$I$599,MATCH($C271,'Staff Directory'!$B$5:$B$599,0))&amp;" "&amp;INDEX('Staff Directory'!$J$595:$J$599,MATCH($C271,'Staff Directory'!$B$5:$B$599,0)),$AG271))</f>
        <v>TL/RPN</v>
      </c>
      <c r="AI271" s="102"/>
      <c r="AJ271" s="101">
        <f>IF($F271="","",SUMIFS($J$5:$J271,$F$5:$F271,$F271))</f>
        <v>320</v>
      </c>
      <c r="AK271" s="101">
        <f t="shared" si="49"/>
        <v>161</v>
      </c>
      <c r="AL271" s="66" t="str" cm="1">
        <f t="array" ref="AL271">IF($F271="","",IFERROR(INDEX('Lot Balance'!$B$5:$B$500,MATCH(1,INDEX(('Lot Balance'!$A$5:$A$500=$F271)*('Lot Balance'!$K$5:$K$500&lt;$AK271)*('Lot Balance'!$K$5:$K$500+'Lot Balance'!$D$5:$D$500&gt;=$AK271),0),0)),""))</f>
        <v>22625VXO7</v>
      </c>
      <c r="AM271" s="66" t="str" cm="1">
        <f t="array" ref="AM271">IF($F271="","",IFERROR(INDEX('Lot Balance'!$B$5:$B$500,MATCH(1,INDEX(('Lot Balance'!$A$5:$A$500=$F271)*('Lot Balance'!$K$5:$K$500&lt;$AJ271)*('Lot Balance'!$K$5:$K$500+'Lot Balance'!$D$5:$D$500&gt;=$AJ271),0),0)),""))</f>
        <v>22625VXO7</v>
      </c>
      <c r="AN271" s="66" t="str">
        <f>IF($F271="","",IF($AI271&lt;&gt;"",IF(COUNTIFS('Lot Balance'!$A$5:$A$500,$F271,'Lot Balance'!$B$5:$B$500,$AI271)=0,"⚠ override is not a lot of this item",IF($AI271=$AL271,"Override = FEFO","Override - FEFO says "&amp;$AL271)),IF($AL271="","⚠ no receipt on file for this item",IF($AM271&lt;&gt;$AL271,"FEFO auto - split, also "&amp;$AM271,"FEFO auto"))))</f>
        <v>FEFO auto</v>
      </c>
      <c r="AO271" s="114"/>
    </row>
    <row r="272" spans="1:41" x14ac:dyDescent="0.35">
      <c r="A272" s="74">
        <v>46127</v>
      </c>
      <c r="B272" s="18" t="str">
        <f>IF($C272="","",IFERROR(INDEX('Staff Directory'!$A$5:$A$594,MATCH($C272,'Staff Directory'!$B$5:$B$594,0)),"⚠ unknown staff"))</f>
        <v>TL/RPN-002-A9</v>
      </c>
      <c r="C272" s="49" t="s">
        <v>1065</v>
      </c>
      <c r="D272" s="19" t="str">
        <f>IF($B272="","",IFERROR(INDEX('Staff Directory'!$C$5:$C$594,MATCH($B272,'Staff Directory'!$A$5:$A$594,0)),""))</f>
        <v>TL/RPN</v>
      </c>
      <c r="E272" s="19" t="str">
        <f>IF($B272="","",IFERROR(INDEX('Staff Directory'!$D$5:$D$594,MATCH($B272,'Staff Directory'!$A$5:$A$594,0)),""))</f>
        <v>A9</v>
      </c>
      <c r="F272" s="9" t="s">
        <v>115</v>
      </c>
      <c r="G272" s="18" t="str">
        <f>IF($F272="","",IFERROR(INDEX(Items!$B$5:$B$597,MATCH($F272,Items!$A$5:$A$597,0)),"⚠ not in Items"))</f>
        <v>Wipes</v>
      </c>
      <c r="H272" s="19">
        <f>IF($F272="","",IFERROR(INDEX(Items!$C$5:$C$597,MATCH($F272,Items!$A$5:$A$597,0)),""))</f>
        <v>80</v>
      </c>
      <c r="I272" s="23">
        <f>IF($F272="","",IFERROR(INDEX(Items!$E$5:$E$597,MATCH($F272,Items!$A$5:$A$597,0)),""))</f>
        <v>80</v>
      </c>
      <c r="J272" s="115">
        <f>IF(tblIssues[[#This Row],[Qty Override]]&lt;&gt;"",tblIssues[[#This Row],[Qty Override]],IF(tblIssues[[#This Row],[Standard Issue]]="","",tblIssues[[#This Row],[Standard Issue]]))</f>
        <v>80</v>
      </c>
      <c r="K272" s="20">
        <f>IF($F272="","",IFERROR(INDEX(Items!$D$5:$D$597,MATCH($F272,Items!$A$5:$A$597,0)),""))</f>
        <v>0.1</v>
      </c>
      <c r="L272" s="21">
        <f t="shared" si="50"/>
        <v>8</v>
      </c>
      <c r="M272" s="9" t="str">
        <f t="shared" si="51"/>
        <v>LYSL500290</v>
      </c>
      <c r="N272" s="24">
        <f>IF($A272="","",WORKDAY($A272,Settings!$C$9,HolidayDates))</f>
        <v>46135</v>
      </c>
      <c r="O272" s="24">
        <f>IF($N272="","",WORKDAY($N272,Settings!$C$10,HolidayDates))</f>
        <v>46175</v>
      </c>
      <c r="P272" s="10" t="s">
        <v>501</v>
      </c>
      <c r="Q272" s="52" t="str">
        <f t="shared" si="53"/>
        <v>Collected</v>
      </c>
      <c r="R272" s="55" t="str">
        <f t="shared" si="54"/>
        <v>2026-04</v>
      </c>
      <c r="S272" s="55">
        <f>IF(OR($B272="",$F272="",$R272=""),"",SUMIFS(tblIssues[Qty Issued],tblIssues[Staff ID],$B272,tblIssues[Item Name],$F272,tblIssues[Month],$R272))</f>
        <v>80</v>
      </c>
      <c r="T272" s="56">
        <f>IF($I272="","",$I272*Settings!$C$11)</f>
        <v>80</v>
      </c>
      <c r="U272" s="57" t="str">
        <f t="shared" si="52"/>
        <v>OK</v>
      </c>
      <c r="V272" s="55" t="str">
        <f t="shared" si="55"/>
        <v/>
      </c>
      <c r="W272" s="55" t="str">
        <f>IF($V272="","",IF(COUNTIF($V$5:$V272,$V272)=1,1,""))</f>
        <v/>
      </c>
      <c r="X272" s="58" t="str">
        <f>IF($W272="","",MAX($X$4:X271)+1)</f>
        <v/>
      </c>
      <c r="Y272" s="62"/>
      <c r="Z272" s="62"/>
      <c r="AA272" s="64" t="str">
        <f>IF($C272="","",IFERROR(INDEX('Staff Directory'!$E$5:$E$594,MATCH($C272,'Staff Directory'!$B$5:$B$594,0)),""))</f>
        <v>firstname149.lastname149@example.com</v>
      </c>
      <c r="AB272" s="64" t="str">
        <f>IF($C272="","",IF(ISNUMBER(SEARCH($D272,Settings!$C$15)),"Pickup","Dispatch"))</f>
        <v>Dispatch</v>
      </c>
      <c r="AC272" s="64" t="str">
        <f t="shared" si="56"/>
        <v>Supply order dispatched</v>
      </c>
      <c r="AD272" s="64" t="str">
        <f t="shared" si="47"/>
        <v>Dear TL/RPN,
Your order has been dispatched and is in transit. Reply if undelivered.</v>
      </c>
      <c r="AE272" s="64" t="str">
        <f t="shared" si="48"/>
        <v>mailto:firstname149.lastname149@example.com?subject=Supply%20order%20dispatched&amp;body=Dear%20TL%2FRPN%2C%0A%0AYour%20order%20has%20been%20dispatched%20and%20is%20in%20transit.%20Reply%20if%20undelivered.</v>
      </c>
      <c r="AF272" s="89" t="str">
        <f t="shared" si="57"/>
        <v>Draft email</v>
      </c>
      <c r="AG272" s="64" t="str">
        <f>IF($C272="","",IFERROR(INDEX('Staff Directory'!$K$595:$K$599,MATCH($C272,'Staff Directory'!$B$5:$B$599,0)),$D272))</f>
        <v>TL/RPN</v>
      </c>
      <c r="AH272" t="str">
        <f>IF($C272="","",IFERROR(INDEX('Staff Directory'!$I$595:$I$599,MATCH($C272,'Staff Directory'!$B$5:$B$599,0))&amp;" "&amp;INDEX('Staff Directory'!$J$595:$J$599,MATCH($C272,'Staff Directory'!$B$5:$B$599,0)),$AG272))</f>
        <v>TL/RPN</v>
      </c>
      <c r="AI272" s="102"/>
      <c r="AJ272" s="101">
        <f>IF($F272="","",SUMIFS($J$5:$J272,$F$5:$F272,$F272))</f>
        <v>3760</v>
      </c>
      <c r="AK272" s="101">
        <f t="shared" si="49"/>
        <v>3681</v>
      </c>
      <c r="AL272" s="66" t="str" cm="1">
        <f t="array" ref="AL272">IF($F272="","",IFERROR(INDEX('Lot Balance'!$B$5:$B$500,MATCH(1,INDEX(('Lot Balance'!$A$5:$A$500=$F272)*('Lot Balance'!$K$5:$K$500&lt;$AK272)*('Lot Balance'!$K$5:$K$500+'Lot Balance'!$D$5:$D$500&gt;=$AK272),0),0)),""))</f>
        <v>LYSL500290</v>
      </c>
      <c r="AM272" s="66" t="str" cm="1">
        <f t="array" ref="AM272">IF($F272="","",IFERROR(INDEX('Lot Balance'!$B$5:$B$500,MATCH(1,INDEX(('Lot Balance'!$A$5:$A$500=$F272)*('Lot Balance'!$K$5:$K$500&lt;$AJ272)*('Lot Balance'!$K$5:$K$500+'Lot Balance'!$D$5:$D$500&gt;=$AJ272),0),0)),""))</f>
        <v>LYSL500290</v>
      </c>
      <c r="AN272" s="66" t="str">
        <f>IF($F272="","",IF($AI272&lt;&gt;"",IF(COUNTIFS('Lot Balance'!$A$5:$A$500,$F272,'Lot Balance'!$B$5:$B$500,$AI272)=0,"⚠ override is not a lot of this item",IF($AI272=$AL272,"Override = FEFO","Override - FEFO says "&amp;$AL272)),IF($AL272="","⚠ no receipt on file for this item",IF($AM272&lt;&gt;$AL272,"FEFO auto - split, also "&amp;$AM272,"FEFO auto"))))</f>
        <v>FEFO auto</v>
      </c>
      <c r="AO272" s="114"/>
    </row>
    <row r="273" spans="1:41" x14ac:dyDescent="0.35">
      <c r="A273" s="74">
        <v>46127</v>
      </c>
      <c r="B273" s="18" t="str">
        <f>IF($C273="","",IFERROR(INDEX('Staff Directory'!$A$5:$A$594,MATCH($C273,'Staff Directory'!$B$5:$B$594,0)),"⚠ unknown staff"))</f>
        <v>RN-050-A1</v>
      </c>
      <c r="C273" s="49" t="s">
        <v>975</v>
      </c>
      <c r="D273" s="19" t="str">
        <f>IF($B273="","",IFERROR(INDEX('Staff Directory'!$C$5:$C$594,MATCH($B273,'Staff Directory'!$A$5:$A$594,0)),""))</f>
        <v>RN</v>
      </c>
      <c r="E273" s="19" t="str">
        <f>IF($B273="","",IFERROR(INDEX('Staff Directory'!$D$5:$D$594,MATCH($B273,'Staff Directory'!$A$5:$A$594,0)),""))</f>
        <v>A1</v>
      </c>
      <c r="F273" s="9" t="s">
        <v>127</v>
      </c>
      <c r="G273" s="18" t="str">
        <f>IF($F273="","",IFERROR(INDEX(Items!$B$5:$B$597,MATCH($F273,Items!$A$5:$A$597,0)),"⚠ not in Items"))</f>
        <v>Gloves</v>
      </c>
      <c r="H273" s="19" t="str">
        <f>IF($F273="","",IFERROR(INDEX(Items!$C$5:$C$597,MATCH($F273,Items!$A$5:$A$597,0)),""))</f>
        <v>Medium</v>
      </c>
      <c r="I273" s="23">
        <f>IF($F273="","",IFERROR(INDEX(Items!$E$5:$E$597,MATCH($F273,Items!$A$5:$A$597,0)),""))</f>
        <v>500</v>
      </c>
      <c r="J273" s="115">
        <f>IF(tblIssues[[#This Row],[Qty Override]]&lt;&gt;"",tblIssues[[#This Row],[Qty Override]],IF(tblIssues[[#This Row],[Standard Issue]]="","",tblIssues[[#This Row],[Standard Issue]]))</f>
        <v>500</v>
      </c>
      <c r="K273" s="20">
        <f>IF($F273="","",IFERROR(INDEX(Items!$D$5:$D$597,MATCH($F273,Items!$A$5:$A$597,0)),""))</f>
        <v>5.5E-2</v>
      </c>
      <c r="L273" s="21">
        <f t="shared" si="50"/>
        <v>27.5</v>
      </c>
      <c r="M273" s="9" t="str">
        <f t="shared" si="51"/>
        <v>0312HIC25</v>
      </c>
      <c r="N273" s="24">
        <f>IF($A273="","",WORKDAY($A273,Settings!$C$9,HolidayDates))</f>
        <v>46135</v>
      </c>
      <c r="O273" s="24">
        <f>IF($N273="","",WORKDAY($N273,Settings!$C$10,HolidayDates))</f>
        <v>46175</v>
      </c>
      <c r="P273" s="10" t="s">
        <v>502</v>
      </c>
      <c r="Q273" s="52" t="str">
        <f t="shared" si="53"/>
        <v>Collected</v>
      </c>
      <c r="R273" s="55" t="str">
        <f t="shared" si="54"/>
        <v>2026-04</v>
      </c>
      <c r="S273" s="55">
        <f>IF(OR($B273="",$F273="",$R273=""),"",SUMIFS(tblIssues[Qty Issued],tblIssues[Staff ID],$B273,tblIssues[Item Name],$F273,tblIssues[Month],$R273))</f>
        <v>1000</v>
      </c>
      <c r="T273" s="56">
        <f>IF($I273="","",$I273*Settings!$C$11)</f>
        <v>500</v>
      </c>
      <c r="U273" s="57" t="str">
        <f t="shared" si="52"/>
        <v>⚠ OVER QUOTA</v>
      </c>
      <c r="V273" s="55" t="str">
        <f t="shared" si="55"/>
        <v>RN-050-A1 | Gloves - Medium | 2026-04</v>
      </c>
      <c r="W273" s="55">
        <f>IF($V273="","",IF(COUNTIF($V$5:$V273,$V273)=1,1,""))</f>
        <v>1</v>
      </c>
      <c r="X273" s="58">
        <f>IF($W273="","",MAX($X$4:X272)+1)</f>
        <v>6</v>
      </c>
      <c r="Y273" s="62"/>
      <c r="Z273" s="62"/>
      <c r="AA273" s="64" t="str">
        <f>IF($C273="","",IFERROR(INDEX('Staff Directory'!$E$5:$E$594,MATCH($C273,'Staff Directory'!$B$5:$B$594,0)),""))</f>
        <v>firstname059.lastname059@example.com</v>
      </c>
      <c r="AB273" s="64" t="str">
        <f>IF($C273="","",IF(ISNUMBER(SEARCH($D273,Settings!$C$15)),"Pickup","Dispatch"))</f>
        <v>Dispatch</v>
      </c>
      <c r="AC273" s="64" t="str">
        <f t="shared" si="56"/>
        <v>Supply order dispatched</v>
      </c>
      <c r="AD273" s="64" t="str">
        <f t="shared" si="47"/>
        <v>Dear RN,
Your order has been dispatched and is in transit. Reply if undelivered.</v>
      </c>
      <c r="AE273" s="64" t="str">
        <f t="shared" si="48"/>
        <v>mailto:firstname059.lastname059@example.com?subject=Supply%20order%20dispatched&amp;body=Dear%20RN%2C%0A%0AYour%20order%20has%20been%20dispatched%20and%20is%20in%20transit.%20Reply%20if%20undelivered.</v>
      </c>
      <c r="AF273" s="89" t="str">
        <f t="shared" si="57"/>
        <v>Draft email</v>
      </c>
      <c r="AG273" s="64" t="str">
        <f>IF($C273="","",IFERROR(INDEX('Staff Directory'!$K$595:$K$599,MATCH($C273,'Staff Directory'!$B$5:$B$599,0)),$D273))</f>
        <v>RN</v>
      </c>
      <c r="AH273" t="str">
        <f>IF($C273="","",IFERROR(INDEX('Staff Directory'!$I$595:$I$599,MATCH($C273,'Staff Directory'!$B$5:$B$599,0))&amp;" "&amp;INDEX('Staff Directory'!$J$595:$J$599,MATCH($C273,'Staff Directory'!$B$5:$B$599,0)),$AG273))</f>
        <v>RN</v>
      </c>
      <c r="AI273" s="102"/>
      <c r="AJ273" s="101">
        <f>IF($F273="","",SUMIFS($J$5:$J273,$F$5:$F273,$F273))</f>
        <v>17000</v>
      </c>
      <c r="AK273" s="101">
        <f t="shared" si="49"/>
        <v>16501</v>
      </c>
      <c r="AL273" s="66" t="str" cm="1">
        <f t="array" ref="AL273">IF($F273="","",IFERROR(INDEX('Lot Balance'!$B$5:$B$500,MATCH(1,INDEX(('Lot Balance'!$A$5:$A$500=$F273)*('Lot Balance'!$K$5:$K$500&lt;$AK273)*('Lot Balance'!$K$5:$K$500+'Lot Balance'!$D$5:$D$500&gt;=$AK273),0),0)),""))</f>
        <v>0312HIC25</v>
      </c>
      <c r="AM273" s="66" t="str" cm="1">
        <f t="array" ref="AM273">IF($F273="","",IFERROR(INDEX('Lot Balance'!$B$5:$B$500,MATCH(1,INDEX(('Lot Balance'!$A$5:$A$500=$F273)*('Lot Balance'!$K$5:$K$500&lt;$AJ273)*('Lot Balance'!$K$5:$K$500+'Lot Balance'!$D$5:$D$500&gt;=$AJ273),0),0)),""))</f>
        <v>0312HIC25</v>
      </c>
      <c r="AN273" s="66" t="str">
        <f>IF($F273="","",IF($AI273&lt;&gt;"",IF(COUNTIFS('Lot Balance'!$A$5:$A$500,$F273,'Lot Balance'!$B$5:$B$500,$AI273)=0,"⚠ override is not a lot of this item",IF($AI273=$AL273,"Override = FEFO","Override - FEFO says "&amp;$AL273)),IF($AL273="","⚠ no receipt on file for this item",IF($AM273&lt;&gt;$AL273,"FEFO auto - split, also "&amp;$AM273,"FEFO auto"))))</f>
        <v>FEFO auto</v>
      </c>
      <c r="AO273" s="114"/>
    </row>
    <row r="274" spans="1:41" x14ac:dyDescent="0.35">
      <c r="A274" s="74">
        <v>46127</v>
      </c>
      <c r="B274" s="18" t="str">
        <f>IF($C274="","",IFERROR(INDEX('Staff Directory'!$A$5:$A$594,MATCH($C274,'Staff Directory'!$B$5:$B$594,0)),"⚠ unknown staff"))</f>
        <v>RN-050-A1</v>
      </c>
      <c r="C274" s="49" t="s">
        <v>975</v>
      </c>
      <c r="D274" s="19" t="str">
        <f>IF($B274="","",IFERROR(INDEX('Staff Directory'!$C$5:$C$594,MATCH($B274,'Staff Directory'!$A$5:$A$594,0)),""))</f>
        <v>RN</v>
      </c>
      <c r="E274" s="19" t="str">
        <f>IF($B274="","",IFERROR(INDEX('Staff Directory'!$D$5:$D$594,MATCH($B274,'Staff Directory'!$A$5:$A$594,0)),""))</f>
        <v>A1</v>
      </c>
      <c r="F274" s="9" t="s">
        <v>127</v>
      </c>
      <c r="G274" s="18" t="str">
        <f>IF($F274="","",IFERROR(INDEX(Items!$B$5:$B$597,MATCH($F274,Items!$A$5:$A$597,0)),"⚠ not in Items"))</f>
        <v>Gloves</v>
      </c>
      <c r="H274" s="19" t="str">
        <f>IF($F274="","",IFERROR(INDEX(Items!$C$5:$C$597,MATCH($F274,Items!$A$5:$A$597,0)),""))</f>
        <v>Medium</v>
      </c>
      <c r="I274" s="23">
        <f>IF($F274="","",IFERROR(INDEX(Items!$E$5:$E$597,MATCH($F274,Items!$A$5:$A$597,0)),""))</f>
        <v>500</v>
      </c>
      <c r="J274" s="115">
        <f>IF(tblIssues[[#This Row],[Qty Override]]&lt;&gt;"",tblIssues[[#This Row],[Qty Override]],IF(tblIssues[[#This Row],[Standard Issue]]="","",tblIssues[[#This Row],[Standard Issue]]))</f>
        <v>500</v>
      </c>
      <c r="K274" s="20">
        <f>IF($F274="","",IFERROR(INDEX(Items!$D$5:$D$597,MATCH($F274,Items!$A$5:$A$597,0)),""))</f>
        <v>5.5E-2</v>
      </c>
      <c r="L274" s="21">
        <f t="shared" si="50"/>
        <v>27.5</v>
      </c>
      <c r="M274" s="9" t="str">
        <f t="shared" si="51"/>
        <v>0312HIC25</v>
      </c>
      <c r="N274" s="24">
        <f>IF($A274="","",WORKDAY($A274,Settings!$C$9,HolidayDates))</f>
        <v>46135</v>
      </c>
      <c r="O274" s="24">
        <f>IF($N274="","",WORKDAY($N274,Settings!$C$10,HolidayDates))</f>
        <v>46175</v>
      </c>
      <c r="P274" s="10" t="s">
        <v>502</v>
      </c>
      <c r="Q274" s="52" t="str">
        <f t="shared" si="53"/>
        <v>Collected</v>
      </c>
      <c r="R274" s="55" t="str">
        <f t="shared" si="54"/>
        <v>2026-04</v>
      </c>
      <c r="S274" s="55">
        <f>IF(OR($B274="",$F274="",$R274=""),"",SUMIFS(tblIssues[Qty Issued],tblIssues[Staff ID],$B274,tblIssues[Item Name],$F274,tblIssues[Month],$R274))</f>
        <v>1000</v>
      </c>
      <c r="T274" s="56">
        <f>IF($I274="","",$I274*Settings!$C$11)</f>
        <v>500</v>
      </c>
      <c r="U274" s="57" t="str">
        <f t="shared" si="52"/>
        <v>⚠ OVER QUOTA</v>
      </c>
      <c r="V274" s="55" t="str">
        <f t="shared" si="55"/>
        <v>RN-050-A1 | Gloves - Medium | 2026-04</v>
      </c>
      <c r="W274" s="55" t="str">
        <f>IF($V274="","",IF(COUNTIF($V$5:$V274,$V274)=1,1,""))</f>
        <v/>
      </c>
      <c r="X274" s="58" t="str">
        <f>IF($W274="","",MAX($X$4:X273)+1)</f>
        <v/>
      </c>
      <c r="Y274" s="62"/>
      <c r="Z274" s="62"/>
      <c r="AA274" s="64" t="str">
        <f>IF($C274="","",IFERROR(INDEX('Staff Directory'!$E$5:$E$594,MATCH($C274,'Staff Directory'!$B$5:$B$594,0)),""))</f>
        <v>firstname059.lastname059@example.com</v>
      </c>
      <c r="AB274" s="64" t="str">
        <f>IF($C274="","",IF(ISNUMBER(SEARCH($D274,Settings!$C$15)),"Pickup","Dispatch"))</f>
        <v>Dispatch</v>
      </c>
      <c r="AC274" s="64" t="str">
        <f t="shared" si="56"/>
        <v>Supply order dispatched</v>
      </c>
      <c r="AD274" s="64" t="str">
        <f t="shared" si="47"/>
        <v>Dear RN,
Your order has been dispatched and is in transit. Reply if undelivered.</v>
      </c>
      <c r="AE274" s="64" t="str">
        <f t="shared" si="48"/>
        <v>mailto:firstname059.lastname059@example.com?subject=Supply%20order%20dispatched&amp;body=Dear%20RN%2C%0A%0AYour%20order%20has%20been%20dispatched%20and%20is%20in%20transit.%20Reply%20if%20undelivered.</v>
      </c>
      <c r="AF274" s="89" t="str">
        <f t="shared" si="57"/>
        <v>Draft email</v>
      </c>
      <c r="AG274" s="64" t="str">
        <f>IF($C274="","",IFERROR(INDEX('Staff Directory'!$K$595:$K$599,MATCH($C274,'Staff Directory'!$B$5:$B$599,0)),$D274))</f>
        <v>RN</v>
      </c>
      <c r="AH274" t="str">
        <f>IF($C274="","",IFERROR(INDEX('Staff Directory'!$I$595:$I$599,MATCH($C274,'Staff Directory'!$B$5:$B$599,0))&amp;" "&amp;INDEX('Staff Directory'!$J$595:$J$599,MATCH($C274,'Staff Directory'!$B$5:$B$599,0)),$AG274))</f>
        <v>RN</v>
      </c>
      <c r="AI274" s="102"/>
      <c r="AJ274" s="101">
        <f>IF($F274="","",SUMIFS($J$5:$J274,$F$5:$F274,$F274))</f>
        <v>17500</v>
      </c>
      <c r="AK274" s="101">
        <f t="shared" si="49"/>
        <v>17001</v>
      </c>
      <c r="AL274" s="66" t="str" cm="1">
        <f t="array" ref="AL274">IF($F274="","",IFERROR(INDEX('Lot Balance'!$B$5:$B$500,MATCH(1,INDEX(('Lot Balance'!$A$5:$A$500=$F274)*('Lot Balance'!$K$5:$K$500&lt;$AK274)*('Lot Balance'!$K$5:$K$500+'Lot Balance'!$D$5:$D$500&gt;=$AK274),0),0)),""))</f>
        <v>0312HIC25</v>
      </c>
      <c r="AM274" s="66" t="str" cm="1">
        <f t="array" ref="AM274">IF($F274="","",IFERROR(INDEX('Lot Balance'!$B$5:$B$500,MATCH(1,INDEX(('Lot Balance'!$A$5:$A$500=$F274)*('Lot Balance'!$K$5:$K$500&lt;$AJ274)*('Lot Balance'!$K$5:$K$500+'Lot Balance'!$D$5:$D$500&gt;=$AJ274),0),0)),""))</f>
        <v>0312HIC25</v>
      </c>
      <c r="AN274" s="66" t="str">
        <f>IF($F274="","",IF($AI274&lt;&gt;"",IF(COUNTIFS('Lot Balance'!$A$5:$A$500,$F274,'Lot Balance'!$B$5:$B$500,$AI274)=0,"⚠ override is not a lot of this item",IF($AI274=$AL274,"Override = FEFO","Override - FEFO says "&amp;$AL274)),IF($AL274="","⚠ no receipt on file for this item",IF($AM274&lt;&gt;$AL274,"FEFO auto - split, also "&amp;$AM274,"FEFO auto"))))</f>
        <v>FEFO auto</v>
      </c>
      <c r="AO274" s="114"/>
    </row>
    <row r="275" spans="1:41" x14ac:dyDescent="0.35">
      <c r="A275" s="74">
        <v>46127</v>
      </c>
      <c r="B275" s="18" t="str">
        <f>IF($C275="","",IFERROR(INDEX('Staff Directory'!$A$5:$A$594,MATCH($C275,'Staff Directory'!$B$5:$B$594,0)),"⚠ unknown staff"))</f>
        <v>RN-050-A1</v>
      </c>
      <c r="C275" s="49" t="s">
        <v>975</v>
      </c>
      <c r="D275" s="19" t="str">
        <f>IF($B275="","",IFERROR(INDEX('Staff Directory'!$C$5:$C$594,MATCH($B275,'Staff Directory'!$A$5:$A$594,0)),""))</f>
        <v>RN</v>
      </c>
      <c r="E275" s="19" t="str">
        <f>IF($B275="","",IFERROR(INDEX('Staff Directory'!$D$5:$D$594,MATCH($B275,'Staff Directory'!$A$5:$A$594,0)),""))</f>
        <v>A1</v>
      </c>
      <c r="F275" s="9" t="s">
        <v>191</v>
      </c>
      <c r="G275" s="18" t="str">
        <f>IF($F275="","",IFERROR(INDEX(Items!$B$5:$B$597,MATCH($F275,Items!$A$5:$A$597,0)),"⚠ not in Items"))</f>
        <v>Sanitizer</v>
      </c>
      <c r="H275" s="19" t="str">
        <f>IF($F275="","",IFERROR(INDEX(Items!$C$5:$C$597,MATCH($F275,Items!$A$5:$A$597,0)),""))</f>
        <v>236 ML</v>
      </c>
      <c r="I275" s="23">
        <f>IF($F275="","",IFERROR(INDEX(Items!$E$5:$E$597,MATCH($F275,Items!$A$5:$A$597,0)),""))</f>
        <v>1</v>
      </c>
      <c r="J275" s="115">
        <f>IF(tblIssues[[#This Row],[Qty Override]]&lt;&gt;"",tblIssues[[#This Row],[Qty Override]],IF(tblIssues[[#This Row],[Standard Issue]]="","",tblIssues[[#This Row],[Standard Issue]]))</f>
        <v>1</v>
      </c>
      <c r="K275" s="20">
        <f>IF($F275="","",IFERROR(INDEX(Items!$D$5:$D$597,MATCH($F275,Items!$A$5:$A$597,0)),""))</f>
        <v>1E-4</v>
      </c>
      <c r="L275" s="21">
        <f t="shared" si="50"/>
        <v>1E-4</v>
      </c>
      <c r="M275" s="9" t="str">
        <f t="shared" si="51"/>
        <v>20-21734-1</v>
      </c>
      <c r="N275" s="24">
        <f>IF($A275="","",WORKDAY($A275,Settings!$C$9,HolidayDates))</f>
        <v>46135</v>
      </c>
      <c r="O275" s="24">
        <f>IF($N275="","",WORKDAY($N275,Settings!$C$10,HolidayDates))</f>
        <v>46175</v>
      </c>
      <c r="P275" s="10" t="s">
        <v>502</v>
      </c>
      <c r="Q275" s="52" t="str">
        <f t="shared" si="53"/>
        <v>Collected</v>
      </c>
      <c r="R275" s="55" t="str">
        <f t="shared" si="54"/>
        <v>2026-04</v>
      </c>
      <c r="S275" s="55">
        <f>IF(OR($B275="",$F275="",$R275=""),"",SUMIFS(tblIssues[Qty Issued],tblIssues[Staff ID],$B275,tblIssues[Item Name],$F275,tblIssues[Month],$R275))</f>
        <v>1</v>
      </c>
      <c r="T275" s="56">
        <f>IF($I275="","",$I275*Settings!$C$11)</f>
        <v>1</v>
      </c>
      <c r="U275" s="57" t="str">
        <f t="shared" si="52"/>
        <v>OK</v>
      </c>
      <c r="V275" s="55" t="str">
        <f t="shared" si="55"/>
        <v/>
      </c>
      <c r="W275" s="55" t="str">
        <f>IF($V275="","",IF(COUNTIF($V$5:$V275,$V275)=1,1,""))</f>
        <v/>
      </c>
      <c r="X275" s="58" t="str">
        <f>IF($W275="","",MAX($X$4:X274)+1)</f>
        <v/>
      </c>
      <c r="Y275" s="62"/>
      <c r="Z275" s="62"/>
      <c r="AA275" s="64" t="str">
        <f>IF($C275="","",IFERROR(INDEX('Staff Directory'!$E$5:$E$594,MATCH($C275,'Staff Directory'!$B$5:$B$594,0)),""))</f>
        <v>firstname059.lastname059@example.com</v>
      </c>
      <c r="AB275" s="64" t="str">
        <f>IF($C275="","",IF(ISNUMBER(SEARCH($D275,Settings!$C$15)),"Pickup","Dispatch"))</f>
        <v>Dispatch</v>
      </c>
      <c r="AC275" s="64" t="str">
        <f t="shared" si="56"/>
        <v>Supply order dispatched</v>
      </c>
      <c r="AD275" s="64" t="str">
        <f t="shared" si="47"/>
        <v>Dear RN,
Your order has been dispatched and is in transit. Reply if undelivered.</v>
      </c>
      <c r="AE275" s="64" t="str">
        <f t="shared" si="48"/>
        <v>mailto:firstname059.lastname059@example.com?subject=Supply%20order%20dispatched&amp;body=Dear%20RN%2C%0A%0AYour%20order%20has%20been%20dispatched%20and%20is%20in%20transit.%20Reply%20if%20undelivered.</v>
      </c>
      <c r="AF275" s="89" t="str">
        <f t="shared" si="57"/>
        <v>Draft email</v>
      </c>
      <c r="AG275" s="64" t="str">
        <f>IF($C275="","",IFERROR(INDEX('Staff Directory'!$K$595:$K$599,MATCH($C275,'Staff Directory'!$B$5:$B$599,0)),$D275))</f>
        <v>RN</v>
      </c>
      <c r="AH275" t="str">
        <f>IF($C275="","",IFERROR(INDEX('Staff Directory'!$I$595:$I$599,MATCH($C275,'Staff Directory'!$B$5:$B$599,0))&amp;" "&amp;INDEX('Staff Directory'!$J$595:$J$599,MATCH($C275,'Staff Directory'!$B$5:$B$599,0)),$AG275))</f>
        <v>RN</v>
      </c>
      <c r="AI275" s="102"/>
      <c r="AJ275" s="101">
        <f>IF($F275="","",SUMIFS($J$5:$J275,$F$5:$F275,$F275))</f>
        <v>12</v>
      </c>
      <c r="AK275" s="101">
        <f t="shared" si="49"/>
        <v>12</v>
      </c>
      <c r="AL275" s="66" t="str" cm="1">
        <f t="array" ref="AL275">IF($F275="","",IFERROR(INDEX('Lot Balance'!$B$5:$B$500,MATCH(1,INDEX(('Lot Balance'!$A$5:$A$500=$F275)*('Lot Balance'!$K$5:$K$500&lt;$AK275)*('Lot Balance'!$K$5:$K$500+'Lot Balance'!$D$5:$D$500&gt;=$AK275),0),0)),""))</f>
        <v>20-21734-1</v>
      </c>
      <c r="AM275" s="66" t="str" cm="1">
        <f t="array" ref="AM275">IF($F275="","",IFERROR(INDEX('Lot Balance'!$B$5:$B$500,MATCH(1,INDEX(('Lot Balance'!$A$5:$A$500=$F275)*('Lot Balance'!$K$5:$K$500&lt;$AJ275)*('Lot Balance'!$K$5:$K$500+'Lot Balance'!$D$5:$D$500&gt;=$AJ275),0),0)),""))</f>
        <v>20-21734-1</v>
      </c>
      <c r="AN275" s="66" t="str">
        <f>IF($F275="","",IF($AI275&lt;&gt;"",IF(COUNTIFS('Lot Balance'!$A$5:$A$500,$F275,'Lot Balance'!$B$5:$B$500,$AI275)=0,"⚠ override is not a lot of this item",IF($AI275=$AL275,"Override = FEFO","Override - FEFO says "&amp;$AL275)),IF($AL275="","⚠ no receipt on file for this item",IF($AM275&lt;&gt;$AL275,"FEFO auto - split, also "&amp;$AM275,"FEFO auto"))))</f>
        <v>FEFO auto</v>
      </c>
      <c r="AO275" s="114"/>
    </row>
    <row r="276" spans="1:41" x14ac:dyDescent="0.35">
      <c r="A276" s="74">
        <v>46127</v>
      </c>
      <c r="B276" s="18" t="str">
        <f>IF($C276="","",IFERROR(INDEX('Staff Directory'!$A$5:$A$594,MATCH($C276,'Staff Directory'!$B$5:$B$594,0)),"⚠ unknown staff"))</f>
        <v>RN-050-A1</v>
      </c>
      <c r="C276" s="49" t="s">
        <v>975</v>
      </c>
      <c r="D276" s="19" t="str">
        <f>IF($B276="","",IFERROR(INDEX('Staff Directory'!$C$5:$C$594,MATCH($B276,'Staff Directory'!$A$5:$A$594,0)),""))</f>
        <v>RN</v>
      </c>
      <c r="E276" s="19" t="str">
        <f>IF($B276="","",IFERROR(INDEX('Staff Directory'!$D$5:$D$594,MATCH($B276,'Staff Directory'!$A$5:$A$594,0)),""))</f>
        <v>A1</v>
      </c>
      <c r="F276" s="9" t="s">
        <v>156</v>
      </c>
      <c r="G276" s="18" t="str">
        <f>IF($F276="","",IFERROR(INDEX(Items!$B$5:$B$597,MATCH($F276,Items!$A$5:$A$597,0)),"⚠ not in Items"))</f>
        <v>Masks</v>
      </c>
      <c r="H276" s="19" t="str">
        <f>IF($F276="","",IFERROR(INDEX(Items!$C$5:$C$597,MATCH($F276,Items!$A$5:$A$597,0)),""))</f>
        <v>One Size</v>
      </c>
      <c r="I276" s="23">
        <f>IF($F276="","",IFERROR(INDEX(Items!$E$5:$E$597,MATCH($F276,Items!$A$5:$A$597,0)),""))</f>
        <v>50</v>
      </c>
      <c r="J276" s="115">
        <f>IF(tblIssues[[#This Row],[Qty Override]]&lt;&gt;"",tblIssues[[#This Row],[Qty Override]],IF(tblIssues[[#This Row],[Standard Issue]]="","",tblIssues[[#This Row],[Standard Issue]]))</f>
        <v>50</v>
      </c>
      <c r="K276" s="20">
        <f>IF($F276="","",IFERROR(INDEX(Items!$D$5:$D$597,MATCH($F276,Items!$A$5:$A$597,0)),""))</f>
        <v>0.25</v>
      </c>
      <c r="L276" s="21">
        <f t="shared" si="50"/>
        <v>12.5</v>
      </c>
      <c r="M276" s="9" t="str">
        <f t="shared" si="51"/>
        <v>0125FPC24-0</v>
      </c>
      <c r="N276" s="24">
        <f>IF($A276="","",WORKDAY($A276,Settings!$C$9,HolidayDates))</f>
        <v>46135</v>
      </c>
      <c r="O276" s="24">
        <f>IF($N276="","",WORKDAY($N276,Settings!$C$10,HolidayDates))</f>
        <v>46175</v>
      </c>
      <c r="P276" s="10" t="s">
        <v>502</v>
      </c>
      <c r="Q276" s="52" t="str">
        <f t="shared" si="53"/>
        <v>Collected</v>
      </c>
      <c r="R276" s="55" t="str">
        <f t="shared" si="54"/>
        <v>2026-04</v>
      </c>
      <c r="S276" s="55">
        <f>IF(OR($B276="",$F276="",$R276=""),"",SUMIFS(tblIssues[Qty Issued],tblIssues[Staff ID],$B276,tblIssues[Item Name],$F276,tblIssues[Month],$R276))</f>
        <v>50</v>
      </c>
      <c r="T276" s="56">
        <f>IF($I276="","",$I276*Settings!$C$11)</f>
        <v>50</v>
      </c>
      <c r="U276" s="57" t="str">
        <f t="shared" si="52"/>
        <v>OK</v>
      </c>
      <c r="V276" s="55" t="str">
        <f t="shared" si="55"/>
        <v/>
      </c>
      <c r="W276" s="55" t="str">
        <f>IF($V276="","",IF(COUNTIF($V$5:$V276,$V276)=1,1,""))</f>
        <v/>
      </c>
      <c r="X276" s="58" t="str">
        <f>IF($W276="","",MAX($X$4:X275)+1)</f>
        <v/>
      </c>
      <c r="Y276" s="62"/>
      <c r="Z276" s="62"/>
      <c r="AA276" s="64" t="str">
        <f>IF($C276="","",IFERROR(INDEX('Staff Directory'!$E$5:$E$594,MATCH($C276,'Staff Directory'!$B$5:$B$594,0)),""))</f>
        <v>firstname059.lastname059@example.com</v>
      </c>
      <c r="AB276" s="64" t="str">
        <f>IF($C276="","",IF(ISNUMBER(SEARCH($D276,Settings!$C$15)),"Pickup","Dispatch"))</f>
        <v>Dispatch</v>
      </c>
      <c r="AC276" s="64" t="str">
        <f t="shared" si="56"/>
        <v>Supply order dispatched</v>
      </c>
      <c r="AD276" s="64" t="str">
        <f t="shared" si="47"/>
        <v>Dear RN,
Your order has been dispatched and is in transit. Reply if undelivered.</v>
      </c>
      <c r="AE276" s="64" t="str">
        <f t="shared" si="48"/>
        <v>mailto:firstname059.lastname059@example.com?subject=Supply%20order%20dispatched&amp;body=Dear%20RN%2C%0A%0AYour%20order%20has%20been%20dispatched%20and%20is%20in%20transit.%20Reply%20if%20undelivered.</v>
      </c>
      <c r="AF276" s="89" t="str">
        <f t="shared" si="57"/>
        <v>Draft email</v>
      </c>
      <c r="AG276" s="64" t="str">
        <f>IF($C276="","",IFERROR(INDEX('Staff Directory'!$K$595:$K$599,MATCH($C276,'Staff Directory'!$B$5:$B$599,0)),$D276))</f>
        <v>RN</v>
      </c>
      <c r="AH276" t="str">
        <f>IF($C276="","",IFERROR(INDEX('Staff Directory'!$I$595:$I$599,MATCH($C276,'Staff Directory'!$B$5:$B$599,0))&amp;" "&amp;INDEX('Staff Directory'!$J$595:$J$599,MATCH($C276,'Staff Directory'!$B$5:$B$599,0)),$AG276))</f>
        <v>RN</v>
      </c>
      <c r="AI276" s="102"/>
      <c r="AJ276" s="101">
        <f>IF($F276="","",SUMIFS($J$5:$J276,$F$5:$F276,$F276))</f>
        <v>2000</v>
      </c>
      <c r="AK276" s="101">
        <f t="shared" si="49"/>
        <v>1951</v>
      </c>
      <c r="AL276" s="66" t="str" cm="1">
        <f t="array" ref="AL276">IF($F276="","",IFERROR(INDEX('Lot Balance'!$B$5:$B$500,MATCH(1,INDEX(('Lot Balance'!$A$5:$A$500=$F276)*('Lot Balance'!$K$5:$K$500&lt;$AK276)*('Lot Balance'!$K$5:$K$500+'Lot Balance'!$D$5:$D$500&gt;=$AK276),0),0)),""))</f>
        <v>0125FPC24-0</v>
      </c>
      <c r="AM276" s="66" t="str" cm="1">
        <f t="array" ref="AM276">IF($F276="","",IFERROR(INDEX('Lot Balance'!$B$5:$B$500,MATCH(1,INDEX(('Lot Balance'!$A$5:$A$500=$F276)*('Lot Balance'!$K$5:$K$500&lt;$AJ276)*('Lot Balance'!$K$5:$K$500+'Lot Balance'!$D$5:$D$500&gt;=$AJ276),0),0)),""))</f>
        <v>0125FPC24-0</v>
      </c>
      <c r="AN276" s="66" t="str">
        <f>IF($F276="","",IF($AI276&lt;&gt;"",IF(COUNTIFS('Lot Balance'!$A$5:$A$500,$F276,'Lot Balance'!$B$5:$B$500,$AI276)=0,"⚠ override is not a lot of this item",IF($AI276=$AL276,"Override = FEFO","Override - FEFO says "&amp;$AL276)),IF($AL276="","⚠ no receipt on file for this item",IF($AM276&lt;&gt;$AL276,"FEFO auto - split, also "&amp;$AM276,"FEFO auto"))))</f>
        <v>FEFO auto</v>
      </c>
      <c r="AO276" s="114"/>
    </row>
    <row r="277" spans="1:41" x14ac:dyDescent="0.35">
      <c r="A277" s="74">
        <v>46127</v>
      </c>
      <c r="B277" s="18" t="str">
        <f>IF($C277="","",IFERROR(INDEX('Staff Directory'!$A$5:$A$594,MATCH($C277,'Staff Directory'!$B$5:$B$594,0)),"⚠ unknown staff"))</f>
        <v>RN-050-A1</v>
      </c>
      <c r="C277" s="49" t="s">
        <v>975</v>
      </c>
      <c r="D277" s="19" t="str">
        <f>IF($B277="","",IFERROR(INDEX('Staff Directory'!$C$5:$C$594,MATCH($B277,'Staff Directory'!$A$5:$A$594,0)),""))</f>
        <v>RN</v>
      </c>
      <c r="E277" s="19" t="str">
        <f>IF($B277="","",IFERROR(INDEX('Staff Directory'!$D$5:$D$594,MATCH($B277,'Staff Directory'!$A$5:$A$594,0)),""))</f>
        <v>A1</v>
      </c>
      <c r="F277" s="9" t="s">
        <v>147</v>
      </c>
      <c r="G277" s="18" t="str">
        <f>IF($F277="","",IFERROR(INDEX(Items!$B$5:$B$597,MATCH($F277,Items!$A$5:$A$597,0)),"⚠ not in Items"))</f>
        <v>Apparel</v>
      </c>
      <c r="H277" s="19" t="str">
        <f>IF($F277="","",IFERROR(INDEX(Items!$C$5:$C$597,MATCH($F277,Items!$A$5:$A$597,0)),""))</f>
        <v>One Size</v>
      </c>
      <c r="I277" s="23">
        <f>IF($F277="","",IFERROR(INDEX(Items!$E$5:$E$597,MATCH($F277,Items!$A$5:$A$597,0)),""))</f>
        <v>5</v>
      </c>
      <c r="J277" s="115">
        <f>IF(tblIssues[[#This Row],[Qty Override]]&lt;&gt;"",tblIssues[[#This Row],[Qty Override]],IF(tblIssues[[#This Row],[Standard Issue]]="","",tblIssues[[#This Row],[Standard Issue]]))</f>
        <v>5</v>
      </c>
      <c r="K277" s="20">
        <f>IF($F277="","",IFERROR(INDEX(Items!$D$5:$D$597,MATCH($F277,Items!$A$5:$A$597,0)),""))</f>
        <v>3</v>
      </c>
      <c r="L277" s="21">
        <f t="shared" si="50"/>
        <v>15</v>
      </c>
      <c r="M277" s="9" t="str">
        <f t="shared" si="51"/>
        <v>YG500280</v>
      </c>
      <c r="N277" s="24">
        <f>IF($A277="","",WORKDAY($A277,Settings!$C$9,HolidayDates))</f>
        <v>46135</v>
      </c>
      <c r="O277" s="24">
        <f>IF($N277="","",WORKDAY($N277,Settings!$C$10,HolidayDates))</f>
        <v>46175</v>
      </c>
      <c r="P277" s="10" t="s">
        <v>502</v>
      </c>
      <c r="Q277" s="52" t="str">
        <f t="shared" si="53"/>
        <v>Collected</v>
      </c>
      <c r="R277" s="55" t="str">
        <f t="shared" si="54"/>
        <v>2026-04</v>
      </c>
      <c r="S277" s="55">
        <f>IF(OR($B277="",$F277="",$R277=""),"",SUMIFS(tblIssues[Qty Issued],tblIssues[Staff ID],$B277,tblIssues[Item Name],$F277,tblIssues[Month],$R277))</f>
        <v>5</v>
      </c>
      <c r="T277" s="56">
        <f>IF($I277="","",$I277*Settings!$C$11)</f>
        <v>5</v>
      </c>
      <c r="U277" s="57" t="str">
        <f t="shared" si="52"/>
        <v>OK</v>
      </c>
      <c r="V277" s="55" t="str">
        <f t="shared" si="55"/>
        <v/>
      </c>
      <c r="W277" s="55" t="str">
        <f>IF($V277="","",IF(COUNTIF($V$5:$V277,$V277)=1,1,""))</f>
        <v/>
      </c>
      <c r="X277" s="58" t="str">
        <f>IF($W277="","",MAX($X$4:X276)+1)</f>
        <v/>
      </c>
      <c r="Y277" s="62"/>
      <c r="Z277" s="62"/>
      <c r="AA277" s="64" t="str">
        <f>IF($C277="","",IFERROR(INDEX('Staff Directory'!$E$5:$E$594,MATCH($C277,'Staff Directory'!$B$5:$B$594,0)),""))</f>
        <v>firstname059.lastname059@example.com</v>
      </c>
      <c r="AB277" s="64" t="str">
        <f>IF($C277="","",IF(ISNUMBER(SEARCH($D277,Settings!$C$15)),"Pickup","Dispatch"))</f>
        <v>Dispatch</v>
      </c>
      <c r="AC277" s="64" t="str">
        <f t="shared" si="56"/>
        <v>Supply order dispatched</v>
      </c>
      <c r="AD277" s="64" t="str">
        <f t="shared" si="47"/>
        <v>Dear RN,
Your order has been dispatched and is in transit. Reply if undelivered.</v>
      </c>
      <c r="AE277" s="64" t="str">
        <f t="shared" si="48"/>
        <v>mailto:firstname059.lastname059@example.com?subject=Supply%20order%20dispatched&amp;body=Dear%20RN%2C%0A%0AYour%20order%20has%20been%20dispatched%20and%20is%20in%20transit.%20Reply%20if%20undelivered.</v>
      </c>
      <c r="AF277" s="89" t="str">
        <f t="shared" si="57"/>
        <v>Draft email</v>
      </c>
      <c r="AG277" s="64" t="str">
        <f>IF($C277="","",IFERROR(INDEX('Staff Directory'!$K$595:$K$599,MATCH($C277,'Staff Directory'!$B$5:$B$599,0)),$D277))</f>
        <v>RN</v>
      </c>
      <c r="AH277" t="str">
        <f>IF($C277="","",IFERROR(INDEX('Staff Directory'!$I$595:$I$599,MATCH($C277,'Staff Directory'!$B$5:$B$599,0))&amp;" "&amp;INDEX('Staff Directory'!$J$595:$J$599,MATCH($C277,'Staff Directory'!$B$5:$B$599,0)),$AG277))</f>
        <v>RN</v>
      </c>
      <c r="AI277" s="102"/>
      <c r="AJ277" s="101">
        <f>IF($F277="","",SUMIFS($J$5:$J277,$F$5:$F277,$F277))</f>
        <v>20</v>
      </c>
      <c r="AK277" s="101">
        <f t="shared" si="49"/>
        <v>16</v>
      </c>
      <c r="AL277" s="66" t="str" cm="1">
        <f t="array" ref="AL277">IF($F277="","",IFERROR(INDEX('Lot Balance'!$B$5:$B$500,MATCH(1,INDEX(('Lot Balance'!$A$5:$A$500=$F277)*('Lot Balance'!$K$5:$K$500&lt;$AK277)*('Lot Balance'!$K$5:$K$500+'Lot Balance'!$D$5:$D$500&gt;=$AK277),0),0)),""))</f>
        <v>YG500280</v>
      </c>
      <c r="AM277" s="66" t="str" cm="1">
        <f t="array" ref="AM277">IF($F277="","",IFERROR(INDEX('Lot Balance'!$B$5:$B$500,MATCH(1,INDEX(('Lot Balance'!$A$5:$A$500=$F277)*('Lot Balance'!$K$5:$K$500&lt;$AJ277)*('Lot Balance'!$K$5:$K$500+'Lot Balance'!$D$5:$D$500&gt;=$AJ277),0),0)),""))</f>
        <v>YG500280</v>
      </c>
      <c r="AN277" s="66" t="str">
        <f>IF($F277="","",IF($AI277&lt;&gt;"",IF(COUNTIFS('Lot Balance'!$A$5:$A$500,$F277,'Lot Balance'!$B$5:$B$500,$AI277)=0,"⚠ override is not a lot of this item",IF($AI277=$AL277,"Override = FEFO","Override - FEFO says "&amp;$AL277)),IF($AL277="","⚠ no receipt on file for this item",IF($AM277&lt;&gt;$AL277,"FEFO auto - split, also "&amp;$AM277,"FEFO auto"))))</f>
        <v>FEFO auto</v>
      </c>
      <c r="AO277" s="114"/>
    </row>
    <row r="278" spans="1:41" x14ac:dyDescent="0.35">
      <c r="A278" s="74">
        <v>46127</v>
      </c>
      <c r="B278" s="18" t="str">
        <f>IF($C278="","",IFERROR(INDEX('Staff Directory'!$A$5:$A$594,MATCH($C278,'Staff Directory'!$B$5:$B$594,0)),"⚠ unknown staff"))</f>
        <v>RN-050-A1</v>
      </c>
      <c r="C278" s="49" t="s">
        <v>975</v>
      </c>
      <c r="D278" s="19" t="str">
        <f>IF($B278="","",IFERROR(INDEX('Staff Directory'!$C$5:$C$594,MATCH($B278,'Staff Directory'!$A$5:$A$594,0)),""))</f>
        <v>RN</v>
      </c>
      <c r="E278" s="19" t="str">
        <f>IF($B278="","",IFERROR(INDEX('Staff Directory'!$D$5:$D$594,MATCH($B278,'Staff Directory'!$A$5:$A$594,0)),""))</f>
        <v>A1</v>
      </c>
      <c r="F278" s="9" t="s">
        <v>102</v>
      </c>
      <c r="G278" s="18" t="str">
        <f>IF($F278="","",IFERROR(INDEX(Items!$B$5:$B$597,MATCH($F278,Items!$A$5:$A$597,0)),"⚠ not in Items"))</f>
        <v>Masks</v>
      </c>
      <c r="H278" s="19" t="str">
        <f>IF($F278="","",IFERROR(INDEX(Items!$C$5:$C$597,MATCH($F278,Items!$A$5:$A$597,0)),""))</f>
        <v>One Size</v>
      </c>
      <c r="I278" s="23">
        <f>IF($F278="","",IFERROR(INDEX(Items!$E$5:$E$597,MATCH($F278,Items!$A$5:$A$597,0)),""))</f>
        <v>5</v>
      </c>
      <c r="J278" s="115">
        <f>IF(tblIssues[[#This Row],[Qty Override]]&lt;&gt;"",tblIssues[[#This Row],[Qty Override]],IF(tblIssues[[#This Row],[Standard Issue]]="","",tblIssues[[#This Row],[Standard Issue]]))</f>
        <v>5</v>
      </c>
      <c r="K278" s="20">
        <f>IF($F278="","",IFERROR(INDEX(Items!$D$5:$D$597,MATCH($F278,Items!$A$5:$A$597,0)),""))</f>
        <v>2.0499999999999998</v>
      </c>
      <c r="L278" s="21">
        <f t="shared" si="50"/>
        <v>10.25</v>
      </c>
      <c r="M278" s="9" t="str">
        <f t="shared" si="51"/>
        <v>N955003715</v>
      </c>
      <c r="N278" s="24">
        <f>IF($A278="","",WORKDAY($A278,Settings!$C$9,HolidayDates))</f>
        <v>46135</v>
      </c>
      <c r="O278" s="24">
        <f>IF($N278="","",WORKDAY($N278,Settings!$C$10,HolidayDates))</f>
        <v>46175</v>
      </c>
      <c r="P278" s="10" t="s">
        <v>502</v>
      </c>
      <c r="Q278" s="52" t="str">
        <f t="shared" si="53"/>
        <v>Collected</v>
      </c>
      <c r="R278" s="55" t="str">
        <f t="shared" si="54"/>
        <v>2026-04</v>
      </c>
      <c r="S278" s="55">
        <f>IF(OR($B278="",$F278="",$R278=""),"",SUMIFS(tblIssues[Qty Issued],tblIssues[Staff ID],$B278,tblIssues[Item Name],$F278,tblIssues[Month],$R278))</f>
        <v>5</v>
      </c>
      <c r="T278" s="56">
        <f>IF($I278="","",$I278*Settings!$C$11)</f>
        <v>5</v>
      </c>
      <c r="U278" s="57" t="str">
        <f t="shared" si="52"/>
        <v>OK</v>
      </c>
      <c r="V278" s="55" t="str">
        <f t="shared" si="55"/>
        <v/>
      </c>
      <c r="W278" s="55" t="str">
        <f>IF($V278="","",IF(COUNTIF($V$5:$V278,$V278)=1,1,""))</f>
        <v/>
      </c>
      <c r="X278" s="58" t="str">
        <f>IF($W278="","",MAX($X$4:X277)+1)</f>
        <v/>
      </c>
      <c r="Y278" s="62"/>
      <c r="Z278" s="62"/>
      <c r="AA278" s="64" t="str">
        <f>IF($C278="","",IFERROR(INDEX('Staff Directory'!$E$5:$E$594,MATCH($C278,'Staff Directory'!$B$5:$B$594,0)),""))</f>
        <v>firstname059.lastname059@example.com</v>
      </c>
      <c r="AB278" s="64" t="str">
        <f>IF($C278="","",IF(ISNUMBER(SEARCH($D278,Settings!$C$15)),"Pickup","Dispatch"))</f>
        <v>Dispatch</v>
      </c>
      <c r="AC278" s="64" t="str">
        <f t="shared" si="56"/>
        <v>Supply order dispatched</v>
      </c>
      <c r="AD278" s="64" t="str">
        <f t="shared" si="47"/>
        <v>Dear RN,
Your order has been dispatched and is in transit. Reply if undelivered.</v>
      </c>
      <c r="AE278" s="64" t="str">
        <f t="shared" si="48"/>
        <v>mailto:firstname059.lastname059@example.com?subject=Supply%20order%20dispatched&amp;body=Dear%20RN%2C%0A%0AYour%20order%20has%20been%20dispatched%20and%20is%20in%20transit.%20Reply%20if%20undelivered.</v>
      </c>
      <c r="AF278" s="89" t="str">
        <f t="shared" si="57"/>
        <v>Draft email</v>
      </c>
      <c r="AG278" s="64" t="str">
        <f>IF($C278="","",IFERROR(INDEX('Staff Directory'!$K$595:$K$599,MATCH($C278,'Staff Directory'!$B$5:$B$599,0)),$D278))</f>
        <v>RN</v>
      </c>
      <c r="AH278" t="str">
        <f>IF($C278="","",IFERROR(INDEX('Staff Directory'!$I$595:$I$599,MATCH($C278,'Staff Directory'!$B$5:$B$599,0))&amp;" "&amp;INDEX('Staff Directory'!$J$595:$J$599,MATCH($C278,'Staff Directory'!$B$5:$B$599,0)),$AG278))</f>
        <v>RN</v>
      </c>
      <c r="AI278" s="102"/>
      <c r="AJ278" s="101">
        <f>IF($F278="","",SUMIFS($J$5:$J278,$F$5:$F278,$F278))</f>
        <v>5</v>
      </c>
      <c r="AK278" s="101">
        <f t="shared" si="49"/>
        <v>1</v>
      </c>
      <c r="AL278" s="66" t="str" cm="1">
        <f t="array" ref="AL278">IF($F278="","",IFERROR(INDEX('Lot Balance'!$B$5:$B$500,MATCH(1,INDEX(('Lot Balance'!$A$5:$A$500=$F278)*('Lot Balance'!$K$5:$K$500&lt;$AK278)*('Lot Balance'!$K$5:$K$500+'Lot Balance'!$D$5:$D$500&gt;=$AK278),0),0)),""))</f>
        <v>N955003715</v>
      </c>
      <c r="AM278" s="66" t="str" cm="1">
        <f t="array" ref="AM278">IF($F278="","",IFERROR(INDEX('Lot Balance'!$B$5:$B$500,MATCH(1,INDEX(('Lot Balance'!$A$5:$A$500=$F278)*('Lot Balance'!$K$5:$K$500&lt;$AJ278)*('Lot Balance'!$K$5:$K$500+'Lot Balance'!$D$5:$D$500&gt;=$AJ278),0),0)),""))</f>
        <v>N955003715</v>
      </c>
      <c r="AN278" s="66" t="str">
        <f>IF($F278="","",IF($AI278&lt;&gt;"",IF(COUNTIFS('Lot Balance'!$A$5:$A$500,$F278,'Lot Balance'!$B$5:$B$500,$AI278)=0,"⚠ override is not a lot of this item",IF($AI278=$AL278,"Override = FEFO","Override - FEFO says "&amp;$AL278)),IF($AL278="","⚠ no receipt on file for this item",IF($AM278&lt;&gt;$AL278,"FEFO auto - split, also "&amp;$AM278,"FEFO auto"))))</f>
        <v>FEFO auto</v>
      </c>
      <c r="AO278" s="114"/>
    </row>
    <row r="279" spans="1:41" x14ac:dyDescent="0.35">
      <c r="A279" s="74">
        <v>46127</v>
      </c>
      <c r="B279" s="18" t="str">
        <f>IF($C279="","",IFERROR(INDEX('Staff Directory'!$A$5:$A$594,MATCH($C279,'Staff Directory'!$B$5:$B$594,0)),"⚠ unknown staff"))</f>
        <v>RN-050-A1</v>
      </c>
      <c r="C279" s="49" t="s">
        <v>975</v>
      </c>
      <c r="D279" s="19" t="str">
        <f>IF($B279="","",IFERROR(INDEX('Staff Directory'!$C$5:$C$594,MATCH($B279,'Staff Directory'!$A$5:$A$594,0)),""))</f>
        <v>RN</v>
      </c>
      <c r="E279" s="19" t="str">
        <f>IF($B279="","",IFERROR(INDEX('Staff Directory'!$D$5:$D$594,MATCH($B279,'Staff Directory'!$A$5:$A$594,0)),""))</f>
        <v>A1</v>
      </c>
      <c r="F279" s="9" t="s">
        <v>1227</v>
      </c>
      <c r="G279" s="18" t="str">
        <f>IF($F279="","",IFERROR(INDEX(Items!$B$5:$B$597,MATCH($F279,Items!$A$5:$A$597,0)),"⚠ not in Items"))</f>
        <v>SO A1 Charts</v>
      </c>
      <c r="H279" s="19" t="str">
        <f>IF($F279="","",IFERROR(INDEX(Items!$C$5:$C$597,MATCH($F279,Items!$A$5:$A$597,0)),""))</f>
        <v>Standard</v>
      </c>
      <c r="I279" s="23">
        <f>IF($F279="","",IFERROR(INDEX(Items!$E$5:$E$597,MATCH($F279,Items!$A$5:$A$597,0)),""))</f>
        <v>20</v>
      </c>
      <c r="J279" s="115">
        <f>IF(tblIssues[[#This Row],[Qty Override]]&lt;&gt;"",tblIssues[[#This Row],[Qty Override]],IF(tblIssues[[#This Row],[Standard Issue]]="","",tblIssues[[#This Row],[Standard Issue]]))</f>
        <v>20</v>
      </c>
      <c r="K279" s="20">
        <f>IF($F279="","",IFERROR(INDEX(Items!$D$5:$D$597,MATCH($F279,Items!$A$5:$A$597,0)),""))</f>
        <v>0</v>
      </c>
      <c r="L279" s="21">
        <f t="shared" si="50"/>
        <v>0</v>
      </c>
      <c r="M279" s="9" t="str">
        <f t="shared" si="51"/>
        <v/>
      </c>
      <c r="N279" s="24">
        <f>IF($A279="","",WORKDAY($A279,Settings!$C$9,HolidayDates))</f>
        <v>46135</v>
      </c>
      <c r="O279" s="24">
        <f>IF($N279="","",WORKDAY($N279,Settings!$C$10,HolidayDates))</f>
        <v>46175</v>
      </c>
      <c r="P279" s="10" t="s">
        <v>502</v>
      </c>
      <c r="Q279" s="52" t="str">
        <f t="shared" si="53"/>
        <v>Collected</v>
      </c>
      <c r="R279" s="55" t="str">
        <f t="shared" si="54"/>
        <v>2026-04</v>
      </c>
      <c r="S279" s="55">
        <f>IF(OR($B279="",$F279="",$R279=""),"",SUMIFS(tblIssues[Qty Issued],tblIssues[Staff ID],$B279,tblIssues[Item Name],$F279,tblIssues[Month],$R279))</f>
        <v>20</v>
      </c>
      <c r="T279" s="56">
        <f>IF($I279="","",$I279*Settings!$C$11)</f>
        <v>20</v>
      </c>
      <c r="U279" s="57" t="str">
        <f t="shared" si="52"/>
        <v>OK</v>
      </c>
      <c r="V279" s="55" t="str">
        <f t="shared" si="55"/>
        <v/>
      </c>
      <c r="W279" s="55" t="str">
        <f>IF($V279="","",IF(COUNTIF($V$5:$V279,$V279)=1,1,""))</f>
        <v/>
      </c>
      <c r="X279" s="58" t="str">
        <f>IF($W279="","",MAX($X$4:X278)+1)</f>
        <v/>
      </c>
      <c r="Y279" s="62"/>
      <c r="Z279" s="62"/>
      <c r="AA279" s="64" t="str">
        <f>IF($C279="","",IFERROR(INDEX('Staff Directory'!$E$5:$E$594,MATCH($C279,'Staff Directory'!$B$5:$B$594,0)),""))</f>
        <v>firstname059.lastname059@example.com</v>
      </c>
      <c r="AB279" s="64" t="str">
        <f>IF($C279="","",IF(ISNUMBER(SEARCH($D279,Settings!$C$15)),"Pickup","Dispatch"))</f>
        <v>Dispatch</v>
      </c>
      <c r="AC279" s="64" t="str">
        <f t="shared" si="56"/>
        <v>Supply order dispatched</v>
      </c>
      <c r="AD279" s="64" t="str">
        <f t="shared" si="47"/>
        <v>Dear RN,
Your order has been dispatched and is in transit. Reply if undelivered.</v>
      </c>
      <c r="AE279" s="64" t="str">
        <f t="shared" si="48"/>
        <v>mailto:firstname059.lastname059@example.com?subject=Supply%20order%20dispatched&amp;body=Dear%20RN%2C%0A%0AYour%20order%20has%20been%20dispatched%20and%20is%20in%20transit.%20Reply%20if%20undelivered.</v>
      </c>
      <c r="AF279" s="89" t="str">
        <f t="shared" si="57"/>
        <v>Draft email</v>
      </c>
      <c r="AG279" s="64" t="str">
        <f>IF($C279="","",IFERROR(INDEX('Staff Directory'!$K$595:$K$599,MATCH($C279,'Staff Directory'!$B$5:$B$599,0)),$D279))</f>
        <v>RN</v>
      </c>
      <c r="AH279" t="str">
        <f>IF($C279="","",IFERROR(INDEX('Staff Directory'!$I$595:$I$599,MATCH($C279,'Staff Directory'!$B$5:$B$599,0))&amp;" "&amp;INDEX('Staff Directory'!$J$595:$J$599,MATCH($C279,'Staff Directory'!$B$5:$B$599,0)),$AG279))</f>
        <v>RN</v>
      </c>
      <c r="AI279" s="102"/>
      <c r="AJ279" s="101">
        <f>IF($F279="","",SUMIFS($J$5:$J279,$F$5:$F279,$F279))</f>
        <v>100</v>
      </c>
      <c r="AK279" s="101">
        <f t="shared" si="49"/>
        <v>81</v>
      </c>
      <c r="AL279" s="66" t="str" cm="1">
        <f t="array" ref="AL279">IF($F279="","",IFERROR(INDEX('Lot Balance'!$B$5:$B$500,MATCH(1,INDEX(('Lot Balance'!$A$5:$A$500=$F279)*('Lot Balance'!$K$5:$K$500&lt;$AK279)*('Lot Balance'!$K$5:$K$500+'Lot Balance'!$D$5:$D$500&gt;=$AK279),0),0)),""))</f>
        <v/>
      </c>
      <c r="AM279" s="66" t="str" cm="1">
        <f t="array" ref="AM279">IF($F279="","",IFERROR(INDEX('Lot Balance'!$B$5:$B$500,MATCH(1,INDEX(('Lot Balance'!$A$5:$A$500=$F279)*('Lot Balance'!$K$5:$K$500&lt;$AJ279)*('Lot Balance'!$K$5:$K$500+'Lot Balance'!$D$5:$D$500&gt;=$AJ279),0),0)),""))</f>
        <v/>
      </c>
      <c r="AN279" s="66" t="str">
        <f>IF($F279="","",IF($AI279&lt;&gt;"",IF(COUNTIFS('Lot Balance'!$A$5:$A$500,$F279,'Lot Balance'!$B$5:$B$500,$AI279)=0,"⚠ override is not a lot of this item",IF($AI279=$AL279,"Override = FEFO","Override - FEFO says "&amp;$AL279)),IF($AL279="","⚠ no receipt on file for this item",IF($AM279&lt;&gt;$AL279,"FEFO auto - split, also "&amp;$AM279,"FEFO auto"))))</f>
        <v>⚠ no receipt on file for this item</v>
      </c>
      <c r="AO279" s="114"/>
    </row>
    <row r="280" spans="1:41" x14ac:dyDescent="0.35">
      <c r="A280" s="74">
        <v>46127</v>
      </c>
      <c r="B280" s="18" t="str">
        <f>IF($C280="","",IFERROR(INDEX('Staff Directory'!$A$5:$A$594,MATCH($C280,'Staff Directory'!$B$5:$B$594,0)),"⚠ unknown staff"))</f>
        <v>RN-050-A1</v>
      </c>
      <c r="C280" s="49" t="s">
        <v>975</v>
      </c>
      <c r="D280" s="19" t="str">
        <f>IF($B280="","",IFERROR(INDEX('Staff Directory'!$C$5:$C$594,MATCH($B280,'Staff Directory'!$A$5:$A$594,0)),""))</f>
        <v>RN</v>
      </c>
      <c r="E280" s="19" t="str">
        <f>IF($B280="","",IFERROR(INDEX('Staff Directory'!$D$5:$D$594,MATCH($B280,'Staff Directory'!$A$5:$A$594,0)),""))</f>
        <v>A1</v>
      </c>
      <c r="F280" s="9" t="s">
        <v>162</v>
      </c>
      <c r="G280" s="18" t="str">
        <f>IF($F280="","",IFERROR(INDEX(Items!$B$5:$B$597,MATCH($F280,Items!$A$5:$A$597,0)),"⚠ not in Items"))</f>
        <v>Documents</v>
      </c>
      <c r="H280" s="19" t="str">
        <f>IF($F280="","",IFERROR(INDEX(Items!$C$5:$C$597,MATCH($F280,Items!$A$5:$A$597,0)),""))</f>
        <v>Standard</v>
      </c>
      <c r="I280" s="23">
        <f>IF($F280="","",IFERROR(INDEX(Items!$E$5:$E$597,MATCH($F280,Items!$A$5:$A$597,0)),""))</f>
        <v>20</v>
      </c>
      <c r="J280" s="115">
        <f>IF(tblIssues[[#This Row],[Qty Override]]&lt;&gt;"",tblIssues[[#This Row],[Qty Override]],IF(tblIssues[[#This Row],[Standard Issue]]="","",tblIssues[[#This Row],[Standard Issue]]))</f>
        <v>20</v>
      </c>
      <c r="K280" s="20">
        <f>IF($F280="","",IFERROR(INDEX(Items!$D$5:$D$597,MATCH($F280,Items!$A$5:$A$597,0)),""))</f>
        <v>0</v>
      </c>
      <c r="L280" s="21">
        <f t="shared" si="50"/>
        <v>0</v>
      </c>
      <c r="M280" s="9" t="str">
        <f t="shared" si="51"/>
        <v/>
      </c>
      <c r="N280" s="24">
        <f>IF($A280="","",WORKDAY($A280,Settings!$C$9,HolidayDates))</f>
        <v>46135</v>
      </c>
      <c r="O280" s="24">
        <f>IF($N280="","",WORKDAY($N280,Settings!$C$10,HolidayDates))</f>
        <v>46175</v>
      </c>
      <c r="P280" s="10" t="s">
        <v>502</v>
      </c>
      <c r="Q280" s="52" t="str">
        <f t="shared" si="53"/>
        <v>Collected</v>
      </c>
      <c r="R280" s="55" t="str">
        <f t="shared" si="54"/>
        <v>2026-04</v>
      </c>
      <c r="S280" s="55">
        <f>IF(OR($B280="",$F280="",$R280=""),"",SUMIFS(tblIssues[Qty Issued],tblIssues[Staff ID],$B280,tblIssues[Item Name],$F280,tblIssues[Month],$R280))</f>
        <v>20</v>
      </c>
      <c r="T280" s="56">
        <f>IF($I280="","",$I280*Settings!$C$11)</f>
        <v>20</v>
      </c>
      <c r="U280" s="57" t="str">
        <f t="shared" si="52"/>
        <v>OK</v>
      </c>
      <c r="V280" s="55" t="str">
        <f t="shared" si="55"/>
        <v/>
      </c>
      <c r="W280" s="55" t="str">
        <f>IF($V280="","",IF(COUNTIF($V$5:$V280,$V280)=1,1,""))</f>
        <v/>
      </c>
      <c r="X280" s="58" t="str">
        <f>IF($W280="","",MAX($X$4:X279)+1)</f>
        <v/>
      </c>
      <c r="Y280" s="62"/>
      <c r="Z280" s="62"/>
      <c r="AA280" s="64" t="str">
        <f>IF($C280="","",IFERROR(INDEX('Staff Directory'!$E$5:$E$594,MATCH($C280,'Staff Directory'!$B$5:$B$594,0)),""))</f>
        <v>firstname059.lastname059@example.com</v>
      </c>
      <c r="AB280" s="64" t="str">
        <f>IF($C280="","",IF(ISNUMBER(SEARCH($D280,Settings!$C$15)),"Pickup","Dispatch"))</f>
        <v>Dispatch</v>
      </c>
      <c r="AC280" s="64" t="str">
        <f t="shared" si="56"/>
        <v>Supply order dispatched</v>
      </c>
      <c r="AD280" s="64" t="str">
        <f t="shared" si="47"/>
        <v>Dear RN,
Your order has been dispatched and is in transit. Reply if undelivered.</v>
      </c>
      <c r="AE280" s="64" t="str">
        <f t="shared" si="48"/>
        <v>mailto:firstname059.lastname059@example.com?subject=Supply%20order%20dispatched&amp;body=Dear%20RN%2C%0A%0AYour%20order%20has%20been%20dispatched%20and%20is%20in%20transit.%20Reply%20if%20undelivered.</v>
      </c>
      <c r="AF280" s="89" t="str">
        <f t="shared" si="57"/>
        <v>Draft email</v>
      </c>
      <c r="AG280" s="64" t="str">
        <f>IF($C280="","",IFERROR(INDEX('Staff Directory'!$K$595:$K$599,MATCH($C280,'Staff Directory'!$B$5:$B$599,0)),$D280))</f>
        <v>RN</v>
      </c>
      <c r="AH280" t="str">
        <f>IF($C280="","",IFERROR(INDEX('Staff Directory'!$I$595:$I$599,MATCH($C280,'Staff Directory'!$B$5:$B$599,0))&amp;" "&amp;INDEX('Staff Directory'!$J$595:$J$599,MATCH($C280,'Staff Directory'!$B$5:$B$599,0)),$AG280))</f>
        <v>RN</v>
      </c>
      <c r="AI280" s="102"/>
      <c r="AJ280" s="101">
        <f>IF($F280="","",SUMIFS($J$5:$J280,$F$5:$F280,$F280))</f>
        <v>60</v>
      </c>
      <c r="AK280" s="101">
        <f t="shared" si="49"/>
        <v>41</v>
      </c>
      <c r="AL280" s="66" t="str" cm="1">
        <f t="array" ref="AL280">IF($F280="","",IFERROR(INDEX('Lot Balance'!$B$5:$B$500,MATCH(1,INDEX(('Lot Balance'!$A$5:$A$500=$F280)*('Lot Balance'!$K$5:$K$500&lt;$AK280)*('Lot Balance'!$K$5:$K$500+'Lot Balance'!$D$5:$D$500&gt;=$AK280),0),0)),""))</f>
        <v/>
      </c>
      <c r="AM280" s="66" t="str" cm="1">
        <f t="array" ref="AM280">IF($F280="","",IFERROR(INDEX('Lot Balance'!$B$5:$B$500,MATCH(1,INDEX(('Lot Balance'!$A$5:$A$500=$F280)*('Lot Balance'!$K$5:$K$500&lt;$AJ280)*('Lot Balance'!$K$5:$K$500+'Lot Balance'!$D$5:$D$500&gt;=$AJ280),0),0)),""))</f>
        <v/>
      </c>
      <c r="AN280" s="66" t="str">
        <f>IF($F280="","",IF($AI280&lt;&gt;"",IF(COUNTIFS('Lot Balance'!$A$5:$A$500,$F280,'Lot Balance'!$B$5:$B$500,$AI280)=0,"⚠ override is not a lot of this item",IF($AI280=$AL280,"Override = FEFO","Override - FEFO says "&amp;$AL280)),IF($AL280="","⚠ no receipt on file for this item",IF($AM280&lt;&gt;$AL280,"FEFO auto - split, also "&amp;$AM280,"FEFO auto"))))</f>
        <v>⚠ no receipt on file for this item</v>
      </c>
      <c r="AO280" s="114"/>
    </row>
    <row r="281" spans="1:41" x14ac:dyDescent="0.35">
      <c r="A281" s="74">
        <v>46128</v>
      </c>
      <c r="B281" s="18" t="str">
        <f>IF($C281="","",IFERROR(INDEX('Staff Directory'!$A$5:$A$594,MATCH($C281,'Staff Directory'!$B$5:$B$594,0)),"⚠ unknown staff"))</f>
        <v>PSW-041-A4</v>
      </c>
      <c r="C281" s="49" t="s">
        <v>1016</v>
      </c>
      <c r="D281" s="19" t="str">
        <f>IF($B281="","",IFERROR(INDEX('Staff Directory'!$C$5:$C$594,MATCH($B281,'Staff Directory'!$A$5:$A$594,0)),""))</f>
        <v>PSW</v>
      </c>
      <c r="E281" s="19" t="str">
        <f>IF($B281="","",IFERROR(INDEX('Staff Directory'!$D$5:$D$594,MATCH($B281,'Staff Directory'!$A$5:$A$594,0)),""))</f>
        <v>A4</v>
      </c>
      <c r="F281" s="9" t="s">
        <v>124</v>
      </c>
      <c r="G281" s="18" t="str">
        <f>IF($F281="","",IFERROR(INDEX(Items!$B$5:$B$597,MATCH($F281,Items!$A$5:$A$597,0)),"⚠ not in Items"))</f>
        <v>Gloves</v>
      </c>
      <c r="H281" s="19" t="str">
        <f>IF($F281="","",IFERROR(INDEX(Items!$C$5:$C$597,MATCH($F281,Items!$A$5:$A$597,0)),""))</f>
        <v>Large</v>
      </c>
      <c r="I281" s="23">
        <f>IF($F281="","",IFERROR(INDEX(Items!$E$5:$E$597,MATCH($F281,Items!$A$5:$A$597,0)),""))</f>
        <v>500</v>
      </c>
      <c r="J281" s="115">
        <f>IF(tblIssues[[#This Row],[Qty Override]]&lt;&gt;"",tblIssues[[#This Row],[Qty Override]],IF(tblIssues[[#This Row],[Standard Issue]]="","",tblIssues[[#This Row],[Standard Issue]]))</f>
        <v>500</v>
      </c>
      <c r="K281" s="20">
        <f>IF($F281="","",IFERROR(INDEX(Items!$D$5:$D$597,MATCH($F281,Items!$A$5:$A$597,0)),""))</f>
        <v>5.5E-2</v>
      </c>
      <c r="L281" s="21">
        <f t="shared" si="50"/>
        <v>27.5</v>
      </c>
      <c r="M281" s="9" t="str">
        <f t="shared" si="51"/>
        <v>ZIM511139904-0</v>
      </c>
      <c r="N281" s="24">
        <f>IF($A281="","",WORKDAY($A281,Settings!$C$9,HolidayDates))</f>
        <v>46136</v>
      </c>
      <c r="O281" s="24">
        <f>IF($N281="","",WORKDAY($N281,Settings!$C$10,HolidayDates))</f>
        <v>46176</v>
      </c>
      <c r="P281" s="10" t="s">
        <v>501</v>
      </c>
      <c r="Q281" s="52" t="str">
        <f t="shared" si="53"/>
        <v>Collected</v>
      </c>
      <c r="R281" s="55" t="str">
        <f t="shared" si="54"/>
        <v>2026-04</v>
      </c>
      <c r="S281" s="55">
        <f>IF(OR($B281="",$F281="",$R281=""),"",SUMIFS(tblIssues[Qty Issued],tblIssues[Staff ID],$B281,tblIssues[Item Name],$F281,tblIssues[Month],$R281))</f>
        <v>500</v>
      </c>
      <c r="T281" s="56">
        <f>IF($I281="","",$I281*Settings!$C$11)</f>
        <v>500</v>
      </c>
      <c r="U281" s="57" t="str">
        <f t="shared" si="52"/>
        <v>OK</v>
      </c>
      <c r="V281" s="55" t="str">
        <f t="shared" si="55"/>
        <v/>
      </c>
      <c r="W281" s="55" t="str">
        <f>IF($V281="","",IF(COUNTIF($V$5:$V281,$V281)=1,1,""))</f>
        <v/>
      </c>
      <c r="X281" s="58" t="str">
        <f>IF($W281="","",MAX($X$4:X280)+1)</f>
        <v/>
      </c>
      <c r="Y281" s="62"/>
      <c r="Z281" s="62"/>
      <c r="AA281" s="64" t="str">
        <f>IF($C281="","",IFERROR(INDEX('Staff Directory'!$E$5:$E$594,MATCH($C281,'Staff Directory'!$B$5:$B$594,0)),""))</f>
        <v>firstname100.lastname100@example.com</v>
      </c>
      <c r="AB281" s="64" t="str">
        <f>IF($C281="","",IF(ISNUMBER(SEARCH($D281,Settings!$C$15)),"Pickup","Dispatch"))</f>
        <v>Pickup</v>
      </c>
      <c r="AC281" s="64" t="str">
        <f t="shared" si="56"/>
        <v>Supply order ready for pickup</v>
      </c>
      <c r="AD281" s="64" t="str">
        <f t="shared" si="47"/>
        <v>Dear PSW,
Your order is ready for pickup from Sample Branch, Wed-Fri 9am-4pm.</v>
      </c>
      <c r="AE281" s="64" t="str">
        <f t="shared" si="48"/>
        <v>mailto:firstname100.lastname100@example.com?subject=Supply%20order%20ready%20for%20pickup&amp;body=Dear%20PSW%2C%0A%0AYour%20order%20is%20ready%20for%20pickup%20from%20Sample%20Branch%2C%20Wed-Fri%209am-4pm.</v>
      </c>
      <c r="AF281" s="89" t="str">
        <f t="shared" si="57"/>
        <v>Draft email</v>
      </c>
      <c r="AG281" s="64" t="str">
        <f>IF($C281="","",IFERROR(INDEX('Staff Directory'!$K$595:$K$599,MATCH($C281,'Staff Directory'!$B$5:$B$599,0)),$D281))</f>
        <v>PSW</v>
      </c>
      <c r="AH281" t="str">
        <f>IF($C281="","",IFERROR(INDEX('Staff Directory'!$I$595:$I$599,MATCH($C281,'Staff Directory'!$B$5:$B$599,0))&amp;" "&amp;INDEX('Staff Directory'!$J$595:$J$599,MATCH($C281,'Staff Directory'!$B$5:$B$599,0)),$AG281))</f>
        <v>PSW</v>
      </c>
      <c r="AI281" s="102"/>
      <c r="AJ281" s="101">
        <f>IF($F281="","",SUMIFS($J$5:$J281,$F$5:$F281,$F281))</f>
        <v>6500</v>
      </c>
      <c r="AK281" s="101">
        <f t="shared" si="49"/>
        <v>6001</v>
      </c>
      <c r="AL281" s="66" t="str" cm="1">
        <f t="array" ref="AL281">IF($F281="","",IFERROR(INDEX('Lot Balance'!$B$5:$B$500,MATCH(1,INDEX(('Lot Balance'!$A$5:$A$500=$F281)*('Lot Balance'!$K$5:$K$500&lt;$AK281)*('Lot Balance'!$K$5:$K$500+'Lot Balance'!$D$5:$D$500&gt;=$AK281),0),0)),""))</f>
        <v>ZIM511139904-0</v>
      </c>
      <c r="AM281" s="66" t="str" cm="1">
        <f t="array" ref="AM281">IF($F281="","",IFERROR(INDEX('Lot Balance'!$B$5:$B$500,MATCH(1,INDEX(('Lot Balance'!$A$5:$A$500=$F281)*('Lot Balance'!$K$5:$K$500&lt;$AJ281)*('Lot Balance'!$K$5:$K$500+'Lot Balance'!$D$5:$D$500&gt;=$AJ281),0),0)),""))</f>
        <v>ZIM511139904-0</v>
      </c>
      <c r="AN281" s="66" t="str">
        <f>IF($F281="","",IF($AI281&lt;&gt;"",IF(COUNTIFS('Lot Balance'!$A$5:$A$500,$F281,'Lot Balance'!$B$5:$B$500,$AI281)=0,"⚠ override is not a lot of this item",IF($AI281=$AL281,"Override = FEFO","Override - FEFO says "&amp;$AL281)),IF($AL281="","⚠ no receipt on file for this item",IF($AM281&lt;&gt;$AL281,"FEFO auto - split, also "&amp;$AM281,"FEFO auto"))))</f>
        <v>FEFO auto</v>
      </c>
      <c r="AO281" s="114"/>
    </row>
    <row r="282" spans="1:41" x14ac:dyDescent="0.35">
      <c r="A282" s="74">
        <v>46128</v>
      </c>
      <c r="B282" s="18" t="str">
        <f>IF($C282="","",IFERROR(INDEX('Staff Directory'!$A$5:$A$594,MATCH($C282,'Staff Directory'!$B$5:$B$594,0)),"⚠ unknown staff"))</f>
        <v>PSW-041-A4</v>
      </c>
      <c r="C282" s="49" t="s">
        <v>1016</v>
      </c>
      <c r="D282" s="19" t="str">
        <f>IF($B282="","",IFERROR(INDEX('Staff Directory'!$C$5:$C$594,MATCH($B282,'Staff Directory'!$A$5:$A$594,0)),""))</f>
        <v>PSW</v>
      </c>
      <c r="E282" s="19" t="str">
        <f>IF($B282="","",IFERROR(INDEX('Staff Directory'!$D$5:$D$594,MATCH($B282,'Staff Directory'!$A$5:$A$594,0)),""))</f>
        <v>A4</v>
      </c>
      <c r="F282" s="9" t="s">
        <v>115</v>
      </c>
      <c r="G282" s="18" t="str">
        <f>IF($F282="","",IFERROR(INDEX(Items!$B$5:$B$597,MATCH($F282,Items!$A$5:$A$597,0)),"⚠ not in Items"))</f>
        <v>Wipes</v>
      </c>
      <c r="H282" s="19">
        <f>IF($F282="","",IFERROR(INDEX(Items!$C$5:$C$597,MATCH($F282,Items!$A$5:$A$597,0)),""))</f>
        <v>80</v>
      </c>
      <c r="I282" s="23">
        <f>IF($F282="","",IFERROR(INDEX(Items!$E$5:$E$597,MATCH($F282,Items!$A$5:$A$597,0)),""))</f>
        <v>80</v>
      </c>
      <c r="J282" s="115">
        <f>IF(tblIssues[[#This Row],[Qty Override]]&lt;&gt;"",tblIssues[[#This Row],[Qty Override]],IF(tblIssues[[#This Row],[Standard Issue]]="","",tblIssues[[#This Row],[Standard Issue]]))</f>
        <v>80</v>
      </c>
      <c r="K282" s="20">
        <f>IF($F282="","",IFERROR(INDEX(Items!$D$5:$D$597,MATCH($F282,Items!$A$5:$A$597,0)),""))</f>
        <v>0.1</v>
      </c>
      <c r="L282" s="21">
        <f t="shared" si="50"/>
        <v>8</v>
      </c>
      <c r="M282" s="9" t="str">
        <f t="shared" si="51"/>
        <v>LYSL500290</v>
      </c>
      <c r="N282" s="24">
        <f>IF($A282="","",WORKDAY($A282,Settings!$C$9,HolidayDates))</f>
        <v>46136</v>
      </c>
      <c r="O282" s="24">
        <f>IF($N282="","",WORKDAY($N282,Settings!$C$10,HolidayDates))</f>
        <v>46176</v>
      </c>
      <c r="P282" s="10" t="s">
        <v>501</v>
      </c>
      <c r="Q282" s="52" t="str">
        <f t="shared" si="53"/>
        <v>Collected</v>
      </c>
      <c r="R282" s="55" t="str">
        <f t="shared" si="54"/>
        <v>2026-04</v>
      </c>
      <c r="S282" s="55">
        <f>IF(OR($B282="",$F282="",$R282=""),"",SUMIFS(tblIssues[Qty Issued],tblIssues[Staff ID],$B282,tblIssues[Item Name],$F282,tblIssues[Month],$R282))</f>
        <v>80</v>
      </c>
      <c r="T282" s="56">
        <f>IF($I282="","",$I282*Settings!$C$11)</f>
        <v>80</v>
      </c>
      <c r="U282" s="57" t="str">
        <f t="shared" si="52"/>
        <v>OK</v>
      </c>
      <c r="V282" s="55" t="str">
        <f t="shared" si="55"/>
        <v/>
      </c>
      <c r="W282" s="55" t="str">
        <f>IF($V282="","",IF(COUNTIF($V$5:$V282,$V282)=1,1,""))</f>
        <v/>
      </c>
      <c r="X282" s="58" t="str">
        <f>IF($W282="","",MAX($X$4:X281)+1)</f>
        <v/>
      </c>
      <c r="Y282" s="62"/>
      <c r="Z282" s="62"/>
      <c r="AA282" s="64" t="str">
        <f>IF($C282="","",IFERROR(INDEX('Staff Directory'!$E$5:$E$594,MATCH($C282,'Staff Directory'!$B$5:$B$594,0)),""))</f>
        <v>firstname100.lastname100@example.com</v>
      </c>
      <c r="AB282" s="64" t="str">
        <f>IF($C282="","",IF(ISNUMBER(SEARCH($D282,Settings!$C$15)),"Pickup","Dispatch"))</f>
        <v>Pickup</v>
      </c>
      <c r="AC282" s="64" t="str">
        <f t="shared" si="56"/>
        <v>Supply order ready for pickup</v>
      </c>
      <c r="AD282" s="64" t="str">
        <f t="shared" si="47"/>
        <v>Dear PSW,
Your order is ready for pickup from Sample Branch, Wed-Fri 9am-4pm.</v>
      </c>
      <c r="AE282" s="64" t="str">
        <f t="shared" si="48"/>
        <v>mailto:firstname100.lastname100@example.com?subject=Supply%20order%20ready%20for%20pickup&amp;body=Dear%20PSW%2C%0A%0AYour%20order%20is%20ready%20for%20pickup%20from%20Sample%20Branch%2C%20Wed-Fri%209am-4pm.</v>
      </c>
      <c r="AF282" s="89" t="str">
        <f t="shared" si="57"/>
        <v>Draft email</v>
      </c>
      <c r="AG282" s="64" t="str">
        <f>IF($C282="","",IFERROR(INDEX('Staff Directory'!$K$595:$K$599,MATCH($C282,'Staff Directory'!$B$5:$B$599,0)),$D282))</f>
        <v>PSW</v>
      </c>
      <c r="AH282" t="str">
        <f>IF($C282="","",IFERROR(INDEX('Staff Directory'!$I$595:$I$599,MATCH($C282,'Staff Directory'!$B$5:$B$599,0))&amp;" "&amp;INDEX('Staff Directory'!$J$595:$J$599,MATCH($C282,'Staff Directory'!$B$5:$B$599,0)),$AG282))</f>
        <v>PSW</v>
      </c>
      <c r="AI282" s="102"/>
      <c r="AJ282" s="101">
        <f>IF($F282="","",SUMIFS($J$5:$J282,$F$5:$F282,$F282))</f>
        <v>3840</v>
      </c>
      <c r="AK282" s="101">
        <f t="shared" si="49"/>
        <v>3761</v>
      </c>
      <c r="AL282" s="66" t="str" cm="1">
        <f t="array" ref="AL282">IF($F282="","",IFERROR(INDEX('Lot Balance'!$B$5:$B$500,MATCH(1,INDEX(('Lot Balance'!$A$5:$A$500=$F282)*('Lot Balance'!$K$5:$K$500&lt;$AK282)*('Lot Balance'!$K$5:$K$500+'Lot Balance'!$D$5:$D$500&gt;=$AK282),0),0)),""))</f>
        <v>LYSL500290</v>
      </c>
      <c r="AM282" s="66" t="str" cm="1">
        <f t="array" ref="AM282">IF($F282="","",IFERROR(INDEX('Lot Balance'!$B$5:$B$500,MATCH(1,INDEX(('Lot Balance'!$A$5:$A$500=$F282)*('Lot Balance'!$K$5:$K$500&lt;$AJ282)*('Lot Balance'!$K$5:$K$500+'Lot Balance'!$D$5:$D$500&gt;=$AJ282),0),0)),""))</f>
        <v>LYSL500290</v>
      </c>
      <c r="AN282" s="66" t="str">
        <f>IF($F282="","",IF($AI282&lt;&gt;"",IF(COUNTIFS('Lot Balance'!$A$5:$A$500,$F282,'Lot Balance'!$B$5:$B$500,$AI282)=0,"⚠ override is not a lot of this item",IF($AI282=$AL282,"Override = FEFO","Override - FEFO says "&amp;$AL282)),IF($AL282="","⚠ no receipt on file for this item",IF($AM282&lt;&gt;$AL282,"FEFO auto - split, also "&amp;$AM282,"FEFO auto"))))</f>
        <v>FEFO auto</v>
      </c>
      <c r="AO282" s="114"/>
    </row>
    <row r="283" spans="1:41" x14ac:dyDescent="0.35">
      <c r="A283" s="74">
        <v>46128</v>
      </c>
      <c r="B283" s="18" t="str">
        <f>IF($C283="","",IFERROR(INDEX('Staff Directory'!$A$5:$A$594,MATCH($C283,'Staff Directory'!$B$5:$B$594,0)),"⚠ unknown staff"))</f>
        <v>PSW-041-A4</v>
      </c>
      <c r="C283" s="49" t="s">
        <v>1016</v>
      </c>
      <c r="D283" s="19" t="str">
        <f>IF($B283="","",IFERROR(INDEX('Staff Directory'!$C$5:$C$594,MATCH($B283,'Staff Directory'!$A$5:$A$594,0)),""))</f>
        <v>PSW</v>
      </c>
      <c r="E283" s="19" t="str">
        <f>IF($B283="","",IFERROR(INDEX('Staff Directory'!$D$5:$D$594,MATCH($B283,'Staff Directory'!$A$5:$A$594,0)),""))</f>
        <v>A4</v>
      </c>
      <c r="F283" s="9" t="s">
        <v>156</v>
      </c>
      <c r="G283" s="18" t="str">
        <f>IF($F283="","",IFERROR(INDEX(Items!$B$5:$B$597,MATCH($F283,Items!$A$5:$A$597,0)),"⚠ not in Items"))</f>
        <v>Masks</v>
      </c>
      <c r="H283" s="19" t="str">
        <f>IF($F283="","",IFERROR(INDEX(Items!$C$5:$C$597,MATCH($F283,Items!$A$5:$A$597,0)),""))</f>
        <v>One Size</v>
      </c>
      <c r="I283" s="23">
        <f>IF($F283="","",IFERROR(INDEX(Items!$E$5:$E$597,MATCH($F283,Items!$A$5:$A$597,0)),""))</f>
        <v>50</v>
      </c>
      <c r="J283" s="115">
        <f>IF(tblIssues[[#This Row],[Qty Override]]&lt;&gt;"",tblIssues[[#This Row],[Qty Override]],IF(tblIssues[[#This Row],[Standard Issue]]="","",tblIssues[[#This Row],[Standard Issue]]))</f>
        <v>50</v>
      </c>
      <c r="K283" s="20">
        <f>IF($F283="","",IFERROR(INDEX(Items!$D$5:$D$597,MATCH($F283,Items!$A$5:$A$597,0)),""))</f>
        <v>0.25</v>
      </c>
      <c r="L283" s="21">
        <f t="shared" si="50"/>
        <v>12.5</v>
      </c>
      <c r="M283" s="9" t="str">
        <f t="shared" si="51"/>
        <v>0125FPC24-0</v>
      </c>
      <c r="N283" s="24">
        <f>IF($A283="","",WORKDAY($A283,Settings!$C$9,HolidayDates))</f>
        <v>46136</v>
      </c>
      <c r="O283" s="24">
        <f>IF($N283="","",WORKDAY($N283,Settings!$C$10,HolidayDates))</f>
        <v>46176</v>
      </c>
      <c r="P283" s="10" t="s">
        <v>501</v>
      </c>
      <c r="Q283" s="52" t="str">
        <f t="shared" si="53"/>
        <v>Collected</v>
      </c>
      <c r="R283" s="55" t="str">
        <f t="shared" si="54"/>
        <v>2026-04</v>
      </c>
      <c r="S283" s="55">
        <f>IF(OR($B283="",$F283="",$R283=""),"",SUMIFS(tblIssues[Qty Issued],tblIssues[Staff ID],$B283,tblIssues[Item Name],$F283,tblIssues[Month],$R283))</f>
        <v>50</v>
      </c>
      <c r="T283" s="56">
        <f>IF($I283="","",$I283*Settings!$C$11)</f>
        <v>50</v>
      </c>
      <c r="U283" s="57" t="str">
        <f t="shared" si="52"/>
        <v>OK</v>
      </c>
      <c r="V283" s="55" t="str">
        <f t="shared" si="55"/>
        <v/>
      </c>
      <c r="W283" s="55" t="str">
        <f>IF($V283="","",IF(COUNTIF($V$5:$V283,$V283)=1,1,""))</f>
        <v/>
      </c>
      <c r="X283" s="58" t="str">
        <f>IF($W283="","",MAX($X$4:X282)+1)</f>
        <v/>
      </c>
      <c r="Y283" s="62"/>
      <c r="Z283" s="62"/>
      <c r="AA283" s="64" t="str">
        <f>IF($C283="","",IFERROR(INDEX('Staff Directory'!$E$5:$E$594,MATCH($C283,'Staff Directory'!$B$5:$B$594,0)),""))</f>
        <v>firstname100.lastname100@example.com</v>
      </c>
      <c r="AB283" s="64" t="str">
        <f>IF($C283="","",IF(ISNUMBER(SEARCH($D283,Settings!$C$15)),"Pickup","Dispatch"))</f>
        <v>Pickup</v>
      </c>
      <c r="AC283" s="64" t="str">
        <f t="shared" si="56"/>
        <v>Supply order ready for pickup</v>
      </c>
      <c r="AD283" s="64" t="str">
        <f t="shared" si="47"/>
        <v>Dear PSW,
Your order is ready for pickup from Sample Branch, Wed-Fri 9am-4pm.</v>
      </c>
      <c r="AE283" s="64" t="str">
        <f t="shared" si="48"/>
        <v>mailto:firstname100.lastname100@example.com?subject=Supply%20order%20ready%20for%20pickup&amp;body=Dear%20PSW%2C%0A%0AYour%20order%20is%20ready%20for%20pickup%20from%20Sample%20Branch%2C%20Wed-Fri%209am-4pm.</v>
      </c>
      <c r="AF283" s="89" t="str">
        <f t="shared" si="57"/>
        <v>Draft email</v>
      </c>
      <c r="AG283" s="64" t="str">
        <f>IF($C283="","",IFERROR(INDEX('Staff Directory'!$K$595:$K$599,MATCH($C283,'Staff Directory'!$B$5:$B$599,0)),$D283))</f>
        <v>PSW</v>
      </c>
      <c r="AH283" t="str">
        <f>IF($C283="","",IFERROR(INDEX('Staff Directory'!$I$595:$I$599,MATCH($C283,'Staff Directory'!$B$5:$B$599,0))&amp;" "&amp;INDEX('Staff Directory'!$J$595:$J$599,MATCH($C283,'Staff Directory'!$B$5:$B$599,0)),$AG283))</f>
        <v>PSW</v>
      </c>
      <c r="AI283" s="102"/>
      <c r="AJ283" s="101">
        <f>IF($F283="","",SUMIFS($J$5:$J283,$F$5:$F283,$F283))</f>
        <v>2050</v>
      </c>
      <c r="AK283" s="101">
        <f t="shared" si="49"/>
        <v>2001</v>
      </c>
      <c r="AL283" s="66" t="str" cm="1">
        <f t="array" ref="AL283">IF($F283="","",IFERROR(INDEX('Lot Balance'!$B$5:$B$500,MATCH(1,INDEX(('Lot Balance'!$A$5:$A$500=$F283)*('Lot Balance'!$K$5:$K$500&lt;$AK283)*('Lot Balance'!$K$5:$K$500+'Lot Balance'!$D$5:$D$500&gt;=$AK283),0),0)),""))</f>
        <v>0125FPC24-0</v>
      </c>
      <c r="AM283" s="66" t="str" cm="1">
        <f t="array" ref="AM283">IF($F283="","",IFERROR(INDEX('Lot Balance'!$B$5:$B$500,MATCH(1,INDEX(('Lot Balance'!$A$5:$A$500=$F283)*('Lot Balance'!$K$5:$K$500&lt;$AJ283)*('Lot Balance'!$K$5:$K$500+'Lot Balance'!$D$5:$D$500&gt;=$AJ283),0),0)),""))</f>
        <v>0125FPC24-0</v>
      </c>
      <c r="AN283" s="66" t="str">
        <f>IF($F283="","",IF($AI283&lt;&gt;"",IF(COUNTIFS('Lot Balance'!$A$5:$A$500,$F283,'Lot Balance'!$B$5:$B$500,$AI283)=0,"⚠ override is not a lot of this item",IF($AI283=$AL283,"Override = FEFO","Override - FEFO says "&amp;$AL283)),IF($AL283="","⚠ no receipt on file for this item",IF($AM283&lt;&gt;$AL283,"FEFO auto - split, also "&amp;$AM283,"FEFO auto"))))</f>
        <v>FEFO auto</v>
      </c>
      <c r="AO283" s="114"/>
    </row>
    <row r="284" spans="1:41" x14ac:dyDescent="0.35">
      <c r="A284" s="74">
        <v>46128</v>
      </c>
      <c r="B284" s="18" t="str">
        <f>IF($C284="","",IFERROR(INDEX('Staff Directory'!$A$5:$A$594,MATCH($C284,'Staff Directory'!$B$5:$B$594,0)),"⚠ unknown staff"))</f>
        <v>PSW-041-A4</v>
      </c>
      <c r="C284" s="49" t="s">
        <v>1016</v>
      </c>
      <c r="D284" s="19" t="str">
        <f>IF($B284="","",IFERROR(INDEX('Staff Directory'!$C$5:$C$594,MATCH($B284,'Staff Directory'!$A$5:$A$594,0)),""))</f>
        <v>PSW</v>
      </c>
      <c r="E284" s="19" t="str">
        <f>IF($B284="","",IFERROR(INDEX('Staff Directory'!$D$5:$D$594,MATCH($B284,'Staff Directory'!$A$5:$A$594,0)),""))</f>
        <v>A4</v>
      </c>
      <c r="F284" s="9" t="s">
        <v>147</v>
      </c>
      <c r="G284" s="18" t="str">
        <f>IF($F284="","",IFERROR(INDEX(Items!$B$5:$B$597,MATCH($F284,Items!$A$5:$A$597,0)),"⚠ not in Items"))</f>
        <v>Apparel</v>
      </c>
      <c r="H284" s="19" t="str">
        <f>IF($F284="","",IFERROR(INDEX(Items!$C$5:$C$597,MATCH($F284,Items!$A$5:$A$597,0)),""))</f>
        <v>One Size</v>
      </c>
      <c r="I284" s="23">
        <f>IF($F284="","",IFERROR(INDEX(Items!$E$5:$E$597,MATCH($F284,Items!$A$5:$A$597,0)),""))</f>
        <v>5</v>
      </c>
      <c r="J284" s="115">
        <f>IF(tblIssues[[#This Row],[Qty Override]]&lt;&gt;"",tblIssues[[#This Row],[Qty Override]],IF(tblIssues[[#This Row],[Standard Issue]]="","",tblIssues[[#This Row],[Standard Issue]]))</f>
        <v>5</v>
      </c>
      <c r="K284" s="20">
        <f>IF($F284="","",IFERROR(INDEX(Items!$D$5:$D$597,MATCH($F284,Items!$A$5:$A$597,0)),""))</f>
        <v>3</v>
      </c>
      <c r="L284" s="21">
        <f t="shared" si="50"/>
        <v>15</v>
      </c>
      <c r="M284" s="9" t="str">
        <f t="shared" si="51"/>
        <v>YG500280</v>
      </c>
      <c r="N284" s="24">
        <f>IF($A284="","",WORKDAY($A284,Settings!$C$9,HolidayDates))</f>
        <v>46136</v>
      </c>
      <c r="O284" s="24">
        <f>IF($N284="","",WORKDAY($N284,Settings!$C$10,HolidayDates))</f>
        <v>46176</v>
      </c>
      <c r="P284" s="10" t="s">
        <v>501</v>
      </c>
      <c r="Q284" s="52" t="str">
        <f t="shared" si="53"/>
        <v>Collected</v>
      </c>
      <c r="R284" s="55" t="str">
        <f t="shared" si="54"/>
        <v>2026-04</v>
      </c>
      <c r="S284" s="55">
        <f>IF(OR($B284="",$F284="",$R284=""),"",SUMIFS(tblIssues[Qty Issued],tblIssues[Staff ID],$B284,tblIssues[Item Name],$F284,tblIssues[Month],$R284))</f>
        <v>5</v>
      </c>
      <c r="T284" s="56">
        <f>IF($I284="","",$I284*Settings!$C$11)</f>
        <v>5</v>
      </c>
      <c r="U284" s="57" t="str">
        <f t="shared" si="52"/>
        <v>OK</v>
      </c>
      <c r="V284" s="55" t="str">
        <f t="shared" si="55"/>
        <v/>
      </c>
      <c r="W284" s="55" t="str">
        <f>IF($V284="","",IF(COUNTIF($V$5:$V284,$V284)=1,1,""))</f>
        <v/>
      </c>
      <c r="X284" s="58" t="str">
        <f>IF($W284="","",MAX($X$4:X283)+1)</f>
        <v/>
      </c>
      <c r="Y284" s="62"/>
      <c r="Z284" s="62"/>
      <c r="AA284" s="64" t="str">
        <f>IF($C284="","",IFERROR(INDEX('Staff Directory'!$E$5:$E$594,MATCH($C284,'Staff Directory'!$B$5:$B$594,0)),""))</f>
        <v>firstname100.lastname100@example.com</v>
      </c>
      <c r="AB284" s="64" t="str">
        <f>IF($C284="","",IF(ISNUMBER(SEARCH($D284,Settings!$C$15)),"Pickup","Dispatch"))</f>
        <v>Pickup</v>
      </c>
      <c r="AC284" s="64" t="str">
        <f t="shared" si="56"/>
        <v>Supply order ready for pickup</v>
      </c>
      <c r="AD284" s="64" t="str">
        <f t="shared" si="47"/>
        <v>Dear PSW,
Your order is ready for pickup from Sample Branch, Wed-Fri 9am-4pm.</v>
      </c>
      <c r="AE284" s="64" t="str">
        <f t="shared" si="48"/>
        <v>mailto:firstname100.lastname100@example.com?subject=Supply%20order%20ready%20for%20pickup&amp;body=Dear%20PSW%2C%0A%0AYour%20order%20is%20ready%20for%20pickup%20from%20Sample%20Branch%2C%20Wed-Fri%209am-4pm.</v>
      </c>
      <c r="AF284" s="89" t="str">
        <f t="shared" si="57"/>
        <v>Draft email</v>
      </c>
      <c r="AG284" s="64" t="str">
        <f>IF($C284="","",IFERROR(INDEX('Staff Directory'!$K$595:$K$599,MATCH($C284,'Staff Directory'!$B$5:$B$599,0)),$D284))</f>
        <v>PSW</v>
      </c>
      <c r="AH284" t="str">
        <f>IF($C284="","",IFERROR(INDEX('Staff Directory'!$I$595:$I$599,MATCH($C284,'Staff Directory'!$B$5:$B$599,0))&amp;" "&amp;INDEX('Staff Directory'!$J$595:$J$599,MATCH($C284,'Staff Directory'!$B$5:$B$599,0)),$AG284))</f>
        <v>PSW</v>
      </c>
      <c r="AI284" s="102"/>
      <c r="AJ284" s="101">
        <f>IF($F284="","",SUMIFS($J$5:$J284,$F$5:$F284,$F284))</f>
        <v>25</v>
      </c>
      <c r="AK284" s="101">
        <f t="shared" si="49"/>
        <v>21</v>
      </c>
      <c r="AL284" s="66" t="str" cm="1">
        <f t="array" ref="AL284">IF($F284="","",IFERROR(INDEX('Lot Balance'!$B$5:$B$500,MATCH(1,INDEX(('Lot Balance'!$A$5:$A$500=$F284)*('Lot Balance'!$K$5:$K$500&lt;$AK284)*('Lot Balance'!$K$5:$K$500+'Lot Balance'!$D$5:$D$500&gt;=$AK284),0),0)),""))</f>
        <v>YG500280</v>
      </c>
      <c r="AM284" s="66" t="str" cm="1">
        <f t="array" ref="AM284">IF($F284="","",IFERROR(INDEX('Lot Balance'!$B$5:$B$500,MATCH(1,INDEX(('Lot Balance'!$A$5:$A$500=$F284)*('Lot Balance'!$K$5:$K$500&lt;$AJ284)*('Lot Balance'!$K$5:$K$500+'Lot Balance'!$D$5:$D$500&gt;=$AJ284),0),0)),""))</f>
        <v>YG500280</v>
      </c>
      <c r="AN284" s="66" t="str">
        <f>IF($F284="","",IF($AI284&lt;&gt;"",IF(COUNTIFS('Lot Balance'!$A$5:$A$500,$F284,'Lot Balance'!$B$5:$B$500,$AI284)=0,"⚠ override is not a lot of this item",IF($AI284=$AL284,"Override = FEFO","Override - FEFO says "&amp;$AL284)),IF($AL284="","⚠ no receipt on file for this item",IF($AM284&lt;&gt;$AL284,"FEFO auto - split, also "&amp;$AM284,"FEFO auto"))))</f>
        <v>FEFO auto</v>
      </c>
      <c r="AO284" s="114"/>
    </row>
    <row r="285" spans="1:41" x14ac:dyDescent="0.35">
      <c r="A285" s="74">
        <v>46128</v>
      </c>
      <c r="B285" s="18" t="str">
        <f>IF($C285="","",IFERROR(INDEX('Staff Directory'!$A$5:$A$594,MATCH($C285,'Staff Directory'!$B$5:$B$594,0)),"⚠ unknown staff"))</f>
        <v>PSW-041-A4</v>
      </c>
      <c r="C285" s="49" t="s">
        <v>1016</v>
      </c>
      <c r="D285" s="19" t="str">
        <f>IF($B285="","",IFERROR(INDEX('Staff Directory'!$C$5:$C$594,MATCH($B285,'Staff Directory'!$A$5:$A$594,0)),""))</f>
        <v>PSW</v>
      </c>
      <c r="E285" s="19" t="str">
        <f>IF($B285="","",IFERROR(INDEX('Staff Directory'!$D$5:$D$594,MATCH($B285,'Staff Directory'!$A$5:$A$594,0)),""))</f>
        <v>A4</v>
      </c>
      <c r="F285" s="9" t="s">
        <v>755</v>
      </c>
      <c r="G285" s="18" t="str">
        <f>IF($F285="","",IFERROR(INDEX(Items!$B$5:$B$597,MATCH($F285,Items!$A$5:$A$597,0)),"⚠ not in Items"))</f>
        <v>Documents</v>
      </c>
      <c r="H285" s="19" t="str">
        <f>IF($F285="","",IFERROR(INDEX(Items!$C$5:$C$597,MATCH($F285,Items!$A$5:$A$597,0)),""))</f>
        <v>Standard</v>
      </c>
      <c r="I285" s="23">
        <f>IF($F285="","",IFERROR(INDEX(Items!$E$5:$E$597,MATCH($F285,Items!$A$5:$A$597,0)),""))</f>
        <v>2</v>
      </c>
      <c r="J285" s="115">
        <f>IF(tblIssues[[#This Row],[Qty Override]]&lt;&gt;"",tblIssues[[#This Row],[Qty Override]],IF(tblIssues[[#This Row],[Standard Issue]]="","",tblIssues[[#This Row],[Standard Issue]]))</f>
        <v>2</v>
      </c>
      <c r="K285" s="20">
        <f>IF($F285="","",IFERROR(INDEX(Items!$D$5:$D$597,MATCH($F285,Items!$A$5:$A$597,0)),""))</f>
        <v>0</v>
      </c>
      <c r="L285" s="21">
        <f t="shared" si="50"/>
        <v>0</v>
      </c>
      <c r="M285" s="9" t="str">
        <f t="shared" si="51"/>
        <v/>
      </c>
      <c r="N285" s="24">
        <f>IF($A285="","",WORKDAY($A285,Settings!$C$9,HolidayDates))</f>
        <v>46136</v>
      </c>
      <c r="O285" s="24">
        <f>IF($N285="","",WORKDAY($N285,Settings!$C$10,HolidayDates))</f>
        <v>46176</v>
      </c>
      <c r="P285" s="10" t="s">
        <v>501</v>
      </c>
      <c r="Q285" s="52" t="str">
        <f t="shared" si="53"/>
        <v>Collected</v>
      </c>
      <c r="R285" s="55" t="str">
        <f t="shared" si="54"/>
        <v>2026-04</v>
      </c>
      <c r="S285" s="55">
        <f>IF(OR($B285="",$F285="",$R285=""),"",SUMIFS(tblIssues[Qty Issued],tblIssues[Staff ID],$B285,tblIssues[Item Name],$F285,tblIssues[Month],$R285))</f>
        <v>2</v>
      </c>
      <c r="T285" s="56">
        <f>IF($I285="","",$I285*Settings!$C$11)</f>
        <v>2</v>
      </c>
      <c r="U285" s="57" t="str">
        <f t="shared" si="52"/>
        <v>OK</v>
      </c>
      <c r="V285" s="55" t="str">
        <f t="shared" si="55"/>
        <v/>
      </c>
      <c r="W285" s="55" t="str">
        <f>IF($V285="","",IF(COUNTIF($V$5:$V285,$V285)=1,1,""))</f>
        <v/>
      </c>
      <c r="X285" s="58" t="str">
        <f>IF($W285="","",MAX($X$4:X284)+1)</f>
        <v/>
      </c>
      <c r="Y285" s="62"/>
      <c r="Z285" s="62"/>
      <c r="AA285" s="64" t="str">
        <f>IF($C285="","",IFERROR(INDEX('Staff Directory'!$E$5:$E$594,MATCH($C285,'Staff Directory'!$B$5:$B$594,0)),""))</f>
        <v>firstname100.lastname100@example.com</v>
      </c>
      <c r="AB285" s="64" t="str">
        <f>IF($C285="","",IF(ISNUMBER(SEARCH($D285,Settings!$C$15)),"Pickup","Dispatch"))</f>
        <v>Pickup</v>
      </c>
      <c r="AC285" s="64" t="str">
        <f t="shared" si="56"/>
        <v>Supply order ready for pickup</v>
      </c>
      <c r="AD285" s="64" t="str">
        <f t="shared" si="47"/>
        <v>Dear PSW,
Your order is ready for pickup from Sample Branch, Wed-Fri 9am-4pm.</v>
      </c>
      <c r="AE285" s="64" t="str">
        <f t="shared" si="48"/>
        <v>mailto:firstname100.lastname100@example.com?subject=Supply%20order%20ready%20for%20pickup&amp;body=Dear%20PSW%2C%0A%0AYour%20order%20is%20ready%20for%20pickup%20from%20Sample%20Branch%2C%20Wed-Fri%209am-4pm.</v>
      </c>
      <c r="AF285" s="89" t="str">
        <f t="shared" si="57"/>
        <v>Draft email</v>
      </c>
      <c r="AG285" s="64" t="str">
        <f>IF($C285="","",IFERROR(INDEX('Staff Directory'!$K$595:$K$599,MATCH($C285,'Staff Directory'!$B$5:$B$599,0)),$D285))</f>
        <v>PSW</v>
      </c>
      <c r="AH285" t="str">
        <f>IF($C285="","",IFERROR(INDEX('Staff Directory'!$I$595:$I$599,MATCH($C285,'Staff Directory'!$B$5:$B$599,0))&amp;" "&amp;INDEX('Staff Directory'!$J$595:$J$599,MATCH($C285,'Staff Directory'!$B$5:$B$599,0)),$AG285))</f>
        <v>PSW</v>
      </c>
      <c r="AI285" s="102"/>
      <c r="AJ285" s="101">
        <f>IF($F285="","",SUMIFS($J$5:$J285,$F$5:$F285,$F285))</f>
        <v>72</v>
      </c>
      <c r="AK285" s="101">
        <f t="shared" si="49"/>
        <v>71</v>
      </c>
      <c r="AL285" s="66" t="str" cm="1">
        <f t="array" ref="AL285">IF($F285="","",IFERROR(INDEX('Lot Balance'!$B$5:$B$500,MATCH(1,INDEX(('Lot Balance'!$A$5:$A$500=$F285)*('Lot Balance'!$K$5:$K$500&lt;$AK285)*('Lot Balance'!$K$5:$K$500+'Lot Balance'!$D$5:$D$500&gt;=$AK285),0),0)),""))</f>
        <v/>
      </c>
      <c r="AM285" s="66" t="str" cm="1">
        <f t="array" ref="AM285">IF($F285="","",IFERROR(INDEX('Lot Balance'!$B$5:$B$500,MATCH(1,INDEX(('Lot Balance'!$A$5:$A$500=$F285)*('Lot Balance'!$K$5:$K$500&lt;$AJ285)*('Lot Balance'!$K$5:$K$500+'Lot Balance'!$D$5:$D$500&gt;=$AJ285),0),0)),""))</f>
        <v/>
      </c>
      <c r="AN285" s="66" t="str">
        <f>IF($F285="","",IF($AI285&lt;&gt;"",IF(COUNTIFS('Lot Balance'!$A$5:$A$500,$F285,'Lot Balance'!$B$5:$B$500,$AI285)=0,"⚠ override is not a lot of this item",IF($AI285=$AL285,"Override = FEFO","Override - FEFO says "&amp;$AL285)),IF($AL285="","⚠ no receipt on file for this item",IF($AM285&lt;&gt;$AL285,"FEFO auto - split, also "&amp;$AM285,"FEFO auto"))))</f>
        <v>⚠ no receipt on file for this item</v>
      </c>
      <c r="AO285" s="114"/>
    </row>
    <row r="286" spans="1:41" x14ac:dyDescent="0.35">
      <c r="A286" s="74">
        <v>46128</v>
      </c>
      <c r="B286" s="18" t="str">
        <f>IF($C286="","",IFERROR(INDEX('Staff Directory'!$A$5:$A$594,MATCH($C286,'Staff Directory'!$B$5:$B$594,0)),"⚠ unknown staff"))</f>
        <v>PSW-150-A5</v>
      </c>
      <c r="C286" s="49" t="s">
        <v>1129</v>
      </c>
      <c r="D286" s="19" t="str">
        <f>IF($B286="","",IFERROR(INDEX('Staff Directory'!$C$5:$C$594,MATCH($B286,'Staff Directory'!$A$5:$A$594,0)),""))</f>
        <v>PSW</v>
      </c>
      <c r="E286" s="19" t="str">
        <f>IF($B286="","",IFERROR(INDEX('Staff Directory'!$D$5:$D$594,MATCH($B286,'Staff Directory'!$A$5:$A$594,0)),""))</f>
        <v>A5</v>
      </c>
      <c r="F286" s="9" t="s">
        <v>124</v>
      </c>
      <c r="G286" s="18" t="str">
        <f>IF($F286="","",IFERROR(INDEX(Items!$B$5:$B$597,MATCH($F286,Items!$A$5:$A$597,0)),"⚠ not in Items"))</f>
        <v>Gloves</v>
      </c>
      <c r="H286" s="19" t="str">
        <f>IF($F286="","",IFERROR(INDEX(Items!$C$5:$C$597,MATCH($F286,Items!$A$5:$A$597,0)),""))</f>
        <v>Large</v>
      </c>
      <c r="I286" s="23">
        <f>IF($F286="","",IFERROR(INDEX(Items!$E$5:$E$597,MATCH($F286,Items!$A$5:$A$597,0)),""))</f>
        <v>500</v>
      </c>
      <c r="J286" s="115">
        <f>IF(tblIssues[[#This Row],[Qty Override]]&lt;&gt;"",tblIssues[[#This Row],[Qty Override]],IF(tblIssues[[#This Row],[Standard Issue]]="","",tblIssues[[#This Row],[Standard Issue]]))</f>
        <v>500</v>
      </c>
      <c r="K286" s="20">
        <f>IF($F286="","",IFERROR(INDEX(Items!$D$5:$D$597,MATCH($F286,Items!$A$5:$A$597,0)),""))</f>
        <v>5.5E-2</v>
      </c>
      <c r="L286" s="21">
        <f t="shared" si="50"/>
        <v>27.5</v>
      </c>
      <c r="M286" s="9" t="str">
        <f t="shared" si="51"/>
        <v>ZIM511139904-0</v>
      </c>
      <c r="N286" s="24">
        <f>IF($A286="","",WORKDAY($A286,Settings!$C$9,HolidayDates))</f>
        <v>46136</v>
      </c>
      <c r="O286" s="24">
        <f>IF($N286="","",WORKDAY($N286,Settings!$C$10,HolidayDates))</f>
        <v>46176</v>
      </c>
      <c r="P286" s="10" t="s">
        <v>501</v>
      </c>
      <c r="Q286" s="52" t="str">
        <f t="shared" si="53"/>
        <v>Collected</v>
      </c>
      <c r="R286" s="55" t="str">
        <f t="shared" si="54"/>
        <v>2026-04</v>
      </c>
      <c r="S286" s="55">
        <f>IF(OR($B286="",$F286="",$R286=""),"",SUMIFS(tblIssues[Qty Issued],tblIssues[Staff ID],$B286,tblIssues[Item Name],$F286,tblIssues[Month],$R286))</f>
        <v>500</v>
      </c>
      <c r="T286" s="56">
        <f>IF($I286="","",$I286*Settings!$C$11)</f>
        <v>500</v>
      </c>
      <c r="U286" s="57" t="str">
        <f t="shared" si="52"/>
        <v>OK</v>
      </c>
      <c r="V286" s="55" t="str">
        <f t="shared" si="55"/>
        <v/>
      </c>
      <c r="W286" s="55" t="str">
        <f>IF($V286="","",IF(COUNTIF($V$5:$V286,$V286)=1,1,""))</f>
        <v/>
      </c>
      <c r="X286" s="58" t="str">
        <f>IF($W286="","",MAX($X$4:X285)+1)</f>
        <v/>
      </c>
      <c r="Y286" s="62"/>
      <c r="Z286" s="62"/>
      <c r="AA286" s="64" t="str">
        <f>IF($C286="","",IFERROR(INDEX('Staff Directory'!$E$5:$E$594,MATCH($C286,'Staff Directory'!$B$5:$B$594,0)),""))</f>
        <v>firstname213.lastname213@example.com</v>
      </c>
      <c r="AB286" s="64" t="str">
        <f>IF($C286="","",IF(ISNUMBER(SEARCH($D286,Settings!$C$15)),"Pickup","Dispatch"))</f>
        <v>Pickup</v>
      </c>
      <c r="AC286" s="64" t="str">
        <f t="shared" si="56"/>
        <v>Supply order ready for pickup</v>
      </c>
      <c r="AD286" s="64" t="str">
        <f t="shared" si="47"/>
        <v>Dear PSW,
Your order is ready for pickup from Sample Branch, Wed-Fri 9am-4pm.</v>
      </c>
      <c r="AE286" s="64" t="str">
        <f t="shared" si="48"/>
        <v>mailto:firstname213.lastname213@example.com?subject=Supply%20order%20ready%20for%20pickup&amp;body=Dear%20PSW%2C%0A%0AYour%20order%20is%20ready%20for%20pickup%20from%20Sample%20Branch%2C%20Wed-Fri%209am-4pm.</v>
      </c>
      <c r="AF286" s="89" t="str">
        <f t="shared" si="57"/>
        <v>Draft email</v>
      </c>
      <c r="AG286" s="64" t="str">
        <f>IF($C286="","",IFERROR(INDEX('Staff Directory'!$K$595:$K$599,MATCH($C286,'Staff Directory'!$B$5:$B$599,0)),$D286))</f>
        <v>PSW</v>
      </c>
      <c r="AH286" t="str">
        <f>IF($C286="","",IFERROR(INDEX('Staff Directory'!$I$595:$I$599,MATCH($C286,'Staff Directory'!$B$5:$B$599,0))&amp;" "&amp;INDEX('Staff Directory'!$J$595:$J$599,MATCH($C286,'Staff Directory'!$B$5:$B$599,0)),$AG286))</f>
        <v>PSW</v>
      </c>
      <c r="AI286" s="102"/>
      <c r="AJ286" s="101">
        <f>IF($F286="","",SUMIFS($J$5:$J286,$F$5:$F286,$F286))</f>
        <v>7000</v>
      </c>
      <c r="AK286" s="101">
        <f t="shared" si="49"/>
        <v>6501</v>
      </c>
      <c r="AL286" s="66" t="str" cm="1">
        <f t="array" ref="AL286">IF($F286="","",IFERROR(INDEX('Lot Balance'!$B$5:$B$500,MATCH(1,INDEX(('Lot Balance'!$A$5:$A$500=$F286)*('Lot Balance'!$K$5:$K$500&lt;$AK286)*('Lot Balance'!$K$5:$K$500+'Lot Balance'!$D$5:$D$500&gt;=$AK286),0),0)),""))</f>
        <v>ZIM511139904-0</v>
      </c>
      <c r="AM286" s="66" t="str" cm="1">
        <f t="array" ref="AM286">IF($F286="","",IFERROR(INDEX('Lot Balance'!$B$5:$B$500,MATCH(1,INDEX(('Lot Balance'!$A$5:$A$500=$F286)*('Lot Balance'!$K$5:$K$500&lt;$AJ286)*('Lot Balance'!$K$5:$K$500+'Lot Balance'!$D$5:$D$500&gt;=$AJ286),0),0)),""))</f>
        <v>ZIM511139904-0</v>
      </c>
      <c r="AN286" s="66" t="str">
        <f>IF($F286="","",IF($AI286&lt;&gt;"",IF(COUNTIFS('Lot Balance'!$A$5:$A$500,$F286,'Lot Balance'!$B$5:$B$500,$AI286)=0,"⚠ override is not a lot of this item",IF($AI286=$AL286,"Override = FEFO","Override - FEFO says "&amp;$AL286)),IF($AL286="","⚠ no receipt on file for this item",IF($AM286&lt;&gt;$AL286,"FEFO auto - split, also "&amp;$AM286,"FEFO auto"))))</f>
        <v>FEFO auto</v>
      </c>
      <c r="AO286" s="114"/>
    </row>
    <row r="287" spans="1:41" x14ac:dyDescent="0.35">
      <c r="A287" s="74">
        <v>46128</v>
      </c>
      <c r="B287" s="18" t="str">
        <f>IF($C287="","",IFERROR(INDEX('Staff Directory'!$A$5:$A$594,MATCH($C287,'Staff Directory'!$B$5:$B$594,0)),"⚠ unknown staff"))</f>
        <v>PSW-150-A5</v>
      </c>
      <c r="C287" s="49" t="s">
        <v>1129</v>
      </c>
      <c r="D287" s="19" t="str">
        <f>IF($B287="","",IFERROR(INDEX('Staff Directory'!$C$5:$C$594,MATCH($B287,'Staff Directory'!$A$5:$A$594,0)),""))</f>
        <v>PSW</v>
      </c>
      <c r="E287" s="19" t="str">
        <f>IF($B287="","",IFERROR(INDEX('Staff Directory'!$D$5:$D$594,MATCH($B287,'Staff Directory'!$A$5:$A$594,0)),""))</f>
        <v>A5</v>
      </c>
      <c r="F287" s="9" t="s">
        <v>191</v>
      </c>
      <c r="G287" s="18" t="str">
        <f>IF($F287="","",IFERROR(INDEX(Items!$B$5:$B$597,MATCH($F287,Items!$A$5:$A$597,0)),"⚠ not in Items"))</f>
        <v>Sanitizer</v>
      </c>
      <c r="H287" s="19" t="str">
        <f>IF($F287="","",IFERROR(INDEX(Items!$C$5:$C$597,MATCH($F287,Items!$A$5:$A$597,0)),""))</f>
        <v>236 ML</v>
      </c>
      <c r="I287" s="23">
        <f>IF($F287="","",IFERROR(INDEX(Items!$E$5:$E$597,MATCH($F287,Items!$A$5:$A$597,0)),""))</f>
        <v>1</v>
      </c>
      <c r="J287" s="115">
        <f>IF(tblIssues[[#This Row],[Qty Override]]&lt;&gt;"",tblIssues[[#This Row],[Qty Override]],IF(tblIssues[[#This Row],[Standard Issue]]="","",tblIssues[[#This Row],[Standard Issue]]))</f>
        <v>1</v>
      </c>
      <c r="K287" s="20">
        <f>IF($F287="","",IFERROR(INDEX(Items!$D$5:$D$597,MATCH($F287,Items!$A$5:$A$597,0)),""))</f>
        <v>1E-4</v>
      </c>
      <c r="L287" s="21">
        <f t="shared" si="50"/>
        <v>1E-4</v>
      </c>
      <c r="M287" s="9" t="str">
        <f t="shared" si="51"/>
        <v>20-21734-1</v>
      </c>
      <c r="N287" s="24">
        <f>IF($A287="","",WORKDAY($A287,Settings!$C$9,HolidayDates))</f>
        <v>46136</v>
      </c>
      <c r="O287" s="24">
        <f>IF($N287="","",WORKDAY($N287,Settings!$C$10,HolidayDates))</f>
        <v>46176</v>
      </c>
      <c r="P287" s="10" t="s">
        <v>501</v>
      </c>
      <c r="Q287" s="52" t="str">
        <f t="shared" si="53"/>
        <v>Collected</v>
      </c>
      <c r="R287" s="55" t="str">
        <f t="shared" si="54"/>
        <v>2026-04</v>
      </c>
      <c r="S287" s="55">
        <f>IF(OR($B287="",$F287="",$R287=""),"",SUMIFS(tblIssues[Qty Issued],tblIssues[Staff ID],$B287,tblIssues[Item Name],$F287,tblIssues[Month],$R287))</f>
        <v>1</v>
      </c>
      <c r="T287" s="56">
        <f>IF($I287="","",$I287*Settings!$C$11)</f>
        <v>1</v>
      </c>
      <c r="U287" s="57" t="str">
        <f t="shared" si="52"/>
        <v>OK</v>
      </c>
      <c r="V287" s="55" t="str">
        <f t="shared" si="55"/>
        <v/>
      </c>
      <c r="W287" s="55" t="str">
        <f>IF($V287="","",IF(COUNTIF($V$5:$V287,$V287)=1,1,""))</f>
        <v/>
      </c>
      <c r="X287" s="58" t="str">
        <f>IF($W287="","",MAX($X$4:X286)+1)</f>
        <v/>
      </c>
      <c r="Y287" s="62"/>
      <c r="Z287" s="62"/>
      <c r="AA287" s="64" t="str">
        <f>IF($C287="","",IFERROR(INDEX('Staff Directory'!$E$5:$E$594,MATCH($C287,'Staff Directory'!$B$5:$B$594,0)),""))</f>
        <v>firstname213.lastname213@example.com</v>
      </c>
      <c r="AB287" s="64" t="str">
        <f>IF($C287="","",IF(ISNUMBER(SEARCH($D287,Settings!$C$15)),"Pickup","Dispatch"))</f>
        <v>Pickup</v>
      </c>
      <c r="AC287" s="64" t="str">
        <f t="shared" si="56"/>
        <v>Supply order ready for pickup</v>
      </c>
      <c r="AD287" s="64" t="str">
        <f t="shared" si="47"/>
        <v>Dear PSW,
Your order is ready for pickup from Sample Branch, Wed-Fri 9am-4pm.</v>
      </c>
      <c r="AE287" s="64" t="str">
        <f t="shared" si="48"/>
        <v>mailto:firstname213.lastname213@example.com?subject=Supply%20order%20ready%20for%20pickup&amp;body=Dear%20PSW%2C%0A%0AYour%20order%20is%20ready%20for%20pickup%20from%20Sample%20Branch%2C%20Wed-Fri%209am-4pm.</v>
      </c>
      <c r="AF287" s="89" t="str">
        <f t="shared" si="57"/>
        <v>Draft email</v>
      </c>
      <c r="AG287" s="64" t="str">
        <f>IF($C287="","",IFERROR(INDEX('Staff Directory'!$K$595:$K$599,MATCH($C287,'Staff Directory'!$B$5:$B$599,0)),$D287))</f>
        <v>PSW</v>
      </c>
      <c r="AH287" t="str">
        <f>IF($C287="","",IFERROR(INDEX('Staff Directory'!$I$595:$I$599,MATCH($C287,'Staff Directory'!$B$5:$B$599,0))&amp;" "&amp;INDEX('Staff Directory'!$J$595:$J$599,MATCH($C287,'Staff Directory'!$B$5:$B$599,0)),$AG287))</f>
        <v>PSW</v>
      </c>
      <c r="AI287" s="102"/>
      <c r="AJ287" s="101">
        <f>IF($F287="","",SUMIFS($J$5:$J287,$F$5:$F287,$F287))</f>
        <v>13</v>
      </c>
      <c r="AK287" s="101">
        <f t="shared" si="49"/>
        <v>13</v>
      </c>
      <c r="AL287" s="66" t="str" cm="1">
        <f t="array" ref="AL287">IF($F287="","",IFERROR(INDEX('Lot Balance'!$B$5:$B$500,MATCH(1,INDEX(('Lot Balance'!$A$5:$A$500=$F287)*('Lot Balance'!$K$5:$K$500&lt;$AK287)*('Lot Balance'!$K$5:$K$500+'Lot Balance'!$D$5:$D$500&gt;=$AK287),0),0)),""))</f>
        <v>20-21734-1</v>
      </c>
      <c r="AM287" s="66" t="str" cm="1">
        <f t="array" ref="AM287">IF($F287="","",IFERROR(INDEX('Lot Balance'!$B$5:$B$500,MATCH(1,INDEX(('Lot Balance'!$A$5:$A$500=$F287)*('Lot Balance'!$K$5:$K$500&lt;$AJ287)*('Lot Balance'!$K$5:$K$500+'Lot Balance'!$D$5:$D$500&gt;=$AJ287),0),0)),""))</f>
        <v>20-21734-1</v>
      </c>
      <c r="AN287" s="66" t="str">
        <f>IF($F287="","",IF($AI287&lt;&gt;"",IF(COUNTIFS('Lot Balance'!$A$5:$A$500,$F287,'Lot Balance'!$B$5:$B$500,$AI287)=0,"⚠ override is not a lot of this item",IF($AI287=$AL287,"Override = FEFO","Override - FEFO says "&amp;$AL287)),IF($AL287="","⚠ no receipt on file for this item",IF($AM287&lt;&gt;$AL287,"FEFO auto - split, also "&amp;$AM287,"FEFO auto"))))</f>
        <v>FEFO auto</v>
      </c>
      <c r="AO287" s="114"/>
    </row>
    <row r="288" spans="1:41" x14ac:dyDescent="0.35">
      <c r="A288" s="74">
        <v>46128</v>
      </c>
      <c r="B288" s="18" t="str">
        <f>IF($C288="","",IFERROR(INDEX('Staff Directory'!$A$5:$A$594,MATCH($C288,'Staff Directory'!$B$5:$B$594,0)),"⚠ unknown staff"))</f>
        <v>PSW-150-A5</v>
      </c>
      <c r="C288" s="49" t="s">
        <v>1129</v>
      </c>
      <c r="D288" s="19" t="str">
        <f>IF($B288="","",IFERROR(INDEX('Staff Directory'!$C$5:$C$594,MATCH($B288,'Staff Directory'!$A$5:$A$594,0)),""))</f>
        <v>PSW</v>
      </c>
      <c r="E288" s="19" t="str">
        <f>IF($B288="","",IFERROR(INDEX('Staff Directory'!$D$5:$D$594,MATCH($B288,'Staff Directory'!$A$5:$A$594,0)),""))</f>
        <v>A5</v>
      </c>
      <c r="F288" s="9" t="s">
        <v>156</v>
      </c>
      <c r="G288" s="18" t="str">
        <f>IF($F288="","",IFERROR(INDEX(Items!$B$5:$B$597,MATCH($F288,Items!$A$5:$A$597,0)),"⚠ not in Items"))</f>
        <v>Masks</v>
      </c>
      <c r="H288" s="19" t="str">
        <f>IF($F288="","",IFERROR(INDEX(Items!$C$5:$C$597,MATCH($F288,Items!$A$5:$A$597,0)),""))</f>
        <v>One Size</v>
      </c>
      <c r="I288" s="23">
        <f>IF($F288="","",IFERROR(INDEX(Items!$E$5:$E$597,MATCH($F288,Items!$A$5:$A$597,0)),""))</f>
        <v>50</v>
      </c>
      <c r="J288" s="115">
        <f>IF(tblIssues[[#This Row],[Qty Override]]&lt;&gt;"",tblIssues[[#This Row],[Qty Override]],IF(tblIssues[[#This Row],[Standard Issue]]="","",tblIssues[[#This Row],[Standard Issue]]))</f>
        <v>50</v>
      </c>
      <c r="K288" s="20">
        <f>IF($F288="","",IFERROR(INDEX(Items!$D$5:$D$597,MATCH($F288,Items!$A$5:$A$597,0)),""))</f>
        <v>0.25</v>
      </c>
      <c r="L288" s="21">
        <f t="shared" si="50"/>
        <v>12.5</v>
      </c>
      <c r="M288" s="9" t="str">
        <f t="shared" si="51"/>
        <v>0125FPC24-0</v>
      </c>
      <c r="N288" s="24">
        <f>IF($A288="","",WORKDAY($A288,Settings!$C$9,HolidayDates))</f>
        <v>46136</v>
      </c>
      <c r="O288" s="24">
        <f>IF($N288="","",WORKDAY($N288,Settings!$C$10,HolidayDates))</f>
        <v>46176</v>
      </c>
      <c r="P288" s="10" t="s">
        <v>501</v>
      </c>
      <c r="Q288" s="52" t="str">
        <f t="shared" si="53"/>
        <v>Collected</v>
      </c>
      <c r="R288" s="55" t="str">
        <f t="shared" si="54"/>
        <v>2026-04</v>
      </c>
      <c r="S288" s="55">
        <f>IF(OR($B288="",$F288="",$R288=""),"",SUMIFS(tblIssues[Qty Issued],tblIssues[Staff ID],$B288,tblIssues[Item Name],$F288,tblIssues[Month],$R288))</f>
        <v>50</v>
      </c>
      <c r="T288" s="56">
        <f>IF($I288="","",$I288*Settings!$C$11)</f>
        <v>50</v>
      </c>
      <c r="U288" s="57" t="str">
        <f t="shared" si="52"/>
        <v>OK</v>
      </c>
      <c r="V288" s="55" t="str">
        <f t="shared" si="55"/>
        <v/>
      </c>
      <c r="W288" s="55" t="str">
        <f>IF($V288="","",IF(COUNTIF($V$5:$V288,$V288)=1,1,""))</f>
        <v/>
      </c>
      <c r="X288" s="58" t="str">
        <f>IF($W288="","",MAX($X$4:X287)+1)</f>
        <v/>
      </c>
      <c r="Y288" s="62"/>
      <c r="Z288" s="62"/>
      <c r="AA288" s="64" t="str">
        <f>IF($C288="","",IFERROR(INDEX('Staff Directory'!$E$5:$E$594,MATCH($C288,'Staff Directory'!$B$5:$B$594,0)),""))</f>
        <v>firstname213.lastname213@example.com</v>
      </c>
      <c r="AB288" s="64" t="str">
        <f>IF($C288="","",IF(ISNUMBER(SEARCH($D288,Settings!$C$15)),"Pickup","Dispatch"))</f>
        <v>Pickup</v>
      </c>
      <c r="AC288" s="64" t="str">
        <f t="shared" si="56"/>
        <v>Supply order ready for pickup</v>
      </c>
      <c r="AD288" s="64" t="str">
        <f t="shared" si="47"/>
        <v>Dear PSW,
Your order is ready for pickup from Sample Branch, Wed-Fri 9am-4pm.</v>
      </c>
      <c r="AE288" s="64" t="str">
        <f t="shared" si="48"/>
        <v>mailto:firstname213.lastname213@example.com?subject=Supply%20order%20ready%20for%20pickup&amp;body=Dear%20PSW%2C%0A%0AYour%20order%20is%20ready%20for%20pickup%20from%20Sample%20Branch%2C%20Wed-Fri%209am-4pm.</v>
      </c>
      <c r="AF288" s="89" t="str">
        <f t="shared" si="57"/>
        <v>Draft email</v>
      </c>
      <c r="AG288" s="64" t="str">
        <f>IF($C288="","",IFERROR(INDEX('Staff Directory'!$K$595:$K$599,MATCH($C288,'Staff Directory'!$B$5:$B$599,0)),$D288))</f>
        <v>PSW</v>
      </c>
      <c r="AH288" t="str">
        <f>IF($C288="","",IFERROR(INDEX('Staff Directory'!$I$595:$I$599,MATCH($C288,'Staff Directory'!$B$5:$B$599,0))&amp;" "&amp;INDEX('Staff Directory'!$J$595:$J$599,MATCH($C288,'Staff Directory'!$B$5:$B$599,0)),$AG288))</f>
        <v>PSW</v>
      </c>
      <c r="AI288" s="102"/>
      <c r="AJ288" s="101">
        <f>IF($F288="","",SUMIFS($J$5:$J288,$F$5:$F288,$F288))</f>
        <v>2100</v>
      </c>
      <c r="AK288" s="101">
        <f t="shared" si="49"/>
        <v>2051</v>
      </c>
      <c r="AL288" s="66" t="str" cm="1">
        <f t="array" ref="AL288">IF($F288="","",IFERROR(INDEX('Lot Balance'!$B$5:$B$500,MATCH(1,INDEX(('Lot Balance'!$A$5:$A$500=$F288)*('Lot Balance'!$K$5:$K$500&lt;$AK288)*('Lot Balance'!$K$5:$K$500+'Lot Balance'!$D$5:$D$500&gt;=$AK288),0),0)),""))</f>
        <v>0125FPC24-0</v>
      </c>
      <c r="AM288" s="66" t="str" cm="1">
        <f t="array" ref="AM288">IF($F288="","",IFERROR(INDEX('Lot Balance'!$B$5:$B$500,MATCH(1,INDEX(('Lot Balance'!$A$5:$A$500=$F288)*('Lot Balance'!$K$5:$K$500&lt;$AJ288)*('Lot Balance'!$K$5:$K$500+'Lot Balance'!$D$5:$D$500&gt;=$AJ288),0),0)),""))</f>
        <v>0125FPC24-0</v>
      </c>
      <c r="AN288" s="66" t="str">
        <f>IF($F288="","",IF($AI288&lt;&gt;"",IF(COUNTIFS('Lot Balance'!$A$5:$A$500,$F288,'Lot Balance'!$B$5:$B$500,$AI288)=0,"⚠ override is not a lot of this item",IF($AI288=$AL288,"Override = FEFO","Override - FEFO says "&amp;$AL288)),IF($AL288="","⚠ no receipt on file for this item",IF($AM288&lt;&gt;$AL288,"FEFO auto - split, also "&amp;$AM288,"FEFO auto"))))</f>
        <v>FEFO auto</v>
      </c>
      <c r="AO288" s="114"/>
    </row>
    <row r="289" spans="1:41" x14ac:dyDescent="0.35">
      <c r="A289" s="74">
        <v>46128</v>
      </c>
      <c r="B289" s="18" t="str">
        <f>IF($C289="","",IFERROR(INDEX('Staff Directory'!$A$5:$A$594,MATCH($C289,'Staff Directory'!$B$5:$B$594,0)),"⚠ unknown staff"))</f>
        <v>PSW-150-A5</v>
      </c>
      <c r="C289" s="49" t="s">
        <v>1129</v>
      </c>
      <c r="D289" s="19" t="str">
        <f>IF($B289="","",IFERROR(INDEX('Staff Directory'!$C$5:$C$594,MATCH($B289,'Staff Directory'!$A$5:$A$594,0)),""))</f>
        <v>PSW</v>
      </c>
      <c r="E289" s="19" t="str">
        <f>IF($B289="","",IFERROR(INDEX('Staff Directory'!$D$5:$D$594,MATCH($B289,'Staff Directory'!$A$5:$A$594,0)),""))</f>
        <v>A5</v>
      </c>
      <c r="F289" s="9" t="s">
        <v>755</v>
      </c>
      <c r="G289" s="18" t="str">
        <f>IF($F289="","",IFERROR(INDEX(Items!$B$5:$B$597,MATCH($F289,Items!$A$5:$A$597,0)),"⚠ not in Items"))</f>
        <v>Documents</v>
      </c>
      <c r="H289" s="19" t="str">
        <f>IF($F289="","",IFERROR(INDEX(Items!$C$5:$C$597,MATCH($F289,Items!$A$5:$A$597,0)),""))</f>
        <v>Standard</v>
      </c>
      <c r="I289" s="23">
        <f>IF($F289="","",IFERROR(INDEX(Items!$E$5:$E$597,MATCH($F289,Items!$A$5:$A$597,0)),""))</f>
        <v>2</v>
      </c>
      <c r="J289" s="115">
        <f>IF(tblIssues[[#This Row],[Qty Override]]&lt;&gt;"",tblIssues[[#This Row],[Qty Override]],IF(tblIssues[[#This Row],[Standard Issue]]="","",tblIssues[[#This Row],[Standard Issue]]))</f>
        <v>2</v>
      </c>
      <c r="K289" s="20">
        <f>IF($F289="","",IFERROR(INDEX(Items!$D$5:$D$597,MATCH($F289,Items!$A$5:$A$597,0)),""))</f>
        <v>0</v>
      </c>
      <c r="L289" s="21">
        <f t="shared" si="50"/>
        <v>0</v>
      </c>
      <c r="M289" s="9" t="str">
        <f t="shared" si="51"/>
        <v/>
      </c>
      <c r="N289" s="24">
        <f>IF($A289="","",WORKDAY($A289,Settings!$C$9,HolidayDates))</f>
        <v>46136</v>
      </c>
      <c r="O289" s="24">
        <f>IF($N289="","",WORKDAY($N289,Settings!$C$10,HolidayDates))</f>
        <v>46176</v>
      </c>
      <c r="P289" s="10" t="s">
        <v>501</v>
      </c>
      <c r="Q289" s="52" t="str">
        <f t="shared" si="53"/>
        <v>Collected</v>
      </c>
      <c r="R289" s="55" t="str">
        <f t="shared" si="54"/>
        <v>2026-04</v>
      </c>
      <c r="S289" s="55">
        <f>IF(OR($B289="",$F289="",$R289=""),"",SUMIFS(tblIssues[Qty Issued],tblIssues[Staff ID],$B289,tblIssues[Item Name],$F289,tblIssues[Month],$R289))</f>
        <v>2</v>
      </c>
      <c r="T289" s="56">
        <f>IF($I289="","",$I289*Settings!$C$11)</f>
        <v>2</v>
      </c>
      <c r="U289" s="57" t="str">
        <f t="shared" si="52"/>
        <v>OK</v>
      </c>
      <c r="V289" s="55" t="str">
        <f t="shared" si="55"/>
        <v/>
      </c>
      <c r="W289" s="55" t="str">
        <f>IF($V289="","",IF(COUNTIF($V$5:$V289,$V289)=1,1,""))</f>
        <v/>
      </c>
      <c r="X289" s="58" t="str">
        <f>IF($W289="","",MAX($X$4:X288)+1)</f>
        <v/>
      </c>
      <c r="Y289" s="62"/>
      <c r="Z289" s="62"/>
      <c r="AA289" s="64" t="str">
        <f>IF($C289="","",IFERROR(INDEX('Staff Directory'!$E$5:$E$594,MATCH($C289,'Staff Directory'!$B$5:$B$594,0)),""))</f>
        <v>firstname213.lastname213@example.com</v>
      </c>
      <c r="AB289" s="64" t="str">
        <f>IF($C289="","",IF(ISNUMBER(SEARCH($D289,Settings!$C$15)),"Pickup","Dispatch"))</f>
        <v>Pickup</v>
      </c>
      <c r="AC289" s="64" t="str">
        <f t="shared" si="56"/>
        <v>Supply order ready for pickup</v>
      </c>
      <c r="AD289" s="64" t="str">
        <f t="shared" si="47"/>
        <v>Dear PSW,
Your order is ready for pickup from Sample Branch, Wed-Fri 9am-4pm.</v>
      </c>
      <c r="AE289" s="64" t="str">
        <f t="shared" si="48"/>
        <v>mailto:firstname213.lastname213@example.com?subject=Supply%20order%20ready%20for%20pickup&amp;body=Dear%20PSW%2C%0A%0AYour%20order%20is%20ready%20for%20pickup%20from%20Sample%20Branch%2C%20Wed-Fri%209am-4pm.</v>
      </c>
      <c r="AF289" s="89" t="str">
        <f t="shared" si="57"/>
        <v>Draft email</v>
      </c>
      <c r="AG289" s="64" t="str">
        <f>IF($C289="","",IFERROR(INDEX('Staff Directory'!$K$595:$K$599,MATCH($C289,'Staff Directory'!$B$5:$B$599,0)),$D289))</f>
        <v>PSW</v>
      </c>
      <c r="AH289" t="str">
        <f>IF($C289="","",IFERROR(INDEX('Staff Directory'!$I$595:$I$599,MATCH($C289,'Staff Directory'!$B$5:$B$599,0))&amp;" "&amp;INDEX('Staff Directory'!$J$595:$J$599,MATCH($C289,'Staff Directory'!$B$5:$B$599,0)),$AG289))</f>
        <v>PSW</v>
      </c>
      <c r="AI289" s="102"/>
      <c r="AJ289" s="101">
        <f>IF($F289="","",SUMIFS($J$5:$J289,$F$5:$F289,$F289))</f>
        <v>74</v>
      </c>
      <c r="AK289" s="101">
        <f t="shared" si="49"/>
        <v>73</v>
      </c>
      <c r="AL289" s="66" t="str" cm="1">
        <f t="array" ref="AL289">IF($F289="","",IFERROR(INDEX('Lot Balance'!$B$5:$B$500,MATCH(1,INDEX(('Lot Balance'!$A$5:$A$500=$F289)*('Lot Balance'!$K$5:$K$500&lt;$AK289)*('Lot Balance'!$K$5:$K$500+'Lot Balance'!$D$5:$D$500&gt;=$AK289),0),0)),""))</f>
        <v/>
      </c>
      <c r="AM289" s="66" t="str" cm="1">
        <f t="array" ref="AM289">IF($F289="","",IFERROR(INDEX('Lot Balance'!$B$5:$B$500,MATCH(1,INDEX(('Lot Balance'!$A$5:$A$500=$F289)*('Lot Balance'!$K$5:$K$500&lt;$AJ289)*('Lot Balance'!$K$5:$K$500+'Lot Balance'!$D$5:$D$500&gt;=$AJ289),0),0)),""))</f>
        <v/>
      </c>
      <c r="AN289" s="66" t="str">
        <f>IF($F289="","",IF($AI289&lt;&gt;"",IF(COUNTIFS('Lot Balance'!$A$5:$A$500,$F289,'Lot Balance'!$B$5:$B$500,$AI289)=0,"⚠ override is not a lot of this item",IF($AI289=$AL289,"Override = FEFO","Override - FEFO says "&amp;$AL289)),IF($AL289="","⚠ no receipt on file for this item",IF($AM289&lt;&gt;$AL289,"FEFO auto - split, also "&amp;$AM289,"FEFO auto"))))</f>
        <v>⚠ no receipt on file for this item</v>
      </c>
      <c r="AO289" s="114"/>
    </row>
    <row r="290" spans="1:41" x14ac:dyDescent="0.35">
      <c r="A290" s="74">
        <v>46128</v>
      </c>
      <c r="B290" s="18" t="str">
        <f>IF($C290="","",IFERROR(INDEX('Staff Directory'!$A$5:$A$594,MATCH($C290,'Staff Directory'!$B$5:$B$594,0)),"⚠ unknown staff"))</f>
        <v>PSW-100-A6</v>
      </c>
      <c r="C290" s="49" t="s">
        <v>1078</v>
      </c>
      <c r="D290" s="19" t="str">
        <f>IF($B290="","",IFERROR(INDEX('Staff Directory'!$C$5:$C$594,MATCH($B290,'Staff Directory'!$A$5:$A$594,0)),""))</f>
        <v>PSW</v>
      </c>
      <c r="E290" s="19" t="str">
        <f>IF($B290="","",IFERROR(INDEX('Staff Directory'!$D$5:$D$594,MATCH($B290,'Staff Directory'!$A$5:$A$594,0)),""))</f>
        <v>A6</v>
      </c>
      <c r="F290" s="9" t="s">
        <v>129</v>
      </c>
      <c r="G290" s="18" t="str">
        <f>IF($F290="","",IFERROR(INDEX(Items!$B$5:$B$597,MATCH($F290,Items!$A$5:$A$597,0)),"⚠ not in Items"))</f>
        <v>Gloves</v>
      </c>
      <c r="H290" s="19" t="str">
        <f>IF($F290="","",IFERROR(INDEX(Items!$C$5:$C$597,MATCH($F290,Items!$A$5:$A$597,0)),""))</f>
        <v>Small</v>
      </c>
      <c r="I290" s="23">
        <f>IF($F290="","",IFERROR(INDEX(Items!$E$5:$E$597,MATCH($F290,Items!$A$5:$A$597,0)),""))</f>
        <v>500</v>
      </c>
      <c r="J290" s="115">
        <f>IF(tblIssues[[#This Row],[Qty Override]]&lt;&gt;"",tblIssues[[#This Row],[Qty Override]],IF(tblIssues[[#This Row],[Standard Issue]]="","",tblIssues[[#This Row],[Standard Issue]]))</f>
        <v>500</v>
      </c>
      <c r="K290" s="20">
        <f>IF($F290="","",IFERROR(INDEX(Items!$D$5:$D$597,MATCH($F290,Items!$A$5:$A$597,0)),""))</f>
        <v>5.5E-2</v>
      </c>
      <c r="L290" s="21">
        <f t="shared" si="50"/>
        <v>27.5</v>
      </c>
      <c r="M290" s="9" t="str">
        <f t="shared" si="51"/>
        <v>ZIM504124207-5</v>
      </c>
      <c r="N290" s="24">
        <f>IF($A290="","",WORKDAY($A290,Settings!$C$9,HolidayDates))</f>
        <v>46136</v>
      </c>
      <c r="O290" s="24">
        <f>IF($N290="","",WORKDAY($N290,Settings!$C$10,HolidayDates))</f>
        <v>46176</v>
      </c>
      <c r="P290" s="10" t="s">
        <v>501</v>
      </c>
      <c r="Q290" s="52" t="str">
        <f t="shared" si="53"/>
        <v>Collected</v>
      </c>
      <c r="R290" s="55" t="str">
        <f t="shared" si="54"/>
        <v>2026-04</v>
      </c>
      <c r="S290" s="55">
        <f>IF(OR($B290="",$F290="",$R290=""),"",SUMIFS(tblIssues[Qty Issued],tblIssues[Staff ID],$B290,tblIssues[Item Name],$F290,tblIssues[Month],$R290))</f>
        <v>500</v>
      </c>
      <c r="T290" s="56">
        <f>IF($I290="","",$I290*Settings!$C$11)</f>
        <v>500</v>
      </c>
      <c r="U290" s="57" t="str">
        <f t="shared" si="52"/>
        <v>OK</v>
      </c>
      <c r="V290" s="55" t="str">
        <f t="shared" si="55"/>
        <v/>
      </c>
      <c r="W290" s="55" t="str">
        <f>IF($V290="","",IF(COUNTIF($V$5:$V290,$V290)=1,1,""))</f>
        <v/>
      </c>
      <c r="X290" s="58" t="str">
        <f>IF($W290="","",MAX($X$4:X289)+1)</f>
        <v/>
      </c>
      <c r="Y290" s="62"/>
      <c r="Z290" s="62"/>
      <c r="AA290" s="64" t="str">
        <f>IF($C290="","",IFERROR(INDEX('Staff Directory'!$E$5:$E$594,MATCH($C290,'Staff Directory'!$B$5:$B$594,0)),""))</f>
        <v>firstname162.lastname162@example.com</v>
      </c>
      <c r="AB290" s="64" t="str">
        <f>IF($C290="","",IF(ISNUMBER(SEARCH($D290,Settings!$C$15)),"Pickup","Dispatch"))</f>
        <v>Pickup</v>
      </c>
      <c r="AC290" s="64" t="str">
        <f t="shared" si="56"/>
        <v>Supply order ready for pickup</v>
      </c>
      <c r="AD290" s="64" t="str">
        <f t="shared" si="47"/>
        <v>Dear PSW,
Your order is ready for pickup from Sample Branch, Wed-Fri 9am-4pm.</v>
      </c>
      <c r="AE290" s="64" t="str">
        <f t="shared" si="48"/>
        <v>mailto:firstname162.lastname162@example.com?subject=Supply%20order%20ready%20for%20pickup&amp;body=Dear%20PSW%2C%0A%0AYour%20order%20is%20ready%20for%20pickup%20from%20Sample%20Branch%2C%20Wed-Fri%209am-4pm.</v>
      </c>
      <c r="AF290" s="89" t="str">
        <f t="shared" si="57"/>
        <v>Draft email</v>
      </c>
      <c r="AG290" s="64" t="str">
        <f>IF($C290="","",IFERROR(INDEX('Staff Directory'!$K$595:$K$599,MATCH($C290,'Staff Directory'!$B$5:$B$599,0)),$D290))</f>
        <v>PSW</v>
      </c>
      <c r="AH290" t="str">
        <f>IF($C290="","",IFERROR(INDEX('Staff Directory'!$I$595:$I$599,MATCH($C290,'Staff Directory'!$B$5:$B$599,0))&amp;" "&amp;INDEX('Staff Directory'!$J$595:$J$599,MATCH($C290,'Staff Directory'!$B$5:$B$599,0)),$AG290))</f>
        <v>PSW</v>
      </c>
      <c r="AI290" s="102"/>
      <c r="AJ290" s="101">
        <f>IF($F290="","",SUMIFS($J$5:$J290,$F$5:$F290,$F290))</f>
        <v>11500</v>
      </c>
      <c r="AK290" s="101">
        <f t="shared" si="49"/>
        <v>11001</v>
      </c>
      <c r="AL290" s="66" t="str" cm="1">
        <f t="array" ref="AL290">IF($F290="","",IFERROR(INDEX('Lot Balance'!$B$5:$B$500,MATCH(1,INDEX(('Lot Balance'!$A$5:$A$500=$F290)*('Lot Balance'!$K$5:$K$500&lt;$AK290)*('Lot Balance'!$K$5:$K$500+'Lot Balance'!$D$5:$D$500&gt;=$AK290),0),0)),""))</f>
        <v>ZIM504124207-5</v>
      </c>
      <c r="AM290" s="66" t="str" cm="1">
        <f t="array" ref="AM290">IF($F290="","",IFERROR(INDEX('Lot Balance'!$B$5:$B$500,MATCH(1,INDEX(('Lot Balance'!$A$5:$A$500=$F290)*('Lot Balance'!$K$5:$K$500&lt;$AJ290)*('Lot Balance'!$K$5:$K$500+'Lot Balance'!$D$5:$D$500&gt;=$AJ290),0),0)),""))</f>
        <v>ZIM504124207-5</v>
      </c>
      <c r="AN290" s="66" t="str">
        <f>IF($F290="","",IF($AI290&lt;&gt;"",IF(COUNTIFS('Lot Balance'!$A$5:$A$500,$F290,'Lot Balance'!$B$5:$B$500,$AI290)=0,"⚠ override is not a lot of this item",IF($AI290=$AL290,"Override = FEFO","Override - FEFO says "&amp;$AL290)),IF($AL290="","⚠ no receipt on file for this item",IF($AM290&lt;&gt;$AL290,"FEFO auto - split, also "&amp;$AM290,"FEFO auto"))))</f>
        <v>FEFO auto</v>
      </c>
      <c r="AO290" s="114"/>
    </row>
    <row r="291" spans="1:41" x14ac:dyDescent="0.35">
      <c r="A291" s="74">
        <v>46128</v>
      </c>
      <c r="B291" s="18" t="str">
        <f>IF($C291="","",IFERROR(INDEX('Staff Directory'!$A$5:$A$594,MATCH($C291,'Staff Directory'!$B$5:$B$594,0)),"⚠ unknown staff"))</f>
        <v>PSW-100-A6</v>
      </c>
      <c r="C291" s="49" t="s">
        <v>1078</v>
      </c>
      <c r="D291" s="19" t="str">
        <f>IF($B291="","",IFERROR(INDEX('Staff Directory'!$C$5:$C$594,MATCH($B291,'Staff Directory'!$A$5:$A$594,0)),""))</f>
        <v>PSW</v>
      </c>
      <c r="E291" s="19" t="str">
        <f>IF($B291="","",IFERROR(INDEX('Staff Directory'!$D$5:$D$594,MATCH($B291,'Staff Directory'!$A$5:$A$594,0)),""))</f>
        <v>A6</v>
      </c>
      <c r="F291" s="9" t="s">
        <v>191</v>
      </c>
      <c r="G291" s="18" t="str">
        <f>IF($F291="","",IFERROR(INDEX(Items!$B$5:$B$597,MATCH($F291,Items!$A$5:$A$597,0)),"⚠ not in Items"))</f>
        <v>Sanitizer</v>
      </c>
      <c r="H291" s="19" t="str">
        <f>IF($F291="","",IFERROR(INDEX(Items!$C$5:$C$597,MATCH($F291,Items!$A$5:$A$597,0)),""))</f>
        <v>236 ML</v>
      </c>
      <c r="I291" s="23">
        <f>IF($F291="","",IFERROR(INDEX(Items!$E$5:$E$597,MATCH($F291,Items!$A$5:$A$597,0)),""))</f>
        <v>1</v>
      </c>
      <c r="J291" s="115">
        <f>IF(tblIssues[[#This Row],[Qty Override]]&lt;&gt;"",tblIssues[[#This Row],[Qty Override]],IF(tblIssues[[#This Row],[Standard Issue]]="","",tblIssues[[#This Row],[Standard Issue]]))</f>
        <v>1</v>
      </c>
      <c r="K291" s="20">
        <f>IF($F291="","",IFERROR(INDEX(Items!$D$5:$D$597,MATCH($F291,Items!$A$5:$A$597,0)),""))</f>
        <v>1E-4</v>
      </c>
      <c r="L291" s="21">
        <f t="shared" si="50"/>
        <v>1E-4</v>
      </c>
      <c r="M291" s="9" t="str">
        <f t="shared" si="51"/>
        <v>20-21734-1</v>
      </c>
      <c r="N291" s="24">
        <f>IF($A291="","",WORKDAY($A291,Settings!$C$9,HolidayDates))</f>
        <v>46136</v>
      </c>
      <c r="O291" s="24">
        <f>IF($N291="","",WORKDAY($N291,Settings!$C$10,HolidayDates))</f>
        <v>46176</v>
      </c>
      <c r="P291" s="10" t="s">
        <v>501</v>
      </c>
      <c r="Q291" s="52" t="str">
        <f t="shared" si="53"/>
        <v>Collected</v>
      </c>
      <c r="R291" s="55" t="str">
        <f t="shared" si="54"/>
        <v>2026-04</v>
      </c>
      <c r="S291" s="55">
        <f>IF(OR($B291="",$F291="",$R291=""),"",SUMIFS(tblIssues[Qty Issued],tblIssues[Staff ID],$B291,tblIssues[Item Name],$F291,tblIssues[Month],$R291))</f>
        <v>1</v>
      </c>
      <c r="T291" s="56">
        <f>IF($I291="","",$I291*Settings!$C$11)</f>
        <v>1</v>
      </c>
      <c r="U291" s="57" t="str">
        <f t="shared" si="52"/>
        <v>OK</v>
      </c>
      <c r="V291" s="55" t="str">
        <f t="shared" si="55"/>
        <v/>
      </c>
      <c r="W291" s="55" t="str">
        <f>IF($V291="","",IF(COUNTIF($V$5:$V291,$V291)=1,1,""))</f>
        <v/>
      </c>
      <c r="X291" s="58" t="str">
        <f>IF($W291="","",MAX($X$4:X290)+1)</f>
        <v/>
      </c>
      <c r="Y291" s="62"/>
      <c r="Z291" s="62"/>
      <c r="AA291" s="64" t="str">
        <f>IF($C291="","",IFERROR(INDEX('Staff Directory'!$E$5:$E$594,MATCH($C291,'Staff Directory'!$B$5:$B$594,0)),""))</f>
        <v>firstname162.lastname162@example.com</v>
      </c>
      <c r="AB291" s="64" t="str">
        <f>IF($C291="","",IF(ISNUMBER(SEARCH($D291,Settings!$C$15)),"Pickup","Dispatch"))</f>
        <v>Pickup</v>
      </c>
      <c r="AC291" s="64" t="str">
        <f t="shared" si="56"/>
        <v>Supply order ready for pickup</v>
      </c>
      <c r="AD291" s="64" t="str">
        <f t="shared" si="47"/>
        <v>Dear PSW,
Your order is ready for pickup from Sample Branch, Wed-Fri 9am-4pm.</v>
      </c>
      <c r="AE291" s="64" t="str">
        <f t="shared" si="48"/>
        <v>mailto:firstname162.lastname162@example.com?subject=Supply%20order%20ready%20for%20pickup&amp;body=Dear%20PSW%2C%0A%0AYour%20order%20is%20ready%20for%20pickup%20from%20Sample%20Branch%2C%20Wed-Fri%209am-4pm.</v>
      </c>
      <c r="AF291" s="89" t="str">
        <f t="shared" si="57"/>
        <v>Draft email</v>
      </c>
      <c r="AG291" s="64" t="str">
        <f>IF($C291="","",IFERROR(INDEX('Staff Directory'!$K$595:$K$599,MATCH($C291,'Staff Directory'!$B$5:$B$599,0)),$D291))</f>
        <v>PSW</v>
      </c>
      <c r="AH291" t="str">
        <f>IF($C291="","",IFERROR(INDEX('Staff Directory'!$I$595:$I$599,MATCH($C291,'Staff Directory'!$B$5:$B$599,0))&amp;" "&amp;INDEX('Staff Directory'!$J$595:$J$599,MATCH($C291,'Staff Directory'!$B$5:$B$599,0)),$AG291))</f>
        <v>PSW</v>
      </c>
      <c r="AI291" s="102"/>
      <c r="AJ291" s="101">
        <f>IF($F291="","",SUMIFS($J$5:$J291,$F$5:$F291,$F291))</f>
        <v>14</v>
      </c>
      <c r="AK291" s="101">
        <f t="shared" si="49"/>
        <v>14</v>
      </c>
      <c r="AL291" s="66" t="str" cm="1">
        <f t="array" ref="AL291">IF($F291="","",IFERROR(INDEX('Lot Balance'!$B$5:$B$500,MATCH(1,INDEX(('Lot Balance'!$A$5:$A$500=$F291)*('Lot Balance'!$K$5:$K$500&lt;$AK291)*('Lot Balance'!$K$5:$K$500+'Lot Balance'!$D$5:$D$500&gt;=$AK291),0),0)),""))</f>
        <v>20-21734-1</v>
      </c>
      <c r="AM291" s="66" t="str" cm="1">
        <f t="array" ref="AM291">IF($F291="","",IFERROR(INDEX('Lot Balance'!$B$5:$B$500,MATCH(1,INDEX(('Lot Balance'!$A$5:$A$500=$F291)*('Lot Balance'!$K$5:$K$500&lt;$AJ291)*('Lot Balance'!$K$5:$K$500+'Lot Balance'!$D$5:$D$500&gt;=$AJ291),0),0)),""))</f>
        <v>20-21734-1</v>
      </c>
      <c r="AN291" s="66" t="str">
        <f>IF($F291="","",IF($AI291&lt;&gt;"",IF(COUNTIFS('Lot Balance'!$A$5:$A$500,$F291,'Lot Balance'!$B$5:$B$500,$AI291)=0,"⚠ override is not a lot of this item",IF($AI291=$AL291,"Override = FEFO","Override - FEFO says "&amp;$AL291)),IF($AL291="","⚠ no receipt on file for this item",IF($AM291&lt;&gt;$AL291,"FEFO auto - split, also "&amp;$AM291,"FEFO auto"))))</f>
        <v>FEFO auto</v>
      </c>
      <c r="AO291" s="114"/>
    </row>
    <row r="292" spans="1:41" x14ac:dyDescent="0.35">
      <c r="A292" s="74">
        <v>46128</v>
      </c>
      <c r="B292" s="18" t="str">
        <f>IF($C292="","",IFERROR(INDEX('Staff Directory'!$A$5:$A$594,MATCH($C292,'Staff Directory'!$B$5:$B$594,0)),"⚠ unknown staff"))</f>
        <v>PSW-100-A6</v>
      </c>
      <c r="C292" s="49" t="s">
        <v>1078</v>
      </c>
      <c r="D292" s="19" t="str">
        <f>IF($B292="","",IFERROR(INDEX('Staff Directory'!$C$5:$C$594,MATCH($B292,'Staff Directory'!$A$5:$A$594,0)),""))</f>
        <v>PSW</v>
      </c>
      <c r="E292" s="19" t="str">
        <f>IF($B292="","",IFERROR(INDEX('Staff Directory'!$D$5:$D$594,MATCH($B292,'Staff Directory'!$A$5:$A$594,0)),""))</f>
        <v>A6</v>
      </c>
      <c r="F292" s="9" t="s">
        <v>115</v>
      </c>
      <c r="G292" s="18" t="str">
        <f>IF($F292="","",IFERROR(INDEX(Items!$B$5:$B$597,MATCH($F292,Items!$A$5:$A$597,0)),"⚠ not in Items"))</f>
        <v>Wipes</v>
      </c>
      <c r="H292" s="19">
        <f>IF($F292="","",IFERROR(INDEX(Items!$C$5:$C$597,MATCH($F292,Items!$A$5:$A$597,0)),""))</f>
        <v>80</v>
      </c>
      <c r="I292" s="23">
        <f>IF($F292="","",IFERROR(INDEX(Items!$E$5:$E$597,MATCH($F292,Items!$A$5:$A$597,0)),""))</f>
        <v>80</v>
      </c>
      <c r="J292" s="115">
        <f>IF(tblIssues[[#This Row],[Qty Override]]&lt;&gt;"",tblIssues[[#This Row],[Qty Override]],IF(tblIssues[[#This Row],[Standard Issue]]="","",tblIssues[[#This Row],[Standard Issue]]))</f>
        <v>80</v>
      </c>
      <c r="K292" s="20">
        <f>IF($F292="","",IFERROR(INDEX(Items!$D$5:$D$597,MATCH($F292,Items!$A$5:$A$597,0)),""))</f>
        <v>0.1</v>
      </c>
      <c r="L292" s="21">
        <f t="shared" si="50"/>
        <v>8</v>
      </c>
      <c r="M292" s="9" t="str">
        <f t="shared" si="51"/>
        <v>LYSL500290</v>
      </c>
      <c r="N292" s="24">
        <f>IF($A292="","",WORKDAY($A292,Settings!$C$9,HolidayDates))</f>
        <v>46136</v>
      </c>
      <c r="O292" s="24">
        <f>IF($N292="","",WORKDAY($N292,Settings!$C$10,HolidayDates))</f>
        <v>46176</v>
      </c>
      <c r="P292" s="10" t="s">
        <v>501</v>
      </c>
      <c r="Q292" s="52" t="str">
        <f t="shared" si="53"/>
        <v>Collected</v>
      </c>
      <c r="R292" s="55" t="str">
        <f t="shared" si="54"/>
        <v>2026-04</v>
      </c>
      <c r="S292" s="55">
        <f>IF(OR($B292="",$F292="",$R292=""),"",SUMIFS(tblIssues[Qty Issued],tblIssues[Staff ID],$B292,tblIssues[Item Name],$F292,tblIssues[Month],$R292))</f>
        <v>80</v>
      </c>
      <c r="T292" s="56">
        <f>IF($I292="","",$I292*Settings!$C$11)</f>
        <v>80</v>
      </c>
      <c r="U292" s="57" t="str">
        <f t="shared" si="52"/>
        <v>OK</v>
      </c>
      <c r="V292" s="55" t="str">
        <f t="shared" si="55"/>
        <v/>
      </c>
      <c r="W292" s="55" t="str">
        <f>IF($V292="","",IF(COUNTIF($V$5:$V292,$V292)=1,1,""))</f>
        <v/>
      </c>
      <c r="X292" s="58" t="str">
        <f>IF($W292="","",MAX($X$4:X291)+1)</f>
        <v/>
      </c>
      <c r="Y292" s="62"/>
      <c r="Z292" s="62"/>
      <c r="AA292" s="64" t="str">
        <f>IF($C292="","",IFERROR(INDEX('Staff Directory'!$E$5:$E$594,MATCH($C292,'Staff Directory'!$B$5:$B$594,0)),""))</f>
        <v>firstname162.lastname162@example.com</v>
      </c>
      <c r="AB292" s="64" t="str">
        <f>IF($C292="","",IF(ISNUMBER(SEARCH($D292,Settings!$C$15)),"Pickup","Dispatch"))</f>
        <v>Pickup</v>
      </c>
      <c r="AC292" s="64" t="str">
        <f t="shared" si="56"/>
        <v>Supply order ready for pickup</v>
      </c>
      <c r="AD292" s="64" t="str">
        <f t="shared" si="47"/>
        <v>Dear PSW,
Your order is ready for pickup from Sample Branch, Wed-Fri 9am-4pm.</v>
      </c>
      <c r="AE292" s="64" t="str">
        <f t="shared" si="48"/>
        <v>mailto:firstname162.lastname162@example.com?subject=Supply%20order%20ready%20for%20pickup&amp;body=Dear%20PSW%2C%0A%0AYour%20order%20is%20ready%20for%20pickup%20from%20Sample%20Branch%2C%20Wed-Fri%209am-4pm.</v>
      </c>
      <c r="AF292" s="89" t="str">
        <f t="shared" si="57"/>
        <v>Draft email</v>
      </c>
      <c r="AG292" s="64" t="str">
        <f>IF($C292="","",IFERROR(INDEX('Staff Directory'!$K$595:$K$599,MATCH($C292,'Staff Directory'!$B$5:$B$599,0)),$D292))</f>
        <v>PSW</v>
      </c>
      <c r="AH292" t="str">
        <f>IF($C292="","",IFERROR(INDEX('Staff Directory'!$I$595:$I$599,MATCH($C292,'Staff Directory'!$B$5:$B$599,0))&amp;" "&amp;INDEX('Staff Directory'!$J$595:$J$599,MATCH($C292,'Staff Directory'!$B$5:$B$599,0)),$AG292))</f>
        <v>PSW</v>
      </c>
      <c r="AI292" s="102"/>
      <c r="AJ292" s="101">
        <f>IF($F292="","",SUMIFS($J$5:$J292,$F$5:$F292,$F292))</f>
        <v>3920</v>
      </c>
      <c r="AK292" s="101">
        <f t="shared" si="49"/>
        <v>3841</v>
      </c>
      <c r="AL292" s="66" t="str" cm="1">
        <f t="array" ref="AL292">IF($F292="","",IFERROR(INDEX('Lot Balance'!$B$5:$B$500,MATCH(1,INDEX(('Lot Balance'!$A$5:$A$500=$F292)*('Lot Balance'!$K$5:$K$500&lt;$AK292)*('Lot Balance'!$K$5:$K$500+'Lot Balance'!$D$5:$D$500&gt;=$AK292),0),0)),""))</f>
        <v>LYSL500290</v>
      </c>
      <c r="AM292" s="66" t="str" cm="1">
        <f t="array" ref="AM292">IF($F292="","",IFERROR(INDEX('Lot Balance'!$B$5:$B$500,MATCH(1,INDEX(('Lot Balance'!$A$5:$A$500=$F292)*('Lot Balance'!$K$5:$K$500&lt;$AJ292)*('Lot Balance'!$K$5:$K$500+'Lot Balance'!$D$5:$D$500&gt;=$AJ292),0),0)),""))</f>
        <v>LYSL500290</v>
      </c>
      <c r="AN292" s="66" t="str">
        <f>IF($F292="","",IF($AI292&lt;&gt;"",IF(COUNTIFS('Lot Balance'!$A$5:$A$500,$F292,'Lot Balance'!$B$5:$B$500,$AI292)=0,"⚠ override is not a lot of this item",IF($AI292=$AL292,"Override = FEFO","Override - FEFO says "&amp;$AL292)),IF($AL292="","⚠ no receipt on file for this item",IF($AM292&lt;&gt;$AL292,"FEFO auto - split, also "&amp;$AM292,"FEFO auto"))))</f>
        <v>FEFO auto</v>
      </c>
      <c r="AO292" s="114"/>
    </row>
    <row r="293" spans="1:41" x14ac:dyDescent="0.35">
      <c r="A293" s="74">
        <v>46128</v>
      </c>
      <c r="B293" s="18" t="str">
        <f>IF($C293="","",IFERROR(INDEX('Staff Directory'!$A$5:$A$594,MATCH($C293,'Staff Directory'!$B$5:$B$594,0)),"⚠ unknown staff"))</f>
        <v>PSW-100-A6</v>
      </c>
      <c r="C293" s="49" t="s">
        <v>1078</v>
      </c>
      <c r="D293" s="19" t="str">
        <f>IF($B293="","",IFERROR(INDEX('Staff Directory'!$C$5:$C$594,MATCH($B293,'Staff Directory'!$A$5:$A$594,0)),""))</f>
        <v>PSW</v>
      </c>
      <c r="E293" s="19" t="str">
        <f>IF($B293="","",IFERROR(INDEX('Staff Directory'!$D$5:$D$594,MATCH($B293,'Staff Directory'!$A$5:$A$594,0)),""))</f>
        <v>A6</v>
      </c>
      <c r="F293" s="9" t="s">
        <v>156</v>
      </c>
      <c r="G293" s="18" t="str">
        <f>IF($F293="","",IFERROR(INDEX(Items!$B$5:$B$597,MATCH($F293,Items!$A$5:$A$597,0)),"⚠ not in Items"))</f>
        <v>Masks</v>
      </c>
      <c r="H293" s="19" t="str">
        <f>IF($F293="","",IFERROR(INDEX(Items!$C$5:$C$597,MATCH($F293,Items!$A$5:$A$597,0)),""))</f>
        <v>One Size</v>
      </c>
      <c r="I293" s="23">
        <f>IF($F293="","",IFERROR(INDEX(Items!$E$5:$E$597,MATCH($F293,Items!$A$5:$A$597,0)),""))</f>
        <v>50</v>
      </c>
      <c r="J293" s="115">
        <f>IF(tblIssues[[#This Row],[Qty Override]]&lt;&gt;"",tblIssues[[#This Row],[Qty Override]],IF(tblIssues[[#This Row],[Standard Issue]]="","",tblIssues[[#This Row],[Standard Issue]]))</f>
        <v>50</v>
      </c>
      <c r="K293" s="20">
        <f>IF($F293="","",IFERROR(INDEX(Items!$D$5:$D$597,MATCH($F293,Items!$A$5:$A$597,0)),""))</f>
        <v>0.25</v>
      </c>
      <c r="L293" s="21">
        <f t="shared" si="50"/>
        <v>12.5</v>
      </c>
      <c r="M293" s="9" t="str">
        <f t="shared" si="51"/>
        <v>0125FPC24-0</v>
      </c>
      <c r="N293" s="24">
        <f>IF($A293="","",WORKDAY($A293,Settings!$C$9,HolidayDates))</f>
        <v>46136</v>
      </c>
      <c r="O293" s="24">
        <f>IF($N293="","",WORKDAY($N293,Settings!$C$10,HolidayDates))</f>
        <v>46176</v>
      </c>
      <c r="P293" s="10" t="s">
        <v>501</v>
      </c>
      <c r="Q293" s="52" t="str">
        <f t="shared" si="53"/>
        <v>Collected</v>
      </c>
      <c r="R293" s="55" t="str">
        <f t="shared" si="54"/>
        <v>2026-04</v>
      </c>
      <c r="S293" s="55">
        <f>IF(OR($B293="",$F293="",$R293=""),"",SUMIFS(tblIssues[Qty Issued],tblIssues[Staff ID],$B293,tblIssues[Item Name],$F293,tblIssues[Month],$R293))</f>
        <v>50</v>
      </c>
      <c r="T293" s="56">
        <f>IF($I293="","",$I293*Settings!$C$11)</f>
        <v>50</v>
      </c>
      <c r="U293" s="57" t="str">
        <f t="shared" si="52"/>
        <v>OK</v>
      </c>
      <c r="V293" s="55" t="str">
        <f t="shared" si="55"/>
        <v/>
      </c>
      <c r="W293" s="55" t="str">
        <f>IF($V293="","",IF(COUNTIF($V$5:$V293,$V293)=1,1,""))</f>
        <v/>
      </c>
      <c r="X293" s="58" t="str">
        <f>IF($W293="","",MAX($X$4:X292)+1)</f>
        <v/>
      </c>
      <c r="Y293" s="62"/>
      <c r="Z293" s="62"/>
      <c r="AA293" s="64" t="str">
        <f>IF($C293="","",IFERROR(INDEX('Staff Directory'!$E$5:$E$594,MATCH($C293,'Staff Directory'!$B$5:$B$594,0)),""))</f>
        <v>firstname162.lastname162@example.com</v>
      </c>
      <c r="AB293" s="64" t="str">
        <f>IF($C293="","",IF(ISNUMBER(SEARCH($D293,Settings!$C$15)),"Pickup","Dispatch"))</f>
        <v>Pickup</v>
      </c>
      <c r="AC293" s="64" t="str">
        <f t="shared" si="56"/>
        <v>Supply order ready for pickup</v>
      </c>
      <c r="AD293" s="64" t="str">
        <f t="shared" si="47"/>
        <v>Dear PSW,
Your order is ready for pickup from Sample Branch, Wed-Fri 9am-4pm.</v>
      </c>
      <c r="AE293" s="64" t="str">
        <f t="shared" si="48"/>
        <v>mailto:firstname162.lastname162@example.com?subject=Supply%20order%20ready%20for%20pickup&amp;body=Dear%20PSW%2C%0A%0AYour%20order%20is%20ready%20for%20pickup%20from%20Sample%20Branch%2C%20Wed-Fri%209am-4pm.</v>
      </c>
      <c r="AF293" s="89" t="str">
        <f t="shared" si="57"/>
        <v>Draft email</v>
      </c>
      <c r="AG293" s="64" t="str">
        <f>IF($C293="","",IFERROR(INDEX('Staff Directory'!$K$595:$K$599,MATCH($C293,'Staff Directory'!$B$5:$B$599,0)),$D293))</f>
        <v>PSW</v>
      </c>
      <c r="AH293" t="str">
        <f>IF($C293="","",IFERROR(INDEX('Staff Directory'!$I$595:$I$599,MATCH($C293,'Staff Directory'!$B$5:$B$599,0))&amp;" "&amp;INDEX('Staff Directory'!$J$595:$J$599,MATCH($C293,'Staff Directory'!$B$5:$B$599,0)),$AG293))</f>
        <v>PSW</v>
      </c>
      <c r="AI293" s="102"/>
      <c r="AJ293" s="101">
        <f>IF($F293="","",SUMIFS($J$5:$J293,$F$5:$F293,$F293))</f>
        <v>2150</v>
      </c>
      <c r="AK293" s="101">
        <f t="shared" si="49"/>
        <v>2101</v>
      </c>
      <c r="AL293" s="66" t="str" cm="1">
        <f t="array" ref="AL293">IF($F293="","",IFERROR(INDEX('Lot Balance'!$B$5:$B$500,MATCH(1,INDEX(('Lot Balance'!$A$5:$A$500=$F293)*('Lot Balance'!$K$5:$K$500&lt;$AK293)*('Lot Balance'!$K$5:$K$500+'Lot Balance'!$D$5:$D$500&gt;=$AK293),0),0)),""))</f>
        <v>0125FPC24-0</v>
      </c>
      <c r="AM293" s="66" t="str" cm="1">
        <f t="array" ref="AM293">IF($F293="","",IFERROR(INDEX('Lot Balance'!$B$5:$B$500,MATCH(1,INDEX(('Lot Balance'!$A$5:$A$500=$F293)*('Lot Balance'!$K$5:$K$500&lt;$AJ293)*('Lot Balance'!$K$5:$K$500+'Lot Balance'!$D$5:$D$500&gt;=$AJ293),0),0)),""))</f>
        <v>0125FPC24-0</v>
      </c>
      <c r="AN293" s="66" t="str">
        <f>IF($F293="","",IF($AI293&lt;&gt;"",IF(COUNTIFS('Lot Balance'!$A$5:$A$500,$F293,'Lot Balance'!$B$5:$B$500,$AI293)=0,"⚠ override is not a lot of this item",IF($AI293=$AL293,"Override = FEFO","Override - FEFO says "&amp;$AL293)),IF($AL293="","⚠ no receipt on file for this item",IF($AM293&lt;&gt;$AL293,"FEFO auto - split, also "&amp;$AM293,"FEFO auto"))))</f>
        <v>FEFO auto</v>
      </c>
      <c r="AO293" s="114"/>
    </row>
    <row r="294" spans="1:41" x14ac:dyDescent="0.35">
      <c r="A294" s="74">
        <v>46128</v>
      </c>
      <c r="B294" s="18" t="str">
        <f>IF($C294="","",IFERROR(INDEX('Staff Directory'!$A$5:$A$594,MATCH($C294,'Staff Directory'!$B$5:$B$594,0)),"⚠ unknown staff"))</f>
        <v>PSW-100-A6</v>
      </c>
      <c r="C294" s="49" t="s">
        <v>1078</v>
      </c>
      <c r="D294" s="19" t="str">
        <f>IF($B294="","",IFERROR(INDEX('Staff Directory'!$C$5:$C$594,MATCH($B294,'Staff Directory'!$A$5:$A$594,0)),""))</f>
        <v>PSW</v>
      </c>
      <c r="E294" s="19" t="str">
        <f>IF($B294="","",IFERROR(INDEX('Staff Directory'!$D$5:$D$594,MATCH($B294,'Staff Directory'!$A$5:$A$594,0)),""))</f>
        <v>A6</v>
      </c>
      <c r="F294" s="9" t="s">
        <v>755</v>
      </c>
      <c r="G294" s="18" t="str">
        <f>IF($F294="","",IFERROR(INDEX(Items!$B$5:$B$597,MATCH($F294,Items!$A$5:$A$597,0)),"⚠ not in Items"))</f>
        <v>Documents</v>
      </c>
      <c r="H294" s="19" t="str">
        <f>IF($F294="","",IFERROR(INDEX(Items!$C$5:$C$597,MATCH($F294,Items!$A$5:$A$597,0)),""))</f>
        <v>Standard</v>
      </c>
      <c r="I294" s="23">
        <f>IF($F294="","",IFERROR(INDEX(Items!$E$5:$E$597,MATCH($F294,Items!$A$5:$A$597,0)),""))</f>
        <v>2</v>
      </c>
      <c r="J294" s="115">
        <f>IF(tblIssues[[#This Row],[Qty Override]]&lt;&gt;"",tblIssues[[#This Row],[Qty Override]],IF(tblIssues[[#This Row],[Standard Issue]]="","",tblIssues[[#This Row],[Standard Issue]]))</f>
        <v>2</v>
      </c>
      <c r="K294" s="20">
        <f>IF($F294="","",IFERROR(INDEX(Items!$D$5:$D$597,MATCH($F294,Items!$A$5:$A$597,0)),""))</f>
        <v>0</v>
      </c>
      <c r="L294" s="21">
        <f t="shared" si="50"/>
        <v>0</v>
      </c>
      <c r="M294" s="9" t="str">
        <f t="shared" si="51"/>
        <v/>
      </c>
      <c r="N294" s="24">
        <f>IF($A294="","",WORKDAY($A294,Settings!$C$9,HolidayDates))</f>
        <v>46136</v>
      </c>
      <c r="O294" s="24">
        <f>IF($N294="","",WORKDAY($N294,Settings!$C$10,HolidayDates))</f>
        <v>46176</v>
      </c>
      <c r="P294" s="10" t="s">
        <v>501</v>
      </c>
      <c r="Q294" s="52" t="str">
        <f t="shared" si="53"/>
        <v>Collected</v>
      </c>
      <c r="R294" s="55" t="str">
        <f t="shared" si="54"/>
        <v>2026-04</v>
      </c>
      <c r="S294" s="55">
        <f>IF(OR($B294="",$F294="",$R294=""),"",SUMIFS(tblIssues[Qty Issued],tblIssues[Staff ID],$B294,tblIssues[Item Name],$F294,tblIssues[Month],$R294))</f>
        <v>2</v>
      </c>
      <c r="T294" s="56">
        <f>IF($I294="","",$I294*Settings!$C$11)</f>
        <v>2</v>
      </c>
      <c r="U294" s="57" t="str">
        <f t="shared" si="52"/>
        <v>OK</v>
      </c>
      <c r="V294" s="55" t="str">
        <f t="shared" si="55"/>
        <v/>
      </c>
      <c r="W294" s="55" t="str">
        <f>IF($V294="","",IF(COUNTIF($V$5:$V294,$V294)=1,1,""))</f>
        <v/>
      </c>
      <c r="X294" s="58" t="str">
        <f>IF($W294="","",MAX($X$4:X293)+1)</f>
        <v/>
      </c>
      <c r="Y294" s="62"/>
      <c r="Z294" s="62"/>
      <c r="AA294" s="64" t="str">
        <f>IF($C294="","",IFERROR(INDEX('Staff Directory'!$E$5:$E$594,MATCH($C294,'Staff Directory'!$B$5:$B$594,0)),""))</f>
        <v>firstname162.lastname162@example.com</v>
      </c>
      <c r="AB294" s="64" t="str">
        <f>IF($C294="","",IF(ISNUMBER(SEARCH($D294,Settings!$C$15)),"Pickup","Dispatch"))</f>
        <v>Pickup</v>
      </c>
      <c r="AC294" s="64" t="str">
        <f t="shared" si="56"/>
        <v>Supply order ready for pickup</v>
      </c>
      <c r="AD294" s="64" t="str">
        <f t="shared" si="47"/>
        <v>Dear PSW,
Your order is ready for pickup from Sample Branch, Wed-Fri 9am-4pm.</v>
      </c>
      <c r="AE294" s="64" t="str">
        <f t="shared" si="48"/>
        <v>mailto:firstname162.lastname162@example.com?subject=Supply%20order%20ready%20for%20pickup&amp;body=Dear%20PSW%2C%0A%0AYour%20order%20is%20ready%20for%20pickup%20from%20Sample%20Branch%2C%20Wed-Fri%209am-4pm.</v>
      </c>
      <c r="AF294" s="89" t="str">
        <f t="shared" si="57"/>
        <v>Draft email</v>
      </c>
      <c r="AG294" s="64" t="str">
        <f>IF($C294="","",IFERROR(INDEX('Staff Directory'!$K$595:$K$599,MATCH($C294,'Staff Directory'!$B$5:$B$599,0)),$D294))</f>
        <v>PSW</v>
      </c>
      <c r="AH294" t="str">
        <f>IF($C294="","",IFERROR(INDEX('Staff Directory'!$I$595:$I$599,MATCH($C294,'Staff Directory'!$B$5:$B$599,0))&amp;" "&amp;INDEX('Staff Directory'!$J$595:$J$599,MATCH($C294,'Staff Directory'!$B$5:$B$599,0)),$AG294))</f>
        <v>PSW</v>
      </c>
      <c r="AI294" s="102"/>
      <c r="AJ294" s="101">
        <f>IF($F294="","",SUMIFS($J$5:$J294,$F$5:$F294,$F294))</f>
        <v>76</v>
      </c>
      <c r="AK294" s="101">
        <f t="shared" si="49"/>
        <v>75</v>
      </c>
      <c r="AL294" s="66" t="str" cm="1">
        <f t="array" ref="AL294">IF($F294="","",IFERROR(INDEX('Lot Balance'!$B$5:$B$500,MATCH(1,INDEX(('Lot Balance'!$A$5:$A$500=$F294)*('Lot Balance'!$K$5:$K$500&lt;$AK294)*('Lot Balance'!$K$5:$K$500+'Lot Balance'!$D$5:$D$500&gt;=$AK294),0),0)),""))</f>
        <v/>
      </c>
      <c r="AM294" s="66" t="str" cm="1">
        <f t="array" ref="AM294">IF($F294="","",IFERROR(INDEX('Lot Balance'!$B$5:$B$500,MATCH(1,INDEX(('Lot Balance'!$A$5:$A$500=$F294)*('Lot Balance'!$K$5:$K$500&lt;$AJ294)*('Lot Balance'!$K$5:$K$500+'Lot Balance'!$D$5:$D$500&gt;=$AJ294),0),0)),""))</f>
        <v/>
      </c>
      <c r="AN294" s="66" t="str">
        <f>IF($F294="","",IF($AI294&lt;&gt;"",IF(COUNTIFS('Lot Balance'!$A$5:$A$500,$F294,'Lot Balance'!$B$5:$B$500,$AI294)=0,"⚠ override is not a lot of this item",IF($AI294=$AL294,"Override = FEFO","Override - FEFO says "&amp;$AL294)),IF($AL294="","⚠ no receipt on file for this item",IF($AM294&lt;&gt;$AL294,"FEFO auto - split, also "&amp;$AM294,"FEFO auto"))))</f>
        <v>⚠ no receipt on file for this item</v>
      </c>
      <c r="AO294" s="114"/>
    </row>
    <row r="295" spans="1:41" x14ac:dyDescent="0.35">
      <c r="A295" s="74">
        <v>46128</v>
      </c>
      <c r="B295" s="18" t="str">
        <f>IF($C295="","",IFERROR(INDEX('Staff Directory'!$A$5:$A$594,MATCH($C295,'Staff Directory'!$B$5:$B$594,0)),"⚠ unknown staff"))</f>
        <v>PSW-108-A4</v>
      </c>
      <c r="C295" s="49" t="s">
        <v>1086</v>
      </c>
      <c r="D295" s="19" t="str">
        <f>IF($B295="","",IFERROR(INDEX('Staff Directory'!$C$5:$C$594,MATCH($B295,'Staff Directory'!$A$5:$A$594,0)),""))</f>
        <v>PSW</v>
      </c>
      <c r="E295" s="19" t="str">
        <f>IF($B295="","",IFERROR(INDEX('Staff Directory'!$D$5:$D$594,MATCH($B295,'Staff Directory'!$A$5:$A$594,0)),""))</f>
        <v>A4</v>
      </c>
      <c r="F295" s="9" t="s">
        <v>124</v>
      </c>
      <c r="G295" s="18" t="str">
        <f>IF($F295="","",IFERROR(INDEX(Items!$B$5:$B$597,MATCH($F295,Items!$A$5:$A$597,0)),"⚠ not in Items"))</f>
        <v>Gloves</v>
      </c>
      <c r="H295" s="19" t="str">
        <f>IF($F295="","",IFERROR(INDEX(Items!$C$5:$C$597,MATCH($F295,Items!$A$5:$A$597,0)),""))</f>
        <v>Large</v>
      </c>
      <c r="I295" s="23">
        <f>IF($F295="","",IFERROR(INDEX(Items!$E$5:$E$597,MATCH($F295,Items!$A$5:$A$597,0)),""))</f>
        <v>500</v>
      </c>
      <c r="J295" s="115">
        <f>IF(tblIssues[[#This Row],[Qty Override]]&lt;&gt;"",tblIssues[[#This Row],[Qty Override]],IF(tblIssues[[#This Row],[Standard Issue]]="","",tblIssues[[#This Row],[Standard Issue]]))</f>
        <v>500</v>
      </c>
      <c r="K295" s="20">
        <f>IF($F295="","",IFERROR(INDEX(Items!$D$5:$D$597,MATCH($F295,Items!$A$5:$A$597,0)),""))</f>
        <v>5.5E-2</v>
      </c>
      <c r="L295" s="21">
        <f t="shared" si="50"/>
        <v>27.5</v>
      </c>
      <c r="M295" s="9" t="str">
        <f t="shared" si="51"/>
        <v>ZIM511139904-0</v>
      </c>
      <c r="N295" s="24">
        <f>IF($A295="","",WORKDAY($A295,Settings!$C$9,HolidayDates))</f>
        <v>46136</v>
      </c>
      <c r="O295" s="24">
        <f>IF($N295="","",WORKDAY($N295,Settings!$C$10,HolidayDates))</f>
        <v>46176</v>
      </c>
      <c r="P295" s="10" t="s">
        <v>501</v>
      </c>
      <c r="Q295" s="52" t="str">
        <f t="shared" si="53"/>
        <v>Collected</v>
      </c>
      <c r="R295" s="55" t="str">
        <f t="shared" si="54"/>
        <v>2026-04</v>
      </c>
      <c r="S295" s="55">
        <f>IF(OR($B295="",$F295="",$R295=""),"",SUMIFS(tblIssues[Qty Issued],tblIssues[Staff ID],$B295,tblIssues[Item Name],$F295,tblIssues[Month],$R295))</f>
        <v>500</v>
      </c>
      <c r="T295" s="56">
        <f>IF($I295="","",$I295*Settings!$C$11)</f>
        <v>500</v>
      </c>
      <c r="U295" s="57" t="str">
        <f t="shared" si="52"/>
        <v>OK</v>
      </c>
      <c r="V295" s="55" t="str">
        <f t="shared" si="55"/>
        <v/>
      </c>
      <c r="W295" s="55" t="str">
        <f>IF($V295="","",IF(COUNTIF($V$5:$V295,$V295)=1,1,""))</f>
        <v/>
      </c>
      <c r="X295" s="58" t="str">
        <f>IF($W295="","",MAX($X$4:X294)+1)</f>
        <v/>
      </c>
      <c r="Y295" s="62"/>
      <c r="Z295" s="62"/>
      <c r="AA295" s="64" t="str">
        <f>IF($C295="","",IFERROR(INDEX('Staff Directory'!$E$5:$E$594,MATCH($C295,'Staff Directory'!$B$5:$B$594,0)),""))</f>
        <v>firstname170.lastname170@example.com</v>
      </c>
      <c r="AB295" s="64" t="str">
        <f>IF($C295="","",IF(ISNUMBER(SEARCH($D295,Settings!$C$15)),"Pickup","Dispatch"))</f>
        <v>Pickup</v>
      </c>
      <c r="AC295" s="64" t="str">
        <f t="shared" si="56"/>
        <v>Supply order ready for pickup</v>
      </c>
      <c r="AD295" s="64" t="str">
        <f t="shared" si="47"/>
        <v>Dear PSW,
Your order is ready for pickup from Sample Branch, Wed-Fri 9am-4pm.</v>
      </c>
      <c r="AE295" s="64" t="str">
        <f t="shared" si="48"/>
        <v>mailto:firstname170.lastname170@example.com?subject=Supply%20order%20ready%20for%20pickup&amp;body=Dear%20PSW%2C%0A%0AYour%20order%20is%20ready%20for%20pickup%20from%20Sample%20Branch%2C%20Wed-Fri%209am-4pm.</v>
      </c>
      <c r="AF295" s="89" t="str">
        <f t="shared" si="57"/>
        <v>Draft email</v>
      </c>
      <c r="AG295" s="64" t="str">
        <f>IF($C295="","",IFERROR(INDEX('Staff Directory'!$K$595:$K$599,MATCH($C295,'Staff Directory'!$B$5:$B$599,0)),$D295))</f>
        <v>PSW</v>
      </c>
      <c r="AH295" t="str">
        <f>IF($C295="","",IFERROR(INDEX('Staff Directory'!$I$595:$I$599,MATCH($C295,'Staff Directory'!$B$5:$B$599,0))&amp;" "&amp;INDEX('Staff Directory'!$J$595:$J$599,MATCH($C295,'Staff Directory'!$B$5:$B$599,0)),$AG295))</f>
        <v>PSW</v>
      </c>
      <c r="AI295" s="102"/>
      <c r="AJ295" s="101">
        <f>IF($F295="","",SUMIFS($J$5:$J295,$F$5:$F295,$F295))</f>
        <v>7500</v>
      </c>
      <c r="AK295" s="101">
        <f t="shared" si="49"/>
        <v>7001</v>
      </c>
      <c r="AL295" s="66" t="str" cm="1">
        <f t="array" ref="AL295">IF($F295="","",IFERROR(INDEX('Lot Balance'!$B$5:$B$500,MATCH(1,INDEX(('Lot Balance'!$A$5:$A$500=$F295)*('Lot Balance'!$K$5:$K$500&lt;$AK295)*('Lot Balance'!$K$5:$K$500+'Lot Balance'!$D$5:$D$500&gt;=$AK295),0),0)),""))</f>
        <v>ZIM511139904-0</v>
      </c>
      <c r="AM295" s="66" t="str" cm="1">
        <f t="array" ref="AM295">IF($F295="","",IFERROR(INDEX('Lot Balance'!$B$5:$B$500,MATCH(1,INDEX(('Lot Balance'!$A$5:$A$500=$F295)*('Lot Balance'!$K$5:$K$500&lt;$AJ295)*('Lot Balance'!$K$5:$K$500+'Lot Balance'!$D$5:$D$500&gt;=$AJ295),0),0)),""))</f>
        <v>ZIM511139904-0</v>
      </c>
      <c r="AN295" s="66" t="str">
        <f>IF($F295="","",IF($AI295&lt;&gt;"",IF(COUNTIFS('Lot Balance'!$A$5:$A$500,$F295,'Lot Balance'!$B$5:$B$500,$AI295)=0,"⚠ override is not a lot of this item",IF($AI295=$AL295,"Override = FEFO","Override - FEFO says "&amp;$AL295)),IF($AL295="","⚠ no receipt on file for this item",IF($AM295&lt;&gt;$AL295,"FEFO auto - split, also "&amp;$AM295,"FEFO auto"))))</f>
        <v>FEFO auto</v>
      </c>
      <c r="AO295" s="114"/>
    </row>
    <row r="296" spans="1:41" x14ac:dyDescent="0.35">
      <c r="A296" s="74">
        <v>46128</v>
      </c>
      <c r="B296" s="18" t="str">
        <f>IF($C296="","",IFERROR(INDEX('Staff Directory'!$A$5:$A$594,MATCH($C296,'Staff Directory'!$B$5:$B$594,0)),"⚠ unknown staff"))</f>
        <v>PSW-108-A4</v>
      </c>
      <c r="C296" s="49" t="s">
        <v>1086</v>
      </c>
      <c r="D296" s="19" t="str">
        <f>IF($B296="","",IFERROR(INDEX('Staff Directory'!$C$5:$C$594,MATCH($B296,'Staff Directory'!$A$5:$A$594,0)),""))</f>
        <v>PSW</v>
      </c>
      <c r="E296" s="19" t="str">
        <f>IF($B296="","",IFERROR(INDEX('Staff Directory'!$D$5:$D$594,MATCH($B296,'Staff Directory'!$A$5:$A$594,0)),""))</f>
        <v>A4</v>
      </c>
      <c r="F296" s="9" t="s">
        <v>191</v>
      </c>
      <c r="G296" s="18" t="str">
        <f>IF($F296="","",IFERROR(INDEX(Items!$B$5:$B$597,MATCH($F296,Items!$A$5:$A$597,0)),"⚠ not in Items"))</f>
        <v>Sanitizer</v>
      </c>
      <c r="H296" s="19" t="str">
        <f>IF($F296="","",IFERROR(INDEX(Items!$C$5:$C$597,MATCH($F296,Items!$A$5:$A$597,0)),""))</f>
        <v>236 ML</v>
      </c>
      <c r="I296" s="23">
        <f>IF($F296="","",IFERROR(INDEX(Items!$E$5:$E$597,MATCH($F296,Items!$A$5:$A$597,0)),""))</f>
        <v>1</v>
      </c>
      <c r="J296" s="115">
        <f>IF(tblIssues[[#This Row],[Qty Override]]&lt;&gt;"",tblIssues[[#This Row],[Qty Override]],IF(tblIssues[[#This Row],[Standard Issue]]="","",tblIssues[[#This Row],[Standard Issue]]))</f>
        <v>1</v>
      </c>
      <c r="K296" s="20">
        <f>IF($F296="","",IFERROR(INDEX(Items!$D$5:$D$597,MATCH($F296,Items!$A$5:$A$597,0)),""))</f>
        <v>1E-4</v>
      </c>
      <c r="L296" s="21">
        <f t="shared" si="50"/>
        <v>1E-4</v>
      </c>
      <c r="M296" s="9" t="str">
        <f t="shared" si="51"/>
        <v>20-21734-1</v>
      </c>
      <c r="N296" s="24">
        <f>IF($A296="","",WORKDAY($A296,Settings!$C$9,HolidayDates))</f>
        <v>46136</v>
      </c>
      <c r="O296" s="24">
        <f>IF($N296="","",WORKDAY($N296,Settings!$C$10,HolidayDates))</f>
        <v>46176</v>
      </c>
      <c r="P296" s="10" t="s">
        <v>501</v>
      </c>
      <c r="Q296" s="52" t="str">
        <f t="shared" si="53"/>
        <v>Collected</v>
      </c>
      <c r="R296" s="55" t="str">
        <f t="shared" si="54"/>
        <v>2026-04</v>
      </c>
      <c r="S296" s="55">
        <f>IF(OR($B296="",$F296="",$R296=""),"",SUMIFS(tblIssues[Qty Issued],tblIssues[Staff ID],$B296,tblIssues[Item Name],$F296,tblIssues[Month],$R296))</f>
        <v>1</v>
      </c>
      <c r="T296" s="56">
        <f>IF($I296="","",$I296*Settings!$C$11)</f>
        <v>1</v>
      </c>
      <c r="U296" s="57" t="str">
        <f t="shared" si="52"/>
        <v>OK</v>
      </c>
      <c r="V296" s="55" t="str">
        <f t="shared" si="55"/>
        <v/>
      </c>
      <c r="W296" s="55" t="str">
        <f>IF($V296="","",IF(COUNTIF($V$5:$V296,$V296)=1,1,""))</f>
        <v/>
      </c>
      <c r="X296" s="58" t="str">
        <f>IF($W296="","",MAX($X$4:X295)+1)</f>
        <v/>
      </c>
      <c r="Y296" s="62"/>
      <c r="Z296" s="62"/>
      <c r="AA296" s="64" t="str">
        <f>IF($C296="","",IFERROR(INDEX('Staff Directory'!$E$5:$E$594,MATCH($C296,'Staff Directory'!$B$5:$B$594,0)),""))</f>
        <v>firstname170.lastname170@example.com</v>
      </c>
      <c r="AB296" s="64" t="str">
        <f>IF($C296="","",IF(ISNUMBER(SEARCH($D296,Settings!$C$15)),"Pickup","Dispatch"))</f>
        <v>Pickup</v>
      </c>
      <c r="AC296" s="64" t="str">
        <f t="shared" si="56"/>
        <v>Supply order ready for pickup</v>
      </c>
      <c r="AD296" s="64" t="str">
        <f t="shared" si="47"/>
        <v>Dear PSW,
Your order is ready for pickup from Sample Branch, Wed-Fri 9am-4pm.</v>
      </c>
      <c r="AE296" s="64" t="str">
        <f t="shared" si="48"/>
        <v>mailto:firstname170.lastname170@example.com?subject=Supply%20order%20ready%20for%20pickup&amp;body=Dear%20PSW%2C%0A%0AYour%20order%20is%20ready%20for%20pickup%20from%20Sample%20Branch%2C%20Wed-Fri%209am-4pm.</v>
      </c>
      <c r="AF296" s="89" t="str">
        <f t="shared" si="57"/>
        <v>Draft email</v>
      </c>
      <c r="AG296" s="64" t="str">
        <f>IF($C296="","",IFERROR(INDEX('Staff Directory'!$K$595:$K$599,MATCH($C296,'Staff Directory'!$B$5:$B$599,0)),$D296))</f>
        <v>PSW</v>
      </c>
      <c r="AH296" t="str">
        <f>IF($C296="","",IFERROR(INDEX('Staff Directory'!$I$595:$I$599,MATCH($C296,'Staff Directory'!$B$5:$B$599,0))&amp;" "&amp;INDEX('Staff Directory'!$J$595:$J$599,MATCH($C296,'Staff Directory'!$B$5:$B$599,0)),$AG296))</f>
        <v>PSW</v>
      </c>
      <c r="AI296" s="102"/>
      <c r="AJ296" s="101">
        <f>IF($F296="","",SUMIFS($J$5:$J296,$F$5:$F296,$F296))</f>
        <v>15</v>
      </c>
      <c r="AK296" s="101">
        <f t="shared" si="49"/>
        <v>15</v>
      </c>
      <c r="AL296" s="66" t="str" cm="1">
        <f t="array" ref="AL296">IF($F296="","",IFERROR(INDEX('Lot Balance'!$B$5:$B$500,MATCH(1,INDEX(('Lot Balance'!$A$5:$A$500=$F296)*('Lot Balance'!$K$5:$K$500&lt;$AK296)*('Lot Balance'!$K$5:$K$500+'Lot Balance'!$D$5:$D$500&gt;=$AK296),0),0)),""))</f>
        <v>20-21734-1</v>
      </c>
      <c r="AM296" s="66" t="str" cm="1">
        <f t="array" ref="AM296">IF($F296="","",IFERROR(INDEX('Lot Balance'!$B$5:$B$500,MATCH(1,INDEX(('Lot Balance'!$A$5:$A$500=$F296)*('Lot Balance'!$K$5:$K$500&lt;$AJ296)*('Lot Balance'!$K$5:$K$500+'Lot Balance'!$D$5:$D$500&gt;=$AJ296),0),0)),""))</f>
        <v>20-21734-1</v>
      </c>
      <c r="AN296" s="66" t="str">
        <f>IF($F296="","",IF($AI296&lt;&gt;"",IF(COUNTIFS('Lot Balance'!$A$5:$A$500,$F296,'Lot Balance'!$B$5:$B$500,$AI296)=0,"⚠ override is not a lot of this item",IF($AI296=$AL296,"Override = FEFO","Override - FEFO says "&amp;$AL296)),IF($AL296="","⚠ no receipt on file for this item",IF($AM296&lt;&gt;$AL296,"FEFO auto - split, also "&amp;$AM296,"FEFO auto"))))</f>
        <v>FEFO auto</v>
      </c>
      <c r="AO296" s="114"/>
    </row>
    <row r="297" spans="1:41" x14ac:dyDescent="0.35">
      <c r="A297" s="74">
        <v>46128</v>
      </c>
      <c r="B297" s="18" t="str">
        <f>IF($C297="","",IFERROR(INDEX('Staff Directory'!$A$5:$A$594,MATCH($C297,'Staff Directory'!$B$5:$B$594,0)),"⚠ unknown staff"))</f>
        <v>PSW-108-A4</v>
      </c>
      <c r="C297" s="49" t="s">
        <v>1086</v>
      </c>
      <c r="D297" s="19" t="str">
        <f>IF($B297="","",IFERROR(INDEX('Staff Directory'!$C$5:$C$594,MATCH($B297,'Staff Directory'!$A$5:$A$594,0)),""))</f>
        <v>PSW</v>
      </c>
      <c r="E297" s="19" t="str">
        <f>IF($B297="","",IFERROR(INDEX('Staff Directory'!$D$5:$D$594,MATCH($B297,'Staff Directory'!$A$5:$A$594,0)),""))</f>
        <v>A4</v>
      </c>
      <c r="F297" s="9" t="s">
        <v>156</v>
      </c>
      <c r="G297" s="18" t="str">
        <f>IF($F297="","",IFERROR(INDEX(Items!$B$5:$B$597,MATCH($F297,Items!$A$5:$A$597,0)),"⚠ not in Items"))</f>
        <v>Masks</v>
      </c>
      <c r="H297" s="19" t="str">
        <f>IF($F297="","",IFERROR(INDEX(Items!$C$5:$C$597,MATCH($F297,Items!$A$5:$A$597,0)),""))</f>
        <v>One Size</v>
      </c>
      <c r="I297" s="23">
        <f>IF($F297="","",IFERROR(INDEX(Items!$E$5:$E$597,MATCH($F297,Items!$A$5:$A$597,0)),""))</f>
        <v>50</v>
      </c>
      <c r="J297" s="115">
        <f>IF(tblIssues[[#This Row],[Qty Override]]&lt;&gt;"",tblIssues[[#This Row],[Qty Override]],IF(tblIssues[[#This Row],[Standard Issue]]="","",tblIssues[[#This Row],[Standard Issue]]))</f>
        <v>50</v>
      </c>
      <c r="K297" s="20">
        <f>IF($F297="","",IFERROR(INDEX(Items!$D$5:$D$597,MATCH($F297,Items!$A$5:$A$597,0)),""))</f>
        <v>0.25</v>
      </c>
      <c r="L297" s="21">
        <f t="shared" si="50"/>
        <v>12.5</v>
      </c>
      <c r="M297" s="9" t="str">
        <f t="shared" si="51"/>
        <v>0125FPC24-0</v>
      </c>
      <c r="N297" s="24">
        <f>IF($A297="","",WORKDAY($A297,Settings!$C$9,HolidayDates))</f>
        <v>46136</v>
      </c>
      <c r="O297" s="24">
        <f>IF($N297="","",WORKDAY($N297,Settings!$C$10,HolidayDates))</f>
        <v>46176</v>
      </c>
      <c r="P297" s="10" t="s">
        <v>501</v>
      </c>
      <c r="Q297" s="52" t="str">
        <f t="shared" si="53"/>
        <v>Collected</v>
      </c>
      <c r="R297" s="55" t="str">
        <f t="shared" si="54"/>
        <v>2026-04</v>
      </c>
      <c r="S297" s="55">
        <f>IF(OR($B297="",$F297="",$R297=""),"",SUMIFS(tblIssues[Qty Issued],tblIssues[Staff ID],$B297,tblIssues[Item Name],$F297,tblIssues[Month],$R297))</f>
        <v>50</v>
      </c>
      <c r="T297" s="56">
        <f>IF($I297="","",$I297*Settings!$C$11)</f>
        <v>50</v>
      </c>
      <c r="U297" s="57" t="str">
        <f t="shared" si="52"/>
        <v>OK</v>
      </c>
      <c r="V297" s="55" t="str">
        <f t="shared" si="55"/>
        <v/>
      </c>
      <c r="W297" s="55" t="str">
        <f>IF($V297="","",IF(COUNTIF($V$5:$V297,$V297)=1,1,""))</f>
        <v/>
      </c>
      <c r="X297" s="58" t="str">
        <f>IF($W297="","",MAX($X$4:X296)+1)</f>
        <v/>
      </c>
      <c r="Y297" s="62"/>
      <c r="Z297" s="62"/>
      <c r="AA297" s="64" t="str">
        <f>IF($C297="","",IFERROR(INDEX('Staff Directory'!$E$5:$E$594,MATCH($C297,'Staff Directory'!$B$5:$B$594,0)),""))</f>
        <v>firstname170.lastname170@example.com</v>
      </c>
      <c r="AB297" s="64" t="str">
        <f>IF($C297="","",IF(ISNUMBER(SEARCH($D297,Settings!$C$15)),"Pickup","Dispatch"))</f>
        <v>Pickup</v>
      </c>
      <c r="AC297" s="64" t="str">
        <f t="shared" si="56"/>
        <v>Supply order ready for pickup</v>
      </c>
      <c r="AD297" s="64" t="str">
        <f t="shared" si="47"/>
        <v>Dear PSW,
Your order is ready for pickup from Sample Branch, Wed-Fri 9am-4pm.</v>
      </c>
      <c r="AE297" s="64" t="str">
        <f t="shared" si="48"/>
        <v>mailto:firstname170.lastname170@example.com?subject=Supply%20order%20ready%20for%20pickup&amp;body=Dear%20PSW%2C%0A%0AYour%20order%20is%20ready%20for%20pickup%20from%20Sample%20Branch%2C%20Wed-Fri%209am-4pm.</v>
      </c>
      <c r="AF297" s="89" t="str">
        <f t="shared" si="57"/>
        <v>Draft email</v>
      </c>
      <c r="AG297" s="64" t="str">
        <f>IF($C297="","",IFERROR(INDEX('Staff Directory'!$K$595:$K$599,MATCH($C297,'Staff Directory'!$B$5:$B$599,0)),$D297))</f>
        <v>PSW</v>
      </c>
      <c r="AH297" t="str">
        <f>IF($C297="","",IFERROR(INDEX('Staff Directory'!$I$595:$I$599,MATCH($C297,'Staff Directory'!$B$5:$B$599,0))&amp;" "&amp;INDEX('Staff Directory'!$J$595:$J$599,MATCH($C297,'Staff Directory'!$B$5:$B$599,0)),$AG297))</f>
        <v>PSW</v>
      </c>
      <c r="AI297" s="102"/>
      <c r="AJ297" s="101">
        <f>IF($F297="","",SUMIFS($J$5:$J297,$F$5:$F297,$F297))</f>
        <v>2200</v>
      </c>
      <c r="AK297" s="101">
        <f t="shared" si="49"/>
        <v>2151</v>
      </c>
      <c r="AL297" s="66" t="str" cm="1">
        <f t="array" ref="AL297">IF($F297="","",IFERROR(INDEX('Lot Balance'!$B$5:$B$500,MATCH(1,INDEX(('Lot Balance'!$A$5:$A$500=$F297)*('Lot Balance'!$K$5:$K$500&lt;$AK297)*('Lot Balance'!$K$5:$K$500+'Lot Balance'!$D$5:$D$500&gt;=$AK297),0),0)),""))</f>
        <v>0125FPC24-0</v>
      </c>
      <c r="AM297" s="66" t="str" cm="1">
        <f t="array" ref="AM297">IF($F297="","",IFERROR(INDEX('Lot Balance'!$B$5:$B$500,MATCH(1,INDEX(('Lot Balance'!$A$5:$A$500=$F297)*('Lot Balance'!$K$5:$K$500&lt;$AJ297)*('Lot Balance'!$K$5:$K$500+'Lot Balance'!$D$5:$D$500&gt;=$AJ297),0),0)),""))</f>
        <v>0125FPC24-0</v>
      </c>
      <c r="AN297" s="66" t="str">
        <f>IF($F297="","",IF($AI297&lt;&gt;"",IF(COUNTIFS('Lot Balance'!$A$5:$A$500,$F297,'Lot Balance'!$B$5:$B$500,$AI297)=0,"⚠ override is not a lot of this item",IF($AI297=$AL297,"Override = FEFO","Override - FEFO says "&amp;$AL297)),IF($AL297="","⚠ no receipt on file for this item",IF($AM297&lt;&gt;$AL297,"FEFO auto - split, also "&amp;$AM297,"FEFO auto"))))</f>
        <v>FEFO auto</v>
      </c>
      <c r="AO297" s="114"/>
    </row>
    <row r="298" spans="1:41" x14ac:dyDescent="0.35">
      <c r="A298" s="74">
        <v>46128</v>
      </c>
      <c r="B298" s="18" t="str">
        <f>IF($C298="","",IFERROR(INDEX('Staff Directory'!$A$5:$A$594,MATCH($C298,'Staff Directory'!$B$5:$B$594,0)),"⚠ unknown staff"))</f>
        <v>PSW-108-A4</v>
      </c>
      <c r="C298" s="49" t="s">
        <v>1086</v>
      </c>
      <c r="D298" s="19" t="str">
        <f>IF($B298="","",IFERROR(INDEX('Staff Directory'!$C$5:$C$594,MATCH($B298,'Staff Directory'!$A$5:$A$594,0)),""))</f>
        <v>PSW</v>
      </c>
      <c r="E298" s="19" t="str">
        <f>IF($B298="","",IFERROR(INDEX('Staff Directory'!$D$5:$D$594,MATCH($B298,'Staff Directory'!$A$5:$A$594,0)),""))</f>
        <v>A4</v>
      </c>
      <c r="F298" s="9" t="s">
        <v>755</v>
      </c>
      <c r="G298" s="18" t="str">
        <f>IF($F298="","",IFERROR(INDEX(Items!$B$5:$B$597,MATCH($F298,Items!$A$5:$A$597,0)),"⚠ not in Items"))</f>
        <v>Documents</v>
      </c>
      <c r="H298" s="19" t="str">
        <f>IF($F298="","",IFERROR(INDEX(Items!$C$5:$C$597,MATCH($F298,Items!$A$5:$A$597,0)),""))</f>
        <v>Standard</v>
      </c>
      <c r="I298" s="23">
        <f>IF($F298="","",IFERROR(INDEX(Items!$E$5:$E$597,MATCH($F298,Items!$A$5:$A$597,0)),""))</f>
        <v>2</v>
      </c>
      <c r="J298" s="115">
        <f>IF(tblIssues[[#This Row],[Qty Override]]&lt;&gt;"",tblIssues[[#This Row],[Qty Override]],IF(tblIssues[[#This Row],[Standard Issue]]="","",tblIssues[[#This Row],[Standard Issue]]))</f>
        <v>2</v>
      </c>
      <c r="K298" s="20">
        <f>IF($F298="","",IFERROR(INDEX(Items!$D$5:$D$597,MATCH($F298,Items!$A$5:$A$597,0)),""))</f>
        <v>0</v>
      </c>
      <c r="L298" s="21">
        <f t="shared" si="50"/>
        <v>0</v>
      </c>
      <c r="M298" s="9" t="str">
        <f t="shared" si="51"/>
        <v/>
      </c>
      <c r="N298" s="24">
        <f>IF($A298="","",WORKDAY($A298,Settings!$C$9,HolidayDates))</f>
        <v>46136</v>
      </c>
      <c r="O298" s="24">
        <f>IF($N298="","",WORKDAY($N298,Settings!$C$10,HolidayDates))</f>
        <v>46176</v>
      </c>
      <c r="P298" s="10" t="s">
        <v>501</v>
      </c>
      <c r="Q298" s="52" t="str">
        <f t="shared" si="53"/>
        <v>Collected</v>
      </c>
      <c r="R298" s="55" t="str">
        <f t="shared" si="54"/>
        <v>2026-04</v>
      </c>
      <c r="S298" s="55">
        <f>IF(OR($B298="",$F298="",$R298=""),"",SUMIFS(tblIssues[Qty Issued],tblIssues[Staff ID],$B298,tblIssues[Item Name],$F298,tblIssues[Month],$R298))</f>
        <v>2</v>
      </c>
      <c r="T298" s="56">
        <f>IF($I298="","",$I298*Settings!$C$11)</f>
        <v>2</v>
      </c>
      <c r="U298" s="57" t="str">
        <f t="shared" si="52"/>
        <v>OK</v>
      </c>
      <c r="V298" s="55" t="str">
        <f t="shared" si="55"/>
        <v/>
      </c>
      <c r="W298" s="55" t="str">
        <f>IF($V298="","",IF(COUNTIF($V$5:$V298,$V298)=1,1,""))</f>
        <v/>
      </c>
      <c r="X298" s="58" t="str">
        <f>IF($W298="","",MAX($X$4:X297)+1)</f>
        <v/>
      </c>
      <c r="Y298" s="62"/>
      <c r="Z298" s="62"/>
      <c r="AA298" s="64" t="str">
        <f>IF($C298="","",IFERROR(INDEX('Staff Directory'!$E$5:$E$594,MATCH($C298,'Staff Directory'!$B$5:$B$594,0)),""))</f>
        <v>firstname170.lastname170@example.com</v>
      </c>
      <c r="AB298" s="64" t="str">
        <f>IF($C298="","",IF(ISNUMBER(SEARCH($D298,Settings!$C$15)),"Pickup","Dispatch"))</f>
        <v>Pickup</v>
      </c>
      <c r="AC298" s="64" t="str">
        <f t="shared" si="56"/>
        <v>Supply order ready for pickup</v>
      </c>
      <c r="AD298" s="64" t="str">
        <f t="shared" si="47"/>
        <v>Dear PSW,
Your order is ready for pickup from Sample Branch, Wed-Fri 9am-4pm.</v>
      </c>
      <c r="AE298" s="64" t="str">
        <f t="shared" si="48"/>
        <v>mailto:firstname170.lastname170@example.com?subject=Supply%20order%20ready%20for%20pickup&amp;body=Dear%20PSW%2C%0A%0AYour%20order%20is%20ready%20for%20pickup%20from%20Sample%20Branch%2C%20Wed-Fri%209am-4pm.</v>
      </c>
      <c r="AF298" s="89" t="str">
        <f t="shared" si="57"/>
        <v>Draft email</v>
      </c>
      <c r="AG298" s="64" t="str">
        <f>IF($C298="","",IFERROR(INDEX('Staff Directory'!$K$595:$K$599,MATCH($C298,'Staff Directory'!$B$5:$B$599,0)),$D298))</f>
        <v>PSW</v>
      </c>
      <c r="AH298" t="str">
        <f>IF($C298="","",IFERROR(INDEX('Staff Directory'!$I$595:$I$599,MATCH($C298,'Staff Directory'!$B$5:$B$599,0))&amp;" "&amp;INDEX('Staff Directory'!$J$595:$J$599,MATCH($C298,'Staff Directory'!$B$5:$B$599,0)),$AG298))</f>
        <v>PSW</v>
      </c>
      <c r="AI298" s="102"/>
      <c r="AJ298" s="101">
        <f>IF($F298="","",SUMIFS($J$5:$J298,$F$5:$F298,$F298))</f>
        <v>78</v>
      </c>
      <c r="AK298" s="101">
        <f t="shared" si="49"/>
        <v>77</v>
      </c>
      <c r="AL298" s="66" t="str" cm="1">
        <f t="array" ref="AL298">IF($F298="","",IFERROR(INDEX('Lot Balance'!$B$5:$B$500,MATCH(1,INDEX(('Lot Balance'!$A$5:$A$500=$F298)*('Lot Balance'!$K$5:$K$500&lt;$AK298)*('Lot Balance'!$K$5:$K$500+'Lot Balance'!$D$5:$D$500&gt;=$AK298),0),0)),""))</f>
        <v/>
      </c>
      <c r="AM298" s="66" t="str" cm="1">
        <f t="array" ref="AM298">IF($F298="","",IFERROR(INDEX('Lot Balance'!$B$5:$B$500,MATCH(1,INDEX(('Lot Balance'!$A$5:$A$500=$F298)*('Lot Balance'!$K$5:$K$500&lt;$AJ298)*('Lot Balance'!$K$5:$K$500+'Lot Balance'!$D$5:$D$500&gt;=$AJ298),0),0)),""))</f>
        <v/>
      </c>
      <c r="AN298" s="66" t="str">
        <f>IF($F298="","",IF($AI298&lt;&gt;"",IF(COUNTIFS('Lot Balance'!$A$5:$A$500,$F298,'Lot Balance'!$B$5:$B$500,$AI298)=0,"⚠ override is not a lot of this item",IF($AI298=$AL298,"Override = FEFO","Override - FEFO says "&amp;$AL298)),IF($AL298="","⚠ no receipt on file for this item",IF($AM298&lt;&gt;$AL298,"FEFO auto - split, also "&amp;$AM298,"FEFO auto"))))</f>
        <v>⚠ no receipt on file for this item</v>
      </c>
      <c r="AO298" s="114"/>
    </row>
    <row r="299" spans="1:41" x14ac:dyDescent="0.35">
      <c r="A299" s="74">
        <v>46128</v>
      </c>
      <c r="B299" s="18" t="str">
        <f>IF($C299="","",IFERROR(INDEX('Staff Directory'!$A$5:$A$594,MATCH($C299,'Staff Directory'!$B$5:$B$594,0)),"⚠ unknown staff"))</f>
        <v>PSW-036-A7</v>
      </c>
      <c r="C299" s="49" t="s">
        <v>1011</v>
      </c>
      <c r="D299" s="19" t="str">
        <f>IF($B299="","",IFERROR(INDEX('Staff Directory'!$C$5:$C$594,MATCH($B299,'Staff Directory'!$A$5:$A$594,0)),""))</f>
        <v>PSW</v>
      </c>
      <c r="E299" s="19" t="str">
        <f>IF($B299="","",IFERROR(INDEX('Staff Directory'!$D$5:$D$594,MATCH($B299,'Staff Directory'!$A$5:$A$594,0)),""))</f>
        <v>A7</v>
      </c>
      <c r="F299" s="9" t="s">
        <v>127</v>
      </c>
      <c r="G299" s="18" t="str">
        <f>IF($F299="","",IFERROR(INDEX(Items!$B$5:$B$597,MATCH($F299,Items!$A$5:$A$597,0)),"⚠ not in Items"))</f>
        <v>Gloves</v>
      </c>
      <c r="H299" s="19" t="str">
        <f>IF($F299="","",IFERROR(INDEX(Items!$C$5:$C$597,MATCH($F299,Items!$A$5:$A$597,0)),""))</f>
        <v>Medium</v>
      </c>
      <c r="I299" s="23">
        <f>IF($F299="","",IFERROR(INDEX(Items!$E$5:$E$597,MATCH($F299,Items!$A$5:$A$597,0)),""))</f>
        <v>500</v>
      </c>
      <c r="J299" s="115">
        <f>IF(tblIssues[[#This Row],[Qty Override]]&lt;&gt;"",tblIssues[[#This Row],[Qty Override]],IF(tblIssues[[#This Row],[Standard Issue]]="","",tblIssues[[#This Row],[Standard Issue]]))</f>
        <v>500</v>
      </c>
      <c r="K299" s="20">
        <f>IF($F299="","",IFERROR(INDEX(Items!$D$5:$D$597,MATCH($F299,Items!$A$5:$A$597,0)),""))</f>
        <v>5.5E-2</v>
      </c>
      <c r="L299" s="21">
        <f t="shared" si="50"/>
        <v>27.5</v>
      </c>
      <c r="M299" s="9" t="str">
        <f t="shared" si="51"/>
        <v>0312HIC25</v>
      </c>
      <c r="N299" s="24">
        <f>IF($A299="","",WORKDAY($A299,Settings!$C$9,HolidayDates))</f>
        <v>46136</v>
      </c>
      <c r="O299" s="24">
        <f>IF($N299="","",WORKDAY($N299,Settings!$C$10,HolidayDates))</f>
        <v>46176</v>
      </c>
      <c r="P299" s="10" t="s">
        <v>501</v>
      </c>
      <c r="Q299" s="52" t="str">
        <f t="shared" si="53"/>
        <v>Collected</v>
      </c>
      <c r="R299" s="55" t="str">
        <f t="shared" si="54"/>
        <v>2026-04</v>
      </c>
      <c r="S299" s="55">
        <f>IF(OR($B299="",$F299="",$R299=""),"",SUMIFS(tblIssues[Qty Issued],tblIssues[Staff ID],$B299,tblIssues[Item Name],$F299,tblIssues[Month],$R299))</f>
        <v>500</v>
      </c>
      <c r="T299" s="56">
        <f>IF($I299="","",$I299*Settings!$C$11)</f>
        <v>500</v>
      </c>
      <c r="U299" s="57" t="str">
        <f t="shared" si="52"/>
        <v>OK</v>
      </c>
      <c r="V299" s="55" t="str">
        <f t="shared" si="55"/>
        <v/>
      </c>
      <c r="W299" s="55" t="str">
        <f>IF($V299="","",IF(COUNTIF($V$5:$V299,$V299)=1,1,""))</f>
        <v/>
      </c>
      <c r="X299" s="58" t="str">
        <f>IF($W299="","",MAX($X$4:X298)+1)</f>
        <v/>
      </c>
      <c r="Y299" s="62"/>
      <c r="Z299" s="62"/>
      <c r="AA299" s="64" t="str">
        <f>IF($C299="","",IFERROR(INDEX('Staff Directory'!$E$5:$E$594,MATCH($C299,'Staff Directory'!$B$5:$B$594,0)),""))</f>
        <v>firstname095.lastname095@example.com</v>
      </c>
      <c r="AB299" s="64" t="str">
        <f>IF($C299="","",IF(ISNUMBER(SEARCH($D299,Settings!$C$15)),"Pickup","Dispatch"))</f>
        <v>Pickup</v>
      </c>
      <c r="AC299" s="64" t="str">
        <f t="shared" si="56"/>
        <v>Supply order ready for pickup</v>
      </c>
      <c r="AD299" s="64" t="str">
        <f t="shared" si="47"/>
        <v>Dear PSW,
Your order is ready for pickup from Sample Branch, Wed-Fri 9am-4pm.</v>
      </c>
      <c r="AE299" s="64" t="str">
        <f t="shared" si="48"/>
        <v>mailto:firstname095.lastname095@example.com?subject=Supply%20order%20ready%20for%20pickup&amp;body=Dear%20PSW%2C%0A%0AYour%20order%20is%20ready%20for%20pickup%20from%20Sample%20Branch%2C%20Wed-Fri%209am-4pm.</v>
      </c>
      <c r="AF299" s="89" t="str">
        <f t="shared" si="57"/>
        <v>Draft email</v>
      </c>
      <c r="AG299" s="64" t="str">
        <f>IF($C299="","",IFERROR(INDEX('Staff Directory'!$K$595:$K$599,MATCH($C299,'Staff Directory'!$B$5:$B$599,0)),$D299))</f>
        <v>PSW</v>
      </c>
      <c r="AH299" t="str">
        <f>IF($C299="","",IFERROR(INDEX('Staff Directory'!$I$595:$I$599,MATCH($C299,'Staff Directory'!$B$5:$B$599,0))&amp;" "&amp;INDEX('Staff Directory'!$J$595:$J$599,MATCH($C299,'Staff Directory'!$B$5:$B$599,0)),$AG299))</f>
        <v>PSW</v>
      </c>
      <c r="AI299" s="102"/>
      <c r="AJ299" s="101">
        <f>IF($F299="","",SUMIFS($J$5:$J299,$F$5:$F299,$F299))</f>
        <v>18000</v>
      </c>
      <c r="AK299" s="101">
        <f t="shared" si="49"/>
        <v>17501</v>
      </c>
      <c r="AL299" s="66" t="str" cm="1">
        <f t="array" ref="AL299">IF($F299="","",IFERROR(INDEX('Lot Balance'!$B$5:$B$500,MATCH(1,INDEX(('Lot Balance'!$A$5:$A$500=$F299)*('Lot Balance'!$K$5:$K$500&lt;$AK299)*('Lot Balance'!$K$5:$K$500+'Lot Balance'!$D$5:$D$500&gt;=$AK299),0),0)),""))</f>
        <v>0312HIC25</v>
      </c>
      <c r="AM299" s="66" t="str" cm="1">
        <f t="array" ref="AM299">IF($F299="","",IFERROR(INDEX('Lot Balance'!$B$5:$B$500,MATCH(1,INDEX(('Lot Balance'!$A$5:$A$500=$F299)*('Lot Balance'!$K$5:$K$500&lt;$AJ299)*('Lot Balance'!$K$5:$K$500+'Lot Balance'!$D$5:$D$500&gt;=$AJ299),0),0)),""))</f>
        <v>0312HIC25</v>
      </c>
      <c r="AN299" s="66" t="str">
        <f>IF($F299="","",IF($AI299&lt;&gt;"",IF(COUNTIFS('Lot Balance'!$A$5:$A$500,$F299,'Lot Balance'!$B$5:$B$500,$AI299)=0,"⚠ override is not a lot of this item",IF($AI299=$AL299,"Override = FEFO","Override - FEFO says "&amp;$AL299)),IF($AL299="","⚠ no receipt on file for this item",IF($AM299&lt;&gt;$AL299,"FEFO auto - split, also "&amp;$AM299,"FEFO auto"))))</f>
        <v>FEFO auto</v>
      </c>
      <c r="AO299" s="114"/>
    </row>
    <row r="300" spans="1:41" x14ac:dyDescent="0.35">
      <c r="A300" s="74">
        <v>46128</v>
      </c>
      <c r="B300" s="18" t="str">
        <f>IF($C300="","",IFERROR(INDEX('Staff Directory'!$A$5:$A$594,MATCH($C300,'Staff Directory'!$B$5:$B$594,0)),"⚠ unknown staff"))</f>
        <v>PSW-036-A7</v>
      </c>
      <c r="C300" s="49" t="s">
        <v>1011</v>
      </c>
      <c r="D300" s="19" t="str">
        <f>IF($B300="","",IFERROR(INDEX('Staff Directory'!$C$5:$C$594,MATCH($B300,'Staff Directory'!$A$5:$A$594,0)),""))</f>
        <v>PSW</v>
      </c>
      <c r="E300" s="19" t="str">
        <f>IF($B300="","",IFERROR(INDEX('Staff Directory'!$D$5:$D$594,MATCH($B300,'Staff Directory'!$A$5:$A$594,0)),""))</f>
        <v>A7</v>
      </c>
      <c r="F300" s="9" t="s">
        <v>191</v>
      </c>
      <c r="G300" s="18" t="str">
        <f>IF($F300="","",IFERROR(INDEX(Items!$B$5:$B$597,MATCH($F300,Items!$A$5:$A$597,0)),"⚠ not in Items"))</f>
        <v>Sanitizer</v>
      </c>
      <c r="H300" s="19" t="str">
        <f>IF($F300="","",IFERROR(INDEX(Items!$C$5:$C$597,MATCH($F300,Items!$A$5:$A$597,0)),""))</f>
        <v>236 ML</v>
      </c>
      <c r="I300" s="23">
        <f>IF($F300="","",IFERROR(INDEX(Items!$E$5:$E$597,MATCH($F300,Items!$A$5:$A$597,0)),""))</f>
        <v>1</v>
      </c>
      <c r="J300" s="115">
        <f>IF(tblIssues[[#This Row],[Qty Override]]&lt;&gt;"",tblIssues[[#This Row],[Qty Override]],IF(tblIssues[[#This Row],[Standard Issue]]="","",tblIssues[[#This Row],[Standard Issue]]))</f>
        <v>1</v>
      </c>
      <c r="K300" s="20">
        <f>IF($F300="","",IFERROR(INDEX(Items!$D$5:$D$597,MATCH($F300,Items!$A$5:$A$597,0)),""))</f>
        <v>1E-4</v>
      </c>
      <c r="L300" s="21">
        <f t="shared" si="50"/>
        <v>1E-4</v>
      </c>
      <c r="M300" s="9" t="str">
        <f t="shared" si="51"/>
        <v>20-21734-1</v>
      </c>
      <c r="N300" s="24">
        <f>IF($A300="","",WORKDAY($A300,Settings!$C$9,HolidayDates))</f>
        <v>46136</v>
      </c>
      <c r="O300" s="24">
        <f>IF($N300="","",WORKDAY($N300,Settings!$C$10,HolidayDates))</f>
        <v>46176</v>
      </c>
      <c r="P300" s="10" t="s">
        <v>501</v>
      </c>
      <c r="Q300" s="52" t="str">
        <f t="shared" si="53"/>
        <v>Collected</v>
      </c>
      <c r="R300" s="55" t="str">
        <f t="shared" si="54"/>
        <v>2026-04</v>
      </c>
      <c r="S300" s="55">
        <f>IF(OR($B300="",$F300="",$R300=""),"",SUMIFS(tblIssues[Qty Issued],tblIssues[Staff ID],$B300,tblIssues[Item Name],$F300,tblIssues[Month],$R300))</f>
        <v>1</v>
      </c>
      <c r="T300" s="56">
        <f>IF($I300="","",$I300*Settings!$C$11)</f>
        <v>1</v>
      </c>
      <c r="U300" s="57" t="str">
        <f t="shared" si="52"/>
        <v>OK</v>
      </c>
      <c r="V300" s="55" t="str">
        <f t="shared" si="55"/>
        <v/>
      </c>
      <c r="W300" s="55" t="str">
        <f>IF($V300="","",IF(COUNTIF($V$5:$V300,$V300)=1,1,""))</f>
        <v/>
      </c>
      <c r="X300" s="58" t="str">
        <f>IF($W300="","",MAX($X$4:X299)+1)</f>
        <v/>
      </c>
      <c r="Y300" s="62"/>
      <c r="Z300" s="62"/>
      <c r="AA300" s="64" t="str">
        <f>IF($C300="","",IFERROR(INDEX('Staff Directory'!$E$5:$E$594,MATCH($C300,'Staff Directory'!$B$5:$B$594,0)),""))</f>
        <v>firstname095.lastname095@example.com</v>
      </c>
      <c r="AB300" s="64" t="str">
        <f>IF($C300="","",IF(ISNUMBER(SEARCH($D300,Settings!$C$15)),"Pickup","Dispatch"))</f>
        <v>Pickup</v>
      </c>
      <c r="AC300" s="64" t="str">
        <f t="shared" si="56"/>
        <v>Supply order ready for pickup</v>
      </c>
      <c r="AD300" s="64" t="str">
        <f t="shared" si="47"/>
        <v>Dear PSW,
Your order is ready for pickup from Sample Branch, Wed-Fri 9am-4pm.</v>
      </c>
      <c r="AE300" s="64" t="str">
        <f t="shared" si="48"/>
        <v>mailto:firstname095.lastname095@example.com?subject=Supply%20order%20ready%20for%20pickup&amp;body=Dear%20PSW%2C%0A%0AYour%20order%20is%20ready%20for%20pickup%20from%20Sample%20Branch%2C%20Wed-Fri%209am-4pm.</v>
      </c>
      <c r="AF300" s="89" t="str">
        <f t="shared" si="57"/>
        <v>Draft email</v>
      </c>
      <c r="AG300" s="64" t="str">
        <f>IF($C300="","",IFERROR(INDEX('Staff Directory'!$K$595:$K$599,MATCH($C300,'Staff Directory'!$B$5:$B$599,0)),$D300))</f>
        <v>PSW</v>
      </c>
      <c r="AH300" t="str">
        <f>IF($C300="","",IFERROR(INDEX('Staff Directory'!$I$595:$I$599,MATCH($C300,'Staff Directory'!$B$5:$B$599,0))&amp;" "&amp;INDEX('Staff Directory'!$J$595:$J$599,MATCH($C300,'Staff Directory'!$B$5:$B$599,0)),$AG300))</f>
        <v>PSW</v>
      </c>
      <c r="AI300" s="102"/>
      <c r="AJ300" s="101">
        <f>IF($F300="","",SUMIFS($J$5:$J300,$F$5:$F300,$F300))</f>
        <v>16</v>
      </c>
      <c r="AK300" s="101">
        <f t="shared" si="49"/>
        <v>16</v>
      </c>
      <c r="AL300" s="66" t="str" cm="1">
        <f t="array" ref="AL300">IF($F300="","",IFERROR(INDEX('Lot Balance'!$B$5:$B$500,MATCH(1,INDEX(('Lot Balance'!$A$5:$A$500=$F300)*('Lot Balance'!$K$5:$K$500&lt;$AK300)*('Lot Balance'!$K$5:$K$500+'Lot Balance'!$D$5:$D$500&gt;=$AK300),0),0)),""))</f>
        <v>20-21734-1</v>
      </c>
      <c r="AM300" s="66" t="str" cm="1">
        <f t="array" ref="AM300">IF($F300="","",IFERROR(INDEX('Lot Balance'!$B$5:$B$500,MATCH(1,INDEX(('Lot Balance'!$A$5:$A$500=$F300)*('Lot Balance'!$K$5:$K$500&lt;$AJ300)*('Lot Balance'!$K$5:$K$500+'Lot Balance'!$D$5:$D$500&gt;=$AJ300),0),0)),""))</f>
        <v>20-21734-1</v>
      </c>
      <c r="AN300" s="66" t="str">
        <f>IF($F300="","",IF($AI300&lt;&gt;"",IF(COUNTIFS('Lot Balance'!$A$5:$A$500,$F300,'Lot Balance'!$B$5:$B$500,$AI300)=0,"⚠ override is not a lot of this item",IF($AI300=$AL300,"Override = FEFO","Override - FEFO says "&amp;$AL300)),IF($AL300="","⚠ no receipt on file for this item",IF($AM300&lt;&gt;$AL300,"FEFO auto - split, also "&amp;$AM300,"FEFO auto"))))</f>
        <v>FEFO auto</v>
      </c>
      <c r="AO300" s="114"/>
    </row>
    <row r="301" spans="1:41" x14ac:dyDescent="0.35">
      <c r="A301" s="74">
        <v>46128</v>
      </c>
      <c r="B301" s="18" t="str">
        <f>IF($C301="","",IFERROR(INDEX('Staff Directory'!$A$5:$A$594,MATCH($C301,'Staff Directory'!$B$5:$B$594,0)),"⚠ unknown staff"))</f>
        <v>PSW-036-A7</v>
      </c>
      <c r="C301" s="49" t="s">
        <v>1011</v>
      </c>
      <c r="D301" s="19" t="str">
        <f>IF($B301="","",IFERROR(INDEX('Staff Directory'!$C$5:$C$594,MATCH($B301,'Staff Directory'!$A$5:$A$594,0)),""))</f>
        <v>PSW</v>
      </c>
      <c r="E301" s="19" t="str">
        <f>IF($B301="","",IFERROR(INDEX('Staff Directory'!$D$5:$D$594,MATCH($B301,'Staff Directory'!$A$5:$A$594,0)),""))</f>
        <v>A7</v>
      </c>
      <c r="F301" s="9" t="s">
        <v>115</v>
      </c>
      <c r="G301" s="18" t="str">
        <f>IF($F301="","",IFERROR(INDEX(Items!$B$5:$B$597,MATCH($F301,Items!$A$5:$A$597,0)),"⚠ not in Items"))</f>
        <v>Wipes</v>
      </c>
      <c r="H301" s="19">
        <f>IF($F301="","",IFERROR(INDEX(Items!$C$5:$C$597,MATCH($F301,Items!$A$5:$A$597,0)),""))</f>
        <v>80</v>
      </c>
      <c r="I301" s="23">
        <f>IF($F301="","",IFERROR(INDEX(Items!$E$5:$E$597,MATCH($F301,Items!$A$5:$A$597,0)),""))</f>
        <v>80</v>
      </c>
      <c r="J301" s="115">
        <f>IF(tblIssues[[#This Row],[Qty Override]]&lt;&gt;"",tblIssues[[#This Row],[Qty Override]],IF(tblIssues[[#This Row],[Standard Issue]]="","",tblIssues[[#This Row],[Standard Issue]]))</f>
        <v>80</v>
      </c>
      <c r="K301" s="20">
        <f>IF($F301="","",IFERROR(INDEX(Items!$D$5:$D$597,MATCH($F301,Items!$A$5:$A$597,0)),""))</f>
        <v>0.1</v>
      </c>
      <c r="L301" s="21">
        <f t="shared" si="50"/>
        <v>8</v>
      </c>
      <c r="M301" s="9" t="str">
        <f t="shared" si="51"/>
        <v>LYSL500290</v>
      </c>
      <c r="N301" s="24">
        <f>IF($A301="","",WORKDAY($A301,Settings!$C$9,HolidayDates))</f>
        <v>46136</v>
      </c>
      <c r="O301" s="24">
        <f>IF($N301="","",WORKDAY($N301,Settings!$C$10,HolidayDates))</f>
        <v>46176</v>
      </c>
      <c r="P301" s="10" t="s">
        <v>501</v>
      </c>
      <c r="Q301" s="52" t="str">
        <f t="shared" si="53"/>
        <v>Collected</v>
      </c>
      <c r="R301" s="55" t="str">
        <f t="shared" si="54"/>
        <v>2026-04</v>
      </c>
      <c r="S301" s="55">
        <f>IF(OR($B301="",$F301="",$R301=""),"",SUMIFS(tblIssues[Qty Issued],tblIssues[Staff ID],$B301,tblIssues[Item Name],$F301,tblIssues[Month],$R301))</f>
        <v>80</v>
      </c>
      <c r="T301" s="56">
        <f>IF($I301="","",$I301*Settings!$C$11)</f>
        <v>80</v>
      </c>
      <c r="U301" s="57" t="str">
        <f t="shared" si="52"/>
        <v>OK</v>
      </c>
      <c r="V301" s="55" t="str">
        <f t="shared" si="55"/>
        <v/>
      </c>
      <c r="W301" s="55" t="str">
        <f>IF($V301="","",IF(COUNTIF($V$5:$V301,$V301)=1,1,""))</f>
        <v/>
      </c>
      <c r="X301" s="58" t="str">
        <f>IF($W301="","",MAX($X$4:X300)+1)</f>
        <v/>
      </c>
      <c r="Y301" s="62"/>
      <c r="Z301" s="62"/>
      <c r="AA301" s="64" t="str">
        <f>IF($C301="","",IFERROR(INDEX('Staff Directory'!$E$5:$E$594,MATCH($C301,'Staff Directory'!$B$5:$B$594,0)),""))</f>
        <v>firstname095.lastname095@example.com</v>
      </c>
      <c r="AB301" s="64" t="str">
        <f>IF($C301="","",IF(ISNUMBER(SEARCH($D301,Settings!$C$15)),"Pickup","Dispatch"))</f>
        <v>Pickup</v>
      </c>
      <c r="AC301" s="64" t="str">
        <f t="shared" si="56"/>
        <v>Supply order ready for pickup</v>
      </c>
      <c r="AD301" s="64" t="str">
        <f t="shared" si="47"/>
        <v>Dear PSW,
Your order is ready for pickup from Sample Branch, Wed-Fri 9am-4pm.</v>
      </c>
      <c r="AE301" s="64" t="str">
        <f t="shared" si="48"/>
        <v>mailto:firstname095.lastname095@example.com?subject=Supply%20order%20ready%20for%20pickup&amp;body=Dear%20PSW%2C%0A%0AYour%20order%20is%20ready%20for%20pickup%20from%20Sample%20Branch%2C%20Wed-Fri%209am-4pm.</v>
      </c>
      <c r="AF301" s="89" t="str">
        <f t="shared" si="57"/>
        <v>Draft email</v>
      </c>
      <c r="AG301" s="64" t="str">
        <f>IF($C301="","",IFERROR(INDEX('Staff Directory'!$K$595:$K$599,MATCH($C301,'Staff Directory'!$B$5:$B$599,0)),$D301))</f>
        <v>PSW</v>
      </c>
      <c r="AH301" t="str">
        <f>IF($C301="","",IFERROR(INDEX('Staff Directory'!$I$595:$I$599,MATCH($C301,'Staff Directory'!$B$5:$B$599,0))&amp;" "&amp;INDEX('Staff Directory'!$J$595:$J$599,MATCH($C301,'Staff Directory'!$B$5:$B$599,0)),$AG301))</f>
        <v>PSW</v>
      </c>
      <c r="AI301" s="102"/>
      <c r="AJ301" s="101">
        <f>IF($F301="","",SUMIFS($J$5:$J301,$F$5:$F301,$F301))</f>
        <v>4000</v>
      </c>
      <c r="AK301" s="101">
        <f t="shared" si="49"/>
        <v>3921</v>
      </c>
      <c r="AL301" s="66" t="str" cm="1">
        <f t="array" ref="AL301">IF($F301="","",IFERROR(INDEX('Lot Balance'!$B$5:$B$500,MATCH(1,INDEX(('Lot Balance'!$A$5:$A$500=$F301)*('Lot Balance'!$K$5:$K$500&lt;$AK301)*('Lot Balance'!$K$5:$K$500+'Lot Balance'!$D$5:$D$500&gt;=$AK301),0),0)),""))</f>
        <v>LYSL500290</v>
      </c>
      <c r="AM301" s="66" t="str" cm="1">
        <f t="array" ref="AM301">IF($F301="","",IFERROR(INDEX('Lot Balance'!$B$5:$B$500,MATCH(1,INDEX(('Lot Balance'!$A$5:$A$500=$F301)*('Lot Balance'!$K$5:$K$500&lt;$AJ301)*('Lot Balance'!$K$5:$K$500+'Lot Balance'!$D$5:$D$500&gt;=$AJ301),0),0)),""))</f>
        <v>LYSL500290</v>
      </c>
      <c r="AN301" s="66" t="str">
        <f>IF($F301="","",IF($AI301&lt;&gt;"",IF(COUNTIFS('Lot Balance'!$A$5:$A$500,$F301,'Lot Balance'!$B$5:$B$500,$AI301)=0,"⚠ override is not a lot of this item",IF($AI301=$AL301,"Override = FEFO","Override - FEFO says "&amp;$AL301)),IF($AL301="","⚠ no receipt on file for this item",IF($AM301&lt;&gt;$AL301,"FEFO auto - split, also "&amp;$AM301,"FEFO auto"))))</f>
        <v>FEFO auto</v>
      </c>
      <c r="AO301" s="114"/>
    </row>
    <row r="302" spans="1:41" x14ac:dyDescent="0.35">
      <c r="A302" s="74">
        <v>46128</v>
      </c>
      <c r="B302" s="18" t="str">
        <f>IF($C302="","",IFERROR(INDEX('Staff Directory'!$A$5:$A$594,MATCH($C302,'Staff Directory'!$B$5:$B$594,0)),"⚠ unknown staff"))</f>
        <v>PSW-036-A7</v>
      </c>
      <c r="C302" s="49" t="s">
        <v>1011</v>
      </c>
      <c r="D302" s="19" t="str">
        <f>IF($B302="","",IFERROR(INDEX('Staff Directory'!$C$5:$C$594,MATCH($B302,'Staff Directory'!$A$5:$A$594,0)),""))</f>
        <v>PSW</v>
      </c>
      <c r="E302" s="19" t="str">
        <f>IF($B302="","",IFERROR(INDEX('Staff Directory'!$D$5:$D$594,MATCH($B302,'Staff Directory'!$A$5:$A$594,0)),""))</f>
        <v>A7</v>
      </c>
      <c r="F302" s="9" t="s">
        <v>156</v>
      </c>
      <c r="G302" s="18" t="str">
        <f>IF($F302="","",IFERROR(INDEX(Items!$B$5:$B$597,MATCH($F302,Items!$A$5:$A$597,0)),"⚠ not in Items"))</f>
        <v>Masks</v>
      </c>
      <c r="H302" s="19" t="str">
        <f>IF($F302="","",IFERROR(INDEX(Items!$C$5:$C$597,MATCH($F302,Items!$A$5:$A$597,0)),""))</f>
        <v>One Size</v>
      </c>
      <c r="I302" s="23">
        <f>IF($F302="","",IFERROR(INDEX(Items!$E$5:$E$597,MATCH($F302,Items!$A$5:$A$597,0)),""))</f>
        <v>50</v>
      </c>
      <c r="J302" s="115">
        <f>IF(tblIssues[[#This Row],[Qty Override]]&lt;&gt;"",tblIssues[[#This Row],[Qty Override]],IF(tblIssues[[#This Row],[Standard Issue]]="","",tblIssues[[#This Row],[Standard Issue]]))</f>
        <v>50</v>
      </c>
      <c r="K302" s="20">
        <f>IF($F302="","",IFERROR(INDEX(Items!$D$5:$D$597,MATCH($F302,Items!$A$5:$A$597,0)),""))</f>
        <v>0.25</v>
      </c>
      <c r="L302" s="21">
        <f t="shared" si="50"/>
        <v>12.5</v>
      </c>
      <c r="M302" s="9" t="str">
        <f t="shared" si="51"/>
        <v>0125FPC24-0</v>
      </c>
      <c r="N302" s="24">
        <f>IF($A302="","",WORKDAY($A302,Settings!$C$9,HolidayDates))</f>
        <v>46136</v>
      </c>
      <c r="O302" s="24">
        <f>IF($N302="","",WORKDAY($N302,Settings!$C$10,HolidayDates))</f>
        <v>46176</v>
      </c>
      <c r="P302" s="10" t="s">
        <v>501</v>
      </c>
      <c r="Q302" s="52" t="str">
        <f t="shared" si="53"/>
        <v>Collected</v>
      </c>
      <c r="R302" s="55" t="str">
        <f t="shared" si="54"/>
        <v>2026-04</v>
      </c>
      <c r="S302" s="55">
        <f>IF(OR($B302="",$F302="",$R302=""),"",SUMIFS(tblIssues[Qty Issued],tblIssues[Staff ID],$B302,tblIssues[Item Name],$F302,tblIssues[Month],$R302))</f>
        <v>50</v>
      </c>
      <c r="T302" s="56">
        <f>IF($I302="","",$I302*Settings!$C$11)</f>
        <v>50</v>
      </c>
      <c r="U302" s="57" t="str">
        <f t="shared" si="52"/>
        <v>OK</v>
      </c>
      <c r="V302" s="55" t="str">
        <f t="shared" si="55"/>
        <v/>
      </c>
      <c r="W302" s="55" t="str">
        <f>IF($V302="","",IF(COUNTIF($V$5:$V302,$V302)=1,1,""))</f>
        <v/>
      </c>
      <c r="X302" s="58" t="str">
        <f>IF($W302="","",MAX($X$4:X301)+1)</f>
        <v/>
      </c>
      <c r="Y302" s="62"/>
      <c r="Z302" s="62"/>
      <c r="AA302" s="64" t="str">
        <f>IF($C302="","",IFERROR(INDEX('Staff Directory'!$E$5:$E$594,MATCH($C302,'Staff Directory'!$B$5:$B$594,0)),""))</f>
        <v>firstname095.lastname095@example.com</v>
      </c>
      <c r="AB302" s="64" t="str">
        <f>IF($C302="","",IF(ISNUMBER(SEARCH($D302,Settings!$C$15)),"Pickup","Dispatch"))</f>
        <v>Pickup</v>
      </c>
      <c r="AC302" s="64" t="str">
        <f t="shared" si="56"/>
        <v>Supply order ready for pickup</v>
      </c>
      <c r="AD302" s="64" t="str">
        <f t="shared" si="47"/>
        <v>Dear PSW,
Your order is ready for pickup from Sample Branch, Wed-Fri 9am-4pm.</v>
      </c>
      <c r="AE302" s="64" t="str">
        <f t="shared" si="48"/>
        <v>mailto:firstname095.lastname095@example.com?subject=Supply%20order%20ready%20for%20pickup&amp;body=Dear%20PSW%2C%0A%0AYour%20order%20is%20ready%20for%20pickup%20from%20Sample%20Branch%2C%20Wed-Fri%209am-4pm.</v>
      </c>
      <c r="AF302" s="89" t="str">
        <f t="shared" si="57"/>
        <v>Draft email</v>
      </c>
      <c r="AG302" s="64" t="str">
        <f>IF($C302="","",IFERROR(INDEX('Staff Directory'!$K$595:$K$599,MATCH($C302,'Staff Directory'!$B$5:$B$599,0)),$D302))</f>
        <v>PSW</v>
      </c>
      <c r="AH302" t="str">
        <f>IF($C302="","",IFERROR(INDEX('Staff Directory'!$I$595:$I$599,MATCH($C302,'Staff Directory'!$B$5:$B$599,0))&amp;" "&amp;INDEX('Staff Directory'!$J$595:$J$599,MATCH($C302,'Staff Directory'!$B$5:$B$599,0)),$AG302))</f>
        <v>PSW</v>
      </c>
      <c r="AI302" s="102"/>
      <c r="AJ302" s="101">
        <f>IF($F302="","",SUMIFS($J$5:$J302,$F$5:$F302,$F302))</f>
        <v>2250</v>
      </c>
      <c r="AK302" s="101">
        <f t="shared" si="49"/>
        <v>2201</v>
      </c>
      <c r="AL302" s="66" t="str" cm="1">
        <f t="array" ref="AL302">IF($F302="","",IFERROR(INDEX('Lot Balance'!$B$5:$B$500,MATCH(1,INDEX(('Lot Balance'!$A$5:$A$500=$F302)*('Lot Balance'!$K$5:$K$500&lt;$AK302)*('Lot Balance'!$K$5:$K$500+'Lot Balance'!$D$5:$D$500&gt;=$AK302),0),0)),""))</f>
        <v>0125FPC24-0</v>
      </c>
      <c r="AM302" s="66" t="str" cm="1">
        <f t="array" ref="AM302">IF($F302="","",IFERROR(INDEX('Lot Balance'!$B$5:$B$500,MATCH(1,INDEX(('Lot Balance'!$A$5:$A$500=$F302)*('Lot Balance'!$K$5:$K$500&lt;$AJ302)*('Lot Balance'!$K$5:$K$500+'Lot Balance'!$D$5:$D$500&gt;=$AJ302),0),0)),""))</f>
        <v>0125FPC24-0</v>
      </c>
      <c r="AN302" s="66" t="str">
        <f>IF($F302="","",IF($AI302&lt;&gt;"",IF(COUNTIFS('Lot Balance'!$A$5:$A$500,$F302,'Lot Balance'!$B$5:$B$500,$AI302)=0,"⚠ override is not a lot of this item",IF($AI302=$AL302,"Override = FEFO","Override - FEFO says "&amp;$AL302)),IF($AL302="","⚠ no receipt on file for this item",IF($AM302&lt;&gt;$AL302,"FEFO auto - split, also "&amp;$AM302,"FEFO auto"))))</f>
        <v>FEFO auto</v>
      </c>
      <c r="AO302" s="114"/>
    </row>
    <row r="303" spans="1:41" x14ac:dyDescent="0.35">
      <c r="A303" s="74">
        <v>46128</v>
      </c>
      <c r="B303" s="18" t="str">
        <f>IF($C303="","",IFERROR(INDEX('Staff Directory'!$A$5:$A$594,MATCH($C303,'Staff Directory'!$B$5:$B$594,0)),"⚠ unknown staff"))</f>
        <v>PSW-036-A7</v>
      </c>
      <c r="C303" s="49" t="s">
        <v>1011</v>
      </c>
      <c r="D303" s="19" t="str">
        <f>IF($B303="","",IFERROR(INDEX('Staff Directory'!$C$5:$C$594,MATCH($B303,'Staff Directory'!$A$5:$A$594,0)),""))</f>
        <v>PSW</v>
      </c>
      <c r="E303" s="19" t="str">
        <f>IF($B303="","",IFERROR(INDEX('Staff Directory'!$D$5:$D$594,MATCH($B303,'Staff Directory'!$A$5:$A$594,0)),""))</f>
        <v>A7</v>
      </c>
      <c r="F303" s="9" t="s">
        <v>755</v>
      </c>
      <c r="G303" s="18" t="str">
        <f>IF($F303="","",IFERROR(INDEX(Items!$B$5:$B$597,MATCH($F303,Items!$A$5:$A$597,0)),"⚠ not in Items"))</f>
        <v>Documents</v>
      </c>
      <c r="H303" s="19" t="str">
        <f>IF($F303="","",IFERROR(INDEX(Items!$C$5:$C$597,MATCH($F303,Items!$A$5:$A$597,0)),""))</f>
        <v>Standard</v>
      </c>
      <c r="I303" s="23">
        <f>IF($F303="","",IFERROR(INDEX(Items!$E$5:$E$597,MATCH($F303,Items!$A$5:$A$597,0)),""))</f>
        <v>2</v>
      </c>
      <c r="J303" s="115">
        <f>IF(tblIssues[[#This Row],[Qty Override]]&lt;&gt;"",tblIssues[[#This Row],[Qty Override]],IF(tblIssues[[#This Row],[Standard Issue]]="","",tblIssues[[#This Row],[Standard Issue]]))</f>
        <v>2</v>
      </c>
      <c r="K303" s="20">
        <f>IF($F303="","",IFERROR(INDEX(Items!$D$5:$D$597,MATCH($F303,Items!$A$5:$A$597,0)),""))</f>
        <v>0</v>
      </c>
      <c r="L303" s="21">
        <f t="shared" si="50"/>
        <v>0</v>
      </c>
      <c r="M303" s="9" t="str">
        <f t="shared" si="51"/>
        <v/>
      </c>
      <c r="N303" s="24">
        <f>IF($A303="","",WORKDAY($A303,Settings!$C$9,HolidayDates))</f>
        <v>46136</v>
      </c>
      <c r="O303" s="24">
        <f>IF($N303="","",WORKDAY($N303,Settings!$C$10,HolidayDates))</f>
        <v>46176</v>
      </c>
      <c r="P303" s="10" t="s">
        <v>501</v>
      </c>
      <c r="Q303" s="52" t="str">
        <f t="shared" si="53"/>
        <v>Collected</v>
      </c>
      <c r="R303" s="55" t="str">
        <f t="shared" si="54"/>
        <v>2026-04</v>
      </c>
      <c r="S303" s="55">
        <f>IF(OR($B303="",$F303="",$R303=""),"",SUMIFS(tblIssues[Qty Issued],tblIssues[Staff ID],$B303,tblIssues[Item Name],$F303,tblIssues[Month],$R303))</f>
        <v>2</v>
      </c>
      <c r="T303" s="56">
        <f>IF($I303="","",$I303*Settings!$C$11)</f>
        <v>2</v>
      </c>
      <c r="U303" s="57" t="str">
        <f t="shared" si="52"/>
        <v>OK</v>
      </c>
      <c r="V303" s="55" t="str">
        <f t="shared" si="55"/>
        <v/>
      </c>
      <c r="W303" s="55" t="str">
        <f>IF($V303="","",IF(COUNTIF($V$5:$V303,$V303)=1,1,""))</f>
        <v/>
      </c>
      <c r="X303" s="58" t="str">
        <f>IF($W303="","",MAX($X$4:X302)+1)</f>
        <v/>
      </c>
      <c r="Y303" s="62"/>
      <c r="Z303" s="62"/>
      <c r="AA303" s="64" t="str">
        <f>IF($C303="","",IFERROR(INDEX('Staff Directory'!$E$5:$E$594,MATCH($C303,'Staff Directory'!$B$5:$B$594,0)),""))</f>
        <v>firstname095.lastname095@example.com</v>
      </c>
      <c r="AB303" s="64" t="str">
        <f>IF($C303="","",IF(ISNUMBER(SEARCH($D303,Settings!$C$15)),"Pickup","Dispatch"))</f>
        <v>Pickup</v>
      </c>
      <c r="AC303" s="64" t="str">
        <f t="shared" si="56"/>
        <v>Supply order ready for pickup</v>
      </c>
      <c r="AD303" s="64" t="str">
        <f t="shared" si="47"/>
        <v>Dear PSW,
Your order is ready for pickup from Sample Branch, Wed-Fri 9am-4pm.</v>
      </c>
      <c r="AE303" s="64" t="str">
        <f t="shared" si="48"/>
        <v>mailto:firstname095.lastname095@example.com?subject=Supply%20order%20ready%20for%20pickup&amp;body=Dear%20PSW%2C%0A%0AYour%20order%20is%20ready%20for%20pickup%20from%20Sample%20Branch%2C%20Wed-Fri%209am-4pm.</v>
      </c>
      <c r="AF303" s="89" t="str">
        <f t="shared" si="57"/>
        <v>Draft email</v>
      </c>
      <c r="AG303" s="64" t="str">
        <f>IF($C303="","",IFERROR(INDEX('Staff Directory'!$K$595:$K$599,MATCH($C303,'Staff Directory'!$B$5:$B$599,0)),$D303))</f>
        <v>PSW</v>
      </c>
      <c r="AH303" t="str">
        <f>IF($C303="","",IFERROR(INDEX('Staff Directory'!$I$595:$I$599,MATCH($C303,'Staff Directory'!$B$5:$B$599,0))&amp;" "&amp;INDEX('Staff Directory'!$J$595:$J$599,MATCH($C303,'Staff Directory'!$B$5:$B$599,0)),$AG303))</f>
        <v>PSW</v>
      </c>
      <c r="AI303" s="102"/>
      <c r="AJ303" s="101">
        <f>IF($F303="","",SUMIFS($J$5:$J303,$F$5:$F303,$F303))</f>
        <v>80</v>
      </c>
      <c r="AK303" s="101">
        <f t="shared" si="49"/>
        <v>79</v>
      </c>
      <c r="AL303" s="66" t="str" cm="1">
        <f t="array" ref="AL303">IF($F303="","",IFERROR(INDEX('Lot Balance'!$B$5:$B$500,MATCH(1,INDEX(('Lot Balance'!$A$5:$A$500=$F303)*('Lot Balance'!$K$5:$K$500&lt;$AK303)*('Lot Balance'!$K$5:$K$500+'Lot Balance'!$D$5:$D$500&gt;=$AK303),0),0)),""))</f>
        <v/>
      </c>
      <c r="AM303" s="66" t="str" cm="1">
        <f t="array" ref="AM303">IF($F303="","",IFERROR(INDEX('Lot Balance'!$B$5:$B$500,MATCH(1,INDEX(('Lot Balance'!$A$5:$A$500=$F303)*('Lot Balance'!$K$5:$K$500&lt;$AJ303)*('Lot Balance'!$K$5:$K$500+'Lot Balance'!$D$5:$D$500&gt;=$AJ303),0),0)),""))</f>
        <v/>
      </c>
      <c r="AN303" s="66" t="str">
        <f>IF($F303="","",IF($AI303&lt;&gt;"",IF(COUNTIFS('Lot Balance'!$A$5:$A$500,$F303,'Lot Balance'!$B$5:$B$500,$AI303)=0,"⚠ override is not a lot of this item",IF($AI303=$AL303,"Override = FEFO","Override - FEFO says "&amp;$AL303)),IF($AL303="","⚠ no receipt on file for this item",IF($AM303&lt;&gt;$AL303,"FEFO auto - split, also "&amp;$AM303,"FEFO auto"))))</f>
        <v>⚠ no receipt on file for this item</v>
      </c>
      <c r="AO303" s="114"/>
    </row>
    <row r="304" spans="1:41" x14ac:dyDescent="0.35">
      <c r="A304" s="74">
        <v>46128</v>
      </c>
      <c r="B304" s="18" t="str">
        <f>IF($C304="","",IFERROR(INDEX('Staff Directory'!$A$5:$A$594,MATCH($C304,'Staff Directory'!$B$5:$B$594,0)),"⚠ unknown staff"))</f>
        <v>PSW-076-A5</v>
      </c>
      <c r="C304" s="49" t="s">
        <v>1052</v>
      </c>
      <c r="D304" s="19" t="str">
        <f>IF($B304="","",IFERROR(INDEX('Staff Directory'!$C$5:$C$594,MATCH($B304,'Staff Directory'!$A$5:$A$594,0)),""))</f>
        <v>PSW</v>
      </c>
      <c r="E304" s="19" t="str">
        <f>IF($B304="","",IFERROR(INDEX('Staff Directory'!$D$5:$D$594,MATCH($B304,'Staff Directory'!$A$5:$A$594,0)),""))</f>
        <v>A5</v>
      </c>
      <c r="F304" s="9" t="s">
        <v>127</v>
      </c>
      <c r="G304" s="18" t="str">
        <f>IF($F304="","",IFERROR(INDEX(Items!$B$5:$B$597,MATCH($F304,Items!$A$5:$A$597,0)),"⚠ not in Items"))</f>
        <v>Gloves</v>
      </c>
      <c r="H304" s="19" t="str">
        <f>IF($F304="","",IFERROR(INDEX(Items!$C$5:$C$597,MATCH($F304,Items!$A$5:$A$597,0)),""))</f>
        <v>Medium</v>
      </c>
      <c r="I304" s="23">
        <f>IF($F304="","",IFERROR(INDEX(Items!$E$5:$E$597,MATCH($F304,Items!$A$5:$A$597,0)),""))</f>
        <v>500</v>
      </c>
      <c r="J304" s="115">
        <f>IF(tblIssues[[#This Row],[Qty Override]]&lt;&gt;"",tblIssues[[#This Row],[Qty Override]],IF(tblIssues[[#This Row],[Standard Issue]]="","",tblIssues[[#This Row],[Standard Issue]]))</f>
        <v>500</v>
      </c>
      <c r="K304" s="20">
        <f>IF($F304="","",IFERROR(INDEX(Items!$D$5:$D$597,MATCH($F304,Items!$A$5:$A$597,0)),""))</f>
        <v>5.5E-2</v>
      </c>
      <c r="L304" s="21">
        <f t="shared" si="50"/>
        <v>27.5</v>
      </c>
      <c r="M304" s="9" t="str">
        <f t="shared" si="51"/>
        <v>0312HIC25</v>
      </c>
      <c r="N304" s="24">
        <f>IF($A304="","",WORKDAY($A304,Settings!$C$9,HolidayDates))</f>
        <v>46136</v>
      </c>
      <c r="O304" s="24">
        <f>IF($N304="","",WORKDAY($N304,Settings!$C$10,HolidayDates))</f>
        <v>46176</v>
      </c>
      <c r="P304" s="10" t="s">
        <v>501</v>
      </c>
      <c r="Q304" s="52" t="str">
        <f t="shared" si="53"/>
        <v>Collected</v>
      </c>
      <c r="R304" s="55" t="str">
        <f t="shared" si="54"/>
        <v>2026-04</v>
      </c>
      <c r="S304" s="55">
        <f>IF(OR($B304="",$F304="",$R304=""),"",SUMIFS(tblIssues[Qty Issued],tblIssues[Staff ID],$B304,tblIssues[Item Name],$F304,tblIssues[Month],$R304))</f>
        <v>500</v>
      </c>
      <c r="T304" s="56">
        <f>IF($I304="","",$I304*Settings!$C$11)</f>
        <v>500</v>
      </c>
      <c r="U304" s="57" t="str">
        <f t="shared" si="52"/>
        <v>OK</v>
      </c>
      <c r="V304" s="55" t="str">
        <f t="shared" si="55"/>
        <v/>
      </c>
      <c r="W304" s="55" t="str">
        <f>IF($V304="","",IF(COUNTIF($V$5:$V304,$V304)=1,1,""))</f>
        <v/>
      </c>
      <c r="X304" s="58" t="str">
        <f>IF($W304="","",MAX($X$4:X303)+1)</f>
        <v/>
      </c>
      <c r="Y304" s="62"/>
      <c r="Z304" s="62"/>
      <c r="AA304" s="64" t="str">
        <f>IF($C304="","",IFERROR(INDEX('Staff Directory'!$E$5:$E$594,MATCH($C304,'Staff Directory'!$B$5:$B$594,0)),""))</f>
        <v>firstname136.lastname136@example.com</v>
      </c>
      <c r="AB304" s="64" t="str">
        <f>IF($C304="","",IF(ISNUMBER(SEARCH($D304,Settings!$C$15)),"Pickup","Dispatch"))</f>
        <v>Pickup</v>
      </c>
      <c r="AC304" s="64" t="str">
        <f t="shared" si="56"/>
        <v>Supply order ready for pickup</v>
      </c>
      <c r="AD304" s="64" t="str">
        <f t="shared" si="47"/>
        <v>Dear PSW,
Your order is ready for pickup from Sample Branch, Wed-Fri 9am-4pm.</v>
      </c>
      <c r="AE304" s="64" t="str">
        <f t="shared" si="48"/>
        <v>mailto:firstname136.lastname136@example.com?subject=Supply%20order%20ready%20for%20pickup&amp;body=Dear%20PSW%2C%0A%0AYour%20order%20is%20ready%20for%20pickup%20from%20Sample%20Branch%2C%20Wed-Fri%209am-4pm.</v>
      </c>
      <c r="AF304" s="89" t="str">
        <f t="shared" si="57"/>
        <v>Draft email</v>
      </c>
      <c r="AG304" s="64" t="str">
        <f>IF($C304="","",IFERROR(INDEX('Staff Directory'!$K$595:$K$599,MATCH($C304,'Staff Directory'!$B$5:$B$599,0)),$D304))</f>
        <v>PSW</v>
      </c>
      <c r="AH304" t="str">
        <f>IF($C304="","",IFERROR(INDEX('Staff Directory'!$I$595:$I$599,MATCH($C304,'Staff Directory'!$B$5:$B$599,0))&amp;" "&amp;INDEX('Staff Directory'!$J$595:$J$599,MATCH($C304,'Staff Directory'!$B$5:$B$599,0)),$AG304))</f>
        <v>PSW</v>
      </c>
      <c r="AI304" s="102"/>
      <c r="AJ304" s="101">
        <f>IF($F304="","",SUMIFS($J$5:$J304,$F$5:$F304,$F304))</f>
        <v>18500</v>
      </c>
      <c r="AK304" s="101">
        <f t="shared" si="49"/>
        <v>18001</v>
      </c>
      <c r="AL304" s="66" t="str" cm="1">
        <f t="array" ref="AL304">IF($F304="","",IFERROR(INDEX('Lot Balance'!$B$5:$B$500,MATCH(1,INDEX(('Lot Balance'!$A$5:$A$500=$F304)*('Lot Balance'!$K$5:$K$500&lt;$AK304)*('Lot Balance'!$K$5:$K$500+'Lot Balance'!$D$5:$D$500&gt;=$AK304),0),0)),""))</f>
        <v>0312HIC25</v>
      </c>
      <c r="AM304" s="66" t="str" cm="1">
        <f t="array" ref="AM304">IF($F304="","",IFERROR(INDEX('Lot Balance'!$B$5:$B$500,MATCH(1,INDEX(('Lot Balance'!$A$5:$A$500=$F304)*('Lot Balance'!$K$5:$K$500&lt;$AJ304)*('Lot Balance'!$K$5:$K$500+'Lot Balance'!$D$5:$D$500&gt;=$AJ304),0),0)),""))</f>
        <v>0312HIC25</v>
      </c>
      <c r="AN304" s="66" t="str">
        <f>IF($F304="","",IF($AI304&lt;&gt;"",IF(COUNTIFS('Lot Balance'!$A$5:$A$500,$F304,'Lot Balance'!$B$5:$B$500,$AI304)=0,"⚠ override is not a lot of this item",IF($AI304=$AL304,"Override = FEFO","Override - FEFO says "&amp;$AL304)),IF($AL304="","⚠ no receipt on file for this item",IF($AM304&lt;&gt;$AL304,"FEFO auto - split, also "&amp;$AM304,"FEFO auto"))))</f>
        <v>FEFO auto</v>
      </c>
      <c r="AO304" s="114"/>
    </row>
    <row r="305" spans="1:41" x14ac:dyDescent="0.35">
      <c r="A305" s="74">
        <v>46128</v>
      </c>
      <c r="B305" s="18" t="str">
        <f>IF($C305="","",IFERROR(INDEX('Staff Directory'!$A$5:$A$594,MATCH($C305,'Staff Directory'!$B$5:$B$594,0)),"⚠ unknown staff"))</f>
        <v>PSW-076-A5</v>
      </c>
      <c r="C305" s="49" t="s">
        <v>1052</v>
      </c>
      <c r="D305" s="19" t="str">
        <f>IF($B305="","",IFERROR(INDEX('Staff Directory'!$C$5:$C$594,MATCH($B305,'Staff Directory'!$A$5:$A$594,0)),""))</f>
        <v>PSW</v>
      </c>
      <c r="E305" s="19" t="str">
        <f>IF($B305="","",IFERROR(INDEX('Staff Directory'!$D$5:$D$594,MATCH($B305,'Staff Directory'!$A$5:$A$594,0)),""))</f>
        <v>A5</v>
      </c>
      <c r="F305" s="9" t="s">
        <v>191</v>
      </c>
      <c r="G305" s="18" t="str">
        <f>IF($F305="","",IFERROR(INDEX(Items!$B$5:$B$597,MATCH($F305,Items!$A$5:$A$597,0)),"⚠ not in Items"))</f>
        <v>Sanitizer</v>
      </c>
      <c r="H305" s="19" t="str">
        <f>IF($F305="","",IFERROR(INDEX(Items!$C$5:$C$597,MATCH($F305,Items!$A$5:$A$597,0)),""))</f>
        <v>236 ML</v>
      </c>
      <c r="I305" s="23">
        <f>IF($F305="","",IFERROR(INDEX(Items!$E$5:$E$597,MATCH($F305,Items!$A$5:$A$597,0)),""))</f>
        <v>1</v>
      </c>
      <c r="J305" s="115">
        <f>IF(tblIssues[[#This Row],[Qty Override]]&lt;&gt;"",tblIssues[[#This Row],[Qty Override]],IF(tblIssues[[#This Row],[Standard Issue]]="","",tblIssues[[#This Row],[Standard Issue]]))</f>
        <v>1</v>
      </c>
      <c r="K305" s="20">
        <f>IF($F305="","",IFERROR(INDEX(Items!$D$5:$D$597,MATCH($F305,Items!$A$5:$A$597,0)),""))</f>
        <v>1E-4</v>
      </c>
      <c r="L305" s="21">
        <f t="shared" si="50"/>
        <v>1E-4</v>
      </c>
      <c r="M305" s="9" t="str">
        <f t="shared" si="51"/>
        <v>20-21734-1</v>
      </c>
      <c r="N305" s="24">
        <f>IF($A305="","",WORKDAY($A305,Settings!$C$9,HolidayDates))</f>
        <v>46136</v>
      </c>
      <c r="O305" s="24">
        <f>IF($N305="","",WORKDAY($N305,Settings!$C$10,HolidayDates))</f>
        <v>46176</v>
      </c>
      <c r="P305" s="10" t="s">
        <v>501</v>
      </c>
      <c r="Q305" s="52" t="str">
        <f t="shared" si="53"/>
        <v>Collected</v>
      </c>
      <c r="R305" s="55" t="str">
        <f t="shared" si="54"/>
        <v>2026-04</v>
      </c>
      <c r="S305" s="55">
        <f>IF(OR($B305="",$F305="",$R305=""),"",SUMIFS(tblIssues[Qty Issued],tblIssues[Staff ID],$B305,tblIssues[Item Name],$F305,tblIssues[Month],$R305))</f>
        <v>1</v>
      </c>
      <c r="T305" s="56">
        <f>IF($I305="","",$I305*Settings!$C$11)</f>
        <v>1</v>
      </c>
      <c r="U305" s="57" t="str">
        <f t="shared" si="52"/>
        <v>OK</v>
      </c>
      <c r="V305" s="55" t="str">
        <f t="shared" si="55"/>
        <v/>
      </c>
      <c r="W305" s="55" t="str">
        <f>IF($V305="","",IF(COUNTIF($V$5:$V305,$V305)=1,1,""))</f>
        <v/>
      </c>
      <c r="X305" s="58" t="str">
        <f>IF($W305="","",MAX($X$4:X304)+1)</f>
        <v/>
      </c>
      <c r="Y305" s="62"/>
      <c r="Z305" s="62"/>
      <c r="AA305" s="64" t="str">
        <f>IF($C305="","",IFERROR(INDEX('Staff Directory'!$E$5:$E$594,MATCH($C305,'Staff Directory'!$B$5:$B$594,0)),""))</f>
        <v>firstname136.lastname136@example.com</v>
      </c>
      <c r="AB305" s="64" t="str">
        <f>IF($C305="","",IF(ISNUMBER(SEARCH($D305,Settings!$C$15)),"Pickup","Dispatch"))</f>
        <v>Pickup</v>
      </c>
      <c r="AC305" s="64" t="str">
        <f t="shared" si="56"/>
        <v>Supply order ready for pickup</v>
      </c>
      <c r="AD305" s="64" t="str">
        <f t="shared" si="47"/>
        <v>Dear PSW,
Your order is ready for pickup from Sample Branch, Wed-Fri 9am-4pm.</v>
      </c>
      <c r="AE305" s="64" t="str">
        <f t="shared" si="48"/>
        <v>mailto:firstname136.lastname136@example.com?subject=Supply%20order%20ready%20for%20pickup&amp;body=Dear%20PSW%2C%0A%0AYour%20order%20is%20ready%20for%20pickup%20from%20Sample%20Branch%2C%20Wed-Fri%209am-4pm.</v>
      </c>
      <c r="AF305" s="89" t="str">
        <f t="shared" si="57"/>
        <v>Draft email</v>
      </c>
      <c r="AG305" s="64" t="str">
        <f>IF($C305="","",IFERROR(INDEX('Staff Directory'!$K$595:$K$599,MATCH($C305,'Staff Directory'!$B$5:$B$599,0)),$D305))</f>
        <v>PSW</v>
      </c>
      <c r="AH305" t="str">
        <f>IF($C305="","",IFERROR(INDEX('Staff Directory'!$I$595:$I$599,MATCH($C305,'Staff Directory'!$B$5:$B$599,0))&amp;" "&amp;INDEX('Staff Directory'!$J$595:$J$599,MATCH($C305,'Staff Directory'!$B$5:$B$599,0)),$AG305))</f>
        <v>PSW</v>
      </c>
      <c r="AI305" s="102"/>
      <c r="AJ305" s="101">
        <f>IF($F305="","",SUMIFS($J$5:$J305,$F$5:$F305,$F305))</f>
        <v>17</v>
      </c>
      <c r="AK305" s="101">
        <f t="shared" si="49"/>
        <v>17</v>
      </c>
      <c r="AL305" s="66" t="str" cm="1">
        <f t="array" ref="AL305">IF($F305="","",IFERROR(INDEX('Lot Balance'!$B$5:$B$500,MATCH(1,INDEX(('Lot Balance'!$A$5:$A$500=$F305)*('Lot Balance'!$K$5:$K$500&lt;$AK305)*('Lot Balance'!$K$5:$K$500+'Lot Balance'!$D$5:$D$500&gt;=$AK305),0),0)),""))</f>
        <v>20-21734-1</v>
      </c>
      <c r="AM305" s="66" t="str" cm="1">
        <f t="array" ref="AM305">IF($F305="","",IFERROR(INDEX('Lot Balance'!$B$5:$B$500,MATCH(1,INDEX(('Lot Balance'!$A$5:$A$500=$F305)*('Lot Balance'!$K$5:$K$500&lt;$AJ305)*('Lot Balance'!$K$5:$K$500+'Lot Balance'!$D$5:$D$500&gt;=$AJ305),0),0)),""))</f>
        <v>20-21734-1</v>
      </c>
      <c r="AN305" s="66" t="str">
        <f>IF($F305="","",IF($AI305&lt;&gt;"",IF(COUNTIFS('Lot Balance'!$A$5:$A$500,$F305,'Lot Balance'!$B$5:$B$500,$AI305)=0,"⚠ override is not a lot of this item",IF($AI305=$AL305,"Override = FEFO","Override - FEFO says "&amp;$AL305)),IF($AL305="","⚠ no receipt on file for this item",IF($AM305&lt;&gt;$AL305,"FEFO auto - split, also "&amp;$AM305,"FEFO auto"))))</f>
        <v>FEFO auto</v>
      </c>
      <c r="AO305" s="114"/>
    </row>
    <row r="306" spans="1:41" x14ac:dyDescent="0.35">
      <c r="A306" s="74">
        <v>46128</v>
      </c>
      <c r="B306" s="18" t="str">
        <f>IF($C306="","",IFERROR(INDEX('Staff Directory'!$A$5:$A$594,MATCH($C306,'Staff Directory'!$B$5:$B$594,0)),"⚠ unknown staff"))</f>
        <v>PSW-076-A5</v>
      </c>
      <c r="C306" s="49" t="s">
        <v>1052</v>
      </c>
      <c r="D306" s="19" t="str">
        <f>IF($B306="","",IFERROR(INDEX('Staff Directory'!$C$5:$C$594,MATCH($B306,'Staff Directory'!$A$5:$A$594,0)),""))</f>
        <v>PSW</v>
      </c>
      <c r="E306" s="19" t="str">
        <f>IF($B306="","",IFERROR(INDEX('Staff Directory'!$D$5:$D$594,MATCH($B306,'Staff Directory'!$A$5:$A$594,0)),""))</f>
        <v>A5</v>
      </c>
      <c r="F306" s="9" t="s">
        <v>115</v>
      </c>
      <c r="G306" s="18" t="str">
        <f>IF($F306="","",IFERROR(INDEX(Items!$B$5:$B$597,MATCH($F306,Items!$A$5:$A$597,0)),"⚠ not in Items"))</f>
        <v>Wipes</v>
      </c>
      <c r="H306" s="19">
        <f>IF($F306="","",IFERROR(INDEX(Items!$C$5:$C$597,MATCH($F306,Items!$A$5:$A$597,0)),""))</f>
        <v>80</v>
      </c>
      <c r="I306" s="23">
        <f>IF($F306="","",IFERROR(INDEX(Items!$E$5:$E$597,MATCH($F306,Items!$A$5:$A$597,0)),""))</f>
        <v>80</v>
      </c>
      <c r="J306" s="115">
        <f>IF(tblIssues[[#This Row],[Qty Override]]&lt;&gt;"",tblIssues[[#This Row],[Qty Override]],IF(tblIssues[[#This Row],[Standard Issue]]="","",tblIssues[[#This Row],[Standard Issue]]))</f>
        <v>80</v>
      </c>
      <c r="K306" s="20">
        <f>IF($F306="","",IFERROR(INDEX(Items!$D$5:$D$597,MATCH($F306,Items!$A$5:$A$597,0)),""))</f>
        <v>0.1</v>
      </c>
      <c r="L306" s="21">
        <f t="shared" si="50"/>
        <v>8</v>
      </c>
      <c r="M306" s="9" t="str">
        <f t="shared" si="51"/>
        <v>LYSL500290</v>
      </c>
      <c r="N306" s="24">
        <f>IF($A306="","",WORKDAY($A306,Settings!$C$9,HolidayDates))</f>
        <v>46136</v>
      </c>
      <c r="O306" s="24">
        <f>IF($N306="","",WORKDAY($N306,Settings!$C$10,HolidayDates))</f>
        <v>46176</v>
      </c>
      <c r="P306" s="10" t="s">
        <v>501</v>
      </c>
      <c r="Q306" s="52" t="str">
        <f t="shared" si="53"/>
        <v>Collected</v>
      </c>
      <c r="R306" s="55" t="str">
        <f t="shared" si="54"/>
        <v>2026-04</v>
      </c>
      <c r="S306" s="55">
        <f>IF(OR($B306="",$F306="",$R306=""),"",SUMIFS(tblIssues[Qty Issued],tblIssues[Staff ID],$B306,tblIssues[Item Name],$F306,tblIssues[Month],$R306))</f>
        <v>80</v>
      </c>
      <c r="T306" s="56">
        <f>IF($I306="","",$I306*Settings!$C$11)</f>
        <v>80</v>
      </c>
      <c r="U306" s="57" t="str">
        <f t="shared" si="52"/>
        <v>OK</v>
      </c>
      <c r="V306" s="55" t="str">
        <f t="shared" si="55"/>
        <v/>
      </c>
      <c r="W306" s="55" t="str">
        <f>IF($V306="","",IF(COUNTIF($V$5:$V306,$V306)=1,1,""))</f>
        <v/>
      </c>
      <c r="X306" s="58" t="str">
        <f>IF($W306="","",MAX($X$4:X305)+1)</f>
        <v/>
      </c>
      <c r="Y306" s="62"/>
      <c r="Z306" s="62"/>
      <c r="AA306" s="64" t="str">
        <f>IF($C306="","",IFERROR(INDEX('Staff Directory'!$E$5:$E$594,MATCH($C306,'Staff Directory'!$B$5:$B$594,0)),""))</f>
        <v>firstname136.lastname136@example.com</v>
      </c>
      <c r="AB306" s="64" t="str">
        <f>IF($C306="","",IF(ISNUMBER(SEARCH($D306,Settings!$C$15)),"Pickup","Dispatch"))</f>
        <v>Pickup</v>
      </c>
      <c r="AC306" s="64" t="str">
        <f t="shared" si="56"/>
        <v>Supply order ready for pickup</v>
      </c>
      <c r="AD306" s="64" t="str">
        <f t="shared" si="47"/>
        <v>Dear PSW,
Your order is ready for pickup from Sample Branch, Wed-Fri 9am-4pm.</v>
      </c>
      <c r="AE306" s="64" t="str">
        <f t="shared" si="48"/>
        <v>mailto:firstname136.lastname136@example.com?subject=Supply%20order%20ready%20for%20pickup&amp;body=Dear%20PSW%2C%0A%0AYour%20order%20is%20ready%20for%20pickup%20from%20Sample%20Branch%2C%20Wed-Fri%209am-4pm.</v>
      </c>
      <c r="AF306" s="89" t="str">
        <f t="shared" si="57"/>
        <v>Draft email</v>
      </c>
      <c r="AG306" s="64" t="str">
        <f>IF($C306="","",IFERROR(INDEX('Staff Directory'!$K$595:$K$599,MATCH($C306,'Staff Directory'!$B$5:$B$599,0)),$D306))</f>
        <v>PSW</v>
      </c>
      <c r="AH306" t="str">
        <f>IF($C306="","",IFERROR(INDEX('Staff Directory'!$I$595:$I$599,MATCH($C306,'Staff Directory'!$B$5:$B$599,0))&amp;" "&amp;INDEX('Staff Directory'!$J$595:$J$599,MATCH($C306,'Staff Directory'!$B$5:$B$599,0)),$AG306))</f>
        <v>PSW</v>
      </c>
      <c r="AI306" s="102"/>
      <c r="AJ306" s="101">
        <f>IF($F306="","",SUMIFS($J$5:$J306,$F$5:$F306,$F306))</f>
        <v>4080</v>
      </c>
      <c r="AK306" s="101">
        <f t="shared" si="49"/>
        <v>4001</v>
      </c>
      <c r="AL306" s="66" t="str" cm="1">
        <f t="array" ref="AL306">IF($F306="","",IFERROR(INDEX('Lot Balance'!$B$5:$B$500,MATCH(1,INDEX(('Lot Balance'!$A$5:$A$500=$F306)*('Lot Balance'!$K$5:$K$500&lt;$AK306)*('Lot Balance'!$K$5:$K$500+'Lot Balance'!$D$5:$D$500&gt;=$AK306),0),0)),""))</f>
        <v>LYSL500290</v>
      </c>
      <c r="AM306" s="66" t="str" cm="1">
        <f t="array" ref="AM306">IF($F306="","",IFERROR(INDEX('Lot Balance'!$B$5:$B$500,MATCH(1,INDEX(('Lot Balance'!$A$5:$A$500=$F306)*('Lot Balance'!$K$5:$K$500&lt;$AJ306)*('Lot Balance'!$K$5:$K$500+'Lot Balance'!$D$5:$D$500&gt;=$AJ306),0),0)),""))</f>
        <v>LYSL500290</v>
      </c>
      <c r="AN306" s="66" t="str">
        <f>IF($F306="","",IF($AI306&lt;&gt;"",IF(COUNTIFS('Lot Balance'!$A$5:$A$500,$F306,'Lot Balance'!$B$5:$B$500,$AI306)=0,"⚠ override is not a lot of this item",IF($AI306=$AL306,"Override = FEFO","Override - FEFO says "&amp;$AL306)),IF($AL306="","⚠ no receipt on file for this item",IF($AM306&lt;&gt;$AL306,"FEFO auto - split, also "&amp;$AM306,"FEFO auto"))))</f>
        <v>FEFO auto</v>
      </c>
      <c r="AO306" s="114"/>
    </row>
    <row r="307" spans="1:41" x14ac:dyDescent="0.35">
      <c r="A307" s="74">
        <v>46128</v>
      </c>
      <c r="B307" s="18" t="str">
        <f>IF($C307="","",IFERROR(INDEX('Staff Directory'!$A$5:$A$594,MATCH($C307,'Staff Directory'!$B$5:$B$594,0)),"⚠ unknown staff"))</f>
        <v>PSW-076-A5</v>
      </c>
      <c r="C307" s="49" t="s">
        <v>1052</v>
      </c>
      <c r="D307" s="19" t="str">
        <f>IF($B307="","",IFERROR(INDEX('Staff Directory'!$C$5:$C$594,MATCH($B307,'Staff Directory'!$A$5:$A$594,0)),""))</f>
        <v>PSW</v>
      </c>
      <c r="E307" s="19" t="str">
        <f>IF($B307="","",IFERROR(INDEX('Staff Directory'!$D$5:$D$594,MATCH($B307,'Staff Directory'!$A$5:$A$594,0)),""))</f>
        <v>A5</v>
      </c>
      <c r="F307" s="9" t="s">
        <v>156</v>
      </c>
      <c r="G307" s="18" t="str">
        <f>IF($F307="","",IFERROR(INDEX(Items!$B$5:$B$597,MATCH($F307,Items!$A$5:$A$597,0)),"⚠ not in Items"))</f>
        <v>Masks</v>
      </c>
      <c r="H307" s="19" t="str">
        <f>IF($F307="","",IFERROR(INDEX(Items!$C$5:$C$597,MATCH($F307,Items!$A$5:$A$597,0)),""))</f>
        <v>One Size</v>
      </c>
      <c r="I307" s="23">
        <f>IF($F307="","",IFERROR(INDEX(Items!$E$5:$E$597,MATCH($F307,Items!$A$5:$A$597,0)),""))</f>
        <v>50</v>
      </c>
      <c r="J307" s="115">
        <f>IF(tblIssues[[#This Row],[Qty Override]]&lt;&gt;"",tblIssues[[#This Row],[Qty Override]],IF(tblIssues[[#This Row],[Standard Issue]]="","",tblIssues[[#This Row],[Standard Issue]]))</f>
        <v>50</v>
      </c>
      <c r="K307" s="20">
        <f>IF($F307="","",IFERROR(INDEX(Items!$D$5:$D$597,MATCH($F307,Items!$A$5:$A$597,0)),""))</f>
        <v>0.25</v>
      </c>
      <c r="L307" s="21">
        <f t="shared" si="50"/>
        <v>12.5</v>
      </c>
      <c r="M307" s="9" t="str">
        <f t="shared" si="51"/>
        <v>0125FPC24-0</v>
      </c>
      <c r="N307" s="24">
        <f>IF($A307="","",WORKDAY($A307,Settings!$C$9,HolidayDates))</f>
        <v>46136</v>
      </c>
      <c r="O307" s="24">
        <f>IF($N307="","",WORKDAY($N307,Settings!$C$10,HolidayDates))</f>
        <v>46176</v>
      </c>
      <c r="P307" s="10" t="s">
        <v>501</v>
      </c>
      <c r="Q307" s="52" t="str">
        <f t="shared" si="53"/>
        <v>Collected</v>
      </c>
      <c r="R307" s="55" t="str">
        <f t="shared" si="54"/>
        <v>2026-04</v>
      </c>
      <c r="S307" s="55">
        <f>IF(OR($B307="",$F307="",$R307=""),"",SUMIFS(tblIssues[Qty Issued],tblIssues[Staff ID],$B307,tblIssues[Item Name],$F307,tblIssues[Month],$R307))</f>
        <v>50</v>
      </c>
      <c r="T307" s="56">
        <f>IF($I307="","",$I307*Settings!$C$11)</f>
        <v>50</v>
      </c>
      <c r="U307" s="57" t="str">
        <f t="shared" si="52"/>
        <v>OK</v>
      </c>
      <c r="V307" s="55" t="str">
        <f t="shared" si="55"/>
        <v/>
      </c>
      <c r="W307" s="55" t="str">
        <f>IF($V307="","",IF(COUNTIF($V$5:$V307,$V307)=1,1,""))</f>
        <v/>
      </c>
      <c r="X307" s="58" t="str">
        <f>IF($W307="","",MAX($X$4:X306)+1)</f>
        <v/>
      </c>
      <c r="Y307" s="62"/>
      <c r="Z307" s="62"/>
      <c r="AA307" s="64" t="str">
        <f>IF($C307="","",IFERROR(INDEX('Staff Directory'!$E$5:$E$594,MATCH($C307,'Staff Directory'!$B$5:$B$594,0)),""))</f>
        <v>firstname136.lastname136@example.com</v>
      </c>
      <c r="AB307" s="64" t="str">
        <f>IF($C307="","",IF(ISNUMBER(SEARCH($D307,Settings!$C$15)),"Pickup","Dispatch"))</f>
        <v>Pickup</v>
      </c>
      <c r="AC307" s="64" t="str">
        <f t="shared" si="56"/>
        <v>Supply order ready for pickup</v>
      </c>
      <c r="AD307" s="64" t="str">
        <f t="shared" si="47"/>
        <v>Dear PSW,
Your order is ready for pickup from Sample Branch, Wed-Fri 9am-4pm.</v>
      </c>
      <c r="AE307" s="64" t="str">
        <f t="shared" si="48"/>
        <v>mailto:firstname136.lastname136@example.com?subject=Supply%20order%20ready%20for%20pickup&amp;body=Dear%20PSW%2C%0A%0AYour%20order%20is%20ready%20for%20pickup%20from%20Sample%20Branch%2C%20Wed-Fri%209am-4pm.</v>
      </c>
      <c r="AF307" s="89" t="str">
        <f t="shared" si="57"/>
        <v>Draft email</v>
      </c>
      <c r="AG307" s="64" t="str">
        <f>IF($C307="","",IFERROR(INDEX('Staff Directory'!$K$595:$K$599,MATCH($C307,'Staff Directory'!$B$5:$B$599,0)),$D307))</f>
        <v>PSW</v>
      </c>
      <c r="AH307" t="str">
        <f>IF($C307="","",IFERROR(INDEX('Staff Directory'!$I$595:$I$599,MATCH($C307,'Staff Directory'!$B$5:$B$599,0))&amp;" "&amp;INDEX('Staff Directory'!$J$595:$J$599,MATCH($C307,'Staff Directory'!$B$5:$B$599,0)),$AG307))</f>
        <v>PSW</v>
      </c>
      <c r="AI307" s="102"/>
      <c r="AJ307" s="101">
        <f>IF($F307="","",SUMIFS($J$5:$J307,$F$5:$F307,$F307))</f>
        <v>2300</v>
      </c>
      <c r="AK307" s="101">
        <f t="shared" si="49"/>
        <v>2251</v>
      </c>
      <c r="AL307" s="66" t="str" cm="1">
        <f t="array" ref="AL307">IF($F307="","",IFERROR(INDEX('Lot Balance'!$B$5:$B$500,MATCH(1,INDEX(('Lot Balance'!$A$5:$A$500=$F307)*('Lot Balance'!$K$5:$K$500&lt;$AK307)*('Lot Balance'!$K$5:$K$500+'Lot Balance'!$D$5:$D$500&gt;=$AK307),0),0)),""))</f>
        <v>0125FPC24-0</v>
      </c>
      <c r="AM307" s="66" t="str" cm="1">
        <f t="array" ref="AM307">IF($F307="","",IFERROR(INDEX('Lot Balance'!$B$5:$B$500,MATCH(1,INDEX(('Lot Balance'!$A$5:$A$500=$F307)*('Lot Balance'!$K$5:$K$500&lt;$AJ307)*('Lot Balance'!$K$5:$K$500+'Lot Balance'!$D$5:$D$500&gt;=$AJ307),0),0)),""))</f>
        <v>0125FPC24-0</v>
      </c>
      <c r="AN307" s="66" t="str">
        <f>IF($F307="","",IF($AI307&lt;&gt;"",IF(COUNTIFS('Lot Balance'!$A$5:$A$500,$F307,'Lot Balance'!$B$5:$B$500,$AI307)=0,"⚠ override is not a lot of this item",IF($AI307=$AL307,"Override = FEFO","Override - FEFO says "&amp;$AL307)),IF($AL307="","⚠ no receipt on file for this item",IF($AM307&lt;&gt;$AL307,"FEFO auto - split, also "&amp;$AM307,"FEFO auto"))))</f>
        <v>FEFO auto</v>
      </c>
      <c r="AO307" s="114"/>
    </row>
    <row r="308" spans="1:41" x14ac:dyDescent="0.35">
      <c r="A308" s="74">
        <v>46128</v>
      </c>
      <c r="B308" s="18" t="str">
        <f>IF($C308="","",IFERROR(INDEX('Staff Directory'!$A$5:$A$594,MATCH($C308,'Staff Directory'!$B$5:$B$594,0)),"⚠ unknown staff"))</f>
        <v>PSW-076-A5</v>
      </c>
      <c r="C308" s="49" t="s">
        <v>1052</v>
      </c>
      <c r="D308" s="19" t="str">
        <f>IF($B308="","",IFERROR(INDEX('Staff Directory'!$C$5:$C$594,MATCH($B308,'Staff Directory'!$A$5:$A$594,0)),""))</f>
        <v>PSW</v>
      </c>
      <c r="E308" s="19" t="str">
        <f>IF($B308="","",IFERROR(INDEX('Staff Directory'!$D$5:$D$594,MATCH($B308,'Staff Directory'!$A$5:$A$594,0)),""))</f>
        <v>A5</v>
      </c>
      <c r="F308" s="9" t="s">
        <v>755</v>
      </c>
      <c r="G308" s="18" t="str">
        <f>IF($F308="","",IFERROR(INDEX(Items!$B$5:$B$597,MATCH($F308,Items!$A$5:$A$597,0)),"⚠ not in Items"))</f>
        <v>Documents</v>
      </c>
      <c r="H308" s="19" t="str">
        <f>IF($F308="","",IFERROR(INDEX(Items!$C$5:$C$597,MATCH($F308,Items!$A$5:$A$597,0)),""))</f>
        <v>Standard</v>
      </c>
      <c r="I308" s="23">
        <f>IF($F308="","",IFERROR(INDEX(Items!$E$5:$E$597,MATCH($F308,Items!$A$5:$A$597,0)),""))</f>
        <v>2</v>
      </c>
      <c r="J308" s="115">
        <f>IF(tblIssues[[#This Row],[Qty Override]]&lt;&gt;"",tblIssues[[#This Row],[Qty Override]],IF(tblIssues[[#This Row],[Standard Issue]]="","",tblIssues[[#This Row],[Standard Issue]]))</f>
        <v>2</v>
      </c>
      <c r="K308" s="20">
        <f>IF($F308="","",IFERROR(INDEX(Items!$D$5:$D$597,MATCH($F308,Items!$A$5:$A$597,0)),""))</f>
        <v>0</v>
      </c>
      <c r="L308" s="21">
        <f t="shared" si="50"/>
        <v>0</v>
      </c>
      <c r="M308" s="9" t="str">
        <f t="shared" si="51"/>
        <v/>
      </c>
      <c r="N308" s="24">
        <f>IF($A308="","",WORKDAY($A308,Settings!$C$9,HolidayDates))</f>
        <v>46136</v>
      </c>
      <c r="O308" s="24">
        <f>IF($N308="","",WORKDAY($N308,Settings!$C$10,HolidayDates))</f>
        <v>46176</v>
      </c>
      <c r="P308" s="10" t="s">
        <v>501</v>
      </c>
      <c r="Q308" s="52" t="str">
        <f t="shared" si="53"/>
        <v>Collected</v>
      </c>
      <c r="R308" s="55" t="str">
        <f t="shared" si="54"/>
        <v>2026-04</v>
      </c>
      <c r="S308" s="55">
        <f>IF(OR($B308="",$F308="",$R308=""),"",SUMIFS(tblIssues[Qty Issued],tblIssues[Staff ID],$B308,tblIssues[Item Name],$F308,tblIssues[Month],$R308))</f>
        <v>2</v>
      </c>
      <c r="T308" s="56">
        <f>IF($I308="","",$I308*Settings!$C$11)</f>
        <v>2</v>
      </c>
      <c r="U308" s="57" t="str">
        <f t="shared" si="52"/>
        <v>OK</v>
      </c>
      <c r="V308" s="55" t="str">
        <f t="shared" si="55"/>
        <v/>
      </c>
      <c r="W308" s="55" t="str">
        <f>IF($V308="","",IF(COUNTIF($V$5:$V308,$V308)=1,1,""))</f>
        <v/>
      </c>
      <c r="X308" s="58" t="str">
        <f>IF($W308="","",MAX($X$4:X307)+1)</f>
        <v/>
      </c>
      <c r="Y308" s="62"/>
      <c r="Z308" s="62"/>
      <c r="AA308" s="64" t="str">
        <f>IF($C308="","",IFERROR(INDEX('Staff Directory'!$E$5:$E$594,MATCH($C308,'Staff Directory'!$B$5:$B$594,0)),""))</f>
        <v>firstname136.lastname136@example.com</v>
      </c>
      <c r="AB308" s="64" t="str">
        <f>IF($C308="","",IF(ISNUMBER(SEARCH($D308,Settings!$C$15)),"Pickup","Dispatch"))</f>
        <v>Pickup</v>
      </c>
      <c r="AC308" s="64" t="str">
        <f t="shared" si="56"/>
        <v>Supply order ready for pickup</v>
      </c>
      <c r="AD308" s="64" t="str">
        <f t="shared" si="47"/>
        <v>Dear PSW,
Your order is ready for pickup from Sample Branch, Wed-Fri 9am-4pm.</v>
      </c>
      <c r="AE308" s="64" t="str">
        <f t="shared" si="48"/>
        <v>mailto:firstname136.lastname136@example.com?subject=Supply%20order%20ready%20for%20pickup&amp;body=Dear%20PSW%2C%0A%0AYour%20order%20is%20ready%20for%20pickup%20from%20Sample%20Branch%2C%20Wed-Fri%209am-4pm.</v>
      </c>
      <c r="AF308" s="89" t="str">
        <f t="shared" si="57"/>
        <v>Draft email</v>
      </c>
      <c r="AG308" s="64" t="str">
        <f>IF($C308="","",IFERROR(INDEX('Staff Directory'!$K$595:$K$599,MATCH($C308,'Staff Directory'!$B$5:$B$599,0)),$D308))</f>
        <v>PSW</v>
      </c>
      <c r="AH308" t="str">
        <f>IF($C308="","",IFERROR(INDEX('Staff Directory'!$I$595:$I$599,MATCH($C308,'Staff Directory'!$B$5:$B$599,0))&amp;" "&amp;INDEX('Staff Directory'!$J$595:$J$599,MATCH($C308,'Staff Directory'!$B$5:$B$599,0)),$AG308))</f>
        <v>PSW</v>
      </c>
      <c r="AI308" s="102"/>
      <c r="AJ308" s="101">
        <f>IF($F308="","",SUMIFS($J$5:$J308,$F$5:$F308,$F308))</f>
        <v>82</v>
      </c>
      <c r="AK308" s="101">
        <f t="shared" si="49"/>
        <v>81</v>
      </c>
      <c r="AL308" s="66" t="str" cm="1">
        <f t="array" ref="AL308">IF($F308="","",IFERROR(INDEX('Lot Balance'!$B$5:$B$500,MATCH(1,INDEX(('Lot Balance'!$A$5:$A$500=$F308)*('Lot Balance'!$K$5:$K$500&lt;$AK308)*('Lot Balance'!$K$5:$K$500+'Lot Balance'!$D$5:$D$500&gt;=$AK308),0),0)),""))</f>
        <v/>
      </c>
      <c r="AM308" s="66" t="str" cm="1">
        <f t="array" ref="AM308">IF($F308="","",IFERROR(INDEX('Lot Balance'!$B$5:$B$500,MATCH(1,INDEX(('Lot Balance'!$A$5:$A$500=$F308)*('Lot Balance'!$K$5:$K$500&lt;$AJ308)*('Lot Balance'!$K$5:$K$500+'Lot Balance'!$D$5:$D$500&gt;=$AJ308),0),0)),""))</f>
        <v/>
      </c>
      <c r="AN308" s="66" t="str">
        <f>IF($F308="","",IF($AI308&lt;&gt;"",IF(COUNTIFS('Lot Balance'!$A$5:$A$500,$F308,'Lot Balance'!$B$5:$B$500,$AI308)=0,"⚠ override is not a lot of this item",IF($AI308=$AL308,"Override = FEFO","Override - FEFO says "&amp;$AL308)),IF($AL308="","⚠ no receipt on file for this item",IF($AM308&lt;&gt;$AL308,"FEFO auto - split, also "&amp;$AM308,"FEFO auto"))))</f>
        <v>⚠ no receipt on file for this item</v>
      </c>
      <c r="AO308" s="114"/>
    </row>
    <row r="309" spans="1:41" x14ac:dyDescent="0.35">
      <c r="A309" s="74">
        <v>46129</v>
      </c>
      <c r="B309" s="18" t="str">
        <f>IF($C309="","",IFERROR(INDEX('Staff Directory'!$A$5:$A$594,MATCH($C309,'Staff Directory'!$B$5:$B$594,0)),"⚠ unknown staff"))</f>
        <v>PSW-099-A6</v>
      </c>
      <c r="C309" s="49" t="s">
        <v>1077</v>
      </c>
      <c r="D309" s="19" t="str">
        <f>IF($B309="","",IFERROR(INDEX('Staff Directory'!$C$5:$C$594,MATCH($B309,'Staff Directory'!$A$5:$A$594,0)),""))</f>
        <v>PSW</v>
      </c>
      <c r="E309" s="19" t="str">
        <f>IF($B309="","",IFERROR(INDEX('Staff Directory'!$D$5:$D$594,MATCH($B309,'Staff Directory'!$A$5:$A$594,0)),""))</f>
        <v>A6</v>
      </c>
      <c r="F309" s="9" t="s">
        <v>124</v>
      </c>
      <c r="G309" s="18" t="str">
        <f>IF($F309="","",IFERROR(INDEX(Items!$B$5:$B$597,MATCH($F309,Items!$A$5:$A$597,0)),"⚠ not in Items"))</f>
        <v>Gloves</v>
      </c>
      <c r="H309" s="19" t="str">
        <f>IF($F309="","",IFERROR(INDEX(Items!$C$5:$C$597,MATCH($F309,Items!$A$5:$A$597,0)),""))</f>
        <v>Large</v>
      </c>
      <c r="I309" s="23">
        <f>IF($F309="","",IFERROR(INDEX(Items!$E$5:$E$597,MATCH($F309,Items!$A$5:$A$597,0)),""))</f>
        <v>500</v>
      </c>
      <c r="J309" s="115">
        <f>IF(tblIssues[[#This Row],[Qty Override]]&lt;&gt;"",tblIssues[[#This Row],[Qty Override]],IF(tblIssues[[#This Row],[Standard Issue]]="","",tblIssues[[#This Row],[Standard Issue]]))</f>
        <v>500</v>
      </c>
      <c r="K309" s="20">
        <f>IF($F309="","",IFERROR(INDEX(Items!$D$5:$D$597,MATCH($F309,Items!$A$5:$A$597,0)),""))</f>
        <v>5.5E-2</v>
      </c>
      <c r="L309" s="21">
        <f t="shared" si="50"/>
        <v>27.5</v>
      </c>
      <c r="M309" s="9" t="str">
        <f t="shared" si="51"/>
        <v>ZIM511139904-0</v>
      </c>
      <c r="N309" s="24">
        <f>IF($A309="","",WORKDAY($A309,Settings!$C$9,HolidayDates))</f>
        <v>46139</v>
      </c>
      <c r="O309" s="24">
        <f>IF($N309="","",WORKDAY($N309,Settings!$C$10,HolidayDates))</f>
        <v>46177</v>
      </c>
      <c r="P309" s="10" t="s">
        <v>501</v>
      </c>
      <c r="Q309" s="52" t="str">
        <f t="shared" si="53"/>
        <v>Collected</v>
      </c>
      <c r="R309" s="55" t="str">
        <f t="shared" si="54"/>
        <v>2026-04</v>
      </c>
      <c r="S309" s="55">
        <f>IF(OR($B309="",$F309="",$R309=""),"",SUMIFS(tblIssues[Qty Issued],tblIssues[Staff ID],$B309,tblIssues[Item Name],$F309,tblIssues[Month],$R309))</f>
        <v>500</v>
      </c>
      <c r="T309" s="56">
        <f>IF($I309="","",$I309*Settings!$C$11)</f>
        <v>500</v>
      </c>
      <c r="U309" s="57" t="str">
        <f t="shared" si="52"/>
        <v>OK</v>
      </c>
      <c r="V309" s="55" t="str">
        <f t="shared" si="55"/>
        <v/>
      </c>
      <c r="W309" s="55" t="str">
        <f>IF($V309="","",IF(COUNTIF($V$5:$V309,$V309)=1,1,""))</f>
        <v/>
      </c>
      <c r="X309" s="58" t="str">
        <f>IF($W309="","",MAX($X$4:X308)+1)</f>
        <v/>
      </c>
      <c r="Y309" s="62"/>
      <c r="Z309" s="62"/>
      <c r="AA309" s="64" t="str">
        <f>IF($C309="","",IFERROR(INDEX('Staff Directory'!$E$5:$E$594,MATCH($C309,'Staff Directory'!$B$5:$B$594,0)),""))</f>
        <v>firstname161.lastname161@example.com</v>
      </c>
      <c r="AB309" s="64" t="str">
        <f>IF($C309="","",IF(ISNUMBER(SEARCH($D309,Settings!$C$15)),"Pickup","Dispatch"))</f>
        <v>Pickup</v>
      </c>
      <c r="AC309" s="64" t="str">
        <f t="shared" si="56"/>
        <v>Supply order ready for pickup</v>
      </c>
      <c r="AD309" s="64" t="str">
        <f t="shared" si="47"/>
        <v>Dear PSW,
Your order is ready for pickup from Sample Branch, Wed-Fri 9am-4pm.</v>
      </c>
      <c r="AE309" s="64" t="str">
        <f t="shared" si="48"/>
        <v>mailto:firstname161.lastname161@example.com?subject=Supply%20order%20ready%20for%20pickup&amp;body=Dear%20PSW%2C%0A%0AYour%20order%20is%20ready%20for%20pickup%20from%20Sample%20Branch%2C%20Wed-Fri%209am-4pm.</v>
      </c>
      <c r="AF309" s="89" t="str">
        <f t="shared" si="57"/>
        <v>Draft email</v>
      </c>
      <c r="AG309" s="64" t="str">
        <f>IF($C309="","",IFERROR(INDEX('Staff Directory'!$K$595:$K$599,MATCH($C309,'Staff Directory'!$B$5:$B$599,0)),$D309))</f>
        <v>PSW</v>
      </c>
      <c r="AH309" t="str">
        <f>IF($C309="","",IFERROR(INDEX('Staff Directory'!$I$595:$I$599,MATCH($C309,'Staff Directory'!$B$5:$B$599,0))&amp;" "&amp;INDEX('Staff Directory'!$J$595:$J$599,MATCH($C309,'Staff Directory'!$B$5:$B$599,0)),$AG309))</f>
        <v>PSW</v>
      </c>
      <c r="AI309" s="102"/>
      <c r="AJ309" s="101">
        <f>IF($F309="","",SUMIFS($J$5:$J309,$F$5:$F309,$F309))</f>
        <v>8000</v>
      </c>
      <c r="AK309" s="101">
        <f t="shared" si="49"/>
        <v>7501</v>
      </c>
      <c r="AL309" s="66" t="str" cm="1">
        <f t="array" ref="AL309">IF($F309="","",IFERROR(INDEX('Lot Balance'!$B$5:$B$500,MATCH(1,INDEX(('Lot Balance'!$A$5:$A$500=$F309)*('Lot Balance'!$K$5:$K$500&lt;$AK309)*('Lot Balance'!$K$5:$K$500+'Lot Balance'!$D$5:$D$500&gt;=$AK309),0),0)),""))</f>
        <v>ZIM511139904-0</v>
      </c>
      <c r="AM309" s="66" t="str" cm="1">
        <f t="array" ref="AM309">IF($F309="","",IFERROR(INDEX('Lot Balance'!$B$5:$B$500,MATCH(1,INDEX(('Lot Balance'!$A$5:$A$500=$F309)*('Lot Balance'!$K$5:$K$500&lt;$AJ309)*('Lot Balance'!$K$5:$K$500+'Lot Balance'!$D$5:$D$500&gt;=$AJ309),0),0)),""))</f>
        <v>ZIM511139904-0</v>
      </c>
      <c r="AN309" s="66" t="str">
        <f>IF($F309="","",IF($AI309&lt;&gt;"",IF(COUNTIFS('Lot Balance'!$A$5:$A$500,$F309,'Lot Balance'!$B$5:$B$500,$AI309)=0,"⚠ override is not a lot of this item",IF($AI309=$AL309,"Override = FEFO","Override - FEFO says "&amp;$AL309)),IF($AL309="","⚠ no receipt on file for this item",IF($AM309&lt;&gt;$AL309,"FEFO auto - split, also "&amp;$AM309,"FEFO auto"))))</f>
        <v>FEFO auto</v>
      </c>
      <c r="AO309" s="114"/>
    </row>
    <row r="310" spans="1:41" x14ac:dyDescent="0.35">
      <c r="A310" s="74">
        <v>46129</v>
      </c>
      <c r="B310" s="18" t="str">
        <f>IF($C310="","",IFERROR(INDEX('Staff Directory'!$A$5:$A$594,MATCH($C310,'Staff Directory'!$B$5:$B$594,0)),"⚠ unknown staff"))</f>
        <v>PSW-099-A6</v>
      </c>
      <c r="C310" s="49" t="s">
        <v>1077</v>
      </c>
      <c r="D310" s="19" t="str">
        <f>IF($B310="","",IFERROR(INDEX('Staff Directory'!$C$5:$C$594,MATCH($B310,'Staff Directory'!$A$5:$A$594,0)),""))</f>
        <v>PSW</v>
      </c>
      <c r="E310" s="19" t="str">
        <f>IF($B310="","",IFERROR(INDEX('Staff Directory'!$D$5:$D$594,MATCH($B310,'Staff Directory'!$A$5:$A$594,0)),""))</f>
        <v>A6</v>
      </c>
      <c r="F310" s="9" t="s">
        <v>191</v>
      </c>
      <c r="G310" s="18" t="str">
        <f>IF($F310="","",IFERROR(INDEX(Items!$B$5:$B$597,MATCH($F310,Items!$A$5:$A$597,0)),"⚠ not in Items"))</f>
        <v>Sanitizer</v>
      </c>
      <c r="H310" s="19" t="str">
        <f>IF($F310="","",IFERROR(INDEX(Items!$C$5:$C$597,MATCH($F310,Items!$A$5:$A$597,0)),""))</f>
        <v>236 ML</v>
      </c>
      <c r="I310" s="23">
        <f>IF($F310="","",IFERROR(INDEX(Items!$E$5:$E$597,MATCH($F310,Items!$A$5:$A$597,0)),""))</f>
        <v>1</v>
      </c>
      <c r="J310" s="115">
        <f>IF(tblIssues[[#This Row],[Qty Override]]&lt;&gt;"",tblIssues[[#This Row],[Qty Override]],IF(tblIssues[[#This Row],[Standard Issue]]="","",tblIssues[[#This Row],[Standard Issue]]))</f>
        <v>1</v>
      </c>
      <c r="K310" s="20">
        <f>IF($F310="","",IFERROR(INDEX(Items!$D$5:$D$597,MATCH($F310,Items!$A$5:$A$597,0)),""))</f>
        <v>1E-4</v>
      </c>
      <c r="L310" s="21">
        <f t="shared" si="50"/>
        <v>1E-4</v>
      </c>
      <c r="M310" s="9" t="str">
        <f t="shared" si="51"/>
        <v>20-21734-1</v>
      </c>
      <c r="N310" s="24">
        <f>IF($A310="","",WORKDAY($A310,Settings!$C$9,HolidayDates))</f>
        <v>46139</v>
      </c>
      <c r="O310" s="24">
        <f>IF($N310="","",WORKDAY($N310,Settings!$C$10,HolidayDates))</f>
        <v>46177</v>
      </c>
      <c r="P310" s="10" t="s">
        <v>501</v>
      </c>
      <c r="Q310" s="52" t="str">
        <f t="shared" si="53"/>
        <v>Collected</v>
      </c>
      <c r="R310" s="55" t="str">
        <f t="shared" si="54"/>
        <v>2026-04</v>
      </c>
      <c r="S310" s="55">
        <f>IF(OR($B310="",$F310="",$R310=""),"",SUMIFS(tblIssues[Qty Issued],tblIssues[Staff ID],$B310,tblIssues[Item Name],$F310,tblIssues[Month],$R310))</f>
        <v>1</v>
      </c>
      <c r="T310" s="56">
        <f>IF($I310="","",$I310*Settings!$C$11)</f>
        <v>1</v>
      </c>
      <c r="U310" s="57" t="str">
        <f t="shared" si="52"/>
        <v>OK</v>
      </c>
      <c r="V310" s="55" t="str">
        <f t="shared" si="55"/>
        <v/>
      </c>
      <c r="W310" s="55" t="str">
        <f>IF($V310="","",IF(COUNTIF($V$5:$V310,$V310)=1,1,""))</f>
        <v/>
      </c>
      <c r="X310" s="58" t="str">
        <f>IF($W310="","",MAX($X$4:X309)+1)</f>
        <v/>
      </c>
      <c r="Y310" s="62"/>
      <c r="Z310" s="62"/>
      <c r="AA310" s="64" t="str">
        <f>IF($C310="","",IFERROR(INDEX('Staff Directory'!$E$5:$E$594,MATCH($C310,'Staff Directory'!$B$5:$B$594,0)),""))</f>
        <v>firstname161.lastname161@example.com</v>
      </c>
      <c r="AB310" s="64" t="str">
        <f>IF($C310="","",IF(ISNUMBER(SEARCH($D310,Settings!$C$15)),"Pickup","Dispatch"))</f>
        <v>Pickup</v>
      </c>
      <c r="AC310" s="64" t="str">
        <f t="shared" si="56"/>
        <v>Supply order ready for pickup</v>
      </c>
      <c r="AD310" s="64" t="str">
        <f t="shared" si="47"/>
        <v>Dear PSW,
Your order is ready for pickup from Sample Branch, Wed-Fri 9am-4pm.</v>
      </c>
      <c r="AE310" s="64" t="str">
        <f t="shared" si="48"/>
        <v>mailto:firstname161.lastname161@example.com?subject=Supply%20order%20ready%20for%20pickup&amp;body=Dear%20PSW%2C%0A%0AYour%20order%20is%20ready%20for%20pickup%20from%20Sample%20Branch%2C%20Wed-Fri%209am-4pm.</v>
      </c>
      <c r="AF310" s="89" t="str">
        <f t="shared" si="57"/>
        <v>Draft email</v>
      </c>
      <c r="AG310" s="64" t="str">
        <f>IF($C310="","",IFERROR(INDEX('Staff Directory'!$K$595:$K$599,MATCH($C310,'Staff Directory'!$B$5:$B$599,0)),$D310))</f>
        <v>PSW</v>
      </c>
      <c r="AH310" t="str">
        <f>IF($C310="","",IFERROR(INDEX('Staff Directory'!$I$595:$I$599,MATCH($C310,'Staff Directory'!$B$5:$B$599,0))&amp;" "&amp;INDEX('Staff Directory'!$J$595:$J$599,MATCH($C310,'Staff Directory'!$B$5:$B$599,0)),$AG310))</f>
        <v>PSW</v>
      </c>
      <c r="AI310" s="102"/>
      <c r="AJ310" s="101">
        <f>IF($F310="","",SUMIFS($J$5:$J310,$F$5:$F310,$F310))</f>
        <v>18</v>
      </c>
      <c r="AK310" s="101">
        <f t="shared" si="49"/>
        <v>18</v>
      </c>
      <c r="AL310" s="66" t="str" cm="1">
        <f t="array" ref="AL310">IF($F310="","",IFERROR(INDEX('Lot Balance'!$B$5:$B$500,MATCH(1,INDEX(('Lot Balance'!$A$5:$A$500=$F310)*('Lot Balance'!$K$5:$K$500&lt;$AK310)*('Lot Balance'!$K$5:$K$500+'Lot Balance'!$D$5:$D$500&gt;=$AK310),0),0)),""))</f>
        <v>20-21734-1</v>
      </c>
      <c r="AM310" s="66" t="str" cm="1">
        <f t="array" ref="AM310">IF($F310="","",IFERROR(INDEX('Lot Balance'!$B$5:$B$500,MATCH(1,INDEX(('Lot Balance'!$A$5:$A$500=$F310)*('Lot Balance'!$K$5:$K$500&lt;$AJ310)*('Lot Balance'!$K$5:$K$500+'Lot Balance'!$D$5:$D$500&gt;=$AJ310),0),0)),""))</f>
        <v>20-21734-1</v>
      </c>
      <c r="AN310" s="66" t="str">
        <f>IF($F310="","",IF($AI310&lt;&gt;"",IF(COUNTIFS('Lot Balance'!$A$5:$A$500,$F310,'Lot Balance'!$B$5:$B$500,$AI310)=0,"⚠ override is not a lot of this item",IF($AI310=$AL310,"Override = FEFO","Override - FEFO says "&amp;$AL310)),IF($AL310="","⚠ no receipt on file for this item",IF($AM310&lt;&gt;$AL310,"FEFO auto - split, also "&amp;$AM310,"FEFO auto"))))</f>
        <v>FEFO auto</v>
      </c>
      <c r="AO310" s="114"/>
    </row>
    <row r="311" spans="1:41" x14ac:dyDescent="0.35">
      <c r="A311" s="74">
        <v>46129</v>
      </c>
      <c r="B311" s="18" t="str">
        <f>IF($C311="","",IFERROR(INDEX('Staff Directory'!$A$5:$A$594,MATCH($C311,'Staff Directory'!$B$5:$B$594,0)),"⚠ unknown staff"))</f>
        <v>PSW-099-A6</v>
      </c>
      <c r="C311" s="49" t="s">
        <v>1077</v>
      </c>
      <c r="D311" s="19" t="str">
        <f>IF($B311="","",IFERROR(INDEX('Staff Directory'!$C$5:$C$594,MATCH($B311,'Staff Directory'!$A$5:$A$594,0)),""))</f>
        <v>PSW</v>
      </c>
      <c r="E311" s="19" t="str">
        <f>IF($B311="","",IFERROR(INDEX('Staff Directory'!$D$5:$D$594,MATCH($B311,'Staff Directory'!$A$5:$A$594,0)),""))</f>
        <v>A6</v>
      </c>
      <c r="F311" s="9" t="s">
        <v>156</v>
      </c>
      <c r="G311" s="18" t="str">
        <f>IF($F311="","",IFERROR(INDEX(Items!$B$5:$B$597,MATCH($F311,Items!$A$5:$A$597,0)),"⚠ not in Items"))</f>
        <v>Masks</v>
      </c>
      <c r="H311" s="19" t="str">
        <f>IF($F311="","",IFERROR(INDEX(Items!$C$5:$C$597,MATCH($F311,Items!$A$5:$A$597,0)),""))</f>
        <v>One Size</v>
      </c>
      <c r="I311" s="23">
        <f>IF($F311="","",IFERROR(INDEX(Items!$E$5:$E$597,MATCH($F311,Items!$A$5:$A$597,0)),""))</f>
        <v>50</v>
      </c>
      <c r="J311" s="115">
        <f>IF(tblIssues[[#This Row],[Qty Override]]&lt;&gt;"",tblIssues[[#This Row],[Qty Override]],IF(tblIssues[[#This Row],[Standard Issue]]="","",tblIssues[[#This Row],[Standard Issue]]))</f>
        <v>50</v>
      </c>
      <c r="K311" s="20">
        <f>IF($F311="","",IFERROR(INDEX(Items!$D$5:$D$597,MATCH($F311,Items!$A$5:$A$597,0)),""))</f>
        <v>0.25</v>
      </c>
      <c r="L311" s="21">
        <f t="shared" si="50"/>
        <v>12.5</v>
      </c>
      <c r="M311" s="9" t="str">
        <f t="shared" si="51"/>
        <v>0125FPC24-0</v>
      </c>
      <c r="N311" s="24">
        <f>IF($A311="","",WORKDAY($A311,Settings!$C$9,HolidayDates))</f>
        <v>46139</v>
      </c>
      <c r="O311" s="24">
        <f>IF($N311="","",WORKDAY($N311,Settings!$C$10,HolidayDates))</f>
        <v>46177</v>
      </c>
      <c r="P311" s="10" t="s">
        <v>501</v>
      </c>
      <c r="Q311" s="52" t="str">
        <f t="shared" si="53"/>
        <v>Collected</v>
      </c>
      <c r="R311" s="55" t="str">
        <f t="shared" si="54"/>
        <v>2026-04</v>
      </c>
      <c r="S311" s="55">
        <f>IF(OR($B311="",$F311="",$R311=""),"",SUMIFS(tblIssues[Qty Issued],tblIssues[Staff ID],$B311,tblIssues[Item Name],$F311,tblIssues[Month],$R311))</f>
        <v>50</v>
      </c>
      <c r="T311" s="56">
        <f>IF($I311="","",$I311*Settings!$C$11)</f>
        <v>50</v>
      </c>
      <c r="U311" s="57" t="str">
        <f t="shared" si="52"/>
        <v>OK</v>
      </c>
      <c r="V311" s="55" t="str">
        <f t="shared" si="55"/>
        <v/>
      </c>
      <c r="W311" s="55" t="str">
        <f>IF($V311="","",IF(COUNTIF($V$5:$V311,$V311)=1,1,""))</f>
        <v/>
      </c>
      <c r="X311" s="58" t="str">
        <f>IF($W311="","",MAX($X$4:X310)+1)</f>
        <v/>
      </c>
      <c r="Y311" s="62"/>
      <c r="Z311" s="62"/>
      <c r="AA311" s="64" t="str">
        <f>IF($C311="","",IFERROR(INDEX('Staff Directory'!$E$5:$E$594,MATCH($C311,'Staff Directory'!$B$5:$B$594,0)),""))</f>
        <v>firstname161.lastname161@example.com</v>
      </c>
      <c r="AB311" s="64" t="str">
        <f>IF($C311="","",IF(ISNUMBER(SEARCH($D311,Settings!$C$15)),"Pickup","Dispatch"))</f>
        <v>Pickup</v>
      </c>
      <c r="AC311" s="64" t="str">
        <f t="shared" si="56"/>
        <v>Supply order ready for pickup</v>
      </c>
      <c r="AD311" s="64" t="str">
        <f t="shared" si="47"/>
        <v>Dear PSW,
Your order is ready for pickup from Sample Branch, Wed-Fri 9am-4pm.</v>
      </c>
      <c r="AE311" s="64" t="str">
        <f t="shared" si="48"/>
        <v>mailto:firstname161.lastname161@example.com?subject=Supply%20order%20ready%20for%20pickup&amp;body=Dear%20PSW%2C%0A%0AYour%20order%20is%20ready%20for%20pickup%20from%20Sample%20Branch%2C%20Wed-Fri%209am-4pm.</v>
      </c>
      <c r="AF311" s="89" t="str">
        <f t="shared" si="57"/>
        <v>Draft email</v>
      </c>
      <c r="AG311" s="64" t="str">
        <f>IF($C311="","",IFERROR(INDEX('Staff Directory'!$K$595:$K$599,MATCH($C311,'Staff Directory'!$B$5:$B$599,0)),$D311))</f>
        <v>PSW</v>
      </c>
      <c r="AH311" t="str">
        <f>IF($C311="","",IFERROR(INDEX('Staff Directory'!$I$595:$I$599,MATCH($C311,'Staff Directory'!$B$5:$B$599,0))&amp;" "&amp;INDEX('Staff Directory'!$J$595:$J$599,MATCH($C311,'Staff Directory'!$B$5:$B$599,0)),$AG311))</f>
        <v>PSW</v>
      </c>
      <c r="AI311" s="102"/>
      <c r="AJ311" s="101">
        <f>IF($F311="","",SUMIFS($J$5:$J311,$F$5:$F311,$F311))</f>
        <v>2350</v>
      </c>
      <c r="AK311" s="101">
        <f t="shared" si="49"/>
        <v>2301</v>
      </c>
      <c r="AL311" s="66" t="str" cm="1">
        <f t="array" ref="AL311">IF($F311="","",IFERROR(INDEX('Lot Balance'!$B$5:$B$500,MATCH(1,INDEX(('Lot Balance'!$A$5:$A$500=$F311)*('Lot Balance'!$K$5:$K$500&lt;$AK311)*('Lot Balance'!$K$5:$K$500+'Lot Balance'!$D$5:$D$500&gt;=$AK311),0),0)),""))</f>
        <v>0125FPC24-0</v>
      </c>
      <c r="AM311" s="66" t="str" cm="1">
        <f t="array" ref="AM311">IF($F311="","",IFERROR(INDEX('Lot Balance'!$B$5:$B$500,MATCH(1,INDEX(('Lot Balance'!$A$5:$A$500=$F311)*('Lot Balance'!$K$5:$K$500&lt;$AJ311)*('Lot Balance'!$K$5:$K$500+'Lot Balance'!$D$5:$D$500&gt;=$AJ311),0),0)),""))</f>
        <v>0125FPC24-0</v>
      </c>
      <c r="AN311" s="66" t="str">
        <f>IF($F311="","",IF($AI311&lt;&gt;"",IF(COUNTIFS('Lot Balance'!$A$5:$A$500,$F311,'Lot Balance'!$B$5:$B$500,$AI311)=0,"⚠ override is not a lot of this item",IF($AI311=$AL311,"Override = FEFO","Override - FEFO says "&amp;$AL311)),IF($AL311="","⚠ no receipt on file for this item",IF($AM311&lt;&gt;$AL311,"FEFO auto - split, also "&amp;$AM311,"FEFO auto"))))</f>
        <v>FEFO auto</v>
      </c>
      <c r="AO311" s="114"/>
    </row>
    <row r="312" spans="1:41" x14ac:dyDescent="0.35">
      <c r="A312" s="74">
        <v>46129</v>
      </c>
      <c r="B312" s="18" t="str">
        <f>IF($C312="","",IFERROR(INDEX('Staff Directory'!$A$5:$A$594,MATCH($C312,'Staff Directory'!$B$5:$B$594,0)),"⚠ unknown staff"))</f>
        <v>PSW-099-A6</v>
      </c>
      <c r="C312" s="49" t="s">
        <v>1077</v>
      </c>
      <c r="D312" s="19" t="str">
        <f>IF($B312="","",IFERROR(INDEX('Staff Directory'!$C$5:$C$594,MATCH($B312,'Staff Directory'!$A$5:$A$594,0)),""))</f>
        <v>PSW</v>
      </c>
      <c r="E312" s="19" t="str">
        <f>IF($B312="","",IFERROR(INDEX('Staff Directory'!$D$5:$D$594,MATCH($B312,'Staff Directory'!$A$5:$A$594,0)),""))</f>
        <v>A6</v>
      </c>
      <c r="F312" s="9" t="s">
        <v>755</v>
      </c>
      <c r="G312" s="18" t="str">
        <f>IF($F312="","",IFERROR(INDEX(Items!$B$5:$B$597,MATCH($F312,Items!$A$5:$A$597,0)),"⚠ not in Items"))</f>
        <v>Documents</v>
      </c>
      <c r="H312" s="19" t="str">
        <f>IF($F312="","",IFERROR(INDEX(Items!$C$5:$C$597,MATCH($F312,Items!$A$5:$A$597,0)),""))</f>
        <v>Standard</v>
      </c>
      <c r="I312" s="23">
        <f>IF($F312="","",IFERROR(INDEX(Items!$E$5:$E$597,MATCH($F312,Items!$A$5:$A$597,0)),""))</f>
        <v>2</v>
      </c>
      <c r="J312" s="115">
        <f>IF(tblIssues[[#This Row],[Qty Override]]&lt;&gt;"",tblIssues[[#This Row],[Qty Override]],IF(tblIssues[[#This Row],[Standard Issue]]="","",tblIssues[[#This Row],[Standard Issue]]))</f>
        <v>2</v>
      </c>
      <c r="K312" s="20">
        <f>IF($F312="","",IFERROR(INDEX(Items!$D$5:$D$597,MATCH($F312,Items!$A$5:$A$597,0)),""))</f>
        <v>0</v>
      </c>
      <c r="L312" s="21">
        <f t="shared" si="50"/>
        <v>0</v>
      </c>
      <c r="M312" s="9" t="str">
        <f t="shared" si="51"/>
        <v/>
      </c>
      <c r="N312" s="24">
        <f>IF($A312="","",WORKDAY($A312,Settings!$C$9,HolidayDates))</f>
        <v>46139</v>
      </c>
      <c r="O312" s="24">
        <f>IF($N312="","",WORKDAY($N312,Settings!$C$10,HolidayDates))</f>
        <v>46177</v>
      </c>
      <c r="P312" s="10" t="s">
        <v>501</v>
      </c>
      <c r="Q312" s="52" t="str">
        <f t="shared" si="53"/>
        <v>Collected</v>
      </c>
      <c r="R312" s="55" t="str">
        <f t="shared" si="54"/>
        <v>2026-04</v>
      </c>
      <c r="S312" s="55">
        <f>IF(OR($B312="",$F312="",$R312=""),"",SUMIFS(tblIssues[Qty Issued],tblIssues[Staff ID],$B312,tblIssues[Item Name],$F312,tblIssues[Month],$R312))</f>
        <v>2</v>
      </c>
      <c r="T312" s="56">
        <f>IF($I312="","",$I312*Settings!$C$11)</f>
        <v>2</v>
      </c>
      <c r="U312" s="57" t="str">
        <f t="shared" si="52"/>
        <v>OK</v>
      </c>
      <c r="V312" s="55" t="str">
        <f t="shared" si="55"/>
        <v/>
      </c>
      <c r="W312" s="55" t="str">
        <f>IF($V312="","",IF(COUNTIF($V$5:$V312,$V312)=1,1,""))</f>
        <v/>
      </c>
      <c r="X312" s="58" t="str">
        <f>IF($W312="","",MAX($X$4:X311)+1)</f>
        <v/>
      </c>
      <c r="Y312" s="62"/>
      <c r="Z312" s="62"/>
      <c r="AA312" s="64" t="str">
        <f>IF($C312="","",IFERROR(INDEX('Staff Directory'!$E$5:$E$594,MATCH($C312,'Staff Directory'!$B$5:$B$594,0)),""))</f>
        <v>firstname161.lastname161@example.com</v>
      </c>
      <c r="AB312" s="64" t="str">
        <f>IF($C312="","",IF(ISNUMBER(SEARCH($D312,Settings!$C$15)),"Pickup","Dispatch"))</f>
        <v>Pickup</v>
      </c>
      <c r="AC312" s="64" t="str">
        <f t="shared" si="56"/>
        <v>Supply order ready for pickup</v>
      </c>
      <c r="AD312" s="64" t="str">
        <f t="shared" si="47"/>
        <v>Dear PSW,
Your order is ready for pickup from Sample Branch, Wed-Fri 9am-4pm.</v>
      </c>
      <c r="AE312" s="64" t="str">
        <f t="shared" si="48"/>
        <v>mailto:firstname161.lastname161@example.com?subject=Supply%20order%20ready%20for%20pickup&amp;body=Dear%20PSW%2C%0A%0AYour%20order%20is%20ready%20for%20pickup%20from%20Sample%20Branch%2C%20Wed-Fri%209am-4pm.</v>
      </c>
      <c r="AF312" s="89" t="str">
        <f t="shared" si="57"/>
        <v>Draft email</v>
      </c>
      <c r="AG312" s="64" t="str">
        <f>IF($C312="","",IFERROR(INDEX('Staff Directory'!$K$595:$K$599,MATCH($C312,'Staff Directory'!$B$5:$B$599,0)),$D312))</f>
        <v>PSW</v>
      </c>
      <c r="AH312" t="str">
        <f>IF($C312="","",IFERROR(INDEX('Staff Directory'!$I$595:$I$599,MATCH($C312,'Staff Directory'!$B$5:$B$599,0))&amp;" "&amp;INDEX('Staff Directory'!$J$595:$J$599,MATCH($C312,'Staff Directory'!$B$5:$B$599,0)),$AG312))</f>
        <v>PSW</v>
      </c>
      <c r="AI312" s="102"/>
      <c r="AJ312" s="101">
        <f>IF($F312="","",SUMIFS($J$5:$J312,$F$5:$F312,$F312))</f>
        <v>84</v>
      </c>
      <c r="AK312" s="101">
        <f t="shared" si="49"/>
        <v>83</v>
      </c>
      <c r="AL312" s="66" t="str" cm="1">
        <f t="array" ref="AL312">IF($F312="","",IFERROR(INDEX('Lot Balance'!$B$5:$B$500,MATCH(1,INDEX(('Lot Balance'!$A$5:$A$500=$F312)*('Lot Balance'!$K$5:$K$500&lt;$AK312)*('Lot Balance'!$K$5:$K$500+'Lot Balance'!$D$5:$D$500&gt;=$AK312),0),0)),""))</f>
        <v/>
      </c>
      <c r="AM312" s="66" t="str" cm="1">
        <f t="array" ref="AM312">IF($F312="","",IFERROR(INDEX('Lot Balance'!$B$5:$B$500,MATCH(1,INDEX(('Lot Balance'!$A$5:$A$500=$F312)*('Lot Balance'!$K$5:$K$500&lt;$AJ312)*('Lot Balance'!$K$5:$K$500+'Lot Balance'!$D$5:$D$500&gt;=$AJ312),0),0)),""))</f>
        <v/>
      </c>
      <c r="AN312" s="66" t="str">
        <f>IF($F312="","",IF($AI312&lt;&gt;"",IF(COUNTIFS('Lot Balance'!$A$5:$A$500,$F312,'Lot Balance'!$B$5:$B$500,$AI312)=0,"⚠ override is not a lot of this item",IF($AI312=$AL312,"Override = FEFO","Override - FEFO says "&amp;$AL312)),IF($AL312="","⚠ no receipt on file for this item",IF($AM312&lt;&gt;$AL312,"FEFO auto - split, also "&amp;$AM312,"FEFO auto"))))</f>
        <v>⚠ no receipt on file for this item</v>
      </c>
      <c r="AO312" s="114"/>
    </row>
    <row r="313" spans="1:41" x14ac:dyDescent="0.35">
      <c r="A313" s="74">
        <v>46129</v>
      </c>
      <c r="B313" s="18" t="str">
        <f>IF($C313="","",IFERROR(INDEX('Staff Directory'!$A$5:$A$594,MATCH($C313,'Staff Directory'!$B$5:$B$594,0)),"⚠ unknown staff"))</f>
        <v>PSW-055-A4</v>
      </c>
      <c r="C313" s="49" t="s">
        <v>1031</v>
      </c>
      <c r="D313" s="19" t="str">
        <f>IF($B313="","",IFERROR(INDEX('Staff Directory'!$C$5:$C$594,MATCH($B313,'Staff Directory'!$A$5:$A$594,0)),""))</f>
        <v>PSW</v>
      </c>
      <c r="E313" s="19" t="str">
        <f>IF($B313="","",IFERROR(INDEX('Staff Directory'!$D$5:$D$594,MATCH($B313,'Staff Directory'!$A$5:$A$594,0)),""))</f>
        <v>A4</v>
      </c>
      <c r="F313" s="9" t="s">
        <v>147</v>
      </c>
      <c r="G313" s="18" t="str">
        <f>IF($F313="","",IFERROR(INDEX(Items!$B$5:$B$597,MATCH($F313,Items!$A$5:$A$597,0)),"⚠ not in Items"))</f>
        <v>Apparel</v>
      </c>
      <c r="H313" s="19" t="str">
        <f>IF($F313="","",IFERROR(INDEX(Items!$C$5:$C$597,MATCH($F313,Items!$A$5:$A$597,0)),""))</f>
        <v>One Size</v>
      </c>
      <c r="I313" s="23">
        <f>IF($F313="","",IFERROR(INDEX(Items!$E$5:$E$597,MATCH($F313,Items!$A$5:$A$597,0)),""))</f>
        <v>5</v>
      </c>
      <c r="J313" s="115">
        <f>IF(tblIssues[[#This Row],[Qty Override]]&lt;&gt;"",tblIssues[[#This Row],[Qty Override]],IF(tblIssues[[#This Row],[Standard Issue]]="","",tblIssues[[#This Row],[Standard Issue]]))</f>
        <v>5</v>
      </c>
      <c r="K313" s="20">
        <f>IF($F313="","",IFERROR(INDEX(Items!$D$5:$D$597,MATCH($F313,Items!$A$5:$A$597,0)),""))</f>
        <v>3</v>
      </c>
      <c r="L313" s="21">
        <f t="shared" si="50"/>
        <v>15</v>
      </c>
      <c r="M313" s="9" t="str">
        <f t="shared" si="51"/>
        <v>YG500280</v>
      </c>
      <c r="N313" s="24">
        <f>IF($A313="","",WORKDAY($A313,Settings!$C$9,HolidayDates))</f>
        <v>46139</v>
      </c>
      <c r="O313" s="24">
        <f>IF($N313="","",WORKDAY($N313,Settings!$C$10,HolidayDates))</f>
        <v>46177</v>
      </c>
      <c r="P313" s="10" t="s">
        <v>501</v>
      </c>
      <c r="Q313" s="52" t="str">
        <f t="shared" si="53"/>
        <v>Collected</v>
      </c>
      <c r="R313" s="55" t="str">
        <f t="shared" si="54"/>
        <v>2026-04</v>
      </c>
      <c r="S313" s="55">
        <f>IF(OR($B313="",$F313="",$R313=""),"",SUMIFS(tblIssues[Qty Issued],tblIssues[Staff ID],$B313,tblIssues[Item Name],$F313,tblIssues[Month],$R313))</f>
        <v>10</v>
      </c>
      <c r="T313" s="56">
        <f>IF($I313="","",$I313*Settings!$C$11)</f>
        <v>5</v>
      </c>
      <c r="U313" s="57" t="str">
        <f t="shared" si="52"/>
        <v>⚠ OVER QUOTA</v>
      </c>
      <c r="V313" s="55" t="str">
        <f t="shared" si="55"/>
        <v>PSW-055-A4 | Level 1/2 - Yellow Gown | 2026-04</v>
      </c>
      <c r="W313" s="55" t="str">
        <f>IF($V313="","",IF(COUNTIF($V$5:$V313,$V313)=1,1,""))</f>
        <v/>
      </c>
      <c r="X313" s="58" t="str">
        <f>IF($W313="","",MAX($X$4:X312)+1)</f>
        <v/>
      </c>
      <c r="Y313" s="62"/>
      <c r="Z313" s="62"/>
      <c r="AA313" s="64" t="str">
        <f>IF($C313="","",IFERROR(INDEX('Staff Directory'!$E$5:$E$594,MATCH($C313,'Staff Directory'!$B$5:$B$594,0)),""))</f>
        <v>firstname115.lastname115@example.com</v>
      </c>
      <c r="AB313" s="64" t="str">
        <f>IF($C313="","",IF(ISNUMBER(SEARCH($D313,Settings!$C$15)),"Pickup","Dispatch"))</f>
        <v>Pickup</v>
      </c>
      <c r="AC313" s="64" t="str">
        <f t="shared" si="56"/>
        <v>Supply order ready for pickup</v>
      </c>
      <c r="AD313" s="64" t="str">
        <f t="shared" si="47"/>
        <v>Dear PSW,
Your order is ready for pickup from Sample Branch, Wed-Fri 9am-4pm.</v>
      </c>
      <c r="AE313" s="64" t="str">
        <f t="shared" si="48"/>
        <v>mailto:firstname115.lastname115@example.com?subject=Supply%20order%20ready%20for%20pickup&amp;body=Dear%20PSW%2C%0A%0AYour%20order%20is%20ready%20for%20pickup%20from%20Sample%20Branch%2C%20Wed-Fri%209am-4pm.</v>
      </c>
      <c r="AF313" s="89" t="str">
        <f t="shared" si="57"/>
        <v>Draft email</v>
      </c>
      <c r="AG313" s="64" t="str">
        <f>IF($C313="","",IFERROR(INDEX('Staff Directory'!$K$595:$K$599,MATCH($C313,'Staff Directory'!$B$5:$B$599,0)),$D313))</f>
        <v>PSW</v>
      </c>
      <c r="AH313" t="str">
        <f>IF($C313="","",IFERROR(INDEX('Staff Directory'!$I$595:$I$599,MATCH($C313,'Staff Directory'!$B$5:$B$599,0))&amp;" "&amp;INDEX('Staff Directory'!$J$595:$J$599,MATCH($C313,'Staff Directory'!$B$5:$B$599,0)),$AG313))</f>
        <v>PSW</v>
      </c>
      <c r="AI313" s="102"/>
      <c r="AJ313" s="101">
        <f>IF($F313="","",SUMIFS($J$5:$J313,$F$5:$F313,$F313))</f>
        <v>30</v>
      </c>
      <c r="AK313" s="101">
        <f t="shared" si="49"/>
        <v>26</v>
      </c>
      <c r="AL313" s="66" t="str" cm="1">
        <f t="array" ref="AL313">IF($F313="","",IFERROR(INDEX('Lot Balance'!$B$5:$B$500,MATCH(1,INDEX(('Lot Balance'!$A$5:$A$500=$F313)*('Lot Balance'!$K$5:$K$500&lt;$AK313)*('Lot Balance'!$K$5:$K$500+'Lot Balance'!$D$5:$D$500&gt;=$AK313),0),0)),""))</f>
        <v>YG500280</v>
      </c>
      <c r="AM313" s="66" t="str" cm="1">
        <f t="array" ref="AM313">IF($F313="","",IFERROR(INDEX('Lot Balance'!$B$5:$B$500,MATCH(1,INDEX(('Lot Balance'!$A$5:$A$500=$F313)*('Lot Balance'!$K$5:$K$500&lt;$AJ313)*('Lot Balance'!$K$5:$K$500+'Lot Balance'!$D$5:$D$500&gt;=$AJ313),0),0)),""))</f>
        <v>YG500280</v>
      </c>
      <c r="AN313" s="66" t="str">
        <f>IF($F313="","",IF($AI313&lt;&gt;"",IF(COUNTIFS('Lot Balance'!$A$5:$A$500,$F313,'Lot Balance'!$B$5:$B$500,$AI313)=0,"⚠ override is not a lot of this item",IF($AI313=$AL313,"Override = FEFO","Override - FEFO says "&amp;$AL313)),IF($AL313="","⚠ no receipt on file for this item",IF($AM313&lt;&gt;$AL313,"FEFO auto - split, also "&amp;$AM313,"FEFO auto"))))</f>
        <v>FEFO auto</v>
      </c>
      <c r="AO313" s="114"/>
    </row>
    <row r="314" spans="1:41" x14ac:dyDescent="0.35">
      <c r="A314" s="74">
        <v>46132</v>
      </c>
      <c r="B314" s="18" t="str">
        <f>IF($C314="","",IFERROR(INDEX('Staff Directory'!$A$5:$A$594,MATCH($C314,'Staff Directory'!$B$5:$B$594,0)),"⚠ unknown staff"))</f>
        <v>PSW-121-A4</v>
      </c>
      <c r="C314" s="49" t="s">
        <v>1100</v>
      </c>
      <c r="D314" s="19" t="str">
        <f>IF($B314="","",IFERROR(INDEX('Staff Directory'!$C$5:$C$594,MATCH($B314,'Staff Directory'!$A$5:$A$594,0)),""))</f>
        <v>PSW</v>
      </c>
      <c r="E314" s="19" t="str">
        <f>IF($B314="","",IFERROR(INDEX('Staff Directory'!$D$5:$D$594,MATCH($B314,'Staff Directory'!$A$5:$A$594,0)),""))</f>
        <v>A4</v>
      </c>
      <c r="F314" s="9" t="s">
        <v>124</v>
      </c>
      <c r="G314" s="18" t="str">
        <f>IF($F314="","",IFERROR(INDEX(Items!$B$5:$B$597,MATCH($F314,Items!$A$5:$A$597,0)),"⚠ not in Items"))</f>
        <v>Gloves</v>
      </c>
      <c r="H314" s="19" t="str">
        <f>IF($F314="","",IFERROR(INDEX(Items!$C$5:$C$597,MATCH($F314,Items!$A$5:$A$597,0)),""))</f>
        <v>Large</v>
      </c>
      <c r="I314" s="23">
        <f>IF($F314="","",IFERROR(INDEX(Items!$E$5:$E$597,MATCH($F314,Items!$A$5:$A$597,0)),""))</f>
        <v>500</v>
      </c>
      <c r="J314" s="115">
        <f>IF(tblIssues[[#This Row],[Qty Override]]&lt;&gt;"",tblIssues[[#This Row],[Qty Override]],IF(tblIssues[[#This Row],[Standard Issue]]="","",tblIssues[[#This Row],[Standard Issue]]))</f>
        <v>500</v>
      </c>
      <c r="K314" s="20">
        <f>IF($F314="","",IFERROR(INDEX(Items!$D$5:$D$597,MATCH($F314,Items!$A$5:$A$597,0)),""))</f>
        <v>5.5E-2</v>
      </c>
      <c r="L314" s="21">
        <f t="shared" si="50"/>
        <v>27.5</v>
      </c>
      <c r="M314" s="9" t="str">
        <f t="shared" si="51"/>
        <v>ZIM511139904-0</v>
      </c>
      <c r="N314" s="24">
        <f>IF($A314="","",WORKDAY($A314,Settings!$C$9,HolidayDates))</f>
        <v>46140</v>
      </c>
      <c r="O314" s="24">
        <f>IF($N314="","",WORKDAY($N314,Settings!$C$10,HolidayDates))</f>
        <v>46178</v>
      </c>
      <c r="P314" s="10" t="s">
        <v>501</v>
      </c>
      <c r="Q314" s="52" t="str">
        <f t="shared" si="53"/>
        <v>Collected</v>
      </c>
      <c r="R314" s="55" t="str">
        <f t="shared" si="54"/>
        <v>2026-04</v>
      </c>
      <c r="S314" s="55">
        <f>IF(OR($B314="",$F314="",$R314=""),"",SUMIFS(tblIssues[Qty Issued],tblIssues[Staff ID],$B314,tblIssues[Item Name],$F314,tblIssues[Month],$R314))</f>
        <v>500</v>
      </c>
      <c r="T314" s="56">
        <f>IF($I314="","",$I314*Settings!$C$11)</f>
        <v>500</v>
      </c>
      <c r="U314" s="57" t="str">
        <f t="shared" si="52"/>
        <v>OK</v>
      </c>
      <c r="V314" s="55" t="str">
        <f t="shared" si="55"/>
        <v/>
      </c>
      <c r="W314" s="55" t="str">
        <f>IF($V314="","",IF(COUNTIF($V$5:$V314,$V314)=1,1,""))</f>
        <v/>
      </c>
      <c r="X314" s="58" t="str">
        <f>IF($W314="","",MAX($X$4:X313)+1)</f>
        <v/>
      </c>
      <c r="Y314" s="62"/>
      <c r="Z314" s="62"/>
      <c r="AA314" s="64" t="str">
        <f>IF($C314="","",IFERROR(INDEX('Staff Directory'!$E$5:$E$594,MATCH($C314,'Staff Directory'!$B$5:$B$594,0)),""))</f>
        <v>firstname184.lastname184@example.com</v>
      </c>
      <c r="AB314" s="64" t="str">
        <f>IF($C314="","",IF(ISNUMBER(SEARCH($D314,Settings!$C$15)),"Pickup","Dispatch"))</f>
        <v>Pickup</v>
      </c>
      <c r="AC314" s="64" t="str">
        <f t="shared" si="56"/>
        <v>Supply order ready for pickup</v>
      </c>
      <c r="AD314" s="64" t="str">
        <f t="shared" si="47"/>
        <v>Dear PSW,
Your order is ready for pickup from Sample Branch, Wed-Fri 9am-4pm.</v>
      </c>
      <c r="AE314" s="64" t="str">
        <f t="shared" si="48"/>
        <v>mailto:firstname184.lastname184@example.com?subject=Supply%20order%20ready%20for%20pickup&amp;body=Dear%20PSW%2C%0A%0AYour%20order%20is%20ready%20for%20pickup%20from%20Sample%20Branch%2C%20Wed-Fri%209am-4pm.</v>
      </c>
      <c r="AF314" s="89" t="str">
        <f t="shared" si="57"/>
        <v>Draft email</v>
      </c>
      <c r="AG314" s="64" t="str">
        <f>IF($C314="","",IFERROR(INDEX('Staff Directory'!$K$595:$K$599,MATCH($C314,'Staff Directory'!$B$5:$B$599,0)),$D314))</f>
        <v>PSW</v>
      </c>
      <c r="AH314" t="str">
        <f>IF($C314="","",IFERROR(INDEX('Staff Directory'!$I$595:$I$599,MATCH($C314,'Staff Directory'!$B$5:$B$599,0))&amp;" "&amp;INDEX('Staff Directory'!$J$595:$J$599,MATCH($C314,'Staff Directory'!$B$5:$B$599,0)),$AG314))</f>
        <v>PSW</v>
      </c>
      <c r="AI314" s="102"/>
      <c r="AJ314" s="101">
        <f>IF($F314="","",SUMIFS($J$5:$J314,$F$5:$F314,$F314))</f>
        <v>8500</v>
      </c>
      <c r="AK314" s="101">
        <f t="shared" si="49"/>
        <v>8001</v>
      </c>
      <c r="AL314" s="66" t="str" cm="1">
        <f t="array" ref="AL314">IF($F314="","",IFERROR(INDEX('Lot Balance'!$B$5:$B$500,MATCH(1,INDEX(('Lot Balance'!$A$5:$A$500=$F314)*('Lot Balance'!$K$5:$K$500&lt;$AK314)*('Lot Balance'!$K$5:$K$500+'Lot Balance'!$D$5:$D$500&gt;=$AK314),0),0)),""))</f>
        <v>ZIM511139904-0</v>
      </c>
      <c r="AM314" s="66" t="str" cm="1">
        <f t="array" ref="AM314">IF($F314="","",IFERROR(INDEX('Lot Balance'!$B$5:$B$500,MATCH(1,INDEX(('Lot Balance'!$A$5:$A$500=$F314)*('Lot Balance'!$K$5:$K$500&lt;$AJ314)*('Lot Balance'!$K$5:$K$500+'Lot Balance'!$D$5:$D$500&gt;=$AJ314),0),0)),""))</f>
        <v>ZIM511139904-0</v>
      </c>
      <c r="AN314" s="66" t="str">
        <f>IF($F314="","",IF($AI314&lt;&gt;"",IF(COUNTIFS('Lot Balance'!$A$5:$A$500,$F314,'Lot Balance'!$B$5:$B$500,$AI314)=0,"⚠ override is not a lot of this item",IF($AI314=$AL314,"Override = FEFO","Override - FEFO says "&amp;$AL314)),IF($AL314="","⚠ no receipt on file for this item",IF($AM314&lt;&gt;$AL314,"FEFO auto - split, also "&amp;$AM314,"FEFO auto"))))</f>
        <v>FEFO auto</v>
      </c>
      <c r="AO314" s="114"/>
    </row>
    <row r="315" spans="1:41" x14ac:dyDescent="0.35">
      <c r="A315" s="74">
        <v>46132</v>
      </c>
      <c r="B315" s="18" t="str">
        <f>IF($C315="","",IFERROR(INDEX('Staff Directory'!$A$5:$A$594,MATCH($C315,'Staff Directory'!$B$5:$B$594,0)),"⚠ unknown staff"))</f>
        <v>PSW-121-A4</v>
      </c>
      <c r="C315" s="49" t="s">
        <v>1100</v>
      </c>
      <c r="D315" s="19" t="str">
        <f>IF($B315="","",IFERROR(INDEX('Staff Directory'!$C$5:$C$594,MATCH($B315,'Staff Directory'!$A$5:$A$594,0)),""))</f>
        <v>PSW</v>
      </c>
      <c r="E315" s="19" t="str">
        <f>IF($B315="","",IFERROR(INDEX('Staff Directory'!$D$5:$D$594,MATCH($B315,'Staff Directory'!$A$5:$A$594,0)),""))</f>
        <v>A4</v>
      </c>
      <c r="F315" s="9" t="s">
        <v>115</v>
      </c>
      <c r="G315" s="18" t="str">
        <f>IF($F315="","",IFERROR(INDEX(Items!$B$5:$B$597,MATCH($F315,Items!$A$5:$A$597,0)),"⚠ not in Items"))</f>
        <v>Wipes</v>
      </c>
      <c r="H315" s="19">
        <f>IF($F315="","",IFERROR(INDEX(Items!$C$5:$C$597,MATCH($F315,Items!$A$5:$A$597,0)),""))</f>
        <v>80</v>
      </c>
      <c r="I315" s="23">
        <f>IF($F315="","",IFERROR(INDEX(Items!$E$5:$E$597,MATCH($F315,Items!$A$5:$A$597,0)),""))</f>
        <v>80</v>
      </c>
      <c r="J315" s="115">
        <f>IF(tblIssues[[#This Row],[Qty Override]]&lt;&gt;"",tblIssues[[#This Row],[Qty Override]],IF(tblIssues[[#This Row],[Standard Issue]]="","",tblIssues[[#This Row],[Standard Issue]]))</f>
        <v>80</v>
      </c>
      <c r="K315" s="20">
        <f>IF($F315="","",IFERROR(INDEX(Items!$D$5:$D$597,MATCH($F315,Items!$A$5:$A$597,0)),""))</f>
        <v>0.1</v>
      </c>
      <c r="L315" s="21">
        <f t="shared" si="50"/>
        <v>8</v>
      </c>
      <c r="M315" s="9" t="str">
        <f t="shared" si="51"/>
        <v>LYSL500290</v>
      </c>
      <c r="N315" s="24">
        <f>IF($A315="","",WORKDAY($A315,Settings!$C$9,HolidayDates))</f>
        <v>46140</v>
      </c>
      <c r="O315" s="24">
        <f>IF($N315="","",WORKDAY($N315,Settings!$C$10,HolidayDates))</f>
        <v>46178</v>
      </c>
      <c r="P315" s="10" t="s">
        <v>501</v>
      </c>
      <c r="Q315" s="52" t="str">
        <f t="shared" si="53"/>
        <v>Collected</v>
      </c>
      <c r="R315" s="55" t="str">
        <f t="shared" si="54"/>
        <v>2026-04</v>
      </c>
      <c r="S315" s="55">
        <f>IF(OR($B315="",$F315="",$R315=""),"",SUMIFS(tblIssues[Qty Issued],tblIssues[Staff ID],$B315,tblIssues[Item Name],$F315,tblIssues[Month],$R315))</f>
        <v>80</v>
      </c>
      <c r="T315" s="56">
        <f>IF($I315="","",$I315*Settings!$C$11)</f>
        <v>80</v>
      </c>
      <c r="U315" s="57" t="str">
        <f t="shared" si="52"/>
        <v>OK</v>
      </c>
      <c r="V315" s="55" t="str">
        <f t="shared" si="55"/>
        <v/>
      </c>
      <c r="W315" s="55" t="str">
        <f>IF($V315="","",IF(COUNTIF($V$5:$V315,$V315)=1,1,""))</f>
        <v/>
      </c>
      <c r="X315" s="58" t="str">
        <f>IF($W315="","",MAX($X$4:X314)+1)</f>
        <v/>
      </c>
      <c r="Y315" s="62"/>
      <c r="Z315" s="62"/>
      <c r="AA315" s="64" t="str">
        <f>IF($C315="","",IFERROR(INDEX('Staff Directory'!$E$5:$E$594,MATCH($C315,'Staff Directory'!$B$5:$B$594,0)),""))</f>
        <v>firstname184.lastname184@example.com</v>
      </c>
      <c r="AB315" s="64" t="str">
        <f>IF($C315="","",IF(ISNUMBER(SEARCH($D315,Settings!$C$15)),"Pickup","Dispatch"))</f>
        <v>Pickup</v>
      </c>
      <c r="AC315" s="64" t="str">
        <f t="shared" si="56"/>
        <v>Supply order ready for pickup</v>
      </c>
      <c r="AD315" s="64" t="str">
        <f t="shared" si="47"/>
        <v>Dear PSW,
Your order is ready for pickup from Sample Branch, Wed-Fri 9am-4pm.</v>
      </c>
      <c r="AE315" s="64" t="str">
        <f t="shared" si="48"/>
        <v>mailto:firstname184.lastname184@example.com?subject=Supply%20order%20ready%20for%20pickup&amp;body=Dear%20PSW%2C%0A%0AYour%20order%20is%20ready%20for%20pickup%20from%20Sample%20Branch%2C%20Wed-Fri%209am-4pm.</v>
      </c>
      <c r="AF315" s="89" t="str">
        <f t="shared" si="57"/>
        <v>Draft email</v>
      </c>
      <c r="AG315" s="64" t="str">
        <f>IF($C315="","",IFERROR(INDEX('Staff Directory'!$K$595:$K$599,MATCH($C315,'Staff Directory'!$B$5:$B$599,0)),$D315))</f>
        <v>PSW</v>
      </c>
      <c r="AH315" t="str">
        <f>IF($C315="","",IFERROR(INDEX('Staff Directory'!$I$595:$I$599,MATCH($C315,'Staff Directory'!$B$5:$B$599,0))&amp;" "&amp;INDEX('Staff Directory'!$J$595:$J$599,MATCH($C315,'Staff Directory'!$B$5:$B$599,0)),$AG315))</f>
        <v>PSW</v>
      </c>
      <c r="AI315" s="102"/>
      <c r="AJ315" s="101">
        <f>IF($F315="","",SUMIFS($J$5:$J315,$F$5:$F315,$F315))</f>
        <v>4160</v>
      </c>
      <c r="AK315" s="101">
        <f t="shared" si="49"/>
        <v>4081</v>
      </c>
      <c r="AL315" s="66" t="str" cm="1">
        <f t="array" ref="AL315">IF($F315="","",IFERROR(INDEX('Lot Balance'!$B$5:$B$500,MATCH(1,INDEX(('Lot Balance'!$A$5:$A$500=$F315)*('Lot Balance'!$K$5:$K$500&lt;$AK315)*('Lot Balance'!$K$5:$K$500+'Lot Balance'!$D$5:$D$500&gt;=$AK315),0),0)),""))</f>
        <v>LYSL500290</v>
      </c>
      <c r="AM315" s="66" t="str" cm="1">
        <f t="array" ref="AM315">IF($F315="","",IFERROR(INDEX('Lot Balance'!$B$5:$B$500,MATCH(1,INDEX(('Lot Balance'!$A$5:$A$500=$F315)*('Lot Balance'!$K$5:$K$500&lt;$AJ315)*('Lot Balance'!$K$5:$K$500+'Lot Balance'!$D$5:$D$500&gt;=$AJ315),0),0)),""))</f>
        <v>LYSL500290</v>
      </c>
      <c r="AN315" s="66" t="str">
        <f>IF($F315="","",IF($AI315&lt;&gt;"",IF(COUNTIFS('Lot Balance'!$A$5:$A$500,$F315,'Lot Balance'!$B$5:$B$500,$AI315)=0,"⚠ override is not a lot of this item",IF($AI315=$AL315,"Override = FEFO","Override - FEFO says "&amp;$AL315)),IF($AL315="","⚠ no receipt on file for this item",IF($AM315&lt;&gt;$AL315,"FEFO auto - split, also "&amp;$AM315,"FEFO auto"))))</f>
        <v>FEFO auto</v>
      </c>
      <c r="AO315" s="114"/>
    </row>
    <row r="316" spans="1:41" x14ac:dyDescent="0.35">
      <c r="A316" s="74">
        <v>46132</v>
      </c>
      <c r="B316" s="18" t="str">
        <f>IF($C316="","",IFERROR(INDEX('Staff Directory'!$A$5:$A$594,MATCH($C316,'Staff Directory'!$B$5:$B$594,0)),"⚠ unknown staff"))</f>
        <v>PSW-121-A4</v>
      </c>
      <c r="C316" s="49" t="s">
        <v>1100</v>
      </c>
      <c r="D316" s="19" t="str">
        <f>IF($B316="","",IFERROR(INDEX('Staff Directory'!$C$5:$C$594,MATCH($B316,'Staff Directory'!$A$5:$A$594,0)),""))</f>
        <v>PSW</v>
      </c>
      <c r="E316" s="19" t="str">
        <f>IF($B316="","",IFERROR(INDEX('Staff Directory'!$D$5:$D$594,MATCH($B316,'Staff Directory'!$A$5:$A$594,0)),""))</f>
        <v>A4</v>
      </c>
      <c r="F316" s="9" t="s">
        <v>156</v>
      </c>
      <c r="G316" s="18" t="str">
        <f>IF($F316="","",IFERROR(INDEX(Items!$B$5:$B$597,MATCH($F316,Items!$A$5:$A$597,0)),"⚠ not in Items"))</f>
        <v>Masks</v>
      </c>
      <c r="H316" s="19" t="str">
        <f>IF($F316="","",IFERROR(INDEX(Items!$C$5:$C$597,MATCH($F316,Items!$A$5:$A$597,0)),""))</f>
        <v>One Size</v>
      </c>
      <c r="I316" s="23">
        <f>IF($F316="","",IFERROR(INDEX(Items!$E$5:$E$597,MATCH($F316,Items!$A$5:$A$597,0)),""))</f>
        <v>50</v>
      </c>
      <c r="J316" s="115">
        <f>IF(tblIssues[[#This Row],[Qty Override]]&lt;&gt;"",tblIssues[[#This Row],[Qty Override]],IF(tblIssues[[#This Row],[Standard Issue]]="","",tblIssues[[#This Row],[Standard Issue]]))</f>
        <v>50</v>
      </c>
      <c r="K316" s="20">
        <f>IF($F316="","",IFERROR(INDEX(Items!$D$5:$D$597,MATCH($F316,Items!$A$5:$A$597,0)),""))</f>
        <v>0.25</v>
      </c>
      <c r="L316" s="21">
        <f t="shared" si="50"/>
        <v>12.5</v>
      </c>
      <c r="M316" s="9" t="str">
        <f t="shared" si="51"/>
        <v>0125FPC24-0</v>
      </c>
      <c r="N316" s="24">
        <f>IF($A316="","",WORKDAY($A316,Settings!$C$9,HolidayDates))</f>
        <v>46140</v>
      </c>
      <c r="O316" s="24">
        <f>IF($N316="","",WORKDAY($N316,Settings!$C$10,HolidayDates))</f>
        <v>46178</v>
      </c>
      <c r="P316" s="10" t="s">
        <v>501</v>
      </c>
      <c r="Q316" s="52" t="str">
        <f t="shared" si="53"/>
        <v>Collected</v>
      </c>
      <c r="R316" s="55" t="str">
        <f t="shared" si="54"/>
        <v>2026-04</v>
      </c>
      <c r="S316" s="55">
        <f>IF(OR($B316="",$F316="",$R316=""),"",SUMIFS(tblIssues[Qty Issued],tblIssues[Staff ID],$B316,tblIssues[Item Name],$F316,tblIssues[Month],$R316))</f>
        <v>50</v>
      </c>
      <c r="T316" s="56">
        <f>IF($I316="","",$I316*Settings!$C$11)</f>
        <v>50</v>
      </c>
      <c r="U316" s="57" t="str">
        <f t="shared" si="52"/>
        <v>OK</v>
      </c>
      <c r="V316" s="55" t="str">
        <f t="shared" si="55"/>
        <v/>
      </c>
      <c r="W316" s="55" t="str">
        <f>IF($V316="","",IF(COUNTIF($V$5:$V316,$V316)=1,1,""))</f>
        <v/>
      </c>
      <c r="X316" s="58" t="str">
        <f>IF($W316="","",MAX($X$4:X315)+1)</f>
        <v/>
      </c>
      <c r="Y316" s="62"/>
      <c r="Z316" s="62"/>
      <c r="AA316" s="64" t="str">
        <f>IF($C316="","",IFERROR(INDEX('Staff Directory'!$E$5:$E$594,MATCH($C316,'Staff Directory'!$B$5:$B$594,0)),""))</f>
        <v>firstname184.lastname184@example.com</v>
      </c>
      <c r="AB316" s="64" t="str">
        <f>IF($C316="","",IF(ISNUMBER(SEARCH($D316,Settings!$C$15)),"Pickup","Dispatch"))</f>
        <v>Pickup</v>
      </c>
      <c r="AC316" s="64" t="str">
        <f t="shared" si="56"/>
        <v>Supply order ready for pickup</v>
      </c>
      <c r="AD316" s="64" t="str">
        <f t="shared" si="47"/>
        <v>Dear PSW,
Your order is ready for pickup from Sample Branch, Wed-Fri 9am-4pm.</v>
      </c>
      <c r="AE316" s="64" t="str">
        <f t="shared" si="48"/>
        <v>mailto:firstname184.lastname184@example.com?subject=Supply%20order%20ready%20for%20pickup&amp;body=Dear%20PSW%2C%0A%0AYour%20order%20is%20ready%20for%20pickup%20from%20Sample%20Branch%2C%20Wed-Fri%209am-4pm.</v>
      </c>
      <c r="AF316" s="89" t="str">
        <f t="shared" si="57"/>
        <v>Draft email</v>
      </c>
      <c r="AG316" s="64" t="str">
        <f>IF($C316="","",IFERROR(INDEX('Staff Directory'!$K$595:$K$599,MATCH($C316,'Staff Directory'!$B$5:$B$599,0)),$D316))</f>
        <v>PSW</v>
      </c>
      <c r="AH316" t="str">
        <f>IF($C316="","",IFERROR(INDEX('Staff Directory'!$I$595:$I$599,MATCH($C316,'Staff Directory'!$B$5:$B$599,0))&amp;" "&amp;INDEX('Staff Directory'!$J$595:$J$599,MATCH($C316,'Staff Directory'!$B$5:$B$599,0)),$AG316))</f>
        <v>PSW</v>
      </c>
      <c r="AI316" s="102"/>
      <c r="AJ316" s="101">
        <f>IF($F316="","",SUMIFS($J$5:$J316,$F$5:$F316,$F316))</f>
        <v>2400</v>
      </c>
      <c r="AK316" s="101">
        <f t="shared" si="49"/>
        <v>2351</v>
      </c>
      <c r="AL316" s="66" t="str" cm="1">
        <f t="array" ref="AL316">IF($F316="","",IFERROR(INDEX('Lot Balance'!$B$5:$B$500,MATCH(1,INDEX(('Lot Balance'!$A$5:$A$500=$F316)*('Lot Balance'!$K$5:$K$500&lt;$AK316)*('Lot Balance'!$K$5:$K$500+'Lot Balance'!$D$5:$D$500&gt;=$AK316),0),0)),""))</f>
        <v>0125FPC24-0</v>
      </c>
      <c r="AM316" s="66" t="str" cm="1">
        <f t="array" ref="AM316">IF($F316="","",IFERROR(INDEX('Lot Balance'!$B$5:$B$500,MATCH(1,INDEX(('Lot Balance'!$A$5:$A$500=$F316)*('Lot Balance'!$K$5:$K$500&lt;$AJ316)*('Lot Balance'!$K$5:$K$500+'Lot Balance'!$D$5:$D$500&gt;=$AJ316),0),0)),""))</f>
        <v>0125FPC24-0</v>
      </c>
      <c r="AN316" s="66" t="str">
        <f>IF($F316="","",IF($AI316&lt;&gt;"",IF(COUNTIFS('Lot Balance'!$A$5:$A$500,$F316,'Lot Balance'!$B$5:$B$500,$AI316)=0,"⚠ override is not a lot of this item",IF($AI316=$AL316,"Override = FEFO","Override - FEFO says "&amp;$AL316)),IF($AL316="","⚠ no receipt on file for this item",IF($AM316&lt;&gt;$AL316,"FEFO auto - split, also "&amp;$AM316,"FEFO auto"))))</f>
        <v>FEFO auto</v>
      </c>
      <c r="AO316" s="114"/>
    </row>
    <row r="317" spans="1:41" x14ac:dyDescent="0.35">
      <c r="A317" s="74">
        <v>46132</v>
      </c>
      <c r="B317" s="18" t="str">
        <f>IF($C317="","",IFERROR(INDEX('Staff Directory'!$A$5:$A$594,MATCH($C317,'Staff Directory'!$B$5:$B$594,0)),"⚠ unknown staff"))</f>
        <v>PSW-121-A4</v>
      </c>
      <c r="C317" s="49" t="s">
        <v>1100</v>
      </c>
      <c r="D317" s="19" t="str">
        <f>IF($B317="","",IFERROR(INDEX('Staff Directory'!$C$5:$C$594,MATCH($B317,'Staff Directory'!$A$5:$A$594,0)),""))</f>
        <v>PSW</v>
      </c>
      <c r="E317" s="19" t="str">
        <f>IF($B317="","",IFERROR(INDEX('Staff Directory'!$D$5:$D$594,MATCH($B317,'Staff Directory'!$A$5:$A$594,0)),""))</f>
        <v>A4</v>
      </c>
      <c r="F317" s="9" t="s">
        <v>147</v>
      </c>
      <c r="G317" s="18" t="str">
        <f>IF($F317="","",IFERROR(INDEX(Items!$B$5:$B$597,MATCH($F317,Items!$A$5:$A$597,0)),"⚠ not in Items"))</f>
        <v>Apparel</v>
      </c>
      <c r="H317" s="19" t="str">
        <f>IF($F317="","",IFERROR(INDEX(Items!$C$5:$C$597,MATCH($F317,Items!$A$5:$A$597,0)),""))</f>
        <v>One Size</v>
      </c>
      <c r="I317" s="23">
        <f>IF($F317="","",IFERROR(INDEX(Items!$E$5:$E$597,MATCH($F317,Items!$A$5:$A$597,0)),""))</f>
        <v>5</v>
      </c>
      <c r="J317" s="115">
        <f>IF(tblIssues[[#This Row],[Qty Override]]&lt;&gt;"",tblIssues[[#This Row],[Qty Override]],IF(tblIssues[[#This Row],[Standard Issue]]="","",tblIssues[[#This Row],[Standard Issue]]))</f>
        <v>5</v>
      </c>
      <c r="K317" s="20">
        <f>IF($F317="","",IFERROR(INDEX(Items!$D$5:$D$597,MATCH($F317,Items!$A$5:$A$597,0)),""))</f>
        <v>3</v>
      </c>
      <c r="L317" s="21">
        <f t="shared" si="50"/>
        <v>15</v>
      </c>
      <c r="M317" s="9" t="str">
        <f t="shared" si="51"/>
        <v>YG500280</v>
      </c>
      <c r="N317" s="24">
        <f>IF($A317="","",WORKDAY($A317,Settings!$C$9,HolidayDates))</f>
        <v>46140</v>
      </c>
      <c r="O317" s="24">
        <f>IF($N317="","",WORKDAY($N317,Settings!$C$10,HolidayDates))</f>
        <v>46178</v>
      </c>
      <c r="P317" s="10" t="s">
        <v>501</v>
      </c>
      <c r="Q317" s="52" t="str">
        <f t="shared" si="53"/>
        <v>Collected</v>
      </c>
      <c r="R317" s="55" t="str">
        <f t="shared" si="54"/>
        <v>2026-04</v>
      </c>
      <c r="S317" s="55">
        <f>IF(OR($B317="",$F317="",$R317=""),"",SUMIFS(tblIssues[Qty Issued],tblIssues[Staff ID],$B317,tblIssues[Item Name],$F317,tblIssues[Month],$R317))</f>
        <v>5</v>
      </c>
      <c r="T317" s="56">
        <f>IF($I317="","",$I317*Settings!$C$11)</f>
        <v>5</v>
      </c>
      <c r="U317" s="57" t="str">
        <f t="shared" si="52"/>
        <v>OK</v>
      </c>
      <c r="V317" s="55" t="str">
        <f t="shared" si="55"/>
        <v/>
      </c>
      <c r="W317" s="55" t="str">
        <f>IF($V317="","",IF(COUNTIF($V$5:$V317,$V317)=1,1,""))</f>
        <v/>
      </c>
      <c r="X317" s="58" t="str">
        <f>IF($W317="","",MAX($X$4:X316)+1)</f>
        <v/>
      </c>
      <c r="Y317" s="62"/>
      <c r="Z317" s="62"/>
      <c r="AA317" s="64" t="str">
        <f>IF($C317="","",IFERROR(INDEX('Staff Directory'!$E$5:$E$594,MATCH($C317,'Staff Directory'!$B$5:$B$594,0)),""))</f>
        <v>firstname184.lastname184@example.com</v>
      </c>
      <c r="AB317" s="64" t="str">
        <f>IF($C317="","",IF(ISNUMBER(SEARCH($D317,Settings!$C$15)),"Pickup","Dispatch"))</f>
        <v>Pickup</v>
      </c>
      <c r="AC317" s="64" t="str">
        <f t="shared" si="56"/>
        <v>Supply order ready for pickup</v>
      </c>
      <c r="AD317" s="64" t="str">
        <f t="shared" si="47"/>
        <v>Dear PSW,
Your order is ready for pickup from Sample Branch, Wed-Fri 9am-4pm.</v>
      </c>
      <c r="AE317" s="64" t="str">
        <f t="shared" si="48"/>
        <v>mailto:firstname184.lastname184@example.com?subject=Supply%20order%20ready%20for%20pickup&amp;body=Dear%20PSW%2C%0A%0AYour%20order%20is%20ready%20for%20pickup%20from%20Sample%20Branch%2C%20Wed-Fri%209am-4pm.</v>
      </c>
      <c r="AF317" s="89" t="str">
        <f t="shared" si="57"/>
        <v>Draft email</v>
      </c>
      <c r="AG317" s="64" t="str">
        <f>IF($C317="","",IFERROR(INDEX('Staff Directory'!$K$595:$K$599,MATCH($C317,'Staff Directory'!$B$5:$B$599,0)),$D317))</f>
        <v>PSW</v>
      </c>
      <c r="AH317" t="str">
        <f>IF($C317="","",IFERROR(INDEX('Staff Directory'!$I$595:$I$599,MATCH($C317,'Staff Directory'!$B$5:$B$599,0))&amp;" "&amp;INDEX('Staff Directory'!$J$595:$J$599,MATCH($C317,'Staff Directory'!$B$5:$B$599,0)),$AG317))</f>
        <v>PSW</v>
      </c>
      <c r="AI317" s="102"/>
      <c r="AJ317" s="101">
        <f>IF($F317="","",SUMIFS($J$5:$J317,$F$5:$F317,$F317))</f>
        <v>35</v>
      </c>
      <c r="AK317" s="101">
        <f t="shared" si="49"/>
        <v>31</v>
      </c>
      <c r="AL317" s="66" t="str" cm="1">
        <f t="array" ref="AL317">IF($F317="","",IFERROR(INDEX('Lot Balance'!$B$5:$B$500,MATCH(1,INDEX(('Lot Balance'!$A$5:$A$500=$F317)*('Lot Balance'!$K$5:$K$500&lt;$AK317)*('Lot Balance'!$K$5:$K$500+'Lot Balance'!$D$5:$D$500&gt;=$AK317),0),0)),""))</f>
        <v>YG500280</v>
      </c>
      <c r="AM317" s="66" t="str" cm="1">
        <f t="array" ref="AM317">IF($F317="","",IFERROR(INDEX('Lot Balance'!$B$5:$B$500,MATCH(1,INDEX(('Lot Balance'!$A$5:$A$500=$F317)*('Lot Balance'!$K$5:$K$500&lt;$AJ317)*('Lot Balance'!$K$5:$K$500+'Lot Balance'!$D$5:$D$500&gt;=$AJ317),0),0)),""))</f>
        <v>YG500280</v>
      </c>
      <c r="AN317" s="66" t="str">
        <f>IF($F317="","",IF($AI317&lt;&gt;"",IF(COUNTIFS('Lot Balance'!$A$5:$A$500,$F317,'Lot Balance'!$B$5:$B$500,$AI317)=0,"⚠ override is not a lot of this item",IF($AI317=$AL317,"Override = FEFO","Override - FEFO says "&amp;$AL317)),IF($AL317="","⚠ no receipt on file for this item",IF($AM317&lt;&gt;$AL317,"FEFO auto - split, also "&amp;$AM317,"FEFO auto"))))</f>
        <v>FEFO auto</v>
      </c>
      <c r="AO317" s="114"/>
    </row>
    <row r="318" spans="1:41" x14ac:dyDescent="0.35">
      <c r="A318" s="74">
        <v>46133</v>
      </c>
      <c r="B318" s="18" t="str">
        <f>IF($C318="","",IFERROR(INDEX('Staff Directory'!$A$5:$A$594,MATCH($C318,'Staff Directory'!$B$5:$B$594,0)),"⚠ unknown staff"))</f>
        <v>RN-028-A1</v>
      </c>
      <c r="C318" s="49" t="s">
        <v>948</v>
      </c>
      <c r="D318" s="19" t="str">
        <f>IF($B318="","",IFERROR(INDEX('Staff Directory'!$C$5:$C$594,MATCH($B318,'Staff Directory'!$A$5:$A$594,0)),""))</f>
        <v>RN</v>
      </c>
      <c r="E318" s="19" t="str">
        <f>IF($B318="","",IFERROR(INDEX('Staff Directory'!$D$5:$D$594,MATCH($B318,'Staff Directory'!$A$5:$A$594,0)),""))</f>
        <v>A1</v>
      </c>
      <c r="F318" s="9" t="s">
        <v>124</v>
      </c>
      <c r="G318" s="18" t="str">
        <f>IF($F318="","",IFERROR(INDEX(Items!$B$5:$B$597,MATCH($F318,Items!$A$5:$A$597,0)),"⚠ not in Items"))</f>
        <v>Gloves</v>
      </c>
      <c r="H318" s="19" t="str">
        <f>IF($F318="","",IFERROR(INDEX(Items!$C$5:$C$597,MATCH($F318,Items!$A$5:$A$597,0)),""))</f>
        <v>Large</v>
      </c>
      <c r="I318" s="23">
        <f>IF($F318="","",IFERROR(INDEX(Items!$E$5:$E$597,MATCH($F318,Items!$A$5:$A$597,0)),""))</f>
        <v>500</v>
      </c>
      <c r="J318" s="115">
        <f>IF(tblIssues[[#This Row],[Qty Override]]&lt;&gt;"",tblIssues[[#This Row],[Qty Override]],IF(tblIssues[[#This Row],[Standard Issue]]="","",tblIssues[[#This Row],[Standard Issue]]))</f>
        <v>500</v>
      </c>
      <c r="K318" s="20">
        <f>IF($F318="","",IFERROR(INDEX(Items!$D$5:$D$597,MATCH($F318,Items!$A$5:$A$597,0)),""))</f>
        <v>5.5E-2</v>
      </c>
      <c r="L318" s="21">
        <f t="shared" si="50"/>
        <v>27.5</v>
      </c>
      <c r="M318" s="9" t="str">
        <f t="shared" si="51"/>
        <v>ZIM511139904-0</v>
      </c>
      <c r="N318" s="24">
        <f>IF($A318="","",WORKDAY($A318,Settings!$C$9,HolidayDates))</f>
        <v>46141</v>
      </c>
      <c r="O318" s="24">
        <f>IF($N318="","",WORKDAY($N318,Settings!$C$10,HolidayDates))</f>
        <v>46181</v>
      </c>
      <c r="P318" s="10" t="s">
        <v>502</v>
      </c>
      <c r="Q318" s="52" t="str">
        <f t="shared" si="53"/>
        <v>Collected</v>
      </c>
      <c r="R318" s="55" t="str">
        <f t="shared" si="54"/>
        <v>2026-04</v>
      </c>
      <c r="S318" s="55">
        <f>IF(OR($B318="",$F318="",$R318=""),"",SUMIFS(tblIssues[Qty Issued],tblIssues[Staff ID],$B318,tblIssues[Item Name],$F318,tblIssues[Month],$R318))</f>
        <v>500</v>
      </c>
      <c r="T318" s="56">
        <f>IF($I318="","",$I318*Settings!$C$11)</f>
        <v>500</v>
      </c>
      <c r="U318" s="57" t="str">
        <f t="shared" si="52"/>
        <v>OK</v>
      </c>
      <c r="V318" s="55" t="str">
        <f t="shared" si="55"/>
        <v/>
      </c>
      <c r="W318" s="55" t="str">
        <f>IF($V318="","",IF(COUNTIF($V$5:$V318,$V318)=1,1,""))</f>
        <v/>
      </c>
      <c r="X318" s="58" t="str">
        <f>IF($W318="","",MAX($X$4:X317)+1)</f>
        <v/>
      </c>
      <c r="Y318" s="62"/>
      <c r="Z318" s="62"/>
      <c r="AA318" s="64" t="str">
        <f>IF($C318="","",IFERROR(INDEX('Staff Directory'!$E$5:$E$594,MATCH($C318,'Staff Directory'!$B$5:$B$594,0)),""))</f>
        <v>firstname032.lastname032@example.com</v>
      </c>
      <c r="AB318" s="64" t="str">
        <f>IF($C318="","",IF(ISNUMBER(SEARCH($D318,Settings!$C$15)),"Pickup","Dispatch"))</f>
        <v>Dispatch</v>
      </c>
      <c r="AC318" s="64" t="str">
        <f t="shared" si="56"/>
        <v>Supply order dispatched</v>
      </c>
      <c r="AD318" s="64" t="str">
        <f t="shared" si="47"/>
        <v>Dear RN,
Your order has been dispatched and is in transit. Reply if undelivered.</v>
      </c>
      <c r="AE318" s="64" t="str">
        <f t="shared" si="48"/>
        <v>mailto:firstname032.lastname032@example.com?subject=Supply%20order%20dispatched&amp;body=Dear%20RN%2C%0A%0AYour%20order%20has%20been%20dispatched%20and%20is%20in%20transit.%20Reply%20if%20undelivered.</v>
      </c>
      <c r="AF318" s="89" t="str">
        <f t="shared" si="57"/>
        <v>Draft email</v>
      </c>
      <c r="AG318" s="64" t="str">
        <f>IF($C318="","",IFERROR(INDEX('Staff Directory'!$K$595:$K$599,MATCH($C318,'Staff Directory'!$B$5:$B$599,0)),$D318))</f>
        <v>RN</v>
      </c>
      <c r="AH318" t="str">
        <f>IF($C318="","",IFERROR(INDEX('Staff Directory'!$I$595:$I$599,MATCH($C318,'Staff Directory'!$B$5:$B$599,0))&amp;" "&amp;INDEX('Staff Directory'!$J$595:$J$599,MATCH($C318,'Staff Directory'!$B$5:$B$599,0)),$AG318))</f>
        <v>RN</v>
      </c>
      <c r="AI318" s="102"/>
      <c r="AJ318" s="101">
        <f>IF($F318="","",SUMIFS($J$5:$J318,$F$5:$F318,$F318))</f>
        <v>9000</v>
      </c>
      <c r="AK318" s="101">
        <f t="shared" si="49"/>
        <v>8501</v>
      </c>
      <c r="AL318" s="66" t="str" cm="1">
        <f t="array" ref="AL318">IF($F318="","",IFERROR(INDEX('Lot Balance'!$B$5:$B$500,MATCH(1,INDEX(('Lot Balance'!$A$5:$A$500=$F318)*('Lot Balance'!$K$5:$K$500&lt;$AK318)*('Lot Balance'!$K$5:$K$500+'Lot Balance'!$D$5:$D$500&gt;=$AK318),0),0)),""))</f>
        <v>ZIM511139904-0</v>
      </c>
      <c r="AM318" s="66" t="str" cm="1">
        <f t="array" ref="AM318">IF($F318="","",IFERROR(INDEX('Lot Balance'!$B$5:$B$500,MATCH(1,INDEX(('Lot Balance'!$A$5:$A$500=$F318)*('Lot Balance'!$K$5:$K$500&lt;$AJ318)*('Lot Balance'!$K$5:$K$500+'Lot Balance'!$D$5:$D$500&gt;=$AJ318),0),0)),""))</f>
        <v>ZIM511139904-0</v>
      </c>
      <c r="AN318" s="66" t="str">
        <f>IF($F318="","",IF($AI318&lt;&gt;"",IF(COUNTIFS('Lot Balance'!$A$5:$A$500,$F318,'Lot Balance'!$B$5:$B$500,$AI318)=0,"⚠ override is not a lot of this item",IF($AI318=$AL318,"Override = FEFO","Override - FEFO says "&amp;$AL318)),IF($AL318="","⚠ no receipt on file for this item",IF($AM318&lt;&gt;$AL318,"FEFO auto - split, also "&amp;$AM318,"FEFO auto"))))</f>
        <v>FEFO auto</v>
      </c>
      <c r="AO318" s="114"/>
    </row>
    <row r="319" spans="1:41" x14ac:dyDescent="0.35">
      <c r="A319" s="74">
        <v>46133</v>
      </c>
      <c r="B319" s="18" t="str">
        <f>IF($C319="","",IFERROR(INDEX('Staff Directory'!$A$5:$A$594,MATCH($C319,'Staff Directory'!$B$5:$B$594,0)),"⚠ unknown staff"))</f>
        <v>RN-028-A1</v>
      </c>
      <c r="C319" s="49" t="s">
        <v>948</v>
      </c>
      <c r="D319" s="19" t="str">
        <f>IF($B319="","",IFERROR(INDEX('Staff Directory'!$C$5:$C$594,MATCH($B319,'Staff Directory'!$A$5:$A$594,0)),""))</f>
        <v>RN</v>
      </c>
      <c r="E319" s="19" t="str">
        <f>IF($B319="","",IFERROR(INDEX('Staff Directory'!$D$5:$D$594,MATCH($B319,'Staff Directory'!$A$5:$A$594,0)),""))</f>
        <v>A1</v>
      </c>
      <c r="F319" s="9" t="s">
        <v>137</v>
      </c>
      <c r="G319" s="18" t="str">
        <f>IF($F319="","",IFERROR(INDEX(Items!$B$5:$B$597,MATCH($F319,Items!$A$5:$A$597,0)),"⚠ not in Items"))</f>
        <v>Sanitizer</v>
      </c>
      <c r="H319" s="19" t="str">
        <f>IF($F319="","",IFERROR(INDEX(Items!$C$5:$C$597,MATCH($F319,Items!$A$5:$A$597,0)),""))</f>
        <v>118 ML</v>
      </c>
      <c r="I319" s="23">
        <f>IF($F319="","",IFERROR(INDEX(Items!$E$5:$E$597,MATCH($F319,Items!$A$5:$A$597,0)),""))</f>
        <v>2</v>
      </c>
      <c r="J319" s="115">
        <f>IF(tblIssues[[#This Row],[Qty Override]]&lt;&gt;"",tblIssues[[#This Row],[Qty Override]],IF(tblIssues[[#This Row],[Standard Issue]]="","",tblIssues[[#This Row],[Standard Issue]]))</f>
        <v>2</v>
      </c>
      <c r="K319" s="20">
        <f>IF($F319="","",IFERROR(INDEX(Items!$D$5:$D$597,MATCH($F319,Items!$A$5:$A$597,0)),""))</f>
        <v>4.49</v>
      </c>
      <c r="L319" s="21">
        <f t="shared" si="50"/>
        <v>8.98</v>
      </c>
      <c r="M319" s="9" t="str">
        <f t="shared" si="51"/>
        <v>563963-6</v>
      </c>
      <c r="N319" s="24">
        <f>IF($A319="","",WORKDAY($A319,Settings!$C$9,HolidayDates))</f>
        <v>46141</v>
      </c>
      <c r="O319" s="24">
        <f>IF($N319="","",WORKDAY($N319,Settings!$C$10,HolidayDates))</f>
        <v>46181</v>
      </c>
      <c r="P319" s="10" t="s">
        <v>502</v>
      </c>
      <c r="Q319" s="52" t="str">
        <f t="shared" si="53"/>
        <v>Collected</v>
      </c>
      <c r="R319" s="55" t="str">
        <f t="shared" si="54"/>
        <v>2026-04</v>
      </c>
      <c r="S319" s="55">
        <f>IF(OR($B319="",$F319="",$R319=""),"",SUMIFS(tblIssues[Qty Issued],tblIssues[Staff ID],$B319,tblIssues[Item Name],$F319,tblIssues[Month],$R319))</f>
        <v>2</v>
      </c>
      <c r="T319" s="56">
        <f>IF($I319="","",$I319*Settings!$C$11)</f>
        <v>2</v>
      </c>
      <c r="U319" s="57" t="str">
        <f t="shared" si="52"/>
        <v>OK</v>
      </c>
      <c r="V319" s="55" t="str">
        <f t="shared" si="55"/>
        <v/>
      </c>
      <c r="W319" s="55" t="str">
        <f>IF($V319="","",IF(COUNTIF($V$5:$V319,$V319)=1,1,""))</f>
        <v/>
      </c>
      <c r="X319" s="58" t="str">
        <f>IF($W319="","",MAX($X$4:X318)+1)</f>
        <v/>
      </c>
      <c r="Y319" s="62"/>
      <c r="Z319" s="62"/>
      <c r="AA319" s="64" t="str">
        <f>IF($C319="","",IFERROR(INDEX('Staff Directory'!$E$5:$E$594,MATCH($C319,'Staff Directory'!$B$5:$B$594,0)),""))</f>
        <v>firstname032.lastname032@example.com</v>
      </c>
      <c r="AB319" s="64" t="str">
        <f>IF($C319="","",IF(ISNUMBER(SEARCH($D319,Settings!$C$15)),"Pickup","Dispatch"))</f>
        <v>Dispatch</v>
      </c>
      <c r="AC319" s="64" t="str">
        <f t="shared" si="56"/>
        <v>Supply order dispatched</v>
      </c>
      <c r="AD319" s="64" t="str">
        <f t="shared" si="47"/>
        <v>Dear RN,
Your order has been dispatched and is in transit. Reply if undelivered.</v>
      </c>
      <c r="AE319" s="64" t="str">
        <f t="shared" si="48"/>
        <v>mailto:firstname032.lastname032@example.com?subject=Supply%20order%20dispatched&amp;body=Dear%20RN%2C%0A%0AYour%20order%20has%20been%20dispatched%20and%20is%20in%20transit.%20Reply%20if%20undelivered.</v>
      </c>
      <c r="AF319" s="89" t="str">
        <f t="shared" si="57"/>
        <v>Draft email</v>
      </c>
      <c r="AG319" s="64" t="str">
        <f>IF($C319="","",IFERROR(INDEX('Staff Directory'!$K$595:$K$599,MATCH($C319,'Staff Directory'!$B$5:$B$599,0)),$D319))</f>
        <v>RN</v>
      </c>
      <c r="AH319" t="str">
        <f>IF($C319="","",IFERROR(INDEX('Staff Directory'!$I$595:$I$599,MATCH($C319,'Staff Directory'!$B$5:$B$599,0))&amp;" "&amp;INDEX('Staff Directory'!$J$595:$J$599,MATCH($C319,'Staff Directory'!$B$5:$B$599,0)),$AG319))</f>
        <v>RN</v>
      </c>
      <c r="AI319" s="102"/>
      <c r="AJ319" s="101">
        <f>IF($F319="","",SUMIFS($J$5:$J319,$F$5:$F319,$F319))</f>
        <v>74</v>
      </c>
      <c r="AK319" s="101">
        <f t="shared" si="49"/>
        <v>73</v>
      </c>
      <c r="AL319" s="66" t="str" cm="1">
        <f t="array" ref="AL319">IF($F319="","",IFERROR(INDEX('Lot Balance'!$B$5:$B$500,MATCH(1,INDEX(('Lot Balance'!$A$5:$A$500=$F319)*('Lot Balance'!$K$5:$K$500&lt;$AK319)*('Lot Balance'!$K$5:$K$500+'Lot Balance'!$D$5:$D$500&gt;=$AK319),0),0)),""))</f>
        <v>563963-6</v>
      </c>
      <c r="AM319" s="66" t="str" cm="1">
        <f t="array" ref="AM319">IF($F319="","",IFERROR(INDEX('Lot Balance'!$B$5:$B$500,MATCH(1,INDEX(('Lot Balance'!$A$5:$A$500=$F319)*('Lot Balance'!$K$5:$K$500&lt;$AJ319)*('Lot Balance'!$K$5:$K$500+'Lot Balance'!$D$5:$D$500&gt;=$AJ319),0),0)),""))</f>
        <v>563963-6</v>
      </c>
      <c r="AN319" s="66" t="str">
        <f>IF($F319="","",IF($AI319&lt;&gt;"",IF(COUNTIFS('Lot Balance'!$A$5:$A$500,$F319,'Lot Balance'!$B$5:$B$500,$AI319)=0,"⚠ override is not a lot of this item",IF($AI319=$AL319,"Override = FEFO","Override - FEFO says "&amp;$AL319)),IF($AL319="","⚠ no receipt on file for this item",IF($AM319&lt;&gt;$AL319,"FEFO auto - split, also "&amp;$AM319,"FEFO auto"))))</f>
        <v>FEFO auto</v>
      </c>
      <c r="AO319" s="114"/>
    </row>
    <row r="320" spans="1:41" x14ac:dyDescent="0.35">
      <c r="A320" s="74">
        <v>46133</v>
      </c>
      <c r="B320" s="18" t="str">
        <f>IF($C320="","",IFERROR(INDEX('Staff Directory'!$A$5:$A$594,MATCH($C320,'Staff Directory'!$B$5:$B$594,0)),"⚠ unknown staff"))</f>
        <v>RN-028-A1</v>
      </c>
      <c r="C320" s="49" t="s">
        <v>948</v>
      </c>
      <c r="D320" s="19" t="str">
        <f>IF($B320="","",IFERROR(INDEX('Staff Directory'!$C$5:$C$594,MATCH($B320,'Staff Directory'!$A$5:$A$594,0)),""))</f>
        <v>RN</v>
      </c>
      <c r="E320" s="19" t="str">
        <f>IF($B320="","",IFERROR(INDEX('Staff Directory'!$D$5:$D$594,MATCH($B320,'Staff Directory'!$A$5:$A$594,0)),""))</f>
        <v>A1</v>
      </c>
      <c r="F320" s="9" t="s">
        <v>115</v>
      </c>
      <c r="G320" s="18" t="str">
        <f>IF($F320="","",IFERROR(INDEX(Items!$B$5:$B$597,MATCH($F320,Items!$A$5:$A$597,0)),"⚠ not in Items"))</f>
        <v>Wipes</v>
      </c>
      <c r="H320" s="19">
        <f>IF($F320="","",IFERROR(INDEX(Items!$C$5:$C$597,MATCH($F320,Items!$A$5:$A$597,0)),""))</f>
        <v>80</v>
      </c>
      <c r="I320" s="23">
        <f>IF($F320="","",IFERROR(INDEX(Items!$E$5:$E$597,MATCH($F320,Items!$A$5:$A$597,0)),""))</f>
        <v>80</v>
      </c>
      <c r="J320" s="115">
        <f>IF(tblIssues[[#This Row],[Qty Override]]&lt;&gt;"",tblIssues[[#This Row],[Qty Override]],IF(tblIssues[[#This Row],[Standard Issue]]="","",tblIssues[[#This Row],[Standard Issue]]))</f>
        <v>80</v>
      </c>
      <c r="K320" s="20">
        <f>IF($F320="","",IFERROR(INDEX(Items!$D$5:$D$597,MATCH($F320,Items!$A$5:$A$597,0)),""))</f>
        <v>0.1</v>
      </c>
      <c r="L320" s="21">
        <f t="shared" si="50"/>
        <v>8</v>
      </c>
      <c r="M320" s="9" t="str">
        <f t="shared" si="51"/>
        <v>LYSL500290</v>
      </c>
      <c r="N320" s="24">
        <f>IF($A320="","",WORKDAY($A320,Settings!$C$9,HolidayDates))</f>
        <v>46141</v>
      </c>
      <c r="O320" s="24">
        <f>IF($N320="","",WORKDAY($N320,Settings!$C$10,HolidayDates))</f>
        <v>46181</v>
      </c>
      <c r="P320" s="10" t="s">
        <v>502</v>
      </c>
      <c r="Q320" s="52" t="str">
        <f t="shared" si="53"/>
        <v>Collected</v>
      </c>
      <c r="R320" s="55" t="str">
        <f t="shared" si="54"/>
        <v>2026-04</v>
      </c>
      <c r="S320" s="55">
        <f>IF(OR($B320="",$F320="",$R320=""),"",SUMIFS(tblIssues[Qty Issued],tblIssues[Staff ID],$B320,tblIssues[Item Name],$F320,tblIssues[Month],$R320))</f>
        <v>80</v>
      </c>
      <c r="T320" s="56">
        <f>IF($I320="","",$I320*Settings!$C$11)</f>
        <v>80</v>
      </c>
      <c r="U320" s="57" t="str">
        <f t="shared" si="52"/>
        <v>OK</v>
      </c>
      <c r="V320" s="55" t="str">
        <f t="shared" si="55"/>
        <v/>
      </c>
      <c r="W320" s="55" t="str">
        <f>IF($V320="","",IF(COUNTIF($V$5:$V320,$V320)=1,1,""))</f>
        <v/>
      </c>
      <c r="X320" s="58" t="str">
        <f>IF($W320="","",MAX($X$4:X319)+1)</f>
        <v/>
      </c>
      <c r="Y320" s="62"/>
      <c r="Z320" s="62"/>
      <c r="AA320" s="64" t="str">
        <f>IF($C320="","",IFERROR(INDEX('Staff Directory'!$E$5:$E$594,MATCH($C320,'Staff Directory'!$B$5:$B$594,0)),""))</f>
        <v>firstname032.lastname032@example.com</v>
      </c>
      <c r="AB320" s="64" t="str">
        <f>IF($C320="","",IF(ISNUMBER(SEARCH($D320,Settings!$C$15)),"Pickup","Dispatch"))</f>
        <v>Dispatch</v>
      </c>
      <c r="AC320" s="64" t="str">
        <f t="shared" si="56"/>
        <v>Supply order dispatched</v>
      </c>
      <c r="AD320" s="64" t="str">
        <f t="shared" si="47"/>
        <v>Dear RN,
Your order has been dispatched and is in transit. Reply if undelivered.</v>
      </c>
      <c r="AE320" s="64" t="str">
        <f t="shared" si="48"/>
        <v>mailto:firstname032.lastname032@example.com?subject=Supply%20order%20dispatched&amp;body=Dear%20RN%2C%0A%0AYour%20order%20has%20been%20dispatched%20and%20is%20in%20transit.%20Reply%20if%20undelivered.</v>
      </c>
      <c r="AF320" s="89" t="str">
        <f t="shared" si="57"/>
        <v>Draft email</v>
      </c>
      <c r="AG320" s="64" t="str">
        <f>IF($C320="","",IFERROR(INDEX('Staff Directory'!$K$595:$K$599,MATCH($C320,'Staff Directory'!$B$5:$B$599,0)),$D320))</f>
        <v>RN</v>
      </c>
      <c r="AH320" t="str">
        <f>IF($C320="","",IFERROR(INDEX('Staff Directory'!$I$595:$I$599,MATCH($C320,'Staff Directory'!$B$5:$B$599,0))&amp;" "&amp;INDEX('Staff Directory'!$J$595:$J$599,MATCH($C320,'Staff Directory'!$B$5:$B$599,0)),$AG320))</f>
        <v>RN</v>
      </c>
      <c r="AI320" s="102"/>
      <c r="AJ320" s="101">
        <f>IF($F320="","",SUMIFS($J$5:$J320,$F$5:$F320,$F320))</f>
        <v>4240</v>
      </c>
      <c r="AK320" s="101">
        <f t="shared" si="49"/>
        <v>4161</v>
      </c>
      <c r="AL320" s="66" t="str" cm="1">
        <f t="array" ref="AL320">IF($F320="","",IFERROR(INDEX('Lot Balance'!$B$5:$B$500,MATCH(1,INDEX(('Lot Balance'!$A$5:$A$500=$F320)*('Lot Balance'!$K$5:$K$500&lt;$AK320)*('Lot Balance'!$K$5:$K$500+'Lot Balance'!$D$5:$D$500&gt;=$AK320),0),0)),""))</f>
        <v>LYSL500290</v>
      </c>
      <c r="AM320" s="66" t="str" cm="1">
        <f t="array" ref="AM320">IF($F320="","",IFERROR(INDEX('Lot Balance'!$B$5:$B$500,MATCH(1,INDEX(('Lot Balance'!$A$5:$A$500=$F320)*('Lot Balance'!$K$5:$K$500&lt;$AJ320)*('Lot Balance'!$K$5:$K$500+'Lot Balance'!$D$5:$D$500&gt;=$AJ320),0),0)),""))</f>
        <v>LYSL500290</v>
      </c>
      <c r="AN320" s="66" t="str">
        <f>IF($F320="","",IF($AI320&lt;&gt;"",IF(COUNTIFS('Lot Balance'!$A$5:$A$500,$F320,'Lot Balance'!$B$5:$B$500,$AI320)=0,"⚠ override is not a lot of this item",IF($AI320=$AL320,"Override = FEFO","Override - FEFO says "&amp;$AL320)),IF($AL320="","⚠ no receipt on file for this item",IF($AM320&lt;&gt;$AL320,"FEFO auto - split, also "&amp;$AM320,"FEFO auto"))))</f>
        <v>FEFO auto</v>
      </c>
      <c r="AO320" s="114"/>
    </row>
    <row r="321" spans="1:41" x14ac:dyDescent="0.35">
      <c r="A321" s="74">
        <v>46133</v>
      </c>
      <c r="B321" s="18" t="str">
        <f>IF($C321="","",IFERROR(INDEX('Staff Directory'!$A$5:$A$594,MATCH($C321,'Staff Directory'!$B$5:$B$594,0)),"⚠ unknown staff"))</f>
        <v>RN-028-A1</v>
      </c>
      <c r="C321" s="49" t="s">
        <v>948</v>
      </c>
      <c r="D321" s="19" t="str">
        <f>IF($B321="","",IFERROR(INDEX('Staff Directory'!$C$5:$C$594,MATCH($B321,'Staff Directory'!$A$5:$A$594,0)),""))</f>
        <v>RN</v>
      </c>
      <c r="E321" s="19" t="str">
        <f>IF($B321="","",IFERROR(INDEX('Staff Directory'!$D$5:$D$594,MATCH($B321,'Staff Directory'!$A$5:$A$594,0)),""))</f>
        <v>A1</v>
      </c>
      <c r="F321" s="9" t="s">
        <v>156</v>
      </c>
      <c r="G321" s="18" t="str">
        <f>IF($F321="","",IFERROR(INDEX(Items!$B$5:$B$597,MATCH($F321,Items!$A$5:$A$597,0)),"⚠ not in Items"))</f>
        <v>Masks</v>
      </c>
      <c r="H321" s="19" t="str">
        <f>IF($F321="","",IFERROR(INDEX(Items!$C$5:$C$597,MATCH($F321,Items!$A$5:$A$597,0)),""))</f>
        <v>One Size</v>
      </c>
      <c r="I321" s="23">
        <f>IF($F321="","",IFERROR(INDEX(Items!$E$5:$E$597,MATCH($F321,Items!$A$5:$A$597,0)),""))</f>
        <v>50</v>
      </c>
      <c r="J321" s="115">
        <f>IF(tblIssues[[#This Row],[Qty Override]]&lt;&gt;"",tblIssues[[#This Row],[Qty Override]],IF(tblIssues[[#This Row],[Standard Issue]]="","",tblIssues[[#This Row],[Standard Issue]]))</f>
        <v>50</v>
      </c>
      <c r="K321" s="20">
        <f>IF($F321="","",IFERROR(INDEX(Items!$D$5:$D$597,MATCH($F321,Items!$A$5:$A$597,0)),""))</f>
        <v>0.25</v>
      </c>
      <c r="L321" s="21">
        <f t="shared" si="50"/>
        <v>12.5</v>
      </c>
      <c r="M321" s="9" t="str">
        <f t="shared" si="51"/>
        <v>0125FPC24-0</v>
      </c>
      <c r="N321" s="24">
        <f>IF($A321="","",WORKDAY($A321,Settings!$C$9,HolidayDates))</f>
        <v>46141</v>
      </c>
      <c r="O321" s="24">
        <f>IF($N321="","",WORKDAY($N321,Settings!$C$10,HolidayDates))</f>
        <v>46181</v>
      </c>
      <c r="P321" s="10" t="s">
        <v>502</v>
      </c>
      <c r="Q321" s="52" t="str">
        <f t="shared" si="53"/>
        <v>Collected</v>
      </c>
      <c r="R321" s="55" t="str">
        <f t="shared" si="54"/>
        <v>2026-04</v>
      </c>
      <c r="S321" s="55">
        <f>IF(OR($B321="",$F321="",$R321=""),"",SUMIFS(tblIssues[Qty Issued],tblIssues[Staff ID],$B321,tblIssues[Item Name],$F321,tblIssues[Month],$R321))</f>
        <v>50</v>
      </c>
      <c r="T321" s="56">
        <f>IF($I321="","",$I321*Settings!$C$11)</f>
        <v>50</v>
      </c>
      <c r="U321" s="57" t="str">
        <f t="shared" si="52"/>
        <v>OK</v>
      </c>
      <c r="V321" s="55" t="str">
        <f t="shared" si="55"/>
        <v/>
      </c>
      <c r="W321" s="55" t="str">
        <f>IF($V321="","",IF(COUNTIF($V$5:$V321,$V321)=1,1,""))</f>
        <v/>
      </c>
      <c r="X321" s="58" t="str">
        <f>IF($W321="","",MAX($X$4:X320)+1)</f>
        <v/>
      </c>
      <c r="Y321" s="62"/>
      <c r="Z321" s="62"/>
      <c r="AA321" s="64" t="str">
        <f>IF($C321="","",IFERROR(INDEX('Staff Directory'!$E$5:$E$594,MATCH($C321,'Staff Directory'!$B$5:$B$594,0)),""))</f>
        <v>firstname032.lastname032@example.com</v>
      </c>
      <c r="AB321" s="64" t="str">
        <f>IF($C321="","",IF(ISNUMBER(SEARCH($D321,Settings!$C$15)),"Pickup","Dispatch"))</f>
        <v>Dispatch</v>
      </c>
      <c r="AC321" s="64" t="str">
        <f t="shared" si="56"/>
        <v>Supply order dispatched</v>
      </c>
      <c r="AD321" s="64" t="str">
        <f t="shared" si="47"/>
        <v>Dear RN,
Your order has been dispatched and is in transit. Reply if undelivered.</v>
      </c>
      <c r="AE321" s="64" t="str">
        <f t="shared" si="48"/>
        <v>mailto:firstname032.lastname032@example.com?subject=Supply%20order%20dispatched&amp;body=Dear%20RN%2C%0A%0AYour%20order%20has%20been%20dispatched%20and%20is%20in%20transit.%20Reply%20if%20undelivered.</v>
      </c>
      <c r="AF321" s="89" t="str">
        <f t="shared" si="57"/>
        <v>Draft email</v>
      </c>
      <c r="AG321" s="64" t="str">
        <f>IF($C321="","",IFERROR(INDEX('Staff Directory'!$K$595:$K$599,MATCH($C321,'Staff Directory'!$B$5:$B$599,0)),$D321))</f>
        <v>RN</v>
      </c>
      <c r="AH321" t="str">
        <f>IF($C321="","",IFERROR(INDEX('Staff Directory'!$I$595:$I$599,MATCH($C321,'Staff Directory'!$B$5:$B$599,0))&amp;" "&amp;INDEX('Staff Directory'!$J$595:$J$599,MATCH($C321,'Staff Directory'!$B$5:$B$599,0)),$AG321))</f>
        <v>RN</v>
      </c>
      <c r="AI321" s="102"/>
      <c r="AJ321" s="101">
        <f>IF($F321="","",SUMIFS($J$5:$J321,$F$5:$F321,$F321))</f>
        <v>2450</v>
      </c>
      <c r="AK321" s="101">
        <f t="shared" si="49"/>
        <v>2401</v>
      </c>
      <c r="AL321" s="66" t="str" cm="1">
        <f t="array" ref="AL321">IF($F321="","",IFERROR(INDEX('Lot Balance'!$B$5:$B$500,MATCH(1,INDEX(('Lot Balance'!$A$5:$A$500=$F321)*('Lot Balance'!$K$5:$K$500&lt;$AK321)*('Lot Balance'!$K$5:$K$500+'Lot Balance'!$D$5:$D$500&gt;=$AK321),0),0)),""))</f>
        <v>0125FPC24-0</v>
      </c>
      <c r="AM321" s="66" t="str" cm="1">
        <f t="array" ref="AM321">IF($F321="","",IFERROR(INDEX('Lot Balance'!$B$5:$B$500,MATCH(1,INDEX(('Lot Balance'!$A$5:$A$500=$F321)*('Lot Balance'!$K$5:$K$500&lt;$AJ321)*('Lot Balance'!$K$5:$K$500+'Lot Balance'!$D$5:$D$500&gt;=$AJ321),0),0)),""))</f>
        <v>0125FPC24-0</v>
      </c>
      <c r="AN321" s="66" t="str">
        <f>IF($F321="","",IF($AI321&lt;&gt;"",IF(COUNTIFS('Lot Balance'!$A$5:$A$500,$F321,'Lot Balance'!$B$5:$B$500,$AI321)=0,"⚠ override is not a lot of this item",IF($AI321=$AL321,"Override = FEFO","Override - FEFO says "&amp;$AL321)),IF($AL321="","⚠ no receipt on file for this item",IF($AM321&lt;&gt;$AL321,"FEFO auto - split, also "&amp;$AM321,"FEFO auto"))))</f>
        <v>FEFO auto</v>
      </c>
      <c r="AO321" s="114"/>
    </row>
    <row r="322" spans="1:41" x14ac:dyDescent="0.35">
      <c r="A322" s="74">
        <v>46133</v>
      </c>
      <c r="B322" s="18" t="str">
        <f>IF($C322="","",IFERROR(INDEX('Staff Directory'!$A$5:$A$594,MATCH($C322,'Staff Directory'!$B$5:$B$594,0)),"⚠ unknown staff"))</f>
        <v>RN-028-A1</v>
      </c>
      <c r="C322" s="49" t="s">
        <v>948</v>
      </c>
      <c r="D322" s="19" t="str">
        <f>IF($B322="","",IFERROR(INDEX('Staff Directory'!$C$5:$C$594,MATCH($B322,'Staff Directory'!$A$5:$A$594,0)),""))</f>
        <v>RN</v>
      </c>
      <c r="E322" s="19" t="str">
        <f>IF($B322="","",IFERROR(INDEX('Staff Directory'!$D$5:$D$594,MATCH($B322,'Staff Directory'!$A$5:$A$594,0)),""))</f>
        <v>A1</v>
      </c>
      <c r="F322" s="9" t="s">
        <v>159</v>
      </c>
      <c r="G322" s="18" t="str">
        <f>IF($F322="","",IFERROR(INDEX(Items!$B$5:$B$597,MATCH($F322,Items!$A$5:$A$597,0)),"⚠ not in Items"))</f>
        <v>Documents</v>
      </c>
      <c r="H322" s="19" t="str">
        <f>IF($F322="","",IFERROR(INDEX(Items!$C$5:$C$597,MATCH($F322,Items!$A$5:$A$597,0)),""))</f>
        <v>Standard</v>
      </c>
      <c r="I322" s="23">
        <f>IF($F322="","",IFERROR(INDEX(Items!$E$5:$E$597,MATCH($F322,Items!$A$5:$A$597,0)),""))</f>
        <v>20</v>
      </c>
      <c r="J322" s="115">
        <f>IF(tblIssues[[#This Row],[Qty Override]]&lt;&gt;"",tblIssues[[#This Row],[Qty Override]],IF(tblIssues[[#This Row],[Standard Issue]]="","",tblIssues[[#This Row],[Standard Issue]]))</f>
        <v>20</v>
      </c>
      <c r="K322" s="20">
        <f>IF($F322="","",IFERROR(INDEX(Items!$D$5:$D$597,MATCH($F322,Items!$A$5:$A$597,0)),""))</f>
        <v>0</v>
      </c>
      <c r="L322" s="21">
        <f t="shared" si="50"/>
        <v>0</v>
      </c>
      <c r="M322" s="9" t="str">
        <f t="shared" si="51"/>
        <v/>
      </c>
      <c r="N322" s="24">
        <f>IF($A322="","",WORKDAY($A322,Settings!$C$9,HolidayDates))</f>
        <v>46141</v>
      </c>
      <c r="O322" s="24">
        <f>IF($N322="","",WORKDAY($N322,Settings!$C$10,HolidayDates))</f>
        <v>46181</v>
      </c>
      <c r="P322" s="10" t="s">
        <v>502</v>
      </c>
      <c r="Q322" s="52" t="str">
        <f t="shared" si="53"/>
        <v>Collected</v>
      </c>
      <c r="R322" s="55" t="str">
        <f t="shared" si="54"/>
        <v>2026-04</v>
      </c>
      <c r="S322" s="55">
        <f>IF(OR($B322="",$F322="",$R322=""),"",SUMIFS(tblIssues[Qty Issued],tblIssues[Staff ID],$B322,tblIssues[Item Name],$F322,tblIssues[Month],$R322))</f>
        <v>20</v>
      </c>
      <c r="T322" s="56">
        <f>IF($I322="","",$I322*Settings!$C$11)</f>
        <v>20</v>
      </c>
      <c r="U322" s="57" t="str">
        <f t="shared" si="52"/>
        <v>OK</v>
      </c>
      <c r="V322" s="55" t="str">
        <f t="shared" si="55"/>
        <v/>
      </c>
      <c r="W322" s="55" t="str">
        <f>IF($V322="","",IF(COUNTIF($V$5:$V322,$V322)=1,1,""))</f>
        <v/>
      </c>
      <c r="X322" s="58" t="str">
        <f>IF($W322="","",MAX($X$4:X321)+1)</f>
        <v/>
      </c>
      <c r="Y322" s="62"/>
      <c r="Z322" s="62"/>
      <c r="AA322" s="64" t="str">
        <f>IF($C322="","",IFERROR(INDEX('Staff Directory'!$E$5:$E$594,MATCH($C322,'Staff Directory'!$B$5:$B$594,0)),""))</f>
        <v>firstname032.lastname032@example.com</v>
      </c>
      <c r="AB322" s="64" t="str">
        <f>IF($C322="","",IF(ISNUMBER(SEARCH($D322,Settings!$C$15)),"Pickup","Dispatch"))</f>
        <v>Dispatch</v>
      </c>
      <c r="AC322" s="64" t="str">
        <f t="shared" si="56"/>
        <v>Supply order dispatched</v>
      </c>
      <c r="AD322" s="64" t="str">
        <f t="shared" si="47"/>
        <v>Dear RN,
Your order has been dispatched and is in transit. Reply if undelivered.</v>
      </c>
      <c r="AE322" s="64" t="str">
        <f t="shared" si="48"/>
        <v>mailto:firstname032.lastname032@example.com?subject=Supply%20order%20dispatched&amp;body=Dear%20RN%2C%0A%0AYour%20order%20has%20been%20dispatched%20and%20is%20in%20transit.%20Reply%20if%20undelivered.</v>
      </c>
      <c r="AF322" s="89" t="str">
        <f t="shared" si="57"/>
        <v>Draft email</v>
      </c>
      <c r="AG322" s="64" t="str">
        <f>IF($C322="","",IFERROR(INDEX('Staff Directory'!$K$595:$K$599,MATCH($C322,'Staff Directory'!$B$5:$B$599,0)),$D322))</f>
        <v>RN</v>
      </c>
      <c r="AH322" t="str">
        <f>IF($C322="","",IFERROR(INDEX('Staff Directory'!$I$595:$I$599,MATCH($C322,'Staff Directory'!$B$5:$B$599,0))&amp;" "&amp;INDEX('Staff Directory'!$J$595:$J$599,MATCH($C322,'Staff Directory'!$B$5:$B$599,0)),$AG322))</f>
        <v>RN</v>
      </c>
      <c r="AI322" s="102"/>
      <c r="AJ322" s="101">
        <f>IF($F322="","",SUMIFS($J$5:$J322,$F$5:$F322,$F322))</f>
        <v>80</v>
      </c>
      <c r="AK322" s="101">
        <f t="shared" si="49"/>
        <v>61</v>
      </c>
      <c r="AL322" s="66" t="str" cm="1">
        <f t="array" ref="AL322">IF($F322="","",IFERROR(INDEX('Lot Balance'!$B$5:$B$500,MATCH(1,INDEX(('Lot Balance'!$A$5:$A$500=$F322)*('Lot Balance'!$K$5:$K$500&lt;$AK322)*('Lot Balance'!$K$5:$K$500+'Lot Balance'!$D$5:$D$500&gt;=$AK322),0),0)),""))</f>
        <v/>
      </c>
      <c r="AM322" s="66" t="str" cm="1">
        <f t="array" ref="AM322">IF($F322="","",IFERROR(INDEX('Lot Balance'!$B$5:$B$500,MATCH(1,INDEX(('Lot Balance'!$A$5:$A$500=$F322)*('Lot Balance'!$K$5:$K$500&lt;$AJ322)*('Lot Balance'!$K$5:$K$500+'Lot Balance'!$D$5:$D$500&gt;=$AJ322),0),0)),""))</f>
        <v/>
      </c>
      <c r="AN322" s="66" t="str">
        <f>IF($F322="","",IF($AI322&lt;&gt;"",IF(COUNTIFS('Lot Balance'!$A$5:$A$500,$F322,'Lot Balance'!$B$5:$B$500,$AI322)=0,"⚠ override is not a lot of this item",IF($AI322=$AL322,"Override = FEFO","Override - FEFO says "&amp;$AL322)),IF($AL322="","⚠ no receipt on file for this item",IF($AM322&lt;&gt;$AL322,"FEFO auto - split, also "&amp;$AM322,"FEFO auto"))))</f>
        <v>⚠ no receipt on file for this item</v>
      </c>
      <c r="AO322" s="114"/>
    </row>
    <row r="323" spans="1:41" x14ac:dyDescent="0.35">
      <c r="A323" s="74">
        <v>46133</v>
      </c>
      <c r="B323" s="18" t="str">
        <f>IF($C323="","",IFERROR(INDEX('Staff Directory'!$A$5:$A$594,MATCH($C323,'Staff Directory'!$B$5:$B$594,0)),"⚠ unknown staff"))</f>
        <v>RN-043-A1</v>
      </c>
      <c r="C323" s="49" t="s">
        <v>966</v>
      </c>
      <c r="D323" s="19" t="str">
        <f>IF($B323="","",IFERROR(INDEX('Staff Directory'!$C$5:$C$594,MATCH($B323,'Staff Directory'!$A$5:$A$594,0)),""))</f>
        <v>RN</v>
      </c>
      <c r="E323" s="19" t="str">
        <f>IF($B323="","",IFERROR(INDEX('Staff Directory'!$D$5:$D$594,MATCH($B323,'Staff Directory'!$A$5:$A$594,0)),""))</f>
        <v>A1</v>
      </c>
      <c r="F323" s="9" t="s">
        <v>127</v>
      </c>
      <c r="G323" s="18" t="str">
        <f>IF($F323="","",IFERROR(INDEX(Items!$B$5:$B$597,MATCH($F323,Items!$A$5:$A$597,0)),"⚠ not in Items"))</f>
        <v>Gloves</v>
      </c>
      <c r="H323" s="19" t="str">
        <f>IF($F323="","",IFERROR(INDEX(Items!$C$5:$C$597,MATCH($F323,Items!$A$5:$A$597,0)),""))</f>
        <v>Medium</v>
      </c>
      <c r="I323" s="23">
        <f>IF($F323="","",IFERROR(INDEX(Items!$E$5:$E$597,MATCH($F323,Items!$A$5:$A$597,0)),""))</f>
        <v>500</v>
      </c>
      <c r="J323" s="115">
        <f>IF(tblIssues[[#This Row],[Qty Override]]&lt;&gt;"",tblIssues[[#This Row],[Qty Override]],IF(tblIssues[[#This Row],[Standard Issue]]="","",tblIssues[[#This Row],[Standard Issue]]))</f>
        <v>500</v>
      </c>
      <c r="K323" s="20">
        <f>IF($F323="","",IFERROR(INDEX(Items!$D$5:$D$597,MATCH($F323,Items!$A$5:$A$597,0)),""))</f>
        <v>5.5E-2</v>
      </c>
      <c r="L323" s="21">
        <f t="shared" si="50"/>
        <v>27.5</v>
      </c>
      <c r="M323" s="9" t="str">
        <f t="shared" si="51"/>
        <v>0312HIC25</v>
      </c>
      <c r="N323" s="24">
        <f>IF($A323="","",WORKDAY($A323,Settings!$C$9,HolidayDates))</f>
        <v>46141</v>
      </c>
      <c r="O323" s="24">
        <f>IF($N323="","",WORKDAY($N323,Settings!$C$10,HolidayDates))</f>
        <v>46181</v>
      </c>
      <c r="P323" s="10" t="s">
        <v>502</v>
      </c>
      <c r="Q323" s="52" t="str">
        <f t="shared" si="53"/>
        <v>Collected</v>
      </c>
      <c r="R323" s="55" t="str">
        <f t="shared" si="54"/>
        <v>2026-04</v>
      </c>
      <c r="S323" s="55">
        <f>IF(OR($B323="",$F323="",$R323=""),"",SUMIFS(tblIssues[Qty Issued],tblIssues[Staff ID],$B323,tblIssues[Item Name],$F323,tblIssues[Month],$R323))</f>
        <v>500</v>
      </c>
      <c r="T323" s="56">
        <f>IF($I323="","",$I323*Settings!$C$11)</f>
        <v>500</v>
      </c>
      <c r="U323" s="57" t="str">
        <f t="shared" si="52"/>
        <v>OK</v>
      </c>
      <c r="V323" s="55" t="str">
        <f t="shared" si="55"/>
        <v/>
      </c>
      <c r="W323" s="55" t="str">
        <f>IF($V323="","",IF(COUNTIF($V$5:$V323,$V323)=1,1,""))</f>
        <v/>
      </c>
      <c r="X323" s="58" t="str">
        <f>IF($W323="","",MAX($X$4:X322)+1)</f>
        <v/>
      </c>
      <c r="Y323" s="62"/>
      <c r="Z323" s="62"/>
      <c r="AA323" s="64" t="str">
        <f>IF($C323="","",IFERROR(INDEX('Staff Directory'!$E$5:$E$594,MATCH($C323,'Staff Directory'!$B$5:$B$594,0)),""))</f>
        <v>firstname050.lastname050@example.com</v>
      </c>
      <c r="AB323" s="64" t="str">
        <f>IF($C323="","",IF(ISNUMBER(SEARCH($D323,Settings!$C$15)),"Pickup","Dispatch"))</f>
        <v>Dispatch</v>
      </c>
      <c r="AC323" s="64" t="str">
        <f t="shared" si="56"/>
        <v>Supply order dispatched</v>
      </c>
      <c r="AD323" s="64" t="str">
        <f t="shared" si="47"/>
        <v>Dear RN,
Your order has been dispatched and is in transit. Reply if undelivered.</v>
      </c>
      <c r="AE323" s="64" t="str">
        <f t="shared" si="48"/>
        <v>mailto:firstname050.lastname050@example.com?subject=Supply%20order%20dispatched&amp;body=Dear%20RN%2C%0A%0AYour%20order%20has%20been%20dispatched%20and%20is%20in%20transit.%20Reply%20if%20undelivered.</v>
      </c>
      <c r="AF323" s="89" t="str">
        <f t="shared" si="57"/>
        <v>Draft email</v>
      </c>
      <c r="AG323" s="64" t="str">
        <f>IF($C323="","",IFERROR(INDEX('Staff Directory'!$K$595:$K$599,MATCH($C323,'Staff Directory'!$B$5:$B$599,0)),$D323))</f>
        <v>RN</v>
      </c>
      <c r="AH323" t="str">
        <f>IF($C323="","",IFERROR(INDEX('Staff Directory'!$I$595:$I$599,MATCH($C323,'Staff Directory'!$B$5:$B$599,0))&amp;" "&amp;INDEX('Staff Directory'!$J$595:$J$599,MATCH($C323,'Staff Directory'!$B$5:$B$599,0)),$AG323))</f>
        <v>RN</v>
      </c>
      <c r="AI323" s="102"/>
      <c r="AJ323" s="101">
        <f>IF($F323="","",SUMIFS($J$5:$J323,$F$5:$F323,$F323))</f>
        <v>19000</v>
      </c>
      <c r="AK323" s="101">
        <f t="shared" si="49"/>
        <v>18501</v>
      </c>
      <c r="AL323" s="66" t="str" cm="1">
        <f t="array" ref="AL323">IF($F323="","",IFERROR(INDEX('Lot Balance'!$B$5:$B$500,MATCH(1,INDEX(('Lot Balance'!$A$5:$A$500=$F323)*('Lot Balance'!$K$5:$K$500&lt;$AK323)*('Lot Balance'!$K$5:$K$500+'Lot Balance'!$D$5:$D$500&gt;=$AK323),0),0)),""))</f>
        <v>0312HIC25</v>
      </c>
      <c r="AM323" s="66" t="str" cm="1">
        <f t="array" ref="AM323">IF($F323="","",IFERROR(INDEX('Lot Balance'!$B$5:$B$500,MATCH(1,INDEX(('Lot Balance'!$A$5:$A$500=$F323)*('Lot Balance'!$K$5:$K$500&lt;$AJ323)*('Lot Balance'!$K$5:$K$500+'Lot Balance'!$D$5:$D$500&gt;=$AJ323),0),0)),""))</f>
        <v>0312HIC25</v>
      </c>
      <c r="AN323" s="66" t="str">
        <f>IF($F323="","",IF($AI323&lt;&gt;"",IF(COUNTIFS('Lot Balance'!$A$5:$A$500,$F323,'Lot Balance'!$B$5:$B$500,$AI323)=0,"⚠ override is not a lot of this item",IF($AI323=$AL323,"Override = FEFO","Override - FEFO says "&amp;$AL323)),IF($AL323="","⚠ no receipt on file for this item",IF($AM323&lt;&gt;$AL323,"FEFO auto - split, also "&amp;$AM323,"FEFO auto"))))</f>
        <v>FEFO auto</v>
      </c>
      <c r="AO323" s="114"/>
    </row>
    <row r="324" spans="1:41" x14ac:dyDescent="0.35">
      <c r="A324" s="74">
        <v>46133</v>
      </c>
      <c r="B324" s="18" t="str">
        <f>IF($C324="","",IFERROR(INDEX('Staff Directory'!$A$5:$A$594,MATCH($C324,'Staff Directory'!$B$5:$B$594,0)),"⚠ unknown staff"))</f>
        <v>RN-043-A1</v>
      </c>
      <c r="C324" s="49" t="s">
        <v>966</v>
      </c>
      <c r="D324" s="19" t="str">
        <f>IF($B324="","",IFERROR(INDEX('Staff Directory'!$C$5:$C$594,MATCH($B324,'Staff Directory'!$A$5:$A$594,0)),""))</f>
        <v>RN</v>
      </c>
      <c r="E324" s="19" t="str">
        <f>IF($B324="","",IFERROR(INDEX('Staff Directory'!$D$5:$D$594,MATCH($B324,'Staff Directory'!$A$5:$A$594,0)),""))</f>
        <v>A1</v>
      </c>
      <c r="F324" s="9" t="s">
        <v>191</v>
      </c>
      <c r="G324" s="18" t="str">
        <f>IF($F324="","",IFERROR(INDEX(Items!$B$5:$B$597,MATCH($F324,Items!$A$5:$A$597,0)),"⚠ not in Items"))</f>
        <v>Sanitizer</v>
      </c>
      <c r="H324" s="19" t="str">
        <f>IF($F324="","",IFERROR(INDEX(Items!$C$5:$C$597,MATCH($F324,Items!$A$5:$A$597,0)),""))</f>
        <v>236 ML</v>
      </c>
      <c r="I324" s="23">
        <f>IF($F324="","",IFERROR(INDEX(Items!$E$5:$E$597,MATCH($F324,Items!$A$5:$A$597,0)),""))</f>
        <v>1</v>
      </c>
      <c r="J324" s="115">
        <f>IF(tblIssues[[#This Row],[Qty Override]]&lt;&gt;"",tblIssues[[#This Row],[Qty Override]],IF(tblIssues[[#This Row],[Standard Issue]]="","",tblIssues[[#This Row],[Standard Issue]]))</f>
        <v>1</v>
      </c>
      <c r="K324" s="20">
        <f>IF($F324="","",IFERROR(INDEX(Items!$D$5:$D$597,MATCH($F324,Items!$A$5:$A$597,0)),""))</f>
        <v>1E-4</v>
      </c>
      <c r="L324" s="21">
        <f t="shared" si="50"/>
        <v>1E-4</v>
      </c>
      <c r="M324" s="9" t="str">
        <f t="shared" si="51"/>
        <v>20-21734-1</v>
      </c>
      <c r="N324" s="24">
        <f>IF($A324="","",WORKDAY($A324,Settings!$C$9,HolidayDates))</f>
        <v>46141</v>
      </c>
      <c r="O324" s="24">
        <f>IF($N324="","",WORKDAY($N324,Settings!$C$10,HolidayDates))</f>
        <v>46181</v>
      </c>
      <c r="P324" s="10" t="s">
        <v>502</v>
      </c>
      <c r="Q324" s="52" t="str">
        <f t="shared" si="53"/>
        <v>Collected</v>
      </c>
      <c r="R324" s="55" t="str">
        <f t="shared" si="54"/>
        <v>2026-04</v>
      </c>
      <c r="S324" s="55">
        <f>IF(OR($B324="",$F324="",$R324=""),"",SUMIFS(tblIssues[Qty Issued],tblIssues[Staff ID],$B324,tblIssues[Item Name],$F324,tblIssues[Month],$R324))</f>
        <v>1</v>
      </c>
      <c r="T324" s="56">
        <f>IF($I324="","",$I324*Settings!$C$11)</f>
        <v>1</v>
      </c>
      <c r="U324" s="57" t="str">
        <f t="shared" si="52"/>
        <v>OK</v>
      </c>
      <c r="V324" s="55" t="str">
        <f t="shared" si="55"/>
        <v/>
      </c>
      <c r="W324" s="55" t="str">
        <f>IF($V324="","",IF(COUNTIF($V$5:$V324,$V324)=1,1,""))</f>
        <v/>
      </c>
      <c r="X324" s="58" t="str">
        <f>IF($W324="","",MAX($X$4:X323)+1)</f>
        <v/>
      </c>
      <c r="Y324" s="62"/>
      <c r="Z324" s="62"/>
      <c r="AA324" s="64" t="str">
        <f>IF($C324="","",IFERROR(INDEX('Staff Directory'!$E$5:$E$594,MATCH($C324,'Staff Directory'!$B$5:$B$594,0)),""))</f>
        <v>firstname050.lastname050@example.com</v>
      </c>
      <c r="AB324" s="64" t="str">
        <f>IF($C324="","",IF(ISNUMBER(SEARCH($D324,Settings!$C$15)),"Pickup","Dispatch"))</f>
        <v>Dispatch</v>
      </c>
      <c r="AC324" s="64" t="str">
        <f t="shared" si="56"/>
        <v>Supply order dispatched</v>
      </c>
      <c r="AD324" s="64" t="str">
        <f t="shared" si="47"/>
        <v>Dear RN,
Your order has been dispatched and is in transit. Reply if undelivered.</v>
      </c>
      <c r="AE324" s="64" t="str">
        <f t="shared" si="48"/>
        <v>mailto:firstname050.lastname050@example.com?subject=Supply%20order%20dispatched&amp;body=Dear%20RN%2C%0A%0AYour%20order%20has%20been%20dispatched%20and%20is%20in%20transit.%20Reply%20if%20undelivered.</v>
      </c>
      <c r="AF324" s="89" t="str">
        <f t="shared" si="57"/>
        <v>Draft email</v>
      </c>
      <c r="AG324" s="64" t="str">
        <f>IF($C324="","",IFERROR(INDEX('Staff Directory'!$K$595:$K$599,MATCH($C324,'Staff Directory'!$B$5:$B$599,0)),$D324))</f>
        <v>RN</v>
      </c>
      <c r="AH324" t="str">
        <f>IF($C324="","",IFERROR(INDEX('Staff Directory'!$I$595:$I$599,MATCH($C324,'Staff Directory'!$B$5:$B$599,0))&amp;" "&amp;INDEX('Staff Directory'!$J$595:$J$599,MATCH($C324,'Staff Directory'!$B$5:$B$599,0)),$AG324))</f>
        <v>RN</v>
      </c>
      <c r="AI324" s="102"/>
      <c r="AJ324" s="101">
        <f>IF($F324="","",SUMIFS($J$5:$J324,$F$5:$F324,$F324))</f>
        <v>19</v>
      </c>
      <c r="AK324" s="101">
        <f t="shared" si="49"/>
        <v>19</v>
      </c>
      <c r="AL324" s="66" t="str" cm="1">
        <f t="array" ref="AL324">IF($F324="","",IFERROR(INDEX('Lot Balance'!$B$5:$B$500,MATCH(1,INDEX(('Lot Balance'!$A$5:$A$500=$F324)*('Lot Balance'!$K$5:$K$500&lt;$AK324)*('Lot Balance'!$K$5:$K$500+'Lot Balance'!$D$5:$D$500&gt;=$AK324),0),0)),""))</f>
        <v>20-21734-1</v>
      </c>
      <c r="AM324" s="66" t="str" cm="1">
        <f t="array" ref="AM324">IF($F324="","",IFERROR(INDEX('Lot Balance'!$B$5:$B$500,MATCH(1,INDEX(('Lot Balance'!$A$5:$A$500=$F324)*('Lot Balance'!$K$5:$K$500&lt;$AJ324)*('Lot Balance'!$K$5:$K$500+'Lot Balance'!$D$5:$D$500&gt;=$AJ324),0),0)),""))</f>
        <v>20-21734-1</v>
      </c>
      <c r="AN324" s="66" t="str">
        <f>IF($F324="","",IF($AI324&lt;&gt;"",IF(COUNTIFS('Lot Balance'!$A$5:$A$500,$F324,'Lot Balance'!$B$5:$B$500,$AI324)=0,"⚠ override is not a lot of this item",IF($AI324=$AL324,"Override = FEFO","Override - FEFO says "&amp;$AL324)),IF($AL324="","⚠ no receipt on file for this item",IF($AM324&lt;&gt;$AL324,"FEFO auto - split, also "&amp;$AM324,"FEFO auto"))))</f>
        <v>FEFO auto</v>
      </c>
      <c r="AO324" s="114"/>
    </row>
    <row r="325" spans="1:41" x14ac:dyDescent="0.35">
      <c r="A325" s="74">
        <v>46133</v>
      </c>
      <c r="B325" s="18" t="str">
        <f>IF($C325="","",IFERROR(INDEX('Staff Directory'!$A$5:$A$594,MATCH($C325,'Staff Directory'!$B$5:$B$594,0)),"⚠ unknown staff"))</f>
        <v>RN-043-A1</v>
      </c>
      <c r="C325" s="49" t="s">
        <v>966</v>
      </c>
      <c r="D325" s="19" t="str">
        <f>IF($B325="","",IFERROR(INDEX('Staff Directory'!$C$5:$C$594,MATCH($B325,'Staff Directory'!$A$5:$A$594,0)),""))</f>
        <v>RN</v>
      </c>
      <c r="E325" s="19" t="str">
        <f>IF($B325="","",IFERROR(INDEX('Staff Directory'!$D$5:$D$594,MATCH($B325,'Staff Directory'!$A$5:$A$594,0)),""))</f>
        <v>A1</v>
      </c>
      <c r="F325" s="9" t="s">
        <v>115</v>
      </c>
      <c r="G325" s="18" t="str">
        <f>IF($F325="","",IFERROR(INDEX(Items!$B$5:$B$597,MATCH($F325,Items!$A$5:$A$597,0)),"⚠ not in Items"))</f>
        <v>Wipes</v>
      </c>
      <c r="H325" s="19">
        <f>IF($F325="","",IFERROR(INDEX(Items!$C$5:$C$597,MATCH($F325,Items!$A$5:$A$597,0)),""))</f>
        <v>80</v>
      </c>
      <c r="I325" s="23">
        <f>IF($F325="","",IFERROR(INDEX(Items!$E$5:$E$597,MATCH($F325,Items!$A$5:$A$597,0)),""))</f>
        <v>80</v>
      </c>
      <c r="J325" s="115">
        <f>IF(tblIssues[[#This Row],[Qty Override]]&lt;&gt;"",tblIssues[[#This Row],[Qty Override]],IF(tblIssues[[#This Row],[Standard Issue]]="","",tblIssues[[#This Row],[Standard Issue]]))</f>
        <v>80</v>
      </c>
      <c r="K325" s="20">
        <f>IF($F325="","",IFERROR(INDEX(Items!$D$5:$D$597,MATCH($F325,Items!$A$5:$A$597,0)),""))</f>
        <v>0.1</v>
      </c>
      <c r="L325" s="21">
        <f t="shared" si="50"/>
        <v>8</v>
      </c>
      <c r="M325" s="9" t="str">
        <f t="shared" si="51"/>
        <v>LYSL500290</v>
      </c>
      <c r="N325" s="24">
        <f>IF($A325="","",WORKDAY($A325,Settings!$C$9,HolidayDates))</f>
        <v>46141</v>
      </c>
      <c r="O325" s="24">
        <f>IF($N325="","",WORKDAY($N325,Settings!$C$10,HolidayDates))</f>
        <v>46181</v>
      </c>
      <c r="P325" s="10" t="s">
        <v>502</v>
      </c>
      <c r="Q325" s="52" t="str">
        <f t="shared" si="53"/>
        <v>Collected</v>
      </c>
      <c r="R325" s="55" t="str">
        <f t="shared" si="54"/>
        <v>2026-04</v>
      </c>
      <c r="S325" s="55">
        <f>IF(OR($B325="",$F325="",$R325=""),"",SUMIFS(tblIssues[Qty Issued],tblIssues[Staff ID],$B325,tblIssues[Item Name],$F325,tblIssues[Month],$R325))</f>
        <v>80</v>
      </c>
      <c r="T325" s="56">
        <f>IF($I325="","",$I325*Settings!$C$11)</f>
        <v>80</v>
      </c>
      <c r="U325" s="57" t="str">
        <f t="shared" si="52"/>
        <v>OK</v>
      </c>
      <c r="V325" s="55" t="str">
        <f t="shared" si="55"/>
        <v/>
      </c>
      <c r="W325" s="55" t="str">
        <f>IF($V325="","",IF(COUNTIF($V$5:$V325,$V325)=1,1,""))</f>
        <v/>
      </c>
      <c r="X325" s="58" t="str">
        <f>IF($W325="","",MAX($X$4:X324)+1)</f>
        <v/>
      </c>
      <c r="Y325" s="62"/>
      <c r="Z325" s="62"/>
      <c r="AA325" s="64" t="str">
        <f>IF($C325="","",IFERROR(INDEX('Staff Directory'!$E$5:$E$594,MATCH($C325,'Staff Directory'!$B$5:$B$594,0)),""))</f>
        <v>firstname050.lastname050@example.com</v>
      </c>
      <c r="AB325" s="64" t="str">
        <f>IF($C325="","",IF(ISNUMBER(SEARCH($D325,Settings!$C$15)),"Pickup","Dispatch"))</f>
        <v>Dispatch</v>
      </c>
      <c r="AC325" s="64" t="str">
        <f t="shared" si="56"/>
        <v>Supply order dispatched</v>
      </c>
      <c r="AD325" s="64" t="str">
        <f t="shared" ref="AD325:AD388" si="58">IF($AB325="Pickup","Dear "&amp;$AH325&amp;","&amp;CHAR(10)&amp;CHAR(10)&amp;"Your order is ready for pickup from Sample Branch, Wed-Fri 9am-4pm.",IF($AB325="Dispatch","Dear "&amp;$AH325&amp;","&amp;CHAR(10)&amp;CHAR(10)&amp;"Your order has been dispatched and is in transit. Reply if undelivered.",""))</f>
        <v>Dear RN,
Your order has been dispatched and is in transit. Reply if undelivered.</v>
      </c>
      <c r="AE325" s="64" t="str">
        <f t="shared" ref="AE325:AE388" si="59">IF(OR($AA325="",$AC325=""),"","mailto:"&amp;$AA325&amp;"?subject="&amp;_xlfn.ENCODEURL($AC325)&amp;"&amp;body="&amp;_xlfn.ENCODEURL($AD325))</f>
        <v>mailto:firstname050.lastname050@example.com?subject=Supply%20order%20dispatched&amp;body=Dear%20RN%2C%0A%0AYour%20order%20has%20been%20dispatched%20and%20is%20in%20transit.%20Reply%20if%20undelivered.</v>
      </c>
      <c r="AF325" s="89" t="str">
        <f t="shared" si="57"/>
        <v>Draft email</v>
      </c>
      <c r="AG325" s="64" t="str">
        <f>IF($C325="","",IFERROR(INDEX('Staff Directory'!$K$595:$K$599,MATCH($C325,'Staff Directory'!$B$5:$B$599,0)),$D325))</f>
        <v>RN</v>
      </c>
      <c r="AH325" t="str">
        <f>IF($C325="","",IFERROR(INDEX('Staff Directory'!$I$595:$I$599,MATCH($C325,'Staff Directory'!$B$5:$B$599,0))&amp;" "&amp;INDEX('Staff Directory'!$J$595:$J$599,MATCH($C325,'Staff Directory'!$B$5:$B$599,0)),$AG325))</f>
        <v>RN</v>
      </c>
      <c r="AI325" s="102"/>
      <c r="AJ325" s="101">
        <f>IF($F325="","",SUMIFS($J$5:$J325,$F$5:$F325,$F325))</f>
        <v>4320</v>
      </c>
      <c r="AK325" s="101">
        <f t="shared" ref="AK325:AK388" si="60">IF($F325="","",MAX(1,$AJ325-MAX($J325,0)+1))</f>
        <v>4241</v>
      </c>
      <c r="AL325" s="66" t="str" cm="1">
        <f t="array" ref="AL325">IF($F325="","",IFERROR(INDEX('Lot Balance'!$B$5:$B$500,MATCH(1,INDEX(('Lot Balance'!$A$5:$A$500=$F325)*('Lot Balance'!$K$5:$K$500&lt;$AK325)*('Lot Balance'!$K$5:$K$500+'Lot Balance'!$D$5:$D$500&gt;=$AK325),0),0)),""))</f>
        <v>LYSL500290</v>
      </c>
      <c r="AM325" s="66" t="str" cm="1">
        <f t="array" ref="AM325">IF($F325="","",IFERROR(INDEX('Lot Balance'!$B$5:$B$500,MATCH(1,INDEX(('Lot Balance'!$A$5:$A$500=$F325)*('Lot Balance'!$K$5:$K$500&lt;$AJ325)*('Lot Balance'!$K$5:$K$500+'Lot Balance'!$D$5:$D$500&gt;=$AJ325),0),0)),""))</f>
        <v>LYSL500290</v>
      </c>
      <c r="AN325" s="66" t="str">
        <f>IF($F325="","",IF($AI325&lt;&gt;"",IF(COUNTIFS('Lot Balance'!$A$5:$A$500,$F325,'Lot Balance'!$B$5:$B$500,$AI325)=0,"⚠ override is not a lot of this item",IF($AI325=$AL325,"Override = FEFO","Override - FEFO says "&amp;$AL325)),IF($AL325="","⚠ no receipt on file for this item",IF($AM325&lt;&gt;$AL325,"FEFO auto - split, also "&amp;$AM325,"FEFO auto"))))</f>
        <v>FEFO auto</v>
      </c>
      <c r="AO325" s="114"/>
    </row>
    <row r="326" spans="1:41" x14ac:dyDescent="0.35">
      <c r="A326" s="74">
        <v>46133</v>
      </c>
      <c r="B326" s="18" t="str">
        <f>IF($C326="","",IFERROR(INDEX('Staff Directory'!$A$5:$A$594,MATCH($C326,'Staff Directory'!$B$5:$B$594,0)),"⚠ unknown staff"))</f>
        <v>RN-043-A1</v>
      </c>
      <c r="C326" s="49" t="s">
        <v>966</v>
      </c>
      <c r="D326" s="19" t="str">
        <f>IF($B326="","",IFERROR(INDEX('Staff Directory'!$C$5:$C$594,MATCH($B326,'Staff Directory'!$A$5:$A$594,0)),""))</f>
        <v>RN</v>
      </c>
      <c r="E326" s="19" t="str">
        <f>IF($B326="","",IFERROR(INDEX('Staff Directory'!$D$5:$D$594,MATCH($B326,'Staff Directory'!$A$5:$A$594,0)),""))</f>
        <v>A1</v>
      </c>
      <c r="F326" s="9" t="s">
        <v>156</v>
      </c>
      <c r="G326" s="18" t="str">
        <f>IF($F326="","",IFERROR(INDEX(Items!$B$5:$B$597,MATCH($F326,Items!$A$5:$A$597,0)),"⚠ not in Items"))</f>
        <v>Masks</v>
      </c>
      <c r="H326" s="19" t="str">
        <f>IF($F326="","",IFERROR(INDEX(Items!$C$5:$C$597,MATCH($F326,Items!$A$5:$A$597,0)),""))</f>
        <v>One Size</v>
      </c>
      <c r="I326" s="23">
        <f>IF($F326="","",IFERROR(INDEX(Items!$E$5:$E$597,MATCH($F326,Items!$A$5:$A$597,0)),""))</f>
        <v>50</v>
      </c>
      <c r="J326" s="115">
        <f>IF(tblIssues[[#This Row],[Qty Override]]&lt;&gt;"",tblIssues[[#This Row],[Qty Override]],IF(tblIssues[[#This Row],[Standard Issue]]="","",tblIssues[[#This Row],[Standard Issue]]))</f>
        <v>50</v>
      </c>
      <c r="K326" s="20">
        <f>IF($F326="","",IFERROR(INDEX(Items!$D$5:$D$597,MATCH($F326,Items!$A$5:$A$597,0)),""))</f>
        <v>0.25</v>
      </c>
      <c r="L326" s="21">
        <f t="shared" ref="L326:L389" si="61">IF(OR($J326="",$K326=""),"",$J326*$K326)</f>
        <v>12.5</v>
      </c>
      <c r="M326" s="9" t="str">
        <f t="shared" ref="M326:M389" si="62">IF($F326="","",IF($AI326&lt;&gt;"",$AI326,$AL326))</f>
        <v>0125FPC24-0</v>
      </c>
      <c r="N326" s="24">
        <f>IF($A326="","",WORKDAY($A326,Settings!$C$9,HolidayDates))</f>
        <v>46141</v>
      </c>
      <c r="O326" s="24">
        <f>IF($N326="","",WORKDAY($N326,Settings!$C$10,HolidayDates))</f>
        <v>46181</v>
      </c>
      <c r="P326" s="10" t="s">
        <v>502</v>
      </c>
      <c r="Q326" s="52" t="str">
        <f t="shared" si="53"/>
        <v>Collected</v>
      </c>
      <c r="R326" s="55" t="str">
        <f t="shared" si="54"/>
        <v>2026-04</v>
      </c>
      <c r="S326" s="55">
        <f>IF(OR($B326="",$F326="",$R326=""),"",SUMIFS(tblIssues[Qty Issued],tblIssues[Staff ID],$B326,tblIssues[Item Name],$F326,tblIssues[Month],$R326))</f>
        <v>50</v>
      </c>
      <c r="T326" s="56">
        <f>IF($I326="","",$I326*Settings!$C$11)</f>
        <v>50</v>
      </c>
      <c r="U326" s="57" t="str">
        <f t="shared" ref="U326:U389" si="63">IF(OR($S326="",$T326=""),"",IF($S326&gt;$T326,IF($Y326="Approved","APPROVED BY TL","⚠ OVER QUOTA"),"OK"))</f>
        <v>OK</v>
      </c>
      <c r="V326" s="55" t="str">
        <f t="shared" si="55"/>
        <v/>
      </c>
      <c r="W326" s="55" t="str">
        <f>IF($V326="","",IF(COUNTIF($V$5:$V326,$V326)=1,1,""))</f>
        <v/>
      </c>
      <c r="X326" s="58" t="str">
        <f>IF($W326="","",MAX($X$4:X325)+1)</f>
        <v/>
      </c>
      <c r="Y326" s="62"/>
      <c r="Z326" s="62"/>
      <c r="AA326" s="64" t="str">
        <f>IF($C326="","",IFERROR(INDEX('Staff Directory'!$E$5:$E$594,MATCH($C326,'Staff Directory'!$B$5:$B$594,0)),""))</f>
        <v>firstname050.lastname050@example.com</v>
      </c>
      <c r="AB326" s="64" t="str">
        <f>IF($C326="","",IF(ISNUMBER(SEARCH($D326,Settings!$C$15)),"Pickup","Dispatch"))</f>
        <v>Dispatch</v>
      </c>
      <c r="AC326" s="64" t="str">
        <f t="shared" si="56"/>
        <v>Supply order dispatched</v>
      </c>
      <c r="AD326" s="64" t="str">
        <f t="shared" si="58"/>
        <v>Dear RN,
Your order has been dispatched and is in transit. Reply if undelivered.</v>
      </c>
      <c r="AE326" s="64" t="str">
        <f t="shared" si="59"/>
        <v>mailto:firstname050.lastname050@example.com?subject=Supply%20order%20dispatched&amp;body=Dear%20RN%2C%0A%0AYour%20order%20has%20been%20dispatched%20and%20is%20in%20transit.%20Reply%20if%20undelivered.</v>
      </c>
      <c r="AF326" s="89" t="str">
        <f t="shared" si="57"/>
        <v>Draft email</v>
      </c>
      <c r="AG326" s="64" t="str">
        <f>IF($C326="","",IFERROR(INDEX('Staff Directory'!$K$595:$K$599,MATCH($C326,'Staff Directory'!$B$5:$B$599,0)),$D326))</f>
        <v>RN</v>
      </c>
      <c r="AH326" t="str">
        <f>IF($C326="","",IFERROR(INDEX('Staff Directory'!$I$595:$I$599,MATCH($C326,'Staff Directory'!$B$5:$B$599,0))&amp;" "&amp;INDEX('Staff Directory'!$J$595:$J$599,MATCH($C326,'Staff Directory'!$B$5:$B$599,0)),$AG326))</f>
        <v>RN</v>
      </c>
      <c r="AI326" s="102"/>
      <c r="AJ326" s="101">
        <f>IF($F326="","",SUMIFS($J$5:$J326,$F$5:$F326,$F326))</f>
        <v>2500</v>
      </c>
      <c r="AK326" s="101">
        <f t="shared" si="60"/>
        <v>2451</v>
      </c>
      <c r="AL326" s="66" t="str" cm="1">
        <f t="array" ref="AL326">IF($F326="","",IFERROR(INDEX('Lot Balance'!$B$5:$B$500,MATCH(1,INDEX(('Lot Balance'!$A$5:$A$500=$F326)*('Lot Balance'!$K$5:$K$500&lt;$AK326)*('Lot Balance'!$K$5:$K$500+'Lot Balance'!$D$5:$D$500&gt;=$AK326),0),0)),""))</f>
        <v>0125FPC24-0</v>
      </c>
      <c r="AM326" s="66" t="str" cm="1">
        <f t="array" ref="AM326">IF($F326="","",IFERROR(INDEX('Lot Balance'!$B$5:$B$500,MATCH(1,INDEX(('Lot Balance'!$A$5:$A$500=$F326)*('Lot Balance'!$K$5:$K$500&lt;$AJ326)*('Lot Balance'!$K$5:$K$500+'Lot Balance'!$D$5:$D$500&gt;=$AJ326),0),0)),""))</f>
        <v>0125FPC24-0</v>
      </c>
      <c r="AN326" s="66" t="str">
        <f>IF($F326="","",IF($AI326&lt;&gt;"",IF(COUNTIFS('Lot Balance'!$A$5:$A$500,$F326,'Lot Balance'!$B$5:$B$500,$AI326)=0,"⚠ override is not a lot of this item",IF($AI326=$AL326,"Override = FEFO","Override - FEFO says "&amp;$AL326)),IF($AL326="","⚠ no receipt on file for this item",IF($AM326&lt;&gt;$AL326,"FEFO auto - split, also "&amp;$AM326,"FEFO auto"))))</f>
        <v>FEFO auto</v>
      </c>
      <c r="AO326" s="114"/>
    </row>
    <row r="327" spans="1:41" x14ac:dyDescent="0.35">
      <c r="A327" s="74">
        <v>46133</v>
      </c>
      <c r="B327" s="18" t="str">
        <f>IF($C327="","",IFERROR(INDEX('Staff Directory'!$A$5:$A$594,MATCH($C327,'Staff Directory'!$B$5:$B$594,0)),"⚠ unknown staff"))</f>
        <v>RN-043-A1</v>
      </c>
      <c r="C327" s="49" t="s">
        <v>966</v>
      </c>
      <c r="D327" s="19" t="str">
        <f>IF($B327="","",IFERROR(INDEX('Staff Directory'!$C$5:$C$594,MATCH($B327,'Staff Directory'!$A$5:$A$594,0)),""))</f>
        <v>RN</v>
      </c>
      <c r="E327" s="19" t="str">
        <f>IF($B327="","",IFERROR(INDEX('Staff Directory'!$D$5:$D$594,MATCH($B327,'Staff Directory'!$A$5:$A$594,0)),""))</f>
        <v>A1</v>
      </c>
      <c r="F327" s="9" t="s">
        <v>1227</v>
      </c>
      <c r="G327" s="18" t="str">
        <f>IF($F327="","",IFERROR(INDEX(Items!$B$5:$B$597,MATCH($F327,Items!$A$5:$A$597,0)),"⚠ not in Items"))</f>
        <v>SO A1 Charts</v>
      </c>
      <c r="H327" s="19" t="str">
        <f>IF($F327="","",IFERROR(INDEX(Items!$C$5:$C$597,MATCH($F327,Items!$A$5:$A$597,0)),""))</f>
        <v>Standard</v>
      </c>
      <c r="I327" s="23">
        <f>IF($F327="","",IFERROR(INDEX(Items!$E$5:$E$597,MATCH($F327,Items!$A$5:$A$597,0)),""))</f>
        <v>20</v>
      </c>
      <c r="J327" s="115">
        <f>IF(tblIssues[[#This Row],[Qty Override]]&lt;&gt;"",tblIssues[[#This Row],[Qty Override]],IF(tblIssues[[#This Row],[Standard Issue]]="","",tblIssues[[#This Row],[Standard Issue]]))</f>
        <v>20</v>
      </c>
      <c r="K327" s="20">
        <f>IF($F327="","",IFERROR(INDEX(Items!$D$5:$D$597,MATCH($F327,Items!$A$5:$A$597,0)),""))</f>
        <v>0</v>
      </c>
      <c r="L327" s="21">
        <f t="shared" si="61"/>
        <v>0</v>
      </c>
      <c r="M327" s="9" t="str">
        <f t="shared" si="62"/>
        <v/>
      </c>
      <c r="N327" s="24">
        <f>IF($A327="","",WORKDAY($A327,Settings!$C$9,HolidayDates))</f>
        <v>46141</v>
      </c>
      <c r="O327" s="24">
        <f>IF($N327="","",WORKDAY($N327,Settings!$C$10,HolidayDates))</f>
        <v>46181</v>
      </c>
      <c r="P327" s="10" t="s">
        <v>502</v>
      </c>
      <c r="Q327" s="52" t="str">
        <f t="shared" si="53"/>
        <v>Collected</v>
      </c>
      <c r="R327" s="55" t="str">
        <f t="shared" si="54"/>
        <v>2026-04</v>
      </c>
      <c r="S327" s="55">
        <f>IF(OR($B327="",$F327="",$R327=""),"",SUMIFS(tblIssues[Qty Issued],tblIssues[Staff ID],$B327,tblIssues[Item Name],$F327,tblIssues[Month],$R327))</f>
        <v>20</v>
      </c>
      <c r="T327" s="56">
        <f>IF($I327="","",$I327*Settings!$C$11)</f>
        <v>20</v>
      </c>
      <c r="U327" s="57" t="str">
        <f t="shared" si="63"/>
        <v>OK</v>
      </c>
      <c r="V327" s="55" t="str">
        <f t="shared" si="55"/>
        <v/>
      </c>
      <c r="W327" s="55" t="str">
        <f>IF($V327="","",IF(COUNTIF($V$5:$V327,$V327)=1,1,""))</f>
        <v/>
      </c>
      <c r="X327" s="58" t="str">
        <f>IF($W327="","",MAX($X$4:X326)+1)</f>
        <v/>
      </c>
      <c r="Y327" s="62"/>
      <c r="Z327" s="62"/>
      <c r="AA327" s="64" t="str">
        <f>IF($C327="","",IFERROR(INDEX('Staff Directory'!$E$5:$E$594,MATCH($C327,'Staff Directory'!$B$5:$B$594,0)),""))</f>
        <v>firstname050.lastname050@example.com</v>
      </c>
      <c r="AB327" s="64" t="str">
        <f>IF($C327="","",IF(ISNUMBER(SEARCH($D327,Settings!$C$15)),"Pickup","Dispatch"))</f>
        <v>Dispatch</v>
      </c>
      <c r="AC327" s="64" t="str">
        <f t="shared" si="56"/>
        <v>Supply order dispatched</v>
      </c>
      <c r="AD327" s="64" t="str">
        <f t="shared" si="58"/>
        <v>Dear RN,
Your order has been dispatched and is in transit. Reply if undelivered.</v>
      </c>
      <c r="AE327" s="64" t="str">
        <f t="shared" si="59"/>
        <v>mailto:firstname050.lastname050@example.com?subject=Supply%20order%20dispatched&amp;body=Dear%20RN%2C%0A%0AYour%20order%20has%20been%20dispatched%20and%20is%20in%20transit.%20Reply%20if%20undelivered.</v>
      </c>
      <c r="AF327" s="89" t="str">
        <f t="shared" si="57"/>
        <v>Draft email</v>
      </c>
      <c r="AG327" s="64" t="str">
        <f>IF($C327="","",IFERROR(INDEX('Staff Directory'!$K$595:$K$599,MATCH($C327,'Staff Directory'!$B$5:$B$599,0)),$D327))</f>
        <v>RN</v>
      </c>
      <c r="AH327" t="str">
        <f>IF($C327="","",IFERROR(INDEX('Staff Directory'!$I$595:$I$599,MATCH($C327,'Staff Directory'!$B$5:$B$599,0))&amp;" "&amp;INDEX('Staff Directory'!$J$595:$J$599,MATCH($C327,'Staff Directory'!$B$5:$B$599,0)),$AG327))</f>
        <v>RN</v>
      </c>
      <c r="AI327" s="102"/>
      <c r="AJ327" s="101">
        <f>IF($F327="","",SUMIFS($J$5:$J327,$F$5:$F327,$F327))</f>
        <v>120</v>
      </c>
      <c r="AK327" s="101">
        <f t="shared" si="60"/>
        <v>101</v>
      </c>
      <c r="AL327" s="66" t="str" cm="1">
        <f t="array" ref="AL327">IF($F327="","",IFERROR(INDEX('Lot Balance'!$B$5:$B$500,MATCH(1,INDEX(('Lot Balance'!$A$5:$A$500=$F327)*('Lot Balance'!$K$5:$K$500&lt;$AK327)*('Lot Balance'!$K$5:$K$500+'Lot Balance'!$D$5:$D$500&gt;=$AK327),0),0)),""))</f>
        <v/>
      </c>
      <c r="AM327" s="66" t="str" cm="1">
        <f t="array" ref="AM327">IF($F327="","",IFERROR(INDEX('Lot Balance'!$B$5:$B$500,MATCH(1,INDEX(('Lot Balance'!$A$5:$A$500=$F327)*('Lot Balance'!$K$5:$K$500&lt;$AJ327)*('Lot Balance'!$K$5:$K$500+'Lot Balance'!$D$5:$D$500&gt;=$AJ327),0),0)),""))</f>
        <v/>
      </c>
      <c r="AN327" s="66" t="str">
        <f>IF($F327="","",IF($AI327&lt;&gt;"",IF(COUNTIFS('Lot Balance'!$A$5:$A$500,$F327,'Lot Balance'!$B$5:$B$500,$AI327)=0,"⚠ override is not a lot of this item",IF($AI327=$AL327,"Override = FEFO","Override - FEFO says "&amp;$AL327)),IF($AL327="","⚠ no receipt on file for this item",IF($AM327&lt;&gt;$AL327,"FEFO auto - split, also "&amp;$AM327,"FEFO auto"))))</f>
        <v>⚠ no receipt on file for this item</v>
      </c>
      <c r="AO327" s="114"/>
    </row>
    <row r="328" spans="1:41" x14ac:dyDescent="0.35">
      <c r="A328" s="74">
        <v>46133</v>
      </c>
      <c r="B328" s="18" t="str">
        <f>IF($C328="","",IFERROR(INDEX('Staff Directory'!$A$5:$A$594,MATCH($C328,'Staff Directory'!$B$5:$B$594,0)),"⚠ unknown staff"))</f>
        <v>RN-043-A1</v>
      </c>
      <c r="C328" s="49" t="s">
        <v>966</v>
      </c>
      <c r="D328" s="19" t="str">
        <f>IF($B328="","",IFERROR(INDEX('Staff Directory'!$C$5:$C$594,MATCH($B328,'Staff Directory'!$A$5:$A$594,0)),""))</f>
        <v>RN</v>
      </c>
      <c r="E328" s="19" t="str">
        <f>IF($B328="","",IFERROR(INDEX('Staff Directory'!$D$5:$D$594,MATCH($B328,'Staff Directory'!$A$5:$A$594,0)),""))</f>
        <v>A1</v>
      </c>
      <c r="F328" s="9" t="s">
        <v>162</v>
      </c>
      <c r="G328" s="18" t="str">
        <f>IF($F328="","",IFERROR(INDEX(Items!$B$5:$B$597,MATCH($F328,Items!$A$5:$A$597,0)),"⚠ not in Items"))</f>
        <v>Documents</v>
      </c>
      <c r="H328" s="19" t="str">
        <f>IF($F328="","",IFERROR(INDEX(Items!$C$5:$C$597,MATCH($F328,Items!$A$5:$A$597,0)),""))</f>
        <v>Standard</v>
      </c>
      <c r="I328" s="23">
        <f>IF($F328="","",IFERROR(INDEX(Items!$E$5:$E$597,MATCH($F328,Items!$A$5:$A$597,0)),""))</f>
        <v>20</v>
      </c>
      <c r="J328" s="115">
        <f>IF(tblIssues[[#This Row],[Qty Override]]&lt;&gt;"",tblIssues[[#This Row],[Qty Override]],IF(tblIssues[[#This Row],[Standard Issue]]="","",tblIssues[[#This Row],[Standard Issue]]))</f>
        <v>20</v>
      </c>
      <c r="K328" s="20">
        <f>IF($F328="","",IFERROR(INDEX(Items!$D$5:$D$597,MATCH($F328,Items!$A$5:$A$597,0)),""))</f>
        <v>0</v>
      </c>
      <c r="L328" s="21">
        <f t="shared" si="61"/>
        <v>0</v>
      </c>
      <c r="M328" s="9" t="str">
        <f t="shared" si="62"/>
        <v/>
      </c>
      <c r="N328" s="24">
        <f>IF($A328="","",WORKDAY($A328,Settings!$C$9,HolidayDates))</f>
        <v>46141</v>
      </c>
      <c r="O328" s="24">
        <f>IF($N328="","",WORKDAY($N328,Settings!$C$10,HolidayDates))</f>
        <v>46181</v>
      </c>
      <c r="P328" s="10" t="s">
        <v>502</v>
      </c>
      <c r="Q328" s="52" t="str">
        <f t="shared" si="53"/>
        <v>Collected</v>
      </c>
      <c r="R328" s="55" t="str">
        <f t="shared" si="54"/>
        <v>2026-04</v>
      </c>
      <c r="S328" s="55">
        <f>IF(OR($B328="",$F328="",$R328=""),"",SUMIFS(tblIssues[Qty Issued],tblIssues[Staff ID],$B328,tblIssues[Item Name],$F328,tblIssues[Month],$R328))</f>
        <v>20</v>
      </c>
      <c r="T328" s="56">
        <f>IF($I328="","",$I328*Settings!$C$11)</f>
        <v>20</v>
      </c>
      <c r="U328" s="57" t="str">
        <f t="shared" si="63"/>
        <v>OK</v>
      </c>
      <c r="V328" s="55" t="str">
        <f t="shared" si="55"/>
        <v/>
      </c>
      <c r="W328" s="55" t="str">
        <f>IF($V328="","",IF(COUNTIF($V$5:$V328,$V328)=1,1,""))</f>
        <v/>
      </c>
      <c r="X328" s="58" t="str">
        <f>IF($W328="","",MAX($X$4:X327)+1)</f>
        <v/>
      </c>
      <c r="Y328" s="62"/>
      <c r="Z328" s="62"/>
      <c r="AA328" s="64" t="str">
        <f>IF($C328="","",IFERROR(INDEX('Staff Directory'!$E$5:$E$594,MATCH($C328,'Staff Directory'!$B$5:$B$594,0)),""))</f>
        <v>firstname050.lastname050@example.com</v>
      </c>
      <c r="AB328" s="64" t="str">
        <f>IF($C328="","",IF(ISNUMBER(SEARCH($D328,Settings!$C$15)),"Pickup","Dispatch"))</f>
        <v>Dispatch</v>
      </c>
      <c r="AC328" s="64" t="str">
        <f t="shared" si="56"/>
        <v>Supply order dispatched</v>
      </c>
      <c r="AD328" s="64" t="str">
        <f t="shared" si="58"/>
        <v>Dear RN,
Your order has been dispatched and is in transit. Reply if undelivered.</v>
      </c>
      <c r="AE328" s="64" t="str">
        <f t="shared" si="59"/>
        <v>mailto:firstname050.lastname050@example.com?subject=Supply%20order%20dispatched&amp;body=Dear%20RN%2C%0A%0AYour%20order%20has%20been%20dispatched%20and%20is%20in%20transit.%20Reply%20if%20undelivered.</v>
      </c>
      <c r="AF328" s="89" t="str">
        <f t="shared" si="57"/>
        <v>Draft email</v>
      </c>
      <c r="AG328" s="64" t="str">
        <f>IF($C328="","",IFERROR(INDEX('Staff Directory'!$K$595:$K$599,MATCH($C328,'Staff Directory'!$B$5:$B$599,0)),$D328))</f>
        <v>RN</v>
      </c>
      <c r="AH328" t="str">
        <f>IF($C328="","",IFERROR(INDEX('Staff Directory'!$I$595:$I$599,MATCH($C328,'Staff Directory'!$B$5:$B$599,0))&amp;" "&amp;INDEX('Staff Directory'!$J$595:$J$599,MATCH($C328,'Staff Directory'!$B$5:$B$599,0)),$AG328))</f>
        <v>RN</v>
      </c>
      <c r="AI328" s="102"/>
      <c r="AJ328" s="101">
        <f>IF($F328="","",SUMIFS($J$5:$J328,$F$5:$F328,$F328))</f>
        <v>80</v>
      </c>
      <c r="AK328" s="101">
        <f t="shared" si="60"/>
        <v>61</v>
      </c>
      <c r="AL328" s="66" t="str" cm="1">
        <f t="array" ref="AL328">IF($F328="","",IFERROR(INDEX('Lot Balance'!$B$5:$B$500,MATCH(1,INDEX(('Lot Balance'!$A$5:$A$500=$F328)*('Lot Balance'!$K$5:$K$500&lt;$AK328)*('Lot Balance'!$K$5:$K$500+'Lot Balance'!$D$5:$D$500&gt;=$AK328),0),0)),""))</f>
        <v/>
      </c>
      <c r="AM328" s="66" t="str" cm="1">
        <f t="array" ref="AM328">IF($F328="","",IFERROR(INDEX('Lot Balance'!$B$5:$B$500,MATCH(1,INDEX(('Lot Balance'!$A$5:$A$500=$F328)*('Lot Balance'!$K$5:$K$500&lt;$AJ328)*('Lot Balance'!$K$5:$K$500+'Lot Balance'!$D$5:$D$500&gt;=$AJ328),0),0)),""))</f>
        <v/>
      </c>
      <c r="AN328" s="66" t="str">
        <f>IF($F328="","",IF($AI328&lt;&gt;"",IF(COUNTIFS('Lot Balance'!$A$5:$A$500,$F328,'Lot Balance'!$B$5:$B$500,$AI328)=0,"⚠ override is not a lot of this item",IF($AI328=$AL328,"Override = FEFO","Override - FEFO says "&amp;$AL328)),IF($AL328="","⚠ no receipt on file for this item",IF($AM328&lt;&gt;$AL328,"FEFO auto - split, also "&amp;$AM328,"FEFO auto"))))</f>
        <v>⚠ no receipt on file for this item</v>
      </c>
      <c r="AO328" s="114"/>
    </row>
    <row r="329" spans="1:41" x14ac:dyDescent="0.35">
      <c r="A329" s="74">
        <v>46133</v>
      </c>
      <c r="B329" s="18" t="str">
        <f>IF($C329="","",IFERROR(INDEX('Staff Directory'!$A$5:$A$594,MATCH($C329,'Staff Directory'!$B$5:$B$594,0)),"⚠ unknown staff"))</f>
        <v>PSW-039-A5</v>
      </c>
      <c r="C329" s="49" t="s">
        <v>1014</v>
      </c>
      <c r="D329" s="19" t="str">
        <f>IF($B329="","",IFERROR(INDEX('Staff Directory'!$C$5:$C$594,MATCH($B329,'Staff Directory'!$A$5:$A$594,0)),""))</f>
        <v>PSW</v>
      </c>
      <c r="E329" s="19" t="str">
        <f>IF($B329="","",IFERROR(INDEX('Staff Directory'!$D$5:$D$594,MATCH($B329,'Staff Directory'!$A$5:$A$594,0)),""))</f>
        <v>A5</v>
      </c>
      <c r="F329" s="9" t="s">
        <v>127</v>
      </c>
      <c r="G329" s="18" t="str">
        <f>IF($F329="","",IFERROR(INDEX(Items!$B$5:$B$597,MATCH($F329,Items!$A$5:$A$597,0)),"⚠ not in Items"))</f>
        <v>Gloves</v>
      </c>
      <c r="H329" s="19" t="str">
        <f>IF($F329="","",IFERROR(INDEX(Items!$C$5:$C$597,MATCH($F329,Items!$A$5:$A$597,0)),""))</f>
        <v>Medium</v>
      </c>
      <c r="I329" s="23">
        <f>IF($F329="","",IFERROR(INDEX(Items!$E$5:$E$597,MATCH($F329,Items!$A$5:$A$597,0)),""))</f>
        <v>500</v>
      </c>
      <c r="J329" s="115">
        <f>IF(tblIssues[[#This Row],[Qty Override]]&lt;&gt;"",tblIssues[[#This Row],[Qty Override]],IF(tblIssues[[#This Row],[Standard Issue]]="","",tblIssues[[#This Row],[Standard Issue]]))</f>
        <v>500</v>
      </c>
      <c r="K329" s="20">
        <f>IF($F329="","",IFERROR(INDEX(Items!$D$5:$D$597,MATCH($F329,Items!$A$5:$A$597,0)),""))</f>
        <v>5.5E-2</v>
      </c>
      <c r="L329" s="21">
        <f t="shared" si="61"/>
        <v>27.5</v>
      </c>
      <c r="M329" s="9" t="str">
        <f t="shared" si="62"/>
        <v>0312HIC25</v>
      </c>
      <c r="N329" s="24">
        <f>IF($A329="","",WORKDAY($A329,Settings!$C$9,HolidayDates))</f>
        <v>46141</v>
      </c>
      <c r="O329" s="24">
        <f>IF($N329="","",WORKDAY($N329,Settings!$C$10,HolidayDates))</f>
        <v>46181</v>
      </c>
      <c r="P329" s="10" t="s">
        <v>501</v>
      </c>
      <c r="Q329" s="52" t="str">
        <f t="shared" si="53"/>
        <v>Collected</v>
      </c>
      <c r="R329" s="55" t="str">
        <f t="shared" si="54"/>
        <v>2026-04</v>
      </c>
      <c r="S329" s="55">
        <f>IF(OR($B329="",$F329="",$R329=""),"",SUMIFS(tblIssues[Qty Issued],tblIssues[Staff ID],$B329,tblIssues[Item Name],$F329,tblIssues[Month],$R329))</f>
        <v>500</v>
      </c>
      <c r="T329" s="56">
        <f>IF($I329="","",$I329*Settings!$C$11)</f>
        <v>500</v>
      </c>
      <c r="U329" s="57" t="str">
        <f t="shared" si="63"/>
        <v>OK</v>
      </c>
      <c r="V329" s="55" t="str">
        <f t="shared" si="55"/>
        <v/>
      </c>
      <c r="W329" s="55" t="str">
        <f>IF($V329="","",IF(COUNTIF($V$5:$V329,$V329)=1,1,""))</f>
        <v/>
      </c>
      <c r="X329" s="58" t="str">
        <f>IF($W329="","",MAX($X$4:X328)+1)</f>
        <v/>
      </c>
      <c r="Y329" s="62"/>
      <c r="Z329" s="62"/>
      <c r="AA329" s="64" t="str">
        <f>IF($C329="","",IFERROR(INDEX('Staff Directory'!$E$5:$E$594,MATCH($C329,'Staff Directory'!$B$5:$B$594,0)),""))</f>
        <v>firstname098.lastname098@example.com</v>
      </c>
      <c r="AB329" s="64" t="str">
        <f>IF($C329="","",IF(ISNUMBER(SEARCH($D329,Settings!$C$15)),"Pickup","Dispatch"))</f>
        <v>Pickup</v>
      </c>
      <c r="AC329" s="64" t="str">
        <f t="shared" si="56"/>
        <v>Supply order ready for pickup</v>
      </c>
      <c r="AD329" s="64" t="str">
        <f t="shared" si="58"/>
        <v>Dear PSW,
Your order is ready for pickup from Sample Branch, Wed-Fri 9am-4pm.</v>
      </c>
      <c r="AE329" s="64" t="str">
        <f t="shared" si="59"/>
        <v>mailto:firstname098.lastname098@example.com?subject=Supply%20order%20ready%20for%20pickup&amp;body=Dear%20PSW%2C%0A%0AYour%20order%20is%20ready%20for%20pickup%20from%20Sample%20Branch%2C%20Wed-Fri%209am-4pm.</v>
      </c>
      <c r="AF329" s="89" t="str">
        <f t="shared" si="57"/>
        <v>Draft email</v>
      </c>
      <c r="AG329" s="64" t="str">
        <f>IF($C329="","",IFERROR(INDEX('Staff Directory'!$K$595:$K$599,MATCH($C329,'Staff Directory'!$B$5:$B$599,0)),$D329))</f>
        <v>PSW</v>
      </c>
      <c r="AH329" t="str">
        <f>IF($C329="","",IFERROR(INDEX('Staff Directory'!$I$595:$I$599,MATCH($C329,'Staff Directory'!$B$5:$B$599,0))&amp;" "&amp;INDEX('Staff Directory'!$J$595:$J$599,MATCH($C329,'Staff Directory'!$B$5:$B$599,0)),$AG329))</f>
        <v>PSW</v>
      </c>
      <c r="AI329" s="102"/>
      <c r="AJ329" s="101">
        <f>IF($F329="","",SUMIFS($J$5:$J329,$F$5:$F329,$F329))</f>
        <v>19500</v>
      </c>
      <c r="AK329" s="101">
        <f t="shared" si="60"/>
        <v>19001</v>
      </c>
      <c r="AL329" s="66" t="str" cm="1">
        <f t="array" ref="AL329">IF($F329="","",IFERROR(INDEX('Lot Balance'!$B$5:$B$500,MATCH(1,INDEX(('Lot Balance'!$A$5:$A$500=$F329)*('Lot Balance'!$K$5:$K$500&lt;$AK329)*('Lot Balance'!$K$5:$K$500+'Lot Balance'!$D$5:$D$500&gt;=$AK329),0),0)),""))</f>
        <v>0312HIC25</v>
      </c>
      <c r="AM329" s="66" t="str" cm="1">
        <f t="array" ref="AM329">IF($F329="","",IFERROR(INDEX('Lot Balance'!$B$5:$B$500,MATCH(1,INDEX(('Lot Balance'!$A$5:$A$500=$F329)*('Lot Balance'!$K$5:$K$500&lt;$AJ329)*('Lot Balance'!$K$5:$K$500+'Lot Balance'!$D$5:$D$500&gt;=$AJ329),0),0)),""))</f>
        <v>0312HIC25</v>
      </c>
      <c r="AN329" s="66" t="str">
        <f>IF($F329="","",IF($AI329&lt;&gt;"",IF(COUNTIFS('Lot Balance'!$A$5:$A$500,$F329,'Lot Balance'!$B$5:$B$500,$AI329)=0,"⚠ override is not a lot of this item",IF($AI329=$AL329,"Override = FEFO","Override - FEFO says "&amp;$AL329)),IF($AL329="","⚠ no receipt on file for this item",IF($AM329&lt;&gt;$AL329,"FEFO auto - split, also "&amp;$AM329,"FEFO auto"))))</f>
        <v>FEFO auto</v>
      </c>
      <c r="AO329" s="114"/>
    </row>
    <row r="330" spans="1:41" x14ac:dyDescent="0.35">
      <c r="A330" s="74">
        <v>46133</v>
      </c>
      <c r="B330" s="18" t="str">
        <f>IF($C330="","",IFERROR(INDEX('Staff Directory'!$A$5:$A$594,MATCH($C330,'Staff Directory'!$B$5:$B$594,0)),"⚠ unknown staff"))</f>
        <v>PSW-039-A5</v>
      </c>
      <c r="C330" s="49" t="s">
        <v>1014</v>
      </c>
      <c r="D330" s="19" t="str">
        <f>IF($B330="","",IFERROR(INDEX('Staff Directory'!$C$5:$C$594,MATCH($B330,'Staff Directory'!$A$5:$A$594,0)),""))</f>
        <v>PSW</v>
      </c>
      <c r="E330" s="19" t="str">
        <f>IF($B330="","",IFERROR(INDEX('Staff Directory'!$D$5:$D$594,MATCH($B330,'Staff Directory'!$A$5:$A$594,0)),""))</f>
        <v>A5</v>
      </c>
      <c r="F330" s="9" t="s">
        <v>191</v>
      </c>
      <c r="G330" s="18" t="str">
        <f>IF($F330="","",IFERROR(INDEX(Items!$B$5:$B$597,MATCH($F330,Items!$A$5:$A$597,0)),"⚠ not in Items"))</f>
        <v>Sanitizer</v>
      </c>
      <c r="H330" s="19" t="str">
        <f>IF($F330="","",IFERROR(INDEX(Items!$C$5:$C$597,MATCH($F330,Items!$A$5:$A$597,0)),""))</f>
        <v>236 ML</v>
      </c>
      <c r="I330" s="23">
        <f>IF($F330="","",IFERROR(INDEX(Items!$E$5:$E$597,MATCH($F330,Items!$A$5:$A$597,0)),""))</f>
        <v>1</v>
      </c>
      <c r="J330" s="115">
        <f>IF(tblIssues[[#This Row],[Qty Override]]&lt;&gt;"",tblIssues[[#This Row],[Qty Override]],IF(tblIssues[[#This Row],[Standard Issue]]="","",tblIssues[[#This Row],[Standard Issue]]))</f>
        <v>1</v>
      </c>
      <c r="K330" s="20">
        <f>IF($F330="","",IFERROR(INDEX(Items!$D$5:$D$597,MATCH($F330,Items!$A$5:$A$597,0)),""))</f>
        <v>1E-4</v>
      </c>
      <c r="L330" s="21">
        <f t="shared" si="61"/>
        <v>1E-4</v>
      </c>
      <c r="M330" s="9" t="str">
        <f t="shared" si="62"/>
        <v>20-21734-1</v>
      </c>
      <c r="N330" s="24">
        <f>IF($A330="","",WORKDAY($A330,Settings!$C$9,HolidayDates))</f>
        <v>46141</v>
      </c>
      <c r="O330" s="24">
        <f>IF($N330="","",WORKDAY($N330,Settings!$C$10,HolidayDates))</f>
        <v>46181</v>
      </c>
      <c r="P330" s="10" t="s">
        <v>501</v>
      </c>
      <c r="Q330" s="52" t="str">
        <f t="shared" si="53"/>
        <v>Collected</v>
      </c>
      <c r="R330" s="55" t="str">
        <f t="shared" si="54"/>
        <v>2026-04</v>
      </c>
      <c r="S330" s="55">
        <f>IF(OR($B330="",$F330="",$R330=""),"",SUMIFS(tblIssues[Qty Issued],tblIssues[Staff ID],$B330,tblIssues[Item Name],$F330,tblIssues[Month],$R330))</f>
        <v>1</v>
      </c>
      <c r="T330" s="56">
        <f>IF($I330="","",$I330*Settings!$C$11)</f>
        <v>1</v>
      </c>
      <c r="U330" s="57" t="str">
        <f t="shared" si="63"/>
        <v>OK</v>
      </c>
      <c r="V330" s="55" t="str">
        <f t="shared" si="55"/>
        <v/>
      </c>
      <c r="W330" s="55" t="str">
        <f>IF($V330="","",IF(COUNTIF($V$5:$V330,$V330)=1,1,""))</f>
        <v/>
      </c>
      <c r="X330" s="58" t="str">
        <f>IF($W330="","",MAX($X$4:X329)+1)</f>
        <v/>
      </c>
      <c r="Y330" s="62"/>
      <c r="Z330" s="62"/>
      <c r="AA330" s="64" t="str">
        <f>IF($C330="","",IFERROR(INDEX('Staff Directory'!$E$5:$E$594,MATCH($C330,'Staff Directory'!$B$5:$B$594,0)),""))</f>
        <v>firstname098.lastname098@example.com</v>
      </c>
      <c r="AB330" s="64" t="str">
        <f>IF($C330="","",IF(ISNUMBER(SEARCH($D330,Settings!$C$15)),"Pickup","Dispatch"))</f>
        <v>Pickup</v>
      </c>
      <c r="AC330" s="64" t="str">
        <f t="shared" si="56"/>
        <v>Supply order ready for pickup</v>
      </c>
      <c r="AD330" s="64" t="str">
        <f t="shared" si="58"/>
        <v>Dear PSW,
Your order is ready for pickup from Sample Branch, Wed-Fri 9am-4pm.</v>
      </c>
      <c r="AE330" s="64" t="str">
        <f t="shared" si="59"/>
        <v>mailto:firstname098.lastname098@example.com?subject=Supply%20order%20ready%20for%20pickup&amp;body=Dear%20PSW%2C%0A%0AYour%20order%20is%20ready%20for%20pickup%20from%20Sample%20Branch%2C%20Wed-Fri%209am-4pm.</v>
      </c>
      <c r="AF330" s="89" t="str">
        <f t="shared" si="57"/>
        <v>Draft email</v>
      </c>
      <c r="AG330" s="64" t="str">
        <f>IF($C330="","",IFERROR(INDEX('Staff Directory'!$K$595:$K$599,MATCH($C330,'Staff Directory'!$B$5:$B$599,0)),$D330))</f>
        <v>PSW</v>
      </c>
      <c r="AH330" t="str">
        <f>IF($C330="","",IFERROR(INDEX('Staff Directory'!$I$595:$I$599,MATCH($C330,'Staff Directory'!$B$5:$B$599,0))&amp;" "&amp;INDEX('Staff Directory'!$J$595:$J$599,MATCH($C330,'Staff Directory'!$B$5:$B$599,0)),$AG330))</f>
        <v>PSW</v>
      </c>
      <c r="AI330" s="102"/>
      <c r="AJ330" s="101">
        <f>IF($F330="","",SUMIFS($J$5:$J330,$F$5:$F330,$F330))</f>
        <v>20</v>
      </c>
      <c r="AK330" s="101">
        <f t="shared" si="60"/>
        <v>20</v>
      </c>
      <c r="AL330" s="66" t="str" cm="1">
        <f t="array" ref="AL330">IF($F330="","",IFERROR(INDEX('Lot Balance'!$B$5:$B$500,MATCH(1,INDEX(('Lot Balance'!$A$5:$A$500=$F330)*('Lot Balance'!$K$5:$K$500&lt;$AK330)*('Lot Balance'!$K$5:$K$500+'Lot Balance'!$D$5:$D$500&gt;=$AK330),0),0)),""))</f>
        <v>20-21734-1</v>
      </c>
      <c r="AM330" s="66" t="str" cm="1">
        <f t="array" ref="AM330">IF($F330="","",IFERROR(INDEX('Lot Balance'!$B$5:$B$500,MATCH(1,INDEX(('Lot Balance'!$A$5:$A$500=$F330)*('Lot Balance'!$K$5:$K$500&lt;$AJ330)*('Lot Balance'!$K$5:$K$500+'Lot Balance'!$D$5:$D$500&gt;=$AJ330),0),0)),""))</f>
        <v>20-21734-1</v>
      </c>
      <c r="AN330" s="66" t="str">
        <f>IF($F330="","",IF($AI330&lt;&gt;"",IF(COUNTIFS('Lot Balance'!$A$5:$A$500,$F330,'Lot Balance'!$B$5:$B$500,$AI330)=0,"⚠ override is not a lot of this item",IF($AI330=$AL330,"Override = FEFO","Override - FEFO says "&amp;$AL330)),IF($AL330="","⚠ no receipt on file for this item",IF($AM330&lt;&gt;$AL330,"FEFO auto - split, also "&amp;$AM330,"FEFO auto"))))</f>
        <v>FEFO auto</v>
      </c>
      <c r="AO330" s="114"/>
    </row>
    <row r="331" spans="1:41" x14ac:dyDescent="0.35">
      <c r="A331" s="74">
        <v>46133</v>
      </c>
      <c r="B331" s="18" t="str">
        <f>IF($C331="","",IFERROR(INDEX('Staff Directory'!$A$5:$A$594,MATCH($C331,'Staff Directory'!$B$5:$B$594,0)),"⚠ unknown staff"))</f>
        <v>PSW-039-A5</v>
      </c>
      <c r="C331" s="49" t="s">
        <v>1014</v>
      </c>
      <c r="D331" s="19" t="str">
        <f>IF($B331="","",IFERROR(INDEX('Staff Directory'!$C$5:$C$594,MATCH($B331,'Staff Directory'!$A$5:$A$594,0)),""))</f>
        <v>PSW</v>
      </c>
      <c r="E331" s="19" t="str">
        <f>IF($B331="","",IFERROR(INDEX('Staff Directory'!$D$5:$D$594,MATCH($B331,'Staff Directory'!$A$5:$A$594,0)),""))</f>
        <v>A5</v>
      </c>
      <c r="F331" s="9" t="s">
        <v>115</v>
      </c>
      <c r="G331" s="18" t="str">
        <f>IF($F331="","",IFERROR(INDEX(Items!$B$5:$B$597,MATCH($F331,Items!$A$5:$A$597,0)),"⚠ not in Items"))</f>
        <v>Wipes</v>
      </c>
      <c r="H331" s="19">
        <f>IF($F331="","",IFERROR(INDEX(Items!$C$5:$C$597,MATCH($F331,Items!$A$5:$A$597,0)),""))</f>
        <v>80</v>
      </c>
      <c r="I331" s="23">
        <f>IF($F331="","",IFERROR(INDEX(Items!$E$5:$E$597,MATCH($F331,Items!$A$5:$A$597,0)),""))</f>
        <v>80</v>
      </c>
      <c r="J331" s="115">
        <f>IF(tblIssues[[#This Row],[Qty Override]]&lt;&gt;"",tblIssues[[#This Row],[Qty Override]],IF(tblIssues[[#This Row],[Standard Issue]]="","",tblIssues[[#This Row],[Standard Issue]]))</f>
        <v>80</v>
      </c>
      <c r="K331" s="20">
        <f>IF($F331="","",IFERROR(INDEX(Items!$D$5:$D$597,MATCH($F331,Items!$A$5:$A$597,0)),""))</f>
        <v>0.1</v>
      </c>
      <c r="L331" s="21">
        <f t="shared" si="61"/>
        <v>8</v>
      </c>
      <c r="M331" s="9" t="str">
        <f t="shared" si="62"/>
        <v>LYSL500290</v>
      </c>
      <c r="N331" s="24">
        <f>IF($A331="","",WORKDAY($A331,Settings!$C$9,HolidayDates))</f>
        <v>46141</v>
      </c>
      <c r="O331" s="24">
        <f>IF($N331="","",WORKDAY($N331,Settings!$C$10,HolidayDates))</f>
        <v>46181</v>
      </c>
      <c r="P331" s="10" t="s">
        <v>501</v>
      </c>
      <c r="Q331" s="52" t="str">
        <f t="shared" si="53"/>
        <v>Collected</v>
      </c>
      <c r="R331" s="55" t="str">
        <f t="shared" si="54"/>
        <v>2026-04</v>
      </c>
      <c r="S331" s="55">
        <f>IF(OR($B331="",$F331="",$R331=""),"",SUMIFS(tblIssues[Qty Issued],tblIssues[Staff ID],$B331,tblIssues[Item Name],$F331,tblIssues[Month],$R331))</f>
        <v>80</v>
      </c>
      <c r="T331" s="56">
        <f>IF($I331="","",$I331*Settings!$C$11)</f>
        <v>80</v>
      </c>
      <c r="U331" s="57" t="str">
        <f t="shared" si="63"/>
        <v>OK</v>
      </c>
      <c r="V331" s="55" t="str">
        <f t="shared" si="55"/>
        <v/>
      </c>
      <c r="W331" s="55" t="str">
        <f>IF($V331="","",IF(COUNTIF($V$5:$V331,$V331)=1,1,""))</f>
        <v/>
      </c>
      <c r="X331" s="58" t="str">
        <f>IF($W331="","",MAX($X$4:X330)+1)</f>
        <v/>
      </c>
      <c r="Y331" s="62"/>
      <c r="Z331" s="62"/>
      <c r="AA331" s="64" t="str">
        <f>IF($C331="","",IFERROR(INDEX('Staff Directory'!$E$5:$E$594,MATCH($C331,'Staff Directory'!$B$5:$B$594,0)),""))</f>
        <v>firstname098.lastname098@example.com</v>
      </c>
      <c r="AB331" s="64" t="str">
        <f>IF($C331="","",IF(ISNUMBER(SEARCH($D331,Settings!$C$15)),"Pickup","Dispatch"))</f>
        <v>Pickup</v>
      </c>
      <c r="AC331" s="64" t="str">
        <f t="shared" si="56"/>
        <v>Supply order ready for pickup</v>
      </c>
      <c r="AD331" s="64" t="str">
        <f t="shared" si="58"/>
        <v>Dear PSW,
Your order is ready for pickup from Sample Branch, Wed-Fri 9am-4pm.</v>
      </c>
      <c r="AE331" s="64" t="str">
        <f t="shared" si="59"/>
        <v>mailto:firstname098.lastname098@example.com?subject=Supply%20order%20ready%20for%20pickup&amp;body=Dear%20PSW%2C%0A%0AYour%20order%20is%20ready%20for%20pickup%20from%20Sample%20Branch%2C%20Wed-Fri%209am-4pm.</v>
      </c>
      <c r="AF331" s="89" t="str">
        <f t="shared" si="57"/>
        <v>Draft email</v>
      </c>
      <c r="AG331" s="64" t="str">
        <f>IF($C331="","",IFERROR(INDEX('Staff Directory'!$K$595:$K$599,MATCH($C331,'Staff Directory'!$B$5:$B$599,0)),$D331))</f>
        <v>PSW</v>
      </c>
      <c r="AH331" t="str">
        <f>IF($C331="","",IFERROR(INDEX('Staff Directory'!$I$595:$I$599,MATCH($C331,'Staff Directory'!$B$5:$B$599,0))&amp;" "&amp;INDEX('Staff Directory'!$J$595:$J$599,MATCH($C331,'Staff Directory'!$B$5:$B$599,0)),$AG331))</f>
        <v>PSW</v>
      </c>
      <c r="AI331" s="102"/>
      <c r="AJ331" s="101">
        <f>IF($F331="","",SUMIFS($J$5:$J331,$F$5:$F331,$F331))</f>
        <v>4400</v>
      </c>
      <c r="AK331" s="101">
        <f t="shared" si="60"/>
        <v>4321</v>
      </c>
      <c r="AL331" s="66" t="str" cm="1">
        <f t="array" ref="AL331">IF($F331="","",IFERROR(INDEX('Lot Balance'!$B$5:$B$500,MATCH(1,INDEX(('Lot Balance'!$A$5:$A$500=$F331)*('Lot Balance'!$K$5:$K$500&lt;$AK331)*('Lot Balance'!$K$5:$K$500+'Lot Balance'!$D$5:$D$500&gt;=$AK331),0),0)),""))</f>
        <v>LYSL500290</v>
      </c>
      <c r="AM331" s="66" t="str" cm="1">
        <f t="array" ref="AM331">IF($F331="","",IFERROR(INDEX('Lot Balance'!$B$5:$B$500,MATCH(1,INDEX(('Lot Balance'!$A$5:$A$500=$F331)*('Lot Balance'!$K$5:$K$500&lt;$AJ331)*('Lot Balance'!$K$5:$K$500+'Lot Balance'!$D$5:$D$500&gt;=$AJ331),0),0)),""))</f>
        <v>LYSL500290</v>
      </c>
      <c r="AN331" s="66" t="str">
        <f>IF($F331="","",IF($AI331&lt;&gt;"",IF(COUNTIFS('Lot Balance'!$A$5:$A$500,$F331,'Lot Balance'!$B$5:$B$500,$AI331)=0,"⚠ override is not a lot of this item",IF($AI331=$AL331,"Override = FEFO","Override - FEFO says "&amp;$AL331)),IF($AL331="","⚠ no receipt on file for this item",IF($AM331&lt;&gt;$AL331,"FEFO auto - split, also "&amp;$AM331,"FEFO auto"))))</f>
        <v>FEFO auto</v>
      </c>
      <c r="AO331" s="114"/>
    </row>
    <row r="332" spans="1:41" x14ac:dyDescent="0.35">
      <c r="A332" s="74">
        <v>46133</v>
      </c>
      <c r="B332" s="18" t="str">
        <f>IF($C332="","",IFERROR(INDEX('Staff Directory'!$A$5:$A$594,MATCH($C332,'Staff Directory'!$B$5:$B$594,0)),"⚠ unknown staff"))</f>
        <v>PSW-039-A5</v>
      </c>
      <c r="C332" s="49" t="s">
        <v>1014</v>
      </c>
      <c r="D332" s="19" t="str">
        <f>IF($B332="","",IFERROR(INDEX('Staff Directory'!$C$5:$C$594,MATCH($B332,'Staff Directory'!$A$5:$A$594,0)),""))</f>
        <v>PSW</v>
      </c>
      <c r="E332" s="19" t="str">
        <f>IF($B332="","",IFERROR(INDEX('Staff Directory'!$D$5:$D$594,MATCH($B332,'Staff Directory'!$A$5:$A$594,0)),""))</f>
        <v>A5</v>
      </c>
      <c r="F332" s="9" t="s">
        <v>755</v>
      </c>
      <c r="G332" s="18" t="str">
        <f>IF($F332="","",IFERROR(INDEX(Items!$B$5:$B$597,MATCH($F332,Items!$A$5:$A$597,0)),"⚠ not in Items"))</f>
        <v>Documents</v>
      </c>
      <c r="H332" s="19" t="str">
        <f>IF($F332="","",IFERROR(INDEX(Items!$C$5:$C$597,MATCH($F332,Items!$A$5:$A$597,0)),""))</f>
        <v>Standard</v>
      </c>
      <c r="I332" s="23">
        <f>IF($F332="","",IFERROR(INDEX(Items!$E$5:$E$597,MATCH($F332,Items!$A$5:$A$597,0)),""))</f>
        <v>2</v>
      </c>
      <c r="J332" s="115">
        <f>IF(tblIssues[[#This Row],[Qty Override]]&lt;&gt;"",tblIssues[[#This Row],[Qty Override]],IF(tblIssues[[#This Row],[Standard Issue]]="","",tblIssues[[#This Row],[Standard Issue]]))</f>
        <v>2</v>
      </c>
      <c r="K332" s="20">
        <f>IF($F332="","",IFERROR(INDEX(Items!$D$5:$D$597,MATCH($F332,Items!$A$5:$A$597,0)),""))</f>
        <v>0</v>
      </c>
      <c r="L332" s="21">
        <f t="shared" si="61"/>
        <v>0</v>
      </c>
      <c r="M332" s="9" t="str">
        <f t="shared" si="62"/>
        <v/>
      </c>
      <c r="N332" s="24">
        <f>IF($A332="","",WORKDAY($A332,Settings!$C$9,HolidayDates))</f>
        <v>46141</v>
      </c>
      <c r="O332" s="24">
        <f>IF($N332="","",WORKDAY($N332,Settings!$C$10,HolidayDates))</f>
        <v>46181</v>
      </c>
      <c r="P332" s="10" t="s">
        <v>501</v>
      </c>
      <c r="Q332" s="52" t="str">
        <f t="shared" si="53"/>
        <v>Collected</v>
      </c>
      <c r="R332" s="55" t="str">
        <f t="shared" si="54"/>
        <v>2026-04</v>
      </c>
      <c r="S332" s="55">
        <f>IF(OR($B332="",$F332="",$R332=""),"",SUMIFS(tblIssues[Qty Issued],tblIssues[Staff ID],$B332,tblIssues[Item Name],$F332,tblIssues[Month],$R332))</f>
        <v>2</v>
      </c>
      <c r="T332" s="56">
        <f>IF($I332="","",$I332*Settings!$C$11)</f>
        <v>2</v>
      </c>
      <c r="U332" s="57" t="str">
        <f t="shared" si="63"/>
        <v>OK</v>
      </c>
      <c r="V332" s="55" t="str">
        <f t="shared" si="55"/>
        <v/>
      </c>
      <c r="W332" s="55" t="str">
        <f>IF($V332="","",IF(COUNTIF($V$5:$V332,$V332)=1,1,""))</f>
        <v/>
      </c>
      <c r="X332" s="58" t="str">
        <f>IF($W332="","",MAX($X$4:X331)+1)</f>
        <v/>
      </c>
      <c r="Y332" s="62"/>
      <c r="Z332" s="62"/>
      <c r="AA332" s="64" t="str">
        <f>IF($C332="","",IFERROR(INDEX('Staff Directory'!$E$5:$E$594,MATCH($C332,'Staff Directory'!$B$5:$B$594,0)),""))</f>
        <v>firstname098.lastname098@example.com</v>
      </c>
      <c r="AB332" s="64" t="str">
        <f>IF($C332="","",IF(ISNUMBER(SEARCH($D332,Settings!$C$15)),"Pickup","Dispatch"))</f>
        <v>Pickup</v>
      </c>
      <c r="AC332" s="64" t="str">
        <f t="shared" si="56"/>
        <v>Supply order ready for pickup</v>
      </c>
      <c r="AD332" s="64" t="str">
        <f t="shared" si="58"/>
        <v>Dear PSW,
Your order is ready for pickup from Sample Branch, Wed-Fri 9am-4pm.</v>
      </c>
      <c r="AE332" s="64" t="str">
        <f t="shared" si="59"/>
        <v>mailto:firstname098.lastname098@example.com?subject=Supply%20order%20ready%20for%20pickup&amp;body=Dear%20PSW%2C%0A%0AYour%20order%20is%20ready%20for%20pickup%20from%20Sample%20Branch%2C%20Wed-Fri%209am-4pm.</v>
      </c>
      <c r="AF332" s="89" t="str">
        <f t="shared" si="57"/>
        <v>Draft email</v>
      </c>
      <c r="AG332" s="64" t="str">
        <f>IF($C332="","",IFERROR(INDEX('Staff Directory'!$K$595:$K$599,MATCH($C332,'Staff Directory'!$B$5:$B$599,0)),$D332))</f>
        <v>PSW</v>
      </c>
      <c r="AH332" t="str">
        <f>IF($C332="","",IFERROR(INDEX('Staff Directory'!$I$595:$I$599,MATCH($C332,'Staff Directory'!$B$5:$B$599,0))&amp;" "&amp;INDEX('Staff Directory'!$J$595:$J$599,MATCH($C332,'Staff Directory'!$B$5:$B$599,0)),$AG332))</f>
        <v>PSW</v>
      </c>
      <c r="AI332" s="102"/>
      <c r="AJ332" s="101">
        <f>IF($F332="","",SUMIFS($J$5:$J332,$F$5:$F332,$F332))</f>
        <v>86</v>
      </c>
      <c r="AK332" s="101">
        <f t="shared" si="60"/>
        <v>85</v>
      </c>
      <c r="AL332" s="66" t="str" cm="1">
        <f t="array" ref="AL332">IF($F332="","",IFERROR(INDEX('Lot Balance'!$B$5:$B$500,MATCH(1,INDEX(('Lot Balance'!$A$5:$A$500=$F332)*('Lot Balance'!$K$5:$K$500&lt;$AK332)*('Lot Balance'!$K$5:$K$500+'Lot Balance'!$D$5:$D$500&gt;=$AK332),0),0)),""))</f>
        <v/>
      </c>
      <c r="AM332" s="66" t="str" cm="1">
        <f t="array" ref="AM332">IF($F332="","",IFERROR(INDEX('Lot Balance'!$B$5:$B$500,MATCH(1,INDEX(('Lot Balance'!$A$5:$A$500=$F332)*('Lot Balance'!$K$5:$K$500&lt;$AJ332)*('Lot Balance'!$K$5:$K$500+'Lot Balance'!$D$5:$D$500&gt;=$AJ332),0),0)),""))</f>
        <v/>
      </c>
      <c r="AN332" s="66" t="str">
        <f>IF($F332="","",IF($AI332&lt;&gt;"",IF(COUNTIFS('Lot Balance'!$A$5:$A$500,$F332,'Lot Balance'!$B$5:$B$500,$AI332)=0,"⚠ override is not a lot of this item",IF($AI332=$AL332,"Override = FEFO","Override - FEFO says "&amp;$AL332)),IF($AL332="","⚠ no receipt on file for this item",IF($AM332&lt;&gt;$AL332,"FEFO auto - split, also "&amp;$AM332,"FEFO auto"))))</f>
        <v>⚠ no receipt on file for this item</v>
      </c>
      <c r="AO332" s="114"/>
    </row>
    <row r="333" spans="1:41" x14ac:dyDescent="0.35">
      <c r="A333" s="74">
        <v>46133</v>
      </c>
      <c r="B333" s="18" t="str">
        <f>IF($C333="","",IFERROR(INDEX('Staff Directory'!$A$5:$A$594,MATCH($C333,'Staff Directory'!$B$5:$B$594,0)),"⚠ unknown staff"))</f>
        <v>PSW-128-A6</v>
      </c>
      <c r="C333" s="49" t="s">
        <v>1107</v>
      </c>
      <c r="D333" s="19" t="str">
        <f>IF($B333="","",IFERROR(INDEX('Staff Directory'!$C$5:$C$594,MATCH($B333,'Staff Directory'!$A$5:$A$594,0)),""))</f>
        <v>PSW</v>
      </c>
      <c r="E333" s="19" t="str">
        <f>IF($B333="","",IFERROR(INDEX('Staff Directory'!$D$5:$D$594,MATCH($B333,'Staff Directory'!$A$5:$A$594,0)),""))</f>
        <v>A6</v>
      </c>
      <c r="F333" s="9" t="s">
        <v>129</v>
      </c>
      <c r="G333" s="18" t="str">
        <f>IF($F333="","",IFERROR(INDEX(Items!$B$5:$B$597,MATCH($F333,Items!$A$5:$A$597,0)),"⚠ not in Items"))</f>
        <v>Gloves</v>
      </c>
      <c r="H333" s="19" t="str">
        <f>IF($F333="","",IFERROR(INDEX(Items!$C$5:$C$597,MATCH($F333,Items!$A$5:$A$597,0)),""))</f>
        <v>Small</v>
      </c>
      <c r="I333" s="23">
        <f>IF($F333="","",IFERROR(INDEX(Items!$E$5:$E$597,MATCH($F333,Items!$A$5:$A$597,0)),""))</f>
        <v>500</v>
      </c>
      <c r="J333" s="115">
        <f>IF(tblIssues[[#This Row],[Qty Override]]&lt;&gt;"",tblIssues[[#This Row],[Qty Override]],IF(tblIssues[[#This Row],[Standard Issue]]="","",tblIssues[[#This Row],[Standard Issue]]))</f>
        <v>500</v>
      </c>
      <c r="K333" s="20">
        <f>IF($F333="","",IFERROR(INDEX(Items!$D$5:$D$597,MATCH($F333,Items!$A$5:$A$597,0)),""))</f>
        <v>5.5E-2</v>
      </c>
      <c r="L333" s="21">
        <f t="shared" si="61"/>
        <v>27.5</v>
      </c>
      <c r="M333" s="9" t="str">
        <f t="shared" si="62"/>
        <v>ZIM504124207-5</v>
      </c>
      <c r="N333" s="24">
        <f>IF($A333="","",WORKDAY($A333,Settings!$C$9,HolidayDates))</f>
        <v>46141</v>
      </c>
      <c r="O333" s="24">
        <f>IF($N333="","",WORKDAY($N333,Settings!$C$10,HolidayDates))</f>
        <v>46181</v>
      </c>
      <c r="P333" s="10" t="s">
        <v>501</v>
      </c>
      <c r="Q333" s="52" t="str">
        <f t="shared" si="53"/>
        <v>Collected</v>
      </c>
      <c r="R333" s="55" t="str">
        <f t="shared" si="54"/>
        <v>2026-04</v>
      </c>
      <c r="S333" s="55">
        <f>IF(OR($B333="",$F333="",$R333=""),"",SUMIFS(tblIssues[Qty Issued],tblIssues[Staff ID],$B333,tblIssues[Item Name],$F333,tblIssues[Month],$R333))</f>
        <v>500</v>
      </c>
      <c r="T333" s="56">
        <f>IF($I333="","",$I333*Settings!$C$11)</f>
        <v>500</v>
      </c>
      <c r="U333" s="57" t="str">
        <f t="shared" si="63"/>
        <v>OK</v>
      </c>
      <c r="V333" s="55" t="str">
        <f t="shared" si="55"/>
        <v/>
      </c>
      <c r="W333" s="55" t="str">
        <f>IF($V333="","",IF(COUNTIF($V$5:$V333,$V333)=1,1,""))</f>
        <v/>
      </c>
      <c r="X333" s="58" t="str">
        <f>IF($W333="","",MAX($X$4:X332)+1)</f>
        <v/>
      </c>
      <c r="Y333" s="62"/>
      <c r="Z333" s="62"/>
      <c r="AA333" s="64" t="str">
        <f>IF($C333="","",IFERROR(INDEX('Staff Directory'!$E$5:$E$594,MATCH($C333,'Staff Directory'!$B$5:$B$594,0)),""))</f>
        <v>firstname191.lastname191@example.com</v>
      </c>
      <c r="AB333" s="64" t="str">
        <f>IF($C333="","",IF(ISNUMBER(SEARCH($D333,Settings!$C$15)),"Pickup","Dispatch"))</f>
        <v>Pickup</v>
      </c>
      <c r="AC333" s="64" t="str">
        <f t="shared" si="56"/>
        <v>Supply order ready for pickup</v>
      </c>
      <c r="AD333" s="64" t="str">
        <f t="shared" si="58"/>
        <v>Dear PSW,
Your order is ready for pickup from Sample Branch, Wed-Fri 9am-4pm.</v>
      </c>
      <c r="AE333" s="64" t="str">
        <f t="shared" si="59"/>
        <v>mailto:firstname191.lastname191@example.com?subject=Supply%20order%20ready%20for%20pickup&amp;body=Dear%20PSW%2C%0A%0AYour%20order%20is%20ready%20for%20pickup%20from%20Sample%20Branch%2C%20Wed-Fri%209am-4pm.</v>
      </c>
      <c r="AF333" s="89" t="str">
        <f t="shared" si="57"/>
        <v>Draft email</v>
      </c>
      <c r="AG333" s="64" t="str">
        <f>IF($C333="","",IFERROR(INDEX('Staff Directory'!$K$595:$K$599,MATCH($C333,'Staff Directory'!$B$5:$B$599,0)),$D333))</f>
        <v>PSW</v>
      </c>
      <c r="AH333" t="str">
        <f>IF($C333="","",IFERROR(INDEX('Staff Directory'!$I$595:$I$599,MATCH($C333,'Staff Directory'!$B$5:$B$599,0))&amp;" "&amp;INDEX('Staff Directory'!$J$595:$J$599,MATCH($C333,'Staff Directory'!$B$5:$B$599,0)),$AG333))</f>
        <v>PSW</v>
      </c>
      <c r="AI333" s="102"/>
      <c r="AJ333" s="101">
        <f>IF($F333="","",SUMIFS($J$5:$J333,$F$5:$F333,$F333))</f>
        <v>12000</v>
      </c>
      <c r="AK333" s="101">
        <f t="shared" si="60"/>
        <v>11501</v>
      </c>
      <c r="AL333" s="66" t="str" cm="1">
        <f t="array" ref="AL333">IF($F333="","",IFERROR(INDEX('Lot Balance'!$B$5:$B$500,MATCH(1,INDEX(('Lot Balance'!$A$5:$A$500=$F333)*('Lot Balance'!$K$5:$K$500&lt;$AK333)*('Lot Balance'!$K$5:$K$500+'Lot Balance'!$D$5:$D$500&gt;=$AK333),0),0)),""))</f>
        <v>ZIM504124207-5</v>
      </c>
      <c r="AM333" s="66" t="str" cm="1">
        <f t="array" ref="AM333">IF($F333="","",IFERROR(INDEX('Lot Balance'!$B$5:$B$500,MATCH(1,INDEX(('Lot Balance'!$A$5:$A$500=$F333)*('Lot Balance'!$K$5:$K$500&lt;$AJ333)*('Lot Balance'!$K$5:$K$500+'Lot Balance'!$D$5:$D$500&gt;=$AJ333),0),0)),""))</f>
        <v>ZIM504124207-5</v>
      </c>
      <c r="AN333" s="66" t="str">
        <f>IF($F333="","",IF($AI333&lt;&gt;"",IF(COUNTIFS('Lot Balance'!$A$5:$A$500,$F333,'Lot Balance'!$B$5:$B$500,$AI333)=0,"⚠ override is not a lot of this item",IF($AI333=$AL333,"Override = FEFO","Override - FEFO says "&amp;$AL333)),IF($AL333="","⚠ no receipt on file for this item",IF($AM333&lt;&gt;$AL333,"FEFO auto - split, also "&amp;$AM333,"FEFO auto"))))</f>
        <v>FEFO auto</v>
      </c>
      <c r="AO333" s="114"/>
    </row>
    <row r="334" spans="1:41" x14ac:dyDescent="0.35">
      <c r="A334" s="74">
        <v>46133</v>
      </c>
      <c r="B334" s="18" t="str">
        <f>IF($C334="","",IFERROR(INDEX('Staff Directory'!$A$5:$A$594,MATCH($C334,'Staff Directory'!$B$5:$B$594,0)),"⚠ unknown staff"))</f>
        <v>PSW-128-A6</v>
      </c>
      <c r="C334" s="49" t="s">
        <v>1107</v>
      </c>
      <c r="D334" s="19" t="str">
        <f>IF($B334="","",IFERROR(INDEX('Staff Directory'!$C$5:$C$594,MATCH($B334,'Staff Directory'!$A$5:$A$594,0)),""))</f>
        <v>PSW</v>
      </c>
      <c r="E334" s="19" t="str">
        <f>IF($B334="","",IFERROR(INDEX('Staff Directory'!$D$5:$D$594,MATCH($B334,'Staff Directory'!$A$5:$A$594,0)),""))</f>
        <v>A6</v>
      </c>
      <c r="F334" s="9" t="s">
        <v>115</v>
      </c>
      <c r="G334" s="18" t="str">
        <f>IF($F334="","",IFERROR(INDEX(Items!$B$5:$B$597,MATCH($F334,Items!$A$5:$A$597,0)),"⚠ not in Items"))</f>
        <v>Wipes</v>
      </c>
      <c r="H334" s="19">
        <f>IF($F334="","",IFERROR(INDEX(Items!$C$5:$C$597,MATCH($F334,Items!$A$5:$A$597,0)),""))</f>
        <v>80</v>
      </c>
      <c r="I334" s="23">
        <f>IF($F334="","",IFERROR(INDEX(Items!$E$5:$E$597,MATCH($F334,Items!$A$5:$A$597,0)),""))</f>
        <v>80</v>
      </c>
      <c r="J334" s="115">
        <f>IF(tblIssues[[#This Row],[Qty Override]]&lt;&gt;"",tblIssues[[#This Row],[Qty Override]],IF(tblIssues[[#This Row],[Standard Issue]]="","",tblIssues[[#This Row],[Standard Issue]]))</f>
        <v>80</v>
      </c>
      <c r="K334" s="20">
        <f>IF($F334="","",IFERROR(INDEX(Items!$D$5:$D$597,MATCH($F334,Items!$A$5:$A$597,0)),""))</f>
        <v>0.1</v>
      </c>
      <c r="L334" s="21">
        <f t="shared" si="61"/>
        <v>8</v>
      </c>
      <c r="M334" s="9" t="str">
        <f t="shared" si="62"/>
        <v>LYSL500290</v>
      </c>
      <c r="N334" s="24">
        <f>IF($A334="","",WORKDAY($A334,Settings!$C$9,HolidayDates))</f>
        <v>46141</v>
      </c>
      <c r="O334" s="24">
        <f>IF($N334="","",WORKDAY($N334,Settings!$C$10,HolidayDates))</f>
        <v>46181</v>
      </c>
      <c r="P334" s="10" t="s">
        <v>501</v>
      </c>
      <c r="Q334" s="52" t="str">
        <f t="shared" ref="Q334:Q397" si="64">IF($A334="","",IF($P334&lt;&gt;"","Collected","Pending"))</f>
        <v>Collected</v>
      </c>
      <c r="R334" s="55" t="str">
        <f t="shared" ref="R334:R397" si="65">IF($A334="","",TEXT($A334,"yyyy-mm"))</f>
        <v>2026-04</v>
      </c>
      <c r="S334" s="55">
        <f>IF(OR($B334="",$F334="",$R334=""),"",SUMIFS(tblIssues[Qty Issued],tblIssues[Staff ID],$B334,tblIssues[Item Name],$F334,tblIssues[Month],$R334))</f>
        <v>80</v>
      </c>
      <c r="T334" s="56">
        <f>IF($I334="","",$I334*Settings!$C$11)</f>
        <v>80</v>
      </c>
      <c r="U334" s="57" t="str">
        <f t="shared" si="63"/>
        <v>OK</v>
      </c>
      <c r="V334" s="55" t="str">
        <f t="shared" ref="V334:V397" si="66">IF($U334="⚠ OVER QUOTA",$B334&amp;" | "&amp;$F334&amp;" | "&amp;$R334,"")</f>
        <v/>
      </c>
      <c r="W334" s="55" t="str">
        <f>IF($V334="","",IF(COUNTIF($V$5:$V334,$V334)=1,1,""))</f>
        <v/>
      </c>
      <c r="X334" s="58" t="str">
        <f>IF($W334="","",MAX($X$4:X333)+1)</f>
        <v/>
      </c>
      <c r="Y334" s="62"/>
      <c r="Z334" s="62"/>
      <c r="AA334" s="64" t="str">
        <f>IF($C334="","",IFERROR(INDEX('Staff Directory'!$E$5:$E$594,MATCH($C334,'Staff Directory'!$B$5:$B$594,0)),""))</f>
        <v>firstname191.lastname191@example.com</v>
      </c>
      <c r="AB334" s="64" t="str">
        <f>IF($C334="","",IF(ISNUMBER(SEARCH($D334,Settings!$C$15)),"Pickup","Dispatch"))</f>
        <v>Pickup</v>
      </c>
      <c r="AC334" s="64" t="str">
        <f t="shared" ref="AC334:AC397" si="67">IF($AB334="Pickup","Supply order ready for pickup",IF($AB334="Dispatch","Supply order dispatched",""))</f>
        <v>Supply order ready for pickup</v>
      </c>
      <c r="AD334" s="64" t="str">
        <f t="shared" si="58"/>
        <v>Dear PSW,
Your order is ready for pickup from Sample Branch, Wed-Fri 9am-4pm.</v>
      </c>
      <c r="AE334" s="64" t="str">
        <f t="shared" si="59"/>
        <v>mailto:firstname191.lastname191@example.com?subject=Supply%20order%20ready%20for%20pickup&amp;body=Dear%20PSW%2C%0A%0AYour%20order%20is%20ready%20for%20pickup%20from%20Sample%20Branch%2C%20Wed-Fri%209am-4pm.</v>
      </c>
      <c r="AF334" s="89" t="str">
        <f t="shared" ref="AF334:AF397" si="68">IF(AE334="","",HYPERLINK(AE334,"Draft email"))</f>
        <v>Draft email</v>
      </c>
      <c r="AG334" s="64" t="str">
        <f>IF($C334="","",IFERROR(INDEX('Staff Directory'!$K$595:$K$599,MATCH($C334,'Staff Directory'!$B$5:$B$599,0)),$D334))</f>
        <v>PSW</v>
      </c>
      <c r="AH334" t="str">
        <f>IF($C334="","",IFERROR(INDEX('Staff Directory'!$I$595:$I$599,MATCH($C334,'Staff Directory'!$B$5:$B$599,0))&amp;" "&amp;INDEX('Staff Directory'!$J$595:$J$599,MATCH($C334,'Staff Directory'!$B$5:$B$599,0)),$AG334))</f>
        <v>PSW</v>
      </c>
      <c r="AI334" s="102"/>
      <c r="AJ334" s="101">
        <f>IF($F334="","",SUMIFS($J$5:$J334,$F$5:$F334,$F334))</f>
        <v>4480</v>
      </c>
      <c r="AK334" s="101">
        <f t="shared" si="60"/>
        <v>4401</v>
      </c>
      <c r="AL334" s="66" t="str" cm="1">
        <f t="array" ref="AL334">IF($F334="","",IFERROR(INDEX('Lot Balance'!$B$5:$B$500,MATCH(1,INDEX(('Lot Balance'!$A$5:$A$500=$F334)*('Lot Balance'!$K$5:$K$500&lt;$AK334)*('Lot Balance'!$K$5:$K$500+'Lot Balance'!$D$5:$D$500&gt;=$AK334),0),0)),""))</f>
        <v>LYSL500290</v>
      </c>
      <c r="AM334" s="66" t="str" cm="1">
        <f t="array" ref="AM334">IF($F334="","",IFERROR(INDEX('Lot Balance'!$B$5:$B$500,MATCH(1,INDEX(('Lot Balance'!$A$5:$A$500=$F334)*('Lot Balance'!$K$5:$K$500&lt;$AJ334)*('Lot Balance'!$K$5:$K$500+'Lot Balance'!$D$5:$D$500&gt;=$AJ334),0),0)),""))</f>
        <v>LYSL500290</v>
      </c>
      <c r="AN334" s="66" t="str">
        <f>IF($F334="","",IF($AI334&lt;&gt;"",IF(COUNTIFS('Lot Balance'!$A$5:$A$500,$F334,'Lot Balance'!$B$5:$B$500,$AI334)=0,"⚠ override is not a lot of this item",IF($AI334=$AL334,"Override = FEFO","Override - FEFO says "&amp;$AL334)),IF($AL334="","⚠ no receipt on file for this item",IF($AM334&lt;&gt;$AL334,"FEFO auto - split, also "&amp;$AM334,"FEFO auto"))))</f>
        <v>FEFO auto</v>
      </c>
      <c r="AO334" s="114"/>
    </row>
    <row r="335" spans="1:41" x14ac:dyDescent="0.35">
      <c r="A335" s="74">
        <v>46133</v>
      </c>
      <c r="B335" s="18" t="str">
        <f>IF($C335="","",IFERROR(INDEX('Staff Directory'!$A$5:$A$594,MATCH($C335,'Staff Directory'!$B$5:$B$594,0)),"⚠ unknown staff"))</f>
        <v>PSW-128-A6</v>
      </c>
      <c r="C335" s="49" t="s">
        <v>1107</v>
      </c>
      <c r="D335" s="19" t="str">
        <f>IF($B335="","",IFERROR(INDEX('Staff Directory'!$C$5:$C$594,MATCH($B335,'Staff Directory'!$A$5:$A$594,0)),""))</f>
        <v>PSW</v>
      </c>
      <c r="E335" s="19" t="str">
        <f>IF($B335="","",IFERROR(INDEX('Staff Directory'!$D$5:$D$594,MATCH($B335,'Staff Directory'!$A$5:$A$594,0)),""))</f>
        <v>A6</v>
      </c>
      <c r="F335" s="9" t="s">
        <v>755</v>
      </c>
      <c r="G335" s="18" t="str">
        <f>IF($F335="","",IFERROR(INDEX(Items!$B$5:$B$597,MATCH($F335,Items!$A$5:$A$597,0)),"⚠ not in Items"))</f>
        <v>Documents</v>
      </c>
      <c r="H335" s="19" t="str">
        <f>IF($F335="","",IFERROR(INDEX(Items!$C$5:$C$597,MATCH($F335,Items!$A$5:$A$597,0)),""))</f>
        <v>Standard</v>
      </c>
      <c r="I335" s="23">
        <f>IF($F335="","",IFERROR(INDEX(Items!$E$5:$E$597,MATCH($F335,Items!$A$5:$A$597,0)),""))</f>
        <v>2</v>
      </c>
      <c r="J335" s="115">
        <f>IF(tblIssues[[#This Row],[Qty Override]]&lt;&gt;"",tblIssues[[#This Row],[Qty Override]],IF(tblIssues[[#This Row],[Standard Issue]]="","",tblIssues[[#This Row],[Standard Issue]]))</f>
        <v>2</v>
      </c>
      <c r="K335" s="20">
        <f>IF($F335="","",IFERROR(INDEX(Items!$D$5:$D$597,MATCH($F335,Items!$A$5:$A$597,0)),""))</f>
        <v>0</v>
      </c>
      <c r="L335" s="21">
        <f t="shared" si="61"/>
        <v>0</v>
      </c>
      <c r="M335" s="9" t="str">
        <f t="shared" si="62"/>
        <v/>
      </c>
      <c r="N335" s="24">
        <f>IF($A335="","",WORKDAY($A335,Settings!$C$9,HolidayDates))</f>
        <v>46141</v>
      </c>
      <c r="O335" s="24">
        <f>IF($N335="","",WORKDAY($N335,Settings!$C$10,HolidayDates))</f>
        <v>46181</v>
      </c>
      <c r="P335" s="10" t="s">
        <v>501</v>
      </c>
      <c r="Q335" s="52" t="str">
        <f t="shared" si="64"/>
        <v>Collected</v>
      </c>
      <c r="R335" s="55" t="str">
        <f t="shared" si="65"/>
        <v>2026-04</v>
      </c>
      <c r="S335" s="55">
        <f>IF(OR($B335="",$F335="",$R335=""),"",SUMIFS(tblIssues[Qty Issued],tblIssues[Staff ID],$B335,tblIssues[Item Name],$F335,tblIssues[Month],$R335))</f>
        <v>2</v>
      </c>
      <c r="T335" s="56">
        <f>IF($I335="","",$I335*Settings!$C$11)</f>
        <v>2</v>
      </c>
      <c r="U335" s="57" t="str">
        <f t="shared" si="63"/>
        <v>OK</v>
      </c>
      <c r="V335" s="55" t="str">
        <f t="shared" si="66"/>
        <v/>
      </c>
      <c r="W335" s="55" t="str">
        <f>IF($V335="","",IF(COUNTIF($V$5:$V335,$V335)=1,1,""))</f>
        <v/>
      </c>
      <c r="X335" s="58" t="str">
        <f>IF($W335="","",MAX($X$4:X334)+1)</f>
        <v/>
      </c>
      <c r="Y335" s="62"/>
      <c r="Z335" s="62"/>
      <c r="AA335" s="64" t="str">
        <f>IF($C335="","",IFERROR(INDEX('Staff Directory'!$E$5:$E$594,MATCH($C335,'Staff Directory'!$B$5:$B$594,0)),""))</f>
        <v>firstname191.lastname191@example.com</v>
      </c>
      <c r="AB335" s="64" t="str">
        <f>IF($C335="","",IF(ISNUMBER(SEARCH($D335,Settings!$C$15)),"Pickup","Dispatch"))</f>
        <v>Pickup</v>
      </c>
      <c r="AC335" s="64" t="str">
        <f t="shared" si="67"/>
        <v>Supply order ready for pickup</v>
      </c>
      <c r="AD335" s="64" t="str">
        <f t="shared" si="58"/>
        <v>Dear PSW,
Your order is ready for pickup from Sample Branch, Wed-Fri 9am-4pm.</v>
      </c>
      <c r="AE335" s="64" t="str">
        <f t="shared" si="59"/>
        <v>mailto:firstname191.lastname191@example.com?subject=Supply%20order%20ready%20for%20pickup&amp;body=Dear%20PSW%2C%0A%0AYour%20order%20is%20ready%20for%20pickup%20from%20Sample%20Branch%2C%20Wed-Fri%209am-4pm.</v>
      </c>
      <c r="AF335" s="89" t="str">
        <f t="shared" si="68"/>
        <v>Draft email</v>
      </c>
      <c r="AG335" s="64" t="str">
        <f>IF($C335="","",IFERROR(INDEX('Staff Directory'!$K$595:$K$599,MATCH($C335,'Staff Directory'!$B$5:$B$599,0)),$D335))</f>
        <v>PSW</v>
      </c>
      <c r="AH335" t="str">
        <f>IF($C335="","",IFERROR(INDEX('Staff Directory'!$I$595:$I$599,MATCH($C335,'Staff Directory'!$B$5:$B$599,0))&amp;" "&amp;INDEX('Staff Directory'!$J$595:$J$599,MATCH($C335,'Staff Directory'!$B$5:$B$599,0)),$AG335))</f>
        <v>PSW</v>
      </c>
      <c r="AI335" s="102"/>
      <c r="AJ335" s="101">
        <f>IF($F335="","",SUMIFS($J$5:$J335,$F$5:$F335,$F335))</f>
        <v>88</v>
      </c>
      <c r="AK335" s="101">
        <f t="shared" si="60"/>
        <v>87</v>
      </c>
      <c r="AL335" s="66" t="str" cm="1">
        <f t="array" ref="AL335">IF($F335="","",IFERROR(INDEX('Lot Balance'!$B$5:$B$500,MATCH(1,INDEX(('Lot Balance'!$A$5:$A$500=$F335)*('Lot Balance'!$K$5:$K$500&lt;$AK335)*('Lot Balance'!$K$5:$K$500+'Lot Balance'!$D$5:$D$500&gt;=$AK335),0),0)),""))</f>
        <v/>
      </c>
      <c r="AM335" s="66" t="str" cm="1">
        <f t="array" ref="AM335">IF($F335="","",IFERROR(INDEX('Lot Balance'!$B$5:$B$500,MATCH(1,INDEX(('Lot Balance'!$A$5:$A$500=$F335)*('Lot Balance'!$K$5:$K$500&lt;$AJ335)*('Lot Balance'!$K$5:$K$500+'Lot Balance'!$D$5:$D$500&gt;=$AJ335),0),0)),""))</f>
        <v/>
      </c>
      <c r="AN335" s="66" t="str">
        <f>IF($F335="","",IF($AI335&lt;&gt;"",IF(COUNTIFS('Lot Balance'!$A$5:$A$500,$F335,'Lot Balance'!$B$5:$B$500,$AI335)=0,"⚠ override is not a lot of this item",IF($AI335=$AL335,"Override = FEFO","Override - FEFO says "&amp;$AL335)),IF($AL335="","⚠ no receipt on file for this item",IF($AM335&lt;&gt;$AL335,"FEFO auto - split, also "&amp;$AM335,"FEFO auto"))))</f>
        <v>⚠ no receipt on file for this item</v>
      </c>
      <c r="AO335" s="114"/>
    </row>
    <row r="336" spans="1:41" x14ac:dyDescent="0.35">
      <c r="A336" s="74">
        <v>46133</v>
      </c>
      <c r="B336" s="18" t="str">
        <f>IF($C336="","",IFERROR(INDEX('Staff Directory'!$A$5:$A$594,MATCH($C336,'Staff Directory'!$B$5:$B$594,0)),"⚠ unknown staff"))</f>
        <v>PSW-043-A5</v>
      </c>
      <c r="C336" s="49" t="s">
        <v>1018</v>
      </c>
      <c r="D336" s="19" t="str">
        <f>IF($B336="","",IFERROR(INDEX('Staff Directory'!$C$5:$C$594,MATCH($B336,'Staff Directory'!$A$5:$A$594,0)),""))</f>
        <v>PSW</v>
      </c>
      <c r="E336" s="19" t="str">
        <f>IF($B336="","",IFERROR(INDEX('Staff Directory'!$D$5:$D$594,MATCH($B336,'Staff Directory'!$A$5:$A$594,0)),""))</f>
        <v>A5</v>
      </c>
      <c r="F336" s="9" t="s">
        <v>124</v>
      </c>
      <c r="G336" s="18" t="str">
        <f>IF($F336="","",IFERROR(INDEX(Items!$B$5:$B$597,MATCH($F336,Items!$A$5:$A$597,0)),"⚠ not in Items"))</f>
        <v>Gloves</v>
      </c>
      <c r="H336" s="19" t="str">
        <f>IF($F336="","",IFERROR(INDEX(Items!$C$5:$C$597,MATCH($F336,Items!$A$5:$A$597,0)),""))</f>
        <v>Large</v>
      </c>
      <c r="I336" s="23">
        <f>IF($F336="","",IFERROR(INDEX(Items!$E$5:$E$597,MATCH($F336,Items!$A$5:$A$597,0)),""))</f>
        <v>500</v>
      </c>
      <c r="J336" s="115">
        <f>IF(tblIssues[[#This Row],[Qty Override]]&lt;&gt;"",tblIssues[[#This Row],[Qty Override]],IF(tblIssues[[#This Row],[Standard Issue]]="","",tblIssues[[#This Row],[Standard Issue]]))</f>
        <v>500</v>
      </c>
      <c r="K336" s="20">
        <f>IF($F336="","",IFERROR(INDEX(Items!$D$5:$D$597,MATCH($F336,Items!$A$5:$A$597,0)),""))</f>
        <v>5.5E-2</v>
      </c>
      <c r="L336" s="21">
        <f t="shared" si="61"/>
        <v>27.5</v>
      </c>
      <c r="M336" s="9" t="str">
        <f t="shared" si="62"/>
        <v>ZIM511139904-0</v>
      </c>
      <c r="N336" s="24">
        <f>IF($A336="","",WORKDAY($A336,Settings!$C$9,HolidayDates))</f>
        <v>46141</v>
      </c>
      <c r="O336" s="24">
        <f>IF($N336="","",WORKDAY($N336,Settings!$C$10,HolidayDates))</f>
        <v>46181</v>
      </c>
      <c r="P336" s="10" t="s">
        <v>501</v>
      </c>
      <c r="Q336" s="52" t="str">
        <f t="shared" si="64"/>
        <v>Collected</v>
      </c>
      <c r="R336" s="55" t="str">
        <f t="shared" si="65"/>
        <v>2026-04</v>
      </c>
      <c r="S336" s="55">
        <f>IF(OR($B336="",$F336="",$R336=""),"",SUMIFS(tblIssues[Qty Issued],tblIssues[Staff ID],$B336,tblIssues[Item Name],$F336,tblIssues[Month],$R336))</f>
        <v>500</v>
      </c>
      <c r="T336" s="56">
        <f>IF($I336="","",$I336*Settings!$C$11)</f>
        <v>500</v>
      </c>
      <c r="U336" s="57" t="str">
        <f t="shared" si="63"/>
        <v>OK</v>
      </c>
      <c r="V336" s="55" t="str">
        <f t="shared" si="66"/>
        <v/>
      </c>
      <c r="W336" s="55" t="str">
        <f>IF($V336="","",IF(COUNTIF($V$5:$V336,$V336)=1,1,""))</f>
        <v/>
      </c>
      <c r="X336" s="58" t="str">
        <f>IF($W336="","",MAX($X$4:X335)+1)</f>
        <v/>
      </c>
      <c r="Y336" s="62"/>
      <c r="Z336" s="62"/>
      <c r="AA336" s="64" t="str">
        <f>IF($C336="","",IFERROR(INDEX('Staff Directory'!$E$5:$E$594,MATCH($C336,'Staff Directory'!$B$5:$B$594,0)),""))</f>
        <v>firstname102.lastname102@example.com</v>
      </c>
      <c r="AB336" s="64" t="str">
        <f>IF($C336="","",IF(ISNUMBER(SEARCH($D336,Settings!$C$15)),"Pickup","Dispatch"))</f>
        <v>Pickup</v>
      </c>
      <c r="AC336" s="64" t="str">
        <f t="shared" si="67"/>
        <v>Supply order ready for pickup</v>
      </c>
      <c r="AD336" s="64" t="str">
        <f t="shared" si="58"/>
        <v>Dear PSW,
Your order is ready for pickup from Sample Branch, Wed-Fri 9am-4pm.</v>
      </c>
      <c r="AE336" s="64" t="str">
        <f t="shared" si="59"/>
        <v>mailto:firstname102.lastname102@example.com?subject=Supply%20order%20ready%20for%20pickup&amp;body=Dear%20PSW%2C%0A%0AYour%20order%20is%20ready%20for%20pickup%20from%20Sample%20Branch%2C%20Wed-Fri%209am-4pm.</v>
      </c>
      <c r="AF336" s="89" t="str">
        <f t="shared" si="68"/>
        <v>Draft email</v>
      </c>
      <c r="AG336" s="64" t="str">
        <f>IF($C336="","",IFERROR(INDEX('Staff Directory'!$K$595:$K$599,MATCH($C336,'Staff Directory'!$B$5:$B$599,0)),$D336))</f>
        <v>PSW</v>
      </c>
      <c r="AH336" t="str">
        <f>IF($C336="","",IFERROR(INDEX('Staff Directory'!$I$595:$I$599,MATCH($C336,'Staff Directory'!$B$5:$B$599,0))&amp;" "&amp;INDEX('Staff Directory'!$J$595:$J$599,MATCH($C336,'Staff Directory'!$B$5:$B$599,0)),$AG336))</f>
        <v>PSW</v>
      </c>
      <c r="AI336" s="102"/>
      <c r="AJ336" s="101">
        <f>IF($F336="","",SUMIFS($J$5:$J336,$F$5:$F336,$F336))</f>
        <v>9500</v>
      </c>
      <c r="AK336" s="101">
        <f t="shared" si="60"/>
        <v>9001</v>
      </c>
      <c r="AL336" s="66" t="str" cm="1">
        <f t="array" ref="AL336">IF($F336="","",IFERROR(INDEX('Lot Balance'!$B$5:$B$500,MATCH(1,INDEX(('Lot Balance'!$A$5:$A$500=$F336)*('Lot Balance'!$K$5:$K$500&lt;$AK336)*('Lot Balance'!$K$5:$K$500+'Lot Balance'!$D$5:$D$500&gt;=$AK336),0),0)),""))</f>
        <v>ZIM511139904-0</v>
      </c>
      <c r="AM336" s="66" t="str" cm="1">
        <f t="array" ref="AM336">IF($F336="","",IFERROR(INDEX('Lot Balance'!$B$5:$B$500,MATCH(1,INDEX(('Lot Balance'!$A$5:$A$500=$F336)*('Lot Balance'!$K$5:$K$500&lt;$AJ336)*('Lot Balance'!$K$5:$K$500+'Lot Balance'!$D$5:$D$500&gt;=$AJ336),0),0)),""))</f>
        <v>ZIM511139904-0</v>
      </c>
      <c r="AN336" s="66" t="str">
        <f>IF($F336="","",IF($AI336&lt;&gt;"",IF(COUNTIFS('Lot Balance'!$A$5:$A$500,$F336,'Lot Balance'!$B$5:$B$500,$AI336)=0,"⚠ override is not a lot of this item",IF($AI336=$AL336,"Override = FEFO","Override - FEFO says "&amp;$AL336)),IF($AL336="","⚠ no receipt on file for this item",IF($AM336&lt;&gt;$AL336,"FEFO auto - split, also "&amp;$AM336,"FEFO auto"))))</f>
        <v>FEFO auto</v>
      </c>
      <c r="AO336" s="114"/>
    </row>
    <row r="337" spans="1:41" x14ac:dyDescent="0.35">
      <c r="A337" s="74">
        <v>46133</v>
      </c>
      <c r="B337" s="18" t="str">
        <f>IF($C337="","",IFERROR(INDEX('Staff Directory'!$A$5:$A$594,MATCH($C337,'Staff Directory'!$B$5:$B$594,0)),"⚠ unknown staff"))</f>
        <v>PSW-043-A5</v>
      </c>
      <c r="C337" s="49" t="s">
        <v>1018</v>
      </c>
      <c r="D337" s="19" t="str">
        <f>IF($B337="","",IFERROR(INDEX('Staff Directory'!$C$5:$C$594,MATCH($B337,'Staff Directory'!$A$5:$A$594,0)),""))</f>
        <v>PSW</v>
      </c>
      <c r="E337" s="19" t="str">
        <f>IF($B337="","",IFERROR(INDEX('Staff Directory'!$D$5:$D$594,MATCH($B337,'Staff Directory'!$A$5:$A$594,0)),""))</f>
        <v>A5</v>
      </c>
      <c r="F337" s="9" t="s">
        <v>191</v>
      </c>
      <c r="G337" s="18" t="str">
        <f>IF($F337="","",IFERROR(INDEX(Items!$B$5:$B$597,MATCH($F337,Items!$A$5:$A$597,0)),"⚠ not in Items"))</f>
        <v>Sanitizer</v>
      </c>
      <c r="H337" s="19" t="str">
        <f>IF($F337="","",IFERROR(INDEX(Items!$C$5:$C$597,MATCH($F337,Items!$A$5:$A$597,0)),""))</f>
        <v>236 ML</v>
      </c>
      <c r="I337" s="23">
        <f>IF($F337="","",IFERROR(INDEX(Items!$E$5:$E$597,MATCH($F337,Items!$A$5:$A$597,0)),""))</f>
        <v>1</v>
      </c>
      <c r="J337" s="115">
        <f>IF(tblIssues[[#This Row],[Qty Override]]&lt;&gt;"",tblIssues[[#This Row],[Qty Override]],IF(tblIssues[[#This Row],[Standard Issue]]="","",tblIssues[[#This Row],[Standard Issue]]))</f>
        <v>1</v>
      </c>
      <c r="K337" s="20">
        <f>IF($F337="","",IFERROR(INDEX(Items!$D$5:$D$597,MATCH($F337,Items!$A$5:$A$597,0)),""))</f>
        <v>1E-4</v>
      </c>
      <c r="L337" s="21">
        <f t="shared" si="61"/>
        <v>1E-4</v>
      </c>
      <c r="M337" s="9" t="str">
        <f t="shared" si="62"/>
        <v>20-21734-1</v>
      </c>
      <c r="N337" s="24">
        <f>IF($A337="","",WORKDAY($A337,Settings!$C$9,HolidayDates))</f>
        <v>46141</v>
      </c>
      <c r="O337" s="24">
        <f>IF($N337="","",WORKDAY($N337,Settings!$C$10,HolidayDates))</f>
        <v>46181</v>
      </c>
      <c r="P337" s="10" t="s">
        <v>501</v>
      </c>
      <c r="Q337" s="52" t="str">
        <f t="shared" si="64"/>
        <v>Collected</v>
      </c>
      <c r="R337" s="55" t="str">
        <f t="shared" si="65"/>
        <v>2026-04</v>
      </c>
      <c r="S337" s="55">
        <f>IF(OR($B337="",$F337="",$R337=""),"",SUMIFS(tblIssues[Qty Issued],tblIssues[Staff ID],$B337,tblIssues[Item Name],$F337,tblIssues[Month],$R337))</f>
        <v>1</v>
      </c>
      <c r="T337" s="56">
        <f>IF($I337="","",$I337*Settings!$C$11)</f>
        <v>1</v>
      </c>
      <c r="U337" s="57" t="str">
        <f t="shared" si="63"/>
        <v>OK</v>
      </c>
      <c r="V337" s="55" t="str">
        <f t="shared" si="66"/>
        <v/>
      </c>
      <c r="W337" s="55" t="str">
        <f>IF($V337="","",IF(COUNTIF($V$5:$V337,$V337)=1,1,""))</f>
        <v/>
      </c>
      <c r="X337" s="58" t="str">
        <f>IF($W337="","",MAX($X$4:X336)+1)</f>
        <v/>
      </c>
      <c r="Y337" s="62"/>
      <c r="Z337" s="62"/>
      <c r="AA337" s="64" t="str">
        <f>IF($C337="","",IFERROR(INDEX('Staff Directory'!$E$5:$E$594,MATCH($C337,'Staff Directory'!$B$5:$B$594,0)),""))</f>
        <v>firstname102.lastname102@example.com</v>
      </c>
      <c r="AB337" s="64" t="str">
        <f>IF($C337="","",IF(ISNUMBER(SEARCH($D337,Settings!$C$15)),"Pickup","Dispatch"))</f>
        <v>Pickup</v>
      </c>
      <c r="AC337" s="64" t="str">
        <f t="shared" si="67"/>
        <v>Supply order ready for pickup</v>
      </c>
      <c r="AD337" s="64" t="str">
        <f t="shared" si="58"/>
        <v>Dear PSW,
Your order is ready for pickup from Sample Branch, Wed-Fri 9am-4pm.</v>
      </c>
      <c r="AE337" s="64" t="str">
        <f t="shared" si="59"/>
        <v>mailto:firstname102.lastname102@example.com?subject=Supply%20order%20ready%20for%20pickup&amp;body=Dear%20PSW%2C%0A%0AYour%20order%20is%20ready%20for%20pickup%20from%20Sample%20Branch%2C%20Wed-Fri%209am-4pm.</v>
      </c>
      <c r="AF337" s="89" t="str">
        <f t="shared" si="68"/>
        <v>Draft email</v>
      </c>
      <c r="AG337" s="64" t="str">
        <f>IF($C337="","",IFERROR(INDEX('Staff Directory'!$K$595:$K$599,MATCH($C337,'Staff Directory'!$B$5:$B$599,0)),$D337))</f>
        <v>PSW</v>
      </c>
      <c r="AH337" t="str">
        <f>IF($C337="","",IFERROR(INDEX('Staff Directory'!$I$595:$I$599,MATCH($C337,'Staff Directory'!$B$5:$B$599,0))&amp;" "&amp;INDEX('Staff Directory'!$J$595:$J$599,MATCH($C337,'Staff Directory'!$B$5:$B$599,0)),$AG337))</f>
        <v>PSW</v>
      </c>
      <c r="AI337" s="102"/>
      <c r="AJ337" s="101">
        <f>IF($F337="","",SUMIFS($J$5:$J337,$F$5:$F337,$F337))</f>
        <v>21</v>
      </c>
      <c r="AK337" s="101">
        <f t="shared" si="60"/>
        <v>21</v>
      </c>
      <c r="AL337" s="66" t="str" cm="1">
        <f t="array" ref="AL337">IF($F337="","",IFERROR(INDEX('Lot Balance'!$B$5:$B$500,MATCH(1,INDEX(('Lot Balance'!$A$5:$A$500=$F337)*('Lot Balance'!$K$5:$K$500&lt;$AK337)*('Lot Balance'!$K$5:$K$500+'Lot Balance'!$D$5:$D$500&gt;=$AK337),0),0)),""))</f>
        <v>20-21734-1</v>
      </c>
      <c r="AM337" s="66" t="str" cm="1">
        <f t="array" ref="AM337">IF($F337="","",IFERROR(INDEX('Lot Balance'!$B$5:$B$500,MATCH(1,INDEX(('Lot Balance'!$A$5:$A$500=$F337)*('Lot Balance'!$K$5:$K$500&lt;$AJ337)*('Lot Balance'!$K$5:$K$500+'Lot Balance'!$D$5:$D$500&gt;=$AJ337),0),0)),""))</f>
        <v>20-21734-1</v>
      </c>
      <c r="AN337" s="66" t="str">
        <f>IF($F337="","",IF($AI337&lt;&gt;"",IF(COUNTIFS('Lot Balance'!$A$5:$A$500,$F337,'Lot Balance'!$B$5:$B$500,$AI337)=0,"⚠ override is not a lot of this item",IF($AI337=$AL337,"Override = FEFO","Override - FEFO says "&amp;$AL337)),IF($AL337="","⚠ no receipt on file for this item",IF($AM337&lt;&gt;$AL337,"FEFO auto - split, also "&amp;$AM337,"FEFO auto"))))</f>
        <v>FEFO auto</v>
      </c>
      <c r="AO337" s="114"/>
    </row>
    <row r="338" spans="1:41" x14ac:dyDescent="0.35">
      <c r="A338" s="74">
        <v>46133</v>
      </c>
      <c r="B338" s="18" t="str">
        <f>IF($C338="","",IFERROR(INDEX('Staff Directory'!$A$5:$A$594,MATCH($C338,'Staff Directory'!$B$5:$B$594,0)),"⚠ unknown staff"))</f>
        <v>PSW-043-A5</v>
      </c>
      <c r="C338" s="49" t="s">
        <v>1018</v>
      </c>
      <c r="D338" s="19" t="str">
        <f>IF($B338="","",IFERROR(INDEX('Staff Directory'!$C$5:$C$594,MATCH($B338,'Staff Directory'!$A$5:$A$594,0)),""))</f>
        <v>PSW</v>
      </c>
      <c r="E338" s="19" t="str">
        <f>IF($B338="","",IFERROR(INDEX('Staff Directory'!$D$5:$D$594,MATCH($B338,'Staff Directory'!$A$5:$A$594,0)),""))</f>
        <v>A5</v>
      </c>
      <c r="F338" s="9" t="s">
        <v>115</v>
      </c>
      <c r="G338" s="18" t="str">
        <f>IF($F338="","",IFERROR(INDEX(Items!$B$5:$B$597,MATCH($F338,Items!$A$5:$A$597,0)),"⚠ not in Items"))</f>
        <v>Wipes</v>
      </c>
      <c r="H338" s="19">
        <f>IF($F338="","",IFERROR(INDEX(Items!$C$5:$C$597,MATCH($F338,Items!$A$5:$A$597,0)),""))</f>
        <v>80</v>
      </c>
      <c r="I338" s="23">
        <f>IF($F338="","",IFERROR(INDEX(Items!$E$5:$E$597,MATCH($F338,Items!$A$5:$A$597,0)),""))</f>
        <v>80</v>
      </c>
      <c r="J338" s="115">
        <f>IF(tblIssues[[#This Row],[Qty Override]]&lt;&gt;"",tblIssues[[#This Row],[Qty Override]],IF(tblIssues[[#This Row],[Standard Issue]]="","",tblIssues[[#This Row],[Standard Issue]]))</f>
        <v>80</v>
      </c>
      <c r="K338" s="20">
        <f>IF($F338="","",IFERROR(INDEX(Items!$D$5:$D$597,MATCH($F338,Items!$A$5:$A$597,0)),""))</f>
        <v>0.1</v>
      </c>
      <c r="L338" s="21">
        <f t="shared" si="61"/>
        <v>8</v>
      </c>
      <c r="M338" s="9" t="str">
        <f t="shared" si="62"/>
        <v>LYSL500290</v>
      </c>
      <c r="N338" s="24">
        <f>IF($A338="","",WORKDAY($A338,Settings!$C$9,HolidayDates))</f>
        <v>46141</v>
      </c>
      <c r="O338" s="24">
        <f>IF($N338="","",WORKDAY($N338,Settings!$C$10,HolidayDates))</f>
        <v>46181</v>
      </c>
      <c r="P338" s="10" t="s">
        <v>501</v>
      </c>
      <c r="Q338" s="52" t="str">
        <f t="shared" si="64"/>
        <v>Collected</v>
      </c>
      <c r="R338" s="55" t="str">
        <f t="shared" si="65"/>
        <v>2026-04</v>
      </c>
      <c r="S338" s="55">
        <f>IF(OR($B338="",$F338="",$R338=""),"",SUMIFS(tblIssues[Qty Issued],tblIssues[Staff ID],$B338,tblIssues[Item Name],$F338,tblIssues[Month],$R338))</f>
        <v>80</v>
      </c>
      <c r="T338" s="56">
        <f>IF($I338="","",$I338*Settings!$C$11)</f>
        <v>80</v>
      </c>
      <c r="U338" s="57" t="str">
        <f t="shared" si="63"/>
        <v>OK</v>
      </c>
      <c r="V338" s="55" t="str">
        <f t="shared" si="66"/>
        <v/>
      </c>
      <c r="W338" s="55" t="str">
        <f>IF($V338="","",IF(COUNTIF($V$5:$V338,$V338)=1,1,""))</f>
        <v/>
      </c>
      <c r="X338" s="58" t="str">
        <f>IF($W338="","",MAX($X$4:X337)+1)</f>
        <v/>
      </c>
      <c r="Y338" s="62"/>
      <c r="Z338" s="62"/>
      <c r="AA338" s="64" t="str">
        <f>IF($C338="","",IFERROR(INDEX('Staff Directory'!$E$5:$E$594,MATCH($C338,'Staff Directory'!$B$5:$B$594,0)),""))</f>
        <v>firstname102.lastname102@example.com</v>
      </c>
      <c r="AB338" s="64" t="str">
        <f>IF($C338="","",IF(ISNUMBER(SEARCH($D338,Settings!$C$15)),"Pickup","Dispatch"))</f>
        <v>Pickup</v>
      </c>
      <c r="AC338" s="64" t="str">
        <f t="shared" si="67"/>
        <v>Supply order ready for pickup</v>
      </c>
      <c r="AD338" s="64" t="str">
        <f t="shared" si="58"/>
        <v>Dear PSW,
Your order is ready for pickup from Sample Branch, Wed-Fri 9am-4pm.</v>
      </c>
      <c r="AE338" s="64" t="str">
        <f t="shared" si="59"/>
        <v>mailto:firstname102.lastname102@example.com?subject=Supply%20order%20ready%20for%20pickup&amp;body=Dear%20PSW%2C%0A%0AYour%20order%20is%20ready%20for%20pickup%20from%20Sample%20Branch%2C%20Wed-Fri%209am-4pm.</v>
      </c>
      <c r="AF338" s="89" t="str">
        <f t="shared" si="68"/>
        <v>Draft email</v>
      </c>
      <c r="AG338" s="64" t="str">
        <f>IF($C338="","",IFERROR(INDEX('Staff Directory'!$K$595:$K$599,MATCH($C338,'Staff Directory'!$B$5:$B$599,0)),$D338))</f>
        <v>PSW</v>
      </c>
      <c r="AH338" t="str">
        <f>IF($C338="","",IFERROR(INDEX('Staff Directory'!$I$595:$I$599,MATCH($C338,'Staff Directory'!$B$5:$B$599,0))&amp;" "&amp;INDEX('Staff Directory'!$J$595:$J$599,MATCH($C338,'Staff Directory'!$B$5:$B$599,0)),$AG338))</f>
        <v>PSW</v>
      </c>
      <c r="AI338" s="102"/>
      <c r="AJ338" s="101">
        <f>IF($F338="","",SUMIFS($J$5:$J338,$F$5:$F338,$F338))</f>
        <v>4560</v>
      </c>
      <c r="AK338" s="101">
        <f t="shared" si="60"/>
        <v>4481</v>
      </c>
      <c r="AL338" s="66" t="str" cm="1">
        <f t="array" ref="AL338">IF($F338="","",IFERROR(INDEX('Lot Balance'!$B$5:$B$500,MATCH(1,INDEX(('Lot Balance'!$A$5:$A$500=$F338)*('Lot Balance'!$K$5:$K$500&lt;$AK338)*('Lot Balance'!$K$5:$K$500+'Lot Balance'!$D$5:$D$500&gt;=$AK338),0),0)),""))</f>
        <v>LYSL500290</v>
      </c>
      <c r="AM338" s="66" t="str" cm="1">
        <f t="array" ref="AM338">IF($F338="","",IFERROR(INDEX('Lot Balance'!$B$5:$B$500,MATCH(1,INDEX(('Lot Balance'!$A$5:$A$500=$F338)*('Lot Balance'!$K$5:$K$500&lt;$AJ338)*('Lot Balance'!$K$5:$K$500+'Lot Balance'!$D$5:$D$500&gt;=$AJ338),0),0)),""))</f>
        <v>LYSL500290</v>
      </c>
      <c r="AN338" s="66" t="str">
        <f>IF($F338="","",IF($AI338&lt;&gt;"",IF(COUNTIFS('Lot Balance'!$A$5:$A$500,$F338,'Lot Balance'!$B$5:$B$500,$AI338)=0,"⚠ override is not a lot of this item",IF($AI338=$AL338,"Override = FEFO","Override - FEFO says "&amp;$AL338)),IF($AL338="","⚠ no receipt on file for this item",IF($AM338&lt;&gt;$AL338,"FEFO auto - split, also "&amp;$AM338,"FEFO auto"))))</f>
        <v>FEFO auto</v>
      </c>
      <c r="AO338" s="114"/>
    </row>
    <row r="339" spans="1:41" x14ac:dyDescent="0.35">
      <c r="A339" s="74">
        <v>46133</v>
      </c>
      <c r="B339" s="18" t="str">
        <f>IF($C339="","",IFERROR(INDEX('Staff Directory'!$A$5:$A$594,MATCH($C339,'Staff Directory'!$B$5:$B$594,0)),"⚠ unknown staff"))</f>
        <v>PSW-043-A5</v>
      </c>
      <c r="C339" s="49" t="s">
        <v>1018</v>
      </c>
      <c r="D339" s="19" t="str">
        <f>IF($B339="","",IFERROR(INDEX('Staff Directory'!$C$5:$C$594,MATCH($B339,'Staff Directory'!$A$5:$A$594,0)),""))</f>
        <v>PSW</v>
      </c>
      <c r="E339" s="19" t="str">
        <f>IF($B339="","",IFERROR(INDEX('Staff Directory'!$D$5:$D$594,MATCH($B339,'Staff Directory'!$A$5:$A$594,0)),""))</f>
        <v>A5</v>
      </c>
      <c r="F339" s="9" t="s">
        <v>156</v>
      </c>
      <c r="G339" s="18" t="str">
        <f>IF($F339="","",IFERROR(INDEX(Items!$B$5:$B$597,MATCH($F339,Items!$A$5:$A$597,0)),"⚠ not in Items"))</f>
        <v>Masks</v>
      </c>
      <c r="H339" s="19" t="str">
        <f>IF($F339="","",IFERROR(INDEX(Items!$C$5:$C$597,MATCH($F339,Items!$A$5:$A$597,0)),""))</f>
        <v>One Size</v>
      </c>
      <c r="I339" s="23">
        <f>IF($F339="","",IFERROR(INDEX(Items!$E$5:$E$597,MATCH($F339,Items!$A$5:$A$597,0)),""))</f>
        <v>50</v>
      </c>
      <c r="J339" s="115">
        <f>IF(tblIssues[[#This Row],[Qty Override]]&lt;&gt;"",tblIssues[[#This Row],[Qty Override]],IF(tblIssues[[#This Row],[Standard Issue]]="","",tblIssues[[#This Row],[Standard Issue]]))</f>
        <v>50</v>
      </c>
      <c r="K339" s="20">
        <f>IF($F339="","",IFERROR(INDEX(Items!$D$5:$D$597,MATCH($F339,Items!$A$5:$A$597,0)),""))</f>
        <v>0.25</v>
      </c>
      <c r="L339" s="21">
        <f t="shared" si="61"/>
        <v>12.5</v>
      </c>
      <c r="M339" s="9" t="str">
        <f t="shared" si="62"/>
        <v>0125FPC24-0</v>
      </c>
      <c r="N339" s="24">
        <f>IF($A339="","",WORKDAY($A339,Settings!$C$9,HolidayDates))</f>
        <v>46141</v>
      </c>
      <c r="O339" s="24">
        <f>IF($N339="","",WORKDAY($N339,Settings!$C$10,HolidayDates))</f>
        <v>46181</v>
      </c>
      <c r="P339" s="10" t="s">
        <v>501</v>
      </c>
      <c r="Q339" s="52" t="str">
        <f t="shared" si="64"/>
        <v>Collected</v>
      </c>
      <c r="R339" s="55" t="str">
        <f t="shared" si="65"/>
        <v>2026-04</v>
      </c>
      <c r="S339" s="55">
        <f>IF(OR($B339="",$F339="",$R339=""),"",SUMIFS(tblIssues[Qty Issued],tblIssues[Staff ID],$B339,tblIssues[Item Name],$F339,tblIssues[Month],$R339))</f>
        <v>50</v>
      </c>
      <c r="T339" s="56">
        <f>IF($I339="","",$I339*Settings!$C$11)</f>
        <v>50</v>
      </c>
      <c r="U339" s="57" t="str">
        <f t="shared" si="63"/>
        <v>OK</v>
      </c>
      <c r="V339" s="55" t="str">
        <f t="shared" si="66"/>
        <v/>
      </c>
      <c r="W339" s="55" t="str">
        <f>IF($V339="","",IF(COUNTIF($V$5:$V339,$V339)=1,1,""))</f>
        <v/>
      </c>
      <c r="X339" s="58" t="str">
        <f>IF($W339="","",MAX($X$4:X338)+1)</f>
        <v/>
      </c>
      <c r="Y339" s="62"/>
      <c r="Z339" s="62"/>
      <c r="AA339" s="64" t="str">
        <f>IF($C339="","",IFERROR(INDEX('Staff Directory'!$E$5:$E$594,MATCH($C339,'Staff Directory'!$B$5:$B$594,0)),""))</f>
        <v>firstname102.lastname102@example.com</v>
      </c>
      <c r="AB339" s="64" t="str">
        <f>IF($C339="","",IF(ISNUMBER(SEARCH($D339,Settings!$C$15)),"Pickup","Dispatch"))</f>
        <v>Pickup</v>
      </c>
      <c r="AC339" s="64" t="str">
        <f t="shared" si="67"/>
        <v>Supply order ready for pickup</v>
      </c>
      <c r="AD339" s="64" t="str">
        <f t="shared" si="58"/>
        <v>Dear PSW,
Your order is ready for pickup from Sample Branch, Wed-Fri 9am-4pm.</v>
      </c>
      <c r="AE339" s="64" t="str">
        <f t="shared" si="59"/>
        <v>mailto:firstname102.lastname102@example.com?subject=Supply%20order%20ready%20for%20pickup&amp;body=Dear%20PSW%2C%0A%0AYour%20order%20is%20ready%20for%20pickup%20from%20Sample%20Branch%2C%20Wed-Fri%209am-4pm.</v>
      </c>
      <c r="AF339" s="89" t="str">
        <f t="shared" si="68"/>
        <v>Draft email</v>
      </c>
      <c r="AG339" s="64" t="str">
        <f>IF($C339="","",IFERROR(INDEX('Staff Directory'!$K$595:$K$599,MATCH($C339,'Staff Directory'!$B$5:$B$599,0)),$D339))</f>
        <v>PSW</v>
      </c>
      <c r="AH339" t="str">
        <f>IF($C339="","",IFERROR(INDEX('Staff Directory'!$I$595:$I$599,MATCH($C339,'Staff Directory'!$B$5:$B$599,0))&amp;" "&amp;INDEX('Staff Directory'!$J$595:$J$599,MATCH($C339,'Staff Directory'!$B$5:$B$599,0)),$AG339))</f>
        <v>PSW</v>
      </c>
      <c r="AI339" s="102"/>
      <c r="AJ339" s="101">
        <f>IF($F339="","",SUMIFS($J$5:$J339,$F$5:$F339,$F339))</f>
        <v>2550</v>
      </c>
      <c r="AK339" s="101">
        <f t="shared" si="60"/>
        <v>2501</v>
      </c>
      <c r="AL339" s="66" t="str" cm="1">
        <f t="array" ref="AL339">IF($F339="","",IFERROR(INDEX('Lot Balance'!$B$5:$B$500,MATCH(1,INDEX(('Lot Balance'!$A$5:$A$500=$F339)*('Lot Balance'!$K$5:$K$500&lt;$AK339)*('Lot Balance'!$K$5:$K$500+'Lot Balance'!$D$5:$D$500&gt;=$AK339),0),0)),""))</f>
        <v>0125FPC24-0</v>
      </c>
      <c r="AM339" s="66" t="str" cm="1">
        <f t="array" ref="AM339">IF($F339="","",IFERROR(INDEX('Lot Balance'!$B$5:$B$500,MATCH(1,INDEX(('Lot Balance'!$A$5:$A$500=$F339)*('Lot Balance'!$K$5:$K$500&lt;$AJ339)*('Lot Balance'!$K$5:$K$500+'Lot Balance'!$D$5:$D$500&gt;=$AJ339),0),0)),""))</f>
        <v>0125FPC24-0</v>
      </c>
      <c r="AN339" s="66" t="str">
        <f>IF($F339="","",IF($AI339&lt;&gt;"",IF(COUNTIFS('Lot Balance'!$A$5:$A$500,$F339,'Lot Balance'!$B$5:$B$500,$AI339)=0,"⚠ override is not a lot of this item",IF($AI339=$AL339,"Override = FEFO","Override - FEFO says "&amp;$AL339)),IF($AL339="","⚠ no receipt on file for this item",IF($AM339&lt;&gt;$AL339,"FEFO auto - split, also "&amp;$AM339,"FEFO auto"))))</f>
        <v>FEFO auto</v>
      </c>
      <c r="AO339" s="114"/>
    </row>
    <row r="340" spans="1:41" x14ac:dyDescent="0.35">
      <c r="A340" s="74">
        <v>46133</v>
      </c>
      <c r="B340" s="18" t="str">
        <f>IF($C340="","",IFERROR(INDEX('Staff Directory'!$A$5:$A$594,MATCH($C340,'Staff Directory'!$B$5:$B$594,0)),"⚠ unknown staff"))</f>
        <v>PSW-043-A5</v>
      </c>
      <c r="C340" s="49" t="s">
        <v>1018</v>
      </c>
      <c r="D340" s="19" t="str">
        <f>IF($B340="","",IFERROR(INDEX('Staff Directory'!$C$5:$C$594,MATCH($B340,'Staff Directory'!$A$5:$A$594,0)),""))</f>
        <v>PSW</v>
      </c>
      <c r="E340" s="19" t="str">
        <f>IF($B340="","",IFERROR(INDEX('Staff Directory'!$D$5:$D$594,MATCH($B340,'Staff Directory'!$A$5:$A$594,0)),""))</f>
        <v>A5</v>
      </c>
      <c r="F340" s="9" t="s">
        <v>147</v>
      </c>
      <c r="G340" s="18" t="str">
        <f>IF($F340="","",IFERROR(INDEX(Items!$B$5:$B$597,MATCH($F340,Items!$A$5:$A$597,0)),"⚠ not in Items"))</f>
        <v>Apparel</v>
      </c>
      <c r="H340" s="19" t="str">
        <f>IF($F340="","",IFERROR(INDEX(Items!$C$5:$C$597,MATCH($F340,Items!$A$5:$A$597,0)),""))</f>
        <v>One Size</v>
      </c>
      <c r="I340" s="23">
        <f>IF($F340="","",IFERROR(INDEX(Items!$E$5:$E$597,MATCH($F340,Items!$A$5:$A$597,0)),""))</f>
        <v>5</v>
      </c>
      <c r="J340" s="115">
        <f>IF(tblIssues[[#This Row],[Qty Override]]&lt;&gt;"",tblIssues[[#This Row],[Qty Override]],IF(tblIssues[[#This Row],[Standard Issue]]="","",tblIssues[[#This Row],[Standard Issue]]))</f>
        <v>5</v>
      </c>
      <c r="K340" s="20">
        <f>IF($F340="","",IFERROR(INDEX(Items!$D$5:$D$597,MATCH($F340,Items!$A$5:$A$597,0)),""))</f>
        <v>3</v>
      </c>
      <c r="L340" s="21">
        <f t="shared" si="61"/>
        <v>15</v>
      </c>
      <c r="M340" s="9" t="str">
        <f t="shared" si="62"/>
        <v>YG500280</v>
      </c>
      <c r="N340" s="24">
        <f>IF($A340="","",WORKDAY($A340,Settings!$C$9,HolidayDates))</f>
        <v>46141</v>
      </c>
      <c r="O340" s="24">
        <f>IF($N340="","",WORKDAY($N340,Settings!$C$10,HolidayDates))</f>
        <v>46181</v>
      </c>
      <c r="P340" s="10" t="s">
        <v>501</v>
      </c>
      <c r="Q340" s="52" t="str">
        <f t="shared" si="64"/>
        <v>Collected</v>
      </c>
      <c r="R340" s="55" t="str">
        <f t="shared" si="65"/>
        <v>2026-04</v>
      </c>
      <c r="S340" s="55">
        <f>IF(OR($B340="",$F340="",$R340=""),"",SUMIFS(tblIssues[Qty Issued],tblIssues[Staff ID],$B340,tblIssues[Item Name],$F340,tblIssues[Month],$R340))</f>
        <v>5</v>
      </c>
      <c r="T340" s="56">
        <f>IF($I340="","",$I340*Settings!$C$11)</f>
        <v>5</v>
      </c>
      <c r="U340" s="57" t="str">
        <f t="shared" si="63"/>
        <v>OK</v>
      </c>
      <c r="V340" s="55" t="str">
        <f t="shared" si="66"/>
        <v/>
      </c>
      <c r="W340" s="55" t="str">
        <f>IF($V340="","",IF(COUNTIF($V$5:$V340,$V340)=1,1,""))</f>
        <v/>
      </c>
      <c r="X340" s="58" t="str">
        <f>IF($W340="","",MAX($X$4:X339)+1)</f>
        <v/>
      </c>
      <c r="Y340" s="62"/>
      <c r="Z340" s="62"/>
      <c r="AA340" s="64" t="str">
        <f>IF($C340="","",IFERROR(INDEX('Staff Directory'!$E$5:$E$594,MATCH($C340,'Staff Directory'!$B$5:$B$594,0)),""))</f>
        <v>firstname102.lastname102@example.com</v>
      </c>
      <c r="AB340" s="64" t="str">
        <f>IF($C340="","",IF(ISNUMBER(SEARCH($D340,Settings!$C$15)),"Pickup","Dispatch"))</f>
        <v>Pickup</v>
      </c>
      <c r="AC340" s="64" t="str">
        <f t="shared" si="67"/>
        <v>Supply order ready for pickup</v>
      </c>
      <c r="AD340" s="64" t="str">
        <f t="shared" si="58"/>
        <v>Dear PSW,
Your order is ready for pickup from Sample Branch, Wed-Fri 9am-4pm.</v>
      </c>
      <c r="AE340" s="64" t="str">
        <f t="shared" si="59"/>
        <v>mailto:firstname102.lastname102@example.com?subject=Supply%20order%20ready%20for%20pickup&amp;body=Dear%20PSW%2C%0A%0AYour%20order%20is%20ready%20for%20pickup%20from%20Sample%20Branch%2C%20Wed-Fri%209am-4pm.</v>
      </c>
      <c r="AF340" s="89" t="str">
        <f t="shared" si="68"/>
        <v>Draft email</v>
      </c>
      <c r="AG340" s="64" t="str">
        <f>IF($C340="","",IFERROR(INDEX('Staff Directory'!$K$595:$K$599,MATCH($C340,'Staff Directory'!$B$5:$B$599,0)),$D340))</f>
        <v>PSW</v>
      </c>
      <c r="AH340" t="str">
        <f>IF($C340="","",IFERROR(INDEX('Staff Directory'!$I$595:$I$599,MATCH($C340,'Staff Directory'!$B$5:$B$599,0))&amp;" "&amp;INDEX('Staff Directory'!$J$595:$J$599,MATCH($C340,'Staff Directory'!$B$5:$B$599,0)),$AG340))</f>
        <v>PSW</v>
      </c>
      <c r="AI340" s="102"/>
      <c r="AJ340" s="101">
        <f>IF($F340="","",SUMIFS($J$5:$J340,$F$5:$F340,$F340))</f>
        <v>40</v>
      </c>
      <c r="AK340" s="101">
        <f t="shared" si="60"/>
        <v>36</v>
      </c>
      <c r="AL340" s="66" t="str" cm="1">
        <f t="array" ref="AL340">IF($F340="","",IFERROR(INDEX('Lot Balance'!$B$5:$B$500,MATCH(1,INDEX(('Lot Balance'!$A$5:$A$500=$F340)*('Lot Balance'!$K$5:$K$500&lt;$AK340)*('Lot Balance'!$K$5:$K$500+'Lot Balance'!$D$5:$D$500&gt;=$AK340),0),0)),""))</f>
        <v>YG500280</v>
      </c>
      <c r="AM340" s="66" t="str" cm="1">
        <f t="array" ref="AM340">IF($F340="","",IFERROR(INDEX('Lot Balance'!$B$5:$B$500,MATCH(1,INDEX(('Lot Balance'!$A$5:$A$500=$F340)*('Lot Balance'!$K$5:$K$500&lt;$AJ340)*('Lot Balance'!$K$5:$K$500+'Lot Balance'!$D$5:$D$500&gt;=$AJ340),0),0)),""))</f>
        <v>YG500280</v>
      </c>
      <c r="AN340" s="66" t="str">
        <f>IF($F340="","",IF($AI340&lt;&gt;"",IF(COUNTIFS('Lot Balance'!$A$5:$A$500,$F340,'Lot Balance'!$B$5:$B$500,$AI340)=0,"⚠ override is not a lot of this item",IF($AI340=$AL340,"Override = FEFO","Override - FEFO says "&amp;$AL340)),IF($AL340="","⚠ no receipt on file for this item",IF($AM340&lt;&gt;$AL340,"FEFO auto - split, also "&amp;$AM340,"FEFO auto"))))</f>
        <v>FEFO auto</v>
      </c>
      <c r="AO340" s="114"/>
    </row>
    <row r="341" spans="1:41" x14ac:dyDescent="0.35">
      <c r="A341" s="74">
        <v>46133</v>
      </c>
      <c r="B341" s="18" t="str">
        <f>IF($C341="","",IFERROR(INDEX('Staff Directory'!$A$5:$A$594,MATCH($C341,'Staff Directory'!$B$5:$B$594,0)),"⚠ unknown staff"))</f>
        <v>PSW-043-A5</v>
      </c>
      <c r="C341" s="49" t="s">
        <v>1018</v>
      </c>
      <c r="D341" s="19" t="str">
        <f>IF($B341="","",IFERROR(INDEX('Staff Directory'!$C$5:$C$594,MATCH($B341,'Staff Directory'!$A$5:$A$594,0)),""))</f>
        <v>PSW</v>
      </c>
      <c r="E341" s="19" t="str">
        <f>IF($B341="","",IFERROR(INDEX('Staff Directory'!$D$5:$D$594,MATCH($B341,'Staff Directory'!$A$5:$A$594,0)),""))</f>
        <v>A5</v>
      </c>
      <c r="F341" s="9" t="s">
        <v>755</v>
      </c>
      <c r="G341" s="18" t="str">
        <f>IF($F341="","",IFERROR(INDEX(Items!$B$5:$B$597,MATCH($F341,Items!$A$5:$A$597,0)),"⚠ not in Items"))</f>
        <v>Documents</v>
      </c>
      <c r="H341" s="19" t="str">
        <f>IF($F341="","",IFERROR(INDEX(Items!$C$5:$C$597,MATCH($F341,Items!$A$5:$A$597,0)),""))</f>
        <v>Standard</v>
      </c>
      <c r="I341" s="23">
        <f>IF($F341="","",IFERROR(INDEX(Items!$E$5:$E$597,MATCH($F341,Items!$A$5:$A$597,0)),""))</f>
        <v>2</v>
      </c>
      <c r="J341" s="115">
        <f>IF(tblIssues[[#This Row],[Qty Override]]&lt;&gt;"",tblIssues[[#This Row],[Qty Override]],IF(tblIssues[[#This Row],[Standard Issue]]="","",tblIssues[[#This Row],[Standard Issue]]))</f>
        <v>2</v>
      </c>
      <c r="K341" s="20">
        <f>IF($F341="","",IFERROR(INDEX(Items!$D$5:$D$597,MATCH($F341,Items!$A$5:$A$597,0)),""))</f>
        <v>0</v>
      </c>
      <c r="L341" s="21">
        <f t="shared" si="61"/>
        <v>0</v>
      </c>
      <c r="M341" s="9" t="str">
        <f t="shared" si="62"/>
        <v/>
      </c>
      <c r="N341" s="24">
        <f>IF($A341="","",WORKDAY($A341,Settings!$C$9,HolidayDates))</f>
        <v>46141</v>
      </c>
      <c r="O341" s="24">
        <f>IF($N341="","",WORKDAY($N341,Settings!$C$10,HolidayDates))</f>
        <v>46181</v>
      </c>
      <c r="P341" s="10" t="s">
        <v>501</v>
      </c>
      <c r="Q341" s="52" t="str">
        <f t="shared" si="64"/>
        <v>Collected</v>
      </c>
      <c r="R341" s="55" t="str">
        <f t="shared" si="65"/>
        <v>2026-04</v>
      </c>
      <c r="S341" s="55">
        <f>IF(OR($B341="",$F341="",$R341=""),"",SUMIFS(tblIssues[Qty Issued],tblIssues[Staff ID],$B341,tblIssues[Item Name],$F341,tblIssues[Month],$R341))</f>
        <v>2</v>
      </c>
      <c r="T341" s="56">
        <f>IF($I341="","",$I341*Settings!$C$11)</f>
        <v>2</v>
      </c>
      <c r="U341" s="57" t="str">
        <f t="shared" si="63"/>
        <v>OK</v>
      </c>
      <c r="V341" s="55" t="str">
        <f t="shared" si="66"/>
        <v/>
      </c>
      <c r="W341" s="55" t="str">
        <f>IF($V341="","",IF(COUNTIF($V$5:$V341,$V341)=1,1,""))</f>
        <v/>
      </c>
      <c r="X341" s="58" t="str">
        <f>IF($W341="","",MAX($X$4:X340)+1)</f>
        <v/>
      </c>
      <c r="Y341" s="62"/>
      <c r="Z341" s="62"/>
      <c r="AA341" s="64" t="str">
        <f>IF($C341="","",IFERROR(INDEX('Staff Directory'!$E$5:$E$594,MATCH($C341,'Staff Directory'!$B$5:$B$594,0)),""))</f>
        <v>firstname102.lastname102@example.com</v>
      </c>
      <c r="AB341" s="64" t="str">
        <f>IF($C341="","",IF(ISNUMBER(SEARCH($D341,Settings!$C$15)),"Pickup","Dispatch"))</f>
        <v>Pickup</v>
      </c>
      <c r="AC341" s="64" t="str">
        <f t="shared" si="67"/>
        <v>Supply order ready for pickup</v>
      </c>
      <c r="AD341" s="64" t="str">
        <f t="shared" si="58"/>
        <v>Dear PSW,
Your order is ready for pickup from Sample Branch, Wed-Fri 9am-4pm.</v>
      </c>
      <c r="AE341" s="64" t="str">
        <f t="shared" si="59"/>
        <v>mailto:firstname102.lastname102@example.com?subject=Supply%20order%20ready%20for%20pickup&amp;body=Dear%20PSW%2C%0A%0AYour%20order%20is%20ready%20for%20pickup%20from%20Sample%20Branch%2C%20Wed-Fri%209am-4pm.</v>
      </c>
      <c r="AF341" s="89" t="str">
        <f t="shared" si="68"/>
        <v>Draft email</v>
      </c>
      <c r="AG341" s="64" t="str">
        <f>IF($C341="","",IFERROR(INDEX('Staff Directory'!$K$595:$K$599,MATCH($C341,'Staff Directory'!$B$5:$B$599,0)),$D341))</f>
        <v>PSW</v>
      </c>
      <c r="AH341" t="str">
        <f>IF($C341="","",IFERROR(INDEX('Staff Directory'!$I$595:$I$599,MATCH($C341,'Staff Directory'!$B$5:$B$599,0))&amp;" "&amp;INDEX('Staff Directory'!$J$595:$J$599,MATCH($C341,'Staff Directory'!$B$5:$B$599,0)),$AG341))</f>
        <v>PSW</v>
      </c>
      <c r="AI341" s="102"/>
      <c r="AJ341" s="101">
        <f>IF($F341="","",SUMIFS($J$5:$J341,$F$5:$F341,$F341))</f>
        <v>90</v>
      </c>
      <c r="AK341" s="101">
        <f t="shared" si="60"/>
        <v>89</v>
      </c>
      <c r="AL341" s="66" t="str" cm="1">
        <f t="array" ref="AL341">IF($F341="","",IFERROR(INDEX('Lot Balance'!$B$5:$B$500,MATCH(1,INDEX(('Lot Balance'!$A$5:$A$500=$F341)*('Lot Balance'!$K$5:$K$500&lt;$AK341)*('Lot Balance'!$K$5:$K$500+'Lot Balance'!$D$5:$D$500&gt;=$AK341),0),0)),""))</f>
        <v/>
      </c>
      <c r="AM341" s="66" t="str" cm="1">
        <f t="array" ref="AM341">IF($F341="","",IFERROR(INDEX('Lot Balance'!$B$5:$B$500,MATCH(1,INDEX(('Lot Balance'!$A$5:$A$500=$F341)*('Lot Balance'!$K$5:$K$500&lt;$AJ341)*('Lot Balance'!$K$5:$K$500+'Lot Balance'!$D$5:$D$500&gt;=$AJ341),0),0)),""))</f>
        <v/>
      </c>
      <c r="AN341" s="66" t="str">
        <f>IF($F341="","",IF($AI341&lt;&gt;"",IF(COUNTIFS('Lot Balance'!$A$5:$A$500,$F341,'Lot Balance'!$B$5:$B$500,$AI341)=0,"⚠ override is not a lot of this item",IF($AI341=$AL341,"Override = FEFO","Override - FEFO says "&amp;$AL341)),IF($AL341="","⚠ no receipt on file for this item",IF($AM341&lt;&gt;$AL341,"FEFO auto - split, also "&amp;$AM341,"FEFO auto"))))</f>
        <v>⚠ no receipt on file for this item</v>
      </c>
      <c r="AO341" s="114"/>
    </row>
    <row r="342" spans="1:41" x14ac:dyDescent="0.35">
      <c r="A342" s="74">
        <v>46133</v>
      </c>
      <c r="B342" s="18" t="str">
        <f>IF($C342="","",IFERROR(INDEX('Staff Directory'!$A$5:$A$594,MATCH($C342,'Staff Directory'!$B$5:$B$594,0)),"⚠ unknown staff"))</f>
        <v>PSW-169-A6</v>
      </c>
      <c r="C342" s="49" t="s">
        <v>1148</v>
      </c>
      <c r="D342" s="19" t="str">
        <f>IF($B342="","",IFERROR(INDEX('Staff Directory'!$C$5:$C$594,MATCH($B342,'Staff Directory'!$A$5:$A$594,0)),""))</f>
        <v>PSW</v>
      </c>
      <c r="E342" s="19" t="str">
        <f>IF($B342="","",IFERROR(INDEX('Staff Directory'!$D$5:$D$594,MATCH($B342,'Staff Directory'!$A$5:$A$594,0)),""))</f>
        <v>A6</v>
      </c>
      <c r="F342" s="9" t="s">
        <v>129</v>
      </c>
      <c r="G342" s="18" t="str">
        <f>IF($F342="","",IFERROR(INDEX(Items!$B$5:$B$597,MATCH($F342,Items!$A$5:$A$597,0)),"⚠ not in Items"))</f>
        <v>Gloves</v>
      </c>
      <c r="H342" s="19" t="str">
        <f>IF($F342="","",IFERROR(INDEX(Items!$C$5:$C$597,MATCH($F342,Items!$A$5:$A$597,0)),""))</f>
        <v>Small</v>
      </c>
      <c r="I342" s="23">
        <f>IF($F342="","",IFERROR(INDEX(Items!$E$5:$E$597,MATCH($F342,Items!$A$5:$A$597,0)),""))</f>
        <v>500</v>
      </c>
      <c r="J342" s="115">
        <f>IF(tblIssues[[#This Row],[Qty Override]]&lt;&gt;"",tblIssues[[#This Row],[Qty Override]],IF(tblIssues[[#This Row],[Standard Issue]]="","",tblIssues[[#This Row],[Standard Issue]]))</f>
        <v>500</v>
      </c>
      <c r="K342" s="20">
        <f>IF($F342="","",IFERROR(INDEX(Items!$D$5:$D$597,MATCH($F342,Items!$A$5:$A$597,0)),""))</f>
        <v>5.5E-2</v>
      </c>
      <c r="L342" s="21">
        <f t="shared" si="61"/>
        <v>27.5</v>
      </c>
      <c r="M342" s="9" t="str">
        <f t="shared" si="62"/>
        <v>ZIM504124207-5</v>
      </c>
      <c r="N342" s="24">
        <f>IF($A342="","",WORKDAY($A342,Settings!$C$9,HolidayDates))</f>
        <v>46141</v>
      </c>
      <c r="O342" s="24">
        <f>IF($N342="","",WORKDAY($N342,Settings!$C$10,HolidayDates))</f>
        <v>46181</v>
      </c>
      <c r="P342" s="10" t="s">
        <v>501</v>
      </c>
      <c r="Q342" s="52" t="str">
        <f t="shared" si="64"/>
        <v>Collected</v>
      </c>
      <c r="R342" s="55" t="str">
        <f t="shared" si="65"/>
        <v>2026-04</v>
      </c>
      <c r="S342" s="55">
        <f>IF(OR($B342="",$F342="",$R342=""),"",SUMIFS(tblIssues[Qty Issued],tblIssues[Staff ID],$B342,tblIssues[Item Name],$F342,tblIssues[Month],$R342))</f>
        <v>500</v>
      </c>
      <c r="T342" s="56">
        <f>IF($I342="","",$I342*Settings!$C$11)</f>
        <v>500</v>
      </c>
      <c r="U342" s="57" t="str">
        <f t="shared" si="63"/>
        <v>OK</v>
      </c>
      <c r="V342" s="55" t="str">
        <f t="shared" si="66"/>
        <v/>
      </c>
      <c r="W342" s="55" t="str">
        <f>IF($V342="","",IF(COUNTIF($V$5:$V342,$V342)=1,1,""))</f>
        <v/>
      </c>
      <c r="X342" s="58" t="str">
        <f>IF($W342="","",MAX($X$4:X341)+1)</f>
        <v/>
      </c>
      <c r="Y342" s="62"/>
      <c r="Z342" s="62"/>
      <c r="AA342" s="64" t="str">
        <f>IF($C342="","",IFERROR(INDEX('Staff Directory'!$E$5:$E$594,MATCH($C342,'Staff Directory'!$B$5:$B$594,0)),""))</f>
        <v>firstname232.lastname232@example.com</v>
      </c>
      <c r="AB342" s="64" t="str">
        <f>IF($C342="","",IF(ISNUMBER(SEARCH($D342,Settings!$C$15)),"Pickup","Dispatch"))</f>
        <v>Pickup</v>
      </c>
      <c r="AC342" s="64" t="str">
        <f t="shared" si="67"/>
        <v>Supply order ready for pickup</v>
      </c>
      <c r="AD342" s="64" t="str">
        <f t="shared" si="58"/>
        <v>Dear PSW,
Your order is ready for pickup from Sample Branch, Wed-Fri 9am-4pm.</v>
      </c>
      <c r="AE342" s="64" t="str">
        <f t="shared" si="59"/>
        <v>mailto:firstname232.lastname232@example.com?subject=Supply%20order%20ready%20for%20pickup&amp;body=Dear%20PSW%2C%0A%0AYour%20order%20is%20ready%20for%20pickup%20from%20Sample%20Branch%2C%20Wed-Fri%209am-4pm.</v>
      </c>
      <c r="AF342" s="89" t="str">
        <f t="shared" si="68"/>
        <v>Draft email</v>
      </c>
      <c r="AG342" s="64" t="str">
        <f>IF($C342="","",IFERROR(INDEX('Staff Directory'!$K$595:$K$599,MATCH($C342,'Staff Directory'!$B$5:$B$599,0)),$D342))</f>
        <v>PSW</v>
      </c>
      <c r="AH342" t="str">
        <f>IF($C342="","",IFERROR(INDEX('Staff Directory'!$I$595:$I$599,MATCH($C342,'Staff Directory'!$B$5:$B$599,0))&amp;" "&amp;INDEX('Staff Directory'!$J$595:$J$599,MATCH($C342,'Staff Directory'!$B$5:$B$599,0)),$AG342))</f>
        <v>PSW</v>
      </c>
      <c r="AI342" s="102"/>
      <c r="AJ342" s="101">
        <f>IF($F342="","",SUMIFS($J$5:$J342,$F$5:$F342,$F342))</f>
        <v>12500</v>
      </c>
      <c r="AK342" s="101">
        <f t="shared" si="60"/>
        <v>12001</v>
      </c>
      <c r="AL342" s="66" t="str" cm="1">
        <f t="array" ref="AL342">IF($F342="","",IFERROR(INDEX('Lot Balance'!$B$5:$B$500,MATCH(1,INDEX(('Lot Balance'!$A$5:$A$500=$F342)*('Lot Balance'!$K$5:$K$500&lt;$AK342)*('Lot Balance'!$K$5:$K$500+'Lot Balance'!$D$5:$D$500&gt;=$AK342),0),0)),""))</f>
        <v>ZIM504124207-5</v>
      </c>
      <c r="AM342" s="66" t="str" cm="1">
        <f t="array" ref="AM342">IF($F342="","",IFERROR(INDEX('Lot Balance'!$B$5:$B$500,MATCH(1,INDEX(('Lot Balance'!$A$5:$A$500=$F342)*('Lot Balance'!$K$5:$K$500&lt;$AJ342)*('Lot Balance'!$K$5:$K$500+'Lot Balance'!$D$5:$D$500&gt;=$AJ342),0),0)),""))</f>
        <v>ZIM504124207-5</v>
      </c>
      <c r="AN342" s="66" t="str">
        <f>IF($F342="","",IF($AI342&lt;&gt;"",IF(COUNTIFS('Lot Balance'!$A$5:$A$500,$F342,'Lot Balance'!$B$5:$B$500,$AI342)=0,"⚠ override is not a lot of this item",IF($AI342=$AL342,"Override = FEFO","Override - FEFO says "&amp;$AL342)),IF($AL342="","⚠ no receipt on file for this item",IF($AM342&lt;&gt;$AL342,"FEFO auto - split, also "&amp;$AM342,"FEFO auto"))))</f>
        <v>FEFO auto</v>
      </c>
      <c r="AO342" s="114"/>
    </row>
    <row r="343" spans="1:41" x14ac:dyDescent="0.35">
      <c r="A343" s="74">
        <v>46133</v>
      </c>
      <c r="B343" s="18" t="str">
        <f>IF($C343="","",IFERROR(INDEX('Staff Directory'!$A$5:$A$594,MATCH($C343,'Staff Directory'!$B$5:$B$594,0)),"⚠ unknown staff"))</f>
        <v>PSW-169-A6</v>
      </c>
      <c r="C343" s="49" t="s">
        <v>1148</v>
      </c>
      <c r="D343" s="19" t="str">
        <f>IF($B343="","",IFERROR(INDEX('Staff Directory'!$C$5:$C$594,MATCH($B343,'Staff Directory'!$A$5:$A$594,0)),""))</f>
        <v>PSW</v>
      </c>
      <c r="E343" s="19" t="str">
        <f>IF($B343="","",IFERROR(INDEX('Staff Directory'!$D$5:$D$594,MATCH($B343,'Staff Directory'!$A$5:$A$594,0)),""))</f>
        <v>A6</v>
      </c>
      <c r="F343" s="9" t="s">
        <v>191</v>
      </c>
      <c r="G343" s="18" t="str">
        <f>IF($F343="","",IFERROR(INDEX(Items!$B$5:$B$597,MATCH($F343,Items!$A$5:$A$597,0)),"⚠ not in Items"))</f>
        <v>Sanitizer</v>
      </c>
      <c r="H343" s="19" t="str">
        <f>IF($F343="","",IFERROR(INDEX(Items!$C$5:$C$597,MATCH($F343,Items!$A$5:$A$597,0)),""))</f>
        <v>236 ML</v>
      </c>
      <c r="I343" s="23">
        <f>IF($F343="","",IFERROR(INDEX(Items!$E$5:$E$597,MATCH($F343,Items!$A$5:$A$597,0)),""))</f>
        <v>1</v>
      </c>
      <c r="J343" s="115">
        <f>IF(tblIssues[[#This Row],[Qty Override]]&lt;&gt;"",tblIssues[[#This Row],[Qty Override]],IF(tblIssues[[#This Row],[Standard Issue]]="","",tblIssues[[#This Row],[Standard Issue]]))</f>
        <v>1</v>
      </c>
      <c r="K343" s="20">
        <f>IF($F343="","",IFERROR(INDEX(Items!$D$5:$D$597,MATCH($F343,Items!$A$5:$A$597,0)),""))</f>
        <v>1E-4</v>
      </c>
      <c r="L343" s="21">
        <f t="shared" si="61"/>
        <v>1E-4</v>
      </c>
      <c r="M343" s="9" t="str">
        <f t="shared" si="62"/>
        <v>20-21734-1</v>
      </c>
      <c r="N343" s="24">
        <f>IF($A343="","",WORKDAY($A343,Settings!$C$9,HolidayDates))</f>
        <v>46141</v>
      </c>
      <c r="O343" s="24">
        <f>IF($N343="","",WORKDAY($N343,Settings!$C$10,HolidayDates))</f>
        <v>46181</v>
      </c>
      <c r="P343" s="10" t="s">
        <v>501</v>
      </c>
      <c r="Q343" s="52" t="str">
        <f t="shared" si="64"/>
        <v>Collected</v>
      </c>
      <c r="R343" s="55" t="str">
        <f t="shared" si="65"/>
        <v>2026-04</v>
      </c>
      <c r="S343" s="55">
        <f>IF(OR($B343="",$F343="",$R343=""),"",SUMIFS(tblIssues[Qty Issued],tblIssues[Staff ID],$B343,tblIssues[Item Name],$F343,tblIssues[Month],$R343))</f>
        <v>1</v>
      </c>
      <c r="T343" s="56">
        <f>IF($I343="","",$I343*Settings!$C$11)</f>
        <v>1</v>
      </c>
      <c r="U343" s="57" t="str">
        <f t="shared" si="63"/>
        <v>OK</v>
      </c>
      <c r="V343" s="55" t="str">
        <f t="shared" si="66"/>
        <v/>
      </c>
      <c r="W343" s="55" t="str">
        <f>IF($V343="","",IF(COUNTIF($V$5:$V343,$V343)=1,1,""))</f>
        <v/>
      </c>
      <c r="X343" s="58" t="str">
        <f>IF($W343="","",MAX($X$4:X342)+1)</f>
        <v/>
      </c>
      <c r="Y343" s="62"/>
      <c r="Z343" s="62"/>
      <c r="AA343" s="64" t="str">
        <f>IF($C343="","",IFERROR(INDEX('Staff Directory'!$E$5:$E$594,MATCH($C343,'Staff Directory'!$B$5:$B$594,0)),""))</f>
        <v>firstname232.lastname232@example.com</v>
      </c>
      <c r="AB343" s="64" t="str">
        <f>IF($C343="","",IF(ISNUMBER(SEARCH($D343,Settings!$C$15)),"Pickup","Dispatch"))</f>
        <v>Pickup</v>
      </c>
      <c r="AC343" s="64" t="str">
        <f t="shared" si="67"/>
        <v>Supply order ready for pickup</v>
      </c>
      <c r="AD343" s="64" t="str">
        <f t="shared" si="58"/>
        <v>Dear PSW,
Your order is ready for pickup from Sample Branch, Wed-Fri 9am-4pm.</v>
      </c>
      <c r="AE343" s="64" t="str">
        <f t="shared" si="59"/>
        <v>mailto:firstname232.lastname232@example.com?subject=Supply%20order%20ready%20for%20pickup&amp;body=Dear%20PSW%2C%0A%0AYour%20order%20is%20ready%20for%20pickup%20from%20Sample%20Branch%2C%20Wed-Fri%209am-4pm.</v>
      </c>
      <c r="AF343" s="89" t="str">
        <f t="shared" si="68"/>
        <v>Draft email</v>
      </c>
      <c r="AG343" s="64" t="str">
        <f>IF($C343="","",IFERROR(INDEX('Staff Directory'!$K$595:$K$599,MATCH($C343,'Staff Directory'!$B$5:$B$599,0)),$D343))</f>
        <v>PSW</v>
      </c>
      <c r="AH343" t="str">
        <f>IF($C343="","",IFERROR(INDEX('Staff Directory'!$I$595:$I$599,MATCH($C343,'Staff Directory'!$B$5:$B$599,0))&amp;" "&amp;INDEX('Staff Directory'!$J$595:$J$599,MATCH($C343,'Staff Directory'!$B$5:$B$599,0)),$AG343))</f>
        <v>PSW</v>
      </c>
      <c r="AI343" s="102"/>
      <c r="AJ343" s="101">
        <f>IF($F343="","",SUMIFS($J$5:$J343,$F$5:$F343,$F343))</f>
        <v>22</v>
      </c>
      <c r="AK343" s="101">
        <f t="shared" si="60"/>
        <v>22</v>
      </c>
      <c r="AL343" s="66" t="str" cm="1">
        <f t="array" ref="AL343">IF($F343="","",IFERROR(INDEX('Lot Balance'!$B$5:$B$500,MATCH(1,INDEX(('Lot Balance'!$A$5:$A$500=$F343)*('Lot Balance'!$K$5:$K$500&lt;$AK343)*('Lot Balance'!$K$5:$K$500+'Lot Balance'!$D$5:$D$500&gt;=$AK343),0),0)),""))</f>
        <v>20-21734-1</v>
      </c>
      <c r="AM343" s="66" t="str" cm="1">
        <f t="array" ref="AM343">IF($F343="","",IFERROR(INDEX('Lot Balance'!$B$5:$B$500,MATCH(1,INDEX(('Lot Balance'!$A$5:$A$500=$F343)*('Lot Balance'!$K$5:$K$500&lt;$AJ343)*('Lot Balance'!$K$5:$K$500+'Lot Balance'!$D$5:$D$500&gt;=$AJ343),0),0)),""))</f>
        <v>20-21734-1</v>
      </c>
      <c r="AN343" s="66" t="str">
        <f>IF($F343="","",IF($AI343&lt;&gt;"",IF(COUNTIFS('Lot Balance'!$A$5:$A$500,$F343,'Lot Balance'!$B$5:$B$500,$AI343)=0,"⚠ override is not a lot of this item",IF($AI343=$AL343,"Override = FEFO","Override - FEFO says "&amp;$AL343)),IF($AL343="","⚠ no receipt on file for this item",IF($AM343&lt;&gt;$AL343,"FEFO auto - split, also "&amp;$AM343,"FEFO auto"))))</f>
        <v>FEFO auto</v>
      </c>
      <c r="AO343" s="114"/>
    </row>
    <row r="344" spans="1:41" x14ac:dyDescent="0.35">
      <c r="A344" s="74">
        <v>46133</v>
      </c>
      <c r="B344" s="18" t="str">
        <f>IF($C344="","",IFERROR(INDEX('Staff Directory'!$A$5:$A$594,MATCH($C344,'Staff Directory'!$B$5:$B$594,0)),"⚠ unknown staff"))</f>
        <v>PSW-169-A6</v>
      </c>
      <c r="C344" s="49" t="s">
        <v>1148</v>
      </c>
      <c r="D344" s="19" t="str">
        <f>IF($B344="","",IFERROR(INDEX('Staff Directory'!$C$5:$C$594,MATCH($B344,'Staff Directory'!$A$5:$A$594,0)),""))</f>
        <v>PSW</v>
      </c>
      <c r="E344" s="19" t="str">
        <f>IF($B344="","",IFERROR(INDEX('Staff Directory'!$D$5:$D$594,MATCH($B344,'Staff Directory'!$A$5:$A$594,0)),""))</f>
        <v>A6</v>
      </c>
      <c r="F344" s="9" t="s">
        <v>115</v>
      </c>
      <c r="G344" s="18" t="str">
        <f>IF($F344="","",IFERROR(INDEX(Items!$B$5:$B$597,MATCH($F344,Items!$A$5:$A$597,0)),"⚠ not in Items"))</f>
        <v>Wipes</v>
      </c>
      <c r="H344" s="19">
        <f>IF($F344="","",IFERROR(INDEX(Items!$C$5:$C$597,MATCH($F344,Items!$A$5:$A$597,0)),""))</f>
        <v>80</v>
      </c>
      <c r="I344" s="23">
        <f>IF($F344="","",IFERROR(INDEX(Items!$E$5:$E$597,MATCH($F344,Items!$A$5:$A$597,0)),""))</f>
        <v>80</v>
      </c>
      <c r="J344" s="115">
        <f>IF(tblIssues[[#This Row],[Qty Override]]&lt;&gt;"",tblIssues[[#This Row],[Qty Override]],IF(tblIssues[[#This Row],[Standard Issue]]="","",tblIssues[[#This Row],[Standard Issue]]))</f>
        <v>80</v>
      </c>
      <c r="K344" s="20">
        <f>IF($F344="","",IFERROR(INDEX(Items!$D$5:$D$597,MATCH($F344,Items!$A$5:$A$597,0)),""))</f>
        <v>0.1</v>
      </c>
      <c r="L344" s="21">
        <f t="shared" si="61"/>
        <v>8</v>
      </c>
      <c r="M344" s="9" t="str">
        <f t="shared" si="62"/>
        <v>LYSL500290</v>
      </c>
      <c r="N344" s="24">
        <f>IF($A344="","",WORKDAY($A344,Settings!$C$9,HolidayDates))</f>
        <v>46141</v>
      </c>
      <c r="O344" s="24">
        <f>IF($N344="","",WORKDAY($N344,Settings!$C$10,HolidayDates))</f>
        <v>46181</v>
      </c>
      <c r="P344" s="10" t="s">
        <v>501</v>
      </c>
      <c r="Q344" s="52" t="str">
        <f t="shared" si="64"/>
        <v>Collected</v>
      </c>
      <c r="R344" s="55" t="str">
        <f t="shared" si="65"/>
        <v>2026-04</v>
      </c>
      <c r="S344" s="55">
        <f>IF(OR($B344="",$F344="",$R344=""),"",SUMIFS(tblIssues[Qty Issued],tblIssues[Staff ID],$B344,tblIssues[Item Name],$F344,tblIssues[Month],$R344))</f>
        <v>80</v>
      </c>
      <c r="T344" s="56">
        <f>IF($I344="","",$I344*Settings!$C$11)</f>
        <v>80</v>
      </c>
      <c r="U344" s="57" t="str">
        <f t="shared" si="63"/>
        <v>OK</v>
      </c>
      <c r="V344" s="55" t="str">
        <f t="shared" si="66"/>
        <v/>
      </c>
      <c r="W344" s="55" t="str">
        <f>IF($V344="","",IF(COUNTIF($V$5:$V344,$V344)=1,1,""))</f>
        <v/>
      </c>
      <c r="X344" s="58" t="str">
        <f>IF($W344="","",MAX($X$4:X343)+1)</f>
        <v/>
      </c>
      <c r="Y344" s="62"/>
      <c r="Z344" s="62"/>
      <c r="AA344" s="64" t="str">
        <f>IF($C344="","",IFERROR(INDEX('Staff Directory'!$E$5:$E$594,MATCH($C344,'Staff Directory'!$B$5:$B$594,0)),""))</f>
        <v>firstname232.lastname232@example.com</v>
      </c>
      <c r="AB344" s="64" t="str">
        <f>IF($C344="","",IF(ISNUMBER(SEARCH($D344,Settings!$C$15)),"Pickup","Dispatch"))</f>
        <v>Pickup</v>
      </c>
      <c r="AC344" s="64" t="str">
        <f t="shared" si="67"/>
        <v>Supply order ready for pickup</v>
      </c>
      <c r="AD344" s="64" t="str">
        <f t="shared" si="58"/>
        <v>Dear PSW,
Your order is ready for pickup from Sample Branch, Wed-Fri 9am-4pm.</v>
      </c>
      <c r="AE344" s="64" t="str">
        <f t="shared" si="59"/>
        <v>mailto:firstname232.lastname232@example.com?subject=Supply%20order%20ready%20for%20pickup&amp;body=Dear%20PSW%2C%0A%0AYour%20order%20is%20ready%20for%20pickup%20from%20Sample%20Branch%2C%20Wed-Fri%209am-4pm.</v>
      </c>
      <c r="AF344" s="89" t="str">
        <f t="shared" si="68"/>
        <v>Draft email</v>
      </c>
      <c r="AG344" s="64" t="str">
        <f>IF($C344="","",IFERROR(INDEX('Staff Directory'!$K$595:$K$599,MATCH($C344,'Staff Directory'!$B$5:$B$599,0)),$D344))</f>
        <v>PSW</v>
      </c>
      <c r="AH344" t="str">
        <f>IF($C344="","",IFERROR(INDEX('Staff Directory'!$I$595:$I$599,MATCH($C344,'Staff Directory'!$B$5:$B$599,0))&amp;" "&amp;INDEX('Staff Directory'!$J$595:$J$599,MATCH($C344,'Staff Directory'!$B$5:$B$599,0)),$AG344))</f>
        <v>PSW</v>
      </c>
      <c r="AI344" s="102"/>
      <c r="AJ344" s="101">
        <f>IF($F344="","",SUMIFS($J$5:$J344,$F$5:$F344,$F344))</f>
        <v>4640</v>
      </c>
      <c r="AK344" s="101">
        <f t="shared" si="60"/>
        <v>4561</v>
      </c>
      <c r="AL344" s="66" t="str" cm="1">
        <f t="array" ref="AL344">IF($F344="","",IFERROR(INDEX('Lot Balance'!$B$5:$B$500,MATCH(1,INDEX(('Lot Balance'!$A$5:$A$500=$F344)*('Lot Balance'!$K$5:$K$500&lt;$AK344)*('Lot Balance'!$K$5:$K$500+'Lot Balance'!$D$5:$D$500&gt;=$AK344),0),0)),""))</f>
        <v>LYSL500290</v>
      </c>
      <c r="AM344" s="66" t="str" cm="1">
        <f t="array" ref="AM344">IF($F344="","",IFERROR(INDEX('Lot Balance'!$B$5:$B$500,MATCH(1,INDEX(('Lot Balance'!$A$5:$A$500=$F344)*('Lot Balance'!$K$5:$K$500&lt;$AJ344)*('Lot Balance'!$K$5:$K$500+'Lot Balance'!$D$5:$D$500&gt;=$AJ344),0),0)),""))</f>
        <v>LYSL500290</v>
      </c>
      <c r="AN344" s="66" t="str">
        <f>IF($F344="","",IF($AI344&lt;&gt;"",IF(COUNTIFS('Lot Balance'!$A$5:$A$500,$F344,'Lot Balance'!$B$5:$B$500,$AI344)=0,"⚠ override is not a lot of this item",IF($AI344=$AL344,"Override = FEFO","Override - FEFO says "&amp;$AL344)),IF($AL344="","⚠ no receipt on file for this item",IF($AM344&lt;&gt;$AL344,"FEFO auto - split, also "&amp;$AM344,"FEFO auto"))))</f>
        <v>FEFO auto</v>
      </c>
      <c r="AO344" s="114"/>
    </row>
    <row r="345" spans="1:41" x14ac:dyDescent="0.35">
      <c r="A345" s="74">
        <v>46133</v>
      </c>
      <c r="B345" s="18" t="str">
        <f>IF($C345="","",IFERROR(INDEX('Staff Directory'!$A$5:$A$594,MATCH($C345,'Staff Directory'!$B$5:$B$594,0)),"⚠ unknown staff"))</f>
        <v>PSW-169-A6</v>
      </c>
      <c r="C345" s="49" t="s">
        <v>1148</v>
      </c>
      <c r="D345" s="19" t="str">
        <f>IF($B345="","",IFERROR(INDEX('Staff Directory'!$C$5:$C$594,MATCH($B345,'Staff Directory'!$A$5:$A$594,0)),""))</f>
        <v>PSW</v>
      </c>
      <c r="E345" s="19" t="str">
        <f>IF($B345="","",IFERROR(INDEX('Staff Directory'!$D$5:$D$594,MATCH($B345,'Staff Directory'!$A$5:$A$594,0)),""))</f>
        <v>A6</v>
      </c>
      <c r="F345" s="9" t="s">
        <v>156</v>
      </c>
      <c r="G345" s="18" t="str">
        <f>IF($F345="","",IFERROR(INDEX(Items!$B$5:$B$597,MATCH($F345,Items!$A$5:$A$597,0)),"⚠ not in Items"))</f>
        <v>Masks</v>
      </c>
      <c r="H345" s="19" t="str">
        <f>IF($F345="","",IFERROR(INDEX(Items!$C$5:$C$597,MATCH($F345,Items!$A$5:$A$597,0)),""))</f>
        <v>One Size</v>
      </c>
      <c r="I345" s="23">
        <f>IF($F345="","",IFERROR(INDEX(Items!$E$5:$E$597,MATCH($F345,Items!$A$5:$A$597,0)),""))</f>
        <v>50</v>
      </c>
      <c r="J345" s="115">
        <f>IF(tblIssues[[#This Row],[Qty Override]]&lt;&gt;"",tblIssues[[#This Row],[Qty Override]],IF(tblIssues[[#This Row],[Standard Issue]]="","",tblIssues[[#This Row],[Standard Issue]]))</f>
        <v>50</v>
      </c>
      <c r="K345" s="20">
        <f>IF($F345="","",IFERROR(INDEX(Items!$D$5:$D$597,MATCH($F345,Items!$A$5:$A$597,0)),""))</f>
        <v>0.25</v>
      </c>
      <c r="L345" s="21">
        <f t="shared" si="61"/>
        <v>12.5</v>
      </c>
      <c r="M345" s="9" t="str">
        <f t="shared" si="62"/>
        <v>0125FPC24-0</v>
      </c>
      <c r="N345" s="24">
        <f>IF($A345="","",WORKDAY($A345,Settings!$C$9,HolidayDates))</f>
        <v>46141</v>
      </c>
      <c r="O345" s="24">
        <f>IF($N345="","",WORKDAY($N345,Settings!$C$10,HolidayDates))</f>
        <v>46181</v>
      </c>
      <c r="P345" s="10" t="s">
        <v>501</v>
      </c>
      <c r="Q345" s="52" t="str">
        <f t="shared" si="64"/>
        <v>Collected</v>
      </c>
      <c r="R345" s="55" t="str">
        <f t="shared" si="65"/>
        <v>2026-04</v>
      </c>
      <c r="S345" s="55">
        <f>IF(OR($B345="",$F345="",$R345=""),"",SUMIFS(tblIssues[Qty Issued],tblIssues[Staff ID],$B345,tblIssues[Item Name],$F345,tblIssues[Month],$R345))</f>
        <v>50</v>
      </c>
      <c r="T345" s="56">
        <f>IF($I345="","",$I345*Settings!$C$11)</f>
        <v>50</v>
      </c>
      <c r="U345" s="57" t="str">
        <f t="shared" si="63"/>
        <v>OK</v>
      </c>
      <c r="V345" s="55" t="str">
        <f t="shared" si="66"/>
        <v/>
      </c>
      <c r="W345" s="55" t="str">
        <f>IF($V345="","",IF(COUNTIF($V$5:$V345,$V345)=1,1,""))</f>
        <v/>
      </c>
      <c r="X345" s="58" t="str">
        <f>IF($W345="","",MAX($X$4:X344)+1)</f>
        <v/>
      </c>
      <c r="Y345" s="62"/>
      <c r="Z345" s="62"/>
      <c r="AA345" s="64" t="str">
        <f>IF($C345="","",IFERROR(INDEX('Staff Directory'!$E$5:$E$594,MATCH($C345,'Staff Directory'!$B$5:$B$594,0)),""))</f>
        <v>firstname232.lastname232@example.com</v>
      </c>
      <c r="AB345" s="64" t="str">
        <f>IF($C345="","",IF(ISNUMBER(SEARCH($D345,Settings!$C$15)),"Pickup","Dispatch"))</f>
        <v>Pickup</v>
      </c>
      <c r="AC345" s="64" t="str">
        <f t="shared" si="67"/>
        <v>Supply order ready for pickup</v>
      </c>
      <c r="AD345" s="64" t="str">
        <f t="shared" si="58"/>
        <v>Dear PSW,
Your order is ready for pickup from Sample Branch, Wed-Fri 9am-4pm.</v>
      </c>
      <c r="AE345" s="64" t="str">
        <f t="shared" si="59"/>
        <v>mailto:firstname232.lastname232@example.com?subject=Supply%20order%20ready%20for%20pickup&amp;body=Dear%20PSW%2C%0A%0AYour%20order%20is%20ready%20for%20pickup%20from%20Sample%20Branch%2C%20Wed-Fri%209am-4pm.</v>
      </c>
      <c r="AF345" s="89" t="str">
        <f t="shared" si="68"/>
        <v>Draft email</v>
      </c>
      <c r="AG345" s="64" t="str">
        <f>IF($C345="","",IFERROR(INDEX('Staff Directory'!$K$595:$K$599,MATCH($C345,'Staff Directory'!$B$5:$B$599,0)),$D345))</f>
        <v>PSW</v>
      </c>
      <c r="AH345" t="str">
        <f>IF($C345="","",IFERROR(INDEX('Staff Directory'!$I$595:$I$599,MATCH($C345,'Staff Directory'!$B$5:$B$599,0))&amp;" "&amp;INDEX('Staff Directory'!$J$595:$J$599,MATCH($C345,'Staff Directory'!$B$5:$B$599,0)),$AG345))</f>
        <v>PSW</v>
      </c>
      <c r="AI345" s="102"/>
      <c r="AJ345" s="101">
        <f>IF($F345="","",SUMIFS($J$5:$J345,$F$5:$F345,$F345))</f>
        <v>2600</v>
      </c>
      <c r="AK345" s="101">
        <f t="shared" si="60"/>
        <v>2551</v>
      </c>
      <c r="AL345" s="66" t="str" cm="1">
        <f t="array" ref="AL345">IF($F345="","",IFERROR(INDEX('Lot Balance'!$B$5:$B$500,MATCH(1,INDEX(('Lot Balance'!$A$5:$A$500=$F345)*('Lot Balance'!$K$5:$K$500&lt;$AK345)*('Lot Balance'!$K$5:$K$500+'Lot Balance'!$D$5:$D$500&gt;=$AK345),0),0)),""))</f>
        <v>0125FPC24-0</v>
      </c>
      <c r="AM345" s="66" t="str" cm="1">
        <f t="array" ref="AM345">IF($F345="","",IFERROR(INDEX('Lot Balance'!$B$5:$B$500,MATCH(1,INDEX(('Lot Balance'!$A$5:$A$500=$F345)*('Lot Balance'!$K$5:$K$500&lt;$AJ345)*('Lot Balance'!$K$5:$K$500+'Lot Balance'!$D$5:$D$500&gt;=$AJ345),0),0)),""))</f>
        <v>0125FPC24-0</v>
      </c>
      <c r="AN345" s="66" t="str">
        <f>IF($F345="","",IF($AI345&lt;&gt;"",IF(COUNTIFS('Lot Balance'!$A$5:$A$500,$F345,'Lot Balance'!$B$5:$B$500,$AI345)=0,"⚠ override is not a lot of this item",IF($AI345=$AL345,"Override = FEFO","Override - FEFO says "&amp;$AL345)),IF($AL345="","⚠ no receipt on file for this item",IF($AM345&lt;&gt;$AL345,"FEFO auto - split, also "&amp;$AM345,"FEFO auto"))))</f>
        <v>FEFO auto</v>
      </c>
      <c r="AO345" s="114"/>
    </row>
    <row r="346" spans="1:41" x14ac:dyDescent="0.35">
      <c r="A346" s="74">
        <v>46133</v>
      </c>
      <c r="B346" s="18" t="str">
        <f>IF($C346="","",IFERROR(INDEX('Staff Directory'!$A$5:$A$594,MATCH($C346,'Staff Directory'!$B$5:$B$594,0)),"⚠ unknown staff"))</f>
        <v>PSW-169-A6</v>
      </c>
      <c r="C346" s="49" t="s">
        <v>1148</v>
      </c>
      <c r="D346" s="19" t="str">
        <f>IF($B346="","",IFERROR(INDEX('Staff Directory'!$C$5:$C$594,MATCH($B346,'Staff Directory'!$A$5:$A$594,0)),""))</f>
        <v>PSW</v>
      </c>
      <c r="E346" s="19" t="str">
        <f>IF($B346="","",IFERROR(INDEX('Staff Directory'!$D$5:$D$594,MATCH($B346,'Staff Directory'!$A$5:$A$594,0)),""))</f>
        <v>A6</v>
      </c>
      <c r="F346" s="9" t="s">
        <v>755</v>
      </c>
      <c r="G346" s="18" t="str">
        <f>IF($F346="","",IFERROR(INDEX(Items!$B$5:$B$597,MATCH($F346,Items!$A$5:$A$597,0)),"⚠ not in Items"))</f>
        <v>Documents</v>
      </c>
      <c r="H346" s="19" t="str">
        <f>IF($F346="","",IFERROR(INDEX(Items!$C$5:$C$597,MATCH($F346,Items!$A$5:$A$597,0)),""))</f>
        <v>Standard</v>
      </c>
      <c r="I346" s="23">
        <f>IF($F346="","",IFERROR(INDEX(Items!$E$5:$E$597,MATCH($F346,Items!$A$5:$A$597,0)),""))</f>
        <v>2</v>
      </c>
      <c r="J346" s="115">
        <f>IF(tblIssues[[#This Row],[Qty Override]]&lt;&gt;"",tblIssues[[#This Row],[Qty Override]],IF(tblIssues[[#This Row],[Standard Issue]]="","",tblIssues[[#This Row],[Standard Issue]]))</f>
        <v>2</v>
      </c>
      <c r="K346" s="20">
        <f>IF($F346="","",IFERROR(INDEX(Items!$D$5:$D$597,MATCH($F346,Items!$A$5:$A$597,0)),""))</f>
        <v>0</v>
      </c>
      <c r="L346" s="21">
        <f t="shared" si="61"/>
        <v>0</v>
      </c>
      <c r="M346" s="9" t="str">
        <f t="shared" si="62"/>
        <v/>
      </c>
      <c r="N346" s="24">
        <f>IF($A346="","",WORKDAY($A346,Settings!$C$9,HolidayDates))</f>
        <v>46141</v>
      </c>
      <c r="O346" s="24">
        <f>IF($N346="","",WORKDAY($N346,Settings!$C$10,HolidayDates))</f>
        <v>46181</v>
      </c>
      <c r="P346" s="10" t="s">
        <v>501</v>
      </c>
      <c r="Q346" s="52" t="str">
        <f t="shared" si="64"/>
        <v>Collected</v>
      </c>
      <c r="R346" s="55" t="str">
        <f t="shared" si="65"/>
        <v>2026-04</v>
      </c>
      <c r="S346" s="55">
        <f>IF(OR($B346="",$F346="",$R346=""),"",SUMIFS(tblIssues[Qty Issued],tblIssues[Staff ID],$B346,tblIssues[Item Name],$F346,tblIssues[Month],$R346))</f>
        <v>2</v>
      </c>
      <c r="T346" s="56">
        <f>IF($I346="","",$I346*Settings!$C$11)</f>
        <v>2</v>
      </c>
      <c r="U346" s="57" t="str">
        <f t="shared" si="63"/>
        <v>OK</v>
      </c>
      <c r="V346" s="55" t="str">
        <f t="shared" si="66"/>
        <v/>
      </c>
      <c r="W346" s="55" t="str">
        <f>IF($V346="","",IF(COUNTIF($V$5:$V346,$V346)=1,1,""))</f>
        <v/>
      </c>
      <c r="X346" s="58" t="str">
        <f>IF($W346="","",MAX($X$4:X345)+1)</f>
        <v/>
      </c>
      <c r="Y346" s="62"/>
      <c r="Z346" s="62"/>
      <c r="AA346" s="64" t="str">
        <f>IF($C346="","",IFERROR(INDEX('Staff Directory'!$E$5:$E$594,MATCH($C346,'Staff Directory'!$B$5:$B$594,0)),""))</f>
        <v>firstname232.lastname232@example.com</v>
      </c>
      <c r="AB346" s="64" t="str">
        <f>IF($C346="","",IF(ISNUMBER(SEARCH($D346,Settings!$C$15)),"Pickup","Dispatch"))</f>
        <v>Pickup</v>
      </c>
      <c r="AC346" s="64" t="str">
        <f t="shared" si="67"/>
        <v>Supply order ready for pickup</v>
      </c>
      <c r="AD346" s="64" t="str">
        <f t="shared" si="58"/>
        <v>Dear PSW,
Your order is ready for pickup from Sample Branch, Wed-Fri 9am-4pm.</v>
      </c>
      <c r="AE346" s="64" t="str">
        <f t="shared" si="59"/>
        <v>mailto:firstname232.lastname232@example.com?subject=Supply%20order%20ready%20for%20pickup&amp;body=Dear%20PSW%2C%0A%0AYour%20order%20is%20ready%20for%20pickup%20from%20Sample%20Branch%2C%20Wed-Fri%209am-4pm.</v>
      </c>
      <c r="AF346" s="89" t="str">
        <f t="shared" si="68"/>
        <v>Draft email</v>
      </c>
      <c r="AG346" s="64" t="str">
        <f>IF($C346="","",IFERROR(INDEX('Staff Directory'!$K$595:$K$599,MATCH($C346,'Staff Directory'!$B$5:$B$599,0)),$D346))</f>
        <v>PSW</v>
      </c>
      <c r="AH346" t="str">
        <f>IF($C346="","",IFERROR(INDEX('Staff Directory'!$I$595:$I$599,MATCH($C346,'Staff Directory'!$B$5:$B$599,0))&amp;" "&amp;INDEX('Staff Directory'!$J$595:$J$599,MATCH($C346,'Staff Directory'!$B$5:$B$599,0)),$AG346))</f>
        <v>PSW</v>
      </c>
      <c r="AI346" s="102"/>
      <c r="AJ346" s="101">
        <f>IF($F346="","",SUMIFS($J$5:$J346,$F$5:$F346,$F346))</f>
        <v>92</v>
      </c>
      <c r="AK346" s="101">
        <f t="shared" si="60"/>
        <v>91</v>
      </c>
      <c r="AL346" s="66" t="str" cm="1">
        <f t="array" ref="AL346">IF($F346="","",IFERROR(INDEX('Lot Balance'!$B$5:$B$500,MATCH(1,INDEX(('Lot Balance'!$A$5:$A$500=$F346)*('Lot Balance'!$K$5:$K$500&lt;$AK346)*('Lot Balance'!$K$5:$K$500+'Lot Balance'!$D$5:$D$500&gt;=$AK346),0),0)),""))</f>
        <v/>
      </c>
      <c r="AM346" s="66" t="str" cm="1">
        <f t="array" ref="AM346">IF($F346="","",IFERROR(INDEX('Lot Balance'!$B$5:$B$500,MATCH(1,INDEX(('Lot Balance'!$A$5:$A$500=$F346)*('Lot Balance'!$K$5:$K$500&lt;$AJ346)*('Lot Balance'!$K$5:$K$500+'Lot Balance'!$D$5:$D$500&gt;=$AJ346),0),0)),""))</f>
        <v/>
      </c>
      <c r="AN346" s="66" t="str">
        <f>IF($F346="","",IF($AI346&lt;&gt;"",IF(COUNTIFS('Lot Balance'!$A$5:$A$500,$F346,'Lot Balance'!$B$5:$B$500,$AI346)=0,"⚠ override is not a lot of this item",IF($AI346=$AL346,"Override = FEFO","Override - FEFO says "&amp;$AL346)),IF($AL346="","⚠ no receipt on file for this item",IF($AM346&lt;&gt;$AL346,"FEFO auto - split, also "&amp;$AM346,"FEFO auto"))))</f>
        <v>⚠ no receipt on file for this item</v>
      </c>
      <c r="AO346" s="114"/>
    </row>
    <row r="347" spans="1:41" x14ac:dyDescent="0.35">
      <c r="A347" s="74">
        <v>46133</v>
      </c>
      <c r="B347" s="18" t="str">
        <f>IF($C347="","",IFERROR(INDEX('Staff Directory'!$A$5:$A$594,MATCH($C347,'Staff Directory'!$B$5:$B$594,0)),"⚠ unknown staff"))</f>
        <v>PSW-129-A6</v>
      </c>
      <c r="C347" s="49" t="s">
        <v>1108</v>
      </c>
      <c r="D347" s="19" t="str">
        <f>IF($B347="","",IFERROR(INDEX('Staff Directory'!$C$5:$C$594,MATCH($B347,'Staff Directory'!$A$5:$A$594,0)),""))</f>
        <v>PSW</v>
      </c>
      <c r="E347" s="19" t="str">
        <f>IF($B347="","",IFERROR(INDEX('Staff Directory'!$D$5:$D$594,MATCH($B347,'Staff Directory'!$A$5:$A$594,0)),""))</f>
        <v>A6</v>
      </c>
      <c r="F347" s="9" t="s">
        <v>129</v>
      </c>
      <c r="G347" s="18" t="str">
        <f>IF($F347="","",IFERROR(INDEX(Items!$B$5:$B$597,MATCH($F347,Items!$A$5:$A$597,0)),"⚠ not in Items"))</f>
        <v>Gloves</v>
      </c>
      <c r="H347" s="19" t="str">
        <f>IF($F347="","",IFERROR(INDEX(Items!$C$5:$C$597,MATCH($F347,Items!$A$5:$A$597,0)),""))</f>
        <v>Small</v>
      </c>
      <c r="I347" s="23">
        <f>IF($F347="","",IFERROR(INDEX(Items!$E$5:$E$597,MATCH($F347,Items!$A$5:$A$597,0)),""))</f>
        <v>500</v>
      </c>
      <c r="J347" s="115">
        <f>IF(tblIssues[[#This Row],[Qty Override]]&lt;&gt;"",tblIssues[[#This Row],[Qty Override]],IF(tblIssues[[#This Row],[Standard Issue]]="","",tblIssues[[#This Row],[Standard Issue]]))</f>
        <v>500</v>
      </c>
      <c r="K347" s="20">
        <f>IF($F347="","",IFERROR(INDEX(Items!$D$5:$D$597,MATCH($F347,Items!$A$5:$A$597,0)),""))</f>
        <v>5.5E-2</v>
      </c>
      <c r="L347" s="21">
        <f t="shared" si="61"/>
        <v>27.5</v>
      </c>
      <c r="M347" s="9" t="str">
        <f t="shared" si="62"/>
        <v>ZIM504124207-5</v>
      </c>
      <c r="N347" s="24">
        <f>IF($A347="","",WORKDAY($A347,Settings!$C$9,HolidayDates))</f>
        <v>46141</v>
      </c>
      <c r="O347" s="24">
        <f>IF($N347="","",WORKDAY($N347,Settings!$C$10,HolidayDates))</f>
        <v>46181</v>
      </c>
      <c r="P347" s="10" t="s">
        <v>501</v>
      </c>
      <c r="Q347" s="52" t="str">
        <f t="shared" si="64"/>
        <v>Collected</v>
      </c>
      <c r="R347" s="55" t="str">
        <f t="shared" si="65"/>
        <v>2026-04</v>
      </c>
      <c r="S347" s="55">
        <f>IF(OR($B347="",$F347="",$R347=""),"",SUMIFS(tblIssues[Qty Issued],tblIssues[Staff ID],$B347,tblIssues[Item Name],$F347,tblIssues[Month],$R347))</f>
        <v>500</v>
      </c>
      <c r="T347" s="56">
        <f>IF($I347="","",$I347*Settings!$C$11)</f>
        <v>500</v>
      </c>
      <c r="U347" s="57" t="str">
        <f t="shared" si="63"/>
        <v>OK</v>
      </c>
      <c r="V347" s="55" t="str">
        <f t="shared" si="66"/>
        <v/>
      </c>
      <c r="W347" s="55" t="str">
        <f>IF($V347="","",IF(COUNTIF($V$5:$V347,$V347)=1,1,""))</f>
        <v/>
      </c>
      <c r="X347" s="58" t="str">
        <f>IF($W347="","",MAX($X$4:X346)+1)</f>
        <v/>
      </c>
      <c r="Y347" s="62"/>
      <c r="Z347" s="62"/>
      <c r="AA347" s="64" t="str">
        <f>IF($C347="","",IFERROR(INDEX('Staff Directory'!$E$5:$E$594,MATCH($C347,'Staff Directory'!$B$5:$B$594,0)),""))</f>
        <v>firstname192.lastname192@example.com</v>
      </c>
      <c r="AB347" s="64" t="str">
        <f>IF($C347="","",IF(ISNUMBER(SEARCH($D347,Settings!$C$15)),"Pickup","Dispatch"))</f>
        <v>Pickup</v>
      </c>
      <c r="AC347" s="64" t="str">
        <f t="shared" si="67"/>
        <v>Supply order ready for pickup</v>
      </c>
      <c r="AD347" s="64" t="str">
        <f t="shared" si="58"/>
        <v>Dear PSW,
Your order is ready for pickup from Sample Branch, Wed-Fri 9am-4pm.</v>
      </c>
      <c r="AE347" s="64" t="str">
        <f t="shared" si="59"/>
        <v>mailto:firstname192.lastname192@example.com?subject=Supply%20order%20ready%20for%20pickup&amp;body=Dear%20PSW%2C%0A%0AYour%20order%20is%20ready%20for%20pickup%20from%20Sample%20Branch%2C%20Wed-Fri%209am-4pm.</v>
      </c>
      <c r="AF347" s="89" t="str">
        <f t="shared" si="68"/>
        <v>Draft email</v>
      </c>
      <c r="AG347" s="64" t="str">
        <f>IF($C347="","",IFERROR(INDEX('Staff Directory'!$K$595:$K$599,MATCH($C347,'Staff Directory'!$B$5:$B$599,0)),$D347))</f>
        <v>PSW</v>
      </c>
      <c r="AH347" t="str">
        <f>IF($C347="","",IFERROR(INDEX('Staff Directory'!$I$595:$I$599,MATCH($C347,'Staff Directory'!$B$5:$B$599,0))&amp;" "&amp;INDEX('Staff Directory'!$J$595:$J$599,MATCH($C347,'Staff Directory'!$B$5:$B$599,0)),$AG347))</f>
        <v>PSW</v>
      </c>
      <c r="AI347" s="102"/>
      <c r="AJ347" s="101">
        <f>IF($F347="","",SUMIFS($J$5:$J347,$F$5:$F347,$F347))</f>
        <v>13000</v>
      </c>
      <c r="AK347" s="101">
        <f t="shared" si="60"/>
        <v>12501</v>
      </c>
      <c r="AL347" s="66" t="str" cm="1">
        <f t="array" ref="AL347">IF($F347="","",IFERROR(INDEX('Lot Balance'!$B$5:$B$500,MATCH(1,INDEX(('Lot Balance'!$A$5:$A$500=$F347)*('Lot Balance'!$K$5:$K$500&lt;$AK347)*('Lot Balance'!$K$5:$K$500+'Lot Balance'!$D$5:$D$500&gt;=$AK347),0),0)),""))</f>
        <v>ZIM504124207-5</v>
      </c>
      <c r="AM347" s="66" t="str" cm="1">
        <f t="array" ref="AM347">IF($F347="","",IFERROR(INDEX('Lot Balance'!$B$5:$B$500,MATCH(1,INDEX(('Lot Balance'!$A$5:$A$500=$F347)*('Lot Balance'!$K$5:$K$500&lt;$AJ347)*('Lot Balance'!$K$5:$K$500+'Lot Balance'!$D$5:$D$500&gt;=$AJ347),0),0)),""))</f>
        <v>ZIM504124207-5</v>
      </c>
      <c r="AN347" s="66" t="str">
        <f>IF($F347="","",IF($AI347&lt;&gt;"",IF(COUNTIFS('Lot Balance'!$A$5:$A$500,$F347,'Lot Balance'!$B$5:$B$500,$AI347)=0,"⚠ override is not a lot of this item",IF($AI347=$AL347,"Override = FEFO","Override - FEFO says "&amp;$AL347)),IF($AL347="","⚠ no receipt on file for this item",IF($AM347&lt;&gt;$AL347,"FEFO auto - split, also "&amp;$AM347,"FEFO auto"))))</f>
        <v>FEFO auto</v>
      </c>
      <c r="AO347" s="114"/>
    </row>
    <row r="348" spans="1:41" x14ac:dyDescent="0.35">
      <c r="A348" s="74">
        <v>46133</v>
      </c>
      <c r="B348" s="18" t="str">
        <f>IF($C348="","",IFERROR(INDEX('Staff Directory'!$A$5:$A$594,MATCH($C348,'Staff Directory'!$B$5:$B$594,0)),"⚠ unknown staff"))</f>
        <v>PSW-129-A6</v>
      </c>
      <c r="C348" s="49" t="s">
        <v>1108</v>
      </c>
      <c r="D348" s="19" t="str">
        <f>IF($B348="","",IFERROR(INDEX('Staff Directory'!$C$5:$C$594,MATCH($B348,'Staff Directory'!$A$5:$A$594,0)),""))</f>
        <v>PSW</v>
      </c>
      <c r="E348" s="19" t="str">
        <f>IF($B348="","",IFERROR(INDEX('Staff Directory'!$D$5:$D$594,MATCH($B348,'Staff Directory'!$A$5:$A$594,0)),""))</f>
        <v>A6</v>
      </c>
      <c r="F348" s="9" t="s">
        <v>156</v>
      </c>
      <c r="G348" s="18" t="str">
        <f>IF($F348="","",IFERROR(INDEX(Items!$B$5:$B$597,MATCH($F348,Items!$A$5:$A$597,0)),"⚠ not in Items"))</f>
        <v>Masks</v>
      </c>
      <c r="H348" s="19" t="str">
        <f>IF($F348="","",IFERROR(INDEX(Items!$C$5:$C$597,MATCH($F348,Items!$A$5:$A$597,0)),""))</f>
        <v>One Size</v>
      </c>
      <c r="I348" s="23">
        <f>IF($F348="","",IFERROR(INDEX(Items!$E$5:$E$597,MATCH($F348,Items!$A$5:$A$597,0)),""))</f>
        <v>50</v>
      </c>
      <c r="J348" s="115">
        <f>IF(tblIssues[[#This Row],[Qty Override]]&lt;&gt;"",tblIssues[[#This Row],[Qty Override]],IF(tblIssues[[#This Row],[Standard Issue]]="","",tblIssues[[#This Row],[Standard Issue]]))</f>
        <v>50</v>
      </c>
      <c r="K348" s="20">
        <f>IF($F348="","",IFERROR(INDEX(Items!$D$5:$D$597,MATCH($F348,Items!$A$5:$A$597,0)),""))</f>
        <v>0.25</v>
      </c>
      <c r="L348" s="21">
        <f t="shared" si="61"/>
        <v>12.5</v>
      </c>
      <c r="M348" s="9" t="str">
        <f t="shared" si="62"/>
        <v>0125FPC24-0</v>
      </c>
      <c r="N348" s="24">
        <f>IF($A348="","",WORKDAY($A348,Settings!$C$9,HolidayDates))</f>
        <v>46141</v>
      </c>
      <c r="O348" s="24">
        <f>IF($N348="","",WORKDAY($N348,Settings!$C$10,HolidayDates))</f>
        <v>46181</v>
      </c>
      <c r="P348" s="10" t="s">
        <v>501</v>
      </c>
      <c r="Q348" s="52" t="str">
        <f t="shared" si="64"/>
        <v>Collected</v>
      </c>
      <c r="R348" s="55" t="str">
        <f t="shared" si="65"/>
        <v>2026-04</v>
      </c>
      <c r="S348" s="55">
        <f>IF(OR($B348="",$F348="",$R348=""),"",SUMIFS(tblIssues[Qty Issued],tblIssues[Staff ID],$B348,tblIssues[Item Name],$F348,tblIssues[Month],$R348))</f>
        <v>50</v>
      </c>
      <c r="T348" s="56">
        <f>IF($I348="","",$I348*Settings!$C$11)</f>
        <v>50</v>
      </c>
      <c r="U348" s="57" t="str">
        <f t="shared" si="63"/>
        <v>OK</v>
      </c>
      <c r="V348" s="55" t="str">
        <f t="shared" si="66"/>
        <v/>
      </c>
      <c r="W348" s="55" t="str">
        <f>IF($V348="","",IF(COUNTIF($V$5:$V348,$V348)=1,1,""))</f>
        <v/>
      </c>
      <c r="X348" s="58" t="str">
        <f>IF($W348="","",MAX($X$4:X347)+1)</f>
        <v/>
      </c>
      <c r="Y348" s="62"/>
      <c r="Z348" s="62"/>
      <c r="AA348" s="64" t="str">
        <f>IF($C348="","",IFERROR(INDEX('Staff Directory'!$E$5:$E$594,MATCH($C348,'Staff Directory'!$B$5:$B$594,0)),""))</f>
        <v>firstname192.lastname192@example.com</v>
      </c>
      <c r="AB348" s="64" t="str">
        <f>IF($C348="","",IF(ISNUMBER(SEARCH($D348,Settings!$C$15)),"Pickup","Dispatch"))</f>
        <v>Pickup</v>
      </c>
      <c r="AC348" s="64" t="str">
        <f t="shared" si="67"/>
        <v>Supply order ready for pickup</v>
      </c>
      <c r="AD348" s="64" t="str">
        <f t="shared" si="58"/>
        <v>Dear PSW,
Your order is ready for pickup from Sample Branch, Wed-Fri 9am-4pm.</v>
      </c>
      <c r="AE348" s="64" t="str">
        <f t="shared" si="59"/>
        <v>mailto:firstname192.lastname192@example.com?subject=Supply%20order%20ready%20for%20pickup&amp;body=Dear%20PSW%2C%0A%0AYour%20order%20is%20ready%20for%20pickup%20from%20Sample%20Branch%2C%20Wed-Fri%209am-4pm.</v>
      </c>
      <c r="AF348" s="89" t="str">
        <f t="shared" si="68"/>
        <v>Draft email</v>
      </c>
      <c r="AG348" s="64" t="str">
        <f>IF($C348="","",IFERROR(INDEX('Staff Directory'!$K$595:$K$599,MATCH($C348,'Staff Directory'!$B$5:$B$599,0)),$D348))</f>
        <v>PSW</v>
      </c>
      <c r="AH348" t="str">
        <f>IF($C348="","",IFERROR(INDEX('Staff Directory'!$I$595:$I$599,MATCH($C348,'Staff Directory'!$B$5:$B$599,0))&amp;" "&amp;INDEX('Staff Directory'!$J$595:$J$599,MATCH($C348,'Staff Directory'!$B$5:$B$599,0)),$AG348))</f>
        <v>PSW</v>
      </c>
      <c r="AI348" s="102"/>
      <c r="AJ348" s="101">
        <f>IF($F348="","",SUMIFS($J$5:$J348,$F$5:$F348,$F348))</f>
        <v>2650</v>
      </c>
      <c r="AK348" s="101">
        <f t="shared" si="60"/>
        <v>2601</v>
      </c>
      <c r="AL348" s="66" t="str" cm="1">
        <f t="array" ref="AL348">IF($F348="","",IFERROR(INDEX('Lot Balance'!$B$5:$B$500,MATCH(1,INDEX(('Lot Balance'!$A$5:$A$500=$F348)*('Lot Balance'!$K$5:$K$500&lt;$AK348)*('Lot Balance'!$K$5:$K$500+'Lot Balance'!$D$5:$D$500&gt;=$AK348),0),0)),""))</f>
        <v>0125FPC24-0</v>
      </c>
      <c r="AM348" s="66" t="str" cm="1">
        <f t="array" ref="AM348">IF($F348="","",IFERROR(INDEX('Lot Balance'!$B$5:$B$500,MATCH(1,INDEX(('Lot Balance'!$A$5:$A$500=$F348)*('Lot Balance'!$K$5:$K$500&lt;$AJ348)*('Lot Balance'!$K$5:$K$500+'Lot Balance'!$D$5:$D$500&gt;=$AJ348),0),0)),""))</f>
        <v>0125FPC24-0</v>
      </c>
      <c r="AN348" s="66" t="str">
        <f>IF($F348="","",IF($AI348&lt;&gt;"",IF(COUNTIFS('Lot Balance'!$A$5:$A$500,$F348,'Lot Balance'!$B$5:$B$500,$AI348)=0,"⚠ override is not a lot of this item",IF($AI348=$AL348,"Override = FEFO","Override - FEFO says "&amp;$AL348)),IF($AL348="","⚠ no receipt on file for this item",IF($AM348&lt;&gt;$AL348,"FEFO auto - split, also "&amp;$AM348,"FEFO auto"))))</f>
        <v>FEFO auto</v>
      </c>
      <c r="AO348" s="114"/>
    </row>
    <row r="349" spans="1:41" x14ac:dyDescent="0.35">
      <c r="A349" s="74">
        <v>46133</v>
      </c>
      <c r="B349" s="18" t="str">
        <f>IF($C349="","",IFERROR(INDEX('Staff Directory'!$A$5:$A$594,MATCH($C349,'Staff Directory'!$B$5:$B$594,0)),"⚠ unknown staff"))</f>
        <v>PSW-129-A6</v>
      </c>
      <c r="C349" s="49" t="s">
        <v>1108</v>
      </c>
      <c r="D349" s="19" t="str">
        <f>IF($B349="","",IFERROR(INDEX('Staff Directory'!$C$5:$C$594,MATCH($B349,'Staff Directory'!$A$5:$A$594,0)),""))</f>
        <v>PSW</v>
      </c>
      <c r="E349" s="19" t="str">
        <f>IF($B349="","",IFERROR(INDEX('Staff Directory'!$D$5:$D$594,MATCH($B349,'Staff Directory'!$A$5:$A$594,0)),""))</f>
        <v>A6</v>
      </c>
      <c r="F349" s="9" t="s">
        <v>755</v>
      </c>
      <c r="G349" s="18" t="str">
        <f>IF($F349="","",IFERROR(INDEX(Items!$B$5:$B$597,MATCH($F349,Items!$A$5:$A$597,0)),"⚠ not in Items"))</f>
        <v>Documents</v>
      </c>
      <c r="H349" s="19" t="str">
        <f>IF($F349="","",IFERROR(INDEX(Items!$C$5:$C$597,MATCH($F349,Items!$A$5:$A$597,0)),""))</f>
        <v>Standard</v>
      </c>
      <c r="I349" s="23">
        <f>IF($F349="","",IFERROR(INDEX(Items!$E$5:$E$597,MATCH($F349,Items!$A$5:$A$597,0)),""))</f>
        <v>2</v>
      </c>
      <c r="J349" s="115">
        <f>IF(tblIssues[[#This Row],[Qty Override]]&lt;&gt;"",tblIssues[[#This Row],[Qty Override]],IF(tblIssues[[#This Row],[Standard Issue]]="","",tblIssues[[#This Row],[Standard Issue]]))</f>
        <v>2</v>
      </c>
      <c r="K349" s="20">
        <f>IF($F349="","",IFERROR(INDEX(Items!$D$5:$D$597,MATCH($F349,Items!$A$5:$A$597,0)),""))</f>
        <v>0</v>
      </c>
      <c r="L349" s="21">
        <f t="shared" si="61"/>
        <v>0</v>
      </c>
      <c r="M349" s="9" t="str">
        <f t="shared" si="62"/>
        <v/>
      </c>
      <c r="N349" s="24">
        <f>IF($A349="","",WORKDAY($A349,Settings!$C$9,HolidayDates))</f>
        <v>46141</v>
      </c>
      <c r="O349" s="24">
        <f>IF($N349="","",WORKDAY($N349,Settings!$C$10,HolidayDates))</f>
        <v>46181</v>
      </c>
      <c r="P349" s="10" t="s">
        <v>501</v>
      </c>
      <c r="Q349" s="52" t="str">
        <f t="shared" si="64"/>
        <v>Collected</v>
      </c>
      <c r="R349" s="55" t="str">
        <f t="shared" si="65"/>
        <v>2026-04</v>
      </c>
      <c r="S349" s="55">
        <f>IF(OR($B349="",$F349="",$R349=""),"",SUMIFS(tblIssues[Qty Issued],tblIssues[Staff ID],$B349,tblIssues[Item Name],$F349,tblIssues[Month],$R349))</f>
        <v>2</v>
      </c>
      <c r="T349" s="56">
        <f>IF($I349="","",$I349*Settings!$C$11)</f>
        <v>2</v>
      </c>
      <c r="U349" s="57" t="str">
        <f t="shared" si="63"/>
        <v>OK</v>
      </c>
      <c r="V349" s="55" t="str">
        <f t="shared" si="66"/>
        <v/>
      </c>
      <c r="W349" s="55" t="str">
        <f>IF($V349="","",IF(COUNTIF($V$5:$V349,$V349)=1,1,""))</f>
        <v/>
      </c>
      <c r="X349" s="58" t="str">
        <f>IF($W349="","",MAX($X$4:X348)+1)</f>
        <v/>
      </c>
      <c r="Y349" s="62"/>
      <c r="Z349" s="62"/>
      <c r="AA349" s="64" t="str">
        <f>IF($C349="","",IFERROR(INDEX('Staff Directory'!$E$5:$E$594,MATCH($C349,'Staff Directory'!$B$5:$B$594,0)),""))</f>
        <v>firstname192.lastname192@example.com</v>
      </c>
      <c r="AB349" s="64" t="str">
        <f>IF($C349="","",IF(ISNUMBER(SEARCH($D349,Settings!$C$15)),"Pickup","Dispatch"))</f>
        <v>Pickup</v>
      </c>
      <c r="AC349" s="64" t="str">
        <f t="shared" si="67"/>
        <v>Supply order ready for pickup</v>
      </c>
      <c r="AD349" s="64" t="str">
        <f t="shared" si="58"/>
        <v>Dear PSW,
Your order is ready for pickup from Sample Branch, Wed-Fri 9am-4pm.</v>
      </c>
      <c r="AE349" s="64" t="str">
        <f t="shared" si="59"/>
        <v>mailto:firstname192.lastname192@example.com?subject=Supply%20order%20ready%20for%20pickup&amp;body=Dear%20PSW%2C%0A%0AYour%20order%20is%20ready%20for%20pickup%20from%20Sample%20Branch%2C%20Wed-Fri%209am-4pm.</v>
      </c>
      <c r="AF349" s="89" t="str">
        <f t="shared" si="68"/>
        <v>Draft email</v>
      </c>
      <c r="AG349" s="64" t="str">
        <f>IF($C349="","",IFERROR(INDEX('Staff Directory'!$K$595:$K$599,MATCH($C349,'Staff Directory'!$B$5:$B$599,0)),$D349))</f>
        <v>PSW</v>
      </c>
      <c r="AH349" t="str">
        <f>IF($C349="","",IFERROR(INDEX('Staff Directory'!$I$595:$I$599,MATCH($C349,'Staff Directory'!$B$5:$B$599,0))&amp;" "&amp;INDEX('Staff Directory'!$J$595:$J$599,MATCH($C349,'Staff Directory'!$B$5:$B$599,0)),$AG349))</f>
        <v>PSW</v>
      </c>
      <c r="AI349" s="102"/>
      <c r="AJ349" s="101">
        <f>IF($F349="","",SUMIFS($J$5:$J349,$F$5:$F349,$F349))</f>
        <v>94</v>
      </c>
      <c r="AK349" s="101">
        <f t="shared" si="60"/>
        <v>93</v>
      </c>
      <c r="AL349" s="66" t="str" cm="1">
        <f t="array" ref="AL349">IF($F349="","",IFERROR(INDEX('Lot Balance'!$B$5:$B$500,MATCH(1,INDEX(('Lot Balance'!$A$5:$A$500=$F349)*('Lot Balance'!$K$5:$K$500&lt;$AK349)*('Lot Balance'!$K$5:$K$500+'Lot Balance'!$D$5:$D$500&gt;=$AK349),0),0)),""))</f>
        <v/>
      </c>
      <c r="AM349" s="66" t="str" cm="1">
        <f t="array" ref="AM349">IF($F349="","",IFERROR(INDEX('Lot Balance'!$B$5:$B$500,MATCH(1,INDEX(('Lot Balance'!$A$5:$A$500=$F349)*('Lot Balance'!$K$5:$K$500&lt;$AJ349)*('Lot Balance'!$K$5:$K$500+'Lot Balance'!$D$5:$D$500&gt;=$AJ349),0),0)),""))</f>
        <v/>
      </c>
      <c r="AN349" s="66" t="str">
        <f>IF($F349="","",IF($AI349&lt;&gt;"",IF(COUNTIFS('Lot Balance'!$A$5:$A$500,$F349,'Lot Balance'!$B$5:$B$500,$AI349)=0,"⚠ override is not a lot of this item",IF($AI349=$AL349,"Override = FEFO","Override - FEFO says "&amp;$AL349)),IF($AL349="","⚠ no receipt on file for this item",IF($AM349&lt;&gt;$AL349,"FEFO auto - split, also "&amp;$AM349,"FEFO auto"))))</f>
        <v>⚠ no receipt on file for this item</v>
      </c>
      <c r="AO349" s="114"/>
    </row>
    <row r="350" spans="1:41" x14ac:dyDescent="0.35">
      <c r="A350" s="74">
        <v>46134</v>
      </c>
      <c r="B350" s="18" t="str">
        <f>IF($C350="","",IFERROR(INDEX('Staff Directory'!$A$5:$A$594,MATCH($C350,'Staff Directory'!$B$5:$B$594,0)),"⚠ unknown staff"))</f>
        <v>PSW-139-A4</v>
      </c>
      <c r="C350" s="49" t="s">
        <v>1118</v>
      </c>
      <c r="D350" s="19" t="str">
        <f>IF($B350="","",IFERROR(INDEX('Staff Directory'!$C$5:$C$594,MATCH($B350,'Staff Directory'!$A$5:$A$594,0)),""))</f>
        <v>PSW</v>
      </c>
      <c r="E350" s="19" t="str">
        <f>IF($B350="","",IFERROR(INDEX('Staff Directory'!$D$5:$D$594,MATCH($B350,'Staff Directory'!$A$5:$A$594,0)),""))</f>
        <v>A4</v>
      </c>
      <c r="F350" s="9" t="s">
        <v>127</v>
      </c>
      <c r="G350" s="18" t="str">
        <f>IF($F350="","",IFERROR(INDEX(Items!$B$5:$B$597,MATCH($F350,Items!$A$5:$A$597,0)),"⚠ not in Items"))</f>
        <v>Gloves</v>
      </c>
      <c r="H350" s="19" t="str">
        <f>IF($F350="","",IFERROR(INDEX(Items!$C$5:$C$597,MATCH($F350,Items!$A$5:$A$597,0)),""))</f>
        <v>Medium</v>
      </c>
      <c r="I350" s="23">
        <f>IF($F350="","",IFERROR(INDEX(Items!$E$5:$E$597,MATCH($F350,Items!$A$5:$A$597,0)),""))</f>
        <v>500</v>
      </c>
      <c r="J350" s="115">
        <f>IF(tblIssues[[#This Row],[Qty Override]]&lt;&gt;"",tblIssues[[#This Row],[Qty Override]],IF(tblIssues[[#This Row],[Standard Issue]]="","",tblIssues[[#This Row],[Standard Issue]]))</f>
        <v>500</v>
      </c>
      <c r="K350" s="20">
        <f>IF($F350="","",IFERROR(INDEX(Items!$D$5:$D$597,MATCH($F350,Items!$A$5:$A$597,0)),""))</f>
        <v>5.5E-2</v>
      </c>
      <c r="L350" s="21">
        <f t="shared" si="61"/>
        <v>27.5</v>
      </c>
      <c r="M350" s="9" t="str">
        <f t="shared" si="62"/>
        <v>0312HIC25</v>
      </c>
      <c r="N350" s="24">
        <f>IF($A350="","",WORKDAY($A350,Settings!$C$9,HolidayDates))</f>
        <v>46142</v>
      </c>
      <c r="O350" s="24">
        <f>IF($N350="","",WORKDAY($N350,Settings!$C$10,HolidayDates))</f>
        <v>46182</v>
      </c>
      <c r="P350" s="10" t="s">
        <v>501</v>
      </c>
      <c r="Q350" s="52" t="str">
        <f t="shared" si="64"/>
        <v>Collected</v>
      </c>
      <c r="R350" s="55" t="str">
        <f t="shared" si="65"/>
        <v>2026-04</v>
      </c>
      <c r="S350" s="55">
        <f>IF(OR($B350="",$F350="",$R350=""),"",SUMIFS(tblIssues[Qty Issued],tblIssues[Staff ID],$B350,tblIssues[Item Name],$F350,tblIssues[Month],$R350))</f>
        <v>500</v>
      </c>
      <c r="T350" s="56">
        <f>IF($I350="","",$I350*Settings!$C$11)</f>
        <v>500</v>
      </c>
      <c r="U350" s="57" t="str">
        <f t="shared" si="63"/>
        <v>OK</v>
      </c>
      <c r="V350" s="55" t="str">
        <f t="shared" si="66"/>
        <v/>
      </c>
      <c r="W350" s="55" t="str">
        <f>IF($V350="","",IF(COUNTIF($V$5:$V350,$V350)=1,1,""))</f>
        <v/>
      </c>
      <c r="X350" s="58" t="str">
        <f>IF($W350="","",MAX($X$4:X349)+1)</f>
        <v/>
      </c>
      <c r="Y350" s="62"/>
      <c r="Z350" s="62"/>
      <c r="AA350" s="64" t="str">
        <f>IF($C350="","",IFERROR(INDEX('Staff Directory'!$E$5:$E$594,MATCH($C350,'Staff Directory'!$B$5:$B$594,0)),""))</f>
        <v>firstname202.lastname202@example.com</v>
      </c>
      <c r="AB350" s="64" t="str">
        <f>IF($C350="","",IF(ISNUMBER(SEARCH($D350,Settings!$C$15)),"Pickup","Dispatch"))</f>
        <v>Pickup</v>
      </c>
      <c r="AC350" s="64" t="str">
        <f t="shared" si="67"/>
        <v>Supply order ready for pickup</v>
      </c>
      <c r="AD350" s="64" t="str">
        <f t="shared" si="58"/>
        <v>Dear PSW,
Your order is ready for pickup from Sample Branch, Wed-Fri 9am-4pm.</v>
      </c>
      <c r="AE350" s="64" t="str">
        <f t="shared" si="59"/>
        <v>mailto:firstname202.lastname202@example.com?subject=Supply%20order%20ready%20for%20pickup&amp;body=Dear%20PSW%2C%0A%0AYour%20order%20is%20ready%20for%20pickup%20from%20Sample%20Branch%2C%20Wed-Fri%209am-4pm.</v>
      </c>
      <c r="AF350" s="89" t="str">
        <f t="shared" si="68"/>
        <v>Draft email</v>
      </c>
      <c r="AG350" s="64" t="str">
        <f>IF($C350="","",IFERROR(INDEX('Staff Directory'!$K$595:$K$599,MATCH($C350,'Staff Directory'!$B$5:$B$599,0)),$D350))</f>
        <v>PSW</v>
      </c>
      <c r="AH350" t="str">
        <f>IF($C350="","",IFERROR(INDEX('Staff Directory'!$I$595:$I$599,MATCH($C350,'Staff Directory'!$B$5:$B$599,0))&amp;" "&amp;INDEX('Staff Directory'!$J$595:$J$599,MATCH($C350,'Staff Directory'!$B$5:$B$599,0)),$AG350))</f>
        <v>PSW</v>
      </c>
      <c r="AI350" s="102"/>
      <c r="AJ350" s="101">
        <f>IF($F350="","",SUMIFS($J$5:$J350,$F$5:$F350,$F350))</f>
        <v>20000</v>
      </c>
      <c r="AK350" s="101">
        <f t="shared" si="60"/>
        <v>19501</v>
      </c>
      <c r="AL350" s="66" t="str" cm="1">
        <f t="array" ref="AL350">IF($F350="","",IFERROR(INDEX('Lot Balance'!$B$5:$B$500,MATCH(1,INDEX(('Lot Balance'!$A$5:$A$500=$F350)*('Lot Balance'!$K$5:$K$500&lt;$AK350)*('Lot Balance'!$K$5:$K$500+'Lot Balance'!$D$5:$D$500&gt;=$AK350),0),0)),""))</f>
        <v>0312HIC25</v>
      </c>
      <c r="AM350" s="66" t="str" cm="1">
        <f t="array" ref="AM350">IF($F350="","",IFERROR(INDEX('Lot Balance'!$B$5:$B$500,MATCH(1,INDEX(('Lot Balance'!$A$5:$A$500=$F350)*('Lot Balance'!$K$5:$K$500&lt;$AJ350)*('Lot Balance'!$K$5:$K$500+'Lot Balance'!$D$5:$D$500&gt;=$AJ350),0),0)),""))</f>
        <v>0312HIC25</v>
      </c>
      <c r="AN350" s="66" t="str">
        <f>IF($F350="","",IF($AI350&lt;&gt;"",IF(COUNTIFS('Lot Balance'!$A$5:$A$500,$F350,'Lot Balance'!$B$5:$B$500,$AI350)=0,"⚠ override is not a lot of this item",IF($AI350=$AL350,"Override = FEFO","Override - FEFO says "&amp;$AL350)),IF($AL350="","⚠ no receipt on file for this item",IF($AM350&lt;&gt;$AL350,"FEFO auto - split, also "&amp;$AM350,"FEFO auto"))))</f>
        <v>FEFO auto</v>
      </c>
      <c r="AO350" s="114"/>
    </row>
    <row r="351" spans="1:41" x14ac:dyDescent="0.35">
      <c r="A351" s="74">
        <v>46134</v>
      </c>
      <c r="B351" s="18" t="str">
        <f>IF($C351="","",IFERROR(INDEX('Staff Directory'!$A$5:$A$594,MATCH($C351,'Staff Directory'!$B$5:$B$594,0)),"⚠ unknown staff"))</f>
        <v>PSW-139-A4</v>
      </c>
      <c r="C351" s="49" t="s">
        <v>1118</v>
      </c>
      <c r="D351" s="19" t="str">
        <f>IF($B351="","",IFERROR(INDEX('Staff Directory'!$C$5:$C$594,MATCH($B351,'Staff Directory'!$A$5:$A$594,0)),""))</f>
        <v>PSW</v>
      </c>
      <c r="E351" s="19" t="str">
        <f>IF($B351="","",IFERROR(INDEX('Staff Directory'!$D$5:$D$594,MATCH($B351,'Staff Directory'!$A$5:$A$594,0)),""))</f>
        <v>A4</v>
      </c>
      <c r="F351" s="9" t="s">
        <v>191</v>
      </c>
      <c r="G351" s="18" t="str">
        <f>IF($F351="","",IFERROR(INDEX(Items!$B$5:$B$597,MATCH($F351,Items!$A$5:$A$597,0)),"⚠ not in Items"))</f>
        <v>Sanitizer</v>
      </c>
      <c r="H351" s="19" t="str">
        <f>IF($F351="","",IFERROR(INDEX(Items!$C$5:$C$597,MATCH($F351,Items!$A$5:$A$597,0)),""))</f>
        <v>236 ML</v>
      </c>
      <c r="I351" s="23">
        <f>IF($F351="","",IFERROR(INDEX(Items!$E$5:$E$597,MATCH($F351,Items!$A$5:$A$597,0)),""))</f>
        <v>1</v>
      </c>
      <c r="J351" s="115">
        <f>IF(tblIssues[[#This Row],[Qty Override]]&lt;&gt;"",tblIssues[[#This Row],[Qty Override]],IF(tblIssues[[#This Row],[Standard Issue]]="","",tblIssues[[#This Row],[Standard Issue]]))</f>
        <v>1</v>
      </c>
      <c r="K351" s="20">
        <f>IF($F351="","",IFERROR(INDEX(Items!$D$5:$D$597,MATCH($F351,Items!$A$5:$A$597,0)),""))</f>
        <v>1E-4</v>
      </c>
      <c r="L351" s="21">
        <f t="shared" si="61"/>
        <v>1E-4</v>
      </c>
      <c r="M351" s="9" t="str">
        <f t="shared" si="62"/>
        <v>20-21734-1</v>
      </c>
      <c r="N351" s="24">
        <f>IF($A351="","",WORKDAY($A351,Settings!$C$9,HolidayDates))</f>
        <v>46142</v>
      </c>
      <c r="O351" s="24">
        <f>IF($N351="","",WORKDAY($N351,Settings!$C$10,HolidayDates))</f>
        <v>46182</v>
      </c>
      <c r="P351" s="10" t="s">
        <v>501</v>
      </c>
      <c r="Q351" s="52" t="str">
        <f t="shared" si="64"/>
        <v>Collected</v>
      </c>
      <c r="R351" s="55" t="str">
        <f t="shared" si="65"/>
        <v>2026-04</v>
      </c>
      <c r="S351" s="55">
        <f>IF(OR($B351="",$F351="",$R351=""),"",SUMIFS(tblIssues[Qty Issued],tblIssues[Staff ID],$B351,tblIssues[Item Name],$F351,tblIssues[Month],$R351))</f>
        <v>1</v>
      </c>
      <c r="T351" s="56">
        <f>IF($I351="","",$I351*Settings!$C$11)</f>
        <v>1</v>
      </c>
      <c r="U351" s="57" t="str">
        <f t="shared" si="63"/>
        <v>OK</v>
      </c>
      <c r="V351" s="55" t="str">
        <f t="shared" si="66"/>
        <v/>
      </c>
      <c r="W351" s="55" t="str">
        <f>IF($V351="","",IF(COUNTIF($V$5:$V351,$V351)=1,1,""))</f>
        <v/>
      </c>
      <c r="X351" s="58" t="str">
        <f>IF($W351="","",MAX($X$4:X350)+1)</f>
        <v/>
      </c>
      <c r="Y351" s="62"/>
      <c r="Z351" s="62"/>
      <c r="AA351" s="64" t="str">
        <f>IF($C351="","",IFERROR(INDEX('Staff Directory'!$E$5:$E$594,MATCH($C351,'Staff Directory'!$B$5:$B$594,0)),""))</f>
        <v>firstname202.lastname202@example.com</v>
      </c>
      <c r="AB351" s="64" t="str">
        <f>IF($C351="","",IF(ISNUMBER(SEARCH($D351,Settings!$C$15)),"Pickup","Dispatch"))</f>
        <v>Pickup</v>
      </c>
      <c r="AC351" s="64" t="str">
        <f t="shared" si="67"/>
        <v>Supply order ready for pickup</v>
      </c>
      <c r="AD351" s="64" t="str">
        <f t="shared" si="58"/>
        <v>Dear PSW,
Your order is ready for pickup from Sample Branch, Wed-Fri 9am-4pm.</v>
      </c>
      <c r="AE351" s="64" t="str">
        <f t="shared" si="59"/>
        <v>mailto:firstname202.lastname202@example.com?subject=Supply%20order%20ready%20for%20pickup&amp;body=Dear%20PSW%2C%0A%0AYour%20order%20is%20ready%20for%20pickup%20from%20Sample%20Branch%2C%20Wed-Fri%209am-4pm.</v>
      </c>
      <c r="AF351" s="89" t="str">
        <f t="shared" si="68"/>
        <v>Draft email</v>
      </c>
      <c r="AG351" s="64" t="str">
        <f>IF($C351="","",IFERROR(INDEX('Staff Directory'!$K$595:$K$599,MATCH($C351,'Staff Directory'!$B$5:$B$599,0)),$D351))</f>
        <v>PSW</v>
      </c>
      <c r="AH351" t="str">
        <f>IF($C351="","",IFERROR(INDEX('Staff Directory'!$I$595:$I$599,MATCH($C351,'Staff Directory'!$B$5:$B$599,0))&amp;" "&amp;INDEX('Staff Directory'!$J$595:$J$599,MATCH($C351,'Staff Directory'!$B$5:$B$599,0)),$AG351))</f>
        <v>PSW</v>
      </c>
      <c r="AI351" s="102"/>
      <c r="AJ351" s="101">
        <f>IF($F351="","",SUMIFS($J$5:$J351,$F$5:$F351,$F351))</f>
        <v>23</v>
      </c>
      <c r="AK351" s="101">
        <f t="shared" si="60"/>
        <v>23</v>
      </c>
      <c r="AL351" s="66" t="str" cm="1">
        <f t="array" ref="AL351">IF($F351="","",IFERROR(INDEX('Lot Balance'!$B$5:$B$500,MATCH(1,INDEX(('Lot Balance'!$A$5:$A$500=$F351)*('Lot Balance'!$K$5:$K$500&lt;$AK351)*('Lot Balance'!$K$5:$K$500+'Lot Balance'!$D$5:$D$500&gt;=$AK351),0),0)),""))</f>
        <v>20-21734-1</v>
      </c>
      <c r="AM351" s="66" t="str" cm="1">
        <f t="array" ref="AM351">IF($F351="","",IFERROR(INDEX('Lot Balance'!$B$5:$B$500,MATCH(1,INDEX(('Lot Balance'!$A$5:$A$500=$F351)*('Lot Balance'!$K$5:$K$500&lt;$AJ351)*('Lot Balance'!$K$5:$K$500+'Lot Balance'!$D$5:$D$500&gt;=$AJ351),0),0)),""))</f>
        <v>20-21734-1</v>
      </c>
      <c r="AN351" s="66" t="str">
        <f>IF($F351="","",IF($AI351&lt;&gt;"",IF(COUNTIFS('Lot Balance'!$A$5:$A$500,$F351,'Lot Balance'!$B$5:$B$500,$AI351)=0,"⚠ override is not a lot of this item",IF($AI351=$AL351,"Override = FEFO","Override - FEFO says "&amp;$AL351)),IF($AL351="","⚠ no receipt on file for this item",IF($AM351&lt;&gt;$AL351,"FEFO auto - split, also "&amp;$AM351,"FEFO auto"))))</f>
        <v>FEFO auto</v>
      </c>
      <c r="AO351" s="114"/>
    </row>
    <row r="352" spans="1:41" x14ac:dyDescent="0.35">
      <c r="A352" s="74">
        <v>46134</v>
      </c>
      <c r="B352" s="18" t="str">
        <f>IF($C352="","",IFERROR(INDEX('Staff Directory'!$A$5:$A$594,MATCH($C352,'Staff Directory'!$B$5:$B$594,0)),"⚠ unknown staff"))</f>
        <v>PSW-139-A4</v>
      </c>
      <c r="C352" s="49" t="s">
        <v>1118</v>
      </c>
      <c r="D352" s="19" t="str">
        <f>IF($B352="","",IFERROR(INDEX('Staff Directory'!$C$5:$C$594,MATCH($B352,'Staff Directory'!$A$5:$A$594,0)),""))</f>
        <v>PSW</v>
      </c>
      <c r="E352" s="19" t="str">
        <f>IF($B352="","",IFERROR(INDEX('Staff Directory'!$D$5:$D$594,MATCH($B352,'Staff Directory'!$A$5:$A$594,0)),""))</f>
        <v>A4</v>
      </c>
      <c r="F352" s="9" t="s">
        <v>115</v>
      </c>
      <c r="G352" s="18" t="str">
        <f>IF($F352="","",IFERROR(INDEX(Items!$B$5:$B$597,MATCH($F352,Items!$A$5:$A$597,0)),"⚠ not in Items"))</f>
        <v>Wipes</v>
      </c>
      <c r="H352" s="19">
        <f>IF($F352="","",IFERROR(INDEX(Items!$C$5:$C$597,MATCH($F352,Items!$A$5:$A$597,0)),""))</f>
        <v>80</v>
      </c>
      <c r="I352" s="23">
        <f>IF($F352="","",IFERROR(INDEX(Items!$E$5:$E$597,MATCH($F352,Items!$A$5:$A$597,0)),""))</f>
        <v>80</v>
      </c>
      <c r="J352" s="115">
        <f>IF(tblIssues[[#This Row],[Qty Override]]&lt;&gt;"",tblIssues[[#This Row],[Qty Override]],IF(tblIssues[[#This Row],[Standard Issue]]="","",tblIssues[[#This Row],[Standard Issue]]))</f>
        <v>80</v>
      </c>
      <c r="K352" s="20">
        <f>IF($F352="","",IFERROR(INDEX(Items!$D$5:$D$597,MATCH($F352,Items!$A$5:$A$597,0)),""))</f>
        <v>0.1</v>
      </c>
      <c r="L352" s="21">
        <f t="shared" si="61"/>
        <v>8</v>
      </c>
      <c r="M352" s="9" t="str">
        <f t="shared" si="62"/>
        <v>LYSL500290</v>
      </c>
      <c r="N352" s="24">
        <f>IF($A352="","",WORKDAY($A352,Settings!$C$9,HolidayDates))</f>
        <v>46142</v>
      </c>
      <c r="O352" s="24">
        <f>IF($N352="","",WORKDAY($N352,Settings!$C$10,HolidayDates))</f>
        <v>46182</v>
      </c>
      <c r="P352" s="10" t="s">
        <v>501</v>
      </c>
      <c r="Q352" s="52" t="str">
        <f t="shared" si="64"/>
        <v>Collected</v>
      </c>
      <c r="R352" s="55" t="str">
        <f t="shared" si="65"/>
        <v>2026-04</v>
      </c>
      <c r="S352" s="55">
        <f>IF(OR($B352="",$F352="",$R352=""),"",SUMIFS(tblIssues[Qty Issued],tblIssues[Staff ID],$B352,tblIssues[Item Name],$F352,tblIssues[Month],$R352))</f>
        <v>80</v>
      </c>
      <c r="T352" s="56">
        <f>IF($I352="","",$I352*Settings!$C$11)</f>
        <v>80</v>
      </c>
      <c r="U352" s="57" t="str">
        <f t="shared" si="63"/>
        <v>OK</v>
      </c>
      <c r="V352" s="55" t="str">
        <f t="shared" si="66"/>
        <v/>
      </c>
      <c r="W352" s="55" t="str">
        <f>IF($V352="","",IF(COUNTIF($V$5:$V352,$V352)=1,1,""))</f>
        <v/>
      </c>
      <c r="X352" s="58" t="str">
        <f>IF($W352="","",MAX($X$4:X351)+1)</f>
        <v/>
      </c>
      <c r="Y352" s="62"/>
      <c r="Z352" s="62"/>
      <c r="AA352" s="64" t="str">
        <f>IF($C352="","",IFERROR(INDEX('Staff Directory'!$E$5:$E$594,MATCH($C352,'Staff Directory'!$B$5:$B$594,0)),""))</f>
        <v>firstname202.lastname202@example.com</v>
      </c>
      <c r="AB352" s="64" t="str">
        <f>IF($C352="","",IF(ISNUMBER(SEARCH($D352,Settings!$C$15)),"Pickup","Dispatch"))</f>
        <v>Pickup</v>
      </c>
      <c r="AC352" s="64" t="str">
        <f t="shared" si="67"/>
        <v>Supply order ready for pickup</v>
      </c>
      <c r="AD352" s="64" t="str">
        <f t="shared" si="58"/>
        <v>Dear PSW,
Your order is ready for pickup from Sample Branch, Wed-Fri 9am-4pm.</v>
      </c>
      <c r="AE352" s="64" t="str">
        <f t="shared" si="59"/>
        <v>mailto:firstname202.lastname202@example.com?subject=Supply%20order%20ready%20for%20pickup&amp;body=Dear%20PSW%2C%0A%0AYour%20order%20is%20ready%20for%20pickup%20from%20Sample%20Branch%2C%20Wed-Fri%209am-4pm.</v>
      </c>
      <c r="AF352" s="89" t="str">
        <f t="shared" si="68"/>
        <v>Draft email</v>
      </c>
      <c r="AG352" s="64" t="str">
        <f>IF($C352="","",IFERROR(INDEX('Staff Directory'!$K$595:$K$599,MATCH($C352,'Staff Directory'!$B$5:$B$599,0)),$D352))</f>
        <v>PSW</v>
      </c>
      <c r="AH352" t="str">
        <f>IF($C352="","",IFERROR(INDEX('Staff Directory'!$I$595:$I$599,MATCH($C352,'Staff Directory'!$B$5:$B$599,0))&amp;" "&amp;INDEX('Staff Directory'!$J$595:$J$599,MATCH($C352,'Staff Directory'!$B$5:$B$599,0)),$AG352))</f>
        <v>PSW</v>
      </c>
      <c r="AI352" s="102"/>
      <c r="AJ352" s="101">
        <f>IF($F352="","",SUMIFS($J$5:$J352,$F$5:$F352,$F352))</f>
        <v>4720</v>
      </c>
      <c r="AK352" s="101">
        <f t="shared" si="60"/>
        <v>4641</v>
      </c>
      <c r="AL352" s="66" t="str" cm="1">
        <f t="array" ref="AL352">IF($F352="","",IFERROR(INDEX('Lot Balance'!$B$5:$B$500,MATCH(1,INDEX(('Lot Balance'!$A$5:$A$500=$F352)*('Lot Balance'!$K$5:$K$500&lt;$AK352)*('Lot Balance'!$K$5:$K$500+'Lot Balance'!$D$5:$D$500&gt;=$AK352),0),0)),""))</f>
        <v>LYSL500290</v>
      </c>
      <c r="AM352" s="66" t="str" cm="1">
        <f t="array" ref="AM352">IF($F352="","",IFERROR(INDEX('Lot Balance'!$B$5:$B$500,MATCH(1,INDEX(('Lot Balance'!$A$5:$A$500=$F352)*('Lot Balance'!$K$5:$K$500&lt;$AJ352)*('Lot Balance'!$K$5:$K$500+'Lot Balance'!$D$5:$D$500&gt;=$AJ352),0),0)),""))</f>
        <v>LYSL500290</v>
      </c>
      <c r="AN352" s="66" t="str">
        <f>IF($F352="","",IF($AI352&lt;&gt;"",IF(COUNTIFS('Lot Balance'!$A$5:$A$500,$F352,'Lot Balance'!$B$5:$B$500,$AI352)=0,"⚠ override is not a lot of this item",IF($AI352=$AL352,"Override = FEFO","Override - FEFO says "&amp;$AL352)),IF($AL352="","⚠ no receipt on file for this item",IF($AM352&lt;&gt;$AL352,"FEFO auto - split, also "&amp;$AM352,"FEFO auto"))))</f>
        <v>FEFO auto</v>
      </c>
      <c r="AO352" s="114"/>
    </row>
    <row r="353" spans="1:41" x14ac:dyDescent="0.35">
      <c r="A353" s="74">
        <v>46134</v>
      </c>
      <c r="B353" s="18" t="str">
        <f>IF($C353="","",IFERROR(INDEX('Staff Directory'!$A$5:$A$594,MATCH($C353,'Staff Directory'!$B$5:$B$594,0)),"⚠ unknown staff"))</f>
        <v>PSW-139-A4</v>
      </c>
      <c r="C353" s="49" t="s">
        <v>1118</v>
      </c>
      <c r="D353" s="19" t="str">
        <f>IF($B353="","",IFERROR(INDEX('Staff Directory'!$C$5:$C$594,MATCH($B353,'Staff Directory'!$A$5:$A$594,0)),""))</f>
        <v>PSW</v>
      </c>
      <c r="E353" s="19" t="str">
        <f>IF($B353="","",IFERROR(INDEX('Staff Directory'!$D$5:$D$594,MATCH($B353,'Staff Directory'!$A$5:$A$594,0)),""))</f>
        <v>A4</v>
      </c>
      <c r="F353" s="9" t="s">
        <v>156</v>
      </c>
      <c r="G353" s="18" t="str">
        <f>IF($F353="","",IFERROR(INDEX(Items!$B$5:$B$597,MATCH($F353,Items!$A$5:$A$597,0)),"⚠ not in Items"))</f>
        <v>Masks</v>
      </c>
      <c r="H353" s="19" t="str">
        <f>IF($F353="","",IFERROR(INDEX(Items!$C$5:$C$597,MATCH($F353,Items!$A$5:$A$597,0)),""))</f>
        <v>One Size</v>
      </c>
      <c r="I353" s="23">
        <f>IF($F353="","",IFERROR(INDEX(Items!$E$5:$E$597,MATCH($F353,Items!$A$5:$A$597,0)),""))</f>
        <v>50</v>
      </c>
      <c r="J353" s="115">
        <f>IF(tblIssues[[#This Row],[Qty Override]]&lt;&gt;"",tblIssues[[#This Row],[Qty Override]],IF(tblIssues[[#This Row],[Standard Issue]]="","",tblIssues[[#This Row],[Standard Issue]]))</f>
        <v>50</v>
      </c>
      <c r="K353" s="20">
        <f>IF($F353="","",IFERROR(INDEX(Items!$D$5:$D$597,MATCH($F353,Items!$A$5:$A$597,0)),""))</f>
        <v>0.25</v>
      </c>
      <c r="L353" s="21">
        <f t="shared" si="61"/>
        <v>12.5</v>
      </c>
      <c r="M353" s="9" t="str">
        <f t="shared" si="62"/>
        <v>0125FPC24-0</v>
      </c>
      <c r="N353" s="24">
        <f>IF($A353="","",WORKDAY($A353,Settings!$C$9,HolidayDates))</f>
        <v>46142</v>
      </c>
      <c r="O353" s="24">
        <f>IF($N353="","",WORKDAY($N353,Settings!$C$10,HolidayDates))</f>
        <v>46182</v>
      </c>
      <c r="P353" s="10" t="s">
        <v>501</v>
      </c>
      <c r="Q353" s="52" t="str">
        <f t="shared" si="64"/>
        <v>Collected</v>
      </c>
      <c r="R353" s="55" t="str">
        <f t="shared" si="65"/>
        <v>2026-04</v>
      </c>
      <c r="S353" s="55">
        <f>IF(OR($B353="",$F353="",$R353=""),"",SUMIFS(tblIssues[Qty Issued],tblIssues[Staff ID],$B353,tblIssues[Item Name],$F353,tblIssues[Month],$R353))</f>
        <v>50</v>
      </c>
      <c r="T353" s="56">
        <f>IF($I353="","",$I353*Settings!$C$11)</f>
        <v>50</v>
      </c>
      <c r="U353" s="57" t="str">
        <f t="shared" si="63"/>
        <v>OK</v>
      </c>
      <c r="V353" s="55" t="str">
        <f t="shared" si="66"/>
        <v/>
      </c>
      <c r="W353" s="55" t="str">
        <f>IF($V353="","",IF(COUNTIF($V$5:$V353,$V353)=1,1,""))</f>
        <v/>
      </c>
      <c r="X353" s="58" t="str">
        <f>IF($W353="","",MAX($X$4:X352)+1)</f>
        <v/>
      </c>
      <c r="Y353" s="62"/>
      <c r="Z353" s="62"/>
      <c r="AA353" s="64" t="str">
        <f>IF($C353="","",IFERROR(INDEX('Staff Directory'!$E$5:$E$594,MATCH($C353,'Staff Directory'!$B$5:$B$594,0)),""))</f>
        <v>firstname202.lastname202@example.com</v>
      </c>
      <c r="AB353" s="64" t="str">
        <f>IF($C353="","",IF(ISNUMBER(SEARCH($D353,Settings!$C$15)),"Pickup","Dispatch"))</f>
        <v>Pickup</v>
      </c>
      <c r="AC353" s="64" t="str">
        <f t="shared" si="67"/>
        <v>Supply order ready for pickup</v>
      </c>
      <c r="AD353" s="64" t="str">
        <f t="shared" si="58"/>
        <v>Dear PSW,
Your order is ready for pickup from Sample Branch, Wed-Fri 9am-4pm.</v>
      </c>
      <c r="AE353" s="64" t="str">
        <f t="shared" si="59"/>
        <v>mailto:firstname202.lastname202@example.com?subject=Supply%20order%20ready%20for%20pickup&amp;body=Dear%20PSW%2C%0A%0AYour%20order%20is%20ready%20for%20pickup%20from%20Sample%20Branch%2C%20Wed-Fri%209am-4pm.</v>
      </c>
      <c r="AF353" s="89" t="str">
        <f t="shared" si="68"/>
        <v>Draft email</v>
      </c>
      <c r="AG353" s="64" t="str">
        <f>IF($C353="","",IFERROR(INDEX('Staff Directory'!$K$595:$K$599,MATCH($C353,'Staff Directory'!$B$5:$B$599,0)),$D353))</f>
        <v>PSW</v>
      </c>
      <c r="AH353" t="str">
        <f>IF($C353="","",IFERROR(INDEX('Staff Directory'!$I$595:$I$599,MATCH($C353,'Staff Directory'!$B$5:$B$599,0))&amp;" "&amp;INDEX('Staff Directory'!$J$595:$J$599,MATCH($C353,'Staff Directory'!$B$5:$B$599,0)),$AG353))</f>
        <v>PSW</v>
      </c>
      <c r="AI353" s="102"/>
      <c r="AJ353" s="101">
        <f>IF($F353="","",SUMIFS($J$5:$J353,$F$5:$F353,$F353))</f>
        <v>2700</v>
      </c>
      <c r="AK353" s="101">
        <f t="shared" si="60"/>
        <v>2651</v>
      </c>
      <c r="AL353" s="66" t="str" cm="1">
        <f t="array" ref="AL353">IF($F353="","",IFERROR(INDEX('Lot Balance'!$B$5:$B$500,MATCH(1,INDEX(('Lot Balance'!$A$5:$A$500=$F353)*('Lot Balance'!$K$5:$K$500&lt;$AK353)*('Lot Balance'!$K$5:$K$500+'Lot Balance'!$D$5:$D$500&gt;=$AK353),0),0)),""))</f>
        <v>0125FPC24-0</v>
      </c>
      <c r="AM353" s="66" t="str" cm="1">
        <f t="array" ref="AM353">IF($F353="","",IFERROR(INDEX('Lot Balance'!$B$5:$B$500,MATCH(1,INDEX(('Lot Balance'!$A$5:$A$500=$F353)*('Lot Balance'!$K$5:$K$500&lt;$AJ353)*('Lot Balance'!$K$5:$K$500+'Lot Balance'!$D$5:$D$500&gt;=$AJ353),0),0)),""))</f>
        <v>0125FPC24-0</v>
      </c>
      <c r="AN353" s="66" t="str">
        <f>IF($F353="","",IF($AI353&lt;&gt;"",IF(COUNTIFS('Lot Balance'!$A$5:$A$500,$F353,'Lot Balance'!$B$5:$B$500,$AI353)=0,"⚠ override is not a lot of this item",IF($AI353=$AL353,"Override = FEFO","Override - FEFO says "&amp;$AL353)),IF($AL353="","⚠ no receipt on file for this item",IF($AM353&lt;&gt;$AL353,"FEFO auto - split, also "&amp;$AM353,"FEFO auto"))))</f>
        <v>FEFO auto</v>
      </c>
      <c r="AO353" s="114"/>
    </row>
    <row r="354" spans="1:41" x14ac:dyDescent="0.35">
      <c r="A354" s="74">
        <v>46134</v>
      </c>
      <c r="B354" s="18" t="str">
        <f>IF($C354="","",IFERROR(INDEX('Staff Directory'!$A$5:$A$594,MATCH($C354,'Staff Directory'!$B$5:$B$594,0)),"⚠ unknown staff"))</f>
        <v>PSW-139-A4</v>
      </c>
      <c r="C354" s="49" t="s">
        <v>1118</v>
      </c>
      <c r="D354" s="19" t="str">
        <f>IF($B354="","",IFERROR(INDEX('Staff Directory'!$C$5:$C$594,MATCH($B354,'Staff Directory'!$A$5:$A$594,0)),""))</f>
        <v>PSW</v>
      </c>
      <c r="E354" s="19" t="str">
        <f>IF($B354="","",IFERROR(INDEX('Staff Directory'!$D$5:$D$594,MATCH($B354,'Staff Directory'!$A$5:$A$594,0)),""))</f>
        <v>A4</v>
      </c>
      <c r="F354" s="9" t="s">
        <v>755</v>
      </c>
      <c r="G354" s="18" t="str">
        <f>IF($F354="","",IFERROR(INDEX(Items!$B$5:$B$597,MATCH($F354,Items!$A$5:$A$597,0)),"⚠ not in Items"))</f>
        <v>Documents</v>
      </c>
      <c r="H354" s="19" t="str">
        <f>IF($F354="","",IFERROR(INDEX(Items!$C$5:$C$597,MATCH($F354,Items!$A$5:$A$597,0)),""))</f>
        <v>Standard</v>
      </c>
      <c r="I354" s="23">
        <f>IF($F354="","",IFERROR(INDEX(Items!$E$5:$E$597,MATCH($F354,Items!$A$5:$A$597,0)),""))</f>
        <v>2</v>
      </c>
      <c r="J354" s="115">
        <f>IF(tblIssues[[#This Row],[Qty Override]]&lt;&gt;"",tblIssues[[#This Row],[Qty Override]],IF(tblIssues[[#This Row],[Standard Issue]]="","",tblIssues[[#This Row],[Standard Issue]]))</f>
        <v>2</v>
      </c>
      <c r="K354" s="20">
        <f>IF($F354="","",IFERROR(INDEX(Items!$D$5:$D$597,MATCH($F354,Items!$A$5:$A$597,0)),""))</f>
        <v>0</v>
      </c>
      <c r="L354" s="21">
        <f t="shared" si="61"/>
        <v>0</v>
      </c>
      <c r="M354" s="9" t="str">
        <f t="shared" si="62"/>
        <v/>
      </c>
      <c r="N354" s="24">
        <f>IF($A354="","",WORKDAY($A354,Settings!$C$9,HolidayDates))</f>
        <v>46142</v>
      </c>
      <c r="O354" s="24">
        <f>IF($N354="","",WORKDAY($N354,Settings!$C$10,HolidayDates))</f>
        <v>46182</v>
      </c>
      <c r="P354" s="10" t="s">
        <v>501</v>
      </c>
      <c r="Q354" s="52" t="str">
        <f t="shared" si="64"/>
        <v>Collected</v>
      </c>
      <c r="R354" s="55" t="str">
        <f t="shared" si="65"/>
        <v>2026-04</v>
      </c>
      <c r="S354" s="55">
        <f>IF(OR($B354="",$F354="",$R354=""),"",SUMIFS(tblIssues[Qty Issued],tblIssues[Staff ID],$B354,tblIssues[Item Name],$F354,tblIssues[Month],$R354))</f>
        <v>2</v>
      </c>
      <c r="T354" s="56">
        <f>IF($I354="","",$I354*Settings!$C$11)</f>
        <v>2</v>
      </c>
      <c r="U354" s="57" t="str">
        <f t="shared" si="63"/>
        <v>OK</v>
      </c>
      <c r="V354" s="55" t="str">
        <f t="shared" si="66"/>
        <v/>
      </c>
      <c r="W354" s="55" t="str">
        <f>IF($V354="","",IF(COUNTIF($V$5:$V354,$V354)=1,1,""))</f>
        <v/>
      </c>
      <c r="X354" s="58" t="str">
        <f>IF($W354="","",MAX($X$4:X353)+1)</f>
        <v/>
      </c>
      <c r="Y354" s="62"/>
      <c r="Z354" s="62"/>
      <c r="AA354" s="64" t="str">
        <f>IF($C354="","",IFERROR(INDEX('Staff Directory'!$E$5:$E$594,MATCH($C354,'Staff Directory'!$B$5:$B$594,0)),""))</f>
        <v>firstname202.lastname202@example.com</v>
      </c>
      <c r="AB354" s="64" t="str">
        <f>IF($C354="","",IF(ISNUMBER(SEARCH($D354,Settings!$C$15)),"Pickup","Dispatch"))</f>
        <v>Pickup</v>
      </c>
      <c r="AC354" s="64" t="str">
        <f t="shared" si="67"/>
        <v>Supply order ready for pickup</v>
      </c>
      <c r="AD354" s="64" t="str">
        <f t="shared" si="58"/>
        <v>Dear PSW,
Your order is ready for pickup from Sample Branch, Wed-Fri 9am-4pm.</v>
      </c>
      <c r="AE354" s="64" t="str">
        <f t="shared" si="59"/>
        <v>mailto:firstname202.lastname202@example.com?subject=Supply%20order%20ready%20for%20pickup&amp;body=Dear%20PSW%2C%0A%0AYour%20order%20is%20ready%20for%20pickup%20from%20Sample%20Branch%2C%20Wed-Fri%209am-4pm.</v>
      </c>
      <c r="AF354" s="89" t="str">
        <f t="shared" si="68"/>
        <v>Draft email</v>
      </c>
      <c r="AG354" s="64" t="str">
        <f>IF($C354="","",IFERROR(INDEX('Staff Directory'!$K$595:$K$599,MATCH($C354,'Staff Directory'!$B$5:$B$599,0)),$D354))</f>
        <v>PSW</v>
      </c>
      <c r="AH354" t="str">
        <f>IF($C354="","",IFERROR(INDEX('Staff Directory'!$I$595:$I$599,MATCH($C354,'Staff Directory'!$B$5:$B$599,0))&amp;" "&amp;INDEX('Staff Directory'!$J$595:$J$599,MATCH($C354,'Staff Directory'!$B$5:$B$599,0)),$AG354))</f>
        <v>PSW</v>
      </c>
      <c r="AI354" s="102"/>
      <c r="AJ354" s="101">
        <f>IF($F354="","",SUMIFS($J$5:$J354,$F$5:$F354,$F354))</f>
        <v>96</v>
      </c>
      <c r="AK354" s="101">
        <f t="shared" si="60"/>
        <v>95</v>
      </c>
      <c r="AL354" s="66" t="str" cm="1">
        <f t="array" ref="AL354">IF($F354="","",IFERROR(INDEX('Lot Balance'!$B$5:$B$500,MATCH(1,INDEX(('Lot Balance'!$A$5:$A$500=$F354)*('Lot Balance'!$K$5:$K$500&lt;$AK354)*('Lot Balance'!$K$5:$K$500+'Lot Balance'!$D$5:$D$500&gt;=$AK354),0),0)),""))</f>
        <v/>
      </c>
      <c r="AM354" s="66" t="str" cm="1">
        <f t="array" ref="AM354">IF($F354="","",IFERROR(INDEX('Lot Balance'!$B$5:$B$500,MATCH(1,INDEX(('Lot Balance'!$A$5:$A$500=$F354)*('Lot Balance'!$K$5:$K$500&lt;$AJ354)*('Lot Balance'!$K$5:$K$500+'Lot Balance'!$D$5:$D$500&gt;=$AJ354),0),0)),""))</f>
        <v/>
      </c>
      <c r="AN354" s="66" t="str">
        <f>IF($F354="","",IF($AI354&lt;&gt;"",IF(COUNTIFS('Lot Balance'!$A$5:$A$500,$F354,'Lot Balance'!$B$5:$B$500,$AI354)=0,"⚠ override is not a lot of this item",IF($AI354=$AL354,"Override = FEFO","Override - FEFO says "&amp;$AL354)),IF($AL354="","⚠ no receipt on file for this item",IF($AM354&lt;&gt;$AL354,"FEFO auto - split, also "&amp;$AM354,"FEFO auto"))))</f>
        <v>⚠ no receipt on file for this item</v>
      </c>
      <c r="AO354" s="114"/>
    </row>
    <row r="355" spans="1:41" x14ac:dyDescent="0.35">
      <c r="A355" s="74">
        <v>46134</v>
      </c>
      <c r="B355" s="18" t="str">
        <f>IF($C355="","",IFERROR(INDEX('Staff Directory'!$A$5:$A$594,MATCH($C355,'Staff Directory'!$B$5:$B$594,0)),"⚠ unknown staff"))</f>
        <v>PSW-024-A4</v>
      </c>
      <c r="C355" s="49" t="s">
        <v>1000</v>
      </c>
      <c r="D355" s="19" t="str">
        <f>IF($B355="","",IFERROR(INDEX('Staff Directory'!$C$5:$C$594,MATCH($B355,'Staff Directory'!$A$5:$A$594,0)),""))</f>
        <v>PSW</v>
      </c>
      <c r="E355" s="19" t="str">
        <f>IF($B355="","",IFERROR(INDEX('Staff Directory'!$D$5:$D$594,MATCH($B355,'Staff Directory'!$A$5:$A$594,0)),""))</f>
        <v>A4</v>
      </c>
      <c r="F355" s="9" t="s">
        <v>127</v>
      </c>
      <c r="G355" s="18" t="str">
        <f>IF($F355="","",IFERROR(INDEX(Items!$B$5:$B$597,MATCH($F355,Items!$A$5:$A$597,0)),"⚠ not in Items"))</f>
        <v>Gloves</v>
      </c>
      <c r="H355" s="19" t="str">
        <f>IF($F355="","",IFERROR(INDEX(Items!$C$5:$C$597,MATCH($F355,Items!$A$5:$A$597,0)),""))</f>
        <v>Medium</v>
      </c>
      <c r="I355" s="23">
        <f>IF($F355="","",IFERROR(INDEX(Items!$E$5:$E$597,MATCH($F355,Items!$A$5:$A$597,0)),""))</f>
        <v>500</v>
      </c>
      <c r="J355" s="115">
        <f>IF(tblIssues[[#This Row],[Qty Override]]&lt;&gt;"",tblIssues[[#This Row],[Qty Override]],IF(tblIssues[[#This Row],[Standard Issue]]="","",tblIssues[[#This Row],[Standard Issue]]))</f>
        <v>500</v>
      </c>
      <c r="K355" s="20">
        <f>IF($F355="","",IFERROR(INDEX(Items!$D$5:$D$597,MATCH($F355,Items!$A$5:$A$597,0)),""))</f>
        <v>5.5E-2</v>
      </c>
      <c r="L355" s="21">
        <f t="shared" si="61"/>
        <v>27.5</v>
      </c>
      <c r="M355" s="9" t="str">
        <f t="shared" si="62"/>
        <v>0312HIC25</v>
      </c>
      <c r="N355" s="24">
        <f>IF($A355="","",WORKDAY($A355,Settings!$C$9,HolidayDates))</f>
        <v>46142</v>
      </c>
      <c r="O355" s="24">
        <f>IF($N355="","",WORKDAY($N355,Settings!$C$10,HolidayDates))</f>
        <v>46182</v>
      </c>
      <c r="P355" s="10" t="s">
        <v>501</v>
      </c>
      <c r="Q355" s="52" t="str">
        <f t="shared" si="64"/>
        <v>Collected</v>
      </c>
      <c r="R355" s="55" t="str">
        <f t="shared" si="65"/>
        <v>2026-04</v>
      </c>
      <c r="S355" s="55">
        <f>IF(OR($B355="",$F355="",$R355=""),"",SUMIFS(tblIssues[Qty Issued],tblIssues[Staff ID],$B355,tblIssues[Item Name],$F355,tblIssues[Month],$R355))</f>
        <v>500</v>
      </c>
      <c r="T355" s="56">
        <f>IF($I355="","",$I355*Settings!$C$11)</f>
        <v>500</v>
      </c>
      <c r="U355" s="57" t="str">
        <f t="shared" si="63"/>
        <v>OK</v>
      </c>
      <c r="V355" s="55" t="str">
        <f t="shared" si="66"/>
        <v/>
      </c>
      <c r="W355" s="55" t="str">
        <f>IF($V355="","",IF(COUNTIF($V$5:$V355,$V355)=1,1,""))</f>
        <v/>
      </c>
      <c r="X355" s="58" t="str">
        <f>IF($W355="","",MAX($X$4:X354)+1)</f>
        <v/>
      </c>
      <c r="Y355" s="62"/>
      <c r="Z355" s="62"/>
      <c r="AA355" s="64" t="str">
        <f>IF($C355="","",IFERROR(INDEX('Staff Directory'!$E$5:$E$594,MATCH($C355,'Staff Directory'!$B$5:$B$594,0)),""))</f>
        <v>firstname084.lastname084@example.com</v>
      </c>
      <c r="AB355" s="64" t="str">
        <f>IF($C355="","",IF(ISNUMBER(SEARCH($D355,Settings!$C$15)),"Pickup","Dispatch"))</f>
        <v>Pickup</v>
      </c>
      <c r="AC355" s="64" t="str">
        <f t="shared" si="67"/>
        <v>Supply order ready for pickup</v>
      </c>
      <c r="AD355" s="64" t="str">
        <f t="shared" si="58"/>
        <v>Dear PSW,
Your order is ready for pickup from Sample Branch, Wed-Fri 9am-4pm.</v>
      </c>
      <c r="AE355" s="64" t="str">
        <f t="shared" si="59"/>
        <v>mailto:firstname084.lastname084@example.com?subject=Supply%20order%20ready%20for%20pickup&amp;body=Dear%20PSW%2C%0A%0AYour%20order%20is%20ready%20for%20pickup%20from%20Sample%20Branch%2C%20Wed-Fri%209am-4pm.</v>
      </c>
      <c r="AF355" s="89" t="str">
        <f t="shared" si="68"/>
        <v>Draft email</v>
      </c>
      <c r="AG355" s="64" t="str">
        <f>IF($C355="","",IFERROR(INDEX('Staff Directory'!$K$595:$K$599,MATCH($C355,'Staff Directory'!$B$5:$B$599,0)),$D355))</f>
        <v>PSW</v>
      </c>
      <c r="AH355" t="str">
        <f>IF($C355="","",IFERROR(INDEX('Staff Directory'!$I$595:$I$599,MATCH($C355,'Staff Directory'!$B$5:$B$599,0))&amp;" "&amp;INDEX('Staff Directory'!$J$595:$J$599,MATCH($C355,'Staff Directory'!$B$5:$B$599,0)),$AG355))</f>
        <v>PSW</v>
      </c>
      <c r="AI355" s="102"/>
      <c r="AJ355" s="101">
        <f>IF($F355="","",SUMIFS($J$5:$J355,$F$5:$F355,$F355))</f>
        <v>20500</v>
      </c>
      <c r="AK355" s="101">
        <f t="shared" si="60"/>
        <v>20001</v>
      </c>
      <c r="AL355" s="66" t="str" cm="1">
        <f t="array" ref="AL355">IF($F355="","",IFERROR(INDEX('Lot Balance'!$B$5:$B$500,MATCH(1,INDEX(('Lot Balance'!$A$5:$A$500=$F355)*('Lot Balance'!$K$5:$K$500&lt;$AK355)*('Lot Balance'!$K$5:$K$500+'Lot Balance'!$D$5:$D$500&gt;=$AK355),0),0)),""))</f>
        <v>0312HIC25</v>
      </c>
      <c r="AM355" s="66" t="str" cm="1">
        <f t="array" ref="AM355">IF($F355="","",IFERROR(INDEX('Lot Balance'!$B$5:$B$500,MATCH(1,INDEX(('Lot Balance'!$A$5:$A$500=$F355)*('Lot Balance'!$K$5:$K$500&lt;$AJ355)*('Lot Balance'!$K$5:$K$500+'Lot Balance'!$D$5:$D$500&gt;=$AJ355),0),0)),""))</f>
        <v>0312HIC25</v>
      </c>
      <c r="AN355" s="66" t="str">
        <f>IF($F355="","",IF($AI355&lt;&gt;"",IF(COUNTIFS('Lot Balance'!$A$5:$A$500,$F355,'Lot Balance'!$B$5:$B$500,$AI355)=0,"⚠ override is not a lot of this item",IF($AI355=$AL355,"Override = FEFO","Override - FEFO says "&amp;$AL355)),IF($AL355="","⚠ no receipt on file for this item",IF($AM355&lt;&gt;$AL355,"FEFO auto - split, also "&amp;$AM355,"FEFO auto"))))</f>
        <v>FEFO auto</v>
      </c>
      <c r="AO355" s="114"/>
    </row>
    <row r="356" spans="1:41" x14ac:dyDescent="0.35">
      <c r="A356" s="74">
        <v>46134</v>
      </c>
      <c r="B356" s="18" t="str">
        <f>IF($C356="","",IFERROR(INDEX('Staff Directory'!$A$5:$A$594,MATCH($C356,'Staff Directory'!$B$5:$B$594,0)),"⚠ unknown staff"))</f>
        <v>PSW-024-A4</v>
      </c>
      <c r="C356" s="49" t="s">
        <v>1000</v>
      </c>
      <c r="D356" s="19" t="str">
        <f>IF($B356="","",IFERROR(INDEX('Staff Directory'!$C$5:$C$594,MATCH($B356,'Staff Directory'!$A$5:$A$594,0)),""))</f>
        <v>PSW</v>
      </c>
      <c r="E356" s="19" t="str">
        <f>IF($B356="","",IFERROR(INDEX('Staff Directory'!$D$5:$D$594,MATCH($B356,'Staff Directory'!$A$5:$A$594,0)),""))</f>
        <v>A4</v>
      </c>
      <c r="F356" s="9" t="s">
        <v>191</v>
      </c>
      <c r="G356" s="18" t="str">
        <f>IF($F356="","",IFERROR(INDEX(Items!$B$5:$B$597,MATCH($F356,Items!$A$5:$A$597,0)),"⚠ not in Items"))</f>
        <v>Sanitizer</v>
      </c>
      <c r="H356" s="19" t="str">
        <f>IF($F356="","",IFERROR(INDEX(Items!$C$5:$C$597,MATCH($F356,Items!$A$5:$A$597,0)),""))</f>
        <v>236 ML</v>
      </c>
      <c r="I356" s="23">
        <f>IF($F356="","",IFERROR(INDEX(Items!$E$5:$E$597,MATCH($F356,Items!$A$5:$A$597,0)),""))</f>
        <v>1</v>
      </c>
      <c r="J356" s="115">
        <f>IF(tblIssues[[#This Row],[Qty Override]]&lt;&gt;"",tblIssues[[#This Row],[Qty Override]],IF(tblIssues[[#This Row],[Standard Issue]]="","",tblIssues[[#This Row],[Standard Issue]]))</f>
        <v>1</v>
      </c>
      <c r="K356" s="20">
        <f>IF($F356="","",IFERROR(INDEX(Items!$D$5:$D$597,MATCH($F356,Items!$A$5:$A$597,0)),""))</f>
        <v>1E-4</v>
      </c>
      <c r="L356" s="21">
        <f t="shared" si="61"/>
        <v>1E-4</v>
      </c>
      <c r="M356" s="9" t="str">
        <f t="shared" si="62"/>
        <v>20-21734-1</v>
      </c>
      <c r="N356" s="24">
        <f>IF($A356="","",WORKDAY($A356,Settings!$C$9,HolidayDates))</f>
        <v>46142</v>
      </c>
      <c r="O356" s="24">
        <f>IF($N356="","",WORKDAY($N356,Settings!$C$10,HolidayDates))</f>
        <v>46182</v>
      </c>
      <c r="P356" s="10" t="s">
        <v>501</v>
      </c>
      <c r="Q356" s="52" t="str">
        <f t="shared" si="64"/>
        <v>Collected</v>
      </c>
      <c r="R356" s="55" t="str">
        <f t="shared" si="65"/>
        <v>2026-04</v>
      </c>
      <c r="S356" s="55">
        <f>IF(OR($B356="",$F356="",$R356=""),"",SUMIFS(tblIssues[Qty Issued],tblIssues[Staff ID],$B356,tblIssues[Item Name],$F356,tblIssues[Month],$R356))</f>
        <v>1</v>
      </c>
      <c r="T356" s="56">
        <f>IF($I356="","",$I356*Settings!$C$11)</f>
        <v>1</v>
      </c>
      <c r="U356" s="57" t="str">
        <f t="shared" si="63"/>
        <v>OK</v>
      </c>
      <c r="V356" s="55" t="str">
        <f t="shared" si="66"/>
        <v/>
      </c>
      <c r="W356" s="55" t="str">
        <f>IF($V356="","",IF(COUNTIF($V$5:$V356,$V356)=1,1,""))</f>
        <v/>
      </c>
      <c r="X356" s="58" t="str">
        <f>IF($W356="","",MAX($X$4:X355)+1)</f>
        <v/>
      </c>
      <c r="Y356" s="62"/>
      <c r="Z356" s="62"/>
      <c r="AA356" s="64" t="str">
        <f>IF($C356="","",IFERROR(INDEX('Staff Directory'!$E$5:$E$594,MATCH($C356,'Staff Directory'!$B$5:$B$594,0)),""))</f>
        <v>firstname084.lastname084@example.com</v>
      </c>
      <c r="AB356" s="64" t="str">
        <f>IF($C356="","",IF(ISNUMBER(SEARCH($D356,Settings!$C$15)),"Pickup","Dispatch"))</f>
        <v>Pickup</v>
      </c>
      <c r="AC356" s="64" t="str">
        <f t="shared" si="67"/>
        <v>Supply order ready for pickup</v>
      </c>
      <c r="AD356" s="64" t="str">
        <f t="shared" si="58"/>
        <v>Dear PSW,
Your order is ready for pickup from Sample Branch, Wed-Fri 9am-4pm.</v>
      </c>
      <c r="AE356" s="64" t="str">
        <f t="shared" si="59"/>
        <v>mailto:firstname084.lastname084@example.com?subject=Supply%20order%20ready%20for%20pickup&amp;body=Dear%20PSW%2C%0A%0AYour%20order%20is%20ready%20for%20pickup%20from%20Sample%20Branch%2C%20Wed-Fri%209am-4pm.</v>
      </c>
      <c r="AF356" s="89" t="str">
        <f t="shared" si="68"/>
        <v>Draft email</v>
      </c>
      <c r="AG356" s="64" t="str">
        <f>IF($C356="","",IFERROR(INDEX('Staff Directory'!$K$595:$K$599,MATCH($C356,'Staff Directory'!$B$5:$B$599,0)),$D356))</f>
        <v>PSW</v>
      </c>
      <c r="AH356" t="str">
        <f>IF($C356="","",IFERROR(INDEX('Staff Directory'!$I$595:$I$599,MATCH($C356,'Staff Directory'!$B$5:$B$599,0))&amp;" "&amp;INDEX('Staff Directory'!$J$595:$J$599,MATCH($C356,'Staff Directory'!$B$5:$B$599,0)),$AG356))</f>
        <v>PSW</v>
      </c>
      <c r="AI356" s="102"/>
      <c r="AJ356" s="101">
        <f>IF($F356="","",SUMIFS($J$5:$J356,$F$5:$F356,$F356))</f>
        <v>24</v>
      </c>
      <c r="AK356" s="101">
        <f t="shared" si="60"/>
        <v>24</v>
      </c>
      <c r="AL356" s="66" t="str" cm="1">
        <f t="array" ref="AL356">IF($F356="","",IFERROR(INDEX('Lot Balance'!$B$5:$B$500,MATCH(1,INDEX(('Lot Balance'!$A$5:$A$500=$F356)*('Lot Balance'!$K$5:$K$500&lt;$AK356)*('Lot Balance'!$K$5:$K$500+'Lot Balance'!$D$5:$D$500&gt;=$AK356),0),0)),""))</f>
        <v>20-21734-1</v>
      </c>
      <c r="AM356" s="66" t="str" cm="1">
        <f t="array" ref="AM356">IF($F356="","",IFERROR(INDEX('Lot Balance'!$B$5:$B$500,MATCH(1,INDEX(('Lot Balance'!$A$5:$A$500=$F356)*('Lot Balance'!$K$5:$K$500&lt;$AJ356)*('Lot Balance'!$K$5:$K$500+'Lot Balance'!$D$5:$D$500&gt;=$AJ356),0),0)),""))</f>
        <v>20-21734-1</v>
      </c>
      <c r="AN356" s="66" t="str">
        <f>IF($F356="","",IF($AI356&lt;&gt;"",IF(COUNTIFS('Lot Balance'!$A$5:$A$500,$F356,'Lot Balance'!$B$5:$B$500,$AI356)=0,"⚠ override is not a lot of this item",IF($AI356=$AL356,"Override = FEFO","Override - FEFO says "&amp;$AL356)),IF($AL356="","⚠ no receipt on file for this item",IF($AM356&lt;&gt;$AL356,"FEFO auto - split, also "&amp;$AM356,"FEFO auto"))))</f>
        <v>FEFO auto</v>
      </c>
      <c r="AO356" s="114"/>
    </row>
    <row r="357" spans="1:41" x14ac:dyDescent="0.35">
      <c r="A357" s="74">
        <v>46134</v>
      </c>
      <c r="B357" s="18" t="str">
        <f>IF($C357="","",IFERROR(INDEX('Staff Directory'!$A$5:$A$594,MATCH($C357,'Staff Directory'!$B$5:$B$594,0)),"⚠ unknown staff"))</f>
        <v>PSW-024-A4</v>
      </c>
      <c r="C357" s="49" t="s">
        <v>1000</v>
      </c>
      <c r="D357" s="19" t="str">
        <f>IF($B357="","",IFERROR(INDEX('Staff Directory'!$C$5:$C$594,MATCH($B357,'Staff Directory'!$A$5:$A$594,0)),""))</f>
        <v>PSW</v>
      </c>
      <c r="E357" s="19" t="str">
        <f>IF($B357="","",IFERROR(INDEX('Staff Directory'!$D$5:$D$594,MATCH($B357,'Staff Directory'!$A$5:$A$594,0)),""))</f>
        <v>A4</v>
      </c>
      <c r="F357" s="9" t="s">
        <v>115</v>
      </c>
      <c r="G357" s="18" t="str">
        <f>IF($F357="","",IFERROR(INDEX(Items!$B$5:$B$597,MATCH($F357,Items!$A$5:$A$597,0)),"⚠ not in Items"))</f>
        <v>Wipes</v>
      </c>
      <c r="H357" s="19">
        <f>IF($F357="","",IFERROR(INDEX(Items!$C$5:$C$597,MATCH($F357,Items!$A$5:$A$597,0)),""))</f>
        <v>80</v>
      </c>
      <c r="I357" s="23">
        <f>IF($F357="","",IFERROR(INDEX(Items!$E$5:$E$597,MATCH($F357,Items!$A$5:$A$597,0)),""))</f>
        <v>80</v>
      </c>
      <c r="J357" s="115">
        <f>IF(tblIssues[[#This Row],[Qty Override]]&lt;&gt;"",tblIssues[[#This Row],[Qty Override]],IF(tblIssues[[#This Row],[Standard Issue]]="","",tblIssues[[#This Row],[Standard Issue]]))</f>
        <v>80</v>
      </c>
      <c r="K357" s="20">
        <f>IF($F357="","",IFERROR(INDEX(Items!$D$5:$D$597,MATCH($F357,Items!$A$5:$A$597,0)),""))</f>
        <v>0.1</v>
      </c>
      <c r="L357" s="21">
        <f t="shared" si="61"/>
        <v>8</v>
      </c>
      <c r="M357" s="9" t="str">
        <f t="shared" si="62"/>
        <v>LYSL500290</v>
      </c>
      <c r="N357" s="24">
        <f>IF($A357="","",WORKDAY($A357,Settings!$C$9,HolidayDates))</f>
        <v>46142</v>
      </c>
      <c r="O357" s="24">
        <f>IF($N357="","",WORKDAY($N357,Settings!$C$10,HolidayDates))</f>
        <v>46182</v>
      </c>
      <c r="P357" s="10" t="s">
        <v>501</v>
      </c>
      <c r="Q357" s="52" t="str">
        <f t="shared" si="64"/>
        <v>Collected</v>
      </c>
      <c r="R357" s="55" t="str">
        <f t="shared" si="65"/>
        <v>2026-04</v>
      </c>
      <c r="S357" s="55">
        <f>IF(OR($B357="",$F357="",$R357=""),"",SUMIFS(tblIssues[Qty Issued],tblIssues[Staff ID],$B357,tblIssues[Item Name],$F357,tblIssues[Month],$R357))</f>
        <v>80</v>
      </c>
      <c r="T357" s="56">
        <f>IF($I357="","",$I357*Settings!$C$11)</f>
        <v>80</v>
      </c>
      <c r="U357" s="57" t="str">
        <f t="shared" si="63"/>
        <v>OK</v>
      </c>
      <c r="V357" s="55" t="str">
        <f t="shared" si="66"/>
        <v/>
      </c>
      <c r="W357" s="55" t="str">
        <f>IF($V357="","",IF(COUNTIF($V$5:$V357,$V357)=1,1,""))</f>
        <v/>
      </c>
      <c r="X357" s="58" t="str">
        <f>IF($W357="","",MAX($X$4:X356)+1)</f>
        <v/>
      </c>
      <c r="Y357" s="62"/>
      <c r="Z357" s="62"/>
      <c r="AA357" s="64" t="str">
        <f>IF($C357="","",IFERROR(INDEX('Staff Directory'!$E$5:$E$594,MATCH($C357,'Staff Directory'!$B$5:$B$594,0)),""))</f>
        <v>firstname084.lastname084@example.com</v>
      </c>
      <c r="AB357" s="64" t="str">
        <f>IF($C357="","",IF(ISNUMBER(SEARCH($D357,Settings!$C$15)),"Pickup","Dispatch"))</f>
        <v>Pickup</v>
      </c>
      <c r="AC357" s="64" t="str">
        <f t="shared" si="67"/>
        <v>Supply order ready for pickup</v>
      </c>
      <c r="AD357" s="64" t="str">
        <f t="shared" si="58"/>
        <v>Dear PSW,
Your order is ready for pickup from Sample Branch, Wed-Fri 9am-4pm.</v>
      </c>
      <c r="AE357" s="64" t="str">
        <f t="shared" si="59"/>
        <v>mailto:firstname084.lastname084@example.com?subject=Supply%20order%20ready%20for%20pickup&amp;body=Dear%20PSW%2C%0A%0AYour%20order%20is%20ready%20for%20pickup%20from%20Sample%20Branch%2C%20Wed-Fri%209am-4pm.</v>
      </c>
      <c r="AF357" s="89" t="str">
        <f t="shared" si="68"/>
        <v>Draft email</v>
      </c>
      <c r="AG357" s="64" t="str">
        <f>IF($C357="","",IFERROR(INDEX('Staff Directory'!$K$595:$K$599,MATCH($C357,'Staff Directory'!$B$5:$B$599,0)),$D357))</f>
        <v>PSW</v>
      </c>
      <c r="AH357" t="str">
        <f>IF($C357="","",IFERROR(INDEX('Staff Directory'!$I$595:$I$599,MATCH($C357,'Staff Directory'!$B$5:$B$599,0))&amp;" "&amp;INDEX('Staff Directory'!$J$595:$J$599,MATCH($C357,'Staff Directory'!$B$5:$B$599,0)),$AG357))</f>
        <v>PSW</v>
      </c>
      <c r="AI357" s="102"/>
      <c r="AJ357" s="101">
        <f>IF($F357="","",SUMIFS($J$5:$J357,$F$5:$F357,$F357))</f>
        <v>4800</v>
      </c>
      <c r="AK357" s="101">
        <f t="shared" si="60"/>
        <v>4721</v>
      </c>
      <c r="AL357" s="66" t="str" cm="1">
        <f t="array" ref="AL357">IF($F357="","",IFERROR(INDEX('Lot Balance'!$B$5:$B$500,MATCH(1,INDEX(('Lot Balance'!$A$5:$A$500=$F357)*('Lot Balance'!$K$5:$K$500&lt;$AK357)*('Lot Balance'!$K$5:$K$500+'Lot Balance'!$D$5:$D$500&gt;=$AK357),0),0)),""))</f>
        <v>LYSL500290</v>
      </c>
      <c r="AM357" s="66" t="str" cm="1">
        <f t="array" ref="AM357">IF($F357="","",IFERROR(INDEX('Lot Balance'!$B$5:$B$500,MATCH(1,INDEX(('Lot Balance'!$A$5:$A$500=$F357)*('Lot Balance'!$K$5:$K$500&lt;$AJ357)*('Lot Balance'!$K$5:$K$500+'Lot Balance'!$D$5:$D$500&gt;=$AJ357),0),0)),""))</f>
        <v>LYSL500290</v>
      </c>
      <c r="AN357" s="66" t="str">
        <f>IF($F357="","",IF($AI357&lt;&gt;"",IF(COUNTIFS('Lot Balance'!$A$5:$A$500,$F357,'Lot Balance'!$B$5:$B$500,$AI357)=0,"⚠ override is not a lot of this item",IF($AI357=$AL357,"Override = FEFO","Override - FEFO says "&amp;$AL357)),IF($AL357="","⚠ no receipt on file for this item",IF($AM357&lt;&gt;$AL357,"FEFO auto - split, also "&amp;$AM357,"FEFO auto"))))</f>
        <v>FEFO auto</v>
      </c>
      <c r="AO357" s="114"/>
    </row>
    <row r="358" spans="1:41" x14ac:dyDescent="0.35">
      <c r="A358" s="74">
        <v>46134</v>
      </c>
      <c r="B358" s="18" t="str">
        <f>IF($C358="","",IFERROR(INDEX('Staff Directory'!$A$5:$A$594,MATCH($C358,'Staff Directory'!$B$5:$B$594,0)),"⚠ unknown staff"))</f>
        <v>PSW-024-A4</v>
      </c>
      <c r="C358" s="49" t="s">
        <v>1000</v>
      </c>
      <c r="D358" s="19" t="str">
        <f>IF($B358="","",IFERROR(INDEX('Staff Directory'!$C$5:$C$594,MATCH($B358,'Staff Directory'!$A$5:$A$594,0)),""))</f>
        <v>PSW</v>
      </c>
      <c r="E358" s="19" t="str">
        <f>IF($B358="","",IFERROR(INDEX('Staff Directory'!$D$5:$D$594,MATCH($B358,'Staff Directory'!$A$5:$A$594,0)),""))</f>
        <v>A4</v>
      </c>
      <c r="F358" s="9" t="s">
        <v>156</v>
      </c>
      <c r="G358" s="18" t="str">
        <f>IF($F358="","",IFERROR(INDEX(Items!$B$5:$B$597,MATCH($F358,Items!$A$5:$A$597,0)),"⚠ not in Items"))</f>
        <v>Masks</v>
      </c>
      <c r="H358" s="19" t="str">
        <f>IF($F358="","",IFERROR(INDEX(Items!$C$5:$C$597,MATCH($F358,Items!$A$5:$A$597,0)),""))</f>
        <v>One Size</v>
      </c>
      <c r="I358" s="23">
        <f>IF($F358="","",IFERROR(INDEX(Items!$E$5:$E$597,MATCH($F358,Items!$A$5:$A$597,0)),""))</f>
        <v>50</v>
      </c>
      <c r="J358" s="115">
        <f>IF(tblIssues[[#This Row],[Qty Override]]&lt;&gt;"",tblIssues[[#This Row],[Qty Override]],IF(tblIssues[[#This Row],[Standard Issue]]="","",tblIssues[[#This Row],[Standard Issue]]))</f>
        <v>50</v>
      </c>
      <c r="K358" s="20">
        <f>IF($F358="","",IFERROR(INDEX(Items!$D$5:$D$597,MATCH($F358,Items!$A$5:$A$597,0)),""))</f>
        <v>0.25</v>
      </c>
      <c r="L358" s="21">
        <f t="shared" si="61"/>
        <v>12.5</v>
      </c>
      <c r="M358" s="9" t="str">
        <f t="shared" si="62"/>
        <v>0125FPC24-0</v>
      </c>
      <c r="N358" s="24">
        <f>IF($A358="","",WORKDAY($A358,Settings!$C$9,HolidayDates))</f>
        <v>46142</v>
      </c>
      <c r="O358" s="24">
        <f>IF($N358="","",WORKDAY($N358,Settings!$C$10,HolidayDates))</f>
        <v>46182</v>
      </c>
      <c r="P358" s="10" t="s">
        <v>501</v>
      </c>
      <c r="Q358" s="52" t="str">
        <f t="shared" si="64"/>
        <v>Collected</v>
      </c>
      <c r="R358" s="55" t="str">
        <f t="shared" si="65"/>
        <v>2026-04</v>
      </c>
      <c r="S358" s="55">
        <f>IF(OR($B358="",$F358="",$R358=""),"",SUMIFS(tblIssues[Qty Issued],tblIssues[Staff ID],$B358,tblIssues[Item Name],$F358,tblIssues[Month],$R358))</f>
        <v>50</v>
      </c>
      <c r="T358" s="56">
        <f>IF($I358="","",$I358*Settings!$C$11)</f>
        <v>50</v>
      </c>
      <c r="U358" s="57" t="str">
        <f t="shared" si="63"/>
        <v>OK</v>
      </c>
      <c r="V358" s="55" t="str">
        <f t="shared" si="66"/>
        <v/>
      </c>
      <c r="W358" s="55" t="str">
        <f>IF($V358="","",IF(COUNTIF($V$5:$V358,$V358)=1,1,""))</f>
        <v/>
      </c>
      <c r="X358" s="58" t="str">
        <f>IF($W358="","",MAX($X$4:X357)+1)</f>
        <v/>
      </c>
      <c r="Y358" s="62"/>
      <c r="Z358" s="62"/>
      <c r="AA358" s="64" t="str">
        <f>IF($C358="","",IFERROR(INDEX('Staff Directory'!$E$5:$E$594,MATCH($C358,'Staff Directory'!$B$5:$B$594,0)),""))</f>
        <v>firstname084.lastname084@example.com</v>
      </c>
      <c r="AB358" s="64" t="str">
        <f>IF($C358="","",IF(ISNUMBER(SEARCH($D358,Settings!$C$15)),"Pickup","Dispatch"))</f>
        <v>Pickup</v>
      </c>
      <c r="AC358" s="64" t="str">
        <f t="shared" si="67"/>
        <v>Supply order ready for pickup</v>
      </c>
      <c r="AD358" s="64" t="str">
        <f t="shared" si="58"/>
        <v>Dear PSW,
Your order is ready for pickup from Sample Branch, Wed-Fri 9am-4pm.</v>
      </c>
      <c r="AE358" s="64" t="str">
        <f t="shared" si="59"/>
        <v>mailto:firstname084.lastname084@example.com?subject=Supply%20order%20ready%20for%20pickup&amp;body=Dear%20PSW%2C%0A%0AYour%20order%20is%20ready%20for%20pickup%20from%20Sample%20Branch%2C%20Wed-Fri%209am-4pm.</v>
      </c>
      <c r="AF358" s="89" t="str">
        <f t="shared" si="68"/>
        <v>Draft email</v>
      </c>
      <c r="AG358" s="64" t="str">
        <f>IF($C358="","",IFERROR(INDEX('Staff Directory'!$K$595:$K$599,MATCH($C358,'Staff Directory'!$B$5:$B$599,0)),$D358))</f>
        <v>PSW</v>
      </c>
      <c r="AH358" t="str">
        <f>IF($C358="","",IFERROR(INDEX('Staff Directory'!$I$595:$I$599,MATCH($C358,'Staff Directory'!$B$5:$B$599,0))&amp;" "&amp;INDEX('Staff Directory'!$J$595:$J$599,MATCH($C358,'Staff Directory'!$B$5:$B$599,0)),$AG358))</f>
        <v>PSW</v>
      </c>
      <c r="AI358" s="102"/>
      <c r="AJ358" s="101">
        <f>IF($F358="","",SUMIFS($J$5:$J358,$F$5:$F358,$F358))</f>
        <v>2750</v>
      </c>
      <c r="AK358" s="101">
        <f t="shared" si="60"/>
        <v>2701</v>
      </c>
      <c r="AL358" s="66" t="str" cm="1">
        <f t="array" ref="AL358">IF($F358="","",IFERROR(INDEX('Lot Balance'!$B$5:$B$500,MATCH(1,INDEX(('Lot Balance'!$A$5:$A$500=$F358)*('Lot Balance'!$K$5:$K$500&lt;$AK358)*('Lot Balance'!$K$5:$K$500+'Lot Balance'!$D$5:$D$500&gt;=$AK358),0),0)),""))</f>
        <v>0125FPC24-0</v>
      </c>
      <c r="AM358" s="66" t="str" cm="1">
        <f t="array" ref="AM358">IF($F358="","",IFERROR(INDEX('Lot Balance'!$B$5:$B$500,MATCH(1,INDEX(('Lot Balance'!$A$5:$A$500=$F358)*('Lot Balance'!$K$5:$K$500&lt;$AJ358)*('Lot Balance'!$K$5:$K$500+'Lot Balance'!$D$5:$D$500&gt;=$AJ358),0),0)),""))</f>
        <v>0125FPC24-0</v>
      </c>
      <c r="AN358" s="66" t="str">
        <f>IF($F358="","",IF($AI358&lt;&gt;"",IF(COUNTIFS('Lot Balance'!$A$5:$A$500,$F358,'Lot Balance'!$B$5:$B$500,$AI358)=0,"⚠ override is not a lot of this item",IF($AI358=$AL358,"Override = FEFO","Override - FEFO says "&amp;$AL358)),IF($AL358="","⚠ no receipt on file for this item",IF($AM358&lt;&gt;$AL358,"FEFO auto - split, also "&amp;$AM358,"FEFO auto"))))</f>
        <v>FEFO auto</v>
      </c>
      <c r="AO358" s="114"/>
    </row>
    <row r="359" spans="1:41" x14ac:dyDescent="0.35">
      <c r="A359" s="74">
        <v>46134</v>
      </c>
      <c r="B359" s="18" t="str">
        <f>IF($C359="","",IFERROR(INDEX('Staff Directory'!$A$5:$A$594,MATCH($C359,'Staff Directory'!$B$5:$B$594,0)),"⚠ unknown staff"))</f>
        <v>PSW-024-A4</v>
      </c>
      <c r="C359" s="49" t="s">
        <v>1000</v>
      </c>
      <c r="D359" s="19" t="str">
        <f>IF($B359="","",IFERROR(INDEX('Staff Directory'!$C$5:$C$594,MATCH($B359,'Staff Directory'!$A$5:$A$594,0)),""))</f>
        <v>PSW</v>
      </c>
      <c r="E359" s="19" t="str">
        <f>IF($B359="","",IFERROR(INDEX('Staff Directory'!$D$5:$D$594,MATCH($B359,'Staff Directory'!$A$5:$A$594,0)),""))</f>
        <v>A4</v>
      </c>
      <c r="F359" s="9" t="s">
        <v>755</v>
      </c>
      <c r="G359" s="18" t="str">
        <f>IF($F359="","",IFERROR(INDEX(Items!$B$5:$B$597,MATCH($F359,Items!$A$5:$A$597,0)),"⚠ not in Items"))</f>
        <v>Documents</v>
      </c>
      <c r="H359" s="19" t="str">
        <f>IF($F359="","",IFERROR(INDEX(Items!$C$5:$C$597,MATCH($F359,Items!$A$5:$A$597,0)),""))</f>
        <v>Standard</v>
      </c>
      <c r="I359" s="23">
        <f>IF($F359="","",IFERROR(INDEX(Items!$E$5:$E$597,MATCH($F359,Items!$A$5:$A$597,0)),""))</f>
        <v>2</v>
      </c>
      <c r="J359" s="115">
        <f>IF(tblIssues[[#This Row],[Qty Override]]&lt;&gt;"",tblIssues[[#This Row],[Qty Override]],IF(tblIssues[[#This Row],[Standard Issue]]="","",tblIssues[[#This Row],[Standard Issue]]))</f>
        <v>2</v>
      </c>
      <c r="K359" s="20">
        <f>IF($F359="","",IFERROR(INDEX(Items!$D$5:$D$597,MATCH($F359,Items!$A$5:$A$597,0)),""))</f>
        <v>0</v>
      </c>
      <c r="L359" s="21">
        <f t="shared" si="61"/>
        <v>0</v>
      </c>
      <c r="M359" s="9" t="str">
        <f t="shared" si="62"/>
        <v/>
      </c>
      <c r="N359" s="24">
        <f>IF($A359="","",WORKDAY($A359,Settings!$C$9,HolidayDates))</f>
        <v>46142</v>
      </c>
      <c r="O359" s="24">
        <f>IF($N359="","",WORKDAY($N359,Settings!$C$10,HolidayDates))</f>
        <v>46182</v>
      </c>
      <c r="P359" s="10" t="s">
        <v>501</v>
      </c>
      <c r="Q359" s="52" t="str">
        <f t="shared" si="64"/>
        <v>Collected</v>
      </c>
      <c r="R359" s="55" t="str">
        <f t="shared" si="65"/>
        <v>2026-04</v>
      </c>
      <c r="S359" s="55">
        <f>IF(OR($B359="",$F359="",$R359=""),"",SUMIFS(tblIssues[Qty Issued],tblIssues[Staff ID],$B359,tblIssues[Item Name],$F359,tblIssues[Month],$R359))</f>
        <v>2</v>
      </c>
      <c r="T359" s="56">
        <f>IF($I359="","",$I359*Settings!$C$11)</f>
        <v>2</v>
      </c>
      <c r="U359" s="57" t="str">
        <f t="shared" si="63"/>
        <v>OK</v>
      </c>
      <c r="V359" s="55" t="str">
        <f t="shared" si="66"/>
        <v/>
      </c>
      <c r="W359" s="55" t="str">
        <f>IF($V359="","",IF(COUNTIF($V$5:$V359,$V359)=1,1,""))</f>
        <v/>
      </c>
      <c r="X359" s="58" t="str">
        <f>IF($W359="","",MAX($X$4:X358)+1)</f>
        <v/>
      </c>
      <c r="Y359" s="62"/>
      <c r="Z359" s="62"/>
      <c r="AA359" s="64" t="str">
        <f>IF($C359="","",IFERROR(INDEX('Staff Directory'!$E$5:$E$594,MATCH($C359,'Staff Directory'!$B$5:$B$594,0)),""))</f>
        <v>firstname084.lastname084@example.com</v>
      </c>
      <c r="AB359" s="64" t="str">
        <f>IF($C359="","",IF(ISNUMBER(SEARCH($D359,Settings!$C$15)),"Pickup","Dispatch"))</f>
        <v>Pickup</v>
      </c>
      <c r="AC359" s="64" t="str">
        <f t="shared" si="67"/>
        <v>Supply order ready for pickup</v>
      </c>
      <c r="AD359" s="64" t="str">
        <f t="shared" si="58"/>
        <v>Dear PSW,
Your order is ready for pickup from Sample Branch, Wed-Fri 9am-4pm.</v>
      </c>
      <c r="AE359" s="64" t="str">
        <f t="shared" si="59"/>
        <v>mailto:firstname084.lastname084@example.com?subject=Supply%20order%20ready%20for%20pickup&amp;body=Dear%20PSW%2C%0A%0AYour%20order%20is%20ready%20for%20pickup%20from%20Sample%20Branch%2C%20Wed-Fri%209am-4pm.</v>
      </c>
      <c r="AF359" s="89" t="str">
        <f t="shared" si="68"/>
        <v>Draft email</v>
      </c>
      <c r="AG359" s="64" t="str">
        <f>IF($C359="","",IFERROR(INDEX('Staff Directory'!$K$595:$K$599,MATCH($C359,'Staff Directory'!$B$5:$B$599,0)),$D359))</f>
        <v>PSW</v>
      </c>
      <c r="AH359" t="str">
        <f>IF($C359="","",IFERROR(INDEX('Staff Directory'!$I$595:$I$599,MATCH($C359,'Staff Directory'!$B$5:$B$599,0))&amp;" "&amp;INDEX('Staff Directory'!$J$595:$J$599,MATCH($C359,'Staff Directory'!$B$5:$B$599,0)),$AG359))</f>
        <v>PSW</v>
      </c>
      <c r="AI359" s="102"/>
      <c r="AJ359" s="101">
        <f>IF($F359="","",SUMIFS($J$5:$J359,$F$5:$F359,$F359))</f>
        <v>98</v>
      </c>
      <c r="AK359" s="101">
        <f t="shared" si="60"/>
        <v>97</v>
      </c>
      <c r="AL359" s="66" t="str" cm="1">
        <f t="array" ref="AL359">IF($F359="","",IFERROR(INDEX('Lot Balance'!$B$5:$B$500,MATCH(1,INDEX(('Lot Balance'!$A$5:$A$500=$F359)*('Lot Balance'!$K$5:$K$500&lt;$AK359)*('Lot Balance'!$K$5:$K$500+'Lot Balance'!$D$5:$D$500&gt;=$AK359),0),0)),""))</f>
        <v/>
      </c>
      <c r="AM359" s="66" t="str" cm="1">
        <f t="array" ref="AM359">IF($F359="","",IFERROR(INDEX('Lot Balance'!$B$5:$B$500,MATCH(1,INDEX(('Lot Balance'!$A$5:$A$500=$F359)*('Lot Balance'!$K$5:$K$500&lt;$AJ359)*('Lot Balance'!$K$5:$K$500+'Lot Balance'!$D$5:$D$500&gt;=$AJ359),0),0)),""))</f>
        <v/>
      </c>
      <c r="AN359" s="66" t="str">
        <f>IF($F359="","",IF($AI359&lt;&gt;"",IF(COUNTIFS('Lot Balance'!$A$5:$A$500,$F359,'Lot Balance'!$B$5:$B$500,$AI359)=0,"⚠ override is not a lot of this item",IF($AI359=$AL359,"Override = FEFO","Override - FEFO says "&amp;$AL359)),IF($AL359="","⚠ no receipt on file for this item",IF($AM359&lt;&gt;$AL359,"FEFO auto - split, also "&amp;$AM359,"FEFO auto"))))</f>
        <v>⚠ no receipt on file for this item</v>
      </c>
      <c r="AO359" s="114"/>
    </row>
    <row r="360" spans="1:41" x14ac:dyDescent="0.35">
      <c r="A360" s="74">
        <v>46135</v>
      </c>
      <c r="B360" s="18" t="str">
        <f>IF($C360="","",IFERROR(INDEX('Staff Directory'!$A$5:$A$594,MATCH($C360,'Staff Directory'!$B$5:$B$594,0)),"⚠ unknown staff"))</f>
        <v>PSW-050-A7</v>
      </c>
      <c r="C360" s="49" t="s">
        <v>1026</v>
      </c>
      <c r="D360" s="19" t="str">
        <f>IF($B360="","",IFERROR(INDEX('Staff Directory'!$C$5:$C$594,MATCH($B360,'Staff Directory'!$A$5:$A$594,0)),""))</f>
        <v>PSW</v>
      </c>
      <c r="E360" s="19" t="str">
        <f>IF($B360="","",IFERROR(INDEX('Staff Directory'!$D$5:$D$594,MATCH($B360,'Staff Directory'!$A$5:$A$594,0)),""))</f>
        <v>A7</v>
      </c>
      <c r="F360" s="9" t="s">
        <v>127</v>
      </c>
      <c r="G360" s="18" t="str">
        <f>IF($F360="","",IFERROR(INDEX(Items!$B$5:$B$597,MATCH($F360,Items!$A$5:$A$597,0)),"⚠ not in Items"))</f>
        <v>Gloves</v>
      </c>
      <c r="H360" s="19" t="str">
        <f>IF($F360="","",IFERROR(INDEX(Items!$C$5:$C$597,MATCH($F360,Items!$A$5:$A$597,0)),""))</f>
        <v>Medium</v>
      </c>
      <c r="I360" s="23">
        <f>IF($F360="","",IFERROR(INDEX(Items!$E$5:$E$597,MATCH($F360,Items!$A$5:$A$597,0)),""))</f>
        <v>500</v>
      </c>
      <c r="J360" s="115">
        <f>IF(tblIssues[[#This Row],[Qty Override]]&lt;&gt;"",tblIssues[[#This Row],[Qty Override]],IF(tblIssues[[#This Row],[Standard Issue]]="","",tblIssues[[#This Row],[Standard Issue]]))</f>
        <v>500</v>
      </c>
      <c r="K360" s="20">
        <f>IF($F360="","",IFERROR(INDEX(Items!$D$5:$D$597,MATCH($F360,Items!$A$5:$A$597,0)),""))</f>
        <v>5.5E-2</v>
      </c>
      <c r="L360" s="21">
        <f t="shared" si="61"/>
        <v>27.5</v>
      </c>
      <c r="M360" s="9" t="str">
        <f t="shared" si="62"/>
        <v>0312HIC25</v>
      </c>
      <c r="N360" s="24">
        <f>IF($A360="","",WORKDAY($A360,Settings!$C$9,HolidayDates))</f>
        <v>46143</v>
      </c>
      <c r="O360" s="24">
        <f>IF($N360="","",WORKDAY($N360,Settings!$C$10,HolidayDates))</f>
        <v>46183</v>
      </c>
      <c r="P360" s="10" t="s">
        <v>501</v>
      </c>
      <c r="Q360" s="52" t="str">
        <f t="shared" si="64"/>
        <v>Collected</v>
      </c>
      <c r="R360" s="55" t="str">
        <f t="shared" si="65"/>
        <v>2026-04</v>
      </c>
      <c r="S360" s="55">
        <f>IF(OR($B360="",$F360="",$R360=""),"",SUMIFS(tblIssues[Qty Issued],tblIssues[Staff ID],$B360,tblIssues[Item Name],$F360,tblIssues[Month],$R360))</f>
        <v>500</v>
      </c>
      <c r="T360" s="56">
        <f>IF($I360="","",$I360*Settings!$C$11)</f>
        <v>500</v>
      </c>
      <c r="U360" s="57" t="str">
        <f t="shared" si="63"/>
        <v>OK</v>
      </c>
      <c r="V360" s="55" t="str">
        <f t="shared" si="66"/>
        <v/>
      </c>
      <c r="W360" s="55" t="str">
        <f>IF($V360="","",IF(COUNTIF($V$5:$V360,$V360)=1,1,""))</f>
        <v/>
      </c>
      <c r="X360" s="58" t="str">
        <f>IF($W360="","",MAX($X$4:X359)+1)</f>
        <v/>
      </c>
      <c r="Y360" s="62"/>
      <c r="Z360" s="62"/>
      <c r="AA360" s="64" t="str">
        <f>IF($C360="","",IFERROR(INDEX('Staff Directory'!$E$5:$E$594,MATCH($C360,'Staff Directory'!$B$5:$B$594,0)),""))</f>
        <v>firstname110.lastname110@example.com</v>
      </c>
      <c r="AB360" s="64" t="str">
        <f>IF($C360="","",IF(ISNUMBER(SEARCH($D360,Settings!$C$15)),"Pickup","Dispatch"))</f>
        <v>Pickup</v>
      </c>
      <c r="AC360" s="64" t="str">
        <f t="shared" si="67"/>
        <v>Supply order ready for pickup</v>
      </c>
      <c r="AD360" s="64" t="str">
        <f t="shared" si="58"/>
        <v>Dear PSW,
Your order is ready for pickup from Sample Branch, Wed-Fri 9am-4pm.</v>
      </c>
      <c r="AE360" s="64" t="str">
        <f t="shared" si="59"/>
        <v>mailto:firstname110.lastname110@example.com?subject=Supply%20order%20ready%20for%20pickup&amp;body=Dear%20PSW%2C%0A%0AYour%20order%20is%20ready%20for%20pickup%20from%20Sample%20Branch%2C%20Wed-Fri%209am-4pm.</v>
      </c>
      <c r="AF360" s="89" t="str">
        <f t="shared" si="68"/>
        <v>Draft email</v>
      </c>
      <c r="AG360" s="64" t="str">
        <f>IF($C360="","",IFERROR(INDEX('Staff Directory'!$K$595:$K$599,MATCH($C360,'Staff Directory'!$B$5:$B$599,0)),$D360))</f>
        <v>PSW</v>
      </c>
      <c r="AH360" t="str">
        <f>IF($C360="","",IFERROR(INDEX('Staff Directory'!$I$595:$I$599,MATCH($C360,'Staff Directory'!$B$5:$B$599,0))&amp;" "&amp;INDEX('Staff Directory'!$J$595:$J$599,MATCH($C360,'Staff Directory'!$B$5:$B$599,0)),$AG360))</f>
        <v>PSW</v>
      </c>
      <c r="AI360" s="102"/>
      <c r="AJ360" s="101">
        <f>IF($F360="","",SUMIFS($J$5:$J360,$F$5:$F360,$F360))</f>
        <v>21000</v>
      </c>
      <c r="AK360" s="101">
        <f t="shared" si="60"/>
        <v>20501</v>
      </c>
      <c r="AL360" s="66" t="str" cm="1">
        <f t="array" ref="AL360">IF($F360="","",IFERROR(INDEX('Lot Balance'!$B$5:$B$500,MATCH(1,INDEX(('Lot Balance'!$A$5:$A$500=$F360)*('Lot Balance'!$K$5:$K$500&lt;$AK360)*('Lot Balance'!$K$5:$K$500+'Lot Balance'!$D$5:$D$500&gt;=$AK360),0),0)),""))</f>
        <v>0312HIC25</v>
      </c>
      <c r="AM360" s="66" t="str" cm="1">
        <f t="array" ref="AM360">IF($F360="","",IFERROR(INDEX('Lot Balance'!$B$5:$B$500,MATCH(1,INDEX(('Lot Balance'!$A$5:$A$500=$F360)*('Lot Balance'!$K$5:$K$500&lt;$AJ360)*('Lot Balance'!$K$5:$K$500+'Lot Balance'!$D$5:$D$500&gt;=$AJ360),0),0)),""))</f>
        <v>0312HIC25</v>
      </c>
      <c r="AN360" s="66" t="str">
        <f>IF($F360="","",IF($AI360&lt;&gt;"",IF(COUNTIFS('Lot Balance'!$A$5:$A$500,$F360,'Lot Balance'!$B$5:$B$500,$AI360)=0,"⚠ override is not a lot of this item",IF($AI360=$AL360,"Override = FEFO","Override - FEFO says "&amp;$AL360)),IF($AL360="","⚠ no receipt on file for this item",IF($AM360&lt;&gt;$AL360,"FEFO auto - split, also "&amp;$AM360,"FEFO auto"))))</f>
        <v>FEFO auto</v>
      </c>
      <c r="AO360" s="114"/>
    </row>
    <row r="361" spans="1:41" x14ac:dyDescent="0.35">
      <c r="A361" s="74">
        <v>46135</v>
      </c>
      <c r="B361" s="18" t="str">
        <f>IF($C361="","",IFERROR(INDEX('Staff Directory'!$A$5:$A$594,MATCH($C361,'Staff Directory'!$B$5:$B$594,0)),"⚠ unknown staff"))</f>
        <v>PSW-050-A7</v>
      </c>
      <c r="C361" s="49" t="s">
        <v>1026</v>
      </c>
      <c r="D361" s="19" t="str">
        <f>IF($B361="","",IFERROR(INDEX('Staff Directory'!$C$5:$C$594,MATCH($B361,'Staff Directory'!$A$5:$A$594,0)),""))</f>
        <v>PSW</v>
      </c>
      <c r="E361" s="19" t="str">
        <f>IF($B361="","",IFERROR(INDEX('Staff Directory'!$D$5:$D$594,MATCH($B361,'Staff Directory'!$A$5:$A$594,0)),""))</f>
        <v>A7</v>
      </c>
      <c r="F361" s="9" t="s">
        <v>191</v>
      </c>
      <c r="G361" s="18" t="str">
        <f>IF($F361="","",IFERROR(INDEX(Items!$B$5:$B$597,MATCH($F361,Items!$A$5:$A$597,0)),"⚠ not in Items"))</f>
        <v>Sanitizer</v>
      </c>
      <c r="H361" s="19" t="str">
        <f>IF($F361="","",IFERROR(INDEX(Items!$C$5:$C$597,MATCH($F361,Items!$A$5:$A$597,0)),""))</f>
        <v>236 ML</v>
      </c>
      <c r="I361" s="23">
        <f>IF($F361="","",IFERROR(INDEX(Items!$E$5:$E$597,MATCH($F361,Items!$A$5:$A$597,0)),""))</f>
        <v>1</v>
      </c>
      <c r="J361" s="115">
        <f>IF(tblIssues[[#This Row],[Qty Override]]&lt;&gt;"",tblIssues[[#This Row],[Qty Override]],IF(tblIssues[[#This Row],[Standard Issue]]="","",tblIssues[[#This Row],[Standard Issue]]))</f>
        <v>1</v>
      </c>
      <c r="K361" s="20">
        <f>IF($F361="","",IFERROR(INDEX(Items!$D$5:$D$597,MATCH($F361,Items!$A$5:$A$597,0)),""))</f>
        <v>1E-4</v>
      </c>
      <c r="L361" s="21">
        <f t="shared" si="61"/>
        <v>1E-4</v>
      </c>
      <c r="M361" s="9" t="str">
        <f t="shared" si="62"/>
        <v>20-21734-1</v>
      </c>
      <c r="N361" s="24">
        <f>IF($A361="","",WORKDAY($A361,Settings!$C$9,HolidayDates))</f>
        <v>46143</v>
      </c>
      <c r="O361" s="24">
        <f>IF($N361="","",WORKDAY($N361,Settings!$C$10,HolidayDates))</f>
        <v>46183</v>
      </c>
      <c r="P361" s="10" t="s">
        <v>501</v>
      </c>
      <c r="Q361" s="52" t="str">
        <f t="shared" si="64"/>
        <v>Collected</v>
      </c>
      <c r="R361" s="55" t="str">
        <f t="shared" si="65"/>
        <v>2026-04</v>
      </c>
      <c r="S361" s="55">
        <f>IF(OR($B361="",$F361="",$R361=""),"",SUMIFS(tblIssues[Qty Issued],tblIssues[Staff ID],$B361,tblIssues[Item Name],$F361,tblIssues[Month],$R361))</f>
        <v>1</v>
      </c>
      <c r="T361" s="56">
        <f>IF($I361="","",$I361*Settings!$C$11)</f>
        <v>1</v>
      </c>
      <c r="U361" s="57" t="str">
        <f t="shared" si="63"/>
        <v>OK</v>
      </c>
      <c r="V361" s="55" t="str">
        <f t="shared" si="66"/>
        <v/>
      </c>
      <c r="W361" s="55" t="str">
        <f>IF($V361="","",IF(COUNTIF($V$5:$V361,$V361)=1,1,""))</f>
        <v/>
      </c>
      <c r="X361" s="58" t="str">
        <f>IF($W361="","",MAX($X$4:X360)+1)</f>
        <v/>
      </c>
      <c r="Y361" s="62"/>
      <c r="Z361" s="62"/>
      <c r="AA361" s="64" t="str">
        <f>IF($C361="","",IFERROR(INDEX('Staff Directory'!$E$5:$E$594,MATCH($C361,'Staff Directory'!$B$5:$B$594,0)),""))</f>
        <v>firstname110.lastname110@example.com</v>
      </c>
      <c r="AB361" s="64" t="str">
        <f>IF($C361="","",IF(ISNUMBER(SEARCH($D361,Settings!$C$15)),"Pickup","Dispatch"))</f>
        <v>Pickup</v>
      </c>
      <c r="AC361" s="64" t="str">
        <f t="shared" si="67"/>
        <v>Supply order ready for pickup</v>
      </c>
      <c r="AD361" s="64" t="str">
        <f t="shared" si="58"/>
        <v>Dear PSW,
Your order is ready for pickup from Sample Branch, Wed-Fri 9am-4pm.</v>
      </c>
      <c r="AE361" s="64" t="str">
        <f t="shared" si="59"/>
        <v>mailto:firstname110.lastname110@example.com?subject=Supply%20order%20ready%20for%20pickup&amp;body=Dear%20PSW%2C%0A%0AYour%20order%20is%20ready%20for%20pickup%20from%20Sample%20Branch%2C%20Wed-Fri%209am-4pm.</v>
      </c>
      <c r="AF361" s="89" t="str">
        <f t="shared" si="68"/>
        <v>Draft email</v>
      </c>
      <c r="AG361" s="64" t="str">
        <f>IF($C361="","",IFERROR(INDEX('Staff Directory'!$K$595:$K$599,MATCH($C361,'Staff Directory'!$B$5:$B$599,0)),$D361))</f>
        <v>PSW</v>
      </c>
      <c r="AH361" t="str">
        <f>IF($C361="","",IFERROR(INDEX('Staff Directory'!$I$595:$I$599,MATCH($C361,'Staff Directory'!$B$5:$B$599,0))&amp;" "&amp;INDEX('Staff Directory'!$J$595:$J$599,MATCH($C361,'Staff Directory'!$B$5:$B$599,0)),$AG361))</f>
        <v>PSW</v>
      </c>
      <c r="AI361" s="102"/>
      <c r="AJ361" s="101">
        <f>IF($F361="","",SUMIFS($J$5:$J361,$F$5:$F361,$F361))</f>
        <v>25</v>
      </c>
      <c r="AK361" s="101">
        <f t="shared" si="60"/>
        <v>25</v>
      </c>
      <c r="AL361" s="66" t="str" cm="1">
        <f t="array" ref="AL361">IF($F361="","",IFERROR(INDEX('Lot Balance'!$B$5:$B$500,MATCH(1,INDEX(('Lot Balance'!$A$5:$A$500=$F361)*('Lot Balance'!$K$5:$K$500&lt;$AK361)*('Lot Balance'!$K$5:$K$500+'Lot Balance'!$D$5:$D$500&gt;=$AK361),0),0)),""))</f>
        <v>20-21734-1</v>
      </c>
      <c r="AM361" s="66" t="str" cm="1">
        <f t="array" ref="AM361">IF($F361="","",IFERROR(INDEX('Lot Balance'!$B$5:$B$500,MATCH(1,INDEX(('Lot Balance'!$A$5:$A$500=$F361)*('Lot Balance'!$K$5:$K$500&lt;$AJ361)*('Lot Balance'!$K$5:$K$500+'Lot Balance'!$D$5:$D$500&gt;=$AJ361),0),0)),""))</f>
        <v>20-21734-1</v>
      </c>
      <c r="AN361" s="66" t="str">
        <f>IF($F361="","",IF($AI361&lt;&gt;"",IF(COUNTIFS('Lot Balance'!$A$5:$A$500,$F361,'Lot Balance'!$B$5:$B$500,$AI361)=0,"⚠ override is not a lot of this item",IF($AI361=$AL361,"Override = FEFO","Override - FEFO says "&amp;$AL361)),IF($AL361="","⚠ no receipt on file for this item",IF($AM361&lt;&gt;$AL361,"FEFO auto - split, also "&amp;$AM361,"FEFO auto"))))</f>
        <v>FEFO auto</v>
      </c>
      <c r="AO361" s="114"/>
    </row>
    <row r="362" spans="1:41" x14ac:dyDescent="0.35">
      <c r="A362" s="74">
        <v>46135</v>
      </c>
      <c r="B362" s="18" t="str">
        <f>IF($C362="","",IFERROR(INDEX('Staff Directory'!$A$5:$A$594,MATCH($C362,'Staff Directory'!$B$5:$B$594,0)),"⚠ unknown staff"))</f>
        <v>PSW-050-A7</v>
      </c>
      <c r="C362" s="49" t="s">
        <v>1026</v>
      </c>
      <c r="D362" s="19" t="str">
        <f>IF($B362="","",IFERROR(INDEX('Staff Directory'!$C$5:$C$594,MATCH($B362,'Staff Directory'!$A$5:$A$594,0)),""))</f>
        <v>PSW</v>
      </c>
      <c r="E362" s="19" t="str">
        <f>IF($B362="","",IFERROR(INDEX('Staff Directory'!$D$5:$D$594,MATCH($B362,'Staff Directory'!$A$5:$A$594,0)),""))</f>
        <v>A7</v>
      </c>
      <c r="F362" s="9" t="s">
        <v>115</v>
      </c>
      <c r="G362" s="18" t="str">
        <f>IF($F362="","",IFERROR(INDEX(Items!$B$5:$B$597,MATCH($F362,Items!$A$5:$A$597,0)),"⚠ not in Items"))</f>
        <v>Wipes</v>
      </c>
      <c r="H362" s="19">
        <f>IF($F362="","",IFERROR(INDEX(Items!$C$5:$C$597,MATCH($F362,Items!$A$5:$A$597,0)),""))</f>
        <v>80</v>
      </c>
      <c r="I362" s="23">
        <f>IF($F362="","",IFERROR(INDEX(Items!$E$5:$E$597,MATCH($F362,Items!$A$5:$A$597,0)),""))</f>
        <v>80</v>
      </c>
      <c r="J362" s="115">
        <f>IF(tblIssues[[#This Row],[Qty Override]]&lt;&gt;"",tblIssues[[#This Row],[Qty Override]],IF(tblIssues[[#This Row],[Standard Issue]]="","",tblIssues[[#This Row],[Standard Issue]]))</f>
        <v>80</v>
      </c>
      <c r="K362" s="20">
        <f>IF($F362="","",IFERROR(INDEX(Items!$D$5:$D$597,MATCH($F362,Items!$A$5:$A$597,0)),""))</f>
        <v>0.1</v>
      </c>
      <c r="L362" s="21">
        <f t="shared" si="61"/>
        <v>8</v>
      </c>
      <c r="M362" s="9" t="str">
        <f t="shared" si="62"/>
        <v>LYSL500290</v>
      </c>
      <c r="N362" s="24">
        <f>IF($A362="","",WORKDAY($A362,Settings!$C$9,HolidayDates))</f>
        <v>46143</v>
      </c>
      <c r="O362" s="24">
        <f>IF($N362="","",WORKDAY($N362,Settings!$C$10,HolidayDates))</f>
        <v>46183</v>
      </c>
      <c r="P362" s="10" t="s">
        <v>501</v>
      </c>
      <c r="Q362" s="52" t="str">
        <f t="shared" si="64"/>
        <v>Collected</v>
      </c>
      <c r="R362" s="55" t="str">
        <f t="shared" si="65"/>
        <v>2026-04</v>
      </c>
      <c r="S362" s="55">
        <f>IF(OR($B362="",$F362="",$R362=""),"",SUMIFS(tblIssues[Qty Issued],tblIssues[Staff ID],$B362,tblIssues[Item Name],$F362,tblIssues[Month],$R362))</f>
        <v>80</v>
      </c>
      <c r="T362" s="56">
        <f>IF($I362="","",$I362*Settings!$C$11)</f>
        <v>80</v>
      </c>
      <c r="U362" s="57" t="str">
        <f t="shared" si="63"/>
        <v>OK</v>
      </c>
      <c r="V362" s="55" t="str">
        <f t="shared" si="66"/>
        <v/>
      </c>
      <c r="W362" s="55" t="str">
        <f>IF($V362="","",IF(COUNTIF($V$5:$V362,$V362)=1,1,""))</f>
        <v/>
      </c>
      <c r="X362" s="58" t="str">
        <f>IF($W362="","",MAX($X$4:X361)+1)</f>
        <v/>
      </c>
      <c r="Y362" s="62"/>
      <c r="Z362" s="62"/>
      <c r="AA362" s="64" t="str">
        <f>IF($C362="","",IFERROR(INDEX('Staff Directory'!$E$5:$E$594,MATCH($C362,'Staff Directory'!$B$5:$B$594,0)),""))</f>
        <v>firstname110.lastname110@example.com</v>
      </c>
      <c r="AB362" s="64" t="str">
        <f>IF($C362="","",IF(ISNUMBER(SEARCH($D362,Settings!$C$15)),"Pickup","Dispatch"))</f>
        <v>Pickup</v>
      </c>
      <c r="AC362" s="64" t="str">
        <f t="shared" si="67"/>
        <v>Supply order ready for pickup</v>
      </c>
      <c r="AD362" s="64" t="str">
        <f t="shared" si="58"/>
        <v>Dear PSW,
Your order is ready for pickup from Sample Branch, Wed-Fri 9am-4pm.</v>
      </c>
      <c r="AE362" s="64" t="str">
        <f t="shared" si="59"/>
        <v>mailto:firstname110.lastname110@example.com?subject=Supply%20order%20ready%20for%20pickup&amp;body=Dear%20PSW%2C%0A%0AYour%20order%20is%20ready%20for%20pickup%20from%20Sample%20Branch%2C%20Wed-Fri%209am-4pm.</v>
      </c>
      <c r="AF362" s="89" t="str">
        <f t="shared" si="68"/>
        <v>Draft email</v>
      </c>
      <c r="AG362" s="64" t="str">
        <f>IF($C362="","",IFERROR(INDEX('Staff Directory'!$K$595:$K$599,MATCH($C362,'Staff Directory'!$B$5:$B$599,0)),$D362))</f>
        <v>PSW</v>
      </c>
      <c r="AH362" t="str">
        <f>IF($C362="","",IFERROR(INDEX('Staff Directory'!$I$595:$I$599,MATCH($C362,'Staff Directory'!$B$5:$B$599,0))&amp;" "&amp;INDEX('Staff Directory'!$J$595:$J$599,MATCH($C362,'Staff Directory'!$B$5:$B$599,0)),$AG362))</f>
        <v>PSW</v>
      </c>
      <c r="AI362" s="102"/>
      <c r="AJ362" s="101">
        <f>IF($F362="","",SUMIFS($J$5:$J362,$F$5:$F362,$F362))</f>
        <v>4880</v>
      </c>
      <c r="AK362" s="101">
        <f t="shared" si="60"/>
        <v>4801</v>
      </c>
      <c r="AL362" s="66" t="str" cm="1">
        <f t="array" ref="AL362">IF($F362="","",IFERROR(INDEX('Lot Balance'!$B$5:$B$500,MATCH(1,INDEX(('Lot Balance'!$A$5:$A$500=$F362)*('Lot Balance'!$K$5:$K$500&lt;$AK362)*('Lot Balance'!$K$5:$K$500+'Lot Balance'!$D$5:$D$500&gt;=$AK362),0),0)),""))</f>
        <v>LYSL500290</v>
      </c>
      <c r="AM362" s="66" t="str" cm="1">
        <f t="array" ref="AM362">IF($F362="","",IFERROR(INDEX('Lot Balance'!$B$5:$B$500,MATCH(1,INDEX(('Lot Balance'!$A$5:$A$500=$F362)*('Lot Balance'!$K$5:$K$500&lt;$AJ362)*('Lot Balance'!$K$5:$K$500+'Lot Balance'!$D$5:$D$500&gt;=$AJ362),0),0)),""))</f>
        <v>LYSL500290</v>
      </c>
      <c r="AN362" s="66" t="str">
        <f>IF($F362="","",IF($AI362&lt;&gt;"",IF(COUNTIFS('Lot Balance'!$A$5:$A$500,$F362,'Lot Balance'!$B$5:$B$500,$AI362)=0,"⚠ override is not a lot of this item",IF($AI362=$AL362,"Override = FEFO","Override - FEFO says "&amp;$AL362)),IF($AL362="","⚠ no receipt on file for this item",IF($AM362&lt;&gt;$AL362,"FEFO auto - split, also "&amp;$AM362,"FEFO auto"))))</f>
        <v>FEFO auto</v>
      </c>
      <c r="AO362" s="114"/>
    </row>
    <row r="363" spans="1:41" x14ac:dyDescent="0.35">
      <c r="A363" s="74">
        <v>46135</v>
      </c>
      <c r="B363" s="18" t="str">
        <f>IF($C363="","",IFERROR(INDEX('Staff Directory'!$A$5:$A$594,MATCH($C363,'Staff Directory'!$B$5:$B$594,0)),"⚠ unknown staff"))</f>
        <v>PSW-050-A7</v>
      </c>
      <c r="C363" s="49" t="s">
        <v>1026</v>
      </c>
      <c r="D363" s="19" t="str">
        <f>IF($B363="","",IFERROR(INDEX('Staff Directory'!$C$5:$C$594,MATCH($B363,'Staff Directory'!$A$5:$A$594,0)),""))</f>
        <v>PSW</v>
      </c>
      <c r="E363" s="19" t="str">
        <f>IF($B363="","",IFERROR(INDEX('Staff Directory'!$D$5:$D$594,MATCH($B363,'Staff Directory'!$A$5:$A$594,0)),""))</f>
        <v>A7</v>
      </c>
      <c r="F363" s="9" t="s">
        <v>156</v>
      </c>
      <c r="G363" s="18" t="str">
        <f>IF($F363="","",IFERROR(INDEX(Items!$B$5:$B$597,MATCH($F363,Items!$A$5:$A$597,0)),"⚠ not in Items"))</f>
        <v>Masks</v>
      </c>
      <c r="H363" s="19" t="str">
        <f>IF($F363="","",IFERROR(INDEX(Items!$C$5:$C$597,MATCH($F363,Items!$A$5:$A$597,0)),""))</f>
        <v>One Size</v>
      </c>
      <c r="I363" s="23">
        <f>IF($F363="","",IFERROR(INDEX(Items!$E$5:$E$597,MATCH($F363,Items!$A$5:$A$597,0)),""))</f>
        <v>50</v>
      </c>
      <c r="J363" s="115">
        <f>IF(tblIssues[[#This Row],[Qty Override]]&lt;&gt;"",tblIssues[[#This Row],[Qty Override]],IF(tblIssues[[#This Row],[Standard Issue]]="","",tblIssues[[#This Row],[Standard Issue]]))</f>
        <v>50</v>
      </c>
      <c r="K363" s="20">
        <f>IF($F363="","",IFERROR(INDEX(Items!$D$5:$D$597,MATCH($F363,Items!$A$5:$A$597,0)),""))</f>
        <v>0.25</v>
      </c>
      <c r="L363" s="21">
        <f t="shared" si="61"/>
        <v>12.5</v>
      </c>
      <c r="M363" s="9" t="str">
        <f t="shared" si="62"/>
        <v>0125FPC24-0</v>
      </c>
      <c r="N363" s="24">
        <f>IF($A363="","",WORKDAY($A363,Settings!$C$9,HolidayDates))</f>
        <v>46143</v>
      </c>
      <c r="O363" s="24">
        <f>IF($N363="","",WORKDAY($N363,Settings!$C$10,HolidayDates))</f>
        <v>46183</v>
      </c>
      <c r="P363" s="10" t="s">
        <v>501</v>
      </c>
      <c r="Q363" s="52" t="str">
        <f t="shared" si="64"/>
        <v>Collected</v>
      </c>
      <c r="R363" s="55" t="str">
        <f t="shared" si="65"/>
        <v>2026-04</v>
      </c>
      <c r="S363" s="55">
        <f>IF(OR($B363="",$F363="",$R363=""),"",SUMIFS(tblIssues[Qty Issued],tblIssues[Staff ID],$B363,tblIssues[Item Name],$F363,tblIssues[Month],$R363))</f>
        <v>50</v>
      </c>
      <c r="T363" s="56">
        <f>IF($I363="","",$I363*Settings!$C$11)</f>
        <v>50</v>
      </c>
      <c r="U363" s="57" t="str">
        <f t="shared" si="63"/>
        <v>OK</v>
      </c>
      <c r="V363" s="55" t="str">
        <f t="shared" si="66"/>
        <v/>
      </c>
      <c r="W363" s="55" t="str">
        <f>IF($V363="","",IF(COUNTIF($V$5:$V363,$V363)=1,1,""))</f>
        <v/>
      </c>
      <c r="X363" s="58" t="str">
        <f>IF($W363="","",MAX($X$4:X362)+1)</f>
        <v/>
      </c>
      <c r="Y363" s="62"/>
      <c r="Z363" s="62"/>
      <c r="AA363" s="64" t="str">
        <f>IF($C363="","",IFERROR(INDEX('Staff Directory'!$E$5:$E$594,MATCH($C363,'Staff Directory'!$B$5:$B$594,0)),""))</f>
        <v>firstname110.lastname110@example.com</v>
      </c>
      <c r="AB363" s="64" t="str">
        <f>IF($C363="","",IF(ISNUMBER(SEARCH($D363,Settings!$C$15)),"Pickup","Dispatch"))</f>
        <v>Pickup</v>
      </c>
      <c r="AC363" s="64" t="str">
        <f t="shared" si="67"/>
        <v>Supply order ready for pickup</v>
      </c>
      <c r="AD363" s="64" t="str">
        <f t="shared" si="58"/>
        <v>Dear PSW,
Your order is ready for pickup from Sample Branch, Wed-Fri 9am-4pm.</v>
      </c>
      <c r="AE363" s="64" t="str">
        <f t="shared" si="59"/>
        <v>mailto:firstname110.lastname110@example.com?subject=Supply%20order%20ready%20for%20pickup&amp;body=Dear%20PSW%2C%0A%0AYour%20order%20is%20ready%20for%20pickup%20from%20Sample%20Branch%2C%20Wed-Fri%209am-4pm.</v>
      </c>
      <c r="AF363" s="89" t="str">
        <f t="shared" si="68"/>
        <v>Draft email</v>
      </c>
      <c r="AG363" s="64" t="str">
        <f>IF($C363="","",IFERROR(INDEX('Staff Directory'!$K$595:$K$599,MATCH($C363,'Staff Directory'!$B$5:$B$599,0)),$D363))</f>
        <v>PSW</v>
      </c>
      <c r="AH363" t="str">
        <f>IF($C363="","",IFERROR(INDEX('Staff Directory'!$I$595:$I$599,MATCH($C363,'Staff Directory'!$B$5:$B$599,0))&amp;" "&amp;INDEX('Staff Directory'!$J$595:$J$599,MATCH($C363,'Staff Directory'!$B$5:$B$599,0)),$AG363))</f>
        <v>PSW</v>
      </c>
      <c r="AI363" s="102"/>
      <c r="AJ363" s="101">
        <f>IF($F363="","",SUMIFS($J$5:$J363,$F$5:$F363,$F363))</f>
        <v>2800</v>
      </c>
      <c r="AK363" s="101">
        <f t="shared" si="60"/>
        <v>2751</v>
      </c>
      <c r="AL363" s="66" t="str" cm="1">
        <f t="array" ref="AL363">IF($F363="","",IFERROR(INDEX('Lot Balance'!$B$5:$B$500,MATCH(1,INDEX(('Lot Balance'!$A$5:$A$500=$F363)*('Lot Balance'!$K$5:$K$500&lt;$AK363)*('Lot Balance'!$K$5:$K$500+'Lot Balance'!$D$5:$D$500&gt;=$AK363),0),0)),""))</f>
        <v>0125FPC24-0</v>
      </c>
      <c r="AM363" s="66" t="str" cm="1">
        <f t="array" ref="AM363">IF($F363="","",IFERROR(INDEX('Lot Balance'!$B$5:$B$500,MATCH(1,INDEX(('Lot Balance'!$A$5:$A$500=$F363)*('Lot Balance'!$K$5:$K$500&lt;$AJ363)*('Lot Balance'!$K$5:$K$500+'Lot Balance'!$D$5:$D$500&gt;=$AJ363),0),0)),""))</f>
        <v>0125FPC24-0</v>
      </c>
      <c r="AN363" s="66" t="str">
        <f>IF($F363="","",IF($AI363&lt;&gt;"",IF(COUNTIFS('Lot Balance'!$A$5:$A$500,$F363,'Lot Balance'!$B$5:$B$500,$AI363)=0,"⚠ override is not a lot of this item",IF($AI363=$AL363,"Override = FEFO","Override - FEFO says "&amp;$AL363)),IF($AL363="","⚠ no receipt on file for this item",IF($AM363&lt;&gt;$AL363,"FEFO auto - split, also "&amp;$AM363,"FEFO auto"))))</f>
        <v>FEFO auto</v>
      </c>
      <c r="AO363" s="114"/>
    </row>
    <row r="364" spans="1:41" x14ac:dyDescent="0.35">
      <c r="A364" s="74">
        <v>46135</v>
      </c>
      <c r="B364" s="18" t="str">
        <f>IF($C364="","",IFERROR(INDEX('Staff Directory'!$A$5:$A$594,MATCH($C364,'Staff Directory'!$B$5:$B$594,0)),"⚠ unknown staff"))</f>
        <v>PSW-050-A7</v>
      </c>
      <c r="C364" s="49" t="s">
        <v>1026</v>
      </c>
      <c r="D364" s="19" t="str">
        <f>IF($B364="","",IFERROR(INDEX('Staff Directory'!$C$5:$C$594,MATCH($B364,'Staff Directory'!$A$5:$A$594,0)),""))</f>
        <v>PSW</v>
      </c>
      <c r="E364" s="19" t="str">
        <f>IF($B364="","",IFERROR(INDEX('Staff Directory'!$D$5:$D$594,MATCH($B364,'Staff Directory'!$A$5:$A$594,0)),""))</f>
        <v>A7</v>
      </c>
      <c r="F364" s="9" t="s">
        <v>755</v>
      </c>
      <c r="G364" s="18" t="str">
        <f>IF($F364="","",IFERROR(INDEX(Items!$B$5:$B$597,MATCH($F364,Items!$A$5:$A$597,0)),"⚠ not in Items"))</f>
        <v>Documents</v>
      </c>
      <c r="H364" s="19" t="str">
        <f>IF($F364="","",IFERROR(INDEX(Items!$C$5:$C$597,MATCH($F364,Items!$A$5:$A$597,0)),""))</f>
        <v>Standard</v>
      </c>
      <c r="I364" s="23">
        <f>IF($F364="","",IFERROR(INDEX(Items!$E$5:$E$597,MATCH($F364,Items!$A$5:$A$597,0)),""))</f>
        <v>2</v>
      </c>
      <c r="J364" s="115">
        <f>IF(tblIssues[[#This Row],[Qty Override]]&lt;&gt;"",tblIssues[[#This Row],[Qty Override]],IF(tblIssues[[#This Row],[Standard Issue]]="","",tblIssues[[#This Row],[Standard Issue]]))</f>
        <v>2</v>
      </c>
      <c r="K364" s="20">
        <f>IF($F364="","",IFERROR(INDEX(Items!$D$5:$D$597,MATCH($F364,Items!$A$5:$A$597,0)),""))</f>
        <v>0</v>
      </c>
      <c r="L364" s="21">
        <f t="shared" si="61"/>
        <v>0</v>
      </c>
      <c r="M364" s="9" t="str">
        <f t="shared" si="62"/>
        <v/>
      </c>
      <c r="N364" s="24">
        <f>IF($A364="","",WORKDAY($A364,Settings!$C$9,HolidayDates))</f>
        <v>46143</v>
      </c>
      <c r="O364" s="24">
        <f>IF($N364="","",WORKDAY($N364,Settings!$C$10,HolidayDates))</f>
        <v>46183</v>
      </c>
      <c r="P364" s="10" t="s">
        <v>501</v>
      </c>
      <c r="Q364" s="52" t="str">
        <f t="shared" si="64"/>
        <v>Collected</v>
      </c>
      <c r="R364" s="55" t="str">
        <f t="shared" si="65"/>
        <v>2026-04</v>
      </c>
      <c r="S364" s="55">
        <f>IF(OR($B364="",$F364="",$R364=""),"",SUMIFS(tblIssues[Qty Issued],tblIssues[Staff ID],$B364,tblIssues[Item Name],$F364,tblIssues[Month],$R364))</f>
        <v>2</v>
      </c>
      <c r="T364" s="56">
        <f>IF($I364="","",$I364*Settings!$C$11)</f>
        <v>2</v>
      </c>
      <c r="U364" s="57" t="str">
        <f t="shared" si="63"/>
        <v>OK</v>
      </c>
      <c r="V364" s="55" t="str">
        <f t="shared" si="66"/>
        <v/>
      </c>
      <c r="W364" s="55" t="str">
        <f>IF($V364="","",IF(COUNTIF($V$5:$V364,$V364)=1,1,""))</f>
        <v/>
      </c>
      <c r="X364" s="58" t="str">
        <f>IF($W364="","",MAX($X$4:X363)+1)</f>
        <v/>
      </c>
      <c r="Y364" s="62"/>
      <c r="Z364" s="62"/>
      <c r="AA364" s="64" t="str">
        <f>IF($C364="","",IFERROR(INDEX('Staff Directory'!$E$5:$E$594,MATCH($C364,'Staff Directory'!$B$5:$B$594,0)),""))</f>
        <v>firstname110.lastname110@example.com</v>
      </c>
      <c r="AB364" s="64" t="str">
        <f>IF($C364="","",IF(ISNUMBER(SEARCH($D364,Settings!$C$15)),"Pickup","Dispatch"))</f>
        <v>Pickup</v>
      </c>
      <c r="AC364" s="64" t="str">
        <f t="shared" si="67"/>
        <v>Supply order ready for pickup</v>
      </c>
      <c r="AD364" s="64" t="str">
        <f t="shared" si="58"/>
        <v>Dear PSW,
Your order is ready for pickup from Sample Branch, Wed-Fri 9am-4pm.</v>
      </c>
      <c r="AE364" s="64" t="str">
        <f t="shared" si="59"/>
        <v>mailto:firstname110.lastname110@example.com?subject=Supply%20order%20ready%20for%20pickup&amp;body=Dear%20PSW%2C%0A%0AYour%20order%20is%20ready%20for%20pickup%20from%20Sample%20Branch%2C%20Wed-Fri%209am-4pm.</v>
      </c>
      <c r="AF364" s="89" t="str">
        <f t="shared" si="68"/>
        <v>Draft email</v>
      </c>
      <c r="AG364" s="64" t="str">
        <f>IF($C364="","",IFERROR(INDEX('Staff Directory'!$K$595:$K$599,MATCH($C364,'Staff Directory'!$B$5:$B$599,0)),$D364))</f>
        <v>PSW</v>
      </c>
      <c r="AH364" t="str">
        <f>IF($C364="","",IFERROR(INDEX('Staff Directory'!$I$595:$I$599,MATCH($C364,'Staff Directory'!$B$5:$B$599,0))&amp;" "&amp;INDEX('Staff Directory'!$J$595:$J$599,MATCH($C364,'Staff Directory'!$B$5:$B$599,0)),$AG364))</f>
        <v>PSW</v>
      </c>
      <c r="AI364" s="102"/>
      <c r="AJ364" s="101">
        <f>IF($F364="","",SUMIFS($J$5:$J364,$F$5:$F364,$F364))</f>
        <v>100</v>
      </c>
      <c r="AK364" s="101">
        <f t="shared" si="60"/>
        <v>99</v>
      </c>
      <c r="AL364" s="66" t="str" cm="1">
        <f t="array" ref="AL364">IF($F364="","",IFERROR(INDEX('Lot Balance'!$B$5:$B$500,MATCH(1,INDEX(('Lot Balance'!$A$5:$A$500=$F364)*('Lot Balance'!$K$5:$K$500&lt;$AK364)*('Lot Balance'!$K$5:$K$500+'Lot Balance'!$D$5:$D$500&gt;=$AK364),0),0)),""))</f>
        <v/>
      </c>
      <c r="AM364" s="66" t="str" cm="1">
        <f t="array" ref="AM364">IF($F364="","",IFERROR(INDEX('Lot Balance'!$B$5:$B$500,MATCH(1,INDEX(('Lot Balance'!$A$5:$A$500=$F364)*('Lot Balance'!$K$5:$K$500&lt;$AJ364)*('Lot Balance'!$K$5:$K$500+'Lot Balance'!$D$5:$D$500&gt;=$AJ364),0),0)),""))</f>
        <v/>
      </c>
      <c r="AN364" s="66" t="str">
        <f>IF($F364="","",IF($AI364&lt;&gt;"",IF(COUNTIFS('Lot Balance'!$A$5:$A$500,$F364,'Lot Balance'!$B$5:$B$500,$AI364)=0,"⚠ override is not a lot of this item",IF($AI364=$AL364,"Override = FEFO","Override - FEFO says "&amp;$AL364)),IF($AL364="","⚠ no receipt on file for this item",IF($AM364&lt;&gt;$AL364,"FEFO auto - split, also "&amp;$AM364,"FEFO auto"))))</f>
        <v>⚠ no receipt on file for this item</v>
      </c>
      <c r="AO364" s="114"/>
    </row>
    <row r="365" spans="1:41" x14ac:dyDescent="0.35">
      <c r="A365" s="74">
        <v>46135</v>
      </c>
      <c r="B365" s="18" t="str">
        <f>IF($C365="","",IFERROR(INDEX('Staff Directory'!$A$5:$A$594,MATCH($C365,'Staff Directory'!$B$5:$B$594,0)),"⚠ unknown staff"))</f>
        <v>PSW-065-A4</v>
      </c>
      <c r="C365" s="49" t="s">
        <v>1041</v>
      </c>
      <c r="D365" s="19" t="str">
        <f>IF($B365="","",IFERROR(INDEX('Staff Directory'!$C$5:$C$594,MATCH($B365,'Staff Directory'!$A$5:$A$594,0)),""))</f>
        <v>PSW</v>
      </c>
      <c r="E365" s="19" t="str">
        <f>IF($B365="","",IFERROR(INDEX('Staff Directory'!$D$5:$D$594,MATCH($B365,'Staff Directory'!$A$5:$A$594,0)),""))</f>
        <v>A4</v>
      </c>
      <c r="F365" s="9" t="s">
        <v>127</v>
      </c>
      <c r="G365" s="18" t="str">
        <f>IF($F365="","",IFERROR(INDEX(Items!$B$5:$B$597,MATCH($F365,Items!$A$5:$A$597,0)),"⚠ not in Items"))</f>
        <v>Gloves</v>
      </c>
      <c r="H365" s="19" t="str">
        <f>IF($F365="","",IFERROR(INDEX(Items!$C$5:$C$597,MATCH($F365,Items!$A$5:$A$597,0)),""))</f>
        <v>Medium</v>
      </c>
      <c r="I365" s="23">
        <f>IF($F365="","",IFERROR(INDEX(Items!$E$5:$E$597,MATCH($F365,Items!$A$5:$A$597,0)),""))</f>
        <v>500</v>
      </c>
      <c r="J365" s="115">
        <f>IF(tblIssues[[#This Row],[Qty Override]]&lt;&gt;"",tblIssues[[#This Row],[Qty Override]],IF(tblIssues[[#This Row],[Standard Issue]]="","",tblIssues[[#This Row],[Standard Issue]]))</f>
        <v>500</v>
      </c>
      <c r="K365" s="20">
        <f>IF($F365="","",IFERROR(INDEX(Items!$D$5:$D$597,MATCH($F365,Items!$A$5:$A$597,0)),""))</f>
        <v>5.5E-2</v>
      </c>
      <c r="L365" s="21">
        <f t="shared" si="61"/>
        <v>27.5</v>
      </c>
      <c r="M365" s="9" t="str">
        <f t="shared" si="62"/>
        <v>0312HIC25</v>
      </c>
      <c r="N365" s="24">
        <f>IF($A365="","",WORKDAY($A365,Settings!$C$9,HolidayDates))</f>
        <v>46143</v>
      </c>
      <c r="O365" s="24">
        <f>IF($N365="","",WORKDAY($N365,Settings!$C$10,HolidayDates))</f>
        <v>46183</v>
      </c>
      <c r="P365" s="10" t="s">
        <v>501</v>
      </c>
      <c r="Q365" s="52" t="str">
        <f t="shared" si="64"/>
        <v>Collected</v>
      </c>
      <c r="R365" s="55" t="str">
        <f t="shared" si="65"/>
        <v>2026-04</v>
      </c>
      <c r="S365" s="55">
        <f>IF(OR($B365="",$F365="",$R365=""),"",SUMIFS(tblIssues[Qty Issued],tblIssues[Staff ID],$B365,tblIssues[Item Name],$F365,tblIssues[Month],$R365))</f>
        <v>500</v>
      </c>
      <c r="T365" s="56">
        <f>IF($I365="","",$I365*Settings!$C$11)</f>
        <v>500</v>
      </c>
      <c r="U365" s="57" t="str">
        <f t="shared" si="63"/>
        <v>OK</v>
      </c>
      <c r="V365" s="55" t="str">
        <f t="shared" si="66"/>
        <v/>
      </c>
      <c r="W365" s="55" t="str">
        <f>IF($V365="","",IF(COUNTIF($V$5:$V365,$V365)=1,1,""))</f>
        <v/>
      </c>
      <c r="X365" s="58" t="str">
        <f>IF($W365="","",MAX($X$4:X364)+1)</f>
        <v/>
      </c>
      <c r="Y365" s="62"/>
      <c r="Z365" s="62"/>
      <c r="AA365" s="64" t="str">
        <f>IF($C365="","",IFERROR(INDEX('Staff Directory'!$E$5:$E$594,MATCH($C365,'Staff Directory'!$B$5:$B$594,0)),""))</f>
        <v>firstname125.lastname125@example.com</v>
      </c>
      <c r="AB365" s="64" t="str">
        <f>IF($C365="","",IF(ISNUMBER(SEARCH($D365,Settings!$C$15)),"Pickup","Dispatch"))</f>
        <v>Pickup</v>
      </c>
      <c r="AC365" s="64" t="str">
        <f t="shared" si="67"/>
        <v>Supply order ready for pickup</v>
      </c>
      <c r="AD365" s="64" t="str">
        <f t="shared" si="58"/>
        <v>Dear PSW,
Your order is ready for pickup from Sample Branch, Wed-Fri 9am-4pm.</v>
      </c>
      <c r="AE365" s="64" t="str">
        <f t="shared" si="59"/>
        <v>mailto:firstname125.lastname125@example.com?subject=Supply%20order%20ready%20for%20pickup&amp;body=Dear%20PSW%2C%0A%0AYour%20order%20is%20ready%20for%20pickup%20from%20Sample%20Branch%2C%20Wed-Fri%209am-4pm.</v>
      </c>
      <c r="AF365" s="89" t="str">
        <f t="shared" si="68"/>
        <v>Draft email</v>
      </c>
      <c r="AG365" s="64" t="str">
        <f>IF($C365="","",IFERROR(INDEX('Staff Directory'!$K$595:$K$599,MATCH($C365,'Staff Directory'!$B$5:$B$599,0)),$D365))</f>
        <v>PSW</v>
      </c>
      <c r="AH365" t="str">
        <f>IF($C365="","",IFERROR(INDEX('Staff Directory'!$I$595:$I$599,MATCH($C365,'Staff Directory'!$B$5:$B$599,0))&amp;" "&amp;INDEX('Staff Directory'!$J$595:$J$599,MATCH($C365,'Staff Directory'!$B$5:$B$599,0)),$AG365))</f>
        <v>PSW</v>
      </c>
      <c r="AI365" s="102"/>
      <c r="AJ365" s="101">
        <f>IF($F365="","",SUMIFS($J$5:$J365,$F$5:$F365,$F365))</f>
        <v>21500</v>
      </c>
      <c r="AK365" s="101">
        <f t="shared" si="60"/>
        <v>21001</v>
      </c>
      <c r="AL365" s="66" t="str" cm="1">
        <f t="array" ref="AL365">IF($F365="","",IFERROR(INDEX('Lot Balance'!$B$5:$B$500,MATCH(1,INDEX(('Lot Balance'!$A$5:$A$500=$F365)*('Lot Balance'!$K$5:$K$500&lt;$AK365)*('Lot Balance'!$K$5:$K$500+'Lot Balance'!$D$5:$D$500&gt;=$AK365),0),0)),""))</f>
        <v>0312HIC25</v>
      </c>
      <c r="AM365" s="66" t="str" cm="1">
        <f t="array" ref="AM365">IF($F365="","",IFERROR(INDEX('Lot Balance'!$B$5:$B$500,MATCH(1,INDEX(('Lot Balance'!$A$5:$A$500=$F365)*('Lot Balance'!$K$5:$K$500&lt;$AJ365)*('Lot Balance'!$K$5:$K$500+'Lot Balance'!$D$5:$D$500&gt;=$AJ365),0),0)),""))</f>
        <v>0312HIC25</v>
      </c>
      <c r="AN365" s="66" t="str">
        <f>IF($F365="","",IF($AI365&lt;&gt;"",IF(COUNTIFS('Lot Balance'!$A$5:$A$500,$F365,'Lot Balance'!$B$5:$B$500,$AI365)=0,"⚠ override is not a lot of this item",IF($AI365=$AL365,"Override = FEFO","Override - FEFO says "&amp;$AL365)),IF($AL365="","⚠ no receipt on file for this item",IF($AM365&lt;&gt;$AL365,"FEFO auto - split, also "&amp;$AM365,"FEFO auto"))))</f>
        <v>FEFO auto</v>
      </c>
      <c r="AO365" s="114"/>
    </row>
    <row r="366" spans="1:41" x14ac:dyDescent="0.35">
      <c r="A366" s="74">
        <v>46135</v>
      </c>
      <c r="B366" s="18" t="str">
        <f>IF($C366="","",IFERROR(INDEX('Staff Directory'!$A$5:$A$594,MATCH($C366,'Staff Directory'!$B$5:$B$594,0)),"⚠ unknown staff"))</f>
        <v>PSW-065-A4</v>
      </c>
      <c r="C366" s="49" t="s">
        <v>1041</v>
      </c>
      <c r="D366" s="19" t="str">
        <f>IF($B366="","",IFERROR(INDEX('Staff Directory'!$C$5:$C$594,MATCH($B366,'Staff Directory'!$A$5:$A$594,0)),""))</f>
        <v>PSW</v>
      </c>
      <c r="E366" s="19" t="str">
        <f>IF($B366="","",IFERROR(INDEX('Staff Directory'!$D$5:$D$594,MATCH($B366,'Staff Directory'!$A$5:$A$594,0)),""))</f>
        <v>A4</v>
      </c>
      <c r="F366" s="9" t="s">
        <v>191</v>
      </c>
      <c r="G366" s="18" t="str">
        <f>IF($F366="","",IFERROR(INDEX(Items!$B$5:$B$597,MATCH($F366,Items!$A$5:$A$597,0)),"⚠ not in Items"))</f>
        <v>Sanitizer</v>
      </c>
      <c r="H366" s="19" t="str">
        <f>IF($F366="","",IFERROR(INDEX(Items!$C$5:$C$597,MATCH($F366,Items!$A$5:$A$597,0)),""))</f>
        <v>236 ML</v>
      </c>
      <c r="I366" s="23">
        <f>IF($F366="","",IFERROR(INDEX(Items!$E$5:$E$597,MATCH($F366,Items!$A$5:$A$597,0)),""))</f>
        <v>1</v>
      </c>
      <c r="J366" s="115">
        <f>IF(tblIssues[[#This Row],[Qty Override]]&lt;&gt;"",tblIssues[[#This Row],[Qty Override]],IF(tblIssues[[#This Row],[Standard Issue]]="","",tblIssues[[#This Row],[Standard Issue]]))</f>
        <v>1</v>
      </c>
      <c r="K366" s="20">
        <f>IF($F366="","",IFERROR(INDEX(Items!$D$5:$D$597,MATCH($F366,Items!$A$5:$A$597,0)),""))</f>
        <v>1E-4</v>
      </c>
      <c r="L366" s="21">
        <f t="shared" si="61"/>
        <v>1E-4</v>
      </c>
      <c r="M366" s="9" t="str">
        <f t="shared" si="62"/>
        <v>20-21734-1</v>
      </c>
      <c r="N366" s="24">
        <f>IF($A366="","",WORKDAY($A366,Settings!$C$9,HolidayDates))</f>
        <v>46143</v>
      </c>
      <c r="O366" s="24">
        <f>IF($N366="","",WORKDAY($N366,Settings!$C$10,HolidayDates))</f>
        <v>46183</v>
      </c>
      <c r="P366" s="10" t="s">
        <v>501</v>
      </c>
      <c r="Q366" s="52" t="str">
        <f t="shared" si="64"/>
        <v>Collected</v>
      </c>
      <c r="R366" s="55" t="str">
        <f t="shared" si="65"/>
        <v>2026-04</v>
      </c>
      <c r="S366" s="55">
        <f>IF(OR($B366="",$F366="",$R366=""),"",SUMIFS(tblIssues[Qty Issued],tblIssues[Staff ID],$B366,tblIssues[Item Name],$F366,tblIssues[Month],$R366))</f>
        <v>1</v>
      </c>
      <c r="T366" s="56">
        <f>IF($I366="","",$I366*Settings!$C$11)</f>
        <v>1</v>
      </c>
      <c r="U366" s="57" t="str">
        <f t="shared" si="63"/>
        <v>OK</v>
      </c>
      <c r="V366" s="55" t="str">
        <f t="shared" si="66"/>
        <v/>
      </c>
      <c r="W366" s="55" t="str">
        <f>IF($V366="","",IF(COUNTIF($V$5:$V366,$V366)=1,1,""))</f>
        <v/>
      </c>
      <c r="X366" s="58" t="str">
        <f>IF($W366="","",MAX($X$4:X365)+1)</f>
        <v/>
      </c>
      <c r="Y366" s="62"/>
      <c r="Z366" s="62"/>
      <c r="AA366" s="64" t="str">
        <f>IF($C366="","",IFERROR(INDEX('Staff Directory'!$E$5:$E$594,MATCH($C366,'Staff Directory'!$B$5:$B$594,0)),""))</f>
        <v>firstname125.lastname125@example.com</v>
      </c>
      <c r="AB366" s="64" t="str">
        <f>IF($C366="","",IF(ISNUMBER(SEARCH($D366,Settings!$C$15)),"Pickup","Dispatch"))</f>
        <v>Pickup</v>
      </c>
      <c r="AC366" s="64" t="str">
        <f t="shared" si="67"/>
        <v>Supply order ready for pickup</v>
      </c>
      <c r="AD366" s="64" t="str">
        <f t="shared" si="58"/>
        <v>Dear PSW,
Your order is ready for pickup from Sample Branch, Wed-Fri 9am-4pm.</v>
      </c>
      <c r="AE366" s="64" t="str">
        <f t="shared" si="59"/>
        <v>mailto:firstname125.lastname125@example.com?subject=Supply%20order%20ready%20for%20pickup&amp;body=Dear%20PSW%2C%0A%0AYour%20order%20is%20ready%20for%20pickup%20from%20Sample%20Branch%2C%20Wed-Fri%209am-4pm.</v>
      </c>
      <c r="AF366" s="89" t="str">
        <f t="shared" si="68"/>
        <v>Draft email</v>
      </c>
      <c r="AG366" s="64" t="str">
        <f>IF($C366="","",IFERROR(INDEX('Staff Directory'!$K$595:$K$599,MATCH($C366,'Staff Directory'!$B$5:$B$599,0)),$D366))</f>
        <v>PSW</v>
      </c>
      <c r="AH366" t="str">
        <f>IF($C366="","",IFERROR(INDEX('Staff Directory'!$I$595:$I$599,MATCH($C366,'Staff Directory'!$B$5:$B$599,0))&amp;" "&amp;INDEX('Staff Directory'!$J$595:$J$599,MATCH($C366,'Staff Directory'!$B$5:$B$599,0)),$AG366))</f>
        <v>PSW</v>
      </c>
      <c r="AI366" s="102"/>
      <c r="AJ366" s="101">
        <f>IF($F366="","",SUMIFS($J$5:$J366,$F$5:$F366,$F366))</f>
        <v>26</v>
      </c>
      <c r="AK366" s="101">
        <f t="shared" si="60"/>
        <v>26</v>
      </c>
      <c r="AL366" s="66" t="str" cm="1">
        <f t="array" ref="AL366">IF($F366="","",IFERROR(INDEX('Lot Balance'!$B$5:$B$500,MATCH(1,INDEX(('Lot Balance'!$A$5:$A$500=$F366)*('Lot Balance'!$K$5:$K$500&lt;$AK366)*('Lot Balance'!$K$5:$K$500+'Lot Balance'!$D$5:$D$500&gt;=$AK366),0),0)),""))</f>
        <v>20-21734-1</v>
      </c>
      <c r="AM366" s="66" t="str" cm="1">
        <f t="array" ref="AM366">IF($F366="","",IFERROR(INDEX('Lot Balance'!$B$5:$B$500,MATCH(1,INDEX(('Lot Balance'!$A$5:$A$500=$F366)*('Lot Balance'!$K$5:$K$500&lt;$AJ366)*('Lot Balance'!$K$5:$K$500+'Lot Balance'!$D$5:$D$500&gt;=$AJ366),0),0)),""))</f>
        <v>20-21734-1</v>
      </c>
      <c r="AN366" s="66" t="str">
        <f>IF($F366="","",IF($AI366&lt;&gt;"",IF(COUNTIFS('Lot Balance'!$A$5:$A$500,$F366,'Lot Balance'!$B$5:$B$500,$AI366)=0,"⚠ override is not a lot of this item",IF($AI366=$AL366,"Override = FEFO","Override - FEFO says "&amp;$AL366)),IF($AL366="","⚠ no receipt on file for this item",IF($AM366&lt;&gt;$AL366,"FEFO auto - split, also "&amp;$AM366,"FEFO auto"))))</f>
        <v>FEFO auto</v>
      </c>
      <c r="AO366" s="114"/>
    </row>
    <row r="367" spans="1:41" x14ac:dyDescent="0.35">
      <c r="A367" s="74">
        <v>46135</v>
      </c>
      <c r="B367" s="18" t="str">
        <f>IF($C367="","",IFERROR(INDEX('Staff Directory'!$A$5:$A$594,MATCH($C367,'Staff Directory'!$B$5:$B$594,0)),"⚠ unknown staff"))</f>
        <v>PSW-065-A4</v>
      </c>
      <c r="C367" s="49" t="s">
        <v>1041</v>
      </c>
      <c r="D367" s="19" t="str">
        <f>IF($B367="","",IFERROR(INDEX('Staff Directory'!$C$5:$C$594,MATCH($B367,'Staff Directory'!$A$5:$A$594,0)),""))</f>
        <v>PSW</v>
      </c>
      <c r="E367" s="19" t="str">
        <f>IF($B367="","",IFERROR(INDEX('Staff Directory'!$D$5:$D$594,MATCH($B367,'Staff Directory'!$A$5:$A$594,0)),""))</f>
        <v>A4</v>
      </c>
      <c r="F367" s="9" t="s">
        <v>115</v>
      </c>
      <c r="G367" s="18" t="str">
        <f>IF($F367="","",IFERROR(INDEX(Items!$B$5:$B$597,MATCH($F367,Items!$A$5:$A$597,0)),"⚠ not in Items"))</f>
        <v>Wipes</v>
      </c>
      <c r="H367" s="19">
        <f>IF($F367="","",IFERROR(INDEX(Items!$C$5:$C$597,MATCH($F367,Items!$A$5:$A$597,0)),""))</f>
        <v>80</v>
      </c>
      <c r="I367" s="23">
        <f>IF($F367="","",IFERROR(INDEX(Items!$E$5:$E$597,MATCH($F367,Items!$A$5:$A$597,0)),""))</f>
        <v>80</v>
      </c>
      <c r="J367" s="115">
        <f>IF(tblIssues[[#This Row],[Qty Override]]&lt;&gt;"",tblIssues[[#This Row],[Qty Override]],IF(tblIssues[[#This Row],[Standard Issue]]="","",tblIssues[[#This Row],[Standard Issue]]))</f>
        <v>80</v>
      </c>
      <c r="K367" s="20">
        <f>IF($F367="","",IFERROR(INDEX(Items!$D$5:$D$597,MATCH($F367,Items!$A$5:$A$597,0)),""))</f>
        <v>0.1</v>
      </c>
      <c r="L367" s="21">
        <f t="shared" si="61"/>
        <v>8</v>
      </c>
      <c r="M367" s="9" t="str">
        <f t="shared" si="62"/>
        <v>LYSL500290</v>
      </c>
      <c r="N367" s="24">
        <f>IF($A367="","",WORKDAY($A367,Settings!$C$9,HolidayDates))</f>
        <v>46143</v>
      </c>
      <c r="O367" s="24">
        <f>IF($N367="","",WORKDAY($N367,Settings!$C$10,HolidayDates))</f>
        <v>46183</v>
      </c>
      <c r="P367" s="10" t="s">
        <v>501</v>
      </c>
      <c r="Q367" s="52" t="str">
        <f t="shared" si="64"/>
        <v>Collected</v>
      </c>
      <c r="R367" s="55" t="str">
        <f t="shared" si="65"/>
        <v>2026-04</v>
      </c>
      <c r="S367" s="55">
        <f>IF(OR($B367="",$F367="",$R367=""),"",SUMIFS(tblIssues[Qty Issued],tblIssues[Staff ID],$B367,tblIssues[Item Name],$F367,tblIssues[Month],$R367))</f>
        <v>80</v>
      </c>
      <c r="T367" s="56">
        <f>IF($I367="","",$I367*Settings!$C$11)</f>
        <v>80</v>
      </c>
      <c r="U367" s="57" t="str">
        <f t="shared" si="63"/>
        <v>OK</v>
      </c>
      <c r="V367" s="55" t="str">
        <f t="shared" si="66"/>
        <v/>
      </c>
      <c r="W367" s="55" t="str">
        <f>IF($V367="","",IF(COUNTIF($V$5:$V367,$V367)=1,1,""))</f>
        <v/>
      </c>
      <c r="X367" s="58" t="str">
        <f>IF($W367="","",MAX($X$4:X366)+1)</f>
        <v/>
      </c>
      <c r="Y367" s="62"/>
      <c r="Z367" s="62"/>
      <c r="AA367" s="64" t="str">
        <f>IF($C367="","",IFERROR(INDEX('Staff Directory'!$E$5:$E$594,MATCH($C367,'Staff Directory'!$B$5:$B$594,0)),""))</f>
        <v>firstname125.lastname125@example.com</v>
      </c>
      <c r="AB367" s="64" t="str">
        <f>IF($C367="","",IF(ISNUMBER(SEARCH($D367,Settings!$C$15)),"Pickup","Dispatch"))</f>
        <v>Pickup</v>
      </c>
      <c r="AC367" s="64" t="str">
        <f t="shared" si="67"/>
        <v>Supply order ready for pickup</v>
      </c>
      <c r="AD367" s="64" t="str">
        <f t="shared" si="58"/>
        <v>Dear PSW,
Your order is ready for pickup from Sample Branch, Wed-Fri 9am-4pm.</v>
      </c>
      <c r="AE367" s="64" t="str">
        <f t="shared" si="59"/>
        <v>mailto:firstname125.lastname125@example.com?subject=Supply%20order%20ready%20for%20pickup&amp;body=Dear%20PSW%2C%0A%0AYour%20order%20is%20ready%20for%20pickup%20from%20Sample%20Branch%2C%20Wed-Fri%209am-4pm.</v>
      </c>
      <c r="AF367" s="89" t="str">
        <f t="shared" si="68"/>
        <v>Draft email</v>
      </c>
      <c r="AG367" s="64" t="str">
        <f>IF($C367="","",IFERROR(INDEX('Staff Directory'!$K$595:$K$599,MATCH($C367,'Staff Directory'!$B$5:$B$599,0)),$D367))</f>
        <v>PSW</v>
      </c>
      <c r="AH367" t="str">
        <f>IF($C367="","",IFERROR(INDEX('Staff Directory'!$I$595:$I$599,MATCH($C367,'Staff Directory'!$B$5:$B$599,0))&amp;" "&amp;INDEX('Staff Directory'!$J$595:$J$599,MATCH($C367,'Staff Directory'!$B$5:$B$599,0)),$AG367))</f>
        <v>PSW</v>
      </c>
      <c r="AI367" s="102"/>
      <c r="AJ367" s="101">
        <f>IF($F367="","",SUMIFS($J$5:$J367,$F$5:$F367,$F367))</f>
        <v>4960</v>
      </c>
      <c r="AK367" s="101">
        <f t="shared" si="60"/>
        <v>4881</v>
      </c>
      <c r="AL367" s="66" t="str" cm="1">
        <f t="array" ref="AL367">IF($F367="","",IFERROR(INDEX('Lot Balance'!$B$5:$B$500,MATCH(1,INDEX(('Lot Balance'!$A$5:$A$500=$F367)*('Lot Balance'!$K$5:$K$500&lt;$AK367)*('Lot Balance'!$K$5:$K$500+'Lot Balance'!$D$5:$D$500&gt;=$AK367),0),0)),""))</f>
        <v>LYSL500290</v>
      </c>
      <c r="AM367" s="66" t="str" cm="1">
        <f t="array" ref="AM367">IF($F367="","",IFERROR(INDEX('Lot Balance'!$B$5:$B$500,MATCH(1,INDEX(('Lot Balance'!$A$5:$A$500=$F367)*('Lot Balance'!$K$5:$K$500&lt;$AJ367)*('Lot Balance'!$K$5:$K$500+'Lot Balance'!$D$5:$D$500&gt;=$AJ367),0),0)),""))</f>
        <v>LYSL500290</v>
      </c>
      <c r="AN367" s="66" t="str">
        <f>IF($F367="","",IF($AI367&lt;&gt;"",IF(COUNTIFS('Lot Balance'!$A$5:$A$500,$F367,'Lot Balance'!$B$5:$B$500,$AI367)=0,"⚠ override is not a lot of this item",IF($AI367=$AL367,"Override = FEFO","Override - FEFO says "&amp;$AL367)),IF($AL367="","⚠ no receipt on file for this item",IF($AM367&lt;&gt;$AL367,"FEFO auto - split, also "&amp;$AM367,"FEFO auto"))))</f>
        <v>FEFO auto</v>
      </c>
      <c r="AO367" s="114"/>
    </row>
    <row r="368" spans="1:41" x14ac:dyDescent="0.35">
      <c r="A368" s="74">
        <v>46135</v>
      </c>
      <c r="B368" s="18" t="str">
        <f>IF($C368="","",IFERROR(INDEX('Staff Directory'!$A$5:$A$594,MATCH($C368,'Staff Directory'!$B$5:$B$594,0)),"⚠ unknown staff"))</f>
        <v>PSW-065-A4</v>
      </c>
      <c r="C368" s="49" t="s">
        <v>1041</v>
      </c>
      <c r="D368" s="19" t="str">
        <f>IF($B368="","",IFERROR(INDEX('Staff Directory'!$C$5:$C$594,MATCH($B368,'Staff Directory'!$A$5:$A$594,0)),""))</f>
        <v>PSW</v>
      </c>
      <c r="E368" s="19" t="str">
        <f>IF($B368="","",IFERROR(INDEX('Staff Directory'!$D$5:$D$594,MATCH($B368,'Staff Directory'!$A$5:$A$594,0)),""))</f>
        <v>A4</v>
      </c>
      <c r="F368" s="9" t="s">
        <v>156</v>
      </c>
      <c r="G368" s="18" t="str">
        <f>IF($F368="","",IFERROR(INDEX(Items!$B$5:$B$597,MATCH($F368,Items!$A$5:$A$597,0)),"⚠ not in Items"))</f>
        <v>Masks</v>
      </c>
      <c r="H368" s="19" t="str">
        <f>IF($F368="","",IFERROR(INDEX(Items!$C$5:$C$597,MATCH($F368,Items!$A$5:$A$597,0)),""))</f>
        <v>One Size</v>
      </c>
      <c r="I368" s="23">
        <f>IF($F368="","",IFERROR(INDEX(Items!$E$5:$E$597,MATCH($F368,Items!$A$5:$A$597,0)),""))</f>
        <v>50</v>
      </c>
      <c r="J368" s="115">
        <f>IF(tblIssues[[#This Row],[Qty Override]]&lt;&gt;"",tblIssues[[#This Row],[Qty Override]],IF(tblIssues[[#This Row],[Standard Issue]]="","",tblIssues[[#This Row],[Standard Issue]]))</f>
        <v>50</v>
      </c>
      <c r="K368" s="20">
        <f>IF($F368="","",IFERROR(INDEX(Items!$D$5:$D$597,MATCH($F368,Items!$A$5:$A$597,0)),""))</f>
        <v>0.25</v>
      </c>
      <c r="L368" s="21">
        <f t="shared" si="61"/>
        <v>12.5</v>
      </c>
      <c r="M368" s="9" t="str">
        <f t="shared" si="62"/>
        <v>0125FPC24-0</v>
      </c>
      <c r="N368" s="24">
        <f>IF($A368="","",WORKDAY($A368,Settings!$C$9,HolidayDates))</f>
        <v>46143</v>
      </c>
      <c r="O368" s="24">
        <f>IF($N368="","",WORKDAY($N368,Settings!$C$10,HolidayDates))</f>
        <v>46183</v>
      </c>
      <c r="P368" s="10" t="s">
        <v>501</v>
      </c>
      <c r="Q368" s="52" t="str">
        <f t="shared" si="64"/>
        <v>Collected</v>
      </c>
      <c r="R368" s="55" t="str">
        <f t="shared" si="65"/>
        <v>2026-04</v>
      </c>
      <c r="S368" s="55">
        <f>IF(OR($B368="",$F368="",$R368=""),"",SUMIFS(tblIssues[Qty Issued],tblIssues[Staff ID],$B368,tblIssues[Item Name],$F368,tblIssues[Month],$R368))</f>
        <v>50</v>
      </c>
      <c r="T368" s="56">
        <f>IF($I368="","",$I368*Settings!$C$11)</f>
        <v>50</v>
      </c>
      <c r="U368" s="57" t="str">
        <f t="shared" si="63"/>
        <v>OK</v>
      </c>
      <c r="V368" s="55" t="str">
        <f t="shared" si="66"/>
        <v/>
      </c>
      <c r="W368" s="55" t="str">
        <f>IF($V368="","",IF(COUNTIF($V$5:$V368,$V368)=1,1,""))</f>
        <v/>
      </c>
      <c r="X368" s="58" t="str">
        <f>IF($W368="","",MAX($X$4:X367)+1)</f>
        <v/>
      </c>
      <c r="Y368" s="62"/>
      <c r="Z368" s="62"/>
      <c r="AA368" s="64" t="str">
        <f>IF($C368="","",IFERROR(INDEX('Staff Directory'!$E$5:$E$594,MATCH($C368,'Staff Directory'!$B$5:$B$594,0)),""))</f>
        <v>firstname125.lastname125@example.com</v>
      </c>
      <c r="AB368" s="64" t="str">
        <f>IF($C368="","",IF(ISNUMBER(SEARCH($D368,Settings!$C$15)),"Pickup","Dispatch"))</f>
        <v>Pickup</v>
      </c>
      <c r="AC368" s="64" t="str">
        <f t="shared" si="67"/>
        <v>Supply order ready for pickup</v>
      </c>
      <c r="AD368" s="64" t="str">
        <f t="shared" si="58"/>
        <v>Dear PSW,
Your order is ready for pickup from Sample Branch, Wed-Fri 9am-4pm.</v>
      </c>
      <c r="AE368" s="64" t="str">
        <f t="shared" si="59"/>
        <v>mailto:firstname125.lastname125@example.com?subject=Supply%20order%20ready%20for%20pickup&amp;body=Dear%20PSW%2C%0A%0AYour%20order%20is%20ready%20for%20pickup%20from%20Sample%20Branch%2C%20Wed-Fri%209am-4pm.</v>
      </c>
      <c r="AF368" s="89" t="str">
        <f t="shared" si="68"/>
        <v>Draft email</v>
      </c>
      <c r="AG368" s="64" t="str">
        <f>IF($C368="","",IFERROR(INDEX('Staff Directory'!$K$595:$K$599,MATCH($C368,'Staff Directory'!$B$5:$B$599,0)),$D368))</f>
        <v>PSW</v>
      </c>
      <c r="AH368" t="str">
        <f>IF($C368="","",IFERROR(INDEX('Staff Directory'!$I$595:$I$599,MATCH($C368,'Staff Directory'!$B$5:$B$599,0))&amp;" "&amp;INDEX('Staff Directory'!$J$595:$J$599,MATCH($C368,'Staff Directory'!$B$5:$B$599,0)),$AG368))</f>
        <v>PSW</v>
      </c>
      <c r="AI368" s="102"/>
      <c r="AJ368" s="101">
        <f>IF($F368="","",SUMIFS($J$5:$J368,$F$5:$F368,$F368))</f>
        <v>2850</v>
      </c>
      <c r="AK368" s="101">
        <f t="shared" si="60"/>
        <v>2801</v>
      </c>
      <c r="AL368" s="66" t="str" cm="1">
        <f t="array" ref="AL368">IF($F368="","",IFERROR(INDEX('Lot Balance'!$B$5:$B$500,MATCH(1,INDEX(('Lot Balance'!$A$5:$A$500=$F368)*('Lot Balance'!$K$5:$K$500&lt;$AK368)*('Lot Balance'!$K$5:$K$500+'Lot Balance'!$D$5:$D$500&gt;=$AK368),0),0)),""))</f>
        <v>0125FPC24-0</v>
      </c>
      <c r="AM368" s="66" t="str" cm="1">
        <f t="array" ref="AM368">IF($F368="","",IFERROR(INDEX('Lot Balance'!$B$5:$B$500,MATCH(1,INDEX(('Lot Balance'!$A$5:$A$500=$F368)*('Lot Balance'!$K$5:$K$500&lt;$AJ368)*('Lot Balance'!$K$5:$K$500+'Lot Balance'!$D$5:$D$500&gt;=$AJ368),0),0)),""))</f>
        <v>0125FPC24-0</v>
      </c>
      <c r="AN368" s="66" t="str">
        <f>IF($F368="","",IF($AI368&lt;&gt;"",IF(COUNTIFS('Lot Balance'!$A$5:$A$500,$F368,'Lot Balance'!$B$5:$B$500,$AI368)=0,"⚠ override is not a lot of this item",IF($AI368=$AL368,"Override = FEFO","Override - FEFO says "&amp;$AL368)),IF($AL368="","⚠ no receipt on file for this item",IF($AM368&lt;&gt;$AL368,"FEFO auto - split, also "&amp;$AM368,"FEFO auto"))))</f>
        <v>FEFO auto</v>
      </c>
      <c r="AO368" s="114"/>
    </row>
    <row r="369" spans="1:41" x14ac:dyDescent="0.35">
      <c r="A369" s="74">
        <v>46135</v>
      </c>
      <c r="B369" s="18" t="str">
        <f>IF($C369="","",IFERROR(INDEX('Staff Directory'!$A$5:$A$594,MATCH($C369,'Staff Directory'!$B$5:$B$594,0)),"⚠ unknown staff"))</f>
        <v>PSW-065-A4</v>
      </c>
      <c r="C369" s="49" t="s">
        <v>1041</v>
      </c>
      <c r="D369" s="19" t="str">
        <f>IF($B369="","",IFERROR(INDEX('Staff Directory'!$C$5:$C$594,MATCH($B369,'Staff Directory'!$A$5:$A$594,0)),""))</f>
        <v>PSW</v>
      </c>
      <c r="E369" s="19" t="str">
        <f>IF($B369="","",IFERROR(INDEX('Staff Directory'!$D$5:$D$594,MATCH($B369,'Staff Directory'!$A$5:$A$594,0)),""))</f>
        <v>A4</v>
      </c>
      <c r="F369" s="9" t="s">
        <v>755</v>
      </c>
      <c r="G369" s="18" t="str">
        <f>IF($F369="","",IFERROR(INDEX(Items!$B$5:$B$597,MATCH($F369,Items!$A$5:$A$597,0)),"⚠ not in Items"))</f>
        <v>Documents</v>
      </c>
      <c r="H369" s="19" t="str">
        <f>IF($F369="","",IFERROR(INDEX(Items!$C$5:$C$597,MATCH($F369,Items!$A$5:$A$597,0)),""))</f>
        <v>Standard</v>
      </c>
      <c r="I369" s="23">
        <f>IF($F369="","",IFERROR(INDEX(Items!$E$5:$E$597,MATCH($F369,Items!$A$5:$A$597,0)),""))</f>
        <v>2</v>
      </c>
      <c r="J369" s="115">
        <f>IF(tblIssues[[#This Row],[Qty Override]]&lt;&gt;"",tblIssues[[#This Row],[Qty Override]],IF(tblIssues[[#This Row],[Standard Issue]]="","",tblIssues[[#This Row],[Standard Issue]]))</f>
        <v>2</v>
      </c>
      <c r="K369" s="20">
        <f>IF($F369="","",IFERROR(INDEX(Items!$D$5:$D$597,MATCH($F369,Items!$A$5:$A$597,0)),""))</f>
        <v>0</v>
      </c>
      <c r="L369" s="21">
        <f t="shared" si="61"/>
        <v>0</v>
      </c>
      <c r="M369" s="9" t="str">
        <f t="shared" si="62"/>
        <v/>
      </c>
      <c r="N369" s="24">
        <f>IF($A369="","",WORKDAY($A369,Settings!$C$9,HolidayDates))</f>
        <v>46143</v>
      </c>
      <c r="O369" s="24">
        <f>IF($N369="","",WORKDAY($N369,Settings!$C$10,HolidayDates))</f>
        <v>46183</v>
      </c>
      <c r="P369" s="10" t="s">
        <v>501</v>
      </c>
      <c r="Q369" s="52" t="str">
        <f t="shared" si="64"/>
        <v>Collected</v>
      </c>
      <c r="R369" s="55" t="str">
        <f t="shared" si="65"/>
        <v>2026-04</v>
      </c>
      <c r="S369" s="55">
        <f>IF(OR($B369="",$F369="",$R369=""),"",SUMIFS(tblIssues[Qty Issued],tblIssues[Staff ID],$B369,tblIssues[Item Name],$F369,tblIssues[Month],$R369))</f>
        <v>2</v>
      </c>
      <c r="T369" s="56">
        <f>IF($I369="","",$I369*Settings!$C$11)</f>
        <v>2</v>
      </c>
      <c r="U369" s="57" t="str">
        <f t="shared" si="63"/>
        <v>OK</v>
      </c>
      <c r="V369" s="55" t="str">
        <f t="shared" si="66"/>
        <v/>
      </c>
      <c r="W369" s="55" t="str">
        <f>IF($V369="","",IF(COUNTIF($V$5:$V369,$V369)=1,1,""))</f>
        <v/>
      </c>
      <c r="X369" s="58" t="str">
        <f>IF($W369="","",MAX($X$4:X368)+1)</f>
        <v/>
      </c>
      <c r="Y369" s="62"/>
      <c r="Z369" s="62"/>
      <c r="AA369" s="64" t="str">
        <f>IF($C369="","",IFERROR(INDEX('Staff Directory'!$E$5:$E$594,MATCH($C369,'Staff Directory'!$B$5:$B$594,0)),""))</f>
        <v>firstname125.lastname125@example.com</v>
      </c>
      <c r="AB369" s="64" t="str">
        <f>IF($C369="","",IF(ISNUMBER(SEARCH($D369,Settings!$C$15)),"Pickup","Dispatch"))</f>
        <v>Pickup</v>
      </c>
      <c r="AC369" s="64" t="str">
        <f t="shared" si="67"/>
        <v>Supply order ready for pickup</v>
      </c>
      <c r="AD369" s="64" t="str">
        <f t="shared" si="58"/>
        <v>Dear PSW,
Your order is ready for pickup from Sample Branch, Wed-Fri 9am-4pm.</v>
      </c>
      <c r="AE369" s="64" t="str">
        <f t="shared" si="59"/>
        <v>mailto:firstname125.lastname125@example.com?subject=Supply%20order%20ready%20for%20pickup&amp;body=Dear%20PSW%2C%0A%0AYour%20order%20is%20ready%20for%20pickup%20from%20Sample%20Branch%2C%20Wed-Fri%209am-4pm.</v>
      </c>
      <c r="AF369" s="89" t="str">
        <f t="shared" si="68"/>
        <v>Draft email</v>
      </c>
      <c r="AG369" s="64" t="str">
        <f>IF($C369="","",IFERROR(INDEX('Staff Directory'!$K$595:$K$599,MATCH($C369,'Staff Directory'!$B$5:$B$599,0)),$D369))</f>
        <v>PSW</v>
      </c>
      <c r="AH369" t="str">
        <f>IF($C369="","",IFERROR(INDEX('Staff Directory'!$I$595:$I$599,MATCH($C369,'Staff Directory'!$B$5:$B$599,0))&amp;" "&amp;INDEX('Staff Directory'!$J$595:$J$599,MATCH($C369,'Staff Directory'!$B$5:$B$599,0)),$AG369))</f>
        <v>PSW</v>
      </c>
      <c r="AI369" s="102"/>
      <c r="AJ369" s="101">
        <f>IF($F369="","",SUMIFS($J$5:$J369,$F$5:$F369,$F369))</f>
        <v>102</v>
      </c>
      <c r="AK369" s="101">
        <f t="shared" si="60"/>
        <v>101</v>
      </c>
      <c r="AL369" s="66" t="str" cm="1">
        <f t="array" ref="AL369">IF($F369="","",IFERROR(INDEX('Lot Balance'!$B$5:$B$500,MATCH(1,INDEX(('Lot Balance'!$A$5:$A$500=$F369)*('Lot Balance'!$K$5:$K$500&lt;$AK369)*('Lot Balance'!$K$5:$K$500+'Lot Balance'!$D$5:$D$500&gt;=$AK369),0),0)),""))</f>
        <v/>
      </c>
      <c r="AM369" s="66" t="str" cm="1">
        <f t="array" ref="AM369">IF($F369="","",IFERROR(INDEX('Lot Balance'!$B$5:$B$500,MATCH(1,INDEX(('Lot Balance'!$A$5:$A$500=$F369)*('Lot Balance'!$K$5:$K$500&lt;$AJ369)*('Lot Balance'!$K$5:$K$500+'Lot Balance'!$D$5:$D$500&gt;=$AJ369),0),0)),""))</f>
        <v/>
      </c>
      <c r="AN369" s="66" t="str">
        <f>IF($F369="","",IF($AI369&lt;&gt;"",IF(COUNTIFS('Lot Balance'!$A$5:$A$500,$F369,'Lot Balance'!$B$5:$B$500,$AI369)=0,"⚠ override is not a lot of this item",IF($AI369=$AL369,"Override = FEFO","Override - FEFO says "&amp;$AL369)),IF($AL369="","⚠ no receipt on file for this item",IF($AM369&lt;&gt;$AL369,"FEFO auto - split, also "&amp;$AM369,"FEFO auto"))))</f>
        <v>⚠ no receipt on file for this item</v>
      </c>
      <c r="AO369" s="114"/>
    </row>
    <row r="370" spans="1:41" x14ac:dyDescent="0.35">
      <c r="A370" s="74">
        <v>46135</v>
      </c>
      <c r="B370" s="18" t="str">
        <f>IF($C370="","",IFERROR(INDEX('Staff Directory'!$A$5:$A$594,MATCH($C370,'Staff Directory'!$B$5:$B$594,0)),"⚠ unknown staff"))</f>
        <v>PSW-140-A7</v>
      </c>
      <c r="C370" s="49" t="s">
        <v>1119</v>
      </c>
      <c r="D370" s="19" t="str">
        <f>IF($B370="","",IFERROR(INDEX('Staff Directory'!$C$5:$C$594,MATCH($B370,'Staff Directory'!$A$5:$A$594,0)),""))</f>
        <v>PSW</v>
      </c>
      <c r="E370" s="19" t="str">
        <f>IF($B370="","",IFERROR(INDEX('Staff Directory'!$D$5:$D$594,MATCH($B370,'Staff Directory'!$A$5:$A$594,0)),""))</f>
        <v>A7</v>
      </c>
      <c r="F370" s="9" t="s">
        <v>127</v>
      </c>
      <c r="G370" s="18" t="str">
        <f>IF($F370="","",IFERROR(INDEX(Items!$B$5:$B$597,MATCH($F370,Items!$A$5:$A$597,0)),"⚠ not in Items"))</f>
        <v>Gloves</v>
      </c>
      <c r="H370" s="19" t="str">
        <f>IF($F370="","",IFERROR(INDEX(Items!$C$5:$C$597,MATCH($F370,Items!$A$5:$A$597,0)),""))</f>
        <v>Medium</v>
      </c>
      <c r="I370" s="23">
        <f>IF($F370="","",IFERROR(INDEX(Items!$E$5:$E$597,MATCH($F370,Items!$A$5:$A$597,0)),""))</f>
        <v>500</v>
      </c>
      <c r="J370" s="115">
        <f>IF(tblIssues[[#This Row],[Qty Override]]&lt;&gt;"",tblIssues[[#This Row],[Qty Override]],IF(tblIssues[[#This Row],[Standard Issue]]="","",tblIssues[[#This Row],[Standard Issue]]))</f>
        <v>500</v>
      </c>
      <c r="K370" s="20">
        <f>IF($F370="","",IFERROR(INDEX(Items!$D$5:$D$597,MATCH($F370,Items!$A$5:$A$597,0)),""))</f>
        <v>5.5E-2</v>
      </c>
      <c r="L370" s="21">
        <f t="shared" si="61"/>
        <v>27.5</v>
      </c>
      <c r="M370" s="9" t="str">
        <f t="shared" si="62"/>
        <v>0312HIC25</v>
      </c>
      <c r="N370" s="24">
        <f>IF($A370="","",WORKDAY($A370,Settings!$C$9,HolidayDates))</f>
        <v>46143</v>
      </c>
      <c r="O370" s="24">
        <f>IF($N370="","",WORKDAY($N370,Settings!$C$10,HolidayDates))</f>
        <v>46183</v>
      </c>
      <c r="P370" s="10" t="s">
        <v>501</v>
      </c>
      <c r="Q370" s="52" t="str">
        <f t="shared" si="64"/>
        <v>Collected</v>
      </c>
      <c r="R370" s="55" t="str">
        <f t="shared" si="65"/>
        <v>2026-04</v>
      </c>
      <c r="S370" s="55">
        <f>IF(OR($B370="",$F370="",$R370=""),"",SUMIFS(tblIssues[Qty Issued],tblIssues[Staff ID],$B370,tblIssues[Item Name],$F370,tblIssues[Month],$R370))</f>
        <v>500</v>
      </c>
      <c r="T370" s="56">
        <f>IF($I370="","",$I370*Settings!$C$11)</f>
        <v>500</v>
      </c>
      <c r="U370" s="57" t="str">
        <f t="shared" si="63"/>
        <v>OK</v>
      </c>
      <c r="V370" s="55" t="str">
        <f t="shared" si="66"/>
        <v/>
      </c>
      <c r="W370" s="55" t="str">
        <f>IF($V370="","",IF(COUNTIF($V$5:$V370,$V370)=1,1,""))</f>
        <v/>
      </c>
      <c r="X370" s="58" t="str">
        <f>IF($W370="","",MAX($X$4:X369)+1)</f>
        <v/>
      </c>
      <c r="Y370" s="62"/>
      <c r="Z370" s="62"/>
      <c r="AA370" s="64" t="str">
        <f>IF($C370="","",IFERROR(INDEX('Staff Directory'!$E$5:$E$594,MATCH($C370,'Staff Directory'!$B$5:$B$594,0)),""))</f>
        <v>firstname203.lastname203@example.com</v>
      </c>
      <c r="AB370" s="64" t="str">
        <f>IF($C370="","",IF(ISNUMBER(SEARCH($D370,Settings!$C$15)),"Pickup","Dispatch"))</f>
        <v>Pickup</v>
      </c>
      <c r="AC370" s="64" t="str">
        <f t="shared" si="67"/>
        <v>Supply order ready for pickup</v>
      </c>
      <c r="AD370" s="64" t="str">
        <f t="shared" si="58"/>
        <v>Dear PSW,
Your order is ready for pickup from Sample Branch, Wed-Fri 9am-4pm.</v>
      </c>
      <c r="AE370" s="64" t="str">
        <f t="shared" si="59"/>
        <v>mailto:firstname203.lastname203@example.com?subject=Supply%20order%20ready%20for%20pickup&amp;body=Dear%20PSW%2C%0A%0AYour%20order%20is%20ready%20for%20pickup%20from%20Sample%20Branch%2C%20Wed-Fri%209am-4pm.</v>
      </c>
      <c r="AF370" s="89" t="str">
        <f t="shared" si="68"/>
        <v>Draft email</v>
      </c>
      <c r="AG370" s="64" t="str">
        <f>IF($C370="","",IFERROR(INDEX('Staff Directory'!$K$595:$K$599,MATCH($C370,'Staff Directory'!$B$5:$B$599,0)),$D370))</f>
        <v>PSW</v>
      </c>
      <c r="AH370" t="str">
        <f>IF($C370="","",IFERROR(INDEX('Staff Directory'!$I$595:$I$599,MATCH($C370,'Staff Directory'!$B$5:$B$599,0))&amp;" "&amp;INDEX('Staff Directory'!$J$595:$J$599,MATCH($C370,'Staff Directory'!$B$5:$B$599,0)),$AG370))</f>
        <v>PSW</v>
      </c>
      <c r="AI370" s="102"/>
      <c r="AJ370" s="101">
        <f>IF($F370="","",SUMIFS($J$5:$J370,$F$5:$F370,$F370))</f>
        <v>22000</v>
      </c>
      <c r="AK370" s="101">
        <f t="shared" si="60"/>
        <v>21501</v>
      </c>
      <c r="AL370" s="66" t="str" cm="1">
        <f t="array" ref="AL370">IF($F370="","",IFERROR(INDEX('Lot Balance'!$B$5:$B$500,MATCH(1,INDEX(('Lot Balance'!$A$5:$A$500=$F370)*('Lot Balance'!$K$5:$K$500&lt;$AK370)*('Lot Balance'!$K$5:$K$500+'Lot Balance'!$D$5:$D$500&gt;=$AK370),0),0)),""))</f>
        <v>0312HIC25</v>
      </c>
      <c r="AM370" s="66" t="str" cm="1">
        <f t="array" ref="AM370">IF($F370="","",IFERROR(INDEX('Lot Balance'!$B$5:$B$500,MATCH(1,INDEX(('Lot Balance'!$A$5:$A$500=$F370)*('Lot Balance'!$K$5:$K$500&lt;$AJ370)*('Lot Balance'!$K$5:$K$500+'Lot Balance'!$D$5:$D$500&gt;=$AJ370),0),0)),""))</f>
        <v>0312HIC25</v>
      </c>
      <c r="AN370" s="66" t="str">
        <f>IF($F370="","",IF($AI370&lt;&gt;"",IF(COUNTIFS('Lot Balance'!$A$5:$A$500,$F370,'Lot Balance'!$B$5:$B$500,$AI370)=0,"⚠ override is not a lot of this item",IF($AI370=$AL370,"Override = FEFO","Override - FEFO says "&amp;$AL370)),IF($AL370="","⚠ no receipt on file for this item",IF($AM370&lt;&gt;$AL370,"FEFO auto - split, also "&amp;$AM370,"FEFO auto"))))</f>
        <v>FEFO auto</v>
      </c>
      <c r="AO370" s="114"/>
    </row>
    <row r="371" spans="1:41" x14ac:dyDescent="0.35">
      <c r="A371" s="74">
        <v>46135</v>
      </c>
      <c r="B371" s="18" t="str">
        <f>IF($C371="","",IFERROR(INDEX('Staff Directory'!$A$5:$A$594,MATCH($C371,'Staff Directory'!$B$5:$B$594,0)),"⚠ unknown staff"))</f>
        <v>PSW-140-A7</v>
      </c>
      <c r="C371" s="49" t="s">
        <v>1119</v>
      </c>
      <c r="D371" s="19" t="str">
        <f>IF($B371="","",IFERROR(INDEX('Staff Directory'!$C$5:$C$594,MATCH($B371,'Staff Directory'!$A$5:$A$594,0)),""))</f>
        <v>PSW</v>
      </c>
      <c r="E371" s="19" t="str">
        <f>IF($B371="","",IFERROR(INDEX('Staff Directory'!$D$5:$D$594,MATCH($B371,'Staff Directory'!$A$5:$A$594,0)),""))</f>
        <v>A7</v>
      </c>
      <c r="F371" s="9" t="s">
        <v>191</v>
      </c>
      <c r="G371" s="18" t="str">
        <f>IF($F371="","",IFERROR(INDEX(Items!$B$5:$B$597,MATCH($F371,Items!$A$5:$A$597,0)),"⚠ not in Items"))</f>
        <v>Sanitizer</v>
      </c>
      <c r="H371" s="19" t="str">
        <f>IF($F371="","",IFERROR(INDEX(Items!$C$5:$C$597,MATCH($F371,Items!$A$5:$A$597,0)),""))</f>
        <v>236 ML</v>
      </c>
      <c r="I371" s="23">
        <f>IF($F371="","",IFERROR(INDEX(Items!$E$5:$E$597,MATCH($F371,Items!$A$5:$A$597,0)),""))</f>
        <v>1</v>
      </c>
      <c r="J371" s="115">
        <f>IF(tblIssues[[#This Row],[Qty Override]]&lt;&gt;"",tblIssues[[#This Row],[Qty Override]],IF(tblIssues[[#This Row],[Standard Issue]]="","",tblIssues[[#This Row],[Standard Issue]]))</f>
        <v>1</v>
      </c>
      <c r="K371" s="20">
        <f>IF($F371="","",IFERROR(INDEX(Items!$D$5:$D$597,MATCH($F371,Items!$A$5:$A$597,0)),""))</f>
        <v>1E-4</v>
      </c>
      <c r="L371" s="21">
        <f t="shared" si="61"/>
        <v>1E-4</v>
      </c>
      <c r="M371" s="9" t="str">
        <f t="shared" si="62"/>
        <v>20-21734-1</v>
      </c>
      <c r="N371" s="24">
        <f>IF($A371="","",WORKDAY($A371,Settings!$C$9,HolidayDates))</f>
        <v>46143</v>
      </c>
      <c r="O371" s="24">
        <f>IF($N371="","",WORKDAY($N371,Settings!$C$10,HolidayDates))</f>
        <v>46183</v>
      </c>
      <c r="P371" s="10" t="s">
        <v>501</v>
      </c>
      <c r="Q371" s="52" t="str">
        <f t="shared" si="64"/>
        <v>Collected</v>
      </c>
      <c r="R371" s="55" t="str">
        <f t="shared" si="65"/>
        <v>2026-04</v>
      </c>
      <c r="S371" s="55">
        <f>IF(OR($B371="",$F371="",$R371=""),"",SUMIFS(tblIssues[Qty Issued],tblIssues[Staff ID],$B371,tblIssues[Item Name],$F371,tblIssues[Month],$R371))</f>
        <v>1</v>
      </c>
      <c r="T371" s="56">
        <f>IF($I371="","",$I371*Settings!$C$11)</f>
        <v>1</v>
      </c>
      <c r="U371" s="57" t="str">
        <f t="shared" si="63"/>
        <v>OK</v>
      </c>
      <c r="V371" s="55" t="str">
        <f t="shared" si="66"/>
        <v/>
      </c>
      <c r="W371" s="55" t="str">
        <f>IF($V371="","",IF(COUNTIF($V$5:$V371,$V371)=1,1,""))</f>
        <v/>
      </c>
      <c r="X371" s="58" t="str">
        <f>IF($W371="","",MAX($X$4:X370)+1)</f>
        <v/>
      </c>
      <c r="Y371" s="62"/>
      <c r="Z371" s="62"/>
      <c r="AA371" s="64" t="str">
        <f>IF($C371="","",IFERROR(INDEX('Staff Directory'!$E$5:$E$594,MATCH($C371,'Staff Directory'!$B$5:$B$594,0)),""))</f>
        <v>firstname203.lastname203@example.com</v>
      </c>
      <c r="AB371" s="64" t="str">
        <f>IF($C371="","",IF(ISNUMBER(SEARCH($D371,Settings!$C$15)),"Pickup","Dispatch"))</f>
        <v>Pickup</v>
      </c>
      <c r="AC371" s="64" t="str">
        <f t="shared" si="67"/>
        <v>Supply order ready for pickup</v>
      </c>
      <c r="AD371" s="64" t="str">
        <f t="shared" si="58"/>
        <v>Dear PSW,
Your order is ready for pickup from Sample Branch, Wed-Fri 9am-4pm.</v>
      </c>
      <c r="AE371" s="64" t="str">
        <f t="shared" si="59"/>
        <v>mailto:firstname203.lastname203@example.com?subject=Supply%20order%20ready%20for%20pickup&amp;body=Dear%20PSW%2C%0A%0AYour%20order%20is%20ready%20for%20pickup%20from%20Sample%20Branch%2C%20Wed-Fri%209am-4pm.</v>
      </c>
      <c r="AF371" s="89" t="str">
        <f t="shared" si="68"/>
        <v>Draft email</v>
      </c>
      <c r="AG371" s="64" t="str">
        <f>IF($C371="","",IFERROR(INDEX('Staff Directory'!$K$595:$K$599,MATCH($C371,'Staff Directory'!$B$5:$B$599,0)),$D371))</f>
        <v>PSW</v>
      </c>
      <c r="AH371" t="str">
        <f>IF($C371="","",IFERROR(INDEX('Staff Directory'!$I$595:$I$599,MATCH($C371,'Staff Directory'!$B$5:$B$599,0))&amp;" "&amp;INDEX('Staff Directory'!$J$595:$J$599,MATCH($C371,'Staff Directory'!$B$5:$B$599,0)),$AG371))</f>
        <v>PSW</v>
      </c>
      <c r="AI371" s="102"/>
      <c r="AJ371" s="101">
        <f>IF($F371="","",SUMIFS($J$5:$J371,$F$5:$F371,$F371))</f>
        <v>27</v>
      </c>
      <c r="AK371" s="101">
        <f t="shared" si="60"/>
        <v>27</v>
      </c>
      <c r="AL371" s="66" t="str" cm="1">
        <f t="array" ref="AL371">IF($F371="","",IFERROR(INDEX('Lot Balance'!$B$5:$B$500,MATCH(1,INDEX(('Lot Balance'!$A$5:$A$500=$F371)*('Lot Balance'!$K$5:$K$500&lt;$AK371)*('Lot Balance'!$K$5:$K$500+'Lot Balance'!$D$5:$D$500&gt;=$AK371),0),0)),""))</f>
        <v>20-21734-1</v>
      </c>
      <c r="AM371" s="66" t="str" cm="1">
        <f t="array" ref="AM371">IF($F371="","",IFERROR(INDEX('Lot Balance'!$B$5:$B$500,MATCH(1,INDEX(('Lot Balance'!$A$5:$A$500=$F371)*('Lot Balance'!$K$5:$K$500&lt;$AJ371)*('Lot Balance'!$K$5:$K$500+'Lot Balance'!$D$5:$D$500&gt;=$AJ371),0),0)),""))</f>
        <v>20-21734-1</v>
      </c>
      <c r="AN371" s="66" t="str">
        <f>IF($F371="","",IF($AI371&lt;&gt;"",IF(COUNTIFS('Lot Balance'!$A$5:$A$500,$F371,'Lot Balance'!$B$5:$B$500,$AI371)=0,"⚠ override is not a lot of this item",IF($AI371=$AL371,"Override = FEFO","Override - FEFO says "&amp;$AL371)),IF($AL371="","⚠ no receipt on file for this item",IF($AM371&lt;&gt;$AL371,"FEFO auto - split, also "&amp;$AM371,"FEFO auto"))))</f>
        <v>FEFO auto</v>
      </c>
      <c r="AO371" s="114"/>
    </row>
    <row r="372" spans="1:41" x14ac:dyDescent="0.35">
      <c r="A372" s="74">
        <v>46135</v>
      </c>
      <c r="B372" s="18" t="str">
        <f>IF($C372="","",IFERROR(INDEX('Staff Directory'!$A$5:$A$594,MATCH($C372,'Staff Directory'!$B$5:$B$594,0)),"⚠ unknown staff"))</f>
        <v>PSW-140-A7</v>
      </c>
      <c r="C372" s="49" t="s">
        <v>1119</v>
      </c>
      <c r="D372" s="19" t="str">
        <f>IF($B372="","",IFERROR(INDEX('Staff Directory'!$C$5:$C$594,MATCH($B372,'Staff Directory'!$A$5:$A$594,0)),""))</f>
        <v>PSW</v>
      </c>
      <c r="E372" s="19" t="str">
        <f>IF($B372="","",IFERROR(INDEX('Staff Directory'!$D$5:$D$594,MATCH($B372,'Staff Directory'!$A$5:$A$594,0)),""))</f>
        <v>A7</v>
      </c>
      <c r="F372" s="9" t="s">
        <v>115</v>
      </c>
      <c r="G372" s="18" t="str">
        <f>IF($F372="","",IFERROR(INDEX(Items!$B$5:$B$597,MATCH($F372,Items!$A$5:$A$597,0)),"⚠ not in Items"))</f>
        <v>Wipes</v>
      </c>
      <c r="H372" s="19">
        <f>IF($F372="","",IFERROR(INDEX(Items!$C$5:$C$597,MATCH($F372,Items!$A$5:$A$597,0)),""))</f>
        <v>80</v>
      </c>
      <c r="I372" s="23">
        <f>IF($F372="","",IFERROR(INDEX(Items!$E$5:$E$597,MATCH($F372,Items!$A$5:$A$597,0)),""))</f>
        <v>80</v>
      </c>
      <c r="J372" s="115">
        <f>IF(tblIssues[[#This Row],[Qty Override]]&lt;&gt;"",tblIssues[[#This Row],[Qty Override]],IF(tblIssues[[#This Row],[Standard Issue]]="","",tblIssues[[#This Row],[Standard Issue]]))</f>
        <v>80</v>
      </c>
      <c r="K372" s="20">
        <f>IF($F372="","",IFERROR(INDEX(Items!$D$5:$D$597,MATCH($F372,Items!$A$5:$A$597,0)),""))</f>
        <v>0.1</v>
      </c>
      <c r="L372" s="21">
        <f t="shared" si="61"/>
        <v>8</v>
      </c>
      <c r="M372" s="9" t="str">
        <f t="shared" si="62"/>
        <v>LYSL500290</v>
      </c>
      <c r="N372" s="24">
        <f>IF($A372="","",WORKDAY($A372,Settings!$C$9,HolidayDates))</f>
        <v>46143</v>
      </c>
      <c r="O372" s="24">
        <f>IF($N372="","",WORKDAY($N372,Settings!$C$10,HolidayDates))</f>
        <v>46183</v>
      </c>
      <c r="P372" s="10" t="s">
        <v>501</v>
      </c>
      <c r="Q372" s="52" t="str">
        <f t="shared" si="64"/>
        <v>Collected</v>
      </c>
      <c r="R372" s="55" t="str">
        <f t="shared" si="65"/>
        <v>2026-04</v>
      </c>
      <c r="S372" s="55">
        <f>IF(OR($B372="",$F372="",$R372=""),"",SUMIFS(tblIssues[Qty Issued],tblIssues[Staff ID],$B372,tblIssues[Item Name],$F372,tblIssues[Month],$R372))</f>
        <v>80</v>
      </c>
      <c r="T372" s="56">
        <f>IF($I372="","",$I372*Settings!$C$11)</f>
        <v>80</v>
      </c>
      <c r="U372" s="57" t="str">
        <f t="shared" si="63"/>
        <v>OK</v>
      </c>
      <c r="V372" s="55" t="str">
        <f t="shared" si="66"/>
        <v/>
      </c>
      <c r="W372" s="55" t="str">
        <f>IF($V372="","",IF(COUNTIF($V$5:$V372,$V372)=1,1,""))</f>
        <v/>
      </c>
      <c r="X372" s="58" t="str">
        <f>IF($W372="","",MAX($X$4:X371)+1)</f>
        <v/>
      </c>
      <c r="Y372" s="62"/>
      <c r="Z372" s="62"/>
      <c r="AA372" s="64" t="str">
        <f>IF($C372="","",IFERROR(INDEX('Staff Directory'!$E$5:$E$594,MATCH($C372,'Staff Directory'!$B$5:$B$594,0)),""))</f>
        <v>firstname203.lastname203@example.com</v>
      </c>
      <c r="AB372" s="64" t="str">
        <f>IF($C372="","",IF(ISNUMBER(SEARCH($D372,Settings!$C$15)),"Pickup","Dispatch"))</f>
        <v>Pickup</v>
      </c>
      <c r="AC372" s="64" t="str">
        <f t="shared" si="67"/>
        <v>Supply order ready for pickup</v>
      </c>
      <c r="AD372" s="64" t="str">
        <f t="shared" si="58"/>
        <v>Dear PSW,
Your order is ready for pickup from Sample Branch, Wed-Fri 9am-4pm.</v>
      </c>
      <c r="AE372" s="64" t="str">
        <f t="shared" si="59"/>
        <v>mailto:firstname203.lastname203@example.com?subject=Supply%20order%20ready%20for%20pickup&amp;body=Dear%20PSW%2C%0A%0AYour%20order%20is%20ready%20for%20pickup%20from%20Sample%20Branch%2C%20Wed-Fri%209am-4pm.</v>
      </c>
      <c r="AF372" s="89" t="str">
        <f t="shared" si="68"/>
        <v>Draft email</v>
      </c>
      <c r="AG372" s="64" t="str">
        <f>IF($C372="","",IFERROR(INDEX('Staff Directory'!$K$595:$K$599,MATCH($C372,'Staff Directory'!$B$5:$B$599,0)),$D372))</f>
        <v>PSW</v>
      </c>
      <c r="AH372" t="str">
        <f>IF($C372="","",IFERROR(INDEX('Staff Directory'!$I$595:$I$599,MATCH($C372,'Staff Directory'!$B$5:$B$599,0))&amp;" "&amp;INDEX('Staff Directory'!$J$595:$J$599,MATCH($C372,'Staff Directory'!$B$5:$B$599,0)),$AG372))</f>
        <v>PSW</v>
      </c>
      <c r="AI372" s="102"/>
      <c r="AJ372" s="101">
        <f>IF($F372="","",SUMIFS($J$5:$J372,$F$5:$F372,$F372))</f>
        <v>5040</v>
      </c>
      <c r="AK372" s="101">
        <f t="shared" si="60"/>
        <v>4961</v>
      </c>
      <c r="AL372" s="66" t="str" cm="1">
        <f t="array" ref="AL372">IF($F372="","",IFERROR(INDEX('Lot Balance'!$B$5:$B$500,MATCH(1,INDEX(('Lot Balance'!$A$5:$A$500=$F372)*('Lot Balance'!$K$5:$K$500&lt;$AK372)*('Lot Balance'!$K$5:$K$500+'Lot Balance'!$D$5:$D$500&gt;=$AK372),0),0)),""))</f>
        <v>LYSL500290</v>
      </c>
      <c r="AM372" s="66" t="str" cm="1">
        <f t="array" ref="AM372">IF($F372="","",IFERROR(INDEX('Lot Balance'!$B$5:$B$500,MATCH(1,INDEX(('Lot Balance'!$A$5:$A$500=$F372)*('Lot Balance'!$K$5:$K$500&lt;$AJ372)*('Lot Balance'!$K$5:$K$500+'Lot Balance'!$D$5:$D$500&gt;=$AJ372),0),0)),""))</f>
        <v>LYSL500290</v>
      </c>
      <c r="AN372" s="66" t="str">
        <f>IF($F372="","",IF($AI372&lt;&gt;"",IF(COUNTIFS('Lot Balance'!$A$5:$A$500,$F372,'Lot Balance'!$B$5:$B$500,$AI372)=0,"⚠ override is not a lot of this item",IF($AI372=$AL372,"Override = FEFO","Override - FEFO says "&amp;$AL372)),IF($AL372="","⚠ no receipt on file for this item",IF($AM372&lt;&gt;$AL372,"FEFO auto - split, also "&amp;$AM372,"FEFO auto"))))</f>
        <v>FEFO auto</v>
      </c>
      <c r="AO372" s="114"/>
    </row>
    <row r="373" spans="1:41" x14ac:dyDescent="0.35">
      <c r="A373" s="74">
        <v>46135</v>
      </c>
      <c r="B373" s="18" t="str">
        <f>IF($C373="","",IFERROR(INDEX('Staff Directory'!$A$5:$A$594,MATCH($C373,'Staff Directory'!$B$5:$B$594,0)),"⚠ unknown staff"))</f>
        <v>PSW-140-A7</v>
      </c>
      <c r="C373" s="49" t="s">
        <v>1119</v>
      </c>
      <c r="D373" s="19" t="str">
        <f>IF($B373="","",IFERROR(INDEX('Staff Directory'!$C$5:$C$594,MATCH($B373,'Staff Directory'!$A$5:$A$594,0)),""))</f>
        <v>PSW</v>
      </c>
      <c r="E373" s="19" t="str">
        <f>IF($B373="","",IFERROR(INDEX('Staff Directory'!$D$5:$D$594,MATCH($B373,'Staff Directory'!$A$5:$A$594,0)),""))</f>
        <v>A7</v>
      </c>
      <c r="F373" s="9" t="s">
        <v>156</v>
      </c>
      <c r="G373" s="18" t="str">
        <f>IF($F373="","",IFERROR(INDEX(Items!$B$5:$B$597,MATCH($F373,Items!$A$5:$A$597,0)),"⚠ not in Items"))</f>
        <v>Masks</v>
      </c>
      <c r="H373" s="19" t="str">
        <f>IF($F373="","",IFERROR(INDEX(Items!$C$5:$C$597,MATCH($F373,Items!$A$5:$A$597,0)),""))</f>
        <v>One Size</v>
      </c>
      <c r="I373" s="23">
        <f>IF($F373="","",IFERROR(INDEX(Items!$E$5:$E$597,MATCH($F373,Items!$A$5:$A$597,0)),""))</f>
        <v>50</v>
      </c>
      <c r="J373" s="115">
        <f>IF(tblIssues[[#This Row],[Qty Override]]&lt;&gt;"",tblIssues[[#This Row],[Qty Override]],IF(tblIssues[[#This Row],[Standard Issue]]="","",tblIssues[[#This Row],[Standard Issue]]))</f>
        <v>50</v>
      </c>
      <c r="K373" s="20">
        <f>IF($F373="","",IFERROR(INDEX(Items!$D$5:$D$597,MATCH($F373,Items!$A$5:$A$597,0)),""))</f>
        <v>0.25</v>
      </c>
      <c r="L373" s="21">
        <f t="shared" si="61"/>
        <v>12.5</v>
      </c>
      <c r="M373" s="9" t="str">
        <f t="shared" si="62"/>
        <v>0125FPC24-0</v>
      </c>
      <c r="N373" s="24">
        <f>IF($A373="","",WORKDAY($A373,Settings!$C$9,HolidayDates))</f>
        <v>46143</v>
      </c>
      <c r="O373" s="24">
        <f>IF($N373="","",WORKDAY($N373,Settings!$C$10,HolidayDates))</f>
        <v>46183</v>
      </c>
      <c r="P373" s="10" t="s">
        <v>501</v>
      </c>
      <c r="Q373" s="52" t="str">
        <f t="shared" si="64"/>
        <v>Collected</v>
      </c>
      <c r="R373" s="55" t="str">
        <f t="shared" si="65"/>
        <v>2026-04</v>
      </c>
      <c r="S373" s="55">
        <f>IF(OR($B373="",$F373="",$R373=""),"",SUMIFS(tblIssues[Qty Issued],tblIssues[Staff ID],$B373,tblIssues[Item Name],$F373,tblIssues[Month],$R373))</f>
        <v>50</v>
      </c>
      <c r="T373" s="56">
        <f>IF($I373="","",$I373*Settings!$C$11)</f>
        <v>50</v>
      </c>
      <c r="U373" s="57" t="str">
        <f t="shared" si="63"/>
        <v>OK</v>
      </c>
      <c r="V373" s="55" t="str">
        <f t="shared" si="66"/>
        <v/>
      </c>
      <c r="W373" s="55" t="str">
        <f>IF($V373="","",IF(COUNTIF($V$5:$V373,$V373)=1,1,""))</f>
        <v/>
      </c>
      <c r="X373" s="58" t="str">
        <f>IF($W373="","",MAX($X$4:X372)+1)</f>
        <v/>
      </c>
      <c r="Y373" s="62"/>
      <c r="Z373" s="62"/>
      <c r="AA373" s="64" t="str">
        <f>IF($C373="","",IFERROR(INDEX('Staff Directory'!$E$5:$E$594,MATCH($C373,'Staff Directory'!$B$5:$B$594,0)),""))</f>
        <v>firstname203.lastname203@example.com</v>
      </c>
      <c r="AB373" s="64" t="str">
        <f>IF($C373="","",IF(ISNUMBER(SEARCH($D373,Settings!$C$15)),"Pickup","Dispatch"))</f>
        <v>Pickup</v>
      </c>
      <c r="AC373" s="64" t="str">
        <f t="shared" si="67"/>
        <v>Supply order ready for pickup</v>
      </c>
      <c r="AD373" s="64" t="str">
        <f t="shared" si="58"/>
        <v>Dear PSW,
Your order is ready for pickup from Sample Branch, Wed-Fri 9am-4pm.</v>
      </c>
      <c r="AE373" s="64" t="str">
        <f t="shared" si="59"/>
        <v>mailto:firstname203.lastname203@example.com?subject=Supply%20order%20ready%20for%20pickup&amp;body=Dear%20PSW%2C%0A%0AYour%20order%20is%20ready%20for%20pickup%20from%20Sample%20Branch%2C%20Wed-Fri%209am-4pm.</v>
      </c>
      <c r="AF373" s="89" t="str">
        <f t="shared" si="68"/>
        <v>Draft email</v>
      </c>
      <c r="AG373" s="64" t="str">
        <f>IF($C373="","",IFERROR(INDEX('Staff Directory'!$K$595:$K$599,MATCH($C373,'Staff Directory'!$B$5:$B$599,0)),$D373))</f>
        <v>PSW</v>
      </c>
      <c r="AH373" t="str">
        <f>IF($C373="","",IFERROR(INDEX('Staff Directory'!$I$595:$I$599,MATCH($C373,'Staff Directory'!$B$5:$B$599,0))&amp;" "&amp;INDEX('Staff Directory'!$J$595:$J$599,MATCH($C373,'Staff Directory'!$B$5:$B$599,0)),$AG373))</f>
        <v>PSW</v>
      </c>
      <c r="AI373" s="102"/>
      <c r="AJ373" s="101">
        <f>IF($F373="","",SUMIFS($J$5:$J373,$F$5:$F373,$F373))</f>
        <v>2900</v>
      </c>
      <c r="AK373" s="101">
        <f t="shared" si="60"/>
        <v>2851</v>
      </c>
      <c r="AL373" s="66" t="str" cm="1">
        <f t="array" ref="AL373">IF($F373="","",IFERROR(INDEX('Lot Balance'!$B$5:$B$500,MATCH(1,INDEX(('Lot Balance'!$A$5:$A$500=$F373)*('Lot Balance'!$K$5:$K$500&lt;$AK373)*('Lot Balance'!$K$5:$K$500+'Lot Balance'!$D$5:$D$500&gt;=$AK373),0),0)),""))</f>
        <v>0125FPC24-0</v>
      </c>
      <c r="AM373" s="66" t="str" cm="1">
        <f t="array" ref="AM373">IF($F373="","",IFERROR(INDEX('Lot Balance'!$B$5:$B$500,MATCH(1,INDEX(('Lot Balance'!$A$5:$A$500=$F373)*('Lot Balance'!$K$5:$K$500&lt;$AJ373)*('Lot Balance'!$K$5:$K$500+'Lot Balance'!$D$5:$D$500&gt;=$AJ373),0),0)),""))</f>
        <v>0125FPC24-0</v>
      </c>
      <c r="AN373" s="66" t="str">
        <f>IF($F373="","",IF($AI373&lt;&gt;"",IF(COUNTIFS('Lot Balance'!$A$5:$A$500,$F373,'Lot Balance'!$B$5:$B$500,$AI373)=0,"⚠ override is not a lot of this item",IF($AI373=$AL373,"Override = FEFO","Override - FEFO says "&amp;$AL373)),IF($AL373="","⚠ no receipt on file for this item",IF($AM373&lt;&gt;$AL373,"FEFO auto - split, also "&amp;$AM373,"FEFO auto"))))</f>
        <v>FEFO auto</v>
      </c>
      <c r="AO373" s="114"/>
    </row>
    <row r="374" spans="1:41" x14ac:dyDescent="0.35">
      <c r="A374" s="74">
        <v>46135</v>
      </c>
      <c r="B374" s="18" t="str">
        <f>IF($C374="","",IFERROR(INDEX('Staff Directory'!$A$5:$A$594,MATCH($C374,'Staff Directory'!$B$5:$B$594,0)),"⚠ unknown staff"))</f>
        <v>PSW-140-A7</v>
      </c>
      <c r="C374" s="49" t="s">
        <v>1119</v>
      </c>
      <c r="D374" s="19" t="str">
        <f>IF($B374="","",IFERROR(INDEX('Staff Directory'!$C$5:$C$594,MATCH($B374,'Staff Directory'!$A$5:$A$594,0)),""))</f>
        <v>PSW</v>
      </c>
      <c r="E374" s="19" t="str">
        <f>IF($B374="","",IFERROR(INDEX('Staff Directory'!$D$5:$D$594,MATCH($B374,'Staff Directory'!$A$5:$A$594,0)),""))</f>
        <v>A7</v>
      </c>
      <c r="F374" s="9" t="s">
        <v>755</v>
      </c>
      <c r="G374" s="18" t="str">
        <f>IF($F374="","",IFERROR(INDEX(Items!$B$5:$B$597,MATCH($F374,Items!$A$5:$A$597,0)),"⚠ not in Items"))</f>
        <v>Documents</v>
      </c>
      <c r="H374" s="19" t="str">
        <f>IF($F374="","",IFERROR(INDEX(Items!$C$5:$C$597,MATCH($F374,Items!$A$5:$A$597,0)),""))</f>
        <v>Standard</v>
      </c>
      <c r="I374" s="23">
        <f>IF($F374="","",IFERROR(INDEX(Items!$E$5:$E$597,MATCH($F374,Items!$A$5:$A$597,0)),""))</f>
        <v>2</v>
      </c>
      <c r="J374" s="115">
        <f>IF(tblIssues[[#This Row],[Qty Override]]&lt;&gt;"",tblIssues[[#This Row],[Qty Override]],IF(tblIssues[[#This Row],[Standard Issue]]="","",tblIssues[[#This Row],[Standard Issue]]))</f>
        <v>2</v>
      </c>
      <c r="K374" s="20">
        <f>IF($F374="","",IFERROR(INDEX(Items!$D$5:$D$597,MATCH($F374,Items!$A$5:$A$597,0)),""))</f>
        <v>0</v>
      </c>
      <c r="L374" s="21">
        <f t="shared" si="61"/>
        <v>0</v>
      </c>
      <c r="M374" s="9" t="str">
        <f t="shared" si="62"/>
        <v/>
      </c>
      <c r="N374" s="24">
        <f>IF($A374="","",WORKDAY($A374,Settings!$C$9,HolidayDates))</f>
        <v>46143</v>
      </c>
      <c r="O374" s="24">
        <f>IF($N374="","",WORKDAY($N374,Settings!$C$10,HolidayDates))</f>
        <v>46183</v>
      </c>
      <c r="P374" s="10" t="s">
        <v>501</v>
      </c>
      <c r="Q374" s="52" t="str">
        <f t="shared" si="64"/>
        <v>Collected</v>
      </c>
      <c r="R374" s="55" t="str">
        <f t="shared" si="65"/>
        <v>2026-04</v>
      </c>
      <c r="S374" s="55">
        <f>IF(OR($B374="",$F374="",$R374=""),"",SUMIFS(tblIssues[Qty Issued],tblIssues[Staff ID],$B374,tblIssues[Item Name],$F374,tblIssues[Month],$R374))</f>
        <v>2</v>
      </c>
      <c r="T374" s="56">
        <f>IF($I374="","",$I374*Settings!$C$11)</f>
        <v>2</v>
      </c>
      <c r="U374" s="57" t="str">
        <f t="shared" si="63"/>
        <v>OK</v>
      </c>
      <c r="V374" s="55" t="str">
        <f t="shared" si="66"/>
        <v/>
      </c>
      <c r="W374" s="55" t="str">
        <f>IF($V374="","",IF(COUNTIF($V$5:$V374,$V374)=1,1,""))</f>
        <v/>
      </c>
      <c r="X374" s="58" t="str">
        <f>IF($W374="","",MAX($X$4:X373)+1)</f>
        <v/>
      </c>
      <c r="Y374" s="62"/>
      <c r="Z374" s="62"/>
      <c r="AA374" s="64" t="str">
        <f>IF($C374="","",IFERROR(INDEX('Staff Directory'!$E$5:$E$594,MATCH($C374,'Staff Directory'!$B$5:$B$594,0)),""))</f>
        <v>firstname203.lastname203@example.com</v>
      </c>
      <c r="AB374" s="64" t="str">
        <f>IF($C374="","",IF(ISNUMBER(SEARCH($D374,Settings!$C$15)),"Pickup","Dispatch"))</f>
        <v>Pickup</v>
      </c>
      <c r="AC374" s="64" t="str">
        <f t="shared" si="67"/>
        <v>Supply order ready for pickup</v>
      </c>
      <c r="AD374" s="64" t="str">
        <f t="shared" si="58"/>
        <v>Dear PSW,
Your order is ready for pickup from Sample Branch, Wed-Fri 9am-4pm.</v>
      </c>
      <c r="AE374" s="64" t="str">
        <f t="shared" si="59"/>
        <v>mailto:firstname203.lastname203@example.com?subject=Supply%20order%20ready%20for%20pickup&amp;body=Dear%20PSW%2C%0A%0AYour%20order%20is%20ready%20for%20pickup%20from%20Sample%20Branch%2C%20Wed-Fri%209am-4pm.</v>
      </c>
      <c r="AF374" s="89" t="str">
        <f t="shared" si="68"/>
        <v>Draft email</v>
      </c>
      <c r="AG374" s="64" t="str">
        <f>IF($C374="","",IFERROR(INDEX('Staff Directory'!$K$595:$K$599,MATCH($C374,'Staff Directory'!$B$5:$B$599,0)),$D374))</f>
        <v>PSW</v>
      </c>
      <c r="AH374" t="str">
        <f>IF($C374="","",IFERROR(INDEX('Staff Directory'!$I$595:$I$599,MATCH($C374,'Staff Directory'!$B$5:$B$599,0))&amp;" "&amp;INDEX('Staff Directory'!$J$595:$J$599,MATCH($C374,'Staff Directory'!$B$5:$B$599,0)),$AG374))</f>
        <v>PSW</v>
      </c>
      <c r="AI374" s="102"/>
      <c r="AJ374" s="101">
        <f>IF($F374="","",SUMIFS($J$5:$J374,$F$5:$F374,$F374))</f>
        <v>104</v>
      </c>
      <c r="AK374" s="101">
        <f t="shared" si="60"/>
        <v>103</v>
      </c>
      <c r="AL374" s="66" t="str" cm="1">
        <f t="array" ref="AL374">IF($F374="","",IFERROR(INDEX('Lot Balance'!$B$5:$B$500,MATCH(1,INDEX(('Lot Balance'!$A$5:$A$500=$F374)*('Lot Balance'!$K$5:$K$500&lt;$AK374)*('Lot Balance'!$K$5:$K$500+'Lot Balance'!$D$5:$D$500&gt;=$AK374),0),0)),""))</f>
        <v/>
      </c>
      <c r="AM374" s="66" t="str" cm="1">
        <f t="array" ref="AM374">IF($F374="","",IFERROR(INDEX('Lot Balance'!$B$5:$B$500,MATCH(1,INDEX(('Lot Balance'!$A$5:$A$500=$F374)*('Lot Balance'!$K$5:$K$500&lt;$AJ374)*('Lot Balance'!$K$5:$K$500+'Lot Balance'!$D$5:$D$500&gt;=$AJ374),0),0)),""))</f>
        <v/>
      </c>
      <c r="AN374" s="66" t="str">
        <f>IF($F374="","",IF($AI374&lt;&gt;"",IF(COUNTIFS('Lot Balance'!$A$5:$A$500,$F374,'Lot Balance'!$B$5:$B$500,$AI374)=0,"⚠ override is not a lot of this item",IF($AI374=$AL374,"Override = FEFO","Override - FEFO says "&amp;$AL374)),IF($AL374="","⚠ no receipt on file for this item",IF($AM374&lt;&gt;$AL374,"FEFO auto - split, also "&amp;$AM374,"FEFO auto"))))</f>
        <v>⚠ no receipt on file for this item</v>
      </c>
      <c r="AO374" s="114"/>
    </row>
    <row r="375" spans="1:41" x14ac:dyDescent="0.35">
      <c r="A375" s="74">
        <v>46135</v>
      </c>
      <c r="B375" s="18" t="str">
        <f>IF($C375="","",IFERROR(INDEX('Staff Directory'!$A$5:$A$594,MATCH($C375,'Staff Directory'!$B$5:$B$594,0)),"⚠ unknown staff"))</f>
        <v>PSW-053-A4</v>
      </c>
      <c r="C375" s="49" t="s">
        <v>1029</v>
      </c>
      <c r="D375" s="19" t="str">
        <f>IF($B375="","",IFERROR(INDEX('Staff Directory'!$C$5:$C$594,MATCH($B375,'Staff Directory'!$A$5:$A$594,0)),""))</f>
        <v>PSW</v>
      </c>
      <c r="E375" s="19" t="str">
        <f>IF($B375="","",IFERROR(INDEX('Staff Directory'!$D$5:$D$594,MATCH($B375,'Staff Directory'!$A$5:$A$594,0)),""))</f>
        <v>A4</v>
      </c>
      <c r="F375" s="9" t="s">
        <v>124</v>
      </c>
      <c r="G375" s="18" t="str">
        <f>IF($F375="","",IFERROR(INDEX(Items!$B$5:$B$597,MATCH($F375,Items!$A$5:$A$597,0)),"⚠ not in Items"))</f>
        <v>Gloves</v>
      </c>
      <c r="H375" s="19" t="str">
        <f>IF($F375="","",IFERROR(INDEX(Items!$C$5:$C$597,MATCH($F375,Items!$A$5:$A$597,0)),""))</f>
        <v>Large</v>
      </c>
      <c r="I375" s="23">
        <f>IF($F375="","",IFERROR(INDEX(Items!$E$5:$E$597,MATCH($F375,Items!$A$5:$A$597,0)),""))</f>
        <v>500</v>
      </c>
      <c r="J375" s="115">
        <f>IF(tblIssues[[#This Row],[Qty Override]]&lt;&gt;"",tblIssues[[#This Row],[Qty Override]],IF(tblIssues[[#This Row],[Standard Issue]]="","",tblIssues[[#This Row],[Standard Issue]]))</f>
        <v>500</v>
      </c>
      <c r="K375" s="20">
        <f>IF($F375="","",IFERROR(INDEX(Items!$D$5:$D$597,MATCH($F375,Items!$A$5:$A$597,0)),""))</f>
        <v>5.5E-2</v>
      </c>
      <c r="L375" s="21">
        <f t="shared" si="61"/>
        <v>27.5</v>
      </c>
      <c r="M375" s="9" t="str">
        <f t="shared" si="62"/>
        <v>ZIM511139904-0</v>
      </c>
      <c r="N375" s="24">
        <f>IF($A375="","",WORKDAY($A375,Settings!$C$9,HolidayDates))</f>
        <v>46143</v>
      </c>
      <c r="O375" s="24">
        <f>IF($N375="","",WORKDAY($N375,Settings!$C$10,HolidayDates))</f>
        <v>46183</v>
      </c>
      <c r="P375" s="10" t="s">
        <v>501</v>
      </c>
      <c r="Q375" s="52" t="str">
        <f t="shared" si="64"/>
        <v>Collected</v>
      </c>
      <c r="R375" s="55" t="str">
        <f t="shared" si="65"/>
        <v>2026-04</v>
      </c>
      <c r="S375" s="55">
        <f>IF(OR($B375="",$F375="",$R375=""),"",SUMIFS(tblIssues[Qty Issued],tblIssues[Staff ID],$B375,tblIssues[Item Name],$F375,tblIssues[Month],$R375))</f>
        <v>500</v>
      </c>
      <c r="T375" s="56">
        <f>IF($I375="","",$I375*Settings!$C$11)</f>
        <v>500</v>
      </c>
      <c r="U375" s="57" t="str">
        <f t="shared" si="63"/>
        <v>OK</v>
      </c>
      <c r="V375" s="55" t="str">
        <f t="shared" si="66"/>
        <v/>
      </c>
      <c r="W375" s="55" t="str">
        <f>IF($V375="","",IF(COUNTIF($V$5:$V375,$V375)=1,1,""))</f>
        <v/>
      </c>
      <c r="X375" s="58" t="str">
        <f>IF($W375="","",MAX($X$4:X374)+1)</f>
        <v/>
      </c>
      <c r="Y375" s="62"/>
      <c r="Z375" s="62"/>
      <c r="AA375" s="64" t="str">
        <f>IF($C375="","",IFERROR(INDEX('Staff Directory'!$E$5:$E$594,MATCH($C375,'Staff Directory'!$B$5:$B$594,0)),""))</f>
        <v>firstname113.lastname113@example.com</v>
      </c>
      <c r="AB375" s="64" t="str">
        <f>IF($C375="","",IF(ISNUMBER(SEARCH($D375,Settings!$C$15)),"Pickup","Dispatch"))</f>
        <v>Pickup</v>
      </c>
      <c r="AC375" s="64" t="str">
        <f t="shared" si="67"/>
        <v>Supply order ready for pickup</v>
      </c>
      <c r="AD375" s="64" t="str">
        <f t="shared" si="58"/>
        <v>Dear PSW,
Your order is ready for pickup from Sample Branch, Wed-Fri 9am-4pm.</v>
      </c>
      <c r="AE375" s="64" t="str">
        <f t="shared" si="59"/>
        <v>mailto:firstname113.lastname113@example.com?subject=Supply%20order%20ready%20for%20pickup&amp;body=Dear%20PSW%2C%0A%0AYour%20order%20is%20ready%20for%20pickup%20from%20Sample%20Branch%2C%20Wed-Fri%209am-4pm.</v>
      </c>
      <c r="AF375" s="89" t="str">
        <f t="shared" si="68"/>
        <v>Draft email</v>
      </c>
      <c r="AG375" s="64" t="str">
        <f>IF($C375="","",IFERROR(INDEX('Staff Directory'!$K$595:$K$599,MATCH($C375,'Staff Directory'!$B$5:$B$599,0)),$D375))</f>
        <v>PSW</v>
      </c>
      <c r="AH375" t="str">
        <f>IF($C375="","",IFERROR(INDEX('Staff Directory'!$I$595:$I$599,MATCH($C375,'Staff Directory'!$B$5:$B$599,0))&amp;" "&amp;INDEX('Staff Directory'!$J$595:$J$599,MATCH($C375,'Staff Directory'!$B$5:$B$599,0)),$AG375))</f>
        <v>PSW</v>
      </c>
      <c r="AI375" s="102"/>
      <c r="AJ375" s="101">
        <f>IF($F375="","",SUMIFS($J$5:$J375,$F$5:$F375,$F375))</f>
        <v>10000</v>
      </c>
      <c r="AK375" s="101">
        <f t="shared" si="60"/>
        <v>9501</v>
      </c>
      <c r="AL375" s="66" t="str" cm="1">
        <f t="array" ref="AL375">IF($F375="","",IFERROR(INDEX('Lot Balance'!$B$5:$B$500,MATCH(1,INDEX(('Lot Balance'!$A$5:$A$500=$F375)*('Lot Balance'!$K$5:$K$500&lt;$AK375)*('Lot Balance'!$K$5:$K$500+'Lot Balance'!$D$5:$D$500&gt;=$AK375),0),0)),""))</f>
        <v>ZIM511139904-0</v>
      </c>
      <c r="AM375" s="66" t="str" cm="1">
        <f t="array" ref="AM375">IF($F375="","",IFERROR(INDEX('Lot Balance'!$B$5:$B$500,MATCH(1,INDEX(('Lot Balance'!$A$5:$A$500=$F375)*('Lot Balance'!$K$5:$K$500&lt;$AJ375)*('Lot Balance'!$K$5:$K$500+'Lot Balance'!$D$5:$D$500&gt;=$AJ375),0),0)),""))</f>
        <v>ZIM511139904-0</v>
      </c>
      <c r="AN375" s="66" t="str">
        <f>IF($F375="","",IF($AI375&lt;&gt;"",IF(COUNTIFS('Lot Balance'!$A$5:$A$500,$F375,'Lot Balance'!$B$5:$B$500,$AI375)=0,"⚠ override is not a lot of this item",IF($AI375=$AL375,"Override = FEFO","Override - FEFO says "&amp;$AL375)),IF($AL375="","⚠ no receipt on file for this item",IF($AM375&lt;&gt;$AL375,"FEFO auto - split, also "&amp;$AM375,"FEFO auto"))))</f>
        <v>FEFO auto</v>
      </c>
      <c r="AO375" s="114"/>
    </row>
    <row r="376" spans="1:41" x14ac:dyDescent="0.35">
      <c r="A376" s="74">
        <v>46135</v>
      </c>
      <c r="B376" s="18" t="str">
        <f>IF($C376="","",IFERROR(INDEX('Staff Directory'!$A$5:$A$594,MATCH($C376,'Staff Directory'!$B$5:$B$594,0)),"⚠ unknown staff"))</f>
        <v>PSW-053-A4</v>
      </c>
      <c r="C376" s="49" t="s">
        <v>1029</v>
      </c>
      <c r="D376" s="19" t="str">
        <f>IF($B376="","",IFERROR(INDEX('Staff Directory'!$C$5:$C$594,MATCH($B376,'Staff Directory'!$A$5:$A$594,0)),""))</f>
        <v>PSW</v>
      </c>
      <c r="E376" s="19" t="str">
        <f>IF($B376="","",IFERROR(INDEX('Staff Directory'!$D$5:$D$594,MATCH($B376,'Staff Directory'!$A$5:$A$594,0)),""))</f>
        <v>A4</v>
      </c>
      <c r="F376" s="9" t="s">
        <v>191</v>
      </c>
      <c r="G376" s="18" t="str">
        <f>IF($F376="","",IFERROR(INDEX(Items!$B$5:$B$597,MATCH($F376,Items!$A$5:$A$597,0)),"⚠ not in Items"))</f>
        <v>Sanitizer</v>
      </c>
      <c r="H376" s="19" t="str">
        <f>IF($F376="","",IFERROR(INDEX(Items!$C$5:$C$597,MATCH($F376,Items!$A$5:$A$597,0)),""))</f>
        <v>236 ML</v>
      </c>
      <c r="I376" s="23">
        <f>IF($F376="","",IFERROR(INDEX(Items!$E$5:$E$597,MATCH($F376,Items!$A$5:$A$597,0)),""))</f>
        <v>1</v>
      </c>
      <c r="J376" s="115">
        <f>IF(tblIssues[[#This Row],[Qty Override]]&lt;&gt;"",tblIssues[[#This Row],[Qty Override]],IF(tblIssues[[#This Row],[Standard Issue]]="","",tblIssues[[#This Row],[Standard Issue]]))</f>
        <v>1</v>
      </c>
      <c r="K376" s="20">
        <f>IF($F376="","",IFERROR(INDEX(Items!$D$5:$D$597,MATCH($F376,Items!$A$5:$A$597,0)),""))</f>
        <v>1E-4</v>
      </c>
      <c r="L376" s="21">
        <f t="shared" si="61"/>
        <v>1E-4</v>
      </c>
      <c r="M376" s="9" t="str">
        <f t="shared" si="62"/>
        <v>20-21734-1</v>
      </c>
      <c r="N376" s="24">
        <f>IF($A376="","",WORKDAY($A376,Settings!$C$9,HolidayDates))</f>
        <v>46143</v>
      </c>
      <c r="O376" s="24">
        <f>IF($N376="","",WORKDAY($N376,Settings!$C$10,HolidayDates))</f>
        <v>46183</v>
      </c>
      <c r="P376" s="10" t="s">
        <v>501</v>
      </c>
      <c r="Q376" s="52" t="str">
        <f t="shared" si="64"/>
        <v>Collected</v>
      </c>
      <c r="R376" s="55" t="str">
        <f t="shared" si="65"/>
        <v>2026-04</v>
      </c>
      <c r="S376" s="55">
        <f>IF(OR($B376="",$F376="",$R376=""),"",SUMIFS(tblIssues[Qty Issued],tblIssues[Staff ID],$B376,tblIssues[Item Name],$F376,tblIssues[Month],$R376))</f>
        <v>1</v>
      </c>
      <c r="T376" s="56">
        <f>IF($I376="","",$I376*Settings!$C$11)</f>
        <v>1</v>
      </c>
      <c r="U376" s="57" t="str">
        <f t="shared" si="63"/>
        <v>OK</v>
      </c>
      <c r="V376" s="55" t="str">
        <f t="shared" si="66"/>
        <v/>
      </c>
      <c r="W376" s="55" t="str">
        <f>IF($V376="","",IF(COUNTIF($V$5:$V376,$V376)=1,1,""))</f>
        <v/>
      </c>
      <c r="X376" s="58" t="str">
        <f>IF($W376="","",MAX($X$4:X375)+1)</f>
        <v/>
      </c>
      <c r="Y376" s="62"/>
      <c r="Z376" s="62"/>
      <c r="AA376" s="64" t="str">
        <f>IF($C376="","",IFERROR(INDEX('Staff Directory'!$E$5:$E$594,MATCH($C376,'Staff Directory'!$B$5:$B$594,0)),""))</f>
        <v>firstname113.lastname113@example.com</v>
      </c>
      <c r="AB376" s="64" t="str">
        <f>IF($C376="","",IF(ISNUMBER(SEARCH($D376,Settings!$C$15)),"Pickup","Dispatch"))</f>
        <v>Pickup</v>
      </c>
      <c r="AC376" s="64" t="str">
        <f t="shared" si="67"/>
        <v>Supply order ready for pickup</v>
      </c>
      <c r="AD376" s="64" t="str">
        <f t="shared" si="58"/>
        <v>Dear PSW,
Your order is ready for pickup from Sample Branch, Wed-Fri 9am-4pm.</v>
      </c>
      <c r="AE376" s="64" t="str">
        <f t="shared" si="59"/>
        <v>mailto:firstname113.lastname113@example.com?subject=Supply%20order%20ready%20for%20pickup&amp;body=Dear%20PSW%2C%0A%0AYour%20order%20is%20ready%20for%20pickup%20from%20Sample%20Branch%2C%20Wed-Fri%209am-4pm.</v>
      </c>
      <c r="AF376" s="89" t="str">
        <f t="shared" si="68"/>
        <v>Draft email</v>
      </c>
      <c r="AG376" s="64" t="str">
        <f>IF($C376="","",IFERROR(INDEX('Staff Directory'!$K$595:$K$599,MATCH($C376,'Staff Directory'!$B$5:$B$599,0)),$D376))</f>
        <v>PSW</v>
      </c>
      <c r="AH376" t="str">
        <f>IF($C376="","",IFERROR(INDEX('Staff Directory'!$I$595:$I$599,MATCH($C376,'Staff Directory'!$B$5:$B$599,0))&amp;" "&amp;INDEX('Staff Directory'!$J$595:$J$599,MATCH($C376,'Staff Directory'!$B$5:$B$599,0)),$AG376))</f>
        <v>PSW</v>
      </c>
      <c r="AI376" s="102"/>
      <c r="AJ376" s="101">
        <f>IF($F376="","",SUMIFS($J$5:$J376,$F$5:$F376,$F376))</f>
        <v>28</v>
      </c>
      <c r="AK376" s="101">
        <f t="shared" si="60"/>
        <v>28</v>
      </c>
      <c r="AL376" s="66" t="str" cm="1">
        <f t="array" ref="AL376">IF($F376="","",IFERROR(INDEX('Lot Balance'!$B$5:$B$500,MATCH(1,INDEX(('Lot Balance'!$A$5:$A$500=$F376)*('Lot Balance'!$K$5:$K$500&lt;$AK376)*('Lot Balance'!$K$5:$K$500+'Lot Balance'!$D$5:$D$500&gt;=$AK376),0),0)),""))</f>
        <v>20-21734-1</v>
      </c>
      <c r="AM376" s="66" t="str" cm="1">
        <f t="array" ref="AM376">IF($F376="","",IFERROR(INDEX('Lot Balance'!$B$5:$B$500,MATCH(1,INDEX(('Lot Balance'!$A$5:$A$500=$F376)*('Lot Balance'!$K$5:$K$500&lt;$AJ376)*('Lot Balance'!$K$5:$K$500+'Lot Balance'!$D$5:$D$500&gt;=$AJ376),0),0)),""))</f>
        <v>20-21734-1</v>
      </c>
      <c r="AN376" s="66" t="str">
        <f>IF($F376="","",IF($AI376&lt;&gt;"",IF(COUNTIFS('Lot Balance'!$A$5:$A$500,$F376,'Lot Balance'!$B$5:$B$500,$AI376)=0,"⚠ override is not a lot of this item",IF($AI376=$AL376,"Override = FEFO","Override - FEFO says "&amp;$AL376)),IF($AL376="","⚠ no receipt on file for this item",IF($AM376&lt;&gt;$AL376,"FEFO auto - split, also "&amp;$AM376,"FEFO auto"))))</f>
        <v>FEFO auto</v>
      </c>
      <c r="AO376" s="114"/>
    </row>
    <row r="377" spans="1:41" x14ac:dyDescent="0.35">
      <c r="A377" s="74">
        <v>46135</v>
      </c>
      <c r="B377" s="18" t="str">
        <f>IF($C377="","",IFERROR(INDEX('Staff Directory'!$A$5:$A$594,MATCH($C377,'Staff Directory'!$B$5:$B$594,0)),"⚠ unknown staff"))</f>
        <v>PSW-053-A4</v>
      </c>
      <c r="C377" s="49" t="s">
        <v>1029</v>
      </c>
      <c r="D377" s="19" t="str">
        <f>IF($B377="","",IFERROR(INDEX('Staff Directory'!$C$5:$C$594,MATCH($B377,'Staff Directory'!$A$5:$A$594,0)),""))</f>
        <v>PSW</v>
      </c>
      <c r="E377" s="19" t="str">
        <f>IF($B377="","",IFERROR(INDEX('Staff Directory'!$D$5:$D$594,MATCH($B377,'Staff Directory'!$A$5:$A$594,0)),""))</f>
        <v>A4</v>
      </c>
      <c r="F377" s="9" t="s">
        <v>115</v>
      </c>
      <c r="G377" s="18" t="str">
        <f>IF($F377="","",IFERROR(INDEX(Items!$B$5:$B$597,MATCH($F377,Items!$A$5:$A$597,0)),"⚠ not in Items"))</f>
        <v>Wipes</v>
      </c>
      <c r="H377" s="19">
        <f>IF($F377="","",IFERROR(INDEX(Items!$C$5:$C$597,MATCH($F377,Items!$A$5:$A$597,0)),""))</f>
        <v>80</v>
      </c>
      <c r="I377" s="23">
        <f>IF($F377="","",IFERROR(INDEX(Items!$E$5:$E$597,MATCH($F377,Items!$A$5:$A$597,0)),""))</f>
        <v>80</v>
      </c>
      <c r="J377" s="115">
        <f>IF(tblIssues[[#This Row],[Qty Override]]&lt;&gt;"",tblIssues[[#This Row],[Qty Override]],IF(tblIssues[[#This Row],[Standard Issue]]="","",tblIssues[[#This Row],[Standard Issue]]))</f>
        <v>80</v>
      </c>
      <c r="K377" s="20">
        <f>IF($F377="","",IFERROR(INDEX(Items!$D$5:$D$597,MATCH($F377,Items!$A$5:$A$597,0)),""))</f>
        <v>0.1</v>
      </c>
      <c r="L377" s="21">
        <f t="shared" si="61"/>
        <v>8</v>
      </c>
      <c r="M377" s="9" t="str">
        <f t="shared" si="62"/>
        <v>LYSL500290</v>
      </c>
      <c r="N377" s="24">
        <f>IF($A377="","",WORKDAY($A377,Settings!$C$9,HolidayDates))</f>
        <v>46143</v>
      </c>
      <c r="O377" s="24">
        <f>IF($N377="","",WORKDAY($N377,Settings!$C$10,HolidayDates))</f>
        <v>46183</v>
      </c>
      <c r="P377" s="10" t="s">
        <v>501</v>
      </c>
      <c r="Q377" s="52" t="str">
        <f t="shared" si="64"/>
        <v>Collected</v>
      </c>
      <c r="R377" s="55" t="str">
        <f t="shared" si="65"/>
        <v>2026-04</v>
      </c>
      <c r="S377" s="55">
        <f>IF(OR($B377="",$F377="",$R377=""),"",SUMIFS(tblIssues[Qty Issued],tblIssues[Staff ID],$B377,tblIssues[Item Name],$F377,tblIssues[Month],$R377))</f>
        <v>80</v>
      </c>
      <c r="T377" s="56">
        <f>IF($I377="","",$I377*Settings!$C$11)</f>
        <v>80</v>
      </c>
      <c r="U377" s="57" t="str">
        <f t="shared" si="63"/>
        <v>OK</v>
      </c>
      <c r="V377" s="55" t="str">
        <f t="shared" si="66"/>
        <v/>
      </c>
      <c r="W377" s="55" t="str">
        <f>IF($V377="","",IF(COUNTIF($V$5:$V377,$V377)=1,1,""))</f>
        <v/>
      </c>
      <c r="X377" s="58" t="str">
        <f>IF($W377="","",MAX($X$4:X376)+1)</f>
        <v/>
      </c>
      <c r="Y377" s="62"/>
      <c r="Z377" s="62"/>
      <c r="AA377" s="64" t="str">
        <f>IF($C377="","",IFERROR(INDEX('Staff Directory'!$E$5:$E$594,MATCH($C377,'Staff Directory'!$B$5:$B$594,0)),""))</f>
        <v>firstname113.lastname113@example.com</v>
      </c>
      <c r="AB377" s="64" t="str">
        <f>IF($C377="","",IF(ISNUMBER(SEARCH($D377,Settings!$C$15)),"Pickup","Dispatch"))</f>
        <v>Pickup</v>
      </c>
      <c r="AC377" s="64" t="str">
        <f t="shared" si="67"/>
        <v>Supply order ready for pickup</v>
      </c>
      <c r="AD377" s="64" t="str">
        <f t="shared" si="58"/>
        <v>Dear PSW,
Your order is ready for pickup from Sample Branch, Wed-Fri 9am-4pm.</v>
      </c>
      <c r="AE377" s="64" t="str">
        <f t="shared" si="59"/>
        <v>mailto:firstname113.lastname113@example.com?subject=Supply%20order%20ready%20for%20pickup&amp;body=Dear%20PSW%2C%0A%0AYour%20order%20is%20ready%20for%20pickup%20from%20Sample%20Branch%2C%20Wed-Fri%209am-4pm.</v>
      </c>
      <c r="AF377" s="89" t="str">
        <f t="shared" si="68"/>
        <v>Draft email</v>
      </c>
      <c r="AG377" s="64" t="str">
        <f>IF($C377="","",IFERROR(INDEX('Staff Directory'!$K$595:$K$599,MATCH($C377,'Staff Directory'!$B$5:$B$599,0)),$D377))</f>
        <v>PSW</v>
      </c>
      <c r="AH377" t="str">
        <f>IF($C377="","",IFERROR(INDEX('Staff Directory'!$I$595:$I$599,MATCH($C377,'Staff Directory'!$B$5:$B$599,0))&amp;" "&amp;INDEX('Staff Directory'!$J$595:$J$599,MATCH($C377,'Staff Directory'!$B$5:$B$599,0)),$AG377))</f>
        <v>PSW</v>
      </c>
      <c r="AI377" s="102"/>
      <c r="AJ377" s="101">
        <f>IF($F377="","",SUMIFS($J$5:$J377,$F$5:$F377,$F377))</f>
        <v>5120</v>
      </c>
      <c r="AK377" s="101">
        <f t="shared" si="60"/>
        <v>5041</v>
      </c>
      <c r="AL377" s="66" t="str" cm="1">
        <f t="array" ref="AL377">IF($F377="","",IFERROR(INDEX('Lot Balance'!$B$5:$B$500,MATCH(1,INDEX(('Lot Balance'!$A$5:$A$500=$F377)*('Lot Balance'!$K$5:$K$500&lt;$AK377)*('Lot Balance'!$K$5:$K$500+'Lot Balance'!$D$5:$D$500&gt;=$AK377),0),0)),""))</f>
        <v>LYSL500290</v>
      </c>
      <c r="AM377" s="66" t="str" cm="1">
        <f t="array" ref="AM377">IF($F377="","",IFERROR(INDEX('Lot Balance'!$B$5:$B$500,MATCH(1,INDEX(('Lot Balance'!$A$5:$A$500=$F377)*('Lot Balance'!$K$5:$K$500&lt;$AJ377)*('Lot Balance'!$K$5:$K$500+'Lot Balance'!$D$5:$D$500&gt;=$AJ377),0),0)),""))</f>
        <v>LYSL500290</v>
      </c>
      <c r="AN377" s="66" t="str">
        <f>IF($F377="","",IF($AI377&lt;&gt;"",IF(COUNTIFS('Lot Balance'!$A$5:$A$500,$F377,'Lot Balance'!$B$5:$B$500,$AI377)=0,"⚠ override is not a lot of this item",IF($AI377=$AL377,"Override = FEFO","Override - FEFO says "&amp;$AL377)),IF($AL377="","⚠ no receipt on file for this item",IF($AM377&lt;&gt;$AL377,"FEFO auto - split, also "&amp;$AM377,"FEFO auto"))))</f>
        <v>FEFO auto</v>
      </c>
      <c r="AO377" s="114"/>
    </row>
    <row r="378" spans="1:41" x14ac:dyDescent="0.35">
      <c r="A378" s="74">
        <v>46135</v>
      </c>
      <c r="B378" s="18" t="str">
        <f>IF($C378="","",IFERROR(INDEX('Staff Directory'!$A$5:$A$594,MATCH($C378,'Staff Directory'!$B$5:$B$594,0)),"⚠ unknown staff"))</f>
        <v>PSW-053-A4</v>
      </c>
      <c r="C378" s="49" t="s">
        <v>1029</v>
      </c>
      <c r="D378" s="19" t="str">
        <f>IF($B378="","",IFERROR(INDEX('Staff Directory'!$C$5:$C$594,MATCH($B378,'Staff Directory'!$A$5:$A$594,0)),""))</f>
        <v>PSW</v>
      </c>
      <c r="E378" s="19" t="str">
        <f>IF($B378="","",IFERROR(INDEX('Staff Directory'!$D$5:$D$594,MATCH($B378,'Staff Directory'!$A$5:$A$594,0)),""))</f>
        <v>A4</v>
      </c>
      <c r="F378" s="9" t="s">
        <v>156</v>
      </c>
      <c r="G378" s="18" t="str">
        <f>IF($F378="","",IFERROR(INDEX(Items!$B$5:$B$597,MATCH($F378,Items!$A$5:$A$597,0)),"⚠ not in Items"))</f>
        <v>Masks</v>
      </c>
      <c r="H378" s="19" t="str">
        <f>IF($F378="","",IFERROR(INDEX(Items!$C$5:$C$597,MATCH($F378,Items!$A$5:$A$597,0)),""))</f>
        <v>One Size</v>
      </c>
      <c r="I378" s="23">
        <f>IF($F378="","",IFERROR(INDEX(Items!$E$5:$E$597,MATCH($F378,Items!$A$5:$A$597,0)),""))</f>
        <v>50</v>
      </c>
      <c r="J378" s="115">
        <f>IF(tblIssues[[#This Row],[Qty Override]]&lt;&gt;"",tblIssues[[#This Row],[Qty Override]],IF(tblIssues[[#This Row],[Standard Issue]]="","",tblIssues[[#This Row],[Standard Issue]]))</f>
        <v>50</v>
      </c>
      <c r="K378" s="20">
        <f>IF($F378="","",IFERROR(INDEX(Items!$D$5:$D$597,MATCH($F378,Items!$A$5:$A$597,0)),""))</f>
        <v>0.25</v>
      </c>
      <c r="L378" s="21">
        <f t="shared" si="61"/>
        <v>12.5</v>
      </c>
      <c r="M378" s="9" t="str">
        <f t="shared" si="62"/>
        <v>0125FPC24-0</v>
      </c>
      <c r="N378" s="24">
        <f>IF($A378="","",WORKDAY($A378,Settings!$C$9,HolidayDates))</f>
        <v>46143</v>
      </c>
      <c r="O378" s="24">
        <f>IF($N378="","",WORKDAY($N378,Settings!$C$10,HolidayDates))</f>
        <v>46183</v>
      </c>
      <c r="P378" s="10" t="s">
        <v>501</v>
      </c>
      <c r="Q378" s="52" t="str">
        <f t="shared" si="64"/>
        <v>Collected</v>
      </c>
      <c r="R378" s="55" t="str">
        <f t="shared" si="65"/>
        <v>2026-04</v>
      </c>
      <c r="S378" s="55">
        <f>IF(OR($B378="",$F378="",$R378=""),"",SUMIFS(tblIssues[Qty Issued],tblIssues[Staff ID],$B378,tblIssues[Item Name],$F378,tblIssues[Month],$R378))</f>
        <v>50</v>
      </c>
      <c r="T378" s="56">
        <f>IF($I378="","",$I378*Settings!$C$11)</f>
        <v>50</v>
      </c>
      <c r="U378" s="57" t="str">
        <f t="shared" si="63"/>
        <v>OK</v>
      </c>
      <c r="V378" s="55" t="str">
        <f t="shared" si="66"/>
        <v/>
      </c>
      <c r="W378" s="55" t="str">
        <f>IF($V378="","",IF(COUNTIF($V$5:$V378,$V378)=1,1,""))</f>
        <v/>
      </c>
      <c r="X378" s="58" t="str">
        <f>IF($W378="","",MAX($X$4:X377)+1)</f>
        <v/>
      </c>
      <c r="Y378" s="62"/>
      <c r="Z378" s="62"/>
      <c r="AA378" s="64" t="str">
        <f>IF($C378="","",IFERROR(INDEX('Staff Directory'!$E$5:$E$594,MATCH($C378,'Staff Directory'!$B$5:$B$594,0)),""))</f>
        <v>firstname113.lastname113@example.com</v>
      </c>
      <c r="AB378" s="64" t="str">
        <f>IF($C378="","",IF(ISNUMBER(SEARCH($D378,Settings!$C$15)),"Pickup","Dispatch"))</f>
        <v>Pickup</v>
      </c>
      <c r="AC378" s="64" t="str">
        <f t="shared" si="67"/>
        <v>Supply order ready for pickup</v>
      </c>
      <c r="AD378" s="64" t="str">
        <f t="shared" si="58"/>
        <v>Dear PSW,
Your order is ready for pickup from Sample Branch, Wed-Fri 9am-4pm.</v>
      </c>
      <c r="AE378" s="64" t="str">
        <f t="shared" si="59"/>
        <v>mailto:firstname113.lastname113@example.com?subject=Supply%20order%20ready%20for%20pickup&amp;body=Dear%20PSW%2C%0A%0AYour%20order%20is%20ready%20for%20pickup%20from%20Sample%20Branch%2C%20Wed-Fri%209am-4pm.</v>
      </c>
      <c r="AF378" s="89" t="str">
        <f t="shared" si="68"/>
        <v>Draft email</v>
      </c>
      <c r="AG378" s="64" t="str">
        <f>IF($C378="","",IFERROR(INDEX('Staff Directory'!$K$595:$K$599,MATCH($C378,'Staff Directory'!$B$5:$B$599,0)),$D378))</f>
        <v>PSW</v>
      </c>
      <c r="AH378" t="str">
        <f>IF($C378="","",IFERROR(INDEX('Staff Directory'!$I$595:$I$599,MATCH($C378,'Staff Directory'!$B$5:$B$599,0))&amp;" "&amp;INDEX('Staff Directory'!$J$595:$J$599,MATCH($C378,'Staff Directory'!$B$5:$B$599,0)),$AG378))</f>
        <v>PSW</v>
      </c>
      <c r="AI378" s="102"/>
      <c r="AJ378" s="101">
        <f>IF($F378="","",SUMIFS($J$5:$J378,$F$5:$F378,$F378))</f>
        <v>2950</v>
      </c>
      <c r="AK378" s="101">
        <f t="shared" si="60"/>
        <v>2901</v>
      </c>
      <c r="AL378" s="66" t="str" cm="1">
        <f t="array" ref="AL378">IF($F378="","",IFERROR(INDEX('Lot Balance'!$B$5:$B$500,MATCH(1,INDEX(('Lot Balance'!$A$5:$A$500=$F378)*('Lot Balance'!$K$5:$K$500&lt;$AK378)*('Lot Balance'!$K$5:$K$500+'Lot Balance'!$D$5:$D$500&gt;=$AK378),0),0)),""))</f>
        <v>0125FPC24-0</v>
      </c>
      <c r="AM378" s="66" t="str" cm="1">
        <f t="array" ref="AM378">IF($F378="","",IFERROR(INDEX('Lot Balance'!$B$5:$B$500,MATCH(1,INDEX(('Lot Balance'!$A$5:$A$500=$F378)*('Lot Balance'!$K$5:$K$500&lt;$AJ378)*('Lot Balance'!$K$5:$K$500+'Lot Balance'!$D$5:$D$500&gt;=$AJ378),0),0)),""))</f>
        <v>0125FPC24-0</v>
      </c>
      <c r="AN378" s="66" t="str">
        <f>IF($F378="","",IF($AI378&lt;&gt;"",IF(COUNTIFS('Lot Balance'!$A$5:$A$500,$F378,'Lot Balance'!$B$5:$B$500,$AI378)=0,"⚠ override is not a lot of this item",IF($AI378=$AL378,"Override = FEFO","Override - FEFO says "&amp;$AL378)),IF($AL378="","⚠ no receipt on file for this item",IF($AM378&lt;&gt;$AL378,"FEFO auto - split, also "&amp;$AM378,"FEFO auto"))))</f>
        <v>FEFO auto</v>
      </c>
      <c r="AO378" s="114"/>
    </row>
    <row r="379" spans="1:41" x14ac:dyDescent="0.35">
      <c r="A379" s="74">
        <v>46135</v>
      </c>
      <c r="B379" s="18" t="str">
        <f>IF($C379="","",IFERROR(INDEX('Staff Directory'!$A$5:$A$594,MATCH($C379,'Staff Directory'!$B$5:$B$594,0)),"⚠ unknown staff"))</f>
        <v>PSW-053-A4</v>
      </c>
      <c r="C379" s="49" t="s">
        <v>1029</v>
      </c>
      <c r="D379" s="19" t="str">
        <f>IF($B379="","",IFERROR(INDEX('Staff Directory'!$C$5:$C$594,MATCH($B379,'Staff Directory'!$A$5:$A$594,0)),""))</f>
        <v>PSW</v>
      </c>
      <c r="E379" s="19" t="str">
        <f>IF($B379="","",IFERROR(INDEX('Staff Directory'!$D$5:$D$594,MATCH($B379,'Staff Directory'!$A$5:$A$594,0)),""))</f>
        <v>A4</v>
      </c>
      <c r="F379" s="9" t="s">
        <v>755</v>
      </c>
      <c r="G379" s="18" t="str">
        <f>IF($F379="","",IFERROR(INDEX(Items!$B$5:$B$597,MATCH($F379,Items!$A$5:$A$597,0)),"⚠ not in Items"))</f>
        <v>Documents</v>
      </c>
      <c r="H379" s="19" t="str">
        <f>IF($F379="","",IFERROR(INDEX(Items!$C$5:$C$597,MATCH($F379,Items!$A$5:$A$597,0)),""))</f>
        <v>Standard</v>
      </c>
      <c r="I379" s="23">
        <f>IF($F379="","",IFERROR(INDEX(Items!$E$5:$E$597,MATCH($F379,Items!$A$5:$A$597,0)),""))</f>
        <v>2</v>
      </c>
      <c r="J379" s="115">
        <f>IF(tblIssues[[#This Row],[Qty Override]]&lt;&gt;"",tblIssues[[#This Row],[Qty Override]],IF(tblIssues[[#This Row],[Standard Issue]]="","",tblIssues[[#This Row],[Standard Issue]]))</f>
        <v>2</v>
      </c>
      <c r="K379" s="20">
        <f>IF($F379="","",IFERROR(INDEX(Items!$D$5:$D$597,MATCH($F379,Items!$A$5:$A$597,0)),""))</f>
        <v>0</v>
      </c>
      <c r="L379" s="21">
        <f t="shared" si="61"/>
        <v>0</v>
      </c>
      <c r="M379" s="9" t="str">
        <f t="shared" si="62"/>
        <v/>
      </c>
      <c r="N379" s="24">
        <f>IF($A379="","",WORKDAY($A379,Settings!$C$9,HolidayDates))</f>
        <v>46143</v>
      </c>
      <c r="O379" s="24">
        <f>IF($N379="","",WORKDAY($N379,Settings!$C$10,HolidayDates))</f>
        <v>46183</v>
      </c>
      <c r="P379" s="10" t="s">
        <v>501</v>
      </c>
      <c r="Q379" s="52" t="str">
        <f t="shared" si="64"/>
        <v>Collected</v>
      </c>
      <c r="R379" s="55" t="str">
        <f t="shared" si="65"/>
        <v>2026-04</v>
      </c>
      <c r="S379" s="55">
        <f>IF(OR($B379="",$F379="",$R379=""),"",SUMIFS(tblIssues[Qty Issued],tblIssues[Staff ID],$B379,tblIssues[Item Name],$F379,tblIssues[Month],$R379))</f>
        <v>2</v>
      </c>
      <c r="T379" s="56">
        <f>IF($I379="","",$I379*Settings!$C$11)</f>
        <v>2</v>
      </c>
      <c r="U379" s="57" t="str">
        <f t="shared" si="63"/>
        <v>OK</v>
      </c>
      <c r="V379" s="55" t="str">
        <f t="shared" si="66"/>
        <v/>
      </c>
      <c r="W379" s="55" t="str">
        <f>IF($V379="","",IF(COUNTIF($V$5:$V379,$V379)=1,1,""))</f>
        <v/>
      </c>
      <c r="X379" s="58" t="str">
        <f>IF($W379="","",MAX($X$4:X378)+1)</f>
        <v/>
      </c>
      <c r="Y379" s="62"/>
      <c r="Z379" s="62"/>
      <c r="AA379" s="64" t="str">
        <f>IF($C379="","",IFERROR(INDEX('Staff Directory'!$E$5:$E$594,MATCH($C379,'Staff Directory'!$B$5:$B$594,0)),""))</f>
        <v>firstname113.lastname113@example.com</v>
      </c>
      <c r="AB379" s="64" t="str">
        <f>IF($C379="","",IF(ISNUMBER(SEARCH($D379,Settings!$C$15)),"Pickup","Dispatch"))</f>
        <v>Pickup</v>
      </c>
      <c r="AC379" s="64" t="str">
        <f t="shared" si="67"/>
        <v>Supply order ready for pickup</v>
      </c>
      <c r="AD379" s="64" t="str">
        <f t="shared" si="58"/>
        <v>Dear PSW,
Your order is ready for pickup from Sample Branch, Wed-Fri 9am-4pm.</v>
      </c>
      <c r="AE379" s="64" t="str">
        <f t="shared" si="59"/>
        <v>mailto:firstname113.lastname113@example.com?subject=Supply%20order%20ready%20for%20pickup&amp;body=Dear%20PSW%2C%0A%0AYour%20order%20is%20ready%20for%20pickup%20from%20Sample%20Branch%2C%20Wed-Fri%209am-4pm.</v>
      </c>
      <c r="AF379" s="89" t="str">
        <f t="shared" si="68"/>
        <v>Draft email</v>
      </c>
      <c r="AG379" s="64" t="str">
        <f>IF($C379="","",IFERROR(INDEX('Staff Directory'!$K$595:$K$599,MATCH($C379,'Staff Directory'!$B$5:$B$599,0)),$D379))</f>
        <v>PSW</v>
      </c>
      <c r="AH379" t="str">
        <f>IF($C379="","",IFERROR(INDEX('Staff Directory'!$I$595:$I$599,MATCH($C379,'Staff Directory'!$B$5:$B$599,0))&amp;" "&amp;INDEX('Staff Directory'!$J$595:$J$599,MATCH($C379,'Staff Directory'!$B$5:$B$599,0)),$AG379))</f>
        <v>PSW</v>
      </c>
      <c r="AI379" s="102"/>
      <c r="AJ379" s="101">
        <f>IF($F379="","",SUMIFS($J$5:$J379,$F$5:$F379,$F379))</f>
        <v>106</v>
      </c>
      <c r="AK379" s="101">
        <f t="shared" si="60"/>
        <v>105</v>
      </c>
      <c r="AL379" s="66" t="str" cm="1">
        <f t="array" ref="AL379">IF($F379="","",IFERROR(INDEX('Lot Balance'!$B$5:$B$500,MATCH(1,INDEX(('Lot Balance'!$A$5:$A$500=$F379)*('Lot Balance'!$K$5:$K$500&lt;$AK379)*('Lot Balance'!$K$5:$K$500+'Lot Balance'!$D$5:$D$500&gt;=$AK379),0),0)),""))</f>
        <v/>
      </c>
      <c r="AM379" s="66" t="str" cm="1">
        <f t="array" ref="AM379">IF($F379="","",IFERROR(INDEX('Lot Balance'!$B$5:$B$500,MATCH(1,INDEX(('Lot Balance'!$A$5:$A$500=$F379)*('Lot Balance'!$K$5:$K$500&lt;$AJ379)*('Lot Balance'!$K$5:$K$500+'Lot Balance'!$D$5:$D$500&gt;=$AJ379),0),0)),""))</f>
        <v/>
      </c>
      <c r="AN379" s="66" t="str">
        <f>IF($F379="","",IF($AI379&lt;&gt;"",IF(COUNTIFS('Lot Balance'!$A$5:$A$500,$F379,'Lot Balance'!$B$5:$B$500,$AI379)=0,"⚠ override is not a lot of this item",IF($AI379=$AL379,"Override = FEFO","Override - FEFO says "&amp;$AL379)),IF($AL379="","⚠ no receipt on file for this item",IF($AM379&lt;&gt;$AL379,"FEFO auto - split, also "&amp;$AM379,"FEFO auto"))))</f>
        <v>⚠ no receipt on file for this item</v>
      </c>
      <c r="AO379" s="114"/>
    </row>
    <row r="380" spans="1:41" x14ac:dyDescent="0.35">
      <c r="A380" s="74">
        <v>46135</v>
      </c>
      <c r="B380" s="18" t="str">
        <f>IF($C380="","",IFERROR(INDEX('Staff Directory'!$A$5:$A$594,MATCH($C380,'Staff Directory'!$B$5:$B$594,0)),"⚠ unknown staff"))</f>
        <v>PSW-053-A4</v>
      </c>
      <c r="C380" s="49" t="s">
        <v>1029</v>
      </c>
      <c r="D380" s="19" t="str">
        <f>IF($B380="","",IFERROR(INDEX('Staff Directory'!$C$5:$C$594,MATCH($B380,'Staff Directory'!$A$5:$A$594,0)),""))</f>
        <v>PSW</v>
      </c>
      <c r="E380" s="19" t="str">
        <f>IF($B380="","",IFERROR(INDEX('Staff Directory'!$D$5:$D$594,MATCH($B380,'Staff Directory'!$A$5:$A$594,0)),""))</f>
        <v>A4</v>
      </c>
      <c r="F380" s="9" t="s">
        <v>151</v>
      </c>
      <c r="G380" s="18" t="str">
        <f>IF($F380="","",IFERROR(INDEX(Items!$B$5:$B$597,MATCH($F380,Items!$A$5:$A$597,0)),"⚠ not in Items"))</f>
        <v>HS Charts</v>
      </c>
      <c r="H380" s="19" t="str">
        <f>IF($F380="","",IFERROR(INDEX(Items!$C$5:$C$597,MATCH($F380,Items!$A$5:$A$597,0)),""))</f>
        <v>Standard</v>
      </c>
      <c r="I380" s="23">
        <f>IF($F380="","",IFERROR(INDEX(Items!$E$5:$E$597,MATCH($F380,Items!$A$5:$A$597,0)),""))</f>
        <v>20</v>
      </c>
      <c r="J380" s="115">
        <f>IF(tblIssues[[#This Row],[Qty Override]]&lt;&gt;"",tblIssues[[#This Row],[Qty Override]],IF(tblIssues[[#This Row],[Standard Issue]]="","",tblIssues[[#This Row],[Standard Issue]]))</f>
        <v>20</v>
      </c>
      <c r="K380" s="20">
        <f>IF($F380="","",IFERROR(INDEX(Items!$D$5:$D$597,MATCH($F380,Items!$A$5:$A$597,0)),""))</f>
        <v>0</v>
      </c>
      <c r="L380" s="21">
        <f t="shared" si="61"/>
        <v>0</v>
      </c>
      <c r="M380" s="9" t="str">
        <f t="shared" si="62"/>
        <v/>
      </c>
      <c r="N380" s="24">
        <f>IF($A380="","",WORKDAY($A380,Settings!$C$9,HolidayDates))</f>
        <v>46143</v>
      </c>
      <c r="O380" s="24">
        <f>IF($N380="","",WORKDAY($N380,Settings!$C$10,HolidayDates))</f>
        <v>46183</v>
      </c>
      <c r="P380" s="10" t="s">
        <v>501</v>
      </c>
      <c r="Q380" s="52" t="str">
        <f t="shared" si="64"/>
        <v>Collected</v>
      </c>
      <c r="R380" s="55" t="str">
        <f t="shared" si="65"/>
        <v>2026-04</v>
      </c>
      <c r="S380" s="55">
        <f>IF(OR($B380="",$F380="",$R380=""),"",SUMIFS(tblIssues[Qty Issued],tblIssues[Staff ID],$B380,tblIssues[Item Name],$F380,tblIssues[Month],$R380))</f>
        <v>20</v>
      </c>
      <c r="T380" s="56">
        <f>IF($I380="","",$I380*Settings!$C$11)</f>
        <v>20</v>
      </c>
      <c r="U380" s="57" t="str">
        <f t="shared" si="63"/>
        <v>OK</v>
      </c>
      <c r="V380" s="55" t="str">
        <f t="shared" si="66"/>
        <v/>
      </c>
      <c r="W380" s="55" t="str">
        <f>IF($V380="","",IF(COUNTIF($V$5:$V380,$V380)=1,1,""))</f>
        <v/>
      </c>
      <c r="X380" s="58" t="str">
        <f>IF($W380="","",MAX($X$4:X379)+1)</f>
        <v/>
      </c>
      <c r="Y380" s="62"/>
      <c r="Z380" s="62"/>
      <c r="AA380" s="64" t="str">
        <f>IF($C380="","",IFERROR(INDEX('Staff Directory'!$E$5:$E$594,MATCH($C380,'Staff Directory'!$B$5:$B$594,0)),""))</f>
        <v>firstname113.lastname113@example.com</v>
      </c>
      <c r="AB380" s="64" t="str">
        <f>IF($C380="","",IF(ISNUMBER(SEARCH($D380,Settings!$C$15)),"Pickup","Dispatch"))</f>
        <v>Pickup</v>
      </c>
      <c r="AC380" s="64" t="str">
        <f t="shared" si="67"/>
        <v>Supply order ready for pickup</v>
      </c>
      <c r="AD380" s="64" t="str">
        <f t="shared" si="58"/>
        <v>Dear PSW,
Your order is ready for pickup from Sample Branch, Wed-Fri 9am-4pm.</v>
      </c>
      <c r="AE380" s="64" t="str">
        <f t="shared" si="59"/>
        <v>mailto:firstname113.lastname113@example.com?subject=Supply%20order%20ready%20for%20pickup&amp;body=Dear%20PSW%2C%0A%0AYour%20order%20is%20ready%20for%20pickup%20from%20Sample%20Branch%2C%20Wed-Fri%209am-4pm.</v>
      </c>
      <c r="AF380" s="89" t="str">
        <f t="shared" si="68"/>
        <v>Draft email</v>
      </c>
      <c r="AG380" s="64" t="str">
        <f>IF($C380="","",IFERROR(INDEX('Staff Directory'!$K$595:$K$599,MATCH($C380,'Staff Directory'!$B$5:$B$599,0)),$D380))</f>
        <v>PSW</v>
      </c>
      <c r="AH380" t="str">
        <f>IF($C380="","",IFERROR(INDEX('Staff Directory'!$I$595:$I$599,MATCH($C380,'Staff Directory'!$B$5:$B$599,0))&amp;" "&amp;INDEX('Staff Directory'!$J$595:$J$599,MATCH($C380,'Staff Directory'!$B$5:$B$599,0)),$AG380))</f>
        <v>PSW</v>
      </c>
      <c r="AI380" s="102"/>
      <c r="AJ380" s="101">
        <f>IF($F380="","",SUMIFS($J$5:$J380,$F$5:$F380,$F380))</f>
        <v>20</v>
      </c>
      <c r="AK380" s="101">
        <f t="shared" si="60"/>
        <v>1</v>
      </c>
      <c r="AL380" s="66" t="str" cm="1">
        <f t="array" ref="AL380">IF($F380="","",IFERROR(INDEX('Lot Balance'!$B$5:$B$500,MATCH(1,INDEX(('Lot Balance'!$A$5:$A$500=$F380)*('Lot Balance'!$K$5:$K$500&lt;$AK380)*('Lot Balance'!$K$5:$K$500+'Lot Balance'!$D$5:$D$500&gt;=$AK380),0),0)),""))</f>
        <v/>
      </c>
      <c r="AM380" s="66" t="str" cm="1">
        <f t="array" ref="AM380">IF($F380="","",IFERROR(INDEX('Lot Balance'!$B$5:$B$500,MATCH(1,INDEX(('Lot Balance'!$A$5:$A$500=$F380)*('Lot Balance'!$K$5:$K$500&lt;$AJ380)*('Lot Balance'!$K$5:$K$500+'Lot Balance'!$D$5:$D$500&gt;=$AJ380),0),0)),""))</f>
        <v/>
      </c>
      <c r="AN380" s="66" t="str">
        <f>IF($F380="","",IF($AI380&lt;&gt;"",IF(COUNTIFS('Lot Balance'!$A$5:$A$500,$F380,'Lot Balance'!$B$5:$B$500,$AI380)=0,"⚠ override is not a lot of this item",IF($AI380=$AL380,"Override = FEFO","Override - FEFO says "&amp;$AL380)),IF($AL380="","⚠ no receipt on file for this item",IF($AM380&lt;&gt;$AL380,"FEFO auto - split, also "&amp;$AM380,"FEFO auto"))))</f>
        <v>⚠ no receipt on file for this item</v>
      </c>
      <c r="AO380" s="114"/>
    </row>
    <row r="381" spans="1:41" x14ac:dyDescent="0.35">
      <c r="A381" s="74">
        <v>46135</v>
      </c>
      <c r="B381" s="18" t="str">
        <f>IF($C381="","",IFERROR(INDEX('Staff Directory'!$A$5:$A$594,MATCH($C381,'Staff Directory'!$B$5:$B$594,0)),"⚠ unknown staff"))</f>
        <v>PSW-048-A5</v>
      </c>
      <c r="C381" s="49" t="s">
        <v>1024</v>
      </c>
      <c r="D381" s="19" t="str">
        <f>IF($B381="","",IFERROR(INDEX('Staff Directory'!$C$5:$C$594,MATCH($B381,'Staff Directory'!$A$5:$A$594,0)),""))</f>
        <v>PSW</v>
      </c>
      <c r="E381" s="19" t="str">
        <f>IF($B381="","",IFERROR(INDEX('Staff Directory'!$D$5:$D$594,MATCH($B381,'Staff Directory'!$A$5:$A$594,0)),""))</f>
        <v>A5</v>
      </c>
      <c r="F381" s="9" t="s">
        <v>129</v>
      </c>
      <c r="G381" s="18" t="str">
        <f>IF($F381="","",IFERROR(INDEX(Items!$B$5:$B$597,MATCH($F381,Items!$A$5:$A$597,0)),"⚠ not in Items"))</f>
        <v>Gloves</v>
      </c>
      <c r="H381" s="19" t="str">
        <f>IF($F381="","",IFERROR(INDEX(Items!$C$5:$C$597,MATCH($F381,Items!$A$5:$A$597,0)),""))</f>
        <v>Small</v>
      </c>
      <c r="I381" s="23">
        <f>IF($F381="","",IFERROR(INDEX(Items!$E$5:$E$597,MATCH($F381,Items!$A$5:$A$597,0)),""))</f>
        <v>500</v>
      </c>
      <c r="J381" s="115">
        <f>IF(tblIssues[[#This Row],[Qty Override]]&lt;&gt;"",tblIssues[[#This Row],[Qty Override]],IF(tblIssues[[#This Row],[Standard Issue]]="","",tblIssues[[#This Row],[Standard Issue]]))</f>
        <v>500</v>
      </c>
      <c r="K381" s="20">
        <f>IF($F381="","",IFERROR(INDEX(Items!$D$5:$D$597,MATCH($F381,Items!$A$5:$A$597,0)),""))</f>
        <v>5.5E-2</v>
      </c>
      <c r="L381" s="21">
        <f t="shared" si="61"/>
        <v>27.5</v>
      </c>
      <c r="M381" s="9" t="str">
        <f t="shared" si="62"/>
        <v>ZIM504124207-5</v>
      </c>
      <c r="N381" s="24">
        <f>IF($A381="","",WORKDAY($A381,Settings!$C$9,HolidayDates))</f>
        <v>46143</v>
      </c>
      <c r="O381" s="24">
        <f>IF($N381="","",WORKDAY($N381,Settings!$C$10,HolidayDates))</f>
        <v>46183</v>
      </c>
      <c r="P381" s="10" t="s">
        <v>501</v>
      </c>
      <c r="Q381" s="52" t="str">
        <f t="shared" si="64"/>
        <v>Collected</v>
      </c>
      <c r="R381" s="55" t="str">
        <f t="shared" si="65"/>
        <v>2026-04</v>
      </c>
      <c r="S381" s="55">
        <f>IF(OR($B381="",$F381="",$R381=""),"",SUMIFS(tblIssues[Qty Issued],tblIssues[Staff ID],$B381,tblIssues[Item Name],$F381,tblIssues[Month],$R381))</f>
        <v>500</v>
      </c>
      <c r="T381" s="56">
        <f>IF($I381="","",$I381*Settings!$C$11)</f>
        <v>500</v>
      </c>
      <c r="U381" s="57" t="str">
        <f t="shared" si="63"/>
        <v>OK</v>
      </c>
      <c r="V381" s="55" t="str">
        <f t="shared" si="66"/>
        <v/>
      </c>
      <c r="W381" s="55" t="str">
        <f>IF($V381="","",IF(COUNTIF($V$5:$V381,$V381)=1,1,""))</f>
        <v/>
      </c>
      <c r="X381" s="58" t="str">
        <f>IF($W381="","",MAX($X$4:X380)+1)</f>
        <v/>
      </c>
      <c r="Y381" s="62"/>
      <c r="Z381" s="62"/>
      <c r="AA381" s="64" t="str">
        <f>IF($C381="","",IFERROR(INDEX('Staff Directory'!$E$5:$E$594,MATCH($C381,'Staff Directory'!$B$5:$B$594,0)),""))</f>
        <v>firstname108.lastname108@example.com</v>
      </c>
      <c r="AB381" s="64" t="str">
        <f>IF($C381="","",IF(ISNUMBER(SEARCH($D381,Settings!$C$15)),"Pickup","Dispatch"))</f>
        <v>Pickup</v>
      </c>
      <c r="AC381" s="64" t="str">
        <f t="shared" si="67"/>
        <v>Supply order ready for pickup</v>
      </c>
      <c r="AD381" s="64" t="str">
        <f t="shared" si="58"/>
        <v>Dear PSW,
Your order is ready for pickup from Sample Branch, Wed-Fri 9am-4pm.</v>
      </c>
      <c r="AE381" s="64" t="str">
        <f t="shared" si="59"/>
        <v>mailto:firstname108.lastname108@example.com?subject=Supply%20order%20ready%20for%20pickup&amp;body=Dear%20PSW%2C%0A%0AYour%20order%20is%20ready%20for%20pickup%20from%20Sample%20Branch%2C%20Wed-Fri%209am-4pm.</v>
      </c>
      <c r="AF381" s="89" t="str">
        <f t="shared" si="68"/>
        <v>Draft email</v>
      </c>
      <c r="AG381" s="64" t="str">
        <f>IF($C381="","",IFERROR(INDEX('Staff Directory'!$K$595:$K$599,MATCH($C381,'Staff Directory'!$B$5:$B$599,0)),$D381))</f>
        <v>PSW</v>
      </c>
      <c r="AH381" t="str">
        <f>IF($C381="","",IFERROR(INDEX('Staff Directory'!$I$595:$I$599,MATCH($C381,'Staff Directory'!$B$5:$B$599,0))&amp;" "&amp;INDEX('Staff Directory'!$J$595:$J$599,MATCH($C381,'Staff Directory'!$B$5:$B$599,0)),$AG381))</f>
        <v>PSW</v>
      </c>
      <c r="AI381" s="102"/>
      <c r="AJ381" s="101">
        <f>IF($F381="","",SUMIFS($J$5:$J381,$F$5:$F381,$F381))</f>
        <v>13500</v>
      </c>
      <c r="AK381" s="101">
        <f t="shared" si="60"/>
        <v>13001</v>
      </c>
      <c r="AL381" s="66" t="str" cm="1">
        <f t="array" ref="AL381">IF($F381="","",IFERROR(INDEX('Lot Balance'!$B$5:$B$500,MATCH(1,INDEX(('Lot Balance'!$A$5:$A$500=$F381)*('Lot Balance'!$K$5:$K$500&lt;$AK381)*('Lot Balance'!$K$5:$K$500+'Lot Balance'!$D$5:$D$500&gt;=$AK381),0),0)),""))</f>
        <v>ZIM504124207-5</v>
      </c>
      <c r="AM381" s="66" t="str" cm="1">
        <f t="array" ref="AM381">IF($F381="","",IFERROR(INDEX('Lot Balance'!$B$5:$B$500,MATCH(1,INDEX(('Lot Balance'!$A$5:$A$500=$F381)*('Lot Balance'!$K$5:$K$500&lt;$AJ381)*('Lot Balance'!$K$5:$K$500+'Lot Balance'!$D$5:$D$500&gt;=$AJ381),0),0)),""))</f>
        <v>ZIM504124207-5</v>
      </c>
      <c r="AN381" s="66" t="str">
        <f>IF($F381="","",IF($AI381&lt;&gt;"",IF(COUNTIFS('Lot Balance'!$A$5:$A$500,$F381,'Lot Balance'!$B$5:$B$500,$AI381)=0,"⚠ override is not a lot of this item",IF($AI381=$AL381,"Override = FEFO","Override - FEFO says "&amp;$AL381)),IF($AL381="","⚠ no receipt on file for this item",IF($AM381&lt;&gt;$AL381,"FEFO auto - split, also "&amp;$AM381,"FEFO auto"))))</f>
        <v>FEFO auto</v>
      </c>
      <c r="AO381" s="114"/>
    </row>
    <row r="382" spans="1:41" x14ac:dyDescent="0.35">
      <c r="A382" s="74">
        <v>46135</v>
      </c>
      <c r="B382" s="18" t="str">
        <f>IF($C382="","",IFERROR(INDEX('Staff Directory'!$A$5:$A$594,MATCH($C382,'Staff Directory'!$B$5:$B$594,0)),"⚠ unknown staff"))</f>
        <v>PSW-048-A5</v>
      </c>
      <c r="C382" s="49" t="s">
        <v>1024</v>
      </c>
      <c r="D382" s="19" t="str">
        <f>IF($B382="","",IFERROR(INDEX('Staff Directory'!$C$5:$C$594,MATCH($B382,'Staff Directory'!$A$5:$A$594,0)),""))</f>
        <v>PSW</v>
      </c>
      <c r="E382" s="19" t="str">
        <f>IF($B382="","",IFERROR(INDEX('Staff Directory'!$D$5:$D$594,MATCH($B382,'Staff Directory'!$A$5:$A$594,0)),""))</f>
        <v>A5</v>
      </c>
      <c r="F382" s="9" t="s">
        <v>115</v>
      </c>
      <c r="G382" s="18" t="str">
        <f>IF($F382="","",IFERROR(INDEX(Items!$B$5:$B$597,MATCH($F382,Items!$A$5:$A$597,0)),"⚠ not in Items"))</f>
        <v>Wipes</v>
      </c>
      <c r="H382" s="19">
        <f>IF($F382="","",IFERROR(INDEX(Items!$C$5:$C$597,MATCH($F382,Items!$A$5:$A$597,0)),""))</f>
        <v>80</v>
      </c>
      <c r="I382" s="23">
        <f>IF($F382="","",IFERROR(INDEX(Items!$E$5:$E$597,MATCH($F382,Items!$A$5:$A$597,0)),""))</f>
        <v>80</v>
      </c>
      <c r="J382" s="115">
        <f>IF(tblIssues[[#This Row],[Qty Override]]&lt;&gt;"",tblIssues[[#This Row],[Qty Override]],IF(tblIssues[[#This Row],[Standard Issue]]="","",tblIssues[[#This Row],[Standard Issue]]))</f>
        <v>80</v>
      </c>
      <c r="K382" s="20">
        <f>IF($F382="","",IFERROR(INDEX(Items!$D$5:$D$597,MATCH($F382,Items!$A$5:$A$597,0)),""))</f>
        <v>0.1</v>
      </c>
      <c r="L382" s="21">
        <f t="shared" si="61"/>
        <v>8</v>
      </c>
      <c r="M382" s="9" t="str">
        <f t="shared" si="62"/>
        <v>LYSL500290</v>
      </c>
      <c r="N382" s="24">
        <f>IF($A382="","",WORKDAY($A382,Settings!$C$9,HolidayDates))</f>
        <v>46143</v>
      </c>
      <c r="O382" s="24">
        <f>IF($N382="","",WORKDAY($N382,Settings!$C$10,HolidayDates))</f>
        <v>46183</v>
      </c>
      <c r="P382" s="10" t="s">
        <v>501</v>
      </c>
      <c r="Q382" s="52" t="str">
        <f t="shared" si="64"/>
        <v>Collected</v>
      </c>
      <c r="R382" s="55" t="str">
        <f t="shared" si="65"/>
        <v>2026-04</v>
      </c>
      <c r="S382" s="55">
        <f>IF(OR($B382="",$F382="",$R382=""),"",SUMIFS(tblIssues[Qty Issued],tblIssues[Staff ID],$B382,tblIssues[Item Name],$F382,tblIssues[Month],$R382))</f>
        <v>80</v>
      </c>
      <c r="T382" s="56">
        <f>IF($I382="","",$I382*Settings!$C$11)</f>
        <v>80</v>
      </c>
      <c r="U382" s="57" t="str">
        <f t="shared" si="63"/>
        <v>OK</v>
      </c>
      <c r="V382" s="55" t="str">
        <f t="shared" si="66"/>
        <v/>
      </c>
      <c r="W382" s="55" t="str">
        <f>IF($V382="","",IF(COUNTIF($V$5:$V382,$V382)=1,1,""))</f>
        <v/>
      </c>
      <c r="X382" s="58" t="str">
        <f>IF($W382="","",MAX($X$4:X381)+1)</f>
        <v/>
      </c>
      <c r="Y382" s="62"/>
      <c r="Z382" s="62"/>
      <c r="AA382" s="64" t="str">
        <f>IF($C382="","",IFERROR(INDEX('Staff Directory'!$E$5:$E$594,MATCH($C382,'Staff Directory'!$B$5:$B$594,0)),""))</f>
        <v>firstname108.lastname108@example.com</v>
      </c>
      <c r="AB382" s="64" t="str">
        <f>IF($C382="","",IF(ISNUMBER(SEARCH($D382,Settings!$C$15)),"Pickup","Dispatch"))</f>
        <v>Pickup</v>
      </c>
      <c r="AC382" s="64" t="str">
        <f t="shared" si="67"/>
        <v>Supply order ready for pickup</v>
      </c>
      <c r="AD382" s="64" t="str">
        <f t="shared" si="58"/>
        <v>Dear PSW,
Your order is ready for pickup from Sample Branch, Wed-Fri 9am-4pm.</v>
      </c>
      <c r="AE382" s="64" t="str">
        <f t="shared" si="59"/>
        <v>mailto:firstname108.lastname108@example.com?subject=Supply%20order%20ready%20for%20pickup&amp;body=Dear%20PSW%2C%0A%0AYour%20order%20is%20ready%20for%20pickup%20from%20Sample%20Branch%2C%20Wed-Fri%209am-4pm.</v>
      </c>
      <c r="AF382" s="89" t="str">
        <f t="shared" si="68"/>
        <v>Draft email</v>
      </c>
      <c r="AG382" s="64" t="str">
        <f>IF($C382="","",IFERROR(INDEX('Staff Directory'!$K$595:$K$599,MATCH($C382,'Staff Directory'!$B$5:$B$599,0)),$D382))</f>
        <v>PSW</v>
      </c>
      <c r="AH382" t="str">
        <f>IF($C382="","",IFERROR(INDEX('Staff Directory'!$I$595:$I$599,MATCH($C382,'Staff Directory'!$B$5:$B$599,0))&amp;" "&amp;INDEX('Staff Directory'!$J$595:$J$599,MATCH($C382,'Staff Directory'!$B$5:$B$599,0)),$AG382))</f>
        <v>PSW</v>
      </c>
      <c r="AI382" s="102"/>
      <c r="AJ382" s="101">
        <f>IF($F382="","",SUMIFS($J$5:$J382,$F$5:$F382,$F382))</f>
        <v>5200</v>
      </c>
      <c r="AK382" s="101">
        <f t="shared" si="60"/>
        <v>5121</v>
      </c>
      <c r="AL382" s="66" t="str" cm="1">
        <f t="array" ref="AL382">IF($F382="","",IFERROR(INDEX('Lot Balance'!$B$5:$B$500,MATCH(1,INDEX(('Lot Balance'!$A$5:$A$500=$F382)*('Lot Balance'!$K$5:$K$500&lt;$AK382)*('Lot Balance'!$K$5:$K$500+'Lot Balance'!$D$5:$D$500&gt;=$AK382),0),0)),""))</f>
        <v>LYSL500290</v>
      </c>
      <c r="AM382" s="66" t="str" cm="1">
        <f t="array" ref="AM382">IF($F382="","",IFERROR(INDEX('Lot Balance'!$B$5:$B$500,MATCH(1,INDEX(('Lot Balance'!$A$5:$A$500=$F382)*('Lot Balance'!$K$5:$K$500&lt;$AJ382)*('Lot Balance'!$K$5:$K$500+'Lot Balance'!$D$5:$D$500&gt;=$AJ382),0),0)),""))</f>
        <v>LYSL500290</v>
      </c>
      <c r="AN382" s="66" t="str">
        <f>IF($F382="","",IF($AI382&lt;&gt;"",IF(COUNTIFS('Lot Balance'!$A$5:$A$500,$F382,'Lot Balance'!$B$5:$B$500,$AI382)=0,"⚠ override is not a lot of this item",IF($AI382=$AL382,"Override = FEFO","Override - FEFO says "&amp;$AL382)),IF($AL382="","⚠ no receipt on file for this item",IF($AM382&lt;&gt;$AL382,"FEFO auto - split, also "&amp;$AM382,"FEFO auto"))))</f>
        <v>FEFO auto</v>
      </c>
      <c r="AO382" s="114"/>
    </row>
    <row r="383" spans="1:41" x14ac:dyDescent="0.35">
      <c r="A383" s="74">
        <v>46135</v>
      </c>
      <c r="B383" s="18" t="str">
        <f>IF($C383="","",IFERROR(INDEX('Staff Directory'!$A$5:$A$594,MATCH($C383,'Staff Directory'!$B$5:$B$594,0)),"⚠ unknown staff"))</f>
        <v>PSW-048-A5</v>
      </c>
      <c r="C383" s="49" t="s">
        <v>1024</v>
      </c>
      <c r="D383" s="19" t="str">
        <f>IF($B383="","",IFERROR(INDEX('Staff Directory'!$C$5:$C$594,MATCH($B383,'Staff Directory'!$A$5:$A$594,0)),""))</f>
        <v>PSW</v>
      </c>
      <c r="E383" s="19" t="str">
        <f>IF($B383="","",IFERROR(INDEX('Staff Directory'!$D$5:$D$594,MATCH($B383,'Staff Directory'!$A$5:$A$594,0)),""))</f>
        <v>A5</v>
      </c>
      <c r="F383" s="9" t="s">
        <v>156</v>
      </c>
      <c r="G383" s="18" t="str">
        <f>IF($F383="","",IFERROR(INDEX(Items!$B$5:$B$597,MATCH($F383,Items!$A$5:$A$597,0)),"⚠ not in Items"))</f>
        <v>Masks</v>
      </c>
      <c r="H383" s="19" t="str">
        <f>IF($F383="","",IFERROR(INDEX(Items!$C$5:$C$597,MATCH($F383,Items!$A$5:$A$597,0)),""))</f>
        <v>One Size</v>
      </c>
      <c r="I383" s="23">
        <f>IF($F383="","",IFERROR(INDEX(Items!$E$5:$E$597,MATCH($F383,Items!$A$5:$A$597,0)),""))</f>
        <v>50</v>
      </c>
      <c r="J383" s="115">
        <f>IF(tblIssues[[#This Row],[Qty Override]]&lt;&gt;"",tblIssues[[#This Row],[Qty Override]],IF(tblIssues[[#This Row],[Standard Issue]]="","",tblIssues[[#This Row],[Standard Issue]]))</f>
        <v>50</v>
      </c>
      <c r="K383" s="20">
        <f>IF($F383="","",IFERROR(INDEX(Items!$D$5:$D$597,MATCH($F383,Items!$A$5:$A$597,0)),""))</f>
        <v>0.25</v>
      </c>
      <c r="L383" s="21">
        <f t="shared" si="61"/>
        <v>12.5</v>
      </c>
      <c r="M383" s="9" t="str">
        <f t="shared" si="62"/>
        <v>0125FPC24-0</v>
      </c>
      <c r="N383" s="24">
        <f>IF($A383="","",WORKDAY($A383,Settings!$C$9,HolidayDates))</f>
        <v>46143</v>
      </c>
      <c r="O383" s="24">
        <f>IF($N383="","",WORKDAY($N383,Settings!$C$10,HolidayDates))</f>
        <v>46183</v>
      </c>
      <c r="P383" s="10" t="s">
        <v>501</v>
      </c>
      <c r="Q383" s="52" t="str">
        <f t="shared" si="64"/>
        <v>Collected</v>
      </c>
      <c r="R383" s="55" t="str">
        <f t="shared" si="65"/>
        <v>2026-04</v>
      </c>
      <c r="S383" s="55">
        <f>IF(OR($B383="",$F383="",$R383=""),"",SUMIFS(tblIssues[Qty Issued],tblIssues[Staff ID],$B383,tblIssues[Item Name],$F383,tblIssues[Month],$R383))</f>
        <v>50</v>
      </c>
      <c r="T383" s="56">
        <f>IF($I383="","",$I383*Settings!$C$11)</f>
        <v>50</v>
      </c>
      <c r="U383" s="57" t="str">
        <f t="shared" si="63"/>
        <v>OK</v>
      </c>
      <c r="V383" s="55" t="str">
        <f t="shared" si="66"/>
        <v/>
      </c>
      <c r="W383" s="55" t="str">
        <f>IF($V383="","",IF(COUNTIF($V$5:$V383,$V383)=1,1,""))</f>
        <v/>
      </c>
      <c r="X383" s="58" t="str">
        <f>IF($W383="","",MAX($X$4:X382)+1)</f>
        <v/>
      </c>
      <c r="Y383" s="62"/>
      <c r="Z383" s="62"/>
      <c r="AA383" s="64" t="str">
        <f>IF($C383="","",IFERROR(INDEX('Staff Directory'!$E$5:$E$594,MATCH($C383,'Staff Directory'!$B$5:$B$594,0)),""))</f>
        <v>firstname108.lastname108@example.com</v>
      </c>
      <c r="AB383" s="64" t="str">
        <f>IF($C383="","",IF(ISNUMBER(SEARCH($D383,Settings!$C$15)),"Pickup","Dispatch"))</f>
        <v>Pickup</v>
      </c>
      <c r="AC383" s="64" t="str">
        <f t="shared" si="67"/>
        <v>Supply order ready for pickup</v>
      </c>
      <c r="AD383" s="64" t="str">
        <f t="shared" si="58"/>
        <v>Dear PSW,
Your order is ready for pickup from Sample Branch, Wed-Fri 9am-4pm.</v>
      </c>
      <c r="AE383" s="64" t="str">
        <f t="shared" si="59"/>
        <v>mailto:firstname108.lastname108@example.com?subject=Supply%20order%20ready%20for%20pickup&amp;body=Dear%20PSW%2C%0A%0AYour%20order%20is%20ready%20for%20pickup%20from%20Sample%20Branch%2C%20Wed-Fri%209am-4pm.</v>
      </c>
      <c r="AF383" s="89" t="str">
        <f t="shared" si="68"/>
        <v>Draft email</v>
      </c>
      <c r="AG383" s="64" t="str">
        <f>IF($C383="","",IFERROR(INDEX('Staff Directory'!$K$595:$K$599,MATCH($C383,'Staff Directory'!$B$5:$B$599,0)),$D383))</f>
        <v>PSW</v>
      </c>
      <c r="AH383" t="str">
        <f>IF($C383="","",IFERROR(INDEX('Staff Directory'!$I$595:$I$599,MATCH($C383,'Staff Directory'!$B$5:$B$599,0))&amp;" "&amp;INDEX('Staff Directory'!$J$595:$J$599,MATCH($C383,'Staff Directory'!$B$5:$B$599,0)),$AG383))</f>
        <v>PSW</v>
      </c>
      <c r="AI383" s="102"/>
      <c r="AJ383" s="101">
        <f>IF($F383="","",SUMIFS($J$5:$J383,$F$5:$F383,$F383))</f>
        <v>3000</v>
      </c>
      <c r="AK383" s="101">
        <f t="shared" si="60"/>
        <v>2951</v>
      </c>
      <c r="AL383" s="66" t="str" cm="1">
        <f t="array" ref="AL383">IF($F383="","",IFERROR(INDEX('Lot Balance'!$B$5:$B$500,MATCH(1,INDEX(('Lot Balance'!$A$5:$A$500=$F383)*('Lot Balance'!$K$5:$K$500&lt;$AK383)*('Lot Balance'!$K$5:$K$500+'Lot Balance'!$D$5:$D$500&gt;=$AK383),0),0)),""))</f>
        <v>0125FPC24-0</v>
      </c>
      <c r="AM383" s="66" t="str" cm="1">
        <f t="array" ref="AM383">IF($F383="","",IFERROR(INDEX('Lot Balance'!$B$5:$B$500,MATCH(1,INDEX(('Lot Balance'!$A$5:$A$500=$F383)*('Lot Balance'!$K$5:$K$500&lt;$AJ383)*('Lot Balance'!$K$5:$K$500+'Lot Balance'!$D$5:$D$500&gt;=$AJ383),0),0)),""))</f>
        <v>0125FPC24-0</v>
      </c>
      <c r="AN383" s="66" t="str">
        <f>IF($F383="","",IF($AI383&lt;&gt;"",IF(COUNTIFS('Lot Balance'!$A$5:$A$500,$F383,'Lot Balance'!$B$5:$B$500,$AI383)=0,"⚠ override is not a lot of this item",IF($AI383=$AL383,"Override = FEFO","Override - FEFO says "&amp;$AL383)),IF($AL383="","⚠ no receipt on file for this item",IF($AM383&lt;&gt;$AL383,"FEFO auto - split, also "&amp;$AM383,"FEFO auto"))))</f>
        <v>FEFO auto</v>
      </c>
      <c r="AO383" s="114"/>
    </row>
    <row r="384" spans="1:41" x14ac:dyDescent="0.35">
      <c r="A384" s="74">
        <v>46135</v>
      </c>
      <c r="B384" s="18" t="str">
        <f>IF($C384="","",IFERROR(INDEX('Staff Directory'!$A$5:$A$594,MATCH($C384,'Staff Directory'!$B$5:$B$594,0)),"⚠ unknown staff"))</f>
        <v>PSW-048-A5</v>
      </c>
      <c r="C384" s="49" t="s">
        <v>1024</v>
      </c>
      <c r="D384" s="19" t="str">
        <f>IF($B384="","",IFERROR(INDEX('Staff Directory'!$C$5:$C$594,MATCH($B384,'Staff Directory'!$A$5:$A$594,0)),""))</f>
        <v>PSW</v>
      </c>
      <c r="E384" s="19" t="str">
        <f>IF($B384="","",IFERROR(INDEX('Staff Directory'!$D$5:$D$594,MATCH($B384,'Staff Directory'!$A$5:$A$594,0)),""))</f>
        <v>A5</v>
      </c>
      <c r="F384" s="9" t="s">
        <v>755</v>
      </c>
      <c r="G384" s="18" t="str">
        <f>IF($F384="","",IFERROR(INDEX(Items!$B$5:$B$597,MATCH($F384,Items!$A$5:$A$597,0)),"⚠ not in Items"))</f>
        <v>Documents</v>
      </c>
      <c r="H384" s="19" t="str">
        <f>IF($F384="","",IFERROR(INDEX(Items!$C$5:$C$597,MATCH($F384,Items!$A$5:$A$597,0)),""))</f>
        <v>Standard</v>
      </c>
      <c r="I384" s="23">
        <f>IF($F384="","",IFERROR(INDEX(Items!$E$5:$E$597,MATCH($F384,Items!$A$5:$A$597,0)),""))</f>
        <v>2</v>
      </c>
      <c r="J384" s="115">
        <f>IF(tblIssues[[#This Row],[Qty Override]]&lt;&gt;"",tblIssues[[#This Row],[Qty Override]],IF(tblIssues[[#This Row],[Standard Issue]]="","",tblIssues[[#This Row],[Standard Issue]]))</f>
        <v>2</v>
      </c>
      <c r="K384" s="20">
        <f>IF($F384="","",IFERROR(INDEX(Items!$D$5:$D$597,MATCH($F384,Items!$A$5:$A$597,0)),""))</f>
        <v>0</v>
      </c>
      <c r="L384" s="21">
        <f t="shared" si="61"/>
        <v>0</v>
      </c>
      <c r="M384" s="9" t="str">
        <f t="shared" si="62"/>
        <v/>
      </c>
      <c r="N384" s="24">
        <f>IF($A384="","",WORKDAY($A384,Settings!$C$9,HolidayDates))</f>
        <v>46143</v>
      </c>
      <c r="O384" s="24">
        <f>IF($N384="","",WORKDAY($N384,Settings!$C$10,HolidayDates))</f>
        <v>46183</v>
      </c>
      <c r="P384" s="10" t="s">
        <v>501</v>
      </c>
      <c r="Q384" s="52" t="str">
        <f t="shared" si="64"/>
        <v>Collected</v>
      </c>
      <c r="R384" s="55" t="str">
        <f t="shared" si="65"/>
        <v>2026-04</v>
      </c>
      <c r="S384" s="55">
        <f>IF(OR($B384="",$F384="",$R384=""),"",SUMIFS(tblIssues[Qty Issued],tblIssues[Staff ID],$B384,tblIssues[Item Name],$F384,tblIssues[Month],$R384))</f>
        <v>2</v>
      </c>
      <c r="T384" s="56">
        <f>IF($I384="","",$I384*Settings!$C$11)</f>
        <v>2</v>
      </c>
      <c r="U384" s="57" t="str">
        <f t="shared" si="63"/>
        <v>OK</v>
      </c>
      <c r="V384" s="55" t="str">
        <f t="shared" si="66"/>
        <v/>
      </c>
      <c r="W384" s="55" t="str">
        <f>IF($V384="","",IF(COUNTIF($V$5:$V384,$V384)=1,1,""))</f>
        <v/>
      </c>
      <c r="X384" s="58" t="str">
        <f>IF($W384="","",MAX($X$4:X383)+1)</f>
        <v/>
      </c>
      <c r="Y384" s="62"/>
      <c r="Z384" s="62"/>
      <c r="AA384" s="64" t="str">
        <f>IF($C384="","",IFERROR(INDEX('Staff Directory'!$E$5:$E$594,MATCH($C384,'Staff Directory'!$B$5:$B$594,0)),""))</f>
        <v>firstname108.lastname108@example.com</v>
      </c>
      <c r="AB384" s="64" t="str">
        <f>IF($C384="","",IF(ISNUMBER(SEARCH($D384,Settings!$C$15)),"Pickup","Dispatch"))</f>
        <v>Pickup</v>
      </c>
      <c r="AC384" s="64" t="str">
        <f t="shared" si="67"/>
        <v>Supply order ready for pickup</v>
      </c>
      <c r="AD384" s="64" t="str">
        <f t="shared" si="58"/>
        <v>Dear PSW,
Your order is ready for pickup from Sample Branch, Wed-Fri 9am-4pm.</v>
      </c>
      <c r="AE384" s="64" t="str">
        <f t="shared" si="59"/>
        <v>mailto:firstname108.lastname108@example.com?subject=Supply%20order%20ready%20for%20pickup&amp;body=Dear%20PSW%2C%0A%0AYour%20order%20is%20ready%20for%20pickup%20from%20Sample%20Branch%2C%20Wed-Fri%209am-4pm.</v>
      </c>
      <c r="AF384" s="89" t="str">
        <f t="shared" si="68"/>
        <v>Draft email</v>
      </c>
      <c r="AG384" s="64" t="str">
        <f>IF($C384="","",IFERROR(INDEX('Staff Directory'!$K$595:$K$599,MATCH($C384,'Staff Directory'!$B$5:$B$599,0)),$D384))</f>
        <v>PSW</v>
      </c>
      <c r="AH384" t="str">
        <f>IF($C384="","",IFERROR(INDEX('Staff Directory'!$I$595:$I$599,MATCH($C384,'Staff Directory'!$B$5:$B$599,0))&amp;" "&amp;INDEX('Staff Directory'!$J$595:$J$599,MATCH($C384,'Staff Directory'!$B$5:$B$599,0)),$AG384))</f>
        <v>PSW</v>
      </c>
      <c r="AI384" s="102"/>
      <c r="AJ384" s="101">
        <f>IF($F384="","",SUMIFS($J$5:$J384,$F$5:$F384,$F384))</f>
        <v>108</v>
      </c>
      <c r="AK384" s="101">
        <f t="shared" si="60"/>
        <v>107</v>
      </c>
      <c r="AL384" s="66" t="str" cm="1">
        <f t="array" ref="AL384">IF($F384="","",IFERROR(INDEX('Lot Balance'!$B$5:$B$500,MATCH(1,INDEX(('Lot Balance'!$A$5:$A$500=$F384)*('Lot Balance'!$K$5:$K$500&lt;$AK384)*('Lot Balance'!$K$5:$K$500+'Lot Balance'!$D$5:$D$500&gt;=$AK384),0),0)),""))</f>
        <v/>
      </c>
      <c r="AM384" s="66" t="str" cm="1">
        <f t="array" ref="AM384">IF($F384="","",IFERROR(INDEX('Lot Balance'!$B$5:$B$500,MATCH(1,INDEX(('Lot Balance'!$A$5:$A$500=$F384)*('Lot Balance'!$K$5:$K$500&lt;$AJ384)*('Lot Balance'!$K$5:$K$500+'Lot Balance'!$D$5:$D$500&gt;=$AJ384),0),0)),""))</f>
        <v/>
      </c>
      <c r="AN384" s="66" t="str">
        <f>IF($F384="","",IF($AI384&lt;&gt;"",IF(COUNTIFS('Lot Balance'!$A$5:$A$500,$F384,'Lot Balance'!$B$5:$B$500,$AI384)=0,"⚠ override is not a lot of this item",IF($AI384=$AL384,"Override = FEFO","Override - FEFO says "&amp;$AL384)),IF($AL384="","⚠ no receipt on file for this item",IF($AM384&lt;&gt;$AL384,"FEFO auto - split, also "&amp;$AM384,"FEFO auto"))))</f>
        <v>⚠ no receipt on file for this item</v>
      </c>
      <c r="AO384" s="114"/>
    </row>
    <row r="385" spans="1:41" x14ac:dyDescent="0.35">
      <c r="A385" s="74">
        <v>46135</v>
      </c>
      <c r="B385" s="18" t="str">
        <f>IF($C385="","",IFERROR(INDEX('Staff Directory'!$A$5:$A$594,MATCH($C385,'Staff Directory'!$B$5:$B$594,0)),"⚠ unknown staff"))</f>
        <v>PSW-125-A4</v>
      </c>
      <c r="C385" s="49" t="s">
        <v>1104</v>
      </c>
      <c r="D385" s="19" t="str">
        <f>IF($B385="","",IFERROR(INDEX('Staff Directory'!$C$5:$C$594,MATCH($B385,'Staff Directory'!$A$5:$A$594,0)),""))</f>
        <v>PSW</v>
      </c>
      <c r="E385" s="19" t="str">
        <f>IF($B385="","",IFERROR(INDEX('Staff Directory'!$D$5:$D$594,MATCH($B385,'Staff Directory'!$A$5:$A$594,0)),""))</f>
        <v>A4</v>
      </c>
      <c r="F385" s="9" t="s">
        <v>127</v>
      </c>
      <c r="G385" s="18" t="str">
        <f>IF($F385="","",IFERROR(INDEX(Items!$B$5:$B$597,MATCH($F385,Items!$A$5:$A$597,0)),"⚠ not in Items"))</f>
        <v>Gloves</v>
      </c>
      <c r="H385" s="19" t="str">
        <f>IF($F385="","",IFERROR(INDEX(Items!$C$5:$C$597,MATCH($F385,Items!$A$5:$A$597,0)),""))</f>
        <v>Medium</v>
      </c>
      <c r="I385" s="23">
        <f>IF($F385="","",IFERROR(INDEX(Items!$E$5:$E$597,MATCH($F385,Items!$A$5:$A$597,0)),""))</f>
        <v>500</v>
      </c>
      <c r="J385" s="115">
        <f>IF(tblIssues[[#This Row],[Qty Override]]&lt;&gt;"",tblIssues[[#This Row],[Qty Override]],IF(tblIssues[[#This Row],[Standard Issue]]="","",tblIssues[[#This Row],[Standard Issue]]))</f>
        <v>500</v>
      </c>
      <c r="K385" s="20">
        <f>IF($F385="","",IFERROR(INDEX(Items!$D$5:$D$597,MATCH($F385,Items!$A$5:$A$597,0)),""))</f>
        <v>5.5E-2</v>
      </c>
      <c r="L385" s="21">
        <f t="shared" si="61"/>
        <v>27.5</v>
      </c>
      <c r="M385" s="9" t="str">
        <f t="shared" si="62"/>
        <v>0312HIC25</v>
      </c>
      <c r="N385" s="24">
        <f>IF($A385="","",WORKDAY($A385,Settings!$C$9,HolidayDates))</f>
        <v>46143</v>
      </c>
      <c r="O385" s="24">
        <f>IF($N385="","",WORKDAY($N385,Settings!$C$10,HolidayDates))</f>
        <v>46183</v>
      </c>
      <c r="P385" s="10" t="s">
        <v>501</v>
      </c>
      <c r="Q385" s="52" t="str">
        <f t="shared" si="64"/>
        <v>Collected</v>
      </c>
      <c r="R385" s="55" t="str">
        <f t="shared" si="65"/>
        <v>2026-04</v>
      </c>
      <c r="S385" s="55">
        <f>IF(OR($B385="",$F385="",$R385=""),"",SUMIFS(tblIssues[Qty Issued],tblIssues[Staff ID],$B385,tblIssues[Item Name],$F385,tblIssues[Month],$R385))</f>
        <v>500</v>
      </c>
      <c r="T385" s="56">
        <f>IF($I385="","",$I385*Settings!$C$11)</f>
        <v>500</v>
      </c>
      <c r="U385" s="57" t="str">
        <f t="shared" si="63"/>
        <v>OK</v>
      </c>
      <c r="V385" s="55" t="str">
        <f t="shared" si="66"/>
        <v/>
      </c>
      <c r="W385" s="55" t="str">
        <f>IF($V385="","",IF(COUNTIF($V$5:$V385,$V385)=1,1,""))</f>
        <v/>
      </c>
      <c r="X385" s="58" t="str">
        <f>IF($W385="","",MAX($X$4:X384)+1)</f>
        <v/>
      </c>
      <c r="Y385" s="62"/>
      <c r="Z385" s="62"/>
      <c r="AA385" s="64" t="str">
        <f>IF($C385="","",IFERROR(INDEX('Staff Directory'!$E$5:$E$594,MATCH($C385,'Staff Directory'!$B$5:$B$594,0)),""))</f>
        <v>firstname188.lastname188@example.com</v>
      </c>
      <c r="AB385" s="64" t="str">
        <f>IF($C385="","",IF(ISNUMBER(SEARCH($D385,Settings!$C$15)),"Pickup","Dispatch"))</f>
        <v>Pickup</v>
      </c>
      <c r="AC385" s="64" t="str">
        <f t="shared" si="67"/>
        <v>Supply order ready for pickup</v>
      </c>
      <c r="AD385" s="64" t="str">
        <f t="shared" si="58"/>
        <v>Dear PSW,
Your order is ready for pickup from Sample Branch, Wed-Fri 9am-4pm.</v>
      </c>
      <c r="AE385" s="64" t="str">
        <f t="shared" si="59"/>
        <v>mailto:firstname188.lastname188@example.com?subject=Supply%20order%20ready%20for%20pickup&amp;body=Dear%20PSW%2C%0A%0AYour%20order%20is%20ready%20for%20pickup%20from%20Sample%20Branch%2C%20Wed-Fri%209am-4pm.</v>
      </c>
      <c r="AF385" s="89" t="str">
        <f t="shared" si="68"/>
        <v>Draft email</v>
      </c>
      <c r="AG385" s="64" t="str">
        <f>IF($C385="","",IFERROR(INDEX('Staff Directory'!$K$595:$K$599,MATCH($C385,'Staff Directory'!$B$5:$B$599,0)),$D385))</f>
        <v>PSW</v>
      </c>
      <c r="AH385" t="str">
        <f>IF($C385="","",IFERROR(INDEX('Staff Directory'!$I$595:$I$599,MATCH($C385,'Staff Directory'!$B$5:$B$599,0))&amp;" "&amp;INDEX('Staff Directory'!$J$595:$J$599,MATCH($C385,'Staff Directory'!$B$5:$B$599,0)),$AG385))</f>
        <v>PSW</v>
      </c>
      <c r="AI385" s="102"/>
      <c r="AJ385" s="101">
        <f>IF($F385="","",SUMIFS($J$5:$J385,$F$5:$F385,$F385))</f>
        <v>22500</v>
      </c>
      <c r="AK385" s="101">
        <f t="shared" si="60"/>
        <v>22001</v>
      </c>
      <c r="AL385" s="66" t="str" cm="1">
        <f t="array" ref="AL385">IF($F385="","",IFERROR(INDEX('Lot Balance'!$B$5:$B$500,MATCH(1,INDEX(('Lot Balance'!$A$5:$A$500=$F385)*('Lot Balance'!$K$5:$K$500&lt;$AK385)*('Lot Balance'!$K$5:$K$500+'Lot Balance'!$D$5:$D$500&gt;=$AK385),0),0)),""))</f>
        <v>0312HIC25</v>
      </c>
      <c r="AM385" s="66" t="str" cm="1">
        <f t="array" ref="AM385">IF($F385="","",IFERROR(INDEX('Lot Balance'!$B$5:$B$500,MATCH(1,INDEX(('Lot Balance'!$A$5:$A$500=$F385)*('Lot Balance'!$K$5:$K$500&lt;$AJ385)*('Lot Balance'!$K$5:$K$500+'Lot Balance'!$D$5:$D$500&gt;=$AJ385),0),0)),""))</f>
        <v>0312HIC25</v>
      </c>
      <c r="AN385" s="66" t="str">
        <f>IF($F385="","",IF($AI385&lt;&gt;"",IF(COUNTIFS('Lot Balance'!$A$5:$A$500,$F385,'Lot Balance'!$B$5:$B$500,$AI385)=0,"⚠ override is not a lot of this item",IF($AI385=$AL385,"Override = FEFO","Override - FEFO says "&amp;$AL385)),IF($AL385="","⚠ no receipt on file for this item",IF($AM385&lt;&gt;$AL385,"FEFO auto - split, also "&amp;$AM385,"FEFO auto"))))</f>
        <v>FEFO auto</v>
      </c>
      <c r="AO385" s="114"/>
    </row>
    <row r="386" spans="1:41" x14ac:dyDescent="0.35">
      <c r="A386" s="74">
        <v>46135</v>
      </c>
      <c r="B386" s="18" t="str">
        <f>IF($C386="","",IFERROR(INDEX('Staff Directory'!$A$5:$A$594,MATCH($C386,'Staff Directory'!$B$5:$B$594,0)),"⚠ unknown staff"))</f>
        <v>PSW-125-A4</v>
      </c>
      <c r="C386" s="49" t="s">
        <v>1104</v>
      </c>
      <c r="D386" s="19" t="str">
        <f>IF($B386="","",IFERROR(INDEX('Staff Directory'!$C$5:$C$594,MATCH($B386,'Staff Directory'!$A$5:$A$594,0)),""))</f>
        <v>PSW</v>
      </c>
      <c r="E386" s="19" t="str">
        <f>IF($B386="","",IFERROR(INDEX('Staff Directory'!$D$5:$D$594,MATCH($B386,'Staff Directory'!$A$5:$A$594,0)),""))</f>
        <v>A4</v>
      </c>
      <c r="F386" s="9" t="s">
        <v>191</v>
      </c>
      <c r="G386" s="18" t="str">
        <f>IF($F386="","",IFERROR(INDEX(Items!$B$5:$B$597,MATCH($F386,Items!$A$5:$A$597,0)),"⚠ not in Items"))</f>
        <v>Sanitizer</v>
      </c>
      <c r="H386" s="19" t="str">
        <f>IF($F386="","",IFERROR(INDEX(Items!$C$5:$C$597,MATCH($F386,Items!$A$5:$A$597,0)),""))</f>
        <v>236 ML</v>
      </c>
      <c r="I386" s="23">
        <f>IF($F386="","",IFERROR(INDEX(Items!$E$5:$E$597,MATCH($F386,Items!$A$5:$A$597,0)),""))</f>
        <v>1</v>
      </c>
      <c r="J386" s="115">
        <f>IF(tblIssues[[#This Row],[Qty Override]]&lt;&gt;"",tblIssues[[#This Row],[Qty Override]],IF(tblIssues[[#This Row],[Standard Issue]]="","",tblIssues[[#This Row],[Standard Issue]]))</f>
        <v>1</v>
      </c>
      <c r="K386" s="20">
        <f>IF($F386="","",IFERROR(INDEX(Items!$D$5:$D$597,MATCH($F386,Items!$A$5:$A$597,0)),""))</f>
        <v>1E-4</v>
      </c>
      <c r="L386" s="21">
        <f t="shared" si="61"/>
        <v>1E-4</v>
      </c>
      <c r="M386" s="9" t="str">
        <f t="shared" si="62"/>
        <v>20-21734-1</v>
      </c>
      <c r="N386" s="24">
        <f>IF($A386="","",WORKDAY($A386,Settings!$C$9,HolidayDates))</f>
        <v>46143</v>
      </c>
      <c r="O386" s="24">
        <f>IF($N386="","",WORKDAY($N386,Settings!$C$10,HolidayDates))</f>
        <v>46183</v>
      </c>
      <c r="P386" s="10" t="s">
        <v>501</v>
      </c>
      <c r="Q386" s="52" t="str">
        <f t="shared" si="64"/>
        <v>Collected</v>
      </c>
      <c r="R386" s="55" t="str">
        <f t="shared" si="65"/>
        <v>2026-04</v>
      </c>
      <c r="S386" s="55">
        <f>IF(OR($B386="",$F386="",$R386=""),"",SUMIFS(tblIssues[Qty Issued],tblIssues[Staff ID],$B386,tblIssues[Item Name],$F386,tblIssues[Month],$R386))</f>
        <v>1</v>
      </c>
      <c r="T386" s="56">
        <f>IF($I386="","",$I386*Settings!$C$11)</f>
        <v>1</v>
      </c>
      <c r="U386" s="57" t="str">
        <f t="shared" si="63"/>
        <v>OK</v>
      </c>
      <c r="V386" s="55" t="str">
        <f t="shared" si="66"/>
        <v/>
      </c>
      <c r="W386" s="55" t="str">
        <f>IF($V386="","",IF(COUNTIF($V$5:$V386,$V386)=1,1,""))</f>
        <v/>
      </c>
      <c r="X386" s="58" t="str">
        <f>IF($W386="","",MAX($X$4:X385)+1)</f>
        <v/>
      </c>
      <c r="Y386" s="62"/>
      <c r="Z386" s="62"/>
      <c r="AA386" s="64" t="str">
        <f>IF($C386="","",IFERROR(INDEX('Staff Directory'!$E$5:$E$594,MATCH($C386,'Staff Directory'!$B$5:$B$594,0)),""))</f>
        <v>firstname188.lastname188@example.com</v>
      </c>
      <c r="AB386" s="64" t="str">
        <f>IF($C386="","",IF(ISNUMBER(SEARCH($D386,Settings!$C$15)),"Pickup","Dispatch"))</f>
        <v>Pickup</v>
      </c>
      <c r="AC386" s="64" t="str">
        <f t="shared" si="67"/>
        <v>Supply order ready for pickup</v>
      </c>
      <c r="AD386" s="64" t="str">
        <f t="shared" si="58"/>
        <v>Dear PSW,
Your order is ready for pickup from Sample Branch, Wed-Fri 9am-4pm.</v>
      </c>
      <c r="AE386" s="64" t="str">
        <f t="shared" si="59"/>
        <v>mailto:firstname188.lastname188@example.com?subject=Supply%20order%20ready%20for%20pickup&amp;body=Dear%20PSW%2C%0A%0AYour%20order%20is%20ready%20for%20pickup%20from%20Sample%20Branch%2C%20Wed-Fri%209am-4pm.</v>
      </c>
      <c r="AF386" s="89" t="str">
        <f t="shared" si="68"/>
        <v>Draft email</v>
      </c>
      <c r="AG386" s="64" t="str">
        <f>IF($C386="","",IFERROR(INDEX('Staff Directory'!$K$595:$K$599,MATCH($C386,'Staff Directory'!$B$5:$B$599,0)),$D386))</f>
        <v>PSW</v>
      </c>
      <c r="AH386" t="str">
        <f>IF($C386="","",IFERROR(INDEX('Staff Directory'!$I$595:$I$599,MATCH($C386,'Staff Directory'!$B$5:$B$599,0))&amp;" "&amp;INDEX('Staff Directory'!$J$595:$J$599,MATCH($C386,'Staff Directory'!$B$5:$B$599,0)),$AG386))</f>
        <v>PSW</v>
      </c>
      <c r="AI386" s="102"/>
      <c r="AJ386" s="101">
        <f>IF($F386="","",SUMIFS($J$5:$J386,$F$5:$F386,$F386))</f>
        <v>29</v>
      </c>
      <c r="AK386" s="101">
        <f t="shared" si="60"/>
        <v>29</v>
      </c>
      <c r="AL386" s="66" t="str" cm="1">
        <f t="array" ref="AL386">IF($F386="","",IFERROR(INDEX('Lot Balance'!$B$5:$B$500,MATCH(1,INDEX(('Lot Balance'!$A$5:$A$500=$F386)*('Lot Balance'!$K$5:$K$500&lt;$AK386)*('Lot Balance'!$K$5:$K$500+'Lot Balance'!$D$5:$D$500&gt;=$AK386),0),0)),""))</f>
        <v>20-21734-1</v>
      </c>
      <c r="AM386" s="66" t="str" cm="1">
        <f t="array" ref="AM386">IF($F386="","",IFERROR(INDEX('Lot Balance'!$B$5:$B$500,MATCH(1,INDEX(('Lot Balance'!$A$5:$A$500=$F386)*('Lot Balance'!$K$5:$K$500&lt;$AJ386)*('Lot Balance'!$K$5:$K$500+'Lot Balance'!$D$5:$D$500&gt;=$AJ386),0),0)),""))</f>
        <v>20-21734-1</v>
      </c>
      <c r="AN386" s="66" t="str">
        <f>IF($F386="","",IF($AI386&lt;&gt;"",IF(COUNTIFS('Lot Balance'!$A$5:$A$500,$F386,'Lot Balance'!$B$5:$B$500,$AI386)=0,"⚠ override is not a lot of this item",IF($AI386=$AL386,"Override = FEFO","Override - FEFO says "&amp;$AL386)),IF($AL386="","⚠ no receipt on file for this item",IF($AM386&lt;&gt;$AL386,"FEFO auto - split, also "&amp;$AM386,"FEFO auto"))))</f>
        <v>FEFO auto</v>
      </c>
      <c r="AO386" s="114"/>
    </row>
    <row r="387" spans="1:41" x14ac:dyDescent="0.35">
      <c r="A387" s="74">
        <v>46135</v>
      </c>
      <c r="B387" s="18" t="str">
        <f>IF($C387="","",IFERROR(INDEX('Staff Directory'!$A$5:$A$594,MATCH($C387,'Staff Directory'!$B$5:$B$594,0)),"⚠ unknown staff"))</f>
        <v>PSW-125-A4</v>
      </c>
      <c r="C387" s="49" t="s">
        <v>1104</v>
      </c>
      <c r="D387" s="19" t="str">
        <f>IF($B387="","",IFERROR(INDEX('Staff Directory'!$C$5:$C$594,MATCH($B387,'Staff Directory'!$A$5:$A$594,0)),""))</f>
        <v>PSW</v>
      </c>
      <c r="E387" s="19" t="str">
        <f>IF($B387="","",IFERROR(INDEX('Staff Directory'!$D$5:$D$594,MATCH($B387,'Staff Directory'!$A$5:$A$594,0)),""))</f>
        <v>A4</v>
      </c>
      <c r="F387" s="9" t="s">
        <v>115</v>
      </c>
      <c r="G387" s="18" t="str">
        <f>IF($F387="","",IFERROR(INDEX(Items!$B$5:$B$597,MATCH($F387,Items!$A$5:$A$597,0)),"⚠ not in Items"))</f>
        <v>Wipes</v>
      </c>
      <c r="H387" s="19">
        <f>IF($F387="","",IFERROR(INDEX(Items!$C$5:$C$597,MATCH($F387,Items!$A$5:$A$597,0)),""))</f>
        <v>80</v>
      </c>
      <c r="I387" s="23">
        <f>IF($F387="","",IFERROR(INDEX(Items!$E$5:$E$597,MATCH($F387,Items!$A$5:$A$597,0)),""))</f>
        <v>80</v>
      </c>
      <c r="J387" s="115">
        <f>IF(tblIssues[[#This Row],[Qty Override]]&lt;&gt;"",tblIssues[[#This Row],[Qty Override]],IF(tblIssues[[#This Row],[Standard Issue]]="","",tblIssues[[#This Row],[Standard Issue]]))</f>
        <v>80</v>
      </c>
      <c r="K387" s="20">
        <f>IF($F387="","",IFERROR(INDEX(Items!$D$5:$D$597,MATCH($F387,Items!$A$5:$A$597,0)),""))</f>
        <v>0.1</v>
      </c>
      <c r="L387" s="21">
        <f t="shared" si="61"/>
        <v>8</v>
      </c>
      <c r="M387" s="9" t="str">
        <f t="shared" si="62"/>
        <v>LYSL500290</v>
      </c>
      <c r="N387" s="24">
        <f>IF($A387="","",WORKDAY($A387,Settings!$C$9,HolidayDates))</f>
        <v>46143</v>
      </c>
      <c r="O387" s="24">
        <f>IF($N387="","",WORKDAY($N387,Settings!$C$10,HolidayDates))</f>
        <v>46183</v>
      </c>
      <c r="P387" s="10" t="s">
        <v>501</v>
      </c>
      <c r="Q387" s="52" t="str">
        <f t="shared" si="64"/>
        <v>Collected</v>
      </c>
      <c r="R387" s="55" t="str">
        <f t="shared" si="65"/>
        <v>2026-04</v>
      </c>
      <c r="S387" s="55">
        <f>IF(OR($B387="",$F387="",$R387=""),"",SUMIFS(tblIssues[Qty Issued],tblIssues[Staff ID],$B387,tblIssues[Item Name],$F387,tblIssues[Month],$R387))</f>
        <v>80</v>
      </c>
      <c r="T387" s="56">
        <f>IF($I387="","",$I387*Settings!$C$11)</f>
        <v>80</v>
      </c>
      <c r="U387" s="57" t="str">
        <f t="shared" si="63"/>
        <v>OK</v>
      </c>
      <c r="V387" s="55" t="str">
        <f t="shared" si="66"/>
        <v/>
      </c>
      <c r="W387" s="55" t="str">
        <f>IF($V387="","",IF(COUNTIF($V$5:$V387,$V387)=1,1,""))</f>
        <v/>
      </c>
      <c r="X387" s="58" t="str">
        <f>IF($W387="","",MAX($X$4:X386)+1)</f>
        <v/>
      </c>
      <c r="Y387" s="62"/>
      <c r="Z387" s="62"/>
      <c r="AA387" s="64" t="str">
        <f>IF($C387="","",IFERROR(INDEX('Staff Directory'!$E$5:$E$594,MATCH($C387,'Staff Directory'!$B$5:$B$594,0)),""))</f>
        <v>firstname188.lastname188@example.com</v>
      </c>
      <c r="AB387" s="64" t="str">
        <f>IF($C387="","",IF(ISNUMBER(SEARCH($D387,Settings!$C$15)),"Pickup","Dispatch"))</f>
        <v>Pickup</v>
      </c>
      <c r="AC387" s="64" t="str">
        <f t="shared" si="67"/>
        <v>Supply order ready for pickup</v>
      </c>
      <c r="AD387" s="64" t="str">
        <f t="shared" si="58"/>
        <v>Dear PSW,
Your order is ready for pickup from Sample Branch, Wed-Fri 9am-4pm.</v>
      </c>
      <c r="AE387" s="64" t="str">
        <f t="shared" si="59"/>
        <v>mailto:firstname188.lastname188@example.com?subject=Supply%20order%20ready%20for%20pickup&amp;body=Dear%20PSW%2C%0A%0AYour%20order%20is%20ready%20for%20pickup%20from%20Sample%20Branch%2C%20Wed-Fri%209am-4pm.</v>
      </c>
      <c r="AF387" s="89" t="str">
        <f t="shared" si="68"/>
        <v>Draft email</v>
      </c>
      <c r="AG387" s="64" t="str">
        <f>IF($C387="","",IFERROR(INDEX('Staff Directory'!$K$595:$K$599,MATCH($C387,'Staff Directory'!$B$5:$B$599,0)),$D387))</f>
        <v>PSW</v>
      </c>
      <c r="AH387" t="str">
        <f>IF($C387="","",IFERROR(INDEX('Staff Directory'!$I$595:$I$599,MATCH($C387,'Staff Directory'!$B$5:$B$599,0))&amp;" "&amp;INDEX('Staff Directory'!$J$595:$J$599,MATCH($C387,'Staff Directory'!$B$5:$B$599,0)),$AG387))</f>
        <v>PSW</v>
      </c>
      <c r="AI387" s="102"/>
      <c r="AJ387" s="101">
        <f>IF($F387="","",SUMIFS($J$5:$J387,$F$5:$F387,$F387))</f>
        <v>5280</v>
      </c>
      <c r="AK387" s="101">
        <f t="shared" si="60"/>
        <v>5201</v>
      </c>
      <c r="AL387" s="66" t="str" cm="1">
        <f t="array" ref="AL387">IF($F387="","",IFERROR(INDEX('Lot Balance'!$B$5:$B$500,MATCH(1,INDEX(('Lot Balance'!$A$5:$A$500=$F387)*('Lot Balance'!$K$5:$K$500&lt;$AK387)*('Lot Balance'!$K$5:$K$500+'Lot Balance'!$D$5:$D$500&gt;=$AK387),0),0)),""))</f>
        <v>LYSL500290</v>
      </c>
      <c r="AM387" s="66" t="str" cm="1">
        <f t="array" ref="AM387">IF($F387="","",IFERROR(INDEX('Lot Balance'!$B$5:$B$500,MATCH(1,INDEX(('Lot Balance'!$A$5:$A$500=$F387)*('Lot Balance'!$K$5:$K$500&lt;$AJ387)*('Lot Balance'!$K$5:$K$500+'Lot Balance'!$D$5:$D$500&gt;=$AJ387),0),0)),""))</f>
        <v>LYSL500290</v>
      </c>
      <c r="AN387" s="66" t="str">
        <f>IF($F387="","",IF($AI387&lt;&gt;"",IF(COUNTIFS('Lot Balance'!$A$5:$A$500,$F387,'Lot Balance'!$B$5:$B$500,$AI387)=0,"⚠ override is not a lot of this item",IF($AI387=$AL387,"Override = FEFO","Override - FEFO says "&amp;$AL387)),IF($AL387="","⚠ no receipt on file for this item",IF($AM387&lt;&gt;$AL387,"FEFO auto - split, also "&amp;$AM387,"FEFO auto"))))</f>
        <v>FEFO auto</v>
      </c>
      <c r="AO387" s="114"/>
    </row>
    <row r="388" spans="1:41" x14ac:dyDescent="0.35">
      <c r="A388" s="74">
        <v>46135</v>
      </c>
      <c r="B388" s="18" t="str">
        <f>IF($C388="","",IFERROR(INDEX('Staff Directory'!$A$5:$A$594,MATCH($C388,'Staff Directory'!$B$5:$B$594,0)),"⚠ unknown staff"))</f>
        <v>PSW-125-A4</v>
      </c>
      <c r="C388" s="49" t="s">
        <v>1104</v>
      </c>
      <c r="D388" s="19" t="str">
        <f>IF($B388="","",IFERROR(INDEX('Staff Directory'!$C$5:$C$594,MATCH($B388,'Staff Directory'!$A$5:$A$594,0)),""))</f>
        <v>PSW</v>
      </c>
      <c r="E388" s="19" t="str">
        <f>IF($B388="","",IFERROR(INDEX('Staff Directory'!$D$5:$D$594,MATCH($B388,'Staff Directory'!$A$5:$A$594,0)),""))</f>
        <v>A4</v>
      </c>
      <c r="F388" s="9" t="s">
        <v>156</v>
      </c>
      <c r="G388" s="18" t="str">
        <f>IF($F388="","",IFERROR(INDEX(Items!$B$5:$B$597,MATCH($F388,Items!$A$5:$A$597,0)),"⚠ not in Items"))</f>
        <v>Masks</v>
      </c>
      <c r="H388" s="19" t="str">
        <f>IF($F388="","",IFERROR(INDEX(Items!$C$5:$C$597,MATCH($F388,Items!$A$5:$A$597,0)),""))</f>
        <v>One Size</v>
      </c>
      <c r="I388" s="23">
        <f>IF($F388="","",IFERROR(INDEX(Items!$E$5:$E$597,MATCH($F388,Items!$A$5:$A$597,0)),""))</f>
        <v>50</v>
      </c>
      <c r="J388" s="115">
        <f>IF(tblIssues[[#This Row],[Qty Override]]&lt;&gt;"",tblIssues[[#This Row],[Qty Override]],IF(tblIssues[[#This Row],[Standard Issue]]="","",tblIssues[[#This Row],[Standard Issue]]))</f>
        <v>50</v>
      </c>
      <c r="K388" s="20">
        <f>IF($F388="","",IFERROR(INDEX(Items!$D$5:$D$597,MATCH($F388,Items!$A$5:$A$597,0)),""))</f>
        <v>0.25</v>
      </c>
      <c r="L388" s="21">
        <f t="shared" si="61"/>
        <v>12.5</v>
      </c>
      <c r="M388" s="9" t="str">
        <f t="shared" si="62"/>
        <v>0125FPC24-0</v>
      </c>
      <c r="N388" s="24">
        <f>IF($A388="","",WORKDAY($A388,Settings!$C$9,HolidayDates))</f>
        <v>46143</v>
      </c>
      <c r="O388" s="24">
        <f>IF($N388="","",WORKDAY($N388,Settings!$C$10,HolidayDates))</f>
        <v>46183</v>
      </c>
      <c r="P388" s="10" t="s">
        <v>501</v>
      </c>
      <c r="Q388" s="52" t="str">
        <f t="shared" si="64"/>
        <v>Collected</v>
      </c>
      <c r="R388" s="55" t="str">
        <f t="shared" si="65"/>
        <v>2026-04</v>
      </c>
      <c r="S388" s="55">
        <f>IF(OR($B388="",$F388="",$R388=""),"",SUMIFS(tblIssues[Qty Issued],tblIssues[Staff ID],$B388,tblIssues[Item Name],$F388,tblIssues[Month],$R388))</f>
        <v>50</v>
      </c>
      <c r="T388" s="56">
        <f>IF($I388="","",$I388*Settings!$C$11)</f>
        <v>50</v>
      </c>
      <c r="U388" s="57" t="str">
        <f t="shared" si="63"/>
        <v>OK</v>
      </c>
      <c r="V388" s="55" t="str">
        <f t="shared" si="66"/>
        <v/>
      </c>
      <c r="W388" s="55" t="str">
        <f>IF($V388="","",IF(COUNTIF($V$5:$V388,$V388)=1,1,""))</f>
        <v/>
      </c>
      <c r="X388" s="58" t="str">
        <f>IF($W388="","",MAX($X$4:X387)+1)</f>
        <v/>
      </c>
      <c r="Y388" s="62"/>
      <c r="Z388" s="62"/>
      <c r="AA388" s="64" t="str">
        <f>IF($C388="","",IFERROR(INDEX('Staff Directory'!$E$5:$E$594,MATCH($C388,'Staff Directory'!$B$5:$B$594,0)),""))</f>
        <v>firstname188.lastname188@example.com</v>
      </c>
      <c r="AB388" s="64" t="str">
        <f>IF($C388="","",IF(ISNUMBER(SEARCH($D388,Settings!$C$15)),"Pickup","Dispatch"))</f>
        <v>Pickup</v>
      </c>
      <c r="AC388" s="64" t="str">
        <f t="shared" si="67"/>
        <v>Supply order ready for pickup</v>
      </c>
      <c r="AD388" s="64" t="str">
        <f t="shared" si="58"/>
        <v>Dear PSW,
Your order is ready for pickup from Sample Branch, Wed-Fri 9am-4pm.</v>
      </c>
      <c r="AE388" s="64" t="str">
        <f t="shared" si="59"/>
        <v>mailto:firstname188.lastname188@example.com?subject=Supply%20order%20ready%20for%20pickup&amp;body=Dear%20PSW%2C%0A%0AYour%20order%20is%20ready%20for%20pickup%20from%20Sample%20Branch%2C%20Wed-Fri%209am-4pm.</v>
      </c>
      <c r="AF388" s="89" t="str">
        <f t="shared" si="68"/>
        <v>Draft email</v>
      </c>
      <c r="AG388" s="64" t="str">
        <f>IF($C388="","",IFERROR(INDEX('Staff Directory'!$K$595:$K$599,MATCH($C388,'Staff Directory'!$B$5:$B$599,0)),$D388))</f>
        <v>PSW</v>
      </c>
      <c r="AH388" t="str">
        <f>IF($C388="","",IFERROR(INDEX('Staff Directory'!$I$595:$I$599,MATCH($C388,'Staff Directory'!$B$5:$B$599,0))&amp;" "&amp;INDEX('Staff Directory'!$J$595:$J$599,MATCH($C388,'Staff Directory'!$B$5:$B$599,0)),$AG388))</f>
        <v>PSW</v>
      </c>
      <c r="AI388" s="102"/>
      <c r="AJ388" s="101">
        <f>IF($F388="","",SUMIFS($J$5:$J388,$F$5:$F388,$F388))</f>
        <v>3050</v>
      </c>
      <c r="AK388" s="101">
        <f t="shared" si="60"/>
        <v>3001</v>
      </c>
      <c r="AL388" s="66" t="str" cm="1">
        <f t="array" ref="AL388">IF($F388="","",IFERROR(INDEX('Lot Balance'!$B$5:$B$500,MATCH(1,INDEX(('Lot Balance'!$A$5:$A$500=$F388)*('Lot Balance'!$K$5:$K$500&lt;$AK388)*('Lot Balance'!$K$5:$K$500+'Lot Balance'!$D$5:$D$500&gt;=$AK388),0),0)),""))</f>
        <v>0125FPC24-0</v>
      </c>
      <c r="AM388" s="66" t="str" cm="1">
        <f t="array" ref="AM388">IF($F388="","",IFERROR(INDEX('Lot Balance'!$B$5:$B$500,MATCH(1,INDEX(('Lot Balance'!$A$5:$A$500=$F388)*('Lot Balance'!$K$5:$K$500&lt;$AJ388)*('Lot Balance'!$K$5:$K$500+'Lot Balance'!$D$5:$D$500&gt;=$AJ388),0),0)),""))</f>
        <v>0125FPC24-0</v>
      </c>
      <c r="AN388" s="66" t="str">
        <f>IF($F388="","",IF($AI388&lt;&gt;"",IF(COUNTIFS('Lot Balance'!$A$5:$A$500,$F388,'Lot Balance'!$B$5:$B$500,$AI388)=0,"⚠ override is not a lot of this item",IF($AI388=$AL388,"Override = FEFO","Override - FEFO says "&amp;$AL388)),IF($AL388="","⚠ no receipt on file for this item",IF($AM388&lt;&gt;$AL388,"FEFO auto - split, also "&amp;$AM388,"FEFO auto"))))</f>
        <v>FEFO auto</v>
      </c>
      <c r="AO388" s="114"/>
    </row>
    <row r="389" spans="1:41" x14ac:dyDescent="0.35">
      <c r="A389" s="74">
        <v>46135</v>
      </c>
      <c r="B389" s="18" t="str">
        <f>IF($C389="","",IFERROR(INDEX('Staff Directory'!$A$5:$A$594,MATCH($C389,'Staff Directory'!$B$5:$B$594,0)),"⚠ unknown staff"))</f>
        <v>PSW-125-A4</v>
      </c>
      <c r="C389" s="49" t="s">
        <v>1104</v>
      </c>
      <c r="D389" s="19" t="str">
        <f>IF($B389="","",IFERROR(INDEX('Staff Directory'!$C$5:$C$594,MATCH($B389,'Staff Directory'!$A$5:$A$594,0)),""))</f>
        <v>PSW</v>
      </c>
      <c r="E389" s="19" t="str">
        <f>IF($B389="","",IFERROR(INDEX('Staff Directory'!$D$5:$D$594,MATCH($B389,'Staff Directory'!$A$5:$A$594,0)),""))</f>
        <v>A4</v>
      </c>
      <c r="F389" s="9" t="s">
        <v>755</v>
      </c>
      <c r="G389" s="18" t="str">
        <f>IF($F389="","",IFERROR(INDEX(Items!$B$5:$B$597,MATCH($F389,Items!$A$5:$A$597,0)),"⚠ not in Items"))</f>
        <v>Documents</v>
      </c>
      <c r="H389" s="19" t="str">
        <f>IF($F389="","",IFERROR(INDEX(Items!$C$5:$C$597,MATCH($F389,Items!$A$5:$A$597,0)),""))</f>
        <v>Standard</v>
      </c>
      <c r="I389" s="23">
        <f>IF($F389="","",IFERROR(INDEX(Items!$E$5:$E$597,MATCH($F389,Items!$A$5:$A$597,0)),""))</f>
        <v>2</v>
      </c>
      <c r="J389" s="115">
        <f>IF(tblIssues[[#This Row],[Qty Override]]&lt;&gt;"",tblIssues[[#This Row],[Qty Override]],IF(tblIssues[[#This Row],[Standard Issue]]="","",tblIssues[[#This Row],[Standard Issue]]))</f>
        <v>2</v>
      </c>
      <c r="K389" s="20">
        <f>IF($F389="","",IFERROR(INDEX(Items!$D$5:$D$597,MATCH($F389,Items!$A$5:$A$597,0)),""))</f>
        <v>0</v>
      </c>
      <c r="L389" s="21">
        <f t="shared" si="61"/>
        <v>0</v>
      </c>
      <c r="M389" s="9" t="str">
        <f t="shared" si="62"/>
        <v/>
      </c>
      <c r="N389" s="24">
        <f>IF($A389="","",WORKDAY($A389,Settings!$C$9,HolidayDates))</f>
        <v>46143</v>
      </c>
      <c r="O389" s="24">
        <f>IF($N389="","",WORKDAY($N389,Settings!$C$10,HolidayDates))</f>
        <v>46183</v>
      </c>
      <c r="P389" s="10" t="s">
        <v>501</v>
      </c>
      <c r="Q389" s="52" t="str">
        <f t="shared" si="64"/>
        <v>Collected</v>
      </c>
      <c r="R389" s="55" t="str">
        <f t="shared" si="65"/>
        <v>2026-04</v>
      </c>
      <c r="S389" s="55">
        <f>IF(OR($B389="",$F389="",$R389=""),"",SUMIFS(tblIssues[Qty Issued],tblIssues[Staff ID],$B389,tblIssues[Item Name],$F389,tblIssues[Month],$R389))</f>
        <v>2</v>
      </c>
      <c r="T389" s="56">
        <f>IF($I389="","",$I389*Settings!$C$11)</f>
        <v>2</v>
      </c>
      <c r="U389" s="57" t="str">
        <f t="shared" si="63"/>
        <v>OK</v>
      </c>
      <c r="V389" s="55" t="str">
        <f t="shared" si="66"/>
        <v/>
      </c>
      <c r="W389" s="55" t="str">
        <f>IF($V389="","",IF(COUNTIF($V$5:$V389,$V389)=1,1,""))</f>
        <v/>
      </c>
      <c r="X389" s="58" t="str">
        <f>IF($W389="","",MAX($X$4:X388)+1)</f>
        <v/>
      </c>
      <c r="Y389" s="62"/>
      <c r="Z389" s="62"/>
      <c r="AA389" s="64" t="str">
        <f>IF($C389="","",IFERROR(INDEX('Staff Directory'!$E$5:$E$594,MATCH($C389,'Staff Directory'!$B$5:$B$594,0)),""))</f>
        <v>firstname188.lastname188@example.com</v>
      </c>
      <c r="AB389" s="64" t="str">
        <f>IF($C389="","",IF(ISNUMBER(SEARCH($D389,Settings!$C$15)),"Pickup","Dispatch"))</f>
        <v>Pickup</v>
      </c>
      <c r="AC389" s="64" t="str">
        <f t="shared" si="67"/>
        <v>Supply order ready for pickup</v>
      </c>
      <c r="AD389" s="64" t="str">
        <f t="shared" ref="AD389:AD452" si="69">IF($AB389="Pickup","Dear "&amp;$AH389&amp;","&amp;CHAR(10)&amp;CHAR(10)&amp;"Your order is ready for pickup from Sample Branch, Wed-Fri 9am-4pm.",IF($AB389="Dispatch","Dear "&amp;$AH389&amp;","&amp;CHAR(10)&amp;CHAR(10)&amp;"Your order has been dispatched and is in transit. Reply if undelivered.",""))</f>
        <v>Dear PSW,
Your order is ready for pickup from Sample Branch, Wed-Fri 9am-4pm.</v>
      </c>
      <c r="AE389" s="64" t="str">
        <f t="shared" ref="AE389:AE452" si="70">IF(OR($AA389="",$AC389=""),"","mailto:"&amp;$AA389&amp;"?subject="&amp;_xlfn.ENCODEURL($AC389)&amp;"&amp;body="&amp;_xlfn.ENCODEURL($AD389))</f>
        <v>mailto:firstname188.lastname188@example.com?subject=Supply%20order%20ready%20for%20pickup&amp;body=Dear%20PSW%2C%0A%0AYour%20order%20is%20ready%20for%20pickup%20from%20Sample%20Branch%2C%20Wed-Fri%209am-4pm.</v>
      </c>
      <c r="AF389" s="89" t="str">
        <f t="shared" si="68"/>
        <v>Draft email</v>
      </c>
      <c r="AG389" s="64" t="str">
        <f>IF($C389="","",IFERROR(INDEX('Staff Directory'!$K$595:$K$599,MATCH($C389,'Staff Directory'!$B$5:$B$599,0)),$D389))</f>
        <v>PSW</v>
      </c>
      <c r="AH389" t="str">
        <f>IF($C389="","",IFERROR(INDEX('Staff Directory'!$I$595:$I$599,MATCH($C389,'Staff Directory'!$B$5:$B$599,0))&amp;" "&amp;INDEX('Staff Directory'!$J$595:$J$599,MATCH($C389,'Staff Directory'!$B$5:$B$599,0)),$AG389))</f>
        <v>PSW</v>
      </c>
      <c r="AI389" s="102"/>
      <c r="AJ389" s="101">
        <f>IF($F389="","",SUMIFS($J$5:$J389,$F$5:$F389,$F389))</f>
        <v>110</v>
      </c>
      <c r="AK389" s="101">
        <f t="shared" ref="AK389:AK452" si="71">IF($F389="","",MAX(1,$AJ389-MAX($J389,0)+1))</f>
        <v>109</v>
      </c>
      <c r="AL389" s="66" t="str" cm="1">
        <f t="array" ref="AL389">IF($F389="","",IFERROR(INDEX('Lot Balance'!$B$5:$B$500,MATCH(1,INDEX(('Lot Balance'!$A$5:$A$500=$F389)*('Lot Balance'!$K$5:$K$500&lt;$AK389)*('Lot Balance'!$K$5:$K$500+'Lot Balance'!$D$5:$D$500&gt;=$AK389),0),0)),""))</f>
        <v/>
      </c>
      <c r="AM389" s="66" t="str" cm="1">
        <f t="array" ref="AM389">IF($F389="","",IFERROR(INDEX('Lot Balance'!$B$5:$B$500,MATCH(1,INDEX(('Lot Balance'!$A$5:$A$500=$F389)*('Lot Balance'!$K$5:$K$500&lt;$AJ389)*('Lot Balance'!$K$5:$K$500+'Lot Balance'!$D$5:$D$500&gt;=$AJ389),0),0)),""))</f>
        <v/>
      </c>
      <c r="AN389" s="66" t="str">
        <f>IF($F389="","",IF($AI389&lt;&gt;"",IF(COUNTIFS('Lot Balance'!$A$5:$A$500,$F389,'Lot Balance'!$B$5:$B$500,$AI389)=0,"⚠ override is not a lot of this item",IF($AI389=$AL389,"Override = FEFO","Override - FEFO says "&amp;$AL389)),IF($AL389="","⚠ no receipt on file for this item",IF($AM389&lt;&gt;$AL389,"FEFO auto - split, also "&amp;$AM389,"FEFO auto"))))</f>
        <v>⚠ no receipt on file for this item</v>
      </c>
      <c r="AO389" s="114"/>
    </row>
    <row r="390" spans="1:41" x14ac:dyDescent="0.35">
      <c r="A390" s="74">
        <v>46136</v>
      </c>
      <c r="B390" s="18" t="str">
        <f>IF($C390="","",IFERROR(INDEX('Staff Directory'!$A$5:$A$594,MATCH($C390,'Staff Directory'!$B$5:$B$594,0)),"⚠ unknown staff"))</f>
        <v>TL/RPN-002-A9</v>
      </c>
      <c r="C390" s="49" t="s">
        <v>1065</v>
      </c>
      <c r="D390" s="19" t="str">
        <f>IF($B390="","",IFERROR(INDEX('Staff Directory'!$C$5:$C$594,MATCH($B390,'Staff Directory'!$A$5:$A$594,0)),""))</f>
        <v>TL/RPN</v>
      </c>
      <c r="E390" s="19" t="str">
        <f>IF($B390="","",IFERROR(INDEX('Staff Directory'!$D$5:$D$594,MATCH($B390,'Staff Directory'!$A$5:$A$594,0)),""))</f>
        <v>A9</v>
      </c>
      <c r="F390" s="9" t="s">
        <v>193</v>
      </c>
      <c r="G390" s="18" t="str">
        <f>IF($F390="","",IFERROR(INDEX(Items!$B$5:$B$597,MATCH($F390,Items!$A$5:$A$597,0)),"⚠ not in Items"))</f>
        <v>Wipes</v>
      </c>
      <c r="H390" s="19">
        <f>IF($F390="","",IFERROR(INDEX(Items!$C$5:$C$597,MATCH($F390,Items!$A$5:$A$597,0)),""))</f>
        <v>160</v>
      </c>
      <c r="I390" s="23">
        <f>IF($F390="","",IFERROR(INDEX(Items!$E$5:$E$597,MATCH($F390,Items!$A$5:$A$597,0)),""))</f>
        <v>160</v>
      </c>
      <c r="J390" s="115">
        <f>IF(tblIssues[[#This Row],[Qty Override]]&lt;&gt;"",tblIssues[[#This Row],[Qty Override]],IF(tblIssues[[#This Row],[Standard Issue]]="","",tblIssues[[#This Row],[Standard Issue]]))</f>
        <v>160</v>
      </c>
      <c r="K390" s="20">
        <f>IF($F390="","",IFERROR(INDEX(Items!$D$5:$D$597,MATCH($F390,Items!$A$5:$A$597,0)),""))</f>
        <v>0</v>
      </c>
      <c r="L390" s="21">
        <f t="shared" ref="L390:L453" si="72">IF(OR($J390="",$K390=""),"",$J390*$K390)</f>
        <v>0</v>
      </c>
      <c r="M390" s="9" t="str">
        <f t="shared" ref="M390:M453" si="73">IF($F390="","",IF($AI390&lt;&gt;"",$AI390,$AL390))</f>
        <v>22625VXO7</v>
      </c>
      <c r="N390" s="24">
        <f>IF($A390="","",WORKDAY($A390,Settings!$C$9,HolidayDates))</f>
        <v>46146</v>
      </c>
      <c r="O390" s="24">
        <f>IF($N390="","",WORKDAY($N390,Settings!$C$10,HolidayDates))</f>
        <v>46184</v>
      </c>
      <c r="P390" s="10" t="s">
        <v>501</v>
      </c>
      <c r="Q390" s="52" t="str">
        <f t="shared" si="64"/>
        <v>Collected</v>
      </c>
      <c r="R390" s="55" t="str">
        <f t="shared" si="65"/>
        <v>2026-04</v>
      </c>
      <c r="S390" s="55">
        <f>IF(OR($B390="",$F390="",$R390=""),"",SUMIFS(tblIssues[Qty Issued],tblIssues[Staff ID],$B390,tblIssues[Item Name],$F390,tblIssues[Month],$R390))</f>
        <v>480</v>
      </c>
      <c r="T390" s="56">
        <f>IF($I390="","",$I390*Settings!$C$11)</f>
        <v>160</v>
      </c>
      <c r="U390" s="57" t="str">
        <f t="shared" ref="U390:U453" si="74">IF(OR($S390="",$T390=""),"",IF($S390&gt;$T390,IF($Y390="Approved","APPROVED BY TL","⚠ OVER QUOTA"),"OK"))</f>
        <v>⚠ OVER QUOTA</v>
      </c>
      <c r="V390" s="55" t="str">
        <f t="shared" si="66"/>
        <v>TL/RPN-002-A9 | Disinfectant Wipes OS | 2026-04</v>
      </c>
      <c r="W390" s="55" t="str">
        <f>IF($V390="","",IF(COUNTIF($V$5:$V390,$V390)=1,1,""))</f>
        <v/>
      </c>
      <c r="X390" s="58" t="str">
        <f>IF($W390="","",MAX($X$4:X389)+1)</f>
        <v/>
      </c>
      <c r="Y390" s="62"/>
      <c r="Z390" s="62"/>
      <c r="AA390" s="64" t="str">
        <f>IF($C390="","",IFERROR(INDEX('Staff Directory'!$E$5:$E$594,MATCH($C390,'Staff Directory'!$B$5:$B$594,0)),""))</f>
        <v>firstname149.lastname149@example.com</v>
      </c>
      <c r="AB390" s="64" t="str">
        <f>IF($C390="","",IF(ISNUMBER(SEARCH($D390,Settings!$C$15)),"Pickup","Dispatch"))</f>
        <v>Dispatch</v>
      </c>
      <c r="AC390" s="64" t="str">
        <f t="shared" si="67"/>
        <v>Supply order dispatched</v>
      </c>
      <c r="AD390" s="64" t="str">
        <f t="shared" si="69"/>
        <v>Dear TL/RPN,
Your order has been dispatched and is in transit. Reply if undelivered.</v>
      </c>
      <c r="AE390" s="64" t="str">
        <f t="shared" si="70"/>
        <v>mailto:firstname149.lastname149@example.com?subject=Supply%20order%20dispatched&amp;body=Dear%20TL%2FRPN%2C%0A%0AYour%20order%20has%20been%20dispatched%20and%20is%20in%20transit.%20Reply%20if%20undelivered.</v>
      </c>
      <c r="AF390" s="89" t="str">
        <f t="shared" si="68"/>
        <v>Draft email</v>
      </c>
      <c r="AG390" s="64" t="str">
        <f>IF($C390="","",IFERROR(INDEX('Staff Directory'!$K$595:$K$599,MATCH($C390,'Staff Directory'!$B$5:$B$599,0)),$D390))</f>
        <v>TL/RPN</v>
      </c>
      <c r="AH390" t="str">
        <f>IF($C390="","",IFERROR(INDEX('Staff Directory'!$I$595:$I$599,MATCH($C390,'Staff Directory'!$B$5:$B$599,0))&amp;" "&amp;INDEX('Staff Directory'!$J$595:$J$599,MATCH($C390,'Staff Directory'!$B$5:$B$599,0)),$AG390))</f>
        <v>TL/RPN</v>
      </c>
      <c r="AI390" s="102"/>
      <c r="AJ390" s="101">
        <f>IF($F390="","",SUMIFS($J$5:$J390,$F$5:$F390,$F390))</f>
        <v>480</v>
      </c>
      <c r="AK390" s="101">
        <f t="shared" si="71"/>
        <v>321</v>
      </c>
      <c r="AL390" s="66" t="str" cm="1">
        <f t="array" ref="AL390">IF($F390="","",IFERROR(INDEX('Lot Balance'!$B$5:$B$500,MATCH(1,INDEX(('Lot Balance'!$A$5:$A$500=$F390)*('Lot Balance'!$K$5:$K$500&lt;$AK390)*('Lot Balance'!$K$5:$K$500+'Lot Balance'!$D$5:$D$500&gt;=$AK390),0),0)),""))</f>
        <v>22625VXO7</v>
      </c>
      <c r="AM390" s="66" t="str" cm="1">
        <f t="array" ref="AM390">IF($F390="","",IFERROR(INDEX('Lot Balance'!$B$5:$B$500,MATCH(1,INDEX(('Lot Balance'!$A$5:$A$500=$F390)*('Lot Balance'!$K$5:$K$500&lt;$AJ390)*('Lot Balance'!$K$5:$K$500+'Lot Balance'!$D$5:$D$500&gt;=$AJ390),0),0)),""))</f>
        <v>22625VXO7</v>
      </c>
      <c r="AN390" s="66" t="str">
        <f>IF($F390="","",IF($AI390&lt;&gt;"",IF(COUNTIFS('Lot Balance'!$A$5:$A$500,$F390,'Lot Balance'!$B$5:$B$500,$AI390)=0,"⚠ override is not a lot of this item",IF($AI390=$AL390,"Override = FEFO","Override - FEFO says "&amp;$AL390)),IF($AL390="","⚠ no receipt on file for this item",IF($AM390&lt;&gt;$AL390,"FEFO auto - split, also "&amp;$AM390,"FEFO auto"))))</f>
        <v>FEFO auto</v>
      </c>
      <c r="AO390" s="114"/>
    </row>
    <row r="391" spans="1:41" x14ac:dyDescent="0.35">
      <c r="A391" s="74">
        <v>46136</v>
      </c>
      <c r="B391" s="18" t="str">
        <f>IF($C391="","",IFERROR(INDEX('Staff Directory'!$A$5:$A$594,MATCH($C391,'Staff Directory'!$B$5:$B$594,0)),"⚠ unknown staff"))</f>
        <v>TL/RPN-002-A9</v>
      </c>
      <c r="C391" s="49" t="s">
        <v>1065</v>
      </c>
      <c r="D391" s="19" t="str">
        <f>IF($B391="","",IFERROR(INDEX('Staff Directory'!$C$5:$C$594,MATCH($B391,'Staff Directory'!$A$5:$A$594,0)),""))</f>
        <v>TL/RPN</v>
      </c>
      <c r="E391" s="19" t="str">
        <f>IF($B391="","",IFERROR(INDEX('Staff Directory'!$D$5:$D$594,MATCH($B391,'Staff Directory'!$A$5:$A$594,0)),""))</f>
        <v>A9</v>
      </c>
      <c r="F391" s="9" t="s">
        <v>756</v>
      </c>
      <c r="G391" s="18" t="str">
        <f>IF($F391="","",IFERROR(INDEX(Items!$B$5:$B$597,MATCH($F391,Items!$A$5:$A$597,0)),"⚠ not in Items"))</f>
        <v>Documents</v>
      </c>
      <c r="H391" s="19" t="str">
        <f>IF($F391="","",IFERROR(INDEX(Items!$C$5:$C$597,MATCH($F391,Items!$A$5:$A$597,0)),""))</f>
        <v>Standard</v>
      </c>
      <c r="I391" s="23">
        <f>IF($F391="","",IFERROR(INDEX(Items!$E$5:$E$597,MATCH($F391,Items!$A$5:$A$597,0)),""))</f>
        <v>10</v>
      </c>
      <c r="J391" s="115">
        <f>IF(tblIssues[[#This Row],[Qty Override]]&lt;&gt;"",tblIssues[[#This Row],[Qty Override]],IF(tblIssues[[#This Row],[Standard Issue]]="","",tblIssues[[#This Row],[Standard Issue]]))</f>
        <v>10</v>
      </c>
      <c r="K391" s="20">
        <f>IF($F391="","",IFERROR(INDEX(Items!$D$5:$D$597,MATCH($F391,Items!$A$5:$A$597,0)),""))</f>
        <v>0</v>
      </c>
      <c r="L391" s="21">
        <f t="shared" si="72"/>
        <v>0</v>
      </c>
      <c r="M391" s="9" t="str">
        <f t="shared" si="73"/>
        <v/>
      </c>
      <c r="N391" s="24">
        <f>IF($A391="","",WORKDAY($A391,Settings!$C$9,HolidayDates))</f>
        <v>46146</v>
      </c>
      <c r="O391" s="24">
        <f>IF($N391="","",WORKDAY($N391,Settings!$C$10,HolidayDates))</f>
        <v>46184</v>
      </c>
      <c r="P391" s="10" t="s">
        <v>501</v>
      </c>
      <c r="Q391" s="52" t="str">
        <f t="shared" si="64"/>
        <v>Collected</v>
      </c>
      <c r="R391" s="55" t="str">
        <f t="shared" si="65"/>
        <v>2026-04</v>
      </c>
      <c r="S391" s="55">
        <f>IF(OR($B391="",$F391="",$R391=""),"",SUMIFS(tblIssues[Qty Issued],tblIssues[Staff ID],$B391,tblIssues[Item Name],$F391,tblIssues[Month],$R391))</f>
        <v>10</v>
      </c>
      <c r="T391" s="56">
        <f>IF($I391="","",$I391*Settings!$C$11)</f>
        <v>10</v>
      </c>
      <c r="U391" s="57" t="str">
        <f t="shared" si="74"/>
        <v>OK</v>
      </c>
      <c r="V391" s="55" t="str">
        <f t="shared" si="66"/>
        <v/>
      </c>
      <c r="W391" s="55" t="str">
        <f>IF($V391="","",IF(COUNTIF($V$5:$V391,$V391)=1,1,""))</f>
        <v/>
      </c>
      <c r="X391" s="58" t="str">
        <f>IF($W391="","",MAX($X$4:X390)+1)</f>
        <v/>
      </c>
      <c r="Y391" s="62"/>
      <c r="Z391" s="62"/>
      <c r="AA391" s="64" t="str">
        <f>IF($C391="","",IFERROR(INDEX('Staff Directory'!$E$5:$E$594,MATCH($C391,'Staff Directory'!$B$5:$B$594,0)),""))</f>
        <v>firstname149.lastname149@example.com</v>
      </c>
      <c r="AB391" s="64" t="str">
        <f>IF($C391="","",IF(ISNUMBER(SEARCH($D391,Settings!$C$15)),"Pickup","Dispatch"))</f>
        <v>Dispatch</v>
      </c>
      <c r="AC391" s="64" t="str">
        <f t="shared" si="67"/>
        <v>Supply order dispatched</v>
      </c>
      <c r="AD391" s="64" t="str">
        <f t="shared" si="69"/>
        <v>Dear TL/RPN,
Your order has been dispatched and is in transit. Reply if undelivered.</v>
      </c>
      <c r="AE391" s="64" t="str">
        <f t="shared" si="70"/>
        <v>mailto:firstname149.lastname149@example.com?subject=Supply%20order%20dispatched&amp;body=Dear%20TL%2FRPN%2C%0A%0AYour%20order%20has%20been%20dispatched%20and%20is%20in%20transit.%20Reply%20if%20undelivered.</v>
      </c>
      <c r="AF391" s="89" t="str">
        <f t="shared" si="68"/>
        <v>Draft email</v>
      </c>
      <c r="AG391" s="64" t="str">
        <f>IF($C391="","",IFERROR(INDEX('Staff Directory'!$K$595:$K$599,MATCH($C391,'Staff Directory'!$B$5:$B$599,0)),$D391))</f>
        <v>TL/RPN</v>
      </c>
      <c r="AH391" t="str">
        <f>IF($C391="","",IFERROR(INDEX('Staff Directory'!$I$595:$I$599,MATCH($C391,'Staff Directory'!$B$5:$B$599,0))&amp;" "&amp;INDEX('Staff Directory'!$J$595:$J$599,MATCH($C391,'Staff Directory'!$B$5:$B$599,0)),$AG391))</f>
        <v>TL/RPN</v>
      </c>
      <c r="AI391" s="102"/>
      <c r="AJ391" s="101">
        <f>IF($F391="","",SUMIFS($J$5:$J391,$F$5:$F391,$F391))</f>
        <v>10</v>
      </c>
      <c r="AK391" s="101">
        <f t="shared" si="71"/>
        <v>1</v>
      </c>
      <c r="AL391" s="66" t="str" cm="1">
        <f t="array" ref="AL391">IF($F391="","",IFERROR(INDEX('Lot Balance'!$B$5:$B$500,MATCH(1,INDEX(('Lot Balance'!$A$5:$A$500=$F391)*('Lot Balance'!$K$5:$K$500&lt;$AK391)*('Lot Balance'!$K$5:$K$500+'Lot Balance'!$D$5:$D$500&gt;=$AK391),0),0)),""))</f>
        <v/>
      </c>
      <c r="AM391" s="66" t="str" cm="1">
        <f t="array" ref="AM391">IF($F391="","",IFERROR(INDEX('Lot Balance'!$B$5:$B$500,MATCH(1,INDEX(('Lot Balance'!$A$5:$A$500=$F391)*('Lot Balance'!$K$5:$K$500&lt;$AJ391)*('Lot Balance'!$K$5:$K$500+'Lot Balance'!$D$5:$D$500&gt;=$AJ391),0),0)),""))</f>
        <v/>
      </c>
      <c r="AN391" s="66" t="str">
        <f>IF($F391="","",IF($AI391&lt;&gt;"",IF(COUNTIFS('Lot Balance'!$A$5:$A$500,$F391,'Lot Balance'!$B$5:$B$500,$AI391)=0,"⚠ override is not a lot of this item",IF($AI391=$AL391,"Override = FEFO","Override - FEFO says "&amp;$AL391)),IF($AL391="","⚠ no receipt on file for this item",IF($AM391&lt;&gt;$AL391,"FEFO auto - split, also "&amp;$AM391,"FEFO auto"))))</f>
        <v>⚠ no receipt on file for this item</v>
      </c>
      <c r="AO391" s="114"/>
    </row>
    <row r="392" spans="1:41" x14ac:dyDescent="0.35">
      <c r="A392" s="74">
        <v>46136</v>
      </c>
      <c r="B392" s="18" t="str">
        <f>IF($C392="","",IFERROR(INDEX('Staff Directory'!$A$5:$A$594,MATCH($C392,'Staff Directory'!$B$5:$B$594,0)),"⚠ unknown staff"))</f>
        <v>OEE-008-A3</v>
      </c>
      <c r="C392" s="49" t="s">
        <v>1179</v>
      </c>
      <c r="D392" s="19" t="str">
        <f>IF($B392="","",IFERROR(INDEX('Staff Directory'!$C$5:$C$594,MATCH($B392,'Staff Directory'!$A$5:$A$594,0)),""))</f>
        <v>OEE</v>
      </c>
      <c r="E392" s="19" t="str">
        <f>IF($B392="","",IFERROR(INDEX('Staff Directory'!$D$5:$D$594,MATCH($B392,'Staff Directory'!$A$5:$A$594,0)),""))</f>
        <v>A3</v>
      </c>
      <c r="F392" s="9" t="s">
        <v>115</v>
      </c>
      <c r="G392" s="18" t="str">
        <f>IF($F392="","",IFERROR(INDEX(Items!$B$5:$B$597,MATCH($F392,Items!$A$5:$A$597,0)),"⚠ not in Items"))</f>
        <v>Wipes</v>
      </c>
      <c r="H392" s="19">
        <f>IF($F392="","",IFERROR(INDEX(Items!$C$5:$C$597,MATCH($F392,Items!$A$5:$A$597,0)),""))</f>
        <v>80</v>
      </c>
      <c r="I392" s="23">
        <f>IF($F392="","",IFERROR(INDEX(Items!$E$5:$E$597,MATCH($F392,Items!$A$5:$A$597,0)),""))</f>
        <v>80</v>
      </c>
      <c r="J392" s="115">
        <f>IF(tblIssues[[#This Row],[Qty Override]]&lt;&gt;"",tblIssues[[#This Row],[Qty Override]],IF(tblIssues[[#This Row],[Standard Issue]]="","",tblIssues[[#This Row],[Standard Issue]]))</f>
        <v>80</v>
      </c>
      <c r="K392" s="20">
        <f>IF($F392="","",IFERROR(INDEX(Items!$D$5:$D$597,MATCH($F392,Items!$A$5:$A$597,0)),""))</f>
        <v>0.1</v>
      </c>
      <c r="L392" s="21">
        <f t="shared" si="72"/>
        <v>8</v>
      </c>
      <c r="M392" s="9" t="str">
        <f t="shared" si="73"/>
        <v>LYSL500290</v>
      </c>
      <c r="N392" s="24">
        <f>IF($A392="","",WORKDAY($A392,Settings!$C$9,HolidayDates))</f>
        <v>46146</v>
      </c>
      <c r="O392" s="24">
        <f>IF($N392="","",WORKDAY($N392,Settings!$C$10,HolidayDates))</f>
        <v>46184</v>
      </c>
      <c r="P392" s="10" t="s">
        <v>501</v>
      </c>
      <c r="Q392" s="52" t="str">
        <f t="shared" si="64"/>
        <v>Collected</v>
      </c>
      <c r="R392" s="55" t="str">
        <f t="shared" si="65"/>
        <v>2026-04</v>
      </c>
      <c r="S392" s="55">
        <f>IF(OR($B392="",$F392="",$R392=""),"",SUMIFS(tblIssues[Qty Issued],tblIssues[Staff ID],$B392,tblIssues[Item Name],$F392,tblIssues[Month],$R392))</f>
        <v>160</v>
      </c>
      <c r="T392" s="56">
        <f>IF($I392="","",$I392*Settings!$C$11)</f>
        <v>80</v>
      </c>
      <c r="U392" s="57" t="str">
        <f t="shared" si="74"/>
        <v>⚠ OVER QUOTA</v>
      </c>
      <c r="V392" s="55" t="str">
        <f t="shared" si="66"/>
        <v>OEE-008-A3 | Disinfectant Wipes | 2026-04</v>
      </c>
      <c r="W392" s="55">
        <f>IF($V392="","",IF(COUNTIF($V$5:$V392,$V392)=1,1,""))</f>
        <v>1</v>
      </c>
      <c r="X392" s="58">
        <f>IF($W392="","",MAX($X$4:X391)+1)</f>
        <v>7</v>
      </c>
      <c r="Y392" s="62"/>
      <c r="Z392" s="62"/>
      <c r="AA392" s="64" t="str">
        <f>IF($C392="","",IFERROR(INDEX('Staff Directory'!$E$5:$E$594,MATCH($C392,'Staff Directory'!$B$5:$B$594,0)),""))</f>
        <v>firstname263.lastname263@example.com</v>
      </c>
      <c r="AB392" s="64" t="str">
        <f>IF($C392="","",IF(ISNUMBER(SEARCH($D392,Settings!$C$15)),"Pickup","Dispatch"))</f>
        <v>Dispatch</v>
      </c>
      <c r="AC392" s="64" t="str">
        <f t="shared" si="67"/>
        <v>Supply order dispatched</v>
      </c>
      <c r="AD392" s="64" t="str">
        <f t="shared" si="69"/>
        <v>Dear OEE,
Your order has been dispatched and is in transit. Reply if undelivered.</v>
      </c>
      <c r="AE392" s="64" t="str">
        <f t="shared" si="70"/>
        <v>mailto:firstname263.lastname263@example.com?subject=Supply%20order%20dispatched&amp;body=Dear%20OEE%2C%0A%0AYour%20order%20has%20been%20dispatched%20and%20is%20in%20transit.%20Reply%20if%20undelivered.</v>
      </c>
      <c r="AF392" s="89" t="str">
        <f t="shared" si="68"/>
        <v>Draft email</v>
      </c>
      <c r="AG392" s="64" t="str">
        <f>IF($C392="","",IFERROR(INDEX('Staff Directory'!$K$595:$K$599,MATCH($C392,'Staff Directory'!$B$5:$B$599,0)),$D392))</f>
        <v>OEE</v>
      </c>
      <c r="AH392" t="str">
        <f>IF($C392="","",IFERROR(INDEX('Staff Directory'!$I$595:$I$599,MATCH($C392,'Staff Directory'!$B$5:$B$599,0))&amp;" "&amp;INDEX('Staff Directory'!$J$595:$J$599,MATCH($C392,'Staff Directory'!$B$5:$B$599,0)),$AG392))</f>
        <v>OEE</v>
      </c>
      <c r="AI392" s="102"/>
      <c r="AJ392" s="101">
        <f>IF($F392="","",SUMIFS($J$5:$J392,$F$5:$F392,$F392))</f>
        <v>5360</v>
      </c>
      <c r="AK392" s="101">
        <f t="shared" si="71"/>
        <v>5281</v>
      </c>
      <c r="AL392" s="66" t="str" cm="1">
        <f t="array" ref="AL392">IF($F392="","",IFERROR(INDEX('Lot Balance'!$B$5:$B$500,MATCH(1,INDEX(('Lot Balance'!$A$5:$A$500=$F392)*('Lot Balance'!$K$5:$K$500&lt;$AK392)*('Lot Balance'!$K$5:$K$500+'Lot Balance'!$D$5:$D$500&gt;=$AK392),0),0)),""))</f>
        <v>LYSL500290</v>
      </c>
      <c r="AM392" s="66" t="str" cm="1">
        <f t="array" ref="AM392">IF($F392="","",IFERROR(INDEX('Lot Balance'!$B$5:$B$500,MATCH(1,INDEX(('Lot Balance'!$A$5:$A$500=$F392)*('Lot Balance'!$K$5:$K$500&lt;$AJ392)*('Lot Balance'!$K$5:$K$500+'Lot Balance'!$D$5:$D$500&gt;=$AJ392),0),0)),""))</f>
        <v>LYSL500290</v>
      </c>
      <c r="AN392" s="66" t="str">
        <f>IF($F392="","",IF($AI392&lt;&gt;"",IF(COUNTIFS('Lot Balance'!$A$5:$A$500,$F392,'Lot Balance'!$B$5:$B$500,$AI392)=0,"⚠ override is not a lot of this item",IF($AI392=$AL392,"Override = FEFO","Override - FEFO says "&amp;$AL392)),IF($AL392="","⚠ no receipt on file for this item",IF($AM392&lt;&gt;$AL392,"FEFO auto - split, also "&amp;$AM392,"FEFO auto"))))</f>
        <v>FEFO auto</v>
      </c>
      <c r="AO392" s="114"/>
    </row>
    <row r="393" spans="1:41" x14ac:dyDescent="0.35">
      <c r="A393" s="74">
        <v>46136</v>
      </c>
      <c r="B393" s="18" t="str">
        <f>IF($C393="","",IFERROR(INDEX('Staff Directory'!$A$5:$A$594,MATCH($C393,'Staff Directory'!$B$5:$B$594,0)),"⚠ unknown staff"))</f>
        <v>OEE-008-A3</v>
      </c>
      <c r="C393" s="49" t="s">
        <v>1179</v>
      </c>
      <c r="D393" s="19" t="str">
        <f>IF($B393="","",IFERROR(INDEX('Staff Directory'!$C$5:$C$594,MATCH($B393,'Staff Directory'!$A$5:$A$594,0)),""))</f>
        <v>OEE</v>
      </c>
      <c r="E393" s="19" t="str">
        <f>IF($B393="","",IFERROR(INDEX('Staff Directory'!$D$5:$D$594,MATCH($B393,'Staff Directory'!$A$5:$A$594,0)),""))</f>
        <v>A3</v>
      </c>
      <c r="F393" s="9" t="s">
        <v>115</v>
      </c>
      <c r="G393" s="18" t="str">
        <f>IF($F393="","",IFERROR(INDEX(Items!$B$5:$B$597,MATCH($F393,Items!$A$5:$A$597,0)),"⚠ not in Items"))</f>
        <v>Wipes</v>
      </c>
      <c r="H393" s="19">
        <f>IF($F393="","",IFERROR(INDEX(Items!$C$5:$C$597,MATCH($F393,Items!$A$5:$A$597,0)),""))</f>
        <v>80</v>
      </c>
      <c r="I393" s="23">
        <f>IF($F393="","",IFERROR(INDEX(Items!$E$5:$E$597,MATCH($F393,Items!$A$5:$A$597,0)),""))</f>
        <v>80</v>
      </c>
      <c r="J393" s="115">
        <f>IF(tblIssues[[#This Row],[Qty Override]]&lt;&gt;"",tblIssues[[#This Row],[Qty Override]],IF(tblIssues[[#This Row],[Standard Issue]]="","",tblIssues[[#This Row],[Standard Issue]]))</f>
        <v>80</v>
      </c>
      <c r="K393" s="20">
        <f>IF($F393="","",IFERROR(INDEX(Items!$D$5:$D$597,MATCH($F393,Items!$A$5:$A$597,0)),""))</f>
        <v>0.1</v>
      </c>
      <c r="L393" s="21">
        <f t="shared" si="72"/>
        <v>8</v>
      </c>
      <c r="M393" s="9" t="str">
        <f t="shared" si="73"/>
        <v>LYSL500290</v>
      </c>
      <c r="N393" s="24">
        <f>IF($A393="","",WORKDAY($A393,Settings!$C$9,HolidayDates))</f>
        <v>46146</v>
      </c>
      <c r="O393" s="24">
        <f>IF($N393="","",WORKDAY($N393,Settings!$C$10,HolidayDates))</f>
        <v>46184</v>
      </c>
      <c r="P393" s="10" t="s">
        <v>501</v>
      </c>
      <c r="Q393" s="52" t="str">
        <f t="shared" si="64"/>
        <v>Collected</v>
      </c>
      <c r="R393" s="55" t="str">
        <f t="shared" si="65"/>
        <v>2026-04</v>
      </c>
      <c r="S393" s="55">
        <f>IF(OR($B393="",$F393="",$R393=""),"",SUMIFS(tblIssues[Qty Issued],tblIssues[Staff ID],$B393,tblIssues[Item Name],$F393,tblIssues[Month],$R393))</f>
        <v>160</v>
      </c>
      <c r="T393" s="56">
        <f>IF($I393="","",$I393*Settings!$C$11)</f>
        <v>80</v>
      </c>
      <c r="U393" s="57" t="str">
        <f t="shared" si="74"/>
        <v>⚠ OVER QUOTA</v>
      </c>
      <c r="V393" s="55" t="str">
        <f t="shared" si="66"/>
        <v>OEE-008-A3 | Disinfectant Wipes | 2026-04</v>
      </c>
      <c r="W393" s="55" t="str">
        <f>IF($V393="","",IF(COUNTIF($V$5:$V393,$V393)=1,1,""))</f>
        <v/>
      </c>
      <c r="X393" s="58" t="str">
        <f>IF($W393="","",MAX($X$4:X392)+1)</f>
        <v/>
      </c>
      <c r="Y393" s="62"/>
      <c r="Z393" s="62"/>
      <c r="AA393" s="64" t="str">
        <f>IF($C393="","",IFERROR(INDEX('Staff Directory'!$E$5:$E$594,MATCH($C393,'Staff Directory'!$B$5:$B$594,0)),""))</f>
        <v>firstname263.lastname263@example.com</v>
      </c>
      <c r="AB393" s="64" t="str">
        <f>IF($C393="","",IF(ISNUMBER(SEARCH($D393,Settings!$C$15)),"Pickup","Dispatch"))</f>
        <v>Dispatch</v>
      </c>
      <c r="AC393" s="64" t="str">
        <f t="shared" si="67"/>
        <v>Supply order dispatched</v>
      </c>
      <c r="AD393" s="64" t="str">
        <f t="shared" si="69"/>
        <v>Dear OEE,
Your order has been dispatched and is in transit. Reply if undelivered.</v>
      </c>
      <c r="AE393" s="64" t="str">
        <f t="shared" si="70"/>
        <v>mailto:firstname263.lastname263@example.com?subject=Supply%20order%20dispatched&amp;body=Dear%20OEE%2C%0A%0AYour%20order%20has%20been%20dispatched%20and%20is%20in%20transit.%20Reply%20if%20undelivered.</v>
      </c>
      <c r="AF393" s="89" t="str">
        <f t="shared" si="68"/>
        <v>Draft email</v>
      </c>
      <c r="AG393" s="64" t="str">
        <f>IF($C393="","",IFERROR(INDEX('Staff Directory'!$K$595:$K$599,MATCH($C393,'Staff Directory'!$B$5:$B$599,0)),$D393))</f>
        <v>OEE</v>
      </c>
      <c r="AH393" t="str">
        <f>IF($C393="","",IFERROR(INDEX('Staff Directory'!$I$595:$I$599,MATCH($C393,'Staff Directory'!$B$5:$B$599,0))&amp;" "&amp;INDEX('Staff Directory'!$J$595:$J$599,MATCH($C393,'Staff Directory'!$B$5:$B$599,0)),$AG393))</f>
        <v>OEE</v>
      </c>
      <c r="AI393" s="102"/>
      <c r="AJ393" s="101">
        <f>IF($F393="","",SUMIFS($J$5:$J393,$F$5:$F393,$F393))</f>
        <v>5440</v>
      </c>
      <c r="AK393" s="101">
        <f t="shared" si="71"/>
        <v>5361</v>
      </c>
      <c r="AL393" s="66" t="str" cm="1">
        <f t="array" ref="AL393">IF($F393="","",IFERROR(INDEX('Lot Balance'!$B$5:$B$500,MATCH(1,INDEX(('Lot Balance'!$A$5:$A$500=$F393)*('Lot Balance'!$K$5:$K$500&lt;$AK393)*('Lot Balance'!$K$5:$K$500+'Lot Balance'!$D$5:$D$500&gt;=$AK393),0),0)),""))</f>
        <v>LYSL500290</v>
      </c>
      <c r="AM393" s="66" t="str" cm="1">
        <f t="array" ref="AM393">IF($F393="","",IFERROR(INDEX('Lot Balance'!$B$5:$B$500,MATCH(1,INDEX(('Lot Balance'!$A$5:$A$500=$F393)*('Lot Balance'!$K$5:$K$500&lt;$AJ393)*('Lot Balance'!$K$5:$K$500+'Lot Balance'!$D$5:$D$500&gt;=$AJ393),0),0)),""))</f>
        <v>LYSL500290</v>
      </c>
      <c r="AN393" s="66" t="str">
        <f>IF($F393="","",IF($AI393&lt;&gt;"",IF(COUNTIFS('Lot Balance'!$A$5:$A$500,$F393,'Lot Balance'!$B$5:$B$500,$AI393)=0,"⚠ override is not a lot of this item",IF($AI393=$AL393,"Override = FEFO","Override - FEFO says "&amp;$AL393)),IF($AL393="","⚠ no receipt on file for this item",IF($AM393&lt;&gt;$AL393,"FEFO auto - split, also "&amp;$AM393,"FEFO auto"))))</f>
        <v>FEFO auto</v>
      </c>
      <c r="AO393" s="114"/>
    </row>
    <row r="394" spans="1:41" x14ac:dyDescent="0.35">
      <c r="A394" s="74">
        <v>46136</v>
      </c>
      <c r="B394" s="18" t="str">
        <f>IF($C394="","",IFERROR(INDEX('Staff Directory'!$A$5:$A$594,MATCH($C394,'Staff Directory'!$B$5:$B$594,0)),"⚠ unknown staff"))</f>
        <v>PSW-168-A6</v>
      </c>
      <c r="C394" s="49" t="s">
        <v>1147</v>
      </c>
      <c r="D394" s="19" t="str">
        <f>IF($B394="","",IFERROR(INDEX('Staff Directory'!$C$5:$C$594,MATCH($B394,'Staff Directory'!$A$5:$A$594,0)),""))</f>
        <v>PSW</v>
      </c>
      <c r="E394" s="19" t="str">
        <f>IF($B394="","",IFERROR(INDEX('Staff Directory'!$D$5:$D$594,MATCH($B394,'Staff Directory'!$A$5:$A$594,0)),""))</f>
        <v>A6</v>
      </c>
      <c r="F394" s="9" t="s">
        <v>127</v>
      </c>
      <c r="G394" s="18" t="str">
        <f>IF($F394="","",IFERROR(INDEX(Items!$B$5:$B$597,MATCH($F394,Items!$A$5:$A$597,0)),"⚠ not in Items"))</f>
        <v>Gloves</v>
      </c>
      <c r="H394" s="19" t="str">
        <f>IF($F394="","",IFERROR(INDEX(Items!$C$5:$C$597,MATCH($F394,Items!$A$5:$A$597,0)),""))</f>
        <v>Medium</v>
      </c>
      <c r="I394" s="23">
        <f>IF($F394="","",IFERROR(INDEX(Items!$E$5:$E$597,MATCH($F394,Items!$A$5:$A$597,0)),""))</f>
        <v>500</v>
      </c>
      <c r="J394" s="115">
        <f>IF(tblIssues[[#This Row],[Qty Override]]&lt;&gt;"",tblIssues[[#This Row],[Qty Override]],IF(tblIssues[[#This Row],[Standard Issue]]="","",tblIssues[[#This Row],[Standard Issue]]))</f>
        <v>500</v>
      </c>
      <c r="K394" s="20">
        <f>IF($F394="","",IFERROR(INDEX(Items!$D$5:$D$597,MATCH($F394,Items!$A$5:$A$597,0)),""))</f>
        <v>5.5E-2</v>
      </c>
      <c r="L394" s="21">
        <f t="shared" si="72"/>
        <v>27.5</v>
      </c>
      <c r="M394" s="9" t="str">
        <f t="shared" si="73"/>
        <v>0312HIC25</v>
      </c>
      <c r="N394" s="24">
        <f>IF($A394="","",WORKDAY($A394,Settings!$C$9,HolidayDates))</f>
        <v>46146</v>
      </c>
      <c r="O394" s="24">
        <f>IF($N394="","",WORKDAY($N394,Settings!$C$10,HolidayDates))</f>
        <v>46184</v>
      </c>
      <c r="P394" s="10" t="s">
        <v>501</v>
      </c>
      <c r="Q394" s="52" t="str">
        <f t="shared" si="64"/>
        <v>Collected</v>
      </c>
      <c r="R394" s="55" t="str">
        <f t="shared" si="65"/>
        <v>2026-04</v>
      </c>
      <c r="S394" s="55">
        <f>IF(OR($B394="",$F394="",$R394=""),"",SUMIFS(tblIssues[Qty Issued],tblIssues[Staff ID],$B394,tblIssues[Item Name],$F394,tblIssues[Month],$R394))</f>
        <v>500</v>
      </c>
      <c r="T394" s="56">
        <f>IF($I394="","",$I394*Settings!$C$11)</f>
        <v>500</v>
      </c>
      <c r="U394" s="57" t="str">
        <f t="shared" si="74"/>
        <v>OK</v>
      </c>
      <c r="V394" s="55" t="str">
        <f t="shared" si="66"/>
        <v/>
      </c>
      <c r="W394" s="55" t="str">
        <f>IF($V394="","",IF(COUNTIF($V$5:$V394,$V394)=1,1,""))</f>
        <v/>
      </c>
      <c r="X394" s="58" t="str">
        <f>IF($W394="","",MAX($X$4:X393)+1)</f>
        <v/>
      </c>
      <c r="Y394" s="62"/>
      <c r="Z394" s="62"/>
      <c r="AA394" s="64" t="str">
        <f>IF($C394="","",IFERROR(INDEX('Staff Directory'!$E$5:$E$594,MATCH($C394,'Staff Directory'!$B$5:$B$594,0)),""))</f>
        <v>firstname231.lastname231@example.com</v>
      </c>
      <c r="AB394" s="64" t="str">
        <f>IF($C394="","",IF(ISNUMBER(SEARCH($D394,Settings!$C$15)),"Pickup","Dispatch"))</f>
        <v>Pickup</v>
      </c>
      <c r="AC394" s="64" t="str">
        <f t="shared" si="67"/>
        <v>Supply order ready for pickup</v>
      </c>
      <c r="AD394" s="64" t="str">
        <f t="shared" si="69"/>
        <v>Dear PSW,
Your order is ready for pickup from Sample Branch, Wed-Fri 9am-4pm.</v>
      </c>
      <c r="AE394" s="64" t="str">
        <f t="shared" si="70"/>
        <v>mailto:firstname231.lastname231@example.com?subject=Supply%20order%20ready%20for%20pickup&amp;body=Dear%20PSW%2C%0A%0AYour%20order%20is%20ready%20for%20pickup%20from%20Sample%20Branch%2C%20Wed-Fri%209am-4pm.</v>
      </c>
      <c r="AF394" s="89" t="str">
        <f t="shared" si="68"/>
        <v>Draft email</v>
      </c>
      <c r="AG394" s="64" t="str">
        <f>IF($C394="","",IFERROR(INDEX('Staff Directory'!$K$595:$K$599,MATCH($C394,'Staff Directory'!$B$5:$B$599,0)),$D394))</f>
        <v>PSW</v>
      </c>
      <c r="AH394" t="str">
        <f>IF($C394="","",IFERROR(INDEX('Staff Directory'!$I$595:$I$599,MATCH($C394,'Staff Directory'!$B$5:$B$599,0))&amp;" "&amp;INDEX('Staff Directory'!$J$595:$J$599,MATCH($C394,'Staff Directory'!$B$5:$B$599,0)),$AG394))</f>
        <v>PSW</v>
      </c>
      <c r="AI394" s="102"/>
      <c r="AJ394" s="101">
        <f>IF($F394="","",SUMIFS($J$5:$J394,$F$5:$F394,$F394))</f>
        <v>23000</v>
      </c>
      <c r="AK394" s="101">
        <f t="shared" si="71"/>
        <v>22501</v>
      </c>
      <c r="AL394" s="66" t="str" cm="1">
        <f t="array" ref="AL394">IF($F394="","",IFERROR(INDEX('Lot Balance'!$B$5:$B$500,MATCH(1,INDEX(('Lot Balance'!$A$5:$A$500=$F394)*('Lot Balance'!$K$5:$K$500&lt;$AK394)*('Lot Balance'!$K$5:$K$500+'Lot Balance'!$D$5:$D$500&gt;=$AK394),0),0)),""))</f>
        <v>0312HIC25</v>
      </c>
      <c r="AM394" s="66" t="str" cm="1">
        <f t="array" ref="AM394">IF($F394="","",IFERROR(INDEX('Lot Balance'!$B$5:$B$500,MATCH(1,INDEX(('Lot Balance'!$A$5:$A$500=$F394)*('Lot Balance'!$K$5:$K$500&lt;$AJ394)*('Lot Balance'!$K$5:$K$500+'Lot Balance'!$D$5:$D$500&gt;=$AJ394),0),0)),""))</f>
        <v>0312HIC25</v>
      </c>
      <c r="AN394" s="66" t="str">
        <f>IF($F394="","",IF($AI394&lt;&gt;"",IF(COUNTIFS('Lot Balance'!$A$5:$A$500,$F394,'Lot Balance'!$B$5:$B$500,$AI394)=0,"⚠ override is not a lot of this item",IF($AI394=$AL394,"Override = FEFO","Override - FEFO says "&amp;$AL394)),IF($AL394="","⚠ no receipt on file for this item",IF($AM394&lt;&gt;$AL394,"FEFO auto - split, also "&amp;$AM394,"FEFO auto"))))</f>
        <v>FEFO auto</v>
      </c>
      <c r="AO394" s="114"/>
    </row>
    <row r="395" spans="1:41" x14ac:dyDescent="0.35">
      <c r="A395" s="74">
        <v>46136</v>
      </c>
      <c r="B395" s="18" t="str">
        <f>IF($C395="","",IFERROR(INDEX('Staff Directory'!$A$5:$A$594,MATCH($C395,'Staff Directory'!$B$5:$B$594,0)),"⚠ unknown staff"))</f>
        <v>PSW-168-A6</v>
      </c>
      <c r="C395" s="49" t="s">
        <v>1147</v>
      </c>
      <c r="D395" s="19" t="str">
        <f>IF($B395="","",IFERROR(INDEX('Staff Directory'!$C$5:$C$594,MATCH($B395,'Staff Directory'!$A$5:$A$594,0)),""))</f>
        <v>PSW</v>
      </c>
      <c r="E395" s="19" t="str">
        <f>IF($B395="","",IFERROR(INDEX('Staff Directory'!$D$5:$D$594,MATCH($B395,'Staff Directory'!$A$5:$A$594,0)),""))</f>
        <v>A6</v>
      </c>
      <c r="F395" s="9" t="s">
        <v>191</v>
      </c>
      <c r="G395" s="18" t="str">
        <f>IF($F395="","",IFERROR(INDEX(Items!$B$5:$B$597,MATCH($F395,Items!$A$5:$A$597,0)),"⚠ not in Items"))</f>
        <v>Sanitizer</v>
      </c>
      <c r="H395" s="19" t="str">
        <f>IF($F395="","",IFERROR(INDEX(Items!$C$5:$C$597,MATCH($F395,Items!$A$5:$A$597,0)),""))</f>
        <v>236 ML</v>
      </c>
      <c r="I395" s="23">
        <f>IF($F395="","",IFERROR(INDEX(Items!$E$5:$E$597,MATCH($F395,Items!$A$5:$A$597,0)),""))</f>
        <v>1</v>
      </c>
      <c r="J395" s="115">
        <f>IF(tblIssues[[#This Row],[Qty Override]]&lt;&gt;"",tblIssues[[#This Row],[Qty Override]],IF(tblIssues[[#This Row],[Standard Issue]]="","",tblIssues[[#This Row],[Standard Issue]]))</f>
        <v>1</v>
      </c>
      <c r="K395" s="20">
        <f>IF($F395="","",IFERROR(INDEX(Items!$D$5:$D$597,MATCH($F395,Items!$A$5:$A$597,0)),""))</f>
        <v>1E-4</v>
      </c>
      <c r="L395" s="21">
        <f t="shared" si="72"/>
        <v>1E-4</v>
      </c>
      <c r="M395" s="9" t="str">
        <f t="shared" si="73"/>
        <v>20-21734-1</v>
      </c>
      <c r="N395" s="24">
        <f>IF($A395="","",WORKDAY($A395,Settings!$C$9,HolidayDates))</f>
        <v>46146</v>
      </c>
      <c r="O395" s="24">
        <f>IF($N395="","",WORKDAY($N395,Settings!$C$10,HolidayDates))</f>
        <v>46184</v>
      </c>
      <c r="P395" s="10" t="s">
        <v>501</v>
      </c>
      <c r="Q395" s="52" t="str">
        <f t="shared" si="64"/>
        <v>Collected</v>
      </c>
      <c r="R395" s="55" t="str">
        <f t="shared" si="65"/>
        <v>2026-04</v>
      </c>
      <c r="S395" s="55">
        <f>IF(OR($B395="",$F395="",$R395=""),"",SUMIFS(tblIssues[Qty Issued],tblIssues[Staff ID],$B395,tblIssues[Item Name],$F395,tblIssues[Month],$R395))</f>
        <v>1</v>
      </c>
      <c r="T395" s="56">
        <f>IF($I395="","",$I395*Settings!$C$11)</f>
        <v>1</v>
      </c>
      <c r="U395" s="57" t="str">
        <f t="shared" si="74"/>
        <v>OK</v>
      </c>
      <c r="V395" s="55" t="str">
        <f t="shared" si="66"/>
        <v/>
      </c>
      <c r="W395" s="55" t="str">
        <f>IF($V395="","",IF(COUNTIF($V$5:$V395,$V395)=1,1,""))</f>
        <v/>
      </c>
      <c r="X395" s="58" t="str">
        <f>IF($W395="","",MAX($X$4:X394)+1)</f>
        <v/>
      </c>
      <c r="Y395" s="62"/>
      <c r="Z395" s="62"/>
      <c r="AA395" s="64" t="str">
        <f>IF($C395="","",IFERROR(INDEX('Staff Directory'!$E$5:$E$594,MATCH($C395,'Staff Directory'!$B$5:$B$594,0)),""))</f>
        <v>firstname231.lastname231@example.com</v>
      </c>
      <c r="AB395" s="64" t="str">
        <f>IF($C395="","",IF(ISNUMBER(SEARCH($D395,Settings!$C$15)),"Pickup","Dispatch"))</f>
        <v>Pickup</v>
      </c>
      <c r="AC395" s="64" t="str">
        <f t="shared" si="67"/>
        <v>Supply order ready for pickup</v>
      </c>
      <c r="AD395" s="64" t="str">
        <f t="shared" si="69"/>
        <v>Dear PSW,
Your order is ready for pickup from Sample Branch, Wed-Fri 9am-4pm.</v>
      </c>
      <c r="AE395" s="64" t="str">
        <f t="shared" si="70"/>
        <v>mailto:firstname231.lastname231@example.com?subject=Supply%20order%20ready%20for%20pickup&amp;body=Dear%20PSW%2C%0A%0AYour%20order%20is%20ready%20for%20pickup%20from%20Sample%20Branch%2C%20Wed-Fri%209am-4pm.</v>
      </c>
      <c r="AF395" s="89" t="str">
        <f t="shared" si="68"/>
        <v>Draft email</v>
      </c>
      <c r="AG395" s="64" t="str">
        <f>IF($C395="","",IFERROR(INDEX('Staff Directory'!$K$595:$K$599,MATCH($C395,'Staff Directory'!$B$5:$B$599,0)),$D395))</f>
        <v>PSW</v>
      </c>
      <c r="AH395" t="str">
        <f>IF($C395="","",IFERROR(INDEX('Staff Directory'!$I$595:$I$599,MATCH($C395,'Staff Directory'!$B$5:$B$599,0))&amp;" "&amp;INDEX('Staff Directory'!$J$595:$J$599,MATCH($C395,'Staff Directory'!$B$5:$B$599,0)),$AG395))</f>
        <v>PSW</v>
      </c>
      <c r="AI395" s="102"/>
      <c r="AJ395" s="101">
        <f>IF($F395="","",SUMIFS($J$5:$J395,$F$5:$F395,$F395))</f>
        <v>30</v>
      </c>
      <c r="AK395" s="101">
        <f t="shared" si="71"/>
        <v>30</v>
      </c>
      <c r="AL395" s="66" t="str" cm="1">
        <f t="array" ref="AL395">IF($F395="","",IFERROR(INDEX('Lot Balance'!$B$5:$B$500,MATCH(1,INDEX(('Lot Balance'!$A$5:$A$500=$F395)*('Lot Balance'!$K$5:$K$500&lt;$AK395)*('Lot Balance'!$K$5:$K$500+'Lot Balance'!$D$5:$D$500&gt;=$AK395),0),0)),""))</f>
        <v>20-21734-1</v>
      </c>
      <c r="AM395" s="66" t="str" cm="1">
        <f t="array" ref="AM395">IF($F395="","",IFERROR(INDEX('Lot Balance'!$B$5:$B$500,MATCH(1,INDEX(('Lot Balance'!$A$5:$A$500=$F395)*('Lot Balance'!$K$5:$K$500&lt;$AJ395)*('Lot Balance'!$K$5:$K$500+'Lot Balance'!$D$5:$D$500&gt;=$AJ395),0),0)),""))</f>
        <v>20-21734-1</v>
      </c>
      <c r="AN395" s="66" t="str">
        <f>IF($F395="","",IF($AI395&lt;&gt;"",IF(COUNTIFS('Lot Balance'!$A$5:$A$500,$F395,'Lot Balance'!$B$5:$B$500,$AI395)=0,"⚠ override is not a lot of this item",IF($AI395=$AL395,"Override = FEFO","Override - FEFO says "&amp;$AL395)),IF($AL395="","⚠ no receipt on file for this item",IF($AM395&lt;&gt;$AL395,"FEFO auto - split, also "&amp;$AM395,"FEFO auto"))))</f>
        <v>FEFO auto</v>
      </c>
      <c r="AO395" s="114"/>
    </row>
    <row r="396" spans="1:41" x14ac:dyDescent="0.35">
      <c r="A396" s="74">
        <v>46136</v>
      </c>
      <c r="B396" s="18" t="str">
        <f>IF($C396="","",IFERROR(INDEX('Staff Directory'!$A$5:$A$594,MATCH($C396,'Staff Directory'!$B$5:$B$594,0)),"⚠ unknown staff"))</f>
        <v>PSW-168-A6</v>
      </c>
      <c r="C396" s="49" t="s">
        <v>1147</v>
      </c>
      <c r="D396" s="19" t="str">
        <f>IF($B396="","",IFERROR(INDEX('Staff Directory'!$C$5:$C$594,MATCH($B396,'Staff Directory'!$A$5:$A$594,0)),""))</f>
        <v>PSW</v>
      </c>
      <c r="E396" s="19" t="str">
        <f>IF($B396="","",IFERROR(INDEX('Staff Directory'!$D$5:$D$594,MATCH($B396,'Staff Directory'!$A$5:$A$594,0)),""))</f>
        <v>A6</v>
      </c>
      <c r="F396" s="9" t="s">
        <v>755</v>
      </c>
      <c r="G396" s="18" t="str">
        <f>IF($F396="","",IFERROR(INDEX(Items!$B$5:$B$597,MATCH($F396,Items!$A$5:$A$597,0)),"⚠ not in Items"))</f>
        <v>Documents</v>
      </c>
      <c r="H396" s="19" t="str">
        <f>IF($F396="","",IFERROR(INDEX(Items!$C$5:$C$597,MATCH($F396,Items!$A$5:$A$597,0)),""))</f>
        <v>Standard</v>
      </c>
      <c r="I396" s="23">
        <f>IF($F396="","",IFERROR(INDEX(Items!$E$5:$E$597,MATCH($F396,Items!$A$5:$A$597,0)),""))</f>
        <v>2</v>
      </c>
      <c r="J396" s="115">
        <f>IF(tblIssues[[#This Row],[Qty Override]]&lt;&gt;"",tblIssues[[#This Row],[Qty Override]],IF(tblIssues[[#This Row],[Standard Issue]]="","",tblIssues[[#This Row],[Standard Issue]]))</f>
        <v>2</v>
      </c>
      <c r="K396" s="20">
        <f>IF($F396="","",IFERROR(INDEX(Items!$D$5:$D$597,MATCH($F396,Items!$A$5:$A$597,0)),""))</f>
        <v>0</v>
      </c>
      <c r="L396" s="21">
        <f t="shared" si="72"/>
        <v>0</v>
      </c>
      <c r="M396" s="9" t="str">
        <f t="shared" si="73"/>
        <v/>
      </c>
      <c r="N396" s="24">
        <f>IF($A396="","",WORKDAY($A396,Settings!$C$9,HolidayDates))</f>
        <v>46146</v>
      </c>
      <c r="O396" s="24">
        <f>IF($N396="","",WORKDAY($N396,Settings!$C$10,HolidayDates))</f>
        <v>46184</v>
      </c>
      <c r="P396" s="10" t="s">
        <v>501</v>
      </c>
      <c r="Q396" s="52" t="str">
        <f t="shared" si="64"/>
        <v>Collected</v>
      </c>
      <c r="R396" s="55" t="str">
        <f t="shared" si="65"/>
        <v>2026-04</v>
      </c>
      <c r="S396" s="55">
        <f>IF(OR($B396="",$F396="",$R396=""),"",SUMIFS(tblIssues[Qty Issued],tblIssues[Staff ID],$B396,tblIssues[Item Name],$F396,tblIssues[Month],$R396))</f>
        <v>2</v>
      </c>
      <c r="T396" s="56">
        <f>IF($I396="","",$I396*Settings!$C$11)</f>
        <v>2</v>
      </c>
      <c r="U396" s="57" t="str">
        <f t="shared" si="74"/>
        <v>OK</v>
      </c>
      <c r="V396" s="55" t="str">
        <f t="shared" si="66"/>
        <v/>
      </c>
      <c r="W396" s="55" t="str">
        <f>IF($V396="","",IF(COUNTIF($V$5:$V396,$V396)=1,1,""))</f>
        <v/>
      </c>
      <c r="X396" s="58" t="str">
        <f>IF($W396="","",MAX($X$4:X395)+1)</f>
        <v/>
      </c>
      <c r="Y396" s="62"/>
      <c r="Z396" s="62"/>
      <c r="AA396" s="64" t="str">
        <f>IF($C396="","",IFERROR(INDEX('Staff Directory'!$E$5:$E$594,MATCH($C396,'Staff Directory'!$B$5:$B$594,0)),""))</f>
        <v>firstname231.lastname231@example.com</v>
      </c>
      <c r="AB396" s="64" t="str">
        <f>IF($C396="","",IF(ISNUMBER(SEARCH($D396,Settings!$C$15)),"Pickup","Dispatch"))</f>
        <v>Pickup</v>
      </c>
      <c r="AC396" s="64" t="str">
        <f t="shared" si="67"/>
        <v>Supply order ready for pickup</v>
      </c>
      <c r="AD396" s="64" t="str">
        <f t="shared" si="69"/>
        <v>Dear PSW,
Your order is ready for pickup from Sample Branch, Wed-Fri 9am-4pm.</v>
      </c>
      <c r="AE396" s="64" t="str">
        <f t="shared" si="70"/>
        <v>mailto:firstname231.lastname231@example.com?subject=Supply%20order%20ready%20for%20pickup&amp;body=Dear%20PSW%2C%0A%0AYour%20order%20is%20ready%20for%20pickup%20from%20Sample%20Branch%2C%20Wed-Fri%209am-4pm.</v>
      </c>
      <c r="AF396" s="89" t="str">
        <f t="shared" si="68"/>
        <v>Draft email</v>
      </c>
      <c r="AG396" s="64" t="str">
        <f>IF($C396="","",IFERROR(INDEX('Staff Directory'!$K$595:$K$599,MATCH($C396,'Staff Directory'!$B$5:$B$599,0)),$D396))</f>
        <v>PSW</v>
      </c>
      <c r="AH396" t="str">
        <f>IF($C396="","",IFERROR(INDEX('Staff Directory'!$I$595:$I$599,MATCH($C396,'Staff Directory'!$B$5:$B$599,0))&amp;" "&amp;INDEX('Staff Directory'!$J$595:$J$599,MATCH($C396,'Staff Directory'!$B$5:$B$599,0)),$AG396))</f>
        <v>PSW</v>
      </c>
      <c r="AI396" s="102"/>
      <c r="AJ396" s="101">
        <f>IF($F396="","",SUMIFS($J$5:$J396,$F$5:$F396,$F396))</f>
        <v>112</v>
      </c>
      <c r="AK396" s="101">
        <f t="shared" si="71"/>
        <v>111</v>
      </c>
      <c r="AL396" s="66" t="str" cm="1">
        <f t="array" ref="AL396">IF($F396="","",IFERROR(INDEX('Lot Balance'!$B$5:$B$500,MATCH(1,INDEX(('Lot Balance'!$A$5:$A$500=$F396)*('Lot Balance'!$K$5:$K$500&lt;$AK396)*('Lot Balance'!$K$5:$K$500+'Lot Balance'!$D$5:$D$500&gt;=$AK396),0),0)),""))</f>
        <v/>
      </c>
      <c r="AM396" s="66" t="str" cm="1">
        <f t="array" ref="AM396">IF($F396="","",IFERROR(INDEX('Lot Balance'!$B$5:$B$500,MATCH(1,INDEX(('Lot Balance'!$A$5:$A$500=$F396)*('Lot Balance'!$K$5:$K$500&lt;$AJ396)*('Lot Balance'!$K$5:$K$500+'Lot Balance'!$D$5:$D$500&gt;=$AJ396),0),0)),""))</f>
        <v/>
      </c>
      <c r="AN396" s="66" t="str">
        <f>IF($F396="","",IF($AI396&lt;&gt;"",IF(COUNTIFS('Lot Balance'!$A$5:$A$500,$F396,'Lot Balance'!$B$5:$B$500,$AI396)=0,"⚠ override is not a lot of this item",IF($AI396=$AL396,"Override = FEFO","Override - FEFO says "&amp;$AL396)),IF($AL396="","⚠ no receipt on file for this item",IF($AM396&lt;&gt;$AL396,"FEFO auto - split, also "&amp;$AM396,"FEFO auto"))))</f>
        <v>⚠ no receipt on file for this item</v>
      </c>
      <c r="AO396" s="114"/>
    </row>
    <row r="397" spans="1:41" x14ac:dyDescent="0.35">
      <c r="A397" s="74">
        <v>46140</v>
      </c>
      <c r="B397" s="18" t="str">
        <f>IF($C397="","",IFERROR(INDEX('Staff Directory'!$A$5:$A$594,MATCH($C397,'Staff Directory'!$B$5:$B$594,0)),"⚠ unknown staff"))</f>
        <v>PSW-025-A4</v>
      </c>
      <c r="C397" s="49" t="s">
        <v>1001</v>
      </c>
      <c r="D397" s="19" t="str">
        <f>IF($B397="","",IFERROR(INDEX('Staff Directory'!$C$5:$C$594,MATCH($B397,'Staff Directory'!$A$5:$A$594,0)),""))</f>
        <v>PSW</v>
      </c>
      <c r="E397" s="19" t="str">
        <f>IF($B397="","",IFERROR(INDEX('Staff Directory'!$D$5:$D$594,MATCH($B397,'Staff Directory'!$A$5:$A$594,0)),""))</f>
        <v>A4</v>
      </c>
      <c r="F397" s="9" t="s">
        <v>124</v>
      </c>
      <c r="G397" s="18" t="str">
        <f>IF($F397="","",IFERROR(INDEX(Items!$B$5:$B$597,MATCH($F397,Items!$A$5:$A$597,0)),"⚠ not in Items"))</f>
        <v>Gloves</v>
      </c>
      <c r="H397" s="19" t="str">
        <f>IF($F397="","",IFERROR(INDEX(Items!$C$5:$C$597,MATCH($F397,Items!$A$5:$A$597,0)),""))</f>
        <v>Large</v>
      </c>
      <c r="I397" s="23">
        <f>IF($F397="","",IFERROR(INDEX(Items!$E$5:$E$597,MATCH($F397,Items!$A$5:$A$597,0)),""))</f>
        <v>500</v>
      </c>
      <c r="J397" s="115">
        <f>IF(tblIssues[[#This Row],[Qty Override]]&lt;&gt;"",tblIssues[[#This Row],[Qty Override]],IF(tblIssues[[#This Row],[Standard Issue]]="","",tblIssues[[#This Row],[Standard Issue]]))</f>
        <v>500</v>
      </c>
      <c r="K397" s="20">
        <f>IF($F397="","",IFERROR(INDEX(Items!$D$5:$D$597,MATCH($F397,Items!$A$5:$A$597,0)),""))</f>
        <v>5.5E-2</v>
      </c>
      <c r="L397" s="21">
        <f t="shared" si="72"/>
        <v>27.5</v>
      </c>
      <c r="M397" s="9" t="str">
        <f t="shared" si="73"/>
        <v>ZIM511139904-0</v>
      </c>
      <c r="N397" s="24">
        <f>IF($A397="","",WORKDAY($A397,Settings!$C$9,HolidayDates))</f>
        <v>46148</v>
      </c>
      <c r="O397" s="24">
        <f>IF($N397="","",WORKDAY($N397,Settings!$C$10,HolidayDates))</f>
        <v>46188</v>
      </c>
      <c r="P397" s="10" t="s">
        <v>501</v>
      </c>
      <c r="Q397" s="52" t="str">
        <f t="shared" si="64"/>
        <v>Collected</v>
      </c>
      <c r="R397" s="55" t="str">
        <f t="shared" si="65"/>
        <v>2026-04</v>
      </c>
      <c r="S397" s="55">
        <f>IF(OR($B397="",$F397="",$R397=""),"",SUMIFS(tblIssues[Qty Issued],tblIssues[Staff ID],$B397,tblIssues[Item Name],$F397,tblIssues[Month],$R397))</f>
        <v>500</v>
      </c>
      <c r="T397" s="56">
        <f>IF($I397="","",$I397*Settings!$C$11)</f>
        <v>500</v>
      </c>
      <c r="U397" s="57" t="str">
        <f t="shared" si="74"/>
        <v>OK</v>
      </c>
      <c r="V397" s="55" t="str">
        <f t="shared" si="66"/>
        <v/>
      </c>
      <c r="W397" s="55" t="str">
        <f>IF($V397="","",IF(COUNTIF($V$5:$V397,$V397)=1,1,""))</f>
        <v/>
      </c>
      <c r="X397" s="58" t="str">
        <f>IF($W397="","",MAX($X$4:X396)+1)</f>
        <v/>
      </c>
      <c r="Y397" s="62"/>
      <c r="Z397" s="62"/>
      <c r="AA397" s="64" t="str">
        <f>IF($C397="","",IFERROR(INDEX('Staff Directory'!$E$5:$E$594,MATCH($C397,'Staff Directory'!$B$5:$B$594,0)),""))</f>
        <v>firstname085.lastname085@example.com</v>
      </c>
      <c r="AB397" s="64" t="str">
        <f>IF($C397="","",IF(ISNUMBER(SEARCH($D397,Settings!$C$15)),"Pickup","Dispatch"))</f>
        <v>Pickup</v>
      </c>
      <c r="AC397" s="64" t="str">
        <f t="shared" si="67"/>
        <v>Supply order ready for pickup</v>
      </c>
      <c r="AD397" s="64" t="str">
        <f t="shared" si="69"/>
        <v>Dear PSW,
Your order is ready for pickup from Sample Branch, Wed-Fri 9am-4pm.</v>
      </c>
      <c r="AE397" s="64" t="str">
        <f t="shared" si="70"/>
        <v>mailto:firstname085.lastname085@example.com?subject=Supply%20order%20ready%20for%20pickup&amp;body=Dear%20PSW%2C%0A%0AYour%20order%20is%20ready%20for%20pickup%20from%20Sample%20Branch%2C%20Wed-Fri%209am-4pm.</v>
      </c>
      <c r="AF397" s="89" t="str">
        <f t="shared" si="68"/>
        <v>Draft email</v>
      </c>
      <c r="AG397" s="64" t="str">
        <f>IF($C397="","",IFERROR(INDEX('Staff Directory'!$K$595:$K$599,MATCH($C397,'Staff Directory'!$B$5:$B$599,0)),$D397))</f>
        <v>PSW</v>
      </c>
      <c r="AH397" t="str">
        <f>IF($C397="","",IFERROR(INDEX('Staff Directory'!$I$595:$I$599,MATCH($C397,'Staff Directory'!$B$5:$B$599,0))&amp;" "&amp;INDEX('Staff Directory'!$J$595:$J$599,MATCH($C397,'Staff Directory'!$B$5:$B$599,0)),$AG397))</f>
        <v>PSW</v>
      </c>
      <c r="AI397" s="102"/>
      <c r="AJ397" s="101">
        <f>IF($F397="","",SUMIFS($J$5:$J397,$F$5:$F397,$F397))</f>
        <v>10500</v>
      </c>
      <c r="AK397" s="101">
        <f t="shared" si="71"/>
        <v>10001</v>
      </c>
      <c r="AL397" s="66" t="str" cm="1">
        <f t="array" ref="AL397">IF($F397="","",IFERROR(INDEX('Lot Balance'!$B$5:$B$500,MATCH(1,INDEX(('Lot Balance'!$A$5:$A$500=$F397)*('Lot Balance'!$K$5:$K$500&lt;$AK397)*('Lot Balance'!$K$5:$K$500+'Lot Balance'!$D$5:$D$500&gt;=$AK397),0),0)),""))</f>
        <v>ZIM511139904-0</v>
      </c>
      <c r="AM397" s="66" t="str" cm="1">
        <f t="array" ref="AM397">IF($F397="","",IFERROR(INDEX('Lot Balance'!$B$5:$B$500,MATCH(1,INDEX(('Lot Balance'!$A$5:$A$500=$F397)*('Lot Balance'!$K$5:$K$500&lt;$AJ397)*('Lot Balance'!$K$5:$K$500+'Lot Balance'!$D$5:$D$500&gt;=$AJ397),0),0)),""))</f>
        <v>0417HIC25-0</v>
      </c>
      <c r="AN397" s="66" t="str">
        <f>IF($F397="","",IF($AI397&lt;&gt;"",IF(COUNTIFS('Lot Balance'!$A$5:$A$500,$F397,'Lot Balance'!$B$5:$B$500,$AI397)=0,"⚠ override is not a lot of this item",IF($AI397=$AL397,"Override = FEFO","Override - FEFO says "&amp;$AL397)),IF($AL397="","⚠ no receipt on file for this item",IF($AM397&lt;&gt;$AL397,"FEFO auto - split, also "&amp;$AM397,"FEFO auto"))))</f>
        <v>FEFO auto - split, also 0417HIC25-0</v>
      </c>
      <c r="AO397" s="114"/>
    </row>
    <row r="398" spans="1:41" x14ac:dyDescent="0.35">
      <c r="A398" s="74">
        <v>46140</v>
      </c>
      <c r="B398" s="18" t="str">
        <f>IF($C398="","",IFERROR(INDEX('Staff Directory'!$A$5:$A$594,MATCH($C398,'Staff Directory'!$B$5:$B$594,0)),"⚠ unknown staff"))</f>
        <v>PSW-025-A4</v>
      </c>
      <c r="C398" s="49" t="s">
        <v>1001</v>
      </c>
      <c r="D398" s="19" t="str">
        <f>IF($B398="","",IFERROR(INDEX('Staff Directory'!$C$5:$C$594,MATCH($B398,'Staff Directory'!$A$5:$A$594,0)),""))</f>
        <v>PSW</v>
      </c>
      <c r="E398" s="19" t="str">
        <f>IF($B398="","",IFERROR(INDEX('Staff Directory'!$D$5:$D$594,MATCH($B398,'Staff Directory'!$A$5:$A$594,0)),""))</f>
        <v>A4</v>
      </c>
      <c r="F398" s="9" t="s">
        <v>191</v>
      </c>
      <c r="G398" s="18" t="str">
        <f>IF($F398="","",IFERROR(INDEX(Items!$B$5:$B$597,MATCH($F398,Items!$A$5:$A$597,0)),"⚠ not in Items"))</f>
        <v>Sanitizer</v>
      </c>
      <c r="H398" s="19" t="str">
        <f>IF($F398="","",IFERROR(INDEX(Items!$C$5:$C$597,MATCH($F398,Items!$A$5:$A$597,0)),""))</f>
        <v>236 ML</v>
      </c>
      <c r="I398" s="23">
        <f>IF($F398="","",IFERROR(INDEX(Items!$E$5:$E$597,MATCH($F398,Items!$A$5:$A$597,0)),""))</f>
        <v>1</v>
      </c>
      <c r="J398" s="115">
        <f>IF(tblIssues[[#This Row],[Qty Override]]&lt;&gt;"",tblIssues[[#This Row],[Qty Override]],IF(tblIssues[[#This Row],[Standard Issue]]="","",tblIssues[[#This Row],[Standard Issue]]))</f>
        <v>1</v>
      </c>
      <c r="K398" s="20">
        <f>IF($F398="","",IFERROR(INDEX(Items!$D$5:$D$597,MATCH($F398,Items!$A$5:$A$597,0)),""))</f>
        <v>1E-4</v>
      </c>
      <c r="L398" s="21">
        <f t="shared" si="72"/>
        <v>1E-4</v>
      </c>
      <c r="M398" s="9" t="str">
        <f t="shared" si="73"/>
        <v>20-21734-1</v>
      </c>
      <c r="N398" s="24">
        <f>IF($A398="","",WORKDAY($A398,Settings!$C$9,HolidayDates))</f>
        <v>46148</v>
      </c>
      <c r="O398" s="24">
        <f>IF($N398="","",WORKDAY($N398,Settings!$C$10,HolidayDates))</f>
        <v>46188</v>
      </c>
      <c r="P398" s="10" t="s">
        <v>501</v>
      </c>
      <c r="Q398" s="52" t="str">
        <f t="shared" ref="Q398:Q461" si="75">IF($A398="","",IF($P398&lt;&gt;"","Collected","Pending"))</f>
        <v>Collected</v>
      </c>
      <c r="R398" s="55" t="str">
        <f t="shared" ref="R398:R461" si="76">IF($A398="","",TEXT($A398,"yyyy-mm"))</f>
        <v>2026-04</v>
      </c>
      <c r="S398" s="55">
        <f>IF(OR($B398="",$F398="",$R398=""),"",SUMIFS(tblIssues[Qty Issued],tblIssues[Staff ID],$B398,tblIssues[Item Name],$F398,tblIssues[Month],$R398))</f>
        <v>1</v>
      </c>
      <c r="T398" s="56">
        <f>IF($I398="","",$I398*Settings!$C$11)</f>
        <v>1</v>
      </c>
      <c r="U398" s="57" t="str">
        <f t="shared" si="74"/>
        <v>OK</v>
      </c>
      <c r="V398" s="55" t="str">
        <f t="shared" ref="V398:V461" si="77">IF($U398="⚠ OVER QUOTA",$B398&amp;" | "&amp;$F398&amp;" | "&amp;$R398,"")</f>
        <v/>
      </c>
      <c r="W398" s="55" t="str">
        <f>IF($V398="","",IF(COUNTIF($V$5:$V398,$V398)=1,1,""))</f>
        <v/>
      </c>
      <c r="X398" s="58" t="str">
        <f>IF($W398="","",MAX($X$4:X397)+1)</f>
        <v/>
      </c>
      <c r="Y398" s="62"/>
      <c r="Z398" s="62"/>
      <c r="AA398" s="64" t="str">
        <f>IF($C398="","",IFERROR(INDEX('Staff Directory'!$E$5:$E$594,MATCH($C398,'Staff Directory'!$B$5:$B$594,0)),""))</f>
        <v>firstname085.lastname085@example.com</v>
      </c>
      <c r="AB398" s="64" t="str">
        <f>IF($C398="","",IF(ISNUMBER(SEARCH($D398,Settings!$C$15)),"Pickup","Dispatch"))</f>
        <v>Pickup</v>
      </c>
      <c r="AC398" s="64" t="str">
        <f t="shared" ref="AC398:AC461" si="78">IF($AB398="Pickup","Supply order ready for pickup",IF($AB398="Dispatch","Supply order dispatched",""))</f>
        <v>Supply order ready for pickup</v>
      </c>
      <c r="AD398" s="64" t="str">
        <f t="shared" si="69"/>
        <v>Dear PSW,
Your order is ready for pickup from Sample Branch, Wed-Fri 9am-4pm.</v>
      </c>
      <c r="AE398" s="64" t="str">
        <f t="shared" si="70"/>
        <v>mailto:firstname085.lastname085@example.com?subject=Supply%20order%20ready%20for%20pickup&amp;body=Dear%20PSW%2C%0A%0AYour%20order%20is%20ready%20for%20pickup%20from%20Sample%20Branch%2C%20Wed-Fri%209am-4pm.</v>
      </c>
      <c r="AF398" s="89" t="str">
        <f t="shared" ref="AF398:AF461" si="79">IF(AE398="","",HYPERLINK(AE398,"Draft email"))</f>
        <v>Draft email</v>
      </c>
      <c r="AG398" s="64" t="str">
        <f>IF($C398="","",IFERROR(INDEX('Staff Directory'!$K$595:$K$599,MATCH($C398,'Staff Directory'!$B$5:$B$599,0)),$D398))</f>
        <v>PSW</v>
      </c>
      <c r="AH398" t="str">
        <f>IF($C398="","",IFERROR(INDEX('Staff Directory'!$I$595:$I$599,MATCH($C398,'Staff Directory'!$B$5:$B$599,0))&amp;" "&amp;INDEX('Staff Directory'!$J$595:$J$599,MATCH($C398,'Staff Directory'!$B$5:$B$599,0)),$AG398))</f>
        <v>PSW</v>
      </c>
      <c r="AI398" s="102"/>
      <c r="AJ398" s="101">
        <f>IF($F398="","",SUMIFS($J$5:$J398,$F$5:$F398,$F398))</f>
        <v>31</v>
      </c>
      <c r="AK398" s="101">
        <f t="shared" si="71"/>
        <v>31</v>
      </c>
      <c r="AL398" s="66" t="str" cm="1">
        <f t="array" ref="AL398">IF($F398="","",IFERROR(INDEX('Lot Balance'!$B$5:$B$500,MATCH(1,INDEX(('Lot Balance'!$A$5:$A$500=$F398)*('Lot Balance'!$K$5:$K$500&lt;$AK398)*('Lot Balance'!$K$5:$K$500+'Lot Balance'!$D$5:$D$500&gt;=$AK398),0),0)),""))</f>
        <v>20-21734-1</v>
      </c>
      <c r="AM398" s="66" t="str" cm="1">
        <f t="array" ref="AM398">IF($F398="","",IFERROR(INDEX('Lot Balance'!$B$5:$B$500,MATCH(1,INDEX(('Lot Balance'!$A$5:$A$500=$F398)*('Lot Balance'!$K$5:$K$500&lt;$AJ398)*('Lot Balance'!$K$5:$K$500+'Lot Balance'!$D$5:$D$500&gt;=$AJ398),0),0)),""))</f>
        <v>20-21734-1</v>
      </c>
      <c r="AN398" s="66" t="str">
        <f>IF($F398="","",IF($AI398&lt;&gt;"",IF(COUNTIFS('Lot Balance'!$A$5:$A$500,$F398,'Lot Balance'!$B$5:$B$500,$AI398)=0,"⚠ override is not a lot of this item",IF($AI398=$AL398,"Override = FEFO","Override - FEFO says "&amp;$AL398)),IF($AL398="","⚠ no receipt on file for this item",IF($AM398&lt;&gt;$AL398,"FEFO auto - split, also "&amp;$AM398,"FEFO auto"))))</f>
        <v>FEFO auto</v>
      </c>
      <c r="AO398" s="114"/>
    </row>
    <row r="399" spans="1:41" x14ac:dyDescent="0.35">
      <c r="A399" s="74">
        <v>46140</v>
      </c>
      <c r="B399" s="18" t="str">
        <f>IF($C399="","",IFERROR(INDEX('Staff Directory'!$A$5:$A$594,MATCH($C399,'Staff Directory'!$B$5:$B$594,0)),"⚠ unknown staff"))</f>
        <v>PSW-025-A4</v>
      </c>
      <c r="C399" s="49" t="s">
        <v>1001</v>
      </c>
      <c r="D399" s="19" t="str">
        <f>IF($B399="","",IFERROR(INDEX('Staff Directory'!$C$5:$C$594,MATCH($B399,'Staff Directory'!$A$5:$A$594,0)),""))</f>
        <v>PSW</v>
      </c>
      <c r="E399" s="19" t="str">
        <f>IF($B399="","",IFERROR(INDEX('Staff Directory'!$D$5:$D$594,MATCH($B399,'Staff Directory'!$A$5:$A$594,0)),""))</f>
        <v>A4</v>
      </c>
      <c r="F399" s="9" t="s">
        <v>115</v>
      </c>
      <c r="G399" s="18" t="str">
        <f>IF($F399="","",IFERROR(INDEX(Items!$B$5:$B$597,MATCH($F399,Items!$A$5:$A$597,0)),"⚠ not in Items"))</f>
        <v>Wipes</v>
      </c>
      <c r="H399" s="19">
        <f>IF($F399="","",IFERROR(INDEX(Items!$C$5:$C$597,MATCH($F399,Items!$A$5:$A$597,0)),""))</f>
        <v>80</v>
      </c>
      <c r="I399" s="23">
        <f>IF($F399="","",IFERROR(INDEX(Items!$E$5:$E$597,MATCH($F399,Items!$A$5:$A$597,0)),""))</f>
        <v>80</v>
      </c>
      <c r="J399" s="115">
        <f>IF(tblIssues[[#This Row],[Qty Override]]&lt;&gt;"",tblIssues[[#This Row],[Qty Override]],IF(tblIssues[[#This Row],[Standard Issue]]="","",tblIssues[[#This Row],[Standard Issue]]))</f>
        <v>80</v>
      </c>
      <c r="K399" s="20">
        <f>IF($F399="","",IFERROR(INDEX(Items!$D$5:$D$597,MATCH($F399,Items!$A$5:$A$597,0)),""))</f>
        <v>0.1</v>
      </c>
      <c r="L399" s="21">
        <f t="shared" si="72"/>
        <v>8</v>
      </c>
      <c r="M399" s="9" t="str">
        <f t="shared" si="73"/>
        <v>LYSL500290</v>
      </c>
      <c r="N399" s="24">
        <f>IF($A399="","",WORKDAY($A399,Settings!$C$9,HolidayDates))</f>
        <v>46148</v>
      </c>
      <c r="O399" s="24">
        <f>IF($N399="","",WORKDAY($N399,Settings!$C$10,HolidayDates))</f>
        <v>46188</v>
      </c>
      <c r="P399" s="10" t="s">
        <v>501</v>
      </c>
      <c r="Q399" s="52" t="str">
        <f t="shared" si="75"/>
        <v>Collected</v>
      </c>
      <c r="R399" s="55" t="str">
        <f t="shared" si="76"/>
        <v>2026-04</v>
      </c>
      <c r="S399" s="55">
        <f>IF(OR($B399="",$F399="",$R399=""),"",SUMIFS(tblIssues[Qty Issued],tblIssues[Staff ID],$B399,tblIssues[Item Name],$F399,tblIssues[Month],$R399))</f>
        <v>80</v>
      </c>
      <c r="T399" s="56">
        <f>IF($I399="","",$I399*Settings!$C$11)</f>
        <v>80</v>
      </c>
      <c r="U399" s="57" t="str">
        <f t="shared" si="74"/>
        <v>OK</v>
      </c>
      <c r="V399" s="55" t="str">
        <f t="shared" si="77"/>
        <v/>
      </c>
      <c r="W399" s="55" t="str">
        <f>IF($V399="","",IF(COUNTIF($V$5:$V399,$V399)=1,1,""))</f>
        <v/>
      </c>
      <c r="X399" s="58" t="str">
        <f>IF($W399="","",MAX($X$4:X398)+1)</f>
        <v/>
      </c>
      <c r="Y399" s="62"/>
      <c r="Z399" s="62"/>
      <c r="AA399" s="64" t="str">
        <f>IF($C399="","",IFERROR(INDEX('Staff Directory'!$E$5:$E$594,MATCH($C399,'Staff Directory'!$B$5:$B$594,0)),""))</f>
        <v>firstname085.lastname085@example.com</v>
      </c>
      <c r="AB399" s="64" t="str">
        <f>IF($C399="","",IF(ISNUMBER(SEARCH($D399,Settings!$C$15)),"Pickup","Dispatch"))</f>
        <v>Pickup</v>
      </c>
      <c r="AC399" s="64" t="str">
        <f t="shared" si="78"/>
        <v>Supply order ready for pickup</v>
      </c>
      <c r="AD399" s="64" t="str">
        <f t="shared" si="69"/>
        <v>Dear PSW,
Your order is ready for pickup from Sample Branch, Wed-Fri 9am-4pm.</v>
      </c>
      <c r="AE399" s="64" t="str">
        <f t="shared" si="70"/>
        <v>mailto:firstname085.lastname085@example.com?subject=Supply%20order%20ready%20for%20pickup&amp;body=Dear%20PSW%2C%0A%0AYour%20order%20is%20ready%20for%20pickup%20from%20Sample%20Branch%2C%20Wed-Fri%209am-4pm.</v>
      </c>
      <c r="AF399" s="89" t="str">
        <f t="shared" si="79"/>
        <v>Draft email</v>
      </c>
      <c r="AG399" s="64" t="str">
        <f>IF($C399="","",IFERROR(INDEX('Staff Directory'!$K$595:$K$599,MATCH($C399,'Staff Directory'!$B$5:$B$599,0)),$D399))</f>
        <v>PSW</v>
      </c>
      <c r="AH399" t="str">
        <f>IF($C399="","",IFERROR(INDEX('Staff Directory'!$I$595:$I$599,MATCH($C399,'Staff Directory'!$B$5:$B$599,0))&amp;" "&amp;INDEX('Staff Directory'!$J$595:$J$599,MATCH($C399,'Staff Directory'!$B$5:$B$599,0)),$AG399))</f>
        <v>PSW</v>
      </c>
      <c r="AI399" s="102"/>
      <c r="AJ399" s="101">
        <f>IF($F399="","",SUMIFS($J$5:$J399,$F$5:$F399,$F399))</f>
        <v>5520</v>
      </c>
      <c r="AK399" s="101">
        <f t="shared" si="71"/>
        <v>5441</v>
      </c>
      <c r="AL399" s="66" t="str" cm="1">
        <f t="array" ref="AL399">IF($F399="","",IFERROR(INDEX('Lot Balance'!$B$5:$B$500,MATCH(1,INDEX(('Lot Balance'!$A$5:$A$500=$F399)*('Lot Balance'!$K$5:$K$500&lt;$AK399)*('Lot Balance'!$K$5:$K$500+'Lot Balance'!$D$5:$D$500&gt;=$AK399),0),0)),""))</f>
        <v>LYSL500290</v>
      </c>
      <c r="AM399" s="66" t="str" cm="1">
        <f t="array" ref="AM399">IF($F399="","",IFERROR(INDEX('Lot Balance'!$B$5:$B$500,MATCH(1,INDEX(('Lot Balance'!$A$5:$A$500=$F399)*('Lot Balance'!$K$5:$K$500&lt;$AJ399)*('Lot Balance'!$K$5:$K$500+'Lot Balance'!$D$5:$D$500&gt;=$AJ399),0),0)),""))</f>
        <v>LYSL500290</v>
      </c>
      <c r="AN399" s="66" t="str">
        <f>IF($F399="","",IF($AI399&lt;&gt;"",IF(COUNTIFS('Lot Balance'!$A$5:$A$500,$F399,'Lot Balance'!$B$5:$B$500,$AI399)=0,"⚠ override is not a lot of this item",IF($AI399=$AL399,"Override = FEFO","Override - FEFO says "&amp;$AL399)),IF($AL399="","⚠ no receipt on file for this item",IF($AM399&lt;&gt;$AL399,"FEFO auto - split, also "&amp;$AM399,"FEFO auto"))))</f>
        <v>FEFO auto</v>
      </c>
      <c r="AO399" s="114"/>
    </row>
    <row r="400" spans="1:41" x14ac:dyDescent="0.35">
      <c r="A400" s="74">
        <v>46140</v>
      </c>
      <c r="B400" s="18" t="str">
        <f>IF($C400="","",IFERROR(INDEX('Staff Directory'!$A$5:$A$594,MATCH($C400,'Staff Directory'!$B$5:$B$594,0)),"⚠ unknown staff"))</f>
        <v>PSW-025-A4</v>
      </c>
      <c r="C400" s="49" t="s">
        <v>1001</v>
      </c>
      <c r="D400" s="19" t="str">
        <f>IF($B400="","",IFERROR(INDEX('Staff Directory'!$C$5:$C$594,MATCH($B400,'Staff Directory'!$A$5:$A$594,0)),""))</f>
        <v>PSW</v>
      </c>
      <c r="E400" s="19" t="str">
        <f>IF($B400="","",IFERROR(INDEX('Staff Directory'!$D$5:$D$594,MATCH($B400,'Staff Directory'!$A$5:$A$594,0)),""))</f>
        <v>A4</v>
      </c>
      <c r="F400" s="9" t="s">
        <v>156</v>
      </c>
      <c r="G400" s="18" t="str">
        <f>IF($F400="","",IFERROR(INDEX(Items!$B$5:$B$597,MATCH($F400,Items!$A$5:$A$597,0)),"⚠ not in Items"))</f>
        <v>Masks</v>
      </c>
      <c r="H400" s="19" t="str">
        <f>IF($F400="","",IFERROR(INDEX(Items!$C$5:$C$597,MATCH($F400,Items!$A$5:$A$597,0)),""))</f>
        <v>One Size</v>
      </c>
      <c r="I400" s="23">
        <f>IF($F400="","",IFERROR(INDEX(Items!$E$5:$E$597,MATCH($F400,Items!$A$5:$A$597,0)),""))</f>
        <v>50</v>
      </c>
      <c r="J400" s="115">
        <f>IF(tblIssues[[#This Row],[Qty Override]]&lt;&gt;"",tblIssues[[#This Row],[Qty Override]],IF(tblIssues[[#This Row],[Standard Issue]]="","",tblIssues[[#This Row],[Standard Issue]]))</f>
        <v>50</v>
      </c>
      <c r="K400" s="20">
        <f>IF($F400="","",IFERROR(INDEX(Items!$D$5:$D$597,MATCH($F400,Items!$A$5:$A$597,0)),""))</f>
        <v>0.25</v>
      </c>
      <c r="L400" s="21">
        <f t="shared" si="72"/>
        <v>12.5</v>
      </c>
      <c r="M400" s="9" t="str">
        <f t="shared" si="73"/>
        <v>0125FPC24-0</v>
      </c>
      <c r="N400" s="24">
        <f>IF($A400="","",WORKDAY($A400,Settings!$C$9,HolidayDates))</f>
        <v>46148</v>
      </c>
      <c r="O400" s="24">
        <f>IF($N400="","",WORKDAY($N400,Settings!$C$10,HolidayDates))</f>
        <v>46188</v>
      </c>
      <c r="P400" s="10" t="s">
        <v>501</v>
      </c>
      <c r="Q400" s="52" t="str">
        <f t="shared" si="75"/>
        <v>Collected</v>
      </c>
      <c r="R400" s="55" t="str">
        <f t="shared" si="76"/>
        <v>2026-04</v>
      </c>
      <c r="S400" s="55">
        <f>IF(OR($B400="",$F400="",$R400=""),"",SUMIFS(tblIssues[Qty Issued],tblIssues[Staff ID],$B400,tblIssues[Item Name],$F400,tblIssues[Month],$R400))</f>
        <v>50</v>
      </c>
      <c r="T400" s="56">
        <f>IF($I400="","",$I400*Settings!$C$11)</f>
        <v>50</v>
      </c>
      <c r="U400" s="57" t="str">
        <f t="shared" si="74"/>
        <v>OK</v>
      </c>
      <c r="V400" s="55" t="str">
        <f t="shared" si="77"/>
        <v/>
      </c>
      <c r="W400" s="55" t="str">
        <f>IF($V400="","",IF(COUNTIF($V$5:$V400,$V400)=1,1,""))</f>
        <v/>
      </c>
      <c r="X400" s="58" t="str">
        <f>IF($W400="","",MAX($X$4:X399)+1)</f>
        <v/>
      </c>
      <c r="Y400" s="62"/>
      <c r="Z400" s="62"/>
      <c r="AA400" s="64" t="str">
        <f>IF($C400="","",IFERROR(INDEX('Staff Directory'!$E$5:$E$594,MATCH($C400,'Staff Directory'!$B$5:$B$594,0)),""))</f>
        <v>firstname085.lastname085@example.com</v>
      </c>
      <c r="AB400" s="64" t="str">
        <f>IF($C400="","",IF(ISNUMBER(SEARCH($D400,Settings!$C$15)),"Pickup","Dispatch"))</f>
        <v>Pickup</v>
      </c>
      <c r="AC400" s="64" t="str">
        <f t="shared" si="78"/>
        <v>Supply order ready for pickup</v>
      </c>
      <c r="AD400" s="64" t="str">
        <f t="shared" si="69"/>
        <v>Dear PSW,
Your order is ready for pickup from Sample Branch, Wed-Fri 9am-4pm.</v>
      </c>
      <c r="AE400" s="64" t="str">
        <f t="shared" si="70"/>
        <v>mailto:firstname085.lastname085@example.com?subject=Supply%20order%20ready%20for%20pickup&amp;body=Dear%20PSW%2C%0A%0AYour%20order%20is%20ready%20for%20pickup%20from%20Sample%20Branch%2C%20Wed-Fri%209am-4pm.</v>
      </c>
      <c r="AF400" s="89" t="str">
        <f t="shared" si="79"/>
        <v>Draft email</v>
      </c>
      <c r="AG400" s="64" t="str">
        <f>IF($C400="","",IFERROR(INDEX('Staff Directory'!$K$595:$K$599,MATCH($C400,'Staff Directory'!$B$5:$B$599,0)),$D400))</f>
        <v>PSW</v>
      </c>
      <c r="AH400" t="str">
        <f>IF($C400="","",IFERROR(INDEX('Staff Directory'!$I$595:$I$599,MATCH($C400,'Staff Directory'!$B$5:$B$599,0))&amp;" "&amp;INDEX('Staff Directory'!$J$595:$J$599,MATCH($C400,'Staff Directory'!$B$5:$B$599,0)),$AG400))</f>
        <v>PSW</v>
      </c>
      <c r="AI400" s="102"/>
      <c r="AJ400" s="101">
        <f>IF($F400="","",SUMIFS($J$5:$J400,$F$5:$F400,$F400))</f>
        <v>3100</v>
      </c>
      <c r="AK400" s="101">
        <f t="shared" si="71"/>
        <v>3051</v>
      </c>
      <c r="AL400" s="66" t="str" cm="1">
        <f t="array" ref="AL400">IF($F400="","",IFERROR(INDEX('Lot Balance'!$B$5:$B$500,MATCH(1,INDEX(('Lot Balance'!$A$5:$A$500=$F400)*('Lot Balance'!$K$5:$K$500&lt;$AK400)*('Lot Balance'!$K$5:$K$500+'Lot Balance'!$D$5:$D$500&gt;=$AK400),0),0)),""))</f>
        <v>0125FPC24-0</v>
      </c>
      <c r="AM400" s="66" t="str" cm="1">
        <f t="array" ref="AM400">IF($F400="","",IFERROR(INDEX('Lot Balance'!$B$5:$B$500,MATCH(1,INDEX(('Lot Balance'!$A$5:$A$500=$F400)*('Lot Balance'!$K$5:$K$500&lt;$AJ400)*('Lot Balance'!$K$5:$K$500+'Lot Balance'!$D$5:$D$500&gt;=$AJ400),0),0)),""))</f>
        <v>0125FPC24-0</v>
      </c>
      <c r="AN400" s="66" t="str">
        <f>IF($F400="","",IF($AI400&lt;&gt;"",IF(COUNTIFS('Lot Balance'!$A$5:$A$500,$F400,'Lot Balance'!$B$5:$B$500,$AI400)=0,"⚠ override is not a lot of this item",IF($AI400=$AL400,"Override = FEFO","Override - FEFO says "&amp;$AL400)),IF($AL400="","⚠ no receipt on file for this item",IF($AM400&lt;&gt;$AL400,"FEFO auto - split, also "&amp;$AM400,"FEFO auto"))))</f>
        <v>FEFO auto</v>
      </c>
      <c r="AO400" s="114"/>
    </row>
    <row r="401" spans="1:41" x14ac:dyDescent="0.35">
      <c r="A401" s="74">
        <v>46140</v>
      </c>
      <c r="B401" s="18" t="str">
        <f>IF($C401="","",IFERROR(INDEX('Staff Directory'!$A$5:$A$594,MATCH($C401,'Staff Directory'!$B$5:$B$594,0)),"⚠ unknown staff"))</f>
        <v>PSW-167-A4</v>
      </c>
      <c r="C401" s="49" t="s">
        <v>1146</v>
      </c>
      <c r="D401" s="19" t="str">
        <f>IF($B401="","",IFERROR(INDEX('Staff Directory'!$C$5:$C$594,MATCH($B401,'Staff Directory'!$A$5:$A$594,0)),""))</f>
        <v>PSW</v>
      </c>
      <c r="E401" s="19" t="str">
        <f>IF($B401="","",IFERROR(INDEX('Staff Directory'!$D$5:$D$594,MATCH($B401,'Staff Directory'!$A$5:$A$594,0)),""))</f>
        <v>A4</v>
      </c>
      <c r="F401" s="9" t="s">
        <v>127</v>
      </c>
      <c r="G401" s="18" t="str">
        <f>IF($F401="","",IFERROR(INDEX(Items!$B$5:$B$597,MATCH($F401,Items!$A$5:$A$597,0)),"⚠ not in Items"))</f>
        <v>Gloves</v>
      </c>
      <c r="H401" s="19" t="str">
        <f>IF($F401="","",IFERROR(INDEX(Items!$C$5:$C$597,MATCH($F401,Items!$A$5:$A$597,0)),""))</f>
        <v>Medium</v>
      </c>
      <c r="I401" s="23">
        <f>IF($F401="","",IFERROR(INDEX(Items!$E$5:$E$597,MATCH($F401,Items!$A$5:$A$597,0)),""))</f>
        <v>500</v>
      </c>
      <c r="J401" s="115">
        <f>IF(tblIssues[[#This Row],[Qty Override]]&lt;&gt;"",tblIssues[[#This Row],[Qty Override]],IF(tblIssues[[#This Row],[Standard Issue]]="","",tblIssues[[#This Row],[Standard Issue]]))</f>
        <v>500</v>
      </c>
      <c r="K401" s="20">
        <f>IF($F401="","",IFERROR(INDEX(Items!$D$5:$D$597,MATCH($F401,Items!$A$5:$A$597,0)),""))</f>
        <v>5.5E-2</v>
      </c>
      <c r="L401" s="21">
        <f t="shared" si="72"/>
        <v>27.5</v>
      </c>
      <c r="M401" s="9" t="str">
        <f t="shared" si="73"/>
        <v>0312HIC25</v>
      </c>
      <c r="N401" s="24">
        <f>IF($A401="","",WORKDAY($A401,Settings!$C$9,HolidayDates))</f>
        <v>46148</v>
      </c>
      <c r="O401" s="24">
        <f>IF($N401="","",WORKDAY($N401,Settings!$C$10,HolidayDates))</f>
        <v>46188</v>
      </c>
      <c r="P401" s="10" t="s">
        <v>501</v>
      </c>
      <c r="Q401" s="52" t="str">
        <f t="shared" si="75"/>
        <v>Collected</v>
      </c>
      <c r="R401" s="55" t="str">
        <f t="shared" si="76"/>
        <v>2026-04</v>
      </c>
      <c r="S401" s="55">
        <f>IF(OR($B401="",$F401="",$R401=""),"",SUMIFS(tblIssues[Qty Issued],tblIssues[Staff ID],$B401,tblIssues[Item Name],$F401,tblIssues[Month],$R401))</f>
        <v>500</v>
      </c>
      <c r="T401" s="56">
        <f>IF($I401="","",$I401*Settings!$C$11)</f>
        <v>500</v>
      </c>
      <c r="U401" s="57" t="str">
        <f t="shared" si="74"/>
        <v>OK</v>
      </c>
      <c r="V401" s="55" t="str">
        <f t="shared" si="77"/>
        <v/>
      </c>
      <c r="W401" s="55" t="str">
        <f>IF($V401="","",IF(COUNTIF($V$5:$V401,$V401)=1,1,""))</f>
        <v/>
      </c>
      <c r="X401" s="58" t="str">
        <f>IF($W401="","",MAX($X$4:X400)+1)</f>
        <v/>
      </c>
      <c r="Y401" s="62"/>
      <c r="Z401" s="62"/>
      <c r="AA401" s="64" t="str">
        <f>IF($C401="","",IFERROR(INDEX('Staff Directory'!$E$5:$E$594,MATCH($C401,'Staff Directory'!$B$5:$B$594,0)),""))</f>
        <v>firstname230.lastname230@example.com</v>
      </c>
      <c r="AB401" s="64" t="str">
        <f>IF($C401="","",IF(ISNUMBER(SEARCH($D401,Settings!$C$15)),"Pickup","Dispatch"))</f>
        <v>Pickup</v>
      </c>
      <c r="AC401" s="64" t="str">
        <f t="shared" si="78"/>
        <v>Supply order ready for pickup</v>
      </c>
      <c r="AD401" s="64" t="str">
        <f t="shared" si="69"/>
        <v>Dear PSW,
Your order is ready for pickup from Sample Branch, Wed-Fri 9am-4pm.</v>
      </c>
      <c r="AE401" s="64" t="str">
        <f t="shared" si="70"/>
        <v>mailto:firstname230.lastname230@example.com?subject=Supply%20order%20ready%20for%20pickup&amp;body=Dear%20PSW%2C%0A%0AYour%20order%20is%20ready%20for%20pickup%20from%20Sample%20Branch%2C%20Wed-Fri%209am-4pm.</v>
      </c>
      <c r="AF401" s="89" t="str">
        <f t="shared" si="79"/>
        <v>Draft email</v>
      </c>
      <c r="AG401" s="64" t="str">
        <f>IF($C401="","",IFERROR(INDEX('Staff Directory'!$K$595:$K$599,MATCH($C401,'Staff Directory'!$B$5:$B$599,0)),$D401))</f>
        <v>PSW</v>
      </c>
      <c r="AH401" t="str">
        <f>IF($C401="","",IFERROR(INDEX('Staff Directory'!$I$595:$I$599,MATCH($C401,'Staff Directory'!$B$5:$B$599,0))&amp;" "&amp;INDEX('Staff Directory'!$J$595:$J$599,MATCH($C401,'Staff Directory'!$B$5:$B$599,0)),$AG401))</f>
        <v>PSW</v>
      </c>
      <c r="AI401" s="102"/>
      <c r="AJ401" s="101">
        <f>IF($F401="","",SUMIFS($J$5:$J401,$F$5:$F401,$F401))</f>
        <v>23500</v>
      </c>
      <c r="AK401" s="101">
        <f t="shared" si="71"/>
        <v>23001</v>
      </c>
      <c r="AL401" s="66" t="str" cm="1">
        <f t="array" ref="AL401">IF($F401="","",IFERROR(INDEX('Lot Balance'!$B$5:$B$500,MATCH(1,INDEX(('Lot Balance'!$A$5:$A$500=$F401)*('Lot Balance'!$K$5:$K$500&lt;$AK401)*('Lot Balance'!$K$5:$K$500+'Lot Balance'!$D$5:$D$500&gt;=$AK401),0),0)),""))</f>
        <v>0312HIC25</v>
      </c>
      <c r="AM401" s="66" t="str" cm="1">
        <f t="array" ref="AM401">IF($F401="","",IFERROR(INDEX('Lot Balance'!$B$5:$B$500,MATCH(1,INDEX(('Lot Balance'!$A$5:$A$500=$F401)*('Lot Balance'!$K$5:$K$500&lt;$AJ401)*('Lot Balance'!$K$5:$K$500+'Lot Balance'!$D$5:$D$500&gt;=$AJ401),0),0)),""))</f>
        <v>0312HIC25</v>
      </c>
      <c r="AN401" s="66" t="str">
        <f>IF($F401="","",IF($AI401&lt;&gt;"",IF(COUNTIFS('Lot Balance'!$A$5:$A$500,$F401,'Lot Balance'!$B$5:$B$500,$AI401)=0,"⚠ override is not a lot of this item",IF($AI401=$AL401,"Override = FEFO","Override - FEFO says "&amp;$AL401)),IF($AL401="","⚠ no receipt on file for this item",IF($AM401&lt;&gt;$AL401,"FEFO auto - split, also "&amp;$AM401,"FEFO auto"))))</f>
        <v>FEFO auto</v>
      </c>
      <c r="AO401" s="114"/>
    </row>
    <row r="402" spans="1:41" x14ac:dyDescent="0.35">
      <c r="A402" s="74">
        <v>46140</v>
      </c>
      <c r="B402" s="18" t="str">
        <f>IF($C402="","",IFERROR(INDEX('Staff Directory'!$A$5:$A$594,MATCH($C402,'Staff Directory'!$B$5:$B$594,0)),"⚠ unknown staff"))</f>
        <v>PSW-167-A4</v>
      </c>
      <c r="C402" s="49" t="s">
        <v>1146</v>
      </c>
      <c r="D402" s="19" t="str">
        <f>IF($B402="","",IFERROR(INDEX('Staff Directory'!$C$5:$C$594,MATCH($B402,'Staff Directory'!$A$5:$A$594,0)),""))</f>
        <v>PSW</v>
      </c>
      <c r="E402" s="19" t="str">
        <f>IF($B402="","",IFERROR(INDEX('Staff Directory'!$D$5:$D$594,MATCH($B402,'Staff Directory'!$A$5:$A$594,0)),""))</f>
        <v>A4</v>
      </c>
      <c r="F402" s="9" t="s">
        <v>191</v>
      </c>
      <c r="G402" s="18" t="str">
        <f>IF($F402="","",IFERROR(INDEX(Items!$B$5:$B$597,MATCH($F402,Items!$A$5:$A$597,0)),"⚠ not in Items"))</f>
        <v>Sanitizer</v>
      </c>
      <c r="H402" s="19" t="str">
        <f>IF($F402="","",IFERROR(INDEX(Items!$C$5:$C$597,MATCH($F402,Items!$A$5:$A$597,0)),""))</f>
        <v>236 ML</v>
      </c>
      <c r="I402" s="23">
        <f>IF($F402="","",IFERROR(INDEX(Items!$E$5:$E$597,MATCH($F402,Items!$A$5:$A$597,0)),""))</f>
        <v>1</v>
      </c>
      <c r="J402" s="115">
        <f>IF(tblIssues[[#This Row],[Qty Override]]&lt;&gt;"",tblIssues[[#This Row],[Qty Override]],IF(tblIssues[[#This Row],[Standard Issue]]="","",tblIssues[[#This Row],[Standard Issue]]))</f>
        <v>1</v>
      </c>
      <c r="K402" s="20">
        <f>IF($F402="","",IFERROR(INDEX(Items!$D$5:$D$597,MATCH($F402,Items!$A$5:$A$597,0)),""))</f>
        <v>1E-4</v>
      </c>
      <c r="L402" s="21">
        <f t="shared" si="72"/>
        <v>1E-4</v>
      </c>
      <c r="M402" s="9" t="str">
        <f t="shared" si="73"/>
        <v>20-21734-1</v>
      </c>
      <c r="N402" s="24">
        <f>IF($A402="","",WORKDAY($A402,Settings!$C$9,HolidayDates))</f>
        <v>46148</v>
      </c>
      <c r="O402" s="24">
        <f>IF($N402="","",WORKDAY($N402,Settings!$C$10,HolidayDates))</f>
        <v>46188</v>
      </c>
      <c r="P402" s="10" t="s">
        <v>501</v>
      </c>
      <c r="Q402" s="52" t="str">
        <f t="shared" si="75"/>
        <v>Collected</v>
      </c>
      <c r="R402" s="55" t="str">
        <f t="shared" si="76"/>
        <v>2026-04</v>
      </c>
      <c r="S402" s="55">
        <f>IF(OR($B402="",$F402="",$R402=""),"",SUMIFS(tblIssues[Qty Issued],tblIssues[Staff ID],$B402,tblIssues[Item Name],$F402,tblIssues[Month],$R402))</f>
        <v>1</v>
      </c>
      <c r="T402" s="56">
        <f>IF($I402="","",$I402*Settings!$C$11)</f>
        <v>1</v>
      </c>
      <c r="U402" s="57" t="str">
        <f t="shared" si="74"/>
        <v>OK</v>
      </c>
      <c r="V402" s="55" t="str">
        <f t="shared" si="77"/>
        <v/>
      </c>
      <c r="W402" s="55" t="str">
        <f>IF($V402="","",IF(COUNTIF($V$5:$V402,$V402)=1,1,""))</f>
        <v/>
      </c>
      <c r="X402" s="58" t="str">
        <f>IF($W402="","",MAX($X$4:X401)+1)</f>
        <v/>
      </c>
      <c r="Y402" s="62"/>
      <c r="Z402" s="62"/>
      <c r="AA402" s="64" t="str">
        <f>IF($C402="","",IFERROR(INDEX('Staff Directory'!$E$5:$E$594,MATCH($C402,'Staff Directory'!$B$5:$B$594,0)),""))</f>
        <v>firstname230.lastname230@example.com</v>
      </c>
      <c r="AB402" s="64" t="str">
        <f>IF($C402="","",IF(ISNUMBER(SEARCH($D402,Settings!$C$15)),"Pickup","Dispatch"))</f>
        <v>Pickup</v>
      </c>
      <c r="AC402" s="64" t="str">
        <f t="shared" si="78"/>
        <v>Supply order ready for pickup</v>
      </c>
      <c r="AD402" s="64" t="str">
        <f t="shared" si="69"/>
        <v>Dear PSW,
Your order is ready for pickup from Sample Branch, Wed-Fri 9am-4pm.</v>
      </c>
      <c r="AE402" s="64" t="str">
        <f t="shared" si="70"/>
        <v>mailto:firstname230.lastname230@example.com?subject=Supply%20order%20ready%20for%20pickup&amp;body=Dear%20PSW%2C%0A%0AYour%20order%20is%20ready%20for%20pickup%20from%20Sample%20Branch%2C%20Wed-Fri%209am-4pm.</v>
      </c>
      <c r="AF402" s="89" t="str">
        <f t="shared" si="79"/>
        <v>Draft email</v>
      </c>
      <c r="AG402" s="64" t="str">
        <f>IF($C402="","",IFERROR(INDEX('Staff Directory'!$K$595:$K$599,MATCH($C402,'Staff Directory'!$B$5:$B$599,0)),$D402))</f>
        <v>PSW</v>
      </c>
      <c r="AH402" t="str">
        <f>IF($C402="","",IFERROR(INDEX('Staff Directory'!$I$595:$I$599,MATCH($C402,'Staff Directory'!$B$5:$B$599,0))&amp;" "&amp;INDEX('Staff Directory'!$J$595:$J$599,MATCH($C402,'Staff Directory'!$B$5:$B$599,0)),$AG402))</f>
        <v>PSW</v>
      </c>
      <c r="AI402" s="102"/>
      <c r="AJ402" s="101">
        <f>IF($F402="","",SUMIFS($J$5:$J402,$F$5:$F402,$F402))</f>
        <v>32</v>
      </c>
      <c r="AK402" s="101">
        <f t="shared" si="71"/>
        <v>32</v>
      </c>
      <c r="AL402" s="66" t="str" cm="1">
        <f t="array" ref="AL402">IF($F402="","",IFERROR(INDEX('Lot Balance'!$B$5:$B$500,MATCH(1,INDEX(('Lot Balance'!$A$5:$A$500=$F402)*('Lot Balance'!$K$5:$K$500&lt;$AK402)*('Lot Balance'!$K$5:$K$500+'Lot Balance'!$D$5:$D$500&gt;=$AK402),0),0)),""))</f>
        <v>20-21734-1</v>
      </c>
      <c r="AM402" s="66" t="str" cm="1">
        <f t="array" ref="AM402">IF($F402="","",IFERROR(INDEX('Lot Balance'!$B$5:$B$500,MATCH(1,INDEX(('Lot Balance'!$A$5:$A$500=$F402)*('Lot Balance'!$K$5:$K$500&lt;$AJ402)*('Lot Balance'!$K$5:$K$500+'Lot Balance'!$D$5:$D$500&gt;=$AJ402),0),0)),""))</f>
        <v>20-21734-1</v>
      </c>
      <c r="AN402" s="66" t="str">
        <f>IF($F402="","",IF($AI402&lt;&gt;"",IF(COUNTIFS('Lot Balance'!$A$5:$A$500,$F402,'Lot Balance'!$B$5:$B$500,$AI402)=0,"⚠ override is not a lot of this item",IF($AI402=$AL402,"Override = FEFO","Override - FEFO says "&amp;$AL402)),IF($AL402="","⚠ no receipt on file for this item",IF($AM402&lt;&gt;$AL402,"FEFO auto - split, also "&amp;$AM402,"FEFO auto"))))</f>
        <v>FEFO auto</v>
      </c>
      <c r="AO402" s="114"/>
    </row>
    <row r="403" spans="1:41" x14ac:dyDescent="0.35">
      <c r="A403" s="74">
        <v>46140</v>
      </c>
      <c r="B403" s="18" t="str">
        <f>IF($C403="","",IFERROR(INDEX('Staff Directory'!$A$5:$A$594,MATCH($C403,'Staff Directory'!$B$5:$B$594,0)),"⚠ unknown staff"))</f>
        <v>PSW-167-A4</v>
      </c>
      <c r="C403" s="49" t="s">
        <v>1146</v>
      </c>
      <c r="D403" s="19" t="str">
        <f>IF($B403="","",IFERROR(INDEX('Staff Directory'!$C$5:$C$594,MATCH($B403,'Staff Directory'!$A$5:$A$594,0)),""))</f>
        <v>PSW</v>
      </c>
      <c r="E403" s="19" t="str">
        <f>IF($B403="","",IFERROR(INDEX('Staff Directory'!$D$5:$D$594,MATCH($B403,'Staff Directory'!$A$5:$A$594,0)),""))</f>
        <v>A4</v>
      </c>
      <c r="F403" s="9" t="s">
        <v>115</v>
      </c>
      <c r="G403" s="18" t="str">
        <f>IF($F403="","",IFERROR(INDEX(Items!$B$5:$B$597,MATCH($F403,Items!$A$5:$A$597,0)),"⚠ not in Items"))</f>
        <v>Wipes</v>
      </c>
      <c r="H403" s="19">
        <f>IF($F403="","",IFERROR(INDEX(Items!$C$5:$C$597,MATCH($F403,Items!$A$5:$A$597,0)),""))</f>
        <v>80</v>
      </c>
      <c r="I403" s="23">
        <f>IF($F403="","",IFERROR(INDEX(Items!$E$5:$E$597,MATCH($F403,Items!$A$5:$A$597,0)),""))</f>
        <v>80</v>
      </c>
      <c r="J403" s="115">
        <f>IF(tblIssues[[#This Row],[Qty Override]]&lt;&gt;"",tblIssues[[#This Row],[Qty Override]],IF(tblIssues[[#This Row],[Standard Issue]]="","",tblIssues[[#This Row],[Standard Issue]]))</f>
        <v>80</v>
      </c>
      <c r="K403" s="20">
        <f>IF($F403="","",IFERROR(INDEX(Items!$D$5:$D$597,MATCH($F403,Items!$A$5:$A$597,0)),""))</f>
        <v>0.1</v>
      </c>
      <c r="L403" s="21">
        <f t="shared" si="72"/>
        <v>8</v>
      </c>
      <c r="M403" s="9" t="str">
        <f t="shared" si="73"/>
        <v>LYSL500290</v>
      </c>
      <c r="N403" s="24">
        <f>IF($A403="","",WORKDAY($A403,Settings!$C$9,HolidayDates))</f>
        <v>46148</v>
      </c>
      <c r="O403" s="24">
        <f>IF($N403="","",WORKDAY($N403,Settings!$C$10,HolidayDates))</f>
        <v>46188</v>
      </c>
      <c r="P403" s="10" t="s">
        <v>501</v>
      </c>
      <c r="Q403" s="52" t="str">
        <f t="shared" si="75"/>
        <v>Collected</v>
      </c>
      <c r="R403" s="55" t="str">
        <f t="shared" si="76"/>
        <v>2026-04</v>
      </c>
      <c r="S403" s="55">
        <f>IF(OR($B403="",$F403="",$R403=""),"",SUMIFS(tblIssues[Qty Issued],tblIssues[Staff ID],$B403,tblIssues[Item Name],$F403,tblIssues[Month],$R403))</f>
        <v>80</v>
      </c>
      <c r="T403" s="56">
        <f>IF($I403="","",$I403*Settings!$C$11)</f>
        <v>80</v>
      </c>
      <c r="U403" s="57" t="str">
        <f t="shared" si="74"/>
        <v>OK</v>
      </c>
      <c r="V403" s="55" t="str">
        <f t="shared" si="77"/>
        <v/>
      </c>
      <c r="W403" s="55" t="str">
        <f>IF($V403="","",IF(COUNTIF($V$5:$V403,$V403)=1,1,""))</f>
        <v/>
      </c>
      <c r="X403" s="58" t="str">
        <f>IF($W403="","",MAX($X$4:X402)+1)</f>
        <v/>
      </c>
      <c r="Y403" s="62"/>
      <c r="Z403" s="62"/>
      <c r="AA403" s="64" t="str">
        <f>IF($C403="","",IFERROR(INDEX('Staff Directory'!$E$5:$E$594,MATCH($C403,'Staff Directory'!$B$5:$B$594,0)),""))</f>
        <v>firstname230.lastname230@example.com</v>
      </c>
      <c r="AB403" s="64" t="str">
        <f>IF($C403="","",IF(ISNUMBER(SEARCH($D403,Settings!$C$15)),"Pickup","Dispatch"))</f>
        <v>Pickup</v>
      </c>
      <c r="AC403" s="64" t="str">
        <f t="shared" si="78"/>
        <v>Supply order ready for pickup</v>
      </c>
      <c r="AD403" s="64" t="str">
        <f t="shared" si="69"/>
        <v>Dear PSW,
Your order is ready for pickup from Sample Branch, Wed-Fri 9am-4pm.</v>
      </c>
      <c r="AE403" s="64" t="str">
        <f t="shared" si="70"/>
        <v>mailto:firstname230.lastname230@example.com?subject=Supply%20order%20ready%20for%20pickup&amp;body=Dear%20PSW%2C%0A%0AYour%20order%20is%20ready%20for%20pickup%20from%20Sample%20Branch%2C%20Wed-Fri%209am-4pm.</v>
      </c>
      <c r="AF403" s="89" t="str">
        <f t="shared" si="79"/>
        <v>Draft email</v>
      </c>
      <c r="AG403" s="64" t="str">
        <f>IF($C403="","",IFERROR(INDEX('Staff Directory'!$K$595:$K$599,MATCH($C403,'Staff Directory'!$B$5:$B$599,0)),$D403))</f>
        <v>PSW</v>
      </c>
      <c r="AH403" t="str">
        <f>IF($C403="","",IFERROR(INDEX('Staff Directory'!$I$595:$I$599,MATCH($C403,'Staff Directory'!$B$5:$B$599,0))&amp;" "&amp;INDEX('Staff Directory'!$J$595:$J$599,MATCH($C403,'Staff Directory'!$B$5:$B$599,0)),$AG403))</f>
        <v>PSW</v>
      </c>
      <c r="AI403" s="102"/>
      <c r="AJ403" s="101">
        <f>IF($F403="","",SUMIFS($J$5:$J403,$F$5:$F403,$F403))</f>
        <v>5600</v>
      </c>
      <c r="AK403" s="101">
        <f t="shared" si="71"/>
        <v>5521</v>
      </c>
      <c r="AL403" s="66" t="str" cm="1">
        <f t="array" ref="AL403">IF($F403="","",IFERROR(INDEX('Lot Balance'!$B$5:$B$500,MATCH(1,INDEX(('Lot Balance'!$A$5:$A$500=$F403)*('Lot Balance'!$K$5:$K$500&lt;$AK403)*('Lot Balance'!$K$5:$K$500+'Lot Balance'!$D$5:$D$500&gt;=$AK403),0),0)),""))</f>
        <v>LYSL500290</v>
      </c>
      <c r="AM403" s="66" t="str" cm="1">
        <f t="array" ref="AM403">IF($F403="","",IFERROR(INDEX('Lot Balance'!$B$5:$B$500,MATCH(1,INDEX(('Lot Balance'!$A$5:$A$500=$F403)*('Lot Balance'!$K$5:$K$500&lt;$AJ403)*('Lot Balance'!$K$5:$K$500+'Lot Balance'!$D$5:$D$500&gt;=$AJ403),0),0)),""))</f>
        <v>LYSL500290</v>
      </c>
      <c r="AN403" s="66" t="str">
        <f>IF($F403="","",IF($AI403&lt;&gt;"",IF(COUNTIFS('Lot Balance'!$A$5:$A$500,$F403,'Lot Balance'!$B$5:$B$500,$AI403)=0,"⚠ override is not a lot of this item",IF($AI403=$AL403,"Override = FEFO","Override - FEFO says "&amp;$AL403)),IF($AL403="","⚠ no receipt on file for this item",IF($AM403&lt;&gt;$AL403,"FEFO auto - split, also "&amp;$AM403,"FEFO auto"))))</f>
        <v>FEFO auto</v>
      </c>
      <c r="AO403" s="114"/>
    </row>
    <row r="404" spans="1:41" x14ac:dyDescent="0.35">
      <c r="A404" s="74">
        <v>46140</v>
      </c>
      <c r="B404" s="18" t="str">
        <f>IF($C404="","",IFERROR(INDEX('Staff Directory'!$A$5:$A$594,MATCH($C404,'Staff Directory'!$B$5:$B$594,0)),"⚠ unknown staff"))</f>
        <v>PSW-167-A4</v>
      </c>
      <c r="C404" s="49" t="s">
        <v>1146</v>
      </c>
      <c r="D404" s="19" t="str">
        <f>IF($B404="","",IFERROR(INDEX('Staff Directory'!$C$5:$C$594,MATCH($B404,'Staff Directory'!$A$5:$A$594,0)),""))</f>
        <v>PSW</v>
      </c>
      <c r="E404" s="19" t="str">
        <f>IF($B404="","",IFERROR(INDEX('Staff Directory'!$D$5:$D$594,MATCH($B404,'Staff Directory'!$A$5:$A$594,0)),""))</f>
        <v>A4</v>
      </c>
      <c r="F404" s="9" t="s">
        <v>144</v>
      </c>
      <c r="G404" s="18" t="str">
        <f>IF($F404="","",IFERROR(INDEX(Items!$B$5:$B$597,MATCH($F404,Items!$A$5:$A$597,0)),"⚠ not in Items"))</f>
        <v>IPAC</v>
      </c>
      <c r="H404" s="19" t="str">
        <f>IF($F404="","",IFERROR(INDEX(Items!$C$5:$C$597,MATCH($F404,Items!$A$5:$A$597,0)),""))</f>
        <v>One Size</v>
      </c>
      <c r="I404" s="23">
        <f>IF($F404="","",IFERROR(INDEX(Items!$E$5:$E$597,MATCH($F404,Items!$A$5:$A$597,0)),""))</f>
        <v>4</v>
      </c>
      <c r="J404" s="115">
        <f>IF(tblIssues[[#This Row],[Qty Override]]&lt;&gt;"",tblIssues[[#This Row],[Qty Override]],IF(tblIssues[[#This Row],[Standard Issue]]="","",tblIssues[[#This Row],[Standard Issue]]))</f>
        <v>4</v>
      </c>
      <c r="K404" s="20">
        <f>IF($F404="","",IFERROR(INDEX(Items!$D$5:$D$597,MATCH($F404,Items!$A$5:$A$597,0)),""))</f>
        <v>145.97999999999999</v>
      </c>
      <c r="L404" s="21">
        <f t="shared" si="72"/>
        <v>583.91999999999996</v>
      </c>
      <c r="M404" s="9" t="str">
        <f t="shared" si="73"/>
        <v/>
      </c>
      <c r="N404" s="24">
        <f>IF($A404="","",WORKDAY($A404,Settings!$C$9,HolidayDates))</f>
        <v>46148</v>
      </c>
      <c r="O404" s="24">
        <f>IF($N404="","",WORKDAY($N404,Settings!$C$10,HolidayDates))</f>
        <v>46188</v>
      </c>
      <c r="P404" s="10" t="s">
        <v>501</v>
      </c>
      <c r="Q404" s="52" t="str">
        <f t="shared" si="75"/>
        <v>Collected</v>
      </c>
      <c r="R404" s="55" t="str">
        <f t="shared" si="76"/>
        <v>2026-04</v>
      </c>
      <c r="S404" s="55">
        <f>IF(OR($B404="",$F404="",$R404=""),"",SUMIFS(tblIssues[Qty Issued],tblIssues[Staff ID],$B404,tblIssues[Item Name],$F404,tblIssues[Month],$R404))</f>
        <v>4</v>
      </c>
      <c r="T404" s="56">
        <f>IF($I404="","",$I404*Settings!$C$11)</f>
        <v>4</v>
      </c>
      <c r="U404" s="57" t="str">
        <f t="shared" si="74"/>
        <v>OK</v>
      </c>
      <c r="V404" s="55" t="str">
        <f t="shared" si="77"/>
        <v/>
      </c>
      <c r="W404" s="55" t="str">
        <f>IF($V404="","",IF(COUNTIF($V$5:$V404,$V404)=1,1,""))</f>
        <v/>
      </c>
      <c r="X404" s="58" t="str">
        <f>IF($W404="","",MAX($X$4:X403)+1)</f>
        <v/>
      </c>
      <c r="Y404" s="62"/>
      <c r="Z404" s="62"/>
      <c r="AA404" s="64" t="str">
        <f>IF($C404="","",IFERROR(INDEX('Staff Directory'!$E$5:$E$594,MATCH($C404,'Staff Directory'!$B$5:$B$594,0)),""))</f>
        <v>firstname230.lastname230@example.com</v>
      </c>
      <c r="AB404" s="64" t="str">
        <f>IF($C404="","",IF(ISNUMBER(SEARCH($D404,Settings!$C$15)),"Pickup","Dispatch"))</f>
        <v>Pickup</v>
      </c>
      <c r="AC404" s="64" t="str">
        <f t="shared" si="78"/>
        <v>Supply order ready for pickup</v>
      </c>
      <c r="AD404" s="64" t="str">
        <f t="shared" si="69"/>
        <v>Dear PSW,
Your order is ready for pickup from Sample Branch, Wed-Fri 9am-4pm.</v>
      </c>
      <c r="AE404" s="64" t="str">
        <f t="shared" si="70"/>
        <v>mailto:firstname230.lastname230@example.com?subject=Supply%20order%20ready%20for%20pickup&amp;body=Dear%20PSW%2C%0A%0AYour%20order%20is%20ready%20for%20pickup%20from%20Sample%20Branch%2C%20Wed-Fri%209am-4pm.</v>
      </c>
      <c r="AF404" s="89" t="str">
        <f t="shared" si="79"/>
        <v>Draft email</v>
      </c>
      <c r="AG404" s="64" t="str">
        <f>IF($C404="","",IFERROR(INDEX('Staff Directory'!$K$595:$K$599,MATCH($C404,'Staff Directory'!$B$5:$B$599,0)),$D404))</f>
        <v>PSW</v>
      </c>
      <c r="AH404" t="str">
        <f>IF($C404="","",IFERROR(INDEX('Staff Directory'!$I$595:$I$599,MATCH($C404,'Staff Directory'!$B$5:$B$599,0))&amp;" "&amp;INDEX('Staff Directory'!$J$595:$J$599,MATCH($C404,'Staff Directory'!$B$5:$B$599,0)),$AG404))</f>
        <v>PSW</v>
      </c>
      <c r="AI404" s="102"/>
      <c r="AJ404" s="101">
        <f>IF($F404="","",SUMIFS($J$5:$J404,$F$5:$F404,$F404))</f>
        <v>4</v>
      </c>
      <c r="AK404" s="101">
        <f t="shared" si="71"/>
        <v>1</v>
      </c>
      <c r="AL404" s="66" t="str" cm="1">
        <f t="array" ref="AL404">IF($F404="","",IFERROR(INDEX('Lot Balance'!$B$5:$B$500,MATCH(1,INDEX(('Lot Balance'!$A$5:$A$500=$F404)*('Lot Balance'!$K$5:$K$500&lt;$AK404)*('Lot Balance'!$K$5:$K$500+'Lot Balance'!$D$5:$D$500&gt;=$AK404),0),0)),""))</f>
        <v/>
      </c>
      <c r="AM404" s="66" t="str" cm="1">
        <f t="array" ref="AM404">IF($F404="","",IFERROR(INDEX('Lot Balance'!$B$5:$B$500,MATCH(1,INDEX(('Lot Balance'!$A$5:$A$500=$F404)*('Lot Balance'!$K$5:$K$500&lt;$AJ404)*('Lot Balance'!$K$5:$K$500+'Lot Balance'!$D$5:$D$500&gt;=$AJ404),0),0)),""))</f>
        <v/>
      </c>
      <c r="AN404" s="66" t="str">
        <f>IF($F404="","",IF($AI404&lt;&gt;"",IF(COUNTIFS('Lot Balance'!$A$5:$A$500,$F404,'Lot Balance'!$B$5:$B$500,$AI404)=0,"⚠ override is not a lot of this item",IF($AI404=$AL404,"Override = FEFO","Override - FEFO says "&amp;$AL404)),IF($AL404="","⚠ no receipt on file for this item",IF($AM404&lt;&gt;$AL404,"FEFO auto - split, also "&amp;$AM404,"FEFO auto"))))</f>
        <v>⚠ no receipt on file for this item</v>
      </c>
      <c r="AO404" s="114"/>
    </row>
    <row r="405" spans="1:41" x14ac:dyDescent="0.35">
      <c r="A405" s="74">
        <v>46140</v>
      </c>
      <c r="B405" s="18" t="str">
        <f>IF($C405="","",IFERROR(INDEX('Staff Directory'!$A$5:$A$594,MATCH($C405,'Staff Directory'!$B$5:$B$594,0)),"⚠ unknown staff"))</f>
        <v>PSW-167-A4</v>
      </c>
      <c r="C405" s="49" t="s">
        <v>1146</v>
      </c>
      <c r="D405" s="19" t="str">
        <f>IF($B405="","",IFERROR(INDEX('Staff Directory'!$C$5:$C$594,MATCH($B405,'Staff Directory'!$A$5:$A$594,0)),""))</f>
        <v>PSW</v>
      </c>
      <c r="E405" s="19" t="str">
        <f>IF($B405="","",IFERROR(INDEX('Staff Directory'!$D$5:$D$594,MATCH($B405,'Staff Directory'!$A$5:$A$594,0)),""))</f>
        <v>A4</v>
      </c>
      <c r="F405" s="9" t="s">
        <v>154</v>
      </c>
      <c r="G405" s="18" t="str">
        <f>IF($F405="","",IFERROR(INDEX(Items!$B$5:$B$597,MATCH($F405,Items!$A$5:$A$597,0)),"⚠ not in Items"))</f>
        <v>IPAC</v>
      </c>
      <c r="H405" s="19" t="str">
        <f>IF($F405="","",IFERROR(INDEX(Items!$C$5:$C$597,MATCH($F405,Items!$A$5:$A$597,0)),""))</f>
        <v>Regular</v>
      </c>
      <c r="I405" s="23">
        <f>IF($F405="","",IFERROR(INDEX(Items!$E$5:$E$597,MATCH($F405,Items!$A$5:$A$597,0)),""))</f>
        <v>50</v>
      </c>
      <c r="J405" s="115">
        <f>IF(tblIssues[[#This Row],[Qty Override]]&lt;&gt;"",tblIssues[[#This Row],[Qty Override]],IF(tblIssues[[#This Row],[Standard Issue]]="","",tblIssues[[#This Row],[Standard Issue]]))</f>
        <v>50</v>
      </c>
      <c r="K405" s="20">
        <f>IF($F405="","",IFERROR(INDEX(Items!$D$5:$D$597,MATCH($F405,Items!$A$5:$A$597,0)),""))</f>
        <v>0.2</v>
      </c>
      <c r="L405" s="21">
        <f t="shared" si="72"/>
        <v>10</v>
      </c>
      <c r="M405" s="9">
        <f t="shared" si="73"/>
        <v>3024</v>
      </c>
      <c r="N405" s="24">
        <f>IF($A405="","",WORKDAY($A405,Settings!$C$9,HolidayDates))</f>
        <v>46148</v>
      </c>
      <c r="O405" s="24">
        <f>IF($N405="","",WORKDAY($N405,Settings!$C$10,HolidayDates))</f>
        <v>46188</v>
      </c>
      <c r="P405" s="10" t="s">
        <v>501</v>
      </c>
      <c r="Q405" s="52" t="str">
        <f t="shared" si="75"/>
        <v>Collected</v>
      </c>
      <c r="R405" s="55" t="str">
        <f t="shared" si="76"/>
        <v>2026-04</v>
      </c>
      <c r="S405" s="55">
        <f>IF(OR($B405="",$F405="",$R405=""),"",SUMIFS(tblIssues[Qty Issued],tblIssues[Staff ID],$B405,tblIssues[Item Name],$F405,tblIssues[Month],$R405))</f>
        <v>50</v>
      </c>
      <c r="T405" s="56">
        <f>IF($I405="","",$I405*Settings!$C$11)</f>
        <v>50</v>
      </c>
      <c r="U405" s="57" t="str">
        <f t="shared" si="74"/>
        <v>OK</v>
      </c>
      <c r="V405" s="55" t="str">
        <f t="shared" si="77"/>
        <v/>
      </c>
      <c r="W405" s="55" t="str">
        <f>IF($V405="","",IF(COUNTIF($V$5:$V405,$V405)=1,1,""))</f>
        <v/>
      </c>
      <c r="X405" s="58" t="str">
        <f>IF($W405="","",MAX($X$4:X404)+1)</f>
        <v/>
      </c>
      <c r="Y405" s="62"/>
      <c r="Z405" s="62"/>
      <c r="AA405" s="64" t="str">
        <f>IF($C405="","",IFERROR(INDEX('Staff Directory'!$E$5:$E$594,MATCH($C405,'Staff Directory'!$B$5:$B$594,0)),""))</f>
        <v>firstname230.lastname230@example.com</v>
      </c>
      <c r="AB405" s="64" t="str">
        <f>IF($C405="","",IF(ISNUMBER(SEARCH($D405,Settings!$C$15)),"Pickup","Dispatch"))</f>
        <v>Pickup</v>
      </c>
      <c r="AC405" s="64" t="str">
        <f t="shared" si="78"/>
        <v>Supply order ready for pickup</v>
      </c>
      <c r="AD405" s="64" t="str">
        <f t="shared" si="69"/>
        <v>Dear PSW,
Your order is ready for pickup from Sample Branch, Wed-Fri 9am-4pm.</v>
      </c>
      <c r="AE405" s="64" t="str">
        <f t="shared" si="70"/>
        <v>mailto:firstname230.lastname230@example.com?subject=Supply%20order%20ready%20for%20pickup&amp;body=Dear%20PSW%2C%0A%0AYour%20order%20is%20ready%20for%20pickup%20from%20Sample%20Branch%2C%20Wed-Fri%209am-4pm.</v>
      </c>
      <c r="AF405" s="89" t="str">
        <f t="shared" si="79"/>
        <v>Draft email</v>
      </c>
      <c r="AG405" s="64" t="str">
        <f>IF($C405="","",IFERROR(INDEX('Staff Directory'!$K$595:$K$599,MATCH($C405,'Staff Directory'!$B$5:$B$599,0)),$D405))</f>
        <v>PSW</v>
      </c>
      <c r="AH405" t="str">
        <f>IF($C405="","",IFERROR(INDEX('Staff Directory'!$I$595:$I$599,MATCH($C405,'Staff Directory'!$B$5:$B$599,0))&amp;" "&amp;INDEX('Staff Directory'!$J$595:$J$599,MATCH($C405,'Staff Directory'!$B$5:$B$599,0)),$AG405))</f>
        <v>PSW</v>
      </c>
      <c r="AI405" s="102"/>
      <c r="AJ405" s="101">
        <f>IF($F405="","",SUMIFS($J$5:$J405,$F$5:$F405,$F405))</f>
        <v>200</v>
      </c>
      <c r="AK405" s="101">
        <f t="shared" si="71"/>
        <v>151</v>
      </c>
      <c r="AL405" s="66" cm="1">
        <f t="array" ref="AL405">IF($F405="","",IFERROR(INDEX('Lot Balance'!$B$5:$B$500,MATCH(1,INDEX(('Lot Balance'!$A$5:$A$500=$F405)*('Lot Balance'!$K$5:$K$500&lt;$AK405)*('Lot Balance'!$K$5:$K$500+'Lot Balance'!$D$5:$D$500&gt;=$AK405),0),0)),""))</f>
        <v>3024</v>
      </c>
      <c r="AM405" s="66" cm="1">
        <f t="array" ref="AM405">IF($F405="","",IFERROR(INDEX('Lot Balance'!$B$5:$B$500,MATCH(1,INDEX(('Lot Balance'!$A$5:$A$500=$F405)*('Lot Balance'!$K$5:$K$500&lt;$AJ405)*('Lot Balance'!$K$5:$K$500+'Lot Balance'!$D$5:$D$500&gt;=$AJ405),0),0)),""))</f>
        <v>3024</v>
      </c>
      <c r="AN405" s="66" t="str">
        <f>IF($F405="","",IF($AI405&lt;&gt;"",IF(COUNTIFS('Lot Balance'!$A$5:$A$500,$F405,'Lot Balance'!$B$5:$B$500,$AI405)=0,"⚠ override is not a lot of this item",IF($AI405=$AL405,"Override = FEFO","Override - FEFO says "&amp;$AL405)),IF($AL405="","⚠ no receipt on file for this item",IF($AM405&lt;&gt;$AL405,"FEFO auto - split, also "&amp;$AM405,"FEFO auto"))))</f>
        <v>FEFO auto</v>
      </c>
      <c r="AO405" s="114"/>
    </row>
    <row r="406" spans="1:41" x14ac:dyDescent="0.35">
      <c r="A406" s="74">
        <v>46140</v>
      </c>
      <c r="B406" s="18" t="str">
        <f>IF($C406="","",IFERROR(INDEX('Staff Directory'!$A$5:$A$594,MATCH($C406,'Staff Directory'!$B$5:$B$594,0)),"⚠ unknown staff"))</f>
        <v>PSW-035-A5</v>
      </c>
      <c r="C406" s="49" t="s">
        <v>1010</v>
      </c>
      <c r="D406" s="19" t="str">
        <f>IF($B406="","",IFERROR(INDEX('Staff Directory'!$C$5:$C$594,MATCH($B406,'Staff Directory'!$A$5:$A$594,0)),""))</f>
        <v>PSW</v>
      </c>
      <c r="E406" s="19" t="str">
        <f>IF($B406="","",IFERROR(INDEX('Staff Directory'!$D$5:$D$594,MATCH($B406,'Staff Directory'!$A$5:$A$594,0)),""))</f>
        <v>A5</v>
      </c>
      <c r="F406" s="9" t="s">
        <v>127</v>
      </c>
      <c r="G406" s="18" t="str">
        <f>IF($F406="","",IFERROR(INDEX(Items!$B$5:$B$597,MATCH($F406,Items!$A$5:$A$597,0)),"⚠ not in Items"))</f>
        <v>Gloves</v>
      </c>
      <c r="H406" s="19" t="str">
        <f>IF($F406="","",IFERROR(INDEX(Items!$C$5:$C$597,MATCH($F406,Items!$A$5:$A$597,0)),""))</f>
        <v>Medium</v>
      </c>
      <c r="I406" s="23">
        <f>IF($F406="","",IFERROR(INDEX(Items!$E$5:$E$597,MATCH($F406,Items!$A$5:$A$597,0)),""))</f>
        <v>500</v>
      </c>
      <c r="J406" s="115">
        <f>IF(tblIssues[[#This Row],[Qty Override]]&lt;&gt;"",tblIssues[[#This Row],[Qty Override]],IF(tblIssues[[#This Row],[Standard Issue]]="","",tblIssues[[#This Row],[Standard Issue]]))</f>
        <v>500</v>
      </c>
      <c r="K406" s="20">
        <f>IF($F406="","",IFERROR(INDEX(Items!$D$5:$D$597,MATCH($F406,Items!$A$5:$A$597,0)),""))</f>
        <v>5.5E-2</v>
      </c>
      <c r="L406" s="21">
        <f t="shared" si="72"/>
        <v>27.5</v>
      </c>
      <c r="M406" s="9" t="str">
        <f t="shared" si="73"/>
        <v>0312HIC25</v>
      </c>
      <c r="N406" s="24">
        <f>IF($A406="","",WORKDAY($A406,Settings!$C$9,HolidayDates))</f>
        <v>46148</v>
      </c>
      <c r="O406" s="24">
        <f>IF($N406="","",WORKDAY($N406,Settings!$C$10,HolidayDates))</f>
        <v>46188</v>
      </c>
      <c r="P406" s="10" t="s">
        <v>501</v>
      </c>
      <c r="Q406" s="52" t="str">
        <f t="shared" si="75"/>
        <v>Collected</v>
      </c>
      <c r="R406" s="55" t="str">
        <f t="shared" si="76"/>
        <v>2026-04</v>
      </c>
      <c r="S406" s="55">
        <f>IF(OR($B406="",$F406="",$R406=""),"",SUMIFS(tblIssues[Qty Issued],tblIssues[Staff ID],$B406,tblIssues[Item Name],$F406,tblIssues[Month],$R406))</f>
        <v>500</v>
      </c>
      <c r="T406" s="56">
        <f>IF($I406="","",$I406*Settings!$C$11)</f>
        <v>500</v>
      </c>
      <c r="U406" s="57" t="str">
        <f t="shared" si="74"/>
        <v>OK</v>
      </c>
      <c r="V406" s="55" t="str">
        <f t="shared" si="77"/>
        <v/>
      </c>
      <c r="W406" s="55" t="str">
        <f>IF($V406="","",IF(COUNTIF($V$5:$V406,$V406)=1,1,""))</f>
        <v/>
      </c>
      <c r="X406" s="58" t="str">
        <f>IF($W406="","",MAX($X$4:X405)+1)</f>
        <v/>
      </c>
      <c r="Y406" s="62"/>
      <c r="Z406" s="62"/>
      <c r="AA406" s="64" t="str">
        <f>IF($C406="","",IFERROR(INDEX('Staff Directory'!$E$5:$E$594,MATCH($C406,'Staff Directory'!$B$5:$B$594,0)),""))</f>
        <v>firstname094.lastname094@example.com</v>
      </c>
      <c r="AB406" s="64" t="str">
        <f>IF($C406="","",IF(ISNUMBER(SEARCH($D406,Settings!$C$15)),"Pickup","Dispatch"))</f>
        <v>Pickup</v>
      </c>
      <c r="AC406" s="64" t="str">
        <f t="shared" si="78"/>
        <v>Supply order ready for pickup</v>
      </c>
      <c r="AD406" s="64" t="str">
        <f t="shared" si="69"/>
        <v>Dear PSW,
Your order is ready for pickup from Sample Branch, Wed-Fri 9am-4pm.</v>
      </c>
      <c r="AE406" s="64" t="str">
        <f t="shared" si="70"/>
        <v>mailto:firstname094.lastname094@example.com?subject=Supply%20order%20ready%20for%20pickup&amp;body=Dear%20PSW%2C%0A%0AYour%20order%20is%20ready%20for%20pickup%20from%20Sample%20Branch%2C%20Wed-Fri%209am-4pm.</v>
      </c>
      <c r="AF406" s="89" t="str">
        <f t="shared" si="79"/>
        <v>Draft email</v>
      </c>
      <c r="AG406" s="64" t="str">
        <f>IF($C406="","",IFERROR(INDEX('Staff Directory'!$K$595:$K$599,MATCH($C406,'Staff Directory'!$B$5:$B$599,0)),$D406))</f>
        <v>PSW</v>
      </c>
      <c r="AH406" t="str">
        <f>IF($C406="","",IFERROR(INDEX('Staff Directory'!$I$595:$I$599,MATCH($C406,'Staff Directory'!$B$5:$B$599,0))&amp;" "&amp;INDEX('Staff Directory'!$J$595:$J$599,MATCH($C406,'Staff Directory'!$B$5:$B$599,0)),$AG406))</f>
        <v>PSW</v>
      </c>
      <c r="AI406" s="102"/>
      <c r="AJ406" s="101">
        <f>IF($F406="","",SUMIFS($J$5:$J406,$F$5:$F406,$F406))</f>
        <v>24000</v>
      </c>
      <c r="AK406" s="101">
        <f t="shared" si="71"/>
        <v>23501</v>
      </c>
      <c r="AL406" s="66" t="str" cm="1">
        <f t="array" ref="AL406">IF($F406="","",IFERROR(INDEX('Lot Balance'!$B$5:$B$500,MATCH(1,INDEX(('Lot Balance'!$A$5:$A$500=$F406)*('Lot Balance'!$K$5:$K$500&lt;$AK406)*('Lot Balance'!$K$5:$K$500+'Lot Balance'!$D$5:$D$500&gt;=$AK406),0),0)),""))</f>
        <v>0312HIC25</v>
      </c>
      <c r="AM406" s="66" t="str" cm="1">
        <f t="array" ref="AM406">IF($F406="","",IFERROR(INDEX('Lot Balance'!$B$5:$B$500,MATCH(1,INDEX(('Lot Balance'!$A$5:$A$500=$F406)*('Lot Balance'!$K$5:$K$500&lt;$AJ406)*('Lot Balance'!$K$5:$K$500+'Lot Balance'!$D$5:$D$500&gt;=$AJ406),0),0)),""))</f>
        <v>0312HIC25</v>
      </c>
      <c r="AN406" s="66" t="str">
        <f>IF($F406="","",IF($AI406&lt;&gt;"",IF(COUNTIFS('Lot Balance'!$A$5:$A$500,$F406,'Lot Balance'!$B$5:$B$500,$AI406)=0,"⚠ override is not a lot of this item",IF($AI406=$AL406,"Override = FEFO","Override - FEFO says "&amp;$AL406)),IF($AL406="","⚠ no receipt on file for this item",IF($AM406&lt;&gt;$AL406,"FEFO auto - split, also "&amp;$AM406,"FEFO auto"))))</f>
        <v>FEFO auto</v>
      </c>
      <c r="AO406" s="114"/>
    </row>
    <row r="407" spans="1:41" x14ac:dyDescent="0.35">
      <c r="A407" s="74">
        <v>46140</v>
      </c>
      <c r="B407" s="18" t="str">
        <f>IF($C407="","",IFERROR(INDEX('Staff Directory'!$A$5:$A$594,MATCH($C407,'Staff Directory'!$B$5:$B$594,0)),"⚠ unknown staff"))</f>
        <v>PSW-035-A5</v>
      </c>
      <c r="C407" s="49" t="s">
        <v>1010</v>
      </c>
      <c r="D407" s="19" t="str">
        <f>IF($B407="","",IFERROR(INDEX('Staff Directory'!$C$5:$C$594,MATCH($B407,'Staff Directory'!$A$5:$A$594,0)),""))</f>
        <v>PSW</v>
      </c>
      <c r="E407" s="19" t="str">
        <f>IF($B407="","",IFERROR(INDEX('Staff Directory'!$D$5:$D$594,MATCH($B407,'Staff Directory'!$A$5:$A$594,0)),""))</f>
        <v>A5</v>
      </c>
      <c r="F407" s="9" t="s">
        <v>191</v>
      </c>
      <c r="G407" s="18" t="str">
        <f>IF($F407="","",IFERROR(INDEX(Items!$B$5:$B$597,MATCH($F407,Items!$A$5:$A$597,0)),"⚠ not in Items"))</f>
        <v>Sanitizer</v>
      </c>
      <c r="H407" s="19" t="str">
        <f>IF($F407="","",IFERROR(INDEX(Items!$C$5:$C$597,MATCH($F407,Items!$A$5:$A$597,0)),""))</f>
        <v>236 ML</v>
      </c>
      <c r="I407" s="23">
        <f>IF($F407="","",IFERROR(INDEX(Items!$E$5:$E$597,MATCH($F407,Items!$A$5:$A$597,0)),""))</f>
        <v>1</v>
      </c>
      <c r="J407" s="115">
        <f>IF(tblIssues[[#This Row],[Qty Override]]&lt;&gt;"",tblIssues[[#This Row],[Qty Override]],IF(tblIssues[[#This Row],[Standard Issue]]="","",tblIssues[[#This Row],[Standard Issue]]))</f>
        <v>1</v>
      </c>
      <c r="K407" s="20">
        <f>IF($F407="","",IFERROR(INDEX(Items!$D$5:$D$597,MATCH($F407,Items!$A$5:$A$597,0)),""))</f>
        <v>1E-4</v>
      </c>
      <c r="L407" s="21">
        <f t="shared" si="72"/>
        <v>1E-4</v>
      </c>
      <c r="M407" s="9" t="str">
        <f t="shared" si="73"/>
        <v>20-21734-1</v>
      </c>
      <c r="N407" s="24">
        <f>IF($A407="","",WORKDAY($A407,Settings!$C$9,HolidayDates))</f>
        <v>46148</v>
      </c>
      <c r="O407" s="24">
        <f>IF($N407="","",WORKDAY($N407,Settings!$C$10,HolidayDates))</f>
        <v>46188</v>
      </c>
      <c r="P407" s="10" t="s">
        <v>501</v>
      </c>
      <c r="Q407" s="52" t="str">
        <f t="shared" si="75"/>
        <v>Collected</v>
      </c>
      <c r="R407" s="55" t="str">
        <f t="shared" si="76"/>
        <v>2026-04</v>
      </c>
      <c r="S407" s="55">
        <f>IF(OR($B407="",$F407="",$R407=""),"",SUMIFS(tblIssues[Qty Issued],tblIssues[Staff ID],$B407,tblIssues[Item Name],$F407,tblIssues[Month],$R407))</f>
        <v>1</v>
      </c>
      <c r="T407" s="56">
        <f>IF($I407="","",$I407*Settings!$C$11)</f>
        <v>1</v>
      </c>
      <c r="U407" s="57" t="str">
        <f t="shared" si="74"/>
        <v>OK</v>
      </c>
      <c r="V407" s="55" t="str">
        <f t="shared" si="77"/>
        <v/>
      </c>
      <c r="W407" s="55" t="str">
        <f>IF($V407="","",IF(COUNTIF($V$5:$V407,$V407)=1,1,""))</f>
        <v/>
      </c>
      <c r="X407" s="58" t="str">
        <f>IF($W407="","",MAX($X$4:X406)+1)</f>
        <v/>
      </c>
      <c r="Y407" s="62"/>
      <c r="Z407" s="62"/>
      <c r="AA407" s="64" t="str">
        <f>IF($C407="","",IFERROR(INDEX('Staff Directory'!$E$5:$E$594,MATCH($C407,'Staff Directory'!$B$5:$B$594,0)),""))</f>
        <v>firstname094.lastname094@example.com</v>
      </c>
      <c r="AB407" s="64" t="str">
        <f>IF($C407="","",IF(ISNUMBER(SEARCH($D407,Settings!$C$15)),"Pickup","Dispatch"))</f>
        <v>Pickup</v>
      </c>
      <c r="AC407" s="64" t="str">
        <f t="shared" si="78"/>
        <v>Supply order ready for pickup</v>
      </c>
      <c r="AD407" s="64" t="str">
        <f t="shared" si="69"/>
        <v>Dear PSW,
Your order is ready for pickup from Sample Branch, Wed-Fri 9am-4pm.</v>
      </c>
      <c r="AE407" s="64" t="str">
        <f t="shared" si="70"/>
        <v>mailto:firstname094.lastname094@example.com?subject=Supply%20order%20ready%20for%20pickup&amp;body=Dear%20PSW%2C%0A%0AYour%20order%20is%20ready%20for%20pickup%20from%20Sample%20Branch%2C%20Wed-Fri%209am-4pm.</v>
      </c>
      <c r="AF407" s="89" t="str">
        <f t="shared" si="79"/>
        <v>Draft email</v>
      </c>
      <c r="AG407" s="64" t="str">
        <f>IF($C407="","",IFERROR(INDEX('Staff Directory'!$K$595:$K$599,MATCH($C407,'Staff Directory'!$B$5:$B$599,0)),$D407))</f>
        <v>PSW</v>
      </c>
      <c r="AH407" t="str">
        <f>IF($C407="","",IFERROR(INDEX('Staff Directory'!$I$595:$I$599,MATCH($C407,'Staff Directory'!$B$5:$B$599,0))&amp;" "&amp;INDEX('Staff Directory'!$J$595:$J$599,MATCH($C407,'Staff Directory'!$B$5:$B$599,0)),$AG407))</f>
        <v>PSW</v>
      </c>
      <c r="AI407" s="102"/>
      <c r="AJ407" s="101">
        <f>IF($F407="","",SUMIFS($J$5:$J407,$F$5:$F407,$F407))</f>
        <v>33</v>
      </c>
      <c r="AK407" s="101">
        <f t="shared" si="71"/>
        <v>33</v>
      </c>
      <c r="AL407" s="66" t="str" cm="1">
        <f t="array" ref="AL407">IF($F407="","",IFERROR(INDEX('Lot Balance'!$B$5:$B$500,MATCH(1,INDEX(('Lot Balance'!$A$5:$A$500=$F407)*('Lot Balance'!$K$5:$K$500&lt;$AK407)*('Lot Balance'!$K$5:$K$500+'Lot Balance'!$D$5:$D$500&gt;=$AK407),0),0)),""))</f>
        <v>20-21734-1</v>
      </c>
      <c r="AM407" s="66" t="str" cm="1">
        <f t="array" ref="AM407">IF($F407="","",IFERROR(INDEX('Lot Balance'!$B$5:$B$500,MATCH(1,INDEX(('Lot Balance'!$A$5:$A$500=$F407)*('Lot Balance'!$K$5:$K$500&lt;$AJ407)*('Lot Balance'!$K$5:$K$500+'Lot Balance'!$D$5:$D$500&gt;=$AJ407),0),0)),""))</f>
        <v>20-21734-1</v>
      </c>
      <c r="AN407" s="66" t="str">
        <f>IF($F407="","",IF($AI407&lt;&gt;"",IF(COUNTIFS('Lot Balance'!$A$5:$A$500,$F407,'Lot Balance'!$B$5:$B$500,$AI407)=0,"⚠ override is not a lot of this item",IF($AI407=$AL407,"Override = FEFO","Override - FEFO says "&amp;$AL407)),IF($AL407="","⚠ no receipt on file for this item",IF($AM407&lt;&gt;$AL407,"FEFO auto - split, also "&amp;$AM407,"FEFO auto"))))</f>
        <v>FEFO auto</v>
      </c>
      <c r="AO407" s="114"/>
    </row>
    <row r="408" spans="1:41" x14ac:dyDescent="0.35">
      <c r="A408" s="74">
        <v>46140</v>
      </c>
      <c r="B408" s="18" t="str">
        <f>IF($C408="","",IFERROR(INDEX('Staff Directory'!$A$5:$A$594,MATCH($C408,'Staff Directory'!$B$5:$B$594,0)),"⚠ unknown staff"))</f>
        <v>PSW-035-A5</v>
      </c>
      <c r="C408" s="49" t="s">
        <v>1010</v>
      </c>
      <c r="D408" s="19" t="str">
        <f>IF($B408="","",IFERROR(INDEX('Staff Directory'!$C$5:$C$594,MATCH($B408,'Staff Directory'!$A$5:$A$594,0)),""))</f>
        <v>PSW</v>
      </c>
      <c r="E408" s="19" t="str">
        <f>IF($B408="","",IFERROR(INDEX('Staff Directory'!$D$5:$D$594,MATCH($B408,'Staff Directory'!$A$5:$A$594,0)),""))</f>
        <v>A5</v>
      </c>
      <c r="F408" s="9" t="s">
        <v>156</v>
      </c>
      <c r="G408" s="18" t="str">
        <f>IF($F408="","",IFERROR(INDEX(Items!$B$5:$B$597,MATCH($F408,Items!$A$5:$A$597,0)),"⚠ not in Items"))</f>
        <v>Masks</v>
      </c>
      <c r="H408" s="19" t="str">
        <f>IF($F408="","",IFERROR(INDEX(Items!$C$5:$C$597,MATCH($F408,Items!$A$5:$A$597,0)),""))</f>
        <v>One Size</v>
      </c>
      <c r="I408" s="23">
        <f>IF($F408="","",IFERROR(INDEX(Items!$E$5:$E$597,MATCH($F408,Items!$A$5:$A$597,0)),""))</f>
        <v>50</v>
      </c>
      <c r="J408" s="115">
        <f>IF(tblIssues[[#This Row],[Qty Override]]&lt;&gt;"",tblIssues[[#This Row],[Qty Override]],IF(tblIssues[[#This Row],[Standard Issue]]="","",tblIssues[[#This Row],[Standard Issue]]))</f>
        <v>50</v>
      </c>
      <c r="K408" s="20">
        <f>IF($F408="","",IFERROR(INDEX(Items!$D$5:$D$597,MATCH($F408,Items!$A$5:$A$597,0)),""))</f>
        <v>0.25</v>
      </c>
      <c r="L408" s="21">
        <f t="shared" si="72"/>
        <v>12.5</v>
      </c>
      <c r="M408" s="9" t="str">
        <f t="shared" si="73"/>
        <v>0125FPC24-0</v>
      </c>
      <c r="N408" s="24">
        <f>IF($A408="","",WORKDAY($A408,Settings!$C$9,HolidayDates))</f>
        <v>46148</v>
      </c>
      <c r="O408" s="24">
        <f>IF($N408="","",WORKDAY($N408,Settings!$C$10,HolidayDates))</f>
        <v>46188</v>
      </c>
      <c r="P408" s="10" t="s">
        <v>501</v>
      </c>
      <c r="Q408" s="52" t="str">
        <f t="shared" si="75"/>
        <v>Collected</v>
      </c>
      <c r="R408" s="55" t="str">
        <f t="shared" si="76"/>
        <v>2026-04</v>
      </c>
      <c r="S408" s="55">
        <f>IF(OR($B408="",$F408="",$R408=""),"",SUMIFS(tblIssues[Qty Issued],tblIssues[Staff ID],$B408,tblIssues[Item Name],$F408,tblIssues[Month],$R408))</f>
        <v>50</v>
      </c>
      <c r="T408" s="56">
        <f>IF($I408="","",$I408*Settings!$C$11)</f>
        <v>50</v>
      </c>
      <c r="U408" s="57" t="str">
        <f t="shared" si="74"/>
        <v>OK</v>
      </c>
      <c r="V408" s="55" t="str">
        <f t="shared" si="77"/>
        <v/>
      </c>
      <c r="W408" s="55" t="str">
        <f>IF($V408="","",IF(COUNTIF($V$5:$V408,$V408)=1,1,""))</f>
        <v/>
      </c>
      <c r="X408" s="58" t="str">
        <f>IF($W408="","",MAX($X$4:X407)+1)</f>
        <v/>
      </c>
      <c r="Y408" s="62"/>
      <c r="Z408" s="62"/>
      <c r="AA408" s="64" t="str">
        <f>IF($C408="","",IFERROR(INDEX('Staff Directory'!$E$5:$E$594,MATCH($C408,'Staff Directory'!$B$5:$B$594,0)),""))</f>
        <v>firstname094.lastname094@example.com</v>
      </c>
      <c r="AB408" s="64" t="str">
        <f>IF($C408="","",IF(ISNUMBER(SEARCH($D408,Settings!$C$15)),"Pickup","Dispatch"))</f>
        <v>Pickup</v>
      </c>
      <c r="AC408" s="64" t="str">
        <f t="shared" si="78"/>
        <v>Supply order ready for pickup</v>
      </c>
      <c r="AD408" s="64" t="str">
        <f t="shared" si="69"/>
        <v>Dear PSW,
Your order is ready for pickup from Sample Branch, Wed-Fri 9am-4pm.</v>
      </c>
      <c r="AE408" s="64" t="str">
        <f t="shared" si="70"/>
        <v>mailto:firstname094.lastname094@example.com?subject=Supply%20order%20ready%20for%20pickup&amp;body=Dear%20PSW%2C%0A%0AYour%20order%20is%20ready%20for%20pickup%20from%20Sample%20Branch%2C%20Wed-Fri%209am-4pm.</v>
      </c>
      <c r="AF408" s="89" t="str">
        <f t="shared" si="79"/>
        <v>Draft email</v>
      </c>
      <c r="AG408" s="64" t="str">
        <f>IF($C408="","",IFERROR(INDEX('Staff Directory'!$K$595:$K$599,MATCH($C408,'Staff Directory'!$B$5:$B$599,0)),$D408))</f>
        <v>PSW</v>
      </c>
      <c r="AH408" t="str">
        <f>IF($C408="","",IFERROR(INDEX('Staff Directory'!$I$595:$I$599,MATCH($C408,'Staff Directory'!$B$5:$B$599,0))&amp;" "&amp;INDEX('Staff Directory'!$J$595:$J$599,MATCH($C408,'Staff Directory'!$B$5:$B$599,0)),$AG408))</f>
        <v>PSW</v>
      </c>
      <c r="AI408" s="102"/>
      <c r="AJ408" s="101">
        <f>IF($F408="","",SUMIFS($J$5:$J408,$F$5:$F408,$F408))</f>
        <v>3150</v>
      </c>
      <c r="AK408" s="101">
        <f t="shared" si="71"/>
        <v>3101</v>
      </c>
      <c r="AL408" s="66" t="str" cm="1">
        <f t="array" ref="AL408">IF($F408="","",IFERROR(INDEX('Lot Balance'!$B$5:$B$500,MATCH(1,INDEX(('Lot Balance'!$A$5:$A$500=$F408)*('Lot Balance'!$K$5:$K$500&lt;$AK408)*('Lot Balance'!$K$5:$K$500+'Lot Balance'!$D$5:$D$500&gt;=$AK408),0),0)),""))</f>
        <v>0125FPC24-0</v>
      </c>
      <c r="AM408" s="66" t="str" cm="1">
        <f t="array" ref="AM408">IF($F408="","",IFERROR(INDEX('Lot Balance'!$B$5:$B$500,MATCH(1,INDEX(('Lot Balance'!$A$5:$A$500=$F408)*('Lot Balance'!$K$5:$K$500&lt;$AJ408)*('Lot Balance'!$K$5:$K$500+'Lot Balance'!$D$5:$D$500&gt;=$AJ408),0),0)),""))</f>
        <v>0125FPC24-0</v>
      </c>
      <c r="AN408" s="66" t="str">
        <f>IF($F408="","",IF($AI408&lt;&gt;"",IF(COUNTIFS('Lot Balance'!$A$5:$A$500,$F408,'Lot Balance'!$B$5:$B$500,$AI408)=0,"⚠ override is not a lot of this item",IF($AI408=$AL408,"Override = FEFO","Override - FEFO says "&amp;$AL408)),IF($AL408="","⚠ no receipt on file for this item",IF($AM408&lt;&gt;$AL408,"FEFO auto - split, also "&amp;$AM408,"FEFO auto"))))</f>
        <v>FEFO auto</v>
      </c>
      <c r="AO408" s="114"/>
    </row>
    <row r="409" spans="1:41" x14ac:dyDescent="0.35">
      <c r="A409" s="74">
        <v>46140</v>
      </c>
      <c r="B409" s="18" t="str">
        <f>IF($C409="","",IFERROR(INDEX('Staff Directory'!$A$5:$A$594,MATCH($C409,'Staff Directory'!$B$5:$B$594,0)),"⚠ unknown staff"))</f>
        <v>RN-010-A2</v>
      </c>
      <c r="C409" s="49" t="s">
        <v>926</v>
      </c>
      <c r="D409" s="19" t="str">
        <f>IF($B409="","",IFERROR(INDEX('Staff Directory'!$C$5:$C$594,MATCH($B409,'Staff Directory'!$A$5:$A$594,0)),""))</f>
        <v>RN</v>
      </c>
      <c r="E409" s="19" t="str">
        <f>IF($B409="","",IFERROR(INDEX('Staff Directory'!$D$5:$D$594,MATCH($B409,'Staff Directory'!$A$5:$A$594,0)),""))</f>
        <v>A2</v>
      </c>
      <c r="F409" s="9" t="s">
        <v>131</v>
      </c>
      <c r="G409" s="18" t="str">
        <f>IF($F409="","",IFERROR(INDEX(Items!$B$5:$B$597,MATCH($F409,Items!$A$5:$A$597,0)),"⚠ not in Items"))</f>
        <v>Gloves</v>
      </c>
      <c r="H409" s="19" t="str">
        <f>IF($F409="","",IFERROR(INDEX(Items!$C$5:$C$597,MATCH($F409,Items!$A$5:$A$597,0)),""))</f>
        <v>Small</v>
      </c>
      <c r="I409" s="23">
        <f>IF($F409="","",IFERROR(INDEX(Items!$E$5:$E$597,MATCH($F409,Items!$A$5:$A$597,0)),""))</f>
        <v>500</v>
      </c>
      <c r="J409" s="115">
        <f>IF(tblIssues[[#This Row],[Qty Override]]&lt;&gt;"",tblIssues[[#This Row],[Qty Override]],IF(tblIssues[[#This Row],[Standard Issue]]="","",tblIssues[[#This Row],[Standard Issue]]))</f>
        <v>500</v>
      </c>
      <c r="K409" s="20">
        <f>IF($F409="","",IFERROR(INDEX(Items!$D$5:$D$597,MATCH($F409,Items!$A$5:$A$597,0)),""))</f>
        <v>5.5E-2</v>
      </c>
      <c r="L409" s="21">
        <f t="shared" si="72"/>
        <v>27.5</v>
      </c>
      <c r="M409" s="9" t="str">
        <f t="shared" si="73"/>
        <v/>
      </c>
      <c r="N409" s="24">
        <f>IF($A409="","",WORKDAY($A409,Settings!$C$9,HolidayDates))</f>
        <v>46148</v>
      </c>
      <c r="O409" s="24">
        <f>IF($N409="","",WORKDAY($N409,Settings!$C$10,HolidayDates))</f>
        <v>46188</v>
      </c>
      <c r="P409" s="10" t="s">
        <v>502</v>
      </c>
      <c r="Q409" s="52" t="str">
        <f t="shared" si="75"/>
        <v>Collected</v>
      </c>
      <c r="R409" s="55" t="str">
        <f t="shared" si="76"/>
        <v>2026-04</v>
      </c>
      <c r="S409" s="55">
        <f>IF(OR($B409="",$F409="",$R409=""),"",SUMIFS(tblIssues[Qty Issued],tblIssues[Staff ID],$B409,tblIssues[Item Name],$F409,tblIssues[Month],$R409))</f>
        <v>500</v>
      </c>
      <c r="T409" s="56">
        <f>IF($I409="","",$I409*Settings!$C$11)</f>
        <v>500</v>
      </c>
      <c r="U409" s="57" t="str">
        <f t="shared" si="74"/>
        <v>OK</v>
      </c>
      <c r="V409" s="55" t="str">
        <f t="shared" si="77"/>
        <v/>
      </c>
      <c r="W409" s="55" t="str">
        <f>IF($V409="","",IF(COUNTIF($V$5:$V409,$V409)=1,1,""))</f>
        <v/>
      </c>
      <c r="X409" s="58" t="str">
        <f>IF($W409="","",MAX($X$4:X408)+1)</f>
        <v/>
      </c>
      <c r="Y409" s="62"/>
      <c r="Z409" s="62"/>
      <c r="AA409" s="64" t="str">
        <f>IF($C409="","",IFERROR(INDEX('Staff Directory'!$E$5:$E$594,MATCH($C409,'Staff Directory'!$B$5:$B$594,0)),""))</f>
        <v>firstname010.lastname010@example.com</v>
      </c>
      <c r="AB409" s="64" t="str">
        <f>IF($C409="","",IF(ISNUMBER(SEARCH($D409,Settings!$C$15)),"Pickup","Dispatch"))</f>
        <v>Dispatch</v>
      </c>
      <c r="AC409" s="64" t="str">
        <f t="shared" si="78"/>
        <v>Supply order dispatched</v>
      </c>
      <c r="AD409" s="64" t="str">
        <f t="shared" si="69"/>
        <v>Dear RN,
Your order has been dispatched and is in transit. Reply if undelivered.</v>
      </c>
      <c r="AE409" s="64" t="str">
        <f t="shared" si="70"/>
        <v>mailto:firstname010.lastname010@example.com?subject=Supply%20order%20dispatched&amp;body=Dear%20RN%2C%0A%0AYour%20order%20has%20been%20dispatched%20and%20is%20in%20transit.%20Reply%20if%20undelivered.</v>
      </c>
      <c r="AF409" s="89" t="str">
        <f t="shared" si="79"/>
        <v>Draft email</v>
      </c>
      <c r="AG409" s="64" t="str">
        <f>IF($C409="","",IFERROR(INDEX('Staff Directory'!$K$595:$K$599,MATCH($C409,'Staff Directory'!$B$5:$B$599,0)),$D409))</f>
        <v>RN</v>
      </c>
      <c r="AH409" t="str">
        <f>IF($C409="","",IFERROR(INDEX('Staff Directory'!$I$595:$I$599,MATCH($C409,'Staff Directory'!$B$5:$B$599,0))&amp;" "&amp;INDEX('Staff Directory'!$J$595:$J$599,MATCH($C409,'Staff Directory'!$B$5:$B$599,0)),$AG409))</f>
        <v>RN</v>
      </c>
      <c r="AI409" s="102"/>
      <c r="AJ409" s="101">
        <f>IF($F409="","",SUMIFS($J$5:$J409,$F$5:$F409,$F409))</f>
        <v>500</v>
      </c>
      <c r="AK409" s="101">
        <f t="shared" si="71"/>
        <v>1</v>
      </c>
      <c r="AL409" s="66" t="str" cm="1">
        <f t="array" ref="AL409">IF($F409="","",IFERROR(INDEX('Lot Balance'!$B$5:$B$500,MATCH(1,INDEX(('Lot Balance'!$A$5:$A$500=$F409)*('Lot Balance'!$K$5:$K$500&lt;$AK409)*('Lot Balance'!$K$5:$K$500+'Lot Balance'!$D$5:$D$500&gt;=$AK409),0),0)),""))</f>
        <v/>
      </c>
      <c r="AM409" s="66" t="str" cm="1">
        <f t="array" ref="AM409">IF($F409="","",IFERROR(INDEX('Lot Balance'!$B$5:$B$500,MATCH(1,INDEX(('Lot Balance'!$A$5:$A$500=$F409)*('Lot Balance'!$K$5:$K$500&lt;$AJ409)*('Lot Balance'!$K$5:$K$500+'Lot Balance'!$D$5:$D$500&gt;=$AJ409),0),0)),""))</f>
        <v/>
      </c>
      <c r="AN409" s="66" t="str">
        <f>IF($F409="","",IF($AI409&lt;&gt;"",IF(COUNTIFS('Lot Balance'!$A$5:$A$500,$F409,'Lot Balance'!$B$5:$B$500,$AI409)=0,"⚠ override is not a lot of this item",IF($AI409=$AL409,"Override = FEFO","Override - FEFO says "&amp;$AL409)),IF($AL409="","⚠ no receipt on file for this item",IF($AM409&lt;&gt;$AL409,"FEFO auto - split, also "&amp;$AM409,"FEFO auto"))))</f>
        <v>⚠ no receipt on file for this item</v>
      </c>
      <c r="AO409" s="114"/>
    </row>
    <row r="410" spans="1:41" x14ac:dyDescent="0.35">
      <c r="A410" s="74">
        <v>46140</v>
      </c>
      <c r="B410" s="18" t="str">
        <f>IF($C410="","",IFERROR(INDEX('Staff Directory'!$A$5:$A$594,MATCH($C410,'Staff Directory'!$B$5:$B$594,0)),"⚠ unknown staff"))</f>
        <v>RN-010-A2</v>
      </c>
      <c r="C410" s="49" t="s">
        <v>926</v>
      </c>
      <c r="D410" s="19" t="str">
        <f>IF($B410="","",IFERROR(INDEX('Staff Directory'!$C$5:$C$594,MATCH($B410,'Staff Directory'!$A$5:$A$594,0)),""))</f>
        <v>RN</v>
      </c>
      <c r="E410" s="19" t="str">
        <f>IF($B410="","",IFERROR(INDEX('Staff Directory'!$D$5:$D$594,MATCH($B410,'Staff Directory'!$A$5:$A$594,0)),""))</f>
        <v>A2</v>
      </c>
      <c r="F410" s="9" t="s">
        <v>191</v>
      </c>
      <c r="G410" s="18" t="str">
        <f>IF($F410="","",IFERROR(INDEX(Items!$B$5:$B$597,MATCH($F410,Items!$A$5:$A$597,0)),"⚠ not in Items"))</f>
        <v>Sanitizer</v>
      </c>
      <c r="H410" s="19" t="str">
        <f>IF($F410="","",IFERROR(INDEX(Items!$C$5:$C$597,MATCH($F410,Items!$A$5:$A$597,0)),""))</f>
        <v>236 ML</v>
      </c>
      <c r="I410" s="23">
        <f>IF($F410="","",IFERROR(INDEX(Items!$E$5:$E$597,MATCH($F410,Items!$A$5:$A$597,0)),""))</f>
        <v>1</v>
      </c>
      <c r="J410" s="115">
        <f>IF(tblIssues[[#This Row],[Qty Override]]&lt;&gt;"",tblIssues[[#This Row],[Qty Override]],IF(tblIssues[[#This Row],[Standard Issue]]="","",tblIssues[[#This Row],[Standard Issue]]))</f>
        <v>1</v>
      </c>
      <c r="K410" s="20">
        <f>IF($F410="","",IFERROR(INDEX(Items!$D$5:$D$597,MATCH($F410,Items!$A$5:$A$597,0)),""))</f>
        <v>1E-4</v>
      </c>
      <c r="L410" s="21">
        <f t="shared" si="72"/>
        <v>1E-4</v>
      </c>
      <c r="M410" s="9" t="str">
        <f t="shared" si="73"/>
        <v>20-21734-1</v>
      </c>
      <c r="N410" s="24">
        <f>IF($A410="","",WORKDAY($A410,Settings!$C$9,HolidayDates))</f>
        <v>46148</v>
      </c>
      <c r="O410" s="24">
        <f>IF($N410="","",WORKDAY($N410,Settings!$C$10,HolidayDates))</f>
        <v>46188</v>
      </c>
      <c r="P410" s="10" t="s">
        <v>502</v>
      </c>
      <c r="Q410" s="52" t="str">
        <f t="shared" si="75"/>
        <v>Collected</v>
      </c>
      <c r="R410" s="55" t="str">
        <f t="shared" si="76"/>
        <v>2026-04</v>
      </c>
      <c r="S410" s="55">
        <f>IF(OR($B410="",$F410="",$R410=""),"",SUMIFS(tblIssues[Qty Issued],tblIssues[Staff ID],$B410,tblIssues[Item Name],$F410,tblIssues[Month],$R410))</f>
        <v>2</v>
      </c>
      <c r="T410" s="56">
        <f>IF($I410="","",$I410*Settings!$C$11)</f>
        <v>1</v>
      </c>
      <c r="U410" s="57" t="str">
        <f t="shared" si="74"/>
        <v>⚠ OVER QUOTA</v>
      </c>
      <c r="V410" s="55" t="str">
        <f t="shared" si="77"/>
        <v>RN-010-A2 | Hand Sanitizer OS | 2026-04</v>
      </c>
      <c r="W410" s="55">
        <f>IF($V410="","",IF(COUNTIF($V$5:$V410,$V410)=1,1,""))</f>
        <v>1</v>
      </c>
      <c r="X410" s="58">
        <f>IF($W410="","",MAX($X$4:X409)+1)</f>
        <v>8</v>
      </c>
      <c r="Y410" s="62"/>
      <c r="Z410" s="62"/>
      <c r="AA410" s="64" t="str">
        <f>IF($C410="","",IFERROR(INDEX('Staff Directory'!$E$5:$E$594,MATCH($C410,'Staff Directory'!$B$5:$B$594,0)),""))</f>
        <v>firstname010.lastname010@example.com</v>
      </c>
      <c r="AB410" s="64" t="str">
        <f>IF($C410="","",IF(ISNUMBER(SEARCH($D410,Settings!$C$15)),"Pickup","Dispatch"))</f>
        <v>Dispatch</v>
      </c>
      <c r="AC410" s="64" t="str">
        <f t="shared" si="78"/>
        <v>Supply order dispatched</v>
      </c>
      <c r="AD410" s="64" t="str">
        <f t="shared" si="69"/>
        <v>Dear RN,
Your order has been dispatched and is in transit. Reply if undelivered.</v>
      </c>
      <c r="AE410" s="64" t="str">
        <f t="shared" si="70"/>
        <v>mailto:firstname010.lastname010@example.com?subject=Supply%20order%20dispatched&amp;body=Dear%20RN%2C%0A%0AYour%20order%20has%20been%20dispatched%20and%20is%20in%20transit.%20Reply%20if%20undelivered.</v>
      </c>
      <c r="AF410" s="89" t="str">
        <f t="shared" si="79"/>
        <v>Draft email</v>
      </c>
      <c r="AG410" s="64" t="str">
        <f>IF($C410="","",IFERROR(INDEX('Staff Directory'!$K$595:$K$599,MATCH($C410,'Staff Directory'!$B$5:$B$599,0)),$D410))</f>
        <v>RN</v>
      </c>
      <c r="AH410" t="str">
        <f>IF($C410="","",IFERROR(INDEX('Staff Directory'!$I$595:$I$599,MATCH($C410,'Staff Directory'!$B$5:$B$599,0))&amp;" "&amp;INDEX('Staff Directory'!$J$595:$J$599,MATCH($C410,'Staff Directory'!$B$5:$B$599,0)),$AG410))</f>
        <v>RN</v>
      </c>
      <c r="AI410" s="102"/>
      <c r="AJ410" s="101">
        <f>IF($F410="","",SUMIFS($J$5:$J410,$F$5:$F410,$F410))</f>
        <v>34</v>
      </c>
      <c r="AK410" s="101">
        <f t="shared" si="71"/>
        <v>34</v>
      </c>
      <c r="AL410" s="66" t="str" cm="1">
        <f t="array" ref="AL410">IF($F410="","",IFERROR(INDEX('Lot Balance'!$B$5:$B$500,MATCH(1,INDEX(('Lot Balance'!$A$5:$A$500=$F410)*('Lot Balance'!$K$5:$K$500&lt;$AK410)*('Lot Balance'!$K$5:$K$500+'Lot Balance'!$D$5:$D$500&gt;=$AK410),0),0)),""))</f>
        <v>20-21734-1</v>
      </c>
      <c r="AM410" s="66" t="str" cm="1">
        <f t="array" ref="AM410">IF($F410="","",IFERROR(INDEX('Lot Balance'!$B$5:$B$500,MATCH(1,INDEX(('Lot Balance'!$A$5:$A$500=$F410)*('Lot Balance'!$K$5:$K$500&lt;$AJ410)*('Lot Balance'!$K$5:$K$500+'Lot Balance'!$D$5:$D$500&gt;=$AJ410),0),0)),""))</f>
        <v>20-21734-1</v>
      </c>
      <c r="AN410" s="66" t="str">
        <f>IF($F410="","",IF($AI410&lt;&gt;"",IF(COUNTIFS('Lot Balance'!$A$5:$A$500,$F410,'Lot Balance'!$B$5:$B$500,$AI410)=0,"⚠ override is not a lot of this item",IF($AI410=$AL410,"Override = FEFO","Override - FEFO says "&amp;$AL410)),IF($AL410="","⚠ no receipt on file for this item",IF($AM410&lt;&gt;$AL410,"FEFO auto - split, also "&amp;$AM410,"FEFO auto"))))</f>
        <v>FEFO auto</v>
      </c>
      <c r="AO410" s="114"/>
    </row>
    <row r="411" spans="1:41" x14ac:dyDescent="0.35">
      <c r="A411" s="74">
        <v>46140</v>
      </c>
      <c r="B411" s="18" t="str">
        <f>IF($C411="","",IFERROR(INDEX('Staff Directory'!$A$5:$A$594,MATCH($C411,'Staff Directory'!$B$5:$B$594,0)),"⚠ unknown staff"))</f>
        <v>RN-010-A2</v>
      </c>
      <c r="C411" s="49" t="s">
        <v>926</v>
      </c>
      <c r="D411" s="19" t="str">
        <f>IF($B411="","",IFERROR(INDEX('Staff Directory'!$C$5:$C$594,MATCH($B411,'Staff Directory'!$A$5:$A$594,0)),""))</f>
        <v>RN</v>
      </c>
      <c r="E411" s="19" t="str">
        <f>IF($B411="","",IFERROR(INDEX('Staff Directory'!$D$5:$D$594,MATCH($B411,'Staff Directory'!$A$5:$A$594,0)),""))</f>
        <v>A2</v>
      </c>
      <c r="F411" s="9" t="s">
        <v>191</v>
      </c>
      <c r="G411" s="18" t="str">
        <f>IF($F411="","",IFERROR(INDEX(Items!$B$5:$B$597,MATCH($F411,Items!$A$5:$A$597,0)),"⚠ not in Items"))</f>
        <v>Sanitizer</v>
      </c>
      <c r="H411" s="19" t="str">
        <f>IF($F411="","",IFERROR(INDEX(Items!$C$5:$C$597,MATCH($F411,Items!$A$5:$A$597,0)),""))</f>
        <v>236 ML</v>
      </c>
      <c r="I411" s="23">
        <f>IF($F411="","",IFERROR(INDEX(Items!$E$5:$E$597,MATCH($F411,Items!$A$5:$A$597,0)),""))</f>
        <v>1</v>
      </c>
      <c r="J411" s="115">
        <f>IF(tblIssues[[#This Row],[Qty Override]]&lt;&gt;"",tblIssues[[#This Row],[Qty Override]],IF(tblIssues[[#This Row],[Standard Issue]]="","",tblIssues[[#This Row],[Standard Issue]]))</f>
        <v>1</v>
      </c>
      <c r="K411" s="20">
        <f>IF($F411="","",IFERROR(INDEX(Items!$D$5:$D$597,MATCH($F411,Items!$A$5:$A$597,0)),""))</f>
        <v>1E-4</v>
      </c>
      <c r="L411" s="21">
        <f t="shared" si="72"/>
        <v>1E-4</v>
      </c>
      <c r="M411" s="9" t="str">
        <f t="shared" si="73"/>
        <v>20-21734-1</v>
      </c>
      <c r="N411" s="24">
        <f>IF($A411="","",WORKDAY($A411,Settings!$C$9,HolidayDates))</f>
        <v>46148</v>
      </c>
      <c r="O411" s="24">
        <f>IF($N411="","",WORKDAY($N411,Settings!$C$10,HolidayDates))</f>
        <v>46188</v>
      </c>
      <c r="P411" s="10" t="s">
        <v>502</v>
      </c>
      <c r="Q411" s="52" t="str">
        <f t="shared" si="75"/>
        <v>Collected</v>
      </c>
      <c r="R411" s="55" t="str">
        <f t="shared" si="76"/>
        <v>2026-04</v>
      </c>
      <c r="S411" s="55">
        <f>IF(OR($B411="",$F411="",$R411=""),"",SUMIFS(tblIssues[Qty Issued],tblIssues[Staff ID],$B411,tblIssues[Item Name],$F411,tblIssues[Month],$R411))</f>
        <v>2</v>
      </c>
      <c r="T411" s="56">
        <f>IF($I411="","",$I411*Settings!$C$11)</f>
        <v>1</v>
      </c>
      <c r="U411" s="57" t="str">
        <f t="shared" si="74"/>
        <v>⚠ OVER QUOTA</v>
      </c>
      <c r="V411" s="55" t="str">
        <f t="shared" si="77"/>
        <v>RN-010-A2 | Hand Sanitizer OS | 2026-04</v>
      </c>
      <c r="W411" s="55" t="str">
        <f>IF($V411="","",IF(COUNTIF($V$5:$V411,$V411)=1,1,""))</f>
        <v/>
      </c>
      <c r="X411" s="58" t="str">
        <f>IF($W411="","",MAX($X$4:X410)+1)</f>
        <v/>
      </c>
      <c r="Y411" s="62"/>
      <c r="Z411" s="62"/>
      <c r="AA411" s="64" t="str">
        <f>IF($C411="","",IFERROR(INDEX('Staff Directory'!$E$5:$E$594,MATCH($C411,'Staff Directory'!$B$5:$B$594,0)),""))</f>
        <v>firstname010.lastname010@example.com</v>
      </c>
      <c r="AB411" s="64" t="str">
        <f>IF($C411="","",IF(ISNUMBER(SEARCH($D411,Settings!$C$15)),"Pickup","Dispatch"))</f>
        <v>Dispatch</v>
      </c>
      <c r="AC411" s="64" t="str">
        <f t="shared" si="78"/>
        <v>Supply order dispatched</v>
      </c>
      <c r="AD411" s="64" t="str">
        <f t="shared" si="69"/>
        <v>Dear RN,
Your order has been dispatched and is in transit. Reply if undelivered.</v>
      </c>
      <c r="AE411" s="64" t="str">
        <f t="shared" si="70"/>
        <v>mailto:firstname010.lastname010@example.com?subject=Supply%20order%20dispatched&amp;body=Dear%20RN%2C%0A%0AYour%20order%20has%20been%20dispatched%20and%20is%20in%20transit.%20Reply%20if%20undelivered.</v>
      </c>
      <c r="AF411" s="89" t="str">
        <f t="shared" si="79"/>
        <v>Draft email</v>
      </c>
      <c r="AG411" s="64" t="str">
        <f>IF($C411="","",IFERROR(INDEX('Staff Directory'!$K$595:$K$599,MATCH($C411,'Staff Directory'!$B$5:$B$599,0)),$D411))</f>
        <v>RN</v>
      </c>
      <c r="AH411" t="str">
        <f>IF($C411="","",IFERROR(INDEX('Staff Directory'!$I$595:$I$599,MATCH($C411,'Staff Directory'!$B$5:$B$599,0))&amp;" "&amp;INDEX('Staff Directory'!$J$595:$J$599,MATCH($C411,'Staff Directory'!$B$5:$B$599,0)),$AG411))</f>
        <v>RN</v>
      </c>
      <c r="AI411" s="102"/>
      <c r="AJ411" s="101">
        <f>IF($F411="","",SUMIFS($J$5:$J411,$F$5:$F411,$F411))</f>
        <v>35</v>
      </c>
      <c r="AK411" s="101">
        <f t="shared" si="71"/>
        <v>35</v>
      </c>
      <c r="AL411" s="66" t="str" cm="1">
        <f t="array" ref="AL411">IF($F411="","",IFERROR(INDEX('Lot Balance'!$B$5:$B$500,MATCH(1,INDEX(('Lot Balance'!$A$5:$A$500=$F411)*('Lot Balance'!$K$5:$K$500&lt;$AK411)*('Lot Balance'!$K$5:$K$500+'Lot Balance'!$D$5:$D$500&gt;=$AK411),0),0)),""))</f>
        <v>20-21734-1</v>
      </c>
      <c r="AM411" s="66" t="str" cm="1">
        <f t="array" ref="AM411">IF($F411="","",IFERROR(INDEX('Lot Balance'!$B$5:$B$500,MATCH(1,INDEX(('Lot Balance'!$A$5:$A$500=$F411)*('Lot Balance'!$K$5:$K$500&lt;$AJ411)*('Lot Balance'!$K$5:$K$500+'Lot Balance'!$D$5:$D$500&gt;=$AJ411),0),0)),""))</f>
        <v>20-21734-1</v>
      </c>
      <c r="AN411" s="66" t="str">
        <f>IF($F411="","",IF($AI411&lt;&gt;"",IF(COUNTIFS('Lot Balance'!$A$5:$A$500,$F411,'Lot Balance'!$B$5:$B$500,$AI411)=0,"⚠ override is not a lot of this item",IF($AI411=$AL411,"Override = FEFO","Override - FEFO says "&amp;$AL411)),IF($AL411="","⚠ no receipt on file for this item",IF($AM411&lt;&gt;$AL411,"FEFO auto - split, also "&amp;$AM411,"FEFO auto"))))</f>
        <v>FEFO auto</v>
      </c>
      <c r="AO411" s="114"/>
    </row>
    <row r="412" spans="1:41" x14ac:dyDescent="0.35">
      <c r="A412" s="74">
        <v>46140</v>
      </c>
      <c r="B412" s="18" t="str">
        <f>IF($C412="","",IFERROR(INDEX('Staff Directory'!$A$5:$A$594,MATCH($C412,'Staff Directory'!$B$5:$B$594,0)),"⚠ unknown staff"))</f>
        <v>RN-031-A2</v>
      </c>
      <c r="C412" s="49" t="s">
        <v>951</v>
      </c>
      <c r="D412" s="19" t="str">
        <f>IF($B412="","",IFERROR(INDEX('Staff Directory'!$C$5:$C$594,MATCH($B412,'Staff Directory'!$A$5:$A$594,0)),""))</f>
        <v>RN</v>
      </c>
      <c r="E412" s="19" t="str">
        <f>IF($B412="","",IFERROR(INDEX('Staff Directory'!$D$5:$D$594,MATCH($B412,'Staff Directory'!$A$5:$A$594,0)),""))</f>
        <v>A2</v>
      </c>
      <c r="F412" s="9" t="s">
        <v>156</v>
      </c>
      <c r="G412" s="18" t="str">
        <f>IF($F412="","",IFERROR(INDEX(Items!$B$5:$B$597,MATCH($F412,Items!$A$5:$A$597,0)),"⚠ not in Items"))</f>
        <v>Masks</v>
      </c>
      <c r="H412" s="19" t="str">
        <f>IF($F412="","",IFERROR(INDEX(Items!$C$5:$C$597,MATCH($F412,Items!$A$5:$A$597,0)),""))</f>
        <v>One Size</v>
      </c>
      <c r="I412" s="23">
        <f>IF($F412="","",IFERROR(INDEX(Items!$E$5:$E$597,MATCH($F412,Items!$A$5:$A$597,0)),""))</f>
        <v>50</v>
      </c>
      <c r="J412" s="115">
        <f>IF(tblIssues[[#This Row],[Qty Override]]&lt;&gt;"",tblIssues[[#This Row],[Qty Override]],IF(tblIssues[[#This Row],[Standard Issue]]="","",tblIssues[[#This Row],[Standard Issue]]))</f>
        <v>50</v>
      </c>
      <c r="K412" s="20">
        <f>IF($F412="","",IFERROR(INDEX(Items!$D$5:$D$597,MATCH($F412,Items!$A$5:$A$597,0)),""))</f>
        <v>0.25</v>
      </c>
      <c r="L412" s="21">
        <f t="shared" si="72"/>
        <v>12.5</v>
      </c>
      <c r="M412" s="9" t="str">
        <f t="shared" si="73"/>
        <v>0125FPC24-0</v>
      </c>
      <c r="N412" s="24">
        <f>IF($A412="","",WORKDAY($A412,Settings!$C$9,HolidayDates))</f>
        <v>46148</v>
      </c>
      <c r="O412" s="24">
        <f>IF($N412="","",WORKDAY($N412,Settings!$C$10,HolidayDates))</f>
        <v>46188</v>
      </c>
      <c r="P412" s="10" t="s">
        <v>751</v>
      </c>
      <c r="Q412" s="52" t="str">
        <f t="shared" si="75"/>
        <v>Collected</v>
      </c>
      <c r="R412" s="55" t="str">
        <f t="shared" si="76"/>
        <v>2026-04</v>
      </c>
      <c r="S412" s="55">
        <f>IF(OR($B412="",$F412="",$R412=""),"",SUMIFS(tblIssues[Qty Issued],tblIssues[Staff ID],$B412,tblIssues[Item Name],$F412,tblIssues[Month],$R412))</f>
        <v>50</v>
      </c>
      <c r="T412" s="56">
        <f>IF($I412="","",$I412*Settings!$C$11)</f>
        <v>50</v>
      </c>
      <c r="U412" s="57" t="str">
        <f t="shared" si="74"/>
        <v>OK</v>
      </c>
      <c r="V412" s="55" t="str">
        <f t="shared" si="77"/>
        <v/>
      </c>
      <c r="W412" s="55" t="str">
        <f>IF($V412="","",IF(COUNTIF($V$5:$V412,$V412)=1,1,""))</f>
        <v/>
      </c>
      <c r="X412" s="58" t="str">
        <f>IF($W412="","",MAX($X$4:X411)+1)</f>
        <v/>
      </c>
      <c r="Y412" s="62"/>
      <c r="Z412" s="62"/>
      <c r="AA412" s="64" t="str">
        <f>IF($C412="","",IFERROR(INDEX('Staff Directory'!$E$5:$E$594,MATCH($C412,'Staff Directory'!$B$5:$B$594,0)),""))</f>
        <v>firstname035.lastname035@example.com</v>
      </c>
      <c r="AB412" s="64" t="str">
        <f>IF($C412="","",IF(ISNUMBER(SEARCH($D412,Settings!$C$15)),"Pickup","Dispatch"))</f>
        <v>Dispatch</v>
      </c>
      <c r="AC412" s="64" t="str">
        <f t="shared" si="78"/>
        <v>Supply order dispatched</v>
      </c>
      <c r="AD412" s="64" t="str">
        <f t="shared" si="69"/>
        <v>Dear RN,
Your order has been dispatched and is in transit. Reply if undelivered.</v>
      </c>
      <c r="AE412" s="64" t="str">
        <f t="shared" si="70"/>
        <v>mailto:firstname035.lastname035@example.com?subject=Supply%20order%20dispatched&amp;body=Dear%20RN%2C%0A%0AYour%20order%20has%20been%20dispatched%20and%20is%20in%20transit.%20Reply%20if%20undelivered.</v>
      </c>
      <c r="AF412" s="89" t="str">
        <f t="shared" si="79"/>
        <v>Draft email</v>
      </c>
      <c r="AG412" s="64" t="str">
        <f>IF($C412="","",IFERROR(INDEX('Staff Directory'!$K$595:$K$599,MATCH($C412,'Staff Directory'!$B$5:$B$599,0)),$D412))</f>
        <v>RN</v>
      </c>
      <c r="AH412" t="str">
        <f>IF($C412="","",IFERROR(INDEX('Staff Directory'!$I$595:$I$599,MATCH($C412,'Staff Directory'!$B$5:$B$599,0))&amp;" "&amp;INDEX('Staff Directory'!$J$595:$J$599,MATCH($C412,'Staff Directory'!$B$5:$B$599,0)),$AG412))</f>
        <v>RN</v>
      </c>
      <c r="AI412" s="102"/>
      <c r="AJ412" s="101">
        <f>IF($F412="","",SUMIFS($J$5:$J412,$F$5:$F412,$F412))</f>
        <v>3200</v>
      </c>
      <c r="AK412" s="101">
        <f t="shared" si="71"/>
        <v>3151</v>
      </c>
      <c r="AL412" s="66" t="str" cm="1">
        <f t="array" ref="AL412">IF($F412="","",IFERROR(INDEX('Lot Balance'!$B$5:$B$500,MATCH(1,INDEX(('Lot Balance'!$A$5:$A$500=$F412)*('Lot Balance'!$K$5:$K$500&lt;$AK412)*('Lot Balance'!$K$5:$K$500+'Lot Balance'!$D$5:$D$500&gt;=$AK412),0),0)),""))</f>
        <v>0125FPC24-0</v>
      </c>
      <c r="AM412" s="66" t="str" cm="1">
        <f t="array" ref="AM412">IF($F412="","",IFERROR(INDEX('Lot Balance'!$B$5:$B$500,MATCH(1,INDEX(('Lot Balance'!$A$5:$A$500=$F412)*('Lot Balance'!$K$5:$K$500&lt;$AJ412)*('Lot Balance'!$K$5:$K$500+'Lot Balance'!$D$5:$D$500&gt;=$AJ412),0),0)),""))</f>
        <v>0125FPC24-0</v>
      </c>
      <c r="AN412" s="66" t="str">
        <f>IF($F412="","",IF($AI412&lt;&gt;"",IF(COUNTIFS('Lot Balance'!$A$5:$A$500,$F412,'Lot Balance'!$B$5:$B$500,$AI412)=0,"⚠ override is not a lot of this item",IF($AI412=$AL412,"Override = FEFO","Override - FEFO says "&amp;$AL412)),IF($AL412="","⚠ no receipt on file for this item",IF($AM412&lt;&gt;$AL412,"FEFO auto - split, also "&amp;$AM412,"FEFO auto"))))</f>
        <v>FEFO auto</v>
      </c>
      <c r="AO412" s="114"/>
    </row>
    <row r="413" spans="1:41" x14ac:dyDescent="0.35">
      <c r="A413" s="74">
        <v>46140</v>
      </c>
      <c r="B413" s="18" t="str">
        <f>IF($C413="","",IFERROR(INDEX('Staff Directory'!$A$5:$A$594,MATCH($C413,'Staff Directory'!$B$5:$B$594,0)),"⚠ unknown staff"))</f>
        <v>RN-031-A2</v>
      </c>
      <c r="C413" s="49" t="s">
        <v>951</v>
      </c>
      <c r="D413" s="19" t="str">
        <f>IF($B413="","",IFERROR(INDEX('Staff Directory'!$C$5:$C$594,MATCH($B413,'Staff Directory'!$A$5:$A$594,0)),""))</f>
        <v>RN</v>
      </c>
      <c r="E413" s="19" t="str">
        <f>IF($B413="","",IFERROR(INDEX('Staff Directory'!$D$5:$D$594,MATCH($B413,'Staff Directory'!$A$5:$A$594,0)),""))</f>
        <v>A2</v>
      </c>
      <c r="F413" s="9" t="s">
        <v>757</v>
      </c>
      <c r="G413" s="18" t="str">
        <f>IF($F413="","",IFERROR(INDEX(Items!$B$5:$B$597,MATCH($F413,Items!$A$5:$A$597,0)),"⚠ not in Items"))</f>
        <v>Documents</v>
      </c>
      <c r="H413" s="19" t="str">
        <f>IF($F413="","",IFERROR(INDEX(Items!$C$5:$C$597,MATCH($F413,Items!$A$5:$A$597,0)),""))</f>
        <v>Standard</v>
      </c>
      <c r="I413" s="23">
        <f>IF($F413="","",IFERROR(INDEX(Items!$E$5:$E$597,MATCH($F413,Items!$A$5:$A$597,0)),""))</f>
        <v>10</v>
      </c>
      <c r="J413" s="115">
        <f>IF(tblIssues[[#This Row],[Qty Override]]&lt;&gt;"",tblIssues[[#This Row],[Qty Override]],IF(tblIssues[[#This Row],[Standard Issue]]="","",tblIssues[[#This Row],[Standard Issue]]))</f>
        <v>10</v>
      </c>
      <c r="K413" s="20">
        <f>IF($F413="","",IFERROR(INDEX(Items!$D$5:$D$597,MATCH($F413,Items!$A$5:$A$597,0)),""))</f>
        <v>0</v>
      </c>
      <c r="L413" s="21">
        <f t="shared" si="72"/>
        <v>0</v>
      </c>
      <c r="M413" s="9" t="str">
        <f t="shared" si="73"/>
        <v/>
      </c>
      <c r="N413" s="24">
        <f>IF($A413="","",WORKDAY($A413,Settings!$C$9,HolidayDates))</f>
        <v>46148</v>
      </c>
      <c r="O413" s="24">
        <f>IF($N413="","",WORKDAY($N413,Settings!$C$10,HolidayDates))</f>
        <v>46188</v>
      </c>
      <c r="P413" s="10" t="s">
        <v>751</v>
      </c>
      <c r="Q413" s="52" t="str">
        <f t="shared" si="75"/>
        <v>Collected</v>
      </c>
      <c r="R413" s="55" t="str">
        <f t="shared" si="76"/>
        <v>2026-04</v>
      </c>
      <c r="S413" s="55">
        <f>IF(OR($B413="",$F413="",$R413=""),"",SUMIFS(tblIssues[Qty Issued],tblIssues[Staff ID],$B413,tblIssues[Item Name],$F413,tblIssues[Month],$R413))</f>
        <v>20</v>
      </c>
      <c r="T413" s="56">
        <f>IF($I413="","",$I413*Settings!$C$11)</f>
        <v>10</v>
      </c>
      <c r="U413" s="57" t="str">
        <f t="shared" si="74"/>
        <v>⚠ OVER QUOTA</v>
      </c>
      <c r="V413" s="55" t="str">
        <f t="shared" si="77"/>
        <v>RN-031-A2 | Sample Org CONNECT Welcome Package RN | 2026-04</v>
      </c>
      <c r="W413" s="55" t="str">
        <f>IF($V413="","",IF(COUNTIF($V$5:$V413,$V413)=1,1,""))</f>
        <v/>
      </c>
      <c r="X413" s="58" t="str">
        <f>IF($W413="","",MAX($X$4:X412)+1)</f>
        <v/>
      </c>
      <c r="Y413" s="62"/>
      <c r="Z413" s="62"/>
      <c r="AA413" s="64" t="str">
        <f>IF($C413="","",IFERROR(INDEX('Staff Directory'!$E$5:$E$594,MATCH($C413,'Staff Directory'!$B$5:$B$594,0)),""))</f>
        <v>firstname035.lastname035@example.com</v>
      </c>
      <c r="AB413" s="64" t="str">
        <f>IF($C413="","",IF(ISNUMBER(SEARCH($D413,Settings!$C$15)),"Pickup","Dispatch"))</f>
        <v>Dispatch</v>
      </c>
      <c r="AC413" s="64" t="str">
        <f t="shared" si="78"/>
        <v>Supply order dispatched</v>
      </c>
      <c r="AD413" s="64" t="str">
        <f t="shared" si="69"/>
        <v>Dear RN,
Your order has been dispatched and is in transit. Reply if undelivered.</v>
      </c>
      <c r="AE413" s="64" t="str">
        <f t="shared" si="70"/>
        <v>mailto:firstname035.lastname035@example.com?subject=Supply%20order%20dispatched&amp;body=Dear%20RN%2C%0A%0AYour%20order%20has%20been%20dispatched%20and%20is%20in%20transit.%20Reply%20if%20undelivered.</v>
      </c>
      <c r="AF413" s="89" t="str">
        <f t="shared" si="79"/>
        <v>Draft email</v>
      </c>
      <c r="AG413" s="64" t="str">
        <f>IF($C413="","",IFERROR(INDEX('Staff Directory'!$K$595:$K$599,MATCH($C413,'Staff Directory'!$B$5:$B$599,0)),$D413))</f>
        <v>RN</v>
      </c>
      <c r="AH413" t="str">
        <f>IF($C413="","",IFERROR(INDEX('Staff Directory'!$I$595:$I$599,MATCH($C413,'Staff Directory'!$B$5:$B$599,0))&amp;" "&amp;INDEX('Staff Directory'!$J$595:$J$599,MATCH($C413,'Staff Directory'!$B$5:$B$599,0)),$AG413))</f>
        <v>RN</v>
      </c>
      <c r="AI413" s="102"/>
      <c r="AJ413" s="101">
        <f>IF($F413="","",SUMIFS($J$5:$J413,$F$5:$F413,$F413))</f>
        <v>160</v>
      </c>
      <c r="AK413" s="101">
        <f t="shared" si="71"/>
        <v>151</v>
      </c>
      <c r="AL413" s="66" t="str" cm="1">
        <f t="array" ref="AL413">IF($F413="","",IFERROR(INDEX('Lot Balance'!$B$5:$B$500,MATCH(1,INDEX(('Lot Balance'!$A$5:$A$500=$F413)*('Lot Balance'!$K$5:$K$500&lt;$AK413)*('Lot Balance'!$K$5:$K$500+'Lot Balance'!$D$5:$D$500&gt;=$AK413),0),0)),""))</f>
        <v/>
      </c>
      <c r="AM413" s="66" t="str" cm="1">
        <f t="array" ref="AM413">IF($F413="","",IFERROR(INDEX('Lot Balance'!$B$5:$B$500,MATCH(1,INDEX(('Lot Balance'!$A$5:$A$500=$F413)*('Lot Balance'!$K$5:$K$500&lt;$AJ413)*('Lot Balance'!$K$5:$K$500+'Lot Balance'!$D$5:$D$500&gt;=$AJ413),0),0)),""))</f>
        <v/>
      </c>
      <c r="AN413" s="66" t="str">
        <f>IF($F413="","",IF($AI413&lt;&gt;"",IF(COUNTIFS('Lot Balance'!$A$5:$A$500,$F413,'Lot Balance'!$B$5:$B$500,$AI413)=0,"⚠ override is not a lot of this item",IF($AI413=$AL413,"Override = FEFO","Override - FEFO says "&amp;$AL413)),IF($AL413="","⚠ no receipt on file for this item",IF($AM413&lt;&gt;$AL413,"FEFO auto - split, also "&amp;$AM413,"FEFO auto"))))</f>
        <v>⚠ no receipt on file for this item</v>
      </c>
      <c r="AO413" s="114"/>
    </row>
    <row r="414" spans="1:41" x14ac:dyDescent="0.35">
      <c r="A414" s="74">
        <v>46140</v>
      </c>
      <c r="B414" s="18" t="str">
        <f>IF($C414="","",IFERROR(INDEX('Staff Directory'!$A$5:$A$594,MATCH($C414,'Staff Directory'!$B$5:$B$594,0)),"⚠ unknown staff"))</f>
        <v>PSW-172-TBD</v>
      </c>
      <c r="C414" s="49" t="s">
        <v>1151</v>
      </c>
      <c r="D414" s="19" t="str">
        <f>IF($B414="","",IFERROR(INDEX('Staff Directory'!$C$5:$C$594,MATCH($B414,'Staff Directory'!$A$5:$A$594,0)),""))</f>
        <v>PSW</v>
      </c>
      <c r="E414" s="19">
        <f>IF($B414="","",IFERROR(INDEX('Staff Directory'!$D$5:$D$594,MATCH($B414,'Staff Directory'!$A$5:$A$594,0)),""))</f>
        <v>0</v>
      </c>
      <c r="F414" s="9" t="s">
        <v>127</v>
      </c>
      <c r="G414" s="18" t="str">
        <f>IF($F414="","",IFERROR(INDEX(Items!$B$5:$B$597,MATCH($F414,Items!$A$5:$A$597,0)),"⚠ not in Items"))</f>
        <v>Gloves</v>
      </c>
      <c r="H414" s="19" t="str">
        <f>IF($F414="","",IFERROR(INDEX(Items!$C$5:$C$597,MATCH($F414,Items!$A$5:$A$597,0)),""))</f>
        <v>Medium</v>
      </c>
      <c r="I414" s="23">
        <f>IF($F414="","",IFERROR(INDEX(Items!$E$5:$E$597,MATCH($F414,Items!$A$5:$A$597,0)),""))</f>
        <v>500</v>
      </c>
      <c r="J414" s="115">
        <f>IF(tblIssues[[#This Row],[Qty Override]]&lt;&gt;"",tblIssues[[#This Row],[Qty Override]],IF(tblIssues[[#This Row],[Standard Issue]]="","",tblIssues[[#This Row],[Standard Issue]]))</f>
        <v>500</v>
      </c>
      <c r="K414" s="20">
        <f>IF($F414="","",IFERROR(INDEX(Items!$D$5:$D$597,MATCH($F414,Items!$A$5:$A$597,0)),""))</f>
        <v>5.5E-2</v>
      </c>
      <c r="L414" s="21">
        <f t="shared" si="72"/>
        <v>27.5</v>
      </c>
      <c r="M414" s="9" t="str">
        <f t="shared" si="73"/>
        <v>0312HIC25</v>
      </c>
      <c r="N414" s="24">
        <f>IF($A414="","",WORKDAY($A414,Settings!$C$9,HolidayDates))</f>
        <v>46148</v>
      </c>
      <c r="O414" s="24">
        <f>IF($N414="","",WORKDAY($N414,Settings!$C$10,HolidayDates))</f>
        <v>46188</v>
      </c>
      <c r="P414" s="10" t="s">
        <v>501</v>
      </c>
      <c r="Q414" s="52" t="str">
        <f t="shared" si="75"/>
        <v>Collected</v>
      </c>
      <c r="R414" s="55" t="str">
        <f t="shared" si="76"/>
        <v>2026-04</v>
      </c>
      <c r="S414" s="55">
        <f>IF(OR($B414="",$F414="",$R414=""),"",SUMIFS(tblIssues[Qty Issued],tblIssues[Staff ID],$B414,tblIssues[Item Name],$F414,tblIssues[Month],$R414))</f>
        <v>500</v>
      </c>
      <c r="T414" s="56">
        <f>IF($I414="","",$I414*Settings!$C$11)</f>
        <v>500</v>
      </c>
      <c r="U414" s="57" t="str">
        <f t="shared" si="74"/>
        <v>OK</v>
      </c>
      <c r="V414" s="55" t="str">
        <f t="shared" si="77"/>
        <v/>
      </c>
      <c r="W414" s="55" t="str">
        <f>IF($V414="","",IF(COUNTIF($V$5:$V414,$V414)=1,1,""))</f>
        <v/>
      </c>
      <c r="X414" s="58" t="str">
        <f>IF($W414="","",MAX($X$4:X413)+1)</f>
        <v/>
      </c>
      <c r="Y414" s="62"/>
      <c r="Z414" s="62"/>
      <c r="AA414" s="64" t="str">
        <f>IF($C414="","",IFERROR(INDEX('Staff Directory'!$E$5:$E$594,MATCH($C414,'Staff Directory'!$B$5:$B$594,0)),""))</f>
        <v>firstname235.lastname235@example.com</v>
      </c>
      <c r="AB414" s="64" t="str">
        <f>IF($C414="","",IF(ISNUMBER(SEARCH($D414,Settings!$C$15)),"Pickup","Dispatch"))</f>
        <v>Pickup</v>
      </c>
      <c r="AC414" s="64" t="str">
        <f t="shared" si="78"/>
        <v>Supply order ready for pickup</v>
      </c>
      <c r="AD414" s="64" t="str">
        <f t="shared" si="69"/>
        <v>Dear PSW,
Your order is ready for pickup from Sample Branch, Wed-Fri 9am-4pm.</v>
      </c>
      <c r="AE414" s="64" t="str">
        <f t="shared" si="70"/>
        <v>mailto:firstname235.lastname235@example.com?subject=Supply%20order%20ready%20for%20pickup&amp;body=Dear%20PSW%2C%0A%0AYour%20order%20is%20ready%20for%20pickup%20from%20Sample%20Branch%2C%20Wed-Fri%209am-4pm.</v>
      </c>
      <c r="AF414" s="89" t="str">
        <f t="shared" si="79"/>
        <v>Draft email</v>
      </c>
      <c r="AG414" s="64" t="str">
        <f>IF($C414="","",IFERROR(INDEX('Staff Directory'!$K$595:$K$599,MATCH($C414,'Staff Directory'!$B$5:$B$599,0)),$D414))</f>
        <v>PSW</v>
      </c>
      <c r="AH414" t="str">
        <f>IF($C414="","",IFERROR(INDEX('Staff Directory'!$I$595:$I$599,MATCH($C414,'Staff Directory'!$B$5:$B$599,0))&amp;" "&amp;INDEX('Staff Directory'!$J$595:$J$599,MATCH($C414,'Staff Directory'!$B$5:$B$599,0)),$AG414))</f>
        <v>PSW</v>
      </c>
      <c r="AI414" s="102"/>
      <c r="AJ414" s="101">
        <f>IF($F414="","",SUMIFS($J$5:$J414,$F$5:$F414,$F414))</f>
        <v>24500</v>
      </c>
      <c r="AK414" s="101">
        <f t="shared" si="71"/>
        <v>24001</v>
      </c>
      <c r="AL414" s="66" t="str" cm="1">
        <f t="array" ref="AL414">IF($F414="","",IFERROR(INDEX('Lot Balance'!$B$5:$B$500,MATCH(1,INDEX(('Lot Balance'!$A$5:$A$500=$F414)*('Lot Balance'!$K$5:$K$500&lt;$AK414)*('Lot Balance'!$K$5:$K$500+'Lot Balance'!$D$5:$D$500&gt;=$AK414),0),0)),""))</f>
        <v>0312HIC25</v>
      </c>
      <c r="AM414" s="66" t="str" cm="1">
        <f t="array" ref="AM414">IF($F414="","",IFERROR(INDEX('Lot Balance'!$B$5:$B$500,MATCH(1,INDEX(('Lot Balance'!$A$5:$A$500=$F414)*('Lot Balance'!$K$5:$K$500&lt;$AJ414)*('Lot Balance'!$K$5:$K$500+'Lot Balance'!$D$5:$D$500&gt;=$AJ414),0),0)),""))</f>
        <v>0312HIC25</v>
      </c>
      <c r="AN414" s="66" t="str">
        <f>IF($F414="","",IF($AI414&lt;&gt;"",IF(COUNTIFS('Lot Balance'!$A$5:$A$500,$F414,'Lot Balance'!$B$5:$B$500,$AI414)=0,"⚠ override is not a lot of this item",IF($AI414=$AL414,"Override = FEFO","Override - FEFO says "&amp;$AL414)),IF($AL414="","⚠ no receipt on file for this item",IF($AM414&lt;&gt;$AL414,"FEFO auto - split, also "&amp;$AM414,"FEFO auto"))))</f>
        <v>FEFO auto</v>
      </c>
      <c r="AO414" s="114"/>
    </row>
    <row r="415" spans="1:41" x14ac:dyDescent="0.35">
      <c r="A415" s="74">
        <v>46140</v>
      </c>
      <c r="B415" s="18" t="str">
        <f>IF($C415="","",IFERROR(INDEX('Staff Directory'!$A$5:$A$594,MATCH($C415,'Staff Directory'!$B$5:$B$594,0)),"⚠ unknown staff"))</f>
        <v>PSW-172-TBD</v>
      </c>
      <c r="C415" s="49" t="s">
        <v>1151</v>
      </c>
      <c r="D415" s="19" t="str">
        <f>IF($B415="","",IFERROR(INDEX('Staff Directory'!$C$5:$C$594,MATCH($B415,'Staff Directory'!$A$5:$A$594,0)),""))</f>
        <v>PSW</v>
      </c>
      <c r="E415" s="19">
        <f>IF($B415="","",IFERROR(INDEX('Staff Directory'!$D$5:$D$594,MATCH($B415,'Staff Directory'!$A$5:$A$594,0)),""))</f>
        <v>0</v>
      </c>
      <c r="F415" s="9" t="s">
        <v>115</v>
      </c>
      <c r="G415" s="18" t="str">
        <f>IF($F415="","",IFERROR(INDEX(Items!$B$5:$B$597,MATCH($F415,Items!$A$5:$A$597,0)),"⚠ not in Items"))</f>
        <v>Wipes</v>
      </c>
      <c r="H415" s="19">
        <f>IF($F415="","",IFERROR(INDEX(Items!$C$5:$C$597,MATCH($F415,Items!$A$5:$A$597,0)),""))</f>
        <v>80</v>
      </c>
      <c r="I415" s="23">
        <f>IF($F415="","",IFERROR(INDEX(Items!$E$5:$E$597,MATCH($F415,Items!$A$5:$A$597,0)),""))</f>
        <v>80</v>
      </c>
      <c r="J415" s="115">
        <f>IF(tblIssues[[#This Row],[Qty Override]]&lt;&gt;"",tblIssues[[#This Row],[Qty Override]],IF(tblIssues[[#This Row],[Standard Issue]]="","",tblIssues[[#This Row],[Standard Issue]]))</f>
        <v>80</v>
      </c>
      <c r="K415" s="20">
        <f>IF($F415="","",IFERROR(INDEX(Items!$D$5:$D$597,MATCH($F415,Items!$A$5:$A$597,0)),""))</f>
        <v>0.1</v>
      </c>
      <c r="L415" s="21">
        <f t="shared" si="72"/>
        <v>8</v>
      </c>
      <c r="M415" s="9" t="str">
        <f t="shared" si="73"/>
        <v>LYSL500290</v>
      </c>
      <c r="N415" s="24">
        <f>IF($A415="","",WORKDAY($A415,Settings!$C$9,HolidayDates))</f>
        <v>46148</v>
      </c>
      <c r="O415" s="24">
        <f>IF($N415="","",WORKDAY($N415,Settings!$C$10,HolidayDates))</f>
        <v>46188</v>
      </c>
      <c r="P415" s="10" t="s">
        <v>501</v>
      </c>
      <c r="Q415" s="52" t="str">
        <f t="shared" si="75"/>
        <v>Collected</v>
      </c>
      <c r="R415" s="55" t="str">
        <f t="shared" si="76"/>
        <v>2026-04</v>
      </c>
      <c r="S415" s="55">
        <f>IF(OR($B415="",$F415="",$R415=""),"",SUMIFS(tblIssues[Qty Issued],tblIssues[Staff ID],$B415,tblIssues[Item Name],$F415,tblIssues[Month],$R415))</f>
        <v>80</v>
      </c>
      <c r="T415" s="56">
        <f>IF($I415="","",$I415*Settings!$C$11)</f>
        <v>80</v>
      </c>
      <c r="U415" s="57" t="str">
        <f t="shared" si="74"/>
        <v>OK</v>
      </c>
      <c r="V415" s="55" t="str">
        <f t="shared" si="77"/>
        <v/>
      </c>
      <c r="W415" s="55" t="str">
        <f>IF($V415="","",IF(COUNTIF($V$5:$V415,$V415)=1,1,""))</f>
        <v/>
      </c>
      <c r="X415" s="58" t="str">
        <f>IF($W415="","",MAX($X$4:X414)+1)</f>
        <v/>
      </c>
      <c r="Y415" s="62"/>
      <c r="Z415" s="62"/>
      <c r="AA415" s="64" t="str">
        <f>IF($C415="","",IFERROR(INDEX('Staff Directory'!$E$5:$E$594,MATCH($C415,'Staff Directory'!$B$5:$B$594,0)),""))</f>
        <v>firstname235.lastname235@example.com</v>
      </c>
      <c r="AB415" s="64" t="str">
        <f>IF($C415="","",IF(ISNUMBER(SEARCH($D415,Settings!$C$15)),"Pickup","Dispatch"))</f>
        <v>Pickup</v>
      </c>
      <c r="AC415" s="64" t="str">
        <f t="shared" si="78"/>
        <v>Supply order ready for pickup</v>
      </c>
      <c r="AD415" s="64" t="str">
        <f t="shared" si="69"/>
        <v>Dear PSW,
Your order is ready for pickup from Sample Branch, Wed-Fri 9am-4pm.</v>
      </c>
      <c r="AE415" s="64" t="str">
        <f t="shared" si="70"/>
        <v>mailto:firstname235.lastname235@example.com?subject=Supply%20order%20ready%20for%20pickup&amp;body=Dear%20PSW%2C%0A%0AYour%20order%20is%20ready%20for%20pickup%20from%20Sample%20Branch%2C%20Wed-Fri%209am-4pm.</v>
      </c>
      <c r="AF415" s="89" t="str">
        <f t="shared" si="79"/>
        <v>Draft email</v>
      </c>
      <c r="AG415" s="64" t="str">
        <f>IF($C415="","",IFERROR(INDEX('Staff Directory'!$K$595:$K$599,MATCH($C415,'Staff Directory'!$B$5:$B$599,0)),$D415))</f>
        <v>PSW</v>
      </c>
      <c r="AH415" t="str">
        <f>IF($C415="","",IFERROR(INDEX('Staff Directory'!$I$595:$I$599,MATCH($C415,'Staff Directory'!$B$5:$B$599,0))&amp;" "&amp;INDEX('Staff Directory'!$J$595:$J$599,MATCH($C415,'Staff Directory'!$B$5:$B$599,0)),$AG415))</f>
        <v>PSW</v>
      </c>
      <c r="AI415" s="102"/>
      <c r="AJ415" s="101">
        <f>IF($F415="","",SUMIFS($J$5:$J415,$F$5:$F415,$F415))</f>
        <v>5680</v>
      </c>
      <c r="AK415" s="101">
        <f t="shared" si="71"/>
        <v>5601</v>
      </c>
      <c r="AL415" s="66" t="str" cm="1">
        <f t="array" ref="AL415">IF($F415="","",IFERROR(INDEX('Lot Balance'!$B$5:$B$500,MATCH(1,INDEX(('Lot Balance'!$A$5:$A$500=$F415)*('Lot Balance'!$K$5:$K$500&lt;$AK415)*('Lot Balance'!$K$5:$K$500+'Lot Balance'!$D$5:$D$500&gt;=$AK415),0),0)),""))</f>
        <v>LYSL500290</v>
      </c>
      <c r="AM415" s="66" t="str" cm="1">
        <f t="array" ref="AM415">IF($F415="","",IFERROR(INDEX('Lot Balance'!$B$5:$B$500,MATCH(1,INDEX(('Lot Balance'!$A$5:$A$500=$F415)*('Lot Balance'!$K$5:$K$500&lt;$AJ415)*('Lot Balance'!$K$5:$K$500+'Lot Balance'!$D$5:$D$500&gt;=$AJ415),0),0)),""))</f>
        <v>LYSL500290</v>
      </c>
      <c r="AN415" s="66" t="str">
        <f>IF($F415="","",IF($AI415&lt;&gt;"",IF(COUNTIFS('Lot Balance'!$A$5:$A$500,$F415,'Lot Balance'!$B$5:$B$500,$AI415)=0,"⚠ override is not a lot of this item",IF($AI415=$AL415,"Override = FEFO","Override - FEFO says "&amp;$AL415)),IF($AL415="","⚠ no receipt on file for this item",IF($AM415&lt;&gt;$AL415,"FEFO auto - split, also "&amp;$AM415,"FEFO auto"))))</f>
        <v>FEFO auto</v>
      </c>
      <c r="AO415" s="114"/>
    </row>
    <row r="416" spans="1:41" x14ac:dyDescent="0.35">
      <c r="A416" s="74">
        <v>46140</v>
      </c>
      <c r="B416" s="18" t="str">
        <f>IF($C416="","",IFERROR(INDEX('Staff Directory'!$A$5:$A$594,MATCH($C416,'Staff Directory'!$B$5:$B$594,0)),"⚠ unknown staff"))</f>
        <v>PSW-172-TBD</v>
      </c>
      <c r="C416" s="49" t="s">
        <v>1151</v>
      </c>
      <c r="D416" s="19" t="str">
        <f>IF($B416="","",IFERROR(INDEX('Staff Directory'!$C$5:$C$594,MATCH($B416,'Staff Directory'!$A$5:$A$594,0)),""))</f>
        <v>PSW</v>
      </c>
      <c r="E416" s="19">
        <f>IF($B416="","",IFERROR(INDEX('Staff Directory'!$D$5:$D$594,MATCH($B416,'Staff Directory'!$A$5:$A$594,0)),""))</f>
        <v>0</v>
      </c>
      <c r="F416" s="9" t="s">
        <v>156</v>
      </c>
      <c r="G416" s="18" t="str">
        <f>IF($F416="","",IFERROR(INDEX(Items!$B$5:$B$597,MATCH($F416,Items!$A$5:$A$597,0)),"⚠ not in Items"))</f>
        <v>Masks</v>
      </c>
      <c r="H416" s="19" t="str">
        <f>IF($F416="","",IFERROR(INDEX(Items!$C$5:$C$597,MATCH($F416,Items!$A$5:$A$597,0)),""))</f>
        <v>One Size</v>
      </c>
      <c r="I416" s="23">
        <f>IF($F416="","",IFERROR(INDEX(Items!$E$5:$E$597,MATCH($F416,Items!$A$5:$A$597,0)),""))</f>
        <v>50</v>
      </c>
      <c r="J416" s="115">
        <f>IF(tblIssues[[#This Row],[Qty Override]]&lt;&gt;"",tblIssues[[#This Row],[Qty Override]],IF(tblIssues[[#This Row],[Standard Issue]]="","",tblIssues[[#This Row],[Standard Issue]]))</f>
        <v>50</v>
      </c>
      <c r="K416" s="20">
        <f>IF($F416="","",IFERROR(INDEX(Items!$D$5:$D$597,MATCH($F416,Items!$A$5:$A$597,0)),""))</f>
        <v>0.25</v>
      </c>
      <c r="L416" s="21">
        <f t="shared" si="72"/>
        <v>12.5</v>
      </c>
      <c r="M416" s="9" t="str">
        <f t="shared" si="73"/>
        <v>0125FPC24-0</v>
      </c>
      <c r="N416" s="24">
        <f>IF($A416="","",WORKDAY($A416,Settings!$C$9,HolidayDates))</f>
        <v>46148</v>
      </c>
      <c r="O416" s="24">
        <f>IF($N416="","",WORKDAY($N416,Settings!$C$10,HolidayDates))</f>
        <v>46188</v>
      </c>
      <c r="P416" s="10" t="s">
        <v>501</v>
      </c>
      <c r="Q416" s="52" t="str">
        <f t="shared" si="75"/>
        <v>Collected</v>
      </c>
      <c r="R416" s="55" t="str">
        <f t="shared" si="76"/>
        <v>2026-04</v>
      </c>
      <c r="S416" s="55">
        <f>IF(OR($B416="",$F416="",$R416=""),"",SUMIFS(tblIssues[Qty Issued],tblIssues[Staff ID],$B416,tblIssues[Item Name],$F416,tblIssues[Month],$R416))</f>
        <v>50</v>
      </c>
      <c r="T416" s="56">
        <f>IF($I416="","",$I416*Settings!$C$11)</f>
        <v>50</v>
      </c>
      <c r="U416" s="57" t="str">
        <f t="shared" si="74"/>
        <v>OK</v>
      </c>
      <c r="V416" s="55" t="str">
        <f t="shared" si="77"/>
        <v/>
      </c>
      <c r="W416" s="55" t="str">
        <f>IF($V416="","",IF(COUNTIF($V$5:$V416,$V416)=1,1,""))</f>
        <v/>
      </c>
      <c r="X416" s="58" t="str">
        <f>IF($W416="","",MAX($X$4:X415)+1)</f>
        <v/>
      </c>
      <c r="Y416" s="62"/>
      <c r="Z416" s="62"/>
      <c r="AA416" s="64" t="str">
        <f>IF($C416="","",IFERROR(INDEX('Staff Directory'!$E$5:$E$594,MATCH($C416,'Staff Directory'!$B$5:$B$594,0)),""))</f>
        <v>firstname235.lastname235@example.com</v>
      </c>
      <c r="AB416" s="64" t="str">
        <f>IF($C416="","",IF(ISNUMBER(SEARCH($D416,Settings!$C$15)),"Pickup","Dispatch"))</f>
        <v>Pickup</v>
      </c>
      <c r="AC416" s="64" t="str">
        <f t="shared" si="78"/>
        <v>Supply order ready for pickup</v>
      </c>
      <c r="AD416" s="64" t="str">
        <f t="shared" si="69"/>
        <v>Dear PSW,
Your order is ready for pickup from Sample Branch, Wed-Fri 9am-4pm.</v>
      </c>
      <c r="AE416" s="64" t="str">
        <f t="shared" si="70"/>
        <v>mailto:firstname235.lastname235@example.com?subject=Supply%20order%20ready%20for%20pickup&amp;body=Dear%20PSW%2C%0A%0AYour%20order%20is%20ready%20for%20pickup%20from%20Sample%20Branch%2C%20Wed-Fri%209am-4pm.</v>
      </c>
      <c r="AF416" s="89" t="str">
        <f t="shared" si="79"/>
        <v>Draft email</v>
      </c>
      <c r="AG416" s="64" t="str">
        <f>IF($C416="","",IFERROR(INDEX('Staff Directory'!$K$595:$K$599,MATCH($C416,'Staff Directory'!$B$5:$B$599,0)),$D416))</f>
        <v>PSW</v>
      </c>
      <c r="AH416" t="str">
        <f>IF($C416="","",IFERROR(INDEX('Staff Directory'!$I$595:$I$599,MATCH($C416,'Staff Directory'!$B$5:$B$599,0))&amp;" "&amp;INDEX('Staff Directory'!$J$595:$J$599,MATCH($C416,'Staff Directory'!$B$5:$B$599,0)),$AG416))</f>
        <v>PSW</v>
      </c>
      <c r="AI416" s="102"/>
      <c r="AJ416" s="101">
        <f>IF($F416="","",SUMIFS($J$5:$J416,$F$5:$F416,$F416))</f>
        <v>3250</v>
      </c>
      <c r="AK416" s="101">
        <f t="shared" si="71"/>
        <v>3201</v>
      </c>
      <c r="AL416" s="66" t="str" cm="1">
        <f t="array" ref="AL416">IF($F416="","",IFERROR(INDEX('Lot Balance'!$B$5:$B$500,MATCH(1,INDEX(('Lot Balance'!$A$5:$A$500=$F416)*('Lot Balance'!$K$5:$K$500&lt;$AK416)*('Lot Balance'!$K$5:$K$500+'Lot Balance'!$D$5:$D$500&gt;=$AK416),0),0)),""))</f>
        <v>0125FPC24-0</v>
      </c>
      <c r="AM416" s="66" t="str" cm="1">
        <f t="array" ref="AM416">IF($F416="","",IFERROR(INDEX('Lot Balance'!$B$5:$B$500,MATCH(1,INDEX(('Lot Balance'!$A$5:$A$500=$F416)*('Lot Balance'!$K$5:$K$500&lt;$AJ416)*('Lot Balance'!$K$5:$K$500+'Lot Balance'!$D$5:$D$500&gt;=$AJ416),0),0)),""))</f>
        <v>0125FPC24-0</v>
      </c>
      <c r="AN416" s="66" t="str">
        <f>IF($F416="","",IF($AI416&lt;&gt;"",IF(COUNTIFS('Lot Balance'!$A$5:$A$500,$F416,'Lot Balance'!$B$5:$B$500,$AI416)=0,"⚠ override is not a lot of this item",IF($AI416=$AL416,"Override = FEFO","Override - FEFO says "&amp;$AL416)),IF($AL416="","⚠ no receipt on file for this item",IF($AM416&lt;&gt;$AL416,"FEFO auto - split, also "&amp;$AM416,"FEFO auto"))))</f>
        <v>FEFO auto</v>
      </c>
      <c r="AO416" s="114"/>
    </row>
    <row r="417" spans="1:41" x14ac:dyDescent="0.35">
      <c r="A417" s="74">
        <v>46140</v>
      </c>
      <c r="B417" s="18" t="str">
        <f>IF($C417="","",IFERROR(INDEX('Staff Directory'!$A$5:$A$594,MATCH($C417,'Staff Directory'!$B$5:$B$594,0)),"⚠ unknown staff"))</f>
        <v>PSW-133-A6</v>
      </c>
      <c r="C417" s="49" t="s">
        <v>1112</v>
      </c>
      <c r="D417" s="19" t="str">
        <f>IF($B417="","",IFERROR(INDEX('Staff Directory'!$C$5:$C$594,MATCH($B417,'Staff Directory'!$A$5:$A$594,0)),""))</f>
        <v>PSW</v>
      </c>
      <c r="E417" s="19" t="str">
        <f>IF($B417="","",IFERROR(INDEX('Staff Directory'!$D$5:$D$594,MATCH($B417,'Staff Directory'!$A$5:$A$594,0)),""))</f>
        <v>A6</v>
      </c>
      <c r="F417" s="9" t="s">
        <v>124</v>
      </c>
      <c r="G417" s="18" t="str">
        <f>IF($F417="","",IFERROR(INDEX(Items!$B$5:$B$597,MATCH($F417,Items!$A$5:$A$597,0)),"⚠ not in Items"))</f>
        <v>Gloves</v>
      </c>
      <c r="H417" s="19" t="str">
        <f>IF($F417="","",IFERROR(INDEX(Items!$C$5:$C$597,MATCH($F417,Items!$A$5:$A$597,0)),""))</f>
        <v>Large</v>
      </c>
      <c r="I417" s="23">
        <f>IF($F417="","",IFERROR(INDEX(Items!$E$5:$E$597,MATCH($F417,Items!$A$5:$A$597,0)),""))</f>
        <v>500</v>
      </c>
      <c r="J417" s="115">
        <f>IF(tblIssues[[#This Row],[Qty Override]]&lt;&gt;"",tblIssues[[#This Row],[Qty Override]],IF(tblIssues[[#This Row],[Standard Issue]]="","",tblIssues[[#This Row],[Standard Issue]]))</f>
        <v>500</v>
      </c>
      <c r="K417" s="20">
        <f>IF($F417="","",IFERROR(INDEX(Items!$D$5:$D$597,MATCH($F417,Items!$A$5:$A$597,0)),""))</f>
        <v>5.5E-2</v>
      </c>
      <c r="L417" s="21">
        <f t="shared" si="72"/>
        <v>27.5</v>
      </c>
      <c r="M417" s="9" t="str">
        <f t="shared" si="73"/>
        <v>0417HIC25-0</v>
      </c>
      <c r="N417" s="24">
        <f>IF($A417="","",WORKDAY($A417,Settings!$C$9,HolidayDates))</f>
        <v>46148</v>
      </c>
      <c r="O417" s="24">
        <f>IF($N417="","",WORKDAY($N417,Settings!$C$10,HolidayDates))</f>
        <v>46188</v>
      </c>
      <c r="P417" s="10" t="s">
        <v>501</v>
      </c>
      <c r="Q417" s="52" t="str">
        <f t="shared" si="75"/>
        <v>Collected</v>
      </c>
      <c r="R417" s="55" t="str">
        <f t="shared" si="76"/>
        <v>2026-04</v>
      </c>
      <c r="S417" s="55">
        <f>IF(OR($B417="",$F417="",$R417=""),"",SUMIFS(tblIssues[Qty Issued],tblIssues[Staff ID],$B417,tblIssues[Item Name],$F417,tblIssues[Month],$R417))</f>
        <v>500</v>
      </c>
      <c r="T417" s="56">
        <f>IF($I417="","",$I417*Settings!$C$11)</f>
        <v>500</v>
      </c>
      <c r="U417" s="57" t="str">
        <f t="shared" si="74"/>
        <v>OK</v>
      </c>
      <c r="V417" s="55" t="str">
        <f t="shared" si="77"/>
        <v/>
      </c>
      <c r="W417" s="55" t="str">
        <f>IF($V417="","",IF(COUNTIF($V$5:$V417,$V417)=1,1,""))</f>
        <v/>
      </c>
      <c r="X417" s="58" t="str">
        <f>IF($W417="","",MAX($X$4:X416)+1)</f>
        <v/>
      </c>
      <c r="Y417" s="62"/>
      <c r="Z417" s="62"/>
      <c r="AA417" s="64" t="str">
        <f>IF($C417="","",IFERROR(INDEX('Staff Directory'!$E$5:$E$594,MATCH($C417,'Staff Directory'!$B$5:$B$594,0)),""))</f>
        <v>firstname196.lastname196@example.com</v>
      </c>
      <c r="AB417" s="64" t="str">
        <f>IF($C417="","",IF(ISNUMBER(SEARCH($D417,Settings!$C$15)),"Pickup","Dispatch"))</f>
        <v>Pickup</v>
      </c>
      <c r="AC417" s="64" t="str">
        <f t="shared" si="78"/>
        <v>Supply order ready for pickup</v>
      </c>
      <c r="AD417" s="64" t="str">
        <f t="shared" si="69"/>
        <v>Dear PSW,
Your order is ready for pickup from Sample Branch, Wed-Fri 9am-4pm.</v>
      </c>
      <c r="AE417" s="64" t="str">
        <f t="shared" si="70"/>
        <v>mailto:firstname196.lastname196@example.com?subject=Supply%20order%20ready%20for%20pickup&amp;body=Dear%20PSW%2C%0A%0AYour%20order%20is%20ready%20for%20pickup%20from%20Sample%20Branch%2C%20Wed-Fri%209am-4pm.</v>
      </c>
      <c r="AF417" s="89" t="str">
        <f t="shared" si="79"/>
        <v>Draft email</v>
      </c>
      <c r="AG417" s="64" t="str">
        <f>IF($C417="","",IFERROR(INDEX('Staff Directory'!$K$595:$K$599,MATCH($C417,'Staff Directory'!$B$5:$B$599,0)),$D417))</f>
        <v>PSW</v>
      </c>
      <c r="AH417" t="str">
        <f>IF($C417="","",IFERROR(INDEX('Staff Directory'!$I$595:$I$599,MATCH($C417,'Staff Directory'!$B$5:$B$599,0))&amp;" "&amp;INDEX('Staff Directory'!$J$595:$J$599,MATCH($C417,'Staff Directory'!$B$5:$B$599,0)),$AG417))</f>
        <v>PSW</v>
      </c>
      <c r="AI417" s="102"/>
      <c r="AJ417" s="101">
        <f>IF($F417="","",SUMIFS($J$5:$J417,$F$5:$F417,$F417))</f>
        <v>11000</v>
      </c>
      <c r="AK417" s="101">
        <f t="shared" si="71"/>
        <v>10501</v>
      </c>
      <c r="AL417" s="66" t="str" cm="1">
        <f t="array" ref="AL417">IF($F417="","",IFERROR(INDEX('Lot Balance'!$B$5:$B$500,MATCH(1,INDEX(('Lot Balance'!$A$5:$A$500=$F417)*('Lot Balance'!$K$5:$K$500&lt;$AK417)*('Lot Balance'!$K$5:$K$500+'Lot Balance'!$D$5:$D$500&gt;=$AK417),0),0)),""))</f>
        <v>0417HIC25-0</v>
      </c>
      <c r="AM417" s="66" t="str" cm="1">
        <f t="array" ref="AM417">IF($F417="","",IFERROR(INDEX('Lot Balance'!$B$5:$B$500,MATCH(1,INDEX(('Lot Balance'!$A$5:$A$500=$F417)*('Lot Balance'!$K$5:$K$500&lt;$AJ417)*('Lot Balance'!$K$5:$K$500+'Lot Balance'!$D$5:$D$500&gt;=$AJ417),0),0)),""))</f>
        <v>0417HIC25-0</v>
      </c>
      <c r="AN417" s="66" t="str">
        <f>IF($F417="","",IF($AI417&lt;&gt;"",IF(COUNTIFS('Lot Balance'!$A$5:$A$500,$F417,'Lot Balance'!$B$5:$B$500,$AI417)=0,"⚠ override is not a lot of this item",IF($AI417=$AL417,"Override = FEFO","Override - FEFO says "&amp;$AL417)),IF($AL417="","⚠ no receipt on file for this item",IF($AM417&lt;&gt;$AL417,"FEFO auto - split, also "&amp;$AM417,"FEFO auto"))))</f>
        <v>FEFO auto</v>
      </c>
      <c r="AO417" s="114"/>
    </row>
    <row r="418" spans="1:41" x14ac:dyDescent="0.35">
      <c r="A418" s="74">
        <v>46140</v>
      </c>
      <c r="B418" s="18" t="str">
        <f>IF($C418="","",IFERROR(INDEX('Staff Directory'!$A$5:$A$594,MATCH($C418,'Staff Directory'!$B$5:$B$594,0)),"⚠ unknown staff"))</f>
        <v>PSW-133-A6</v>
      </c>
      <c r="C418" s="49" t="s">
        <v>1112</v>
      </c>
      <c r="D418" s="19" t="str">
        <f>IF($B418="","",IFERROR(INDEX('Staff Directory'!$C$5:$C$594,MATCH($B418,'Staff Directory'!$A$5:$A$594,0)),""))</f>
        <v>PSW</v>
      </c>
      <c r="E418" s="19" t="str">
        <f>IF($B418="","",IFERROR(INDEX('Staff Directory'!$D$5:$D$594,MATCH($B418,'Staff Directory'!$A$5:$A$594,0)),""))</f>
        <v>A6</v>
      </c>
      <c r="F418" s="9" t="s">
        <v>191</v>
      </c>
      <c r="G418" s="18" t="str">
        <f>IF($F418="","",IFERROR(INDEX(Items!$B$5:$B$597,MATCH($F418,Items!$A$5:$A$597,0)),"⚠ not in Items"))</f>
        <v>Sanitizer</v>
      </c>
      <c r="H418" s="19" t="str">
        <f>IF($F418="","",IFERROR(INDEX(Items!$C$5:$C$597,MATCH($F418,Items!$A$5:$A$597,0)),""))</f>
        <v>236 ML</v>
      </c>
      <c r="I418" s="23">
        <f>IF($F418="","",IFERROR(INDEX(Items!$E$5:$E$597,MATCH($F418,Items!$A$5:$A$597,0)),""))</f>
        <v>1</v>
      </c>
      <c r="J418" s="115">
        <f>IF(tblIssues[[#This Row],[Qty Override]]&lt;&gt;"",tblIssues[[#This Row],[Qty Override]],IF(tblIssues[[#This Row],[Standard Issue]]="","",tblIssues[[#This Row],[Standard Issue]]))</f>
        <v>1</v>
      </c>
      <c r="K418" s="20">
        <f>IF($F418="","",IFERROR(INDEX(Items!$D$5:$D$597,MATCH($F418,Items!$A$5:$A$597,0)),""))</f>
        <v>1E-4</v>
      </c>
      <c r="L418" s="21">
        <f t="shared" si="72"/>
        <v>1E-4</v>
      </c>
      <c r="M418" s="9" t="str">
        <f t="shared" si="73"/>
        <v>20-21734-1</v>
      </c>
      <c r="N418" s="24">
        <f>IF($A418="","",WORKDAY($A418,Settings!$C$9,HolidayDates))</f>
        <v>46148</v>
      </c>
      <c r="O418" s="24">
        <f>IF($N418="","",WORKDAY($N418,Settings!$C$10,HolidayDates))</f>
        <v>46188</v>
      </c>
      <c r="P418" s="10" t="s">
        <v>501</v>
      </c>
      <c r="Q418" s="52" t="str">
        <f t="shared" si="75"/>
        <v>Collected</v>
      </c>
      <c r="R418" s="55" t="str">
        <f t="shared" si="76"/>
        <v>2026-04</v>
      </c>
      <c r="S418" s="55">
        <f>IF(OR($B418="",$F418="",$R418=""),"",SUMIFS(tblIssues[Qty Issued],tblIssues[Staff ID],$B418,tblIssues[Item Name],$F418,tblIssues[Month],$R418))</f>
        <v>1</v>
      </c>
      <c r="T418" s="56">
        <f>IF($I418="","",$I418*Settings!$C$11)</f>
        <v>1</v>
      </c>
      <c r="U418" s="57" t="str">
        <f t="shared" si="74"/>
        <v>OK</v>
      </c>
      <c r="V418" s="55" t="str">
        <f t="shared" si="77"/>
        <v/>
      </c>
      <c r="W418" s="55" t="str">
        <f>IF($V418="","",IF(COUNTIF($V$5:$V418,$V418)=1,1,""))</f>
        <v/>
      </c>
      <c r="X418" s="58" t="str">
        <f>IF($W418="","",MAX($X$4:X417)+1)</f>
        <v/>
      </c>
      <c r="Y418" s="62"/>
      <c r="Z418" s="62"/>
      <c r="AA418" s="64" t="str">
        <f>IF($C418="","",IFERROR(INDEX('Staff Directory'!$E$5:$E$594,MATCH($C418,'Staff Directory'!$B$5:$B$594,0)),""))</f>
        <v>firstname196.lastname196@example.com</v>
      </c>
      <c r="AB418" s="64" t="str">
        <f>IF($C418="","",IF(ISNUMBER(SEARCH($D418,Settings!$C$15)),"Pickup","Dispatch"))</f>
        <v>Pickup</v>
      </c>
      <c r="AC418" s="64" t="str">
        <f t="shared" si="78"/>
        <v>Supply order ready for pickup</v>
      </c>
      <c r="AD418" s="64" t="str">
        <f t="shared" si="69"/>
        <v>Dear PSW,
Your order is ready for pickup from Sample Branch, Wed-Fri 9am-4pm.</v>
      </c>
      <c r="AE418" s="64" t="str">
        <f t="shared" si="70"/>
        <v>mailto:firstname196.lastname196@example.com?subject=Supply%20order%20ready%20for%20pickup&amp;body=Dear%20PSW%2C%0A%0AYour%20order%20is%20ready%20for%20pickup%20from%20Sample%20Branch%2C%20Wed-Fri%209am-4pm.</v>
      </c>
      <c r="AF418" s="89" t="str">
        <f t="shared" si="79"/>
        <v>Draft email</v>
      </c>
      <c r="AG418" s="64" t="str">
        <f>IF($C418="","",IFERROR(INDEX('Staff Directory'!$K$595:$K$599,MATCH($C418,'Staff Directory'!$B$5:$B$599,0)),$D418))</f>
        <v>PSW</v>
      </c>
      <c r="AH418" t="str">
        <f>IF($C418="","",IFERROR(INDEX('Staff Directory'!$I$595:$I$599,MATCH($C418,'Staff Directory'!$B$5:$B$599,0))&amp;" "&amp;INDEX('Staff Directory'!$J$595:$J$599,MATCH($C418,'Staff Directory'!$B$5:$B$599,0)),$AG418))</f>
        <v>PSW</v>
      </c>
      <c r="AI418" s="102"/>
      <c r="AJ418" s="101">
        <f>IF($F418="","",SUMIFS($J$5:$J418,$F$5:$F418,$F418))</f>
        <v>36</v>
      </c>
      <c r="AK418" s="101">
        <f t="shared" si="71"/>
        <v>36</v>
      </c>
      <c r="AL418" s="66" t="str" cm="1">
        <f t="array" ref="AL418">IF($F418="","",IFERROR(INDEX('Lot Balance'!$B$5:$B$500,MATCH(1,INDEX(('Lot Balance'!$A$5:$A$500=$F418)*('Lot Balance'!$K$5:$K$500&lt;$AK418)*('Lot Balance'!$K$5:$K$500+'Lot Balance'!$D$5:$D$500&gt;=$AK418),0),0)),""))</f>
        <v>20-21734-1</v>
      </c>
      <c r="AM418" s="66" t="str" cm="1">
        <f t="array" ref="AM418">IF($F418="","",IFERROR(INDEX('Lot Balance'!$B$5:$B$500,MATCH(1,INDEX(('Lot Balance'!$A$5:$A$500=$F418)*('Lot Balance'!$K$5:$K$500&lt;$AJ418)*('Lot Balance'!$K$5:$K$500+'Lot Balance'!$D$5:$D$500&gt;=$AJ418),0),0)),""))</f>
        <v>20-21734-1</v>
      </c>
      <c r="AN418" s="66" t="str">
        <f>IF($F418="","",IF($AI418&lt;&gt;"",IF(COUNTIFS('Lot Balance'!$A$5:$A$500,$F418,'Lot Balance'!$B$5:$B$500,$AI418)=0,"⚠ override is not a lot of this item",IF($AI418=$AL418,"Override = FEFO","Override - FEFO says "&amp;$AL418)),IF($AL418="","⚠ no receipt on file for this item",IF($AM418&lt;&gt;$AL418,"FEFO auto - split, also "&amp;$AM418,"FEFO auto"))))</f>
        <v>FEFO auto</v>
      </c>
      <c r="AO418" s="114"/>
    </row>
    <row r="419" spans="1:41" x14ac:dyDescent="0.35">
      <c r="A419" s="74">
        <v>46140</v>
      </c>
      <c r="B419" s="18" t="str">
        <f>IF($C419="","",IFERROR(INDEX('Staff Directory'!$A$5:$A$594,MATCH($C419,'Staff Directory'!$B$5:$B$594,0)),"⚠ unknown staff"))</f>
        <v>PSW-133-A6</v>
      </c>
      <c r="C419" s="49" t="s">
        <v>1112</v>
      </c>
      <c r="D419" s="19" t="str">
        <f>IF($B419="","",IFERROR(INDEX('Staff Directory'!$C$5:$C$594,MATCH($B419,'Staff Directory'!$A$5:$A$594,0)),""))</f>
        <v>PSW</v>
      </c>
      <c r="E419" s="19" t="str">
        <f>IF($B419="","",IFERROR(INDEX('Staff Directory'!$D$5:$D$594,MATCH($B419,'Staff Directory'!$A$5:$A$594,0)),""))</f>
        <v>A6</v>
      </c>
      <c r="F419" s="9" t="s">
        <v>156</v>
      </c>
      <c r="G419" s="18" t="str">
        <f>IF($F419="","",IFERROR(INDEX(Items!$B$5:$B$597,MATCH($F419,Items!$A$5:$A$597,0)),"⚠ not in Items"))</f>
        <v>Masks</v>
      </c>
      <c r="H419" s="19" t="str">
        <f>IF($F419="","",IFERROR(INDEX(Items!$C$5:$C$597,MATCH($F419,Items!$A$5:$A$597,0)),""))</f>
        <v>One Size</v>
      </c>
      <c r="I419" s="23">
        <f>IF($F419="","",IFERROR(INDEX(Items!$E$5:$E$597,MATCH($F419,Items!$A$5:$A$597,0)),""))</f>
        <v>50</v>
      </c>
      <c r="J419" s="115">
        <f>IF(tblIssues[[#This Row],[Qty Override]]&lt;&gt;"",tblIssues[[#This Row],[Qty Override]],IF(tblIssues[[#This Row],[Standard Issue]]="","",tblIssues[[#This Row],[Standard Issue]]))</f>
        <v>50</v>
      </c>
      <c r="K419" s="20">
        <f>IF($F419="","",IFERROR(INDEX(Items!$D$5:$D$597,MATCH($F419,Items!$A$5:$A$597,0)),""))</f>
        <v>0.25</v>
      </c>
      <c r="L419" s="21">
        <f t="shared" si="72"/>
        <v>12.5</v>
      </c>
      <c r="M419" s="9" t="str">
        <f t="shared" si="73"/>
        <v>0125FPC24-0</v>
      </c>
      <c r="N419" s="24">
        <f>IF($A419="","",WORKDAY($A419,Settings!$C$9,HolidayDates))</f>
        <v>46148</v>
      </c>
      <c r="O419" s="24">
        <f>IF($N419="","",WORKDAY($N419,Settings!$C$10,HolidayDates))</f>
        <v>46188</v>
      </c>
      <c r="P419" s="10" t="s">
        <v>501</v>
      </c>
      <c r="Q419" s="52" t="str">
        <f t="shared" si="75"/>
        <v>Collected</v>
      </c>
      <c r="R419" s="55" t="str">
        <f t="shared" si="76"/>
        <v>2026-04</v>
      </c>
      <c r="S419" s="55">
        <f>IF(OR($B419="",$F419="",$R419=""),"",SUMIFS(tblIssues[Qty Issued],tblIssues[Staff ID],$B419,tblIssues[Item Name],$F419,tblIssues[Month],$R419))</f>
        <v>50</v>
      </c>
      <c r="T419" s="56">
        <f>IF($I419="","",$I419*Settings!$C$11)</f>
        <v>50</v>
      </c>
      <c r="U419" s="57" t="str">
        <f t="shared" si="74"/>
        <v>OK</v>
      </c>
      <c r="V419" s="55" t="str">
        <f t="shared" si="77"/>
        <v/>
      </c>
      <c r="W419" s="55" t="str">
        <f>IF($V419="","",IF(COUNTIF($V$5:$V419,$V419)=1,1,""))</f>
        <v/>
      </c>
      <c r="X419" s="58" t="str">
        <f>IF($W419="","",MAX($X$4:X418)+1)</f>
        <v/>
      </c>
      <c r="Y419" s="62"/>
      <c r="Z419" s="62"/>
      <c r="AA419" s="64" t="str">
        <f>IF($C419="","",IFERROR(INDEX('Staff Directory'!$E$5:$E$594,MATCH($C419,'Staff Directory'!$B$5:$B$594,0)),""))</f>
        <v>firstname196.lastname196@example.com</v>
      </c>
      <c r="AB419" s="64" t="str">
        <f>IF($C419="","",IF(ISNUMBER(SEARCH($D419,Settings!$C$15)),"Pickup","Dispatch"))</f>
        <v>Pickup</v>
      </c>
      <c r="AC419" s="64" t="str">
        <f t="shared" si="78"/>
        <v>Supply order ready for pickup</v>
      </c>
      <c r="AD419" s="64" t="str">
        <f t="shared" si="69"/>
        <v>Dear PSW,
Your order is ready for pickup from Sample Branch, Wed-Fri 9am-4pm.</v>
      </c>
      <c r="AE419" s="64" t="str">
        <f t="shared" si="70"/>
        <v>mailto:firstname196.lastname196@example.com?subject=Supply%20order%20ready%20for%20pickup&amp;body=Dear%20PSW%2C%0A%0AYour%20order%20is%20ready%20for%20pickup%20from%20Sample%20Branch%2C%20Wed-Fri%209am-4pm.</v>
      </c>
      <c r="AF419" s="89" t="str">
        <f t="shared" si="79"/>
        <v>Draft email</v>
      </c>
      <c r="AG419" s="64" t="str">
        <f>IF($C419="","",IFERROR(INDEX('Staff Directory'!$K$595:$K$599,MATCH($C419,'Staff Directory'!$B$5:$B$599,0)),$D419))</f>
        <v>PSW</v>
      </c>
      <c r="AH419" t="str">
        <f>IF($C419="","",IFERROR(INDEX('Staff Directory'!$I$595:$I$599,MATCH($C419,'Staff Directory'!$B$5:$B$599,0))&amp;" "&amp;INDEX('Staff Directory'!$J$595:$J$599,MATCH($C419,'Staff Directory'!$B$5:$B$599,0)),$AG419))</f>
        <v>PSW</v>
      </c>
      <c r="AI419" s="102"/>
      <c r="AJ419" s="101">
        <f>IF($F419="","",SUMIFS($J$5:$J419,$F$5:$F419,$F419))</f>
        <v>3300</v>
      </c>
      <c r="AK419" s="101">
        <f t="shared" si="71"/>
        <v>3251</v>
      </c>
      <c r="AL419" s="66" t="str" cm="1">
        <f t="array" ref="AL419">IF($F419="","",IFERROR(INDEX('Lot Balance'!$B$5:$B$500,MATCH(1,INDEX(('Lot Balance'!$A$5:$A$500=$F419)*('Lot Balance'!$K$5:$K$500&lt;$AK419)*('Lot Balance'!$K$5:$K$500+'Lot Balance'!$D$5:$D$500&gt;=$AK419),0),0)),""))</f>
        <v>0125FPC24-0</v>
      </c>
      <c r="AM419" s="66" t="str" cm="1">
        <f t="array" ref="AM419">IF($F419="","",IFERROR(INDEX('Lot Balance'!$B$5:$B$500,MATCH(1,INDEX(('Lot Balance'!$A$5:$A$500=$F419)*('Lot Balance'!$K$5:$K$500&lt;$AJ419)*('Lot Balance'!$K$5:$K$500+'Lot Balance'!$D$5:$D$500&gt;=$AJ419),0),0)),""))</f>
        <v>0125FPC24-0</v>
      </c>
      <c r="AN419" s="66" t="str">
        <f>IF($F419="","",IF($AI419&lt;&gt;"",IF(COUNTIFS('Lot Balance'!$A$5:$A$500,$F419,'Lot Balance'!$B$5:$B$500,$AI419)=0,"⚠ override is not a lot of this item",IF($AI419=$AL419,"Override = FEFO","Override - FEFO says "&amp;$AL419)),IF($AL419="","⚠ no receipt on file for this item",IF($AM419&lt;&gt;$AL419,"FEFO auto - split, also "&amp;$AM419,"FEFO auto"))))</f>
        <v>FEFO auto</v>
      </c>
      <c r="AO419" s="114"/>
    </row>
    <row r="420" spans="1:41" x14ac:dyDescent="0.35">
      <c r="A420" s="74">
        <v>46140</v>
      </c>
      <c r="B420" s="18" t="str">
        <f>IF($C420="","",IFERROR(INDEX('Staff Directory'!$A$5:$A$594,MATCH($C420,'Staff Directory'!$B$5:$B$594,0)),"⚠ unknown staff"))</f>
        <v>PSW-148-A6</v>
      </c>
      <c r="C420" s="49" t="s">
        <v>1127</v>
      </c>
      <c r="D420" s="19" t="str">
        <f>IF($B420="","",IFERROR(INDEX('Staff Directory'!$C$5:$C$594,MATCH($B420,'Staff Directory'!$A$5:$A$594,0)),""))</f>
        <v>PSW</v>
      </c>
      <c r="E420" s="19" t="str">
        <f>IF($B420="","",IFERROR(INDEX('Staff Directory'!$D$5:$D$594,MATCH($B420,'Staff Directory'!$A$5:$A$594,0)),""))</f>
        <v>A6</v>
      </c>
      <c r="F420" s="9" t="s">
        <v>127</v>
      </c>
      <c r="G420" s="18" t="str">
        <f>IF($F420="","",IFERROR(INDEX(Items!$B$5:$B$597,MATCH($F420,Items!$A$5:$A$597,0)),"⚠ not in Items"))</f>
        <v>Gloves</v>
      </c>
      <c r="H420" s="19" t="str">
        <f>IF($F420="","",IFERROR(INDEX(Items!$C$5:$C$597,MATCH($F420,Items!$A$5:$A$597,0)),""))</f>
        <v>Medium</v>
      </c>
      <c r="I420" s="23">
        <f>IF($F420="","",IFERROR(INDEX(Items!$E$5:$E$597,MATCH($F420,Items!$A$5:$A$597,0)),""))</f>
        <v>500</v>
      </c>
      <c r="J420" s="115">
        <f>IF(tblIssues[[#This Row],[Qty Override]]&lt;&gt;"",tblIssues[[#This Row],[Qty Override]],IF(tblIssues[[#This Row],[Standard Issue]]="","",tblIssues[[#This Row],[Standard Issue]]))</f>
        <v>500</v>
      </c>
      <c r="K420" s="20">
        <f>IF($F420="","",IFERROR(INDEX(Items!$D$5:$D$597,MATCH($F420,Items!$A$5:$A$597,0)),""))</f>
        <v>5.5E-2</v>
      </c>
      <c r="L420" s="21">
        <f t="shared" si="72"/>
        <v>27.5</v>
      </c>
      <c r="M420" s="9" t="str">
        <f t="shared" si="73"/>
        <v>0312HIC25</v>
      </c>
      <c r="N420" s="24">
        <f>IF($A420="","",WORKDAY($A420,Settings!$C$9,HolidayDates))</f>
        <v>46148</v>
      </c>
      <c r="O420" s="24">
        <f>IF($N420="","",WORKDAY($N420,Settings!$C$10,HolidayDates))</f>
        <v>46188</v>
      </c>
      <c r="P420" s="10" t="s">
        <v>501</v>
      </c>
      <c r="Q420" s="52" t="str">
        <f t="shared" si="75"/>
        <v>Collected</v>
      </c>
      <c r="R420" s="55" t="str">
        <f t="shared" si="76"/>
        <v>2026-04</v>
      </c>
      <c r="S420" s="55">
        <f>IF(OR($B420="",$F420="",$R420=""),"",SUMIFS(tblIssues[Qty Issued],tblIssues[Staff ID],$B420,tblIssues[Item Name],$F420,tblIssues[Month],$R420))</f>
        <v>500</v>
      </c>
      <c r="T420" s="56">
        <f>IF($I420="","",$I420*Settings!$C$11)</f>
        <v>500</v>
      </c>
      <c r="U420" s="57" t="str">
        <f t="shared" si="74"/>
        <v>OK</v>
      </c>
      <c r="V420" s="55" t="str">
        <f t="shared" si="77"/>
        <v/>
      </c>
      <c r="W420" s="55" t="str">
        <f>IF($V420="","",IF(COUNTIF($V$5:$V420,$V420)=1,1,""))</f>
        <v/>
      </c>
      <c r="X420" s="58" t="str">
        <f>IF($W420="","",MAX($X$4:X419)+1)</f>
        <v/>
      </c>
      <c r="Y420" s="62"/>
      <c r="Z420" s="62"/>
      <c r="AA420" s="64" t="str">
        <f>IF($C420="","",IFERROR(INDEX('Staff Directory'!$E$5:$E$594,MATCH($C420,'Staff Directory'!$B$5:$B$594,0)),""))</f>
        <v>firstname211.lastname211@example.com</v>
      </c>
      <c r="AB420" s="64" t="str">
        <f>IF($C420="","",IF(ISNUMBER(SEARCH($D420,Settings!$C$15)),"Pickup","Dispatch"))</f>
        <v>Pickup</v>
      </c>
      <c r="AC420" s="64" t="str">
        <f t="shared" si="78"/>
        <v>Supply order ready for pickup</v>
      </c>
      <c r="AD420" s="64" t="str">
        <f t="shared" si="69"/>
        <v>Dear PSW,
Your order is ready for pickup from Sample Branch, Wed-Fri 9am-4pm.</v>
      </c>
      <c r="AE420" s="64" t="str">
        <f t="shared" si="70"/>
        <v>mailto:firstname211.lastname211@example.com?subject=Supply%20order%20ready%20for%20pickup&amp;body=Dear%20PSW%2C%0A%0AYour%20order%20is%20ready%20for%20pickup%20from%20Sample%20Branch%2C%20Wed-Fri%209am-4pm.</v>
      </c>
      <c r="AF420" s="89" t="str">
        <f t="shared" si="79"/>
        <v>Draft email</v>
      </c>
      <c r="AG420" s="64" t="str">
        <f>IF($C420="","",IFERROR(INDEX('Staff Directory'!$K$595:$K$599,MATCH($C420,'Staff Directory'!$B$5:$B$599,0)),$D420))</f>
        <v>PSW</v>
      </c>
      <c r="AH420" t="str">
        <f>IF($C420="","",IFERROR(INDEX('Staff Directory'!$I$595:$I$599,MATCH($C420,'Staff Directory'!$B$5:$B$599,0))&amp;" "&amp;INDEX('Staff Directory'!$J$595:$J$599,MATCH($C420,'Staff Directory'!$B$5:$B$599,0)),$AG420))</f>
        <v>PSW</v>
      </c>
      <c r="AI420" s="102"/>
      <c r="AJ420" s="101">
        <f>IF($F420="","",SUMIFS($J$5:$J420,$F$5:$F420,$F420))</f>
        <v>25000</v>
      </c>
      <c r="AK420" s="101">
        <f t="shared" si="71"/>
        <v>24501</v>
      </c>
      <c r="AL420" s="66" t="str" cm="1">
        <f t="array" ref="AL420">IF($F420="","",IFERROR(INDEX('Lot Balance'!$B$5:$B$500,MATCH(1,INDEX(('Lot Balance'!$A$5:$A$500=$F420)*('Lot Balance'!$K$5:$K$500&lt;$AK420)*('Lot Balance'!$K$5:$K$500+'Lot Balance'!$D$5:$D$500&gt;=$AK420),0),0)),""))</f>
        <v>0312HIC25</v>
      </c>
      <c r="AM420" s="66" t="str" cm="1">
        <f t="array" ref="AM420">IF($F420="","",IFERROR(INDEX('Lot Balance'!$B$5:$B$500,MATCH(1,INDEX(('Lot Balance'!$A$5:$A$500=$F420)*('Lot Balance'!$K$5:$K$500&lt;$AJ420)*('Lot Balance'!$K$5:$K$500+'Lot Balance'!$D$5:$D$500&gt;=$AJ420),0),0)),""))</f>
        <v>0312HIC25</v>
      </c>
      <c r="AN420" s="66" t="str">
        <f>IF($F420="","",IF($AI420&lt;&gt;"",IF(COUNTIFS('Lot Balance'!$A$5:$A$500,$F420,'Lot Balance'!$B$5:$B$500,$AI420)=0,"⚠ override is not a lot of this item",IF($AI420=$AL420,"Override = FEFO","Override - FEFO says "&amp;$AL420)),IF($AL420="","⚠ no receipt on file for this item",IF($AM420&lt;&gt;$AL420,"FEFO auto - split, also "&amp;$AM420,"FEFO auto"))))</f>
        <v>FEFO auto</v>
      </c>
      <c r="AO420" s="114"/>
    </row>
    <row r="421" spans="1:41" x14ac:dyDescent="0.35">
      <c r="A421" s="74">
        <v>46140</v>
      </c>
      <c r="B421" s="18" t="str">
        <f>IF($C421="","",IFERROR(INDEX('Staff Directory'!$A$5:$A$594,MATCH($C421,'Staff Directory'!$B$5:$B$594,0)),"⚠ unknown staff"))</f>
        <v>PSW-148-A6</v>
      </c>
      <c r="C421" s="49" t="s">
        <v>1127</v>
      </c>
      <c r="D421" s="19" t="str">
        <f>IF($B421="","",IFERROR(INDEX('Staff Directory'!$C$5:$C$594,MATCH($B421,'Staff Directory'!$A$5:$A$594,0)),""))</f>
        <v>PSW</v>
      </c>
      <c r="E421" s="19" t="str">
        <f>IF($B421="","",IFERROR(INDEX('Staff Directory'!$D$5:$D$594,MATCH($B421,'Staff Directory'!$A$5:$A$594,0)),""))</f>
        <v>A6</v>
      </c>
      <c r="F421" s="9" t="s">
        <v>191</v>
      </c>
      <c r="G421" s="18" t="str">
        <f>IF($F421="","",IFERROR(INDEX(Items!$B$5:$B$597,MATCH($F421,Items!$A$5:$A$597,0)),"⚠ not in Items"))</f>
        <v>Sanitizer</v>
      </c>
      <c r="H421" s="19" t="str">
        <f>IF($F421="","",IFERROR(INDEX(Items!$C$5:$C$597,MATCH($F421,Items!$A$5:$A$597,0)),""))</f>
        <v>236 ML</v>
      </c>
      <c r="I421" s="23">
        <f>IF($F421="","",IFERROR(INDEX(Items!$E$5:$E$597,MATCH($F421,Items!$A$5:$A$597,0)),""))</f>
        <v>1</v>
      </c>
      <c r="J421" s="115">
        <f>IF(tblIssues[[#This Row],[Qty Override]]&lt;&gt;"",tblIssues[[#This Row],[Qty Override]],IF(tblIssues[[#This Row],[Standard Issue]]="","",tblIssues[[#This Row],[Standard Issue]]))</f>
        <v>1</v>
      </c>
      <c r="K421" s="20">
        <f>IF($F421="","",IFERROR(INDEX(Items!$D$5:$D$597,MATCH($F421,Items!$A$5:$A$597,0)),""))</f>
        <v>1E-4</v>
      </c>
      <c r="L421" s="21">
        <f t="shared" si="72"/>
        <v>1E-4</v>
      </c>
      <c r="M421" s="9" t="str">
        <f t="shared" si="73"/>
        <v>20-21734-2</v>
      </c>
      <c r="N421" s="24">
        <f>IF($A421="","",WORKDAY($A421,Settings!$C$9,HolidayDates))</f>
        <v>46148</v>
      </c>
      <c r="O421" s="24">
        <f>IF($N421="","",WORKDAY($N421,Settings!$C$10,HolidayDates))</f>
        <v>46188</v>
      </c>
      <c r="P421" s="10" t="s">
        <v>501</v>
      </c>
      <c r="Q421" s="52" t="str">
        <f t="shared" si="75"/>
        <v>Collected</v>
      </c>
      <c r="R421" s="55" t="str">
        <f t="shared" si="76"/>
        <v>2026-04</v>
      </c>
      <c r="S421" s="55">
        <f>IF(OR($B421="",$F421="",$R421=""),"",SUMIFS(tblIssues[Qty Issued],tblIssues[Staff ID],$B421,tblIssues[Item Name],$F421,tblIssues[Month],$R421))</f>
        <v>1</v>
      </c>
      <c r="T421" s="56">
        <f>IF($I421="","",$I421*Settings!$C$11)</f>
        <v>1</v>
      </c>
      <c r="U421" s="57" t="str">
        <f t="shared" si="74"/>
        <v>OK</v>
      </c>
      <c r="V421" s="55" t="str">
        <f t="shared" si="77"/>
        <v/>
      </c>
      <c r="W421" s="55" t="str">
        <f>IF($V421="","",IF(COUNTIF($V$5:$V421,$V421)=1,1,""))</f>
        <v/>
      </c>
      <c r="X421" s="58" t="str">
        <f>IF($W421="","",MAX($X$4:X420)+1)</f>
        <v/>
      </c>
      <c r="Y421" s="62"/>
      <c r="Z421" s="62"/>
      <c r="AA421" s="64" t="str">
        <f>IF($C421="","",IFERROR(INDEX('Staff Directory'!$E$5:$E$594,MATCH($C421,'Staff Directory'!$B$5:$B$594,0)),""))</f>
        <v>firstname211.lastname211@example.com</v>
      </c>
      <c r="AB421" s="64" t="str">
        <f>IF($C421="","",IF(ISNUMBER(SEARCH($D421,Settings!$C$15)),"Pickup","Dispatch"))</f>
        <v>Pickup</v>
      </c>
      <c r="AC421" s="64" t="str">
        <f t="shared" si="78"/>
        <v>Supply order ready for pickup</v>
      </c>
      <c r="AD421" s="64" t="str">
        <f t="shared" si="69"/>
        <v>Dear PSW,
Your order is ready for pickup from Sample Branch, Wed-Fri 9am-4pm.</v>
      </c>
      <c r="AE421" s="64" t="str">
        <f t="shared" si="70"/>
        <v>mailto:firstname211.lastname211@example.com?subject=Supply%20order%20ready%20for%20pickup&amp;body=Dear%20PSW%2C%0A%0AYour%20order%20is%20ready%20for%20pickup%20from%20Sample%20Branch%2C%20Wed-Fri%209am-4pm.</v>
      </c>
      <c r="AF421" s="89" t="str">
        <f t="shared" si="79"/>
        <v>Draft email</v>
      </c>
      <c r="AG421" s="64" t="str">
        <f>IF($C421="","",IFERROR(INDEX('Staff Directory'!$K$595:$K$599,MATCH($C421,'Staff Directory'!$B$5:$B$599,0)),$D421))</f>
        <v>PSW</v>
      </c>
      <c r="AH421" t="str">
        <f>IF($C421="","",IFERROR(INDEX('Staff Directory'!$I$595:$I$599,MATCH($C421,'Staff Directory'!$B$5:$B$599,0))&amp;" "&amp;INDEX('Staff Directory'!$J$595:$J$599,MATCH($C421,'Staff Directory'!$B$5:$B$599,0)),$AG421))</f>
        <v>PSW</v>
      </c>
      <c r="AI421" s="102"/>
      <c r="AJ421" s="101">
        <f>IF($F421="","",SUMIFS($J$5:$J421,$F$5:$F421,$F421))</f>
        <v>37</v>
      </c>
      <c r="AK421" s="101">
        <f t="shared" si="71"/>
        <v>37</v>
      </c>
      <c r="AL421" s="66" t="str" cm="1">
        <f t="array" ref="AL421">IF($F421="","",IFERROR(INDEX('Lot Balance'!$B$5:$B$500,MATCH(1,INDEX(('Lot Balance'!$A$5:$A$500=$F421)*('Lot Balance'!$K$5:$K$500&lt;$AK421)*('Lot Balance'!$K$5:$K$500+'Lot Balance'!$D$5:$D$500&gt;=$AK421),0),0)),""))</f>
        <v>20-21734-2</v>
      </c>
      <c r="AM421" s="66" t="str" cm="1">
        <f t="array" ref="AM421">IF($F421="","",IFERROR(INDEX('Lot Balance'!$B$5:$B$500,MATCH(1,INDEX(('Lot Balance'!$A$5:$A$500=$F421)*('Lot Balance'!$K$5:$K$500&lt;$AJ421)*('Lot Balance'!$K$5:$K$500+'Lot Balance'!$D$5:$D$500&gt;=$AJ421),0),0)),""))</f>
        <v>20-21734-2</v>
      </c>
      <c r="AN421" s="66" t="str">
        <f>IF($F421="","",IF($AI421&lt;&gt;"",IF(COUNTIFS('Lot Balance'!$A$5:$A$500,$F421,'Lot Balance'!$B$5:$B$500,$AI421)=0,"⚠ override is not a lot of this item",IF($AI421=$AL421,"Override = FEFO","Override - FEFO says "&amp;$AL421)),IF($AL421="","⚠ no receipt on file for this item",IF($AM421&lt;&gt;$AL421,"FEFO auto - split, also "&amp;$AM421,"FEFO auto"))))</f>
        <v>FEFO auto</v>
      </c>
      <c r="AO421" s="114"/>
    </row>
    <row r="422" spans="1:41" x14ac:dyDescent="0.35">
      <c r="A422" s="74">
        <v>46140</v>
      </c>
      <c r="B422" s="18" t="str">
        <f>IF($C422="","",IFERROR(INDEX('Staff Directory'!$A$5:$A$594,MATCH($C422,'Staff Directory'!$B$5:$B$594,0)),"⚠ unknown staff"))</f>
        <v>PSW-148-A6</v>
      </c>
      <c r="C422" s="49" t="s">
        <v>1127</v>
      </c>
      <c r="D422" s="19" t="str">
        <f>IF($B422="","",IFERROR(INDEX('Staff Directory'!$C$5:$C$594,MATCH($B422,'Staff Directory'!$A$5:$A$594,0)),""))</f>
        <v>PSW</v>
      </c>
      <c r="E422" s="19" t="str">
        <f>IF($B422="","",IFERROR(INDEX('Staff Directory'!$D$5:$D$594,MATCH($B422,'Staff Directory'!$A$5:$A$594,0)),""))</f>
        <v>A6</v>
      </c>
      <c r="F422" s="9" t="s">
        <v>156</v>
      </c>
      <c r="G422" s="18" t="str">
        <f>IF($F422="","",IFERROR(INDEX(Items!$B$5:$B$597,MATCH($F422,Items!$A$5:$A$597,0)),"⚠ not in Items"))</f>
        <v>Masks</v>
      </c>
      <c r="H422" s="19" t="str">
        <f>IF($F422="","",IFERROR(INDEX(Items!$C$5:$C$597,MATCH($F422,Items!$A$5:$A$597,0)),""))</f>
        <v>One Size</v>
      </c>
      <c r="I422" s="23">
        <f>IF($F422="","",IFERROR(INDEX(Items!$E$5:$E$597,MATCH($F422,Items!$A$5:$A$597,0)),""))</f>
        <v>50</v>
      </c>
      <c r="J422" s="115">
        <f>IF(tblIssues[[#This Row],[Qty Override]]&lt;&gt;"",tblIssues[[#This Row],[Qty Override]],IF(tblIssues[[#This Row],[Standard Issue]]="","",tblIssues[[#This Row],[Standard Issue]]))</f>
        <v>50</v>
      </c>
      <c r="K422" s="20">
        <f>IF($F422="","",IFERROR(INDEX(Items!$D$5:$D$597,MATCH($F422,Items!$A$5:$A$597,0)),""))</f>
        <v>0.25</v>
      </c>
      <c r="L422" s="21">
        <f t="shared" si="72"/>
        <v>12.5</v>
      </c>
      <c r="M422" s="9" t="str">
        <f t="shared" si="73"/>
        <v>0125FPC24-0</v>
      </c>
      <c r="N422" s="24">
        <f>IF($A422="","",WORKDAY($A422,Settings!$C$9,HolidayDates))</f>
        <v>46148</v>
      </c>
      <c r="O422" s="24">
        <f>IF($N422="","",WORKDAY($N422,Settings!$C$10,HolidayDates))</f>
        <v>46188</v>
      </c>
      <c r="P422" s="10" t="s">
        <v>501</v>
      </c>
      <c r="Q422" s="52" t="str">
        <f t="shared" si="75"/>
        <v>Collected</v>
      </c>
      <c r="R422" s="55" t="str">
        <f t="shared" si="76"/>
        <v>2026-04</v>
      </c>
      <c r="S422" s="55">
        <f>IF(OR($B422="",$F422="",$R422=""),"",SUMIFS(tblIssues[Qty Issued],tblIssues[Staff ID],$B422,tblIssues[Item Name],$F422,tblIssues[Month],$R422))</f>
        <v>50</v>
      </c>
      <c r="T422" s="56">
        <f>IF($I422="","",$I422*Settings!$C$11)</f>
        <v>50</v>
      </c>
      <c r="U422" s="57" t="str">
        <f t="shared" si="74"/>
        <v>OK</v>
      </c>
      <c r="V422" s="55" t="str">
        <f t="shared" si="77"/>
        <v/>
      </c>
      <c r="W422" s="55" t="str">
        <f>IF($V422="","",IF(COUNTIF($V$5:$V422,$V422)=1,1,""))</f>
        <v/>
      </c>
      <c r="X422" s="58" t="str">
        <f>IF($W422="","",MAX($X$4:X421)+1)</f>
        <v/>
      </c>
      <c r="Y422" s="62"/>
      <c r="Z422" s="62"/>
      <c r="AA422" s="64" t="str">
        <f>IF($C422="","",IFERROR(INDEX('Staff Directory'!$E$5:$E$594,MATCH($C422,'Staff Directory'!$B$5:$B$594,0)),""))</f>
        <v>firstname211.lastname211@example.com</v>
      </c>
      <c r="AB422" s="64" t="str">
        <f>IF($C422="","",IF(ISNUMBER(SEARCH($D422,Settings!$C$15)),"Pickup","Dispatch"))</f>
        <v>Pickup</v>
      </c>
      <c r="AC422" s="64" t="str">
        <f t="shared" si="78"/>
        <v>Supply order ready for pickup</v>
      </c>
      <c r="AD422" s="64" t="str">
        <f t="shared" si="69"/>
        <v>Dear PSW,
Your order is ready for pickup from Sample Branch, Wed-Fri 9am-4pm.</v>
      </c>
      <c r="AE422" s="64" t="str">
        <f t="shared" si="70"/>
        <v>mailto:firstname211.lastname211@example.com?subject=Supply%20order%20ready%20for%20pickup&amp;body=Dear%20PSW%2C%0A%0AYour%20order%20is%20ready%20for%20pickup%20from%20Sample%20Branch%2C%20Wed-Fri%209am-4pm.</v>
      </c>
      <c r="AF422" s="89" t="str">
        <f t="shared" si="79"/>
        <v>Draft email</v>
      </c>
      <c r="AG422" s="64" t="str">
        <f>IF($C422="","",IFERROR(INDEX('Staff Directory'!$K$595:$K$599,MATCH($C422,'Staff Directory'!$B$5:$B$599,0)),$D422))</f>
        <v>PSW</v>
      </c>
      <c r="AH422" t="str">
        <f>IF($C422="","",IFERROR(INDEX('Staff Directory'!$I$595:$I$599,MATCH($C422,'Staff Directory'!$B$5:$B$599,0))&amp;" "&amp;INDEX('Staff Directory'!$J$595:$J$599,MATCH($C422,'Staff Directory'!$B$5:$B$599,0)),$AG422))</f>
        <v>PSW</v>
      </c>
      <c r="AI422" s="102"/>
      <c r="AJ422" s="101">
        <f>IF($F422="","",SUMIFS($J$5:$J422,$F$5:$F422,$F422))</f>
        <v>3350</v>
      </c>
      <c r="AK422" s="101">
        <f t="shared" si="71"/>
        <v>3301</v>
      </c>
      <c r="AL422" s="66" t="str" cm="1">
        <f t="array" ref="AL422">IF($F422="","",IFERROR(INDEX('Lot Balance'!$B$5:$B$500,MATCH(1,INDEX(('Lot Balance'!$A$5:$A$500=$F422)*('Lot Balance'!$K$5:$K$500&lt;$AK422)*('Lot Balance'!$K$5:$K$500+'Lot Balance'!$D$5:$D$500&gt;=$AK422),0),0)),""))</f>
        <v>0125FPC24-0</v>
      </c>
      <c r="AM422" s="66" t="str" cm="1">
        <f t="array" ref="AM422">IF($F422="","",IFERROR(INDEX('Lot Balance'!$B$5:$B$500,MATCH(1,INDEX(('Lot Balance'!$A$5:$A$500=$F422)*('Lot Balance'!$K$5:$K$500&lt;$AJ422)*('Lot Balance'!$K$5:$K$500+'Lot Balance'!$D$5:$D$500&gt;=$AJ422),0),0)),""))</f>
        <v>0125FPC24-0</v>
      </c>
      <c r="AN422" s="66" t="str">
        <f>IF($F422="","",IF($AI422&lt;&gt;"",IF(COUNTIFS('Lot Balance'!$A$5:$A$500,$F422,'Lot Balance'!$B$5:$B$500,$AI422)=0,"⚠ override is not a lot of this item",IF($AI422=$AL422,"Override = FEFO","Override - FEFO says "&amp;$AL422)),IF($AL422="","⚠ no receipt on file for this item",IF($AM422&lt;&gt;$AL422,"FEFO auto - split, also "&amp;$AM422,"FEFO auto"))))</f>
        <v>FEFO auto</v>
      </c>
      <c r="AO422" s="114"/>
    </row>
    <row r="423" spans="1:41" x14ac:dyDescent="0.35">
      <c r="A423" s="74">
        <v>46143</v>
      </c>
      <c r="B423" s="18" t="str">
        <f>IF($C423="","",IFERROR(INDEX('Staff Directory'!$A$5:$A$594,MATCH($C423,'Staff Directory'!$B$5:$B$594,0)),"⚠ unknown staff"))</f>
        <v>PSW-033-A4</v>
      </c>
      <c r="C423" s="49" t="s">
        <v>1008</v>
      </c>
      <c r="D423" s="19" t="str">
        <f>IF($B423="","",IFERROR(INDEX('Staff Directory'!$C$5:$C$594,MATCH($B423,'Staff Directory'!$A$5:$A$594,0)),""))</f>
        <v>PSW</v>
      </c>
      <c r="E423" s="19" t="str">
        <f>IF($B423="","",IFERROR(INDEX('Staff Directory'!$D$5:$D$594,MATCH($B423,'Staff Directory'!$A$5:$A$594,0)),""))</f>
        <v>A4</v>
      </c>
      <c r="F423" s="9" t="s">
        <v>129</v>
      </c>
      <c r="G423" s="18" t="str">
        <f>IF($F423="","",IFERROR(INDEX(Items!$B$5:$B$597,MATCH($F423,Items!$A$5:$A$597,0)),"⚠ not in Items"))</f>
        <v>Gloves</v>
      </c>
      <c r="H423" s="19" t="str">
        <f>IF($F423="","",IFERROR(INDEX(Items!$C$5:$C$597,MATCH($F423,Items!$A$5:$A$597,0)),""))</f>
        <v>Small</v>
      </c>
      <c r="I423" s="23">
        <f>IF($F423="","",IFERROR(INDEX(Items!$E$5:$E$597,MATCH($F423,Items!$A$5:$A$597,0)),""))</f>
        <v>500</v>
      </c>
      <c r="J423" s="115">
        <f>IF(tblIssues[[#This Row],[Qty Override]]&lt;&gt;"",tblIssues[[#This Row],[Qty Override]],IF(tblIssues[[#This Row],[Standard Issue]]="","",tblIssues[[#This Row],[Standard Issue]]))</f>
        <v>500</v>
      </c>
      <c r="K423" s="20">
        <f>IF($F423="","",IFERROR(INDEX(Items!$D$5:$D$597,MATCH($F423,Items!$A$5:$A$597,0)),""))</f>
        <v>5.5E-2</v>
      </c>
      <c r="L423" s="21">
        <f t="shared" si="72"/>
        <v>27.5</v>
      </c>
      <c r="M423" s="9" t="str">
        <f t="shared" si="73"/>
        <v>ZIM504124207-5</v>
      </c>
      <c r="N423" s="24">
        <f>IF($A423="","",WORKDAY($A423,Settings!$C$9,HolidayDates))</f>
        <v>46153</v>
      </c>
      <c r="O423" s="24">
        <f>IF($N423="","",WORKDAY($N423,Settings!$C$10,HolidayDates))</f>
        <v>46191</v>
      </c>
      <c r="P423" s="10" t="s">
        <v>501</v>
      </c>
      <c r="Q423" s="52" t="str">
        <f t="shared" si="75"/>
        <v>Collected</v>
      </c>
      <c r="R423" s="55" t="str">
        <f t="shared" si="76"/>
        <v>2026-05</v>
      </c>
      <c r="S423" s="55">
        <f>IF(OR($B423="",$F423="",$R423=""),"",SUMIFS(tblIssues[Qty Issued],tblIssues[Staff ID],$B423,tblIssues[Item Name],$F423,tblIssues[Month],$R423))</f>
        <v>500</v>
      </c>
      <c r="T423" s="56">
        <f>IF($I423="","",$I423*Settings!$C$11)</f>
        <v>500</v>
      </c>
      <c r="U423" s="57" t="str">
        <f t="shared" si="74"/>
        <v>OK</v>
      </c>
      <c r="V423" s="55" t="str">
        <f t="shared" si="77"/>
        <v/>
      </c>
      <c r="W423" s="55" t="str">
        <f>IF($V423="","",IF(COUNTIF($V$5:$V423,$V423)=1,1,""))</f>
        <v/>
      </c>
      <c r="X423" s="58" t="str">
        <f>IF($W423="","",MAX($X$4:X422)+1)</f>
        <v/>
      </c>
      <c r="Y423" s="62"/>
      <c r="Z423" s="62"/>
      <c r="AA423" s="64" t="str">
        <f>IF($C423="","",IFERROR(INDEX('Staff Directory'!$E$5:$E$594,MATCH($C423,'Staff Directory'!$B$5:$B$594,0)),""))</f>
        <v>firstname092.lastname092@example.com</v>
      </c>
      <c r="AB423" s="64" t="str">
        <f>IF($C423="","",IF(ISNUMBER(SEARCH($D423,Settings!$C$15)),"Pickup","Dispatch"))</f>
        <v>Pickup</v>
      </c>
      <c r="AC423" s="64" t="str">
        <f t="shared" si="78"/>
        <v>Supply order ready for pickup</v>
      </c>
      <c r="AD423" s="64" t="str">
        <f t="shared" si="69"/>
        <v>Dear PSW,
Your order is ready for pickup from Sample Branch, Wed-Fri 9am-4pm.</v>
      </c>
      <c r="AE423" s="64" t="str">
        <f t="shared" si="70"/>
        <v>mailto:firstname092.lastname092@example.com?subject=Supply%20order%20ready%20for%20pickup&amp;body=Dear%20PSW%2C%0A%0AYour%20order%20is%20ready%20for%20pickup%20from%20Sample%20Branch%2C%20Wed-Fri%209am-4pm.</v>
      </c>
      <c r="AF423" s="89" t="str">
        <f t="shared" si="79"/>
        <v>Draft email</v>
      </c>
      <c r="AG423" s="64" t="str">
        <f>IF($C423="","",IFERROR(INDEX('Staff Directory'!$K$595:$K$599,MATCH($C423,'Staff Directory'!$B$5:$B$599,0)),$D423))</f>
        <v>PSW</v>
      </c>
      <c r="AH423" t="str">
        <f>IF($C423="","",IFERROR(INDEX('Staff Directory'!$I$595:$I$599,MATCH($C423,'Staff Directory'!$B$5:$B$599,0))&amp;" "&amp;INDEX('Staff Directory'!$J$595:$J$599,MATCH($C423,'Staff Directory'!$B$5:$B$599,0)),$AG423))</f>
        <v>PSW</v>
      </c>
      <c r="AI423" s="102"/>
      <c r="AJ423" s="101">
        <f>IF($F423="","",SUMIFS($J$5:$J423,$F$5:$F423,$F423))</f>
        <v>14000</v>
      </c>
      <c r="AK423" s="101">
        <f t="shared" si="71"/>
        <v>13501</v>
      </c>
      <c r="AL423" s="66" t="str" cm="1">
        <f t="array" ref="AL423">IF($F423="","",IFERROR(INDEX('Lot Balance'!$B$5:$B$500,MATCH(1,INDEX(('Lot Balance'!$A$5:$A$500=$F423)*('Lot Balance'!$K$5:$K$500&lt;$AK423)*('Lot Balance'!$K$5:$K$500+'Lot Balance'!$D$5:$D$500&gt;=$AK423),0),0)),""))</f>
        <v>ZIM504124207-5</v>
      </c>
      <c r="AM423" s="66" t="str" cm="1">
        <f t="array" ref="AM423">IF($F423="","",IFERROR(INDEX('Lot Balance'!$B$5:$B$500,MATCH(1,INDEX(('Lot Balance'!$A$5:$A$500=$F423)*('Lot Balance'!$K$5:$K$500&lt;$AJ423)*('Lot Balance'!$K$5:$K$500+'Lot Balance'!$D$5:$D$500&gt;=$AJ423),0),0)),""))</f>
        <v>ZIM504124207-5</v>
      </c>
      <c r="AN423" s="66" t="str">
        <f>IF($F423="","",IF($AI423&lt;&gt;"",IF(COUNTIFS('Lot Balance'!$A$5:$A$500,$F423,'Lot Balance'!$B$5:$B$500,$AI423)=0,"⚠ override is not a lot of this item",IF($AI423=$AL423,"Override = FEFO","Override - FEFO says "&amp;$AL423)),IF($AL423="","⚠ no receipt on file for this item",IF($AM423&lt;&gt;$AL423,"FEFO auto - split, also "&amp;$AM423,"FEFO auto"))))</f>
        <v>FEFO auto</v>
      </c>
      <c r="AO423" s="114"/>
    </row>
    <row r="424" spans="1:41" x14ac:dyDescent="0.35">
      <c r="A424" s="74">
        <v>46143</v>
      </c>
      <c r="B424" s="18" t="str">
        <f>IF($C424="","",IFERROR(INDEX('Staff Directory'!$A$5:$A$594,MATCH($C424,'Staff Directory'!$B$5:$B$594,0)),"⚠ unknown staff"))</f>
        <v>PSW-033-A4</v>
      </c>
      <c r="C424" s="49" t="s">
        <v>1008</v>
      </c>
      <c r="D424" s="19" t="str">
        <f>IF($B424="","",IFERROR(INDEX('Staff Directory'!$C$5:$C$594,MATCH($B424,'Staff Directory'!$A$5:$A$594,0)),""))</f>
        <v>PSW</v>
      </c>
      <c r="E424" s="19" t="str">
        <f>IF($B424="","",IFERROR(INDEX('Staff Directory'!$D$5:$D$594,MATCH($B424,'Staff Directory'!$A$5:$A$594,0)),""))</f>
        <v>A4</v>
      </c>
      <c r="F424" s="9" t="s">
        <v>191</v>
      </c>
      <c r="G424" s="18" t="str">
        <f>IF($F424="","",IFERROR(INDEX(Items!$B$5:$B$597,MATCH($F424,Items!$A$5:$A$597,0)),"⚠ not in Items"))</f>
        <v>Sanitizer</v>
      </c>
      <c r="H424" s="19" t="str">
        <f>IF($F424="","",IFERROR(INDEX(Items!$C$5:$C$597,MATCH($F424,Items!$A$5:$A$597,0)),""))</f>
        <v>236 ML</v>
      </c>
      <c r="I424" s="23">
        <f>IF($F424="","",IFERROR(INDEX(Items!$E$5:$E$597,MATCH($F424,Items!$A$5:$A$597,0)),""))</f>
        <v>1</v>
      </c>
      <c r="J424" s="115">
        <f>IF(tblIssues[[#This Row],[Qty Override]]&lt;&gt;"",tblIssues[[#This Row],[Qty Override]],IF(tblIssues[[#This Row],[Standard Issue]]="","",tblIssues[[#This Row],[Standard Issue]]))</f>
        <v>1</v>
      </c>
      <c r="K424" s="20">
        <f>IF($F424="","",IFERROR(INDEX(Items!$D$5:$D$597,MATCH($F424,Items!$A$5:$A$597,0)),""))</f>
        <v>1E-4</v>
      </c>
      <c r="L424" s="21">
        <f t="shared" si="72"/>
        <v>1E-4</v>
      </c>
      <c r="M424" s="9" t="str">
        <f t="shared" si="73"/>
        <v>20-21734-2</v>
      </c>
      <c r="N424" s="24">
        <f>IF($A424="","",WORKDAY($A424,Settings!$C$9,HolidayDates))</f>
        <v>46153</v>
      </c>
      <c r="O424" s="24">
        <f>IF($N424="","",WORKDAY($N424,Settings!$C$10,HolidayDates))</f>
        <v>46191</v>
      </c>
      <c r="P424" s="10" t="s">
        <v>501</v>
      </c>
      <c r="Q424" s="52" t="str">
        <f t="shared" si="75"/>
        <v>Collected</v>
      </c>
      <c r="R424" s="55" t="str">
        <f t="shared" si="76"/>
        <v>2026-05</v>
      </c>
      <c r="S424" s="55">
        <f>IF(OR($B424="",$F424="",$R424=""),"",SUMIFS(tblIssues[Qty Issued],tblIssues[Staff ID],$B424,tblIssues[Item Name],$F424,tblIssues[Month],$R424))</f>
        <v>1</v>
      </c>
      <c r="T424" s="56">
        <f>IF($I424="","",$I424*Settings!$C$11)</f>
        <v>1</v>
      </c>
      <c r="U424" s="57" t="str">
        <f t="shared" si="74"/>
        <v>OK</v>
      </c>
      <c r="V424" s="55" t="str">
        <f t="shared" si="77"/>
        <v/>
      </c>
      <c r="W424" s="55" t="str">
        <f>IF($V424="","",IF(COUNTIF($V$5:$V424,$V424)=1,1,""))</f>
        <v/>
      </c>
      <c r="X424" s="58" t="str">
        <f>IF($W424="","",MAX($X$4:X423)+1)</f>
        <v/>
      </c>
      <c r="Y424" s="62"/>
      <c r="Z424" s="62"/>
      <c r="AA424" s="64" t="str">
        <f>IF($C424="","",IFERROR(INDEX('Staff Directory'!$E$5:$E$594,MATCH($C424,'Staff Directory'!$B$5:$B$594,0)),""))</f>
        <v>firstname092.lastname092@example.com</v>
      </c>
      <c r="AB424" s="64" t="str">
        <f>IF($C424="","",IF(ISNUMBER(SEARCH($D424,Settings!$C$15)),"Pickup","Dispatch"))</f>
        <v>Pickup</v>
      </c>
      <c r="AC424" s="64" t="str">
        <f t="shared" si="78"/>
        <v>Supply order ready for pickup</v>
      </c>
      <c r="AD424" s="64" t="str">
        <f t="shared" si="69"/>
        <v>Dear PSW,
Your order is ready for pickup from Sample Branch, Wed-Fri 9am-4pm.</v>
      </c>
      <c r="AE424" s="64" t="str">
        <f t="shared" si="70"/>
        <v>mailto:firstname092.lastname092@example.com?subject=Supply%20order%20ready%20for%20pickup&amp;body=Dear%20PSW%2C%0A%0AYour%20order%20is%20ready%20for%20pickup%20from%20Sample%20Branch%2C%20Wed-Fri%209am-4pm.</v>
      </c>
      <c r="AF424" s="89" t="str">
        <f t="shared" si="79"/>
        <v>Draft email</v>
      </c>
      <c r="AG424" s="64" t="str">
        <f>IF($C424="","",IFERROR(INDEX('Staff Directory'!$K$595:$K$599,MATCH($C424,'Staff Directory'!$B$5:$B$599,0)),$D424))</f>
        <v>PSW</v>
      </c>
      <c r="AH424" t="str">
        <f>IF($C424="","",IFERROR(INDEX('Staff Directory'!$I$595:$I$599,MATCH($C424,'Staff Directory'!$B$5:$B$599,0))&amp;" "&amp;INDEX('Staff Directory'!$J$595:$J$599,MATCH($C424,'Staff Directory'!$B$5:$B$599,0)),$AG424))</f>
        <v>PSW</v>
      </c>
      <c r="AI424" s="102"/>
      <c r="AJ424" s="101">
        <f>IF($F424="","",SUMIFS($J$5:$J424,$F$5:$F424,$F424))</f>
        <v>38</v>
      </c>
      <c r="AK424" s="101">
        <f t="shared" si="71"/>
        <v>38</v>
      </c>
      <c r="AL424" s="66" t="str" cm="1">
        <f t="array" ref="AL424">IF($F424="","",IFERROR(INDEX('Lot Balance'!$B$5:$B$500,MATCH(1,INDEX(('Lot Balance'!$A$5:$A$500=$F424)*('Lot Balance'!$K$5:$K$500&lt;$AK424)*('Lot Balance'!$K$5:$K$500+'Lot Balance'!$D$5:$D$500&gt;=$AK424),0),0)),""))</f>
        <v>20-21734-2</v>
      </c>
      <c r="AM424" s="66" t="str" cm="1">
        <f t="array" ref="AM424">IF($F424="","",IFERROR(INDEX('Lot Balance'!$B$5:$B$500,MATCH(1,INDEX(('Lot Balance'!$A$5:$A$500=$F424)*('Lot Balance'!$K$5:$K$500&lt;$AJ424)*('Lot Balance'!$K$5:$K$500+'Lot Balance'!$D$5:$D$500&gt;=$AJ424),0),0)),""))</f>
        <v>20-21734-2</v>
      </c>
      <c r="AN424" s="66" t="str">
        <f>IF($F424="","",IF($AI424&lt;&gt;"",IF(COUNTIFS('Lot Balance'!$A$5:$A$500,$F424,'Lot Balance'!$B$5:$B$500,$AI424)=0,"⚠ override is not a lot of this item",IF($AI424=$AL424,"Override = FEFO","Override - FEFO says "&amp;$AL424)),IF($AL424="","⚠ no receipt on file for this item",IF($AM424&lt;&gt;$AL424,"FEFO auto - split, also "&amp;$AM424,"FEFO auto"))))</f>
        <v>FEFO auto</v>
      </c>
      <c r="AO424" s="114"/>
    </row>
    <row r="425" spans="1:41" x14ac:dyDescent="0.35">
      <c r="A425" s="74">
        <v>46143</v>
      </c>
      <c r="B425" s="18" t="str">
        <f>IF($C425="","",IFERROR(INDEX('Staff Directory'!$A$5:$A$594,MATCH($C425,'Staff Directory'!$B$5:$B$594,0)),"⚠ unknown staff"))</f>
        <v>PSW-033-A4</v>
      </c>
      <c r="C425" s="49" t="s">
        <v>1008</v>
      </c>
      <c r="D425" s="19" t="str">
        <f>IF($B425="","",IFERROR(INDEX('Staff Directory'!$C$5:$C$594,MATCH($B425,'Staff Directory'!$A$5:$A$594,0)),""))</f>
        <v>PSW</v>
      </c>
      <c r="E425" s="19" t="str">
        <f>IF($B425="","",IFERROR(INDEX('Staff Directory'!$D$5:$D$594,MATCH($B425,'Staff Directory'!$A$5:$A$594,0)),""))</f>
        <v>A4</v>
      </c>
      <c r="F425" s="9" t="s">
        <v>115</v>
      </c>
      <c r="G425" s="18" t="str">
        <f>IF($F425="","",IFERROR(INDEX(Items!$B$5:$B$597,MATCH($F425,Items!$A$5:$A$597,0)),"⚠ not in Items"))</f>
        <v>Wipes</v>
      </c>
      <c r="H425" s="19">
        <f>IF($F425="","",IFERROR(INDEX(Items!$C$5:$C$597,MATCH($F425,Items!$A$5:$A$597,0)),""))</f>
        <v>80</v>
      </c>
      <c r="I425" s="23">
        <f>IF($F425="","",IFERROR(INDEX(Items!$E$5:$E$597,MATCH($F425,Items!$A$5:$A$597,0)),""))</f>
        <v>80</v>
      </c>
      <c r="J425" s="115">
        <f>IF(tblIssues[[#This Row],[Qty Override]]&lt;&gt;"",tblIssues[[#This Row],[Qty Override]],IF(tblIssues[[#This Row],[Standard Issue]]="","",tblIssues[[#This Row],[Standard Issue]]))</f>
        <v>80</v>
      </c>
      <c r="K425" s="20">
        <f>IF($F425="","",IFERROR(INDEX(Items!$D$5:$D$597,MATCH($F425,Items!$A$5:$A$597,0)),""))</f>
        <v>0.1</v>
      </c>
      <c r="L425" s="21">
        <f t="shared" si="72"/>
        <v>8</v>
      </c>
      <c r="M425" s="9" t="str">
        <f t="shared" si="73"/>
        <v>LYSL500290</v>
      </c>
      <c r="N425" s="24">
        <f>IF($A425="","",WORKDAY($A425,Settings!$C$9,HolidayDates))</f>
        <v>46153</v>
      </c>
      <c r="O425" s="24">
        <f>IF($N425="","",WORKDAY($N425,Settings!$C$10,HolidayDates))</f>
        <v>46191</v>
      </c>
      <c r="P425" s="10" t="s">
        <v>501</v>
      </c>
      <c r="Q425" s="52" t="str">
        <f t="shared" si="75"/>
        <v>Collected</v>
      </c>
      <c r="R425" s="55" t="str">
        <f t="shared" si="76"/>
        <v>2026-05</v>
      </c>
      <c r="S425" s="55">
        <f>IF(OR($B425="",$F425="",$R425=""),"",SUMIFS(tblIssues[Qty Issued],tblIssues[Staff ID],$B425,tblIssues[Item Name],$F425,tblIssues[Month],$R425))</f>
        <v>80</v>
      </c>
      <c r="T425" s="56">
        <f>IF($I425="","",$I425*Settings!$C$11)</f>
        <v>80</v>
      </c>
      <c r="U425" s="57" t="str">
        <f t="shared" si="74"/>
        <v>OK</v>
      </c>
      <c r="V425" s="55" t="str">
        <f t="shared" si="77"/>
        <v/>
      </c>
      <c r="W425" s="55" t="str">
        <f>IF($V425="","",IF(COUNTIF($V$5:$V425,$V425)=1,1,""))</f>
        <v/>
      </c>
      <c r="X425" s="58" t="str">
        <f>IF($W425="","",MAX($X$4:X424)+1)</f>
        <v/>
      </c>
      <c r="Y425" s="62"/>
      <c r="Z425" s="62"/>
      <c r="AA425" s="64" t="str">
        <f>IF($C425="","",IFERROR(INDEX('Staff Directory'!$E$5:$E$594,MATCH($C425,'Staff Directory'!$B$5:$B$594,0)),""))</f>
        <v>firstname092.lastname092@example.com</v>
      </c>
      <c r="AB425" s="64" t="str">
        <f>IF($C425="","",IF(ISNUMBER(SEARCH($D425,Settings!$C$15)),"Pickup","Dispatch"))</f>
        <v>Pickup</v>
      </c>
      <c r="AC425" s="64" t="str">
        <f t="shared" si="78"/>
        <v>Supply order ready for pickup</v>
      </c>
      <c r="AD425" s="64" t="str">
        <f t="shared" si="69"/>
        <v>Dear PSW,
Your order is ready for pickup from Sample Branch, Wed-Fri 9am-4pm.</v>
      </c>
      <c r="AE425" s="64" t="str">
        <f t="shared" si="70"/>
        <v>mailto:firstname092.lastname092@example.com?subject=Supply%20order%20ready%20for%20pickup&amp;body=Dear%20PSW%2C%0A%0AYour%20order%20is%20ready%20for%20pickup%20from%20Sample%20Branch%2C%20Wed-Fri%209am-4pm.</v>
      </c>
      <c r="AF425" s="89" t="str">
        <f t="shared" si="79"/>
        <v>Draft email</v>
      </c>
      <c r="AG425" s="64" t="str">
        <f>IF($C425="","",IFERROR(INDEX('Staff Directory'!$K$595:$K$599,MATCH($C425,'Staff Directory'!$B$5:$B$599,0)),$D425))</f>
        <v>PSW</v>
      </c>
      <c r="AH425" t="str">
        <f>IF($C425="","",IFERROR(INDEX('Staff Directory'!$I$595:$I$599,MATCH($C425,'Staff Directory'!$B$5:$B$599,0))&amp;" "&amp;INDEX('Staff Directory'!$J$595:$J$599,MATCH($C425,'Staff Directory'!$B$5:$B$599,0)),$AG425))</f>
        <v>PSW</v>
      </c>
      <c r="AI425" s="102"/>
      <c r="AJ425" s="101">
        <f>IF($F425="","",SUMIFS($J$5:$J425,$F$5:$F425,$F425))</f>
        <v>5760</v>
      </c>
      <c r="AK425" s="101">
        <f t="shared" si="71"/>
        <v>5681</v>
      </c>
      <c r="AL425" s="66" t="str" cm="1">
        <f t="array" ref="AL425">IF($F425="","",IFERROR(INDEX('Lot Balance'!$B$5:$B$500,MATCH(1,INDEX(('Lot Balance'!$A$5:$A$500=$F425)*('Lot Balance'!$K$5:$K$500&lt;$AK425)*('Lot Balance'!$K$5:$K$500+'Lot Balance'!$D$5:$D$500&gt;=$AK425),0),0)),""))</f>
        <v>LYSL500290</v>
      </c>
      <c r="AM425" s="66" t="str" cm="1">
        <f t="array" ref="AM425">IF($F425="","",IFERROR(INDEX('Lot Balance'!$B$5:$B$500,MATCH(1,INDEX(('Lot Balance'!$A$5:$A$500=$F425)*('Lot Balance'!$K$5:$K$500&lt;$AJ425)*('Lot Balance'!$K$5:$K$500+'Lot Balance'!$D$5:$D$500&gt;=$AJ425),0),0)),""))</f>
        <v>LYSL500290</v>
      </c>
      <c r="AN425" s="66" t="str">
        <f>IF($F425="","",IF($AI425&lt;&gt;"",IF(COUNTIFS('Lot Balance'!$A$5:$A$500,$F425,'Lot Balance'!$B$5:$B$500,$AI425)=0,"⚠ override is not a lot of this item",IF($AI425=$AL425,"Override = FEFO","Override - FEFO says "&amp;$AL425)),IF($AL425="","⚠ no receipt on file for this item",IF($AM425&lt;&gt;$AL425,"FEFO auto - split, also "&amp;$AM425,"FEFO auto"))))</f>
        <v>FEFO auto</v>
      </c>
      <c r="AO425" s="114"/>
    </row>
    <row r="426" spans="1:41" x14ac:dyDescent="0.35">
      <c r="A426" s="74">
        <v>46143</v>
      </c>
      <c r="B426" s="18" t="str">
        <f>IF($C426="","",IFERROR(INDEX('Staff Directory'!$A$5:$A$594,MATCH($C426,'Staff Directory'!$B$5:$B$594,0)),"⚠ unknown staff"))</f>
        <v>PSW-033-A4</v>
      </c>
      <c r="C426" s="49" t="s">
        <v>1008</v>
      </c>
      <c r="D426" s="19" t="str">
        <f>IF($B426="","",IFERROR(INDEX('Staff Directory'!$C$5:$C$594,MATCH($B426,'Staff Directory'!$A$5:$A$594,0)),""))</f>
        <v>PSW</v>
      </c>
      <c r="E426" s="19" t="str">
        <f>IF($B426="","",IFERROR(INDEX('Staff Directory'!$D$5:$D$594,MATCH($B426,'Staff Directory'!$A$5:$A$594,0)),""))</f>
        <v>A4</v>
      </c>
      <c r="F426" s="9" t="s">
        <v>154</v>
      </c>
      <c r="G426" s="18" t="str">
        <f>IF($F426="","",IFERROR(INDEX(Items!$B$5:$B$597,MATCH($F426,Items!$A$5:$A$597,0)),"⚠ not in Items"))</f>
        <v>IPAC</v>
      </c>
      <c r="H426" s="19" t="str">
        <f>IF($F426="","",IFERROR(INDEX(Items!$C$5:$C$597,MATCH($F426,Items!$A$5:$A$597,0)),""))</f>
        <v>Regular</v>
      </c>
      <c r="I426" s="23">
        <f>IF($F426="","",IFERROR(INDEX(Items!$E$5:$E$597,MATCH($F426,Items!$A$5:$A$597,0)),""))</f>
        <v>50</v>
      </c>
      <c r="J426" s="115">
        <f>IF(tblIssues[[#This Row],[Qty Override]]&lt;&gt;"",tblIssues[[#This Row],[Qty Override]],IF(tblIssues[[#This Row],[Standard Issue]]="","",tblIssues[[#This Row],[Standard Issue]]))</f>
        <v>50</v>
      </c>
      <c r="K426" s="20">
        <f>IF($F426="","",IFERROR(INDEX(Items!$D$5:$D$597,MATCH($F426,Items!$A$5:$A$597,0)),""))</f>
        <v>0.2</v>
      </c>
      <c r="L426" s="21">
        <f t="shared" si="72"/>
        <v>10</v>
      </c>
      <c r="M426" s="9">
        <f t="shared" si="73"/>
        <v>3024</v>
      </c>
      <c r="N426" s="24">
        <f>IF($A426="","",WORKDAY($A426,Settings!$C$9,HolidayDates))</f>
        <v>46153</v>
      </c>
      <c r="O426" s="24">
        <f>IF($N426="","",WORKDAY($N426,Settings!$C$10,HolidayDates))</f>
        <v>46191</v>
      </c>
      <c r="P426" s="10" t="s">
        <v>501</v>
      </c>
      <c r="Q426" s="52" t="str">
        <f t="shared" si="75"/>
        <v>Collected</v>
      </c>
      <c r="R426" s="55" t="str">
        <f t="shared" si="76"/>
        <v>2026-05</v>
      </c>
      <c r="S426" s="55">
        <f>IF(OR($B426="",$F426="",$R426=""),"",SUMIFS(tblIssues[Qty Issued],tblIssues[Staff ID],$B426,tblIssues[Item Name],$F426,tblIssues[Month],$R426))</f>
        <v>50</v>
      </c>
      <c r="T426" s="56">
        <f>IF($I426="","",$I426*Settings!$C$11)</f>
        <v>50</v>
      </c>
      <c r="U426" s="57" t="str">
        <f t="shared" si="74"/>
        <v>OK</v>
      </c>
      <c r="V426" s="55" t="str">
        <f t="shared" si="77"/>
        <v/>
      </c>
      <c r="W426" s="55" t="str">
        <f>IF($V426="","",IF(COUNTIF($V$5:$V426,$V426)=1,1,""))</f>
        <v/>
      </c>
      <c r="X426" s="58" t="str">
        <f>IF($W426="","",MAX($X$4:X425)+1)</f>
        <v/>
      </c>
      <c r="Y426" s="62"/>
      <c r="Z426" s="62"/>
      <c r="AA426" s="64" t="str">
        <f>IF($C426="","",IFERROR(INDEX('Staff Directory'!$E$5:$E$594,MATCH($C426,'Staff Directory'!$B$5:$B$594,0)),""))</f>
        <v>firstname092.lastname092@example.com</v>
      </c>
      <c r="AB426" s="64" t="str">
        <f>IF($C426="","",IF(ISNUMBER(SEARCH($D426,Settings!$C$15)),"Pickup","Dispatch"))</f>
        <v>Pickup</v>
      </c>
      <c r="AC426" s="64" t="str">
        <f t="shared" si="78"/>
        <v>Supply order ready for pickup</v>
      </c>
      <c r="AD426" s="64" t="str">
        <f t="shared" si="69"/>
        <v>Dear PSW,
Your order is ready for pickup from Sample Branch, Wed-Fri 9am-4pm.</v>
      </c>
      <c r="AE426" s="64" t="str">
        <f t="shared" si="70"/>
        <v>mailto:firstname092.lastname092@example.com?subject=Supply%20order%20ready%20for%20pickup&amp;body=Dear%20PSW%2C%0A%0AYour%20order%20is%20ready%20for%20pickup%20from%20Sample%20Branch%2C%20Wed-Fri%209am-4pm.</v>
      </c>
      <c r="AF426" s="89" t="str">
        <f t="shared" si="79"/>
        <v>Draft email</v>
      </c>
      <c r="AG426" s="64" t="str">
        <f>IF($C426="","",IFERROR(INDEX('Staff Directory'!$K$595:$K$599,MATCH($C426,'Staff Directory'!$B$5:$B$599,0)),$D426))</f>
        <v>PSW</v>
      </c>
      <c r="AH426" t="str">
        <f>IF($C426="","",IFERROR(INDEX('Staff Directory'!$I$595:$I$599,MATCH($C426,'Staff Directory'!$B$5:$B$599,0))&amp;" "&amp;INDEX('Staff Directory'!$J$595:$J$599,MATCH($C426,'Staff Directory'!$B$5:$B$599,0)),$AG426))</f>
        <v>PSW</v>
      </c>
      <c r="AI426" s="102"/>
      <c r="AJ426" s="101">
        <f>IF($F426="","",SUMIFS($J$5:$J426,$F$5:$F426,$F426))</f>
        <v>250</v>
      </c>
      <c r="AK426" s="101">
        <f t="shared" si="71"/>
        <v>201</v>
      </c>
      <c r="AL426" s="66" cm="1">
        <f t="array" ref="AL426">IF($F426="","",IFERROR(INDEX('Lot Balance'!$B$5:$B$500,MATCH(1,INDEX(('Lot Balance'!$A$5:$A$500=$F426)*('Lot Balance'!$K$5:$K$500&lt;$AK426)*('Lot Balance'!$K$5:$K$500+'Lot Balance'!$D$5:$D$500&gt;=$AK426),0),0)),""))</f>
        <v>3024</v>
      </c>
      <c r="AM426" s="66" cm="1">
        <f t="array" ref="AM426">IF($F426="","",IFERROR(INDEX('Lot Balance'!$B$5:$B$500,MATCH(1,INDEX(('Lot Balance'!$A$5:$A$500=$F426)*('Lot Balance'!$K$5:$K$500&lt;$AJ426)*('Lot Balance'!$K$5:$K$500+'Lot Balance'!$D$5:$D$500&gt;=$AJ426),0),0)),""))</f>
        <v>3024</v>
      </c>
      <c r="AN426" s="66" t="str">
        <f>IF($F426="","",IF($AI426&lt;&gt;"",IF(COUNTIFS('Lot Balance'!$A$5:$A$500,$F426,'Lot Balance'!$B$5:$B$500,$AI426)=0,"⚠ override is not a lot of this item",IF($AI426=$AL426,"Override = FEFO","Override - FEFO says "&amp;$AL426)),IF($AL426="","⚠ no receipt on file for this item",IF($AM426&lt;&gt;$AL426,"FEFO auto - split, also "&amp;$AM426,"FEFO auto"))))</f>
        <v>FEFO auto</v>
      </c>
      <c r="AO426" s="114"/>
    </row>
    <row r="427" spans="1:41" x14ac:dyDescent="0.35">
      <c r="A427" s="74">
        <v>46143</v>
      </c>
      <c r="B427" s="18" t="str">
        <f>IF($C427="","",IFERROR(INDEX('Staff Directory'!$A$5:$A$594,MATCH($C427,'Staff Directory'!$B$5:$B$594,0)),"⚠ unknown staff"))</f>
        <v>RN-006-A1</v>
      </c>
      <c r="C427" s="49" t="s">
        <v>922</v>
      </c>
      <c r="D427" s="19" t="str">
        <f>IF($B427="","",IFERROR(INDEX('Staff Directory'!$C$5:$C$594,MATCH($B427,'Staff Directory'!$A$5:$A$594,0)),""))</f>
        <v>RN</v>
      </c>
      <c r="E427" s="19" t="str">
        <f>IF($B427="","",IFERROR(INDEX('Staff Directory'!$D$5:$D$594,MATCH($B427,'Staff Directory'!$A$5:$A$594,0)),""))</f>
        <v>A1</v>
      </c>
      <c r="F427" s="9" t="s">
        <v>124</v>
      </c>
      <c r="G427" s="18" t="str">
        <f>IF($F427="","",IFERROR(INDEX(Items!$B$5:$B$597,MATCH($F427,Items!$A$5:$A$597,0)),"⚠ not in Items"))</f>
        <v>Gloves</v>
      </c>
      <c r="H427" s="19" t="str">
        <f>IF($F427="","",IFERROR(INDEX(Items!$C$5:$C$597,MATCH($F427,Items!$A$5:$A$597,0)),""))</f>
        <v>Large</v>
      </c>
      <c r="I427" s="23">
        <f>IF($F427="","",IFERROR(INDEX(Items!$E$5:$E$597,MATCH($F427,Items!$A$5:$A$597,0)),""))</f>
        <v>500</v>
      </c>
      <c r="J427" s="115">
        <f>IF(tblIssues[[#This Row],[Qty Override]]&lt;&gt;"",tblIssues[[#This Row],[Qty Override]],IF(tblIssues[[#This Row],[Standard Issue]]="","",tblIssues[[#This Row],[Standard Issue]]))</f>
        <v>500</v>
      </c>
      <c r="K427" s="20">
        <f>IF($F427="","",IFERROR(INDEX(Items!$D$5:$D$597,MATCH($F427,Items!$A$5:$A$597,0)),""))</f>
        <v>5.5E-2</v>
      </c>
      <c r="L427" s="21">
        <f t="shared" si="72"/>
        <v>27.5</v>
      </c>
      <c r="M427" s="9" t="str">
        <f t="shared" si="73"/>
        <v>0417HIC25-0</v>
      </c>
      <c r="N427" s="24">
        <f>IF($A427="","",WORKDAY($A427,Settings!$C$9,HolidayDates))</f>
        <v>46153</v>
      </c>
      <c r="O427" s="24">
        <f>IF($N427="","",WORKDAY($N427,Settings!$C$10,HolidayDates))</f>
        <v>46191</v>
      </c>
      <c r="P427" s="10" t="s">
        <v>502</v>
      </c>
      <c r="Q427" s="52" t="str">
        <f t="shared" si="75"/>
        <v>Collected</v>
      </c>
      <c r="R427" s="55" t="str">
        <f t="shared" si="76"/>
        <v>2026-05</v>
      </c>
      <c r="S427" s="55">
        <f>IF(OR($B427="",$F427="",$R427=""),"",SUMIFS(tblIssues[Qty Issued],tblIssues[Staff ID],$B427,tblIssues[Item Name],$F427,tblIssues[Month],$R427))</f>
        <v>500</v>
      </c>
      <c r="T427" s="56">
        <f>IF($I427="","",$I427*Settings!$C$11)</f>
        <v>500</v>
      </c>
      <c r="U427" s="57" t="str">
        <f t="shared" si="74"/>
        <v>OK</v>
      </c>
      <c r="V427" s="55" t="str">
        <f t="shared" si="77"/>
        <v/>
      </c>
      <c r="W427" s="55" t="str">
        <f>IF($V427="","",IF(COUNTIF($V$5:$V427,$V427)=1,1,""))</f>
        <v/>
      </c>
      <c r="X427" s="58" t="str">
        <f>IF($W427="","",MAX($X$4:X426)+1)</f>
        <v/>
      </c>
      <c r="Y427" s="62"/>
      <c r="Z427" s="62"/>
      <c r="AA427" s="64" t="str">
        <f>IF($C427="","",IFERROR(INDEX('Staff Directory'!$E$5:$E$594,MATCH($C427,'Staff Directory'!$B$5:$B$594,0)),""))</f>
        <v>firstname006.lastname006@example.com</v>
      </c>
      <c r="AB427" s="64" t="str">
        <f>IF($C427="","",IF(ISNUMBER(SEARCH($D427,Settings!$C$15)),"Pickup","Dispatch"))</f>
        <v>Dispatch</v>
      </c>
      <c r="AC427" s="64" t="str">
        <f t="shared" si="78"/>
        <v>Supply order dispatched</v>
      </c>
      <c r="AD427" s="64" t="str">
        <f t="shared" si="69"/>
        <v>Dear RN,
Your order has been dispatched and is in transit. Reply if undelivered.</v>
      </c>
      <c r="AE427" s="64" t="str">
        <f t="shared" si="70"/>
        <v>mailto:firstname006.lastname006@example.com?subject=Supply%20order%20dispatched&amp;body=Dear%20RN%2C%0A%0AYour%20order%20has%20been%20dispatched%20and%20is%20in%20transit.%20Reply%20if%20undelivered.</v>
      </c>
      <c r="AF427" s="89" t="str">
        <f t="shared" si="79"/>
        <v>Draft email</v>
      </c>
      <c r="AG427" s="64" t="str">
        <f>IF($C427="","",IFERROR(INDEX('Staff Directory'!$K$595:$K$599,MATCH($C427,'Staff Directory'!$B$5:$B$599,0)),$D427))</f>
        <v>RN</v>
      </c>
      <c r="AH427" t="str">
        <f>IF($C427="","",IFERROR(INDEX('Staff Directory'!$I$595:$I$599,MATCH($C427,'Staff Directory'!$B$5:$B$599,0))&amp;" "&amp;INDEX('Staff Directory'!$J$595:$J$599,MATCH($C427,'Staff Directory'!$B$5:$B$599,0)),$AG427))</f>
        <v>RN</v>
      </c>
      <c r="AI427" s="102"/>
      <c r="AJ427" s="101">
        <f>IF($F427="","",SUMIFS($J$5:$J427,$F$5:$F427,$F427))</f>
        <v>11500</v>
      </c>
      <c r="AK427" s="101">
        <f t="shared" si="71"/>
        <v>11001</v>
      </c>
      <c r="AL427" s="66" t="str" cm="1">
        <f t="array" ref="AL427">IF($F427="","",IFERROR(INDEX('Lot Balance'!$B$5:$B$500,MATCH(1,INDEX(('Lot Balance'!$A$5:$A$500=$F427)*('Lot Balance'!$K$5:$K$500&lt;$AK427)*('Lot Balance'!$K$5:$K$500+'Lot Balance'!$D$5:$D$500&gt;=$AK427),0),0)),""))</f>
        <v>0417HIC25-0</v>
      </c>
      <c r="AM427" s="66" t="str" cm="1">
        <f t="array" ref="AM427">IF($F427="","",IFERROR(INDEX('Lot Balance'!$B$5:$B$500,MATCH(1,INDEX(('Lot Balance'!$A$5:$A$500=$F427)*('Lot Balance'!$K$5:$K$500&lt;$AJ427)*('Lot Balance'!$K$5:$K$500+'Lot Balance'!$D$5:$D$500&gt;=$AJ427),0),0)),""))</f>
        <v>0417HIC25-0</v>
      </c>
      <c r="AN427" s="66" t="str">
        <f>IF($F427="","",IF($AI427&lt;&gt;"",IF(COUNTIFS('Lot Balance'!$A$5:$A$500,$F427,'Lot Balance'!$B$5:$B$500,$AI427)=0,"⚠ override is not a lot of this item",IF($AI427=$AL427,"Override = FEFO","Override - FEFO says "&amp;$AL427)),IF($AL427="","⚠ no receipt on file for this item",IF($AM427&lt;&gt;$AL427,"FEFO auto - split, also "&amp;$AM427,"FEFO auto"))))</f>
        <v>FEFO auto</v>
      </c>
      <c r="AO427" s="114"/>
    </row>
    <row r="428" spans="1:41" x14ac:dyDescent="0.35">
      <c r="A428" s="74">
        <v>46143</v>
      </c>
      <c r="B428" s="18" t="str">
        <f>IF($C428="","",IFERROR(INDEX('Staff Directory'!$A$5:$A$594,MATCH($C428,'Staff Directory'!$B$5:$B$594,0)),"⚠ unknown staff"))</f>
        <v>RN-006-A1</v>
      </c>
      <c r="C428" s="49" t="s">
        <v>922</v>
      </c>
      <c r="D428" s="19" t="str">
        <f>IF($B428="","",IFERROR(INDEX('Staff Directory'!$C$5:$C$594,MATCH($B428,'Staff Directory'!$A$5:$A$594,0)),""))</f>
        <v>RN</v>
      </c>
      <c r="E428" s="19" t="str">
        <f>IF($B428="","",IFERROR(INDEX('Staff Directory'!$D$5:$D$594,MATCH($B428,'Staff Directory'!$A$5:$A$594,0)),""))</f>
        <v>A1</v>
      </c>
      <c r="F428" s="9" t="s">
        <v>191</v>
      </c>
      <c r="G428" s="18" t="str">
        <f>IF($F428="","",IFERROR(INDEX(Items!$B$5:$B$597,MATCH($F428,Items!$A$5:$A$597,0)),"⚠ not in Items"))</f>
        <v>Sanitizer</v>
      </c>
      <c r="H428" s="19" t="str">
        <f>IF($F428="","",IFERROR(INDEX(Items!$C$5:$C$597,MATCH($F428,Items!$A$5:$A$597,0)),""))</f>
        <v>236 ML</v>
      </c>
      <c r="I428" s="23">
        <f>IF($F428="","",IFERROR(INDEX(Items!$E$5:$E$597,MATCH($F428,Items!$A$5:$A$597,0)),""))</f>
        <v>1</v>
      </c>
      <c r="J428" s="115">
        <f>IF(tblIssues[[#This Row],[Qty Override]]&lt;&gt;"",tblIssues[[#This Row],[Qty Override]],IF(tblIssues[[#This Row],[Standard Issue]]="","",tblIssues[[#This Row],[Standard Issue]]))</f>
        <v>1</v>
      </c>
      <c r="K428" s="20">
        <f>IF($F428="","",IFERROR(INDEX(Items!$D$5:$D$597,MATCH($F428,Items!$A$5:$A$597,0)),""))</f>
        <v>1E-4</v>
      </c>
      <c r="L428" s="21">
        <f t="shared" si="72"/>
        <v>1E-4</v>
      </c>
      <c r="M428" s="9" t="str">
        <f t="shared" si="73"/>
        <v>20-21734-2</v>
      </c>
      <c r="N428" s="24">
        <f>IF($A428="","",WORKDAY($A428,Settings!$C$9,HolidayDates))</f>
        <v>46153</v>
      </c>
      <c r="O428" s="24">
        <f>IF($N428="","",WORKDAY($N428,Settings!$C$10,HolidayDates))</f>
        <v>46191</v>
      </c>
      <c r="P428" s="10" t="s">
        <v>502</v>
      </c>
      <c r="Q428" s="52" t="str">
        <f t="shared" si="75"/>
        <v>Collected</v>
      </c>
      <c r="R428" s="55" t="str">
        <f t="shared" si="76"/>
        <v>2026-05</v>
      </c>
      <c r="S428" s="55">
        <f>IF(OR($B428="",$F428="",$R428=""),"",SUMIFS(tblIssues[Qty Issued],tblIssues[Staff ID],$B428,tblIssues[Item Name],$F428,tblIssues[Month],$R428))</f>
        <v>1</v>
      </c>
      <c r="T428" s="56">
        <f>IF($I428="","",$I428*Settings!$C$11)</f>
        <v>1</v>
      </c>
      <c r="U428" s="57" t="str">
        <f t="shared" si="74"/>
        <v>OK</v>
      </c>
      <c r="V428" s="55" t="str">
        <f t="shared" si="77"/>
        <v/>
      </c>
      <c r="W428" s="55" t="str">
        <f>IF($V428="","",IF(COUNTIF($V$5:$V428,$V428)=1,1,""))</f>
        <v/>
      </c>
      <c r="X428" s="58" t="str">
        <f>IF($W428="","",MAX($X$4:X427)+1)</f>
        <v/>
      </c>
      <c r="Y428" s="62"/>
      <c r="Z428" s="62"/>
      <c r="AA428" s="64" t="str">
        <f>IF($C428="","",IFERROR(INDEX('Staff Directory'!$E$5:$E$594,MATCH($C428,'Staff Directory'!$B$5:$B$594,0)),""))</f>
        <v>firstname006.lastname006@example.com</v>
      </c>
      <c r="AB428" s="64" t="str">
        <f>IF($C428="","",IF(ISNUMBER(SEARCH($D428,Settings!$C$15)),"Pickup","Dispatch"))</f>
        <v>Dispatch</v>
      </c>
      <c r="AC428" s="64" t="str">
        <f t="shared" si="78"/>
        <v>Supply order dispatched</v>
      </c>
      <c r="AD428" s="64" t="str">
        <f t="shared" si="69"/>
        <v>Dear RN,
Your order has been dispatched and is in transit. Reply if undelivered.</v>
      </c>
      <c r="AE428" s="64" t="str">
        <f t="shared" si="70"/>
        <v>mailto:firstname006.lastname006@example.com?subject=Supply%20order%20dispatched&amp;body=Dear%20RN%2C%0A%0AYour%20order%20has%20been%20dispatched%20and%20is%20in%20transit.%20Reply%20if%20undelivered.</v>
      </c>
      <c r="AF428" s="89" t="str">
        <f t="shared" si="79"/>
        <v>Draft email</v>
      </c>
      <c r="AG428" s="64" t="str">
        <f>IF($C428="","",IFERROR(INDEX('Staff Directory'!$K$595:$K$599,MATCH($C428,'Staff Directory'!$B$5:$B$599,0)),$D428))</f>
        <v>RN</v>
      </c>
      <c r="AH428" t="str">
        <f>IF($C428="","",IFERROR(INDEX('Staff Directory'!$I$595:$I$599,MATCH($C428,'Staff Directory'!$B$5:$B$599,0))&amp;" "&amp;INDEX('Staff Directory'!$J$595:$J$599,MATCH($C428,'Staff Directory'!$B$5:$B$599,0)),$AG428))</f>
        <v>RN</v>
      </c>
      <c r="AI428" s="102"/>
      <c r="AJ428" s="101">
        <f>IF($F428="","",SUMIFS($J$5:$J428,$F$5:$F428,$F428))</f>
        <v>39</v>
      </c>
      <c r="AK428" s="101">
        <f t="shared" si="71"/>
        <v>39</v>
      </c>
      <c r="AL428" s="66" t="str" cm="1">
        <f t="array" ref="AL428">IF($F428="","",IFERROR(INDEX('Lot Balance'!$B$5:$B$500,MATCH(1,INDEX(('Lot Balance'!$A$5:$A$500=$F428)*('Lot Balance'!$K$5:$K$500&lt;$AK428)*('Lot Balance'!$K$5:$K$500+'Lot Balance'!$D$5:$D$500&gt;=$AK428),0),0)),""))</f>
        <v>20-21734-2</v>
      </c>
      <c r="AM428" s="66" t="str" cm="1">
        <f t="array" ref="AM428">IF($F428="","",IFERROR(INDEX('Lot Balance'!$B$5:$B$500,MATCH(1,INDEX(('Lot Balance'!$A$5:$A$500=$F428)*('Lot Balance'!$K$5:$K$500&lt;$AJ428)*('Lot Balance'!$K$5:$K$500+'Lot Balance'!$D$5:$D$500&gt;=$AJ428),0),0)),""))</f>
        <v>20-21734-2</v>
      </c>
      <c r="AN428" s="66" t="str">
        <f>IF($F428="","",IF($AI428&lt;&gt;"",IF(COUNTIFS('Lot Balance'!$A$5:$A$500,$F428,'Lot Balance'!$B$5:$B$500,$AI428)=0,"⚠ override is not a lot of this item",IF($AI428=$AL428,"Override = FEFO","Override - FEFO says "&amp;$AL428)),IF($AL428="","⚠ no receipt on file for this item",IF($AM428&lt;&gt;$AL428,"FEFO auto - split, also "&amp;$AM428,"FEFO auto"))))</f>
        <v>FEFO auto</v>
      </c>
      <c r="AO428" s="114"/>
    </row>
    <row r="429" spans="1:41" x14ac:dyDescent="0.35">
      <c r="A429" s="74">
        <v>46143</v>
      </c>
      <c r="B429" s="18" t="str">
        <f>IF($C429="","",IFERROR(INDEX('Staff Directory'!$A$5:$A$594,MATCH($C429,'Staff Directory'!$B$5:$B$594,0)),"⚠ unknown staff"))</f>
        <v>RN-006-A1</v>
      </c>
      <c r="C429" s="49" t="s">
        <v>922</v>
      </c>
      <c r="D429" s="19" t="str">
        <f>IF($B429="","",IFERROR(INDEX('Staff Directory'!$C$5:$C$594,MATCH($B429,'Staff Directory'!$A$5:$A$594,0)),""))</f>
        <v>RN</v>
      </c>
      <c r="E429" s="19" t="str">
        <f>IF($B429="","",IFERROR(INDEX('Staff Directory'!$D$5:$D$594,MATCH($B429,'Staff Directory'!$A$5:$A$594,0)),""))</f>
        <v>A1</v>
      </c>
      <c r="F429" s="9" t="s">
        <v>115</v>
      </c>
      <c r="G429" s="18" t="str">
        <f>IF($F429="","",IFERROR(INDEX(Items!$B$5:$B$597,MATCH($F429,Items!$A$5:$A$597,0)),"⚠ not in Items"))</f>
        <v>Wipes</v>
      </c>
      <c r="H429" s="19">
        <f>IF($F429="","",IFERROR(INDEX(Items!$C$5:$C$597,MATCH($F429,Items!$A$5:$A$597,0)),""))</f>
        <v>80</v>
      </c>
      <c r="I429" s="23">
        <f>IF($F429="","",IFERROR(INDEX(Items!$E$5:$E$597,MATCH($F429,Items!$A$5:$A$597,0)),""))</f>
        <v>80</v>
      </c>
      <c r="J429" s="115">
        <f>IF(tblIssues[[#This Row],[Qty Override]]&lt;&gt;"",tblIssues[[#This Row],[Qty Override]],IF(tblIssues[[#This Row],[Standard Issue]]="","",tblIssues[[#This Row],[Standard Issue]]))</f>
        <v>80</v>
      </c>
      <c r="K429" s="20">
        <f>IF($F429="","",IFERROR(INDEX(Items!$D$5:$D$597,MATCH($F429,Items!$A$5:$A$597,0)),""))</f>
        <v>0.1</v>
      </c>
      <c r="L429" s="21">
        <f t="shared" si="72"/>
        <v>8</v>
      </c>
      <c r="M429" s="9" t="str">
        <f t="shared" si="73"/>
        <v>LYSL500290</v>
      </c>
      <c r="N429" s="24">
        <f>IF($A429="","",WORKDAY($A429,Settings!$C$9,HolidayDates))</f>
        <v>46153</v>
      </c>
      <c r="O429" s="24">
        <f>IF($N429="","",WORKDAY($N429,Settings!$C$10,HolidayDates))</f>
        <v>46191</v>
      </c>
      <c r="P429" s="10" t="s">
        <v>502</v>
      </c>
      <c r="Q429" s="52" t="str">
        <f t="shared" si="75"/>
        <v>Collected</v>
      </c>
      <c r="R429" s="55" t="str">
        <f t="shared" si="76"/>
        <v>2026-05</v>
      </c>
      <c r="S429" s="55">
        <f>IF(OR($B429="",$F429="",$R429=""),"",SUMIFS(tblIssues[Qty Issued],tblIssues[Staff ID],$B429,tblIssues[Item Name],$F429,tblIssues[Month],$R429))</f>
        <v>80</v>
      </c>
      <c r="T429" s="56">
        <f>IF($I429="","",$I429*Settings!$C$11)</f>
        <v>80</v>
      </c>
      <c r="U429" s="57" t="str">
        <f t="shared" si="74"/>
        <v>OK</v>
      </c>
      <c r="V429" s="55" t="str">
        <f t="shared" si="77"/>
        <v/>
      </c>
      <c r="W429" s="55" t="str">
        <f>IF($V429="","",IF(COUNTIF($V$5:$V429,$V429)=1,1,""))</f>
        <v/>
      </c>
      <c r="X429" s="58" t="str">
        <f>IF($W429="","",MAX($X$4:X428)+1)</f>
        <v/>
      </c>
      <c r="Y429" s="62"/>
      <c r="Z429" s="62"/>
      <c r="AA429" s="64" t="str">
        <f>IF($C429="","",IFERROR(INDEX('Staff Directory'!$E$5:$E$594,MATCH($C429,'Staff Directory'!$B$5:$B$594,0)),""))</f>
        <v>firstname006.lastname006@example.com</v>
      </c>
      <c r="AB429" s="64" t="str">
        <f>IF($C429="","",IF(ISNUMBER(SEARCH($D429,Settings!$C$15)),"Pickup","Dispatch"))</f>
        <v>Dispatch</v>
      </c>
      <c r="AC429" s="64" t="str">
        <f t="shared" si="78"/>
        <v>Supply order dispatched</v>
      </c>
      <c r="AD429" s="64" t="str">
        <f t="shared" si="69"/>
        <v>Dear RN,
Your order has been dispatched and is in transit. Reply if undelivered.</v>
      </c>
      <c r="AE429" s="64" t="str">
        <f t="shared" si="70"/>
        <v>mailto:firstname006.lastname006@example.com?subject=Supply%20order%20dispatched&amp;body=Dear%20RN%2C%0A%0AYour%20order%20has%20been%20dispatched%20and%20is%20in%20transit.%20Reply%20if%20undelivered.</v>
      </c>
      <c r="AF429" s="89" t="str">
        <f t="shared" si="79"/>
        <v>Draft email</v>
      </c>
      <c r="AG429" s="64" t="str">
        <f>IF($C429="","",IFERROR(INDEX('Staff Directory'!$K$595:$K$599,MATCH($C429,'Staff Directory'!$B$5:$B$599,0)),$D429))</f>
        <v>RN</v>
      </c>
      <c r="AH429" t="str">
        <f>IF($C429="","",IFERROR(INDEX('Staff Directory'!$I$595:$I$599,MATCH($C429,'Staff Directory'!$B$5:$B$599,0))&amp;" "&amp;INDEX('Staff Directory'!$J$595:$J$599,MATCH($C429,'Staff Directory'!$B$5:$B$599,0)),$AG429))</f>
        <v>RN</v>
      </c>
      <c r="AI429" s="102"/>
      <c r="AJ429" s="101">
        <f>IF($F429="","",SUMIFS($J$5:$J429,$F$5:$F429,$F429))</f>
        <v>5840</v>
      </c>
      <c r="AK429" s="101">
        <f t="shared" si="71"/>
        <v>5761</v>
      </c>
      <c r="AL429" s="66" t="str" cm="1">
        <f t="array" ref="AL429">IF($F429="","",IFERROR(INDEX('Lot Balance'!$B$5:$B$500,MATCH(1,INDEX(('Lot Balance'!$A$5:$A$500=$F429)*('Lot Balance'!$K$5:$K$500&lt;$AK429)*('Lot Balance'!$K$5:$K$500+'Lot Balance'!$D$5:$D$500&gt;=$AK429),0),0)),""))</f>
        <v>LYSL500290</v>
      </c>
      <c r="AM429" s="66" t="str" cm="1">
        <f t="array" ref="AM429">IF($F429="","",IFERROR(INDEX('Lot Balance'!$B$5:$B$500,MATCH(1,INDEX(('Lot Balance'!$A$5:$A$500=$F429)*('Lot Balance'!$K$5:$K$500&lt;$AJ429)*('Lot Balance'!$K$5:$K$500+'Lot Balance'!$D$5:$D$500&gt;=$AJ429),0),0)),""))</f>
        <v>LYSL500290</v>
      </c>
      <c r="AN429" s="66" t="str">
        <f>IF($F429="","",IF($AI429&lt;&gt;"",IF(COUNTIFS('Lot Balance'!$A$5:$A$500,$F429,'Lot Balance'!$B$5:$B$500,$AI429)=0,"⚠ override is not a lot of this item",IF($AI429=$AL429,"Override = FEFO","Override - FEFO says "&amp;$AL429)),IF($AL429="","⚠ no receipt on file for this item",IF($AM429&lt;&gt;$AL429,"FEFO auto - split, also "&amp;$AM429,"FEFO auto"))))</f>
        <v>FEFO auto</v>
      </c>
      <c r="AO429" s="114"/>
    </row>
    <row r="430" spans="1:41" x14ac:dyDescent="0.35">
      <c r="A430" s="74">
        <v>46143</v>
      </c>
      <c r="B430" s="18" t="str">
        <f>IF($C430="","",IFERROR(INDEX('Staff Directory'!$A$5:$A$594,MATCH($C430,'Staff Directory'!$B$5:$B$594,0)),"⚠ unknown staff"))</f>
        <v>RN-006-A1</v>
      </c>
      <c r="C430" s="49" t="s">
        <v>922</v>
      </c>
      <c r="D430" s="19" t="str">
        <f>IF($B430="","",IFERROR(INDEX('Staff Directory'!$C$5:$C$594,MATCH($B430,'Staff Directory'!$A$5:$A$594,0)),""))</f>
        <v>RN</v>
      </c>
      <c r="E430" s="19" t="str">
        <f>IF($B430="","",IFERROR(INDEX('Staff Directory'!$D$5:$D$594,MATCH($B430,'Staff Directory'!$A$5:$A$594,0)),""))</f>
        <v>A1</v>
      </c>
      <c r="F430" s="9" t="s">
        <v>156</v>
      </c>
      <c r="G430" s="18" t="str">
        <f>IF($F430="","",IFERROR(INDEX(Items!$B$5:$B$597,MATCH($F430,Items!$A$5:$A$597,0)),"⚠ not in Items"))</f>
        <v>Masks</v>
      </c>
      <c r="H430" s="19" t="str">
        <f>IF($F430="","",IFERROR(INDEX(Items!$C$5:$C$597,MATCH($F430,Items!$A$5:$A$597,0)),""))</f>
        <v>One Size</v>
      </c>
      <c r="I430" s="23">
        <f>IF($F430="","",IFERROR(INDEX(Items!$E$5:$E$597,MATCH($F430,Items!$A$5:$A$597,0)),""))</f>
        <v>50</v>
      </c>
      <c r="J430" s="115">
        <f>IF(tblIssues[[#This Row],[Qty Override]]&lt;&gt;"",tblIssues[[#This Row],[Qty Override]],IF(tblIssues[[#This Row],[Standard Issue]]="","",tblIssues[[#This Row],[Standard Issue]]))</f>
        <v>50</v>
      </c>
      <c r="K430" s="20">
        <f>IF($F430="","",IFERROR(INDEX(Items!$D$5:$D$597,MATCH($F430,Items!$A$5:$A$597,0)),""))</f>
        <v>0.25</v>
      </c>
      <c r="L430" s="21">
        <f t="shared" si="72"/>
        <v>12.5</v>
      </c>
      <c r="M430" s="9" t="str">
        <f t="shared" si="73"/>
        <v>0125FPC24-0</v>
      </c>
      <c r="N430" s="24">
        <f>IF($A430="","",WORKDAY($A430,Settings!$C$9,HolidayDates))</f>
        <v>46153</v>
      </c>
      <c r="O430" s="24">
        <f>IF($N430="","",WORKDAY($N430,Settings!$C$10,HolidayDates))</f>
        <v>46191</v>
      </c>
      <c r="P430" s="10" t="s">
        <v>502</v>
      </c>
      <c r="Q430" s="52" t="str">
        <f t="shared" si="75"/>
        <v>Collected</v>
      </c>
      <c r="R430" s="55" t="str">
        <f t="shared" si="76"/>
        <v>2026-05</v>
      </c>
      <c r="S430" s="55">
        <f>IF(OR($B430="",$F430="",$R430=""),"",SUMIFS(tblIssues[Qty Issued],tblIssues[Staff ID],$B430,tblIssues[Item Name],$F430,tblIssues[Month],$R430))</f>
        <v>50</v>
      </c>
      <c r="T430" s="56">
        <f>IF($I430="","",$I430*Settings!$C$11)</f>
        <v>50</v>
      </c>
      <c r="U430" s="57" t="str">
        <f t="shared" si="74"/>
        <v>OK</v>
      </c>
      <c r="V430" s="55" t="str">
        <f t="shared" si="77"/>
        <v/>
      </c>
      <c r="W430" s="55" t="str">
        <f>IF($V430="","",IF(COUNTIF($V$5:$V430,$V430)=1,1,""))</f>
        <v/>
      </c>
      <c r="X430" s="58" t="str">
        <f>IF($W430="","",MAX($X$4:X429)+1)</f>
        <v/>
      </c>
      <c r="Y430" s="62"/>
      <c r="Z430" s="62"/>
      <c r="AA430" s="64" t="str">
        <f>IF($C430="","",IFERROR(INDEX('Staff Directory'!$E$5:$E$594,MATCH($C430,'Staff Directory'!$B$5:$B$594,0)),""))</f>
        <v>firstname006.lastname006@example.com</v>
      </c>
      <c r="AB430" s="64" t="str">
        <f>IF($C430="","",IF(ISNUMBER(SEARCH($D430,Settings!$C$15)),"Pickup","Dispatch"))</f>
        <v>Dispatch</v>
      </c>
      <c r="AC430" s="64" t="str">
        <f t="shared" si="78"/>
        <v>Supply order dispatched</v>
      </c>
      <c r="AD430" s="64" t="str">
        <f t="shared" si="69"/>
        <v>Dear RN,
Your order has been dispatched and is in transit. Reply if undelivered.</v>
      </c>
      <c r="AE430" s="64" t="str">
        <f t="shared" si="70"/>
        <v>mailto:firstname006.lastname006@example.com?subject=Supply%20order%20dispatched&amp;body=Dear%20RN%2C%0A%0AYour%20order%20has%20been%20dispatched%20and%20is%20in%20transit.%20Reply%20if%20undelivered.</v>
      </c>
      <c r="AF430" s="89" t="str">
        <f t="shared" si="79"/>
        <v>Draft email</v>
      </c>
      <c r="AG430" s="64" t="str">
        <f>IF($C430="","",IFERROR(INDEX('Staff Directory'!$K$595:$K$599,MATCH($C430,'Staff Directory'!$B$5:$B$599,0)),$D430))</f>
        <v>RN</v>
      </c>
      <c r="AH430" t="str">
        <f>IF($C430="","",IFERROR(INDEX('Staff Directory'!$I$595:$I$599,MATCH($C430,'Staff Directory'!$B$5:$B$599,0))&amp;" "&amp;INDEX('Staff Directory'!$J$595:$J$599,MATCH($C430,'Staff Directory'!$B$5:$B$599,0)),$AG430))</f>
        <v>RN</v>
      </c>
      <c r="AI430" s="102"/>
      <c r="AJ430" s="101">
        <f>IF($F430="","",SUMIFS($J$5:$J430,$F$5:$F430,$F430))</f>
        <v>3400</v>
      </c>
      <c r="AK430" s="101">
        <f t="shared" si="71"/>
        <v>3351</v>
      </c>
      <c r="AL430" s="66" t="str" cm="1">
        <f t="array" ref="AL430">IF($F430="","",IFERROR(INDEX('Lot Balance'!$B$5:$B$500,MATCH(1,INDEX(('Lot Balance'!$A$5:$A$500=$F430)*('Lot Balance'!$K$5:$K$500&lt;$AK430)*('Lot Balance'!$K$5:$K$500+'Lot Balance'!$D$5:$D$500&gt;=$AK430),0),0)),""))</f>
        <v>0125FPC24-0</v>
      </c>
      <c r="AM430" s="66" t="str" cm="1">
        <f t="array" ref="AM430">IF($F430="","",IFERROR(INDEX('Lot Balance'!$B$5:$B$500,MATCH(1,INDEX(('Lot Balance'!$A$5:$A$500=$F430)*('Lot Balance'!$K$5:$K$500&lt;$AJ430)*('Lot Balance'!$K$5:$K$500+'Lot Balance'!$D$5:$D$500&gt;=$AJ430),0),0)),""))</f>
        <v>0125FPC24-0</v>
      </c>
      <c r="AN430" s="66" t="str">
        <f>IF($F430="","",IF($AI430&lt;&gt;"",IF(COUNTIFS('Lot Balance'!$A$5:$A$500,$F430,'Lot Balance'!$B$5:$B$500,$AI430)=0,"⚠ override is not a lot of this item",IF($AI430=$AL430,"Override = FEFO","Override - FEFO says "&amp;$AL430)),IF($AL430="","⚠ no receipt on file for this item",IF($AM430&lt;&gt;$AL430,"FEFO auto - split, also "&amp;$AM430,"FEFO auto"))))</f>
        <v>FEFO auto</v>
      </c>
      <c r="AO430" s="114"/>
    </row>
    <row r="431" spans="1:41" x14ac:dyDescent="0.35">
      <c r="A431" s="74">
        <v>46143</v>
      </c>
      <c r="B431" s="18" t="str">
        <f>IF($C431="","",IFERROR(INDEX('Staff Directory'!$A$5:$A$594,MATCH($C431,'Staff Directory'!$B$5:$B$594,0)),"⚠ unknown staff"))</f>
        <v>RN-006-A1</v>
      </c>
      <c r="C431" s="49" t="s">
        <v>922</v>
      </c>
      <c r="D431" s="19" t="str">
        <f>IF($B431="","",IFERROR(INDEX('Staff Directory'!$C$5:$C$594,MATCH($B431,'Staff Directory'!$A$5:$A$594,0)),""))</f>
        <v>RN</v>
      </c>
      <c r="E431" s="19" t="str">
        <f>IF($B431="","",IFERROR(INDEX('Staff Directory'!$D$5:$D$594,MATCH($B431,'Staff Directory'!$A$5:$A$594,0)),""))</f>
        <v>A1</v>
      </c>
      <c r="F431" s="9" t="s">
        <v>1227</v>
      </c>
      <c r="G431" s="18" t="str">
        <f>IF($F431="","",IFERROR(INDEX(Items!$B$5:$B$597,MATCH($F431,Items!$A$5:$A$597,0)),"⚠ not in Items"))</f>
        <v>SO A1 Charts</v>
      </c>
      <c r="H431" s="19" t="str">
        <f>IF($F431="","",IFERROR(INDEX(Items!$C$5:$C$597,MATCH($F431,Items!$A$5:$A$597,0)),""))</f>
        <v>Standard</v>
      </c>
      <c r="I431" s="23">
        <f>IF($F431="","",IFERROR(INDEX(Items!$E$5:$E$597,MATCH($F431,Items!$A$5:$A$597,0)),""))</f>
        <v>20</v>
      </c>
      <c r="J431" s="115">
        <f>IF(tblIssues[[#This Row],[Qty Override]]&lt;&gt;"",tblIssues[[#This Row],[Qty Override]],IF(tblIssues[[#This Row],[Standard Issue]]="","",tblIssues[[#This Row],[Standard Issue]]))</f>
        <v>20</v>
      </c>
      <c r="K431" s="20">
        <f>IF($F431="","",IFERROR(INDEX(Items!$D$5:$D$597,MATCH($F431,Items!$A$5:$A$597,0)),""))</f>
        <v>0</v>
      </c>
      <c r="L431" s="21">
        <f t="shared" si="72"/>
        <v>0</v>
      </c>
      <c r="M431" s="9" t="str">
        <f t="shared" si="73"/>
        <v/>
      </c>
      <c r="N431" s="24">
        <f>IF($A431="","",WORKDAY($A431,Settings!$C$9,HolidayDates))</f>
        <v>46153</v>
      </c>
      <c r="O431" s="24">
        <f>IF($N431="","",WORKDAY($N431,Settings!$C$10,HolidayDates))</f>
        <v>46191</v>
      </c>
      <c r="P431" s="10" t="s">
        <v>502</v>
      </c>
      <c r="Q431" s="52" t="str">
        <f t="shared" si="75"/>
        <v>Collected</v>
      </c>
      <c r="R431" s="55" t="str">
        <f t="shared" si="76"/>
        <v>2026-05</v>
      </c>
      <c r="S431" s="55">
        <f>IF(OR($B431="",$F431="",$R431=""),"",SUMIFS(tblIssues[Qty Issued],tblIssues[Staff ID],$B431,tblIssues[Item Name],$F431,tblIssues[Month],$R431))</f>
        <v>20</v>
      </c>
      <c r="T431" s="56">
        <f>IF($I431="","",$I431*Settings!$C$11)</f>
        <v>20</v>
      </c>
      <c r="U431" s="57" t="str">
        <f t="shared" si="74"/>
        <v>OK</v>
      </c>
      <c r="V431" s="55" t="str">
        <f t="shared" si="77"/>
        <v/>
      </c>
      <c r="W431" s="55" t="str">
        <f>IF($V431="","",IF(COUNTIF($V$5:$V431,$V431)=1,1,""))</f>
        <v/>
      </c>
      <c r="X431" s="58" t="str">
        <f>IF($W431="","",MAX($X$4:X430)+1)</f>
        <v/>
      </c>
      <c r="Y431" s="62"/>
      <c r="Z431" s="62"/>
      <c r="AA431" s="64" t="str">
        <f>IF($C431="","",IFERROR(INDEX('Staff Directory'!$E$5:$E$594,MATCH($C431,'Staff Directory'!$B$5:$B$594,0)),""))</f>
        <v>firstname006.lastname006@example.com</v>
      </c>
      <c r="AB431" s="64" t="str">
        <f>IF($C431="","",IF(ISNUMBER(SEARCH($D431,Settings!$C$15)),"Pickup","Dispatch"))</f>
        <v>Dispatch</v>
      </c>
      <c r="AC431" s="64" t="str">
        <f t="shared" si="78"/>
        <v>Supply order dispatched</v>
      </c>
      <c r="AD431" s="64" t="str">
        <f t="shared" si="69"/>
        <v>Dear RN,
Your order has been dispatched and is in transit. Reply if undelivered.</v>
      </c>
      <c r="AE431" s="64" t="str">
        <f t="shared" si="70"/>
        <v>mailto:firstname006.lastname006@example.com?subject=Supply%20order%20dispatched&amp;body=Dear%20RN%2C%0A%0AYour%20order%20has%20been%20dispatched%20and%20is%20in%20transit.%20Reply%20if%20undelivered.</v>
      </c>
      <c r="AF431" s="89" t="str">
        <f t="shared" si="79"/>
        <v>Draft email</v>
      </c>
      <c r="AG431" s="64" t="str">
        <f>IF($C431="","",IFERROR(INDEX('Staff Directory'!$K$595:$K$599,MATCH($C431,'Staff Directory'!$B$5:$B$599,0)),$D431))</f>
        <v>RN</v>
      </c>
      <c r="AH431" t="str">
        <f>IF($C431="","",IFERROR(INDEX('Staff Directory'!$I$595:$I$599,MATCH($C431,'Staff Directory'!$B$5:$B$599,0))&amp;" "&amp;INDEX('Staff Directory'!$J$595:$J$599,MATCH($C431,'Staff Directory'!$B$5:$B$599,0)),$AG431))</f>
        <v>RN</v>
      </c>
      <c r="AI431" s="102"/>
      <c r="AJ431" s="101">
        <f>IF($F431="","",SUMIFS($J$5:$J431,$F$5:$F431,$F431))</f>
        <v>140</v>
      </c>
      <c r="AK431" s="101">
        <f t="shared" si="71"/>
        <v>121</v>
      </c>
      <c r="AL431" s="66" t="str" cm="1">
        <f t="array" ref="AL431">IF($F431="","",IFERROR(INDEX('Lot Balance'!$B$5:$B$500,MATCH(1,INDEX(('Lot Balance'!$A$5:$A$500=$F431)*('Lot Balance'!$K$5:$K$500&lt;$AK431)*('Lot Balance'!$K$5:$K$500+'Lot Balance'!$D$5:$D$500&gt;=$AK431),0),0)),""))</f>
        <v/>
      </c>
      <c r="AM431" s="66" t="str" cm="1">
        <f t="array" ref="AM431">IF($F431="","",IFERROR(INDEX('Lot Balance'!$B$5:$B$500,MATCH(1,INDEX(('Lot Balance'!$A$5:$A$500=$F431)*('Lot Balance'!$K$5:$K$500&lt;$AJ431)*('Lot Balance'!$K$5:$K$500+'Lot Balance'!$D$5:$D$500&gt;=$AJ431),0),0)),""))</f>
        <v/>
      </c>
      <c r="AN431" s="66" t="str">
        <f>IF($F431="","",IF($AI431&lt;&gt;"",IF(COUNTIFS('Lot Balance'!$A$5:$A$500,$F431,'Lot Balance'!$B$5:$B$500,$AI431)=0,"⚠ override is not a lot of this item",IF($AI431=$AL431,"Override = FEFO","Override - FEFO says "&amp;$AL431)),IF($AL431="","⚠ no receipt on file for this item",IF($AM431&lt;&gt;$AL431,"FEFO auto - split, also "&amp;$AM431,"FEFO auto"))))</f>
        <v>⚠ no receipt on file for this item</v>
      </c>
      <c r="AO431" s="114"/>
    </row>
    <row r="432" spans="1:41" x14ac:dyDescent="0.35">
      <c r="A432" s="74">
        <v>46143</v>
      </c>
      <c r="B432" s="18" t="str">
        <f>IF($C432="","",IFERROR(INDEX('Staff Directory'!$A$5:$A$594,MATCH($C432,'Staff Directory'!$B$5:$B$594,0)),"⚠ unknown staff"))</f>
        <v>PSW-162-A6</v>
      </c>
      <c r="C432" s="49" t="s">
        <v>1141</v>
      </c>
      <c r="D432" s="19" t="str">
        <f>IF($B432="","",IFERROR(INDEX('Staff Directory'!$C$5:$C$594,MATCH($B432,'Staff Directory'!$A$5:$A$594,0)),""))</f>
        <v>PSW</v>
      </c>
      <c r="E432" s="19" t="str">
        <f>IF($B432="","",IFERROR(INDEX('Staff Directory'!$D$5:$D$594,MATCH($B432,'Staff Directory'!$A$5:$A$594,0)),""))</f>
        <v>A6</v>
      </c>
      <c r="F432" s="9" t="s">
        <v>129</v>
      </c>
      <c r="G432" s="18" t="str">
        <f>IF($F432="","",IFERROR(INDEX(Items!$B$5:$B$597,MATCH($F432,Items!$A$5:$A$597,0)),"⚠ not in Items"))</f>
        <v>Gloves</v>
      </c>
      <c r="H432" s="19" t="str">
        <f>IF($F432="","",IFERROR(INDEX(Items!$C$5:$C$597,MATCH($F432,Items!$A$5:$A$597,0)),""))</f>
        <v>Small</v>
      </c>
      <c r="I432" s="23">
        <f>IF($F432="","",IFERROR(INDEX(Items!$E$5:$E$597,MATCH($F432,Items!$A$5:$A$597,0)),""))</f>
        <v>500</v>
      </c>
      <c r="J432" s="115">
        <f>IF(tblIssues[[#This Row],[Qty Override]]&lt;&gt;"",tblIssues[[#This Row],[Qty Override]],IF(tblIssues[[#This Row],[Standard Issue]]="","",tblIssues[[#This Row],[Standard Issue]]))</f>
        <v>500</v>
      </c>
      <c r="K432" s="20">
        <f>IF($F432="","",IFERROR(INDEX(Items!$D$5:$D$597,MATCH($F432,Items!$A$5:$A$597,0)),""))</f>
        <v>5.5E-2</v>
      </c>
      <c r="L432" s="21">
        <f t="shared" si="72"/>
        <v>27.5</v>
      </c>
      <c r="M432" s="9" t="str">
        <f t="shared" si="73"/>
        <v>ZIM504124207-5</v>
      </c>
      <c r="N432" s="24">
        <f>IF($A432="","",WORKDAY($A432,Settings!$C$9,HolidayDates))</f>
        <v>46153</v>
      </c>
      <c r="O432" s="24">
        <f>IF($N432="","",WORKDAY($N432,Settings!$C$10,HolidayDates))</f>
        <v>46191</v>
      </c>
      <c r="P432" s="10" t="s">
        <v>501</v>
      </c>
      <c r="Q432" s="52" t="str">
        <f t="shared" si="75"/>
        <v>Collected</v>
      </c>
      <c r="R432" s="55" t="str">
        <f t="shared" si="76"/>
        <v>2026-05</v>
      </c>
      <c r="S432" s="55">
        <f>IF(OR($B432="",$F432="",$R432=""),"",SUMIFS(tblIssues[Qty Issued],tblIssues[Staff ID],$B432,tblIssues[Item Name],$F432,tblIssues[Month],$R432))</f>
        <v>500</v>
      </c>
      <c r="T432" s="56">
        <f>IF($I432="","",$I432*Settings!$C$11)</f>
        <v>500</v>
      </c>
      <c r="U432" s="57" t="str">
        <f t="shared" si="74"/>
        <v>OK</v>
      </c>
      <c r="V432" s="55" t="str">
        <f t="shared" si="77"/>
        <v/>
      </c>
      <c r="W432" s="55" t="str">
        <f>IF($V432="","",IF(COUNTIF($V$5:$V432,$V432)=1,1,""))</f>
        <v/>
      </c>
      <c r="X432" s="58" t="str">
        <f>IF($W432="","",MAX($X$4:X431)+1)</f>
        <v/>
      </c>
      <c r="Y432" s="62"/>
      <c r="Z432" s="62"/>
      <c r="AA432" s="64" t="str">
        <f>IF($C432="","",IFERROR(INDEX('Staff Directory'!$E$5:$E$594,MATCH($C432,'Staff Directory'!$B$5:$B$594,0)),""))</f>
        <v>firstname225.lastname225@example.com</v>
      </c>
      <c r="AB432" s="64" t="str">
        <f>IF($C432="","",IF(ISNUMBER(SEARCH($D432,Settings!$C$15)),"Pickup","Dispatch"))</f>
        <v>Pickup</v>
      </c>
      <c r="AC432" s="64" t="str">
        <f t="shared" si="78"/>
        <v>Supply order ready for pickup</v>
      </c>
      <c r="AD432" s="64" t="str">
        <f t="shared" si="69"/>
        <v>Dear PSW,
Your order is ready for pickup from Sample Branch, Wed-Fri 9am-4pm.</v>
      </c>
      <c r="AE432" s="64" t="str">
        <f t="shared" si="70"/>
        <v>mailto:firstname225.lastname225@example.com?subject=Supply%20order%20ready%20for%20pickup&amp;body=Dear%20PSW%2C%0A%0AYour%20order%20is%20ready%20for%20pickup%20from%20Sample%20Branch%2C%20Wed-Fri%209am-4pm.</v>
      </c>
      <c r="AF432" s="89" t="str">
        <f t="shared" si="79"/>
        <v>Draft email</v>
      </c>
      <c r="AG432" s="64" t="str">
        <f>IF($C432="","",IFERROR(INDEX('Staff Directory'!$K$595:$K$599,MATCH($C432,'Staff Directory'!$B$5:$B$599,0)),$D432))</f>
        <v>PSW</v>
      </c>
      <c r="AH432" t="str">
        <f>IF($C432="","",IFERROR(INDEX('Staff Directory'!$I$595:$I$599,MATCH($C432,'Staff Directory'!$B$5:$B$599,0))&amp;" "&amp;INDEX('Staff Directory'!$J$595:$J$599,MATCH($C432,'Staff Directory'!$B$5:$B$599,0)),$AG432))</f>
        <v>PSW</v>
      </c>
      <c r="AI432" s="102"/>
      <c r="AJ432" s="101">
        <f>IF($F432="","",SUMIFS($J$5:$J432,$F$5:$F432,$F432))</f>
        <v>14500</v>
      </c>
      <c r="AK432" s="101">
        <f t="shared" si="71"/>
        <v>14001</v>
      </c>
      <c r="AL432" s="66" t="str" cm="1">
        <f t="array" ref="AL432">IF($F432="","",IFERROR(INDEX('Lot Balance'!$B$5:$B$500,MATCH(1,INDEX(('Lot Balance'!$A$5:$A$500=$F432)*('Lot Balance'!$K$5:$K$500&lt;$AK432)*('Lot Balance'!$K$5:$K$500+'Lot Balance'!$D$5:$D$500&gt;=$AK432),0),0)),""))</f>
        <v>ZIM504124207-5</v>
      </c>
      <c r="AM432" s="66" t="str" cm="1">
        <f t="array" ref="AM432">IF($F432="","",IFERROR(INDEX('Lot Balance'!$B$5:$B$500,MATCH(1,INDEX(('Lot Balance'!$A$5:$A$500=$F432)*('Lot Balance'!$K$5:$K$500&lt;$AJ432)*('Lot Balance'!$K$5:$K$500+'Lot Balance'!$D$5:$D$500&gt;=$AJ432),0),0)),""))</f>
        <v>ZIM504124207-5</v>
      </c>
      <c r="AN432" s="66" t="str">
        <f>IF($F432="","",IF($AI432&lt;&gt;"",IF(COUNTIFS('Lot Balance'!$A$5:$A$500,$F432,'Lot Balance'!$B$5:$B$500,$AI432)=0,"⚠ override is not a lot of this item",IF($AI432=$AL432,"Override = FEFO","Override - FEFO says "&amp;$AL432)),IF($AL432="","⚠ no receipt on file for this item",IF($AM432&lt;&gt;$AL432,"FEFO auto - split, also "&amp;$AM432,"FEFO auto"))))</f>
        <v>FEFO auto</v>
      </c>
      <c r="AO432" s="114"/>
    </row>
    <row r="433" spans="1:41" x14ac:dyDescent="0.35">
      <c r="A433" s="74">
        <v>46143</v>
      </c>
      <c r="B433" s="18" t="str">
        <f>IF($C433="","",IFERROR(INDEX('Staff Directory'!$A$5:$A$594,MATCH($C433,'Staff Directory'!$B$5:$B$594,0)),"⚠ unknown staff"))</f>
        <v>PSW-162-A6</v>
      </c>
      <c r="C433" s="49" t="s">
        <v>1141</v>
      </c>
      <c r="D433" s="19" t="str">
        <f>IF($B433="","",IFERROR(INDEX('Staff Directory'!$C$5:$C$594,MATCH($B433,'Staff Directory'!$A$5:$A$594,0)),""))</f>
        <v>PSW</v>
      </c>
      <c r="E433" s="19" t="str">
        <f>IF($B433="","",IFERROR(INDEX('Staff Directory'!$D$5:$D$594,MATCH($B433,'Staff Directory'!$A$5:$A$594,0)),""))</f>
        <v>A6</v>
      </c>
      <c r="F433" s="9" t="s">
        <v>115</v>
      </c>
      <c r="G433" s="18" t="str">
        <f>IF($F433="","",IFERROR(INDEX(Items!$B$5:$B$597,MATCH($F433,Items!$A$5:$A$597,0)),"⚠ not in Items"))</f>
        <v>Wipes</v>
      </c>
      <c r="H433" s="19">
        <f>IF($F433="","",IFERROR(INDEX(Items!$C$5:$C$597,MATCH($F433,Items!$A$5:$A$597,0)),""))</f>
        <v>80</v>
      </c>
      <c r="I433" s="23">
        <f>IF($F433="","",IFERROR(INDEX(Items!$E$5:$E$597,MATCH($F433,Items!$A$5:$A$597,0)),""))</f>
        <v>80</v>
      </c>
      <c r="J433" s="115">
        <f>IF(tblIssues[[#This Row],[Qty Override]]&lt;&gt;"",tblIssues[[#This Row],[Qty Override]],IF(tblIssues[[#This Row],[Standard Issue]]="","",tblIssues[[#This Row],[Standard Issue]]))</f>
        <v>80</v>
      </c>
      <c r="K433" s="20">
        <f>IF($F433="","",IFERROR(INDEX(Items!$D$5:$D$597,MATCH($F433,Items!$A$5:$A$597,0)),""))</f>
        <v>0.1</v>
      </c>
      <c r="L433" s="21">
        <f t="shared" si="72"/>
        <v>8</v>
      </c>
      <c r="M433" s="9" t="str">
        <f t="shared" si="73"/>
        <v>LYSL500290</v>
      </c>
      <c r="N433" s="24">
        <f>IF($A433="","",WORKDAY($A433,Settings!$C$9,HolidayDates))</f>
        <v>46153</v>
      </c>
      <c r="O433" s="24">
        <f>IF($N433="","",WORKDAY($N433,Settings!$C$10,HolidayDates))</f>
        <v>46191</v>
      </c>
      <c r="P433" s="10" t="s">
        <v>501</v>
      </c>
      <c r="Q433" s="52" t="str">
        <f t="shared" si="75"/>
        <v>Collected</v>
      </c>
      <c r="R433" s="55" t="str">
        <f t="shared" si="76"/>
        <v>2026-05</v>
      </c>
      <c r="S433" s="55">
        <f>IF(OR($B433="",$F433="",$R433=""),"",SUMIFS(tblIssues[Qty Issued],tblIssues[Staff ID],$B433,tblIssues[Item Name],$F433,tblIssues[Month],$R433))</f>
        <v>80</v>
      </c>
      <c r="T433" s="56">
        <f>IF($I433="","",$I433*Settings!$C$11)</f>
        <v>80</v>
      </c>
      <c r="U433" s="57" t="str">
        <f t="shared" si="74"/>
        <v>OK</v>
      </c>
      <c r="V433" s="55" t="str">
        <f t="shared" si="77"/>
        <v/>
      </c>
      <c r="W433" s="55" t="str">
        <f>IF($V433="","",IF(COUNTIF($V$5:$V433,$V433)=1,1,""))</f>
        <v/>
      </c>
      <c r="X433" s="58" t="str">
        <f>IF($W433="","",MAX($X$4:X432)+1)</f>
        <v/>
      </c>
      <c r="Y433" s="62"/>
      <c r="Z433" s="62"/>
      <c r="AA433" s="64" t="str">
        <f>IF($C433="","",IFERROR(INDEX('Staff Directory'!$E$5:$E$594,MATCH($C433,'Staff Directory'!$B$5:$B$594,0)),""))</f>
        <v>firstname225.lastname225@example.com</v>
      </c>
      <c r="AB433" s="64" t="str">
        <f>IF($C433="","",IF(ISNUMBER(SEARCH($D433,Settings!$C$15)),"Pickup","Dispatch"))</f>
        <v>Pickup</v>
      </c>
      <c r="AC433" s="64" t="str">
        <f t="shared" si="78"/>
        <v>Supply order ready for pickup</v>
      </c>
      <c r="AD433" s="64" t="str">
        <f t="shared" si="69"/>
        <v>Dear PSW,
Your order is ready for pickup from Sample Branch, Wed-Fri 9am-4pm.</v>
      </c>
      <c r="AE433" s="64" t="str">
        <f t="shared" si="70"/>
        <v>mailto:firstname225.lastname225@example.com?subject=Supply%20order%20ready%20for%20pickup&amp;body=Dear%20PSW%2C%0A%0AYour%20order%20is%20ready%20for%20pickup%20from%20Sample%20Branch%2C%20Wed-Fri%209am-4pm.</v>
      </c>
      <c r="AF433" s="89" t="str">
        <f t="shared" si="79"/>
        <v>Draft email</v>
      </c>
      <c r="AG433" s="64" t="str">
        <f>IF($C433="","",IFERROR(INDEX('Staff Directory'!$K$595:$K$599,MATCH($C433,'Staff Directory'!$B$5:$B$599,0)),$D433))</f>
        <v>PSW</v>
      </c>
      <c r="AH433" t="str">
        <f>IF($C433="","",IFERROR(INDEX('Staff Directory'!$I$595:$I$599,MATCH($C433,'Staff Directory'!$B$5:$B$599,0))&amp;" "&amp;INDEX('Staff Directory'!$J$595:$J$599,MATCH($C433,'Staff Directory'!$B$5:$B$599,0)),$AG433))</f>
        <v>PSW</v>
      </c>
      <c r="AI433" s="102"/>
      <c r="AJ433" s="101">
        <f>IF($F433="","",SUMIFS($J$5:$J433,$F$5:$F433,$F433))</f>
        <v>5920</v>
      </c>
      <c r="AK433" s="101">
        <f t="shared" si="71"/>
        <v>5841</v>
      </c>
      <c r="AL433" s="66" t="str" cm="1">
        <f t="array" ref="AL433">IF($F433="","",IFERROR(INDEX('Lot Balance'!$B$5:$B$500,MATCH(1,INDEX(('Lot Balance'!$A$5:$A$500=$F433)*('Lot Balance'!$K$5:$K$500&lt;$AK433)*('Lot Balance'!$K$5:$K$500+'Lot Balance'!$D$5:$D$500&gt;=$AK433),0),0)),""))</f>
        <v>LYSL500290</v>
      </c>
      <c r="AM433" s="66" t="str" cm="1">
        <f t="array" ref="AM433">IF($F433="","",IFERROR(INDEX('Lot Balance'!$B$5:$B$500,MATCH(1,INDEX(('Lot Balance'!$A$5:$A$500=$F433)*('Lot Balance'!$K$5:$K$500&lt;$AJ433)*('Lot Balance'!$K$5:$K$500+'Lot Balance'!$D$5:$D$500&gt;=$AJ433),0),0)),""))</f>
        <v>LYSL500290</v>
      </c>
      <c r="AN433" s="66" t="str">
        <f>IF($F433="","",IF($AI433&lt;&gt;"",IF(COUNTIFS('Lot Balance'!$A$5:$A$500,$F433,'Lot Balance'!$B$5:$B$500,$AI433)=0,"⚠ override is not a lot of this item",IF($AI433=$AL433,"Override = FEFO","Override - FEFO says "&amp;$AL433)),IF($AL433="","⚠ no receipt on file for this item",IF($AM433&lt;&gt;$AL433,"FEFO auto - split, also "&amp;$AM433,"FEFO auto"))))</f>
        <v>FEFO auto</v>
      </c>
      <c r="AO433" s="114"/>
    </row>
    <row r="434" spans="1:41" x14ac:dyDescent="0.35">
      <c r="A434" s="74">
        <v>46143</v>
      </c>
      <c r="B434" s="18" t="str">
        <f>IF($C434="","",IFERROR(INDEX('Staff Directory'!$A$5:$A$594,MATCH($C434,'Staff Directory'!$B$5:$B$594,0)),"⚠ unknown staff"))</f>
        <v>PSW-162-A6</v>
      </c>
      <c r="C434" s="49" t="s">
        <v>1141</v>
      </c>
      <c r="D434" s="19" t="str">
        <f>IF($B434="","",IFERROR(INDEX('Staff Directory'!$C$5:$C$594,MATCH($B434,'Staff Directory'!$A$5:$A$594,0)),""))</f>
        <v>PSW</v>
      </c>
      <c r="E434" s="19" t="str">
        <f>IF($B434="","",IFERROR(INDEX('Staff Directory'!$D$5:$D$594,MATCH($B434,'Staff Directory'!$A$5:$A$594,0)),""))</f>
        <v>A6</v>
      </c>
      <c r="F434" s="9" t="s">
        <v>156</v>
      </c>
      <c r="G434" s="18" t="str">
        <f>IF($F434="","",IFERROR(INDEX(Items!$B$5:$B$597,MATCH($F434,Items!$A$5:$A$597,0)),"⚠ not in Items"))</f>
        <v>Masks</v>
      </c>
      <c r="H434" s="19" t="str">
        <f>IF($F434="","",IFERROR(INDEX(Items!$C$5:$C$597,MATCH($F434,Items!$A$5:$A$597,0)),""))</f>
        <v>One Size</v>
      </c>
      <c r="I434" s="23">
        <f>IF($F434="","",IFERROR(INDEX(Items!$E$5:$E$597,MATCH($F434,Items!$A$5:$A$597,0)),""))</f>
        <v>50</v>
      </c>
      <c r="J434" s="115">
        <f>IF(tblIssues[[#This Row],[Qty Override]]&lt;&gt;"",tblIssues[[#This Row],[Qty Override]],IF(tblIssues[[#This Row],[Standard Issue]]="","",tblIssues[[#This Row],[Standard Issue]]))</f>
        <v>50</v>
      </c>
      <c r="K434" s="20">
        <f>IF($F434="","",IFERROR(INDEX(Items!$D$5:$D$597,MATCH($F434,Items!$A$5:$A$597,0)),""))</f>
        <v>0.25</v>
      </c>
      <c r="L434" s="21">
        <f t="shared" si="72"/>
        <v>12.5</v>
      </c>
      <c r="M434" s="9" t="str">
        <f t="shared" si="73"/>
        <v>0125FPC24-0</v>
      </c>
      <c r="N434" s="24">
        <f>IF($A434="","",WORKDAY($A434,Settings!$C$9,HolidayDates))</f>
        <v>46153</v>
      </c>
      <c r="O434" s="24">
        <f>IF($N434="","",WORKDAY($N434,Settings!$C$10,HolidayDates))</f>
        <v>46191</v>
      </c>
      <c r="P434" s="10" t="s">
        <v>501</v>
      </c>
      <c r="Q434" s="52" t="str">
        <f t="shared" si="75"/>
        <v>Collected</v>
      </c>
      <c r="R434" s="55" t="str">
        <f t="shared" si="76"/>
        <v>2026-05</v>
      </c>
      <c r="S434" s="55">
        <f>IF(OR($B434="",$F434="",$R434=""),"",SUMIFS(tblIssues[Qty Issued],tblIssues[Staff ID],$B434,tblIssues[Item Name],$F434,tblIssues[Month],$R434))</f>
        <v>50</v>
      </c>
      <c r="T434" s="56">
        <f>IF($I434="","",$I434*Settings!$C$11)</f>
        <v>50</v>
      </c>
      <c r="U434" s="57" t="str">
        <f t="shared" si="74"/>
        <v>OK</v>
      </c>
      <c r="V434" s="55" t="str">
        <f t="shared" si="77"/>
        <v/>
      </c>
      <c r="W434" s="55" t="str">
        <f>IF($V434="","",IF(COUNTIF($V$5:$V434,$V434)=1,1,""))</f>
        <v/>
      </c>
      <c r="X434" s="58" t="str">
        <f>IF($W434="","",MAX($X$4:X433)+1)</f>
        <v/>
      </c>
      <c r="Y434" s="62"/>
      <c r="Z434" s="62"/>
      <c r="AA434" s="64" t="str">
        <f>IF($C434="","",IFERROR(INDEX('Staff Directory'!$E$5:$E$594,MATCH($C434,'Staff Directory'!$B$5:$B$594,0)),""))</f>
        <v>firstname225.lastname225@example.com</v>
      </c>
      <c r="AB434" s="64" t="str">
        <f>IF($C434="","",IF(ISNUMBER(SEARCH($D434,Settings!$C$15)),"Pickup","Dispatch"))</f>
        <v>Pickup</v>
      </c>
      <c r="AC434" s="64" t="str">
        <f t="shared" si="78"/>
        <v>Supply order ready for pickup</v>
      </c>
      <c r="AD434" s="64" t="str">
        <f t="shared" si="69"/>
        <v>Dear PSW,
Your order is ready for pickup from Sample Branch, Wed-Fri 9am-4pm.</v>
      </c>
      <c r="AE434" s="64" t="str">
        <f t="shared" si="70"/>
        <v>mailto:firstname225.lastname225@example.com?subject=Supply%20order%20ready%20for%20pickup&amp;body=Dear%20PSW%2C%0A%0AYour%20order%20is%20ready%20for%20pickup%20from%20Sample%20Branch%2C%20Wed-Fri%209am-4pm.</v>
      </c>
      <c r="AF434" s="89" t="str">
        <f t="shared" si="79"/>
        <v>Draft email</v>
      </c>
      <c r="AG434" s="64" t="str">
        <f>IF($C434="","",IFERROR(INDEX('Staff Directory'!$K$595:$K$599,MATCH($C434,'Staff Directory'!$B$5:$B$599,0)),$D434))</f>
        <v>PSW</v>
      </c>
      <c r="AH434" t="str">
        <f>IF($C434="","",IFERROR(INDEX('Staff Directory'!$I$595:$I$599,MATCH($C434,'Staff Directory'!$B$5:$B$599,0))&amp;" "&amp;INDEX('Staff Directory'!$J$595:$J$599,MATCH($C434,'Staff Directory'!$B$5:$B$599,0)),$AG434))</f>
        <v>PSW</v>
      </c>
      <c r="AI434" s="102"/>
      <c r="AJ434" s="101">
        <f>IF($F434="","",SUMIFS($J$5:$J434,$F$5:$F434,$F434))</f>
        <v>3450</v>
      </c>
      <c r="AK434" s="101">
        <f t="shared" si="71"/>
        <v>3401</v>
      </c>
      <c r="AL434" s="66" t="str" cm="1">
        <f t="array" ref="AL434">IF($F434="","",IFERROR(INDEX('Lot Balance'!$B$5:$B$500,MATCH(1,INDEX(('Lot Balance'!$A$5:$A$500=$F434)*('Lot Balance'!$K$5:$K$500&lt;$AK434)*('Lot Balance'!$K$5:$K$500+'Lot Balance'!$D$5:$D$500&gt;=$AK434),0),0)),""))</f>
        <v>0125FPC24-0</v>
      </c>
      <c r="AM434" s="66" t="str" cm="1">
        <f t="array" ref="AM434">IF($F434="","",IFERROR(INDEX('Lot Balance'!$B$5:$B$500,MATCH(1,INDEX(('Lot Balance'!$A$5:$A$500=$F434)*('Lot Balance'!$K$5:$K$500&lt;$AJ434)*('Lot Balance'!$K$5:$K$500+'Lot Balance'!$D$5:$D$500&gt;=$AJ434),0),0)),""))</f>
        <v>0125FPC24-0</v>
      </c>
      <c r="AN434" s="66" t="str">
        <f>IF($F434="","",IF($AI434&lt;&gt;"",IF(COUNTIFS('Lot Balance'!$A$5:$A$500,$F434,'Lot Balance'!$B$5:$B$500,$AI434)=0,"⚠ override is not a lot of this item",IF($AI434=$AL434,"Override = FEFO","Override - FEFO says "&amp;$AL434)),IF($AL434="","⚠ no receipt on file for this item",IF($AM434&lt;&gt;$AL434,"FEFO auto - split, also "&amp;$AM434,"FEFO auto"))))</f>
        <v>FEFO auto</v>
      </c>
      <c r="AO434" s="114"/>
    </row>
    <row r="435" spans="1:41" x14ac:dyDescent="0.35">
      <c r="A435" s="74">
        <v>46143</v>
      </c>
      <c r="B435" s="18" t="str">
        <f>IF($C435="","",IFERROR(INDEX('Staff Directory'!$A$5:$A$594,MATCH($C435,'Staff Directory'!$B$5:$B$594,0)),"⚠ unknown staff"))</f>
        <v>PSW-056-A6</v>
      </c>
      <c r="C435" s="49" t="s">
        <v>1032</v>
      </c>
      <c r="D435" s="19" t="str">
        <f>IF($B435="","",IFERROR(INDEX('Staff Directory'!$C$5:$C$594,MATCH($B435,'Staff Directory'!$A$5:$A$594,0)),""))</f>
        <v>PSW</v>
      </c>
      <c r="E435" s="19" t="str">
        <f>IF($B435="","",IFERROR(INDEX('Staff Directory'!$D$5:$D$594,MATCH($B435,'Staff Directory'!$A$5:$A$594,0)),""))</f>
        <v>A6</v>
      </c>
      <c r="F435" s="9" t="s">
        <v>129</v>
      </c>
      <c r="G435" s="18" t="str">
        <f>IF($F435="","",IFERROR(INDEX(Items!$B$5:$B$597,MATCH($F435,Items!$A$5:$A$597,0)),"⚠ not in Items"))</f>
        <v>Gloves</v>
      </c>
      <c r="H435" s="19" t="str">
        <f>IF($F435="","",IFERROR(INDEX(Items!$C$5:$C$597,MATCH($F435,Items!$A$5:$A$597,0)),""))</f>
        <v>Small</v>
      </c>
      <c r="I435" s="23">
        <f>IF($F435="","",IFERROR(INDEX(Items!$E$5:$E$597,MATCH($F435,Items!$A$5:$A$597,0)),""))</f>
        <v>500</v>
      </c>
      <c r="J435" s="115">
        <f>IF(tblIssues[[#This Row],[Qty Override]]&lt;&gt;"",tblIssues[[#This Row],[Qty Override]],IF(tblIssues[[#This Row],[Standard Issue]]="","",tblIssues[[#This Row],[Standard Issue]]))</f>
        <v>500</v>
      </c>
      <c r="K435" s="20">
        <f>IF($F435="","",IFERROR(INDEX(Items!$D$5:$D$597,MATCH($F435,Items!$A$5:$A$597,0)),""))</f>
        <v>5.5E-2</v>
      </c>
      <c r="L435" s="21">
        <f t="shared" si="72"/>
        <v>27.5</v>
      </c>
      <c r="M435" s="9" t="str">
        <f t="shared" si="73"/>
        <v>ZIM504124207-5</v>
      </c>
      <c r="N435" s="24">
        <f>IF($A435="","",WORKDAY($A435,Settings!$C$9,HolidayDates))</f>
        <v>46153</v>
      </c>
      <c r="O435" s="24">
        <f>IF($N435="","",WORKDAY($N435,Settings!$C$10,HolidayDates))</f>
        <v>46191</v>
      </c>
      <c r="P435" s="10" t="s">
        <v>501</v>
      </c>
      <c r="Q435" s="52" t="str">
        <f t="shared" si="75"/>
        <v>Collected</v>
      </c>
      <c r="R435" s="55" t="str">
        <f t="shared" si="76"/>
        <v>2026-05</v>
      </c>
      <c r="S435" s="55">
        <f>IF(OR($B435="",$F435="",$R435=""),"",SUMIFS(tblIssues[Qty Issued],tblIssues[Staff ID],$B435,tblIssues[Item Name],$F435,tblIssues[Month],$R435))</f>
        <v>500</v>
      </c>
      <c r="T435" s="56">
        <f>IF($I435="","",$I435*Settings!$C$11)</f>
        <v>500</v>
      </c>
      <c r="U435" s="57" t="str">
        <f t="shared" si="74"/>
        <v>OK</v>
      </c>
      <c r="V435" s="55" t="str">
        <f t="shared" si="77"/>
        <v/>
      </c>
      <c r="W435" s="55" t="str">
        <f>IF($V435="","",IF(COUNTIF($V$5:$V435,$V435)=1,1,""))</f>
        <v/>
      </c>
      <c r="X435" s="58" t="str">
        <f>IF($W435="","",MAX($X$4:X434)+1)</f>
        <v/>
      </c>
      <c r="Y435" s="62"/>
      <c r="Z435" s="62"/>
      <c r="AA435" s="64" t="str">
        <f>IF($C435="","",IFERROR(INDEX('Staff Directory'!$E$5:$E$594,MATCH($C435,'Staff Directory'!$B$5:$B$594,0)),""))</f>
        <v>firstname116.lastname116@example.com</v>
      </c>
      <c r="AB435" s="64" t="str">
        <f>IF($C435="","",IF(ISNUMBER(SEARCH($D435,Settings!$C$15)),"Pickup","Dispatch"))</f>
        <v>Pickup</v>
      </c>
      <c r="AC435" s="64" t="str">
        <f t="shared" si="78"/>
        <v>Supply order ready for pickup</v>
      </c>
      <c r="AD435" s="64" t="str">
        <f t="shared" si="69"/>
        <v>Dear PSW,
Your order is ready for pickup from Sample Branch, Wed-Fri 9am-4pm.</v>
      </c>
      <c r="AE435" s="64" t="str">
        <f t="shared" si="70"/>
        <v>mailto:firstname116.lastname116@example.com?subject=Supply%20order%20ready%20for%20pickup&amp;body=Dear%20PSW%2C%0A%0AYour%20order%20is%20ready%20for%20pickup%20from%20Sample%20Branch%2C%20Wed-Fri%209am-4pm.</v>
      </c>
      <c r="AF435" s="89" t="str">
        <f t="shared" si="79"/>
        <v>Draft email</v>
      </c>
      <c r="AG435" s="64" t="str">
        <f>IF($C435="","",IFERROR(INDEX('Staff Directory'!$K$595:$K$599,MATCH($C435,'Staff Directory'!$B$5:$B$599,0)),$D435))</f>
        <v>PSW</v>
      </c>
      <c r="AH435" t="str">
        <f>IF($C435="","",IFERROR(INDEX('Staff Directory'!$I$595:$I$599,MATCH($C435,'Staff Directory'!$B$5:$B$599,0))&amp;" "&amp;INDEX('Staff Directory'!$J$595:$J$599,MATCH($C435,'Staff Directory'!$B$5:$B$599,0)),$AG435))</f>
        <v>PSW</v>
      </c>
      <c r="AI435" s="102"/>
      <c r="AJ435" s="101">
        <f>IF($F435="","",SUMIFS($J$5:$J435,$F$5:$F435,$F435))</f>
        <v>15000</v>
      </c>
      <c r="AK435" s="101">
        <f t="shared" si="71"/>
        <v>14501</v>
      </c>
      <c r="AL435" s="66" t="str" cm="1">
        <f t="array" ref="AL435">IF($F435="","",IFERROR(INDEX('Lot Balance'!$B$5:$B$500,MATCH(1,INDEX(('Lot Balance'!$A$5:$A$500=$F435)*('Lot Balance'!$K$5:$K$500&lt;$AK435)*('Lot Balance'!$K$5:$K$500+'Lot Balance'!$D$5:$D$500&gt;=$AK435),0),0)),""))</f>
        <v>ZIM504124207-5</v>
      </c>
      <c r="AM435" s="66" t="str" cm="1">
        <f t="array" ref="AM435">IF($F435="","",IFERROR(INDEX('Lot Balance'!$B$5:$B$500,MATCH(1,INDEX(('Lot Balance'!$A$5:$A$500=$F435)*('Lot Balance'!$K$5:$K$500&lt;$AJ435)*('Lot Balance'!$K$5:$K$500+'Lot Balance'!$D$5:$D$500&gt;=$AJ435),0),0)),""))</f>
        <v>O210LIC25</v>
      </c>
      <c r="AN435" s="66" t="str">
        <f>IF($F435="","",IF($AI435&lt;&gt;"",IF(COUNTIFS('Lot Balance'!$A$5:$A$500,$F435,'Lot Balance'!$B$5:$B$500,$AI435)=0,"⚠ override is not a lot of this item",IF($AI435=$AL435,"Override = FEFO","Override - FEFO says "&amp;$AL435)),IF($AL435="","⚠ no receipt on file for this item",IF($AM435&lt;&gt;$AL435,"FEFO auto - split, also "&amp;$AM435,"FEFO auto"))))</f>
        <v>FEFO auto - split, also O210LIC25</v>
      </c>
      <c r="AO435" s="114"/>
    </row>
    <row r="436" spans="1:41" x14ac:dyDescent="0.35">
      <c r="A436" s="74">
        <v>46143</v>
      </c>
      <c r="B436" s="18" t="str">
        <f>IF($C436="","",IFERROR(INDEX('Staff Directory'!$A$5:$A$594,MATCH($C436,'Staff Directory'!$B$5:$B$594,0)),"⚠ unknown staff"))</f>
        <v>PSW-056-A6</v>
      </c>
      <c r="C436" s="49" t="s">
        <v>1032</v>
      </c>
      <c r="D436" s="19" t="str">
        <f>IF($B436="","",IFERROR(INDEX('Staff Directory'!$C$5:$C$594,MATCH($B436,'Staff Directory'!$A$5:$A$594,0)),""))</f>
        <v>PSW</v>
      </c>
      <c r="E436" s="19" t="str">
        <f>IF($B436="","",IFERROR(INDEX('Staff Directory'!$D$5:$D$594,MATCH($B436,'Staff Directory'!$A$5:$A$594,0)),""))</f>
        <v>A6</v>
      </c>
      <c r="F436" s="9" t="s">
        <v>115</v>
      </c>
      <c r="G436" s="18" t="str">
        <f>IF($F436="","",IFERROR(INDEX(Items!$B$5:$B$597,MATCH($F436,Items!$A$5:$A$597,0)),"⚠ not in Items"))</f>
        <v>Wipes</v>
      </c>
      <c r="H436" s="19">
        <f>IF($F436="","",IFERROR(INDEX(Items!$C$5:$C$597,MATCH($F436,Items!$A$5:$A$597,0)),""))</f>
        <v>80</v>
      </c>
      <c r="I436" s="23">
        <f>IF($F436="","",IFERROR(INDEX(Items!$E$5:$E$597,MATCH($F436,Items!$A$5:$A$597,0)),""))</f>
        <v>80</v>
      </c>
      <c r="J436" s="115">
        <f>IF(tblIssues[[#This Row],[Qty Override]]&lt;&gt;"",tblIssues[[#This Row],[Qty Override]],IF(tblIssues[[#This Row],[Standard Issue]]="","",tblIssues[[#This Row],[Standard Issue]]))</f>
        <v>80</v>
      </c>
      <c r="K436" s="20">
        <f>IF($F436="","",IFERROR(INDEX(Items!$D$5:$D$597,MATCH($F436,Items!$A$5:$A$597,0)),""))</f>
        <v>0.1</v>
      </c>
      <c r="L436" s="21">
        <f t="shared" si="72"/>
        <v>8</v>
      </c>
      <c r="M436" s="9" t="str">
        <f t="shared" si="73"/>
        <v>LYSL500290</v>
      </c>
      <c r="N436" s="24">
        <f>IF($A436="","",WORKDAY($A436,Settings!$C$9,HolidayDates))</f>
        <v>46153</v>
      </c>
      <c r="O436" s="24">
        <f>IF($N436="","",WORKDAY($N436,Settings!$C$10,HolidayDates))</f>
        <v>46191</v>
      </c>
      <c r="P436" s="10" t="s">
        <v>501</v>
      </c>
      <c r="Q436" s="52" t="str">
        <f t="shared" si="75"/>
        <v>Collected</v>
      </c>
      <c r="R436" s="55" t="str">
        <f t="shared" si="76"/>
        <v>2026-05</v>
      </c>
      <c r="S436" s="55">
        <f>IF(OR($B436="",$F436="",$R436=""),"",SUMIFS(tblIssues[Qty Issued],tblIssues[Staff ID],$B436,tblIssues[Item Name],$F436,tblIssues[Month],$R436))</f>
        <v>80</v>
      </c>
      <c r="T436" s="56">
        <f>IF($I436="","",$I436*Settings!$C$11)</f>
        <v>80</v>
      </c>
      <c r="U436" s="57" t="str">
        <f t="shared" si="74"/>
        <v>OK</v>
      </c>
      <c r="V436" s="55" t="str">
        <f t="shared" si="77"/>
        <v/>
      </c>
      <c r="W436" s="55" t="str">
        <f>IF($V436="","",IF(COUNTIF($V$5:$V436,$V436)=1,1,""))</f>
        <v/>
      </c>
      <c r="X436" s="58" t="str">
        <f>IF($W436="","",MAX($X$4:X435)+1)</f>
        <v/>
      </c>
      <c r="Y436" s="62"/>
      <c r="Z436" s="62"/>
      <c r="AA436" s="64" t="str">
        <f>IF($C436="","",IFERROR(INDEX('Staff Directory'!$E$5:$E$594,MATCH($C436,'Staff Directory'!$B$5:$B$594,0)),""))</f>
        <v>firstname116.lastname116@example.com</v>
      </c>
      <c r="AB436" s="64" t="str">
        <f>IF($C436="","",IF(ISNUMBER(SEARCH($D436,Settings!$C$15)),"Pickup","Dispatch"))</f>
        <v>Pickup</v>
      </c>
      <c r="AC436" s="64" t="str">
        <f t="shared" si="78"/>
        <v>Supply order ready for pickup</v>
      </c>
      <c r="AD436" s="64" t="str">
        <f t="shared" si="69"/>
        <v>Dear PSW,
Your order is ready for pickup from Sample Branch, Wed-Fri 9am-4pm.</v>
      </c>
      <c r="AE436" s="64" t="str">
        <f t="shared" si="70"/>
        <v>mailto:firstname116.lastname116@example.com?subject=Supply%20order%20ready%20for%20pickup&amp;body=Dear%20PSW%2C%0A%0AYour%20order%20is%20ready%20for%20pickup%20from%20Sample%20Branch%2C%20Wed-Fri%209am-4pm.</v>
      </c>
      <c r="AF436" s="89" t="str">
        <f t="shared" si="79"/>
        <v>Draft email</v>
      </c>
      <c r="AG436" s="64" t="str">
        <f>IF($C436="","",IFERROR(INDEX('Staff Directory'!$K$595:$K$599,MATCH($C436,'Staff Directory'!$B$5:$B$599,0)),$D436))</f>
        <v>PSW</v>
      </c>
      <c r="AH436" t="str">
        <f>IF($C436="","",IFERROR(INDEX('Staff Directory'!$I$595:$I$599,MATCH($C436,'Staff Directory'!$B$5:$B$599,0))&amp;" "&amp;INDEX('Staff Directory'!$J$595:$J$599,MATCH($C436,'Staff Directory'!$B$5:$B$599,0)),$AG436))</f>
        <v>PSW</v>
      </c>
      <c r="AI436" s="102"/>
      <c r="AJ436" s="101">
        <f>IF($F436="","",SUMIFS($J$5:$J436,$F$5:$F436,$F436))</f>
        <v>6000</v>
      </c>
      <c r="AK436" s="101">
        <f t="shared" si="71"/>
        <v>5921</v>
      </c>
      <c r="AL436" s="66" t="str" cm="1">
        <f t="array" ref="AL436">IF($F436="","",IFERROR(INDEX('Lot Balance'!$B$5:$B$500,MATCH(1,INDEX(('Lot Balance'!$A$5:$A$500=$F436)*('Lot Balance'!$K$5:$K$500&lt;$AK436)*('Lot Balance'!$K$5:$K$500+'Lot Balance'!$D$5:$D$500&gt;=$AK436),0),0)),""))</f>
        <v>LYSL500290</v>
      </c>
      <c r="AM436" s="66" t="str" cm="1">
        <f t="array" ref="AM436">IF($F436="","",IFERROR(INDEX('Lot Balance'!$B$5:$B$500,MATCH(1,INDEX(('Lot Balance'!$A$5:$A$500=$F436)*('Lot Balance'!$K$5:$K$500&lt;$AJ436)*('Lot Balance'!$K$5:$K$500+'Lot Balance'!$D$5:$D$500&gt;=$AJ436),0),0)),""))</f>
        <v>LYSL500290</v>
      </c>
      <c r="AN436" s="66" t="str">
        <f>IF($F436="","",IF($AI436&lt;&gt;"",IF(COUNTIFS('Lot Balance'!$A$5:$A$500,$F436,'Lot Balance'!$B$5:$B$500,$AI436)=0,"⚠ override is not a lot of this item",IF($AI436=$AL436,"Override = FEFO","Override - FEFO says "&amp;$AL436)),IF($AL436="","⚠ no receipt on file for this item",IF($AM436&lt;&gt;$AL436,"FEFO auto - split, also "&amp;$AM436,"FEFO auto"))))</f>
        <v>FEFO auto</v>
      </c>
      <c r="AO436" s="114"/>
    </row>
    <row r="437" spans="1:41" x14ac:dyDescent="0.35">
      <c r="A437" s="74">
        <v>46143</v>
      </c>
      <c r="B437" s="18" t="str">
        <f>IF($C437="","",IFERROR(INDEX('Staff Directory'!$A$5:$A$594,MATCH($C437,'Staff Directory'!$B$5:$B$594,0)),"⚠ unknown staff"))</f>
        <v>PSW-056-A6</v>
      </c>
      <c r="C437" s="49" t="s">
        <v>1032</v>
      </c>
      <c r="D437" s="19" t="str">
        <f>IF($B437="","",IFERROR(INDEX('Staff Directory'!$C$5:$C$594,MATCH($B437,'Staff Directory'!$A$5:$A$594,0)),""))</f>
        <v>PSW</v>
      </c>
      <c r="E437" s="19" t="str">
        <f>IF($B437="","",IFERROR(INDEX('Staff Directory'!$D$5:$D$594,MATCH($B437,'Staff Directory'!$A$5:$A$594,0)),""))</f>
        <v>A6</v>
      </c>
      <c r="F437" s="9" t="s">
        <v>156</v>
      </c>
      <c r="G437" s="18" t="str">
        <f>IF($F437="","",IFERROR(INDEX(Items!$B$5:$B$597,MATCH($F437,Items!$A$5:$A$597,0)),"⚠ not in Items"))</f>
        <v>Masks</v>
      </c>
      <c r="H437" s="19" t="str">
        <f>IF($F437="","",IFERROR(INDEX(Items!$C$5:$C$597,MATCH($F437,Items!$A$5:$A$597,0)),""))</f>
        <v>One Size</v>
      </c>
      <c r="I437" s="23">
        <f>IF($F437="","",IFERROR(INDEX(Items!$E$5:$E$597,MATCH($F437,Items!$A$5:$A$597,0)),""))</f>
        <v>50</v>
      </c>
      <c r="J437" s="115">
        <f>IF(tblIssues[[#This Row],[Qty Override]]&lt;&gt;"",tblIssues[[#This Row],[Qty Override]],IF(tblIssues[[#This Row],[Standard Issue]]="","",tblIssues[[#This Row],[Standard Issue]]))</f>
        <v>50</v>
      </c>
      <c r="K437" s="20">
        <f>IF($F437="","",IFERROR(INDEX(Items!$D$5:$D$597,MATCH($F437,Items!$A$5:$A$597,0)),""))</f>
        <v>0.25</v>
      </c>
      <c r="L437" s="21">
        <f t="shared" si="72"/>
        <v>12.5</v>
      </c>
      <c r="M437" s="9" t="str">
        <f t="shared" si="73"/>
        <v>0125FPC24-0</v>
      </c>
      <c r="N437" s="24">
        <f>IF($A437="","",WORKDAY($A437,Settings!$C$9,HolidayDates))</f>
        <v>46153</v>
      </c>
      <c r="O437" s="24">
        <f>IF($N437="","",WORKDAY($N437,Settings!$C$10,HolidayDates))</f>
        <v>46191</v>
      </c>
      <c r="P437" s="10" t="s">
        <v>501</v>
      </c>
      <c r="Q437" s="52" t="str">
        <f t="shared" si="75"/>
        <v>Collected</v>
      </c>
      <c r="R437" s="55" t="str">
        <f t="shared" si="76"/>
        <v>2026-05</v>
      </c>
      <c r="S437" s="55">
        <f>IF(OR($B437="",$F437="",$R437=""),"",SUMIFS(tblIssues[Qty Issued],tblIssues[Staff ID],$B437,tblIssues[Item Name],$F437,tblIssues[Month],$R437))</f>
        <v>50</v>
      </c>
      <c r="T437" s="56">
        <f>IF($I437="","",$I437*Settings!$C$11)</f>
        <v>50</v>
      </c>
      <c r="U437" s="57" t="str">
        <f t="shared" si="74"/>
        <v>OK</v>
      </c>
      <c r="V437" s="55" t="str">
        <f t="shared" si="77"/>
        <v/>
      </c>
      <c r="W437" s="55" t="str">
        <f>IF($V437="","",IF(COUNTIF($V$5:$V437,$V437)=1,1,""))</f>
        <v/>
      </c>
      <c r="X437" s="58" t="str">
        <f>IF($W437="","",MAX($X$4:X436)+1)</f>
        <v/>
      </c>
      <c r="Y437" s="62"/>
      <c r="Z437" s="62"/>
      <c r="AA437" s="64" t="str">
        <f>IF($C437="","",IFERROR(INDEX('Staff Directory'!$E$5:$E$594,MATCH($C437,'Staff Directory'!$B$5:$B$594,0)),""))</f>
        <v>firstname116.lastname116@example.com</v>
      </c>
      <c r="AB437" s="64" t="str">
        <f>IF($C437="","",IF(ISNUMBER(SEARCH($D437,Settings!$C$15)),"Pickup","Dispatch"))</f>
        <v>Pickup</v>
      </c>
      <c r="AC437" s="64" t="str">
        <f t="shared" si="78"/>
        <v>Supply order ready for pickup</v>
      </c>
      <c r="AD437" s="64" t="str">
        <f t="shared" si="69"/>
        <v>Dear PSW,
Your order is ready for pickup from Sample Branch, Wed-Fri 9am-4pm.</v>
      </c>
      <c r="AE437" s="64" t="str">
        <f t="shared" si="70"/>
        <v>mailto:firstname116.lastname116@example.com?subject=Supply%20order%20ready%20for%20pickup&amp;body=Dear%20PSW%2C%0A%0AYour%20order%20is%20ready%20for%20pickup%20from%20Sample%20Branch%2C%20Wed-Fri%209am-4pm.</v>
      </c>
      <c r="AF437" s="89" t="str">
        <f t="shared" si="79"/>
        <v>Draft email</v>
      </c>
      <c r="AG437" s="64" t="str">
        <f>IF($C437="","",IFERROR(INDEX('Staff Directory'!$K$595:$K$599,MATCH($C437,'Staff Directory'!$B$5:$B$599,0)),$D437))</f>
        <v>PSW</v>
      </c>
      <c r="AH437" t="str">
        <f>IF($C437="","",IFERROR(INDEX('Staff Directory'!$I$595:$I$599,MATCH($C437,'Staff Directory'!$B$5:$B$599,0))&amp;" "&amp;INDEX('Staff Directory'!$J$595:$J$599,MATCH($C437,'Staff Directory'!$B$5:$B$599,0)),$AG437))</f>
        <v>PSW</v>
      </c>
      <c r="AI437" s="102"/>
      <c r="AJ437" s="101">
        <f>IF($F437="","",SUMIFS($J$5:$J437,$F$5:$F437,$F437))</f>
        <v>3500</v>
      </c>
      <c r="AK437" s="101">
        <f t="shared" si="71"/>
        <v>3451</v>
      </c>
      <c r="AL437" s="66" t="str" cm="1">
        <f t="array" ref="AL437">IF($F437="","",IFERROR(INDEX('Lot Balance'!$B$5:$B$500,MATCH(1,INDEX(('Lot Balance'!$A$5:$A$500=$F437)*('Lot Balance'!$K$5:$K$500&lt;$AK437)*('Lot Balance'!$K$5:$K$500+'Lot Balance'!$D$5:$D$500&gt;=$AK437),0),0)),""))</f>
        <v>0125FPC24-0</v>
      </c>
      <c r="AM437" s="66" t="str" cm="1">
        <f t="array" ref="AM437">IF($F437="","",IFERROR(INDEX('Lot Balance'!$B$5:$B$500,MATCH(1,INDEX(('Lot Balance'!$A$5:$A$500=$F437)*('Lot Balance'!$K$5:$K$500&lt;$AJ437)*('Lot Balance'!$K$5:$K$500+'Lot Balance'!$D$5:$D$500&gt;=$AJ437),0),0)),""))</f>
        <v>0125FPC24-0</v>
      </c>
      <c r="AN437" s="66" t="str">
        <f>IF($F437="","",IF($AI437&lt;&gt;"",IF(COUNTIFS('Lot Balance'!$A$5:$A$500,$F437,'Lot Balance'!$B$5:$B$500,$AI437)=0,"⚠ override is not a lot of this item",IF($AI437=$AL437,"Override = FEFO","Override - FEFO says "&amp;$AL437)),IF($AL437="","⚠ no receipt on file for this item",IF($AM437&lt;&gt;$AL437,"FEFO auto - split, also "&amp;$AM437,"FEFO auto"))))</f>
        <v>FEFO auto</v>
      </c>
      <c r="AO437" s="114"/>
    </row>
    <row r="438" spans="1:41" x14ac:dyDescent="0.35">
      <c r="A438" s="74">
        <v>46143</v>
      </c>
      <c r="B438" s="18" t="str">
        <f>IF($C438="","",IFERROR(INDEX('Staff Directory'!$A$5:$A$594,MATCH($C438,'Staff Directory'!$B$5:$B$594,0)),"⚠ unknown staff"))</f>
        <v>PSW-132-A6</v>
      </c>
      <c r="C438" s="49" t="s">
        <v>1111</v>
      </c>
      <c r="D438" s="19" t="str">
        <f>IF($B438="","",IFERROR(INDEX('Staff Directory'!$C$5:$C$594,MATCH($B438,'Staff Directory'!$A$5:$A$594,0)),""))</f>
        <v>PSW</v>
      </c>
      <c r="E438" s="19" t="str">
        <f>IF($B438="","",IFERROR(INDEX('Staff Directory'!$D$5:$D$594,MATCH($B438,'Staff Directory'!$A$5:$A$594,0)),""))</f>
        <v>A6</v>
      </c>
      <c r="F438" s="9" t="s">
        <v>124</v>
      </c>
      <c r="G438" s="18" t="str">
        <f>IF($F438="","",IFERROR(INDEX(Items!$B$5:$B$597,MATCH($F438,Items!$A$5:$A$597,0)),"⚠ not in Items"))</f>
        <v>Gloves</v>
      </c>
      <c r="H438" s="19" t="str">
        <f>IF($F438="","",IFERROR(INDEX(Items!$C$5:$C$597,MATCH($F438,Items!$A$5:$A$597,0)),""))</f>
        <v>Large</v>
      </c>
      <c r="I438" s="23">
        <f>IF($F438="","",IFERROR(INDEX(Items!$E$5:$E$597,MATCH($F438,Items!$A$5:$A$597,0)),""))</f>
        <v>500</v>
      </c>
      <c r="J438" s="115">
        <f>IF(tblIssues[[#This Row],[Qty Override]]&lt;&gt;"",tblIssues[[#This Row],[Qty Override]],IF(tblIssues[[#This Row],[Standard Issue]]="","",tblIssues[[#This Row],[Standard Issue]]))</f>
        <v>500</v>
      </c>
      <c r="K438" s="20">
        <f>IF($F438="","",IFERROR(INDEX(Items!$D$5:$D$597,MATCH($F438,Items!$A$5:$A$597,0)),""))</f>
        <v>5.5E-2</v>
      </c>
      <c r="L438" s="21">
        <f t="shared" si="72"/>
        <v>27.5</v>
      </c>
      <c r="M438" s="9" t="str">
        <f t="shared" si="73"/>
        <v>0417HIC25-0</v>
      </c>
      <c r="N438" s="24">
        <f>IF($A438="","",WORKDAY($A438,Settings!$C$9,HolidayDates))</f>
        <v>46153</v>
      </c>
      <c r="O438" s="24">
        <f>IF($N438="","",WORKDAY($N438,Settings!$C$10,HolidayDates))</f>
        <v>46191</v>
      </c>
      <c r="P438" s="10" t="s">
        <v>501</v>
      </c>
      <c r="Q438" s="52" t="str">
        <f t="shared" si="75"/>
        <v>Collected</v>
      </c>
      <c r="R438" s="55" t="str">
        <f t="shared" si="76"/>
        <v>2026-05</v>
      </c>
      <c r="S438" s="55">
        <f>IF(OR($B438="",$F438="",$R438=""),"",SUMIFS(tblIssues[Qty Issued],tblIssues[Staff ID],$B438,tblIssues[Item Name],$F438,tblIssues[Month],$R438))</f>
        <v>500</v>
      </c>
      <c r="T438" s="56">
        <f>IF($I438="","",$I438*Settings!$C$11)</f>
        <v>500</v>
      </c>
      <c r="U438" s="57" t="str">
        <f t="shared" si="74"/>
        <v>OK</v>
      </c>
      <c r="V438" s="55" t="str">
        <f t="shared" si="77"/>
        <v/>
      </c>
      <c r="W438" s="55" t="str">
        <f>IF($V438="","",IF(COUNTIF($V$5:$V438,$V438)=1,1,""))</f>
        <v/>
      </c>
      <c r="X438" s="58" t="str">
        <f>IF($W438="","",MAX($X$4:X437)+1)</f>
        <v/>
      </c>
      <c r="Y438" s="62"/>
      <c r="Z438" s="62"/>
      <c r="AA438" s="64" t="str">
        <f>IF($C438="","",IFERROR(INDEX('Staff Directory'!$E$5:$E$594,MATCH($C438,'Staff Directory'!$B$5:$B$594,0)),""))</f>
        <v>firstname195.lastname195@example.com</v>
      </c>
      <c r="AB438" s="64" t="str">
        <f>IF($C438="","",IF(ISNUMBER(SEARCH($D438,Settings!$C$15)),"Pickup","Dispatch"))</f>
        <v>Pickup</v>
      </c>
      <c r="AC438" s="64" t="str">
        <f t="shared" si="78"/>
        <v>Supply order ready for pickup</v>
      </c>
      <c r="AD438" s="64" t="str">
        <f t="shared" si="69"/>
        <v>Dear PSW,
Your order is ready for pickup from Sample Branch, Wed-Fri 9am-4pm.</v>
      </c>
      <c r="AE438" s="64" t="str">
        <f t="shared" si="70"/>
        <v>mailto:firstname195.lastname195@example.com?subject=Supply%20order%20ready%20for%20pickup&amp;body=Dear%20PSW%2C%0A%0AYour%20order%20is%20ready%20for%20pickup%20from%20Sample%20Branch%2C%20Wed-Fri%209am-4pm.</v>
      </c>
      <c r="AF438" s="89" t="str">
        <f t="shared" si="79"/>
        <v>Draft email</v>
      </c>
      <c r="AG438" s="64" t="str">
        <f>IF($C438="","",IFERROR(INDEX('Staff Directory'!$K$595:$K$599,MATCH($C438,'Staff Directory'!$B$5:$B$599,0)),$D438))</f>
        <v>PSW</v>
      </c>
      <c r="AH438" t="str">
        <f>IF($C438="","",IFERROR(INDEX('Staff Directory'!$I$595:$I$599,MATCH($C438,'Staff Directory'!$B$5:$B$599,0))&amp;" "&amp;INDEX('Staff Directory'!$J$595:$J$599,MATCH($C438,'Staff Directory'!$B$5:$B$599,0)),$AG438))</f>
        <v>PSW</v>
      </c>
      <c r="AI438" s="102"/>
      <c r="AJ438" s="101">
        <f>IF($F438="","",SUMIFS($J$5:$J438,$F$5:$F438,$F438))</f>
        <v>12000</v>
      </c>
      <c r="AK438" s="101">
        <f t="shared" si="71"/>
        <v>11501</v>
      </c>
      <c r="AL438" s="66" t="str" cm="1">
        <f t="array" ref="AL438">IF($F438="","",IFERROR(INDEX('Lot Balance'!$B$5:$B$500,MATCH(1,INDEX(('Lot Balance'!$A$5:$A$500=$F438)*('Lot Balance'!$K$5:$K$500&lt;$AK438)*('Lot Balance'!$K$5:$K$500+'Lot Balance'!$D$5:$D$500&gt;=$AK438),0),0)),""))</f>
        <v>0417HIC25-0</v>
      </c>
      <c r="AM438" s="66" t="str" cm="1">
        <f t="array" ref="AM438">IF($F438="","",IFERROR(INDEX('Lot Balance'!$B$5:$B$500,MATCH(1,INDEX(('Lot Balance'!$A$5:$A$500=$F438)*('Lot Balance'!$K$5:$K$500&lt;$AJ438)*('Lot Balance'!$K$5:$K$500+'Lot Balance'!$D$5:$D$500&gt;=$AJ438),0),0)),""))</f>
        <v>0417HIC25-0</v>
      </c>
      <c r="AN438" s="66" t="str">
        <f>IF($F438="","",IF($AI438&lt;&gt;"",IF(COUNTIFS('Lot Balance'!$A$5:$A$500,$F438,'Lot Balance'!$B$5:$B$500,$AI438)=0,"⚠ override is not a lot of this item",IF($AI438=$AL438,"Override = FEFO","Override - FEFO says "&amp;$AL438)),IF($AL438="","⚠ no receipt on file for this item",IF($AM438&lt;&gt;$AL438,"FEFO auto - split, also "&amp;$AM438,"FEFO auto"))))</f>
        <v>FEFO auto</v>
      </c>
      <c r="AO438" s="114"/>
    </row>
    <row r="439" spans="1:41" x14ac:dyDescent="0.35">
      <c r="A439" s="74">
        <v>46143</v>
      </c>
      <c r="B439" s="18" t="str">
        <f>IF($C439="","",IFERROR(INDEX('Staff Directory'!$A$5:$A$594,MATCH($C439,'Staff Directory'!$B$5:$B$594,0)),"⚠ unknown staff"))</f>
        <v>PSW-132-A6</v>
      </c>
      <c r="C439" s="49" t="s">
        <v>1111</v>
      </c>
      <c r="D439" s="19" t="str">
        <f>IF($B439="","",IFERROR(INDEX('Staff Directory'!$C$5:$C$594,MATCH($B439,'Staff Directory'!$A$5:$A$594,0)),""))</f>
        <v>PSW</v>
      </c>
      <c r="E439" s="19" t="str">
        <f>IF($B439="","",IFERROR(INDEX('Staff Directory'!$D$5:$D$594,MATCH($B439,'Staff Directory'!$A$5:$A$594,0)),""))</f>
        <v>A6</v>
      </c>
      <c r="F439" s="9" t="s">
        <v>191</v>
      </c>
      <c r="G439" s="18" t="str">
        <f>IF($F439="","",IFERROR(INDEX(Items!$B$5:$B$597,MATCH($F439,Items!$A$5:$A$597,0)),"⚠ not in Items"))</f>
        <v>Sanitizer</v>
      </c>
      <c r="H439" s="19" t="str">
        <f>IF($F439="","",IFERROR(INDEX(Items!$C$5:$C$597,MATCH($F439,Items!$A$5:$A$597,0)),""))</f>
        <v>236 ML</v>
      </c>
      <c r="I439" s="23">
        <f>IF($F439="","",IFERROR(INDEX(Items!$E$5:$E$597,MATCH($F439,Items!$A$5:$A$597,0)),""))</f>
        <v>1</v>
      </c>
      <c r="J439" s="115">
        <f>IF(tblIssues[[#This Row],[Qty Override]]&lt;&gt;"",tblIssues[[#This Row],[Qty Override]],IF(tblIssues[[#This Row],[Standard Issue]]="","",tblIssues[[#This Row],[Standard Issue]]))</f>
        <v>1</v>
      </c>
      <c r="K439" s="20">
        <f>IF($F439="","",IFERROR(INDEX(Items!$D$5:$D$597,MATCH($F439,Items!$A$5:$A$597,0)),""))</f>
        <v>1E-4</v>
      </c>
      <c r="L439" s="21">
        <f t="shared" si="72"/>
        <v>1E-4</v>
      </c>
      <c r="M439" s="9" t="str">
        <f t="shared" si="73"/>
        <v>20-21734-2</v>
      </c>
      <c r="N439" s="24">
        <f>IF($A439="","",WORKDAY($A439,Settings!$C$9,HolidayDates))</f>
        <v>46153</v>
      </c>
      <c r="O439" s="24">
        <f>IF($N439="","",WORKDAY($N439,Settings!$C$10,HolidayDates))</f>
        <v>46191</v>
      </c>
      <c r="P439" s="10" t="s">
        <v>501</v>
      </c>
      <c r="Q439" s="52" t="str">
        <f t="shared" si="75"/>
        <v>Collected</v>
      </c>
      <c r="R439" s="55" t="str">
        <f t="shared" si="76"/>
        <v>2026-05</v>
      </c>
      <c r="S439" s="55">
        <f>IF(OR($B439="",$F439="",$R439=""),"",SUMIFS(tblIssues[Qty Issued],tblIssues[Staff ID],$B439,tblIssues[Item Name],$F439,tblIssues[Month],$R439))</f>
        <v>1</v>
      </c>
      <c r="T439" s="56">
        <f>IF($I439="","",$I439*Settings!$C$11)</f>
        <v>1</v>
      </c>
      <c r="U439" s="57" t="str">
        <f t="shared" si="74"/>
        <v>OK</v>
      </c>
      <c r="V439" s="55" t="str">
        <f t="shared" si="77"/>
        <v/>
      </c>
      <c r="W439" s="55" t="str">
        <f>IF($V439="","",IF(COUNTIF($V$5:$V439,$V439)=1,1,""))</f>
        <v/>
      </c>
      <c r="X439" s="58" t="str">
        <f>IF($W439="","",MAX($X$4:X438)+1)</f>
        <v/>
      </c>
      <c r="Y439" s="62"/>
      <c r="Z439" s="62"/>
      <c r="AA439" s="64" t="str">
        <f>IF($C439="","",IFERROR(INDEX('Staff Directory'!$E$5:$E$594,MATCH($C439,'Staff Directory'!$B$5:$B$594,0)),""))</f>
        <v>firstname195.lastname195@example.com</v>
      </c>
      <c r="AB439" s="64" t="str">
        <f>IF($C439="","",IF(ISNUMBER(SEARCH($D439,Settings!$C$15)),"Pickup","Dispatch"))</f>
        <v>Pickup</v>
      </c>
      <c r="AC439" s="64" t="str">
        <f t="shared" si="78"/>
        <v>Supply order ready for pickup</v>
      </c>
      <c r="AD439" s="64" t="str">
        <f t="shared" si="69"/>
        <v>Dear PSW,
Your order is ready for pickup from Sample Branch, Wed-Fri 9am-4pm.</v>
      </c>
      <c r="AE439" s="64" t="str">
        <f t="shared" si="70"/>
        <v>mailto:firstname195.lastname195@example.com?subject=Supply%20order%20ready%20for%20pickup&amp;body=Dear%20PSW%2C%0A%0AYour%20order%20is%20ready%20for%20pickup%20from%20Sample%20Branch%2C%20Wed-Fri%209am-4pm.</v>
      </c>
      <c r="AF439" s="89" t="str">
        <f t="shared" si="79"/>
        <v>Draft email</v>
      </c>
      <c r="AG439" s="64" t="str">
        <f>IF($C439="","",IFERROR(INDEX('Staff Directory'!$K$595:$K$599,MATCH($C439,'Staff Directory'!$B$5:$B$599,0)),$D439))</f>
        <v>PSW</v>
      </c>
      <c r="AH439" t="str">
        <f>IF($C439="","",IFERROR(INDEX('Staff Directory'!$I$595:$I$599,MATCH($C439,'Staff Directory'!$B$5:$B$599,0))&amp;" "&amp;INDEX('Staff Directory'!$J$595:$J$599,MATCH($C439,'Staff Directory'!$B$5:$B$599,0)),$AG439))</f>
        <v>PSW</v>
      </c>
      <c r="AI439" s="102"/>
      <c r="AJ439" s="101">
        <f>IF($F439="","",SUMIFS($J$5:$J439,$F$5:$F439,$F439))</f>
        <v>40</v>
      </c>
      <c r="AK439" s="101">
        <f t="shared" si="71"/>
        <v>40</v>
      </c>
      <c r="AL439" s="66" t="str" cm="1">
        <f t="array" ref="AL439">IF($F439="","",IFERROR(INDEX('Lot Balance'!$B$5:$B$500,MATCH(1,INDEX(('Lot Balance'!$A$5:$A$500=$F439)*('Lot Balance'!$K$5:$K$500&lt;$AK439)*('Lot Balance'!$K$5:$K$500+'Lot Balance'!$D$5:$D$500&gt;=$AK439),0),0)),""))</f>
        <v>20-21734-2</v>
      </c>
      <c r="AM439" s="66" t="str" cm="1">
        <f t="array" ref="AM439">IF($F439="","",IFERROR(INDEX('Lot Balance'!$B$5:$B$500,MATCH(1,INDEX(('Lot Balance'!$A$5:$A$500=$F439)*('Lot Balance'!$K$5:$K$500&lt;$AJ439)*('Lot Balance'!$K$5:$K$500+'Lot Balance'!$D$5:$D$500&gt;=$AJ439),0),0)),""))</f>
        <v>20-21734-2</v>
      </c>
      <c r="AN439" s="66" t="str">
        <f>IF($F439="","",IF($AI439&lt;&gt;"",IF(COUNTIFS('Lot Balance'!$A$5:$A$500,$F439,'Lot Balance'!$B$5:$B$500,$AI439)=0,"⚠ override is not a lot of this item",IF($AI439=$AL439,"Override = FEFO","Override - FEFO says "&amp;$AL439)),IF($AL439="","⚠ no receipt on file for this item",IF($AM439&lt;&gt;$AL439,"FEFO auto - split, also "&amp;$AM439,"FEFO auto"))))</f>
        <v>FEFO auto</v>
      </c>
      <c r="AO439" s="114"/>
    </row>
    <row r="440" spans="1:41" x14ac:dyDescent="0.35">
      <c r="A440" s="74">
        <v>46143</v>
      </c>
      <c r="B440" s="18" t="str">
        <f>IF($C440="","",IFERROR(INDEX('Staff Directory'!$A$5:$A$594,MATCH($C440,'Staff Directory'!$B$5:$B$594,0)),"⚠ unknown staff"))</f>
        <v>PSW-132-A6</v>
      </c>
      <c r="C440" s="49" t="s">
        <v>1111</v>
      </c>
      <c r="D440" s="19" t="str">
        <f>IF($B440="","",IFERROR(INDEX('Staff Directory'!$C$5:$C$594,MATCH($B440,'Staff Directory'!$A$5:$A$594,0)),""))</f>
        <v>PSW</v>
      </c>
      <c r="E440" s="19" t="str">
        <f>IF($B440="","",IFERROR(INDEX('Staff Directory'!$D$5:$D$594,MATCH($B440,'Staff Directory'!$A$5:$A$594,0)),""))</f>
        <v>A6</v>
      </c>
      <c r="F440" s="9" t="s">
        <v>115</v>
      </c>
      <c r="G440" s="18" t="str">
        <f>IF($F440="","",IFERROR(INDEX(Items!$B$5:$B$597,MATCH($F440,Items!$A$5:$A$597,0)),"⚠ not in Items"))</f>
        <v>Wipes</v>
      </c>
      <c r="H440" s="19">
        <f>IF($F440="","",IFERROR(INDEX(Items!$C$5:$C$597,MATCH($F440,Items!$A$5:$A$597,0)),""))</f>
        <v>80</v>
      </c>
      <c r="I440" s="23">
        <f>IF($F440="","",IFERROR(INDEX(Items!$E$5:$E$597,MATCH($F440,Items!$A$5:$A$597,0)),""))</f>
        <v>80</v>
      </c>
      <c r="J440" s="115">
        <f>IF(tblIssues[[#This Row],[Qty Override]]&lt;&gt;"",tblIssues[[#This Row],[Qty Override]],IF(tblIssues[[#This Row],[Standard Issue]]="","",tblIssues[[#This Row],[Standard Issue]]))</f>
        <v>80</v>
      </c>
      <c r="K440" s="20">
        <f>IF($F440="","",IFERROR(INDEX(Items!$D$5:$D$597,MATCH($F440,Items!$A$5:$A$597,0)),""))</f>
        <v>0.1</v>
      </c>
      <c r="L440" s="21">
        <f t="shared" si="72"/>
        <v>8</v>
      </c>
      <c r="M440" s="9" t="str">
        <f t="shared" si="73"/>
        <v>LYSL500290</v>
      </c>
      <c r="N440" s="24">
        <f>IF($A440="","",WORKDAY($A440,Settings!$C$9,HolidayDates))</f>
        <v>46153</v>
      </c>
      <c r="O440" s="24">
        <f>IF($N440="","",WORKDAY($N440,Settings!$C$10,HolidayDates))</f>
        <v>46191</v>
      </c>
      <c r="P440" s="10" t="s">
        <v>501</v>
      </c>
      <c r="Q440" s="52" t="str">
        <f t="shared" si="75"/>
        <v>Collected</v>
      </c>
      <c r="R440" s="55" t="str">
        <f t="shared" si="76"/>
        <v>2026-05</v>
      </c>
      <c r="S440" s="55">
        <f>IF(OR($B440="",$F440="",$R440=""),"",SUMIFS(tblIssues[Qty Issued],tblIssues[Staff ID],$B440,tblIssues[Item Name],$F440,tblIssues[Month],$R440))</f>
        <v>80</v>
      </c>
      <c r="T440" s="56">
        <f>IF($I440="","",$I440*Settings!$C$11)</f>
        <v>80</v>
      </c>
      <c r="U440" s="57" t="str">
        <f t="shared" si="74"/>
        <v>OK</v>
      </c>
      <c r="V440" s="55" t="str">
        <f t="shared" si="77"/>
        <v/>
      </c>
      <c r="W440" s="55" t="str">
        <f>IF($V440="","",IF(COUNTIF($V$5:$V440,$V440)=1,1,""))</f>
        <v/>
      </c>
      <c r="X440" s="58" t="str">
        <f>IF($W440="","",MAX($X$4:X439)+1)</f>
        <v/>
      </c>
      <c r="Y440" s="62"/>
      <c r="Z440" s="62"/>
      <c r="AA440" s="64" t="str">
        <f>IF($C440="","",IFERROR(INDEX('Staff Directory'!$E$5:$E$594,MATCH($C440,'Staff Directory'!$B$5:$B$594,0)),""))</f>
        <v>firstname195.lastname195@example.com</v>
      </c>
      <c r="AB440" s="64" t="str">
        <f>IF($C440="","",IF(ISNUMBER(SEARCH($D440,Settings!$C$15)),"Pickup","Dispatch"))</f>
        <v>Pickup</v>
      </c>
      <c r="AC440" s="64" t="str">
        <f t="shared" si="78"/>
        <v>Supply order ready for pickup</v>
      </c>
      <c r="AD440" s="64" t="str">
        <f t="shared" si="69"/>
        <v>Dear PSW,
Your order is ready for pickup from Sample Branch, Wed-Fri 9am-4pm.</v>
      </c>
      <c r="AE440" s="64" t="str">
        <f t="shared" si="70"/>
        <v>mailto:firstname195.lastname195@example.com?subject=Supply%20order%20ready%20for%20pickup&amp;body=Dear%20PSW%2C%0A%0AYour%20order%20is%20ready%20for%20pickup%20from%20Sample%20Branch%2C%20Wed-Fri%209am-4pm.</v>
      </c>
      <c r="AF440" s="89" t="str">
        <f t="shared" si="79"/>
        <v>Draft email</v>
      </c>
      <c r="AG440" s="64" t="str">
        <f>IF($C440="","",IFERROR(INDEX('Staff Directory'!$K$595:$K$599,MATCH($C440,'Staff Directory'!$B$5:$B$599,0)),$D440))</f>
        <v>PSW</v>
      </c>
      <c r="AH440" t="str">
        <f>IF($C440="","",IFERROR(INDEX('Staff Directory'!$I$595:$I$599,MATCH($C440,'Staff Directory'!$B$5:$B$599,0))&amp;" "&amp;INDEX('Staff Directory'!$J$595:$J$599,MATCH($C440,'Staff Directory'!$B$5:$B$599,0)),$AG440))</f>
        <v>PSW</v>
      </c>
      <c r="AI440" s="102"/>
      <c r="AJ440" s="101">
        <f>IF($F440="","",SUMIFS($J$5:$J440,$F$5:$F440,$F440))</f>
        <v>6080</v>
      </c>
      <c r="AK440" s="101">
        <f t="shared" si="71"/>
        <v>6001</v>
      </c>
      <c r="AL440" s="66" t="str" cm="1">
        <f t="array" ref="AL440">IF($F440="","",IFERROR(INDEX('Lot Balance'!$B$5:$B$500,MATCH(1,INDEX(('Lot Balance'!$A$5:$A$500=$F440)*('Lot Balance'!$K$5:$K$500&lt;$AK440)*('Lot Balance'!$K$5:$K$500+'Lot Balance'!$D$5:$D$500&gt;=$AK440),0),0)),""))</f>
        <v>LYSL500290</v>
      </c>
      <c r="AM440" s="66" t="str" cm="1">
        <f t="array" ref="AM440">IF($F440="","",IFERROR(INDEX('Lot Balance'!$B$5:$B$500,MATCH(1,INDEX(('Lot Balance'!$A$5:$A$500=$F440)*('Lot Balance'!$K$5:$K$500&lt;$AJ440)*('Lot Balance'!$K$5:$K$500+'Lot Balance'!$D$5:$D$500&gt;=$AJ440),0),0)),""))</f>
        <v>LYSL500290</v>
      </c>
      <c r="AN440" s="66" t="str">
        <f>IF($F440="","",IF($AI440&lt;&gt;"",IF(COUNTIFS('Lot Balance'!$A$5:$A$500,$F440,'Lot Balance'!$B$5:$B$500,$AI440)=0,"⚠ override is not a lot of this item",IF($AI440=$AL440,"Override = FEFO","Override - FEFO says "&amp;$AL440)),IF($AL440="","⚠ no receipt on file for this item",IF($AM440&lt;&gt;$AL440,"FEFO auto - split, also "&amp;$AM440,"FEFO auto"))))</f>
        <v>FEFO auto</v>
      </c>
      <c r="AO440" s="114"/>
    </row>
    <row r="441" spans="1:41" x14ac:dyDescent="0.35">
      <c r="A441" s="74">
        <v>46143</v>
      </c>
      <c r="B441" s="18" t="str">
        <f>IF($C441="","",IFERROR(INDEX('Staff Directory'!$A$5:$A$594,MATCH($C441,'Staff Directory'!$B$5:$B$594,0)),"⚠ unknown staff"))</f>
        <v>PSW-006-A6</v>
      </c>
      <c r="C441" s="49" t="s">
        <v>982</v>
      </c>
      <c r="D441" s="19" t="str">
        <f>IF($B441="","",IFERROR(INDEX('Staff Directory'!$C$5:$C$594,MATCH($B441,'Staff Directory'!$A$5:$A$594,0)),""))</f>
        <v>PSW</v>
      </c>
      <c r="E441" s="19" t="str">
        <f>IF($B441="","",IFERROR(INDEX('Staff Directory'!$D$5:$D$594,MATCH($B441,'Staff Directory'!$A$5:$A$594,0)),""))</f>
        <v>A6</v>
      </c>
      <c r="F441" s="9" t="s">
        <v>127</v>
      </c>
      <c r="G441" s="18" t="str">
        <f>IF($F441="","",IFERROR(INDEX(Items!$B$5:$B$597,MATCH($F441,Items!$A$5:$A$597,0)),"⚠ not in Items"))</f>
        <v>Gloves</v>
      </c>
      <c r="H441" s="19" t="str">
        <f>IF($F441="","",IFERROR(INDEX(Items!$C$5:$C$597,MATCH($F441,Items!$A$5:$A$597,0)),""))</f>
        <v>Medium</v>
      </c>
      <c r="I441" s="23">
        <f>IF($F441="","",IFERROR(INDEX(Items!$E$5:$E$597,MATCH($F441,Items!$A$5:$A$597,0)),""))</f>
        <v>500</v>
      </c>
      <c r="J441" s="115">
        <f>IF(tblIssues[[#This Row],[Qty Override]]&lt;&gt;"",tblIssues[[#This Row],[Qty Override]],IF(tblIssues[[#This Row],[Standard Issue]]="","",tblIssues[[#This Row],[Standard Issue]]))</f>
        <v>500</v>
      </c>
      <c r="K441" s="20">
        <f>IF($F441="","",IFERROR(INDEX(Items!$D$5:$D$597,MATCH($F441,Items!$A$5:$A$597,0)),""))</f>
        <v>5.5E-2</v>
      </c>
      <c r="L441" s="21">
        <f t="shared" si="72"/>
        <v>27.5</v>
      </c>
      <c r="M441" s="9" t="str">
        <f t="shared" si="73"/>
        <v>0312HIC25</v>
      </c>
      <c r="N441" s="24">
        <f>IF($A441="","",WORKDAY($A441,Settings!$C$9,HolidayDates))</f>
        <v>46153</v>
      </c>
      <c r="O441" s="24">
        <f>IF($N441="","",WORKDAY($N441,Settings!$C$10,HolidayDates))</f>
        <v>46191</v>
      </c>
      <c r="P441" s="10" t="s">
        <v>501</v>
      </c>
      <c r="Q441" s="52" t="str">
        <f t="shared" si="75"/>
        <v>Collected</v>
      </c>
      <c r="R441" s="55" t="str">
        <f t="shared" si="76"/>
        <v>2026-05</v>
      </c>
      <c r="S441" s="55">
        <f>IF(OR($B441="",$F441="",$R441=""),"",SUMIFS(tblIssues[Qty Issued],tblIssues[Staff ID],$B441,tblIssues[Item Name],$F441,tblIssues[Month],$R441))</f>
        <v>500</v>
      </c>
      <c r="T441" s="56">
        <f>IF($I441="","",$I441*Settings!$C$11)</f>
        <v>500</v>
      </c>
      <c r="U441" s="57" t="str">
        <f t="shared" si="74"/>
        <v>OK</v>
      </c>
      <c r="V441" s="55" t="str">
        <f t="shared" si="77"/>
        <v/>
      </c>
      <c r="W441" s="55" t="str">
        <f>IF($V441="","",IF(COUNTIF($V$5:$V441,$V441)=1,1,""))</f>
        <v/>
      </c>
      <c r="X441" s="58" t="str">
        <f>IF($W441="","",MAX($X$4:X440)+1)</f>
        <v/>
      </c>
      <c r="Y441" s="62"/>
      <c r="Z441" s="62"/>
      <c r="AA441" s="64" t="str">
        <f>IF($C441="","",IFERROR(INDEX('Staff Directory'!$E$5:$E$594,MATCH($C441,'Staff Directory'!$B$5:$B$594,0)),""))</f>
        <v>firstname066.lastname066@example.com</v>
      </c>
      <c r="AB441" s="64" t="str">
        <f>IF($C441="","",IF(ISNUMBER(SEARCH($D441,Settings!$C$15)),"Pickup","Dispatch"))</f>
        <v>Pickup</v>
      </c>
      <c r="AC441" s="64" t="str">
        <f t="shared" si="78"/>
        <v>Supply order ready for pickup</v>
      </c>
      <c r="AD441" s="64" t="str">
        <f t="shared" si="69"/>
        <v>Dear PSW,
Your order is ready for pickup from Sample Branch, Wed-Fri 9am-4pm.</v>
      </c>
      <c r="AE441" s="64" t="str">
        <f t="shared" si="70"/>
        <v>mailto:firstname066.lastname066@example.com?subject=Supply%20order%20ready%20for%20pickup&amp;body=Dear%20PSW%2C%0A%0AYour%20order%20is%20ready%20for%20pickup%20from%20Sample%20Branch%2C%20Wed-Fri%209am-4pm.</v>
      </c>
      <c r="AF441" s="89" t="str">
        <f t="shared" si="79"/>
        <v>Draft email</v>
      </c>
      <c r="AG441" s="64" t="str">
        <f>IF($C441="","",IFERROR(INDEX('Staff Directory'!$K$595:$K$599,MATCH($C441,'Staff Directory'!$B$5:$B$599,0)),$D441))</f>
        <v>PSW</v>
      </c>
      <c r="AH441" t="str">
        <f>IF($C441="","",IFERROR(INDEX('Staff Directory'!$I$595:$I$599,MATCH($C441,'Staff Directory'!$B$5:$B$599,0))&amp;" "&amp;INDEX('Staff Directory'!$J$595:$J$599,MATCH($C441,'Staff Directory'!$B$5:$B$599,0)),$AG441))</f>
        <v>PSW</v>
      </c>
      <c r="AI441" s="102"/>
      <c r="AJ441" s="101">
        <f>IF($F441="","",SUMIFS($J$5:$J441,$F$5:$F441,$F441))</f>
        <v>25500</v>
      </c>
      <c r="AK441" s="101">
        <f t="shared" si="71"/>
        <v>25001</v>
      </c>
      <c r="AL441" s="66" t="str" cm="1">
        <f t="array" ref="AL441">IF($F441="","",IFERROR(INDEX('Lot Balance'!$B$5:$B$500,MATCH(1,INDEX(('Lot Balance'!$A$5:$A$500=$F441)*('Lot Balance'!$K$5:$K$500&lt;$AK441)*('Lot Balance'!$K$5:$K$500+'Lot Balance'!$D$5:$D$500&gt;=$AK441),0),0)),""))</f>
        <v>0312HIC25</v>
      </c>
      <c r="AM441" s="66" t="str" cm="1">
        <f t="array" ref="AM441">IF($F441="","",IFERROR(INDEX('Lot Balance'!$B$5:$B$500,MATCH(1,INDEX(('Lot Balance'!$A$5:$A$500=$F441)*('Lot Balance'!$K$5:$K$500&lt;$AJ441)*('Lot Balance'!$K$5:$K$500+'Lot Balance'!$D$5:$D$500&gt;=$AJ441),0),0)),""))</f>
        <v>0312HIC25</v>
      </c>
      <c r="AN441" s="66" t="str">
        <f>IF($F441="","",IF($AI441&lt;&gt;"",IF(COUNTIFS('Lot Balance'!$A$5:$A$500,$F441,'Lot Balance'!$B$5:$B$500,$AI441)=0,"⚠ override is not a lot of this item",IF($AI441=$AL441,"Override = FEFO","Override - FEFO says "&amp;$AL441)),IF($AL441="","⚠ no receipt on file for this item",IF($AM441&lt;&gt;$AL441,"FEFO auto - split, also "&amp;$AM441,"FEFO auto"))))</f>
        <v>FEFO auto</v>
      </c>
      <c r="AO441" s="114"/>
    </row>
    <row r="442" spans="1:41" x14ac:dyDescent="0.35">
      <c r="A442" s="74">
        <v>46143</v>
      </c>
      <c r="B442" s="18" t="str">
        <f>IF($C442="","",IFERROR(INDEX('Staff Directory'!$A$5:$A$594,MATCH($C442,'Staff Directory'!$B$5:$B$594,0)),"⚠ unknown staff"))</f>
        <v>PSW-006-A6</v>
      </c>
      <c r="C442" s="49" t="s">
        <v>982</v>
      </c>
      <c r="D442" s="19" t="str">
        <f>IF($B442="","",IFERROR(INDEX('Staff Directory'!$C$5:$C$594,MATCH($B442,'Staff Directory'!$A$5:$A$594,0)),""))</f>
        <v>PSW</v>
      </c>
      <c r="E442" s="19" t="str">
        <f>IF($B442="","",IFERROR(INDEX('Staff Directory'!$D$5:$D$594,MATCH($B442,'Staff Directory'!$A$5:$A$594,0)),""))</f>
        <v>A6</v>
      </c>
      <c r="F442" s="9" t="s">
        <v>115</v>
      </c>
      <c r="G442" s="18" t="str">
        <f>IF($F442="","",IFERROR(INDEX(Items!$B$5:$B$597,MATCH($F442,Items!$A$5:$A$597,0)),"⚠ not in Items"))</f>
        <v>Wipes</v>
      </c>
      <c r="H442" s="19">
        <f>IF($F442="","",IFERROR(INDEX(Items!$C$5:$C$597,MATCH($F442,Items!$A$5:$A$597,0)),""))</f>
        <v>80</v>
      </c>
      <c r="I442" s="23">
        <f>IF($F442="","",IFERROR(INDEX(Items!$E$5:$E$597,MATCH($F442,Items!$A$5:$A$597,0)),""))</f>
        <v>80</v>
      </c>
      <c r="J442" s="115">
        <f>IF(tblIssues[[#This Row],[Qty Override]]&lt;&gt;"",tblIssues[[#This Row],[Qty Override]],IF(tblIssues[[#This Row],[Standard Issue]]="","",tblIssues[[#This Row],[Standard Issue]]))</f>
        <v>80</v>
      </c>
      <c r="K442" s="20">
        <f>IF($F442="","",IFERROR(INDEX(Items!$D$5:$D$597,MATCH($F442,Items!$A$5:$A$597,0)),""))</f>
        <v>0.1</v>
      </c>
      <c r="L442" s="21">
        <f t="shared" si="72"/>
        <v>8</v>
      </c>
      <c r="M442" s="9" t="str">
        <f t="shared" si="73"/>
        <v>LYSL500290</v>
      </c>
      <c r="N442" s="24">
        <f>IF($A442="","",WORKDAY($A442,Settings!$C$9,HolidayDates))</f>
        <v>46153</v>
      </c>
      <c r="O442" s="24">
        <f>IF($N442="","",WORKDAY($N442,Settings!$C$10,HolidayDates))</f>
        <v>46191</v>
      </c>
      <c r="P442" s="10" t="s">
        <v>501</v>
      </c>
      <c r="Q442" s="52" t="str">
        <f t="shared" si="75"/>
        <v>Collected</v>
      </c>
      <c r="R442" s="55" t="str">
        <f t="shared" si="76"/>
        <v>2026-05</v>
      </c>
      <c r="S442" s="55">
        <f>IF(OR($B442="",$F442="",$R442=""),"",SUMIFS(tblIssues[Qty Issued],tblIssues[Staff ID],$B442,tblIssues[Item Name],$F442,tblIssues[Month],$R442))</f>
        <v>80</v>
      </c>
      <c r="T442" s="56">
        <f>IF($I442="","",$I442*Settings!$C$11)</f>
        <v>80</v>
      </c>
      <c r="U442" s="57" t="str">
        <f t="shared" si="74"/>
        <v>OK</v>
      </c>
      <c r="V442" s="55" t="str">
        <f t="shared" si="77"/>
        <v/>
      </c>
      <c r="W442" s="55" t="str">
        <f>IF($V442="","",IF(COUNTIF($V$5:$V442,$V442)=1,1,""))</f>
        <v/>
      </c>
      <c r="X442" s="58" t="str">
        <f>IF($W442="","",MAX($X$4:X441)+1)</f>
        <v/>
      </c>
      <c r="Y442" s="62"/>
      <c r="Z442" s="62"/>
      <c r="AA442" s="64" t="str">
        <f>IF($C442="","",IFERROR(INDEX('Staff Directory'!$E$5:$E$594,MATCH($C442,'Staff Directory'!$B$5:$B$594,0)),""))</f>
        <v>firstname066.lastname066@example.com</v>
      </c>
      <c r="AB442" s="64" t="str">
        <f>IF($C442="","",IF(ISNUMBER(SEARCH($D442,Settings!$C$15)),"Pickup","Dispatch"))</f>
        <v>Pickup</v>
      </c>
      <c r="AC442" s="64" t="str">
        <f t="shared" si="78"/>
        <v>Supply order ready for pickup</v>
      </c>
      <c r="AD442" s="64" t="str">
        <f t="shared" si="69"/>
        <v>Dear PSW,
Your order is ready for pickup from Sample Branch, Wed-Fri 9am-4pm.</v>
      </c>
      <c r="AE442" s="64" t="str">
        <f t="shared" si="70"/>
        <v>mailto:firstname066.lastname066@example.com?subject=Supply%20order%20ready%20for%20pickup&amp;body=Dear%20PSW%2C%0A%0AYour%20order%20is%20ready%20for%20pickup%20from%20Sample%20Branch%2C%20Wed-Fri%209am-4pm.</v>
      </c>
      <c r="AF442" s="89" t="str">
        <f t="shared" si="79"/>
        <v>Draft email</v>
      </c>
      <c r="AG442" s="64" t="str">
        <f>IF($C442="","",IFERROR(INDEX('Staff Directory'!$K$595:$K$599,MATCH($C442,'Staff Directory'!$B$5:$B$599,0)),$D442))</f>
        <v>PSW</v>
      </c>
      <c r="AH442" t="str">
        <f>IF($C442="","",IFERROR(INDEX('Staff Directory'!$I$595:$I$599,MATCH($C442,'Staff Directory'!$B$5:$B$599,0))&amp;" "&amp;INDEX('Staff Directory'!$J$595:$J$599,MATCH($C442,'Staff Directory'!$B$5:$B$599,0)),$AG442))</f>
        <v>PSW</v>
      </c>
      <c r="AI442" s="102"/>
      <c r="AJ442" s="101">
        <f>IF($F442="","",SUMIFS($J$5:$J442,$F$5:$F442,$F442))</f>
        <v>6160</v>
      </c>
      <c r="AK442" s="101">
        <f t="shared" si="71"/>
        <v>6081</v>
      </c>
      <c r="AL442" s="66" t="str" cm="1">
        <f t="array" ref="AL442">IF($F442="","",IFERROR(INDEX('Lot Balance'!$B$5:$B$500,MATCH(1,INDEX(('Lot Balance'!$A$5:$A$500=$F442)*('Lot Balance'!$K$5:$K$500&lt;$AK442)*('Lot Balance'!$K$5:$K$500+'Lot Balance'!$D$5:$D$500&gt;=$AK442),0),0)),""))</f>
        <v>LYSL500290</v>
      </c>
      <c r="AM442" s="66" t="str" cm="1">
        <f t="array" ref="AM442">IF($F442="","",IFERROR(INDEX('Lot Balance'!$B$5:$B$500,MATCH(1,INDEX(('Lot Balance'!$A$5:$A$500=$F442)*('Lot Balance'!$K$5:$K$500&lt;$AJ442)*('Lot Balance'!$K$5:$K$500+'Lot Balance'!$D$5:$D$500&gt;=$AJ442),0),0)),""))</f>
        <v>LYSL500290</v>
      </c>
      <c r="AN442" s="66" t="str">
        <f>IF($F442="","",IF($AI442&lt;&gt;"",IF(COUNTIFS('Lot Balance'!$A$5:$A$500,$F442,'Lot Balance'!$B$5:$B$500,$AI442)=0,"⚠ override is not a lot of this item",IF($AI442=$AL442,"Override = FEFO","Override - FEFO says "&amp;$AL442)),IF($AL442="","⚠ no receipt on file for this item",IF($AM442&lt;&gt;$AL442,"FEFO auto - split, also "&amp;$AM442,"FEFO auto"))))</f>
        <v>FEFO auto</v>
      </c>
      <c r="AO442" s="114"/>
    </row>
    <row r="443" spans="1:41" x14ac:dyDescent="0.35">
      <c r="A443" s="74">
        <v>46143</v>
      </c>
      <c r="B443" s="18" t="str">
        <f>IF($C443="","",IFERROR(INDEX('Staff Directory'!$A$5:$A$594,MATCH($C443,'Staff Directory'!$B$5:$B$594,0)),"⚠ unknown staff"))</f>
        <v>PSW-006-A6</v>
      </c>
      <c r="C443" s="49" t="s">
        <v>982</v>
      </c>
      <c r="D443" s="19" t="str">
        <f>IF($B443="","",IFERROR(INDEX('Staff Directory'!$C$5:$C$594,MATCH($B443,'Staff Directory'!$A$5:$A$594,0)),""))</f>
        <v>PSW</v>
      </c>
      <c r="E443" s="19" t="str">
        <f>IF($B443="","",IFERROR(INDEX('Staff Directory'!$D$5:$D$594,MATCH($B443,'Staff Directory'!$A$5:$A$594,0)),""))</f>
        <v>A6</v>
      </c>
      <c r="F443" s="9" t="s">
        <v>156</v>
      </c>
      <c r="G443" s="18" t="str">
        <f>IF($F443="","",IFERROR(INDEX(Items!$B$5:$B$597,MATCH($F443,Items!$A$5:$A$597,0)),"⚠ not in Items"))</f>
        <v>Masks</v>
      </c>
      <c r="H443" s="19" t="str">
        <f>IF($F443="","",IFERROR(INDEX(Items!$C$5:$C$597,MATCH($F443,Items!$A$5:$A$597,0)),""))</f>
        <v>One Size</v>
      </c>
      <c r="I443" s="23">
        <f>IF($F443="","",IFERROR(INDEX(Items!$E$5:$E$597,MATCH($F443,Items!$A$5:$A$597,0)),""))</f>
        <v>50</v>
      </c>
      <c r="J443" s="115">
        <f>IF(tblIssues[[#This Row],[Qty Override]]&lt;&gt;"",tblIssues[[#This Row],[Qty Override]],IF(tblIssues[[#This Row],[Standard Issue]]="","",tblIssues[[#This Row],[Standard Issue]]))</f>
        <v>50</v>
      </c>
      <c r="K443" s="20">
        <f>IF($F443="","",IFERROR(INDEX(Items!$D$5:$D$597,MATCH($F443,Items!$A$5:$A$597,0)),""))</f>
        <v>0.25</v>
      </c>
      <c r="L443" s="21">
        <f t="shared" si="72"/>
        <v>12.5</v>
      </c>
      <c r="M443" s="9" t="str">
        <f t="shared" si="73"/>
        <v>0125FPC24-0</v>
      </c>
      <c r="N443" s="24">
        <f>IF($A443="","",WORKDAY($A443,Settings!$C$9,HolidayDates))</f>
        <v>46153</v>
      </c>
      <c r="O443" s="24">
        <f>IF($N443="","",WORKDAY($N443,Settings!$C$10,HolidayDates))</f>
        <v>46191</v>
      </c>
      <c r="P443" s="10" t="s">
        <v>501</v>
      </c>
      <c r="Q443" s="52" t="str">
        <f t="shared" si="75"/>
        <v>Collected</v>
      </c>
      <c r="R443" s="55" t="str">
        <f t="shared" si="76"/>
        <v>2026-05</v>
      </c>
      <c r="S443" s="55">
        <f>IF(OR($B443="",$F443="",$R443=""),"",SUMIFS(tblIssues[Qty Issued],tblIssues[Staff ID],$B443,tblIssues[Item Name],$F443,tblIssues[Month],$R443))</f>
        <v>50</v>
      </c>
      <c r="T443" s="56">
        <f>IF($I443="","",$I443*Settings!$C$11)</f>
        <v>50</v>
      </c>
      <c r="U443" s="57" t="str">
        <f t="shared" si="74"/>
        <v>OK</v>
      </c>
      <c r="V443" s="55" t="str">
        <f t="shared" si="77"/>
        <v/>
      </c>
      <c r="W443" s="55" t="str">
        <f>IF($V443="","",IF(COUNTIF($V$5:$V443,$V443)=1,1,""))</f>
        <v/>
      </c>
      <c r="X443" s="58" t="str">
        <f>IF($W443="","",MAX($X$4:X442)+1)</f>
        <v/>
      </c>
      <c r="Y443" s="62"/>
      <c r="Z443" s="62"/>
      <c r="AA443" s="64" t="str">
        <f>IF($C443="","",IFERROR(INDEX('Staff Directory'!$E$5:$E$594,MATCH($C443,'Staff Directory'!$B$5:$B$594,0)),""))</f>
        <v>firstname066.lastname066@example.com</v>
      </c>
      <c r="AB443" s="64" t="str">
        <f>IF($C443="","",IF(ISNUMBER(SEARCH($D443,Settings!$C$15)),"Pickup","Dispatch"))</f>
        <v>Pickup</v>
      </c>
      <c r="AC443" s="64" t="str">
        <f t="shared" si="78"/>
        <v>Supply order ready for pickup</v>
      </c>
      <c r="AD443" s="64" t="str">
        <f t="shared" si="69"/>
        <v>Dear PSW,
Your order is ready for pickup from Sample Branch, Wed-Fri 9am-4pm.</v>
      </c>
      <c r="AE443" s="64" t="str">
        <f t="shared" si="70"/>
        <v>mailto:firstname066.lastname066@example.com?subject=Supply%20order%20ready%20for%20pickup&amp;body=Dear%20PSW%2C%0A%0AYour%20order%20is%20ready%20for%20pickup%20from%20Sample%20Branch%2C%20Wed-Fri%209am-4pm.</v>
      </c>
      <c r="AF443" s="89" t="str">
        <f t="shared" si="79"/>
        <v>Draft email</v>
      </c>
      <c r="AG443" s="64" t="str">
        <f>IF($C443="","",IFERROR(INDEX('Staff Directory'!$K$595:$K$599,MATCH($C443,'Staff Directory'!$B$5:$B$599,0)),$D443))</f>
        <v>PSW</v>
      </c>
      <c r="AH443" t="str">
        <f>IF($C443="","",IFERROR(INDEX('Staff Directory'!$I$595:$I$599,MATCH($C443,'Staff Directory'!$B$5:$B$599,0))&amp;" "&amp;INDEX('Staff Directory'!$J$595:$J$599,MATCH($C443,'Staff Directory'!$B$5:$B$599,0)),$AG443))</f>
        <v>PSW</v>
      </c>
      <c r="AI443" s="102"/>
      <c r="AJ443" s="101">
        <f>IF($F443="","",SUMIFS($J$5:$J443,$F$5:$F443,$F443))</f>
        <v>3550</v>
      </c>
      <c r="AK443" s="101">
        <f t="shared" si="71"/>
        <v>3501</v>
      </c>
      <c r="AL443" s="66" t="str" cm="1">
        <f t="array" ref="AL443">IF($F443="","",IFERROR(INDEX('Lot Balance'!$B$5:$B$500,MATCH(1,INDEX(('Lot Balance'!$A$5:$A$500=$F443)*('Lot Balance'!$K$5:$K$500&lt;$AK443)*('Lot Balance'!$K$5:$K$500+'Lot Balance'!$D$5:$D$500&gt;=$AK443),0),0)),""))</f>
        <v>0125FPC24-0</v>
      </c>
      <c r="AM443" s="66" t="str" cm="1">
        <f t="array" ref="AM443">IF($F443="","",IFERROR(INDEX('Lot Balance'!$B$5:$B$500,MATCH(1,INDEX(('Lot Balance'!$A$5:$A$500=$F443)*('Lot Balance'!$K$5:$K$500&lt;$AJ443)*('Lot Balance'!$K$5:$K$500+'Lot Balance'!$D$5:$D$500&gt;=$AJ443),0),0)),""))</f>
        <v>0125FPC24-0</v>
      </c>
      <c r="AN443" s="66" t="str">
        <f>IF($F443="","",IF($AI443&lt;&gt;"",IF(COUNTIFS('Lot Balance'!$A$5:$A$500,$F443,'Lot Balance'!$B$5:$B$500,$AI443)=0,"⚠ override is not a lot of this item",IF($AI443=$AL443,"Override = FEFO","Override - FEFO says "&amp;$AL443)),IF($AL443="","⚠ no receipt on file for this item",IF($AM443&lt;&gt;$AL443,"FEFO auto - split, also "&amp;$AM443,"FEFO auto"))))</f>
        <v>FEFO auto</v>
      </c>
      <c r="AO443" s="114"/>
    </row>
    <row r="444" spans="1:41" x14ac:dyDescent="0.35">
      <c r="A444" s="74">
        <v>46143</v>
      </c>
      <c r="B444" s="18" t="str">
        <f>IF($C444="","",IFERROR(INDEX('Staff Directory'!$A$5:$A$594,MATCH($C444,'Staff Directory'!$B$5:$B$594,0)),"⚠ unknown staff"))</f>
        <v>PSW-127-A6</v>
      </c>
      <c r="C444" s="49" t="s">
        <v>1106</v>
      </c>
      <c r="D444" s="19" t="str">
        <f>IF($B444="","",IFERROR(INDEX('Staff Directory'!$C$5:$C$594,MATCH($B444,'Staff Directory'!$A$5:$A$594,0)),""))</f>
        <v>PSW</v>
      </c>
      <c r="E444" s="19" t="str">
        <f>IF($B444="","",IFERROR(INDEX('Staff Directory'!$D$5:$D$594,MATCH($B444,'Staff Directory'!$A$5:$A$594,0)),""))</f>
        <v>A6</v>
      </c>
      <c r="F444" s="9" t="s">
        <v>127</v>
      </c>
      <c r="G444" s="18" t="str">
        <f>IF($F444="","",IFERROR(INDEX(Items!$B$5:$B$597,MATCH($F444,Items!$A$5:$A$597,0)),"⚠ not in Items"))</f>
        <v>Gloves</v>
      </c>
      <c r="H444" s="19" t="str">
        <f>IF($F444="","",IFERROR(INDEX(Items!$C$5:$C$597,MATCH($F444,Items!$A$5:$A$597,0)),""))</f>
        <v>Medium</v>
      </c>
      <c r="I444" s="23">
        <f>IF($F444="","",IFERROR(INDEX(Items!$E$5:$E$597,MATCH($F444,Items!$A$5:$A$597,0)),""))</f>
        <v>500</v>
      </c>
      <c r="J444" s="115">
        <f>IF(tblIssues[[#This Row],[Qty Override]]&lt;&gt;"",tblIssues[[#This Row],[Qty Override]],IF(tblIssues[[#This Row],[Standard Issue]]="","",tblIssues[[#This Row],[Standard Issue]]))</f>
        <v>500</v>
      </c>
      <c r="K444" s="20">
        <f>IF($F444="","",IFERROR(INDEX(Items!$D$5:$D$597,MATCH($F444,Items!$A$5:$A$597,0)),""))</f>
        <v>5.5E-2</v>
      </c>
      <c r="L444" s="21">
        <f t="shared" si="72"/>
        <v>27.5</v>
      </c>
      <c r="M444" s="9" t="str">
        <f t="shared" si="73"/>
        <v>0312HIC25</v>
      </c>
      <c r="N444" s="24">
        <f>IF($A444="","",WORKDAY($A444,Settings!$C$9,HolidayDates))</f>
        <v>46153</v>
      </c>
      <c r="O444" s="24">
        <f>IF($N444="","",WORKDAY($N444,Settings!$C$10,HolidayDates))</f>
        <v>46191</v>
      </c>
      <c r="P444" s="10" t="s">
        <v>501</v>
      </c>
      <c r="Q444" s="52" t="str">
        <f t="shared" si="75"/>
        <v>Collected</v>
      </c>
      <c r="R444" s="55" t="str">
        <f t="shared" si="76"/>
        <v>2026-05</v>
      </c>
      <c r="S444" s="55">
        <f>IF(OR($B444="",$F444="",$R444=""),"",SUMIFS(tblIssues[Qty Issued],tblIssues[Staff ID],$B444,tblIssues[Item Name],$F444,tblIssues[Month],$R444))</f>
        <v>500</v>
      </c>
      <c r="T444" s="56">
        <f>IF($I444="","",$I444*Settings!$C$11)</f>
        <v>500</v>
      </c>
      <c r="U444" s="57" t="str">
        <f t="shared" si="74"/>
        <v>OK</v>
      </c>
      <c r="V444" s="55" t="str">
        <f t="shared" si="77"/>
        <v/>
      </c>
      <c r="W444" s="55" t="str">
        <f>IF($V444="","",IF(COUNTIF($V$5:$V444,$V444)=1,1,""))</f>
        <v/>
      </c>
      <c r="X444" s="58" t="str">
        <f>IF($W444="","",MAX($X$4:X443)+1)</f>
        <v/>
      </c>
      <c r="Y444" s="62"/>
      <c r="Z444" s="62"/>
      <c r="AA444" s="64" t="str">
        <f>IF($C444="","",IFERROR(INDEX('Staff Directory'!$E$5:$E$594,MATCH($C444,'Staff Directory'!$B$5:$B$594,0)),""))</f>
        <v>firstname190.lastname190@example.com</v>
      </c>
      <c r="AB444" s="64" t="str">
        <f>IF($C444="","",IF(ISNUMBER(SEARCH($D444,Settings!$C$15)),"Pickup","Dispatch"))</f>
        <v>Pickup</v>
      </c>
      <c r="AC444" s="64" t="str">
        <f t="shared" si="78"/>
        <v>Supply order ready for pickup</v>
      </c>
      <c r="AD444" s="64" t="str">
        <f t="shared" si="69"/>
        <v>Dear PSW,
Your order is ready for pickup from Sample Branch, Wed-Fri 9am-4pm.</v>
      </c>
      <c r="AE444" s="64" t="str">
        <f t="shared" si="70"/>
        <v>mailto:firstname190.lastname190@example.com?subject=Supply%20order%20ready%20for%20pickup&amp;body=Dear%20PSW%2C%0A%0AYour%20order%20is%20ready%20for%20pickup%20from%20Sample%20Branch%2C%20Wed-Fri%209am-4pm.</v>
      </c>
      <c r="AF444" s="89" t="str">
        <f t="shared" si="79"/>
        <v>Draft email</v>
      </c>
      <c r="AG444" s="64" t="str">
        <f>IF($C444="","",IFERROR(INDEX('Staff Directory'!$K$595:$K$599,MATCH($C444,'Staff Directory'!$B$5:$B$599,0)),$D444))</f>
        <v>PSW</v>
      </c>
      <c r="AH444" t="str">
        <f>IF($C444="","",IFERROR(INDEX('Staff Directory'!$I$595:$I$599,MATCH($C444,'Staff Directory'!$B$5:$B$599,0))&amp;" "&amp;INDEX('Staff Directory'!$J$595:$J$599,MATCH($C444,'Staff Directory'!$B$5:$B$599,0)),$AG444))</f>
        <v>PSW</v>
      </c>
      <c r="AI444" s="102"/>
      <c r="AJ444" s="101">
        <f>IF($F444="","",SUMIFS($J$5:$J444,$F$5:$F444,$F444))</f>
        <v>26000</v>
      </c>
      <c r="AK444" s="101">
        <f t="shared" si="71"/>
        <v>25501</v>
      </c>
      <c r="AL444" s="66" t="str" cm="1">
        <f t="array" ref="AL444">IF($F444="","",IFERROR(INDEX('Lot Balance'!$B$5:$B$500,MATCH(1,INDEX(('Lot Balance'!$A$5:$A$500=$F444)*('Lot Balance'!$K$5:$K$500&lt;$AK444)*('Lot Balance'!$K$5:$K$500+'Lot Balance'!$D$5:$D$500&gt;=$AK444),0),0)),""))</f>
        <v>0312HIC25</v>
      </c>
      <c r="AM444" s="66" t="str" cm="1">
        <f t="array" ref="AM444">IF($F444="","",IFERROR(INDEX('Lot Balance'!$B$5:$B$500,MATCH(1,INDEX(('Lot Balance'!$A$5:$A$500=$F444)*('Lot Balance'!$K$5:$K$500&lt;$AJ444)*('Lot Balance'!$K$5:$K$500+'Lot Balance'!$D$5:$D$500&gt;=$AJ444),0),0)),""))</f>
        <v>0312HIC25</v>
      </c>
      <c r="AN444" s="66" t="str">
        <f>IF($F444="","",IF($AI444&lt;&gt;"",IF(COUNTIFS('Lot Balance'!$A$5:$A$500,$F444,'Lot Balance'!$B$5:$B$500,$AI444)=0,"⚠ override is not a lot of this item",IF($AI444=$AL444,"Override = FEFO","Override - FEFO says "&amp;$AL444)),IF($AL444="","⚠ no receipt on file for this item",IF($AM444&lt;&gt;$AL444,"FEFO auto - split, also "&amp;$AM444,"FEFO auto"))))</f>
        <v>FEFO auto</v>
      </c>
      <c r="AO444" s="114"/>
    </row>
    <row r="445" spans="1:41" x14ac:dyDescent="0.35">
      <c r="A445" s="74">
        <v>46143</v>
      </c>
      <c r="B445" s="18" t="str">
        <f>IF($C445="","",IFERROR(INDEX('Staff Directory'!$A$5:$A$594,MATCH($C445,'Staff Directory'!$B$5:$B$594,0)),"⚠ unknown staff"))</f>
        <v>PSW-127-A6</v>
      </c>
      <c r="C445" s="49" t="s">
        <v>1106</v>
      </c>
      <c r="D445" s="19" t="str">
        <f>IF($B445="","",IFERROR(INDEX('Staff Directory'!$C$5:$C$594,MATCH($B445,'Staff Directory'!$A$5:$A$594,0)),""))</f>
        <v>PSW</v>
      </c>
      <c r="E445" s="19" t="str">
        <f>IF($B445="","",IFERROR(INDEX('Staff Directory'!$D$5:$D$594,MATCH($B445,'Staff Directory'!$A$5:$A$594,0)),""))</f>
        <v>A6</v>
      </c>
      <c r="F445" s="9" t="s">
        <v>191</v>
      </c>
      <c r="G445" s="18" t="str">
        <f>IF($F445="","",IFERROR(INDEX(Items!$B$5:$B$597,MATCH($F445,Items!$A$5:$A$597,0)),"⚠ not in Items"))</f>
        <v>Sanitizer</v>
      </c>
      <c r="H445" s="19" t="str">
        <f>IF($F445="","",IFERROR(INDEX(Items!$C$5:$C$597,MATCH($F445,Items!$A$5:$A$597,0)),""))</f>
        <v>236 ML</v>
      </c>
      <c r="I445" s="23">
        <f>IF($F445="","",IFERROR(INDEX(Items!$E$5:$E$597,MATCH($F445,Items!$A$5:$A$597,0)),""))</f>
        <v>1</v>
      </c>
      <c r="J445" s="115">
        <f>IF(tblIssues[[#This Row],[Qty Override]]&lt;&gt;"",tblIssues[[#This Row],[Qty Override]],IF(tblIssues[[#This Row],[Standard Issue]]="","",tblIssues[[#This Row],[Standard Issue]]))</f>
        <v>1</v>
      </c>
      <c r="K445" s="20">
        <f>IF($F445="","",IFERROR(INDEX(Items!$D$5:$D$597,MATCH($F445,Items!$A$5:$A$597,0)),""))</f>
        <v>1E-4</v>
      </c>
      <c r="L445" s="21">
        <f t="shared" si="72"/>
        <v>1E-4</v>
      </c>
      <c r="M445" s="9" t="str">
        <f t="shared" si="73"/>
        <v>20-21734-2</v>
      </c>
      <c r="N445" s="24">
        <f>IF($A445="","",WORKDAY($A445,Settings!$C$9,HolidayDates))</f>
        <v>46153</v>
      </c>
      <c r="O445" s="24">
        <f>IF($N445="","",WORKDAY($N445,Settings!$C$10,HolidayDates))</f>
        <v>46191</v>
      </c>
      <c r="P445" s="10" t="s">
        <v>501</v>
      </c>
      <c r="Q445" s="52" t="str">
        <f t="shared" si="75"/>
        <v>Collected</v>
      </c>
      <c r="R445" s="55" t="str">
        <f t="shared" si="76"/>
        <v>2026-05</v>
      </c>
      <c r="S445" s="55">
        <f>IF(OR($B445="",$F445="",$R445=""),"",SUMIFS(tblIssues[Qty Issued],tblIssues[Staff ID],$B445,tblIssues[Item Name],$F445,tblIssues[Month],$R445))</f>
        <v>1</v>
      </c>
      <c r="T445" s="56">
        <f>IF($I445="","",$I445*Settings!$C$11)</f>
        <v>1</v>
      </c>
      <c r="U445" s="57" t="str">
        <f t="shared" si="74"/>
        <v>OK</v>
      </c>
      <c r="V445" s="55" t="str">
        <f t="shared" si="77"/>
        <v/>
      </c>
      <c r="W445" s="55" t="str">
        <f>IF($V445="","",IF(COUNTIF($V$5:$V445,$V445)=1,1,""))</f>
        <v/>
      </c>
      <c r="X445" s="58" t="str">
        <f>IF($W445="","",MAX($X$4:X444)+1)</f>
        <v/>
      </c>
      <c r="Y445" s="62"/>
      <c r="Z445" s="62"/>
      <c r="AA445" s="64" t="str">
        <f>IF($C445="","",IFERROR(INDEX('Staff Directory'!$E$5:$E$594,MATCH($C445,'Staff Directory'!$B$5:$B$594,0)),""))</f>
        <v>firstname190.lastname190@example.com</v>
      </c>
      <c r="AB445" s="64" t="str">
        <f>IF($C445="","",IF(ISNUMBER(SEARCH($D445,Settings!$C$15)),"Pickup","Dispatch"))</f>
        <v>Pickup</v>
      </c>
      <c r="AC445" s="64" t="str">
        <f t="shared" si="78"/>
        <v>Supply order ready for pickup</v>
      </c>
      <c r="AD445" s="64" t="str">
        <f t="shared" si="69"/>
        <v>Dear PSW,
Your order is ready for pickup from Sample Branch, Wed-Fri 9am-4pm.</v>
      </c>
      <c r="AE445" s="64" t="str">
        <f t="shared" si="70"/>
        <v>mailto:firstname190.lastname190@example.com?subject=Supply%20order%20ready%20for%20pickup&amp;body=Dear%20PSW%2C%0A%0AYour%20order%20is%20ready%20for%20pickup%20from%20Sample%20Branch%2C%20Wed-Fri%209am-4pm.</v>
      </c>
      <c r="AF445" s="89" t="str">
        <f t="shared" si="79"/>
        <v>Draft email</v>
      </c>
      <c r="AG445" s="64" t="str">
        <f>IF($C445="","",IFERROR(INDEX('Staff Directory'!$K$595:$K$599,MATCH($C445,'Staff Directory'!$B$5:$B$599,0)),$D445))</f>
        <v>PSW</v>
      </c>
      <c r="AH445" t="str">
        <f>IF($C445="","",IFERROR(INDEX('Staff Directory'!$I$595:$I$599,MATCH($C445,'Staff Directory'!$B$5:$B$599,0))&amp;" "&amp;INDEX('Staff Directory'!$J$595:$J$599,MATCH($C445,'Staff Directory'!$B$5:$B$599,0)),$AG445))</f>
        <v>PSW</v>
      </c>
      <c r="AI445" s="102"/>
      <c r="AJ445" s="101">
        <f>IF($F445="","",SUMIFS($J$5:$J445,$F$5:$F445,$F445))</f>
        <v>41</v>
      </c>
      <c r="AK445" s="101">
        <f t="shared" si="71"/>
        <v>41</v>
      </c>
      <c r="AL445" s="66" t="str" cm="1">
        <f t="array" ref="AL445">IF($F445="","",IFERROR(INDEX('Lot Balance'!$B$5:$B$500,MATCH(1,INDEX(('Lot Balance'!$A$5:$A$500=$F445)*('Lot Balance'!$K$5:$K$500&lt;$AK445)*('Lot Balance'!$K$5:$K$500+'Lot Balance'!$D$5:$D$500&gt;=$AK445),0),0)),""))</f>
        <v>20-21734-2</v>
      </c>
      <c r="AM445" s="66" t="str" cm="1">
        <f t="array" ref="AM445">IF($F445="","",IFERROR(INDEX('Lot Balance'!$B$5:$B$500,MATCH(1,INDEX(('Lot Balance'!$A$5:$A$500=$F445)*('Lot Balance'!$K$5:$K$500&lt;$AJ445)*('Lot Balance'!$K$5:$K$500+'Lot Balance'!$D$5:$D$500&gt;=$AJ445),0),0)),""))</f>
        <v>20-21734-2</v>
      </c>
      <c r="AN445" s="66" t="str">
        <f>IF($F445="","",IF($AI445&lt;&gt;"",IF(COUNTIFS('Lot Balance'!$A$5:$A$500,$F445,'Lot Balance'!$B$5:$B$500,$AI445)=0,"⚠ override is not a lot of this item",IF($AI445=$AL445,"Override = FEFO","Override - FEFO says "&amp;$AL445)),IF($AL445="","⚠ no receipt on file for this item",IF($AM445&lt;&gt;$AL445,"FEFO auto - split, also "&amp;$AM445,"FEFO auto"))))</f>
        <v>FEFO auto</v>
      </c>
      <c r="AO445" s="114"/>
    </row>
    <row r="446" spans="1:41" x14ac:dyDescent="0.35">
      <c r="A446" s="74">
        <v>46143</v>
      </c>
      <c r="B446" s="18" t="str">
        <f>IF($C446="","",IFERROR(INDEX('Staff Directory'!$A$5:$A$594,MATCH($C446,'Staff Directory'!$B$5:$B$594,0)),"⚠ unknown staff"))</f>
        <v>PSW-127-A6</v>
      </c>
      <c r="C446" s="49" t="s">
        <v>1106</v>
      </c>
      <c r="D446" s="19" t="str">
        <f>IF($B446="","",IFERROR(INDEX('Staff Directory'!$C$5:$C$594,MATCH($B446,'Staff Directory'!$A$5:$A$594,0)),""))</f>
        <v>PSW</v>
      </c>
      <c r="E446" s="19" t="str">
        <f>IF($B446="","",IFERROR(INDEX('Staff Directory'!$D$5:$D$594,MATCH($B446,'Staff Directory'!$A$5:$A$594,0)),""))</f>
        <v>A6</v>
      </c>
      <c r="F446" s="9" t="s">
        <v>115</v>
      </c>
      <c r="G446" s="18" t="str">
        <f>IF($F446="","",IFERROR(INDEX(Items!$B$5:$B$597,MATCH($F446,Items!$A$5:$A$597,0)),"⚠ not in Items"))</f>
        <v>Wipes</v>
      </c>
      <c r="H446" s="19">
        <f>IF($F446="","",IFERROR(INDEX(Items!$C$5:$C$597,MATCH($F446,Items!$A$5:$A$597,0)),""))</f>
        <v>80</v>
      </c>
      <c r="I446" s="23">
        <f>IF($F446="","",IFERROR(INDEX(Items!$E$5:$E$597,MATCH($F446,Items!$A$5:$A$597,0)),""))</f>
        <v>80</v>
      </c>
      <c r="J446" s="115">
        <f>IF(tblIssues[[#This Row],[Qty Override]]&lt;&gt;"",tblIssues[[#This Row],[Qty Override]],IF(tblIssues[[#This Row],[Standard Issue]]="","",tblIssues[[#This Row],[Standard Issue]]))</f>
        <v>80</v>
      </c>
      <c r="K446" s="20">
        <f>IF($F446="","",IFERROR(INDEX(Items!$D$5:$D$597,MATCH($F446,Items!$A$5:$A$597,0)),""))</f>
        <v>0.1</v>
      </c>
      <c r="L446" s="21">
        <f t="shared" si="72"/>
        <v>8</v>
      </c>
      <c r="M446" s="9" t="str">
        <f t="shared" si="73"/>
        <v>LYSL500290</v>
      </c>
      <c r="N446" s="24">
        <f>IF($A446="","",WORKDAY($A446,Settings!$C$9,HolidayDates))</f>
        <v>46153</v>
      </c>
      <c r="O446" s="24">
        <f>IF($N446="","",WORKDAY($N446,Settings!$C$10,HolidayDates))</f>
        <v>46191</v>
      </c>
      <c r="P446" s="10" t="s">
        <v>501</v>
      </c>
      <c r="Q446" s="52" t="str">
        <f t="shared" si="75"/>
        <v>Collected</v>
      </c>
      <c r="R446" s="55" t="str">
        <f t="shared" si="76"/>
        <v>2026-05</v>
      </c>
      <c r="S446" s="55">
        <f>IF(OR($B446="",$F446="",$R446=""),"",SUMIFS(tblIssues[Qty Issued],tblIssues[Staff ID],$B446,tblIssues[Item Name],$F446,tblIssues[Month],$R446))</f>
        <v>80</v>
      </c>
      <c r="T446" s="56">
        <f>IF($I446="","",$I446*Settings!$C$11)</f>
        <v>80</v>
      </c>
      <c r="U446" s="57" t="str">
        <f t="shared" si="74"/>
        <v>OK</v>
      </c>
      <c r="V446" s="55" t="str">
        <f t="shared" si="77"/>
        <v/>
      </c>
      <c r="W446" s="55" t="str">
        <f>IF($V446="","",IF(COUNTIF($V$5:$V446,$V446)=1,1,""))</f>
        <v/>
      </c>
      <c r="X446" s="58" t="str">
        <f>IF($W446="","",MAX($X$4:X445)+1)</f>
        <v/>
      </c>
      <c r="Y446" s="62"/>
      <c r="Z446" s="62"/>
      <c r="AA446" s="64" t="str">
        <f>IF($C446="","",IFERROR(INDEX('Staff Directory'!$E$5:$E$594,MATCH($C446,'Staff Directory'!$B$5:$B$594,0)),""))</f>
        <v>firstname190.lastname190@example.com</v>
      </c>
      <c r="AB446" s="64" t="str">
        <f>IF($C446="","",IF(ISNUMBER(SEARCH($D446,Settings!$C$15)),"Pickup","Dispatch"))</f>
        <v>Pickup</v>
      </c>
      <c r="AC446" s="64" t="str">
        <f t="shared" si="78"/>
        <v>Supply order ready for pickup</v>
      </c>
      <c r="AD446" s="64" t="str">
        <f t="shared" si="69"/>
        <v>Dear PSW,
Your order is ready for pickup from Sample Branch, Wed-Fri 9am-4pm.</v>
      </c>
      <c r="AE446" s="64" t="str">
        <f t="shared" si="70"/>
        <v>mailto:firstname190.lastname190@example.com?subject=Supply%20order%20ready%20for%20pickup&amp;body=Dear%20PSW%2C%0A%0AYour%20order%20is%20ready%20for%20pickup%20from%20Sample%20Branch%2C%20Wed-Fri%209am-4pm.</v>
      </c>
      <c r="AF446" s="89" t="str">
        <f t="shared" si="79"/>
        <v>Draft email</v>
      </c>
      <c r="AG446" s="64" t="str">
        <f>IF($C446="","",IFERROR(INDEX('Staff Directory'!$K$595:$K$599,MATCH($C446,'Staff Directory'!$B$5:$B$599,0)),$D446))</f>
        <v>PSW</v>
      </c>
      <c r="AH446" t="str">
        <f>IF($C446="","",IFERROR(INDEX('Staff Directory'!$I$595:$I$599,MATCH($C446,'Staff Directory'!$B$5:$B$599,0))&amp;" "&amp;INDEX('Staff Directory'!$J$595:$J$599,MATCH($C446,'Staff Directory'!$B$5:$B$599,0)),$AG446))</f>
        <v>PSW</v>
      </c>
      <c r="AI446" s="102"/>
      <c r="AJ446" s="101">
        <f>IF($F446="","",SUMIFS($J$5:$J446,$F$5:$F446,$F446))</f>
        <v>6240</v>
      </c>
      <c r="AK446" s="101">
        <f t="shared" si="71"/>
        <v>6161</v>
      </c>
      <c r="AL446" s="66" t="str" cm="1">
        <f t="array" ref="AL446">IF($F446="","",IFERROR(INDEX('Lot Balance'!$B$5:$B$500,MATCH(1,INDEX(('Lot Balance'!$A$5:$A$500=$F446)*('Lot Balance'!$K$5:$K$500&lt;$AK446)*('Lot Balance'!$K$5:$K$500+'Lot Balance'!$D$5:$D$500&gt;=$AK446),0),0)),""))</f>
        <v>LYSL500290</v>
      </c>
      <c r="AM446" s="66" t="str" cm="1">
        <f t="array" ref="AM446">IF($F446="","",IFERROR(INDEX('Lot Balance'!$B$5:$B$500,MATCH(1,INDEX(('Lot Balance'!$A$5:$A$500=$F446)*('Lot Balance'!$K$5:$K$500&lt;$AJ446)*('Lot Balance'!$K$5:$K$500+'Lot Balance'!$D$5:$D$500&gt;=$AJ446),0),0)),""))</f>
        <v>LYSL500290</v>
      </c>
      <c r="AN446" s="66" t="str">
        <f>IF($F446="","",IF($AI446&lt;&gt;"",IF(COUNTIFS('Lot Balance'!$A$5:$A$500,$F446,'Lot Balance'!$B$5:$B$500,$AI446)=0,"⚠ override is not a lot of this item",IF($AI446=$AL446,"Override = FEFO","Override - FEFO says "&amp;$AL446)),IF($AL446="","⚠ no receipt on file for this item",IF($AM446&lt;&gt;$AL446,"FEFO auto - split, also "&amp;$AM446,"FEFO auto"))))</f>
        <v>FEFO auto</v>
      </c>
      <c r="AO446" s="114"/>
    </row>
    <row r="447" spans="1:41" x14ac:dyDescent="0.35">
      <c r="A447" s="74">
        <v>46143</v>
      </c>
      <c r="B447" s="18" t="str">
        <f>IF($C447="","",IFERROR(INDEX('Staff Directory'!$A$5:$A$594,MATCH($C447,'Staff Directory'!$B$5:$B$594,0)),"⚠ unknown staff"))</f>
        <v>PSW-018-A5</v>
      </c>
      <c r="C447" s="49" t="s">
        <v>994</v>
      </c>
      <c r="D447" s="19" t="str">
        <f>IF($B447="","",IFERROR(INDEX('Staff Directory'!$C$5:$C$594,MATCH($B447,'Staff Directory'!$A$5:$A$594,0)),""))</f>
        <v>PSW</v>
      </c>
      <c r="E447" s="19" t="str">
        <f>IF($B447="","",IFERROR(INDEX('Staff Directory'!$D$5:$D$594,MATCH($B447,'Staff Directory'!$A$5:$A$594,0)),""))</f>
        <v>A5</v>
      </c>
      <c r="F447" s="9" t="s">
        <v>127</v>
      </c>
      <c r="G447" s="18" t="str">
        <f>IF($F447="","",IFERROR(INDEX(Items!$B$5:$B$597,MATCH($F447,Items!$A$5:$A$597,0)),"⚠ not in Items"))</f>
        <v>Gloves</v>
      </c>
      <c r="H447" s="19" t="str">
        <f>IF($F447="","",IFERROR(INDEX(Items!$C$5:$C$597,MATCH($F447,Items!$A$5:$A$597,0)),""))</f>
        <v>Medium</v>
      </c>
      <c r="I447" s="23">
        <f>IF($F447="","",IFERROR(INDEX(Items!$E$5:$E$597,MATCH($F447,Items!$A$5:$A$597,0)),""))</f>
        <v>500</v>
      </c>
      <c r="J447" s="115">
        <f>IF(tblIssues[[#This Row],[Qty Override]]&lt;&gt;"",tblIssues[[#This Row],[Qty Override]],IF(tblIssues[[#This Row],[Standard Issue]]="","",tblIssues[[#This Row],[Standard Issue]]))</f>
        <v>500</v>
      </c>
      <c r="K447" s="20">
        <f>IF($F447="","",IFERROR(INDEX(Items!$D$5:$D$597,MATCH($F447,Items!$A$5:$A$597,0)),""))</f>
        <v>5.5E-2</v>
      </c>
      <c r="L447" s="21">
        <f t="shared" si="72"/>
        <v>27.5</v>
      </c>
      <c r="M447" s="9" t="str">
        <f t="shared" si="73"/>
        <v>0312HIC25</v>
      </c>
      <c r="N447" s="24">
        <f>IF($A447="","",WORKDAY($A447,Settings!$C$9,HolidayDates))</f>
        <v>46153</v>
      </c>
      <c r="O447" s="24">
        <f>IF($N447="","",WORKDAY($N447,Settings!$C$10,HolidayDates))</f>
        <v>46191</v>
      </c>
      <c r="P447" s="10" t="s">
        <v>501</v>
      </c>
      <c r="Q447" s="52" t="str">
        <f t="shared" si="75"/>
        <v>Collected</v>
      </c>
      <c r="R447" s="55" t="str">
        <f t="shared" si="76"/>
        <v>2026-05</v>
      </c>
      <c r="S447" s="55">
        <f>IF(OR($B447="",$F447="",$R447=""),"",SUMIFS(tblIssues[Qty Issued],tblIssues[Staff ID],$B447,tblIssues[Item Name],$F447,tblIssues[Month],$R447))</f>
        <v>500</v>
      </c>
      <c r="T447" s="56">
        <f>IF($I447="","",$I447*Settings!$C$11)</f>
        <v>500</v>
      </c>
      <c r="U447" s="57" t="str">
        <f t="shared" si="74"/>
        <v>OK</v>
      </c>
      <c r="V447" s="55" t="str">
        <f t="shared" si="77"/>
        <v/>
      </c>
      <c r="W447" s="55" t="str">
        <f>IF($V447="","",IF(COUNTIF($V$5:$V447,$V447)=1,1,""))</f>
        <v/>
      </c>
      <c r="X447" s="58" t="str">
        <f>IF($W447="","",MAX($X$4:X446)+1)</f>
        <v/>
      </c>
      <c r="Y447" s="62"/>
      <c r="Z447" s="62"/>
      <c r="AA447" s="64" t="str">
        <f>IF($C447="","",IFERROR(INDEX('Staff Directory'!$E$5:$E$594,MATCH($C447,'Staff Directory'!$B$5:$B$594,0)),""))</f>
        <v>firstname078.lastname078@example.com</v>
      </c>
      <c r="AB447" s="64" t="str">
        <f>IF($C447="","",IF(ISNUMBER(SEARCH($D447,Settings!$C$15)),"Pickup","Dispatch"))</f>
        <v>Pickup</v>
      </c>
      <c r="AC447" s="64" t="str">
        <f t="shared" si="78"/>
        <v>Supply order ready for pickup</v>
      </c>
      <c r="AD447" s="64" t="str">
        <f t="shared" si="69"/>
        <v>Dear PSW,
Your order is ready for pickup from Sample Branch, Wed-Fri 9am-4pm.</v>
      </c>
      <c r="AE447" s="64" t="str">
        <f t="shared" si="70"/>
        <v>mailto:firstname078.lastname078@example.com?subject=Supply%20order%20ready%20for%20pickup&amp;body=Dear%20PSW%2C%0A%0AYour%20order%20is%20ready%20for%20pickup%20from%20Sample%20Branch%2C%20Wed-Fri%209am-4pm.</v>
      </c>
      <c r="AF447" s="89" t="str">
        <f t="shared" si="79"/>
        <v>Draft email</v>
      </c>
      <c r="AG447" s="64" t="str">
        <f>IF($C447="","",IFERROR(INDEX('Staff Directory'!$K$595:$K$599,MATCH($C447,'Staff Directory'!$B$5:$B$599,0)),$D447))</f>
        <v>PSW</v>
      </c>
      <c r="AH447" t="str">
        <f>IF($C447="","",IFERROR(INDEX('Staff Directory'!$I$595:$I$599,MATCH($C447,'Staff Directory'!$B$5:$B$599,0))&amp;" "&amp;INDEX('Staff Directory'!$J$595:$J$599,MATCH($C447,'Staff Directory'!$B$5:$B$599,0)),$AG447))</f>
        <v>PSW</v>
      </c>
      <c r="AI447" s="102"/>
      <c r="AJ447" s="101">
        <f>IF($F447="","",SUMIFS($J$5:$J447,$F$5:$F447,$F447))</f>
        <v>26500</v>
      </c>
      <c r="AK447" s="101">
        <f t="shared" si="71"/>
        <v>26001</v>
      </c>
      <c r="AL447" s="66" t="str" cm="1">
        <f t="array" ref="AL447">IF($F447="","",IFERROR(INDEX('Lot Balance'!$B$5:$B$500,MATCH(1,INDEX(('Lot Balance'!$A$5:$A$500=$F447)*('Lot Balance'!$K$5:$K$500&lt;$AK447)*('Lot Balance'!$K$5:$K$500+'Lot Balance'!$D$5:$D$500&gt;=$AK447),0),0)),""))</f>
        <v>0312HIC25</v>
      </c>
      <c r="AM447" s="66" t="str" cm="1">
        <f t="array" ref="AM447">IF($F447="","",IFERROR(INDEX('Lot Balance'!$B$5:$B$500,MATCH(1,INDEX(('Lot Balance'!$A$5:$A$500=$F447)*('Lot Balance'!$K$5:$K$500&lt;$AJ447)*('Lot Balance'!$K$5:$K$500+'Lot Balance'!$D$5:$D$500&gt;=$AJ447),0),0)),""))</f>
        <v>0312HIC25</v>
      </c>
      <c r="AN447" s="66" t="str">
        <f>IF($F447="","",IF($AI447&lt;&gt;"",IF(COUNTIFS('Lot Balance'!$A$5:$A$500,$F447,'Lot Balance'!$B$5:$B$500,$AI447)=0,"⚠ override is not a lot of this item",IF($AI447=$AL447,"Override = FEFO","Override - FEFO says "&amp;$AL447)),IF($AL447="","⚠ no receipt on file for this item",IF($AM447&lt;&gt;$AL447,"FEFO auto - split, also "&amp;$AM447,"FEFO auto"))))</f>
        <v>FEFO auto</v>
      </c>
      <c r="AO447" s="114"/>
    </row>
    <row r="448" spans="1:41" x14ac:dyDescent="0.35">
      <c r="A448" s="74">
        <v>46143</v>
      </c>
      <c r="B448" s="18" t="str">
        <f>IF($C448="","",IFERROR(INDEX('Staff Directory'!$A$5:$A$594,MATCH($C448,'Staff Directory'!$B$5:$B$594,0)),"⚠ unknown staff"))</f>
        <v>PSW-018-A5</v>
      </c>
      <c r="C448" s="49" t="s">
        <v>994</v>
      </c>
      <c r="D448" s="19" t="str">
        <f>IF($B448="","",IFERROR(INDEX('Staff Directory'!$C$5:$C$594,MATCH($B448,'Staff Directory'!$A$5:$A$594,0)),""))</f>
        <v>PSW</v>
      </c>
      <c r="E448" s="19" t="str">
        <f>IF($B448="","",IFERROR(INDEX('Staff Directory'!$D$5:$D$594,MATCH($B448,'Staff Directory'!$A$5:$A$594,0)),""))</f>
        <v>A5</v>
      </c>
      <c r="F448" s="9" t="s">
        <v>191</v>
      </c>
      <c r="G448" s="18" t="str">
        <f>IF($F448="","",IFERROR(INDEX(Items!$B$5:$B$597,MATCH($F448,Items!$A$5:$A$597,0)),"⚠ not in Items"))</f>
        <v>Sanitizer</v>
      </c>
      <c r="H448" s="19" t="str">
        <f>IF($F448="","",IFERROR(INDEX(Items!$C$5:$C$597,MATCH($F448,Items!$A$5:$A$597,0)),""))</f>
        <v>236 ML</v>
      </c>
      <c r="I448" s="23">
        <f>IF($F448="","",IFERROR(INDEX(Items!$E$5:$E$597,MATCH($F448,Items!$A$5:$A$597,0)),""))</f>
        <v>1</v>
      </c>
      <c r="J448" s="115">
        <f>IF(tblIssues[[#This Row],[Qty Override]]&lt;&gt;"",tblIssues[[#This Row],[Qty Override]],IF(tblIssues[[#This Row],[Standard Issue]]="","",tblIssues[[#This Row],[Standard Issue]]))</f>
        <v>1</v>
      </c>
      <c r="K448" s="20">
        <f>IF($F448="","",IFERROR(INDEX(Items!$D$5:$D$597,MATCH($F448,Items!$A$5:$A$597,0)),""))</f>
        <v>1E-4</v>
      </c>
      <c r="L448" s="21">
        <f t="shared" si="72"/>
        <v>1E-4</v>
      </c>
      <c r="M448" s="9" t="str">
        <f t="shared" si="73"/>
        <v>20-21734-2</v>
      </c>
      <c r="N448" s="24">
        <f>IF($A448="","",WORKDAY($A448,Settings!$C$9,HolidayDates))</f>
        <v>46153</v>
      </c>
      <c r="O448" s="24">
        <f>IF($N448="","",WORKDAY($N448,Settings!$C$10,HolidayDates))</f>
        <v>46191</v>
      </c>
      <c r="P448" s="10" t="s">
        <v>501</v>
      </c>
      <c r="Q448" s="52" t="str">
        <f t="shared" si="75"/>
        <v>Collected</v>
      </c>
      <c r="R448" s="55" t="str">
        <f t="shared" si="76"/>
        <v>2026-05</v>
      </c>
      <c r="S448" s="55">
        <f>IF(OR($B448="",$F448="",$R448=""),"",SUMIFS(tblIssues[Qty Issued],tblIssues[Staff ID],$B448,tblIssues[Item Name],$F448,tblIssues[Month],$R448))</f>
        <v>1</v>
      </c>
      <c r="T448" s="56">
        <f>IF($I448="","",$I448*Settings!$C$11)</f>
        <v>1</v>
      </c>
      <c r="U448" s="57" t="str">
        <f t="shared" si="74"/>
        <v>OK</v>
      </c>
      <c r="V448" s="55" t="str">
        <f t="shared" si="77"/>
        <v/>
      </c>
      <c r="W448" s="55" t="str">
        <f>IF($V448="","",IF(COUNTIF($V$5:$V448,$V448)=1,1,""))</f>
        <v/>
      </c>
      <c r="X448" s="58" t="str">
        <f>IF($W448="","",MAX($X$4:X447)+1)</f>
        <v/>
      </c>
      <c r="Y448" s="62"/>
      <c r="Z448" s="62"/>
      <c r="AA448" s="64" t="str">
        <f>IF($C448="","",IFERROR(INDEX('Staff Directory'!$E$5:$E$594,MATCH($C448,'Staff Directory'!$B$5:$B$594,0)),""))</f>
        <v>firstname078.lastname078@example.com</v>
      </c>
      <c r="AB448" s="64" t="str">
        <f>IF($C448="","",IF(ISNUMBER(SEARCH($D448,Settings!$C$15)),"Pickup","Dispatch"))</f>
        <v>Pickup</v>
      </c>
      <c r="AC448" s="64" t="str">
        <f t="shared" si="78"/>
        <v>Supply order ready for pickup</v>
      </c>
      <c r="AD448" s="64" t="str">
        <f t="shared" si="69"/>
        <v>Dear PSW,
Your order is ready for pickup from Sample Branch, Wed-Fri 9am-4pm.</v>
      </c>
      <c r="AE448" s="64" t="str">
        <f t="shared" si="70"/>
        <v>mailto:firstname078.lastname078@example.com?subject=Supply%20order%20ready%20for%20pickup&amp;body=Dear%20PSW%2C%0A%0AYour%20order%20is%20ready%20for%20pickup%20from%20Sample%20Branch%2C%20Wed-Fri%209am-4pm.</v>
      </c>
      <c r="AF448" s="89" t="str">
        <f t="shared" si="79"/>
        <v>Draft email</v>
      </c>
      <c r="AG448" s="64" t="str">
        <f>IF($C448="","",IFERROR(INDEX('Staff Directory'!$K$595:$K$599,MATCH($C448,'Staff Directory'!$B$5:$B$599,0)),$D448))</f>
        <v>PSW</v>
      </c>
      <c r="AH448" t="str">
        <f>IF($C448="","",IFERROR(INDEX('Staff Directory'!$I$595:$I$599,MATCH($C448,'Staff Directory'!$B$5:$B$599,0))&amp;" "&amp;INDEX('Staff Directory'!$J$595:$J$599,MATCH($C448,'Staff Directory'!$B$5:$B$599,0)),$AG448))</f>
        <v>PSW</v>
      </c>
      <c r="AI448" s="102"/>
      <c r="AJ448" s="101">
        <f>IF($F448="","",SUMIFS($J$5:$J448,$F$5:$F448,$F448))</f>
        <v>42</v>
      </c>
      <c r="AK448" s="101">
        <f t="shared" si="71"/>
        <v>42</v>
      </c>
      <c r="AL448" s="66" t="str" cm="1">
        <f t="array" ref="AL448">IF($F448="","",IFERROR(INDEX('Lot Balance'!$B$5:$B$500,MATCH(1,INDEX(('Lot Balance'!$A$5:$A$500=$F448)*('Lot Balance'!$K$5:$K$500&lt;$AK448)*('Lot Balance'!$K$5:$K$500+'Lot Balance'!$D$5:$D$500&gt;=$AK448),0),0)),""))</f>
        <v>20-21734-2</v>
      </c>
      <c r="AM448" s="66" t="str" cm="1">
        <f t="array" ref="AM448">IF($F448="","",IFERROR(INDEX('Lot Balance'!$B$5:$B$500,MATCH(1,INDEX(('Lot Balance'!$A$5:$A$500=$F448)*('Lot Balance'!$K$5:$K$500&lt;$AJ448)*('Lot Balance'!$K$5:$K$500+'Lot Balance'!$D$5:$D$500&gt;=$AJ448),0),0)),""))</f>
        <v>20-21734-2</v>
      </c>
      <c r="AN448" s="66" t="str">
        <f>IF($F448="","",IF($AI448&lt;&gt;"",IF(COUNTIFS('Lot Balance'!$A$5:$A$500,$F448,'Lot Balance'!$B$5:$B$500,$AI448)=0,"⚠ override is not a lot of this item",IF($AI448=$AL448,"Override = FEFO","Override - FEFO says "&amp;$AL448)),IF($AL448="","⚠ no receipt on file for this item",IF($AM448&lt;&gt;$AL448,"FEFO auto - split, also "&amp;$AM448,"FEFO auto"))))</f>
        <v>FEFO auto</v>
      </c>
      <c r="AO448" s="114"/>
    </row>
    <row r="449" spans="1:41" x14ac:dyDescent="0.35">
      <c r="A449" s="74">
        <v>46143</v>
      </c>
      <c r="B449" s="18" t="str">
        <f>IF($C449="","",IFERROR(INDEX('Staff Directory'!$A$5:$A$594,MATCH($C449,'Staff Directory'!$B$5:$B$594,0)),"⚠ unknown staff"))</f>
        <v>PSW-018-A5</v>
      </c>
      <c r="C449" s="49" t="s">
        <v>994</v>
      </c>
      <c r="D449" s="19" t="str">
        <f>IF($B449="","",IFERROR(INDEX('Staff Directory'!$C$5:$C$594,MATCH($B449,'Staff Directory'!$A$5:$A$594,0)),""))</f>
        <v>PSW</v>
      </c>
      <c r="E449" s="19" t="str">
        <f>IF($B449="","",IFERROR(INDEX('Staff Directory'!$D$5:$D$594,MATCH($B449,'Staff Directory'!$A$5:$A$594,0)),""))</f>
        <v>A5</v>
      </c>
      <c r="F449" s="9" t="s">
        <v>137</v>
      </c>
      <c r="G449" s="18" t="str">
        <f>IF($F449="","",IFERROR(INDEX(Items!$B$5:$B$597,MATCH($F449,Items!$A$5:$A$597,0)),"⚠ not in Items"))</f>
        <v>Sanitizer</v>
      </c>
      <c r="H449" s="19" t="str">
        <f>IF($F449="","",IFERROR(INDEX(Items!$C$5:$C$597,MATCH($F449,Items!$A$5:$A$597,0)),""))</f>
        <v>118 ML</v>
      </c>
      <c r="I449" s="23">
        <f>IF($F449="","",IFERROR(INDEX(Items!$E$5:$E$597,MATCH($F449,Items!$A$5:$A$597,0)),""))</f>
        <v>2</v>
      </c>
      <c r="J449" s="115">
        <f>IF(tblIssues[[#This Row],[Qty Override]]&lt;&gt;"",tblIssues[[#This Row],[Qty Override]],IF(tblIssues[[#This Row],[Standard Issue]]="","",tblIssues[[#This Row],[Standard Issue]]))</f>
        <v>2</v>
      </c>
      <c r="K449" s="20">
        <f>IF($F449="","",IFERROR(INDEX(Items!$D$5:$D$597,MATCH($F449,Items!$A$5:$A$597,0)),""))</f>
        <v>4.49</v>
      </c>
      <c r="L449" s="21">
        <f t="shared" si="72"/>
        <v>8.98</v>
      </c>
      <c r="M449" s="9" t="str">
        <f t="shared" si="73"/>
        <v>563963-6</v>
      </c>
      <c r="N449" s="24">
        <f>IF($A449="","",WORKDAY($A449,Settings!$C$9,HolidayDates))</f>
        <v>46153</v>
      </c>
      <c r="O449" s="24">
        <f>IF($N449="","",WORKDAY($N449,Settings!$C$10,HolidayDates))</f>
        <v>46191</v>
      </c>
      <c r="P449" s="10" t="s">
        <v>501</v>
      </c>
      <c r="Q449" s="52" t="str">
        <f t="shared" si="75"/>
        <v>Collected</v>
      </c>
      <c r="R449" s="55" t="str">
        <f t="shared" si="76"/>
        <v>2026-05</v>
      </c>
      <c r="S449" s="55">
        <f>IF(OR($B449="",$F449="",$R449=""),"",SUMIFS(tblIssues[Qty Issued],tblIssues[Staff ID],$B449,tblIssues[Item Name],$F449,tblIssues[Month],$R449))</f>
        <v>2</v>
      </c>
      <c r="T449" s="56">
        <f>IF($I449="","",$I449*Settings!$C$11)</f>
        <v>2</v>
      </c>
      <c r="U449" s="57" t="str">
        <f t="shared" si="74"/>
        <v>OK</v>
      </c>
      <c r="V449" s="55" t="str">
        <f t="shared" si="77"/>
        <v/>
      </c>
      <c r="W449" s="55" t="str">
        <f>IF($V449="","",IF(COUNTIF($V$5:$V449,$V449)=1,1,""))</f>
        <v/>
      </c>
      <c r="X449" s="58" t="str">
        <f>IF($W449="","",MAX($X$4:X448)+1)</f>
        <v/>
      </c>
      <c r="Y449" s="62"/>
      <c r="Z449" s="62"/>
      <c r="AA449" s="64" t="str">
        <f>IF($C449="","",IFERROR(INDEX('Staff Directory'!$E$5:$E$594,MATCH($C449,'Staff Directory'!$B$5:$B$594,0)),""))</f>
        <v>firstname078.lastname078@example.com</v>
      </c>
      <c r="AB449" s="64" t="str">
        <f>IF($C449="","",IF(ISNUMBER(SEARCH($D449,Settings!$C$15)),"Pickup","Dispatch"))</f>
        <v>Pickup</v>
      </c>
      <c r="AC449" s="64" t="str">
        <f t="shared" si="78"/>
        <v>Supply order ready for pickup</v>
      </c>
      <c r="AD449" s="64" t="str">
        <f t="shared" si="69"/>
        <v>Dear PSW,
Your order is ready for pickup from Sample Branch, Wed-Fri 9am-4pm.</v>
      </c>
      <c r="AE449" s="64" t="str">
        <f t="shared" si="70"/>
        <v>mailto:firstname078.lastname078@example.com?subject=Supply%20order%20ready%20for%20pickup&amp;body=Dear%20PSW%2C%0A%0AYour%20order%20is%20ready%20for%20pickup%20from%20Sample%20Branch%2C%20Wed-Fri%209am-4pm.</v>
      </c>
      <c r="AF449" s="89" t="str">
        <f t="shared" si="79"/>
        <v>Draft email</v>
      </c>
      <c r="AG449" s="64" t="str">
        <f>IF($C449="","",IFERROR(INDEX('Staff Directory'!$K$595:$K$599,MATCH($C449,'Staff Directory'!$B$5:$B$599,0)),$D449))</f>
        <v>PSW</v>
      </c>
      <c r="AH449" t="str">
        <f>IF($C449="","",IFERROR(INDEX('Staff Directory'!$I$595:$I$599,MATCH($C449,'Staff Directory'!$B$5:$B$599,0))&amp;" "&amp;INDEX('Staff Directory'!$J$595:$J$599,MATCH($C449,'Staff Directory'!$B$5:$B$599,0)),$AG449))</f>
        <v>PSW</v>
      </c>
      <c r="AI449" s="102"/>
      <c r="AJ449" s="101">
        <f>IF($F449="","",SUMIFS($J$5:$J449,$F$5:$F449,$F449))</f>
        <v>76</v>
      </c>
      <c r="AK449" s="101">
        <f t="shared" si="71"/>
        <v>75</v>
      </c>
      <c r="AL449" s="66" t="str" cm="1">
        <f t="array" ref="AL449">IF($F449="","",IFERROR(INDEX('Lot Balance'!$B$5:$B$500,MATCH(1,INDEX(('Lot Balance'!$A$5:$A$500=$F449)*('Lot Balance'!$K$5:$K$500&lt;$AK449)*('Lot Balance'!$K$5:$K$500+'Lot Balance'!$D$5:$D$500&gt;=$AK449),0),0)),""))</f>
        <v>563963-6</v>
      </c>
      <c r="AM449" s="66" t="str" cm="1">
        <f t="array" ref="AM449">IF($F449="","",IFERROR(INDEX('Lot Balance'!$B$5:$B$500,MATCH(1,INDEX(('Lot Balance'!$A$5:$A$500=$F449)*('Lot Balance'!$K$5:$K$500&lt;$AJ449)*('Lot Balance'!$K$5:$K$500+'Lot Balance'!$D$5:$D$500&gt;=$AJ449),0),0)),""))</f>
        <v>563963-6</v>
      </c>
      <c r="AN449" s="66" t="str">
        <f>IF($F449="","",IF($AI449&lt;&gt;"",IF(COUNTIFS('Lot Balance'!$A$5:$A$500,$F449,'Lot Balance'!$B$5:$B$500,$AI449)=0,"⚠ override is not a lot of this item",IF($AI449=$AL449,"Override = FEFO","Override - FEFO says "&amp;$AL449)),IF($AL449="","⚠ no receipt on file for this item",IF($AM449&lt;&gt;$AL449,"FEFO auto - split, also "&amp;$AM449,"FEFO auto"))))</f>
        <v>FEFO auto</v>
      </c>
      <c r="AO449" s="114"/>
    </row>
    <row r="450" spans="1:41" x14ac:dyDescent="0.35">
      <c r="A450" s="74">
        <v>46143</v>
      </c>
      <c r="B450" s="18" t="str">
        <f>IF($C450="","",IFERROR(INDEX('Staff Directory'!$A$5:$A$594,MATCH($C450,'Staff Directory'!$B$5:$B$594,0)),"⚠ unknown staff"))</f>
        <v>PSW-018-A5</v>
      </c>
      <c r="C450" s="49" t="s">
        <v>994</v>
      </c>
      <c r="D450" s="19" t="str">
        <f>IF($B450="","",IFERROR(INDEX('Staff Directory'!$C$5:$C$594,MATCH($B450,'Staff Directory'!$A$5:$A$594,0)),""))</f>
        <v>PSW</v>
      </c>
      <c r="E450" s="19" t="str">
        <f>IF($B450="","",IFERROR(INDEX('Staff Directory'!$D$5:$D$594,MATCH($B450,'Staff Directory'!$A$5:$A$594,0)),""))</f>
        <v>A5</v>
      </c>
      <c r="F450" s="9" t="s">
        <v>115</v>
      </c>
      <c r="G450" s="18" t="str">
        <f>IF($F450="","",IFERROR(INDEX(Items!$B$5:$B$597,MATCH($F450,Items!$A$5:$A$597,0)),"⚠ not in Items"))</f>
        <v>Wipes</v>
      </c>
      <c r="H450" s="19">
        <f>IF($F450="","",IFERROR(INDEX(Items!$C$5:$C$597,MATCH($F450,Items!$A$5:$A$597,0)),""))</f>
        <v>80</v>
      </c>
      <c r="I450" s="23">
        <f>IF($F450="","",IFERROR(INDEX(Items!$E$5:$E$597,MATCH($F450,Items!$A$5:$A$597,0)),""))</f>
        <v>80</v>
      </c>
      <c r="J450" s="115">
        <f>IF(tblIssues[[#This Row],[Qty Override]]&lt;&gt;"",tblIssues[[#This Row],[Qty Override]],IF(tblIssues[[#This Row],[Standard Issue]]="","",tblIssues[[#This Row],[Standard Issue]]))</f>
        <v>80</v>
      </c>
      <c r="K450" s="20">
        <f>IF($F450="","",IFERROR(INDEX(Items!$D$5:$D$597,MATCH($F450,Items!$A$5:$A$597,0)),""))</f>
        <v>0.1</v>
      </c>
      <c r="L450" s="21">
        <f t="shared" si="72"/>
        <v>8</v>
      </c>
      <c r="M450" s="9" t="str">
        <f t="shared" si="73"/>
        <v>LYSL500290</v>
      </c>
      <c r="N450" s="24">
        <f>IF($A450="","",WORKDAY($A450,Settings!$C$9,HolidayDates))</f>
        <v>46153</v>
      </c>
      <c r="O450" s="24">
        <f>IF($N450="","",WORKDAY($N450,Settings!$C$10,HolidayDates))</f>
        <v>46191</v>
      </c>
      <c r="P450" s="10" t="s">
        <v>501</v>
      </c>
      <c r="Q450" s="52" t="str">
        <f t="shared" si="75"/>
        <v>Collected</v>
      </c>
      <c r="R450" s="55" t="str">
        <f t="shared" si="76"/>
        <v>2026-05</v>
      </c>
      <c r="S450" s="55">
        <f>IF(OR($B450="",$F450="",$R450=""),"",SUMIFS(tblIssues[Qty Issued],tblIssues[Staff ID],$B450,tblIssues[Item Name],$F450,tblIssues[Month],$R450))</f>
        <v>80</v>
      </c>
      <c r="T450" s="56">
        <f>IF($I450="","",$I450*Settings!$C$11)</f>
        <v>80</v>
      </c>
      <c r="U450" s="57" t="str">
        <f t="shared" si="74"/>
        <v>OK</v>
      </c>
      <c r="V450" s="55" t="str">
        <f t="shared" si="77"/>
        <v/>
      </c>
      <c r="W450" s="55" t="str">
        <f>IF($V450="","",IF(COUNTIF($V$5:$V450,$V450)=1,1,""))</f>
        <v/>
      </c>
      <c r="X450" s="58" t="str">
        <f>IF($W450="","",MAX($X$4:X449)+1)</f>
        <v/>
      </c>
      <c r="Y450" s="62"/>
      <c r="Z450" s="62"/>
      <c r="AA450" s="64" t="str">
        <f>IF($C450="","",IFERROR(INDEX('Staff Directory'!$E$5:$E$594,MATCH($C450,'Staff Directory'!$B$5:$B$594,0)),""))</f>
        <v>firstname078.lastname078@example.com</v>
      </c>
      <c r="AB450" s="64" t="str">
        <f>IF($C450="","",IF(ISNUMBER(SEARCH($D450,Settings!$C$15)),"Pickup","Dispatch"))</f>
        <v>Pickup</v>
      </c>
      <c r="AC450" s="64" t="str">
        <f t="shared" si="78"/>
        <v>Supply order ready for pickup</v>
      </c>
      <c r="AD450" s="64" t="str">
        <f t="shared" si="69"/>
        <v>Dear PSW,
Your order is ready for pickup from Sample Branch, Wed-Fri 9am-4pm.</v>
      </c>
      <c r="AE450" s="64" t="str">
        <f t="shared" si="70"/>
        <v>mailto:firstname078.lastname078@example.com?subject=Supply%20order%20ready%20for%20pickup&amp;body=Dear%20PSW%2C%0A%0AYour%20order%20is%20ready%20for%20pickup%20from%20Sample%20Branch%2C%20Wed-Fri%209am-4pm.</v>
      </c>
      <c r="AF450" s="89" t="str">
        <f t="shared" si="79"/>
        <v>Draft email</v>
      </c>
      <c r="AG450" s="64" t="str">
        <f>IF($C450="","",IFERROR(INDEX('Staff Directory'!$K$595:$K$599,MATCH($C450,'Staff Directory'!$B$5:$B$599,0)),$D450))</f>
        <v>PSW</v>
      </c>
      <c r="AH450" t="str">
        <f>IF($C450="","",IFERROR(INDEX('Staff Directory'!$I$595:$I$599,MATCH($C450,'Staff Directory'!$B$5:$B$599,0))&amp;" "&amp;INDEX('Staff Directory'!$J$595:$J$599,MATCH($C450,'Staff Directory'!$B$5:$B$599,0)),$AG450))</f>
        <v>PSW</v>
      </c>
      <c r="AI450" s="102"/>
      <c r="AJ450" s="101">
        <f>IF($F450="","",SUMIFS($J$5:$J450,$F$5:$F450,$F450))</f>
        <v>6320</v>
      </c>
      <c r="AK450" s="101">
        <f t="shared" si="71"/>
        <v>6241</v>
      </c>
      <c r="AL450" s="66" t="str" cm="1">
        <f t="array" ref="AL450">IF($F450="","",IFERROR(INDEX('Lot Balance'!$B$5:$B$500,MATCH(1,INDEX(('Lot Balance'!$A$5:$A$500=$F450)*('Lot Balance'!$K$5:$K$500&lt;$AK450)*('Lot Balance'!$K$5:$K$500+'Lot Balance'!$D$5:$D$500&gt;=$AK450),0),0)),""))</f>
        <v>LYSL500290</v>
      </c>
      <c r="AM450" s="66" t="str" cm="1">
        <f t="array" ref="AM450">IF($F450="","",IFERROR(INDEX('Lot Balance'!$B$5:$B$500,MATCH(1,INDEX(('Lot Balance'!$A$5:$A$500=$F450)*('Lot Balance'!$K$5:$K$500&lt;$AJ450)*('Lot Balance'!$K$5:$K$500+'Lot Balance'!$D$5:$D$500&gt;=$AJ450),0),0)),""))</f>
        <v>LYSL500290</v>
      </c>
      <c r="AN450" s="66" t="str">
        <f>IF($F450="","",IF($AI450&lt;&gt;"",IF(COUNTIFS('Lot Balance'!$A$5:$A$500,$F450,'Lot Balance'!$B$5:$B$500,$AI450)=0,"⚠ override is not a lot of this item",IF($AI450=$AL450,"Override = FEFO","Override - FEFO says "&amp;$AL450)),IF($AL450="","⚠ no receipt on file for this item",IF($AM450&lt;&gt;$AL450,"FEFO auto - split, also "&amp;$AM450,"FEFO auto"))))</f>
        <v>FEFO auto</v>
      </c>
      <c r="AO450" s="114"/>
    </row>
    <row r="451" spans="1:41" x14ac:dyDescent="0.35">
      <c r="A451" s="74">
        <v>46143</v>
      </c>
      <c r="B451" s="18" t="str">
        <f>IF($C451="","",IFERROR(INDEX('Staff Directory'!$A$5:$A$594,MATCH($C451,'Staff Directory'!$B$5:$B$594,0)),"⚠ unknown staff"))</f>
        <v>PSW-018-A5</v>
      </c>
      <c r="C451" s="49" t="s">
        <v>994</v>
      </c>
      <c r="D451" s="19" t="str">
        <f>IF($B451="","",IFERROR(INDEX('Staff Directory'!$C$5:$C$594,MATCH($B451,'Staff Directory'!$A$5:$A$594,0)),""))</f>
        <v>PSW</v>
      </c>
      <c r="E451" s="19" t="str">
        <f>IF($B451="","",IFERROR(INDEX('Staff Directory'!$D$5:$D$594,MATCH($B451,'Staff Directory'!$A$5:$A$594,0)),""))</f>
        <v>A5</v>
      </c>
      <c r="F451" s="9" t="s">
        <v>156</v>
      </c>
      <c r="G451" s="18" t="str">
        <f>IF($F451="","",IFERROR(INDEX(Items!$B$5:$B$597,MATCH($F451,Items!$A$5:$A$597,0)),"⚠ not in Items"))</f>
        <v>Masks</v>
      </c>
      <c r="H451" s="19" t="str">
        <f>IF($F451="","",IFERROR(INDEX(Items!$C$5:$C$597,MATCH($F451,Items!$A$5:$A$597,0)),""))</f>
        <v>One Size</v>
      </c>
      <c r="I451" s="23">
        <f>IF($F451="","",IFERROR(INDEX(Items!$E$5:$E$597,MATCH($F451,Items!$A$5:$A$597,0)),""))</f>
        <v>50</v>
      </c>
      <c r="J451" s="115">
        <f>IF(tblIssues[[#This Row],[Qty Override]]&lt;&gt;"",tblIssues[[#This Row],[Qty Override]],IF(tblIssues[[#This Row],[Standard Issue]]="","",tblIssues[[#This Row],[Standard Issue]]))</f>
        <v>50</v>
      </c>
      <c r="K451" s="20">
        <f>IF($F451="","",IFERROR(INDEX(Items!$D$5:$D$597,MATCH($F451,Items!$A$5:$A$597,0)),""))</f>
        <v>0.25</v>
      </c>
      <c r="L451" s="21">
        <f t="shared" si="72"/>
        <v>12.5</v>
      </c>
      <c r="M451" s="9" t="str">
        <f t="shared" si="73"/>
        <v>0125FPC24-0</v>
      </c>
      <c r="N451" s="24">
        <f>IF($A451="","",WORKDAY($A451,Settings!$C$9,HolidayDates))</f>
        <v>46153</v>
      </c>
      <c r="O451" s="24">
        <f>IF($N451="","",WORKDAY($N451,Settings!$C$10,HolidayDates))</f>
        <v>46191</v>
      </c>
      <c r="P451" s="10" t="s">
        <v>501</v>
      </c>
      <c r="Q451" s="52" t="str">
        <f t="shared" si="75"/>
        <v>Collected</v>
      </c>
      <c r="R451" s="55" t="str">
        <f t="shared" si="76"/>
        <v>2026-05</v>
      </c>
      <c r="S451" s="55">
        <f>IF(OR($B451="",$F451="",$R451=""),"",SUMIFS(tblIssues[Qty Issued],tblIssues[Staff ID],$B451,tblIssues[Item Name],$F451,tblIssues[Month],$R451))</f>
        <v>50</v>
      </c>
      <c r="T451" s="56">
        <f>IF($I451="","",$I451*Settings!$C$11)</f>
        <v>50</v>
      </c>
      <c r="U451" s="57" t="str">
        <f t="shared" si="74"/>
        <v>OK</v>
      </c>
      <c r="V451" s="55" t="str">
        <f t="shared" si="77"/>
        <v/>
      </c>
      <c r="W451" s="55" t="str">
        <f>IF($V451="","",IF(COUNTIF($V$5:$V451,$V451)=1,1,""))</f>
        <v/>
      </c>
      <c r="X451" s="58" t="str">
        <f>IF($W451="","",MAX($X$4:X450)+1)</f>
        <v/>
      </c>
      <c r="Y451" s="62"/>
      <c r="Z451" s="62"/>
      <c r="AA451" s="64" t="str">
        <f>IF($C451="","",IFERROR(INDEX('Staff Directory'!$E$5:$E$594,MATCH($C451,'Staff Directory'!$B$5:$B$594,0)),""))</f>
        <v>firstname078.lastname078@example.com</v>
      </c>
      <c r="AB451" s="64" t="str">
        <f>IF($C451="","",IF(ISNUMBER(SEARCH($D451,Settings!$C$15)),"Pickup","Dispatch"))</f>
        <v>Pickup</v>
      </c>
      <c r="AC451" s="64" t="str">
        <f t="shared" si="78"/>
        <v>Supply order ready for pickup</v>
      </c>
      <c r="AD451" s="64" t="str">
        <f t="shared" si="69"/>
        <v>Dear PSW,
Your order is ready for pickup from Sample Branch, Wed-Fri 9am-4pm.</v>
      </c>
      <c r="AE451" s="64" t="str">
        <f t="shared" si="70"/>
        <v>mailto:firstname078.lastname078@example.com?subject=Supply%20order%20ready%20for%20pickup&amp;body=Dear%20PSW%2C%0A%0AYour%20order%20is%20ready%20for%20pickup%20from%20Sample%20Branch%2C%20Wed-Fri%209am-4pm.</v>
      </c>
      <c r="AF451" s="89" t="str">
        <f t="shared" si="79"/>
        <v>Draft email</v>
      </c>
      <c r="AG451" s="64" t="str">
        <f>IF($C451="","",IFERROR(INDEX('Staff Directory'!$K$595:$K$599,MATCH($C451,'Staff Directory'!$B$5:$B$599,0)),$D451))</f>
        <v>PSW</v>
      </c>
      <c r="AH451" t="str">
        <f>IF($C451="","",IFERROR(INDEX('Staff Directory'!$I$595:$I$599,MATCH($C451,'Staff Directory'!$B$5:$B$599,0))&amp;" "&amp;INDEX('Staff Directory'!$J$595:$J$599,MATCH($C451,'Staff Directory'!$B$5:$B$599,0)),$AG451))</f>
        <v>PSW</v>
      </c>
      <c r="AI451" s="102"/>
      <c r="AJ451" s="101">
        <f>IF($F451="","",SUMIFS($J$5:$J451,$F$5:$F451,$F451))</f>
        <v>3600</v>
      </c>
      <c r="AK451" s="101">
        <f t="shared" si="71"/>
        <v>3551</v>
      </c>
      <c r="AL451" s="66" t="str" cm="1">
        <f t="array" ref="AL451">IF($F451="","",IFERROR(INDEX('Lot Balance'!$B$5:$B$500,MATCH(1,INDEX(('Lot Balance'!$A$5:$A$500=$F451)*('Lot Balance'!$K$5:$K$500&lt;$AK451)*('Lot Balance'!$K$5:$K$500+'Lot Balance'!$D$5:$D$500&gt;=$AK451),0),0)),""))</f>
        <v>0125FPC24-0</v>
      </c>
      <c r="AM451" s="66" t="str" cm="1">
        <f t="array" ref="AM451">IF($F451="","",IFERROR(INDEX('Lot Balance'!$B$5:$B$500,MATCH(1,INDEX(('Lot Balance'!$A$5:$A$500=$F451)*('Lot Balance'!$K$5:$K$500&lt;$AJ451)*('Lot Balance'!$K$5:$K$500+'Lot Balance'!$D$5:$D$500&gt;=$AJ451),0),0)),""))</f>
        <v>0125FPC24-0</v>
      </c>
      <c r="AN451" s="66" t="str">
        <f>IF($F451="","",IF($AI451&lt;&gt;"",IF(COUNTIFS('Lot Balance'!$A$5:$A$500,$F451,'Lot Balance'!$B$5:$B$500,$AI451)=0,"⚠ override is not a lot of this item",IF($AI451=$AL451,"Override = FEFO","Override - FEFO says "&amp;$AL451)),IF($AL451="","⚠ no receipt on file for this item",IF($AM451&lt;&gt;$AL451,"FEFO auto - split, also "&amp;$AM451,"FEFO auto"))))</f>
        <v>FEFO auto</v>
      </c>
      <c r="AO451" s="114"/>
    </row>
    <row r="452" spans="1:41" x14ac:dyDescent="0.35">
      <c r="A452" s="74">
        <v>46143</v>
      </c>
      <c r="B452" s="18" t="str">
        <f>IF($C452="","",IFERROR(INDEX('Staff Directory'!$A$5:$A$594,MATCH($C452,'Staff Directory'!$B$5:$B$594,0)),"⚠ unknown staff"))</f>
        <v>PSW-116-A6</v>
      </c>
      <c r="C452" s="49" t="s">
        <v>1095</v>
      </c>
      <c r="D452" s="19" t="str">
        <f>IF($B452="","",IFERROR(INDEX('Staff Directory'!$C$5:$C$594,MATCH($B452,'Staff Directory'!$A$5:$A$594,0)),""))</f>
        <v>PSW</v>
      </c>
      <c r="E452" s="19" t="str">
        <f>IF($B452="","",IFERROR(INDEX('Staff Directory'!$D$5:$D$594,MATCH($B452,'Staff Directory'!$A$5:$A$594,0)),""))</f>
        <v>A6</v>
      </c>
      <c r="F452" s="9" t="s">
        <v>124</v>
      </c>
      <c r="G452" s="18" t="str">
        <f>IF($F452="","",IFERROR(INDEX(Items!$B$5:$B$597,MATCH($F452,Items!$A$5:$A$597,0)),"⚠ not in Items"))</f>
        <v>Gloves</v>
      </c>
      <c r="H452" s="19" t="str">
        <f>IF($F452="","",IFERROR(INDEX(Items!$C$5:$C$597,MATCH($F452,Items!$A$5:$A$597,0)),""))</f>
        <v>Large</v>
      </c>
      <c r="I452" s="23">
        <f>IF($F452="","",IFERROR(INDEX(Items!$E$5:$E$597,MATCH($F452,Items!$A$5:$A$597,0)),""))</f>
        <v>500</v>
      </c>
      <c r="J452" s="115">
        <f>IF(tblIssues[[#This Row],[Qty Override]]&lt;&gt;"",tblIssues[[#This Row],[Qty Override]],IF(tblIssues[[#This Row],[Standard Issue]]="","",tblIssues[[#This Row],[Standard Issue]]))</f>
        <v>500</v>
      </c>
      <c r="K452" s="20">
        <f>IF($F452="","",IFERROR(INDEX(Items!$D$5:$D$597,MATCH($F452,Items!$A$5:$A$597,0)),""))</f>
        <v>5.5E-2</v>
      </c>
      <c r="L452" s="21">
        <f t="shared" si="72"/>
        <v>27.5</v>
      </c>
      <c r="M452" s="9" t="str">
        <f t="shared" si="73"/>
        <v>0417HIC25-0</v>
      </c>
      <c r="N452" s="24">
        <f>IF($A452="","",WORKDAY($A452,Settings!$C$9,HolidayDates))</f>
        <v>46153</v>
      </c>
      <c r="O452" s="24">
        <f>IF($N452="","",WORKDAY($N452,Settings!$C$10,HolidayDates))</f>
        <v>46191</v>
      </c>
      <c r="P452" s="10" t="s">
        <v>501</v>
      </c>
      <c r="Q452" s="52" t="str">
        <f t="shared" si="75"/>
        <v>Collected</v>
      </c>
      <c r="R452" s="55" t="str">
        <f t="shared" si="76"/>
        <v>2026-05</v>
      </c>
      <c r="S452" s="55">
        <f>IF(OR($B452="",$F452="",$R452=""),"",SUMIFS(tblIssues[Qty Issued],tblIssues[Staff ID],$B452,tblIssues[Item Name],$F452,tblIssues[Month],$R452))</f>
        <v>500</v>
      </c>
      <c r="T452" s="56">
        <f>IF($I452="","",$I452*Settings!$C$11)</f>
        <v>500</v>
      </c>
      <c r="U452" s="57" t="str">
        <f t="shared" si="74"/>
        <v>OK</v>
      </c>
      <c r="V452" s="55" t="str">
        <f t="shared" si="77"/>
        <v/>
      </c>
      <c r="W452" s="55" t="str">
        <f>IF($V452="","",IF(COUNTIF($V$5:$V452,$V452)=1,1,""))</f>
        <v/>
      </c>
      <c r="X452" s="58" t="str">
        <f>IF($W452="","",MAX($X$4:X451)+1)</f>
        <v/>
      </c>
      <c r="Y452" s="62"/>
      <c r="Z452" s="62"/>
      <c r="AA452" s="64" t="str">
        <f>IF($C452="","",IFERROR(INDEX('Staff Directory'!$E$5:$E$594,MATCH($C452,'Staff Directory'!$B$5:$B$594,0)),""))</f>
        <v>firstname179.lastname179@example.com</v>
      </c>
      <c r="AB452" s="64" t="str">
        <f>IF($C452="","",IF(ISNUMBER(SEARCH($D452,Settings!$C$15)),"Pickup","Dispatch"))</f>
        <v>Pickup</v>
      </c>
      <c r="AC452" s="64" t="str">
        <f t="shared" si="78"/>
        <v>Supply order ready for pickup</v>
      </c>
      <c r="AD452" s="64" t="str">
        <f t="shared" si="69"/>
        <v>Dear PSW,
Your order is ready for pickup from Sample Branch, Wed-Fri 9am-4pm.</v>
      </c>
      <c r="AE452" s="64" t="str">
        <f t="shared" si="70"/>
        <v>mailto:firstname179.lastname179@example.com?subject=Supply%20order%20ready%20for%20pickup&amp;body=Dear%20PSW%2C%0A%0AYour%20order%20is%20ready%20for%20pickup%20from%20Sample%20Branch%2C%20Wed-Fri%209am-4pm.</v>
      </c>
      <c r="AF452" s="89" t="str">
        <f t="shared" si="79"/>
        <v>Draft email</v>
      </c>
      <c r="AG452" s="64" t="str">
        <f>IF($C452="","",IFERROR(INDEX('Staff Directory'!$K$595:$K$599,MATCH($C452,'Staff Directory'!$B$5:$B$599,0)),$D452))</f>
        <v>PSW</v>
      </c>
      <c r="AH452" t="str">
        <f>IF($C452="","",IFERROR(INDEX('Staff Directory'!$I$595:$I$599,MATCH($C452,'Staff Directory'!$B$5:$B$599,0))&amp;" "&amp;INDEX('Staff Directory'!$J$595:$J$599,MATCH($C452,'Staff Directory'!$B$5:$B$599,0)),$AG452))</f>
        <v>PSW</v>
      </c>
      <c r="AI452" s="102"/>
      <c r="AJ452" s="101">
        <f>IF($F452="","",SUMIFS($J$5:$J452,$F$5:$F452,$F452))</f>
        <v>12500</v>
      </c>
      <c r="AK452" s="101">
        <f t="shared" si="71"/>
        <v>12001</v>
      </c>
      <c r="AL452" s="66" t="str" cm="1">
        <f t="array" ref="AL452">IF($F452="","",IFERROR(INDEX('Lot Balance'!$B$5:$B$500,MATCH(1,INDEX(('Lot Balance'!$A$5:$A$500=$F452)*('Lot Balance'!$K$5:$K$500&lt;$AK452)*('Lot Balance'!$K$5:$K$500+'Lot Balance'!$D$5:$D$500&gt;=$AK452),0),0)),""))</f>
        <v>0417HIC25-0</v>
      </c>
      <c r="AM452" s="66" t="str" cm="1">
        <f t="array" ref="AM452">IF($F452="","",IFERROR(INDEX('Lot Balance'!$B$5:$B$500,MATCH(1,INDEX(('Lot Balance'!$A$5:$A$500=$F452)*('Lot Balance'!$K$5:$K$500&lt;$AJ452)*('Lot Balance'!$K$5:$K$500+'Lot Balance'!$D$5:$D$500&gt;=$AJ452),0),0)),""))</f>
        <v>ZIM511139904-1</v>
      </c>
      <c r="AN452" s="66" t="str">
        <f>IF($F452="","",IF($AI452&lt;&gt;"",IF(COUNTIFS('Lot Balance'!$A$5:$A$500,$F452,'Lot Balance'!$B$5:$B$500,$AI452)=0,"⚠ override is not a lot of this item",IF($AI452=$AL452,"Override = FEFO","Override - FEFO says "&amp;$AL452)),IF($AL452="","⚠ no receipt on file for this item",IF($AM452&lt;&gt;$AL452,"FEFO auto - split, also "&amp;$AM452,"FEFO auto"))))</f>
        <v>FEFO auto - split, also ZIM511139904-1</v>
      </c>
      <c r="AO452" s="114"/>
    </row>
    <row r="453" spans="1:41" x14ac:dyDescent="0.35">
      <c r="A453" s="74">
        <v>46143</v>
      </c>
      <c r="B453" s="18" t="str">
        <f>IF($C453="","",IFERROR(INDEX('Staff Directory'!$A$5:$A$594,MATCH($C453,'Staff Directory'!$B$5:$B$594,0)),"⚠ unknown staff"))</f>
        <v>PSW-116-A6</v>
      </c>
      <c r="C453" s="49" t="s">
        <v>1095</v>
      </c>
      <c r="D453" s="19" t="str">
        <f>IF($B453="","",IFERROR(INDEX('Staff Directory'!$C$5:$C$594,MATCH($B453,'Staff Directory'!$A$5:$A$594,0)),""))</f>
        <v>PSW</v>
      </c>
      <c r="E453" s="19" t="str">
        <f>IF($B453="","",IFERROR(INDEX('Staff Directory'!$D$5:$D$594,MATCH($B453,'Staff Directory'!$A$5:$A$594,0)),""))</f>
        <v>A6</v>
      </c>
      <c r="F453" s="9" t="s">
        <v>191</v>
      </c>
      <c r="G453" s="18" t="str">
        <f>IF($F453="","",IFERROR(INDEX(Items!$B$5:$B$597,MATCH($F453,Items!$A$5:$A$597,0)),"⚠ not in Items"))</f>
        <v>Sanitizer</v>
      </c>
      <c r="H453" s="19" t="str">
        <f>IF($F453="","",IFERROR(INDEX(Items!$C$5:$C$597,MATCH($F453,Items!$A$5:$A$597,0)),""))</f>
        <v>236 ML</v>
      </c>
      <c r="I453" s="23">
        <f>IF($F453="","",IFERROR(INDEX(Items!$E$5:$E$597,MATCH($F453,Items!$A$5:$A$597,0)),""))</f>
        <v>1</v>
      </c>
      <c r="J453" s="115">
        <f>IF(tblIssues[[#This Row],[Qty Override]]&lt;&gt;"",tblIssues[[#This Row],[Qty Override]],IF(tblIssues[[#This Row],[Standard Issue]]="","",tblIssues[[#This Row],[Standard Issue]]))</f>
        <v>1</v>
      </c>
      <c r="K453" s="20">
        <f>IF($F453="","",IFERROR(INDEX(Items!$D$5:$D$597,MATCH($F453,Items!$A$5:$A$597,0)),""))</f>
        <v>1E-4</v>
      </c>
      <c r="L453" s="21">
        <f t="shared" si="72"/>
        <v>1E-4</v>
      </c>
      <c r="M453" s="9" t="str">
        <f t="shared" si="73"/>
        <v>20-21734-2</v>
      </c>
      <c r="N453" s="24">
        <f>IF($A453="","",WORKDAY($A453,Settings!$C$9,HolidayDates))</f>
        <v>46153</v>
      </c>
      <c r="O453" s="24">
        <f>IF($N453="","",WORKDAY($N453,Settings!$C$10,HolidayDates))</f>
        <v>46191</v>
      </c>
      <c r="P453" s="10" t="s">
        <v>501</v>
      </c>
      <c r="Q453" s="52" t="str">
        <f t="shared" si="75"/>
        <v>Collected</v>
      </c>
      <c r="R453" s="55" t="str">
        <f t="shared" si="76"/>
        <v>2026-05</v>
      </c>
      <c r="S453" s="55">
        <f>IF(OR($B453="",$F453="",$R453=""),"",SUMIFS(tblIssues[Qty Issued],tblIssues[Staff ID],$B453,tblIssues[Item Name],$F453,tblIssues[Month],$R453))</f>
        <v>1</v>
      </c>
      <c r="T453" s="56">
        <f>IF($I453="","",$I453*Settings!$C$11)</f>
        <v>1</v>
      </c>
      <c r="U453" s="57" t="str">
        <f t="shared" si="74"/>
        <v>OK</v>
      </c>
      <c r="V453" s="55" t="str">
        <f t="shared" si="77"/>
        <v/>
      </c>
      <c r="W453" s="55" t="str">
        <f>IF($V453="","",IF(COUNTIF($V$5:$V453,$V453)=1,1,""))</f>
        <v/>
      </c>
      <c r="X453" s="58" t="str">
        <f>IF($W453="","",MAX($X$4:X452)+1)</f>
        <v/>
      </c>
      <c r="Y453" s="62"/>
      <c r="Z453" s="62"/>
      <c r="AA453" s="64" t="str">
        <f>IF($C453="","",IFERROR(INDEX('Staff Directory'!$E$5:$E$594,MATCH($C453,'Staff Directory'!$B$5:$B$594,0)),""))</f>
        <v>firstname179.lastname179@example.com</v>
      </c>
      <c r="AB453" s="64" t="str">
        <f>IF($C453="","",IF(ISNUMBER(SEARCH($D453,Settings!$C$15)),"Pickup","Dispatch"))</f>
        <v>Pickup</v>
      </c>
      <c r="AC453" s="64" t="str">
        <f t="shared" si="78"/>
        <v>Supply order ready for pickup</v>
      </c>
      <c r="AD453" s="64" t="str">
        <f t="shared" ref="AD453:AD516" si="80">IF($AB453="Pickup","Dear "&amp;$AH453&amp;","&amp;CHAR(10)&amp;CHAR(10)&amp;"Your order is ready for pickup from Sample Branch, Wed-Fri 9am-4pm.",IF($AB453="Dispatch","Dear "&amp;$AH453&amp;","&amp;CHAR(10)&amp;CHAR(10)&amp;"Your order has been dispatched and is in transit. Reply if undelivered.",""))</f>
        <v>Dear PSW,
Your order is ready for pickup from Sample Branch, Wed-Fri 9am-4pm.</v>
      </c>
      <c r="AE453" s="64" t="str">
        <f t="shared" ref="AE453:AE516" si="81">IF(OR($AA453="",$AC453=""),"","mailto:"&amp;$AA453&amp;"?subject="&amp;_xlfn.ENCODEURL($AC453)&amp;"&amp;body="&amp;_xlfn.ENCODEURL($AD453))</f>
        <v>mailto:firstname179.lastname179@example.com?subject=Supply%20order%20ready%20for%20pickup&amp;body=Dear%20PSW%2C%0A%0AYour%20order%20is%20ready%20for%20pickup%20from%20Sample%20Branch%2C%20Wed-Fri%209am-4pm.</v>
      </c>
      <c r="AF453" s="89" t="str">
        <f t="shared" si="79"/>
        <v>Draft email</v>
      </c>
      <c r="AG453" s="64" t="str">
        <f>IF($C453="","",IFERROR(INDEX('Staff Directory'!$K$595:$K$599,MATCH($C453,'Staff Directory'!$B$5:$B$599,0)),$D453))</f>
        <v>PSW</v>
      </c>
      <c r="AH453" t="str">
        <f>IF($C453="","",IFERROR(INDEX('Staff Directory'!$I$595:$I$599,MATCH($C453,'Staff Directory'!$B$5:$B$599,0))&amp;" "&amp;INDEX('Staff Directory'!$J$595:$J$599,MATCH($C453,'Staff Directory'!$B$5:$B$599,0)),$AG453))</f>
        <v>PSW</v>
      </c>
      <c r="AI453" s="102"/>
      <c r="AJ453" s="101">
        <f>IF($F453="","",SUMIFS($J$5:$J453,$F$5:$F453,$F453))</f>
        <v>43</v>
      </c>
      <c r="AK453" s="101">
        <f t="shared" ref="AK453:AK516" si="82">IF($F453="","",MAX(1,$AJ453-MAX($J453,0)+1))</f>
        <v>43</v>
      </c>
      <c r="AL453" s="66" t="str" cm="1">
        <f t="array" ref="AL453">IF($F453="","",IFERROR(INDEX('Lot Balance'!$B$5:$B$500,MATCH(1,INDEX(('Lot Balance'!$A$5:$A$500=$F453)*('Lot Balance'!$K$5:$K$500&lt;$AK453)*('Lot Balance'!$K$5:$K$500+'Lot Balance'!$D$5:$D$500&gt;=$AK453),0),0)),""))</f>
        <v>20-21734-2</v>
      </c>
      <c r="AM453" s="66" t="str" cm="1">
        <f t="array" ref="AM453">IF($F453="","",IFERROR(INDEX('Lot Balance'!$B$5:$B$500,MATCH(1,INDEX(('Lot Balance'!$A$5:$A$500=$F453)*('Lot Balance'!$K$5:$K$500&lt;$AJ453)*('Lot Balance'!$K$5:$K$500+'Lot Balance'!$D$5:$D$500&gt;=$AJ453),0),0)),""))</f>
        <v>20-21734-2</v>
      </c>
      <c r="AN453" s="66" t="str">
        <f>IF($F453="","",IF($AI453&lt;&gt;"",IF(COUNTIFS('Lot Balance'!$A$5:$A$500,$F453,'Lot Balance'!$B$5:$B$500,$AI453)=0,"⚠ override is not a lot of this item",IF($AI453=$AL453,"Override = FEFO","Override - FEFO says "&amp;$AL453)),IF($AL453="","⚠ no receipt on file for this item",IF($AM453&lt;&gt;$AL453,"FEFO auto - split, also "&amp;$AM453,"FEFO auto"))))</f>
        <v>FEFO auto</v>
      </c>
      <c r="AO453" s="114"/>
    </row>
    <row r="454" spans="1:41" x14ac:dyDescent="0.35">
      <c r="A454" s="74">
        <v>46143</v>
      </c>
      <c r="B454" s="18" t="str">
        <f>IF($C454="","",IFERROR(INDEX('Staff Directory'!$A$5:$A$594,MATCH($C454,'Staff Directory'!$B$5:$B$594,0)),"⚠ unknown staff"))</f>
        <v>PSW-116-A6</v>
      </c>
      <c r="C454" s="49" t="s">
        <v>1095</v>
      </c>
      <c r="D454" s="19" t="str">
        <f>IF($B454="","",IFERROR(INDEX('Staff Directory'!$C$5:$C$594,MATCH($B454,'Staff Directory'!$A$5:$A$594,0)),""))</f>
        <v>PSW</v>
      </c>
      <c r="E454" s="19" t="str">
        <f>IF($B454="","",IFERROR(INDEX('Staff Directory'!$D$5:$D$594,MATCH($B454,'Staff Directory'!$A$5:$A$594,0)),""))</f>
        <v>A6</v>
      </c>
      <c r="F454" s="9" t="s">
        <v>115</v>
      </c>
      <c r="G454" s="18" t="str">
        <f>IF($F454="","",IFERROR(INDEX(Items!$B$5:$B$597,MATCH($F454,Items!$A$5:$A$597,0)),"⚠ not in Items"))</f>
        <v>Wipes</v>
      </c>
      <c r="H454" s="19">
        <f>IF($F454="","",IFERROR(INDEX(Items!$C$5:$C$597,MATCH($F454,Items!$A$5:$A$597,0)),""))</f>
        <v>80</v>
      </c>
      <c r="I454" s="23">
        <f>IF($F454="","",IFERROR(INDEX(Items!$E$5:$E$597,MATCH($F454,Items!$A$5:$A$597,0)),""))</f>
        <v>80</v>
      </c>
      <c r="J454" s="115">
        <f>IF(tblIssues[[#This Row],[Qty Override]]&lt;&gt;"",tblIssues[[#This Row],[Qty Override]],IF(tblIssues[[#This Row],[Standard Issue]]="","",tblIssues[[#This Row],[Standard Issue]]))</f>
        <v>80</v>
      </c>
      <c r="K454" s="20">
        <f>IF($F454="","",IFERROR(INDEX(Items!$D$5:$D$597,MATCH($F454,Items!$A$5:$A$597,0)),""))</f>
        <v>0.1</v>
      </c>
      <c r="L454" s="21">
        <f t="shared" ref="L454:L517" si="83">IF(OR($J454="",$K454=""),"",$J454*$K454)</f>
        <v>8</v>
      </c>
      <c r="M454" s="9" t="str">
        <f t="shared" ref="M454:M517" si="84">IF($F454="","",IF($AI454&lt;&gt;"",$AI454,$AL454))</f>
        <v>LYSL500290</v>
      </c>
      <c r="N454" s="24">
        <f>IF($A454="","",WORKDAY($A454,Settings!$C$9,HolidayDates))</f>
        <v>46153</v>
      </c>
      <c r="O454" s="24">
        <f>IF($N454="","",WORKDAY($N454,Settings!$C$10,HolidayDates))</f>
        <v>46191</v>
      </c>
      <c r="P454" s="10" t="s">
        <v>501</v>
      </c>
      <c r="Q454" s="52" t="str">
        <f t="shared" si="75"/>
        <v>Collected</v>
      </c>
      <c r="R454" s="55" t="str">
        <f t="shared" si="76"/>
        <v>2026-05</v>
      </c>
      <c r="S454" s="55">
        <f>IF(OR($B454="",$F454="",$R454=""),"",SUMIFS(tblIssues[Qty Issued],tblIssues[Staff ID],$B454,tblIssues[Item Name],$F454,tblIssues[Month],$R454))</f>
        <v>80</v>
      </c>
      <c r="T454" s="56">
        <f>IF($I454="","",$I454*Settings!$C$11)</f>
        <v>80</v>
      </c>
      <c r="U454" s="57" t="str">
        <f t="shared" ref="U454:U517" si="85">IF(OR($S454="",$T454=""),"",IF($S454&gt;$T454,IF($Y454="Approved","APPROVED BY TL","⚠ OVER QUOTA"),"OK"))</f>
        <v>OK</v>
      </c>
      <c r="V454" s="55" t="str">
        <f t="shared" si="77"/>
        <v/>
      </c>
      <c r="W454" s="55" t="str">
        <f>IF($V454="","",IF(COUNTIF($V$5:$V454,$V454)=1,1,""))</f>
        <v/>
      </c>
      <c r="X454" s="58" t="str">
        <f>IF($W454="","",MAX($X$4:X453)+1)</f>
        <v/>
      </c>
      <c r="Y454" s="62"/>
      <c r="Z454" s="62"/>
      <c r="AA454" s="64" t="str">
        <f>IF($C454="","",IFERROR(INDEX('Staff Directory'!$E$5:$E$594,MATCH($C454,'Staff Directory'!$B$5:$B$594,0)),""))</f>
        <v>firstname179.lastname179@example.com</v>
      </c>
      <c r="AB454" s="64" t="str">
        <f>IF($C454="","",IF(ISNUMBER(SEARCH($D454,Settings!$C$15)),"Pickup","Dispatch"))</f>
        <v>Pickup</v>
      </c>
      <c r="AC454" s="64" t="str">
        <f t="shared" si="78"/>
        <v>Supply order ready for pickup</v>
      </c>
      <c r="AD454" s="64" t="str">
        <f t="shared" si="80"/>
        <v>Dear PSW,
Your order is ready for pickup from Sample Branch, Wed-Fri 9am-4pm.</v>
      </c>
      <c r="AE454" s="64" t="str">
        <f t="shared" si="81"/>
        <v>mailto:firstname179.lastname179@example.com?subject=Supply%20order%20ready%20for%20pickup&amp;body=Dear%20PSW%2C%0A%0AYour%20order%20is%20ready%20for%20pickup%20from%20Sample%20Branch%2C%20Wed-Fri%209am-4pm.</v>
      </c>
      <c r="AF454" s="89" t="str">
        <f t="shared" si="79"/>
        <v>Draft email</v>
      </c>
      <c r="AG454" s="64" t="str">
        <f>IF($C454="","",IFERROR(INDEX('Staff Directory'!$K$595:$K$599,MATCH($C454,'Staff Directory'!$B$5:$B$599,0)),$D454))</f>
        <v>PSW</v>
      </c>
      <c r="AH454" t="str">
        <f>IF($C454="","",IFERROR(INDEX('Staff Directory'!$I$595:$I$599,MATCH($C454,'Staff Directory'!$B$5:$B$599,0))&amp;" "&amp;INDEX('Staff Directory'!$J$595:$J$599,MATCH($C454,'Staff Directory'!$B$5:$B$599,0)),$AG454))</f>
        <v>PSW</v>
      </c>
      <c r="AI454" s="102"/>
      <c r="AJ454" s="101">
        <f>IF($F454="","",SUMIFS($J$5:$J454,$F$5:$F454,$F454))</f>
        <v>6400</v>
      </c>
      <c r="AK454" s="101">
        <f t="shared" si="82"/>
        <v>6321</v>
      </c>
      <c r="AL454" s="66" t="str" cm="1">
        <f t="array" ref="AL454">IF($F454="","",IFERROR(INDEX('Lot Balance'!$B$5:$B$500,MATCH(1,INDEX(('Lot Balance'!$A$5:$A$500=$F454)*('Lot Balance'!$K$5:$K$500&lt;$AK454)*('Lot Balance'!$K$5:$K$500+'Lot Balance'!$D$5:$D$500&gt;=$AK454),0),0)),""))</f>
        <v>LYSL500290</v>
      </c>
      <c r="AM454" s="66" t="str" cm="1">
        <f t="array" ref="AM454">IF($F454="","",IFERROR(INDEX('Lot Balance'!$B$5:$B$500,MATCH(1,INDEX(('Lot Balance'!$A$5:$A$500=$F454)*('Lot Balance'!$K$5:$K$500&lt;$AJ454)*('Lot Balance'!$K$5:$K$500+'Lot Balance'!$D$5:$D$500&gt;=$AJ454),0),0)),""))</f>
        <v>LYSL500290</v>
      </c>
      <c r="AN454" s="66" t="str">
        <f>IF($F454="","",IF($AI454&lt;&gt;"",IF(COUNTIFS('Lot Balance'!$A$5:$A$500,$F454,'Lot Balance'!$B$5:$B$500,$AI454)=0,"⚠ override is not a lot of this item",IF($AI454=$AL454,"Override = FEFO","Override - FEFO says "&amp;$AL454)),IF($AL454="","⚠ no receipt on file for this item",IF($AM454&lt;&gt;$AL454,"FEFO auto - split, also "&amp;$AM454,"FEFO auto"))))</f>
        <v>FEFO auto</v>
      </c>
      <c r="AO454" s="114"/>
    </row>
    <row r="455" spans="1:41" x14ac:dyDescent="0.35">
      <c r="A455" s="74">
        <v>46143</v>
      </c>
      <c r="B455" s="18" t="str">
        <f>IF($C455="","",IFERROR(INDEX('Staff Directory'!$A$5:$A$594,MATCH($C455,'Staff Directory'!$B$5:$B$594,0)),"⚠ unknown staff"))</f>
        <v>PSW-102-A6</v>
      </c>
      <c r="C455" s="49" t="s">
        <v>1080</v>
      </c>
      <c r="D455" s="19" t="str">
        <f>IF($B455="","",IFERROR(INDEX('Staff Directory'!$C$5:$C$594,MATCH($B455,'Staff Directory'!$A$5:$A$594,0)),""))</f>
        <v>PSW</v>
      </c>
      <c r="E455" s="19" t="str">
        <f>IF($B455="","",IFERROR(INDEX('Staff Directory'!$D$5:$D$594,MATCH($B455,'Staff Directory'!$A$5:$A$594,0)),""))</f>
        <v>A6</v>
      </c>
      <c r="F455" s="9" t="s">
        <v>124</v>
      </c>
      <c r="G455" s="18" t="str">
        <f>IF($F455="","",IFERROR(INDEX(Items!$B$5:$B$597,MATCH($F455,Items!$A$5:$A$597,0)),"⚠ not in Items"))</f>
        <v>Gloves</v>
      </c>
      <c r="H455" s="19" t="str">
        <f>IF($F455="","",IFERROR(INDEX(Items!$C$5:$C$597,MATCH($F455,Items!$A$5:$A$597,0)),""))</f>
        <v>Large</v>
      </c>
      <c r="I455" s="23">
        <f>IF($F455="","",IFERROR(INDEX(Items!$E$5:$E$597,MATCH($F455,Items!$A$5:$A$597,0)),""))</f>
        <v>500</v>
      </c>
      <c r="J455" s="115">
        <f>IF(tblIssues[[#This Row],[Qty Override]]&lt;&gt;"",tblIssues[[#This Row],[Qty Override]],IF(tblIssues[[#This Row],[Standard Issue]]="","",tblIssues[[#This Row],[Standard Issue]]))</f>
        <v>500</v>
      </c>
      <c r="K455" s="20">
        <f>IF($F455="","",IFERROR(INDEX(Items!$D$5:$D$597,MATCH($F455,Items!$A$5:$A$597,0)),""))</f>
        <v>5.5E-2</v>
      </c>
      <c r="L455" s="21">
        <f t="shared" si="83"/>
        <v>27.5</v>
      </c>
      <c r="M455" s="9" t="str">
        <f t="shared" si="84"/>
        <v>ZIM511139904-1</v>
      </c>
      <c r="N455" s="24">
        <f>IF($A455="","",WORKDAY($A455,Settings!$C$9,HolidayDates))</f>
        <v>46153</v>
      </c>
      <c r="O455" s="24">
        <f>IF($N455="","",WORKDAY($N455,Settings!$C$10,HolidayDates))</f>
        <v>46191</v>
      </c>
      <c r="P455" s="10" t="s">
        <v>501</v>
      </c>
      <c r="Q455" s="52" t="str">
        <f t="shared" si="75"/>
        <v>Collected</v>
      </c>
      <c r="R455" s="55" t="str">
        <f t="shared" si="76"/>
        <v>2026-05</v>
      </c>
      <c r="S455" s="55">
        <f>IF(OR($B455="",$F455="",$R455=""),"",SUMIFS(tblIssues[Qty Issued],tblIssues[Staff ID],$B455,tblIssues[Item Name],$F455,tblIssues[Month],$R455))</f>
        <v>500</v>
      </c>
      <c r="T455" s="56">
        <f>IF($I455="","",$I455*Settings!$C$11)</f>
        <v>500</v>
      </c>
      <c r="U455" s="57" t="str">
        <f t="shared" si="85"/>
        <v>OK</v>
      </c>
      <c r="V455" s="55" t="str">
        <f t="shared" si="77"/>
        <v/>
      </c>
      <c r="W455" s="55" t="str">
        <f>IF($V455="","",IF(COUNTIF($V$5:$V455,$V455)=1,1,""))</f>
        <v/>
      </c>
      <c r="X455" s="58" t="str">
        <f>IF($W455="","",MAX($X$4:X454)+1)</f>
        <v/>
      </c>
      <c r="Y455" s="62"/>
      <c r="Z455" s="62"/>
      <c r="AA455" s="64" t="str">
        <f>IF($C455="","",IFERROR(INDEX('Staff Directory'!$E$5:$E$594,MATCH($C455,'Staff Directory'!$B$5:$B$594,0)),""))</f>
        <v>firstname164.lastname164@example.com</v>
      </c>
      <c r="AB455" s="64" t="str">
        <f>IF($C455="","",IF(ISNUMBER(SEARCH($D455,Settings!$C$15)),"Pickup","Dispatch"))</f>
        <v>Pickup</v>
      </c>
      <c r="AC455" s="64" t="str">
        <f t="shared" si="78"/>
        <v>Supply order ready for pickup</v>
      </c>
      <c r="AD455" s="64" t="str">
        <f t="shared" si="80"/>
        <v>Dear PSW,
Your order is ready for pickup from Sample Branch, Wed-Fri 9am-4pm.</v>
      </c>
      <c r="AE455" s="64" t="str">
        <f t="shared" si="81"/>
        <v>mailto:firstname164.lastname164@example.com?subject=Supply%20order%20ready%20for%20pickup&amp;body=Dear%20PSW%2C%0A%0AYour%20order%20is%20ready%20for%20pickup%20from%20Sample%20Branch%2C%20Wed-Fri%209am-4pm.</v>
      </c>
      <c r="AF455" s="89" t="str">
        <f t="shared" si="79"/>
        <v>Draft email</v>
      </c>
      <c r="AG455" s="64" t="str">
        <f>IF($C455="","",IFERROR(INDEX('Staff Directory'!$K$595:$K$599,MATCH($C455,'Staff Directory'!$B$5:$B$599,0)),$D455))</f>
        <v>PSW</v>
      </c>
      <c r="AH455" t="str">
        <f>IF($C455="","",IFERROR(INDEX('Staff Directory'!$I$595:$I$599,MATCH($C455,'Staff Directory'!$B$5:$B$599,0))&amp;" "&amp;INDEX('Staff Directory'!$J$595:$J$599,MATCH($C455,'Staff Directory'!$B$5:$B$599,0)),$AG455))</f>
        <v>PSW</v>
      </c>
      <c r="AI455" s="102"/>
      <c r="AJ455" s="101">
        <f>IF($F455="","",SUMIFS($J$5:$J455,$F$5:$F455,$F455))</f>
        <v>13000</v>
      </c>
      <c r="AK455" s="101">
        <f t="shared" si="82"/>
        <v>12501</v>
      </c>
      <c r="AL455" s="66" t="str" cm="1">
        <f t="array" ref="AL455">IF($F455="","",IFERROR(INDEX('Lot Balance'!$B$5:$B$500,MATCH(1,INDEX(('Lot Balance'!$A$5:$A$500=$F455)*('Lot Balance'!$K$5:$K$500&lt;$AK455)*('Lot Balance'!$K$5:$K$500+'Lot Balance'!$D$5:$D$500&gt;=$AK455),0),0)),""))</f>
        <v>ZIM511139904-1</v>
      </c>
      <c r="AM455" s="66" t="str" cm="1">
        <f t="array" ref="AM455">IF($F455="","",IFERROR(INDEX('Lot Balance'!$B$5:$B$500,MATCH(1,INDEX(('Lot Balance'!$A$5:$A$500=$F455)*('Lot Balance'!$K$5:$K$500&lt;$AJ455)*('Lot Balance'!$K$5:$K$500+'Lot Balance'!$D$5:$D$500&gt;=$AJ455),0),0)),""))</f>
        <v>ZIM511139904-1</v>
      </c>
      <c r="AN455" s="66" t="str">
        <f>IF($F455="","",IF($AI455&lt;&gt;"",IF(COUNTIFS('Lot Balance'!$A$5:$A$500,$F455,'Lot Balance'!$B$5:$B$500,$AI455)=0,"⚠ override is not a lot of this item",IF($AI455=$AL455,"Override = FEFO","Override - FEFO says "&amp;$AL455)),IF($AL455="","⚠ no receipt on file for this item",IF($AM455&lt;&gt;$AL455,"FEFO auto - split, also "&amp;$AM455,"FEFO auto"))))</f>
        <v>FEFO auto</v>
      </c>
      <c r="AO455" s="114"/>
    </row>
    <row r="456" spans="1:41" x14ac:dyDescent="0.35">
      <c r="A456" s="74">
        <v>46143</v>
      </c>
      <c r="B456" s="18" t="str">
        <f>IF($C456="","",IFERROR(INDEX('Staff Directory'!$A$5:$A$594,MATCH($C456,'Staff Directory'!$B$5:$B$594,0)),"⚠ unknown staff"))</f>
        <v>PSW-102-A6</v>
      </c>
      <c r="C456" s="49" t="s">
        <v>1080</v>
      </c>
      <c r="D456" s="19" t="str">
        <f>IF($B456="","",IFERROR(INDEX('Staff Directory'!$C$5:$C$594,MATCH($B456,'Staff Directory'!$A$5:$A$594,0)),""))</f>
        <v>PSW</v>
      </c>
      <c r="E456" s="19" t="str">
        <f>IF($B456="","",IFERROR(INDEX('Staff Directory'!$D$5:$D$594,MATCH($B456,'Staff Directory'!$A$5:$A$594,0)),""))</f>
        <v>A6</v>
      </c>
      <c r="F456" s="9" t="s">
        <v>191</v>
      </c>
      <c r="G456" s="18" t="str">
        <f>IF($F456="","",IFERROR(INDEX(Items!$B$5:$B$597,MATCH($F456,Items!$A$5:$A$597,0)),"⚠ not in Items"))</f>
        <v>Sanitizer</v>
      </c>
      <c r="H456" s="19" t="str">
        <f>IF($F456="","",IFERROR(INDEX(Items!$C$5:$C$597,MATCH($F456,Items!$A$5:$A$597,0)),""))</f>
        <v>236 ML</v>
      </c>
      <c r="I456" s="23">
        <f>IF($F456="","",IFERROR(INDEX(Items!$E$5:$E$597,MATCH($F456,Items!$A$5:$A$597,0)),""))</f>
        <v>1</v>
      </c>
      <c r="J456" s="115">
        <f>IF(tblIssues[[#This Row],[Qty Override]]&lt;&gt;"",tblIssues[[#This Row],[Qty Override]],IF(tblIssues[[#This Row],[Standard Issue]]="","",tblIssues[[#This Row],[Standard Issue]]))</f>
        <v>1</v>
      </c>
      <c r="K456" s="20">
        <f>IF($F456="","",IFERROR(INDEX(Items!$D$5:$D$597,MATCH($F456,Items!$A$5:$A$597,0)),""))</f>
        <v>1E-4</v>
      </c>
      <c r="L456" s="21">
        <f t="shared" si="83"/>
        <v>1E-4</v>
      </c>
      <c r="M456" s="9" t="str">
        <f t="shared" si="84"/>
        <v>20-21734-2</v>
      </c>
      <c r="N456" s="24">
        <f>IF($A456="","",WORKDAY($A456,Settings!$C$9,HolidayDates))</f>
        <v>46153</v>
      </c>
      <c r="O456" s="24">
        <f>IF($N456="","",WORKDAY($N456,Settings!$C$10,HolidayDates))</f>
        <v>46191</v>
      </c>
      <c r="P456" s="10" t="s">
        <v>501</v>
      </c>
      <c r="Q456" s="52" t="str">
        <f t="shared" si="75"/>
        <v>Collected</v>
      </c>
      <c r="R456" s="55" t="str">
        <f t="shared" si="76"/>
        <v>2026-05</v>
      </c>
      <c r="S456" s="55">
        <f>IF(OR($B456="",$F456="",$R456=""),"",SUMIFS(tblIssues[Qty Issued],tblIssues[Staff ID],$B456,tblIssues[Item Name],$F456,tblIssues[Month],$R456))</f>
        <v>1</v>
      </c>
      <c r="T456" s="56">
        <f>IF($I456="","",$I456*Settings!$C$11)</f>
        <v>1</v>
      </c>
      <c r="U456" s="57" t="str">
        <f t="shared" si="85"/>
        <v>OK</v>
      </c>
      <c r="V456" s="55" t="str">
        <f t="shared" si="77"/>
        <v/>
      </c>
      <c r="W456" s="55" t="str">
        <f>IF($V456="","",IF(COUNTIF($V$5:$V456,$V456)=1,1,""))</f>
        <v/>
      </c>
      <c r="X456" s="58" t="str">
        <f>IF($W456="","",MAX($X$4:X455)+1)</f>
        <v/>
      </c>
      <c r="Y456" s="62"/>
      <c r="Z456" s="62"/>
      <c r="AA456" s="64" t="str">
        <f>IF($C456="","",IFERROR(INDEX('Staff Directory'!$E$5:$E$594,MATCH($C456,'Staff Directory'!$B$5:$B$594,0)),""))</f>
        <v>firstname164.lastname164@example.com</v>
      </c>
      <c r="AB456" s="64" t="str">
        <f>IF($C456="","",IF(ISNUMBER(SEARCH($D456,Settings!$C$15)),"Pickup","Dispatch"))</f>
        <v>Pickup</v>
      </c>
      <c r="AC456" s="64" t="str">
        <f t="shared" si="78"/>
        <v>Supply order ready for pickup</v>
      </c>
      <c r="AD456" s="64" t="str">
        <f t="shared" si="80"/>
        <v>Dear PSW,
Your order is ready for pickup from Sample Branch, Wed-Fri 9am-4pm.</v>
      </c>
      <c r="AE456" s="64" t="str">
        <f t="shared" si="81"/>
        <v>mailto:firstname164.lastname164@example.com?subject=Supply%20order%20ready%20for%20pickup&amp;body=Dear%20PSW%2C%0A%0AYour%20order%20is%20ready%20for%20pickup%20from%20Sample%20Branch%2C%20Wed-Fri%209am-4pm.</v>
      </c>
      <c r="AF456" s="89" t="str">
        <f t="shared" si="79"/>
        <v>Draft email</v>
      </c>
      <c r="AG456" s="64" t="str">
        <f>IF($C456="","",IFERROR(INDEX('Staff Directory'!$K$595:$K$599,MATCH($C456,'Staff Directory'!$B$5:$B$599,0)),$D456))</f>
        <v>PSW</v>
      </c>
      <c r="AH456" t="str">
        <f>IF($C456="","",IFERROR(INDEX('Staff Directory'!$I$595:$I$599,MATCH($C456,'Staff Directory'!$B$5:$B$599,0))&amp;" "&amp;INDEX('Staff Directory'!$J$595:$J$599,MATCH($C456,'Staff Directory'!$B$5:$B$599,0)),$AG456))</f>
        <v>PSW</v>
      </c>
      <c r="AI456" s="102"/>
      <c r="AJ456" s="101">
        <f>IF($F456="","",SUMIFS($J$5:$J456,$F$5:$F456,$F456))</f>
        <v>44</v>
      </c>
      <c r="AK456" s="101">
        <f t="shared" si="82"/>
        <v>44</v>
      </c>
      <c r="AL456" s="66" t="str" cm="1">
        <f t="array" ref="AL456">IF($F456="","",IFERROR(INDEX('Lot Balance'!$B$5:$B$500,MATCH(1,INDEX(('Lot Balance'!$A$5:$A$500=$F456)*('Lot Balance'!$K$5:$K$500&lt;$AK456)*('Lot Balance'!$K$5:$K$500+'Lot Balance'!$D$5:$D$500&gt;=$AK456),0),0)),""))</f>
        <v>20-21734-2</v>
      </c>
      <c r="AM456" s="66" t="str" cm="1">
        <f t="array" ref="AM456">IF($F456="","",IFERROR(INDEX('Lot Balance'!$B$5:$B$500,MATCH(1,INDEX(('Lot Balance'!$A$5:$A$500=$F456)*('Lot Balance'!$K$5:$K$500&lt;$AJ456)*('Lot Balance'!$K$5:$K$500+'Lot Balance'!$D$5:$D$500&gt;=$AJ456),0),0)),""))</f>
        <v>20-21734-2</v>
      </c>
      <c r="AN456" s="66" t="str">
        <f>IF($F456="","",IF($AI456&lt;&gt;"",IF(COUNTIFS('Lot Balance'!$A$5:$A$500,$F456,'Lot Balance'!$B$5:$B$500,$AI456)=0,"⚠ override is not a lot of this item",IF($AI456=$AL456,"Override = FEFO","Override - FEFO says "&amp;$AL456)),IF($AL456="","⚠ no receipt on file for this item",IF($AM456&lt;&gt;$AL456,"FEFO auto - split, also "&amp;$AM456,"FEFO auto"))))</f>
        <v>FEFO auto</v>
      </c>
      <c r="AO456" s="114"/>
    </row>
    <row r="457" spans="1:41" x14ac:dyDescent="0.35">
      <c r="A457" s="74">
        <v>46143</v>
      </c>
      <c r="B457" s="18" t="str">
        <f>IF($C457="","",IFERROR(INDEX('Staff Directory'!$A$5:$A$594,MATCH($C457,'Staff Directory'!$B$5:$B$594,0)),"⚠ unknown staff"))</f>
        <v>PSW-102-A6</v>
      </c>
      <c r="C457" s="49" t="s">
        <v>1080</v>
      </c>
      <c r="D457" s="19" t="str">
        <f>IF($B457="","",IFERROR(INDEX('Staff Directory'!$C$5:$C$594,MATCH($B457,'Staff Directory'!$A$5:$A$594,0)),""))</f>
        <v>PSW</v>
      </c>
      <c r="E457" s="19" t="str">
        <f>IF($B457="","",IFERROR(INDEX('Staff Directory'!$D$5:$D$594,MATCH($B457,'Staff Directory'!$A$5:$A$594,0)),""))</f>
        <v>A6</v>
      </c>
      <c r="F457" s="9" t="s">
        <v>115</v>
      </c>
      <c r="G457" s="18" t="str">
        <f>IF($F457="","",IFERROR(INDEX(Items!$B$5:$B$597,MATCH($F457,Items!$A$5:$A$597,0)),"⚠ not in Items"))</f>
        <v>Wipes</v>
      </c>
      <c r="H457" s="19">
        <f>IF($F457="","",IFERROR(INDEX(Items!$C$5:$C$597,MATCH($F457,Items!$A$5:$A$597,0)),""))</f>
        <v>80</v>
      </c>
      <c r="I457" s="23">
        <f>IF($F457="","",IFERROR(INDEX(Items!$E$5:$E$597,MATCH($F457,Items!$A$5:$A$597,0)),""))</f>
        <v>80</v>
      </c>
      <c r="J457" s="115">
        <f>IF(tblIssues[[#This Row],[Qty Override]]&lt;&gt;"",tblIssues[[#This Row],[Qty Override]],IF(tblIssues[[#This Row],[Standard Issue]]="","",tblIssues[[#This Row],[Standard Issue]]))</f>
        <v>80</v>
      </c>
      <c r="K457" s="20">
        <f>IF($F457="","",IFERROR(INDEX(Items!$D$5:$D$597,MATCH($F457,Items!$A$5:$A$597,0)),""))</f>
        <v>0.1</v>
      </c>
      <c r="L457" s="21">
        <f t="shared" si="83"/>
        <v>8</v>
      </c>
      <c r="M457" s="9" t="str">
        <f t="shared" si="84"/>
        <v>LYSL500290</v>
      </c>
      <c r="N457" s="24">
        <f>IF($A457="","",WORKDAY($A457,Settings!$C$9,HolidayDates))</f>
        <v>46153</v>
      </c>
      <c r="O457" s="24">
        <f>IF($N457="","",WORKDAY($N457,Settings!$C$10,HolidayDates))</f>
        <v>46191</v>
      </c>
      <c r="P457" s="10" t="s">
        <v>501</v>
      </c>
      <c r="Q457" s="52" t="str">
        <f t="shared" si="75"/>
        <v>Collected</v>
      </c>
      <c r="R457" s="55" t="str">
        <f t="shared" si="76"/>
        <v>2026-05</v>
      </c>
      <c r="S457" s="55">
        <f>IF(OR($B457="",$F457="",$R457=""),"",SUMIFS(tblIssues[Qty Issued],tblIssues[Staff ID],$B457,tblIssues[Item Name],$F457,tblIssues[Month],$R457))</f>
        <v>80</v>
      </c>
      <c r="T457" s="56">
        <f>IF($I457="","",$I457*Settings!$C$11)</f>
        <v>80</v>
      </c>
      <c r="U457" s="57" t="str">
        <f t="shared" si="85"/>
        <v>OK</v>
      </c>
      <c r="V457" s="55" t="str">
        <f t="shared" si="77"/>
        <v/>
      </c>
      <c r="W457" s="55" t="str">
        <f>IF($V457="","",IF(COUNTIF($V$5:$V457,$V457)=1,1,""))</f>
        <v/>
      </c>
      <c r="X457" s="58" t="str">
        <f>IF($W457="","",MAX($X$4:X456)+1)</f>
        <v/>
      </c>
      <c r="Y457" s="62"/>
      <c r="Z457" s="62"/>
      <c r="AA457" s="64" t="str">
        <f>IF($C457="","",IFERROR(INDEX('Staff Directory'!$E$5:$E$594,MATCH($C457,'Staff Directory'!$B$5:$B$594,0)),""))</f>
        <v>firstname164.lastname164@example.com</v>
      </c>
      <c r="AB457" s="64" t="str">
        <f>IF($C457="","",IF(ISNUMBER(SEARCH($D457,Settings!$C$15)),"Pickup","Dispatch"))</f>
        <v>Pickup</v>
      </c>
      <c r="AC457" s="64" t="str">
        <f t="shared" si="78"/>
        <v>Supply order ready for pickup</v>
      </c>
      <c r="AD457" s="64" t="str">
        <f t="shared" si="80"/>
        <v>Dear PSW,
Your order is ready for pickup from Sample Branch, Wed-Fri 9am-4pm.</v>
      </c>
      <c r="AE457" s="64" t="str">
        <f t="shared" si="81"/>
        <v>mailto:firstname164.lastname164@example.com?subject=Supply%20order%20ready%20for%20pickup&amp;body=Dear%20PSW%2C%0A%0AYour%20order%20is%20ready%20for%20pickup%20from%20Sample%20Branch%2C%20Wed-Fri%209am-4pm.</v>
      </c>
      <c r="AF457" s="89" t="str">
        <f t="shared" si="79"/>
        <v>Draft email</v>
      </c>
      <c r="AG457" s="64" t="str">
        <f>IF($C457="","",IFERROR(INDEX('Staff Directory'!$K$595:$K$599,MATCH($C457,'Staff Directory'!$B$5:$B$599,0)),$D457))</f>
        <v>PSW</v>
      </c>
      <c r="AH457" t="str">
        <f>IF($C457="","",IFERROR(INDEX('Staff Directory'!$I$595:$I$599,MATCH($C457,'Staff Directory'!$B$5:$B$599,0))&amp;" "&amp;INDEX('Staff Directory'!$J$595:$J$599,MATCH($C457,'Staff Directory'!$B$5:$B$599,0)),$AG457))</f>
        <v>PSW</v>
      </c>
      <c r="AI457" s="102"/>
      <c r="AJ457" s="101">
        <f>IF($F457="","",SUMIFS($J$5:$J457,$F$5:$F457,$F457))</f>
        <v>6480</v>
      </c>
      <c r="AK457" s="101">
        <f t="shared" si="82"/>
        <v>6401</v>
      </c>
      <c r="AL457" s="66" t="str" cm="1">
        <f t="array" ref="AL457">IF($F457="","",IFERROR(INDEX('Lot Balance'!$B$5:$B$500,MATCH(1,INDEX(('Lot Balance'!$A$5:$A$500=$F457)*('Lot Balance'!$K$5:$K$500&lt;$AK457)*('Lot Balance'!$K$5:$K$500+'Lot Balance'!$D$5:$D$500&gt;=$AK457),0),0)),""))</f>
        <v>LYSL500290</v>
      </c>
      <c r="AM457" s="66" t="str" cm="1">
        <f t="array" ref="AM457">IF($F457="","",IFERROR(INDEX('Lot Balance'!$B$5:$B$500,MATCH(1,INDEX(('Lot Balance'!$A$5:$A$500=$F457)*('Lot Balance'!$K$5:$K$500&lt;$AJ457)*('Lot Balance'!$K$5:$K$500+'Lot Balance'!$D$5:$D$500&gt;=$AJ457),0),0)),""))</f>
        <v>LYSL500290</v>
      </c>
      <c r="AN457" s="66" t="str">
        <f>IF($F457="","",IF($AI457&lt;&gt;"",IF(COUNTIFS('Lot Balance'!$A$5:$A$500,$F457,'Lot Balance'!$B$5:$B$500,$AI457)=0,"⚠ override is not a lot of this item",IF($AI457=$AL457,"Override = FEFO","Override - FEFO says "&amp;$AL457)),IF($AL457="","⚠ no receipt on file for this item",IF($AM457&lt;&gt;$AL457,"FEFO auto - split, also "&amp;$AM457,"FEFO auto"))))</f>
        <v>FEFO auto</v>
      </c>
      <c r="AO457" s="114"/>
    </row>
    <row r="458" spans="1:41" x14ac:dyDescent="0.35">
      <c r="A458" s="74">
        <v>46143</v>
      </c>
      <c r="B458" s="18" t="str">
        <f>IF($C458="","",IFERROR(INDEX('Staff Directory'!$A$5:$A$594,MATCH($C458,'Staff Directory'!$B$5:$B$594,0)),"⚠ unknown staff"))</f>
        <v>PSW-102-A6</v>
      </c>
      <c r="C458" s="49" t="s">
        <v>1080</v>
      </c>
      <c r="D458" s="19" t="str">
        <f>IF($B458="","",IFERROR(INDEX('Staff Directory'!$C$5:$C$594,MATCH($B458,'Staff Directory'!$A$5:$A$594,0)),""))</f>
        <v>PSW</v>
      </c>
      <c r="E458" s="19" t="str">
        <f>IF($B458="","",IFERROR(INDEX('Staff Directory'!$D$5:$D$594,MATCH($B458,'Staff Directory'!$A$5:$A$594,0)),""))</f>
        <v>A6</v>
      </c>
      <c r="F458" s="9" t="s">
        <v>156</v>
      </c>
      <c r="G458" s="18" t="str">
        <f>IF($F458="","",IFERROR(INDEX(Items!$B$5:$B$597,MATCH($F458,Items!$A$5:$A$597,0)),"⚠ not in Items"))</f>
        <v>Masks</v>
      </c>
      <c r="H458" s="19" t="str">
        <f>IF($F458="","",IFERROR(INDEX(Items!$C$5:$C$597,MATCH($F458,Items!$A$5:$A$597,0)),""))</f>
        <v>One Size</v>
      </c>
      <c r="I458" s="23">
        <f>IF($F458="","",IFERROR(INDEX(Items!$E$5:$E$597,MATCH($F458,Items!$A$5:$A$597,0)),""))</f>
        <v>50</v>
      </c>
      <c r="J458" s="115">
        <f>IF(tblIssues[[#This Row],[Qty Override]]&lt;&gt;"",tblIssues[[#This Row],[Qty Override]],IF(tblIssues[[#This Row],[Standard Issue]]="","",tblIssues[[#This Row],[Standard Issue]]))</f>
        <v>50</v>
      </c>
      <c r="K458" s="20">
        <f>IF($F458="","",IFERROR(INDEX(Items!$D$5:$D$597,MATCH($F458,Items!$A$5:$A$597,0)),""))</f>
        <v>0.25</v>
      </c>
      <c r="L458" s="21">
        <f t="shared" si="83"/>
        <v>12.5</v>
      </c>
      <c r="M458" s="9" t="str">
        <f t="shared" si="84"/>
        <v>0125FPC24-0</v>
      </c>
      <c r="N458" s="24">
        <f>IF($A458="","",WORKDAY($A458,Settings!$C$9,HolidayDates))</f>
        <v>46153</v>
      </c>
      <c r="O458" s="24">
        <f>IF($N458="","",WORKDAY($N458,Settings!$C$10,HolidayDates))</f>
        <v>46191</v>
      </c>
      <c r="P458" s="10" t="s">
        <v>501</v>
      </c>
      <c r="Q458" s="52" t="str">
        <f t="shared" si="75"/>
        <v>Collected</v>
      </c>
      <c r="R458" s="55" t="str">
        <f t="shared" si="76"/>
        <v>2026-05</v>
      </c>
      <c r="S458" s="55">
        <f>IF(OR($B458="",$F458="",$R458=""),"",SUMIFS(tblIssues[Qty Issued],tblIssues[Staff ID],$B458,tblIssues[Item Name],$F458,tblIssues[Month],$R458))</f>
        <v>50</v>
      </c>
      <c r="T458" s="56">
        <f>IF($I458="","",$I458*Settings!$C$11)</f>
        <v>50</v>
      </c>
      <c r="U458" s="57" t="str">
        <f t="shared" si="85"/>
        <v>OK</v>
      </c>
      <c r="V458" s="55" t="str">
        <f t="shared" si="77"/>
        <v/>
      </c>
      <c r="W458" s="55" t="str">
        <f>IF($V458="","",IF(COUNTIF($V$5:$V458,$V458)=1,1,""))</f>
        <v/>
      </c>
      <c r="X458" s="58" t="str">
        <f>IF($W458="","",MAX($X$4:X457)+1)</f>
        <v/>
      </c>
      <c r="Y458" s="62"/>
      <c r="Z458" s="62"/>
      <c r="AA458" s="64" t="str">
        <f>IF($C458="","",IFERROR(INDEX('Staff Directory'!$E$5:$E$594,MATCH($C458,'Staff Directory'!$B$5:$B$594,0)),""))</f>
        <v>firstname164.lastname164@example.com</v>
      </c>
      <c r="AB458" s="64" t="str">
        <f>IF($C458="","",IF(ISNUMBER(SEARCH($D458,Settings!$C$15)),"Pickup","Dispatch"))</f>
        <v>Pickup</v>
      </c>
      <c r="AC458" s="64" t="str">
        <f t="shared" si="78"/>
        <v>Supply order ready for pickup</v>
      </c>
      <c r="AD458" s="64" t="str">
        <f t="shared" si="80"/>
        <v>Dear PSW,
Your order is ready for pickup from Sample Branch, Wed-Fri 9am-4pm.</v>
      </c>
      <c r="AE458" s="64" t="str">
        <f t="shared" si="81"/>
        <v>mailto:firstname164.lastname164@example.com?subject=Supply%20order%20ready%20for%20pickup&amp;body=Dear%20PSW%2C%0A%0AYour%20order%20is%20ready%20for%20pickup%20from%20Sample%20Branch%2C%20Wed-Fri%209am-4pm.</v>
      </c>
      <c r="AF458" s="89" t="str">
        <f t="shared" si="79"/>
        <v>Draft email</v>
      </c>
      <c r="AG458" s="64" t="str">
        <f>IF($C458="","",IFERROR(INDEX('Staff Directory'!$K$595:$K$599,MATCH($C458,'Staff Directory'!$B$5:$B$599,0)),$D458))</f>
        <v>PSW</v>
      </c>
      <c r="AH458" t="str">
        <f>IF($C458="","",IFERROR(INDEX('Staff Directory'!$I$595:$I$599,MATCH($C458,'Staff Directory'!$B$5:$B$599,0))&amp;" "&amp;INDEX('Staff Directory'!$J$595:$J$599,MATCH($C458,'Staff Directory'!$B$5:$B$599,0)),$AG458))</f>
        <v>PSW</v>
      </c>
      <c r="AI458" s="102"/>
      <c r="AJ458" s="101">
        <f>IF($F458="","",SUMIFS($J$5:$J458,$F$5:$F458,$F458))</f>
        <v>3650</v>
      </c>
      <c r="AK458" s="101">
        <f t="shared" si="82"/>
        <v>3601</v>
      </c>
      <c r="AL458" s="66" t="str" cm="1">
        <f t="array" ref="AL458">IF($F458="","",IFERROR(INDEX('Lot Balance'!$B$5:$B$500,MATCH(1,INDEX(('Lot Balance'!$A$5:$A$500=$F458)*('Lot Balance'!$K$5:$K$500&lt;$AK458)*('Lot Balance'!$K$5:$K$500+'Lot Balance'!$D$5:$D$500&gt;=$AK458),0),0)),""))</f>
        <v>0125FPC24-0</v>
      </c>
      <c r="AM458" s="66" t="str" cm="1">
        <f t="array" ref="AM458">IF($F458="","",IFERROR(INDEX('Lot Balance'!$B$5:$B$500,MATCH(1,INDEX(('Lot Balance'!$A$5:$A$500=$F458)*('Lot Balance'!$K$5:$K$500&lt;$AJ458)*('Lot Balance'!$K$5:$K$500+'Lot Balance'!$D$5:$D$500&gt;=$AJ458),0),0)),""))</f>
        <v>0125FPC24-0</v>
      </c>
      <c r="AN458" s="66" t="str">
        <f>IF($F458="","",IF($AI458&lt;&gt;"",IF(COUNTIFS('Lot Balance'!$A$5:$A$500,$F458,'Lot Balance'!$B$5:$B$500,$AI458)=0,"⚠ override is not a lot of this item",IF($AI458=$AL458,"Override = FEFO","Override - FEFO says "&amp;$AL458)),IF($AL458="","⚠ no receipt on file for this item",IF($AM458&lt;&gt;$AL458,"FEFO auto - split, also "&amp;$AM458,"FEFO auto"))))</f>
        <v>FEFO auto</v>
      </c>
      <c r="AO458" s="114"/>
    </row>
    <row r="459" spans="1:41" x14ac:dyDescent="0.35">
      <c r="A459" s="74">
        <v>46143</v>
      </c>
      <c r="B459" s="18" t="str">
        <f>IF($C459="","",IFERROR(INDEX('Staff Directory'!$A$5:$A$594,MATCH($C459,'Staff Directory'!$B$5:$B$594,0)),"⚠ unknown staff"))</f>
        <v>PSW-060-A6</v>
      </c>
      <c r="C459" s="49" t="s">
        <v>1036</v>
      </c>
      <c r="D459" s="19" t="str">
        <f>IF($B459="","",IFERROR(INDEX('Staff Directory'!$C$5:$C$594,MATCH($B459,'Staff Directory'!$A$5:$A$594,0)),""))</f>
        <v>PSW</v>
      </c>
      <c r="E459" s="19" t="str">
        <f>IF($B459="","",IFERROR(INDEX('Staff Directory'!$D$5:$D$594,MATCH($B459,'Staff Directory'!$A$5:$A$594,0)),""))</f>
        <v>A6</v>
      </c>
      <c r="F459" s="9" t="s">
        <v>129</v>
      </c>
      <c r="G459" s="18" t="str">
        <f>IF($F459="","",IFERROR(INDEX(Items!$B$5:$B$597,MATCH($F459,Items!$A$5:$A$597,0)),"⚠ not in Items"))</f>
        <v>Gloves</v>
      </c>
      <c r="H459" s="19" t="str">
        <f>IF($F459="","",IFERROR(INDEX(Items!$C$5:$C$597,MATCH($F459,Items!$A$5:$A$597,0)),""))</f>
        <v>Small</v>
      </c>
      <c r="I459" s="23">
        <f>IF($F459="","",IFERROR(INDEX(Items!$E$5:$E$597,MATCH($F459,Items!$A$5:$A$597,0)),""))</f>
        <v>500</v>
      </c>
      <c r="J459" s="115">
        <f>IF(tblIssues[[#This Row],[Qty Override]]&lt;&gt;"",tblIssues[[#This Row],[Qty Override]],IF(tblIssues[[#This Row],[Standard Issue]]="","",tblIssues[[#This Row],[Standard Issue]]))</f>
        <v>500</v>
      </c>
      <c r="K459" s="20">
        <f>IF($F459="","",IFERROR(INDEX(Items!$D$5:$D$597,MATCH($F459,Items!$A$5:$A$597,0)),""))</f>
        <v>5.5E-2</v>
      </c>
      <c r="L459" s="21">
        <f t="shared" si="83"/>
        <v>27.5</v>
      </c>
      <c r="M459" s="9" t="str">
        <f t="shared" si="84"/>
        <v>O210LIC25</v>
      </c>
      <c r="N459" s="24">
        <f>IF($A459="","",WORKDAY($A459,Settings!$C$9,HolidayDates))</f>
        <v>46153</v>
      </c>
      <c r="O459" s="24">
        <f>IF($N459="","",WORKDAY($N459,Settings!$C$10,HolidayDates))</f>
        <v>46191</v>
      </c>
      <c r="P459" s="10" t="s">
        <v>501</v>
      </c>
      <c r="Q459" s="52" t="str">
        <f t="shared" si="75"/>
        <v>Collected</v>
      </c>
      <c r="R459" s="55" t="str">
        <f t="shared" si="76"/>
        <v>2026-05</v>
      </c>
      <c r="S459" s="55">
        <f>IF(OR($B459="",$F459="",$R459=""),"",SUMIFS(tblIssues[Qty Issued],tblIssues[Staff ID],$B459,tblIssues[Item Name],$F459,tblIssues[Month],$R459))</f>
        <v>500</v>
      </c>
      <c r="T459" s="56">
        <f>IF($I459="","",$I459*Settings!$C$11)</f>
        <v>500</v>
      </c>
      <c r="U459" s="57" t="str">
        <f t="shared" si="85"/>
        <v>OK</v>
      </c>
      <c r="V459" s="55" t="str">
        <f t="shared" si="77"/>
        <v/>
      </c>
      <c r="W459" s="55" t="str">
        <f>IF($V459="","",IF(COUNTIF($V$5:$V459,$V459)=1,1,""))</f>
        <v/>
      </c>
      <c r="X459" s="58" t="str">
        <f>IF($W459="","",MAX($X$4:X458)+1)</f>
        <v/>
      </c>
      <c r="Y459" s="62"/>
      <c r="Z459" s="62"/>
      <c r="AA459" s="64" t="str">
        <f>IF($C459="","",IFERROR(INDEX('Staff Directory'!$E$5:$E$594,MATCH($C459,'Staff Directory'!$B$5:$B$594,0)),""))</f>
        <v>firstname120.lastname120@example.com</v>
      </c>
      <c r="AB459" s="64" t="str">
        <f>IF($C459="","",IF(ISNUMBER(SEARCH($D459,Settings!$C$15)),"Pickup","Dispatch"))</f>
        <v>Pickup</v>
      </c>
      <c r="AC459" s="64" t="str">
        <f t="shared" si="78"/>
        <v>Supply order ready for pickup</v>
      </c>
      <c r="AD459" s="64" t="str">
        <f t="shared" si="80"/>
        <v>Dear PSW,
Your order is ready for pickup from Sample Branch, Wed-Fri 9am-4pm.</v>
      </c>
      <c r="AE459" s="64" t="str">
        <f t="shared" si="81"/>
        <v>mailto:firstname120.lastname120@example.com?subject=Supply%20order%20ready%20for%20pickup&amp;body=Dear%20PSW%2C%0A%0AYour%20order%20is%20ready%20for%20pickup%20from%20Sample%20Branch%2C%20Wed-Fri%209am-4pm.</v>
      </c>
      <c r="AF459" s="89" t="str">
        <f t="shared" si="79"/>
        <v>Draft email</v>
      </c>
      <c r="AG459" s="64" t="str">
        <f>IF($C459="","",IFERROR(INDEX('Staff Directory'!$K$595:$K$599,MATCH($C459,'Staff Directory'!$B$5:$B$599,0)),$D459))</f>
        <v>PSW</v>
      </c>
      <c r="AH459" t="str">
        <f>IF($C459="","",IFERROR(INDEX('Staff Directory'!$I$595:$I$599,MATCH($C459,'Staff Directory'!$B$5:$B$599,0))&amp;" "&amp;INDEX('Staff Directory'!$J$595:$J$599,MATCH($C459,'Staff Directory'!$B$5:$B$599,0)),$AG459))</f>
        <v>PSW</v>
      </c>
      <c r="AI459" s="102"/>
      <c r="AJ459" s="101">
        <f>IF($F459="","",SUMIFS($J$5:$J459,$F$5:$F459,$F459))</f>
        <v>15500</v>
      </c>
      <c r="AK459" s="101">
        <f t="shared" si="82"/>
        <v>15001</v>
      </c>
      <c r="AL459" s="66" t="str" cm="1">
        <f t="array" ref="AL459">IF($F459="","",IFERROR(INDEX('Lot Balance'!$B$5:$B$500,MATCH(1,INDEX(('Lot Balance'!$A$5:$A$500=$F459)*('Lot Balance'!$K$5:$K$500&lt;$AK459)*('Lot Balance'!$K$5:$K$500+'Lot Balance'!$D$5:$D$500&gt;=$AK459),0),0)),""))</f>
        <v>O210LIC25</v>
      </c>
      <c r="AM459" s="66" t="str" cm="1">
        <f t="array" ref="AM459">IF($F459="","",IFERROR(INDEX('Lot Balance'!$B$5:$B$500,MATCH(1,INDEX(('Lot Balance'!$A$5:$A$500=$F459)*('Lot Balance'!$K$5:$K$500&lt;$AJ459)*('Lot Balance'!$K$5:$K$500+'Lot Balance'!$D$5:$D$500&gt;=$AJ459),0),0)),""))</f>
        <v>O210LIC25</v>
      </c>
      <c r="AN459" s="66" t="str">
        <f>IF($F459="","",IF($AI459&lt;&gt;"",IF(COUNTIFS('Lot Balance'!$A$5:$A$500,$F459,'Lot Balance'!$B$5:$B$500,$AI459)=0,"⚠ override is not a lot of this item",IF($AI459=$AL459,"Override = FEFO","Override - FEFO says "&amp;$AL459)),IF($AL459="","⚠ no receipt on file for this item",IF($AM459&lt;&gt;$AL459,"FEFO auto - split, also "&amp;$AM459,"FEFO auto"))))</f>
        <v>FEFO auto</v>
      </c>
      <c r="AO459" s="114"/>
    </row>
    <row r="460" spans="1:41" x14ac:dyDescent="0.35">
      <c r="A460" s="74">
        <v>46143</v>
      </c>
      <c r="B460" s="18" t="str">
        <f>IF($C460="","",IFERROR(INDEX('Staff Directory'!$A$5:$A$594,MATCH($C460,'Staff Directory'!$B$5:$B$594,0)),"⚠ unknown staff"))</f>
        <v>PSW-060-A6</v>
      </c>
      <c r="C460" s="49" t="s">
        <v>1036</v>
      </c>
      <c r="D460" s="19" t="str">
        <f>IF($B460="","",IFERROR(INDEX('Staff Directory'!$C$5:$C$594,MATCH($B460,'Staff Directory'!$A$5:$A$594,0)),""))</f>
        <v>PSW</v>
      </c>
      <c r="E460" s="19" t="str">
        <f>IF($B460="","",IFERROR(INDEX('Staff Directory'!$D$5:$D$594,MATCH($B460,'Staff Directory'!$A$5:$A$594,0)),""))</f>
        <v>A6</v>
      </c>
      <c r="F460" s="9" t="s">
        <v>191</v>
      </c>
      <c r="G460" s="18" t="str">
        <f>IF($F460="","",IFERROR(INDEX(Items!$B$5:$B$597,MATCH($F460,Items!$A$5:$A$597,0)),"⚠ not in Items"))</f>
        <v>Sanitizer</v>
      </c>
      <c r="H460" s="19" t="str">
        <f>IF($F460="","",IFERROR(INDEX(Items!$C$5:$C$597,MATCH($F460,Items!$A$5:$A$597,0)),""))</f>
        <v>236 ML</v>
      </c>
      <c r="I460" s="23">
        <f>IF($F460="","",IFERROR(INDEX(Items!$E$5:$E$597,MATCH($F460,Items!$A$5:$A$597,0)),""))</f>
        <v>1</v>
      </c>
      <c r="J460" s="115">
        <f>IF(tblIssues[[#This Row],[Qty Override]]&lt;&gt;"",tblIssues[[#This Row],[Qty Override]],IF(tblIssues[[#This Row],[Standard Issue]]="","",tblIssues[[#This Row],[Standard Issue]]))</f>
        <v>1</v>
      </c>
      <c r="K460" s="20">
        <f>IF($F460="","",IFERROR(INDEX(Items!$D$5:$D$597,MATCH($F460,Items!$A$5:$A$597,0)),""))</f>
        <v>1E-4</v>
      </c>
      <c r="L460" s="21">
        <f t="shared" si="83"/>
        <v>1E-4</v>
      </c>
      <c r="M460" s="9" t="str">
        <f t="shared" si="84"/>
        <v>20-21734-2</v>
      </c>
      <c r="N460" s="24">
        <f>IF($A460="","",WORKDAY($A460,Settings!$C$9,HolidayDates))</f>
        <v>46153</v>
      </c>
      <c r="O460" s="24">
        <f>IF($N460="","",WORKDAY($N460,Settings!$C$10,HolidayDates))</f>
        <v>46191</v>
      </c>
      <c r="P460" s="10" t="s">
        <v>501</v>
      </c>
      <c r="Q460" s="52" t="str">
        <f t="shared" si="75"/>
        <v>Collected</v>
      </c>
      <c r="R460" s="55" t="str">
        <f t="shared" si="76"/>
        <v>2026-05</v>
      </c>
      <c r="S460" s="55">
        <f>IF(OR($B460="",$F460="",$R460=""),"",SUMIFS(tblIssues[Qty Issued],tblIssues[Staff ID],$B460,tblIssues[Item Name],$F460,tblIssues[Month],$R460))</f>
        <v>1</v>
      </c>
      <c r="T460" s="56">
        <f>IF($I460="","",$I460*Settings!$C$11)</f>
        <v>1</v>
      </c>
      <c r="U460" s="57" t="str">
        <f t="shared" si="85"/>
        <v>OK</v>
      </c>
      <c r="V460" s="55" t="str">
        <f t="shared" si="77"/>
        <v/>
      </c>
      <c r="W460" s="55" t="str">
        <f>IF($V460="","",IF(COUNTIF($V$5:$V460,$V460)=1,1,""))</f>
        <v/>
      </c>
      <c r="X460" s="58" t="str">
        <f>IF($W460="","",MAX($X$4:X459)+1)</f>
        <v/>
      </c>
      <c r="Y460" s="62"/>
      <c r="Z460" s="62"/>
      <c r="AA460" s="64" t="str">
        <f>IF($C460="","",IFERROR(INDEX('Staff Directory'!$E$5:$E$594,MATCH($C460,'Staff Directory'!$B$5:$B$594,0)),""))</f>
        <v>firstname120.lastname120@example.com</v>
      </c>
      <c r="AB460" s="64" t="str">
        <f>IF($C460="","",IF(ISNUMBER(SEARCH($D460,Settings!$C$15)),"Pickup","Dispatch"))</f>
        <v>Pickup</v>
      </c>
      <c r="AC460" s="64" t="str">
        <f t="shared" si="78"/>
        <v>Supply order ready for pickup</v>
      </c>
      <c r="AD460" s="64" t="str">
        <f t="shared" si="80"/>
        <v>Dear PSW,
Your order is ready for pickup from Sample Branch, Wed-Fri 9am-4pm.</v>
      </c>
      <c r="AE460" s="64" t="str">
        <f t="shared" si="81"/>
        <v>mailto:firstname120.lastname120@example.com?subject=Supply%20order%20ready%20for%20pickup&amp;body=Dear%20PSW%2C%0A%0AYour%20order%20is%20ready%20for%20pickup%20from%20Sample%20Branch%2C%20Wed-Fri%209am-4pm.</v>
      </c>
      <c r="AF460" s="89" t="str">
        <f t="shared" si="79"/>
        <v>Draft email</v>
      </c>
      <c r="AG460" s="64" t="str">
        <f>IF($C460="","",IFERROR(INDEX('Staff Directory'!$K$595:$K$599,MATCH($C460,'Staff Directory'!$B$5:$B$599,0)),$D460))</f>
        <v>PSW</v>
      </c>
      <c r="AH460" t="str">
        <f>IF($C460="","",IFERROR(INDEX('Staff Directory'!$I$595:$I$599,MATCH($C460,'Staff Directory'!$B$5:$B$599,0))&amp;" "&amp;INDEX('Staff Directory'!$J$595:$J$599,MATCH($C460,'Staff Directory'!$B$5:$B$599,0)),$AG460))</f>
        <v>PSW</v>
      </c>
      <c r="AI460" s="102"/>
      <c r="AJ460" s="101">
        <f>IF($F460="","",SUMIFS($J$5:$J460,$F$5:$F460,$F460))</f>
        <v>45</v>
      </c>
      <c r="AK460" s="101">
        <f t="shared" si="82"/>
        <v>45</v>
      </c>
      <c r="AL460" s="66" t="str" cm="1">
        <f t="array" ref="AL460">IF($F460="","",IFERROR(INDEX('Lot Balance'!$B$5:$B$500,MATCH(1,INDEX(('Lot Balance'!$A$5:$A$500=$F460)*('Lot Balance'!$K$5:$K$500&lt;$AK460)*('Lot Balance'!$K$5:$K$500+'Lot Balance'!$D$5:$D$500&gt;=$AK460),0),0)),""))</f>
        <v>20-21734-2</v>
      </c>
      <c r="AM460" s="66" t="str" cm="1">
        <f t="array" ref="AM460">IF($F460="","",IFERROR(INDEX('Lot Balance'!$B$5:$B$500,MATCH(1,INDEX(('Lot Balance'!$A$5:$A$500=$F460)*('Lot Balance'!$K$5:$K$500&lt;$AJ460)*('Lot Balance'!$K$5:$K$500+'Lot Balance'!$D$5:$D$500&gt;=$AJ460),0),0)),""))</f>
        <v>20-21734-2</v>
      </c>
      <c r="AN460" s="66" t="str">
        <f>IF($F460="","",IF($AI460&lt;&gt;"",IF(COUNTIFS('Lot Balance'!$A$5:$A$500,$F460,'Lot Balance'!$B$5:$B$500,$AI460)=0,"⚠ override is not a lot of this item",IF($AI460=$AL460,"Override = FEFO","Override - FEFO says "&amp;$AL460)),IF($AL460="","⚠ no receipt on file for this item",IF($AM460&lt;&gt;$AL460,"FEFO auto - split, also "&amp;$AM460,"FEFO auto"))))</f>
        <v>FEFO auto</v>
      </c>
      <c r="AO460" s="114"/>
    </row>
    <row r="461" spans="1:41" x14ac:dyDescent="0.35">
      <c r="A461" s="74">
        <v>46143</v>
      </c>
      <c r="B461" s="18" t="str">
        <f>IF($C461="","",IFERROR(INDEX('Staff Directory'!$A$5:$A$594,MATCH($C461,'Staff Directory'!$B$5:$B$594,0)),"⚠ unknown staff"))</f>
        <v>PSW-060-A6</v>
      </c>
      <c r="C461" s="49" t="s">
        <v>1036</v>
      </c>
      <c r="D461" s="19" t="str">
        <f>IF($B461="","",IFERROR(INDEX('Staff Directory'!$C$5:$C$594,MATCH($B461,'Staff Directory'!$A$5:$A$594,0)),""))</f>
        <v>PSW</v>
      </c>
      <c r="E461" s="19" t="str">
        <f>IF($B461="","",IFERROR(INDEX('Staff Directory'!$D$5:$D$594,MATCH($B461,'Staff Directory'!$A$5:$A$594,0)),""))</f>
        <v>A6</v>
      </c>
      <c r="F461" s="9" t="s">
        <v>115</v>
      </c>
      <c r="G461" s="18" t="str">
        <f>IF($F461="","",IFERROR(INDEX(Items!$B$5:$B$597,MATCH($F461,Items!$A$5:$A$597,0)),"⚠ not in Items"))</f>
        <v>Wipes</v>
      </c>
      <c r="H461" s="19">
        <f>IF($F461="","",IFERROR(INDEX(Items!$C$5:$C$597,MATCH($F461,Items!$A$5:$A$597,0)),""))</f>
        <v>80</v>
      </c>
      <c r="I461" s="23">
        <f>IF($F461="","",IFERROR(INDEX(Items!$E$5:$E$597,MATCH($F461,Items!$A$5:$A$597,0)),""))</f>
        <v>80</v>
      </c>
      <c r="J461" s="115">
        <f>IF(tblIssues[[#This Row],[Qty Override]]&lt;&gt;"",tblIssues[[#This Row],[Qty Override]],IF(tblIssues[[#This Row],[Standard Issue]]="","",tblIssues[[#This Row],[Standard Issue]]))</f>
        <v>80</v>
      </c>
      <c r="K461" s="20">
        <f>IF($F461="","",IFERROR(INDEX(Items!$D$5:$D$597,MATCH($F461,Items!$A$5:$A$597,0)),""))</f>
        <v>0.1</v>
      </c>
      <c r="L461" s="21">
        <f t="shared" si="83"/>
        <v>8</v>
      </c>
      <c r="M461" s="9" t="str">
        <f t="shared" si="84"/>
        <v>LYSL500290</v>
      </c>
      <c r="N461" s="24">
        <f>IF($A461="","",WORKDAY($A461,Settings!$C$9,HolidayDates))</f>
        <v>46153</v>
      </c>
      <c r="O461" s="24">
        <f>IF($N461="","",WORKDAY($N461,Settings!$C$10,HolidayDates))</f>
        <v>46191</v>
      </c>
      <c r="P461" s="10" t="s">
        <v>501</v>
      </c>
      <c r="Q461" s="52" t="str">
        <f t="shared" si="75"/>
        <v>Collected</v>
      </c>
      <c r="R461" s="55" t="str">
        <f t="shared" si="76"/>
        <v>2026-05</v>
      </c>
      <c r="S461" s="55">
        <f>IF(OR($B461="",$F461="",$R461=""),"",SUMIFS(tblIssues[Qty Issued],tblIssues[Staff ID],$B461,tblIssues[Item Name],$F461,tblIssues[Month],$R461))</f>
        <v>80</v>
      </c>
      <c r="T461" s="56">
        <f>IF($I461="","",$I461*Settings!$C$11)</f>
        <v>80</v>
      </c>
      <c r="U461" s="57" t="str">
        <f t="shared" si="85"/>
        <v>OK</v>
      </c>
      <c r="V461" s="55" t="str">
        <f t="shared" si="77"/>
        <v/>
      </c>
      <c r="W461" s="55" t="str">
        <f>IF($V461="","",IF(COUNTIF($V$5:$V461,$V461)=1,1,""))</f>
        <v/>
      </c>
      <c r="X461" s="58" t="str">
        <f>IF($W461="","",MAX($X$4:X460)+1)</f>
        <v/>
      </c>
      <c r="Y461" s="62"/>
      <c r="Z461" s="62"/>
      <c r="AA461" s="64" t="str">
        <f>IF($C461="","",IFERROR(INDEX('Staff Directory'!$E$5:$E$594,MATCH($C461,'Staff Directory'!$B$5:$B$594,0)),""))</f>
        <v>firstname120.lastname120@example.com</v>
      </c>
      <c r="AB461" s="64" t="str">
        <f>IF($C461="","",IF(ISNUMBER(SEARCH($D461,Settings!$C$15)),"Pickup","Dispatch"))</f>
        <v>Pickup</v>
      </c>
      <c r="AC461" s="64" t="str">
        <f t="shared" si="78"/>
        <v>Supply order ready for pickup</v>
      </c>
      <c r="AD461" s="64" t="str">
        <f t="shared" si="80"/>
        <v>Dear PSW,
Your order is ready for pickup from Sample Branch, Wed-Fri 9am-4pm.</v>
      </c>
      <c r="AE461" s="64" t="str">
        <f t="shared" si="81"/>
        <v>mailto:firstname120.lastname120@example.com?subject=Supply%20order%20ready%20for%20pickup&amp;body=Dear%20PSW%2C%0A%0AYour%20order%20is%20ready%20for%20pickup%20from%20Sample%20Branch%2C%20Wed-Fri%209am-4pm.</v>
      </c>
      <c r="AF461" s="89" t="str">
        <f t="shared" si="79"/>
        <v>Draft email</v>
      </c>
      <c r="AG461" s="64" t="str">
        <f>IF($C461="","",IFERROR(INDEX('Staff Directory'!$K$595:$K$599,MATCH($C461,'Staff Directory'!$B$5:$B$599,0)),$D461))</f>
        <v>PSW</v>
      </c>
      <c r="AH461" t="str">
        <f>IF($C461="","",IFERROR(INDEX('Staff Directory'!$I$595:$I$599,MATCH($C461,'Staff Directory'!$B$5:$B$599,0))&amp;" "&amp;INDEX('Staff Directory'!$J$595:$J$599,MATCH($C461,'Staff Directory'!$B$5:$B$599,0)),$AG461))</f>
        <v>PSW</v>
      </c>
      <c r="AI461" s="102"/>
      <c r="AJ461" s="101">
        <f>IF($F461="","",SUMIFS($J$5:$J461,$F$5:$F461,$F461))</f>
        <v>6560</v>
      </c>
      <c r="AK461" s="101">
        <f t="shared" si="82"/>
        <v>6481</v>
      </c>
      <c r="AL461" s="66" t="str" cm="1">
        <f t="array" ref="AL461">IF($F461="","",IFERROR(INDEX('Lot Balance'!$B$5:$B$500,MATCH(1,INDEX(('Lot Balance'!$A$5:$A$500=$F461)*('Lot Balance'!$K$5:$K$500&lt;$AK461)*('Lot Balance'!$K$5:$K$500+'Lot Balance'!$D$5:$D$500&gt;=$AK461),0),0)),""))</f>
        <v>LYSL500290</v>
      </c>
      <c r="AM461" s="66" t="str" cm="1">
        <f t="array" ref="AM461">IF($F461="","",IFERROR(INDEX('Lot Balance'!$B$5:$B$500,MATCH(1,INDEX(('Lot Balance'!$A$5:$A$500=$F461)*('Lot Balance'!$K$5:$K$500&lt;$AJ461)*('Lot Balance'!$K$5:$K$500+'Lot Balance'!$D$5:$D$500&gt;=$AJ461),0),0)),""))</f>
        <v>LYSL500290</v>
      </c>
      <c r="AN461" s="66" t="str">
        <f>IF($F461="","",IF($AI461&lt;&gt;"",IF(COUNTIFS('Lot Balance'!$A$5:$A$500,$F461,'Lot Balance'!$B$5:$B$500,$AI461)=0,"⚠ override is not a lot of this item",IF($AI461=$AL461,"Override = FEFO","Override - FEFO says "&amp;$AL461)),IF($AL461="","⚠ no receipt on file for this item",IF($AM461&lt;&gt;$AL461,"FEFO auto - split, also "&amp;$AM461,"FEFO auto"))))</f>
        <v>FEFO auto</v>
      </c>
      <c r="AO461" s="114"/>
    </row>
    <row r="462" spans="1:41" x14ac:dyDescent="0.35">
      <c r="A462" s="74">
        <v>46143</v>
      </c>
      <c r="B462" s="18" t="str">
        <f>IF($C462="","",IFERROR(INDEX('Staff Directory'!$A$5:$A$594,MATCH($C462,'Staff Directory'!$B$5:$B$594,0)),"⚠ unknown staff"))</f>
        <v>PSW-110-A6</v>
      </c>
      <c r="C462" s="49" t="s">
        <v>1088</v>
      </c>
      <c r="D462" s="19" t="str">
        <f>IF($B462="","",IFERROR(INDEX('Staff Directory'!$C$5:$C$594,MATCH($B462,'Staff Directory'!$A$5:$A$594,0)),""))</f>
        <v>PSW</v>
      </c>
      <c r="E462" s="19" t="str">
        <f>IF($B462="","",IFERROR(INDEX('Staff Directory'!$D$5:$D$594,MATCH($B462,'Staff Directory'!$A$5:$A$594,0)),""))</f>
        <v>A6</v>
      </c>
      <c r="F462" s="9" t="s">
        <v>127</v>
      </c>
      <c r="G462" s="18" t="str">
        <f>IF($F462="","",IFERROR(INDEX(Items!$B$5:$B$597,MATCH($F462,Items!$A$5:$A$597,0)),"⚠ not in Items"))</f>
        <v>Gloves</v>
      </c>
      <c r="H462" s="19" t="str">
        <f>IF($F462="","",IFERROR(INDEX(Items!$C$5:$C$597,MATCH($F462,Items!$A$5:$A$597,0)),""))</f>
        <v>Medium</v>
      </c>
      <c r="I462" s="23">
        <f>IF($F462="","",IFERROR(INDEX(Items!$E$5:$E$597,MATCH($F462,Items!$A$5:$A$597,0)),""))</f>
        <v>500</v>
      </c>
      <c r="J462" s="115">
        <f>IF(tblIssues[[#This Row],[Qty Override]]&lt;&gt;"",tblIssues[[#This Row],[Qty Override]],IF(tblIssues[[#This Row],[Standard Issue]]="","",tblIssues[[#This Row],[Standard Issue]]))</f>
        <v>500</v>
      </c>
      <c r="K462" s="20">
        <f>IF($F462="","",IFERROR(INDEX(Items!$D$5:$D$597,MATCH($F462,Items!$A$5:$A$597,0)),""))</f>
        <v>5.5E-2</v>
      </c>
      <c r="L462" s="21">
        <f t="shared" si="83"/>
        <v>27.5</v>
      </c>
      <c r="M462" s="9" t="str">
        <f t="shared" si="84"/>
        <v>0312HIC25</v>
      </c>
      <c r="N462" s="24">
        <f>IF($A462="","",WORKDAY($A462,Settings!$C$9,HolidayDates))</f>
        <v>46153</v>
      </c>
      <c r="O462" s="24">
        <f>IF($N462="","",WORKDAY($N462,Settings!$C$10,HolidayDates))</f>
        <v>46191</v>
      </c>
      <c r="P462" s="10" t="s">
        <v>501</v>
      </c>
      <c r="Q462" s="52" t="str">
        <f t="shared" ref="Q462:Q525" si="86">IF($A462="","",IF($P462&lt;&gt;"","Collected","Pending"))</f>
        <v>Collected</v>
      </c>
      <c r="R462" s="55" t="str">
        <f t="shared" ref="R462:R525" si="87">IF($A462="","",TEXT($A462,"yyyy-mm"))</f>
        <v>2026-05</v>
      </c>
      <c r="S462" s="55">
        <f>IF(OR($B462="",$F462="",$R462=""),"",SUMIFS(tblIssues[Qty Issued],tblIssues[Staff ID],$B462,tblIssues[Item Name],$F462,tblIssues[Month],$R462))</f>
        <v>1000</v>
      </c>
      <c r="T462" s="56">
        <f>IF($I462="","",$I462*Settings!$C$11)</f>
        <v>500</v>
      </c>
      <c r="U462" s="57" t="str">
        <f t="shared" si="85"/>
        <v>⚠ OVER QUOTA</v>
      </c>
      <c r="V462" s="55" t="str">
        <f t="shared" ref="V462:V525" si="88">IF($U462="⚠ OVER QUOTA",$B462&amp;" | "&amp;$F462&amp;" | "&amp;$R462,"")</f>
        <v>PSW-110-A6 | Gloves - Medium | 2026-05</v>
      </c>
      <c r="W462" s="55">
        <f>IF($V462="","",IF(COUNTIF($V$5:$V462,$V462)=1,1,""))</f>
        <v>1</v>
      </c>
      <c r="X462" s="58">
        <f>IF($W462="","",MAX($X$4:X461)+1)</f>
        <v>9</v>
      </c>
      <c r="Y462" s="62"/>
      <c r="Z462" s="62"/>
      <c r="AA462" s="64" t="str">
        <f>IF($C462="","",IFERROR(INDEX('Staff Directory'!$E$5:$E$594,MATCH($C462,'Staff Directory'!$B$5:$B$594,0)),""))</f>
        <v>firstname172.lastname172@example.com</v>
      </c>
      <c r="AB462" s="64" t="str">
        <f>IF($C462="","",IF(ISNUMBER(SEARCH($D462,Settings!$C$15)),"Pickup","Dispatch"))</f>
        <v>Pickup</v>
      </c>
      <c r="AC462" s="64" t="str">
        <f t="shared" ref="AC462:AC525" si="89">IF($AB462="Pickup","Supply order ready for pickup",IF($AB462="Dispatch","Supply order dispatched",""))</f>
        <v>Supply order ready for pickup</v>
      </c>
      <c r="AD462" s="64" t="str">
        <f t="shared" si="80"/>
        <v>Dear PSW,
Your order is ready for pickup from Sample Branch, Wed-Fri 9am-4pm.</v>
      </c>
      <c r="AE462" s="64" t="str">
        <f t="shared" si="81"/>
        <v>mailto:firstname172.lastname172@example.com?subject=Supply%20order%20ready%20for%20pickup&amp;body=Dear%20PSW%2C%0A%0AYour%20order%20is%20ready%20for%20pickup%20from%20Sample%20Branch%2C%20Wed-Fri%209am-4pm.</v>
      </c>
      <c r="AF462" s="89" t="str">
        <f t="shared" ref="AF462:AF525" si="90">IF(AE462="","",HYPERLINK(AE462,"Draft email"))</f>
        <v>Draft email</v>
      </c>
      <c r="AG462" s="64" t="str">
        <f>IF($C462="","",IFERROR(INDEX('Staff Directory'!$K$595:$K$599,MATCH($C462,'Staff Directory'!$B$5:$B$599,0)),$D462))</f>
        <v>PSW</v>
      </c>
      <c r="AH462" t="str">
        <f>IF($C462="","",IFERROR(INDEX('Staff Directory'!$I$595:$I$599,MATCH($C462,'Staff Directory'!$B$5:$B$599,0))&amp;" "&amp;INDEX('Staff Directory'!$J$595:$J$599,MATCH($C462,'Staff Directory'!$B$5:$B$599,0)),$AG462))</f>
        <v>PSW</v>
      </c>
      <c r="AI462" s="102"/>
      <c r="AJ462" s="101">
        <f>IF($F462="","",SUMIFS($J$5:$J462,$F$5:$F462,$F462))</f>
        <v>27000</v>
      </c>
      <c r="AK462" s="101">
        <f t="shared" si="82"/>
        <v>26501</v>
      </c>
      <c r="AL462" s="66" t="str" cm="1">
        <f t="array" ref="AL462">IF($F462="","",IFERROR(INDEX('Lot Balance'!$B$5:$B$500,MATCH(1,INDEX(('Lot Balance'!$A$5:$A$500=$F462)*('Lot Balance'!$K$5:$K$500&lt;$AK462)*('Lot Balance'!$K$5:$K$500+'Lot Balance'!$D$5:$D$500&gt;=$AK462),0),0)),""))</f>
        <v>0312HIC25</v>
      </c>
      <c r="AM462" s="66" t="str" cm="1">
        <f t="array" ref="AM462">IF($F462="","",IFERROR(INDEX('Lot Balance'!$B$5:$B$500,MATCH(1,INDEX(('Lot Balance'!$A$5:$A$500=$F462)*('Lot Balance'!$K$5:$K$500&lt;$AJ462)*('Lot Balance'!$K$5:$K$500+'Lot Balance'!$D$5:$D$500&gt;=$AJ462),0),0)),""))</f>
        <v>0312HIC25</v>
      </c>
      <c r="AN462" s="66" t="str">
        <f>IF($F462="","",IF($AI462&lt;&gt;"",IF(COUNTIFS('Lot Balance'!$A$5:$A$500,$F462,'Lot Balance'!$B$5:$B$500,$AI462)=0,"⚠ override is not a lot of this item",IF($AI462=$AL462,"Override = FEFO","Override - FEFO says "&amp;$AL462)),IF($AL462="","⚠ no receipt on file for this item",IF($AM462&lt;&gt;$AL462,"FEFO auto - split, also "&amp;$AM462,"FEFO auto"))))</f>
        <v>FEFO auto</v>
      </c>
      <c r="AO462" s="114"/>
    </row>
    <row r="463" spans="1:41" x14ac:dyDescent="0.35">
      <c r="A463" s="74">
        <v>46143</v>
      </c>
      <c r="B463" s="18" t="str">
        <f>IF($C463="","",IFERROR(INDEX('Staff Directory'!$A$5:$A$594,MATCH($C463,'Staff Directory'!$B$5:$B$594,0)),"⚠ unknown staff"))</f>
        <v>PSW-110-A6</v>
      </c>
      <c r="C463" s="49" t="s">
        <v>1088</v>
      </c>
      <c r="D463" s="19" t="str">
        <f>IF($B463="","",IFERROR(INDEX('Staff Directory'!$C$5:$C$594,MATCH($B463,'Staff Directory'!$A$5:$A$594,0)),""))</f>
        <v>PSW</v>
      </c>
      <c r="E463" s="19" t="str">
        <f>IF($B463="","",IFERROR(INDEX('Staff Directory'!$D$5:$D$594,MATCH($B463,'Staff Directory'!$A$5:$A$594,0)),""))</f>
        <v>A6</v>
      </c>
      <c r="F463" s="9" t="s">
        <v>137</v>
      </c>
      <c r="G463" s="18" t="str">
        <f>IF($F463="","",IFERROR(INDEX(Items!$B$5:$B$597,MATCH($F463,Items!$A$5:$A$597,0)),"⚠ not in Items"))</f>
        <v>Sanitizer</v>
      </c>
      <c r="H463" s="19" t="str">
        <f>IF($F463="","",IFERROR(INDEX(Items!$C$5:$C$597,MATCH($F463,Items!$A$5:$A$597,0)),""))</f>
        <v>118 ML</v>
      </c>
      <c r="I463" s="23">
        <f>IF($F463="","",IFERROR(INDEX(Items!$E$5:$E$597,MATCH($F463,Items!$A$5:$A$597,0)),""))</f>
        <v>2</v>
      </c>
      <c r="J463" s="115">
        <f>IF(tblIssues[[#This Row],[Qty Override]]&lt;&gt;"",tblIssues[[#This Row],[Qty Override]],IF(tblIssues[[#This Row],[Standard Issue]]="","",tblIssues[[#This Row],[Standard Issue]]))</f>
        <v>2</v>
      </c>
      <c r="K463" s="20">
        <f>IF($F463="","",IFERROR(INDEX(Items!$D$5:$D$597,MATCH($F463,Items!$A$5:$A$597,0)),""))</f>
        <v>4.49</v>
      </c>
      <c r="L463" s="21">
        <f t="shared" si="83"/>
        <v>8.98</v>
      </c>
      <c r="M463" s="9" t="str">
        <f t="shared" si="84"/>
        <v>563963-6</v>
      </c>
      <c r="N463" s="24">
        <f>IF($A463="","",WORKDAY($A463,Settings!$C$9,HolidayDates))</f>
        <v>46153</v>
      </c>
      <c r="O463" s="24">
        <f>IF($N463="","",WORKDAY($N463,Settings!$C$10,HolidayDates))</f>
        <v>46191</v>
      </c>
      <c r="P463" s="10" t="s">
        <v>501</v>
      </c>
      <c r="Q463" s="52" t="str">
        <f t="shared" si="86"/>
        <v>Collected</v>
      </c>
      <c r="R463" s="55" t="str">
        <f t="shared" si="87"/>
        <v>2026-05</v>
      </c>
      <c r="S463" s="55">
        <f>IF(OR($B463="",$F463="",$R463=""),"",SUMIFS(tblIssues[Qty Issued],tblIssues[Staff ID],$B463,tblIssues[Item Name],$F463,tblIssues[Month],$R463))</f>
        <v>4</v>
      </c>
      <c r="T463" s="56">
        <f>IF($I463="","",$I463*Settings!$C$11)</f>
        <v>2</v>
      </c>
      <c r="U463" s="57" t="str">
        <f t="shared" si="85"/>
        <v>⚠ OVER QUOTA</v>
      </c>
      <c r="V463" s="55" t="str">
        <f t="shared" si="88"/>
        <v>PSW-110-A6 | Hand Sanitizer | 2026-05</v>
      </c>
      <c r="W463" s="55">
        <f>IF($V463="","",IF(COUNTIF($V$5:$V463,$V463)=1,1,""))</f>
        <v>1</v>
      </c>
      <c r="X463" s="58">
        <f>IF($W463="","",MAX($X$4:X462)+1)</f>
        <v>10</v>
      </c>
      <c r="Y463" s="62"/>
      <c r="Z463" s="62"/>
      <c r="AA463" s="64" t="str">
        <f>IF($C463="","",IFERROR(INDEX('Staff Directory'!$E$5:$E$594,MATCH($C463,'Staff Directory'!$B$5:$B$594,0)),""))</f>
        <v>firstname172.lastname172@example.com</v>
      </c>
      <c r="AB463" s="64" t="str">
        <f>IF($C463="","",IF(ISNUMBER(SEARCH($D463,Settings!$C$15)),"Pickup","Dispatch"))</f>
        <v>Pickup</v>
      </c>
      <c r="AC463" s="64" t="str">
        <f t="shared" si="89"/>
        <v>Supply order ready for pickup</v>
      </c>
      <c r="AD463" s="64" t="str">
        <f t="shared" si="80"/>
        <v>Dear PSW,
Your order is ready for pickup from Sample Branch, Wed-Fri 9am-4pm.</v>
      </c>
      <c r="AE463" s="64" t="str">
        <f t="shared" si="81"/>
        <v>mailto:firstname172.lastname172@example.com?subject=Supply%20order%20ready%20for%20pickup&amp;body=Dear%20PSW%2C%0A%0AYour%20order%20is%20ready%20for%20pickup%20from%20Sample%20Branch%2C%20Wed-Fri%209am-4pm.</v>
      </c>
      <c r="AF463" s="89" t="str">
        <f t="shared" si="90"/>
        <v>Draft email</v>
      </c>
      <c r="AG463" s="64" t="str">
        <f>IF($C463="","",IFERROR(INDEX('Staff Directory'!$K$595:$K$599,MATCH($C463,'Staff Directory'!$B$5:$B$599,0)),$D463))</f>
        <v>PSW</v>
      </c>
      <c r="AH463" t="str">
        <f>IF($C463="","",IFERROR(INDEX('Staff Directory'!$I$595:$I$599,MATCH($C463,'Staff Directory'!$B$5:$B$599,0))&amp;" "&amp;INDEX('Staff Directory'!$J$595:$J$599,MATCH($C463,'Staff Directory'!$B$5:$B$599,0)),$AG463))</f>
        <v>PSW</v>
      </c>
      <c r="AI463" s="102"/>
      <c r="AJ463" s="101">
        <f>IF($F463="","",SUMIFS($J$5:$J463,$F$5:$F463,$F463))</f>
        <v>78</v>
      </c>
      <c r="AK463" s="101">
        <f t="shared" si="82"/>
        <v>77</v>
      </c>
      <c r="AL463" s="66" t="str" cm="1">
        <f t="array" ref="AL463">IF($F463="","",IFERROR(INDEX('Lot Balance'!$B$5:$B$500,MATCH(1,INDEX(('Lot Balance'!$A$5:$A$500=$F463)*('Lot Balance'!$K$5:$K$500&lt;$AK463)*('Lot Balance'!$K$5:$K$500+'Lot Balance'!$D$5:$D$500&gt;=$AK463),0),0)),""))</f>
        <v>563963-6</v>
      </c>
      <c r="AM463" s="66" t="str" cm="1">
        <f t="array" ref="AM463">IF($F463="","",IFERROR(INDEX('Lot Balance'!$B$5:$B$500,MATCH(1,INDEX(('Lot Balance'!$A$5:$A$500=$F463)*('Lot Balance'!$K$5:$K$500&lt;$AJ463)*('Lot Balance'!$K$5:$K$500+'Lot Balance'!$D$5:$D$500&gt;=$AJ463),0),0)),""))</f>
        <v>563963-6</v>
      </c>
      <c r="AN463" s="66" t="str">
        <f>IF($F463="","",IF($AI463&lt;&gt;"",IF(COUNTIFS('Lot Balance'!$A$5:$A$500,$F463,'Lot Balance'!$B$5:$B$500,$AI463)=0,"⚠ override is not a lot of this item",IF($AI463=$AL463,"Override = FEFO","Override - FEFO says "&amp;$AL463)),IF($AL463="","⚠ no receipt on file for this item",IF($AM463&lt;&gt;$AL463,"FEFO auto - split, also "&amp;$AM463,"FEFO auto"))))</f>
        <v>FEFO auto</v>
      </c>
      <c r="AO463" s="114"/>
    </row>
    <row r="464" spans="1:41" x14ac:dyDescent="0.35">
      <c r="A464" s="74">
        <v>46143</v>
      </c>
      <c r="B464" s="18" t="str">
        <f>IF($C464="","",IFERROR(INDEX('Staff Directory'!$A$5:$A$594,MATCH($C464,'Staff Directory'!$B$5:$B$594,0)),"⚠ unknown staff"))</f>
        <v>PSW-110-A6</v>
      </c>
      <c r="C464" s="49" t="s">
        <v>1088</v>
      </c>
      <c r="D464" s="19" t="str">
        <f>IF($B464="","",IFERROR(INDEX('Staff Directory'!$C$5:$C$594,MATCH($B464,'Staff Directory'!$A$5:$A$594,0)),""))</f>
        <v>PSW</v>
      </c>
      <c r="E464" s="19" t="str">
        <f>IF($B464="","",IFERROR(INDEX('Staff Directory'!$D$5:$D$594,MATCH($B464,'Staff Directory'!$A$5:$A$594,0)),""))</f>
        <v>A6</v>
      </c>
      <c r="F464" s="9" t="s">
        <v>191</v>
      </c>
      <c r="G464" s="18" t="str">
        <f>IF($F464="","",IFERROR(INDEX(Items!$B$5:$B$597,MATCH($F464,Items!$A$5:$A$597,0)),"⚠ not in Items"))</f>
        <v>Sanitizer</v>
      </c>
      <c r="H464" s="19" t="str">
        <f>IF($F464="","",IFERROR(INDEX(Items!$C$5:$C$597,MATCH($F464,Items!$A$5:$A$597,0)),""))</f>
        <v>236 ML</v>
      </c>
      <c r="I464" s="23">
        <f>IF($F464="","",IFERROR(INDEX(Items!$E$5:$E$597,MATCH($F464,Items!$A$5:$A$597,0)),""))</f>
        <v>1</v>
      </c>
      <c r="J464" s="115">
        <f>IF(tblIssues[[#This Row],[Qty Override]]&lt;&gt;"",tblIssues[[#This Row],[Qty Override]],IF(tblIssues[[#This Row],[Standard Issue]]="","",tblIssues[[#This Row],[Standard Issue]]))</f>
        <v>1</v>
      </c>
      <c r="K464" s="20">
        <f>IF($F464="","",IFERROR(INDEX(Items!$D$5:$D$597,MATCH($F464,Items!$A$5:$A$597,0)),""))</f>
        <v>1E-4</v>
      </c>
      <c r="L464" s="21">
        <f t="shared" si="83"/>
        <v>1E-4</v>
      </c>
      <c r="M464" s="9" t="str">
        <f t="shared" si="84"/>
        <v>20-21734-2</v>
      </c>
      <c r="N464" s="24">
        <f>IF($A464="","",WORKDAY($A464,Settings!$C$9,HolidayDates))</f>
        <v>46153</v>
      </c>
      <c r="O464" s="24">
        <f>IF($N464="","",WORKDAY($N464,Settings!$C$10,HolidayDates))</f>
        <v>46191</v>
      </c>
      <c r="P464" s="10" t="s">
        <v>501</v>
      </c>
      <c r="Q464" s="52" t="str">
        <f t="shared" si="86"/>
        <v>Collected</v>
      </c>
      <c r="R464" s="55" t="str">
        <f t="shared" si="87"/>
        <v>2026-05</v>
      </c>
      <c r="S464" s="55">
        <f>IF(OR($B464="",$F464="",$R464=""),"",SUMIFS(tblIssues[Qty Issued],tblIssues[Staff ID],$B464,tblIssues[Item Name],$F464,tblIssues[Month],$R464))</f>
        <v>2</v>
      </c>
      <c r="T464" s="56">
        <f>IF($I464="","",$I464*Settings!$C$11)</f>
        <v>1</v>
      </c>
      <c r="U464" s="57" t="str">
        <f t="shared" si="85"/>
        <v>⚠ OVER QUOTA</v>
      </c>
      <c r="V464" s="55" t="str">
        <f t="shared" si="88"/>
        <v>PSW-110-A6 | Hand Sanitizer OS | 2026-05</v>
      </c>
      <c r="W464" s="55">
        <f>IF($V464="","",IF(COUNTIF($V$5:$V464,$V464)=1,1,""))</f>
        <v>1</v>
      </c>
      <c r="X464" s="58">
        <f>IF($W464="","",MAX($X$4:X463)+1)</f>
        <v>11</v>
      </c>
      <c r="Y464" s="62"/>
      <c r="Z464" s="62"/>
      <c r="AA464" s="64" t="str">
        <f>IF($C464="","",IFERROR(INDEX('Staff Directory'!$E$5:$E$594,MATCH($C464,'Staff Directory'!$B$5:$B$594,0)),""))</f>
        <v>firstname172.lastname172@example.com</v>
      </c>
      <c r="AB464" s="64" t="str">
        <f>IF($C464="","",IF(ISNUMBER(SEARCH($D464,Settings!$C$15)),"Pickup","Dispatch"))</f>
        <v>Pickup</v>
      </c>
      <c r="AC464" s="64" t="str">
        <f t="shared" si="89"/>
        <v>Supply order ready for pickup</v>
      </c>
      <c r="AD464" s="64" t="str">
        <f t="shared" si="80"/>
        <v>Dear PSW,
Your order is ready for pickup from Sample Branch, Wed-Fri 9am-4pm.</v>
      </c>
      <c r="AE464" s="64" t="str">
        <f t="shared" si="81"/>
        <v>mailto:firstname172.lastname172@example.com?subject=Supply%20order%20ready%20for%20pickup&amp;body=Dear%20PSW%2C%0A%0AYour%20order%20is%20ready%20for%20pickup%20from%20Sample%20Branch%2C%20Wed-Fri%209am-4pm.</v>
      </c>
      <c r="AF464" s="89" t="str">
        <f t="shared" si="90"/>
        <v>Draft email</v>
      </c>
      <c r="AG464" s="64" t="str">
        <f>IF($C464="","",IFERROR(INDEX('Staff Directory'!$K$595:$K$599,MATCH($C464,'Staff Directory'!$B$5:$B$599,0)),$D464))</f>
        <v>PSW</v>
      </c>
      <c r="AH464" t="str">
        <f>IF($C464="","",IFERROR(INDEX('Staff Directory'!$I$595:$I$599,MATCH($C464,'Staff Directory'!$B$5:$B$599,0))&amp;" "&amp;INDEX('Staff Directory'!$J$595:$J$599,MATCH($C464,'Staff Directory'!$B$5:$B$599,0)),$AG464))</f>
        <v>PSW</v>
      </c>
      <c r="AI464" s="102"/>
      <c r="AJ464" s="101">
        <f>IF($F464="","",SUMIFS($J$5:$J464,$F$5:$F464,$F464))</f>
        <v>46</v>
      </c>
      <c r="AK464" s="101">
        <f t="shared" si="82"/>
        <v>46</v>
      </c>
      <c r="AL464" s="66" t="str" cm="1">
        <f t="array" ref="AL464">IF($F464="","",IFERROR(INDEX('Lot Balance'!$B$5:$B$500,MATCH(1,INDEX(('Lot Balance'!$A$5:$A$500=$F464)*('Lot Balance'!$K$5:$K$500&lt;$AK464)*('Lot Balance'!$K$5:$K$500+'Lot Balance'!$D$5:$D$500&gt;=$AK464),0),0)),""))</f>
        <v>20-21734-2</v>
      </c>
      <c r="AM464" s="66" t="str" cm="1">
        <f t="array" ref="AM464">IF($F464="","",IFERROR(INDEX('Lot Balance'!$B$5:$B$500,MATCH(1,INDEX(('Lot Balance'!$A$5:$A$500=$F464)*('Lot Balance'!$K$5:$K$500&lt;$AJ464)*('Lot Balance'!$K$5:$K$500+'Lot Balance'!$D$5:$D$500&gt;=$AJ464),0),0)),""))</f>
        <v>20-21734-2</v>
      </c>
      <c r="AN464" s="66" t="str">
        <f>IF($F464="","",IF($AI464&lt;&gt;"",IF(COUNTIFS('Lot Balance'!$A$5:$A$500,$F464,'Lot Balance'!$B$5:$B$500,$AI464)=0,"⚠ override is not a lot of this item",IF($AI464=$AL464,"Override = FEFO","Override - FEFO says "&amp;$AL464)),IF($AL464="","⚠ no receipt on file for this item",IF($AM464&lt;&gt;$AL464,"FEFO auto - split, also "&amp;$AM464,"FEFO auto"))))</f>
        <v>FEFO auto</v>
      </c>
      <c r="AO464" s="114"/>
    </row>
    <row r="465" spans="1:41" x14ac:dyDescent="0.35">
      <c r="A465" s="74">
        <v>46143</v>
      </c>
      <c r="B465" s="18" t="str">
        <f>IF($C465="","",IFERROR(INDEX('Staff Directory'!$A$5:$A$594,MATCH($C465,'Staff Directory'!$B$5:$B$594,0)),"⚠ unknown staff"))</f>
        <v>PSW-110-A6</v>
      </c>
      <c r="C465" s="49" t="s">
        <v>1088</v>
      </c>
      <c r="D465" s="19" t="str">
        <f>IF($B465="","",IFERROR(INDEX('Staff Directory'!$C$5:$C$594,MATCH($B465,'Staff Directory'!$A$5:$A$594,0)),""))</f>
        <v>PSW</v>
      </c>
      <c r="E465" s="19" t="str">
        <f>IF($B465="","",IFERROR(INDEX('Staff Directory'!$D$5:$D$594,MATCH($B465,'Staff Directory'!$A$5:$A$594,0)),""))</f>
        <v>A6</v>
      </c>
      <c r="F465" s="9" t="s">
        <v>156</v>
      </c>
      <c r="G465" s="18" t="str">
        <f>IF($F465="","",IFERROR(INDEX(Items!$B$5:$B$597,MATCH($F465,Items!$A$5:$A$597,0)),"⚠ not in Items"))</f>
        <v>Masks</v>
      </c>
      <c r="H465" s="19" t="str">
        <f>IF($F465="","",IFERROR(INDEX(Items!$C$5:$C$597,MATCH($F465,Items!$A$5:$A$597,0)),""))</f>
        <v>One Size</v>
      </c>
      <c r="I465" s="23">
        <f>IF($F465="","",IFERROR(INDEX(Items!$E$5:$E$597,MATCH($F465,Items!$A$5:$A$597,0)),""))</f>
        <v>50</v>
      </c>
      <c r="J465" s="115">
        <f>IF(tblIssues[[#This Row],[Qty Override]]&lt;&gt;"",tblIssues[[#This Row],[Qty Override]],IF(tblIssues[[#This Row],[Standard Issue]]="","",tblIssues[[#This Row],[Standard Issue]]))</f>
        <v>50</v>
      </c>
      <c r="K465" s="20">
        <f>IF($F465="","",IFERROR(INDEX(Items!$D$5:$D$597,MATCH($F465,Items!$A$5:$A$597,0)),""))</f>
        <v>0.25</v>
      </c>
      <c r="L465" s="21">
        <f t="shared" si="83"/>
        <v>12.5</v>
      </c>
      <c r="M465" s="9" t="str">
        <f t="shared" si="84"/>
        <v>0125FPC24-0</v>
      </c>
      <c r="N465" s="24">
        <f>IF($A465="","",WORKDAY($A465,Settings!$C$9,HolidayDates))</f>
        <v>46153</v>
      </c>
      <c r="O465" s="24">
        <f>IF($N465="","",WORKDAY($N465,Settings!$C$10,HolidayDates))</f>
        <v>46191</v>
      </c>
      <c r="P465" s="10" t="s">
        <v>501</v>
      </c>
      <c r="Q465" s="52" t="str">
        <f t="shared" si="86"/>
        <v>Collected</v>
      </c>
      <c r="R465" s="55" t="str">
        <f t="shared" si="87"/>
        <v>2026-05</v>
      </c>
      <c r="S465" s="55">
        <f>IF(OR($B465="",$F465="",$R465=""),"",SUMIFS(tblIssues[Qty Issued],tblIssues[Staff ID],$B465,tblIssues[Item Name],$F465,tblIssues[Month],$R465))</f>
        <v>100</v>
      </c>
      <c r="T465" s="56">
        <f>IF($I465="","",$I465*Settings!$C$11)</f>
        <v>50</v>
      </c>
      <c r="U465" s="57" t="str">
        <f t="shared" si="85"/>
        <v>⚠ OVER QUOTA</v>
      </c>
      <c r="V465" s="55" t="str">
        <f t="shared" si="88"/>
        <v>PSW-110-A6 | Surgical Masks | 2026-05</v>
      </c>
      <c r="W465" s="55">
        <f>IF($V465="","",IF(COUNTIF($V$5:$V465,$V465)=1,1,""))</f>
        <v>1</v>
      </c>
      <c r="X465" s="58">
        <f>IF($W465="","",MAX($X$4:X464)+1)</f>
        <v>12</v>
      </c>
      <c r="Y465" s="62"/>
      <c r="Z465" s="62"/>
      <c r="AA465" s="64" t="str">
        <f>IF($C465="","",IFERROR(INDEX('Staff Directory'!$E$5:$E$594,MATCH($C465,'Staff Directory'!$B$5:$B$594,0)),""))</f>
        <v>firstname172.lastname172@example.com</v>
      </c>
      <c r="AB465" s="64" t="str">
        <f>IF($C465="","",IF(ISNUMBER(SEARCH($D465,Settings!$C$15)),"Pickup","Dispatch"))</f>
        <v>Pickup</v>
      </c>
      <c r="AC465" s="64" t="str">
        <f t="shared" si="89"/>
        <v>Supply order ready for pickup</v>
      </c>
      <c r="AD465" s="64" t="str">
        <f t="shared" si="80"/>
        <v>Dear PSW,
Your order is ready for pickup from Sample Branch, Wed-Fri 9am-4pm.</v>
      </c>
      <c r="AE465" s="64" t="str">
        <f t="shared" si="81"/>
        <v>mailto:firstname172.lastname172@example.com?subject=Supply%20order%20ready%20for%20pickup&amp;body=Dear%20PSW%2C%0A%0AYour%20order%20is%20ready%20for%20pickup%20from%20Sample%20Branch%2C%20Wed-Fri%209am-4pm.</v>
      </c>
      <c r="AF465" s="89" t="str">
        <f t="shared" si="90"/>
        <v>Draft email</v>
      </c>
      <c r="AG465" s="64" t="str">
        <f>IF($C465="","",IFERROR(INDEX('Staff Directory'!$K$595:$K$599,MATCH($C465,'Staff Directory'!$B$5:$B$599,0)),$D465))</f>
        <v>PSW</v>
      </c>
      <c r="AH465" t="str">
        <f>IF($C465="","",IFERROR(INDEX('Staff Directory'!$I$595:$I$599,MATCH($C465,'Staff Directory'!$B$5:$B$599,0))&amp;" "&amp;INDEX('Staff Directory'!$J$595:$J$599,MATCH($C465,'Staff Directory'!$B$5:$B$599,0)),$AG465))</f>
        <v>PSW</v>
      </c>
      <c r="AI465" s="102"/>
      <c r="AJ465" s="101">
        <f>IF($F465="","",SUMIFS($J$5:$J465,$F$5:$F465,$F465))</f>
        <v>3700</v>
      </c>
      <c r="AK465" s="101">
        <f t="shared" si="82"/>
        <v>3651</v>
      </c>
      <c r="AL465" s="66" t="str" cm="1">
        <f t="array" ref="AL465">IF($F465="","",IFERROR(INDEX('Lot Balance'!$B$5:$B$500,MATCH(1,INDEX(('Lot Balance'!$A$5:$A$500=$F465)*('Lot Balance'!$K$5:$K$500&lt;$AK465)*('Lot Balance'!$K$5:$K$500+'Lot Balance'!$D$5:$D$500&gt;=$AK465),0),0)),""))</f>
        <v>0125FPC24-0</v>
      </c>
      <c r="AM465" s="66" t="str" cm="1">
        <f t="array" ref="AM465">IF($F465="","",IFERROR(INDEX('Lot Balance'!$B$5:$B$500,MATCH(1,INDEX(('Lot Balance'!$A$5:$A$500=$F465)*('Lot Balance'!$K$5:$K$500&lt;$AJ465)*('Lot Balance'!$K$5:$K$500+'Lot Balance'!$D$5:$D$500&gt;=$AJ465),0),0)),""))</f>
        <v>0125FPC24-0</v>
      </c>
      <c r="AN465" s="66" t="str">
        <f>IF($F465="","",IF($AI465&lt;&gt;"",IF(COUNTIFS('Lot Balance'!$A$5:$A$500,$F465,'Lot Balance'!$B$5:$B$500,$AI465)=0,"⚠ override is not a lot of this item",IF($AI465=$AL465,"Override = FEFO","Override - FEFO says "&amp;$AL465)),IF($AL465="","⚠ no receipt on file for this item",IF($AM465&lt;&gt;$AL465,"FEFO auto - split, also "&amp;$AM465,"FEFO auto"))))</f>
        <v>FEFO auto</v>
      </c>
      <c r="AO465" s="114"/>
    </row>
    <row r="466" spans="1:41" x14ac:dyDescent="0.35">
      <c r="A466" s="74">
        <v>46143</v>
      </c>
      <c r="B466" s="18" t="str">
        <f>IF($C466="","",IFERROR(INDEX('Staff Directory'!$A$5:$A$594,MATCH($C466,'Staff Directory'!$B$5:$B$594,0)),"⚠ unknown staff"))</f>
        <v>PSW-150-A5</v>
      </c>
      <c r="C466" s="49" t="s">
        <v>1129</v>
      </c>
      <c r="D466" s="19" t="str">
        <f>IF($B466="","",IFERROR(INDEX('Staff Directory'!$C$5:$C$594,MATCH($B466,'Staff Directory'!$A$5:$A$594,0)),""))</f>
        <v>PSW</v>
      </c>
      <c r="E466" s="19" t="str">
        <f>IF($B466="","",IFERROR(INDEX('Staff Directory'!$D$5:$D$594,MATCH($B466,'Staff Directory'!$A$5:$A$594,0)),""))</f>
        <v>A5</v>
      </c>
      <c r="F466" s="9" t="s">
        <v>124</v>
      </c>
      <c r="G466" s="18" t="str">
        <f>IF($F466="","",IFERROR(INDEX(Items!$B$5:$B$597,MATCH($F466,Items!$A$5:$A$597,0)),"⚠ not in Items"))</f>
        <v>Gloves</v>
      </c>
      <c r="H466" s="19" t="str">
        <f>IF($F466="","",IFERROR(INDEX(Items!$C$5:$C$597,MATCH($F466,Items!$A$5:$A$597,0)),""))</f>
        <v>Large</v>
      </c>
      <c r="I466" s="23">
        <f>IF($F466="","",IFERROR(INDEX(Items!$E$5:$E$597,MATCH($F466,Items!$A$5:$A$597,0)),""))</f>
        <v>500</v>
      </c>
      <c r="J466" s="115">
        <f>IF(tblIssues[[#This Row],[Qty Override]]&lt;&gt;"",tblIssues[[#This Row],[Qty Override]],IF(tblIssues[[#This Row],[Standard Issue]]="","",tblIssues[[#This Row],[Standard Issue]]))</f>
        <v>500</v>
      </c>
      <c r="K466" s="20">
        <f>IF($F466="","",IFERROR(INDEX(Items!$D$5:$D$597,MATCH($F466,Items!$A$5:$A$597,0)),""))</f>
        <v>5.5E-2</v>
      </c>
      <c r="L466" s="21">
        <f t="shared" si="83"/>
        <v>27.5</v>
      </c>
      <c r="M466" s="9" t="str">
        <f t="shared" si="84"/>
        <v>ZIM511139904-1</v>
      </c>
      <c r="N466" s="24">
        <f>IF($A466="","",WORKDAY($A466,Settings!$C$9,HolidayDates))</f>
        <v>46153</v>
      </c>
      <c r="O466" s="24">
        <f>IF($N466="","",WORKDAY($N466,Settings!$C$10,HolidayDates))</f>
        <v>46191</v>
      </c>
      <c r="P466" s="10" t="s">
        <v>501</v>
      </c>
      <c r="Q466" s="52" t="str">
        <f t="shared" si="86"/>
        <v>Collected</v>
      </c>
      <c r="R466" s="55" t="str">
        <f t="shared" si="87"/>
        <v>2026-05</v>
      </c>
      <c r="S466" s="55">
        <f>IF(OR($B466="",$F466="",$R466=""),"",SUMIFS(tblIssues[Qty Issued],tblIssues[Staff ID],$B466,tblIssues[Item Name],$F466,tblIssues[Month],$R466))</f>
        <v>500</v>
      </c>
      <c r="T466" s="56">
        <f>IF($I466="","",$I466*Settings!$C$11)</f>
        <v>500</v>
      </c>
      <c r="U466" s="57" t="str">
        <f t="shared" si="85"/>
        <v>OK</v>
      </c>
      <c r="V466" s="55" t="str">
        <f t="shared" si="88"/>
        <v/>
      </c>
      <c r="W466" s="55" t="str">
        <f>IF($V466="","",IF(COUNTIF($V$5:$V466,$V466)=1,1,""))</f>
        <v/>
      </c>
      <c r="X466" s="58" t="str">
        <f>IF($W466="","",MAX($X$4:X465)+1)</f>
        <v/>
      </c>
      <c r="Y466" s="62"/>
      <c r="Z466" s="62"/>
      <c r="AA466" s="64" t="str">
        <f>IF($C466="","",IFERROR(INDEX('Staff Directory'!$E$5:$E$594,MATCH($C466,'Staff Directory'!$B$5:$B$594,0)),""))</f>
        <v>firstname213.lastname213@example.com</v>
      </c>
      <c r="AB466" s="64" t="str">
        <f>IF($C466="","",IF(ISNUMBER(SEARCH($D466,Settings!$C$15)),"Pickup","Dispatch"))</f>
        <v>Pickup</v>
      </c>
      <c r="AC466" s="64" t="str">
        <f t="shared" si="89"/>
        <v>Supply order ready for pickup</v>
      </c>
      <c r="AD466" s="64" t="str">
        <f t="shared" si="80"/>
        <v>Dear PSW,
Your order is ready for pickup from Sample Branch, Wed-Fri 9am-4pm.</v>
      </c>
      <c r="AE466" s="64" t="str">
        <f t="shared" si="81"/>
        <v>mailto:firstname213.lastname213@example.com?subject=Supply%20order%20ready%20for%20pickup&amp;body=Dear%20PSW%2C%0A%0AYour%20order%20is%20ready%20for%20pickup%20from%20Sample%20Branch%2C%20Wed-Fri%209am-4pm.</v>
      </c>
      <c r="AF466" s="89" t="str">
        <f t="shared" si="90"/>
        <v>Draft email</v>
      </c>
      <c r="AG466" s="64" t="str">
        <f>IF($C466="","",IFERROR(INDEX('Staff Directory'!$K$595:$K$599,MATCH($C466,'Staff Directory'!$B$5:$B$599,0)),$D466))</f>
        <v>PSW</v>
      </c>
      <c r="AH466" t="str">
        <f>IF($C466="","",IFERROR(INDEX('Staff Directory'!$I$595:$I$599,MATCH($C466,'Staff Directory'!$B$5:$B$599,0))&amp;" "&amp;INDEX('Staff Directory'!$J$595:$J$599,MATCH($C466,'Staff Directory'!$B$5:$B$599,0)),$AG466))</f>
        <v>PSW</v>
      </c>
      <c r="AI466" s="102"/>
      <c r="AJ466" s="101">
        <f>IF($F466="","",SUMIFS($J$5:$J466,$F$5:$F466,$F466))</f>
        <v>13500</v>
      </c>
      <c r="AK466" s="101">
        <f t="shared" si="82"/>
        <v>13001</v>
      </c>
      <c r="AL466" s="66" t="str" cm="1">
        <f t="array" ref="AL466">IF($F466="","",IFERROR(INDEX('Lot Balance'!$B$5:$B$500,MATCH(1,INDEX(('Lot Balance'!$A$5:$A$500=$F466)*('Lot Balance'!$K$5:$K$500&lt;$AK466)*('Lot Balance'!$K$5:$K$500+'Lot Balance'!$D$5:$D$500&gt;=$AK466),0),0)),""))</f>
        <v>ZIM511139904-1</v>
      </c>
      <c r="AM466" s="66" t="str" cm="1">
        <f t="array" ref="AM466">IF($F466="","",IFERROR(INDEX('Lot Balance'!$B$5:$B$500,MATCH(1,INDEX(('Lot Balance'!$A$5:$A$500=$F466)*('Lot Balance'!$K$5:$K$500&lt;$AJ466)*('Lot Balance'!$K$5:$K$500+'Lot Balance'!$D$5:$D$500&gt;=$AJ466),0),0)),""))</f>
        <v>ZIM511139904-1</v>
      </c>
      <c r="AN466" s="66" t="str">
        <f>IF($F466="","",IF($AI466&lt;&gt;"",IF(COUNTIFS('Lot Balance'!$A$5:$A$500,$F466,'Lot Balance'!$B$5:$B$500,$AI466)=0,"⚠ override is not a lot of this item",IF($AI466=$AL466,"Override = FEFO","Override - FEFO says "&amp;$AL466)),IF($AL466="","⚠ no receipt on file for this item",IF($AM466&lt;&gt;$AL466,"FEFO auto - split, also "&amp;$AM466,"FEFO auto"))))</f>
        <v>FEFO auto</v>
      </c>
      <c r="AO466" s="114"/>
    </row>
    <row r="467" spans="1:41" x14ac:dyDescent="0.35">
      <c r="A467" s="74">
        <v>46143</v>
      </c>
      <c r="B467" s="18" t="str">
        <f>IF($C467="","",IFERROR(INDEX('Staff Directory'!$A$5:$A$594,MATCH($C467,'Staff Directory'!$B$5:$B$594,0)),"⚠ unknown staff"))</f>
        <v>PSW-150-A5</v>
      </c>
      <c r="C467" s="49" t="s">
        <v>1129</v>
      </c>
      <c r="D467" s="19" t="str">
        <f>IF($B467="","",IFERROR(INDEX('Staff Directory'!$C$5:$C$594,MATCH($B467,'Staff Directory'!$A$5:$A$594,0)),""))</f>
        <v>PSW</v>
      </c>
      <c r="E467" s="19" t="str">
        <f>IF($B467="","",IFERROR(INDEX('Staff Directory'!$D$5:$D$594,MATCH($B467,'Staff Directory'!$A$5:$A$594,0)),""))</f>
        <v>A5</v>
      </c>
      <c r="F467" s="9" t="s">
        <v>191</v>
      </c>
      <c r="G467" s="18" t="str">
        <f>IF($F467="","",IFERROR(INDEX(Items!$B$5:$B$597,MATCH($F467,Items!$A$5:$A$597,0)),"⚠ not in Items"))</f>
        <v>Sanitizer</v>
      </c>
      <c r="H467" s="19" t="str">
        <f>IF($F467="","",IFERROR(INDEX(Items!$C$5:$C$597,MATCH($F467,Items!$A$5:$A$597,0)),""))</f>
        <v>236 ML</v>
      </c>
      <c r="I467" s="23">
        <f>IF($F467="","",IFERROR(INDEX(Items!$E$5:$E$597,MATCH($F467,Items!$A$5:$A$597,0)),""))</f>
        <v>1</v>
      </c>
      <c r="J467" s="115">
        <f>IF(tblIssues[[#This Row],[Qty Override]]&lt;&gt;"",tblIssues[[#This Row],[Qty Override]],IF(tblIssues[[#This Row],[Standard Issue]]="","",tblIssues[[#This Row],[Standard Issue]]))</f>
        <v>1</v>
      </c>
      <c r="K467" s="20">
        <f>IF($F467="","",IFERROR(INDEX(Items!$D$5:$D$597,MATCH($F467,Items!$A$5:$A$597,0)),""))</f>
        <v>1E-4</v>
      </c>
      <c r="L467" s="21">
        <f t="shared" si="83"/>
        <v>1E-4</v>
      </c>
      <c r="M467" s="9" t="str">
        <f t="shared" si="84"/>
        <v>20-21734-2</v>
      </c>
      <c r="N467" s="24">
        <f>IF($A467="","",WORKDAY($A467,Settings!$C$9,HolidayDates))</f>
        <v>46153</v>
      </c>
      <c r="O467" s="24">
        <f>IF($N467="","",WORKDAY($N467,Settings!$C$10,HolidayDates))</f>
        <v>46191</v>
      </c>
      <c r="P467" s="10" t="s">
        <v>501</v>
      </c>
      <c r="Q467" s="52" t="str">
        <f t="shared" si="86"/>
        <v>Collected</v>
      </c>
      <c r="R467" s="55" t="str">
        <f t="shared" si="87"/>
        <v>2026-05</v>
      </c>
      <c r="S467" s="55">
        <f>IF(OR($B467="",$F467="",$R467=""),"",SUMIFS(tblIssues[Qty Issued],tblIssues[Staff ID],$B467,tblIssues[Item Name],$F467,tblIssues[Month],$R467))</f>
        <v>1</v>
      </c>
      <c r="T467" s="56">
        <f>IF($I467="","",$I467*Settings!$C$11)</f>
        <v>1</v>
      </c>
      <c r="U467" s="57" t="str">
        <f t="shared" si="85"/>
        <v>OK</v>
      </c>
      <c r="V467" s="55" t="str">
        <f t="shared" si="88"/>
        <v/>
      </c>
      <c r="W467" s="55" t="str">
        <f>IF($V467="","",IF(COUNTIF($V$5:$V467,$V467)=1,1,""))</f>
        <v/>
      </c>
      <c r="X467" s="58" t="str">
        <f>IF($W467="","",MAX($X$4:X466)+1)</f>
        <v/>
      </c>
      <c r="Y467" s="62"/>
      <c r="Z467" s="62"/>
      <c r="AA467" s="64" t="str">
        <f>IF($C467="","",IFERROR(INDEX('Staff Directory'!$E$5:$E$594,MATCH($C467,'Staff Directory'!$B$5:$B$594,0)),""))</f>
        <v>firstname213.lastname213@example.com</v>
      </c>
      <c r="AB467" s="64" t="str">
        <f>IF($C467="","",IF(ISNUMBER(SEARCH($D467,Settings!$C$15)),"Pickup","Dispatch"))</f>
        <v>Pickup</v>
      </c>
      <c r="AC467" s="64" t="str">
        <f t="shared" si="89"/>
        <v>Supply order ready for pickup</v>
      </c>
      <c r="AD467" s="64" t="str">
        <f t="shared" si="80"/>
        <v>Dear PSW,
Your order is ready for pickup from Sample Branch, Wed-Fri 9am-4pm.</v>
      </c>
      <c r="AE467" s="64" t="str">
        <f t="shared" si="81"/>
        <v>mailto:firstname213.lastname213@example.com?subject=Supply%20order%20ready%20for%20pickup&amp;body=Dear%20PSW%2C%0A%0AYour%20order%20is%20ready%20for%20pickup%20from%20Sample%20Branch%2C%20Wed-Fri%209am-4pm.</v>
      </c>
      <c r="AF467" s="89" t="str">
        <f t="shared" si="90"/>
        <v>Draft email</v>
      </c>
      <c r="AG467" s="64" t="str">
        <f>IF($C467="","",IFERROR(INDEX('Staff Directory'!$K$595:$K$599,MATCH($C467,'Staff Directory'!$B$5:$B$599,0)),$D467))</f>
        <v>PSW</v>
      </c>
      <c r="AH467" t="str">
        <f>IF($C467="","",IFERROR(INDEX('Staff Directory'!$I$595:$I$599,MATCH($C467,'Staff Directory'!$B$5:$B$599,0))&amp;" "&amp;INDEX('Staff Directory'!$J$595:$J$599,MATCH($C467,'Staff Directory'!$B$5:$B$599,0)),$AG467))</f>
        <v>PSW</v>
      </c>
      <c r="AI467" s="102"/>
      <c r="AJ467" s="101">
        <f>IF($F467="","",SUMIFS($J$5:$J467,$F$5:$F467,$F467))</f>
        <v>47</v>
      </c>
      <c r="AK467" s="101">
        <f t="shared" si="82"/>
        <v>47</v>
      </c>
      <c r="AL467" s="66" t="str" cm="1">
        <f t="array" ref="AL467">IF($F467="","",IFERROR(INDEX('Lot Balance'!$B$5:$B$500,MATCH(1,INDEX(('Lot Balance'!$A$5:$A$500=$F467)*('Lot Balance'!$K$5:$K$500&lt;$AK467)*('Lot Balance'!$K$5:$K$500+'Lot Balance'!$D$5:$D$500&gt;=$AK467),0),0)),""))</f>
        <v>20-21734-2</v>
      </c>
      <c r="AM467" s="66" t="str" cm="1">
        <f t="array" ref="AM467">IF($F467="","",IFERROR(INDEX('Lot Balance'!$B$5:$B$500,MATCH(1,INDEX(('Lot Balance'!$A$5:$A$500=$F467)*('Lot Balance'!$K$5:$K$500&lt;$AJ467)*('Lot Balance'!$K$5:$K$500+'Lot Balance'!$D$5:$D$500&gt;=$AJ467),0),0)),""))</f>
        <v>20-21734-2</v>
      </c>
      <c r="AN467" s="66" t="str">
        <f>IF($F467="","",IF($AI467&lt;&gt;"",IF(COUNTIFS('Lot Balance'!$A$5:$A$500,$F467,'Lot Balance'!$B$5:$B$500,$AI467)=0,"⚠ override is not a lot of this item",IF($AI467=$AL467,"Override = FEFO","Override - FEFO says "&amp;$AL467)),IF($AL467="","⚠ no receipt on file for this item",IF($AM467&lt;&gt;$AL467,"FEFO auto - split, also "&amp;$AM467,"FEFO auto"))))</f>
        <v>FEFO auto</v>
      </c>
      <c r="AO467" s="114"/>
    </row>
    <row r="468" spans="1:41" x14ac:dyDescent="0.35">
      <c r="A468" s="74">
        <v>46143</v>
      </c>
      <c r="B468" s="18" t="str">
        <f>IF($C468="","",IFERROR(INDEX('Staff Directory'!$A$5:$A$594,MATCH($C468,'Staff Directory'!$B$5:$B$594,0)),"⚠ unknown staff"))</f>
        <v>PSW-150-A5</v>
      </c>
      <c r="C468" s="49" t="s">
        <v>1129</v>
      </c>
      <c r="D468" s="19" t="str">
        <f>IF($B468="","",IFERROR(INDEX('Staff Directory'!$C$5:$C$594,MATCH($B468,'Staff Directory'!$A$5:$A$594,0)),""))</f>
        <v>PSW</v>
      </c>
      <c r="E468" s="19" t="str">
        <f>IF($B468="","",IFERROR(INDEX('Staff Directory'!$D$5:$D$594,MATCH($B468,'Staff Directory'!$A$5:$A$594,0)),""))</f>
        <v>A5</v>
      </c>
      <c r="F468" s="9" t="s">
        <v>156</v>
      </c>
      <c r="G468" s="18" t="str">
        <f>IF($F468="","",IFERROR(INDEX(Items!$B$5:$B$597,MATCH($F468,Items!$A$5:$A$597,0)),"⚠ not in Items"))</f>
        <v>Masks</v>
      </c>
      <c r="H468" s="19" t="str">
        <f>IF($F468="","",IFERROR(INDEX(Items!$C$5:$C$597,MATCH($F468,Items!$A$5:$A$597,0)),""))</f>
        <v>One Size</v>
      </c>
      <c r="I468" s="23">
        <f>IF($F468="","",IFERROR(INDEX(Items!$E$5:$E$597,MATCH($F468,Items!$A$5:$A$597,0)),""))</f>
        <v>50</v>
      </c>
      <c r="J468" s="115">
        <f>IF(tblIssues[[#This Row],[Qty Override]]&lt;&gt;"",tblIssues[[#This Row],[Qty Override]],IF(tblIssues[[#This Row],[Standard Issue]]="","",tblIssues[[#This Row],[Standard Issue]]))</f>
        <v>50</v>
      </c>
      <c r="K468" s="20">
        <f>IF($F468="","",IFERROR(INDEX(Items!$D$5:$D$597,MATCH($F468,Items!$A$5:$A$597,0)),""))</f>
        <v>0.25</v>
      </c>
      <c r="L468" s="21">
        <f t="shared" si="83"/>
        <v>12.5</v>
      </c>
      <c r="M468" s="9" t="str">
        <f t="shared" si="84"/>
        <v>0125FPC24-0</v>
      </c>
      <c r="N468" s="24">
        <f>IF($A468="","",WORKDAY($A468,Settings!$C$9,HolidayDates))</f>
        <v>46153</v>
      </c>
      <c r="O468" s="24">
        <f>IF($N468="","",WORKDAY($N468,Settings!$C$10,HolidayDates))</f>
        <v>46191</v>
      </c>
      <c r="P468" s="10" t="s">
        <v>501</v>
      </c>
      <c r="Q468" s="52" t="str">
        <f t="shared" si="86"/>
        <v>Collected</v>
      </c>
      <c r="R468" s="55" t="str">
        <f t="shared" si="87"/>
        <v>2026-05</v>
      </c>
      <c r="S468" s="55">
        <f>IF(OR($B468="",$F468="",$R468=""),"",SUMIFS(tblIssues[Qty Issued],tblIssues[Staff ID],$B468,tblIssues[Item Name],$F468,tblIssues[Month],$R468))</f>
        <v>50</v>
      </c>
      <c r="T468" s="56">
        <f>IF($I468="","",$I468*Settings!$C$11)</f>
        <v>50</v>
      </c>
      <c r="U468" s="57" t="str">
        <f t="shared" si="85"/>
        <v>OK</v>
      </c>
      <c r="V468" s="55" t="str">
        <f t="shared" si="88"/>
        <v/>
      </c>
      <c r="W468" s="55" t="str">
        <f>IF($V468="","",IF(COUNTIF($V$5:$V468,$V468)=1,1,""))</f>
        <v/>
      </c>
      <c r="X468" s="58" t="str">
        <f>IF($W468="","",MAX($X$4:X467)+1)</f>
        <v/>
      </c>
      <c r="Y468" s="62"/>
      <c r="Z468" s="62"/>
      <c r="AA468" s="64" t="str">
        <f>IF($C468="","",IFERROR(INDEX('Staff Directory'!$E$5:$E$594,MATCH($C468,'Staff Directory'!$B$5:$B$594,0)),""))</f>
        <v>firstname213.lastname213@example.com</v>
      </c>
      <c r="AB468" s="64" t="str">
        <f>IF($C468="","",IF(ISNUMBER(SEARCH($D468,Settings!$C$15)),"Pickup","Dispatch"))</f>
        <v>Pickup</v>
      </c>
      <c r="AC468" s="64" t="str">
        <f t="shared" si="89"/>
        <v>Supply order ready for pickup</v>
      </c>
      <c r="AD468" s="64" t="str">
        <f t="shared" si="80"/>
        <v>Dear PSW,
Your order is ready for pickup from Sample Branch, Wed-Fri 9am-4pm.</v>
      </c>
      <c r="AE468" s="64" t="str">
        <f t="shared" si="81"/>
        <v>mailto:firstname213.lastname213@example.com?subject=Supply%20order%20ready%20for%20pickup&amp;body=Dear%20PSW%2C%0A%0AYour%20order%20is%20ready%20for%20pickup%20from%20Sample%20Branch%2C%20Wed-Fri%209am-4pm.</v>
      </c>
      <c r="AF468" s="89" t="str">
        <f t="shared" si="90"/>
        <v>Draft email</v>
      </c>
      <c r="AG468" s="64" t="str">
        <f>IF($C468="","",IFERROR(INDEX('Staff Directory'!$K$595:$K$599,MATCH($C468,'Staff Directory'!$B$5:$B$599,0)),$D468))</f>
        <v>PSW</v>
      </c>
      <c r="AH468" t="str">
        <f>IF($C468="","",IFERROR(INDEX('Staff Directory'!$I$595:$I$599,MATCH($C468,'Staff Directory'!$B$5:$B$599,0))&amp;" "&amp;INDEX('Staff Directory'!$J$595:$J$599,MATCH($C468,'Staff Directory'!$B$5:$B$599,0)),$AG468))</f>
        <v>PSW</v>
      </c>
      <c r="AI468" s="102"/>
      <c r="AJ468" s="101">
        <f>IF($F468="","",SUMIFS($J$5:$J468,$F$5:$F468,$F468))</f>
        <v>3750</v>
      </c>
      <c r="AK468" s="101">
        <f t="shared" si="82"/>
        <v>3701</v>
      </c>
      <c r="AL468" s="66" t="str" cm="1">
        <f t="array" ref="AL468">IF($F468="","",IFERROR(INDEX('Lot Balance'!$B$5:$B$500,MATCH(1,INDEX(('Lot Balance'!$A$5:$A$500=$F468)*('Lot Balance'!$K$5:$K$500&lt;$AK468)*('Lot Balance'!$K$5:$K$500+'Lot Balance'!$D$5:$D$500&gt;=$AK468),0),0)),""))</f>
        <v>0125FPC24-0</v>
      </c>
      <c r="AM468" s="66" t="str" cm="1">
        <f t="array" ref="AM468">IF($F468="","",IFERROR(INDEX('Lot Balance'!$B$5:$B$500,MATCH(1,INDEX(('Lot Balance'!$A$5:$A$500=$F468)*('Lot Balance'!$K$5:$K$500&lt;$AJ468)*('Lot Balance'!$K$5:$K$500+'Lot Balance'!$D$5:$D$500&gt;=$AJ468),0),0)),""))</f>
        <v>0125FPC24-0</v>
      </c>
      <c r="AN468" s="66" t="str">
        <f>IF($F468="","",IF($AI468&lt;&gt;"",IF(COUNTIFS('Lot Balance'!$A$5:$A$500,$F468,'Lot Balance'!$B$5:$B$500,$AI468)=0,"⚠ override is not a lot of this item",IF($AI468=$AL468,"Override = FEFO","Override - FEFO says "&amp;$AL468)),IF($AL468="","⚠ no receipt on file for this item",IF($AM468&lt;&gt;$AL468,"FEFO auto - split, also "&amp;$AM468,"FEFO auto"))))</f>
        <v>FEFO auto</v>
      </c>
      <c r="AO468" s="114"/>
    </row>
    <row r="469" spans="1:41" x14ac:dyDescent="0.35">
      <c r="A469" s="74">
        <v>46143</v>
      </c>
      <c r="B469" s="18" t="str">
        <f>IF($C469="","",IFERROR(INDEX('Staff Directory'!$A$5:$A$594,MATCH($C469,'Staff Directory'!$B$5:$B$594,0)),"⚠ unknown staff"))</f>
        <v>PSW-152-A6</v>
      </c>
      <c r="C469" s="49" t="s">
        <v>1131</v>
      </c>
      <c r="D469" s="19" t="str">
        <f>IF($B469="","",IFERROR(INDEX('Staff Directory'!$C$5:$C$594,MATCH($B469,'Staff Directory'!$A$5:$A$594,0)),""))</f>
        <v>PSW</v>
      </c>
      <c r="E469" s="19" t="str">
        <f>IF($B469="","",IFERROR(INDEX('Staff Directory'!$D$5:$D$594,MATCH($B469,'Staff Directory'!$A$5:$A$594,0)),""))</f>
        <v>A6</v>
      </c>
      <c r="F469" s="9" t="s">
        <v>127</v>
      </c>
      <c r="G469" s="18" t="str">
        <f>IF($F469="","",IFERROR(INDEX(Items!$B$5:$B$597,MATCH($F469,Items!$A$5:$A$597,0)),"⚠ not in Items"))</f>
        <v>Gloves</v>
      </c>
      <c r="H469" s="19" t="str">
        <f>IF($F469="","",IFERROR(INDEX(Items!$C$5:$C$597,MATCH($F469,Items!$A$5:$A$597,0)),""))</f>
        <v>Medium</v>
      </c>
      <c r="I469" s="23">
        <f>IF($F469="","",IFERROR(INDEX(Items!$E$5:$E$597,MATCH($F469,Items!$A$5:$A$597,0)),""))</f>
        <v>500</v>
      </c>
      <c r="J469" s="115">
        <f>IF(tblIssues[[#This Row],[Qty Override]]&lt;&gt;"",tblIssues[[#This Row],[Qty Override]],IF(tblIssues[[#This Row],[Standard Issue]]="","",tblIssues[[#This Row],[Standard Issue]]))</f>
        <v>500</v>
      </c>
      <c r="K469" s="20">
        <f>IF($F469="","",IFERROR(INDEX(Items!$D$5:$D$597,MATCH($F469,Items!$A$5:$A$597,0)),""))</f>
        <v>5.5E-2</v>
      </c>
      <c r="L469" s="21">
        <f t="shared" si="83"/>
        <v>27.5</v>
      </c>
      <c r="M469" s="9" t="str">
        <f t="shared" si="84"/>
        <v>ZIM504126040-2</v>
      </c>
      <c r="N469" s="24">
        <f>IF($A469="","",WORKDAY($A469,Settings!$C$9,HolidayDates))</f>
        <v>46153</v>
      </c>
      <c r="O469" s="24">
        <f>IF($N469="","",WORKDAY($N469,Settings!$C$10,HolidayDates))</f>
        <v>46191</v>
      </c>
      <c r="P469" s="10" t="s">
        <v>501</v>
      </c>
      <c r="Q469" s="52" t="str">
        <f t="shared" si="86"/>
        <v>Collected</v>
      </c>
      <c r="R469" s="55" t="str">
        <f t="shared" si="87"/>
        <v>2026-05</v>
      </c>
      <c r="S469" s="55">
        <f>IF(OR($B469="",$F469="",$R469=""),"",SUMIFS(tblIssues[Qty Issued],tblIssues[Staff ID],$B469,tblIssues[Item Name],$F469,tblIssues[Month],$R469))</f>
        <v>500</v>
      </c>
      <c r="T469" s="56">
        <f>IF($I469="","",$I469*Settings!$C$11)</f>
        <v>500</v>
      </c>
      <c r="U469" s="57" t="str">
        <f t="shared" si="85"/>
        <v>OK</v>
      </c>
      <c r="V469" s="55" t="str">
        <f t="shared" si="88"/>
        <v/>
      </c>
      <c r="W469" s="55" t="str">
        <f>IF($V469="","",IF(COUNTIF($V$5:$V469,$V469)=1,1,""))</f>
        <v/>
      </c>
      <c r="X469" s="58" t="str">
        <f>IF($W469="","",MAX($X$4:X468)+1)</f>
        <v/>
      </c>
      <c r="Y469" s="62"/>
      <c r="Z469" s="62"/>
      <c r="AA469" s="64" t="str">
        <f>IF($C469="","",IFERROR(INDEX('Staff Directory'!$E$5:$E$594,MATCH($C469,'Staff Directory'!$B$5:$B$594,0)),""))</f>
        <v>firstname215.lastname215@example.com</v>
      </c>
      <c r="AB469" s="64" t="str">
        <f>IF($C469="","",IF(ISNUMBER(SEARCH($D469,Settings!$C$15)),"Pickup","Dispatch"))</f>
        <v>Pickup</v>
      </c>
      <c r="AC469" s="64" t="str">
        <f t="shared" si="89"/>
        <v>Supply order ready for pickup</v>
      </c>
      <c r="AD469" s="64" t="str">
        <f t="shared" si="80"/>
        <v>Dear PSW,
Your order is ready for pickup from Sample Branch, Wed-Fri 9am-4pm.</v>
      </c>
      <c r="AE469" s="64" t="str">
        <f t="shared" si="81"/>
        <v>mailto:firstname215.lastname215@example.com?subject=Supply%20order%20ready%20for%20pickup&amp;body=Dear%20PSW%2C%0A%0AYour%20order%20is%20ready%20for%20pickup%20from%20Sample%20Branch%2C%20Wed-Fri%209am-4pm.</v>
      </c>
      <c r="AF469" s="89" t="str">
        <f t="shared" si="90"/>
        <v>Draft email</v>
      </c>
      <c r="AG469" s="64" t="str">
        <f>IF($C469="","",IFERROR(INDEX('Staff Directory'!$K$595:$K$599,MATCH($C469,'Staff Directory'!$B$5:$B$599,0)),$D469))</f>
        <v>PSW</v>
      </c>
      <c r="AH469" t="str">
        <f>IF($C469="","",IFERROR(INDEX('Staff Directory'!$I$595:$I$599,MATCH($C469,'Staff Directory'!$B$5:$B$599,0))&amp;" "&amp;INDEX('Staff Directory'!$J$595:$J$599,MATCH($C469,'Staff Directory'!$B$5:$B$599,0)),$AG469))</f>
        <v>PSW</v>
      </c>
      <c r="AI469" s="102"/>
      <c r="AJ469" s="101">
        <f>IF($F469="","",SUMIFS($J$5:$J469,$F$5:$F469,$F469))</f>
        <v>27500</v>
      </c>
      <c r="AK469" s="101">
        <f t="shared" si="82"/>
        <v>27001</v>
      </c>
      <c r="AL469" s="66" t="str" cm="1">
        <f t="array" ref="AL469">IF($F469="","",IFERROR(INDEX('Lot Balance'!$B$5:$B$500,MATCH(1,INDEX(('Lot Balance'!$A$5:$A$500=$F469)*('Lot Balance'!$K$5:$K$500&lt;$AK469)*('Lot Balance'!$K$5:$K$500+'Lot Balance'!$D$5:$D$500&gt;=$AK469),0),0)),""))</f>
        <v>ZIM504126040-2</v>
      </c>
      <c r="AM469" s="66" t="str" cm="1">
        <f t="array" ref="AM469">IF($F469="","",IFERROR(INDEX('Lot Balance'!$B$5:$B$500,MATCH(1,INDEX(('Lot Balance'!$A$5:$A$500=$F469)*('Lot Balance'!$K$5:$K$500&lt;$AJ469)*('Lot Balance'!$K$5:$K$500+'Lot Balance'!$D$5:$D$500&gt;=$AJ469),0),0)),""))</f>
        <v>ZIM504126040-2</v>
      </c>
      <c r="AN469" s="66" t="str">
        <f>IF($F469="","",IF($AI469&lt;&gt;"",IF(COUNTIFS('Lot Balance'!$A$5:$A$500,$F469,'Lot Balance'!$B$5:$B$500,$AI469)=0,"⚠ override is not a lot of this item",IF($AI469=$AL469,"Override = FEFO","Override - FEFO says "&amp;$AL469)),IF($AL469="","⚠ no receipt on file for this item",IF($AM469&lt;&gt;$AL469,"FEFO auto - split, also "&amp;$AM469,"FEFO auto"))))</f>
        <v>FEFO auto</v>
      </c>
      <c r="AO469" s="114"/>
    </row>
    <row r="470" spans="1:41" x14ac:dyDescent="0.35">
      <c r="A470" s="74">
        <v>46143</v>
      </c>
      <c r="B470" s="18" t="str">
        <f>IF($C470="","",IFERROR(INDEX('Staff Directory'!$A$5:$A$594,MATCH($C470,'Staff Directory'!$B$5:$B$594,0)),"⚠ unknown staff"))</f>
        <v>PSW-152-A6</v>
      </c>
      <c r="C470" s="49" t="s">
        <v>1131</v>
      </c>
      <c r="D470" s="19" t="str">
        <f>IF($B470="","",IFERROR(INDEX('Staff Directory'!$C$5:$C$594,MATCH($B470,'Staff Directory'!$A$5:$A$594,0)),""))</f>
        <v>PSW</v>
      </c>
      <c r="E470" s="19" t="str">
        <f>IF($B470="","",IFERROR(INDEX('Staff Directory'!$D$5:$D$594,MATCH($B470,'Staff Directory'!$A$5:$A$594,0)),""))</f>
        <v>A6</v>
      </c>
      <c r="F470" s="9" t="s">
        <v>115</v>
      </c>
      <c r="G470" s="18" t="str">
        <f>IF($F470="","",IFERROR(INDEX(Items!$B$5:$B$597,MATCH($F470,Items!$A$5:$A$597,0)),"⚠ not in Items"))</f>
        <v>Wipes</v>
      </c>
      <c r="H470" s="19">
        <f>IF($F470="","",IFERROR(INDEX(Items!$C$5:$C$597,MATCH($F470,Items!$A$5:$A$597,0)),""))</f>
        <v>80</v>
      </c>
      <c r="I470" s="23">
        <f>IF($F470="","",IFERROR(INDEX(Items!$E$5:$E$597,MATCH($F470,Items!$A$5:$A$597,0)),""))</f>
        <v>80</v>
      </c>
      <c r="J470" s="115">
        <f>IF(tblIssues[[#This Row],[Qty Override]]&lt;&gt;"",tblIssues[[#This Row],[Qty Override]],IF(tblIssues[[#This Row],[Standard Issue]]="","",tblIssues[[#This Row],[Standard Issue]]))</f>
        <v>80</v>
      </c>
      <c r="K470" s="20">
        <f>IF($F470="","",IFERROR(INDEX(Items!$D$5:$D$597,MATCH($F470,Items!$A$5:$A$597,0)),""))</f>
        <v>0.1</v>
      </c>
      <c r="L470" s="21">
        <f t="shared" si="83"/>
        <v>8</v>
      </c>
      <c r="M470" s="9" t="str">
        <f t="shared" si="84"/>
        <v>LYSL500290</v>
      </c>
      <c r="N470" s="24">
        <f>IF($A470="","",WORKDAY($A470,Settings!$C$9,HolidayDates))</f>
        <v>46153</v>
      </c>
      <c r="O470" s="24">
        <f>IF($N470="","",WORKDAY($N470,Settings!$C$10,HolidayDates))</f>
        <v>46191</v>
      </c>
      <c r="P470" s="10" t="s">
        <v>501</v>
      </c>
      <c r="Q470" s="52" t="str">
        <f t="shared" si="86"/>
        <v>Collected</v>
      </c>
      <c r="R470" s="55" t="str">
        <f t="shared" si="87"/>
        <v>2026-05</v>
      </c>
      <c r="S470" s="55">
        <f>IF(OR($B470="",$F470="",$R470=""),"",SUMIFS(tblIssues[Qty Issued],tblIssues[Staff ID],$B470,tblIssues[Item Name],$F470,tblIssues[Month],$R470))</f>
        <v>80</v>
      </c>
      <c r="T470" s="56">
        <f>IF($I470="","",$I470*Settings!$C$11)</f>
        <v>80</v>
      </c>
      <c r="U470" s="57" t="str">
        <f t="shared" si="85"/>
        <v>OK</v>
      </c>
      <c r="V470" s="55" t="str">
        <f t="shared" si="88"/>
        <v/>
      </c>
      <c r="W470" s="55" t="str">
        <f>IF($V470="","",IF(COUNTIF($V$5:$V470,$V470)=1,1,""))</f>
        <v/>
      </c>
      <c r="X470" s="58" t="str">
        <f>IF($W470="","",MAX($X$4:X469)+1)</f>
        <v/>
      </c>
      <c r="Y470" s="62"/>
      <c r="Z470" s="62"/>
      <c r="AA470" s="64" t="str">
        <f>IF($C470="","",IFERROR(INDEX('Staff Directory'!$E$5:$E$594,MATCH($C470,'Staff Directory'!$B$5:$B$594,0)),""))</f>
        <v>firstname215.lastname215@example.com</v>
      </c>
      <c r="AB470" s="64" t="str">
        <f>IF($C470="","",IF(ISNUMBER(SEARCH($D470,Settings!$C$15)),"Pickup","Dispatch"))</f>
        <v>Pickup</v>
      </c>
      <c r="AC470" s="64" t="str">
        <f t="shared" si="89"/>
        <v>Supply order ready for pickup</v>
      </c>
      <c r="AD470" s="64" t="str">
        <f t="shared" si="80"/>
        <v>Dear PSW,
Your order is ready for pickup from Sample Branch, Wed-Fri 9am-4pm.</v>
      </c>
      <c r="AE470" s="64" t="str">
        <f t="shared" si="81"/>
        <v>mailto:firstname215.lastname215@example.com?subject=Supply%20order%20ready%20for%20pickup&amp;body=Dear%20PSW%2C%0A%0AYour%20order%20is%20ready%20for%20pickup%20from%20Sample%20Branch%2C%20Wed-Fri%209am-4pm.</v>
      </c>
      <c r="AF470" s="89" t="str">
        <f t="shared" si="90"/>
        <v>Draft email</v>
      </c>
      <c r="AG470" s="64" t="str">
        <f>IF($C470="","",IFERROR(INDEX('Staff Directory'!$K$595:$K$599,MATCH($C470,'Staff Directory'!$B$5:$B$599,0)),$D470))</f>
        <v>PSW</v>
      </c>
      <c r="AH470" t="str">
        <f>IF($C470="","",IFERROR(INDEX('Staff Directory'!$I$595:$I$599,MATCH($C470,'Staff Directory'!$B$5:$B$599,0))&amp;" "&amp;INDEX('Staff Directory'!$J$595:$J$599,MATCH($C470,'Staff Directory'!$B$5:$B$599,0)),$AG470))</f>
        <v>PSW</v>
      </c>
      <c r="AI470" s="102"/>
      <c r="AJ470" s="101">
        <f>IF($F470="","",SUMIFS($J$5:$J470,$F$5:$F470,$F470))</f>
        <v>6640</v>
      </c>
      <c r="AK470" s="101">
        <f t="shared" si="82"/>
        <v>6561</v>
      </c>
      <c r="AL470" s="66" t="str" cm="1">
        <f t="array" ref="AL470">IF($F470="","",IFERROR(INDEX('Lot Balance'!$B$5:$B$500,MATCH(1,INDEX(('Lot Balance'!$A$5:$A$500=$F470)*('Lot Balance'!$K$5:$K$500&lt;$AK470)*('Lot Balance'!$K$5:$K$500+'Lot Balance'!$D$5:$D$500&gt;=$AK470),0),0)),""))</f>
        <v>LYSL500290</v>
      </c>
      <c r="AM470" s="66" t="str" cm="1">
        <f t="array" ref="AM470">IF($F470="","",IFERROR(INDEX('Lot Balance'!$B$5:$B$500,MATCH(1,INDEX(('Lot Balance'!$A$5:$A$500=$F470)*('Lot Balance'!$K$5:$K$500&lt;$AJ470)*('Lot Balance'!$K$5:$K$500+'Lot Balance'!$D$5:$D$500&gt;=$AJ470),0),0)),""))</f>
        <v>LYSL500290</v>
      </c>
      <c r="AN470" s="66" t="str">
        <f>IF($F470="","",IF($AI470&lt;&gt;"",IF(COUNTIFS('Lot Balance'!$A$5:$A$500,$F470,'Lot Balance'!$B$5:$B$500,$AI470)=0,"⚠ override is not a lot of this item",IF($AI470=$AL470,"Override = FEFO","Override - FEFO says "&amp;$AL470)),IF($AL470="","⚠ no receipt on file for this item",IF($AM470&lt;&gt;$AL470,"FEFO auto - split, also "&amp;$AM470,"FEFO auto"))))</f>
        <v>FEFO auto</v>
      </c>
      <c r="AO470" s="114"/>
    </row>
    <row r="471" spans="1:41" x14ac:dyDescent="0.35">
      <c r="A471" s="74">
        <v>46143</v>
      </c>
      <c r="B471" s="18" t="str">
        <f>IF($C471="","",IFERROR(INDEX('Staff Directory'!$A$5:$A$594,MATCH($C471,'Staff Directory'!$B$5:$B$594,0)),"⚠ unknown staff"))</f>
        <v>PSW-094-A6</v>
      </c>
      <c r="C471" s="49" t="s">
        <v>1072</v>
      </c>
      <c r="D471" s="19" t="str">
        <f>IF($B471="","",IFERROR(INDEX('Staff Directory'!$C$5:$C$594,MATCH($B471,'Staff Directory'!$A$5:$A$594,0)),""))</f>
        <v>PSW</v>
      </c>
      <c r="E471" s="19" t="str">
        <f>IF($B471="","",IFERROR(INDEX('Staff Directory'!$D$5:$D$594,MATCH($B471,'Staff Directory'!$A$5:$A$594,0)),""))</f>
        <v>A6</v>
      </c>
      <c r="F471" s="9" t="s">
        <v>124</v>
      </c>
      <c r="G471" s="18" t="str">
        <f>IF($F471="","",IFERROR(INDEX(Items!$B$5:$B$597,MATCH($F471,Items!$A$5:$A$597,0)),"⚠ not in Items"))</f>
        <v>Gloves</v>
      </c>
      <c r="H471" s="19" t="str">
        <f>IF($F471="","",IFERROR(INDEX(Items!$C$5:$C$597,MATCH($F471,Items!$A$5:$A$597,0)),""))</f>
        <v>Large</v>
      </c>
      <c r="I471" s="23">
        <f>IF($F471="","",IFERROR(INDEX(Items!$E$5:$E$597,MATCH($F471,Items!$A$5:$A$597,0)),""))</f>
        <v>500</v>
      </c>
      <c r="J471" s="115">
        <f>IF(tblIssues[[#This Row],[Qty Override]]&lt;&gt;"",tblIssues[[#This Row],[Qty Override]],IF(tblIssues[[#This Row],[Standard Issue]]="","",tblIssues[[#This Row],[Standard Issue]]))</f>
        <v>500</v>
      </c>
      <c r="K471" s="20">
        <f>IF($F471="","",IFERROR(INDEX(Items!$D$5:$D$597,MATCH($F471,Items!$A$5:$A$597,0)),""))</f>
        <v>5.5E-2</v>
      </c>
      <c r="L471" s="21">
        <f t="shared" si="83"/>
        <v>27.5</v>
      </c>
      <c r="M471" s="9" t="str">
        <f t="shared" si="84"/>
        <v>ZIM511139904-1</v>
      </c>
      <c r="N471" s="24">
        <f>IF($A471="","",WORKDAY($A471,Settings!$C$9,HolidayDates))</f>
        <v>46153</v>
      </c>
      <c r="O471" s="24">
        <f>IF($N471="","",WORKDAY($N471,Settings!$C$10,HolidayDates))</f>
        <v>46191</v>
      </c>
      <c r="P471" s="10" t="s">
        <v>501</v>
      </c>
      <c r="Q471" s="52" t="str">
        <f t="shared" si="86"/>
        <v>Collected</v>
      </c>
      <c r="R471" s="55" t="str">
        <f t="shared" si="87"/>
        <v>2026-05</v>
      </c>
      <c r="S471" s="55">
        <f>IF(OR($B471="",$F471="",$R471=""),"",SUMIFS(tblIssues[Qty Issued],tblIssues[Staff ID],$B471,tblIssues[Item Name],$F471,tblIssues[Month],$R471))</f>
        <v>500</v>
      </c>
      <c r="T471" s="56">
        <f>IF($I471="","",$I471*Settings!$C$11)</f>
        <v>500</v>
      </c>
      <c r="U471" s="57" t="str">
        <f t="shared" si="85"/>
        <v>OK</v>
      </c>
      <c r="V471" s="55" t="str">
        <f t="shared" si="88"/>
        <v/>
      </c>
      <c r="W471" s="55" t="str">
        <f>IF($V471="","",IF(COUNTIF($V$5:$V471,$V471)=1,1,""))</f>
        <v/>
      </c>
      <c r="X471" s="58" t="str">
        <f>IF($W471="","",MAX($X$4:X470)+1)</f>
        <v/>
      </c>
      <c r="Y471" s="62"/>
      <c r="Z471" s="62"/>
      <c r="AA471" s="64" t="str">
        <f>IF($C471="","",IFERROR(INDEX('Staff Directory'!$E$5:$E$594,MATCH($C471,'Staff Directory'!$B$5:$B$594,0)),""))</f>
        <v>firstname156.lastname156@example.com</v>
      </c>
      <c r="AB471" s="64" t="str">
        <f>IF($C471="","",IF(ISNUMBER(SEARCH($D471,Settings!$C$15)),"Pickup","Dispatch"))</f>
        <v>Pickup</v>
      </c>
      <c r="AC471" s="64" t="str">
        <f t="shared" si="89"/>
        <v>Supply order ready for pickup</v>
      </c>
      <c r="AD471" s="64" t="str">
        <f t="shared" si="80"/>
        <v>Dear PSW,
Your order is ready for pickup from Sample Branch, Wed-Fri 9am-4pm.</v>
      </c>
      <c r="AE471" s="64" t="str">
        <f t="shared" si="81"/>
        <v>mailto:firstname156.lastname156@example.com?subject=Supply%20order%20ready%20for%20pickup&amp;body=Dear%20PSW%2C%0A%0AYour%20order%20is%20ready%20for%20pickup%20from%20Sample%20Branch%2C%20Wed-Fri%209am-4pm.</v>
      </c>
      <c r="AF471" s="89" t="str">
        <f t="shared" si="90"/>
        <v>Draft email</v>
      </c>
      <c r="AG471" s="64" t="str">
        <f>IF($C471="","",IFERROR(INDEX('Staff Directory'!$K$595:$K$599,MATCH($C471,'Staff Directory'!$B$5:$B$599,0)),$D471))</f>
        <v>PSW</v>
      </c>
      <c r="AH471" t="str">
        <f>IF($C471="","",IFERROR(INDEX('Staff Directory'!$I$595:$I$599,MATCH($C471,'Staff Directory'!$B$5:$B$599,0))&amp;" "&amp;INDEX('Staff Directory'!$J$595:$J$599,MATCH($C471,'Staff Directory'!$B$5:$B$599,0)),$AG471))</f>
        <v>PSW</v>
      </c>
      <c r="AI471" s="102"/>
      <c r="AJ471" s="101">
        <f>IF($F471="","",SUMIFS($J$5:$J471,$F$5:$F471,$F471))</f>
        <v>14000</v>
      </c>
      <c r="AK471" s="101">
        <f t="shared" si="82"/>
        <v>13501</v>
      </c>
      <c r="AL471" s="66" t="str" cm="1">
        <f t="array" ref="AL471">IF($F471="","",IFERROR(INDEX('Lot Balance'!$B$5:$B$500,MATCH(1,INDEX(('Lot Balance'!$A$5:$A$500=$F471)*('Lot Balance'!$K$5:$K$500&lt;$AK471)*('Lot Balance'!$K$5:$K$500+'Lot Balance'!$D$5:$D$500&gt;=$AK471),0),0)),""))</f>
        <v>ZIM511139904-1</v>
      </c>
      <c r="AM471" s="66" t="str" cm="1">
        <f t="array" ref="AM471">IF($F471="","",IFERROR(INDEX('Lot Balance'!$B$5:$B$500,MATCH(1,INDEX(('Lot Balance'!$A$5:$A$500=$F471)*('Lot Balance'!$K$5:$K$500&lt;$AJ471)*('Lot Balance'!$K$5:$K$500+'Lot Balance'!$D$5:$D$500&gt;=$AJ471),0),0)),""))</f>
        <v>ZIM511139904-1</v>
      </c>
      <c r="AN471" s="66" t="str">
        <f>IF($F471="","",IF($AI471&lt;&gt;"",IF(COUNTIFS('Lot Balance'!$A$5:$A$500,$F471,'Lot Balance'!$B$5:$B$500,$AI471)=0,"⚠ override is not a lot of this item",IF($AI471=$AL471,"Override = FEFO","Override - FEFO says "&amp;$AL471)),IF($AL471="","⚠ no receipt on file for this item",IF($AM471&lt;&gt;$AL471,"FEFO auto - split, also "&amp;$AM471,"FEFO auto"))))</f>
        <v>FEFO auto</v>
      </c>
      <c r="AO471" s="114"/>
    </row>
    <row r="472" spans="1:41" x14ac:dyDescent="0.35">
      <c r="A472" s="74">
        <v>46143</v>
      </c>
      <c r="B472" s="18" t="str">
        <f>IF($C472="","",IFERROR(INDEX('Staff Directory'!$A$5:$A$594,MATCH($C472,'Staff Directory'!$B$5:$B$594,0)),"⚠ unknown staff"))</f>
        <v>PSW-094-A6</v>
      </c>
      <c r="C472" s="49" t="s">
        <v>1072</v>
      </c>
      <c r="D472" s="19" t="str">
        <f>IF($B472="","",IFERROR(INDEX('Staff Directory'!$C$5:$C$594,MATCH($B472,'Staff Directory'!$A$5:$A$594,0)),""))</f>
        <v>PSW</v>
      </c>
      <c r="E472" s="19" t="str">
        <f>IF($B472="","",IFERROR(INDEX('Staff Directory'!$D$5:$D$594,MATCH($B472,'Staff Directory'!$A$5:$A$594,0)),""))</f>
        <v>A6</v>
      </c>
      <c r="F472" s="9" t="s">
        <v>137</v>
      </c>
      <c r="G472" s="18" t="str">
        <f>IF($F472="","",IFERROR(INDEX(Items!$B$5:$B$597,MATCH($F472,Items!$A$5:$A$597,0)),"⚠ not in Items"))</f>
        <v>Sanitizer</v>
      </c>
      <c r="H472" s="19" t="str">
        <f>IF($F472="","",IFERROR(INDEX(Items!$C$5:$C$597,MATCH($F472,Items!$A$5:$A$597,0)),""))</f>
        <v>118 ML</v>
      </c>
      <c r="I472" s="23">
        <f>IF($F472="","",IFERROR(INDEX(Items!$E$5:$E$597,MATCH($F472,Items!$A$5:$A$597,0)),""))</f>
        <v>2</v>
      </c>
      <c r="J472" s="115">
        <f>IF(tblIssues[[#This Row],[Qty Override]]&lt;&gt;"",tblIssues[[#This Row],[Qty Override]],IF(tblIssues[[#This Row],[Standard Issue]]="","",tblIssues[[#This Row],[Standard Issue]]))</f>
        <v>2</v>
      </c>
      <c r="K472" s="20">
        <f>IF($F472="","",IFERROR(INDEX(Items!$D$5:$D$597,MATCH($F472,Items!$A$5:$A$597,0)),""))</f>
        <v>4.49</v>
      </c>
      <c r="L472" s="21">
        <f t="shared" si="83"/>
        <v>8.98</v>
      </c>
      <c r="M472" s="9" t="str">
        <f t="shared" si="84"/>
        <v>563963-6</v>
      </c>
      <c r="N472" s="24">
        <f>IF($A472="","",WORKDAY($A472,Settings!$C$9,HolidayDates))</f>
        <v>46153</v>
      </c>
      <c r="O472" s="24">
        <f>IF($N472="","",WORKDAY($N472,Settings!$C$10,HolidayDates))</f>
        <v>46191</v>
      </c>
      <c r="P472" s="10" t="s">
        <v>501</v>
      </c>
      <c r="Q472" s="52" t="str">
        <f t="shared" si="86"/>
        <v>Collected</v>
      </c>
      <c r="R472" s="55" t="str">
        <f t="shared" si="87"/>
        <v>2026-05</v>
      </c>
      <c r="S472" s="55">
        <f>IF(OR($B472="",$F472="",$R472=""),"",SUMIFS(tblIssues[Qty Issued],tblIssues[Staff ID],$B472,tblIssues[Item Name],$F472,tblIssues[Month],$R472))</f>
        <v>2</v>
      </c>
      <c r="T472" s="56">
        <f>IF($I472="","",$I472*Settings!$C$11)</f>
        <v>2</v>
      </c>
      <c r="U472" s="57" t="str">
        <f t="shared" si="85"/>
        <v>OK</v>
      </c>
      <c r="V472" s="55" t="str">
        <f t="shared" si="88"/>
        <v/>
      </c>
      <c r="W472" s="55" t="str">
        <f>IF($V472="","",IF(COUNTIF($V$5:$V472,$V472)=1,1,""))</f>
        <v/>
      </c>
      <c r="X472" s="58" t="str">
        <f>IF($W472="","",MAX($X$4:X471)+1)</f>
        <v/>
      </c>
      <c r="Y472" s="62"/>
      <c r="Z472" s="62"/>
      <c r="AA472" s="64" t="str">
        <f>IF($C472="","",IFERROR(INDEX('Staff Directory'!$E$5:$E$594,MATCH($C472,'Staff Directory'!$B$5:$B$594,0)),""))</f>
        <v>firstname156.lastname156@example.com</v>
      </c>
      <c r="AB472" s="64" t="str">
        <f>IF($C472="","",IF(ISNUMBER(SEARCH($D472,Settings!$C$15)),"Pickup","Dispatch"))</f>
        <v>Pickup</v>
      </c>
      <c r="AC472" s="64" t="str">
        <f t="shared" si="89"/>
        <v>Supply order ready for pickup</v>
      </c>
      <c r="AD472" s="64" t="str">
        <f t="shared" si="80"/>
        <v>Dear PSW,
Your order is ready for pickup from Sample Branch, Wed-Fri 9am-4pm.</v>
      </c>
      <c r="AE472" s="64" t="str">
        <f t="shared" si="81"/>
        <v>mailto:firstname156.lastname156@example.com?subject=Supply%20order%20ready%20for%20pickup&amp;body=Dear%20PSW%2C%0A%0AYour%20order%20is%20ready%20for%20pickup%20from%20Sample%20Branch%2C%20Wed-Fri%209am-4pm.</v>
      </c>
      <c r="AF472" s="89" t="str">
        <f t="shared" si="90"/>
        <v>Draft email</v>
      </c>
      <c r="AG472" s="64" t="str">
        <f>IF($C472="","",IFERROR(INDEX('Staff Directory'!$K$595:$K$599,MATCH($C472,'Staff Directory'!$B$5:$B$599,0)),$D472))</f>
        <v>PSW</v>
      </c>
      <c r="AH472" t="str">
        <f>IF($C472="","",IFERROR(INDEX('Staff Directory'!$I$595:$I$599,MATCH($C472,'Staff Directory'!$B$5:$B$599,0))&amp;" "&amp;INDEX('Staff Directory'!$J$595:$J$599,MATCH($C472,'Staff Directory'!$B$5:$B$599,0)),$AG472))</f>
        <v>PSW</v>
      </c>
      <c r="AI472" s="102"/>
      <c r="AJ472" s="101">
        <f>IF($F472="","",SUMIFS($J$5:$J472,$F$5:$F472,$F472))</f>
        <v>80</v>
      </c>
      <c r="AK472" s="101">
        <f t="shared" si="82"/>
        <v>79</v>
      </c>
      <c r="AL472" s="66" t="str" cm="1">
        <f t="array" ref="AL472">IF($F472="","",IFERROR(INDEX('Lot Balance'!$B$5:$B$500,MATCH(1,INDEX(('Lot Balance'!$A$5:$A$500=$F472)*('Lot Balance'!$K$5:$K$500&lt;$AK472)*('Lot Balance'!$K$5:$K$500+'Lot Balance'!$D$5:$D$500&gt;=$AK472),0),0)),""))</f>
        <v>563963-6</v>
      </c>
      <c r="AM472" s="66" t="str" cm="1">
        <f t="array" ref="AM472">IF($F472="","",IFERROR(INDEX('Lot Balance'!$B$5:$B$500,MATCH(1,INDEX(('Lot Balance'!$A$5:$A$500=$F472)*('Lot Balance'!$K$5:$K$500&lt;$AJ472)*('Lot Balance'!$K$5:$K$500+'Lot Balance'!$D$5:$D$500&gt;=$AJ472),0),0)),""))</f>
        <v>563963-6</v>
      </c>
      <c r="AN472" s="66" t="str">
        <f>IF($F472="","",IF($AI472&lt;&gt;"",IF(COUNTIFS('Lot Balance'!$A$5:$A$500,$F472,'Lot Balance'!$B$5:$B$500,$AI472)=0,"⚠ override is not a lot of this item",IF($AI472=$AL472,"Override = FEFO","Override - FEFO says "&amp;$AL472)),IF($AL472="","⚠ no receipt on file for this item",IF($AM472&lt;&gt;$AL472,"FEFO auto - split, also "&amp;$AM472,"FEFO auto"))))</f>
        <v>FEFO auto</v>
      </c>
      <c r="AO472" s="114"/>
    </row>
    <row r="473" spans="1:41" x14ac:dyDescent="0.35">
      <c r="A473" s="74">
        <v>46143</v>
      </c>
      <c r="B473" s="18" t="str">
        <f>IF($C473="","",IFERROR(INDEX('Staff Directory'!$A$5:$A$594,MATCH($C473,'Staff Directory'!$B$5:$B$594,0)),"⚠ unknown staff"))</f>
        <v>PSW-094-A6</v>
      </c>
      <c r="C473" s="49" t="s">
        <v>1072</v>
      </c>
      <c r="D473" s="19" t="str">
        <f>IF($B473="","",IFERROR(INDEX('Staff Directory'!$C$5:$C$594,MATCH($B473,'Staff Directory'!$A$5:$A$594,0)),""))</f>
        <v>PSW</v>
      </c>
      <c r="E473" s="19" t="str">
        <f>IF($B473="","",IFERROR(INDEX('Staff Directory'!$D$5:$D$594,MATCH($B473,'Staff Directory'!$A$5:$A$594,0)),""))</f>
        <v>A6</v>
      </c>
      <c r="F473" s="9" t="s">
        <v>191</v>
      </c>
      <c r="G473" s="18" t="str">
        <f>IF($F473="","",IFERROR(INDEX(Items!$B$5:$B$597,MATCH($F473,Items!$A$5:$A$597,0)),"⚠ not in Items"))</f>
        <v>Sanitizer</v>
      </c>
      <c r="H473" s="19" t="str">
        <f>IF($F473="","",IFERROR(INDEX(Items!$C$5:$C$597,MATCH($F473,Items!$A$5:$A$597,0)),""))</f>
        <v>236 ML</v>
      </c>
      <c r="I473" s="23">
        <f>IF($F473="","",IFERROR(INDEX(Items!$E$5:$E$597,MATCH($F473,Items!$A$5:$A$597,0)),""))</f>
        <v>1</v>
      </c>
      <c r="J473" s="115">
        <f>IF(tblIssues[[#This Row],[Qty Override]]&lt;&gt;"",tblIssues[[#This Row],[Qty Override]],IF(tblIssues[[#This Row],[Standard Issue]]="","",tblIssues[[#This Row],[Standard Issue]]))</f>
        <v>1</v>
      </c>
      <c r="K473" s="20">
        <f>IF($F473="","",IFERROR(INDEX(Items!$D$5:$D$597,MATCH($F473,Items!$A$5:$A$597,0)),""))</f>
        <v>1E-4</v>
      </c>
      <c r="L473" s="21">
        <f t="shared" si="83"/>
        <v>1E-4</v>
      </c>
      <c r="M473" s="9" t="str">
        <f t="shared" si="84"/>
        <v>20-21734-2</v>
      </c>
      <c r="N473" s="24">
        <f>IF($A473="","",WORKDAY($A473,Settings!$C$9,HolidayDates))</f>
        <v>46153</v>
      </c>
      <c r="O473" s="24">
        <f>IF($N473="","",WORKDAY($N473,Settings!$C$10,HolidayDates))</f>
        <v>46191</v>
      </c>
      <c r="P473" s="10" t="s">
        <v>501</v>
      </c>
      <c r="Q473" s="52" t="str">
        <f t="shared" si="86"/>
        <v>Collected</v>
      </c>
      <c r="R473" s="55" t="str">
        <f t="shared" si="87"/>
        <v>2026-05</v>
      </c>
      <c r="S473" s="55">
        <f>IF(OR($B473="",$F473="",$R473=""),"",SUMIFS(tblIssues[Qty Issued],tblIssues[Staff ID],$B473,tblIssues[Item Name],$F473,tblIssues[Month],$R473))</f>
        <v>1</v>
      </c>
      <c r="T473" s="56">
        <f>IF($I473="","",$I473*Settings!$C$11)</f>
        <v>1</v>
      </c>
      <c r="U473" s="57" t="str">
        <f t="shared" si="85"/>
        <v>OK</v>
      </c>
      <c r="V473" s="55" t="str">
        <f t="shared" si="88"/>
        <v/>
      </c>
      <c r="W473" s="55" t="str">
        <f>IF($V473="","",IF(COUNTIF($V$5:$V473,$V473)=1,1,""))</f>
        <v/>
      </c>
      <c r="X473" s="58" t="str">
        <f>IF($W473="","",MAX($X$4:X472)+1)</f>
        <v/>
      </c>
      <c r="Y473" s="62"/>
      <c r="Z473" s="62"/>
      <c r="AA473" s="64" t="str">
        <f>IF($C473="","",IFERROR(INDEX('Staff Directory'!$E$5:$E$594,MATCH($C473,'Staff Directory'!$B$5:$B$594,0)),""))</f>
        <v>firstname156.lastname156@example.com</v>
      </c>
      <c r="AB473" s="64" t="str">
        <f>IF($C473="","",IF(ISNUMBER(SEARCH($D473,Settings!$C$15)),"Pickup","Dispatch"))</f>
        <v>Pickup</v>
      </c>
      <c r="AC473" s="64" t="str">
        <f t="shared" si="89"/>
        <v>Supply order ready for pickup</v>
      </c>
      <c r="AD473" s="64" t="str">
        <f t="shared" si="80"/>
        <v>Dear PSW,
Your order is ready for pickup from Sample Branch, Wed-Fri 9am-4pm.</v>
      </c>
      <c r="AE473" s="64" t="str">
        <f t="shared" si="81"/>
        <v>mailto:firstname156.lastname156@example.com?subject=Supply%20order%20ready%20for%20pickup&amp;body=Dear%20PSW%2C%0A%0AYour%20order%20is%20ready%20for%20pickup%20from%20Sample%20Branch%2C%20Wed-Fri%209am-4pm.</v>
      </c>
      <c r="AF473" s="89" t="str">
        <f t="shared" si="90"/>
        <v>Draft email</v>
      </c>
      <c r="AG473" s="64" t="str">
        <f>IF($C473="","",IFERROR(INDEX('Staff Directory'!$K$595:$K$599,MATCH($C473,'Staff Directory'!$B$5:$B$599,0)),$D473))</f>
        <v>PSW</v>
      </c>
      <c r="AH473" t="str">
        <f>IF($C473="","",IFERROR(INDEX('Staff Directory'!$I$595:$I$599,MATCH($C473,'Staff Directory'!$B$5:$B$599,0))&amp;" "&amp;INDEX('Staff Directory'!$J$595:$J$599,MATCH($C473,'Staff Directory'!$B$5:$B$599,0)),$AG473))</f>
        <v>PSW</v>
      </c>
      <c r="AI473" s="102"/>
      <c r="AJ473" s="101">
        <f>IF($F473="","",SUMIFS($J$5:$J473,$F$5:$F473,$F473))</f>
        <v>48</v>
      </c>
      <c r="AK473" s="101">
        <f t="shared" si="82"/>
        <v>48</v>
      </c>
      <c r="AL473" s="66" t="str" cm="1">
        <f t="array" ref="AL473">IF($F473="","",IFERROR(INDEX('Lot Balance'!$B$5:$B$500,MATCH(1,INDEX(('Lot Balance'!$A$5:$A$500=$F473)*('Lot Balance'!$K$5:$K$500&lt;$AK473)*('Lot Balance'!$K$5:$K$500+'Lot Balance'!$D$5:$D$500&gt;=$AK473),0),0)),""))</f>
        <v>20-21734-2</v>
      </c>
      <c r="AM473" s="66" t="str" cm="1">
        <f t="array" ref="AM473">IF($F473="","",IFERROR(INDEX('Lot Balance'!$B$5:$B$500,MATCH(1,INDEX(('Lot Balance'!$A$5:$A$500=$F473)*('Lot Balance'!$K$5:$K$500&lt;$AJ473)*('Lot Balance'!$K$5:$K$500+'Lot Balance'!$D$5:$D$500&gt;=$AJ473),0),0)),""))</f>
        <v>20-21734-2</v>
      </c>
      <c r="AN473" s="66" t="str">
        <f>IF($F473="","",IF($AI473&lt;&gt;"",IF(COUNTIFS('Lot Balance'!$A$5:$A$500,$F473,'Lot Balance'!$B$5:$B$500,$AI473)=0,"⚠ override is not a lot of this item",IF($AI473=$AL473,"Override = FEFO","Override - FEFO says "&amp;$AL473)),IF($AL473="","⚠ no receipt on file for this item",IF($AM473&lt;&gt;$AL473,"FEFO auto - split, also "&amp;$AM473,"FEFO auto"))))</f>
        <v>FEFO auto</v>
      </c>
      <c r="AO473" s="114"/>
    </row>
    <row r="474" spans="1:41" x14ac:dyDescent="0.35">
      <c r="A474" s="74">
        <v>46143</v>
      </c>
      <c r="B474" s="18" t="str">
        <f>IF($C474="","",IFERROR(INDEX('Staff Directory'!$A$5:$A$594,MATCH($C474,'Staff Directory'!$B$5:$B$594,0)),"⚠ unknown staff"))</f>
        <v>PSW-094-A6</v>
      </c>
      <c r="C474" s="49" t="s">
        <v>1072</v>
      </c>
      <c r="D474" s="19" t="str">
        <f>IF($B474="","",IFERROR(INDEX('Staff Directory'!$C$5:$C$594,MATCH($B474,'Staff Directory'!$A$5:$A$594,0)),""))</f>
        <v>PSW</v>
      </c>
      <c r="E474" s="19" t="str">
        <f>IF($B474="","",IFERROR(INDEX('Staff Directory'!$D$5:$D$594,MATCH($B474,'Staff Directory'!$A$5:$A$594,0)),""))</f>
        <v>A6</v>
      </c>
      <c r="F474" s="9" t="s">
        <v>115</v>
      </c>
      <c r="G474" s="18" t="str">
        <f>IF($F474="","",IFERROR(INDEX(Items!$B$5:$B$597,MATCH($F474,Items!$A$5:$A$597,0)),"⚠ not in Items"))</f>
        <v>Wipes</v>
      </c>
      <c r="H474" s="19">
        <f>IF($F474="","",IFERROR(INDEX(Items!$C$5:$C$597,MATCH($F474,Items!$A$5:$A$597,0)),""))</f>
        <v>80</v>
      </c>
      <c r="I474" s="23">
        <f>IF($F474="","",IFERROR(INDEX(Items!$E$5:$E$597,MATCH($F474,Items!$A$5:$A$597,0)),""))</f>
        <v>80</v>
      </c>
      <c r="J474" s="115">
        <f>IF(tblIssues[[#This Row],[Qty Override]]&lt;&gt;"",tblIssues[[#This Row],[Qty Override]],IF(tblIssues[[#This Row],[Standard Issue]]="","",tblIssues[[#This Row],[Standard Issue]]))</f>
        <v>80</v>
      </c>
      <c r="K474" s="20">
        <f>IF($F474="","",IFERROR(INDEX(Items!$D$5:$D$597,MATCH($F474,Items!$A$5:$A$597,0)),""))</f>
        <v>0.1</v>
      </c>
      <c r="L474" s="21">
        <f t="shared" si="83"/>
        <v>8</v>
      </c>
      <c r="M474" s="9" t="str">
        <f t="shared" si="84"/>
        <v>LYSL500290</v>
      </c>
      <c r="N474" s="24">
        <f>IF($A474="","",WORKDAY($A474,Settings!$C$9,HolidayDates))</f>
        <v>46153</v>
      </c>
      <c r="O474" s="24">
        <f>IF($N474="","",WORKDAY($N474,Settings!$C$10,HolidayDates))</f>
        <v>46191</v>
      </c>
      <c r="P474" s="10" t="s">
        <v>501</v>
      </c>
      <c r="Q474" s="52" t="str">
        <f t="shared" si="86"/>
        <v>Collected</v>
      </c>
      <c r="R474" s="55" t="str">
        <f t="shared" si="87"/>
        <v>2026-05</v>
      </c>
      <c r="S474" s="55">
        <f>IF(OR($B474="",$F474="",$R474=""),"",SUMIFS(tblIssues[Qty Issued],tblIssues[Staff ID],$B474,tblIssues[Item Name],$F474,tblIssues[Month],$R474))</f>
        <v>80</v>
      </c>
      <c r="T474" s="56">
        <f>IF($I474="","",$I474*Settings!$C$11)</f>
        <v>80</v>
      </c>
      <c r="U474" s="57" t="str">
        <f t="shared" si="85"/>
        <v>OK</v>
      </c>
      <c r="V474" s="55" t="str">
        <f t="shared" si="88"/>
        <v/>
      </c>
      <c r="W474" s="55" t="str">
        <f>IF($V474="","",IF(COUNTIF($V$5:$V474,$V474)=1,1,""))</f>
        <v/>
      </c>
      <c r="X474" s="58" t="str">
        <f>IF($W474="","",MAX($X$4:X473)+1)</f>
        <v/>
      </c>
      <c r="Y474" s="62"/>
      <c r="Z474" s="62"/>
      <c r="AA474" s="64" t="str">
        <f>IF($C474="","",IFERROR(INDEX('Staff Directory'!$E$5:$E$594,MATCH($C474,'Staff Directory'!$B$5:$B$594,0)),""))</f>
        <v>firstname156.lastname156@example.com</v>
      </c>
      <c r="AB474" s="64" t="str">
        <f>IF($C474="","",IF(ISNUMBER(SEARCH($D474,Settings!$C$15)),"Pickup","Dispatch"))</f>
        <v>Pickup</v>
      </c>
      <c r="AC474" s="64" t="str">
        <f t="shared" si="89"/>
        <v>Supply order ready for pickup</v>
      </c>
      <c r="AD474" s="64" t="str">
        <f t="shared" si="80"/>
        <v>Dear PSW,
Your order is ready for pickup from Sample Branch, Wed-Fri 9am-4pm.</v>
      </c>
      <c r="AE474" s="64" t="str">
        <f t="shared" si="81"/>
        <v>mailto:firstname156.lastname156@example.com?subject=Supply%20order%20ready%20for%20pickup&amp;body=Dear%20PSW%2C%0A%0AYour%20order%20is%20ready%20for%20pickup%20from%20Sample%20Branch%2C%20Wed-Fri%209am-4pm.</v>
      </c>
      <c r="AF474" s="89" t="str">
        <f t="shared" si="90"/>
        <v>Draft email</v>
      </c>
      <c r="AG474" s="64" t="str">
        <f>IF($C474="","",IFERROR(INDEX('Staff Directory'!$K$595:$K$599,MATCH($C474,'Staff Directory'!$B$5:$B$599,0)),$D474))</f>
        <v>PSW</v>
      </c>
      <c r="AH474" t="str">
        <f>IF($C474="","",IFERROR(INDEX('Staff Directory'!$I$595:$I$599,MATCH($C474,'Staff Directory'!$B$5:$B$599,0))&amp;" "&amp;INDEX('Staff Directory'!$J$595:$J$599,MATCH($C474,'Staff Directory'!$B$5:$B$599,0)),$AG474))</f>
        <v>PSW</v>
      </c>
      <c r="AI474" s="102"/>
      <c r="AJ474" s="101">
        <f>IF($F474="","",SUMIFS($J$5:$J474,$F$5:$F474,$F474))</f>
        <v>6720</v>
      </c>
      <c r="AK474" s="101">
        <f t="shared" si="82"/>
        <v>6641</v>
      </c>
      <c r="AL474" s="66" t="str" cm="1">
        <f t="array" ref="AL474">IF($F474="","",IFERROR(INDEX('Lot Balance'!$B$5:$B$500,MATCH(1,INDEX(('Lot Balance'!$A$5:$A$500=$F474)*('Lot Balance'!$K$5:$K$500&lt;$AK474)*('Lot Balance'!$K$5:$K$500+'Lot Balance'!$D$5:$D$500&gt;=$AK474),0),0)),""))</f>
        <v>LYSL500290</v>
      </c>
      <c r="AM474" s="66" t="str" cm="1">
        <f t="array" ref="AM474">IF($F474="","",IFERROR(INDEX('Lot Balance'!$B$5:$B$500,MATCH(1,INDEX(('Lot Balance'!$A$5:$A$500=$F474)*('Lot Balance'!$K$5:$K$500&lt;$AJ474)*('Lot Balance'!$K$5:$K$500+'Lot Balance'!$D$5:$D$500&gt;=$AJ474),0),0)),""))</f>
        <v>LYSL500290</v>
      </c>
      <c r="AN474" s="66" t="str">
        <f>IF($F474="","",IF($AI474&lt;&gt;"",IF(COUNTIFS('Lot Balance'!$A$5:$A$500,$F474,'Lot Balance'!$B$5:$B$500,$AI474)=0,"⚠ override is not a lot of this item",IF($AI474=$AL474,"Override = FEFO","Override - FEFO says "&amp;$AL474)),IF($AL474="","⚠ no receipt on file for this item",IF($AM474&lt;&gt;$AL474,"FEFO auto - split, also "&amp;$AM474,"FEFO auto"))))</f>
        <v>FEFO auto</v>
      </c>
      <c r="AO474" s="114"/>
    </row>
    <row r="475" spans="1:41" x14ac:dyDescent="0.35">
      <c r="A475" s="74">
        <v>46143</v>
      </c>
      <c r="B475" s="18" t="str">
        <f>IF($C475="","",IFERROR(INDEX('Staff Directory'!$A$5:$A$594,MATCH($C475,'Staff Directory'!$B$5:$B$594,0)),"⚠ unknown staff"))</f>
        <v>PSW-094-A6</v>
      </c>
      <c r="C475" s="49" t="s">
        <v>1072</v>
      </c>
      <c r="D475" s="19" t="str">
        <f>IF($B475="","",IFERROR(INDEX('Staff Directory'!$C$5:$C$594,MATCH($B475,'Staff Directory'!$A$5:$A$594,0)),""))</f>
        <v>PSW</v>
      </c>
      <c r="E475" s="19" t="str">
        <f>IF($B475="","",IFERROR(INDEX('Staff Directory'!$D$5:$D$594,MATCH($B475,'Staff Directory'!$A$5:$A$594,0)),""))</f>
        <v>A6</v>
      </c>
      <c r="F475" s="9" t="s">
        <v>156</v>
      </c>
      <c r="G475" s="18" t="str">
        <f>IF($F475="","",IFERROR(INDEX(Items!$B$5:$B$597,MATCH($F475,Items!$A$5:$A$597,0)),"⚠ not in Items"))</f>
        <v>Masks</v>
      </c>
      <c r="H475" s="19" t="str">
        <f>IF($F475="","",IFERROR(INDEX(Items!$C$5:$C$597,MATCH($F475,Items!$A$5:$A$597,0)),""))</f>
        <v>One Size</v>
      </c>
      <c r="I475" s="23">
        <f>IF($F475="","",IFERROR(INDEX(Items!$E$5:$E$597,MATCH($F475,Items!$A$5:$A$597,0)),""))</f>
        <v>50</v>
      </c>
      <c r="J475" s="115">
        <f>IF(tblIssues[[#This Row],[Qty Override]]&lt;&gt;"",tblIssues[[#This Row],[Qty Override]],IF(tblIssues[[#This Row],[Standard Issue]]="","",tblIssues[[#This Row],[Standard Issue]]))</f>
        <v>50</v>
      </c>
      <c r="K475" s="20">
        <f>IF($F475="","",IFERROR(INDEX(Items!$D$5:$D$597,MATCH($F475,Items!$A$5:$A$597,0)),""))</f>
        <v>0.25</v>
      </c>
      <c r="L475" s="21">
        <f t="shared" si="83"/>
        <v>12.5</v>
      </c>
      <c r="M475" s="9" t="str">
        <f t="shared" si="84"/>
        <v>0125FPC24-0</v>
      </c>
      <c r="N475" s="24">
        <f>IF($A475="","",WORKDAY($A475,Settings!$C$9,HolidayDates))</f>
        <v>46153</v>
      </c>
      <c r="O475" s="24">
        <f>IF($N475="","",WORKDAY($N475,Settings!$C$10,HolidayDates))</f>
        <v>46191</v>
      </c>
      <c r="P475" s="10" t="s">
        <v>501</v>
      </c>
      <c r="Q475" s="52" t="str">
        <f t="shared" si="86"/>
        <v>Collected</v>
      </c>
      <c r="R475" s="55" t="str">
        <f t="shared" si="87"/>
        <v>2026-05</v>
      </c>
      <c r="S475" s="55">
        <f>IF(OR($B475="",$F475="",$R475=""),"",SUMIFS(tblIssues[Qty Issued],tblIssues[Staff ID],$B475,tblIssues[Item Name],$F475,tblIssues[Month],$R475))</f>
        <v>50</v>
      </c>
      <c r="T475" s="56">
        <f>IF($I475="","",$I475*Settings!$C$11)</f>
        <v>50</v>
      </c>
      <c r="U475" s="57" t="str">
        <f t="shared" si="85"/>
        <v>OK</v>
      </c>
      <c r="V475" s="55" t="str">
        <f t="shared" si="88"/>
        <v/>
      </c>
      <c r="W475" s="55" t="str">
        <f>IF($V475="","",IF(COUNTIF($V$5:$V475,$V475)=1,1,""))</f>
        <v/>
      </c>
      <c r="X475" s="58" t="str">
        <f>IF($W475="","",MAX($X$4:X474)+1)</f>
        <v/>
      </c>
      <c r="Y475" s="62"/>
      <c r="Z475" s="62"/>
      <c r="AA475" s="64" t="str">
        <f>IF($C475="","",IFERROR(INDEX('Staff Directory'!$E$5:$E$594,MATCH($C475,'Staff Directory'!$B$5:$B$594,0)),""))</f>
        <v>firstname156.lastname156@example.com</v>
      </c>
      <c r="AB475" s="64" t="str">
        <f>IF($C475="","",IF(ISNUMBER(SEARCH($D475,Settings!$C$15)),"Pickup","Dispatch"))</f>
        <v>Pickup</v>
      </c>
      <c r="AC475" s="64" t="str">
        <f t="shared" si="89"/>
        <v>Supply order ready for pickup</v>
      </c>
      <c r="AD475" s="64" t="str">
        <f t="shared" si="80"/>
        <v>Dear PSW,
Your order is ready for pickup from Sample Branch, Wed-Fri 9am-4pm.</v>
      </c>
      <c r="AE475" s="64" t="str">
        <f t="shared" si="81"/>
        <v>mailto:firstname156.lastname156@example.com?subject=Supply%20order%20ready%20for%20pickup&amp;body=Dear%20PSW%2C%0A%0AYour%20order%20is%20ready%20for%20pickup%20from%20Sample%20Branch%2C%20Wed-Fri%209am-4pm.</v>
      </c>
      <c r="AF475" s="89" t="str">
        <f t="shared" si="90"/>
        <v>Draft email</v>
      </c>
      <c r="AG475" s="64" t="str">
        <f>IF($C475="","",IFERROR(INDEX('Staff Directory'!$K$595:$K$599,MATCH($C475,'Staff Directory'!$B$5:$B$599,0)),$D475))</f>
        <v>PSW</v>
      </c>
      <c r="AH475" t="str">
        <f>IF($C475="","",IFERROR(INDEX('Staff Directory'!$I$595:$I$599,MATCH($C475,'Staff Directory'!$B$5:$B$599,0))&amp;" "&amp;INDEX('Staff Directory'!$J$595:$J$599,MATCH($C475,'Staff Directory'!$B$5:$B$599,0)),$AG475))</f>
        <v>PSW</v>
      </c>
      <c r="AI475" s="102"/>
      <c r="AJ475" s="101">
        <f>IF($F475="","",SUMIFS($J$5:$J475,$F$5:$F475,$F475))</f>
        <v>3800</v>
      </c>
      <c r="AK475" s="101">
        <f t="shared" si="82"/>
        <v>3751</v>
      </c>
      <c r="AL475" s="66" t="str" cm="1">
        <f t="array" ref="AL475">IF($F475="","",IFERROR(INDEX('Lot Balance'!$B$5:$B$500,MATCH(1,INDEX(('Lot Balance'!$A$5:$A$500=$F475)*('Lot Balance'!$K$5:$K$500&lt;$AK475)*('Lot Balance'!$K$5:$K$500+'Lot Balance'!$D$5:$D$500&gt;=$AK475),0),0)),""))</f>
        <v>0125FPC24-0</v>
      </c>
      <c r="AM475" s="66" t="str" cm="1">
        <f t="array" ref="AM475">IF($F475="","",IFERROR(INDEX('Lot Balance'!$B$5:$B$500,MATCH(1,INDEX(('Lot Balance'!$A$5:$A$500=$F475)*('Lot Balance'!$K$5:$K$500&lt;$AJ475)*('Lot Balance'!$K$5:$K$500+'Lot Balance'!$D$5:$D$500&gt;=$AJ475),0),0)),""))</f>
        <v>0125FPC24-0</v>
      </c>
      <c r="AN475" s="66" t="str">
        <f>IF($F475="","",IF($AI475&lt;&gt;"",IF(COUNTIFS('Lot Balance'!$A$5:$A$500,$F475,'Lot Balance'!$B$5:$B$500,$AI475)=0,"⚠ override is not a lot of this item",IF($AI475=$AL475,"Override = FEFO","Override - FEFO says "&amp;$AL475)),IF($AL475="","⚠ no receipt on file for this item",IF($AM475&lt;&gt;$AL475,"FEFO auto - split, also "&amp;$AM475,"FEFO auto"))))</f>
        <v>FEFO auto</v>
      </c>
      <c r="AO475" s="114"/>
    </row>
    <row r="476" spans="1:41" x14ac:dyDescent="0.35">
      <c r="A476" s="74">
        <v>46143</v>
      </c>
      <c r="B476" s="18" t="str">
        <f>IF($C476="","",IFERROR(INDEX('Staff Directory'!$A$5:$A$594,MATCH($C476,'Staff Directory'!$B$5:$B$594,0)),"⚠ unknown staff"))</f>
        <v>PSW-144-A6</v>
      </c>
      <c r="C476" s="49" t="s">
        <v>1123</v>
      </c>
      <c r="D476" s="19" t="str">
        <f>IF($B476="","",IFERROR(INDEX('Staff Directory'!$C$5:$C$594,MATCH($B476,'Staff Directory'!$A$5:$A$594,0)),""))</f>
        <v>PSW</v>
      </c>
      <c r="E476" s="19" t="str">
        <f>IF($B476="","",IFERROR(INDEX('Staff Directory'!$D$5:$D$594,MATCH($B476,'Staff Directory'!$A$5:$A$594,0)),""))</f>
        <v>A6</v>
      </c>
      <c r="F476" s="9" t="s">
        <v>129</v>
      </c>
      <c r="G476" s="18" t="str">
        <f>IF($F476="","",IFERROR(INDEX(Items!$B$5:$B$597,MATCH($F476,Items!$A$5:$A$597,0)),"⚠ not in Items"))</f>
        <v>Gloves</v>
      </c>
      <c r="H476" s="19" t="str">
        <f>IF($F476="","",IFERROR(INDEX(Items!$C$5:$C$597,MATCH($F476,Items!$A$5:$A$597,0)),""))</f>
        <v>Small</v>
      </c>
      <c r="I476" s="23">
        <f>IF($F476="","",IFERROR(INDEX(Items!$E$5:$E$597,MATCH($F476,Items!$A$5:$A$597,0)),""))</f>
        <v>500</v>
      </c>
      <c r="J476" s="115">
        <f>IF(tblIssues[[#This Row],[Qty Override]]&lt;&gt;"",tblIssues[[#This Row],[Qty Override]],IF(tblIssues[[#This Row],[Standard Issue]]="","",tblIssues[[#This Row],[Standard Issue]]))</f>
        <v>500</v>
      </c>
      <c r="K476" s="20">
        <f>IF($F476="","",IFERROR(INDEX(Items!$D$5:$D$597,MATCH($F476,Items!$A$5:$A$597,0)),""))</f>
        <v>5.5E-2</v>
      </c>
      <c r="L476" s="21">
        <f t="shared" si="83"/>
        <v>27.5</v>
      </c>
      <c r="M476" s="9" t="str">
        <f t="shared" si="84"/>
        <v>O210LIC25</v>
      </c>
      <c r="N476" s="24">
        <f>IF($A476="","",WORKDAY($A476,Settings!$C$9,HolidayDates))</f>
        <v>46153</v>
      </c>
      <c r="O476" s="24">
        <f>IF($N476="","",WORKDAY($N476,Settings!$C$10,HolidayDates))</f>
        <v>46191</v>
      </c>
      <c r="P476" s="10" t="s">
        <v>501</v>
      </c>
      <c r="Q476" s="52" t="str">
        <f t="shared" si="86"/>
        <v>Collected</v>
      </c>
      <c r="R476" s="55" t="str">
        <f t="shared" si="87"/>
        <v>2026-05</v>
      </c>
      <c r="S476" s="55">
        <f>IF(OR($B476="",$F476="",$R476=""),"",SUMIFS(tblIssues[Qty Issued],tblIssues[Staff ID],$B476,tblIssues[Item Name],$F476,tblIssues[Month],$R476))</f>
        <v>500</v>
      </c>
      <c r="T476" s="56">
        <f>IF($I476="","",$I476*Settings!$C$11)</f>
        <v>500</v>
      </c>
      <c r="U476" s="57" t="str">
        <f t="shared" si="85"/>
        <v>OK</v>
      </c>
      <c r="V476" s="55" t="str">
        <f t="shared" si="88"/>
        <v/>
      </c>
      <c r="W476" s="55" t="str">
        <f>IF($V476="","",IF(COUNTIF($V$5:$V476,$V476)=1,1,""))</f>
        <v/>
      </c>
      <c r="X476" s="58" t="str">
        <f>IF($W476="","",MAX($X$4:X475)+1)</f>
        <v/>
      </c>
      <c r="Y476" s="62"/>
      <c r="Z476" s="62"/>
      <c r="AA476" s="64" t="str">
        <f>IF($C476="","",IFERROR(INDEX('Staff Directory'!$E$5:$E$594,MATCH($C476,'Staff Directory'!$B$5:$B$594,0)),""))</f>
        <v>firstname207.lastname207@example.com</v>
      </c>
      <c r="AB476" s="64" t="str">
        <f>IF($C476="","",IF(ISNUMBER(SEARCH($D476,Settings!$C$15)),"Pickup","Dispatch"))</f>
        <v>Pickup</v>
      </c>
      <c r="AC476" s="64" t="str">
        <f t="shared" si="89"/>
        <v>Supply order ready for pickup</v>
      </c>
      <c r="AD476" s="64" t="str">
        <f t="shared" si="80"/>
        <v>Dear PSW,
Your order is ready for pickup from Sample Branch, Wed-Fri 9am-4pm.</v>
      </c>
      <c r="AE476" s="64" t="str">
        <f t="shared" si="81"/>
        <v>mailto:firstname207.lastname207@example.com?subject=Supply%20order%20ready%20for%20pickup&amp;body=Dear%20PSW%2C%0A%0AYour%20order%20is%20ready%20for%20pickup%20from%20Sample%20Branch%2C%20Wed-Fri%209am-4pm.</v>
      </c>
      <c r="AF476" s="89" t="str">
        <f t="shared" si="90"/>
        <v>Draft email</v>
      </c>
      <c r="AG476" s="64" t="str">
        <f>IF($C476="","",IFERROR(INDEX('Staff Directory'!$K$595:$K$599,MATCH($C476,'Staff Directory'!$B$5:$B$599,0)),$D476))</f>
        <v>PSW</v>
      </c>
      <c r="AH476" t="str">
        <f>IF($C476="","",IFERROR(INDEX('Staff Directory'!$I$595:$I$599,MATCH($C476,'Staff Directory'!$B$5:$B$599,0))&amp;" "&amp;INDEX('Staff Directory'!$J$595:$J$599,MATCH($C476,'Staff Directory'!$B$5:$B$599,0)),$AG476))</f>
        <v>PSW</v>
      </c>
      <c r="AI476" s="102"/>
      <c r="AJ476" s="101">
        <f>IF($F476="","",SUMIFS($J$5:$J476,$F$5:$F476,$F476))</f>
        <v>16000</v>
      </c>
      <c r="AK476" s="101">
        <f t="shared" si="82"/>
        <v>15501</v>
      </c>
      <c r="AL476" s="66" t="str" cm="1">
        <f t="array" ref="AL476">IF($F476="","",IFERROR(INDEX('Lot Balance'!$B$5:$B$500,MATCH(1,INDEX(('Lot Balance'!$A$5:$A$500=$F476)*('Lot Balance'!$K$5:$K$500&lt;$AK476)*('Lot Balance'!$K$5:$K$500+'Lot Balance'!$D$5:$D$500&gt;=$AK476),0),0)),""))</f>
        <v>O210LIC25</v>
      </c>
      <c r="AM476" s="66" t="str" cm="1">
        <f t="array" ref="AM476">IF($F476="","",IFERROR(INDEX('Lot Balance'!$B$5:$B$500,MATCH(1,INDEX(('Lot Balance'!$A$5:$A$500=$F476)*('Lot Balance'!$K$5:$K$500&lt;$AJ476)*('Lot Balance'!$K$5:$K$500+'Lot Balance'!$D$5:$D$500&gt;=$AJ476),0),0)),""))</f>
        <v>O210LIC25</v>
      </c>
      <c r="AN476" s="66" t="str">
        <f>IF($F476="","",IF($AI476&lt;&gt;"",IF(COUNTIFS('Lot Balance'!$A$5:$A$500,$F476,'Lot Balance'!$B$5:$B$500,$AI476)=0,"⚠ override is not a lot of this item",IF($AI476=$AL476,"Override = FEFO","Override - FEFO says "&amp;$AL476)),IF($AL476="","⚠ no receipt on file for this item",IF($AM476&lt;&gt;$AL476,"FEFO auto - split, also "&amp;$AM476,"FEFO auto"))))</f>
        <v>FEFO auto</v>
      </c>
      <c r="AO476" s="114"/>
    </row>
    <row r="477" spans="1:41" x14ac:dyDescent="0.35">
      <c r="A477" s="74">
        <v>46143</v>
      </c>
      <c r="B477" s="18" t="str">
        <f>IF($C477="","",IFERROR(INDEX('Staff Directory'!$A$5:$A$594,MATCH($C477,'Staff Directory'!$B$5:$B$594,0)),"⚠ unknown staff"))</f>
        <v>PSW-144-A6</v>
      </c>
      <c r="C477" s="49" t="s">
        <v>1123</v>
      </c>
      <c r="D477" s="19" t="str">
        <f>IF($B477="","",IFERROR(INDEX('Staff Directory'!$C$5:$C$594,MATCH($B477,'Staff Directory'!$A$5:$A$594,0)),""))</f>
        <v>PSW</v>
      </c>
      <c r="E477" s="19" t="str">
        <f>IF($B477="","",IFERROR(INDEX('Staff Directory'!$D$5:$D$594,MATCH($B477,'Staff Directory'!$A$5:$A$594,0)),""))</f>
        <v>A6</v>
      </c>
      <c r="F477" s="9" t="s">
        <v>191</v>
      </c>
      <c r="G477" s="18" t="str">
        <f>IF($F477="","",IFERROR(INDEX(Items!$B$5:$B$597,MATCH($F477,Items!$A$5:$A$597,0)),"⚠ not in Items"))</f>
        <v>Sanitizer</v>
      </c>
      <c r="H477" s="19" t="str">
        <f>IF($F477="","",IFERROR(INDEX(Items!$C$5:$C$597,MATCH($F477,Items!$A$5:$A$597,0)),""))</f>
        <v>236 ML</v>
      </c>
      <c r="I477" s="23">
        <f>IF($F477="","",IFERROR(INDEX(Items!$E$5:$E$597,MATCH($F477,Items!$A$5:$A$597,0)),""))</f>
        <v>1</v>
      </c>
      <c r="J477" s="115">
        <f>IF(tblIssues[[#This Row],[Qty Override]]&lt;&gt;"",tblIssues[[#This Row],[Qty Override]],IF(tblIssues[[#This Row],[Standard Issue]]="","",tblIssues[[#This Row],[Standard Issue]]))</f>
        <v>1</v>
      </c>
      <c r="K477" s="20">
        <f>IF($F477="","",IFERROR(INDEX(Items!$D$5:$D$597,MATCH($F477,Items!$A$5:$A$597,0)),""))</f>
        <v>1E-4</v>
      </c>
      <c r="L477" s="21">
        <f t="shared" si="83"/>
        <v>1E-4</v>
      </c>
      <c r="M477" s="9" t="str">
        <f t="shared" si="84"/>
        <v>20-21734-2</v>
      </c>
      <c r="N477" s="24">
        <f>IF($A477="","",WORKDAY($A477,Settings!$C$9,HolidayDates))</f>
        <v>46153</v>
      </c>
      <c r="O477" s="24">
        <f>IF($N477="","",WORKDAY($N477,Settings!$C$10,HolidayDates))</f>
        <v>46191</v>
      </c>
      <c r="P477" s="10" t="s">
        <v>501</v>
      </c>
      <c r="Q477" s="52" t="str">
        <f t="shared" si="86"/>
        <v>Collected</v>
      </c>
      <c r="R477" s="55" t="str">
        <f t="shared" si="87"/>
        <v>2026-05</v>
      </c>
      <c r="S477" s="55">
        <f>IF(OR($B477="",$F477="",$R477=""),"",SUMIFS(tblIssues[Qty Issued],tblIssues[Staff ID],$B477,tblIssues[Item Name],$F477,tblIssues[Month],$R477))</f>
        <v>1</v>
      </c>
      <c r="T477" s="56">
        <f>IF($I477="","",$I477*Settings!$C$11)</f>
        <v>1</v>
      </c>
      <c r="U477" s="57" t="str">
        <f t="shared" si="85"/>
        <v>OK</v>
      </c>
      <c r="V477" s="55" t="str">
        <f t="shared" si="88"/>
        <v/>
      </c>
      <c r="W477" s="55" t="str">
        <f>IF($V477="","",IF(COUNTIF($V$5:$V477,$V477)=1,1,""))</f>
        <v/>
      </c>
      <c r="X477" s="58" t="str">
        <f>IF($W477="","",MAX($X$4:X476)+1)</f>
        <v/>
      </c>
      <c r="Y477" s="62"/>
      <c r="Z477" s="62"/>
      <c r="AA477" s="64" t="str">
        <f>IF($C477="","",IFERROR(INDEX('Staff Directory'!$E$5:$E$594,MATCH($C477,'Staff Directory'!$B$5:$B$594,0)),""))</f>
        <v>firstname207.lastname207@example.com</v>
      </c>
      <c r="AB477" s="64" t="str">
        <f>IF($C477="","",IF(ISNUMBER(SEARCH($D477,Settings!$C$15)),"Pickup","Dispatch"))</f>
        <v>Pickup</v>
      </c>
      <c r="AC477" s="64" t="str">
        <f t="shared" si="89"/>
        <v>Supply order ready for pickup</v>
      </c>
      <c r="AD477" s="64" t="str">
        <f t="shared" si="80"/>
        <v>Dear PSW,
Your order is ready for pickup from Sample Branch, Wed-Fri 9am-4pm.</v>
      </c>
      <c r="AE477" s="64" t="str">
        <f t="shared" si="81"/>
        <v>mailto:firstname207.lastname207@example.com?subject=Supply%20order%20ready%20for%20pickup&amp;body=Dear%20PSW%2C%0A%0AYour%20order%20is%20ready%20for%20pickup%20from%20Sample%20Branch%2C%20Wed-Fri%209am-4pm.</v>
      </c>
      <c r="AF477" s="89" t="str">
        <f t="shared" si="90"/>
        <v>Draft email</v>
      </c>
      <c r="AG477" s="64" t="str">
        <f>IF($C477="","",IFERROR(INDEX('Staff Directory'!$K$595:$K$599,MATCH($C477,'Staff Directory'!$B$5:$B$599,0)),$D477))</f>
        <v>PSW</v>
      </c>
      <c r="AH477" t="str">
        <f>IF($C477="","",IFERROR(INDEX('Staff Directory'!$I$595:$I$599,MATCH($C477,'Staff Directory'!$B$5:$B$599,0))&amp;" "&amp;INDEX('Staff Directory'!$J$595:$J$599,MATCH($C477,'Staff Directory'!$B$5:$B$599,0)),$AG477))</f>
        <v>PSW</v>
      </c>
      <c r="AI477" s="102"/>
      <c r="AJ477" s="101">
        <f>IF($F477="","",SUMIFS($J$5:$J477,$F$5:$F477,$F477))</f>
        <v>49</v>
      </c>
      <c r="AK477" s="101">
        <f t="shared" si="82"/>
        <v>49</v>
      </c>
      <c r="AL477" s="66" t="str" cm="1">
        <f t="array" ref="AL477">IF($F477="","",IFERROR(INDEX('Lot Balance'!$B$5:$B$500,MATCH(1,INDEX(('Lot Balance'!$A$5:$A$500=$F477)*('Lot Balance'!$K$5:$K$500&lt;$AK477)*('Lot Balance'!$K$5:$K$500+'Lot Balance'!$D$5:$D$500&gt;=$AK477),0),0)),""))</f>
        <v>20-21734-2</v>
      </c>
      <c r="AM477" s="66" t="str" cm="1">
        <f t="array" ref="AM477">IF($F477="","",IFERROR(INDEX('Lot Balance'!$B$5:$B$500,MATCH(1,INDEX(('Lot Balance'!$A$5:$A$500=$F477)*('Lot Balance'!$K$5:$K$500&lt;$AJ477)*('Lot Balance'!$K$5:$K$500+'Lot Balance'!$D$5:$D$500&gt;=$AJ477),0),0)),""))</f>
        <v>20-21734-2</v>
      </c>
      <c r="AN477" s="66" t="str">
        <f>IF($F477="","",IF($AI477&lt;&gt;"",IF(COUNTIFS('Lot Balance'!$A$5:$A$500,$F477,'Lot Balance'!$B$5:$B$500,$AI477)=0,"⚠ override is not a lot of this item",IF($AI477=$AL477,"Override = FEFO","Override - FEFO says "&amp;$AL477)),IF($AL477="","⚠ no receipt on file for this item",IF($AM477&lt;&gt;$AL477,"FEFO auto - split, also "&amp;$AM477,"FEFO auto"))))</f>
        <v>FEFO auto</v>
      </c>
      <c r="AO477" s="114"/>
    </row>
    <row r="478" spans="1:41" x14ac:dyDescent="0.35">
      <c r="A478" s="74">
        <v>46143</v>
      </c>
      <c r="B478" s="18" t="str">
        <f>IF($C478="","",IFERROR(INDEX('Staff Directory'!$A$5:$A$594,MATCH($C478,'Staff Directory'!$B$5:$B$594,0)),"⚠ unknown staff"))</f>
        <v>PSW-144-A6</v>
      </c>
      <c r="C478" s="49" t="s">
        <v>1123</v>
      </c>
      <c r="D478" s="19" t="str">
        <f>IF($B478="","",IFERROR(INDEX('Staff Directory'!$C$5:$C$594,MATCH($B478,'Staff Directory'!$A$5:$A$594,0)),""))</f>
        <v>PSW</v>
      </c>
      <c r="E478" s="19" t="str">
        <f>IF($B478="","",IFERROR(INDEX('Staff Directory'!$D$5:$D$594,MATCH($B478,'Staff Directory'!$A$5:$A$594,0)),""))</f>
        <v>A6</v>
      </c>
      <c r="F478" s="9" t="s">
        <v>115</v>
      </c>
      <c r="G478" s="18" t="str">
        <f>IF($F478="","",IFERROR(INDEX(Items!$B$5:$B$597,MATCH($F478,Items!$A$5:$A$597,0)),"⚠ not in Items"))</f>
        <v>Wipes</v>
      </c>
      <c r="H478" s="19">
        <f>IF($F478="","",IFERROR(INDEX(Items!$C$5:$C$597,MATCH($F478,Items!$A$5:$A$597,0)),""))</f>
        <v>80</v>
      </c>
      <c r="I478" s="23">
        <f>IF($F478="","",IFERROR(INDEX(Items!$E$5:$E$597,MATCH($F478,Items!$A$5:$A$597,0)),""))</f>
        <v>80</v>
      </c>
      <c r="J478" s="115">
        <f>IF(tblIssues[[#This Row],[Qty Override]]&lt;&gt;"",tblIssues[[#This Row],[Qty Override]],IF(tblIssues[[#This Row],[Standard Issue]]="","",tblIssues[[#This Row],[Standard Issue]]))</f>
        <v>80</v>
      </c>
      <c r="K478" s="20">
        <f>IF($F478="","",IFERROR(INDEX(Items!$D$5:$D$597,MATCH($F478,Items!$A$5:$A$597,0)),""))</f>
        <v>0.1</v>
      </c>
      <c r="L478" s="21">
        <f t="shared" si="83"/>
        <v>8</v>
      </c>
      <c r="M478" s="9" t="str">
        <f t="shared" si="84"/>
        <v>LYSL500290</v>
      </c>
      <c r="N478" s="24">
        <f>IF($A478="","",WORKDAY($A478,Settings!$C$9,HolidayDates))</f>
        <v>46153</v>
      </c>
      <c r="O478" s="24">
        <f>IF($N478="","",WORKDAY($N478,Settings!$C$10,HolidayDates))</f>
        <v>46191</v>
      </c>
      <c r="P478" s="10" t="s">
        <v>501</v>
      </c>
      <c r="Q478" s="52" t="str">
        <f t="shared" si="86"/>
        <v>Collected</v>
      </c>
      <c r="R478" s="55" t="str">
        <f t="shared" si="87"/>
        <v>2026-05</v>
      </c>
      <c r="S478" s="55">
        <f>IF(OR($B478="",$F478="",$R478=""),"",SUMIFS(tblIssues[Qty Issued],tblIssues[Staff ID],$B478,tblIssues[Item Name],$F478,tblIssues[Month],$R478))</f>
        <v>80</v>
      </c>
      <c r="T478" s="56">
        <f>IF($I478="","",$I478*Settings!$C$11)</f>
        <v>80</v>
      </c>
      <c r="U478" s="57" t="str">
        <f t="shared" si="85"/>
        <v>OK</v>
      </c>
      <c r="V478" s="55" t="str">
        <f t="shared" si="88"/>
        <v/>
      </c>
      <c r="W478" s="55" t="str">
        <f>IF($V478="","",IF(COUNTIF($V$5:$V478,$V478)=1,1,""))</f>
        <v/>
      </c>
      <c r="X478" s="58" t="str">
        <f>IF($W478="","",MAX($X$4:X477)+1)</f>
        <v/>
      </c>
      <c r="Y478" s="62"/>
      <c r="Z478" s="62"/>
      <c r="AA478" s="64" t="str">
        <f>IF($C478="","",IFERROR(INDEX('Staff Directory'!$E$5:$E$594,MATCH($C478,'Staff Directory'!$B$5:$B$594,0)),""))</f>
        <v>firstname207.lastname207@example.com</v>
      </c>
      <c r="AB478" s="64" t="str">
        <f>IF($C478="","",IF(ISNUMBER(SEARCH($D478,Settings!$C$15)),"Pickup","Dispatch"))</f>
        <v>Pickup</v>
      </c>
      <c r="AC478" s="64" t="str">
        <f t="shared" si="89"/>
        <v>Supply order ready for pickup</v>
      </c>
      <c r="AD478" s="64" t="str">
        <f t="shared" si="80"/>
        <v>Dear PSW,
Your order is ready for pickup from Sample Branch, Wed-Fri 9am-4pm.</v>
      </c>
      <c r="AE478" s="64" t="str">
        <f t="shared" si="81"/>
        <v>mailto:firstname207.lastname207@example.com?subject=Supply%20order%20ready%20for%20pickup&amp;body=Dear%20PSW%2C%0A%0AYour%20order%20is%20ready%20for%20pickup%20from%20Sample%20Branch%2C%20Wed-Fri%209am-4pm.</v>
      </c>
      <c r="AF478" s="89" t="str">
        <f t="shared" si="90"/>
        <v>Draft email</v>
      </c>
      <c r="AG478" s="64" t="str">
        <f>IF($C478="","",IFERROR(INDEX('Staff Directory'!$K$595:$K$599,MATCH($C478,'Staff Directory'!$B$5:$B$599,0)),$D478))</f>
        <v>PSW</v>
      </c>
      <c r="AH478" t="str">
        <f>IF($C478="","",IFERROR(INDEX('Staff Directory'!$I$595:$I$599,MATCH($C478,'Staff Directory'!$B$5:$B$599,0))&amp;" "&amp;INDEX('Staff Directory'!$J$595:$J$599,MATCH($C478,'Staff Directory'!$B$5:$B$599,0)),$AG478))</f>
        <v>PSW</v>
      </c>
      <c r="AI478" s="102"/>
      <c r="AJ478" s="101">
        <f>IF($F478="","",SUMIFS($J$5:$J478,$F$5:$F478,$F478))</f>
        <v>6800</v>
      </c>
      <c r="AK478" s="101">
        <f t="shared" si="82"/>
        <v>6721</v>
      </c>
      <c r="AL478" s="66" t="str" cm="1">
        <f t="array" ref="AL478">IF($F478="","",IFERROR(INDEX('Lot Balance'!$B$5:$B$500,MATCH(1,INDEX(('Lot Balance'!$A$5:$A$500=$F478)*('Lot Balance'!$K$5:$K$500&lt;$AK478)*('Lot Balance'!$K$5:$K$500+'Lot Balance'!$D$5:$D$500&gt;=$AK478),0),0)),""))</f>
        <v>LYSL500290</v>
      </c>
      <c r="AM478" s="66" t="str" cm="1">
        <f t="array" ref="AM478">IF($F478="","",IFERROR(INDEX('Lot Balance'!$B$5:$B$500,MATCH(1,INDEX(('Lot Balance'!$A$5:$A$500=$F478)*('Lot Balance'!$K$5:$K$500&lt;$AJ478)*('Lot Balance'!$K$5:$K$500+'Lot Balance'!$D$5:$D$500&gt;=$AJ478),0),0)),""))</f>
        <v>LYSL500290</v>
      </c>
      <c r="AN478" s="66" t="str">
        <f>IF($F478="","",IF($AI478&lt;&gt;"",IF(COUNTIFS('Lot Balance'!$A$5:$A$500,$F478,'Lot Balance'!$B$5:$B$500,$AI478)=0,"⚠ override is not a lot of this item",IF($AI478=$AL478,"Override = FEFO","Override - FEFO says "&amp;$AL478)),IF($AL478="","⚠ no receipt on file for this item",IF($AM478&lt;&gt;$AL478,"FEFO auto - split, also "&amp;$AM478,"FEFO auto"))))</f>
        <v>FEFO auto</v>
      </c>
      <c r="AO478" s="114"/>
    </row>
    <row r="479" spans="1:41" x14ac:dyDescent="0.35">
      <c r="A479" s="74">
        <v>46146</v>
      </c>
      <c r="B479" s="18" t="str">
        <f>IF($C479="","",IFERROR(INDEX('Staff Directory'!$A$5:$A$594,MATCH($C479,'Staff Directory'!$B$5:$B$594,0)),"⚠ unknown staff"))</f>
        <v>PSW-151-A4</v>
      </c>
      <c r="C479" s="49" t="s">
        <v>1130</v>
      </c>
      <c r="D479" s="19" t="str">
        <f>IF($B479="","",IFERROR(INDEX('Staff Directory'!$C$5:$C$594,MATCH($B479,'Staff Directory'!$A$5:$A$594,0)),""))</f>
        <v>PSW</v>
      </c>
      <c r="E479" s="19" t="str">
        <f>IF($B479="","",IFERROR(INDEX('Staff Directory'!$D$5:$D$594,MATCH($B479,'Staff Directory'!$A$5:$A$594,0)),""))</f>
        <v>A4</v>
      </c>
      <c r="F479" s="9" t="s">
        <v>129</v>
      </c>
      <c r="G479" s="18" t="str">
        <f>IF($F479="","",IFERROR(INDEX(Items!$B$5:$B$597,MATCH($F479,Items!$A$5:$A$597,0)),"⚠ not in Items"))</f>
        <v>Gloves</v>
      </c>
      <c r="H479" s="19" t="str">
        <f>IF($F479="","",IFERROR(INDEX(Items!$C$5:$C$597,MATCH($F479,Items!$A$5:$A$597,0)),""))</f>
        <v>Small</v>
      </c>
      <c r="I479" s="23">
        <f>IF($F479="","",IFERROR(INDEX(Items!$E$5:$E$597,MATCH($F479,Items!$A$5:$A$597,0)),""))</f>
        <v>500</v>
      </c>
      <c r="J479" s="115">
        <f>IF(tblIssues[[#This Row],[Qty Override]]&lt;&gt;"",tblIssues[[#This Row],[Qty Override]],IF(tblIssues[[#This Row],[Standard Issue]]="","",tblIssues[[#This Row],[Standard Issue]]))</f>
        <v>500</v>
      </c>
      <c r="K479" s="20">
        <f>IF($F479="","",IFERROR(INDEX(Items!$D$5:$D$597,MATCH($F479,Items!$A$5:$A$597,0)),""))</f>
        <v>5.5E-2</v>
      </c>
      <c r="L479" s="21">
        <f t="shared" si="83"/>
        <v>27.5</v>
      </c>
      <c r="M479" s="9" t="str">
        <f t="shared" si="84"/>
        <v>O210LIC25</v>
      </c>
      <c r="N479" s="24">
        <f>IF($A479="","",WORKDAY($A479,Settings!$C$9,HolidayDates))</f>
        <v>46154</v>
      </c>
      <c r="O479" s="24">
        <f>IF($N479="","",WORKDAY($N479,Settings!$C$10,HolidayDates))</f>
        <v>46192</v>
      </c>
      <c r="P479" s="10" t="s">
        <v>501</v>
      </c>
      <c r="Q479" s="52" t="str">
        <f t="shared" si="86"/>
        <v>Collected</v>
      </c>
      <c r="R479" s="55" t="str">
        <f t="shared" si="87"/>
        <v>2026-05</v>
      </c>
      <c r="S479" s="55">
        <f>IF(OR($B479="",$F479="",$R479=""),"",SUMIFS(tblIssues[Qty Issued],tblIssues[Staff ID],$B479,tblIssues[Item Name],$F479,tblIssues[Month],$R479))</f>
        <v>500</v>
      </c>
      <c r="T479" s="56">
        <f>IF($I479="","",$I479*Settings!$C$11)</f>
        <v>500</v>
      </c>
      <c r="U479" s="57" t="str">
        <f t="shared" si="85"/>
        <v>OK</v>
      </c>
      <c r="V479" s="55" t="str">
        <f t="shared" si="88"/>
        <v/>
      </c>
      <c r="W479" s="55" t="str">
        <f>IF($V479="","",IF(COUNTIF($V$5:$V479,$V479)=1,1,""))</f>
        <v/>
      </c>
      <c r="X479" s="58" t="str">
        <f>IF($W479="","",MAX($X$4:X478)+1)</f>
        <v/>
      </c>
      <c r="Y479" s="62"/>
      <c r="Z479" s="62"/>
      <c r="AA479" s="64" t="str">
        <f>IF($C479="","",IFERROR(INDEX('Staff Directory'!$E$5:$E$594,MATCH($C479,'Staff Directory'!$B$5:$B$594,0)),""))</f>
        <v>firstname214.lastname214@example.com</v>
      </c>
      <c r="AB479" s="64" t="str">
        <f>IF($C479="","",IF(ISNUMBER(SEARCH($D479,Settings!$C$15)),"Pickup","Dispatch"))</f>
        <v>Pickup</v>
      </c>
      <c r="AC479" s="64" t="str">
        <f t="shared" si="89"/>
        <v>Supply order ready for pickup</v>
      </c>
      <c r="AD479" s="64" t="str">
        <f t="shared" si="80"/>
        <v>Dear PSW,
Your order is ready for pickup from Sample Branch, Wed-Fri 9am-4pm.</v>
      </c>
      <c r="AE479" s="64" t="str">
        <f t="shared" si="81"/>
        <v>mailto:firstname214.lastname214@example.com?subject=Supply%20order%20ready%20for%20pickup&amp;body=Dear%20PSW%2C%0A%0AYour%20order%20is%20ready%20for%20pickup%20from%20Sample%20Branch%2C%20Wed-Fri%209am-4pm.</v>
      </c>
      <c r="AF479" s="89" t="str">
        <f t="shared" si="90"/>
        <v>Draft email</v>
      </c>
      <c r="AG479" s="64" t="str">
        <f>IF($C479="","",IFERROR(INDEX('Staff Directory'!$K$595:$K$599,MATCH($C479,'Staff Directory'!$B$5:$B$599,0)),$D479))</f>
        <v>PSW</v>
      </c>
      <c r="AH479" t="str">
        <f>IF($C479="","",IFERROR(INDEX('Staff Directory'!$I$595:$I$599,MATCH($C479,'Staff Directory'!$B$5:$B$599,0))&amp;" "&amp;INDEX('Staff Directory'!$J$595:$J$599,MATCH($C479,'Staff Directory'!$B$5:$B$599,0)),$AG479))</f>
        <v>PSW</v>
      </c>
      <c r="AI479" s="102"/>
      <c r="AJ479" s="101">
        <f>IF($F479="","",SUMIFS($J$5:$J479,$F$5:$F479,$F479))</f>
        <v>16500</v>
      </c>
      <c r="AK479" s="101">
        <f t="shared" si="82"/>
        <v>16001</v>
      </c>
      <c r="AL479" s="66" t="str" cm="1">
        <f t="array" ref="AL479">IF($F479="","",IFERROR(INDEX('Lot Balance'!$B$5:$B$500,MATCH(1,INDEX(('Lot Balance'!$A$5:$A$500=$F479)*('Lot Balance'!$K$5:$K$500&lt;$AK479)*('Lot Balance'!$K$5:$K$500+'Lot Balance'!$D$5:$D$500&gt;=$AK479),0),0)),""))</f>
        <v>O210LIC25</v>
      </c>
      <c r="AM479" s="66" t="str" cm="1">
        <f t="array" ref="AM479">IF($F479="","",IFERROR(INDEX('Lot Balance'!$B$5:$B$500,MATCH(1,INDEX(('Lot Balance'!$A$5:$A$500=$F479)*('Lot Balance'!$K$5:$K$500&lt;$AJ479)*('Lot Balance'!$K$5:$K$500+'Lot Balance'!$D$5:$D$500&gt;=$AJ479),0),0)),""))</f>
        <v>O210LIC25</v>
      </c>
      <c r="AN479" s="66" t="str">
        <f>IF($F479="","",IF($AI479&lt;&gt;"",IF(COUNTIFS('Lot Balance'!$A$5:$A$500,$F479,'Lot Balance'!$B$5:$B$500,$AI479)=0,"⚠ override is not a lot of this item",IF($AI479=$AL479,"Override = FEFO","Override - FEFO says "&amp;$AL479)),IF($AL479="","⚠ no receipt on file for this item",IF($AM479&lt;&gt;$AL479,"FEFO auto - split, also "&amp;$AM479,"FEFO auto"))))</f>
        <v>FEFO auto</v>
      </c>
      <c r="AO479" s="114"/>
    </row>
    <row r="480" spans="1:41" x14ac:dyDescent="0.35">
      <c r="A480" s="74">
        <v>46146</v>
      </c>
      <c r="B480" s="18" t="str">
        <f>IF($C480="","",IFERROR(INDEX('Staff Directory'!$A$5:$A$594,MATCH($C480,'Staff Directory'!$B$5:$B$594,0)),"⚠ unknown staff"))</f>
        <v>PSW-151-A4</v>
      </c>
      <c r="C480" s="49" t="s">
        <v>1130</v>
      </c>
      <c r="D480" s="19" t="str">
        <f>IF($B480="","",IFERROR(INDEX('Staff Directory'!$C$5:$C$594,MATCH($B480,'Staff Directory'!$A$5:$A$594,0)),""))</f>
        <v>PSW</v>
      </c>
      <c r="E480" s="19" t="str">
        <f>IF($B480="","",IFERROR(INDEX('Staff Directory'!$D$5:$D$594,MATCH($B480,'Staff Directory'!$A$5:$A$594,0)),""))</f>
        <v>A4</v>
      </c>
      <c r="F480" s="9" t="s">
        <v>191</v>
      </c>
      <c r="G480" s="18" t="str">
        <f>IF($F480="","",IFERROR(INDEX(Items!$B$5:$B$597,MATCH($F480,Items!$A$5:$A$597,0)),"⚠ not in Items"))</f>
        <v>Sanitizer</v>
      </c>
      <c r="H480" s="19" t="str">
        <f>IF($F480="","",IFERROR(INDEX(Items!$C$5:$C$597,MATCH($F480,Items!$A$5:$A$597,0)),""))</f>
        <v>236 ML</v>
      </c>
      <c r="I480" s="23">
        <f>IF($F480="","",IFERROR(INDEX(Items!$E$5:$E$597,MATCH($F480,Items!$A$5:$A$597,0)),""))</f>
        <v>1</v>
      </c>
      <c r="J480" s="115">
        <f>IF(tblIssues[[#This Row],[Qty Override]]&lt;&gt;"",tblIssues[[#This Row],[Qty Override]],IF(tblIssues[[#This Row],[Standard Issue]]="","",tblIssues[[#This Row],[Standard Issue]]))</f>
        <v>1</v>
      </c>
      <c r="K480" s="20">
        <f>IF($F480="","",IFERROR(INDEX(Items!$D$5:$D$597,MATCH($F480,Items!$A$5:$A$597,0)),""))</f>
        <v>1E-4</v>
      </c>
      <c r="L480" s="21">
        <f t="shared" si="83"/>
        <v>1E-4</v>
      </c>
      <c r="M480" s="9" t="str">
        <f t="shared" si="84"/>
        <v>20-21734-2</v>
      </c>
      <c r="N480" s="24">
        <f>IF($A480="","",WORKDAY($A480,Settings!$C$9,HolidayDates))</f>
        <v>46154</v>
      </c>
      <c r="O480" s="24">
        <f>IF($N480="","",WORKDAY($N480,Settings!$C$10,HolidayDates))</f>
        <v>46192</v>
      </c>
      <c r="P480" s="10" t="s">
        <v>501</v>
      </c>
      <c r="Q480" s="52" t="str">
        <f t="shared" si="86"/>
        <v>Collected</v>
      </c>
      <c r="R480" s="55" t="str">
        <f t="shared" si="87"/>
        <v>2026-05</v>
      </c>
      <c r="S480" s="55">
        <f>IF(OR($B480="",$F480="",$R480=""),"",SUMIFS(tblIssues[Qty Issued],tblIssues[Staff ID],$B480,tblIssues[Item Name],$F480,tblIssues[Month],$R480))</f>
        <v>1</v>
      </c>
      <c r="T480" s="56">
        <f>IF($I480="","",$I480*Settings!$C$11)</f>
        <v>1</v>
      </c>
      <c r="U480" s="57" t="str">
        <f t="shared" si="85"/>
        <v>OK</v>
      </c>
      <c r="V480" s="55" t="str">
        <f t="shared" si="88"/>
        <v/>
      </c>
      <c r="W480" s="55" t="str">
        <f>IF($V480="","",IF(COUNTIF($V$5:$V480,$V480)=1,1,""))</f>
        <v/>
      </c>
      <c r="X480" s="58" t="str">
        <f>IF($W480="","",MAX($X$4:X479)+1)</f>
        <v/>
      </c>
      <c r="Y480" s="62"/>
      <c r="Z480" s="62"/>
      <c r="AA480" s="64" t="str">
        <f>IF($C480="","",IFERROR(INDEX('Staff Directory'!$E$5:$E$594,MATCH($C480,'Staff Directory'!$B$5:$B$594,0)),""))</f>
        <v>firstname214.lastname214@example.com</v>
      </c>
      <c r="AB480" s="64" t="str">
        <f>IF($C480="","",IF(ISNUMBER(SEARCH($D480,Settings!$C$15)),"Pickup","Dispatch"))</f>
        <v>Pickup</v>
      </c>
      <c r="AC480" s="64" t="str">
        <f t="shared" si="89"/>
        <v>Supply order ready for pickup</v>
      </c>
      <c r="AD480" s="64" t="str">
        <f t="shared" si="80"/>
        <v>Dear PSW,
Your order is ready for pickup from Sample Branch, Wed-Fri 9am-4pm.</v>
      </c>
      <c r="AE480" s="64" t="str">
        <f t="shared" si="81"/>
        <v>mailto:firstname214.lastname214@example.com?subject=Supply%20order%20ready%20for%20pickup&amp;body=Dear%20PSW%2C%0A%0AYour%20order%20is%20ready%20for%20pickup%20from%20Sample%20Branch%2C%20Wed-Fri%209am-4pm.</v>
      </c>
      <c r="AF480" s="89" t="str">
        <f t="shared" si="90"/>
        <v>Draft email</v>
      </c>
      <c r="AG480" s="64" t="str">
        <f>IF($C480="","",IFERROR(INDEX('Staff Directory'!$K$595:$K$599,MATCH($C480,'Staff Directory'!$B$5:$B$599,0)),$D480))</f>
        <v>PSW</v>
      </c>
      <c r="AH480" t="str">
        <f>IF($C480="","",IFERROR(INDEX('Staff Directory'!$I$595:$I$599,MATCH($C480,'Staff Directory'!$B$5:$B$599,0))&amp;" "&amp;INDEX('Staff Directory'!$J$595:$J$599,MATCH($C480,'Staff Directory'!$B$5:$B$599,0)),$AG480))</f>
        <v>PSW</v>
      </c>
      <c r="AI480" s="102"/>
      <c r="AJ480" s="101">
        <f>IF($F480="","",SUMIFS($J$5:$J480,$F$5:$F480,$F480))</f>
        <v>50</v>
      </c>
      <c r="AK480" s="101">
        <f t="shared" si="82"/>
        <v>50</v>
      </c>
      <c r="AL480" s="66" t="str" cm="1">
        <f t="array" ref="AL480">IF($F480="","",IFERROR(INDEX('Lot Balance'!$B$5:$B$500,MATCH(1,INDEX(('Lot Balance'!$A$5:$A$500=$F480)*('Lot Balance'!$K$5:$K$500&lt;$AK480)*('Lot Balance'!$K$5:$K$500+'Lot Balance'!$D$5:$D$500&gt;=$AK480),0),0)),""))</f>
        <v>20-21734-2</v>
      </c>
      <c r="AM480" s="66" t="str" cm="1">
        <f t="array" ref="AM480">IF($F480="","",IFERROR(INDEX('Lot Balance'!$B$5:$B$500,MATCH(1,INDEX(('Lot Balance'!$A$5:$A$500=$F480)*('Lot Balance'!$K$5:$K$500&lt;$AJ480)*('Lot Balance'!$K$5:$K$500+'Lot Balance'!$D$5:$D$500&gt;=$AJ480),0),0)),""))</f>
        <v>20-21734-2</v>
      </c>
      <c r="AN480" s="66" t="str">
        <f>IF($F480="","",IF($AI480&lt;&gt;"",IF(COUNTIFS('Lot Balance'!$A$5:$A$500,$F480,'Lot Balance'!$B$5:$B$500,$AI480)=0,"⚠ override is not a lot of this item",IF($AI480=$AL480,"Override = FEFO","Override - FEFO says "&amp;$AL480)),IF($AL480="","⚠ no receipt on file for this item",IF($AM480&lt;&gt;$AL480,"FEFO auto - split, also "&amp;$AM480,"FEFO auto"))))</f>
        <v>FEFO auto</v>
      </c>
      <c r="AO480" s="114"/>
    </row>
    <row r="481" spans="1:41" x14ac:dyDescent="0.35">
      <c r="A481" s="74">
        <v>46146</v>
      </c>
      <c r="B481" s="18" t="str">
        <f>IF($C481="","",IFERROR(INDEX('Staff Directory'!$A$5:$A$594,MATCH($C481,'Staff Directory'!$B$5:$B$594,0)),"⚠ unknown staff"))</f>
        <v>PSW-151-A4</v>
      </c>
      <c r="C481" s="49" t="s">
        <v>1130</v>
      </c>
      <c r="D481" s="19" t="str">
        <f>IF($B481="","",IFERROR(INDEX('Staff Directory'!$C$5:$C$594,MATCH($B481,'Staff Directory'!$A$5:$A$594,0)),""))</f>
        <v>PSW</v>
      </c>
      <c r="E481" s="19" t="str">
        <f>IF($B481="","",IFERROR(INDEX('Staff Directory'!$D$5:$D$594,MATCH($B481,'Staff Directory'!$A$5:$A$594,0)),""))</f>
        <v>A4</v>
      </c>
      <c r="F481" s="9" t="s">
        <v>156</v>
      </c>
      <c r="G481" s="18" t="str">
        <f>IF($F481="","",IFERROR(INDEX(Items!$B$5:$B$597,MATCH($F481,Items!$A$5:$A$597,0)),"⚠ not in Items"))</f>
        <v>Masks</v>
      </c>
      <c r="H481" s="19" t="str">
        <f>IF($F481="","",IFERROR(INDEX(Items!$C$5:$C$597,MATCH($F481,Items!$A$5:$A$597,0)),""))</f>
        <v>One Size</v>
      </c>
      <c r="I481" s="23">
        <f>IF($F481="","",IFERROR(INDEX(Items!$E$5:$E$597,MATCH($F481,Items!$A$5:$A$597,0)),""))</f>
        <v>50</v>
      </c>
      <c r="J481" s="115">
        <f>IF(tblIssues[[#This Row],[Qty Override]]&lt;&gt;"",tblIssues[[#This Row],[Qty Override]],IF(tblIssues[[#This Row],[Standard Issue]]="","",tblIssues[[#This Row],[Standard Issue]]))</f>
        <v>50</v>
      </c>
      <c r="K481" s="20">
        <f>IF($F481="","",IFERROR(INDEX(Items!$D$5:$D$597,MATCH($F481,Items!$A$5:$A$597,0)),""))</f>
        <v>0.25</v>
      </c>
      <c r="L481" s="21">
        <f t="shared" si="83"/>
        <v>12.5</v>
      </c>
      <c r="M481" s="9" t="str">
        <f t="shared" si="84"/>
        <v>0125FPC24-0</v>
      </c>
      <c r="N481" s="24">
        <f>IF($A481="","",WORKDAY($A481,Settings!$C$9,HolidayDates))</f>
        <v>46154</v>
      </c>
      <c r="O481" s="24">
        <f>IF($N481="","",WORKDAY($N481,Settings!$C$10,HolidayDates))</f>
        <v>46192</v>
      </c>
      <c r="P481" s="10" t="s">
        <v>501</v>
      </c>
      <c r="Q481" s="52" t="str">
        <f t="shared" si="86"/>
        <v>Collected</v>
      </c>
      <c r="R481" s="55" t="str">
        <f t="shared" si="87"/>
        <v>2026-05</v>
      </c>
      <c r="S481" s="55">
        <f>IF(OR($B481="",$F481="",$R481=""),"",SUMIFS(tblIssues[Qty Issued],tblIssues[Staff ID],$B481,tblIssues[Item Name],$F481,tblIssues[Month],$R481))</f>
        <v>50</v>
      </c>
      <c r="T481" s="56">
        <f>IF($I481="","",$I481*Settings!$C$11)</f>
        <v>50</v>
      </c>
      <c r="U481" s="57" t="str">
        <f t="shared" si="85"/>
        <v>OK</v>
      </c>
      <c r="V481" s="55" t="str">
        <f t="shared" si="88"/>
        <v/>
      </c>
      <c r="W481" s="55" t="str">
        <f>IF($V481="","",IF(COUNTIF($V$5:$V481,$V481)=1,1,""))</f>
        <v/>
      </c>
      <c r="X481" s="58" t="str">
        <f>IF($W481="","",MAX($X$4:X480)+1)</f>
        <v/>
      </c>
      <c r="Y481" s="62"/>
      <c r="Z481" s="62"/>
      <c r="AA481" s="64" t="str">
        <f>IF($C481="","",IFERROR(INDEX('Staff Directory'!$E$5:$E$594,MATCH($C481,'Staff Directory'!$B$5:$B$594,0)),""))</f>
        <v>firstname214.lastname214@example.com</v>
      </c>
      <c r="AB481" s="64" t="str">
        <f>IF($C481="","",IF(ISNUMBER(SEARCH($D481,Settings!$C$15)),"Pickup","Dispatch"))</f>
        <v>Pickup</v>
      </c>
      <c r="AC481" s="64" t="str">
        <f t="shared" si="89"/>
        <v>Supply order ready for pickup</v>
      </c>
      <c r="AD481" s="64" t="str">
        <f t="shared" si="80"/>
        <v>Dear PSW,
Your order is ready for pickup from Sample Branch, Wed-Fri 9am-4pm.</v>
      </c>
      <c r="AE481" s="64" t="str">
        <f t="shared" si="81"/>
        <v>mailto:firstname214.lastname214@example.com?subject=Supply%20order%20ready%20for%20pickup&amp;body=Dear%20PSW%2C%0A%0AYour%20order%20is%20ready%20for%20pickup%20from%20Sample%20Branch%2C%20Wed-Fri%209am-4pm.</v>
      </c>
      <c r="AF481" s="89" t="str">
        <f t="shared" si="90"/>
        <v>Draft email</v>
      </c>
      <c r="AG481" s="64" t="str">
        <f>IF($C481="","",IFERROR(INDEX('Staff Directory'!$K$595:$K$599,MATCH($C481,'Staff Directory'!$B$5:$B$599,0)),$D481))</f>
        <v>PSW</v>
      </c>
      <c r="AH481" t="str">
        <f>IF($C481="","",IFERROR(INDEX('Staff Directory'!$I$595:$I$599,MATCH($C481,'Staff Directory'!$B$5:$B$599,0))&amp;" "&amp;INDEX('Staff Directory'!$J$595:$J$599,MATCH($C481,'Staff Directory'!$B$5:$B$599,0)),$AG481))</f>
        <v>PSW</v>
      </c>
      <c r="AI481" s="102"/>
      <c r="AJ481" s="101">
        <f>IF($F481="","",SUMIFS($J$5:$J481,$F$5:$F481,$F481))</f>
        <v>3850</v>
      </c>
      <c r="AK481" s="101">
        <f t="shared" si="82"/>
        <v>3801</v>
      </c>
      <c r="AL481" s="66" t="str" cm="1">
        <f t="array" ref="AL481">IF($F481="","",IFERROR(INDEX('Lot Balance'!$B$5:$B$500,MATCH(1,INDEX(('Lot Balance'!$A$5:$A$500=$F481)*('Lot Balance'!$K$5:$K$500&lt;$AK481)*('Lot Balance'!$K$5:$K$500+'Lot Balance'!$D$5:$D$500&gt;=$AK481),0),0)),""))</f>
        <v>0125FPC24-0</v>
      </c>
      <c r="AM481" s="66" t="str" cm="1">
        <f t="array" ref="AM481">IF($F481="","",IFERROR(INDEX('Lot Balance'!$B$5:$B$500,MATCH(1,INDEX(('Lot Balance'!$A$5:$A$500=$F481)*('Lot Balance'!$K$5:$K$500&lt;$AJ481)*('Lot Balance'!$K$5:$K$500+'Lot Balance'!$D$5:$D$500&gt;=$AJ481),0),0)),""))</f>
        <v>0125FPC24-0</v>
      </c>
      <c r="AN481" s="66" t="str">
        <f>IF($F481="","",IF($AI481&lt;&gt;"",IF(COUNTIFS('Lot Balance'!$A$5:$A$500,$F481,'Lot Balance'!$B$5:$B$500,$AI481)=0,"⚠ override is not a lot of this item",IF($AI481=$AL481,"Override = FEFO","Override - FEFO says "&amp;$AL481)),IF($AL481="","⚠ no receipt on file for this item",IF($AM481&lt;&gt;$AL481,"FEFO auto - split, also "&amp;$AM481,"FEFO auto"))))</f>
        <v>FEFO auto</v>
      </c>
      <c r="AO481" s="114"/>
    </row>
    <row r="482" spans="1:41" x14ac:dyDescent="0.35">
      <c r="A482" s="74">
        <v>46146</v>
      </c>
      <c r="B482" s="18" t="str">
        <f>IF($C482="","",IFERROR(INDEX('Staff Directory'!$A$5:$A$594,MATCH($C482,'Staff Directory'!$B$5:$B$594,0)),"⚠ unknown staff"))</f>
        <v>PSW-063-A6</v>
      </c>
      <c r="C482" s="49" t="s">
        <v>1039</v>
      </c>
      <c r="D482" s="19" t="str">
        <f>IF($B482="","",IFERROR(INDEX('Staff Directory'!$C$5:$C$594,MATCH($B482,'Staff Directory'!$A$5:$A$594,0)),""))</f>
        <v>PSW</v>
      </c>
      <c r="E482" s="19" t="str">
        <f>IF($B482="","",IFERROR(INDEX('Staff Directory'!$D$5:$D$594,MATCH($B482,'Staff Directory'!$A$5:$A$594,0)),""))</f>
        <v>A6</v>
      </c>
      <c r="F482" s="9" t="s">
        <v>129</v>
      </c>
      <c r="G482" s="18" t="str">
        <f>IF($F482="","",IFERROR(INDEX(Items!$B$5:$B$597,MATCH($F482,Items!$A$5:$A$597,0)),"⚠ not in Items"))</f>
        <v>Gloves</v>
      </c>
      <c r="H482" s="19" t="str">
        <f>IF($F482="","",IFERROR(INDEX(Items!$C$5:$C$597,MATCH($F482,Items!$A$5:$A$597,0)),""))</f>
        <v>Small</v>
      </c>
      <c r="I482" s="23">
        <f>IF($F482="","",IFERROR(INDEX(Items!$E$5:$E$597,MATCH($F482,Items!$A$5:$A$597,0)),""))</f>
        <v>500</v>
      </c>
      <c r="J482" s="115">
        <f>IF(tblIssues[[#This Row],[Qty Override]]&lt;&gt;"",tblIssues[[#This Row],[Qty Override]],IF(tblIssues[[#This Row],[Standard Issue]]="","",tblIssues[[#This Row],[Standard Issue]]))</f>
        <v>500</v>
      </c>
      <c r="K482" s="20">
        <f>IF($F482="","",IFERROR(INDEX(Items!$D$5:$D$597,MATCH($F482,Items!$A$5:$A$597,0)),""))</f>
        <v>5.5E-2</v>
      </c>
      <c r="L482" s="21">
        <f t="shared" si="83"/>
        <v>27.5</v>
      </c>
      <c r="M482" s="9" t="str">
        <f t="shared" si="84"/>
        <v>O210LIC25</v>
      </c>
      <c r="N482" s="24">
        <f>IF($A482="","",WORKDAY($A482,Settings!$C$9,HolidayDates))</f>
        <v>46154</v>
      </c>
      <c r="O482" s="24">
        <f>IF($N482="","",WORKDAY($N482,Settings!$C$10,HolidayDates))</f>
        <v>46192</v>
      </c>
      <c r="P482" s="10" t="s">
        <v>501</v>
      </c>
      <c r="Q482" s="52" t="str">
        <f t="shared" si="86"/>
        <v>Collected</v>
      </c>
      <c r="R482" s="55" t="str">
        <f t="shared" si="87"/>
        <v>2026-05</v>
      </c>
      <c r="S482" s="55">
        <f>IF(OR($B482="",$F482="",$R482=""),"",SUMIFS(tblIssues[Qty Issued],tblIssues[Staff ID],$B482,tblIssues[Item Name],$F482,tblIssues[Month],$R482))</f>
        <v>500</v>
      </c>
      <c r="T482" s="56">
        <f>IF($I482="","",$I482*Settings!$C$11)</f>
        <v>500</v>
      </c>
      <c r="U482" s="57" t="str">
        <f t="shared" si="85"/>
        <v>OK</v>
      </c>
      <c r="V482" s="55" t="str">
        <f t="shared" si="88"/>
        <v/>
      </c>
      <c r="W482" s="55" t="str">
        <f>IF($V482="","",IF(COUNTIF($V$5:$V482,$V482)=1,1,""))</f>
        <v/>
      </c>
      <c r="X482" s="58" t="str">
        <f>IF($W482="","",MAX($X$4:X481)+1)</f>
        <v/>
      </c>
      <c r="Y482" s="62"/>
      <c r="Z482" s="62"/>
      <c r="AA482" s="64" t="str">
        <f>IF($C482="","",IFERROR(INDEX('Staff Directory'!$E$5:$E$594,MATCH($C482,'Staff Directory'!$B$5:$B$594,0)),""))</f>
        <v>firstname123.lastname123@example.com</v>
      </c>
      <c r="AB482" s="64" t="str">
        <f>IF($C482="","",IF(ISNUMBER(SEARCH($D482,Settings!$C$15)),"Pickup","Dispatch"))</f>
        <v>Pickup</v>
      </c>
      <c r="AC482" s="64" t="str">
        <f t="shared" si="89"/>
        <v>Supply order ready for pickup</v>
      </c>
      <c r="AD482" s="64" t="str">
        <f t="shared" si="80"/>
        <v>Dear PSW,
Your order is ready for pickup from Sample Branch, Wed-Fri 9am-4pm.</v>
      </c>
      <c r="AE482" s="64" t="str">
        <f t="shared" si="81"/>
        <v>mailto:firstname123.lastname123@example.com?subject=Supply%20order%20ready%20for%20pickup&amp;body=Dear%20PSW%2C%0A%0AYour%20order%20is%20ready%20for%20pickup%20from%20Sample%20Branch%2C%20Wed-Fri%209am-4pm.</v>
      </c>
      <c r="AF482" s="89" t="str">
        <f t="shared" si="90"/>
        <v>Draft email</v>
      </c>
      <c r="AG482" s="64" t="str">
        <f>IF($C482="","",IFERROR(INDEX('Staff Directory'!$K$595:$K$599,MATCH($C482,'Staff Directory'!$B$5:$B$599,0)),$D482))</f>
        <v>PSW</v>
      </c>
      <c r="AH482" t="str">
        <f>IF($C482="","",IFERROR(INDEX('Staff Directory'!$I$595:$I$599,MATCH($C482,'Staff Directory'!$B$5:$B$599,0))&amp;" "&amp;INDEX('Staff Directory'!$J$595:$J$599,MATCH($C482,'Staff Directory'!$B$5:$B$599,0)),$AG482))</f>
        <v>PSW</v>
      </c>
      <c r="AI482" s="102"/>
      <c r="AJ482" s="101">
        <f>IF($F482="","",SUMIFS($J$5:$J482,$F$5:$F482,$F482))</f>
        <v>17000</v>
      </c>
      <c r="AK482" s="101">
        <f t="shared" si="82"/>
        <v>16501</v>
      </c>
      <c r="AL482" s="66" t="str" cm="1">
        <f t="array" ref="AL482">IF($F482="","",IFERROR(INDEX('Lot Balance'!$B$5:$B$500,MATCH(1,INDEX(('Lot Balance'!$A$5:$A$500=$F482)*('Lot Balance'!$K$5:$K$500&lt;$AK482)*('Lot Balance'!$K$5:$K$500+'Lot Balance'!$D$5:$D$500&gt;=$AK482),0),0)),""))</f>
        <v>O210LIC25</v>
      </c>
      <c r="AM482" s="66" t="str" cm="1">
        <f t="array" ref="AM482">IF($F482="","",IFERROR(INDEX('Lot Balance'!$B$5:$B$500,MATCH(1,INDEX(('Lot Balance'!$A$5:$A$500=$F482)*('Lot Balance'!$K$5:$K$500&lt;$AJ482)*('Lot Balance'!$K$5:$K$500+'Lot Balance'!$D$5:$D$500&gt;=$AJ482),0),0)),""))</f>
        <v>O210LIC25</v>
      </c>
      <c r="AN482" s="66" t="str">
        <f>IF($F482="","",IF($AI482&lt;&gt;"",IF(COUNTIFS('Lot Balance'!$A$5:$A$500,$F482,'Lot Balance'!$B$5:$B$500,$AI482)=0,"⚠ override is not a lot of this item",IF($AI482=$AL482,"Override = FEFO","Override - FEFO says "&amp;$AL482)),IF($AL482="","⚠ no receipt on file for this item",IF($AM482&lt;&gt;$AL482,"FEFO auto - split, also "&amp;$AM482,"FEFO auto"))))</f>
        <v>FEFO auto</v>
      </c>
      <c r="AO482" s="114"/>
    </row>
    <row r="483" spans="1:41" x14ac:dyDescent="0.35">
      <c r="A483" s="74">
        <v>46146</v>
      </c>
      <c r="B483" s="18" t="str">
        <f>IF($C483="","",IFERROR(INDEX('Staff Directory'!$A$5:$A$594,MATCH($C483,'Staff Directory'!$B$5:$B$594,0)),"⚠ unknown staff"))</f>
        <v>PSW-063-A6</v>
      </c>
      <c r="C483" s="49" t="s">
        <v>1039</v>
      </c>
      <c r="D483" s="19" t="str">
        <f>IF($B483="","",IFERROR(INDEX('Staff Directory'!$C$5:$C$594,MATCH($B483,'Staff Directory'!$A$5:$A$594,0)),""))</f>
        <v>PSW</v>
      </c>
      <c r="E483" s="19" t="str">
        <f>IF($B483="","",IFERROR(INDEX('Staff Directory'!$D$5:$D$594,MATCH($B483,'Staff Directory'!$A$5:$A$594,0)),""))</f>
        <v>A6</v>
      </c>
      <c r="F483" s="9" t="s">
        <v>191</v>
      </c>
      <c r="G483" s="18" t="str">
        <f>IF($F483="","",IFERROR(INDEX(Items!$B$5:$B$597,MATCH($F483,Items!$A$5:$A$597,0)),"⚠ not in Items"))</f>
        <v>Sanitizer</v>
      </c>
      <c r="H483" s="19" t="str">
        <f>IF($F483="","",IFERROR(INDEX(Items!$C$5:$C$597,MATCH($F483,Items!$A$5:$A$597,0)),""))</f>
        <v>236 ML</v>
      </c>
      <c r="I483" s="23">
        <f>IF($F483="","",IFERROR(INDEX(Items!$E$5:$E$597,MATCH($F483,Items!$A$5:$A$597,0)),""))</f>
        <v>1</v>
      </c>
      <c r="J483" s="115">
        <f>IF(tblIssues[[#This Row],[Qty Override]]&lt;&gt;"",tblIssues[[#This Row],[Qty Override]],IF(tblIssues[[#This Row],[Standard Issue]]="","",tblIssues[[#This Row],[Standard Issue]]))</f>
        <v>1</v>
      </c>
      <c r="K483" s="20">
        <f>IF($F483="","",IFERROR(INDEX(Items!$D$5:$D$597,MATCH($F483,Items!$A$5:$A$597,0)),""))</f>
        <v>1E-4</v>
      </c>
      <c r="L483" s="21">
        <f t="shared" si="83"/>
        <v>1E-4</v>
      </c>
      <c r="M483" s="9" t="str">
        <f t="shared" si="84"/>
        <v>20-21734-2</v>
      </c>
      <c r="N483" s="24">
        <f>IF($A483="","",WORKDAY($A483,Settings!$C$9,HolidayDates))</f>
        <v>46154</v>
      </c>
      <c r="O483" s="24">
        <f>IF($N483="","",WORKDAY($N483,Settings!$C$10,HolidayDates))</f>
        <v>46192</v>
      </c>
      <c r="P483" s="10" t="s">
        <v>501</v>
      </c>
      <c r="Q483" s="52" t="str">
        <f t="shared" si="86"/>
        <v>Collected</v>
      </c>
      <c r="R483" s="55" t="str">
        <f t="shared" si="87"/>
        <v>2026-05</v>
      </c>
      <c r="S483" s="55">
        <f>IF(OR($B483="",$F483="",$R483=""),"",SUMIFS(tblIssues[Qty Issued],tblIssues[Staff ID],$B483,tblIssues[Item Name],$F483,tblIssues[Month],$R483))</f>
        <v>1</v>
      </c>
      <c r="T483" s="56">
        <f>IF($I483="","",$I483*Settings!$C$11)</f>
        <v>1</v>
      </c>
      <c r="U483" s="57" t="str">
        <f t="shared" si="85"/>
        <v>OK</v>
      </c>
      <c r="V483" s="55" t="str">
        <f t="shared" si="88"/>
        <v/>
      </c>
      <c r="W483" s="55" t="str">
        <f>IF($V483="","",IF(COUNTIF($V$5:$V483,$V483)=1,1,""))</f>
        <v/>
      </c>
      <c r="X483" s="58" t="str">
        <f>IF($W483="","",MAX($X$4:X482)+1)</f>
        <v/>
      </c>
      <c r="Y483" s="62"/>
      <c r="Z483" s="62"/>
      <c r="AA483" s="64" t="str">
        <f>IF($C483="","",IFERROR(INDEX('Staff Directory'!$E$5:$E$594,MATCH($C483,'Staff Directory'!$B$5:$B$594,0)),""))</f>
        <v>firstname123.lastname123@example.com</v>
      </c>
      <c r="AB483" s="64" t="str">
        <f>IF($C483="","",IF(ISNUMBER(SEARCH($D483,Settings!$C$15)),"Pickup","Dispatch"))</f>
        <v>Pickup</v>
      </c>
      <c r="AC483" s="64" t="str">
        <f t="shared" si="89"/>
        <v>Supply order ready for pickup</v>
      </c>
      <c r="AD483" s="64" t="str">
        <f t="shared" si="80"/>
        <v>Dear PSW,
Your order is ready for pickup from Sample Branch, Wed-Fri 9am-4pm.</v>
      </c>
      <c r="AE483" s="64" t="str">
        <f t="shared" si="81"/>
        <v>mailto:firstname123.lastname123@example.com?subject=Supply%20order%20ready%20for%20pickup&amp;body=Dear%20PSW%2C%0A%0AYour%20order%20is%20ready%20for%20pickup%20from%20Sample%20Branch%2C%20Wed-Fri%209am-4pm.</v>
      </c>
      <c r="AF483" s="89" t="str">
        <f t="shared" si="90"/>
        <v>Draft email</v>
      </c>
      <c r="AG483" s="64" t="str">
        <f>IF($C483="","",IFERROR(INDEX('Staff Directory'!$K$595:$K$599,MATCH($C483,'Staff Directory'!$B$5:$B$599,0)),$D483))</f>
        <v>PSW</v>
      </c>
      <c r="AH483" t="str">
        <f>IF($C483="","",IFERROR(INDEX('Staff Directory'!$I$595:$I$599,MATCH($C483,'Staff Directory'!$B$5:$B$599,0))&amp;" "&amp;INDEX('Staff Directory'!$J$595:$J$599,MATCH($C483,'Staff Directory'!$B$5:$B$599,0)),$AG483))</f>
        <v>PSW</v>
      </c>
      <c r="AI483" s="102"/>
      <c r="AJ483" s="101">
        <f>IF($F483="","",SUMIFS($J$5:$J483,$F$5:$F483,$F483))</f>
        <v>51</v>
      </c>
      <c r="AK483" s="101">
        <f t="shared" si="82"/>
        <v>51</v>
      </c>
      <c r="AL483" s="66" t="str" cm="1">
        <f t="array" ref="AL483">IF($F483="","",IFERROR(INDEX('Lot Balance'!$B$5:$B$500,MATCH(1,INDEX(('Lot Balance'!$A$5:$A$500=$F483)*('Lot Balance'!$K$5:$K$500&lt;$AK483)*('Lot Balance'!$K$5:$K$500+'Lot Balance'!$D$5:$D$500&gt;=$AK483),0),0)),""))</f>
        <v>20-21734-2</v>
      </c>
      <c r="AM483" s="66" t="str" cm="1">
        <f t="array" ref="AM483">IF($F483="","",IFERROR(INDEX('Lot Balance'!$B$5:$B$500,MATCH(1,INDEX(('Lot Balance'!$A$5:$A$500=$F483)*('Lot Balance'!$K$5:$K$500&lt;$AJ483)*('Lot Balance'!$K$5:$K$500+'Lot Balance'!$D$5:$D$500&gt;=$AJ483),0),0)),""))</f>
        <v>20-21734-2</v>
      </c>
      <c r="AN483" s="66" t="str">
        <f>IF($F483="","",IF($AI483&lt;&gt;"",IF(COUNTIFS('Lot Balance'!$A$5:$A$500,$F483,'Lot Balance'!$B$5:$B$500,$AI483)=0,"⚠ override is not a lot of this item",IF($AI483=$AL483,"Override = FEFO","Override - FEFO says "&amp;$AL483)),IF($AL483="","⚠ no receipt on file for this item",IF($AM483&lt;&gt;$AL483,"FEFO auto - split, also "&amp;$AM483,"FEFO auto"))))</f>
        <v>FEFO auto</v>
      </c>
      <c r="AO483" s="114"/>
    </row>
    <row r="484" spans="1:41" x14ac:dyDescent="0.35">
      <c r="A484" s="74">
        <v>46146</v>
      </c>
      <c r="B484" s="18" t="str">
        <f>IF($C484="","",IFERROR(INDEX('Staff Directory'!$A$5:$A$594,MATCH($C484,'Staff Directory'!$B$5:$B$594,0)),"⚠ unknown staff"))</f>
        <v>PSW-063-A6</v>
      </c>
      <c r="C484" s="49" t="s">
        <v>1039</v>
      </c>
      <c r="D484" s="19" t="str">
        <f>IF($B484="","",IFERROR(INDEX('Staff Directory'!$C$5:$C$594,MATCH($B484,'Staff Directory'!$A$5:$A$594,0)),""))</f>
        <v>PSW</v>
      </c>
      <c r="E484" s="19" t="str">
        <f>IF($B484="","",IFERROR(INDEX('Staff Directory'!$D$5:$D$594,MATCH($B484,'Staff Directory'!$A$5:$A$594,0)),""))</f>
        <v>A6</v>
      </c>
      <c r="F484" s="9" t="s">
        <v>115</v>
      </c>
      <c r="G484" s="18" t="str">
        <f>IF($F484="","",IFERROR(INDEX(Items!$B$5:$B$597,MATCH($F484,Items!$A$5:$A$597,0)),"⚠ not in Items"))</f>
        <v>Wipes</v>
      </c>
      <c r="H484" s="19">
        <f>IF($F484="","",IFERROR(INDEX(Items!$C$5:$C$597,MATCH($F484,Items!$A$5:$A$597,0)),""))</f>
        <v>80</v>
      </c>
      <c r="I484" s="23">
        <f>IF($F484="","",IFERROR(INDEX(Items!$E$5:$E$597,MATCH($F484,Items!$A$5:$A$597,0)),""))</f>
        <v>80</v>
      </c>
      <c r="J484" s="115">
        <f>IF(tblIssues[[#This Row],[Qty Override]]&lt;&gt;"",tblIssues[[#This Row],[Qty Override]],IF(tblIssues[[#This Row],[Standard Issue]]="","",tblIssues[[#This Row],[Standard Issue]]))</f>
        <v>80</v>
      </c>
      <c r="K484" s="20">
        <f>IF($F484="","",IFERROR(INDEX(Items!$D$5:$D$597,MATCH($F484,Items!$A$5:$A$597,0)),""))</f>
        <v>0.1</v>
      </c>
      <c r="L484" s="21">
        <f t="shared" si="83"/>
        <v>8</v>
      </c>
      <c r="M484" s="9" t="str">
        <f t="shared" si="84"/>
        <v>LYSL500290</v>
      </c>
      <c r="N484" s="24">
        <f>IF($A484="","",WORKDAY($A484,Settings!$C$9,HolidayDates))</f>
        <v>46154</v>
      </c>
      <c r="O484" s="24">
        <f>IF($N484="","",WORKDAY($N484,Settings!$C$10,HolidayDates))</f>
        <v>46192</v>
      </c>
      <c r="P484" s="10" t="s">
        <v>501</v>
      </c>
      <c r="Q484" s="52" t="str">
        <f t="shared" si="86"/>
        <v>Collected</v>
      </c>
      <c r="R484" s="55" t="str">
        <f t="shared" si="87"/>
        <v>2026-05</v>
      </c>
      <c r="S484" s="55">
        <f>IF(OR($B484="",$F484="",$R484=""),"",SUMIFS(tblIssues[Qty Issued],tblIssues[Staff ID],$B484,tblIssues[Item Name],$F484,tblIssues[Month],$R484))</f>
        <v>80</v>
      </c>
      <c r="T484" s="56">
        <f>IF($I484="","",$I484*Settings!$C$11)</f>
        <v>80</v>
      </c>
      <c r="U484" s="57" t="str">
        <f t="shared" si="85"/>
        <v>OK</v>
      </c>
      <c r="V484" s="55" t="str">
        <f t="shared" si="88"/>
        <v/>
      </c>
      <c r="W484" s="55" t="str">
        <f>IF($V484="","",IF(COUNTIF($V$5:$V484,$V484)=1,1,""))</f>
        <v/>
      </c>
      <c r="X484" s="58" t="str">
        <f>IF($W484="","",MAX($X$4:X483)+1)</f>
        <v/>
      </c>
      <c r="Y484" s="62"/>
      <c r="Z484" s="62"/>
      <c r="AA484" s="64" t="str">
        <f>IF($C484="","",IFERROR(INDEX('Staff Directory'!$E$5:$E$594,MATCH($C484,'Staff Directory'!$B$5:$B$594,0)),""))</f>
        <v>firstname123.lastname123@example.com</v>
      </c>
      <c r="AB484" s="64" t="str">
        <f>IF($C484="","",IF(ISNUMBER(SEARCH($D484,Settings!$C$15)),"Pickup","Dispatch"))</f>
        <v>Pickup</v>
      </c>
      <c r="AC484" s="64" t="str">
        <f t="shared" si="89"/>
        <v>Supply order ready for pickup</v>
      </c>
      <c r="AD484" s="64" t="str">
        <f t="shared" si="80"/>
        <v>Dear PSW,
Your order is ready for pickup from Sample Branch, Wed-Fri 9am-4pm.</v>
      </c>
      <c r="AE484" s="64" t="str">
        <f t="shared" si="81"/>
        <v>mailto:firstname123.lastname123@example.com?subject=Supply%20order%20ready%20for%20pickup&amp;body=Dear%20PSW%2C%0A%0AYour%20order%20is%20ready%20for%20pickup%20from%20Sample%20Branch%2C%20Wed-Fri%209am-4pm.</v>
      </c>
      <c r="AF484" s="89" t="str">
        <f t="shared" si="90"/>
        <v>Draft email</v>
      </c>
      <c r="AG484" s="64" t="str">
        <f>IF($C484="","",IFERROR(INDEX('Staff Directory'!$K$595:$K$599,MATCH($C484,'Staff Directory'!$B$5:$B$599,0)),$D484))</f>
        <v>PSW</v>
      </c>
      <c r="AH484" t="str">
        <f>IF($C484="","",IFERROR(INDEX('Staff Directory'!$I$595:$I$599,MATCH($C484,'Staff Directory'!$B$5:$B$599,0))&amp;" "&amp;INDEX('Staff Directory'!$J$595:$J$599,MATCH($C484,'Staff Directory'!$B$5:$B$599,0)),$AG484))</f>
        <v>PSW</v>
      </c>
      <c r="AI484" s="102"/>
      <c r="AJ484" s="101">
        <f>IF($F484="","",SUMIFS($J$5:$J484,$F$5:$F484,$F484))</f>
        <v>6880</v>
      </c>
      <c r="AK484" s="101">
        <f t="shared" si="82"/>
        <v>6801</v>
      </c>
      <c r="AL484" s="66" t="str" cm="1">
        <f t="array" ref="AL484">IF($F484="","",IFERROR(INDEX('Lot Balance'!$B$5:$B$500,MATCH(1,INDEX(('Lot Balance'!$A$5:$A$500=$F484)*('Lot Balance'!$K$5:$K$500&lt;$AK484)*('Lot Balance'!$K$5:$K$500+'Lot Balance'!$D$5:$D$500&gt;=$AK484),0),0)),""))</f>
        <v>LYSL500290</v>
      </c>
      <c r="AM484" s="66" t="str" cm="1">
        <f t="array" ref="AM484">IF($F484="","",IFERROR(INDEX('Lot Balance'!$B$5:$B$500,MATCH(1,INDEX(('Lot Balance'!$A$5:$A$500=$F484)*('Lot Balance'!$K$5:$K$500&lt;$AJ484)*('Lot Balance'!$K$5:$K$500+'Lot Balance'!$D$5:$D$500&gt;=$AJ484),0),0)),""))</f>
        <v>LYSL500290</v>
      </c>
      <c r="AN484" s="66" t="str">
        <f>IF($F484="","",IF($AI484&lt;&gt;"",IF(COUNTIFS('Lot Balance'!$A$5:$A$500,$F484,'Lot Balance'!$B$5:$B$500,$AI484)=0,"⚠ override is not a lot of this item",IF($AI484=$AL484,"Override = FEFO","Override - FEFO says "&amp;$AL484)),IF($AL484="","⚠ no receipt on file for this item",IF($AM484&lt;&gt;$AL484,"FEFO auto - split, also "&amp;$AM484,"FEFO auto"))))</f>
        <v>FEFO auto</v>
      </c>
      <c r="AO484" s="114"/>
    </row>
    <row r="485" spans="1:41" x14ac:dyDescent="0.35">
      <c r="A485" s="74">
        <v>46146</v>
      </c>
      <c r="B485" s="18" t="str">
        <f>IF($C485="","",IFERROR(INDEX('Staff Directory'!$A$5:$A$594,MATCH($C485,'Staff Directory'!$B$5:$B$594,0)),"⚠ unknown staff"))</f>
        <v>PSW-063-A6</v>
      </c>
      <c r="C485" s="49" t="s">
        <v>1039</v>
      </c>
      <c r="D485" s="19" t="str">
        <f>IF($B485="","",IFERROR(INDEX('Staff Directory'!$C$5:$C$594,MATCH($B485,'Staff Directory'!$A$5:$A$594,0)),""))</f>
        <v>PSW</v>
      </c>
      <c r="E485" s="19" t="str">
        <f>IF($B485="","",IFERROR(INDEX('Staff Directory'!$D$5:$D$594,MATCH($B485,'Staff Directory'!$A$5:$A$594,0)),""))</f>
        <v>A6</v>
      </c>
      <c r="F485" s="9" t="s">
        <v>156</v>
      </c>
      <c r="G485" s="18" t="str">
        <f>IF($F485="","",IFERROR(INDEX(Items!$B$5:$B$597,MATCH($F485,Items!$A$5:$A$597,0)),"⚠ not in Items"))</f>
        <v>Masks</v>
      </c>
      <c r="H485" s="19" t="str">
        <f>IF($F485="","",IFERROR(INDEX(Items!$C$5:$C$597,MATCH($F485,Items!$A$5:$A$597,0)),""))</f>
        <v>One Size</v>
      </c>
      <c r="I485" s="23">
        <f>IF($F485="","",IFERROR(INDEX(Items!$E$5:$E$597,MATCH($F485,Items!$A$5:$A$597,0)),""))</f>
        <v>50</v>
      </c>
      <c r="J485" s="115">
        <f>IF(tblIssues[[#This Row],[Qty Override]]&lt;&gt;"",tblIssues[[#This Row],[Qty Override]],IF(tblIssues[[#This Row],[Standard Issue]]="","",tblIssues[[#This Row],[Standard Issue]]))</f>
        <v>50</v>
      </c>
      <c r="K485" s="20">
        <f>IF($F485="","",IFERROR(INDEX(Items!$D$5:$D$597,MATCH($F485,Items!$A$5:$A$597,0)),""))</f>
        <v>0.25</v>
      </c>
      <c r="L485" s="21">
        <f t="shared" si="83"/>
        <v>12.5</v>
      </c>
      <c r="M485" s="9" t="str">
        <f t="shared" si="84"/>
        <v>0125FPC24-0</v>
      </c>
      <c r="N485" s="24">
        <f>IF($A485="","",WORKDAY($A485,Settings!$C$9,HolidayDates))</f>
        <v>46154</v>
      </c>
      <c r="O485" s="24">
        <f>IF($N485="","",WORKDAY($N485,Settings!$C$10,HolidayDates))</f>
        <v>46192</v>
      </c>
      <c r="P485" s="10" t="s">
        <v>501</v>
      </c>
      <c r="Q485" s="52" t="str">
        <f t="shared" si="86"/>
        <v>Collected</v>
      </c>
      <c r="R485" s="55" t="str">
        <f t="shared" si="87"/>
        <v>2026-05</v>
      </c>
      <c r="S485" s="55">
        <f>IF(OR($B485="",$F485="",$R485=""),"",SUMIFS(tblIssues[Qty Issued],tblIssues[Staff ID],$B485,tblIssues[Item Name],$F485,tblIssues[Month],$R485))</f>
        <v>50</v>
      </c>
      <c r="T485" s="56">
        <f>IF($I485="","",$I485*Settings!$C$11)</f>
        <v>50</v>
      </c>
      <c r="U485" s="57" t="str">
        <f t="shared" si="85"/>
        <v>OK</v>
      </c>
      <c r="V485" s="55" t="str">
        <f t="shared" si="88"/>
        <v/>
      </c>
      <c r="W485" s="55" t="str">
        <f>IF($V485="","",IF(COUNTIF($V$5:$V485,$V485)=1,1,""))</f>
        <v/>
      </c>
      <c r="X485" s="58" t="str">
        <f>IF($W485="","",MAX($X$4:X484)+1)</f>
        <v/>
      </c>
      <c r="Y485" s="62"/>
      <c r="Z485" s="62"/>
      <c r="AA485" s="64" t="str">
        <f>IF($C485="","",IFERROR(INDEX('Staff Directory'!$E$5:$E$594,MATCH($C485,'Staff Directory'!$B$5:$B$594,0)),""))</f>
        <v>firstname123.lastname123@example.com</v>
      </c>
      <c r="AB485" s="64" t="str">
        <f>IF($C485="","",IF(ISNUMBER(SEARCH($D485,Settings!$C$15)),"Pickup","Dispatch"))</f>
        <v>Pickup</v>
      </c>
      <c r="AC485" s="64" t="str">
        <f t="shared" si="89"/>
        <v>Supply order ready for pickup</v>
      </c>
      <c r="AD485" s="64" t="str">
        <f t="shared" si="80"/>
        <v>Dear PSW,
Your order is ready for pickup from Sample Branch, Wed-Fri 9am-4pm.</v>
      </c>
      <c r="AE485" s="64" t="str">
        <f t="shared" si="81"/>
        <v>mailto:firstname123.lastname123@example.com?subject=Supply%20order%20ready%20for%20pickup&amp;body=Dear%20PSW%2C%0A%0AYour%20order%20is%20ready%20for%20pickup%20from%20Sample%20Branch%2C%20Wed-Fri%209am-4pm.</v>
      </c>
      <c r="AF485" s="89" t="str">
        <f t="shared" si="90"/>
        <v>Draft email</v>
      </c>
      <c r="AG485" s="64" t="str">
        <f>IF($C485="","",IFERROR(INDEX('Staff Directory'!$K$595:$K$599,MATCH($C485,'Staff Directory'!$B$5:$B$599,0)),$D485))</f>
        <v>PSW</v>
      </c>
      <c r="AH485" t="str">
        <f>IF($C485="","",IFERROR(INDEX('Staff Directory'!$I$595:$I$599,MATCH($C485,'Staff Directory'!$B$5:$B$599,0))&amp;" "&amp;INDEX('Staff Directory'!$J$595:$J$599,MATCH($C485,'Staff Directory'!$B$5:$B$599,0)),$AG485))</f>
        <v>PSW</v>
      </c>
      <c r="AI485" s="102"/>
      <c r="AJ485" s="101">
        <f>IF($F485="","",SUMIFS($J$5:$J485,$F$5:$F485,$F485))</f>
        <v>3900</v>
      </c>
      <c r="AK485" s="101">
        <f t="shared" si="82"/>
        <v>3851</v>
      </c>
      <c r="AL485" s="66" t="str" cm="1">
        <f t="array" ref="AL485">IF($F485="","",IFERROR(INDEX('Lot Balance'!$B$5:$B$500,MATCH(1,INDEX(('Lot Balance'!$A$5:$A$500=$F485)*('Lot Balance'!$K$5:$K$500&lt;$AK485)*('Lot Balance'!$K$5:$K$500+'Lot Balance'!$D$5:$D$500&gt;=$AK485),0),0)),""))</f>
        <v>0125FPC24-0</v>
      </c>
      <c r="AM485" s="66" t="str" cm="1">
        <f t="array" ref="AM485">IF($F485="","",IFERROR(INDEX('Lot Balance'!$B$5:$B$500,MATCH(1,INDEX(('Lot Balance'!$A$5:$A$500=$F485)*('Lot Balance'!$K$5:$K$500&lt;$AJ485)*('Lot Balance'!$K$5:$K$500+'Lot Balance'!$D$5:$D$500&gt;=$AJ485),0),0)),""))</f>
        <v>0125FPC24-0</v>
      </c>
      <c r="AN485" s="66" t="str">
        <f>IF($F485="","",IF($AI485&lt;&gt;"",IF(COUNTIFS('Lot Balance'!$A$5:$A$500,$F485,'Lot Balance'!$B$5:$B$500,$AI485)=0,"⚠ override is not a lot of this item",IF($AI485=$AL485,"Override = FEFO","Override - FEFO says "&amp;$AL485)),IF($AL485="","⚠ no receipt on file for this item",IF($AM485&lt;&gt;$AL485,"FEFO auto - split, also "&amp;$AM485,"FEFO auto"))))</f>
        <v>FEFO auto</v>
      </c>
      <c r="AO485" s="114"/>
    </row>
    <row r="486" spans="1:41" x14ac:dyDescent="0.35">
      <c r="A486" s="74">
        <v>46146</v>
      </c>
      <c r="B486" s="18" t="str">
        <f>IF($C486="","",IFERROR(INDEX('Staff Directory'!$A$5:$A$594,MATCH($C486,'Staff Directory'!$B$5:$B$594,0)),"⚠ unknown staff"))</f>
        <v>PSW-118-A5</v>
      </c>
      <c r="C486" s="49" t="s">
        <v>1097</v>
      </c>
      <c r="D486" s="19" t="str">
        <f>IF($B486="","",IFERROR(INDEX('Staff Directory'!$C$5:$C$594,MATCH($B486,'Staff Directory'!$A$5:$A$594,0)),""))</f>
        <v>PSW</v>
      </c>
      <c r="E486" s="19" t="str">
        <f>IF($B486="","",IFERROR(INDEX('Staff Directory'!$D$5:$D$594,MATCH($B486,'Staff Directory'!$A$5:$A$594,0)),""))</f>
        <v>A5</v>
      </c>
      <c r="F486" s="9" t="s">
        <v>127</v>
      </c>
      <c r="G486" s="18" t="str">
        <f>IF($F486="","",IFERROR(INDEX(Items!$B$5:$B$597,MATCH($F486,Items!$A$5:$A$597,0)),"⚠ not in Items"))</f>
        <v>Gloves</v>
      </c>
      <c r="H486" s="19" t="str">
        <f>IF($F486="","",IFERROR(INDEX(Items!$C$5:$C$597,MATCH($F486,Items!$A$5:$A$597,0)),""))</f>
        <v>Medium</v>
      </c>
      <c r="I486" s="23">
        <f>IF($F486="","",IFERROR(INDEX(Items!$E$5:$E$597,MATCH($F486,Items!$A$5:$A$597,0)),""))</f>
        <v>500</v>
      </c>
      <c r="J486" s="115">
        <f>IF(tblIssues[[#This Row],[Qty Override]]&lt;&gt;"",tblIssues[[#This Row],[Qty Override]],IF(tblIssues[[#This Row],[Standard Issue]]="","",tblIssues[[#This Row],[Standard Issue]]))</f>
        <v>500</v>
      </c>
      <c r="K486" s="20">
        <f>IF($F486="","",IFERROR(INDEX(Items!$D$5:$D$597,MATCH($F486,Items!$A$5:$A$597,0)),""))</f>
        <v>5.5E-2</v>
      </c>
      <c r="L486" s="21">
        <f t="shared" si="83"/>
        <v>27.5</v>
      </c>
      <c r="M486" s="9" t="str">
        <f t="shared" si="84"/>
        <v>ZIM504126040-2</v>
      </c>
      <c r="N486" s="24">
        <f>IF($A486="","",WORKDAY($A486,Settings!$C$9,HolidayDates))</f>
        <v>46154</v>
      </c>
      <c r="O486" s="24">
        <f>IF($N486="","",WORKDAY($N486,Settings!$C$10,HolidayDates))</f>
        <v>46192</v>
      </c>
      <c r="P486" s="10" t="s">
        <v>501</v>
      </c>
      <c r="Q486" s="52" t="str">
        <f t="shared" si="86"/>
        <v>Collected</v>
      </c>
      <c r="R486" s="55" t="str">
        <f t="shared" si="87"/>
        <v>2026-05</v>
      </c>
      <c r="S486" s="55">
        <f>IF(OR($B486="",$F486="",$R486=""),"",SUMIFS(tblIssues[Qty Issued],tblIssues[Staff ID],$B486,tblIssues[Item Name],$F486,tblIssues[Month],$R486))</f>
        <v>500</v>
      </c>
      <c r="T486" s="56">
        <f>IF($I486="","",$I486*Settings!$C$11)</f>
        <v>500</v>
      </c>
      <c r="U486" s="57" t="str">
        <f t="shared" si="85"/>
        <v>OK</v>
      </c>
      <c r="V486" s="55" t="str">
        <f t="shared" si="88"/>
        <v/>
      </c>
      <c r="W486" s="55" t="str">
        <f>IF($V486="","",IF(COUNTIF($V$5:$V486,$V486)=1,1,""))</f>
        <v/>
      </c>
      <c r="X486" s="58" t="str">
        <f>IF($W486="","",MAX($X$4:X485)+1)</f>
        <v/>
      </c>
      <c r="Y486" s="62"/>
      <c r="Z486" s="62"/>
      <c r="AA486" s="64" t="str">
        <f>IF($C486="","",IFERROR(INDEX('Staff Directory'!$E$5:$E$594,MATCH($C486,'Staff Directory'!$B$5:$B$594,0)),""))</f>
        <v>firstname181.lastname181@example.com</v>
      </c>
      <c r="AB486" s="64" t="str">
        <f>IF($C486="","",IF(ISNUMBER(SEARCH($D486,Settings!$C$15)),"Pickup","Dispatch"))</f>
        <v>Pickup</v>
      </c>
      <c r="AC486" s="64" t="str">
        <f t="shared" si="89"/>
        <v>Supply order ready for pickup</v>
      </c>
      <c r="AD486" s="64" t="str">
        <f t="shared" si="80"/>
        <v>Dear PSW,
Your order is ready for pickup from Sample Branch, Wed-Fri 9am-4pm.</v>
      </c>
      <c r="AE486" s="64" t="str">
        <f t="shared" si="81"/>
        <v>mailto:firstname181.lastname181@example.com?subject=Supply%20order%20ready%20for%20pickup&amp;body=Dear%20PSW%2C%0A%0AYour%20order%20is%20ready%20for%20pickup%20from%20Sample%20Branch%2C%20Wed-Fri%209am-4pm.</v>
      </c>
      <c r="AF486" s="89" t="str">
        <f t="shared" si="90"/>
        <v>Draft email</v>
      </c>
      <c r="AG486" s="64" t="str">
        <f>IF($C486="","",IFERROR(INDEX('Staff Directory'!$K$595:$K$599,MATCH($C486,'Staff Directory'!$B$5:$B$599,0)),$D486))</f>
        <v>PSW</v>
      </c>
      <c r="AH486" t="str">
        <f>IF($C486="","",IFERROR(INDEX('Staff Directory'!$I$595:$I$599,MATCH($C486,'Staff Directory'!$B$5:$B$599,0))&amp;" "&amp;INDEX('Staff Directory'!$J$595:$J$599,MATCH($C486,'Staff Directory'!$B$5:$B$599,0)),$AG486))</f>
        <v>PSW</v>
      </c>
      <c r="AI486" s="102"/>
      <c r="AJ486" s="101">
        <f>IF($F486="","",SUMIFS($J$5:$J486,$F$5:$F486,$F486))</f>
        <v>28000</v>
      </c>
      <c r="AK486" s="101">
        <f t="shared" si="82"/>
        <v>27501</v>
      </c>
      <c r="AL486" s="66" t="str" cm="1">
        <f t="array" ref="AL486">IF($F486="","",IFERROR(INDEX('Lot Balance'!$B$5:$B$500,MATCH(1,INDEX(('Lot Balance'!$A$5:$A$500=$F486)*('Lot Balance'!$K$5:$K$500&lt;$AK486)*('Lot Balance'!$K$5:$K$500+'Lot Balance'!$D$5:$D$500&gt;=$AK486),0),0)),""))</f>
        <v>ZIM504126040-2</v>
      </c>
      <c r="AM486" s="66" t="str" cm="1">
        <f t="array" ref="AM486">IF($F486="","",IFERROR(INDEX('Lot Balance'!$B$5:$B$500,MATCH(1,INDEX(('Lot Balance'!$A$5:$A$500=$F486)*('Lot Balance'!$K$5:$K$500&lt;$AJ486)*('Lot Balance'!$K$5:$K$500+'Lot Balance'!$D$5:$D$500&gt;=$AJ486),0),0)),""))</f>
        <v>ZIM504126040-2</v>
      </c>
      <c r="AN486" s="66" t="str">
        <f>IF($F486="","",IF($AI486&lt;&gt;"",IF(COUNTIFS('Lot Balance'!$A$5:$A$500,$F486,'Lot Balance'!$B$5:$B$500,$AI486)=0,"⚠ override is not a lot of this item",IF($AI486=$AL486,"Override = FEFO","Override - FEFO says "&amp;$AL486)),IF($AL486="","⚠ no receipt on file for this item",IF($AM486&lt;&gt;$AL486,"FEFO auto - split, also "&amp;$AM486,"FEFO auto"))))</f>
        <v>FEFO auto</v>
      </c>
      <c r="AO486" s="114"/>
    </row>
    <row r="487" spans="1:41" x14ac:dyDescent="0.35">
      <c r="A487" s="74">
        <v>46146</v>
      </c>
      <c r="B487" s="18" t="str">
        <f>IF($C487="","",IFERROR(INDEX('Staff Directory'!$A$5:$A$594,MATCH($C487,'Staff Directory'!$B$5:$B$594,0)),"⚠ unknown staff"))</f>
        <v>PSW-118-A5</v>
      </c>
      <c r="C487" s="49" t="s">
        <v>1097</v>
      </c>
      <c r="D487" s="19" t="str">
        <f>IF($B487="","",IFERROR(INDEX('Staff Directory'!$C$5:$C$594,MATCH($B487,'Staff Directory'!$A$5:$A$594,0)),""))</f>
        <v>PSW</v>
      </c>
      <c r="E487" s="19" t="str">
        <f>IF($B487="","",IFERROR(INDEX('Staff Directory'!$D$5:$D$594,MATCH($B487,'Staff Directory'!$A$5:$A$594,0)),""))</f>
        <v>A5</v>
      </c>
      <c r="F487" s="9" t="s">
        <v>191</v>
      </c>
      <c r="G487" s="18" t="str">
        <f>IF($F487="","",IFERROR(INDEX(Items!$B$5:$B$597,MATCH($F487,Items!$A$5:$A$597,0)),"⚠ not in Items"))</f>
        <v>Sanitizer</v>
      </c>
      <c r="H487" s="19" t="str">
        <f>IF($F487="","",IFERROR(INDEX(Items!$C$5:$C$597,MATCH($F487,Items!$A$5:$A$597,0)),""))</f>
        <v>236 ML</v>
      </c>
      <c r="I487" s="23">
        <f>IF($F487="","",IFERROR(INDEX(Items!$E$5:$E$597,MATCH($F487,Items!$A$5:$A$597,0)),""))</f>
        <v>1</v>
      </c>
      <c r="J487" s="115">
        <f>IF(tblIssues[[#This Row],[Qty Override]]&lt;&gt;"",tblIssues[[#This Row],[Qty Override]],IF(tblIssues[[#This Row],[Standard Issue]]="","",tblIssues[[#This Row],[Standard Issue]]))</f>
        <v>1</v>
      </c>
      <c r="K487" s="20">
        <f>IF($F487="","",IFERROR(INDEX(Items!$D$5:$D$597,MATCH($F487,Items!$A$5:$A$597,0)),""))</f>
        <v>1E-4</v>
      </c>
      <c r="L487" s="21">
        <f t="shared" si="83"/>
        <v>1E-4</v>
      </c>
      <c r="M487" s="9" t="str">
        <f t="shared" si="84"/>
        <v>20-21734-2</v>
      </c>
      <c r="N487" s="24">
        <f>IF($A487="","",WORKDAY($A487,Settings!$C$9,HolidayDates))</f>
        <v>46154</v>
      </c>
      <c r="O487" s="24">
        <f>IF($N487="","",WORKDAY($N487,Settings!$C$10,HolidayDates))</f>
        <v>46192</v>
      </c>
      <c r="P487" s="10" t="s">
        <v>501</v>
      </c>
      <c r="Q487" s="52" t="str">
        <f t="shared" si="86"/>
        <v>Collected</v>
      </c>
      <c r="R487" s="55" t="str">
        <f t="shared" si="87"/>
        <v>2026-05</v>
      </c>
      <c r="S487" s="55">
        <f>IF(OR($B487="",$F487="",$R487=""),"",SUMIFS(tblIssues[Qty Issued],tblIssues[Staff ID],$B487,tblIssues[Item Name],$F487,tblIssues[Month],$R487))</f>
        <v>1</v>
      </c>
      <c r="T487" s="56">
        <f>IF($I487="","",$I487*Settings!$C$11)</f>
        <v>1</v>
      </c>
      <c r="U487" s="57" t="str">
        <f t="shared" si="85"/>
        <v>OK</v>
      </c>
      <c r="V487" s="55" t="str">
        <f t="shared" si="88"/>
        <v/>
      </c>
      <c r="W487" s="55" t="str">
        <f>IF($V487="","",IF(COUNTIF($V$5:$V487,$V487)=1,1,""))</f>
        <v/>
      </c>
      <c r="X487" s="58" t="str">
        <f>IF($W487="","",MAX($X$4:X486)+1)</f>
        <v/>
      </c>
      <c r="Y487" s="62"/>
      <c r="Z487" s="62"/>
      <c r="AA487" s="64" t="str">
        <f>IF($C487="","",IFERROR(INDEX('Staff Directory'!$E$5:$E$594,MATCH($C487,'Staff Directory'!$B$5:$B$594,0)),""))</f>
        <v>firstname181.lastname181@example.com</v>
      </c>
      <c r="AB487" s="64" t="str">
        <f>IF($C487="","",IF(ISNUMBER(SEARCH($D487,Settings!$C$15)),"Pickup","Dispatch"))</f>
        <v>Pickup</v>
      </c>
      <c r="AC487" s="64" t="str">
        <f t="shared" si="89"/>
        <v>Supply order ready for pickup</v>
      </c>
      <c r="AD487" s="64" t="str">
        <f t="shared" si="80"/>
        <v>Dear PSW,
Your order is ready for pickup from Sample Branch, Wed-Fri 9am-4pm.</v>
      </c>
      <c r="AE487" s="64" t="str">
        <f t="shared" si="81"/>
        <v>mailto:firstname181.lastname181@example.com?subject=Supply%20order%20ready%20for%20pickup&amp;body=Dear%20PSW%2C%0A%0AYour%20order%20is%20ready%20for%20pickup%20from%20Sample%20Branch%2C%20Wed-Fri%209am-4pm.</v>
      </c>
      <c r="AF487" s="89" t="str">
        <f t="shared" si="90"/>
        <v>Draft email</v>
      </c>
      <c r="AG487" s="64" t="str">
        <f>IF($C487="","",IFERROR(INDEX('Staff Directory'!$K$595:$K$599,MATCH($C487,'Staff Directory'!$B$5:$B$599,0)),$D487))</f>
        <v>PSW</v>
      </c>
      <c r="AH487" t="str">
        <f>IF($C487="","",IFERROR(INDEX('Staff Directory'!$I$595:$I$599,MATCH($C487,'Staff Directory'!$B$5:$B$599,0))&amp;" "&amp;INDEX('Staff Directory'!$J$595:$J$599,MATCH($C487,'Staff Directory'!$B$5:$B$599,0)),$AG487))</f>
        <v>PSW</v>
      </c>
      <c r="AI487" s="102"/>
      <c r="AJ487" s="101">
        <f>IF($F487="","",SUMIFS($J$5:$J487,$F$5:$F487,$F487))</f>
        <v>52</v>
      </c>
      <c r="AK487" s="101">
        <f t="shared" si="82"/>
        <v>52</v>
      </c>
      <c r="AL487" s="66" t="str" cm="1">
        <f t="array" ref="AL487">IF($F487="","",IFERROR(INDEX('Lot Balance'!$B$5:$B$500,MATCH(1,INDEX(('Lot Balance'!$A$5:$A$500=$F487)*('Lot Balance'!$K$5:$K$500&lt;$AK487)*('Lot Balance'!$K$5:$K$500+'Lot Balance'!$D$5:$D$500&gt;=$AK487),0),0)),""))</f>
        <v>20-21734-2</v>
      </c>
      <c r="AM487" s="66" t="str" cm="1">
        <f t="array" ref="AM487">IF($F487="","",IFERROR(INDEX('Lot Balance'!$B$5:$B$500,MATCH(1,INDEX(('Lot Balance'!$A$5:$A$500=$F487)*('Lot Balance'!$K$5:$K$500&lt;$AJ487)*('Lot Balance'!$K$5:$K$500+'Lot Balance'!$D$5:$D$500&gt;=$AJ487),0),0)),""))</f>
        <v>20-21734-2</v>
      </c>
      <c r="AN487" s="66" t="str">
        <f>IF($F487="","",IF($AI487&lt;&gt;"",IF(COUNTIFS('Lot Balance'!$A$5:$A$500,$F487,'Lot Balance'!$B$5:$B$500,$AI487)=0,"⚠ override is not a lot of this item",IF($AI487=$AL487,"Override = FEFO","Override - FEFO says "&amp;$AL487)),IF($AL487="","⚠ no receipt on file for this item",IF($AM487&lt;&gt;$AL487,"FEFO auto - split, also "&amp;$AM487,"FEFO auto"))))</f>
        <v>FEFO auto</v>
      </c>
      <c r="AO487" s="114"/>
    </row>
    <row r="488" spans="1:41" x14ac:dyDescent="0.35">
      <c r="A488" s="74">
        <v>46146</v>
      </c>
      <c r="B488" s="18" t="str">
        <f>IF($C488="","",IFERROR(INDEX('Staff Directory'!$A$5:$A$594,MATCH($C488,'Staff Directory'!$B$5:$B$594,0)),"⚠ unknown staff"))</f>
        <v>PSW-118-A5</v>
      </c>
      <c r="C488" s="49" t="s">
        <v>1097</v>
      </c>
      <c r="D488" s="19" t="str">
        <f>IF($B488="","",IFERROR(INDEX('Staff Directory'!$C$5:$C$594,MATCH($B488,'Staff Directory'!$A$5:$A$594,0)),""))</f>
        <v>PSW</v>
      </c>
      <c r="E488" s="19" t="str">
        <f>IF($B488="","",IFERROR(INDEX('Staff Directory'!$D$5:$D$594,MATCH($B488,'Staff Directory'!$A$5:$A$594,0)),""))</f>
        <v>A5</v>
      </c>
      <c r="F488" s="9" t="s">
        <v>156</v>
      </c>
      <c r="G488" s="18" t="str">
        <f>IF($F488="","",IFERROR(INDEX(Items!$B$5:$B$597,MATCH($F488,Items!$A$5:$A$597,0)),"⚠ not in Items"))</f>
        <v>Masks</v>
      </c>
      <c r="H488" s="19" t="str">
        <f>IF($F488="","",IFERROR(INDEX(Items!$C$5:$C$597,MATCH($F488,Items!$A$5:$A$597,0)),""))</f>
        <v>One Size</v>
      </c>
      <c r="I488" s="23">
        <f>IF($F488="","",IFERROR(INDEX(Items!$E$5:$E$597,MATCH($F488,Items!$A$5:$A$597,0)),""))</f>
        <v>50</v>
      </c>
      <c r="J488" s="115">
        <f>IF(tblIssues[[#This Row],[Qty Override]]&lt;&gt;"",tblIssues[[#This Row],[Qty Override]],IF(tblIssues[[#This Row],[Standard Issue]]="","",tblIssues[[#This Row],[Standard Issue]]))</f>
        <v>50</v>
      </c>
      <c r="K488" s="20">
        <f>IF($F488="","",IFERROR(INDEX(Items!$D$5:$D$597,MATCH($F488,Items!$A$5:$A$597,0)),""))</f>
        <v>0.25</v>
      </c>
      <c r="L488" s="21">
        <f t="shared" si="83"/>
        <v>12.5</v>
      </c>
      <c r="M488" s="9" t="str">
        <f t="shared" si="84"/>
        <v>0125FPC24-0</v>
      </c>
      <c r="N488" s="24">
        <f>IF($A488="","",WORKDAY($A488,Settings!$C$9,HolidayDates))</f>
        <v>46154</v>
      </c>
      <c r="O488" s="24">
        <f>IF($N488="","",WORKDAY($N488,Settings!$C$10,HolidayDates))</f>
        <v>46192</v>
      </c>
      <c r="P488" s="10" t="s">
        <v>501</v>
      </c>
      <c r="Q488" s="52" t="str">
        <f t="shared" si="86"/>
        <v>Collected</v>
      </c>
      <c r="R488" s="55" t="str">
        <f t="shared" si="87"/>
        <v>2026-05</v>
      </c>
      <c r="S488" s="55">
        <f>IF(OR($B488="",$F488="",$R488=""),"",SUMIFS(tblIssues[Qty Issued],tblIssues[Staff ID],$B488,tblIssues[Item Name],$F488,tblIssues[Month],$R488))</f>
        <v>50</v>
      </c>
      <c r="T488" s="56">
        <f>IF($I488="","",$I488*Settings!$C$11)</f>
        <v>50</v>
      </c>
      <c r="U488" s="57" t="str">
        <f t="shared" si="85"/>
        <v>OK</v>
      </c>
      <c r="V488" s="55" t="str">
        <f t="shared" si="88"/>
        <v/>
      </c>
      <c r="W488" s="55" t="str">
        <f>IF($V488="","",IF(COUNTIF($V$5:$V488,$V488)=1,1,""))</f>
        <v/>
      </c>
      <c r="X488" s="58" t="str">
        <f>IF($W488="","",MAX($X$4:X487)+1)</f>
        <v/>
      </c>
      <c r="Y488" s="62"/>
      <c r="Z488" s="62"/>
      <c r="AA488" s="64" t="str">
        <f>IF($C488="","",IFERROR(INDEX('Staff Directory'!$E$5:$E$594,MATCH($C488,'Staff Directory'!$B$5:$B$594,0)),""))</f>
        <v>firstname181.lastname181@example.com</v>
      </c>
      <c r="AB488" s="64" t="str">
        <f>IF($C488="","",IF(ISNUMBER(SEARCH($D488,Settings!$C$15)),"Pickup","Dispatch"))</f>
        <v>Pickup</v>
      </c>
      <c r="AC488" s="64" t="str">
        <f t="shared" si="89"/>
        <v>Supply order ready for pickup</v>
      </c>
      <c r="AD488" s="64" t="str">
        <f t="shared" si="80"/>
        <v>Dear PSW,
Your order is ready for pickup from Sample Branch, Wed-Fri 9am-4pm.</v>
      </c>
      <c r="AE488" s="64" t="str">
        <f t="shared" si="81"/>
        <v>mailto:firstname181.lastname181@example.com?subject=Supply%20order%20ready%20for%20pickup&amp;body=Dear%20PSW%2C%0A%0AYour%20order%20is%20ready%20for%20pickup%20from%20Sample%20Branch%2C%20Wed-Fri%209am-4pm.</v>
      </c>
      <c r="AF488" s="89" t="str">
        <f t="shared" si="90"/>
        <v>Draft email</v>
      </c>
      <c r="AG488" s="64" t="str">
        <f>IF($C488="","",IFERROR(INDEX('Staff Directory'!$K$595:$K$599,MATCH($C488,'Staff Directory'!$B$5:$B$599,0)),$D488))</f>
        <v>PSW</v>
      </c>
      <c r="AH488" t="str">
        <f>IF($C488="","",IFERROR(INDEX('Staff Directory'!$I$595:$I$599,MATCH($C488,'Staff Directory'!$B$5:$B$599,0))&amp;" "&amp;INDEX('Staff Directory'!$J$595:$J$599,MATCH($C488,'Staff Directory'!$B$5:$B$599,0)),$AG488))</f>
        <v>PSW</v>
      </c>
      <c r="AI488" s="102"/>
      <c r="AJ488" s="101">
        <f>IF($F488="","",SUMIFS($J$5:$J488,$F$5:$F488,$F488))</f>
        <v>3950</v>
      </c>
      <c r="AK488" s="101">
        <f t="shared" si="82"/>
        <v>3901</v>
      </c>
      <c r="AL488" s="66" t="str" cm="1">
        <f t="array" ref="AL488">IF($F488="","",IFERROR(INDEX('Lot Balance'!$B$5:$B$500,MATCH(1,INDEX(('Lot Balance'!$A$5:$A$500=$F488)*('Lot Balance'!$K$5:$K$500&lt;$AK488)*('Lot Balance'!$K$5:$K$500+'Lot Balance'!$D$5:$D$500&gt;=$AK488),0),0)),""))</f>
        <v>0125FPC24-0</v>
      </c>
      <c r="AM488" s="66" t="str" cm="1">
        <f t="array" ref="AM488">IF($F488="","",IFERROR(INDEX('Lot Balance'!$B$5:$B$500,MATCH(1,INDEX(('Lot Balance'!$A$5:$A$500=$F488)*('Lot Balance'!$K$5:$K$500&lt;$AJ488)*('Lot Balance'!$K$5:$K$500+'Lot Balance'!$D$5:$D$500&gt;=$AJ488),0),0)),""))</f>
        <v>0125FPC24-0</v>
      </c>
      <c r="AN488" s="66" t="str">
        <f>IF($F488="","",IF($AI488&lt;&gt;"",IF(COUNTIFS('Lot Balance'!$A$5:$A$500,$F488,'Lot Balance'!$B$5:$B$500,$AI488)=0,"⚠ override is not a lot of this item",IF($AI488=$AL488,"Override = FEFO","Override - FEFO says "&amp;$AL488)),IF($AL488="","⚠ no receipt on file for this item",IF($AM488&lt;&gt;$AL488,"FEFO auto - split, also "&amp;$AM488,"FEFO auto"))))</f>
        <v>FEFO auto</v>
      </c>
      <c r="AO488" s="114"/>
    </row>
    <row r="489" spans="1:41" x14ac:dyDescent="0.35">
      <c r="A489" s="74">
        <v>46146</v>
      </c>
      <c r="B489" s="18" t="str">
        <f>IF($C489="","",IFERROR(INDEX('Staff Directory'!$A$5:$A$594,MATCH($C489,'Staff Directory'!$B$5:$B$594,0)),"⚠ unknown staff"))</f>
        <v>PSW-118-A5</v>
      </c>
      <c r="C489" s="49" t="s">
        <v>1097</v>
      </c>
      <c r="D489" s="19" t="str">
        <f>IF($B489="","",IFERROR(INDEX('Staff Directory'!$C$5:$C$594,MATCH($B489,'Staff Directory'!$A$5:$A$594,0)),""))</f>
        <v>PSW</v>
      </c>
      <c r="E489" s="19" t="str">
        <f>IF($B489="","",IFERROR(INDEX('Staff Directory'!$D$5:$D$594,MATCH($B489,'Staff Directory'!$A$5:$A$594,0)),""))</f>
        <v>A5</v>
      </c>
      <c r="F489" s="9" t="s">
        <v>147</v>
      </c>
      <c r="G489" s="18" t="str">
        <f>IF($F489="","",IFERROR(INDEX(Items!$B$5:$B$597,MATCH($F489,Items!$A$5:$A$597,0)),"⚠ not in Items"))</f>
        <v>Apparel</v>
      </c>
      <c r="H489" s="19" t="str">
        <f>IF($F489="","",IFERROR(INDEX(Items!$C$5:$C$597,MATCH($F489,Items!$A$5:$A$597,0)),""))</f>
        <v>One Size</v>
      </c>
      <c r="I489" s="23">
        <f>IF($F489="","",IFERROR(INDEX(Items!$E$5:$E$597,MATCH($F489,Items!$A$5:$A$597,0)),""))</f>
        <v>5</v>
      </c>
      <c r="J489" s="115">
        <f>IF(tblIssues[[#This Row],[Qty Override]]&lt;&gt;"",tblIssues[[#This Row],[Qty Override]],IF(tblIssues[[#This Row],[Standard Issue]]="","",tblIssues[[#This Row],[Standard Issue]]))</f>
        <v>5</v>
      </c>
      <c r="K489" s="20">
        <f>IF($F489="","",IFERROR(INDEX(Items!$D$5:$D$597,MATCH($F489,Items!$A$5:$A$597,0)),""))</f>
        <v>3</v>
      </c>
      <c r="L489" s="21">
        <f t="shared" si="83"/>
        <v>15</v>
      </c>
      <c r="M489" s="9" t="str">
        <f t="shared" si="84"/>
        <v>YG500280</v>
      </c>
      <c r="N489" s="24">
        <f>IF($A489="","",WORKDAY($A489,Settings!$C$9,HolidayDates))</f>
        <v>46154</v>
      </c>
      <c r="O489" s="24">
        <f>IF($N489="","",WORKDAY($N489,Settings!$C$10,HolidayDates))</f>
        <v>46192</v>
      </c>
      <c r="P489" s="10" t="s">
        <v>501</v>
      </c>
      <c r="Q489" s="52" t="str">
        <f t="shared" si="86"/>
        <v>Collected</v>
      </c>
      <c r="R489" s="55" t="str">
        <f t="shared" si="87"/>
        <v>2026-05</v>
      </c>
      <c r="S489" s="55">
        <f>IF(OR($B489="",$F489="",$R489=""),"",SUMIFS(tblIssues[Qty Issued],tblIssues[Staff ID],$B489,tblIssues[Item Name],$F489,tblIssues[Month],$R489))</f>
        <v>5</v>
      </c>
      <c r="T489" s="56">
        <f>IF($I489="","",$I489*Settings!$C$11)</f>
        <v>5</v>
      </c>
      <c r="U489" s="57" t="str">
        <f t="shared" si="85"/>
        <v>OK</v>
      </c>
      <c r="V489" s="55" t="str">
        <f t="shared" si="88"/>
        <v/>
      </c>
      <c r="W489" s="55" t="str">
        <f>IF($V489="","",IF(COUNTIF($V$5:$V489,$V489)=1,1,""))</f>
        <v/>
      </c>
      <c r="X489" s="58" t="str">
        <f>IF($W489="","",MAX($X$4:X488)+1)</f>
        <v/>
      </c>
      <c r="Y489" s="62"/>
      <c r="Z489" s="62"/>
      <c r="AA489" s="64" t="str">
        <f>IF($C489="","",IFERROR(INDEX('Staff Directory'!$E$5:$E$594,MATCH($C489,'Staff Directory'!$B$5:$B$594,0)),""))</f>
        <v>firstname181.lastname181@example.com</v>
      </c>
      <c r="AB489" s="64" t="str">
        <f>IF($C489="","",IF(ISNUMBER(SEARCH($D489,Settings!$C$15)),"Pickup","Dispatch"))</f>
        <v>Pickup</v>
      </c>
      <c r="AC489" s="64" t="str">
        <f t="shared" si="89"/>
        <v>Supply order ready for pickup</v>
      </c>
      <c r="AD489" s="64" t="str">
        <f t="shared" si="80"/>
        <v>Dear PSW,
Your order is ready for pickup from Sample Branch, Wed-Fri 9am-4pm.</v>
      </c>
      <c r="AE489" s="64" t="str">
        <f t="shared" si="81"/>
        <v>mailto:firstname181.lastname181@example.com?subject=Supply%20order%20ready%20for%20pickup&amp;body=Dear%20PSW%2C%0A%0AYour%20order%20is%20ready%20for%20pickup%20from%20Sample%20Branch%2C%20Wed-Fri%209am-4pm.</v>
      </c>
      <c r="AF489" s="89" t="str">
        <f t="shared" si="90"/>
        <v>Draft email</v>
      </c>
      <c r="AG489" s="64" t="str">
        <f>IF($C489="","",IFERROR(INDEX('Staff Directory'!$K$595:$K$599,MATCH($C489,'Staff Directory'!$B$5:$B$599,0)),$D489))</f>
        <v>PSW</v>
      </c>
      <c r="AH489" t="str">
        <f>IF($C489="","",IFERROR(INDEX('Staff Directory'!$I$595:$I$599,MATCH($C489,'Staff Directory'!$B$5:$B$599,0))&amp;" "&amp;INDEX('Staff Directory'!$J$595:$J$599,MATCH($C489,'Staff Directory'!$B$5:$B$599,0)),$AG489))</f>
        <v>PSW</v>
      </c>
      <c r="AI489" s="102"/>
      <c r="AJ489" s="101">
        <f>IF($F489="","",SUMIFS($J$5:$J489,$F$5:$F489,$F489))</f>
        <v>45</v>
      </c>
      <c r="AK489" s="101">
        <f t="shared" si="82"/>
        <v>41</v>
      </c>
      <c r="AL489" s="66" t="str" cm="1">
        <f t="array" ref="AL489">IF($F489="","",IFERROR(INDEX('Lot Balance'!$B$5:$B$500,MATCH(1,INDEX(('Lot Balance'!$A$5:$A$500=$F489)*('Lot Balance'!$K$5:$K$500&lt;$AK489)*('Lot Balance'!$K$5:$K$500+'Lot Balance'!$D$5:$D$500&gt;=$AK489),0),0)),""))</f>
        <v>YG500280</v>
      </c>
      <c r="AM489" s="66" t="str" cm="1">
        <f t="array" ref="AM489">IF($F489="","",IFERROR(INDEX('Lot Balance'!$B$5:$B$500,MATCH(1,INDEX(('Lot Balance'!$A$5:$A$500=$F489)*('Lot Balance'!$K$5:$K$500&lt;$AJ489)*('Lot Balance'!$K$5:$K$500+'Lot Balance'!$D$5:$D$500&gt;=$AJ489),0),0)),""))</f>
        <v>YG500280</v>
      </c>
      <c r="AN489" s="66" t="str">
        <f>IF($F489="","",IF($AI489&lt;&gt;"",IF(COUNTIFS('Lot Balance'!$A$5:$A$500,$F489,'Lot Balance'!$B$5:$B$500,$AI489)=0,"⚠ override is not a lot of this item",IF($AI489=$AL489,"Override = FEFO","Override - FEFO says "&amp;$AL489)),IF($AL489="","⚠ no receipt on file for this item",IF($AM489&lt;&gt;$AL489,"FEFO auto - split, also "&amp;$AM489,"FEFO auto"))))</f>
        <v>FEFO auto</v>
      </c>
      <c r="AO489" s="114"/>
    </row>
    <row r="490" spans="1:41" x14ac:dyDescent="0.35">
      <c r="A490" s="74">
        <v>46146</v>
      </c>
      <c r="B490" s="18" t="str">
        <f>IF($C490="","",IFERROR(INDEX('Staff Directory'!$A$5:$A$594,MATCH($C490,'Staff Directory'!$B$5:$B$594,0)),"⚠ unknown staff"))</f>
        <v>PSW-174-TBD</v>
      </c>
      <c r="C490" s="49" t="s">
        <v>1153</v>
      </c>
      <c r="D490" s="19" t="str">
        <f>IF($B490="","",IFERROR(INDEX('Staff Directory'!$C$5:$C$594,MATCH($B490,'Staff Directory'!$A$5:$A$594,0)),""))</f>
        <v>PSW</v>
      </c>
      <c r="E490" s="19">
        <f>IF($B490="","",IFERROR(INDEX('Staff Directory'!$D$5:$D$594,MATCH($B490,'Staff Directory'!$A$5:$A$594,0)),""))</f>
        <v>0</v>
      </c>
      <c r="F490" s="9" t="s">
        <v>129</v>
      </c>
      <c r="G490" s="18" t="str">
        <f>IF($F490="","",IFERROR(INDEX(Items!$B$5:$B$597,MATCH($F490,Items!$A$5:$A$597,0)),"⚠ not in Items"))</f>
        <v>Gloves</v>
      </c>
      <c r="H490" s="19" t="str">
        <f>IF($F490="","",IFERROR(INDEX(Items!$C$5:$C$597,MATCH($F490,Items!$A$5:$A$597,0)),""))</f>
        <v>Small</v>
      </c>
      <c r="I490" s="23">
        <f>IF($F490="","",IFERROR(INDEX(Items!$E$5:$E$597,MATCH($F490,Items!$A$5:$A$597,0)),""))</f>
        <v>500</v>
      </c>
      <c r="J490" s="115">
        <f>IF(tblIssues[[#This Row],[Qty Override]]&lt;&gt;"",tblIssues[[#This Row],[Qty Override]],IF(tblIssues[[#This Row],[Standard Issue]]="","",tblIssues[[#This Row],[Standard Issue]]))</f>
        <v>500</v>
      </c>
      <c r="K490" s="20">
        <f>IF($F490="","",IFERROR(INDEX(Items!$D$5:$D$597,MATCH($F490,Items!$A$5:$A$597,0)),""))</f>
        <v>5.5E-2</v>
      </c>
      <c r="L490" s="21">
        <f t="shared" si="83"/>
        <v>27.5</v>
      </c>
      <c r="M490" s="9" t="str">
        <f t="shared" si="84"/>
        <v>O210LIC25</v>
      </c>
      <c r="N490" s="24">
        <f>IF($A490="","",WORKDAY($A490,Settings!$C$9,HolidayDates))</f>
        <v>46154</v>
      </c>
      <c r="O490" s="24">
        <f>IF($N490="","",WORKDAY($N490,Settings!$C$10,HolidayDates))</f>
        <v>46192</v>
      </c>
      <c r="P490" s="10" t="s">
        <v>501</v>
      </c>
      <c r="Q490" s="52" t="str">
        <f t="shared" si="86"/>
        <v>Collected</v>
      </c>
      <c r="R490" s="55" t="str">
        <f t="shared" si="87"/>
        <v>2026-05</v>
      </c>
      <c r="S490" s="55">
        <f>IF(OR($B490="",$F490="",$R490=""),"",SUMIFS(tblIssues[Qty Issued],tblIssues[Staff ID],$B490,tblIssues[Item Name],$F490,tblIssues[Month],$R490))</f>
        <v>500</v>
      </c>
      <c r="T490" s="56">
        <f>IF($I490="","",$I490*Settings!$C$11)</f>
        <v>500</v>
      </c>
      <c r="U490" s="57" t="str">
        <f t="shared" si="85"/>
        <v>OK</v>
      </c>
      <c r="V490" s="55" t="str">
        <f t="shared" si="88"/>
        <v/>
      </c>
      <c r="W490" s="55" t="str">
        <f>IF($V490="","",IF(COUNTIF($V$5:$V490,$V490)=1,1,""))</f>
        <v/>
      </c>
      <c r="X490" s="58" t="str">
        <f>IF($W490="","",MAX($X$4:X489)+1)</f>
        <v/>
      </c>
      <c r="Y490" s="62"/>
      <c r="Z490" s="62"/>
      <c r="AA490" s="64" t="str">
        <f>IF($C490="","",IFERROR(INDEX('Staff Directory'!$E$5:$E$594,MATCH($C490,'Staff Directory'!$B$5:$B$594,0)),""))</f>
        <v>firstname237.lastname237@example.com</v>
      </c>
      <c r="AB490" s="64" t="str">
        <f>IF($C490="","",IF(ISNUMBER(SEARCH($D490,Settings!$C$15)),"Pickup","Dispatch"))</f>
        <v>Pickup</v>
      </c>
      <c r="AC490" s="64" t="str">
        <f t="shared" si="89"/>
        <v>Supply order ready for pickup</v>
      </c>
      <c r="AD490" s="64" t="str">
        <f t="shared" si="80"/>
        <v>Dear PSW,
Your order is ready for pickup from Sample Branch, Wed-Fri 9am-4pm.</v>
      </c>
      <c r="AE490" s="64" t="str">
        <f t="shared" si="81"/>
        <v>mailto:firstname237.lastname237@example.com?subject=Supply%20order%20ready%20for%20pickup&amp;body=Dear%20PSW%2C%0A%0AYour%20order%20is%20ready%20for%20pickup%20from%20Sample%20Branch%2C%20Wed-Fri%209am-4pm.</v>
      </c>
      <c r="AF490" s="89" t="str">
        <f t="shared" si="90"/>
        <v>Draft email</v>
      </c>
      <c r="AG490" s="64" t="str">
        <f>IF($C490="","",IFERROR(INDEX('Staff Directory'!$K$595:$K$599,MATCH($C490,'Staff Directory'!$B$5:$B$599,0)),$D490))</f>
        <v>PSW</v>
      </c>
      <c r="AH490" t="str">
        <f>IF($C490="","",IFERROR(INDEX('Staff Directory'!$I$595:$I$599,MATCH($C490,'Staff Directory'!$B$5:$B$599,0))&amp;" "&amp;INDEX('Staff Directory'!$J$595:$J$599,MATCH($C490,'Staff Directory'!$B$5:$B$599,0)),$AG490))</f>
        <v>PSW</v>
      </c>
      <c r="AI490" s="102"/>
      <c r="AJ490" s="101">
        <f>IF($F490="","",SUMIFS($J$5:$J490,$F$5:$F490,$F490))</f>
        <v>17500</v>
      </c>
      <c r="AK490" s="101">
        <f t="shared" si="82"/>
        <v>17001</v>
      </c>
      <c r="AL490" s="66" t="str" cm="1">
        <f t="array" ref="AL490">IF($F490="","",IFERROR(INDEX('Lot Balance'!$B$5:$B$500,MATCH(1,INDEX(('Lot Balance'!$A$5:$A$500=$F490)*('Lot Balance'!$K$5:$K$500&lt;$AK490)*('Lot Balance'!$K$5:$K$500+'Lot Balance'!$D$5:$D$500&gt;=$AK490),0),0)),""))</f>
        <v>O210LIC25</v>
      </c>
      <c r="AM490" s="66" t="str" cm="1">
        <f t="array" ref="AM490">IF($F490="","",IFERROR(INDEX('Lot Balance'!$B$5:$B$500,MATCH(1,INDEX(('Lot Balance'!$A$5:$A$500=$F490)*('Lot Balance'!$K$5:$K$500&lt;$AJ490)*('Lot Balance'!$K$5:$K$500+'Lot Balance'!$D$5:$D$500&gt;=$AJ490),0),0)),""))</f>
        <v>O210LIC25</v>
      </c>
      <c r="AN490" s="66" t="str">
        <f>IF($F490="","",IF($AI490&lt;&gt;"",IF(COUNTIFS('Lot Balance'!$A$5:$A$500,$F490,'Lot Balance'!$B$5:$B$500,$AI490)=0,"⚠ override is not a lot of this item",IF($AI490=$AL490,"Override = FEFO","Override - FEFO says "&amp;$AL490)),IF($AL490="","⚠ no receipt on file for this item",IF($AM490&lt;&gt;$AL490,"FEFO auto - split, also "&amp;$AM490,"FEFO auto"))))</f>
        <v>FEFO auto</v>
      </c>
      <c r="AO490" s="114"/>
    </row>
    <row r="491" spans="1:41" x14ac:dyDescent="0.35">
      <c r="A491" s="74">
        <v>46146</v>
      </c>
      <c r="B491" s="18" t="str">
        <f>IF($C491="","",IFERROR(INDEX('Staff Directory'!$A$5:$A$594,MATCH($C491,'Staff Directory'!$B$5:$B$594,0)),"⚠ unknown staff"))</f>
        <v>PSW-174-TBD</v>
      </c>
      <c r="C491" s="49" t="s">
        <v>1153</v>
      </c>
      <c r="D491" s="19" t="str">
        <f>IF($B491="","",IFERROR(INDEX('Staff Directory'!$C$5:$C$594,MATCH($B491,'Staff Directory'!$A$5:$A$594,0)),""))</f>
        <v>PSW</v>
      </c>
      <c r="E491" s="19">
        <f>IF($B491="","",IFERROR(INDEX('Staff Directory'!$D$5:$D$594,MATCH($B491,'Staff Directory'!$A$5:$A$594,0)),""))</f>
        <v>0</v>
      </c>
      <c r="F491" s="9" t="s">
        <v>191</v>
      </c>
      <c r="G491" s="18" t="str">
        <f>IF($F491="","",IFERROR(INDEX(Items!$B$5:$B$597,MATCH($F491,Items!$A$5:$A$597,0)),"⚠ not in Items"))</f>
        <v>Sanitizer</v>
      </c>
      <c r="H491" s="19" t="str">
        <f>IF($F491="","",IFERROR(INDEX(Items!$C$5:$C$597,MATCH($F491,Items!$A$5:$A$597,0)),""))</f>
        <v>236 ML</v>
      </c>
      <c r="I491" s="23">
        <f>IF($F491="","",IFERROR(INDEX(Items!$E$5:$E$597,MATCH($F491,Items!$A$5:$A$597,0)),""))</f>
        <v>1</v>
      </c>
      <c r="J491" s="115">
        <f>IF(tblIssues[[#This Row],[Qty Override]]&lt;&gt;"",tblIssues[[#This Row],[Qty Override]],IF(tblIssues[[#This Row],[Standard Issue]]="","",tblIssues[[#This Row],[Standard Issue]]))</f>
        <v>1</v>
      </c>
      <c r="K491" s="20">
        <f>IF($F491="","",IFERROR(INDEX(Items!$D$5:$D$597,MATCH($F491,Items!$A$5:$A$597,0)),""))</f>
        <v>1E-4</v>
      </c>
      <c r="L491" s="21">
        <f t="shared" si="83"/>
        <v>1E-4</v>
      </c>
      <c r="M491" s="9" t="str">
        <f t="shared" si="84"/>
        <v>20-21734-2</v>
      </c>
      <c r="N491" s="24">
        <f>IF($A491="","",WORKDAY($A491,Settings!$C$9,HolidayDates))</f>
        <v>46154</v>
      </c>
      <c r="O491" s="24">
        <f>IF($N491="","",WORKDAY($N491,Settings!$C$10,HolidayDates))</f>
        <v>46192</v>
      </c>
      <c r="P491" s="10" t="s">
        <v>501</v>
      </c>
      <c r="Q491" s="52" t="str">
        <f t="shared" si="86"/>
        <v>Collected</v>
      </c>
      <c r="R491" s="55" t="str">
        <f t="shared" si="87"/>
        <v>2026-05</v>
      </c>
      <c r="S491" s="55">
        <f>IF(OR($B491="",$F491="",$R491=""),"",SUMIFS(tblIssues[Qty Issued],tblIssues[Staff ID],$B491,tblIssues[Item Name],$F491,tblIssues[Month],$R491))</f>
        <v>1</v>
      </c>
      <c r="T491" s="56">
        <f>IF($I491="","",$I491*Settings!$C$11)</f>
        <v>1</v>
      </c>
      <c r="U491" s="57" t="str">
        <f t="shared" si="85"/>
        <v>OK</v>
      </c>
      <c r="V491" s="55" t="str">
        <f t="shared" si="88"/>
        <v/>
      </c>
      <c r="W491" s="55" t="str">
        <f>IF($V491="","",IF(COUNTIF($V$5:$V491,$V491)=1,1,""))</f>
        <v/>
      </c>
      <c r="X491" s="58" t="str">
        <f>IF($W491="","",MAX($X$4:X490)+1)</f>
        <v/>
      </c>
      <c r="Y491" s="62"/>
      <c r="Z491" s="62"/>
      <c r="AA491" s="64" t="str">
        <f>IF($C491="","",IFERROR(INDEX('Staff Directory'!$E$5:$E$594,MATCH($C491,'Staff Directory'!$B$5:$B$594,0)),""))</f>
        <v>firstname237.lastname237@example.com</v>
      </c>
      <c r="AB491" s="64" t="str">
        <f>IF($C491="","",IF(ISNUMBER(SEARCH($D491,Settings!$C$15)),"Pickup","Dispatch"))</f>
        <v>Pickup</v>
      </c>
      <c r="AC491" s="64" t="str">
        <f t="shared" si="89"/>
        <v>Supply order ready for pickup</v>
      </c>
      <c r="AD491" s="64" t="str">
        <f t="shared" si="80"/>
        <v>Dear PSW,
Your order is ready for pickup from Sample Branch, Wed-Fri 9am-4pm.</v>
      </c>
      <c r="AE491" s="64" t="str">
        <f t="shared" si="81"/>
        <v>mailto:firstname237.lastname237@example.com?subject=Supply%20order%20ready%20for%20pickup&amp;body=Dear%20PSW%2C%0A%0AYour%20order%20is%20ready%20for%20pickup%20from%20Sample%20Branch%2C%20Wed-Fri%209am-4pm.</v>
      </c>
      <c r="AF491" s="89" t="str">
        <f t="shared" si="90"/>
        <v>Draft email</v>
      </c>
      <c r="AG491" s="64" t="str">
        <f>IF($C491="","",IFERROR(INDEX('Staff Directory'!$K$595:$K$599,MATCH($C491,'Staff Directory'!$B$5:$B$599,0)),$D491))</f>
        <v>PSW</v>
      </c>
      <c r="AH491" t="str">
        <f>IF($C491="","",IFERROR(INDEX('Staff Directory'!$I$595:$I$599,MATCH($C491,'Staff Directory'!$B$5:$B$599,0))&amp;" "&amp;INDEX('Staff Directory'!$J$595:$J$599,MATCH($C491,'Staff Directory'!$B$5:$B$599,0)),$AG491))</f>
        <v>PSW</v>
      </c>
      <c r="AI491" s="102"/>
      <c r="AJ491" s="101">
        <f>IF($F491="","",SUMIFS($J$5:$J491,$F$5:$F491,$F491))</f>
        <v>53</v>
      </c>
      <c r="AK491" s="101">
        <f t="shared" si="82"/>
        <v>53</v>
      </c>
      <c r="AL491" s="66" t="str" cm="1">
        <f t="array" ref="AL491">IF($F491="","",IFERROR(INDEX('Lot Balance'!$B$5:$B$500,MATCH(1,INDEX(('Lot Balance'!$A$5:$A$500=$F491)*('Lot Balance'!$K$5:$K$500&lt;$AK491)*('Lot Balance'!$K$5:$K$500+'Lot Balance'!$D$5:$D$500&gt;=$AK491),0),0)),""))</f>
        <v>20-21734-2</v>
      </c>
      <c r="AM491" s="66" t="str" cm="1">
        <f t="array" ref="AM491">IF($F491="","",IFERROR(INDEX('Lot Balance'!$B$5:$B$500,MATCH(1,INDEX(('Lot Balance'!$A$5:$A$500=$F491)*('Lot Balance'!$K$5:$K$500&lt;$AJ491)*('Lot Balance'!$K$5:$K$500+'Lot Balance'!$D$5:$D$500&gt;=$AJ491),0),0)),""))</f>
        <v>20-21734-2</v>
      </c>
      <c r="AN491" s="66" t="str">
        <f>IF($F491="","",IF($AI491&lt;&gt;"",IF(COUNTIFS('Lot Balance'!$A$5:$A$500,$F491,'Lot Balance'!$B$5:$B$500,$AI491)=0,"⚠ override is not a lot of this item",IF($AI491=$AL491,"Override = FEFO","Override - FEFO says "&amp;$AL491)),IF($AL491="","⚠ no receipt on file for this item",IF($AM491&lt;&gt;$AL491,"FEFO auto - split, also "&amp;$AM491,"FEFO auto"))))</f>
        <v>FEFO auto</v>
      </c>
      <c r="AO491" s="114"/>
    </row>
    <row r="492" spans="1:41" x14ac:dyDescent="0.35">
      <c r="A492" s="74">
        <v>46146</v>
      </c>
      <c r="B492" s="18" t="str">
        <f>IF($C492="","",IFERROR(INDEX('Staff Directory'!$A$5:$A$594,MATCH($C492,'Staff Directory'!$B$5:$B$594,0)),"⚠ unknown staff"))</f>
        <v>PSW-174-TBD</v>
      </c>
      <c r="C492" s="49" t="s">
        <v>1153</v>
      </c>
      <c r="D492" s="19" t="str">
        <f>IF($B492="","",IFERROR(INDEX('Staff Directory'!$C$5:$C$594,MATCH($B492,'Staff Directory'!$A$5:$A$594,0)),""))</f>
        <v>PSW</v>
      </c>
      <c r="E492" s="19">
        <f>IF($B492="","",IFERROR(INDEX('Staff Directory'!$D$5:$D$594,MATCH($B492,'Staff Directory'!$A$5:$A$594,0)),""))</f>
        <v>0</v>
      </c>
      <c r="F492" s="9" t="s">
        <v>115</v>
      </c>
      <c r="G492" s="18" t="str">
        <f>IF($F492="","",IFERROR(INDEX(Items!$B$5:$B$597,MATCH($F492,Items!$A$5:$A$597,0)),"⚠ not in Items"))</f>
        <v>Wipes</v>
      </c>
      <c r="H492" s="19">
        <f>IF($F492="","",IFERROR(INDEX(Items!$C$5:$C$597,MATCH($F492,Items!$A$5:$A$597,0)),""))</f>
        <v>80</v>
      </c>
      <c r="I492" s="23">
        <f>IF($F492="","",IFERROR(INDEX(Items!$E$5:$E$597,MATCH($F492,Items!$A$5:$A$597,0)),""))</f>
        <v>80</v>
      </c>
      <c r="J492" s="115">
        <f>IF(tblIssues[[#This Row],[Qty Override]]&lt;&gt;"",tblIssues[[#This Row],[Qty Override]],IF(tblIssues[[#This Row],[Standard Issue]]="","",tblIssues[[#This Row],[Standard Issue]]))</f>
        <v>80</v>
      </c>
      <c r="K492" s="20">
        <f>IF($F492="","",IFERROR(INDEX(Items!$D$5:$D$597,MATCH($F492,Items!$A$5:$A$597,0)),""))</f>
        <v>0.1</v>
      </c>
      <c r="L492" s="21">
        <f t="shared" si="83"/>
        <v>8</v>
      </c>
      <c r="M492" s="9" t="str">
        <f t="shared" si="84"/>
        <v>LYSL500290</v>
      </c>
      <c r="N492" s="24">
        <f>IF($A492="","",WORKDAY($A492,Settings!$C$9,HolidayDates))</f>
        <v>46154</v>
      </c>
      <c r="O492" s="24">
        <f>IF($N492="","",WORKDAY($N492,Settings!$C$10,HolidayDates))</f>
        <v>46192</v>
      </c>
      <c r="P492" s="10" t="s">
        <v>501</v>
      </c>
      <c r="Q492" s="52" t="str">
        <f t="shared" si="86"/>
        <v>Collected</v>
      </c>
      <c r="R492" s="55" t="str">
        <f t="shared" si="87"/>
        <v>2026-05</v>
      </c>
      <c r="S492" s="55">
        <f>IF(OR($B492="",$F492="",$R492=""),"",SUMIFS(tblIssues[Qty Issued],tblIssues[Staff ID],$B492,tblIssues[Item Name],$F492,tblIssues[Month],$R492))</f>
        <v>80</v>
      </c>
      <c r="T492" s="56">
        <f>IF($I492="","",$I492*Settings!$C$11)</f>
        <v>80</v>
      </c>
      <c r="U492" s="57" t="str">
        <f t="shared" si="85"/>
        <v>OK</v>
      </c>
      <c r="V492" s="55" t="str">
        <f t="shared" si="88"/>
        <v/>
      </c>
      <c r="W492" s="55" t="str">
        <f>IF($V492="","",IF(COUNTIF($V$5:$V492,$V492)=1,1,""))</f>
        <v/>
      </c>
      <c r="X492" s="58" t="str">
        <f>IF($W492="","",MAX($X$4:X491)+1)</f>
        <v/>
      </c>
      <c r="Y492" s="62"/>
      <c r="Z492" s="62"/>
      <c r="AA492" s="64" t="str">
        <f>IF($C492="","",IFERROR(INDEX('Staff Directory'!$E$5:$E$594,MATCH($C492,'Staff Directory'!$B$5:$B$594,0)),""))</f>
        <v>firstname237.lastname237@example.com</v>
      </c>
      <c r="AB492" s="64" t="str">
        <f>IF($C492="","",IF(ISNUMBER(SEARCH($D492,Settings!$C$15)),"Pickup","Dispatch"))</f>
        <v>Pickup</v>
      </c>
      <c r="AC492" s="64" t="str">
        <f t="shared" si="89"/>
        <v>Supply order ready for pickup</v>
      </c>
      <c r="AD492" s="64" t="str">
        <f t="shared" si="80"/>
        <v>Dear PSW,
Your order is ready for pickup from Sample Branch, Wed-Fri 9am-4pm.</v>
      </c>
      <c r="AE492" s="64" t="str">
        <f t="shared" si="81"/>
        <v>mailto:firstname237.lastname237@example.com?subject=Supply%20order%20ready%20for%20pickup&amp;body=Dear%20PSW%2C%0A%0AYour%20order%20is%20ready%20for%20pickup%20from%20Sample%20Branch%2C%20Wed-Fri%209am-4pm.</v>
      </c>
      <c r="AF492" s="89" t="str">
        <f t="shared" si="90"/>
        <v>Draft email</v>
      </c>
      <c r="AG492" s="64" t="str">
        <f>IF($C492="","",IFERROR(INDEX('Staff Directory'!$K$595:$K$599,MATCH($C492,'Staff Directory'!$B$5:$B$599,0)),$D492))</f>
        <v>PSW</v>
      </c>
      <c r="AH492" t="str">
        <f>IF($C492="","",IFERROR(INDEX('Staff Directory'!$I$595:$I$599,MATCH($C492,'Staff Directory'!$B$5:$B$599,0))&amp;" "&amp;INDEX('Staff Directory'!$J$595:$J$599,MATCH($C492,'Staff Directory'!$B$5:$B$599,0)),$AG492))</f>
        <v>PSW</v>
      </c>
      <c r="AI492" s="102"/>
      <c r="AJ492" s="101">
        <f>IF($F492="","",SUMIFS($J$5:$J492,$F$5:$F492,$F492))</f>
        <v>6960</v>
      </c>
      <c r="AK492" s="101">
        <f t="shared" si="82"/>
        <v>6881</v>
      </c>
      <c r="AL492" s="66" t="str" cm="1">
        <f t="array" ref="AL492">IF($F492="","",IFERROR(INDEX('Lot Balance'!$B$5:$B$500,MATCH(1,INDEX(('Lot Balance'!$A$5:$A$500=$F492)*('Lot Balance'!$K$5:$K$500&lt;$AK492)*('Lot Balance'!$K$5:$K$500+'Lot Balance'!$D$5:$D$500&gt;=$AK492),0),0)),""))</f>
        <v>LYSL500290</v>
      </c>
      <c r="AM492" s="66" t="str" cm="1">
        <f t="array" ref="AM492">IF($F492="","",IFERROR(INDEX('Lot Balance'!$B$5:$B$500,MATCH(1,INDEX(('Lot Balance'!$A$5:$A$500=$F492)*('Lot Balance'!$K$5:$K$500&lt;$AJ492)*('Lot Balance'!$K$5:$K$500+'Lot Balance'!$D$5:$D$500&gt;=$AJ492),0),0)),""))</f>
        <v>LYSL500290</v>
      </c>
      <c r="AN492" s="66" t="str">
        <f>IF($F492="","",IF($AI492&lt;&gt;"",IF(COUNTIFS('Lot Balance'!$A$5:$A$500,$F492,'Lot Balance'!$B$5:$B$500,$AI492)=0,"⚠ override is not a lot of this item",IF($AI492=$AL492,"Override = FEFO","Override - FEFO says "&amp;$AL492)),IF($AL492="","⚠ no receipt on file for this item",IF($AM492&lt;&gt;$AL492,"FEFO auto - split, also "&amp;$AM492,"FEFO auto"))))</f>
        <v>FEFO auto</v>
      </c>
      <c r="AO492" s="114"/>
    </row>
    <row r="493" spans="1:41" x14ac:dyDescent="0.35">
      <c r="A493" s="74">
        <v>46146</v>
      </c>
      <c r="B493" s="18" t="str">
        <f>IF($C493="","",IFERROR(INDEX('Staff Directory'!$A$5:$A$594,MATCH($C493,'Staff Directory'!$B$5:$B$594,0)),"⚠ unknown staff"))</f>
        <v>PSW-174-TBD</v>
      </c>
      <c r="C493" s="49" t="s">
        <v>1153</v>
      </c>
      <c r="D493" s="19" t="str">
        <f>IF($B493="","",IFERROR(INDEX('Staff Directory'!$C$5:$C$594,MATCH($B493,'Staff Directory'!$A$5:$A$594,0)),""))</f>
        <v>PSW</v>
      </c>
      <c r="E493" s="19">
        <f>IF($B493="","",IFERROR(INDEX('Staff Directory'!$D$5:$D$594,MATCH($B493,'Staff Directory'!$A$5:$A$594,0)),""))</f>
        <v>0</v>
      </c>
      <c r="F493" s="9" t="s">
        <v>156</v>
      </c>
      <c r="G493" s="18" t="str">
        <f>IF($F493="","",IFERROR(INDEX(Items!$B$5:$B$597,MATCH($F493,Items!$A$5:$A$597,0)),"⚠ not in Items"))</f>
        <v>Masks</v>
      </c>
      <c r="H493" s="19" t="str">
        <f>IF($F493="","",IFERROR(INDEX(Items!$C$5:$C$597,MATCH($F493,Items!$A$5:$A$597,0)),""))</f>
        <v>One Size</v>
      </c>
      <c r="I493" s="23">
        <f>IF($F493="","",IFERROR(INDEX(Items!$E$5:$E$597,MATCH($F493,Items!$A$5:$A$597,0)),""))</f>
        <v>50</v>
      </c>
      <c r="J493" s="115">
        <f>IF(tblIssues[[#This Row],[Qty Override]]&lt;&gt;"",tblIssues[[#This Row],[Qty Override]],IF(tblIssues[[#This Row],[Standard Issue]]="","",tblIssues[[#This Row],[Standard Issue]]))</f>
        <v>50</v>
      </c>
      <c r="K493" s="20">
        <f>IF($F493="","",IFERROR(INDEX(Items!$D$5:$D$597,MATCH($F493,Items!$A$5:$A$597,0)),""))</f>
        <v>0.25</v>
      </c>
      <c r="L493" s="21">
        <f t="shared" si="83"/>
        <v>12.5</v>
      </c>
      <c r="M493" s="9" t="str">
        <f t="shared" si="84"/>
        <v>0125FPC24-0</v>
      </c>
      <c r="N493" s="24">
        <f>IF($A493="","",WORKDAY($A493,Settings!$C$9,HolidayDates))</f>
        <v>46154</v>
      </c>
      <c r="O493" s="24">
        <f>IF($N493="","",WORKDAY($N493,Settings!$C$10,HolidayDates))</f>
        <v>46192</v>
      </c>
      <c r="P493" s="10" t="s">
        <v>501</v>
      </c>
      <c r="Q493" s="52" t="str">
        <f t="shared" si="86"/>
        <v>Collected</v>
      </c>
      <c r="R493" s="55" t="str">
        <f t="shared" si="87"/>
        <v>2026-05</v>
      </c>
      <c r="S493" s="55">
        <f>IF(OR($B493="",$F493="",$R493=""),"",SUMIFS(tblIssues[Qty Issued],tblIssues[Staff ID],$B493,tblIssues[Item Name],$F493,tblIssues[Month],$R493))</f>
        <v>50</v>
      </c>
      <c r="T493" s="56">
        <f>IF($I493="","",$I493*Settings!$C$11)</f>
        <v>50</v>
      </c>
      <c r="U493" s="57" t="str">
        <f t="shared" si="85"/>
        <v>OK</v>
      </c>
      <c r="V493" s="55" t="str">
        <f t="shared" si="88"/>
        <v/>
      </c>
      <c r="W493" s="55" t="str">
        <f>IF($V493="","",IF(COUNTIF($V$5:$V493,$V493)=1,1,""))</f>
        <v/>
      </c>
      <c r="X493" s="58" t="str">
        <f>IF($W493="","",MAX($X$4:X492)+1)</f>
        <v/>
      </c>
      <c r="Y493" s="62"/>
      <c r="Z493" s="62"/>
      <c r="AA493" s="64" t="str">
        <f>IF($C493="","",IFERROR(INDEX('Staff Directory'!$E$5:$E$594,MATCH($C493,'Staff Directory'!$B$5:$B$594,0)),""))</f>
        <v>firstname237.lastname237@example.com</v>
      </c>
      <c r="AB493" s="64" t="str">
        <f>IF($C493="","",IF(ISNUMBER(SEARCH($D493,Settings!$C$15)),"Pickup","Dispatch"))</f>
        <v>Pickup</v>
      </c>
      <c r="AC493" s="64" t="str">
        <f t="shared" si="89"/>
        <v>Supply order ready for pickup</v>
      </c>
      <c r="AD493" s="64" t="str">
        <f t="shared" si="80"/>
        <v>Dear PSW,
Your order is ready for pickup from Sample Branch, Wed-Fri 9am-4pm.</v>
      </c>
      <c r="AE493" s="64" t="str">
        <f t="shared" si="81"/>
        <v>mailto:firstname237.lastname237@example.com?subject=Supply%20order%20ready%20for%20pickup&amp;body=Dear%20PSW%2C%0A%0AYour%20order%20is%20ready%20for%20pickup%20from%20Sample%20Branch%2C%20Wed-Fri%209am-4pm.</v>
      </c>
      <c r="AF493" s="89" t="str">
        <f t="shared" si="90"/>
        <v>Draft email</v>
      </c>
      <c r="AG493" s="64" t="str">
        <f>IF($C493="","",IFERROR(INDEX('Staff Directory'!$K$595:$K$599,MATCH($C493,'Staff Directory'!$B$5:$B$599,0)),$D493))</f>
        <v>PSW</v>
      </c>
      <c r="AH493" t="str">
        <f>IF($C493="","",IFERROR(INDEX('Staff Directory'!$I$595:$I$599,MATCH($C493,'Staff Directory'!$B$5:$B$599,0))&amp;" "&amp;INDEX('Staff Directory'!$J$595:$J$599,MATCH($C493,'Staff Directory'!$B$5:$B$599,0)),$AG493))</f>
        <v>PSW</v>
      </c>
      <c r="AI493" s="102"/>
      <c r="AJ493" s="101">
        <f>IF($F493="","",SUMIFS($J$5:$J493,$F$5:$F493,$F493))</f>
        <v>4000</v>
      </c>
      <c r="AK493" s="101">
        <f t="shared" si="82"/>
        <v>3951</v>
      </c>
      <c r="AL493" s="66" t="str" cm="1">
        <f t="array" ref="AL493">IF($F493="","",IFERROR(INDEX('Lot Balance'!$B$5:$B$500,MATCH(1,INDEX(('Lot Balance'!$A$5:$A$500=$F493)*('Lot Balance'!$K$5:$K$500&lt;$AK493)*('Lot Balance'!$K$5:$K$500+'Lot Balance'!$D$5:$D$500&gt;=$AK493),0),0)),""))</f>
        <v>0125FPC24-0</v>
      </c>
      <c r="AM493" s="66" t="str" cm="1">
        <f t="array" ref="AM493">IF($F493="","",IFERROR(INDEX('Lot Balance'!$B$5:$B$500,MATCH(1,INDEX(('Lot Balance'!$A$5:$A$500=$F493)*('Lot Balance'!$K$5:$K$500&lt;$AJ493)*('Lot Balance'!$K$5:$K$500+'Lot Balance'!$D$5:$D$500&gt;=$AJ493),0),0)),""))</f>
        <v>0125FPC24-0</v>
      </c>
      <c r="AN493" s="66" t="str">
        <f>IF($F493="","",IF($AI493&lt;&gt;"",IF(COUNTIFS('Lot Balance'!$A$5:$A$500,$F493,'Lot Balance'!$B$5:$B$500,$AI493)=0,"⚠ override is not a lot of this item",IF($AI493=$AL493,"Override = FEFO","Override - FEFO says "&amp;$AL493)),IF($AL493="","⚠ no receipt on file for this item",IF($AM493&lt;&gt;$AL493,"FEFO auto - split, also "&amp;$AM493,"FEFO auto"))))</f>
        <v>FEFO auto</v>
      </c>
      <c r="AO493" s="114"/>
    </row>
    <row r="494" spans="1:41" x14ac:dyDescent="0.35">
      <c r="A494" s="74">
        <v>46146</v>
      </c>
      <c r="B494" s="18" t="str">
        <f>IF($C494="","",IFERROR(INDEX('Staff Directory'!$A$5:$A$594,MATCH($C494,'Staff Directory'!$B$5:$B$594,0)),"⚠ unknown staff"))</f>
        <v>PSW-057-A5</v>
      </c>
      <c r="C494" s="49" t="s">
        <v>1033</v>
      </c>
      <c r="D494" s="19" t="str">
        <f>IF($B494="","",IFERROR(INDEX('Staff Directory'!$C$5:$C$594,MATCH($B494,'Staff Directory'!$A$5:$A$594,0)),""))</f>
        <v>PSW</v>
      </c>
      <c r="E494" s="19" t="str">
        <f>IF($B494="","",IFERROR(INDEX('Staff Directory'!$D$5:$D$594,MATCH($B494,'Staff Directory'!$A$5:$A$594,0)),""))</f>
        <v>A5</v>
      </c>
      <c r="F494" s="9" t="s">
        <v>132</v>
      </c>
      <c r="G494" s="18" t="str">
        <f>IF($F494="","",IFERROR(INDEX(Items!$B$5:$B$597,MATCH($F494,Items!$A$5:$A$597,0)),"⚠ not in Items"))</f>
        <v>Gloves</v>
      </c>
      <c r="H494" s="19" t="str">
        <f>IF($F494="","",IFERROR(INDEX(Items!$C$5:$C$597,MATCH($F494,Items!$A$5:$A$597,0)),""))</f>
        <v>X-Large</v>
      </c>
      <c r="I494" s="23">
        <f>IF($F494="","",IFERROR(INDEX(Items!$E$5:$E$597,MATCH($F494,Items!$A$5:$A$597,0)),""))</f>
        <v>500</v>
      </c>
      <c r="J494" s="115">
        <f>IF(tblIssues[[#This Row],[Qty Override]]&lt;&gt;"",tblIssues[[#This Row],[Qty Override]],IF(tblIssues[[#This Row],[Standard Issue]]="","",tblIssues[[#This Row],[Standard Issue]]))</f>
        <v>500</v>
      </c>
      <c r="K494" s="20">
        <f>IF($F494="","",IFERROR(INDEX(Items!$D$5:$D$597,MATCH($F494,Items!$A$5:$A$597,0)),""))</f>
        <v>5.5E-2</v>
      </c>
      <c r="L494" s="21">
        <f t="shared" si="83"/>
        <v>27.5</v>
      </c>
      <c r="M494" s="9" t="str">
        <f t="shared" si="84"/>
        <v>XL5003005</v>
      </c>
      <c r="N494" s="24">
        <f>IF($A494="","",WORKDAY($A494,Settings!$C$9,HolidayDates))</f>
        <v>46154</v>
      </c>
      <c r="O494" s="24">
        <f>IF($N494="","",WORKDAY($N494,Settings!$C$10,HolidayDates))</f>
        <v>46192</v>
      </c>
      <c r="P494" s="10" t="s">
        <v>501</v>
      </c>
      <c r="Q494" s="52" t="str">
        <f t="shared" si="86"/>
        <v>Collected</v>
      </c>
      <c r="R494" s="55" t="str">
        <f t="shared" si="87"/>
        <v>2026-05</v>
      </c>
      <c r="S494" s="55">
        <f>IF(OR($B494="",$F494="",$R494=""),"",SUMIFS(tblIssues[Qty Issued],tblIssues[Staff ID],$B494,tblIssues[Item Name],$F494,tblIssues[Month],$R494))</f>
        <v>500</v>
      </c>
      <c r="T494" s="56">
        <f>IF($I494="","",$I494*Settings!$C$11)</f>
        <v>500</v>
      </c>
      <c r="U494" s="57" t="str">
        <f t="shared" si="85"/>
        <v>OK</v>
      </c>
      <c r="V494" s="55" t="str">
        <f t="shared" si="88"/>
        <v/>
      </c>
      <c r="W494" s="55" t="str">
        <f>IF($V494="","",IF(COUNTIF($V$5:$V494,$V494)=1,1,""))</f>
        <v/>
      </c>
      <c r="X494" s="58" t="str">
        <f>IF($W494="","",MAX($X$4:X493)+1)</f>
        <v/>
      </c>
      <c r="Y494" s="62"/>
      <c r="Z494" s="62"/>
      <c r="AA494" s="64" t="str">
        <f>IF($C494="","",IFERROR(INDEX('Staff Directory'!$E$5:$E$594,MATCH($C494,'Staff Directory'!$B$5:$B$594,0)),""))</f>
        <v>firstname117.lastname117@example.com</v>
      </c>
      <c r="AB494" s="64" t="str">
        <f>IF($C494="","",IF(ISNUMBER(SEARCH($D494,Settings!$C$15)),"Pickup","Dispatch"))</f>
        <v>Pickup</v>
      </c>
      <c r="AC494" s="64" t="str">
        <f t="shared" si="89"/>
        <v>Supply order ready for pickup</v>
      </c>
      <c r="AD494" s="64" t="str">
        <f t="shared" si="80"/>
        <v>Dear PSW,
Your order is ready for pickup from Sample Branch, Wed-Fri 9am-4pm.</v>
      </c>
      <c r="AE494" s="64" t="str">
        <f t="shared" si="81"/>
        <v>mailto:firstname117.lastname117@example.com?subject=Supply%20order%20ready%20for%20pickup&amp;body=Dear%20PSW%2C%0A%0AYour%20order%20is%20ready%20for%20pickup%20from%20Sample%20Branch%2C%20Wed-Fri%209am-4pm.</v>
      </c>
      <c r="AF494" s="89" t="str">
        <f t="shared" si="90"/>
        <v>Draft email</v>
      </c>
      <c r="AG494" s="64" t="str">
        <f>IF($C494="","",IFERROR(INDEX('Staff Directory'!$K$595:$K$599,MATCH($C494,'Staff Directory'!$B$5:$B$599,0)),$D494))</f>
        <v>PSW</v>
      </c>
      <c r="AH494" t="str">
        <f>IF($C494="","",IFERROR(INDEX('Staff Directory'!$I$595:$I$599,MATCH($C494,'Staff Directory'!$B$5:$B$599,0))&amp;" "&amp;INDEX('Staff Directory'!$J$595:$J$599,MATCH($C494,'Staff Directory'!$B$5:$B$599,0)),$AG494))</f>
        <v>PSW</v>
      </c>
      <c r="AI494" s="102"/>
      <c r="AJ494" s="101">
        <f>IF($F494="","",SUMIFS($J$5:$J494,$F$5:$F494,$F494))</f>
        <v>1000</v>
      </c>
      <c r="AK494" s="101">
        <f t="shared" si="82"/>
        <v>501</v>
      </c>
      <c r="AL494" s="66" t="str" cm="1">
        <f t="array" ref="AL494">IF($F494="","",IFERROR(INDEX('Lot Balance'!$B$5:$B$500,MATCH(1,INDEX(('Lot Balance'!$A$5:$A$500=$F494)*('Lot Balance'!$K$5:$K$500&lt;$AK494)*('Lot Balance'!$K$5:$K$500+'Lot Balance'!$D$5:$D$500&gt;=$AK494),0),0)),""))</f>
        <v>XL5003005</v>
      </c>
      <c r="AM494" s="66" t="str" cm="1">
        <f t="array" ref="AM494">IF($F494="","",IFERROR(INDEX('Lot Balance'!$B$5:$B$500,MATCH(1,INDEX(('Lot Balance'!$A$5:$A$500=$F494)*('Lot Balance'!$K$5:$K$500&lt;$AJ494)*('Lot Balance'!$K$5:$K$500+'Lot Balance'!$D$5:$D$500&gt;=$AJ494),0),0)),""))</f>
        <v>XL5003005</v>
      </c>
      <c r="AN494" s="66" t="str">
        <f>IF($F494="","",IF($AI494&lt;&gt;"",IF(COUNTIFS('Lot Balance'!$A$5:$A$500,$F494,'Lot Balance'!$B$5:$B$500,$AI494)=0,"⚠ override is not a lot of this item",IF($AI494=$AL494,"Override = FEFO","Override - FEFO says "&amp;$AL494)),IF($AL494="","⚠ no receipt on file for this item",IF($AM494&lt;&gt;$AL494,"FEFO auto - split, also "&amp;$AM494,"FEFO auto"))))</f>
        <v>FEFO auto</v>
      </c>
      <c r="AO494" s="114"/>
    </row>
    <row r="495" spans="1:41" x14ac:dyDescent="0.35">
      <c r="A495" s="74">
        <v>46146</v>
      </c>
      <c r="B495" s="18" t="str">
        <f>IF($C495="","",IFERROR(INDEX('Staff Directory'!$A$5:$A$594,MATCH($C495,'Staff Directory'!$B$5:$B$594,0)),"⚠ unknown staff"))</f>
        <v>PSW-057-A5</v>
      </c>
      <c r="C495" s="49" t="s">
        <v>1033</v>
      </c>
      <c r="D495" s="19" t="str">
        <f>IF($B495="","",IFERROR(INDEX('Staff Directory'!$C$5:$C$594,MATCH($B495,'Staff Directory'!$A$5:$A$594,0)),""))</f>
        <v>PSW</v>
      </c>
      <c r="E495" s="19" t="str">
        <f>IF($B495="","",IFERROR(INDEX('Staff Directory'!$D$5:$D$594,MATCH($B495,'Staff Directory'!$A$5:$A$594,0)),""))</f>
        <v>A5</v>
      </c>
      <c r="F495" s="9" t="s">
        <v>115</v>
      </c>
      <c r="G495" s="18" t="str">
        <f>IF($F495="","",IFERROR(INDEX(Items!$B$5:$B$597,MATCH($F495,Items!$A$5:$A$597,0)),"⚠ not in Items"))</f>
        <v>Wipes</v>
      </c>
      <c r="H495" s="19">
        <f>IF($F495="","",IFERROR(INDEX(Items!$C$5:$C$597,MATCH($F495,Items!$A$5:$A$597,0)),""))</f>
        <v>80</v>
      </c>
      <c r="I495" s="23">
        <f>IF($F495="","",IFERROR(INDEX(Items!$E$5:$E$597,MATCH($F495,Items!$A$5:$A$597,0)),""))</f>
        <v>80</v>
      </c>
      <c r="J495" s="115">
        <f>IF(tblIssues[[#This Row],[Qty Override]]&lt;&gt;"",tblIssues[[#This Row],[Qty Override]],IF(tblIssues[[#This Row],[Standard Issue]]="","",tblIssues[[#This Row],[Standard Issue]]))</f>
        <v>80</v>
      </c>
      <c r="K495" s="20">
        <f>IF($F495="","",IFERROR(INDEX(Items!$D$5:$D$597,MATCH($F495,Items!$A$5:$A$597,0)),""))</f>
        <v>0.1</v>
      </c>
      <c r="L495" s="21">
        <f t="shared" si="83"/>
        <v>8</v>
      </c>
      <c r="M495" s="9" t="str">
        <f t="shared" si="84"/>
        <v>LYSL500290</v>
      </c>
      <c r="N495" s="24">
        <f>IF($A495="","",WORKDAY($A495,Settings!$C$9,HolidayDates))</f>
        <v>46154</v>
      </c>
      <c r="O495" s="24">
        <f>IF($N495="","",WORKDAY($N495,Settings!$C$10,HolidayDates))</f>
        <v>46192</v>
      </c>
      <c r="P495" s="10" t="s">
        <v>501</v>
      </c>
      <c r="Q495" s="52" t="str">
        <f t="shared" si="86"/>
        <v>Collected</v>
      </c>
      <c r="R495" s="55" t="str">
        <f t="shared" si="87"/>
        <v>2026-05</v>
      </c>
      <c r="S495" s="55">
        <f>IF(OR($B495="",$F495="",$R495=""),"",SUMIFS(tblIssues[Qty Issued],tblIssues[Staff ID],$B495,tblIssues[Item Name],$F495,tblIssues[Month],$R495))</f>
        <v>80</v>
      </c>
      <c r="T495" s="56">
        <f>IF($I495="","",$I495*Settings!$C$11)</f>
        <v>80</v>
      </c>
      <c r="U495" s="57" t="str">
        <f t="shared" si="85"/>
        <v>OK</v>
      </c>
      <c r="V495" s="55" t="str">
        <f t="shared" si="88"/>
        <v/>
      </c>
      <c r="W495" s="55" t="str">
        <f>IF($V495="","",IF(COUNTIF($V$5:$V495,$V495)=1,1,""))</f>
        <v/>
      </c>
      <c r="X495" s="58" t="str">
        <f>IF($W495="","",MAX($X$4:X494)+1)</f>
        <v/>
      </c>
      <c r="Y495" s="62"/>
      <c r="Z495" s="62"/>
      <c r="AA495" s="64" t="str">
        <f>IF($C495="","",IFERROR(INDEX('Staff Directory'!$E$5:$E$594,MATCH($C495,'Staff Directory'!$B$5:$B$594,0)),""))</f>
        <v>firstname117.lastname117@example.com</v>
      </c>
      <c r="AB495" s="64" t="str">
        <f>IF($C495="","",IF(ISNUMBER(SEARCH($D495,Settings!$C$15)),"Pickup","Dispatch"))</f>
        <v>Pickup</v>
      </c>
      <c r="AC495" s="64" t="str">
        <f t="shared" si="89"/>
        <v>Supply order ready for pickup</v>
      </c>
      <c r="AD495" s="64" t="str">
        <f t="shared" si="80"/>
        <v>Dear PSW,
Your order is ready for pickup from Sample Branch, Wed-Fri 9am-4pm.</v>
      </c>
      <c r="AE495" s="64" t="str">
        <f t="shared" si="81"/>
        <v>mailto:firstname117.lastname117@example.com?subject=Supply%20order%20ready%20for%20pickup&amp;body=Dear%20PSW%2C%0A%0AYour%20order%20is%20ready%20for%20pickup%20from%20Sample%20Branch%2C%20Wed-Fri%209am-4pm.</v>
      </c>
      <c r="AF495" s="89" t="str">
        <f t="shared" si="90"/>
        <v>Draft email</v>
      </c>
      <c r="AG495" s="64" t="str">
        <f>IF($C495="","",IFERROR(INDEX('Staff Directory'!$K$595:$K$599,MATCH($C495,'Staff Directory'!$B$5:$B$599,0)),$D495))</f>
        <v>PSW</v>
      </c>
      <c r="AH495" t="str">
        <f>IF($C495="","",IFERROR(INDEX('Staff Directory'!$I$595:$I$599,MATCH($C495,'Staff Directory'!$B$5:$B$599,0))&amp;" "&amp;INDEX('Staff Directory'!$J$595:$J$599,MATCH($C495,'Staff Directory'!$B$5:$B$599,0)),$AG495))</f>
        <v>PSW</v>
      </c>
      <c r="AI495" s="102"/>
      <c r="AJ495" s="101">
        <f>IF($F495="","",SUMIFS($J$5:$J495,$F$5:$F495,$F495))</f>
        <v>7040</v>
      </c>
      <c r="AK495" s="101">
        <f t="shared" si="82"/>
        <v>6961</v>
      </c>
      <c r="AL495" s="66" t="str" cm="1">
        <f t="array" ref="AL495">IF($F495="","",IFERROR(INDEX('Lot Balance'!$B$5:$B$500,MATCH(1,INDEX(('Lot Balance'!$A$5:$A$500=$F495)*('Lot Balance'!$K$5:$K$500&lt;$AK495)*('Lot Balance'!$K$5:$K$500+'Lot Balance'!$D$5:$D$500&gt;=$AK495),0),0)),""))</f>
        <v>LYSL500290</v>
      </c>
      <c r="AM495" s="66" t="str" cm="1">
        <f t="array" ref="AM495">IF($F495="","",IFERROR(INDEX('Lot Balance'!$B$5:$B$500,MATCH(1,INDEX(('Lot Balance'!$A$5:$A$500=$F495)*('Lot Balance'!$K$5:$K$500&lt;$AJ495)*('Lot Balance'!$K$5:$K$500+'Lot Balance'!$D$5:$D$500&gt;=$AJ495),0),0)),""))</f>
        <v>LYSL500290</v>
      </c>
      <c r="AN495" s="66" t="str">
        <f>IF($F495="","",IF($AI495&lt;&gt;"",IF(COUNTIFS('Lot Balance'!$A$5:$A$500,$F495,'Lot Balance'!$B$5:$B$500,$AI495)=0,"⚠ override is not a lot of this item",IF($AI495=$AL495,"Override = FEFO","Override - FEFO says "&amp;$AL495)),IF($AL495="","⚠ no receipt on file for this item",IF($AM495&lt;&gt;$AL495,"FEFO auto - split, also "&amp;$AM495,"FEFO auto"))))</f>
        <v>FEFO auto</v>
      </c>
      <c r="AO495" s="114"/>
    </row>
    <row r="496" spans="1:41" x14ac:dyDescent="0.35">
      <c r="A496" s="74">
        <v>46146</v>
      </c>
      <c r="B496" s="18" t="str">
        <f>IF($C496="","",IFERROR(INDEX('Staff Directory'!$A$5:$A$594,MATCH($C496,'Staff Directory'!$B$5:$B$594,0)),"⚠ unknown staff"))</f>
        <v>PSW-057-A5</v>
      </c>
      <c r="C496" s="49" t="s">
        <v>1033</v>
      </c>
      <c r="D496" s="19" t="str">
        <f>IF($B496="","",IFERROR(INDEX('Staff Directory'!$C$5:$C$594,MATCH($B496,'Staff Directory'!$A$5:$A$594,0)),""))</f>
        <v>PSW</v>
      </c>
      <c r="E496" s="19" t="str">
        <f>IF($B496="","",IFERROR(INDEX('Staff Directory'!$D$5:$D$594,MATCH($B496,'Staff Directory'!$A$5:$A$594,0)),""))</f>
        <v>A5</v>
      </c>
      <c r="F496" s="9" t="s">
        <v>156</v>
      </c>
      <c r="G496" s="18" t="str">
        <f>IF($F496="","",IFERROR(INDEX(Items!$B$5:$B$597,MATCH($F496,Items!$A$5:$A$597,0)),"⚠ not in Items"))</f>
        <v>Masks</v>
      </c>
      <c r="H496" s="19" t="str">
        <f>IF($F496="","",IFERROR(INDEX(Items!$C$5:$C$597,MATCH($F496,Items!$A$5:$A$597,0)),""))</f>
        <v>One Size</v>
      </c>
      <c r="I496" s="23">
        <f>IF($F496="","",IFERROR(INDEX(Items!$E$5:$E$597,MATCH($F496,Items!$A$5:$A$597,0)),""))</f>
        <v>50</v>
      </c>
      <c r="J496" s="115">
        <f>IF(tblIssues[[#This Row],[Qty Override]]&lt;&gt;"",tblIssues[[#This Row],[Qty Override]],IF(tblIssues[[#This Row],[Standard Issue]]="","",tblIssues[[#This Row],[Standard Issue]]))</f>
        <v>50</v>
      </c>
      <c r="K496" s="20">
        <f>IF($F496="","",IFERROR(INDEX(Items!$D$5:$D$597,MATCH($F496,Items!$A$5:$A$597,0)),""))</f>
        <v>0.25</v>
      </c>
      <c r="L496" s="21">
        <f t="shared" si="83"/>
        <v>12.5</v>
      </c>
      <c r="M496" s="9" t="str">
        <f t="shared" si="84"/>
        <v>0125FPC24-0</v>
      </c>
      <c r="N496" s="24">
        <f>IF($A496="","",WORKDAY($A496,Settings!$C$9,HolidayDates))</f>
        <v>46154</v>
      </c>
      <c r="O496" s="24">
        <f>IF($N496="","",WORKDAY($N496,Settings!$C$10,HolidayDates))</f>
        <v>46192</v>
      </c>
      <c r="P496" s="10" t="s">
        <v>501</v>
      </c>
      <c r="Q496" s="52" t="str">
        <f t="shared" si="86"/>
        <v>Collected</v>
      </c>
      <c r="R496" s="55" t="str">
        <f t="shared" si="87"/>
        <v>2026-05</v>
      </c>
      <c r="S496" s="55">
        <f>IF(OR($B496="",$F496="",$R496=""),"",SUMIFS(tblIssues[Qty Issued],tblIssues[Staff ID],$B496,tblIssues[Item Name],$F496,tblIssues[Month],$R496))</f>
        <v>50</v>
      </c>
      <c r="T496" s="56">
        <f>IF($I496="","",$I496*Settings!$C$11)</f>
        <v>50</v>
      </c>
      <c r="U496" s="57" t="str">
        <f t="shared" si="85"/>
        <v>OK</v>
      </c>
      <c r="V496" s="55" t="str">
        <f t="shared" si="88"/>
        <v/>
      </c>
      <c r="W496" s="55" t="str">
        <f>IF($V496="","",IF(COUNTIF($V$5:$V496,$V496)=1,1,""))</f>
        <v/>
      </c>
      <c r="X496" s="58" t="str">
        <f>IF($W496="","",MAX($X$4:X495)+1)</f>
        <v/>
      </c>
      <c r="Y496" s="62"/>
      <c r="Z496" s="62"/>
      <c r="AA496" s="64" t="str">
        <f>IF($C496="","",IFERROR(INDEX('Staff Directory'!$E$5:$E$594,MATCH($C496,'Staff Directory'!$B$5:$B$594,0)),""))</f>
        <v>firstname117.lastname117@example.com</v>
      </c>
      <c r="AB496" s="64" t="str">
        <f>IF($C496="","",IF(ISNUMBER(SEARCH($D496,Settings!$C$15)),"Pickup","Dispatch"))</f>
        <v>Pickup</v>
      </c>
      <c r="AC496" s="64" t="str">
        <f t="shared" si="89"/>
        <v>Supply order ready for pickup</v>
      </c>
      <c r="AD496" s="64" t="str">
        <f t="shared" si="80"/>
        <v>Dear PSW,
Your order is ready for pickup from Sample Branch, Wed-Fri 9am-4pm.</v>
      </c>
      <c r="AE496" s="64" t="str">
        <f t="shared" si="81"/>
        <v>mailto:firstname117.lastname117@example.com?subject=Supply%20order%20ready%20for%20pickup&amp;body=Dear%20PSW%2C%0A%0AYour%20order%20is%20ready%20for%20pickup%20from%20Sample%20Branch%2C%20Wed-Fri%209am-4pm.</v>
      </c>
      <c r="AF496" s="89" t="str">
        <f t="shared" si="90"/>
        <v>Draft email</v>
      </c>
      <c r="AG496" s="64" t="str">
        <f>IF($C496="","",IFERROR(INDEX('Staff Directory'!$K$595:$K$599,MATCH($C496,'Staff Directory'!$B$5:$B$599,0)),$D496))</f>
        <v>PSW</v>
      </c>
      <c r="AH496" t="str">
        <f>IF($C496="","",IFERROR(INDEX('Staff Directory'!$I$595:$I$599,MATCH($C496,'Staff Directory'!$B$5:$B$599,0))&amp;" "&amp;INDEX('Staff Directory'!$J$595:$J$599,MATCH($C496,'Staff Directory'!$B$5:$B$599,0)),$AG496))</f>
        <v>PSW</v>
      </c>
      <c r="AI496" s="102"/>
      <c r="AJ496" s="101">
        <f>IF($F496="","",SUMIFS($J$5:$J496,$F$5:$F496,$F496))</f>
        <v>4050</v>
      </c>
      <c r="AK496" s="101">
        <f t="shared" si="82"/>
        <v>4001</v>
      </c>
      <c r="AL496" s="66" t="str" cm="1">
        <f t="array" ref="AL496">IF($F496="","",IFERROR(INDEX('Lot Balance'!$B$5:$B$500,MATCH(1,INDEX(('Lot Balance'!$A$5:$A$500=$F496)*('Lot Balance'!$K$5:$K$500&lt;$AK496)*('Lot Balance'!$K$5:$K$500+'Lot Balance'!$D$5:$D$500&gt;=$AK496),0),0)),""))</f>
        <v>0125FPC24-0</v>
      </c>
      <c r="AM496" s="66" t="str" cm="1">
        <f t="array" ref="AM496">IF($F496="","",IFERROR(INDEX('Lot Balance'!$B$5:$B$500,MATCH(1,INDEX(('Lot Balance'!$A$5:$A$500=$F496)*('Lot Balance'!$K$5:$K$500&lt;$AJ496)*('Lot Balance'!$K$5:$K$500+'Lot Balance'!$D$5:$D$500&gt;=$AJ496),0),0)),""))</f>
        <v>0125FPC24-0</v>
      </c>
      <c r="AN496" s="66" t="str">
        <f>IF($F496="","",IF($AI496&lt;&gt;"",IF(COUNTIFS('Lot Balance'!$A$5:$A$500,$F496,'Lot Balance'!$B$5:$B$500,$AI496)=0,"⚠ override is not a lot of this item",IF($AI496=$AL496,"Override = FEFO","Override - FEFO says "&amp;$AL496)),IF($AL496="","⚠ no receipt on file for this item",IF($AM496&lt;&gt;$AL496,"FEFO auto - split, also "&amp;$AM496,"FEFO auto"))))</f>
        <v>FEFO auto</v>
      </c>
      <c r="AO496" s="114"/>
    </row>
    <row r="497" spans="1:41" x14ac:dyDescent="0.35">
      <c r="A497" s="74">
        <v>46146</v>
      </c>
      <c r="B497" s="18" t="str">
        <f>IF($C497="","",IFERROR(INDEX('Staff Directory'!$A$5:$A$594,MATCH($C497,'Staff Directory'!$B$5:$B$594,0)),"⚠ unknown staff"))</f>
        <v>PSW-057-A5</v>
      </c>
      <c r="C497" s="49" t="s">
        <v>1033</v>
      </c>
      <c r="D497" s="19" t="str">
        <f>IF($B497="","",IFERROR(INDEX('Staff Directory'!$C$5:$C$594,MATCH($B497,'Staff Directory'!$A$5:$A$594,0)),""))</f>
        <v>PSW</v>
      </c>
      <c r="E497" s="19" t="str">
        <f>IF($B497="","",IFERROR(INDEX('Staff Directory'!$D$5:$D$594,MATCH($B497,'Staff Directory'!$A$5:$A$594,0)),""))</f>
        <v>A5</v>
      </c>
      <c r="F497" s="9" t="s">
        <v>154</v>
      </c>
      <c r="G497" s="18" t="str">
        <f>IF($F497="","",IFERROR(INDEX(Items!$B$5:$B$597,MATCH($F497,Items!$A$5:$A$597,0)),"⚠ not in Items"))</f>
        <v>IPAC</v>
      </c>
      <c r="H497" s="19" t="str">
        <f>IF($F497="","",IFERROR(INDEX(Items!$C$5:$C$597,MATCH($F497,Items!$A$5:$A$597,0)),""))</f>
        <v>Regular</v>
      </c>
      <c r="I497" s="23">
        <f>IF($F497="","",IFERROR(INDEX(Items!$E$5:$E$597,MATCH($F497,Items!$A$5:$A$597,0)),""))</f>
        <v>50</v>
      </c>
      <c r="J497" s="115">
        <f>IF(tblIssues[[#This Row],[Qty Override]]&lt;&gt;"",tblIssues[[#This Row],[Qty Override]],IF(tblIssues[[#This Row],[Standard Issue]]="","",tblIssues[[#This Row],[Standard Issue]]))</f>
        <v>50</v>
      </c>
      <c r="K497" s="20">
        <f>IF($F497="","",IFERROR(INDEX(Items!$D$5:$D$597,MATCH($F497,Items!$A$5:$A$597,0)),""))</f>
        <v>0.2</v>
      </c>
      <c r="L497" s="21">
        <f t="shared" si="83"/>
        <v>10</v>
      </c>
      <c r="M497" s="9">
        <f t="shared" si="84"/>
        <v>3024</v>
      </c>
      <c r="N497" s="24">
        <f>IF($A497="","",WORKDAY($A497,Settings!$C$9,HolidayDates))</f>
        <v>46154</v>
      </c>
      <c r="O497" s="24">
        <f>IF($N497="","",WORKDAY($N497,Settings!$C$10,HolidayDates))</f>
        <v>46192</v>
      </c>
      <c r="P497" s="10" t="s">
        <v>501</v>
      </c>
      <c r="Q497" s="52" t="str">
        <f t="shared" si="86"/>
        <v>Collected</v>
      </c>
      <c r="R497" s="55" t="str">
        <f t="shared" si="87"/>
        <v>2026-05</v>
      </c>
      <c r="S497" s="55">
        <f>IF(OR($B497="",$F497="",$R497=""),"",SUMIFS(tblIssues[Qty Issued],tblIssues[Staff ID],$B497,tblIssues[Item Name],$F497,tblIssues[Month],$R497))</f>
        <v>50</v>
      </c>
      <c r="T497" s="56">
        <f>IF($I497="","",$I497*Settings!$C$11)</f>
        <v>50</v>
      </c>
      <c r="U497" s="57" t="str">
        <f t="shared" si="85"/>
        <v>OK</v>
      </c>
      <c r="V497" s="55" t="str">
        <f t="shared" si="88"/>
        <v/>
      </c>
      <c r="W497" s="55" t="str">
        <f>IF($V497="","",IF(COUNTIF($V$5:$V497,$V497)=1,1,""))</f>
        <v/>
      </c>
      <c r="X497" s="58" t="str">
        <f>IF($W497="","",MAX($X$4:X496)+1)</f>
        <v/>
      </c>
      <c r="Y497" s="62"/>
      <c r="Z497" s="62"/>
      <c r="AA497" s="64" t="str">
        <f>IF($C497="","",IFERROR(INDEX('Staff Directory'!$E$5:$E$594,MATCH($C497,'Staff Directory'!$B$5:$B$594,0)),""))</f>
        <v>firstname117.lastname117@example.com</v>
      </c>
      <c r="AB497" s="64" t="str">
        <f>IF($C497="","",IF(ISNUMBER(SEARCH($D497,Settings!$C$15)),"Pickup","Dispatch"))</f>
        <v>Pickup</v>
      </c>
      <c r="AC497" s="64" t="str">
        <f t="shared" si="89"/>
        <v>Supply order ready for pickup</v>
      </c>
      <c r="AD497" s="64" t="str">
        <f t="shared" si="80"/>
        <v>Dear PSW,
Your order is ready for pickup from Sample Branch, Wed-Fri 9am-4pm.</v>
      </c>
      <c r="AE497" s="64" t="str">
        <f t="shared" si="81"/>
        <v>mailto:firstname117.lastname117@example.com?subject=Supply%20order%20ready%20for%20pickup&amp;body=Dear%20PSW%2C%0A%0AYour%20order%20is%20ready%20for%20pickup%20from%20Sample%20Branch%2C%20Wed-Fri%209am-4pm.</v>
      </c>
      <c r="AF497" s="89" t="str">
        <f t="shared" si="90"/>
        <v>Draft email</v>
      </c>
      <c r="AG497" s="64" t="str">
        <f>IF($C497="","",IFERROR(INDEX('Staff Directory'!$K$595:$K$599,MATCH($C497,'Staff Directory'!$B$5:$B$599,0)),$D497))</f>
        <v>PSW</v>
      </c>
      <c r="AH497" t="str">
        <f>IF($C497="","",IFERROR(INDEX('Staff Directory'!$I$595:$I$599,MATCH($C497,'Staff Directory'!$B$5:$B$599,0))&amp;" "&amp;INDEX('Staff Directory'!$J$595:$J$599,MATCH($C497,'Staff Directory'!$B$5:$B$599,0)),$AG497))</f>
        <v>PSW</v>
      </c>
      <c r="AI497" s="102"/>
      <c r="AJ497" s="101">
        <f>IF($F497="","",SUMIFS($J$5:$J497,$F$5:$F497,$F497))</f>
        <v>300</v>
      </c>
      <c r="AK497" s="101">
        <f t="shared" si="82"/>
        <v>251</v>
      </c>
      <c r="AL497" s="66" cm="1">
        <f t="array" ref="AL497">IF($F497="","",IFERROR(INDEX('Lot Balance'!$B$5:$B$500,MATCH(1,INDEX(('Lot Balance'!$A$5:$A$500=$F497)*('Lot Balance'!$K$5:$K$500&lt;$AK497)*('Lot Balance'!$K$5:$K$500+'Lot Balance'!$D$5:$D$500&gt;=$AK497),0),0)),""))</f>
        <v>3024</v>
      </c>
      <c r="AM497" s="66" cm="1">
        <f t="array" ref="AM497">IF($F497="","",IFERROR(INDEX('Lot Balance'!$B$5:$B$500,MATCH(1,INDEX(('Lot Balance'!$A$5:$A$500=$F497)*('Lot Balance'!$K$5:$K$500&lt;$AJ497)*('Lot Balance'!$K$5:$K$500+'Lot Balance'!$D$5:$D$500&gt;=$AJ497),0),0)),""))</f>
        <v>3024</v>
      </c>
      <c r="AN497" s="66" t="str">
        <f>IF($F497="","",IF($AI497&lt;&gt;"",IF(COUNTIFS('Lot Balance'!$A$5:$A$500,$F497,'Lot Balance'!$B$5:$B$500,$AI497)=0,"⚠ override is not a lot of this item",IF($AI497=$AL497,"Override = FEFO","Override - FEFO says "&amp;$AL497)),IF($AL497="","⚠ no receipt on file for this item",IF($AM497&lt;&gt;$AL497,"FEFO auto - split, also "&amp;$AM497,"FEFO auto"))))</f>
        <v>FEFO auto</v>
      </c>
      <c r="AO497" s="114"/>
    </row>
    <row r="498" spans="1:41" x14ac:dyDescent="0.35">
      <c r="A498" s="74">
        <v>46146</v>
      </c>
      <c r="B498" s="18" t="str">
        <f>IF($C498="","",IFERROR(INDEX('Staff Directory'!$A$5:$A$594,MATCH($C498,'Staff Directory'!$B$5:$B$594,0)),"⚠ unknown staff"))</f>
        <v>PSW-121-A4</v>
      </c>
      <c r="C498" s="49" t="s">
        <v>1100</v>
      </c>
      <c r="D498" s="19" t="str">
        <f>IF($B498="","",IFERROR(INDEX('Staff Directory'!$C$5:$C$594,MATCH($B498,'Staff Directory'!$A$5:$A$594,0)),""))</f>
        <v>PSW</v>
      </c>
      <c r="E498" s="19" t="str">
        <f>IF($B498="","",IFERROR(INDEX('Staff Directory'!$D$5:$D$594,MATCH($B498,'Staff Directory'!$A$5:$A$594,0)),""))</f>
        <v>A4</v>
      </c>
      <c r="F498" s="9" t="s">
        <v>124</v>
      </c>
      <c r="G498" s="18" t="str">
        <f>IF($F498="","",IFERROR(INDEX(Items!$B$5:$B$597,MATCH($F498,Items!$A$5:$A$597,0)),"⚠ not in Items"))</f>
        <v>Gloves</v>
      </c>
      <c r="H498" s="19" t="str">
        <f>IF($F498="","",IFERROR(INDEX(Items!$C$5:$C$597,MATCH($F498,Items!$A$5:$A$597,0)),""))</f>
        <v>Large</v>
      </c>
      <c r="I498" s="23">
        <f>IF($F498="","",IFERROR(INDEX(Items!$E$5:$E$597,MATCH($F498,Items!$A$5:$A$597,0)),""))</f>
        <v>500</v>
      </c>
      <c r="J498" s="115">
        <f>IF(tblIssues[[#This Row],[Qty Override]]&lt;&gt;"",tblIssues[[#This Row],[Qty Override]],IF(tblIssues[[#This Row],[Standard Issue]]="","",tblIssues[[#This Row],[Standard Issue]]))</f>
        <v>500</v>
      </c>
      <c r="K498" s="20">
        <f>IF($F498="","",IFERROR(INDEX(Items!$D$5:$D$597,MATCH($F498,Items!$A$5:$A$597,0)),""))</f>
        <v>5.5E-2</v>
      </c>
      <c r="L498" s="21">
        <f t="shared" si="83"/>
        <v>27.5</v>
      </c>
      <c r="M498" s="9" t="str">
        <f t="shared" si="84"/>
        <v>ZIM511139904-1</v>
      </c>
      <c r="N498" s="24">
        <f>IF($A498="","",WORKDAY($A498,Settings!$C$9,HolidayDates))</f>
        <v>46154</v>
      </c>
      <c r="O498" s="24">
        <f>IF($N498="","",WORKDAY($N498,Settings!$C$10,HolidayDates))</f>
        <v>46192</v>
      </c>
      <c r="P498" s="10" t="s">
        <v>501</v>
      </c>
      <c r="Q498" s="52" t="str">
        <f t="shared" si="86"/>
        <v>Collected</v>
      </c>
      <c r="R498" s="55" t="str">
        <f t="shared" si="87"/>
        <v>2026-05</v>
      </c>
      <c r="S498" s="55">
        <f>IF(OR($B498="",$F498="",$R498=""),"",SUMIFS(tblIssues[Qty Issued],tblIssues[Staff ID],$B498,tblIssues[Item Name],$F498,tblIssues[Month],$R498))</f>
        <v>500</v>
      </c>
      <c r="T498" s="56">
        <f>IF($I498="","",$I498*Settings!$C$11)</f>
        <v>500</v>
      </c>
      <c r="U498" s="57" t="str">
        <f t="shared" si="85"/>
        <v>OK</v>
      </c>
      <c r="V498" s="55" t="str">
        <f t="shared" si="88"/>
        <v/>
      </c>
      <c r="W498" s="55" t="str">
        <f>IF($V498="","",IF(COUNTIF($V$5:$V498,$V498)=1,1,""))</f>
        <v/>
      </c>
      <c r="X498" s="58" t="str">
        <f>IF($W498="","",MAX($X$4:X497)+1)</f>
        <v/>
      </c>
      <c r="Y498" s="62"/>
      <c r="Z498" s="62"/>
      <c r="AA498" s="64" t="str">
        <f>IF($C498="","",IFERROR(INDEX('Staff Directory'!$E$5:$E$594,MATCH($C498,'Staff Directory'!$B$5:$B$594,0)),""))</f>
        <v>firstname184.lastname184@example.com</v>
      </c>
      <c r="AB498" s="64" t="str">
        <f>IF($C498="","",IF(ISNUMBER(SEARCH($D498,Settings!$C$15)),"Pickup","Dispatch"))</f>
        <v>Pickup</v>
      </c>
      <c r="AC498" s="64" t="str">
        <f t="shared" si="89"/>
        <v>Supply order ready for pickup</v>
      </c>
      <c r="AD498" s="64" t="str">
        <f t="shared" si="80"/>
        <v>Dear PSW,
Your order is ready for pickup from Sample Branch, Wed-Fri 9am-4pm.</v>
      </c>
      <c r="AE498" s="64" t="str">
        <f t="shared" si="81"/>
        <v>mailto:firstname184.lastname184@example.com?subject=Supply%20order%20ready%20for%20pickup&amp;body=Dear%20PSW%2C%0A%0AYour%20order%20is%20ready%20for%20pickup%20from%20Sample%20Branch%2C%20Wed-Fri%209am-4pm.</v>
      </c>
      <c r="AF498" s="89" t="str">
        <f t="shared" si="90"/>
        <v>Draft email</v>
      </c>
      <c r="AG498" s="64" t="str">
        <f>IF($C498="","",IFERROR(INDEX('Staff Directory'!$K$595:$K$599,MATCH($C498,'Staff Directory'!$B$5:$B$599,0)),$D498))</f>
        <v>PSW</v>
      </c>
      <c r="AH498" t="str">
        <f>IF($C498="","",IFERROR(INDEX('Staff Directory'!$I$595:$I$599,MATCH($C498,'Staff Directory'!$B$5:$B$599,0))&amp;" "&amp;INDEX('Staff Directory'!$J$595:$J$599,MATCH($C498,'Staff Directory'!$B$5:$B$599,0)),$AG498))</f>
        <v>PSW</v>
      </c>
      <c r="AI498" s="102"/>
      <c r="AJ498" s="101">
        <f>IF($F498="","",SUMIFS($J$5:$J498,$F$5:$F498,$F498))</f>
        <v>14500</v>
      </c>
      <c r="AK498" s="101">
        <f t="shared" si="82"/>
        <v>14001</v>
      </c>
      <c r="AL498" s="66" t="str" cm="1">
        <f t="array" ref="AL498">IF($F498="","",IFERROR(INDEX('Lot Balance'!$B$5:$B$500,MATCH(1,INDEX(('Lot Balance'!$A$5:$A$500=$F498)*('Lot Balance'!$K$5:$K$500&lt;$AK498)*('Lot Balance'!$K$5:$K$500+'Lot Balance'!$D$5:$D$500&gt;=$AK498),0),0)),""))</f>
        <v>ZIM511139904-1</v>
      </c>
      <c r="AM498" s="66" t="str" cm="1">
        <f t="array" ref="AM498">IF($F498="","",IFERROR(INDEX('Lot Balance'!$B$5:$B$500,MATCH(1,INDEX(('Lot Balance'!$A$5:$A$500=$F498)*('Lot Balance'!$K$5:$K$500&lt;$AJ498)*('Lot Balance'!$K$5:$K$500+'Lot Balance'!$D$5:$D$500&gt;=$AJ498),0),0)),""))</f>
        <v>ZIM511139904-1</v>
      </c>
      <c r="AN498" s="66" t="str">
        <f>IF($F498="","",IF($AI498&lt;&gt;"",IF(COUNTIFS('Lot Balance'!$A$5:$A$500,$F498,'Lot Balance'!$B$5:$B$500,$AI498)=0,"⚠ override is not a lot of this item",IF($AI498=$AL498,"Override = FEFO","Override - FEFO says "&amp;$AL498)),IF($AL498="","⚠ no receipt on file for this item",IF($AM498&lt;&gt;$AL498,"FEFO auto - split, also "&amp;$AM498,"FEFO auto"))))</f>
        <v>FEFO auto</v>
      </c>
      <c r="AO498" s="114"/>
    </row>
    <row r="499" spans="1:41" x14ac:dyDescent="0.35">
      <c r="A499" s="74">
        <v>46146</v>
      </c>
      <c r="B499" s="18" t="str">
        <f>IF($C499="","",IFERROR(INDEX('Staff Directory'!$A$5:$A$594,MATCH($C499,'Staff Directory'!$B$5:$B$594,0)),"⚠ unknown staff"))</f>
        <v>PSW-121-A4</v>
      </c>
      <c r="C499" s="49" t="s">
        <v>1100</v>
      </c>
      <c r="D499" s="19" t="str">
        <f>IF($B499="","",IFERROR(INDEX('Staff Directory'!$C$5:$C$594,MATCH($B499,'Staff Directory'!$A$5:$A$594,0)),""))</f>
        <v>PSW</v>
      </c>
      <c r="E499" s="19" t="str">
        <f>IF($B499="","",IFERROR(INDEX('Staff Directory'!$D$5:$D$594,MATCH($B499,'Staff Directory'!$A$5:$A$594,0)),""))</f>
        <v>A4</v>
      </c>
      <c r="F499" s="9" t="s">
        <v>115</v>
      </c>
      <c r="G499" s="18" t="str">
        <f>IF($F499="","",IFERROR(INDEX(Items!$B$5:$B$597,MATCH($F499,Items!$A$5:$A$597,0)),"⚠ not in Items"))</f>
        <v>Wipes</v>
      </c>
      <c r="H499" s="19">
        <f>IF($F499="","",IFERROR(INDEX(Items!$C$5:$C$597,MATCH($F499,Items!$A$5:$A$597,0)),""))</f>
        <v>80</v>
      </c>
      <c r="I499" s="23">
        <f>IF($F499="","",IFERROR(INDEX(Items!$E$5:$E$597,MATCH($F499,Items!$A$5:$A$597,0)),""))</f>
        <v>80</v>
      </c>
      <c r="J499" s="115">
        <f>IF(tblIssues[[#This Row],[Qty Override]]&lt;&gt;"",tblIssues[[#This Row],[Qty Override]],IF(tblIssues[[#This Row],[Standard Issue]]="","",tblIssues[[#This Row],[Standard Issue]]))</f>
        <v>80</v>
      </c>
      <c r="K499" s="20">
        <f>IF($F499="","",IFERROR(INDEX(Items!$D$5:$D$597,MATCH($F499,Items!$A$5:$A$597,0)),""))</f>
        <v>0.1</v>
      </c>
      <c r="L499" s="21">
        <f t="shared" si="83"/>
        <v>8</v>
      </c>
      <c r="M499" s="9" t="str">
        <f t="shared" si="84"/>
        <v>LYSL500290</v>
      </c>
      <c r="N499" s="24">
        <f>IF($A499="","",WORKDAY($A499,Settings!$C$9,HolidayDates))</f>
        <v>46154</v>
      </c>
      <c r="O499" s="24">
        <f>IF($N499="","",WORKDAY($N499,Settings!$C$10,HolidayDates))</f>
        <v>46192</v>
      </c>
      <c r="P499" s="10" t="s">
        <v>501</v>
      </c>
      <c r="Q499" s="52" t="str">
        <f t="shared" si="86"/>
        <v>Collected</v>
      </c>
      <c r="R499" s="55" t="str">
        <f t="shared" si="87"/>
        <v>2026-05</v>
      </c>
      <c r="S499" s="55">
        <f>IF(OR($B499="",$F499="",$R499=""),"",SUMIFS(tblIssues[Qty Issued],tblIssues[Staff ID],$B499,tblIssues[Item Name],$F499,tblIssues[Month],$R499))</f>
        <v>80</v>
      </c>
      <c r="T499" s="56">
        <f>IF($I499="","",$I499*Settings!$C$11)</f>
        <v>80</v>
      </c>
      <c r="U499" s="57" t="str">
        <f t="shared" si="85"/>
        <v>OK</v>
      </c>
      <c r="V499" s="55" t="str">
        <f t="shared" si="88"/>
        <v/>
      </c>
      <c r="W499" s="55" t="str">
        <f>IF($V499="","",IF(COUNTIF($V$5:$V499,$V499)=1,1,""))</f>
        <v/>
      </c>
      <c r="X499" s="58" t="str">
        <f>IF($W499="","",MAX($X$4:X498)+1)</f>
        <v/>
      </c>
      <c r="Y499" s="62"/>
      <c r="Z499" s="62"/>
      <c r="AA499" s="64" t="str">
        <f>IF($C499="","",IFERROR(INDEX('Staff Directory'!$E$5:$E$594,MATCH($C499,'Staff Directory'!$B$5:$B$594,0)),""))</f>
        <v>firstname184.lastname184@example.com</v>
      </c>
      <c r="AB499" s="64" t="str">
        <f>IF($C499="","",IF(ISNUMBER(SEARCH($D499,Settings!$C$15)),"Pickup","Dispatch"))</f>
        <v>Pickup</v>
      </c>
      <c r="AC499" s="64" t="str">
        <f t="shared" si="89"/>
        <v>Supply order ready for pickup</v>
      </c>
      <c r="AD499" s="64" t="str">
        <f t="shared" si="80"/>
        <v>Dear PSW,
Your order is ready for pickup from Sample Branch, Wed-Fri 9am-4pm.</v>
      </c>
      <c r="AE499" s="64" t="str">
        <f t="shared" si="81"/>
        <v>mailto:firstname184.lastname184@example.com?subject=Supply%20order%20ready%20for%20pickup&amp;body=Dear%20PSW%2C%0A%0AYour%20order%20is%20ready%20for%20pickup%20from%20Sample%20Branch%2C%20Wed-Fri%209am-4pm.</v>
      </c>
      <c r="AF499" s="89" t="str">
        <f t="shared" si="90"/>
        <v>Draft email</v>
      </c>
      <c r="AG499" s="64" t="str">
        <f>IF($C499="","",IFERROR(INDEX('Staff Directory'!$K$595:$K$599,MATCH($C499,'Staff Directory'!$B$5:$B$599,0)),$D499))</f>
        <v>PSW</v>
      </c>
      <c r="AH499" t="str">
        <f>IF($C499="","",IFERROR(INDEX('Staff Directory'!$I$595:$I$599,MATCH($C499,'Staff Directory'!$B$5:$B$599,0))&amp;" "&amp;INDEX('Staff Directory'!$J$595:$J$599,MATCH($C499,'Staff Directory'!$B$5:$B$599,0)),$AG499))</f>
        <v>PSW</v>
      </c>
      <c r="AI499" s="102"/>
      <c r="AJ499" s="101">
        <f>IF($F499="","",SUMIFS($J$5:$J499,$F$5:$F499,$F499))</f>
        <v>7120</v>
      </c>
      <c r="AK499" s="101">
        <f t="shared" si="82"/>
        <v>7041</v>
      </c>
      <c r="AL499" s="66" t="str" cm="1">
        <f t="array" ref="AL499">IF($F499="","",IFERROR(INDEX('Lot Balance'!$B$5:$B$500,MATCH(1,INDEX(('Lot Balance'!$A$5:$A$500=$F499)*('Lot Balance'!$K$5:$K$500&lt;$AK499)*('Lot Balance'!$K$5:$K$500+'Lot Balance'!$D$5:$D$500&gt;=$AK499),0),0)),""))</f>
        <v>LYSL500290</v>
      </c>
      <c r="AM499" s="66" t="str" cm="1">
        <f t="array" ref="AM499">IF($F499="","",IFERROR(INDEX('Lot Balance'!$B$5:$B$500,MATCH(1,INDEX(('Lot Balance'!$A$5:$A$500=$F499)*('Lot Balance'!$K$5:$K$500&lt;$AJ499)*('Lot Balance'!$K$5:$K$500+'Lot Balance'!$D$5:$D$500&gt;=$AJ499),0),0)),""))</f>
        <v>LYSL500290</v>
      </c>
      <c r="AN499" s="66" t="str">
        <f>IF($F499="","",IF($AI499&lt;&gt;"",IF(COUNTIFS('Lot Balance'!$A$5:$A$500,$F499,'Lot Balance'!$B$5:$B$500,$AI499)=0,"⚠ override is not a lot of this item",IF($AI499=$AL499,"Override = FEFO","Override - FEFO says "&amp;$AL499)),IF($AL499="","⚠ no receipt on file for this item",IF($AM499&lt;&gt;$AL499,"FEFO auto - split, also "&amp;$AM499,"FEFO auto"))))</f>
        <v>FEFO auto</v>
      </c>
      <c r="AO499" s="114"/>
    </row>
    <row r="500" spans="1:41" x14ac:dyDescent="0.35">
      <c r="A500" s="74">
        <v>46146</v>
      </c>
      <c r="B500" s="18" t="str">
        <f>IF($C500="","",IFERROR(INDEX('Staff Directory'!$A$5:$A$594,MATCH($C500,'Staff Directory'!$B$5:$B$594,0)),"⚠ unknown staff"))</f>
        <v>PSW-121-A4</v>
      </c>
      <c r="C500" s="49" t="s">
        <v>1100</v>
      </c>
      <c r="D500" s="19" t="str">
        <f>IF($B500="","",IFERROR(INDEX('Staff Directory'!$C$5:$C$594,MATCH($B500,'Staff Directory'!$A$5:$A$594,0)),""))</f>
        <v>PSW</v>
      </c>
      <c r="E500" s="19" t="str">
        <f>IF($B500="","",IFERROR(INDEX('Staff Directory'!$D$5:$D$594,MATCH($B500,'Staff Directory'!$A$5:$A$594,0)),""))</f>
        <v>A4</v>
      </c>
      <c r="F500" s="9" t="s">
        <v>156</v>
      </c>
      <c r="G500" s="18" t="str">
        <f>IF($F500="","",IFERROR(INDEX(Items!$B$5:$B$597,MATCH($F500,Items!$A$5:$A$597,0)),"⚠ not in Items"))</f>
        <v>Masks</v>
      </c>
      <c r="H500" s="19" t="str">
        <f>IF($F500="","",IFERROR(INDEX(Items!$C$5:$C$597,MATCH($F500,Items!$A$5:$A$597,0)),""))</f>
        <v>One Size</v>
      </c>
      <c r="I500" s="23">
        <f>IF($F500="","",IFERROR(INDEX(Items!$E$5:$E$597,MATCH($F500,Items!$A$5:$A$597,0)),""))</f>
        <v>50</v>
      </c>
      <c r="J500" s="115">
        <f>IF(tblIssues[[#This Row],[Qty Override]]&lt;&gt;"",tblIssues[[#This Row],[Qty Override]],IF(tblIssues[[#This Row],[Standard Issue]]="","",tblIssues[[#This Row],[Standard Issue]]))</f>
        <v>50</v>
      </c>
      <c r="K500" s="20">
        <f>IF($F500="","",IFERROR(INDEX(Items!$D$5:$D$597,MATCH($F500,Items!$A$5:$A$597,0)),""))</f>
        <v>0.25</v>
      </c>
      <c r="L500" s="21">
        <f t="shared" si="83"/>
        <v>12.5</v>
      </c>
      <c r="M500" s="9" t="str">
        <f t="shared" si="84"/>
        <v>0125FPC24-0</v>
      </c>
      <c r="N500" s="24">
        <f>IF($A500="","",WORKDAY($A500,Settings!$C$9,HolidayDates))</f>
        <v>46154</v>
      </c>
      <c r="O500" s="24">
        <f>IF($N500="","",WORKDAY($N500,Settings!$C$10,HolidayDates))</f>
        <v>46192</v>
      </c>
      <c r="P500" s="10" t="s">
        <v>501</v>
      </c>
      <c r="Q500" s="52" t="str">
        <f t="shared" si="86"/>
        <v>Collected</v>
      </c>
      <c r="R500" s="55" t="str">
        <f t="shared" si="87"/>
        <v>2026-05</v>
      </c>
      <c r="S500" s="55">
        <f>IF(OR($B500="",$F500="",$R500=""),"",SUMIFS(tblIssues[Qty Issued],tblIssues[Staff ID],$B500,tblIssues[Item Name],$F500,tblIssues[Month],$R500))</f>
        <v>50</v>
      </c>
      <c r="T500" s="56">
        <f>IF($I500="","",$I500*Settings!$C$11)</f>
        <v>50</v>
      </c>
      <c r="U500" s="57" t="str">
        <f t="shared" si="85"/>
        <v>OK</v>
      </c>
      <c r="V500" s="55" t="str">
        <f t="shared" si="88"/>
        <v/>
      </c>
      <c r="W500" s="55" t="str">
        <f>IF($V500="","",IF(COUNTIF($V$5:$V500,$V500)=1,1,""))</f>
        <v/>
      </c>
      <c r="X500" s="58" t="str">
        <f>IF($W500="","",MAX($X$4:X499)+1)</f>
        <v/>
      </c>
      <c r="Y500" s="62"/>
      <c r="Z500" s="62"/>
      <c r="AA500" s="64" t="str">
        <f>IF($C500="","",IFERROR(INDEX('Staff Directory'!$E$5:$E$594,MATCH($C500,'Staff Directory'!$B$5:$B$594,0)),""))</f>
        <v>firstname184.lastname184@example.com</v>
      </c>
      <c r="AB500" s="64" t="str">
        <f>IF($C500="","",IF(ISNUMBER(SEARCH($D500,Settings!$C$15)),"Pickup","Dispatch"))</f>
        <v>Pickup</v>
      </c>
      <c r="AC500" s="64" t="str">
        <f t="shared" si="89"/>
        <v>Supply order ready for pickup</v>
      </c>
      <c r="AD500" s="64" t="str">
        <f t="shared" si="80"/>
        <v>Dear PSW,
Your order is ready for pickup from Sample Branch, Wed-Fri 9am-4pm.</v>
      </c>
      <c r="AE500" s="64" t="str">
        <f t="shared" si="81"/>
        <v>mailto:firstname184.lastname184@example.com?subject=Supply%20order%20ready%20for%20pickup&amp;body=Dear%20PSW%2C%0A%0AYour%20order%20is%20ready%20for%20pickup%20from%20Sample%20Branch%2C%20Wed-Fri%209am-4pm.</v>
      </c>
      <c r="AF500" s="89" t="str">
        <f t="shared" si="90"/>
        <v>Draft email</v>
      </c>
      <c r="AG500" s="64" t="str">
        <f>IF($C500="","",IFERROR(INDEX('Staff Directory'!$K$595:$K$599,MATCH($C500,'Staff Directory'!$B$5:$B$599,0)),$D500))</f>
        <v>PSW</v>
      </c>
      <c r="AH500" t="str">
        <f>IF($C500="","",IFERROR(INDEX('Staff Directory'!$I$595:$I$599,MATCH($C500,'Staff Directory'!$B$5:$B$599,0))&amp;" "&amp;INDEX('Staff Directory'!$J$595:$J$599,MATCH($C500,'Staff Directory'!$B$5:$B$599,0)),$AG500))</f>
        <v>PSW</v>
      </c>
      <c r="AI500" s="102"/>
      <c r="AJ500" s="101">
        <f>IF($F500="","",SUMIFS($J$5:$J500,$F$5:$F500,$F500))</f>
        <v>4100</v>
      </c>
      <c r="AK500" s="101">
        <f t="shared" si="82"/>
        <v>4051</v>
      </c>
      <c r="AL500" s="66" t="str" cm="1">
        <f t="array" ref="AL500">IF($F500="","",IFERROR(INDEX('Lot Balance'!$B$5:$B$500,MATCH(1,INDEX(('Lot Balance'!$A$5:$A$500=$F500)*('Lot Balance'!$K$5:$K$500&lt;$AK500)*('Lot Balance'!$K$5:$K$500+'Lot Balance'!$D$5:$D$500&gt;=$AK500),0),0)),""))</f>
        <v>0125FPC24-0</v>
      </c>
      <c r="AM500" s="66" t="str" cm="1">
        <f t="array" ref="AM500">IF($F500="","",IFERROR(INDEX('Lot Balance'!$B$5:$B$500,MATCH(1,INDEX(('Lot Balance'!$A$5:$A$500=$F500)*('Lot Balance'!$K$5:$K$500&lt;$AJ500)*('Lot Balance'!$K$5:$K$500+'Lot Balance'!$D$5:$D$500&gt;=$AJ500),0),0)),""))</f>
        <v>0125FPC24-0</v>
      </c>
      <c r="AN500" s="66" t="str">
        <f>IF($F500="","",IF($AI500&lt;&gt;"",IF(COUNTIFS('Lot Balance'!$A$5:$A$500,$F500,'Lot Balance'!$B$5:$B$500,$AI500)=0,"⚠ override is not a lot of this item",IF($AI500=$AL500,"Override = FEFO","Override - FEFO says "&amp;$AL500)),IF($AL500="","⚠ no receipt on file for this item",IF($AM500&lt;&gt;$AL500,"FEFO auto - split, also "&amp;$AM500,"FEFO auto"))))</f>
        <v>FEFO auto</v>
      </c>
      <c r="AO500" s="114"/>
    </row>
    <row r="501" spans="1:41" x14ac:dyDescent="0.35">
      <c r="A501" s="74">
        <v>46146</v>
      </c>
      <c r="B501" s="18" t="str">
        <f>IF($C501="","",IFERROR(INDEX('Staff Directory'!$A$5:$A$594,MATCH($C501,'Staff Directory'!$B$5:$B$594,0)),"⚠ unknown staff"))</f>
        <v>PSW-121-A4</v>
      </c>
      <c r="C501" s="49" t="s">
        <v>1100</v>
      </c>
      <c r="D501" s="19" t="str">
        <f>IF($B501="","",IFERROR(INDEX('Staff Directory'!$C$5:$C$594,MATCH($B501,'Staff Directory'!$A$5:$A$594,0)),""))</f>
        <v>PSW</v>
      </c>
      <c r="E501" s="19" t="str">
        <f>IF($B501="","",IFERROR(INDEX('Staff Directory'!$D$5:$D$594,MATCH($B501,'Staff Directory'!$A$5:$A$594,0)),""))</f>
        <v>A4</v>
      </c>
      <c r="F501" s="9" t="s">
        <v>147</v>
      </c>
      <c r="G501" s="18" t="str">
        <f>IF($F501="","",IFERROR(INDEX(Items!$B$5:$B$597,MATCH($F501,Items!$A$5:$A$597,0)),"⚠ not in Items"))</f>
        <v>Apparel</v>
      </c>
      <c r="H501" s="19" t="str">
        <f>IF($F501="","",IFERROR(INDEX(Items!$C$5:$C$597,MATCH($F501,Items!$A$5:$A$597,0)),""))</f>
        <v>One Size</v>
      </c>
      <c r="I501" s="23">
        <f>IF($F501="","",IFERROR(INDEX(Items!$E$5:$E$597,MATCH($F501,Items!$A$5:$A$597,0)),""))</f>
        <v>5</v>
      </c>
      <c r="J501" s="115">
        <f>IF(tblIssues[[#This Row],[Qty Override]]&lt;&gt;"",tblIssues[[#This Row],[Qty Override]],IF(tblIssues[[#This Row],[Standard Issue]]="","",tblIssues[[#This Row],[Standard Issue]]))</f>
        <v>5</v>
      </c>
      <c r="K501" s="20">
        <f>IF($F501="","",IFERROR(INDEX(Items!$D$5:$D$597,MATCH($F501,Items!$A$5:$A$597,0)),""))</f>
        <v>3</v>
      </c>
      <c r="L501" s="21">
        <f t="shared" si="83"/>
        <v>15</v>
      </c>
      <c r="M501" s="9" t="str">
        <f t="shared" si="84"/>
        <v>YG500280</v>
      </c>
      <c r="N501" s="24">
        <f>IF($A501="","",WORKDAY($A501,Settings!$C$9,HolidayDates))</f>
        <v>46154</v>
      </c>
      <c r="O501" s="24">
        <f>IF($N501="","",WORKDAY($N501,Settings!$C$10,HolidayDates))</f>
        <v>46192</v>
      </c>
      <c r="P501" s="10" t="s">
        <v>501</v>
      </c>
      <c r="Q501" s="52" t="str">
        <f t="shared" si="86"/>
        <v>Collected</v>
      </c>
      <c r="R501" s="55" t="str">
        <f t="shared" si="87"/>
        <v>2026-05</v>
      </c>
      <c r="S501" s="55">
        <f>IF(OR($B501="",$F501="",$R501=""),"",SUMIFS(tblIssues[Qty Issued],tblIssues[Staff ID],$B501,tblIssues[Item Name],$F501,tblIssues[Month],$R501))</f>
        <v>5</v>
      </c>
      <c r="T501" s="56">
        <f>IF($I501="","",$I501*Settings!$C$11)</f>
        <v>5</v>
      </c>
      <c r="U501" s="57" t="str">
        <f t="shared" si="85"/>
        <v>OK</v>
      </c>
      <c r="V501" s="55" t="str">
        <f t="shared" si="88"/>
        <v/>
      </c>
      <c r="W501" s="55" t="str">
        <f>IF($V501="","",IF(COUNTIF($V$5:$V501,$V501)=1,1,""))</f>
        <v/>
      </c>
      <c r="X501" s="58" t="str">
        <f>IF($W501="","",MAX($X$4:X500)+1)</f>
        <v/>
      </c>
      <c r="Y501" s="62"/>
      <c r="Z501" s="62"/>
      <c r="AA501" s="64" t="str">
        <f>IF($C501="","",IFERROR(INDEX('Staff Directory'!$E$5:$E$594,MATCH($C501,'Staff Directory'!$B$5:$B$594,0)),""))</f>
        <v>firstname184.lastname184@example.com</v>
      </c>
      <c r="AB501" s="64" t="str">
        <f>IF($C501="","",IF(ISNUMBER(SEARCH($D501,Settings!$C$15)),"Pickup","Dispatch"))</f>
        <v>Pickup</v>
      </c>
      <c r="AC501" s="64" t="str">
        <f t="shared" si="89"/>
        <v>Supply order ready for pickup</v>
      </c>
      <c r="AD501" s="64" t="str">
        <f t="shared" si="80"/>
        <v>Dear PSW,
Your order is ready for pickup from Sample Branch, Wed-Fri 9am-4pm.</v>
      </c>
      <c r="AE501" s="64" t="str">
        <f t="shared" si="81"/>
        <v>mailto:firstname184.lastname184@example.com?subject=Supply%20order%20ready%20for%20pickup&amp;body=Dear%20PSW%2C%0A%0AYour%20order%20is%20ready%20for%20pickup%20from%20Sample%20Branch%2C%20Wed-Fri%209am-4pm.</v>
      </c>
      <c r="AF501" s="89" t="str">
        <f t="shared" si="90"/>
        <v>Draft email</v>
      </c>
      <c r="AG501" s="64" t="str">
        <f>IF($C501="","",IFERROR(INDEX('Staff Directory'!$K$595:$K$599,MATCH($C501,'Staff Directory'!$B$5:$B$599,0)),$D501))</f>
        <v>PSW</v>
      </c>
      <c r="AH501" t="str">
        <f>IF($C501="","",IFERROR(INDEX('Staff Directory'!$I$595:$I$599,MATCH($C501,'Staff Directory'!$B$5:$B$599,0))&amp;" "&amp;INDEX('Staff Directory'!$J$595:$J$599,MATCH($C501,'Staff Directory'!$B$5:$B$599,0)),$AG501))</f>
        <v>PSW</v>
      </c>
      <c r="AI501" s="102"/>
      <c r="AJ501" s="101">
        <f>IF($F501="","",SUMIFS($J$5:$J501,$F$5:$F501,$F501))</f>
        <v>50</v>
      </c>
      <c r="AK501" s="101">
        <f t="shared" si="82"/>
        <v>46</v>
      </c>
      <c r="AL501" s="66" t="str" cm="1">
        <f t="array" ref="AL501">IF($F501="","",IFERROR(INDEX('Lot Balance'!$B$5:$B$500,MATCH(1,INDEX(('Lot Balance'!$A$5:$A$500=$F501)*('Lot Balance'!$K$5:$K$500&lt;$AK501)*('Lot Balance'!$K$5:$K$500+'Lot Balance'!$D$5:$D$500&gt;=$AK501),0),0)),""))</f>
        <v>YG500280</v>
      </c>
      <c r="AM501" s="66" t="str" cm="1">
        <f t="array" ref="AM501">IF($F501="","",IFERROR(INDEX('Lot Balance'!$B$5:$B$500,MATCH(1,INDEX(('Lot Balance'!$A$5:$A$500=$F501)*('Lot Balance'!$K$5:$K$500&lt;$AJ501)*('Lot Balance'!$K$5:$K$500+'Lot Balance'!$D$5:$D$500&gt;=$AJ501),0),0)),""))</f>
        <v>YG500280</v>
      </c>
      <c r="AN501" s="66" t="str">
        <f>IF($F501="","",IF($AI501&lt;&gt;"",IF(COUNTIFS('Lot Balance'!$A$5:$A$500,$F501,'Lot Balance'!$B$5:$B$500,$AI501)=0,"⚠ override is not a lot of this item",IF($AI501=$AL501,"Override = FEFO","Override - FEFO says "&amp;$AL501)),IF($AL501="","⚠ no receipt on file for this item",IF($AM501&lt;&gt;$AL501,"FEFO auto - split, also "&amp;$AM501,"FEFO auto"))))</f>
        <v>FEFO auto</v>
      </c>
      <c r="AO501" s="114"/>
    </row>
    <row r="502" spans="1:41" x14ac:dyDescent="0.35">
      <c r="A502" s="74">
        <v>46146</v>
      </c>
      <c r="B502" s="18" t="str">
        <f>IF($C502="","",IFERROR(INDEX('Staff Directory'!$A$5:$A$594,MATCH($C502,'Staff Directory'!$B$5:$B$594,0)),"⚠ unknown staff"))</f>
        <v>PSW-051-A4</v>
      </c>
      <c r="C502" s="49" t="s">
        <v>1027</v>
      </c>
      <c r="D502" s="19" t="str">
        <f>IF($B502="","",IFERROR(INDEX('Staff Directory'!$C$5:$C$594,MATCH($B502,'Staff Directory'!$A$5:$A$594,0)),""))</f>
        <v>PSW</v>
      </c>
      <c r="E502" s="19" t="str">
        <f>IF($B502="","",IFERROR(INDEX('Staff Directory'!$D$5:$D$594,MATCH($B502,'Staff Directory'!$A$5:$A$594,0)),""))</f>
        <v>A4</v>
      </c>
      <c r="F502" s="9" t="s">
        <v>129</v>
      </c>
      <c r="G502" s="18" t="str">
        <f>IF($F502="","",IFERROR(INDEX(Items!$B$5:$B$597,MATCH($F502,Items!$A$5:$A$597,0)),"⚠ not in Items"))</f>
        <v>Gloves</v>
      </c>
      <c r="H502" s="19" t="str">
        <f>IF($F502="","",IFERROR(INDEX(Items!$C$5:$C$597,MATCH($F502,Items!$A$5:$A$597,0)),""))</f>
        <v>Small</v>
      </c>
      <c r="I502" s="23">
        <f>IF($F502="","",IFERROR(INDEX(Items!$E$5:$E$597,MATCH($F502,Items!$A$5:$A$597,0)),""))</f>
        <v>500</v>
      </c>
      <c r="J502" s="115">
        <f>IF(tblIssues[[#This Row],[Qty Override]]&lt;&gt;"",tblIssues[[#This Row],[Qty Override]],IF(tblIssues[[#This Row],[Standard Issue]]="","",tblIssues[[#This Row],[Standard Issue]]))</f>
        <v>500</v>
      </c>
      <c r="K502" s="20">
        <f>IF($F502="","",IFERROR(INDEX(Items!$D$5:$D$597,MATCH($F502,Items!$A$5:$A$597,0)),""))</f>
        <v>5.5E-2</v>
      </c>
      <c r="L502" s="21">
        <f t="shared" si="83"/>
        <v>27.5</v>
      </c>
      <c r="M502" s="9" t="str">
        <f t="shared" si="84"/>
        <v>O210LIC25</v>
      </c>
      <c r="N502" s="24">
        <f>IF($A502="","",WORKDAY($A502,Settings!$C$9,HolidayDates))</f>
        <v>46154</v>
      </c>
      <c r="O502" s="24">
        <f>IF($N502="","",WORKDAY($N502,Settings!$C$10,HolidayDates))</f>
        <v>46192</v>
      </c>
      <c r="P502" s="10" t="s">
        <v>501</v>
      </c>
      <c r="Q502" s="52" t="str">
        <f t="shared" si="86"/>
        <v>Collected</v>
      </c>
      <c r="R502" s="55" t="str">
        <f t="shared" si="87"/>
        <v>2026-05</v>
      </c>
      <c r="S502" s="55">
        <f>IF(OR($B502="",$F502="",$R502=""),"",SUMIFS(tblIssues[Qty Issued],tblIssues[Staff ID],$B502,tblIssues[Item Name],$F502,tblIssues[Month],$R502))</f>
        <v>500</v>
      </c>
      <c r="T502" s="56">
        <f>IF($I502="","",$I502*Settings!$C$11)</f>
        <v>500</v>
      </c>
      <c r="U502" s="57" t="str">
        <f t="shared" si="85"/>
        <v>OK</v>
      </c>
      <c r="V502" s="55" t="str">
        <f t="shared" si="88"/>
        <v/>
      </c>
      <c r="W502" s="55" t="str">
        <f>IF($V502="","",IF(COUNTIF($V$5:$V502,$V502)=1,1,""))</f>
        <v/>
      </c>
      <c r="X502" s="58" t="str">
        <f>IF($W502="","",MAX($X$4:X501)+1)</f>
        <v/>
      </c>
      <c r="Y502" s="62"/>
      <c r="Z502" s="62"/>
      <c r="AA502" s="64" t="str">
        <f>IF($C502="","",IFERROR(INDEX('Staff Directory'!$E$5:$E$594,MATCH($C502,'Staff Directory'!$B$5:$B$594,0)),""))</f>
        <v>firstname111.lastname111@example.com</v>
      </c>
      <c r="AB502" s="64" t="str">
        <f>IF($C502="","",IF(ISNUMBER(SEARCH($D502,Settings!$C$15)),"Pickup","Dispatch"))</f>
        <v>Pickup</v>
      </c>
      <c r="AC502" s="64" t="str">
        <f t="shared" si="89"/>
        <v>Supply order ready for pickup</v>
      </c>
      <c r="AD502" s="64" t="str">
        <f t="shared" si="80"/>
        <v>Dear PSW,
Your order is ready for pickup from Sample Branch, Wed-Fri 9am-4pm.</v>
      </c>
      <c r="AE502" s="64" t="str">
        <f t="shared" si="81"/>
        <v>mailto:firstname111.lastname111@example.com?subject=Supply%20order%20ready%20for%20pickup&amp;body=Dear%20PSW%2C%0A%0AYour%20order%20is%20ready%20for%20pickup%20from%20Sample%20Branch%2C%20Wed-Fri%209am-4pm.</v>
      </c>
      <c r="AF502" s="89" t="str">
        <f t="shared" si="90"/>
        <v>Draft email</v>
      </c>
      <c r="AG502" s="64" t="str">
        <f>IF($C502="","",IFERROR(INDEX('Staff Directory'!$K$595:$K$599,MATCH($C502,'Staff Directory'!$B$5:$B$599,0)),$D502))</f>
        <v>PSW</v>
      </c>
      <c r="AH502" t="str">
        <f>IF($C502="","",IFERROR(INDEX('Staff Directory'!$I$595:$I$599,MATCH($C502,'Staff Directory'!$B$5:$B$599,0))&amp;" "&amp;INDEX('Staff Directory'!$J$595:$J$599,MATCH($C502,'Staff Directory'!$B$5:$B$599,0)),$AG502))</f>
        <v>PSW</v>
      </c>
      <c r="AI502" s="102"/>
      <c r="AJ502" s="101">
        <f>IF($F502="","",SUMIFS($J$5:$J502,$F$5:$F502,$F502))</f>
        <v>18000</v>
      </c>
      <c r="AK502" s="101">
        <f t="shared" si="82"/>
        <v>17501</v>
      </c>
      <c r="AL502" s="66" t="str" cm="1">
        <f t="array" ref="AL502">IF($F502="","",IFERROR(INDEX('Lot Balance'!$B$5:$B$500,MATCH(1,INDEX(('Lot Balance'!$A$5:$A$500=$F502)*('Lot Balance'!$K$5:$K$500&lt;$AK502)*('Lot Balance'!$K$5:$K$500+'Lot Balance'!$D$5:$D$500&gt;=$AK502),0),0)),""))</f>
        <v>O210LIC25</v>
      </c>
      <c r="AM502" s="66" t="str" cm="1">
        <f t="array" ref="AM502">IF($F502="","",IFERROR(INDEX('Lot Balance'!$B$5:$B$500,MATCH(1,INDEX(('Lot Balance'!$A$5:$A$500=$F502)*('Lot Balance'!$K$5:$K$500&lt;$AJ502)*('Lot Balance'!$K$5:$K$500+'Lot Balance'!$D$5:$D$500&gt;=$AJ502),0),0)),""))</f>
        <v>O210LIC25</v>
      </c>
      <c r="AN502" s="66" t="str">
        <f>IF($F502="","",IF($AI502&lt;&gt;"",IF(COUNTIFS('Lot Balance'!$A$5:$A$500,$F502,'Lot Balance'!$B$5:$B$500,$AI502)=0,"⚠ override is not a lot of this item",IF($AI502=$AL502,"Override = FEFO","Override - FEFO says "&amp;$AL502)),IF($AL502="","⚠ no receipt on file for this item",IF($AM502&lt;&gt;$AL502,"FEFO auto - split, also "&amp;$AM502,"FEFO auto"))))</f>
        <v>FEFO auto</v>
      </c>
      <c r="AO502" s="114"/>
    </row>
    <row r="503" spans="1:41" x14ac:dyDescent="0.35">
      <c r="A503" s="74">
        <v>46146</v>
      </c>
      <c r="B503" s="18" t="str">
        <f>IF($C503="","",IFERROR(INDEX('Staff Directory'!$A$5:$A$594,MATCH($C503,'Staff Directory'!$B$5:$B$594,0)),"⚠ unknown staff"))</f>
        <v>PSW-051-A4</v>
      </c>
      <c r="C503" s="49" t="s">
        <v>1027</v>
      </c>
      <c r="D503" s="19" t="str">
        <f>IF($B503="","",IFERROR(INDEX('Staff Directory'!$C$5:$C$594,MATCH($B503,'Staff Directory'!$A$5:$A$594,0)),""))</f>
        <v>PSW</v>
      </c>
      <c r="E503" s="19" t="str">
        <f>IF($B503="","",IFERROR(INDEX('Staff Directory'!$D$5:$D$594,MATCH($B503,'Staff Directory'!$A$5:$A$594,0)),""))</f>
        <v>A4</v>
      </c>
      <c r="F503" s="9" t="s">
        <v>191</v>
      </c>
      <c r="G503" s="18" t="str">
        <f>IF($F503="","",IFERROR(INDEX(Items!$B$5:$B$597,MATCH($F503,Items!$A$5:$A$597,0)),"⚠ not in Items"))</f>
        <v>Sanitizer</v>
      </c>
      <c r="H503" s="19" t="str">
        <f>IF($F503="","",IFERROR(INDEX(Items!$C$5:$C$597,MATCH($F503,Items!$A$5:$A$597,0)),""))</f>
        <v>236 ML</v>
      </c>
      <c r="I503" s="23">
        <f>IF($F503="","",IFERROR(INDEX(Items!$E$5:$E$597,MATCH($F503,Items!$A$5:$A$597,0)),""))</f>
        <v>1</v>
      </c>
      <c r="J503" s="115">
        <f>IF(tblIssues[[#This Row],[Qty Override]]&lt;&gt;"",tblIssues[[#This Row],[Qty Override]],IF(tblIssues[[#This Row],[Standard Issue]]="","",tblIssues[[#This Row],[Standard Issue]]))</f>
        <v>1</v>
      </c>
      <c r="K503" s="20">
        <f>IF($F503="","",IFERROR(INDEX(Items!$D$5:$D$597,MATCH($F503,Items!$A$5:$A$597,0)),""))</f>
        <v>1E-4</v>
      </c>
      <c r="L503" s="21">
        <f t="shared" si="83"/>
        <v>1E-4</v>
      </c>
      <c r="M503" s="9" t="str">
        <f t="shared" si="84"/>
        <v>20-21734-2</v>
      </c>
      <c r="N503" s="24">
        <f>IF($A503="","",WORKDAY($A503,Settings!$C$9,HolidayDates))</f>
        <v>46154</v>
      </c>
      <c r="O503" s="24">
        <f>IF($N503="","",WORKDAY($N503,Settings!$C$10,HolidayDates))</f>
        <v>46192</v>
      </c>
      <c r="P503" s="10" t="s">
        <v>501</v>
      </c>
      <c r="Q503" s="52" t="str">
        <f t="shared" si="86"/>
        <v>Collected</v>
      </c>
      <c r="R503" s="55" t="str">
        <f t="shared" si="87"/>
        <v>2026-05</v>
      </c>
      <c r="S503" s="55">
        <f>IF(OR($B503="",$F503="",$R503=""),"",SUMIFS(tblIssues[Qty Issued],tblIssues[Staff ID],$B503,tblIssues[Item Name],$F503,tblIssues[Month],$R503))</f>
        <v>1</v>
      </c>
      <c r="T503" s="56">
        <f>IF($I503="","",$I503*Settings!$C$11)</f>
        <v>1</v>
      </c>
      <c r="U503" s="57" t="str">
        <f t="shared" si="85"/>
        <v>OK</v>
      </c>
      <c r="V503" s="55" t="str">
        <f t="shared" si="88"/>
        <v/>
      </c>
      <c r="W503" s="55" t="str">
        <f>IF($V503="","",IF(COUNTIF($V$5:$V503,$V503)=1,1,""))</f>
        <v/>
      </c>
      <c r="X503" s="58" t="str">
        <f>IF($W503="","",MAX($X$4:X502)+1)</f>
        <v/>
      </c>
      <c r="Y503" s="62"/>
      <c r="Z503" s="62"/>
      <c r="AA503" s="64" t="str">
        <f>IF($C503="","",IFERROR(INDEX('Staff Directory'!$E$5:$E$594,MATCH($C503,'Staff Directory'!$B$5:$B$594,0)),""))</f>
        <v>firstname111.lastname111@example.com</v>
      </c>
      <c r="AB503" s="64" t="str">
        <f>IF($C503="","",IF(ISNUMBER(SEARCH($D503,Settings!$C$15)),"Pickup","Dispatch"))</f>
        <v>Pickup</v>
      </c>
      <c r="AC503" s="64" t="str">
        <f t="shared" si="89"/>
        <v>Supply order ready for pickup</v>
      </c>
      <c r="AD503" s="64" t="str">
        <f t="shared" si="80"/>
        <v>Dear PSW,
Your order is ready for pickup from Sample Branch, Wed-Fri 9am-4pm.</v>
      </c>
      <c r="AE503" s="64" t="str">
        <f t="shared" si="81"/>
        <v>mailto:firstname111.lastname111@example.com?subject=Supply%20order%20ready%20for%20pickup&amp;body=Dear%20PSW%2C%0A%0AYour%20order%20is%20ready%20for%20pickup%20from%20Sample%20Branch%2C%20Wed-Fri%209am-4pm.</v>
      </c>
      <c r="AF503" s="89" t="str">
        <f t="shared" si="90"/>
        <v>Draft email</v>
      </c>
      <c r="AG503" s="64" t="str">
        <f>IF($C503="","",IFERROR(INDEX('Staff Directory'!$K$595:$K$599,MATCH($C503,'Staff Directory'!$B$5:$B$599,0)),$D503))</f>
        <v>PSW</v>
      </c>
      <c r="AH503" t="str">
        <f>IF($C503="","",IFERROR(INDEX('Staff Directory'!$I$595:$I$599,MATCH($C503,'Staff Directory'!$B$5:$B$599,0))&amp;" "&amp;INDEX('Staff Directory'!$J$595:$J$599,MATCH($C503,'Staff Directory'!$B$5:$B$599,0)),$AG503))</f>
        <v>PSW</v>
      </c>
      <c r="AI503" s="102"/>
      <c r="AJ503" s="101">
        <f>IF($F503="","",SUMIFS($J$5:$J503,$F$5:$F503,$F503))</f>
        <v>54</v>
      </c>
      <c r="AK503" s="101">
        <f t="shared" si="82"/>
        <v>54</v>
      </c>
      <c r="AL503" s="66" t="str" cm="1">
        <f t="array" ref="AL503">IF($F503="","",IFERROR(INDEX('Lot Balance'!$B$5:$B$500,MATCH(1,INDEX(('Lot Balance'!$A$5:$A$500=$F503)*('Lot Balance'!$K$5:$K$500&lt;$AK503)*('Lot Balance'!$K$5:$K$500+'Lot Balance'!$D$5:$D$500&gt;=$AK503),0),0)),""))</f>
        <v>20-21734-2</v>
      </c>
      <c r="AM503" s="66" t="str" cm="1">
        <f t="array" ref="AM503">IF($F503="","",IFERROR(INDEX('Lot Balance'!$B$5:$B$500,MATCH(1,INDEX(('Lot Balance'!$A$5:$A$500=$F503)*('Lot Balance'!$K$5:$K$500&lt;$AJ503)*('Lot Balance'!$K$5:$K$500+'Lot Balance'!$D$5:$D$500&gt;=$AJ503),0),0)),""))</f>
        <v>20-21734-2</v>
      </c>
      <c r="AN503" s="66" t="str">
        <f>IF($F503="","",IF($AI503&lt;&gt;"",IF(COUNTIFS('Lot Balance'!$A$5:$A$500,$F503,'Lot Balance'!$B$5:$B$500,$AI503)=0,"⚠ override is not a lot of this item",IF($AI503=$AL503,"Override = FEFO","Override - FEFO says "&amp;$AL503)),IF($AL503="","⚠ no receipt on file for this item",IF($AM503&lt;&gt;$AL503,"FEFO auto - split, also "&amp;$AM503,"FEFO auto"))))</f>
        <v>FEFO auto</v>
      </c>
      <c r="AO503" s="114"/>
    </row>
    <row r="504" spans="1:41" x14ac:dyDescent="0.35">
      <c r="A504" s="74">
        <v>46146</v>
      </c>
      <c r="B504" s="18" t="str">
        <f>IF($C504="","",IFERROR(INDEX('Staff Directory'!$A$5:$A$594,MATCH($C504,'Staff Directory'!$B$5:$B$594,0)),"⚠ unknown staff"))</f>
        <v>PSW-051-A4</v>
      </c>
      <c r="C504" s="49" t="s">
        <v>1027</v>
      </c>
      <c r="D504" s="19" t="str">
        <f>IF($B504="","",IFERROR(INDEX('Staff Directory'!$C$5:$C$594,MATCH($B504,'Staff Directory'!$A$5:$A$594,0)),""))</f>
        <v>PSW</v>
      </c>
      <c r="E504" s="19" t="str">
        <f>IF($B504="","",IFERROR(INDEX('Staff Directory'!$D$5:$D$594,MATCH($B504,'Staff Directory'!$A$5:$A$594,0)),""))</f>
        <v>A4</v>
      </c>
      <c r="F504" s="9" t="s">
        <v>115</v>
      </c>
      <c r="G504" s="18" t="str">
        <f>IF($F504="","",IFERROR(INDEX(Items!$B$5:$B$597,MATCH($F504,Items!$A$5:$A$597,0)),"⚠ not in Items"))</f>
        <v>Wipes</v>
      </c>
      <c r="H504" s="19">
        <f>IF($F504="","",IFERROR(INDEX(Items!$C$5:$C$597,MATCH($F504,Items!$A$5:$A$597,0)),""))</f>
        <v>80</v>
      </c>
      <c r="I504" s="23">
        <f>IF($F504="","",IFERROR(INDEX(Items!$E$5:$E$597,MATCH($F504,Items!$A$5:$A$597,0)),""))</f>
        <v>80</v>
      </c>
      <c r="J504" s="115">
        <f>IF(tblIssues[[#This Row],[Qty Override]]&lt;&gt;"",tblIssues[[#This Row],[Qty Override]],IF(tblIssues[[#This Row],[Standard Issue]]="","",tblIssues[[#This Row],[Standard Issue]]))</f>
        <v>80</v>
      </c>
      <c r="K504" s="20">
        <f>IF($F504="","",IFERROR(INDEX(Items!$D$5:$D$597,MATCH($F504,Items!$A$5:$A$597,0)),""))</f>
        <v>0.1</v>
      </c>
      <c r="L504" s="21">
        <f t="shared" si="83"/>
        <v>8</v>
      </c>
      <c r="M504" s="9" t="str">
        <f t="shared" si="84"/>
        <v>LYSL500290</v>
      </c>
      <c r="N504" s="24">
        <f>IF($A504="","",WORKDAY($A504,Settings!$C$9,HolidayDates))</f>
        <v>46154</v>
      </c>
      <c r="O504" s="24">
        <f>IF($N504="","",WORKDAY($N504,Settings!$C$10,HolidayDates))</f>
        <v>46192</v>
      </c>
      <c r="P504" s="10" t="s">
        <v>501</v>
      </c>
      <c r="Q504" s="52" t="str">
        <f t="shared" si="86"/>
        <v>Collected</v>
      </c>
      <c r="R504" s="55" t="str">
        <f t="shared" si="87"/>
        <v>2026-05</v>
      </c>
      <c r="S504" s="55">
        <f>IF(OR($B504="",$F504="",$R504=""),"",SUMIFS(tblIssues[Qty Issued],tblIssues[Staff ID],$B504,tblIssues[Item Name],$F504,tblIssues[Month],$R504))</f>
        <v>80</v>
      </c>
      <c r="T504" s="56">
        <f>IF($I504="","",$I504*Settings!$C$11)</f>
        <v>80</v>
      </c>
      <c r="U504" s="57" t="str">
        <f t="shared" si="85"/>
        <v>OK</v>
      </c>
      <c r="V504" s="55" t="str">
        <f t="shared" si="88"/>
        <v/>
      </c>
      <c r="W504" s="55" t="str">
        <f>IF($V504="","",IF(COUNTIF($V$5:$V504,$V504)=1,1,""))</f>
        <v/>
      </c>
      <c r="X504" s="58" t="str">
        <f>IF($W504="","",MAX($X$4:X503)+1)</f>
        <v/>
      </c>
      <c r="Y504" s="62"/>
      <c r="Z504" s="62"/>
      <c r="AA504" s="64" t="str">
        <f>IF($C504="","",IFERROR(INDEX('Staff Directory'!$E$5:$E$594,MATCH($C504,'Staff Directory'!$B$5:$B$594,0)),""))</f>
        <v>firstname111.lastname111@example.com</v>
      </c>
      <c r="AB504" s="64" t="str">
        <f>IF($C504="","",IF(ISNUMBER(SEARCH($D504,Settings!$C$15)),"Pickup","Dispatch"))</f>
        <v>Pickup</v>
      </c>
      <c r="AC504" s="64" t="str">
        <f t="shared" si="89"/>
        <v>Supply order ready for pickup</v>
      </c>
      <c r="AD504" s="64" t="str">
        <f t="shared" si="80"/>
        <v>Dear PSW,
Your order is ready for pickup from Sample Branch, Wed-Fri 9am-4pm.</v>
      </c>
      <c r="AE504" s="64" t="str">
        <f t="shared" si="81"/>
        <v>mailto:firstname111.lastname111@example.com?subject=Supply%20order%20ready%20for%20pickup&amp;body=Dear%20PSW%2C%0A%0AYour%20order%20is%20ready%20for%20pickup%20from%20Sample%20Branch%2C%20Wed-Fri%209am-4pm.</v>
      </c>
      <c r="AF504" s="89" t="str">
        <f t="shared" si="90"/>
        <v>Draft email</v>
      </c>
      <c r="AG504" s="64" t="str">
        <f>IF($C504="","",IFERROR(INDEX('Staff Directory'!$K$595:$K$599,MATCH($C504,'Staff Directory'!$B$5:$B$599,0)),$D504))</f>
        <v>PSW</v>
      </c>
      <c r="AH504" t="str">
        <f>IF($C504="","",IFERROR(INDEX('Staff Directory'!$I$595:$I$599,MATCH($C504,'Staff Directory'!$B$5:$B$599,0))&amp;" "&amp;INDEX('Staff Directory'!$J$595:$J$599,MATCH($C504,'Staff Directory'!$B$5:$B$599,0)),$AG504))</f>
        <v>PSW</v>
      </c>
      <c r="AI504" s="102"/>
      <c r="AJ504" s="101">
        <f>IF($F504="","",SUMIFS($J$5:$J504,$F$5:$F504,$F504))</f>
        <v>7200</v>
      </c>
      <c r="AK504" s="101">
        <f t="shared" si="82"/>
        <v>7121</v>
      </c>
      <c r="AL504" s="66" t="str" cm="1">
        <f t="array" ref="AL504">IF($F504="","",IFERROR(INDEX('Lot Balance'!$B$5:$B$500,MATCH(1,INDEX(('Lot Balance'!$A$5:$A$500=$F504)*('Lot Balance'!$K$5:$K$500&lt;$AK504)*('Lot Balance'!$K$5:$K$500+'Lot Balance'!$D$5:$D$500&gt;=$AK504),0),0)),""))</f>
        <v>LYSL500290</v>
      </c>
      <c r="AM504" s="66" t="str" cm="1">
        <f t="array" ref="AM504">IF($F504="","",IFERROR(INDEX('Lot Balance'!$B$5:$B$500,MATCH(1,INDEX(('Lot Balance'!$A$5:$A$500=$F504)*('Lot Balance'!$K$5:$K$500&lt;$AJ504)*('Lot Balance'!$K$5:$K$500+'Lot Balance'!$D$5:$D$500&gt;=$AJ504),0),0)),""))</f>
        <v>LYSL500290</v>
      </c>
      <c r="AN504" s="66" t="str">
        <f>IF($F504="","",IF($AI504&lt;&gt;"",IF(COUNTIFS('Lot Balance'!$A$5:$A$500,$F504,'Lot Balance'!$B$5:$B$500,$AI504)=0,"⚠ override is not a lot of this item",IF($AI504=$AL504,"Override = FEFO","Override - FEFO says "&amp;$AL504)),IF($AL504="","⚠ no receipt on file for this item",IF($AM504&lt;&gt;$AL504,"FEFO auto - split, also "&amp;$AM504,"FEFO auto"))))</f>
        <v>FEFO auto</v>
      </c>
      <c r="AO504" s="114"/>
    </row>
    <row r="505" spans="1:41" x14ac:dyDescent="0.35">
      <c r="A505" s="74">
        <v>46146</v>
      </c>
      <c r="B505" s="18" t="str">
        <f>IF($C505="","",IFERROR(INDEX('Staff Directory'!$A$5:$A$594,MATCH($C505,'Staff Directory'!$B$5:$B$594,0)),"⚠ unknown staff"))</f>
        <v>PSW-051-A4</v>
      </c>
      <c r="C505" s="49" t="s">
        <v>1027</v>
      </c>
      <c r="D505" s="19" t="str">
        <f>IF($B505="","",IFERROR(INDEX('Staff Directory'!$C$5:$C$594,MATCH($B505,'Staff Directory'!$A$5:$A$594,0)),""))</f>
        <v>PSW</v>
      </c>
      <c r="E505" s="19" t="str">
        <f>IF($B505="","",IFERROR(INDEX('Staff Directory'!$D$5:$D$594,MATCH($B505,'Staff Directory'!$A$5:$A$594,0)),""))</f>
        <v>A4</v>
      </c>
      <c r="F505" s="9" t="s">
        <v>156</v>
      </c>
      <c r="G505" s="18" t="str">
        <f>IF($F505="","",IFERROR(INDEX(Items!$B$5:$B$597,MATCH($F505,Items!$A$5:$A$597,0)),"⚠ not in Items"))</f>
        <v>Masks</v>
      </c>
      <c r="H505" s="19" t="str">
        <f>IF($F505="","",IFERROR(INDEX(Items!$C$5:$C$597,MATCH($F505,Items!$A$5:$A$597,0)),""))</f>
        <v>One Size</v>
      </c>
      <c r="I505" s="23">
        <f>IF($F505="","",IFERROR(INDEX(Items!$E$5:$E$597,MATCH($F505,Items!$A$5:$A$597,0)),""))</f>
        <v>50</v>
      </c>
      <c r="J505" s="115">
        <f>IF(tblIssues[[#This Row],[Qty Override]]&lt;&gt;"",tblIssues[[#This Row],[Qty Override]],IF(tblIssues[[#This Row],[Standard Issue]]="","",tblIssues[[#This Row],[Standard Issue]]))</f>
        <v>50</v>
      </c>
      <c r="K505" s="20">
        <f>IF($F505="","",IFERROR(INDEX(Items!$D$5:$D$597,MATCH($F505,Items!$A$5:$A$597,0)),""))</f>
        <v>0.25</v>
      </c>
      <c r="L505" s="21">
        <f t="shared" si="83"/>
        <v>12.5</v>
      </c>
      <c r="M505" s="9" t="str">
        <f t="shared" si="84"/>
        <v>0125FPC24-0</v>
      </c>
      <c r="N505" s="24">
        <f>IF($A505="","",WORKDAY($A505,Settings!$C$9,HolidayDates))</f>
        <v>46154</v>
      </c>
      <c r="O505" s="24">
        <f>IF($N505="","",WORKDAY($N505,Settings!$C$10,HolidayDates))</f>
        <v>46192</v>
      </c>
      <c r="P505" s="10" t="s">
        <v>501</v>
      </c>
      <c r="Q505" s="52" t="str">
        <f t="shared" si="86"/>
        <v>Collected</v>
      </c>
      <c r="R505" s="55" t="str">
        <f t="shared" si="87"/>
        <v>2026-05</v>
      </c>
      <c r="S505" s="55">
        <f>IF(OR($B505="",$F505="",$R505=""),"",SUMIFS(tblIssues[Qty Issued],tblIssues[Staff ID],$B505,tblIssues[Item Name],$F505,tblIssues[Month],$R505))</f>
        <v>50</v>
      </c>
      <c r="T505" s="56">
        <f>IF($I505="","",$I505*Settings!$C$11)</f>
        <v>50</v>
      </c>
      <c r="U505" s="57" t="str">
        <f t="shared" si="85"/>
        <v>OK</v>
      </c>
      <c r="V505" s="55" t="str">
        <f t="shared" si="88"/>
        <v/>
      </c>
      <c r="W505" s="55" t="str">
        <f>IF($V505="","",IF(COUNTIF($V$5:$V505,$V505)=1,1,""))</f>
        <v/>
      </c>
      <c r="X505" s="58" t="str">
        <f>IF($W505="","",MAX($X$4:X504)+1)</f>
        <v/>
      </c>
      <c r="Y505" s="62"/>
      <c r="Z505" s="62"/>
      <c r="AA505" s="64" t="str">
        <f>IF($C505="","",IFERROR(INDEX('Staff Directory'!$E$5:$E$594,MATCH($C505,'Staff Directory'!$B$5:$B$594,0)),""))</f>
        <v>firstname111.lastname111@example.com</v>
      </c>
      <c r="AB505" s="64" t="str">
        <f>IF($C505="","",IF(ISNUMBER(SEARCH($D505,Settings!$C$15)),"Pickup","Dispatch"))</f>
        <v>Pickup</v>
      </c>
      <c r="AC505" s="64" t="str">
        <f t="shared" si="89"/>
        <v>Supply order ready for pickup</v>
      </c>
      <c r="AD505" s="64" t="str">
        <f t="shared" si="80"/>
        <v>Dear PSW,
Your order is ready for pickup from Sample Branch, Wed-Fri 9am-4pm.</v>
      </c>
      <c r="AE505" s="64" t="str">
        <f t="shared" si="81"/>
        <v>mailto:firstname111.lastname111@example.com?subject=Supply%20order%20ready%20for%20pickup&amp;body=Dear%20PSW%2C%0A%0AYour%20order%20is%20ready%20for%20pickup%20from%20Sample%20Branch%2C%20Wed-Fri%209am-4pm.</v>
      </c>
      <c r="AF505" s="89" t="str">
        <f t="shared" si="90"/>
        <v>Draft email</v>
      </c>
      <c r="AG505" s="64" t="str">
        <f>IF($C505="","",IFERROR(INDEX('Staff Directory'!$K$595:$K$599,MATCH($C505,'Staff Directory'!$B$5:$B$599,0)),$D505))</f>
        <v>PSW</v>
      </c>
      <c r="AH505" t="str">
        <f>IF($C505="","",IFERROR(INDEX('Staff Directory'!$I$595:$I$599,MATCH($C505,'Staff Directory'!$B$5:$B$599,0))&amp;" "&amp;INDEX('Staff Directory'!$J$595:$J$599,MATCH($C505,'Staff Directory'!$B$5:$B$599,0)),$AG505))</f>
        <v>PSW</v>
      </c>
      <c r="AI505" s="102"/>
      <c r="AJ505" s="101">
        <f>IF($F505="","",SUMIFS($J$5:$J505,$F$5:$F505,$F505))</f>
        <v>4150</v>
      </c>
      <c r="AK505" s="101">
        <f t="shared" si="82"/>
        <v>4101</v>
      </c>
      <c r="AL505" s="66" t="str" cm="1">
        <f t="array" ref="AL505">IF($F505="","",IFERROR(INDEX('Lot Balance'!$B$5:$B$500,MATCH(1,INDEX(('Lot Balance'!$A$5:$A$500=$F505)*('Lot Balance'!$K$5:$K$500&lt;$AK505)*('Lot Balance'!$K$5:$K$500+'Lot Balance'!$D$5:$D$500&gt;=$AK505),0),0)),""))</f>
        <v>0125FPC24-0</v>
      </c>
      <c r="AM505" s="66" t="str" cm="1">
        <f t="array" ref="AM505">IF($F505="","",IFERROR(INDEX('Lot Balance'!$B$5:$B$500,MATCH(1,INDEX(('Lot Balance'!$A$5:$A$500=$F505)*('Lot Balance'!$K$5:$K$500&lt;$AJ505)*('Lot Balance'!$K$5:$K$500+'Lot Balance'!$D$5:$D$500&gt;=$AJ505),0),0)),""))</f>
        <v>0125FPC24-0</v>
      </c>
      <c r="AN505" s="66" t="str">
        <f>IF($F505="","",IF($AI505&lt;&gt;"",IF(COUNTIFS('Lot Balance'!$A$5:$A$500,$F505,'Lot Balance'!$B$5:$B$500,$AI505)=0,"⚠ override is not a lot of this item",IF($AI505=$AL505,"Override = FEFO","Override - FEFO says "&amp;$AL505)),IF($AL505="","⚠ no receipt on file for this item",IF($AM505&lt;&gt;$AL505,"FEFO auto - split, also "&amp;$AM505,"FEFO auto"))))</f>
        <v>FEFO auto</v>
      </c>
      <c r="AO505" s="114"/>
    </row>
    <row r="506" spans="1:41" x14ac:dyDescent="0.35">
      <c r="A506" s="74">
        <v>46146</v>
      </c>
      <c r="B506" s="18" t="str">
        <f>IF($C506="","",IFERROR(INDEX('Staff Directory'!$A$5:$A$594,MATCH($C506,'Staff Directory'!$B$5:$B$594,0)),"⚠ unknown staff"))</f>
        <v>PSW-171-A4</v>
      </c>
      <c r="C506" s="49" t="s">
        <v>1150</v>
      </c>
      <c r="D506" s="19" t="str">
        <f>IF($B506="","",IFERROR(INDEX('Staff Directory'!$C$5:$C$594,MATCH($B506,'Staff Directory'!$A$5:$A$594,0)),""))</f>
        <v>PSW</v>
      </c>
      <c r="E506" s="19" t="str">
        <f>IF($B506="","",IFERROR(INDEX('Staff Directory'!$D$5:$D$594,MATCH($B506,'Staff Directory'!$A$5:$A$594,0)),""))</f>
        <v>A4</v>
      </c>
      <c r="F506" s="9" t="s">
        <v>127</v>
      </c>
      <c r="G506" s="18" t="str">
        <f>IF($F506="","",IFERROR(INDEX(Items!$B$5:$B$597,MATCH($F506,Items!$A$5:$A$597,0)),"⚠ not in Items"))</f>
        <v>Gloves</v>
      </c>
      <c r="H506" s="19" t="str">
        <f>IF($F506="","",IFERROR(INDEX(Items!$C$5:$C$597,MATCH($F506,Items!$A$5:$A$597,0)),""))</f>
        <v>Medium</v>
      </c>
      <c r="I506" s="23">
        <f>IF($F506="","",IFERROR(INDEX(Items!$E$5:$E$597,MATCH($F506,Items!$A$5:$A$597,0)),""))</f>
        <v>500</v>
      </c>
      <c r="J506" s="115">
        <f>IF(tblIssues[[#This Row],[Qty Override]]&lt;&gt;"",tblIssues[[#This Row],[Qty Override]],IF(tblIssues[[#This Row],[Standard Issue]]="","",tblIssues[[#This Row],[Standard Issue]]))</f>
        <v>500</v>
      </c>
      <c r="K506" s="20">
        <f>IF($F506="","",IFERROR(INDEX(Items!$D$5:$D$597,MATCH($F506,Items!$A$5:$A$597,0)),""))</f>
        <v>5.5E-2</v>
      </c>
      <c r="L506" s="21">
        <f t="shared" si="83"/>
        <v>27.5</v>
      </c>
      <c r="M506" s="9" t="str">
        <f t="shared" si="84"/>
        <v>ZIM504126040-2</v>
      </c>
      <c r="N506" s="24">
        <f>IF($A506="","",WORKDAY($A506,Settings!$C$9,HolidayDates))</f>
        <v>46154</v>
      </c>
      <c r="O506" s="24">
        <f>IF($N506="","",WORKDAY($N506,Settings!$C$10,HolidayDates))</f>
        <v>46192</v>
      </c>
      <c r="P506" s="10" t="s">
        <v>501</v>
      </c>
      <c r="Q506" s="52" t="str">
        <f t="shared" si="86"/>
        <v>Collected</v>
      </c>
      <c r="R506" s="55" t="str">
        <f t="shared" si="87"/>
        <v>2026-05</v>
      </c>
      <c r="S506" s="55">
        <f>IF(OR($B506="",$F506="",$R506=""),"",SUMIFS(tblIssues[Qty Issued],tblIssues[Staff ID],$B506,tblIssues[Item Name],$F506,tblIssues[Month],$R506))</f>
        <v>500</v>
      </c>
      <c r="T506" s="56">
        <f>IF($I506="","",$I506*Settings!$C$11)</f>
        <v>500</v>
      </c>
      <c r="U506" s="57" t="str">
        <f t="shared" si="85"/>
        <v>OK</v>
      </c>
      <c r="V506" s="55" t="str">
        <f t="shared" si="88"/>
        <v/>
      </c>
      <c r="W506" s="55" t="str">
        <f>IF($V506="","",IF(COUNTIF($V$5:$V506,$V506)=1,1,""))</f>
        <v/>
      </c>
      <c r="X506" s="58" t="str">
        <f>IF($W506="","",MAX($X$4:X505)+1)</f>
        <v/>
      </c>
      <c r="Y506" s="62"/>
      <c r="Z506" s="62"/>
      <c r="AA506" s="64" t="str">
        <f>IF($C506="","",IFERROR(INDEX('Staff Directory'!$E$5:$E$594,MATCH($C506,'Staff Directory'!$B$5:$B$594,0)),""))</f>
        <v>firstname234.lastname234@example.com</v>
      </c>
      <c r="AB506" s="64" t="str">
        <f>IF($C506="","",IF(ISNUMBER(SEARCH($D506,Settings!$C$15)),"Pickup","Dispatch"))</f>
        <v>Pickup</v>
      </c>
      <c r="AC506" s="64" t="str">
        <f t="shared" si="89"/>
        <v>Supply order ready for pickup</v>
      </c>
      <c r="AD506" s="64" t="str">
        <f t="shared" si="80"/>
        <v>Dear PSW,
Your order is ready for pickup from Sample Branch, Wed-Fri 9am-4pm.</v>
      </c>
      <c r="AE506" s="64" t="str">
        <f t="shared" si="81"/>
        <v>mailto:firstname234.lastname234@example.com?subject=Supply%20order%20ready%20for%20pickup&amp;body=Dear%20PSW%2C%0A%0AYour%20order%20is%20ready%20for%20pickup%20from%20Sample%20Branch%2C%20Wed-Fri%209am-4pm.</v>
      </c>
      <c r="AF506" s="89" t="str">
        <f t="shared" si="90"/>
        <v>Draft email</v>
      </c>
      <c r="AG506" s="64" t="str">
        <f>IF($C506="","",IFERROR(INDEX('Staff Directory'!$K$595:$K$599,MATCH($C506,'Staff Directory'!$B$5:$B$599,0)),$D506))</f>
        <v>PSW</v>
      </c>
      <c r="AH506" t="str">
        <f>IF($C506="","",IFERROR(INDEX('Staff Directory'!$I$595:$I$599,MATCH($C506,'Staff Directory'!$B$5:$B$599,0))&amp;" "&amp;INDEX('Staff Directory'!$J$595:$J$599,MATCH($C506,'Staff Directory'!$B$5:$B$599,0)),$AG506))</f>
        <v>PSW</v>
      </c>
      <c r="AI506" s="102"/>
      <c r="AJ506" s="101">
        <f>IF($F506="","",SUMIFS($J$5:$J506,$F$5:$F506,$F506))</f>
        <v>28500</v>
      </c>
      <c r="AK506" s="101">
        <f t="shared" si="82"/>
        <v>28001</v>
      </c>
      <c r="AL506" s="66" t="str" cm="1">
        <f t="array" ref="AL506">IF($F506="","",IFERROR(INDEX('Lot Balance'!$B$5:$B$500,MATCH(1,INDEX(('Lot Balance'!$A$5:$A$500=$F506)*('Lot Balance'!$K$5:$K$500&lt;$AK506)*('Lot Balance'!$K$5:$K$500+'Lot Balance'!$D$5:$D$500&gt;=$AK506),0),0)),""))</f>
        <v>ZIM504126040-2</v>
      </c>
      <c r="AM506" s="66" t="str" cm="1">
        <f t="array" ref="AM506">IF($F506="","",IFERROR(INDEX('Lot Balance'!$B$5:$B$500,MATCH(1,INDEX(('Lot Balance'!$A$5:$A$500=$F506)*('Lot Balance'!$K$5:$K$500&lt;$AJ506)*('Lot Balance'!$K$5:$K$500+'Lot Balance'!$D$5:$D$500&gt;=$AJ506),0),0)),""))</f>
        <v>ZIM504126040-2</v>
      </c>
      <c r="AN506" s="66" t="str">
        <f>IF($F506="","",IF($AI506&lt;&gt;"",IF(COUNTIFS('Lot Balance'!$A$5:$A$500,$F506,'Lot Balance'!$B$5:$B$500,$AI506)=0,"⚠ override is not a lot of this item",IF($AI506=$AL506,"Override = FEFO","Override - FEFO says "&amp;$AL506)),IF($AL506="","⚠ no receipt on file for this item",IF($AM506&lt;&gt;$AL506,"FEFO auto - split, also "&amp;$AM506,"FEFO auto"))))</f>
        <v>FEFO auto</v>
      </c>
      <c r="AO506" s="114"/>
    </row>
    <row r="507" spans="1:41" x14ac:dyDescent="0.35">
      <c r="A507" s="74">
        <v>46146</v>
      </c>
      <c r="B507" s="18" t="str">
        <f>IF($C507="","",IFERROR(INDEX('Staff Directory'!$A$5:$A$594,MATCH($C507,'Staff Directory'!$B$5:$B$594,0)),"⚠ unknown staff"))</f>
        <v>PSW-171-A4</v>
      </c>
      <c r="C507" s="49" t="s">
        <v>1150</v>
      </c>
      <c r="D507" s="19" t="str">
        <f>IF($B507="","",IFERROR(INDEX('Staff Directory'!$C$5:$C$594,MATCH($B507,'Staff Directory'!$A$5:$A$594,0)),""))</f>
        <v>PSW</v>
      </c>
      <c r="E507" s="19" t="str">
        <f>IF($B507="","",IFERROR(INDEX('Staff Directory'!$D$5:$D$594,MATCH($B507,'Staff Directory'!$A$5:$A$594,0)),""))</f>
        <v>A4</v>
      </c>
      <c r="F507" s="9" t="s">
        <v>191</v>
      </c>
      <c r="G507" s="18" t="str">
        <f>IF($F507="","",IFERROR(INDEX(Items!$B$5:$B$597,MATCH($F507,Items!$A$5:$A$597,0)),"⚠ not in Items"))</f>
        <v>Sanitizer</v>
      </c>
      <c r="H507" s="19" t="str">
        <f>IF($F507="","",IFERROR(INDEX(Items!$C$5:$C$597,MATCH($F507,Items!$A$5:$A$597,0)),""))</f>
        <v>236 ML</v>
      </c>
      <c r="I507" s="23">
        <f>IF($F507="","",IFERROR(INDEX(Items!$E$5:$E$597,MATCH($F507,Items!$A$5:$A$597,0)),""))</f>
        <v>1</v>
      </c>
      <c r="J507" s="115">
        <f>IF(tblIssues[[#This Row],[Qty Override]]&lt;&gt;"",tblIssues[[#This Row],[Qty Override]],IF(tblIssues[[#This Row],[Standard Issue]]="","",tblIssues[[#This Row],[Standard Issue]]))</f>
        <v>1</v>
      </c>
      <c r="K507" s="20">
        <f>IF($F507="","",IFERROR(INDEX(Items!$D$5:$D$597,MATCH($F507,Items!$A$5:$A$597,0)),""))</f>
        <v>1E-4</v>
      </c>
      <c r="L507" s="21">
        <f t="shared" si="83"/>
        <v>1E-4</v>
      </c>
      <c r="M507" s="9" t="str">
        <f t="shared" si="84"/>
        <v>20-21734-2</v>
      </c>
      <c r="N507" s="24">
        <f>IF($A507="","",WORKDAY($A507,Settings!$C$9,HolidayDates))</f>
        <v>46154</v>
      </c>
      <c r="O507" s="24">
        <f>IF($N507="","",WORKDAY($N507,Settings!$C$10,HolidayDates))</f>
        <v>46192</v>
      </c>
      <c r="P507" s="10" t="s">
        <v>501</v>
      </c>
      <c r="Q507" s="52" t="str">
        <f t="shared" si="86"/>
        <v>Collected</v>
      </c>
      <c r="R507" s="55" t="str">
        <f t="shared" si="87"/>
        <v>2026-05</v>
      </c>
      <c r="S507" s="55">
        <f>IF(OR($B507="",$F507="",$R507=""),"",SUMIFS(tblIssues[Qty Issued],tblIssues[Staff ID],$B507,tblIssues[Item Name],$F507,tblIssues[Month],$R507))</f>
        <v>1</v>
      </c>
      <c r="T507" s="56">
        <f>IF($I507="","",$I507*Settings!$C$11)</f>
        <v>1</v>
      </c>
      <c r="U507" s="57" t="str">
        <f t="shared" si="85"/>
        <v>OK</v>
      </c>
      <c r="V507" s="55" t="str">
        <f t="shared" si="88"/>
        <v/>
      </c>
      <c r="W507" s="55" t="str">
        <f>IF($V507="","",IF(COUNTIF($V$5:$V507,$V507)=1,1,""))</f>
        <v/>
      </c>
      <c r="X507" s="58" t="str">
        <f>IF($W507="","",MAX($X$4:X506)+1)</f>
        <v/>
      </c>
      <c r="Y507" s="62"/>
      <c r="Z507" s="62"/>
      <c r="AA507" s="64" t="str">
        <f>IF($C507="","",IFERROR(INDEX('Staff Directory'!$E$5:$E$594,MATCH($C507,'Staff Directory'!$B$5:$B$594,0)),""))</f>
        <v>firstname234.lastname234@example.com</v>
      </c>
      <c r="AB507" s="64" t="str">
        <f>IF($C507="","",IF(ISNUMBER(SEARCH($D507,Settings!$C$15)),"Pickup","Dispatch"))</f>
        <v>Pickup</v>
      </c>
      <c r="AC507" s="64" t="str">
        <f t="shared" si="89"/>
        <v>Supply order ready for pickup</v>
      </c>
      <c r="AD507" s="64" t="str">
        <f t="shared" si="80"/>
        <v>Dear PSW,
Your order is ready for pickup from Sample Branch, Wed-Fri 9am-4pm.</v>
      </c>
      <c r="AE507" s="64" t="str">
        <f t="shared" si="81"/>
        <v>mailto:firstname234.lastname234@example.com?subject=Supply%20order%20ready%20for%20pickup&amp;body=Dear%20PSW%2C%0A%0AYour%20order%20is%20ready%20for%20pickup%20from%20Sample%20Branch%2C%20Wed-Fri%209am-4pm.</v>
      </c>
      <c r="AF507" s="89" t="str">
        <f t="shared" si="90"/>
        <v>Draft email</v>
      </c>
      <c r="AG507" s="64" t="str">
        <f>IF($C507="","",IFERROR(INDEX('Staff Directory'!$K$595:$K$599,MATCH($C507,'Staff Directory'!$B$5:$B$599,0)),$D507))</f>
        <v>PSW</v>
      </c>
      <c r="AH507" t="str">
        <f>IF($C507="","",IFERROR(INDEX('Staff Directory'!$I$595:$I$599,MATCH($C507,'Staff Directory'!$B$5:$B$599,0))&amp;" "&amp;INDEX('Staff Directory'!$J$595:$J$599,MATCH($C507,'Staff Directory'!$B$5:$B$599,0)),$AG507))</f>
        <v>PSW</v>
      </c>
      <c r="AI507" s="102"/>
      <c r="AJ507" s="101">
        <f>IF($F507="","",SUMIFS($J$5:$J507,$F$5:$F507,$F507))</f>
        <v>55</v>
      </c>
      <c r="AK507" s="101">
        <f t="shared" si="82"/>
        <v>55</v>
      </c>
      <c r="AL507" s="66" t="str" cm="1">
        <f t="array" ref="AL507">IF($F507="","",IFERROR(INDEX('Lot Balance'!$B$5:$B$500,MATCH(1,INDEX(('Lot Balance'!$A$5:$A$500=$F507)*('Lot Balance'!$K$5:$K$500&lt;$AK507)*('Lot Balance'!$K$5:$K$500+'Lot Balance'!$D$5:$D$500&gt;=$AK507),0),0)),""))</f>
        <v>20-21734-2</v>
      </c>
      <c r="AM507" s="66" t="str" cm="1">
        <f t="array" ref="AM507">IF($F507="","",IFERROR(INDEX('Lot Balance'!$B$5:$B$500,MATCH(1,INDEX(('Lot Balance'!$A$5:$A$500=$F507)*('Lot Balance'!$K$5:$K$500&lt;$AJ507)*('Lot Balance'!$K$5:$K$500+'Lot Balance'!$D$5:$D$500&gt;=$AJ507),0),0)),""))</f>
        <v>20-21734-2</v>
      </c>
      <c r="AN507" s="66" t="str">
        <f>IF($F507="","",IF($AI507&lt;&gt;"",IF(COUNTIFS('Lot Balance'!$A$5:$A$500,$F507,'Lot Balance'!$B$5:$B$500,$AI507)=0,"⚠ override is not a lot of this item",IF($AI507=$AL507,"Override = FEFO","Override - FEFO says "&amp;$AL507)),IF($AL507="","⚠ no receipt on file for this item",IF($AM507&lt;&gt;$AL507,"FEFO auto - split, also "&amp;$AM507,"FEFO auto"))))</f>
        <v>FEFO auto</v>
      </c>
      <c r="AO507" s="114"/>
    </row>
    <row r="508" spans="1:41" x14ac:dyDescent="0.35">
      <c r="A508" s="74">
        <v>46146</v>
      </c>
      <c r="B508" s="18" t="str">
        <f>IF($C508="","",IFERROR(INDEX('Staff Directory'!$A$5:$A$594,MATCH($C508,'Staff Directory'!$B$5:$B$594,0)),"⚠ unknown staff"))</f>
        <v>PSW-171-A4</v>
      </c>
      <c r="C508" s="49" t="s">
        <v>1150</v>
      </c>
      <c r="D508" s="19" t="str">
        <f>IF($B508="","",IFERROR(INDEX('Staff Directory'!$C$5:$C$594,MATCH($B508,'Staff Directory'!$A$5:$A$594,0)),""))</f>
        <v>PSW</v>
      </c>
      <c r="E508" s="19" t="str">
        <f>IF($B508="","",IFERROR(INDEX('Staff Directory'!$D$5:$D$594,MATCH($B508,'Staff Directory'!$A$5:$A$594,0)),""))</f>
        <v>A4</v>
      </c>
      <c r="F508" s="9" t="s">
        <v>115</v>
      </c>
      <c r="G508" s="18" t="str">
        <f>IF($F508="","",IFERROR(INDEX(Items!$B$5:$B$597,MATCH($F508,Items!$A$5:$A$597,0)),"⚠ not in Items"))</f>
        <v>Wipes</v>
      </c>
      <c r="H508" s="19">
        <f>IF($F508="","",IFERROR(INDEX(Items!$C$5:$C$597,MATCH($F508,Items!$A$5:$A$597,0)),""))</f>
        <v>80</v>
      </c>
      <c r="I508" s="23">
        <f>IF($F508="","",IFERROR(INDEX(Items!$E$5:$E$597,MATCH($F508,Items!$A$5:$A$597,0)),""))</f>
        <v>80</v>
      </c>
      <c r="J508" s="115">
        <f>IF(tblIssues[[#This Row],[Qty Override]]&lt;&gt;"",tblIssues[[#This Row],[Qty Override]],IF(tblIssues[[#This Row],[Standard Issue]]="","",tblIssues[[#This Row],[Standard Issue]]))</f>
        <v>80</v>
      </c>
      <c r="K508" s="20">
        <f>IF($F508="","",IFERROR(INDEX(Items!$D$5:$D$597,MATCH($F508,Items!$A$5:$A$597,0)),""))</f>
        <v>0.1</v>
      </c>
      <c r="L508" s="21">
        <f t="shared" si="83"/>
        <v>8</v>
      </c>
      <c r="M508" s="9" t="str">
        <f t="shared" si="84"/>
        <v>LYSL500290</v>
      </c>
      <c r="N508" s="24">
        <f>IF($A508="","",WORKDAY($A508,Settings!$C$9,HolidayDates))</f>
        <v>46154</v>
      </c>
      <c r="O508" s="24">
        <f>IF($N508="","",WORKDAY($N508,Settings!$C$10,HolidayDates))</f>
        <v>46192</v>
      </c>
      <c r="P508" s="10" t="s">
        <v>501</v>
      </c>
      <c r="Q508" s="52" t="str">
        <f t="shared" si="86"/>
        <v>Collected</v>
      </c>
      <c r="R508" s="55" t="str">
        <f t="shared" si="87"/>
        <v>2026-05</v>
      </c>
      <c r="S508" s="55">
        <f>IF(OR($B508="",$F508="",$R508=""),"",SUMIFS(tblIssues[Qty Issued],tblIssues[Staff ID],$B508,tblIssues[Item Name],$F508,tblIssues[Month],$R508))</f>
        <v>80</v>
      </c>
      <c r="T508" s="56">
        <f>IF($I508="","",$I508*Settings!$C$11)</f>
        <v>80</v>
      </c>
      <c r="U508" s="57" t="str">
        <f t="shared" si="85"/>
        <v>OK</v>
      </c>
      <c r="V508" s="55" t="str">
        <f t="shared" si="88"/>
        <v/>
      </c>
      <c r="W508" s="55" t="str">
        <f>IF($V508="","",IF(COUNTIF($V$5:$V508,$V508)=1,1,""))</f>
        <v/>
      </c>
      <c r="X508" s="58" t="str">
        <f>IF($W508="","",MAX($X$4:X507)+1)</f>
        <v/>
      </c>
      <c r="Y508" s="62"/>
      <c r="Z508" s="62"/>
      <c r="AA508" s="64" t="str">
        <f>IF($C508="","",IFERROR(INDEX('Staff Directory'!$E$5:$E$594,MATCH($C508,'Staff Directory'!$B$5:$B$594,0)),""))</f>
        <v>firstname234.lastname234@example.com</v>
      </c>
      <c r="AB508" s="64" t="str">
        <f>IF($C508="","",IF(ISNUMBER(SEARCH($D508,Settings!$C$15)),"Pickup","Dispatch"))</f>
        <v>Pickup</v>
      </c>
      <c r="AC508" s="64" t="str">
        <f t="shared" si="89"/>
        <v>Supply order ready for pickup</v>
      </c>
      <c r="AD508" s="64" t="str">
        <f t="shared" si="80"/>
        <v>Dear PSW,
Your order is ready for pickup from Sample Branch, Wed-Fri 9am-4pm.</v>
      </c>
      <c r="AE508" s="64" t="str">
        <f t="shared" si="81"/>
        <v>mailto:firstname234.lastname234@example.com?subject=Supply%20order%20ready%20for%20pickup&amp;body=Dear%20PSW%2C%0A%0AYour%20order%20is%20ready%20for%20pickup%20from%20Sample%20Branch%2C%20Wed-Fri%209am-4pm.</v>
      </c>
      <c r="AF508" s="89" t="str">
        <f t="shared" si="90"/>
        <v>Draft email</v>
      </c>
      <c r="AG508" s="64" t="str">
        <f>IF($C508="","",IFERROR(INDEX('Staff Directory'!$K$595:$K$599,MATCH($C508,'Staff Directory'!$B$5:$B$599,0)),$D508))</f>
        <v>PSW</v>
      </c>
      <c r="AH508" t="str">
        <f>IF($C508="","",IFERROR(INDEX('Staff Directory'!$I$595:$I$599,MATCH($C508,'Staff Directory'!$B$5:$B$599,0))&amp;" "&amp;INDEX('Staff Directory'!$J$595:$J$599,MATCH($C508,'Staff Directory'!$B$5:$B$599,0)),$AG508))</f>
        <v>PSW</v>
      </c>
      <c r="AI508" s="102"/>
      <c r="AJ508" s="101">
        <f>IF($F508="","",SUMIFS($J$5:$J508,$F$5:$F508,$F508))</f>
        <v>7280</v>
      </c>
      <c r="AK508" s="101">
        <f t="shared" si="82"/>
        <v>7201</v>
      </c>
      <c r="AL508" s="66" t="str" cm="1">
        <f t="array" ref="AL508">IF($F508="","",IFERROR(INDEX('Lot Balance'!$B$5:$B$500,MATCH(1,INDEX(('Lot Balance'!$A$5:$A$500=$F508)*('Lot Balance'!$K$5:$K$500&lt;$AK508)*('Lot Balance'!$K$5:$K$500+'Lot Balance'!$D$5:$D$500&gt;=$AK508),0),0)),""))</f>
        <v>LYSL500290</v>
      </c>
      <c r="AM508" s="66" t="str" cm="1">
        <f t="array" ref="AM508">IF($F508="","",IFERROR(INDEX('Lot Balance'!$B$5:$B$500,MATCH(1,INDEX(('Lot Balance'!$A$5:$A$500=$F508)*('Lot Balance'!$K$5:$K$500&lt;$AJ508)*('Lot Balance'!$K$5:$K$500+'Lot Balance'!$D$5:$D$500&gt;=$AJ508),0),0)),""))</f>
        <v>LYSL500290</v>
      </c>
      <c r="AN508" s="66" t="str">
        <f>IF($F508="","",IF($AI508&lt;&gt;"",IF(COUNTIFS('Lot Balance'!$A$5:$A$500,$F508,'Lot Balance'!$B$5:$B$500,$AI508)=0,"⚠ override is not a lot of this item",IF($AI508=$AL508,"Override = FEFO","Override - FEFO says "&amp;$AL508)),IF($AL508="","⚠ no receipt on file for this item",IF($AM508&lt;&gt;$AL508,"FEFO auto - split, also "&amp;$AM508,"FEFO auto"))))</f>
        <v>FEFO auto</v>
      </c>
      <c r="AO508" s="114"/>
    </row>
    <row r="509" spans="1:41" x14ac:dyDescent="0.35">
      <c r="A509" s="74">
        <v>46146</v>
      </c>
      <c r="B509" s="18" t="str">
        <f>IF($C509="","",IFERROR(INDEX('Staff Directory'!$A$5:$A$594,MATCH($C509,'Staff Directory'!$B$5:$B$594,0)),"⚠ unknown staff"))</f>
        <v>PSW-171-A4</v>
      </c>
      <c r="C509" s="49" t="s">
        <v>1150</v>
      </c>
      <c r="D509" s="19" t="str">
        <f>IF($B509="","",IFERROR(INDEX('Staff Directory'!$C$5:$C$594,MATCH($B509,'Staff Directory'!$A$5:$A$594,0)),""))</f>
        <v>PSW</v>
      </c>
      <c r="E509" s="19" t="str">
        <f>IF($B509="","",IFERROR(INDEX('Staff Directory'!$D$5:$D$594,MATCH($B509,'Staff Directory'!$A$5:$A$594,0)),""))</f>
        <v>A4</v>
      </c>
      <c r="F509" s="9" t="s">
        <v>156</v>
      </c>
      <c r="G509" s="18" t="str">
        <f>IF($F509="","",IFERROR(INDEX(Items!$B$5:$B$597,MATCH($F509,Items!$A$5:$A$597,0)),"⚠ not in Items"))</f>
        <v>Masks</v>
      </c>
      <c r="H509" s="19" t="str">
        <f>IF($F509="","",IFERROR(INDEX(Items!$C$5:$C$597,MATCH($F509,Items!$A$5:$A$597,0)),""))</f>
        <v>One Size</v>
      </c>
      <c r="I509" s="23">
        <f>IF($F509="","",IFERROR(INDEX(Items!$E$5:$E$597,MATCH($F509,Items!$A$5:$A$597,0)),""))</f>
        <v>50</v>
      </c>
      <c r="J509" s="115">
        <f>IF(tblIssues[[#This Row],[Qty Override]]&lt;&gt;"",tblIssues[[#This Row],[Qty Override]],IF(tblIssues[[#This Row],[Standard Issue]]="","",tblIssues[[#This Row],[Standard Issue]]))</f>
        <v>50</v>
      </c>
      <c r="K509" s="20">
        <f>IF($F509="","",IFERROR(INDEX(Items!$D$5:$D$597,MATCH($F509,Items!$A$5:$A$597,0)),""))</f>
        <v>0.25</v>
      </c>
      <c r="L509" s="21">
        <f t="shared" si="83"/>
        <v>12.5</v>
      </c>
      <c r="M509" s="9" t="str">
        <f t="shared" si="84"/>
        <v>0125FPC24-0</v>
      </c>
      <c r="N509" s="24">
        <f>IF($A509="","",WORKDAY($A509,Settings!$C$9,HolidayDates))</f>
        <v>46154</v>
      </c>
      <c r="O509" s="24">
        <f>IF($N509="","",WORKDAY($N509,Settings!$C$10,HolidayDates))</f>
        <v>46192</v>
      </c>
      <c r="P509" s="10" t="s">
        <v>501</v>
      </c>
      <c r="Q509" s="52" t="str">
        <f t="shared" si="86"/>
        <v>Collected</v>
      </c>
      <c r="R509" s="55" t="str">
        <f t="shared" si="87"/>
        <v>2026-05</v>
      </c>
      <c r="S509" s="55">
        <f>IF(OR($B509="",$F509="",$R509=""),"",SUMIFS(tblIssues[Qty Issued],tblIssues[Staff ID],$B509,tblIssues[Item Name],$F509,tblIssues[Month],$R509))</f>
        <v>50</v>
      </c>
      <c r="T509" s="56">
        <f>IF($I509="","",$I509*Settings!$C$11)</f>
        <v>50</v>
      </c>
      <c r="U509" s="57" t="str">
        <f t="shared" si="85"/>
        <v>OK</v>
      </c>
      <c r="V509" s="55" t="str">
        <f t="shared" si="88"/>
        <v/>
      </c>
      <c r="W509" s="55" t="str">
        <f>IF($V509="","",IF(COUNTIF($V$5:$V509,$V509)=1,1,""))</f>
        <v/>
      </c>
      <c r="X509" s="58" t="str">
        <f>IF($W509="","",MAX($X$4:X508)+1)</f>
        <v/>
      </c>
      <c r="Y509" s="62"/>
      <c r="Z509" s="62"/>
      <c r="AA509" s="64" t="str">
        <f>IF($C509="","",IFERROR(INDEX('Staff Directory'!$E$5:$E$594,MATCH($C509,'Staff Directory'!$B$5:$B$594,0)),""))</f>
        <v>firstname234.lastname234@example.com</v>
      </c>
      <c r="AB509" s="64" t="str">
        <f>IF($C509="","",IF(ISNUMBER(SEARCH($D509,Settings!$C$15)),"Pickup","Dispatch"))</f>
        <v>Pickup</v>
      </c>
      <c r="AC509" s="64" t="str">
        <f t="shared" si="89"/>
        <v>Supply order ready for pickup</v>
      </c>
      <c r="AD509" s="64" t="str">
        <f t="shared" si="80"/>
        <v>Dear PSW,
Your order is ready for pickup from Sample Branch, Wed-Fri 9am-4pm.</v>
      </c>
      <c r="AE509" s="64" t="str">
        <f t="shared" si="81"/>
        <v>mailto:firstname234.lastname234@example.com?subject=Supply%20order%20ready%20for%20pickup&amp;body=Dear%20PSW%2C%0A%0AYour%20order%20is%20ready%20for%20pickup%20from%20Sample%20Branch%2C%20Wed-Fri%209am-4pm.</v>
      </c>
      <c r="AF509" s="89" t="str">
        <f t="shared" si="90"/>
        <v>Draft email</v>
      </c>
      <c r="AG509" s="64" t="str">
        <f>IF($C509="","",IFERROR(INDEX('Staff Directory'!$K$595:$K$599,MATCH($C509,'Staff Directory'!$B$5:$B$599,0)),$D509))</f>
        <v>PSW</v>
      </c>
      <c r="AH509" t="str">
        <f>IF($C509="","",IFERROR(INDEX('Staff Directory'!$I$595:$I$599,MATCH($C509,'Staff Directory'!$B$5:$B$599,0))&amp;" "&amp;INDEX('Staff Directory'!$J$595:$J$599,MATCH($C509,'Staff Directory'!$B$5:$B$599,0)),$AG509))</f>
        <v>PSW</v>
      </c>
      <c r="AI509" s="102"/>
      <c r="AJ509" s="101">
        <f>IF($F509="","",SUMIFS($J$5:$J509,$F$5:$F509,$F509))</f>
        <v>4200</v>
      </c>
      <c r="AK509" s="101">
        <f t="shared" si="82"/>
        <v>4151</v>
      </c>
      <c r="AL509" s="66" t="str" cm="1">
        <f t="array" ref="AL509">IF($F509="","",IFERROR(INDEX('Lot Balance'!$B$5:$B$500,MATCH(1,INDEX(('Lot Balance'!$A$5:$A$500=$F509)*('Lot Balance'!$K$5:$K$500&lt;$AK509)*('Lot Balance'!$K$5:$K$500+'Lot Balance'!$D$5:$D$500&gt;=$AK509),0),0)),""))</f>
        <v>0125FPC24-0</v>
      </c>
      <c r="AM509" s="66" t="str" cm="1">
        <f t="array" ref="AM509">IF($F509="","",IFERROR(INDEX('Lot Balance'!$B$5:$B$500,MATCH(1,INDEX(('Lot Balance'!$A$5:$A$500=$F509)*('Lot Balance'!$K$5:$K$500&lt;$AJ509)*('Lot Balance'!$K$5:$K$500+'Lot Balance'!$D$5:$D$500&gt;=$AJ509),0),0)),""))</f>
        <v>0125FPC24-0</v>
      </c>
      <c r="AN509" s="66" t="str">
        <f>IF($F509="","",IF($AI509&lt;&gt;"",IF(COUNTIFS('Lot Balance'!$A$5:$A$500,$F509,'Lot Balance'!$B$5:$B$500,$AI509)=0,"⚠ override is not a lot of this item",IF($AI509=$AL509,"Override = FEFO","Override - FEFO says "&amp;$AL509)),IF($AL509="","⚠ no receipt on file for this item",IF($AM509&lt;&gt;$AL509,"FEFO auto - split, also "&amp;$AM509,"FEFO auto"))))</f>
        <v>FEFO auto</v>
      </c>
      <c r="AO509" s="114"/>
    </row>
    <row r="510" spans="1:41" x14ac:dyDescent="0.35">
      <c r="A510" s="74">
        <v>46146</v>
      </c>
      <c r="B510" s="18" t="str">
        <f>IF($C510="","",IFERROR(INDEX('Staff Directory'!$A$5:$A$594,MATCH($C510,'Staff Directory'!$B$5:$B$594,0)),"⚠ unknown staff"))</f>
        <v>PSW-105-A5</v>
      </c>
      <c r="C510" s="49" t="s">
        <v>1083</v>
      </c>
      <c r="D510" s="19" t="str">
        <f>IF($B510="","",IFERROR(INDEX('Staff Directory'!$C$5:$C$594,MATCH($B510,'Staff Directory'!$A$5:$A$594,0)),""))</f>
        <v>PSW</v>
      </c>
      <c r="E510" s="19" t="str">
        <f>IF($B510="","",IFERROR(INDEX('Staff Directory'!$D$5:$D$594,MATCH($B510,'Staff Directory'!$A$5:$A$594,0)),""))</f>
        <v>A5</v>
      </c>
      <c r="F510" s="9" t="s">
        <v>127</v>
      </c>
      <c r="G510" s="18" t="str">
        <f>IF($F510="","",IFERROR(INDEX(Items!$B$5:$B$597,MATCH($F510,Items!$A$5:$A$597,0)),"⚠ not in Items"))</f>
        <v>Gloves</v>
      </c>
      <c r="H510" s="19" t="str">
        <f>IF($F510="","",IFERROR(INDEX(Items!$C$5:$C$597,MATCH($F510,Items!$A$5:$A$597,0)),""))</f>
        <v>Medium</v>
      </c>
      <c r="I510" s="23">
        <f>IF($F510="","",IFERROR(INDEX(Items!$E$5:$E$597,MATCH($F510,Items!$A$5:$A$597,0)),""))</f>
        <v>500</v>
      </c>
      <c r="J510" s="115">
        <f>IF(tblIssues[[#This Row],[Qty Override]]&lt;&gt;"",tblIssues[[#This Row],[Qty Override]],IF(tblIssues[[#This Row],[Standard Issue]]="","",tblIssues[[#This Row],[Standard Issue]]))</f>
        <v>500</v>
      </c>
      <c r="K510" s="20">
        <f>IF($F510="","",IFERROR(INDEX(Items!$D$5:$D$597,MATCH($F510,Items!$A$5:$A$597,0)),""))</f>
        <v>5.5E-2</v>
      </c>
      <c r="L510" s="21">
        <f t="shared" si="83"/>
        <v>27.5</v>
      </c>
      <c r="M510" s="9" t="str">
        <f t="shared" si="84"/>
        <v>ZIM504126040-2</v>
      </c>
      <c r="N510" s="24">
        <f>IF($A510="","",WORKDAY($A510,Settings!$C$9,HolidayDates))</f>
        <v>46154</v>
      </c>
      <c r="O510" s="24">
        <f>IF($N510="","",WORKDAY($N510,Settings!$C$10,HolidayDates))</f>
        <v>46192</v>
      </c>
      <c r="P510" s="10" t="s">
        <v>501</v>
      </c>
      <c r="Q510" s="52" t="str">
        <f t="shared" si="86"/>
        <v>Collected</v>
      </c>
      <c r="R510" s="55" t="str">
        <f t="shared" si="87"/>
        <v>2026-05</v>
      </c>
      <c r="S510" s="55">
        <f>IF(OR($B510="",$F510="",$R510=""),"",SUMIFS(tblIssues[Qty Issued],tblIssues[Staff ID],$B510,tblIssues[Item Name],$F510,tblIssues[Month],$R510))</f>
        <v>500</v>
      </c>
      <c r="T510" s="56">
        <f>IF($I510="","",$I510*Settings!$C$11)</f>
        <v>500</v>
      </c>
      <c r="U510" s="57" t="str">
        <f t="shared" si="85"/>
        <v>OK</v>
      </c>
      <c r="V510" s="55" t="str">
        <f t="shared" si="88"/>
        <v/>
      </c>
      <c r="W510" s="55" t="str">
        <f>IF($V510="","",IF(COUNTIF($V$5:$V510,$V510)=1,1,""))</f>
        <v/>
      </c>
      <c r="X510" s="58" t="str">
        <f>IF($W510="","",MAX($X$4:X509)+1)</f>
        <v/>
      </c>
      <c r="Y510" s="62"/>
      <c r="Z510" s="62"/>
      <c r="AA510" s="64" t="str">
        <f>IF($C510="","",IFERROR(INDEX('Staff Directory'!$E$5:$E$594,MATCH($C510,'Staff Directory'!$B$5:$B$594,0)),""))</f>
        <v>firstname167.lastname167@example.com</v>
      </c>
      <c r="AB510" s="64" t="str">
        <f>IF($C510="","",IF(ISNUMBER(SEARCH($D510,Settings!$C$15)),"Pickup","Dispatch"))</f>
        <v>Pickup</v>
      </c>
      <c r="AC510" s="64" t="str">
        <f t="shared" si="89"/>
        <v>Supply order ready for pickup</v>
      </c>
      <c r="AD510" s="64" t="str">
        <f t="shared" si="80"/>
        <v>Dear PSW,
Your order is ready for pickup from Sample Branch, Wed-Fri 9am-4pm.</v>
      </c>
      <c r="AE510" s="64" t="str">
        <f t="shared" si="81"/>
        <v>mailto:firstname167.lastname167@example.com?subject=Supply%20order%20ready%20for%20pickup&amp;body=Dear%20PSW%2C%0A%0AYour%20order%20is%20ready%20for%20pickup%20from%20Sample%20Branch%2C%20Wed-Fri%209am-4pm.</v>
      </c>
      <c r="AF510" s="89" t="str">
        <f t="shared" si="90"/>
        <v>Draft email</v>
      </c>
      <c r="AG510" s="64" t="str">
        <f>IF($C510="","",IFERROR(INDEX('Staff Directory'!$K$595:$K$599,MATCH($C510,'Staff Directory'!$B$5:$B$599,0)),$D510))</f>
        <v>PSW</v>
      </c>
      <c r="AH510" t="str">
        <f>IF($C510="","",IFERROR(INDEX('Staff Directory'!$I$595:$I$599,MATCH($C510,'Staff Directory'!$B$5:$B$599,0))&amp;" "&amp;INDEX('Staff Directory'!$J$595:$J$599,MATCH($C510,'Staff Directory'!$B$5:$B$599,0)),$AG510))</f>
        <v>PSW</v>
      </c>
      <c r="AI510" s="102"/>
      <c r="AJ510" s="101">
        <f>IF($F510="","",SUMIFS($J$5:$J510,$F$5:$F510,$F510))</f>
        <v>29000</v>
      </c>
      <c r="AK510" s="101">
        <f t="shared" si="82"/>
        <v>28501</v>
      </c>
      <c r="AL510" s="66" t="str" cm="1">
        <f t="array" ref="AL510">IF($F510="","",IFERROR(INDEX('Lot Balance'!$B$5:$B$500,MATCH(1,INDEX(('Lot Balance'!$A$5:$A$500=$F510)*('Lot Balance'!$K$5:$K$500&lt;$AK510)*('Lot Balance'!$K$5:$K$500+'Lot Balance'!$D$5:$D$500&gt;=$AK510),0),0)),""))</f>
        <v>ZIM504126040-2</v>
      </c>
      <c r="AM510" s="66" t="str" cm="1">
        <f t="array" ref="AM510">IF($F510="","",IFERROR(INDEX('Lot Balance'!$B$5:$B$500,MATCH(1,INDEX(('Lot Balance'!$A$5:$A$500=$F510)*('Lot Balance'!$K$5:$K$500&lt;$AJ510)*('Lot Balance'!$K$5:$K$500+'Lot Balance'!$D$5:$D$500&gt;=$AJ510),0),0)),""))</f>
        <v>ZIM504126040-2</v>
      </c>
      <c r="AN510" s="66" t="str">
        <f>IF($F510="","",IF($AI510&lt;&gt;"",IF(COUNTIFS('Lot Balance'!$A$5:$A$500,$F510,'Lot Balance'!$B$5:$B$500,$AI510)=0,"⚠ override is not a lot of this item",IF($AI510=$AL510,"Override = FEFO","Override - FEFO says "&amp;$AL510)),IF($AL510="","⚠ no receipt on file for this item",IF($AM510&lt;&gt;$AL510,"FEFO auto - split, also "&amp;$AM510,"FEFO auto"))))</f>
        <v>FEFO auto</v>
      </c>
      <c r="AO510" s="114"/>
    </row>
    <row r="511" spans="1:41" x14ac:dyDescent="0.35">
      <c r="A511" s="74">
        <v>46146</v>
      </c>
      <c r="B511" s="18" t="str">
        <f>IF($C511="","",IFERROR(INDEX('Staff Directory'!$A$5:$A$594,MATCH($C511,'Staff Directory'!$B$5:$B$594,0)),"⚠ unknown staff"))</f>
        <v>PSW-105-A5</v>
      </c>
      <c r="C511" s="49" t="s">
        <v>1083</v>
      </c>
      <c r="D511" s="19" t="str">
        <f>IF($B511="","",IFERROR(INDEX('Staff Directory'!$C$5:$C$594,MATCH($B511,'Staff Directory'!$A$5:$A$594,0)),""))</f>
        <v>PSW</v>
      </c>
      <c r="E511" s="19" t="str">
        <f>IF($B511="","",IFERROR(INDEX('Staff Directory'!$D$5:$D$594,MATCH($B511,'Staff Directory'!$A$5:$A$594,0)),""))</f>
        <v>A5</v>
      </c>
      <c r="F511" s="9" t="s">
        <v>191</v>
      </c>
      <c r="G511" s="18" t="str">
        <f>IF($F511="","",IFERROR(INDEX(Items!$B$5:$B$597,MATCH($F511,Items!$A$5:$A$597,0)),"⚠ not in Items"))</f>
        <v>Sanitizer</v>
      </c>
      <c r="H511" s="19" t="str">
        <f>IF($F511="","",IFERROR(INDEX(Items!$C$5:$C$597,MATCH($F511,Items!$A$5:$A$597,0)),""))</f>
        <v>236 ML</v>
      </c>
      <c r="I511" s="23">
        <f>IF($F511="","",IFERROR(INDEX(Items!$E$5:$E$597,MATCH($F511,Items!$A$5:$A$597,0)),""))</f>
        <v>1</v>
      </c>
      <c r="J511" s="115">
        <f>IF(tblIssues[[#This Row],[Qty Override]]&lt;&gt;"",tblIssues[[#This Row],[Qty Override]],IF(tblIssues[[#This Row],[Standard Issue]]="","",tblIssues[[#This Row],[Standard Issue]]))</f>
        <v>1</v>
      </c>
      <c r="K511" s="20">
        <f>IF($F511="","",IFERROR(INDEX(Items!$D$5:$D$597,MATCH($F511,Items!$A$5:$A$597,0)),""))</f>
        <v>1E-4</v>
      </c>
      <c r="L511" s="21">
        <f t="shared" si="83"/>
        <v>1E-4</v>
      </c>
      <c r="M511" s="9" t="str">
        <f t="shared" si="84"/>
        <v>20-21734-2</v>
      </c>
      <c r="N511" s="24">
        <f>IF($A511="","",WORKDAY($A511,Settings!$C$9,HolidayDates))</f>
        <v>46154</v>
      </c>
      <c r="O511" s="24">
        <f>IF($N511="","",WORKDAY($N511,Settings!$C$10,HolidayDates))</f>
        <v>46192</v>
      </c>
      <c r="P511" s="10" t="s">
        <v>501</v>
      </c>
      <c r="Q511" s="52" t="str">
        <f t="shared" si="86"/>
        <v>Collected</v>
      </c>
      <c r="R511" s="55" t="str">
        <f t="shared" si="87"/>
        <v>2026-05</v>
      </c>
      <c r="S511" s="55">
        <f>IF(OR($B511="",$F511="",$R511=""),"",SUMIFS(tblIssues[Qty Issued],tblIssues[Staff ID],$B511,tblIssues[Item Name],$F511,tblIssues[Month],$R511))</f>
        <v>1</v>
      </c>
      <c r="T511" s="56">
        <f>IF($I511="","",$I511*Settings!$C$11)</f>
        <v>1</v>
      </c>
      <c r="U511" s="57" t="str">
        <f t="shared" si="85"/>
        <v>OK</v>
      </c>
      <c r="V511" s="55" t="str">
        <f t="shared" si="88"/>
        <v/>
      </c>
      <c r="W511" s="55" t="str">
        <f>IF($V511="","",IF(COUNTIF($V$5:$V511,$V511)=1,1,""))</f>
        <v/>
      </c>
      <c r="X511" s="58" t="str">
        <f>IF($W511="","",MAX($X$4:X510)+1)</f>
        <v/>
      </c>
      <c r="Y511" s="62"/>
      <c r="Z511" s="62"/>
      <c r="AA511" s="64" t="str">
        <f>IF($C511="","",IFERROR(INDEX('Staff Directory'!$E$5:$E$594,MATCH($C511,'Staff Directory'!$B$5:$B$594,0)),""))</f>
        <v>firstname167.lastname167@example.com</v>
      </c>
      <c r="AB511" s="64" t="str">
        <f>IF($C511="","",IF(ISNUMBER(SEARCH($D511,Settings!$C$15)),"Pickup","Dispatch"))</f>
        <v>Pickup</v>
      </c>
      <c r="AC511" s="64" t="str">
        <f t="shared" si="89"/>
        <v>Supply order ready for pickup</v>
      </c>
      <c r="AD511" s="64" t="str">
        <f t="shared" si="80"/>
        <v>Dear PSW,
Your order is ready for pickup from Sample Branch, Wed-Fri 9am-4pm.</v>
      </c>
      <c r="AE511" s="64" t="str">
        <f t="shared" si="81"/>
        <v>mailto:firstname167.lastname167@example.com?subject=Supply%20order%20ready%20for%20pickup&amp;body=Dear%20PSW%2C%0A%0AYour%20order%20is%20ready%20for%20pickup%20from%20Sample%20Branch%2C%20Wed-Fri%209am-4pm.</v>
      </c>
      <c r="AF511" s="89" t="str">
        <f t="shared" si="90"/>
        <v>Draft email</v>
      </c>
      <c r="AG511" s="64" t="str">
        <f>IF($C511="","",IFERROR(INDEX('Staff Directory'!$K$595:$K$599,MATCH($C511,'Staff Directory'!$B$5:$B$599,0)),$D511))</f>
        <v>PSW</v>
      </c>
      <c r="AH511" t="str">
        <f>IF($C511="","",IFERROR(INDEX('Staff Directory'!$I$595:$I$599,MATCH($C511,'Staff Directory'!$B$5:$B$599,0))&amp;" "&amp;INDEX('Staff Directory'!$J$595:$J$599,MATCH($C511,'Staff Directory'!$B$5:$B$599,0)),$AG511))</f>
        <v>PSW</v>
      </c>
      <c r="AI511" s="102"/>
      <c r="AJ511" s="101">
        <f>IF($F511="","",SUMIFS($J$5:$J511,$F$5:$F511,$F511))</f>
        <v>56</v>
      </c>
      <c r="AK511" s="101">
        <f t="shared" si="82"/>
        <v>56</v>
      </c>
      <c r="AL511" s="66" t="str" cm="1">
        <f t="array" ref="AL511">IF($F511="","",IFERROR(INDEX('Lot Balance'!$B$5:$B$500,MATCH(1,INDEX(('Lot Balance'!$A$5:$A$500=$F511)*('Lot Balance'!$K$5:$K$500&lt;$AK511)*('Lot Balance'!$K$5:$K$500+'Lot Balance'!$D$5:$D$500&gt;=$AK511),0),0)),""))</f>
        <v>20-21734-2</v>
      </c>
      <c r="AM511" s="66" t="str" cm="1">
        <f t="array" ref="AM511">IF($F511="","",IFERROR(INDEX('Lot Balance'!$B$5:$B$500,MATCH(1,INDEX(('Lot Balance'!$A$5:$A$500=$F511)*('Lot Balance'!$K$5:$K$500&lt;$AJ511)*('Lot Balance'!$K$5:$K$500+'Lot Balance'!$D$5:$D$500&gt;=$AJ511),0),0)),""))</f>
        <v>20-21734-2</v>
      </c>
      <c r="AN511" s="66" t="str">
        <f>IF($F511="","",IF($AI511&lt;&gt;"",IF(COUNTIFS('Lot Balance'!$A$5:$A$500,$F511,'Lot Balance'!$B$5:$B$500,$AI511)=0,"⚠ override is not a lot of this item",IF($AI511=$AL511,"Override = FEFO","Override - FEFO says "&amp;$AL511)),IF($AL511="","⚠ no receipt on file for this item",IF($AM511&lt;&gt;$AL511,"FEFO auto - split, also "&amp;$AM511,"FEFO auto"))))</f>
        <v>FEFO auto</v>
      </c>
      <c r="AO511" s="114"/>
    </row>
    <row r="512" spans="1:41" x14ac:dyDescent="0.35">
      <c r="A512" s="74">
        <v>46146</v>
      </c>
      <c r="B512" s="18" t="str">
        <f>IF($C512="","",IFERROR(INDEX('Staff Directory'!$A$5:$A$594,MATCH($C512,'Staff Directory'!$B$5:$B$594,0)),"⚠ unknown staff"))</f>
        <v>PSW-105-A5</v>
      </c>
      <c r="C512" s="49" t="s">
        <v>1083</v>
      </c>
      <c r="D512" s="19" t="str">
        <f>IF($B512="","",IFERROR(INDEX('Staff Directory'!$C$5:$C$594,MATCH($B512,'Staff Directory'!$A$5:$A$594,0)),""))</f>
        <v>PSW</v>
      </c>
      <c r="E512" s="19" t="str">
        <f>IF($B512="","",IFERROR(INDEX('Staff Directory'!$D$5:$D$594,MATCH($B512,'Staff Directory'!$A$5:$A$594,0)),""))</f>
        <v>A5</v>
      </c>
      <c r="F512" s="9" t="s">
        <v>115</v>
      </c>
      <c r="G512" s="18" t="str">
        <f>IF($F512="","",IFERROR(INDEX(Items!$B$5:$B$597,MATCH($F512,Items!$A$5:$A$597,0)),"⚠ not in Items"))</f>
        <v>Wipes</v>
      </c>
      <c r="H512" s="19">
        <f>IF($F512="","",IFERROR(INDEX(Items!$C$5:$C$597,MATCH($F512,Items!$A$5:$A$597,0)),""))</f>
        <v>80</v>
      </c>
      <c r="I512" s="23">
        <f>IF($F512="","",IFERROR(INDEX(Items!$E$5:$E$597,MATCH($F512,Items!$A$5:$A$597,0)),""))</f>
        <v>80</v>
      </c>
      <c r="J512" s="115">
        <f>IF(tblIssues[[#This Row],[Qty Override]]&lt;&gt;"",tblIssues[[#This Row],[Qty Override]],IF(tblIssues[[#This Row],[Standard Issue]]="","",tblIssues[[#This Row],[Standard Issue]]))</f>
        <v>80</v>
      </c>
      <c r="K512" s="20">
        <f>IF($F512="","",IFERROR(INDEX(Items!$D$5:$D$597,MATCH($F512,Items!$A$5:$A$597,0)),""))</f>
        <v>0.1</v>
      </c>
      <c r="L512" s="21">
        <f t="shared" si="83"/>
        <v>8</v>
      </c>
      <c r="M512" s="9" t="str">
        <f t="shared" si="84"/>
        <v>LYSL500290</v>
      </c>
      <c r="N512" s="24">
        <f>IF($A512="","",WORKDAY($A512,Settings!$C$9,HolidayDates))</f>
        <v>46154</v>
      </c>
      <c r="O512" s="24">
        <f>IF($N512="","",WORKDAY($N512,Settings!$C$10,HolidayDates))</f>
        <v>46192</v>
      </c>
      <c r="P512" s="10" t="s">
        <v>501</v>
      </c>
      <c r="Q512" s="52" t="str">
        <f t="shared" si="86"/>
        <v>Collected</v>
      </c>
      <c r="R512" s="55" t="str">
        <f t="shared" si="87"/>
        <v>2026-05</v>
      </c>
      <c r="S512" s="55">
        <f>IF(OR($B512="",$F512="",$R512=""),"",SUMIFS(tblIssues[Qty Issued],tblIssues[Staff ID],$B512,tblIssues[Item Name],$F512,tblIssues[Month],$R512))</f>
        <v>80</v>
      </c>
      <c r="T512" s="56">
        <f>IF($I512="","",$I512*Settings!$C$11)</f>
        <v>80</v>
      </c>
      <c r="U512" s="57" t="str">
        <f t="shared" si="85"/>
        <v>OK</v>
      </c>
      <c r="V512" s="55" t="str">
        <f t="shared" si="88"/>
        <v/>
      </c>
      <c r="W512" s="55" t="str">
        <f>IF($V512="","",IF(COUNTIF($V$5:$V512,$V512)=1,1,""))</f>
        <v/>
      </c>
      <c r="X512" s="58" t="str">
        <f>IF($W512="","",MAX($X$4:X511)+1)</f>
        <v/>
      </c>
      <c r="Y512" s="62"/>
      <c r="Z512" s="62"/>
      <c r="AA512" s="64" t="str">
        <f>IF($C512="","",IFERROR(INDEX('Staff Directory'!$E$5:$E$594,MATCH($C512,'Staff Directory'!$B$5:$B$594,0)),""))</f>
        <v>firstname167.lastname167@example.com</v>
      </c>
      <c r="AB512" s="64" t="str">
        <f>IF($C512="","",IF(ISNUMBER(SEARCH($D512,Settings!$C$15)),"Pickup","Dispatch"))</f>
        <v>Pickup</v>
      </c>
      <c r="AC512" s="64" t="str">
        <f t="shared" si="89"/>
        <v>Supply order ready for pickup</v>
      </c>
      <c r="AD512" s="64" t="str">
        <f t="shared" si="80"/>
        <v>Dear PSW,
Your order is ready for pickup from Sample Branch, Wed-Fri 9am-4pm.</v>
      </c>
      <c r="AE512" s="64" t="str">
        <f t="shared" si="81"/>
        <v>mailto:firstname167.lastname167@example.com?subject=Supply%20order%20ready%20for%20pickup&amp;body=Dear%20PSW%2C%0A%0AYour%20order%20is%20ready%20for%20pickup%20from%20Sample%20Branch%2C%20Wed-Fri%209am-4pm.</v>
      </c>
      <c r="AF512" s="89" t="str">
        <f t="shared" si="90"/>
        <v>Draft email</v>
      </c>
      <c r="AG512" s="64" t="str">
        <f>IF($C512="","",IFERROR(INDEX('Staff Directory'!$K$595:$K$599,MATCH($C512,'Staff Directory'!$B$5:$B$599,0)),$D512))</f>
        <v>PSW</v>
      </c>
      <c r="AH512" t="str">
        <f>IF($C512="","",IFERROR(INDEX('Staff Directory'!$I$595:$I$599,MATCH($C512,'Staff Directory'!$B$5:$B$599,0))&amp;" "&amp;INDEX('Staff Directory'!$J$595:$J$599,MATCH($C512,'Staff Directory'!$B$5:$B$599,0)),$AG512))</f>
        <v>PSW</v>
      </c>
      <c r="AI512" s="102"/>
      <c r="AJ512" s="101">
        <f>IF($F512="","",SUMIFS($J$5:$J512,$F$5:$F512,$F512))</f>
        <v>7360</v>
      </c>
      <c r="AK512" s="101">
        <f t="shared" si="82"/>
        <v>7281</v>
      </c>
      <c r="AL512" s="66" t="str" cm="1">
        <f t="array" ref="AL512">IF($F512="","",IFERROR(INDEX('Lot Balance'!$B$5:$B$500,MATCH(1,INDEX(('Lot Balance'!$A$5:$A$500=$F512)*('Lot Balance'!$K$5:$K$500&lt;$AK512)*('Lot Balance'!$K$5:$K$500+'Lot Balance'!$D$5:$D$500&gt;=$AK512),0),0)),""))</f>
        <v>LYSL500290</v>
      </c>
      <c r="AM512" s="66" t="str" cm="1">
        <f t="array" ref="AM512">IF($F512="","",IFERROR(INDEX('Lot Balance'!$B$5:$B$500,MATCH(1,INDEX(('Lot Balance'!$A$5:$A$500=$F512)*('Lot Balance'!$K$5:$K$500&lt;$AJ512)*('Lot Balance'!$K$5:$K$500+'Lot Balance'!$D$5:$D$500&gt;=$AJ512),0),0)),""))</f>
        <v>LYSL500290</v>
      </c>
      <c r="AN512" s="66" t="str">
        <f>IF($F512="","",IF($AI512&lt;&gt;"",IF(COUNTIFS('Lot Balance'!$A$5:$A$500,$F512,'Lot Balance'!$B$5:$B$500,$AI512)=0,"⚠ override is not a lot of this item",IF($AI512=$AL512,"Override = FEFO","Override - FEFO says "&amp;$AL512)),IF($AL512="","⚠ no receipt on file for this item",IF($AM512&lt;&gt;$AL512,"FEFO auto - split, also "&amp;$AM512,"FEFO auto"))))</f>
        <v>FEFO auto</v>
      </c>
      <c r="AO512" s="114"/>
    </row>
    <row r="513" spans="1:41" x14ac:dyDescent="0.35">
      <c r="A513" s="74">
        <v>46146</v>
      </c>
      <c r="B513" s="18" t="str">
        <f>IF($C513="","",IFERROR(INDEX('Staff Directory'!$A$5:$A$594,MATCH($C513,'Staff Directory'!$B$5:$B$594,0)),"⚠ unknown staff"))</f>
        <v>PSW-105-A5</v>
      </c>
      <c r="C513" s="49" t="s">
        <v>1083</v>
      </c>
      <c r="D513" s="19" t="str">
        <f>IF($B513="","",IFERROR(INDEX('Staff Directory'!$C$5:$C$594,MATCH($B513,'Staff Directory'!$A$5:$A$594,0)),""))</f>
        <v>PSW</v>
      </c>
      <c r="E513" s="19" t="str">
        <f>IF($B513="","",IFERROR(INDEX('Staff Directory'!$D$5:$D$594,MATCH($B513,'Staff Directory'!$A$5:$A$594,0)),""))</f>
        <v>A5</v>
      </c>
      <c r="F513" s="9" t="s">
        <v>156</v>
      </c>
      <c r="G513" s="18" t="str">
        <f>IF($F513="","",IFERROR(INDEX(Items!$B$5:$B$597,MATCH($F513,Items!$A$5:$A$597,0)),"⚠ not in Items"))</f>
        <v>Masks</v>
      </c>
      <c r="H513" s="19" t="str">
        <f>IF($F513="","",IFERROR(INDEX(Items!$C$5:$C$597,MATCH($F513,Items!$A$5:$A$597,0)),""))</f>
        <v>One Size</v>
      </c>
      <c r="I513" s="23">
        <f>IF($F513="","",IFERROR(INDEX(Items!$E$5:$E$597,MATCH($F513,Items!$A$5:$A$597,0)),""))</f>
        <v>50</v>
      </c>
      <c r="J513" s="115">
        <f>IF(tblIssues[[#This Row],[Qty Override]]&lt;&gt;"",tblIssues[[#This Row],[Qty Override]],IF(tblIssues[[#This Row],[Standard Issue]]="","",tblIssues[[#This Row],[Standard Issue]]))</f>
        <v>50</v>
      </c>
      <c r="K513" s="20">
        <f>IF($F513="","",IFERROR(INDEX(Items!$D$5:$D$597,MATCH($F513,Items!$A$5:$A$597,0)),""))</f>
        <v>0.25</v>
      </c>
      <c r="L513" s="21">
        <f t="shared" si="83"/>
        <v>12.5</v>
      </c>
      <c r="M513" s="9" t="str">
        <f t="shared" si="84"/>
        <v>0125FPC24-0</v>
      </c>
      <c r="N513" s="24">
        <f>IF($A513="","",WORKDAY($A513,Settings!$C$9,HolidayDates))</f>
        <v>46154</v>
      </c>
      <c r="O513" s="24">
        <f>IF($N513="","",WORKDAY($N513,Settings!$C$10,HolidayDates))</f>
        <v>46192</v>
      </c>
      <c r="P513" s="10" t="s">
        <v>501</v>
      </c>
      <c r="Q513" s="52" t="str">
        <f t="shared" si="86"/>
        <v>Collected</v>
      </c>
      <c r="R513" s="55" t="str">
        <f t="shared" si="87"/>
        <v>2026-05</v>
      </c>
      <c r="S513" s="55">
        <f>IF(OR($B513="",$F513="",$R513=""),"",SUMIFS(tblIssues[Qty Issued],tblIssues[Staff ID],$B513,tblIssues[Item Name],$F513,tblIssues[Month],$R513))</f>
        <v>50</v>
      </c>
      <c r="T513" s="56">
        <f>IF($I513="","",$I513*Settings!$C$11)</f>
        <v>50</v>
      </c>
      <c r="U513" s="57" t="str">
        <f t="shared" si="85"/>
        <v>OK</v>
      </c>
      <c r="V513" s="55" t="str">
        <f t="shared" si="88"/>
        <v/>
      </c>
      <c r="W513" s="55" t="str">
        <f>IF($V513="","",IF(COUNTIF($V$5:$V513,$V513)=1,1,""))</f>
        <v/>
      </c>
      <c r="X513" s="58" t="str">
        <f>IF($W513="","",MAX($X$4:X512)+1)</f>
        <v/>
      </c>
      <c r="Y513" s="62"/>
      <c r="Z513" s="62"/>
      <c r="AA513" s="64" t="str">
        <f>IF($C513="","",IFERROR(INDEX('Staff Directory'!$E$5:$E$594,MATCH($C513,'Staff Directory'!$B$5:$B$594,0)),""))</f>
        <v>firstname167.lastname167@example.com</v>
      </c>
      <c r="AB513" s="64" t="str">
        <f>IF($C513="","",IF(ISNUMBER(SEARCH($D513,Settings!$C$15)),"Pickup","Dispatch"))</f>
        <v>Pickup</v>
      </c>
      <c r="AC513" s="64" t="str">
        <f t="shared" si="89"/>
        <v>Supply order ready for pickup</v>
      </c>
      <c r="AD513" s="64" t="str">
        <f t="shared" si="80"/>
        <v>Dear PSW,
Your order is ready for pickup from Sample Branch, Wed-Fri 9am-4pm.</v>
      </c>
      <c r="AE513" s="64" t="str">
        <f t="shared" si="81"/>
        <v>mailto:firstname167.lastname167@example.com?subject=Supply%20order%20ready%20for%20pickup&amp;body=Dear%20PSW%2C%0A%0AYour%20order%20is%20ready%20for%20pickup%20from%20Sample%20Branch%2C%20Wed-Fri%209am-4pm.</v>
      </c>
      <c r="AF513" s="89" t="str">
        <f t="shared" si="90"/>
        <v>Draft email</v>
      </c>
      <c r="AG513" s="64" t="str">
        <f>IF($C513="","",IFERROR(INDEX('Staff Directory'!$K$595:$K$599,MATCH($C513,'Staff Directory'!$B$5:$B$599,0)),$D513))</f>
        <v>PSW</v>
      </c>
      <c r="AH513" t="str">
        <f>IF($C513="","",IFERROR(INDEX('Staff Directory'!$I$595:$I$599,MATCH($C513,'Staff Directory'!$B$5:$B$599,0))&amp;" "&amp;INDEX('Staff Directory'!$J$595:$J$599,MATCH($C513,'Staff Directory'!$B$5:$B$599,0)),$AG513))</f>
        <v>PSW</v>
      </c>
      <c r="AI513" s="102"/>
      <c r="AJ513" s="101">
        <f>IF($F513="","",SUMIFS($J$5:$J513,$F$5:$F513,$F513))</f>
        <v>4250</v>
      </c>
      <c r="AK513" s="101">
        <f t="shared" si="82"/>
        <v>4201</v>
      </c>
      <c r="AL513" s="66" t="str" cm="1">
        <f t="array" ref="AL513">IF($F513="","",IFERROR(INDEX('Lot Balance'!$B$5:$B$500,MATCH(1,INDEX(('Lot Balance'!$A$5:$A$500=$F513)*('Lot Balance'!$K$5:$K$500&lt;$AK513)*('Lot Balance'!$K$5:$K$500+'Lot Balance'!$D$5:$D$500&gt;=$AK513),0),0)),""))</f>
        <v>0125FPC24-0</v>
      </c>
      <c r="AM513" s="66" t="str" cm="1">
        <f t="array" ref="AM513">IF($F513="","",IFERROR(INDEX('Lot Balance'!$B$5:$B$500,MATCH(1,INDEX(('Lot Balance'!$A$5:$A$500=$F513)*('Lot Balance'!$K$5:$K$500&lt;$AJ513)*('Lot Balance'!$K$5:$K$500+'Lot Balance'!$D$5:$D$500&gt;=$AJ513),0),0)),""))</f>
        <v>0125FPC24-0</v>
      </c>
      <c r="AN513" s="66" t="str">
        <f>IF($F513="","",IF($AI513&lt;&gt;"",IF(COUNTIFS('Lot Balance'!$A$5:$A$500,$F513,'Lot Balance'!$B$5:$B$500,$AI513)=0,"⚠ override is not a lot of this item",IF($AI513=$AL513,"Override = FEFO","Override - FEFO says "&amp;$AL513)),IF($AL513="","⚠ no receipt on file for this item",IF($AM513&lt;&gt;$AL513,"FEFO auto - split, also "&amp;$AM513,"FEFO auto"))))</f>
        <v>FEFO auto</v>
      </c>
      <c r="AO513" s="114"/>
    </row>
    <row r="514" spans="1:41" x14ac:dyDescent="0.35">
      <c r="A514" s="74">
        <v>46146</v>
      </c>
      <c r="B514" s="18" t="str">
        <f>IF($C514="","",IFERROR(INDEX('Staff Directory'!$A$5:$A$594,MATCH($C514,'Staff Directory'!$B$5:$B$594,0)),"⚠ unknown staff"))</f>
        <v>RN-051-A2</v>
      </c>
      <c r="C514" s="49" t="s">
        <v>976</v>
      </c>
      <c r="D514" s="19" t="str">
        <f>IF($B514="","",IFERROR(INDEX('Staff Directory'!$C$5:$C$594,MATCH($B514,'Staff Directory'!$A$5:$A$594,0)),""))</f>
        <v>RN</v>
      </c>
      <c r="E514" s="19" t="str">
        <f>IF($B514="","",IFERROR(INDEX('Staff Directory'!$D$5:$D$594,MATCH($B514,'Staff Directory'!$A$5:$A$594,0)),""))</f>
        <v>A2</v>
      </c>
      <c r="F514" s="9" t="s">
        <v>129</v>
      </c>
      <c r="G514" s="18" t="str">
        <f>IF($F514="","",IFERROR(INDEX(Items!$B$5:$B$597,MATCH($F514,Items!$A$5:$A$597,0)),"⚠ not in Items"))</f>
        <v>Gloves</v>
      </c>
      <c r="H514" s="19" t="str">
        <f>IF($F514="","",IFERROR(INDEX(Items!$C$5:$C$597,MATCH($F514,Items!$A$5:$A$597,0)),""))</f>
        <v>Small</v>
      </c>
      <c r="I514" s="23">
        <f>IF($F514="","",IFERROR(INDEX(Items!$E$5:$E$597,MATCH($F514,Items!$A$5:$A$597,0)),""))</f>
        <v>500</v>
      </c>
      <c r="J514" s="115">
        <f>IF(tblIssues[[#This Row],[Qty Override]]&lt;&gt;"",tblIssues[[#This Row],[Qty Override]],IF(tblIssues[[#This Row],[Standard Issue]]="","",tblIssues[[#This Row],[Standard Issue]]))</f>
        <v>500</v>
      </c>
      <c r="K514" s="20">
        <f>IF($F514="","",IFERROR(INDEX(Items!$D$5:$D$597,MATCH($F514,Items!$A$5:$A$597,0)),""))</f>
        <v>5.5E-2</v>
      </c>
      <c r="L514" s="21">
        <f t="shared" si="83"/>
        <v>27.5</v>
      </c>
      <c r="M514" s="9" t="str">
        <f t="shared" si="84"/>
        <v>O210LIC25</v>
      </c>
      <c r="N514" s="24">
        <f>IF($A514="","",WORKDAY($A514,Settings!$C$9,HolidayDates))</f>
        <v>46154</v>
      </c>
      <c r="O514" s="24">
        <f>IF($N514="","",WORKDAY($N514,Settings!$C$10,HolidayDates))</f>
        <v>46192</v>
      </c>
      <c r="P514" s="10" t="s">
        <v>751</v>
      </c>
      <c r="Q514" s="52" t="str">
        <f t="shared" si="86"/>
        <v>Collected</v>
      </c>
      <c r="R514" s="55" t="str">
        <f t="shared" si="87"/>
        <v>2026-05</v>
      </c>
      <c r="S514" s="55">
        <f>IF(OR($B514="",$F514="",$R514=""),"",SUMIFS(tblIssues[Qty Issued],tblIssues[Staff ID],$B514,tblIssues[Item Name],$F514,tblIssues[Month],$R514))</f>
        <v>500</v>
      </c>
      <c r="T514" s="56">
        <f>IF($I514="","",$I514*Settings!$C$11)</f>
        <v>500</v>
      </c>
      <c r="U514" s="57" t="str">
        <f t="shared" si="85"/>
        <v>OK</v>
      </c>
      <c r="V514" s="55" t="str">
        <f t="shared" si="88"/>
        <v/>
      </c>
      <c r="W514" s="55" t="str">
        <f>IF($V514="","",IF(COUNTIF($V$5:$V514,$V514)=1,1,""))</f>
        <v/>
      </c>
      <c r="X514" s="58" t="str">
        <f>IF($W514="","",MAX($X$4:X513)+1)</f>
        <v/>
      </c>
      <c r="Y514" s="62"/>
      <c r="Z514" s="62"/>
      <c r="AA514" s="64" t="str">
        <f>IF($C514="","",IFERROR(INDEX('Staff Directory'!$E$5:$E$594,MATCH($C514,'Staff Directory'!$B$5:$B$594,0)),""))</f>
        <v>firstname060.lastname060@example.com</v>
      </c>
      <c r="AB514" s="64" t="str">
        <f>IF($C514="","",IF(ISNUMBER(SEARCH($D514,Settings!$C$15)),"Pickup","Dispatch"))</f>
        <v>Dispatch</v>
      </c>
      <c r="AC514" s="64" t="str">
        <f t="shared" si="89"/>
        <v>Supply order dispatched</v>
      </c>
      <c r="AD514" s="64" t="str">
        <f t="shared" si="80"/>
        <v>Dear RN,
Your order has been dispatched and is in transit. Reply if undelivered.</v>
      </c>
      <c r="AE514" s="64" t="str">
        <f t="shared" si="81"/>
        <v>mailto:firstname060.lastname060@example.com?subject=Supply%20order%20dispatched&amp;body=Dear%20RN%2C%0A%0AYour%20order%20has%20been%20dispatched%20and%20is%20in%20transit.%20Reply%20if%20undelivered.</v>
      </c>
      <c r="AF514" s="89" t="str">
        <f t="shared" si="90"/>
        <v>Draft email</v>
      </c>
      <c r="AG514" s="64" t="str">
        <f>IF($C514="","",IFERROR(INDEX('Staff Directory'!$K$595:$K$599,MATCH($C514,'Staff Directory'!$B$5:$B$599,0)),$D514))</f>
        <v>RN</v>
      </c>
      <c r="AH514" t="str">
        <f>IF($C514="","",IFERROR(INDEX('Staff Directory'!$I$595:$I$599,MATCH($C514,'Staff Directory'!$B$5:$B$599,0))&amp;" "&amp;INDEX('Staff Directory'!$J$595:$J$599,MATCH($C514,'Staff Directory'!$B$5:$B$599,0)),$AG514))</f>
        <v>RN</v>
      </c>
      <c r="AI514" s="102"/>
      <c r="AJ514" s="101">
        <f>IF($F514="","",SUMIFS($J$5:$J514,$F$5:$F514,$F514))</f>
        <v>18500</v>
      </c>
      <c r="AK514" s="101">
        <f t="shared" si="82"/>
        <v>18001</v>
      </c>
      <c r="AL514" s="66" t="str" cm="1">
        <f t="array" ref="AL514">IF($F514="","",IFERROR(INDEX('Lot Balance'!$B$5:$B$500,MATCH(1,INDEX(('Lot Balance'!$A$5:$A$500=$F514)*('Lot Balance'!$K$5:$K$500&lt;$AK514)*('Lot Balance'!$K$5:$K$500+'Lot Balance'!$D$5:$D$500&gt;=$AK514),0),0)),""))</f>
        <v>O210LIC25</v>
      </c>
      <c r="AM514" s="66" t="str" cm="1">
        <f t="array" ref="AM514">IF($F514="","",IFERROR(INDEX('Lot Balance'!$B$5:$B$500,MATCH(1,INDEX(('Lot Balance'!$A$5:$A$500=$F514)*('Lot Balance'!$K$5:$K$500&lt;$AJ514)*('Lot Balance'!$K$5:$K$500+'Lot Balance'!$D$5:$D$500&gt;=$AJ514),0),0)),""))</f>
        <v>O210LIC25</v>
      </c>
      <c r="AN514" s="66" t="str">
        <f>IF($F514="","",IF($AI514&lt;&gt;"",IF(COUNTIFS('Lot Balance'!$A$5:$A$500,$F514,'Lot Balance'!$B$5:$B$500,$AI514)=0,"⚠ override is not a lot of this item",IF($AI514=$AL514,"Override = FEFO","Override - FEFO says "&amp;$AL514)),IF($AL514="","⚠ no receipt on file for this item",IF($AM514&lt;&gt;$AL514,"FEFO auto - split, also "&amp;$AM514,"FEFO auto"))))</f>
        <v>FEFO auto</v>
      </c>
      <c r="AO514" s="114"/>
    </row>
    <row r="515" spans="1:41" x14ac:dyDescent="0.35">
      <c r="A515" s="74">
        <v>46146</v>
      </c>
      <c r="B515" s="18" t="str">
        <f>IF($C515="","",IFERROR(INDEX('Staff Directory'!$A$5:$A$594,MATCH($C515,'Staff Directory'!$B$5:$B$594,0)),"⚠ unknown staff"))</f>
        <v>RN-051-A2</v>
      </c>
      <c r="C515" s="49" t="s">
        <v>976</v>
      </c>
      <c r="D515" s="19" t="str">
        <f>IF($B515="","",IFERROR(INDEX('Staff Directory'!$C$5:$C$594,MATCH($B515,'Staff Directory'!$A$5:$A$594,0)),""))</f>
        <v>RN</v>
      </c>
      <c r="E515" s="19" t="str">
        <f>IF($B515="","",IFERROR(INDEX('Staff Directory'!$D$5:$D$594,MATCH($B515,'Staff Directory'!$A$5:$A$594,0)),""))</f>
        <v>A2</v>
      </c>
      <c r="F515" s="9" t="s">
        <v>191</v>
      </c>
      <c r="G515" s="18" t="str">
        <f>IF($F515="","",IFERROR(INDEX(Items!$B$5:$B$597,MATCH($F515,Items!$A$5:$A$597,0)),"⚠ not in Items"))</f>
        <v>Sanitizer</v>
      </c>
      <c r="H515" s="19" t="str">
        <f>IF($F515="","",IFERROR(INDEX(Items!$C$5:$C$597,MATCH($F515,Items!$A$5:$A$597,0)),""))</f>
        <v>236 ML</v>
      </c>
      <c r="I515" s="23">
        <f>IF($F515="","",IFERROR(INDEX(Items!$E$5:$E$597,MATCH($F515,Items!$A$5:$A$597,0)),""))</f>
        <v>1</v>
      </c>
      <c r="J515" s="115">
        <f>IF(tblIssues[[#This Row],[Qty Override]]&lt;&gt;"",tblIssues[[#This Row],[Qty Override]],IF(tblIssues[[#This Row],[Standard Issue]]="","",tblIssues[[#This Row],[Standard Issue]]))</f>
        <v>1</v>
      </c>
      <c r="K515" s="20">
        <f>IF($F515="","",IFERROR(INDEX(Items!$D$5:$D$597,MATCH($F515,Items!$A$5:$A$597,0)),""))</f>
        <v>1E-4</v>
      </c>
      <c r="L515" s="21">
        <f t="shared" si="83"/>
        <v>1E-4</v>
      </c>
      <c r="M515" s="9" t="str">
        <f t="shared" si="84"/>
        <v>20-21734-2</v>
      </c>
      <c r="N515" s="24">
        <f>IF($A515="","",WORKDAY($A515,Settings!$C$9,HolidayDates))</f>
        <v>46154</v>
      </c>
      <c r="O515" s="24">
        <f>IF($N515="","",WORKDAY($N515,Settings!$C$10,HolidayDates))</f>
        <v>46192</v>
      </c>
      <c r="P515" s="10" t="s">
        <v>751</v>
      </c>
      <c r="Q515" s="52" t="str">
        <f t="shared" si="86"/>
        <v>Collected</v>
      </c>
      <c r="R515" s="55" t="str">
        <f t="shared" si="87"/>
        <v>2026-05</v>
      </c>
      <c r="S515" s="55">
        <f>IF(OR($B515="",$F515="",$R515=""),"",SUMIFS(tblIssues[Qty Issued],tblIssues[Staff ID],$B515,tblIssues[Item Name],$F515,tblIssues[Month],$R515))</f>
        <v>1</v>
      </c>
      <c r="T515" s="56">
        <f>IF($I515="","",$I515*Settings!$C$11)</f>
        <v>1</v>
      </c>
      <c r="U515" s="57" t="str">
        <f t="shared" si="85"/>
        <v>OK</v>
      </c>
      <c r="V515" s="55" t="str">
        <f t="shared" si="88"/>
        <v/>
      </c>
      <c r="W515" s="55" t="str">
        <f>IF($V515="","",IF(COUNTIF($V$5:$V515,$V515)=1,1,""))</f>
        <v/>
      </c>
      <c r="X515" s="58" t="str">
        <f>IF($W515="","",MAX($X$4:X514)+1)</f>
        <v/>
      </c>
      <c r="Y515" s="62"/>
      <c r="Z515" s="62"/>
      <c r="AA515" s="64" t="str">
        <f>IF($C515="","",IFERROR(INDEX('Staff Directory'!$E$5:$E$594,MATCH($C515,'Staff Directory'!$B$5:$B$594,0)),""))</f>
        <v>firstname060.lastname060@example.com</v>
      </c>
      <c r="AB515" s="64" t="str">
        <f>IF($C515="","",IF(ISNUMBER(SEARCH($D515,Settings!$C$15)),"Pickup","Dispatch"))</f>
        <v>Dispatch</v>
      </c>
      <c r="AC515" s="64" t="str">
        <f t="shared" si="89"/>
        <v>Supply order dispatched</v>
      </c>
      <c r="AD515" s="64" t="str">
        <f t="shared" si="80"/>
        <v>Dear RN,
Your order has been dispatched and is in transit. Reply if undelivered.</v>
      </c>
      <c r="AE515" s="64" t="str">
        <f t="shared" si="81"/>
        <v>mailto:firstname060.lastname060@example.com?subject=Supply%20order%20dispatched&amp;body=Dear%20RN%2C%0A%0AYour%20order%20has%20been%20dispatched%20and%20is%20in%20transit.%20Reply%20if%20undelivered.</v>
      </c>
      <c r="AF515" s="89" t="str">
        <f t="shared" si="90"/>
        <v>Draft email</v>
      </c>
      <c r="AG515" s="64" t="str">
        <f>IF($C515="","",IFERROR(INDEX('Staff Directory'!$K$595:$K$599,MATCH($C515,'Staff Directory'!$B$5:$B$599,0)),$D515))</f>
        <v>RN</v>
      </c>
      <c r="AH515" t="str">
        <f>IF($C515="","",IFERROR(INDEX('Staff Directory'!$I$595:$I$599,MATCH($C515,'Staff Directory'!$B$5:$B$599,0))&amp;" "&amp;INDEX('Staff Directory'!$J$595:$J$599,MATCH($C515,'Staff Directory'!$B$5:$B$599,0)),$AG515))</f>
        <v>RN</v>
      </c>
      <c r="AI515" s="102"/>
      <c r="AJ515" s="101">
        <f>IF($F515="","",SUMIFS($J$5:$J515,$F$5:$F515,$F515))</f>
        <v>57</v>
      </c>
      <c r="AK515" s="101">
        <f t="shared" si="82"/>
        <v>57</v>
      </c>
      <c r="AL515" s="66" t="str" cm="1">
        <f t="array" ref="AL515">IF($F515="","",IFERROR(INDEX('Lot Balance'!$B$5:$B$500,MATCH(1,INDEX(('Lot Balance'!$A$5:$A$500=$F515)*('Lot Balance'!$K$5:$K$500&lt;$AK515)*('Lot Balance'!$K$5:$K$500+'Lot Balance'!$D$5:$D$500&gt;=$AK515),0),0)),""))</f>
        <v>20-21734-2</v>
      </c>
      <c r="AM515" s="66" t="str" cm="1">
        <f t="array" ref="AM515">IF($F515="","",IFERROR(INDEX('Lot Balance'!$B$5:$B$500,MATCH(1,INDEX(('Lot Balance'!$A$5:$A$500=$F515)*('Lot Balance'!$K$5:$K$500&lt;$AJ515)*('Lot Balance'!$K$5:$K$500+'Lot Balance'!$D$5:$D$500&gt;=$AJ515),0),0)),""))</f>
        <v>20-21734-2</v>
      </c>
      <c r="AN515" s="66" t="str">
        <f>IF($F515="","",IF($AI515&lt;&gt;"",IF(COUNTIFS('Lot Balance'!$A$5:$A$500,$F515,'Lot Balance'!$B$5:$B$500,$AI515)=0,"⚠ override is not a lot of this item",IF($AI515=$AL515,"Override = FEFO","Override - FEFO says "&amp;$AL515)),IF($AL515="","⚠ no receipt on file for this item",IF($AM515&lt;&gt;$AL515,"FEFO auto - split, also "&amp;$AM515,"FEFO auto"))))</f>
        <v>FEFO auto</v>
      </c>
      <c r="AO515" s="114"/>
    </row>
    <row r="516" spans="1:41" x14ac:dyDescent="0.35">
      <c r="A516" s="74">
        <v>46146</v>
      </c>
      <c r="B516" s="18" t="str">
        <f>IF($C516="","",IFERROR(INDEX('Staff Directory'!$A$5:$A$594,MATCH($C516,'Staff Directory'!$B$5:$B$594,0)),"⚠ unknown staff"))</f>
        <v>RN-051-A2</v>
      </c>
      <c r="C516" s="49" t="s">
        <v>976</v>
      </c>
      <c r="D516" s="19" t="str">
        <f>IF($B516="","",IFERROR(INDEX('Staff Directory'!$C$5:$C$594,MATCH($B516,'Staff Directory'!$A$5:$A$594,0)),""))</f>
        <v>RN</v>
      </c>
      <c r="E516" s="19" t="str">
        <f>IF($B516="","",IFERROR(INDEX('Staff Directory'!$D$5:$D$594,MATCH($B516,'Staff Directory'!$A$5:$A$594,0)),""))</f>
        <v>A2</v>
      </c>
      <c r="F516" s="9" t="s">
        <v>115</v>
      </c>
      <c r="G516" s="18" t="str">
        <f>IF($F516="","",IFERROR(INDEX(Items!$B$5:$B$597,MATCH($F516,Items!$A$5:$A$597,0)),"⚠ not in Items"))</f>
        <v>Wipes</v>
      </c>
      <c r="H516" s="19">
        <f>IF($F516="","",IFERROR(INDEX(Items!$C$5:$C$597,MATCH($F516,Items!$A$5:$A$597,0)),""))</f>
        <v>80</v>
      </c>
      <c r="I516" s="23">
        <f>IF($F516="","",IFERROR(INDEX(Items!$E$5:$E$597,MATCH($F516,Items!$A$5:$A$597,0)),""))</f>
        <v>80</v>
      </c>
      <c r="J516" s="115">
        <f>IF(tblIssues[[#This Row],[Qty Override]]&lt;&gt;"",tblIssues[[#This Row],[Qty Override]],IF(tblIssues[[#This Row],[Standard Issue]]="","",tblIssues[[#This Row],[Standard Issue]]))</f>
        <v>80</v>
      </c>
      <c r="K516" s="20">
        <f>IF($F516="","",IFERROR(INDEX(Items!$D$5:$D$597,MATCH($F516,Items!$A$5:$A$597,0)),""))</f>
        <v>0.1</v>
      </c>
      <c r="L516" s="21">
        <f t="shared" si="83"/>
        <v>8</v>
      </c>
      <c r="M516" s="9" t="str">
        <f t="shared" si="84"/>
        <v>LYSL500290</v>
      </c>
      <c r="N516" s="24">
        <f>IF($A516="","",WORKDAY($A516,Settings!$C$9,HolidayDates))</f>
        <v>46154</v>
      </c>
      <c r="O516" s="24">
        <f>IF($N516="","",WORKDAY($N516,Settings!$C$10,HolidayDates))</f>
        <v>46192</v>
      </c>
      <c r="P516" s="10" t="s">
        <v>751</v>
      </c>
      <c r="Q516" s="52" t="str">
        <f t="shared" si="86"/>
        <v>Collected</v>
      </c>
      <c r="R516" s="55" t="str">
        <f t="shared" si="87"/>
        <v>2026-05</v>
      </c>
      <c r="S516" s="55">
        <f>IF(OR($B516="",$F516="",$R516=""),"",SUMIFS(tblIssues[Qty Issued],tblIssues[Staff ID],$B516,tblIssues[Item Name],$F516,tblIssues[Month],$R516))</f>
        <v>80</v>
      </c>
      <c r="T516" s="56">
        <f>IF($I516="","",$I516*Settings!$C$11)</f>
        <v>80</v>
      </c>
      <c r="U516" s="57" t="str">
        <f t="shared" si="85"/>
        <v>OK</v>
      </c>
      <c r="V516" s="55" t="str">
        <f t="shared" si="88"/>
        <v/>
      </c>
      <c r="W516" s="55" t="str">
        <f>IF($V516="","",IF(COUNTIF($V$5:$V516,$V516)=1,1,""))</f>
        <v/>
      </c>
      <c r="X516" s="58" t="str">
        <f>IF($W516="","",MAX($X$4:X515)+1)</f>
        <v/>
      </c>
      <c r="Y516" s="62"/>
      <c r="Z516" s="62"/>
      <c r="AA516" s="64" t="str">
        <f>IF($C516="","",IFERROR(INDEX('Staff Directory'!$E$5:$E$594,MATCH($C516,'Staff Directory'!$B$5:$B$594,0)),""))</f>
        <v>firstname060.lastname060@example.com</v>
      </c>
      <c r="AB516" s="64" t="str">
        <f>IF($C516="","",IF(ISNUMBER(SEARCH($D516,Settings!$C$15)),"Pickup","Dispatch"))</f>
        <v>Dispatch</v>
      </c>
      <c r="AC516" s="64" t="str">
        <f t="shared" si="89"/>
        <v>Supply order dispatched</v>
      </c>
      <c r="AD516" s="64" t="str">
        <f t="shared" si="80"/>
        <v>Dear RN,
Your order has been dispatched and is in transit. Reply if undelivered.</v>
      </c>
      <c r="AE516" s="64" t="str">
        <f t="shared" si="81"/>
        <v>mailto:firstname060.lastname060@example.com?subject=Supply%20order%20dispatched&amp;body=Dear%20RN%2C%0A%0AYour%20order%20has%20been%20dispatched%20and%20is%20in%20transit.%20Reply%20if%20undelivered.</v>
      </c>
      <c r="AF516" s="89" t="str">
        <f t="shared" si="90"/>
        <v>Draft email</v>
      </c>
      <c r="AG516" s="64" t="str">
        <f>IF($C516="","",IFERROR(INDEX('Staff Directory'!$K$595:$K$599,MATCH($C516,'Staff Directory'!$B$5:$B$599,0)),$D516))</f>
        <v>RN</v>
      </c>
      <c r="AH516" t="str">
        <f>IF($C516="","",IFERROR(INDEX('Staff Directory'!$I$595:$I$599,MATCH($C516,'Staff Directory'!$B$5:$B$599,0))&amp;" "&amp;INDEX('Staff Directory'!$J$595:$J$599,MATCH($C516,'Staff Directory'!$B$5:$B$599,0)),$AG516))</f>
        <v>RN</v>
      </c>
      <c r="AI516" s="102"/>
      <c r="AJ516" s="101">
        <f>IF($F516="","",SUMIFS($J$5:$J516,$F$5:$F516,$F516))</f>
        <v>7440</v>
      </c>
      <c r="AK516" s="101">
        <f t="shared" si="82"/>
        <v>7361</v>
      </c>
      <c r="AL516" s="66" t="str" cm="1">
        <f t="array" ref="AL516">IF($F516="","",IFERROR(INDEX('Lot Balance'!$B$5:$B$500,MATCH(1,INDEX(('Lot Balance'!$A$5:$A$500=$F516)*('Lot Balance'!$K$5:$K$500&lt;$AK516)*('Lot Balance'!$K$5:$K$500+'Lot Balance'!$D$5:$D$500&gt;=$AK516),0),0)),""))</f>
        <v>LYSL500290</v>
      </c>
      <c r="AM516" s="66" t="str" cm="1">
        <f t="array" ref="AM516">IF($F516="","",IFERROR(INDEX('Lot Balance'!$B$5:$B$500,MATCH(1,INDEX(('Lot Balance'!$A$5:$A$500=$F516)*('Lot Balance'!$K$5:$K$500&lt;$AJ516)*('Lot Balance'!$K$5:$K$500+'Lot Balance'!$D$5:$D$500&gt;=$AJ516),0),0)),""))</f>
        <v>LYSL500290</v>
      </c>
      <c r="AN516" s="66" t="str">
        <f>IF($F516="","",IF($AI516&lt;&gt;"",IF(COUNTIFS('Lot Balance'!$A$5:$A$500,$F516,'Lot Balance'!$B$5:$B$500,$AI516)=0,"⚠ override is not a lot of this item",IF($AI516=$AL516,"Override = FEFO","Override - FEFO says "&amp;$AL516)),IF($AL516="","⚠ no receipt on file for this item",IF($AM516&lt;&gt;$AL516,"FEFO auto - split, also "&amp;$AM516,"FEFO auto"))))</f>
        <v>FEFO auto</v>
      </c>
      <c r="AO516" s="114"/>
    </row>
    <row r="517" spans="1:41" x14ac:dyDescent="0.35">
      <c r="A517" s="74">
        <v>46146</v>
      </c>
      <c r="B517" s="18" t="str">
        <f>IF($C517="","",IFERROR(INDEX('Staff Directory'!$A$5:$A$594,MATCH($C517,'Staff Directory'!$B$5:$B$594,0)),"⚠ unknown staff"))</f>
        <v>RN-051-A2</v>
      </c>
      <c r="C517" s="49" t="s">
        <v>976</v>
      </c>
      <c r="D517" s="19" t="str">
        <f>IF($B517="","",IFERROR(INDEX('Staff Directory'!$C$5:$C$594,MATCH($B517,'Staff Directory'!$A$5:$A$594,0)),""))</f>
        <v>RN</v>
      </c>
      <c r="E517" s="19" t="str">
        <f>IF($B517="","",IFERROR(INDEX('Staff Directory'!$D$5:$D$594,MATCH($B517,'Staff Directory'!$A$5:$A$594,0)),""))</f>
        <v>A2</v>
      </c>
      <c r="F517" s="9" t="s">
        <v>156</v>
      </c>
      <c r="G517" s="18" t="str">
        <f>IF($F517="","",IFERROR(INDEX(Items!$B$5:$B$597,MATCH($F517,Items!$A$5:$A$597,0)),"⚠ not in Items"))</f>
        <v>Masks</v>
      </c>
      <c r="H517" s="19" t="str">
        <f>IF($F517="","",IFERROR(INDEX(Items!$C$5:$C$597,MATCH($F517,Items!$A$5:$A$597,0)),""))</f>
        <v>One Size</v>
      </c>
      <c r="I517" s="23">
        <f>IF($F517="","",IFERROR(INDEX(Items!$E$5:$E$597,MATCH($F517,Items!$A$5:$A$597,0)),""))</f>
        <v>50</v>
      </c>
      <c r="J517" s="115">
        <f>IF(tblIssues[[#This Row],[Qty Override]]&lt;&gt;"",tblIssues[[#This Row],[Qty Override]],IF(tblIssues[[#This Row],[Standard Issue]]="","",tblIssues[[#This Row],[Standard Issue]]))</f>
        <v>50</v>
      </c>
      <c r="K517" s="20">
        <f>IF($F517="","",IFERROR(INDEX(Items!$D$5:$D$597,MATCH($F517,Items!$A$5:$A$597,0)),""))</f>
        <v>0.25</v>
      </c>
      <c r="L517" s="21">
        <f t="shared" si="83"/>
        <v>12.5</v>
      </c>
      <c r="M517" s="9" t="str">
        <f t="shared" si="84"/>
        <v>0125FPC24-0</v>
      </c>
      <c r="N517" s="24">
        <f>IF($A517="","",WORKDAY($A517,Settings!$C$9,HolidayDates))</f>
        <v>46154</v>
      </c>
      <c r="O517" s="24">
        <f>IF($N517="","",WORKDAY($N517,Settings!$C$10,HolidayDates))</f>
        <v>46192</v>
      </c>
      <c r="P517" s="10" t="s">
        <v>751</v>
      </c>
      <c r="Q517" s="52" t="str">
        <f t="shared" si="86"/>
        <v>Collected</v>
      </c>
      <c r="R517" s="55" t="str">
        <f t="shared" si="87"/>
        <v>2026-05</v>
      </c>
      <c r="S517" s="55">
        <f>IF(OR($B517="",$F517="",$R517=""),"",SUMIFS(tblIssues[Qty Issued],tblIssues[Staff ID],$B517,tblIssues[Item Name],$F517,tblIssues[Month],$R517))</f>
        <v>50</v>
      </c>
      <c r="T517" s="56">
        <f>IF($I517="","",$I517*Settings!$C$11)</f>
        <v>50</v>
      </c>
      <c r="U517" s="57" t="str">
        <f t="shared" si="85"/>
        <v>OK</v>
      </c>
      <c r="V517" s="55" t="str">
        <f t="shared" si="88"/>
        <v/>
      </c>
      <c r="W517" s="55" t="str">
        <f>IF($V517="","",IF(COUNTIF($V$5:$V517,$V517)=1,1,""))</f>
        <v/>
      </c>
      <c r="X517" s="58" t="str">
        <f>IF($W517="","",MAX($X$4:X516)+1)</f>
        <v/>
      </c>
      <c r="Y517" s="62"/>
      <c r="Z517" s="62"/>
      <c r="AA517" s="64" t="str">
        <f>IF($C517="","",IFERROR(INDEX('Staff Directory'!$E$5:$E$594,MATCH($C517,'Staff Directory'!$B$5:$B$594,0)),""))</f>
        <v>firstname060.lastname060@example.com</v>
      </c>
      <c r="AB517" s="64" t="str">
        <f>IF($C517="","",IF(ISNUMBER(SEARCH($D517,Settings!$C$15)),"Pickup","Dispatch"))</f>
        <v>Dispatch</v>
      </c>
      <c r="AC517" s="64" t="str">
        <f t="shared" si="89"/>
        <v>Supply order dispatched</v>
      </c>
      <c r="AD517" s="64" t="str">
        <f t="shared" ref="AD517:AD580" si="91">IF($AB517="Pickup","Dear "&amp;$AH517&amp;","&amp;CHAR(10)&amp;CHAR(10)&amp;"Your order is ready for pickup from Sample Branch, Wed-Fri 9am-4pm.",IF($AB517="Dispatch","Dear "&amp;$AH517&amp;","&amp;CHAR(10)&amp;CHAR(10)&amp;"Your order has been dispatched and is in transit. Reply if undelivered.",""))</f>
        <v>Dear RN,
Your order has been dispatched and is in transit. Reply if undelivered.</v>
      </c>
      <c r="AE517" s="64" t="str">
        <f t="shared" ref="AE517:AE580" si="92">IF(OR($AA517="",$AC517=""),"","mailto:"&amp;$AA517&amp;"?subject="&amp;_xlfn.ENCODEURL($AC517)&amp;"&amp;body="&amp;_xlfn.ENCODEURL($AD517))</f>
        <v>mailto:firstname060.lastname060@example.com?subject=Supply%20order%20dispatched&amp;body=Dear%20RN%2C%0A%0AYour%20order%20has%20been%20dispatched%20and%20is%20in%20transit.%20Reply%20if%20undelivered.</v>
      </c>
      <c r="AF517" s="89" t="str">
        <f t="shared" si="90"/>
        <v>Draft email</v>
      </c>
      <c r="AG517" s="64" t="str">
        <f>IF($C517="","",IFERROR(INDEX('Staff Directory'!$K$595:$K$599,MATCH($C517,'Staff Directory'!$B$5:$B$599,0)),$D517))</f>
        <v>RN</v>
      </c>
      <c r="AH517" t="str">
        <f>IF($C517="","",IFERROR(INDEX('Staff Directory'!$I$595:$I$599,MATCH($C517,'Staff Directory'!$B$5:$B$599,0))&amp;" "&amp;INDEX('Staff Directory'!$J$595:$J$599,MATCH($C517,'Staff Directory'!$B$5:$B$599,0)),$AG517))</f>
        <v>RN</v>
      </c>
      <c r="AI517" s="102"/>
      <c r="AJ517" s="101">
        <f>IF($F517="","",SUMIFS($J$5:$J517,$F$5:$F517,$F517))</f>
        <v>4300</v>
      </c>
      <c r="AK517" s="101">
        <f t="shared" ref="AK517:AK580" si="93">IF($F517="","",MAX(1,$AJ517-MAX($J517,0)+1))</f>
        <v>4251</v>
      </c>
      <c r="AL517" s="66" t="str" cm="1">
        <f t="array" ref="AL517">IF($F517="","",IFERROR(INDEX('Lot Balance'!$B$5:$B$500,MATCH(1,INDEX(('Lot Balance'!$A$5:$A$500=$F517)*('Lot Balance'!$K$5:$K$500&lt;$AK517)*('Lot Balance'!$K$5:$K$500+'Lot Balance'!$D$5:$D$500&gt;=$AK517),0),0)),""))</f>
        <v>0125FPC24-0</v>
      </c>
      <c r="AM517" s="66" t="str" cm="1">
        <f t="array" ref="AM517">IF($F517="","",IFERROR(INDEX('Lot Balance'!$B$5:$B$500,MATCH(1,INDEX(('Lot Balance'!$A$5:$A$500=$F517)*('Lot Balance'!$K$5:$K$500&lt;$AJ517)*('Lot Balance'!$K$5:$K$500+'Lot Balance'!$D$5:$D$500&gt;=$AJ517),0),0)),""))</f>
        <v>0125FPC24-0</v>
      </c>
      <c r="AN517" s="66" t="str">
        <f>IF($F517="","",IF($AI517&lt;&gt;"",IF(COUNTIFS('Lot Balance'!$A$5:$A$500,$F517,'Lot Balance'!$B$5:$B$500,$AI517)=0,"⚠ override is not a lot of this item",IF($AI517=$AL517,"Override = FEFO","Override - FEFO says "&amp;$AL517)),IF($AL517="","⚠ no receipt on file for this item",IF($AM517&lt;&gt;$AL517,"FEFO auto - split, also "&amp;$AM517,"FEFO auto"))))</f>
        <v>FEFO auto</v>
      </c>
      <c r="AO517" s="114"/>
    </row>
    <row r="518" spans="1:41" x14ac:dyDescent="0.35">
      <c r="A518" s="74">
        <v>46146</v>
      </c>
      <c r="B518" s="18" t="str">
        <f>IF($C518="","",IFERROR(INDEX('Staff Directory'!$A$5:$A$594,MATCH($C518,'Staff Directory'!$B$5:$B$594,0)),"⚠ unknown staff"))</f>
        <v>RN-051-A2</v>
      </c>
      <c r="C518" s="49" t="s">
        <v>976</v>
      </c>
      <c r="D518" s="19" t="str">
        <f>IF($B518="","",IFERROR(INDEX('Staff Directory'!$C$5:$C$594,MATCH($B518,'Staff Directory'!$A$5:$A$594,0)),""))</f>
        <v>RN</v>
      </c>
      <c r="E518" s="19" t="str">
        <f>IF($B518="","",IFERROR(INDEX('Staff Directory'!$D$5:$D$594,MATCH($B518,'Staff Directory'!$A$5:$A$594,0)),""))</f>
        <v>A2</v>
      </c>
      <c r="F518" s="9" t="s">
        <v>122</v>
      </c>
      <c r="G518" s="18" t="str">
        <f>IF($F518="","",IFERROR(INDEX(Items!$B$5:$B$597,MATCH($F518,Items!$A$5:$A$597,0)),"⚠ not in Items"))</f>
        <v>Eye Protection</v>
      </c>
      <c r="H518" s="19" t="str">
        <f>IF($F518="","",IFERROR(INDEX(Items!$C$5:$C$597,MATCH($F518,Items!$A$5:$A$597,0)),""))</f>
        <v>One Size</v>
      </c>
      <c r="I518" s="23">
        <f>IF($F518="","",IFERROR(INDEX(Items!$E$5:$E$597,MATCH($F518,Items!$A$5:$A$597,0)),""))</f>
        <v>1</v>
      </c>
      <c r="J518" s="115">
        <f>IF(tblIssues[[#This Row],[Qty Override]]&lt;&gt;"",tblIssues[[#This Row],[Qty Override]],IF(tblIssues[[#This Row],[Standard Issue]]="","",tblIssues[[#This Row],[Standard Issue]]))</f>
        <v>1</v>
      </c>
      <c r="K518" s="20">
        <f>IF($F518="","",IFERROR(INDEX(Items!$D$5:$D$597,MATCH($F518,Items!$A$5:$A$597,0)),""))</f>
        <v>7</v>
      </c>
      <c r="L518" s="21">
        <f t="shared" ref="L518:L581" si="94">IF(OR($J518="",$K518=""),"",$J518*$K518)</f>
        <v>7</v>
      </c>
      <c r="M518" s="9" t="str">
        <f t="shared" ref="M518:M581" si="95">IF($F518="","",IF($AI518&lt;&gt;"",$AI518,$AL518))</f>
        <v/>
      </c>
      <c r="N518" s="24">
        <f>IF($A518="","",WORKDAY($A518,Settings!$C$9,HolidayDates))</f>
        <v>46154</v>
      </c>
      <c r="O518" s="24">
        <f>IF($N518="","",WORKDAY($N518,Settings!$C$10,HolidayDates))</f>
        <v>46192</v>
      </c>
      <c r="P518" s="10" t="s">
        <v>751</v>
      </c>
      <c r="Q518" s="52" t="str">
        <f t="shared" si="86"/>
        <v>Collected</v>
      </c>
      <c r="R518" s="55" t="str">
        <f t="shared" si="87"/>
        <v>2026-05</v>
      </c>
      <c r="S518" s="55">
        <f>IF(OR($B518="",$F518="",$R518=""),"",SUMIFS(tblIssues[Qty Issued],tblIssues[Staff ID],$B518,tblIssues[Item Name],$F518,tblIssues[Month],$R518))</f>
        <v>1</v>
      </c>
      <c r="T518" s="56">
        <f>IF($I518="","",$I518*Settings!$C$11)</f>
        <v>1</v>
      </c>
      <c r="U518" s="57" t="str">
        <f t="shared" ref="U518:U581" si="96">IF(OR($S518="",$T518=""),"",IF($S518&gt;$T518,IF($Y518="Approved","APPROVED BY TL","⚠ OVER QUOTA"),"OK"))</f>
        <v>OK</v>
      </c>
      <c r="V518" s="55" t="str">
        <f t="shared" si="88"/>
        <v/>
      </c>
      <c r="W518" s="55" t="str">
        <f>IF($V518="","",IF(COUNTIF($V$5:$V518,$V518)=1,1,""))</f>
        <v/>
      </c>
      <c r="X518" s="58" t="str">
        <f>IF($W518="","",MAX($X$4:X517)+1)</f>
        <v/>
      </c>
      <c r="Y518" s="62"/>
      <c r="Z518" s="62"/>
      <c r="AA518" s="64" t="str">
        <f>IF($C518="","",IFERROR(INDEX('Staff Directory'!$E$5:$E$594,MATCH($C518,'Staff Directory'!$B$5:$B$594,0)),""))</f>
        <v>firstname060.lastname060@example.com</v>
      </c>
      <c r="AB518" s="64" t="str">
        <f>IF($C518="","",IF(ISNUMBER(SEARCH($D518,Settings!$C$15)),"Pickup","Dispatch"))</f>
        <v>Dispatch</v>
      </c>
      <c r="AC518" s="64" t="str">
        <f t="shared" si="89"/>
        <v>Supply order dispatched</v>
      </c>
      <c r="AD518" s="64" t="str">
        <f t="shared" si="91"/>
        <v>Dear RN,
Your order has been dispatched and is in transit. Reply if undelivered.</v>
      </c>
      <c r="AE518" s="64" t="str">
        <f t="shared" si="92"/>
        <v>mailto:firstname060.lastname060@example.com?subject=Supply%20order%20dispatched&amp;body=Dear%20RN%2C%0A%0AYour%20order%20has%20been%20dispatched%20and%20is%20in%20transit.%20Reply%20if%20undelivered.</v>
      </c>
      <c r="AF518" s="89" t="str">
        <f t="shared" si="90"/>
        <v>Draft email</v>
      </c>
      <c r="AG518" s="64" t="str">
        <f>IF($C518="","",IFERROR(INDEX('Staff Directory'!$K$595:$K$599,MATCH($C518,'Staff Directory'!$B$5:$B$599,0)),$D518))</f>
        <v>RN</v>
      </c>
      <c r="AH518" t="str">
        <f>IF($C518="","",IFERROR(INDEX('Staff Directory'!$I$595:$I$599,MATCH($C518,'Staff Directory'!$B$5:$B$599,0))&amp;" "&amp;INDEX('Staff Directory'!$J$595:$J$599,MATCH($C518,'Staff Directory'!$B$5:$B$599,0)),$AG518))</f>
        <v>RN</v>
      </c>
      <c r="AI518" s="102"/>
      <c r="AJ518" s="101">
        <f>IF($F518="","",SUMIFS($J$5:$J518,$F$5:$F518,$F518))</f>
        <v>1</v>
      </c>
      <c r="AK518" s="101">
        <f t="shared" si="93"/>
        <v>1</v>
      </c>
      <c r="AL518" s="66" t="str" cm="1">
        <f t="array" ref="AL518">IF($F518="","",IFERROR(INDEX('Lot Balance'!$B$5:$B$500,MATCH(1,INDEX(('Lot Balance'!$A$5:$A$500=$F518)*('Lot Balance'!$K$5:$K$500&lt;$AK518)*('Lot Balance'!$K$5:$K$500+'Lot Balance'!$D$5:$D$500&gt;=$AK518),0),0)),""))</f>
        <v/>
      </c>
      <c r="AM518" s="66" t="str" cm="1">
        <f t="array" ref="AM518">IF($F518="","",IFERROR(INDEX('Lot Balance'!$B$5:$B$500,MATCH(1,INDEX(('Lot Balance'!$A$5:$A$500=$F518)*('Lot Balance'!$K$5:$K$500&lt;$AJ518)*('Lot Balance'!$K$5:$K$500+'Lot Balance'!$D$5:$D$500&gt;=$AJ518),0),0)),""))</f>
        <v/>
      </c>
      <c r="AN518" s="66" t="str">
        <f>IF($F518="","",IF($AI518&lt;&gt;"",IF(COUNTIFS('Lot Balance'!$A$5:$A$500,$F518,'Lot Balance'!$B$5:$B$500,$AI518)=0,"⚠ override is not a lot of this item",IF($AI518=$AL518,"Override = FEFO","Override - FEFO says "&amp;$AL518)),IF($AL518="","⚠ no receipt on file for this item",IF($AM518&lt;&gt;$AL518,"FEFO auto - split, also "&amp;$AM518,"FEFO auto"))))</f>
        <v>⚠ no receipt on file for this item</v>
      </c>
      <c r="AO518" s="114"/>
    </row>
    <row r="519" spans="1:41" x14ac:dyDescent="0.35">
      <c r="A519" s="74">
        <v>46146</v>
      </c>
      <c r="B519" s="18" t="str">
        <f>IF($C519="","",IFERROR(INDEX('Staff Directory'!$A$5:$A$594,MATCH($C519,'Staff Directory'!$B$5:$B$594,0)),"⚠ unknown staff"))</f>
        <v>RN-051-A2</v>
      </c>
      <c r="C519" s="49" t="s">
        <v>976</v>
      </c>
      <c r="D519" s="19" t="str">
        <f>IF($B519="","",IFERROR(INDEX('Staff Directory'!$C$5:$C$594,MATCH($B519,'Staff Directory'!$A$5:$A$594,0)),""))</f>
        <v>RN</v>
      </c>
      <c r="E519" s="19" t="str">
        <f>IF($B519="","",IFERROR(INDEX('Staff Directory'!$D$5:$D$594,MATCH($B519,'Staff Directory'!$A$5:$A$594,0)),""))</f>
        <v>A2</v>
      </c>
      <c r="F519" s="9" t="s">
        <v>108</v>
      </c>
      <c r="G519" s="18" t="str">
        <f>IF($F519="","",IFERROR(INDEX(Items!$B$5:$B$597,MATCH($F519,Items!$A$5:$A$597,0)),"⚠ not in Items"))</f>
        <v>Masks</v>
      </c>
      <c r="H519" s="19" t="str">
        <f>IF($F519="","",IFERROR(INDEX(Items!$C$5:$C$597,MATCH($F519,Items!$A$5:$A$597,0)),""))</f>
        <v>One Size</v>
      </c>
      <c r="I519" s="23">
        <f>IF($F519="","",IFERROR(INDEX(Items!$E$5:$E$597,MATCH($F519,Items!$A$5:$A$597,0)),""))</f>
        <v>5</v>
      </c>
      <c r="J519" s="115">
        <f>IF(tblIssues[[#This Row],[Qty Override]]&lt;&gt;"",tblIssues[[#This Row],[Qty Override]],IF(tblIssues[[#This Row],[Standard Issue]]="","",tblIssues[[#This Row],[Standard Issue]]))</f>
        <v>5</v>
      </c>
      <c r="K519" s="20">
        <f>IF($F519="","",IFERROR(INDEX(Items!$D$5:$D$597,MATCH($F519,Items!$A$5:$A$597,0)),""))</f>
        <v>1.35</v>
      </c>
      <c r="L519" s="21">
        <f t="shared" si="94"/>
        <v>6.75</v>
      </c>
      <c r="M519" s="9" t="str">
        <f t="shared" si="95"/>
        <v/>
      </c>
      <c r="N519" s="24">
        <f>IF($A519="","",WORKDAY($A519,Settings!$C$9,HolidayDates))</f>
        <v>46154</v>
      </c>
      <c r="O519" s="24">
        <f>IF($N519="","",WORKDAY($N519,Settings!$C$10,HolidayDates))</f>
        <v>46192</v>
      </c>
      <c r="P519" s="10" t="s">
        <v>751</v>
      </c>
      <c r="Q519" s="52" t="str">
        <f t="shared" si="86"/>
        <v>Collected</v>
      </c>
      <c r="R519" s="55" t="str">
        <f t="shared" si="87"/>
        <v>2026-05</v>
      </c>
      <c r="S519" s="55">
        <f>IF(OR($B519="",$F519="",$R519=""),"",SUMIFS(tblIssues[Qty Issued],tblIssues[Staff ID],$B519,tblIssues[Item Name],$F519,tblIssues[Month],$R519))</f>
        <v>5</v>
      </c>
      <c r="T519" s="56">
        <f>IF($I519="","",$I519*Settings!$C$11)</f>
        <v>5</v>
      </c>
      <c r="U519" s="57" t="str">
        <f t="shared" si="96"/>
        <v>OK</v>
      </c>
      <c r="V519" s="55" t="str">
        <f t="shared" si="88"/>
        <v/>
      </c>
      <c r="W519" s="55" t="str">
        <f>IF($V519="","",IF(COUNTIF($V$5:$V519,$V519)=1,1,""))</f>
        <v/>
      </c>
      <c r="X519" s="58" t="str">
        <f>IF($W519="","",MAX($X$4:X518)+1)</f>
        <v/>
      </c>
      <c r="Y519" s="62"/>
      <c r="Z519" s="62"/>
      <c r="AA519" s="64" t="str">
        <f>IF($C519="","",IFERROR(INDEX('Staff Directory'!$E$5:$E$594,MATCH($C519,'Staff Directory'!$B$5:$B$594,0)),""))</f>
        <v>firstname060.lastname060@example.com</v>
      </c>
      <c r="AB519" s="64" t="str">
        <f>IF($C519="","",IF(ISNUMBER(SEARCH($D519,Settings!$C$15)),"Pickup","Dispatch"))</f>
        <v>Dispatch</v>
      </c>
      <c r="AC519" s="64" t="str">
        <f t="shared" si="89"/>
        <v>Supply order dispatched</v>
      </c>
      <c r="AD519" s="64" t="str">
        <f t="shared" si="91"/>
        <v>Dear RN,
Your order has been dispatched and is in transit. Reply if undelivered.</v>
      </c>
      <c r="AE519" s="64" t="str">
        <f t="shared" si="92"/>
        <v>mailto:firstname060.lastname060@example.com?subject=Supply%20order%20dispatched&amp;body=Dear%20RN%2C%0A%0AYour%20order%20has%20been%20dispatched%20and%20is%20in%20transit.%20Reply%20if%20undelivered.</v>
      </c>
      <c r="AF519" s="89" t="str">
        <f t="shared" si="90"/>
        <v>Draft email</v>
      </c>
      <c r="AG519" s="64" t="str">
        <f>IF($C519="","",IFERROR(INDEX('Staff Directory'!$K$595:$K$599,MATCH($C519,'Staff Directory'!$B$5:$B$599,0)),$D519))</f>
        <v>RN</v>
      </c>
      <c r="AH519" t="str">
        <f>IF($C519="","",IFERROR(INDEX('Staff Directory'!$I$595:$I$599,MATCH($C519,'Staff Directory'!$B$5:$B$599,0))&amp;" "&amp;INDEX('Staff Directory'!$J$595:$J$599,MATCH($C519,'Staff Directory'!$B$5:$B$599,0)),$AG519))</f>
        <v>RN</v>
      </c>
      <c r="AI519" s="102"/>
      <c r="AJ519" s="101">
        <f>IF($F519="","",SUMIFS($J$5:$J519,$F$5:$F519,$F519))</f>
        <v>5</v>
      </c>
      <c r="AK519" s="101">
        <f t="shared" si="93"/>
        <v>1</v>
      </c>
      <c r="AL519" s="66" t="str" cm="1">
        <f t="array" ref="AL519">IF($F519="","",IFERROR(INDEX('Lot Balance'!$B$5:$B$500,MATCH(1,INDEX(('Lot Balance'!$A$5:$A$500=$F519)*('Lot Balance'!$K$5:$K$500&lt;$AK519)*('Lot Balance'!$K$5:$K$500+'Lot Balance'!$D$5:$D$500&gt;=$AK519),0),0)),""))</f>
        <v/>
      </c>
      <c r="AM519" s="66" t="str" cm="1">
        <f t="array" ref="AM519">IF($F519="","",IFERROR(INDEX('Lot Balance'!$B$5:$B$500,MATCH(1,INDEX(('Lot Balance'!$A$5:$A$500=$F519)*('Lot Balance'!$K$5:$K$500&lt;$AJ519)*('Lot Balance'!$K$5:$K$500+'Lot Balance'!$D$5:$D$500&gt;=$AJ519),0),0)),""))</f>
        <v/>
      </c>
      <c r="AN519" s="66" t="str">
        <f>IF($F519="","",IF($AI519&lt;&gt;"",IF(COUNTIFS('Lot Balance'!$A$5:$A$500,$F519,'Lot Balance'!$B$5:$B$500,$AI519)=0,"⚠ override is not a lot of this item",IF($AI519=$AL519,"Override = FEFO","Override - FEFO says "&amp;$AL519)),IF($AL519="","⚠ no receipt on file for this item",IF($AM519&lt;&gt;$AL519,"FEFO auto - split, also "&amp;$AM519,"FEFO auto"))))</f>
        <v>⚠ no receipt on file for this item</v>
      </c>
      <c r="AO519" s="114"/>
    </row>
    <row r="520" spans="1:41" x14ac:dyDescent="0.35">
      <c r="A520" s="74">
        <v>46146</v>
      </c>
      <c r="B520" s="18" t="str">
        <f>IF($C520="","",IFERROR(INDEX('Staff Directory'!$A$5:$A$594,MATCH($C520,'Staff Directory'!$B$5:$B$594,0)),"⚠ unknown staff"))</f>
        <v>RN-051-A2</v>
      </c>
      <c r="C520" s="49" t="s">
        <v>976</v>
      </c>
      <c r="D520" s="19" t="str">
        <f>IF($B520="","",IFERROR(INDEX('Staff Directory'!$C$5:$C$594,MATCH($B520,'Staff Directory'!$A$5:$A$594,0)),""))</f>
        <v>RN</v>
      </c>
      <c r="E520" s="19" t="str">
        <f>IF($B520="","",IFERROR(INDEX('Staff Directory'!$D$5:$D$594,MATCH($B520,'Staff Directory'!$A$5:$A$594,0)),""))</f>
        <v>A2</v>
      </c>
      <c r="F520" s="9" t="s">
        <v>145</v>
      </c>
      <c r="G520" s="18" t="str">
        <f>IF($F520="","",IFERROR(INDEX(Items!$B$5:$B$597,MATCH($F520,Items!$A$5:$A$597,0)),"⚠ not in Items"))</f>
        <v>Apparel</v>
      </c>
      <c r="H520" s="19" t="str">
        <f>IF($F520="","",IFERROR(INDEX(Items!$C$5:$C$597,MATCH($F520,Items!$A$5:$A$597,0)),""))</f>
        <v>One Size</v>
      </c>
      <c r="I520" s="23">
        <f>IF($F520="","",IFERROR(INDEX(Items!$E$5:$E$597,MATCH($F520,Items!$A$5:$A$597,0)),""))</f>
        <v>5</v>
      </c>
      <c r="J520" s="115">
        <f>IF(tblIssues[[#This Row],[Qty Override]]&lt;&gt;"",tblIssues[[#This Row],[Qty Override]],IF(tblIssues[[#This Row],[Standard Issue]]="","",tblIssues[[#This Row],[Standard Issue]]))</f>
        <v>5</v>
      </c>
      <c r="K520" s="20">
        <f>IF($F520="","",IFERROR(INDEX(Items!$D$5:$D$597,MATCH($F520,Items!$A$5:$A$597,0)),""))</f>
        <v>3</v>
      </c>
      <c r="L520" s="21">
        <f t="shared" si="94"/>
        <v>15</v>
      </c>
      <c r="M520" s="9" t="str">
        <f t="shared" si="95"/>
        <v>WRB500270</v>
      </c>
      <c r="N520" s="24">
        <f>IF($A520="","",WORKDAY($A520,Settings!$C$9,HolidayDates))</f>
        <v>46154</v>
      </c>
      <c r="O520" s="24">
        <f>IF($N520="","",WORKDAY($N520,Settings!$C$10,HolidayDates))</f>
        <v>46192</v>
      </c>
      <c r="P520" s="10" t="s">
        <v>751</v>
      </c>
      <c r="Q520" s="52" t="str">
        <f t="shared" si="86"/>
        <v>Collected</v>
      </c>
      <c r="R520" s="55" t="str">
        <f t="shared" si="87"/>
        <v>2026-05</v>
      </c>
      <c r="S520" s="55">
        <f>IF(OR($B520="",$F520="",$R520=""),"",SUMIFS(tblIssues[Qty Issued],tblIssues[Staff ID],$B520,tblIssues[Item Name],$F520,tblIssues[Month],$R520))</f>
        <v>5</v>
      </c>
      <c r="T520" s="56">
        <f>IF($I520="","",$I520*Settings!$C$11)</f>
        <v>5</v>
      </c>
      <c r="U520" s="57" t="str">
        <f t="shared" si="96"/>
        <v>OK</v>
      </c>
      <c r="V520" s="55" t="str">
        <f t="shared" si="88"/>
        <v/>
      </c>
      <c r="W520" s="55" t="str">
        <f>IF($V520="","",IF(COUNTIF($V$5:$V520,$V520)=1,1,""))</f>
        <v/>
      </c>
      <c r="X520" s="58" t="str">
        <f>IF($W520="","",MAX($X$4:X519)+1)</f>
        <v/>
      </c>
      <c r="Y520" s="62"/>
      <c r="Z520" s="62"/>
      <c r="AA520" s="64" t="str">
        <f>IF($C520="","",IFERROR(INDEX('Staff Directory'!$E$5:$E$594,MATCH($C520,'Staff Directory'!$B$5:$B$594,0)),""))</f>
        <v>firstname060.lastname060@example.com</v>
      </c>
      <c r="AB520" s="64" t="str">
        <f>IF($C520="","",IF(ISNUMBER(SEARCH($D520,Settings!$C$15)),"Pickup","Dispatch"))</f>
        <v>Dispatch</v>
      </c>
      <c r="AC520" s="64" t="str">
        <f t="shared" si="89"/>
        <v>Supply order dispatched</v>
      </c>
      <c r="AD520" s="64" t="str">
        <f t="shared" si="91"/>
        <v>Dear RN,
Your order has been dispatched and is in transit. Reply if undelivered.</v>
      </c>
      <c r="AE520" s="64" t="str">
        <f t="shared" si="92"/>
        <v>mailto:firstname060.lastname060@example.com?subject=Supply%20order%20dispatched&amp;body=Dear%20RN%2C%0A%0AYour%20order%20has%20been%20dispatched%20and%20is%20in%20transit.%20Reply%20if%20undelivered.</v>
      </c>
      <c r="AF520" s="89" t="str">
        <f t="shared" si="90"/>
        <v>Draft email</v>
      </c>
      <c r="AG520" s="64" t="str">
        <f>IF($C520="","",IFERROR(INDEX('Staff Directory'!$K$595:$K$599,MATCH($C520,'Staff Directory'!$B$5:$B$599,0)),$D520))</f>
        <v>RN</v>
      </c>
      <c r="AH520" t="str">
        <f>IF($C520="","",IFERROR(INDEX('Staff Directory'!$I$595:$I$599,MATCH($C520,'Staff Directory'!$B$5:$B$599,0))&amp;" "&amp;INDEX('Staff Directory'!$J$595:$J$599,MATCH($C520,'Staff Directory'!$B$5:$B$599,0)),$AG520))</f>
        <v>RN</v>
      </c>
      <c r="AI520" s="102"/>
      <c r="AJ520" s="101">
        <f>IF($F520="","",SUMIFS($J$5:$J520,$F$5:$F520,$F520))</f>
        <v>5</v>
      </c>
      <c r="AK520" s="101">
        <f t="shared" si="93"/>
        <v>1</v>
      </c>
      <c r="AL520" s="66" t="str" cm="1">
        <f t="array" ref="AL520">IF($F520="","",IFERROR(INDEX('Lot Balance'!$B$5:$B$500,MATCH(1,INDEX(('Lot Balance'!$A$5:$A$500=$F520)*('Lot Balance'!$K$5:$K$500&lt;$AK520)*('Lot Balance'!$K$5:$K$500+'Lot Balance'!$D$5:$D$500&gt;=$AK520),0),0)),""))</f>
        <v>WRB500270</v>
      </c>
      <c r="AM520" s="66" t="str" cm="1">
        <f t="array" ref="AM520">IF($F520="","",IFERROR(INDEX('Lot Balance'!$B$5:$B$500,MATCH(1,INDEX(('Lot Balance'!$A$5:$A$500=$F520)*('Lot Balance'!$K$5:$K$500&lt;$AJ520)*('Lot Balance'!$K$5:$K$500+'Lot Balance'!$D$5:$D$500&gt;=$AJ520),0),0)),""))</f>
        <v>WRB500270</v>
      </c>
      <c r="AN520" s="66" t="str">
        <f>IF($F520="","",IF($AI520&lt;&gt;"",IF(COUNTIFS('Lot Balance'!$A$5:$A$500,$F520,'Lot Balance'!$B$5:$B$500,$AI520)=0,"⚠ override is not a lot of this item",IF($AI520=$AL520,"Override = FEFO","Override - FEFO says "&amp;$AL520)),IF($AL520="","⚠ no receipt on file for this item",IF($AM520&lt;&gt;$AL520,"FEFO auto - split, also "&amp;$AM520,"FEFO auto"))))</f>
        <v>FEFO auto</v>
      </c>
      <c r="AO520" s="114"/>
    </row>
    <row r="521" spans="1:41" x14ac:dyDescent="0.35">
      <c r="A521" s="74">
        <v>46146</v>
      </c>
      <c r="B521" s="18" t="str">
        <f>IF($C521="","",IFERROR(INDEX('Staff Directory'!$A$5:$A$594,MATCH($C521,'Staff Directory'!$B$5:$B$594,0)),"⚠ unknown staff"))</f>
        <v>RN-051-A2</v>
      </c>
      <c r="C521" s="49" t="s">
        <v>976</v>
      </c>
      <c r="D521" s="19" t="str">
        <f>IF($B521="","",IFERROR(INDEX('Staff Directory'!$C$5:$C$594,MATCH($B521,'Staff Directory'!$A$5:$A$594,0)),""))</f>
        <v>RN</v>
      </c>
      <c r="E521" s="19" t="str">
        <f>IF($B521="","",IFERROR(INDEX('Staff Directory'!$D$5:$D$594,MATCH($B521,'Staff Directory'!$A$5:$A$594,0)),""))</f>
        <v>A2</v>
      </c>
      <c r="F521" s="9" t="s">
        <v>147</v>
      </c>
      <c r="G521" s="18" t="str">
        <f>IF($F521="","",IFERROR(INDEX(Items!$B$5:$B$597,MATCH($F521,Items!$A$5:$A$597,0)),"⚠ not in Items"))</f>
        <v>Apparel</v>
      </c>
      <c r="H521" s="19" t="str">
        <f>IF($F521="","",IFERROR(INDEX(Items!$C$5:$C$597,MATCH($F521,Items!$A$5:$A$597,0)),""))</f>
        <v>One Size</v>
      </c>
      <c r="I521" s="23">
        <f>IF($F521="","",IFERROR(INDEX(Items!$E$5:$E$597,MATCH($F521,Items!$A$5:$A$597,0)),""))</f>
        <v>5</v>
      </c>
      <c r="J521" s="115">
        <f>IF(tblIssues[[#This Row],[Qty Override]]&lt;&gt;"",tblIssues[[#This Row],[Qty Override]],IF(tblIssues[[#This Row],[Standard Issue]]="","",tblIssues[[#This Row],[Standard Issue]]))</f>
        <v>5</v>
      </c>
      <c r="K521" s="20">
        <f>IF($F521="","",IFERROR(INDEX(Items!$D$5:$D$597,MATCH($F521,Items!$A$5:$A$597,0)),""))</f>
        <v>3</v>
      </c>
      <c r="L521" s="21">
        <f t="shared" si="94"/>
        <v>15</v>
      </c>
      <c r="M521" s="9" t="str">
        <f t="shared" si="95"/>
        <v>YG500280</v>
      </c>
      <c r="N521" s="24">
        <f>IF($A521="","",WORKDAY($A521,Settings!$C$9,HolidayDates))</f>
        <v>46154</v>
      </c>
      <c r="O521" s="24">
        <f>IF($N521="","",WORKDAY($N521,Settings!$C$10,HolidayDates))</f>
        <v>46192</v>
      </c>
      <c r="P521" s="10" t="s">
        <v>751</v>
      </c>
      <c r="Q521" s="52" t="str">
        <f t="shared" si="86"/>
        <v>Collected</v>
      </c>
      <c r="R521" s="55" t="str">
        <f t="shared" si="87"/>
        <v>2026-05</v>
      </c>
      <c r="S521" s="55">
        <f>IF(OR($B521="",$F521="",$R521=""),"",SUMIFS(tblIssues[Qty Issued],tblIssues[Staff ID],$B521,tblIssues[Item Name],$F521,tblIssues[Month],$R521))</f>
        <v>5</v>
      </c>
      <c r="T521" s="56">
        <f>IF($I521="","",$I521*Settings!$C$11)</f>
        <v>5</v>
      </c>
      <c r="U521" s="57" t="str">
        <f t="shared" si="96"/>
        <v>OK</v>
      </c>
      <c r="V521" s="55" t="str">
        <f t="shared" si="88"/>
        <v/>
      </c>
      <c r="W521" s="55" t="str">
        <f>IF($V521="","",IF(COUNTIF($V$5:$V521,$V521)=1,1,""))</f>
        <v/>
      </c>
      <c r="X521" s="58" t="str">
        <f>IF($W521="","",MAX($X$4:X520)+1)</f>
        <v/>
      </c>
      <c r="Y521" s="62"/>
      <c r="Z521" s="62"/>
      <c r="AA521" s="64" t="str">
        <f>IF($C521="","",IFERROR(INDEX('Staff Directory'!$E$5:$E$594,MATCH($C521,'Staff Directory'!$B$5:$B$594,0)),""))</f>
        <v>firstname060.lastname060@example.com</v>
      </c>
      <c r="AB521" s="64" t="str">
        <f>IF($C521="","",IF(ISNUMBER(SEARCH($D521,Settings!$C$15)),"Pickup","Dispatch"))</f>
        <v>Dispatch</v>
      </c>
      <c r="AC521" s="64" t="str">
        <f t="shared" si="89"/>
        <v>Supply order dispatched</v>
      </c>
      <c r="AD521" s="64" t="str">
        <f t="shared" si="91"/>
        <v>Dear RN,
Your order has been dispatched and is in transit. Reply if undelivered.</v>
      </c>
      <c r="AE521" s="64" t="str">
        <f t="shared" si="92"/>
        <v>mailto:firstname060.lastname060@example.com?subject=Supply%20order%20dispatched&amp;body=Dear%20RN%2C%0A%0AYour%20order%20has%20been%20dispatched%20and%20is%20in%20transit.%20Reply%20if%20undelivered.</v>
      </c>
      <c r="AF521" s="89" t="str">
        <f t="shared" si="90"/>
        <v>Draft email</v>
      </c>
      <c r="AG521" s="64" t="str">
        <f>IF($C521="","",IFERROR(INDEX('Staff Directory'!$K$595:$K$599,MATCH($C521,'Staff Directory'!$B$5:$B$599,0)),$D521))</f>
        <v>RN</v>
      </c>
      <c r="AH521" t="str">
        <f>IF($C521="","",IFERROR(INDEX('Staff Directory'!$I$595:$I$599,MATCH($C521,'Staff Directory'!$B$5:$B$599,0))&amp;" "&amp;INDEX('Staff Directory'!$J$595:$J$599,MATCH($C521,'Staff Directory'!$B$5:$B$599,0)),$AG521))</f>
        <v>RN</v>
      </c>
      <c r="AI521" s="102"/>
      <c r="AJ521" s="101">
        <f>IF($F521="","",SUMIFS($J$5:$J521,$F$5:$F521,$F521))</f>
        <v>55</v>
      </c>
      <c r="AK521" s="101">
        <f t="shared" si="93"/>
        <v>51</v>
      </c>
      <c r="AL521" s="66" t="str" cm="1">
        <f t="array" ref="AL521">IF($F521="","",IFERROR(INDEX('Lot Balance'!$B$5:$B$500,MATCH(1,INDEX(('Lot Balance'!$A$5:$A$500=$F521)*('Lot Balance'!$K$5:$K$500&lt;$AK521)*('Lot Balance'!$K$5:$K$500+'Lot Balance'!$D$5:$D$500&gt;=$AK521),0),0)),""))</f>
        <v>YG500280</v>
      </c>
      <c r="AM521" s="66" t="str" cm="1">
        <f t="array" ref="AM521">IF($F521="","",IFERROR(INDEX('Lot Balance'!$B$5:$B$500,MATCH(1,INDEX(('Lot Balance'!$A$5:$A$500=$F521)*('Lot Balance'!$K$5:$K$500&lt;$AJ521)*('Lot Balance'!$K$5:$K$500+'Lot Balance'!$D$5:$D$500&gt;=$AJ521),0),0)),""))</f>
        <v>YG500280</v>
      </c>
      <c r="AN521" s="66" t="str">
        <f>IF($F521="","",IF($AI521&lt;&gt;"",IF(COUNTIFS('Lot Balance'!$A$5:$A$500,$F521,'Lot Balance'!$B$5:$B$500,$AI521)=0,"⚠ override is not a lot of this item",IF($AI521=$AL521,"Override = FEFO","Override - FEFO says "&amp;$AL521)),IF($AL521="","⚠ no receipt on file for this item",IF($AM521&lt;&gt;$AL521,"FEFO auto - split, also "&amp;$AM521,"FEFO auto"))))</f>
        <v>FEFO auto</v>
      </c>
      <c r="AO521" s="114"/>
    </row>
    <row r="522" spans="1:41" x14ac:dyDescent="0.35">
      <c r="A522" s="74">
        <v>46146</v>
      </c>
      <c r="B522" s="18" t="str">
        <f>IF($C522="","",IFERROR(INDEX('Staff Directory'!$A$5:$A$594,MATCH($C522,'Staff Directory'!$B$5:$B$594,0)),"⚠ unknown staff"))</f>
        <v>RN-051-A2</v>
      </c>
      <c r="C522" s="49" t="s">
        <v>976</v>
      </c>
      <c r="D522" s="19" t="str">
        <f>IF($B522="","",IFERROR(INDEX('Staff Directory'!$C$5:$C$594,MATCH($B522,'Staff Directory'!$A$5:$A$594,0)),""))</f>
        <v>RN</v>
      </c>
      <c r="E522" s="19" t="str">
        <f>IF($B522="","",IFERROR(INDEX('Staff Directory'!$D$5:$D$594,MATCH($B522,'Staff Directory'!$A$5:$A$594,0)),""))</f>
        <v>A2</v>
      </c>
      <c r="F522" s="9" t="s">
        <v>136</v>
      </c>
      <c r="G522" s="18" t="str">
        <f>IF($F522="","",IFERROR(INDEX(Items!$B$5:$B$597,MATCH($F522,Items!$A$5:$A$597,0)),"⚠ not in Items"))</f>
        <v>Eye Protection</v>
      </c>
      <c r="H522" s="19" t="str">
        <f>IF($F522="","",IFERROR(INDEX(Items!$C$5:$C$597,MATCH($F522,Items!$A$5:$A$597,0)),""))</f>
        <v>One Size</v>
      </c>
      <c r="I522" s="23">
        <f>IF($F522="","",IFERROR(INDEX(Items!$E$5:$E$597,MATCH($F522,Items!$A$5:$A$597,0)),""))</f>
        <v>1</v>
      </c>
      <c r="J522" s="115">
        <f>IF(tblIssues[[#This Row],[Qty Override]]&lt;&gt;"",tblIssues[[#This Row],[Qty Override]],IF(tblIssues[[#This Row],[Standard Issue]]="","",tblIssues[[#This Row],[Standard Issue]]))</f>
        <v>1</v>
      </c>
      <c r="K522" s="20">
        <f>IF($F522="","",IFERROR(INDEX(Items!$D$5:$D$597,MATCH($F522,Items!$A$5:$A$597,0)),""))</f>
        <v>10</v>
      </c>
      <c r="L522" s="21">
        <f t="shared" si="94"/>
        <v>10</v>
      </c>
      <c r="M522" s="9" t="str">
        <f t="shared" si="95"/>
        <v>GGL5003700</v>
      </c>
      <c r="N522" s="24">
        <f>IF($A522="","",WORKDAY($A522,Settings!$C$9,HolidayDates))</f>
        <v>46154</v>
      </c>
      <c r="O522" s="24">
        <f>IF($N522="","",WORKDAY($N522,Settings!$C$10,HolidayDates))</f>
        <v>46192</v>
      </c>
      <c r="P522" s="10" t="s">
        <v>751</v>
      </c>
      <c r="Q522" s="52" t="str">
        <f t="shared" si="86"/>
        <v>Collected</v>
      </c>
      <c r="R522" s="55" t="str">
        <f t="shared" si="87"/>
        <v>2026-05</v>
      </c>
      <c r="S522" s="55">
        <f>IF(OR($B522="",$F522="",$R522=""),"",SUMIFS(tblIssues[Qty Issued],tblIssues[Staff ID],$B522,tblIssues[Item Name],$F522,tblIssues[Month],$R522))</f>
        <v>1</v>
      </c>
      <c r="T522" s="56">
        <f>IF($I522="","",$I522*Settings!$C$11)</f>
        <v>1</v>
      </c>
      <c r="U522" s="57" t="str">
        <f t="shared" si="96"/>
        <v>OK</v>
      </c>
      <c r="V522" s="55" t="str">
        <f t="shared" si="88"/>
        <v/>
      </c>
      <c r="W522" s="55" t="str">
        <f>IF($V522="","",IF(COUNTIF($V$5:$V522,$V522)=1,1,""))</f>
        <v/>
      </c>
      <c r="X522" s="58" t="str">
        <f>IF($W522="","",MAX($X$4:X521)+1)</f>
        <v/>
      </c>
      <c r="Y522" s="62"/>
      <c r="Z522" s="62"/>
      <c r="AA522" s="64" t="str">
        <f>IF($C522="","",IFERROR(INDEX('Staff Directory'!$E$5:$E$594,MATCH($C522,'Staff Directory'!$B$5:$B$594,0)),""))</f>
        <v>firstname060.lastname060@example.com</v>
      </c>
      <c r="AB522" s="64" t="str">
        <f>IF($C522="","",IF(ISNUMBER(SEARCH($D522,Settings!$C$15)),"Pickup","Dispatch"))</f>
        <v>Dispatch</v>
      </c>
      <c r="AC522" s="64" t="str">
        <f t="shared" si="89"/>
        <v>Supply order dispatched</v>
      </c>
      <c r="AD522" s="64" t="str">
        <f t="shared" si="91"/>
        <v>Dear RN,
Your order has been dispatched and is in transit. Reply if undelivered.</v>
      </c>
      <c r="AE522" s="64" t="str">
        <f t="shared" si="92"/>
        <v>mailto:firstname060.lastname060@example.com?subject=Supply%20order%20dispatched&amp;body=Dear%20RN%2C%0A%0AYour%20order%20has%20been%20dispatched%20and%20is%20in%20transit.%20Reply%20if%20undelivered.</v>
      </c>
      <c r="AF522" s="89" t="str">
        <f t="shared" si="90"/>
        <v>Draft email</v>
      </c>
      <c r="AG522" s="64" t="str">
        <f>IF($C522="","",IFERROR(INDEX('Staff Directory'!$K$595:$K$599,MATCH($C522,'Staff Directory'!$B$5:$B$599,0)),$D522))</f>
        <v>RN</v>
      </c>
      <c r="AH522" t="str">
        <f>IF($C522="","",IFERROR(INDEX('Staff Directory'!$I$595:$I$599,MATCH($C522,'Staff Directory'!$B$5:$B$599,0))&amp;" "&amp;INDEX('Staff Directory'!$J$595:$J$599,MATCH($C522,'Staff Directory'!$B$5:$B$599,0)),$AG522))</f>
        <v>RN</v>
      </c>
      <c r="AI522" s="102"/>
      <c r="AJ522" s="101">
        <f>IF($F522="","",SUMIFS($J$5:$J522,$F$5:$F522,$F522))</f>
        <v>1</v>
      </c>
      <c r="AK522" s="101">
        <f t="shared" si="93"/>
        <v>1</v>
      </c>
      <c r="AL522" s="66" t="str" cm="1">
        <f t="array" ref="AL522">IF($F522="","",IFERROR(INDEX('Lot Balance'!$B$5:$B$500,MATCH(1,INDEX(('Lot Balance'!$A$5:$A$500=$F522)*('Lot Balance'!$K$5:$K$500&lt;$AK522)*('Lot Balance'!$K$5:$K$500+'Lot Balance'!$D$5:$D$500&gt;=$AK522),0),0)),""))</f>
        <v>GGL5003700</v>
      </c>
      <c r="AM522" s="66" t="str" cm="1">
        <f t="array" ref="AM522">IF($F522="","",IFERROR(INDEX('Lot Balance'!$B$5:$B$500,MATCH(1,INDEX(('Lot Balance'!$A$5:$A$500=$F522)*('Lot Balance'!$K$5:$K$500&lt;$AJ522)*('Lot Balance'!$K$5:$K$500+'Lot Balance'!$D$5:$D$500&gt;=$AJ522),0),0)),""))</f>
        <v>GGL5003700</v>
      </c>
      <c r="AN522" s="66" t="str">
        <f>IF($F522="","",IF($AI522&lt;&gt;"",IF(COUNTIFS('Lot Balance'!$A$5:$A$500,$F522,'Lot Balance'!$B$5:$B$500,$AI522)=0,"⚠ override is not a lot of this item",IF($AI522=$AL522,"Override = FEFO","Override - FEFO says "&amp;$AL522)),IF($AL522="","⚠ no receipt on file for this item",IF($AM522&lt;&gt;$AL522,"FEFO auto - split, also "&amp;$AM522,"FEFO auto"))))</f>
        <v>FEFO auto</v>
      </c>
      <c r="AO522" s="114"/>
    </row>
    <row r="523" spans="1:41" x14ac:dyDescent="0.35">
      <c r="A523" s="74">
        <v>46146</v>
      </c>
      <c r="B523" s="18" t="str">
        <f>IF($C523="","",IFERROR(INDEX('Staff Directory'!$A$5:$A$594,MATCH($C523,'Staff Directory'!$B$5:$B$594,0)),"⚠ unknown staff"))</f>
        <v>RN-051-A2</v>
      </c>
      <c r="C523" s="49" t="s">
        <v>976</v>
      </c>
      <c r="D523" s="19" t="str">
        <f>IF($B523="","",IFERROR(INDEX('Staff Directory'!$C$5:$C$594,MATCH($B523,'Staff Directory'!$A$5:$A$594,0)),""))</f>
        <v>RN</v>
      </c>
      <c r="E523" s="19" t="str">
        <f>IF($B523="","",IFERROR(INDEX('Staff Directory'!$D$5:$D$594,MATCH($B523,'Staff Directory'!$A$5:$A$594,0)),""))</f>
        <v>A2</v>
      </c>
      <c r="F523" s="9" t="s">
        <v>144</v>
      </c>
      <c r="G523" s="18" t="str">
        <f>IF($F523="","",IFERROR(INDEX(Items!$B$5:$B$597,MATCH($F523,Items!$A$5:$A$597,0)),"⚠ not in Items"))</f>
        <v>IPAC</v>
      </c>
      <c r="H523" s="19" t="str">
        <f>IF($F523="","",IFERROR(INDEX(Items!$C$5:$C$597,MATCH($F523,Items!$A$5:$A$597,0)),""))</f>
        <v>One Size</v>
      </c>
      <c r="I523" s="23">
        <f>IF($F523="","",IFERROR(INDEX(Items!$E$5:$E$597,MATCH($F523,Items!$A$5:$A$597,0)),""))</f>
        <v>4</v>
      </c>
      <c r="J523" s="115">
        <f>IF(tblIssues[[#This Row],[Qty Override]]&lt;&gt;"",tblIssues[[#This Row],[Qty Override]],IF(tblIssues[[#This Row],[Standard Issue]]="","",tblIssues[[#This Row],[Standard Issue]]))</f>
        <v>4</v>
      </c>
      <c r="K523" s="20">
        <f>IF($F523="","",IFERROR(INDEX(Items!$D$5:$D$597,MATCH($F523,Items!$A$5:$A$597,0)),""))</f>
        <v>145.97999999999999</v>
      </c>
      <c r="L523" s="21">
        <f t="shared" si="94"/>
        <v>583.91999999999996</v>
      </c>
      <c r="M523" s="9" t="str">
        <f t="shared" si="95"/>
        <v/>
      </c>
      <c r="N523" s="24">
        <f>IF($A523="","",WORKDAY($A523,Settings!$C$9,HolidayDates))</f>
        <v>46154</v>
      </c>
      <c r="O523" s="24">
        <f>IF($N523="","",WORKDAY($N523,Settings!$C$10,HolidayDates))</f>
        <v>46192</v>
      </c>
      <c r="P523" s="10" t="s">
        <v>751</v>
      </c>
      <c r="Q523" s="52" t="str">
        <f t="shared" si="86"/>
        <v>Collected</v>
      </c>
      <c r="R523" s="55" t="str">
        <f t="shared" si="87"/>
        <v>2026-05</v>
      </c>
      <c r="S523" s="55">
        <f>IF(OR($B523="",$F523="",$R523=""),"",SUMIFS(tblIssues[Qty Issued],tblIssues[Staff ID],$B523,tblIssues[Item Name],$F523,tblIssues[Month],$R523))</f>
        <v>4</v>
      </c>
      <c r="T523" s="56">
        <f>IF($I523="","",$I523*Settings!$C$11)</f>
        <v>4</v>
      </c>
      <c r="U523" s="57" t="str">
        <f t="shared" si="96"/>
        <v>OK</v>
      </c>
      <c r="V523" s="55" t="str">
        <f t="shared" si="88"/>
        <v/>
      </c>
      <c r="W523" s="55" t="str">
        <f>IF($V523="","",IF(COUNTIF($V$5:$V523,$V523)=1,1,""))</f>
        <v/>
      </c>
      <c r="X523" s="58" t="str">
        <f>IF($W523="","",MAX($X$4:X522)+1)</f>
        <v/>
      </c>
      <c r="Y523" s="62"/>
      <c r="Z523" s="62"/>
      <c r="AA523" s="64" t="str">
        <f>IF($C523="","",IFERROR(INDEX('Staff Directory'!$E$5:$E$594,MATCH($C523,'Staff Directory'!$B$5:$B$594,0)),""))</f>
        <v>firstname060.lastname060@example.com</v>
      </c>
      <c r="AB523" s="64" t="str">
        <f>IF($C523="","",IF(ISNUMBER(SEARCH($D523,Settings!$C$15)),"Pickup","Dispatch"))</f>
        <v>Dispatch</v>
      </c>
      <c r="AC523" s="64" t="str">
        <f t="shared" si="89"/>
        <v>Supply order dispatched</v>
      </c>
      <c r="AD523" s="64" t="str">
        <f t="shared" si="91"/>
        <v>Dear RN,
Your order has been dispatched and is in transit. Reply if undelivered.</v>
      </c>
      <c r="AE523" s="64" t="str">
        <f t="shared" si="92"/>
        <v>mailto:firstname060.lastname060@example.com?subject=Supply%20order%20dispatched&amp;body=Dear%20RN%2C%0A%0AYour%20order%20has%20been%20dispatched%20and%20is%20in%20transit.%20Reply%20if%20undelivered.</v>
      </c>
      <c r="AF523" s="89" t="str">
        <f t="shared" si="90"/>
        <v>Draft email</v>
      </c>
      <c r="AG523" s="64" t="str">
        <f>IF($C523="","",IFERROR(INDEX('Staff Directory'!$K$595:$K$599,MATCH($C523,'Staff Directory'!$B$5:$B$599,0)),$D523))</f>
        <v>RN</v>
      </c>
      <c r="AH523" t="str">
        <f>IF($C523="","",IFERROR(INDEX('Staff Directory'!$I$595:$I$599,MATCH($C523,'Staff Directory'!$B$5:$B$599,0))&amp;" "&amp;INDEX('Staff Directory'!$J$595:$J$599,MATCH($C523,'Staff Directory'!$B$5:$B$599,0)),$AG523))</f>
        <v>RN</v>
      </c>
      <c r="AI523" s="102"/>
      <c r="AJ523" s="101">
        <f>IF($F523="","",SUMIFS($J$5:$J523,$F$5:$F523,$F523))</f>
        <v>8</v>
      </c>
      <c r="AK523" s="101">
        <f t="shared" si="93"/>
        <v>5</v>
      </c>
      <c r="AL523" s="66" t="str" cm="1">
        <f t="array" ref="AL523">IF($F523="","",IFERROR(INDEX('Lot Balance'!$B$5:$B$500,MATCH(1,INDEX(('Lot Balance'!$A$5:$A$500=$F523)*('Lot Balance'!$K$5:$K$500&lt;$AK523)*('Lot Balance'!$K$5:$K$500+'Lot Balance'!$D$5:$D$500&gt;=$AK523),0),0)),""))</f>
        <v/>
      </c>
      <c r="AM523" s="66" t="str" cm="1">
        <f t="array" ref="AM523">IF($F523="","",IFERROR(INDEX('Lot Balance'!$B$5:$B$500,MATCH(1,INDEX(('Lot Balance'!$A$5:$A$500=$F523)*('Lot Balance'!$K$5:$K$500&lt;$AJ523)*('Lot Balance'!$K$5:$K$500+'Lot Balance'!$D$5:$D$500&gt;=$AJ523),0),0)),""))</f>
        <v/>
      </c>
      <c r="AN523" s="66" t="str">
        <f>IF($F523="","",IF($AI523&lt;&gt;"",IF(COUNTIFS('Lot Balance'!$A$5:$A$500,$F523,'Lot Balance'!$B$5:$B$500,$AI523)=0,"⚠ override is not a lot of this item",IF($AI523=$AL523,"Override = FEFO","Override - FEFO says "&amp;$AL523)),IF($AL523="","⚠ no receipt on file for this item",IF($AM523&lt;&gt;$AL523,"FEFO auto - split, also "&amp;$AM523,"FEFO auto"))))</f>
        <v>⚠ no receipt on file for this item</v>
      </c>
      <c r="AO523" s="114"/>
    </row>
    <row r="524" spans="1:41" x14ac:dyDescent="0.35">
      <c r="A524" s="74">
        <v>46146</v>
      </c>
      <c r="B524" s="18" t="str">
        <f>IF($C524="","",IFERROR(INDEX('Staff Directory'!$A$5:$A$594,MATCH($C524,'Staff Directory'!$B$5:$B$594,0)),"⚠ unknown staff"))</f>
        <v>RN-051-A2</v>
      </c>
      <c r="C524" s="49" t="s">
        <v>976</v>
      </c>
      <c r="D524" s="19" t="str">
        <f>IF($B524="","",IFERROR(INDEX('Staff Directory'!$C$5:$C$594,MATCH($B524,'Staff Directory'!$A$5:$A$594,0)),""))</f>
        <v>RN</v>
      </c>
      <c r="E524" s="19" t="str">
        <f>IF($B524="","",IFERROR(INDEX('Staff Directory'!$D$5:$D$594,MATCH($B524,'Staff Directory'!$A$5:$A$594,0)),""))</f>
        <v>A2</v>
      </c>
      <c r="F524" s="9" t="s">
        <v>119</v>
      </c>
      <c r="G524" s="18" t="str">
        <f>IF($F524="","",IFERROR(INDEX(Items!$B$5:$B$597,MATCH($F524,Items!$A$5:$A$597,0)),"⚠ not in Items"))</f>
        <v>Drug</v>
      </c>
      <c r="H524" s="19" t="str">
        <f>IF($F524="","",IFERROR(INDEX(Items!$C$5:$C$597,MATCH($F524,Items!$A$5:$A$597,0)),""))</f>
        <v>1 Amp</v>
      </c>
      <c r="I524" s="23">
        <f>IF($F524="","",IFERROR(INDEX(Items!$E$5:$E$597,MATCH($F524,Items!$A$5:$A$597,0)),""))</f>
        <v>2</v>
      </c>
      <c r="J524" s="115">
        <f>IF(tblIssues[[#This Row],[Qty Override]]&lt;&gt;"",tblIssues[[#This Row],[Qty Override]],IF(tblIssues[[#This Row],[Standard Issue]]="","",tblIssues[[#This Row],[Standard Issue]]))</f>
        <v>2</v>
      </c>
      <c r="K524" s="20">
        <f>IF($F524="","",IFERROR(INDEX(Items!$D$5:$D$597,MATCH($F524,Items!$A$5:$A$597,0)),""))</f>
        <v>5.9</v>
      </c>
      <c r="L524" s="21">
        <f t="shared" si="94"/>
        <v>11.8</v>
      </c>
      <c r="M524" s="9">
        <f t="shared" si="95"/>
        <v>50037</v>
      </c>
      <c r="N524" s="24">
        <f>IF($A524="","",WORKDAY($A524,Settings!$C$9,HolidayDates))</f>
        <v>46154</v>
      </c>
      <c r="O524" s="24">
        <f>IF($N524="","",WORKDAY($N524,Settings!$C$10,HolidayDates))</f>
        <v>46192</v>
      </c>
      <c r="P524" s="10" t="s">
        <v>751</v>
      </c>
      <c r="Q524" s="52" t="str">
        <f t="shared" si="86"/>
        <v>Collected</v>
      </c>
      <c r="R524" s="55" t="str">
        <f t="shared" si="87"/>
        <v>2026-05</v>
      </c>
      <c r="S524" s="55">
        <f>IF(OR($B524="",$F524="",$R524=""),"",SUMIFS(tblIssues[Qty Issued],tblIssues[Staff ID],$B524,tblIssues[Item Name],$F524,tblIssues[Month],$R524))</f>
        <v>2</v>
      </c>
      <c r="T524" s="56">
        <f>IF($I524="","",$I524*Settings!$C$11)</f>
        <v>2</v>
      </c>
      <c r="U524" s="57" t="str">
        <f t="shared" si="96"/>
        <v>OK</v>
      </c>
      <c r="V524" s="55" t="str">
        <f t="shared" si="88"/>
        <v/>
      </c>
      <c r="W524" s="55" t="str">
        <f>IF($V524="","",IF(COUNTIF($V$5:$V524,$V524)=1,1,""))</f>
        <v/>
      </c>
      <c r="X524" s="58" t="str">
        <f>IF($W524="","",MAX($X$4:X523)+1)</f>
        <v/>
      </c>
      <c r="Y524" s="62"/>
      <c r="Z524" s="62"/>
      <c r="AA524" s="64" t="str">
        <f>IF($C524="","",IFERROR(INDEX('Staff Directory'!$E$5:$E$594,MATCH($C524,'Staff Directory'!$B$5:$B$594,0)),""))</f>
        <v>firstname060.lastname060@example.com</v>
      </c>
      <c r="AB524" s="64" t="str">
        <f>IF($C524="","",IF(ISNUMBER(SEARCH($D524,Settings!$C$15)),"Pickup","Dispatch"))</f>
        <v>Dispatch</v>
      </c>
      <c r="AC524" s="64" t="str">
        <f t="shared" si="89"/>
        <v>Supply order dispatched</v>
      </c>
      <c r="AD524" s="64" t="str">
        <f t="shared" si="91"/>
        <v>Dear RN,
Your order has been dispatched and is in transit. Reply if undelivered.</v>
      </c>
      <c r="AE524" s="64" t="str">
        <f t="shared" si="92"/>
        <v>mailto:firstname060.lastname060@example.com?subject=Supply%20order%20dispatched&amp;body=Dear%20RN%2C%0A%0AYour%20order%20has%20been%20dispatched%20and%20is%20in%20transit.%20Reply%20if%20undelivered.</v>
      </c>
      <c r="AF524" s="89" t="str">
        <f t="shared" si="90"/>
        <v>Draft email</v>
      </c>
      <c r="AG524" s="64" t="str">
        <f>IF($C524="","",IFERROR(INDEX('Staff Directory'!$K$595:$K$599,MATCH($C524,'Staff Directory'!$B$5:$B$599,0)),$D524))</f>
        <v>RN</v>
      </c>
      <c r="AH524" t="str">
        <f>IF($C524="","",IFERROR(INDEX('Staff Directory'!$I$595:$I$599,MATCH($C524,'Staff Directory'!$B$5:$B$599,0))&amp;" "&amp;INDEX('Staff Directory'!$J$595:$J$599,MATCH($C524,'Staff Directory'!$B$5:$B$599,0)),$AG524))</f>
        <v>RN</v>
      </c>
      <c r="AI524" s="102"/>
      <c r="AJ524" s="101">
        <f>IF($F524="","",SUMIFS($J$5:$J524,$F$5:$F524,$F524))</f>
        <v>2</v>
      </c>
      <c r="AK524" s="101">
        <f t="shared" si="93"/>
        <v>1</v>
      </c>
      <c r="AL524" s="66" cm="1">
        <f t="array" ref="AL524">IF($F524="","",IFERROR(INDEX('Lot Balance'!$B$5:$B$500,MATCH(1,INDEX(('Lot Balance'!$A$5:$A$500=$F524)*('Lot Balance'!$K$5:$K$500&lt;$AK524)*('Lot Balance'!$K$5:$K$500+'Lot Balance'!$D$5:$D$500&gt;=$AK524),0),0)),""))</f>
        <v>50037</v>
      </c>
      <c r="AM524" s="66" cm="1">
        <f t="array" ref="AM524">IF($F524="","",IFERROR(INDEX('Lot Balance'!$B$5:$B$500,MATCH(1,INDEX(('Lot Balance'!$A$5:$A$500=$F524)*('Lot Balance'!$K$5:$K$500&lt;$AJ524)*('Lot Balance'!$K$5:$K$500+'Lot Balance'!$D$5:$D$500&gt;=$AJ524),0),0)),""))</f>
        <v>50037</v>
      </c>
      <c r="AN524" s="66" t="str">
        <f>IF($F524="","",IF($AI524&lt;&gt;"",IF(COUNTIFS('Lot Balance'!$A$5:$A$500,$F524,'Lot Balance'!$B$5:$B$500,$AI524)=0,"⚠ override is not a lot of this item",IF($AI524=$AL524,"Override = FEFO","Override - FEFO says "&amp;$AL524)),IF($AL524="","⚠ no receipt on file for this item",IF($AM524&lt;&gt;$AL524,"FEFO auto - split, also "&amp;$AM524,"FEFO auto"))))</f>
        <v>FEFO auto</v>
      </c>
      <c r="AO524" s="114"/>
    </row>
    <row r="525" spans="1:41" x14ac:dyDescent="0.35">
      <c r="A525" s="74">
        <v>46146</v>
      </c>
      <c r="B525" s="18" t="str">
        <f>IF($C525="","",IFERROR(INDEX('Staff Directory'!$A$5:$A$594,MATCH($C525,'Staff Directory'!$B$5:$B$594,0)),"⚠ unknown staff"))</f>
        <v>RN-051-A2</v>
      </c>
      <c r="C525" s="49" t="s">
        <v>976</v>
      </c>
      <c r="D525" s="19" t="str">
        <f>IF($B525="","",IFERROR(INDEX('Staff Directory'!$C$5:$C$594,MATCH($B525,'Staff Directory'!$A$5:$A$594,0)),""))</f>
        <v>RN</v>
      </c>
      <c r="E525" s="19" t="str">
        <f>IF($B525="","",IFERROR(INDEX('Staff Directory'!$D$5:$D$594,MATCH($B525,'Staff Directory'!$A$5:$A$594,0)),""))</f>
        <v>A2</v>
      </c>
      <c r="F525" s="9" t="s">
        <v>150</v>
      </c>
      <c r="G525" s="18" t="str">
        <f>IF($F525="","",IFERROR(INDEX(Items!$B$5:$B$597,MATCH($F525,Items!$A$5:$A$597,0)),"⚠ not in Items"))</f>
        <v>Documents</v>
      </c>
      <c r="H525" s="19" t="str">
        <f>IF($F525="","",IFERROR(INDEX(Items!$C$5:$C$597,MATCH($F525,Items!$A$5:$A$597,0)),""))</f>
        <v>Standard</v>
      </c>
      <c r="I525" s="23">
        <f>IF($F525="","",IFERROR(INDEX(Items!$E$5:$E$597,MATCH($F525,Items!$A$5:$A$597,0)),""))</f>
        <v>1</v>
      </c>
      <c r="J525" s="115">
        <f>IF(tblIssues[[#This Row],[Qty Override]]&lt;&gt;"",tblIssues[[#This Row],[Qty Override]],IF(tblIssues[[#This Row],[Standard Issue]]="","",tblIssues[[#This Row],[Standard Issue]]))</f>
        <v>1</v>
      </c>
      <c r="K525" s="20">
        <f>IF($F525="","",IFERROR(INDEX(Items!$D$5:$D$597,MATCH($F525,Items!$A$5:$A$597,0)),""))</f>
        <v>0</v>
      </c>
      <c r="L525" s="21">
        <f t="shared" si="94"/>
        <v>0</v>
      </c>
      <c r="M525" s="9" t="str">
        <f t="shared" si="95"/>
        <v/>
      </c>
      <c r="N525" s="24">
        <f>IF($A525="","",WORKDAY($A525,Settings!$C$9,HolidayDates))</f>
        <v>46154</v>
      </c>
      <c r="O525" s="24">
        <f>IF($N525="","",WORKDAY($N525,Settings!$C$10,HolidayDates))</f>
        <v>46192</v>
      </c>
      <c r="P525" s="10" t="s">
        <v>751</v>
      </c>
      <c r="Q525" s="52" t="str">
        <f t="shared" si="86"/>
        <v>Collected</v>
      </c>
      <c r="R525" s="55" t="str">
        <f t="shared" si="87"/>
        <v>2026-05</v>
      </c>
      <c r="S525" s="55">
        <f>IF(OR($B525="",$F525="",$R525=""),"",SUMIFS(tblIssues[Qty Issued],tblIssues[Staff ID],$B525,tblIssues[Item Name],$F525,tblIssues[Month],$R525))</f>
        <v>1</v>
      </c>
      <c r="T525" s="56">
        <f>IF($I525="","",$I525*Settings!$C$11)</f>
        <v>1</v>
      </c>
      <c r="U525" s="57" t="str">
        <f t="shared" si="96"/>
        <v>OK</v>
      </c>
      <c r="V525" s="55" t="str">
        <f t="shared" si="88"/>
        <v/>
      </c>
      <c r="W525" s="55" t="str">
        <f>IF($V525="","",IF(COUNTIF($V$5:$V525,$V525)=1,1,""))</f>
        <v/>
      </c>
      <c r="X525" s="58" t="str">
        <f>IF($W525="","",MAX($X$4:X524)+1)</f>
        <v/>
      </c>
      <c r="Y525" s="62"/>
      <c r="Z525" s="62"/>
      <c r="AA525" s="64" t="str">
        <f>IF($C525="","",IFERROR(INDEX('Staff Directory'!$E$5:$E$594,MATCH($C525,'Staff Directory'!$B$5:$B$594,0)),""))</f>
        <v>firstname060.lastname060@example.com</v>
      </c>
      <c r="AB525" s="64" t="str">
        <f>IF($C525="","",IF(ISNUMBER(SEARCH($D525,Settings!$C$15)),"Pickup","Dispatch"))</f>
        <v>Dispatch</v>
      </c>
      <c r="AC525" s="64" t="str">
        <f t="shared" si="89"/>
        <v>Supply order dispatched</v>
      </c>
      <c r="AD525" s="64" t="str">
        <f t="shared" si="91"/>
        <v>Dear RN,
Your order has been dispatched and is in transit. Reply if undelivered.</v>
      </c>
      <c r="AE525" s="64" t="str">
        <f t="shared" si="92"/>
        <v>mailto:firstname060.lastname060@example.com?subject=Supply%20order%20dispatched&amp;body=Dear%20RN%2C%0A%0AYour%20order%20has%20been%20dispatched%20and%20is%20in%20transit.%20Reply%20if%20undelivered.</v>
      </c>
      <c r="AF525" s="89" t="str">
        <f t="shared" si="90"/>
        <v>Draft email</v>
      </c>
      <c r="AG525" s="64" t="str">
        <f>IF($C525="","",IFERROR(INDEX('Staff Directory'!$K$595:$K$599,MATCH($C525,'Staff Directory'!$B$5:$B$599,0)),$D525))</f>
        <v>RN</v>
      </c>
      <c r="AH525" t="str">
        <f>IF($C525="","",IFERROR(INDEX('Staff Directory'!$I$595:$I$599,MATCH($C525,'Staff Directory'!$B$5:$B$599,0))&amp;" "&amp;INDEX('Staff Directory'!$J$595:$J$599,MATCH($C525,'Staff Directory'!$B$5:$B$599,0)),$AG525))</f>
        <v>RN</v>
      </c>
      <c r="AI525" s="102"/>
      <c r="AJ525" s="101">
        <f>IF($F525="","",SUMIFS($J$5:$J525,$F$5:$F525,$F525))</f>
        <v>1</v>
      </c>
      <c r="AK525" s="101">
        <f t="shared" si="93"/>
        <v>1</v>
      </c>
      <c r="AL525" s="66" t="str" cm="1">
        <f t="array" ref="AL525">IF($F525="","",IFERROR(INDEX('Lot Balance'!$B$5:$B$500,MATCH(1,INDEX(('Lot Balance'!$A$5:$A$500=$F525)*('Lot Balance'!$K$5:$K$500&lt;$AK525)*('Lot Balance'!$K$5:$K$500+'Lot Balance'!$D$5:$D$500&gt;=$AK525),0),0)),""))</f>
        <v/>
      </c>
      <c r="AM525" s="66" t="str" cm="1">
        <f t="array" ref="AM525">IF($F525="","",IFERROR(INDEX('Lot Balance'!$B$5:$B$500,MATCH(1,INDEX(('Lot Balance'!$A$5:$A$500=$F525)*('Lot Balance'!$K$5:$K$500&lt;$AJ525)*('Lot Balance'!$K$5:$K$500+'Lot Balance'!$D$5:$D$500&gt;=$AJ525),0),0)),""))</f>
        <v/>
      </c>
      <c r="AN525" s="66" t="str">
        <f>IF($F525="","",IF($AI525&lt;&gt;"",IF(COUNTIFS('Lot Balance'!$A$5:$A$500,$F525,'Lot Balance'!$B$5:$B$500,$AI525)=0,"⚠ override is not a lot of this item",IF($AI525=$AL525,"Override = FEFO","Override - FEFO says "&amp;$AL525)),IF($AL525="","⚠ no receipt on file for this item",IF($AM525&lt;&gt;$AL525,"FEFO auto - split, also "&amp;$AM525,"FEFO auto"))))</f>
        <v>⚠ no receipt on file for this item</v>
      </c>
      <c r="AO525" s="114"/>
    </row>
    <row r="526" spans="1:41" x14ac:dyDescent="0.35">
      <c r="A526" s="74">
        <v>46146</v>
      </c>
      <c r="B526" s="18" t="str">
        <f>IF($C526="","",IFERROR(INDEX('Staff Directory'!$A$5:$A$594,MATCH($C526,'Staff Directory'!$B$5:$B$594,0)),"⚠ unknown staff"))</f>
        <v>RN-051-A2</v>
      </c>
      <c r="C526" s="49" t="s">
        <v>976</v>
      </c>
      <c r="D526" s="19" t="str">
        <f>IF($B526="","",IFERROR(INDEX('Staff Directory'!$C$5:$C$594,MATCH($B526,'Staff Directory'!$A$5:$A$594,0)),""))</f>
        <v>RN</v>
      </c>
      <c r="E526" s="19" t="str">
        <f>IF($B526="","",IFERROR(INDEX('Staff Directory'!$D$5:$D$594,MATCH($B526,'Staff Directory'!$A$5:$A$594,0)),""))</f>
        <v>A2</v>
      </c>
      <c r="F526" s="9" t="s">
        <v>164</v>
      </c>
      <c r="G526" s="18" t="str">
        <f>IF($F526="","",IFERROR(INDEX(Items!$B$5:$B$597,MATCH($F526,Items!$A$5:$A$597,0)),"⚠ not in Items"))</f>
        <v>ID Document</v>
      </c>
      <c r="H526" s="19" t="str">
        <f>IF($F526="","",IFERROR(INDEX(Items!$C$5:$C$597,MATCH($F526,Items!$A$5:$A$597,0)),""))</f>
        <v>Standard</v>
      </c>
      <c r="I526" s="23">
        <f>IF($F526="","",IFERROR(INDEX(Items!$E$5:$E$597,MATCH($F526,Items!$A$5:$A$597,0)),""))</f>
        <v>1</v>
      </c>
      <c r="J526" s="115">
        <f>IF(tblIssues[[#This Row],[Qty Override]]&lt;&gt;"",tblIssues[[#This Row],[Qty Override]],IF(tblIssues[[#This Row],[Standard Issue]]="","",tblIssues[[#This Row],[Standard Issue]]))</f>
        <v>1</v>
      </c>
      <c r="K526" s="20">
        <f>IF($F526="","",IFERROR(INDEX(Items!$D$5:$D$597,MATCH($F526,Items!$A$5:$A$597,0)),""))</f>
        <v>0</v>
      </c>
      <c r="L526" s="21">
        <f t="shared" si="94"/>
        <v>0</v>
      </c>
      <c r="M526" s="9" t="str">
        <f t="shared" si="95"/>
        <v/>
      </c>
      <c r="N526" s="24">
        <f>IF($A526="","",WORKDAY($A526,Settings!$C$9,HolidayDates))</f>
        <v>46154</v>
      </c>
      <c r="O526" s="24">
        <f>IF($N526="","",WORKDAY($N526,Settings!$C$10,HolidayDates))</f>
        <v>46192</v>
      </c>
      <c r="P526" s="10" t="s">
        <v>751</v>
      </c>
      <c r="Q526" s="52" t="str">
        <f t="shared" ref="Q526:Q589" si="97">IF($A526="","",IF($P526&lt;&gt;"","Collected","Pending"))</f>
        <v>Collected</v>
      </c>
      <c r="R526" s="55" t="str">
        <f t="shared" ref="R526:R589" si="98">IF($A526="","",TEXT($A526,"yyyy-mm"))</f>
        <v>2026-05</v>
      </c>
      <c r="S526" s="55">
        <f>IF(OR($B526="",$F526="",$R526=""),"",SUMIFS(tblIssues[Qty Issued],tblIssues[Staff ID],$B526,tblIssues[Item Name],$F526,tblIssues[Month],$R526))</f>
        <v>1</v>
      </c>
      <c r="T526" s="56">
        <f>IF($I526="","",$I526*Settings!$C$11)</f>
        <v>1</v>
      </c>
      <c r="U526" s="57" t="str">
        <f t="shared" si="96"/>
        <v>OK</v>
      </c>
      <c r="V526" s="55" t="str">
        <f t="shared" ref="V526:V589" si="99">IF($U526="⚠ OVER QUOTA",$B526&amp;" | "&amp;$F526&amp;" | "&amp;$R526,"")</f>
        <v/>
      </c>
      <c r="W526" s="55" t="str">
        <f>IF($V526="","",IF(COUNTIF($V$5:$V526,$V526)=1,1,""))</f>
        <v/>
      </c>
      <c r="X526" s="58" t="str">
        <f>IF($W526="","",MAX($X$4:X525)+1)</f>
        <v/>
      </c>
      <c r="Y526" s="62"/>
      <c r="Z526" s="62"/>
      <c r="AA526" s="64" t="str">
        <f>IF($C526="","",IFERROR(INDEX('Staff Directory'!$E$5:$E$594,MATCH($C526,'Staff Directory'!$B$5:$B$594,0)),""))</f>
        <v>firstname060.lastname060@example.com</v>
      </c>
      <c r="AB526" s="64" t="str">
        <f>IF($C526="","",IF(ISNUMBER(SEARCH($D526,Settings!$C$15)),"Pickup","Dispatch"))</f>
        <v>Dispatch</v>
      </c>
      <c r="AC526" s="64" t="str">
        <f t="shared" ref="AC526:AC589" si="100">IF($AB526="Pickup","Supply order ready for pickup",IF($AB526="Dispatch","Supply order dispatched",""))</f>
        <v>Supply order dispatched</v>
      </c>
      <c r="AD526" s="64" t="str">
        <f t="shared" si="91"/>
        <v>Dear RN,
Your order has been dispatched and is in transit. Reply if undelivered.</v>
      </c>
      <c r="AE526" s="64" t="str">
        <f t="shared" si="92"/>
        <v>mailto:firstname060.lastname060@example.com?subject=Supply%20order%20dispatched&amp;body=Dear%20RN%2C%0A%0AYour%20order%20has%20been%20dispatched%20and%20is%20in%20transit.%20Reply%20if%20undelivered.</v>
      </c>
      <c r="AF526" s="89" t="str">
        <f t="shared" ref="AF526:AF589" si="101">IF(AE526="","",HYPERLINK(AE526,"Draft email"))</f>
        <v>Draft email</v>
      </c>
      <c r="AG526" s="64" t="str">
        <f>IF($C526="","",IFERROR(INDEX('Staff Directory'!$K$595:$K$599,MATCH($C526,'Staff Directory'!$B$5:$B$599,0)),$D526))</f>
        <v>RN</v>
      </c>
      <c r="AH526" t="str">
        <f>IF($C526="","",IFERROR(INDEX('Staff Directory'!$I$595:$I$599,MATCH($C526,'Staff Directory'!$B$5:$B$599,0))&amp;" "&amp;INDEX('Staff Directory'!$J$595:$J$599,MATCH($C526,'Staff Directory'!$B$5:$B$599,0)),$AG526))</f>
        <v>RN</v>
      </c>
      <c r="AI526" s="102"/>
      <c r="AJ526" s="101">
        <f>IF($F526="","",SUMIFS($J$5:$J526,$F$5:$F526,$F526))</f>
        <v>2</v>
      </c>
      <c r="AK526" s="101">
        <f t="shared" si="93"/>
        <v>2</v>
      </c>
      <c r="AL526" s="66" t="str" cm="1">
        <f t="array" ref="AL526">IF($F526="","",IFERROR(INDEX('Lot Balance'!$B$5:$B$500,MATCH(1,INDEX(('Lot Balance'!$A$5:$A$500=$F526)*('Lot Balance'!$K$5:$K$500&lt;$AK526)*('Lot Balance'!$K$5:$K$500+'Lot Balance'!$D$5:$D$500&gt;=$AK526),0),0)),""))</f>
        <v/>
      </c>
      <c r="AM526" s="66" t="str" cm="1">
        <f t="array" ref="AM526">IF($F526="","",IFERROR(INDEX('Lot Balance'!$B$5:$B$500,MATCH(1,INDEX(('Lot Balance'!$A$5:$A$500=$F526)*('Lot Balance'!$K$5:$K$500&lt;$AJ526)*('Lot Balance'!$K$5:$K$500+'Lot Balance'!$D$5:$D$500&gt;=$AJ526),0),0)),""))</f>
        <v/>
      </c>
      <c r="AN526" s="66" t="str">
        <f>IF($F526="","",IF($AI526&lt;&gt;"",IF(COUNTIFS('Lot Balance'!$A$5:$A$500,$F526,'Lot Balance'!$B$5:$B$500,$AI526)=0,"⚠ override is not a lot of this item",IF($AI526=$AL526,"Override = FEFO","Override - FEFO says "&amp;$AL526)),IF($AL526="","⚠ no receipt on file for this item",IF($AM526&lt;&gt;$AL526,"FEFO auto - split, also "&amp;$AM526,"FEFO auto"))))</f>
        <v>⚠ no receipt on file for this item</v>
      </c>
      <c r="AO526" s="114"/>
    </row>
    <row r="527" spans="1:41" x14ac:dyDescent="0.35">
      <c r="A527" s="74">
        <v>46146</v>
      </c>
      <c r="B527" s="18" t="str">
        <f>IF($C527="","",IFERROR(INDEX('Staff Directory'!$A$5:$A$594,MATCH($C527,'Staff Directory'!$B$5:$B$594,0)),"⚠ unknown staff"))</f>
        <v>RN-051-A2</v>
      </c>
      <c r="C527" s="49" t="s">
        <v>976</v>
      </c>
      <c r="D527" s="19" t="str">
        <f>IF($B527="","",IFERROR(INDEX('Staff Directory'!$C$5:$C$594,MATCH($B527,'Staff Directory'!$A$5:$A$594,0)),""))</f>
        <v>RN</v>
      </c>
      <c r="E527" s="19" t="str">
        <f>IF($B527="","",IFERROR(INDEX('Staff Directory'!$D$5:$D$594,MATCH($B527,'Staff Directory'!$A$5:$A$594,0)),""))</f>
        <v>A2</v>
      </c>
      <c r="F527" s="9" t="s">
        <v>157</v>
      </c>
      <c r="G527" s="18" t="str">
        <f>IF($F527="","",IFERROR(INDEX(Items!$B$5:$B$597,MATCH($F527,Items!$A$5:$A$597,0)),"⚠ not in Items"))</f>
        <v>Safety</v>
      </c>
      <c r="H527" s="19" t="str">
        <f>IF($F527="","",IFERROR(INDEX(Items!$C$5:$C$597,MATCH($F527,Items!$A$5:$A$597,0)),""))</f>
        <v>Standard</v>
      </c>
      <c r="I527" s="23">
        <f>IF($F527="","",IFERROR(INDEX(Items!$E$5:$E$597,MATCH($F527,Items!$A$5:$A$597,0)),""))</f>
        <v>1</v>
      </c>
      <c r="J527" s="115">
        <f>IF(tblIssues[[#This Row],[Qty Override]]&lt;&gt;"",tblIssues[[#This Row],[Qty Override]],IF(tblIssues[[#This Row],[Standard Issue]]="","",tblIssues[[#This Row],[Standard Issue]]))</f>
        <v>1</v>
      </c>
      <c r="K527" s="20">
        <f>IF($F527="","",IFERROR(INDEX(Items!$D$5:$D$597,MATCH($F527,Items!$A$5:$A$597,0)),""))</f>
        <v>1</v>
      </c>
      <c r="L527" s="21">
        <f t="shared" si="94"/>
        <v>1</v>
      </c>
      <c r="M527" s="9" t="str">
        <f t="shared" si="95"/>
        <v/>
      </c>
      <c r="N527" s="24">
        <f>IF($A527="","",WORKDAY($A527,Settings!$C$9,HolidayDates))</f>
        <v>46154</v>
      </c>
      <c r="O527" s="24">
        <f>IF($N527="","",WORKDAY($N527,Settings!$C$10,HolidayDates))</f>
        <v>46192</v>
      </c>
      <c r="P527" s="10" t="s">
        <v>751</v>
      </c>
      <c r="Q527" s="52" t="str">
        <f t="shared" si="97"/>
        <v>Collected</v>
      </c>
      <c r="R527" s="55" t="str">
        <f t="shared" si="98"/>
        <v>2026-05</v>
      </c>
      <c r="S527" s="55">
        <f>IF(OR($B527="",$F527="",$R527=""),"",SUMIFS(tblIssues[Qty Issued],tblIssues[Staff ID],$B527,tblIssues[Item Name],$F527,tblIssues[Month],$R527))</f>
        <v>1</v>
      </c>
      <c r="T527" s="56">
        <f>IF($I527="","",$I527*Settings!$C$11)</f>
        <v>1</v>
      </c>
      <c r="U527" s="57" t="str">
        <f t="shared" si="96"/>
        <v>OK</v>
      </c>
      <c r="V527" s="55" t="str">
        <f t="shared" si="99"/>
        <v/>
      </c>
      <c r="W527" s="55" t="str">
        <f>IF($V527="","",IF(COUNTIF($V$5:$V527,$V527)=1,1,""))</f>
        <v/>
      </c>
      <c r="X527" s="58" t="str">
        <f>IF($W527="","",MAX($X$4:X526)+1)</f>
        <v/>
      </c>
      <c r="Y527" s="62"/>
      <c r="Z527" s="62"/>
      <c r="AA527" s="64" t="str">
        <f>IF($C527="","",IFERROR(INDEX('Staff Directory'!$E$5:$E$594,MATCH($C527,'Staff Directory'!$B$5:$B$594,0)),""))</f>
        <v>firstname060.lastname060@example.com</v>
      </c>
      <c r="AB527" s="64" t="str">
        <f>IF($C527="","",IF(ISNUMBER(SEARCH($D527,Settings!$C$15)),"Pickup","Dispatch"))</f>
        <v>Dispatch</v>
      </c>
      <c r="AC527" s="64" t="str">
        <f t="shared" si="100"/>
        <v>Supply order dispatched</v>
      </c>
      <c r="AD527" s="64" t="str">
        <f t="shared" si="91"/>
        <v>Dear RN,
Your order has been dispatched and is in transit. Reply if undelivered.</v>
      </c>
      <c r="AE527" s="64" t="str">
        <f t="shared" si="92"/>
        <v>mailto:firstname060.lastname060@example.com?subject=Supply%20order%20dispatched&amp;body=Dear%20RN%2C%0A%0AYour%20order%20has%20been%20dispatched%20and%20is%20in%20transit.%20Reply%20if%20undelivered.</v>
      </c>
      <c r="AF527" s="89" t="str">
        <f t="shared" si="101"/>
        <v>Draft email</v>
      </c>
      <c r="AG527" s="64" t="str">
        <f>IF($C527="","",IFERROR(INDEX('Staff Directory'!$K$595:$K$599,MATCH($C527,'Staff Directory'!$B$5:$B$599,0)),$D527))</f>
        <v>RN</v>
      </c>
      <c r="AH527" t="str">
        <f>IF($C527="","",IFERROR(INDEX('Staff Directory'!$I$595:$I$599,MATCH($C527,'Staff Directory'!$B$5:$B$599,0))&amp;" "&amp;INDEX('Staff Directory'!$J$595:$J$599,MATCH($C527,'Staff Directory'!$B$5:$B$599,0)),$AG527))</f>
        <v>RN</v>
      </c>
      <c r="AI527" s="102"/>
      <c r="AJ527" s="101">
        <f>IF($F527="","",SUMIFS($J$5:$J527,$F$5:$F527,$F527))</f>
        <v>1</v>
      </c>
      <c r="AK527" s="101">
        <f t="shared" si="93"/>
        <v>1</v>
      </c>
      <c r="AL527" s="66" t="str" cm="1">
        <f t="array" ref="AL527">IF($F527="","",IFERROR(INDEX('Lot Balance'!$B$5:$B$500,MATCH(1,INDEX(('Lot Balance'!$A$5:$A$500=$F527)*('Lot Balance'!$K$5:$K$500&lt;$AK527)*('Lot Balance'!$K$5:$K$500+'Lot Balance'!$D$5:$D$500&gt;=$AK527),0),0)),""))</f>
        <v/>
      </c>
      <c r="AM527" s="66" t="str" cm="1">
        <f t="array" ref="AM527">IF($F527="","",IFERROR(INDEX('Lot Balance'!$B$5:$B$500,MATCH(1,INDEX(('Lot Balance'!$A$5:$A$500=$F527)*('Lot Balance'!$K$5:$K$500&lt;$AJ527)*('Lot Balance'!$K$5:$K$500+'Lot Balance'!$D$5:$D$500&gt;=$AJ527),0),0)),""))</f>
        <v/>
      </c>
      <c r="AN527" s="66" t="str">
        <f>IF($F527="","",IF($AI527&lt;&gt;"",IF(COUNTIFS('Lot Balance'!$A$5:$A$500,$F527,'Lot Balance'!$B$5:$B$500,$AI527)=0,"⚠ override is not a lot of this item",IF($AI527=$AL527,"Override = FEFO","Override - FEFO says "&amp;$AL527)),IF($AL527="","⚠ no receipt on file for this item",IF($AM527&lt;&gt;$AL527,"FEFO auto - split, also "&amp;$AM527,"FEFO auto"))))</f>
        <v>⚠ no receipt on file for this item</v>
      </c>
      <c r="AO527" s="114"/>
    </row>
    <row r="528" spans="1:41" x14ac:dyDescent="0.35">
      <c r="A528" s="74">
        <v>46146</v>
      </c>
      <c r="B528" s="18" t="str">
        <f>IF($C528="","",IFERROR(INDEX('Staff Directory'!$A$5:$A$594,MATCH($C528,'Staff Directory'!$B$5:$B$594,0)),"⚠ unknown staff"))</f>
        <v>RN-051-A2</v>
      </c>
      <c r="C528" s="49" t="s">
        <v>976</v>
      </c>
      <c r="D528" s="19" t="str">
        <f>IF($B528="","",IFERROR(INDEX('Staff Directory'!$C$5:$C$594,MATCH($B528,'Staff Directory'!$A$5:$A$594,0)),""))</f>
        <v>RN</v>
      </c>
      <c r="E528" s="19" t="str">
        <f>IF($B528="","",IFERROR(INDEX('Staff Directory'!$D$5:$D$594,MATCH($B528,'Staff Directory'!$A$5:$A$594,0)),""))</f>
        <v>A2</v>
      </c>
      <c r="F528" s="9" t="s">
        <v>741</v>
      </c>
      <c r="G528" s="18" t="str">
        <f>IF($F528="","",IFERROR(INDEX(Items!$B$5:$B$597,MATCH($F528,Items!$A$5:$A$597,0)),"⚠ not in Items"))</f>
        <v>Device</v>
      </c>
      <c r="H528" s="19" t="str">
        <f>IF($F528="","",IFERROR(INDEX(Items!$C$5:$C$597,MATCH($F528,Items!$A$5:$A$597,0)),""))</f>
        <v>Standard</v>
      </c>
      <c r="I528" s="23">
        <f>IF($F528="","",IFERROR(INDEX(Items!$E$5:$E$597,MATCH($F528,Items!$A$5:$A$597,0)),""))</f>
        <v>1</v>
      </c>
      <c r="J528" s="115">
        <f>IF(tblIssues[[#This Row],[Qty Override]]&lt;&gt;"",tblIssues[[#This Row],[Qty Override]],IF(tblIssues[[#This Row],[Standard Issue]]="","",tblIssues[[#This Row],[Standard Issue]]))</f>
        <v>1</v>
      </c>
      <c r="K528" s="20">
        <f>IF($F528="","",IFERROR(INDEX(Items!$D$5:$D$597,MATCH($F528,Items!$A$5:$A$597,0)),""))</f>
        <v>8</v>
      </c>
      <c r="L528" s="21">
        <f t="shared" si="94"/>
        <v>8</v>
      </c>
      <c r="M528" s="9" t="str">
        <f t="shared" si="95"/>
        <v>Therm-1</v>
      </c>
      <c r="N528" s="24">
        <f>IF($A528="","",WORKDAY($A528,Settings!$C$9,HolidayDates))</f>
        <v>46154</v>
      </c>
      <c r="O528" s="24">
        <f>IF($N528="","",WORKDAY($N528,Settings!$C$10,HolidayDates))</f>
        <v>46192</v>
      </c>
      <c r="P528" s="10" t="s">
        <v>751</v>
      </c>
      <c r="Q528" s="52" t="str">
        <f t="shared" si="97"/>
        <v>Collected</v>
      </c>
      <c r="R528" s="55" t="str">
        <f t="shared" si="98"/>
        <v>2026-05</v>
      </c>
      <c r="S528" s="55">
        <f>IF(OR($B528="",$F528="",$R528=""),"",SUMIFS(tblIssues[Qty Issued],tblIssues[Staff ID],$B528,tblIssues[Item Name],$F528,tblIssues[Month],$R528))</f>
        <v>1</v>
      </c>
      <c r="T528" s="56">
        <f>IF($I528="","",$I528*Settings!$C$11)</f>
        <v>1</v>
      </c>
      <c r="U528" s="57" t="str">
        <f t="shared" si="96"/>
        <v>OK</v>
      </c>
      <c r="V528" s="55" t="str">
        <f t="shared" si="99"/>
        <v/>
      </c>
      <c r="W528" s="55" t="str">
        <f>IF($V528="","",IF(COUNTIF($V$5:$V528,$V528)=1,1,""))</f>
        <v/>
      </c>
      <c r="X528" s="58" t="str">
        <f>IF($W528="","",MAX($X$4:X527)+1)</f>
        <v/>
      </c>
      <c r="Y528" s="62"/>
      <c r="Z528" s="62"/>
      <c r="AA528" s="64" t="str">
        <f>IF($C528="","",IFERROR(INDEX('Staff Directory'!$E$5:$E$594,MATCH($C528,'Staff Directory'!$B$5:$B$594,0)),""))</f>
        <v>firstname060.lastname060@example.com</v>
      </c>
      <c r="AB528" s="64" t="str">
        <f>IF($C528="","",IF(ISNUMBER(SEARCH($D528,Settings!$C$15)),"Pickup","Dispatch"))</f>
        <v>Dispatch</v>
      </c>
      <c r="AC528" s="64" t="str">
        <f t="shared" si="100"/>
        <v>Supply order dispatched</v>
      </c>
      <c r="AD528" s="64" t="str">
        <f t="shared" si="91"/>
        <v>Dear RN,
Your order has been dispatched and is in transit. Reply if undelivered.</v>
      </c>
      <c r="AE528" s="64" t="str">
        <f t="shared" si="92"/>
        <v>mailto:firstname060.lastname060@example.com?subject=Supply%20order%20dispatched&amp;body=Dear%20RN%2C%0A%0AYour%20order%20has%20been%20dispatched%20and%20is%20in%20transit.%20Reply%20if%20undelivered.</v>
      </c>
      <c r="AF528" s="89" t="str">
        <f t="shared" si="101"/>
        <v>Draft email</v>
      </c>
      <c r="AG528" s="64" t="str">
        <f>IF($C528="","",IFERROR(INDEX('Staff Directory'!$K$595:$K$599,MATCH($C528,'Staff Directory'!$B$5:$B$599,0)),$D528))</f>
        <v>RN</v>
      </c>
      <c r="AH528" t="str">
        <f>IF($C528="","",IFERROR(INDEX('Staff Directory'!$I$595:$I$599,MATCH($C528,'Staff Directory'!$B$5:$B$599,0))&amp;" "&amp;INDEX('Staff Directory'!$J$595:$J$599,MATCH($C528,'Staff Directory'!$B$5:$B$599,0)),$AG528))</f>
        <v>RN</v>
      </c>
      <c r="AI528" s="102"/>
      <c r="AJ528" s="101">
        <f>IF($F528="","",SUMIFS($J$5:$J528,$F$5:$F528,$F528))</f>
        <v>1</v>
      </c>
      <c r="AK528" s="101">
        <f t="shared" si="93"/>
        <v>1</v>
      </c>
      <c r="AL528" s="66" t="str" cm="1">
        <f t="array" ref="AL528">IF($F528="","",IFERROR(INDEX('Lot Balance'!$B$5:$B$500,MATCH(1,INDEX(('Lot Balance'!$A$5:$A$500=$F528)*('Lot Balance'!$K$5:$K$500&lt;$AK528)*('Lot Balance'!$K$5:$K$500+'Lot Balance'!$D$5:$D$500&gt;=$AK528),0),0)),""))</f>
        <v>Therm-1</v>
      </c>
      <c r="AM528" s="66" t="str" cm="1">
        <f t="array" ref="AM528">IF($F528="","",IFERROR(INDEX('Lot Balance'!$B$5:$B$500,MATCH(1,INDEX(('Lot Balance'!$A$5:$A$500=$F528)*('Lot Balance'!$K$5:$K$500&lt;$AJ528)*('Lot Balance'!$K$5:$K$500+'Lot Balance'!$D$5:$D$500&gt;=$AJ528),0),0)),""))</f>
        <v>Therm-1</v>
      </c>
      <c r="AN528" s="66" t="str">
        <f>IF($F528="","",IF($AI528&lt;&gt;"",IF(COUNTIFS('Lot Balance'!$A$5:$A$500,$F528,'Lot Balance'!$B$5:$B$500,$AI528)=0,"⚠ override is not a lot of this item",IF($AI528=$AL528,"Override = FEFO","Override - FEFO says "&amp;$AL528)),IF($AL528="","⚠ no receipt on file for this item",IF($AM528&lt;&gt;$AL528,"FEFO auto - split, also "&amp;$AM528,"FEFO auto"))))</f>
        <v>FEFO auto</v>
      </c>
      <c r="AO528" s="114"/>
    </row>
    <row r="529" spans="1:41" x14ac:dyDescent="0.35">
      <c r="A529" s="74">
        <v>46146</v>
      </c>
      <c r="B529" s="18" t="str">
        <f>IF($C529="","",IFERROR(INDEX('Staff Directory'!$A$5:$A$594,MATCH($C529,'Staff Directory'!$B$5:$B$594,0)),"⚠ unknown staff"))</f>
        <v>RN-051-A2</v>
      </c>
      <c r="C529" s="49" t="s">
        <v>976</v>
      </c>
      <c r="D529" s="19" t="str">
        <f>IF($B529="","",IFERROR(INDEX('Staff Directory'!$C$5:$C$594,MATCH($B529,'Staff Directory'!$A$5:$A$594,0)),""))</f>
        <v>RN</v>
      </c>
      <c r="E529" s="19" t="str">
        <f>IF($B529="","",IFERROR(INDEX('Staff Directory'!$D$5:$D$594,MATCH($B529,'Staff Directory'!$A$5:$A$594,0)),""))</f>
        <v>A2</v>
      </c>
      <c r="F529" s="9" t="s">
        <v>742</v>
      </c>
      <c r="G529" s="18" t="str">
        <f>IF($F529="","",IFERROR(INDEX(Items!$B$5:$B$597,MATCH($F529,Items!$A$5:$A$597,0)),"⚠ not in Items"))</f>
        <v>Device</v>
      </c>
      <c r="H529" s="19" t="str">
        <f>IF($F529="","",IFERROR(INDEX(Items!$C$5:$C$597,MATCH($F529,Items!$A$5:$A$597,0)),""))</f>
        <v>Standard</v>
      </c>
      <c r="I529" s="23">
        <f>IF($F529="","",IFERROR(INDEX(Items!$E$5:$E$597,MATCH($F529,Items!$A$5:$A$597,0)),""))</f>
        <v>1</v>
      </c>
      <c r="J529" s="115">
        <f>IF(tblIssues[[#This Row],[Qty Override]]&lt;&gt;"",tblIssues[[#This Row],[Qty Override]],IF(tblIssues[[#This Row],[Standard Issue]]="","",tblIssues[[#This Row],[Standard Issue]]))</f>
        <v>1</v>
      </c>
      <c r="K529" s="20">
        <f>IF($F529="","",IFERROR(INDEX(Items!$D$5:$D$597,MATCH($F529,Items!$A$5:$A$597,0)),""))</f>
        <v>12</v>
      </c>
      <c r="L529" s="21">
        <f t="shared" si="94"/>
        <v>12</v>
      </c>
      <c r="M529" s="9" t="str">
        <f t="shared" si="95"/>
        <v>Steth-1</v>
      </c>
      <c r="N529" s="24">
        <f>IF($A529="","",WORKDAY($A529,Settings!$C$9,HolidayDates))</f>
        <v>46154</v>
      </c>
      <c r="O529" s="24">
        <f>IF($N529="","",WORKDAY($N529,Settings!$C$10,HolidayDates))</f>
        <v>46192</v>
      </c>
      <c r="P529" s="10" t="s">
        <v>751</v>
      </c>
      <c r="Q529" s="52" t="str">
        <f t="shared" si="97"/>
        <v>Collected</v>
      </c>
      <c r="R529" s="55" t="str">
        <f t="shared" si="98"/>
        <v>2026-05</v>
      </c>
      <c r="S529" s="55">
        <f>IF(OR($B529="",$F529="",$R529=""),"",SUMIFS(tblIssues[Qty Issued],tblIssues[Staff ID],$B529,tblIssues[Item Name],$F529,tblIssues[Month],$R529))</f>
        <v>1</v>
      </c>
      <c r="T529" s="56">
        <f>IF($I529="","",$I529*Settings!$C$11)</f>
        <v>1</v>
      </c>
      <c r="U529" s="57" t="str">
        <f t="shared" si="96"/>
        <v>OK</v>
      </c>
      <c r="V529" s="55" t="str">
        <f t="shared" si="99"/>
        <v/>
      </c>
      <c r="W529" s="55" t="str">
        <f>IF($V529="","",IF(COUNTIF($V$5:$V529,$V529)=1,1,""))</f>
        <v/>
      </c>
      <c r="X529" s="58" t="str">
        <f>IF($W529="","",MAX($X$4:X528)+1)</f>
        <v/>
      </c>
      <c r="Y529" s="62"/>
      <c r="Z529" s="62"/>
      <c r="AA529" s="64" t="str">
        <f>IF($C529="","",IFERROR(INDEX('Staff Directory'!$E$5:$E$594,MATCH($C529,'Staff Directory'!$B$5:$B$594,0)),""))</f>
        <v>firstname060.lastname060@example.com</v>
      </c>
      <c r="AB529" s="64" t="str">
        <f>IF($C529="","",IF(ISNUMBER(SEARCH($D529,Settings!$C$15)),"Pickup","Dispatch"))</f>
        <v>Dispatch</v>
      </c>
      <c r="AC529" s="64" t="str">
        <f t="shared" si="100"/>
        <v>Supply order dispatched</v>
      </c>
      <c r="AD529" s="64" t="str">
        <f t="shared" si="91"/>
        <v>Dear RN,
Your order has been dispatched and is in transit. Reply if undelivered.</v>
      </c>
      <c r="AE529" s="64" t="str">
        <f t="shared" si="92"/>
        <v>mailto:firstname060.lastname060@example.com?subject=Supply%20order%20dispatched&amp;body=Dear%20RN%2C%0A%0AYour%20order%20has%20been%20dispatched%20and%20is%20in%20transit.%20Reply%20if%20undelivered.</v>
      </c>
      <c r="AF529" s="89" t="str">
        <f t="shared" si="101"/>
        <v>Draft email</v>
      </c>
      <c r="AG529" s="64" t="str">
        <f>IF($C529="","",IFERROR(INDEX('Staff Directory'!$K$595:$K$599,MATCH($C529,'Staff Directory'!$B$5:$B$599,0)),$D529))</f>
        <v>RN</v>
      </c>
      <c r="AH529" t="str">
        <f>IF($C529="","",IFERROR(INDEX('Staff Directory'!$I$595:$I$599,MATCH($C529,'Staff Directory'!$B$5:$B$599,0))&amp;" "&amp;INDEX('Staff Directory'!$J$595:$J$599,MATCH($C529,'Staff Directory'!$B$5:$B$599,0)),$AG529))</f>
        <v>RN</v>
      </c>
      <c r="AI529" s="102"/>
      <c r="AJ529" s="101">
        <f>IF($F529="","",SUMIFS($J$5:$J529,$F$5:$F529,$F529))</f>
        <v>1</v>
      </c>
      <c r="AK529" s="101">
        <f t="shared" si="93"/>
        <v>1</v>
      </c>
      <c r="AL529" s="66" t="str" cm="1">
        <f t="array" ref="AL529">IF($F529="","",IFERROR(INDEX('Lot Balance'!$B$5:$B$500,MATCH(1,INDEX(('Lot Balance'!$A$5:$A$500=$F529)*('Lot Balance'!$K$5:$K$500&lt;$AK529)*('Lot Balance'!$K$5:$K$500+'Lot Balance'!$D$5:$D$500&gt;=$AK529),0),0)),""))</f>
        <v>Steth-1</v>
      </c>
      <c r="AM529" s="66" t="str" cm="1">
        <f t="array" ref="AM529">IF($F529="","",IFERROR(INDEX('Lot Balance'!$B$5:$B$500,MATCH(1,INDEX(('Lot Balance'!$A$5:$A$500=$F529)*('Lot Balance'!$K$5:$K$500&lt;$AJ529)*('Lot Balance'!$K$5:$K$500+'Lot Balance'!$D$5:$D$500&gt;=$AJ529),0),0)),""))</f>
        <v>Steth-1</v>
      </c>
      <c r="AN529" s="66" t="str">
        <f>IF($F529="","",IF($AI529&lt;&gt;"",IF(COUNTIFS('Lot Balance'!$A$5:$A$500,$F529,'Lot Balance'!$B$5:$B$500,$AI529)=0,"⚠ override is not a lot of this item",IF($AI529=$AL529,"Override = FEFO","Override - FEFO says "&amp;$AL529)),IF($AL529="","⚠ no receipt on file for this item",IF($AM529&lt;&gt;$AL529,"FEFO auto - split, also "&amp;$AM529,"FEFO auto"))))</f>
        <v>FEFO auto</v>
      </c>
      <c r="AO529" s="114"/>
    </row>
    <row r="530" spans="1:41" x14ac:dyDescent="0.35">
      <c r="A530" s="74">
        <v>46146</v>
      </c>
      <c r="B530" s="18" t="str">
        <f>IF($C530="","",IFERROR(INDEX('Staff Directory'!$A$5:$A$594,MATCH($C530,'Staff Directory'!$B$5:$B$594,0)),"⚠ unknown staff"))</f>
        <v>PSW-047-A5</v>
      </c>
      <c r="C530" s="49" t="s">
        <v>1023</v>
      </c>
      <c r="D530" s="19" t="str">
        <f>IF($B530="","",IFERROR(INDEX('Staff Directory'!$C$5:$C$594,MATCH($B530,'Staff Directory'!$A$5:$A$594,0)),""))</f>
        <v>PSW</v>
      </c>
      <c r="E530" s="19" t="str">
        <f>IF($B530="","",IFERROR(INDEX('Staff Directory'!$D$5:$D$594,MATCH($B530,'Staff Directory'!$A$5:$A$594,0)),""))</f>
        <v>A5</v>
      </c>
      <c r="F530" s="9" t="s">
        <v>127</v>
      </c>
      <c r="G530" s="18" t="str">
        <f>IF($F530="","",IFERROR(INDEX(Items!$B$5:$B$597,MATCH($F530,Items!$A$5:$A$597,0)),"⚠ not in Items"))</f>
        <v>Gloves</v>
      </c>
      <c r="H530" s="19" t="str">
        <f>IF($F530="","",IFERROR(INDEX(Items!$C$5:$C$597,MATCH($F530,Items!$A$5:$A$597,0)),""))</f>
        <v>Medium</v>
      </c>
      <c r="I530" s="23">
        <f>IF($F530="","",IFERROR(INDEX(Items!$E$5:$E$597,MATCH($F530,Items!$A$5:$A$597,0)),""))</f>
        <v>500</v>
      </c>
      <c r="J530" s="115">
        <f>IF(tblIssues[[#This Row],[Qty Override]]&lt;&gt;"",tblIssues[[#This Row],[Qty Override]],IF(tblIssues[[#This Row],[Standard Issue]]="","",tblIssues[[#This Row],[Standard Issue]]))</f>
        <v>500</v>
      </c>
      <c r="K530" s="20">
        <f>IF($F530="","",IFERROR(INDEX(Items!$D$5:$D$597,MATCH($F530,Items!$A$5:$A$597,0)),""))</f>
        <v>5.5E-2</v>
      </c>
      <c r="L530" s="21">
        <f t="shared" si="94"/>
        <v>27.5</v>
      </c>
      <c r="M530" s="9" t="str">
        <f t="shared" si="95"/>
        <v>ZIM504126040-2</v>
      </c>
      <c r="N530" s="24">
        <f>IF($A530="","",WORKDAY($A530,Settings!$C$9,HolidayDates))</f>
        <v>46154</v>
      </c>
      <c r="O530" s="24">
        <f>IF($N530="","",WORKDAY($N530,Settings!$C$10,HolidayDates))</f>
        <v>46192</v>
      </c>
      <c r="P530" s="10" t="s">
        <v>501</v>
      </c>
      <c r="Q530" s="52" t="str">
        <f t="shared" si="97"/>
        <v>Collected</v>
      </c>
      <c r="R530" s="55" t="str">
        <f t="shared" si="98"/>
        <v>2026-05</v>
      </c>
      <c r="S530" s="55">
        <f>IF(OR($B530="",$F530="",$R530=""),"",SUMIFS(tblIssues[Qty Issued],tblIssues[Staff ID],$B530,tblIssues[Item Name],$F530,tblIssues[Month],$R530))</f>
        <v>500</v>
      </c>
      <c r="T530" s="56">
        <f>IF($I530="","",$I530*Settings!$C$11)</f>
        <v>500</v>
      </c>
      <c r="U530" s="57" t="str">
        <f t="shared" si="96"/>
        <v>OK</v>
      </c>
      <c r="V530" s="55" t="str">
        <f t="shared" si="99"/>
        <v/>
      </c>
      <c r="W530" s="55" t="str">
        <f>IF($V530="","",IF(COUNTIF($V$5:$V530,$V530)=1,1,""))</f>
        <v/>
      </c>
      <c r="X530" s="58" t="str">
        <f>IF($W530="","",MAX($X$4:X529)+1)</f>
        <v/>
      </c>
      <c r="Y530" s="62"/>
      <c r="Z530" s="62"/>
      <c r="AA530" s="64" t="str">
        <f>IF($C530="","",IFERROR(INDEX('Staff Directory'!$E$5:$E$594,MATCH($C530,'Staff Directory'!$B$5:$B$594,0)),""))</f>
        <v>firstname107.lastname107@example.com</v>
      </c>
      <c r="AB530" s="64" t="str">
        <f>IF($C530="","",IF(ISNUMBER(SEARCH($D530,Settings!$C$15)),"Pickup","Dispatch"))</f>
        <v>Pickup</v>
      </c>
      <c r="AC530" s="64" t="str">
        <f t="shared" si="100"/>
        <v>Supply order ready for pickup</v>
      </c>
      <c r="AD530" s="64" t="str">
        <f t="shared" si="91"/>
        <v>Dear PSW,
Your order is ready for pickup from Sample Branch, Wed-Fri 9am-4pm.</v>
      </c>
      <c r="AE530" s="64" t="str">
        <f t="shared" si="92"/>
        <v>mailto:firstname107.lastname107@example.com?subject=Supply%20order%20ready%20for%20pickup&amp;body=Dear%20PSW%2C%0A%0AYour%20order%20is%20ready%20for%20pickup%20from%20Sample%20Branch%2C%20Wed-Fri%209am-4pm.</v>
      </c>
      <c r="AF530" s="89" t="str">
        <f t="shared" si="101"/>
        <v>Draft email</v>
      </c>
      <c r="AG530" s="64" t="str">
        <f>IF($C530="","",IFERROR(INDEX('Staff Directory'!$K$595:$K$599,MATCH($C530,'Staff Directory'!$B$5:$B$599,0)),$D530))</f>
        <v>PSW</v>
      </c>
      <c r="AH530" t="str">
        <f>IF($C530="","",IFERROR(INDEX('Staff Directory'!$I$595:$I$599,MATCH($C530,'Staff Directory'!$B$5:$B$599,0))&amp;" "&amp;INDEX('Staff Directory'!$J$595:$J$599,MATCH($C530,'Staff Directory'!$B$5:$B$599,0)),$AG530))</f>
        <v>PSW</v>
      </c>
      <c r="AI530" s="102"/>
      <c r="AJ530" s="101">
        <f>IF($F530="","",SUMIFS($J$5:$J530,$F$5:$F530,$F530))</f>
        <v>29500</v>
      </c>
      <c r="AK530" s="101">
        <f t="shared" si="93"/>
        <v>29001</v>
      </c>
      <c r="AL530" s="66" t="str" cm="1">
        <f t="array" ref="AL530">IF($F530="","",IFERROR(INDEX('Lot Balance'!$B$5:$B$500,MATCH(1,INDEX(('Lot Balance'!$A$5:$A$500=$F530)*('Lot Balance'!$K$5:$K$500&lt;$AK530)*('Lot Balance'!$K$5:$K$500+'Lot Balance'!$D$5:$D$500&gt;=$AK530),0),0)),""))</f>
        <v>ZIM504126040-2</v>
      </c>
      <c r="AM530" s="66" t="str" cm="1">
        <f t="array" ref="AM530">IF($F530="","",IFERROR(INDEX('Lot Balance'!$B$5:$B$500,MATCH(1,INDEX(('Lot Balance'!$A$5:$A$500=$F530)*('Lot Balance'!$K$5:$K$500&lt;$AJ530)*('Lot Balance'!$K$5:$K$500+'Lot Balance'!$D$5:$D$500&gt;=$AJ530),0),0)),""))</f>
        <v>ZIM504126040-2</v>
      </c>
      <c r="AN530" s="66" t="str">
        <f>IF($F530="","",IF($AI530&lt;&gt;"",IF(COUNTIFS('Lot Balance'!$A$5:$A$500,$F530,'Lot Balance'!$B$5:$B$500,$AI530)=0,"⚠ override is not a lot of this item",IF($AI530=$AL530,"Override = FEFO","Override - FEFO says "&amp;$AL530)),IF($AL530="","⚠ no receipt on file for this item",IF($AM530&lt;&gt;$AL530,"FEFO auto - split, also "&amp;$AM530,"FEFO auto"))))</f>
        <v>FEFO auto</v>
      </c>
      <c r="AO530" s="114"/>
    </row>
    <row r="531" spans="1:41" x14ac:dyDescent="0.35">
      <c r="A531" s="74">
        <v>46147</v>
      </c>
      <c r="B531" s="18" t="str">
        <f>IF($C531="","",IFERROR(INDEX('Staff Directory'!$A$5:$A$594,MATCH($C531,'Staff Directory'!$B$5:$B$594,0)),"⚠ unknown staff"))</f>
        <v>PSW-137-A6</v>
      </c>
      <c r="C531" s="49" t="s">
        <v>1116</v>
      </c>
      <c r="D531" s="19" t="str">
        <f>IF($B531="","",IFERROR(INDEX('Staff Directory'!$C$5:$C$594,MATCH($B531,'Staff Directory'!$A$5:$A$594,0)),""))</f>
        <v>PSW</v>
      </c>
      <c r="E531" s="19" t="str">
        <f>IF($B531="","",IFERROR(INDEX('Staff Directory'!$D$5:$D$594,MATCH($B531,'Staff Directory'!$A$5:$A$594,0)),""))</f>
        <v>A6</v>
      </c>
      <c r="F531" s="9" t="s">
        <v>127</v>
      </c>
      <c r="G531" s="18" t="str">
        <f>IF($F531="","",IFERROR(INDEX(Items!$B$5:$B$597,MATCH($F531,Items!$A$5:$A$597,0)),"⚠ not in Items"))</f>
        <v>Gloves</v>
      </c>
      <c r="H531" s="19" t="str">
        <f>IF($F531="","",IFERROR(INDEX(Items!$C$5:$C$597,MATCH($F531,Items!$A$5:$A$597,0)),""))</f>
        <v>Medium</v>
      </c>
      <c r="I531" s="23">
        <f>IF($F531="","",IFERROR(INDEX(Items!$E$5:$E$597,MATCH($F531,Items!$A$5:$A$597,0)),""))</f>
        <v>500</v>
      </c>
      <c r="J531" s="115">
        <f>IF(tblIssues[[#This Row],[Qty Override]]&lt;&gt;"",tblIssues[[#This Row],[Qty Override]],IF(tblIssues[[#This Row],[Standard Issue]]="","",tblIssues[[#This Row],[Standard Issue]]))</f>
        <v>500</v>
      </c>
      <c r="K531" s="20">
        <f>IF($F531="","",IFERROR(INDEX(Items!$D$5:$D$597,MATCH($F531,Items!$A$5:$A$597,0)),""))</f>
        <v>5.5E-2</v>
      </c>
      <c r="L531" s="21">
        <f t="shared" si="94"/>
        <v>27.5</v>
      </c>
      <c r="M531" s="9" t="str">
        <f t="shared" si="95"/>
        <v>ZIM504126040-2</v>
      </c>
      <c r="N531" s="24">
        <f>IF($A531="","",WORKDAY($A531,Settings!$C$9,HolidayDates))</f>
        <v>46155</v>
      </c>
      <c r="O531" s="24">
        <f>IF($N531="","",WORKDAY($N531,Settings!$C$10,HolidayDates))</f>
        <v>46195</v>
      </c>
      <c r="P531" s="10" t="s">
        <v>501</v>
      </c>
      <c r="Q531" s="52" t="str">
        <f t="shared" si="97"/>
        <v>Collected</v>
      </c>
      <c r="R531" s="55" t="str">
        <f t="shared" si="98"/>
        <v>2026-05</v>
      </c>
      <c r="S531" s="55">
        <f>IF(OR($B531="",$F531="",$R531=""),"",SUMIFS(tblIssues[Qty Issued],tblIssues[Staff ID],$B531,tblIssues[Item Name],$F531,tblIssues[Month],$R531))</f>
        <v>500</v>
      </c>
      <c r="T531" s="56">
        <f>IF($I531="","",$I531*Settings!$C$11)</f>
        <v>500</v>
      </c>
      <c r="U531" s="57" t="str">
        <f t="shared" si="96"/>
        <v>OK</v>
      </c>
      <c r="V531" s="55" t="str">
        <f t="shared" si="99"/>
        <v/>
      </c>
      <c r="W531" s="55" t="str">
        <f>IF($V531="","",IF(COUNTIF($V$5:$V531,$V531)=1,1,""))</f>
        <v/>
      </c>
      <c r="X531" s="58" t="str">
        <f>IF($W531="","",MAX($X$4:X530)+1)</f>
        <v/>
      </c>
      <c r="Y531" s="62"/>
      <c r="Z531" s="62"/>
      <c r="AA531" s="64" t="str">
        <f>IF($C531="","",IFERROR(INDEX('Staff Directory'!$E$5:$E$594,MATCH($C531,'Staff Directory'!$B$5:$B$594,0)),""))</f>
        <v>firstname200.lastname200@example.com</v>
      </c>
      <c r="AB531" s="64" t="str">
        <f>IF($C531="","",IF(ISNUMBER(SEARCH($D531,Settings!$C$15)),"Pickup","Dispatch"))</f>
        <v>Pickup</v>
      </c>
      <c r="AC531" s="64" t="str">
        <f t="shared" si="100"/>
        <v>Supply order ready for pickup</v>
      </c>
      <c r="AD531" s="64" t="str">
        <f t="shared" si="91"/>
        <v>Dear PSW,
Your order is ready for pickup from Sample Branch, Wed-Fri 9am-4pm.</v>
      </c>
      <c r="AE531" s="64" t="str">
        <f t="shared" si="92"/>
        <v>mailto:firstname200.lastname200@example.com?subject=Supply%20order%20ready%20for%20pickup&amp;body=Dear%20PSW%2C%0A%0AYour%20order%20is%20ready%20for%20pickup%20from%20Sample%20Branch%2C%20Wed-Fri%209am-4pm.</v>
      </c>
      <c r="AF531" s="89" t="str">
        <f t="shared" si="101"/>
        <v>Draft email</v>
      </c>
      <c r="AG531" s="64" t="str">
        <f>IF($C531="","",IFERROR(INDEX('Staff Directory'!$K$595:$K$599,MATCH($C531,'Staff Directory'!$B$5:$B$599,0)),$D531))</f>
        <v>PSW</v>
      </c>
      <c r="AH531" t="str">
        <f>IF($C531="","",IFERROR(INDEX('Staff Directory'!$I$595:$I$599,MATCH($C531,'Staff Directory'!$B$5:$B$599,0))&amp;" "&amp;INDEX('Staff Directory'!$J$595:$J$599,MATCH($C531,'Staff Directory'!$B$5:$B$599,0)),$AG531))</f>
        <v>PSW</v>
      </c>
      <c r="AI531" s="102"/>
      <c r="AJ531" s="101">
        <f>IF($F531="","",SUMIFS($J$5:$J531,$F$5:$F531,$F531))</f>
        <v>30000</v>
      </c>
      <c r="AK531" s="101">
        <f t="shared" si="93"/>
        <v>29501</v>
      </c>
      <c r="AL531" s="66" t="str" cm="1">
        <f t="array" ref="AL531">IF($F531="","",IFERROR(INDEX('Lot Balance'!$B$5:$B$500,MATCH(1,INDEX(('Lot Balance'!$A$5:$A$500=$F531)*('Lot Balance'!$K$5:$K$500&lt;$AK531)*('Lot Balance'!$K$5:$K$500+'Lot Balance'!$D$5:$D$500&gt;=$AK531),0),0)),""))</f>
        <v>ZIM504126040-2</v>
      </c>
      <c r="AM531" s="66" t="str" cm="1">
        <f t="array" ref="AM531">IF($F531="","",IFERROR(INDEX('Lot Balance'!$B$5:$B$500,MATCH(1,INDEX(('Lot Balance'!$A$5:$A$500=$F531)*('Lot Balance'!$K$5:$K$500&lt;$AJ531)*('Lot Balance'!$K$5:$K$500+'Lot Balance'!$D$5:$D$500&gt;=$AJ531),0),0)),""))</f>
        <v>ZIM504126040-2</v>
      </c>
      <c r="AN531" s="66" t="str">
        <f>IF($F531="","",IF($AI531&lt;&gt;"",IF(COUNTIFS('Lot Balance'!$A$5:$A$500,$F531,'Lot Balance'!$B$5:$B$500,$AI531)=0,"⚠ override is not a lot of this item",IF($AI531=$AL531,"Override = FEFO","Override - FEFO says "&amp;$AL531)),IF($AL531="","⚠ no receipt on file for this item",IF($AM531&lt;&gt;$AL531,"FEFO auto - split, also "&amp;$AM531,"FEFO auto"))))</f>
        <v>FEFO auto</v>
      </c>
      <c r="AO531" s="114"/>
    </row>
    <row r="532" spans="1:41" x14ac:dyDescent="0.35">
      <c r="A532" s="74">
        <v>46147</v>
      </c>
      <c r="B532" s="18" t="str">
        <f>IF($C532="","",IFERROR(INDEX('Staff Directory'!$A$5:$A$594,MATCH($C532,'Staff Directory'!$B$5:$B$594,0)),"⚠ unknown staff"))</f>
        <v>PSW-008-A6</v>
      </c>
      <c r="C532" s="49" t="s">
        <v>984</v>
      </c>
      <c r="D532" s="19" t="str">
        <f>IF($B532="","",IFERROR(INDEX('Staff Directory'!$C$5:$C$594,MATCH($B532,'Staff Directory'!$A$5:$A$594,0)),""))</f>
        <v>PSW</v>
      </c>
      <c r="E532" s="19" t="str">
        <f>IF($B532="","",IFERROR(INDEX('Staff Directory'!$D$5:$D$594,MATCH($B532,'Staff Directory'!$A$5:$A$594,0)),""))</f>
        <v>A6</v>
      </c>
      <c r="F532" s="9" t="s">
        <v>129</v>
      </c>
      <c r="G532" s="18" t="str">
        <f>IF($F532="","",IFERROR(INDEX(Items!$B$5:$B$597,MATCH($F532,Items!$A$5:$A$597,0)),"⚠ not in Items"))</f>
        <v>Gloves</v>
      </c>
      <c r="H532" s="19" t="str">
        <f>IF($F532="","",IFERROR(INDEX(Items!$C$5:$C$597,MATCH($F532,Items!$A$5:$A$597,0)),""))</f>
        <v>Small</v>
      </c>
      <c r="I532" s="23">
        <f>IF($F532="","",IFERROR(INDEX(Items!$E$5:$E$597,MATCH($F532,Items!$A$5:$A$597,0)),""))</f>
        <v>500</v>
      </c>
      <c r="J532" s="115">
        <f>IF(tblIssues[[#This Row],[Qty Override]]&lt;&gt;"",tblIssues[[#This Row],[Qty Override]],IF(tblIssues[[#This Row],[Standard Issue]]="","",tblIssues[[#This Row],[Standard Issue]]))</f>
        <v>500</v>
      </c>
      <c r="K532" s="20">
        <f>IF($F532="","",IFERROR(INDEX(Items!$D$5:$D$597,MATCH($F532,Items!$A$5:$A$597,0)),""))</f>
        <v>5.5E-2</v>
      </c>
      <c r="L532" s="21">
        <f t="shared" si="94"/>
        <v>27.5</v>
      </c>
      <c r="M532" s="9" t="str">
        <f t="shared" si="95"/>
        <v>O210LIC25</v>
      </c>
      <c r="N532" s="24">
        <f>IF($A532="","",WORKDAY($A532,Settings!$C$9,HolidayDates))</f>
        <v>46155</v>
      </c>
      <c r="O532" s="24">
        <f>IF($N532="","",WORKDAY($N532,Settings!$C$10,HolidayDates))</f>
        <v>46195</v>
      </c>
      <c r="P532" s="10" t="s">
        <v>501</v>
      </c>
      <c r="Q532" s="52" t="str">
        <f t="shared" si="97"/>
        <v>Collected</v>
      </c>
      <c r="R532" s="55" t="str">
        <f t="shared" si="98"/>
        <v>2026-05</v>
      </c>
      <c r="S532" s="55">
        <f>IF(OR($B532="",$F532="",$R532=""),"",SUMIFS(tblIssues[Qty Issued],tblIssues[Staff ID],$B532,tblIssues[Item Name],$F532,tblIssues[Month],$R532))</f>
        <v>500</v>
      </c>
      <c r="T532" s="56">
        <f>IF($I532="","",$I532*Settings!$C$11)</f>
        <v>500</v>
      </c>
      <c r="U532" s="57" t="str">
        <f t="shared" si="96"/>
        <v>OK</v>
      </c>
      <c r="V532" s="55" t="str">
        <f t="shared" si="99"/>
        <v/>
      </c>
      <c r="W532" s="55" t="str">
        <f>IF($V532="","",IF(COUNTIF($V$5:$V532,$V532)=1,1,""))</f>
        <v/>
      </c>
      <c r="X532" s="58" t="str">
        <f>IF($W532="","",MAX($X$4:X531)+1)</f>
        <v/>
      </c>
      <c r="Y532" s="62"/>
      <c r="Z532" s="62"/>
      <c r="AA532" s="64" t="str">
        <f>IF($C532="","",IFERROR(INDEX('Staff Directory'!$E$5:$E$594,MATCH($C532,'Staff Directory'!$B$5:$B$594,0)),""))</f>
        <v>firstname068.lastname068@example.com</v>
      </c>
      <c r="AB532" s="64" t="str">
        <f>IF($C532="","",IF(ISNUMBER(SEARCH($D532,Settings!$C$15)),"Pickup","Dispatch"))</f>
        <v>Pickup</v>
      </c>
      <c r="AC532" s="64" t="str">
        <f t="shared" si="100"/>
        <v>Supply order ready for pickup</v>
      </c>
      <c r="AD532" s="64" t="str">
        <f t="shared" si="91"/>
        <v>Dear PSW,
Your order is ready for pickup from Sample Branch, Wed-Fri 9am-4pm.</v>
      </c>
      <c r="AE532" s="64" t="str">
        <f t="shared" si="92"/>
        <v>mailto:firstname068.lastname068@example.com?subject=Supply%20order%20ready%20for%20pickup&amp;body=Dear%20PSW%2C%0A%0AYour%20order%20is%20ready%20for%20pickup%20from%20Sample%20Branch%2C%20Wed-Fri%209am-4pm.</v>
      </c>
      <c r="AF532" s="89" t="str">
        <f t="shared" si="101"/>
        <v>Draft email</v>
      </c>
      <c r="AG532" s="64" t="str">
        <f>IF($C532="","",IFERROR(INDEX('Staff Directory'!$K$595:$K$599,MATCH($C532,'Staff Directory'!$B$5:$B$599,0)),$D532))</f>
        <v>PSW</v>
      </c>
      <c r="AH532" t="str">
        <f>IF($C532="","",IFERROR(INDEX('Staff Directory'!$I$595:$I$599,MATCH($C532,'Staff Directory'!$B$5:$B$599,0))&amp;" "&amp;INDEX('Staff Directory'!$J$595:$J$599,MATCH($C532,'Staff Directory'!$B$5:$B$599,0)),$AG532))</f>
        <v>PSW</v>
      </c>
      <c r="AI532" s="102"/>
      <c r="AJ532" s="101">
        <f>IF($F532="","",SUMIFS($J$5:$J532,$F$5:$F532,$F532))</f>
        <v>19000</v>
      </c>
      <c r="AK532" s="101">
        <f t="shared" si="93"/>
        <v>18501</v>
      </c>
      <c r="AL532" s="66" t="str" cm="1">
        <f t="array" ref="AL532">IF($F532="","",IFERROR(INDEX('Lot Balance'!$B$5:$B$500,MATCH(1,INDEX(('Lot Balance'!$A$5:$A$500=$F532)*('Lot Balance'!$K$5:$K$500&lt;$AK532)*('Lot Balance'!$K$5:$K$500+'Lot Balance'!$D$5:$D$500&gt;=$AK532),0),0)),""))</f>
        <v>O210LIC25</v>
      </c>
      <c r="AM532" s="66" t="str" cm="1">
        <f t="array" ref="AM532">IF($F532="","",IFERROR(INDEX('Lot Balance'!$B$5:$B$500,MATCH(1,INDEX(('Lot Balance'!$A$5:$A$500=$F532)*('Lot Balance'!$K$5:$K$500&lt;$AJ532)*('Lot Balance'!$K$5:$K$500+'Lot Balance'!$D$5:$D$500&gt;=$AJ532),0),0)),""))</f>
        <v>O210LIC25</v>
      </c>
      <c r="AN532" s="66" t="str">
        <f>IF($F532="","",IF($AI532&lt;&gt;"",IF(COUNTIFS('Lot Balance'!$A$5:$A$500,$F532,'Lot Balance'!$B$5:$B$500,$AI532)=0,"⚠ override is not a lot of this item",IF($AI532=$AL532,"Override = FEFO","Override - FEFO says "&amp;$AL532)),IF($AL532="","⚠ no receipt on file for this item",IF($AM532&lt;&gt;$AL532,"FEFO auto - split, also "&amp;$AM532,"FEFO auto"))))</f>
        <v>FEFO auto</v>
      </c>
      <c r="AO532" s="114"/>
    </row>
    <row r="533" spans="1:41" x14ac:dyDescent="0.35">
      <c r="A533" s="74">
        <v>46147</v>
      </c>
      <c r="B533" s="18" t="str">
        <f>IF($C533="","",IFERROR(INDEX('Staff Directory'!$A$5:$A$594,MATCH($C533,'Staff Directory'!$B$5:$B$594,0)),"⚠ unknown staff"))</f>
        <v>PSW-008-A6</v>
      </c>
      <c r="C533" s="49" t="s">
        <v>984</v>
      </c>
      <c r="D533" s="19" t="str">
        <f>IF($B533="","",IFERROR(INDEX('Staff Directory'!$C$5:$C$594,MATCH($B533,'Staff Directory'!$A$5:$A$594,0)),""))</f>
        <v>PSW</v>
      </c>
      <c r="E533" s="19" t="str">
        <f>IF($B533="","",IFERROR(INDEX('Staff Directory'!$D$5:$D$594,MATCH($B533,'Staff Directory'!$A$5:$A$594,0)),""))</f>
        <v>A6</v>
      </c>
      <c r="F533" s="9" t="s">
        <v>115</v>
      </c>
      <c r="G533" s="18" t="str">
        <f>IF($F533="","",IFERROR(INDEX(Items!$B$5:$B$597,MATCH($F533,Items!$A$5:$A$597,0)),"⚠ not in Items"))</f>
        <v>Wipes</v>
      </c>
      <c r="H533" s="19">
        <f>IF($F533="","",IFERROR(INDEX(Items!$C$5:$C$597,MATCH($F533,Items!$A$5:$A$597,0)),""))</f>
        <v>80</v>
      </c>
      <c r="I533" s="23">
        <f>IF($F533="","",IFERROR(INDEX(Items!$E$5:$E$597,MATCH($F533,Items!$A$5:$A$597,0)),""))</f>
        <v>80</v>
      </c>
      <c r="J533" s="115">
        <f>IF(tblIssues[[#This Row],[Qty Override]]&lt;&gt;"",tblIssues[[#This Row],[Qty Override]],IF(tblIssues[[#This Row],[Standard Issue]]="","",tblIssues[[#This Row],[Standard Issue]]))</f>
        <v>80</v>
      </c>
      <c r="K533" s="20">
        <f>IF($F533="","",IFERROR(INDEX(Items!$D$5:$D$597,MATCH($F533,Items!$A$5:$A$597,0)),""))</f>
        <v>0.1</v>
      </c>
      <c r="L533" s="21">
        <f t="shared" si="94"/>
        <v>8</v>
      </c>
      <c r="M533" s="9" t="str">
        <f t="shared" si="95"/>
        <v>LYSL500290</v>
      </c>
      <c r="N533" s="24">
        <f>IF($A533="","",WORKDAY($A533,Settings!$C$9,HolidayDates))</f>
        <v>46155</v>
      </c>
      <c r="O533" s="24">
        <f>IF($N533="","",WORKDAY($N533,Settings!$C$10,HolidayDates))</f>
        <v>46195</v>
      </c>
      <c r="P533" s="10" t="s">
        <v>501</v>
      </c>
      <c r="Q533" s="52" t="str">
        <f t="shared" si="97"/>
        <v>Collected</v>
      </c>
      <c r="R533" s="55" t="str">
        <f t="shared" si="98"/>
        <v>2026-05</v>
      </c>
      <c r="S533" s="55">
        <f>IF(OR($B533="",$F533="",$R533=""),"",SUMIFS(tblIssues[Qty Issued],tblIssues[Staff ID],$B533,tblIssues[Item Name],$F533,tblIssues[Month],$R533))</f>
        <v>80</v>
      </c>
      <c r="T533" s="56">
        <f>IF($I533="","",$I533*Settings!$C$11)</f>
        <v>80</v>
      </c>
      <c r="U533" s="57" t="str">
        <f t="shared" si="96"/>
        <v>OK</v>
      </c>
      <c r="V533" s="55" t="str">
        <f t="shared" si="99"/>
        <v/>
      </c>
      <c r="W533" s="55" t="str">
        <f>IF($V533="","",IF(COUNTIF($V$5:$V533,$V533)=1,1,""))</f>
        <v/>
      </c>
      <c r="X533" s="58" t="str">
        <f>IF($W533="","",MAX($X$4:X532)+1)</f>
        <v/>
      </c>
      <c r="Y533" s="62"/>
      <c r="Z533" s="62"/>
      <c r="AA533" s="64" t="str">
        <f>IF($C533="","",IFERROR(INDEX('Staff Directory'!$E$5:$E$594,MATCH($C533,'Staff Directory'!$B$5:$B$594,0)),""))</f>
        <v>firstname068.lastname068@example.com</v>
      </c>
      <c r="AB533" s="64" t="str">
        <f>IF($C533="","",IF(ISNUMBER(SEARCH($D533,Settings!$C$15)),"Pickup","Dispatch"))</f>
        <v>Pickup</v>
      </c>
      <c r="AC533" s="64" t="str">
        <f t="shared" si="100"/>
        <v>Supply order ready for pickup</v>
      </c>
      <c r="AD533" s="64" t="str">
        <f t="shared" si="91"/>
        <v>Dear PSW,
Your order is ready for pickup from Sample Branch, Wed-Fri 9am-4pm.</v>
      </c>
      <c r="AE533" s="64" t="str">
        <f t="shared" si="92"/>
        <v>mailto:firstname068.lastname068@example.com?subject=Supply%20order%20ready%20for%20pickup&amp;body=Dear%20PSW%2C%0A%0AYour%20order%20is%20ready%20for%20pickup%20from%20Sample%20Branch%2C%20Wed-Fri%209am-4pm.</v>
      </c>
      <c r="AF533" s="89" t="str">
        <f t="shared" si="101"/>
        <v>Draft email</v>
      </c>
      <c r="AG533" s="64" t="str">
        <f>IF($C533="","",IFERROR(INDEX('Staff Directory'!$K$595:$K$599,MATCH($C533,'Staff Directory'!$B$5:$B$599,0)),$D533))</f>
        <v>PSW</v>
      </c>
      <c r="AH533" t="str">
        <f>IF($C533="","",IFERROR(INDEX('Staff Directory'!$I$595:$I$599,MATCH($C533,'Staff Directory'!$B$5:$B$599,0))&amp;" "&amp;INDEX('Staff Directory'!$J$595:$J$599,MATCH($C533,'Staff Directory'!$B$5:$B$599,0)),$AG533))</f>
        <v>PSW</v>
      </c>
      <c r="AI533" s="102"/>
      <c r="AJ533" s="101">
        <f>IF($F533="","",SUMIFS($J$5:$J533,$F$5:$F533,$F533))</f>
        <v>7520</v>
      </c>
      <c r="AK533" s="101">
        <f t="shared" si="93"/>
        <v>7441</v>
      </c>
      <c r="AL533" s="66" t="str" cm="1">
        <f t="array" ref="AL533">IF($F533="","",IFERROR(INDEX('Lot Balance'!$B$5:$B$500,MATCH(1,INDEX(('Lot Balance'!$A$5:$A$500=$F533)*('Lot Balance'!$K$5:$K$500&lt;$AK533)*('Lot Balance'!$K$5:$K$500+'Lot Balance'!$D$5:$D$500&gt;=$AK533),0),0)),""))</f>
        <v>LYSL500290</v>
      </c>
      <c r="AM533" s="66" t="str" cm="1">
        <f t="array" ref="AM533">IF($F533="","",IFERROR(INDEX('Lot Balance'!$B$5:$B$500,MATCH(1,INDEX(('Lot Balance'!$A$5:$A$500=$F533)*('Lot Balance'!$K$5:$K$500&lt;$AJ533)*('Lot Balance'!$K$5:$K$500+'Lot Balance'!$D$5:$D$500&gt;=$AJ533),0),0)),""))</f>
        <v>LYSL500290</v>
      </c>
      <c r="AN533" s="66" t="str">
        <f>IF($F533="","",IF($AI533&lt;&gt;"",IF(COUNTIFS('Lot Balance'!$A$5:$A$500,$F533,'Lot Balance'!$B$5:$B$500,$AI533)=0,"⚠ override is not a lot of this item",IF($AI533=$AL533,"Override = FEFO","Override - FEFO says "&amp;$AL533)),IF($AL533="","⚠ no receipt on file for this item",IF($AM533&lt;&gt;$AL533,"FEFO auto - split, also "&amp;$AM533,"FEFO auto"))))</f>
        <v>FEFO auto</v>
      </c>
      <c r="AO533" s="114"/>
    </row>
    <row r="534" spans="1:41" x14ac:dyDescent="0.35">
      <c r="A534" s="74">
        <v>46147</v>
      </c>
      <c r="B534" s="18" t="str">
        <f>IF($C534="","",IFERROR(INDEX('Staff Directory'!$A$5:$A$594,MATCH($C534,'Staff Directory'!$B$5:$B$594,0)),"⚠ unknown staff"))</f>
        <v>PSW-124-A6</v>
      </c>
      <c r="C534" s="49" t="s">
        <v>1103</v>
      </c>
      <c r="D534" s="19" t="str">
        <f>IF($B534="","",IFERROR(INDEX('Staff Directory'!$C$5:$C$594,MATCH($B534,'Staff Directory'!$A$5:$A$594,0)),""))</f>
        <v>PSW</v>
      </c>
      <c r="E534" s="19" t="str">
        <f>IF($B534="","",IFERROR(INDEX('Staff Directory'!$D$5:$D$594,MATCH($B534,'Staff Directory'!$A$5:$A$594,0)),""))</f>
        <v>A6</v>
      </c>
      <c r="F534" s="9" t="s">
        <v>124</v>
      </c>
      <c r="G534" s="18" t="str">
        <f>IF($F534="","",IFERROR(INDEX(Items!$B$5:$B$597,MATCH($F534,Items!$A$5:$A$597,0)),"⚠ not in Items"))</f>
        <v>Gloves</v>
      </c>
      <c r="H534" s="19" t="str">
        <f>IF($F534="","",IFERROR(INDEX(Items!$C$5:$C$597,MATCH($F534,Items!$A$5:$A$597,0)),""))</f>
        <v>Large</v>
      </c>
      <c r="I534" s="23">
        <f>IF($F534="","",IFERROR(INDEX(Items!$E$5:$E$597,MATCH($F534,Items!$A$5:$A$597,0)),""))</f>
        <v>500</v>
      </c>
      <c r="J534" s="115">
        <f>IF(tblIssues[[#This Row],[Qty Override]]&lt;&gt;"",tblIssues[[#This Row],[Qty Override]],IF(tblIssues[[#This Row],[Standard Issue]]="","",tblIssues[[#This Row],[Standard Issue]]))</f>
        <v>500</v>
      </c>
      <c r="K534" s="20">
        <f>IF($F534="","",IFERROR(INDEX(Items!$D$5:$D$597,MATCH($F534,Items!$A$5:$A$597,0)),""))</f>
        <v>5.5E-2</v>
      </c>
      <c r="L534" s="21">
        <f t="shared" si="94"/>
        <v>27.5</v>
      </c>
      <c r="M534" s="9" t="str">
        <f t="shared" si="95"/>
        <v>ZIM511139904-1</v>
      </c>
      <c r="N534" s="24">
        <f>IF($A534="","",WORKDAY($A534,Settings!$C$9,HolidayDates))</f>
        <v>46155</v>
      </c>
      <c r="O534" s="24">
        <f>IF($N534="","",WORKDAY($N534,Settings!$C$10,HolidayDates))</f>
        <v>46195</v>
      </c>
      <c r="P534" s="10" t="s">
        <v>501</v>
      </c>
      <c r="Q534" s="52" t="str">
        <f t="shared" si="97"/>
        <v>Collected</v>
      </c>
      <c r="R534" s="55" t="str">
        <f t="shared" si="98"/>
        <v>2026-05</v>
      </c>
      <c r="S534" s="55">
        <f>IF(OR($B534="",$F534="",$R534=""),"",SUMIFS(tblIssues[Qty Issued],tblIssues[Staff ID],$B534,tblIssues[Item Name],$F534,tblIssues[Month],$R534))</f>
        <v>500</v>
      </c>
      <c r="T534" s="56">
        <f>IF($I534="","",$I534*Settings!$C$11)</f>
        <v>500</v>
      </c>
      <c r="U534" s="57" t="str">
        <f t="shared" si="96"/>
        <v>OK</v>
      </c>
      <c r="V534" s="55" t="str">
        <f t="shared" si="99"/>
        <v/>
      </c>
      <c r="W534" s="55" t="str">
        <f>IF($V534="","",IF(COUNTIF($V$5:$V534,$V534)=1,1,""))</f>
        <v/>
      </c>
      <c r="X534" s="58" t="str">
        <f>IF($W534="","",MAX($X$4:X533)+1)</f>
        <v/>
      </c>
      <c r="Y534" s="62"/>
      <c r="Z534" s="62"/>
      <c r="AA534" s="64" t="str">
        <f>IF($C534="","",IFERROR(INDEX('Staff Directory'!$E$5:$E$594,MATCH($C534,'Staff Directory'!$B$5:$B$594,0)),""))</f>
        <v>firstname187.lastname187@example.com</v>
      </c>
      <c r="AB534" s="64" t="str">
        <f>IF($C534="","",IF(ISNUMBER(SEARCH($D534,Settings!$C$15)),"Pickup","Dispatch"))</f>
        <v>Pickup</v>
      </c>
      <c r="AC534" s="64" t="str">
        <f t="shared" si="100"/>
        <v>Supply order ready for pickup</v>
      </c>
      <c r="AD534" s="64" t="str">
        <f t="shared" si="91"/>
        <v>Dear PSW,
Your order is ready for pickup from Sample Branch, Wed-Fri 9am-4pm.</v>
      </c>
      <c r="AE534" s="64" t="str">
        <f t="shared" si="92"/>
        <v>mailto:firstname187.lastname187@example.com?subject=Supply%20order%20ready%20for%20pickup&amp;body=Dear%20PSW%2C%0A%0AYour%20order%20is%20ready%20for%20pickup%20from%20Sample%20Branch%2C%20Wed-Fri%209am-4pm.</v>
      </c>
      <c r="AF534" s="89" t="str">
        <f t="shared" si="101"/>
        <v>Draft email</v>
      </c>
      <c r="AG534" s="64" t="str">
        <f>IF($C534="","",IFERROR(INDEX('Staff Directory'!$K$595:$K$599,MATCH($C534,'Staff Directory'!$B$5:$B$599,0)),$D534))</f>
        <v>PSW</v>
      </c>
      <c r="AH534" t="str">
        <f>IF($C534="","",IFERROR(INDEX('Staff Directory'!$I$595:$I$599,MATCH($C534,'Staff Directory'!$B$5:$B$599,0))&amp;" "&amp;INDEX('Staff Directory'!$J$595:$J$599,MATCH($C534,'Staff Directory'!$B$5:$B$599,0)),$AG534))</f>
        <v>PSW</v>
      </c>
      <c r="AI534" s="102"/>
      <c r="AJ534" s="101">
        <f>IF($F534="","",SUMIFS($J$5:$J534,$F$5:$F534,$F534))</f>
        <v>15000</v>
      </c>
      <c r="AK534" s="101">
        <f t="shared" si="93"/>
        <v>14501</v>
      </c>
      <c r="AL534" s="66" t="str" cm="1">
        <f t="array" ref="AL534">IF($F534="","",IFERROR(INDEX('Lot Balance'!$B$5:$B$500,MATCH(1,INDEX(('Lot Balance'!$A$5:$A$500=$F534)*('Lot Balance'!$K$5:$K$500&lt;$AK534)*('Lot Balance'!$K$5:$K$500+'Lot Balance'!$D$5:$D$500&gt;=$AK534),0),0)),""))</f>
        <v>ZIM511139904-1</v>
      </c>
      <c r="AM534" s="66" t="str" cm="1">
        <f t="array" ref="AM534">IF($F534="","",IFERROR(INDEX('Lot Balance'!$B$5:$B$500,MATCH(1,INDEX(('Lot Balance'!$A$5:$A$500=$F534)*('Lot Balance'!$K$5:$K$500&lt;$AJ534)*('Lot Balance'!$K$5:$K$500+'Lot Balance'!$D$5:$D$500&gt;=$AJ534),0),0)),""))</f>
        <v>ZIM511139904-1</v>
      </c>
      <c r="AN534" s="66" t="str">
        <f>IF($F534="","",IF($AI534&lt;&gt;"",IF(COUNTIFS('Lot Balance'!$A$5:$A$500,$F534,'Lot Balance'!$B$5:$B$500,$AI534)=0,"⚠ override is not a lot of this item",IF($AI534=$AL534,"Override = FEFO","Override - FEFO says "&amp;$AL534)),IF($AL534="","⚠ no receipt on file for this item",IF($AM534&lt;&gt;$AL534,"FEFO auto - split, also "&amp;$AM534,"FEFO auto"))))</f>
        <v>FEFO auto</v>
      </c>
      <c r="AO534" s="114"/>
    </row>
    <row r="535" spans="1:41" x14ac:dyDescent="0.35">
      <c r="A535" s="74">
        <v>46147</v>
      </c>
      <c r="B535" s="18" t="str">
        <f>IF($C535="","",IFERROR(INDEX('Staff Directory'!$A$5:$A$594,MATCH($C535,'Staff Directory'!$B$5:$B$594,0)),"⚠ unknown staff"))</f>
        <v>PSW-124-A6</v>
      </c>
      <c r="C535" s="49" t="s">
        <v>1103</v>
      </c>
      <c r="D535" s="19" t="str">
        <f>IF($B535="","",IFERROR(INDEX('Staff Directory'!$C$5:$C$594,MATCH($B535,'Staff Directory'!$A$5:$A$594,0)),""))</f>
        <v>PSW</v>
      </c>
      <c r="E535" s="19" t="str">
        <f>IF($B535="","",IFERROR(INDEX('Staff Directory'!$D$5:$D$594,MATCH($B535,'Staff Directory'!$A$5:$A$594,0)),""))</f>
        <v>A6</v>
      </c>
      <c r="F535" s="9" t="s">
        <v>115</v>
      </c>
      <c r="G535" s="18" t="str">
        <f>IF($F535="","",IFERROR(INDEX(Items!$B$5:$B$597,MATCH($F535,Items!$A$5:$A$597,0)),"⚠ not in Items"))</f>
        <v>Wipes</v>
      </c>
      <c r="H535" s="19">
        <f>IF($F535="","",IFERROR(INDEX(Items!$C$5:$C$597,MATCH($F535,Items!$A$5:$A$597,0)),""))</f>
        <v>80</v>
      </c>
      <c r="I535" s="23">
        <f>IF($F535="","",IFERROR(INDEX(Items!$E$5:$E$597,MATCH($F535,Items!$A$5:$A$597,0)),""))</f>
        <v>80</v>
      </c>
      <c r="J535" s="115">
        <f>IF(tblIssues[[#This Row],[Qty Override]]&lt;&gt;"",tblIssues[[#This Row],[Qty Override]],IF(tblIssues[[#This Row],[Standard Issue]]="","",tblIssues[[#This Row],[Standard Issue]]))</f>
        <v>80</v>
      </c>
      <c r="K535" s="20">
        <f>IF($F535="","",IFERROR(INDEX(Items!$D$5:$D$597,MATCH($F535,Items!$A$5:$A$597,0)),""))</f>
        <v>0.1</v>
      </c>
      <c r="L535" s="21">
        <f t="shared" si="94"/>
        <v>8</v>
      </c>
      <c r="M535" s="9" t="str">
        <f t="shared" si="95"/>
        <v>LYSL500290</v>
      </c>
      <c r="N535" s="24">
        <f>IF($A535="","",WORKDAY($A535,Settings!$C$9,HolidayDates))</f>
        <v>46155</v>
      </c>
      <c r="O535" s="24">
        <f>IF($N535="","",WORKDAY($N535,Settings!$C$10,HolidayDates))</f>
        <v>46195</v>
      </c>
      <c r="P535" s="10" t="s">
        <v>501</v>
      </c>
      <c r="Q535" s="52" t="str">
        <f t="shared" si="97"/>
        <v>Collected</v>
      </c>
      <c r="R535" s="55" t="str">
        <f t="shared" si="98"/>
        <v>2026-05</v>
      </c>
      <c r="S535" s="55">
        <f>IF(OR($B535="",$F535="",$R535=""),"",SUMIFS(tblIssues[Qty Issued],tblIssues[Staff ID],$B535,tblIssues[Item Name],$F535,tblIssues[Month],$R535))</f>
        <v>80</v>
      </c>
      <c r="T535" s="56">
        <f>IF($I535="","",$I535*Settings!$C$11)</f>
        <v>80</v>
      </c>
      <c r="U535" s="57" t="str">
        <f t="shared" si="96"/>
        <v>OK</v>
      </c>
      <c r="V535" s="55" t="str">
        <f t="shared" si="99"/>
        <v/>
      </c>
      <c r="W535" s="55" t="str">
        <f>IF($V535="","",IF(COUNTIF($V$5:$V535,$V535)=1,1,""))</f>
        <v/>
      </c>
      <c r="X535" s="58" t="str">
        <f>IF($W535="","",MAX($X$4:X534)+1)</f>
        <v/>
      </c>
      <c r="Y535" s="62"/>
      <c r="Z535" s="62"/>
      <c r="AA535" s="64" t="str">
        <f>IF($C535="","",IFERROR(INDEX('Staff Directory'!$E$5:$E$594,MATCH($C535,'Staff Directory'!$B$5:$B$594,0)),""))</f>
        <v>firstname187.lastname187@example.com</v>
      </c>
      <c r="AB535" s="64" t="str">
        <f>IF($C535="","",IF(ISNUMBER(SEARCH($D535,Settings!$C$15)),"Pickup","Dispatch"))</f>
        <v>Pickup</v>
      </c>
      <c r="AC535" s="64" t="str">
        <f t="shared" si="100"/>
        <v>Supply order ready for pickup</v>
      </c>
      <c r="AD535" s="64" t="str">
        <f t="shared" si="91"/>
        <v>Dear PSW,
Your order is ready for pickup from Sample Branch, Wed-Fri 9am-4pm.</v>
      </c>
      <c r="AE535" s="64" t="str">
        <f t="shared" si="92"/>
        <v>mailto:firstname187.lastname187@example.com?subject=Supply%20order%20ready%20for%20pickup&amp;body=Dear%20PSW%2C%0A%0AYour%20order%20is%20ready%20for%20pickup%20from%20Sample%20Branch%2C%20Wed-Fri%209am-4pm.</v>
      </c>
      <c r="AF535" s="89" t="str">
        <f t="shared" si="101"/>
        <v>Draft email</v>
      </c>
      <c r="AG535" s="64" t="str">
        <f>IF($C535="","",IFERROR(INDEX('Staff Directory'!$K$595:$K$599,MATCH($C535,'Staff Directory'!$B$5:$B$599,0)),$D535))</f>
        <v>PSW</v>
      </c>
      <c r="AH535" t="str">
        <f>IF($C535="","",IFERROR(INDEX('Staff Directory'!$I$595:$I$599,MATCH($C535,'Staff Directory'!$B$5:$B$599,0))&amp;" "&amp;INDEX('Staff Directory'!$J$595:$J$599,MATCH($C535,'Staff Directory'!$B$5:$B$599,0)),$AG535))</f>
        <v>PSW</v>
      </c>
      <c r="AI535" s="102"/>
      <c r="AJ535" s="101">
        <f>IF($F535="","",SUMIFS($J$5:$J535,$F$5:$F535,$F535))</f>
        <v>7600</v>
      </c>
      <c r="AK535" s="101">
        <f t="shared" si="93"/>
        <v>7521</v>
      </c>
      <c r="AL535" s="66" t="str" cm="1">
        <f t="array" ref="AL535">IF($F535="","",IFERROR(INDEX('Lot Balance'!$B$5:$B$500,MATCH(1,INDEX(('Lot Balance'!$A$5:$A$500=$F535)*('Lot Balance'!$K$5:$K$500&lt;$AK535)*('Lot Balance'!$K$5:$K$500+'Lot Balance'!$D$5:$D$500&gt;=$AK535),0),0)),""))</f>
        <v>LYSL500290</v>
      </c>
      <c r="AM535" s="66" t="str" cm="1">
        <f t="array" ref="AM535">IF($F535="","",IFERROR(INDEX('Lot Balance'!$B$5:$B$500,MATCH(1,INDEX(('Lot Balance'!$A$5:$A$500=$F535)*('Lot Balance'!$K$5:$K$500&lt;$AJ535)*('Lot Balance'!$K$5:$K$500+'Lot Balance'!$D$5:$D$500&gt;=$AJ535),0),0)),""))</f>
        <v>LYSL500290</v>
      </c>
      <c r="AN535" s="66" t="str">
        <f>IF($F535="","",IF($AI535&lt;&gt;"",IF(COUNTIFS('Lot Balance'!$A$5:$A$500,$F535,'Lot Balance'!$B$5:$B$500,$AI535)=0,"⚠ override is not a lot of this item",IF($AI535=$AL535,"Override = FEFO","Override - FEFO says "&amp;$AL535)),IF($AL535="","⚠ no receipt on file for this item",IF($AM535&lt;&gt;$AL535,"FEFO auto - split, also "&amp;$AM535,"FEFO auto"))))</f>
        <v>FEFO auto</v>
      </c>
      <c r="AO535" s="114"/>
    </row>
    <row r="536" spans="1:41" x14ac:dyDescent="0.35">
      <c r="A536" s="74">
        <v>46147</v>
      </c>
      <c r="B536" s="18" t="str">
        <f>IF($C536="","",IFERROR(INDEX('Staff Directory'!$A$5:$A$594,MATCH($C536,'Staff Directory'!$B$5:$B$594,0)),"⚠ unknown staff"))</f>
        <v>PSW-124-A6</v>
      </c>
      <c r="C536" s="49" t="s">
        <v>1103</v>
      </c>
      <c r="D536" s="19" t="str">
        <f>IF($B536="","",IFERROR(INDEX('Staff Directory'!$C$5:$C$594,MATCH($B536,'Staff Directory'!$A$5:$A$594,0)),""))</f>
        <v>PSW</v>
      </c>
      <c r="E536" s="19" t="str">
        <f>IF($B536="","",IFERROR(INDEX('Staff Directory'!$D$5:$D$594,MATCH($B536,'Staff Directory'!$A$5:$A$594,0)),""))</f>
        <v>A6</v>
      </c>
      <c r="F536" s="9" t="s">
        <v>156</v>
      </c>
      <c r="G536" s="18" t="str">
        <f>IF($F536="","",IFERROR(INDEX(Items!$B$5:$B$597,MATCH($F536,Items!$A$5:$A$597,0)),"⚠ not in Items"))</f>
        <v>Masks</v>
      </c>
      <c r="H536" s="19" t="str">
        <f>IF($F536="","",IFERROR(INDEX(Items!$C$5:$C$597,MATCH($F536,Items!$A$5:$A$597,0)),""))</f>
        <v>One Size</v>
      </c>
      <c r="I536" s="23">
        <f>IF($F536="","",IFERROR(INDEX(Items!$E$5:$E$597,MATCH($F536,Items!$A$5:$A$597,0)),""))</f>
        <v>50</v>
      </c>
      <c r="J536" s="115">
        <f>IF(tblIssues[[#This Row],[Qty Override]]&lt;&gt;"",tblIssues[[#This Row],[Qty Override]],IF(tblIssues[[#This Row],[Standard Issue]]="","",tblIssues[[#This Row],[Standard Issue]]))</f>
        <v>50</v>
      </c>
      <c r="K536" s="20">
        <f>IF($F536="","",IFERROR(INDEX(Items!$D$5:$D$597,MATCH($F536,Items!$A$5:$A$597,0)),""))</f>
        <v>0.25</v>
      </c>
      <c r="L536" s="21">
        <f t="shared" si="94"/>
        <v>12.5</v>
      </c>
      <c r="M536" s="9" t="str">
        <f t="shared" si="95"/>
        <v>0125FPC24-0</v>
      </c>
      <c r="N536" s="24">
        <f>IF($A536="","",WORKDAY($A536,Settings!$C$9,HolidayDates))</f>
        <v>46155</v>
      </c>
      <c r="O536" s="24">
        <f>IF($N536="","",WORKDAY($N536,Settings!$C$10,HolidayDates))</f>
        <v>46195</v>
      </c>
      <c r="P536" s="10" t="s">
        <v>501</v>
      </c>
      <c r="Q536" s="52" t="str">
        <f t="shared" si="97"/>
        <v>Collected</v>
      </c>
      <c r="R536" s="55" t="str">
        <f t="shared" si="98"/>
        <v>2026-05</v>
      </c>
      <c r="S536" s="55">
        <f>IF(OR($B536="",$F536="",$R536=""),"",SUMIFS(tblIssues[Qty Issued],tblIssues[Staff ID],$B536,tblIssues[Item Name],$F536,tblIssues[Month],$R536))</f>
        <v>50</v>
      </c>
      <c r="T536" s="56">
        <f>IF($I536="","",$I536*Settings!$C$11)</f>
        <v>50</v>
      </c>
      <c r="U536" s="57" t="str">
        <f t="shared" si="96"/>
        <v>OK</v>
      </c>
      <c r="V536" s="55" t="str">
        <f t="shared" si="99"/>
        <v/>
      </c>
      <c r="W536" s="55" t="str">
        <f>IF($V536="","",IF(COUNTIF($V$5:$V536,$V536)=1,1,""))</f>
        <v/>
      </c>
      <c r="X536" s="58" t="str">
        <f>IF($W536="","",MAX($X$4:X535)+1)</f>
        <v/>
      </c>
      <c r="Y536" s="62"/>
      <c r="Z536" s="62"/>
      <c r="AA536" s="64" t="str">
        <f>IF($C536="","",IFERROR(INDEX('Staff Directory'!$E$5:$E$594,MATCH($C536,'Staff Directory'!$B$5:$B$594,0)),""))</f>
        <v>firstname187.lastname187@example.com</v>
      </c>
      <c r="AB536" s="64" t="str">
        <f>IF($C536="","",IF(ISNUMBER(SEARCH($D536,Settings!$C$15)),"Pickup","Dispatch"))</f>
        <v>Pickup</v>
      </c>
      <c r="AC536" s="64" t="str">
        <f t="shared" si="100"/>
        <v>Supply order ready for pickup</v>
      </c>
      <c r="AD536" s="64" t="str">
        <f t="shared" si="91"/>
        <v>Dear PSW,
Your order is ready for pickup from Sample Branch, Wed-Fri 9am-4pm.</v>
      </c>
      <c r="AE536" s="64" t="str">
        <f t="shared" si="92"/>
        <v>mailto:firstname187.lastname187@example.com?subject=Supply%20order%20ready%20for%20pickup&amp;body=Dear%20PSW%2C%0A%0AYour%20order%20is%20ready%20for%20pickup%20from%20Sample%20Branch%2C%20Wed-Fri%209am-4pm.</v>
      </c>
      <c r="AF536" s="89" t="str">
        <f t="shared" si="101"/>
        <v>Draft email</v>
      </c>
      <c r="AG536" s="64" t="str">
        <f>IF($C536="","",IFERROR(INDEX('Staff Directory'!$K$595:$K$599,MATCH($C536,'Staff Directory'!$B$5:$B$599,0)),$D536))</f>
        <v>PSW</v>
      </c>
      <c r="AH536" t="str">
        <f>IF($C536="","",IFERROR(INDEX('Staff Directory'!$I$595:$I$599,MATCH($C536,'Staff Directory'!$B$5:$B$599,0))&amp;" "&amp;INDEX('Staff Directory'!$J$595:$J$599,MATCH($C536,'Staff Directory'!$B$5:$B$599,0)),$AG536))</f>
        <v>PSW</v>
      </c>
      <c r="AI536" s="102"/>
      <c r="AJ536" s="101">
        <f>IF($F536="","",SUMIFS($J$5:$J536,$F$5:$F536,$F536))</f>
        <v>4350</v>
      </c>
      <c r="AK536" s="101">
        <f t="shared" si="93"/>
        <v>4301</v>
      </c>
      <c r="AL536" s="66" t="str" cm="1">
        <f t="array" ref="AL536">IF($F536="","",IFERROR(INDEX('Lot Balance'!$B$5:$B$500,MATCH(1,INDEX(('Lot Balance'!$A$5:$A$500=$F536)*('Lot Balance'!$K$5:$K$500&lt;$AK536)*('Lot Balance'!$K$5:$K$500+'Lot Balance'!$D$5:$D$500&gt;=$AK536),0),0)),""))</f>
        <v>0125FPC24-0</v>
      </c>
      <c r="AM536" s="66" t="str" cm="1">
        <f t="array" ref="AM536">IF($F536="","",IFERROR(INDEX('Lot Balance'!$B$5:$B$500,MATCH(1,INDEX(('Lot Balance'!$A$5:$A$500=$F536)*('Lot Balance'!$K$5:$K$500&lt;$AJ536)*('Lot Balance'!$K$5:$K$500+'Lot Balance'!$D$5:$D$500&gt;=$AJ536),0),0)),""))</f>
        <v>0125FPC24-0</v>
      </c>
      <c r="AN536" s="66" t="str">
        <f>IF($F536="","",IF($AI536&lt;&gt;"",IF(COUNTIFS('Lot Balance'!$A$5:$A$500,$F536,'Lot Balance'!$B$5:$B$500,$AI536)=0,"⚠ override is not a lot of this item",IF($AI536=$AL536,"Override = FEFO","Override - FEFO says "&amp;$AL536)),IF($AL536="","⚠ no receipt on file for this item",IF($AM536&lt;&gt;$AL536,"FEFO auto - split, also "&amp;$AM536,"FEFO auto"))))</f>
        <v>FEFO auto</v>
      </c>
      <c r="AO536" s="114"/>
    </row>
    <row r="537" spans="1:41" x14ac:dyDescent="0.35">
      <c r="A537" s="74">
        <v>46147</v>
      </c>
      <c r="B537" s="18" t="str">
        <f>IF($C537="","",IFERROR(INDEX('Staff Directory'!$A$5:$A$594,MATCH($C537,'Staff Directory'!$B$5:$B$594,0)),"⚠ unknown staff"))</f>
        <v>PSW-163-A5</v>
      </c>
      <c r="C537" s="49" t="s">
        <v>1142</v>
      </c>
      <c r="D537" s="19" t="str">
        <f>IF($B537="","",IFERROR(INDEX('Staff Directory'!$C$5:$C$594,MATCH($B537,'Staff Directory'!$A$5:$A$594,0)),""))</f>
        <v>PSW</v>
      </c>
      <c r="E537" s="19" t="str">
        <f>IF($B537="","",IFERROR(INDEX('Staff Directory'!$D$5:$D$594,MATCH($B537,'Staff Directory'!$A$5:$A$594,0)),""))</f>
        <v>A5</v>
      </c>
      <c r="F537" s="9" t="s">
        <v>127</v>
      </c>
      <c r="G537" s="18" t="str">
        <f>IF($F537="","",IFERROR(INDEX(Items!$B$5:$B$597,MATCH($F537,Items!$A$5:$A$597,0)),"⚠ not in Items"))</f>
        <v>Gloves</v>
      </c>
      <c r="H537" s="19" t="str">
        <f>IF($F537="","",IFERROR(INDEX(Items!$C$5:$C$597,MATCH($F537,Items!$A$5:$A$597,0)),""))</f>
        <v>Medium</v>
      </c>
      <c r="I537" s="23">
        <f>IF($F537="","",IFERROR(INDEX(Items!$E$5:$E$597,MATCH($F537,Items!$A$5:$A$597,0)),""))</f>
        <v>500</v>
      </c>
      <c r="J537" s="115">
        <f>IF(tblIssues[[#This Row],[Qty Override]]&lt;&gt;"",tblIssues[[#This Row],[Qty Override]],IF(tblIssues[[#This Row],[Standard Issue]]="","",tblIssues[[#This Row],[Standard Issue]]))</f>
        <v>500</v>
      </c>
      <c r="K537" s="20">
        <f>IF($F537="","",IFERROR(INDEX(Items!$D$5:$D$597,MATCH($F537,Items!$A$5:$A$597,0)),""))</f>
        <v>5.5E-2</v>
      </c>
      <c r="L537" s="21">
        <f t="shared" si="94"/>
        <v>27.5</v>
      </c>
      <c r="M537" s="9" t="str">
        <f t="shared" si="95"/>
        <v>ZIM504126040-2</v>
      </c>
      <c r="N537" s="24">
        <f>IF($A537="","",WORKDAY($A537,Settings!$C$9,HolidayDates))</f>
        <v>46155</v>
      </c>
      <c r="O537" s="24">
        <f>IF($N537="","",WORKDAY($N537,Settings!$C$10,HolidayDates))</f>
        <v>46195</v>
      </c>
      <c r="P537" s="10" t="s">
        <v>501</v>
      </c>
      <c r="Q537" s="52" t="str">
        <f t="shared" si="97"/>
        <v>Collected</v>
      </c>
      <c r="R537" s="55" t="str">
        <f t="shared" si="98"/>
        <v>2026-05</v>
      </c>
      <c r="S537" s="55">
        <f>IF(OR($B537="",$F537="",$R537=""),"",SUMIFS(tblIssues[Qty Issued],tblIssues[Staff ID],$B537,tblIssues[Item Name],$F537,tblIssues[Month],$R537))</f>
        <v>500</v>
      </c>
      <c r="T537" s="56">
        <f>IF($I537="","",$I537*Settings!$C$11)</f>
        <v>500</v>
      </c>
      <c r="U537" s="57" t="str">
        <f t="shared" si="96"/>
        <v>OK</v>
      </c>
      <c r="V537" s="55" t="str">
        <f t="shared" si="99"/>
        <v/>
      </c>
      <c r="W537" s="55" t="str">
        <f>IF($V537="","",IF(COUNTIF($V$5:$V537,$V537)=1,1,""))</f>
        <v/>
      </c>
      <c r="X537" s="58" t="str">
        <f>IF($W537="","",MAX($X$4:X536)+1)</f>
        <v/>
      </c>
      <c r="Y537" s="62"/>
      <c r="Z537" s="62"/>
      <c r="AA537" s="64" t="str">
        <f>IF($C537="","",IFERROR(INDEX('Staff Directory'!$E$5:$E$594,MATCH($C537,'Staff Directory'!$B$5:$B$594,0)),""))</f>
        <v>firstname226.lastname226@example.com</v>
      </c>
      <c r="AB537" s="64" t="str">
        <f>IF($C537="","",IF(ISNUMBER(SEARCH($D537,Settings!$C$15)),"Pickup","Dispatch"))</f>
        <v>Pickup</v>
      </c>
      <c r="AC537" s="64" t="str">
        <f t="shared" si="100"/>
        <v>Supply order ready for pickup</v>
      </c>
      <c r="AD537" s="64" t="str">
        <f t="shared" si="91"/>
        <v>Dear PSW,
Your order is ready for pickup from Sample Branch, Wed-Fri 9am-4pm.</v>
      </c>
      <c r="AE537" s="64" t="str">
        <f t="shared" si="92"/>
        <v>mailto:firstname226.lastname226@example.com?subject=Supply%20order%20ready%20for%20pickup&amp;body=Dear%20PSW%2C%0A%0AYour%20order%20is%20ready%20for%20pickup%20from%20Sample%20Branch%2C%20Wed-Fri%209am-4pm.</v>
      </c>
      <c r="AF537" s="89" t="str">
        <f t="shared" si="101"/>
        <v>Draft email</v>
      </c>
      <c r="AG537" s="64" t="str">
        <f>IF($C537="","",IFERROR(INDEX('Staff Directory'!$K$595:$K$599,MATCH($C537,'Staff Directory'!$B$5:$B$599,0)),$D537))</f>
        <v>PSW</v>
      </c>
      <c r="AH537" t="str">
        <f>IF($C537="","",IFERROR(INDEX('Staff Directory'!$I$595:$I$599,MATCH($C537,'Staff Directory'!$B$5:$B$599,0))&amp;" "&amp;INDEX('Staff Directory'!$J$595:$J$599,MATCH($C537,'Staff Directory'!$B$5:$B$599,0)),$AG537))</f>
        <v>PSW</v>
      </c>
      <c r="AI537" s="102"/>
      <c r="AJ537" s="101">
        <f>IF($F537="","",SUMIFS($J$5:$J537,$F$5:$F537,$F537))</f>
        <v>30500</v>
      </c>
      <c r="AK537" s="101">
        <f t="shared" si="93"/>
        <v>30001</v>
      </c>
      <c r="AL537" s="66" t="str" cm="1">
        <f t="array" ref="AL537">IF($F537="","",IFERROR(INDEX('Lot Balance'!$B$5:$B$500,MATCH(1,INDEX(('Lot Balance'!$A$5:$A$500=$F537)*('Lot Balance'!$K$5:$K$500&lt;$AK537)*('Lot Balance'!$K$5:$K$500+'Lot Balance'!$D$5:$D$500&gt;=$AK537),0),0)),""))</f>
        <v>ZIM504126040-2</v>
      </c>
      <c r="AM537" s="66" t="str" cm="1">
        <f t="array" ref="AM537">IF($F537="","",IFERROR(INDEX('Lot Balance'!$B$5:$B$500,MATCH(1,INDEX(('Lot Balance'!$A$5:$A$500=$F537)*('Lot Balance'!$K$5:$K$500&lt;$AJ537)*('Lot Balance'!$K$5:$K$500+'Lot Balance'!$D$5:$D$500&gt;=$AJ537),0),0)),""))</f>
        <v>ZIM504126040-2</v>
      </c>
      <c r="AN537" s="66" t="str">
        <f>IF($F537="","",IF($AI537&lt;&gt;"",IF(COUNTIFS('Lot Balance'!$A$5:$A$500,$F537,'Lot Balance'!$B$5:$B$500,$AI537)=0,"⚠ override is not a lot of this item",IF($AI537=$AL537,"Override = FEFO","Override - FEFO says "&amp;$AL537)),IF($AL537="","⚠ no receipt on file for this item",IF($AM537&lt;&gt;$AL537,"FEFO auto - split, also "&amp;$AM537,"FEFO auto"))))</f>
        <v>FEFO auto</v>
      </c>
      <c r="AO537" s="114"/>
    </row>
    <row r="538" spans="1:41" x14ac:dyDescent="0.35">
      <c r="A538" s="74">
        <v>46147</v>
      </c>
      <c r="B538" s="18" t="str">
        <f>IF($C538="","",IFERROR(INDEX('Staff Directory'!$A$5:$A$594,MATCH($C538,'Staff Directory'!$B$5:$B$594,0)),"⚠ unknown staff"))</f>
        <v>PSW-163-A5</v>
      </c>
      <c r="C538" s="49" t="s">
        <v>1142</v>
      </c>
      <c r="D538" s="19" t="str">
        <f>IF($B538="","",IFERROR(INDEX('Staff Directory'!$C$5:$C$594,MATCH($B538,'Staff Directory'!$A$5:$A$594,0)),""))</f>
        <v>PSW</v>
      </c>
      <c r="E538" s="19" t="str">
        <f>IF($B538="","",IFERROR(INDEX('Staff Directory'!$D$5:$D$594,MATCH($B538,'Staff Directory'!$A$5:$A$594,0)),""))</f>
        <v>A5</v>
      </c>
      <c r="F538" s="9" t="s">
        <v>191</v>
      </c>
      <c r="G538" s="18" t="str">
        <f>IF($F538="","",IFERROR(INDEX(Items!$B$5:$B$597,MATCH($F538,Items!$A$5:$A$597,0)),"⚠ not in Items"))</f>
        <v>Sanitizer</v>
      </c>
      <c r="H538" s="19" t="str">
        <f>IF($F538="","",IFERROR(INDEX(Items!$C$5:$C$597,MATCH($F538,Items!$A$5:$A$597,0)),""))</f>
        <v>236 ML</v>
      </c>
      <c r="I538" s="23">
        <f>IF($F538="","",IFERROR(INDEX(Items!$E$5:$E$597,MATCH($F538,Items!$A$5:$A$597,0)),""))</f>
        <v>1</v>
      </c>
      <c r="J538" s="115">
        <f>IF(tblIssues[[#This Row],[Qty Override]]&lt;&gt;"",tblIssues[[#This Row],[Qty Override]],IF(tblIssues[[#This Row],[Standard Issue]]="","",tblIssues[[#This Row],[Standard Issue]]))</f>
        <v>1</v>
      </c>
      <c r="K538" s="20">
        <f>IF($F538="","",IFERROR(INDEX(Items!$D$5:$D$597,MATCH($F538,Items!$A$5:$A$597,0)),""))</f>
        <v>1E-4</v>
      </c>
      <c r="L538" s="21">
        <f t="shared" si="94"/>
        <v>1E-4</v>
      </c>
      <c r="M538" s="9" t="str">
        <f t="shared" si="95"/>
        <v>20-21734-2</v>
      </c>
      <c r="N538" s="24">
        <f>IF($A538="","",WORKDAY($A538,Settings!$C$9,HolidayDates))</f>
        <v>46155</v>
      </c>
      <c r="O538" s="24">
        <f>IF($N538="","",WORKDAY($N538,Settings!$C$10,HolidayDates))</f>
        <v>46195</v>
      </c>
      <c r="P538" s="10" t="s">
        <v>501</v>
      </c>
      <c r="Q538" s="52" t="str">
        <f t="shared" si="97"/>
        <v>Collected</v>
      </c>
      <c r="R538" s="55" t="str">
        <f t="shared" si="98"/>
        <v>2026-05</v>
      </c>
      <c r="S538" s="55">
        <f>IF(OR($B538="",$F538="",$R538=""),"",SUMIFS(tblIssues[Qty Issued],tblIssues[Staff ID],$B538,tblIssues[Item Name],$F538,tblIssues[Month],$R538))</f>
        <v>1</v>
      </c>
      <c r="T538" s="56">
        <f>IF($I538="","",$I538*Settings!$C$11)</f>
        <v>1</v>
      </c>
      <c r="U538" s="57" t="str">
        <f t="shared" si="96"/>
        <v>OK</v>
      </c>
      <c r="V538" s="55" t="str">
        <f t="shared" si="99"/>
        <v/>
      </c>
      <c r="W538" s="55" t="str">
        <f>IF($V538="","",IF(COUNTIF($V$5:$V538,$V538)=1,1,""))</f>
        <v/>
      </c>
      <c r="X538" s="58" t="str">
        <f>IF($W538="","",MAX($X$4:X537)+1)</f>
        <v/>
      </c>
      <c r="Y538" s="62"/>
      <c r="Z538" s="62"/>
      <c r="AA538" s="64" t="str">
        <f>IF($C538="","",IFERROR(INDEX('Staff Directory'!$E$5:$E$594,MATCH($C538,'Staff Directory'!$B$5:$B$594,0)),""))</f>
        <v>firstname226.lastname226@example.com</v>
      </c>
      <c r="AB538" s="64" t="str">
        <f>IF($C538="","",IF(ISNUMBER(SEARCH($D538,Settings!$C$15)),"Pickup","Dispatch"))</f>
        <v>Pickup</v>
      </c>
      <c r="AC538" s="64" t="str">
        <f t="shared" si="100"/>
        <v>Supply order ready for pickup</v>
      </c>
      <c r="AD538" s="64" t="str">
        <f t="shared" si="91"/>
        <v>Dear PSW,
Your order is ready for pickup from Sample Branch, Wed-Fri 9am-4pm.</v>
      </c>
      <c r="AE538" s="64" t="str">
        <f t="shared" si="92"/>
        <v>mailto:firstname226.lastname226@example.com?subject=Supply%20order%20ready%20for%20pickup&amp;body=Dear%20PSW%2C%0A%0AYour%20order%20is%20ready%20for%20pickup%20from%20Sample%20Branch%2C%20Wed-Fri%209am-4pm.</v>
      </c>
      <c r="AF538" s="89" t="str">
        <f t="shared" si="101"/>
        <v>Draft email</v>
      </c>
      <c r="AG538" s="64" t="str">
        <f>IF($C538="","",IFERROR(INDEX('Staff Directory'!$K$595:$K$599,MATCH($C538,'Staff Directory'!$B$5:$B$599,0)),$D538))</f>
        <v>PSW</v>
      </c>
      <c r="AH538" t="str">
        <f>IF($C538="","",IFERROR(INDEX('Staff Directory'!$I$595:$I$599,MATCH($C538,'Staff Directory'!$B$5:$B$599,0))&amp;" "&amp;INDEX('Staff Directory'!$J$595:$J$599,MATCH($C538,'Staff Directory'!$B$5:$B$599,0)),$AG538))</f>
        <v>PSW</v>
      </c>
      <c r="AI538" s="102"/>
      <c r="AJ538" s="101">
        <f>IF($F538="","",SUMIFS($J$5:$J538,$F$5:$F538,$F538))</f>
        <v>58</v>
      </c>
      <c r="AK538" s="101">
        <f t="shared" si="93"/>
        <v>58</v>
      </c>
      <c r="AL538" s="66" t="str" cm="1">
        <f t="array" ref="AL538">IF($F538="","",IFERROR(INDEX('Lot Balance'!$B$5:$B$500,MATCH(1,INDEX(('Lot Balance'!$A$5:$A$500=$F538)*('Lot Balance'!$K$5:$K$500&lt;$AK538)*('Lot Balance'!$K$5:$K$500+'Lot Balance'!$D$5:$D$500&gt;=$AK538),0),0)),""))</f>
        <v>20-21734-2</v>
      </c>
      <c r="AM538" s="66" t="str" cm="1">
        <f t="array" ref="AM538">IF($F538="","",IFERROR(INDEX('Lot Balance'!$B$5:$B$500,MATCH(1,INDEX(('Lot Balance'!$A$5:$A$500=$F538)*('Lot Balance'!$K$5:$K$500&lt;$AJ538)*('Lot Balance'!$K$5:$K$500+'Lot Balance'!$D$5:$D$500&gt;=$AJ538),0),0)),""))</f>
        <v>20-21734-2</v>
      </c>
      <c r="AN538" s="66" t="str">
        <f>IF($F538="","",IF($AI538&lt;&gt;"",IF(COUNTIFS('Lot Balance'!$A$5:$A$500,$F538,'Lot Balance'!$B$5:$B$500,$AI538)=0,"⚠ override is not a lot of this item",IF($AI538=$AL538,"Override = FEFO","Override - FEFO says "&amp;$AL538)),IF($AL538="","⚠ no receipt on file for this item",IF($AM538&lt;&gt;$AL538,"FEFO auto - split, also "&amp;$AM538,"FEFO auto"))))</f>
        <v>FEFO auto</v>
      </c>
      <c r="AO538" s="114"/>
    </row>
    <row r="539" spans="1:41" x14ac:dyDescent="0.35">
      <c r="A539" s="74">
        <v>46147</v>
      </c>
      <c r="B539" s="18" t="str">
        <f>IF($C539="","",IFERROR(INDEX('Staff Directory'!$A$5:$A$594,MATCH($C539,'Staff Directory'!$B$5:$B$594,0)),"⚠ unknown staff"))</f>
        <v>PSW-013-A5</v>
      </c>
      <c r="C539" s="49" t="s">
        <v>989</v>
      </c>
      <c r="D539" s="19" t="str">
        <f>IF($B539="","",IFERROR(INDEX('Staff Directory'!$C$5:$C$594,MATCH($B539,'Staff Directory'!$A$5:$A$594,0)),""))</f>
        <v>PSW</v>
      </c>
      <c r="E539" s="19" t="str">
        <f>IF($B539="","",IFERROR(INDEX('Staff Directory'!$D$5:$D$594,MATCH($B539,'Staff Directory'!$A$5:$A$594,0)),""))</f>
        <v>A5</v>
      </c>
      <c r="F539" s="9" t="s">
        <v>129</v>
      </c>
      <c r="G539" s="18" t="str">
        <f>IF($F539="","",IFERROR(INDEX(Items!$B$5:$B$597,MATCH($F539,Items!$A$5:$A$597,0)),"⚠ not in Items"))</f>
        <v>Gloves</v>
      </c>
      <c r="H539" s="19" t="str">
        <f>IF($F539="","",IFERROR(INDEX(Items!$C$5:$C$597,MATCH($F539,Items!$A$5:$A$597,0)),""))</f>
        <v>Small</v>
      </c>
      <c r="I539" s="23">
        <f>IF($F539="","",IFERROR(INDEX(Items!$E$5:$E$597,MATCH($F539,Items!$A$5:$A$597,0)),""))</f>
        <v>500</v>
      </c>
      <c r="J539" s="115">
        <f>IF(tblIssues[[#This Row],[Qty Override]]&lt;&gt;"",tblIssues[[#This Row],[Qty Override]],IF(tblIssues[[#This Row],[Standard Issue]]="","",tblIssues[[#This Row],[Standard Issue]]))</f>
        <v>500</v>
      </c>
      <c r="K539" s="20">
        <f>IF($F539="","",IFERROR(INDEX(Items!$D$5:$D$597,MATCH($F539,Items!$A$5:$A$597,0)),""))</f>
        <v>5.5E-2</v>
      </c>
      <c r="L539" s="21">
        <f t="shared" si="94"/>
        <v>27.5</v>
      </c>
      <c r="M539" s="9" t="str">
        <f t="shared" si="95"/>
        <v>O210LIC25</v>
      </c>
      <c r="N539" s="24">
        <f>IF($A539="","",WORKDAY($A539,Settings!$C$9,HolidayDates))</f>
        <v>46155</v>
      </c>
      <c r="O539" s="24">
        <f>IF($N539="","",WORKDAY($N539,Settings!$C$10,HolidayDates))</f>
        <v>46195</v>
      </c>
      <c r="P539" s="10" t="s">
        <v>501</v>
      </c>
      <c r="Q539" s="52" t="str">
        <f t="shared" si="97"/>
        <v>Collected</v>
      </c>
      <c r="R539" s="55" t="str">
        <f t="shared" si="98"/>
        <v>2026-05</v>
      </c>
      <c r="S539" s="55">
        <f>IF(OR($B539="",$F539="",$R539=""),"",SUMIFS(tblIssues[Qty Issued],tblIssues[Staff ID],$B539,tblIssues[Item Name],$F539,tblIssues[Month],$R539))</f>
        <v>500</v>
      </c>
      <c r="T539" s="56">
        <f>IF($I539="","",$I539*Settings!$C$11)</f>
        <v>500</v>
      </c>
      <c r="U539" s="57" t="str">
        <f t="shared" si="96"/>
        <v>OK</v>
      </c>
      <c r="V539" s="55" t="str">
        <f t="shared" si="99"/>
        <v/>
      </c>
      <c r="W539" s="55" t="str">
        <f>IF($V539="","",IF(COUNTIF($V$5:$V539,$V539)=1,1,""))</f>
        <v/>
      </c>
      <c r="X539" s="58" t="str">
        <f>IF($W539="","",MAX($X$4:X538)+1)</f>
        <v/>
      </c>
      <c r="Y539" s="62"/>
      <c r="Z539" s="62"/>
      <c r="AA539" s="64" t="str">
        <f>IF($C539="","",IFERROR(INDEX('Staff Directory'!$E$5:$E$594,MATCH($C539,'Staff Directory'!$B$5:$B$594,0)),""))</f>
        <v>firstname073.lastname073@example.com</v>
      </c>
      <c r="AB539" s="64" t="str">
        <f>IF($C539="","",IF(ISNUMBER(SEARCH($D539,Settings!$C$15)),"Pickup","Dispatch"))</f>
        <v>Pickup</v>
      </c>
      <c r="AC539" s="64" t="str">
        <f t="shared" si="100"/>
        <v>Supply order ready for pickup</v>
      </c>
      <c r="AD539" s="64" t="str">
        <f t="shared" si="91"/>
        <v>Dear PSW,
Your order is ready for pickup from Sample Branch, Wed-Fri 9am-4pm.</v>
      </c>
      <c r="AE539" s="64" t="str">
        <f t="shared" si="92"/>
        <v>mailto:firstname073.lastname073@example.com?subject=Supply%20order%20ready%20for%20pickup&amp;body=Dear%20PSW%2C%0A%0AYour%20order%20is%20ready%20for%20pickup%20from%20Sample%20Branch%2C%20Wed-Fri%209am-4pm.</v>
      </c>
      <c r="AF539" s="89" t="str">
        <f t="shared" si="101"/>
        <v>Draft email</v>
      </c>
      <c r="AG539" s="64" t="str">
        <f>IF($C539="","",IFERROR(INDEX('Staff Directory'!$K$595:$K$599,MATCH($C539,'Staff Directory'!$B$5:$B$599,0)),$D539))</f>
        <v>PSW</v>
      </c>
      <c r="AH539" t="str">
        <f>IF($C539="","",IFERROR(INDEX('Staff Directory'!$I$595:$I$599,MATCH($C539,'Staff Directory'!$B$5:$B$599,0))&amp;" "&amp;INDEX('Staff Directory'!$J$595:$J$599,MATCH($C539,'Staff Directory'!$B$5:$B$599,0)),$AG539))</f>
        <v>PSW</v>
      </c>
      <c r="AI539" s="102"/>
      <c r="AJ539" s="101">
        <f>IF($F539="","",SUMIFS($J$5:$J539,$F$5:$F539,$F539))</f>
        <v>19500</v>
      </c>
      <c r="AK539" s="101">
        <f t="shared" si="93"/>
        <v>19001</v>
      </c>
      <c r="AL539" s="66" t="str" cm="1">
        <f t="array" ref="AL539">IF($F539="","",IFERROR(INDEX('Lot Balance'!$B$5:$B$500,MATCH(1,INDEX(('Lot Balance'!$A$5:$A$500=$F539)*('Lot Balance'!$K$5:$K$500&lt;$AK539)*('Lot Balance'!$K$5:$K$500+'Lot Balance'!$D$5:$D$500&gt;=$AK539),0),0)),""))</f>
        <v>O210LIC25</v>
      </c>
      <c r="AM539" s="66" t="str" cm="1">
        <f t="array" ref="AM539">IF($F539="","",IFERROR(INDEX('Lot Balance'!$B$5:$B$500,MATCH(1,INDEX(('Lot Balance'!$A$5:$A$500=$F539)*('Lot Balance'!$K$5:$K$500&lt;$AJ539)*('Lot Balance'!$K$5:$K$500+'Lot Balance'!$D$5:$D$500&gt;=$AJ539),0),0)),""))</f>
        <v>O210LIC25</v>
      </c>
      <c r="AN539" s="66" t="str">
        <f>IF($F539="","",IF($AI539&lt;&gt;"",IF(COUNTIFS('Lot Balance'!$A$5:$A$500,$F539,'Lot Balance'!$B$5:$B$500,$AI539)=0,"⚠ override is not a lot of this item",IF($AI539=$AL539,"Override = FEFO","Override - FEFO says "&amp;$AL539)),IF($AL539="","⚠ no receipt on file for this item",IF($AM539&lt;&gt;$AL539,"FEFO auto - split, also "&amp;$AM539,"FEFO auto"))))</f>
        <v>FEFO auto</v>
      </c>
      <c r="AO539" s="114"/>
    </row>
    <row r="540" spans="1:41" x14ac:dyDescent="0.35">
      <c r="A540" s="74">
        <v>46147</v>
      </c>
      <c r="B540" s="18" t="str">
        <f>IF($C540="","",IFERROR(INDEX('Staff Directory'!$A$5:$A$594,MATCH($C540,'Staff Directory'!$B$5:$B$594,0)),"⚠ unknown staff"))</f>
        <v>PSW-013-A5</v>
      </c>
      <c r="C540" s="49" t="s">
        <v>989</v>
      </c>
      <c r="D540" s="19" t="str">
        <f>IF($B540="","",IFERROR(INDEX('Staff Directory'!$C$5:$C$594,MATCH($B540,'Staff Directory'!$A$5:$A$594,0)),""))</f>
        <v>PSW</v>
      </c>
      <c r="E540" s="19" t="str">
        <f>IF($B540="","",IFERROR(INDEX('Staff Directory'!$D$5:$D$594,MATCH($B540,'Staff Directory'!$A$5:$A$594,0)),""))</f>
        <v>A5</v>
      </c>
      <c r="F540" s="9" t="s">
        <v>191</v>
      </c>
      <c r="G540" s="18" t="str">
        <f>IF($F540="","",IFERROR(INDEX(Items!$B$5:$B$597,MATCH($F540,Items!$A$5:$A$597,0)),"⚠ not in Items"))</f>
        <v>Sanitizer</v>
      </c>
      <c r="H540" s="19" t="str">
        <f>IF($F540="","",IFERROR(INDEX(Items!$C$5:$C$597,MATCH($F540,Items!$A$5:$A$597,0)),""))</f>
        <v>236 ML</v>
      </c>
      <c r="I540" s="23">
        <f>IF($F540="","",IFERROR(INDEX(Items!$E$5:$E$597,MATCH($F540,Items!$A$5:$A$597,0)),""))</f>
        <v>1</v>
      </c>
      <c r="J540" s="115">
        <f>IF(tblIssues[[#This Row],[Qty Override]]&lt;&gt;"",tblIssues[[#This Row],[Qty Override]],IF(tblIssues[[#This Row],[Standard Issue]]="","",tblIssues[[#This Row],[Standard Issue]]))</f>
        <v>1</v>
      </c>
      <c r="K540" s="20">
        <f>IF($F540="","",IFERROR(INDEX(Items!$D$5:$D$597,MATCH($F540,Items!$A$5:$A$597,0)),""))</f>
        <v>1E-4</v>
      </c>
      <c r="L540" s="21">
        <f t="shared" si="94"/>
        <v>1E-4</v>
      </c>
      <c r="M540" s="9" t="str">
        <f t="shared" si="95"/>
        <v>20-21734-2</v>
      </c>
      <c r="N540" s="24">
        <f>IF($A540="","",WORKDAY($A540,Settings!$C$9,HolidayDates))</f>
        <v>46155</v>
      </c>
      <c r="O540" s="24">
        <f>IF($N540="","",WORKDAY($N540,Settings!$C$10,HolidayDates))</f>
        <v>46195</v>
      </c>
      <c r="P540" s="10" t="s">
        <v>501</v>
      </c>
      <c r="Q540" s="52" t="str">
        <f t="shared" si="97"/>
        <v>Collected</v>
      </c>
      <c r="R540" s="55" t="str">
        <f t="shared" si="98"/>
        <v>2026-05</v>
      </c>
      <c r="S540" s="55">
        <f>IF(OR($B540="",$F540="",$R540=""),"",SUMIFS(tblIssues[Qty Issued],tblIssues[Staff ID],$B540,tblIssues[Item Name],$F540,tblIssues[Month],$R540))</f>
        <v>1</v>
      </c>
      <c r="T540" s="56">
        <f>IF($I540="","",$I540*Settings!$C$11)</f>
        <v>1</v>
      </c>
      <c r="U540" s="57" t="str">
        <f t="shared" si="96"/>
        <v>OK</v>
      </c>
      <c r="V540" s="55" t="str">
        <f t="shared" si="99"/>
        <v/>
      </c>
      <c r="W540" s="55" t="str">
        <f>IF($V540="","",IF(COUNTIF($V$5:$V540,$V540)=1,1,""))</f>
        <v/>
      </c>
      <c r="X540" s="58" t="str">
        <f>IF($W540="","",MAX($X$4:X539)+1)</f>
        <v/>
      </c>
      <c r="Y540" s="62"/>
      <c r="Z540" s="62"/>
      <c r="AA540" s="64" t="str">
        <f>IF($C540="","",IFERROR(INDEX('Staff Directory'!$E$5:$E$594,MATCH($C540,'Staff Directory'!$B$5:$B$594,0)),""))</f>
        <v>firstname073.lastname073@example.com</v>
      </c>
      <c r="AB540" s="64" t="str">
        <f>IF($C540="","",IF(ISNUMBER(SEARCH($D540,Settings!$C$15)),"Pickup","Dispatch"))</f>
        <v>Pickup</v>
      </c>
      <c r="AC540" s="64" t="str">
        <f t="shared" si="100"/>
        <v>Supply order ready for pickup</v>
      </c>
      <c r="AD540" s="64" t="str">
        <f t="shared" si="91"/>
        <v>Dear PSW,
Your order is ready for pickup from Sample Branch, Wed-Fri 9am-4pm.</v>
      </c>
      <c r="AE540" s="64" t="str">
        <f t="shared" si="92"/>
        <v>mailto:firstname073.lastname073@example.com?subject=Supply%20order%20ready%20for%20pickup&amp;body=Dear%20PSW%2C%0A%0AYour%20order%20is%20ready%20for%20pickup%20from%20Sample%20Branch%2C%20Wed-Fri%209am-4pm.</v>
      </c>
      <c r="AF540" s="89" t="str">
        <f t="shared" si="101"/>
        <v>Draft email</v>
      </c>
      <c r="AG540" s="64" t="str">
        <f>IF($C540="","",IFERROR(INDEX('Staff Directory'!$K$595:$K$599,MATCH($C540,'Staff Directory'!$B$5:$B$599,0)),$D540))</f>
        <v>PSW</v>
      </c>
      <c r="AH540" t="str">
        <f>IF($C540="","",IFERROR(INDEX('Staff Directory'!$I$595:$I$599,MATCH($C540,'Staff Directory'!$B$5:$B$599,0))&amp;" "&amp;INDEX('Staff Directory'!$J$595:$J$599,MATCH($C540,'Staff Directory'!$B$5:$B$599,0)),$AG540))</f>
        <v>PSW</v>
      </c>
      <c r="AI540" s="102"/>
      <c r="AJ540" s="101">
        <f>IF($F540="","",SUMIFS($J$5:$J540,$F$5:$F540,$F540))</f>
        <v>59</v>
      </c>
      <c r="AK540" s="101">
        <f t="shared" si="93"/>
        <v>59</v>
      </c>
      <c r="AL540" s="66" t="str" cm="1">
        <f t="array" ref="AL540">IF($F540="","",IFERROR(INDEX('Lot Balance'!$B$5:$B$500,MATCH(1,INDEX(('Lot Balance'!$A$5:$A$500=$F540)*('Lot Balance'!$K$5:$K$500&lt;$AK540)*('Lot Balance'!$K$5:$K$500+'Lot Balance'!$D$5:$D$500&gt;=$AK540),0),0)),""))</f>
        <v>20-21734-2</v>
      </c>
      <c r="AM540" s="66" t="str" cm="1">
        <f t="array" ref="AM540">IF($F540="","",IFERROR(INDEX('Lot Balance'!$B$5:$B$500,MATCH(1,INDEX(('Lot Balance'!$A$5:$A$500=$F540)*('Lot Balance'!$K$5:$K$500&lt;$AJ540)*('Lot Balance'!$K$5:$K$500+'Lot Balance'!$D$5:$D$500&gt;=$AJ540),0),0)),""))</f>
        <v>20-21734-2</v>
      </c>
      <c r="AN540" s="66" t="str">
        <f>IF($F540="","",IF($AI540&lt;&gt;"",IF(COUNTIFS('Lot Balance'!$A$5:$A$500,$F540,'Lot Balance'!$B$5:$B$500,$AI540)=0,"⚠ override is not a lot of this item",IF($AI540=$AL540,"Override = FEFO","Override - FEFO says "&amp;$AL540)),IF($AL540="","⚠ no receipt on file for this item",IF($AM540&lt;&gt;$AL540,"FEFO auto - split, also "&amp;$AM540,"FEFO auto"))))</f>
        <v>FEFO auto</v>
      </c>
      <c r="AO540" s="114"/>
    </row>
    <row r="541" spans="1:41" x14ac:dyDescent="0.35">
      <c r="A541" s="74">
        <v>46147</v>
      </c>
      <c r="B541" s="18" t="str">
        <f>IF($C541="","",IFERROR(INDEX('Staff Directory'!$A$5:$A$594,MATCH($C541,'Staff Directory'!$B$5:$B$594,0)),"⚠ unknown staff"))</f>
        <v>PSW-013-A5</v>
      </c>
      <c r="C541" s="49" t="s">
        <v>989</v>
      </c>
      <c r="D541" s="19" t="str">
        <f>IF($B541="","",IFERROR(INDEX('Staff Directory'!$C$5:$C$594,MATCH($B541,'Staff Directory'!$A$5:$A$594,0)),""))</f>
        <v>PSW</v>
      </c>
      <c r="E541" s="19" t="str">
        <f>IF($B541="","",IFERROR(INDEX('Staff Directory'!$D$5:$D$594,MATCH($B541,'Staff Directory'!$A$5:$A$594,0)),""))</f>
        <v>A5</v>
      </c>
      <c r="F541" s="9" t="s">
        <v>115</v>
      </c>
      <c r="G541" s="18" t="str">
        <f>IF($F541="","",IFERROR(INDEX(Items!$B$5:$B$597,MATCH($F541,Items!$A$5:$A$597,0)),"⚠ not in Items"))</f>
        <v>Wipes</v>
      </c>
      <c r="H541" s="19">
        <f>IF($F541="","",IFERROR(INDEX(Items!$C$5:$C$597,MATCH($F541,Items!$A$5:$A$597,0)),""))</f>
        <v>80</v>
      </c>
      <c r="I541" s="23">
        <f>IF($F541="","",IFERROR(INDEX(Items!$E$5:$E$597,MATCH($F541,Items!$A$5:$A$597,0)),""))</f>
        <v>80</v>
      </c>
      <c r="J541" s="115">
        <f>IF(tblIssues[[#This Row],[Qty Override]]&lt;&gt;"",tblIssues[[#This Row],[Qty Override]],IF(tblIssues[[#This Row],[Standard Issue]]="","",tblIssues[[#This Row],[Standard Issue]]))</f>
        <v>80</v>
      </c>
      <c r="K541" s="20">
        <f>IF($F541="","",IFERROR(INDEX(Items!$D$5:$D$597,MATCH($F541,Items!$A$5:$A$597,0)),""))</f>
        <v>0.1</v>
      </c>
      <c r="L541" s="21">
        <f t="shared" si="94"/>
        <v>8</v>
      </c>
      <c r="M541" s="9" t="str">
        <f t="shared" si="95"/>
        <v>LYSL500290</v>
      </c>
      <c r="N541" s="24">
        <f>IF($A541="","",WORKDAY($A541,Settings!$C$9,HolidayDates))</f>
        <v>46155</v>
      </c>
      <c r="O541" s="24">
        <f>IF($N541="","",WORKDAY($N541,Settings!$C$10,HolidayDates))</f>
        <v>46195</v>
      </c>
      <c r="P541" s="10" t="s">
        <v>501</v>
      </c>
      <c r="Q541" s="52" t="str">
        <f t="shared" si="97"/>
        <v>Collected</v>
      </c>
      <c r="R541" s="55" t="str">
        <f t="shared" si="98"/>
        <v>2026-05</v>
      </c>
      <c r="S541" s="55">
        <f>IF(OR($B541="",$F541="",$R541=""),"",SUMIFS(tblIssues[Qty Issued],tblIssues[Staff ID],$B541,tblIssues[Item Name],$F541,tblIssues[Month],$R541))</f>
        <v>80</v>
      </c>
      <c r="T541" s="56">
        <f>IF($I541="","",$I541*Settings!$C$11)</f>
        <v>80</v>
      </c>
      <c r="U541" s="57" t="str">
        <f t="shared" si="96"/>
        <v>OK</v>
      </c>
      <c r="V541" s="55" t="str">
        <f t="shared" si="99"/>
        <v/>
      </c>
      <c r="W541" s="55" t="str">
        <f>IF($V541="","",IF(COUNTIF($V$5:$V541,$V541)=1,1,""))</f>
        <v/>
      </c>
      <c r="X541" s="58" t="str">
        <f>IF($W541="","",MAX($X$4:X540)+1)</f>
        <v/>
      </c>
      <c r="Y541" s="62"/>
      <c r="Z541" s="62"/>
      <c r="AA541" s="64" t="str">
        <f>IF($C541="","",IFERROR(INDEX('Staff Directory'!$E$5:$E$594,MATCH($C541,'Staff Directory'!$B$5:$B$594,0)),""))</f>
        <v>firstname073.lastname073@example.com</v>
      </c>
      <c r="AB541" s="64" t="str">
        <f>IF($C541="","",IF(ISNUMBER(SEARCH($D541,Settings!$C$15)),"Pickup","Dispatch"))</f>
        <v>Pickup</v>
      </c>
      <c r="AC541" s="64" t="str">
        <f t="shared" si="100"/>
        <v>Supply order ready for pickup</v>
      </c>
      <c r="AD541" s="64" t="str">
        <f t="shared" si="91"/>
        <v>Dear PSW,
Your order is ready for pickup from Sample Branch, Wed-Fri 9am-4pm.</v>
      </c>
      <c r="AE541" s="64" t="str">
        <f t="shared" si="92"/>
        <v>mailto:firstname073.lastname073@example.com?subject=Supply%20order%20ready%20for%20pickup&amp;body=Dear%20PSW%2C%0A%0AYour%20order%20is%20ready%20for%20pickup%20from%20Sample%20Branch%2C%20Wed-Fri%209am-4pm.</v>
      </c>
      <c r="AF541" s="89" t="str">
        <f t="shared" si="101"/>
        <v>Draft email</v>
      </c>
      <c r="AG541" s="64" t="str">
        <f>IF($C541="","",IFERROR(INDEX('Staff Directory'!$K$595:$K$599,MATCH($C541,'Staff Directory'!$B$5:$B$599,0)),$D541))</f>
        <v>PSW</v>
      </c>
      <c r="AH541" t="str">
        <f>IF($C541="","",IFERROR(INDEX('Staff Directory'!$I$595:$I$599,MATCH($C541,'Staff Directory'!$B$5:$B$599,0))&amp;" "&amp;INDEX('Staff Directory'!$J$595:$J$599,MATCH($C541,'Staff Directory'!$B$5:$B$599,0)),$AG541))</f>
        <v>PSW</v>
      </c>
      <c r="AI541" s="102"/>
      <c r="AJ541" s="101">
        <f>IF($F541="","",SUMIFS($J$5:$J541,$F$5:$F541,$F541))</f>
        <v>7680</v>
      </c>
      <c r="AK541" s="101">
        <f t="shared" si="93"/>
        <v>7601</v>
      </c>
      <c r="AL541" s="66" t="str" cm="1">
        <f t="array" ref="AL541">IF($F541="","",IFERROR(INDEX('Lot Balance'!$B$5:$B$500,MATCH(1,INDEX(('Lot Balance'!$A$5:$A$500=$F541)*('Lot Balance'!$K$5:$K$500&lt;$AK541)*('Lot Balance'!$K$5:$K$500+'Lot Balance'!$D$5:$D$500&gt;=$AK541),0),0)),""))</f>
        <v>LYSL500290</v>
      </c>
      <c r="AM541" s="66" t="str" cm="1">
        <f t="array" ref="AM541">IF($F541="","",IFERROR(INDEX('Lot Balance'!$B$5:$B$500,MATCH(1,INDEX(('Lot Balance'!$A$5:$A$500=$F541)*('Lot Balance'!$K$5:$K$500&lt;$AJ541)*('Lot Balance'!$K$5:$K$500+'Lot Balance'!$D$5:$D$500&gt;=$AJ541),0),0)),""))</f>
        <v>LYSL500290</v>
      </c>
      <c r="AN541" s="66" t="str">
        <f>IF($F541="","",IF($AI541&lt;&gt;"",IF(COUNTIFS('Lot Balance'!$A$5:$A$500,$F541,'Lot Balance'!$B$5:$B$500,$AI541)=0,"⚠ override is not a lot of this item",IF($AI541=$AL541,"Override = FEFO","Override - FEFO says "&amp;$AL541)),IF($AL541="","⚠ no receipt on file for this item",IF($AM541&lt;&gt;$AL541,"FEFO auto - split, also "&amp;$AM541,"FEFO auto"))))</f>
        <v>FEFO auto</v>
      </c>
      <c r="AO541" s="114"/>
    </row>
    <row r="542" spans="1:41" x14ac:dyDescent="0.35">
      <c r="A542" s="74">
        <v>46147</v>
      </c>
      <c r="B542" s="18" t="str">
        <f>IF($C542="","",IFERROR(INDEX('Staff Directory'!$A$5:$A$594,MATCH($C542,'Staff Directory'!$B$5:$B$594,0)),"⚠ unknown staff"))</f>
        <v>PSW-013-A5</v>
      </c>
      <c r="C542" s="49" t="s">
        <v>989</v>
      </c>
      <c r="D542" s="19" t="str">
        <f>IF($B542="","",IFERROR(INDEX('Staff Directory'!$C$5:$C$594,MATCH($B542,'Staff Directory'!$A$5:$A$594,0)),""))</f>
        <v>PSW</v>
      </c>
      <c r="E542" s="19" t="str">
        <f>IF($B542="","",IFERROR(INDEX('Staff Directory'!$D$5:$D$594,MATCH($B542,'Staff Directory'!$A$5:$A$594,0)),""))</f>
        <v>A5</v>
      </c>
      <c r="F542" s="9" t="s">
        <v>156</v>
      </c>
      <c r="G542" s="18" t="str">
        <f>IF($F542="","",IFERROR(INDEX(Items!$B$5:$B$597,MATCH($F542,Items!$A$5:$A$597,0)),"⚠ not in Items"))</f>
        <v>Masks</v>
      </c>
      <c r="H542" s="19" t="str">
        <f>IF($F542="","",IFERROR(INDEX(Items!$C$5:$C$597,MATCH($F542,Items!$A$5:$A$597,0)),""))</f>
        <v>One Size</v>
      </c>
      <c r="I542" s="23">
        <f>IF($F542="","",IFERROR(INDEX(Items!$E$5:$E$597,MATCH($F542,Items!$A$5:$A$597,0)),""))</f>
        <v>50</v>
      </c>
      <c r="J542" s="115">
        <f>IF(tblIssues[[#This Row],[Qty Override]]&lt;&gt;"",tblIssues[[#This Row],[Qty Override]],IF(tblIssues[[#This Row],[Standard Issue]]="","",tblIssues[[#This Row],[Standard Issue]]))</f>
        <v>50</v>
      </c>
      <c r="K542" s="20">
        <f>IF($F542="","",IFERROR(INDEX(Items!$D$5:$D$597,MATCH($F542,Items!$A$5:$A$597,0)),""))</f>
        <v>0.25</v>
      </c>
      <c r="L542" s="21">
        <f t="shared" si="94"/>
        <v>12.5</v>
      </c>
      <c r="M542" s="9" t="str">
        <f t="shared" si="95"/>
        <v>0125FPC24-0</v>
      </c>
      <c r="N542" s="24">
        <f>IF($A542="","",WORKDAY($A542,Settings!$C$9,HolidayDates))</f>
        <v>46155</v>
      </c>
      <c r="O542" s="24">
        <f>IF($N542="","",WORKDAY($N542,Settings!$C$10,HolidayDates))</f>
        <v>46195</v>
      </c>
      <c r="P542" s="10" t="s">
        <v>501</v>
      </c>
      <c r="Q542" s="52" t="str">
        <f t="shared" si="97"/>
        <v>Collected</v>
      </c>
      <c r="R542" s="55" t="str">
        <f t="shared" si="98"/>
        <v>2026-05</v>
      </c>
      <c r="S542" s="55">
        <f>IF(OR($B542="",$F542="",$R542=""),"",SUMIFS(tblIssues[Qty Issued],tblIssues[Staff ID],$B542,tblIssues[Item Name],$F542,tblIssues[Month],$R542))</f>
        <v>50</v>
      </c>
      <c r="T542" s="56">
        <f>IF($I542="","",$I542*Settings!$C$11)</f>
        <v>50</v>
      </c>
      <c r="U542" s="57" t="str">
        <f t="shared" si="96"/>
        <v>OK</v>
      </c>
      <c r="V542" s="55" t="str">
        <f t="shared" si="99"/>
        <v/>
      </c>
      <c r="W542" s="55" t="str">
        <f>IF($V542="","",IF(COUNTIF($V$5:$V542,$V542)=1,1,""))</f>
        <v/>
      </c>
      <c r="X542" s="58" t="str">
        <f>IF($W542="","",MAX($X$4:X541)+1)</f>
        <v/>
      </c>
      <c r="Y542" s="62"/>
      <c r="Z542" s="62"/>
      <c r="AA542" s="64" t="str">
        <f>IF($C542="","",IFERROR(INDEX('Staff Directory'!$E$5:$E$594,MATCH($C542,'Staff Directory'!$B$5:$B$594,0)),""))</f>
        <v>firstname073.lastname073@example.com</v>
      </c>
      <c r="AB542" s="64" t="str">
        <f>IF($C542="","",IF(ISNUMBER(SEARCH($D542,Settings!$C$15)),"Pickup","Dispatch"))</f>
        <v>Pickup</v>
      </c>
      <c r="AC542" s="64" t="str">
        <f t="shared" si="100"/>
        <v>Supply order ready for pickup</v>
      </c>
      <c r="AD542" s="64" t="str">
        <f t="shared" si="91"/>
        <v>Dear PSW,
Your order is ready for pickup from Sample Branch, Wed-Fri 9am-4pm.</v>
      </c>
      <c r="AE542" s="64" t="str">
        <f t="shared" si="92"/>
        <v>mailto:firstname073.lastname073@example.com?subject=Supply%20order%20ready%20for%20pickup&amp;body=Dear%20PSW%2C%0A%0AYour%20order%20is%20ready%20for%20pickup%20from%20Sample%20Branch%2C%20Wed-Fri%209am-4pm.</v>
      </c>
      <c r="AF542" s="89" t="str">
        <f t="shared" si="101"/>
        <v>Draft email</v>
      </c>
      <c r="AG542" s="64" t="str">
        <f>IF($C542="","",IFERROR(INDEX('Staff Directory'!$K$595:$K$599,MATCH($C542,'Staff Directory'!$B$5:$B$599,0)),$D542))</f>
        <v>PSW</v>
      </c>
      <c r="AH542" t="str">
        <f>IF($C542="","",IFERROR(INDEX('Staff Directory'!$I$595:$I$599,MATCH($C542,'Staff Directory'!$B$5:$B$599,0))&amp;" "&amp;INDEX('Staff Directory'!$J$595:$J$599,MATCH($C542,'Staff Directory'!$B$5:$B$599,0)),$AG542))</f>
        <v>PSW</v>
      </c>
      <c r="AI542" s="102"/>
      <c r="AJ542" s="101">
        <f>IF($F542="","",SUMIFS($J$5:$J542,$F$5:$F542,$F542))</f>
        <v>4400</v>
      </c>
      <c r="AK542" s="101">
        <f t="shared" si="93"/>
        <v>4351</v>
      </c>
      <c r="AL542" s="66" t="str" cm="1">
        <f t="array" ref="AL542">IF($F542="","",IFERROR(INDEX('Lot Balance'!$B$5:$B$500,MATCH(1,INDEX(('Lot Balance'!$A$5:$A$500=$F542)*('Lot Balance'!$K$5:$K$500&lt;$AK542)*('Lot Balance'!$K$5:$K$500+'Lot Balance'!$D$5:$D$500&gt;=$AK542),0),0)),""))</f>
        <v>0125FPC24-0</v>
      </c>
      <c r="AM542" s="66" t="str" cm="1">
        <f t="array" ref="AM542">IF($F542="","",IFERROR(INDEX('Lot Balance'!$B$5:$B$500,MATCH(1,INDEX(('Lot Balance'!$A$5:$A$500=$F542)*('Lot Balance'!$K$5:$K$500&lt;$AJ542)*('Lot Balance'!$K$5:$K$500+'Lot Balance'!$D$5:$D$500&gt;=$AJ542),0),0)),""))</f>
        <v>0125FPC24-0</v>
      </c>
      <c r="AN542" s="66" t="str">
        <f>IF($F542="","",IF($AI542&lt;&gt;"",IF(COUNTIFS('Lot Balance'!$A$5:$A$500,$F542,'Lot Balance'!$B$5:$B$500,$AI542)=0,"⚠ override is not a lot of this item",IF($AI542=$AL542,"Override = FEFO","Override - FEFO says "&amp;$AL542)),IF($AL542="","⚠ no receipt on file for this item",IF($AM542&lt;&gt;$AL542,"FEFO auto - split, also "&amp;$AM542,"FEFO auto"))))</f>
        <v>FEFO auto</v>
      </c>
      <c r="AO542" s="114"/>
    </row>
    <row r="543" spans="1:41" x14ac:dyDescent="0.35">
      <c r="A543" s="74">
        <v>46147</v>
      </c>
      <c r="B543" s="18" t="str">
        <f>IF($C543="","",IFERROR(INDEX('Staff Directory'!$A$5:$A$594,MATCH($C543,'Staff Directory'!$B$5:$B$594,0)),"⚠ unknown staff"))</f>
        <v>PSW-142-A6</v>
      </c>
      <c r="C543" s="49" t="s">
        <v>1121</v>
      </c>
      <c r="D543" s="19" t="str">
        <f>IF($B543="","",IFERROR(INDEX('Staff Directory'!$C$5:$C$594,MATCH($B543,'Staff Directory'!$A$5:$A$594,0)),""))</f>
        <v>PSW</v>
      </c>
      <c r="E543" s="19" t="str">
        <f>IF($B543="","",IFERROR(INDEX('Staff Directory'!$D$5:$D$594,MATCH($B543,'Staff Directory'!$A$5:$A$594,0)),""))</f>
        <v>A6</v>
      </c>
      <c r="F543" s="9" t="s">
        <v>129</v>
      </c>
      <c r="G543" s="18" t="str">
        <f>IF($F543="","",IFERROR(INDEX(Items!$B$5:$B$597,MATCH($F543,Items!$A$5:$A$597,0)),"⚠ not in Items"))</f>
        <v>Gloves</v>
      </c>
      <c r="H543" s="19" t="str">
        <f>IF($F543="","",IFERROR(INDEX(Items!$C$5:$C$597,MATCH($F543,Items!$A$5:$A$597,0)),""))</f>
        <v>Small</v>
      </c>
      <c r="I543" s="23">
        <f>IF($F543="","",IFERROR(INDEX(Items!$E$5:$E$597,MATCH($F543,Items!$A$5:$A$597,0)),""))</f>
        <v>500</v>
      </c>
      <c r="J543" s="115">
        <f>IF(tblIssues[[#This Row],[Qty Override]]&lt;&gt;"",tblIssues[[#This Row],[Qty Override]],IF(tblIssues[[#This Row],[Standard Issue]]="","",tblIssues[[#This Row],[Standard Issue]]))</f>
        <v>500</v>
      </c>
      <c r="K543" s="20">
        <f>IF($F543="","",IFERROR(INDEX(Items!$D$5:$D$597,MATCH($F543,Items!$A$5:$A$597,0)),""))</f>
        <v>5.5E-2</v>
      </c>
      <c r="L543" s="21">
        <f t="shared" si="94"/>
        <v>27.5</v>
      </c>
      <c r="M543" s="9" t="str">
        <f t="shared" si="95"/>
        <v>O210LIC25</v>
      </c>
      <c r="N543" s="24">
        <f>IF($A543="","",WORKDAY($A543,Settings!$C$9,HolidayDates))</f>
        <v>46155</v>
      </c>
      <c r="O543" s="24">
        <f>IF($N543="","",WORKDAY($N543,Settings!$C$10,HolidayDates))</f>
        <v>46195</v>
      </c>
      <c r="P543" s="10" t="s">
        <v>501</v>
      </c>
      <c r="Q543" s="52" t="str">
        <f t="shared" si="97"/>
        <v>Collected</v>
      </c>
      <c r="R543" s="55" t="str">
        <f t="shared" si="98"/>
        <v>2026-05</v>
      </c>
      <c r="S543" s="55">
        <f>IF(OR($B543="",$F543="",$R543=""),"",SUMIFS(tblIssues[Qty Issued],tblIssues[Staff ID],$B543,tblIssues[Item Name],$F543,tblIssues[Month],$R543))</f>
        <v>500</v>
      </c>
      <c r="T543" s="56">
        <f>IF($I543="","",$I543*Settings!$C$11)</f>
        <v>500</v>
      </c>
      <c r="U543" s="57" t="str">
        <f t="shared" si="96"/>
        <v>OK</v>
      </c>
      <c r="V543" s="55" t="str">
        <f t="shared" si="99"/>
        <v/>
      </c>
      <c r="W543" s="55" t="str">
        <f>IF($V543="","",IF(COUNTIF($V$5:$V543,$V543)=1,1,""))</f>
        <v/>
      </c>
      <c r="X543" s="58" t="str">
        <f>IF($W543="","",MAX($X$4:X542)+1)</f>
        <v/>
      </c>
      <c r="Y543" s="62"/>
      <c r="Z543" s="62"/>
      <c r="AA543" s="64" t="str">
        <f>IF($C543="","",IFERROR(INDEX('Staff Directory'!$E$5:$E$594,MATCH($C543,'Staff Directory'!$B$5:$B$594,0)),""))</f>
        <v>firstname205.lastname205@example.com</v>
      </c>
      <c r="AB543" s="64" t="str">
        <f>IF($C543="","",IF(ISNUMBER(SEARCH($D543,Settings!$C$15)),"Pickup","Dispatch"))</f>
        <v>Pickup</v>
      </c>
      <c r="AC543" s="64" t="str">
        <f t="shared" si="100"/>
        <v>Supply order ready for pickup</v>
      </c>
      <c r="AD543" s="64" t="str">
        <f t="shared" si="91"/>
        <v>Dear PSW,
Your order is ready for pickup from Sample Branch, Wed-Fri 9am-4pm.</v>
      </c>
      <c r="AE543" s="64" t="str">
        <f t="shared" si="92"/>
        <v>mailto:firstname205.lastname205@example.com?subject=Supply%20order%20ready%20for%20pickup&amp;body=Dear%20PSW%2C%0A%0AYour%20order%20is%20ready%20for%20pickup%20from%20Sample%20Branch%2C%20Wed-Fri%209am-4pm.</v>
      </c>
      <c r="AF543" s="89" t="str">
        <f t="shared" si="101"/>
        <v>Draft email</v>
      </c>
      <c r="AG543" s="64" t="str">
        <f>IF($C543="","",IFERROR(INDEX('Staff Directory'!$K$595:$K$599,MATCH($C543,'Staff Directory'!$B$5:$B$599,0)),$D543))</f>
        <v>PSW</v>
      </c>
      <c r="AH543" t="str">
        <f>IF($C543="","",IFERROR(INDEX('Staff Directory'!$I$595:$I$599,MATCH($C543,'Staff Directory'!$B$5:$B$599,0))&amp;" "&amp;INDEX('Staff Directory'!$J$595:$J$599,MATCH($C543,'Staff Directory'!$B$5:$B$599,0)),$AG543))</f>
        <v>PSW</v>
      </c>
      <c r="AI543" s="102"/>
      <c r="AJ543" s="101">
        <f>IF($F543="","",SUMIFS($J$5:$J543,$F$5:$F543,$F543))</f>
        <v>20000</v>
      </c>
      <c r="AK543" s="101">
        <f t="shared" si="93"/>
        <v>19501</v>
      </c>
      <c r="AL543" s="66" t="str" cm="1">
        <f t="array" ref="AL543">IF($F543="","",IFERROR(INDEX('Lot Balance'!$B$5:$B$500,MATCH(1,INDEX(('Lot Balance'!$A$5:$A$500=$F543)*('Lot Balance'!$K$5:$K$500&lt;$AK543)*('Lot Balance'!$K$5:$K$500+'Lot Balance'!$D$5:$D$500&gt;=$AK543),0),0)),""))</f>
        <v>O210LIC25</v>
      </c>
      <c r="AM543" s="66" t="str" cm="1">
        <f t="array" ref="AM543">IF($F543="","",IFERROR(INDEX('Lot Balance'!$B$5:$B$500,MATCH(1,INDEX(('Lot Balance'!$A$5:$A$500=$F543)*('Lot Balance'!$K$5:$K$500&lt;$AJ543)*('Lot Balance'!$K$5:$K$500+'Lot Balance'!$D$5:$D$500&gt;=$AJ543),0),0)),""))</f>
        <v>O210LIC25</v>
      </c>
      <c r="AN543" s="66" t="str">
        <f>IF($F543="","",IF($AI543&lt;&gt;"",IF(COUNTIFS('Lot Balance'!$A$5:$A$500,$F543,'Lot Balance'!$B$5:$B$500,$AI543)=0,"⚠ override is not a lot of this item",IF($AI543=$AL543,"Override = FEFO","Override - FEFO says "&amp;$AL543)),IF($AL543="","⚠ no receipt on file for this item",IF($AM543&lt;&gt;$AL543,"FEFO auto - split, also "&amp;$AM543,"FEFO auto"))))</f>
        <v>FEFO auto</v>
      </c>
      <c r="AO543" s="114"/>
    </row>
    <row r="544" spans="1:41" x14ac:dyDescent="0.35">
      <c r="A544" s="74">
        <v>46147</v>
      </c>
      <c r="B544" s="18" t="str">
        <f>IF($C544="","",IFERROR(INDEX('Staff Directory'!$A$5:$A$594,MATCH($C544,'Staff Directory'!$B$5:$B$594,0)),"⚠ unknown staff"))</f>
        <v>PSW-142-A6</v>
      </c>
      <c r="C544" s="49" t="s">
        <v>1121</v>
      </c>
      <c r="D544" s="19" t="str">
        <f>IF($B544="","",IFERROR(INDEX('Staff Directory'!$C$5:$C$594,MATCH($B544,'Staff Directory'!$A$5:$A$594,0)),""))</f>
        <v>PSW</v>
      </c>
      <c r="E544" s="19" t="str">
        <f>IF($B544="","",IFERROR(INDEX('Staff Directory'!$D$5:$D$594,MATCH($B544,'Staff Directory'!$A$5:$A$594,0)),""))</f>
        <v>A6</v>
      </c>
      <c r="F544" s="9" t="s">
        <v>191</v>
      </c>
      <c r="G544" s="18" t="str">
        <f>IF($F544="","",IFERROR(INDEX(Items!$B$5:$B$597,MATCH($F544,Items!$A$5:$A$597,0)),"⚠ not in Items"))</f>
        <v>Sanitizer</v>
      </c>
      <c r="H544" s="19" t="str">
        <f>IF($F544="","",IFERROR(INDEX(Items!$C$5:$C$597,MATCH($F544,Items!$A$5:$A$597,0)),""))</f>
        <v>236 ML</v>
      </c>
      <c r="I544" s="23">
        <f>IF($F544="","",IFERROR(INDEX(Items!$E$5:$E$597,MATCH($F544,Items!$A$5:$A$597,0)),""))</f>
        <v>1</v>
      </c>
      <c r="J544" s="115">
        <f>IF(tblIssues[[#This Row],[Qty Override]]&lt;&gt;"",tblIssues[[#This Row],[Qty Override]],IF(tblIssues[[#This Row],[Standard Issue]]="","",tblIssues[[#This Row],[Standard Issue]]))</f>
        <v>1</v>
      </c>
      <c r="K544" s="20">
        <f>IF($F544="","",IFERROR(INDEX(Items!$D$5:$D$597,MATCH($F544,Items!$A$5:$A$597,0)),""))</f>
        <v>1E-4</v>
      </c>
      <c r="L544" s="21">
        <f t="shared" si="94"/>
        <v>1E-4</v>
      </c>
      <c r="M544" s="9" t="str">
        <f t="shared" si="95"/>
        <v>20-21734-2</v>
      </c>
      <c r="N544" s="24">
        <f>IF($A544="","",WORKDAY($A544,Settings!$C$9,HolidayDates))</f>
        <v>46155</v>
      </c>
      <c r="O544" s="24">
        <f>IF($N544="","",WORKDAY($N544,Settings!$C$10,HolidayDates))</f>
        <v>46195</v>
      </c>
      <c r="P544" s="10" t="s">
        <v>501</v>
      </c>
      <c r="Q544" s="52" t="str">
        <f t="shared" si="97"/>
        <v>Collected</v>
      </c>
      <c r="R544" s="55" t="str">
        <f t="shared" si="98"/>
        <v>2026-05</v>
      </c>
      <c r="S544" s="55">
        <f>IF(OR($B544="",$F544="",$R544=""),"",SUMIFS(tblIssues[Qty Issued],tblIssues[Staff ID],$B544,tblIssues[Item Name],$F544,tblIssues[Month],$R544))</f>
        <v>1</v>
      </c>
      <c r="T544" s="56">
        <f>IF($I544="","",$I544*Settings!$C$11)</f>
        <v>1</v>
      </c>
      <c r="U544" s="57" t="str">
        <f t="shared" si="96"/>
        <v>OK</v>
      </c>
      <c r="V544" s="55" t="str">
        <f t="shared" si="99"/>
        <v/>
      </c>
      <c r="W544" s="55" t="str">
        <f>IF($V544="","",IF(COUNTIF($V$5:$V544,$V544)=1,1,""))</f>
        <v/>
      </c>
      <c r="X544" s="58" t="str">
        <f>IF($W544="","",MAX($X$4:X543)+1)</f>
        <v/>
      </c>
      <c r="Y544" s="62"/>
      <c r="Z544" s="62"/>
      <c r="AA544" s="64" t="str">
        <f>IF($C544="","",IFERROR(INDEX('Staff Directory'!$E$5:$E$594,MATCH($C544,'Staff Directory'!$B$5:$B$594,0)),""))</f>
        <v>firstname205.lastname205@example.com</v>
      </c>
      <c r="AB544" s="64" t="str">
        <f>IF($C544="","",IF(ISNUMBER(SEARCH($D544,Settings!$C$15)),"Pickup","Dispatch"))</f>
        <v>Pickup</v>
      </c>
      <c r="AC544" s="64" t="str">
        <f t="shared" si="100"/>
        <v>Supply order ready for pickup</v>
      </c>
      <c r="AD544" s="64" t="str">
        <f t="shared" si="91"/>
        <v>Dear PSW,
Your order is ready for pickup from Sample Branch, Wed-Fri 9am-4pm.</v>
      </c>
      <c r="AE544" s="64" t="str">
        <f t="shared" si="92"/>
        <v>mailto:firstname205.lastname205@example.com?subject=Supply%20order%20ready%20for%20pickup&amp;body=Dear%20PSW%2C%0A%0AYour%20order%20is%20ready%20for%20pickup%20from%20Sample%20Branch%2C%20Wed-Fri%209am-4pm.</v>
      </c>
      <c r="AF544" s="89" t="str">
        <f t="shared" si="101"/>
        <v>Draft email</v>
      </c>
      <c r="AG544" s="64" t="str">
        <f>IF($C544="","",IFERROR(INDEX('Staff Directory'!$K$595:$K$599,MATCH($C544,'Staff Directory'!$B$5:$B$599,0)),$D544))</f>
        <v>PSW</v>
      </c>
      <c r="AH544" t="str">
        <f>IF($C544="","",IFERROR(INDEX('Staff Directory'!$I$595:$I$599,MATCH($C544,'Staff Directory'!$B$5:$B$599,0))&amp;" "&amp;INDEX('Staff Directory'!$J$595:$J$599,MATCH($C544,'Staff Directory'!$B$5:$B$599,0)),$AG544))</f>
        <v>PSW</v>
      </c>
      <c r="AI544" s="102"/>
      <c r="AJ544" s="101">
        <f>IF($F544="","",SUMIFS($J$5:$J544,$F$5:$F544,$F544))</f>
        <v>60</v>
      </c>
      <c r="AK544" s="101">
        <f t="shared" si="93"/>
        <v>60</v>
      </c>
      <c r="AL544" s="66" t="str" cm="1">
        <f t="array" ref="AL544">IF($F544="","",IFERROR(INDEX('Lot Balance'!$B$5:$B$500,MATCH(1,INDEX(('Lot Balance'!$A$5:$A$500=$F544)*('Lot Balance'!$K$5:$K$500&lt;$AK544)*('Lot Balance'!$K$5:$K$500+'Lot Balance'!$D$5:$D$500&gt;=$AK544),0),0)),""))</f>
        <v>20-21734-2</v>
      </c>
      <c r="AM544" s="66" t="str" cm="1">
        <f t="array" ref="AM544">IF($F544="","",IFERROR(INDEX('Lot Balance'!$B$5:$B$500,MATCH(1,INDEX(('Lot Balance'!$A$5:$A$500=$F544)*('Lot Balance'!$K$5:$K$500&lt;$AJ544)*('Lot Balance'!$K$5:$K$500+'Lot Balance'!$D$5:$D$500&gt;=$AJ544),0),0)),""))</f>
        <v>20-21734-2</v>
      </c>
      <c r="AN544" s="66" t="str">
        <f>IF($F544="","",IF($AI544&lt;&gt;"",IF(COUNTIFS('Lot Balance'!$A$5:$A$500,$F544,'Lot Balance'!$B$5:$B$500,$AI544)=0,"⚠ override is not a lot of this item",IF($AI544=$AL544,"Override = FEFO","Override - FEFO says "&amp;$AL544)),IF($AL544="","⚠ no receipt on file for this item",IF($AM544&lt;&gt;$AL544,"FEFO auto - split, also "&amp;$AM544,"FEFO auto"))))</f>
        <v>FEFO auto</v>
      </c>
      <c r="AO544" s="114"/>
    </row>
    <row r="545" spans="1:41" x14ac:dyDescent="0.35">
      <c r="A545" s="74">
        <v>46147</v>
      </c>
      <c r="B545" s="18" t="str">
        <f>IF($C545="","",IFERROR(INDEX('Staff Directory'!$A$5:$A$594,MATCH($C545,'Staff Directory'!$B$5:$B$594,0)),"⚠ unknown staff"))</f>
        <v>PSW-142-A6</v>
      </c>
      <c r="C545" s="49" t="s">
        <v>1121</v>
      </c>
      <c r="D545" s="19" t="str">
        <f>IF($B545="","",IFERROR(INDEX('Staff Directory'!$C$5:$C$594,MATCH($B545,'Staff Directory'!$A$5:$A$594,0)),""))</f>
        <v>PSW</v>
      </c>
      <c r="E545" s="19" t="str">
        <f>IF($B545="","",IFERROR(INDEX('Staff Directory'!$D$5:$D$594,MATCH($B545,'Staff Directory'!$A$5:$A$594,0)),""))</f>
        <v>A6</v>
      </c>
      <c r="F545" s="9" t="s">
        <v>115</v>
      </c>
      <c r="G545" s="18" t="str">
        <f>IF($F545="","",IFERROR(INDEX(Items!$B$5:$B$597,MATCH($F545,Items!$A$5:$A$597,0)),"⚠ not in Items"))</f>
        <v>Wipes</v>
      </c>
      <c r="H545" s="19">
        <f>IF($F545="","",IFERROR(INDEX(Items!$C$5:$C$597,MATCH($F545,Items!$A$5:$A$597,0)),""))</f>
        <v>80</v>
      </c>
      <c r="I545" s="23">
        <f>IF($F545="","",IFERROR(INDEX(Items!$E$5:$E$597,MATCH($F545,Items!$A$5:$A$597,0)),""))</f>
        <v>80</v>
      </c>
      <c r="J545" s="115">
        <f>IF(tblIssues[[#This Row],[Qty Override]]&lt;&gt;"",tblIssues[[#This Row],[Qty Override]],IF(tblIssues[[#This Row],[Standard Issue]]="","",tblIssues[[#This Row],[Standard Issue]]))</f>
        <v>80</v>
      </c>
      <c r="K545" s="20">
        <f>IF($F545="","",IFERROR(INDEX(Items!$D$5:$D$597,MATCH($F545,Items!$A$5:$A$597,0)),""))</f>
        <v>0.1</v>
      </c>
      <c r="L545" s="21">
        <f t="shared" si="94"/>
        <v>8</v>
      </c>
      <c r="M545" s="9" t="str">
        <f t="shared" si="95"/>
        <v>LYSL500290</v>
      </c>
      <c r="N545" s="24">
        <f>IF($A545="","",WORKDAY($A545,Settings!$C$9,HolidayDates))</f>
        <v>46155</v>
      </c>
      <c r="O545" s="24">
        <f>IF($N545="","",WORKDAY($N545,Settings!$C$10,HolidayDates))</f>
        <v>46195</v>
      </c>
      <c r="P545" s="10" t="s">
        <v>501</v>
      </c>
      <c r="Q545" s="52" t="str">
        <f t="shared" si="97"/>
        <v>Collected</v>
      </c>
      <c r="R545" s="55" t="str">
        <f t="shared" si="98"/>
        <v>2026-05</v>
      </c>
      <c r="S545" s="55">
        <f>IF(OR($B545="",$F545="",$R545=""),"",SUMIFS(tblIssues[Qty Issued],tblIssues[Staff ID],$B545,tblIssues[Item Name],$F545,tblIssues[Month],$R545))</f>
        <v>80</v>
      </c>
      <c r="T545" s="56">
        <f>IF($I545="","",$I545*Settings!$C$11)</f>
        <v>80</v>
      </c>
      <c r="U545" s="57" t="str">
        <f t="shared" si="96"/>
        <v>OK</v>
      </c>
      <c r="V545" s="55" t="str">
        <f t="shared" si="99"/>
        <v/>
      </c>
      <c r="W545" s="55" t="str">
        <f>IF($V545="","",IF(COUNTIF($V$5:$V545,$V545)=1,1,""))</f>
        <v/>
      </c>
      <c r="X545" s="58" t="str">
        <f>IF($W545="","",MAX($X$4:X544)+1)</f>
        <v/>
      </c>
      <c r="Y545" s="62"/>
      <c r="Z545" s="62"/>
      <c r="AA545" s="64" t="str">
        <f>IF($C545="","",IFERROR(INDEX('Staff Directory'!$E$5:$E$594,MATCH($C545,'Staff Directory'!$B$5:$B$594,0)),""))</f>
        <v>firstname205.lastname205@example.com</v>
      </c>
      <c r="AB545" s="64" t="str">
        <f>IF($C545="","",IF(ISNUMBER(SEARCH($D545,Settings!$C$15)),"Pickup","Dispatch"))</f>
        <v>Pickup</v>
      </c>
      <c r="AC545" s="64" t="str">
        <f t="shared" si="100"/>
        <v>Supply order ready for pickup</v>
      </c>
      <c r="AD545" s="64" t="str">
        <f t="shared" si="91"/>
        <v>Dear PSW,
Your order is ready for pickup from Sample Branch, Wed-Fri 9am-4pm.</v>
      </c>
      <c r="AE545" s="64" t="str">
        <f t="shared" si="92"/>
        <v>mailto:firstname205.lastname205@example.com?subject=Supply%20order%20ready%20for%20pickup&amp;body=Dear%20PSW%2C%0A%0AYour%20order%20is%20ready%20for%20pickup%20from%20Sample%20Branch%2C%20Wed-Fri%209am-4pm.</v>
      </c>
      <c r="AF545" s="89" t="str">
        <f t="shared" si="101"/>
        <v>Draft email</v>
      </c>
      <c r="AG545" s="64" t="str">
        <f>IF($C545="","",IFERROR(INDEX('Staff Directory'!$K$595:$K$599,MATCH($C545,'Staff Directory'!$B$5:$B$599,0)),$D545))</f>
        <v>PSW</v>
      </c>
      <c r="AH545" t="str">
        <f>IF($C545="","",IFERROR(INDEX('Staff Directory'!$I$595:$I$599,MATCH($C545,'Staff Directory'!$B$5:$B$599,0))&amp;" "&amp;INDEX('Staff Directory'!$J$595:$J$599,MATCH($C545,'Staff Directory'!$B$5:$B$599,0)),$AG545))</f>
        <v>PSW</v>
      </c>
      <c r="AI545" s="102"/>
      <c r="AJ545" s="101">
        <f>IF($F545="","",SUMIFS($J$5:$J545,$F$5:$F545,$F545))</f>
        <v>7760</v>
      </c>
      <c r="AK545" s="101">
        <f t="shared" si="93"/>
        <v>7681</v>
      </c>
      <c r="AL545" s="66" t="str" cm="1">
        <f t="array" ref="AL545">IF($F545="","",IFERROR(INDEX('Lot Balance'!$B$5:$B$500,MATCH(1,INDEX(('Lot Balance'!$A$5:$A$500=$F545)*('Lot Balance'!$K$5:$K$500&lt;$AK545)*('Lot Balance'!$K$5:$K$500+'Lot Balance'!$D$5:$D$500&gt;=$AK545),0),0)),""))</f>
        <v>LYSL500290</v>
      </c>
      <c r="AM545" s="66" t="str" cm="1">
        <f t="array" ref="AM545">IF($F545="","",IFERROR(INDEX('Lot Balance'!$B$5:$B$500,MATCH(1,INDEX(('Lot Balance'!$A$5:$A$500=$F545)*('Lot Balance'!$K$5:$K$500&lt;$AJ545)*('Lot Balance'!$K$5:$K$500+'Lot Balance'!$D$5:$D$500&gt;=$AJ545),0),0)),""))</f>
        <v>LYSL500290</v>
      </c>
      <c r="AN545" s="66" t="str">
        <f>IF($F545="","",IF($AI545&lt;&gt;"",IF(COUNTIFS('Lot Balance'!$A$5:$A$500,$F545,'Lot Balance'!$B$5:$B$500,$AI545)=0,"⚠ override is not a lot of this item",IF($AI545=$AL545,"Override = FEFO","Override - FEFO says "&amp;$AL545)),IF($AL545="","⚠ no receipt on file for this item",IF($AM545&lt;&gt;$AL545,"FEFO auto - split, also "&amp;$AM545,"FEFO auto"))))</f>
        <v>FEFO auto</v>
      </c>
      <c r="AO545" s="114"/>
    </row>
    <row r="546" spans="1:41" x14ac:dyDescent="0.35">
      <c r="A546" s="74">
        <v>46147</v>
      </c>
      <c r="B546" s="18" t="str">
        <f>IF($C546="","",IFERROR(INDEX('Staff Directory'!$A$5:$A$594,MATCH($C546,'Staff Directory'!$B$5:$B$594,0)),"⚠ unknown staff"))</f>
        <v>PSW-142-A6</v>
      </c>
      <c r="C546" s="49" t="s">
        <v>1121</v>
      </c>
      <c r="D546" s="19" t="str">
        <f>IF($B546="","",IFERROR(INDEX('Staff Directory'!$C$5:$C$594,MATCH($B546,'Staff Directory'!$A$5:$A$594,0)),""))</f>
        <v>PSW</v>
      </c>
      <c r="E546" s="19" t="str">
        <f>IF($B546="","",IFERROR(INDEX('Staff Directory'!$D$5:$D$594,MATCH($B546,'Staff Directory'!$A$5:$A$594,0)),""))</f>
        <v>A6</v>
      </c>
      <c r="F546" s="9" t="s">
        <v>156</v>
      </c>
      <c r="G546" s="18" t="str">
        <f>IF($F546="","",IFERROR(INDEX(Items!$B$5:$B$597,MATCH($F546,Items!$A$5:$A$597,0)),"⚠ not in Items"))</f>
        <v>Masks</v>
      </c>
      <c r="H546" s="19" t="str">
        <f>IF($F546="","",IFERROR(INDEX(Items!$C$5:$C$597,MATCH($F546,Items!$A$5:$A$597,0)),""))</f>
        <v>One Size</v>
      </c>
      <c r="I546" s="23">
        <f>IF($F546="","",IFERROR(INDEX(Items!$E$5:$E$597,MATCH($F546,Items!$A$5:$A$597,0)),""))</f>
        <v>50</v>
      </c>
      <c r="J546" s="115">
        <f>IF(tblIssues[[#This Row],[Qty Override]]&lt;&gt;"",tblIssues[[#This Row],[Qty Override]],IF(tblIssues[[#This Row],[Standard Issue]]="","",tblIssues[[#This Row],[Standard Issue]]))</f>
        <v>50</v>
      </c>
      <c r="K546" s="20">
        <f>IF($F546="","",IFERROR(INDEX(Items!$D$5:$D$597,MATCH($F546,Items!$A$5:$A$597,0)),""))</f>
        <v>0.25</v>
      </c>
      <c r="L546" s="21">
        <f t="shared" si="94"/>
        <v>12.5</v>
      </c>
      <c r="M546" s="9" t="str">
        <f t="shared" si="95"/>
        <v>0125FPC24-0</v>
      </c>
      <c r="N546" s="24">
        <f>IF($A546="","",WORKDAY($A546,Settings!$C$9,HolidayDates))</f>
        <v>46155</v>
      </c>
      <c r="O546" s="24">
        <f>IF($N546="","",WORKDAY($N546,Settings!$C$10,HolidayDates))</f>
        <v>46195</v>
      </c>
      <c r="P546" s="10" t="s">
        <v>501</v>
      </c>
      <c r="Q546" s="52" t="str">
        <f t="shared" si="97"/>
        <v>Collected</v>
      </c>
      <c r="R546" s="55" t="str">
        <f t="shared" si="98"/>
        <v>2026-05</v>
      </c>
      <c r="S546" s="55">
        <f>IF(OR($B546="",$F546="",$R546=""),"",SUMIFS(tblIssues[Qty Issued],tblIssues[Staff ID],$B546,tblIssues[Item Name],$F546,tblIssues[Month],$R546))</f>
        <v>50</v>
      </c>
      <c r="T546" s="56">
        <f>IF($I546="","",$I546*Settings!$C$11)</f>
        <v>50</v>
      </c>
      <c r="U546" s="57" t="str">
        <f t="shared" si="96"/>
        <v>OK</v>
      </c>
      <c r="V546" s="55" t="str">
        <f t="shared" si="99"/>
        <v/>
      </c>
      <c r="W546" s="55" t="str">
        <f>IF($V546="","",IF(COUNTIF($V$5:$V546,$V546)=1,1,""))</f>
        <v/>
      </c>
      <c r="X546" s="58" t="str">
        <f>IF($W546="","",MAX($X$4:X545)+1)</f>
        <v/>
      </c>
      <c r="Y546" s="62"/>
      <c r="Z546" s="62"/>
      <c r="AA546" s="64" t="str">
        <f>IF($C546="","",IFERROR(INDEX('Staff Directory'!$E$5:$E$594,MATCH($C546,'Staff Directory'!$B$5:$B$594,0)),""))</f>
        <v>firstname205.lastname205@example.com</v>
      </c>
      <c r="AB546" s="64" t="str">
        <f>IF($C546="","",IF(ISNUMBER(SEARCH($D546,Settings!$C$15)),"Pickup","Dispatch"))</f>
        <v>Pickup</v>
      </c>
      <c r="AC546" s="64" t="str">
        <f t="shared" si="100"/>
        <v>Supply order ready for pickup</v>
      </c>
      <c r="AD546" s="64" t="str">
        <f t="shared" si="91"/>
        <v>Dear PSW,
Your order is ready for pickup from Sample Branch, Wed-Fri 9am-4pm.</v>
      </c>
      <c r="AE546" s="64" t="str">
        <f t="shared" si="92"/>
        <v>mailto:firstname205.lastname205@example.com?subject=Supply%20order%20ready%20for%20pickup&amp;body=Dear%20PSW%2C%0A%0AYour%20order%20is%20ready%20for%20pickup%20from%20Sample%20Branch%2C%20Wed-Fri%209am-4pm.</v>
      </c>
      <c r="AF546" s="89" t="str">
        <f t="shared" si="101"/>
        <v>Draft email</v>
      </c>
      <c r="AG546" s="64" t="str">
        <f>IF($C546="","",IFERROR(INDEX('Staff Directory'!$K$595:$K$599,MATCH($C546,'Staff Directory'!$B$5:$B$599,0)),$D546))</f>
        <v>PSW</v>
      </c>
      <c r="AH546" t="str">
        <f>IF($C546="","",IFERROR(INDEX('Staff Directory'!$I$595:$I$599,MATCH($C546,'Staff Directory'!$B$5:$B$599,0))&amp;" "&amp;INDEX('Staff Directory'!$J$595:$J$599,MATCH($C546,'Staff Directory'!$B$5:$B$599,0)),$AG546))</f>
        <v>PSW</v>
      </c>
      <c r="AI546" s="102"/>
      <c r="AJ546" s="101">
        <f>IF($F546="","",SUMIFS($J$5:$J546,$F$5:$F546,$F546))</f>
        <v>4450</v>
      </c>
      <c r="AK546" s="101">
        <f t="shared" si="93"/>
        <v>4401</v>
      </c>
      <c r="AL546" s="66" t="str" cm="1">
        <f t="array" ref="AL546">IF($F546="","",IFERROR(INDEX('Lot Balance'!$B$5:$B$500,MATCH(1,INDEX(('Lot Balance'!$A$5:$A$500=$F546)*('Lot Balance'!$K$5:$K$500&lt;$AK546)*('Lot Balance'!$K$5:$K$500+'Lot Balance'!$D$5:$D$500&gt;=$AK546),0),0)),""))</f>
        <v>0125FPC24-0</v>
      </c>
      <c r="AM546" s="66" t="str" cm="1">
        <f t="array" ref="AM546">IF($F546="","",IFERROR(INDEX('Lot Balance'!$B$5:$B$500,MATCH(1,INDEX(('Lot Balance'!$A$5:$A$500=$F546)*('Lot Balance'!$K$5:$K$500&lt;$AJ546)*('Lot Balance'!$K$5:$K$500+'Lot Balance'!$D$5:$D$500&gt;=$AJ546),0),0)),""))</f>
        <v>0125FPC24-0</v>
      </c>
      <c r="AN546" s="66" t="str">
        <f>IF($F546="","",IF($AI546&lt;&gt;"",IF(COUNTIFS('Lot Balance'!$A$5:$A$500,$F546,'Lot Balance'!$B$5:$B$500,$AI546)=0,"⚠ override is not a lot of this item",IF($AI546=$AL546,"Override = FEFO","Override - FEFO says "&amp;$AL546)),IF($AL546="","⚠ no receipt on file for this item",IF($AM546&lt;&gt;$AL546,"FEFO auto - split, also "&amp;$AM546,"FEFO auto"))))</f>
        <v>FEFO auto</v>
      </c>
      <c r="AO546" s="114"/>
    </row>
    <row r="547" spans="1:41" x14ac:dyDescent="0.35">
      <c r="A547" s="74">
        <v>46147</v>
      </c>
      <c r="B547" s="18" t="str">
        <f>IF($C547="","",IFERROR(INDEX('Staff Directory'!$A$5:$A$594,MATCH($C547,'Staff Directory'!$B$5:$B$594,0)),"⚠ unknown staff"))</f>
        <v/>
      </c>
      <c r="C547" s="49"/>
      <c r="D547" s="19" t="str">
        <f>IF($B547="","",IFERROR(INDEX('Staff Directory'!$C$5:$C$594,MATCH($B547,'Staff Directory'!$A$5:$A$594,0)),""))</f>
        <v/>
      </c>
      <c r="E547" s="19" t="str">
        <f>IF($B547="","",IFERROR(INDEX('Staff Directory'!$D$5:$D$594,MATCH($B547,'Staff Directory'!$A$5:$A$594,0)),""))</f>
        <v/>
      </c>
      <c r="F547" s="9" t="s">
        <v>109</v>
      </c>
      <c r="G547" s="18" t="str">
        <f>IF($F547="","",IFERROR(INDEX(Items!$B$5:$B$597,MATCH($F547,Items!$A$5:$A$597,0)),"⚠ not in Items"))</f>
        <v>Masks</v>
      </c>
      <c r="H547" s="19" t="str">
        <f>IF($F547="","",IFERROR(INDEX(Items!$C$5:$C$597,MATCH($F547,Items!$A$5:$A$597,0)),""))</f>
        <v>One Size</v>
      </c>
      <c r="I547" s="23">
        <f>IF($F547="","",IFERROR(INDEX(Items!$E$5:$E$597,MATCH($F547,Items!$A$5:$A$597,0)),""))</f>
        <v>5</v>
      </c>
      <c r="J547" s="115">
        <f>IF(tblIssues[[#This Row],[Qty Override]]&lt;&gt;"",tblIssues[[#This Row],[Qty Override]],IF(tblIssues[[#This Row],[Standard Issue]]="","",tblIssues[[#This Row],[Standard Issue]]))</f>
        <v>5</v>
      </c>
      <c r="K547" s="20">
        <f>IF($F547="","",IFERROR(INDEX(Items!$D$5:$D$597,MATCH($F547,Items!$A$5:$A$597,0)),""))</f>
        <v>1.35</v>
      </c>
      <c r="L547" s="21">
        <f t="shared" si="94"/>
        <v>6.75</v>
      </c>
      <c r="M547" s="9" t="str">
        <f t="shared" si="95"/>
        <v>N9550025</v>
      </c>
      <c r="N547" s="24">
        <f>IF($A547="","",WORKDAY($A547,Settings!$C$9,HolidayDates))</f>
        <v>46155</v>
      </c>
      <c r="O547" s="24">
        <f>IF($N547="","",WORKDAY($N547,Settings!$C$10,HolidayDates))</f>
        <v>46195</v>
      </c>
      <c r="P547" s="10" t="s">
        <v>501</v>
      </c>
      <c r="Q547" s="52" t="str">
        <f t="shared" si="97"/>
        <v>Collected</v>
      </c>
      <c r="R547" s="55" t="str">
        <f t="shared" si="98"/>
        <v>2026-05</v>
      </c>
      <c r="S547" s="55" t="str">
        <f>IF(OR($B547="",$F547="",$R547=""),"",SUMIFS(tblIssues[Qty Issued],tblIssues[Staff ID],$B547,tblIssues[Item Name],$F547,tblIssues[Month],$R547))</f>
        <v/>
      </c>
      <c r="T547" s="56">
        <f>IF($I547="","",$I547*Settings!$C$11)</f>
        <v>5</v>
      </c>
      <c r="U547" s="57" t="str">
        <f t="shared" si="96"/>
        <v/>
      </c>
      <c r="V547" s="55" t="str">
        <f t="shared" si="99"/>
        <v/>
      </c>
      <c r="W547" s="55" t="str">
        <f>IF($V547="","",IF(COUNTIF($V$5:$V547,$V547)=1,1,""))</f>
        <v/>
      </c>
      <c r="X547" s="58" t="str">
        <f>IF($W547="","",MAX($X$4:X546)+1)</f>
        <v/>
      </c>
      <c r="Y547" s="62"/>
      <c r="Z547" s="62"/>
      <c r="AA547" s="64" t="str">
        <f>IF($C547="","",IFERROR(INDEX('Staff Directory'!$E$5:$E$594,MATCH($C547,'Staff Directory'!$B$5:$B$594,0)),""))</f>
        <v/>
      </c>
      <c r="AB547" s="64" t="str">
        <f>IF($C547="","",IF(ISNUMBER(SEARCH($D547,Settings!$C$15)),"Pickup","Dispatch"))</f>
        <v/>
      </c>
      <c r="AC547" s="64" t="str">
        <f t="shared" si="100"/>
        <v/>
      </c>
      <c r="AD547" s="64" t="str">
        <f t="shared" si="91"/>
        <v/>
      </c>
      <c r="AE547" s="64" t="str">
        <f t="shared" si="92"/>
        <v/>
      </c>
      <c r="AF547" s="89" t="str">
        <f t="shared" si="101"/>
        <v/>
      </c>
      <c r="AG547" s="64" t="str">
        <f>IF($C547="","",IFERROR(INDEX('Staff Directory'!$K$595:$K$599,MATCH($C547,'Staff Directory'!$B$5:$B$599,0)),$D547))</f>
        <v/>
      </c>
      <c r="AH547" t="str">
        <f>IF($C547="","",IFERROR(INDEX('Staff Directory'!$I$595:$I$599,MATCH($C547,'Staff Directory'!$B$5:$B$599,0))&amp;" "&amp;INDEX('Staff Directory'!$J$595:$J$599,MATCH($C547,'Staff Directory'!$B$5:$B$599,0)),$AG547))</f>
        <v/>
      </c>
      <c r="AI547" s="102"/>
      <c r="AJ547" s="101">
        <f>IF($F547="","",SUMIFS($J$5:$J547,$F$5:$F547,$F547))</f>
        <v>5</v>
      </c>
      <c r="AK547" s="101">
        <f t="shared" si="93"/>
        <v>1</v>
      </c>
      <c r="AL547" s="66" t="str" cm="1">
        <f t="array" ref="AL547">IF($F547="","",IFERROR(INDEX('Lot Balance'!$B$5:$B$500,MATCH(1,INDEX(('Lot Balance'!$A$5:$A$500=$F547)*('Lot Balance'!$K$5:$K$500&lt;$AK547)*('Lot Balance'!$K$5:$K$500+'Lot Balance'!$D$5:$D$500&gt;=$AK547),0),0)),""))</f>
        <v>N9550025</v>
      </c>
      <c r="AM547" s="66" t="str" cm="1">
        <f t="array" ref="AM547">IF($F547="","",IFERROR(INDEX('Lot Balance'!$B$5:$B$500,MATCH(1,INDEX(('Lot Balance'!$A$5:$A$500=$F547)*('Lot Balance'!$K$5:$K$500&lt;$AJ547)*('Lot Balance'!$K$5:$K$500+'Lot Balance'!$D$5:$D$500&gt;=$AJ547),0),0)),""))</f>
        <v>N9550025</v>
      </c>
      <c r="AN547" s="66" t="str">
        <f>IF($F547="","",IF($AI547&lt;&gt;"",IF(COUNTIFS('Lot Balance'!$A$5:$A$500,$F547,'Lot Balance'!$B$5:$B$500,$AI547)=0,"⚠ override is not a lot of this item",IF($AI547=$AL547,"Override = FEFO","Override - FEFO says "&amp;$AL547)),IF($AL547="","⚠ no receipt on file for this item",IF($AM547&lt;&gt;$AL547,"FEFO auto - split, also "&amp;$AM547,"FEFO auto"))))</f>
        <v>FEFO auto</v>
      </c>
      <c r="AO547" s="114"/>
    </row>
    <row r="548" spans="1:41" x14ac:dyDescent="0.35">
      <c r="A548" s="74">
        <v>46148</v>
      </c>
      <c r="B548" s="18" t="str">
        <f>IF($C548="","",IFERROR(INDEX('Staff Directory'!$A$5:$A$594,MATCH($C548,'Staff Directory'!$B$5:$B$594,0)),"⚠ unknown staff"))</f>
        <v>PSW-066-A5</v>
      </c>
      <c r="C548" s="49" t="s">
        <v>1042</v>
      </c>
      <c r="D548" s="19" t="str">
        <f>IF($B548="","",IFERROR(INDEX('Staff Directory'!$C$5:$C$594,MATCH($B548,'Staff Directory'!$A$5:$A$594,0)),""))</f>
        <v>PSW</v>
      </c>
      <c r="E548" s="19" t="str">
        <f>IF($B548="","",IFERROR(INDEX('Staff Directory'!$D$5:$D$594,MATCH($B548,'Staff Directory'!$A$5:$A$594,0)),""))</f>
        <v>A5</v>
      </c>
      <c r="F548" s="9" t="s">
        <v>129</v>
      </c>
      <c r="G548" s="18" t="str">
        <f>IF($F548="","",IFERROR(INDEX(Items!$B$5:$B$597,MATCH($F548,Items!$A$5:$A$597,0)),"⚠ not in Items"))</f>
        <v>Gloves</v>
      </c>
      <c r="H548" s="19" t="str">
        <f>IF($F548="","",IFERROR(INDEX(Items!$C$5:$C$597,MATCH($F548,Items!$A$5:$A$597,0)),""))</f>
        <v>Small</v>
      </c>
      <c r="I548" s="23">
        <f>IF($F548="","",IFERROR(INDEX(Items!$E$5:$E$597,MATCH($F548,Items!$A$5:$A$597,0)),""))</f>
        <v>500</v>
      </c>
      <c r="J548" s="115">
        <f>IF(tblIssues[[#This Row],[Qty Override]]&lt;&gt;"",tblIssues[[#This Row],[Qty Override]],IF(tblIssues[[#This Row],[Standard Issue]]="","",tblIssues[[#This Row],[Standard Issue]]))</f>
        <v>500</v>
      </c>
      <c r="K548" s="20">
        <f>IF($F548="","",IFERROR(INDEX(Items!$D$5:$D$597,MATCH($F548,Items!$A$5:$A$597,0)),""))</f>
        <v>5.5E-2</v>
      </c>
      <c r="L548" s="21">
        <f t="shared" si="94"/>
        <v>27.5</v>
      </c>
      <c r="M548" s="9" t="str">
        <f t="shared" si="95"/>
        <v>O210LIC25</v>
      </c>
      <c r="N548" s="24">
        <f>IF($A548="","",WORKDAY($A548,Settings!$C$9,HolidayDates))</f>
        <v>46156</v>
      </c>
      <c r="O548" s="24">
        <f>IF($N548="","",WORKDAY($N548,Settings!$C$10,HolidayDates))</f>
        <v>46196</v>
      </c>
      <c r="P548" s="10" t="s">
        <v>501</v>
      </c>
      <c r="Q548" s="52" t="str">
        <f t="shared" si="97"/>
        <v>Collected</v>
      </c>
      <c r="R548" s="55" t="str">
        <f t="shared" si="98"/>
        <v>2026-05</v>
      </c>
      <c r="S548" s="55">
        <f>IF(OR($B548="",$F548="",$R548=""),"",SUMIFS(tblIssues[Qty Issued],tblIssues[Staff ID],$B548,tblIssues[Item Name],$F548,tblIssues[Month],$R548))</f>
        <v>500</v>
      </c>
      <c r="T548" s="56">
        <f>IF($I548="","",$I548*Settings!$C$11)</f>
        <v>500</v>
      </c>
      <c r="U548" s="57" t="str">
        <f t="shared" si="96"/>
        <v>OK</v>
      </c>
      <c r="V548" s="55" t="str">
        <f t="shared" si="99"/>
        <v/>
      </c>
      <c r="W548" s="55" t="str">
        <f>IF($V548="","",IF(COUNTIF($V$5:$V548,$V548)=1,1,""))</f>
        <v/>
      </c>
      <c r="X548" s="58" t="str">
        <f>IF($W548="","",MAX($X$4:X547)+1)</f>
        <v/>
      </c>
      <c r="Y548" s="62"/>
      <c r="Z548" s="62"/>
      <c r="AA548" s="64" t="str">
        <f>IF($C548="","",IFERROR(INDEX('Staff Directory'!$E$5:$E$594,MATCH($C548,'Staff Directory'!$B$5:$B$594,0)),""))</f>
        <v>firstname126.lastname126@example.com</v>
      </c>
      <c r="AB548" s="64" t="str">
        <f>IF($C548="","",IF(ISNUMBER(SEARCH($D548,Settings!$C$15)),"Pickup","Dispatch"))</f>
        <v>Pickup</v>
      </c>
      <c r="AC548" s="64" t="str">
        <f t="shared" si="100"/>
        <v>Supply order ready for pickup</v>
      </c>
      <c r="AD548" s="64" t="str">
        <f t="shared" si="91"/>
        <v>Dear PSW,
Your order is ready for pickup from Sample Branch, Wed-Fri 9am-4pm.</v>
      </c>
      <c r="AE548" s="64" t="str">
        <f t="shared" si="92"/>
        <v>mailto:firstname126.lastname126@example.com?subject=Supply%20order%20ready%20for%20pickup&amp;body=Dear%20PSW%2C%0A%0AYour%20order%20is%20ready%20for%20pickup%20from%20Sample%20Branch%2C%20Wed-Fri%209am-4pm.</v>
      </c>
      <c r="AF548" s="89" t="str">
        <f t="shared" si="101"/>
        <v>Draft email</v>
      </c>
      <c r="AG548" s="64" t="str">
        <f>IF($C548="","",IFERROR(INDEX('Staff Directory'!$K$595:$K$599,MATCH($C548,'Staff Directory'!$B$5:$B$599,0)),$D548))</f>
        <v>PSW</v>
      </c>
      <c r="AH548" t="str">
        <f>IF($C548="","",IFERROR(INDEX('Staff Directory'!$I$595:$I$599,MATCH($C548,'Staff Directory'!$B$5:$B$599,0))&amp;" "&amp;INDEX('Staff Directory'!$J$595:$J$599,MATCH($C548,'Staff Directory'!$B$5:$B$599,0)),$AG548))</f>
        <v>PSW</v>
      </c>
      <c r="AI548" s="102"/>
      <c r="AJ548" s="101">
        <f>IF($F548="","",SUMIFS($J$5:$J548,$F$5:$F548,$F548))</f>
        <v>20500</v>
      </c>
      <c r="AK548" s="101">
        <f t="shared" si="93"/>
        <v>20001</v>
      </c>
      <c r="AL548" s="66" t="str" cm="1">
        <f t="array" ref="AL548">IF($F548="","",IFERROR(INDEX('Lot Balance'!$B$5:$B$500,MATCH(1,INDEX(('Lot Balance'!$A$5:$A$500=$F548)*('Lot Balance'!$K$5:$K$500&lt;$AK548)*('Lot Balance'!$K$5:$K$500+'Lot Balance'!$D$5:$D$500&gt;=$AK548),0),0)),""))</f>
        <v>O210LIC25</v>
      </c>
      <c r="AM548" s="66" t="str" cm="1">
        <f t="array" ref="AM548">IF($F548="","",IFERROR(INDEX('Lot Balance'!$B$5:$B$500,MATCH(1,INDEX(('Lot Balance'!$A$5:$A$500=$F548)*('Lot Balance'!$K$5:$K$500&lt;$AJ548)*('Lot Balance'!$K$5:$K$500+'Lot Balance'!$D$5:$D$500&gt;=$AJ548),0),0)),""))</f>
        <v>O210LIC25</v>
      </c>
      <c r="AN548" s="66" t="str">
        <f>IF($F548="","",IF($AI548&lt;&gt;"",IF(COUNTIFS('Lot Balance'!$A$5:$A$500,$F548,'Lot Balance'!$B$5:$B$500,$AI548)=0,"⚠ override is not a lot of this item",IF($AI548=$AL548,"Override = FEFO","Override - FEFO says "&amp;$AL548)),IF($AL548="","⚠ no receipt on file for this item",IF($AM548&lt;&gt;$AL548,"FEFO auto - split, also "&amp;$AM548,"FEFO auto"))))</f>
        <v>FEFO auto</v>
      </c>
      <c r="AO548" s="114"/>
    </row>
    <row r="549" spans="1:41" x14ac:dyDescent="0.35">
      <c r="A549" s="74">
        <v>46148</v>
      </c>
      <c r="B549" s="18" t="str">
        <f>IF($C549="","",IFERROR(INDEX('Staff Directory'!$A$5:$A$594,MATCH($C549,'Staff Directory'!$B$5:$B$594,0)),"⚠ unknown staff"))</f>
        <v>PSW-066-A5</v>
      </c>
      <c r="C549" s="49" t="s">
        <v>1042</v>
      </c>
      <c r="D549" s="19" t="str">
        <f>IF($B549="","",IFERROR(INDEX('Staff Directory'!$C$5:$C$594,MATCH($B549,'Staff Directory'!$A$5:$A$594,0)),""))</f>
        <v>PSW</v>
      </c>
      <c r="E549" s="19" t="str">
        <f>IF($B549="","",IFERROR(INDEX('Staff Directory'!$D$5:$D$594,MATCH($B549,'Staff Directory'!$A$5:$A$594,0)),""))</f>
        <v>A5</v>
      </c>
      <c r="F549" s="9" t="s">
        <v>191</v>
      </c>
      <c r="G549" s="18" t="str">
        <f>IF($F549="","",IFERROR(INDEX(Items!$B$5:$B$597,MATCH($F549,Items!$A$5:$A$597,0)),"⚠ not in Items"))</f>
        <v>Sanitizer</v>
      </c>
      <c r="H549" s="19" t="str">
        <f>IF($F549="","",IFERROR(INDEX(Items!$C$5:$C$597,MATCH($F549,Items!$A$5:$A$597,0)),""))</f>
        <v>236 ML</v>
      </c>
      <c r="I549" s="23">
        <f>IF($F549="","",IFERROR(INDEX(Items!$E$5:$E$597,MATCH($F549,Items!$A$5:$A$597,0)),""))</f>
        <v>1</v>
      </c>
      <c r="J549" s="115">
        <f>IF(tblIssues[[#This Row],[Qty Override]]&lt;&gt;"",tblIssues[[#This Row],[Qty Override]],IF(tblIssues[[#This Row],[Standard Issue]]="","",tblIssues[[#This Row],[Standard Issue]]))</f>
        <v>1</v>
      </c>
      <c r="K549" s="20">
        <f>IF($F549="","",IFERROR(INDEX(Items!$D$5:$D$597,MATCH($F549,Items!$A$5:$A$597,0)),""))</f>
        <v>1E-4</v>
      </c>
      <c r="L549" s="21">
        <f t="shared" si="94"/>
        <v>1E-4</v>
      </c>
      <c r="M549" s="9" t="str">
        <f t="shared" si="95"/>
        <v>20-21734-2</v>
      </c>
      <c r="N549" s="24">
        <f>IF($A549="","",WORKDAY($A549,Settings!$C$9,HolidayDates))</f>
        <v>46156</v>
      </c>
      <c r="O549" s="24">
        <f>IF($N549="","",WORKDAY($N549,Settings!$C$10,HolidayDates))</f>
        <v>46196</v>
      </c>
      <c r="P549" s="10" t="s">
        <v>501</v>
      </c>
      <c r="Q549" s="52" t="str">
        <f t="shared" si="97"/>
        <v>Collected</v>
      </c>
      <c r="R549" s="55" t="str">
        <f t="shared" si="98"/>
        <v>2026-05</v>
      </c>
      <c r="S549" s="55">
        <f>IF(OR($B549="",$F549="",$R549=""),"",SUMIFS(tblIssues[Qty Issued],tblIssues[Staff ID],$B549,tblIssues[Item Name],$F549,tblIssues[Month],$R549))</f>
        <v>1</v>
      </c>
      <c r="T549" s="56">
        <f>IF($I549="","",$I549*Settings!$C$11)</f>
        <v>1</v>
      </c>
      <c r="U549" s="57" t="str">
        <f t="shared" si="96"/>
        <v>OK</v>
      </c>
      <c r="V549" s="55" t="str">
        <f t="shared" si="99"/>
        <v/>
      </c>
      <c r="W549" s="55" t="str">
        <f>IF($V549="","",IF(COUNTIF($V$5:$V549,$V549)=1,1,""))</f>
        <v/>
      </c>
      <c r="X549" s="58" t="str">
        <f>IF($W549="","",MAX($X$4:X548)+1)</f>
        <v/>
      </c>
      <c r="Y549" s="62"/>
      <c r="Z549" s="62"/>
      <c r="AA549" s="64" t="str">
        <f>IF($C549="","",IFERROR(INDEX('Staff Directory'!$E$5:$E$594,MATCH($C549,'Staff Directory'!$B$5:$B$594,0)),""))</f>
        <v>firstname126.lastname126@example.com</v>
      </c>
      <c r="AB549" s="64" t="str">
        <f>IF($C549="","",IF(ISNUMBER(SEARCH($D549,Settings!$C$15)),"Pickup","Dispatch"))</f>
        <v>Pickup</v>
      </c>
      <c r="AC549" s="64" t="str">
        <f t="shared" si="100"/>
        <v>Supply order ready for pickup</v>
      </c>
      <c r="AD549" s="64" t="str">
        <f t="shared" si="91"/>
        <v>Dear PSW,
Your order is ready for pickup from Sample Branch, Wed-Fri 9am-4pm.</v>
      </c>
      <c r="AE549" s="64" t="str">
        <f t="shared" si="92"/>
        <v>mailto:firstname126.lastname126@example.com?subject=Supply%20order%20ready%20for%20pickup&amp;body=Dear%20PSW%2C%0A%0AYour%20order%20is%20ready%20for%20pickup%20from%20Sample%20Branch%2C%20Wed-Fri%209am-4pm.</v>
      </c>
      <c r="AF549" s="89" t="str">
        <f t="shared" si="101"/>
        <v>Draft email</v>
      </c>
      <c r="AG549" s="64" t="str">
        <f>IF($C549="","",IFERROR(INDEX('Staff Directory'!$K$595:$K$599,MATCH($C549,'Staff Directory'!$B$5:$B$599,0)),$D549))</f>
        <v>PSW</v>
      </c>
      <c r="AH549" t="str">
        <f>IF($C549="","",IFERROR(INDEX('Staff Directory'!$I$595:$I$599,MATCH($C549,'Staff Directory'!$B$5:$B$599,0))&amp;" "&amp;INDEX('Staff Directory'!$J$595:$J$599,MATCH($C549,'Staff Directory'!$B$5:$B$599,0)),$AG549))</f>
        <v>PSW</v>
      </c>
      <c r="AI549" s="102"/>
      <c r="AJ549" s="101">
        <f>IF($F549="","",SUMIFS($J$5:$J549,$F$5:$F549,$F549))</f>
        <v>61</v>
      </c>
      <c r="AK549" s="101">
        <f t="shared" si="93"/>
        <v>61</v>
      </c>
      <c r="AL549" s="66" t="str" cm="1">
        <f t="array" ref="AL549">IF($F549="","",IFERROR(INDEX('Lot Balance'!$B$5:$B$500,MATCH(1,INDEX(('Lot Balance'!$A$5:$A$500=$F549)*('Lot Balance'!$K$5:$K$500&lt;$AK549)*('Lot Balance'!$K$5:$K$500+'Lot Balance'!$D$5:$D$500&gt;=$AK549),0),0)),""))</f>
        <v>20-21734-2</v>
      </c>
      <c r="AM549" s="66" t="str" cm="1">
        <f t="array" ref="AM549">IF($F549="","",IFERROR(INDEX('Lot Balance'!$B$5:$B$500,MATCH(1,INDEX(('Lot Balance'!$A$5:$A$500=$F549)*('Lot Balance'!$K$5:$K$500&lt;$AJ549)*('Lot Balance'!$K$5:$K$500+'Lot Balance'!$D$5:$D$500&gt;=$AJ549),0),0)),""))</f>
        <v>20-21734-2</v>
      </c>
      <c r="AN549" s="66" t="str">
        <f>IF($F549="","",IF($AI549&lt;&gt;"",IF(COUNTIFS('Lot Balance'!$A$5:$A$500,$F549,'Lot Balance'!$B$5:$B$500,$AI549)=0,"⚠ override is not a lot of this item",IF($AI549=$AL549,"Override = FEFO","Override - FEFO says "&amp;$AL549)),IF($AL549="","⚠ no receipt on file for this item",IF($AM549&lt;&gt;$AL549,"FEFO auto - split, also "&amp;$AM549,"FEFO auto"))))</f>
        <v>FEFO auto</v>
      </c>
      <c r="AO549" s="114"/>
    </row>
    <row r="550" spans="1:41" x14ac:dyDescent="0.35">
      <c r="A550" s="74">
        <v>46148</v>
      </c>
      <c r="B550" s="18" t="str">
        <f>IF($C550="","",IFERROR(INDEX('Staff Directory'!$A$5:$A$594,MATCH($C550,'Staff Directory'!$B$5:$B$594,0)),"⚠ unknown staff"))</f>
        <v>PSW-066-A5</v>
      </c>
      <c r="C550" s="49" t="s">
        <v>1042</v>
      </c>
      <c r="D550" s="19" t="str">
        <f>IF($B550="","",IFERROR(INDEX('Staff Directory'!$C$5:$C$594,MATCH($B550,'Staff Directory'!$A$5:$A$594,0)),""))</f>
        <v>PSW</v>
      </c>
      <c r="E550" s="19" t="str">
        <f>IF($B550="","",IFERROR(INDEX('Staff Directory'!$D$5:$D$594,MATCH($B550,'Staff Directory'!$A$5:$A$594,0)),""))</f>
        <v>A5</v>
      </c>
      <c r="F550" s="9" t="s">
        <v>115</v>
      </c>
      <c r="G550" s="18" t="str">
        <f>IF($F550="","",IFERROR(INDEX(Items!$B$5:$B$597,MATCH($F550,Items!$A$5:$A$597,0)),"⚠ not in Items"))</f>
        <v>Wipes</v>
      </c>
      <c r="H550" s="19">
        <f>IF($F550="","",IFERROR(INDEX(Items!$C$5:$C$597,MATCH($F550,Items!$A$5:$A$597,0)),""))</f>
        <v>80</v>
      </c>
      <c r="I550" s="23">
        <f>IF($F550="","",IFERROR(INDEX(Items!$E$5:$E$597,MATCH($F550,Items!$A$5:$A$597,0)),""))</f>
        <v>80</v>
      </c>
      <c r="J550" s="115">
        <f>IF(tblIssues[[#This Row],[Qty Override]]&lt;&gt;"",tblIssues[[#This Row],[Qty Override]],IF(tblIssues[[#This Row],[Standard Issue]]="","",tblIssues[[#This Row],[Standard Issue]]))</f>
        <v>80</v>
      </c>
      <c r="K550" s="20">
        <f>IF($F550="","",IFERROR(INDEX(Items!$D$5:$D$597,MATCH($F550,Items!$A$5:$A$597,0)),""))</f>
        <v>0.1</v>
      </c>
      <c r="L550" s="21">
        <f t="shared" si="94"/>
        <v>8</v>
      </c>
      <c r="M550" s="9" t="str">
        <f t="shared" si="95"/>
        <v>LYSL500290</v>
      </c>
      <c r="N550" s="24">
        <f>IF($A550="","",WORKDAY($A550,Settings!$C$9,HolidayDates))</f>
        <v>46156</v>
      </c>
      <c r="O550" s="24">
        <f>IF($N550="","",WORKDAY($N550,Settings!$C$10,HolidayDates))</f>
        <v>46196</v>
      </c>
      <c r="P550" s="10" t="s">
        <v>501</v>
      </c>
      <c r="Q550" s="52" t="str">
        <f t="shared" si="97"/>
        <v>Collected</v>
      </c>
      <c r="R550" s="55" t="str">
        <f t="shared" si="98"/>
        <v>2026-05</v>
      </c>
      <c r="S550" s="55">
        <f>IF(OR($B550="",$F550="",$R550=""),"",SUMIFS(tblIssues[Qty Issued],tblIssues[Staff ID],$B550,tblIssues[Item Name],$F550,tblIssues[Month],$R550))</f>
        <v>80</v>
      </c>
      <c r="T550" s="56">
        <f>IF($I550="","",$I550*Settings!$C$11)</f>
        <v>80</v>
      </c>
      <c r="U550" s="57" t="str">
        <f t="shared" si="96"/>
        <v>OK</v>
      </c>
      <c r="V550" s="55" t="str">
        <f t="shared" si="99"/>
        <v/>
      </c>
      <c r="W550" s="55" t="str">
        <f>IF($V550="","",IF(COUNTIF($V$5:$V550,$V550)=1,1,""))</f>
        <v/>
      </c>
      <c r="X550" s="58" t="str">
        <f>IF($W550="","",MAX($X$4:X549)+1)</f>
        <v/>
      </c>
      <c r="Y550" s="62"/>
      <c r="Z550" s="62"/>
      <c r="AA550" s="64" t="str">
        <f>IF($C550="","",IFERROR(INDEX('Staff Directory'!$E$5:$E$594,MATCH($C550,'Staff Directory'!$B$5:$B$594,0)),""))</f>
        <v>firstname126.lastname126@example.com</v>
      </c>
      <c r="AB550" s="64" t="str">
        <f>IF($C550="","",IF(ISNUMBER(SEARCH($D550,Settings!$C$15)),"Pickup","Dispatch"))</f>
        <v>Pickup</v>
      </c>
      <c r="AC550" s="64" t="str">
        <f t="shared" si="100"/>
        <v>Supply order ready for pickup</v>
      </c>
      <c r="AD550" s="64" t="str">
        <f t="shared" si="91"/>
        <v>Dear PSW,
Your order is ready for pickup from Sample Branch, Wed-Fri 9am-4pm.</v>
      </c>
      <c r="AE550" s="64" t="str">
        <f t="shared" si="92"/>
        <v>mailto:firstname126.lastname126@example.com?subject=Supply%20order%20ready%20for%20pickup&amp;body=Dear%20PSW%2C%0A%0AYour%20order%20is%20ready%20for%20pickup%20from%20Sample%20Branch%2C%20Wed-Fri%209am-4pm.</v>
      </c>
      <c r="AF550" s="89" t="str">
        <f t="shared" si="101"/>
        <v>Draft email</v>
      </c>
      <c r="AG550" s="64" t="str">
        <f>IF($C550="","",IFERROR(INDEX('Staff Directory'!$K$595:$K$599,MATCH($C550,'Staff Directory'!$B$5:$B$599,0)),$D550))</f>
        <v>PSW</v>
      </c>
      <c r="AH550" t="str">
        <f>IF($C550="","",IFERROR(INDEX('Staff Directory'!$I$595:$I$599,MATCH($C550,'Staff Directory'!$B$5:$B$599,0))&amp;" "&amp;INDEX('Staff Directory'!$J$595:$J$599,MATCH($C550,'Staff Directory'!$B$5:$B$599,0)),$AG550))</f>
        <v>PSW</v>
      </c>
      <c r="AI550" s="102"/>
      <c r="AJ550" s="101">
        <f>IF($F550="","",SUMIFS($J$5:$J550,$F$5:$F550,$F550))</f>
        <v>7840</v>
      </c>
      <c r="AK550" s="101">
        <f t="shared" si="93"/>
        <v>7761</v>
      </c>
      <c r="AL550" s="66" t="str" cm="1">
        <f t="array" ref="AL550">IF($F550="","",IFERROR(INDEX('Lot Balance'!$B$5:$B$500,MATCH(1,INDEX(('Lot Balance'!$A$5:$A$500=$F550)*('Lot Balance'!$K$5:$K$500&lt;$AK550)*('Lot Balance'!$K$5:$K$500+'Lot Balance'!$D$5:$D$500&gt;=$AK550),0),0)),""))</f>
        <v>LYSL500290</v>
      </c>
      <c r="AM550" s="66" t="str" cm="1">
        <f t="array" ref="AM550">IF($F550="","",IFERROR(INDEX('Lot Balance'!$B$5:$B$500,MATCH(1,INDEX(('Lot Balance'!$A$5:$A$500=$F550)*('Lot Balance'!$K$5:$K$500&lt;$AJ550)*('Lot Balance'!$K$5:$K$500+'Lot Balance'!$D$5:$D$500&gt;=$AJ550),0),0)),""))</f>
        <v>LYSL500290</v>
      </c>
      <c r="AN550" s="66" t="str">
        <f>IF($F550="","",IF($AI550&lt;&gt;"",IF(COUNTIFS('Lot Balance'!$A$5:$A$500,$F550,'Lot Balance'!$B$5:$B$500,$AI550)=0,"⚠ override is not a lot of this item",IF($AI550=$AL550,"Override = FEFO","Override - FEFO says "&amp;$AL550)),IF($AL550="","⚠ no receipt on file for this item",IF($AM550&lt;&gt;$AL550,"FEFO auto - split, also "&amp;$AM550,"FEFO auto"))))</f>
        <v>FEFO auto</v>
      </c>
      <c r="AO550" s="114"/>
    </row>
    <row r="551" spans="1:41" x14ac:dyDescent="0.35">
      <c r="A551" s="74">
        <v>46148</v>
      </c>
      <c r="B551" s="18" t="str">
        <f>IF($C551="","",IFERROR(INDEX('Staff Directory'!$A$5:$A$594,MATCH($C551,'Staff Directory'!$B$5:$B$594,0)),"⚠ unknown staff"))</f>
        <v>PSW-066-A5</v>
      </c>
      <c r="C551" s="49" t="s">
        <v>1042</v>
      </c>
      <c r="D551" s="19" t="str">
        <f>IF($B551="","",IFERROR(INDEX('Staff Directory'!$C$5:$C$594,MATCH($B551,'Staff Directory'!$A$5:$A$594,0)),""))</f>
        <v>PSW</v>
      </c>
      <c r="E551" s="19" t="str">
        <f>IF($B551="","",IFERROR(INDEX('Staff Directory'!$D$5:$D$594,MATCH($B551,'Staff Directory'!$A$5:$A$594,0)),""))</f>
        <v>A5</v>
      </c>
      <c r="F551" s="9" t="s">
        <v>156</v>
      </c>
      <c r="G551" s="18" t="str">
        <f>IF($F551="","",IFERROR(INDEX(Items!$B$5:$B$597,MATCH($F551,Items!$A$5:$A$597,0)),"⚠ not in Items"))</f>
        <v>Masks</v>
      </c>
      <c r="H551" s="19" t="str">
        <f>IF($F551="","",IFERROR(INDEX(Items!$C$5:$C$597,MATCH($F551,Items!$A$5:$A$597,0)),""))</f>
        <v>One Size</v>
      </c>
      <c r="I551" s="23">
        <f>IF($F551="","",IFERROR(INDEX(Items!$E$5:$E$597,MATCH($F551,Items!$A$5:$A$597,0)),""))</f>
        <v>50</v>
      </c>
      <c r="J551" s="115">
        <f>IF(tblIssues[[#This Row],[Qty Override]]&lt;&gt;"",tblIssues[[#This Row],[Qty Override]],IF(tblIssues[[#This Row],[Standard Issue]]="","",tblIssues[[#This Row],[Standard Issue]]))</f>
        <v>50</v>
      </c>
      <c r="K551" s="20">
        <f>IF($F551="","",IFERROR(INDEX(Items!$D$5:$D$597,MATCH($F551,Items!$A$5:$A$597,0)),""))</f>
        <v>0.25</v>
      </c>
      <c r="L551" s="21">
        <f t="shared" si="94"/>
        <v>12.5</v>
      </c>
      <c r="M551" s="9" t="str">
        <f t="shared" si="95"/>
        <v>0125FPC24-0</v>
      </c>
      <c r="N551" s="24">
        <f>IF($A551="","",WORKDAY($A551,Settings!$C$9,HolidayDates))</f>
        <v>46156</v>
      </c>
      <c r="O551" s="24">
        <f>IF($N551="","",WORKDAY($N551,Settings!$C$10,HolidayDates))</f>
        <v>46196</v>
      </c>
      <c r="P551" s="10" t="s">
        <v>501</v>
      </c>
      <c r="Q551" s="52" t="str">
        <f t="shared" si="97"/>
        <v>Collected</v>
      </c>
      <c r="R551" s="55" t="str">
        <f t="shared" si="98"/>
        <v>2026-05</v>
      </c>
      <c r="S551" s="55">
        <f>IF(OR($B551="",$F551="",$R551=""),"",SUMIFS(tblIssues[Qty Issued],tblIssues[Staff ID],$B551,tblIssues[Item Name],$F551,tblIssues[Month],$R551))</f>
        <v>50</v>
      </c>
      <c r="T551" s="56">
        <f>IF($I551="","",$I551*Settings!$C$11)</f>
        <v>50</v>
      </c>
      <c r="U551" s="57" t="str">
        <f t="shared" si="96"/>
        <v>OK</v>
      </c>
      <c r="V551" s="55" t="str">
        <f t="shared" si="99"/>
        <v/>
      </c>
      <c r="W551" s="55" t="str">
        <f>IF($V551="","",IF(COUNTIF($V$5:$V551,$V551)=1,1,""))</f>
        <v/>
      </c>
      <c r="X551" s="58" t="str">
        <f>IF($W551="","",MAX($X$4:X550)+1)</f>
        <v/>
      </c>
      <c r="Y551" s="62"/>
      <c r="Z551" s="62"/>
      <c r="AA551" s="64" t="str">
        <f>IF($C551="","",IFERROR(INDEX('Staff Directory'!$E$5:$E$594,MATCH($C551,'Staff Directory'!$B$5:$B$594,0)),""))</f>
        <v>firstname126.lastname126@example.com</v>
      </c>
      <c r="AB551" s="64" t="str">
        <f>IF($C551="","",IF(ISNUMBER(SEARCH($D551,Settings!$C$15)),"Pickup","Dispatch"))</f>
        <v>Pickup</v>
      </c>
      <c r="AC551" s="64" t="str">
        <f t="shared" si="100"/>
        <v>Supply order ready for pickup</v>
      </c>
      <c r="AD551" s="64" t="str">
        <f t="shared" si="91"/>
        <v>Dear PSW,
Your order is ready for pickup from Sample Branch, Wed-Fri 9am-4pm.</v>
      </c>
      <c r="AE551" s="64" t="str">
        <f t="shared" si="92"/>
        <v>mailto:firstname126.lastname126@example.com?subject=Supply%20order%20ready%20for%20pickup&amp;body=Dear%20PSW%2C%0A%0AYour%20order%20is%20ready%20for%20pickup%20from%20Sample%20Branch%2C%20Wed-Fri%209am-4pm.</v>
      </c>
      <c r="AF551" s="89" t="str">
        <f t="shared" si="101"/>
        <v>Draft email</v>
      </c>
      <c r="AG551" s="64" t="str">
        <f>IF($C551="","",IFERROR(INDEX('Staff Directory'!$K$595:$K$599,MATCH($C551,'Staff Directory'!$B$5:$B$599,0)),$D551))</f>
        <v>PSW</v>
      </c>
      <c r="AH551" t="str">
        <f>IF($C551="","",IFERROR(INDEX('Staff Directory'!$I$595:$I$599,MATCH($C551,'Staff Directory'!$B$5:$B$599,0))&amp;" "&amp;INDEX('Staff Directory'!$J$595:$J$599,MATCH($C551,'Staff Directory'!$B$5:$B$599,0)),$AG551))</f>
        <v>PSW</v>
      </c>
      <c r="AI551" s="102"/>
      <c r="AJ551" s="101">
        <f>IF($F551="","",SUMIFS($J$5:$J551,$F$5:$F551,$F551))</f>
        <v>4500</v>
      </c>
      <c r="AK551" s="101">
        <f t="shared" si="93"/>
        <v>4451</v>
      </c>
      <c r="AL551" s="66" t="str" cm="1">
        <f t="array" ref="AL551">IF($F551="","",IFERROR(INDEX('Lot Balance'!$B$5:$B$500,MATCH(1,INDEX(('Lot Balance'!$A$5:$A$500=$F551)*('Lot Balance'!$K$5:$K$500&lt;$AK551)*('Lot Balance'!$K$5:$K$500+'Lot Balance'!$D$5:$D$500&gt;=$AK551),0),0)),""))</f>
        <v>0125FPC24-0</v>
      </c>
      <c r="AM551" s="66" t="str" cm="1">
        <f t="array" ref="AM551">IF($F551="","",IFERROR(INDEX('Lot Balance'!$B$5:$B$500,MATCH(1,INDEX(('Lot Balance'!$A$5:$A$500=$F551)*('Lot Balance'!$K$5:$K$500&lt;$AJ551)*('Lot Balance'!$K$5:$K$500+'Lot Balance'!$D$5:$D$500&gt;=$AJ551),0),0)),""))</f>
        <v>0125FPC24-0</v>
      </c>
      <c r="AN551" s="66" t="str">
        <f>IF($F551="","",IF($AI551&lt;&gt;"",IF(COUNTIFS('Lot Balance'!$A$5:$A$500,$F551,'Lot Balance'!$B$5:$B$500,$AI551)=0,"⚠ override is not a lot of this item",IF($AI551=$AL551,"Override = FEFO","Override - FEFO says "&amp;$AL551)),IF($AL551="","⚠ no receipt on file for this item",IF($AM551&lt;&gt;$AL551,"FEFO auto - split, also "&amp;$AM551,"FEFO auto"))))</f>
        <v>FEFO auto</v>
      </c>
      <c r="AO551" s="114"/>
    </row>
    <row r="552" spans="1:41" x14ac:dyDescent="0.35">
      <c r="A552" s="74">
        <v>46148</v>
      </c>
      <c r="B552" s="18" t="str">
        <f>IF($C552="","",IFERROR(INDEX('Staff Directory'!$A$5:$A$594,MATCH($C552,'Staff Directory'!$B$5:$B$594,0)),"⚠ unknown staff"))</f>
        <v>PSW-061-A5</v>
      </c>
      <c r="C552" s="49" t="s">
        <v>1037</v>
      </c>
      <c r="D552" s="19" t="str">
        <f>IF($B552="","",IFERROR(INDEX('Staff Directory'!$C$5:$C$594,MATCH($B552,'Staff Directory'!$A$5:$A$594,0)),""))</f>
        <v>PSW</v>
      </c>
      <c r="E552" s="19" t="str">
        <f>IF($B552="","",IFERROR(INDEX('Staff Directory'!$D$5:$D$594,MATCH($B552,'Staff Directory'!$A$5:$A$594,0)),""))</f>
        <v>A5</v>
      </c>
      <c r="F552" s="9" t="s">
        <v>127</v>
      </c>
      <c r="G552" s="18" t="str">
        <f>IF($F552="","",IFERROR(INDEX(Items!$B$5:$B$597,MATCH($F552,Items!$A$5:$A$597,0)),"⚠ not in Items"))</f>
        <v>Gloves</v>
      </c>
      <c r="H552" s="19" t="str">
        <f>IF($F552="","",IFERROR(INDEX(Items!$C$5:$C$597,MATCH($F552,Items!$A$5:$A$597,0)),""))</f>
        <v>Medium</v>
      </c>
      <c r="I552" s="23">
        <f>IF($F552="","",IFERROR(INDEX(Items!$E$5:$E$597,MATCH($F552,Items!$A$5:$A$597,0)),""))</f>
        <v>500</v>
      </c>
      <c r="J552" s="115">
        <f>IF(tblIssues[[#This Row],[Qty Override]]&lt;&gt;"",tblIssues[[#This Row],[Qty Override]],IF(tblIssues[[#This Row],[Standard Issue]]="","",tblIssues[[#This Row],[Standard Issue]]))</f>
        <v>500</v>
      </c>
      <c r="K552" s="20">
        <f>IF($F552="","",IFERROR(INDEX(Items!$D$5:$D$597,MATCH($F552,Items!$A$5:$A$597,0)),""))</f>
        <v>5.5E-2</v>
      </c>
      <c r="L552" s="21">
        <f t="shared" si="94"/>
        <v>27.5</v>
      </c>
      <c r="M552" s="9" t="str">
        <f t="shared" si="95"/>
        <v>ZIM504126040-2</v>
      </c>
      <c r="N552" s="24">
        <f>IF($A552="","",WORKDAY($A552,Settings!$C$9,HolidayDates))</f>
        <v>46156</v>
      </c>
      <c r="O552" s="24">
        <f>IF($N552="","",WORKDAY($N552,Settings!$C$10,HolidayDates))</f>
        <v>46196</v>
      </c>
      <c r="P552" s="10" t="s">
        <v>501</v>
      </c>
      <c r="Q552" s="52" t="str">
        <f t="shared" si="97"/>
        <v>Collected</v>
      </c>
      <c r="R552" s="55" t="str">
        <f t="shared" si="98"/>
        <v>2026-05</v>
      </c>
      <c r="S552" s="55">
        <f>IF(OR($B552="",$F552="",$R552=""),"",SUMIFS(tblIssues[Qty Issued],tblIssues[Staff ID],$B552,tblIssues[Item Name],$F552,tblIssues[Month],$R552))</f>
        <v>500</v>
      </c>
      <c r="T552" s="56">
        <f>IF($I552="","",$I552*Settings!$C$11)</f>
        <v>500</v>
      </c>
      <c r="U552" s="57" t="str">
        <f t="shared" si="96"/>
        <v>OK</v>
      </c>
      <c r="V552" s="55" t="str">
        <f t="shared" si="99"/>
        <v/>
      </c>
      <c r="W552" s="55" t="str">
        <f>IF($V552="","",IF(COUNTIF($V$5:$V552,$V552)=1,1,""))</f>
        <v/>
      </c>
      <c r="X552" s="58" t="str">
        <f>IF($W552="","",MAX($X$4:X551)+1)</f>
        <v/>
      </c>
      <c r="Y552" s="62"/>
      <c r="Z552" s="62"/>
      <c r="AA552" s="64" t="str">
        <f>IF($C552="","",IFERROR(INDEX('Staff Directory'!$E$5:$E$594,MATCH($C552,'Staff Directory'!$B$5:$B$594,0)),""))</f>
        <v>firstname121.lastname121@example.com</v>
      </c>
      <c r="AB552" s="64" t="str">
        <f>IF($C552="","",IF(ISNUMBER(SEARCH($D552,Settings!$C$15)),"Pickup","Dispatch"))</f>
        <v>Pickup</v>
      </c>
      <c r="AC552" s="64" t="str">
        <f t="shared" si="100"/>
        <v>Supply order ready for pickup</v>
      </c>
      <c r="AD552" s="64" t="str">
        <f t="shared" si="91"/>
        <v>Dear PSW,
Your order is ready for pickup from Sample Branch, Wed-Fri 9am-4pm.</v>
      </c>
      <c r="AE552" s="64" t="str">
        <f t="shared" si="92"/>
        <v>mailto:firstname121.lastname121@example.com?subject=Supply%20order%20ready%20for%20pickup&amp;body=Dear%20PSW%2C%0A%0AYour%20order%20is%20ready%20for%20pickup%20from%20Sample%20Branch%2C%20Wed-Fri%209am-4pm.</v>
      </c>
      <c r="AF552" s="89" t="str">
        <f t="shared" si="101"/>
        <v>Draft email</v>
      </c>
      <c r="AG552" s="64" t="str">
        <f>IF($C552="","",IFERROR(INDEX('Staff Directory'!$K$595:$K$599,MATCH($C552,'Staff Directory'!$B$5:$B$599,0)),$D552))</f>
        <v>PSW</v>
      </c>
      <c r="AH552" t="str">
        <f>IF($C552="","",IFERROR(INDEX('Staff Directory'!$I$595:$I$599,MATCH($C552,'Staff Directory'!$B$5:$B$599,0))&amp;" "&amp;INDEX('Staff Directory'!$J$595:$J$599,MATCH($C552,'Staff Directory'!$B$5:$B$599,0)),$AG552))</f>
        <v>PSW</v>
      </c>
      <c r="AI552" s="102"/>
      <c r="AJ552" s="101">
        <f>IF($F552="","",SUMIFS($J$5:$J552,$F$5:$F552,$F552))</f>
        <v>31000</v>
      </c>
      <c r="AK552" s="101">
        <f t="shared" si="93"/>
        <v>30501</v>
      </c>
      <c r="AL552" s="66" t="str" cm="1">
        <f t="array" ref="AL552">IF($F552="","",IFERROR(INDEX('Lot Balance'!$B$5:$B$500,MATCH(1,INDEX(('Lot Balance'!$A$5:$A$500=$F552)*('Lot Balance'!$K$5:$K$500&lt;$AK552)*('Lot Balance'!$K$5:$K$500+'Lot Balance'!$D$5:$D$500&gt;=$AK552),0),0)),""))</f>
        <v>ZIM504126040-2</v>
      </c>
      <c r="AM552" s="66" t="str" cm="1">
        <f t="array" ref="AM552">IF($F552="","",IFERROR(INDEX('Lot Balance'!$B$5:$B$500,MATCH(1,INDEX(('Lot Balance'!$A$5:$A$500=$F552)*('Lot Balance'!$K$5:$K$500&lt;$AJ552)*('Lot Balance'!$K$5:$K$500+'Lot Balance'!$D$5:$D$500&gt;=$AJ552),0),0)),""))</f>
        <v>ZIM504126040-2</v>
      </c>
      <c r="AN552" s="66" t="str">
        <f>IF($F552="","",IF($AI552&lt;&gt;"",IF(COUNTIFS('Lot Balance'!$A$5:$A$500,$F552,'Lot Balance'!$B$5:$B$500,$AI552)=0,"⚠ override is not a lot of this item",IF($AI552=$AL552,"Override = FEFO","Override - FEFO says "&amp;$AL552)),IF($AL552="","⚠ no receipt on file for this item",IF($AM552&lt;&gt;$AL552,"FEFO auto - split, also "&amp;$AM552,"FEFO auto"))))</f>
        <v>FEFO auto</v>
      </c>
      <c r="AO552" s="114"/>
    </row>
    <row r="553" spans="1:41" x14ac:dyDescent="0.35">
      <c r="A553" s="74">
        <v>46148</v>
      </c>
      <c r="B553" s="18" t="str">
        <f>IF($C553="","",IFERROR(INDEX('Staff Directory'!$A$5:$A$594,MATCH($C553,'Staff Directory'!$B$5:$B$594,0)),"⚠ unknown staff"))</f>
        <v>PSW-061-A5</v>
      </c>
      <c r="C553" s="49" t="s">
        <v>1037</v>
      </c>
      <c r="D553" s="19" t="str">
        <f>IF($B553="","",IFERROR(INDEX('Staff Directory'!$C$5:$C$594,MATCH($B553,'Staff Directory'!$A$5:$A$594,0)),""))</f>
        <v>PSW</v>
      </c>
      <c r="E553" s="19" t="str">
        <f>IF($B553="","",IFERROR(INDEX('Staff Directory'!$D$5:$D$594,MATCH($B553,'Staff Directory'!$A$5:$A$594,0)),""))</f>
        <v>A5</v>
      </c>
      <c r="F553" s="9" t="s">
        <v>115</v>
      </c>
      <c r="G553" s="18" t="str">
        <f>IF($F553="","",IFERROR(INDEX(Items!$B$5:$B$597,MATCH($F553,Items!$A$5:$A$597,0)),"⚠ not in Items"))</f>
        <v>Wipes</v>
      </c>
      <c r="H553" s="19">
        <f>IF($F553="","",IFERROR(INDEX(Items!$C$5:$C$597,MATCH($F553,Items!$A$5:$A$597,0)),""))</f>
        <v>80</v>
      </c>
      <c r="I553" s="23">
        <f>IF($F553="","",IFERROR(INDEX(Items!$E$5:$E$597,MATCH($F553,Items!$A$5:$A$597,0)),""))</f>
        <v>80</v>
      </c>
      <c r="J553" s="115">
        <f>IF(tblIssues[[#This Row],[Qty Override]]&lt;&gt;"",tblIssues[[#This Row],[Qty Override]],IF(tblIssues[[#This Row],[Standard Issue]]="","",tblIssues[[#This Row],[Standard Issue]]))</f>
        <v>80</v>
      </c>
      <c r="K553" s="20">
        <f>IF($F553="","",IFERROR(INDEX(Items!$D$5:$D$597,MATCH($F553,Items!$A$5:$A$597,0)),""))</f>
        <v>0.1</v>
      </c>
      <c r="L553" s="21">
        <f t="shared" si="94"/>
        <v>8</v>
      </c>
      <c r="M553" s="9" t="str">
        <f t="shared" si="95"/>
        <v>LYSL500290</v>
      </c>
      <c r="N553" s="24">
        <f>IF($A553="","",WORKDAY($A553,Settings!$C$9,HolidayDates))</f>
        <v>46156</v>
      </c>
      <c r="O553" s="24">
        <f>IF($N553="","",WORKDAY($N553,Settings!$C$10,HolidayDates))</f>
        <v>46196</v>
      </c>
      <c r="P553" s="10" t="s">
        <v>501</v>
      </c>
      <c r="Q553" s="52" t="str">
        <f t="shared" si="97"/>
        <v>Collected</v>
      </c>
      <c r="R553" s="55" t="str">
        <f t="shared" si="98"/>
        <v>2026-05</v>
      </c>
      <c r="S553" s="55">
        <f>IF(OR($B553="",$F553="",$R553=""),"",SUMIFS(tblIssues[Qty Issued],tblIssues[Staff ID],$B553,tblIssues[Item Name],$F553,tblIssues[Month],$R553))</f>
        <v>80</v>
      </c>
      <c r="T553" s="56">
        <f>IF($I553="","",$I553*Settings!$C$11)</f>
        <v>80</v>
      </c>
      <c r="U553" s="57" t="str">
        <f t="shared" si="96"/>
        <v>OK</v>
      </c>
      <c r="V553" s="55" t="str">
        <f t="shared" si="99"/>
        <v/>
      </c>
      <c r="W553" s="55" t="str">
        <f>IF($V553="","",IF(COUNTIF($V$5:$V553,$V553)=1,1,""))</f>
        <v/>
      </c>
      <c r="X553" s="58" t="str">
        <f>IF($W553="","",MAX($X$4:X552)+1)</f>
        <v/>
      </c>
      <c r="Y553" s="62"/>
      <c r="Z553" s="62"/>
      <c r="AA553" s="64" t="str">
        <f>IF($C553="","",IFERROR(INDEX('Staff Directory'!$E$5:$E$594,MATCH($C553,'Staff Directory'!$B$5:$B$594,0)),""))</f>
        <v>firstname121.lastname121@example.com</v>
      </c>
      <c r="AB553" s="64" t="str">
        <f>IF($C553="","",IF(ISNUMBER(SEARCH($D553,Settings!$C$15)),"Pickup","Dispatch"))</f>
        <v>Pickup</v>
      </c>
      <c r="AC553" s="64" t="str">
        <f t="shared" si="100"/>
        <v>Supply order ready for pickup</v>
      </c>
      <c r="AD553" s="64" t="str">
        <f t="shared" si="91"/>
        <v>Dear PSW,
Your order is ready for pickup from Sample Branch, Wed-Fri 9am-4pm.</v>
      </c>
      <c r="AE553" s="64" t="str">
        <f t="shared" si="92"/>
        <v>mailto:firstname121.lastname121@example.com?subject=Supply%20order%20ready%20for%20pickup&amp;body=Dear%20PSW%2C%0A%0AYour%20order%20is%20ready%20for%20pickup%20from%20Sample%20Branch%2C%20Wed-Fri%209am-4pm.</v>
      </c>
      <c r="AF553" s="89" t="str">
        <f t="shared" si="101"/>
        <v>Draft email</v>
      </c>
      <c r="AG553" s="64" t="str">
        <f>IF($C553="","",IFERROR(INDEX('Staff Directory'!$K$595:$K$599,MATCH($C553,'Staff Directory'!$B$5:$B$599,0)),$D553))</f>
        <v>PSW</v>
      </c>
      <c r="AH553" t="str">
        <f>IF($C553="","",IFERROR(INDEX('Staff Directory'!$I$595:$I$599,MATCH($C553,'Staff Directory'!$B$5:$B$599,0))&amp;" "&amp;INDEX('Staff Directory'!$J$595:$J$599,MATCH($C553,'Staff Directory'!$B$5:$B$599,0)),$AG553))</f>
        <v>PSW</v>
      </c>
      <c r="AI553" s="102"/>
      <c r="AJ553" s="101">
        <f>IF($F553="","",SUMIFS($J$5:$J553,$F$5:$F553,$F553))</f>
        <v>7920</v>
      </c>
      <c r="AK553" s="101">
        <f t="shared" si="93"/>
        <v>7841</v>
      </c>
      <c r="AL553" s="66" t="str" cm="1">
        <f t="array" ref="AL553">IF($F553="","",IFERROR(INDEX('Lot Balance'!$B$5:$B$500,MATCH(1,INDEX(('Lot Balance'!$A$5:$A$500=$F553)*('Lot Balance'!$K$5:$K$500&lt;$AK553)*('Lot Balance'!$K$5:$K$500+'Lot Balance'!$D$5:$D$500&gt;=$AK553),0),0)),""))</f>
        <v>LYSL500290</v>
      </c>
      <c r="AM553" s="66" t="str" cm="1">
        <f t="array" ref="AM553">IF($F553="","",IFERROR(INDEX('Lot Balance'!$B$5:$B$500,MATCH(1,INDEX(('Lot Balance'!$A$5:$A$500=$F553)*('Lot Balance'!$K$5:$K$500&lt;$AJ553)*('Lot Balance'!$K$5:$K$500+'Lot Balance'!$D$5:$D$500&gt;=$AJ553),0),0)),""))</f>
        <v>LYSL500290</v>
      </c>
      <c r="AN553" s="66" t="str">
        <f>IF($F553="","",IF($AI553&lt;&gt;"",IF(COUNTIFS('Lot Balance'!$A$5:$A$500,$F553,'Lot Balance'!$B$5:$B$500,$AI553)=0,"⚠ override is not a lot of this item",IF($AI553=$AL553,"Override = FEFO","Override - FEFO says "&amp;$AL553)),IF($AL553="","⚠ no receipt on file for this item",IF($AM553&lt;&gt;$AL553,"FEFO auto - split, also "&amp;$AM553,"FEFO auto"))))</f>
        <v>FEFO auto</v>
      </c>
      <c r="AO553" s="114"/>
    </row>
    <row r="554" spans="1:41" x14ac:dyDescent="0.35">
      <c r="A554" s="74">
        <v>46148</v>
      </c>
      <c r="B554" s="18" t="str">
        <f>IF($C554="","",IFERROR(INDEX('Staff Directory'!$A$5:$A$594,MATCH($C554,'Staff Directory'!$B$5:$B$594,0)),"⚠ unknown staff"))</f>
        <v>PSW-061-A5</v>
      </c>
      <c r="C554" s="49" t="s">
        <v>1037</v>
      </c>
      <c r="D554" s="19" t="str">
        <f>IF($B554="","",IFERROR(INDEX('Staff Directory'!$C$5:$C$594,MATCH($B554,'Staff Directory'!$A$5:$A$594,0)),""))</f>
        <v>PSW</v>
      </c>
      <c r="E554" s="19" t="str">
        <f>IF($B554="","",IFERROR(INDEX('Staff Directory'!$D$5:$D$594,MATCH($B554,'Staff Directory'!$A$5:$A$594,0)),""))</f>
        <v>A5</v>
      </c>
      <c r="F554" s="9" t="s">
        <v>156</v>
      </c>
      <c r="G554" s="18" t="str">
        <f>IF($F554="","",IFERROR(INDEX(Items!$B$5:$B$597,MATCH($F554,Items!$A$5:$A$597,0)),"⚠ not in Items"))</f>
        <v>Masks</v>
      </c>
      <c r="H554" s="19" t="str">
        <f>IF($F554="","",IFERROR(INDEX(Items!$C$5:$C$597,MATCH($F554,Items!$A$5:$A$597,0)),""))</f>
        <v>One Size</v>
      </c>
      <c r="I554" s="23">
        <f>IF($F554="","",IFERROR(INDEX(Items!$E$5:$E$597,MATCH($F554,Items!$A$5:$A$597,0)),""))</f>
        <v>50</v>
      </c>
      <c r="J554" s="115">
        <f>IF(tblIssues[[#This Row],[Qty Override]]&lt;&gt;"",tblIssues[[#This Row],[Qty Override]],IF(tblIssues[[#This Row],[Standard Issue]]="","",tblIssues[[#This Row],[Standard Issue]]))</f>
        <v>50</v>
      </c>
      <c r="K554" s="20">
        <f>IF($F554="","",IFERROR(INDEX(Items!$D$5:$D$597,MATCH($F554,Items!$A$5:$A$597,0)),""))</f>
        <v>0.25</v>
      </c>
      <c r="L554" s="21">
        <f t="shared" si="94"/>
        <v>12.5</v>
      </c>
      <c r="M554" s="9" t="str">
        <f t="shared" si="95"/>
        <v>0125FPC24-0</v>
      </c>
      <c r="N554" s="24">
        <f>IF($A554="","",WORKDAY($A554,Settings!$C$9,HolidayDates))</f>
        <v>46156</v>
      </c>
      <c r="O554" s="24">
        <f>IF($N554="","",WORKDAY($N554,Settings!$C$10,HolidayDates))</f>
        <v>46196</v>
      </c>
      <c r="P554" s="10" t="s">
        <v>501</v>
      </c>
      <c r="Q554" s="52" t="str">
        <f t="shared" si="97"/>
        <v>Collected</v>
      </c>
      <c r="R554" s="55" t="str">
        <f t="shared" si="98"/>
        <v>2026-05</v>
      </c>
      <c r="S554" s="55">
        <f>IF(OR($B554="",$F554="",$R554=""),"",SUMIFS(tblIssues[Qty Issued],tblIssues[Staff ID],$B554,tblIssues[Item Name],$F554,tblIssues[Month],$R554))</f>
        <v>50</v>
      </c>
      <c r="T554" s="56">
        <f>IF($I554="","",$I554*Settings!$C$11)</f>
        <v>50</v>
      </c>
      <c r="U554" s="57" t="str">
        <f t="shared" si="96"/>
        <v>OK</v>
      </c>
      <c r="V554" s="55" t="str">
        <f t="shared" si="99"/>
        <v/>
      </c>
      <c r="W554" s="55" t="str">
        <f>IF($V554="","",IF(COUNTIF($V$5:$V554,$V554)=1,1,""))</f>
        <v/>
      </c>
      <c r="X554" s="58" t="str">
        <f>IF($W554="","",MAX($X$4:X553)+1)</f>
        <v/>
      </c>
      <c r="Y554" s="62"/>
      <c r="Z554" s="62"/>
      <c r="AA554" s="64" t="str">
        <f>IF($C554="","",IFERROR(INDEX('Staff Directory'!$E$5:$E$594,MATCH($C554,'Staff Directory'!$B$5:$B$594,0)),""))</f>
        <v>firstname121.lastname121@example.com</v>
      </c>
      <c r="AB554" s="64" t="str">
        <f>IF($C554="","",IF(ISNUMBER(SEARCH($D554,Settings!$C$15)),"Pickup","Dispatch"))</f>
        <v>Pickup</v>
      </c>
      <c r="AC554" s="64" t="str">
        <f t="shared" si="100"/>
        <v>Supply order ready for pickup</v>
      </c>
      <c r="AD554" s="64" t="str">
        <f t="shared" si="91"/>
        <v>Dear PSW,
Your order is ready for pickup from Sample Branch, Wed-Fri 9am-4pm.</v>
      </c>
      <c r="AE554" s="64" t="str">
        <f t="shared" si="92"/>
        <v>mailto:firstname121.lastname121@example.com?subject=Supply%20order%20ready%20for%20pickup&amp;body=Dear%20PSW%2C%0A%0AYour%20order%20is%20ready%20for%20pickup%20from%20Sample%20Branch%2C%20Wed-Fri%209am-4pm.</v>
      </c>
      <c r="AF554" s="89" t="str">
        <f t="shared" si="101"/>
        <v>Draft email</v>
      </c>
      <c r="AG554" s="64" t="str">
        <f>IF($C554="","",IFERROR(INDEX('Staff Directory'!$K$595:$K$599,MATCH($C554,'Staff Directory'!$B$5:$B$599,0)),$D554))</f>
        <v>PSW</v>
      </c>
      <c r="AH554" t="str">
        <f>IF($C554="","",IFERROR(INDEX('Staff Directory'!$I$595:$I$599,MATCH($C554,'Staff Directory'!$B$5:$B$599,0))&amp;" "&amp;INDEX('Staff Directory'!$J$595:$J$599,MATCH($C554,'Staff Directory'!$B$5:$B$599,0)),$AG554))</f>
        <v>PSW</v>
      </c>
      <c r="AI554" s="102"/>
      <c r="AJ554" s="101">
        <f>IF($F554="","",SUMIFS($J$5:$J554,$F$5:$F554,$F554))</f>
        <v>4550</v>
      </c>
      <c r="AK554" s="101">
        <f t="shared" si="93"/>
        <v>4501</v>
      </c>
      <c r="AL554" s="66" t="str" cm="1">
        <f t="array" ref="AL554">IF($F554="","",IFERROR(INDEX('Lot Balance'!$B$5:$B$500,MATCH(1,INDEX(('Lot Balance'!$A$5:$A$500=$F554)*('Lot Balance'!$K$5:$K$500&lt;$AK554)*('Lot Balance'!$K$5:$K$500+'Lot Balance'!$D$5:$D$500&gt;=$AK554),0),0)),""))</f>
        <v>0125FPC24-0</v>
      </c>
      <c r="AM554" s="66" t="str" cm="1">
        <f t="array" ref="AM554">IF($F554="","",IFERROR(INDEX('Lot Balance'!$B$5:$B$500,MATCH(1,INDEX(('Lot Balance'!$A$5:$A$500=$F554)*('Lot Balance'!$K$5:$K$500&lt;$AJ554)*('Lot Balance'!$K$5:$K$500+'Lot Balance'!$D$5:$D$500&gt;=$AJ554),0),0)),""))</f>
        <v>0125FPC24-0</v>
      </c>
      <c r="AN554" s="66" t="str">
        <f>IF($F554="","",IF($AI554&lt;&gt;"",IF(COUNTIFS('Lot Balance'!$A$5:$A$500,$F554,'Lot Balance'!$B$5:$B$500,$AI554)=0,"⚠ override is not a lot of this item",IF($AI554=$AL554,"Override = FEFO","Override - FEFO says "&amp;$AL554)),IF($AL554="","⚠ no receipt on file for this item",IF($AM554&lt;&gt;$AL554,"FEFO auto - split, also "&amp;$AM554,"FEFO auto"))))</f>
        <v>FEFO auto</v>
      </c>
      <c r="AO554" s="114"/>
    </row>
    <row r="555" spans="1:41" x14ac:dyDescent="0.35">
      <c r="A555" s="74">
        <v>46148</v>
      </c>
      <c r="B555" s="18" t="str">
        <f>IF($C555="","",IFERROR(INDEX('Staff Directory'!$A$5:$A$594,MATCH($C555,'Staff Directory'!$B$5:$B$594,0)),"⚠ unknown staff"))</f>
        <v>PSW-104-A6</v>
      </c>
      <c r="C555" s="49" t="s">
        <v>1082</v>
      </c>
      <c r="D555" s="19" t="str">
        <f>IF($B555="","",IFERROR(INDEX('Staff Directory'!$C$5:$C$594,MATCH($B555,'Staff Directory'!$A$5:$A$594,0)),""))</f>
        <v>PSW</v>
      </c>
      <c r="E555" s="19" t="str">
        <f>IF($B555="","",IFERROR(INDEX('Staff Directory'!$D$5:$D$594,MATCH($B555,'Staff Directory'!$A$5:$A$594,0)),""))</f>
        <v>A6</v>
      </c>
      <c r="F555" s="9" t="s">
        <v>127</v>
      </c>
      <c r="G555" s="18" t="str">
        <f>IF($F555="","",IFERROR(INDEX(Items!$B$5:$B$597,MATCH($F555,Items!$A$5:$A$597,0)),"⚠ not in Items"))</f>
        <v>Gloves</v>
      </c>
      <c r="H555" s="19" t="str">
        <f>IF($F555="","",IFERROR(INDEX(Items!$C$5:$C$597,MATCH($F555,Items!$A$5:$A$597,0)),""))</f>
        <v>Medium</v>
      </c>
      <c r="I555" s="23">
        <f>IF($F555="","",IFERROR(INDEX(Items!$E$5:$E$597,MATCH($F555,Items!$A$5:$A$597,0)),""))</f>
        <v>500</v>
      </c>
      <c r="J555" s="115">
        <f>IF(tblIssues[[#This Row],[Qty Override]]&lt;&gt;"",tblIssues[[#This Row],[Qty Override]],IF(tblIssues[[#This Row],[Standard Issue]]="","",tblIssues[[#This Row],[Standard Issue]]))</f>
        <v>500</v>
      </c>
      <c r="K555" s="20">
        <f>IF($F555="","",IFERROR(INDEX(Items!$D$5:$D$597,MATCH($F555,Items!$A$5:$A$597,0)),""))</f>
        <v>5.5E-2</v>
      </c>
      <c r="L555" s="21">
        <f t="shared" si="94"/>
        <v>27.5</v>
      </c>
      <c r="M555" s="9" t="str">
        <f t="shared" si="95"/>
        <v>ZIM504126040-2</v>
      </c>
      <c r="N555" s="24">
        <f>IF($A555="","",WORKDAY($A555,Settings!$C$9,HolidayDates))</f>
        <v>46156</v>
      </c>
      <c r="O555" s="24">
        <f>IF($N555="","",WORKDAY($N555,Settings!$C$10,HolidayDates))</f>
        <v>46196</v>
      </c>
      <c r="P555" s="10" t="s">
        <v>501</v>
      </c>
      <c r="Q555" s="52" t="str">
        <f t="shared" si="97"/>
        <v>Collected</v>
      </c>
      <c r="R555" s="55" t="str">
        <f t="shared" si="98"/>
        <v>2026-05</v>
      </c>
      <c r="S555" s="55">
        <f>IF(OR($B555="",$F555="",$R555=""),"",SUMIFS(tblIssues[Qty Issued],tblIssues[Staff ID],$B555,tblIssues[Item Name],$F555,tblIssues[Month],$R555))</f>
        <v>500</v>
      </c>
      <c r="T555" s="56">
        <f>IF($I555="","",$I555*Settings!$C$11)</f>
        <v>500</v>
      </c>
      <c r="U555" s="57" t="str">
        <f t="shared" si="96"/>
        <v>OK</v>
      </c>
      <c r="V555" s="55" t="str">
        <f t="shared" si="99"/>
        <v/>
      </c>
      <c r="W555" s="55" t="str">
        <f>IF($V555="","",IF(COUNTIF($V$5:$V555,$V555)=1,1,""))</f>
        <v/>
      </c>
      <c r="X555" s="58" t="str">
        <f>IF($W555="","",MAX($X$4:X554)+1)</f>
        <v/>
      </c>
      <c r="Y555" s="62"/>
      <c r="Z555" s="62"/>
      <c r="AA555" s="64" t="str">
        <f>IF($C555="","",IFERROR(INDEX('Staff Directory'!$E$5:$E$594,MATCH($C555,'Staff Directory'!$B$5:$B$594,0)),""))</f>
        <v>firstname166.lastname166@example.com</v>
      </c>
      <c r="AB555" s="64" t="str">
        <f>IF($C555="","",IF(ISNUMBER(SEARCH($D555,Settings!$C$15)),"Pickup","Dispatch"))</f>
        <v>Pickup</v>
      </c>
      <c r="AC555" s="64" t="str">
        <f t="shared" si="100"/>
        <v>Supply order ready for pickup</v>
      </c>
      <c r="AD555" s="64" t="str">
        <f t="shared" si="91"/>
        <v>Dear PSW,
Your order is ready for pickup from Sample Branch, Wed-Fri 9am-4pm.</v>
      </c>
      <c r="AE555" s="64" t="str">
        <f t="shared" si="92"/>
        <v>mailto:firstname166.lastname166@example.com?subject=Supply%20order%20ready%20for%20pickup&amp;body=Dear%20PSW%2C%0A%0AYour%20order%20is%20ready%20for%20pickup%20from%20Sample%20Branch%2C%20Wed-Fri%209am-4pm.</v>
      </c>
      <c r="AF555" s="89" t="str">
        <f t="shared" si="101"/>
        <v>Draft email</v>
      </c>
      <c r="AG555" s="64" t="str">
        <f>IF($C555="","",IFERROR(INDEX('Staff Directory'!$K$595:$K$599,MATCH($C555,'Staff Directory'!$B$5:$B$599,0)),$D555))</f>
        <v>PSW</v>
      </c>
      <c r="AH555" t="str">
        <f>IF($C555="","",IFERROR(INDEX('Staff Directory'!$I$595:$I$599,MATCH($C555,'Staff Directory'!$B$5:$B$599,0))&amp;" "&amp;INDEX('Staff Directory'!$J$595:$J$599,MATCH($C555,'Staff Directory'!$B$5:$B$599,0)),$AG555))</f>
        <v>PSW</v>
      </c>
      <c r="AI555" s="102"/>
      <c r="AJ555" s="101">
        <f>IF($F555="","",SUMIFS($J$5:$J555,$F$5:$F555,$F555))</f>
        <v>31500</v>
      </c>
      <c r="AK555" s="101">
        <f t="shared" si="93"/>
        <v>31001</v>
      </c>
      <c r="AL555" s="66" t="str" cm="1">
        <f t="array" ref="AL555">IF($F555="","",IFERROR(INDEX('Lot Balance'!$B$5:$B$500,MATCH(1,INDEX(('Lot Balance'!$A$5:$A$500=$F555)*('Lot Balance'!$K$5:$K$500&lt;$AK555)*('Lot Balance'!$K$5:$K$500+'Lot Balance'!$D$5:$D$500&gt;=$AK555),0),0)),""))</f>
        <v>ZIM504126040-2</v>
      </c>
      <c r="AM555" s="66" t="str" cm="1">
        <f t="array" ref="AM555">IF($F555="","",IFERROR(INDEX('Lot Balance'!$B$5:$B$500,MATCH(1,INDEX(('Lot Balance'!$A$5:$A$500=$F555)*('Lot Balance'!$K$5:$K$500&lt;$AJ555)*('Lot Balance'!$K$5:$K$500+'Lot Balance'!$D$5:$D$500&gt;=$AJ555),0),0)),""))</f>
        <v>ZIM504126040-2</v>
      </c>
      <c r="AN555" s="66" t="str">
        <f>IF($F555="","",IF($AI555&lt;&gt;"",IF(COUNTIFS('Lot Balance'!$A$5:$A$500,$F555,'Lot Balance'!$B$5:$B$500,$AI555)=0,"⚠ override is not a lot of this item",IF($AI555=$AL555,"Override = FEFO","Override - FEFO says "&amp;$AL555)),IF($AL555="","⚠ no receipt on file for this item",IF($AM555&lt;&gt;$AL555,"FEFO auto - split, also "&amp;$AM555,"FEFO auto"))))</f>
        <v>FEFO auto</v>
      </c>
      <c r="AO555" s="114"/>
    </row>
    <row r="556" spans="1:41" x14ac:dyDescent="0.35">
      <c r="A556" s="74">
        <v>46148</v>
      </c>
      <c r="B556" s="18" t="str">
        <f>IF($C556="","",IFERROR(INDEX('Staff Directory'!$A$5:$A$594,MATCH($C556,'Staff Directory'!$B$5:$B$594,0)),"⚠ unknown staff"))</f>
        <v>PSW-104-A6</v>
      </c>
      <c r="C556" s="49" t="s">
        <v>1082</v>
      </c>
      <c r="D556" s="19" t="str">
        <f>IF($B556="","",IFERROR(INDEX('Staff Directory'!$C$5:$C$594,MATCH($B556,'Staff Directory'!$A$5:$A$594,0)),""))</f>
        <v>PSW</v>
      </c>
      <c r="E556" s="19" t="str">
        <f>IF($B556="","",IFERROR(INDEX('Staff Directory'!$D$5:$D$594,MATCH($B556,'Staff Directory'!$A$5:$A$594,0)),""))</f>
        <v>A6</v>
      </c>
      <c r="F556" s="9" t="s">
        <v>115</v>
      </c>
      <c r="G556" s="18" t="str">
        <f>IF($F556="","",IFERROR(INDEX(Items!$B$5:$B$597,MATCH($F556,Items!$A$5:$A$597,0)),"⚠ not in Items"))</f>
        <v>Wipes</v>
      </c>
      <c r="H556" s="19">
        <f>IF($F556="","",IFERROR(INDEX(Items!$C$5:$C$597,MATCH($F556,Items!$A$5:$A$597,0)),""))</f>
        <v>80</v>
      </c>
      <c r="I556" s="23">
        <f>IF($F556="","",IFERROR(INDEX(Items!$E$5:$E$597,MATCH($F556,Items!$A$5:$A$597,0)),""))</f>
        <v>80</v>
      </c>
      <c r="J556" s="115">
        <f>IF(tblIssues[[#This Row],[Qty Override]]&lt;&gt;"",tblIssues[[#This Row],[Qty Override]],IF(tblIssues[[#This Row],[Standard Issue]]="","",tblIssues[[#This Row],[Standard Issue]]))</f>
        <v>80</v>
      </c>
      <c r="K556" s="20">
        <f>IF($F556="","",IFERROR(INDEX(Items!$D$5:$D$597,MATCH($F556,Items!$A$5:$A$597,0)),""))</f>
        <v>0.1</v>
      </c>
      <c r="L556" s="21">
        <f t="shared" si="94"/>
        <v>8</v>
      </c>
      <c r="M556" s="9" t="str">
        <f t="shared" si="95"/>
        <v>LYSL500290</v>
      </c>
      <c r="N556" s="24">
        <f>IF($A556="","",WORKDAY($A556,Settings!$C$9,HolidayDates))</f>
        <v>46156</v>
      </c>
      <c r="O556" s="24">
        <f>IF($N556="","",WORKDAY($N556,Settings!$C$10,HolidayDates))</f>
        <v>46196</v>
      </c>
      <c r="P556" s="10" t="s">
        <v>501</v>
      </c>
      <c r="Q556" s="52" t="str">
        <f t="shared" si="97"/>
        <v>Collected</v>
      </c>
      <c r="R556" s="55" t="str">
        <f t="shared" si="98"/>
        <v>2026-05</v>
      </c>
      <c r="S556" s="55">
        <f>IF(OR($B556="",$F556="",$R556=""),"",SUMIFS(tblIssues[Qty Issued],tblIssues[Staff ID],$B556,tblIssues[Item Name],$F556,tblIssues[Month],$R556))</f>
        <v>80</v>
      </c>
      <c r="T556" s="56">
        <f>IF($I556="","",$I556*Settings!$C$11)</f>
        <v>80</v>
      </c>
      <c r="U556" s="57" t="str">
        <f t="shared" si="96"/>
        <v>OK</v>
      </c>
      <c r="V556" s="55" t="str">
        <f t="shared" si="99"/>
        <v/>
      </c>
      <c r="W556" s="55" t="str">
        <f>IF($V556="","",IF(COUNTIF($V$5:$V556,$V556)=1,1,""))</f>
        <v/>
      </c>
      <c r="X556" s="58" t="str">
        <f>IF($W556="","",MAX($X$4:X555)+1)</f>
        <v/>
      </c>
      <c r="Y556" s="62"/>
      <c r="Z556" s="62"/>
      <c r="AA556" s="64" t="str">
        <f>IF($C556="","",IFERROR(INDEX('Staff Directory'!$E$5:$E$594,MATCH($C556,'Staff Directory'!$B$5:$B$594,0)),""))</f>
        <v>firstname166.lastname166@example.com</v>
      </c>
      <c r="AB556" s="64" t="str">
        <f>IF($C556="","",IF(ISNUMBER(SEARCH($D556,Settings!$C$15)),"Pickup","Dispatch"))</f>
        <v>Pickup</v>
      </c>
      <c r="AC556" s="64" t="str">
        <f t="shared" si="100"/>
        <v>Supply order ready for pickup</v>
      </c>
      <c r="AD556" s="64" t="str">
        <f t="shared" si="91"/>
        <v>Dear PSW,
Your order is ready for pickup from Sample Branch, Wed-Fri 9am-4pm.</v>
      </c>
      <c r="AE556" s="64" t="str">
        <f t="shared" si="92"/>
        <v>mailto:firstname166.lastname166@example.com?subject=Supply%20order%20ready%20for%20pickup&amp;body=Dear%20PSW%2C%0A%0AYour%20order%20is%20ready%20for%20pickup%20from%20Sample%20Branch%2C%20Wed-Fri%209am-4pm.</v>
      </c>
      <c r="AF556" s="89" t="str">
        <f t="shared" si="101"/>
        <v>Draft email</v>
      </c>
      <c r="AG556" s="64" t="str">
        <f>IF($C556="","",IFERROR(INDEX('Staff Directory'!$K$595:$K$599,MATCH($C556,'Staff Directory'!$B$5:$B$599,0)),$D556))</f>
        <v>PSW</v>
      </c>
      <c r="AH556" t="str">
        <f>IF($C556="","",IFERROR(INDEX('Staff Directory'!$I$595:$I$599,MATCH($C556,'Staff Directory'!$B$5:$B$599,0))&amp;" "&amp;INDEX('Staff Directory'!$J$595:$J$599,MATCH($C556,'Staff Directory'!$B$5:$B$599,0)),$AG556))</f>
        <v>PSW</v>
      </c>
      <c r="AI556" s="102"/>
      <c r="AJ556" s="101">
        <f>IF($F556="","",SUMIFS($J$5:$J556,$F$5:$F556,$F556))</f>
        <v>8000</v>
      </c>
      <c r="AK556" s="101">
        <f t="shared" si="93"/>
        <v>7921</v>
      </c>
      <c r="AL556" s="66" t="str" cm="1">
        <f t="array" ref="AL556">IF($F556="","",IFERROR(INDEX('Lot Balance'!$B$5:$B$500,MATCH(1,INDEX(('Lot Balance'!$A$5:$A$500=$F556)*('Lot Balance'!$K$5:$K$500&lt;$AK556)*('Lot Balance'!$K$5:$K$500+'Lot Balance'!$D$5:$D$500&gt;=$AK556),0),0)),""))</f>
        <v>LYSL500290</v>
      </c>
      <c r="AM556" s="66" t="str" cm="1">
        <f t="array" ref="AM556">IF($F556="","",IFERROR(INDEX('Lot Balance'!$B$5:$B$500,MATCH(1,INDEX(('Lot Balance'!$A$5:$A$500=$F556)*('Lot Balance'!$K$5:$K$500&lt;$AJ556)*('Lot Balance'!$K$5:$K$500+'Lot Balance'!$D$5:$D$500&gt;=$AJ556),0),0)),""))</f>
        <v>LYSL500290</v>
      </c>
      <c r="AN556" s="66" t="str">
        <f>IF($F556="","",IF($AI556&lt;&gt;"",IF(COUNTIFS('Lot Balance'!$A$5:$A$500,$F556,'Lot Balance'!$B$5:$B$500,$AI556)=0,"⚠ override is not a lot of this item",IF($AI556=$AL556,"Override = FEFO","Override - FEFO says "&amp;$AL556)),IF($AL556="","⚠ no receipt on file for this item",IF($AM556&lt;&gt;$AL556,"FEFO auto - split, also "&amp;$AM556,"FEFO auto"))))</f>
        <v>FEFO auto</v>
      </c>
      <c r="AO556" s="114"/>
    </row>
    <row r="557" spans="1:41" x14ac:dyDescent="0.35">
      <c r="A557" s="74">
        <v>46148</v>
      </c>
      <c r="B557" s="18" t="str">
        <f>IF($C557="","",IFERROR(INDEX('Staff Directory'!$A$5:$A$594,MATCH($C557,'Staff Directory'!$B$5:$B$594,0)),"⚠ unknown staff"))</f>
        <v>PSW-104-A6</v>
      </c>
      <c r="C557" s="49" t="s">
        <v>1082</v>
      </c>
      <c r="D557" s="19" t="str">
        <f>IF($B557="","",IFERROR(INDEX('Staff Directory'!$C$5:$C$594,MATCH($B557,'Staff Directory'!$A$5:$A$594,0)),""))</f>
        <v>PSW</v>
      </c>
      <c r="E557" s="19" t="str">
        <f>IF($B557="","",IFERROR(INDEX('Staff Directory'!$D$5:$D$594,MATCH($B557,'Staff Directory'!$A$5:$A$594,0)),""))</f>
        <v>A6</v>
      </c>
      <c r="F557" s="9" t="s">
        <v>156</v>
      </c>
      <c r="G557" s="18" t="str">
        <f>IF($F557="","",IFERROR(INDEX(Items!$B$5:$B$597,MATCH($F557,Items!$A$5:$A$597,0)),"⚠ not in Items"))</f>
        <v>Masks</v>
      </c>
      <c r="H557" s="19" t="str">
        <f>IF($F557="","",IFERROR(INDEX(Items!$C$5:$C$597,MATCH($F557,Items!$A$5:$A$597,0)),""))</f>
        <v>One Size</v>
      </c>
      <c r="I557" s="23">
        <f>IF($F557="","",IFERROR(INDEX(Items!$E$5:$E$597,MATCH($F557,Items!$A$5:$A$597,0)),""))</f>
        <v>50</v>
      </c>
      <c r="J557" s="115">
        <f>IF(tblIssues[[#This Row],[Qty Override]]&lt;&gt;"",tblIssues[[#This Row],[Qty Override]],IF(tblIssues[[#This Row],[Standard Issue]]="","",tblIssues[[#This Row],[Standard Issue]]))</f>
        <v>50</v>
      </c>
      <c r="K557" s="20">
        <f>IF($F557="","",IFERROR(INDEX(Items!$D$5:$D$597,MATCH($F557,Items!$A$5:$A$597,0)),""))</f>
        <v>0.25</v>
      </c>
      <c r="L557" s="21">
        <f t="shared" si="94"/>
        <v>12.5</v>
      </c>
      <c r="M557" s="9" t="str">
        <f t="shared" si="95"/>
        <v>0125FPC24-0</v>
      </c>
      <c r="N557" s="24">
        <f>IF($A557="","",WORKDAY($A557,Settings!$C$9,HolidayDates))</f>
        <v>46156</v>
      </c>
      <c r="O557" s="24">
        <f>IF($N557="","",WORKDAY($N557,Settings!$C$10,HolidayDates))</f>
        <v>46196</v>
      </c>
      <c r="P557" s="10" t="s">
        <v>501</v>
      </c>
      <c r="Q557" s="52" t="str">
        <f t="shared" si="97"/>
        <v>Collected</v>
      </c>
      <c r="R557" s="55" t="str">
        <f t="shared" si="98"/>
        <v>2026-05</v>
      </c>
      <c r="S557" s="55">
        <f>IF(OR($B557="",$F557="",$R557=""),"",SUMIFS(tblIssues[Qty Issued],tblIssues[Staff ID],$B557,tblIssues[Item Name],$F557,tblIssues[Month],$R557))</f>
        <v>50</v>
      </c>
      <c r="T557" s="56">
        <f>IF($I557="","",$I557*Settings!$C$11)</f>
        <v>50</v>
      </c>
      <c r="U557" s="57" t="str">
        <f t="shared" si="96"/>
        <v>OK</v>
      </c>
      <c r="V557" s="55" t="str">
        <f t="shared" si="99"/>
        <v/>
      </c>
      <c r="W557" s="55" t="str">
        <f>IF($V557="","",IF(COUNTIF($V$5:$V557,$V557)=1,1,""))</f>
        <v/>
      </c>
      <c r="X557" s="58" t="str">
        <f>IF($W557="","",MAX($X$4:X556)+1)</f>
        <v/>
      </c>
      <c r="Y557" s="62"/>
      <c r="Z557" s="62"/>
      <c r="AA557" s="64" t="str">
        <f>IF($C557="","",IFERROR(INDEX('Staff Directory'!$E$5:$E$594,MATCH($C557,'Staff Directory'!$B$5:$B$594,0)),""))</f>
        <v>firstname166.lastname166@example.com</v>
      </c>
      <c r="AB557" s="64" t="str">
        <f>IF($C557="","",IF(ISNUMBER(SEARCH($D557,Settings!$C$15)),"Pickup","Dispatch"))</f>
        <v>Pickup</v>
      </c>
      <c r="AC557" s="64" t="str">
        <f t="shared" si="100"/>
        <v>Supply order ready for pickup</v>
      </c>
      <c r="AD557" s="64" t="str">
        <f t="shared" si="91"/>
        <v>Dear PSW,
Your order is ready for pickup from Sample Branch, Wed-Fri 9am-4pm.</v>
      </c>
      <c r="AE557" s="64" t="str">
        <f t="shared" si="92"/>
        <v>mailto:firstname166.lastname166@example.com?subject=Supply%20order%20ready%20for%20pickup&amp;body=Dear%20PSW%2C%0A%0AYour%20order%20is%20ready%20for%20pickup%20from%20Sample%20Branch%2C%20Wed-Fri%209am-4pm.</v>
      </c>
      <c r="AF557" s="89" t="str">
        <f t="shared" si="101"/>
        <v>Draft email</v>
      </c>
      <c r="AG557" s="64" t="str">
        <f>IF($C557="","",IFERROR(INDEX('Staff Directory'!$K$595:$K$599,MATCH($C557,'Staff Directory'!$B$5:$B$599,0)),$D557))</f>
        <v>PSW</v>
      </c>
      <c r="AH557" t="str">
        <f>IF($C557="","",IFERROR(INDEX('Staff Directory'!$I$595:$I$599,MATCH($C557,'Staff Directory'!$B$5:$B$599,0))&amp;" "&amp;INDEX('Staff Directory'!$J$595:$J$599,MATCH($C557,'Staff Directory'!$B$5:$B$599,0)),$AG557))</f>
        <v>PSW</v>
      </c>
      <c r="AI557" s="102"/>
      <c r="AJ557" s="101">
        <f>IF($F557="","",SUMIFS($J$5:$J557,$F$5:$F557,$F557))</f>
        <v>4600</v>
      </c>
      <c r="AK557" s="101">
        <f t="shared" si="93"/>
        <v>4551</v>
      </c>
      <c r="AL557" s="66" t="str" cm="1">
        <f t="array" ref="AL557">IF($F557="","",IFERROR(INDEX('Lot Balance'!$B$5:$B$500,MATCH(1,INDEX(('Lot Balance'!$A$5:$A$500=$F557)*('Lot Balance'!$K$5:$K$500&lt;$AK557)*('Lot Balance'!$K$5:$K$500+'Lot Balance'!$D$5:$D$500&gt;=$AK557),0),0)),""))</f>
        <v>0125FPC24-0</v>
      </c>
      <c r="AM557" s="66" t="str" cm="1">
        <f t="array" ref="AM557">IF($F557="","",IFERROR(INDEX('Lot Balance'!$B$5:$B$500,MATCH(1,INDEX(('Lot Balance'!$A$5:$A$500=$F557)*('Lot Balance'!$K$5:$K$500&lt;$AJ557)*('Lot Balance'!$K$5:$K$500+'Lot Balance'!$D$5:$D$500&gt;=$AJ557),0),0)),""))</f>
        <v>0125FPC24-0</v>
      </c>
      <c r="AN557" s="66" t="str">
        <f>IF($F557="","",IF($AI557&lt;&gt;"",IF(COUNTIFS('Lot Balance'!$A$5:$A$500,$F557,'Lot Balance'!$B$5:$B$500,$AI557)=0,"⚠ override is not a lot of this item",IF($AI557=$AL557,"Override = FEFO","Override - FEFO says "&amp;$AL557)),IF($AL557="","⚠ no receipt on file for this item",IF($AM557&lt;&gt;$AL557,"FEFO auto - split, also "&amp;$AM557,"FEFO auto"))))</f>
        <v>FEFO auto</v>
      </c>
      <c r="AO557" s="114"/>
    </row>
    <row r="558" spans="1:41" x14ac:dyDescent="0.35">
      <c r="A558" s="74">
        <v>46148</v>
      </c>
      <c r="B558" s="18" t="str">
        <f>IF($C558="","",IFERROR(INDEX('Staff Directory'!$A$5:$A$594,MATCH($C558,'Staff Directory'!$B$5:$B$594,0)),"⚠ unknown staff"))</f>
        <v>PSW-161-A6</v>
      </c>
      <c r="C558" s="49" t="s">
        <v>1140</v>
      </c>
      <c r="D558" s="19" t="str">
        <f>IF($B558="","",IFERROR(INDEX('Staff Directory'!$C$5:$C$594,MATCH($B558,'Staff Directory'!$A$5:$A$594,0)),""))</f>
        <v>PSW</v>
      </c>
      <c r="E558" s="19" t="str">
        <f>IF($B558="","",IFERROR(INDEX('Staff Directory'!$D$5:$D$594,MATCH($B558,'Staff Directory'!$A$5:$A$594,0)),""))</f>
        <v>A6</v>
      </c>
      <c r="F558" s="9" t="s">
        <v>127</v>
      </c>
      <c r="G558" s="18" t="str">
        <f>IF($F558="","",IFERROR(INDEX(Items!$B$5:$B$597,MATCH($F558,Items!$A$5:$A$597,0)),"⚠ not in Items"))</f>
        <v>Gloves</v>
      </c>
      <c r="H558" s="19" t="str">
        <f>IF($F558="","",IFERROR(INDEX(Items!$C$5:$C$597,MATCH($F558,Items!$A$5:$A$597,0)),""))</f>
        <v>Medium</v>
      </c>
      <c r="I558" s="23">
        <f>IF($F558="","",IFERROR(INDEX(Items!$E$5:$E$597,MATCH($F558,Items!$A$5:$A$597,0)),""))</f>
        <v>500</v>
      </c>
      <c r="J558" s="115">
        <f>IF(tblIssues[[#This Row],[Qty Override]]&lt;&gt;"",tblIssues[[#This Row],[Qty Override]],IF(tblIssues[[#This Row],[Standard Issue]]="","",tblIssues[[#This Row],[Standard Issue]]))</f>
        <v>500</v>
      </c>
      <c r="K558" s="20">
        <f>IF($F558="","",IFERROR(INDEX(Items!$D$5:$D$597,MATCH($F558,Items!$A$5:$A$597,0)),""))</f>
        <v>5.5E-2</v>
      </c>
      <c r="L558" s="21">
        <f t="shared" si="94"/>
        <v>27.5</v>
      </c>
      <c r="M558" s="9" t="str">
        <f t="shared" si="95"/>
        <v>ZIM504126040-2</v>
      </c>
      <c r="N558" s="24">
        <f>IF($A558="","",WORKDAY($A558,Settings!$C$9,HolidayDates))</f>
        <v>46156</v>
      </c>
      <c r="O558" s="24">
        <f>IF($N558="","",WORKDAY($N558,Settings!$C$10,HolidayDates))</f>
        <v>46196</v>
      </c>
      <c r="P558" s="10" t="s">
        <v>501</v>
      </c>
      <c r="Q558" s="52" t="str">
        <f t="shared" si="97"/>
        <v>Collected</v>
      </c>
      <c r="R558" s="55" t="str">
        <f t="shared" si="98"/>
        <v>2026-05</v>
      </c>
      <c r="S558" s="55">
        <f>IF(OR($B558="",$F558="",$R558=""),"",SUMIFS(tblIssues[Qty Issued],tblIssues[Staff ID],$B558,tblIssues[Item Name],$F558,tblIssues[Month],$R558))</f>
        <v>500</v>
      </c>
      <c r="T558" s="56">
        <f>IF($I558="","",$I558*Settings!$C$11)</f>
        <v>500</v>
      </c>
      <c r="U558" s="57" t="str">
        <f t="shared" si="96"/>
        <v>OK</v>
      </c>
      <c r="V558" s="55" t="str">
        <f t="shared" si="99"/>
        <v/>
      </c>
      <c r="W558" s="55" t="str">
        <f>IF($V558="","",IF(COUNTIF($V$5:$V558,$V558)=1,1,""))</f>
        <v/>
      </c>
      <c r="X558" s="58" t="str">
        <f>IF($W558="","",MAX($X$4:X557)+1)</f>
        <v/>
      </c>
      <c r="Y558" s="62"/>
      <c r="Z558" s="62"/>
      <c r="AA558" s="64" t="str">
        <f>IF($C558="","",IFERROR(INDEX('Staff Directory'!$E$5:$E$594,MATCH($C558,'Staff Directory'!$B$5:$B$594,0)),""))</f>
        <v>firstname224.lastname224@example.com</v>
      </c>
      <c r="AB558" s="64" t="str">
        <f>IF($C558="","",IF(ISNUMBER(SEARCH($D558,Settings!$C$15)),"Pickup","Dispatch"))</f>
        <v>Pickup</v>
      </c>
      <c r="AC558" s="64" t="str">
        <f t="shared" si="100"/>
        <v>Supply order ready for pickup</v>
      </c>
      <c r="AD558" s="64" t="str">
        <f t="shared" si="91"/>
        <v>Dear PSW,
Your order is ready for pickup from Sample Branch, Wed-Fri 9am-4pm.</v>
      </c>
      <c r="AE558" s="64" t="str">
        <f t="shared" si="92"/>
        <v>mailto:firstname224.lastname224@example.com?subject=Supply%20order%20ready%20for%20pickup&amp;body=Dear%20PSW%2C%0A%0AYour%20order%20is%20ready%20for%20pickup%20from%20Sample%20Branch%2C%20Wed-Fri%209am-4pm.</v>
      </c>
      <c r="AF558" s="89" t="str">
        <f t="shared" si="101"/>
        <v>Draft email</v>
      </c>
      <c r="AG558" s="64" t="str">
        <f>IF($C558="","",IFERROR(INDEX('Staff Directory'!$K$595:$K$599,MATCH($C558,'Staff Directory'!$B$5:$B$599,0)),$D558))</f>
        <v>PSW</v>
      </c>
      <c r="AH558" t="str">
        <f>IF($C558="","",IFERROR(INDEX('Staff Directory'!$I$595:$I$599,MATCH($C558,'Staff Directory'!$B$5:$B$599,0))&amp;" "&amp;INDEX('Staff Directory'!$J$595:$J$599,MATCH($C558,'Staff Directory'!$B$5:$B$599,0)),$AG558))</f>
        <v>PSW</v>
      </c>
      <c r="AI558" s="102"/>
      <c r="AJ558" s="101">
        <f>IF($F558="","",SUMIFS($J$5:$J558,$F$5:$F558,$F558))</f>
        <v>32000</v>
      </c>
      <c r="AK558" s="101">
        <f t="shared" si="93"/>
        <v>31501</v>
      </c>
      <c r="AL558" s="66" t="str" cm="1">
        <f t="array" ref="AL558">IF($F558="","",IFERROR(INDEX('Lot Balance'!$B$5:$B$500,MATCH(1,INDEX(('Lot Balance'!$A$5:$A$500=$F558)*('Lot Balance'!$K$5:$K$500&lt;$AK558)*('Lot Balance'!$K$5:$K$500+'Lot Balance'!$D$5:$D$500&gt;=$AK558),0),0)),""))</f>
        <v>ZIM504126040-2</v>
      </c>
      <c r="AM558" s="66" t="str" cm="1">
        <f t="array" ref="AM558">IF($F558="","",IFERROR(INDEX('Lot Balance'!$B$5:$B$500,MATCH(1,INDEX(('Lot Balance'!$A$5:$A$500=$F558)*('Lot Balance'!$K$5:$K$500&lt;$AJ558)*('Lot Balance'!$K$5:$K$500+'Lot Balance'!$D$5:$D$500&gt;=$AJ558),0),0)),""))</f>
        <v>ZIM504126040-2</v>
      </c>
      <c r="AN558" s="66" t="str">
        <f>IF($F558="","",IF($AI558&lt;&gt;"",IF(COUNTIFS('Lot Balance'!$A$5:$A$500,$F558,'Lot Balance'!$B$5:$B$500,$AI558)=0,"⚠ override is not a lot of this item",IF($AI558=$AL558,"Override = FEFO","Override - FEFO says "&amp;$AL558)),IF($AL558="","⚠ no receipt on file for this item",IF($AM558&lt;&gt;$AL558,"FEFO auto - split, also "&amp;$AM558,"FEFO auto"))))</f>
        <v>FEFO auto</v>
      </c>
      <c r="AO558" s="114"/>
    </row>
    <row r="559" spans="1:41" x14ac:dyDescent="0.35">
      <c r="A559" s="74">
        <v>46148</v>
      </c>
      <c r="B559" s="18" t="str">
        <f>IF($C559="","",IFERROR(INDEX('Staff Directory'!$A$5:$A$594,MATCH($C559,'Staff Directory'!$B$5:$B$594,0)),"⚠ unknown staff"))</f>
        <v>PSW-161-A6</v>
      </c>
      <c r="C559" s="49" t="s">
        <v>1140</v>
      </c>
      <c r="D559" s="19" t="str">
        <f>IF($B559="","",IFERROR(INDEX('Staff Directory'!$C$5:$C$594,MATCH($B559,'Staff Directory'!$A$5:$A$594,0)),""))</f>
        <v>PSW</v>
      </c>
      <c r="E559" s="19" t="str">
        <f>IF($B559="","",IFERROR(INDEX('Staff Directory'!$D$5:$D$594,MATCH($B559,'Staff Directory'!$A$5:$A$594,0)),""))</f>
        <v>A6</v>
      </c>
      <c r="F559" s="9" t="s">
        <v>115</v>
      </c>
      <c r="G559" s="18" t="str">
        <f>IF($F559="","",IFERROR(INDEX(Items!$B$5:$B$597,MATCH($F559,Items!$A$5:$A$597,0)),"⚠ not in Items"))</f>
        <v>Wipes</v>
      </c>
      <c r="H559" s="19">
        <f>IF($F559="","",IFERROR(INDEX(Items!$C$5:$C$597,MATCH($F559,Items!$A$5:$A$597,0)),""))</f>
        <v>80</v>
      </c>
      <c r="I559" s="23">
        <f>IF($F559="","",IFERROR(INDEX(Items!$E$5:$E$597,MATCH($F559,Items!$A$5:$A$597,0)),""))</f>
        <v>80</v>
      </c>
      <c r="J559" s="115">
        <f>IF(tblIssues[[#This Row],[Qty Override]]&lt;&gt;"",tblIssues[[#This Row],[Qty Override]],IF(tblIssues[[#This Row],[Standard Issue]]="","",tblIssues[[#This Row],[Standard Issue]]))</f>
        <v>80</v>
      </c>
      <c r="K559" s="20">
        <f>IF($F559="","",IFERROR(INDEX(Items!$D$5:$D$597,MATCH($F559,Items!$A$5:$A$597,0)),""))</f>
        <v>0.1</v>
      </c>
      <c r="L559" s="21">
        <f t="shared" si="94"/>
        <v>8</v>
      </c>
      <c r="M559" s="9" t="str">
        <f t="shared" si="95"/>
        <v>LYSL500290</v>
      </c>
      <c r="N559" s="24">
        <f>IF($A559="","",WORKDAY($A559,Settings!$C$9,HolidayDates))</f>
        <v>46156</v>
      </c>
      <c r="O559" s="24">
        <f>IF($N559="","",WORKDAY($N559,Settings!$C$10,HolidayDates))</f>
        <v>46196</v>
      </c>
      <c r="P559" s="10" t="s">
        <v>501</v>
      </c>
      <c r="Q559" s="52" t="str">
        <f t="shared" si="97"/>
        <v>Collected</v>
      </c>
      <c r="R559" s="55" t="str">
        <f t="shared" si="98"/>
        <v>2026-05</v>
      </c>
      <c r="S559" s="55">
        <f>IF(OR($B559="",$F559="",$R559=""),"",SUMIFS(tblIssues[Qty Issued],tblIssues[Staff ID],$B559,tblIssues[Item Name],$F559,tblIssues[Month],$R559))</f>
        <v>80</v>
      </c>
      <c r="T559" s="56">
        <f>IF($I559="","",$I559*Settings!$C$11)</f>
        <v>80</v>
      </c>
      <c r="U559" s="57" t="str">
        <f t="shared" si="96"/>
        <v>OK</v>
      </c>
      <c r="V559" s="55" t="str">
        <f t="shared" si="99"/>
        <v/>
      </c>
      <c r="W559" s="55" t="str">
        <f>IF($V559="","",IF(COUNTIF($V$5:$V559,$V559)=1,1,""))</f>
        <v/>
      </c>
      <c r="X559" s="58" t="str">
        <f>IF($W559="","",MAX($X$4:X558)+1)</f>
        <v/>
      </c>
      <c r="Y559" s="62"/>
      <c r="Z559" s="62"/>
      <c r="AA559" s="64" t="str">
        <f>IF($C559="","",IFERROR(INDEX('Staff Directory'!$E$5:$E$594,MATCH($C559,'Staff Directory'!$B$5:$B$594,0)),""))</f>
        <v>firstname224.lastname224@example.com</v>
      </c>
      <c r="AB559" s="64" t="str">
        <f>IF($C559="","",IF(ISNUMBER(SEARCH($D559,Settings!$C$15)),"Pickup","Dispatch"))</f>
        <v>Pickup</v>
      </c>
      <c r="AC559" s="64" t="str">
        <f t="shared" si="100"/>
        <v>Supply order ready for pickup</v>
      </c>
      <c r="AD559" s="64" t="str">
        <f t="shared" si="91"/>
        <v>Dear PSW,
Your order is ready for pickup from Sample Branch, Wed-Fri 9am-4pm.</v>
      </c>
      <c r="AE559" s="64" t="str">
        <f t="shared" si="92"/>
        <v>mailto:firstname224.lastname224@example.com?subject=Supply%20order%20ready%20for%20pickup&amp;body=Dear%20PSW%2C%0A%0AYour%20order%20is%20ready%20for%20pickup%20from%20Sample%20Branch%2C%20Wed-Fri%209am-4pm.</v>
      </c>
      <c r="AF559" s="89" t="str">
        <f t="shared" si="101"/>
        <v>Draft email</v>
      </c>
      <c r="AG559" s="64" t="str">
        <f>IF($C559="","",IFERROR(INDEX('Staff Directory'!$K$595:$K$599,MATCH($C559,'Staff Directory'!$B$5:$B$599,0)),$D559))</f>
        <v>PSW</v>
      </c>
      <c r="AH559" t="str">
        <f>IF($C559="","",IFERROR(INDEX('Staff Directory'!$I$595:$I$599,MATCH($C559,'Staff Directory'!$B$5:$B$599,0))&amp;" "&amp;INDEX('Staff Directory'!$J$595:$J$599,MATCH($C559,'Staff Directory'!$B$5:$B$599,0)),$AG559))</f>
        <v>PSW</v>
      </c>
      <c r="AI559" s="102"/>
      <c r="AJ559" s="101">
        <f>IF($F559="","",SUMIFS($J$5:$J559,$F$5:$F559,$F559))</f>
        <v>8080</v>
      </c>
      <c r="AK559" s="101">
        <f t="shared" si="93"/>
        <v>8001</v>
      </c>
      <c r="AL559" s="66" t="str" cm="1">
        <f t="array" ref="AL559">IF($F559="","",IFERROR(INDEX('Lot Balance'!$B$5:$B$500,MATCH(1,INDEX(('Lot Balance'!$A$5:$A$500=$F559)*('Lot Balance'!$K$5:$K$500&lt;$AK559)*('Lot Balance'!$K$5:$K$500+'Lot Balance'!$D$5:$D$500&gt;=$AK559),0),0)),""))</f>
        <v>LYSL500290</v>
      </c>
      <c r="AM559" s="66" t="str" cm="1">
        <f t="array" ref="AM559">IF($F559="","",IFERROR(INDEX('Lot Balance'!$B$5:$B$500,MATCH(1,INDEX(('Lot Balance'!$A$5:$A$500=$F559)*('Lot Balance'!$K$5:$K$500&lt;$AJ559)*('Lot Balance'!$K$5:$K$500+'Lot Balance'!$D$5:$D$500&gt;=$AJ559),0),0)),""))</f>
        <v>LYSL500290</v>
      </c>
      <c r="AN559" s="66" t="str">
        <f>IF($F559="","",IF($AI559&lt;&gt;"",IF(COUNTIFS('Lot Balance'!$A$5:$A$500,$F559,'Lot Balance'!$B$5:$B$500,$AI559)=0,"⚠ override is not a lot of this item",IF($AI559=$AL559,"Override = FEFO","Override - FEFO says "&amp;$AL559)),IF($AL559="","⚠ no receipt on file for this item",IF($AM559&lt;&gt;$AL559,"FEFO auto - split, also "&amp;$AM559,"FEFO auto"))))</f>
        <v>FEFO auto</v>
      </c>
      <c r="AO559" s="114"/>
    </row>
    <row r="560" spans="1:41" x14ac:dyDescent="0.35">
      <c r="A560" s="74">
        <v>46148</v>
      </c>
      <c r="B560" s="18" t="str">
        <f>IF($C560="","",IFERROR(INDEX('Staff Directory'!$A$5:$A$594,MATCH($C560,'Staff Directory'!$B$5:$B$594,0)),"⚠ unknown staff"))</f>
        <v>PSW-088-A6</v>
      </c>
      <c r="C560" s="49" t="s">
        <v>1064</v>
      </c>
      <c r="D560" s="19" t="str">
        <f>IF($B560="","",IFERROR(INDEX('Staff Directory'!$C$5:$C$594,MATCH($B560,'Staff Directory'!$A$5:$A$594,0)),""))</f>
        <v>PSW</v>
      </c>
      <c r="E560" s="19" t="str">
        <f>IF($B560="","",IFERROR(INDEX('Staff Directory'!$D$5:$D$594,MATCH($B560,'Staff Directory'!$A$5:$A$594,0)),""))</f>
        <v>A6</v>
      </c>
      <c r="F560" s="9" t="s">
        <v>127</v>
      </c>
      <c r="G560" s="18" t="str">
        <f>IF($F560="","",IFERROR(INDEX(Items!$B$5:$B$597,MATCH($F560,Items!$A$5:$A$597,0)),"⚠ not in Items"))</f>
        <v>Gloves</v>
      </c>
      <c r="H560" s="19" t="str">
        <f>IF($F560="","",IFERROR(INDEX(Items!$C$5:$C$597,MATCH($F560,Items!$A$5:$A$597,0)),""))</f>
        <v>Medium</v>
      </c>
      <c r="I560" s="23">
        <f>IF($F560="","",IFERROR(INDEX(Items!$E$5:$E$597,MATCH($F560,Items!$A$5:$A$597,0)),""))</f>
        <v>500</v>
      </c>
      <c r="J560" s="115">
        <f>IF(tblIssues[[#This Row],[Qty Override]]&lt;&gt;"",tblIssues[[#This Row],[Qty Override]],IF(tblIssues[[#This Row],[Standard Issue]]="","",tblIssues[[#This Row],[Standard Issue]]))</f>
        <v>500</v>
      </c>
      <c r="K560" s="20">
        <f>IF($F560="","",IFERROR(INDEX(Items!$D$5:$D$597,MATCH($F560,Items!$A$5:$A$597,0)),""))</f>
        <v>5.5E-2</v>
      </c>
      <c r="L560" s="21">
        <f t="shared" si="94"/>
        <v>27.5</v>
      </c>
      <c r="M560" s="9" t="str">
        <f t="shared" si="95"/>
        <v>ZIM504126040-2</v>
      </c>
      <c r="N560" s="24">
        <f>IF($A560="","",WORKDAY($A560,Settings!$C$9,HolidayDates))</f>
        <v>46156</v>
      </c>
      <c r="O560" s="24">
        <f>IF($N560="","",WORKDAY($N560,Settings!$C$10,HolidayDates))</f>
        <v>46196</v>
      </c>
      <c r="P560" s="10" t="s">
        <v>501</v>
      </c>
      <c r="Q560" s="52" t="str">
        <f t="shared" si="97"/>
        <v>Collected</v>
      </c>
      <c r="R560" s="55" t="str">
        <f t="shared" si="98"/>
        <v>2026-05</v>
      </c>
      <c r="S560" s="55">
        <f>IF(OR($B560="",$F560="",$R560=""),"",SUMIFS(tblIssues[Qty Issued],tblIssues[Staff ID],$B560,tblIssues[Item Name],$F560,tblIssues[Month],$R560))</f>
        <v>500</v>
      </c>
      <c r="T560" s="56">
        <f>IF($I560="","",$I560*Settings!$C$11)</f>
        <v>500</v>
      </c>
      <c r="U560" s="57" t="str">
        <f t="shared" si="96"/>
        <v>OK</v>
      </c>
      <c r="V560" s="55" t="str">
        <f t="shared" si="99"/>
        <v/>
      </c>
      <c r="W560" s="55" t="str">
        <f>IF($V560="","",IF(COUNTIF($V$5:$V560,$V560)=1,1,""))</f>
        <v/>
      </c>
      <c r="X560" s="58" t="str">
        <f>IF($W560="","",MAX($X$4:X559)+1)</f>
        <v/>
      </c>
      <c r="Y560" s="62"/>
      <c r="Z560" s="62"/>
      <c r="AA560" s="64" t="str">
        <f>IF($C560="","",IFERROR(INDEX('Staff Directory'!$E$5:$E$594,MATCH($C560,'Staff Directory'!$B$5:$B$594,0)),""))</f>
        <v>firstname148.lastname148@example.com</v>
      </c>
      <c r="AB560" s="64" t="str">
        <f>IF($C560="","",IF(ISNUMBER(SEARCH($D560,Settings!$C$15)),"Pickup","Dispatch"))</f>
        <v>Pickup</v>
      </c>
      <c r="AC560" s="64" t="str">
        <f t="shared" si="100"/>
        <v>Supply order ready for pickup</v>
      </c>
      <c r="AD560" s="64" t="str">
        <f t="shared" si="91"/>
        <v>Dear PSW,
Your order is ready for pickup from Sample Branch, Wed-Fri 9am-4pm.</v>
      </c>
      <c r="AE560" s="64" t="str">
        <f t="shared" si="92"/>
        <v>mailto:firstname148.lastname148@example.com?subject=Supply%20order%20ready%20for%20pickup&amp;body=Dear%20PSW%2C%0A%0AYour%20order%20is%20ready%20for%20pickup%20from%20Sample%20Branch%2C%20Wed-Fri%209am-4pm.</v>
      </c>
      <c r="AF560" s="89" t="str">
        <f t="shared" si="101"/>
        <v>Draft email</v>
      </c>
      <c r="AG560" s="64" t="str">
        <f>IF($C560="","",IFERROR(INDEX('Staff Directory'!$K$595:$K$599,MATCH($C560,'Staff Directory'!$B$5:$B$599,0)),$D560))</f>
        <v>PSW</v>
      </c>
      <c r="AH560" t="str">
        <f>IF($C560="","",IFERROR(INDEX('Staff Directory'!$I$595:$I$599,MATCH($C560,'Staff Directory'!$B$5:$B$599,0))&amp;" "&amp;INDEX('Staff Directory'!$J$595:$J$599,MATCH($C560,'Staff Directory'!$B$5:$B$599,0)),$AG560))</f>
        <v>PSW</v>
      </c>
      <c r="AI560" s="102"/>
      <c r="AJ560" s="101">
        <f>IF($F560="","",SUMIFS($J$5:$J560,$F$5:$F560,$F560))</f>
        <v>32500</v>
      </c>
      <c r="AK560" s="101">
        <f t="shared" si="93"/>
        <v>32001</v>
      </c>
      <c r="AL560" s="66" t="str" cm="1">
        <f t="array" ref="AL560">IF($F560="","",IFERROR(INDEX('Lot Balance'!$B$5:$B$500,MATCH(1,INDEX(('Lot Balance'!$A$5:$A$500=$F560)*('Lot Balance'!$K$5:$K$500&lt;$AK560)*('Lot Balance'!$K$5:$K$500+'Lot Balance'!$D$5:$D$500&gt;=$AK560),0),0)),""))</f>
        <v>ZIM504126040-2</v>
      </c>
      <c r="AM560" s="66" t="str" cm="1">
        <f t="array" ref="AM560">IF($F560="","",IFERROR(INDEX('Lot Balance'!$B$5:$B$500,MATCH(1,INDEX(('Lot Balance'!$A$5:$A$500=$F560)*('Lot Balance'!$K$5:$K$500&lt;$AJ560)*('Lot Balance'!$K$5:$K$500+'Lot Balance'!$D$5:$D$500&gt;=$AJ560),0),0)),""))</f>
        <v>ZIM504126040-2</v>
      </c>
      <c r="AN560" s="66" t="str">
        <f>IF($F560="","",IF($AI560&lt;&gt;"",IF(COUNTIFS('Lot Balance'!$A$5:$A$500,$F560,'Lot Balance'!$B$5:$B$500,$AI560)=0,"⚠ override is not a lot of this item",IF($AI560=$AL560,"Override = FEFO","Override - FEFO says "&amp;$AL560)),IF($AL560="","⚠ no receipt on file for this item",IF($AM560&lt;&gt;$AL560,"FEFO auto - split, also "&amp;$AM560,"FEFO auto"))))</f>
        <v>FEFO auto</v>
      </c>
      <c r="AO560" s="114"/>
    </row>
    <row r="561" spans="1:41" x14ac:dyDescent="0.35">
      <c r="A561" s="74">
        <v>46148</v>
      </c>
      <c r="B561" s="18" t="str">
        <f>IF($C561="","",IFERROR(INDEX('Staff Directory'!$A$5:$A$594,MATCH($C561,'Staff Directory'!$B$5:$B$594,0)),"⚠ unknown staff"))</f>
        <v>PSW-088-A6</v>
      </c>
      <c r="C561" s="49" t="s">
        <v>1064</v>
      </c>
      <c r="D561" s="19" t="str">
        <f>IF($B561="","",IFERROR(INDEX('Staff Directory'!$C$5:$C$594,MATCH($B561,'Staff Directory'!$A$5:$A$594,0)),""))</f>
        <v>PSW</v>
      </c>
      <c r="E561" s="19" t="str">
        <f>IF($B561="","",IFERROR(INDEX('Staff Directory'!$D$5:$D$594,MATCH($B561,'Staff Directory'!$A$5:$A$594,0)),""))</f>
        <v>A6</v>
      </c>
      <c r="F561" s="9" t="s">
        <v>191</v>
      </c>
      <c r="G561" s="18" t="str">
        <f>IF($F561="","",IFERROR(INDEX(Items!$B$5:$B$597,MATCH($F561,Items!$A$5:$A$597,0)),"⚠ not in Items"))</f>
        <v>Sanitizer</v>
      </c>
      <c r="H561" s="19" t="str">
        <f>IF($F561="","",IFERROR(INDEX(Items!$C$5:$C$597,MATCH($F561,Items!$A$5:$A$597,0)),""))</f>
        <v>236 ML</v>
      </c>
      <c r="I561" s="23">
        <f>IF($F561="","",IFERROR(INDEX(Items!$E$5:$E$597,MATCH($F561,Items!$A$5:$A$597,0)),""))</f>
        <v>1</v>
      </c>
      <c r="J561" s="115">
        <f>IF(tblIssues[[#This Row],[Qty Override]]&lt;&gt;"",tblIssues[[#This Row],[Qty Override]],IF(tblIssues[[#This Row],[Standard Issue]]="","",tblIssues[[#This Row],[Standard Issue]]))</f>
        <v>1</v>
      </c>
      <c r="K561" s="20">
        <f>IF($F561="","",IFERROR(INDEX(Items!$D$5:$D$597,MATCH($F561,Items!$A$5:$A$597,0)),""))</f>
        <v>1E-4</v>
      </c>
      <c r="L561" s="21">
        <f t="shared" si="94"/>
        <v>1E-4</v>
      </c>
      <c r="M561" s="9" t="str">
        <f t="shared" si="95"/>
        <v>20-21734-2</v>
      </c>
      <c r="N561" s="24">
        <f>IF($A561="","",WORKDAY($A561,Settings!$C$9,HolidayDates))</f>
        <v>46156</v>
      </c>
      <c r="O561" s="24">
        <f>IF($N561="","",WORKDAY($N561,Settings!$C$10,HolidayDates))</f>
        <v>46196</v>
      </c>
      <c r="P561" s="10" t="s">
        <v>501</v>
      </c>
      <c r="Q561" s="52" t="str">
        <f t="shared" si="97"/>
        <v>Collected</v>
      </c>
      <c r="R561" s="55" t="str">
        <f t="shared" si="98"/>
        <v>2026-05</v>
      </c>
      <c r="S561" s="55">
        <f>IF(OR($B561="",$F561="",$R561=""),"",SUMIFS(tblIssues[Qty Issued],tblIssues[Staff ID],$B561,tblIssues[Item Name],$F561,tblIssues[Month],$R561))</f>
        <v>1</v>
      </c>
      <c r="T561" s="56">
        <f>IF($I561="","",$I561*Settings!$C$11)</f>
        <v>1</v>
      </c>
      <c r="U561" s="57" t="str">
        <f t="shared" si="96"/>
        <v>OK</v>
      </c>
      <c r="V561" s="55" t="str">
        <f t="shared" si="99"/>
        <v/>
      </c>
      <c r="W561" s="55" t="str">
        <f>IF($V561="","",IF(COUNTIF($V$5:$V561,$V561)=1,1,""))</f>
        <v/>
      </c>
      <c r="X561" s="58" t="str">
        <f>IF($W561="","",MAX($X$4:X560)+1)</f>
        <v/>
      </c>
      <c r="Y561" s="62"/>
      <c r="Z561" s="62"/>
      <c r="AA561" s="64" t="str">
        <f>IF($C561="","",IFERROR(INDEX('Staff Directory'!$E$5:$E$594,MATCH($C561,'Staff Directory'!$B$5:$B$594,0)),""))</f>
        <v>firstname148.lastname148@example.com</v>
      </c>
      <c r="AB561" s="64" t="str">
        <f>IF($C561="","",IF(ISNUMBER(SEARCH($D561,Settings!$C$15)),"Pickup","Dispatch"))</f>
        <v>Pickup</v>
      </c>
      <c r="AC561" s="64" t="str">
        <f t="shared" si="100"/>
        <v>Supply order ready for pickup</v>
      </c>
      <c r="AD561" s="64" t="str">
        <f t="shared" si="91"/>
        <v>Dear PSW,
Your order is ready for pickup from Sample Branch, Wed-Fri 9am-4pm.</v>
      </c>
      <c r="AE561" s="64" t="str">
        <f t="shared" si="92"/>
        <v>mailto:firstname148.lastname148@example.com?subject=Supply%20order%20ready%20for%20pickup&amp;body=Dear%20PSW%2C%0A%0AYour%20order%20is%20ready%20for%20pickup%20from%20Sample%20Branch%2C%20Wed-Fri%209am-4pm.</v>
      </c>
      <c r="AF561" s="89" t="str">
        <f t="shared" si="101"/>
        <v>Draft email</v>
      </c>
      <c r="AG561" s="64" t="str">
        <f>IF($C561="","",IFERROR(INDEX('Staff Directory'!$K$595:$K$599,MATCH($C561,'Staff Directory'!$B$5:$B$599,0)),$D561))</f>
        <v>PSW</v>
      </c>
      <c r="AH561" t="str">
        <f>IF($C561="","",IFERROR(INDEX('Staff Directory'!$I$595:$I$599,MATCH($C561,'Staff Directory'!$B$5:$B$599,0))&amp;" "&amp;INDEX('Staff Directory'!$J$595:$J$599,MATCH($C561,'Staff Directory'!$B$5:$B$599,0)),$AG561))</f>
        <v>PSW</v>
      </c>
      <c r="AI561" s="102"/>
      <c r="AJ561" s="101">
        <f>IF($F561="","",SUMIFS($J$5:$J561,$F$5:$F561,$F561))</f>
        <v>62</v>
      </c>
      <c r="AK561" s="101">
        <f t="shared" si="93"/>
        <v>62</v>
      </c>
      <c r="AL561" s="66" t="str" cm="1">
        <f t="array" ref="AL561">IF($F561="","",IFERROR(INDEX('Lot Balance'!$B$5:$B$500,MATCH(1,INDEX(('Lot Balance'!$A$5:$A$500=$F561)*('Lot Balance'!$K$5:$K$500&lt;$AK561)*('Lot Balance'!$K$5:$K$500+'Lot Balance'!$D$5:$D$500&gt;=$AK561),0),0)),""))</f>
        <v>20-21734-2</v>
      </c>
      <c r="AM561" s="66" t="str" cm="1">
        <f t="array" ref="AM561">IF($F561="","",IFERROR(INDEX('Lot Balance'!$B$5:$B$500,MATCH(1,INDEX(('Lot Balance'!$A$5:$A$500=$F561)*('Lot Balance'!$K$5:$K$500&lt;$AJ561)*('Lot Balance'!$K$5:$K$500+'Lot Balance'!$D$5:$D$500&gt;=$AJ561),0),0)),""))</f>
        <v>20-21734-2</v>
      </c>
      <c r="AN561" s="66" t="str">
        <f>IF($F561="","",IF($AI561&lt;&gt;"",IF(COUNTIFS('Lot Balance'!$A$5:$A$500,$F561,'Lot Balance'!$B$5:$B$500,$AI561)=0,"⚠ override is not a lot of this item",IF($AI561=$AL561,"Override = FEFO","Override - FEFO says "&amp;$AL561)),IF($AL561="","⚠ no receipt on file for this item",IF($AM561&lt;&gt;$AL561,"FEFO auto - split, also "&amp;$AM561,"FEFO auto"))))</f>
        <v>FEFO auto</v>
      </c>
      <c r="AO561" s="114"/>
    </row>
    <row r="562" spans="1:41" x14ac:dyDescent="0.35">
      <c r="A562" s="74">
        <v>46148</v>
      </c>
      <c r="B562" s="18" t="str">
        <f>IF($C562="","",IFERROR(INDEX('Staff Directory'!$A$5:$A$594,MATCH($C562,'Staff Directory'!$B$5:$B$594,0)),"⚠ unknown staff"))</f>
        <v>PSW-088-A6</v>
      </c>
      <c r="C562" s="49" t="s">
        <v>1064</v>
      </c>
      <c r="D562" s="19" t="str">
        <f>IF($B562="","",IFERROR(INDEX('Staff Directory'!$C$5:$C$594,MATCH($B562,'Staff Directory'!$A$5:$A$594,0)),""))</f>
        <v>PSW</v>
      </c>
      <c r="E562" s="19" t="str">
        <f>IF($B562="","",IFERROR(INDEX('Staff Directory'!$D$5:$D$594,MATCH($B562,'Staff Directory'!$A$5:$A$594,0)),""))</f>
        <v>A6</v>
      </c>
      <c r="F562" s="9" t="s">
        <v>115</v>
      </c>
      <c r="G562" s="18" t="str">
        <f>IF($F562="","",IFERROR(INDEX(Items!$B$5:$B$597,MATCH($F562,Items!$A$5:$A$597,0)),"⚠ not in Items"))</f>
        <v>Wipes</v>
      </c>
      <c r="H562" s="19">
        <f>IF($F562="","",IFERROR(INDEX(Items!$C$5:$C$597,MATCH($F562,Items!$A$5:$A$597,0)),""))</f>
        <v>80</v>
      </c>
      <c r="I562" s="23">
        <f>IF($F562="","",IFERROR(INDEX(Items!$E$5:$E$597,MATCH($F562,Items!$A$5:$A$597,0)),""))</f>
        <v>80</v>
      </c>
      <c r="J562" s="115">
        <f>IF(tblIssues[[#This Row],[Qty Override]]&lt;&gt;"",tblIssues[[#This Row],[Qty Override]],IF(tblIssues[[#This Row],[Standard Issue]]="","",tblIssues[[#This Row],[Standard Issue]]))</f>
        <v>80</v>
      </c>
      <c r="K562" s="20">
        <f>IF($F562="","",IFERROR(INDEX(Items!$D$5:$D$597,MATCH($F562,Items!$A$5:$A$597,0)),""))</f>
        <v>0.1</v>
      </c>
      <c r="L562" s="21">
        <f t="shared" si="94"/>
        <v>8</v>
      </c>
      <c r="M562" s="9" t="str">
        <f t="shared" si="95"/>
        <v>LYSL500290</v>
      </c>
      <c r="N562" s="24">
        <f>IF($A562="","",WORKDAY($A562,Settings!$C$9,HolidayDates))</f>
        <v>46156</v>
      </c>
      <c r="O562" s="24">
        <f>IF($N562="","",WORKDAY($N562,Settings!$C$10,HolidayDates))</f>
        <v>46196</v>
      </c>
      <c r="P562" s="10" t="s">
        <v>501</v>
      </c>
      <c r="Q562" s="52" t="str">
        <f t="shared" si="97"/>
        <v>Collected</v>
      </c>
      <c r="R562" s="55" t="str">
        <f t="shared" si="98"/>
        <v>2026-05</v>
      </c>
      <c r="S562" s="55">
        <f>IF(OR($B562="",$F562="",$R562=""),"",SUMIFS(tblIssues[Qty Issued],tblIssues[Staff ID],$B562,tblIssues[Item Name],$F562,tblIssues[Month],$R562))</f>
        <v>80</v>
      </c>
      <c r="T562" s="56">
        <f>IF($I562="","",$I562*Settings!$C$11)</f>
        <v>80</v>
      </c>
      <c r="U562" s="57" t="str">
        <f t="shared" si="96"/>
        <v>OK</v>
      </c>
      <c r="V562" s="55" t="str">
        <f t="shared" si="99"/>
        <v/>
      </c>
      <c r="W562" s="55" t="str">
        <f>IF($V562="","",IF(COUNTIF($V$5:$V562,$V562)=1,1,""))</f>
        <v/>
      </c>
      <c r="X562" s="58" t="str">
        <f>IF($W562="","",MAX($X$4:X561)+1)</f>
        <v/>
      </c>
      <c r="Y562" s="62"/>
      <c r="Z562" s="62"/>
      <c r="AA562" s="64" t="str">
        <f>IF($C562="","",IFERROR(INDEX('Staff Directory'!$E$5:$E$594,MATCH($C562,'Staff Directory'!$B$5:$B$594,0)),""))</f>
        <v>firstname148.lastname148@example.com</v>
      </c>
      <c r="AB562" s="64" t="str">
        <f>IF($C562="","",IF(ISNUMBER(SEARCH($D562,Settings!$C$15)),"Pickup","Dispatch"))</f>
        <v>Pickup</v>
      </c>
      <c r="AC562" s="64" t="str">
        <f t="shared" si="100"/>
        <v>Supply order ready for pickup</v>
      </c>
      <c r="AD562" s="64" t="str">
        <f t="shared" si="91"/>
        <v>Dear PSW,
Your order is ready for pickup from Sample Branch, Wed-Fri 9am-4pm.</v>
      </c>
      <c r="AE562" s="64" t="str">
        <f t="shared" si="92"/>
        <v>mailto:firstname148.lastname148@example.com?subject=Supply%20order%20ready%20for%20pickup&amp;body=Dear%20PSW%2C%0A%0AYour%20order%20is%20ready%20for%20pickup%20from%20Sample%20Branch%2C%20Wed-Fri%209am-4pm.</v>
      </c>
      <c r="AF562" s="89" t="str">
        <f t="shared" si="101"/>
        <v>Draft email</v>
      </c>
      <c r="AG562" s="64" t="str">
        <f>IF($C562="","",IFERROR(INDEX('Staff Directory'!$K$595:$K$599,MATCH($C562,'Staff Directory'!$B$5:$B$599,0)),$D562))</f>
        <v>PSW</v>
      </c>
      <c r="AH562" t="str">
        <f>IF($C562="","",IFERROR(INDEX('Staff Directory'!$I$595:$I$599,MATCH($C562,'Staff Directory'!$B$5:$B$599,0))&amp;" "&amp;INDEX('Staff Directory'!$J$595:$J$599,MATCH($C562,'Staff Directory'!$B$5:$B$599,0)),$AG562))</f>
        <v>PSW</v>
      </c>
      <c r="AI562" s="102"/>
      <c r="AJ562" s="101">
        <f>IF($F562="","",SUMIFS($J$5:$J562,$F$5:$F562,$F562))</f>
        <v>8160</v>
      </c>
      <c r="AK562" s="101">
        <f t="shared" si="93"/>
        <v>8081</v>
      </c>
      <c r="AL562" s="66" t="str" cm="1">
        <f t="array" ref="AL562">IF($F562="","",IFERROR(INDEX('Lot Balance'!$B$5:$B$500,MATCH(1,INDEX(('Lot Balance'!$A$5:$A$500=$F562)*('Lot Balance'!$K$5:$K$500&lt;$AK562)*('Lot Balance'!$K$5:$K$500+'Lot Balance'!$D$5:$D$500&gt;=$AK562),0),0)),""))</f>
        <v>LYSL500290</v>
      </c>
      <c r="AM562" s="66" t="str" cm="1">
        <f t="array" ref="AM562">IF($F562="","",IFERROR(INDEX('Lot Balance'!$B$5:$B$500,MATCH(1,INDEX(('Lot Balance'!$A$5:$A$500=$F562)*('Lot Balance'!$K$5:$K$500&lt;$AJ562)*('Lot Balance'!$K$5:$K$500+'Lot Balance'!$D$5:$D$500&gt;=$AJ562),0),0)),""))</f>
        <v>LYSL500290</v>
      </c>
      <c r="AN562" s="66" t="str">
        <f>IF($F562="","",IF($AI562&lt;&gt;"",IF(COUNTIFS('Lot Balance'!$A$5:$A$500,$F562,'Lot Balance'!$B$5:$B$500,$AI562)=0,"⚠ override is not a lot of this item",IF($AI562=$AL562,"Override = FEFO","Override - FEFO says "&amp;$AL562)),IF($AL562="","⚠ no receipt on file for this item",IF($AM562&lt;&gt;$AL562,"FEFO auto - split, also "&amp;$AM562,"FEFO auto"))))</f>
        <v>FEFO auto</v>
      </c>
      <c r="AO562" s="114"/>
    </row>
    <row r="563" spans="1:41" x14ac:dyDescent="0.35">
      <c r="A563" s="74">
        <v>46148</v>
      </c>
      <c r="B563" s="18" t="str">
        <f>IF($C563="","",IFERROR(INDEX('Staff Directory'!$A$5:$A$594,MATCH($C563,'Staff Directory'!$B$5:$B$594,0)),"⚠ unknown staff"))</f>
        <v>PSW-088-A6</v>
      </c>
      <c r="C563" s="49" t="s">
        <v>1064</v>
      </c>
      <c r="D563" s="19" t="str">
        <f>IF($B563="","",IFERROR(INDEX('Staff Directory'!$C$5:$C$594,MATCH($B563,'Staff Directory'!$A$5:$A$594,0)),""))</f>
        <v>PSW</v>
      </c>
      <c r="E563" s="19" t="str">
        <f>IF($B563="","",IFERROR(INDEX('Staff Directory'!$D$5:$D$594,MATCH($B563,'Staff Directory'!$A$5:$A$594,0)),""))</f>
        <v>A6</v>
      </c>
      <c r="F563" s="9" t="s">
        <v>156</v>
      </c>
      <c r="G563" s="18" t="str">
        <f>IF($F563="","",IFERROR(INDEX(Items!$B$5:$B$597,MATCH($F563,Items!$A$5:$A$597,0)),"⚠ not in Items"))</f>
        <v>Masks</v>
      </c>
      <c r="H563" s="19" t="str">
        <f>IF($F563="","",IFERROR(INDEX(Items!$C$5:$C$597,MATCH($F563,Items!$A$5:$A$597,0)),""))</f>
        <v>One Size</v>
      </c>
      <c r="I563" s="23">
        <f>IF($F563="","",IFERROR(INDEX(Items!$E$5:$E$597,MATCH($F563,Items!$A$5:$A$597,0)),""))</f>
        <v>50</v>
      </c>
      <c r="J563" s="115">
        <f>IF(tblIssues[[#This Row],[Qty Override]]&lt;&gt;"",tblIssues[[#This Row],[Qty Override]],IF(tblIssues[[#This Row],[Standard Issue]]="","",tblIssues[[#This Row],[Standard Issue]]))</f>
        <v>50</v>
      </c>
      <c r="K563" s="20">
        <f>IF($F563="","",IFERROR(INDEX(Items!$D$5:$D$597,MATCH($F563,Items!$A$5:$A$597,0)),""))</f>
        <v>0.25</v>
      </c>
      <c r="L563" s="21">
        <f t="shared" si="94"/>
        <v>12.5</v>
      </c>
      <c r="M563" s="9" t="str">
        <f t="shared" si="95"/>
        <v>0125FPC24-0</v>
      </c>
      <c r="N563" s="24">
        <f>IF($A563="","",WORKDAY($A563,Settings!$C$9,HolidayDates))</f>
        <v>46156</v>
      </c>
      <c r="O563" s="24">
        <f>IF($N563="","",WORKDAY($N563,Settings!$C$10,HolidayDates))</f>
        <v>46196</v>
      </c>
      <c r="P563" s="10" t="s">
        <v>501</v>
      </c>
      <c r="Q563" s="52" t="str">
        <f t="shared" si="97"/>
        <v>Collected</v>
      </c>
      <c r="R563" s="55" t="str">
        <f t="shared" si="98"/>
        <v>2026-05</v>
      </c>
      <c r="S563" s="55">
        <f>IF(OR($B563="",$F563="",$R563=""),"",SUMIFS(tblIssues[Qty Issued],tblIssues[Staff ID],$B563,tblIssues[Item Name],$F563,tblIssues[Month],$R563))</f>
        <v>50</v>
      </c>
      <c r="T563" s="56">
        <f>IF($I563="","",$I563*Settings!$C$11)</f>
        <v>50</v>
      </c>
      <c r="U563" s="57" t="str">
        <f t="shared" si="96"/>
        <v>OK</v>
      </c>
      <c r="V563" s="55" t="str">
        <f t="shared" si="99"/>
        <v/>
      </c>
      <c r="W563" s="55" t="str">
        <f>IF($V563="","",IF(COUNTIF($V$5:$V563,$V563)=1,1,""))</f>
        <v/>
      </c>
      <c r="X563" s="58" t="str">
        <f>IF($W563="","",MAX($X$4:X562)+1)</f>
        <v/>
      </c>
      <c r="Y563" s="62"/>
      <c r="Z563" s="62"/>
      <c r="AA563" s="64" t="str">
        <f>IF($C563="","",IFERROR(INDEX('Staff Directory'!$E$5:$E$594,MATCH($C563,'Staff Directory'!$B$5:$B$594,0)),""))</f>
        <v>firstname148.lastname148@example.com</v>
      </c>
      <c r="AB563" s="64" t="str">
        <f>IF($C563="","",IF(ISNUMBER(SEARCH($D563,Settings!$C$15)),"Pickup","Dispatch"))</f>
        <v>Pickup</v>
      </c>
      <c r="AC563" s="64" t="str">
        <f t="shared" si="100"/>
        <v>Supply order ready for pickup</v>
      </c>
      <c r="AD563" s="64" t="str">
        <f t="shared" si="91"/>
        <v>Dear PSW,
Your order is ready for pickup from Sample Branch, Wed-Fri 9am-4pm.</v>
      </c>
      <c r="AE563" s="64" t="str">
        <f t="shared" si="92"/>
        <v>mailto:firstname148.lastname148@example.com?subject=Supply%20order%20ready%20for%20pickup&amp;body=Dear%20PSW%2C%0A%0AYour%20order%20is%20ready%20for%20pickup%20from%20Sample%20Branch%2C%20Wed-Fri%209am-4pm.</v>
      </c>
      <c r="AF563" s="89" t="str">
        <f t="shared" si="101"/>
        <v>Draft email</v>
      </c>
      <c r="AG563" s="64" t="str">
        <f>IF($C563="","",IFERROR(INDEX('Staff Directory'!$K$595:$K$599,MATCH($C563,'Staff Directory'!$B$5:$B$599,0)),$D563))</f>
        <v>PSW</v>
      </c>
      <c r="AH563" t="str">
        <f>IF($C563="","",IFERROR(INDEX('Staff Directory'!$I$595:$I$599,MATCH($C563,'Staff Directory'!$B$5:$B$599,0))&amp;" "&amp;INDEX('Staff Directory'!$J$595:$J$599,MATCH($C563,'Staff Directory'!$B$5:$B$599,0)),$AG563))</f>
        <v>PSW</v>
      </c>
      <c r="AI563" s="102"/>
      <c r="AJ563" s="101">
        <f>IF($F563="","",SUMIFS($J$5:$J563,$F$5:$F563,$F563))</f>
        <v>4650</v>
      </c>
      <c r="AK563" s="101">
        <f t="shared" si="93"/>
        <v>4601</v>
      </c>
      <c r="AL563" s="66" t="str" cm="1">
        <f t="array" ref="AL563">IF($F563="","",IFERROR(INDEX('Lot Balance'!$B$5:$B$500,MATCH(1,INDEX(('Lot Balance'!$A$5:$A$500=$F563)*('Lot Balance'!$K$5:$K$500&lt;$AK563)*('Lot Balance'!$K$5:$K$500+'Lot Balance'!$D$5:$D$500&gt;=$AK563),0),0)),""))</f>
        <v>0125FPC24-0</v>
      </c>
      <c r="AM563" s="66" t="str" cm="1">
        <f t="array" ref="AM563">IF($F563="","",IFERROR(INDEX('Lot Balance'!$B$5:$B$500,MATCH(1,INDEX(('Lot Balance'!$A$5:$A$500=$F563)*('Lot Balance'!$K$5:$K$500&lt;$AJ563)*('Lot Balance'!$K$5:$K$500+'Lot Balance'!$D$5:$D$500&gt;=$AJ563),0),0)),""))</f>
        <v>0125FPC24-0</v>
      </c>
      <c r="AN563" s="66" t="str">
        <f>IF($F563="","",IF($AI563&lt;&gt;"",IF(COUNTIFS('Lot Balance'!$A$5:$A$500,$F563,'Lot Balance'!$B$5:$B$500,$AI563)=0,"⚠ override is not a lot of this item",IF($AI563=$AL563,"Override = FEFO","Override - FEFO says "&amp;$AL563)),IF($AL563="","⚠ no receipt on file for this item",IF($AM563&lt;&gt;$AL563,"FEFO auto - split, also "&amp;$AM563,"FEFO auto"))))</f>
        <v>FEFO auto</v>
      </c>
      <c r="AO563" s="114"/>
    </row>
    <row r="564" spans="1:41" x14ac:dyDescent="0.35">
      <c r="A564" s="74">
        <v>46148</v>
      </c>
      <c r="B564" s="18" t="str">
        <f>IF($C564="","",IFERROR(INDEX('Staff Directory'!$A$5:$A$594,MATCH($C564,'Staff Directory'!$B$5:$B$594,0)),"⚠ unknown staff"))</f>
        <v>PSW-078-A4</v>
      </c>
      <c r="C564" s="49" t="s">
        <v>1054</v>
      </c>
      <c r="D564" s="19" t="str">
        <f>IF($B564="","",IFERROR(INDEX('Staff Directory'!$C$5:$C$594,MATCH($B564,'Staff Directory'!$A$5:$A$594,0)),""))</f>
        <v>PSW</v>
      </c>
      <c r="E564" s="19" t="str">
        <f>IF($B564="","",IFERROR(INDEX('Staff Directory'!$D$5:$D$594,MATCH($B564,'Staff Directory'!$A$5:$A$594,0)),""))</f>
        <v>A4</v>
      </c>
      <c r="F564" s="9" t="s">
        <v>129</v>
      </c>
      <c r="G564" s="18" t="str">
        <f>IF($F564="","",IFERROR(INDEX(Items!$B$5:$B$597,MATCH($F564,Items!$A$5:$A$597,0)),"⚠ not in Items"))</f>
        <v>Gloves</v>
      </c>
      <c r="H564" s="19" t="str">
        <f>IF($F564="","",IFERROR(INDEX(Items!$C$5:$C$597,MATCH($F564,Items!$A$5:$A$597,0)),""))</f>
        <v>Small</v>
      </c>
      <c r="I564" s="23">
        <f>IF($F564="","",IFERROR(INDEX(Items!$E$5:$E$597,MATCH($F564,Items!$A$5:$A$597,0)),""))</f>
        <v>500</v>
      </c>
      <c r="J564" s="115">
        <f>IF(tblIssues[[#This Row],[Qty Override]]&lt;&gt;"",tblIssues[[#This Row],[Qty Override]],IF(tblIssues[[#This Row],[Standard Issue]]="","",tblIssues[[#This Row],[Standard Issue]]))</f>
        <v>500</v>
      </c>
      <c r="K564" s="20">
        <f>IF($F564="","",IFERROR(INDEX(Items!$D$5:$D$597,MATCH($F564,Items!$A$5:$A$597,0)),""))</f>
        <v>5.5E-2</v>
      </c>
      <c r="L564" s="21">
        <f t="shared" si="94"/>
        <v>27.5</v>
      </c>
      <c r="M564" s="9" t="str">
        <f t="shared" si="95"/>
        <v>O210LIC25</v>
      </c>
      <c r="N564" s="24">
        <f>IF($A564="","",WORKDAY($A564,Settings!$C$9,HolidayDates))</f>
        <v>46156</v>
      </c>
      <c r="O564" s="24">
        <f>IF($N564="","",WORKDAY($N564,Settings!$C$10,HolidayDates))</f>
        <v>46196</v>
      </c>
      <c r="P564" s="10" t="s">
        <v>501</v>
      </c>
      <c r="Q564" s="52" t="str">
        <f t="shared" si="97"/>
        <v>Collected</v>
      </c>
      <c r="R564" s="55" t="str">
        <f t="shared" si="98"/>
        <v>2026-05</v>
      </c>
      <c r="S564" s="55">
        <f>IF(OR($B564="",$F564="",$R564=""),"",SUMIFS(tblIssues[Qty Issued],tblIssues[Staff ID],$B564,tblIssues[Item Name],$F564,tblIssues[Month],$R564))</f>
        <v>500</v>
      </c>
      <c r="T564" s="56">
        <f>IF($I564="","",$I564*Settings!$C$11)</f>
        <v>500</v>
      </c>
      <c r="U564" s="57" t="str">
        <f t="shared" si="96"/>
        <v>OK</v>
      </c>
      <c r="V564" s="55" t="str">
        <f t="shared" si="99"/>
        <v/>
      </c>
      <c r="W564" s="55" t="str">
        <f>IF($V564="","",IF(COUNTIF($V$5:$V564,$V564)=1,1,""))</f>
        <v/>
      </c>
      <c r="X564" s="58" t="str">
        <f>IF($W564="","",MAX($X$4:X563)+1)</f>
        <v/>
      </c>
      <c r="Y564" s="62"/>
      <c r="Z564" s="62"/>
      <c r="AA564" s="64" t="str">
        <f>IF($C564="","",IFERROR(INDEX('Staff Directory'!$E$5:$E$594,MATCH($C564,'Staff Directory'!$B$5:$B$594,0)),""))</f>
        <v>firstname138.lastname138@example.com</v>
      </c>
      <c r="AB564" s="64" t="str">
        <f>IF($C564="","",IF(ISNUMBER(SEARCH($D564,Settings!$C$15)),"Pickup","Dispatch"))</f>
        <v>Pickup</v>
      </c>
      <c r="AC564" s="64" t="str">
        <f t="shared" si="100"/>
        <v>Supply order ready for pickup</v>
      </c>
      <c r="AD564" s="64" t="str">
        <f t="shared" si="91"/>
        <v>Dear PSW,
Your order is ready for pickup from Sample Branch, Wed-Fri 9am-4pm.</v>
      </c>
      <c r="AE564" s="64" t="str">
        <f t="shared" si="92"/>
        <v>mailto:firstname138.lastname138@example.com?subject=Supply%20order%20ready%20for%20pickup&amp;body=Dear%20PSW%2C%0A%0AYour%20order%20is%20ready%20for%20pickup%20from%20Sample%20Branch%2C%20Wed-Fri%209am-4pm.</v>
      </c>
      <c r="AF564" s="89" t="str">
        <f t="shared" si="101"/>
        <v>Draft email</v>
      </c>
      <c r="AG564" s="64" t="str">
        <f>IF($C564="","",IFERROR(INDEX('Staff Directory'!$K$595:$K$599,MATCH($C564,'Staff Directory'!$B$5:$B$599,0)),$D564))</f>
        <v>PSW</v>
      </c>
      <c r="AH564" t="str">
        <f>IF($C564="","",IFERROR(INDEX('Staff Directory'!$I$595:$I$599,MATCH($C564,'Staff Directory'!$B$5:$B$599,0))&amp;" "&amp;INDEX('Staff Directory'!$J$595:$J$599,MATCH($C564,'Staff Directory'!$B$5:$B$599,0)),$AG564))</f>
        <v>PSW</v>
      </c>
      <c r="AI564" s="102"/>
      <c r="AJ564" s="101">
        <f>IF($F564="","",SUMIFS($J$5:$J564,$F$5:$F564,$F564))</f>
        <v>21000</v>
      </c>
      <c r="AK564" s="101">
        <f t="shared" si="93"/>
        <v>20501</v>
      </c>
      <c r="AL564" s="66" t="str" cm="1">
        <f t="array" ref="AL564">IF($F564="","",IFERROR(INDEX('Lot Balance'!$B$5:$B$500,MATCH(1,INDEX(('Lot Balance'!$A$5:$A$500=$F564)*('Lot Balance'!$K$5:$K$500&lt;$AK564)*('Lot Balance'!$K$5:$K$500+'Lot Balance'!$D$5:$D$500&gt;=$AK564),0),0)),""))</f>
        <v>O210LIC25</v>
      </c>
      <c r="AM564" s="66" t="str" cm="1">
        <f t="array" ref="AM564">IF($F564="","",IFERROR(INDEX('Lot Balance'!$B$5:$B$500,MATCH(1,INDEX(('Lot Balance'!$A$5:$A$500=$F564)*('Lot Balance'!$K$5:$K$500&lt;$AJ564)*('Lot Balance'!$K$5:$K$500+'Lot Balance'!$D$5:$D$500&gt;=$AJ564),0),0)),""))</f>
        <v>O210LIC25</v>
      </c>
      <c r="AN564" s="66" t="str">
        <f>IF($F564="","",IF($AI564&lt;&gt;"",IF(COUNTIFS('Lot Balance'!$A$5:$A$500,$F564,'Lot Balance'!$B$5:$B$500,$AI564)=0,"⚠ override is not a lot of this item",IF($AI564=$AL564,"Override = FEFO","Override - FEFO says "&amp;$AL564)),IF($AL564="","⚠ no receipt on file for this item",IF($AM564&lt;&gt;$AL564,"FEFO auto - split, also "&amp;$AM564,"FEFO auto"))))</f>
        <v>FEFO auto</v>
      </c>
      <c r="AO564" s="114"/>
    </row>
    <row r="565" spans="1:41" x14ac:dyDescent="0.35">
      <c r="A565" s="74">
        <v>46148</v>
      </c>
      <c r="B565" s="18" t="str">
        <f>IF($C565="","",IFERROR(INDEX('Staff Directory'!$A$5:$A$594,MATCH($C565,'Staff Directory'!$B$5:$B$594,0)),"⚠ unknown staff"))</f>
        <v>PSW-078-A4</v>
      </c>
      <c r="C565" s="49" t="s">
        <v>1054</v>
      </c>
      <c r="D565" s="19" t="str">
        <f>IF($B565="","",IFERROR(INDEX('Staff Directory'!$C$5:$C$594,MATCH($B565,'Staff Directory'!$A$5:$A$594,0)),""))</f>
        <v>PSW</v>
      </c>
      <c r="E565" s="19" t="str">
        <f>IF($B565="","",IFERROR(INDEX('Staff Directory'!$D$5:$D$594,MATCH($B565,'Staff Directory'!$A$5:$A$594,0)),""))</f>
        <v>A4</v>
      </c>
      <c r="F565" s="9" t="s">
        <v>191</v>
      </c>
      <c r="G565" s="18" t="str">
        <f>IF($F565="","",IFERROR(INDEX(Items!$B$5:$B$597,MATCH($F565,Items!$A$5:$A$597,0)),"⚠ not in Items"))</f>
        <v>Sanitizer</v>
      </c>
      <c r="H565" s="19" t="str">
        <f>IF($F565="","",IFERROR(INDEX(Items!$C$5:$C$597,MATCH($F565,Items!$A$5:$A$597,0)),""))</f>
        <v>236 ML</v>
      </c>
      <c r="I565" s="23">
        <f>IF($F565="","",IFERROR(INDEX(Items!$E$5:$E$597,MATCH($F565,Items!$A$5:$A$597,0)),""))</f>
        <v>1</v>
      </c>
      <c r="J565" s="115">
        <f>IF(tblIssues[[#This Row],[Qty Override]]&lt;&gt;"",tblIssues[[#This Row],[Qty Override]],IF(tblIssues[[#This Row],[Standard Issue]]="","",tblIssues[[#This Row],[Standard Issue]]))</f>
        <v>1</v>
      </c>
      <c r="K565" s="20">
        <f>IF($F565="","",IFERROR(INDEX(Items!$D$5:$D$597,MATCH($F565,Items!$A$5:$A$597,0)),""))</f>
        <v>1E-4</v>
      </c>
      <c r="L565" s="21">
        <f t="shared" si="94"/>
        <v>1E-4</v>
      </c>
      <c r="M565" s="9" t="str">
        <f t="shared" si="95"/>
        <v>20-21734-2</v>
      </c>
      <c r="N565" s="24">
        <f>IF($A565="","",WORKDAY($A565,Settings!$C$9,HolidayDates))</f>
        <v>46156</v>
      </c>
      <c r="O565" s="24">
        <f>IF($N565="","",WORKDAY($N565,Settings!$C$10,HolidayDates))</f>
        <v>46196</v>
      </c>
      <c r="P565" s="10" t="s">
        <v>501</v>
      </c>
      <c r="Q565" s="52" t="str">
        <f t="shared" si="97"/>
        <v>Collected</v>
      </c>
      <c r="R565" s="55" t="str">
        <f t="shared" si="98"/>
        <v>2026-05</v>
      </c>
      <c r="S565" s="55">
        <f>IF(OR($B565="",$F565="",$R565=""),"",SUMIFS(tblIssues[Qty Issued],tblIssues[Staff ID],$B565,tblIssues[Item Name],$F565,tblIssues[Month],$R565))</f>
        <v>1</v>
      </c>
      <c r="T565" s="56">
        <f>IF($I565="","",$I565*Settings!$C$11)</f>
        <v>1</v>
      </c>
      <c r="U565" s="57" t="str">
        <f t="shared" si="96"/>
        <v>OK</v>
      </c>
      <c r="V565" s="55" t="str">
        <f t="shared" si="99"/>
        <v/>
      </c>
      <c r="W565" s="55" t="str">
        <f>IF($V565="","",IF(COUNTIF($V$5:$V565,$V565)=1,1,""))</f>
        <v/>
      </c>
      <c r="X565" s="58" t="str">
        <f>IF($W565="","",MAX($X$4:X564)+1)</f>
        <v/>
      </c>
      <c r="Y565" s="62"/>
      <c r="Z565" s="62"/>
      <c r="AA565" s="64" t="str">
        <f>IF($C565="","",IFERROR(INDEX('Staff Directory'!$E$5:$E$594,MATCH($C565,'Staff Directory'!$B$5:$B$594,0)),""))</f>
        <v>firstname138.lastname138@example.com</v>
      </c>
      <c r="AB565" s="64" t="str">
        <f>IF($C565="","",IF(ISNUMBER(SEARCH($D565,Settings!$C$15)),"Pickup","Dispatch"))</f>
        <v>Pickup</v>
      </c>
      <c r="AC565" s="64" t="str">
        <f t="shared" si="100"/>
        <v>Supply order ready for pickup</v>
      </c>
      <c r="AD565" s="64" t="str">
        <f t="shared" si="91"/>
        <v>Dear PSW,
Your order is ready for pickup from Sample Branch, Wed-Fri 9am-4pm.</v>
      </c>
      <c r="AE565" s="64" t="str">
        <f t="shared" si="92"/>
        <v>mailto:firstname138.lastname138@example.com?subject=Supply%20order%20ready%20for%20pickup&amp;body=Dear%20PSW%2C%0A%0AYour%20order%20is%20ready%20for%20pickup%20from%20Sample%20Branch%2C%20Wed-Fri%209am-4pm.</v>
      </c>
      <c r="AF565" s="89" t="str">
        <f t="shared" si="101"/>
        <v>Draft email</v>
      </c>
      <c r="AG565" s="64" t="str">
        <f>IF($C565="","",IFERROR(INDEX('Staff Directory'!$K$595:$K$599,MATCH($C565,'Staff Directory'!$B$5:$B$599,0)),$D565))</f>
        <v>PSW</v>
      </c>
      <c r="AH565" t="str">
        <f>IF($C565="","",IFERROR(INDEX('Staff Directory'!$I$595:$I$599,MATCH($C565,'Staff Directory'!$B$5:$B$599,0))&amp;" "&amp;INDEX('Staff Directory'!$J$595:$J$599,MATCH($C565,'Staff Directory'!$B$5:$B$599,0)),$AG565))</f>
        <v>PSW</v>
      </c>
      <c r="AI565" s="102"/>
      <c r="AJ565" s="101">
        <f>IF($F565="","",SUMIFS($J$5:$J565,$F$5:$F565,$F565))</f>
        <v>63</v>
      </c>
      <c r="AK565" s="101">
        <f t="shared" si="93"/>
        <v>63</v>
      </c>
      <c r="AL565" s="66" t="str" cm="1">
        <f t="array" ref="AL565">IF($F565="","",IFERROR(INDEX('Lot Balance'!$B$5:$B$500,MATCH(1,INDEX(('Lot Balance'!$A$5:$A$500=$F565)*('Lot Balance'!$K$5:$K$500&lt;$AK565)*('Lot Balance'!$K$5:$K$500+'Lot Balance'!$D$5:$D$500&gt;=$AK565),0),0)),""))</f>
        <v>20-21734-2</v>
      </c>
      <c r="AM565" s="66" t="str" cm="1">
        <f t="array" ref="AM565">IF($F565="","",IFERROR(INDEX('Lot Balance'!$B$5:$B$500,MATCH(1,INDEX(('Lot Balance'!$A$5:$A$500=$F565)*('Lot Balance'!$K$5:$K$500&lt;$AJ565)*('Lot Balance'!$K$5:$K$500+'Lot Balance'!$D$5:$D$500&gt;=$AJ565),0),0)),""))</f>
        <v>20-21734-2</v>
      </c>
      <c r="AN565" s="66" t="str">
        <f>IF($F565="","",IF($AI565&lt;&gt;"",IF(COUNTIFS('Lot Balance'!$A$5:$A$500,$F565,'Lot Balance'!$B$5:$B$500,$AI565)=0,"⚠ override is not a lot of this item",IF($AI565=$AL565,"Override = FEFO","Override - FEFO says "&amp;$AL565)),IF($AL565="","⚠ no receipt on file for this item",IF($AM565&lt;&gt;$AL565,"FEFO auto - split, also "&amp;$AM565,"FEFO auto"))))</f>
        <v>FEFO auto</v>
      </c>
      <c r="AO565" s="114"/>
    </row>
    <row r="566" spans="1:41" x14ac:dyDescent="0.35">
      <c r="A566" s="74">
        <v>46148</v>
      </c>
      <c r="B566" s="18" t="str">
        <f>IF($C566="","",IFERROR(INDEX('Staff Directory'!$A$5:$A$594,MATCH($C566,'Staff Directory'!$B$5:$B$594,0)),"⚠ unknown staff"))</f>
        <v>PSW-078-A4</v>
      </c>
      <c r="C566" s="49" t="s">
        <v>1054</v>
      </c>
      <c r="D566" s="19" t="str">
        <f>IF($B566="","",IFERROR(INDEX('Staff Directory'!$C$5:$C$594,MATCH($B566,'Staff Directory'!$A$5:$A$594,0)),""))</f>
        <v>PSW</v>
      </c>
      <c r="E566" s="19" t="str">
        <f>IF($B566="","",IFERROR(INDEX('Staff Directory'!$D$5:$D$594,MATCH($B566,'Staff Directory'!$A$5:$A$594,0)),""))</f>
        <v>A4</v>
      </c>
      <c r="F566" s="9" t="s">
        <v>115</v>
      </c>
      <c r="G566" s="18" t="str">
        <f>IF($F566="","",IFERROR(INDEX(Items!$B$5:$B$597,MATCH($F566,Items!$A$5:$A$597,0)),"⚠ not in Items"))</f>
        <v>Wipes</v>
      </c>
      <c r="H566" s="19">
        <f>IF($F566="","",IFERROR(INDEX(Items!$C$5:$C$597,MATCH($F566,Items!$A$5:$A$597,0)),""))</f>
        <v>80</v>
      </c>
      <c r="I566" s="23">
        <f>IF($F566="","",IFERROR(INDEX(Items!$E$5:$E$597,MATCH($F566,Items!$A$5:$A$597,0)),""))</f>
        <v>80</v>
      </c>
      <c r="J566" s="115">
        <f>IF(tblIssues[[#This Row],[Qty Override]]&lt;&gt;"",tblIssues[[#This Row],[Qty Override]],IF(tblIssues[[#This Row],[Standard Issue]]="","",tblIssues[[#This Row],[Standard Issue]]))</f>
        <v>80</v>
      </c>
      <c r="K566" s="20">
        <f>IF($F566="","",IFERROR(INDEX(Items!$D$5:$D$597,MATCH($F566,Items!$A$5:$A$597,0)),""))</f>
        <v>0.1</v>
      </c>
      <c r="L566" s="21">
        <f t="shared" si="94"/>
        <v>8</v>
      </c>
      <c r="M566" s="9" t="str">
        <f t="shared" si="95"/>
        <v>LYSL500290</v>
      </c>
      <c r="N566" s="24">
        <f>IF($A566="","",WORKDAY($A566,Settings!$C$9,HolidayDates))</f>
        <v>46156</v>
      </c>
      <c r="O566" s="24">
        <f>IF($N566="","",WORKDAY($N566,Settings!$C$10,HolidayDates))</f>
        <v>46196</v>
      </c>
      <c r="P566" s="10" t="s">
        <v>501</v>
      </c>
      <c r="Q566" s="52" t="str">
        <f t="shared" si="97"/>
        <v>Collected</v>
      </c>
      <c r="R566" s="55" t="str">
        <f t="shared" si="98"/>
        <v>2026-05</v>
      </c>
      <c r="S566" s="55">
        <f>IF(OR($B566="",$F566="",$R566=""),"",SUMIFS(tblIssues[Qty Issued],tblIssues[Staff ID],$B566,tblIssues[Item Name],$F566,tblIssues[Month],$R566))</f>
        <v>80</v>
      </c>
      <c r="T566" s="56">
        <f>IF($I566="","",$I566*Settings!$C$11)</f>
        <v>80</v>
      </c>
      <c r="U566" s="57" t="str">
        <f t="shared" si="96"/>
        <v>OK</v>
      </c>
      <c r="V566" s="55" t="str">
        <f t="shared" si="99"/>
        <v/>
      </c>
      <c r="W566" s="55" t="str">
        <f>IF($V566="","",IF(COUNTIF($V$5:$V566,$V566)=1,1,""))</f>
        <v/>
      </c>
      <c r="X566" s="58" t="str">
        <f>IF($W566="","",MAX($X$4:X565)+1)</f>
        <v/>
      </c>
      <c r="Y566" s="62"/>
      <c r="Z566" s="62"/>
      <c r="AA566" s="64" t="str">
        <f>IF($C566="","",IFERROR(INDEX('Staff Directory'!$E$5:$E$594,MATCH($C566,'Staff Directory'!$B$5:$B$594,0)),""))</f>
        <v>firstname138.lastname138@example.com</v>
      </c>
      <c r="AB566" s="64" t="str">
        <f>IF($C566="","",IF(ISNUMBER(SEARCH($D566,Settings!$C$15)),"Pickup","Dispatch"))</f>
        <v>Pickup</v>
      </c>
      <c r="AC566" s="64" t="str">
        <f t="shared" si="100"/>
        <v>Supply order ready for pickup</v>
      </c>
      <c r="AD566" s="64" t="str">
        <f t="shared" si="91"/>
        <v>Dear PSW,
Your order is ready for pickup from Sample Branch, Wed-Fri 9am-4pm.</v>
      </c>
      <c r="AE566" s="64" t="str">
        <f t="shared" si="92"/>
        <v>mailto:firstname138.lastname138@example.com?subject=Supply%20order%20ready%20for%20pickup&amp;body=Dear%20PSW%2C%0A%0AYour%20order%20is%20ready%20for%20pickup%20from%20Sample%20Branch%2C%20Wed-Fri%209am-4pm.</v>
      </c>
      <c r="AF566" s="89" t="str">
        <f t="shared" si="101"/>
        <v>Draft email</v>
      </c>
      <c r="AG566" s="64" t="str">
        <f>IF($C566="","",IFERROR(INDEX('Staff Directory'!$K$595:$K$599,MATCH($C566,'Staff Directory'!$B$5:$B$599,0)),$D566))</f>
        <v>PSW</v>
      </c>
      <c r="AH566" t="str">
        <f>IF($C566="","",IFERROR(INDEX('Staff Directory'!$I$595:$I$599,MATCH($C566,'Staff Directory'!$B$5:$B$599,0))&amp;" "&amp;INDEX('Staff Directory'!$J$595:$J$599,MATCH($C566,'Staff Directory'!$B$5:$B$599,0)),$AG566))</f>
        <v>PSW</v>
      </c>
      <c r="AI566" s="102"/>
      <c r="AJ566" s="101">
        <f>IF($F566="","",SUMIFS($J$5:$J566,$F$5:$F566,$F566))</f>
        <v>8240</v>
      </c>
      <c r="AK566" s="101">
        <f t="shared" si="93"/>
        <v>8161</v>
      </c>
      <c r="AL566" s="66" t="str" cm="1">
        <f t="array" ref="AL566">IF($F566="","",IFERROR(INDEX('Lot Balance'!$B$5:$B$500,MATCH(1,INDEX(('Lot Balance'!$A$5:$A$500=$F566)*('Lot Balance'!$K$5:$K$500&lt;$AK566)*('Lot Balance'!$K$5:$K$500+'Lot Balance'!$D$5:$D$500&gt;=$AK566),0),0)),""))</f>
        <v>LYSL500290</v>
      </c>
      <c r="AM566" s="66" t="str" cm="1">
        <f t="array" ref="AM566">IF($F566="","",IFERROR(INDEX('Lot Balance'!$B$5:$B$500,MATCH(1,INDEX(('Lot Balance'!$A$5:$A$500=$F566)*('Lot Balance'!$K$5:$K$500&lt;$AJ566)*('Lot Balance'!$K$5:$K$500+'Lot Balance'!$D$5:$D$500&gt;=$AJ566),0),0)),""))</f>
        <v>LYSL500290</v>
      </c>
      <c r="AN566" s="66" t="str">
        <f>IF($F566="","",IF($AI566&lt;&gt;"",IF(COUNTIFS('Lot Balance'!$A$5:$A$500,$F566,'Lot Balance'!$B$5:$B$500,$AI566)=0,"⚠ override is not a lot of this item",IF($AI566=$AL566,"Override = FEFO","Override - FEFO says "&amp;$AL566)),IF($AL566="","⚠ no receipt on file for this item",IF($AM566&lt;&gt;$AL566,"FEFO auto - split, also "&amp;$AM566,"FEFO auto"))))</f>
        <v>FEFO auto</v>
      </c>
      <c r="AO566" s="114"/>
    </row>
    <row r="567" spans="1:41" x14ac:dyDescent="0.35">
      <c r="A567" s="74">
        <v>46148</v>
      </c>
      <c r="B567" s="18" t="str">
        <f>IF($C567="","",IFERROR(INDEX('Staff Directory'!$A$5:$A$594,MATCH($C567,'Staff Directory'!$B$5:$B$594,0)),"⚠ unknown staff"))</f>
        <v>PSW-078-A4</v>
      </c>
      <c r="C567" s="49" t="s">
        <v>1054</v>
      </c>
      <c r="D567" s="19" t="str">
        <f>IF($B567="","",IFERROR(INDEX('Staff Directory'!$C$5:$C$594,MATCH($B567,'Staff Directory'!$A$5:$A$594,0)),""))</f>
        <v>PSW</v>
      </c>
      <c r="E567" s="19" t="str">
        <f>IF($B567="","",IFERROR(INDEX('Staff Directory'!$D$5:$D$594,MATCH($B567,'Staff Directory'!$A$5:$A$594,0)),""))</f>
        <v>A4</v>
      </c>
      <c r="F567" s="9" t="s">
        <v>156</v>
      </c>
      <c r="G567" s="18" t="str">
        <f>IF($F567="","",IFERROR(INDEX(Items!$B$5:$B$597,MATCH($F567,Items!$A$5:$A$597,0)),"⚠ not in Items"))</f>
        <v>Masks</v>
      </c>
      <c r="H567" s="19" t="str">
        <f>IF($F567="","",IFERROR(INDEX(Items!$C$5:$C$597,MATCH($F567,Items!$A$5:$A$597,0)),""))</f>
        <v>One Size</v>
      </c>
      <c r="I567" s="23">
        <f>IF($F567="","",IFERROR(INDEX(Items!$E$5:$E$597,MATCH($F567,Items!$A$5:$A$597,0)),""))</f>
        <v>50</v>
      </c>
      <c r="J567" s="115">
        <f>IF(tblIssues[[#This Row],[Qty Override]]&lt;&gt;"",tblIssues[[#This Row],[Qty Override]],IF(tblIssues[[#This Row],[Standard Issue]]="","",tblIssues[[#This Row],[Standard Issue]]))</f>
        <v>50</v>
      </c>
      <c r="K567" s="20">
        <f>IF($F567="","",IFERROR(INDEX(Items!$D$5:$D$597,MATCH($F567,Items!$A$5:$A$597,0)),""))</f>
        <v>0.25</v>
      </c>
      <c r="L567" s="21">
        <f t="shared" si="94"/>
        <v>12.5</v>
      </c>
      <c r="M567" s="9" t="str">
        <f t="shared" si="95"/>
        <v>0125FPC24-0</v>
      </c>
      <c r="N567" s="24">
        <f>IF($A567="","",WORKDAY($A567,Settings!$C$9,HolidayDates))</f>
        <v>46156</v>
      </c>
      <c r="O567" s="24">
        <f>IF($N567="","",WORKDAY($N567,Settings!$C$10,HolidayDates))</f>
        <v>46196</v>
      </c>
      <c r="P567" s="10" t="s">
        <v>501</v>
      </c>
      <c r="Q567" s="52" t="str">
        <f t="shared" si="97"/>
        <v>Collected</v>
      </c>
      <c r="R567" s="55" t="str">
        <f t="shared" si="98"/>
        <v>2026-05</v>
      </c>
      <c r="S567" s="55">
        <f>IF(OR($B567="",$F567="",$R567=""),"",SUMIFS(tblIssues[Qty Issued],tblIssues[Staff ID],$B567,tblIssues[Item Name],$F567,tblIssues[Month],$R567))</f>
        <v>50</v>
      </c>
      <c r="T567" s="56">
        <f>IF($I567="","",$I567*Settings!$C$11)</f>
        <v>50</v>
      </c>
      <c r="U567" s="57" t="str">
        <f t="shared" si="96"/>
        <v>OK</v>
      </c>
      <c r="V567" s="55" t="str">
        <f t="shared" si="99"/>
        <v/>
      </c>
      <c r="W567" s="55" t="str">
        <f>IF($V567="","",IF(COUNTIF($V$5:$V567,$V567)=1,1,""))</f>
        <v/>
      </c>
      <c r="X567" s="58" t="str">
        <f>IF($W567="","",MAX($X$4:X566)+1)</f>
        <v/>
      </c>
      <c r="Y567" s="62"/>
      <c r="Z567" s="62"/>
      <c r="AA567" s="64" t="str">
        <f>IF($C567="","",IFERROR(INDEX('Staff Directory'!$E$5:$E$594,MATCH($C567,'Staff Directory'!$B$5:$B$594,0)),""))</f>
        <v>firstname138.lastname138@example.com</v>
      </c>
      <c r="AB567" s="64" t="str">
        <f>IF($C567="","",IF(ISNUMBER(SEARCH($D567,Settings!$C$15)),"Pickup","Dispatch"))</f>
        <v>Pickup</v>
      </c>
      <c r="AC567" s="64" t="str">
        <f t="shared" si="100"/>
        <v>Supply order ready for pickup</v>
      </c>
      <c r="AD567" s="64" t="str">
        <f t="shared" si="91"/>
        <v>Dear PSW,
Your order is ready for pickup from Sample Branch, Wed-Fri 9am-4pm.</v>
      </c>
      <c r="AE567" s="64" t="str">
        <f t="shared" si="92"/>
        <v>mailto:firstname138.lastname138@example.com?subject=Supply%20order%20ready%20for%20pickup&amp;body=Dear%20PSW%2C%0A%0AYour%20order%20is%20ready%20for%20pickup%20from%20Sample%20Branch%2C%20Wed-Fri%209am-4pm.</v>
      </c>
      <c r="AF567" s="89" t="str">
        <f t="shared" si="101"/>
        <v>Draft email</v>
      </c>
      <c r="AG567" s="64" t="str">
        <f>IF($C567="","",IFERROR(INDEX('Staff Directory'!$K$595:$K$599,MATCH($C567,'Staff Directory'!$B$5:$B$599,0)),$D567))</f>
        <v>PSW</v>
      </c>
      <c r="AH567" t="str">
        <f>IF($C567="","",IFERROR(INDEX('Staff Directory'!$I$595:$I$599,MATCH($C567,'Staff Directory'!$B$5:$B$599,0))&amp;" "&amp;INDEX('Staff Directory'!$J$595:$J$599,MATCH($C567,'Staff Directory'!$B$5:$B$599,0)),$AG567))</f>
        <v>PSW</v>
      </c>
      <c r="AI567" s="102"/>
      <c r="AJ567" s="101">
        <f>IF($F567="","",SUMIFS($J$5:$J567,$F$5:$F567,$F567))</f>
        <v>4700</v>
      </c>
      <c r="AK567" s="101">
        <f t="shared" si="93"/>
        <v>4651</v>
      </c>
      <c r="AL567" s="66" t="str" cm="1">
        <f t="array" ref="AL567">IF($F567="","",IFERROR(INDEX('Lot Balance'!$B$5:$B$500,MATCH(1,INDEX(('Lot Balance'!$A$5:$A$500=$F567)*('Lot Balance'!$K$5:$K$500&lt;$AK567)*('Lot Balance'!$K$5:$K$500+'Lot Balance'!$D$5:$D$500&gt;=$AK567),0),0)),""))</f>
        <v>0125FPC24-0</v>
      </c>
      <c r="AM567" s="66" t="str" cm="1">
        <f t="array" ref="AM567">IF($F567="","",IFERROR(INDEX('Lot Balance'!$B$5:$B$500,MATCH(1,INDEX(('Lot Balance'!$A$5:$A$500=$F567)*('Lot Balance'!$K$5:$K$500&lt;$AJ567)*('Lot Balance'!$K$5:$K$500+'Lot Balance'!$D$5:$D$500&gt;=$AJ567),0),0)),""))</f>
        <v>0125FPC24-0</v>
      </c>
      <c r="AN567" s="66" t="str">
        <f>IF($F567="","",IF($AI567&lt;&gt;"",IF(COUNTIFS('Lot Balance'!$A$5:$A$500,$F567,'Lot Balance'!$B$5:$B$500,$AI567)=0,"⚠ override is not a lot of this item",IF($AI567=$AL567,"Override = FEFO","Override - FEFO says "&amp;$AL567)),IF($AL567="","⚠ no receipt on file for this item",IF($AM567&lt;&gt;$AL567,"FEFO auto - split, also "&amp;$AM567,"FEFO auto"))))</f>
        <v>FEFO auto</v>
      </c>
      <c r="AO567" s="114"/>
    </row>
    <row r="568" spans="1:41" x14ac:dyDescent="0.35">
      <c r="A568" s="74">
        <v>46148</v>
      </c>
      <c r="B568" s="18" t="str">
        <f>IF($C568="","",IFERROR(INDEX('Staff Directory'!$A$5:$A$594,MATCH($C568,'Staff Directory'!$B$5:$B$594,0)),"⚠ unknown staff"))</f>
        <v>PSW-052-A5</v>
      </c>
      <c r="C568" s="49" t="s">
        <v>1028</v>
      </c>
      <c r="D568" s="19" t="str">
        <f>IF($B568="","",IFERROR(INDEX('Staff Directory'!$C$5:$C$594,MATCH($B568,'Staff Directory'!$A$5:$A$594,0)),""))</f>
        <v>PSW</v>
      </c>
      <c r="E568" s="19" t="str">
        <f>IF($B568="","",IFERROR(INDEX('Staff Directory'!$D$5:$D$594,MATCH($B568,'Staff Directory'!$A$5:$A$594,0)),""))</f>
        <v>A5</v>
      </c>
      <c r="F568" s="9" t="s">
        <v>127</v>
      </c>
      <c r="G568" s="18" t="str">
        <f>IF($F568="","",IFERROR(INDEX(Items!$B$5:$B$597,MATCH($F568,Items!$A$5:$A$597,0)),"⚠ not in Items"))</f>
        <v>Gloves</v>
      </c>
      <c r="H568" s="19" t="str">
        <f>IF($F568="","",IFERROR(INDEX(Items!$C$5:$C$597,MATCH($F568,Items!$A$5:$A$597,0)),""))</f>
        <v>Medium</v>
      </c>
      <c r="I568" s="23">
        <f>IF($F568="","",IFERROR(INDEX(Items!$E$5:$E$597,MATCH($F568,Items!$A$5:$A$597,0)),""))</f>
        <v>500</v>
      </c>
      <c r="J568" s="115">
        <f>IF(tblIssues[[#This Row],[Qty Override]]&lt;&gt;"",tblIssues[[#This Row],[Qty Override]],IF(tblIssues[[#This Row],[Standard Issue]]="","",tblIssues[[#This Row],[Standard Issue]]))</f>
        <v>500</v>
      </c>
      <c r="K568" s="20">
        <f>IF($F568="","",IFERROR(INDEX(Items!$D$5:$D$597,MATCH($F568,Items!$A$5:$A$597,0)),""))</f>
        <v>5.5E-2</v>
      </c>
      <c r="L568" s="21">
        <f t="shared" si="94"/>
        <v>27.5</v>
      </c>
      <c r="M568" s="9" t="str">
        <f t="shared" si="95"/>
        <v>ZIM504126040-2</v>
      </c>
      <c r="N568" s="24">
        <f>IF($A568="","",WORKDAY($A568,Settings!$C$9,HolidayDates))</f>
        <v>46156</v>
      </c>
      <c r="O568" s="24">
        <f>IF($N568="","",WORKDAY($N568,Settings!$C$10,HolidayDates))</f>
        <v>46196</v>
      </c>
      <c r="P568" s="10" t="s">
        <v>501</v>
      </c>
      <c r="Q568" s="52" t="str">
        <f t="shared" si="97"/>
        <v>Collected</v>
      </c>
      <c r="R568" s="55" t="str">
        <f t="shared" si="98"/>
        <v>2026-05</v>
      </c>
      <c r="S568" s="55">
        <f>IF(OR($B568="",$F568="",$R568=""),"",SUMIFS(tblIssues[Qty Issued],tblIssues[Staff ID],$B568,tblIssues[Item Name],$F568,tblIssues[Month],$R568))</f>
        <v>500</v>
      </c>
      <c r="T568" s="56">
        <f>IF($I568="","",$I568*Settings!$C$11)</f>
        <v>500</v>
      </c>
      <c r="U568" s="57" t="str">
        <f t="shared" si="96"/>
        <v>OK</v>
      </c>
      <c r="V568" s="55" t="str">
        <f t="shared" si="99"/>
        <v/>
      </c>
      <c r="W568" s="55" t="str">
        <f>IF($V568="","",IF(COUNTIF($V$5:$V568,$V568)=1,1,""))</f>
        <v/>
      </c>
      <c r="X568" s="58" t="str">
        <f>IF($W568="","",MAX($X$4:X567)+1)</f>
        <v/>
      </c>
      <c r="Y568" s="62"/>
      <c r="Z568" s="62"/>
      <c r="AA568" s="64" t="str">
        <f>IF($C568="","",IFERROR(INDEX('Staff Directory'!$E$5:$E$594,MATCH($C568,'Staff Directory'!$B$5:$B$594,0)),""))</f>
        <v>firstname112.lastname112@example.com</v>
      </c>
      <c r="AB568" s="64" t="str">
        <f>IF($C568="","",IF(ISNUMBER(SEARCH($D568,Settings!$C$15)),"Pickup","Dispatch"))</f>
        <v>Pickup</v>
      </c>
      <c r="AC568" s="64" t="str">
        <f t="shared" si="100"/>
        <v>Supply order ready for pickup</v>
      </c>
      <c r="AD568" s="64" t="str">
        <f t="shared" si="91"/>
        <v>Dear PSW,
Your order is ready for pickup from Sample Branch, Wed-Fri 9am-4pm.</v>
      </c>
      <c r="AE568" s="64" t="str">
        <f t="shared" si="92"/>
        <v>mailto:firstname112.lastname112@example.com?subject=Supply%20order%20ready%20for%20pickup&amp;body=Dear%20PSW%2C%0A%0AYour%20order%20is%20ready%20for%20pickup%20from%20Sample%20Branch%2C%20Wed-Fri%209am-4pm.</v>
      </c>
      <c r="AF568" s="89" t="str">
        <f t="shared" si="101"/>
        <v>Draft email</v>
      </c>
      <c r="AG568" s="64" t="str">
        <f>IF($C568="","",IFERROR(INDEX('Staff Directory'!$K$595:$K$599,MATCH($C568,'Staff Directory'!$B$5:$B$599,0)),$D568))</f>
        <v>PSW</v>
      </c>
      <c r="AH568" t="str">
        <f>IF($C568="","",IFERROR(INDEX('Staff Directory'!$I$595:$I$599,MATCH($C568,'Staff Directory'!$B$5:$B$599,0))&amp;" "&amp;INDEX('Staff Directory'!$J$595:$J$599,MATCH($C568,'Staff Directory'!$B$5:$B$599,0)),$AG568))</f>
        <v>PSW</v>
      </c>
      <c r="AI568" s="102"/>
      <c r="AJ568" s="101">
        <f>IF($F568="","",SUMIFS($J$5:$J568,$F$5:$F568,$F568))</f>
        <v>33000</v>
      </c>
      <c r="AK568" s="101">
        <f t="shared" si="93"/>
        <v>32501</v>
      </c>
      <c r="AL568" s="66" t="str" cm="1">
        <f t="array" ref="AL568">IF($F568="","",IFERROR(INDEX('Lot Balance'!$B$5:$B$500,MATCH(1,INDEX(('Lot Balance'!$A$5:$A$500=$F568)*('Lot Balance'!$K$5:$K$500&lt;$AK568)*('Lot Balance'!$K$5:$K$500+'Lot Balance'!$D$5:$D$500&gt;=$AK568),0),0)),""))</f>
        <v>ZIM504126040-2</v>
      </c>
      <c r="AM568" s="66" t="str" cm="1">
        <f t="array" ref="AM568">IF($F568="","",IFERROR(INDEX('Lot Balance'!$B$5:$B$500,MATCH(1,INDEX(('Lot Balance'!$A$5:$A$500=$F568)*('Lot Balance'!$K$5:$K$500&lt;$AJ568)*('Lot Balance'!$K$5:$K$500+'Lot Balance'!$D$5:$D$500&gt;=$AJ568),0),0)),""))</f>
        <v>ZIM504126040-2</v>
      </c>
      <c r="AN568" s="66" t="str">
        <f>IF($F568="","",IF($AI568&lt;&gt;"",IF(COUNTIFS('Lot Balance'!$A$5:$A$500,$F568,'Lot Balance'!$B$5:$B$500,$AI568)=0,"⚠ override is not a lot of this item",IF($AI568=$AL568,"Override = FEFO","Override - FEFO says "&amp;$AL568)),IF($AL568="","⚠ no receipt on file for this item",IF($AM568&lt;&gt;$AL568,"FEFO auto - split, also "&amp;$AM568,"FEFO auto"))))</f>
        <v>FEFO auto</v>
      </c>
      <c r="AO568" s="114"/>
    </row>
    <row r="569" spans="1:41" x14ac:dyDescent="0.35">
      <c r="A569" s="74">
        <v>46148</v>
      </c>
      <c r="B569" s="18" t="str">
        <f>IF($C569="","",IFERROR(INDEX('Staff Directory'!$A$5:$A$594,MATCH($C569,'Staff Directory'!$B$5:$B$594,0)),"⚠ unknown staff"))</f>
        <v>PSW-052-A5</v>
      </c>
      <c r="C569" s="49" t="s">
        <v>1028</v>
      </c>
      <c r="D569" s="19" t="str">
        <f>IF($B569="","",IFERROR(INDEX('Staff Directory'!$C$5:$C$594,MATCH($B569,'Staff Directory'!$A$5:$A$594,0)),""))</f>
        <v>PSW</v>
      </c>
      <c r="E569" s="19" t="str">
        <f>IF($B569="","",IFERROR(INDEX('Staff Directory'!$D$5:$D$594,MATCH($B569,'Staff Directory'!$A$5:$A$594,0)),""))</f>
        <v>A5</v>
      </c>
      <c r="F569" s="9" t="s">
        <v>191</v>
      </c>
      <c r="G569" s="18" t="str">
        <f>IF($F569="","",IFERROR(INDEX(Items!$B$5:$B$597,MATCH($F569,Items!$A$5:$A$597,0)),"⚠ not in Items"))</f>
        <v>Sanitizer</v>
      </c>
      <c r="H569" s="19" t="str">
        <f>IF($F569="","",IFERROR(INDEX(Items!$C$5:$C$597,MATCH($F569,Items!$A$5:$A$597,0)),""))</f>
        <v>236 ML</v>
      </c>
      <c r="I569" s="23">
        <f>IF($F569="","",IFERROR(INDEX(Items!$E$5:$E$597,MATCH($F569,Items!$A$5:$A$597,0)),""))</f>
        <v>1</v>
      </c>
      <c r="J569" s="115">
        <f>IF(tblIssues[[#This Row],[Qty Override]]&lt;&gt;"",tblIssues[[#This Row],[Qty Override]],IF(tblIssues[[#This Row],[Standard Issue]]="","",tblIssues[[#This Row],[Standard Issue]]))</f>
        <v>1</v>
      </c>
      <c r="K569" s="20">
        <f>IF($F569="","",IFERROR(INDEX(Items!$D$5:$D$597,MATCH($F569,Items!$A$5:$A$597,0)),""))</f>
        <v>1E-4</v>
      </c>
      <c r="L569" s="21">
        <f t="shared" si="94"/>
        <v>1E-4</v>
      </c>
      <c r="M569" s="9" t="str">
        <f t="shared" si="95"/>
        <v>20-21734-2</v>
      </c>
      <c r="N569" s="24">
        <f>IF($A569="","",WORKDAY($A569,Settings!$C$9,HolidayDates))</f>
        <v>46156</v>
      </c>
      <c r="O569" s="24">
        <f>IF($N569="","",WORKDAY($N569,Settings!$C$10,HolidayDates))</f>
        <v>46196</v>
      </c>
      <c r="P569" s="10" t="s">
        <v>501</v>
      </c>
      <c r="Q569" s="52" t="str">
        <f t="shared" si="97"/>
        <v>Collected</v>
      </c>
      <c r="R569" s="55" t="str">
        <f t="shared" si="98"/>
        <v>2026-05</v>
      </c>
      <c r="S569" s="55">
        <f>IF(OR($B569="",$F569="",$R569=""),"",SUMIFS(tblIssues[Qty Issued],tblIssues[Staff ID],$B569,tblIssues[Item Name],$F569,tblIssues[Month],$R569))</f>
        <v>1</v>
      </c>
      <c r="T569" s="56">
        <f>IF($I569="","",$I569*Settings!$C$11)</f>
        <v>1</v>
      </c>
      <c r="U569" s="57" t="str">
        <f t="shared" si="96"/>
        <v>OK</v>
      </c>
      <c r="V569" s="55" t="str">
        <f t="shared" si="99"/>
        <v/>
      </c>
      <c r="W569" s="55" t="str">
        <f>IF($V569="","",IF(COUNTIF($V$5:$V569,$V569)=1,1,""))</f>
        <v/>
      </c>
      <c r="X569" s="58" t="str">
        <f>IF($W569="","",MAX($X$4:X568)+1)</f>
        <v/>
      </c>
      <c r="Y569" s="62"/>
      <c r="Z569" s="62"/>
      <c r="AA569" s="64" t="str">
        <f>IF($C569="","",IFERROR(INDEX('Staff Directory'!$E$5:$E$594,MATCH($C569,'Staff Directory'!$B$5:$B$594,0)),""))</f>
        <v>firstname112.lastname112@example.com</v>
      </c>
      <c r="AB569" s="64" t="str">
        <f>IF($C569="","",IF(ISNUMBER(SEARCH($D569,Settings!$C$15)),"Pickup","Dispatch"))</f>
        <v>Pickup</v>
      </c>
      <c r="AC569" s="64" t="str">
        <f t="shared" si="100"/>
        <v>Supply order ready for pickup</v>
      </c>
      <c r="AD569" s="64" t="str">
        <f t="shared" si="91"/>
        <v>Dear PSW,
Your order is ready for pickup from Sample Branch, Wed-Fri 9am-4pm.</v>
      </c>
      <c r="AE569" s="64" t="str">
        <f t="shared" si="92"/>
        <v>mailto:firstname112.lastname112@example.com?subject=Supply%20order%20ready%20for%20pickup&amp;body=Dear%20PSW%2C%0A%0AYour%20order%20is%20ready%20for%20pickup%20from%20Sample%20Branch%2C%20Wed-Fri%209am-4pm.</v>
      </c>
      <c r="AF569" s="89" t="str">
        <f t="shared" si="101"/>
        <v>Draft email</v>
      </c>
      <c r="AG569" s="64" t="str">
        <f>IF($C569="","",IFERROR(INDEX('Staff Directory'!$K$595:$K$599,MATCH($C569,'Staff Directory'!$B$5:$B$599,0)),$D569))</f>
        <v>PSW</v>
      </c>
      <c r="AH569" t="str">
        <f>IF($C569="","",IFERROR(INDEX('Staff Directory'!$I$595:$I$599,MATCH($C569,'Staff Directory'!$B$5:$B$599,0))&amp;" "&amp;INDEX('Staff Directory'!$J$595:$J$599,MATCH($C569,'Staff Directory'!$B$5:$B$599,0)),$AG569))</f>
        <v>PSW</v>
      </c>
      <c r="AI569" s="102"/>
      <c r="AJ569" s="101">
        <f>IF($F569="","",SUMIFS($J$5:$J569,$F$5:$F569,$F569))</f>
        <v>64</v>
      </c>
      <c r="AK569" s="101">
        <f t="shared" si="93"/>
        <v>64</v>
      </c>
      <c r="AL569" s="66" t="str" cm="1">
        <f t="array" ref="AL569">IF($F569="","",IFERROR(INDEX('Lot Balance'!$B$5:$B$500,MATCH(1,INDEX(('Lot Balance'!$A$5:$A$500=$F569)*('Lot Balance'!$K$5:$K$500&lt;$AK569)*('Lot Balance'!$K$5:$K$500+'Lot Balance'!$D$5:$D$500&gt;=$AK569),0),0)),""))</f>
        <v>20-21734-2</v>
      </c>
      <c r="AM569" s="66" t="str" cm="1">
        <f t="array" ref="AM569">IF($F569="","",IFERROR(INDEX('Lot Balance'!$B$5:$B$500,MATCH(1,INDEX(('Lot Balance'!$A$5:$A$500=$F569)*('Lot Balance'!$K$5:$K$500&lt;$AJ569)*('Lot Balance'!$K$5:$K$500+'Lot Balance'!$D$5:$D$500&gt;=$AJ569),0),0)),""))</f>
        <v>20-21734-2</v>
      </c>
      <c r="AN569" s="66" t="str">
        <f>IF($F569="","",IF($AI569&lt;&gt;"",IF(COUNTIFS('Lot Balance'!$A$5:$A$500,$F569,'Lot Balance'!$B$5:$B$500,$AI569)=0,"⚠ override is not a lot of this item",IF($AI569=$AL569,"Override = FEFO","Override - FEFO says "&amp;$AL569)),IF($AL569="","⚠ no receipt on file for this item",IF($AM569&lt;&gt;$AL569,"FEFO auto - split, also "&amp;$AM569,"FEFO auto"))))</f>
        <v>FEFO auto</v>
      </c>
      <c r="AO569" s="114"/>
    </row>
    <row r="570" spans="1:41" x14ac:dyDescent="0.35">
      <c r="A570" s="74">
        <v>46148</v>
      </c>
      <c r="B570" s="18" t="str">
        <f>IF($C570="","",IFERROR(INDEX('Staff Directory'!$A$5:$A$594,MATCH($C570,'Staff Directory'!$B$5:$B$594,0)),"⚠ unknown staff"))</f>
        <v>PSW-052-A5</v>
      </c>
      <c r="C570" s="49" t="s">
        <v>1028</v>
      </c>
      <c r="D570" s="19" t="str">
        <f>IF($B570="","",IFERROR(INDEX('Staff Directory'!$C$5:$C$594,MATCH($B570,'Staff Directory'!$A$5:$A$594,0)),""))</f>
        <v>PSW</v>
      </c>
      <c r="E570" s="19" t="str">
        <f>IF($B570="","",IFERROR(INDEX('Staff Directory'!$D$5:$D$594,MATCH($B570,'Staff Directory'!$A$5:$A$594,0)),""))</f>
        <v>A5</v>
      </c>
      <c r="F570" s="9" t="s">
        <v>115</v>
      </c>
      <c r="G570" s="18" t="str">
        <f>IF($F570="","",IFERROR(INDEX(Items!$B$5:$B$597,MATCH($F570,Items!$A$5:$A$597,0)),"⚠ not in Items"))</f>
        <v>Wipes</v>
      </c>
      <c r="H570" s="19">
        <f>IF($F570="","",IFERROR(INDEX(Items!$C$5:$C$597,MATCH($F570,Items!$A$5:$A$597,0)),""))</f>
        <v>80</v>
      </c>
      <c r="I570" s="23">
        <f>IF($F570="","",IFERROR(INDEX(Items!$E$5:$E$597,MATCH($F570,Items!$A$5:$A$597,0)),""))</f>
        <v>80</v>
      </c>
      <c r="J570" s="115">
        <f>IF(tblIssues[[#This Row],[Qty Override]]&lt;&gt;"",tblIssues[[#This Row],[Qty Override]],IF(tblIssues[[#This Row],[Standard Issue]]="","",tblIssues[[#This Row],[Standard Issue]]))</f>
        <v>80</v>
      </c>
      <c r="K570" s="20">
        <f>IF($F570="","",IFERROR(INDEX(Items!$D$5:$D$597,MATCH($F570,Items!$A$5:$A$597,0)),""))</f>
        <v>0.1</v>
      </c>
      <c r="L570" s="21">
        <f t="shared" si="94"/>
        <v>8</v>
      </c>
      <c r="M570" s="9" t="str">
        <f t="shared" si="95"/>
        <v>LYSL500290</v>
      </c>
      <c r="N570" s="24">
        <f>IF($A570="","",WORKDAY($A570,Settings!$C$9,HolidayDates))</f>
        <v>46156</v>
      </c>
      <c r="O570" s="24">
        <f>IF($N570="","",WORKDAY($N570,Settings!$C$10,HolidayDates))</f>
        <v>46196</v>
      </c>
      <c r="P570" s="10" t="s">
        <v>501</v>
      </c>
      <c r="Q570" s="52" t="str">
        <f t="shared" si="97"/>
        <v>Collected</v>
      </c>
      <c r="R570" s="55" t="str">
        <f t="shared" si="98"/>
        <v>2026-05</v>
      </c>
      <c r="S570" s="55">
        <f>IF(OR($B570="",$F570="",$R570=""),"",SUMIFS(tblIssues[Qty Issued],tblIssues[Staff ID],$B570,tblIssues[Item Name],$F570,tblIssues[Month],$R570))</f>
        <v>80</v>
      </c>
      <c r="T570" s="56">
        <f>IF($I570="","",$I570*Settings!$C$11)</f>
        <v>80</v>
      </c>
      <c r="U570" s="57" t="str">
        <f t="shared" si="96"/>
        <v>OK</v>
      </c>
      <c r="V570" s="55" t="str">
        <f t="shared" si="99"/>
        <v/>
      </c>
      <c r="W570" s="55" t="str">
        <f>IF($V570="","",IF(COUNTIF($V$5:$V570,$V570)=1,1,""))</f>
        <v/>
      </c>
      <c r="X570" s="58" t="str">
        <f>IF($W570="","",MAX($X$4:X569)+1)</f>
        <v/>
      </c>
      <c r="Y570" s="62"/>
      <c r="Z570" s="62"/>
      <c r="AA570" s="64" t="str">
        <f>IF($C570="","",IFERROR(INDEX('Staff Directory'!$E$5:$E$594,MATCH($C570,'Staff Directory'!$B$5:$B$594,0)),""))</f>
        <v>firstname112.lastname112@example.com</v>
      </c>
      <c r="AB570" s="64" t="str">
        <f>IF($C570="","",IF(ISNUMBER(SEARCH($D570,Settings!$C$15)),"Pickup","Dispatch"))</f>
        <v>Pickup</v>
      </c>
      <c r="AC570" s="64" t="str">
        <f t="shared" si="100"/>
        <v>Supply order ready for pickup</v>
      </c>
      <c r="AD570" s="64" t="str">
        <f t="shared" si="91"/>
        <v>Dear PSW,
Your order is ready for pickup from Sample Branch, Wed-Fri 9am-4pm.</v>
      </c>
      <c r="AE570" s="64" t="str">
        <f t="shared" si="92"/>
        <v>mailto:firstname112.lastname112@example.com?subject=Supply%20order%20ready%20for%20pickup&amp;body=Dear%20PSW%2C%0A%0AYour%20order%20is%20ready%20for%20pickup%20from%20Sample%20Branch%2C%20Wed-Fri%209am-4pm.</v>
      </c>
      <c r="AF570" s="89" t="str">
        <f t="shared" si="101"/>
        <v>Draft email</v>
      </c>
      <c r="AG570" s="64" t="str">
        <f>IF($C570="","",IFERROR(INDEX('Staff Directory'!$K$595:$K$599,MATCH($C570,'Staff Directory'!$B$5:$B$599,0)),$D570))</f>
        <v>PSW</v>
      </c>
      <c r="AH570" t="str">
        <f>IF($C570="","",IFERROR(INDEX('Staff Directory'!$I$595:$I$599,MATCH($C570,'Staff Directory'!$B$5:$B$599,0))&amp;" "&amp;INDEX('Staff Directory'!$J$595:$J$599,MATCH($C570,'Staff Directory'!$B$5:$B$599,0)),$AG570))</f>
        <v>PSW</v>
      </c>
      <c r="AI570" s="102"/>
      <c r="AJ570" s="101">
        <f>IF($F570="","",SUMIFS($J$5:$J570,$F$5:$F570,$F570))</f>
        <v>8320</v>
      </c>
      <c r="AK570" s="101">
        <f t="shared" si="93"/>
        <v>8241</v>
      </c>
      <c r="AL570" s="66" t="str" cm="1">
        <f t="array" ref="AL570">IF($F570="","",IFERROR(INDEX('Lot Balance'!$B$5:$B$500,MATCH(1,INDEX(('Lot Balance'!$A$5:$A$500=$F570)*('Lot Balance'!$K$5:$K$500&lt;$AK570)*('Lot Balance'!$K$5:$K$500+'Lot Balance'!$D$5:$D$500&gt;=$AK570),0),0)),""))</f>
        <v>LYSL500290</v>
      </c>
      <c r="AM570" s="66" t="str" cm="1">
        <f t="array" ref="AM570">IF($F570="","",IFERROR(INDEX('Lot Balance'!$B$5:$B$500,MATCH(1,INDEX(('Lot Balance'!$A$5:$A$500=$F570)*('Lot Balance'!$K$5:$K$500&lt;$AJ570)*('Lot Balance'!$K$5:$K$500+'Lot Balance'!$D$5:$D$500&gt;=$AJ570),0),0)),""))</f>
        <v>LYSL500290</v>
      </c>
      <c r="AN570" s="66" t="str">
        <f>IF($F570="","",IF($AI570&lt;&gt;"",IF(COUNTIFS('Lot Balance'!$A$5:$A$500,$F570,'Lot Balance'!$B$5:$B$500,$AI570)=0,"⚠ override is not a lot of this item",IF($AI570=$AL570,"Override = FEFO","Override - FEFO says "&amp;$AL570)),IF($AL570="","⚠ no receipt on file for this item",IF($AM570&lt;&gt;$AL570,"FEFO auto - split, also "&amp;$AM570,"FEFO auto"))))</f>
        <v>FEFO auto</v>
      </c>
      <c r="AO570" s="114"/>
    </row>
    <row r="571" spans="1:41" x14ac:dyDescent="0.35">
      <c r="A571" s="74">
        <v>46148</v>
      </c>
      <c r="B571" s="18" t="str">
        <f>IF($C571="","",IFERROR(INDEX('Staff Directory'!$A$5:$A$594,MATCH($C571,'Staff Directory'!$B$5:$B$594,0)),"⚠ unknown staff"))</f>
        <v>PSW-052-A5</v>
      </c>
      <c r="C571" s="49" t="s">
        <v>1028</v>
      </c>
      <c r="D571" s="19" t="str">
        <f>IF($B571="","",IFERROR(INDEX('Staff Directory'!$C$5:$C$594,MATCH($B571,'Staff Directory'!$A$5:$A$594,0)),""))</f>
        <v>PSW</v>
      </c>
      <c r="E571" s="19" t="str">
        <f>IF($B571="","",IFERROR(INDEX('Staff Directory'!$D$5:$D$594,MATCH($B571,'Staff Directory'!$A$5:$A$594,0)),""))</f>
        <v>A5</v>
      </c>
      <c r="F571" s="9" t="s">
        <v>156</v>
      </c>
      <c r="G571" s="18" t="str">
        <f>IF($F571="","",IFERROR(INDEX(Items!$B$5:$B$597,MATCH($F571,Items!$A$5:$A$597,0)),"⚠ not in Items"))</f>
        <v>Masks</v>
      </c>
      <c r="H571" s="19" t="str">
        <f>IF($F571="","",IFERROR(INDEX(Items!$C$5:$C$597,MATCH($F571,Items!$A$5:$A$597,0)),""))</f>
        <v>One Size</v>
      </c>
      <c r="I571" s="23">
        <f>IF($F571="","",IFERROR(INDEX(Items!$E$5:$E$597,MATCH($F571,Items!$A$5:$A$597,0)),""))</f>
        <v>50</v>
      </c>
      <c r="J571" s="115">
        <f>IF(tblIssues[[#This Row],[Qty Override]]&lt;&gt;"",tblIssues[[#This Row],[Qty Override]],IF(tblIssues[[#This Row],[Standard Issue]]="","",tblIssues[[#This Row],[Standard Issue]]))</f>
        <v>50</v>
      </c>
      <c r="K571" s="20">
        <f>IF($F571="","",IFERROR(INDEX(Items!$D$5:$D$597,MATCH($F571,Items!$A$5:$A$597,0)),""))</f>
        <v>0.25</v>
      </c>
      <c r="L571" s="21">
        <f t="shared" si="94"/>
        <v>12.5</v>
      </c>
      <c r="M571" s="9" t="str">
        <f t="shared" si="95"/>
        <v>0125FPC24-0</v>
      </c>
      <c r="N571" s="24">
        <f>IF($A571="","",WORKDAY($A571,Settings!$C$9,HolidayDates))</f>
        <v>46156</v>
      </c>
      <c r="O571" s="24">
        <f>IF($N571="","",WORKDAY($N571,Settings!$C$10,HolidayDates))</f>
        <v>46196</v>
      </c>
      <c r="P571" s="10" t="s">
        <v>501</v>
      </c>
      <c r="Q571" s="52" t="str">
        <f t="shared" si="97"/>
        <v>Collected</v>
      </c>
      <c r="R571" s="55" t="str">
        <f t="shared" si="98"/>
        <v>2026-05</v>
      </c>
      <c r="S571" s="55">
        <f>IF(OR($B571="",$F571="",$R571=""),"",SUMIFS(tblIssues[Qty Issued],tblIssues[Staff ID],$B571,tblIssues[Item Name],$F571,tblIssues[Month],$R571))</f>
        <v>50</v>
      </c>
      <c r="T571" s="56">
        <f>IF($I571="","",$I571*Settings!$C$11)</f>
        <v>50</v>
      </c>
      <c r="U571" s="57" t="str">
        <f t="shared" si="96"/>
        <v>OK</v>
      </c>
      <c r="V571" s="55" t="str">
        <f t="shared" si="99"/>
        <v/>
      </c>
      <c r="W571" s="55" t="str">
        <f>IF($V571="","",IF(COUNTIF($V$5:$V571,$V571)=1,1,""))</f>
        <v/>
      </c>
      <c r="X571" s="58" t="str">
        <f>IF($W571="","",MAX($X$4:X570)+1)</f>
        <v/>
      </c>
      <c r="Y571" s="62"/>
      <c r="Z571" s="62"/>
      <c r="AA571" s="64" t="str">
        <f>IF($C571="","",IFERROR(INDEX('Staff Directory'!$E$5:$E$594,MATCH($C571,'Staff Directory'!$B$5:$B$594,0)),""))</f>
        <v>firstname112.lastname112@example.com</v>
      </c>
      <c r="AB571" s="64" t="str">
        <f>IF($C571="","",IF(ISNUMBER(SEARCH($D571,Settings!$C$15)),"Pickup","Dispatch"))</f>
        <v>Pickup</v>
      </c>
      <c r="AC571" s="64" t="str">
        <f t="shared" si="100"/>
        <v>Supply order ready for pickup</v>
      </c>
      <c r="AD571" s="64" t="str">
        <f t="shared" si="91"/>
        <v>Dear PSW,
Your order is ready for pickup from Sample Branch, Wed-Fri 9am-4pm.</v>
      </c>
      <c r="AE571" s="64" t="str">
        <f t="shared" si="92"/>
        <v>mailto:firstname112.lastname112@example.com?subject=Supply%20order%20ready%20for%20pickup&amp;body=Dear%20PSW%2C%0A%0AYour%20order%20is%20ready%20for%20pickup%20from%20Sample%20Branch%2C%20Wed-Fri%209am-4pm.</v>
      </c>
      <c r="AF571" s="89" t="str">
        <f t="shared" si="101"/>
        <v>Draft email</v>
      </c>
      <c r="AG571" s="64" t="str">
        <f>IF($C571="","",IFERROR(INDEX('Staff Directory'!$K$595:$K$599,MATCH($C571,'Staff Directory'!$B$5:$B$599,0)),$D571))</f>
        <v>PSW</v>
      </c>
      <c r="AH571" t="str">
        <f>IF($C571="","",IFERROR(INDEX('Staff Directory'!$I$595:$I$599,MATCH($C571,'Staff Directory'!$B$5:$B$599,0))&amp;" "&amp;INDEX('Staff Directory'!$J$595:$J$599,MATCH($C571,'Staff Directory'!$B$5:$B$599,0)),$AG571))</f>
        <v>PSW</v>
      </c>
      <c r="AI571" s="102"/>
      <c r="AJ571" s="101">
        <f>IF($F571="","",SUMIFS($J$5:$J571,$F$5:$F571,$F571))</f>
        <v>4750</v>
      </c>
      <c r="AK571" s="101">
        <f t="shared" si="93"/>
        <v>4701</v>
      </c>
      <c r="AL571" s="66" t="str" cm="1">
        <f t="array" ref="AL571">IF($F571="","",IFERROR(INDEX('Lot Balance'!$B$5:$B$500,MATCH(1,INDEX(('Lot Balance'!$A$5:$A$500=$F571)*('Lot Balance'!$K$5:$K$500&lt;$AK571)*('Lot Balance'!$K$5:$K$500+'Lot Balance'!$D$5:$D$500&gt;=$AK571),0),0)),""))</f>
        <v>0125FPC24-0</v>
      </c>
      <c r="AM571" s="66" t="str" cm="1">
        <f t="array" ref="AM571">IF($F571="","",IFERROR(INDEX('Lot Balance'!$B$5:$B$500,MATCH(1,INDEX(('Lot Balance'!$A$5:$A$500=$F571)*('Lot Balance'!$K$5:$K$500&lt;$AJ571)*('Lot Balance'!$K$5:$K$500+'Lot Balance'!$D$5:$D$500&gt;=$AJ571),0),0)),""))</f>
        <v>0125FPC24-0</v>
      </c>
      <c r="AN571" s="66" t="str">
        <f>IF($F571="","",IF($AI571&lt;&gt;"",IF(COUNTIFS('Lot Balance'!$A$5:$A$500,$F571,'Lot Balance'!$B$5:$B$500,$AI571)=0,"⚠ override is not a lot of this item",IF($AI571=$AL571,"Override = FEFO","Override - FEFO says "&amp;$AL571)),IF($AL571="","⚠ no receipt on file for this item",IF($AM571&lt;&gt;$AL571,"FEFO auto - split, also "&amp;$AM571,"FEFO auto"))))</f>
        <v>FEFO auto</v>
      </c>
      <c r="AO571" s="114"/>
    </row>
    <row r="572" spans="1:41" x14ac:dyDescent="0.35">
      <c r="A572" s="74">
        <v>46148</v>
      </c>
      <c r="B572" s="18" t="str">
        <f>IF($C572="","",IFERROR(INDEX('Staff Directory'!$A$5:$A$594,MATCH($C572,'Staff Directory'!$B$5:$B$594,0)),"⚠ unknown staff"))</f>
        <v>PSW-082-A5</v>
      </c>
      <c r="C572" s="49" t="s">
        <v>1058</v>
      </c>
      <c r="D572" s="19" t="str">
        <f>IF($B572="","",IFERROR(INDEX('Staff Directory'!$C$5:$C$594,MATCH($B572,'Staff Directory'!$A$5:$A$594,0)),""))</f>
        <v>PSW</v>
      </c>
      <c r="E572" s="19" t="str">
        <f>IF($B572="","",IFERROR(INDEX('Staff Directory'!$D$5:$D$594,MATCH($B572,'Staff Directory'!$A$5:$A$594,0)),""))</f>
        <v>A5</v>
      </c>
      <c r="F572" s="9" t="s">
        <v>124</v>
      </c>
      <c r="G572" s="18" t="str">
        <f>IF($F572="","",IFERROR(INDEX(Items!$B$5:$B$597,MATCH($F572,Items!$A$5:$A$597,0)),"⚠ not in Items"))</f>
        <v>Gloves</v>
      </c>
      <c r="H572" s="19" t="str">
        <f>IF($F572="","",IFERROR(INDEX(Items!$C$5:$C$597,MATCH($F572,Items!$A$5:$A$597,0)),""))</f>
        <v>Large</v>
      </c>
      <c r="I572" s="23">
        <f>IF($F572="","",IFERROR(INDEX(Items!$E$5:$E$597,MATCH($F572,Items!$A$5:$A$597,0)),""))</f>
        <v>500</v>
      </c>
      <c r="J572" s="115">
        <f>IF(tblIssues[[#This Row],[Qty Override]]&lt;&gt;"",tblIssues[[#This Row],[Qty Override]],IF(tblIssues[[#This Row],[Standard Issue]]="","",tblIssues[[#This Row],[Standard Issue]]))</f>
        <v>500</v>
      </c>
      <c r="K572" s="20">
        <f>IF($F572="","",IFERROR(INDEX(Items!$D$5:$D$597,MATCH($F572,Items!$A$5:$A$597,0)),""))</f>
        <v>5.5E-2</v>
      </c>
      <c r="L572" s="21">
        <f t="shared" si="94"/>
        <v>27.5</v>
      </c>
      <c r="M572" s="9" t="str">
        <f t="shared" si="95"/>
        <v>ZIM511139904-1</v>
      </c>
      <c r="N572" s="24">
        <f>IF($A572="","",WORKDAY($A572,Settings!$C$9,HolidayDates))</f>
        <v>46156</v>
      </c>
      <c r="O572" s="24">
        <f>IF($N572="","",WORKDAY($N572,Settings!$C$10,HolidayDates))</f>
        <v>46196</v>
      </c>
      <c r="P572" s="10" t="s">
        <v>501</v>
      </c>
      <c r="Q572" s="52" t="str">
        <f t="shared" si="97"/>
        <v>Collected</v>
      </c>
      <c r="R572" s="55" t="str">
        <f t="shared" si="98"/>
        <v>2026-05</v>
      </c>
      <c r="S572" s="55">
        <f>IF(OR($B572="",$F572="",$R572=""),"",SUMIFS(tblIssues[Qty Issued],tblIssues[Staff ID],$B572,tblIssues[Item Name],$F572,tblIssues[Month],$R572))</f>
        <v>500</v>
      </c>
      <c r="T572" s="56">
        <f>IF($I572="","",$I572*Settings!$C$11)</f>
        <v>500</v>
      </c>
      <c r="U572" s="57" t="str">
        <f t="shared" si="96"/>
        <v>OK</v>
      </c>
      <c r="V572" s="55" t="str">
        <f t="shared" si="99"/>
        <v/>
      </c>
      <c r="W572" s="55" t="str">
        <f>IF($V572="","",IF(COUNTIF($V$5:$V572,$V572)=1,1,""))</f>
        <v/>
      </c>
      <c r="X572" s="58" t="str">
        <f>IF($W572="","",MAX($X$4:X571)+1)</f>
        <v/>
      </c>
      <c r="Y572" s="62"/>
      <c r="Z572" s="62"/>
      <c r="AA572" s="64" t="str">
        <f>IF($C572="","",IFERROR(INDEX('Staff Directory'!$E$5:$E$594,MATCH($C572,'Staff Directory'!$B$5:$B$594,0)),""))</f>
        <v>firstname142.lastname142@example.com</v>
      </c>
      <c r="AB572" s="64" t="str">
        <f>IF($C572="","",IF(ISNUMBER(SEARCH($D572,Settings!$C$15)),"Pickup","Dispatch"))</f>
        <v>Pickup</v>
      </c>
      <c r="AC572" s="64" t="str">
        <f t="shared" si="100"/>
        <v>Supply order ready for pickup</v>
      </c>
      <c r="AD572" s="64" t="str">
        <f t="shared" si="91"/>
        <v>Dear PSW,
Your order is ready for pickup from Sample Branch, Wed-Fri 9am-4pm.</v>
      </c>
      <c r="AE572" s="64" t="str">
        <f t="shared" si="92"/>
        <v>mailto:firstname142.lastname142@example.com?subject=Supply%20order%20ready%20for%20pickup&amp;body=Dear%20PSW%2C%0A%0AYour%20order%20is%20ready%20for%20pickup%20from%20Sample%20Branch%2C%20Wed-Fri%209am-4pm.</v>
      </c>
      <c r="AF572" s="89" t="str">
        <f t="shared" si="101"/>
        <v>Draft email</v>
      </c>
      <c r="AG572" s="64" t="str">
        <f>IF($C572="","",IFERROR(INDEX('Staff Directory'!$K$595:$K$599,MATCH($C572,'Staff Directory'!$B$5:$B$599,0)),$D572))</f>
        <v>PSW</v>
      </c>
      <c r="AH572" t="str">
        <f>IF($C572="","",IFERROR(INDEX('Staff Directory'!$I$595:$I$599,MATCH($C572,'Staff Directory'!$B$5:$B$599,0))&amp;" "&amp;INDEX('Staff Directory'!$J$595:$J$599,MATCH($C572,'Staff Directory'!$B$5:$B$599,0)),$AG572))</f>
        <v>PSW</v>
      </c>
      <c r="AI572" s="102"/>
      <c r="AJ572" s="101">
        <f>IF($F572="","",SUMIFS($J$5:$J572,$F$5:$F572,$F572))</f>
        <v>15500</v>
      </c>
      <c r="AK572" s="101">
        <f t="shared" si="93"/>
        <v>15001</v>
      </c>
      <c r="AL572" s="66" t="str" cm="1">
        <f t="array" ref="AL572">IF($F572="","",IFERROR(INDEX('Lot Balance'!$B$5:$B$500,MATCH(1,INDEX(('Lot Balance'!$A$5:$A$500=$F572)*('Lot Balance'!$K$5:$K$500&lt;$AK572)*('Lot Balance'!$K$5:$K$500+'Lot Balance'!$D$5:$D$500&gt;=$AK572),0),0)),""))</f>
        <v>ZIM511139904-1</v>
      </c>
      <c r="AM572" s="66" t="str" cm="1">
        <f t="array" ref="AM572">IF($F572="","",IFERROR(INDEX('Lot Balance'!$B$5:$B$500,MATCH(1,INDEX(('Lot Balance'!$A$5:$A$500=$F572)*('Lot Balance'!$K$5:$K$500&lt;$AJ572)*('Lot Balance'!$K$5:$K$500+'Lot Balance'!$D$5:$D$500&gt;=$AJ572),0),0)),""))</f>
        <v>ZIM511139904-1</v>
      </c>
      <c r="AN572" s="66" t="str">
        <f>IF($F572="","",IF($AI572&lt;&gt;"",IF(COUNTIFS('Lot Balance'!$A$5:$A$500,$F572,'Lot Balance'!$B$5:$B$500,$AI572)=0,"⚠ override is not a lot of this item",IF($AI572=$AL572,"Override = FEFO","Override - FEFO says "&amp;$AL572)),IF($AL572="","⚠ no receipt on file for this item",IF($AM572&lt;&gt;$AL572,"FEFO auto - split, also "&amp;$AM572,"FEFO auto"))))</f>
        <v>FEFO auto</v>
      </c>
      <c r="AO572" s="114"/>
    </row>
    <row r="573" spans="1:41" x14ac:dyDescent="0.35">
      <c r="A573" s="74">
        <v>46148</v>
      </c>
      <c r="B573" s="18" t="str">
        <f>IF($C573="","",IFERROR(INDEX('Staff Directory'!$A$5:$A$594,MATCH($C573,'Staff Directory'!$B$5:$B$594,0)),"⚠ unknown staff"))</f>
        <v>PSW-058-A5</v>
      </c>
      <c r="C573" s="49" t="s">
        <v>1034</v>
      </c>
      <c r="D573" s="19" t="str">
        <f>IF($B573="","",IFERROR(INDEX('Staff Directory'!$C$5:$C$594,MATCH($B573,'Staff Directory'!$A$5:$A$594,0)),""))</f>
        <v>PSW</v>
      </c>
      <c r="E573" s="19" t="str">
        <f>IF($B573="","",IFERROR(INDEX('Staff Directory'!$D$5:$D$594,MATCH($B573,'Staff Directory'!$A$5:$A$594,0)),""))</f>
        <v>A5</v>
      </c>
      <c r="F573" s="9" t="s">
        <v>127</v>
      </c>
      <c r="G573" s="18" t="str">
        <f>IF($F573="","",IFERROR(INDEX(Items!$B$5:$B$597,MATCH($F573,Items!$A$5:$A$597,0)),"⚠ not in Items"))</f>
        <v>Gloves</v>
      </c>
      <c r="H573" s="19" t="str">
        <f>IF($F573="","",IFERROR(INDEX(Items!$C$5:$C$597,MATCH($F573,Items!$A$5:$A$597,0)),""))</f>
        <v>Medium</v>
      </c>
      <c r="I573" s="23">
        <f>IF($F573="","",IFERROR(INDEX(Items!$E$5:$E$597,MATCH($F573,Items!$A$5:$A$597,0)),""))</f>
        <v>500</v>
      </c>
      <c r="J573" s="115">
        <f>IF(tblIssues[[#This Row],[Qty Override]]&lt;&gt;"",tblIssues[[#This Row],[Qty Override]],IF(tblIssues[[#This Row],[Standard Issue]]="","",tblIssues[[#This Row],[Standard Issue]]))</f>
        <v>500</v>
      </c>
      <c r="K573" s="20">
        <f>IF($F573="","",IFERROR(INDEX(Items!$D$5:$D$597,MATCH($F573,Items!$A$5:$A$597,0)),""))</f>
        <v>5.5E-2</v>
      </c>
      <c r="L573" s="21">
        <f t="shared" si="94"/>
        <v>27.5</v>
      </c>
      <c r="M573" s="9" t="str">
        <f t="shared" si="95"/>
        <v>ZIM504126040-2</v>
      </c>
      <c r="N573" s="24">
        <f>IF($A573="","",WORKDAY($A573,Settings!$C$9,HolidayDates))</f>
        <v>46156</v>
      </c>
      <c r="O573" s="24">
        <f>IF($N573="","",WORKDAY($N573,Settings!$C$10,HolidayDates))</f>
        <v>46196</v>
      </c>
      <c r="P573" s="10" t="s">
        <v>501</v>
      </c>
      <c r="Q573" s="52" t="str">
        <f t="shared" si="97"/>
        <v>Collected</v>
      </c>
      <c r="R573" s="55" t="str">
        <f t="shared" si="98"/>
        <v>2026-05</v>
      </c>
      <c r="S573" s="55">
        <f>IF(OR($B573="",$F573="",$R573=""),"",SUMIFS(tblIssues[Qty Issued],tblIssues[Staff ID],$B573,tblIssues[Item Name],$F573,tblIssues[Month],$R573))</f>
        <v>500</v>
      </c>
      <c r="T573" s="56">
        <f>IF($I573="","",$I573*Settings!$C$11)</f>
        <v>500</v>
      </c>
      <c r="U573" s="57" t="str">
        <f t="shared" si="96"/>
        <v>OK</v>
      </c>
      <c r="V573" s="55" t="str">
        <f t="shared" si="99"/>
        <v/>
      </c>
      <c r="W573" s="55" t="str">
        <f>IF($V573="","",IF(COUNTIF($V$5:$V573,$V573)=1,1,""))</f>
        <v/>
      </c>
      <c r="X573" s="58" t="str">
        <f>IF($W573="","",MAX($X$4:X572)+1)</f>
        <v/>
      </c>
      <c r="Y573" s="62"/>
      <c r="Z573" s="62"/>
      <c r="AA573" s="64" t="str">
        <f>IF($C573="","",IFERROR(INDEX('Staff Directory'!$E$5:$E$594,MATCH($C573,'Staff Directory'!$B$5:$B$594,0)),""))</f>
        <v>firstname118.lastname118@example.com</v>
      </c>
      <c r="AB573" s="64" t="str">
        <f>IF($C573="","",IF(ISNUMBER(SEARCH($D573,Settings!$C$15)),"Pickup","Dispatch"))</f>
        <v>Pickup</v>
      </c>
      <c r="AC573" s="64" t="str">
        <f t="shared" si="100"/>
        <v>Supply order ready for pickup</v>
      </c>
      <c r="AD573" s="64" t="str">
        <f t="shared" si="91"/>
        <v>Dear PSW,
Your order is ready for pickup from Sample Branch, Wed-Fri 9am-4pm.</v>
      </c>
      <c r="AE573" s="64" t="str">
        <f t="shared" si="92"/>
        <v>mailto:firstname118.lastname118@example.com?subject=Supply%20order%20ready%20for%20pickup&amp;body=Dear%20PSW%2C%0A%0AYour%20order%20is%20ready%20for%20pickup%20from%20Sample%20Branch%2C%20Wed-Fri%209am-4pm.</v>
      </c>
      <c r="AF573" s="89" t="str">
        <f t="shared" si="101"/>
        <v>Draft email</v>
      </c>
      <c r="AG573" s="64" t="str">
        <f>IF($C573="","",IFERROR(INDEX('Staff Directory'!$K$595:$K$599,MATCH($C573,'Staff Directory'!$B$5:$B$599,0)),$D573))</f>
        <v>PSW</v>
      </c>
      <c r="AH573" t="str">
        <f>IF($C573="","",IFERROR(INDEX('Staff Directory'!$I$595:$I$599,MATCH($C573,'Staff Directory'!$B$5:$B$599,0))&amp;" "&amp;INDEX('Staff Directory'!$J$595:$J$599,MATCH($C573,'Staff Directory'!$B$5:$B$599,0)),$AG573))</f>
        <v>PSW</v>
      </c>
      <c r="AI573" s="102"/>
      <c r="AJ573" s="101">
        <f>IF($F573="","",SUMIFS($J$5:$J573,$F$5:$F573,$F573))</f>
        <v>33500</v>
      </c>
      <c r="AK573" s="101">
        <f t="shared" si="93"/>
        <v>33001</v>
      </c>
      <c r="AL573" s="66" t="str" cm="1">
        <f t="array" ref="AL573">IF($F573="","",IFERROR(INDEX('Lot Balance'!$B$5:$B$500,MATCH(1,INDEX(('Lot Balance'!$A$5:$A$500=$F573)*('Lot Balance'!$K$5:$K$500&lt;$AK573)*('Lot Balance'!$K$5:$K$500+'Lot Balance'!$D$5:$D$500&gt;=$AK573),0),0)),""))</f>
        <v>ZIM504126040-2</v>
      </c>
      <c r="AM573" s="66" t="str" cm="1">
        <f t="array" ref="AM573">IF($F573="","",IFERROR(INDEX('Lot Balance'!$B$5:$B$500,MATCH(1,INDEX(('Lot Balance'!$A$5:$A$500=$F573)*('Lot Balance'!$K$5:$K$500&lt;$AJ573)*('Lot Balance'!$K$5:$K$500+'Lot Balance'!$D$5:$D$500&gt;=$AJ573),0),0)),""))</f>
        <v>ZIM504126040-2</v>
      </c>
      <c r="AN573" s="66" t="str">
        <f>IF($F573="","",IF($AI573&lt;&gt;"",IF(COUNTIFS('Lot Balance'!$A$5:$A$500,$F573,'Lot Balance'!$B$5:$B$500,$AI573)=0,"⚠ override is not a lot of this item",IF($AI573=$AL573,"Override = FEFO","Override - FEFO says "&amp;$AL573)),IF($AL573="","⚠ no receipt on file for this item",IF($AM573&lt;&gt;$AL573,"FEFO auto - split, also "&amp;$AM573,"FEFO auto"))))</f>
        <v>FEFO auto</v>
      </c>
      <c r="AO573" s="114"/>
    </row>
    <row r="574" spans="1:41" x14ac:dyDescent="0.35">
      <c r="A574" s="74">
        <v>46148</v>
      </c>
      <c r="B574" s="18" t="str">
        <f>IF($C574="","",IFERROR(INDEX('Staff Directory'!$A$5:$A$594,MATCH($C574,'Staff Directory'!$B$5:$B$594,0)),"⚠ unknown staff"))</f>
        <v>PSW-058-A5</v>
      </c>
      <c r="C574" s="49" t="s">
        <v>1034</v>
      </c>
      <c r="D574" s="19" t="str">
        <f>IF($B574="","",IFERROR(INDEX('Staff Directory'!$C$5:$C$594,MATCH($B574,'Staff Directory'!$A$5:$A$594,0)),""))</f>
        <v>PSW</v>
      </c>
      <c r="E574" s="19" t="str">
        <f>IF($B574="","",IFERROR(INDEX('Staff Directory'!$D$5:$D$594,MATCH($B574,'Staff Directory'!$A$5:$A$594,0)),""))</f>
        <v>A5</v>
      </c>
      <c r="F574" s="9" t="s">
        <v>115</v>
      </c>
      <c r="G574" s="18" t="str">
        <f>IF($F574="","",IFERROR(INDEX(Items!$B$5:$B$597,MATCH($F574,Items!$A$5:$A$597,0)),"⚠ not in Items"))</f>
        <v>Wipes</v>
      </c>
      <c r="H574" s="19">
        <f>IF($F574="","",IFERROR(INDEX(Items!$C$5:$C$597,MATCH($F574,Items!$A$5:$A$597,0)),""))</f>
        <v>80</v>
      </c>
      <c r="I574" s="23">
        <f>IF($F574="","",IFERROR(INDEX(Items!$E$5:$E$597,MATCH($F574,Items!$A$5:$A$597,0)),""))</f>
        <v>80</v>
      </c>
      <c r="J574" s="115">
        <f>IF(tblIssues[[#This Row],[Qty Override]]&lt;&gt;"",tblIssues[[#This Row],[Qty Override]],IF(tblIssues[[#This Row],[Standard Issue]]="","",tblIssues[[#This Row],[Standard Issue]]))</f>
        <v>80</v>
      </c>
      <c r="K574" s="20">
        <f>IF($F574="","",IFERROR(INDEX(Items!$D$5:$D$597,MATCH($F574,Items!$A$5:$A$597,0)),""))</f>
        <v>0.1</v>
      </c>
      <c r="L574" s="21">
        <f t="shared" si="94"/>
        <v>8</v>
      </c>
      <c r="M574" s="9" t="str">
        <f t="shared" si="95"/>
        <v>LYSL500290</v>
      </c>
      <c r="N574" s="24">
        <f>IF($A574="","",WORKDAY($A574,Settings!$C$9,HolidayDates))</f>
        <v>46156</v>
      </c>
      <c r="O574" s="24">
        <f>IF($N574="","",WORKDAY($N574,Settings!$C$10,HolidayDates))</f>
        <v>46196</v>
      </c>
      <c r="P574" s="10" t="s">
        <v>501</v>
      </c>
      <c r="Q574" s="52" t="str">
        <f t="shared" si="97"/>
        <v>Collected</v>
      </c>
      <c r="R574" s="55" t="str">
        <f t="shared" si="98"/>
        <v>2026-05</v>
      </c>
      <c r="S574" s="55">
        <f>IF(OR($B574="",$F574="",$R574=""),"",SUMIFS(tblIssues[Qty Issued],tblIssues[Staff ID],$B574,tblIssues[Item Name],$F574,tblIssues[Month],$R574))</f>
        <v>80</v>
      </c>
      <c r="T574" s="56">
        <f>IF($I574="","",$I574*Settings!$C$11)</f>
        <v>80</v>
      </c>
      <c r="U574" s="57" t="str">
        <f t="shared" si="96"/>
        <v>OK</v>
      </c>
      <c r="V574" s="55" t="str">
        <f t="shared" si="99"/>
        <v/>
      </c>
      <c r="W574" s="55" t="str">
        <f>IF($V574="","",IF(COUNTIF($V$5:$V574,$V574)=1,1,""))</f>
        <v/>
      </c>
      <c r="X574" s="58" t="str">
        <f>IF($W574="","",MAX($X$4:X573)+1)</f>
        <v/>
      </c>
      <c r="Y574" s="62"/>
      <c r="Z574" s="62"/>
      <c r="AA574" s="64" t="str">
        <f>IF($C574="","",IFERROR(INDEX('Staff Directory'!$E$5:$E$594,MATCH($C574,'Staff Directory'!$B$5:$B$594,0)),""))</f>
        <v>firstname118.lastname118@example.com</v>
      </c>
      <c r="AB574" s="64" t="str">
        <f>IF($C574="","",IF(ISNUMBER(SEARCH($D574,Settings!$C$15)),"Pickup","Dispatch"))</f>
        <v>Pickup</v>
      </c>
      <c r="AC574" s="64" t="str">
        <f t="shared" si="100"/>
        <v>Supply order ready for pickup</v>
      </c>
      <c r="AD574" s="64" t="str">
        <f t="shared" si="91"/>
        <v>Dear PSW,
Your order is ready for pickup from Sample Branch, Wed-Fri 9am-4pm.</v>
      </c>
      <c r="AE574" s="64" t="str">
        <f t="shared" si="92"/>
        <v>mailto:firstname118.lastname118@example.com?subject=Supply%20order%20ready%20for%20pickup&amp;body=Dear%20PSW%2C%0A%0AYour%20order%20is%20ready%20for%20pickup%20from%20Sample%20Branch%2C%20Wed-Fri%209am-4pm.</v>
      </c>
      <c r="AF574" s="89" t="str">
        <f t="shared" si="101"/>
        <v>Draft email</v>
      </c>
      <c r="AG574" s="64" t="str">
        <f>IF($C574="","",IFERROR(INDEX('Staff Directory'!$K$595:$K$599,MATCH($C574,'Staff Directory'!$B$5:$B$599,0)),$D574))</f>
        <v>PSW</v>
      </c>
      <c r="AH574" t="str">
        <f>IF($C574="","",IFERROR(INDEX('Staff Directory'!$I$595:$I$599,MATCH($C574,'Staff Directory'!$B$5:$B$599,0))&amp;" "&amp;INDEX('Staff Directory'!$J$595:$J$599,MATCH($C574,'Staff Directory'!$B$5:$B$599,0)),$AG574))</f>
        <v>PSW</v>
      </c>
      <c r="AI574" s="102"/>
      <c r="AJ574" s="101">
        <f>IF($F574="","",SUMIFS($J$5:$J574,$F$5:$F574,$F574))</f>
        <v>8400</v>
      </c>
      <c r="AK574" s="101">
        <f t="shared" si="93"/>
        <v>8321</v>
      </c>
      <c r="AL574" s="66" t="str" cm="1">
        <f t="array" ref="AL574">IF($F574="","",IFERROR(INDEX('Lot Balance'!$B$5:$B$500,MATCH(1,INDEX(('Lot Balance'!$A$5:$A$500=$F574)*('Lot Balance'!$K$5:$K$500&lt;$AK574)*('Lot Balance'!$K$5:$K$500+'Lot Balance'!$D$5:$D$500&gt;=$AK574),0),0)),""))</f>
        <v>LYSL500290</v>
      </c>
      <c r="AM574" s="66" t="str" cm="1">
        <f t="array" ref="AM574">IF($F574="","",IFERROR(INDEX('Lot Balance'!$B$5:$B$500,MATCH(1,INDEX(('Lot Balance'!$A$5:$A$500=$F574)*('Lot Balance'!$K$5:$K$500&lt;$AJ574)*('Lot Balance'!$K$5:$K$500+'Lot Balance'!$D$5:$D$500&gt;=$AJ574),0),0)),""))</f>
        <v>LYSL500290</v>
      </c>
      <c r="AN574" s="66" t="str">
        <f>IF($F574="","",IF($AI574&lt;&gt;"",IF(COUNTIFS('Lot Balance'!$A$5:$A$500,$F574,'Lot Balance'!$B$5:$B$500,$AI574)=0,"⚠ override is not a lot of this item",IF($AI574=$AL574,"Override = FEFO","Override - FEFO says "&amp;$AL574)),IF($AL574="","⚠ no receipt on file for this item",IF($AM574&lt;&gt;$AL574,"FEFO auto - split, also "&amp;$AM574,"FEFO auto"))))</f>
        <v>FEFO auto</v>
      </c>
      <c r="AO574" s="114"/>
    </row>
    <row r="575" spans="1:41" x14ac:dyDescent="0.35">
      <c r="A575" s="74">
        <v>46150</v>
      </c>
      <c r="B575" s="18" t="str">
        <f>IF($C575="","",IFERROR(INDEX('Staff Directory'!$A$5:$A$594,MATCH($C575,'Staff Directory'!$B$5:$B$594,0)),"⚠ unknown staff"))</f>
        <v>RN-002-A1</v>
      </c>
      <c r="C575" s="49" t="s">
        <v>918</v>
      </c>
      <c r="D575" s="19" t="str">
        <f>IF($B575="","",IFERROR(INDEX('Staff Directory'!$C$5:$C$594,MATCH($B575,'Staff Directory'!$A$5:$A$594,0)),""))</f>
        <v>RN</v>
      </c>
      <c r="E575" s="19" t="str">
        <f>IF($B575="","",IFERROR(INDEX('Staff Directory'!$D$5:$D$594,MATCH($B575,'Staff Directory'!$A$5:$A$594,0)),""))</f>
        <v>A1</v>
      </c>
      <c r="F575" s="9" t="s">
        <v>127</v>
      </c>
      <c r="G575" s="18" t="str">
        <f>IF($F575="","",IFERROR(INDEX(Items!$B$5:$B$597,MATCH($F575,Items!$A$5:$A$597,0)),"⚠ not in Items"))</f>
        <v>Gloves</v>
      </c>
      <c r="H575" s="19" t="str">
        <f>IF($F575="","",IFERROR(INDEX(Items!$C$5:$C$597,MATCH($F575,Items!$A$5:$A$597,0)),""))</f>
        <v>Medium</v>
      </c>
      <c r="I575" s="23">
        <f>IF($F575="","",IFERROR(INDEX(Items!$E$5:$E$597,MATCH($F575,Items!$A$5:$A$597,0)),""))</f>
        <v>500</v>
      </c>
      <c r="J575" s="115">
        <f>IF(tblIssues[[#This Row],[Qty Override]]&lt;&gt;"",tblIssues[[#This Row],[Qty Override]],IF(tblIssues[[#This Row],[Standard Issue]]="","",tblIssues[[#This Row],[Standard Issue]]))</f>
        <v>500</v>
      </c>
      <c r="K575" s="20">
        <f>IF($F575="","",IFERROR(INDEX(Items!$D$5:$D$597,MATCH($F575,Items!$A$5:$A$597,0)),""))</f>
        <v>5.5E-2</v>
      </c>
      <c r="L575" s="21">
        <f t="shared" si="94"/>
        <v>27.5</v>
      </c>
      <c r="M575" s="9" t="str">
        <f t="shared" si="95"/>
        <v>ZIM504126040-2</v>
      </c>
      <c r="N575" s="24">
        <f>IF($A575="","",WORKDAY($A575,Settings!$C$9,HolidayDates))</f>
        <v>46160</v>
      </c>
      <c r="O575" s="24">
        <f>IF($N575="","",WORKDAY($N575,Settings!$C$10,HolidayDates))</f>
        <v>46198</v>
      </c>
      <c r="P575" s="10" t="s">
        <v>502</v>
      </c>
      <c r="Q575" s="52" t="str">
        <f t="shared" si="97"/>
        <v>Collected</v>
      </c>
      <c r="R575" s="55" t="str">
        <f t="shared" si="98"/>
        <v>2026-05</v>
      </c>
      <c r="S575" s="55">
        <f>IF(OR($B575="",$F575="",$R575=""),"",SUMIFS(tblIssues[Qty Issued],tblIssues[Staff ID],$B575,tblIssues[Item Name],$F575,tblIssues[Month],$R575))</f>
        <v>500</v>
      </c>
      <c r="T575" s="56">
        <f>IF($I575="","",$I575*Settings!$C$11)</f>
        <v>500</v>
      </c>
      <c r="U575" s="57" t="str">
        <f t="shared" si="96"/>
        <v>OK</v>
      </c>
      <c r="V575" s="55" t="str">
        <f t="shared" si="99"/>
        <v/>
      </c>
      <c r="W575" s="55" t="str">
        <f>IF($V575="","",IF(COUNTIF($V$5:$V575,$V575)=1,1,""))</f>
        <v/>
      </c>
      <c r="X575" s="58" t="str">
        <f>IF($W575="","",MAX($X$4:X574)+1)</f>
        <v/>
      </c>
      <c r="Y575" s="62"/>
      <c r="Z575" s="62"/>
      <c r="AA575" s="64" t="str">
        <f>IF($C575="","",IFERROR(INDEX('Staff Directory'!$E$5:$E$594,MATCH($C575,'Staff Directory'!$B$5:$B$594,0)),""))</f>
        <v>firstname002.lastname002@example.com</v>
      </c>
      <c r="AB575" s="64" t="str">
        <f>IF($C575="","",IF(ISNUMBER(SEARCH($D575,Settings!$C$15)),"Pickup","Dispatch"))</f>
        <v>Dispatch</v>
      </c>
      <c r="AC575" s="64" t="str">
        <f t="shared" si="100"/>
        <v>Supply order dispatched</v>
      </c>
      <c r="AD575" s="64" t="str">
        <f t="shared" si="91"/>
        <v>Dear  ,
Your order has been dispatched and is in transit. Reply if undelivered.</v>
      </c>
      <c r="AE575" s="64" t="str">
        <f t="shared" si="92"/>
        <v>mailto:firstname002.lastname002@example.com?subject=Supply%20order%20dispatched&amp;body=Dear%20%20%2C%0A%0AYour%20order%20has%20been%20dispatched%20and%20is%20in%20transit.%20Reply%20if%20undelivered.</v>
      </c>
      <c r="AF575" s="89" t="str">
        <f t="shared" si="101"/>
        <v>Draft email</v>
      </c>
      <c r="AG575" s="64">
        <f>IF($C575="","",IFERROR(INDEX('Staff Directory'!$K$595:$K$599,MATCH($C575,'Staff Directory'!$B$5:$B$599,0)),$D575))</f>
        <v>0</v>
      </c>
      <c r="AH575" t="str">
        <f>IF($C575="","",IFERROR(INDEX('Staff Directory'!$I$595:$I$599,MATCH($C575,'Staff Directory'!$B$5:$B$599,0))&amp;" "&amp;INDEX('Staff Directory'!$J$595:$J$599,MATCH($C575,'Staff Directory'!$B$5:$B$599,0)),$AG575))</f>
        <v xml:space="preserve"> </v>
      </c>
      <c r="AI575" s="102"/>
      <c r="AJ575" s="101">
        <f>IF($F575="","",SUMIFS($J$5:$J575,$F$5:$F575,$F575))</f>
        <v>34000</v>
      </c>
      <c r="AK575" s="101">
        <f t="shared" si="93"/>
        <v>33501</v>
      </c>
      <c r="AL575" s="66" t="str" cm="1">
        <f t="array" ref="AL575">IF($F575="","",IFERROR(INDEX('Lot Balance'!$B$5:$B$500,MATCH(1,INDEX(('Lot Balance'!$A$5:$A$500=$F575)*('Lot Balance'!$K$5:$K$500&lt;$AK575)*('Lot Balance'!$K$5:$K$500+'Lot Balance'!$D$5:$D$500&gt;=$AK575),0),0)),""))</f>
        <v>ZIM504126040-2</v>
      </c>
      <c r="AM575" s="66" t="str" cm="1">
        <f t="array" ref="AM575">IF($F575="","",IFERROR(INDEX('Lot Balance'!$B$5:$B$500,MATCH(1,INDEX(('Lot Balance'!$A$5:$A$500=$F575)*('Lot Balance'!$K$5:$K$500&lt;$AJ575)*('Lot Balance'!$K$5:$K$500+'Lot Balance'!$D$5:$D$500&gt;=$AJ575),0),0)),""))</f>
        <v>ZIM504126040-2</v>
      </c>
      <c r="AN575" s="66" t="str">
        <f>IF($F575="","",IF($AI575&lt;&gt;"",IF(COUNTIFS('Lot Balance'!$A$5:$A$500,$F575,'Lot Balance'!$B$5:$B$500,$AI575)=0,"⚠ override is not a lot of this item",IF($AI575=$AL575,"Override = FEFO","Override - FEFO says "&amp;$AL575)),IF($AL575="","⚠ no receipt on file for this item",IF($AM575&lt;&gt;$AL575,"FEFO auto - split, also "&amp;$AM575,"FEFO auto"))))</f>
        <v>FEFO auto</v>
      </c>
      <c r="AO575" s="114"/>
    </row>
    <row r="576" spans="1:41" x14ac:dyDescent="0.35">
      <c r="A576" s="74">
        <v>46150</v>
      </c>
      <c r="B576" s="18" t="str">
        <f>IF($C576="","",IFERROR(INDEX('Staff Directory'!$A$5:$A$594,MATCH($C576,'Staff Directory'!$B$5:$B$594,0)),"⚠ unknown staff"))</f>
        <v>RN-002-A1</v>
      </c>
      <c r="C576" s="49" t="s">
        <v>918</v>
      </c>
      <c r="D576" s="19" t="str">
        <f>IF($B576="","",IFERROR(INDEX('Staff Directory'!$C$5:$C$594,MATCH($B576,'Staff Directory'!$A$5:$A$594,0)),""))</f>
        <v>RN</v>
      </c>
      <c r="E576" s="19" t="str">
        <f>IF($B576="","",IFERROR(INDEX('Staff Directory'!$D$5:$D$594,MATCH($B576,'Staff Directory'!$A$5:$A$594,0)),""))</f>
        <v>A1</v>
      </c>
      <c r="F576" s="9" t="s">
        <v>191</v>
      </c>
      <c r="G576" s="18" t="str">
        <f>IF($F576="","",IFERROR(INDEX(Items!$B$5:$B$597,MATCH($F576,Items!$A$5:$A$597,0)),"⚠ not in Items"))</f>
        <v>Sanitizer</v>
      </c>
      <c r="H576" s="19" t="str">
        <f>IF($F576="","",IFERROR(INDEX(Items!$C$5:$C$597,MATCH($F576,Items!$A$5:$A$597,0)),""))</f>
        <v>236 ML</v>
      </c>
      <c r="I576" s="23">
        <f>IF($F576="","",IFERROR(INDEX(Items!$E$5:$E$597,MATCH($F576,Items!$A$5:$A$597,0)),""))</f>
        <v>1</v>
      </c>
      <c r="J576" s="115">
        <f>IF(tblIssues[[#This Row],[Qty Override]]&lt;&gt;"",tblIssues[[#This Row],[Qty Override]],IF(tblIssues[[#This Row],[Standard Issue]]="","",tblIssues[[#This Row],[Standard Issue]]))</f>
        <v>1</v>
      </c>
      <c r="K576" s="20">
        <f>IF($F576="","",IFERROR(INDEX(Items!$D$5:$D$597,MATCH($F576,Items!$A$5:$A$597,0)),""))</f>
        <v>1E-4</v>
      </c>
      <c r="L576" s="21">
        <f t="shared" si="94"/>
        <v>1E-4</v>
      </c>
      <c r="M576" s="9" t="str">
        <f t="shared" si="95"/>
        <v>20-21734-2</v>
      </c>
      <c r="N576" s="24">
        <f>IF($A576="","",WORKDAY($A576,Settings!$C$9,HolidayDates))</f>
        <v>46160</v>
      </c>
      <c r="O576" s="24">
        <f>IF($N576="","",WORKDAY($N576,Settings!$C$10,HolidayDates))</f>
        <v>46198</v>
      </c>
      <c r="P576" s="10" t="s">
        <v>502</v>
      </c>
      <c r="Q576" s="52" t="str">
        <f t="shared" si="97"/>
        <v>Collected</v>
      </c>
      <c r="R576" s="55" t="str">
        <f t="shared" si="98"/>
        <v>2026-05</v>
      </c>
      <c r="S576" s="55">
        <f>IF(OR($B576="",$F576="",$R576=""),"",SUMIFS(tblIssues[Qty Issued],tblIssues[Staff ID],$B576,tblIssues[Item Name],$F576,tblIssues[Month],$R576))</f>
        <v>1</v>
      </c>
      <c r="T576" s="56">
        <f>IF($I576="","",$I576*Settings!$C$11)</f>
        <v>1</v>
      </c>
      <c r="U576" s="57" t="str">
        <f t="shared" si="96"/>
        <v>OK</v>
      </c>
      <c r="V576" s="55" t="str">
        <f t="shared" si="99"/>
        <v/>
      </c>
      <c r="W576" s="55" t="str">
        <f>IF($V576="","",IF(COUNTIF($V$5:$V576,$V576)=1,1,""))</f>
        <v/>
      </c>
      <c r="X576" s="58" t="str">
        <f>IF($W576="","",MAX($X$4:X575)+1)</f>
        <v/>
      </c>
      <c r="Y576" s="62"/>
      <c r="Z576" s="62"/>
      <c r="AA576" s="64" t="str">
        <f>IF($C576="","",IFERROR(INDEX('Staff Directory'!$E$5:$E$594,MATCH($C576,'Staff Directory'!$B$5:$B$594,0)),""))</f>
        <v>firstname002.lastname002@example.com</v>
      </c>
      <c r="AB576" s="64" t="str">
        <f>IF($C576="","",IF(ISNUMBER(SEARCH($D576,Settings!$C$15)),"Pickup","Dispatch"))</f>
        <v>Dispatch</v>
      </c>
      <c r="AC576" s="64" t="str">
        <f t="shared" si="100"/>
        <v>Supply order dispatched</v>
      </c>
      <c r="AD576" s="64" t="str">
        <f t="shared" si="91"/>
        <v>Dear  ,
Your order has been dispatched and is in transit. Reply if undelivered.</v>
      </c>
      <c r="AE576" s="64" t="str">
        <f t="shared" si="92"/>
        <v>mailto:firstname002.lastname002@example.com?subject=Supply%20order%20dispatched&amp;body=Dear%20%20%2C%0A%0AYour%20order%20has%20been%20dispatched%20and%20is%20in%20transit.%20Reply%20if%20undelivered.</v>
      </c>
      <c r="AF576" s="89" t="str">
        <f t="shared" si="101"/>
        <v>Draft email</v>
      </c>
      <c r="AG576" s="64">
        <f>IF($C576="","",IFERROR(INDEX('Staff Directory'!$K$595:$K$599,MATCH($C576,'Staff Directory'!$B$5:$B$599,0)),$D576))</f>
        <v>0</v>
      </c>
      <c r="AH576" t="str">
        <f>IF($C576="","",IFERROR(INDEX('Staff Directory'!$I$595:$I$599,MATCH($C576,'Staff Directory'!$B$5:$B$599,0))&amp;" "&amp;INDEX('Staff Directory'!$J$595:$J$599,MATCH($C576,'Staff Directory'!$B$5:$B$599,0)),$AG576))</f>
        <v xml:space="preserve"> </v>
      </c>
      <c r="AI576" s="102"/>
      <c r="AJ576" s="101">
        <f>IF($F576="","",SUMIFS($J$5:$J576,$F$5:$F576,$F576))</f>
        <v>65</v>
      </c>
      <c r="AK576" s="101">
        <f t="shared" si="93"/>
        <v>65</v>
      </c>
      <c r="AL576" s="66" t="str" cm="1">
        <f t="array" ref="AL576">IF($F576="","",IFERROR(INDEX('Lot Balance'!$B$5:$B$500,MATCH(1,INDEX(('Lot Balance'!$A$5:$A$500=$F576)*('Lot Balance'!$K$5:$K$500&lt;$AK576)*('Lot Balance'!$K$5:$K$500+'Lot Balance'!$D$5:$D$500&gt;=$AK576),0),0)),""))</f>
        <v>20-21734-2</v>
      </c>
      <c r="AM576" s="66" t="str" cm="1">
        <f t="array" ref="AM576">IF($F576="","",IFERROR(INDEX('Lot Balance'!$B$5:$B$500,MATCH(1,INDEX(('Lot Balance'!$A$5:$A$500=$F576)*('Lot Balance'!$K$5:$K$500&lt;$AJ576)*('Lot Balance'!$K$5:$K$500+'Lot Balance'!$D$5:$D$500&gt;=$AJ576),0),0)),""))</f>
        <v>20-21734-2</v>
      </c>
      <c r="AN576" s="66" t="str">
        <f>IF($F576="","",IF($AI576&lt;&gt;"",IF(COUNTIFS('Lot Balance'!$A$5:$A$500,$F576,'Lot Balance'!$B$5:$B$500,$AI576)=0,"⚠ override is not a lot of this item",IF($AI576=$AL576,"Override = FEFO","Override - FEFO says "&amp;$AL576)),IF($AL576="","⚠ no receipt on file for this item",IF($AM576&lt;&gt;$AL576,"FEFO auto - split, also "&amp;$AM576,"FEFO auto"))))</f>
        <v>FEFO auto</v>
      </c>
      <c r="AO576" s="114"/>
    </row>
    <row r="577" spans="1:41" x14ac:dyDescent="0.35">
      <c r="A577" s="74">
        <v>46150</v>
      </c>
      <c r="B577" s="18" t="str">
        <f>IF($C577="","",IFERROR(INDEX('Staff Directory'!$A$5:$A$594,MATCH($C577,'Staff Directory'!$B$5:$B$594,0)),"⚠ unknown staff"))</f>
        <v>RN-002-A1</v>
      </c>
      <c r="C577" s="49" t="s">
        <v>918</v>
      </c>
      <c r="D577" s="19" t="str">
        <f>IF($B577="","",IFERROR(INDEX('Staff Directory'!$C$5:$C$594,MATCH($B577,'Staff Directory'!$A$5:$A$594,0)),""))</f>
        <v>RN</v>
      </c>
      <c r="E577" s="19" t="str">
        <f>IF($B577="","",IFERROR(INDEX('Staff Directory'!$D$5:$D$594,MATCH($B577,'Staff Directory'!$A$5:$A$594,0)),""))</f>
        <v>A1</v>
      </c>
      <c r="F577" s="9" t="s">
        <v>115</v>
      </c>
      <c r="G577" s="18" t="str">
        <f>IF($F577="","",IFERROR(INDEX(Items!$B$5:$B$597,MATCH($F577,Items!$A$5:$A$597,0)),"⚠ not in Items"))</f>
        <v>Wipes</v>
      </c>
      <c r="H577" s="19">
        <f>IF($F577="","",IFERROR(INDEX(Items!$C$5:$C$597,MATCH($F577,Items!$A$5:$A$597,0)),""))</f>
        <v>80</v>
      </c>
      <c r="I577" s="23">
        <f>IF($F577="","",IFERROR(INDEX(Items!$E$5:$E$597,MATCH($F577,Items!$A$5:$A$597,0)),""))</f>
        <v>80</v>
      </c>
      <c r="J577" s="115">
        <f>IF(tblIssues[[#This Row],[Qty Override]]&lt;&gt;"",tblIssues[[#This Row],[Qty Override]],IF(tblIssues[[#This Row],[Standard Issue]]="","",tblIssues[[#This Row],[Standard Issue]]))</f>
        <v>80</v>
      </c>
      <c r="K577" s="20">
        <f>IF($F577="","",IFERROR(INDEX(Items!$D$5:$D$597,MATCH($F577,Items!$A$5:$A$597,0)),""))</f>
        <v>0.1</v>
      </c>
      <c r="L577" s="21">
        <f t="shared" si="94"/>
        <v>8</v>
      </c>
      <c r="M577" s="9" t="str">
        <f t="shared" si="95"/>
        <v>LYSL500290</v>
      </c>
      <c r="N577" s="24">
        <f>IF($A577="","",WORKDAY($A577,Settings!$C$9,HolidayDates))</f>
        <v>46160</v>
      </c>
      <c r="O577" s="24">
        <f>IF($N577="","",WORKDAY($N577,Settings!$C$10,HolidayDates))</f>
        <v>46198</v>
      </c>
      <c r="P577" s="10" t="s">
        <v>502</v>
      </c>
      <c r="Q577" s="52" t="str">
        <f t="shared" si="97"/>
        <v>Collected</v>
      </c>
      <c r="R577" s="55" t="str">
        <f t="shared" si="98"/>
        <v>2026-05</v>
      </c>
      <c r="S577" s="55">
        <f>IF(OR($B577="",$F577="",$R577=""),"",SUMIFS(tblIssues[Qty Issued],tblIssues[Staff ID],$B577,tblIssues[Item Name],$F577,tblIssues[Month],$R577))</f>
        <v>80</v>
      </c>
      <c r="T577" s="56">
        <f>IF($I577="","",$I577*Settings!$C$11)</f>
        <v>80</v>
      </c>
      <c r="U577" s="57" t="str">
        <f t="shared" si="96"/>
        <v>OK</v>
      </c>
      <c r="V577" s="55" t="str">
        <f t="shared" si="99"/>
        <v/>
      </c>
      <c r="W577" s="55" t="str">
        <f>IF($V577="","",IF(COUNTIF($V$5:$V577,$V577)=1,1,""))</f>
        <v/>
      </c>
      <c r="X577" s="58" t="str">
        <f>IF($W577="","",MAX($X$4:X576)+1)</f>
        <v/>
      </c>
      <c r="Y577" s="62"/>
      <c r="Z577" s="62"/>
      <c r="AA577" s="64" t="str">
        <f>IF($C577="","",IFERROR(INDEX('Staff Directory'!$E$5:$E$594,MATCH($C577,'Staff Directory'!$B$5:$B$594,0)),""))</f>
        <v>firstname002.lastname002@example.com</v>
      </c>
      <c r="AB577" s="64" t="str">
        <f>IF($C577="","",IF(ISNUMBER(SEARCH($D577,Settings!$C$15)),"Pickup","Dispatch"))</f>
        <v>Dispatch</v>
      </c>
      <c r="AC577" s="64" t="str">
        <f t="shared" si="100"/>
        <v>Supply order dispatched</v>
      </c>
      <c r="AD577" s="64" t="str">
        <f t="shared" si="91"/>
        <v>Dear  ,
Your order has been dispatched and is in transit. Reply if undelivered.</v>
      </c>
      <c r="AE577" s="64" t="str">
        <f t="shared" si="92"/>
        <v>mailto:firstname002.lastname002@example.com?subject=Supply%20order%20dispatched&amp;body=Dear%20%20%2C%0A%0AYour%20order%20has%20been%20dispatched%20and%20is%20in%20transit.%20Reply%20if%20undelivered.</v>
      </c>
      <c r="AF577" s="89" t="str">
        <f t="shared" si="101"/>
        <v>Draft email</v>
      </c>
      <c r="AG577" s="64">
        <f>IF($C577="","",IFERROR(INDEX('Staff Directory'!$K$595:$K$599,MATCH($C577,'Staff Directory'!$B$5:$B$599,0)),$D577))</f>
        <v>0</v>
      </c>
      <c r="AH577" t="str">
        <f>IF($C577="","",IFERROR(INDEX('Staff Directory'!$I$595:$I$599,MATCH($C577,'Staff Directory'!$B$5:$B$599,0))&amp;" "&amp;INDEX('Staff Directory'!$J$595:$J$599,MATCH($C577,'Staff Directory'!$B$5:$B$599,0)),$AG577))</f>
        <v xml:space="preserve"> </v>
      </c>
      <c r="AI577" s="102"/>
      <c r="AJ577" s="101">
        <f>IF($F577="","",SUMIFS($J$5:$J577,$F$5:$F577,$F577))</f>
        <v>8480</v>
      </c>
      <c r="AK577" s="101">
        <f t="shared" si="93"/>
        <v>8401</v>
      </c>
      <c r="AL577" s="66" t="str" cm="1">
        <f t="array" ref="AL577">IF($F577="","",IFERROR(INDEX('Lot Balance'!$B$5:$B$500,MATCH(1,INDEX(('Lot Balance'!$A$5:$A$500=$F577)*('Lot Balance'!$K$5:$K$500&lt;$AK577)*('Lot Balance'!$K$5:$K$500+'Lot Balance'!$D$5:$D$500&gt;=$AK577),0),0)),""))</f>
        <v>LYSL500290</v>
      </c>
      <c r="AM577" s="66" t="str" cm="1">
        <f t="array" ref="AM577">IF($F577="","",IFERROR(INDEX('Lot Balance'!$B$5:$B$500,MATCH(1,INDEX(('Lot Balance'!$A$5:$A$500=$F577)*('Lot Balance'!$K$5:$K$500&lt;$AJ577)*('Lot Balance'!$K$5:$K$500+'Lot Balance'!$D$5:$D$500&gt;=$AJ577),0),0)),""))</f>
        <v>LYSL500290</v>
      </c>
      <c r="AN577" s="66" t="str">
        <f>IF($F577="","",IF($AI577&lt;&gt;"",IF(COUNTIFS('Lot Balance'!$A$5:$A$500,$F577,'Lot Balance'!$B$5:$B$500,$AI577)=0,"⚠ override is not a lot of this item",IF($AI577=$AL577,"Override = FEFO","Override - FEFO says "&amp;$AL577)),IF($AL577="","⚠ no receipt on file for this item",IF($AM577&lt;&gt;$AL577,"FEFO auto - split, also "&amp;$AM577,"FEFO auto"))))</f>
        <v>FEFO auto</v>
      </c>
      <c r="AO577" s="114"/>
    </row>
    <row r="578" spans="1:41" x14ac:dyDescent="0.35">
      <c r="A578" s="74">
        <v>46150</v>
      </c>
      <c r="B578" s="18" t="str">
        <f>IF($C578="","",IFERROR(INDEX('Staff Directory'!$A$5:$A$594,MATCH($C578,'Staff Directory'!$B$5:$B$594,0)),"⚠ unknown staff"))</f>
        <v>RN-002-A1</v>
      </c>
      <c r="C578" s="49" t="s">
        <v>918</v>
      </c>
      <c r="D578" s="19" t="str">
        <f>IF($B578="","",IFERROR(INDEX('Staff Directory'!$C$5:$C$594,MATCH($B578,'Staff Directory'!$A$5:$A$594,0)),""))</f>
        <v>RN</v>
      </c>
      <c r="E578" s="19" t="str">
        <f>IF($B578="","",IFERROR(INDEX('Staff Directory'!$D$5:$D$594,MATCH($B578,'Staff Directory'!$A$5:$A$594,0)),""))</f>
        <v>A1</v>
      </c>
      <c r="F578" s="9" t="s">
        <v>156</v>
      </c>
      <c r="G578" s="18" t="str">
        <f>IF($F578="","",IFERROR(INDEX(Items!$B$5:$B$597,MATCH($F578,Items!$A$5:$A$597,0)),"⚠ not in Items"))</f>
        <v>Masks</v>
      </c>
      <c r="H578" s="19" t="str">
        <f>IF($F578="","",IFERROR(INDEX(Items!$C$5:$C$597,MATCH($F578,Items!$A$5:$A$597,0)),""))</f>
        <v>One Size</v>
      </c>
      <c r="I578" s="23">
        <f>IF($F578="","",IFERROR(INDEX(Items!$E$5:$E$597,MATCH($F578,Items!$A$5:$A$597,0)),""))</f>
        <v>50</v>
      </c>
      <c r="J578" s="115">
        <f>IF(tblIssues[[#This Row],[Qty Override]]&lt;&gt;"",tblIssues[[#This Row],[Qty Override]],IF(tblIssues[[#This Row],[Standard Issue]]="","",tblIssues[[#This Row],[Standard Issue]]))</f>
        <v>50</v>
      </c>
      <c r="K578" s="20">
        <f>IF($F578="","",IFERROR(INDEX(Items!$D$5:$D$597,MATCH($F578,Items!$A$5:$A$597,0)),""))</f>
        <v>0.25</v>
      </c>
      <c r="L578" s="21">
        <f t="shared" si="94"/>
        <v>12.5</v>
      </c>
      <c r="M578" s="9" t="str">
        <f t="shared" si="95"/>
        <v>0125FPC24-0</v>
      </c>
      <c r="N578" s="24">
        <f>IF($A578="","",WORKDAY($A578,Settings!$C$9,HolidayDates))</f>
        <v>46160</v>
      </c>
      <c r="O578" s="24">
        <f>IF($N578="","",WORKDAY($N578,Settings!$C$10,HolidayDates))</f>
        <v>46198</v>
      </c>
      <c r="P578" s="10" t="s">
        <v>502</v>
      </c>
      <c r="Q578" s="52" t="str">
        <f t="shared" si="97"/>
        <v>Collected</v>
      </c>
      <c r="R578" s="55" t="str">
        <f t="shared" si="98"/>
        <v>2026-05</v>
      </c>
      <c r="S578" s="55">
        <f>IF(OR($B578="",$F578="",$R578=""),"",SUMIFS(tblIssues[Qty Issued],tblIssues[Staff ID],$B578,tblIssues[Item Name],$F578,tblIssues[Month],$R578))</f>
        <v>50</v>
      </c>
      <c r="T578" s="56">
        <f>IF($I578="","",$I578*Settings!$C$11)</f>
        <v>50</v>
      </c>
      <c r="U578" s="57" t="str">
        <f t="shared" si="96"/>
        <v>OK</v>
      </c>
      <c r="V578" s="55" t="str">
        <f t="shared" si="99"/>
        <v/>
      </c>
      <c r="W578" s="55" t="str">
        <f>IF($V578="","",IF(COUNTIF($V$5:$V578,$V578)=1,1,""))</f>
        <v/>
      </c>
      <c r="X578" s="58" t="str">
        <f>IF($W578="","",MAX($X$4:X577)+1)</f>
        <v/>
      </c>
      <c r="Y578" s="62"/>
      <c r="Z578" s="62"/>
      <c r="AA578" s="64" t="str">
        <f>IF($C578="","",IFERROR(INDEX('Staff Directory'!$E$5:$E$594,MATCH($C578,'Staff Directory'!$B$5:$B$594,0)),""))</f>
        <v>firstname002.lastname002@example.com</v>
      </c>
      <c r="AB578" s="64" t="str">
        <f>IF($C578="","",IF(ISNUMBER(SEARCH($D578,Settings!$C$15)),"Pickup","Dispatch"))</f>
        <v>Dispatch</v>
      </c>
      <c r="AC578" s="64" t="str">
        <f t="shared" si="100"/>
        <v>Supply order dispatched</v>
      </c>
      <c r="AD578" s="64" t="str">
        <f t="shared" si="91"/>
        <v>Dear  ,
Your order has been dispatched and is in transit. Reply if undelivered.</v>
      </c>
      <c r="AE578" s="64" t="str">
        <f t="shared" si="92"/>
        <v>mailto:firstname002.lastname002@example.com?subject=Supply%20order%20dispatched&amp;body=Dear%20%20%2C%0A%0AYour%20order%20has%20been%20dispatched%20and%20is%20in%20transit.%20Reply%20if%20undelivered.</v>
      </c>
      <c r="AF578" s="89" t="str">
        <f t="shared" si="101"/>
        <v>Draft email</v>
      </c>
      <c r="AG578" s="64">
        <f>IF($C578="","",IFERROR(INDEX('Staff Directory'!$K$595:$K$599,MATCH($C578,'Staff Directory'!$B$5:$B$599,0)),$D578))</f>
        <v>0</v>
      </c>
      <c r="AH578" t="str">
        <f>IF($C578="","",IFERROR(INDEX('Staff Directory'!$I$595:$I$599,MATCH($C578,'Staff Directory'!$B$5:$B$599,0))&amp;" "&amp;INDEX('Staff Directory'!$J$595:$J$599,MATCH($C578,'Staff Directory'!$B$5:$B$599,0)),$AG578))</f>
        <v xml:space="preserve"> </v>
      </c>
      <c r="AI578" s="102"/>
      <c r="AJ578" s="101">
        <f>IF($F578="","",SUMIFS($J$5:$J578,$F$5:$F578,$F578))</f>
        <v>4800</v>
      </c>
      <c r="AK578" s="101">
        <f t="shared" si="93"/>
        <v>4751</v>
      </c>
      <c r="AL578" s="66" t="str" cm="1">
        <f t="array" ref="AL578">IF($F578="","",IFERROR(INDEX('Lot Balance'!$B$5:$B$500,MATCH(1,INDEX(('Lot Balance'!$A$5:$A$500=$F578)*('Lot Balance'!$K$5:$K$500&lt;$AK578)*('Lot Balance'!$K$5:$K$500+'Lot Balance'!$D$5:$D$500&gt;=$AK578),0),0)),""))</f>
        <v>0125FPC24-0</v>
      </c>
      <c r="AM578" s="66" t="str" cm="1">
        <f t="array" ref="AM578">IF($F578="","",IFERROR(INDEX('Lot Balance'!$B$5:$B$500,MATCH(1,INDEX(('Lot Balance'!$A$5:$A$500=$F578)*('Lot Balance'!$K$5:$K$500&lt;$AJ578)*('Lot Balance'!$K$5:$K$500+'Lot Balance'!$D$5:$D$500&gt;=$AJ578),0),0)),""))</f>
        <v>0125FPC24-0</v>
      </c>
      <c r="AN578" s="66" t="str">
        <f>IF($F578="","",IF($AI578&lt;&gt;"",IF(COUNTIFS('Lot Balance'!$A$5:$A$500,$F578,'Lot Balance'!$B$5:$B$500,$AI578)=0,"⚠ override is not a lot of this item",IF($AI578=$AL578,"Override = FEFO","Override - FEFO says "&amp;$AL578)),IF($AL578="","⚠ no receipt on file for this item",IF($AM578&lt;&gt;$AL578,"FEFO auto - split, also "&amp;$AM578,"FEFO auto"))))</f>
        <v>FEFO auto</v>
      </c>
      <c r="AO578" s="114"/>
    </row>
    <row r="579" spans="1:41" x14ac:dyDescent="0.35">
      <c r="A579" s="74">
        <v>46150</v>
      </c>
      <c r="B579" s="18" t="str">
        <f>IF($C579="","",IFERROR(INDEX('Staff Directory'!$A$5:$A$594,MATCH($C579,'Staff Directory'!$B$5:$B$594,0)),"⚠ unknown staff"))</f>
        <v>RN-002-A1</v>
      </c>
      <c r="C579" s="49" t="s">
        <v>918</v>
      </c>
      <c r="D579" s="19" t="str">
        <f>IF($B579="","",IFERROR(INDEX('Staff Directory'!$C$5:$C$594,MATCH($B579,'Staff Directory'!$A$5:$A$594,0)),""))</f>
        <v>RN</v>
      </c>
      <c r="E579" s="19" t="str">
        <f>IF($B579="","",IFERROR(INDEX('Staff Directory'!$D$5:$D$594,MATCH($B579,'Staff Directory'!$A$5:$A$594,0)),""))</f>
        <v>A1</v>
      </c>
      <c r="F579" s="9" t="s">
        <v>154</v>
      </c>
      <c r="G579" s="18" t="str">
        <f>IF($F579="","",IFERROR(INDEX(Items!$B$5:$B$597,MATCH($F579,Items!$A$5:$A$597,0)),"⚠ not in Items"))</f>
        <v>IPAC</v>
      </c>
      <c r="H579" s="19" t="str">
        <f>IF($F579="","",IFERROR(INDEX(Items!$C$5:$C$597,MATCH($F579,Items!$A$5:$A$597,0)),""))</f>
        <v>Regular</v>
      </c>
      <c r="I579" s="23">
        <f>IF($F579="","",IFERROR(INDEX(Items!$E$5:$E$597,MATCH($F579,Items!$A$5:$A$597,0)),""))</f>
        <v>50</v>
      </c>
      <c r="J579" s="115">
        <f>IF(tblIssues[[#This Row],[Qty Override]]&lt;&gt;"",tblIssues[[#This Row],[Qty Override]],IF(tblIssues[[#This Row],[Standard Issue]]="","",tblIssues[[#This Row],[Standard Issue]]))</f>
        <v>50</v>
      </c>
      <c r="K579" s="20">
        <f>IF($F579="","",IFERROR(INDEX(Items!$D$5:$D$597,MATCH($F579,Items!$A$5:$A$597,0)),""))</f>
        <v>0.2</v>
      </c>
      <c r="L579" s="21">
        <f t="shared" si="94"/>
        <v>10</v>
      </c>
      <c r="M579" s="9">
        <f t="shared" si="95"/>
        <v>3024</v>
      </c>
      <c r="N579" s="24">
        <f>IF($A579="","",WORKDAY($A579,Settings!$C$9,HolidayDates))</f>
        <v>46160</v>
      </c>
      <c r="O579" s="24">
        <f>IF($N579="","",WORKDAY($N579,Settings!$C$10,HolidayDates))</f>
        <v>46198</v>
      </c>
      <c r="P579" s="10" t="s">
        <v>502</v>
      </c>
      <c r="Q579" s="52" t="str">
        <f t="shared" si="97"/>
        <v>Collected</v>
      </c>
      <c r="R579" s="55" t="str">
        <f t="shared" si="98"/>
        <v>2026-05</v>
      </c>
      <c r="S579" s="55">
        <f>IF(OR($B579="",$F579="",$R579=""),"",SUMIFS(tblIssues[Qty Issued],tblIssues[Staff ID],$B579,tblIssues[Item Name],$F579,tblIssues[Month],$R579))</f>
        <v>50</v>
      </c>
      <c r="T579" s="56">
        <f>IF($I579="","",$I579*Settings!$C$11)</f>
        <v>50</v>
      </c>
      <c r="U579" s="57" t="str">
        <f t="shared" si="96"/>
        <v>OK</v>
      </c>
      <c r="V579" s="55" t="str">
        <f t="shared" si="99"/>
        <v/>
      </c>
      <c r="W579" s="55" t="str">
        <f>IF($V579="","",IF(COUNTIF($V$5:$V579,$V579)=1,1,""))</f>
        <v/>
      </c>
      <c r="X579" s="58" t="str">
        <f>IF($W579="","",MAX($X$4:X578)+1)</f>
        <v/>
      </c>
      <c r="Y579" s="62"/>
      <c r="Z579" s="62"/>
      <c r="AA579" s="64" t="str">
        <f>IF($C579="","",IFERROR(INDEX('Staff Directory'!$E$5:$E$594,MATCH($C579,'Staff Directory'!$B$5:$B$594,0)),""))</f>
        <v>firstname002.lastname002@example.com</v>
      </c>
      <c r="AB579" s="64" t="str">
        <f>IF($C579="","",IF(ISNUMBER(SEARCH($D579,Settings!$C$15)),"Pickup","Dispatch"))</f>
        <v>Dispatch</v>
      </c>
      <c r="AC579" s="64" t="str">
        <f t="shared" si="100"/>
        <v>Supply order dispatched</v>
      </c>
      <c r="AD579" s="64" t="str">
        <f t="shared" si="91"/>
        <v>Dear  ,
Your order has been dispatched and is in transit. Reply if undelivered.</v>
      </c>
      <c r="AE579" s="64" t="str">
        <f t="shared" si="92"/>
        <v>mailto:firstname002.lastname002@example.com?subject=Supply%20order%20dispatched&amp;body=Dear%20%20%2C%0A%0AYour%20order%20has%20been%20dispatched%20and%20is%20in%20transit.%20Reply%20if%20undelivered.</v>
      </c>
      <c r="AF579" s="89" t="str">
        <f t="shared" si="101"/>
        <v>Draft email</v>
      </c>
      <c r="AG579" s="64">
        <f>IF($C579="","",IFERROR(INDEX('Staff Directory'!$K$595:$K$599,MATCH($C579,'Staff Directory'!$B$5:$B$599,0)),$D579))</f>
        <v>0</v>
      </c>
      <c r="AH579" t="str">
        <f>IF($C579="","",IFERROR(INDEX('Staff Directory'!$I$595:$I$599,MATCH($C579,'Staff Directory'!$B$5:$B$599,0))&amp;" "&amp;INDEX('Staff Directory'!$J$595:$J$599,MATCH($C579,'Staff Directory'!$B$5:$B$599,0)),$AG579))</f>
        <v xml:space="preserve"> </v>
      </c>
      <c r="AI579" s="102"/>
      <c r="AJ579" s="101">
        <f>IF($F579="","",SUMIFS($J$5:$J579,$F$5:$F579,$F579))</f>
        <v>350</v>
      </c>
      <c r="AK579" s="101">
        <f t="shared" si="93"/>
        <v>301</v>
      </c>
      <c r="AL579" s="66" cm="1">
        <f t="array" ref="AL579">IF($F579="","",IFERROR(INDEX('Lot Balance'!$B$5:$B$500,MATCH(1,INDEX(('Lot Balance'!$A$5:$A$500=$F579)*('Lot Balance'!$K$5:$K$500&lt;$AK579)*('Lot Balance'!$K$5:$K$500+'Lot Balance'!$D$5:$D$500&gt;=$AK579),0),0)),""))</f>
        <v>3024</v>
      </c>
      <c r="AM579" s="66" cm="1">
        <f t="array" ref="AM579">IF($F579="","",IFERROR(INDEX('Lot Balance'!$B$5:$B$500,MATCH(1,INDEX(('Lot Balance'!$A$5:$A$500=$F579)*('Lot Balance'!$K$5:$K$500&lt;$AJ579)*('Lot Balance'!$K$5:$K$500+'Lot Balance'!$D$5:$D$500&gt;=$AJ579),0),0)),""))</f>
        <v>3024</v>
      </c>
      <c r="AN579" s="66" t="str">
        <f>IF($F579="","",IF($AI579&lt;&gt;"",IF(COUNTIFS('Lot Balance'!$A$5:$A$500,$F579,'Lot Balance'!$B$5:$B$500,$AI579)=0,"⚠ override is not a lot of this item",IF($AI579=$AL579,"Override = FEFO","Override - FEFO says "&amp;$AL579)),IF($AL579="","⚠ no receipt on file for this item",IF($AM579&lt;&gt;$AL579,"FEFO auto - split, also "&amp;$AM579,"FEFO auto"))))</f>
        <v>FEFO auto</v>
      </c>
      <c r="AO579" s="114"/>
    </row>
    <row r="580" spans="1:41" x14ac:dyDescent="0.35">
      <c r="A580" s="74">
        <v>46150</v>
      </c>
      <c r="B580" s="18" t="str">
        <f>IF($C580="","",IFERROR(INDEX('Staff Directory'!$A$5:$A$594,MATCH($C580,'Staff Directory'!$B$5:$B$594,0)),"⚠ unknown staff"))</f>
        <v>RN-002-A1</v>
      </c>
      <c r="C580" s="49" t="s">
        <v>918</v>
      </c>
      <c r="D580" s="19" t="str">
        <f>IF($B580="","",IFERROR(INDEX('Staff Directory'!$C$5:$C$594,MATCH($B580,'Staff Directory'!$A$5:$A$594,0)),""))</f>
        <v>RN</v>
      </c>
      <c r="E580" s="19" t="str">
        <f>IF($B580="","",IFERROR(INDEX('Staff Directory'!$D$5:$D$594,MATCH($B580,'Staff Directory'!$A$5:$A$594,0)),""))</f>
        <v>A1</v>
      </c>
      <c r="F580" s="9" t="s">
        <v>757</v>
      </c>
      <c r="G580" s="18" t="str">
        <f>IF($F580="","",IFERROR(INDEX(Items!$B$5:$B$597,MATCH($F580,Items!$A$5:$A$597,0)),"⚠ not in Items"))</f>
        <v>Documents</v>
      </c>
      <c r="H580" s="19" t="str">
        <f>IF($F580="","",IFERROR(INDEX(Items!$C$5:$C$597,MATCH($F580,Items!$A$5:$A$597,0)),""))</f>
        <v>Standard</v>
      </c>
      <c r="I580" s="23">
        <f>IF($F580="","",IFERROR(INDEX(Items!$E$5:$E$597,MATCH($F580,Items!$A$5:$A$597,0)),""))</f>
        <v>10</v>
      </c>
      <c r="J580" s="115">
        <f>IF(tblIssues[[#This Row],[Qty Override]]&lt;&gt;"",tblIssues[[#This Row],[Qty Override]],IF(tblIssues[[#This Row],[Standard Issue]]="","",tblIssues[[#This Row],[Standard Issue]]))</f>
        <v>10</v>
      </c>
      <c r="K580" s="20">
        <f>IF($F580="","",IFERROR(INDEX(Items!$D$5:$D$597,MATCH($F580,Items!$A$5:$A$597,0)),""))</f>
        <v>0</v>
      </c>
      <c r="L580" s="21">
        <f t="shared" si="94"/>
        <v>0</v>
      </c>
      <c r="M580" s="9" t="str">
        <f t="shared" si="95"/>
        <v/>
      </c>
      <c r="N580" s="24">
        <f>IF($A580="","",WORKDAY($A580,Settings!$C$9,HolidayDates))</f>
        <v>46160</v>
      </c>
      <c r="O580" s="24">
        <f>IF($N580="","",WORKDAY($N580,Settings!$C$10,HolidayDates))</f>
        <v>46198</v>
      </c>
      <c r="P580" s="10" t="s">
        <v>502</v>
      </c>
      <c r="Q580" s="52" t="str">
        <f t="shared" si="97"/>
        <v>Collected</v>
      </c>
      <c r="R580" s="55" t="str">
        <f t="shared" si="98"/>
        <v>2026-05</v>
      </c>
      <c r="S580" s="55">
        <f>IF(OR($B580="",$F580="",$R580=""),"",SUMIFS(tblIssues[Qty Issued],tblIssues[Staff ID],$B580,tblIssues[Item Name],$F580,tblIssues[Month],$R580))</f>
        <v>10</v>
      </c>
      <c r="T580" s="56">
        <f>IF($I580="","",$I580*Settings!$C$11)</f>
        <v>10</v>
      </c>
      <c r="U580" s="57" t="str">
        <f t="shared" si="96"/>
        <v>OK</v>
      </c>
      <c r="V580" s="55" t="str">
        <f t="shared" si="99"/>
        <v/>
      </c>
      <c r="W580" s="55" t="str">
        <f>IF($V580="","",IF(COUNTIF($V$5:$V580,$V580)=1,1,""))</f>
        <v/>
      </c>
      <c r="X580" s="58" t="str">
        <f>IF($W580="","",MAX($X$4:X579)+1)</f>
        <v/>
      </c>
      <c r="Y580" s="62"/>
      <c r="Z580" s="62"/>
      <c r="AA580" s="64" t="str">
        <f>IF($C580="","",IFERROR(INDEX('Staff Directory'!$E$5:$E$594,MATCH($C580,'Staff Directory'!$B$5:$B$594,0)),""))</f>
        <v>firstname002.lastname002@example.com</v>
      </c>
      <c r="AB580" s="64" t="str">
        <f>IF($C580="","",IF(ISNUMBER(SEARCH($D580,Settings!$C$15)),"Pickup","Dispatch"))</f>
        <v>Dispatch</v>
      </c>
      <c r="AC580" s="64" t="str">
        <f t="shared" si="100"/>
        <v>Supply order dispatched</v>
      </c>
      <c r="AD580" s="64" t="str">
        <f t="shared" si="91"/>
        <v>Dear  ,
Your order has been dispatched and is in transit. Reply if undelivered.</v>
      </c>
      <c r="AE580" s="64" t="str">
        <f t="shared" si="92"/>
        <v>mailto:firstname002.lastname002@example.com?subject=Supply%20order%20dispatched&amp;body=Dear%20%20%2C%0A%0AYour%20order%20has%20been%20dispatched%20and%20is%20in%20transit.%20Reply%20if%20undelivered.</v>
      </c>
      <c r="AF580" s="89" t="str">
        <f t="shared" si="101"/>
        <v>Draft email</v>
      </c>
      <c r="AG580" s="64">
        <f>IF($C580="","",IFERROR(INDEX('Staff Directory'!$K$595:$K$599,MATCH($C580,'Staff Directory'!$B$5:$B$599,0)),$D580))</f>
        <v>0</v>
      </c>
      <c r="AH580" t="str">
        <f>IF($C580="","",IFERROR(INDEX('Staff Directory'!$I$595:$I$599,MATCH($C580,'Staff Directory'!$B$5:$B$599,0))&amp;" "&amp;INDEX('Staff Directory'!$J$595:$J$599,MATCH($C580,'Staff Directory'!$B$5:$B$599,0)),$AG580))</f>
        <v xml:space="preserve"> </v>
      </c>
      <c r="AI580" s="102"/>
      <c r="AJ580" s="101">
        <f>IF($F580="","",SUMIFS($J$5:$J580,$F$5:$F580,$F580))</f>
        <v>170</v>
      </c>
      <c r="AK580" s="101">
        <f t="shared" si="93"/>
        <v>161</v>
      </c>
      <c r="AL580" s="66" t="str" cm="1">
        <f t="array" ref="AL580">IF($F580="","",IFERROR(INDEX('Lot Balance'!$B$5:$B$500,MATCH(1,INDEX(('Lot Balance'!$A$5:$A$500=$F580)*('Lot Balance'!$K$5:$K$500&lt;$AK580)*('Lot Balance'!$K$5:$K$500+'Lot Balance'!$D$5:$D$500&gt;=$AK580),0),0)),""))</f>
        <v/>
      </c>
      <c r="AM580" s="66" t="str" cm="1">
        <f t="array" ref="AM580">IF($F580="","",IFERROR(INDEX('Lot Balance'!$B$5:$B$500,MATCH(1,INDEX(('Lot Balance'!$A$5:$A$500=$F580)*('Lot Balance'!$K$5:$K$500&lt;$AJ580)*('Lot Balance'!$K$5:$K$500+'Lot Balance'!$D$5:$D$500&gt;=$AJ580),0),0)),""))</f>
        <v/>
      </c>
      <c r="AN580" s="66" t="str">
        <f>IF($F580="","",IF($AI580&lt;&gt;"",IF(COUNTIFS('Lot Balance'!$A$5:$A$500,$F580,'Lot Balance'!$B$5:$B$500,$AI580)=0,"⚠ override is not a lot of this item",IF($AI580=$AL580,"Override = FEFO","Override - FEFO says "&amp;$AL580)),IF($AL580="","⚠ no receipt on file for this item",IF($AM580&lt;&gt;$AL580,"FEFO auto - split, also "&amp;$AM580,"FEFO auto"))))</f>
        <v>⚠ no receipt on file for this item</v>
      </c>
      <c r="AO580" s="114"/>
    </row>
    <row r="581" spans="1:41" x14ac:dyDescent="0.35">
      <c r="A581" s="74">
        <v>46150</v>
      </c>
      <c r="B581" s="18" t="str">
        <f>IF($C581="","",IFERROR(INDEX('Staff Directory'!$A$5:$A$594,MATCH($C581,'Staff Directory'!$B$5:$B$594,0)),"⚠ unknown staff"))</f>
        <v>RPN-002-A1</v>
      </c>
      <c r="C581" s="49" t="s">
        <v>933</v>
      </c>
      <c r="D581" s="19" t="str">
        <f>IF($B581="","",IFERROR(INDEX('Staff Directory'!$C$5:$C$594,MATCH($B581,'Staff Directory'!$A$5:$A$594,0)),""))</f>
        <v>RPN</v>
      </c>
      <c r="E581" s="19" t="str">
        <f>IF($B581="","",IFERROR(INDEX('Staff Directory'!$D$5:$D$594,MATCH($B581,'Staff Directory'!$A$5:$A$594,0)),""))</f>
        <v>A1</v>
      </c>
      <c r="F581" s="9" t="s">
        <v>129</v>
      </c>
      <c r="G581" s="18" t="str">
        <f>IF($F581="","",IFERROR(INDEX(Items!$B$5:$B$597,MATCH($F581,Items!$A$5:$A$597,0)),"⚠ not in Items"))</f>
        <v>Gloves</v>
      </c>
      <c r="H581" s="19" t="str">
        <f>IF($F581="","",IFERROR(INDEX(Items!$C$5:$C$597,MATCH($F581,Items!$A$5:$A$597,0)),""))</f>
        <v>Small</v>
      </c>
      <c r="I581" s="23">
        <f>IF($F581="","",IFERROR(INDEX(Items!$E$5:$E$597,MATCH($F581,Items!$A$5:$A$597,0)),""))</f>
        <v>500</v>
      </c>
      <c r="J581" s="115">
        <f>IF(tblIssues[[#This Row],[Qty Override]]&lt;&gt;"",tblIssues[[#This Row],[Qty Override]],IF(tblIssues[[#This Row],[Standard Issue]]="","",tblIssues[[#This Row],[Standard Issue]]))</f>
        <v>500</v>
      </c>
      <c r="K581" s="20">
        <f>IF($F581="","",IFERROR(INDEX(Items!$D$5:$D$597,MATCH($F581,Items!$A$5:$A$597,0)),""))</f>
        <v>5.5E-2</v>
      </c>
      <c r="L581" s="21">
        <f t="shared" si="94"/>
        <v>27.5</v>
      </c>
      <c r="M581" s="9" t="str">
        <f t="shared" si="95"/>
        <v>O210LIC25</v>
      </c>
      <c r="N581" s="24">
        <f>IF($A581="","",WORKDAY($A581,Settings!$C$9,HolidayDates))</f>
        <v>46160</v>
      </c>
      <c r="O581" s="24">
        <f>IF($N581="","",WORKDAY($N581,Settings!$C$10,HolidayDates))</f>
        <v>46198</v>
      </c>
      <c r="P581" s="10" t="s">
        <v>502</v>
      </c>
      <c r="Q581" s="52" t="str">
        <f t="shared" si="97"/>
        <v>Collected</v>
      </c>
      <c r="R581" s="55" t="str">
        <f t="shared" si="98"/>
        <v>2026-05</v>
      </c>
      <c r="S581" s="55">
        <f>IF(OR($B581="",$F581="",$R581=""),"",SUMIFS(tblIssues[Qty Issued],tblIssues[Staff ID],$B581,tblIssues[Item Name],$F581,tblIssues[Month],$R581))</f>
        <v>500</v>
      </c>
      <c r="T581" s="56">
        <f>IF($I581="","",$I581*Settings!$C$11)</f>
        <v>500</v>
      </c>
      <c r="U581" s="57" t="str">
        <f t="shared" si="96"/>
        <v>OK</v>
      </c>
      <c r="V581" s="55" t="str">
        <f t="shared" si="99"/>
        <v/>
      </c>
      <c r="W581" s="55" t="str">
        <f>IF($V581="","",IF(COUNTIF($V$5:$V581,$V581)=1,1,""))</f>
        <v/>
      </c>
      <c r="X581" s="58" t="str">
        <f>IF($W581="","",MAX($X$4:X580)+1)</f>
        <v/>
      </c>
      <c r="Y581" s="62"/>
      <c r="Z581" s="62"/>
      <c r="AA581" s="64" t="str">
        <f>IF($C581="","",IFERROR(INDEX('Staff Directory'!$E$5:$E$594,MATCH($C581,'Staff Directory'!$B$5:$B$594,0)),""))</f>
        <v>firstname017.lastname017@example.com</v>
      </c>
      <c r="AB581" s="64" t="str">
        <f>IF($C581="","",IF(ISNUMBER(SEARCH($D581,Settings!$C$15)),"Pickup","Dispatch"))</f>
        <v>Dispatch</v>
      </c>
      <c r="AC581" s="64" t="str">
        <f t="shared" si="100"/>
        <v>Supply order dispatched</v>
      </c>
      <c r="AD581" s="64" t="str">
        <f t="shared" ref="AD581:AD644" si="102">IF($AB581="Pickup","Dear "&amp;$AH581&amp;","&amp;CHAR(10)&amp;CHAR(10)&amp;"Your order is ready for pickup from Sample Branch, Wed-Fri 9am-4pm.",IF($AB581="Dispatch","Dear "&amp;$AH581&amp;","&amp;CHAR(10)&amp;CHAR(10)&amp;"Your order has been dispatched and is in transit. Reply if undelivered.",""))</f>
        <v>Dear RPN,
Your order has been dispatched and is in transit. Reply if undelivered.</v>
      </c>
      <c r="AE581" s="64" t="str">
        <f t="shared" ref="AE581:AE644" si="103">IF(OR($AA581="",$AC581=""),"","mailto:"&amp;$AA581&amp;"?subject="&amp;_xlfn.ENCODEURL($AC581)&amp;"&amp;body="&amp;_xlfn.ENCODEURL($AD581))</f>
        <v>mailto:firstname017.lastname017@example.com?subject=Supply%20order%20dispatched&amp;body=Dear%20RPN%2C%0A%0AYour%20order%20has%20been%20dispatched%20and%20is%20in%20transit.%20Reply%20if%20undelivered.</v>
      </c>
      <c r="AF581" s="89" t="str">
        <f t="shared" si="101"/>
        <v>Draft email</v>
      </c>
      <c r="AG581" s="64" t="str">
        <f>IF($C581="","",IFERROR(INDEX('Staff Directory'!$K$595:$K$599,MATCH($C581,'Staff Directory'!$B$5:$B$599,0)),$D581))</f>
        <v>RPN</v>
      </c>
      <c r="AH581" t="str">
        <f>IF($C581="","",IFERROR(INDEX('Staff Directory'!$I$595:$I$599,MATCH($C581,'Staff Directory'!$B$5:$B$599,0))&amp;" "&amp;INDEX('Staff Directory'!$J$595:$J$599,MATCH($C581,'Staff Directory'!$B$5:$B$599,0)),$AG581))</f>
        <v>RPN</v>
      </c>
      <c r="AI581" s="102"/>
      <c r="AJ581" s="101">
        <f>IF($F581="","",SUMIFS($J$5:$J581,$F$5:$F581,$F581))</f>
        <v>21500</v>
      </c>
      <c r="AK581" s="101">
        <f t="shared" ref="AK581:AK644" si="104">IF($F581="","",MAX(1,$AJ581-MAX($J581,0)+1))</f>
        <v>21001</v>
      </c>
      <c r="AL581" s="66" t="str" cm="1">
        <f t="array" ref="AL581">IF($F581="","",IFERROR(INDEX('Lot Balance'!$B$5:$B$500,MATCH(1,INDEX(('Lot Balance'!$A$5:$A$500=$F581)*('Lot Balance'!$K$5:$K$500&lt;$AK581)*('Lot Balance'!$K$5:$K$500+'Lot Balance'!$D$5:$D$500&gt;=$AK581),0),0)),""))</f>
        <v>O210LIC25</v>
      </c>
      <c r="AM581" s="66" t="str" cm="1">
        <f t="array" ref="AM581">IF($F581="","",IFERROR(INDEX('Lot Balance'!$B$5:$B$500,MATCH(1,INDEX(('Lot Balance'!$A$5:$A$500=$F581)*('Lot Balance'!$K$5:$K$500&lt;$AJ581)*('Lot Balance'!$K$5:$K$500+'Lot Balance'!$D$5:$D$500&gt;=$AJ581),0),0)),""))</f>
        <v>O210LIC25</v>
      </c>
      <c r="AN581" s="66" t="str">
        <f>IF($F581="","",IF($AI581&lt;&gt;"",IF(COUNTIFS('Lot Balance'!$A$5:$A$500,$F581,'Lot Balance'!$B$5:$B$500,$AI581)=0,"⚠ override is not a lot of this item",IF($AI581=$AL581,"Override = FEFO","Override - FEFO says "&amp;$AL581)),IF($AL581="","⚠ no receipt on file for this item",IF($AM581&lt;&gt;$AL581,"FEFO auto - split, also "&amp;$AM581,"FEFO auto"))))</f>
        <v>FEFO auto</v>
      </c>
      <c r="AO581" s="114"/>
    </row>
    <row r="582" spans="1:41" x14ac:dyDescent="0.35">
      <c r="A582" s="74">
        <v>46150</v>
      </c>
      <c r="B582" s="18" t="str">
        <f>IF($C582="","",IFERROR(INDEX('Staff Directory'!$A$5:$A$594,MATCH($C582,'Staff Directory'!$B$5:$B$594,0)),"⚠ unknown staff"))</f>
        <v>RPN-002-A1</v>
      </c>
      <c r="C582" s="49" t="s">
        <v>933</v>
      </c>
      <c r="D582" s="19" t="str">
        <f>IF($B582="","",IFERROR(INDEX('Staff Directory'!$C$5:$C$594,MATCH($B582,'Staff Directory'!$A$5:$A$594,0)),""))</f>
        <v>RPN</v>
      </c>
      <c r="E582" s="19" t="str">
        <f>IF($B582="","",IFERROR(INDEX('Staff Directory'!$D$5:$D$594,MATCH($B582,'Staff Directory'!$A$5:$A$594,0)),""))</f>
        <v>A1</v>
      </c>
      <c r="F582" s="9" t="s">
        <v>191</v>
      </c>
      <c r="G582" s="18" t="str">
        <f>IF($F582="","",IFERROR(INDEX(Items!$B$5:$B$597,MATCH($F582,Items!$A$5:$A$597,0)),"⚠ not in Items"))</f>
        <v>Sanitizer</v>
      </c>
      <c r="H582" s="19" t="str">
        <f>IF($F582="","",IFERROR(INDEX(Items!$C$5:$C$597,MATCH($F582,Items!$A$5:$A$597,0)),""))</f>
        <v>236 ML</v>
      </c>
      <c r="I582" s="23">
        <f>IF($F582="","",IFERROR(INDEX(Items!$E$5:$E$597,MATCH($F582,Items!$A$5:$A$597,0)),""))</f>
        <v>1</v>
      </c>
      <c r="J582" s="115">
        <f>IF(tblIssues[[#This Row],[Qty Override]]&lt;&gt;"",tblIssues[[#This Row],[Qty Override]],IF(tblIssues[[#This Row],[Standard Issue]]="","",tblIssues[[#This Row],[Standard Issue]]))</f>
        <v>1</v>
      </c>
      <c r="K582" s="20">
        <f>IF($F582="","",IFERROR(INDEX(Items!$D$5:$D$597,MATCH($F582,Items!$A$5:$A$597,0)),""))</f>
        <v>1E-4</v>
      </c>
      <c r="L582" s="21">
        <f t="shared" ref="L582:L645" si="105">IF(OR($J582="",$K582=""),"",$J582*$K582)</f>
        <v>1E-4</v>
      </c>
      <c r="M582" s="9" t="str">
        <f t="shared" ref="M582:M645" si="106">IF($F582="","",IF($AI582&lt;&gt;"",$AI582,$AL582))</f>
        <v>20-21734-2</v>
      </c>
      <c r="N582" s="24">
        <f>IF($A582="","",WORKDAY($A582,Settings!$C$9,HolidayDates))</f>
        <v>46160</v>
      </c>
      <c r="O582" s="24">
        <f>IF($N582="","",WORKDAY($N582,Settings!$C$10,HolidayDates))</f>
        <v>46198</v>
      </c>
      <c r="P582" s="10" t="s">
        <v>502</v>
      </c>
      <c r="Q582" s="52" t="str">
        <f t="shared" si="97"/>
        <v>Collected</v>
      </c>
      <c r="R582" s="55" t="str">
        <f t="shared" si="98"/>
        <v>2026-05</v>
      </c>
      <c r="S582" s="55">
        <f>IF(OR($B582="",$F582="",$R582=""),"",SUMIFS(tblIssues[Qty Issued],tblIssues[Staff ID],$B582,tblIssues[Item Name],$F582,tblIssues[Month],$R582))</f>
        <v>1</v>
      </c>
      <c r="T582" s="56">
        <f>IF($I582="","",$I582*Settings!$C$11)</f>
        <v>1</v>
      </c>
      <c r="U582" s="57" t="str">
        <f t="shared" ref="U582:U645" si="107">IF(OR($S582="",$T582=""),"",IF($S582&gt;$T582,IF($Y582="Approved","APPROVED BY TL","⚠ OVER QUOTA"),"OK"))</f>
        <v>OK</v>
      </c>
      <c r="V582" s="55" t="str">
        <f t="shared" si="99"/>
        <v/>
      </c>
      <c r="W582" s="55" t="str">
        <f>IF($V582="","",IF(COUNTIF($V$5:$V582,$V582)=1,1,""))</f>
        <v/>
      </c>
      <c r="X582" s="58" t="str">
        <f>IF($W582="","",MAX($X$4:X581)+1)</f>
        <v/>
      </c>
      <c r="Y582" s="62"/>
      <c r="Z582" s="62"/>
      <c r="AA582" s="64" t="str">
        <f>IF($C582="","",IFERROR(INDEX('Staff Directory'!$E$5:$E$594,MATCH($C582,'Staff Directory'!$B$5:$B$594,0)),""))</f>
        <v>firstname017.lastname017@example.com</v>
      </c>
      <c r="AB582" s="64" t="str">
        <f>IF($C582="","",IF(ISNUMBER(SEARCH($D582,Settings!$C$15)),"Pickup","Dispatch"))</f>
        <v>Dispatch</v>
      </c>
      <c r="AC582" s="64" t="str">
        <f t="shared" si="100"/>
        <v>Supply order dispatched</v>
      </c>
      <c r="AD582" s="64" t="str">
        <f t="shared" si="102"/>
        <v>Dear RPN,
Your order has been dispatched and is in transit. Reply if undelivered.</v>
      </c>
      <c r="AE582" s="64" t="str">
        <f t="shared" si="103"/>
        <v>mailto:firstname017.lastname017@example.com?subject=Supply%20order%20dispatched&amp;body=Dear%20RPN%2C%0A%0AYour%20order%20has%20been%20dispatched%20and%20is%20in%20transit.%20Reply%20if%20undelivered.</v>
      </c>
      <c r="AF582" s="89" t="str">
        <f t="shared" si="101"/>
        <v>Draft email</v>
      </c>
      <c r="AG582" s="64" t="str">
        <f>IF($C582="","",IFERROR(INDEX('Staff Directory'!$K$595:$K$599,MATCH($C582,'Staff Directory'!$B$5:$B$599,0)),$D582))</f>
        <v>RPN</v>
      </c>
      <c r="AH582" t="str">
        <f>IF($C582="","",IFERROR(INDEX('Staff Directory'!$I$595:$I$599,MATCH($C582,'Staff Directory'!$B$5:$B$599,0))&amp;" "&amp;INDEX('Staff Directory'!$J$595:$J$599,MATCH($C582,'Staff Directory'!$B$5:$B$599,0)),$AG582))</f>
        <v>RPN</v>
      </c>
      <c r="AI582" s="102"/>
      <c r="AJ582" s="101">
        <f>IF($F582="","",SUMIFS($J$5:$J582,$F$5:$F582,$F582))</f>
        <v>66</v>
      </c>
      <c r="AK582" s="101">
        <f t="shared" si="104"/>
        <v>66</v>
      </c>
      <c r="AL582" s="66" t="str" cm="1">
        <f t="array" ref="AL582">IF($F582="","",IFERROR(INDEX('Lot Balance'!$B$5:$B$500,MATCH(1,INDEX(('Lot Balance'!$A$5:$A$500=$F582)*('Lot Balance'!$K$5:$K$500&lt;$AK582)*('Lot Balance'!$K$5:$K$500+'Lot Balance'!$D$5:$D$500&gt;=$AK582),0),0)),""))</f>
        <v>20-21734-2</v>
      </c>
      <c r="AM582" s="66" t="str" cm="1">
        <f t="array" ref="AM582">IF($F582="","",IFERROR(INDEX('Lot Balance'!$B$5:$B$500,MATCH(1,INDEX(('Lot Balance'!$A$5:$A$500=$F582)*('Lot Balance'!$K$5:$K$500&lt;$AJ582)*('Lot Balance'!$K$5:$K$500+'Lot Balance'!$D$5:$D$500&gt;=$AJ582),0),0)),""))</f>
        <v>20-21734-2</v>
      </c>
      <c r="AN582" s="66" t="str">
        <f>IF($F582="","",IF($AI582&lt;&gt;"",IF(COUNTIFS('Lot Balance'!$A$5:$A$500,$F582,'Lot Balance'!$B$5:$B$500,$AI582)=0,"⚠ override is not a lot of this item",IF($AI582=$AL582,"Override = FEFO","Override - FEFO says "&amp;$AL582)),IF($AL582="","⚠ no receipt on file for this item",IF($AM582&lt;&gt;$AL582,"FEFO auto - split, also "&amp;$AM582,"FEFO auto"))))</f>
        <v>FEFO auto</v>
      </c>
      <c r="AO582" s="114"/>
    </row>
    <row r="583" spans="1:41" x14ac:dyDescent="0.35">
      <c r="A583" s="74">
        <v>46150</v>
      </c>
      <c r="B583" s="18" t="str">
        <f>IF($C583="","",IFERROR(INDEX('Staff Directory'!$A$5:$A$594,MATCH($C583,'Staff Directory'!$B$5:$B$594,0)),"⚠ unknown staff"))</f>
        <v>RPN-002-A1</v>
      </c>
      <c r="C583" s="49" t="s">
        <v>933</v>
      </c>
      <c r="D583" s="19" t="str">
        <f>IF($B583="","",IFERROR(INDEX('Staff Directory'!$C$5:$C$594,MATCH($B583,'Staff Directory'!$A$5:$A$594,0)),""))</f>
        <v>RPN</v>
      </c>
      <c r="E583" s="19" t="str">
        <f>IF($B583="","",IFERROR(INDEX('Staff Directory'!$D$5:$D$594,MATCH($B583,'Staff Directory'!$A$5:$A$594,0)),""))</f>
        <v>A1</v>
      </c>
      <c r="F583" s="9" t="s">
        <v>115</v>
      </c>
      <c r="G583" s="18" t="str">
        <f>IF($F583="","",IFERROR(INDEX(Items!$B$5:$B$597,MATCH($F583,Items!$A$5:$A$597,0)),"⚠ not in Items"))</f>
        <v>Wipes</v>
      </c>
      <c r="H583" s="19">
        <f>IF($F583="","",IFERROR(INDEX(Items!$C$5:$C$597,MATCH($F583,Items!$A$5:$A$597,0)),""))</f>
        <v>80</v>
      </c>
      <c r="I583" s="23">
        <f>IF($F583="","",IFERROR(INDEX(Items!$E$5:$E$597,MATCH($F583,Items!$A$5:$A$597,0)),""))</f>
        <v>80</v>
      </c>
      <c r="J583" s="115">
        <f>IF(tblIssues[[#This Row],[Qty Override]]&lt;&gt;"",tblIssues[[#This Row],[Qty Override]],IF(tblIssues[[#This Row],[Standard Issue]]="","",tblIssues[[#This Row],[Standard Issue]]))</f>
        <v>80</v>
      </c>
      <c r="K583" s="20">
        <f>IF($F583="","",IFERROR(INDEX(Items!$D$5:$D$597,MATCH($F583,Items!$A$5:$A$597,0)),""))</f>
        <v>0.1</v>
      </c>
      <c r="L583" s="21">
        <f t="shared" si="105"/>
        <v>8</v>
      </c>
      <c r="M583" s="9" t="str">
        <f t="shared" si="106"/>
        <v>LYSL500290</v>
      </c>
      <c r="N583" s="24">
        <f>IF($A583="","",WORKDAY($A583,Settings!$C$9,HolidayDates))</f>
        <v>46160</v>
      </c>
      <c r="O583" s="24">
        <f>IF($N583="","",WORKDAY($N583,Settings!$C$10,HolidayDates))</f>
        <v>46198</v>
      </c>
      <c r="P583" s="10" t="s">
        <v>502</v>
      </c>
      <c r="Q583" s="52" t="str">
        <f t="shared" si="97"/>
        <v>Collected</v>
      </c>
      <c r="R583" s="55" t="str">
        <f t="shared" si="98"/>
        <v>2026-05</v>
      </c>
      <c r="S583" s="55">
        <f>IF(OR($B583="",$F583="",$R583=""),"",SUMIFS(tblIssues[Qty Issued],tblIssues[Staff ID],$B583,tblIssues[Item Name],$F583,tblIssues[Month],$R583))</f>
        <v>80</v>
      </c>
      <c r="T583" s="56">
        <f>IF($I583="","",$I583*Settings!$C$11)</f>
        <v>80</v>
      </c>
      <c r="U583" s="57" t="str">
        <f t="shared" si="107"/>
        <v>OK</v>
      </c>
      <c r="V583" s="55" t="str">
        <f t="shared" si="99"/>
        <v/>
      </c>
      <c r="W583" s="55" t="str">
        <f>IF($V583="","",IF(COUNTIF($V$5:$V583,$V583)=1,1,""))</f>
        <v/>
      </c>
      <c r="X583" s="58" t="str">
        <f>IF($W583="","",MAX($X$4:X582)+1)</f>
        <v/>
      </c>
      <c r="Y583" s="62"/>
      <c r="Z583" s="62"/>
      <c r="AA583" s="64" t="str">
        <f>IF($C583="","",IFERROR(INDEX('Staff Directory'!$E$5:$E$594,MATCH($C583,'Staff Directory'!$B$5:$B$594,0)),""))</f>
        <v>firstname017.lastname017@example.com</v>
      </c>
      <c r="AB583" s="64" t="str">
        <f>IF($C583="","",IF(ISNUMBER(SEARCH($D583,Settings!$C$15)),"Pickup","Dispatch"))</f>
        <v>Dispatch</v>
      </c>
      <c r="AC583" s="64" t="str">
        <f t="shared" si="100"/>
        <v>Supply order dispatched</v>
      </c>
      <c r="AD583" s="64" t="str">
        <f t="shared" si="102"/>
        <v>Dear RPN,
Your order has been dispatched and is in transit. Reply if undelivered.</v>
      </c>
      <c r="AE583" s="64" t="str">
        <f t="shared" si="103"/>
        <v>mailto:firstname017.lastname017@example.com?subject=Supply%20order%20dispatched&amp;body=Dear%20RPN%2C%0A%0AYour%20order%20has%20been%20dispatched%20and%20is%20in%20transit.%20Reply%20if%20undelivered.</v>
      </c>
      <c r="AF583" s="89" t="str">
        <f t="shared" si="101"/>
        <v>Draft email</v>
      </c>
      <c r="AG583" s="64" t="str">
        <f>IF($C583="","",IFERROR(INDEX('Staff Directory'!$K$595:$K$599,MATCH($C583,'Staff Directory'!$B$5:$B$599,0)),$D583))</f>
        <v>RPN</v>
      </c>
      <c r="AH583" t="str">
        <f>IF($C583="","",IFERROR(INDEX('Staff Directory'!$I$595:$I$599,MATCH($C583,'Staff Directory'!$B$5:$B$599,0))&amp;" "&amp;INDEX('Staff Directory'!$J$595:$J$599,MATCH($C583,'Staff Directory'!$B$5:$B$599,0)),$AG583))</f>
        <v>RPN</v>
      </c>
      <c r="AI583" s="102"/>
      <c r="AJ583" s="101">
        <f>IF($F583="","",SUMIFS($J$5:$J583,$F$5:$F583,$F583))</f>
        <v>8560</v>
      </c>
      <c r="AK583" s="101">
        <f t="shared" si="104"/>
        <v>8481</v>
      </c>
      <c r="AL583" s="66" t="str" cm="1">
        <f t="array" ref="AL583">IF($F583="","",IFERROR(INDEX('Lot Balance'!$B$5:$B$500,MATCH(1,INDEX(('Lot Balance'!$A$5:$A$500=$F583)*('Lot Balance'!$K$5:$K$500&lt;$AK583)*('Lot Balance'!$K$5:$K$500+'Lot Balance'!$D$5:$D$500&gt;=$AK583),0),0)),""))</f>
        <v>LYSL500290</v>
      </c>
      <c r="AM583" s="66" t="str" cm="1">
        <f t="array" ref="AM583">IF($F583="","",IFERROR(INDEX('Lot Balance'!$B$5:$B$500,MATCH(1,INDEX(('Lot Balance'!$A$5:$A$500=$F583)*('Lot Balance'!$K$5:$K$500&lt;$AJ583)*('Lot Balance'!$K$5:$K$500+'Lot Balance'!$D$5:$D$500&gt;=$AJ583),0),0)),""))</f>
        <v>LYSL500290</v>
      </c>
      <c r="AN583" s="66" t="str">
        <f>IF($F583="","",IF($AI583&lt;&gt;"",IF(COUNTIFS('Lot Balance'!$A$5:$A$500,$F583,'Lot Balance'!$B$5:$B$500,$AI583)=0,"⚠ override is not a lot of this item",IF($AI583=$AL583,"Override = FEFO","Override - FEFO says "&amp;$AL583)),IF($AL583="","⚠ no receipt on file for this item",IF($AM583&lt;&gt;$AL583,"FEFO auto - split, also "&amp;$AM583,"FEFO auto"))))</f>
        <v>FEFO auto</v>
      </c>
      <c r="AO583" s="114"/>
    </row>
    <row r="584" spans="1:41" x14ac:dyDescent="0.35">
      <c r="A584" s="74">
        <v>46150</v>
      </c>
      <c r="B584" s="18" t="str">
        <f>IF($C584="","",IFERROR(INDEX('Staff Directory'!$A$5:$A$594,MATCH($C584,'Staff Directory'!$B$5:$B$594,0)),"⚠ unknown staff"))</f>
        <v>RPN-002-A1</v>
      </c>
      <c r="C584" s="49" t="s">
        <v>933</v>
      </c>
      <c r="D584" s="19" t="str">
        <f>IF($B584="","",IFERROR(INDEX('Staff Directory'!$C$5:$C$594,MATCH($B584,'Staff Directory'!$A$5:$A$594,0)),""))</f>
        <v>RPN</v>
      </c>
      <c r="E584" s="19" t="str">
        <f>IF($B584="","",IFERROR(INDEX('Staff Directory'!$D$5:$D$594,MATCH($B584,'Staff Directory'!$A$5:$A$594,0)),""))</f>
        <v>A1</v>
      </c>
      <c r="F584" s="9" t="s">
        <v>156</v>
      </c>
      <c r="G584" s="18" t="str">
        <f>IF($F584="","",IFERROR(INDEX(Items!$B$5:$B$597,MATCH($F584,Items!$A$5:$A$597,0)),"⚠ not in Items"))</f>
        <v>Masks</v>
      </c>
      <c r="H584" s="19" t="str">
        <f>IF($F584="","",IFERROR(INDEX(Items!$C$5:$C$597,MATCH($F584,Items!$A$5:$A$597,0)),""))</f>
        <v>One Size</v>
      </c>
      <c r="I584" s="23">
        <f>IF($F584="","",IFERROR(INDEX(Items!$E$5:$E$597,MATCH($F584,Items!$A$5:$A$597,0)),""))</f>
        <v>50</v>
      </c>
      <c r="J584" s="115">
        <f>IF(tblIssues[[#This Row],[Qty Override]]&lt;&gt;"",tblIssues[[#This Row],[Qty Override]],IF(tblIssues[[#This Row],[Standard Issue]]="","",tblIssues[[#This Row],[Standard Issue]]))</f>
        <v>50</v>
      </c>
      <c r="K584" s="20">
        <f>IF($F584="","",IFERROR(INDEX(Items!$D$5:$D$597,MATCH($F584,Items!$A$5:$A$597,0)),""))</f>
        <v>0.25</v>
      </c>
      <c r="L584" s="21">
        <f t="shared" si="105"/>
        <v>12.5</v>
      </c>
      <c r="M584" s="9" t="str">
        <f t="shared" si="106"/>
        <v>0125FPC24-0</v>
      </c>
      <c r="N584" s="24">
        <f>IF($A584="","",WORKDAY($A584,Settings!$C$9,HolidayDates))</f>
        <v>46160</v>
      </c>
      <c r="O584" s="24">
        <f>IF($N584="","",WORKDAY($N584,Settings!$C$10,HolidayDates))</f>
        <v>46198</v>
      </c>
      <c r="P584" s="10" t="s">
        <v>502</v>
      </c>
      <c r="Q584" s="52" t="str">
        <f t="shared" si="97"/>
        <v>Collected</v>
      </c>
      <c r="R584" s="55" t="str">
        <f t="shared" si="98"/>
        <v>2026-05</v>
      </c>
      <c r="S584" s="55">
        <f>IF(OR($B584="",$F584="",$R584=""),"",SUMIFS(tblIssues[Qty Issued],tblIssues[Staff ID],$B584,tblIssues[Item Name],$F584,tblIssues[Month],$R584))</f>
        <v>50</v>
      </c>
      <c r="T584" s="56">
        <f>IF($I584="","",$I584*Settings!$C$11)</f>
        <v>50</v>
      </c>
      <c r="U584" s="57" t="str">
        <f t="shared" si="107"/>
        <v>OK</v>
      </c>
      <c r="V584" s="55" t="str">
        <f t="shared" si="99"/>
        <v/>
      </c>
      <c r="W584" s="55" t="str">
        <f>IF($V584="","",IF(COUNTIF($V$5:$V584,$V584)=1,1,""))</f>
        <v/>
      </c>
      <c r="X584" s="58" t="str">
        <f>IF($W584="","",MAX($X$4:X583)+1)</f>
        <v/>
      </c>
      <c r="Y584" s="62"/>
      <c r="Z584" s="62"/>
      <c r="AA584" s="64" t="str">
        <f>IF($C584="","",IFERROR(INDEX('Staff Directory'!$E$5:$E$594,MATCH($C584,'Staff Directory'!$B$5:$B$594,0)),""))</f>
        <v>firstname017.lastname017@example.com</v>
      </c>
      <c r="AB584" s="64" t="str">
        <f>IF($C584="","",IF(ISNUMBER(SEARCH($D584,Settings!$C$15)),"Pickup","Dispatch"))</f>
        <v>Dispatch</v>
      </c>
      <c r="AC584" s="64" t="str">
        <f t="shared" si="100"/>
        <v>Supply order dispatched</v>
      </c>
      <c r="AD584" s="64" t="str">
        <f t="shared" si="102"/>
        <v>Dear RPN,
Your order has been dispatched and is in transit. Reply if undelivered.</v>
      </c>
      <c r="AE584" s="64" t="str">
        <f t="shared" si="103"/>
        <v>mailto:firstname017.lastname017@example.com?subject=Supply%20order%20dispatched&amp;body=Dear%20RPN%2C%0A%0AYour%20order%20has%20been%20dispatched%20and%20is%20in%20transit.%20Reply%20if%20undelivered.</v>
      </c>
      <c r="AF584" s="89" t="str">
        <f t="shared" si="101"/>
        <v>Draft email</v>
      </c>
      <c r="AG584" s="64" t="str">
        <f>IF($C584="","",IFERROR(INDEX('Staff Directory'!$K$595:$K$599,MATCH($C584,'Staff Directory'!$B$5:$B$599,0)),$D584))</f>
        <v>RPN</v>
      </c>
      <c r="AH584" t="str">
        <f>IF($C584="","",IFERROR(INDEX('Staff Directory'!$I$595:$I$599,MATCH($C584,'Staff Directory'!$B$5:$B$599,0))&amp;" "&amp;INDEX('Staff Directory'!$J$595:$J$599,MATCH($C584,'Staff Directory'!$B$5:$B$599,0)),$AG584))</f>
        <v>RPN</v>
      </c>
      <c r="AI584" s="102"/>
      <c r="AJ584" s="101">
        <f>IF($F584="","",SUMIFS($J$5:$J584,$F$5:$F584,$F584))</f>
        <v>4850</v>
      </c>
      <c r="AK584" s="101">
        <f t="shared" si="104"/>
        <v>4801</v>
      </c>
      <c r="AL584" s="66" t="str" cm="1">
        <f t="array" ref="AL584">IF($F584="","",IFERROR(INDEX('Lot Balance'!$B$5:$B$500,MATCH(1,INDEX(('Lot Balance'!$A$5:$A$500=$F584)*('Lot Balance'!$K$5:$K$500&lt;$AK584)*('Lot Balance'!$K$5:$K$500+'Lot Balance'!$D$5:$D$500&gt;=$AK584),0),0)),""))</f>
        <v>0125FPC24-0</v>
      </c>
      <c r="AM584" s="66" t="str" cm="1">
        <f t="array" ref="AM584">IF($F584="","",IFERROR(INDEX('Lot Balance'!$B$5:$B$500,MATCH(1,INDEX(('Lot Balance'!$A$5:$A$500=$F584)*('Lot Balance'!$K$5:$K$500&lt;$AJ584)*('Lot Balance'!$K$5:$K$500+'Lot Balance'!$D$5:$D$500&gt;=$AJ584),0),0)),""))</f>
        <v>0125FPC24-0</v>
      </c>
      <c r="AN584" s="66" t="str">
        <f>IF($F584="","",IF($AI584&lt;&gt;"",IF(COUNTIFS('Lot Balance'!$A$5:$A$500,$F584,'Lot Balance'!$B$5:$B$500,$AI584)=0,"⚠ override is not a lot of this item",IF($AI584=$AL584,"Override = FEFO","Override - FEFO says "&amp;$AL584)),IF($AL584="","⚠ no receipt on file for this item",IF($AM584&lt;&gt;$AL584,"FEFO auto - split, also "&amp;$AM584,"FEFO auto"))))</f>
        <v>FEFO auto</v>
      </c>
      <c r="AO584" s="114"/>
    </row>
    <row r="585" spans="1:41" x14ac:dyDescent="0.35">
      <c r="A585" s="74">
        <v>46150</v>
      </c>
      <c r="B585" s="18" t="str">
        <f>IF($C585="","",IFERROR(INDEX('Staff Directory'!$A$5:$A$594,MATCH($C585,'Staff Directory'!$B$5:$B$594,0)),"⚠ unknown staff"))</f>
        <v>RPN-002-A1</v>
      </c>
      <c r="C585" s="49" t="s">
        <v>933</v>
      </c>
      <c r="D585" s="19" t="str">
        <f>IF($B585="","",IFERROR(INDEX('Staff Directory'!$C$5:$C$594,MATCH($B585,'Staff Directory'!$A$5:$A$594,0)),""))</f>
        <v>RPN</v>
      </c>
      <c r="E585" s="19" t="str">
        <f>IF($B585="","",IFERROR(INDEX('Staff Directory'!$D$5:$D$594,MATCH($B585,'Staff Directory'!$A$5:$A$594,0)),""))</f>
        <v>A1</v>
      </c>
      <c r="F585" s="9" t="s">
        <v>147</v>
      </c>
      <c r="G585" s="18" t="str">
        <f>IF($F585="","",IFERROR(INDEX(Items!$B$5:$B$597,MATCH($F585,Items!$A$5:$A$597,0)),"⚠ not in Items"))</f>
        <v>Apparel</v>
      </c>
      <c r="H585" s="19" t="str">
        <f>IF($F585="","",IFERROR(INDEX(Items!$C$5:$C$597,MATCH($F585,Items!$A$5:$A$597,0)),""))</f>
        <v>One Size</v>
      </c>
      <c r="I585" s="23">
        <f>IF($F585="","",IFERROR(INDEX(Items!$E$5:$E$597,MATCH($F585,Items!$A$5:$A$597,0)),""))</f>
        <v>5</v>
      </c>
      <c r="J585" s="115">
        <f>IF(tblIssues[[#This Row],[Qty Override]]&lt;&gt;"",tblIssues[[#This Row],[Qty Override]],IF(tblIssues[[#This Row],[Standard Issue]]="","",tblIssues[[#This Row],[Standard Issue]]))</f>
        <v>5</v>
      </c>
      <c r="K585" s="20">
        <f>IF($F585="","",IFERROR(INDEX(Items!$D$5:$D$597,MATCH($F585,Items!$A$5:$A$597,0)),""))</f>
        <v>3</v>
      </c>
      <c r="L585" s="21">
        <f t="shared" si="105"/>
        <v>15</v>
      </c>
      <c r="M585" s="9" t="str">
        <f t="shared" si="106"/>
        <v>YG500280</v>
      </c>
      <c r="N585" s="24">
        <f>IF($A585="","",WORKDAY($A585,Settings!$C$9,HolidayDates))</f>
        <v>46160</v>
      </c>
      <c r="O585" s="24">
        <f>IF($N585="","",WORKDAY($N585,Settings!$C$10,HolidayDates))</f>
        <v>46198</v>
      </c>
      <c r="P585" s="10" t="s">
        <v>502</v>
      </c>
      <c r="Q585" s="52" t="str">
        <f t="shared" si="97"/>
        <v>Collected</v>
      </c>
      <c r="R585" s="55" t="str">
        <f t="shared" si="98"/>
        <v>2026-05</v>
      </c>
      <c r="S585" s="55">
        <f>IF(OR($B585="",$F585="",$R585=""),"",SUMIFS(tblIssues[Qty Issued],tblIssues[Staff ID],$B585,tblIssues[Item Name],$F585,tblIssues[Month],$R585))</f>
        <v>5</v>
      </c>
      <c r="T585" s="56">
        <f>IF($I585="","",$I585*Settings!$C$11)</f>
        <v>5</v>
      </c>
      <c r="U585" s="57" t="str">
        <f t="shared" si="107"/>
        <v>OK</v>
      </c>
      <c r="V585" s="55" t="str">
        <f t="shared" si="99"/>
        <v/>
      </c>
      <c r="W585" s="55" t="str">
        <f>IF($V585="","",IF(COUNTIF($V$5:$V585,$V585)=1,1,""))</f>
        <v/>
      </c>
      <c r="X585" s="58" t="str">
        <f>IF($W585="","",MAX($X$4:X584)+1)</f>
        <v/>
      </c>
      <c r="Y585" s="62"/>
      <c r="Z585" s="62"/>
      <c r="AA585" s="64" t="str">
        <f>IF($C585="","",IFERROR(INDEX('Staff Directory'!$E$5:$E$594,MATCH($C585,'Staff Directory'!$B$5:$B$594,0)),""))</f>
        <v>firstname017.lastname017@example.com</v>
      </c>
      <c r="AB585" s="64" t="str">
        <f>IF($C585="","",IF(ISNUMBER(SEARCH($D585,Settings!$C$15)),"Pickup","Dispatch"))</f>
        <v>Dispatch</v>
      </c>
      <c r="AC585" s="64" t="str">
        <f t="shared" si="100"/>
        <v>Supply order dispatched</v>
      </c>
      <c r="AD585" s="64" t="str">
        <f t="shared" si="102"/>
        <v>Dear RPN,
Your order has been dispatched and is in transit. Reply if undelivered.</v>
      </c>
      <c r="AE585" s="64" t="str">
        <f t="shared" si="103"/>
        <v>mailto:firstname017.lastname017@example.com?subject=Supply%20order%20dispatched&amp;body=Dear%20RPN%2C%0A%0AYour%20order%20has%20been%20dispatched%20and%20is%20in%20transit.%20Reply%20if%20undelivered.</v>
      </c>
      <c r="AF585" s="89" t="str">
        <f t="shared" si="101"/>
        <v>Draft email</v>
      </c>
      <c r="AG585" s="64" t="str">
        <f>IF($C585="","",IFERROR(INDEX('Staff Directory'!$K$595:$K$599,MATCH($C585,'Staff Directory'!$B$5:$B$599,0)),$D585))</f>
        <v>RPN</v>
      </c>
      <c r="AH585" t="str">
        <f>IF($C585="","",IFERROR(INDEX('Staff Directory'!$I$595:$I$599,MATCH($C585,'Staff Directory'!$B$5:$B$599,0))&amp;" "&amp;INDEX('Staff Directory'!$J$595:$J$599,MATCH($C585,'Staff Directory'!$B$5:$B$599,0)),$AG585))</f>
        <v>RPN</v>
      </c>
      <c r="AI585" s="102"/>
      <c r="AJ585" s="101">
        <f>IF($F585="","",SUMIFS($J$5:$J585,$F$5:$F585,$F585))</f>
        <v>60</v>
      </c>
      <c r="AK585" s="101">
        <f t="shared" si="104"/>
        <v>56</v>
      </c>
      <c r="AL585" s="66" t="str" cm="1">
        <f t="array" ref="AL585">IF($F585="","",IFERROR(INDEX('Lot Balance'!$B$5:$B$500,MATCH(1,INDEX(('Lot Balance'!$A$5:$A$500=$F585)*('Lot Balance'!$K$5:$K$500&lt;$AK585)*('Lot Balance'!$K$5:$K$500+'Lot Balance'!$D$5:$D$500&gt;=$AK585),0),0)),""))</f>
        <v>YG500280</v>
      </c>
      <c r="AM585" s="66" t="str" cm="1">
        <f t="array" ref="AM585">IF($F585="","",IFERROR(INDEX('Lot Balance'!$B$5:$B$500,MATCH(1,INDEX(('Lot Balance'!$A$5:$A$500=$F585)*('Lot Balance'!$K$5:$K$500&lt;$AJ585)*('Lot Balance'!$K$5:$K$500+'Lot Balance'!$D$5:$D$500&gt;=$AJ585),0),0)),""))</f>
        <v>YG500280</v>
      </c>
      <c r="AN585" s="66" t="str">
        <f>IF($F585="","",IF($AI585&lt;&gt;"",IF(COUNTIFS('Lot Balance'!$A$5:$A$500,$F585,'Lot Balance'!$B$5:$B$500,$AI585)=0,"⚠ override is not a lot of this item",IF($AI585=$AL585,"Override = FEFO","Override - FEFO says "&amp;$AL585)),IF($AL585="","⚠ no receipt on file for this item",IF($AM585&lt;&gt;$AL585,"FEFO auto - split, also "&amp;$AM585,"FEFO auto"))))</f>
        <v>FEFO auto</v>
      </c>
      <c r="AO585" s="114"/>
    </row>
    <row r="586" spans="1:41" x14ac:dyDescent="0.35">
      <c r="A586" s="74">
        <v>46150</v>
      </c>
      <c r="B586" s="18" t="str">
        <f>IF($C586="","",IFERROR(INDEX('Staff Directory'!$A$5:$A$594,MATCH($C586,'Staff Directory'!$B$5:$B$594,0)),"⚠ unknown staff"))</f>
        <v>RPN-002-A1</v>
      </c>
      <c r="C586" s="49" t="s">
        <v>933</v>
      </c>
      <c r="D586" s="19" t="str">
        <f>IF($B586="","",IFERROR(INDEX('Staff Directory'!$C$5:$C$594,MATCH($B586,'Staff Directory'!$A$5:$A$594,0)),""))</f>
        <v>RPN</v>
      </c>
      <c r="E586" s="19" t="str">
        <f>IF($B586="","",IFERROR(INDEX('Staff Directory'!$D$5:$D$594,MATCH($B586,'Staff Directory'!$A$5:$A$594,0)),""))</f>
        <v>A1</v>
      </c>
      <c r="F586" s="9" t="s">
        <v>159</v>
      </c>
      <c r="G586" s="18" t="str">
        <f>IF($F586="","",IFERROR(INDEX(Items!$B$5:$B$597,MATCH($F586,Items!$A$5:$A$597,0)),"⚠ not in Items"))</f>
        <v>Documents</v>
      </c>
      <c r="H586" s="19" t="str">
        <f>IF($F586="","",IFERROR(INDEX(Items!$C$5:$C$597,MATCH($F586,Items!$A$5:$A$597,0)),""))</f>
        <v>Standard</v>
      </c>
      <c r="I586" s="23">
        <f>IF($F586="","",IFERROR(INDEX(Items!$E$5:$E$597,MATCH($F586,Items!$A$5:$A$597,0)),""))</f>
        <v>20</v>
      </c>
      <c r="J586" s="115">
        <f>IF(tblIssues[[#This Row],[Qty Override]]&lt;&gt;"",tblIssues[[#This Row],[Qty Override]],IF(tblIssues[[#This Row],[Standard Issue]]="","",tblIssues[[#This Row],[Standard Issue]]))</f>
        <v>20</v>
      </c>
      <c r="K586" s="20">
        <f>IF($F586="","",IFERROR(INDEX(Items!$D$5:$D$597,MATCH($F586,Items!$A$5:$A$597,0)),""))</f>
        <v>0</v>
      </c>
      <c r="L586" s="21">
        <f t="shared" si="105"/>
        <v>0</v>
      </c>
      <c r="M586" s="9" t="str">
        <f t="shared" si="106"/>
        <v/>
      </c>
      <c r="N586" s="24">
        <f>IF($A586="","",WORKDAY($A586,Settings!$C$9,HolidayDates))</f>
        <v>46160</v>
      </c>
      <c r="O586" s="24">
        <f>IF($N586="","",WORKDAY($N586,Settings!$C$10,HolidayDates))</f>
        <v>46198</v>
      </c>
      <c r="P586" s="10" t="s">
        <v>502</v>
      </c>
      <c r="Q586" s="52" t="str">
        <f t="shared" si="97"/>
        <v>Collected</v>
      </c>
      <c r="R586" s="55" t="str">
        <f t="shared" si="98"/>
        <v>2026-05</v>
      </c>
      <c r="S586" s="55">
        <f>IF(OR($B586="",$F586="",$R586=""),"",SUMIFS(tblIssues[Qty Issued],tblIssues[Staff ID],$B586,tblIssues[Item Name],$F586,tblIssues[Month],$R586))</f>
        <v>20</v>
      </c>
      <c r="T586" s="56">
        <f>IF($I586="","",$I586*Settings!$C$11)</f>
        <v>20</v>
      </c>
      <c r="U586" s="57" t="str">
        <f t="shared" si="107"/>
        <v>OK</v>
      </c>
      <c r="V586" s="55" t="str">
        <f t="shared" si="99"/>
        <v/>
      </c>
      <c r="W586" s="55" t="str">
        <f>IF($V586="","",IF(COUNTIF($V$5:$V586,$V586)=1,1,""))</f>
        <v/>
      </c>
      <c r="X586" s="58" t="str">
        <f>IF($W586="","",MAX($X$4:X585)+1)</f>
        <v/>
      </c>
      <c r="Y586" s="62"/>
      <c r="Z586" s="62"/>
      <c r="AA586" s="64" t="str">
        <f>IF($C586="","",IFERROR(INDEX('Staff Directory'!$E$5:$E$594,MATCH($C586,'Staff Directory'!$B$5:$B$594,0)),""))</f>
        <v>firstname017.lastname017@example.com</v>
      </c>
      <c r="AB586" s="64" t="str">
        <f>IF($C586="","",IF(ISNUMBER(SEARCH($D586,Settings!$C$15)),"Pickup","Dispatch"))</f>
        <v>Dispatch</v>
      </c>
      <c r="AC586" s="64" t="str">
        <f t="shared" si="100"/>
        <v>Supply order dispatched</v>
      </c>
      <c r="AD586" s="64" t="str">
        <f t="shared" si="102"/>
        <v>Dear RPN,
Your order has been dispatched and is in transit. Reply if undelivered.</v>
      </c>
      <c r="AE586" s="64" t="str">
        <f t="shared" si="103"/>
        <v>mailto:firstname017.lastname017@example.com?subject=Supply%20order%20dispatched&amp;body=Dear%20RPN%2C%0A%0AYour%20order%20has%20been%20dispatched%20and%20is%20in%20transit.%20Reply%20if%20undelivered.</v>
      </c>
      <c r="AF586" s="89" t="str">
        <f t="shared" si="101"/>
        <v>Draft email</v>
      </c>
      <c r="AG586" s="64" t="str">
        <f>IF($C586="","",IFERROR(INDEX('Staff Directory'!$K$595:$K$599,MATCH($C586,'Staff Directory'!$B$5:$B$599,0)),$D586))</f>
        <v>RPN</v>
      </c>
      <c r="AH586" t="str">
        <f>IF($C586="","",IFERROR(INDEX('Staff Directory'!$I$595:$I$599,MATCH($C586,'Staff Directory'!$B$5:$B$599,0))&amp;" "&amp;INDEX('Staff Directory'!$J$595:$J$599,MATCH($C586,'Staff Directory'!$B$5:$B$599,0)),$AG586))</f>
        <v>RPN</v>
      </c>
      <c r="AI586" s="102"/>
      <c r="AJ586" s="101">
        <f>IF($F586="","",SUMIFS($J$5:$J586,$F$5:$F586,$F586))</f>
        <v>100</v>
      </c>
      <c r="AK586" s="101">
        <f t="shared" si="104"/>
        <v>81</v>
      </c>
      <c r="AL586" s="66" t="str" cm="1">
        <f t="array" ref="AL586">IF($F586="","",IFERROR(INDEX('Lot Balance'!$B$5:$B$500,MATCH(1,INDEX(('Lot Balance'!$A$5:$A$500=$F586)*('Lot Balance'!$K$5:$K$500&lt;$AK586)*('Lot Balance'!$K$5:$K$500+'Lot Balance'!$D$5:$D$500&gt;=$AK586),0),0)),""))</f>
        <v/>
      </c>
      <c r="AM586" s="66" t="str" cm="1">
        <f t="array" ref="AM586">IF($F586="","",IFERROR(INDEX('Lot Balance'!$B$5:$B$500,MATCH(1,INDEX(('Lot Balance'!$A$5:$A$500=$F586)*('Lot Balance'!$K$5:$K$500&lt;$AJ586)*('Lot Balance'!$K$5:$K$500+'Lot Balance'!$D$5:$D$500&gt;=$AJ586),0),0)),""))</f>
        <v/>
      </c>
      <c r="AN586" s="66" t="str">
        <f>IF($F586="","",IF($AI586&lt;&gt;"",IF(COUNTIFS('Lot Balance'!$A$5:$A$500,$F586,'Lot Balance'!$B$5:$B$500,$AI586)=0,"⚠ override is not a lot of this item",IF($AI586=$AL586,"Override = FEFO","Override - FEFO says "&amp;$AL586)),IF($AL586="","⚠ no receipt on file for this item",IF($AM586&lt;&gt;$AL586,"FEFO auto - split, also "&amp;$AM586,"FEFO auto"))))</f>
        <v>⚠ no receipt on file for this item</v>
      </c>
      <c r="AO586" s="114"/>
    </row>
    <row r="587" spans="1:41" x14ac:dyDescent="0.35">
      <c r="A587" s="74">
        <v>46150</v>
      </c>
      <c r="B587" s="18" t="str">
        <f>IF($C587="","",IFERROR(INDEX('Staff Directory'!$A$5:$A$594,MATCH($C587,'Staff Directory'!$B$5:$B$594,0)),"⚠ unknown staff"))</f>
        <v>RPN-002-A1</v>
      </c>
      <c r="C587" s="49" t="s">
        <v>933</v>
      </c>
      <c r="D587" s="19" t="str">
        <f>IF($B587="","",IFERROR(INDEX('Staff Directory'!$C$5:$C$594,MATCH($B587,'Staff Directory'!$A$5:$A$594,0)),""))</f>
        <v>RPN</v>
      </c>
      <c r="E587" s="19" t="str">
        <f>IF($B587="","",IFERROR(INDEX('Staff Directory'!$D$5:$D$594,MATCH($B587,'Staff Directory'!$A$5:$A$594,0)),""))</f>
        <v>A1</v>
      </c>
      <c r="F587" s="9" t="s">
        <v>162</v>
      </c>
      <c r="G587" s="18" t="str">
        <f>IF($F587="","",IFERROR(INDEX(Items!$B$5:$B$597,MATCH($F587,Items!$A$5:$A$597,0)),"⚠ not in Items"))</f>
        <v>Documents</v>
      </c>
      <c r="H587" s="19" t="str">
        <f>IF($F587="","",IFERROR(INDEX(Items!$C$5:$C$597,MATCH($F587,Items!$A$5:$A$597,0)),""))</f>
        <v>Standard</v>
      </c>
      <c r="I587" s="23">
        <f>IF($F587="","",IFERROR(INDEX(Items!$E$5:$E$597,MATCH($F587,Items!$A$5:$A$597,0)),""))</f>
        <v>20</v>
      </c>
      <c r="J587" s="115">
        <f>IF(tblIssues[[#This Row],[Qty Override]]&lt;&gt;"",tblIssues[[#This Row],[Qty Override]],IF(tblIssues[[#This Row],[Standard Issue]]="","",tblIssues[[#This Row],[Standard Issue]]))</f>
        <v>20</v>
      </c>
      <c r="K587" s="20">
        <f>IF($F587="","",IFERROR(INDEX(Items!$D$5:$D$597,MATCH($F587,Items!$A$5:$A$597,0)),""))</f>
        <v>0</v>
      </c>
      <c r="L587" s="21">
        <f t="shared" si="105"/>
        <v>0</v>
      </c>
      <c r="M587" s="9" t="str">
        <f t="shared" si="106"/>
        <v/>
      </c>
      <c r="N587" s="24">
        <f>IF($A587="","",WORKDAY($A587,Settings!$C$9,HolidayDates))</f>
        <v>46160</v>
      </c>
      <c r="O587" s="24">
        <f>IF($N587="","",WORKDAY($N587,Settings!$C$10,HolidayDates))</f>
        <v>46198</v>
      </c>
      <c r="P587" s="10" t="s">
        <v>502</v>
      </c>
      <c r="Q587" s="52" t="str">
        <f t="shared" si="97"/>
        <v>Collected</v>
      </c>
      <c r="R587" s="55" t="str">
        <f t="shared" si="98"/>
        <v>2026-05</v>
      </c>
      <c r="S587" s="55">
        <f>IF(OR($B587="",$F587="",$R587=""),"",SUMIFS(tblIssues[Qty Issued],tblIssues[Staff ID],$B587,tblIssues[Item Name],$F587,tblIssues[Month],$R587))</f>
        <v>20</v>
      </c>
      <c r="T587" s="56">
        <f>IF($I587="","",$I587*Settings!$C$11)</f>
        <v>20</v>
      </c>
      <c r="U587" s="57" t="str">
        <f t="shared" si="107"/>
        <v>OK</v>
      </c>
      <c r="V587" s="55" t="str">
        <f t="shared" si="99"/>
        <v/>
      </c>
      <c r="W587" s="55" t="str">
        <f>IF($V587="","",IF(COUNTIF($V$5:$V587,$V587)=1,1,""))</f>
        <v/>
      </c>
      <c r="X587" s="58" t="str">
        <f>IF($W587="","",MAX($X$4:X586)+1)</f>
        <v/>
      </c>
      <c r="Y587" s="62"/>
      <c r="Z587" s="62"/>
      <c r="AA587" s="64" t="str">
        <f>IF($C587="","",IFERROR(INDEX('Staff Directory'!$E$5:$E$594,MATCH($C587,'Staff Directory'!$B$5:$B$594,0)),""))</f>
        <v>firstname017.lastname017@example.com</v>
      </c>
      <c r="AB587" s="64" t="str">
        <f>IF($C587="","",IF(ISNUMBER(SEARCH($D587,Settings!$C$15)),"Pickup","Dispatch"))</f>
        <v>Dispatch</v>
      </c>
      <c r="AC587" s="64" t="str">
        <f t="shared" si="100"/>
        <v>Supply order dispatched</v>
      </c>
      <c r="AD587" s="64" t="str">
        <f t="shared" si="102"/>
        <v>Dear RPN,
Your order has been dispatched and is in transit. Reply if undelivered.</v>
      </c>
      <c r="AE587" s="64" t="str">
        <f t="shared" si="103"/>
        <v>mailto:firstname017.lastname017@example.com?subject=Supply%20order%20dispatched&amp;body=Dear%20RPN%2C%0A%0AYour%20order%20has%20been%20dispatched%20and%20is%20in%20transit.%20Reply%20if%20undelivered.</v>
      </c>
      <c r="AF587" s="89" t="str">
        <f t="shared" si="101"/>
        <v>Draft email</v>
      </c>
      <c r="AG587" s="64" t="str">
        <f>IF($C587="","",IFERROR(INDEX('Staff Directory'!$K$595:$K$599,MATCH($C587,'Staff Directory'!$B$5:$B$599,0)),$D587))</f>
        <v>RPN</v>
      </c>
      <c r="AH587" t="str">
        <f>IF($C587="","",IFERROR(INDEX('Staff Directory'!$I$595:$I$599,MATCH($C587,'Staff Directory'!$B$5:$B$599,0))&amp;" "&amp;INDEX('Staff Directory'!$J$595:$J$599,MATCH($C587,'Staff Directory'!$B$5:$B$599,0)),$AG587))</f>
        <v>RPN</v>
      </c>
      <c r="AI587" s="102"/>
      <c r="AJ587" s="101">
        <f>IF($F587="","",SUMIFS($J$5:$J587,$F$5:$F587,$F587))</f>
        <v>100</v>
      </c>
      <c r="AK587" s="101">
        <f t="shared" si="104"/>
        <v>81</v>
      </c>
      <c r="AL587" s="66" t="str" cm="1">
        <f t="array" ref="AL587">IF($F587="","",IFERROR(INDEX('Lot Balance'!$B$5:$B$500,MATCH(1,INDEX(('Lot Balance'!$A$5:$A$500=$F587)*('Lot Balance'!$K$5:$K$500&lt;$AK587)*('Lot Balance'!$K$5:$K$500+'Lot Balance'!$D$5:$D$500&gt;=$AK587),0),0)),""))</f>
        <v/>
      </c>
      <c r="AM587" s="66" t="str" cm="1">
        <f t="array" ref="AM587">IF($F587="","",IFERROR(INDEX('Lot Balance'!$B$5:$B$500,MATCH(1,INDEX(('Lot Balance'!$A$5:$A$500=$F587)*('Lot Balance'!$K$5:$K$500&lt;$AJ587)*('Lot Balance'!$K$5:$K$500+'Lot Balance'!$D$5:$D$500&gt;=$AJ587),0),0)),""))</f>
        <v/>
      </c>
      <c r="AN587" s="66" t="str">
        <f>IF($F587="","",IF($AI587&lt;&gt;"",IF(COUNTIFS('Lot Balance'!$A$5:$A$500,$F587,'Lot Balance'!$B$5:$B$500,$AI587)=0,"⚠ override is not a lot of this item",IF($AI587=$AL587,"Override = FEFO","Override - FEFO says "&amp;$AL587)),IF($AL587="","⚠ no receipt on file for this item",IF($AM587&lt;&gt;$AL587,"FEFO auto - split, also "&amp;$AM587,"FEFO auto"))))</f>
        <v>⚠ no receipt on file for this item</v>
      </c>
      <c r="AO587" s="114"/>
    </row>
    <row r="588" spans="1:41" x14ac:dyDescent="0.35">
      <c r="A588" s="74">
        <v>46150</v>
      </c>
      <c r="B588" s="18" t="str">
        <f>IF($C588="","",IFERROR(INDEX('Staff Directory'!$A$5:$A$594,MATCH($C588,'Staff Directory'!$B$5:$B$594,0)),"⚠ unknown staff"))</f>
        <v>RPN-002-A1</v>
      </c>
      <c r="C588" s="49" t="s">
        <v>933</v>
      </c>
      <c r="D588" s="19" t="str">
        <f>IF($B588="","",IFERROR(INDEX('Staff Directory'!$C$5:$C$594,MATCH($B588,'Staff Directory'!$A$5:$A$594,0)),""))</f>
        <v>RPN</v>
      </c>
      <c r="E588" s="19" t="str">
        <f>IF($B588="","",IFERROR(INDEX('Staff Directory'!$D$5:$D$594,MATCH($B588,'Staff Directory'!$A$5:$A$594,0)),""))</f>
        <v>A1</v>
      </c>
      <c r="F588" s="9" t="s">
        <v>757</v>
      </c>
      <c r="G588" s="18" t="str">
        <f>IF($F588="","",IFERROR(INDEX(Items!$B$5:$B$597,MATCH($F588,Items!$A$5:$A$597,0)),"⚠ not in Items"))</f>
        <v>Documents</v>
      </c>
      <c r="H588" s="19" t="str">
        <f>IF($F588="","",IFERROR(INDEX(Items!$C$5:$C$597,MATCH($F588,Items!$A$5:$A$597,0)),""))</f>
        <v>Standard</v>
      </c>
      <c r="I588" s="23">
        <f>IF($F588="","",IFERROR(INDEX(Items!$E$5:$E$597,MATCH($F588,Items!$A$5:$A$597,0)),""))</f>
        <v>10</v>
      </c>
      <c r="J588" s="115">
        <f>IF(tblIssues[[#This Row],[Qty Override]]&lt;&gt;"",tblIssues[[#This Row],[Qty Override]],IF(tblIssues[[#This Row],[Standard Issue]]="","",tblIssues[[#This Row],[Standard Issue]]))</f>
        <v>10</v>
      </c>
      <c r="K588" s="20">
        <f>IF($F588="","",IFERROR(INDEX(Items!$D$5:$D$597,MATCH($F588,Items!$A$5:$A$597,0)),""))</f>
        <v>0</v>
      </c>
      <c r="L588" s="21">
        <f t="shared" si="105"/>
        <v>0</v>
      </c>
      <c r="M588" s="9" t="str">
        <f t="shared" si="106"/>
        <v/>
      </c>
      <c r="N588" s="24">
        <f>IF($A588="","",WORKDAY($A588,Settings!$C$9,HolidayDates))</f>
        <v>46160</v>
      </c>
      <c r="O588" s="24">
        <f>IF($N588="","",WORKDAY($N588,Settings!$C$10,HolidayDates))</f>
        <v>46198</v>
      </c>
      <c r="P588" s="10" t="s">
        <v>502</v>
      </c>
      <c r="Q588" s="52" t="str">
        <f t="shared" si="97"/>
        <v>Collected</v>
      </c>
      <c r="R588" s="55" t="str">
        <f t="shared" si="98"/>
        <v>2026-05</v>
      </c>
      <c r="S588" s="55">
        <f>IF(OR($B588="",$F588="",$R588=""),"",SUMIFS(tblIssues[Qty Issued],tblIssues[Staff ID],$B588,tblIssues[Item Name],$F588,tblIssues[Month],$R588))</f>
        <v>10</v>
      </c>
      <c r="T588" s="56">
        <f>IF($I588="","",$I588*Settings!$C$11)</f>
        <v>10</v>
      </c>
      <c r="U588" s="57" t="str">
        <f t="shared" si="107"/>
        <v>OK</v>
      </c>
      <c r="V588" s="55" t="str">
        <f t="shared" si="99"/>
        <v/>
      </c>
      <c r="W588" s="55" t="str">
        <f>IF($V588="","",IF(COUNTIF($V$5:$V588,$V588)=1,1,""))</f>
        <v/>
      </c>
      <c r="X588" s="58" t="str">
        <f>IF($W588="","",MAX($X$4:X587)+1)</f>
        <v/>
      </c>
      <c r="Y588" s="62"/>
      <c r="Z588" s="62"/>
      <c r="AA588" s="64" t="str">
        <f>IF($C588="","",IFERROR(INDEX('Staff Directory'!$E$5:$E$594,MATCH($C588,'Staff Directory'!$B$5:$B$594,0)),""))</f>
        <v>firstname017.lastname017@example.com</v>
      </c>
      <c r="AB588" s="64" t="str">
        <f>IF($C588="","",IF(ISNUMBER(SEARCH($D588,Settings!$C$15)),"Pickup","Dispatch"))</f>
        <v>Dispatch</v>
      </c>
      <c r="AC588" s="64" t="str">
        <f t="shared" si="100"/>
        <v>Supply order dispatched</v>
      </c>
      <c r="AD588" s="64" t="str">
        <f t="shared" si="102"/>
        <v>Dear RPN,
Your order has been dispatched and is in transit. Reply if undelivered.</v>
      </c>
      <c r="AE588" s="64" t="str">
        <f t="shared" si="103"/>
        <v>mailto:firstname017.lastname017@example.com?subject=Supply%20order%20dispatched&amp;body=Dear%20RPN%2C%0A%0AYour%20order%20has%20been%20dispatched%20and%20is%20in%20transit.%20Reply%20if%20undelivered.</v>
      </c>
      <c r="AF588" s="89" t="str">
        <f t="shared" si="101"/>
        <v>Draft email</v>
      </c>
      <c r="AG588" s="64" t="str">
        <f>IF($C588="","",IFERROR(INDEX('Staff Directory'!$K$595:$K$599,MATCH($C588,'Staff Directory'!$B$5:$B$599,0)),$D588))</f>
        <v>RPN</v>
      </c>
      <c r="AH588" t="str">
        <f>IF($C588="","",IFERROR(INDEX('Staff Directory'!$I$595:$I$599,MATCH($C588,'Staff Directory'!$B$5:$B$599,0))&amp;" "&amp;INDEX('Staff Directory'!$J$595:$J$599,MATCH($C588,'Staff Directory'!$B$5:$B$599,0)),$AG588))</f>
        <v>RPN</v>
      </c>
      <c r="AI588" s="102"/>
      <c r="AJ588" s="101">
        <f>IF($F588="","",SUMIFS($J$5:$J588,$F$5:$F588,$F588))</f>
        <v>180</v>
      </c>
      <c r="AK588" s="101">
        <f t="shared" si="104"/>
        <v>171</v>
      </c>
      <c r="AL588" s="66" t="str" cm="1">
        <f t="array" ref="AL588">IF($F588="","",IFERROR(INDEX('Lot Balance'!$B$5:$B$500,MATCH(1,INDEX(('Lot Balance'!$A$5:$A$500=$F588)*('Lot Balance'!$K$5:$K$500&lt;$AK588)*('Lot Balance'!$K$5:$K$500+'Lot Balance'!$D$5:$D$500&gt;=$AK588),0),0)),""))</f>
        <v/>
      </c>
      <c r="AM588" s="66" t="str" cm="1">
        <f t="array" ref="AM588">IF($F588="","",IFERROR(INDEX('Lot Balance'!$B$5:$B$500,MATCH(1,INDEX(('Lot Balance'!$A$5:$A$500=$F588)*('Lot Balance'!$K$5:$K$500&lt;$AJ588)*('Lot Balance'!$K$5:$K$500+'Lot Balance'!$D$5:$D$500&gt;=$AJ588),0),0)),""))</f>
        <v/>
      </c>
      <c r="AN588" s="66" t="str">
        <f>IF($F588="","",IF($AI588&lt;&gt;"",IF(COUNTIFS('Lot Balance'!$A$5:$A$500,$F588,'Lot Balance'!$B$5:$B$500,$AI588)=0,"⚠ override is not a lot of this item",IF($AI588=$AL588,"Override = FEFO","Override - FEFO says "&amp;$AL588)),IF($AL588="","⚠ no receipt on file for this item",IF($AM588&lt;&gt;$AL588,"FEFO auto - split, also "&amp;$AM588,"FEFO auto"))))</f>
        <v>⚠ no receipt on file for this item</v>
      </c>
      <c r="AO588" s="114"/>
    </row>
    <row r="589" spans="1:41" x14ac:dyDescent="0.35">
      <c r="A589" s="74">
        <v>46150</v>
      </c>
      <c r="B589" s="18" t="str">
        <f>IF($C589="","",IFERROR(INDEX('Staff Directory'!$A$5:$A$594,MATCH($C589,'Staff Directory'!$B$5:$B$594,0)),"⚠ unknown staff"))</f>
        <v>RPN-006-A1</v>
      </c>
      <c r="C589" s="49" t="s">
        <v>958</v>
      </c>
      <c r="D589" s="19" t="str">
        <f>IF($B589="","",IFERROR(INDEX('Staff Directory'!$C$5:$C$594,MATCH($B589,'Staff Directory'!$A$5:$A$594,0)),""))</f>
        <v>RPN</v>
      </c>
      <c r="E589" s="19" t="str">
        <f>IF($B589="","",IFERROR(INDEX('Staff Directory'!$D$5:$D$594,MATCH($B589,'Staff Directory'!$A$5:$A$594,0)),""))</f>
        <v>A1</v>
      </c>
      <c r="F589" s="9" t="s">
        <v>191</v>
      </c>
      <c r="G589" s="18" t="str">
        <f>IF($F589="","",IFERROR(INDEX(Items!$B$5:$B$597,MATCH($F589,Items!$A$5:$A$597,0)),"⚠ not in Items"))</f>
        <v>Sanitizer</v>
      </c>
      <c r="H589" s="19" t="str">
        <f>IF($F589="","",IFERROR(INDEX(Items!$C$5:$C$597,MATCH($F589,Items!$A$5:$A$597,0)),""))</f>
        <v>236 ML</v>
      </c>
      <c r="I589" s="23">
        <f>IF($F589="","",IFERROR(INDEX(Items!$E$5:$E$597,MATCH($F589,Items!$A$5:$A$597,0)),""))</f>
        <v>1</v>
      </c>
      <c r="J589" s="115">
        <f>IF(tblIssues[[#This Row],[Qty Override]]&lt;&gt;"",tblIssues[[#This Row],[Qty Override]],IF(tblIssues[[#This Row],[Standard Issue]]="","",tblIssues[[#This Row],[Standard Issue]]))</f>
        <v>1</v>
      </c>
      <c r="K589" s="20">
        <f>IF($F589="","",IFERROR(INDEX(Items!$D$5:$D$597,MATCH($F589,Items!$A$5:$A$597,0)),""))</f>
        <v>1E-4</v>
      </c>
      <c r="L589" s="21">
        <f t="shared" si="105"/>
        <v>1E-4</v>
      </c>
      <c r="M589" s="9" t="str">
        <f t="shared" si="106"/>
        <v>20-21734-2</v>
      </c>
      <c r="N589" s="24">
        <f>IF($A589="","",WORKDAY($A589,Settings!$C$9,HolidayDates))</f>
        <v>46160</v>
      </c>
      <c r="O589" s="24">
        <f>IF($N589="","",WORKDAY($N589,Settings!$C$10,HolidayDates))</f>
        <v>46198</v>
      </c>
      <c r="P589" s="10" t="s">
        <v>502</v>
      </c>
      <c r="Q589" s="52" t="str">
        <f t="shared" si="97"/>
        <v>Collected</v>
      </c>
      <c r="R589" s="55" t="str">
        <f t="shared" si="98"/>
        <v>2026-05</v>
      </c>
      <c r="S589" s="55">
        <f>IF(OR($B589="",$F589="",$R589=""),"",SUMIFS(tblIssues[Qty Issued],tblIssues[Staff ID],$B589,tblIssues[Item Name],$F589,tblIssues[Month],$R589))</f>
        <v>1</v>
      </c>
      <c r="T589" s="56">
        <f>IF($I589="","",$I589*Settings!$C$11)</f>
        <v>1</v>
      </c>
      <c r="U589" s="57" t="str">
        <f t="shared" si="107"/>
        <v>OK</v>
      </c>
      <c r="V589" s="55" t="str">
        <f t="shared" si="99"/>
        <v/>
      </c>
      <c r="W589" s="55" t="str">
        <f>IF($V589="","",IF(COUNTIF($V$5:$V589,$V589)=1,1,""))</f>
        <v/>
      </c>
      <c r="X589" s="58" t="str">
        <f>IF($W589="","",MAX($X$4:X588)+1)</f>
        <v/>
      </c>
      <c r="Y589" s="62"/>
      <c r="Z589" s="62"/>
      <c r="AA589" s="64" t="str">
        <f>IF($C589="","",IFERROR(INDEX('Staff Directory'!$E$5:$E$594,MATCH($C589,'Staff Directory'!$B$5:$B$594,0)),""))</f>
        <v>firstname042.lastname042@example.com</v>
      </c>
      <c r="AB589" s="64" t="str">
        <f>IF($C589="","",IF(ISNUMBER(SEARCH($D589,Settings!$C$15)),"Pickup","Dispatch"))</f>
        <v>Dispatch</v>
      </c>
      <c r="AC589" s="64" t="str">
        <f t="shared" si="100"/>
        <v>Supply order dispatched</v>
      </c>
      <c r="AD589" s="64" t="str">
        <f t="shared" si="102"/>
        <v>Dear RPN,
Your order has been dispatched and is in transit. Reply if undelivered.</v>
      </c>
      <c r="AE589" s="64" t="str">
        <f t="shared" si="103"/>
        <v>mailto:firstname042.lastname042@example.com?subject=Supply%20order%20dispatched&amp;body=Dear%20RPN%2C%0A%0AYour%20order%20has%20been%20dispatched%20and%20is%20in%20transit.%20Reply%20if%20undelivered.</v>
      </c>
      <c r="AF589" s="89" t="str">
        <f t="shared" si="101"/>
        <v>Draft email</v>
      </c>
      <c r="AG589" s="64" t="str">
        <f>IF($C589="","",IFERROR(INDEX('Staff Directory'!$K$595:$K$599,MATCH($C589,'Staff Directory'!$B$5:$B$599,0)),$D589))</f>
        <v>RPN</v>
      </c>
      <c r="AH589" t="str">
        <f>IF($C589="","",IFERROR(INDEX('Staff Directory'!$I$595:$I$599,MATCH($C589,'Staff Directory'!$B$5:$B$599,0))&amp;" "&amp;INDEX('Staff Directory'!$J$595:$J$599,MATCH($C589,'Staff Directory'!$B$5:$B$599,0)),$AG589))</f>
        <v>RPN</v>
      </c>
      <c r="AI589" s="102"/>
      <c r="AJ589" s="101">
        <f>IF($F589="","",SUMIFS($J$5:$J589,$F$5:$F589,$F589))</f>
        <v>67</v>
      </c>
      <c r="AK589" s="101">
        <f t="shared" si="104"/>
        <v>67</v>
      </c>
      <c r="AL589" s="66" t="str" cm="1">
        <f t="array" ref="AL589">IF($F589="","",IFERROR(INDEX('Lot Balance'!$B$5:$B$500,MATCH(1,INDEX(('Lot Balance'!$A$5:$A$500=$F589)*('Lot Balance'!$K$5:$K$500&lt;$AK589)*('Lot Balance'!$K$5:$K$500+'Lot Balance'!$D$5:$D$500&gt;=$AK589),0),0)),""))</f>
        <v>20-21734-2</v>
      </c>
      <c r="AM589" s="66" t="str" cm="1">
        <f t="array" ref="AM589">IF($F589="","",IFERROR(INDEX('Lot Balance'!$B$5:$B$500,MATCH(1,INDEX(('Lot Balance'!$A$5:$A$500=$F589)*('Lot Balance'!$K$5:$K$500&lt;$AJ589)*('Lot Balance'!$K$5:$K$500+'Lot Balance'!$D$5:$D$500&gt;=$AJ589),0),0)),""))</f>
        <v>20-21734-2</v>
      </c>
      <c r="AN589" s="66" t="str">
        <f>IF($F589="","",IF($AI589&lt;&gt;"",IF(COUNTIFS('Lot Balance'!$A$5:$A$500,$F589,'Lot Balance'!$B$5:$B$500,$AI589)=0,"⚠ override is not a lot of this item",IF($AI589=$AL589,"Override = FEFO","Override - FEFO says "&amp;$AL589)),IF($AL589="","⚠ no receipt on file for this item",IF($AM589&lt;&gt;$AL589,"FEFO auto - split, also "&amp;$AM589,"FEFO auto"))))</f>
        <v>FEFO auto</v>
      </c>
      <c r="AO589" s="114"/>
    </row>
    <row r="590" spans="1:41" x14ac:dyDescent="0.35">
      <c r="A590" s="74">
        <v>46150</v>
      </c>
      <c r="B590" s="18" t="str">
        <f>IF($C590="","",IFERROR(INDEX('Staff Directory'!$A$5:$A$594,MATCH($C590,'Staff Directory'!$B$5:$B$594,0)),"⚠ unknown staff"))</f>
        <v>RPN-006-A1</v>
      </c>
      <c r="C590" s="49" t="s">
        <v>958</v>
      </c>
      <c r="D590" s="19" t="str">
        <f>IF($B590="","",IFERROR(INDEX('Staff Directory'!$C$5:$C$594,MATCH($B590,'Staff Directory'!$A$5:$A$594,0)),""))</f>
        <v>RPN</v>
      </c>
      <c r="E590" s="19" t="str">
        <f>IF($B590="","",IFERROR(INDEX('Staff Directory'!$D$5:$D$594,MATCH($B590,'Staff Directory'!$A$5:$A$594,0)),""))</f>
        <v>A1</v>
      </c>
      <c r="F590" s="9" t="s">
        <v>156</v>
      </c>
      <c r="G590" s="18" t="str">
        <f>IF($F590="","",IFERROR(INDEX(Items!$B$5:$B$597,MATCH($F590,Items!$A$5:$A$597,0)),"⚠ not in Items"))</f>
        <v>Masks</v>
      </c>
      <c r="H590" s="19" t="str">
        <f>IF($F590="","",IFERROR(INDEX(Items!$C$5:$C$597,MATCH($F590,Items!$A$5:$A$597,0)),""))</f>
        <v>One Size</v>
      </c>
      <c r="I590" s="23">
        <f>IF($F590="","",IFERROR(INDEX(Items!$E$5:$E$597,MATCH($F590,Items!$A$5:$A$597,0)),""))</f>
        <v>50</v>
      </c>
      <c r="J590" s="115">
        <f>IF(tblIssues[[#This Row],[Qty Override]]&lt;&gt;"",tblIssues[[#This Row],[Qty Override]],IF(tblIssues[[#This Row],[Standard Issue]]="","",tblIssues[[#This Row],[Standard Issue]]))</f>
        <v>50</v>
      </c>
      <c r="K590" s="20">
        <f>IF($F590="","",IFERROR(INDEX(Items!$D$5:$D$597,MATCH($F590,Items!$A$5:$A$597,0)),""))</f>
        <v>0.25</v>
      </c>
      <c r="L590" s="21">
        <f t="shared" si="105"/>
        <v>12.5</v>
      </c>
      <c r="M590" s="9" t="str">
        <f t="shared" si="106"/>
        <v>0125FPC24-0</v>
      </c>
      <c r="N590" s="24">
        <f>IF($A590="","",WORKDAY($A590,Settings!$C$9,HolidayDates))</f>
        <v>46160</v>
      </c>
      <c r="O590" s="24">
        <f>IF($N590="","",WORKDAY($N590,Settings!$C$10,HolidayDates))</f>
        <v>46198</v>
      </c>
      <c r="P590" s="10" t="s">
        <v>502</v>
      </c>
      <c r="Q590" s="52" t="str">
        <f t="shared" ref="Q590:Q653" si="108">IF($A590="","",IF($P590&lt;&gt;"","Collected","Pending"))</f>
        <v>Collected</v>
      </c>
      <c r="R590" s="55" t="str">
        <f t="shared" ref="R590:R653" si="109">IF($A590="","",TEXT($A590,"yyyy-mm"))</f>
        <v>2026-05</v>
      </c>
      <c r="S590" s="55">
        <f>IF(OR($B590="",$F590="",$R590=""),"",SUMIFS(tblIssues[Qty Issued],tblIssues[Staff ID],$B590,tblIssues[Item Name],$F590,tblIssues[Month],$R590))</f>
        <v>50</v>
      </c>
      <c r="T590" s="56">
        <f>IF($I590="","",$I590*Settings!$C$11)</f>
        <v>50</v>
      </c>
      <c r="U590" s="57" t="str">
        <f t="shared" si="107"/>
        <v>OK</v>
      </c>
      <c r="V590" s="55" t="str">
        <f t="shared" ref="V590:V653" si="110">IF($U590="⚠ OVER QUOTA",$B590&amp;" | "&amp;$F590&amp;" | "&amp;$R590,"")</f>
        <v/>
      </c>
      <c r="W590" s="55" t="str">
        <f>IF($V590="","",IF(COUNTIF($V$5:$V590,$V590)=1,1,""))</f>
        <v/>
      </c>
      <c r="X590" s="58" t="str">
        <f>IF($W590="","",MAX($X$4:X589)+1)</f>
        <v/>
      </c>
      <c r="Y590" s="62"/>
      <c r="Z590" s="62"/>
      <c r="AA590" s="64" t="str">
        <f>IF($C590="","",IFERROR(INDEX('Staff Directory'!$E$5:$E$594,MATCH($C590,'Staff Directory'!$B$5:$B$594,0)),""))</f>
        <v>firstname042.lastname042@example.com</v>
      </c>
      <c r="AB590" s="64" t="str">
        <f>IF($C590="","",IF(ISNUMBER(SEARCH($D590,Settings!$C$15)),"Pickup","Dispatch"))</f>
        <v>Dispatch</v>
      </c>
      <c r="AC590" s="64" t="str">
        <f t="shared" ref="AC590:AC653" si="111">IF($AB590="Pickup","Supply order ready for pickup",IF($AB590="Dispatch","Supply order dispatched",""))</f>
        <v>Supply order dispatched</v>
      </c>
      <c r="AD590" s="64" t="str">
        <f t="shared" si="102"/>
        <v>Dear RPN,
Your order has been dispatched and is in transit. Reply if undelivered.</v>
      </c>
      <c r="AE590" s="64" t="str">
        <f t="shared" si="103"/>
        <v>mailto:firstname042.lastname042@example.com?subject=Supply%20order%20dispatched&amp;body=Dear%20RPN%2C%0A%0AYour%20order%20has%20been%20dispatched%20and%20is%20in%20transit.%20Reply%20if%20undelivered.</v>
      </c>
      <c r="AF590" s="89" t="str">
        <f t="shared" ref="AF590:AF653" si="112">IF(AE590="","",HYPERLINK(AE590,"Draft email"))</f>
        <v>Draft email</v>
      </c>
      <c r="AG590" s="64" t="str">
        <f>IF($C590="","",IFERROR(INDEX('Staff Directory'!$K$595:$K$599,MATCH($C590,'Staff Directory'!$B$5:$B$599,0)),$D590))</f>
        <v>RPN</v>
      </c>
      <c r="AH590" t="str">
        <f>IF($C590="","",IFERROR(INDEX('Staff Directory'!$I$595:$I$599,MATCH($C590,'Staff Directory'!$B$5:$B$599,0))&amp;" "&amp;INDEX('Staff Directory'!$J$595:$J$599,MATCH($C590,'Staff Directory'!$B$5:$B$599,0)),$AG590))</f>
        <v>RPN</v>
      </c>
      <c r="AI590" s="102"/>
      <c r="AJ590" s="101">
        <f>IF($F590="","",SUMIFS($J$5:$J590,$F$5:$F590,$F590))</f>
        <v>4900</v>
      </c>
      <c r="AK590" s="101">
        <f t="shared" si="104"/>
        <v>4851</v>
      </c>
      <c r="AL590" s="66" t="str" cm="1">
        <f t="array" ref="AL590">IF($F590="","",IFERROR(INDEX('Lot Balance'!$B$5:$B$500,MATCH(1,INDEX(('Lot Balance'!$A$5:$A$500=$F590)*('Lot Balance'!$K$5:$K$500&lt;$AK590)*('Lot Balance'!$K$5:$K$500+'Lot Balance'!$D$5:$D$500&gt;=$AK590),0),0)),""))</f>
        <v>0125FPC24-0</v>
      </c>
      <c r="AM590" s="66" t="str" cm="1">
        <f t="array" ref="AM590">IF($F590="","",IFERROR(INDEX('Lot Balance'!$B$5:$B$500,MATCH(1,INDEX(('Lot Balance'!$A$5:$A$500=$F590)*('Lot Balance'!$K$5:$K$500&lt;$AJ590)*('Lot Balance'!$K$5:$K$500+'Lot Balance'!$D$5:$D$500&gt;=$AJ590),0),0)),""))</f>
        <v>0125FPC24-0</v>
      </c>
      <c r="AN590" s="66" t="str">
        <f>IF($F590="","",IF($AI590&lt;&gt;"",IF(COUNTIFS('Lot Balance'!$A$5:$A$500,$F590,'Lot Balance'!$B$5:$B$500,$AI590)=0,"⚠ override is not a lot of this item",IF($AI590=$AL590,"Override = FEFO","Override - FEFO says "&amp;$AL590)),IF($AL590="","⚠ no receipt on file for this item",IF($AM590&lt;&gt;$AL590,"FEFO auto - split, also "&amp;$AM590,"FEFO auto"))))</f>
        <v>FEFO auto</v>
      </c>
      <c r="AO590" s="114"/>
    </row>
    <row r="591" spans="1:41" x14ac:dyDescent="0.35">
      <c r="A591" s="74">
        <v>46150</v>
      </c>
      <c r="B591" s="18" t="str">
        <f>IF($C591="","",IFERROR(INDEX('Staff Directory'!$A$5:$A$594,MATCH($C591,'Staff Directory'!$B$5:$B$594,0)),"⚠ unknown staff"))</f>
        <v>RPN-006-A1</v>
      </c>
      <c r="C591" s="49" t="s">
        <v>958</v>
      </c>
      <c r="D591" s="19" t="str">
        <f>IF($B591="","",IFERROR(INDEX('Staff Directory'!$C$5:$C$594,MATCH($B591,'Staff Directory'!$A$5:$A$594,0)),""))</f>
        <v>RPN</v>
      </c>
      <c r="E591" s="19" t="str">
        <f>IF($B591="","",IFERROR(INDEX('Staff Directory'!$D$5:$D$594,MATCH($B591,'Staff Directory'!$A$5:$A$594,0)),""))</f>
        <v>A1</v>
      </c>
      <c r="F591" s="9" t="s">
        <v>159</v>
      </c>
      <c r="G591" s="18" t="str">
        <f>IF($F591="","",IFERROR(INDEX(Items!$B$5:$B$597,MATCH($F591,Items!$A$5:$A$597,0)),"⚠ not in Items"))</f>
        <v>Documents</v>
      </c>
      <c r="H591" s="19" t="str">
        <f>IF($F591="","",IFERROR(INDEX(Items!$C$5:$C$597,MATCH($F591,Items!$A$5:$A$597,0)),""))</f>
        <v>Standard</v>
      </c>
      <c r="I591" s="23">
        <f>IF($F591="","",IFERROR(INDEX(Items!$E$5:$E$597,MATCH($F591,Items!$A$5:$A$597,0)),""))</f>
        <v>20</v>
      </c>
      <c r="J591" s="115">
        <f>IF(tblIssues[[#This Row],[Qty Override]]&lt;&gt;"",tblIssues[[#This Row],[Qty Override]],IF(tblIssues[[#This Row],[Standard Issue]]="","",tblIssues[[#This Row],[Standard Issue]]))</f>
        <v>20</v>
      </c>
      <c r="K591" s="20">
        <f>IF($F591="","",IFERROR(INDEX(Items!$D$5:$D$597,MATCH($F591,Items!$A$5:$A$597,0)),""))</f>
        <v>0</v>
      </c>
      <c r="L591" s="21">
        <f t="shared" si="105"/>
        <v>0</v>
      </c>
      <c r="M591" s="9" t="str">
        <f t="shared" si="106"/>
        <v/>
      </c>
      <c r="N591" s="24">
        <f>IF($A591="","",WORKDAY($A591,Settings!$C$9,HolidayDates))</f>
        <v>46160</v>
      </c>
      <c r="O591" s="24">
        <f>IF($N591="","",WORKDAY($N591,Settings!$C$10,HolidayDates))</f>
        <v>46198</v>
      </c>
      <c r="P591" s="10" t="s">
        <v>502</v>
      </c>
      <c r="Q591" s="52" t="str">
        <f t="shared" si="108"/>
        <v>Collected</v>
      </c>
      <c r="R591" s="55" t="str">
        <f t="shared" si="109"/>
        <v>2026-05</v>
      </c>
      <c r="S591" s="55">
        <f>IF(OR($B591="",$F591="",$R591=""),"",SUMIFS(tblIssues[Qty Issued],tblIssues[Staff ID],$B591,tblIssues[Item Name],$F591,tblIssues[Month],$R591))</f>
        <v>20</v>
      </c>
      <c r="T591" s="56">
        <f>IF($I591="","",$I591*Settings!$C$11)</f>
        <v>20</v>
      </c>
      <c r="U591" s="57" t="str">
        <f t="shared" si="107"/>
        <v>OK</v>
      </c>
      <c r="V591" s="55" t="str">
        <f t="shared" si="110"/>
        <v/>
      </c>
      <c r="W591" s="55" t="str">
        <f>IF($V591="","",IF(COUNTIF($V$5:$V591,$V591)=1,1,""))</f>
        <v/>
      </c>
      <c r="X591" s="58" t="str">
        <f>IF($W591="","",MAX($X$4:X590)+1)</f>
        <v/>
      </c>
      <c r="Y591" s="62"/>
      <c r="Z591" s="62"/>
      <c r="AA591" s="64" t="str">
        <f>IF($C591="","",IFERROR(INDEX('Staff Directory'!$E$5:$E$594,MATCH($C591,'Staff Directory'!$B$5:$B$594,0)),""))</f>
        <v>firstname042.lastname042@example.com</v>
      </c>
      <c r="AB591" s="64" t="str">
        <f>IF($C591="","",IF(ISNUMBER(SEARCH($D591,Settings!$C$15)),"Pickup","Dispatch"))</f>
        <v>Dispatch</v>
      </c>
      <c r="AC591" s="64" t="str">
        <f t="shared" si="111"/>
        <v>Supply order dispatched</v>
      </c>
      <c r="AD591" s="64" t="str">
        <f t="shared" si="102"/>
        <v>Dear RPN,
Your order has been dispatched and is in transit. Reply if undelivered.</v>
      </c>
      <c r="AE591" s="64" t="str">
        <f t="shared" si="103"/>
        <v>mailto:firstname042.lastname042@example.com?subject=Supply%20order%20dispatched&amp;body=Dear%20RPN%2C%0A%0AYour%20order%20has%20been%20dispatched%20and%20is%20in%20transit.%20Reply%20if%20undelivered.</v>
      </c>
      <c r="AF591" s="89" t="str">
        <f t="shared" si="112"/>
        <v>Draft email</v>
      </c>
      <c r="AG591" s="64" t="str">
        <f>IF($C591="","",IFERROR(INDEX('Staff Directory'!$K$595:$K$599,MATCH($C591,'Staff Directory'!$B$5:$B$599,0)),$D591))</f>
        <v>RPN</v>
      </c>
      <c r="AH591" t="str">
        <f>IF($C591="","",IFERROR(INDEX('Staff Directory'!$I$595:$I$599,MATCH($C591,'Staff Directory'!$B$5:$B$599,0))&amp;" "&amp;INDEX('Staff Directory'!$J$595:$J$599,MATCH($C591,'Staff Directory'!$B$5:$B$599,0)),$AG591))</f>
        <v>RPN</v>
      </c>
      <c r="AI591" s="102"/>
      <c r="AJ591" s="101">
        <f>IF($F591="","",SUMIFS($J$5:$J591,$F$5:$F591,$F591))</f>
        <v>120</v>
      </c>
      <c r="AK591" s="101">
        <f t="shared" si="104"/>
        <v>101</v>
      </c>
      <c r="AL591" s="66" t="str" cm="1">
        <f t="array" ref="AL591">IF($F591="","",IFERROR(INDEX('Lot Balance'!$B$5:$B$500,MATCH(1,INDEX(('Lot Balance'!$A$5:$A$500=$F591)*('Lot Balance'!$K$5:$K$500&lt;$AK591)*('Lot Balance'!$K$5:$K$500+'Lot Balance'!$D$5:$D$500&gt;=$AK591),0),0)),""))</f>
        <v/>
      </c>
      <c r="AM591" s="66" t="str" cm="1">
        <f t="array" ref="AM591">IF($F591="","",IFERROR(INDEX('Lot Balance'!$B$5:$B$500,MATCH(1,INDEX(('Lot Balance'!$A$5:$A$500=$F591)*('Lot Balance'!$K$5:$K$500&lt;$AJ591)*('Lot Balance'!$K$5:$K$500+'Lot Balance'!$D$5:$D$500&gt;=$AJ591),0),0)),""))</f>
        <v/>
      </c>
      <c r="AN591" s="66" t="str">
        <f>IF($F591="","",IF($AI591&lt;&gt;"",IF(COUNTIFS('Lot Balance'!$A$5:$A$500,$F591,'Lot Balance'!$B$5:$B$500,$AI591)=0,"⚠ override is not a lot of this item",IF($AI591=$AL591,"Override = FEFO","Override - FEFO says "&amp;$AL591)),IF($AL591="","⚠ no receipt on file for this item",IF($AM591&lt;&gt;$AL591,"FEFO auto - split, also "&amp;$AM591,"FEFO auto"))))</f>
        <v>⚠ no receipt on file for this item</v>
      </c>
      <c r="AO591" s="114"/>
    </row>
    <row r="592" spans="1:41" x14ac:dyDescent="0.35">
      <c r="A592" s="74">
        <v>46150</v>
      </c>
      <c r="B592" s="18" t="str">
        <f>IF($C592="","",IFERROR(INDEX('Staff Directory'!$A$5:$A$594,MATCH($C592,'Staff Directory'!$B$5:$B$594,0)),"⚠ unknown staff"))</f>
        <v>RPN-006-A1</v>
      </c>
      <c r="C592" s="49" t="s">
        <v>958</v>
      </c>
      <c r="D592" s="19" t="str">
        <f>IF($B592="","",IFERROR(INDEX('Staff Directory'!$C$5:$C$594,MATCH($B592,'Staff Directory'!$A$5:$A$594,0)),""))</f>
        <v>RPN</v>
      </c>
      <c r="E592" s="19" t="str">
        <f>IF($B592="","",IFERROR(INDEX('Staff Directory'!$D$5:$D$594,MATCH($B592,'Staff Directory'!$A$5:$A$594,0)),""))</f>
        <v>A1</v>
      </c>
      <c r="F592" s="9" t="s">
        <v>175</v>
      </c>
      <c r="G592" s="18" t="str">
        <f>IF($F592="","",IFERROR(INDEX(Items!$B$5:$B$597,MATCH($F592,Items!$A$5:$A$597,0)),"⚠ not in Items"))</f>
        <v>Sample Org Charts</v>
      </c>
      <c r="H592" s="19" t="str">
        <f>IF($F592="","",IFERROR(INDEX(Items!$C$5:$C$597,MATCH($F592,Items!$A$5:$A$597,0)),""))</f>
        <v>Standard</v>
      </c>
      <c r="I592" s="23">
        <f>IF($F592="","",IFERROR(INDEX(Items!$E$5:$E$597,MATCH($F592,Items!$A$5:$A$597,0)),""))</f>
        <v>20</v>
      </c>
      <c r="J592" s="115">
        <f>IF(tblIssues[[#This Row],[Qty Override]]&lt;&gt;"",tblIssues[[#This Row],[Qty Override]],IF(tblIssues[[#This Row],[Standard Issue]]="","",tblIssues[[#This Row],[Standard Issue]]))</f>
        <v>20</v>
      </c>
      <c r="K592" s="20">
        <f>IF($F592="","",IFERROR(INDEX(Items!$D$5:$D$597,MATCH($F592,Items!$A$5:$A$597,0)),""))</f>
        <v>0</v>
      </c>
      <c r="L592" s="21">
        <f t="shared" si="105"/>
        <v>0</v>
      </c>
      <c r="M592" s="9" t="str">
        <f t="shared" si="106"/>
        <v/>
      </c>
      <c r="N592" s="24">
        <f>IF($A592="","",WORKDAY($A592,Settings!$C$9,HolidayDates))</f>
        <v>46160</v>
      </c>
      <c r="O592" s="24">
        <f>IF($N592="","",WORKDAY($N592,Settings!$C$10,HolidayDates))</f>
        <v>46198</v>
      </c>
      <c r="P592" s="10" t="s">
        <v>502</v>
      </c>
      <c r="Q592" s="52" t="str">
        <f t="shared" si="108"/>
        <v>Collected</v>
      </c>
      <c r="R592" s="55" t="str">
        <f t="shared" si="109"/>
        <v>2026-05</v>
      </c>
      <c r="S592" s="55">
        <f>IF(OR($B592="",$F592="",$R592=""),"",SUMIFS(tblIssues[Qty Issued],tblIssues[Staff ID],$B592,tblIssues[Item Name],$F592,tblIssues[Month],$R592))</f>
        <v>20</v>
      </c>
      <c r="T592" s="56">
        <f>IF($I592="","",$I592*Settings!$C$11)</f>
        <v>20</v>
      </c>
      <c r="U592" s="57" t="str">
        <f t="shared" si="107"/>
        <v>OK</v>
      </c>
      <c r="V592" s="55" t="str">
        <f t="shared" si="110"/>
        <v/>
      </c>
      <c r="W592" s="55" t="str">
        <f>IF($V592="","",IF(COUNTIF($V$5:$V592,$V592)=1,1,""))</f>
        <v/>
      </c>
      <c r="X592" s="58" t="str">
        <f>IF($W592="","",MAX($X$4:X591)+1)</f>
        <v/>
      </c>
      <c r="Y592" s="62"/>
      <c r="Z592" s="62"/>
      <c r="AA592" s="64" t="str">
        <f>IF($C592="","",IFERROR(INDEX('Staff Directory'!$E$5:$E$594,MATCH($C592,'Staff Directory'!$B$5:$B$594,0)),""))</f>
        <v>firstname042.lastname042@example.com</v>
      </c>
      <c r="AB592" s="64" t="str">
        <f>IF($C592="","",IF(ISNUMBER(SEARCH($D592,Settings!$C$15)),"Pickup","Dispatch"))</f>
        <v>Dispatch</v>
      </c>
      <c r="AC592" s="64" t="str">
        <f t="shared" si="111"/>
        <v>Supply order dispatched</v>
      </c>
      <c r="AD592" s="64" t="str">
        <f t="shared" si="102"/>
        <v>Dear RPN,
Your order has been dispatched and is in transit. Reply if undelivered.</v>
      </c>
      <c r="AE592" s="64" t="str">
        <f t="shared" si="103"/>
        <v>mailto:firstname042.lastname042@example.com?subject=Supply%20order%20dispatched&amp;body=Dear%20RPN%2C%0A%0AYour%20order%20has%20been%20dispatched%20and%20is%20in%20transit.%20Reply%20if%20undelivered.</v>
      </c>
      <c r="AF592" s="89" t="str">
        <f t="shared" si="112"/>
        <v>Draft email</v>
      </c>
      <c r="AG592" s="64" t="str">
        <f>IF($C592="","",IFERROR(INDEX('Staff Directory'!$K$595:$K$599,MATCH($C592,'Staff Directory'!$B$5:$B$599,0)),$D592))</f>
        <v>RPN</v>
      </c>
      <c r="AH592" t="str">
        <f>IF($C592="","",IFERROR(INDEX('Staff Directory'!$I$595:$I$599,MATCH($C592,'Staff Directory'!$B$5:$B$599,0))&amp;" "&amp;INDEX('Staff Directory'!$J$595:$J$599,MATCH($C592,'Staff Directory'!$B$5:$B$599,0)),$AG592))</f>
        <v>RPN</v>
      </c>
      <c r="AI592" s="102"/>
      <c r="AJ592" s="101">
        <f>IF($F592="","",SUMIFS($J$5:$J592,$F$5:$F592,$F592))</f>
        <v>20</v>
      </c>
      <c r="AK592" s="101">
        <f t="shared" si="104"/>
        <v>1</v>
      </c>
      <c r="AL592" s="66" t="str" cm="1">
        <f t="array" ref="AL592">IF($F592="","",IFERROR(INDEX('Lot Balance'!$B$5:$B$500,MATCH(1,INDEX(('Lot Balance'!$A$5:$A$500=$F592)*('Lot Balance'!$K$5:$K$500&lt;$AK592)*('Lot Balance'!$K$5:$K$500+'Lot Balance'!$D$5:$D$500&gt;=$AK592),0),0)),""))</f>
        <v/>
      </c>
      <c r="AM592" s="66" t="str" cm="1">
        <f t="array" ref="AM592">IF($F592="","",IFERROR(INDEX('Lot Balance'!$B$5:$B$500,MATCH(1,INDEX(('Lot Balance'!$A$5:$A$500=$F592)*('Lot Balance'!$K$5:$K$500&lt;$AJ592)*('Lot Balance'!$K$5:$K$500+'Lot Balance'!$D$5:$D$500&gt;=$AJ592),0),0)),""))</f>
        <v/>
      </c>
      <c r="AN592" s="66" t="str">
        <f>IF($F592="","",IF($AI592&lt;&gt;"",IF(COUNTIFS('Lot Balance'!$A$5:$A$500,$F592,'Lot Balance'!$B$5:$B$500,$AI592)=0,"⚠ override is not a lot of this item",IF($AI592=$AL592,"Override = FEFO","Override - FEFO says "&amp;$AL592)),IF($AL592="","⚠ no receipt on file for this item",IF($AM592&lt;&gt;$AL592,"FEFO auto - split, also "&amp;$AM592,"FEFO auto"))))</f>
        <v>⚠ no receipt on file for this item</v>
      </c>
      <c r="AO592" s="114"/>
    </row>
    <row r="593" spans="1:41" x14ac:dyDescent="0.35">
      <c r="A593" s="74">
        <v>46150</v>
      </c>
      <c r="B593" s="18" t="str">
        <f>IF($C593="","",IFERROR(INDEX('Staff Directory'!$A$5:$A$594,MATCH($C593,'Staff Directory'!$B$5:$B$594,0)),"⚠ unknown staff"))</f>
        <v>RPN-006-A1</v>
      </c>
      <c r="C593" s="49" t="s">
        <v>958</v>
      </c>
      <c r="D593" s="19" t="str">
        <f>IF($B593="","",IFERROR(INDEX('Staff Directory'!$C$5:$C$594,MATCH($B593,'Staff Directory'!$A$5:$A$594,0)),""))</f>
        <v>RPN</v>
      </c>
      <c r="E593" s="19" t="str">
        <f>IF($B593="","",IFERROR(INDEX('Staff Directory'!$D$5:$D$594,MATCH($B593,'Staff Directory'!$A$5:$A$594,0)),""))</f>
        <v>A1</v>
      </c>
      <c r="F593" s="9" t="s">
        <v>757</v>
      </c>
      <c r="G593" s="18" t="str">
        <f>IF($F593="","",IFERROR(INDEX(Items!$B$5:$B$597,MATCH($F593,Items!$A$5:$A$597,0)),"⚠ not in Items"))</f>
        <v>Documents</v>
      </c>
      <c r="H593" s="19" t="str">
        <f>IF($F593="","",IFERROR(INDEX(Items!$C$5:$C$597,MATCH($F593,Items!$A$5:$A$597,0)),""))</f>
        <v>Standard</v>
      </c>
      <c r="I593" s="23">
        <f>IF($F593="","",IFERROR(INDEX(Items!$E$5:$E$597,MATCH($F593,Items!$A$5:$A$597,0)),""))</f>
        <v>10</v>
      </c>
      <c r="J593" s="115">
        <f>IF(tblIssues[[#This Row],[Qty Override]]&lt;&gt;"",tblIssues[[#This Row],[Qty Override]],IF(tblIssues[[#This Row],[Standard Issue]]="","",tblIssues[[#This Row],[Standard Issue]]))</f>
        <v>10</v>
      </c>
      <c r="K593" s="20">
        <f>IF($F593="","",IFERROR(INDEX(Items!$D$5:$D$597,MATCH($F593,Items!$A$5:$A$597,0)),""))</f>
        <v>0</v>
      </c>
      <c r="L593" s="21">
        <f t="shared" si="105"/>
        <v>0</v>
      </c>
      <c r="M593" s="9" t="str">
        <f t="shared" si="106"/>
        <v/>
      </c>
      <c r="N593" s="24">
        <f>IF($A593="","",WORKDAY($A593,Settings!$C$9,HolidayDates))</f>
        <v>46160</v>
      </c>
      <c r="O593" s="24">
        <f>IF($N593="","",WORKDAY($N593,Settings!$C$10,HolidayDates))</f>
        <v>46198</v>
      </c>
      <c r="P593" s="10" t="s">
        <v>502</v>
      </c>
      <c r="Q593" s="52" t="str">
        <f t="shared" si="108"/>
        <v>Collected</v>
      </c>
      <c r="R593" s="55" t="str">
        <f t="shared" si="109"/>
        <v>2026-05</v>
      </c>
      <c r="S593" s="55">
        <f>IF(OR($B593="",$F593="",$R593=""),"",SUMIFS(tblIssues[Qty Issued],tblIssues[Staff ID],$B593,tblIssues[Item Name],$F593,tblIssues[Month],$R593))</f>
        <v>10</v>
      </c>
      <c r="T593" s="56">
        <f>IF($I593="","",$I593*Settings!$C$11)</f>
        <v>10</v>
      </c>
      <c r="U593" s="57" t="str">
        <f t="shared" si="107"/>
        <v>OK</v>
      </c>
      <c r="V593" s="55" t="str">
        <f t="shared" si="110"/>
        <v/>
      </c>
      <c r="W593" s="55" t="str">
        <f>IF($V593="","",IF(COUNTIF($V$5:$V593,$V593)=1,1,""))</f>
        <v/>
      </c>
      <c r="X593" s="58" t="str">
        <f>IF($W593="","",MAX($X$4:X592)+1)</f>
        <v/>
      </c>
      <c r="Y593" s="62"/>
      <c r="Z593" s="62"/>
      <c r="AA593" s="64" t="str">
        <f>IF($C593="","",IFERROR(INDEX('Staff Directory'!$E$5:$E$594,MATCH($C593,'Staff Directory'!$B$5:$B$594,0)),""))</f>
        <v>firstname042.lastname042@example.com</v>
      </c>
      <c r="AB593" s="64" t="str">
        <f>IF($C593="","",IF(ISNUMBER(SEARCH($D593,Settings!$C$15)),"Pickup","Dispatch"))</f>
        <v>Dispatch</v>
      </c>
      <c r="AC593" s="64" t="str">
        <f t="shared" si="111"/>
        <v>Supply order dispatched</v>
      </c>
      <c r="AD593" s="64" t="str">
        <f t="shared" si="102"/>
        <v>Dear RPN,
Your order has been dispatched and is in transit. Reply if undelivered.</v>
      </c>
      <c r="AE593" s="64" t="str">
        <f t="shared" si="103"/>
        <v>mailto:firstname042.lastname042@example.com?subject=Supply%20order%20dispatched&amp;body=Dear%20RPN%2C%0A%0AYour%20order%20has%20been%20dispatched%20and%20is%20in%20transit.%20Reply%20if%20undelivered.</v>
      </c>
      <c r="AF593" s="89" t="str">
        <f t="shared" si="112"/>
        <v>Draft email</v>
      </c>
      <c r="AG593" s="64" t="str">
        <f>IF($C593="","",IFERROR(INDEX('Staff Directory'!$K$595:$K$599,MATCH($C593,'Staff Directory'!$B$5:$B$599,0)),$D593))</f>
        <v>RPN</v>
      </c>
      <c r="AH593" t="str">
        <f>IF($C593="","",IFERROR(INDEX('Staff Directory'!$I$595:$I$599,MATCH($C593,'Staff Directory'!$B$5:$B$599,0))&amp;" "&amp;INDEX('Staff Directory'!$J$595:$J$599,MATCH($C593,'Staff Directory'!$B$5:$B$599,0)),$AG593))</f>
        <v>RPN</v>
      </c>
      <c r="AI593" s="102"/>
      <c r="AJ593" s="101">
        <f>IF($F593="","",SUMIFS($J$5:$J593,$F$5:$F593,$F593))</f>
        <v>190</v>
      </c>
      <c r="AK593" s="101">
        <f t="shared" si="104"/>
        <v>181</v>
      </c>
      <c r="AL593" s="66" t="str" cm="1">
        <f t="array" ref="AL593">IF($F593="","",IFERROR(INDEX('Lot Balance'!$B$5:$B$500,MATCH(1,INDEX(('Lot Balance'!$A$5:$A$500=$F593)*('Lot Balance'!$K$5:$K$500&lt;$AK593)*('Lot Balance'!$K$5:$K$500+'Lot Balance'!$D$5:$D$500&gt;=$AK593),0),0)),""))</f>
        <v/>
      </c>
      <c r="AM593" s="66" t="str" cm="1">
        <f t="array" ref="AM593">IF($F593="","",IFERROR(INDEX('Lot Balance'!$B$5:$B$500,MATCH(1,INDEX(('Lot Balance'!$A$5:$A$500=$F593)*('Lot Balance'!$K$5:$K$500&lt;$AJ593)*('Lot Balance'!$K$5:$K$500+'Lot Balance'!$D$5:$D$500&gt;=$AJ593),0),0)),""))</f>
        <v/>
      </c>
      <c r="AN593" s="66" t="str">
        <f>IF($F593="","",IF($AI593&lt;&gt;"",IF(COUNTIFS('Lot Balance'!$A$5:$A$500,$F593,'Lot Balance'!$B$5:$B$500,$AI593)=0,"⚠ override is not a lot of this item",IF($AI593=$AL593,"Override = FEFO","Override - FEFO says "&amp;$AL593)),IF($AL593="","⚠ no receipt on file for this item",IF($AM593&lt;&gt;$AL593,"FEFO auto - split, also "&amp;$AM593,"FEFO auto"))))</f>
        <v>⚠ no receipt on file for this item</v>
      </c>
      <c r="AO593" s="114"/>
    </row>
    <row r="594" spans="1:41" x14ac:dyDescent="0.35">
      <c r="A594" s="74">
        <v>46150</v>
      </c>
      <c r="B594" s="18" t="str">
        <f>IF($C594="","",IFERROR(INDEX('Staff Directory'!$A$5:$A$594,MATCH($C594,'Staff Directory'!$B$5:$B$594,0)),"⚠ unknown staff"))</f>
        <v>RPN-001-A1</v>
      </c>
      <c r="C594" s="49" t="s">
        <v>928</v>
      </c>
      <c r="D594" s="19" t="str">
        <f>IF($B594="","",IFERROR(INDEX('Staff Directory'!$C$5:$C$594,MATCH($B594,'Staff Directory'!$A$5:$A$594,0)),""))</f>
        <v>RPN</v>
      </c>
      <c r="E594" s="19" t="str">
        <f>IF($B594="","",IFERROR(INDEX('Staff Directory'!$D$5:$D$594,MATCH($B594,'Staff Directory'!$A$5:$A$594,0)),""))</f>
        <v>A1</v>
      </c>
      <c r="F594" s="9" t="s">
        <v>124</v>
      </c>
      <c r="G594" s="18" t="str">
        <f>IF($F594="","",IFERROR(INDEX(Items!$B$5:$B$597,MATCH($F594,Items!$A$5:$A$597,0)),"⚠ not in Items"))</f>
        <v>Gloves</v>
      </c>
      <c r="H594" s="19" t="str">
        <f>IF($F594="","",IFERROR(INDEX(Items!$C$5:$C$597,MATCH($F594,Items!$A$5:$A$597,0)),""))</f>
        <v>Large</v>
      </c>
      <c r="I594" s="23">
        <f>IF($F594="","",IFERROR(INDEX(Items!$E$5:$E$597,MATCH($F594,Items!$A$5:$A$597,0)),""))</f>
        <v>500</v>
      </c>
      <c r="J594" s="115">
        <f>IF(tblIssues[[#This Row],[Qty Override]]&lt;&gt;"",tblIssues[[#This Row],[Qty Override]],IF(tblIssues[[#This Row],[Standard Issue]]="","",tblIssues[[#This Row],[Standard Issue]]))</f>
        <v>500</v>
      </c>
      <c r="K594" s="20">
        <f>IF($F594="","",IFERROR(INDEX(Items!$D$5:$D$597,MATCH($F594,Items!$A$5:$A$597,0)),""))</f>
        <v>5.5E-2</v>
      </c>
      <c r="L594" s="21">
        <f t="shared" si="105"/>
        <v>27.5</v>
      </c>
      <c r="M594" s="9" t="str">
        <f t="shared" si="106"/>
        <v>ZIM511139904-1</v>
      </c>
      <c r="N594" s="24">
        <f>IF($A594="","",WORKDAY($A594,Settings!$C$9,HolidayDates))</f>
        <v>46160</v>
      </c>
      <c r="O594" s="24">
        <f>IF($N594="","",WORKDAY($N594,Settings!$C$10,HolidayDates))</f>
        <v>46198</v>
      </c>
      <c r="P594" s="10" t="s">
        <v>502</v>
      </c>
      <c r="Q594" s="52" t="str">
        <f t="shared" si="108"/>
        <v>Collected</v>
      </c>
      <c r="R594" s="55" t="str">
        <f t="shared" si="109"/>
        <v>2026-05</v>
      </c>
      <c r="S594" s="55">
        <f>IF(OR($B594="",$F594="",$R594=""),"",SUMIFS(tblIssues[Qty Issued],tblIssues[Staff ID],$B594,tblIssues[Item Name],$F594,tblIssues[Month],$R594))</f>
        <v>500</v>
      </c>
      <c r="T594" s="56">
        <f>IF($I594="","",$I594*Settings!$C$11)</f>
        <v>500</v>
      </c>
      <c r="U594" s="57" t="str">
        <f t="shared" si="107"/>
        <v>OK</v>
      </c>
      <c r="V594" s="55" t="str">
        <f t="shared" si="110"/>
        <v/>
      </c>
      <c r="W594" s="55" t="str">
        <f>IF($V594="","",IF(COUNTIF($V$5:$V594,$V594)=1,1,""))</f>
        <v/>
      </c>
      <c r="X594" s="58" t="str">
        <f>IF($W594="","",MAX($X$4:X593)+1)</f>
        <v/>
      </c>
      <c r="Y594" s="62"/>
      <c r="Z594" s="62"/>
      <c r="AA594" s="64" t="str">
        <f>IF($C594="","",IFERROR(INDEX('Staff Directory'!$E$5:$E$594,MATCH($C594,'Staff Directory'!$B$5:$B$594,0)),""))</f>
        <v>firstname012.lastname012@example.com</v>
      </c>
      <c r="AB594" s="64" t="str">
        <f>IF($C594="","",IF(ISNUMBER(SEARCH($D594,Settings!$C$15)),"Pickup","Dispatch"))</f>
        <v>Dispatch</v>
      </c>
      <c r="AC594" s="64" t="str">
        <f t="shared" si="111"/>
        <v>Supply order dispatched</v>
      </c>
      <c r="AD594" s="64" t="str">
        <f t="shared" si="102"/>
        <v>Dear RPN,
Your order has been dispatched and is in transit. Reply if undelivered.</v>
      </c>
      <c r="AE594" s="64" t="str">
        <f t="shared" si="103"/>
        <v>mailto:firstname012.lastname012@example.com?subject=Supply%20order%20dispatched&amp;body=Dear%20RPN%2C%0A%0AYour%20order%20has%20been%20dispatched%20and%20is%20in%20transit.%20Reply%20if%20undelivered.</v>
      </c>
      <c r="AF594" s="89" t="str">
        <f t="shared" si="112"/>
        <v>Draft email</v>
      </c>
      <c r="AG594" s="64" t="str">
        <f>IF($C594="","",IFERROR(INDEX('Staff Directory'!$K$595:$K$599,MATCH($C594,'Staff Directory'!$B$5:$B$599,0)),$D594))</f>
        <v>RPN</v>
      </c>
      <c r="AH594" t="str">
        <f>IF($C594="","",IFERROR(INDEX('Staff Directory'!$I$595:$I$599,MATCH($C594,'Staff Directory'!$B$5:$B$599,0))&amp;" "&amp;INDEX('Staff Directory'!$J$595:$J$599,MATCH($C594,'Staff Directory'!$B$5:$B$599,0)),$AG594))</f>
        <v>RPN</v>
      </c>
      <c r="AI594" s="102"/>
      <c r="AJ594" s="101">
        <f>IF($F594="","",SUMIFS($J$5:$J594,$F$5:$F594,$F594))</f>
        <v>16000</v>
      </c>
      <c r="AK594" s="101">
        <f t="shared" si="104"/>
        <v>15501</v>
      </c>
      <c r="AL594" s="66" t="str" cm="1">
        <f t="array" ref="AL594">IF($F594="","",IFERROR(INDEX('Lot Balance'!$B$5:$B$500,MATCH(1,INDEX(('Lot Balance'!$A$5:$A$500=$F594)*('Lot Balance'!$K$5:$K$500&lt;$AK594)*('Lot Balance'!$K$5:$K$500+'Lot Balance'!$D$5:$D$500&gt;=$AK594),0),0)),""))</f>
        <v>ZIM511139904-1</v>
      </c>
      <c r="AM594" s="66" t="str" cm="1">
        <f t="array" ref="AM594">IF($F594="","",IFERROR(INDEX('Lot Balance'!$B$5:$B$500,MATCH(1,INDEX(('Lot Balance'!$A$5:$A$500=$F594)*('Lot Balance'!$K$5:$K$500&lt;$AJ594)*('Lot Balance'!$K$5:$K$500+'Lot Balance'!$D$5:$D$500&gt;=$AJ594),0),0)),""))</f>
        <v>ZIM511139904-1</v>
      </c>
      <c r="AN594" s="66" t="str">
        <f>IF($F594="","",IF($AI594&lt;&gt;"",IF(COUNTIFS('Lot Balance'!$A$5:$A$500,$F594,'Lot Balance'!$B$5:$B$500,$AI594)=0,"⚠ override is not a lot of this item",IF($AI594=$AL594,"Override = FEFO","Override - FEFO says "&amp;$AL594)),IF($AL594="","⚠ no receipt on file for this item",IF($AM594&lt;&gt;$AL594,"FEFO auto - split, also "&amp;$AM594,"FEFO auto"))))</f>
        <v>FEFO auto</v>
      </c>
      <c r="AO594" s="114"/>
    </row>
    <row r="595" spans="1:41" x14ac:dyDescent="0.35">
      <c r="A595" s="74">
        <v>46150</v>
      </c>
      <c r="B595" s="18" t="str">
        <f>IF($C595="","",IFERROR(INDEX('Staff Directory'!$A$5:$A$594,MATCH($C595,'Staff Directory'!$B$5:$B$594,0)),"⚠ unknown staff"))</f>
        <v>RPN-001-A1</v>
      </c>
      <c r="C595" s="49" t="s">
        <v>928</v>
      </c>
      <c r="D595" s="19" t="str">
        <f>IF($B595="","",IFERROR(INDEX('Staff Directory'!$C$5:$C$594,MATCH($B595,'Staff Directory'!$A$5:$A$594,0)),""))</f>
        <v>RPN</v>
      </c>
      <c r="E595" s="19" t="str">
        <f>IF($B595="","",IFERROR(INDEX('Staff Directory'!$D$5:$D$594,MATCH($B595,'Staff Directory'!$A$5:$A$594,0)),""))</f>
        <v>A1</v>
      </c>
      <c r="F595" s="9" t="s">
        <v>115</v>
      </c>
      <c r="G595" s="18" t="str">
        <f>IF($F595="","",IFERROR(INDEX(Items!$B$5:$B$597,MATCH($F595,Items!$A$5:$A$597,0)),"⚠ not in Items"))</f>
        <v>Wipes</v>
      </c>
      <c r="H595" s="19">
        <f>IF($F595="","",IFERROR(INDEX(Items!$C$5:$C$597,MATCH($F595,Items!$A$5:$A$597,0)),""))</f>
        <v>80</v>
      </c>
      <c r="I595" s="23">
        <f>IF($F595="","",IFERROR(INDEX(Items!$E$5:$E$597,MATCH($F595,Items!$A$5:$A$597,0)),""))</f>
        <v>80</v>
      </c>
      <c r="J595" s="115">
        <f>IF(tblIssues[[#This Row],[Qty Override]]&lt;&gt;"",tblIssues[[#This Row],[Qty Override]],IF(tblIssues[[#This Row],[Standard Issue]]="","",tblIssues[[#This Row],[Standard Issue]]))</f>
        <v>80</v>
      </c>
      <c r="K595" s="20">
        <f>IF($F595="","",IFERROR(INDEX(Items!$D$5:$D$597,MATCH($F595,Items!$A$5:$A$597,0)),""))</f>
        <v>0.1</v>
      </c>
      <c r="L595" s="21">
        <f t="shared" si="105"/>
        <v>8</v>
      </c>
      <c r="M595" s="9" t="str">
        <f t="shared" si="106"/>
        <v>LYSL500290</v>
      </c>
      <c r="N595" s="24">
        <f>IF($A595="","",WORKDAY($A595,Settings!$C$9,HolidayDates))</f>
        <v>46160</v>
      </c>
      <c r="O595" s="24">
        <f>IF($N595="","",WORKDAY($N595,Settings!$C$10,HolidayDates))</f>
        <v>46198</v>
      </c>
      <c r="P595" s="10" t="s">
        <v>502</v>
      </c>
      <c r="Q595" s="52" t="str">
        <f t="shared" si="108"/>
        <v>Collected</v>
      </c>
      <c r="R595" s="55" t="str">
        <f t="shared" si="109"/>
        <v>2026-05</v>
      </c>
      <c r="S595" s="55">
        <f>IF(OR($B595="",$F595="",$R595=""),"",SUMIFS(tblIssues[Qty Issued],tblIssues[Staff ID],$B595,tblIssues[Item Name],$F595,tblIssues[Month],$R595))</f>
        <v>80</v>
      </c>
      <c r="T595" s="56">
        <f>IF($I595="","",$I595*Settings!$C$11)</f>
        <v>80</v>
      </c>
      <c r="U595" s="57" t="str">
        <f t="shared" si="107"/>
        <v>OK</v>
      </c>
      <c r="V595" s="55" t="str">
        <f t="shared" si="110"/>
        <v/>
      </c>
      <c r="W595" s="55" t="str">
        <f>IF($V595="","",IF(COUNTIF($V$5:$V595,$V595)=1,1,""))</f>
        <v/>
      </c>
      <c r="X595" s="58" t="str">
        <f>IF($W595="","",MAX($X$4:X594)+1)</f>
        <v/>
      </c>
      <c r="Y595" s="62"/>
      <c r="Z595" s="62"/>
      <c r="AA595" s="64" t="str">
        <f>IF($C595="","",IFERROR(INDEX('Staff Directory'!$E$5:$E$594,MATCH($C595,'Staff Directory'!$B$5:$B$594,0)),""))</f>
        <v>firstname012.lastname012@example.com</v>
      </c>
      <c r="AB595" s="64" t="str">
        <f>IF($C595="","",IF(ISNUMBER(SEARCH($D595,Settings!$C$15)),"Pickup","Dispatch"))</f>
        <v>Dispatch</v>
      </c>
      <c r="AC595" s="64" t="str">
        <f t="shared" si="111"/>
        <v>Supply order dispatched</v>
      </c>
      <c r="AD595" s="64" t="str">
        <f t="shared" si="102"/>
        <v>Dear RPN,
Your order has been dispatched and is in transit. Reply if undelivered.</v>
      </c>
      <c r="AE595" s="64" t="str">
        <f t="shared" si="103"/>
        <v>mailto:firstname012.lastname012@example.com?subject=Supply%20order%20dispatched&amp;body=Dear%20RPN%2C%0A%0AYour%20order%20has%20been%20dispatched%20and%20is%20in%20transit.%20Reply%20if%20undelivered.</v>
      </c>
      <c r="AF595" s="89" t="str">
        <f t="shared" si="112"/>
        <v>Draft email</v>
      </c>
      <c r="AG595" s="64" t="str">
        <f>IF($C595="","",IFERROR(INDEX('Staff Directory'!$K$595:$K$599,MATCH($C595,'Staff Directory'!$B$5:$B$599,0)),$D595))</f>
        <v>RPN</v>
      </c>
      <c r="AH595" t="str">
        <f>IF($C595="","",IFERROR(INDEX('Staff Directory'!$I$595:$I$599,MATCH($C595,'Staff Directory'!$B$5:$B$599,0))&amp;" "&amp;INDEX('Staff Directory'!$J$595:$J$599,MATCH($C595,'Staff Directory'!$B$5:$B$599,0)),$AG595))</f>
        <v>RPN</v>
      </c>
      <c r="AI595" s="102"/>
      <c r="AJ595" s="101">
        <f>IF($F595="","",SUMIFS($J$5:$J595,$F$5:$F595,$F595))</f>
        <v>8640</v>
      </c>
      <c r="AK595" s="101">
        <f t="shared" si="104"/>
        <v>8561</v>
      </c>
      <c r="AL595" s="66" t="str" cm="1">
        <f t="array" ref="AL595">IF($F595="","",IFERROR(INDEX('Lot Balance'!$B$5:$B$500,MATCH(1,INDEX(('Lot Balance'!$A$5:$A$500=$F595)*('Lot Balance'!$K$5:$K$500&lt;$AK595)*('Lot Balance'!$K$5:$K$500+'Lot Balance'!$D$5:$D$500&gt;=$AK595),0),0)),""))</f>
        <v>LYSL500290</v>
      </c>
      <c r="AM595" s="66" t="str" cm="1">
        <f t="array" ref="AM595">IF($F595="","",IFERROR(INDEX('Lot Balance'!$B$5:$B$500,MATCH(1,INDEX(('Lot Balance'!$A$5:$A$500=$F595)*('Lot Balance'!$K$5:$K$500&lt;$AJ595)*('Lot Balance'!$K$5:$K$500+'Lot Balance'!$D$5:$D$500&gt;=$AJ595),0),0)),""))</f>
        <v>LYSL500290</v>
      </c>
      <c r="AN595" s="66" t="str">
        <f>IF($F595="","",IF($AI595&lt;&gt;"",IF(COUNTIFS('Lot Balance'!$A$5:$A$500,$F595,'Lot Balance'!$B$5:$B$500,$AI595)=0,"⚠ override is not a lot of this item",IF($AI595=$AL595,"Override = FEFO","Override - FEFO says "&amp;$AL595)),IF($AL595="","⚠ no receipt on file for this item",IF($AM595&lt;&gt;$AL595,"FEFO auto - split, also "&amp;$AM595,"FEFO auto"))))</f>
        <v>FEFO auto</v>
      </c>
      <c r="AO595" s="114"/>
    </row>
    <row r="596" spans="1:41" x14ac:dyDescent="0.35">
      <c r="A596" s="74">
        <v>46150</v>
      </c>
      <c r="B596" s="18" t="str">
        <f>IF($C596="","",IFERROR(INDEX('Staff Directory'!$A$5:$A$594,MATCH($C596,'Staff Directory'!$B$5:$B$594,0)),"⚠ unknown staff"))</f>
        <v>RPN-001-A1</v>
      </c>
      <c r="C596" s="49" t="s">
        <v>928</v>
      </c>
      <c r="D596" s="19" t="str">
        <f>IF($B596="","",IFERROR(INDEX('Staff Directory'!$C$5:$C$594,MATCH($B596,'Staff Directory'!$A$5:$A$594,0)),""))</f>
        <v>RPN</v>
      </c>
      <c r="E596" s="19" t="str">
        <f>IF($B596="","",IFERROR(INDEX('Staff Directory'!$D$5:$D$594,MATCH($B596,'Staff Directory'!$A$5:$A$594,0)),""))</f>
        <v>A1</v>
      </c>
      <c r="F596" s="9" t="s">
        <v>156</v>
      </c>
      <c r="G596" s="18" t="str">
        <f>IF($F596="","",IFERROR(INDEX(Items!$B$5:$B$597,MATCH($F596,Items!$A$5:$A$597,0)),"⚠ not in Items"))</f>
        <v>Masks</v>
      </c>
      <c r="H596" s="19" t="str">
        <f>IF($F596="","",IFERROR(INDEX(Items!$C$5:$C$597,MATCH($F596,Items!$A$5:$A$597,0)),""))</f>
        <v>One Size</v>
      </c>
      <c r="I596" s="23">
        <f>IF($F596="","",IFERROR(INDEX(Items!$E$5:$E$597,MATCH($F596,Items!$A$5:$A$597,0)),""))</f>
        <v>50</v>
      </c>
      <c r="J596" s="115">
        <f>IF(tblIssues[[#This Row],[Qty Override]]&lt;&gt;"",tblIssues[[#This Row],[Qty Override]],IF(tblIssues[[#This Row],[Standard Issue]]="","",tblIssues[[#This Row],[Standard Issue]]))</f>
        <v>50</v>
      </c>
      <c r="K596" s="20">
        <f>IF($F596="","",IFERROR(INDEX(Items!$D$5:$D$597,MATCH($F596,Items!$A$5:$A$597,0)),""))</f>
        <v>0.25</v>
      </c>
      <c r="L596" s="21">
        <f t="shared" si="105"/>
        <v>12.5</v>
      </c>
      <c r="M596" s="9" t="str">
        <f t="shared" si="106"/>
        <v>0125FPC24-0</v>
      </c>
      <c r="N596" s="24">
        <f>IF($A596="","",WORKDAY($A596,Settings!$C$9,HolidayDates))</f>
        <v>46160</v>
      </c>
      <c r="O596" s="24">
        <f>IF($N596="","",WORKDAY($N596,Settings!$C$10,HolidayDates))</f>
        <v>46198</v>
      </c>
      <c r="P596" s="10" t="s">
        <v>502</v>
      </c>
      <c r="Q596" s="52" t="str">
        <f t="shared" si="108"/>
        <v>Collected</v>
      </c>
      <c r="R596" s="55" t="str">
        <f t="shared" si="109"/>
        <v>2026-05</v>
      </c>
      <c r="S596" s="55">
        <f>IF(OR($B596="",$F596="",$R596=""),"",SUMIFS(tblIssues[Qty Issued],tblIssues[Staff ID],$B596,tblIssues[Item Name],$F596,tblIssues[Month],$R596))</f>
        <v>50</v>
      </c>
      <c r="T596" s="56">
        <f>IF($I596="","",$I596*Settings!$C$11)</f>
        <v>50</v>
      </c>
      <c r="U596" s="57" t="str">
        <f t="shared" si="107"/>
        <v>OK</v>
      </c>
      <c r="V596" s="55" t="str">
        <f t="shared" si="110"/>
        <v/>
      </c>
      <c r="W596" s="55" t="str">
        <f>IF($V596="","",IF(COUNTIF($V$5:$V596,$V596)=1,1,""))</f>
        <v/>
      </c>
      <c r="X596" s="58" t="str">
        <f>IF($W596="","",MAX($X$4:X595)+1)</f>
        <v/>
      </c>
      <c r="Y596" s="62"/>
      <c r="Z596" s="62"/>
      <c r="AA596" s="64" t="str">
        <f>IF($C596="","",IFERROR(INDEX('Staff Directory'!$E$5:$E$594,MATCH($C596,'Staff Directory'!$B$5:$B$594,0)),""))</f>
        <v>firstname012.lastname012@example.com</v>
      </c>
      <c r="AB596" s="64" t="str">
        <f>IF($C596="","",IF(ISNUMBER(SEARCH($D596,Settings!$C$15)),"Pickup","Dispatch"))</f>
        <v>Dispatch</v>
      </c>
      <c r="AC596" s="64" t="str">
        <f t="shared" si="111"/>
        <v>Supply order dispatched</v>
      </c>
      <c r="AD596" s="64" t="str">
        <f t="shared" si="102"/>
        <v>Dear RPN,
Your order has been dispatched and is in transit. Reply if undelivered.</v>
      </c>
      <c r="AE596" s="64" t="str">
        <f t="shared" si="103"/>
        <v>mailto:firstname012.lastname012@example.com?subject=Supply%20order%20dispatched&amp;body=Dear%20RPN%2C%0A%0AYour%20order%20has%20been%20dispatched%20and%20is%20in%20transit.%20Reply%20if%20undelivered.</v>
      </c>
      <c r="AF596" s="89" t="str">
        <f t="shared" si="112"/>
        <v>Draft email</v>
      </c>
      <c r="AG596" s="64" t="str">
        <f>IF($C596="","",IFERROR(INDEX('Staff Directory'!$K$595:$K$599,MATCH($C596,'Staff Directory'!$B$5:$B$599,0)),$D596))</f>
        <v>RPN</v>
      </c>
      <c r="AH596" t="str">
        <f>IF($C596="","",IFERROR(INDEX('Staff Directory'!$I$595:$I$599,MATCH($C596,'Staff Directory'!$B$5:$B$599,0))&amp;" "&amp;INDEX('Staff Directory'!$J$595:$J$599,MATCH($C596,'Staff Directory'!$B$5:$B$599,0)),$AG596))</f>
        <v>RPN</v>
      </c>
      <c r="AI596" s="102"/>
      <c r="AJ596" s="101">
        <f>IF($F596="","",SUMIFS($J$5:$J596,$F$5:$F596,$F596))</f>
        <v>4950</v>
      </c>
      <c r="AK596" s="101">
        <f t="shared" si="104"/>
        <v>4901</v>
      </c>
      <c r="AL596" s="66" t="str" cm="1">
        <f t="array" ref="AL596">IF($F596="","",IFERROR(INDEX('Lot Balance'!$B$5:$B$500,MATCH(1,INDEX(('Lot Balance'!$A$5:$A$500=$F596)*('Lot Balance'!$K$5:$K$500&lt;$AK596)*('Lot Balance'!$K$5:$K$500+'Lot Balance'!$D$5:$D$500&gt;=$AK596),0),0)),""))</f>
        <v>0125FPC24-0</v>
      </c>
      <c r="AM596" s="66" t="str" cm="1">
        <f t="array" ref="AM596">IF($F596="","",IFERROR(INDEX('Lot Balance'!$B$5:$B$500,MATCH(1,INDEX(('Lot Balance'!$A$5:$A$500=$F596)*('Lot Balance'!$K$5:$K$500&lt;$AJ596)*('Lot Balance'!$K$5:$K$500+'Lot Balance'!$D$5:$D$500&gt;=$AJ596),0),0)),""))</f>
        <v>0125FPC24-0</v>
      </c>
      <c r="AN596" s="66" t="str">
        <f>IF($F596="","",IF($AI596&lt;&gt;"",IF(COUNTIFS('Lot Balance'!$A$5:$A$500,$F596,'Lot Balance'!$B$5:$B$500,$AI596)=0,"⚠ override is not a lot of this item",IF($AI596=$AL596,"Override = FEFO","Override - FEFO says "&amp;$AL596)),IF($AL596="","⚠ no receipt on file for this item",IF($AM596&lt;&gt;$AL596,"FEFO auto - split, also "&amp;$AM596,"FEFO auto"))))</f>
        <v>FEFO auto</v>
      </c>
      <c r="AO596" s="114"/>
    </row>
    <row r="597" spans="1:41" x14ac:dyDescent="0.35">
      <c r="A597" s="74">
        <v>46150</v>
      </c>
      <c r="B597" s="18" t="str">
        <f>IF($C597="","",IFERROR(INDEX('Staff Directory'!$A$5:$A$594,MATCH($C597,'Staff Directory'!$B$5:$B$594,0)),"⚠ unknown staff"))</f>
        <v>RPN-001-A1</v>
      </c>
      <c r="C597" s="49" t="s">
        <v>928</v>
      </c>
      <c r="D597" s="19" t="str">
        <f>IF($B597="","",IFERROR(INDEX('Staff Directory'!$C$5:$C$594,MATCH($B597,'Staff Directory'!$A$5:$A$594,0)),""))</f>
        <v>RPN</v>
      </c>
      <c r="E597" s="19" t="str">
        <f>IF($B597="","",IFERROR(INDEX('Staff Directory'!$D$5:$D$594,MATCH($B597,'Staff Directory'!$A$5:$A$594,0)),""))</f>
        <v>A1</v>
      </c>
      <c r="F597" s="9" t="s">
        <v>159</v>
      </c>
      <c r="G597" s="18" t="str">
        <f>IF($F597="","",IFERROR(INDEX(Items!$B$5:$B$597,MATCH($F597,Items!$A$5:$A$597,0)),"⚠ not in Items"))</f>
        <v>Documents</v>
      </c>
      <c r="H597" s="19" t="str">
        <f>IF($F597="","",IFERROR(INDEX(Items!$C$5:$C$597,MATCH($F597,Items!$A$5:$A$597,0)),""))</f>
        <v>Standard</v>
      </c>
      <c r="I597" s="23">
        <f>IF($F597="","",IFERROR(INDEX(Items!$E$5:$E$597,MATCH($F597,Items!$A$5:$A$597,0)),""))</f>
        <v>20</v>
      </c>
      <c r="J597" s="115">
        <f>IF(tblIssues[[#This Row],[Qty Override]]&lt;&gt;"",tblIssues[[#This Row],[Qty Override]],IF(tblIssues[[#This Row],[Standard Issue]]="","",tblIssues[[#This Row],[Standard Issue]]))</f>
        <v>20</v>
      </c>
      <c r="K597" s="20">
        <f>IF($F597="","",IFERROR(INDEX(Items!$D$5:$D$597,MATCH($F597,Items!$A$5:$A$597,0)),""))</f>
        <v>0</v>
      </c>
      <c r="L597" s="21">
        <f t="shared" si="105"/>
        <v>0</v>
      </c>
      <c r="M597" s="9" t="str">
        <f t="shared" si="106"/>
        <v/>
      </c>
      <c r="N597" s="24">
        <f>IF($A597="","",WORKDAY($A597,Settings!$C$9,HolidayDates))</f>
        <v>46160</v>
      </c>
      <c r="O597" s="24">
        <f>IF($N597="","",WORKDAY($N597,Settings!$C$10,HolidayDates))</f>
        <v>46198</v>
      </c>
      <c r="P597" s="10" t="s">
        <v>502</v>
      </c>
      <c r="Q597" s="52" t="str">
        <f t="shared" si="108"/>
        <v>Collected</v>
      </c>
      <c r="R597" s="55" t="str">
        <f t="shared" si="109"/>
        <v>2026-05</v>
      </c>
      <c r="S597" s="55">
        <f>IF(OR($B597="",$F597="",$R597=""),"",SUMIFS(tblIssues[Qty Issued],tblIssues[Staff ID],$B597,tblIssues[Item Name],$F597,tblIssues[Month],$R597))</f>
        <v>20</v>
      </c>
      <c r="T597" s="56">
        <f>IF($I597="","",$I597*Settings!$C$11)</f>
        <v>20</v>
      </c>
      <c r="U597" s="57" t="str">
        <f t="shared" si="107"/>
        <v>OK</v>
      </c>
      <c r="V597" s="55" t="str">
        <f t="shared" si="110"/>
        <v/>
      </c>
      <c r="W597" s="55" t="str">
        <f>IF($V597="","",IF(COUNTIF($V$5:$V597,$V597)=1,1,""))</f>
        <v/>
      </c>
      <c r="X597" s="58" t="str">
        <f>IF($W597="","",MAX($X$4:X596)+1)</f>
        <v/>
      </c>
      <c r="Y597" s="62"/>
      <c r="Z597" s="62"/>
      <c r="AA597" s="64" t="str">
        <f>IF($C597="","",IFERROR(INDEX('Staff Directory'!$E$5:$E$594,MATCH($C597,'Staff Directory'!$B$5:$B$594,0)),""))</f>
        <v>firstname012.lastname012@example.com</v>
      </c>
      <c r="AB597" s="64" t="str">
        <f>IF($C597="","",IF(ISNUMBER(SEARCH($D597,Settings!$C$15)),"Pickup","Dispatch"))</f>
        <v>Dispatch</v>
      </c>
      <c r="AC597" s="64" t="str">
        <f t="shared" si="111"/>
        <v>Supply order dispatched</v>
      </c>
      <c r="AD597" s="64" t="str">
        <f t="shared" si="102"/>
        <v>Dear RPN,
Your order has been dispatched and is in transit. Reply if undelivered.</v>
      </c>
      <c r="AE597" s="64" t="str">
        <f t="shared" si="103"/>
        <v>mailto:firstname012.lastname012@example.com?subject=Supply%20order%20dispatched&amp;body=Dear%20RPN%2C%0A%0AYour%20order%20has%20been%20dispatched%20and%20is%20in%20transit.%20Reply%20if%20undelivered.</v>
      </c>
      <c r="AF597" s="89" t="str">
        <f t="shared" si="112"/>
        <v>Draft email</v>
      </c>
      <c r="AG597" s="64" t="str">
        <f>IF($C597="","",IFERROR(INDEX('Staff Directory'!$K$595:$K$599,MATCH($C597,'Staff Directory'!$B$5:$B$599,0)),$D597))</f>
        <v>RPN</v>
      </c>
      <c r="AH597" t="str">
        <f>IF($C597="","",IFERROR(INDEX('Staff Directory'!$I$595:$I$599,MATCH($C597,'Staff Directory'!$B$5:$B$599,0))&amp;" "&amp;INDEX('Staff Directory'!$J$595:$J$599,MATCH($C597,'Staff Directory'!$B$5:$B$599,0)),$AG597))</f>
        <v>RPN</v>
      </c>
      <c r="AI597" s="102"/>
      <c r="AJ597" s="101">
        <f>IF($F597="","",SUMIFS($J$5:$J597,$F$5:$F597,$F597))</f>
        <v>140</v>
      </c>
      <c r="AK597" s="101">
        <f t="shared" si="104"/>
        <v>121</v>
      </c>
      <c r="AL597" s="66" t="str" cm="1">
        <f t="array" ref="AL597">IF($F597="","",IFERROR(INDEX('Lot Balance'!$B$5:$B$500,MATCH(1,INDEX(('Lot Balance'!$A$5:$A$500=$F597)*('Lot Balance'!$K$5:$K$500&lt;$AK597)*('Lot Balance'!$K$5:$K$500+'Lot Balance'!$D$5:$D$500&gt;=$AK597),0),0)),""))</f>
        <v/>
      </c>
      <c r="AM597" s="66" t="str" cm="1">
        <f t="array" ref="AM597">IF($F597="","",IFERROR(INDEX('Lot Balance'!$B$5:$B$500,MATCH(1,INDEX(('Lot Balance'!$A$5:$A$500=$F597)*('Lot Balance'!$K$5:$K$500&lt;$AJ597)*('Lot Balance'!$K$5:$K$500+'Lot Balance'!$D$5:$D$500&gt;=$AJ597),0),0)),""))</f>
        <v/>
      </c>
      <c r="AN597" s="66" t="str">
        <f>IF($F597="","",IF($AI597&lt;&gt;"",IF(COUNTIFS('Lot Balance'!$A$5:$A$500,$F597,'Lot Balance'!$B$5:$B$500,$AI597)=0,"⚠ override is not a lot of this item",IF($AI597=$AL597,"Override = FEFO","Override - FEFO says "&amp;$AL597)),IF($AL597="","⚠ no receipt on file for this item",IF($AM597&lt;&gt;$AL597,"FEFO auto - split, also "&amp;$AM597,"FEFO auto"))))</f>
        <v>⚠ no receipt on file for this item</v>
      </c>
      <c r="AO597" s="114"/>
    </row>
    <row r="598" spans="1:41" x14ac:dyDescent="0.35">
      <c r="A598" s="74">
        <v>46150</v>
      </c>
      <c r="B598" s="18" t="str">
        <f>IF($C598="","",IFERROR(INDEX('Staff Directory'!$A$5:$A$594,MATCH($C598,'Staff Directory'!$B$5:$B$594,0)),"⚠ unknown staff"))</f>
        <v>RPN-001-A1</v>
      </c>
      <c r="C598" s="49" t="s">
        <v>928</v>
      </c>
      <c r="D598" s="19" t="str">
        <f>IF($B598="","",IFERROR(INDEX('Staff Directory'!$C$5:$C$594,MATCH($B598,'Staff Directory'!$A$5:$A$594,0)),""))</f>
        <v>RPN</v>
      </c>
      <c r="E598" s="19" t="str">
        <f>IF($B598="","",IFERROR(INDEX('Staff Directory'!$D$5:$D$594,MATCH($B598,'Staff Directory'!$A$5:$A$594,0)),""))</f>
        <v>A1</v>
      </c>
      <c r="F598" s="9" t="s">
        <v>757</v>
      </c>
      <c r="G598" s="18" t="str">
        <f>IF($F598="","",IFERROR(INDEX(Items!$B$5:$B$597,MATCH($F598,Items!$A$5:$A$597,0)),"⚠ not in Items"))</f>
        <v>Documents</v>
      </c>
      <c r="H598" s="19" t="str">
        <f>IF($F598="","",IFERROR(INDEX(Items!$C$5:$C$597,MATCH($F598,Items!$A$5:$A$597,0)),""))</f>
        <v>Standard</v>
      </c>
      <c r="I598" s="23">
        <f>IF($F598="","",IFERROR(INDEX(Items!$E$5:$E$597,MATCH($F598,Items!$A$5:$A$597,0)),""))</f>
        <v>10</v>
      </c>
      <c r="J598" s="115">
        <f>IF(tblIssues[[#This Row],[Qty Override]]&lt;&gt;"",tblIssues[[#This Row],[Qty Override]],IF(tblIssues[[#This Row],[Standard Issue]]="","",tblIssues[[#This Row],[Standard Issue]]))</f>
        <v>10</v>
      </c>
      <c r="K598" s="20">
        <f>IF($F598="","",IFERROR(INDEX(Items!$D$5:$D$597,MATCH($F598,Items!$A$5:$A$597,0)),""))</f>
        <v>0</v>
      </c>
      <c r="L598" s="21">
        <f t="shared" si="105"/>
        <v>0</v>
      </c>
      <c r="M598" s="9" t="str">
        <f t="shared" si="106"/>
        <v/>
      </c>
      <c r="N598" s="24">
        <f>IF($A598="","",WORKDAY($A598,Settings!$C$9,HolidayDates))</f>
        <v>46160</v>
      </c>
      <c r="O598" s="24">
        <f>IF($N598="","",WORKDAY($N598,Settings!$C$10,HolidayDates))</f>
        <v>46198</v>
      </c>
      <c r="P598" s="10" t="s">
        <v>502</v>
      </c>
      <c r="Q598" s="52" t="str">
        <f t="shared" si="108"/>
        <v>Collected</v>
      </c>
      <c r="R598" s="55" t="str">
        <f t="shared" si="109"/>
        <v>2026-05</v>
      </c>
      <c r="S598" s="55">
        <f>IF(OR($B598="",$F598="",$R598=""),"",SUMIFS(tblIssues[Qty Issued],tblIssues[Staff ID],$B598,tblIssues[Item Name],$F598,tblIssues[Month],$R598))</f>
        <v>10</v>
      </c>
      <c r="T598" s="56">
        <f>IF($I598="","",$I598*Settings!$C$11)</f>
        <v>10</v>
      </c>
      <c r="U598" s="57" t="str">
        <f t="shared" si="107"/>
        <v>OK</v>
      </c>
      <c r="V598" s="55" t="str">
        <f t="shared" si="110"/>
        <v/>
      </c>
      <c r="W598" s="55" t="str">
        <f>IF($V598="","",IF(COUNTIF($V$5:$V598,$V598)=1,1,""))</f>
        <v/>
      </c>
      <c r="X598" s="58" t="str">
        <f>IF($W598="","",MAX($X$4:X597)+1)</f>
        <v/>
      </c>
      <c r="Y598" s="62"/>
      <c r="Z598" s="62"/>
      <c r="AA598" s="64" t="str">
        <f>IF($C598="","",IFERROR(INDEX('Staff Directory'!$E$5:$E$594,MATCH($C598,'Staff Directory'!$B$5:$B$594,0)),""))</f>
        <v>firstname012.lastname012@example.com</v>
      </c>
      <c r="AB598" s="64" t="str">
        <f>IF($C598="","",IF(ISNUMBER(SEARCH($D598,Settings!$C$15)),"Pickup","Dispatch"))</f>
        <v>Dispatch</v>
      </c>
      <c r="AC598" s="64" t="str">
        <f t="shared" si="111"/>
        <v>Supply order dispatched</v>
      </c>
      <c r="AD598" s="64" t="str">
        <f t="shared" si="102"/>
        <v>Dear RPN,
Your order has been dispatched and is in transit. Reply if undelivered.</v>
      </c>
      <c r="AE598" s="64" t="str">
        <f t="shared" si="103"/>
        <v>mailto:firstname012.lastname012@example.com?subject=Supply%20order%20dispatched&amp;body=Dear%20RPN%2C%0A%0AYour%20order%20has%20been%20dispatched%20and%20is%20in%20transit.%20Reply%20if%20undelivered.</v>
      </c>
      <c r="AF598" s="89" t="str">
        <f t="shared" si="112"/>
        <v>Draft email</v>
      </c>
      <c r="AG598" s="64" t="str">
        <f>IF($C598="","",IFERROR(INDEX('Staff Directory'!$K$595:$K$599,MATCH($C598,'Staff Directory'!$B$5:$B$599,0)),$D598))</f>
        <v>RPN</v>
      </c>
      <c r="AH598" t="str">
        <f>IF($C598="","",IFERROR(INDEX('Staff Directory'!$I$595:$I$599,MATCH($C598,'Staff Directory'!$B$5:$B$599,0))&amp;" "&amp;INDEX('Staff Directory'!$J$595:$J$599,MATCH($C598,'Staff Directory'!$B$5:$B$599,0)),$AG598))</f>
        <v>RPN</v>
      </c>
      <c r="AI598" s="102"/>
      <c r="AJ598" s="101">
        <f>IF($F598="","",SUMIFS($J$5:$J598,$F$5:$F598,$F598))</f>
        <v>200</v>
      </c>
      <c r="AK598" s="101">
        <f t="shared" si="104"/>
        <v>191</v>
      </c>
      <c r="AL598" s="66" t="str" cm="1">
        <f t="array" ref="AL598">IF($F598="","",IFERROR(INDEX('Lot Balance'!$B$5:$B$500,MATCH(1,INDEX(('Lot Balance'!$A$5:$A$500=$F598)*('Lot Balance'!$K$5:$K$500&lt;$AK598)*('Lot Balance'!$K$5:$K$500+'Lot Balance'!$D$5:$D$500&gt;=$AK598),0),0)),""))</f>
        <v/>
      </c>
      <c r="AM598" s="66" t="str" cm="1">
        <f t="array" ref="AM598">IF($F598="","",IFERROR(INDEX('Lot Balance'!$B$5:$B$500,MATCH(1,INDEX(('Lot Balance'!$A$5:$A$500=$F598)*('Lot Balance'!$K$5:$K$500&lt;$AJ598)*('Lot Balance'!$K$5:$K$500+'Lot Balance'!$D$5:$D$500&gt;=$AJ598),0),0)),""))</f>
        <v/>
      </c>
      <c r="AN598" s="66" t="str">
        <f>IF($F598="","",IF($AI598&lt;&gt;"",IF(COUNTIFS('Lot Balance'!$A$5:$A$500,$F598,'Lot Balance'!$B$5:$B$500,$AI598)=0,"⚠ override is not a lot of this item",IF($AI598=$AL598,"Override = FEFO","Override - FEFO says "&amp;$AL598)),IF($AL598="","⚠ no receipt on file for this item",IF($AM598&lt;&gt;$AL598,"FEFO auto - split, also "&amp;$AM598,"FEFO auto"))))</f>
        <v>⚠ no receipt on file for this item</v>
      </c>
      <c r="AO598" s="114"/>
    </row>
    <row r="599" spans="1:41" x14ac:dyDescent="0.35">
      <c r="A599" s="74">
        <v>46150</v>
      </c>
      <c r="B599" s="18" t="str">
        <f>IF($C599="","",IFERROR(INDEX('Staff Directory'!$A$5:$A$594,MATCH($C599,'Staff Directory'!$B$5:$B$594,0)),"⚠ unknown staff"))</f>
        <v>RN-049-A1</v>
      </c>
      <c r="C599" s="49" t="s">
        <v>974</v>
      </c>
      <c r="D599" s="19" t="str">
        <f>IF($B599="","",IFERROR(INDEX('Staff Directory'!$C$5:$C$594,MATCH($B599,'Staff Directory'!$A$5:$A$594,0)),""))</f>
        <v>RN</v>
      </c>
      <c r="E599" s="19" t="str">
        <f>IF($B599="","",IFERROR(INDEX('Staff Directory'!$D$5:$D$594,MATCH($B599,'Staff Directory'!$A$5:$A$594,0)),""))</f>
        <v>A1</v>
      </c>
      <c r="F599" s="9" t="s">
        <v>129</v>
      </c>
      <c r="G599" s="18" t="str">
        <f>IF($F599="","",IFERROR(INDEX(Items!$B$5:$B$597,MATCH($F599,Items!$A$5:$A$597,0)),"⚠ not in Items"))</f>
        <v>Gloves</v>
      </c>
      <c r="H599" s="19" t="str">
        <f>IF($F599="","",IFERROR(INDEX(Items!$C$5:$C$597,MATCH($F599,Items!$A$5:$A$597,0)),""))</f>
        <v>Small</v>
      </c>
      <c r="I599" s="23">
        <f>IF($F599="","",IFERROR(INDEX(Items!$E$5:$E$597,MATCH($F599,Items!$A$5:$A$597,0)),""))</f>
        <v>500</v>
      </c>
      <c r="J599" s="115">
        <f>IF(tblIssues[[#This Row],[Qty Override]]&lt;&gt;"",tblIssues[[#This Row],[Qty Override]],IF(tblIssues[[#This Row],[Standard Issue]]="","",tblIssues[[#This Row],[Standard Issue]]))</f>
        <v>500</v>
      </c>
      <c r="K599" s="20">
        <f>IF($F599="","",IFERROR(INDEX(Items!$D$5:$D$597,MATCH($F599,Items!$A$5:$A$597,0)),""))</f>
        <v>5.5E-2</v>
      </c>
      <c r="L599" s="21">
        <f t="shared" si="105"/>
        <v>27.5</v>
      </c>
      <c r="M599" s="9" t="str">
        <f t="shared" si="106"/>
        <v>O210LIC25</v>
      </c>
      <c r="N599" s="24">
        <f>IF($A599="","",WORKDAY($A599,Settings!$C$9,HolidayDates))</f>
        <v>46160</v>
      </c>
      <c r="O599" s="24">
        <f>IF($N599="","",WORKDAY($N599,Settings!$C$10,HolidayDates))</f>
        <v>46198</v>
      </c>
      <c r="P599" s="10" t="s">
        <v>502</v>
      </c>
      <c r="Q599" s="52" t="str">
        <f t="shared" si="108"/>
        <v>Collected</v>
      </c>
      <c r="R599" s="55" t="str">
        <f t="shared" si="109"/>
        <v>2026-05</v>
      </c>
      <c r="S599" s="55">
        <f>IF(OR($B599="",$F599="",$R599=""),"",SUMIFS(tblIssues[Qty Issued],tblIssues[Staff ID],$B599,tblIssues[Item Name],$F599,tblIssues[Month],$R599))</f>
        <v>500</v>
      </c>
      <c r="T599" s="56">
        <f>IF($I599="","",$I599*Settings!$C$11)</f>
        <v>500</v>
      </c>
      <c r="U599" s="57" t="str">
        <f t="shared" si="107"/>
        <v>OK</v>
      </c>
      <c r="V599" s="55" t="str">
        <f t="shared" si="110"/>
        <v/>
      </c>
      <c r="W599" s="55" t="str">
        <f>IF($V599="","",IF(COUNTIF($V$5:$V599,$V599)=1,1,""))</f>
        <v/>
      </c>
      <c r="X599" s="58" t="str">
        <f>IF($W599="","",MAX($X$4:X598)+1)</f>
        <v/>
      </c>
      <c r="Y599" s="62"/>
      <c r="Z599" s="62"/>
      <c r="AA599" s="64" t="str">
        <f>IF($C599="","",IFERROR(INDEX('Staff Directory'!$E$5:$E$594,MATCH($C599,'Staff Directory'!$B$5:$B$594,0)),""))</f>
        <v>firstname058.lastname058@example.com</v>
      </c>
      <c r="AB599" s="64" t="str">
        <f>IF($C599="","",IF(ISNUMBER(SEARCH($D599,Settings!$C$15)),"Pickup","Dispatch"))</f>
        <v>Dispatch</v>
      </c>
      <c r="AC599" s="64" t="str">
        <f t="shared" si="111"/>
        <v>Supply order dispatched</v>
      </c>
      <c r="AD599" s="64" t="str">
        <f t="shared" si="102"/>
        <v>Dear RN,
Your order has been dispatched and is in transit. Reply if undelivered.</v>
      </c>
      <c r="AE599" s="64" t="str">
        <f t="shared" si="103"/>
        <v>mailto:firstname058.lastname058@example.com?subject=Supply%20order%20dispatched&amp;body=Dear%20RN%2C%0A%0AYour%20order%20has%20been%20dispatched%20and%20is%20in%20transit.%20Reply%20if%20undelivered.</v>
      </c>
      <c r="AF599" s="89" t="str">
        <f t="shared" si="112"/>
        <v>Draft email</v>
      </c>
      <c r="AG599" s="64" t="str">
        <f>IF($C599="","",IFERROR(INDEX('Staff Directory'!$K$595:$K$599,MATCH($C599,'Staff Directory'!$B$5:$B$599,0)),$D599))</f>
        <v>RN</v>
      </c>
      <c r="AH599" t="str">
        <f>IF($C599="","",IFERROR(INDEX('Staff Directory'!$I$595:$I$599,MATCH($C599,'Staff Directory'!$B$5:$B$599,0))&amp;" "&amp;INDEX('Staff Directory'!$J$595:$J$599,MATCH($C599,'Staff Directory'!$B$5:$B$599,0)),$AG599))</f>
        <v>RN</v>
      </c>
      <c r="AI599" s="102"/>
      <c r="AJ599" s="101">
        <f>IF($F599="","",SUMIFS($J$5:$J599,$F$5:$F599,$F599))</f>
        <v>22000</v>
      </c>
      <c r="AK599" s="101">
        <f t="shared" si="104"/>
        <v>21501</v>
      </c>
      <c r="AL599" s="66" t="str" cm="1">
        <f t="array" ref="AL599">IF($F599="","",IFERROR(INDEX('Lot Balance'!$B$5:$B$500,MATCH(1,INDEX(('Lot Balance'!$A$5:$A$500=$F599)*('Lot Balance'!$K$5:$K$500&lt;$AK599)*('Lot Balance'!$K$5:$K$500+'Lot Balance'!$D$5:$D$500&gt;=$AK599),0),0)),""))</f>
        <v>O210LIC25</v>
      </c>
      <c r="AM599" s="66" t="str" cm="1">
        <f t="array" ref="AM599">IF($F599="","",IFERROR(INDEX('Lot Balance'!$B$5:$B$500,MATCH(1,INDEX(('Lot Balance'!$A$5:$A$500=$F599)*('Lot Balance'!$K$5:$K$500&lt;$AJ599)*('Lot Balance'!$K$5:$K$500+'Lot Balance'!$D$5:$D$500&gt;=$AJ599),0),0)),""))</f>
        <v>O210LIC25</v>
      </c>
      <c r="AN599" s="66" t="str">
        <f>IF($F599="","",IF($AI599&lt;&gt;"",IF(COUNTIFS('Lot Balance'!$A$5:$A$500,$F599,'Lot Balance'!$B$5:$B$500,$AI599)=0,"⚠ override is not a lot of this item",IF($AI599=$AL599,"Override = FEFO","Override - FEFO says "&amp;$AL599)),IF($AL599="","⚠ no receipt on file for this item",IF($AM599&lt;&gt;$AL599,"FEFO auto - split, also "&amp;$AM599,"FEFO auto"))))</f>
        <v>FEFO auto</v>
      </c>
      <c r="AO599" s="114"/>
    </row>
    <row r="600" spans="1:41" x14ac:dyDescent="0.35">
      <c r="A600" s="74">
        <v>46150</v>
      </c>
      <c r="B600" s="18" t="str">
        <f>IF($C600="","",IFERROR(INDEX('Staff Directory'!$A$5:$A$594,MATCH($C600,'Staff Directory'!$B$5:$B$594,0)),"⚠ unknown staff"))</f>
        <v>RN-049-A1</v>
      </c>
      <c r="C600" s="49" t="s">
        <v>974</v>
      </c>
      <c r="D600" s="19" t="str">
        <f>IF($B600="","",IFERROR(INDEX('Staff Directory'!$C$5:$C$594,MATCH($B600,'Staff Directory'!$A$5:$A$594,0)),""))</f>
        <v>RN</v>
      </c>
      <c r="E600" s="19" t="str">
        <f>IF($B600="","",IFERROR(INDEX('Staff Directory'!$D$5:$D$594,MATCH($B600,'Staff Directory'!$A$5:$A$594,0)),""))</f>
        <v>A1</v>
      </c>
      <c r="F600" s="9" t="s">
        <v>191</v>
      </c>
      <c r="G600" s="18" t="str">
        <f>IF($F600="","",IFERROR(INDEX(Items!$B$5:$B$597,MATCH($F600,Items!$A$5:$A$597,0)),"⚠ not in Items"))</f>
        <v>Sanitizer</v>
      </c>
      <c r="H600" s="19" t="str">
        <f>IF($F600="","",IFERROR(INDEX(Items!$C$5:$C$597,MATCH($F600,Items!$A$5:$A$597,0)),""))</f>
        <v>236 ML</v>
      </c>
      <c r="I600" s="23">
        <f>IF($F600="","",IFERROR(INDEX(Items!$E$5:$E$597,MATCH($F600,Items!$A$5:$A$597,0)),""))</f>
        <v>1</v>
      </c>
      <c r="J600" s="115">
        <f>IF(tblIssues[[#This Row],[Qty Override]]&lt;&gt;"",tblIssues[[#This Row],[Qty Override]],IF(tblIssues[[#This Row],[Standard Issue]]="","",tblIssues[[#This Row],[Standard Issue]]))</f>
        <v>1</v>
      </c>
      <c r="K600" s="20">
        <f>IF($F600="","",IFERROR(INDEX(Items!$D$5:$D$597,MATCH($F600,Items!$A$5:$A$597,0)),""))</f>
        <v>1E-4</v>
      </c>
      <c r="L600" s="21">
        <f t="shared" si="105"/>
        <v>1E-4</v>
      </c>
      <c r="M600" s="9" t="str">
        <f t="shared" si="106"/>
        <v>20-21734-2</v>
      </c>
      <c r="N600" s="24">
        <f>IF($A600="","",WORKDAY($A600,Settings!$C$9,HolidayDates))</f>
        <v>46160</v>
      </c>
      <c r="O600" s="24">
        <f>IF($N600="","",WORKDAY($N600,Settings!$C$10,HolidayDates))</f>
        <v>46198</v>
      </c>
      <c r="P600" s="10" t="s">
        <v>502</v>
      </c>
      <c r="Q600" s="52" t="str">
        <f t="shared" si="108"/>
        <v>Collected</v>
      </c>
      <c r="R600" s="55" t="str">
        <f t="shared" si="109"/>
        <v>2026-05</v>
      </c>
      <c r="S600" s="55">
        <f>IF(OR($B600="",$F600="",$R600=""),"",SUMIFS(tblIssues[Qty Issued],tblIssues[Staff ID],$B600,tblIssues[Item Name],$F600,tblIssues[Month],$R600))</f>
        <v>1</v>
      </c>
      <c r="T600" s="56">
        <f>IF($I600="","",$I600*Settings!$C$11)</f>
        <v>1</v>
      </c>
      <c r="U600" s="57" t="str">
        <f t="shared" si="107"/>
        <v>OK</v>
      </c>
      <c r="V600" s="55" t="str">
        <f t="shared" si="110"/>
        <v/>
      </c>
      <c r="W600" s="55" t="str">
        <f>IF($V600="","",IF(COUNTIF($V$5:$V600,$V600)=1,1,""))</f>
        <v/>
      </c>
      <c r="X600" s="58" t="str">
        <f>IF($W600="","",MAX($X$4:X599)+1)</f>
        <v/>
      </c>
      <c r="Y600" s="62"/>
      <c r="Z600" s="62"/>
      <c r="AA600" s="64" t="str">
        <f>IF($C600="","",IFERROR(INDEX('Staff Directory'!$E$5:$E$594,MATCH($C600,'Staff Directory'!$B$5:$B$594,0)),""))</f>
        <v>firstname058.lastname058@example.com</v>
      </c>
      <c r="AB600" s="64" t="str">
        <f>IF($C600="","",IF(ISNUMBER(SEARCH($D600,Settings!$C$15)),"Pickup","Dispatch"))</f>
        <v>Dispatch</v>
      </c>
      <c r="AC600" s="64" t="str">
        <f t="shared" si="111"/>
        <v>Supply order dispatched</v>
      </c>
      <c r="AD600" s="64" t="str">
        <f t="shared" si="102"/>
        <v>Dear RN,
Your order has been dispatched and is in transit. Reply if undelivered.</v>
      </c>
      <c r="AE600" s="64" t="str">
        <f t="shared" si="103"/>
        <v>mailto:firstname058.lastname058@example.com?subject=Supply%20order%20dispatched&amp;body=Dear%20RN%2C%0A%0AYour%20order%20has%20been%20dispatched%20and%20is%20in%20transit.%20Reply%20if%20undelivered.</v>
      </c>
      <c r="AF600" s="89" t="str">
        <f t="shared" si="112"/>
        <v>Draft email</v>
      </c>
      <c r="AG600" s="64" t="str">
        <f>IF($C600="","",IFERROR(INDEX('Staff Directory'!$K$595:$K$599,MATCH($C600,'Staff Directory'!$B$5:$B$599,0)),$D600))</f>
        <v>RN</v>
      </c>
      <c r="AH600" t="str">
        <f>IF($C600="","",IFERROR(INDEX('Staff Directory'!$I$595:$I$599,MATCH($C600,'Staff Directory'!$B$5:$B$599,0))&amp;" "&amp;INDEX('Staff Directory'!$J$595:$J$599,MATCH($C600,'Staff Directory'!$B$5:$B$599,0)),$AG600))</f>
        <v>RN</v>
      </c>
      <c r="AI600" s="102"/>
      <c r="AJ600" s="101">
        <f>IF($F600="","",SUMIFS($J$5:$J600,$F$5:$F600,$F600))</f>
        <v>68</v>
      </c>
      <c r="AK600" s="101">
        <f t="shared" si="104"/>
        <v>68</v>
      </c>
      <c r="AL600" s="66" t="str" cm="1">
        <f t="array" ref="AL600">IF($F600="","",IFERROR(INDEX('Lot Balance'!$B$5:$B$500,MATCH(1,INDEX(('Lot Balance'!$A$5:$A$500=$F600)*('Lot Balance'!$K$5:$K$500&lt;$AK600)*('Lot Balance'!$K$5:$K$500+'Lot Balance'!$D$5:$D$500&gt;=$AK600),0),0)),""))</f>
        <v>20-21734-2</v>
      </c>
      <c r="AM600" s="66" t="str" cm="1">
        <f t="array" ref="AM600">IF($F600="","",IFERROR(INDEX('Lot Balance'!$B$5:$B$500,MATCH(1,INDEX(('Lot Balance'!$A$5:$A$500=$F600)*('Lot Balance'!$K$5:$K$500&lt;$AJ600)*('Lot Balance'!$K$5:$K$500+'Lot Balance'!$D$5:$D$500&gt;=$AJ600),0),0)),""))</f>
        <v>20-21734-2</v>
      </c>
      <c r="AN600" s="66" t="str">
        <f>IF($F600="","",IF($AI600&lt;&gt;"",IF(COUNTIFS('Lot Balance'!$A$5:$A$500,$F600,'Lot Balance'!$B$5:$B$500,$AI600)=0,"⚠ override is not a lot of this item",IF($AI600=$AL600,"Override = FEFO","Override - FEFO says "&amp;$AL600)),IF($AL600="","⚠ no receipt on file for this item",IF($AM600&lt;&gt;$AL600,"FEFO auto - split, also "&amp;$AM600,"FEFO auto"))))</f>
        <v>FEFO auto</v>
      </c>
      <c r="AO600" s="114"/>
    </row>
    <row r="601" spans="1:41" x14ac:dyDescent="0.35">
      <c r="A601" s="74">
        <v>46150</v>
      </c>
      <c r="B601" s="18" t="str">
        <f>IF($C601="","",IFERROR(INDEX('Staff Directory'!$A$5:$A$594,MATCH($C601,'Staff Directory'!$B$5:$B$594,0)),"⚠ unknown staff"))</f>
        <v>RN-049-A1</v>
      </c>
      <c r="C601" s="49" t="s">
        <v>974</v>
      </c>
      <c r="D601" s="19" t="str">
        <f>IF($B601="","",IFERROR(INDEX('Staff Directory'!$C$5:$C$594,MATCH($B601,'Staff Directory'!$A$5:$A$594,0)),""))</f>
        <v>RN</v>
      </c>
      <c r="E601" s="19" t="str">
        <f>IF($B601="","",IFERROR(INDEX('Staff Directory'!$D$5:$D$594,MATCH($B601,'Staff Directory'!$A$5:$A$594,0)),""))</f>
        <v>A1</v>
      </c>
      <c r="F601" s="9" t="s">
        <v>137</v>
      </c>
      <c r="G601" s="18" t="str">
        <f>IF($F601="","",IFERROR(INDEX(Items!$B$5:$B$597,MATCH($F601,Items!$A$5:$A$597,0)),"⚠ not in Items"))</f>
        <v>Sanitizer</v>
      </c>
      <c r="H601" s="19" t="str">
        <f>IF($F601="","",IFERROR(INDEX(Items!$C$5:$C$597,MATCH($F601,Items!$A$5:$A$597,0)),""))</f>
        <v>118 ML</v>
      </c>
      <c r="I601" s="23">
        <f>IF($F601="","",IFERROR(INDEX(Items!$E$5:$E$597,MATCH($F601,Items!$A$5:$A$597,0)),""))</f>
        <v>2</v>
      </c>
      <c r="J601" s="115">
        <f>IF(tblIssues[[#This Row],[Qty Override]]&lt;&gt;"",tblIssues[[#This Row],[Qty Override]],IF(tblIssues[[#This Row],[Standard Issue]]="","",tblIssues[[#This Row],[Standard Issue]]))</f>
        <v>2</v>
      </c>
      <c r="K601" s="20">
        <f>IF($F601="","",IFERROR(INDEX(Items!$D$5:$D$597,MATCH($F601,Items!$A$5:$A$597,0)),""))</f>
        <v>4.49</v>
      </c>
      <c r="L601" s="21">
        <f t="shared" si="105"/>
        <v>8.98</v>
      </c>
      <c r="M601" s="9" t="str">
        <f t="shared" si="106"/>
        <v>563963-6</v>
      </c>
      <c r="N601" s="24">
        <f>IF($A601="","",WORKDAY($A601,Settings!$C$9,HolidayDates))</f>
        <v>46160</v>
      </c>
      <c r="O601" s="24">
        <f>IF($N601="","",WORKDAY($N601,Settings!$C$10,HolidayDates))</f>
        <v>46198</v>
      </c>
      <c r="P601" s="10" t="s">
        <v>502</v>
      </c>
      <c r="Q601" s="52" t="str">
        <f t="shared" si="108"/>
        <v>Collected</v>
      </c>
      <c r="R601" s="55" t="str">
        <f t="shared" si="109"/>
        <v>2026-05</v>
      </c>
      <c r="S601" s="55">
        <f>IF(OR($B601="",$F601="",$R601=""),"",SUMIFS(tblIssues[Qty Issued],tblIssues[Staff ID],$B601,tblIssues[Item Name],$F601,tblIssues[Month],$R601))</f>
        <v>2</v>
      </c>
      <c r="T601" s="56">
        <f>IF($I601="","",$I601*Settings!$C$11)</f>
        <v>2</v>
      </c>
      <c r="U601" s="57" t="str">
        <f t="shared" si="107"/>
        <v>OK</v>
      </c>
      <c r="V601" s="55" t="str">
        <f t="shared" si="110"/>
        <v/>
      </c>
      <c r="W601" s="55" t="str">
        <f>IF($V601="","",IF(COUNTIF($V$5:$V601,$V601)=1,1,""))</f>
        <v/>
      </c>
      <c r="X601" s="58" t="str">
        <f>IF($W601="","",MAX($X$4:X600)+1)</f>
        <v/>
      </c>
      <c r="Y601" s="62"/>
      <c r="Z601" s="62"/>
      <c r="AA601" s="64" t="str">
        <f>IF($C601="","",IFERROR(INDEX('Staff Directory'!$E$5:$E$594,MATCH($C601,'Staff Directory'!$B$5:$B$594,0)),""))</f>
        <v>firstname058.lastname058@example.com</v>
      </c>
      <c r="AB601" s="64" t="str">
        <f>IF($C601="","",IF(ISNUMBER(SEARCH($D601,Settings!$C$15)),"Pickup","Dispatch"))</f>
        <v>Dispatch</v>
      </c>
      <c r="AC601" s="64" t="str">
        <f t="shared" si="111"/>
        <v>Supply order dispatched</v>
      </c>
      <c r="AD601" s="64" t="str">
        <f t="shared" si="102"/>
        <v>Dear RN,
Your order has been dispatched and is in transit. Reply if undelivered.</v>
      </c>
      <c r="AE601" s="64" t="str">
        <f t="shared" si="103"/>
        <v>mailto:firstname058.lastname058@example.com?subject=Supply%20order%20dispatched&amp;body=Dear%20RN%2C%0A%0AYour%20order%20has%20been%20dispatched%20and%20is%20in%20transit.%20Reply%20if%20undelivered.</v>
      </c>
      <c r="AF601" s="89" t="str">
        <f t="shared" si="112"/>
        <v>Draft email</v>
      </c>
      <c r="AG601" s="64" t="str">
        <f>IF($C601="","",IFERROR(INDEX('Staff Directory'!$K$595:$K$599,MATCH($C601,'Staff Directory'!$B$5:$B$599,0)),$D601))</f>
        <v>RN</v>
      </c>
      <c r="AH601" t="str">
        <f>IF($C601="","",IFERROR(INDEX('Staff Directory'!$I$595:$I$599,MATCH($C601,'Staff Directory'!$B$5:$B$599,0))&amp;" "&amp;INDEX('Staff Directory'!$J$595:$J$599,MATCH($C601,'Staff Directory'!$B$5:$B$599,0)),$AG601))</f>
        <v>RN</v>
      </c>
      <c r="AI601" s="102"/>
      <c r="AJ601" s="101">
        <f>IF($F601="","",SUMIFS($J$5:$J601,$F$5:$F601,$F601))</f>
        <v>82</v>
      </c>
      <c r="AK601" s="101">
        <f t="shared" si="104"/>
        <v>81</v>
      </c>
      <c r="AL601" s="66" t="str" cm="1">
        <f t="array" ref="AL601">IF($F601="","",IFERROR(INDEX('Lot Balance'!$B$5:$B$500,MATCH(1,INDEX(('Lot Balance'!$A$5:$A$500=$F601)*('Lot Balance'!$K$5:$K$500&lt;$AK601)*('Lot Balance'!$K$5:$K$500+'Lot Balance'!$D$5:$D$500&gt;=$AK601),0),0)),""))</f>
        <v>563963-6</v>
      </c>
      <c r="AM601" s="66" t="str" cm="1">
        <f t="array" ref="AM601">IF($F601="","",IFERROR(INDEX('Lot Balance'!$B$5:$B$500,MATCH(1,INDEX(('Lot Balance'!$A$5:$A$500=$F601)*('Lot Balance'!$K$5:$K$500&lt;$AJ601)*('Lot Balance'!$K$5:$K$500+'Lot Balance'!$D$5:$D$500&gt;=$AJ601),0),0)),""))</f>
        <v>563963-6</v>
      </c>
      <c r="AN601" s="66" t="str">
        <f>IF($F601="","",IF($AI601&lt;&gt;"",IF(COUNTIFS('Lot Balance'!$A$5:$A$500,$F601,'Lot Balance'!$B$5:$B$500,$AI601)=0,"⚠ override is not a lot of this item",IF($AI601=$AL601,"Override = FEFO","Override - FEFO says "&amp;$AL601)),IF($AL601="","⚠ no receipt on file for this item",IF($AM601&lt;&gt;$AL601,"FEFO auto - split, also "&amp;$AM601,"FEFO auto"))))</f>
        <v>FEFO auto</v>
      </c>
      <c r="AO601" s="114"/>
    </row>
    <row r="602" spans="1:41" x14ac:dyDescent="0.35">
      <c r="A602" s="74">
        <v>46150</v>
      </c>
      <c r="B602" s="18" t="str">
        <f>IF($C602="","",IFERROR(INDEX('Staff Directory'!$A$5:$A$594,MATCH($C602,'Staff Directory'!$B$5:$B$594,0)),"⚠ unknown staff"))</f>
        <v>RN-049-A1</v>
      </c>
      <c r="C602" s="49" t="s">
        <v>974</v>
      </c>
      <c r="D602" s="19" t="str">
        <f>IF($B602="","",IFERROR(INDEX('Staff Directory'!$C$5:$C$594,MATCH($B602,'Staff Directory'!$A$5:$A$594,0)),""))</f>
        <v>RN</v>
      </c>
      <c r="E602" s="19" t="str">
        <f>IF($B602="","",IFERROR(INDEX('Staff Directory'!$D$5:$D$594,MATCH($B602,'Staff Directory'!$A$5:$A$594,0)),""))</f>
        <v>A1</v>
      </c>
      <c r="F602" s="9" t="s">
        <v>115</v>
      </c>
      <c r="G602" s="18" t="str">
        <f>IF($F602="","",IFERROR(INDEX(Items!$B$5:$B$597,MATCH($F602,Items!$A$5:$A$597,0)),"⚠ not in Items"))</f>
        <v>Wipes</v>
      </c>
      <c r="H602" s="19">
        <f>IF($F602="","",IFERROR(INDEX(Items!$C$5:$C$597,MATCH($F602,Items!$A$5:$A$597,0)),""))</f>
        <v>80</v>
      </c>
      <c r="I602" s="23">
        <f>IF($F602="","",IFERROR(INDEX(Items!$E$5:$E$597,MATCH($F602,Items!$A$5:$A$597,0)),""))</f>
        <v>80</v>
      </c>
      <c r="J602" s="115">
        <f>IF(tblIssues[[#This Row],[Qty Override]]&lt;&gt;"",tblIssues[[#This Row],[Qty Override]],IF(tblIssues[[#This Row],[Standard Issue]]="","",tblIssues[[#This Row],[Standard Issue]]))</f>
        <v>80</v>
      </c>
      <c r="K602" s="20">
        <f>IF($F602="","",IFERROR(INDEX(Items!$D$5:$D$597,MATCH($F602,Items!$A$5:$A$597,0)),""))</f>
        <v>0.1</v>
      </c>
      <c r="L602" s="21">
        <f t="shared" si="105"/>
        <v>8</v>
      </c>
      <c r="M602" s="9" t="str">
        <f t="shared" si="106"/>
        <v>LYSL500290</v>
      </c>
      <c r="N602" s="24">
        <f>IF($A602="","",WORKDAY($A602,Settings!$C$9,HolidayDates))</f>
        <v>46160</v>
      </c>
      <c r="O602" s="24">
        <f>IF($N602="","",WORKDAY($N602,Settings!$C$10,HolidayDates))</f>
        <v>46198</v>
      </c>
      <c r="P602" s="10" t="s">
        <v>502</v>
      </c>
      <c r="Q602" s="52" t="str">
        <f t="shared" si="108"/>
        <v>Collected</v>
      </c>
      <c r="R602" s="55" t="str">
        <f t="shared" si="109"/>
        <v>2026-05</v>
      </c>
      <c r="S602" s="55">
        <f>IF(OR($B602="",$F602="",$R602=""),"",SUMIFS(tblIssues[Qty Issued],tblIssues[Staff ID],$B602,tblIssues[Item Name],$F602,tblIssues[Month],$R602))</f>
        <v>80</v>
      </c>
      <c r="T602" s="56">
        <f>IF($I602="","",$I602*Settings!$C$11)</f>
        <v>80</v>
      </c>
      <c r="U602" s="57" t="str">
        <f t="shared" si="107"/>
        <v>OK</v>
      </c>
      <c r="V602" s="55" t="str">
        <f t="shared" si="110"/>
        <v/>
      </c>
      <c r="W602" s="55" t="str">
        <f>IF($V602="","",IF(COUNTIF($V$5:$V602,$V602)=1,1,""))</f>
        <v/>
      </c>
      <c r="X602" s="58" t="str">
        <f>IF($W602="","",MAX($X$4:X601)+1)</f>
        <v/>
      </c>
      <c r="Y602" s="62"/>
      <c r="Z602" s="62"/>
      <c r="AA602" s="64" t="str">
        <f>IF($C602="","",IFERROR(INDEX('Staff Directory'!$E$5:$E$594,MATCH($C602,'Staff Directory'!$B$5:$B$594,0)),""))</f>
        <v>firstname058.lastname058@example.com</v>
      </c>
      <c r="AB602" s="64" t="str">
        <f>IF($C602="","",IF(ISNUMBER(SEARCH($D602,Settings!$C$15)),"Pickup","Dispatch"))</f>
        <v>Dispatch</v>
      </c>
      <c r="AC602" s="64" t="str">
        <f t="shared" si="111"/>
        <v>Supply order dispatched</v>
      </c>
      <c r="AD602" s="64" t="str">
        <f t="shared" si="102"/>
        <v>Dear RN,
Your order has been dispatched and is in transit. Reply if undelivered.</v>
      </c>
      <c r="AE602" s="64" t="str">
        <f t="shared" si="103"/>
        <v>mailto:firstname058.lastname058@example.com?subject=Supply%20order%20dispatched&amp;body=Dear%20RN%2C%0A%0AYour%20order%20has%20been%20dispatched%20and%20is%20in%20transit.%20Reply%20if%20undelivered.</v>
      </c>
      <c r="AF602" s="89" t="str">
        <f t="shared" si="112"/>
        <v>Draft email</v>
      </c>
      <c r="AG602" s="64" t="str">
        <f>IF($C602="","",IFERROR(INDEX('Staff Directory'!$K$595:$K$599,MATCH($C602,'Staff Directory'!$B$5:$B$599,0)),$D602))</f>
        <v>RN</v>
      </c>
      <c r="AH602" t="str">
        <f>IF($C602="","",IFERROR(INDEX('Staff Directory'!$I$595:$I$599,MATCH($C602,'Staff Directory'!$B$5:$B$599,0))&amp;" "&amp;INDEX('Staff Directory'!$J$595:$J$599,MATCH($C602,'Staff Directory'!$B$5:$B$599,0)),$AG602))</f>
        <v>RN</v>
      </c>
      <c r="AI602" s="102"/>
      <c r="AJ602" s="101">
        <f>IF($F602="","",SUMIFS($J$5:$J602,$F$5:$F602,$F602))</f>
        <v>8720</v>
      </c>
      <c r="AK602" s="101">
        <f t="shared" si="104"/>
        <v>8641</v>
      </c>
      <c r="AL602" s="66" t="str" cm="1">
        <f t="array" ref="AL602">IF($F602="","",IFERROR(INDEX('Lot Balance'!$B$5:$B$500,MATCH(1,INDEX(('Lot Balance'!$A$5:$A$500=$F602)*('Lot Balance'!$K$5:$K$500&lt;$AK602)*('Lot Balance'!$K$5:$K$500+'Lot Balance'!$D$5:$D$500&gt;=$AK602),0),0)),""))</f>
        <v>LYSL500290</v>
      </c>
      <c r="AM602" s="66" t="str" cm="1">
        <f t="array" ref="AM602">IF($F602="","",IFERROR(INDEX('Lot Balance'!$B$5:$B$500,MATCH(1,INDEX(('Lot Balance'!$A$5:$A$500=$F602)*('Lot Balance'!$K$5:$K$500&lt;$AJ602)*('Lot Balance'!$K$5:$K$500+'Lot Balance'!$D$5:$D$500&gt;=$AJ602),0),0)),""))</f>
        <v>LYSL500290</v>
      </c>
      <c r="AN602" s="66" t="str">
        <f>IF($F602="","",IF($AI602&lt;&gt;"",IF(COUNTIFS('Lot Balance'!$A$5:$A$500,$F602,'Lot Balance'!$B$5:$B$500,$AI602)=0,"⚠ override is not a lot of this item",IF($AI602=$AL602,"Override = FEFO","Override - FEFO says "&amp;$AL602)),IF($AL602="","⚠ no receipt on file for this item",IF($AM602&lt;&gt;$AL602,"FEFO auto - split, also "&amp;$AM602,"FEFO auto"))))</f>
        <v>FEFO auto</v>
      </c>
      <c r="AO602" s="114"/>
    </row>
    <row r="603" spans="1:41" x14ac:dyDescent="0.35">
      <c r="A603" s="74">
        <v>46150</v>
      </c>
      <c r="B603" s="18" t="str">
        <f>IF($C603="","",IFERROR(INDEX('Staff Directory'!$A$5:$A$594,MATCH($C603,'Staff Directory'!$B$5:$B$594,0)),"⚠ unknown staff"))</f>
        <v>RN-049-A1</v>
      </c>
      <c r="C603" s="49" t="s">
        <v>974</v>
      </c>
      <c r="D603" s="19" t="str">
        <f>IF($B603="","",IFERROR(INDEX('Staff Directory'!$C$5:$C$594,MATCH($B603,'Staff Directory'!$A$5:$A$594,0)),""))</f>
        <v>RN</v>
      </c>
      <c r="E603" s="19" t="str">
        <f>IF($B603="","",IFERROR(INDEX('Staff Directory'!$D$5:$D$594,MATCH($B603,'Staff Directory'!$A$5:$A$594,0)),""))</f>
        <v>A1</v>
      </c>
      <c r="F603" s="9" t="s">
        <v>156</v>
      </c>
      <c r="G603" s="18" t="str">
        <f>IF($F603="","",IFERROR(INDEX(Items!$B$5:$B$597,MATCH($F603,Items!$A$5:$A$597,0)),"⚠ not in Items"))</f>
        <v>Masks</v>
      </c>
      <c r="H603" s="19" t="str">
        <f>IF($F603="","",IFERROR(INDEX(Items!$C$5:$C$597,MATCH($F603,Items!$A$5:$A$597,0)),""))</f>
        <v>One Size</v>
      </c>
      <c r="I603" s="23">
        <f>IF($F603="","",IFERROR(INDEX(Items!$E$5:$E$597,MATCH($F603,Items!$A$5:$A$597,0)),""))</f>
        <v>50</v>
      </c>
      <c r="J603" s="115">
        <f>IF(tblIssues[[#This Row],[Qty Override]]&lt;&gt;"",tblIssues[[#This Row],[Qty Override]],IF(tblIssues[[#This Row],[Standard Issue]]="","",tblIssues[[#This Row],[Standard Issue]]))</f>
        <v>50</v>
      </c>
      <c r="K603" s="20">
        <f>IF($F603="","",IFERROR(INDEX(Items!$D$5:$D$597,MATCH($F603,Items!$A$5:$A$597,0)),""))</f>
        <v>0.25</v>
      </c>
      <c r="L603" s="21">
        <f t="shared" si="105"/>
        <v>12.5</v>
      </c>
      <c r="M603" s="9" t="str">
        <f t="shared" si="106"/>
        <v>0125FPC24-0</v>
      </c>
      <c r="N603" s="24">
        <f>IF($A603="","",WORKDAY($A603,Settings!$C$9,HolidayDates))</f>
        <v>46160</v>
      </c>
      <c r="O603" s="24">
        <f>IF($N603="","",WORKDAY($N603,Settings!$C$10,HolidayDates))</f>
        <v>46198</v>
      </c>
      <c r="P603" s="10" t="s">
        <v>502</v>
      </c>
      <c r="Q603" s="52" t="str">
        <f t="shared" si="108"/>
        <v>Collected</v>
      </c>
      <c r="R603" s="55" t="str">
        <f t="shared" si="109"/>
        <v>2026-05</v>
      </c>
      <c r="S603" s="55">
        <f>IF(OR($B603="",$F603="",$R603=""),"",SUMIFS(tblIssues[Qty Issued],tblIssues[Staff ID],$B603,tblIssues[Item Name],$F603,tblIssues[Month],$R603))</f>
        <v>50</v>
      </c>
      <c r="T603" s="56">
        <f>IF($I603="","",$I603*Settings!$C$11)</f>
        <v>50</v>
      </c>
      <c r="U603" s="57" t="str">
        <f t="shared" si="107"/>
        <v>OK</v>
      </c>
      <c r="V603" s="55" t="str">
        <f t="shared" si="110"/>
        <v/>
      </c>
      <c r="W603" s="55" t="str">
        <f>IF($V603="","",IF(COUNTIF($V$5:$V603,$V603)=1,1,""))</f>
        <v/>
      </c>
      <c r="X603" s="58" t="str">
        <f>IF($W603="","",MAX($X$4:X602)+1)</f>
        <v/>
      </c>
      <c r="Y603" s="62"/>
      <c r="Z603" s="62"/>
      <c r="AA603" s="64" t="str">
        <f>IF($C603="","",IFERROR(INDEX('Staff Directory'!$E$5:$E$594,MATCH($C603,'Staff Directory'!$B$5:$B$594,0)),""))</f>
        <v>firstname058.lastname058@example.com</v>
      </c>
      <c r="AB603" s="64" t="str">
        <f>IF($C603="","",IF(ISNUMBER(SEARCH($D603,Settings!$C$15)),"Pickup","Dispatch"))</f>
        <v>Dispatch</v>
      </c>
      <c r="AC603" s="64" t="str">
        <f t="shared" si="111"/>
        <v>Supply order dispatched</v>
      </c>
      <c r="AD603" s="64" t="str">
        <f t="shared" si="102"/>
        <v>Dear RN,
Your order has been dispatched and is in transit. Reply if undelivered.</v>
      </c>
      <c r="AE603" s="64" t="str">
        <f t="shared" si="103"/>
        <v>mailto:firstname058.lastname058@example.com?subject=Supply%20order%20dispatched&amp;body=Dear%20RN%2C%0A%0AYour%20order%20has%20been%20dispatched%20and%20is%20in%20transit.%20Reply%20if%20undelivered.</v>
      </c>
      <c r="AF603" s="89" t="str">
        <f t="shared" si="112"/>
        <v>Draft email</v>
      </c>
      <c r="AG603" s="64" t="str">
        <f>IF($C603="","",IFERROR(INDEX('Staff Directory'!$K$595:$K$599,MATCH($C603,'Staff Directory'!$B$5:$B$599,0)),$D603))</f>
        <v>RN</v>
      </c>
      <c r="AH603" t="str">
        <f>IF($C603="","",IFERROR(INDEX('Staff Directory'!$I$595:$I$599,MATCH($C603,'Staff Directory'!$B$5:$B$599,0))&amp;" "&amp;INDEX('Staff Directory'!$J$595:$J$599,MATCH($C603,'Staff Directory'!$B$5:$B$599,0)),$AG603))</f>
        <v>RN</v>
      </c>
      <c r="AI603" s="102"/>
      <c r="AJ603" s="101">
        <f>IF($F603="","",SUMIFS($J$5:$J603,$F$5:$F603,$F603))</f>
        <v>5000</v>
      </c>
      <c r="AK603" s="101">
        <f t="shared" si="104"/>
        <v>4951</v>
      </c>
      <c r="AL603" s="66" t="str" cm="1">
        <f t="array" ref="AL603">IF($F603="","",IFERROR(INDEX('Lot Balance'!$B$5:$B$500,MATCH(1,INDEX(('Lot Balance'!$A$5:$A$500=$F603)*('Lot Balance'!$K$5:$K$500&lt;$AK603)*('Lot Balance'!$K$5:$K$500+'Lot Balance'!$D$5:$D$500&gt;=$AK603),0),0)),""))</f>
        <v>0125FPC24-0</v>
      </c>
      <c r="AM603" s="66" t="str" cm="1">
        <f t="array" ref="AM603">IF($F603="","",IFERROR(INDEX('Lot Balance'!$B$5:$B$500,MATCH(1,INDEX(('Lot Balance'!$A$5:$A$500=$F603)*('Lot Balance'!$K$5:$K$500&lt;$AJ603)*('Lot Balance'!$K$5:$K$500+'Lot Balance'!$D$5:$D$500&gt;=$AJ603),0),0)),""))</f>
        <v>0125FPC24-0</v>
      </c>
      <c r="AN603" s="66" t="str">
        <f>IF($F603="","",IF($AI603&lt;&gt;"",IF(COUNTIFS('Lot Balance'!$A$5:$A$500,$F603,'Lot Balance'!$B$5:$B$500,$AI603)=0,"⚠ override is not a lot of this item",IF($AI603=$AL603,"Override = FEFO","Override - FEFO says "&amp;$AL603)),IF($AL603="","⚠ no receipt on file for this item",IF($AM603&lt;&gt;$AL603,"FEFO auto - split, also "&amp;$AM603,"FEFO auto"))))</f>
        <v>FEFO auto</v>
      </c>
      <c r="AO603" s="114"/>
    </row>
    <row r="604" spans="1:41" x14ac:dyDescent="0.35">
      <c r="A604" s="74">
        <v>46150</v>
      </c>
      <c r="B604" s="18" t="str">
        <f>IF($C604="","",IFERROR(INDEX('Staff Directory'!$A$5:$A$594,MATCH($C604,'Staff Directory'!$B$5:$B$594,0)),"⚠ unknown staff"))</f>
        <v>RN-049-A1</v>
      </c>
      <c r="C604" s="49" t="s">
        <v>974</v>
      </c>
      <c r="D604" s="19" t="str">
        <f>IF($B604="","",IFERROR(INDEX('Staff Directory'!$C$5:$C$594,MATCH($B604,'Staff Directory'!$A$5:$A$594,0)),""))</f>
        <v>RN</v>
      </c>
      <c r="E604" s="19" t="str">
        <f>IF($B604="","",IFERROR(INDEX('Staff Directory'!$D$5:$D$594,MATCH($B604,'Staff Directory'!$A$5:$A$594,0)),""))</f>
        <v>A1</v>
      </c>
      <c r="F604" s="9" t="s">
        <v>757</v>
      </c>
      <c r="G604" s="18" t="str">
        <f>IF($F604="","",IFERROR(INDEX(Items!$B$5:$B$597,MATCH($F604,Items!$A$5:$A$597,0)),"⚠ not in Items"))</f>
        <v>Documents</v>
      </c>
      <c r="H604" s="19" t="str">
        <f>IF($F604="","",IFERROR(INDEX(Items!$C$5:$C$597,MATCH($F604,Items!$A$5:$A$597,0)),""))</f>
        <v>Standard</v>
      </c>
      <c r="I604" s="23">
        <f>IF($F604="","",IFERROR(INDEX(Items!$E$5:$E$597,MATCH($F604,Items!$A$5:$A$597,0)),""))</f>
        <v>10</v>
      </c>
      <c r="J604" s="115">
        <f>IF(tblIssues[[#This Row],[Qty Override]]&lt;&gt;"",tblIssues[[#This Row],[Qty Override]],IF(tblIssues[[#This Row],[Standard Issue]]="","",tblIssues[[#This Row],[Standard Issue]]))</f>
        <v>10</v>
      </c>
      <c r="K604" s="20">
        <f>IF($F604="","",IFERROR(INDEX(Items!$D$5:$D$597,MATCH($F604,Items!$A$5:$A$597,0)),""))</f>
        <v>0</v>
      </c>
      <c r="L604" s="21">
        <f t="shared" si="105"/>
        <v>0</v>
      </c>
      <c r="M604" s="9" t="str">
        <f t="shared" si="106"/>
        <v/>
      </c>
      <c r="N604" s="24">
        <f>IF($A604="","",WORKDAY($A604,Settings!$C$9,HolidayDates))</f>
        <v>46160</v>
      </c>
      <c r="O604" s="24">
        <f>IF($N604="","",WORKDAY($N604,Settings!$C$10,HolidayDates))</f>
        <v>46198</v>
      </c>
      <c r="P604" s="10" t="s">
        <v>502</v>
      </c>
      <c r="Q604" s="52" t="str">
        <f t="shared" si="108"/>
        <v>Collected</v>
      </c>
      <c r="R604" s="55" t="str">
        <f t="shared" si="109"/>
        <v>2026-05</v>
      </c>
      <c r="S604" s="55">
        <f>IF(OR($B604="",$F604="",$R604=""),"",SUMIFS(tblIssues[Qty Issued],tblIssues[Staff ID],$B604,tblIssues[Item Name],$F604,tblIssues[Month],$R604))</f>
        <v>10</v>
      </c>
      <c r="T604" s="56">
        <f>IF($I604="","",$I604*Settings!$C$11)</f>
        <v>10</v>
      </c>
      <c r="U604" s="57" t="str">
        <f t="shared" si="107"/>
        <v>OK</v>
      </c>
      <c r="V604" s="55" t="str">
        <f t="shared" si="110"/>
        <v/>
      </c>
      <c r="W604" s="55" t="str">
        <f>IF($V604="","",IF(COUNTIF($V$5:$V604,$V604)=1,1,""))</f>
        <v/>
      </c>
      <c r="X604" s="58" t="str">
        <f>IF($W604="","",MAX($X$4:X603)+1)</f>
        <v/>
      </c>
      <c r="Y604" s="62"/>
      <c r="Z604" s="62"/>
      <c r="AA604" s="64" t="str">
        <f>IF($C604="","",IFERROR(INDEX('Staff Directory'!$E$5:$E$594,MATCH($C604,'Staff Directory'!$B$5:$B$594,0)),""))</f>
        <v>firstname058.lastname058@example.com</v>
      </c>
      <c r="AB604" s="64" t="str">
        <f>IF($C604="","",IF(ISNUMBER(SEARCH($D604,Settings!$C$15)),"Pickup","Dispatch"))</f>
        <v>Dispatch</v>
      </c>
      <c r="AC604" s="64" t="str">
        <f t="shared" si="111"/>
        <v>Supply order dispatched</v>
      </c>
      <c r="AD604" s="64" t="str">
        <f t="shared" si="102"/>
        <v>Dear RN,
Your order has been dispatched and is in transit. Reply if undelivered.</v>
      </c>
      <c r="AE604" s="64" t="str">
        <f t="shared" si="103"/>
        <v>mailto:firstname058.lastname058@example.com?subject=Supply%20order%20dispatched&amp;body=Dear%20RN%2C%0A%0AYour%20order%20has%20been%20dispatched%20and%20is%20in%20transit.%20Reply%20if%20undelivered.</v>
      </c>
      <c r="AF604" s="89" t="str">
        <f t="shared" si="112"/>
        <v>Draft email</v>
      </c>
      <c r="AG604" s="64" t="str">
        <f>IF($C604="","",IFERROR(INDEX('Staff Directory'!$K$595:$K$599,MATCH($C604,'Staff Directory'!$B$5:$B$599,0)),$D604))</f>
        <v>RN</v>
      </c>
      <c r="AH604" t="str">
        <f>IF($C604="","",IFERROR(INDEX('Staff Directory'!$I$595:$I$599,MATCH($C604,'Staff Directory'!$B$5:$B$599,0))&amp;" "&amp;INDEX('Staff Directory'!$J$595:$J$599,MATCH($C604,'Staff Directory'!$B$5:$B$599,0)),$AG604))</f>
        <v>RN</v>
      </c>
      <c r="AI604" s="102"/>
      <c r="AJ604" s="101">
        <f>IF($F604="","",SUMIFS($J$5:$J604,$F$5:$F604,$F604))</f>
        <v>210</v>
      </c>
      <c r="AK604" s="101">
        <f t="shared" si="104"/>
        <v>201</v>
      </c>
      <c r="AL604" s="66" t="str" cm="1">
        <f t="array" ref="AL604">IF($F604="","",IFERROR(INDEX('Lot Balance'!$B$5:$B$500,MATCH(1,INDEX(('Lot Balance'!$A$5:$A$500=$F604)*('Lot Balance'!$K$5:$K$500&lt;$AK604)*('Lot Balance'!$K$5:$K$500+'Lot Balance'!$D$5:$D$500&gt;=$AK604),0),0)),""))</f>
        <v/>
      </c>
      <c r="AM604" s="66" t="str" cm="1">
        <f t="array" ref="AM604">IF($F604="","",IFERROR(INDEX('Lot Balance'!$B$5:$B$500,MATCH(1,INDEX(('Lot Balance'!$A$5:$A$500=$F604)*('Lot Balance'!$K$5:$K$500&lt;$AJ604)*('Lot Balance'!$K$5:$K$500+'Lot Balance'!$D$5:$D$500&gt;=$AJ604),0),0)),""))</f>
        <v/>
      </c>
      <c r="AN604" s="66" t="str">
        <f>IF($F604="","",IF($AI604&lt;&gt;"",IF(COUNTIFS('Lot Balance'!$A$5:$A$500,$F604,'Lot Balance'!$B$5:$B$500,$AI604)=0,"⚠ override is not a lot of this item",IF($AI604=$AL604,"Override = FEFO","Override - FEFO says "&amp;$AL604)),IF($AL604="","⚠ no receipt on file for this item",IF($AM604&lt;&gt;$AL604,"FEFO auto - split, also "&amp;$AM604,"FEFO auto"))))</f>
        <v>⚠ no receipt on file for this item</v>
      </c>
      <c r="AO604" s="114"/>
    </row>
    <row r="605" spans="1:41" x14ac:dyDescent="0.35">
      <c r="A605" s="74">
        <v>46150</v>
      </c>
      <c r="B605" s="18" t="str">
        <f>IF($C605="","",IFERROR(INDEX('Staff Directory'!$A$5:$A$594,MATCH($C605,'Staff Directory'!$B$5:$B$594,0)),"⚠ unknown staff"))</f>
        <v>RN-035-A1</v>
      </c>
      <c r="C605" s="49" t="s">
        <v>956</v>
      </c>
      <c r="D605" s="19" t="str">
        <f>IF($B605="","",IFERROR(INDEX('Staff Directory'!$C$5:$C$594,MATCH($B605,'Staff Directory'!$A$5:$A$594,0)),""))</f>
        <v>RN</v>
      </c>
      <c r="E605" s="19" t="str">
        <f>IF($B605="","",IFERROR(INDEX('Staff Directory'!$D$5:$D$594,MATCH($B605,'Staff Directory'!$A$5:$A$594,0)),""))</f>
        <v>A1</v>
      </c>
      <c r="F605" s="9" t="s">
        <v>127</v>
      </c>
      <c r="G605" s="18" t="str">
        <f>IF($F605="","",IFERROR(INDEX(Items!$B$5:$B$597,MATCH($F605,Items!$A$5:$A$597,0)),"⚠ not in Items"))</f>
        <v>Gloves</v>
      </c>
      <c r="H605" s="19" t="str">
        <f>IF($F605="","",IFERROR(INDEX(Items!$C$5:$C$597,MATCH($F605,Items!$A$5:$A$597,0)),""))</f>
        <v>Medium</v>
      </c>
      <c r="I605" s="23">
        <f>IF($F605="","",IFERROR(INDEX(Items!$E$5:$E$597,MATCH($F605,Items!$A$5:$A$597,0)),""))</f>
        <v>500</v>
      </c>
      <c r="J605" s="115">
        <f>IF(tblIssues[[#This Row],[Qty Override]]&lt;&gt;"",tblIssues[[#This Row],[Qty Override]],IF(tblIssues[[#This Row],[Standard Issue]]="","",tblIssues[[#This Row],[Standard Issue]]))</f>
        <v>500</v>
      </c>
      <c r="K605" s="20">
        <f>IF($F605="","",IFERROR(INDEX(Items!$D$5:$D$597,MATCH($F605,Items!$A$5:$A$597,0)),""))</f>
        <v>5.5E-2</v>
      </c>
      <c r="L605" s="21">
        <f t="shared" si="105"/>
        <v>27.5</v>
      </c>
      <c r="M605" s="9" t="str">
        <f t="shared" si="106"/>
        <v>ZIM504126040-2</v>
      </c>
      <c r="N605" s="24">
        <f>IF($A605="","",WORKDAY($A605,Settings!$C$9,HolidayDates))</f>
        <v>46160</v>
      </c>
      <c r="O605" s="24">
        <f>IF($N605="","",WORKDAY($N605,Settings!$C$10,HolidayDates))</f>
        <v>46198</v>
      </c>
      <c r="P605" s="10" t="s">
        <v>502</v>
      </c>
      <c r="Q605" s="52" t="str">
        <f t="shared" si="108"/>
        <v>Collected</v>
      </c>
      <c r="R605" s="55" t="str">
        <f t="shared" si="109"/>
        <v>2026-05</v>
      </c>
      <c r="S605" s="55">
        <f>IF(OR($B605="",$F605="",$R605=""),"",SUMIFS(tblIssues[Qty Issued],tblIssues[Staff ID],$B605,tblIssues[Item Name],$F605,tblIssues[Month],$R605))</f>
        <v>500</v>
      </c>
      <c r="T605" s="56">
        <f>IF($I605="","",$I605*Settings!$C$11)</f>
        <v>500</v>
      </c>
      <c r="U605" s="57" t="str">
        <f t="shared" si="107"/>
        <v>OK</v>
      </c>
      <c r="V605" s="55" t="str">
        <f t="shared" si="110"/>
        <v/>
      </c>
      <c r="W605" s="55" t="str">
        <f>IF($V605="","",IF(COUNTIF($V$5:$V605,$V605)=1,1,""))</f>
        <v/>
      </c>
      <c r="X605" s="58" t="str">
        <f>IF($W605="","",MAX($X$4:X604)+1)</f>
        <v/>
      </c>
      <c r="Y605" s="62"/>
      <c r="Z605" s="62"/>
      <c r="AA605" s="64" t="str">
        <f>IF($C605="","",IFERROR(INDEX('Staff Directory'!$E$5:$E$594,MATCH($C605,'Staff Directory'!$B$5:$B$594,0)),""))</f>
        <v>firstname040.lastname040@example.com</v>
      </c>
      <c r="AB605" s="64" t="str">
        <f>IF($C605="","",IF(ISNUMBER(SEARCH($D605,Settings!$C$15)),"Pickup","Dispatch"))</f>
        <v>Dispatch</v>
      </c>
      <c r="AC605" s="64" t="str">
        <f t="shared" si="111"/>
        <v>Supply order dispatched</v>
      </c>
      <c r="AD605" s="64" t="str">
        <f t="shared" si="102"/>
        <v>Dear RN,
Your order has been dispatched and is in transit. Reply if undelivered.</v>
      </c>
      <c r="AE605" s="64" t="str">
        <f t="shared" si="103"/>
        <v>mailto:firstname040.lastname040@example.com?subject=Supply%20order%20dispatched&amp;body=Dear%20RN%2C%0A%0AYour%20order%20has%20been%20dispatched%20and%20is%20in%20transit.%20Reply%20if%20undelivered.</v>
      </c>
      <c r="AF605" s="89" t="str">
        <f t="shared" si="112"/>
        <v>Draft email</v>
      </c>
      <c r="AG605" s="64" t="str">
        <f>IF($C605="","",IFERROR(INDEX('Staff Directory'!$K$595:$K$599,MATCH($C605,'Staff Directory'!$B$5:$B$599,0)),$D605))</f>
        <v>RN</v>
      </c>
      <c r="AH605" t="str">
        <f>IF($C605="","",IFERROR(INDEX('Staff Directory'!$I$595:$I$599,MATCH($C605,'Staff Directory'!$B$5:$B$599,0))&amp;" "&amp;INDEX('Staff Directory'!$J$595:$J$599,MATCH($C605,'Staff Directory'!$B$5:$B$599,0)),$AG605))</f>
        <v>RN</v>
      </c>
      <c r="AI605" s="102"/>
      <c r="AJ605" s="101">
        <f>IF($F605="","",SUMIFS($J$5:$J605,$F$5:$F605,$F605))</f>
        <v>34500</v>
      </c>
      <c r="AK605" s="101">
        <f t="shared" si="104"/>
        <v>34001</v>
      </c>
      <c r="AL605" s="66" t="str" cm="1">
        <f t="array" ref="AL605">IF($F605="","",IFERROR(INDEX('Lot Balance'!$B$5:$B$500,MATCH(1,INDEX(('Lot Balance'!$A$5:$A$500=$F605)*('Lot Balance'!$K$5:$K$500&lt;$AK605)*('Lot Balance'!$K$5:$K$500+'Lot Balance'!$D$5:$D$500&gt;=$AK605),0),0)),""))</f>
        <v>ZIM504126040-2</v>
      </c>
      <c r="AM605" s="66" t="str" cm="1">
        <f t="array" ref="AM605">IF($F605="","",IFERROR(INDEX('Lot Balance'!$B$5:$B$500,MATCH(1,INDEX(('Lot Balance'!$A$5:$A$500=$F605)*('Lot Balance'!$K$5:$K$500&lt;$AJ605)*('Lot Balance'!$K$5:$K$500+'Lot Balance'!$D$5:$D$500&gt;=$AJ605),0),0)),""))</f>
        <v>ZIM504126040-2</v>
      </c>
      <c r="AN605" s="66" t="str">
        <f>IF($F605="","",IF($AI605&lt;&gt;"",IF(COUNTIFS('Lot Balance'!$A$5:$A$500,$F605,'Lot Balance'!$B$5:$B$500,$AI605)=0,"⚠ override is not a lot of this item",IF($AI605=$AL605,"Override = FEFO","Override - FEFO says "&amp;$AL605)),IF($AL605="","⚠ no receipt on file for this item",IF($AM605&lt;&gt;$AL605,"FEFO auto - split, also "&amp;$AM605,"FEFO auto"))))</f>
        <v>FEFO auto</v>
      </c>
      <c r="AO605" s="114"/>
    </row>
    <row r="606" spans="1:41" x14ac:dyDescent="0.35">
      <c r="A606" s="74">
        <v>46150</v>
      </c>
      <c r="B606" s="18" t="str">
        <f>IF($C606="","",IFERROR(INDEX('Staff Directory'!$A$5:$A$594,MATCH($C606,'Staff Directory'!$B$5:$B$594,0)),"⚠ unknown staff"))</f>
        <v>RN-035-A1</v>
      </c>
      <c r="C606" s="49" t="s">
        <v>956</v>
      </c>
      <c r="D606" s="19" t="str">
        <f>IF($B606="","",IFERROR(INDEX('Staff Directory'!$C$5:$C$594,MATCH($B606,'Staff Directory'!$A$5:$A$594,0)),""))</f>
        <v>RN</v>
      </c>
      <c r="E606" s="19" t="str">
        <f>IF($B606="","",IFERROR(INDEX('Staff Directory'!$D$5:$D$594,MATCH($B606,'Staff Directory'!$A$5:$A$594,0)),""))</f>
        <v>A1</v>
      </c>
      <c r="F606" s="9" t="s">
        <v>159</v>
      </c>
      <c r="G606" s="18" t="str">
        <f>IF($F606="","",IFERROR(INDEX(Items!$B$5:$B$597,MATCH($F606,Items!$A$5:$A$597,0)),"⚠ not in Items"))</f>
        <v>Documents</v>
      </c>
      <c r="H606" s="19" t="str">
        <f>IF($F606="","",IFERROR(INDEX(Items!$C$5:$C$597,MATCH($F606,Items!$A$5:$A$597,0)),""))</f>
        <v>Standard</v>
      </c>
      <c r="I606" s="23">
        <f>IF($F606="","",IFERROR(INDEX(Items!$E$5:$E$597,MATCH($F606,Items!$A$5:$A$597,0)),""))</f>
        <v>20</v>
      </c>
      <c r="J606" s="115">
        <f>IF(tblIssues[[#This Row],[Qty Override]]&lt;&gt;"",tblIssues[[#This Row],[Qty Override]],IF(tblIssues[[#This Row],[Standard Issue]]="","",tblIssues[[#This Row],[Standard Issue]]))</f>
        <v>20</v>
      </c>
      <c r="K606" s="20">
        <f>IF($F606="","",IFERROR(INDEX(Items!$D$5:$D$597,MATCH($F606,Items!$A$5:$A$597,0)),""))</f>
        <v>0</v>
      </c>
      <c r="L606" s="21">
        <f t="shared" si="105"/>
        <v>0</v>
      </c>
      <c r="M606" s="9" t="str">
        <f t="shared" si="106"/>
        <v/>
      </c>
      <c r="N606" s="24">
        <f>IF($A606="","",WORKDAY($A606,Settings!$C$9,HolidayDates))</f>
        <v>46160</v>
      </c>
      <c r="O606" s="24">
        <f>IF($N606="","",WORKDAY($N606,Settings!$C$10,HolidayDates))</f>
        <v>46198</v>
      </c>
      <c r="P606" s="10" t="s">
        <v>502</v>
      </c>
      <c r="Q606" s="52" t="str">
        <f t="shared" si="108"/>
        <v>Collected</v>
      </c>
      <c r="R606" s="55" t="str">
        <f t="shared" si="109"/>
        <v>2026-05</v>
      </c>
      <c r="S606" s="55">
        <f>IF(OR($B606="",$F606="",$R606=""),"",SUMIFS(tblIssues[Qty Issued],tblIssues[Staff ID],$B606,tblIssues[Item Name],$F606,tblIssues[Month],$R606))</f>
        <v>20</v>
      </c>
      <c r="T606" s="56">
        <f>IF($I606="","",$I606*Settings!$C$11)</f>
        <v>20</v>
      </c>
      <c r="U606" s="57" t="str">
        <f t="shared" si="107"/>
        <v>OK</v>
      </c>
      <c r="V606" s="55" t="str">
        <f t="shared" si="110"/>
        <v/>
      </c>
      <c r="W606" s="55" t="str">
        <f>IF($V606="","",IF(COUNTIF($V$5:$V606,$V606)=1,1,""))</f>
        <v/>
      </c>
      <c r="X606" s="58" t="str">
        <f>IF($W606="","",MAX($X$4:X605)+1)</f>
        <v/>
      </c>
      <c r="Y606" s="62"/>
      <c r="Z606" s="62"/>
      <c r="AA606" s="64" t="str">
        <f>IF($C606="","",IFERROR(INDEX('Staff Directory'!$E$5:$E$594,MATCH($C606,'Staff Directory'!$B$5:$B$594,0)),""))</f>
        <v>firstname040.lastname040@example.com</v>
      </c>
      <c r="AB606" s="64" t="str">
        <f>IF($C606="","",IF(ISNUMBER(SEARCH($D606,Settings!$C$15)),"Pickup","Dispatch"))</f>
        <v>Dispatch</v>
      </c>
      <c r="AC606" s="64" t="str">
        <f t="shared" si="111"/>
        <v>Supply order dispatched</v>
      </c>
      <c r="AD606" s="64" t="str">
        <f t="shared" si="102"/>
        <v>Dear RN,
Your order has been dispatched and is in transit. Reply if undelivered.</v>
      </c>
      <c r="AE606" s="64" t="str">
        <f t="shared" si="103"/>
        <v>mailto:firstname040.lastname040@example.com?subject=Supply%20order%20dispatched&amp;body=Dear%20RN%2C%0A%0AYour%20order%20has%20been%20dispatched%20and%20is%20in%20transit.%20Reply%20if%20undelivered.</v>
      </c>
      <c r="AF606" s="89" t="str">
        <f t="shared" si="112"/>
        <v>Draft email</v>
      </c>
      <c r="AG606" s="64" t="str">
        <f>IF($C606="","",IFERROR(INDEX('Staff Directory'!$K$595:$K$599,MATCH($C606,'Staff Directory'!$B$5:$B$599,0)),$D606))</f>
        <v>RN</v>
      </c>
      <c r="AH606" t="str">
        <f>IF($C606="","",IFERROR(INDEX('Staff Directory'!$I$595:$I$599,MATCH($C606,'Staff Directory'!$B$5:$B$599,0))&amp;" "&amp;INDEX('Staff Directory'!$J$595:$J$599,MATCH($C606,'Staff Directory'!$B$5:$B$599,0)),$AG606))</f>
        <v>RN</v>
      </c>
      <c r="AI606" s="102"/>
      <c r="AJ606" s="101">
        <f>IF($F606="","",SUMIFS($J$5:$J606,$F$5:$F606,$F606))</f>
        <v>160</v>
      </c>
      <c r="AK606" s="101">
        <f t="shared" si="104"/>
        <v>141</v>
      </c>
      <c r="AL606" s="66" t="str" cm="1">
        <f t="array" ref="AL606">IF($F606="","",IFERROR(INDEX('Lot Balance'!$B$5:$B$500,MATCH(1,INDEX(('Lot Balance'!$A$5:$A$500=$F606)*('Lot Balance'!$K$5:$K$500&lt;$AK606)*('Lot Balance'!$K$5:$K$500+'Lot Balance'!$D$5:$D$500&gt;=$AK606),0),0)),""))</f>
        <v/>
      </c>
      <c r="AM606" s="66" t="str" cm="1">
        <f t="array" ref="AM606">IF($F606="","",IFERROR(INDEX('Lot Balance'!$B$5:$B$500,MATCH(1,INDEX(('Lot Balance'!$A$5:$A$500=$F606)*('Lot Balance'!$K$5:$K$500&lt;$AJ606)*('Lot Balance'!$K$5:$K$500+'Lot Balance'!$D$5:$D$500&gt;=$AJ606),0),0)),""))</f>
        <v/>
      </c>
      <c r="AN606" s="66" t="str">
        <f>IF($F606="","",IF($AI606&lt;&gt;"",IF(COUNTIFS('Lot Balance'!$A$5:$A$500,$F606,'Lot Balance'!$B$5:$B$500,$AI606)=0,"⚠ override is not a lot of this item",IF($AI606=$AL606,"Override = FEFO","Override - FEFO says "&amp;$AL606)),IF($AL606="","⚠ no receipt on file for this item",IF($AM606&lt;&gt;$AL606,"FEFO auto - split, also "&amp;$AM606,"FEFO auto"))))</f>
        <v>⚠ no receipt on file for this item</v>
      </c>
      <c r="AO606" s="114"/>
    </row>
    <row r="607" spans="1:41" x14ac:dyDescent="0.35">
      <c r="A607" s="74">
        <v>46150</v>
      </c>
      <c r="B607" s="18" t="str">
        <f>IF($C607="","",IFERROR(INDEX('Staff Directory'!$A$5:$A$594,MATCH($C607,'Staff Directory'!$B$5:$B$594,0)),"⚠ unknown staff"))</f>
        <v>RN-006-A1</v>
      </c>
      <c r="C607" s="49" t="s">
        <v>922</v>
      </c>
      <c r="D607" s="19" t="str">
        <f>IF($B607="","",IFERROR(INDEX('Staff Directory'!$C$5:$C$594,MATCH($B607,'Staff Directory'!$A$5:$A$594,0)),""))</f>
        <v>RN</v>
      </c>
      <c r="E607" s="19" t="str">
        <f>IF($B607="","",IFERROR(INDEX('Staff Directory'!$D$5:$D$594,MATCH($B607,'Staff Directory'!$A$5:$A$594,0)),""))</f>
        <v>A1</v>
      </c>
      <c r="F607" s="9" t="s">
        <v>757</v>
      </c>
      <c r="G607" s="18" t="str">
        <f>IF($F607="","",IFERROR(INDEX(Items!$B$5:$B$597,MATCH($F607,Items!$A$5:$A$597,0)),"⚠ not in Items"))</f>
        <v>Documents</v>
      </c>
      <c r="H607" s="19" t="str">
        <f>IF($F607="","",IFERROR(INDEX(Items!$C$5:$C$597,MATCH($F607,Items!$A$5:$A$597,0)),""))</f>
        <v>Standard</v>
      </c>
      <c r="I607" s="23">
        <f>IF($F607="","",IFERROR(INDEX(Items!$E$5:$E$597,MATCH($F607,Items!$A$5:$A$597,0)),""))</f>
        <v>10</v>
      </c>
      <c r="J607" s="115">
        <f>IF(tblIssues[[#This Row],[Qty Override]]&lt;&gt;"",tblIssues[[#This Row],[Qty Override]],IF(tblIssues[[#This Row],[Standard Issue]]="","",tblIssues[[#This Row],[Standard Issue]]))</f>
        <v>10</v>
      </c>
      <c r="K607" s="20">
        <f>IF($F607="","",IFERROR(INDEX(Items!$D$5:$D$597,MATCH($F607,Items!$A$5:$A$597,0)),""))</f>
        <v>0</v>
      </c>
      <c r="L607" s="21">
        <f t="shared" si="105"/>
        <v>0</v>
      </c>
      <c r="M607" s="9" t="str">
        <f t="shared" si="106"/>
        <v/>
      </c>
      <c r="N607" s="24">
        <f>IF($A607="","",WORKDAY($A607,Settings!$C$9,HolidayDates))</f>
        <v>46160</v>
      </c>
      <c r="O607" s="24">
        <f>IF($N607="","",WORKDAY($N607,Settings!$C$10,HolidayDates))</f>
        <v>46198</v>
      </c>
      <c r="P607" s="10" t="s">
        <v>502</v>
      </c>
      <c r="Q607" s="52" t="str">
        <f t="shared" si="108"/>
        <v>Collected</v>
      </c>
      <c r="R607" s="55" t="str">
        <f t="shared" si="109"/>
        <v>2026-05</v>
      </c>
      <c r="S607" s="55">
        <f>IF(OR($B607="",$F607="",$R607=""),"",SUMIFS(tblIssues[Qty Issued],tblIssues[Staff ID],$B607,tblIssues[Item Name],$F607,tblIssues[Month],$R607))</f>
        <v>10</v>
      </c>
      <c r="T607" s="56">
        <f>IF($I607="","",$I607*Settings!$C$11)</f>
        <v>10</v>
      </c>
      <c r="U607" s="57" t="str">
        <f t="shared" si="107"/>
        <v>OK</v>
      </c>
      <c r="V607" s="55" t="str">
        <f t="shared" si="110"/>
        <v/>
      </c>
      <c r="W607" s="55" t="str">
        <f>IF($V607="","",IF(COUNTIF($V$5:$V607,$V607)=1,1,""))</f>
        <v/>
      </c>
      <c r="X607" s="58" t="str">
        <f>IF($W607="","",MAX($X$4:X606)+1)</f>
        <v/>
      </c>
      <c r="Y607" s="62"/>
      <c r="Z607" s="62"/>
      <c r="AA607" s="64" t="str">
        <f>IF($C607="","",IFERROR(INDEX('Staff Directory'!$E$5:$E$594,MATCH($C607,'Staff Directory'!$B$5:$B$594,0)),""))</f>
        <v>firstname006.lastname006@example.com</v>
      </c>
      <c r="AB607" s="64" t="str">
        <f>IF($C607="","",IF(ISNUMBER(SEARCH($D607,Settings!$C$15)),"Pickup","Dispatch"))</f>
        <v>Dispatch</v>
      </c>
      <c r="AC607" s="64" t="str">
        <f t="shared" si="111"/>
        <v>Supply order dispatched</v>
      </c>
      <c r="AD607" s="64" t="str">
        <f t="shared" si="102"/>
        <v>Dear RN,
Your order has been dispatched and is in transit. Reply if undelivered.</v>
      </c>
      <c r="AE607" s="64" t="str">
        <f t="shared" si="103"/>
        <v>mailto:firstname006.lastname006@example.com?subject=Supply%20order%20dispatched&amp;body=Dear%20RN%2C%0A%0AYour%20order%20has%20been%20dispatched%20and%20is%20in%20transit.%20Reply%20if%20undelivered.</v>
      </c>
      <c r="AF607" s="89" t="str">
        <f t="shared" si="112"/>
        <v>Draft email</v>
      </c>
      <c r="AG607" s="64" t="str">
        <f>IF($C607="","",IFERROR(INDEX('Staff Directory'!$K$595:$K$599,MATCH($C607,'Staff Directory'!$B$5:$B$599,0)),$D607))</f>
        <v>RN</v>
      </c>
      <c r="AH607" t="str">
        <f>IF($C607="","",IFERROR(INDEX('Staff Directory'!$I$595:$I$599,MATCH($C607,'Staff Directory'!$B$5:$B$599,0))&amp;" "&amp;INDEX('Staff Directory'!$J$595:$J$599,MATCH($C607,'Staff Directory'!$B$5:$B$599,0)),$AG607))</f>
        <v>RN</v>
      </c>
      <c r="AI607" s="102"/>
      <c r="AJ607" s="101">
        <f>IF($F607="","",SUMIFS($J$5:$J607,$F$5:$F607,$F607))</f>
        <v>220</v>
      </c>
      <c r="AK607" s="101">
        <f t="shared" si="104"/>
        <v>211</v>
      </c>
      <c r="AL607" s="66" t="str" cm="1">
        <f t="array" ref="AL607">IF($F607="","",IFERROR(INDEX('Lot Balance'!$B$5:$B$500,MATCH(1,INDEX(('Lot Balance'!$A$5:$A$500=$F607)*('Lot Balance'!$K$5:$K$500&lt;$AK607)*('Lot Balance'!$K$5:$K$500+'Lot Balance'!$D$5:$D$500&gt;=$AK607),0),0)),""))</f>
        <v/>
      </c>
      <c r="AM607" s="66" t="str" cm="1">
        <f t="array" ref="AM607">IF($F607="","",IFERROR(INDEX('Lot Balance'!$B$5:$B$500,MATCH(1,INDEX(('Lot Balance'!$A$5:$A$500=$F607)*('Lot Balance'!$K$5:$K$500&lt;$AJ607)*('Lot Balance'!$K$5:$K$500+'Lot Balance'!$D$5:$D$500&gt;=$AJ607),0),0)),""))</f>
        <v/>
      </c>
      <c r="AN607" s="66" t="str">
        <f>IF($F607="","",IF($AI607&lt;&gt;"",IF(COUNTIFS('Lot Balance'!$A$5:$A$500,$F607,'Lot Balance'!$B$5:$B$500,$AI607)=0,"⚠ override is not a lot of this item",IF($AI607=$AL607,"Override = FEFO","Override - FEFO says "&amp;$AL607)),IF($AL607="","⚠ no receipt on file for this item",IF($AM607&lt;&gt;$AL607,"FEFO auto - split, also "&amp;$AM607,"FEFO auto"))))</f>
        <v>⚠ no receipt on file for this item</v>
      </c>
      <c r="AO607" s="114"/>
    </row>
    <row r="608" spans="1:41" x14ac:dyDescent="0.35">
      <c r="A608" s="74">
        <v>46150</v>
      </c>
      <c r="B608" s="18" t="str">
        <f>IF($C608="","",IFERROR(INDEX('Staff Directory'!$A$5:$A$594,MATCH($C608,'Staff Directory'!$B$5:$B$594,0)),"⚠ unknown staff"))</f>
        <v>RN-008-A1</v>
      </c>
      <c r="C608" s="49" t="s">
        <v>924</v>
      </c>
      <c r="D608" s="19" t="str">
        <f>IF($B608="","",IFERROR(INDEX('Staff Directory'!$C$5:$C$594,MATCH($B608,'Staff Directory'!$A$5:$A$594,0)),""))</f>
        <v>RN</v>
      </c>
      <c r="E608" s="19" t="str">
        <f>IF($B608="","",IFERROR(INDEX('Staff Directory'!$D$5:$D$594,MATCH($B608,'Staff Directory'!$A$5:$A$594,0)),""))</f>
        <v>A1</v>
      </c>
      <c r="F608" s="9" t="s">
        <v>757</v>
      </c>
      <c r="G608" s="18" t="str">
        <f>IF($F608="","",IFERROR(INDEX(Items!$B$5:$B$597,MATCH($F608,Items!$A$5:$A$597,0)),"⚠ not in Items"))</f>
        <v>Documents</v>
      </c>
      <c r="H608" s="19" t="str">
        <f>IF($F608="","",IFERROR(INDEX(Items!$C$5:$C$597,MATCH($F608,Items!$A$5:$A$597,0)),""))</f>
        <v>Standard</v>
      </c>
      <c r="I608" s="23">
        <f>IF($F608="","",IFERROR(INDEX(Items!$E$5:$E$597,MATCH($F608,Items!$A$5:$A$597,0)),""))</f>
        <v>10</v>
      </c>
      <c r="J608" s="115">
        <f>IF(tblIssues[[#This Row],[Qty Override]]&lt;&gt;"",tblIssues[[#This Row],[Qty Override]],IF(tblIssues[[#This Row],[Standard Issue]]="","",tblIssues[[#This Row],[Standard Issue]]))</f>
        <v>10</v>
      </c>
      <c r="K608" s="20">
        <f>IF($F608="","",IFERROR(INDEX(Items!$D$5:$D$597,MATCH($F608,Items!$A$5:$A$597,0)),""))</f>
        <v>0</v>
      </c>
      <c r="L608" s="21">
        <f t="shared" si="105"/>
        <v>0</v>
      </c>
      <c r="M608" s="9" t="str">
        <f t="shared" si="106"/>
        <v/>
      </c>
      <c r="N608" s="24">
        <f>IF($A608="","",WORKDAY($A608,Settings!$C$9,HolidayDates))</f>
        <v>46160</v>
      </c>
      <c r="O608" s="24">
        <f>IF($N608="","",WORKDAY($N608,Settings!$C$10,HolidayDates))</f>
        <v>46198</v>
      </c>
      <c r="P608" s="10" t="s">
        <v>502</v>
      </c>
      <c r="Q608" s="52" t="str">
        <f t="shared" si="108"/>
        <v>Collected</v>
      </c>
      <c r="R608" s="55" t="str">
        <f t="shared" si="109"/>
        <v>2026-05</v>
      </c>
      <c r="S608" s="55">
        <f>IF(OR($B608="",$F608="",$R608=""),"",SUMIFS(tblIssues[Qty Issued],tblIssues[Staff ID],$B608,tblIssues[Item Name],$F608,tblIssues[Month],$R608))</f>
        <v>10</v>
      </c>
      <c r="T608" s="56">
        <f>IF($I608="","",$I608*Settings!$C$11)</f>
        <v>10</v>
      </c>
      <c r="U608" s="57" t="str">
        <f t="shared" si="107"/>
        <v>OK</v>
      </c>
      <c r="V608" s="55" t="str">
        <f t="shared" si="110"/>
        <v/>
      </c>
      <c r="W608" s="55" t="str">
        <f>IF($V608="","",IF(COUNTIF($V$5:$V608,$V608)=1,1,""))</f>
        <v/>
      </c>
      <c r="X608" s="58" t="str">
        <f>IF($W608="","",MAX($X$4:X607)+1)</f>
        <v/>
      </c>
      <c r="Y608" s="62"/>
      <c r="Z608" s="62"/>
      <c r="AA608" s="64" t="str">
        <f>IF($C608="","",IFERROR(INDEX('Staff Directory'!$E$5:$E$594,MATCH($C608,'Staff Directory'!$B$5:$B$594,0)),""))</f>
        <v>firstname008.lastname008@example.com</v>
      </c>
      <c r="AB608" s="64" t="str">
        <f>IF($C608="","",IF(ISNUMBER(SEARCH($D608,Settings!$C$15)),"Pickup","Dispatch"))</f>
        <v>Dispatch</v>
      </c>
      <c r="AC608" s="64" t="str">
        <f t="shared" si="111"/>
        <v>Supply order dispatched</v>
      </c>
      <c r="AD608" s="64" t="str">
        <f t="shared" si="102"/>
        <v>Dear RN,
Your order has been dispatched and is in transit. Reply if undelivered.</v>
      </c>
      <c r="AE608" s="64" t="str">
        <f t="shared" si="103"/>
        <v>mailto:firstname008.lastname008@example.com?subject=Supply%20order%20dispatched&amp;body=Dear%20RN%2C%0A%0AYour%20order%20has%20been%20dispatched%20and%20is%20in%20transit.%20Reply%20if%20undelivered.</v>
      </c>
      <c r="AF608" s="89" t="str">
        <f t="shared" si="112"/>
        <v>Draft email</v>
      </c>
      <c r="AG608" s="64" t="str">
        <f>IF($C608="","",IFERROR(INDEX('Staff Directory'!$K$595:$K$599,MATCH($C608,'Staff Directory'!$B$5:$B$599,0)),$D608))</f>
        <v>RN</v>
      </c>
      <c r="AH608" t="str">
        <f>IF($C608="","",IFERROR(INDEX('Staff Directory'!$I$595:$I$599,MATCH($C608,'Staff Directory'!$B$5:$B$599,0))&amp;" "&amp;INDEX('Staff Directory'!$J$595:$J$599,MATCH($C608,'Staff Directory'!$B$5:$B$599,0)),$AG608))</f>
        <v>RN</v>
      </c>
      <c r="AI608" s="102"/>
      <c r="AJ608" s="101">
        <f>IF($F608="","",SUMIFS($J$5:$J608,$F$5:$F608,$F608))</f>
        <v>230</v>
      </c>
      <c r="AK608" s="101">
        <f t="shared" si="104"/>
        <v>221</v>
      </c>
      <c r="AL608" s="66" t="str" cm="1">
        <f t="array" ref="AL608">IF($F608="","",IFERROR(INDEX('Lot Balance'!$B$5:$B$500,MATCH(1,INDEX(('Lot Balance'!$A$5:$A$500=$F608)*('Lot Balance'!$K$5:$K$500&lt;$AK608)*('Lot Balance'!$K$5:$K$500+'Lot Balance'!$D$5:$D$500&gt;=$AK608),0),0)),""))</f>
        <v/>
      </c>
      <c r="AM608" s="66" t="str" cm="1">
        <f t="array" ref="AM608">IF($F608="","",IFERROR(INDEX('Lot Balance'!$B$5:$B$500,MATCH(1,INDEX(('Lot Balance'!$A$5:$A$500=$F608)*('Lot Balance'!$K$5:$K$500&lt;$AJ608)*('Lot Balance'!$K$5:$K$500+'Lot Balance'!$D$5:$D$500&gt;=$AJ608),0),0)),""))</f>
        <v/>
      </c>
      <c r="AN608" s="66" t="str">
        <f>IF($F608="","",IF($AI608&lt;&gt;"",IF(COUNTIFS('Lot Balance'!$A$5:$A$500,$F608,'Lot Balance'!$B$5:$B$500,$AI608)=0,"⚠ override is not a lot of this item",IF($AI608=$AL608,"Override = FEFO","Override - FEFO says "&amp;$AL608)),IF($AL608="","⚠ no receipt on file for this item",IF($AM608&lt;&gt;$AL608,"FEFO auto - split, also "&amp;$AM608,"FEFO auto"))))</f>
        <v>⚠ no receipt on file for this item</v>
      </c>
      <c r="AO608" s="114"/>
    </row>
    <row r="609" spans="1:41" x14ac:dyDescent="0.35">
      <c r="A609" s="74">
        <v>46150</v>
      </c>
      <c r="B609" s="18" t="str">
        <f>IF($C609="","",IFERROR(INDEX('Staff Directory'!$A$5:$A$594,MATCH($C609,'Staff Directory'!$B$5:$B$594,0)),"⚠ unknown staff"))</f>
        <v>RN-014-A1</v>
      </c>
      <c r="C609" s="49" t="s">
        <v>931</v>
      </c>
      <c r="D609" s="19" t="str">
        <f>IF($B609="","",IFERROR(INDEX('Staff Directory'!$C$5:$C$594,MATCH($B609,'Staff Directory'!$A$5:$A$594,0)),""))</f>
        <v>RN</v>
      </c>
      <c r="E609" s="19" t="str">
        <f>IF($B609="","",IFERROR(INDEX('Staff Directory'!$D$5:$D$594,MATCH($B609,'Staff Directory'!$A$5:$A$594,0)),""))</f>
        <v>A1</v>
      </c>
      <c r="F609" s="9" t="s">
        <v>757</v>
      </c>
      <c r="G609" s="18" t="str">
        <f>IF($F609="","",IFERROR(INDEX(Items!$B$5:$B$597,MATCH($F609,Items!$A$5:$A$597,0)),"⚠ not in Items"))</f>
        <v>Documents</v>
      </c>
      <c r="H609" s="19" t="str">
        <f>IF($F609="","",IFERROR(INDEX(Items!$C$5:$C$597,MATCH($F609,Items!$A$5:$A$597,0)),""))</f>
        <v>Standard</v>
      </c>
      <c r="I609" s="23">
        <f>IF($F609="","",IFERROR(INDEX(Items!$E$5:$E$597,MATCH($F609,Items!$A$5:$A$597,0)),""))</f>
        <v>10</v>
      </c>
      <c r="J609" s="115">
        <f>IF(tblIssues[[#This Row],[Qty Override]]&lt;&gt;"",tblIssues[[#This Row],[Qty Override]],IF(tblIssues[[#This Row],[Standard Issue]]="","",tblIssues[[#This Row],[Standard Issue]]))</f>
        <v>10</v>
      </c>
      <c r="K609" s="20">
        <f>IF($F609="","",IFERROR(INDEX(Items!$D$5:$D$597,MATCH($F609,Items!$A$5:$A$597,0)),""))</f>
        <v>0</v>
      </c>
      <c r="L609" s="21">
        <f t="shared" si="105"/>
        <v>0</v>
      </c>
      <c r="M609" s="9" t="str">
        <f t="shared" si="106"/>
        <v/>
      </c>
      <c r="N609" s="24">
        <f>IF($A609="","",WORKDAY($A609,Settings!$C$9,HolidayDates))</f>
        <v>46160</v>
      </c>
      <c r="O609" s="24">
        <f>IF($N609="","",WORKDAY($N609,Settings!$C$10,HolidayDates))</f>
        <v>46198</v>
      </c>
      <c r="P609" s="10" t="s">
        <v>502</v>
      </c>
      <c r="Q609" s="52" t="str">
        <f t="shared" si="108"/>
        <v>Collected</v>
      </c>
      <c r="R609" s="55" t="str">
        <f t="shared" si="109"/>
        <v>2026-05</v>
      </c>
      <c r="S609" s="55">
        <f>IF(OR($B609="",$F609="",$R609=""),"",SUMIFS(tblIssues[Qty Issued],tblIssues[Staff ID],$B609,tblIssues[Item Name],$F609,tblIssues[Month],$R609))</f>
        <v>10</v>
      </c>
      <c r="T609" s="56">
        <f>IF($I609="","",$I609*Settings!$C$11)</f>
        <v>10</v>
      </c>
      <c r="U609" s="57" t="str">
        <f t="shared" si="107"/>
        <v>OK</v>
      </c>
      <c r="V609" s="55" t="str">
        <f t="shared" si="110"/>
        <v/>
      </c>
      <c r="W609" s="55" t="str">
        <f>IF($V609="","",IF(COUNTIF($V$5:$V609,$V609)=1,1,""))</f>
        <v/>
      </c>
      <c r="X609" s="58" t="str">
        <f>IF($W609="","",MAX($X$4:X608)+1)</f>
        <v/>
      </c>
      <c r="Y609" s="62"/>
      <c r="Z609" s="62"/>
      <c r="AA609" s="64" t="str">
        <f>IF($C609="","",IFERROR(INDEX('Staff Directory'!$E$5:$E$594,MATCH($C609,'Staff Directory'!$B$5:$B$594,0)),""))</f>
        <v>firstname015.lastname015@example.com</v>
      </c>
      <c r="AB609" s="64" t="str">
        <f>IF($C609="","",IF(ISNUMBER(SEARCH($D609,Settings!$C$15)),"Pickup","Dispatch"))</f>
        <v>Dispatch</v>
      </c>
      <c r="AC609" s="64" t="str">
        <f t="shared" si="111"/>
        <v>Supply order dispatched</v>
      </c>
      <c r="AD609" s="64" t="str">
        <f t="shared" si="102"/>
        <v>Dear RN,
Your order has been dispatched and is in transit. Reply if undelivered.</v>
      </c>
      <c r="AE609" s="64" t="str">
        <f t="shared" si="103"/>
        <v>mailto:firstname015.lastname015@example.com?subject=Supply%20order%20dispatched&amp;body=Dear%20RN%2C%0A%0AYour%20order%20has%20been%20dispatched%20and%20is%20in%20transit.%20Reply%20if%20undelivered.</v>
      </c>
      <c r="AF609" s="89" t="str">
        <f t="shared" si="112"/>
        <v>Draft email</v>
      </c>
      <c r="AG609" s="64" t="str">
        <f>IF($C609="","",IFERROR(INDEX('Staff Directory'!$K$595:$K$599,MATCH($C609,'Staff Directory'!$B$5:$B$599,0)),$D609))</f>
        <v>RN</v>
      </c>
      <c r="AH609" t="str">
        <f>IF($C609="","",IFERROR(INDEX('Staff Directory'!$I$595:$I$599,MATCH($C609,'Staff Directory'!$B$5:$B$599,0))&amp;" "&amp;INDEX('Staff Directory'!$J$595:$J$599,MATCH($C609,'Staff Directory'!$B$5:$B$599,0)),$AG609))</f>
        <v>RN</v>
      </c>
      <c r="AI609" s="102"/>
      <c r="AJ609" s="101">
        <f>IF($F609="","",SUMIFS($J$5:$J609,$F$5:$F609,$F609))</f>
        <v>240</v>
      </c>
      <c r="AK609" s="101">
        <f t="shared" si="104"/>
        <v>231</v>
      </c>
      <c r="AL609" s="66" t="str" cm="1">
        <f t="array" ref="AL609">IF($F609="","",IFERROR(INDEX('Lot Balance'!$B$5:$B$500,MATCH(1,INDEX(('Lot Balance'!$A$5:$A$500=$F609)*('Lot Balance'!$K$5:$K$500&lt;$AK609)*('Lot Balance'!$K$5:$K$500+'Lot Balance'!$D$5:$D$500&gt;=$AK609),0),0)),""))</f>
        <v/>
      </c>
      <c r="AM609" s="66" t="str" cm="1">
        <f t="array" ref="AM609">IF($F609="","",IFERROR(INDEX('Lot Balance'!$B$5:$B$500,MATCH(1,INDEX(('Lot Balance'!$A$5:$A$500=$F609)*('Lot Balance'!$K$5:$K$500&lt;$AJ609)*('Lot Balance'!$K$5:$K$500+'Lot Balance'!$D$5:$D$500&gt;=$AJ609),0),0)),""))</f>
        <v/>
      </c>
      <c r="AN609" s="66" t="str">
        <f>IF($F609="","",IF($AI609&lt;&gt;"",IF(COUNTIFS('Lot Balance'!$A$5:$A$500,$F609,'Lot Balance'!$B$5:$B$500,$AI609)=0,"⚠ override is not a lot of this item",IF($AI609=$AL609,"Override = FEFO","Override - FEFO says "&amp;$AL609)),IF($AL609="","⚠ no receipt on file for this item",IF($AM609&lt;&gt;$AL609,"FEFO auto - split, also "&amp;$AM609,"FEFO auto"))))</f>
        <v>⚠ no receipt on file for this item</v>
      </c>
      <c r="AO609" s="114"/>
    </row>
    <row r="610" spans="1:41" x14ac:dyDescent="0.35">
      <c r="A610" s="74">
        <v>46150</v>
      </c>
      <c r="B610" s="18" t="str">
        <f>IF($C610="","",IFERROR(INDEX('Staff Directory'!$A$5:$A$594,MATCH($C610,'Staff Directory'!$B$5:$B$594,0)),"⚠ unknown staff"))</f>
        <v>RN-015-A1</v>
      </c>
      <c r="C610" s="49" t="s">
        <v>932</v>
      </c>
      <c r="D610" s="19" t="str">
        <f>IF($B610="","",IFERROR(INDEX('Staff Directory'!$C$5:$C$594,MATCH($B610,'Staff Directory'!$A$5:$A$594,0)),""))</f>
        <v>RN</v>
      </c>
      <c r="E610" s="19" t="str">
        <f>IF($B610="","",IFERROR(INDEX('Staff Directory'!$D$5:$D$594,MATCH($B610,'Staff Directory'!$A$5:$A$594,0)),""))</f>
        <v>A1</v>
      </c>
      <c r="F610" s="9" t="s">
        <v>757</v>
      </c>
      <c r="G610" s="18" t="str">
        <f>IF($F610="","",IFERROR(INDEX(Items!$B$5:$B$597,MATCH($F610,Items!$A$5:$A$597,0)),"⚠ not in Items"))</f>
        <v>Documents</v>
      </c>
      <c r="H610" s="19" t="str">
        <f>IF($F610="","",IFERROR(INDEX(Items!$C$5:$C$597,MATCH($F610,Items!$A$5:$A$597,0)),""))</f>
        <v>Standard</v>
      </c>
      <c r="I610" s="23">
        <f>IF($F610="","",IFERROR(INDEX(Items!$E$5:$E$597,MATCH($F610,Items!$A$5:$A$597,0)),""))</f>
        <v>10</v>
      </c>
      <c r="J610" s="115">
        <f>IF(tblIssues[[#This Row],[Qty Override]]&lt;&gt;"",tblIssues[[#This Row],[Qty Override]],IF(tblIssues[[#This Row],[Standard Issue]]="","",tblIssues[[#This Row],[Standard Issue]]))</f>
        <v>10</v>
      </c>
      <c r="K610" s="20">
        <f>IF($F610="","",IFERROR(INDEX(Items!$D$5:$D$597,MATCH($F610,Items!$A$5:$A$597,0)),""))</f>
        <v>0</v>
      </c>
      <c r="L610" s="21">
        <f t="shared" si="105"/>
        <v>0</v>
      </c>
      <c r="M610" s="9" t="str">
        <f t="shared" si="106"/>
        <v/>
      </c>
      <c r="N610" s="24">
        <f>IF($A610="","",WORKDAY($A610,Settings!$C$9,HolidayDates))</f>
        <v>46160</v>
      </c>
      <c r="O610" s="24">
        <f>IF($N610="","",WORKDAY($N610,Settings!$C$10,HolidayDates))</f>
        <v>46198</v>
      </c>
      <c r="P610" s="10" t="s">
        <v>502</v>
      </c>
      <c r="Q610" s="52" t="str">
        <f t="shared" si="108"/>
        <v>Collected</v>
      </c>
      <c r="R610" s="55" t="str">
        <f t="shared" si="109"/>
        <v>2026-05</v>
      </c>
      <c r="S610" s="55">
        <f>IF(OR($B610="",$F610="",$R610=""),"",SUMIFS(tblIssues[Qty Issued],tblIssues[Staff ID],$B610,tblIssues[Item Name],$F610,tblIssues[Month],$R610))</f>
        <v>10</v>
      </c>
      <c r="T610" s="56">
        <f>IF($I610="","",$I610*Settings!$C$11)</f>
        <v>10</v>
      </c>
      <c r="U610" s="57" t="str">
        <f t="shared" si="107"/>
        <v>OK</v>
      </c>
      <c r="V610" s="55" t="str">
        <f t="shared" si="110"/>
        <v/>
      </c>
      <c r="W610" s="55" t="str">
        <f>IF($V610="","",IF(COUNTIF($V$5:$V610,$V610)=1,1,""))</f>
        <v/>
      </c>
      <c r="X610" s="58" t="str">
        <f>IF($W610="","",MAX($X$4:X609)+1)</f>
        <v/>
      </c>
      <c r="Y610" s="62"/>
      <c r="Z610" s="62"/>
      <c r="AA610" s="64" t="str">
        <f>IF($C610="","",IFERROR(INDEX('Staff Directory'!$E$5:$E$594,MATCH($C610,'Staff Directory'!$B$5:$B$594,0)),""))</f>
        <v>firstname016.lastname016@example.com</v>
      </c>
      <c r="AB610" s="64" t="str">
        <f>IF($C610="","",IF(ISNUMBER(SEARCH($D610,Settings!$C$15)),"Pickup","Dispatch"))</f>
        <v>Dispatch</v>
      </c>
      <c r="AC610" s="64" t="str">
        <f t="shared" si="111"/>
        <v>Supply order dispatched</v>
      </c>
      <c r="AD610" s="64" t="str">
        <f t="shared" si="102"/>
        <v>Dear RN,
Your order has been dispatched and is in transit. Reply if undelivered.</v>
      </c>
      <c r="AE610" s="64" t="str">
        <f t="shared" si="103"/>
        <v>mailto:firstname016.lastname016@example.com?subject=Supply%20order%20dispatched&amp;body=Dear%20RN%2C%0A%0AYour%20order%20has%20been%20dispatched%20and%20is%20in%20transit.%20Reply%20if%20undelivered.</v>
      </c>
      <c r="AF610" s="89" t="str">
        <f t="shared" si="112"/>
        <v>Draft email</v>
      </c>
      <c r="AG610" s="64" t="str">
        <f>IF($C610="","",IFERROR(INDEX('Staff Directory'!$K$595:$K$599,MATCH($C610,'Staff Directory'!$B$5:$B$599,0)),$D610))</f>
        <v>RN</v>
      </c>
      <c r="AH610" t="str">
        <f>IF($C610="","",IFERROR(INDEX('Staff Directory'!$I$595:$I$599,MATCH($C610,'Staff Directory'!$B$5:$B$599,0))&amp;" "&amp;INDEX('Staff Directory'!$J$595:$J$599,MATCH($C610,'Staff Directory'!$B$5:$B$599,0)),$AG610))</f>
        <v>RN</v>
      </c>
      <c r="AI610" s="102"/>
      <c r="AJ610" s="101">
        <f>IF($F610="","",SUMIFS($J$5:$J610,$F$5:$F610,$F610))</f>
        <v>250</v>
      </c>
      <c r="AK610" s="101">
        <f t="shared" si="104"/>
        <v>241</v>
      </c>
      <c r="AL610" s="66" t="str" cm="1">
        <f t="array" ref="AL610">IF($F610="","",IFERROR(INDEX('Lot Balance'!$B$5:$B$500,MATCH(1,INDEX(('Lot Balance'!$A$5:$A$500=$F610)*('Lot Balance'!$K$5:$K$500&lt;$AK610)*('Lot Balance'!$K$5:$K$500+'Lot Balance'!$D$5:$D$500&gt;=$AK610),0),0)),""))</f>
        <v/>
      </c>
      <c r="AM610" s="66" t="str" cm="1">
        <f t="array" ref="AM610">IF($F610="","",IFERROR(INDEX('Lot Balance'!$B$5:$B$500,MATCH(1,INDEX(('Lot Balance'!$A$5:$A$500=$F610)*('Lot Balance'!$K$5:$K$500&lt;$AJ610)*('Lot Balance'!$K$5:$K$500+'Lot Balance'!$D$5:$D$500&gt;=$AJ610),0),0)),""))</f>
        <v/>
      </c>
      <c r="AN610" s="66" t="str">
        <f>IF($F610="","",IF($AI610&lt;&gt;"",IF(COUNTIFS('Lot Balance'!$A$5:$A$500,$F610,'Lot Balance'!$B$5:$B$500,$AI610)=0,"⚠ override is not a lot of this item",IF($AI610=$AL610,"Override = FEFO","Override - FEFO says "&amp;$AL610)),IF($AL610="","⚠ no receipt on file for this item",IF($AM610&lt;&gt;$AL610,"FEFO auto - split, also "&amp;$AM610,"FEFO auto"))))</f>
        <v>⚠ no receipt on file for this item</v>
      </c>
      <c r="AO610" s="114"/>
    </row>
    <row r="611" spans="1:41" x14ac:dyDescent="0.35">
      <c r="A611" s="74">
        <v>46150</v>
      </c>
      <c r="B611" s="18" t="str">
        <f>IF($C611="","",IFERROR(INDEX('Staff Directory'!$A$5:$A$594,MATCH($C611,'Staff Directory'!$B$5:$B$594,0)),"⚠ unknown staff"))</f>
        <v>RPN-003-A1</v>
      </c>
      <c r="C611" s="49" t="s">
        <v>935</v>
      </c>
      <c r="D611" s="19" t="str">
        <f>IF($B611="","",IFERROR(INDEX('Staff Directory'!$C$5:$C$594,MATCH($B611,'Staff Directory'!$A$5:$A$594,0)),""))</f>
        <v>RPN</v>
      </c>
      <c r="E611" s="19" t="str">
        <f>IF($B611="","",IFERROR(INDEX('Staff Directory'!$D$5:$D$594,MATCH($B611,'Staff Directory'!$A$5:$A$594,0)),""))</f>
        <v>A1</v>
      </c>
      <c r="F611" s="9" t="s">
        <v>757</v>
      </c>
      <c r="G611" s="18" t="str">
        <f>IF($F611="","",IFERROR(INDEX(Items!$B$5:$B$597,MATCH($F611,Items!$A$5:$A$597,0)),"⚠ not in Items"))</f>
        <v>Documents</v>
      </c>
      <c r="H611" s="19" t="str">
        <f>IF($F611="","",IFERROR(INDEX(Items!$C$5:$C$597,MATCH($F611,Items!$A$5:$A$597,0)),""))</f>
        <v>Standard</v>
      </c>
      <c r="I611" s="23">
        <f>IF($F611="","",IFERROR(INDEX(Items!$E$5:$E$597,MATCH($F611,Items!$A$5:$A$597,0)),""))</f>
        <v>10</v>
      </c>
      <c r="J611" s="115">
        <f>IF(tblIssues[[#This Row],[Qty Override]]&lt;&gt;"",tblIssues[[#This Row],[Qty Override]],IF(tblIssues[[#This Row],[Standard Issue]]="","",tblIssues[[#This Row],[Standard Issue]]))</f>
        <v>10</v>
      </c>
      <c r="K611" s="20">
        <f>IF($F611="","",IFERROR(INDEX(Items!$D$5:$D$597,MATCH($F611,Items!$A$5:$A$597,0)),""))</f>
        <v>0</v>
      </c>
      <c r="L611" s="21">
        <f t="shared" si="105"/>
        <v>0</v>
      </c>
      <c r="M611" s="9" t="str">
        <f t="shared" si="106"/>
        <v/>
      </c>
      <c r="N611" s="24">
        <f>IF($A611="","",WORKDAY($A611,Settings!$C$9,HolidayDates))</f>
        <v>46160</v>
      </c>
      <c r="O611" s="24">
        <f>IF($N611="","",WORKDAY($N611,Settings!$C$10,HolidayDates))</f>
        <v>46198</v>
      </c>
      <c r="P611" s="10" t="s">
        <v>502</v>
      </c>
      <c r="Q611" s="52" t="str">
        <f t="shared" si="108"/>
        <v>Collected</v>
      </c>
      <c r="R611" s="55" t="str">
        <f t="shared" si="109"/>
        <v>2026-05</v>
      </c>
      <c r="S611" s="55">
        <f>IF(OR($B611="",$F611="",$R611=""),"",SUMIFS(tblIssues[Qty Issued],tblIssues[Staff ID],$B611,tblIssues[Item Name],$F611,tblIssues[Month],$R611))</f>
        <v>10</v>
      </c>
      <c r="T611" s="56">
        <f>IF($I611="","",$I611*Settings!$C$11)</f>
        <v>10</v>
      </c>
      <c r="U611" s="57" t="str">
        <f t="shared" si="107"/>
        <v>OK</v>
      </c>
      <c r="V611" s="55" t="str">
        <f t="shared" si="110"/>
        <v/>
      </c>
      <c r="W611" s="55" t="str">
        <f>IF($V611="","",IF(COUNTIF($V$5:$V611,$V611)=1,1,""))</f>
        <v/>
      </c>
      <c r="X611" s="58" t="str">
        <f>IF($W611="","",MAX($X$4:X610)+1)</f>
        <v/>
      </c>
      <c r="Y611" s="62"/>
      <c r="Z611" s="62"/>
      <c r="AA611" s="64" t="str">
        <f>IF($C611="","",IFERROR(INDEX('Staff Directory'!$E$5:$E$594,MATCH($C611,'Staff Directory'!$B$5:$B$594,0)),""))</f>
        <v>firstname019.lastname019@example.com</v>
      </c>
      <c r="AB611" s="64" t="str">
        <f>IF($C611="","",IF(ISNUMBER(SEARCH($D611,Settings!$C$15)),"Pickup","Dispatch"))</f>
        <v>Dispatch</v>
      </c>
      <c r="AC611" s="64" t="str">
        <f t="shared" si="111"/>
        <v>Supply order dispatched</v>
      </c>
      <c r="AD611" s="64" t="str">
        <f t="shared" si="102"/>
        <v>Dear RPN,
Your order has been dispatched and is in transit. Reply if undelivered.</v>
      </c>
      <c r="AE611" s="64" t="str">
        <f t="shared" si="103"/>
        <v>mailto:firstname019.lastname019@example.com?subject=Supply%20order%20dispatched&amp;body=Dear%20RPN%2C%0A%0AYour%20order%20has%20been%20dispatched%20and%20is%20in%20transit.%20Reply%20if%20undelivered.</v>
      </c>
      <c r="AF611" s="89" t="str">
        <f t="shared" si="112"/>
        <v>Draft email</v>
      </c>
      <c r="AG611" s="64" t="str">
        <f>IF($C611="","",IFERROR(INDEX('Staff Directory'!$K$595:$K$599,MATCH($C611,'Staff Directory'!$B$5:$B$599,0)),$D611))</f>
        <v>RPN</v>
      </c>
      <c r="AH611" t="str">
        <f>IF($C611="","",IFERROR(INDEX('Staff Directory'!$I$595:$I$599,MATCH($C611,'Staff Directory'!$B$5:$B$599,0))&amp;" "&amp;INDEX('Staff Directory'!$J$595:$J$599,MATCH($C611,'Staff Directory'!$B$5:$B$599,0)),$AG611))</f>
        <v>RPN</v>
      </c>
      <c r="AI611" s="102"/>
      <c r="AJ611" s="101">
        <f>IF($F611="","",SUMIFS($J$5:$J611,$F$5:$F611,$F611))</f>
        <v>260</v>
      </c>
      <c r="AK611" s="101">
        <f t="shared" si="104"/>
        <v>251</v>
      </c>
      <c r="AL611" s="66" t="str" cm="1">
        <f t="array" ref="AL611">IF($F611="","",IFERROR(INDEX('Lot Balance'!$B$5:$B$500,MATCH(1,INDEX(('Lot Balance'!$A$5:$A$500=$F611)*('Lot Balance'!$K$5:$K$500&lt;$AK611)*('Lot Balance'!$K$5:$K$500+'Lot Balance'!$D$5:$D$500&gt;=$AK611),0),0)),""))</f>
        <v/>
      </c>
      <c r="AM611" s="66" t="str" cm="1">
        <f t="array" ref="AM611">IF($F611="","",IFERROR(INDEX('Lot Balance'!$B$5:$B$500,MATCH(1,INDEX(('Lot Balance'!$A$5:$A$500=$F611)*('Lot Balance'!$K$5:$K$500&lt;$AJ611)*('Lot Balance'!$K$5:$K$500+'Lot Balance'!$D$5:$D$500&gt;=$AJ611),0),0)),""))</f>
        <v/>
      </c>
      <c r="AN611" s="66" t="str">
        <f>IF($F611="","",IF($AI611&lt;&gt;"",IF(COUNTIFS('Lot Balance'!$A$5:$A$500,$F611,'Lot Balance'!$B$5:$B$500,$AI611)=0,"⚠ override is not a lot of this item",IF($AI611=$AL611,"Override = FEFO","Override - FEFO says "&amp;$AL611)),IF($AL611="","⚠ no receipt on file for this item",IF($AM611&lt;&gt;$AL611,"FEFO auto - split, also "&amp;$AM611,"FEFO auto"))))</f>
        <v>⚠ no receipt on file for this item</v>
      </c>
      <c r="AO611" s="114"/>
    </row>
    <row r="612" spans="1:41" x14ac:dyDescent="0.35">
      <c r="A612" s="74">
        <v>46150</v>
      </c>
      <c r="B612" s="18" t="str">
        <f>IF($C612="","",IFERROR(INDEX('Staff Directory'!$A$5:$A$594,MATCH($C612,'Staff Directory'!$B$5:$B$594,0)),"⚠ unknown staff"))</f>
        <v>RPN-004-A1</v>
      </c>
      <c r="C612" s="49" t="s">
        <v>940</v>
      </c>
      <c r="D612" s="19" t="str">
        <f>IF($B612="","",IFERROR(INDEX('Staff Directory'!$C$5:$C$594,MATCH($B612,'Staff Directory'!$A$5:$A$594,0)),""))</f>
        <v>RPN</v>
      </c>
      <c r="E612" s="19" t="str">
        <f>IF($B612="","",IFERROR(INDEX('Staff Directory'!$D$5:$D$594,MATCH($B612,'Staff Directory'!$A$5:$A$594,0)),""))</f>
        <v>A1</v>
      </c>
      <c r="F612" s="9" t="s">
        <v>757</v>
      </c>
      <c r="G612" s="18" t="str">
        <f>IF($F612="","",IFERROR(INDEX(Items!$B$5:$B$597,MATCH($F612,Items!$A$5:$A$597,0)),"⚠ not in Items"))</f>
        <v>Documents</v>
      </c>
      <c r="H612" s="19" t="str">
        <f>IF($F612="","",IFERROR(INDEX(Items!$C$5:$C$597,MATCH($F612,Items!$A$5:$A$597,0)),""))</f>
        <v>Standard</v>
      </c>
      <c r="I612" s="23">
        <f>IF($F612="","",IFERROR(INDEX(Items!$E$5:$E$597,MATCH($F612,Items!$A$5:$A$597,0)),""))</f>
        <v>10</v>
      </c>
      <c r="J612" s="115">
        <f>IF(tblIssues[[#This Row],[Qty Override]]&lt;&gt;"",tblIssues[[#This Row],[Qty Override]],IF(tblIssues[[#This Row],[Standard Issue]]="","",tblIssues[[#This Row],[Standard Issue]]))</f>
        <v>10</v>
      </c>
      <c r="K612" s="20">
        <f>IF($F612="","",IFERROR(INDEX(Items!$D$5:$D$597,MATCH($F612,Items!$A$5:$A$597,0)),""))</f>
        <v>0</v>
      </c>
      <c r="L612" s="21">
        <f t="shared" si="105"/>
        <v>0</v>
      </c>
      <c r="M612" s="9" t="str">
        <f t="shared" si="106"/>
        <v/>
      </c>
      <c r="N612" s="24">
        <f>IF($A612="","",WORKDAY($A612,Settings!$C$9,HolidayDates))</f>
        <v>46160</v>
      </c>
      <c r="O612" s="24">
        <f>IF($N612="","",WORKDAY($N612,Settings!$C$10,HolidayDates))</f>
        <v>46198</v>
      </c>
      <c r="P612" s="10" t="s">
        <v>502</v>
      </c>
      <c r="Q612" s="52" t="str">
        <f t="shared" si="108"/>
        <v>Collected</v>
      </c>
      <c r="R612" s="55" t="str">
        <f t="shared" si="109"/>
        <v>2026-05</v>
      </c>
      <c r="S612" s="55">
        <f>IF(OR($B612="",$F612="",$R612=""),"",SUMIFS(tblIssues[Qty Issued],tblIssues[Staff ID],$B612,tblIssues[Item Name],$F612,tblIssues[Month],$R612))</f>
        <v>10</v>
      </c>
      <c r="T612" s="56">
        <f>IF($I612="","",$I612*Settings!$C$11)</f>
        <v>10</v>
      </c>
      <c r="U612" s="57" t="str">
        <f t="shared" si="107"/>
        <v>OK</v>
      </c>
      <c r="V612" s="55" t="str">
        <f t="shared" si="110"/>
        <v/>
      </c>
      <c r="W612" s="55" t="str">
        <f>IF($V612="","",IF(COUNTIF($V$5:$V612,$V612)=1,1,""))</f>
        <v/>
      </c>
      <c r="X612" s="58" t="str">
        <f>IF($W612="","",MAX($X$4:X611)+1)</f>
        <v/>
      </c>
      <c r="Y612" s="62"/>
      <c r="Z612" s="62"/>
      <c r="AA612" s="64" t="str">
        <f>IF($C612="","",IFERROR(INDEX('Staff Directory'!$E$5:$E$594,MATCH($C612,'Staff Directory'!$B$5:$B$594,0)),""))</f>
        <v>firstname024.lastname024@example.com</v>
      </c>
      <c r="AB612" s="64" t="str">
        <f>IF($C612="","",IF(ISNUMBER(SEARCH($D612,Settings!$C$15)),"Pickup","Dispatch"))</f>
        <v>Dispatch</v>
      </c>
      <c r="AC612" s="64" t="str">
        <f t="shared" si="111"/>
        <v>Supply order dispatched</v>
      </c>
      <c r="AD612" s="64" t="str">
        <f t="shared" si="102"/>
        <v>Dear RPN,
Your order has been dispatched and is in transit. Reply if undelivered.</v>
      </c>
      <c r="AE612" s="64" t="str">
        <f t="shared" si="103"/>
        <v>mailto:firstname024.lastname024@example.com?subject=Supply%20order%20dispatched&amp;body=Dear%20RPN%2C%0A%0AYour%20order%20has%20been%20dispatched%20and%20is%20in%20transit.%20Reply%20if%20undelivered.</v>
      </c>
      <c r="AF612" s="89" t="str">
        <f t="shared" si="112"/>
        <v>Draft email</v>
      </c>
      <c r="AG612" s="64" t="str">
        <f>IF($C612="","",IFERROR(INDEX('Staff Directory'!$K$595:$K$599,MATCH($C612,'Staff Directory'!$B$5:$B$599,0)),$D612))</f>
        <v>RPN</v>
      </c>
      <c r="AH612" t="str">
        <f>IF($C612="","",IFERROR(INDEX('Staff Directory'!$I$595:$I$599,MATCH($C612,'Staff Directory'!$B$5:$B$599,0))&amp;" "&amp;INDEX('Staff Directory'!$J$595:$J$599,MATCH($C612,'Staff Directory'!$B$5:$B$599,0)),$AG612))</f>
        <v>RPN</v>
      </c>
      <c r="AI612" s="102"/>
      <c r="AJ612" s="101">
        <f>IF($F612="","",SUMIFS($J$5:$J612,$F$5:$F612,$F612))</f>
        <v>270</v>
      </c>
      <c r="AK612" s="101">
        <f t="shared" si="104"/>
        <v>261</v>
      </c>
      <c r="AL612" s="66" t="str" cm="1">
        <f t="array" ref="AL612">IF($F612="","",IFERROR(INDEX('Lot Balance'!$B$5:$B$500,MATCH(1,INDEX(('Lot Balance'!$A$5:$A$500=$F612)*('Lot Balance'!$K$5:$K$500&lt;$AK612)*('Lot Balance'!$K$5:$K$500+'Lot Balance'!$D$5:$D$500&gt;=$AK612),0),0)),""))</f>
        <v/>
      </c>
      <c r="AM612" s="66" t="str" cm="1">
        <f t="array" ref="AM612">IF($F612="","",IFERROR(INDEX('Lot Balance'!$B$5:$B$500,MATCH(1,INDEX(('Lot Balance'!$A$5:$A$500=$F612)*('Lot Balance'!$K$5:$K$500&lt;$AJ612)*('Lot Balance'!$K$5:$K$500+'Lot Balance'!$D$5:$D$500&gt;=$AJ612),0),0)),""))</f>
        <v/>
      </c>
      <c r="AN612" s="66" t="str">
        <f>IF($F612="","",IF($AI612&lt;&gt;"",IF(COUNTIFS('Lot Balance'!$A$5:$A$500,$F612,'Lot Balance'!$B$5:$B$500,$AI612)=0,"⚠ override is not a lot of this item",IF($AI612=$AL612,"Override = FEFO","Override - FEFO says "&amp;$AL612)),IF($AL612="","⚠ no receipt on file for this item",IF($AM612&lt;&gt;$AL612,"FEFO auto - split, also "&amp;$AM612,"FEFO auto"))))</f>
        <v>⚠ no receipt on file for this item</v>
      </c>
      <c r="AO612" s="114"/>
    </row>
    <row r="613" spans="1:41" x14ac:dyDescent="0.35">
      <c r="A613" s="74">
        <v>46150</v>
      </c>
      <c r="B613" s="18" t="str">
        <f>IF($C613="","",IFERROR(INDEX('Staff Directory'!$A$5:$A$594,MATCH($C613,'Staff Directory'!$B$5:$B$594,0)),"⚠ unknown staff"))</f>
        <v>RN-025-A1</v>
      </c>
      <c r="C613" s="49" t="s">
        <v>945</v>
      </c>
      <c r="D613" s="19" t="str">
        <f>IF($B613="","",IFERROR(INDEX('Staff Directory'!$C$5:$C$594,MATCH($B613,'Staff Directory'!$A$5:$A$594,0)),""))</f>
        <v>RN</v>
      </c>
      <c r="E613" s="19" t="str">
        <f>IF($B613="","",IFERROR(INDEX('Staff Directory'!$D$5:$D$594,MATCH($B613,'Staff Directory'!$A$5:$A$594,0)),""))</f>
        <v>A1</v>
      </c>
      <c r="F613" s="9" t="s">
        <v>757</v>
      </c>
      <c r="G613" s="18" t="str">
        <f>IF($F613="","",IFERROR(INDEX(Items!$B$5:$B$597,MATCH($F613,Items!$A$5:$A$597,0)),"⚠ not in Items"))</f>
        <v>Documents</v>
      </c>
      <c r="H613" s="19" t="str">
        <f>IF($F613="","",IFERROR(INDEX(Items!$C$5:$C$597,MATCH($F613,Items!$A$5:$A$597,0)),""))</f>
        <v>Standard</v>
      </c>
      <c r="I613" s="23">
        <f>IF($F613="","",IFERROR(INDEX(Items!$E$5:$E$597,MATCH($F613,Items!$A$5:$A$597,0)),""))</f>
        <v>10</v>
      </c>
      <c r="J613" s="115">
        <f>IF(tblIssues[[#This Row],[Qty Override]]&lt;&gt;"",tblIssues[[#This Row],[Qty Override]],IF(tblIssues[[#This Row],[Standard Issue]]="","",tblIssues[[#This Row],[Standard Issue]]))</f>
        <v>10</v>
      </c>
      <c r="K613" s="20">
        <f>IF($F613="","",IFERROR(INDEX(Items!$D$5:$D$597,MATCH($F613,Items!$A$5:$A$597,0)),""))</f>
        <v>0</v>
      </c>
      <c r="L613" s="21">
        <f t="shared" si="105"/>
        <v>0</v>
      </c>
      <c r="M613" s="9" t="str">
        <f t="shared" si="106"/>
        <v/>
      </c>
      <c r="N613" s="24">
        <f>IF($A613="","",WORKDAY($A613,Settings!$C$9,HolidayDates))</f>
        <v>46160</v>
      </c>
      <c r="O613" s="24">
        <f>IF($N613="","",WORKDAY($N613,Settings!$C$10,HolidayDates))</f>
        <v>46198</v>
      </c>
      <c r="P613" s="10" t="s">
        <v>502</v>
      </c>
      <c r="Q613" s="52" t="str">
        <f t="shared" si="108"/>
        <v>Collected</v>
      </c>
      <c r="R613" s="55" t="str">
        <f t="shared" si="109"/>
        <v>2026-05</v>
      </c>
      <c r="S613" s="55">
        <f>IF(OR($B613="",$F613="",$R613=""),"",SUMIFS(tblIssues[Qty Issued],tblIssues[Staff ID],$B613,tblIssues[Item Name],$F613,tblIssues[Month],$R613))</f>
        <v>10</v>
      </c>
      <c r="T613" s="56">
        <f>IF($I613="","",$I613*Settings!$C$11)</f>
        <v>10</v>
      </c>
      <c r="U613" s="57" t="str">
        <f t="shared" si="107"/>
        <v>OK</v>
      </c>
      <c r="V613" s="55" t="str">
        <f t="shared" si="110"/>
        <v/>
      </c>
      <c r="W613" s="55" t="str">
        <f>IF($V613="","",IF(COUNTIF($V$5:$V613,$V613)=1,1,""))</f>
        <v/>
      </c>
      <c r="X613" s="58" t="str">
        <f>IF($W613="","",MAX($X$4:X612)+1)</f>
        <v/>
      </c>
      <c r="Y613" s="62"/>
      <c r="Z613" s="62"/>
      <c r="AA613" s="64" t="str">
        <f>IF($C613="","",IFERROR(INDEX('Staff Directory'!$E$5:$E$594,MATCH($C613,'Staff Directory'!$B$5:$B$594,0)),""))</f>
        <v>firstname029.lastname029@example.com</v>
      </c>
      <c r="AB613" s="64" t="str">
        <f>IF($C613="","",IF(ISNUMBER(SEARCH($D613,Settings!$C$15)),"Pickup","Dispatch"))</f>
        <v>Dispatch</v>
      </c>
      <c r="AC613" s="64" t="str">
        <f t="shared" si="111"/>
        <v>Supply order dispatched</v>
      </c>
      <c r="AD613" s="64" t="str">
        <f t="shared" si="102"/>
        <v>Dear RN,
Your order has been dispatched and is in transit. Reply if undelivered.</v>
      </c>
      <c r="AE613" s="64" t="str">
        <f t="shared" si="103"/>
        <v>mailto:firstname029.lastname029@example.com?subject=Supply%20order%20dispatched&amp;body=Dear%20RN%2C%0A%0AYour%20order%20has%20been%20dispatched%20and%20is%20in%20transit.%20Reply%20if%20undelivered.</v>
      </c>
      <c r="AF613" s="89" t="str">
        <f t="shared" si="112"/>
        <v>Draft email</v>
      </c>
      <c r="AG613" s="64" t="str">
        <f>IF($C613="","",IFERROR(INDEX('Staff Directory'!$K$595:$K$599,MATCH($C613,'Staff Directory'!$B$5:$B$599,0)),$D613))</f>
        <v>RN</v>
      </c>
      <c r="AH613" t="str">
        <f>IF($C613="","",IFERROR(INDEX('Staff Directory'!$I$595:$I$599,MATCH($C613,'Staff Directory'!$B$5:$B$599,0))&amp;" "&amp;INDEX('Staff Directory'!$J$595:$J$599,MATCH($C613,'Staff Directory'!$B$5:$B$599,0)),$AG613))</f>
        <v>RN</v>
      </c>
      <c r="AI613" s="102"/>
      <c r="AJ613" s="101">
        <f>IF($F613="","",SUMIFS($J$5:$J613,$F$5:$F613,$F613))</f>
        <v>280</v>
      </c>
      <c r="AK613" s="101">
        <f t="shared" si="104"/>
        <v>271</v>
      </c>
      <c r="AL613" s="66" t="str" cm="1">
        <f t="array" ref="AL613">IF($F613="","",IFERROR(INDEX('Lot Balance'!$B$5:$B$500,MATCH(1,INDEX(('Lot Balance'!$A$5:$A$500=$F613)*('Lot Balance'!$K$5:$K$500&lt;$AK613)*('Lot Balance'!$K$5:$K$500+'Lot Balance'!$D$5:$D$500&gt;=$AK613),0),0)),""))</f>
        <v/>
      </c>
      <c r="AM613" s="66" t="str" cm="1">
        <f t="array" ref="AM613">IF($F613="","",IFERROR(INDEX('Lot Balance'!$B$5:$B$500,MATCH(1,INDEX(('Lot Balance'!$A$5:$A$500=$F613)*('Lot Balance'!$K$5:$K$500&lt;$AJ613)*('Lot Balance'!$K$5:$K$500+'Lot Balance'!$D$5:$D$500&gt;=$AJ613),0),0)),""))</f>
        <v/>
      </c>
      <c r="AN613" s="66" t="str">
        <f>IF($F613="","",IF($AI613&lt;&gt;"",IF(COUNTIFS('Lot Balance'!$A$5:$A$500,$F613,'Lot Balance'!$B$5:$B$500,$AI613)=0,"⚠ override is not a lot of this item",IF($AI613=$AL613,"Override = FEFO","Override - FEFO says "&amp;$AL613)),IF($AL613="","⚠ no receipt on file for this item",IF($AM613&lt;&gt;$AL613,"FEFO auto - split, also "&amp;$AM613,"FEFO auto"))))</f>
        <v>⚠ no receipt on file for this item</v>
      </c>
      <c r="AO613" s="114"/>
    </row>
    <row r="614" spans="1:41" x14ac:dyDescent="0.35">
      <c r="A614" s="74">
        <v>46150</v>
      </c>
      <c r="B614" s="18" t="str">
        <f>IF($C614="","",IFERROR(INDEX('Staff Directory'!$A$5:$A$594,MATCH($C614,'Staff Directory'!$B$5:$B$594,0)),"⚠ unknown staff"))</f>
        <v>RN-027-A1</v>
      </c>
      <c r="C614" s="49" t="s">
        <v>947</v>
      </c>
      <c r="D614" s="19" t="str">
        <f>IF($B614="","",IFERROR(INDEX('Staff Directory'!$C$5:$C$594,MATCH($B614,'Staff Directory'!$A$5:$A$594,0)),""))</f>
        <v>RN</v>
      </c>
      <c r="E614" s="19" t="str">
        <f>IF($B614="","",IFERROR(INDEX('Staff Directory'!$D$5:$D$594,MATCH($B614,'Staff Directory'!$A$5:$A$594,0)),""))</f>
        <v>A1</v>
      </c>
      <c r="F614" s="9" t="s">
        <v>757</v>
      </c>
      <c r="G614" s="18" t="str">
        <f>IF($F614="","",IFERROR(INDEX(Items!$B$5:$B$597,MATCH($F614,Items!$A$5:$A$597,0)),"⚠ not in Items"))</f>
        <v>Documents</v>
      </c>
      <c r="H614" s="19" t="str">
        <f>IF($F614="","",IFERROR(INDEX(Items!$C$5:$C$597,MATCH($F614,Items!$A$5:$A$597,0)),""))</f>
        <v>Standard</v>
      </c>
      <c r="I614" s="23">
        <f>IF($F614="","",IFERROR(INDEX(Items!$E$5:$E$597,MATCH($F614,Items!$A$5:$A$597,0)),""))</f>
        <v>10</v>
      </c>
      <c r="J614" s="115">
        <f>IF(tblIssues[[#This Row],[Qty Override]]&lt;&gt;"",tblIssues[[#This Row],[Qty Override]],IF(tblIssues[[#This Row],[Standard Issue]]="","",tblIssues[[#This Row],[Standard Issue]]))</f>
        <v>10</v>
      </c>
      <c r="K614" s="20">
        <f>IF($F614="","",IFERROR(INDEX(Items!$D$5:$D$597,MATCH($F614,Items!$A$5:$A$597,0)),""))</f>
        <v>0</v>
      </c>
      <c r="L614" s="21">
        <f t="shared" si="105"/>
        <v>0</v>
      </c>
      <c r="M614" s="9" t="str">
        <f t="shared" si="106"/>
        <v/>
      </c>
      <c r="N614" s="24">
        <f>IF($A614="","",WORKDAY($A614,Settings!$C$9,HolidayDates))</f>
        <v>46160</v>
      </c>
      <c r="O614" s="24">
        <f>IF($N614="","",WORKDAY($N614,Settings!$C$10,HolidayDates))</f>
        <v>46198</v>
      </c>
      <c r="P614" s="10" t="s">
        <v>502</v>
      </c>
      <c r="Q614" s="52" t="str">
        <f t="shared" si="108"/>
        <v>Collected</v>
      </c>
      <c r="R614" s="55" t="str">
        <f t="shared" si="109"/>
        <v>2026-05</v>
      </c>
      <c r="S614" s="55">
        <f>IF(OR($B614="",$F614="",$R614=""),"",SUMIFS(tblIssues[Qty Issued],tblIssues[Staff ID],$B614,tblIssues[Item Name],$F614,tblIssues[Month],$R614))</f>
        <v>10</v>
      </c>
      <c r="T614" s="56">
        <f>IF($I614="","",$I614*Settings!$C$11)</f>
        <v>10</v>
      </c>
      <c r="U614" s="57" t="str">
        <f t="shared" si="107"/>
        <v>OK</v>
      </c>
      <c r="V614" s="55" t="str">
        <f t="shared" si="110"/>
        <v/>
      </c>
      <c r="W614" s="55" t="str">
        <f>IF($V614="","",IF(COUNTIF($V$5:$V614,$V614)=1,1,""))</f>
        <v/>
      </c>
      <c r="X614" s="58" t="str">
        <f>IF($W614="","",MAX($X$4:X613)+1)</f>
        <v/>
      </c>
      <c r="Y614" s="62"/>
      <c r="Z614" s="62"/>
      <c r="AA614" s="64" t="str">
        <f>IF($C614="","",IFERROR(INDEX('Staff Directory'!$E$5:$E$594,MATCH($C614,'Staff Directory'!$B$5:$B$594,0)),""))</f>
        <v>firstname031.lastname031@example.com</v>
      </c>
      <c r="AB614" s="64" t="str">
        <f>IF($C614="","",IF(ISNUMBER(SEARCH($D614,Settings!$C$15)),"Pickup","Dispatch"))</f>
        <v>Dispatch</v>
      </c>
      <c r="AC614" s="64" t="str">
        <f t="shared" si="111"/>
        <v>Supply order dispatched</v>
      </c>
      <c r="AD614" s="64" t="str">
        <f t="shared" si="102"/>
        <v>Dear RN,
Your order has been dispatched and is in transit. Reply if undelivered.</v>
      </c>
      <c r="AE614" s="64" t="str">
        <f t="shared" si="103"/>
        <v>mailto:firstname031.lastname031@example.com?subject=Supply%20order%20dispatched&amp;body=Dear%20RN%2C%0A%0AYour%20order%20has%20been%20dispatched%20and%20is%20in%20transit.%20Reply%20if%20undelivered.</v>
      </c>
      <c r="AF614" s="89" t="str">
        <f t="shared" si="112"/>
        <v>Draft email</v>
      </c>
      <c r="AG614" s="64" t="str">
        <f>IF($C614="","",IFERROR(INDEX('Staff Directory'!$K$595:$K$599,MATCH($C614,'Staff Directory'!$B$5:$B$599,0)),$D614))</f>
        <v>RN</v>
      </c>
      <c r="AH614" t="str">
        <f>IF($C614="","",IFERROR(INDEX('Staff Directory'!$I$595:$I$599,MATCH($C614,'Staff Directory'!$B$5:$B$599,0))&amp;" "&amp;INDEX('Staff Directory'!$J$595:$J$599,MATCH($C614,'Staff Directory'!$B$5:$B$599,0)),$AG614))</f>
        <v>RN</v>
      </c>
      <c r="AI614" s="102"/>
      <c r="AJ614" s="101">
        <f>IF($F614="","",SUMIFS($J$5:$J614,$F$5:$F614,$F614))</f>
        <v>290</v>
      </c>
      <c r="AK614" s="101">
        <f t="shared" si="104"/>
        <v>281</v>
      </c>
      <c r="AL614" s="66" t="str" cm="1">
        <f t="array" ref="AL614">IF($F614="","",IFERROR(INDEX('Lot Balance'!$B$5:$B$500,MATCH(1,INDEX(('Lot Balance'!$A$5:$A$500=$F614)*('Lot Balance'!$K$5:$K$500&lt;$AK614)*('Lot Balance'!$K$5:$K$500+'Lot Balance'!$D$5:$D$500&gt;=$AK614),0),0)),""))</f>
        <v/>
      </c>
      <c r="AM614" s="66" t="str" cm="1">
        <f t="array" ref="AM614">IF($F614="","",IFERROR(INDEX('Lot Balance'!$B$5:$B$500,MATCH(1,INDEX(('Lot Balance'!$A$5:$A$500=$F614)*('Lot Balance'!$K$5:$K$500&lt;$AJ614)*('Lot Balance'!$K$5:$K$500+'Lot Balance'!$D$5:$D$500&gt;=$AJ614),0),0)),""))</f>
        <v/>
      </c>
      <c r="AN614" s="66" t="str">
        <f>IF($F614="","",IF($AI614&lt;&gt;"",IF(COUNTIFS('Lot Balance'!$A$5:$A$500,$F614,'Lot Balance'!$B$5:$B$500,$AI614)=0,"⚠ override is not a lot of this item",IF($AI614=$AL614,"Override = FEFO","Override - FEFO says "&amp;$AL614)),IF($AL614="","⚠ no receipt on file for this item",IF($AM614&lt;&gt;$AL614,"FEFO auto - split, also "&amp;$AM614,"FEFO auto"))))</f>
        <v>⚠ no receipt on file for this item</v>
      </c>
      <c r="AO614" s="114"/>
    </row>
    <row r="615" spans="1:41" x14ac:dyDescent="0.35">
      <c r="A615" s="74">
        <v>46150</v>
      </c>
      <c r="B615" s="18" t="str">
        <f>IF($C615="","",IFERROR(INDEX('Staff Directory'!$A$5:$A$594,MATCH($C615,'Staff Directory'!$B$5:$B$594,0)),"⚠ unknown staff"))</f>
        <v>RN-028-A1</v>
      </c>
      <c r="C615" s="49" t="s">
        <v>948</v>
      </c>
      <c r="D615" s="19" t="str">
        <f>IF($B615="","",IFERROR(INDEX('Staff Directory'!$C$5:$C$594,MATCH($B615,'Staff Directory'!$A$5:$A$594,0)),""))</f>
        <v>RN</v>
      </c>
      <c r="E615" s="19" t="str">
        <f>IF($B615="","",IFERROR(INDEX('Staff Directory'!$D$5:$D$594,MATCH($B615,'Staff Directory'!$A$5:$A$594,0)),""))</f>
        <v>A1</v>
      </c>
      <c r="F615" s="9" t="s">
        <v>757</v>
      </c>
      <c r="G615" s="18" t="str">
        <f>IF($F615="","",IFERROR(INDEX(Items!$B$5:$B$597,MATCH($F615,Items!$A$5:$A$597,0)),"⚠ not in Items"))</f>
        <v>Documents</v>
      </c>
      <c r="H615" s="19" t="str">
        <f>IF($F615="","",IFERROR(INDEX(Items!$C$5:$C$597,MATCH($F615,Items!$A$5:$A$597,0)),""))</f>
        <v>Standard</v>
      </c>
      <c r="I615" s="23">
        <f>IF($F615="","",IFERROR(INDEX(Items!$E$5:$E$597,MATCH($F615,Items!$A$5:$A$597,0)),""))</f>
        <v>10</v>
      </c>
      <c r="J615" s="115">
        <f>IF(tblIssues[[#This Row],[Qty Override]]&lt;&gt;"",tblIssues[[#This Row],[Qty Override]],IF(tblIssues[[#This Row],[Standard Issue]]="","",tblIssues[[#This Row],[Standard Issue]]))</f>
        <v>10</v>
      </c>
      <c r="K615" s="20">
        <f>IF($F615="","",IFERROR(INDEX(Items!$D$5:$D$597,MATCH($F615,Items!$A$5:$A$597,0)),""))</f>
        <v>0</v>
      </c>
      <c r="L615" s="21">
        <f t="shared" si="105"/>
        <v>0</v>
      </c>
      <c r="M615" s="9" t="str">
        <f t="shared" si="106"/>
        <v/>
      </c>
      <c r="N615" s="24">
        <f>IF($A615="","",WORKDAY($A615,Settings!$C$9,HolidayDates))</f>
        <v>46160</v>
      </c>
      <c r="O615" s="24">
        <f>IF($N615="","",WORKDAY($N615,Settings!$C$10,HolidayDates))</f>
        <v>46198</v>
      </c>
      <c r="P615" s="10" t="s">
        <v>502</v>
      </c>
      <c r="Q615" s="52" t="str">
        <f t="shared" si="108"/>
        <v>Collected</v>
      </c>
      <c r="R615" s="55" t="str">
        <f t="shared" si="109"/>
        <v>2026-05</v>
      </c>
      <c r="S615" s="55">
        <f>IF(OR($B615="",$F615="",$R615=""),"",SUMIFS(tblIssues[Qty Issued],tblIssues[Staff ID],$B615,tblIssues[Item Name],$F615,tblIssues[Month],$R615))</f>
        <v>10</v>
      </c>
      <c r="T615" s="56">
        <f>IF($I615="","",$I615*Settings!$C$11)</f>
        <v>10</v>
      </c>
      <c r="U615" s="57" t="str">
        <f t="shared" si="107"/>
        <v>OK</v>
      </c>
      <c r="V615" s="55" t="str">
        <f t="shared" si="110"/>
        <v/>
      </c>
      <c r="W615" s="55" t="str">
        <f>IF($V615="","",IF(COUNTIF($V$5:$V615,$V615)=1,1,""))</f>
        <v/>
      </c>
      <c r="X615" s="58" t="str">
        <f>IF($W615="","",MAX($X$4:X614)+1)</f>
        <v/>
      </c>
      <c r="Y615" s="62"/>
      <c r="Z615" s="62"/>
      <c r="AA615" s="64" t="str">
        <f>IF($C615="","",IFERROR(INDEX('Staff Directory'!$E$5:$E$594,MATCH($C615,'Staff Directory'!$B$5:$B$594,0)),""))</f>
        <v>firstname032.lastname032@example.com</v>
      </c>
      <c r="AB615" s="64" t="str">
        <f>IF($C615="","",IF(ISNUMBER(SEARCH($D615,Settings!$C$15)),"Pickup","Dispatch"))</f>
        <v>Dispatch</v>
      </c>
      <c r="AC615" s="64" t="str">
        <f t="shared" si="111"/>
        <v>Supply order dispatched</v>
      </c>
      <c r="AD615" s="64" t="str">
        <f t="shared" si="102"/>
        <v>Dear RN,
Your order has been dispatched and is in transit. Reply if undelivered.</v>
      </c>
      <c r="AE615" s="64" t="str">
        <f t="shared" si="103"/>
        <v>mailto:firstname032.lastname032@example.com?subject=Supply%20order%20dispatched&amp;body=Dear%20RN%2C%0A%0AYour%20order%20has%20been%20dispatched%20and%20is%20in%20transit.%20Reply%20if%20undelivered.</v>
      </c>
      <c r="AF615" s="89" t="str">
        <f t="shared" si="112"/>
        <v>Draft email</v>
      </c>
      <c r="AG615" s="64" t="str">
        <f>IF($C615="","",IFERROR(INDEX('Staff Directory'!$K$595:$K$599,MATCH($C615,'Staff Directory'!$B$5:$B$599,0)),$D615))</f>
        <v>RN</v>
      </c>
      <c r="AH615" t="str">
        <f>IF($C615="","",IFERROR(INDEX('Staff Directory'!$I$595:$I$599,MATCH($C615,'Staff Directory'!$B$5:$B$599,0))&amp;" "&amp;INDEX('Staff Directory'!$J$595:$J$599,MATCH($C615,'Staff Directory'!$B$5:$B$599,0)),$AG615))</f>
        <v>RN</v>
      </c>
      <c r="AI615" s="102"/>
      <c r="AJ615" s="101">
        <f>IF($F615="","",SUMIFS($J$5:$J615,$F$5:$F615,$F615))</f>
        <v>300</v>
      </c>
      <c r="AK615" s="101">
        <f t="shared" si="104"/>
        <v>291</v>
      </c>
      <c r="AL615" s="66" t="str" cm="1">
        <f t="array" ref="AL615">IF($F615="","",IFERROR(INDEX('Lot Balance'!$B$5:$B$500,MATCH(1,INDEX(('Lot Balance'!$A$5:$A$500=$F615)*('Lot Balance'!$K$5:$K$500&lt;$AK615)*('Lot Balance'!$K$5:$K$500+'Lot Balance'!$D$5:$D$500&gt;=$AK615),0),0)),""))</f>
        <v/>
      </c>
      <c r="AM615" s="66" t="str" cm="1">
        <f t="array" ref="AM615">IF($F615="","",IFERROR(INDEX('Lot Balance'!$B$5:$B$500,MATCH(1,INDEX(('Lot Balance'!$A$5:$A$500=$F615)*('Lot Balance'!$K$5:$K$500&lt;$AJ615)*('Lot Balance'!$K$5:$K$500+'Lot Balance'!$D$5:$D$500&gt;=$AJ615),0),0)),""))</f>
        <v/>
      </c>
      <c r="AN615" s="66" t="str">
        <f>IF($F615="","",IF($AI615&lt;&gt;"",IF(COUNTIFS('Lot Balance'!$A$5:$A$500,$F615,'Lot Balance'!$B$5:$B$500,$AI615)=0,"⚠ override is not a lot of this item",IF($AI615=$AL615,"Override = FEFO","Override - FEFO says "&amp;$AL615)),IF($AL615="","⚠ no receipt on file for this item",IF($AM615&lt;&gt;$AL615,"FEFO auto - split, also "&amp;$AM615,"FEFO auto"))))</f>
        <v>⚠ no receipt on file for this item</v>
      </c>
      <c r="AO615" s="114"/>
    </row>
    <row r="616" spans="1:41" x14ac:dyDescent="0.35">
      <c r="A616" s="74">
        <v>46150</v>
      </c>
      <c r="B616" s="18" t="str">
        <f>IF($C616="","",IFERROR(INDEX('Staff Directory'!$A$5:$A$594,MATCH($C616,'Staff Directory'!$B$5:$B$594,0)),"⚠ unknown staff"))</f>
        <v>RN-029-A1</v>
      </c>
      <c r="C616" s="49" t="s">
        <v>949</v>
      </c>
      <c r="D616" s="19" t="str">
        <f>IF($B616="","",IFERROR(INDEX('Staff Directory'!$C$5:$C$594,MATCH($B616,'Staff Directory'!$A$5:$A$594,0)),""))</f>
        <v>RN</v>
      </c>
      <c r="E616" s="19" t="str">
        <f>IF($B616="","",IFERROR(INDEX('Staff Directory'!$D$5:$D$594,MATCH($B616,'Staff Directory'!$A$5:$A$594,0)),""))</f>
        <v>A1</v>
      </c>
      <c r="F616" s="9" t="s">
        <v>757</v>
      </c>
      <c r="G616" s="18" t="str">
        <f>IF($F616="","",IFERROR(INDEX(Items!$B$5:$B$597,MATCH($F616,Items!$A$5:$A$597,0)),"⚠ not in Items"))</f>
        <v>Documents</v>
      </c>
      <c r="H616" s="19" t="str">
        <f>IF($F616="","",IFERROR(INDEX(Items!$C$5:$C$597,MATCH($F616,Items!$A$5:$A$597,0)),""))</f>
        <v>Standard</v>
      </c>
      <c r="I616" s="23">
        <f>IF($F616="","",IFERROR(INDEX(Items!$E$5:$E$597,MATCH($F616,Items!$A$5:$A$597,0)),""))</f>
        <v>10</v>
      </c>
      <c r="J616" s="115">
        <f>IF(tblIssues[[#This Row],[Qty Override]]&lt;&gt;"",tblIssues[[#This Row],[Qty Override]],IF(tblIssues[[#This Row],[Standard Issue]]="","",tblIssues[[#This Row],[Standard Issue]]))</f>
        <v>10</v>
      </c>
      <c r="K616" s="20">
        <f>IF($F616="","",IFERROR(INDEX(Items!$D$5:$D$597,MATCH($F616,Items!$A$5:$A$597,0)),""))</f>
        <v>0</v>
      </c>
      <c r="L616" s="21">
        <f t="shared" si="105"/>
        <v>0</v>
      </c>
      <c r="M616" s="9" t="str">
        <f t="shared" si="106"/>
        <v/>
      </c>
      <c r="N616" s="24">
        <f>IF($A616="","",WORKDAY($A616,Settings!$C$9,HolidayDates))</f>
        <v>46160</v>
      </c>
      <c r="O616" s="24">
        <f>IF($N616="","",WORKDAY($N616,Settings!$C$10,HolidayDates))</f>
        <v>46198</v>
      </c>
      <c r="P616" s="10" t="s">
        <v>502</v>
      </c>
      <c r="Q616" s="52" t="str">
        <f t="shared" si="108"/>
        <v>Collected</v>
      </c>
      <c r="R616" s="55" t="str">
        <f t="shared" si="109"/>
        <v>2026-05</v>
      </c>
      <c r="S616" s="55">
        <f>IF(OR($B616="",$F616="",$R616=""),"",SUMIFS(tblIssues[Qty Issued],tblIssues[Staff ID],$B616,tblIssues[Item Name],$F616,tblIssues[Month],$R616))</f>
        <v>10</v>
      </c>
      <c r="T616" s="56">
        <f>IF($I616="","",$I616*Settings!$C$11)</f>
        <v>10</v>
      </c>
      <c r="U616" s="57" t="str">
        <f t="shared" si="107"/>
        <v>OK</v>
      </c>
      <c r="V616" s="55" t="str">
        <f t="shared" si="110"/>
        <v/>
      </c>
      <c r="W616" s="55" t="str">
        <f>IF($V616="","",IF(COUNTIF($V$5:$V616,$V616)=1,1,""))</f>
        <v/>
      </c>
      <c r="X616" s="58" t="str">
        <f>IF($W616="","",MAX($X$4:X615)+1)</f>
        <v/>
      </c>
      <c r="Y616" s="62"/>
      <c r="Z616" s="62"/>
      <c r="AA616" s="64" t="str">
        <f>IF($C616="","",IFERROR(INDEX('Staff Directory'!$E$5:$E$594,MATCH($C616,'Staff Directory'!$B$5:$B$594,0)),""))</f>
        <v>firstname033.lastname033@example.com</v>
      </c>
      <c r="AB616" s="64" t="str">
        <f>IF($C616="","",IF(ISNUMBER(SEARCH($D616,Settings!$C$15)),"Pickup","Dispatch"))</f>
        <v>Dispatch</v>
      </c>
      <c r="AC616" s="64" t="str">
        <f t="shared" si="111"/>
        <v>Supply order dispatched</v>
      </c>
      <c r="AD616" s="64" t="str">
        <f t="shared" si="102"/>
        <v>Dear RN,
Your order has been dispatched and is in transit. Reply if undelivered.</v>
      </c>
      <c r="AE616" s="64" t="str">
        <f t="shared" si="103"/>
        <v>mailto:firstname033.lastname033@example.com?subject=Supply%20order%20dispatched&amp;body=Dear%20RN%2C%0A%0AYour%20order%20has%20been%20dispatched%20and%20is%20in%20transit.%20Reply%20if%20undelivered.</v>
      </c>
      <c r="AF616" s="89" t="str">
        <f t="shared" si="112"/>
        <v>Draft email</v>
      </c>
      <c r="AG616" s="64" t="str">
        <f>IF($C616="","",IFERROR(INDEX('Staff Directory'!$K$595:$K$599,MATCH($C616,'Staff Directory'!$B$5:$B$599,0)),$D616))</f>
        <v>RN</v>
      </c>
      <c r="AH616" t="str">
        <f>IF($C616="","",IFERROR(INDEX('Staff Directory'!$I$595:$I$599,MATCH($C616,'Staff Directory'!$B$5:$B$599,0))&amp;" "&amp;INDEX('Staff Directory'!$J$595:$J$599,MATCH($C616,'Staff Directory'!$B$5:$B$599,0)),$AG616))</f>
        <v>RN</v>
      </c>
      <c r="AI616" s="102"/>
      <c r="AJ616" s="101">
        <f>IF($F616="","",SUMIFS($J$5:$J616,$F$5:$F616,$F616))</f>
        <v>310</v>
      </c>
      <c r="AK616" s="101">
        <f t="shared" si="104"/>
        <v>301</v>
      </c>
      <c r="AL616" s="66" t="str" cm="1">
        <f t="array" ref="AL616">IF($F616="","",IFERROR(INDEX('Lot Balance'!$B$5:$B$500,MATCH(1,INDEX(('Lot Balance'!$A$5:$A$500=$F616)*('Lot Balance'!$K$5:$K$500&lt;$AK616)*('Lot Balance'!$K$5:$K$500+'Lot Balance'!$D$5:$D$500&gt;=$AK616),0),0)),""))</f>
        <v/>
      </c>
      <c r="AM616" s="66" t="str" cm="1">
        <f t="array" ref="AM616">IF($F616="","",IFERROR(INDEX('Lot Balance'!$B$5:$B$500,MATCH(1,INDEX(('Lot Balance'!$A$5:$A$500=$F616)*('Lot Balance'!$K$5:$K$500&lt;$AJ616)*('Lot Balance'!$K$5:$K$500+'Lot Balance'!$D$5:$D$500&gt;=$AJ616),0),0)),""))</f>
        <v/>
      </c>
      <c r="AN616" s="66" t="str">
        <f>IF($F616="","",IF($AI616&lt;&gt;"",IF(COUNTIFS('Lot Balance'!$A$5:$A$500,$F616,'Lot Balance'!$B$5:$B$500,$AI616)=0,"⚠ override is not a lot of this item",IF($AI616=$AL616,"Override = FEFO","Override - FEFO says "&amp;$AL616)),IF($AL616="","⚠ no receipt on file for this item",IF($AM616&lt;&gt;$AL616,"FEFO auto - split, also "&amp;$AM616,"FEFO auto"))))</f>
        <v>⚠ no receipt on file for this item</v>
      </c>
      <c r="AO616" s="114"/>
    </row>
    <row r="617" spans="1:41" x14ac:dyDescent="0.35">
      <c r="A617" s="74">
        <v>46150</v>
      </c>
      <c r="B617" s="18" t="str">
        <f>IF($C617="","",IFERROR(INDEX('Staff Directory'!$A$5:$A$594,MATCH($C617,'Staff Directory'!$B$5:$B$594,0)),"⚠ unknown staff"))</f>
        <v>RN-050-A1</v>
      </c>
      <c r="C617" s="49" t="s">
        <v>975</v>
      </c>
      <c r="D617" s="19" t="str">
        <f>IF($B617="","",IFERROR(INDEX('Staff Directory'!$C$5:$C$594,MATCH($B617,'Staff Directory'!$A$5:$A$594,0)),""))</f>
        <v>RN</v>
      </c>
      <c r="E617" s="19" t="str">
        <f>IF($B617="","",IFERROR(INDEX('Staff Directory'!$D$5:$D$594,MATCH($B617,'Staff Directory'!$A$5:$A$594,0)),""))</f>
        <v>A1</v>
      </c>
      <c r="F617" s="9" t="s">
        <v>757</v>
      </c>
      <c r="G617" s="18" t="str">
        <f>IF($F617="","",IFERROR(INDEX(Items!$B$5:$B$597,MATCH($F617,Items!$A$5:$A$597,0)),"⚠ not in Items"))</f>
        <v>Documents</v>
      </c>
      <c r="H617" s="19" t="str">
        <f>IF($F617="","",IFERROR(INDEX(Items!$C$5:$C$597,MATCH($F617,Items!$A$5:$A$597,0)),""))</f>
        <v>Standard</v>
      </c>
      <c r="I617" s="23">
        <f>IF($F617="","",IFERROR(INDEX(Items!$E$5:$E$597,MATCH($F617,Items!$A$5:$A$597,0)),""))</f>
        <v>10</v>
      </c>
      <c r="J617" s="115">
        <f>IF(tblIssues[[#This Row],[Qty Override]]&lt;&gt;"",tblIssues[[#This Row],[Qty Override]],IF(tblIssues[[#This Row],[Standard Issue]]="","",tblIssues[[#This Row],[Standard Issue]]))</f>
        <v>10</v>
      </c>
      <c r="K617" s="20">
        <f>IF($F617="","",IFERROR(INDEX(Items!$D$5:$D$597,MATCH($F617,Items!$A$5:$A$597,0)),""))</f>
        <v>0</v>
      </c>
      <c r="L617" s="21">
        <f t="shared" si="105"/>
        <v>0</v>
      </c>
      <c r="M617" s="9" t="str">
        <f t="shared" si="106"/>
        <v/>
      </c>
      <c r="N617" s="24">
        <f>IF($A617="","",WORKDAY($A617,Settings!$C$9,HolidayDates))</f>
        <v>46160</v>
      </c>
      <c r="O617" s="24">
        <f>IF($N617="","",WORKDAY($N617,Settings!$C$10,HolidayDates))</f>
        <v>46198</v>
      </c>
      <c r="P617" s="10" t="s">
        <v>502</v>
      </c>
      <c r="Q617" s="52" t="str">
        <f t="shared" si="108"/>
        <v>Collected</v>
      </c>
      <c r="R617" s="55" t="str">
        <f t="shared" si="109"/>
        <v>2026-05</v>
      </c>
      <c r="S617" s="55">
        <f>IF(OR($B617="",$F617="",$R617=""),"",SUMIFS(tblIssues[Qty Issued],tblIssues[Staff ID],$B617,tblIssues[Item Name],$F617,tblIssues[Month],$R617))</f>
        <v>10</v>
      </c>
      <c r="T617" s="56">
        <f>IF($I617="","",$I617*Settings!$C$11)</f>
        <v>10</v>
      </c>
      <c r="U617" s="57" t="str">
        <f t="shared" si="107"/>
        <v>OK</v>
      </c>
      <c r="V617" s="55" t="str">
        <f t="shared" si="110"/>
        <v/>
      </c>
      <c r="W617" s="55" t="str">
        <f>IF($V617="","",IF(COUNTIF($V$5:$V617,$V617)=1,1,""))</f>
        <v/>
      </c>
      <c r="X617" s="58" t="str">
        <f>IF($W617="","",MAX($X$4:X616)+1)</f>
        <v/>
      </c>
      <c r="Y617" s="62"/>
      <c r="Z617" s="62"/>
      <c r="AA617" s="64" t="str">
        <f>IF($C617="","",IFERROR(INDEX('Staff Directory'!$E$5:$E$594,MATCH($C617,'Staff Directory'!$B$5:$B$594,0)),""))</f>
        <v>firstname059.lastname059@example.com</v>
      </c>
      <c r="AB617" s="64" t="str">
        <f>IF($C617="","",IF(ISNUMBER(SEARCH($D617,Settings!$C$15)),"Pickup","Dispatch"))</f>
        <v>Dispatch</v>
      </c>
      <c r="AC617" s="64" t="str">
        <f t="shared" si="111"/>
        <v>Supply order dispatched</v>
      </c>
      <c r="AD617" s="64" t="str">
        <f t="shared" si="102"/>
        <v>Dear RN,
Your order has been dispatched and is in transit. Reply if undelivered.</v>
      </c>
      <c r="AE617" s="64" t="str">
        <f t="shared" si="103"/>
        <v>mailto:firstname059.lastname059@example.com?subject=Supply%20order%20dispatched&amp;body=Dear%20RN%2C%0A%0AYour%20order%20has%20been%20dispatched%20and%20is%20in%20transit.%20Reply%20if%20undelivered.</v>
      </c>
      <c r="AF617" s="89" t="str">
        <f t="shared" si="112"/>
        <v>Draft email</v>
      </c>
      <c r="AG617" s="64" t="str">
        <f>IF($C617="","",IFERROR(INDEX('Staff Directory'!$K$595:$K$599,MATCH($C617,'Staff Directory'!$B$5:$B$599,0)),$D617))</f>
        <v>RN</v>
      </c>
      <c r="AH617" t="str">
        <f>IF($C617="","",IFERROR(INDEX('Staff Directory'!$I$595:$I$599,MATCH($C617,'Staff Directory'!$B$5:$B$599,0))&amp;" "&amp;INDEX('Staff Directory'!$J$595:$J$599,MATCH($C617,'Staff Directory'!$B$5:$B$599,0)),$AG617))</f>
        <v>RN</v>
      </c>
      <c r="AI617" s="102"/>
      <c r="AJ617" s="101">
        <f>IF($F617="","",SUMIFS($J$5:$J617,$F$5:$F617,$F617))</f>
        <v>320</v>
      </c>
      <c r="AK617" s="101">
        <f t="shared" si="104"/>
        <v>311</v>
      </c>
      <c r="AL617" s="66" t="str" cm="1">
        <f t="array" ref="AL617">IF($F617="","",IFERROR(INDEX('Lot Balance'!$B$5:$B$500,MATCH(1,INDEX(('Lot Balance'!$A$5:$A$500=$F617)*('Lot Balance'!$K$5:$K$500&lt;$AK617)*('Lot Balance'!$K$5:$K$500+'Lot Balance'!$D$5:$D$500&gt;=$AK617),0),0)),""))</f>
        <v/>
      </c>
      <c r="AM617" s="66" t="str" cm="1">
        <f t="array" ref="AM617">IF($F617="","",IFERROR(INDEX('Lot Balance'!$B$5:$B$500,MATCH(1,INDEX(('Lot Balance'!$A$5:$A$500=$F617)*('Lot Balance'!$K$5:$K$500&lt;$AJ617)*('Lot Balance'!$K$5:$K$500+'Lot Balance'!$D$5:$D$500&gt;=$AJ617),0),0)),""))</f>
        <v/>
      </c>
      <c r="AN617" s="66" t="str">
        <f>IF($F617="","",IF($AI617&lt;&gt;"",IF(COUNTIFS('Lot Balance'!$A$5:$A$500,$F617,'Lot Balance'!$B$5:$B$500,$AI617)=0,"⚠ override is not a lot of this item",IF($AI617=$AL617,"Override = FEFO","Override - FEFO says "&amp;$AL617)),IF($AL617="","⚠ no receipt on file for this item",IF($AM617&lt;&gt;$AL617,"FEFO auto - split, also "&amp;$AM617,"FEFO auto"))))</f>
        <v>⚠ no receipt on file for this item</v>
      </c>
      <c r="AO617" s="114"/>
    </row>
    <row r="618" spans="1:41" x14ac:dyDescent="0.35">
      <c r="A618" s="74">
        <v>46150</v>
      </c>
      <c r="B618" s="18" t="str">
        <f>IF($C618="","",IFERROR(INDEX('Staff Directory'!$A$5:$A$594,MATCH($C618,'Staff Directory'!$B$5:$B$594,0)),"⚠ unknown staff"))</f>
        <v>RPN-005-A1</v>
      </c>
      <c r="C618" s="49" t="s">
        <v>953</v>
      </c>
      <c r="D618" s="19" t="str">
        <f>IF($B618="","",IFERROR(INDEX('Staff Directory'!$C$5:$C$594,MATCH($B618,'Staff Directory'!$A$5:$A$594,0)),""))</f>
        <v>RPN</v>
      </c>
      <c r="E618" s="19" t="str">
        <f>IF($B618="","",IFERROR(INDEX('Staff Directory'!$D$5:$D$594,MATCH($B618,'Staff Directory'!$A$5:$A$594,0)),""))</f>
        <v>A1</v>
      </c>
      <c r="F618" s="9" t="s">
        <v>757</v>
      </c>
      <c r="G618" s="18" t="str">
        <f>IF($F618="","",IFERROR(INDEX(Items!$B$5:$B$597,MATCH($F618,Items!$A$5:$A$597,0)),"⚠ not in Items"))</f>
        <v>Documents</v>
      </c>
      <c r="H618" s="19" t="str">
        <f>IF($F618="","",IFERROR(INDEX(Items!$C$5:$C$597,MATCH($F618,Items!$A$5:$A$597,0)),""))</f>
        <v>Standard</v>
      </c>
      <c r="I618" s="23">
        <f>IF($F618="","",IFERROR(INDEX(Items!$E$5:$E$597,MATCH($F618,Items!$A$5:$A$597,0)),""))</f>
        <v>10</v>
      </c>
      <c r="J618" s="115">
        <f>IF(tblIssues[[#This Row],[Qty Override]]&lt;&gt;"",tblIssues[[#This Row],[Qty Override]],IF(tblIssues[[#This Row],[Standard Issue]]="","",tblIssues[[#This Row],[Standard Issue]]))</f>
        <v>10</v>
      </c>
      <c r="K618" s="20">
        <f>IF($F618="","",IFERROR(INDEX(Items!$D$5:$D$597,MATCH($F618,Items!$A$5:$A$597,0)),""))</f>
        <v>0</v>
      </c>
      <c r="L618" s="21">
        <f t="shared" si="105"/>
        <v>0</v>
      </c>
      <c r="M618" s="9" t="str">
        <f t="shared" si="106"/>
        <v/>
      </c>
      <c r="N618" s="24">
        <f>IF($A618="","",WORKDAY($A618,Settings!$C$9,HolidayDates))</f>
        <v>46160</v>
      </c>
      <c r="O618" s="24">
        <f>IF($N618="","",WORKDAY($N618,Settings!$C$10,HolidayDates))</f>
        <v>46198</v>
      </c>
      <c r="P618" s="10" t="s">
        <v>502</v>
      </c>
      <c r="Q618" s="52" t="str">
        <f t="shared" si="108"/>
        <v>Collected</v>
      </c>
      <c r="R618" s="55" t="str">
        <f t="shared" si="109"/>
        <v>2026-05</v>
      </c>
      <c r="S618" s="55">
        <f>IF(OR($B618="",$F618="",$R618=""),"",SUMIFS(tblIssues[Qty Issued],tblIssues[Staff ID],$B618,tblIssues[Item Name],$F618,tblIssues[Month],$R618))</f>
        <v>10</v>
      </c>
      <c r="T618" s="56">
        <f>IF($I618="","",$I618*Settings!$C$11)</f>
        <v>10</v>
      </c>
      <c r="U618" s="57" t="str">
        <f t="shared" si="107"/>
        <v>OK</v>
      </c>
      <c r="V618" s="55" t="str">
        <f t="shared" si="110"/>
        <v/>
      </c>
      <c r="W618" s="55" t="str">
        <f>IF($V618="","",IF(COUNTIF($V$5:$V618,$V618)=1,1,""))</f>
        <v/>
      </c>
      <c r="X618" s="58" t="str">
        <f>IF($W618="","",MAX($X$4:X617)+1)</f>
        <v/>
      </c>
      <c r="Y618" s="62"/>
      <c r="Z618" s="62"/>
      <c r="AA618" s="64" t="str">
        <f>IF($C618="","",IFERROR(INDEX('Staff Directory'!$E$5:$E$594,MATCH($C618,'Staff Directory'!$B$5:$B$594,0)),""))</f>
        <v>firstname037.lastname037@example.com</v>
      </c>
      <c r="AB618" s="64" t="str">
        <f>IF($C618="","",IF(ISNUMBER(SEARCH($D618,Settings!$C$15)),"Pickup","Dispatch"))</f>
        <v>Dispatch</v>
      </c>
      <c r="AC618" s="64" t="str">
        <f t="shared" si="111"/>
        <v>Supply order dispatched</v>
      </c>
      <c r="AD618" s="64" t="str">
        <f t="shared" si="102"/>
        <v>Dear RPN,
Your order has been dispatched and is in transit. Reply if undelivered.</v>
      </c>
      <c r="AE618" s="64" t="str">
        <f t="shared" si="103"/>
        <v>mailto:firstname037.lastname037@example.com?subject=Supply%20order%20dispatched&amp;body=Dear%20RPN%2C%0A%0AYour%20order%20has%20been%20dispatched%20and%20is%20in%20transit.%20Reply%20if%20undelivered.</v>
      </c>
      <c r="AF618" s="89" t="str">
        <f t="shared" si="112"/>
        <v>Draft email</v>
      </c>
      <c r="AG618" s="64" t="str">
        <f>IF($C618="","",IFERROR(INDEX('Staff Directory'!$K$595:$K$599,MATCH($C618,'Staff Directory'!$B$5:$B$599,0)),$D618))</f>
        <v>RPN</v>
      </c>
      <c r="AH618" t="str">
        <f>IF($C618="","",IFERROR(INDEX('Staff Directory'!$I$595:$I$599,MATCH($C618,'Staff Directory'!$B$5:$B$599,0))&amp;" "&amp;INDEX('Staff Directory'!$J$595:$J$599,MATCH($C618,'Staff Directory'!$B$5:$B$599,0)),$AG618))</f>
        <v>RPN</v>
      </c>
      <c r="AI618" s="102"/>
      <c r="AJ618" s="101">
        <f>IF($F618="","",SUMIFS($J$5:$J618,$F$5:$F618,$F618))</f>
        <v>330</v>
      </c>
      <c r="AK618" s="101">
        <f t="shared" si="104"/>
        <v>321</v>
      </c>
      <c r="AL618" s="66" t="str" cm="1">
        <f t="array" ref="AL618">IF($F618="","",IFERROR(INDEX('Lot Balance'!$B$5:$B$500,MATCH(1,INDEX(('Lot Balance'!$A$5:$A$500=$F618)*('Lot Balance'!$K$5:$K$500&lt;$AK618)*('Lot Balance'!$K$5:$K$500+'Lot Balance'!$D$5:$D$500&gt;=$AK618),0),0)),""))</f>
        <v/>
      </c>
      <c r="AM618" s="66" t="str" cm="1">
        <f t="array" ref="AM618">IF($F618="","",IFERROR(INDEX('Lot Balance'!$B$5:$B$500,MATCH(1,INDEX(('Lot Balance'!$A$5:$A$500=$F618)*('Lot Balance'!$K$5:$K$500&lt;$AJ618)*('Lot Balance'!$K$5:$K$500+'Lot Balance'!$D$5:$D$500&gt;=$AJ618),0),0)),""))</f>
        <v/>
      </c>
      <c r="AN618" s="66" t="str">
        <f>IF($F618="","",IF($AI618&lt;&gt;"",IF(COUNTIFS('Lot Balance'!$A$5:$A$500,$F618,'Lot Balance'!$B$5:$B$500,$AI618)=0,"⚠ override is not a lot of this item",IF($AI618=$AL618,"Override = FEFO","Override - FEFO says "&amp;$AL618)),IF($AL618="","⚠ no receipt on file for this item",IF($AM618&lt;&gt;$AL618,"FEFO auto - split, also "&amp;$AM618,"FEFO auto"))))</f>
        <v>⚠ no receipt on file for this item</v>
      </c>
      <c r="AO618" s="114"/>
    </row>
    <row r="619" spans="1:41" x14ac:dyDescent="0.35">
      <c r="A619" s="74">
        <v>46150</v>
      </c>
      <c r="B619" s="18" t="str">
        <f>IF($C619="","",IFERROR(INDEX('Staff Directory'!$A$5:$A$594,MATCH($C619,'Staff Directory'!$B$5:$B$594,0)),"⚠ unknown staff"))</f>
        <v>RN-036-A1</v>
      </c>
      <c r="C619" s="49" t="s">
        <v>957</v>
      </c>
      <c r="D619" s="19" t="str">
        <f>IF($B619="","",IFERROR(INDEX('Staff Directory'!$C$5:$C$594,MATCH($B619,'Staff Directory'!$A$5:$A$594,0)),""))</f>
        <v>RN</v>
      </c>
      <c r="E619" s="19" t="str">
        <f>IF($B619="","",IFERROR(INDEX('Staff Directory'!$D$5:$D$594,MATCH($B619,'Staff Directory'!$A$5:$A$594,0)),""))</f>
        <v>A1</v>
      </c>
      <c r="F619" s="9" t="s">
        <v>757</v>
      </c>
      <c r="G619" s="18" t="str">
        <f>IF($F619="","",IFERROR(INDEX(Items!$B$5:$B$597,MATCH($F619,Items!$A$5:$A$597,0)),"⚠ not in Items"))</f>
        <v>Documents</v>
      </c>
      <c r="H619" s="19" t="str">
        <f>IF($F619="","",IFERROR(INDEX(Items!$C$5:$C$597,MATCH($F619,Items!$A$5:$A$597,0)),""))</f>
        <v>Standard</v>
      </c>
      <c r="I619" s="23">
        <f>IF($F619="","",IFERROR(INDEX(Items!$E$5:$E$597,MATCH($F619,Items!$A$5:$A$597,0)),""))</f>
        <v>10</v>
      </c>
      <c r="J619" s="115">
        <f>IF(tblIssues[[#This Row],[Qty Override]]&lt;&gt;"",tblIssues[[#This Row],[Qty Override]],IF(tblIssues[[#This Row],[Standard Issue]]="","",tblIssues[[#This Row],[Standard Issue]]))</f>
        <v>10</v>
      </c>
      <c r="K619" s="20">
        <f>IF($F619="","",IFERROR(INDEX(Items!$D$5:$D$597,MATCH($F619,Items!$A$5:$A$597,0)),""))</f>
        <v>0</v>
      </c>
      <c r="L619" s="21">
        <f t="shared" si="105"/>
        <v>0</v>
      </c>
      <c r="M619" s="9" t="str">
        <f t="shared" si="106"/>
        <v/>
      </c>
      <c r="N619" s="24">
        <f>IF($A619="","",WORKDAY($A619,Settings!$C$9,HolidayDates))</f>
        <v>46160</v>
      </c>
      <c r="O619" s="24">
        <f>IF($N619="","",WORKDAY($N619,Settings!$C$10,HolidayDates))</f>
        <v>46198</v>
      </c>
      <c r="P619" s="10" t="s">
        <v>502</v>
      </c>
      <c r="Q619" s="52" t="str">
        <f t="shared" si="108"/>
        <v>Collected</v>
      </c>
      <c r="R619" s="55" t="str">
        <f t="shared" si="109"/>
        <v>2026-05</v>
      </c>
      <c r="S619" s="55">
        <f>IF(OR($B619="",$F619="",$R619=""),"",SUMIFS(tblIssues[Qty Issued],tblIssues[Staff ID],$B619,tblIssues[Item Name],$F619,tblIssues[Month],$R619))</f>
        <v>10</v>
      </c>
      <c r="T619" s="56">
        <f>IF($I619="","",$I619*Settings!$C$11)</f>
        <v>10</v>
      </c>
      <c r="U619" s="57" t="str">
        <f t="shared" si="107"/>
        <v>OK</v>
      </c>
      <c r="V619" s="55" t="str">
        <f t="shared" si="110"/>
        <v/>
      </c>
      <c r="W619" s="55" t="str">
        <f>IF($V619="","",IF(COUNTIF($V$5:$V619,$V619)=1,1,""))</f>
        <v/>
      </c>
      <c r="X619" s="58" t="str">
        <f>IF($W619="","",MAX($X$4:X618)+1)</f>
        <v/>
      </c>
      <c r="Y619" s="62"/>
      <c r="Z619" s="62"/>
      <c r="AA619" s="64" t="str">
        <f>IF($C619="","",IFERROR(INDEX('Staff Directory'!$E$5:$E$594,MATCH($C619,'Staff Directory'!$B$5:$B$594,0)),""))</f>
        <v>firstname041.lastname041@example.com</v>
      </c>
      <c r="AB619" s="64" t="str">
        <f>IF($C619="","",IF(ISNUMBER(SEARCH($D619,Settings!$C$15)),"Pickup","Dispatch"))</f>
        <v>Dispatch</v>
      </c>
      <c r="AC619" s="64" t="str">
        <f t="shared" si="111"/>
        <v>Supply order dispatched</v>
      </c>
      <c r="AD619" s="64" t="str">
        <f t="shared" si="102"/>
        <v>Dear RN,
Your order has been dispatched and is in transit. Reply if undelivered.</v>
      </c>
      <c r="AE619" s="64" t="str">
        <f t="shared" si="103"/>
        <v>mailto:firstname041.lastname041@example.com?subject=Supply%20order%20dispatched&amp;body=Dear%20RN%2C%0A%0AYour%20order%20has%20been%20dispatched%20and%20is%20in%20transit.%20Reply%20if%20undelivered.</v>
      </c>
      <c r="AF619" s="89" t="str">
        <f t="shared" si="112"/>
        <v>Draft email</v>
      </c>
      <c r="AG619" s="64" t="str">
        <f>IF($C619="","",IFERROR(INDEX('Staff Directory'!$K$595:$K$599,MATCH($C619,'Staff Directory'!$B$5:$B$599,0)),$D619))</f>
        <v>RN</v>
      </c>
      <c r="AH619" t="str">
        <f>IF($C619="","",IFERROR(INDEX('Staff Directory'!$I$595:$I$599,MATCH($C619,'Staff Directory'!$B$5:$B$599,0))&amp;" "&amp;INDEX('Staff Directory'!$J$595:$J$599,MATCH($C619,'Staff Directory'!$B$5:$B$599,0)),$AG619))</f>
        <v>RN</v>
      </c>
      <c r="AI619" s="102"/>
      <c r="AJ619" s="101">
        <f>IF($F619="","",SUMIFS($J$5:$J619,$F$5:$F619,$F619))</f>
        <v>340</v>
      </c>
      <c r="AK619" s="101">
        <f t="shared" si="104"/>
        <v>331</v>
      </c>
      <c r="AL619" s="66" t="str" cm="1">
        <f t="array" ref="AL619">IF($F619="","",IFERROR(INDEX('Lot Balance'!$B$5:$B$500,MATCH(1,INDEX(('Lot Balance'!$A$5:$A$500=$F619)*('Lot Balance'!$K$5:$K$500&lt;$AK619)*('Lot Balance'!$K$5:$K$500+'Lot Balance'!$D$5:$D$500&gt;=$AK619),0),0)),""))</f>
        <v/>
      </c>
      <c r="AM619" s="66" t="str" cm="1">
        <f t="array" ref="AM619">IF($F619="","",IFERROR(INDEX('Lot Balance'!$B$5:$B$500,MATCH(1,INDEX(('Lot Balance'!$A$5:$A$500=$F619)*('Lot Balance'!$K$5:$K$500&lt;$AJ619)*('Lot Balance'!$K$5:$K$500+'Lot Balance'!$D$5:$D$500&gt;=$AJ619),0),0)),""))</f>
        <v/>
      </c>
      <c r="AN619" s="66" t="str">
        <f>IF($F619="","",IF($AI619&lt;&gt;"",IF(COUNTIFS('Lot Balance'!$A$5:$A$500,$F619,'Lot Balance'!$B$5:$B$500,$AI619)=0,"⚠ override is not a lot of this item",IF($AI619=$AL619,"Override = FEFO","Override - FEFO says "&amp;$AL619)),IF($AL619="","⚠ no receipt on file for this item",IF($AM619&lt;&gt;$AL619,"FEFO auto - split, also "&amp;$AM619,"FEFO auto"))))</f>
        <v>⚠ no receipt on file for this item</v>
      </c>
      <c r="AO619" s="114"/>
    </row>
    <row r="620" spans="1:41" x14ac:dyDescent="0.35">
      <c r="A620" s="74">
        <v>46150</v>
      </c>
      <c r="B620" s="18" t="str">
        <f>IF($C620="","",IFERROR(INDEX('Staff Directory'!$A$5:$A$594,MATCH($C620,'Staff Directory'!$B$5:$B$594,0)),"⚠ unknown staff"))</f>
        <v>RN-038-A1</v>
      </c>
      <c r="C620" s="49" t="s">
        <v>960</v>
      </c>
      <c r="D620" s="19" t="str">
        <f>IF($B620="","",IFERROR(INDEX('Staff Directory'!$C$5:$C$594,MATCH($B620,'Staff Directory'!$A$5:$A$594,0)),""))</f>
        <v>RN</v>
      </c>
      <c r="E620" s="19" t="str">
        <f>IF($B620="","",IFERROR(INDEX('Staff Directory'!$D$5:$D$594,MATCH($B620,'Staff Directory'!$A$5:$A$594,0)),""))</f>
        <v>A1</v>
      </c>
      <c r="F620" s="9" t="s">
        <v>757</v>
      </c>
      <c r="G620" s="18" t="str">
        <f>IF($F620="","",IFERROR(INDEX(Items!$B$5:$B$597,MATCH($F620,Items!$A$5:$A$597,0)),"⚠ not in Items"))</f>
        <v>Documents</v>
      </c>
      <c r="H620" s="19" t="str">
        <f>IF($F620="","",IFERROR(INDEX(Items!$C$5:$C$597,MATCH($F620,Items!$A$5:$A$597,0)),""))</f>
        <v>Standard</v>
      </c>
      <c r="I620" s="23">
        <f>IF($F620="","",IFERROR(INDEX(Items!$E$5:$E$597,MATCH($F620,Items!$A$5:$A$597,0)),""))</f>
        <v>10</v>
      </c>
      <c r="J620" s="115">
        <f>IF(tblIssues[[#This Row],[Qty Override]]&lt;&gt;"",tblIssues[[#This Row],[Qty Override]],IF(tblIssues[[#This Row],[Standard Issue]]="","",tblIssues[[#This Row],[Standard Issue]]))</f>
        <v>10</v>
      </c>
      <c r="K620" s="20">
        <f>IF($F620="","",IFERROR(INDEX(Items!$D$5:$D$597,MATCH($F620,Items!$A$5:$A$597,0)),""))</f>
        <v>0</v>
      </c>
      <c r="L620" s="21">
        <f t="shared" si="105"/>
        <v>0</v>
      </c>
      <c r="M620" s="9" t="str">
        <f t="shared" si="106"/>
        <v/>
      </c>
      <c r="N620" s="24">
        <f>IF($A620="","",WORKDAY($A620,Settings!$C$9,HolidayDates))</f>
        <v>46160</v>
      </c>
      <c r="O620" s="24">
        <f>IF($N620="","",WORKDAY($N620,Settings!$C$10,HolidayDates))</f>
        <v>46198</v>
      </c>
      <c r="P620" s="10" t="s">
        <v>502</v>
      </c>
      <c r="Q620" s="52" t="str">
        <f t="shared" si="108"/>
        <v>Collected</v>
      </c>
      <c r="R620" s="55" t="str">
        <f t="shared" si="109"/>
        <v>2026-05</v>
      </c>
      <c r="S620" s="55">
        <f>IF(OR($B620="",$F620="",$R620=""),"",SUMIFS(tblIssues[Qty Issued],tblIssues[Staff ID],$B620,tblIssues[Item Name],$F620,tblIssues[Month],$R620))</f>
        <v>10</v>
      </c>
      <c r="T620" s="56">
        <f>IF($I620="","",$I620*Settings!$C$11)</f>
        <v>10</v>
      </c>
      <c r="U620" s="57" t="str">
        <f t="shared" si="107"/>
        <v>OK</v>
      </c>
      <c r="V620" s="55" t="str">
        <f t="shared" si="110"/>
        <v/>
      </c>
      <c r="W620" s="55" t="str">
        <f>IF($V620="","",IF(COUNTIF($V$5:$V620,$V620)=1,1,""))</f>
        <v/>
      </c>
      <c r="X620" s="58" t="str">
        <f>IF($W620="","",MAX($X$4:X619)+1)</f>
        <v/>
      </c>
      <c r="Y620" s="62"/>
      <c r="Z620" s="62"/>
      <c r="AA620" s="64" t="str">
        <f>IF($C620="","",IFERROR(INDEX('Staff Directory'!$E$5:$E$594,MATCH($C620,'Staff Directory'!$B$5:$B$594,0)),""))</f>
        <v>firstname044.lastname044@example.com</v>
      </c>
      <c r="AB620" s="64" t="str">
        <f>IF($C620="","",IF(ISNUMBER(SEARCH($D620,Settings!$C$15)),"Pickup","Dispatch"))</f>
        <v>Dispatch</v>
      </c>
      <c r="AC620" s="64" t="str">
        <f t="shared" si="111"/>
        <v>Supply order dispatched</v>
      </c>
      <c r="AD620" s="64" t="str">
        <f t="shared" si="102"/>
        <v>Dear RN,
Your order has been dispatched and is in transit. Reply if undelivered.</v>
      </c>
      <c r="AE620" s="64" t="str">
        <f t="shared" si="103"/>
        <v>mailto:firstname044.lastname044@example.com?subject=Supply%20order%20dispatched&amp;body=Dear%20RN%2C%0A%0AYour%20order%20has%20been%20dispatched%20and%20is%20in%20transit.%20Reply%20if%20undelivered.</v>
      </c>
      <c r="AF620" s="89" t="str">
        <f t="shared" si="112"/>
        <v>Draft email</v>
      </c>
      <c r="AG620" s="64" t="str">
        <f>IF($C620="","",IFERROR(INDEX('Staff Directory'!$K$595:$K$599,MATCH($C620,'Staff Directory'!$B$5:$B$599,0)),$D620))</f>
        <v>RN</v>
      </c>
      <c r="AH620" t="str">
        <f>IF($C620="","",IFERROR(INDEX('Staff Directory'!$I$595:$I$599,MATCH($C620,'Staff Directory'!$B$5:$B$599,0))&amp;" "&amp;INDEX('Staff Directory'!$J$595:$J$599,MATCH($C620,'Staff Directory'!$B$5:$B$599,0)),$AG620))</f>
        <v>RN</v>
      </c>
      <c r="AI620" s="102"/>
      <c r="AJ620" s="101">
        <f>IF($F620="","",SUMIFS($J$5:$J620,$F$5:$F620,$F620))</f>
        <v>350</v>
      </c>
      <c r="AK620" s="101">
        <f t="shared" si="104"/>
        <v>341</v>
      </c>
      <c r="AL620" s="66" t="str" cm="1">
        <f t="array" ref="AL620">IF($F620="","",IFERROR(INDEX('Lot Balance'!$B$5:$B$500,MATCH(1,INDEX(('Lot Balance'!$A$5:$A$500=$F620)*('Lot Balance'!$K$5:$K$500&lt;$AK620)*('Lot Balance'!$K$5:$K$500+'Lot Balance'!$D$5:$D$500&gt;=$AK620),0),0)),""))</f>
        <v/>
      </c>
      <c r="AM620" s="66" t="str" cm="1">
        <f t="array" ref="AM620">IF($F620="","",IFERROR(INDEX('Lot Balance'!$B$5:$B$500,MATCH(1,INDEX(('Lot Balance'!$A$5:$A$500=$F620)*('Lot Balance'!$K$5:$K$500&lt;$AJ620)*('Lot Balance'!$K$5:$K$500+'Lot Balance'!$D$5:$D$500&gt;=$AJ620),0),0)),""))</f>
        <v/>
      </c>
      <c r="AN620" s="66" t="str">
        <f>IF($F620="","",IF($AI620&lt;&gt;"",IF(COUNTIFS('Lot Balance'!$A$5:$A$500,$F620,'Lot Balance'!$B$5:$B$500,$AI620)=0,"⚠ override is not a lot of this item",IF($AI620=$AL620,"Override = FEFO","Override - FEFO says "&amp;$AL620)),IF($AL620="","⚠ no receipt on file for this item",IF($AM620&lt;&gt;$AL620,"FEFO auto - split, also "&amp;$AM620,"FEFO auto"))))</f>
        <v>⚠ no receipt on file for this item</v>
      </c>
      <c r="AO620" s="114"/>
    </row>
    <row r="621" spans="1:41" x14ac:dyDescent="0.35">
      <c r="A621" s="74">
        <v>46150</v>
      </c>
      <c r="B621" s="18" t="str">
        <f>IF($C621="","",IFERROR(INDEX('Staff Directory'!$A$5:$A$594,MATCH($C621,'Staff Directory'!$B$5:$B$594,0)),"⚠ unknown staff"))</f>
        <v>RPN-007-A1</v>
      </c>
      <c r="C621" s="49" t="s">
        <v>963</v>
      </c>
      <c r="D621" s="19" t="str">
        <f>IF($B621="","",IFERROR(INDEX('Staff Directory'!$C$5:$C$594,MATCH($B621,'Staff Directory'!$A$5:$A$594,0)),""))</f>
        <v>RPN</v>
      </c>
      <c r="E621" s="19" t="str">
        <f>IF($B621="","",IFERROR(INDEX('Staff Directory'!$D$5:$D$594,MATCH($B621,'Staff Directory'!$A$5:$A$594,0)),""))</f>
        <v>A1</v>
      </c>
      <c r="F621" s="9" t="s">
        <v>757</v>
      </c>
      <c r="G621" s="18" t="str">
        <f>IF($F621="","",IFERROR(INDEX(Items!$B$5:$B$597,MATCH($F621,Items!$A$5:$A$597,0)),"⚠ not in Items"))</f>
        <v>Documents</v>
      </c>
      <c r="H621" s="19" t="str">
        <f>IF($F621="","",IFERROR(INDEX(Items!$C$5:$C$597,MATCH($F621,Items!$A$5:$A$597,0)),""))</f>
        <v>Standard</v>
      </c>
      <c r="I621" s="23">
        <f>IF($F621="","",IFERROR(INDEX(Items!$E$5:$E$597,MATCH($F621,Items!$A$5:$A$597,0)),""))</f>
        <v>10</v>
      </c>
      <c r="J621" s="115">
        <f>IF(tblIssues[[#This Row],[Qty Override]]&lt;&gt;"",tblIssues[[#This Row],[Qty Override]],IF(tblIssues[[#This Row],[Standard Issue]]="","",tblIssues[[#This Row],[Standard Issue]]))</f>
        <v>10</v>
      </c>
      <c r="K621" s="20">
        <f>IF($F621="","",IFERROR(INDEX(Items!$D$5:$D$597,MATCH($F621,Items!$A$5:$A$597,0)),""))</f>
        <v>0</v>
      </c>
      <c r="L621" s="21">
        <f t="shared" si="105"/>
        <v>0</v>
      </c>
      <c r="M621" s="9" t="str">
        <f t="shared" si="106"/>
        <v/>
      </c>
      <c r="N621" s="24">
        <f>IF($A621="","",WORKDAY($A621,Settings!$C$9,HolidayDates))</f>
        <v>46160</v>
      </c>
      <c r="O621" s="24">
        <f>IF($N621="","",WORKDAY($N621,Settings!$C$10,HolidayDates))</f>
        <v>46198</v>
      </c>
      <c r="P621" s="10" t="s">
        <v>502</v>
      </c>
      <c r="Q621" s="52" t="str">
        <f t="shared" si="108"/>
        <v>Collected</v>
      </c>
      <c r="R621" s="55" t="str">
        <f t="shared" si="109"/>
        <v>2026-05</v>
      </c>
      <c r="S621" s="55">
        <f>IF(OR($B621="",$F621="",$R621=""),"",SUMIFS(tblIssues[Qty Issued],tblIssues[Staff ID],$B621,tblIssues[Item Name],$F621,tblIssues[Month],$R621))</f>
        <v>10</v>
      </c>
      <c r="T621" s="56">
        <f>IF($I621="","",$I621*Settings!$C$11)</f>
        <v>10</v>
      </c>
      <c r="U621" s="57" t="str">
        <f t="shared" si="107"/>
        <v>OK</v>
      </c>
      <c r="V621" s="55" t="str">
        <f t="shared" si="110"/>
        <v/>
      </c>
      <c r="W621" s="55" t="str">
        <f>IF($V621="","",IF(COUNTIF($V$5:$V621,$V621)=1,1,""))</f>
        <v/>
      </c>
      <c r="X621" s="58" t="str">
        <f>IF($W621="","",MAX($X$4:X620)+1)</f>
        <v/>
      </c>
      <c r="Y621" s="62"/>
      <c r="Z621" s="62"/>
      <c r="AA621" s="64" t="str">
        <f>IF($C621="","",IFERROR(INDEX('Staff Directory'!$E$5:$E$594,MATCH($C621,'Staff Directory'!$B$5:$B$594,0)),""))</f>
        <v>firstname047.lastname047@example.com</v>
      </c>
      <c r="AB621" s="64" t="str">
        <f>IF($C621="","",IF(ISNUMBER(SEARCH($D621,Settings!$C$15)),"Pickup","Dispatch"))</f>
        <v>Dispatch</v>
      </c>
      <c r="AC621" s="64" t="str">
        <f t="shared" si="111"/>
        <v>Supply order dispatched</v>
      </c>
      <c r="AD621" s="64" t="str">
        <f t="shared" si="102"/>
        <v>Dear RPN,
Your order has been dispatched and is in transit. Reply if undelivered.</v>
      </c>
      <c r="AE621" s="64" t="str">
        <f t="shared" si="103"/>
        <v>mailto:firstname047.lastname047@example.com?subject=Supply%20order%20dispatched&amp;body=Dear%20RPN%2C%0A%0AYour%20order%20has%20been%20dispatched%20and%20is%20in%20transit.%20Reply%20if%20undelivered.</v>
      </c>
      <c r="AF621" s="89" t="str">
        <f t="shared" si="112"/>
        <v>Draft email</v>
      </c>
      <c r="AG621" s="64" t="str">
        <f>IF($C621="","",IFERROR(INDEX('Staff Directory'!$K$595:$K$599,MATCH($C621,'Staff Directory'!$B$5:$B$599,0)),$D621))</f>
        <v>RPN</v>
      </c>
      <c r="AH621" t="str">
        <f>IF($C621="","",IFERROR(INDEX('Staff Directory'!$I$595:$I$599,MATCH($C621,'Staff Directory'!$B$5:$B$599,0))&amp;" "&amp;INDEX('Staff Directory'!$J$595:$J$599,MATCH($C621,'Staff Directory'!$B$5:$B$599,0)),$AG621))</f>
        <v>RPN</v>
      </c>
      <c r="AI621" s="102"/>
      <c r="AJ621" s="101">
        <f>IF($F621="","",SUMIFS($J$5:$J621,$F$5:$F621,$F621))</f>
        <v>360</v>
      </c>
      <c r="AK621" s="101">
        <f t="shared" si="104"/>
        <v>351</v>
      </c>
      <c r="AL621" s="66" t="str" cm="1">
        <f t="array" ref="AL621">IF($F621="","",IFERROR(INDEX('Lot Balance'!$B$5:$B$500,MATCH(1,INDEX(('Lot Balance'!$A$5:$A$500=$F621)*('Lot Balance'!$K$5:$K$500&lt;$AK621)*('Lot Balance'!$K$5:$K$500+'Lot Balance'!$D$5:$D$500&gt;=$AK621),0),0)),""))</f>
        <v/>
      </c>
      <c r="AM621" s="66" t="str" cm="1">
        <f t="array" ref="AM621">IF($F621="","",IFERROR(INDEX('Lot Balance'!$B$5:$B$500,MATCH(1,INDEX(('Lot Balance'!$A$5:$A$500=$F621)*('Lot Balance'!$K$5:$K$500&lt;$AJ621)*('Lot Balance'!$K$5:$K$500+'Lot Balance'!$D$5:$D$500&gt;=$AJ621),0),0)),""))</f>
        <v/>
      </c>
      <c r="AN621" s="66" t="str">
        <f>IF($F621="","",IF($AI621&lt;&gt;"",IF(COUNTIFS('Lot Balance'!$A$5:$A$500,$F621,'Lot Balance'!$B$5:$B$500,$AI621)=0,"⚠ override is not a lot of this item",IF($AI621=$AL621,"Override = FEFO","Override - FEFO says "&amp;$AL621)),IF($AL621="","⚠ no receipt on file for this item",IF($AM621&lt;&gt;$AL621,"FEFO auto - split, also "&amp;$AM621,"FEFO auto"))))</f>
        <v>⚠ no receipt on file for this item</v>
      </c>
      <c r="AO621" s="114"/>
    </row>
    <row r="622" spans="1:41" x14ac:dyDescent="0.35">
      <c r="A622" s="74">
        <v>46150</v>
      </c>
      <c r="B622" s="18" t="str">
        <f>IF($C622="","",IFERROR(INDEX('Staff Directory'!$A$5:$A$594,MATCH($C622,'Staff Directory'!$B$5:$B$594,0)),"⚠ unknown staff"))</f>
        <v>RN-041-A1</v>
      </c>
      <c r="C622" s="49" t="s">
        <v>964</v>
      </c>
      <c r="D622" s="19" t="str">
        <f>IF($B622="","",IFERROR(INDEX('Staff Directory'!$C$5:$C$594,MATCH($B622,'Staff Directory'!$A$5:$A$594,0)),""))</f>
        <v>RN</v>
      </c>
      <c r="E622" s="19" t="str">
        <f>IF($B622="","",IFERROR(INDEX('Staff Directory'!$D$5:$D$594,MATCH($B622,'Staff Directory'!$A$5:$A$594,0)),""))</f>
        <v>A1</v>
      </c>
      <c r="F622" s="9" t="s">
        <v>757</v>
      </c>
      <c r="G622" s="18" t="str">
        <f>IF($F622="","",IFERROR(INDEX(Items!$B$5:$B$597,MATCH($F622,Items!$A$5:$A$597,0)),"⚠ not in Items"))</f>
        <v>Documents</v>
      </c>
      <c r="H622" s="19" t="str">
        <f>IF($F622="","",IFERROR(INDEX(Items!$C$5:$C$597,MATCH($F622,Items!$A$5:$A$597,0)),""))</f>
        <v>Standard</v>
      </c>
      <c r="I622" s="23">
        <f>IF($F622="","",IFERROR(INDEX(Items!$E$5:$E$597,MATCH($F622,Items!$A$5:$A$597,0)),""))</f>
        <v>10</v>
      </c>
      <c r="J622" s="115">
        <f>IF(tblIssues[[#This Row],[Qty Override]]&lt;&gt;"",tblIssues[[#This Row],[Qty Override]],IF(tblIssues[[#This Row],[Standard Issue]]="","",tblIssues[[#This Row],[Standard Issue]]))</f>
        <v>10</v>
      </c>
      <c r="K622" s="20">
        <f>IF($F622="","",IFERROR(INDEX(Items!$D$5:$D$597,MATCH($F622,Items!$A$5:$A$597,0)),""))</f>
        <v>0</v>
      </c>
      <c r="L622" s="21">
        <f t="shared" si="105"/>
        <v>0</v>
      </c>
      <c r="M622" s="9" t="str">
        <f t="shared" si="106"/>
        <v/>
      </c>
      <c r="N622" s="24">
        <f>IF($A622="","",WORKDAY($A622,Settings!$C$9,HolidayDates))</f>
        <v>46160</v>
      </c>
      <c r="O622" s="24">
        <f>IF($N622="","",WORKDAY($N622,Settings!$C$10,HolidayDates))</f>
        <v>46198</v>
      </c>
      <c r="P622" s="10" t="s">
        <v>502</v>
      </c>
      <c r="Q622" s="52" t="str">
        <f t="shared" si="108"/>
        <v>Collected</v>
      </c>
      <c r="R622" s="55" t="str">
        <f t="shared" si="109"/>
        <v>2026-05</v>
      </c>
      <c r="S622" s="55">
        <f>IF(OR($B622="",$F622="",$R622=""),"",SUMIFS(tblIssues[Qty Issued],tblIssues[Staff ID],$B622,tblIssues[Item Name],$F622,tblIssues[Month],$R622))</f>
        <v>10</v>
      </c>
      <c r="T622" s="56">
        <f>IF($I622="","",$I622*Settings!$C$11)</f>
        <v>10</v>
      </c>
      <c r="U622" s="57" t="str">
        <f t="shared" si="107"/>
        <v>OK</v>
      </c>
      <c r="V622" s="55" t="str">
        <f t="shared" si="110"/>
        <v/>
      </c>
      <c r="W622" s="55" t="str">
        <f>IF($V622="","",IF(COUNTIF($V$5:$V622,$V622)=1,1,""))</f>
        <v/>
      </c>
      <c r="X622" s="58" t="str">
        <f>IF($W622="","",MAX($X$4:X621)+1)</f>
        <v/>
      </c>
      <c r="Y622" s="62"/>
      <c r="Z622" s="62"/>
      <c r="AA622" s="64" t="str">
        <f>IF($C622="","",IFERROR(INDEX('Staff Directory'!$E$5:$E$594,MATCH($C622,'Staff Directory'!$B$5:$B$594,0)),""))</f>
        <v>firstname048.lastname048@example.com</v>
      </c>
      <c r="AB622" s="64" t="str">
        <f>IF($C622="","",IF(ISNUMBER(SEARCH($D622,Settings!$C$15)),"Pickup","Dispatch"))</f>
        <v>Dispatch</v>
      </c>
      <c r="AC622" s="64" t="str">
        <f t="shared" si="111"/>
        <v>Supply order dispatched</v>
      </c>
      <c r="AD622" s="64" t="str">
        <f t="shared" si="102"/>
        <v>Dear RN,
Your order has been dispatched and is in transit. Reply if undelivered.</v>
      </c>
      <c r="AE622" s="64" t="str">
        <f t="shared" si="103"/>
        <v>mailto:firstname048.lastname048@example.com?subject=Supply%20order%20dispatched&amp;body=Dear%20RN%2C%0A%0AYour%20order%20has%20been%20dispatched%20and%20is%20in%20transit.%20Reply%20if%20undelivered.</v>
      </c>
      <c r="AF622" s="89" t="str">
        <f t="shared" si="112"/>
        <v>Draft email</v>
      </c>
      <c r="AG622" s="64" t="str">
        <f>IF($C622="","",IFERROR(INDEX('Staff Directory'!$K$595:$K$599,MATCH($C622,'Staff Directory'!$B$5:$B$599,0)),$D622))</f>
        <v>RN</v>
      </c>
      <c r="AH622" t="str">
        <f>IF($C622="","",IFERROR(INDEX('Staff Directory'!$I$595:$I$599,MATCH($C622,'Staff Directory'!$B$5:$B$599,0))&amp;" "&amp;INDEX('Staff Directory'!$J$595:$J$599,MATCH($C622,'Staff Directory'!$B$5:$B$599,0)),$AG622))</f>
        <v>RN</v>
      </c>
      <c r="AI622" s="102"/>
      <c r="AJ622" s="101">
        <f>IF($F622="","",SUMIFS($J$5:$J622,$F$5:$F622,$F622))</f>
        <v>370</v>
      </c>
      <c r="AK622" s="101">
        <f t="shared" si="104"/>
        <v>361</v>
      </c>
      <c r="AL622" s="66" t="str" cm="1">
        <f t="array" ref="AL622">IF($F622="","",IFERROR(INDEX('Lot Balance'!$B$5:$B$500,MATCH(1,INDEX(('Lot Balance'!$A$5:$A$500=$F622)*('Lot Balance'!$K$5:$K$500&lt;$AK622)*('Lot Balance'!$K$5:$K$500+'Lot Balance'!$D$5:$D$500&gt;=$AK622),0),0)),""))</f>
        <v/>
      </c>
      <c r="AM622" s="66" t="str" cm="1">
        <f t="array" ref="AM622">IF($F622="","",IFERROR(INDEX('Lot Balance'!$B$5:$B$500,MATCH(1,INDEX(('Lot Balance'!$A$5:$A$500=$F622)*('Lot Balance'!$K$5:$K$500&lt;$AJ622)*('Lot Balance'!$K$5:$K$500+'Lot Balance'!$D$5:$D$500&gt;=$AJ622),0),0)),""))</f>
        <v/>
      </c>
      <c r="AN622" s="66" t="str">
        <f>IF($F622="","",IF($AI622&lt;&gt;"",IF(COUNTIFS('Lot Balance'!$A$5:$A$500,$F622,'Lot Balance'!$B$5:$B$500,$AI622)=0,"⚠ override is not a lot of this item",IF($AI622=$AL622,"Override = FEFO","Override - FEFO says "&amp;$AL622)),IF($AL622="","⚠ no receipt on file for this item",IF($AM622&lt;&gt;$AL622,"FEFO auto - split, also "&amp;$AM622,"FEFO auto"))))</f>
        <v>⚠ no receipt on file for this item</v>
      </c>
      <c r="AO622" s="114"/>
    </row>
    <row r="623" spans="1:41" x14ac:dyDescent="0.35">
      <c r="A623" s="74">
        <v>46150</v>
      </c>
      <c r="B623" s="18" t="str">
        <f>IF($C623="","",IFERROR(INDEX('Staff Directory'!$A$5:$A$594,MATCH($C623,'Staff Directory'!$B$5:$B$594,0)),"⚠ unknown staff"))</f>
        <v>RN-042-A1</v>
      </c>
      <c r="C623" s="49" t="s">
        <v>965</v>
      </c>
      <c r="D623" s="19" t="str">
        <f>IF($B623="","",IFERROR(INDEX('Staff Directory'!$C$5:$C$594,MATCH($B623,'Staff Directory'!$A$5:$A$594,0)),""))</f>
        <v>RN</v>
      </c>
      <c r="E623" s="19" t="str">
        <f>IF($B623="","",IFERROR(INDEX('Staff Directory'!$D$5:$D$594,MATCH($B623,'Staff Directory'!$A$5:$A$594,0)),""))</f>
        <v>A1</v>
      </c>
      <c r="F623" s="9" t="s">
        <v>757</v>
      </c>
      <c r="G623" s="18" t="str">
        <f>IF($F623="","",IFERROR(INDEX(Items!$B$5:$B$597,MATCH($F623,Items!$A$5:$A$597,0)),"⚠ not in Items"))</f>
        <v>Documents</v>
      </c>
      <c r="H623" s="19" t="str">
        <f>IF($F623="","",IFERROR(INDEX(Items!$C$5:$C$597,MATCH($F623,Items!$A$5:$A$597,0)),""))</f>
        <v>Standard</v>
      </c>
      <c r="I623" s="23">
        <f>IF($F623="","",IFERROR(INDEX(Items!$E$5:$E$597,MATCH($F623,Items!$A$5:$A$597,0)),""))</f>
        <v>10</v>
      </c>
      <c r="J623" s="115">
        <f>IF(tblIssues[[#This Row],[Qty Override]]&lt;&gt;"",tblIssues[[#This Row],[Qty Override]],IF(tblIssues[[#This Row],[Standard Issue]]="","",tblIssues[[#This Row],[Standard Issue]]))</f>
        <v>10</v>
      </c>
      <c r="K623" s="20">
        <f>IF($F623="","",IFERROR(INDEX(Items!$D$5:$D$597,MATCH($F623,Items!$A$5:$A$597,0)),""))</f>
        <v>0</v>
      </c>
      <c r="L623" s="21">
        <f t="shared" si="105"/>
        <v>0</v>
      </c>
      <c r="M623" s="9" t="str">
        <f t="shared" si="106"/>
        <v/>
      </c>
      <c r="N623" s="24">
        <f>IF($A623="","",WORKDAY($A623,Settings!$C$9,HolidayDates))</f>
        <v>46160</v>
      </c>
      <c r="O623" s="24">
        <f>IF($N623="","",WORKDAY($N623,Settings!$C$10,HolidayDates))</f>
        <v>46198</v>
      </c>
      <c r="P623" s="10" t="s">
        <v>502</v>
      </c>
      <c r="Q623" s="52" t="str">
        <f t="shared" si="108"/>
        <v>Collected</v>
      </c>
      <c r="R623" s="55" t="str">
        <f t="shared" si="109"/>
        <v>2026-05</v>
      </c>
      <c r="S623" s="55">
        <f>IF(OR($B623="",$F623="",$R623=""),"",SUMIFS(tblIssues[Qty Issued],tblIssues[Staff ID],$B623,tblIssues[Item Name],$F623,tblIssues[Month],$R623))</f>
        <v>10</v>
      </c>
      <c r="T623" s="56">
        <f>IF($I623="","",$I623*Settings!$C$11)</f>
        <v>10</v>
      </c>
      <c r="U623" s="57" t="str">
        <f t="shared" si="107"/>
        <v>OK</v>
      </c>
      <c r="V623" s="55" t="str">
        <f t="shared" si="110"/>
        <v/>
      </c>
      <c r="W623" s="55" t="str">
        <f>IF($V623="","",IF(COUNTIF($V$5:$V623,$V623)=1,1,""))</f>
        <v/>
      </c>
      <c r="X623" s="58" t="str">
        <f>IF($W623="","",MAX($X$4:X622)+1)</f>
        <v/>
      </c>
      <c r="Y623" s="62"/>
      <c r="Z623" s="62"/>
      <c r="AA623" s="64" t="str">
        <f>IF($C623="","",IFERROR(INDEX('Staff Directory'!$E$5:$E$594,MATCH($C623,'Staff Directory'!$B$5:$B$594,0)),""))</f>
        <v>firstname049.lastname049@example.com</v>
      </c>
      <c r="AB623" s="64" t="str">
        <f>IF($C623="","",IF(ISNUMBER(SEARCH($D623,Settings!$C$15)),"Pickup","Dispatch"))</f>
        <v>Dispatch</v>
      </c>
      <c r="AC623" s="64" t="str">
        <f t="shared" si="111"/>
        <v>Supply order dispatched</v>
      </c>
      <c r="AD623" s="64" t="str">
        <f t="shared" si="102"/>
        <v>Dear RN,
Your order has been dispatched and is in transit. Reply if undelivered.</v>
      </c>
      <c r="AE623" s="64" t="str">
        <f t="shared" si="103"/>
        <v>mailto:firstname049.lastname049@example.com?subject=Supply%20order%20dispatched&amp;body=Dear%20RN%2C%0A%0AYour%20order%20has%20been%20dispatched%20and%20is%20in%20transit.%20Reply%20if%20undelivered.</v>
      </c>
      <c r="AF623" s="89" t="str">
        <f t="shared" si="112"/>
        <v>Draft email</v>
      </c>
      <c r="AG623" s="64" t="str">
        <f>IF($C623="","",IFERROR(INDEX('Staff Directory'!$K$595:$K$599,MATCH($C623,'Staff Directory'!$B$5:$B$599,0)),$D623))</f>
        <v>RN</v>
      </c>
      <c r="AH623" t="str">
        <f>IF($C623="","",IFERROR(INDEX('Staff Directory'!$I$595:$I$599,MATCH($C623,'Staff Directory'!$B$5:$B$599,0))&amp;" "&amp;INDEX('Staff Directory'!$J$595:$J$599,MATCH($C623,'Staff Directory'!$B$5:$B$599,0)),$AG623))</f>
        <v>RN</v>
      </c>
      <c r="AI623" s="102"/>
      <c r="AJ623" s="101">
        <f>IF($F623="","",SUMIFS($J$5:$J623,$F$5:$F623,$F623))</f>
        <v>380</v>
      </c>
      <c r="AK623" s="101">
        <f t="shared" si="104"/>
        <v>371</v>
      </c>
      <c r="AL623" s="66" t="str" cm="1">
        <f t="array" ref="AL623">IF($F623="","",IFERROR(INDEX('Lot Balance'!$B$5:$B$500,MATCH(1,INDEX(('Lot Balance'!$A$5:$A$500=$F623)*('Lot Balance'!$K$5:$K$500&lt;$AK623)*('Lot Balance'!$K$5:$K$500+'Lot Balance'!$D$5:$D$500&gt;=$AK623),0),0)),""))</f>
        <v/>
      </c>
      <c r="AM623" s="66" t="str" cm="1">
        <f t="array" ref="AM623">IF($F623="","",IFERROR(INDEX('Lot Balance'!$B$5:$B$500,MATCH(1,INDEX(('Lot Balance'!$A$5:$A$500=$F623)*('Lot Balance'!$K$5:$K$500&lt;$AJ623)*('Lot Balance'!$K$5:$K$500+'Lot Balance'!$D$5:$D$500&gt;=$AJ623),0),0)),""))</f>
        <v/>
      </c>
      <c r="AN623" s="66" t="str">
        <f>IF($F623="","",IF($AI623&lt;&gt;"",IF(COUNTIFS('Lot Balance'!$A$5:$A$500,$F623,'Lot Balance'!$B$5:$B$500,$AI623)=0,"⚠ override is not a lot of this item",IF($AI623=$AL623,"Override = FEFO","Override - FEFO says "&amp;$AL623)),IF($AL623="","⚠ no receipt on file for this item",IF($AM623&lt;&gt;$AL623,"FEFO auto - split, also "&amp;$AM623,"FEFO auto"))))</f>
        <v>⚠ no receipt on file for this item</v>
      </c>
      <c r="AO623" s="114"/>
    </row>
    <row r="624" spans="1:41" x14ac:dyDescent="0.35">
      <c r="A624" s="74">
        <v>46150</v>
      </c>
      <c r="B624" s="18" t="str">
        <f>IF($C624="","",IFERROR(INDEX('Staff Directory'!$A$5:$A$594,MATCH($C624,'Staff Directory'!$B$5:$B$594,0)),"⚠ unknown staff"))</f>
        <v>RN-043-A1</v>
      </c>
      <c r="C624" s="49" t="s">
        <v>966</v>
      </c>
      <c r="D624" s="19" t="str">
        <f>IF($B624="","",IFERROR(INDEX('Staff Directory'!$C$5:$C$594,MATCH($B624,'Staff Directory'!$A$5:$A$594,0)),""))</f>
        <v>RN</v>
      </c>
      <c r="E624" s="19" t="str">
        <f>IF($B624="","",IFERROR(INDEX('Staff Directory'!$D$5:$D$594,MATCH($B624,'Staff Directory'!$A$5:$A$594,0)),""))</f>
        <v>A1</v>
      </c>
      <c r="F624" s="9" t="s">
        <v>757</v>
      </c>
      <c r="G624" s="18" t="str">
        <f>IF($F624="","",IFERROR(INDEX(Items!$B$5:$B$597,MATCH($F624,Items!$A$5:$A$597,0)),"⚠ not in Items"))</f>
        <v>Documents</v>
      </c>
      <c r="H624" s="19" t="str">
        <f>IF($F624="","",IFERROR(INDEX(Items!$C$5:$C$597,MATCH($F624,Items!$A$5:$A$597,0)),""))</f>
        <v>Standard</v>
      </c>
      <c r="I624" s="23">
        <f>IF($F624="","",IFERROR(INDEX(Items!$E$5:$E$597,MATCH($F624,Items!$A$5:$A$597,0)),""))</f>
        <v>10</v>
      </c>
      <c r="J624" s="115">
        <f>IF(tblIssues[[#This Row],[Qty Override]]&lt;&gt;"",tblIssues[[#This Row],[Qty Override]],IF(tblIssues[[#This Row],[Standard Issue]]="","",tblIssues[[#This Row],[Standard Issue]]))</f>
        <v>10</v>
      </c>
      <c r="K624" s="20">
        <f>IF($F624="","",IFERROR(INDEX(Items!$D$5:$D$597,MATCH($F624,Items!$A$5:$A$597,0)),""))</f>
        <v>0</v>
      </c>
      <c r="L624" s="21">
        <f t="shared" si="105"/>
        <v>0</v>
      </c>
      <c r="M624" s="9" t="str">
        <f t="shared" si="106"/>
        <v/>
      </c>
      <c r="N624" s="24">
        <f>IF($A624="","",WORKDAY($A624,Settings!$C$9,HolidayDates))</f>
        <v>46160</v>
      </c>
      <c r="O624" s="24">
        <f>IF($N624="","",WORKDAY($N624,Settings!$C$10,HolidayDates))</f>
        <v>46198</v>
      </c>
      <c r="P624" s="10" t="s">
        <v>502</v>
      </c>
      <c r="Q624" s="52" t="str">
        <f t="shared" si="108"/>
        <v>Collected</v>
      </c>
      <c r="R624" s="55" t="str">
        <f t="shared" si="109"/>
        <v>2026-05</v>
      </c>
      <c r="S624" s="55">
        <f>IF(OR($B624="",$F624="",$R624=""),"",SUMIFS(tblIssues[Qty Issued],tblIssues[Staff ID],$B624,tblIssues[Item Name],$F624,tblIssues[Month],$R624))</f>
        <v>10</v>
      </c>
      <c r="T624" s="56">
        <f>IF($I624="","",$I624*Settings!$C$11)</f>
        <v>10</v>
      </c>
      <c r="U624" s="57" t="str">
        <f t="shared" si="107"/>
        <v>OK</v>
      </c>
      <c r="V624" s="55" t="str">
        <f t="shared" si="110"/>
        <v/>
      </c>
      <c r="W624" s="55" t="str">
        <f>IF($V624="","",IF(COUNTIF($V$5:$V624,$V624)=1,1,""))</f>
        <v/>
      </c>
      <c r="X624" s="58" t="str">
        <f>IF($W624="","",MAX($X$4:X623)+1)</f>
        <v/>
      </c>
      <c r="Y624" s="62"/>
      <c r="Z624" s="62"/>
      <c r="AA624" s="64" t="str">
        <f>IF($C624="","",IFERROR(INDEX('Staff Directory'!$E$5:$E$594,MATCH($C624,'Staff Directory'!$B$5:$B$594,0)),""))</f>
        <v>firstname050.lastname050@example.com</v>
      </c>
      <c r="AB624" s="64" t="str">
        <f>IF($C624="","",IF(ISNUMBER(SEARCH($D624,Settings!$C$15)),"Pickup","Dispatch"))</f>
        <v>Dispatch</v>
      </c>
      <c r="AC624" s="64" t="str">
        <f t="shared" si="111"/>
        <v>Supply order dispatched</v>
      </c>
      <c r="AD624" s="64" t="str">
        <f t="shared" si="102"/>
        <v>Dear RN,
Your order has been dispatched and is in transit. Reply if undelivered.</v>
      </c>
      <c r="AE624" s="64" t="str">
        <f t="shared" si="103"/>
        <v>mailto:firstname050.lastname050@example.com?subject=Supply%20order%20dispatched&amp;body=Dear%20RN%2C%0A%0AYour%20order%20has%20been%20dispatched%20and%20is%20in%20transit.%20Reply%20if%20undelivered.</v>
      </c>
      <c r="AF624" s="89" t="str">
        <f t="shared" si="112"/>
        <v>Draft email</v>
      </c>
      <c r="AG624" s="64" t="str">
        <f>IF($C624="","",IFERROR(INDEX('Staff Directory'!$K$595:$K$599,MATCH($C624,'Staff Directory'!$B$5:$B$599,0)),$D624))</f>
        <v>RN</v>
      </c>
      <c r="AH624" t="str">
        <f>IF($C624="","",IFERROR(INDEX('Staff Directory'!$I$595:$I$599,MATCH($C624,'Staff Directory'!$B$5:$B$599,0))&amp;" "&amp;INDEX('Staff Directory'!$J$595:$J$599,MATCH($C624,'Staff Directory'!$B$5:$B$599,0)),$AG624))</f>
        <v>RN</v>
      </c>
      <c r="AI624" s="102"/>
      <c r="AJ624" s="101">
        <f>IF($F624="","",SUMIFS($J$5:$J624,$F$5:$F624,$F624))</f>
        <v>390</v>
      </c>
      <c r="AK624" s="101">
        <f t="shared" si="104"/>
        <v>381</v>
      </c>
      <c r="AL624" s="66" t="str" cm="1">
        <f t="array" ref="AL624">IF($F624="","",IFERROR(INDEX('Lot Balance'!$B$5:$B$500,MATCH(1,INDEX(('Lot Balance'!$A$5:$A$500=$F624)*('Lot Balance'!$K$5:$K$500&lt;$AK624)*('Lot Balance'!$K$5:$K$500+'Lot Balance'!$D$5:$D$500&gt;=$AK624),0),0)),""))</f>
        <v/>
      </c>
      <c r="AM624" s="66" t="str" cm="1">
        <f t="array" ref="AM624">IF($F624="","",IFERROR(INDEX('Lot Balance'!$B$5:$B$500,MATCH(1,INDEX(('Lot Balance'!$A$5:$A$500=$F624)*('Lot Balance'!$K$5:$K$500&lt;$AJ624)*('Lot Balance'!$K$5:$K$500+'Lot Balance'!$D$5:$D$500&gt;=$AJ624),0),0)),""))</f>
        <v/>
      </c>
      <c r="AN624" s="66" t="str">
        <f>IF($F624="","",IF($AI624&lt;&gt;"",IF(COUNTIFS('Lot Balance'!$A$5:$A$500,$F624,'Lot Balance'!$B$5:$B$500,$AI624)=0,"⚠ override is not a lot of this item",IF($AI624=$AL624,"Override = FEFO","Override - FEFO says "&amp;$AL624)),IF($AL624="","⚠ no receipt on file for this item",IF($AM624&lt;&gt;$AL624,"FEFO auto - split, also "&amp;$AM624,"FEFO auto"))))</f>
        <v>⚠ no receipt on file for this item</v>
      </c>
      <c r="AO624" s="114"/>
    </row>
    <row r="625" spans="1:41" x14ac:dyDescent="0.35">
      <c r="A625" s="74">
        <v>46150</v>
      </c>
      <c r="B625" s="18" t="str">
        <f>IF($C625="","",IFERROR(INDEX('Staff Directory'!$A$5:$A$594,MATCH($C625,'Staff Directory'!$B$5:$B$594,0)),"⚠ unknown staff"))</f>
        <v>RN-045-A1</v>
      </c>
      <c r="C625" s="49" t="s">
        <v>968</v>
      </c>
      <c r="D625" s="19" t="str">
        <f>IF($B625="","",IFERROR(INDEX('Staff Directory'!$C$5:$C$594,MATCH($B625,'Staff Directory'!$A$5:$A$594,0)),""))</f>
        <v>RN</v>
      </c>
      <c r="E625" s="19" t="str">
        <f>IF($B625="","",IFERROR(INDEX('Staff Directory'!$D$5:$D$594,MATCH($B625,'Staff Directory'!$A$5:$A$594,0)),""))</f>
        <v>A1</v>
      </c>
      <c r="F625" s="9" t="s">
        <v>757</v>
      </c>
      <c r="G625" s="18" t="str">
        <f>IF($F625="","",IFERROR(INDEX(Items!$B$5:$B$597,MATCH($F625,Items!$A$5:$A$597,0)),"⚠ not in Items"))</f>
        <v>Documents</v>
      </c>
      <c r="H625" s="19" t="str">
        <f>IF($F625="","",IFERROR(INDEX(Items!$C$5:$C$597,MATCH($F625,Items!$A$5:$A$597,0)),""))</f>
        <v>Standard</v>
      </c>
      <c r="I625" s="23">
        <f>IF($F625="","",IFERROR(INDEX(Items!$E$5:$E$597,MATCH($F625,Items!$A$5:$A$597,0)),""))</f>
        <v>10</v>
      </c>
      <c r="J625" s="115">
        <f>IF(tblIssues[[#This Row],[Qty Override]]&lt;&gt;"",tblIssues[[#This Row],[Qty Override]],IF(tblIssues[[#This Row],[Standard Issue]]="","",tblIssues[[#This Row],[Standard Issue]]))</f>
        <v>10</v>
      </c>
      <c r="K625" s="20">
        <f>IF($F625="","",IFERROR(INDEX(Items!$D$5:$D$597,MATCH($F625,Items!$A$5:$A$597,0)),""))</f>
        <v>0</v>
      </c>
      <c r="L625" s="21">
        <f t="shared" si="105"/>
        <v>0</v>
      </c>
      <c r="M625" s="9" t="str">
        <f t="shared" si="106"/>
        <v/>
      </c>
      <c r="N625" s="24">
        <f>IF($A625="","",WORKDAY($A625,Settings!$C$9,HolidayDates))</f>
        <v>46160</v>
      </c>
      <c r="O625" s="24">
        <f>IF($N625="","",WORKDAY($N625,Settings!$C$10,HolidayDates))</f>
        <v>46198</v>
      </c>
      <c r="P625" s="10" t="s">
        <v>502</v>
      </c>
      <c r="Q625" s="52" t="str">
        <f t="shared" si="108"/>
        <v>Collected</v>
      </c>
      <c r="R625" s="55" t="str">
        <f t="shared" si="109"/>
        <v>2026-05</v>
      </c>
      <c r="S625" s="55">
        <f>IF(OR($B625="",$F625="",$R625=""),"",SUMIFS(tblIssues[Qty Issued],tblIssues[Staff ID],$B625,tblIssues[Item Name],$F625,tblIssues[Month],$R625))</f>
        <v>10</v>
      </c>
      <c r="T625" s="56">
        <f>IF($I625="","",$I625*Settings!$C$11)</f>
        <v>10</v>
      </c>
      <c r="U625" s="57" t="str">
        <f t="shared" si="107"/>
        <v>OK</v>
      </c>
      <c r="V625" s="55" t="str">
        <f t="shared" si="110"/>
        <v/>
      </c>
      <c r="W625" s="55" t="str">
        <f>IF($V625="","",IF(COUNTIF($V$5:$V625,$V625)=1,1,""))</f>
        <v/>
      </c>
      <c r="X625" s="58" t="str">
        <f>IF($W625="","",MAX($X$4:X624)+1)</f>
        <v/>
      </c>
      <c r="Y625" s="62"/>
      <c r="Z625" s="62"/>
      <c r="AA625" s="64" t="str">
        <f>IF($C625="","",IFERROR(INDEX('Staff Directory'!$E$5:$E$594,MATCH($C625,'Staff Directory'!$B$5:$B$594,0)),""))</f>
        <v>firstname052.lastname052@example.com</v>
      </c>
      <c r="AB625" s="64" t="str">
        <f>IF($C625="","",IF(ISNUMBER(SEARCH($D625,Settings!$C$15)),"Pickup","Dispatch"))</f>
        <v>Dispatch</v>
      </c>
      <c r="AC625" s="64" t="str">
        <f t="shared" si="111"/>
        <v>Supply order dispatched</v>
      </c>
      <c r="AD625" s="64" t="str">
        <f t="shared" si="102"/>
        <v>Dear RN,
Your order has been dispatched and is in transit. Reply if undelivered.</v>
      </c>
      <c r="AE625" s="64" t="str">
        <f t="shared" si="103"/>
        <v>mailto:firstname052.lastname052@example.com?subject=Supply%20order%20dispatched&amp;body=Dear%20RN%2C%0A%0AYour%20order%20has%20been%20dispatched%20and%20is%20in%20transit.%20Reply%20if%20undelivered.</v>
      </c>
      <c r="AF625" s="89" t="str">
        <f t="shared" si="112"/>
        <v>Draft email</v>
      </c>
      <c r="AG625" s="64" t="str">
        <f>IF($C625="","",IFERROR(INDEX('Staff Directory'!$K$595:$K$599,MATCH($C625,'Staff Directory'!$B$5:$B$599,0)),$D625))</f>
        <v>RN</v>
      </c>
      <c r="AH625" t="str">
        <f>IF($C625="","",IFERROR(INDEX('Staff Directory'!$I$595:$I$599,MATCH($C625,'Staff Directory'!$B$5:$B$599,0))&amp;" "&amp;INDEX('Staff Directory'!$J$595:$J$599,MATCH($C625,'Staff Directory'!$B$5:$B$599,0)),$AG625))</f>
        <v>RN</v>
      </c>
      <c r="AI625" s="102"/>
      <c r="AJ625" s="101">
        <f>IF($F625="","",SUMIFS($J$5:$J625,$F$5:$F625,$F625))</f>
        <v>400</v>
      </c>
      <c r="AK625" s="101">
        <f t="shared" si="104"/>
        <v>391</v>
      </c>
      <c r="AL625" s="66" t="str" cm="1">
        <f t="array" ref="AL625">IF($F625="","",IFERROR(INDEX('Lot Balance'!$B$5:$B$500,MATCH(1,INDEX(('Lot Balance'!$A$5:$A$500=$F625)*('Lot Balance'!$K$5:$K$500&lt;$AK625)*('Lot Balance'!$K$5:$K$500+'Lot Balance'!$D$5:$D$500&gt;=$AK625),0),0)),""))</f>
        <v/>
      </c>
      <c r="AM625" s="66" t="str" cm="1">
        <f t="array" ref="AM625">IF($F625="","",IFERROR(INDEX('Lot Balance'!$B$5:$B$500,MATCH(1,INDEX(('Lot Balance'!$A$5:$A$500=$F625)*('Lot Balance'!$K$5:$K$500&lt;$AJ625)*('Lot Balance'!$K$5:$K$500+'Lot Balance'!$D$5:$D$500&gt;=$AJ625),0),0)),""))</f>
        <v/>
      </c>
      <c r="AN625" s="66" t="str">
        <f>IF($F625="","",IF($AI625&lt;&gt;"",IF(COUNTIFS('Lot Balance'!$A$5:$A$500,$F625,'Lot Balance'!$B$5:$B$500,$AI625)=0,"⚠ override is not a lot of this item",IF($AI625=$AL625,"Override = FEFO","Override - FEFO says "&amp;$AL625)),IF($AL625="","⚠ no receipt on file for this item",IF($AM625&lt;&gt;$AL625,"FEFO auto - split, also "&amp;$AM625,"FEFO auto"))))</f>
        <v>⚠ no receipt on file for this item</v>
      </c>
      <c r="AO625" s="114"/>
    </row>
    <row r="626" spans="1:41" x14ac:dyDescent="0.35">
      <c r="A626" s="74">
        <v>46150</v>
      </c>
      <c r="B626" s="18" t="str">
        <f>IF($C626="","",IFERROR(INDEX('Staff Directory'!$A$5:$A$594,MATCH($C626,'Staff Directory'!$B$5:$B$594,0)),"⚠ unknown staff"))</f>
        <v>PSW-149-A5</v>
      </c>
      <c r="C626" s="49" t="s">
        <v>1128</v>
      </c>
      <c r="D626" s="19" t="str">
        <f>IF($B626="","",IFERROR(INDEX('Staff Directory'!$C$5:$C$594,MATCH($B626,'Staff Directory'!$A$5:$A$594,0)),""))</f>
        <v>PSW</v>
      </c>
      <c r="E626" s="19" t="str">
        <f>IF($B626="","",IFERROR(INDEX('Staff Directory'!$D$5:$D$594,MATCH($B626,'Staff Directory'!$A$5:$A$594,0)),""))</f>
        <v>A5</v>
      </c>
      <c r="F626" s="9" t="s">
        <v>129</v>
      </c>
      <c r="G626" s="18" t="str">
        <f>IF($F626="","",IFERROR(INDEX(Items!$B$5:$B$597,MATCH($F626,Items!$A$5:$A$597,0)),"⚠ not in Items"))</f>
        <v>Gloves</v>
      </c>
      <c r="H626" s="19" t="str">
        <f>IF($F626="","",IFERROR(INDEX(Items!$C$5:$C$597,MATCH($F626,Items!$A$5:$A$597,0)),""))</f>
        <v>Small</v>
      </c>
      <c r="I626" s="23">
        <f>IF($F626="","",IFERROR(INDEX(Items!$E$5:$E$597,MATCH($F626,Items!$A$5:$A$597,0)),""))</f>
        <v>500</v>
      </c>
      <c r="J626" s="115">
        <f>IF(tblIssues[[#This Row],[Qty Override]]&lt;&gt;"",tblIssues[[#This Row],[Qty Override]],IF(tblIssues[[#This Row],[Standard Issue]]="","",tblIssues[[#This Row],[Standard Issue]]))</f>
        <v>500</v>
      </c>
      <c r="K626" s="20">
        <f>IF($F626="","",IFERROR(INDEX(Items!$D$5:$D$597,MATCH($F626,Items!$A$5:$A$597,0)),""))</f>
        <v>5.5E-2</v>
      </c>
      <c r="L626" s="21">
        <f t="shared" si="105"/>
        <v>27.5</v>
      </c>
      <c r="M626" s="9" t="str">
        <f t="shared" si="106"/>
        <v>O210LIC25</v>
      </c>
      <c r="N626" s="24">
        <f>IF($A626="","",WORKDAY($A626,Settings!$C$9,HolidayDates))</f>
        <v>46160</v>
      </c>
      <c r="O626" s="24">
        <f>IF($N626="","",WORKDAY($N626,Settings!$C$10,HolidayDates))</f>
        <v>46198</v>
      </c>
      <c r="P626" s="10" t="s">
        <v>501</v>
      </c>
      <c r="Q626" s="52" t="str">
        <f t="shared" si="108"/>
        <v>Collected</v>
      </c>
      <c r="R626" s="55" t="str">
        <f t="shared" si="109"/>
        <v>2026-05</v>
      </c>
      <c r="S626" s="55">
        <f>IF(OR($B626="",$F626="",$R626=""),"",SUMIFS(tblIssues[Qty Issued],tblIssues[Staff ID],$B626,tblIssues[Item Name],$F626,tblIssues[Month],$R626))</f>
        <v>500</v>
      </c>
      <c r="T626" s="56">
        <f>IF($I626="","",$I626*Settings!$C$11)</f>
        <v>500</v>
      </c>
      <c r="U626" s="57" t="str">
        <f t="shared" si="107"/>
        <v>OK</v>
      </c>
      <c r="V626" s="55" t="str">
        <f t="shared" si="110"/>
        <v/>
      </c>
      <c r="W626" s="55" t="str">
        <f>IF($V626="","",IF(COUNTIF($V$5:$V626,$V626)=1,1,""))</f>
        <v/>
      </c>
      <c r="X626" s="58" t="str">
        <f>IF($W626="","",MAX($X$4:X625)+1)</f>
        <v/>
      </c>
      <c r="Y626" s="62"/>
      <c r="Z626" s="62"/>
      <c r="AA626" s="64" t="str">
        <f>IF($C626="","",IFERROR(INDEX('Staff Directory'!$E$5:$E$594,MATCH($C626,'Staff Directory'!$B$5:$B$594,0)),""))</f>
        <v>firstname212.lastname212@example.com</v>
      </c>
      <c r="AB626" s="64" t="str">
        <f>IF($C626="","",IF(ISNUMBER(SEARCH($D626,Settings!$C$15)),"Pickup","Dispatch"))</f>
        <v>Pickup</v>
      </c>
      <c r="AC626" s="64" t="str">
        <f t="shared" si="111"/>
        <v>Supply order ready for pickup</v>
      </c>
      <c r="AD626" s="64" t="str">
        <f t="shared" si="102"/>
        <v>Dear PSW,
Your order is ready for pickup from Sample Branch, Wed-Fri 9am-4pm.</v>
      </c>
      <c r="AE626" s="64" t="str">
        <f t="shared" si="103"/>
        <v>mailto:firstname212.lastname212@example.com?subject=Supply%20order%20ready%20for%20pickup&amp;body=Dear%20PSW%2C%0A%0AYour%20order%20is%20ready%20for%20pickup%20from%20Sample%20Branch%2C%20Wed-Fri%209am-4pm.</v>
      </c>
      <c r="AF626" s="89" t="str">
        <f t="shared" si="112"/>
        <v>Draft email</v>
      </c>
      <c r="AG626" s="64" t="str">
        <f>IF($C626="","",IFERROR(INDEX('Staff Directory'!$K$595:$K$599,MATCH($C626,'Staff Directory'!$B$5:$B$599,0)),$D626))</f>
        <v>PSW</v>
      </c>
      <c r="AH626" t="str">
        <f>IF($C626="","",IFERROR(INDEX('Staff Directory'!$I$595:$I$599,MATCH($C626,'Staff Directory'!$B$5:$B$599,0))&amp;" "&amp;INDEX('Staff Directory'!$J$595:$J$599,MATCH($C626,'Staff Directory'!$B$5:$B$599,0)),$AG626))</f>
        <v>PSW</v>
      </c>
      <c r="AI626" s="102"/>
      <c r="AJ626" s="101">
        <f>IF($F626="","",SUMIFS($J$5:$J626,$F$5:$F626,$F626))</f>
        <v>22500</v>
      </c>
      <c r="AK626" s="101">
        <f t="shared" si="104"/>
        <v>22001</v>
      </c>
      <c r="AL626" s="66" t="str" cm="1">
        <f t="array" ref="AL626">IF($F626="","",IFERROR(INDEX('Lot Balance'!$B$5:$B$500,MATCH(1,INDEX(('Lot Balance'!$A$5:$A$500=$F626)*('Lot Balance'!$K$5:$K$500&lt;$AK626)*('Lot Balance'!$K$5:$K$500+'Lot Balance'!$D$5:$D$500&gt;=$AK626),0),0)),""))</f>
        <v>O210LIC25</v>
      </c>
      <c r="AM626" s="66" t="str" cm="1">
        <f t="array" ref="AM626">IF($F626="","",IFERROR(INDEX('Lot Balance'!$B$5:$B$500,MATCH(1,INDEX(('Lot Balance'!$A$5:$A$500=$F626)*('Lot Balance'!$K$5:$K$500&lt;$AJ626)*('Lot Balance'!$K$5:$K$500+'Lot Balance'!$D$5:$D$500&gt;=$AJ626),0),0)),""))</f>
        <v>O211LIC25-0</v>
      </c>
      <c r="AN626" s="66" t="str">
        <f>IF($F626="","",IF($AI626&lt;&gt;"",IF(COUNTIFS('Lot Balance'!$A$5:$A$500,$F626,'Lot Balance'!$B$5:$B$500,$AI626)=0,"⚠ override is not a lot of this item",IF($AI626=$AL626,"Override = FEFO","Override - FEFO says "&amp;$AL626)),IF($AL626="","⚠ no receipt on file for this item",IF($AM626&lt;&gt;$AL626,"FEFO auto - split, also "&amp;$AM626,"FEFO auto"))))</f>
        <v>FEFO auto - split, also O211LIC25-0</v>
      </c>
      <c r="AO626" s="114"/>
    </row>
    <row r="627" spans="1:41" x14ac:dyDescent="0.35">
      <c r="A627" s="74">
        <v>46150</v>
      </c>
      <c r="B627" s="18" t="str">
        <f>IF($C627="","",IFERROR(INDEX('Staff Directory'!$A$5:$A$594,MATCH($C627,'Staff Directory'!$B$5:$B$594,0)),"⚠ unknown staff"))</f>
        <v>PSW-149-A5</v>
      </c>
      <c r="C627" s="49" t="s">
        <v>1128</v>
      </c>
      <c r="D627" s="19" t="str">
        <f>IF($B627="","",IFERROR(INDEX('Staff Directory'!$C$5:$C$594,MATCH($B627,'Staff Directory'!$A$5:$A$594,0)),""))</f>
        <v>PSW</v>
      </c>
      <c r="E627" s="19" t="str">
        <f>IF($B627="","",IFERROR(INDEX('Staff Directory'!$D$5:$D$594,MATCH($B627,'Staff Directory'!$A$5:$A$594,0)),""))</f>
        <v>A5</v>
      </c>
      <c r="F627" s="9" t="s">
        <v>115</v>
      </c>
      <c r="G627" s="18" t="str">
        <f>IF($F627="","",IFERROR(INDEX(Items!$B$5:$B$597,MATCH($F627,Items!$A$5:$A$597,0)),"⚠ not in Items"))</f>
        <v>Wipes</v>
      </c>
      <c r="H627" s="19">
        <f>IF($F627="","",IFERROR(INDEX(Items!$C$5:$C$597,MATCH($F627,Items!$A$5:$A$597,0)),""))</f>
        <v>80</v>
      </c>
      <c r="I627" s="23">
        <f>IF($F627="","",IFERROR(INDEX(Items!$E$5:$E$597,MATCH($F627,Items!$A$5:$A$597,0)),""))</f>
        <v>80</v>
      </c>
      <c r="J627" s="115">
        <f>IF(tblIssues[[#This Row],[Qty Override]]&lt;&gt;"",tblIssues[[#This Row],[Qty Override]],IF(tblIssues[[#This Row],[Standard Issue]]="","",tblIssues[[#This Row],[Standard Issue]]))</f>
        <v>80</v>
      </c>
      <c r="K627" s="20">
        <f>IF($F627="","",IFERROR(INDEX(Items!$D$5:$D$597,MATCH($F627,Items!$A$5:$A$597,0)),""))</f>
        <v>0.1</v>
      </c>
      <c r="L627" s="21">
        <f t="shared" si="105"/>
        <v>8</v>
      </c>
      <c r="M627" s="9" t="str">
        <f t="shared" si="106"/>
        <v>LYSL500290</v>
      </c>
      <c r="N627" s="24">
        <f>IF($A627="","",WORKDAY($A627,Settings!$C$9,HolidayDates))</f>
        <v>46160</v>
      </c>
      <c r="O627" s="24">
        <f>IF($N627="","",WORKDAY($N627,Settings!$C$10,HolidayDates))</f>
        <v>46198</v>
      </c>
      <c r="P627" s="10" t="s">
        <v>501</v>
      </c>
      <c r="Q627" s="52" t="str">
        <f t="shared" si="108"/>
        <v>Collected</v>
      </c>
      <c r="R627" s="55" t="str">
        <f t="shared" si="109"/>
        <v>2026-05</v>
      </c>
      <c r="S627" s="55">
        <f>IF(OR($B627="",$F627="",$R627=""),"",SUMIFS(tblIssues[Qty Issued],tblIssues[Staff ID],$B627,tblIssues[Item Name],$F627,tblIssues[Month],$R627))</f>
        <v>80</v>
      </c>
      <c r="T627" s="56">
        <f>IF($I627="","",$I627*Settings!$C$11)</f>
        <v>80</v>
      </c>
      <c r="U627" s="57" t="str">
        <f t="shared" si="107"/>
        <v>OK</v>
      </c>
      <c r="V627" s="55" t="str">
        <f t="shared" si="110"/>
        <v/>
      </c>
      <c r="W627" s="55" t="str">
        <f>IF($V627="","",IF(COUNTIF($V$5:$V627,$V627)=1,1,""))</f>
        <v/>
      </c>
      <c r="X627" s="58" t="str">
        <f>IF($W627="","",MAX($X$4:X626)+1)</f>
        <v/>
      </c>
      <c r="Y627" s="62"/>
      <c r="Z627" s="62"/>
      <c r="AA627" s="64" t="str">
        <f>IF($C627="","",IFERROR(INDEX('Staff Directory'!$E$5:$E$594,MATCH($C627,'Staff Directory'!$B$5:$B$594,0)),""))</f>
        <v>firstname212.lastname212@example.com</v>
      </c>
      <c r="AB627" s="64" t="str">
        <f>IF($C627="","",IF(ISNUMBER(SEARCH($D627,Settings!$C$15)),"Pickup","Dispatch"))</f>
        <v>Pickup</v>
      </c>
      <c r="AC627" s="64" t="str">
        <f t="shared" si="111"/>
        <v>Supply order ready for pickup</v>
      </c>
      <c r="AD627" s="64" t="str">
        <f t="shared" si="102"/>
        <v>Dear PSW,
Your order is ready for pickup from Sample Branch, Wed-Fri 9am-4pm.</v>
      </c>
      <c r="AE627" s="64" t="str">
        <f t="shared" si="103"/>
        <v>mailto:firstname212.lastname212@example.com?subject=Supply%20order%20ready%20for%20pickup&amp;body=Dear%20PSW%2C%0A%0AYour%20order%20is%20ready%20for%20pickup%20from%20Sample%20Branch%2C%20Wed-Fri%209am-4pm.</v>
      </c>
      <c r="AF627" s="89" t="str">
        <f t="shared" si="112"/>
        <v>Draft email</v>
      </c>
      <c r="AG627" s="64" t="str">
        <f>IF($C627="","",IFERROR(INDEX('Staff Directory'!$K$595:$K$599,MATCH($C627,'Staff Directory'!$B$5:$B$599,0)),$D627))</f>
        <v>PSW</v>
      </c>
      <c r="AH627" t="str">
        <f>IF($C627="","",IFERROR(INDEX('Staff Directory'!$I$595:$I$599,MATCH($C627,'Staff Directory'!$B$5:$B$599,0))&amp;" "&amp;INDEX('Staff Directory'!$J$595:$J$599,MATCH($C627,'Staff Directory'!$B$5:$B$599,0)),$AG627))</f>
        <v>PSW</v>
      </c>
      <c r="AI627" s="102"/>
      <c r="AJ627" s="101">
        <f>IF($F627="","",SUMIFS($J$5:$J627,$F$5:$F627,$F627))</f>
        <v>8800</v>
      </c>
      <c r="AK627" s="101">
        <f t="shared" si="104"/>
        <v>8721</v>
      </c>
      <c r="AL627" s="66" t="str" cm="1">
        <f t="array" ref="AL627">IF($F627="","",IFERROR(INDEX('Lot Balance'!$B$5:$B$500,MATCH(1,INDEX(('Lot Balance'!$A$5:$A$500=$F627)*('Lot Balance'!$K$5:$K$500&lt;$AK627)*('Lot Balance'!$K$5:$K$500+'Lot Balance'!$D$5:$D$500&gt;=$AK627),0),0)),""))</f>
        <v>LYSL500290</v>
      </c>
      <c r="AM627" s="66" t="str" cm="1">
        <f t="array" ref="AM627">IF($F627="","",IFERROR(INDEX('Lot Balance'!$B$5:$B$500,MATCH(1,INDEX(('Lot Balance'!$A$5:$A$500=$F627)*('Lot Balance'!$K$5:$K$500&lt;$AJ627)*('Lot Balance'!$K$5:$K$500+'Lot Balance'!$D$5:$D$500&gt;=$AJ627),0),0)),""))</f>
        <v>LYSL500290</v>
      </c>
      <c r="AN627" s="66" t="str">
        <f>IF($F627="","",IF($AI627&lt;&gt;"",IF(COUNTIFS('Lot Balance'!$A$5:$A$500,$F627,'Lot Balance'!$B$5:$B$500,$AI627)=0,"⚠ override is not a lot of this item",IF($AI627=$AL627,"Override = FEFO","Override - FEFO says "&amp;$AL627)),IF($AL627="","⚠ no receipt on file for this item",IF($AM627&lt;&gt;$AL627,"FEFO auto - split, also "&amp;$AM627,"FEFO auto"))))</f>
        <v>FEFO auto</v>
      </c>
      <c r="AO627" s="114"/>
    </row>
    <row r="628" spans="1:41" x14ac:dyDescent="0.35">
      <c r="A628" s="74">
        <v>46150</v>
      </c>
      <c r="B628" s="18" t="str">
        <f>IF($C628="","",IFERROR(INDEX('Staff Directory'!$A$5:$A$594,MATCH($C628,'Staff Directory'!$B$5:$B$594,0)),"⚠ unknown staff"))</f>
        <v>PSW-149-A5</v>
      </c>
      <c r="C628" s="49" t="s">
        <v>1128</v>
      </c>
      <c r="D628" s="19" t="str">
        <f>IF($B628="","",IFERROR(INDEX('Staff Directory'!$C$5:$C$594,MATCH($B628,'Staff Directory'!$A$5:$A$594,0)),""))</f>
        <v>PSW</v>
      </c>
      <c r="E628" s="19" t="str">
        <f>IF($B628="","",IFERROR(INDEX('Staff Directory'!$D$5:$D$594,MATCH($B628,'Staff Directory'!$A$5:$A$594,0)),""))</f>
        <v>A5</v>
      </c>
      <c r="F628" s="9" t="s">
        <v>156</v>
      </c>
      <c r="G628" s="18" t="str">
        <f>IF($F628="","",IFERROR(INDEX(Items!$B$5:$B$597,MATCH($F628,Items!$A$5:$A$597,0)),"⚠ not in Items"))</f>
        <v>Masks</v>
      </c>
      <c r="H628" s="19" t="str">
        <f>IF($F628="","",IFERROR(INDEX(Items!$C$5:$C$597,MATCH($F628,Items!$A$5:$A$597,0)),""))</f>
        <v>One Size</v>
      </c>
      <c r="I628" s="23">
        <f>IF($F628="","",IFERROR(INDEX(Items!$E$5:$E$597,MATCH($F628,Items!$A$5:$A$597,0)),""))</f>
        <v>50</v>
      </c>
      <c r="J628" s="115">
        <f>IF(tblIssues[[#This Row],[Qty Override]]&lt;&gt;"",tblIssues[[#This Row],[Qty Override]],IF(tblIssues[[#This Row],[Standard Issue]]="","",tblIssues[[#This Row],[Standard Issue]]))</f>
        <v>50</v>
      </c>
      <c r="K628" s="20">
        <f>IF($F628="","",IFERROR(INDEX(Items!$D$5:$D$597,MATCH($F628,Items!$A$5:$A$597,0)),""))</f>
        <v>0.25</v>
      </c>
      <c r="L628" s="21">
        <f t="shared" si="105"/>
        <v>12.5</v>
      </c>
      <c r="M628" s="9" t="str">
        <f t="shared" si="106"/>
        <v>0125FPC24-0</v>
      </c>
      <c r="N628" s="24">
        <f>IF($A628="","",WORKDAY($A628,Settings!$C$9,HolidayDates))</f>
        <v>46160</v>
      </c>
      <c r="O628" s="24">
        <f>IF($N628="","",WORKDAY($N628,Settings!$C$10,HolidayDates))</f>
        <v>46198</v>
      </c>
      <c r="P628" s="10" t="s">
        <v>501</v>
      </c>
      <c r="Q628" s="52" t="str">
        <f t="shared" si="108"/>
        <v>Collected</v>
      </c>
      <c r="R628" s="55" t="str">
        <f t="shared" si="109"/>
        <v>2026-05</v>
      </c>
      <c r="S628" s="55">
        <f>IF(OR($B628="",$F628="",$R628=""),"",SUMIFS(tblIssues[Qty Issued],tblIssues[Staff ID],$B628,tblIssues[Item Name],$F628,tblIssues[Month],$R628))</f>
        <v>50</v>
      </c>
      <c r="T628" s="56">
        <f>IF($I628="","",$I628*Settings!$C$11)</f>
        <v>50</v>
      </c>
      <c r="U628" s="57" t="str">
        <f t="shared" si="107"/>
        <v>OK</v>
      </c>
      <c r="V628" s="55" t="str">
        <f t="shared" si="110"/>
        <v/>
      </c>
      <c r="W628" s="55" t="str">
        <f>IF($V628="","",IF(COUNTIF($V$5:$V628,$V628)=1,1,""))</f>
        <v/>
      </c>
      <c r="X628" s="58" t="str">
        <f>IF($W628="","",MAX($X$4:X627)+1)</f>
        <v/>
      </c>
      <c r="Y628" s="62"/>
      <c r="Z628" s="62"/>
      <c r="AA628" s="64" t="str">
        <f>IF($C628="","",IFERROR(INDEX('Staff Directory'!$E$5:$E$594,MATCH($C628,'Staff Directory'!$B$5:$B$594,0)),""))</f>
        <v>firstname212.lastname212@example.com</v>
      </c>
      <c r="AB628" s="64" t="str">
        <f>IF($C628="","",IF(ISNUMBER(SEARCH($D628,Settings!$C$15)),"Pickup","Dispatch"))</f>
        <v>Pickup</v>
      </c>
      <c r="AC628" s="64" t="str">
        <f t="shared" si="111"/>
        <v>Supply order ready for pickup</v>
      </c>
      <c r="AD628" s="64" t="str">
        <f t="shared" si="102"/>
        <v>Dear PSW,
Your order is ready for pickup from Sample Branch, Wed-Fri 9am-4pm.</v>
      </c>
      <c r="AE628" s="64" t="str">
        <f t="shared" si="103"/>
        <v>mailto:firstname212.lastname212@example.com?subject=Supply%20order%20ready%20for%20pickup&amp;body=Dear%20PSW%2C%0A%0AYour%20order%20is%20ready%20for%20pickup%20from%20Sample%20Branch%2C%20Wed-Fri%209am-4pm.</v>
      </c>
      <c r="AF628" s="89" t="str">
        <f t="shared" si="112"/>
        <v>Draft email</v>
      </c>
      <c r="AG628" s="64" t="str">
        <f>IF($C628="","",IFERROR(INDEX('Staff Directory'!$K$595:$K$599,MATCH($C628,'Staff Directory'!$B$5:$B$599,0)),$D628))</f>
        <v>PSW</v>
      </c>
      <c r="AH628" t="str">
        <f>IF($C628="","",IFERROR(INDEX('Staff Directory'!$I$595:$I$599,MATCH($C628,'Staff Directory'!$B$5:$B$599,0))&amp;" "&amp;INDEX('Staff Directory'!$J$595:$J$599,MATCH($C628,'Staff Directory'!$B$5:$B$599,0)),$AG628))</f>
        <v>PSW</v>
      </c>
      <c r="AI628" s="102"/>
      <c r="AJ628" s="101">
        <f>IF($F628="","",SUMIFS($J$5:$J628,$F$5:$F628,$F628))</f>
        <v>5050</v>
      </c>
      <c r="AK628" s="101">
        <f t="shared" si="104"/>
        <v>5001</v>
      </c>
      <c r="AL628" s="66" t="str" cm="1">
        <f t="array" ref="AL628">IF($F628="","",IFERROR(INDEX('Lot Balance'!$B$5:$B$500,MATCH(1,INDEX(('Lot Balance'!$A$5:$A$500=$F628)*('Lot Balance'!$K$5:$K$500&lt;$AK628)*('Lot Balance'!$K$5:$K$500+'Lot Balance'!$D$5:$D$500&gt;=$AK628),0),0)),""))</f>
        <v>0125FPC24-0</v>
      </c>
      <c r="AM628" s="66" t="str" cm="1">
        <f t="array" ref="AM628">IF($F628="","",IFERROR(INDEX('Lot Balance'!$B$5:$B$500,MATCH(1,INDEX(('Lot Balance'!$A$5:$A$500=$F628)*('Lot Balance'!$K$5:$K$500&lt;$AJ628)*('Lot Balance'!$K$5:$K$500+'Lot Balance'!$D$5:$D$500&gt;=$AJ628),0),0)),""))</f>
        <v>0125FPC24-0</v>
      </c>
      <c r="AN628" s="66" t="str">
        <f>IF($F628="","",IF($AI628&lt;&gt;"",IF(COUNTIFS('Lot Balance'!$A$5:$A$500,$F628,'Lot Balance'!$B$5:$B$500,$AI628)=0,"⚠ override is not a lot of this item",IF($AI628=$AL628,"Override = FEFO","Override - FEFO says "&amp;$AL628)),IF($AL628="","⚠ no receipt on file for this item",IF($AM628&lt;&gt;$AL628,"FEFO auto - split, also "&amp;$AM628,"FEFO auto"))))</f>
        <v>FEFO auto</v>
      </c>
      <c r="AO628" s="114"/>
    </row>
    <row r="629" spans="1:41" x14ac:dyDescent="0.35">
      <c r="A629" s="74">
        <v>46150</v>
      </c>
      <c r="B629" s="18" t="str">
        <f>IF($C629="","",IFERROR(INDEX('Staff Directory'!$A$5:$A$594,MATCH($C629,'Staff Directory'!$B$5:$B$594,0)),"⚠ unknown staff"))</f>
        <v>PSW-084-A5</v>
      </c>
      <c r="C629" s="49" t="s">
        <v>1060</v>
      </c>
      <c r="D629" s="19" t="str">
        <f>IF($B629="","",IFERROR(INDEX('Staff Directory'!$C$5:$C$594,MATCH($B629,'Staff Directory'!$A$5:$A$594,0)),""))</f>
        <v>PSW</v>
      </c>
      <c r="E629" s="19" t="str">
        <f>IF($B629="","",IFERROR(INDEX('Staff Directory'!$D$5:$D$594,MATCH($B629,'Staff Directory'!$A$5:$A$594,0)),""))</f>
        <v>A5</v>
      </c>
      <c r="F629" s="9" t="s">
        <v>127</v>
      </c>
      <c r="G629" s="18" t="str">
        <f>IF($F629="","",IFERROR(INDEX(Items!$B$5:$B$597,MATCH($F629,Items!$A$5:$A$597,0)),"⚠ not in Items"))</f>
        <v>Gloves</v>
      </c>
      <c r="H629" s="19" t="str">
        <f>IF($F629="","",IFERROR(INDEX(Items!$C$5:$C$597,MATCH($F629,Items!$A$5:$A$597,0)),""))</f>
        <v>Medium</v>
      </c>
      <c r="I629" s="23">
        <f>IF($F629="","",IFERROR(INDEX(Items!$E$5:$E$597,MATCH($F629,Items!$A$5:$A$597,0)),""))</f>
        <v>500</v>
      </c>
      <c r="J629" s="115">
        <f>IF(tblIssues[[#This Row],[Qty Override]]&lt;&gt;"",tblIssues[[#This Row],[Qty Override]],IF(tblIssues[[#This Row],[Standard Issue]]="","",tblIssues[[#This Row],[Standard Issue]]))</f>
        <v>500</v>
      </c>
      <c r="K629" s="20">
        <f>IF($F629="","",IFERROR(INDEX(Items!$D$5:$D$597,MATCH($F629,Items!$A$5:$A$597,0)),""))</f>
        <v>5.5E-2</v>
      </c>
      <c r="L629" s="21">
        <f t="shared" si="105"/>
        <v>27.5</v>
      </c>
      <c r="M629" s="9" t="str">
        <f t="shared" si="106"/>
        <v>O16689</v>
      </c>
      <c r="N629" s="24">
        <f>IF($A629="","",WORKDAY($A629,Settings!$C$9,HolidayDates))</f>
        <v>46160</v>
      </c>
      <c r="O629" s="24">
        <f>IF($N629="","",WORKDAY($N629,Settings!$C$10,HolidayDates))</f>
        <v>46198</v>
      </c>
      <c r="P629" s="10" t="s">
        <v>501</v>
      </c>
      <c r="Q629" s="52" t="str">
        <f t="shared" si="108"/>
        <v>Collected</v>
      </c>
      <c r="R629" s="55" t="str">
        <f t="shared" si="109"/>
        <v>2026-05</v>
      </c>
      <c r="S629" s="55">
        <f>IF(OR($B629="",$F629="",$R629=""),"",SUMIFS(tblIssues[Qty Issued],tblIssues[Staff ID],$B629,tblIssues[Item Name],$F629,tblIssues[Month],$R629))</f>
        <v>500</v>
      </c>
      <c r="T629" s="56">
        <f>IF($I629="","",$I629*Settings!$C$11)</f>
        <v>500</v>
      </c>
      <c r="U629" s="57" t="str">
        <f t="shared" si="107"/>
        <v>OK</v>
      </c>
      <c r="V629" s="55" t="str">
        <f t="shared" si="110"/>
        <v/>
      </c>
      <c r="W629" s="55" t="str">
        <f>IF($V629="","",IF(COUNTIF($V$5:$V629,$V629)=1,1,""))</f>
        <v/>
      </c>
      <c r="X629" s="58" t="str">
        <f>IF($W629="","",MAX($X$4:X628)+1)</f>
        <v/>
      </c>
      <c r="Y629" s="62"/>
      <c r="Z629" s="62"/>
      <c r="AA629" s="64" t="str">
        <f>IF($C629="","",IFERROR(INDEX('Staff Directory'!$E$5:$E$594,MATCH($C629,'Staff Directory'!$B$5:$B$594,0)),""))</f>
        <v>firstname144.lastname144@example.com</v>
      </c>
      <c r="AB629" s="64" t="str">
        <f>IF($C629="","",IF(ISNUMBER(SEARCH($D629,Settings!$C$15)),"Pickup","Dispatch"))</f>
        <v>Pickup</v>
      </c>
      <c r="AC629" s="64" t="str">
        <f t="shared" si="111"/>
        <v>Supply order ready for pickup</v>
      </c>
      <c r="AD629" s="64" t="str">
        <f t="shared" si="102"/>
        <v>Dear PSW,
Your order is ready for pickup from Sample Branch, Wed-Fri 9am-4pm.</v>
      </c>
      <c r="AE629" s="64" t="str">
        <f t="shared" si="103"/>
        <v>mailto:firstname144.lastname144@example.com?subject=Supply%20order%20ready%20for%20pickup&amp;body=Dear%20PSW%2C%0A%0AYour%20order%20is%20ready%20for%20pickup%20from%20Sample%20Branch%2C%20Wed-Fri%209am-4pm.</v>
      </c>
      <c r="AF629" s="89" t="str">
        <f t="shared" si="112"/>
        <v>Draft email</v>
      </c>
      <c r="AG629" s="64" t="str">
        <f>IF($C629="","",IFERROR(INDEX('Staff Directory'!$K$595:$K$599,MATCH($C629,'Staff Directory'!$B$5:$B$599,0)),$D629))</f>
        <v>PSW</v>
      </c>
      <c r="AH629" t="str">
        <f>IF($C629="","",IFERROR(INDEX('Staff Directory'!$I$595:$I$599,MATCH($C629,'Staff Directory'!$B$5:$B$599,0))&amp;" "&amp;INDEX('Staff Directory'!$J$595:$J$599,MATCH($C629,'Staff Directory'!$B$5:$B$599,0)),$AG629))</f>
        <v>PSW</v>
      </c>
      <c r="AI629" s="102"/>
      <c r="AJ629" s="101">
        <f>IF($F629="","",SUMIFS($J$5:$J629,$F$5:$F629,$F629))</f>
        <v>35000</v>
      </c>
      <c r="AK629" s="101">
        <f t="shared" si="104"/>
        <v>34501</v>
      </c>
      <c r="AL629" s="66" t="str" cm="1">
        <f t="array" ref="AL629">IF($F629="","",IFERROR(INDEX('Lot Balance'!$B$5:$B$500,MATCH(1,INDEX(('Lot Balance'!$A$5:$A$500=$F629)*('Lot Balance'!$K$5:$K$500&lt;$AK629)*('Lot Balance'!$K$5:$K$500+'Lot Balance'!$D$5:$D$500&gt;=$AK629),0),0)),""))</f>
        <v>O16689</v>
      </c>
      <c r="AM629" s="66" t="str" cm="1">
        <f t="array" ref="AM629">IF($F629="","",IFERROR(INDEX('Lot Balance'!$B$5:$B$500,MATCH(1,INDEX(('Lot Balance'!$A$5:$A$500=$F629)*('Lot Balance'!$K$5:$K$500&lt;$AJ629)*('Lot Balance'!$K$5:$K$500+'Lot Balance'!$D$5:$D$500&gt;=$AJ629),0),0)),""))</f>
        <v>O16689</v>
      </c>
      <c r="AN629" s="66" t="str">
        <f>IF($F629="","",IF($AI629&lt;&gt;"",IF(COUNTIFS('Lot Balance'!$A$5:$A$500,$F629,'Lot Balance'!$B$5:$B$500,$AI629)=0,"⚠ override is not a lot of this item",IF($AI629=$AL629,"Override = FEFO","Override - FEFO says "&amp;$AL629)),IF($AL629="","⚠ no receipt on file for this item",IF($AM629&lt;&gt;$AL629,"FEFO auto - split, also "&amp;$AM629,"FEFO auto"))))</f>
        <v>FEFO auto</v>
      </c>
      <c r="AO629" s="114"/>
    </row>
    <row r="630" spans="1:41" x14ac:dyDescent="0.35">
      <c r="A630" s="74">
        <v>46150</v>
      </c>
      <c r="B630" s="18" t="str">
        <f>IF($C630="","",IFERROR(INDEX('Staff Directory'!$A$5:$A$594,MATCH($C630,'Staff Directory'!$B$5:$B$594,0)),"⚠ unknown staff"))</f>
        <v>PSW-084-A5</v>
      </c>
      <c r="C630" s="49" t="s">
        <v>1060</v>
      </c>
      <c r="D630" s="19" t="str">
        <f>IF($B630="","",IFERROR(INDEX('Staff Directory'!$C$5:$C$594,MATCH($B630,'Staff Directory'!$A$5:$A$594,0)),""))</f>
        <v>PSW</v>
      </c>
      <c r="E630" s="19" t="str">
        <f>IF($B630="","",IFERROR(INDEX('Staff Directory'!$D$5:$D$594,MATCH($B630,'Staff Directory'!$A$5:$A$594,0)),""))</f>
        <v>A5</v>
      </c>
      <c r="F630" s="9" t="s">
        <v>191</v>
      </c>
      <c r="G630" s="18" t="str">
        <f>IF($F630="","",IFERROR(INDEX(Items!$B$5:$B$597,MATCH($F630,Items!$A$5:$A$597,0)),"⚠ not in Items"))</f>
        <v>Sanitizer</v>
      </c>
      <c r="H630" s="19" t="str">
        <f>IF($F630="","",IFERROR(INDEX(Items!$C$5:$C$597,MATCH($F630,Items!$A$5:$A$597,0)),""))</f>
        <v>236 ML</v>
      </c>
      <c r="I630" s="23">
        <f>IF($F630="","",IFERROR(INDEX(Items!$E$5:$E$597,MATCH($F630,Items!$A$5:$A$597,0)),""))</f>
        <v>1</v>
      </c>
      <c r="J630" s="115">
        <f>IF(tblIssues[[#This Row],[Qty Override]]&lt;&gt;"",tblIssues[[#This Row],[Qty Override]],IF(tblIssues[[#This Row],[Standard Issue]]="","",tblIssues[[#This Row],[Standard Issue]]))</f>
        <v>1</v>
      </c>
      <c r="K630" s="20">
        <f>IF($F630="","",IFERROR(INDEX(Items!$D$5:$D$597,MATCH($F630,Items!$A$5:$A$597,0)),""))</f>
        <v>1E-4</v>
      </c>
      <c r="L630" s="21">
        <f t="shared" si="105"/>
        <v>1E-4</v>
      </c>
      <c r="M630" s="9" t="str">
        <f t="shared" si="106"/>
        <v>20-21734-2</v>
      </c>
      <c r="N630" s="24">
        <f>IF($A630="","",WORKDAY($A630,Settings!$C$9,HolidayDates))</f>
        <v>46160</v>
      </c>
      <c r="O630" s="24">
        <f>IF($N630="","",WORKDAY($N630,Settings!$C$10,HolidayDates))</f>
        <v>46198</v>
      </c>
      <c r="P630" s="10" t="s">
        <v>501</v>
      </c>
      <c r="Q630" s="52" t="str">
        <f t="shared" si="108"/>
        <v>Collected</v>
      </c>
      <c r="R630" s="55" t="str">
        <f t="shared" si="109"/>
        <v>2026-05</v>
      </c>
      <c r="S630" s="55">
        <f>IF(OR($B630="",$F630="",$R630=""),"",SUMIFS(tblIssues[Qty Issued],tblIssues[Staff ID],$B630,tblIssues[Item Name],$F630,tblIssues[Month],$R630))</f>
        <v>1</v>
      </c>
      <c r="T630" s="56">
        <f>IF($I630="","",$I630*Settings!$C$11)</f>
        <v>1</v>
      </c>
      <c r="U630" s="57" t="str">
        <f t="shared" si="107"/>
        <v>OK</v>
      </c>
      <c r="V630" s="55" t="str">
        <f t="shared" si="110"/>
        <v/>
      </c>
      <c r="W630" s="55" t="str">
        <f>IF($V630="","",IF(COUNTIF($V$5:$V630,$V630)=1,1,""))</f>
        <v/>
      </c>
      <c r="X630" s="58" t="str">
        <f>IF($W630="","",MAX($X$4:X629)+1)</f>
        <v/>
      </c>
      <c r="Y630" s="62"/>
      <c r="Z630" s="62"/>
      <c r="AA630" s="64" t="str">
        <f>IF($C630="","",IFERROR(INDEX('Staff Directory'!$E$5:$E$594,MATCH($C630,'Staff Directory'!$B$5:$B$594,0)),""))</f>
        <v>firstname144.lastname144@example.com</v>
      </c>
      <c r="AB630" s="64" t="str">
        <f>IF($C630="","",IF(ISNUMBER(SEARCH($D630,Settings!$C$15)),"Pickup","Dispatch"))</f>
        <v>Pickup</v>
      </c>
      <c r="AC630" s="64" t="str">
        <f t="shared" si="111"/>
        <v>Supply order ready for pickup</v>
      </c>
      <c r="AD630" s="64" t="str">
        <f t="shared" si="102"/>
        <v>Dear PSW,
Your order is ready for pickup from Sample Branch, Wed-Fri 9am-4pm.</v>
      </c>
      <c r="AE630" s="64" t="str">
        <f t="shared" si="103"/>
        <v>mailto:firstname144.lastname144@example.com?subject=Supply%20order%20ready%20for%20pickup&amp;body=Dear%20PSW%2C%0A%0AYour%20order%20is%20ready%20for%20pickup%20from%20Sample%20Branch%2C%20Wed-Fri%209am-4pm.</v>
      </c>
      <c r="AF630" s="89" t="str">
        <f t="shared" si="112"/>
        <v>Draft email</v>
      </c>
      <c r="AG630" s="64" t="str">
        <f>IF($C630="","",IFERROR(INDEX('Staff Directory'!$K$595:$K$599,MATCH($C630,'Staff Directory'!$B$5:$B$599,0)),$D630))</f>
        <v>PSW</v>
      </c>
      <c r="AH630" t="str">
        <f>IF($C630="","",IFERROR(INDEX('Staff Directory'!$I$595:$I$599,MATCH($C630,'Staff Directory'!$B$5:$B$599,0))&amp;" "&amp;INDEX('Staff Directory'!$J$595:$J$599,MATCH($C630,'Staff Directory'!$B$5:$B$599,0)),$AG630))</f>
        <v>PSW</v>
      </c>
      <c r="AI630" s="102"/>
      <c r="AJ630" s="101">
        <f>IF($F630="","",SUMIFS($J$5:$J630,$F$5:$F630,$F630))</f>
        <v>69</v>
      </c>
      <c r="AK630" s="101">
        <f t="shared" si="104"/>
        <v>69</v>
      </c>
      <c r="AL630" s="66" t="str" cm="1">
        <f t="array" ref="AL630">IF($F630="","",IFERROR(INDEX('Lot Balance'!$B$5:$B$500,MATCH(1,INDEX(('Lot Balance'!$A$5:$A$500=$F630)*('Lot Balance'!$K$5:$K$500&lt;$AK630)*('Lot Balance'!$K$5:$K$500+'Lot Balance'!$D$5:$D$500&gt;=$AK630),0),0)),""))</f>
        <v>20-21734-2</v>
      </c>
      <c r="AM630" s="66" t="str" cm="1">
        <f t="array" ref="AM630">IF($F630="","",IFERROR(INDEX('Lot Balance'!$B$5:$B$500,MATCH(1,INDEX(('Lot Balance'!$A$5:$A$500=$F630)*('Lot Balance'!$K$5:$K$500&lt;$AJ630)*('Lot Balance'!$K$5:$K$500+'Lot Balance'!$D$5:$D$500&gt;=$AJ630),0),0)),""))</f>
        <v>20-21734-2</v>
      </c>
      <c r="AN630" s="66" t="str">
        <f>IF($F630="","",IF($AI630&lt;&gt;"",IF(COUNTIFS('Lot Balance'!$A$5:$A$500,$F630,'Lot Balance'!$B$5:$B$500,$AI630)=0,"⚠ override is not a lot of this item",IF($AI630=$AL630,"Override = FEFO","Override - FEFO says "&amp;$AL630)),IF($AL630="","⚠ no receipt on file for this item",IF($AM630&lt;&gt;$AL630,"FEFO auto - split, also "&amp;$AM630,"FEFO auto"))))</f>
        <v>FEFO auto</v>
      </c>
      <c r="AO630" s="114"/>
    </row>
    <row r="631" spans="1:41" x14ac:dyDescent="0.35">
      <c r="A631" s="74">
        <v>46150</v>
      </c>
      <c r="B631" s="18" t="str">
        <f>IF($C631="","",IFERROR(INDEX('Staff Directory'!$A$5:$A$594,MATCH($C631,'Staff Directory'!$B$5:$B$594,0)),"⚠ unknown staff"))</f>
        <v>PSW-084-A5</v>
      </c>
      <c r="C631" s="49" t="s">
        <v>1060</v>
      </c>
      <c r="D631" s="19" t="str">
        <f>IF($B631="","",IFERROR(INDEX('Staff Directory'!$C$5:$C$594,MATCH($B631,'Staff Directory'!$A$5:$A$594,0)),""))</f>
        <v>PSW</v>
      </c>
      <c r="E631" s="19" t="str">
        <f>IF($B631="","",IFERROR(INDEX('Staff Directory'!$D$5:$D$594,MATCH($B631,'Staff Directory'!$A$5:$A$594,0)),""))</f>
        <v>A5</v>
      </c>
      <c r="F631" s="9" t="s">
        <v>115</v>
      </c>
      <c r="G631" s="18" t="str">
        <f>IF($F631="","",IFERROR(INDEX(Items!$B$5:$B$597,MATCH($F631,Items!$A$5:$A$597,0)),"⚠ not in Items"))</f>
        <v>Wipes</v>
      </c>
      <c r="H631" s="19">
        <f>IF($F631="","",IFERROR(INDEX(Items!$C$5:$C$597,MATCH($F631,Items!$A$5:$A$597,0)),""))</f>
        <v>80</v>
      </c>
      <c r="I631" s="23">
        <f>IF($F631="","",IFERROR(INDEX(Items!$E$5:$E$597,MATCH($F631,Items!$A$5:$A$597,0)),""))</f>
        <v>80</v>
      </c>
      <c r="J631" s="115">
        <f>IF(tblIssues[[#This Row],[Qty Override]]&lt;&gt;"",tblIssues[[#This Row],[Qty Override]],IF(tblIssues[[#This Row],[Standard Issue]]="","",tblIssues[[#This Row],[Standard Issue]]))</f>
        <v>80</v>
      </c>
      <c r="K631" s="20">
        <f>IF($F631="","",IFERROR(INDEX(Items!$D$5:$D$597,MATCH($F631,Items!$A$5:$A$597,0)),""))</f>
        <v>0.1</v>
      </c>
      <c r="L631" s="21">
        <f t="shared" si="105"/>
        <v>8</v>
      </c>
      <c r="M631" s="9" t="str">
        <f t="shared" si="106"/>
        <v>LYSL500290</v>
      </c>
      <c r="N631" s="24">
        <f>IF($A631="","",WORKDAY($A631,Settings!$C$9,HolidayDates))</f>
        <v>46160</v>
      </c>
      <c r="O631" s="24">
        <f>IF($N631="","",WORKDAY($N631,Settings!$C$10,HolidayDates))</f>
        <v>46198</v>
      </c>
      <c r="P631" s="10" t="s">
        <v>501</v>
      </c>
      <c r="Q631" s="52" t="str">
        <f t="shared" si="108"/>
        <v>Collected</v>
      </c>
      <c r="R631" s="55" t="str">
        <f t="shared" si="109"/>
        <v>2026-05</v>
      </c>
      <c r="S631" s="55">
        <f>IF(OR($B631="",$F631="",$R631=""),"",SUMIFS(tblIssues[Qty Issued],tblIssues[Staff ID],$B631,tblIssues[Item Name],$F631,tblIssues[Month],$R631))</f>
        <v>80</v>
      </c>
      <c r="T631" s="56">
        <f>IF($I631="","",$I631*Settings!$C$11)</f>
        <v>80</v>
      </c>
      <c r="U631" s="57" t="str">
        <f t="shared" si="107"/>
        <v>OK</v>
      </c>
      <c r="V631" s="55" t="str">
        <f t="shared" si="110"/>
        <v/>
      </c>
      <c r="W631" s="55" t="str">
        <f>IF($V631="","",IF(COUNTIF($V$5:$V631,$V631)=1,1,""))</f>
        <v/>
      </c>
      <c r="X631" s="58" t="str">
        <f>IF($W631="","",MAX($X$4:X630)+1)</f>
        <v/>
      </c>
      <c r="Y631" s="62"/>
      <c r="Z631" s="62"/>
      <c r="AA631" s="64" t="str">
        <f>IF($C631="","",IFERROR(INDEX('Staff Directory'!$E$5:$E$594,MATCH($C631,'Staff Directory'!$B$5:$B$594,0)),""))</f>
        <v>firstname144.lastname144@example.com</v>
      </c>
      <c r="AB631" s="64" t="str">
        <f>IF($C631="","",IF(ISNUMBER(SEARCH($D631,Settings!$C$15)),"Pickup","Dispatch"))</f>
        <v>Pickup</v>
      </c>
      <c r="AC631" s="64" t="str">
        <f t="shared" si="111"/>
        <v>Supply order ready for pickup</v>
      </c>
      <c r="AD631" s="64" t="str">
        <f t="shared" si="102"/>
        <v>Dear PSW,
Your order is ready for pickup from Sample Branch, Wed-Fri 9am-4pm.</v>
      </c>
      <c r="AE631" s="64" t="str">
        <f t="shared" si="103"/>
        <v>mailto:firstname144.lastname144@example.com?subject=Supply%20order%20ready%20for%20pickup&amp;body=Dear%20PSW%2C%0A%0AYour%20order%20is%20ready%20for%20pickup%20from%20Sample%20Branch%2C%20Wed-Fri%209am-4pm.</v>
      </c>
      <c r="AF631" s="89" t="str">
        <f t="shared" si="112"/>
        <v>Draft email</v>
      </c>
      <c r="AG631" s="64" t="str">
        <f>IF($C631="","",IFERROR(INDEX('Staff Directory'!$K$595:$K$599,MATCH($C631,'Staff Directory'!$B$5:$B$599,0)),$D631))</f>
        <v>PSW</v>
      </c>
      <c r="AH631" t="str">
        <f>IF($C631="","",IFERROR(INDEX('Staff Directory'!$I$595:$I$599,MATCH($C631,'Staff Directory'!$B$5:$B$599,0))&amp;" "&amp;INDEX('Staff Directory'!$J$595:$J$599,MATCH($C631,'Staff Directory'!$B$5:$B$599,0)),$AG631))</f>
        <v>PSW</v>
      </c>
      <c r="AI631" s="102"/>
      <c r="AJ631" s="101">
        <f>IF($F631="","",SUMIFS($J$5:$J631,$F$5:$F631,$F631))</f>
        <v>8880</v>
      </c>
      <c r="AK631" s="101">
        <f t="shared" si="104"/>
        <v>8801</v>
      </c>
      <c r="AL631" s="66" t="str" cm="1">
        <f t="array" ref="AL631">IF($F631="","",IFERROR(INDEX('Lot Balance'!$B$5:$B$500,MATCH(1,INDEX(('Lot Balance'!$A$5:$A$500=$F631)*('Lot Balance'!$K$5:$K$500&lt;$AK631)*('Lot Balance'!$K$5:$K$500+'Lot Balance'!$D$5:$D$500&gt;=$AK631),0),0)),""))</f>
        <v>LYSL500290</v>
      </c>
      <c r="AM631" s="66" t="str" cm="1">
        <f t="array" ref="AM631">IF($F631="","",IFERROR(INDEX('Lot Balance'!$B$5:$B$500,MATCH(1,INDEX(('Lot Balance'!$A$5:$A$500=$F631)*('Lot Balance'!$K$5:$K$500&lt;$AJ631)*('Lot Balance'!$K$5:$K$500+'Lot Balance'!$D$5:$D$500&gt;=$AJ631),0),0)),""))</f>
        <v>LYSL500290</v>
      </c>
      <c r="AN631" s="66" t="str">
        <f>IF($F631="","",IF($AI631&lt;&gt;"",IF(COUNTIFS('Lot Balance'!$A$5:$A$500,$F631,'Lot Balance'!$B$5:$B$500,$AI631)=0,"⚠ override is not a lot of this item",IF($AI631=$AL631,"Override = FEFO","Override - FEFO says "&amp;$AL631)),IF($AL631="","⚠ no receipt on file for this item",IF($AM631&lt;&gt;$AL631,"FEFO auto - split, also "&amp;$AM631,"FEFO auto"))))</f>
        <v>FEFO auto</v>
      </c>
      <c r="AO631" s="114"/>
    </row>
    <row r="632" spans="1:41" x14ac:dyDescent="0.35">
      <c r="A632" s="74">
        <v>46150</v>
      </c>
      <c r="B632" s="18" t="str">
        <f>IF($C632="","",IFERROR(INDEX('Staff Directory'!$A$5:$A$594,MATCH($C632,'Staff Directory'!$B$5:$B$594,0)),"⚠ unknown staff"))</f>
        <v>PSW-084-A5</v>
      </c>
      <c r="C632" s="49" t="s">
        <v>1060</v>
      </c>
      <c r="D632" s="19" t="str">
        <f>IF($B632="","",IFERROR(INDEX('Staff Directory'!$C$5:$C$594,MATCH($B632,'Staff Directory'!$A$5:$A$594,0)),""))</f>
        <v>PSW</v>
      </c>
      <c r="E632" s="19" t="str">
        <f>IF($B632="","",IFERROR(INDEX('Staff Directory'!$D$5:$D$594,MATCH($B632,'Staff Directory'!$A$5:$A$594,0)),""))</f>
        <v>A5</v>
      </c>
      <c r="F632" s="9" t="s">
        <v>156</v>
      </c>
      <c r="G632" s="18" t="str">
        <f>IF($F632="","",IFERROR(INDEX(Items!$B$5:$B$597,MATCH($F632,Items!$A$5:$A$597,0)),"⚠ not in Items"))</f>
        <v>Masks</v>
      </c>
      <c r="H632" s="19" t="str">
        <f>IF($F632="","",IFERROR(INDEX(Items!$C$5:$C$597,MATCH($F632,Items!$A$5:$A$597,0)),""))</f>
        <v>One Size</v>
      </c>
      <c r="I632" s="23">
        <f>IF($F632="","",IFERROR(INDEX(Items!$E$5:$E$597,MATCH($F632,Items!$A$5:$A$597,0)),""))</f>
        <v>50</v>
      </c>
      <c r="J632" s="115">
        <f>IF(tblIssues[[#This Row],[Qty Override]]&lt;&gt;"",tblIssues[[#This Row],[Qty Override]],IF(tblIssues[[#This Row],[Standard Issue]]="","",tblIssues[[#This Row],[Standard Issue]]))</f>
        <v>50</v>
      </c>
      <c r="K632" s="20">
        <f>IF($F632="","",IFERROR(INDEX(Items!$D$5:$D$597,MATCH($F632,Items!$A$5:$A$597,0)),""))</f>
        <v>0.25</v>
      </c>
      <c r="L632" s="21">
        <f t="shared" si="105"/>
        <v>12.5</v>
      </c>
      <c r="M632" s="9" t="str">
        <f t="shared" si="106"/>
        <v>0125FPC24-0</v>
      </c>
      <c r="N632" s="24">
        <f>IF($A632="","",WORKDAY($A632,Settings!$C$9,HolidayDates))</f>
        <v>46160</v>
      </c>
      <c r="O632" s="24">
        <f>IF($N632="","",WORKDAY($N632,Settings!$C$10,HolidayDates))</f>
        <v>46198</v>
      </c>
      <c r="P632" s="10" t="s">
        <v>501</v>
      </c>
      <c r="Q632" s="52" t="str">
        <f t="shared" si="108"/>
        <v>Collected</v>
      </c>
      <c r="R632" s="55" t="str">
        <f t="shared" si="109"/>
        <v>2026-05</v>
      </c>
      <c r="S632" s="55">
        <f>IF(OR($B632="",$F632="",$R632=""),"",SUMIFS(tblIssues[Qty Issued],tblIssues[Staff ID],$B632,tblIssues[Item Name],$F632,tblIssues[Month],$R632))</f>
        <v>50</v>
      </c>
      <c r="T632" s="56">
        <f>IF($I632="","",$I632*Settings!$C$11)</f>
        <v>50</v>
      </c>
      <c r="U632" s="57" t="str">
        <f t="shared" si="107"/>
        <v>OK</v>
      </c>
      <c r="V632" s="55" t="str">
        <f t="shared" si="110"/>
        <v/>
      </c>
      <c r="W632" s="55" t="str">
        <f>IF($V632="","",IF(COUNTIF($V$5:$V632,$V632)=1,1,""))</f>
        <v/>
      </c>
      <c r="X632" s="58" t="str">
        <f>IF($W632="","",MAX($X$4:X631)+1)</f>
        <v/>
      </c>
      <c r="Y632" s="62"/>
      <c r="Z632" s="62"/>
      <c r="AA632" s="64" t="str">
        <f>IF($C632="","",IFERROR(INDEX('Staff Directory'!$E$5:$E$594,MATCH($C632,'Staff Directory'!$B$5:$B$594,0)),""))</f>
        <v>firstname144.lastname144@example.com</v>
      </c>
      <c r="AB632" s="64" t="str">
        <f>IF($C632="","",IF(ISNUMBER(SEARCH($D632,Settings!$C$15)),"Pickup","Dispatch"))</f>
        <v>Pickup</v>
      </c>
      <c r="AC632" s="64" t="str">
        <f t="shared" si="111"/>
        <v>Supply order ready for pickup</v>
      </c>
      <c r="AD632" s="64" t="str">
        <f t="shared" si="102"/>
        <v>Dear PSW,
Your order is ready for pickup from Sample Branch, Wed-Fri 9am-4pm.</v>
      </c>
      <c r="AE632" s="64" t="str">
        <f t="shared" si="103"/>
        <v>mailto:firstname144.lastname144@example.com?subject=Supply%20order%20ready%20for%20pickup&amp;body=Dear%20PSW%2C%0A%0AYour%20order%20is%20ready%20for%20pickup%20from%20Sample%20Branch%2C%20Wed-Fri%209am-4pm.</v>
      </c>
      <c r="AF632" s="89" t="str">
        <f t="shared" si="112"/>
        <v>Draft email</v>
      </c>
      <c r="AG632" s="64" t="str">
        <f>IF($C632="","",IFERROR(INDEX('Staff Directory'!$K$595:$K$599,MATCH($C632,'Staff Directory'!$B$5:$B$599,0)),$D632))</f>
        <v>PSW</v>
      </c>
      <c r="AH632" t="str">
        <f>IF($C632="","",IFERROR(INDEX('Staff Directory'!$I$595:$I$599,MATCH($C632,'Staff Directory'!$B$5:$B$599,0))&amp;" "&amp;INDEX('Staff Directory'!$J$595:$J$599,MATCH($C632,'Staff Directory'!$B$5:$B$599,0)),$AG632))</f>
        <v>PSW</v>
      </c>
      <c r="AI632" s="102"/>
      <c r="AJ632" s="101">
        <f>IF($F632="","",SUMIFS($J$5:$J632,$F$5:$F632,$F632))</f>
        <v>5100</v>
      </c>
      <c r="AK632" s="101">
        <f t="shared" si="104"/>
        <v>5051</v>
      </c>
      <c r="AL632" s="66" t="str" cm="1">
        <f t="array" ref="AL632">IF($F632="","",IFERROR(INDEX('Lot Balance'!$B$5:$B$500,MATCH(1,INDEX(('Lot Balance'!$A$5:$A$500=$F632)*('Lot Balance'!$K$5:$K$500&lt;$AK632)*('Lot Balance'!$K$5:$K$500+'Lot Balance'!$D$5:$D$500&gt;=$AK632),0),0)),""))</f>
        <v>0125FPC24-0</v>
      </c>
      <c r="AM632" s="66" t="str" cm="1">
        <f t="array" ref="AM632">IF($F632="","",IFERROR(INDEX('Lot Balance'!$B$5:$B$500,MATCH(1,INDEX(('Lot Balance'!$A$5:$A$500=$F632)*('Lot Balance'!$K$5:$K$500&lt;$AJ632)*('Lot Balance'!$K$5:$K$500+'Lot Balance'!$D$5:$D$500&gt;=$AJ632),0),0)),""))</f>
        <v>0125FPC24-0</v>
      </c>
      <c r="AN632" s="66" t="str">
        <f>IF($F632="","",IF($AI632&lt;&gt;"",IF(COUNTIFS('Lot Balance'!$A$5:$A$500,$F632,'Lot Balance'!$B$5:$B$500,$AI632)=0,"⚠ override is not a lot of this item",IF($AI632=$AL632,"Override = FEFO","Override - FEFO says "&amp;$AL632)),IF($AL632="","⚠ no receipt on file for this item",IF($AM632&lt;&gt;$AL632,"FEFO auto - split, also "&amp;$AM632,"FEFO auto"))))</f>
        <v>FEFO auto</v>
      </c>
      <c r="AO632" s="114"/>
    </row>
    <row r="633" spans="1:41" x14ac:dyDescent="0.35">
      <c r="A633" s="74">
        <v>46150</v>
      </c>
      <c r="B633" s="18" t="str">
        <f>IF($C633="","",IFERROR(INDEX('Staff Directory'!$A$5:$A$594,MATCH($C633,'Staff Directory'!$B$5:$B$594,0)),"⚠ unknown staff"))</f>
        <v>PSW-023-A6</v>
      </c>
      <c r="C633" s="49" t="s">
        <v>999</v>
      </c>
      <c r="D633" s="19" t="str">
        <f>IF($B633="","",IFERROR(INDEX('Staff Directory'!$C$5:$C$594,MATCH($B633,'Staff Directory'!$A$5:$A$594,0)),""))</f>
        <v>PSW</v>
      </c>
      <c r="E633" s="19" t="str">
        <f>IF($B633="","",IFERROR(INDEX('Staff Directory'!$D$5:$D$594,MATCH($B633,'Staff Directory'!$A$5:$A$594,0)),""))</f>
        <v>A6</v>
      </c>
      <c r="F633" s="9" t="s">
        <v>129</v>
      </c>
      <c r="G633" s="18" t="str">
        <f>IF($F633="","",IFERROR(INDEX(Items!$B$5:$B$597,MATCH($F633,Items!$A$5:$A$597,0)),"⚠ not in Items"))</f>
        <v>Gloves</v>
      </c>
      <c r="H633" s="19" t="str">
        <f>IF($F633="","",IFERROR(INDEX(Items!$C$5:$C$597,MATCH($F633,Items!$A$5:$A$597,0)),""))</f>
        <v>Small</v>
      </c>
      <c r="I633" s="23">
        <f>IF($F633="","",IFERROR(INDEX(Items!$E$5:$E$597,MATCH($F633,Items!$A$5:$A$597,0)),""))</f>
        <v>500</v>
      </c>
      <c r="J633" s="115">
        <f>IF(tblIssues[[#This Row],[Qty Override]]&lt;&gt;"",tblIssues[[#This Row],[Qty Override]],IF(tblIssues[[#This Row],[Standard Issue]]="","",tblIssues[[#This Row],[Standard Issue]]))</f>
        <v>500</v>
      </c>
      <c r="K633" s="20">
        <f>IF($F633="","",IFERROR(INDEX(Items!$D$5:$D$597,MATCH($F633,Items!$A$5:$A$597,0)),""))</f>
        <v>5.5E-2</v>
      </c>
      <c r="L633" s="21">
        <f t="shared" si="105"/>
        <v>27.5</v>
      </c>
      <c r="M633" s="9" t="str">
        <f t="shared" si="106"/>
        <v>O211LIC25-0</v>
      </c>
      <c r="N633" s="24">
        <f>IF($A633="","",WORKDAY($A633,Settings!$C$9,HolidayDates))</f>
        <v>46160</v>
      </c>
      <c r="O633" s="24">
        <f>IF($N633="","",WORKDAY($N633,Settings!$C$10,HolidayDates))</f>
        <v>46198</v>
      </c>
      <c r="P633" s="10" t="s">
        <v>501</v>
      </c>
      <c r="Q633" s="52" t="str">
        <f t="shared" si="108"/>
        <v>Collected</v>
      </c>
      <c r="R633" s="55" t="str">
        <f t="shared" si="109"/>
        <v>2026-05</v>
      </c>
      <c r="S633" s="55">
        <f>IF(OR($B633="",$F633="",$R633=""),"",SUMIFS(tblIssues[Qty Issued],tblIssues[Staff ID],$B633,tblIssues[Item Name],$F633,tblIssues[Month],$R633))</f>
        <v>500</v>
      </c>
      <c r="T633" s="56">
        <f>IF($I633="","",$I633*Settings!$C$11)</f>
        <v>500</v>
      </c>
      <c r="U633" s="57" t="str">
        <f t="shared" si="107"/>
        <v>OK</v>
      </c>
      <c r="V633" s="55" t="str">
        <f t="shared" si="110"/>
        <v/>
      </c>
      <c r="W633" s="55" t="str">
        <f>IF($V633="","",IF(COUNTIF($V$5:$V633,$V633)=1,1,""))</f>
        <v/>
      </c>
      <c r="X633" s="58" t="str">
        <f>IF($W633="","",MAX($X$4:X632)+1)</f>
        <v/>
      </c>
      <c r="Y633" s="62"/>
      <c r="Z633" s="62"/>
      <c r="AA633" s="64" t="str">
        <f>IF($C633="","",IFERROR(INDEX('Staff Directory'!$E$5:$E$594,MATCH($C633,'Staff Directory'!$B$5:$B$594,0)),""))</f>
        <v>firstname083.lastname083@example.com</v>
      </c>
      <c r="AB633" s="64" t="str">
        <f>IF($C633="","",IF(ISNUMBER(SEARCH($D633,Settings!$C$15)),"Pickup","Dispatch"))</f>
        <v>Pickup</v>
      </c>
      <c r="AC633" s="64" t="str">
        <f t="shared" si="111"/>
        <v>Supply order ready for pickup</v>
      </c>
      <c r="AD633" s="64" t="str">
        <f t="shared" si="102"/>
        <v>Dear PSW,
Your order is ready for pickup from Sample Branch, Wed-Fri 9am-4pm.</v>
      </c>
      <c r="AE633" s="64" t="str">
        <f t="shared" si="103"/>
        <v>mailto:firstname083.lastname083@example.com?subject=Supply%20order%20ready%20for%20pickup&amp;body=Dear%20PSW%2C%0A%0AYour%20order%20is%20ready%20for%20pickup%20from%20Sample%20Branch%2C%20Wed-Fri%209am-4pm.</v>
      </c>
      <c r="AF633" s="89" t="str">
        <f t="shared" si="112"/>
        <v>Draft email</v>
      </c>
      <c r="AG633" s="64" t="str">
        <f>IF($C633="","",IFERROR(INDEX('Staff Directory'!$K$595:$K$599,MATCH($C633,'Staff Directory'!$B$5:$B$599,0)),$D633))</f>
        <v>PSW</v>
      </c>
      <c r="AH633" t="str">
        <f>IF($C633="","",IFERROR(INDEX('Staff Directory'!$I$595:$I$599,MATCH($C633,'Staff Directory'!$B$5:$B$599,0))&amp;" "&amp;INDEX('Staff Directory'!$J$595:$J$599,MATCH($C633,'Staff Directory'!$B$5:$B$599,0)),$AG633))</f>
        <v>PSW</v>
      </c>
      <c r="AI633" s="102"/>
      <c r="AJ633" s="101">
        <f>IF($F633="","",SUMIFS($J$5:$J633,$F$5:$F633,$F633))</f>
        <v>23000</v>
      </c>
      <c r="AK633" s="101">
        <f t="shared" si="104"/>
        <v>22501</v>
      </c>
      <c r="AL633" s="66" t="str" cm="1">
        <f t="array" ref="AL633">IF($F633="","",IFERROR(INDEX('Lot Balance'!$B$5:$B$500,MATCH(1,INDEX(('Lot Balance'!$A$5:$A$500=$F633)*('Lot Balance'!$K$5:$K$500&lt;$AK633)*('Lot Balance'!$K$5:$K$500+'Lot Balance'!$D$5:$D$500&gt;=$AK633),0),0)),""))</f>
        <v>O211LIC25-0</v>
      </c>
      <c r="AM633" s="66" t="str" cm="1">
        <f t="array" ref="AM633">IF($F633="","",IFERROR(INDEX('Lot Balance'!$B$5:$B$500,MATCH(1,INDEX(('Lot Balance'!$A$5:$A$500=$F633)*('Lot Balance'!$K$5:$K$500&lt;$AJ633)*('Lot Balance'!$K$5:$K$500+'Lot Balance'!$D$5:$D$500&gt;=$AJ633),0),0)),""))</f>
        <v>O211LIC25-0</v>
      </c>
      <c r="AN633" s="66" t="str">
        <f>IF($F633="","",IF($AI633&lt;&gt;"",IF(COUNTIFS('Lot Balance'!$A$5:$A$500,$F633,'Lot Balance'!$B$5:$B$500,$AI633)=0,"⚠ override is not a lot of this item",IF($AI633=$AL633,"Override = FEFO","Override - FEFO says "&amp;$AL633)),IF($AL633="","⚠ no receipt on file for this item",IF($AM633&lt;&gt;$AL633,"FEFO auto - split, also "&amp;$AM633,"FEFO auto"))))</f>
        <v>FEFO auto</v>
      </c>
      <c r="AO633" s="114"/>
    </row>
    <row r="634" spans="1:41" x14ac:dyDescent="0.35">
      <c r="A634" s="74">
        <v>46150</v>
      </c>
      <c r="B634" s="18" t="str">
        <f>IF($C634="","",IFERROR(INDEX('Staff Directory'!$A$5:$A$594,MATCH($C634,'Staff Directory'!$B$5:$B$594,0)),"⚠ unknown staff"))</f>
        <v>PSW-023-A6</v>
      </c>
      <c r="C634" s="49" t="s">
        <v>999</v>
      </c>
      <c r="D634" s="19" t="str">
        <f>IF($B634="","",IFERROR(INDEX('Staff Directory'!$C$5:$C$594,MATCH($B634,'Staff Directory'!$A$5:$A$594,0)),""))</f>
        <v>PSW</v>
      </c>
      <c r="E634" s="19" t="str">
        <f>IF($B634="","",IFERROR(INDEX('Staff Directory'!$D$5:$D$594,MATCH($B634,'Staff Directory'!$A$5:$A$594,0)),""))</f>
        <v>A6</v>
      </c>
      <c r="F634" s="9" t="s">
        <v>137</v>
      </c>
      <c r="G634" s="18" t="str">
        <f>IF($F634="","",IFERROR(INDEX(Items!$B$5:$B$597,MATCH($F634,Items!$A$5:$A$597,0)),"⚠ not in Items"))</f>
        <v>Sanitizer</v>
      </c>
      <c r="H634" s="19" t="str">
        <f>IF($F634="","",IFERROR(INDEX(Items!$C$5:$C$597,MATCH($F634,Items!$A$5:$A$597,0)),""))</f>
        <v>118 ML</v>
      </c>
      <c r="I634" s="23">
        <f>IF($F634="","",IFERROR(INDEX(Items!$E$5:$E$597,MATCH($F634,Items!$A$5:$A$597,0)),""))</f>
        <v>2</v>
      </c>
      <c r="J634" s="115">
        <f>IF(tblIssues[[#This Row],[Qty Override]]&lt;&gt;"",tblIssues[[#This Row],[Qty Override]],IF(tblIssues[[#This Row],[Standard Issue]]="","",tblIssues[[#This Row],[Standard Issue]]))</f>
        <v>2</v>
      </c>
      <c r="K634" s="20">
        <f>IF($F634="","",IFERROR(INDEX(Items!$D$5:$D$597,MATCH($F634,Items!$A$5:$A$597,0)),""))</f>
        <v>4.49</v>
      </c>
      <c r="L634" s="21">
        <f t="shared" si="105"/>
        <v>8.98</v>
      </c>
      <c r="M634" s="9" t="str">
        <f t="shared" si="106"/>
        <v>563963-6</v>
      </c>
      <c r="N634" s="24">
        <f>IF($A634="","",WORKDAY($A634,Settings!$C$9,HolidayDates))</f>
        <v>46160</v>
      </c>
      <c r="O634" s="24">
        <f>IF($N634="","",WORKDAY($N634,Settings!$C$10,HolidayDates))</f>
        <v>46198</v>
      </c>
      <c r="P634" s="10" t="s">
        <v>501</v>
      </c>
      <c r="Q634" s="52" t="str">
        <f t="shared" si="108"/>
        <v>Collected</v>
      </c>
      <c r="R634" s="55" t="str">
        <f t="shared" si="109"/>
        <v>2026-05</v>
      </c>
      <c r="S634" s="55">
        <f>IF(OR($B634="",$F634="",$R634=""),"",SUMIFS(tblIssues[Qty Issued],tblIssues[Staff ID],$B634,tblIssues[Item Name],$F634,tblIssues[Month],$R634))</f>
        <v>2</v>
      </c>
      <c r="T634" s="56">
        <f>IF($I634="","",$I634*Settings!$C$11)</f>
        <v>2</v>
      </c>
      <c r="U634" s="57" t="str">
        <f t="shared" si="107"/>
        <v>OK</v>
      </c>
      <c r="V634" s="55" t="str">
        <f t="shared" si="110"/>
        <v/>
      </c>
      <c r="W634" s="55" t="str">
        <f>IF($V634="","",IF(COUNTIF($V$5:$V634,$V634)=1,1,""))</f>
        <v/>
      </c>
      <c r="X634" s="58" t="str">
        <f>IF($W634="","",MAX($X$4:X633)+1)</f>
        <v/>
      </c>
      <c r="Y634" s="62"/>
      <c r="Z634" s="62"/>
      <c r="AA634" s="64" t="str">
        <f>IF($C634="","",IFERROR(INDEX('Staff Directory'!$E$5:$E$594,MATCH($C634,'Staff Directory'!$B$5:$B$594,0)),""))</f>
        <v>firstname083.lastname083@example.com</v>
      </c>
      <c r="AB634" s="64" t="str">
        <f>IF($C634="","",IF(ISNUMBER(SEARCH($D634,Settings!$C$15)),"Pickup","Dispatch"))</f>
        <v>Pickup</v>
      </c>
      <c r="AC634" s="64" t="str">
        <f t="shared" si="111"/>
        <v>Supply order ready for pickup</v>
      </c>
      <c r="AD634" s="64" t="str">
        <f t="shared" si="102"/>
        <v>Dear PSW,
Your order is ready for pickup from Sample Branch, Wed-Fri 9am-4pm.</v>
      </c>
      <c r="AE634" s="64" t="str">
        <f t="shared" si="103"/>
        <v>mailto:firstname083.lastname083@example.com?subject=Supply%20order%20ready%20for%20pickup&amp;body=Dear%20PSW%2C%0A%0AYour%20order%20is%20ready%20for%20pickup%20from%20Sample%20Branch%2C%20Wed-Fri%209am-4pm.</v>
      </c>
      <c r="AF634" s="89" t="str">
        <f t="shared" si="112"/>
        <v>Draft email</v>
      </c>
      <c r="AG634" s="64" t="str">
        <f>IF($C634="","",IFERROR(INDEX('Staff Directory'!$K$595:$K$599,MATCH($C634,'Staff Directory'!$B$5:$B$599,0)),$D634))</f>
        <v>PSW</v>
      </c>
      <c r="AH634" t="str">
        <f>IF($C634="","",IFERROR(INDEX('Staff Directory'!$I$595:$I$599,MATCH($C634,'Staff Directory'!$B$5:$B$599,0))&amp;" "&amp;INDEX('Staff Directory'!$J$595:$J$599,MATCH($C634,'Staff Directory'!$B$5:$B$599,0)),$AG634))</f>
        <v>PSW</v>
      </c>
      <c r="AI634" s="102"/>
      <c r="AJ634" s="101">
        <f>IF($F634="","",SUMIFS($J$5:$J634,$F$5:$F634,$F634))</f>
        <v>84</v>
      </c>
      <c r="AK634" s="101">
        <f t="shared" si="104"/>
        <v>83</v>
      </c>
      <c r="AL634" s="66" t="str" cm="1">
        <f t="array" ref="AL634">IF($F634="","",IFERROR(INDEX('Lot Balance'!$B$5:$B$500,MATCH(1,INDEX(('Lot Balance'!$A$5:$A$500=$F634)*('Lot Balance'!$K$5:$K$500&lt;$AK634)*('Lot Balance'!$K$5:$K$500+'Lot Balance'!$D$5:$D$500&gt;=$AK634),0),0)),""))</f>
        <v>563963-6</v>
      </c>
      <c r="AM634" s="66" t="str" cm="1">
        <f t="array" ref="AM634">IF($F634="","",IFERROR(INDEX('Lot Balance'!$B$5:$B$500,MATCH(1,INDEX(('Lot Balance'!$A$5:$A$500=$F634)*('Lot Balance'!$K$5:$K$500&lt;$AJ634)*('Lot Balance'!$K$5:$K$500+'Lot Balance'!$D$5:$D$500&gt;=$AJ634),0),0)),""))</f>
        <v>563963-6</v>
      </c>
      <c r="AN634" s="66" t="str">
        <f>IF($F634="","",IF($AI634&lt;&gt;"",IF(COUNTIFS('Lot Balance'!$A$5:$A$500,$F634,'Lot Balance'!$B$5:$B$500,$AI634)=0,"⚠ override is not a lot of this item",IF($AI634=$AL634,"Override = FEFO","Override - FEFO says "&amp;$AL634)),IF($AL634="","⚠ no receipt on file for this item",IF($AM634&lt;&gt;$AL634,"FEFO auto - split, also "&amp;$AM634,"FEFO auto"))))</f>
        <v>FEFO auto</v>
      </c>
      <c r="AO634" s="114"/>
    </row>
    <row r="635" spans="1:41" x14ac:dyDescent="0.35">
      <c r="A635" s="74">
        <v>46150</v>
      </c>
      <c r="B635" s="18" t="str">
        <f>IF($C635="","",IFERROR(INDEX('Staff Directory'!$A$5:$A$594,MATCH($C635,'Staff Directory'!$B$5:$B$594,0)),"⚠ unknown staff"))</f>
        <v>PSW-023-A6</v>
      </c>
      <c r="C635" s="49" t="s">
        <v>999</v>
      </c>
      <c r="D635" s="19" t="str">
        <f>IF($B635="","",IFERROR(INDEX('Staff Directory'!$C$5:$C$594,MATCH($B635,'Staff Directory'!$A$5:$A$594,0)),""))</f>
        <v>PSW</v>
      </c>
      <c r="E635" s="19" t="str">
        <f>IF($B635="","",IFERROR(INDEX('Staff Directory'!$D$5:$D$594,MATCH($B635,'Staff Directory'!$A$5:$A$594,0)),""))</f>
        <v>A6</v>
      </c>
      <c r="F635" s="9" t="s">
        <v>115</v>
      </c>
      <c r="G635" s="18" t="str">
        <f>IF($F635="","",IFERROR(INDEX(Items!$B$5:$B$597,MATCH($F635,Items!$A$5:$A$597,0)),"⚠ not in Items"))</f>
        <v>Wipes</v>
      </c>
      <c r="H635" s="19">
        <f>IF($F635="","",IFERROR(INDEX(Items!$C$5:$C$597,MATCH($F635,Items!$A$5:$A$597,0)),""))</f>
        <v>80</v>
      </c>
      <c r="I635" s="23">
        <f>IF($F635="","",IFERROR(INDEX(Items!$E$5:$E$597,MATCH($F635,Items!$A$5:$A$597,0)),""))</f>
        <v>80</v>
      </c>
      <c r="J635" s="115">
        <f>IF(tblIssues[[#This Row],[Qty Override]]&lt;&gt;"",tblIssues[[#This Row],[Qty Override]],IF(tblIssues[[#This Row],[Standard Issue]]="","",tblIssues[[#This Row],[Standard Issue]]))</f>
        <v>80</v>
      </c>
      <c r="K635" s="20">
        <f>IF($F635="","",IFERROR(INDEX(Items!$D$5:$D$597,MATCH($F635,Items!$A$5:$A$597,0)),""))</f>
        <v>0.1</v>
      </c>
      <c r="L635" s="21">
        <f t="shared" si="105"/>
        <v>8</v>
      </c>
      <c r="M635" s="9" t="str">
        <f t="shared" si="106"/>
        <v>LYSL500290</v>
      </c>
      <c r="N635" s="24">
        <f>IF($A635="","",WORKDAY($A635,Settings!$C$9,HolidayDates))</f>
        <v>46160</v>
      </c>
      <c r="O635" s="24">
        <f>IF($N635="","",WORKDAY($N635,Settings!$C$10,HolidayDates))</f>
        <v>46198</v>
      </c>
      <c r="P635" s="10" t="s">
        <v>501</v>
      </c>
      <c r="Q635" s="52" t="str">
        <f t="shared" si="108"/>
        <v>Collected</v>
      </c>
      <c r="R635" s="55" t="str">
        <f t="shared" si="109"/>
        <v>2026-05</v>
      </c>
      <c r="S635" s="55">
        <f>IF(OR($B635="",$F635="",$R635=""),"",SUMIFS(tblIssues[Qty Issued],tblIssues[Staff ID],$B635,tblIssues[Item Name],$F635,tblIssues[Month],$R635))</f>
        <v>80</v>
      </c>
      <c r="T635" s="56">
        <f>IF($I635="","",$I635*Settings!$C$11)</f>
        <v>80</v>
      </c>
      <c r="U635" s="57" t="str">
        <f t="shared" si="107"/>
        <v>OK</v>
      </c>
      <c r="V635" s="55" t="str">
        <f t="shared" si="110"/>
        <v/>
      </c>
      <c r="W635" s="55" t="str">
        <f>IF($V635="","",IF(COUNTIF($V$5:$V635,$V635)=1,1,""))</f>
        <v/>
      </c>
      <c r="X635" s="58" t="str">
        <f>IF($W635="","",MAX($X$4:X634)+1)</f>
        <v/>
      </c>
      <c r="Y635" s="62"/>
      <c r="Z635" s="62"/>
      <c r="AA635" s="64" t="str">
        <f>IF($C635="","",IFERROR(INDEX('Staff Directory'!$E$5:$E$594,MATCH($C635,'Staff Directory'!$B$5:$B$594,0)),""))</f>
        <v>firstname083.lastname083@example.com</v>
      </c>
      <c r="AB635" s="64" t="str">
        <f>IF($C635="","",IF(ISNUMBER(SEARCH($D635,Settings!$C$15)),"Pickup","Dispatch"))</f>
        <v>Pickup</v>
      </c>
      <c r="AC635" s="64" t="str">
        <f t="shared" si="111"/>
        <v>Supply order ready for pickup</v>
      </c>
      <c r="AD635" s="64" t="str">
        <f t="shared" si="102"/>
        <v>Dear PSW,
Your order is ready for pickup from Sample Branch, Wed-Fri 9am-4pm.</v>
      </c>
      <c r="AE635" s="64" t="str">
        <f t="shared" si="103"/>
        <v>mailto:firstname083.lastname083@example.com?subject=Supply%20order%20ready%20for%20pickup&amp;body=Dear%20PSW%2C%0A%0AYour%20order%20is%20ready%20for%20pickup%20from%20Sample%20Branch%2C%20Wed-Fri%209am-4pm.</v>
      </c>
      <c r="AF635" s="89" t="str">
        <f t="shared" si="112"/>
        <v>Draft email</v>
      </c>
      <c r="AG635" s="64" t="str">
        <f>IF($C635="","",IFERROR(INDEX('Staff Directory'!$K$595:$K$599,MATCH($C635,'Staff Directory'!$B$5:$B$599,0)),$D635))</f>
        <v>PSW</v>
      </c>
      <c r="AH635" t="str">
        <f>IF($C635="","",IFERROR(INDEX('Staff Directory'!$I$595:$I$599,MATCH($C635,'Staff Directory'!$B$5:$B$599,0))&amp;" "&amp;INDEX('Staff Directory'!$J$595:$J$599,MATCH($C635,'Staff Directory'!$B$5:$B$599,0)),$AG635))</f>
        <v>PSW</v>
      </c>
      <c r="AI635" s="102"/>
      <c r="AJ635" s="101">
        <f>IF($F635="","",SUMIFS($J$5:$J635,$F$5:$F635,$F635))</f>
        <v>8960</v>
      </c>
      <c r="AK635" s="101">
        <f t="shared" si="104"/>
        <v>8881</v>
      </c>
      <c r="AL635" s="66" t="str" cm="1">
        <f t="array" ref="AL635">IF($F635="","",IFERROR(INDEX('Lot Balance'!$B$5:$B$500,MATCH(1,INDEX(('Lot Balance'!$A$5:$A$500=$F635)*('Lot Balance'!$K$5:$K$500&lt;$AK635)*('Lot Balance'!$K$5:$K$500+'Lot Balance'!$D$5:$D$500&gt;=$AK635),0),0)),""))</f>
        <v>LYSL500290</v>
      </c>
      <c r="AM635" s="66" t="str" cm="1">
        <f t="array" ref="AM635">IF($F635="","",IFERROR(INDEX('Lot Balance'!$B$5:$B$500,MATCH(1,INDEX(('Lot Balance'!$A$5:$A$500=$F635)*('Lot Balance'!$K$5:$K$500&lt;$AJ635)*('Lot Balance'!$K$5:$K$500+'Lot Balance'!$D$5:$D$500&gt;=$AJ635),0),0)),""))</f>
        <v>LYSL500290</v>
      </c>
      <c r="AN635" s="66" t="str">
        <f>IF($F635="","",IF($AI635&lt;&gt;"",IF(COUNTIFS('Lot Balance'!$A$5:$A$500,$F635,'Lot Balance'!$B$5:$B$500,$AI635)=0,"⚠ override is not a lot of this item",IF($AI635=$AL635,"Override = FEFO","Override - FEFO says "&amp;$AL635)),IF($AL635="","⚠ no receipt on file for this item",IF($AM635&lt;&gt;$AL635,"FEFO auto - split, also "&amp;$AM635,"FEFO auto"))))</f>
        <v>FEFO auto</v>
      </c>
      <c r="AO635" s="114"/>
    </row>
    <row r="636" spans="1:41" x14ac:dyDescent="0.35">
      <c r="A636" s="74">
        <v>46150</v>
      </c>
      <c r="B636" s="18" t="str">
        <f>IF($C636="","",IFERROR(INDEX('Staff Directory'!$A$5:$A$594,MATCH($C636,'Staff Directory'!$B$5:$B$594,0)),"⚠ unknown staff"))</f>
        <v>PSW-023-A6</v>
      </c>
      <c r="C636" s="49" t="s">
        <v>999</v>
      </c>
      <c r="D636" s="19" t="str">
        <f>IF($B636="","",IFERROR(INDEX('Staff Directory'!$C$5:$C$594,MATCH($B636,'Staff Directory'!$A$5:$A$594,0)),""))</f>
        <v>PSW</v>
      </c>
      <c r="E636" s="19" t="str">
        <f>IF($B636="","",IFERROR(INDEX('Staff Directory'!$D$5:$D$594,MATCH($B636,'Staff Directory'!$A$5:$A$594,0)),""))</f>
        <v>A6</v>
      </c>
      <c r="F636" s="9" t="s">
        <v>147</v>
      </c>
      <c r="G636" s="18" t="str">
        <f>IF($F636="","",IFERROR(INDEX(Items!$B$5:$B$597,MATCH($F636,Items!$A$5:$A$597,0)),"⚠ not in Items"))</f>
        <v>Apparel</v>
      </c>
      <c r="H636" s="19" t="str">
        <f>IF($F636="","",IFERROR(INDEX(Items!$C$5:$C$597,MATCH($F636,Items!$A$5:$A$597,0)),""))</f>
        <v>One Size</v>
      </c>
      <c r="I636" s="23">
        <f>IF($F636="","",IFERROR(INDEX(Items!$E$5:$E$597,MATCH($F636,Items!$A$5:$A$597,0)),""))</f>
        <v>5</v>
      </c>
      <c r="J636" s="115">
        <f>IF(tblIssues[[#This Row],[Qty Override]]&lt;&gt;"",tblIssues[[#This Row],[Qty Override]],IF(tblIssues[[#This Row],[Standard Issue]]="","",tblIssues[[#This Row],[Standard Issue]]))</f>
        <v>5</v>
      </c>
      <c r="K636" s="20">
        <f>IF($F636="","",IFERROR(INDEX(Items!$D$5:$D$597,MATCH($F636,Items!$A$5:$A$597,0)),""))</f>
        <v>3</v>
      </c>
      <c r="L636" s="21">
        <f t="shared" si="105"/>
        <v>15</v>
      </c>
      <c r="M636" s="9" t="str">
        <f t="shared" si="106"/>
        <v>YG500280</v>
      </c>
      <c r="N636" s="24">
        <f>IF($A636="","",WORKDAY($A636,Settings!$C$9,HolidayDates))</f>
        <v>46160</v>
      </c>
      <c r="O636" s="24">
        <f>IF($N636="","",WORKDAY($N636,Settings!$C$10,HolidayDates))</f>
        <v>46198</v>
      </c>
      <c r="P636" s="10" t="s">
        <v>501</v>
      </c>
      <c r="Q636" s="52" t="str">
        <f t="shared" si="108"/>
        <v>Collected</v>
      </c>
      <c r="R636" s="55" t="str">
        <f t="shared" si="109"/>
        <v>2026-05</v>
      </c>
      <c r="S636" s="55">
        <f>IF(OR($B636="",$F636="",$R636=""),"",SUMIFS(tblIssues[Qty Issued],tblIssues[Staff ID],$B636,tblIssues[Item Name],$F636,tblIssues[Month],$R636))</f>
        <v>5</v>
      </c>
      <c r="T636" s="56">
        <f>IF($I636="","",$I636*Settings!$C$11)</f>
        <v>5</v>
      </c>
      <c r="U636" s="57" t="str">
        <f t="shared" si="107"/>
        <v>OK</v>
      </c>
      <c r="V636" s="55" t="str">
        <f t="shared" si="110"/>
        <v/>
      </c>
      <c r="W636" s="55" t="str">
        <f>IF($V636="","",IF(COUNTIF($V$5:$V636,$V636)=1,1,""))</f>
        <v/>
      </c>
      <c r="X636" s="58" t="str">
        <f>IF($W636="","",MAX($X$4:X635)+1)</f>
        <v/>
      </c>
      <c r="Y636" s="62"/>
      <c r="Z636" s="62"/>
      <c r="AA636" s="64" t="str">
        <f>IF($C636="","",IFERROR(INDEX('Staff Directory'!$E$5:$E$594,MATCH($C636,'Staff Directory'!$B$5:$B$594,0)),""))</f>
        <v>firstname083.lastname083@example.com</v>
      </c>
      <c r="AB636" s="64" t="str">
        <f>IF($C636="","",IF(ISNUMBER(SEARCH($D636,Settings!$C$15)),"Pickup","Dispatch"))</f>
        <v>Pickup</v>
      </c>
      <c r="AC636" s="64" t="str">
        <f t="shared" si="111"/>
        <v>Supply order ready for pickup</v>
      </c>
      <c r="AD636" s="64" t="str">
        <f t="shared" si="102"/>
        <v>Dear PSW,
Your order is ready for pickup from Sample Branch, Wed-Fri 9am-4pm.</v>
      </c>
      <c r="AE636" s="64" t="str">
        <f t="shared" si="103"/>
        <v>mailto:firstname083.lastname083@example.com?subject=Supply%20order%20ready%20for%20pickup&amp;body=Dear%20PSW%2C%0A%0AYour%20order%20is%20ready%20for%20pickup%20from%20Sample%20Branch%2C%20Wed-Fri%209am-4pm.</v>
      </c>
      <c r="AF636" s="89" t="str">
        <f t="shared" si="112"/>
        <v>Draft email</v>
      </c>
      <c r="AG636" s="64" t="str">
        <f>IF($C636="","",IFERROR(INDEX('Staff Directory'!$K$595:$K$599,MATCH($C636,'Staff Directory'!$B$5:$B$599,0)),$D636))</f>
        <v>PSW</v>
      </c>
      <c r="AH636" t="str">
        <f>IF($C636="","",IFERROR(INDEX('Staff Directory'!$I$595:$I$599,MATCH($C636,'Staff Directory'!$B$5:$B$599,0))&amp;" "&amp;INDEX('Staff Directory'!$J$595:$J$599,MATCH($C636,'Staff Directory'!$B$5:$B$599,0)),$AG636))</f>
        <v>PSW</v>
      </c>
      <c r="AI636" s="102"/>
      <c r="AJ636" s="101">
        <f>IF($F636="","",SUMIFS($J$5:$J636,$F$5:$F636,$F636))</f>
        <v>65</v>
      </c>
      <c r="AK636" s="101">
        <f t="shared" si="104"/>
        <v>61</v>
      </c>
      <c r="AL636" s="66" t="str" cm="1">
        <f t="array" ref="AL636">IF($F636="","",IFERROR(INDEX('Lot Balance'!$B$5:$B$500,MATCH(1,INDEX(('Lot Balance'!$A$5:$A$500=$F636)*('Lot Balance'!$K$5:$K$500&lt;$AK636)*('Lot Balance'!$K$5:$K$500+'Lot Balance'!$D$5:$D$500&gt;=$AK636),0),0)),""))</f>
        <v>YG500280</v>
      </c>
      <c r="AM636" s="66" t="str" cm="1">
        <f t="array" ref="AM636">IF($F636="","",IFERROR(INDEX('Lot Balance'!$B$5:$B$500,MATCH(1,INDEX(('Lot Balance'!$A$5:$A$500=$F636)*('Lot Balance'!$K$5:$K$500&lt;$AJ636)*('Lot Balance'!$K$5:$K$500+'Lot Balance'!$D$5:$D$500&gt;=$AJ636),0),0)),""))</f>
        <v>YG500280</v>
      </c>
      <c r="AN636" s="66" t="str">
        <f>IF($F636="","",IF($AI636&lt;&gt;"",IF(COUNTIFS('Lot Balance'!$A$5:$A$500,$F636,'Lot Balance'!$B$5:$B$500,$AI636)=0,"⚠ override is not a lot of this item",IF($AI636=$AL636,"Override = FEFO","Override - FEFO says "&amp;$AL636)),IF($AL636="","⚠ no receipt on file for this item",IF($AM636&lt;&gt;$AL636,"FEFO auto - split, also "&amp;$AM636,"FEFO auto"))))</f>
        <v>FEFO auto</v>
      </c>
      <c r="AO636" s="114"/>
    </row>
    <row r="637" spans="1:41" x14ac:dyDescent="0.35">
      <c r="A637" s="74">
        <v>46150</v>
      </c>
      <c r="B637" s="18" t="str">
        <f>IF($C637="","",IFERROR(INDEX('Staff Directory'!$A$5:$A$594,MATCH($C637,'Staff Directory'!$B$5:$B$594,0)),"⚠ unknown staff"))</f>
        <v>PSW-030-A4</v>
      </c>
      <c r="C637" s="49" t="s">
        <v>1005</v>
      </c>
      <c r="D637" s="19" t="str">
        <f>IF($B637="","",IFERROR(INDEX('Staff Directory'!$C$5:$C$594,MATCH($B637,'Staff Directory'!$A$5:$A$594,0)),""))</f>
        <v>PSW</v>
      </c>
      <c r="E637" s="19" t="str">
        <f>IF($B637="","",IFERROR(INDEX('Staff Directory'!$D$5:$D$594,MATCH($B637,'Staff Directory'!$A$5:$A$594,0)),""))</f>
        <v>A4</v>
      </c>
      <c r="F637" s="9" t="s">
        <v>127</v>
      </c>
      <c r="G637" s="18" t="str">
        <f>IF($F637="","",IFERROR(INDEX(Items!$B$5:$B$597,MATCH($F637,Items!$A$5:$A$597,0)),"⚠ not in Items"))</f>
        <v>Gloves</v>
      </c>
      <c r="H637" s="19" t="str">
        <f>IF($F637="","",IFERROR(INDEX(Items!$C$5:$C$597,MATCH($F637,Items!$A$5:$A$597,0)),""))</f>
        <v>Medium</v>
      </c>
      <c r="I637" s="23">
        <f>IF($F637="","",IFERROR(INDEX(Items!$E$5:$E$597,MATCH($F637,Items!$A$5:$A$597,0)),""))</f>
        <v>500</v>
      </c>
      <c r="J637" s="115">
        <f>IF(tblIssues[[#This Row],[Qty Override]]&lt;&gt;"",tblIssues[[#This Row],[Qty Override]],IF(tblIssues[[#This Row],[Standard Issue]]="","",tblIssues[[#This Row],[Standard Issue]]))</f>
        <v>500</v>
      </c>
      <c r="K637" s="20">
        <f>IF($F637="","",IFERROR(INDEX(Items!$D$5:$D$597,MATCH($F637,Items!$A$5:$A$597,0)),""))</f>
        <v>5.5E-2</v>
      </c>
      <c r="L637" s="21">
        <f t="shared" si="105"/>
        <v>27.5</v>
      </c>
      <c r="M637" s="9" t="str">
        <f t="shared" si="106"/>
        <v>O16689</v>
      </c>
      <c r="N637" s="24">
        <f>IF($A637="","",WORKDAY($A637,Settings!$C$9,HolidayDates))</f>
        <v>46160</v>
      </c>
      <c r="O637" s="24">
        <f>IF($N637="","",WORKDAY($N637,Settings!$C$10,HolidayDates))</f>
        <v>46198</v>
      </c>
      <c r="P637" s="10" t="s">
        <v>501</v>
      </c>
      <c r="Q637" s="52" t="str">
        <f t="shared" si="108"/>
        <v>Collected</v>
      </c>
      <c r="R637" s="55" t="str">
        <f t="shared" si="109"/>
        <v>2026-05</v>
      </c>
      <c r="S637" s="55">
        <f>IF(OR($B637="",$F637="",$R637=""),"",SUMIFS(tblIssues[Qty Issued],tblIssues[Staff ID],$B637,tblIssues[Item Name],$F637,tblIssues[Month],$R637))</f>
        <v>500</v>
      </c>
      <c r="T637" s="56">
        <f>IF($I637="","",$I637*Settings!$C$11)</f>
        <v>500</v>
      </c>
      <c r="U637" s="57" t="str">
        <f t="shared" si="107"/>
        <v>OK</v>
      </c>
      <c r="V637" s="55" t="str">
        <f t="shared" si="110"/>
        <v/>
      </c>
      <c r="W637" s="55" t="str">
        <f>IF($V637="","",IF(COUNTIF($V$5:$V637,$V637)=1,1,""))</f>
        <v/>
      </c>
      <c r="X637" s="58" t="str">
        <f>IF($W637="","",MAX($X$4:X636)+1)</f>
        <v/>
      </c>
      <c r="Y637" s="62"/>
      <c r="Z637" s="62"/>
      <c r="AA637" s="64" t="str">
        <f>IF($C637="","",IFERROR(INDEX('Staff Directory'!$E$5:$E$594,MATCH($C637,'Staff Directory'!$B$5:$B$594,0)),""))</f>
        <v>firstname089.lastname089@example.com</v>
      </c>
      <c r="AB637" s="64" t="str">
        <f>IF($C637="","",IF(ISNUMBER(SEARCH($D637,Settings!$C$15)),"Pickup","Dispatch"))</f>
        <v>Pickup</v>
      </c>
      <c r="AC637" s="64" t="str">
        <f t="shared" si="111"/>
        <v>Supply order ready for pickup</v>
      </c>
      <c r="AD637" s="64" t="str">
        <f t="shared" si="102"/>
        <v>Dear PSW,
Your order is ready for pickup from Sample Branch, Wed-Fri 9am-4pm.</v>
      </c>
      <c r="AE637" s="64" t="str">
        <f t="shared" si="103"/>
        <v>mailto:firstname089.lastname089@example.com?subject=Supply%20order%20ready%20for%20pickup&amp;body=Dear%20PSW%2C%0A%0AYour%20order%20is%20ready%20for%20pickup%20from%20Sample%20Branch%2C%20Wed-Fri%209am-4pm.</v>
      </c>
      <c r="AF637" s="89" t="str">
        <f t="shared" si="112"/>
        <v>Draft email</v>
      </c>
      <c r="AG637" s="64" t="str">
        <f>IF($C637="","",IFERROR(INDEX('Staff Directory'!$K$595:$K$599,MATCH($C637,'Staff Directory'!$B$5:$B$599,0)),$D637))</f>
        <v>PSW</v>
      </c>
      <c r="AH637" t="str">
        <f>IF($C637="","",IFERROR(INDEX('Staff Directory'!$I$595:$I$599,MATCH($C637,'Staff Directory'!$B$5:$B$599,0))&amp;" "&amp;INDEX('Staff Directory'!$J$595:$J$599,MATCH($C637,'Staff Directory'!$B$5:$B$599,0)),$AG637))</f>
        <v>PSW</v>
      </c>
      <c r="AI637" s="102"/>
      <c r="AJ637" s="101">
        <f>IF($F637="","",SUMIFS($J$5:$J637,$F$5:$F637,$F637))</f>
        <v>35500</v>
      </c>
      <c r="AK637" s="101">
        <f t="shared" si="104"/>
        <v>35001</v>
      </c>
      <c r="AL637" s="66" t="str" cm="1">
        <f t="array" ref="AL637">IF($F637="","",IFERROR(INDEX('Lot Balance'!$B$5:$B$500,MATCH(1,INDEX(('Lot Balance'!$A$5:$A$500=$F637)*('Lot Balance'!$K$5:$K$500&lt;$AK637)*('Lot Balance'!$K$5:$K$500+'Lot Balance'!$D$5:$D$500&gt;=$AK637),0),0)),""))</f>
        <v>O16689</v>
      </c>
      <c r="AM637" s="66" t="str" cm="1">
        <f t="array" ref="AM637">IF($F637="","",IFERROR(INDEX('Lot Balance'!$B$5:$B$500,MATCH(1,INDEX(('Lot Balance'!$A$5:$A$500=$F637)*('Lot Balance'!$K$5:$K$500&lt;$AJ637)*('Lot Balance'!$K$5:$K$500+'Lot Balance'!$D$5:$D$500&gt;=$AJ637),0),0)),""))</f>
        <v>O16689</v>
      </c>
      <c r="AN637" s="66" t="str">
        <f>IF($F637="","",IF($AI637&lt;&gt;"",IF(COUNTIFS('Lot Balance'!$A$5:$A$500,$F637,'Lot Balance'!$B$5:$B$500,$AI637)=0,"⚠ override is not a lot of this item",IF($AI637=$AL637,"Override = FEFO","Override - FEFO says "&amp;$AL637)),IF($AL637="","⚠ no receipt on file for this item",IF($AM637&lt;&gt;$AL637,"FEFO auto - split, also "&amp;$AM637,"FEFO auto"))))</f>
        <v>FEFO auto</v>
      </c>
      <c r="AO637" s="114"/>
    </row>
    <row r="638" spans="1:41" x14ac:dyDescent="0.35">
      <c r="A638" s="74">
        <v>46150</v>
      </c>
      <c r="B638" s="18" t="str">
        <f>IF($C638="","",IFERROR(INDEX('Staff Directory'!$A$5:$A$594,MATCH($C638,'Staff Directory'!$B$5:$B$594,0)),"⚠ unknown staff"))</f>
        <v>PSW-030-A4</v>
      </c>
      <c r="C638" s="49" t="s">
        <v>1005</v>
      </c>
      <c r="D638" s="19" t="str">
        <f>IF($B638="","",IFERROR(INDEX('Staff Directory'!$C$5:$C$594,MATCH($B638,'Staff Directory'!$A$5:$A$594,0)),""))</f>
        <v>PSW</v>
      </c>
      <c r="E638" s="19" t="str">
        <f>IF($B638="","",IFERROR(INDEX('Staff Directory'!$D$5:$D$594,MATCH($B638,'Staff Directory'!$A$5:$A$594,0)),""))</f>
        <v>A4</v>
      </c>
      <c r="F638" s="9" t="s">
        <v>191</v>
      </c>
      <c r="G638" s="18" t="str">
        <f>IF($F638="","",IFERROR(INDEX(Items!$B$5:$B$597,MATCH($F638,Items!$A$5:$A$597,0)),"⚠ not in Items"))</f>
        <v>Sanitizer</v>
      </c>
      <c r="H638" s="19" t="str">
        <f>IF($F638="","",IFERROR(INDEX(Items!$C$5:$C$597,MATCH($F638,Items!$A$5:$A$597,0)),""))</f>
        <v>236 ML</v>
      </c>
      <c r="I638" s="23">
        <f>IF($F638="","",IFERROR(INDEX(Items!$E$5:$E$597,MATCH($F638,Items!$A$5:$A$597,0)),""))</f>
        <v>1</v>
      </c>
      <c r="J638" s="115">
        <f>IF(tblIssues[[#This Row],[Qty Override]]&lt;&gt;"",tblIssues[[#This Row],[Qty Override]],IF(tblIssues[[#This Row],[Standard Issue]]="","",tblIssues[[#This Row],[Standard Issue]]))</f>
        <v>1</v>
      </c>
      <c r="K638" s="20">
        <f>IF($F638="","",IFERROR(INDEX(Items!$D$5:$D$597,MATCH($F638,Items!$A$5:$A$597,0)),""))</f>
        <v>1E-4</v>
      </c>
      <c r="L638" s="21">
        <f t="shared" si="105"/>
        <v>1E-4</v>
      </c>
      <c r="M638" s="9" t="str">
        <f t="shared" si="106"/>
        <v>20-21734-2</v>
      </c>
      <c r="N638" s="24">
        <f>IF($A638="","",WORKDAY($A638,Settings!$C$9,HolidayDates))</f>
        <v>46160</v>
      </c>
      <c r="O638" s="24">
        <f>IF($N638="","",WORKDAY($N638,Settings!$C$10,HolidayDates))</f>
        <v>46198</v>
      </c>
      <c r="P638" s="10" t="s">
        <v>501</v>
      </c>
      <c r="Q638" s="52" t="str">
        <f t="shared" si="108"/>
        <v>Collected</v>
      </c>
      <c r="R638" s="55" t="str">
        <f t="shared" si="109"/>
        <v>2026-05</v>
      </c>
      <c r="S638" s="55">
        <f>IF(OR($B638="",$F638="",$R638=""),"",SUMIFS(tblIssues[Qty Issued],tblIssues[Staff ID],$B638,tblIssues[Item Name],$F638,tblIssues[Month],$R638))</f>
        <v>1</v>
      </c>
      <c r="T638" s="56">
        <f>IF($I638="","",$I638*Settings!$C$11)</f>
        <v>1</v>
      </c>
      <c r="U638" s="57" t="str">
        <f t="shared" si="107"/>
        <v>OK</v>
      </c>
      <c r="V638" s="55" t="str">
        <f t="shared" si="110"/>
        <v/>
      </c>
      <c r="W638" s="55" t="str">
        <f>IF($V638="","",IF(COUNTIF($V$5:$V638,$V638)=1,1,""))</f>
        <v/>
      </c>
      <c r="X638" s="58" t="str">
        <f>IF($W638="","",MAX($X$4:X637)+1)</f>
        <v/>
      </c>
      <c r="Y638" s="62"/>
      <c r="Z638" s="62"/>
      <c r="AA638" s="64" t="str">
        <f>IF($C638="","",IFERROR(INDEX('Staff Directory'!$E$5:$E$594,MATCH($C638,'Staff Directory'!$B$5:$B$594,0)),""))</f>
        <v>firstname089.lastname089@example.com</v>
      </c>
      <c r="AB638" s="64" t="str">
        <f>IF($C638="","",IF(ISNUMBER(SEARCH($D638,Settings!$C$15)),"Pickup","Dispatch"))</f>
        <v>Pickup</v>
      </c>
      <c r="AC638" s="64" t="str">
        <f t="shared" si="111"/>
        <v>Supply order ready for pickup</v>
      </c>
      <c r="AD638" s="64" t="str">
        <f t="shared" si="102"/>
        <v>Dear PSW,
Your order is ready for pickup from Sample Branch, Wed-Fri 9am-4pm.</v>
      </c>
      <c r="AE638" s="64" t="str">
        <f t="shared" si="103"/>
        <v>mailto:firstname089.lastname089@example.com?subject=Supply%20order%20ready%20for%20pickup&amp;body=Dear%20PSW%2C%0A%0AYour%20order%20is%20ready%20for%20pickup%20from%20Sample%20Branch%2C%20Wed-Fri%209am-4pm.</v>
      </c>
      <c r="AF638" s="89" t="str">
        <f t="shared" si="112"/>
        <v>Draft email</v>
      </c>
      <c r="AG638" s="64" t="str">
        <f>IF($C638="","",IFERROR(INDEX('Staff Directory'!$K$595:$K$599,MATCH($C638,'Staff Directory'!$B$5:$B$599,0)),$D638))</f>
        <v>PSW</v>
      </c>
      <c r="AH638" t="str">
        <f>IF($C638="","",IFERROR(INDEX('Staff Directory'!$I$595:$I$599,MATCH($C638,'Staff Directory'!$B$5:$B$599,0))&amp;" "&amp;INDEX('Staff Directory'!$J$595:$J$599,MATCH($C638,'Staff Directory'!$B$5:$B$599,0)),$AG638))</f>
        <v>PSW</v>
      </c>
      <c r="AI638" s="102"/>
      <c r="AJ638" s="101">
        <f>IF($F638="","",SUMIFS($J$5:$J638,$F$5:$F638,$F638))</f>
        <v>70</v>
      </c>
      <c r="AK638" s="101">
        <f t="shared" si="104"/>
        <v>70</v>
      </c>
      <c r="AL638" s="66" t="str" cm="1">
        <f t="array" ref="AL638">IF($F638="","",IFERROR(INDEX('Lot Balance'!$B$5:$B$500,MATCH(1,INDEX(('Lot Balance'!$A$5:$A$500=$F638)*('Lot Balance'!$K$5:$K$500&lt;$AK638)*('Lot Balance'!$K$5:$K$500+'Lot Balance'!$D$5:$D$500&gt;=$AK638),0),0)),""))</f>
        <v>20-21734-2</v>
      </c>
      <c r="AM638" s="66" t="str" cm="1">
        <f t="array" ref="AM638">IF($F638="","",IFERROR(INDEX('Lot Balance'!$B$5:$B$500,MATCH(1,INDEX(('Lot Balance'!$A$5:$A$500=$F638)*('Lot Balance'!$K$5:$K$500&lt;$AJ638)*('Lot Balance'!$K$5:$K$500+'Lot Balance'!$D$5:$D$500&gt;=$AJ638),0),0)),""))</f>
        <v>20-21734-2</v>
      </c>
      <c r="AN638" s="66" t="str">
        <f>IF($F638="","",IF($AI638&lt;&gt;"",IF(COUNTIFS('Lot Balance'!$A$5:$A$500,$F638,'Lot Balance'!$B$5:$B$500,$AI638)=0,"⚠ override is not a lot of this item",IF($AI638=$AL638,"Override = FEFO","Override - FEFO says "&amp;$AL638)),IF($AL638="","⚠ no receipt on file for this item",IF($AM638&lt;&gt;$AL638,"FEFO auto - split, also "&amp;$AM638,"FEFO auto"))))</f>
        <v>FEFO auto</v>
      </c>
      <c r="AO638" s="114"/>
    </row>
    <row r="639" spans="1:41" x14ac:dyDescent="0.35">
      <c r="A639" s="74">
        <v>46150</v>
      </c>
      <c r="B639" s="18" t="str">
        <f>IF($C639="","",IFERROR(INDEX('Staff Directory'!$A$5:$A$594,MATCH($C639,'Staff Directory'!$B$5:$B$594,0)),"⚠ unknown staff"))</f>
        <v>PSW-030-A4</v>
      </c>
      <c r="C639" s="49" t="s">
        <v>1005</v>
      </c>
      <c r="D639" s="19" t="str">
        <f>IF($B639="","",IFERROR(INDEX('Staff Directory'!$C$5:$C$594,MATCH($B639,'Staff Directory'!$A$5:$A$594,0)),""))</f>
        <v>PSW</v>
      </c>
      <c r="E639" s="19" t="str">
        <f>IF($B639="","",IFERROR(INDEX('Staff Directory'!$D$5:$D$594,MATCH($B639,'Staff Directory'!$A$5:$A$594,0)),""))</f>
        <v>A4</v>
      </c>
      <c r="F639" s="9" t="s">
        <v>137</v>
      </c>
      <c r="G639" s="18" t="str">
        <f>IF($F639="","",IFERROR(INDEX(Items!$B$5:$B$597,MATCH($F639,Items!$A$5:$A$597,0)),"⚠ not in Items"))</f>
        <v>Sanitizer</v>
      </c>
      <c r="H639" s="19" t="str">
        <f>IF($F639="","",IFERROR(INDEX(Items!$C$5:$C$597,MATCH($F639,Items!$A$5:$A$597,0)),""))</f>
        <v>118 ML</v>
      </c>
      <c r="I639" s="23">
        <f>IF($F639="","",IFERROR(INDEX(Items!$E$5:$E$597,MATCH($F639,Items!$A$5:$A$597,0)),""))</f>
        <v>2</v>
      </c>
      <c r="J639" s="115">
        <f>IF(tblIssues[[#This Row],[Qty Override]]&lt;&gt;"",tblIssues[[#This Row],[Qty Override]],IF(tblIssues[[#This Row],[Standard Issue]]="","",tblIssues[[#This Row],[Standard Issue]]))</f>
        <v>2</v>
      </c>
      <c r="K639" s="20">
        <f>IF($F639="","",IFERROR(INDEX(Items!$D$5:$D$597,MATCH($F639,Items!$A$5:$A$597,0)),""))</f>
        <v>4.49</v>
      </c>
      <c r="L639" s="21">
        <f t="shared" si="105"/>
        <v>8.98</v>
      </c>
      <c r="M639" s="9" t="str">
        <f t="shared" si="106"/>
        <v>563963-6</v>
      </c>
      <c r="N639" s="24">
        <f>IF($A639="","",WORKDAY($A639,Settings!$C$9,HolidayDates))</f>
        <v>46160</v>
      </c>
      <c r="O639" s="24">
        <f>IF($N639="","",WORKDAY($N639,Settings!$C$10,HolidayDates))</f>
        <v>46198</v>
      </c>
      <c r="P639" s="10" t="s">
        <v>501</v>
      </c>
      <c r="Q639" s="52" t="str">
        <f t="shared" si="108"/>
        <v>Collected</v>
      </c>
      <c r="R639" s="55" t="str">
        <f t="shared" si="109"/>
        <v>2026-05</v>
      </c>
      <c r="S639" s="55">
        <f>IF(OR($B639="",$F639="",$R639=""),"",SUMIFS(tblIssues[Qty Issued],tblIssues[Staff ID],$B639,tblIssues[Item Name],$F639,tblIssues[Month],$R639))</f>
        <v>2</v>
      </c>
      <c r="T639" s="56">
        <f>IF($I639="","",$I639*Settings!$C$11)</f>
        <v>2</v>
      </c>
      <c r="U639" s="57" t="str">
        <f t="shared" si="107"/>
        <v>OK</v>
      </c>
      <c r="V639" s="55" t="str">
        <f t="shared" si="110"/>
        <v/>
      </c>
      <c r="W639" s="55" t="str">
        <f>IF($V639="","",IF(COUNTIF($V$5:$V639,$V639)=1,1,""))</f>
        <v/>
      </c>
      <c r="X639" s="58" t="str">
        <f>IF($W639="","",MAX($X$4:X638)+1)</f>
        <v/>
      </c>
      <c r="Y639" s="62"/>
      <c r="Z639" s="62"/>
      <c r="AA639" s="64" t="str">
        <f>IF($C639="","",IFERROR(INDEX('Staff Directory'!$E$5:$E$594,MATCH($C639,'Staff Directory'!$B$5:$B$594,0)),""))</f>
        <v>firstname089.lastname089@example.com</v>
      </c>
      <c r="AB639" s="64" t="str">
        <f>IF($C639="","",IF(ISNUMBER(SEARCH($D639,Settings!$C$15)),"Pickup","Dispatch"))</f>
        <v>Pickup</v>
      </c>
      <c r="AC639" s="64" t="str">
        <f t="shared" si="111"/>
        <v>Supply order ready for pickup</v>
      </c>
      <c r="AD639" s="64" t="str">
        <f t="shared" si="102"/>
        <v>Dear PSW,
Your order is ready for pickup from Sample Branch, Wed-Fri 9am-4pm.</v>
      </c>
      <c r="AE639" s="64" t="str">
        <f t="shared" si="103"/>
        <v>mailto:firstname089.lastname089@example.com?subject=Supply%20order%20ready%20for%20pickup&amp;body=Dear%20PSW%2C%0A%0AYour%20order%20is%20ready%20for%20pickup%20from%20Sample%20Branch%2C%20Wed-Fri%209am-4pm.</v>
      </c>
      <c r="AF639" s="89" t="str">
        <f t="shared" si="112"/>
        <v>Draft email</v>
      </c>
      <c r="AG639" s="64" t="str">
        <f>IF($C639="","",IFERROR(INDEX('Staff Directory'!$K$595:$K$599,MATCH($C639,'Staff Directory'!$B$5:$B$599,0)),$D639))</f>
        <v>PSW</v>
      </c>
      <c r="AH639" t="str">
        <f>IF($C639="","",IFERROR(INDEX('Staff Directory'!$I$595:$I$599,MATCH($C639,'Staff Directory'!$B$5:$B$599,0))&amp;" "&amp;INDEX('Staff Directory'!$J$595:$J$599,MATCH($C639,'Staff Directory'!$B$5:$B$599,0)),$AG639))</f>
        <v>PSW</v>
      </c>
      <c r="AI639" s="102"/>
      <c r="AJ639" s="101">
        <f>IF($F639="","",SUMIFS($J$5:$J639,$F$5:$F639,$F639))</f>
        <v>86</v>
      </c>
      <c r="AK639" s="101">
        <f t="shared" si="104"/>
        <v>85</v>
      </c>
      <c r="AL639" s="66" t="str" cm="1">
        <f t="array" ref="AL639">IF($F639="","",IFERROR(INDEX('Lot Balance'!$B$5:$B$500,MATCH(1,INDEX(('Lot Balance'!$A$5:$A$500=$F639)*('Lot Balance'!$K$5:$K$500&lt;$AK639)*('Lot Balance'!$K$5:$K$500+'Lot Balance'!$D$5:$D$500&gt;=$AK639),0),0)),""))</f>
        <v>563963-6</v>
      </c>
      <c r="AM639" s="66" t="str" cm="1">
        <f t="array" ref="AM639">IF($F639="","",IFERROR(INDEX('Lot Balance'!$B$5:$B$500,MATCH(1,INDEX(('Lot Balance'!$A$5:$A$500=$F639)*('Lot Balance'!$K$5:$K$500&lt;$AJ639)*('Lot Balance'!$K$5:$K$500+'Lot Balance'!$D$5:$D$500&gt;=$AJ639),0),0)),""))</f>
        <v>563963-6</v>
      </c>
      <c r="AN639" s="66" t="str">
        <f>IF($F639="","",IF($AI639&lt;&gt;"",IF(COUNTIFS('Lot Balance'!$A$5:$A$500,$F639,'Lot Balance'!$B$5:$B$500,$AI639)=0,"⚠ override is not a lot of this item",IF($AI639=$AL639,"Override = FEFO","Override - FEFO says "&amp;$AL639)),IF($AL639="","⚠ no receipt on file for this item",IF($AM639&lt;&gt;$AL639,"FEFO auto - split, also "&amp;$AM639,"FEFO auto"))))</f>
        <v>FEFO auto</v>
      </c>
      <c r="AO639" s="114"/>
    </row>
    <row r="640" spans="1:41" x14ac:dyDescent="0.35">
      <c r="A640" s="74">
        <v>46150</v>
      </c>
      <c r="B640" s="18" t="str">
        <f>IF($C640="","",IFERROR(INDEX('Staff Directory'!$A$5:$A$594,MATCH($C640,'Staff Directory'!$B$5:$B$594,0)),"⚠ unknown staff"))</f>
        <v>PSW-030-A4</v>
      </c>
      <c r="C640" s="49" t="s">
        <v>1005</v>
      </c>
      <c r="D640" s="19" t="str">
        <f>IF($B640="","",IFERROR(INDEX('Staff Directory'!$C$5:$C$594,MATCH($B640,'Staff Directory'!$A$5:$A$594,0)),""))</f>
        <v>PSW</v>
      </c>
      <c r="E640" s="19" t="str">
        <f>IF($B640="","",IFERROR(INDEX('Staff Directory'!$D$5:$D$594,MATCH($B640,'Staff Directory'!$A$5:$A$594,0)),""))</f>
        <v>A4</v>
      </c>
      <c r="F640" s="9" t="s">
        <v>115</v>
      </c>
      <c r="G640" s="18" t="str">
        <f>IF($F640="","",IFERROR(INDEX(Items!$B$5:$B$597,MATCH($F640,Items!$A$5:$A$597,0)),"⚠ not in Items"))</f>
        <v>Wipes</v>
      </c>
      <c r="H640" s="19">
        <f>IF($F640="","",IFERROR(INDEX(Items!$C$5:$C$597,MATCH($F640,Items!$A$5:$A$597,0)),""))</f>
        <v>80</v>
      </c>
      <c r="I640" s="23">
        <f>IF($F640="","",IFERROR(INDEX(Items!$E$5:$E$597,MATCH($F640,Items!$A$5:$A$597,0)),""))</f>
        <v>80</v>
      </c>
      <c r="J640" s="115">
        <f>IF(tblIssues[[#This Row],[Qty Override]]&lt;&gt;"",tblIssues[[#This Row],[Qty Override]],IF(tblIssues[[#This Row],[Standard Issue]]="","",tblIssues[[#This Row],[Standard Issue]]))</f>
        <v>80</v>
      </c>
      <c r="K640" s="20">
        <f>IF($F640="","",IFERROR(INDEX(Items!$D$5:$D$597,MATCH($F640,Items!$A$5:$A$597,0)),""))</f>
        <v>0.1</v>
      </c>
      <c r="L640" s="21">
        <f t="shared" si="105"/>
        <v>8</v>
      </c>
      <c r="M640" s="9" t="str">
        <f t="shared" si="106"/>
        <v>LYSL500290</v>
      </c>
      <c r="N640" s="24">
        <f>IF($A640="","",WORKDAY($A640,Settings!$C$9,HolidayDates))</f>
        <v>46160</v>
      </c>
      <c r="O640" s="24">
        <f>IF($N640="","",WORKDAY($N640,Settings!$C$10,HolidayDates))</f>
        <v>46198</v>
      </c>
      <c r="P640" s="10" t="s">
        <v>501</v>
      </c>
      <c r="Q640" s="52" t="str">
        <f t="shared" si="108"/>
        <v>Collected</v>
      </c>
      <c r="R640" s="55" t="str">
        <f t="shared" si="109"/>
        <v>2026-05</v>
      </c>
      <c r="S640" s="55">
        <f>IF(OR($B640="",$F640="",$R640=""),"",SUMIFS(tblIssues[Qty Issued],tblIssues[Staff ID],$B640,tblIssues[Item Name],$F640,tblIssues[Month],$R640))</f>
        <v>80</v>
      </c>
      <c r="T640" s="56">
        <f>IF($I640="","",$I640*Settings!$C$11)</f>
        <v>80</v>
      </c>
      <c r="U640" s="57" t="str">
        <f t="shared" si="107"/>
        <v>OK</v>
      </c>
      <c r="V640" s="55" t="str">
        <f t="shared" si="110"/>
        <v/>
      </c>
      <c r="W640" s="55" t="str">
        <f>IF($V640="","",IF(COUNTIF($V$5:$V640,$V640)=1,1,""))</f>
        <v/>
      </c>
      <c r="X640" s="58" t="str">
        <f>IF($W640="","",MAX($X$4:X639)+1)</f>
        <v/>
      </c>
      <c r="Y640" s="62"/>
      <c r="Z640" s="62"/>
      <c r="AA640" s="64" t="str">
        <f>IF($C640="","",IFERROR(INDEX('Staff Directory'!$E$5:$E$594,MATCH($C640,'Staff Directory'!$B$5:$B$594,0)),""))</f>
        <v>firstname089.lastname089@example.com</v>
      </c>
      <c r="AB640" s="64" t="str">
        <f>IF($C640="","",IF(ISNUMBER(SEARCH($D640,Settings!$C$15)),"Pickup","Dispatch"))</f>
        <v>Pickup</v>
      </c>
      <c r="AC640" s="64" t="str">
        <f t="shared" si="111"/>
        <v>Supply order ready for pickup</v>
      </c>
      <c r="AD640" s="64" t="str">
        <f t="shared" si="102"/>
        <v>Dear PSW,
Your order is ready for pickup from Sample Branch, Wed-Fri 9am-4pm.</v>
      </c>
      <c r="AE640" s="64" t="str">
        <f t="shared" si="103"/>
        <v>mailto:firstname089.lastname089@example.com?subject=Supply%20order%20ready%20for%20pickup&amp;body=Dear%20PSW%2C%0A%0AYour%20order%20is%20ready%20for%20pickup%20from%20Sample%20Branch%2C%20Wed-Fri%209am-4pm.</v>
      </c>
      <c r="AF640" s="89" t="str">
        <f t="shared" si="112"/>
        <v>Draft email</v>
      </c>
      <c r="AG640" s="64" t="str">
        <f>IF($C640="","",IFERROR(INDEX('Staff Directory'!$K$595:$K$599,MATCH($C640,'Staff Directory'!$B$5:$B$599,0)),$D640))</f>
        <v>PSW</v>
      </c>
      <c r="AH640" t="str">
        <f>IF($C640="","",IFERROR(INDEX('Staff Directory'!$I$595:$I$599,MATCH($C640,'Staff Directory'!$B$5:$B$599,0))&amp;" "&amp;INDEX('Staff Directory'!$J$595:$J$599,MATCH($C640,'Staff Directory'!$B$5:$B$599,0)),$AG640))</f>
        <v>PSW</v>
      </c>
      <c r="AI640" s="102"/>
      <c r="AJ640" s="101">
        <f>IF($F640="","",SUMIFS($J$5:$J640,$F$5:$F640,$F640))</f>
        <v>9040</v>
      </c>
      <c r="AK640" s="101">
        <f t="shared" si="104"/>
        <v>8961</v>
      </c>
      <c r="AL640" s="66" t="str" cm="1">
        <f t="array" ref="AL640">IF($F640="","",IFERROR(INDEX('Lot Balance'!$B$5:$B$500,MATCH(1,INDEX(('Lot Balance'!$A$5:$A$500=$F640)*('Lot Balance'!$K$5:$K$500&lt;$AK640)*('Lot Balance'!$K$5:$K$500+'Lot Balance'!$D$5:$D$500&gt;=$AK640),0),0)),""))</f>
        <v>LYSL500290</v>
      </c>
      <c r="AM640" s="66" t="str" cm="1">
        <f t="array" ref="AM640">IF($F640="","",IFERROR(INDEX('Lot Balance'!$B$5:$B$500,MATCH(1,INDEX(('Lot Balance'!$A$5:$A$500=$F640)*('Lot Balance'!$K$5:$K$500&lt;$AJ640)*('Lot Balance'!$K$5:$K$500+'Lot Balance'!$D$5:$D$500&gt;=$AJ640),0),0)),""))</f>
        <v>LYSL500290</v>
      </c>
      <c r="AN640" s="66" t="str">
        <f>IF($F640="","",IF($AI640&lt;&gt;"",IF(COUNTIFS('Lot Balance'!$A$5:$A$500,$F640,'Lot Balance'!$B$5:$B$500,$AI640)=0,"⚠ override is not a lot of this item",IF($AI640=$AL640,"Override = FEFO","Override - FEFO says "&amp;$AL640)),IF($AL640="","⚠ no receipt on file for this item",IF($AM640&lt;&gt;$AL640,"FEFO auto - split, also "&amp;$AM640,"FEFO auto"))))</f>
        <v>FEFO auto</v>
      </c>
      <c r="AO640" s="114"/>
    </row>
    <row r="641" spans="1:41" x14ac:dyDescent="0.35">
      <c r="A641" s="74">
        <v>46150</v>
      </c>
      <c r="B641" s="18" t="str">
        <f>IF($C641="","",IFERROR(INDEX('Staff Directory'!$A$5:$A$594,MATCH($C641,'Staff Directory'!$B$5:$B$594,0)),"⚠ unknown staff"))</f>
        <v>PSW-019-A7</v>
      </c>
      <c r="C641" s="49" t="s">
        <v>995</v>
      </c>
      <c r="D641" s="19" t="str">
        <f>IF($B641="","",IFERROR(INDEX('Staff Directory'!$C$5:$C$594,MATCH($B641,'Staff Directory'!$A$5:$A$594,0)),""))</f>
        <v>PSW</v>
      </c>
      <c r="E641" s="19" t="str">
        <f>IF($B641="","",IFERROR(INDEX('Staff Directory'!$D$5:$D$594,MATCH($B641,'Staff Directory'!$A$5:$A$594,0)),""))</f>
        <v>A7</v>
      </c>
      <c r="F641" s="9" t="s">
        <v>127</v>
      </c>
      <c r="G641" s="18" t="str">
        <f>IF($F641="","",IFERROR(INDEX(Items!$B$5:$B$597,MATCH($F641,Items!$A$5:$A$597,0)),"⚠ not in Items"))</f>
        <v>Gloves</v>
      </c>
      <c r="H641" s="19" t="str">
        <f>IF($F641="","",IFERROR(INDEX(Items!$C$5:$C$597,MATCH($F641,Items!$A$5:$A$597,0)),""))</f>
        <v>Medium</v>
      </c>
      <c r="I641" s="23">
        <f>IF($F641="","",IFERROR(INDEX(Items!$E$5:$E$597,MATCH($F641,Items!$A$5:$A$597,0)),""))</f>
        <v>500</v>
      </c>
      <c r="J641" s="115">
        <f>IF(tblIssues[[#This Row],[Qty Override]]&lt;&gt;"",tblIssues[[#This Row],[Qty Override]],IF(tblIssues[[#This Row],[Standard Issue]]="","",tblIssues[[#This Row],[Standard Issue]]))</f>
        <v>500</v>
      </c>
      <c r="K641" s="20">
        <f>IF($F641="","",IFERROR(INDEX(Items!$D$5:$D$597,MATCH($F641,Items!$A$5:$A$597,0)),""))</f>
        <v>5.5E-2</v>
      </c>
      <c r="L641" s="21">
        <f t="shared" si="105"/>
        <v>27.5</v>
      </c>
      <c r="M641" s="9" t="str">
        <f t="shared" si="106"/>
        <v>O16689</v>
      </c>
      <c r="N641" s="24">
        <f>IF($A641="","",WORKDAY($A641,Settings!$C$9,HolidayDates))</f>
        <v>46160</v>
      </c>
      <c r="O641" s="24">
        <f>IF($N641="","",WORKDAY($N641,Settings!$C$10,HolidayDates))</f>
        <v>46198</v>
      </c>
      <c r="P641" s="10" t="s">
        <v>501</v>
      </c>
      <c r="Q641" s="52" t="str">
        <f t="shared" si="108"/>
        <v>Collected</v>
      </c>
      <c r="R641" s="55" t="str">
        <f t="shared" si="109"/>
        <v>2026-05</v>
      </c>
      <c r="S641" s="55">
        <f>IF(OR($B641="",$F641="",$R641=""),"",SUMIFS(tblIssues[Qty Issued],tblIssues[Staff ID],$B641,tblIssues[Item Name],$F641,tblIssues[Month],$R641))</f>
        <v>500</v>
      </c>
      <c r="T641" s="56">
        <f>IF($I641="","",$I641*Settings!$C$11)</f>
        <v>500</v>
      </c>
      <c r="U641" s="57" t="str">
        <f t="shared" si="107"/>
        <v>OK</v>
      </c>
      <c r="V641" s="55" t="str">
        <f t="shared" si="110"/>
        <v/>
      </c>
      <c r="W641" s="55" t="str">
        <f>IF($V641="","",IF(COUNTIF($V$5:$V641,$V641)=1,1,""))</f>
        <v/>
      </c>
      <c r="X641" s="58" t="str">
        <f>IF($W641="","",MAX($X$4:X640)+1)</f>
        <v/>
      </c>
      <c r="Y641" s="62"/>
      <c r="Z641" s="62"/>
      <c r="AA641" s="64" t="str">
        <f>IF($C641="","",IFERROR(INDEX('Staff Directory'!$E$5:$E$594,MATCH($C641,'Staff Directory'!$B$5:$B$594,0)),""))</f>
        <v>firstname079.lastname079@example.com</v>
      </c>
      <c r="AB641" s="64" t="str">
        <f>IF($C641="","",IF(ISNUMBER(SEARCH($D641,Settings!$C$15)),"Pickup","Dispatch"))</f>
        <v>Pickup</v>
      </c>
      <c r="AC641" s="64" t="str">
        <f t="shared" si="111"/>
        <v>Supply order ready for pickup</v>
      </c>
      <c r="AD641" s="64" t="str">
        <f t="shared" si="102"/>
        <v>Dear PSW,
Your order is ready for pickup from Sample Branch, Wed-Fri 9am-4pm.</v>
      </c>
      <c r="AE641" s="64" t="str">
        <f t="shared" si="103"/>
        <v>mailto:firstname079.lastname079@example.com?subject=Supply%20order%20ready%20for%20pickup&amp;body=Dear%20PSW%2C%0A%0AYour%20order%20is%20ready%20for%20pickup%20from%20Sample%20Branch%2C%20Wed-Fri%209am-4pm.</v>
      </c>
      <c r="AF641" s="89" t="str">
        <f t="shared" si="112"/>
        <v>Draft email</v>
      </c>
      <c r="AG641" s="64" t="str">
        <f>IF($C641="","",IFERROR(INDEX('Staff Directory'!$K$595:$K$599,MATCH($C641,'Staff Directory'!$B$5:$B$599,0)),$D641))</f>
        <v>PSW</v>
      </c>
      <c r="AH641" t="str">
        <f>IF($C641="","",IFERROR(INDEX('Staff Directory'!$I$595:$I$599,MATCH($C641,'Staff Directory'!$B$5:$B$599,0))&amp;" "&amp;INDEX('Staff Directory'!$J$595:$J$599,MATCH($C641,'Staff Directory'!$B$5:$B$599,0)),$AG641))</f>
        <v>PSW</v>
      </c>
      <c r="AI641" s="102"/>
      <c r="AJ641" s="101">
        <f>IF($F641="","",SUMIFS($J$5:$J641,$F$5:$F641,$F641))</f>
        <v>36000</v>
      </c>
      <c r="AK641" s="101">
        <f t="shared" si="104"/>
        <v>35501</v>
      </c>
      <c r="AL641" s="66" t="str" cm="1">
        <f t="array" ref="AL641">IF($F641="","",IFERROR(INDEX('Lot Balance'!$B$5:$B$500,MATCH(1,INDEX(('Lot Balance'!$A$5:$A$500=$F641)*('Lot Balance'!$K$5:$K$500&lt;$AK641)*('Lot Balance'!$K$5:$K$500+'Lot Balance'!$D$5:$D$500&gt;=$AK641),0),0)),""))</f>
        <v>O16689</v>
      </c>
      <c r="AM641" s="66" t="str" cm="1">
        <f t="array" ref="AM641">IF($F641="","",IFERROR(INDEX('Lot Balance'!$B$5:$B$500,MATCH(1,INDEX(('Lot Balance'!$A$5:$A$500=$F641)*('Lot Balance'!$K$5:$K$500&lt;$AJ641)*('Lot Balance'!$K$5:$K$500+'Lot Balance'!$D$5:$D$500&gt;=$AJ641),0),0)),""))</f>
        <v>O16689</v>
      </c>
      <c r="AN641" s="66" t="str">
        <f>IF($F641="","",IF($AI641&lt;&gt;"",IF(COUNTIFS('Lot Balance'!$A$5:$A$500,$F641,'Lot Balance'!$B$5:$B$500,$AI641)=0,"⚠ override is not a lot of this item",IF($AI641=$AL641,"Override = FEFO","Override - FEFO says "&amp;$AL641)),IF($AL641="","⚠ no receipt on file for this item",IF($AM641&lt;&gt;$AL641,"FEFO auto - split, also "&amp;$AM641,"FEFO auto"))))</f>
        <v>FEFO auto</v>
      </c>
      <c r="AO641" s="114"/>
    </row>
    <row r="642" spans="1:41" x14ac:dyDescent="0.35">
      <c r="A642" s="74">
        <v>46150</v>
      </c>
      <c r="B642" s="18" t="str">
        <f>IF($C642="","",IFERROR(INDEX('Staff Directory'!$A$5:$A$594,MATCH($C642,'Staff Directory'!$B$5:$B$594,0)),"⚠ unknown staff"))</f>
        <v>PSW-019-A7</v>
      </c>
      <c r="C642" s="49" t="s">
        <v>995</v>
      </c>
      <c r="D642" s="19" t="str">
        <f>IF($B642="","",IFERROR(INDEX('Staff Directory'!$C$5:$C$594,MATCH($B642,'Staff Directory'!$A$5:$A$594,0)),""))</f>
        <v>PSW</v>
      </c>
      <c r="E642" s="19" t="str">
        <f>IF($B642="","",IFERROR(INDEX('Staff Directory'!$D$5:$D$594,MATCH($B642,'Staff Directory'!$A$5:$A$594,0)),""))</f>
        <v>A7</v>
      </c>
      <c r="F642" s="9" t="s">
        <v>191</v>
      </c>
      <c r="G642" s="18" t="str">
        <f>IF($F642="","",IFERROR(INDEX(Items!$B$5:$B$597,MATCH($F642,Items!$A$5:$A$597,0)),"⚠ not in Items"))</f>
        <v>Sanitizer</v>
      </c>
      <c r="H642" s="19" t="str">
        <f>IF($F642="","",IFERROR(INDEX(Items!$C$5:$C$597,MATCH($F642,Items!$A$5:$A$597,0)),""))</f>
        <v>236 ML</v>
      </c>
      <c r="I642" s="23">
        <f>IF($F642="","",IFERROR(INDEX(Items!$E$5:$E$597,MATCH($F642,Items!$A$5:$A$597,0)),""))</f>
        <v>1</v>
      </c>
      <c r="J642" s="115">
        <f>IF(tblIssues[[#This Row],[Qty Override]]&lt;&gt;"",tblIssues[[#This Row],[Qty Override]],IF(tblIssues[[#This Row],[Standard Issue]]="","",tblIssues[[#This Row],[Standard Issue]]))</f>
        <v>1</v>
      </c>
      <c r="K642" s="20">
        <f>IF($F642="","",IFERROR(INDEX(Items!$D$5:$D$597,MATCH($F642,Items!$A$5:$A$597,0)),""))</f>
        <v>1E-4</v>
      </c>
      <c r="L642" s="21">
        <f t="shared" si="105"/>
        <v>1E-4</v>
      </c>
      <c r="M642" s="9" t="str">
        <f t="shared" si="106"/>
        <v>20-21734-2</v>
      </c>
      <c r="N642" s="24">
        <f>IF($A642="","",WORKDAY($A642,Settings!$C$9,HolidayDates))</f>
        <v>46160</v>
      </c>
      <c r="O642" s="24">
        <f>IF($N642="","",WORKDAY($N642,Settings!$C$10,HolidayDates))</f>
        <v>46198</v>
      </c>
      <c r="P642" s="10" t="s">
        <v>501</v>
      </c>
      <c r="Q642" s="52" t="str">
        <f t="shared" si="108"/>
        <v>Collected</v>
      </c>
      <c r="R642" s="55" t="str">
        <f t="shared" si="109"/>
        <v>2026-05</v>
      </c>
      <c r="S642" s="55">
        <f>IF(OR($B642="",$F642="",$R642=""),"",SUMIFS(tblIssues[Qty Issued],tblIssues[Staff ID],$B642,tblIssues[Item Name],$F642,tblIssues[Month],$R642))</f>
        <v>1</v>
      </c>
      <c r="T642" s="56">
        <f>IF($I642="","",$I642*Settings!$C$11)</f>
        <v>1</v>
      </c>
      <c r="U642" s="57" t="str">
        <f t="shared" si="107"/>
        <v>OK</v>
      </c>
      <c r="V642" s="55" t="str">
        <f t="shared" si="110"/>
        <v/>
      </c>
      <c r="W642" s="55" t="str">
        <f>IF($V642="","",IF(COUNTIF($V$5:$V642,$V642)=1,1,""))</f>
        <v/>
      </c>
      <c r="X642" s="58" t="str">
        <f>IF($W642="","",MAX($X$4:X641)+1)</f>
        <v/>
      </c>
      <c r="Y642" s="62"/>
      <c r="Z642" s="62"/>
      <c r="AA642" s="64" t="str">
        <f>IF($C642="","",IFERROR(INDEX('Staff Directory'!$E$5:$E$594,MATCH($C642,'Staff Directory'!$B$5:$B$594,0)),""))</f>
        <v>firstname079.lastname079@example.com</v>
      </c>
      <c r="AB642" s="64" t="str">
        <f>IF($C642="","",IF(ISNUMBER(SEARCH($D642,Settings!$C$15)),"Pickup","Dispatch"))</f>
        <v>Pickup</v>
      </c>
      <c r="AC642" s="64" t="str">
        <f t="shared" si="111"/>
        <v>Supply order ready for pickup</v>
      </c>
      <c r="AD642" s="64" t="str">
        <f t="shared" si="102"/>
        <v>Dear PSW,
Your order is ready for pickup from Sample Branch, Wed-Fri 9am-4pm.</v>
      </c>
      <c r="AE642" s="64" t="str">
        <f t="shared" si="103"/>
        <v>mailto:firstname079.lastname079@example.com?subject=Supply%20order%20ready%20for%20pickup&amp;body=Dear%20PSW%2C%0A%0AYour%20order%20is%20ready%20for%20pickup%20from%20Sample%20Branch%2C%20Wed-Fri%209am-4pm.</v>
      </c>
      <c r="AF642" s="89" t="str">
        <f t="shared" si="112"/>
        <v>Draft email</v>
      </c>
      <c r="AG642" s="64" t="str">
        <f>IF($C642="","",IFERROR(INDEX('Staff Directory'!$K$595:$K$599,MATCH($C642,'Staff Directory'!$B$5:$B$599,0)),$D642))</f>
        <v>PSW</v>
      </c>
      <c r="AH642" t="str">
        <f>IF($C642="","",IFERROR(INDEX('Staff Directory'!$I$595:$I$599,MATCH($C642,'Staff Directory'!$B$5:$B$599,0))&amp;" "&amp;INDEX('Staff Directory'!$J$595:$J$599,MATCH($C642,'Staff Directory'!$B$5:$B$599,0)),$AG642))</f>
        <v>PSW</v>
      </c>
      <c r="AI642" s="102"/>
      <c r="AJ642" s="101">
        <f>IF($F642="","",SUMIFS($J$5:$J642,$F$5:$F642,$F642))</f>
        <v>71</v>
      </c>
      <c r="AK642" s="101">
        <f t="shared" si="104"/>
        <v>71</v>
      </c>
      <c r="AL642" s="66" t="str" cm="1">
        <f t="array" ref="AL642">IF($F642="","",IFERROR(INDEX('Lot Balance'!$B$5:$B$500,MATCH(1,INDEX(('Lot Balance'!$A$5:$A$500=$F642)*('Lot Balance'!$K$5:$K$500&lt;$AK642)*('Lot Balance'!$K$5:$K$500+'Lot Balance'!$D$5:$D$500&gt;=$AK642),0),0)),""))</f>
        <v>20-21734-2</v>
      </c>
      <c r="AM642" s="66" t="str" cm="1">
        <f t="array" ref="AM642">IF($F642="","",IFERROR(INDEX('Lot Balance'!$B$5:$B$500,MATCH(1,INDEX(('Lot Balance'!$A$5:$A$500=$F642)*('Lot Balance'!$K$5:$K$500&lt;$AJ642)*('Lot Balance'!$K$5:$K$500+'Lot Balance'!$D$5:$D$500&gt;=$AJ642),0),0)),""))</f>
        <v>20-21734-2</v>
      </c>
      <c r="AN642" s="66" t="str">
        <f>IF($F642="","",IF($AI642&lt;&gt;"",IF(COUNTIFS('Lot Balance'!$A$5:$A$500,$F642,'Lot Balance'!$B$5:$B$500,$AI642)=0,"⚠ override is not a lot of this item",IF($AI642=$AL642,"Override = FEFO","Override - FEFO says "&amp;$AL642)),IF($AL642="","⚠ no receipt on file for this item",IF($AM642&lt;&gt;$AL642,"FEFO auto - split, also "&amp;$AM642,"FEFO auto"))))</f>
        <v>FEFO auto</v>
      </c>
      <c r="AO642" s="114"/>
    </row>
    <row r="643" spans="1:41" x14ac:dyDescent="0.35">
      <c r="A643" s="74">
        <v>46150</v>
      </c>
      <c r="B643" s="18" t="str">
        <f>IF($C643="","",IFERROR(INDEX('Staff Directory'!$A$5:$A$594,MATCH($C643,'Staff Directory'!$B$5:$B$594,0)),"⚠ unknown staff"))</f>
        <v>PSW-019-A7</v>
      </c>
      <c r="C643" s="49" t="s">
        <v>995</v>
      </c>
      <c r="D643" s="19" t="str">
        <f>IF($B643="","",IFERROR(INDEX('Staff Directory'!$C$5:$C$594,MATCH($B643,'Staff Directory'!$A$5:$A$594,0)),""))</f>
        <v>PSW</v>
      </c>
      <c r="E643" s="19" t="str">
        <f>IF($B643="","",IFERROR(INDEX('Staff Directory'!$D$5:$D$594,MATCH($B643,'Staff Directory'!$A$5:$A$594,0)),""))</f>
        <v>A7</v>
      </c>
      <c r="F643" s="9" t="s">
        <v>115</v>
      </c>
      <c r="G643" s="18" t="str">
        <f>IF($F643="","",IFERROR(INDEX(Items!$B$5:$B$597,MATCH($F643,Items!$A$5:$A$597,0)),"⚠ not in Items"))</f>
        <v>Wipes</v>
      </c>
      <c r="H643" s="19">
        <f>IF($F643="","",IFERROR(INDEX(Items!$C$5:$C$597,MATCH($F643,Items!$A$5:$A$597,0)),""))</f>
        <v>80</v>
      </c>
      <c r="I643" s="23">
        <f>IF($F643="","",IFERROR(INDEX(Items!$E$5:$E$597,MATCH($F643,Items!$A$5:$A$597,0)),""))</f>
        <v>80</v>
      </c>
      <c r="J643" s="115">
        <f>IF(tblIssues[[#This Row],[Qty Override]]&lt;&gt;"",tblIssues[[#This Row],[Qty Override]],IF(tblIssues[[#This Row],[Standard Issue]]="","",tblIssues[[#This Row],[Standard Issue]]))</f>
        <v>80</v>
      </c>
      <c r="K643" s="20">
        <f>IF($F643="","",IFERROR(INDEX(Items!$D$5:$D$597,MATCH($F643,Items!$A$5:$A$597,0)),""))</f>
        <v>0.1</v>
      </c>
      <c r="L643" s="21">
        <f t="shared" si="105"/>
        <v>8</v>
      </c>
      <c r="M643" s="9" t="str">
        <f t="shared" si="106"/>
        <v>LYSL500290</v>
      </c>
      <c r="N643" s="24">
        <f>IF($A643="","",WORKDAY($A643,Settings!$C$9,HolidayDates))</f>
        <v>46160</v>
      </c>
      <c r="O643" s="24">
        <f>IF($N643="","",WORKDAY($N643,Settings!$C$10,HolidayDates))</f>
        <v>46198</v>
      </c>
      <c r="P643" s="10" t="s">
        <v>501</v>
      </c>
      <c r="Q643" s="52" t="str">
        <f t="shared" si="108"/>
        <v>Collected</v>
      </c>
      <c r="R643" s="55" t="str">
        <f t="shared" si="109"/>
        <v>2026-05</v>
      </c>
      <c r="S643" s="55">
        <f>IF(OR($B643="",$F643="",$R643=""),"",SUMIFS(tblIssues[Qty Issued],tblIssues[Staff ID],$B643,tblIssues[Item Name],$F643,tblIssues[Month],$R643))</f>
        <v>80</v>
      </c>
      <c r="T643" s="56">
        <f>IF($I643="","",$I643*Settings!$C$11)</f>
        <v>80</v>
      </c>
      <c r="U643" s="57" t="str">
        <f t="shared" si="107"/>
        <v>OK</v>
      </c>
      <c r="V643" s="55" t="str">
        <f t="shared" si="110"/>
        <v/>
      </c>
      <c r="W643" s="55" t="str">
        <f>IF($V643="","",IF(COUNTIF($V$5:$V643,$V643)=1,1,""))</f>
        <v/>
      </c>
      <c r="X643" s="58" t="str">
        <f>IF($W643="","",MAX($X$4:X642)+1)</f>
        <v/>
      </c>
      <c r="Y643" s="62"/>
      <c r="Z643" s="62"/>
      <c r="AA643" s="64" t="str">
        <f>IF($C643="","",IFERROR(INDEX('Staff Directory'!$E$5:$E$594,MATCH($C643,'Staff Directory'!$B$5:$B$594,0)),""))</f>
        <v>firstname079.lastname079@example.com</v>
      </c>
      <c r="AB643" s="64" t="str">
        <f>IF($C643="","",IF(ISNUMBER(SEARCH($D643,Settings!$C$15)),"Pickup","Dispatch"))</f>
        <v>Pickup</v>
      </c>
      <c r="AC643" s="64" t="str">
        <f t="shared" si="111"/>
        <v>Supply order ready for pickup</v>
      </c>
      <c r="AD643" s="64" t="str">
        <f t="shared" si="102"/>
        <v>Dear PSW,
Your order is ready for pickup from Sample Branch, Wed-Fri 9am-4pm.</v>
      </c>
      <c r="AE643" s="64" t="str">
        <f t="shared" si="103"/>
        <v>mailto:firstname079.lastname079@example.com?subject=Supply%20order%20ready%20for%20pickup&amp;body=Dear%20PSW%2C%0A%0AYour%20order%20is%20ready%20for%20pickup%20from%20Sample%20Branch%2C%20Wed-Fri%209am-4pm.</v>
      </c>
      <c r="AF643" s="89" t="str">
        <f t="shared" si="112"/>
        <v>Draft email</v>
      </c>
      <c r="AG643" s="64" t="str">
        <f>IF($C643="","",IFERROR(INDEX('Staff Directory'!$K$595:$K$599,MATCH($C643,'Staff Directory'!$B$5:$B$599,0)),$D643))</f>
        <v>PSW</v>
      </c>
      <c r="AH643" t="str">
        <f>IF($C643="","",IFERROR(INDEX('Staff Directory'!$I$595:$I$599,MATCH($C643,'Staff Directory'!$B$5:$B$599,0))&amp;" "&amp;INDEX('Staff Directory'!$J$595:$J$599,MATCH($C643,'Staff Directory'!$B$5:$B$599,0)),$AG643))</f>
        <v>PSW</v>
      </c>
      <c r="AI643" s="102"/>
      <c r="AJ643" s="101">
        <f>IF($F643="","",SUMIFS($J$5:$J643,$F$5:$F643,$F643))</f>
        <v>9120</v>
      </c>
      <c r="AK643" s="101">
        <f t="shared" si="104"/>
        <v>9041</v>
      </c>
      <c r="AL643" s="66" t="str" cm="1">
        <f t="array" ref="AL643">IF($F643="","",IFERROR(INDEX('Lot Balance'!$B$5:$B$500,MATCH(1,INDEX(('Lot Balance'!$A$5:$A$500=$F643)*('Lot Balance'!$K$5:$K$500&lt;$AK643)*('Lot Balance'!$K$5:$K$500+'Lot Balance'!$D$5:$D$500&gt;=$AK643),0),0)),""))</f>
        <v>LYSL500290</v>
      </c>
      <c r="AM643" s="66" t="str" cm="1">
        <f t="array" ref="AM643">IF($F643="","",IFERROR(INDEX('Lot Balance'!$B$5:$B$500,MATCH(1,INDEX(('Lot Balance'!$A$5:$A$500=$F643)*('Lot Balance'!$K$5:$K$500&lt;$AJ643)*('Lot Balance'!$K$5:$K$500+'Lot Balance'!$D$5:$D$500&gt;=$AJ643),0),0)),""))</f>
        <v>LYSL500290</v>
      </c>
      <c r="AN643" s="66" t="str">
        <f>IF($F643="","",IF($AI643&lt;&gt;"",IF(COUNTIFS('Lot Balance'!$A$5:$A$500,$F643,'Lot Balance'!$B$5:$B$500,$AI643)=0,"⚠ override is not a lot of this item",IF($AI643=$AL643,"Override = FEFO","Override - FEFO says "&amp;$AL643)),IF($AL643="","⚠ no receipt on file for this item",IF($AM643&lt;&gt;$AL643,"FEFO auto - split, also "&amp;$AM643,"FEFO auto"))))</f>
        <v>FEFO auto</v>
      </c>
      <c r="AO643" s="114"/>
    </row>
    <row r="644" spans="1:41" x14ac:dyDescent="0.35">
      <c r="A644" s="74">
        <v>46150</v>
      </c>
      <c r="B644" s="18" t="str">
        <f>IF($C644="","",IFERROR(INDEX('Staff Directory'!$A$5:$A$594,MATCH($C644,'Staff Directory'!$B$5:$B$594,0)),"⚠ unknown staff"))</f>
        <v>PSW-019-A7</v>
      </c>
      <c r="C644" s="49" t="s">
        <v>995</v>
      </c>
      <c r="D644" s="19" t="str">
        <f>IF($B644="","",IFERROR(INDEX('Staff Directory'!$C$5:$C$594,MATCH($B644,'Staff Directory'!$A$5:$A$594,0)),""))</f>
        <v>PSW</v>
      </c>
      <c r="E644" s="19" t="str">
        <f>IF($B644="","",IFERROR(INDEX('Staff Directory'!$D$5:$D$594,MATCH($B644,'Staff Directory'!$A$5:$A$594,0)),""))</f>
        <v>A7</v>
      </c>
      <c r="F644" s="9" t="s">
        <v>156</v>
      </c>
      <c r="G644" s="18" t="str">
        <f>IF($F644="","",IFERROR(INDEX(Items!$B$5:$B$597,MATCH($F644,Items!$A$5:$A$597,0)),"⚠ not in Items"))</f>
        <v>Masks</v>
      </c>
      <c r="H644" s="19" t="str">
        <f>IF($F644="","",IFERROR(INDEX(Items!$C$5:$C$597,MATCH($F644,Items!$A$5:$A$597,0)),""))</f>
        <v>One Size</v>
      </c>
      <c r="I644" s="23">
        <f>IF($F644="","",IFERROR(INDEX(Items!$E$5:$E$597,MATCH($F644,Items!$A$5:$A$597,0)),""))</f>
        <v>50</v>
      </c>
      <c r="J644" s="115">
        <f>IF(tblIssues[[#This Row],[Qty Override]]&lt;&gt;"",tblIssues[[#This Row],[Qty Override]],IF(tblIssues[[#This Row],[Standard Issue]]="","",tblIssues[[#This Row],[Standard Issue]]))</f>
        <v>50</v>
      </c>
      <c r="K644" s="20">
        <f>IF($F644="","",IFERROR(INDEX(Items!$D$5:$D$597,MATCH($F644,Items!$A$5:$A$597,0)),""))</f>
        <v>0.25</v>
      </c>
      <c r="L644" s="21">
        <f t="shared" si="105"/>
        <v>12.5</v>
      </c>
      <c r="M644" s="9" t="str">
        <f t="shared" si="106"/>
        <v>0125FPC24-0</v>
      </c>
      <c r="N644" s="24">
        <f>IF($A644="","",WORKDAY($A644,Settings!$C$9,HolidayDates))</f>
        <v>46160</v>
      </c>
      <c r="O644" s="24">
        <f>IF($N644="","",WORKDAY($N644,Settings!$C$10,HolidayDates))</f>
        <v>46198</v>
      </c>
      <c r="P644" s="10" t="s">
        <v>501</v>
      </c>
      <c r="Q644" s="52" t="str">
        <f t="shared" si="108"/>
        <v>Collected</v>
      </c>
      <c r="R644" s="55" t="str">
        <f t="shared" si="109"/>
        <v>2026-05</v>
      </c>
      <c r="S644" s="55">
        <f>IF(OR($B644="",$F644="",$R644=""),"",SUMIFS(tblIssues[Qty Issued],tblIssues[Staff ID],$B644,tblIssues[Item Name],$F644,tblIssues[Month],$R644))</f>
        <v>50</v>
      </c>
      <c r="T644" s="56">
        <f>IF($I644="","",$I644*Settings!$C$11)</f>
        <v>50</v>
      </c>
      <c r="U644" s="57" t="str">
        <f t="shared" si="107"/>
        <v>OK</v>
      </c>
      <c r="V644" s="55" t="str">
        <f t="shared" si="110"/>
        <v/>
      </c>
      <c r="W644" s="55" t="str">
        <f>IF($V644="","",IF(COUNTIF($V$5:$V644,$V644)=1,1,""))</f>
        <v/>
      </c>
      <c r="X644" s="58" t="str">
        <f>IF($W644="","",MAX($X$4:X643)+1)</f>
        <v/>
      </c>
      <c r="Y644" s="62"/>
      <c r="Z644" s="62"/>
      <c r="AA644" s="64" t="str">
        <f>IF($C644="","",IFERROR(INDEX('Staff Directory'!$E$5:$E$594,MATCH($C644,'Staff Directory'!$B$5:$B$594,0)),""))</f>
        <v>firstname079.lastname079@example.com</v>
      </c>
      <c r="AB644" s="64" t="str">
        <f>IF($C644="","",IF(ISNUMBER(SEARCH($D644,Settings!$C$15)),"Pickup","Dispatch"))</f>
        <v>Pickup</v>
      </c>
      <c r="AC644" s="64" t="str">
        <f t="shared" si="111"/>
        <v>Supply order ready for pickup</v>
      </c>
      <c r="AD644" s="64" t="str">
        <f t="shared" si="102"/>
        <v>Dear PSW,
Your order is ready for pickup from Sample Branch, Wed-Fri 9am-4pm.</v>
      </c>
      <c r="AE644" s="64" t="str">
        <f t="shared" si="103"/>
        <v>mailto:firstname079.lastname079@example.com?subject=Supply%20order%20ready%20for%20pickup&amp;body=Dear%20PSW%2C%0A%0AYour%20order%20is%20ready%20for%20pickup%20from%20Sample%20Branch%2C%20Wed-Fri%209am-4pm.</v>
      </c>
      <c r="AF644" s="89" t="str">
        <f t="shared" si="112"/>
        <v>Draft email</v>
      </c>
      <c r="AG644" s="64" t="str">
        <f>IF($C644="","",IFERROR(INDEX('Staff Directory'!$K$595:$K$599,MATCH($C644,'Staff Directory'!$B$5:$B$599,0)),$D644))</f>
        <v>PSW</v>
      </c>
      <c r="AH644" t="str">
        <f>IF($C644="","",IFERROR(INDEX('Staff Directory'!$I$595:$I$599,MATCH($C644,'Staff Directory'!$B$5:$B$599,0))&amp;" "&amp;INDEX('Staff Directory'!$J$595:$J$599,MATCH($C644,'Staff Directory'!$B$5:$B$599,0)),$AG644))</f>
        <v>PSW</v>
      </c>
      <c r="AI644" s="102"/>
      <c r="AJ644" s="101">
        <f>IF($F644="","",SUMIFS($J$5:$J644,$F$5:$F644,$F644))</f>
        <v>5150</v>
      </c>
      <c r="AK644" s="101">
        <f t="shared" si="104"/>
        <v>5101</v>
      </c>
      <c r="AL644" s="66" t="str" cm="1">
        <f t="array" ref="AL644">IF($F644="","",IFERROR(INDEX('Lot Balance'!$B$5:$B$500,MATCH(1,INDEX(('Lot Balance'!$A$5:$A$500=$F644)*('Lot Balance'!$K$5:$K$500&lt;$AK644)*('Lot Balance'!$K$5:$K$500+'Lot Balance'!$D$5:$D$500&gt;=$AK644),0),0)),""))</f>
        <v>0125FPC24-0</v>
      </c>
      <c r="AM644" s="66" t="str" cm="1">
        <f t="array" ref="AM644">IF($F644="","",IFERROR(INDEX('Lot Balance'!$B$5:$B$500,MATCH(1,INDEX(('Lot Balance'!$A$5:$A$500=$F644)*('Lot Balance'!$K$5:$K$500&lt;$AJ644)*('Lot Balance'!$K$5:$K$500+'Lot Balance'!$D$5:$D$500&gt;=$AJ644),0),0)),""))</f>
        <v>0125FPC24-0</v>
      </c>
      <c r="AN644" s="66" t="str">
        <f>IF($F644="","",IF($AI644&lt;&gt;"",IF(COUNTIFS('Lot Balance'!$A$5:$A$500,$F644,'Lot Balance'!$B$5:$B$500,$AI644)=0,"⚠ override is not a lot of this item",IF($AI644=$AL644,"Override = FEFO","Override - FEFO says "&amp;$AL644)),IF($AL644="","⚠ no receipt on file for this item",IF($AM644&lt;&gt;$AL644,"FEFO auto - split, also "&amp;$AM644,"FEFO auto"))))</f>
        <v>FEFO auto</v>
      </c>
      <c r="AO644" s="114"/>
    </row>
    <row r="645" spans="1:41" x14ac:dyDescent="0.35">
      <c r="A645" s="74">
        <v>46150</v>
      </c>
      <c r="B645" s="18" t="str">
        <f>IF($C645="","",IFERROR(INDEX('Staff Directory'!$A$5:$A$594,MATCH($C645,'Staff Directory'!$B$5:$B$594,0)),"⚠ unknown staff"))</f>
        <v>PSW-126-A6</v>
      </c>
      <c r="C645" s="49" t="s">
        <v>1105</v>
      </c>
      <c r="D645" s="19" t="str">
        <f>IF($B645="","",IFERROR(INDEX('Staff Directory'!$C$5:$C$594,MATCH($B645,'Staff Directory'!$A$5:$A$594,0)),""))</f>
        <v>PSW</v>
      </c>
      <c r="E645" s="19" t="str">
        <f>IF($B645="","",IFERROR(INDEX('Staff Directory'!$D$5:$D$594,MATCH($B645,'Staff Directory'!$A$5:$A$594,0)),""))</f>
        <v>A6</v>
      </c>
      <c r="F645" s="9" t="s">
        <v>124</v>
      </c>
      <c r="G645" s="18" t="str">
        <f>IF($F645="","",IFERROR(INDEX(Items!$B$5:$B$597,MATCH($F645,Items!$A$5:$A$597,0)),"⚠ not in Items"))</f>
        <v>Gloves</v>
      </c>
      <c r="H645" s="19" t="str">
        <f>IF($F645="","",IFERROR(INDEX(Items!$C$5:$C$597,MATCH($F645,Items!$A$5:$A$597,0)),""))</f>
        <v>Large</v>
      </c>
      <c r="I645" s="23">
        <f>IF($F645="","",IFERROR(INDEX(Items!$E$5:$E$597,MATCH($F645,Items!$A$5:$A$597,0)),""))</f>
        <v>500</v>
      </c>
      <c r="J645" s="115">
        <f>IF(tblIssues[[#This Row],[Qty Override]]&lt;&gt;"",tblIssues[[#This Row],[Qty Override]],IF(tblIssues[[#This Row],[Standard Issue]]="","",tblIssues[[#This Row],[Standard Issue]]))</f>
        <v>500</v>
      </c>
      <c r="K645" s="20">
        <f>IF($F645="","",IFERROR(INDEX(Items!$D$5:$D$597,MATCH($F645,Items!$A$5:$A$597,0)),""))</f>
        <v>5.5E-2</v>
      </c>
      <c r="L645" s="21">
        <f t="shared" si="105"/>
        <v>27.5</v>
      </c>
      <c r="M645" s="9" t="str">
        <f t="shared" si="106"/>
        <v>ZIM511139904-1</v>
      </c>
      <c r="N645" s="24">
        <f>IF($A645="","",WORKDAY($A645,Settings!$C$9,HolidayDates))</f>
        <v>46160</v>
      </c>
      <c r="O645" s="24">
        <f>IF($N645="","",WORKDAY($N645,Settings!$C$10,HolidayDates))</f>
        <v>46198</v>
      </c>
      <c r="P645" s="10" t="s">
        <v>501</v>
      </c>
      <c r="Q645" s="52" t="str">
        <f t="shared" si="108"/>
        <v>Collected</v>
      </c>
      <c r="R645" s="55" t="str">
        <f t="shared" si="109"/>
        <v>2026-05</v>
      </c>
      <c r="S645" s="55">
        <f>IF(OR($B645="",$F645="",$R645=""),"",SUMIFS(tblIssues[Qty Issued],tblIssues[Staff ID],$B645,tblIssues[Item Name],$F645,tblIssues[Month],$R645))</f>
        <v>500</v>
      </c>
      <c r="T645" s="56">
        <f>IF($I645="","",$I645*Settings!$C$11)</f>
        <v>500</v>
      </c>
      <c r="U645" s="57" t="str">
        <f t="shared" si="107"/>
        <v>OK</v>
      </c>
      <c r="V645" s="55" t="str">
        <f t="shared" si="110"/>
        <v/>
      </c>
      <c r="W645" s="55" t="str">
        <f>IF($V645="","",IF(COUNTIF($V$5:$V645,$V645)=1,1,""))</f>
        <v/>
      </c>
      <c r="X645" s="58" t="str">
        <f>IF($W645="","",MAX($X$4:X644)+1)</f>
        <v/>
      </c>
      <c r="Y645" s="62"/>
      <c r="Z645" s="62"/>
      <c r="AA645" s="64" t="str">
        <f>IF($C645="","",IFERROR(INDEX('Staff Directory'!$E$5:$E$594,MATCH($C645,'Staff Directory'!$B$5:$B$594,0)),""))</f>
        <v>firstname189.lastname189@example.com</v>
      </c>
      <c r="AB645" s="64" t="str">
        <f>IF($C645="","",IF(ISNUMBER(SEARCH($D645,Settings!$C$15)),"Pickup","Dispatch"))</f>
        <v>Pickup</v>
      </c>
      <c r="AC645" s="64" t="str">
        <f t="shared" si="111"/>
        <v>Supply order ready for pickup</v>
      </c>
      <c r="AD645" s="64" t="str">
        <f t="shared" ref="AD645:AD708" si="113">IF($AB645="Pickup","Dear "&amp;$AH645&amp;","&amp;CHAR(10)&amp;CHAR(10)&amp;"Your order is ready for pickup from Sample Branch, Wed-Fri 9am-4pm.",IF($AB645="Dispatch","Dear "&amp;$AH645&amp;","&amp;CHAR(10)&amp;CHAR(10)&amp;"Your order has been dispatched and is in transit. Reply if undelivered.",""))</f>
        <v>Dear PSW,
Your order is ready for pickup from Sample Branch, Wed-Fri 9am-4pm.</v>
      </c>
      <c r="AE645" s="64" t="str">
        <f t="shared" ref="AE645:AE708" si="114">IF(OR($AA645="",$AC645=""),"","mailto:"&amp;$AA645&amp;"?subject="&amp;_xlfn.ENCODEURL($AC645)&amp;"&amp;body="&amp;_xlfn.ENCODEURL($AD645))</f>
        <v>mailto:firstname189.lastname189@example.com?subject=Supply%20order%20ready%20for%20pickup&amp;body=Dear%20PSW%2C%0A%0AYour%20order%20is%20ready%20for%20pickup%20from%20Sample%20Branch%2C%20Wed-Fri%209am-4pm.</v>
      </c>
      <c r="AF645" s="89" t="str">
        <f t="shared" si="112"/>
        <v>Draft email</v>
      </c>
      <c r="AG645" s="64" t="str">
        <f>IF($C645="","",IFERROR(INDEX('Staff Directory'!$K$595:$K$599,MATCH($C645,'Staff Directory'!$B$5:$B$599,0)),$D645))</f>
        <v>PSW</v>
      </c>
      <c r="AH645" t="str">
        <f>IF($C645="","",IFERROR(INDEX('Staff Directory'!$I$595:$I$599,MATCH($C645,'Staff Directory'!$B$5:$B$599,0))&amp;" "&amp;INDEX('Staff Directory'!$J$595:$J$599,MATCH($C645,'Staff Directory'!$B$5:$B$599,0)),$AG645))</f>
        <v>PSW</v>
      </c>
      <c r="AI645" s="102"/>
      <c r="AJ645" s="101">
        <f>IF($F645="","",SUMIFS($J$5:$J645,$F$5:$F645,$F645))</f>
        <v>16500</v>
      </c>
      <c r="AK645" s="101">
        <f t="shared" ref="AK645:AK708" si="115">IF($F645="","",MAX(1,$AJ645-MAX($J645,0)+1))</f>
        <v>16001</v>
      </c>
      <c r="AL645" s="66" t="str" cm="1">
        <f t="array" ref="AL645">IF($F645="","",IFERROR(INDEX('Lot Balance'!$B$5:$B$500,MATCH(1,INDEX(('Lot Balance'!$A$5:$A$500=$F645)*('Lot Balance'!$K$5:$K$500&lt;$AK645)*('Lot Balance'!$K$5:$K$500+'Lot Balance'!$D$5:$D$500&gt;=$AK645),0),0)),""))</f>
        <v>ZIM511139904-1</v>
      </c>
      <c r="AM645" s="66" t="str" cm="1">
        <f t="array" ref="AM645">IF($F645="","",IFERROR(INDEX('Lot Balance'!$B$5:$B$500,MATCH(1,INDEX(('Lot Balance'!$A$5:$A$500=$F645)*('Lot Balance'!$K$5:$K$500&lt;$AJ645)*('Lot Balance'!$K$5:$K$500+'Lot Balance'!$D$5:$D$500&gt;=$AJ645),0),0)),""))</f>
        <v>ZIM511139904-1</v>
      </c>
      <c r="AN645" s="66" t="str">
        <f>IF($F645="","",IF($AI645&lt;&gt;"",IF(COUNTIFS('Lot Balance'!$A$5:$A$500,$F645,'Lot Balance'!$B$5:$B$500,$AI645)=0,"⚠ override is not a lot of this item",IF($AI645=$AL645,"Override = FEFO","Override - FEFO says "&amp;$AL645)),IF($AL645="","⚠ no receipt on file for this item",IF($AM645&lt;&gt;$AL645,"FEFO auto - split, also "&amp;$AM645,"FEFO auto"))))</f>
        <v>FEFO auto</v>
      </c>
      <c r="AO645" s="114"/>
    </row>
    <row r="646" spans="1:41" x14ac:dyDescent="0.35">
      <c r="A646" s="74">
        <v>46150</v>
      </c>
      <c r="B646" s="18" t="str">
        <f>IF($C646="","",IFERROR(INDEX('Staff Directory'!$A$5:$A$594,MATCH($C646,'Staff Directory'!$B$5:$B$594,0)),"⚠ unknown staff"))</f>
        <v>PSW-126-A6</v>
      </c>
      <c r="C646" s="49" t="s">
        <v>1105</v>
      </c>
      <c r="D646" s="19" t="str">
        <f>IF($B646="","",IFERROR(INDEX('Staff Directory'!$C$5:$C$594,MATCH($B646,'Staff Directory'!$A$5:$A$594,0)),""))</f>
        <v>PSW</v>
      </c>
      <c r="E646" s="19" t="str">
        <f>IF($B646="","",IFERROR(INDEX('Staff Directory'!$D$5:$D$594,MATCH($B646,'Staff Directory'!$A$5:$A$594,0)),""))</f>
        <v>A6</v>
      </c>
      <c r="F646" s="9" t="s">
        <v>103</v>
      </c>
      <c r="G646" s="18" t="str">
        <f>IF($F646="","",IFERROR(INDEX(Items!$B$5:$B$597,MATCH($F646,Items!$A$5:$A$597,0)),"⚠ not in Items"))</f>
        <v>Masks</v>
      </c>
      <c r="H646" s="19" t="str">
        <f>IF($F646="","",IFERROR(INDEX(Items!$C$5:$C$597,MATCH($F646,Items!$A$5:$A$597,0)),""))</f>
        <v>One Size</v>
      </c>
      <c r="I646" s="23">
        <f>IF($F646="","",IFERROR(INDEX(Items!$E$5:$E$597,MATCH($F646,Items!$A$5:$A$597,0)),""))</f>
        <v>5</v>
      </c>
      <c r="J646" s="115">
        <f>IF(tblIssues[[#This Row],[Qty Override]]&lt;&gt;"",tblIssues[[#This Row],[Qty Override]],IF(tblIssues[[#This Row],[Standard Issue]]="","",tblIssues[[#This Row],[Standard Issue]]))</f>
        <v>5</v>
      </c>
      <c r="K646" s="20">
        <f>IF($F646="","",IFERROR(INDEX(Items!$D$5:$D$597,MATCH($F646,Items!$A$5:$A$597,0)),""))</f>
        <v>2.0499999999999998</v>
      </c>
      <c r="L646" s="21">
        <f t="shared" ref="L646:L709" si="116">IF(OR($J646="",$K646=""),"",$J646*$K646)</f>
        <v>10.25</v>
      </c>
      <c r="M646" s="9" t="str">
        <f t="shared" ref="M646:M709" si="117">IF($F646="","",IF($AI646&lt;&gt;"",$AI646,$AL646))</f>
        <v>N955003718</v>
      </c>
      <c r="N646" s="24">
        <f>IF($A646="","",WORKDAY($A646,Settings!$C$9,HolidayDates))</f>
        <v>46160</v>
      </c>
      <c r="O646" s="24">
        <f>IF($N646="","",WORKDAY($N646,Settings!$C$10,HolidayDates))</f>
        <v>46198</v>
      </c>
      <c r="P646" s="10" t="s">
        <v>501</v>
      </c>
      <c r="Q646" s="52" t="str">
        <f t="shared" si="108"/>
        <v>Collected</v>
      </c>
      <c r="R646" s="55" t="str">
        <f t="shared" si="109"/>
        <v>2026-05</v>
      </c>
      <c r="S646" s="55">
        <f>IF(OR($B646="",$F646="",$R646=""),"",SUMIFS(tblIssues[Qty Issued],tblIssues[Staff ID],$B646,tblIssues[Item Name],$F646,tblIssues[Month],$R646))</f>
        <v>5</v>
      </c>
      <c r="T646" s="56">
        <f>IF($I646="","",$I646*Settings!$C$11)</f>
        <v>5</v>
      </c>
      <c r="U646" s="57" t="str">
        <f t="shared" ref="U646:U709" si="118">IF(OR($S646="",$T646=""),"",IF($S646&gt;$T646,IF($Y646="Approved","APPROVED BY TL","⚠ OVER QUOTA"),"OK"))</f>
        <v>OK</v>
      </c>
      <c r="V646" s="55" t="str">
        <f t="shared" si="110"/>
        <v/>
      </c>
      <c r="W646" s="55" t="str">
        <f>IF($V646="","",IF(COUNTIF($V$5:$V646,$V646)=1,1,""))</f>
        <v/>
      </c>
      <c r="X646" s="58" t="str">
        <f>IF($W646="","",MAX($X$4:X645)+1)</f>
        <v/>
      </c>
      <c r="Y646" s="62"/>
      <c r="Z646" s="62"/>
      <c r="AA646" s="64" t="str">
        <f>IF($C646="","",IFERROR(INDEX('Staff Directory'!$E$5:$E$594,MATCH($C646,'Staff Directory'!$B$5:$B$594,0)),""))</f>
        <v>firstname189.lastname189@example.com</v>
      </c>
      <c r="AB646" s="64" t="str">
        <f>IF($C646="","",IF(ISNUMBER(SEARCH($D646,Settings!$C$15)),"Pickup","Dispatch"))</f>
        <v>Pickup</v>
      </c>
      <c r="AC646" s="64" t="str">
        <f t="shared" si="111"/>
        <v>Supply order ready for pickup</v>
      </c>
      <c r="AD646" s="64" t="str">
        <f t="shared" si="113"/>
        <v>Dear PSW,
Your order is ready for pickup from Sample Branch, Wed-Fri 9am-4pm.</v>
      </c>
      <c r="AE646" s="64" t="str">
        <f t="shared" si="114"/>
        <v>mailto:firstname189.lastname189@example.com?subject=Supply%20order%20ready%20for%20pickup&amp;body=Dear%20PSW%2C%0A%0AYour%20order%20is%20ready%20for%20pickup%20from%20Sample%20Branch%2C%20Wed-Fri%209am-4pm.</v>
      </c>
      <c r="AF646" s="89" t="str">
        <f t="shared" si="112"/>
        <v>Draft email</v>
      </c>
      <c r="AG646" s="64" t="str">
        <f>IF($C646="","",IFERROR(INDEX('Staff Directory'!$K$595:$K$599,MATCH($C646,'Staff Directory'!$B$5:$B$599,0)),$D646))</f>
        <v>PSW</v>
      </c>
      <c r="AH646" t="str">
        <f>IF($C646="","",IFERROR(INDEX('Staff Directory'!$I$595:$I$599,MATCH($C646,'Staff Directory'!$B$5:$B$599,0))&amp;" "&amp;INDEX('Staff Directory'!$J$595:$J$599,MATCH($C646,'Staff Directory'!$B$5:$B$599,0)),$AG646))</f>
        <v>PSW</v>
      </c>
      <c r="AI646" s="102"/>
      <c r="AJ646" s="101">
        <f>IF($F646="","",SUMIFS($J$5:$J646,$F$5:$F646,$F646))</f>
        <v>5</v>
      </c>
      <c r="AK646" s="101">
        <f t="shared" si="115"/>
        <v>1</v>
      </c>
      <c r="AL646" s="66" t="str" cm="1">
        <f t="array" ref="AL646">IF($F646="","",IFERROR(INDEX('Lot Balance'!$B$5:$B$500,MATCH(1,INDEX(('Lot Balance'!$A$5:$A$500=$F646)*('Lot Balance'!$K$5:$K$500&lt;$AK646)*('Lot Balance'!$K$5:$K$500+'Lot Balance'!$D$5:$D$500&gt;=$AK646),0),0)),""))</f>
        <v>N955003718</v>
      </c>
      <c r="AM646" s="66" t="str" cm="1">
        <f t="array" ref="AM646">IF($F646="","",IFERROR(INDEX('Lot Balance'!$B$5:$B$500,MATCH(1,INDEX(('Lot Balance'!$A$5:$A$500=$F646)*('Lot Balance'!$K$5:$K$500&lt;$AJ646)*('Lot Balance'!$K$5:$K$500+'Lot Balance'!$D$5:$D$500&gt;=$AJ646),0),0)),""))</f>
        <v>N955003718</v>
      </c>
      <c r="AN646" s="66" t="str">
        <f>IF($F646="","",IF($AI646&lt;&gt;"",IF(COUNTIFS('Lot Balance'!$A$5:$A$500,$F646,'Lot Balance'!$B$5:$B$500,$AI646)=0,"⚠ override is not a lot of this item",IF($AI646=$AL646,"Override = FEFO","Override - FEFO says "&amp;$AL646)),IF($AL646="","⚠ no receipt on file for this item",IF($AM646&lt;&gt;$AL646,"FEFO auto - split, also "&amp;$AM646,"FEFO auto"))))</f>
        <v>FEFO auto</v>
      </c>
      <c r="AO646" s="114"/>
    </row>
    <row r="647" spans="1:41" x14ac:dyDescent="0.35">
      <c r="A647" s="74">
        <v>46150</v>
      </c>
      <c r="B647" s="18" t="str">
        <f>IF($C647="","",IFERROR(INDEX('Staff Directory'!$A$5:$A$594,MATCH($C647,'Staff Directory'!$B$5:$B$594,0)),"⚠ unknown staff"))</f>
        <v>PSW-047-A5</v>
      </c>
      <c r="C647" s="49" t="s">
        <v>1023</v>
      </c>
      <c r="D647" s="19" t="str">
        <f>IF($B647="","",IFERROR(INDEX('Staff Directory'!$C$5:$C$594,MATCH($B647,'Staff Directory'!$A$5:$A$594,0)),""))</f>
        <v>PSW</v>
      </c>
      <c r="E647" s="19" t="str">
        <f>IF($B647="","",IFERROR(INDEX('Staff Directory'!$D$5:$D$594,MATCH($B647,'Staff Directory'!$A$5:$A$594,0)),""))</f>
        <v>A5</v>
      </c>
      <c r="F647" s="9" t="s">
        <v>124</v>
      </c>
      <c r="G647" s="18" t="str">
        <f>IF($F647="","",IFERROR(INDEX(Items!$B$5:$B$597,MATCH($F647,Items!$A$5:$A$597,0)),"⚠ not in Items"))</f>
        <v>Gloves</v>
      </c>
      <c r="H647" s="19" t="str">
        <f>IF($F647="","",IFERROR(INDEX(Items!$C$5:$C$597,MATCH($F647,Items!$A$5:$A$597,0)),""))</f>
        <v>Large</v>
      </c>
      <c r="I647" s="23">
        <f>IF($F647="","",IFERROR(INDEX(Items!$E$5:$E$597,MATCH($F647,Items!$A$5:$A$597,0)),""))</f>
        <v>500</v>
      </c>
      <c r="J647" s="115">
        <f>IF(tblIssues[[#This Row],[Qty Override]]&lt;&gt;"",tblIssues[[#This Row],[Qty Override]],IF(tblIssues[[#This Row],[Standard Issue]]="","",tblIssues[[#This Row],[Standard Issue]]))</f>
        <v>500</v>
      </c>
      <c r="K647" s="20">
        <f>IF($F647="","",IFERROR(INDEX(Items!$D$5:$D$597,MATCH($F647,Items!$A$5:$A$597,0)),""))</f>
        <v>5.5E-2</v>
      </c>
      <c r="L647" s="21">
        <f t="shared" si="116"/>
        <v>27.5</v>
      </c>
      <c r="M647" s="9" t="str">
        <f t="shared" si="117"/>
        <v>ZIM511139904-1</v>
      </c>
      <c r="N647" s="24">
        <f>IF($A647="","",WORKDAY($A647,Settings!$C$9,HolidayDates))</f>
        <v>46160</v>
      </c>
      <c r="O647" s="24">
        <f>IF($N647="","",WORKDAY($N647,Settings!$C$10,HolidayDates))</f>
        <v>46198</v>
      </c>
      <c r="P647" s="10" t="s">
        <v>501</v>
      </c>
      <c r="Q647" s="52" t="str">
        <f t="shared" si="108"/>
        <v>Collected</v>
      </c>
      <c r="R647" s="55" t="str">
        <f t="shared" si="109"/>
        <v>2026-05</v>
      </c>
      <c r="S647" s="55">
        <f>IF(OR($B647="",$F647="",$R647=""),"",SUMIFS(tblIssues[Qty Issued],tblIssues[Staff ID],$B647,tblIssues[Item Name],$F647,tblIssues[Month],$R647))</f>
        <v>500</v>
      </c>
      <c r="T647" s="56">
        <f>IF($I647="","",$I647*Settings!$C$11)</f>
        <v>500</v>
      </c>
      <c r="U647" s="57" t="str">
        <f t="shared" si="118"/>
        <v>OK</v>
      </c>
      <c r="V647" s="55" t="str">
        <f t="shared" si="110"/>
        <v/>
      </c>
      <c r="W647" s="55" t="str">
        <f>IF($V647="","",IF(COUNTIF($V$5:$V647,$V647)=1,1,""))</f>
        <v/>
      </c>
      <c r="X647" s="58" t="str">
        <f>IF($W647="","",MAX($X$4:X646)+1)</f>
        <v/>
      </c>
      <c r="Y647" s="62"/>
      <c r="Z647" s="62"/>
      <c r="AA647" s="64" t="str">
        <f>IF($C647="","",IFERROR(INDEX('Staff Directory'!$E$5:$E$594,MATCH($C647,'Staff Directory'!$B$5:$B$594,0)),""))</f>
        <v>firstname107.lastname107@example.com</v>
      </c>
      <c r="AB647" s="64" t="str">
        <f>IF($C647="","",IF(ISNUMBER(SEARCH($D647,Settings!$C$15)),"Pickup","Dispatch"))</f>
        <v>Pickup</v>
      </c>
      <c r="AC647" s="64" t="str">
        <f t="shared" si="111"/>
        <v>Supply order ready for pickup</v>
      </c>
      <c r="AD647" s="64" t="str">
        <f t="shared" si="113"/>
        <v>Dear PSW,
Your order is ready for pickup from Sample Branch, Wed-Fri 9am-4pm.</v>
      </c>
      <c r="AE647" s="64" t="str">
        <f t="shared" si="114"/>
        <v>mailto:firstname107.lastname107@example.com?subject=Supply%20order%20ready%20for%20pickup&amp;body=Dear%20PSW%2C%0A%0AYour%20order%20is%20ready%20for%20pickup%20from%20Sample%20Branch%2C%20Wed-Fri%209am-4pm.</v>
      </c>
      <c r="AF647" s="89" t="str">
        <f t="shared" si="112"/>
        <v>Draft email</v>
      </c>
      <c r="AG647" s="64" t="str">
        <f>IF($C647="","",IFERROR(INDEX('Staff Directory'!$K$595:$K$599,MATCH($C647,'Staff Directory'!$B$5:$B$599,0)),$D647))</f>
        <v>PSW</v>
      </c>
      <c r="AH647" t="str">
        <f>IF($C647="","",IFERROR(INDEX('Staff Directory'!$I$595:$I$599,MATCH($C647,'Staff Directory'!$B$5:$B$599,0))&amp;" "&amp;INDEX('Staff Directory'!$J$595:$J$599,MATCH($C647,'Staff Directory'!$B$5:$B$599,0)),$AG647))</f>
        <v>PSW</v>
      </c>
      <c r="AI647" s="102"/>
      <c r="AJ647" s="101">
        <f>IF($F647="","",SUMIFS($J$5:$J647,$F$5:$F647,$F647))</f>
        <v>17000</v>
      </c>
      <c r="AK647" s="101">
        <f t="shared" si="115"/>
        <v>16501</v>
      </c>
      <c r="AL647" s="66" t="str" cm="1">
        <f t="array" ref="AL647">IF($F647="","",IFERROR(INDEX('Lot Balance'!$B$5:$B$500,MATCH(1,INDEX(('Lot Balance'!$A$5:$A$500=$F647)*('Lot Balance'!$K$5:$K$500&lt;$AK647)*('Lot Balance'!$K$5:$K$500+'Lot Balance'!$D$5:$D$500&gt;=$AK647),0),0)),""))</f>
        <v>ZIM511139904-1</v>
      </c>
      <c r="AM647" s="66" t="str" cm="1">
        <f t="array" ref="AM647">IF($F647="","",IFERROR(INDEX('Lot Balance'!$B$5:$B$500,MATCH(1,INDEX(('Lot Balance'!$A$5:$A$500=$F647)*('Lot Balance'!$K$5:$K$500&lt;$AJ647)*('Lot Balance'!$K$5:$K$500+'Lot Balance'!$D$5:$D$500&gt;=$AJ647),0),0)),""))</f>
        <v>ZIM511139904-1</v>
      </c>
      <c r="AN647" s="66" t="str">
        <f>IF($F647="","",IF($AI647&lt;&gt;"",IF(COUNTIFS('Lot Balance'!$A$5:$A$500,$F647,'Lot Balance'!$B$5:$B$500,$AI647)=0,"⚠ override is not a lot of this item",IF($AI647=$AL647,"Override = FEFO","Override - FEFO says "&amp;$AL647)),IF($AL647="","⚠ no receipt on file for this item",IF($AM647&lt;&gt;$AL647,"FEFO auto - split, also "&amp;$AM647,"FEFO auto"))))</f>
        <v>FEFO auto</v>
      </c>
      <c r="AO647" s="114"/>
    </row>
    <row r="648" spans="1:41" x14ac:dyDescent="0.35">
      <c r="A648" s="74">
        <v>46150</v>
      </c>
      <c r="B648" s="18" t="str">
        <f>IF($C648="","",IFERROR(INDEX('Staff Directory'!$A$5:$A$594,MATCH($C648,'Staff Directory'!$B$5:$B$594,0)),"⚠ unknown staff"))</f>
        <v>PSW-047-A5</v>
      </c>
      <c r="C648" s="49" t="s">
        <v>1023</v>
      </c>
      <c r="D648" s="19" t="str">
        <f>IF($B648="","",IFERROR(INDEX('Staff Directory'!$C$5:$C$594,MATCH($B648,'Staff Directory'!$A$5:$A$594,0)),""))</f>
        <v>PSW</v>
      </c>
      <c r="E648" s="19" t="str">
        <f>IF($B648="","",IFERROR(INDEX('Staff Directory'!$D$5:$D$594,MATCH($B648,'Staff Directory'!$A$5:$A$594,0)),""))</f>
        <v>A5</v>
      </c>
      <c r="F648" s="9" t="s">
        <v>137</v>
      </c>
      <c r="G648" s="18" t="str">
        <f>IF($F648="","",IFERROR(INDEX(Items!$B$5:$B$597,MATCH($F648,Items!$A$5:$A$597,0)),"⚠ not in Items"))</f>
        <v>Sanitizer</v>
      </c>
      <c r="H648" s="19" t="str">
        <f>IF($F648="","",IFERROR(INDEX(Items!$C$5:$C$597,MATCH($F648,Items!$A$5:$A$597,0)),""))</f>
        <v>118 ML</v>
      </c>
      <c r="I648" s="23">
        <f>IF($F648="","",IFERROR(INDEX(Items!$E$5:$E$597,MATCH($F648,Items!$A$5:$A$597,0)),""))</f>
        <v>2</v>
      </c>
      <c r="J648" s="115">
        <f>IF(tblIssues[[#This Row],[Qty Override]]&lt;&gt;"",tblIssues[[#This Row],[Qty Override]],IF(tblIssues[[#This Row],[Standard Issue]]="","",tblIssues[[#This Row],[Standard Issue]]))</f>
        <v>2</v>
      </c>
      <c r="K648" s="20">
        <f>IF($F648="","",IFERROR(INDEX(Items!$D$5:$D$597,MATCH($F648,Items!$A$5:$A$597,0)),""))</f>
        <v>4.49</v>
      </c>
      <c r="L648" s="21">
        <f t="shared" si="116"/>
        <v>8.98</v>
      </c>
      <c r="M648" s="9" t="str">
        <f t="shared" si="117"/>
        <v>563963-6</v>
      </c>
      <c r="N648" s="24">
        <f>IF($A648="","",WORKDAY($A648,Settings!$C$9,HolidayDates))</f>
        <v>46160</v>
      </c>
      <c r="O648" s="24">
        <f>IF($N648="","",WORKDAY($N648,Settings!$C$10,HolidayDates))</f>
        <v>46198</v>
      </c>
      <c r="P648" s="10" t="s">
        <v>501</v>
      </c>
      <c r="Q648" s="52" t="str">
        <f t="shared" si="108"/>
        <v>Collected</v>
      </c>
      <c r="R648" s="55" t="str">
        <f t="shared" si="109"/>
        <v>2026-05</v>
      </c>
      <c r="S648" s="55">
        <f>IF(OR($B648="",$F648="",$R648=""),"",SUMIFS(tblIssues[Qty Issued],tblIssues[Staff ID],$B648,tblIssues[Item Name],$F648,tblIssues[Month],$R648))</f>
        <v>2</v>
      </c>
      <c r="T648" s="56">
        <f>IF($I648="","",$I648*Settings!$C$11)</f>
        <v>2</v>
      </c>
      <c r="U648" s="57" t="str">
        <f t="shared" si="118"/>
        <v>OK</v>
      </c>
      <c r="V648" s="55" t="str">
        <f t="shared" si="110"/>
        <v/>
      </c>
      <c r="W648" s="55" t="str">
        <f>IF($V648="","",IF(COUNTIF($V$5:$V648,$V648)=1,1,""))</f>
        <v/>
      </c>
      <c r="X648" s="58" t="str">
        <f>IF($W648="","",MAX($X$4:X647)+1)</f>
        <v/>
      </c>
      <c r="Y648" s="62"/>
      <c r="Z648" s="62"/>
      <c r="AA648" s="64" t="str">
        <f>IF($C648="","",IFERROR(INDEX('Staff Directory'!$E$5:$E$594,MATCH($C648,'Staff Directory'!$B$5:$B$594,0)),""))</f>
        <v>firstname107.lastname107@example.com</v>
      </c>
      <c r="AB648" s="64" t="str">
        <f>IF($C648="","",IF(ISNUMBER(SEARCH($D648,Settings!$C$15)),"Pickup","Dispatch"))</f>
        <v>Pickup</v>
      </c>
      <c r="AC648" s="64" t="str">
        <f t="shared" si="111"/>
        <v>Supply order ready for pickup</v>
      </c>
      <c r="AD648" s="64" t="str">
        <f t="shared" si="113"/>
        <v>Dear PSW,
Your order is ready for pickup from Sample Branch, Wed-Fri 9am-4pm.</v>
      </c>
      <c r="AE648" s="64" t="str">
        <f t="shared" si="114"/>
        <v>mailto:firstname107.lastname107@example.com?subject=Supply%20order%20ready%20for%20pickup&amp;body=Dear%20PSW%2C%0A%0AYour%20order%20is%20ready%20for%20pickup%20from%20Sample%20Branch%2C%20Wed-Fri%209am-4pm.</v>
      </c>
      <c r="AF648" s="89" t="str">
        <f t="shared" si="112"/>
        <v>Draft email</v>
      </c>
      <c r="AG648" s="64" t="str">
        <f>IF($C648="","",IFERROR(INDEX('Staff Directory'!$K$595:$K$599,MATCH($C648,'Staff Directory'!$B$5:$B$599,0)),$D648))</f>
        <v>PSW</v>
      </c>
      <c r="AH648" t="str">
        <f>IF($C648="","",IFERROR(INDEX('Staff Directory'!$I$595:$I$599,MATCH($C648,'Staff Directory'!$B$5:$B$599,0))&amp;" "&amp;INDEX('Staff Directory'!$J$595:$J$599,MATCH($C648,'Staff Directory'!$B$5:$B$599,0)),$AG648))</f>
        <v>PSW</v>
      </c>
      <c r="AI648" s="102"/>
      <c r="AJ648" s="101">
        <f>IF($F648="","",SUMIFS($J$5:$J648,$F$5:$F648,$F648))</f>
        <v>88</v>
      </c>
      <c r="AK648" s="101">
        <f t="shared" si="115"/>
        <v>87</v>
      </c>
      <c r="AL648" s="66" t="str" cm="1">
        <f t="array" ref="AL648">IF($F648="","",IFERROR(INDEX('Lot Balance'!$B$5:$B$500,MATCH(1,INDEX(('Lot Balance'!$A$5:$A$500=$F648)*('Lot Balance'!$K$5:$K$500&lt;$AK648)*('Lot Balance'!$K$5:$K$500+'Lot Balance'!$D$5:$D$500&gt;=$AK648),0),0)),""))</f>
        <v>563963-6</v>
      </c>
      <c r="AM648" s="66" t="str" cm="1">
        <f t="array" ref="AM648">IF($F648="","",IFERROR(INDEX('Lot Balance'!$B$5:$B$500,MATCH(1,INDEX(('Lot Balance'!$A$5:$A$500=$F648)*('Lot Balance'!$K$5:$K$500&lt;$AJ648)*('Lot Balance'!$K$5:$K$500+'Lot Balance'!$D$5:$D$500&gt;=$AJ648),0),0)),""))</f>
        <v>563963-6</v>
      </c>
      <c r="AN648" s="66" t="str">
        <f>IF($F648="","",IF($AI648&lt;&gt;"",IF(COUNTIFS('Lot Balance'!$A$5:$A$500,$F648,'Lot Balance'!$B$5:$B$500,$AI648)=0,"⚠ override is not a lot of this item",IF($AI648=$AL648,"Override = FEFO","Override - FEFO says "&amp;$AL648)),IF($AL648="","⚠ no receipt on file for this item",IF($AM648&lt;&gt;$AL648,"FEFO auto - split, also "&amp;$AM648,"FEFO auto"))))</f>
        <v>FEFO auto</v>
      </c>
      <c r="AO648" s="114"/>
    </row>
    <row r="649" spans="1:41" x14ac:dyDescent="0.35">
      <c r="A649" s="74">
        <v>46150</v>
      </c>
      <c r="B649" s="18" t="str">
        <f>IF($C649="","",IFERROR(INDEX('Staff Directory'!$A$5:$A$594,MATCH($C649,'Staff Directory'!$B$5:$B$594,0)),"⚠ unknown staff"))</f>
        <v>PSW-047-A5</v>
      </c>
      <c r="C649" s="49" t="s">
        <v>1023</v>
      </c>
      <c r="D649" s="19" t="str">
        <f>IF($B649="","",IFERROR(INDEX('Staff Directory'!$C$5:$C$594,MATCH($B649,'Staff Directory'!$A$5:$A$594,0)),""))</f>
        <v>PSW</v>
      </c>
      <c r="E649" s="19" t="str">
        <f>IF($B649="","",IFERROR(INDEX('Staff Directory'!$D$5:$D$594,MATCH($B649,'Staff Directory'!$A$5:$A$594,0)),""))</f>
        <v>A5</v>
      </c>
      <c r="F649" s="9" t="s">
        <v>156</v>
      </c>
      <c r="G649" s="18" t="str">
        <f>IF($F649="","",IFERROR(INDEX(Items!$B$5:$B$597,MATCH($F649,Items!$A$5:$A$597,0)),"⚠ not in Items"))</f>
        <v>Masks</v>
      </c>
      <c r="H649" s="19" t="str">
        <f>IF($F649="","",IFERROR(INDEX(Items!$C$5:$C$597,MATCH($F649,Items!$A$5:$A$597,0)),""))</f>
        <v>One Size</v>
      </c>
      <c r="I649" s="23">
        <f>IF($F649="","",IFERROR(INDEX(Items!$E$5:$E$597,MATCH($F649,Items!$A$5:$A$597,0)),""))</f>
        <v>50</v>
      </c>
      <c r="J649" s="115">
        <f>IF(tblIssues[[#This Row],[Qty Override]]&lt;&gt;"",tblIssues[[#This Row],[Qty Override]],IF(tblIssues[[#This Row],[Standard Issue]]="","",tblIssues[[#This Row],[Standard Issue]]))</f>
        <v>50</v>
      </c>
      <c r="K649" s="20">
        <f>IF($F649="","",IFERROR(INDEX(Items!$D$5:$D$597,MATCH($F649,Items!$A$5:$A$597,0)),""))</f>
        <v>0.25</v>
      </c>
      <c r="L649" s="21">
        <f t="shared" si="116"/>
        <v>12.5</v>
      </c>
      <c r="M649" s="9" t="str">
        <f t="shared" si="117"/>
        <v>0125FPC24-0</v>
      </c>
      <c r="N649" s="24">
        <f>IF($A649="","",WORKDAY($A649,Settings!$C$9,HolidayDates))</f>
        <v>46160</v>
      </c>
      <c r="O649" s="24">
        <f>IF($N649="","",WORKDAY($N649,Settings!$C$10,HolidayDates))</f>
        <v>46198</v>
      </c>
      <c r="P649" s="10" t="s">
        <v>501</v>
      </c>
      <c r="Q649" s="52" t="str">
        <f t="shared" si="108"/>
        <v>Collected</v>
      </c>
      <c r="R649" s="55" t="str">
        <f t="shared" si="109"/>
        <v>2026-05</v>
      </c>
      <c r="S649" s="55">
        <f>IF(OR($B649="",$F649="",$R649=""),"",SUMIFS(tblIssues[Qty Issued],tblIssues[Staff ID],$B649,tblIssues[Item Name],$F649,tblIssues[Month],$R649))</f>
        <v>50</v>
      </c>
      <c r="T649" s="56">
        <f>IF($I649="","",$I649*Settings!$C$11)</f>
        <v>50</v>
      </c>
      <c r="U649" s="57" t="str">
        <f t="shared" si="118"/>
        <v>OK</v>
      </c>
      <c r="V649" s="55" t="str">
        <f t="shared" si="110"/>
        <v/>
      </c>
      <c r="W649" s="55" t="str">
        <f>IF($V649="","",IF(COUNTIF($V$5:$V649,$V649)=1,1,""))</f>
        <v/>
      </c>
      <c r="X649" s="58" t="str">
        <f>IF($W649="","",MAX($X$4:X648)+1)</f>
        <v/>
      </c>
      <c r="Y649" s="62"/>
      <c r="Z649" s="62"/>
      <c r="AA649" s="64" t="str">
        <f>IF($C649="","",IFERROR(INDEX('Staff Directory'!$E$5:$E$594,MATCH($C649,'Staff Directory'!$B$5:$B$594,0)),""))</f>
        <v>firstname107.lastname107@example.com</v>
      </c>
      <c r="AB649" s="64" t="str">
        <f>IF($C649="","",IF(ISNUMBER(SEARCH($D649,Settings!$C$15)),"Pickup","Dispatch"))</f>
        <v>Pickup</v>
      </c>
      <c r="AC649" s="64" t="str">
        <f t="shared" si="111"/>
        <v>Supply order ready for pickup</v>
      </c>
      <c r="AD649" s="64" t="str">
        <f t="shared" si="113"/>
        <v>Dear PSW,
Your order is ready for pickup from Sample Branch, Wed-Fri 9am-4pm.</v>
      </c>
      <c r="AE649" s="64" t="str">
        <f t="shared" si="114"/>
        <v>mailto:firstname107.lastname107@example.com?subject=Supply%20order%20ready%20for%20pickup&amp;body=Dear%20PSW%2C%0A%0AYour%20order%20is%20ready%20for%20pickup%20from%20Sample%20Branch%2C%20Wed-Fri%209am-4pm.</v>
      </c>
      <c r="AF649" s="89" t="str">
        <f t="shared" si="112"/>
        <v>Draft email</v>
      </c>
      <c r="AG649" s="64" t="str">
        <f>IF($C649="","",IFERROR(INDEX('Staff Directory'!$K$595:$K$599,MATCH($C649,'Staff Directory'!$B$5:$B$599,0)),$D649))</f>
        <v>PSW</v>
      </c>
      <c r="AH649" t="str">
        <f>IF($C649="","",IFERROR(INDEX('Staff Directory'!$I$595:$I$599,MATCH($C649,'Staff Directory'!$B$5:$B$599,0))&amp;" "&amp;INDEX('Staff Directory'!$J$595:$J$599,MATCH($C649,'Staff Directory'!$B$5:$B$599,0)),$AG649))</f>
        <v>PSW</v>
      </c>
      <c r="AI649" s="102"/>
      <c r="AJ649" s="101">
        <f>IF($F649="","",SUMIFS($J$5:$J649,$F$5:$F649,$F649))</f>
        <v>5200</v>
      </c>
      <c r="AK649" s="101">
        <f t="shared" si="115"/>
        <v>5151</v>
      </c>
      <c r="AL649" s="66" t="str" cm="1">
        <f t="array" ref="AL649">IF($F649="","",IFERROR(INDEX('Lot Balance'!$B$5:$B$500,MATCH(1,INDEX(('Lot Balance'!$A$5:$A$500=$F649)*('Lot Balance'!$K$5:$K$500&lt;$AK649)*('Lot Balance'!$K$5:$K$500+'Lot Balance'!$D$5:$D$500&gt;=$AK649),0),0)),""))</f>
        <v>0125FPC24-0</v>
      </c>
      <c r="AM649" s="66" t="str" cm="1">
        <f t="array" ref="AM649">IF($F649="","",IFERROR(INDEX('Lot Balance'!$B$5:$B$500,MATCH(1,INDEX(('Lot Balance'!$A$5:$A$500=$F649)*('Lot Balance'!$K$5:$K$500&lt;$AJ649)*('Lot Balance'!$K$5:$K$500+'Lot Balance'!$D$5:$D$500&gt;=$AJ649),0),0)),""))</f>
        <v>0125FPC24-0</v>
      </c>
      <c r="AN649" s="66" t="str">
        <f>IF($F649="","",IF($AI649&lt;&gt;"",IF(COUNTIFS('Lot Balance'!$A$5:$A$500,$F649,'Lot Balance'!$B$5:$B$500,$AI649)=0,"⚠ override is not a lot of this item",IF($AI649=$AL649,"Override = FEFO","Override - FEFO says "&amp;$AL649)),IF($AL649="","⚠ no receipt on file for this item",IF($AM649&lt;&gt;$AL649,"FEFO auto - split, also "&amp;$AM649,"FEFO auto"))))</f>
        <v>FEFO auto</v>
      </c>
      <c r="AO649" s="114"/>
    </row>
    <row r="650" spans="1:41" x14ac:dyDescent="0.35">
      <c r="A650" s="74">
        <v>46153</v>
      </c>
      <c r="B650" s="18" t="str">
        <f>IF($C650="","",IFERROR(INDEX('Staff Directory'!$A$5:$A$594,MATCH($C650,'Staff Directory'!$B$5:$B$594,0)),"⚠ unknown staff"))</f>
        <v>PSW-134-A6</v>
      </c>
      <c r="C650" s="49" t="s">
        <v>1113</v>
      </c>
      <c r="D650" s="19" t="str">
        <f>IF($B650="","",IFERROR(INDEX('Staff Directory'!$C$5:$C$594,MATCH($B650,'Staff Directory'!$A$5:$A$594,0)),""))</f>
        <v>PSW</v>
      </c>
      <c r="E650" s="19" t="str">
        <f>IF($B650="","",IFERROR(INDEX('Staff Directory'!$D$5:$D$594,MATCH($B650,'Staff Directory'!$A$5:$A$594,0)),""))</f>
        <v>A6</v>
      </c>
      <c r="F650" s="9" t="s">
        <v>127</v>
      </c>
      <c r="G650" s="18" t="str">
        <f>IF($F650="","",IFERROR(INDEX(Items!$B$5:$B$597,MATCH($F650,Items!$A$5:$A$597,0)),"⚠ not in Items"))</f>
        <v>Gloves</v>
      </c>
      <c r="H650" s="19" t="str">
        <f>IF($F650="","",IFERROR(INDEX(Items!$C$5:$C$597,MATCH($F650,Items!$A$5:$A$597,0)),""))</f>
        <v>Medium</v>
      </c>
      <c r="I650" s="23">
        <f>IF($F650="","",IFERROR(INDEX(Items!$E$5:$E$597,MATCH($F650,Items!$A$5:$A$597,0)),""))</f>
        <v>500</v>
      </c>
      <c r="J650" s="115">
        <f>IF(tblIssues[[#This Row],[Qty Override]]&lt;&gt;"",tblIssues[[#This Row],[Qty Override]],IF(tblIssues[[#This Row],[Standard Issue]]="","",tblIssues[[#This Row],[Standard Issue]]))</f>
        <v>500</v>
      </c>
      <c r="K650" s="20">
        <f>IF($F650="","",IFERROR(INDEX(Items!$D$5:$D$597,MATCH($F650,Items!$A$5:$A$597,0)),""))</f>
        <v>5.5E-2</v>
      </c>
      <c r="L650" s="21">
        <f t="shared" si="116"/>
        <v>27.5</v>
      </c>
      <c r="M650" s="9" t="str">
        <f t="shared" si="117"/>
        <v>O16689</v>
      </c>
      <c r="N650" s="24">
        <f>IF($A650="","",WORKDAY($A650,Settings!$C$9,HolidayDates))</f>
        <v>46161</v>
      </c>
      <c r="O650" s="24">
        <f>IF($N650="","",WORKDAY($N650,Settings!$C$10,HolidayDates))</f>
        <v>46199</v>
      </c>
      <c r="P650" s="10" t="s">
        <v>501</v>
      </c>
      <c r="Q650" s="52" t="str">
        <f t="shared" si="108"/>
        <v>Collected</v>
      </c>
      <c r="R650" s="55" t="str">
        <f t="shared" si="109"/>
        <v>2026-05</v>
      </c>
      <c r="S650" s="55">
        <f>IF(OR($B650="",$F650="",$R650=""),"",SUMIFS(tblIssues[Qty Issued],tblIssues[Staff ID],$B650,tblIssues[Item Name],$F650,tblIssues[Month],$R650))</f>
        <v>500</v>
      </c>
      <c r="T650" s="56">
        <f>IF($I650="","",$I650*Settings!$C$11)</f>
        <v>500</v>
      </c>
      <c r="U650" s="57" t="str">
        <f t="shared" si="118"/>
        <v>OK</v>
      </c>
      <c r="V650" s="55" t="str">
        <f t="shared" si="110"/>
        <v/>
      </c>
      <c r="W650" s="55" t="str">
        <f>IF($V650="","",IF(COUNTIF($V$5:$V650,$V650)=1,1,""))</f>
        <v/>
      </c>
      <c r="X650" s="58" t="str">
        <f>IF($W650="","",MAX($X$4:X649)+1)</f>
        <v/>
      </c>
      <c r="Y650" s="62"/>
      <c r="Z650" s="62"/>
      <c r="AA650" s="64" t="str">
        <f>IF($C650="","",IFERROR(INDEX('Staff Directory'!$E$5:$E$594,MATCH($C650,'Staff Directory'!$B$5:$B$594,0)),""))</f>
        <v>firstname197.lastname197@example.com</v>
      </c>
      <c r="AB650" s="64" t="str">
        <f>IF($C650="","",IF(ISNUMBER(SEARCH($D650,Settings!$C$15)),"Pickup","Dispatch"))</f>
        <v>Pickup</v>
      </c>
      <c r="AC650" s="64" t="str">
        <f t="shared" si="111"/>
        <v>Supply order ready for pickup</v>
      </c>
      <c r="AD650" s="64" t="str">
        <f t="shared" si="113"/>
        <v>Dear PSW,
Your order is ready for pickup from Sample Branch, Wed-Fri 9am-4pm.</v>
      </c>
      <c r="AE650" s="64" t="str">
        <f t="shared" si="114"/>
        <v>mailto:firstname197.lastname197@example.com?subject=Supply%20order%20ready%20for%20pickup&amp;body=Dear%20PSW%2C%0A%0AYour%20order%20is%20ready%20for%20pickup%20from%20Sample%20Branch%2C%20Wed-Fri%209am-4pm.</v>
      </c>
      <c r="AF650" s="89" t="str">
        <f t="shared" si="112"/>
        <v>Draft email</v>
      </c>
      <c r="AG650" s="64" t="str">
        <f>IF($C650="","",IFERROR(INDEX('Staff Directory'!$K$595:$K$599,MATCH($C650,'Staff Directory'!$B$5:$B$599,0)),$D650))</f>
        <v>PSW</v>
      </c>
      <c r="AH650" t="str">
        <f>IF($C650="","",IFERROR(INDEX('Staff Directory'!$I$595:$I$599,MATCH($C650,'Staff Directory'!$B$5:$B$599,0))&amp;" "&amp;INDEX('Staff Directory'!$J$595:$J$599,MATCH($C650,'Staff Directory'!$B$5:$B$599,0)),$AG650))</f>
        <v>PSW</v>
      </c>
      <c r="AI650" s="102"/>
      <c r="AJ650" s="101">
        <f>IF($F650="","",SUMIFS($J$5:$J650,$F$5:$F650,$F650))</f>
        <v>36500</v>
      </c>
      <c r="AK650" s="101">
        <f t="shared" si="115"/>
        <v>36001</v>
      </c>
      <c r="AL650" s="66" t="str" cm="1">
        <f t="array" ref="AL650">IF($F650="","",IFERROR(INDEX('Lot Balance'!$B$5:$B$500,MATCH(1,INDEX(('Lot Balance'!$A$5:$A$500=$F650)*('Lot Balance'!$K$5:$K$500&lt;$AK650)*('Lot Balance'!$K$5:$K$500+'Lot Balance'!$D$5:$D$500&gt;=$AK650),0),0)),""))</f>
        <v>O16689</v>
      </c>
      <c r="AM650" s="66" t="str" cm="1">
        <f t="array" ref="AM650">IF($F650="","",IFERROR(INDEX('Lot Balance'!$B$5:$B$500,MATCH(1,INDEX(('Lot Balance'!$A$5:$A$500=$F650)*('Lot Balance'!$K$5:$K$500&lt;$AJ650)*('Lot Balance'!$K$5:$K$500+'Lot Balance'!$D$5:$D$500&gt;=$AJ650),0),0)),""))</f>
        <v>O16689</v>
      </c>
      <c r="AN650" s="66" t="str">
        <f>IF($F650="","",IF($AI650&lt;&gt;"",IF(COUNTIFS('Lot Balance'!$A$5:$A$500,$F650,'Lot Balance'!$B$5:$B$500,$AI650)=0,"⚠ override is not a lot of this item",IF($AI650=$AL650,"Override = FEFO","Override - FEFO says "&amp;$AL650)),IF($AL650="","⚠ no receipt on file for this item",IF($AM650&lt;&gt;$AL650,"FEFO auto - split, also "&amp;$AM650,"FEFO auto"))))</f>
        <v>FEFO auto</v>
      </c>
      <c r="AO650" s="114"/>
    </row>
    <row r="651" spans="1:41" x14ac:dyDescent="0.35">
      <c r="A651" s="74">
        <v>46153</v>
      </c>
      <c r="B651" s="18" t="str">
        <f>IF($C651="","",IFERROR(INDEX('Staff Directory'!$A$5:$A$594,MATCH($C651,'Staff Directory'!$B$5:$B$594,0)),"⚠ unknown staff"))</f>
        <v>PSW-134-A6</v>
      </c>
      <c r="C651" s="49" t="s">
        <v>1113</v>
      </c>
      <c r="D651" s="19" t="str">
        <f>IF($B651="","",IFERROR(INDEX('Staff Directory'!$C$5:$C$594,MATCH($B651,'Staff Directory'!$A$5:$A$594,0)),""))</f>
        <v>PSW</v>
      </c>
      <c r="E651" s="19" t="str">
        <f>IF($B651="","",IFERROR(INDEX('Staff Directory'!$D$5:$D$594,MATCH($B651,'Staff Directory'!$A$5:$A$594,0)),""))</f>
        <v>A6</v>
      </c>
      <c r="F651" s="9" t="s">
        <v>191</v>
      </c>
      <c r="G651" s="18" t="str">
        <f>IF($F651="","",IFERROR(INDEX(Items!$B$5:$B$597,MATCH($F651,Items!$A$5:$A$597,0)),"⚠ not in Items"))</f>
        <v>Sanitizer</v>
      </c>
      <c r="H651" s="19" t="str">
        <f>IF($F651="","",IFERROR(INDEX(Items!$C$5:$C$597,MATCH($F651,Items!$A$5:$A$597,0)),""))</f>
        <v>236 ML</v>
      </c>
      <c r="I651" s="23">
        <f>IF($F651="","",IFERROR(INDEX(Items!$E$5:$E$597,MATCH($F651,Items!$A$5:$A$597,0)),""))</f>
        <v>1</v>
      </c>
      <c r="J651" s="115">
        <f>IF(tblIssues[[#This Row],[Qty Override]]&lt;&gt;"",tblIssues[[#This Row],[Qty Override]],IF(tblIssues[[#This Row],[Standard Issue]]="","",tblIssues[[#This Row],[Standard Issue]]))</f>
        <v>1</v>
      </c>
      <c r="K651" s="20">
        <f>IF($F651="","",IFERROR(INDEX(Items!$D$5:$D$597,MATCH($F651,Items!$A$5:$A$597,0)),""))</f>
        <v>1E-4</v>
      </c>
      <c r="L651" s="21">
        <f t="shared" si="116"/>
        <v>1E-4</v>
      </c>
      <c r="M651" s="9" t="str">
        <f t="shared" si="117"/>
        <v>20-21734-2</v>
      </c>
      <c r="N651" s="24">
        <f>IF($A651="","",WORKDAY($A651,Settings!$C$9,HolidayDates))</f>
        <v>46161</v>
      </c>
      <c r="O651" s="24">
        <f>IF($N651="","",WORKDAY($N651,Settings!$C$10,HolidayDates))</f>
        <v>46199</v>
      </c>
      <c r="P651" s="10" t="s">
        <v>501</v>
      </c>
      <c r="Q651" s="52" t="str">
        <f t="shared" si="108"/>
        <v>Collected</v>
      </c>
      <c r="R651" s="55" t="str">
        <f t="shared" si="109"/>
        <v>2026-05</v>
      </c>
      <c r="S651" s="55">
        <f>IF(OR($B651="",$F651="",$R651=""),"",SUMIFS(tblIssues[Qty Issued],tblIssues[Staff ID],$B651,tblIssues[Item Name],$F651,tblIssues[Month],$R651))</f>
        <v>1</v>
      </c>
      <c r="T651" s="56">
        <f>IF($I651="","",$I651*Settings!$C$11)</f>
        <v>1</v>
      </c>
      <c r="U651" s="57" t="str">
        <f t="shared" si="118"/>
        <v>OK</v>
      </c>
      <c r="V651" s="55" t="str">
        <f t="shared" si="110"/>
        <v/>
      </c>
      <c r="W651" s="55" t="str">
        <f>IF($V651="","",IF(COUNTIF($V$5:$V651,$V651)=1,1,""))</f>
        <v/>
      </c>
      <c r="X651" s="58" t="str">
        <f>IF($W651="","",MAX($X$4:X650)+1)</f>
        <v/>
      </c>
      <c r="Y651" s="62"/>
      <c r="Z651" s="62"/>
      <c r="AA651" s="64" t="str">
        <f>IF($C651="","",IFERROR(INDEX('Staff Directory'!$E$5:$E$594,MATCH($C651,'Staff Directory'!$B$5:$B$594,0)),""))</f>
        <v>firstname197.lastname197@example.com</v>
      </c>
      <c r="AB651" s="64" t="str">
        <f>IF($C651="","",IF(ISNUMBER(SEARCH($D651,Settings!$C$15)),"Pickup","Dispatch"))</f>
        <v>Pickup</v>
      </c>
      <c r="AC651" s="64" t="str">
        <f t="shared" si="111"/>
        <v>Supply order ready for pickup</v>
      </c>
      <c r="AD651" s="64" t="str">
        <f t="shared" si="113"/>
        <v>Dear PSW,
Your order is ready for pickup from Sample Branch, Wed-Fri 9am-4pm.</v>
      </c>
      <c r="AE651" s="64" t="str">
        <f t="shared" si="114"/>
        <v>mailto:firstname197.lastname197@example.com?subject=Supply%20order%20ready%20for%20pickup&amp;body=Dear%20PSW%2C%0A%0AYour%20order%20is%20ready%20for%20pickup%20from%20Sample%20Branch%2C%20Wed-Fri%209am-4pm.</v>
      </c>
      <c r="AF651" s="89" t="str">
        <f t="shared" si="112"/>
        <v>Draft email</v>
      </c>
      <c r="AG651" s="64" t="str">
        <f>IF($C651="","",IFERROR(INDEX('Staff Directory'!$K$595:$K$599,MATCH($C651,'Staff Directory'!$B$5:$B$599,0)),$D651))</f>
        <v>PSW</v>
      </c>
      <c r="AH651" t="str">
        <f>IF($C651="","",IFERROR(INDEX('Staff Directory'!$I$595:$I$599,MATCH($C651,'Staff Directory'!$B$5:$B$599,0))&amp;" "&amp;INDEX('Staff Directory'!$J$595:$J$599,MATCH($C651,'Staff Directory'!$B$5:$B$599,0)),$AG651))</f>
        <v>PSW</v>
      </c>
      <c r="AI651" s="102"/>
      <c r="AJ651" s="101">
        <f>IF($F651="","",SUMIFS($J$5:$J651,$F$5:$F651,$F651))</f>
        <v>72</v>
      </c>
      <c r="AK651" s="101">
        <f t="shared" si="115"/>
        <v>72</v>
      </c>
      <c r="AL651" s="66" t="str" cm="1">
        <f t="array" ref="AL651">IF($F651="","",IFERROR(INDEX('Lot Balance'!$B$5:$B$500,MATCH(1,INDEX(('Lot Balance'!$A$5:$A$500=$F651)*('Lot Balance'!$K$5:$K$500&lt;$AK651)*('Lot Balance'!$K$5:$K$500+'Lot Balance'!$D$5:$D$500&gt;=$AK651),0),0)),""))</f>
        <v>20-21734-2</v>
      </c>
      <c r="AM651" s="66" t="str" cm="1">
        <f t="array" ref="AM651">IF($F651="","",IFERROR(INDEX('Lot Balance'!$B$5:$B$500,MATCH(1,INDEX(('Lot Balance'!$A$5:$A$500=$F651)*('Lot Balance'!$K$5:$K$500&lt;$AJ651)*('Lot Balance'!$K$5:$K$500+'Lot Balance'!$D$5:$D$500&gt;=$AJ651),0),0)),""))</f>
        <v>20-21734-2</v>
      </c>
      <c r="AN651" s="66" t="str">
        <f>IF($F651="","",IF($AI651&lt;&gt;"",IF(COUNTIFS('Lot Balance'!$A$5:$A$500,$F651,'Lot Balance'!$B$5:$B$500,$AI651)=0,"⚠ override is not a lot of this item",IF($AI651=$AL651,"Override = FEFO","Override - FEFO says "&amp;$AL651)),IF($AL651="","⚠ no receipt on file for this item",IF($AM651&lt;&gt;$AL651,"FEFO auto - split, also "&amp;$AM651,"FEFO auto"))))</f>
        <v>FEFO auto</v>
      </c>
      <c r="AO651" s="114"/>
    </row>
    <row r="652" spans="1:41" x14ac:dyDescent="0.35">
      <c r="A652" s="74">
        <v>46153</v>
      </c>
      <c r="B652" s="18" t="str">
        <f>IF($C652="","",IFERROR(INDEX('Staff Directory'!$A$5:$A$594,MATCH($C652,'Staff Directory'!$B$5:$B$594,0)),"⚠ unknown staff"))</f>
        <v>PSW-134-A6</v>
      </c>
      <c r="C652" s="49" t="s">
        <v>1113</v>
      </c>
      <c r="D652" s="19" t="str">
        <f>IF($B652="","",IFERROR(INDEX('Staff Directory'!$C$5:$C$594,MATCH($B652,'Staff Directory'!$A$5:$A$594,0)),""))</f>
        <v>PSW</v>
      </c>
      <c r="E652" s="19" t="str">
        <f>IF($B652="","",IFERROR(INDEX('Staff Directory'!$D$5:$D$594,MATCH($B652,'Staff Directory'!$A$5:$A$594,0)),""))</f>
        <v>A6</v>
      </c>
      <c r="F652" s="9" t="s">
        <v>156</v>
      </c>
      <c r="G652" s="18" t="str">
        <f>IF($F652="","",IFERROR(INDEX(Items!$B$5:$B$597,MATCH($F652,Items!$A$5:$A$597,0)),"⚠ not in Items"))</f>
        <v>Masks</v>
      </c>
      <c r="H652" s="19" t="str">
        <f>IF($F652="","",IFERROR(INDEX(Items!$C$5:$C$597,MATCH($F652,Items!$A$5:$A$597,0)),""))</f>
        <v>One Size</v>
      </c>
      <c r="I652" s="23">
        <f>IF($F652="","",IFERROR(INDEX(Items!$E$5:$E$597,MATCH($F652,Items!$A$5:$A$597,0)),""))</f>
        <v>50</v>
      </c>
      <c r="J652" s="115">
        <f>IF(tblIssues[[#This Row],[Qty Override]]&lt;&gt;"",tblIssues[[#This Row],[Qty Override]],IF(tblIssues[[#This Row],[Standard Issue]]="","",tblIssues[[#This Row],[Standard Issue]]))</f>
        <v>50</v>
      </c>
      <c r="K652" s="20">
        <f>IF($F652="","",IFERROR(INDEX(Items!$D$5:$D$597,MATCH($F652,Items!$A$5:$A$597,0)),""))</f>
        <v>0.25</v>
      </c>
      <c r="L652" s="21">
        <f t="shared" si="116"/>
        <v>12.5</v>
      </c>
      <c r="M652" s="9" t="str">
        <f t="shared" si="117"/>
        <v>0125FPC24-0</v>
      </c>
      <c r="N652" s="24">
        <f>IF($A652="","",WORKDAY($A652,Settings!$C$9,HolidayDates))</f>
        <v>46161</v>
      </c>
      <c r="O652" s="24">
        <f>IF($N652="","",WORKDAY($N652,Settings!$C$10,HolidayDates))</f>
        <v>46199</v>
      </c>
      <c r="P652" s="10" t="s">
        <v>501</v>
      </c>
      <c r="Q652" s="52" t="str">
        <f t="shared" si="108"/>
        <v>Collected</v>
      </c>
      <c r="R652" s="55" t="str">
        <f t="shared" si="109"/>
        <v>2026-05</v>
      </c>
      <c r="S652" s="55">
        <f>IF(OR($B652="",$F652="",$R652=""),"",SUMIFS(tblIssues[Qty Issued],tblIssues[Staff ID],$B652,tblIssues[Item Name],$F652,tblIssues[Month],$R652))</f>
        <v>50</v>
      </c>
      <c r="T652" s="56">
        <f>IF($I652="","",$I652*Settings!$C$11)</f>
        <v>50</v>
      </c>
      <c r="U652" s="57" t="str">
        <f t="shared" si="118"/>
        <v>OK</v>
      </c>
      <c r="V652" s="55" t="str">
        <f t="shared" si="110"/>
        <v/>
      </c>
      <c r="W652" s="55" t="str">
        <f>IF($V652="","",IF(COUNTIF($V$5:$V652,$V652)=1,1,""))</f>
        <v/>
      </c>
      <c r="X652" s="58" t="str">
        <f>IF($W652="","",MAX($X$4:X651)+1)</f>
        <v/>
      </c>
      <c r="Y652" s="62"/>
      <c r="Z652" s="62"/>
      <c r="AA652" s="64" t="str">
        <f>IF($C652="","",IFERROR(INDEX('Staff Directory'!$E$5:$E$594,MATCH($C652,'Staff Directory'!$B$5:$B$594,0)),""))</f>
        <v>firstname197.lastname197@example.com</v>
      </c>
      <c r="AB652" s="64" t="str">
        <f>IF($C652="","",IF(ISNUMBER(SEARCH($D652,Settings!$C$15)),"Pickup","Dispatch"))</f>
        <v>Pickup</v>
      </c>
      <c r="AC652" s="64" t="str">
        <f t="shared" si="111"/>
        <v>Supply order ready for pickup</v>
      </c>
      <c r="AD652" s="64" t="str">
        <f t="shared" si="113"/>
        <v>Dear PSW,
Your order is ready for pickup from Sample Branch, Wed-Fri 9am-4pm.</v>
      </c>
      <c r="AE652" s="64" t="str">
        <f t="shared" si="114"/>
        <v>mailto:firstname197.lastname197@example.com?subject=Supply%20order%20ready%20for%20pickup&amp;body=Dear%20PSW%2C%0A%0AYour%20order%20is%20ready%20for%20pickup%20from%20Sample%20Branch%2C%20Wed-Fri%209am-4pm.</v>
      </c>
      <c r="AF652" s="89" t="str">
        <f t="shared" si="112"/>
        <v>Draft email</v>
      </c>
      <c r="AG652" s="64" t="str">
        <f>IF($C652="","",IFERROR(INDEX('Staff Directory'!$K$595:$K$599,MATCH($C652,'Staff Directory'!$B$5:$B$599,0)),$D652))</f>
        <v>PSW</v>
      </c>
      <c r="AH652" t="str">
        <f>IF($C652="","",IFERROR(INDEX('Staff Directory'!$I$595:$I$599,MATCH($C652,'Staff Directory'!$B$5:$B$599,0))&amp;" "&amp;INDEX('Staff Directory'!$J$595:$J$599,MATCH($C652,'Staff Directory'!$B$5:$B$599,0)),$AG652))</f>
        <v>PSW</v>
      </c>
      <c r="AI652" s="102"/>
      <c r="AJ652" s="101">
        <f>IF($F652="","",SUMIFS($J$5:$J652,$F$5:$F652,$F652))</f>
        <v>5250</v>
      </c>
      <c r="AK652" s="101">
        <f t="shared" si="115"/>
        <v>5201</v>
      </c>
      <c r="AL652" s="66" t="str" cm="1">
        <f t="array" ref="AL652">IF($F652="","",IFERROR(INDEX('Lot Balance'!$B$5:$B$500,MATCH(1,INDEX(('Lot Balance'!$A$5:$A$500=$F652)*('Lot Balance'!$K$5:$K$500&lt;$AK652)*('Lot Balance'!$K$5:$K$500+'Lot Balance'!$D$5:$D$500&gt;=$AK652),0),0)),""))</f>
        <v>0125FPC24-0</v>
      </c>
      <c r="AM652" s="66" t="str" cm="1">
        <f t="array" ref="AM652">IF($F652="","",IFERROR(INDEX('Lot Balance'!$B$5:$B$500,MATCH(1,INDEX(('Lot Balance'!$A$5:$A$500=$F652)*('Lot Balance'!$K$5:$K$500&lt;$AJ652)*('Lot Balance'!$K$5:$K$500+'Lot Balance'!$D$5:$D$500&gt;=$AJ652),0),0)),""))</f>
        <v>0125FPC24-0</v>
      </c>
      <c r="AN652" s="66" t="str">
        <f>IF($F652="","",IF($AI652&lt;&gt;"",IF(COUNTIFS('Lot Balance'!$A$5:$A$500,$F652,'Lot Balance'!$B$5:$B$500,$AI652)=0,"⚠ override is not a lot of this item",IF($AI652=$AL652,"Override = FEFO","Override - FEFO says "&amp;$AL652)),IF($AL652="","⚠ no receipt on file for this item",IF($AM652&lt;&gt;$AL652,"FEFO auto - split, also "&amp;$AM652,"FEFO auto"))))</f>
        <v>FEFO auto</v>
      </c>
      <c r="AO652" s="114"/>
    </row>
    <row r="653" spans="1:41" x14ac:dyDescent="0.35">
      <c r="A653" s="74">
        <v>46153</v>
      </c>
      <c r="B653" s="18" t="str">
        <f>IF($C653="","",IFERROR(INDEX('Staff Directory'!$A$5:$A$594,MATCH($C653,'Staff Directory'!$B$5:$B$594,0)),"⚠ unknown staff"))</f>
        <v>PSW-020-A6</v>
      </c>
      <c r="C653" s="49" t="s">
        <v>996</v>
      </c>
      <c r="D653" s="19" t="str">
        <f>IF($B653="","",IFERROR(INDEX('Staff Directory'!$C$5:$C$594,MATCH($B653,'Staff Directory'!$A$5:$A$594,0)),""))</f>
        <v>PSW</v>
      </c>
      <c r="E653" s="19" t="str">
        <f>IF($B653="","",IFERROR(INDEX('Staff Directory'!$D$5:$D$594,MATCH($B653,'Staff Directory'!$A$5:$A$594,0)),""))</f>
        <v>A6</v>
      </c>
      <c r="F653" s="9" t="s">
        <v>127</v>
      </c>
      <c r="G653" s="18" t="str">
        <f>IF($F653="","",IFERROR(INDEX(Items!$B$5:$B$597,MATCH($F653,Items!$A$5:$A$597,0)),"⚠ not in Items"))</f>
        <v>Gloves</v>
      </c>
      <c r="H653" s="19" t="str">
        <f>IF($F653="","",IFERROR(INDEX(Items!$C$5:$C$597,MATCH($F653,Items!$A$5:$A$597,0)),""))</f>
        <v>Medium</v>
      </c>
      <c r="I653" s="23">
        <f>IF($F653="","",IFERROR(INDEX(Items!$E$5:$E$597,MATCH($F653,Items!$A$5:$A$597,0)),""))</f>
        <v>500</v>
      </c>
      <c r="J653" s="115">
        <f>IF(tblIssues[[#This Row],[Qty Override]]&lt;&gt;"",tblIssues[[#This Row],[Qty Override]],IF(tblIssues[[#This Row],[Standard Issue]]="","",tblIssues[[#This Row],[Standard Issue]]))</f>
        <v>500</v>
      </c>
      <c r="K653" s="20">
        <f>IF($F653="","",IFERROR(INDEX(Items!$D$5:$D$597,MATCH($F653,Items!$A$5:$A$597,0)),""))</f>
        <v>5.5E-2</v>
      </c>
      <c r="L653" s="21">
        <f t="shared" si="116"/>
        <v>27.5</v>
      </c>
      <c r="M653" s="9" t="str">
        <f t="shared" si="117"/>
        <v>O16689</v>
      </c>
      <c r="N653" s="24">
        <f>IF($A653="","",WORKDAY($A653,Settings!$C$9,HolidayDates))</f>
        <v>46161</v>
      </c>
      <c r="O653" s="24">
        <f>IF($N653="","",WORKDAY($N653,Settings!$C$10,HolidayDates))</f>
        <v>46199</v>
      </c>
      <c r="P653" s="10" t="s">
        <v>501</v>
      </c>
      <c r="Q653" s="52" t="str">
        <f t="shared" si="108"/>
        <v>Collected</v>
      </c>
      <c r="R653" s="55" t="str">
        <f t="shared" si="109"/>
        <v>2026-05</v>
      </c>
      <c r="S653" s="55">
        <f>IF(OR($B653="",$F653="",$R653=""),"",SUMIFS(tblIssues[Qty Issued],tblIssues[Staff ID],$B653,tblIssues[Item Name],$F653,tblIssues[Month],$R653))</f>
        <v>500</v>
      </c>
      <c r="T653" s="56">
        <f>IF($I653="","",$I653*Settings!$C$11)</f>
        <v>500</v>
      </c>
      <c r="U653" s="57" t="str">
        <f t="shared" si="118"/>
        <v>OK</v>
      </c>
      <c r="V653" s="55" t="str">
        <f t="shared" si="110"/>
        <v/>
      </c>
      <c r="W653" s="55" t="str">
        <f>IF($V653="","",IF(COUNTIF($V$5:$V653,$V653)=1,1,""))</f>
        <v/>
      </c>
      <c r="X653" s="58" t="str">
        <f>IF($W653="","",MAX($X$4:X652)+1)</f>
        <v/>
      </c>
      <c r="Y653" s="62"/>
      <c r="Z653" s="62"/>
      <c r="AA653" s="64" t="str">
        <f>IF($C653="","",IFERROR(INDEX('Staff Directory'!$E$5:$E$594,MATCH($C653,'Staff Directory'!$B$5:$B$594,0)),""))</f>
        <v>firstname080.lastname080@example.com</v>
      </c>
      <c r="AB653" s="64" t="str">
        <f>IF($C653="","",IF(ISNUMBER(SEARCH($D653,Settings!$C$15)),"Pickup","Dispatch"))</f>
        <v>Pickup</v>
      </c>
      <c r="AC653" s="64" t="str">
        <f t="shared" si="111"/>
        <v>Supply order ready for pickup</v>
      </c>
      <c r="AD653" s="64" t="str">
        <f t="shared" si="113"/>
        <v>Dear PSW,
Your order is ready for pickup from Sample Branch, Wed-Fri 9am-4pm.</v>
      </c>
      <c r="AE653" s="64" t="str">
        <f t="shared" si="114"/>
        <v>mailto:firstname080.lastname080@example.com?subject=Supply%20order%20ready%20for%20pickup&amp;body=Dear%20PSW%2C%0A%0AYour%20order%20is%20ready%20for%20pickup%20from%20Sample%20Branch%2C%20Wed-Fri%209am-4pm.</v>
      </c>
      <c r="AF653" s="89" t="str">
        <f t="shared" si="112"/>
        <v>Draft email</v>
      </c>
      <c r="AG653" s="64" t="str">
        <f>IF($C653="","",IFERROR(INDEX('Staff Directory'!$K$595:$K$599,MATCH($C653,'Staff Directory'!$B$5:$B$599,0)),$D653))</f>
        <v>PSW</v>
      </c>
      <c r="AH653" t="str">
        <f>IF($C653="","",IFERROR(INDEX('Staff Directory'!$I$595:$I$599,MATCH($C653,'Staff Directory'!$B$5:$B$599,0))&amp;" "&amp;INDEX('Staff Directory'!$J$595:$J$599,MATCH($C653,'Staff Directory'!$B$5:$B$599,0)),$AG653))</f>
        <v>PSW</v>
      </c>
      <c r="AI653" s="102"/>
      <c r="AJ653" s="101">
        <f>IF($F653="","",SUMIFS($J$5:$J653,$F$5:$F653,$F653))</f>
        <v>37000</v>
      </c>
      <c r="AK653" s="101">
        <f t="shared" si="115"/>
        <v>36501</v>
      </c>
      <c r="AL653" s="66" t="str" cm="1">
        <f t="array" ref="AL653">IF($F653="","",IFERROR(INDEX('Lot Balance'!$B$5:$B$500,MATCH(1,INDEX(('Lot Balance'!$A$5:$A$500=$F653)*('Lot Balance'!$K$5:$K$500&lt;$AK653)*('Lot Balance'!$K$5:$K$500+'Lot Balance'!$D$5:$D$500&gt;=$AK653),0),0)),""))</f>
        <v>O16689</v>
      </c>
      <c r="AM653" s="66" t="str" cm="1">
        <f t="array" ref="AM653">IF($F653="","",IFERROR(INDEX('Lot Balance'!$B$5:$B$500,MATCH(1,INDEX(('Lot Balance'!$A$5:$A$500=$F653)*('Lot Balance'!$K$5:$K$500&lt;$AJ653)*('Lot Balance'!$K$5:$K$500+'Lot Balance'!$D$5:$D$500&gt;=$AJ653),0),0)),""))</f>
        <v>O16689</v>
      </c>
      <c r="AN653" s="66" t="str">
        <f>IF($F653="","",IF($AI653&lt;&gt;"",IF(COUNTIFS('Lot Balance'!$A$5:$A$500,$F653,'Lot Balance'!$B$5:$B$500,$AI653)=0,"⚠ override is not a lot of this item",IF($AI653=$AL653,"Override = FEFO","Override - FEFO says "&amp;$AL653)),IF($AL653="","⚠ no receipt on file for this item",IF($AM653&lt;&gt;$AL653,"FEFO auto - split, also "&amp;$AM653,"FEFO auto"))))</f>
        <v>FEFO auto</v>
      </c>
      <c r="AO653" s="114"/>
    </row>
    <row r="654" spans="1:41" x14ac:dyDescent="0.35">
      <c r="A654" s="74">
        <v>46153</v>
      </c>
      <c r="B654" s="18" t="str">
        <f>IF($C654="","",IFERROR(INDEX('Staff Directory'!$A$5:$A$594,MATCH($C654,'Staff Directory'!$B$5:$B$594,0)),"⚠ unknown staff"))</f>
        <v>PSW-020-A6</v>
      </c>
      <c r="C654" s="49" t="s">
        <v>996</v>
      </c>
      <c r="D654" s="19" t="str">
        <f>IF($B654="","",IFERROR(INDEX('Staff Directory'!$C$5:$C$594,MATCH($B654,'Staff Directory'!$A$5:$A$594,0)),""))</f>
        <v>PSW</v>
      </c>
      <c r="E654" s="19" t="str">
        <f>IF($B654="","",IFERROR(INDEX('Staff Directory'!$D$5:$D$594,MATCH($B654,'Staff Directory'!$A$5:$A$594,0)),""))</f>
        <v>A6</v>
      </c>
      <c r="F654" s="9" t="s">
        <v>191</v>
      </c>
      <c r="G654" s="18" t="str">
        <f>IF($F654="","",IFERROR(INDEX(Items!$B$5:$B$597,MATCH($F654,Items!$A$5:$A$597,0)),"⚠ not in Items"))</f>
        <v>Sanitizer</v>
      </c>
      <c r="H654" s="19" t="str">
        <f>IF($F654="","",IFERROR(INDEX(Items!$C$5:$C$597,MATCH($F654,Items!$A$5:$A$597,0)),""))</f>
        <v>236 ML</v>
      </c>
      <c r="I654" s="23">
        <f>IF($F654="","",IFERROR(INDEX(Items!$E$5:$E$597,MATCH($F654,Items!$A$5:$A$597,0)),""))</f>
        <v>1</v>
      </c>
      <c r="J654" s="115">
        <f>IF(tblIssues[[#This Row],[Qty Override]]&lt;&gt;"",tblIssues[[#This Row],[Qty Override]],IF(tblIssues[[#This Row],[Standard Issue]]="","",tblIssues[[#This Row],[Standard Issue]]))</f>
        <v>1</v>
      </c>
      <c r="K654" s="20">
        <f>IF($F654="","",IFERROR(INDEX(Items!$D$5:$D$597,MATCH($F654,Items!$A$5:$A$597,0)),""))</f>
        <v>1E-4</v>
      </c>
      <c r="L654" s="21">
        <f t="shared" si="116"/>
        <v>1E-4</v>
      </c>
      <c r="M654" s="9" t="str">
        <f t="shared" si="117"/>
        <v>20-21734-3</v>
      </c>
      <c r="N654" s="24">
        <f>IF($A654="","",WORKDAY($A654,Settings!$C$9,HolidayDates))</f>
        <v>46161</v>
      </c>
      <c r="O654" s="24">
        <f>IF($N654="","",WORKDAY($N654,Settings!$C$10,HolidayDates))</f>
        <v>46199</v>
      </c>
      <c r="P654" s="10" t="s">
        <v>501</v>
      </c>
      <c r="Q654" s="52" t="str">
        <f t="shared" ref="Q654:Q717" si="119">IF($A654="","",IF($P654&lt;&gt;"","Collected","Pending"))</f>
        <v>Collected</v>
      </c>
      <c r="R654" s="55" t="str">
        <f t="shared" ref="R654:R717" si="120">IF($A654="","",TEXT($A654,"yyyy-mm"))</f>
        <v>2026-05</v>
      </c>
      <c r="S654" s="55">
        <f>IF(OR($B654="",$F654="",$R654=""),"",SUMIFS(tblIssues[Qty Issued],tblIssues[Staff ID],$B654,tblIssues[Item Name],$F654,tblIssues[Month],$R654))</f>
        <v>1</v>
      </c>
      <c r="T654" s="56">
        <f>IF($I654="","",$I654*Settings!$C$11)</f>
        <v>1</v>
      </c>
      <c r="U654" s="57" t="str">
        <f t="shared" si="118"/>
        <v>OK</v>
      </c>
      <c r="V654" s="55" t="str">
        <f t="shared" ref="V654:V717" si="121">IF($U654="⚠ OVER QUOTA",$B654&amp;" | "&amp;$F654&amp;" | "&amp;$R654,"")</f>
        <v/>
      </c>
      <c r="W654" s="55" t="str">
        <f>IF($V654="","",IF(COUNTIF($V$5:$V654,$V654)=1,1,""))</f>
        <v/>
      </c>
      <c r="X654" s="58" t="str">
        <f>IF($W654="","",MAX($X$4:X653)+1)</f>
        <v/>
      </c>
      <c r="Y654" s="62"/>
      <c r="Z654" s="62"/>
      <c r="AA654" s="64" t="str">
        <f>IF($C654="","",IFERROR(INDEX('Staff Directory'!$E$5:$E$594,MATCH($C654,'Staff Directory'!$B$5:$B$594,0)),""))</f>
        <v>firstname080.lastname080@example.com</v>
      </c>
      <c r="AB654" s="64" t="str">
        <f>IF($C654="","",IF(ISNUMBER(SEARCH($D654,Settings!$C$15)),"Pickup","Dispatch"))</f>
        <v>Pickup</v>
      </c>
      <c r="AC654" s="64" t="str">
        <f t="shared" ref="AC654:AC717" si="122">IF($AB654="Pickup","Supply order ready for pickup",IF($AB654="Dispatch","Supply order dispatched",""))</f>
        <v>Supply order ready for pickup</v>
      </c>
      <c r="AD654" s="64" t="str">
        <f t="shared" si="113"/>
        <v>Dear PSW,
Your order is ready for pickup from Sample Branch, Wed-Fri 9am-4pm.</v>
      </c>
      <c r="AE654" s="64" t="str">
        <f t="shared" si="114"/>
        <v>mailto:firstname080.lastname080@example.com?subject=Supply%20order%20ready%20for%20pickup&amp;body=Dear%20PSW%2C%0A%0AYour%20order%20is%20ready%20for%20pickup%20from%20Sample%20Branch%2C%20Wed-Fri%209am-4pm.</v>
      </c>
      <c r="AF654" s="89" t="str">
        <f t="shared" ref="AF654:AF717" si="123">IF(AE654="","",HYPERLINK(AE654,"Draft email"))</f>
        <v>Draft email</v>
      </c>
      <c r="AG654" s="64" t="str">
        <f>IF($C654="","",IFERROR(INDEX('Staff Directory'!$K$595:$K$599,MATCH($C654,'Staff Directory'!$B$5:$B$599,0)),$D654))</f>
        <v>PSW</v>
      </c>
      <c r="AH654" t="str">
        <f>IF($C654="","",IFERROR(INDEX('Staff Directory'!$I$595:$I$599,MATCH($C654,'Staff Directory'!$B$5:$B$599,0))&amp;" "&amp;INDEX('Staff Directory'!$J$595:$J$599,MATCH($C654,'Staff Directory'!$B$5:$B$599,0)),$AG654))</f>
        <v>PSW</v>
      </c>
      <c r="AI654" s="102"/>
      <c r="AJ654" s="101">
        <f>IF($F654="","",SUMIFS($J$5:$J654,$F$5:$F654,$F654))</f>
        <v>73</v>
      </c>
      <c r="AK654" s="101">
        <f t="shared" si="115"/>
        <v>73</v>
      </c>
      <c r="AL654" s="66" t="str" cm="1">
        <f t="array" ref="AL654">IF($F654="","",IFERROR(INDEX('Lot Balance'!$B$5:$B$500,MATCH(1,INDEX(('Lot Balance'!$A$5:$A$500=$F654)*('Lot Balance'!$K$5:$K$500&lt;$AK654)*('Lot Balance'!$K$5:$K$500+'Lot Balance'!$D$5:$D$500&gt;=$AK654),0),0)),""))</f>
        <v>20-21734-3</v>
      </c>
      <c r="AM654" s="66" t="str" cm="1">
        <f t="array" ref="AM654">IF($F654="","",IFERROR(INDEX('Lot Balance'!$B$5:$B$500,MATCH(1,INDEX(('Lot Balance'!$A$5:$A$500=$F654)*('Lot Balance'!$K$5:$K$500&lt;$AJ654)*('Lot Balance'!$K$5:$K$500+'Lot Balance'!$D$5:$D$500&gt;=$AJ654),0),0)),""))</f>
        <v>20-21734-3</v>
      </c>
      <c r="AN654" s="66" t="str">
        <f>IF($F654="","",IF($AI654&lt;&gt;"",IF(COUNTIFS('Lot Balance'!$A$5:$A$500,$F654,'Lot Balance'!$B$5:$B$500,$AI654)=0,"⚠ override is not a lot of this item",IF($AI654=$AL654,"Override = FEFO","Override - FEFO says "&amp;$AL654)),IF($AL654="","⚠ no receipt on file for this item",IF($AM654&lt;&gt;$AL654,"FEFO auto - split, also "&amp;$AM654,"FEFO auto"))))</f>
        <v>FEFO auto</v>
      </c>
      <c r="AO654" s="114"/>
    </row>
    <row r="655" spans="1:41" x14ac:dyDescent="0.35">
      <c r="A655" s="74">
        <v>46153</v>
      </c>
      <c r="B655" s="18" t="str">
        <f>IF($C655="","",IFERROR(INDEX('Staff Directory'!$A$5:$A$594,MATCH($C655,'Staff Directory'!$B$5:$B$594,0)),"⚠ unknown staff"))</f>
        <v>PSW-020-A6</v>
      </c>
      <c r="C655" s="49" t="s">
        <v>996</v>
      </c>
      <c r="D655" s="19" t="str">
        <f>IF($B655="","",IFERROR(INDEX('Staff Directory'!$C$5:$C$594,MATCH($B655,'Staff Directory'!$A$5:$A$594,0)),""))</f>
        <v>PSW</v>
      </c>
      <c r="E655" s="19" t="str">
        <f>IF($B655="","",IFERROR(INDEX('Staff Directory'!$D$5:$D$594,MATCH($B655,'Staff Directory'!$A$5:$A$594,0)),""))</f>
        <v>A6</v>
      </c>
      <c r="F655" s="9" t="s">
        <v>156</v>
      </c>
      <c r="G655" s="18" t="str">
        <f>IF($F655="","",IFERROR(INDEX(Items!$B$5:$B$597,MATCH($F655,Items!$A$5:$A$597,0)),"⚠ not in Items"))</f>
        <v>Masks</v>
      </c>
      <c r="H655" s="19" t="str">
        <f>IF($F655="","",IFERROR(INDEX(Items!$C$5:$C$597,MATCH($F655,Items!$A$5:$A$597,0)),""))</f>
        <v>One Size</v>
      </c>
      <c r="I655" s="23">
        <f>IF($F655="","",IFERROR(INDEX(Items!$E$5:$E$597,MATCH($F655,Items!$A$5:$A$597,0)),""))</f>
        <v>50</v>
      </c>
      <c r="J655" s="115">
        <f>IF(tblIssues[[#This Row],[Qty Override]]&lt;&gt;"",tblIssues[[#This Row],[Qty Override]],IF(tblIssues[[#This Row],[Standard Issue]]="","",tblIssues[[#This Row],[Standard Issue]]))</f>
        <v>50</v>
      </c>
      <c r="K655" s="20">
        <f>IF($F655="","",IFERROR(INDEX(Items!$D$5:$D$597,MATCH($F655,Items!$A$5:$A$597,0)),""))</f>
        <v>0.25</v>
      </c>
      <c r="L655" s="21">
        <f t="shared" si="116"/>
        <v>12.5</v>
      </c>
      <c r="M655" s="9" t="str">
        <f t="shared" si="117"/>
        <v>0125FPC24-0</v>
      </c>
      <c r="N655" s="24">
        <f>IF($A655="","",WORKDAY($A655,Settings!$C$9,HolidayDates))</f>
        <v>46161</v>
      </c>
      <c r="O655" s="24">
        <f>IF($N655="","",WORKDAY($N655,Settings!$C$10,HolidayDates))</f>
        <v>46199</v>
      </c>
      <c r="P655" s="10" t="s">
        <v>501</v>
      </c>
      <c r="Q655" s="52" t="str">
        <f t="shared" si="119"/>
        <v>Collected</v>
      </c>
      <c r="R655" s="55" t="str">
        <f t="shared" si="120"/>
        <v>2026-05</v>
      </c>
      <c r="S655" s="55">
        <f>IF(OR($B655="",$F655="",$R655=""),"",SUMIFS(tblIssues[Qty Issued],tblIssues[Staff ID],$B655,tblIssues[Item Name],$F655,tblIssues[Month],$R655))</f>
        <v>50</v>
      </c>
      <c r="T655" s="56">
        <f>IF($I655="","",$I655*Settings!$C$11)</f>
        <v>50</v>
      </c>
      <c r="U655" s="57" t="str">
        <f t="shared" si="118"/>
        <v>OK</v>
      </c>
      <c r="V655" s="55" t="str">
        <f t="shared" si="121"/>
        <v/>
      </c>
      <c r="W655" s="55" t="str">
        <f>IF($V655="","",IF(COUNTIF($V$5:$V655,$V655)=1,1,""))</f>
        <v/>
      </c>
      <c r="X655" s="58" t="str">
        <f>IF($W655="","",MAX($X$4:X654)+1)</f>
        <v/>
      </c>
      <c r="Y655" s="62"/>
      <c r="Z655" s="62"/>
      <c r="AA655" s="64" t="str">
        <f>IF($C655="","",IFERROR(INDEX('Staff Directory'!$E$5:$E$594,MATCH($C655,'Staff Directory'!$B$5:$B$594,0)),""))</f>
        <v>firstname080.lastname080@example.com</v>
      </c>
      <c r="AB655" s="64" t="str">
        <f>IF($C655="","",IF(ISNUMBER(SEARCH($D655,Settings!$C$15)),"Pickup","Dispatch"))</f>
        <v>Pickup</v>
      </c>
      <c r="AC655" s="64" t="str">
        <f t="shared" si="122"/>
        <v>Supply order ready for pickup</v>
      </c>
      <c r="AD655" s="64" t="str">
        <f t="shared" si="113"/>
        <v>Dear PSW,
Your order is ready for pickup from Sample Branch, Wed-Fri 9am-4pm.</v>
      </c>
      <c r="AE655" s="64" t="str">
        <f t="shared" si="114"/>
        <v>mailto:firstname080.lastname080@example.com?subject=Supply%20order%20ready%20for%20pickup&amp;body=Dear%20PSW%2C%0A%0AYour%20order%20is%20ready%20for%20pickup%20from%20Sample%20Branch%2C%20Wed-Fri%209am-4pm.</v>
      </c>
      <c r="AF655" s="89" t="str">
        <f t="shared" si="123"/>
        <v>Draft email</v>
      </c>
      <c r="AG655" s="64" t="str">
        <f>IF($C655="","",IFERROR(INDEX('Staff Directory'!$K$595:$K$599,MATCH($C655,'Staff Directory'!$B$5:$B$599,0)),$D655))</f>
        <v>PSW</v>
      </c>
      <c r="AH655" t="str">
        <f>IF($C655="","",IFERROR(INDEX('Staff Directory'!$I$595:$I$599,MATCH($C655,'Staff Directory'!$B$5:$B$599,0))&amp;" "&amp;INDEX('Staff Directory'!$J$595:$J$599,MATCH($C655,'Staff Directory'!$B$5:$B$599,0)),$AG655))</f>
        <v>PSW</v>
      </c>
      <c r="AI655" s="102"/>
      <c r="AJ655" s="101">
        <f>IF($F655="","",SUMIFS($J$5:$J655,$F$5:$F655,$F655))</f>
        <v>5300</v>
      </c>
      <c r="AK655" s="101">
        <f t="shared" si="115"/>
        <v>5251</v>
      </c>
      <c r="AL655" s="66" t="str" cm="1">
        <f t="array" ref="AL655">IF($F655="","",IFERROR(INDEX('Lot Balance'!$B$5:$B$500,MATCH(1,INDEX(('Lot Balance'!$A$5:$A$500=$F655)*('Lot Balance'!$K$5:$K$500&lt;$AK655)*('Lot Balance'!$K$5:$K$500+'Lot Balance'!$D$5:$D$500&gt;=$AK655),0),0)),""))</f>
        <v>0125FPC24-0</v>
      </c>
      <c r="AM655" s="66" t="str" cm="1">
        <f t="array" ref="AM655">IF($F655="","",IFERROR(INDEX('Lot Balance'!$B$5:$B$500,MATCH(1,INDEX(('Lot Balance'!$A$5:$A$500=$F655)*('Lot Balance'!$K$5:$K$500&lt;$AJ655)*('Lot Balance'!$K$5:$K$500+'Lot Balance'!$D$5:$D$500&gt;=$AJ655),0),0)),""))</f>
        <v>0125FPC24-0</v>
      </c>
      <c r="AN655" s="66" t="str">
        <f>IF($F655="","",IF($AI655&lt;&gt;"",IF(COUNTIFS('Lot Balance'!$A$5:$A$500,$F655,'Lot Balance'!$B$5:$B$500,$AI655)=0,"⚠ override is not a lot of this item",IF($AI655=$AL655,"Override = FEFO","Override - FEFO says "&amp;$AL655)),IF($AL655="","⚠ no receipt on file for this item",IF($AM655&lt;&gt;$AL655,"FEFO auto - split, also "&amp;$AM655,"FEFO auto"))))</f>
        <v>FEFO auto</v>
      </c>
      <c r="AO655" s="114"/>
    </row>
    <row r="656" spans="1:41" x14ac:dyDescent="0.35">
      <c r="A656" s="74">
        <v>46153</v>
      </c>
      <c r="B656" s="18" t="str">
        <f>IF($C656="","",IFERROR(INDEX('Staff Directory'!$A$5:$A$594,MATCH($C656,'Staff Directory'!$B$5:$B$594,0)),"⚠ unknown staff"))</f>
        <v>PSW-113-A4</v>
      </c>
      <c r="C656" s="49" t="s">
        <v>1091</v>
      </c>
      <c r="D656" s="19" t="str">
        <f>IF($B656="","",IFERROR(INDEX('Staff Directory'!$C$5:$C$594,MATCH($B656,'Staff Directory'!$A$5:$A$594,0)),""))</f>
        <v>PSW</v>
      </c>
      <c r="E656" s="19" t="str">
        <f>IF($B656="","",IFERROR(INDEX('Staff Directory'!$D$5:$D$594,MATCH($B656,'Staff Directory'!$A$5:$A$594,0)),""))</f>
        <v>A4</v>
      </c>
      <c r="F656" s="9" t="s">
        <v>127</v>
      </c>
      <c r="G656" s="18" t="str">
        <f>IF($F656="","",IFERROR(INDEX(Items!$B$5:$B$597,MATCH($F656,Items!$A$5:$A$597,0)),"⚠ not in Items"))</f>
        <v>Gloves</v>
      </c>
      <c r="H656" s="19" t="str">
        <f>IF($F656="","",IFERROR(INDEX(Items!$C$5:$C$597,MATCH($F656,Items!$A$5:$A$597,0)),""))</f>
        <v>Medium</v>
      </c>
      <c r="I656" s="23">
        <f>IF($F656="","",IFERROR(INDEX(Items!$E$5:$E$597,MATCH($F656,Items!$A$5:$A$597,0)),""))</f>
        <v>500</v>
      </c>
      <c r="J656" s="115">
        <f>IF(tblIssues[[#This Row],[Qty Override]]&lt;&gt;"",tblIssues[[#This Row],[Qty Override]],IF(tblIssues[[#This Row],[Standard Issue]]="","",tblIssues[[#This Row],[Standard Issue]]))</f>
        <v>500</v>
      </c>
      <c r="K656" s="20">
        <f>IF($F656="","",IFERROR(INDEX(Items!$D$5:$D$597,MATCH($F656,Items!$A$5:$A$597,0)),""))</f>
        <v>5.5E-2</v>
      </c>
      <c r="L656" s="21">
        <f t="shared" si="116"/>
        <v>27.5</v>
      </c>
      <c r="M656" s="9" t="str">
        <f t="shared" si="117"/>
        <v>O16689</v>
      </c>
      <c r="N656" s="24">
        <f>IF($A656="","",WORKDAY($A656,Settings!$C$9,HolidayDates))</f>
        <v>46161</v>
      </c>
      <c r="O656" s="24">
        <f>IF($N656="","",WORKDAY($N656,Settings!$C$10,HolidayDates))</f>
        <v>46199</v>
      </c>
      <c r="P656" s="10" t="s">
        <v>501</v>
      </c>
      <c r="Q656" s="52" t="str">
        <f t="shared" si="119"/>
        <v>Collected</v>
      </c>
      <c r="R656" s="55" t="str">
        <f t="shared" si="120"/>
        <v>2026-05</v>
      </c>
      <c r="S656" s="55">
        <f>IF(OR($B656="",$F656="",$R656=""),"",SUMIFS(tblIssues[Qty Issued],tblIssues[Staff ID],$B656,tblIssues[Item Name],$F656,tblIssues[Month],$R656))</f>
        <v>500</v>
      </c>
      <c r="T656" s="56">
        <f>IF($I656="","",$I656*Settings!$C$11)</f>
        <v>500</v>
      </c>
      <c r="U656" s="57" t="str">
        <f t="shared" si="118"/>
        <v>OK</v>
      </c>
      <c r="V656" s="55" t="str">
        <f t="shared" si="121"/>
        <v/>
      </c>
      <c r="W656" s="55" t="str">
        <f>IF($V656="","",IF(COUNTIF($V$5:$V656,$V656)=1,1,""))</f>
        <v/>
      </c>
      <c r="X656" s="58" t="str">
        <f>IF($W656="","",MAX($X$4:X655)+1)</f>
        <v/>
      </c>
      <c r="Y656" s="62"/>
      <c r="Z656" s="62"/>
      <c r="AA656" s="64" t="str">
        <f>IF($C656="","",IFERROR(INDEX('Staff Directory'!$E$5:$E$594,MATCH($C656,'Staff Directory'!$B$5:$B$594,0)),""))</f>
        <v>firstname175.lastname175@example.com</v>
      </c>
      <c r="AB656" s="64" t="str">
        <f>IF($C656="","",IF(ISNUMBER(SEARCH($D656,Settings!$C$15)),"Pickup","Dispatch"))</f>
        <v>Pickup</v>
      </c>
      <c r="AC656" s="64" t="str">
        <f t="shared" si="122"/>
        <v>Supply order ready for pickup</v>
      </c>
      <c r="AD656" s="64" t="str">
        <f t="shared" si="113"/>
        <v>Dear PSW,
Your order is ready for pickup from Sample Branch, Wed-Fri 9am-4pm.</v>
      </c>
      <c r="AE656" s="64" t="str">
        <f t="shared" si="114"/>
        <v>mailto:firstname175.lastname175@example.com?subject=Supply%20order%20ready%20for%20pickup&amp;body=Dear%20PSW%2C%0A%0AYour%20order%20is%20ready%20for%20pickup%20from%20Sample%20Branch%2C%20Wed-Fri%209am-4pm.</v>
      </c>
      <c r="AF656" s="89" t="str">
        <f t="shared" si="123"/>
        <v>Draft email</v>
      </c>
      <c r="AG656" s="64" t="str">
        <f>IF($C656="","",IFERROR(INDEX('Staff Directory'!$K$595:$K$599,MATCH($C656,'Staff Directory'!$B$5:$B$599,0)),$D656))</f>
        <v>PSW</v>
      </c>
      <c r="AH656" t="str">
        <f>IF($C656="","",IFERROR(INDEX('Staff Directory'!$I$595:$I$599,MATCH($C656,'Staff Directory'!$B$5:$B$599,0))&amp;" "&amp;INDEX('Staff Directory'!$J$595:$J$599,MATCH($C656,'Staff Directory'!$B$5:$B$599,0)),$AG656))</f>
        <v>PSW</v>
      </c>
      <c r="AI656" s="102"/>
      <c r="AJ656" s="101">
        <f>IF($F656="","",SUMIFS($J$5:$J656,$F$5:$F656,$F656))</f>
        <v>37500</v>
      </c>
      <c r="AK656" s="101">
        <f t="shared" si="115"/>
        <v>37001</v>
      </c>
      <c r="AL656" s="66" t="str" cm="1">
        <f t="array" ref="AL656">IF($F656="","",IFERROR(INDEX('Lot Balance'!$B$5:$B$500,MATCH(1,INDEX(('Lot Balance'!$A$5:$A$500=$F656)*('Lot Balance'!$K$5:$K$500&lt;$AK656)*('Lot Balance'!$K$5:$K$500+'Lot Balance'!$D$5:$D$500&gt;=$AK656),0),0)),""))</f>
        <v>O16689</v>
      </c>
      <c r="AM656" s="66" t="str" cm="1">
        <f t="array" ref="AM656">IF($F656="","",IFERROR(INDEX('Lot Balance'!$B$5:$B$500,MATCH(1,INDEX(('Lot Balance'!$A$5:$A$500=$F656)*('Lot Balance'!$K$5:$K$500&lt;$AJ656)*('Lot Balance'!$K$5:$K$500+'Lot Balance'!$D$5:$D$500&gt;=$AJ656),0),0)),""))</f>
        <v>O16689</v>
      </c>
      <c r="AN656" s="66" t="str">
        <f>IF($F656="","",IF($AI656&lt;&gt;"",IF(COUNTIFS('Lot Balance'!$A$5:$A$500,$F656,'Lot Balance'!$B$5:$B$500,$AI656)=0,"⚠ override is not a lot of this item",IF($AI656=$AL656,"Override = FEFO","Override - FEFO says "&amp;$AL656)),IF($AL656="","⚠ no receipt on file for this item",IF($AM656&lt;&gt;$AL656,"FEFO auto - split, also "&amp;$AM656,"FEFO auto"))))</f>
        <v>FEFO auto</v>
      </c>
      <c r="AO656" s="114"/>
    </row>
    <row r="657" spans="1:41" x14ac:dyDescent="0.35">
      <c r="A657" s="74">
        <v>46153</v>
      </c>
      <c r="B657" s="18" t="str">
        <f>IF($C657="","",IFERROR(INDEX('Staff Directory'!$A$5:$A$594,MATCH($C657,'Staff Directory'!$B$5:$B$594,0)),"⚠ unknown staff"))</f>
        <v>PSW-113-A4</v>
      </c>
      <c r="C657" s="49" t="s">
        <v>1091</v>
      </c>
      <c r="D657" s="19" t="str">
        <f>IF($B657="","",IFERROR(INDEX('Staff Directory'!$C$5:$C$594,MATCH($B657,'Staff Directory'!$A$5:$A$594,0)),""))</f>
        <v>PSW</v>
      </c>
      <c r="E657" s="19" t="str">
        <f>IF($B657="","",IFERROR(INDEX('Staff Directory'!$D$5:$D$594,MATCH($B657,'Staff Directory'!$A$5:$A$594,0)),""))</f>
        <v>A4</v>
      </c>
      <c r="F657" s="9" t="s">
        <v>191</v>
      </c>
      <c r="G657" s="18" t="str">
        <f>IF($F657="","",IFERROR(INDEX(Items!$B$5:$B$597,MATCH($F657,Items!$A$5:$A$597,0)),"⚠ not in Items"))</f>
        <v>Sanitizer</v>
      </c>
      <c r="H657" s="19" t="str">
        <f>IF($F657="","",IFERROR(INDEX(Items!$C$5:$C$597,MATCH($F657,Items!$A$5:$A$597,0)),""))</f>
        <v>236 ML</v>
      </c>
      <c r="I657" s="23">
        <f>IF($F657="","",IFERROR(INDEX(Items!$E$5:$E$597,MATCH($F657,Items!$A$5:$A$597,0)),""))</f>
        <v>1</v>
      </c>
      <c r="J657" s="115">
        <f>IF(tblIssues[[#This Row],[Qty Override]]&lt;&gt;"",tblIssues[[#This Row],[Qty Override]],IF(tblIssues[[#This Row],[Standard Issue]]="","",tblIssues[[#This Row],[Standard Issue]]))</f>
        <v>1</v>
      </c>
      <c r="K657" s="20">
        <f>IF($F657="","",IFERROR(INDEX(Items!$D$5:$D$597,MATCH($F657,Items!$A$5:$A$597,0)),""))</f>
        <v>1E-4</v>
      </c>
      <c r="L657" s="21">
        <f t="shared" si="116"/>
        <v>1E-4</v>
      </c>
      <c r="M657" s="9" t="str">
        <f t="shared" si="117"/>
        <v>20-21734-3</v>
      </c>
      <c r="N657" s="24">
        <f>IF($A657="","",WORKDAY($A657,Settings!$C$9,HolidayDates))</f>
        <v>46161</v>
      </c>
      <c r="O657" s="24">
        <f>IF($N657="","",WORKDAY($N657,Settings!$C$10,HolidayDates))</f>
        <v>46199</v>
      </c>
      <c r="P657" s="10" t="s">
        <v>501</v>
      </c>
      <c r="Q657" s="52" t="str">
        <f t="shared" si="119"/>
        <v>Collected</v>
      </c>
      <c r="R657" s="55" t="str">
        <f t="shared" si="120"/>
        <v>2026-05</v>
      </c>
      <c r="S657" s="55">
        <f>IF(OR($B657="",$F657="",$R657=""),"",SUMIFS(tblIssues[Qty Issued],tblIssues[Staff ID],$B657,tblIssues[Item Name],$F657,tblIssues[Month],$R657))</f>
        <v>1</v>
      </c>
      <c r="T657" s="56">
        <f>IF($I657="","",$I657*Settings!$C$11)</f>
        <v>1</v>
      </c>
      <c r="U657" s="57" t="str">
        <f t="shared" si="118"/>
        <v>OK</v>
      </c>
      <c r="V657" s="55" t="str">
        <f t="shared" si="121"/>
        <v/>
      </c>
      <c r="W657" s="55" t="str">
        <f>IF($V657="","",IF(COUNTIF($V$5:$V657,$V657)=1,1,""))</f>
        <v/>
      </c>
      <c r="X657" s="58" t="str">
        <f>IF($W657="","",MAX($X$4:X656)+1)</f>
        <v/>
      </c>
      <c r="Y657" s="62"/>
      <c r="Z657" s="62"/>
      <c r="AA657" s="64" t="str">
        <f>IF($C657="","",IFERROR(INDEX('Staff Directory'!$E$5:$E$594,MATCH($C657,'Staff Directory'!$B$5:$B$594,0)),""))</f>
        <v>firstname175.lastname175@example.com</v>
      </c>
      <c r="AB657" s="64" t="str">
        <f>IF($C657="","",IF(ISNUMBER(SEARCH($D657,Settings!$C$15)),"Pickup","Dispatch"))</f>
        <v>Pickup</v>
      </c>
      <c r="AC657" s="64" t="str">
        <f t="shared" si="122"/>
        <v>Supply order ready for pickup</v>
      </c>
      <c r="AD657" s="64" t="str">
        <f t="shared" si="113"/>
        <v>Dear PSW,
Your order is ready for pickup from Sample Branch, Wed-Fri 9am-4pm.</v>
      </c>
      <c r="AE657" s="64" t="str">
        <f t="shared" si="114"/>
        <v>mailto:firstname175.lastname175@example.com?subject=Supply%20order%20ready%20for%20pickup&amp;body=Dear%20PSW%2C%0A%0AYour%20order%20is%20ready%20for%20pickup%20from%20Sample%20Branch%2C%20Wed-Fri%209am-4pm.</v>
      </c>
      <c r="AF657" s="89" t="str">
        <f t="shared" si="123"/>
        <v>Draft email</v>
      </c>
      <c r="AG657" s="64" t="str">
        <f>IF($C657="","",IFERROR(INDEX('Staff Directory'!$K$595:$K$599,MATCH($C657,'Staff Directory'!$B$5:$B$599,0)),$D657))</f>
        <v>PSW</v>
      </c>
      <c r="AH657" t="str">
        <f>IF($C657="","",IFERROR(INDEX('Staff Directory'!$I$595:$I$599,MATCH($C657,'Staff Directory'!$B$5:$B$599,0))&amp;" "&amp;INDEX('Staff Directory'!$J$595:$J$599,MATCH($C657,'Staff Directory'!$B$5:$B$599,0)),$AG657))</f>
        <v>PSW</v>
      </c>
      <c r="AI657" s="102"/>
      <c r="AJ657" s="101">
        <f>IF($F657="","",SUMIFS($J$5:$J657,$F$5:$F657,$F657))</f>
        <v>74</v>
      </c>
      <c r="AK657" s="101">
        <f t="shared" si="115"/>
        <v>74</v>
      </c>
      <c r="AL657" s="66" t="str" cm="1">
        <f t="array" ref="AL657">IF($F657="","",IFERROR(INDEX('Lot Balance'!$B$5:$B$500,MATCH(1,INDEX(('Lot Balance'!$A$5:$A$500=$F657)*('Lot Balance'!$K$5:$K$500&lt;$AK657)*('Lot Balance'!$K$5:$K$500+'Lot Balance'!$D$5:$D$500&gt;=$AK657),0),0)),""))</f>
        <v>20-21734-3</v>
      </c>
      <c r="AM657" s="66" t="str" cm="1">
        <f t="array" ref="AM657">IF($F657="","",IFERROR(INDEX('Lot Balance'!$B$5:$B$500,MATCH(1,INDEX(('Lot Balance'!$A$5:$A$500=$F657)*('Lot Balance'!$K$5:$K$500&lt;$AJ657)*('Lot Balance'!$K$5:$K$500+'Lot Balance'!$D$5:$D$500&gt;=$AJ657),0),0)),""))</f>
        <v>20-21734-3</v>
      </c>
      <c r="AN657" s="66" t="str">
        <f>IF($F657="","",IF($AI657&lt;&gt;"",IF(COUNTIFS('Lot Balance'!$A$5:$A$500,$F657,'Lot Balance'!$B$5:$B$500,$AI657)=0,"⚠ override is not a lot of this item",IF($AI657=$AL657,"Override = FEFO","Override - FEFO says "&amp;$AL657)),IF($AL657="","⚠ no receipt on file for this item",IF($AM657&lt;&gt;$AL657,"FEFO auto - split, also "&amp;$AM657,"FEFO auto"))))</f>
        <v>FEFO auto</v>
      </c>
      <c r="AO657" s="114"/>
    </row>
    <row r="658" spans="1:41" x14ac:dyDescent="0.35">
      <c r="A658" s="74">
        <v>46153</v>
      </c>
      <c r="B658" s="18" t="str">
        <f>IF($C658="","",IFERROR(INDEX('Staff Directory'!$A$5:$A$594,MATCH($C658,'Staff Directory'!$B$5:$B$594,0)),"⚠ unknown staff"))</f>
        <v>PSW-113-A4</v>
      </c>
      <c r="C658" s="49" t="s">
        <v>1091</v>
      </c>
      <c r="D658" s="19" t="str">
        <f>IF($B658="","",IFERROR(INDEX('Staff Directory'!$C$5:$C$594,MATCH($B658,'Staff Directory'!$A$5:$A$594,0)),""))</f>
        <v>PSW</v>
      </c>
      <c r="E658" s="19" t="str">
        <f>IF($B658="","",IFERROR(INDEX('Staff Directory'!$D$5:$D$594,MATCH($B658,'Staff Directory'!$A$5:$A$594,0)),""))</f>
        <v>A4</v>
      </c>
      <c r="F658" s="9" t="s">
        <v>156</v>
      </c>
      <c r="G658" s="18" t="str">
        <f>IF($F658="","",IFERROR(INDEX(Items!$B$5:$B$597,MATCH($F658,Items!$A$5:$A$597,0)),"⚠ not in Items"))</f>
        <v>Masks</v>
      </c>
      <c r="H658" s="19" t="str">
        <f>IF($F658="","",IFERROR(INDEX(Items!$C$5:$C$597,MATCH($F658,Items!$A$5:$A$597,0)),""))</f>
        <v>One Size</v>
      </c>
      <c r="I658" s="23">
        <f>IF($F658="","",IFERROR(INDEX(Items!$E$5:$E$597,MATCH($F658,Items!$A$5:$A$597,0)),""))</f>
        <v>50</v>
      </c>
      <c r="J658" s="115">
        <f>IF(tblIssues[[#This Row],[Qty Override]]&lt;&gt;"",tblIssues[[#This Row],[Qty Override]],IF(tblIssues[[#This Row],[Standard Issue]]="","",tblIssues[[#This Row],[Standard Issue]]))</f>
        <v>50</v>
      </c>
      <c r="K658" s="20">
        <f>IF($F658="","",IFERROR(INDEX(Items!$D$5:$D$597,MATCH($F658,Items!$A$5:$A$597,0)),""))</f>
        <v>0.25</v>
      </c>
      <c r="L658" s="21">
        <f t="shared" si="116"/>
        <v>12.5</v>
      </c>
      <c r="M658" s="9" t="str">
        <f t="shared" si="117"/>
        <v>0125FPC24-0</v>
      </c>
      <c r="N658" s="24">
        <f>IF($A658="","",WORKDAY($A658,Settings!$C$9,HolidayDates))</f>
        <v>46161</v>
      </c>
      <c r="O658" s="24">
        <f>IF($N658="","",WORKDAY($N658,Settings!$C$10,HolidayDates))</f>
        <v>46199</v>
      </c>
      <c r="P658" s="10" t="s">
        <v>501</v>
      </c>
      <c r="Q658" s="52" t="str">
        <f t="shared" si="119"/>
        <v>Collected</v>
      </c>
      <c r="R658" s="55" t="str">
        <f t="shared" si="120"/>
        <v>2026-05</v>
      </c>
      <c r="S658" s="55">
        <f>IF(OR($B658="",$F658="",$R658=""),"",SUMIFS(tblIssues[Qty Issued],tblIssues[Staff ID],$B658,tblIssues[Item Name],$F658,tblIssues[Month],$R658))</f>
        <v>50</v>
      </c>
      <c r="T658" s="56">
        <f>IF($I658="","",$I658*Settings!$C$11)</f>
        <v>50</v>
      </c>
      <c r="U658" s="57" t="str">
        <f t="shared" si="118"/>
        <v>OK</v>
      </c>
      <c r="V658" s="55" t="str">
        <f t="shared" si="121"/>
        <v/>
      </c>
      <c r="W658" s="55" t="str">
        <f>IF($V658="","",IF(COUNTIF($V$5:$V658,$V658)=1,1,""))</f>
        <v/>
      </c>
      <c r="X658" s="58" t="str">
        <f>IF($W658="","",MAX($X$4:X657)+1)</f>
        <v/>
      </c>
      <c r="Y658" s="62"/>
      <c r="Z658" s="62"/>
      <c r="AA658" s="64" t="str">
        <f>IF($C658="","",IFERROR(INDEX('Staff Directory'!$E$5:$E$594,MATCH($C658,'Staff Directory'!$B$5:$B$594,0)),""))</f>
        <v>firstname175.lastname175@example.com</v>
      </c>
      <c r="AB658" s="64" t="str">
        <f>IF($C658="","",IF(ISNUMBER(SEARCH($D658,Settings!$C$15)),"Pickup","Dispatch"))</f>
        <v>Pickup</v>
      </c>
      <c r="AC658" s="64" t="str">
        <f t="shared" si="122"/>
        <v>Supply order ready for pickup</v>
      </c>
      <c r="AD658" s="64" t="str">
        <f t="shared" si="113"/>
        <v>Dear PSW,
Your order is ready for pickup from Sample Branch, Wed-Fri 9am-4pm.</v>
      </c>
      <c r="AE658" s="64" t="str">
        <f t="shared" si="114"/>
        <v>mailto:firstname175.lastname175@example.com?subject=Supply%20order%20ready%20for%20pickup&amp;body=Dear%20PSW%2C%0A%0AYour%20order%20is%20ready%20for%20pickup%20from%20Sample%20Branch%2C%20Wed-Fri%209am-4pm.</v>
      </c>
      <c r="AF658" s="89" t="str">
        <f t="shared" si="123"/>
        <v>Draft email</v>
      </c>
      <c r="AG658" s="64" t="str">
        <f>IF($C658="","",IFERROR(INDEX('Staff Directory'!$K$595:$K$599,MATCH($C658,'Staff Directory'!$B$5:$B$599,0)),$D658))</f>
        <v>PSW</v>
      </c>
      <c r="AH658" t="str">
        <f>IF($C658="","",IFERROR(INDEX('Staff Directory'!$I$595:$I$599,MATCH($C658,'Staff Directory'!$B$5:$B$599,0))&amp;" "&amp;INDEX('Staff Directory'!$J$595:$J$599,MATCH($C658,'Staff Directory'!$B$5:$B$599,0)),$AG658))</f>
        <v>PSW</v>
      </c>
      <c r="AI658" s="102"/>
      <c r="AJ658" s="101">
        <f>IF($F658="","",SUMIFS($J$5:$J658,$F$5:$F658,$F658))</f>
        <v>5350</v>
      </c>
      <c r="AK658" s="101">
        <f t="shared" si="115"/>
        <v>5301</v>
      </c>
      <c r="AL658" s="66" t="str" cm="1">
        <f t="array" ref="AL658">IF($F658="","",IFERROR(INDEX('Lot Balance'!$B$5:$B$500,MATCH(1,INDEX(('Lot Balance'!$A$5:$A$500=$F658)*('Lot Balance'!$K$5:$K$500&lt;$AK658)*('Lot Balance'!$K$5:$K$500+'Lot Balance'!$D$5:$D$500&gt;=$AK658),0),0)),""))</f>
        <v>0125FPC24-0</v>
      </c>
      <c r="AM658" s="66" t="str" cm="1">
        <f t="array" ref="AM658">IF($F658="","",IFERROR(INDEX('Lot Balance'!$B$5:$B$500,MATCH(1,INDEX(('Lot Balance'!$A$5:$A$500=$F658)*('Lot Balance'!$K$5:$K$500&lt;$AJ658)*('Lot Balance'!$K$5:$K$500+'Lot Balance'!$D$5:$D$500&gt;=$AJ658),0),0)),""))</f>
        <v>0125FPC24-0</v>
      </c>
      <c r="AN658" s="66" t="str">
        <f>IF($F658="","",IF($AI658&lt;&gt;"",IF(COUNTIFS('Lot Balance'!$A$5:$A$500,$F658,'Lot Balance'!$B$5:$B$500,$AI658)=0,"⚠ override is not a lot of this item",IF($AI658=$AL658,"Override = FEFO","Override - FEFO says "&amp;$AL658)),IF($AL658="","⚠ no receipt on file for this item",IF($AM658&lt;&gt;$AL658,"FEFO auto - split, also "&amp;$AM658,"FEFO auto"))))</f>
        <v>FEFO auto</v>
      </c>
      <c r="AO658" s="114"/>
    </row>
    <row r="659" spans="1:41" x14ac:dyDescent="0.35">
      <c r="A659" s="74">
        <v>46153</v>
      </c>
      <c r="B659" s="18" t="str">
        <f>IF($C659="","",IFERROR(INDEX('Staff Directory'!$A$5:$A$594,MATCH($C659,'Staff Directory'!$B$5:$B$594,0)),"⚠ unknown staff"))</f>
        <v>PSW-074-A5</v>
      </c>
      <c r="C659" s="49" t="s">
        <v>1050</v>
      </c>
      <c r="D659" s="19" t="str">
        <f>IF($B659="","",IFERROR(INDEX('Staff Directory'!$C$5:$C$594,MATCH($B659,'Staff Directory'!$A$5:$A$594,0)),""))</f>
        <v>PSW</v>
      </c>
      <c r="E659" s="19" t="str">
        <f>IF($B659="","",IFERROR(INDEX('Staff Directory'!$D$5:$D$594,MATCH($B659,'Staff Directory'!$A$5:$A$594,0)),""))</f>
        <v>A5</v>
      </c>
      <c r="F659" s="9" t="s">
        <v>127</v>
      </c>
      <c r="G659" s="18" t="str">
        <f>IF($F659="","",IFERROR(INDEX(Items!$B$5:$B$597,MATCH($F659,Items!$A$5:$A$597,0)),"⚠ not in Items"))</f>
        <v>Gloves</v>
      </c>
      <c r="H659" s="19" t="str">
        <f>IF($F659="","",IFERROR(INDEX(Items!$C$5:$C$597,MATCH($F659,Items!$A$5:$A$597,0)),""))</f>
        <v>Medium</v>
      </c>
      <c r="I659" s="23">
        <f>IF($F659="","",IFERROR(INDEX(Items!$E$5:$E$597,MATCH($F659,Items!$A$5:$A$597,0)),""))</f>
        <v>500</v>
      </c>
      <c r="J659" s="115">
        <f>IF(tblIssues[[#This Row],[Qty Override]]&lt;&gt;"",tblIssues[[#This Row],[Qty Override]],IF(tblIssues[[#This Row],[Standard Issue]]="","",tblIssues[[#This Row],[Standard Issue]]))</f>
        <v>500</v>
      </c>
      <c r="K659" s="20">
        <f>IF($F659="","",IFERROR(INDEX(Items!$D$5:$D$597,MATCH($F659,Items!$A$5:$A$597,0)),""))</f>
        <v>5.5E-2</v>
      </c>
      <c r="L659" s="21">
        <f t="shared" si="116"/>
        <v>27.5</v>
      </c>
      <c r="M659" s="9" t="str">
        <f t="shared" si="117"/>
        <v>O16689</v>
      </c>
      <c r="N659" s="24">
        <f>IF($A659="","",WORKDAY($A659,Settings!$C$9,HolidayDates))</f>
        <v>46161</v>
      </c>
      <c r="O659" s="24">
        <f>IF($N659="","",WORKDAY($N659,Settings!$C$10,HolidayDates))</f>
        <v>46199</v>
      </c>
      <c r="P659" s="10" t="s">
        <v>501</v>
      </c>
      <c r="Q659" s="52" t="str">
        <f t="shared" si="119"/>
        <v>Collected</v>
      </c>
      <c r="R659" s="55" t="str">
        <f t="shared" si="120"/>
        <v>2026-05</v>
      </c>
      <c r="S659" s="55">
        <f>IF(OR($B659="",$F659="",$R659=""),"",SUMIFS(tblIssues[Qty Issued],tblIssues[Staff ID],$B659,tblIssues[Item Name],$F659,tblIssues[Month],$R659))</f>
        <v>500</v>
      </c>
      <c r="T659" s="56">
        <f>IF($I659="","",$I659*Settings!$C$11)</f>
        <v>500</v>
      </c>
      <c r="U659" s="57" t="str">
        <f t="shared" si="118"/>
        <v>OK</v>
      </c>
      <c r="V659" s="55" t="str">
        <f t="shared" si="121"/>
        <v/>
      </c>
      <c r="W659" s="55" t="str">
        <f>IF($V659="","",IF(COUNTIF($V$5:$V659,$V659)=1,1,""))</f>
        <v/>
      </c>
      <c r="X659" s="58" t="str">
        <f>IF($W659="","",MAX($X$4:X658)+1)</f>
        <v/>
      </c>
      <c r="Y659" s="62"/>
      <c r="Z659" s="62"/>
      <c r="AA659" s="64" t="str">
        <f>IF($C659="","",IFERROR(INDEX('Staff Directory'!$E$5:$E$594,MATCH($C659,'Staff Directory'!$B$5:$B$594,0)),""))</f>
        <v>firstname134.lastname134@example.com</v>
      </c>
      <c r="AB659" s="64" t="str">
        <f>IF($C659="","",IF(ISNUMBER(SEARCH($D659,Settings!$C$15)),"Pickup","Dispatch"))</f>
        <v>Pickup</v>
      </c>
      <c r="AC659" s="64" t="str">
        <f t="shared" si="122"/>
        <v>Supply order ready for pickup</v>
      </c>
      <c r="AD659" s="64" t="str">
        <f t="shared" si="113"/>
        <v>Dear PSW,
Your order is ready for pickup from Sample Branch, Wed-Fri 9am-4pm.</v>
      </c>
      <c r="AE659" s="64" t="str">
        <f t="shared" si="114"/>
        <v>mailto:firstname134.lastname134@example.com?subject=Supply%20order%20ready%20for%20pickup&amp;body=Dear%20PSW%2C%0A%0AYour%20order%20is%20ready%20for%20pickup%20from%20Sample%20Branch%2C%20Wed-Fri%209am-4pm.</v>
      </c>
      <c r="AF659" s="89" t="str">
        <f t="shared" si="123"/>
        <v>Draft email</v>
      </c>
      <c r="AG659" s="64" t="str">
        <f>IF($C659="","",IFERROR(INDEX('Staff Directory'!$K$595:$K$599,MATCH($C659,'Staff Directory'!$B$5:$B$599,0)),$D659))</f>
        <v>PSW</v>
      </c>
      <c r="AH659" t="str">
        <f>IF($C659="","",IFERROR(INDEX('Staff Directory'!$I$595:$I$599,MATCH($C659,'Staff Directory'!$B$5:$B$599,0))&amp;" "&amp;INDEX('Staff Directory'!$J$595:$J$599,MATCH($C659,'Staff Directory'!$B$5:$B$599,0)),$AG659))</f>
        <v>PSW</v>
      </c>
      <c r="AI659" s="102"/>
      <c r="AJ659" s="101">
        <f>IF($F659="","",SUMIFS($J$5:$J659,$F$5:$F659,$F659))</f>
        <v>38000</v>
      </c>
      <c r="AK659" s="101">
        <f t="shared" si="115"/>
        <v>37501</v>
      </c>
      <c r="AL659" s="66" t="str" cm="1">
        <f t="array" ref="AL659">IF($F659="","",IFERROR(INDEX('Lot Balance'!$B$5:$B$500,MATCH(1,INDEX(('Lot Balance'!$A$5:$A$500=$F659)*('Lot Balance'!$K$5:$K$500&lt;$AK659)*('Lot Balance'!$K$5:$K$500+'Lot Balance'!$D$5:$D$500&gt;=$AK659),0),0)),""))</f>
        <v>O16689</v>
      </c>
      <c r="AM659" s="66" t="str" cm="1">
        <f t="array" ref="AM659">IF($F659="","",IFERROR(INDEX('Lot Balance'!$B$5:$B$500,MATCH(1,INDEX(('Lot Balance'!$A$5:$A$500=$F659)*('Lot Balance'!$K$5:$K$500&lt;$AJ659)*('Lot Balance'!$K$5:$K$500+'Lot Balance'!$D$5:$D$500&gt;=$AJ659),0),0)),""))</f>
        <v>O16689</v>
      </c>
      <c r="AN659" s="66" t="str">
        <f>IF($F659="","",IF($AI659&lt;&gt;"",IF(COUNTIFS('Lot Balance'!$A$5:$A$500,$F659,'Lot Balance'!$B$5:$B$500,$AI659)=0,"⚠ override is not a lot of this item",IF($AI659=$AL659,"Override = FEFO","Override - FEFO says "&amp;$AL659)),IF($AL659="","⚠ no receipt on file for this item",IF($AM659&lt;&gt;$AL659,"FEFO auto - split, also "&amp;$AM659,"FEFO auto"))))</f>
        <v>FEFO auto</v>
      </c>
      <c r="AO659" s="114"/>
    </row>
    <row r="660" spans="1:41" x14ac:dyDescent="0.35">
      <c r="A660" s="74">
        <v>46153</v>
      </c>
      <c r="B660" s="18" t="str">
        <f>IF($C660="","",IFERROR(INDEX('Staff Directory'!$A$5:$A$594,MATCH($C660,'Staff Directory'!$B$5:$B$594,0)),"⚠ unknown staff"))</f>
        <v>PSW-074-A5</v>
      </c>
      <c r="C660" s="49" t="s">
        <v>1050</v>
      </c>
      <c r="D660" s="19" t="str">
        <f>IF($B660="","",IFERROR(INDEX('Staff Directory'!$C$5:$C$594,MATCH($B660,'Staff Directory'!$A$5:$A$594,0)),""))</f>
        <v>PSW</v>
      </c>
      <c r="E660" s="19" t="str">
        <f>IF($B660="","",IFERROR(INDEX('Staff Directory'!$D$5:$D$594,MATCH($B660,'Staff Directory'!$A$5:$A$594,0)),""))</f>
        <v>A5</v>
      </c>
      <c r="F660" s="9" t="s">
        <v>191</v>
      </c>
      <c r="G660" s="18" t="str">
        <f>IF($F660="","",IFERROR(INDEX(Items!$B$5:$B$597,MATCH($F660,Items!$A$5:$A$597,0)),"⚠ not in Items"))</f>
        <v>Sanitizer</v>
      </c>
      <c r="H660" s="19" t="str">
        <f>IF($F660="","",IFERROR(INDEX(Items!$C$5:$C$597,MATCH($F660,Items!$A$5:$A$597,0)),""))</f>
        <v>236 ML</v>
      </c>
      <c r="I660" s="23">
        <f>IF($F660="","",IFERROR(INDEX(Items!$E$5:$E$597,MATCH($F660,Items!$A$5:$A$597,0)),""))</f>
        <v>1</v>
      </c>
      <c r="J660" s="115">
        <f>IF(tblIssues[[#This Row],[Qty Override]]&lt;&gt;"",tblIssues[[#This Row],[Qty Override]],IF(tblIssues[[#This Row],[Standard Issue]]="","",tblIssues[[#This Row],[Standard Issue]]))</f>
        <v>1</v>
      </c>
      <c r="K660" s="20">
        <f>IF($F660="","",IFERROR(INDEX(Items!$D$5:$D$597,MATCH($F660,Items!$A$5:$A$597,0)),""))</f>
        <v>1E-4</v>
      </c>
      <c r="L660" s="21">
        <f t="shared" si="116"/>
        <v>1E-4</v>
      </c>
      <c r="M660" s="9" t="str">
        <f t="shared" si="117"/>
        <v>20-21734-3</v>
      </c>
      <c r="N660" s="24">
        <f>IF($A660="","",WORKDAY($A660,Settings!$C$9,HolidayDates))</f>
        <v>46161</v>
      </c>
      <c r="O660" s="24">
        <f>IF($N660="","",WORKDAY($N660,Settings!$C$10,HolidayDates))</f>
        <v>46199</v>
      </c>
      <c r="P660" s="10" t="s">
        <v>501</v>
      </c>
      <c r="Q660" s="52" t="str">
        <f t="shared" si="119"/>
        <v>Collected</v>
      </c>
      <c r="R660" s="55" t="str">
        <f t="shared" si="120"/>
        <v>2026-05</v>
      </c>
      <c r="S660" s="55">
        <f>IF(OR($B660="",$F660="",$R660=""),"",SUMIFS(tblIssues[Qty Issued],tblIssues[Staff ID],$B660,tblIssues[Item Name],$F660,tblIssues[Month],$R660))</f>
        <v>1</v>
      </c>
      <c r="T660" s="56">
        <f>IF($I660="","",$I660*Settings!$C$11)</f>
        <v>1</v>
      </c>
      <c r="U660" s="57" t="str">
        <f t="shared" si="118"/>
        <v>OK</v>
      </c>
      <c r="V660" s="55" t="str">
        <f t="shared" si="121"/>
        <v/>
      </c>
      <c r="W660" s="55" t="str">
        <f>IF($V660="","",IF(COUNTIF($V$5:$V660,$V660)=1,1,""))</f>
        <v/>
      </c>
      <c r="X660" s="58" t="str">
        <f>IF($W660="","",MAX($X$4:X659)+1)</f>
        <v/>
      </c>
      <c r="Y660" s="62"/>
      <c r="Z660" s="62"/>
      <c r="AA660" s="64" t="str">
        <f>IF($C660="","",IFERROR(INDEX('Staff Directory'!$E$5:$E$594,MATCH($C660,'Staff Directory'!$B$5:$B$594,0)),""))</f>
        <v>firstname134.lastname134@example.com</v>
      </c>
      <c r="AB660" s="64" t="str">
        <f>IF($C660="","",IF(ISNUMBER(SEARCH($D660,Settings!$C$15)),"Pickup","Dispatch"))</f>
        <v>Pickup</v>
      </c>
      <c r="AC660" s="64" t="str">
        <f t="shared" si="122"/>
        <v>Supply order ready for pickup</v>
      </c>
      <c r="AD660" s="64" t="str">
        <f t="shared" si="113"/>
        <v>Dear PSW,
Your order is ready for pickup from Sample Branch, Wed-Fri 9am-4pm.</v>
      </c>
      <c r="AE660" s="64" t="str">
        <f t="shared" si="114"/>
        <v>mailto:firstname134.lastname134@example.com?subject=Supply%20order%20ready%20for%20pickup&amp;body=Dear%20PSW%2C%0A%0AYour%20order%20is%20ready%20for%20pickup%20from%20Sample%20Branch%2C%20Wed-Fri%209am-4pm.</v>
      </c>
      <c r="AF660" s="89" t="str">
        <f t="shared" si="123"/>
        <v>Draft email</v>
      </c>
      <c r="AG660" s="64" t="str">
        <f>IF($C660="","",IFERROR(INDEX('Staff Directory'!$K$595:$K$599,MATCH($C660,'Staff Directory'!$B$5:$B$599,0)),$D660))</f>
        <v>PSW</v>
      </c>
      <c r="AH660" t="str">
        <f>IF($C660="","",IFERROR(INDEX('Staff Directory'!$I$595:$I$599,MATCH($C660,'Staff Directory'!$B$5:$B$599,0))&amp;" "&amp;INDEX('Staff Directory'!$J$595:$J$599,MATCH($C660,'Staff Directory'!$B$5:$B$599,0)),$AG660))</f>
        <v>PSW</v>
      </c>
      <c r="AI660" s="102"/>
      <c r="AJ660" s="101">
        <f>IF($F660="","",SUMIFS($J$5:$J660,$F$5:$F660,$F660))</f>
        <v>75</v>
      </c>
      <c r="AK660" s="101">
        <f t="shared" si="115"/>
        <v>75</v>
      </c>
      <c r="AL660" s="66" t="str" cm="1">
        <f t="array" ref="AL660">IF($F660="","",IFERROR(INDEX('Lot Balance'!$B$5:$B$500,MATCH(1,INDEX(('Lot Balance'!$A$5:$A$500=$F660)*('Lot Balance'!$K$5:$K$500&lt;$AK660)*('Lot Balance'!$K$5:$K$500+'Lot Balance'!$D$5:$D$500&gt;=$AK660),0),0)),""))</f>
        <v>20-21734-3</v>
      </c>
      <c r="AM660" s="66" t="str" cm="1">
        <f t="array" ref="AM660">IF($F660="","",IFERROR(INDEX('Lot Balance'!$B$5:$B$500,MATCH(1,INDEX(('Lot Balance'!$A$5:$A$500=$F660)*('Lot Balance'!$K$5:$K$500&lt;$AJ660)*('Lot Balance'!$K$5:$K$500+'Lot Balance'!$D$5:$D$500&gt;=$AJ660),0),0)),""))</f>
        <v>20-21734-3</v>
      </c>
      <c r="AN660" s="66" t="str">
        <f>IF($F660="","",IF($AI660&lt;&gt;"",IF(COUNTIFS('Lot Balance'!$A$5:$A$500,$F660,'Lot Balance'!$B$5:$B$500,$AI660)=0,"⚠ override is not a lot of this item",IF($AI660=$AL660,"Override = FEFO","Override - FEFO says "&amp;$AL660)),IF($AL660="","⚠ no receipt on file for this item",IF($AM660&lt;&gt;$AL660,"FEFO auto - split, also "&amp;$AM660,"FEFO auto"))))</f>
        <v>FEFO auto</v>
      </c>
      <c r="AO660" s="114"/>
    </row>
    <row r="661" spans="1:41" x14ac:dyDescent="0.35">
      <c r="A661" s="74">
        <v>46153</v>
      </c>
      <c r="B661" s="18" t="str">
        <f>IF($C661="","",IFERROR(INDEX('Staff Directory'!$A$5:$A$594,MATCH($C661,'Staff Directory'!$B$5:$B$594,0)),"⚠ unknown staff"))</f>
        <v>PSW-074-A5</v>
      </c>
      <c r="C661" s="49" t="s">
        <v>1050</v>
      </c>
      <c r="D661" s="19" t="str">
        <f>IF($B661="","",IFERROR(INDEX('Staff Directory'!$C$5:$C$594,MATCH($B661,'Staff Directory'!$A$5:$A$594,0)),""))</f>
        <v>PSW</v>
      </c>
      <c r="E661" s="19" t="str">
        <f>IF($B661="","",IFERROR(INDEX('Staff Directory'!$D$5:$D$594,MATCH($B661,'Staff Directory'!$A$5:$A$594,0)),""))</f>
        <v>A5</v>
      </c>
      <c r="F661" s="9" t="s">
        <v>115</v>
      </c>
      <c r="G661" s="18" t="str">
        <f>IF($F661="","",IFERROR(INDEX(Items!$B$5:$B$597,MATCH($F661,Items!$A$5:$A$597,0)),"⚠ not in Items"))</f>
        <v>Wipes</v>
      </c>
      <c r="H661" s="19">
        <f>IF($F661="","",IFERROR(INDEX(Items!$C$5:$C$597,MATCH($F661,Items!$A$5:$A$597,0)),""))</f>
        <v>80</v>
      </c>
      <c r="I661" s="23">
        <f>IF($F661="","",IFERROR(INDEX(Items!$E$5:$E$597,MATCH($F661,Items!$A$5:$A$597,0)),""))</f>
        <v>80</v>
      </c>
      <c r="J661" s="115">
        <f>IF(tblIssues[[#This Row],[Qty Override]]&lt;&gt;"",tblIssues[[#This Row],[Qty Override]],IF(tblIssues[[#This Row],[Standard Issue]]="","",tblIssues[[#This Row],[Standard Issue]]))</f>
        <v>80</v>
      </c>
      <c r="K661" s="20">
        <f>IF($F661="","",IFERROR(INDEX(Items!$D$5:$D$597,MATCH($F661,Items!$A$5:$A$597,0)),""))</f>
        <v>0.1</v>
      </c>
      <c r="L661" s="21">
        <f t="shared" si="116"/>
        <v>8</v>
      </c>
      <c r="M661" s="9" t="str">
        <f t="shared" si="117"/>
        <v>LYSL500290</v>
      </c>
      <c r="N661" s="24">
        <f>IF($A661="","",WORKDAY($A661,Settings!$C$9,HolidayDates))</f>
        <v>46161</v>
      </c>
      <c r="O661" s="24">
        <f>IF($N661="","",WORKDAY($N661,Settings!$C$10,HolidayDates))</f>
        <v>46199</v>
      </c>
      <c r="P661" s="10" t="s">
        <v>501</v>
      </c>
      <c r="Q661" s="52" t="str">
        <f t="shared" si="119"/>
        <v>Collected</v>
      </c>
      <c r="R661" s="55" t="str">
        <f t="shared" si="120"/>
        <v>2026-05</v>
      </c>
      <c r="S661" s="55">
        <f>IF(OR($B661="",$F661="",$R661=""),"",SUMIFS(tblIssues[Qty Issued],tblIssues[Staff ID],$B661,tblIssues[Item Name],$F661,tblIssues[Month],$R661))</f>
        <v>80</v>
      </c>
      <c r="T661" s="56">
        <f>IF($I661="","",$I661*Settings!$C$11)</f>
        <v>80</v>
      </c>
      <c r="U661" s="57" t="str">
        <f t="shared" si="118"/>
        <v>OK</v>
      </c>
      <c r="V661" s="55" t="str">
        <f t="shared" si="121"/>
        <v/>
      </c>
      <c r="W661" s="55" t="str">
        <f>IF($V661="","",IF(COUNTIF($V$5:$V661,$V661)=1,1,""))</f>
        <v/>
      </c>
      <c r="X661" s="58" t="str">
        <f>IF($W661="","",MAX($X$4:X660)+1)</f>
        <v/>
      </c>
      <c r="Y661" s="62"/>
      <c r="Z661" s="62"/>
      <c r="AA661" s="64" t="str">
        <f>IF($C661="","",IFERROR(INDEX('Staff Directory'!$E$5:$E$594,MATCH($C661,'Staff Directory'!$B$5:$B$594,0)),""))</f>
        <v>firstname134.lastname134@example.com</v>
      </c>
      <c r="AB661" s="64" t="str">
        <f>IF($C661="","",IF(ISNUMBER(SEARCH($D661,Settings!$C$15)),"Pickup","Dispatch"))</f>
        <v>Pickup</v>
      </c>
      <c r="AC661" s="64" t="str">
        <f t="shared" si="122"/>
        <v>Supply order ready for pickup</v>
      </c>
      <c r="AD661" s="64" t="str">
        <f t="shared" si="113"/>
        <v>Dear PSW,
Your order is ready for pickup from Sample Branch, Wed-Fri 9am-4pm.</v>
      </c>
      <c r="AE661" s="64" t="str">
        <f t="shared" si="114"/>
        <v>mailto:firstname134.lastname134@example.com?subject=Supply%20order%20ready%20for%20pickup&amp;body=Dear%20PSW%2C%0A%0AYour%20order%20is%20ready%20for%20pickup%20from%20Sample%20Branch%2C%20Wed-Fri%209am-4pm.</v>
      </c>
      <c r="AF661" s="89" t="str">
        <f t="shared" si="123"/>
        <v>Draft email</v>
      </c>
      <c r="AG661" s="64" t="str">
        <f>IF($C661="","",IFERROR(INDEX('Staff Directory'!$K$595:$K$599,MATCH($C661,'Staff Directory'!$B$5:$B$599,0)),$D661))</f>
        <v>PSW</v>
      </c>
      <c r="AH661" t="str">
        <f>IF($C661="","",IFERROR(INDEX('Staff Directory'!$I$595:$I$599,MATCH($C661,'Staff Directory'!$B$5:$B$599,0))&amp;" "&amp;INDEX('Staff Directory'!$J$595:$J$599,MATCH($C661,'Staff Directory'!$B$5:$B$599,0)),$AG661))</f>
        <v>PSW</v>
      </c>
      <c r="AI661" s="102"/>
      <c r="AJ661" s="101">
        <f>IF($F661="","",SUMIFS($J$5:$J661,$F$5:$F661,$F661))</f>
        <v>9200</v>
      </c>
      <c r="AK661" s="101">
        <f t="shared" si="115"/>
        <v>9121</v>
      </c>
      <c r="AL661" s="66" t="str" cm="1">
        <f t="array" ref="AL661">IF($F661="","",IFERROR(INDEX('Lot Balance'!$B$5:$B$500,MATCH(1,INDEX(('Lot Balance'!$A$5:$A$500=$F661)*('Lot Balance'!$K$5:$K$500&lt;$AK661)*('Lot Balance'!$K$5:$K$500+'Lot Balance'!$D$5:$D$500&gt;=$AK661),0),0)),""))</f>
        <v>LYSL500290</v>
      </c>
      <c r="AM661" s="66" t="str" cm="1">
        <f t="array" ref="AM661">IF($F661="","",IFERROR(INDEX('Lot Balance'!$B$5:$B$500,MATCH(1,INDEX(('Lot Balance'!$A$5:$A$500=$F661)*('Lot Balance'!$K$5:$K$500&lt;$AJ661)*('Lot Balance'!$K$5:$K$500+'Lot Balance'!$D$5:$D$500&gt;=$AJ661),0),0)),""))</f>
        <v>LYSL500290</v>
      </c>
      <c r="AN661" s="66" t="str">
        <f>IF($F661="","",IF($AI661&lt;&gt;"",IF(COUNTIFS('Lot Balance'!$A$5:$A$500,$F661,'Lot Balance'!$B$5:$B$500,$AI661)=0,"⚠ override is not a lot of this item",IF($AI661=$AL661,"Override = FEFO","Override - FEFO says "&amp;$AL661)),IF($AL661="","⚠ no receipt on file for this item",IF($AM661&lt;&gt;$AL661,"FEFO auto - split, also "&amp;$AM661,"FEFO auto"))))</f>
        <v>FEFO auto</v>
      </c>
      <c r="AO661" s="114"/>
    </row>
    <row r="662" spans="1:41" x14ac:dyDescent="0.35">
      <c r="A662" s="74">
        <v>46153</v>
      </c>
      <c r="B662" s="18" t="str">
        <f>IF($C662="","",IFERROR(INDEX('Staff Directory'!$A$5:$A$594,MATCH($C662,'Staff Directory'!$B$5:$B$594,0)),"⚠ unknown staff"))</f>
        <v>PSW-074-A5</v>
      </c>
      <c r="C662" s="49" t="s">
        <v>1050</v>
      </c>
      <c r="D662" s="19" t="str">
        <f>IF($B662="","",IFERROR(INDEX('Staff Directory'!$C$5:$C$594,MATCH($B662,'Staff Directory'!$A$5:$A$594,0)),""))</f>
        <v>PSW</v>
      </c>
      <c r="E662" s="19" t="str">
        <f>IF($B662="","",IFERROR(INDEX('Staff Directory'!$D$5:$D$594,MATCH($B662,'Staff Directory'!$A$5:$A$594,0)),""))</f>
        <v>A5</v>
      </c>
      <c r="F662" s="9" t="s">
        <v>156</v>
      </c>
      <c r="G662" s="18" t="str">
        <f>IF($F662="","",IFERROR(INDEX(Items!$B$5:$B$597,MATCH($F662,Items!$A$5:$A$597,0)),"⚠ not in Items"))</f>
        <v>Masks</v>
      </c>
      <c r="H662" s="19" t="str">
        <f>IF($F662="","",IFERROR(INDEX(Items!$C$5:$C$597,MATCH($F662,Items!$A$5:$A$597,0)),""))</f>
        <v>One Size</v>
      </c>
      <c r="I662" s="23">
        <f>IF($F662="","",IFERROR(INDEX(Items!$E$5:$E$597,MATCH($F662,Items!$A$5:$A$597,0)),""))</f>
        <v>50</v>
      </c>
      <c r="J662" s="115">
        <f>IF(tblIssues[[#This Row],[Qty Override]]&lt;&gt;"",tblIssues[[#This Row],[Qty Override]],IF(tblIssues[[#This Row],[Standard Issue]]="","",tblIssues[[#This Row],[Standard Issue]]))</f>
        <v>50</v>
      </c>
      <c r="K662" s="20">
        <f>IF($F662="","",IFERROR(INDEX(Items!$D$5:$D$597,MATCH($F662,Items!$A$5:$A$597,0)),""))</f>
        <v>0.25</v>
      </c>
      <c r="L662" s="21">
        <f t="shared" si="116"/>
        <v>12.5</v>
      </c>
      <c r="M662" s="9" t="str">
        <f t="shared" si="117"/>
        <v>0125FPC24-0</v>
      </c>
      <c r="N662" s="24">
        <f>IF($A662="","",WORKDAY($A662,Settings!$C$9,HolidayDates))</f>
        <v>46161</v>
      </c>
      <c r="O662" s="24">
        <f>IF($N662="","",WORKDAY($N662,Settings!$C$10,HolidayDates))</f>
        <v>46199</v>
      </c>
      <c r="P662" s="10" t="s">
        <v>501</v>
      </c>
      <c r="Q662" s="52" t="str">
        <f t="shared" si="119"/>
        <v>Collected</v>
      </c>
      <c r="R662" s="55" t="str">
        <f t="shared" si="120"/>
        <v>2026-05</v>
      </c>
      <c r="S662" s="55">
        <f>IF(OR($B662="",$F662="",$R662=""),"",SUMIFS(tblIssues[Qty Issued],tblIssues[Staff ID],$B662,tblIssues[Item Name],$F662,tblIssues[Month],$R662))</f>
        <v>50</v>
      </c>
      <c r="T662" s="56">
        <f>IF($I662="","",$I662*Settings!$C$11)</f>
        <v>50</v>
      </c>
      <c r="U662" s="57" t="str">
        <f t="shared" si="118"/>
        <v>OK</v>
      </c>
      <c r="V662" s="55" t="str">
        <f t="shared" si="121"/>
        <v/>
      </c>
      <c r="W662" s="55" t="str">
        <f>IF($V662="","",IF(COUNTIF($V$5:$V662,$V662)=1,1,""))</f>
        <v/>
      </c>
      <c r="X662" s="58" t="str">
        <f>IF($W662="","",MAX($X$4:X661)+1)</f>
        <v/>
      </c>
      <c r="Y662" s="62"/>
      <c r="Z662" s="62"/>
      <c r="AA662" s="64" t="str">
        <f>IF($C662="","",IFERROR(INDEX('Staff Directory'!$E$5:$E$594,MATCH($C662,'Staff Directory'!$B$5:$B$594,0)),""))</f>
        <v>firstname134.lastname134@example.com</v>
      </c>
      <c r="AB662" s="64" t="str">
        <f>IF($C662="","",IF(ISNUMBER(SEARCH($D662,Settings!$C$15)),"Pickup","Dispatch"))</f>
        <v>Pickup</v>
      </c>
      <c r="AC662" s="64" t="str">
        <f t="shared" si="122"/>
        <v>Supply order ready for pickup</v>
      </c>
      <c r="AD662" s="64" t="str">
        <f t="shared" si="113"/>
        <v>Dear PSW,
Your order is ready for pickup from Sample Branch, Wed-Fri 9am-4pm.</v>
      </c>
      <c r="AE662" s="64" t="str">
        <f t="shared" si="114"/>
        <v>mailto:firstname134.lastname134@example.com?subject=Supply%20order%20ready%20for%20pickup&amp;body=Dear%20PSW%2C%0A%0AYour%20order%20is%20ready%20for%20pickup%20from%20Sample%20Branch%2C%20Wed-Fri%209am-4pm.</v>
      </c>
      <c r="AF662" s="89" t="str">
        <f t="shared" si="123"/>
        <v>Draft email</v>
      </c>
      <c r="AG662" s="64" t="str">
        <f>IF($C662="","",IFERROR(INDEX('Staff Directory'!$K$595:$K$599,MATCH($C662,'Staff Directory'!$B$5:$B$599,0)),$D662))</f>
        <v>PSW</v>
      </c>
      <c r="AH662" t="str">
        <f>IF($C662="","",IFERROR(INDEX('Staff Directory'!$I$595:$I$599,MATCH($C662,'Staff Directory'!$B$5:$B$599,0))&amp;" "&amp;INDEX('Staff Directory'!$J$595:$J$599,MATCH($C662,'Staff Directory'!$B$5:$B$599,0)),$AG662))</f>
        <v>PSW</v>
      </c>
      <c r="AI662" s="102"/>
      <c r="AJ662" s="101">
        <f>IF($F662="","",SUMIFS($J$5:$J662,$F$5:$F662,$F662))</f>
        <v>5400</v>
      </c>
      <c r="AK662" s="101">
        <f t="shared" si="115"/>
        <v>5351</v>
      </c>
      <c r="AL662" s="66" t="str" cm="1">
        <f t="array" ref="AL662">IF($F662="","",IFERROR(INDEX('Lot Balance'!$B$5:$B$500,MATCH(1,INDEX(('Lot Balance'!$A$5:$A$500=$F662)*('Lot Balance'!$K$5:$K$500&lt;$AK662)*('Lot Balance'!$K$5:$K$500+'Lot Balance'!$D$5:$D$500&gt;=$AK662),0),0)),""))</f>
        <v>0125FPC24-0</v>
      </c>
      <c r="AM662" s="66" t="str" cm="1">
        <f t="array" ref="AM662">IF($F662="","",IFERROR(INDEX('Lot Balance'!$B$5:$B$500,MATCH(1,INDEX(('Lot Balance'!$A$5:$A$500=$F662)*('Lot Balance'!$K$5:$K$500&lt;$AJ662)*('Lot Balance'!$K$5:$K$500+'Lot Balance'!$D$5:$D$500&gt;=$AJ662),0),0)),""))</f>
        <v>0125FPC24-0</v>
      </c>
      <c r="AN662" s="66" t="str">
        <f>IF($F662="","",IF($AI662&lt;&gt;"",IF(COUNTIFS('Lot Balance'!$A$5:$A$500,$F662,'Lot Balance'!$B$5:$B$500,$AI662)=0,"⚠ override is not a lot of this item",IF($AI662=$AL662,"Override = FEFO","Override - FEFO says "&amp;$AL662)),IF($AL662="","⚠ no receipt on file for this item",IF($AM662&lt;&gt;$AL662,"FEFO auto - split, also "&amp;$AM662,"FEFO auto"))))</f>
        <v>FEFO auto</v>
      </c>
      <c r="AO662" s="114"/>
    </row>
    <row r="663" spans="1:41" x14ac:dyDescent="0.35">
      <c r="A663" s="74">
        <v>46153</v>
      </c>
      <c r="B663" s="18" t="str">
        <f>IF($C663="","",IFERROR(INDEX('Staff Directory'!$A$5:$A$594,MATCH($C663,'Staff Directory'!$B$5:$B$594,0)),"⚠ unknown staff"))</f>
        <v>RN-026-A2</v>
      </c>
      <c r="C663" s="49" t="s">
        <v>946</v>
      </c>
      <c r="D663" s="19" t="str">
        <f>IF($B663="","",IFERROR(INDEX('Staff Directory'!$C$5:$C$594,MATCH($B663,'Staff Directory'!$A$5:$A$594,0)),""))</f>
        <v>RN</v>
      </c>
      <c r="E663" s="19" t="str">
        <f>IF($B663="","",IFERROR(INDEX('Staff Directory'!$D$5:$D$594,MATCH($B663,'Staff Directory'!$A$5:$A$594,0)),""))</f>
        <v>A2</v>
      </c>
      <c r="F663" s="9" t="s">
        <v>129</v>
      </c>
      <c r="G663" s="18" t="str">
        <f>IF($F663="","",IFERROR(INDEX(Items!$B$5:$B$597,MATCH($F663,Items!$A$5:$A$597,0)),"⚠ not in Items"))</f>
        <v>Gloves</v>
      </c>
      <c r="H663" s="19" t="str">
        <f>IF($F663="","",IFERROR(INDEX(Items!$C$5:$C$597,MATCH($F663,Items!$A$5:$A$597,0)),""))</f>
        <v>Small</v>
      </c>
      <c r="I663" s="23">
        <f>IF($F663="","",IFERROR(INDEX(Items!$E$5:$E$597,MATCH($F663,Items!$A$5:$A$597,0)),""))</f>
        <v>500</v>
      </c>
      <c r="J663" s="115">
        <f>IF(tblIssues[[#This Row],[Qty Override]]&lt;&gt;"",tblIssues[[#This Row],[Qty Override]],IF(tblIssues[[#This Row],[Standard Issue]]="","",tblIssues[[#This Row],[Standard Issue]]))</f>
        <v>500</v>
      </c>
      <c r="K663" s="20">
        <f>IF($F663="","",IFERROR(INDEX(Items!$D$5:$D$597,MATCH($F663,Items!$A$5:$A$597,0)),""))</f>
        <v>5.5E-2</v>
      </c>
      <c r="L663" s="21">
        <f t="shared" si="116"/>
        <v>27.5</v>
      </c>
      <c r="M663" s="9" t="str">
        <f t="shared" si="117"/>
        <v>O211LIC25-0</v>
      </c>
      <c r="N663" s="24">
        <f>IF($A663="","",WORKDAY($A663,Settings!$C$9,HolidayDates))</f>
        <v>46161</v>
      </c>
      <c r="O663" s="24">
        <f>IF($N663="","",WORKDAY($N663,Settings!$C$10,HolidayDates))</f>
        <v>46199</v>
      </c>
      <c r="P663" s="10" t="s">
        <v>502</v>
      </c>
      <c r="Q663" s="52" t="str">
        <f t="shared" si="119"/>
        <v>Collected</v>
      </c>
      <c r="R663" s="55" t="str">
        <f t="shared" si="120"/>
        <v>2026-05</v>
      </c>
      <c r="S663" s="55">
        <f>IF(OR($B663="",$F663="",$R663=""),"",SUMIFS(tblIssues[Qty Issued],tblIssues[Staff ID],$B663,tblIssues[Item Name],$F663,tblIssues[Month],$R663))</f>
        <v>500</v>
      </c>
      <c r="T663" s="56">
        <f>IF($I663="","",$I663*Settings!$C$11)</f>
        <v>500</v>
      </c>
      <c r="U663" s="57" t="str">
        <f t="shared" si="118"/>
        <v>OK</v>
      </c>
      <c r="V663" s="55" t="str">
        <f t="shared" si="121"/>
        <v/>
      </c>
      <c r="W663" s="55" t="str">
        <f>IF($V663="","",IF(COUNTIF($V$5:$V663,$V663)=1,1,""))</f>
        <v/>
      </c>
      <c r="X663" s="58" t="str">
        <f>IF($W663="","",MAX($X$4:X662)+1)</f>
        <v/>
      </c>
      <c r="Y663" s="62"/>
      <c r="Z663" s="62"/>
      <c r="AA663" s="64" t="str">
        <f>IF($C663="","",IFERROR(INDEX('Staff Directory'!$E$5:$E$594,MATCH($C663,'Staff Directory'!$B$5:$B$594,0)),""))</f>
        <v>firstname030.lastname030@example.com</v>
      </c>
      <c r="AB663" s="64" t="str">
        <f>IF($C663="","",IF(ISNUMBER(SEARCH($D663,Settings!$C$15)),"Pickup","Dispatch"))</f>
        <v>Dispatch</v>
      </c>
      <c r="AC663" s="64" t="str">
        <f t="shared" si="122"/>
        <v>Supply order dispatched</v>
      </c>
      <c r="AD663" s="64" t="str">
        <f t="shared" si="113"/>
        <v>Dear RN,
Your order has been dispatched and is in transit. Reply if undelivered.</v>
      </c>
      <c r="AE663" s="64" t="str">
        <f t="shared" si="114"/>
        <v>mailto:firstname030.lastname030@example.com?subject=Supply%20order%20dispatched&amp;body=Dear%20RN%2C%0A%0AYour%20order%20has%20been%20dispatched%20and%20is%20in%20transit.%20Reply%20if%20undelivered.</v>
      </c>
      <c r="AF663" s="89" t="str">
        <f t="shared" si="123"/>
        <v>Draft email</v>
      </c>
      <c r="AG663" s="64" t="str">
        <f>IF($C663="","",IFERROR(INDEX('Staff Directory'!$K$595:$K$599,MATCH($C663,'Staff Directory'!$B$5:$B$599,0)),$D663))</f>
        <v>RN</v>
      </c>
      <c r="AH663" t="str">
        <f>IF($C663="","",IFERROR(INDEX('Staff Directory'!$I$595:$I$599,MATCH($C663,'Staff Directory'!$B$5:$B$599,0))&amp;" "&amp;INDEX('Staff Directory'!$J$595:$J$599,MATCH($C663,'Staff Directory'!$B$5:$B$599,0)),$AG663))</f>
        <v>RN</v>
      </c>
      <c r="AI663" s="102"/>
      <c r="AJ663" s="101">
        <f>IF($F663="","",SUMIFS($J$5:$J663,$F$5:$F663,$F663))</f>
        <v>23500</v>
      </c>
      <c r="AK663" s="101">
        <f t="shared" si="115"/>
        <v>23001</v>
      </c>
      <c r="AL663" s="66" t="str" cm="1">
        <f t="array" ref="AL663">IF($F663="","",IFERROR(INDEX('Lot Balance'!$B$5:$B$500,MATCH(1,INDEX(('Lot Balance'!$A$5:$A$500=$F663)*('Lot Balance'!$K$5:$K$500&lt;$AK663)*('Lot Balance'!$K$5:$K$500+'Lot Balance'!$D$5:$D$500&gt;=$AK663),0),0)),""))</f>
        <v>O211LIC25-0</v>
      </c>
      <c r="AM663" s="66" t="str" cm="1">
        <f t="array" ref="AM663">IF($F663="","",IFERROR(INDEX('Lot Balance'!$B$5:$B$500,MATCH(1,INDEX(('Lot Balance'!$A$5:$A$500=$F663)*('Lot Balance'!$K$5:$K$500&lt;$AJ663)*('Lot Balance'!$K$5:$K$500+'Lot Balance'!$D$5:$D$500&gt;=$AJ663),0),0)),""))</f>
        <v>O211LIC25-0</v>
      </c>
      <c r="AN663" s="66" t="str">
        <f>IF($F663="","",IF($AI663&lt;&gt;"",IF(COUNTIFS('Lot Balance'!$A$5:$A$500,$F663,'Lot Balance'!$B$5:$B$500,$AI663)=0,"⚠ override is not a lot of this item",IF($AI663=$AL663,"Override = FEFO","Override - FEFO says "&amp;$AL663)),IF($AL663="","⚠ no receipt on file for this item",IF($AM663&lt;&gt;$AL663,"FEFO auto - split, also "&amp;$AM663,"FEFO auto"))))</f>
        <v>FEFO auto</v>
      </c>
      <c r="AO663" s="114"/>
    </row>
    <row r="664" spans="1:41" x14ac:dyDescent="0.35">
      <c r="A664" s="74">
        <v>46153</v>
      </c>
      <c r="B664" s="18" t="str">
        <f>IF($C664="","",IFERROR(INDEX('Staff Directory'!$A$5:$A$594,MATCH($C664,'Staff Directory'!$B$5:$B$594,0)),"⚠ unknown staff"))</f>
        <v>RN-026-A2</v>
      </c>
      <c r="C664" s="49" t="s">
        <v>946</v>
      </c>
      <c r="D664" s="19" t="str">
        <f>IF($B664="","",IFERROR(INDEX('Staff Directory'!$C$5:$C$594,MATCH($B664,'Staff Directory'!$A$5:$A$594,0)),""))</f>
        <v>RN</v>
      </c>
      <c r="E664" s="19" t="str">
        <f>IF($B664="","",IFERROR(INDEX('Staff Directory'!$D$5:$D$594,MATCH($B664,'Staff Directory'!$A$5:$A$594,0)),""))</f>
        <v>A2</v>
      </c>
      <c r="F664" s="9" t="s">
        <v>115</v>
      </c>
      <c r="G664" s="18" t="str">
        <f>IF($F664="","",IFERROR(INDEX(Items!$B$5:$B$597,MATCH($F664,Items!$A$5:$A$597,0)),"⚠ not in Items"))</f>
        <v>Wipes</v>
      </c>
      <c r="H664" s="19">
        <f>IF($F664="","",IFERROR(INDEX(Items!$C$5:$C$597,MATCH($F664,Items!$A$5:$A$597,0)),""))</f>
        <v>80</v>
      </c>
      <c r="I664" s="23">
        <f>IF($F664="","",IFERROR(INDEX(Items!$E$5:$E$597,MATCH($F664,Items!$A$5:$A$597,0)),""))</f>
        <v>80</v>
      </c>
      <c r="J664" s="115">
        <f>IF(tblIssues[[#This Row],[Qty Override]]&lt;&gt;"",tblIssues[[#This Row],[Qty Override]],IF(tblIssues[[#This Row],[Standard Issue]]="","",tblIssues[[#This Row],[Standard Issue]]))</f>
        <v>80</v>
      </c>
      <c r="K664" s="20">
        <f>IF($F664="","",IFERROR(INDEX(Items!$D$5:$D$597,MATCH($F664,Items!$A$5:$A$597,0)),""))</f>
        <v>0.1</v>
      </c>
      <c r="L664" s="21">
        <f t="shared" si="116"/>
        <v>8</v>
      </c>
      <c r="M664" s="9" t="str">
        <f t="shared" si="117"/>
        <v>LYSL500290</v>
      </c>
      <c r="N664" s="24">
        <f>IF($A664="","",WORKDAY($A664,Settings!$C$9,HolidayDates))</f>
        <v>46161</v>
      </c>
      <c r="O664" s="24">
        <f>IF($N664="","",WORKDAY($N664,Settings!$C$10,HolidayDates))</f>
        <v>46199</v>
      </c>
      <c r="P664" s="10" t="s">
        <v>502</v>
      </c>
      <c r="Q664" s="52" t="str">
        <f t="shared" si="119"/>
        <v>Collected</v>
      </c>
      <c r="R664" s="55" t="str">
        <f t="shared" si="120"/>
        <v>2026-05</v>
      </c>
      <c r="S664" s="55">
        <f>IF(OR($B664="",$F664="",$R664=""),"",SUMIFS(tblIssues[Qty Issued],tblIssues[Staff ID],$B664,tblIssues[Item Name],$F664,tblIssues[Month],$R664))</f>
        <v>80</v>
      </c>
      <c r="T664" s="56">
        <f>IF($I664="","",$I664*Settings!$C$11)</f>
        <v>80</v>
      </c>
      <c r="U664" s="57" t="str">
        <f t="shared" si="118"/>
        <v>OK</v>
      </c>
      <c r="V664" s="55" t="str">
        <f t="shared" si="121"/>
        <v/>
      </c>
      <c r="W664" s="55" t="str">
        <f>IF($V664="","",IF(COUNTIF($V$5:$V664,$V664)=1,1,""))</f>
        <v/>
      </c>
      <c r="X664" s="58" t="str">
        <f>IF($W664="","",MAX($X$4:X663)+1)</f>
        <v/>
      </c>
      <c r="Y664" s="62"/>
      <c r="Z664" s="62"/>
      <c r="AA664" s="64" t="str">
        <f>IF($C664="","",IFERROR(INDEX('Staff Directory'!$E$5:$E$594,MATCH($C664,'Staff Directory'!$B$5:$B$594,0)),""))</f>
        <v>firstname030.lastname030@example.com</v>
      </c>
      <c r="AB664" s="64" t="str">
        <f>IF($C664="","",IF(ISNUMBER(SEARCH($D664,Settings!$C$15)),"Pickup","Dispatch"))</f>
        <v>Dispatch</v>
      </c>
      <c r="AC664" s="64" t="str">
        <f t="shared" si="122"/>
        <v>Supply order dispatched</v>
      </c>
      <c r="AD664" s="64" t="str">
        <f t="shared" si="113"/>
        <v>Dear RN,
Your order has been dispatched and is in transit. Reply if undelivered.</v>
      </c>
      <c r="AE664" s="64" t="str">
        <f t="shared" si="114"/>
        <v>mailto:firstname030.lastname030@example.com?subject=Supply%20order%20dispatched&amp;body=Dear%20RN%2C%0A%0AYour%20order%20has%20been%20dispatched%20and%20is%20in%20transit.%20Reply%20if%20undelivered.</v>
      </c>
      <c r="AF664" s="89" t="str">
        <f t="shared" si="123"/>
        <v>Draft email</v>
      </c>
      <c r="AG664" s="64" t="str">
        <f>IF($C664="","",IFERROR(INDEX('Staff Directory'!$K$595:$K$599,MATCH($C664,'Staff Directory'!$B$5:$B$599,0)),$D664))</f>
        <v>RN</v>
      </c>
      <c r="AH664" t="str">
        <f>IF($C664="","",IFERROR(INDEX('Staff Directory'!$I$595:$I$599,MATCH($C664,'Staff Directory'!$B$5:$B$599,0))&amp;" "&amp;INDEX('Staff Directory'!$J$595:$J$599,MATCH($C664,'Staff Directory'!$B$5:$B$599,0)),$AG664))</f>
        <v>RN</v>
      </c>
      <c r="AI664" s="102"/>
      <c r="AJ664" s="101">
        <f>IF($F664="","",SUMIFS($J$5:$J664,$F$5:$F664,$F664))</f>
        <v>9280</v>
      </c>
      <c r="AK664" s="101">
        <f t="shared" si="115"/>
        <v>9201</v>
      </c>
      <c r="AL664" s="66" t="str" cm="1">
        <f t="array" ref="AL664">IF($F664="","",IFERROR(INDEX('Lot Balance'!$B$5:$B$500,MATCH(1,INDEX(('Lot Balance'!$A$5:$A$500=$F664)*('Lot Balance'!$K$5:$K$500&lt;$AK664)*('Lot Balance'!$K$5:$K$500+'Lot Balance'!$D$5:$D$500&gt;=$AK664),0),0)),""))</f>
        <v>LYSL500290</v>
      </c>
      <c r="AM664" s="66" t="str" cm="1">
        <f t="array" ref="AM664">IF($F664="","",IFERROR(INDEX('Lot Balance'!$B$5:$B$500,MATCH(1,INDEX(('Lot Balance'!$A$5:$A$500=$F664)*('Lot Balance'!$K$5:$K$500&lt;$AJ664)*('Lot Balance'!$K$5:$K$500+'Lot Balance'!$D$5:$D$500&gt;=$AJ664),0),0)),""))</f>
        <v>LYSL500290</v>
      </c>
      <c r="AN664" s="66" t="str">
        <f>IF($F664="","",IF($AI664&lt;&gt;"",IF(COUNTIFS('Lot Balance'!$A$5:$A$500,$F664,'Lot Balance'!$B$5:$B$500,$AI664)=0,"⚠ override is not a lot of this item",IF($AI664=$AL664,"Override = FEFO","Override - FEFO says "&amp;$AL664)),IF($AL664="","⚠ no receipt on file for this item",IF($AM664&lt;&gt;$AL664,"FEFO auto - split, also "&amp;$AM664,"FEFO auto"))))</f>
        <v>FEFO auto</v>
      </c>
      <c r="AO664" s="114"/>
    </row>
    <row r="665" spans="1:41" x14ac:dyDescent="0.35">
      <c r="A665" s="74">
        <v>46153</v>
      </c>
      <c r="B665" s="18" t="str">
        <f>IF($C665="","",IFERROR(INDEX('Staff Directory'!$A$5:$A$594,MATCH($C665,'Staff Directory'!$B$5:$B$594,0)),"⚠ unknown staff"))</f>
        <v>RN-026-A2</v>
      </c>
      <c r="C665" s="49" t="s">
        <v>946</v>
      </c>
      <c r="D665" s="19" t="str">
        <f>IF($B665="","",IFERROR(INDEX('Staff Directory'!$C$5:$C$594,MATCH($B665,'Staff Directory'!$A$5:$A$594,0)),""))</f>
        <v>RN</v>
      </c>
      <c r="E665" s="19" t="str">
        <f>IF($B665="","",IFERROR(INDEX('Staff Directory'!$D$5:$D$594,MATCH($B665,'Staff Directory'!$A$5:$A$594,0)),""))</f>
        <v>A2</v>
      </c>
      <c r="F665" s="9" t="s">
        <v>154</v>
      </c>
      <c r="G665" s="18" t="str">
        <f>IF($F665="","",IFERROR(INDEX(Items!$B$5:$B$597,MATCH($F665,Items!$A$5:$A$597,0)),"⚠ not in Items"))</f>
        <v>IPAC</v>
      </c>
      <c r="H665" s="19" t="str">
        <f>IF($F665="","",IFERROR(INDEX(Items!$C$5:$C$597,MATCH($F665,Items!$A$5:$A$597,0)),""))</f>
        <v>Regular</v>
      </c>
      <c r="I665" s="23">
        <f>IF($F665="","",IFERROR(INDEX(Items!$E$5:$E$597,MATCH($F665,Items!$A$5:$A$597,0)),""))</f>
        <v>50</v>
      </c>
      <c r="J665" s="115">
        <f>IF(tblIssues[[#This Row],[Qty Override]]&lt;&gt;"",tblIssues[[#This Row],[Qty Override]],IF(tblIssues[[#This Row],[Standard Issue]]="","",tblIssues[[#This Row],[Standard Issue]]))</f>
        <v>50</v>
      </c>
      <c r="K665" s="20">
        <f>IF($F665="","",IFERROR(INDEX(Items!$D$5:$D$597,MATCH($F665,Items!$A$5:$A$597,0)),""))</f>
        <v>0.2</v>
      </c>
      <c r="L665" s="21">
        <f t="shared" si="116"/>
        <v>10</v>
      </c>
      <c r="M665" s="9">
        <f t="shared" si="117"/>
        <v>3024</v>
      </c>
      <c r="N665" s="24">
        <f>IF($A665="","",WORKDAY($A665,Settings!$C$9,HolidayDates))</f>
        <v>46161</v>
      </c>
      <c r="O665" s="24">
        <f>IF($N665="","",WORKDAY($N665,Settings!$C$10,HolidayDates))</f>
        <v>46199</v>
      </c>
      <c r="P665" s="10" t="s">
        <v>502</v>
      </c>
      <c r="Q665" s="52" t="str">
        <f t="shared" si="119"/>
        <v>Collected</v>
      </c>
      <c r="R665" s="55" t="str">
        <f t="shared" si="120"/>
        <v>2026-05</v>
      </c>
      <c r="S665" s="55">
        <f>IF(OR($B665="",$F665="",$R665=""),"",SUMIFS(tblIssues[Qty Issued],tblIssues[Staff ID],$B665,tblIssues[Item Name],$F665,tblIssues[Month],$R665))</f>
        <v>100</v>
      </c>
      <c r="T665" s="56">
        <f>IF($I665="","",$I665*Settings!$C$11)</f>
        <v>50</v>
      </c>
      <c r="U665" s="57" t="str">
        <f t="shared" si="118"/>
        <v>⚠ OVER QUOTA</v>
      </c>
      <c r="V665" s="55" t="str">
        <f t="shared" si="121"/>
        <v>RN-026-A2 | Shoe Covers | 2026-05</v>
      </c>
      <c r="W665" s="55">
        <f>IF($V665="","",IF(COUNTIF($V$5:$V665,$V665)=1,1,""))</f>
        <v>1</v>
      </c>
      <c r="X665" s="58">
        <f>IF($W665="","",MAX($X$4:X664)+1)</f>
        <v>13</v>
      </c>
      <c r="Y665" s="62"/>
      <c r="Z665" s="62"/>
      <c r="AA665" s="64" t="str">
        <f>IF($C665="","",IFERROR(INDEX('Staff Directory'!$E$5:$E$594,MATCH($C665,'Staff Directory'!$B$5:$B$594,0)),""))</f>
        <v>firstname030.lastname030@example.com</v>
      </c>
      <c r="AB665" s="64" t="str">
        <f>IF($C665="","",IF(ISNUMBER(SEARCH($D665,Settings!$C$15)),"Pickup","Dispatch"))</f>
        <v>Dispatch</v>
      </c>
      <c r="AC665" s="64" t="str">
        <f t="shared" si="122"/>
        <v>Supply order dispatched</v>
      </c>
      <c r="AD665" s="64" t="str">
        <f t="shared" si="113"/>
        <v>Dear RN,
Your order has been dispatched and is in transit. Reply if undelivered.</v>
      </c>
      <c r="AE665" s="64" t="str">
        <f t="shared" si="114"/>
        <v>mailto:firstname030.lastname030@example.com?subject=Supply%20order%20dispatched&amp;body=Dear%20RN%2C%0A%0AYour%20order%20has%20been%20dispatched%20and%20is%20in%20transit.%20Reply%20if%20undelivered.</v>
      </c>
      <c r="AF665" s="89" t="str">
        <f t="shared" si="123"/>
        <v>Draft email</v>
      </c>
      <c r="AG665" s="64" t="str">
        <f>IF($C665="","",IFERROR(INDEX('Staff Directory'!$K$595:$K$599,MATCH($C665,'Staff Directory'!$B$5:$B$599,0)),$D665))</f>
        <v>RN</v>
      </c>
      <c r="AH665" t="str">
        <f>IF($C665="","",IFERROR(INDEX('Staff Directory'!$I$595:$I$599,MATCH($C665,'Staff Directory'!$B$5:$B$599,0))&amp;" "&amp;INDEX('Staff Directory'!$J$595:$J$599,MATCH($C665,'Staff Directory'!$B$5:$B$599,0)),$AG665))</f>
        <v>RN</v>
      </c>
      <c r="AI665" s="102"/>
      <c r="AJ665" s="101">
        <f>IF($F665="","",SUMIFS($J$5:$J665,$F$5:$F665,$F665))</f>
        <v>400</v>
      </c>
      <c r="AK665" s="101">
        <f t="shared" si="115"/>
        <v>351</v>
      </c>
      <c r="AL665" s="66" cm="1">
        <f t="array" ref="AL665">IF($F665="","",IFERROR(INDEX('Lot Balance'!$B$5:$B$500,MATCH(1,INDEX(('Lot Balance'!$A$5:$A$500=$F665)*('Lot Balance'!$K$5:$K$500&lt;$AK665)*('Lot Balance'!$K$5:$K$500+'Lot Balance'!$D$5:$D$500&gt;=$AK665),0),0)),""))</f>
        <v>3024</v>
      </c>
      <c r="AM665" s="66" cm="1">
        <f t="array" ref="AM665">IF($F665="","",IFERROR(INDEX('Lot Balance'!$B$5:$B$500,MATCH(1,INDEX(('Lot Balance'!$A$5:$A$500=$F665)*('Lot Balance'!$K$5:$K$500&lt;$AJ665)*('Lot Balance'!$K$5:$K$500+'Lot Balance'!$D$5:$D$500&gt;=$AJ665),0),0)),""))</f>
        <v>3024</v>
      </c>
      <c r="AN665" s="66" t="str">
        <f>IF($F665="","",IF($AI665&lt;&gt;"",IF(COUNTIFS('Lot Balance'!$A$5:$A$500,$F665,'Lot Balance'!$B$5:$B$500,$AI665)=0,"⚠ override is not a lot of this item",IF($AI665=$AL665,"Override = FEFO","Override - FEFO says "&amp;$AL665)),IF($AL665="","⚠ no receipt on file for this item",IF($AM665&lt;&gt;$AL665,"FEFO auto - split, also "&amp;$AM665,"FEFO auto"))))</f>
        <v>FEFO auto</v>
      </c>
      <c r="AO665" s="114"/>
    </row>
    <row r="666" spans="1:41" x14ac:dyDescent="0.35">
      <c r="A666" s="74">
        <v>46153</v>
      </c>
      <c r="B666" s="18" t="str">
        <f>IF($C666="","",IFERROR(INDEX('Staff Directory'!$A$5:$A$594,MATCH($C666,'Staff Directory'!$B$5:$B$594,0)),"⚠ unknown staff"))</f>
        <v>RN-026-A2</v>
      </c>
      <c r="C666" s="49" t="s">
        <v>946</v>
      </c>
      <c r="D666" s="19" t="str">
        <f>IF($B666="","",IFERROR(INDEX('Staff Directory'!$C$5:$C$594,MATCH($B666,'Staff Directory'!$A$5:$A$594,0)),""))</f>
        <v>RN</v>
      </c>
      <c r="E666" s="19" t="str">
        <f>IF($B666="","",IFERROR(INDEX('Staff Directory'!$D$5:$D$594,MATCH($B666,'Staff Directory'!$A$5:$A$594,0)),""))</f>
        <v>A2</v>
      </c>
      <c r="F666" s="9" t="s">
        <v>154</v>
      </c>
      <c r="G666" s="18" t="str">
        <f>IF($F666="","",IFERROR(INDEX(Items!$B$5:$B$597,MATCH($F666,Items!$A$5:$A$597,0)),"⚠ not in Items"))</f>
        <v>IPAC</v>
      </c>
      <c r="H666" s="19" t="str">
        <f>IF($F666="","",IFERROR(INDEX(Items!$C$5:$C$597,MATCH($F666,Items!$A$5:$A$597,0)),""))</f>
        <v>Regular</v>
      </c>
      <c r="I666" s="23">
        <f>IF($F666="","",IFERROR(INDEX(Items!$E$5:$E$597,MATCH($F666,Items!$A$5:$A$597,0)),""))</f>
        <v>50</v>
      </c>
      <c r="J666" s="115">
        <f>IF(tblIssues[[#This Row],[Qty Override]]&lt;&gt;"",tblIssues[[#This Row],[Qty Override]],IF(tblIssues[[#This Row],[Standard Issue]]="","",tblIssues[[#This Row],[Standard Issue]]))</f>
        <v>50</v>
      </c>
      <c r="K666" s="20">
        <f>IF($F666="","",IFERROR(INDEX(Items!$D$5:$D$597,MATCH($F666,Items!$A$5:$A$597,0)),""))</f>
        <v>0.2</v>
      </c>
      <c r="L666" s="21">
        <f t="shared" si="116"/>
        <v>10</v>
      </c>
      <c r="M666" s="9">
        <f t="shared" si="117"/>
        <v>3024</v>
      </c>
      <c r="N666" s="24">
        <f>IF($A666="","",WORKDAY($A666,Settings!$C$9,HolidayDates))</f>
        <v>46161</v>
      </c>
      <c r="O666" s="24">
        <f>IF($N666="","",WORKDAY($N666,Settings!$C$10,HolidayDates))</f>
        <v>46199</v>
      </c>
      <c r="P666" s="10" t="s">
        <v>502</v>
      </c>
      <c r="Q666" s="52" t="str">
        <f t="shared" si="119"/>
        <v>Collected</v>
      </c>
      <c r="R666" s="55" t="str">
        <f t="shared" si="120"/>
        <v>2026-05</v>
      </c>
      <c r="S666" s="55">
        <f>IF(OR($B666="",$F666="",$R666=""),"",SUMIFS(tblIssues[Qty Issued],tblIssues[Staff ID],$B666,tblIssues[Item Name],$F666,tblIssues[Month],$R666))</f>
        <v>100</v>
      </c>
      <c r="T666" s="56">
        <f>IF($I666="","",$I666*Settings!$C$11)</f>
        <v>50</v>
      </c>
      <c r="U666" s="57" t="str">
        <f t="shared" si="118"/>
        <v>⚠ OVER QUOTA</v>
      </c>
      <c r="V666" s="55" t="str">
        <f t="shared" si="121"/>
        <v>RN-026-A2 | Shoe Covers | 2026-05</v>
      </c>
      <c r="W666" s="55" t="str">
        <f>IF($V666="","",IF(COUNTIF($V$5:$V666,$V666)=1,1,""))</f>
        <v/>
      </c>
      <c r="X666" s="58" t="str">
        <f>IF($W666="","",MAX($X$4:X665)+1)</f>
        <v/>
      </c>
      <c r="Y666" s="62"/>
      <c r="Z666" s="62"/>
      <c r="AA666" s="64" t="str">
        <f>IF($C666="","",IFERROR(INDEX('Staff Directory'!$E$5:$E$594,MATCH($C666,'Staff Directory'!$B$5:$B$594,0)),""))</f>
        <v>firstname030.lastname030@example.com</v>
      </c>
      <c r="AB666" s="64" t="str">
        <f>IF($C666="","",IF(ISNUMBER(SEARCH($D666,Settings!$C$15)),"Pickup","Dispatch"))</f>
        <v>Dispatch</v>
      </c>
      <c r="AC666" s="64" t="str">
        <f t="shared" si="122"/>
        <v>Supply order dispatched</v>
      </c>
      <c r="AD666" s="64" t="str">
        <f t="shared" si="113"/>
        <v>Dear RN,
Your order has been dispatched and is in transit. Reply if undelivered.</v>
      </c>
      <c r="AE666" s="64" t="str">
        <f t="shared" si="114"/>
        <v>mailto:firstname030.lastname030@example.com?subject=Supply%20order%20dispatched&amp;body=Dear%20RN%2C%0A%0AYour%20order%20has%20been%20dispatched%20and%20is%20in%20transit.%20Reply%20if%20undelivered.</v>
      </c>
      <c r="AF666" s="89" t="str">
        <f t="shared" si="123"/>
        <v>Draft email</v>
      </c>
      <c r="AG666" s="64" t="str">
        <f>IF($C666="","",IFERROR(INDEX('Staff Directory'!$K$595:$K$599,MATCH($C666,'Staff Directory'!$B$5:$B$599,0)),$D666))</f>
        <v>RN</v>
      </c>
      <c r="AH666" t="str">
        <f>IF($C666="","",IFERROR(INDEX('Staff Directory'!$I$595:$I$599,MATCH($C666,'Staff Directory'!$B$5:$B$599,0))&amp;" "&amp;INDEX('Staff Directory'!$J$595:$J$599,MATCH($C666,'Staff Directory'!$B$5:$B$599,0)),$AG666))</f>
        <v>RN</v>
      </c>
      <c r="AI666" s="102"/>
      <c r="AJ666" s="101">
        <f>IF($F666="","",SUMIFS($J$5:$J666,$F$5:$F666,$F666))</f>
        <v>450</v>
      </c>
      <c r="AK666" s="101">
        <f t="shared" si="115"/>
        <v>401</v>
      </c>
      <c r="AL666" s="66" cm="1">
        <f t="array" ref="AL666">IF($F666="","",IFERROR(INDEX('Lot Balance'!$B$5:$B$500,MATCH(1,INDEX(('Lot Balance'!$A$5:$A$500=$F666)*('Lot Balance'!$K$5:$K$500&lt;$AK666)*('Lot Balance'!$K$5:$K$500+'Lot Balance'!$D$5:$D$500&gt;=$AK666),0),0)),""))</f>
        <v>3024</v>
      </c>
      <c r="AM666" s="66" cm="1">
        <f t="array" ref="AM666">IF($F666="","",IFERROR(INDEX('Lot Balance'!$B$5:$B$500,MATCH(1,INDEX(('Lot Balance'!$A$5:$A$500=$F666)*('Lot Balance'!$K$5:$K$500&lt;$AJ666)*('Lot Balance'!$K$5:$K$500+'Lot Balance'!$D$5:$D$500&gt;=$AJ666),0),0)),""))</f>
        <v>3024</v>
      </c>
      <c r="AN666" s="66" t="str">
        <f>IF($F666="","",IF($AI666&lt;&gt;"",IF(COUNTIFS('Lot Balance'!$A$5:$A$500,$F666,'Lot Balance'!$B$5:$B$500,$AI666)=0,"⚠ override is not a lot of this item",IF($AI666=$AL666,"Override = FEFO","Override - FEFO says "&amp;$AL666)),IF($AL666="","⚠ no receipt on file for this item",IF($AM666&lt;&gt;$AL666,"FEFO auto - split, also "&amp;$AM666,"FEFO auto"))))</f>
        <v>FEFO auto</v>
      </c>
      <c r="AO666" s="114"/>
    </row>
    <row r="667" spans="1:41" x14ac:dyDescent="0.35">
      <c r="A667" s="74">
        <v>46153</v>
      </c>
      <c r="B667" s="18" t="str">
        <f>IF($C667="","",IFERROR(INDEX('Staff Directory'!$A$5:$A$594,MATCH($C667,'Staff Directory'!$B$5:$B$594,0)),"⚠ unknown staff"))</f>
        <v>RN-026-A2</v>
      </c>
      <c r="C667" s="49" t="s">
        <v>946</v>
      </c>
      <c r="D667" s="19" t="str">
        <f>IF($B667="","",IFERROR(INDEX('Staff Directory'!$C$5:$C$594,MATCH($B667,'Staff Directory'!$A$5:$A$594,0)),""))</f>
        <v>RN</v>
      </c>
      <c r="E667" s="19" t="str">
        <f>IF($B667="","",IFERROR(INDEX('Staff Directory'!$D$5:$D$594,MATCH($B667,'Staff Directory'!$A$5:$A$594,0)),""))</f>
        <v>A2</v>
      </c>
      <c r="F667" s="9" t="s">
        <v>147</v>
      </c>
      <c r="G667" s="18" t="str">
        <f>IF($F667="","",IFERROR(INDEX(Items!$B$5:$B$597,MATCH($F667,Items!$A$5:$A$597,0)),"⚠ not in Items"))</f>
        <v>Apparel</v>
      </c>
      <c r="H667" s="19" t="str">
        <f>IF($F667="","",IFERROR(INDEX(Items!$C$5:$C$597,MATCH($F667,Items!$A$5:$A$597,0)),""))</f>
        <v>One Size</v>
      </c>
      <c r="I667" s="23">
        <f>IF($F667="","",IFERROR(INDEX(Items!$E$5:$E$597,MATCH($F667,Items!$A$5:$A$597,0)),""))</f>
        <v>5</v>
      </c>
      <c r="J667" s="115">
        <f>IF(tblIssues[[#This Row],[Qty Override]]&lt;&gt;"",tblIssues[[#This Row],[Qty Override]],IF(tblIssues[[#This Row],[Standard Issue]]="","",tblIssues[[#This Row],[Standard Issue]]))</f>
        <v>5</v>
      </c>
      <c r="K667" s="20">
        <f>IF($F667="","",IFERROR(INDEX(Items!$D$5:$D$597,MATCH($F667,Items!$A$5:$A$597,0)),""))</f>
        <v>3</v>
      </c>
      <c r="L667" s="21">
        <f t="shared" si="116"/>
        <v>15</v>
      </c>
      <c r="M667" s="9" t="str">
        <f t="shared" si="117"/>
        <v>YG500280</v>
      </c>
      <c r="N667" s="24">
        <f>IF($A667="","",WORKDAY($A667,Settings!$C$9,HolidayDates))</f>
        <v>46161</v>
      </c>
      <c r="O667" s="24">
        <f>IF($N667="","",WORKDAY($N667,Settings!$C$10,HolidayDates))</f>
        <v>46199</v>
      </c>
      <c r="P667" s="10" t="s">
        <v>502</v>
      </c>
      <c r="Q667" s="52" t="str">
        <f t="shared" si="119"/>
        <v>Collected</v>
      </c>
      <c r="R667" s="55" t="str">
        <f t="shared" si="120"/>
        <v>2026-05</v>
      </c>
      <c r="S667" s="55">
        <f>IF(OR($B667="",$F667="",$R667=""),"",SUMIFS(tblIssues[Qty Issued],tblIssues[Staff ID],$B667,tblIssues[Item Name],$F667,tblIssues[Month],$R667))</f>
        <v>10</v>
      </c>
      <c r="T667" s="56">
        <f>IF($I667="","",$I667*Settings!$C$11)</f>
        <v>5</v>
      </c>
      <c r="U667" s="57" t="str">
        <f t="shared" si="118"/>
        <v>⚠ OVER QUOTA</v>
      </c>
      <c r="V667" s="55" t="str">
        <f t="shared" si="121"/>
        <v>RN-026-A2 | Level 1/2 - Yellow Gown | 2026-05</v>
      </c>
      <c r="W667" s="55">
        <f>IF($V667="","",IF(COUNTIF($V$5:$V667,$V667)=1,1,""))</f>
        <v>1</v>
      </c>
      <c r="X667" s="58">
        <f>IF($W667="","",MAX($X$4:X666)+1)</f>
        <v>14</v>
      </c>
      <c r="Y667" s="62"/>
      <c r="Z667" s="62"/>
      <c r="AA667" s="64" t="str">
        <f>IF($C667="","",IFERROR(INDEX('Staff Directory'!$E$5:$E$594,MATCH($C667,'Staff Directory'!$B$5:$B$594,0)),""))</f>
        <v>firstname030.lastname030@example.com</v>
      </c>
      <c r="AB667" s="64" t="str">
        <f>IF($C667="","",IF(ISNUMBER(SEARCH($D667,Settings!$C$15)),"Pickup","Dispatch"))</f>
        <v>Dispatch</v>
      </c>
      <c r="AC667" s="64" t="str">
        <f t="shared" si="122"/>
        <v>Supply order dispatched</v>
      </c>
      <c r="AD667" s="64" t="str">
        <f t="shared" si="113"/>
        <v>Dear RN,
Your order has been dispatched and is in transit. Reply if undelivered.</v>
      </c>
      <c r="AE667" s="64" t="str">
        <f t="shared" si="114"/>
        <v>mailto:firstname030.lastname030@example.com?subject=Supply%20order%20dispatched&amp;body=Dear%20RN%2C%0A%0AYour%20order%20has%20been%20dispatched%20and%20is%20in%20transit.%20Reply%20if%20undelivered.</v>
      </c>
      <c r="AF667" s="89" t="str">
        <f t="shared" si="123"/>
        <v>Draft email</v>
      </c>
      <c r="AG667" s="64" t="str">
        <f>IF($C667="","",IFERROR(INDEX('Staff Directory'!$K$595:$K$599,MATCH($C667,'Staff Directory'!$B$5:$B$599,0)),$D667))</f>
        <v>RN</v>
      </c>
      <c r="AH667" t="str">
        <f>IF($C667="","",IFERROR(INDEX('Staff Directory'!$I$595:$I$599,MATCH($C667,'Staff Directory'!$B$5:$B$599,0))&amp;" "&amp;INDEX('Staff Directory'!$J$595:$J$599,MATCH($C667,'Staff Directory'!$B$5:$B$599,0)),$AG667))</f>
        <v>RN</v>
      </c>
      <c r="AI667" s="102"/>
      <c r="AJ667" s="101">
        <f>IF($F667="","",SUMIFS($J$5:$J667,$F$5:$F667,$F667))</f>
        <v>70</v>
      </c>
      <c r="AK667" s="101">
        <f t="shared" si="115"/>
        <v>66</v>
      </c>
      <c r="AL667" s="66" t="str" cm="1">
        <f t="array" ref="AL667">IF($F667="","",IFERROR(INDEX('Lot Balance'!$B$5:$B$500,MATCH(1,INDEX(('Lot Balance'!$A$5:$A$500=$F667)*('Lot Balance'!$K$5:$K$500&lt;$AK667)*('Lot Balance'!$K$5:$K$500+'Lot Balance'!$D$5:$D$500&gt;=$AK667),0),0)),""))</f>
        <v>YG500280</v>
      </c>
      <c r="AM667" s="66" t="str" cm="1">
        <f t="array" ref="AM667">IF($F667="","",IFERROR(INDEX('Lot Balance'!$B$5:$B$500,MATCH(1,INDEX(('Lot Balance'!$A$5:$A$500=$F667)*('Lot Balance'!$K$5:$K$500&lt;$AJ667)*('Lot Balance'!$K$5:$K$500+'Lot Balance'!$D$5:$D$500&gt;=$AJ667),0),0)),""))</f>
        <v>YG500280</v>
      </c>
      <c r="AN667" s="66" t="str">
        <f>IF($F667="","",IF($AI667&lt;&gt;"",IF(COUNTIFS('Lot Balance'!$A$5:$A$500,$F667,'Lot Balance'!$B$5:$B$500,$AI667)=0,"⚠ override is not a lot of this item",IF($AI667=$AL667,"Override = FEFO","Override - FEFO says "&amp;$AL667)),IF($AL667="","⚠ no receipt on file for this item",IF($AM667&lt;&gt;$AL667,"FEFO auto - split, also "&amp;$AM667,"FEFO auto"))))</f>
        <v>FEFO auto</v>
      </c>
      <c r="AO667" s="114"/>
    </row>
    <row r="668" spans="1:41" x14ac:dyDescent="0.35">
      <c r="A668" s="74">
        <v>46153</v>
      </c>
      <c r="B668" s="18" t="str">
        <f>IF($C668="","",IFERROR(INDEX('Staff Directory'!$A$5:$A$594,MATCH($C668,'Staff Directory'!$B$5:$B$594,0)),"⚠ unknown staff"))</f>
        <v>RN-026-A2</v>
      </c>
      <c r="C668" s="49" t="s">
        <v>946</v>
      </c>
      <c r="D668" s="19" t="str">
        <f>IF($B668="","",IFERROR(INDEX('Staff Directory'!$C$5:$C$594,MATCH($B668,'Staff Directory'!$A$5:$A$594,0)),""))</f>
        <v>RN</v>
      </c>
      <c r="E668" s="19" t="str">
        <f>IF($B668="","",IFERROR(INDEX('Staff Directory'!$D$5:$D$594,MATCH($B668,'Staff Directory'!$A$5:$A$594,0)),""))</f>
        <v>A2</v>
      </c>
      <c r="F668" s="9" t="s">
        <v>147</v>
      </c>
      <c r="G668" s="18" t="str">
        <f>IF($F668="","",IFERROR(INDEX(Items!$B$5:$B$597,MATCH($F668,Items!$A$5:$A$597,0)),"⚠ not in Items"))</f>
        <v>Apparel</v>
      </c>
      <c r="H668" s="19" t="str">
        <f>IF($F668="","",IFERROR(INDEX(Items!$C$5:$C$597,MATCH($F668,Items!$A$5:$A$597,0)),""))</f>
        <v>One Size</v>
      </c>
      <c r="I668" s="23">
        <f>IF($F668="","",IFERROR(INDEX(Items!$E$5:$E$597,MATCH($F668,Items!$A$5:$A$597,0)),""))</f>
        <v>5</v>
      </c>
      <c r="J668" s="115">
        <f>IF(tblIssues[[#This Row],[Qty Override]]&lt;&gt;"",tblIssues[[#This Row],[Qty Override]],IF(tblIssues[[#This Row],[Standard Issue]]="","",tblIssues[[#This Row],[Standard Issue]]))</f>
        <v>5</v>
      </c>
      <c r="K668" s="20">
        <f>IF($F668="","",IFERROR(INDEX(Items!$D$5:$D$597,MATCH($F668,Items!$A$5:$A$597,0)),""))</f>
        <v>3</v>
      </c>
      <c r="L668" s="21">
        <f t="shared" si="116"/>
        <v>15</v>
      </c>
      <c r="M668" s="9" t="str">
        <f t="shared" si="117"/>
        <v>YG500280</v>
      </c>
      <c r="N668" s="24">
        <f>IF($A668="","",WORKDAY($A668,Settings!$C$9,HolidayDates))</f>
        <v>46161</v>
      </c>
      <c r="O668" s="24">
        <f>IF($N668="","",WORKDAY($N668,Settings!$C$10,HolidayDates))</f>
        <v>46199</v>
      </c>
      <c r="P668" s="10" t="s">
        <v>502</v>
      </c>
      <c r="Q668" s="52" t="str">
        <f t="shared" si="119"/>
        <v>Collected</v>
      </c>
      <c r="R668" s="55" t="str">
        <f t="shared" si="120"/>
        <v>2026-05</v>
      </c>
      <c r="S668" s="55">
        <f>IF(OR($B668="",$F668="",$R668=""),"",SUMIFS(tblIssues[Qty Issued],tblIssues[Staff ID],$B668,tblIssues[Item Name],$F668,tblIssues[Month],$R668))</f>
        <v>10</v>
      </c>
      <c r="T668" s="56">
        <f>IF($I668="","",$I668*Settings!$C$11)</f>
        <v>5</v>
      </c>
      <c r="U668" s="57" t="str">
        <f t="shared" si="118"/>
        <v>⚠ OVER QUOTA</v>
      </c>
      <c r="V668" s="55" t="str">
        <f t="shared" si="121"/>
        <v>RN-026-A2 | Level 1/2 - Yellow Gown | 2026-05</v>
      </c>
      <c r="W668" s="55" t="str">
        <f>IF($V668="","",IF(COUNTIF($V$5:$V668,$V668)=1,1,""))</f>
        <v/>
      </c>
      <c r="X668" s="58" t="str">
        <f>IF($W668="","",MAX($X$4:X667)+1)</f>
        <v/>
      </c>
      <c r="Y668" s="62"/>
      <c r="Z668" s="62"/>
      <c r="AA668" s="64" t="str">
        <f>IF($C668="","",IFERROR(INDEX('Staff Directory'!$E$5:$E$594,MATCH($C668,'Staff Directory'!$B$5:$B$594,0)),""))</f>
        <v>firstname030.lastname030@example.com</v>
      </c>
      <c r="AB668" s="64" t="str">
        <f>IF($C668="","",IF(ISNUMBER(SEARCH($D668,Settings!$C$15)),"Pickup","Dispatch"))</f>
        <v>Dispatch</v>
      </c>
      <c r="AC668" s="64" t="str">
        <f t="shared" si="122"/>
        <v>Supply order dispatched</v>
      </c>
      <c r="AD668" s="64" t="str">
        <f t="shared" si="113"/>
        <v>Dear RN,
Your order has been dispatched and is in transit. Reply if undelivered.</v>
      </c>
      <c r="AE668" s="64" t="str">
        <f t="shared" si="114"/>
        <v>mailto:firstname030.lastname030@example.com?subject=Supply%20order%20dispatched&amp;body=Dear%20RN%2C%0A%0AYour%20order%20has%20been%20dispatched%20and%20is%20in%20transit.%20Reply%20if%20undelivered.</v>
      </c>
      <c r="AF668" s="89" t="str">
        <f t="shared" si="123"/>
        <v>Draft email</v>
      </c>
      <c r="AG668" s="64" t="str">
        <f>IF($C668="","",IFERROR(INDEX('Staff Directory'!$K$595:$K$599,MATCH($C668,'Staff Directory'!$B$5:$B$599,0)),$D668))</f>
        <v>RN</v>
      </c>
      <c r="AH668" t="str">
        <f>IF($C668="","",IFERROR(INDEX('Staff Directory'!$I$595:$I$599,MATCH($C668,'Staff Directory'!$B$5:$B$599,0))&amp;" "&amp;INDEX('Staff Directory'!$J$595:$J$599,MATCH($C668,'Staff Directory'!$B$5:$B$599,0)),$AG668))</f>
        <v>RN</v>
      </c>
      <c r="AI668" s="102"/>
      <c r="AJ668" s="101">
        <f>IF($F668="","",SUMIFS($J$5:$J668,$F$5:$F668,$F668))</f>
        <v>75</v>
      </c>
      <c r="AK668" s="101">
        <f t="shared" si="115"/>
        <v>71</v>
      </c>
      <c r="AL668" s="66" t="str" cm="1">
        <f t="array" ref="AL668">IF($F668="","",IFERROR(INDEX('Lot Balance'!$B$5:$B$500,MATCH(1,INDEX(('Lot Balance'!$A$5:$A$500=$F668)*('Lot Balance'!$K$5:$K$500&lt;$AK668)*('Lot Balance'!$K$5:$K$500+'Lot Balance'!$D$5:$D$500&gt;=$AK668),0),0)),""))</f>
        <v>YG500280</v>
      </c>
      <c r="AM668" s="66" t="str" cm="1">
        <f t="array" ref="AM668">IF($F668="","",IFERROR(INDEX('Lot Balance'!$B$5:$B$500,MATCH(1,INDEX(('Lot Balance'!$A$5:$A$500=$F668)*('Lot Balance'!$K$5:$K$500&lt;$AJ668)*('Lot Balance'!$K$5:$K$500+'Lot Balance'!$D$5:$D$500&gt;=$AJ668),0),0)),""))</f>
        <v>YG500280</v>
      </c>
      <c r="AN668" s="66" t="str">
        <f>IF($F668="","",IF($AI668&lt;&gt;"",IF(COUNTIFS('Lot Balance'!$A$5:$A$500,$F668,'Lot Balance'!$B$5:$B$500,$AI668)=0,"⚠ override is not a lot of this item",IF($AI668=$AL668,"Override = FEFO","Override - FEFO says "&amp;$AL668)),IF($AL668="","⚠ no receipt on file for this item",IF($AM668&lt;&gt;$AL668,"FEFO auto - split, also "&amp;$AM668,"FEFO auto"))))</f>
        <v>FEFO auto</v>
      </c>
      <c r="AO668" s="114"/>
    </row>
    <row r="669" spans="1:41" x14ac:dyDescent="0.35">
      <c r="A669" s="74">
        <v>46153</v>
      </c>
      <c r="B669" s="18" t="str">
        <f>IF($C669="","",IFERROR(INDEX('Staff Directory'!$A$5:$A$594,MATCH($C669,'Staff Directory'!$B$5:$B$594,0)),"⚠ unknown staff"))</f>
        <v>RN-026-A2</v>
      </c>
      <c r="C669" s="49" t="s">
        <v>946</v>
      </c>
      <c r="D669" s="19" t="str">
        <f>IF($B669="","",IFERROR(INDEX('Staff Directory'!$C$5:$C$594,MATCH($B669,'Staff Directory'!$A$5:$A$594,0)),""))</f>
        <v>RN</v>
      </c>
      <c r="E669" s="19" t="str">
        <f>IF($B669="","",IFERROR(INDEX('Staff Directory'!$D$5:$D$594,MATCH($B669,'Staff Directory'!$A$5:$A$594,0)),""))</f>
        <v>A2</v>
      </c>
      <c r="F669" s="9" t="s">
        <v>757</v>
      </c>
      <c r="G669" s="18" t="str">
        <f>IF($F669="","",IFERROR(INDEX(Items!$B$5:$B$597,MATCH($F669,Items!$A$5:$A$597,0)),"⚠ not in Items"))</f>
        <v>Documents</v>
      </c>
      <c r="H669" s="19" t="str">
        <f>IF($F669="","",IFERROR(INDEX(Items!$C$5:$C$597,MATCH($F669,Items!$A$5:$A$597,0)),""))</f>
        <v>Standard</v>
      </c>
      <c r="I669" s="23">
        <f>IF($F669="","",IFERROR(INDEX(Items!$E$5:$E$597,MATCH($F669,Items!$A$5:$A$597,0)),""))</f>
        <v>10</v>
      </c>
      <c r="J669" s="115">
        <f>IF(tblIssues[[#This Row],[Qty Override]]&lt;&gt;"",tblIssues[[#This Row],[Qty Override]],IF(tblIssues[[#This Row],[Standard Issue]]="","",tblIssues[[#This Row],[Standard Issue]]))</f>
        <v>10</v>
      </c>
      <c r="K669" s="20">
        <f>IF($F669="","",IFERROR(INDEX(Items!$D$5:$D$597,MATCH($F669,Items!$A$5:$A$597,0)),""))</f>
        <v>0</v>
      </c>
      <c r="L669" s="21">
        <f t="shared" si="116"/>
        <v>0</v>
      </c>
      <c r="M669" s="9" t="str">
        <f t="shared" si="117"/>
        <v/>
      </c>
      <c r="N669" s="24">
        <f>IF($A669="","",WORKDAY($A669,Settings!$C$9,HolidayDates))</f>
        <v>46161</v>
      </c>
      <c r="O669" s="24">
        <f>IF($N669="","",WORKDAY($N669,Settings!$C$10,HolidayDates))</f>
        <v>46199</v>
      </c>
      <c r="P669" s="10" t="s">
        <v>502</v>
      </c>
      <c r="Q669" s="52" t="str">
        <f t="shared" si="119"/>
        <v>Collected</v>
      </c>
      <c r="R669" s="55" t="str">
        <f t="shared" si="120"/>
        <v>2026-05</v>
      </c>
      <c r="S669" s="55">
        <f>IF(OR($B669="",$F669="",$R669=""),"",SUMIFS(tblIssues[Qty Issued],tblIssues[Staff ID],$B669,tblIssues[Item Name],$F669,tblIssues[Month],$R669))</f>
        <v>10</v>
      </c>
      <c r="T669" s="56">
        <f>IF($I669="","",$I669*Settings!$C$11)</f>
        <v>10</v>
      </c>
      <c r="U669" s="57" t="str">
        <f t="shared" si="118"/>
        <v>OK</v>
      </c>
      <c r="V669" s="55" t="str">
        <f t="shared" si="121"/>
        <v/>
      </c>
      <c r="W669" s="55" t="str">
        <f>IF($V669="","",IF(COUNTIF($V$5:$V669,$V669)=1,1,""))</f>
        <v/>
      </c>
      <c r="X669" s="58" t="str">
        <f>IF($W669="","",MAX($X$4:X668)+1)</f>
        <v/>
      </c>
      <c r="Y669" s="62"/>
      <c r="Z669" s="62"/>
      <c r="AA669" s="64" t="str">
        <f>IF($C669="","",IFERROR(INDEX('Staff Directory'!$E$5:$E$594,MATCH($C669,'Staff Directory'!$B$5:$B$594,0)),""))</f>
        <v>firstname030.lastname030@example.com</v>
      </c>
      <c r="AB669" s="64" t="str">
        <f>IF($C669="","",IF(ISNUMBER(SEARCH($D669,Settings!$C$15)),"Pickup","Dispatch"))</f>
        <v>Dispatch</v>
      </c>
      <c r="AC669" s="64" t="str">
        <f t="shared" si="122"/>
        <v>Supply order dispatched</v>
      </c>
      <c r="AD669" s="64" t="str">
        <f t="shared" si="113"/>
        <v>Dear RN,
Your order has been dispatched and is in transit. Reply if undelivered.</v>
      </c>
      <c r="AE669" s="64" t="str">
        <f t="shared" si="114"/>
        <v>mailto:firstname030.lastname030@example.com?subject=Supply%20order%20dispatched&amp;body=Dear%20RN%2C%0A%0AYour%20order%20has%20been%20dispatched%20and%20is%20in%20transit.%20Reply%20if%20undelivered.</v>
      </c>
      <c r="AF669" s="89" t="str">
        <f t="shared" si="123"/>
        <v>Draft email</v>
      </c>
      <c r="AG669" s="64" t="str">
        <f>IF($C669="","",IFERROR(INDEX('Staff Directory'!$K$595:$K$599,MATCH($C669,'Staff Directory'!$B$5:$B$599,0)),$D669))</f>
        <v>RN</v>
      </c>
      <c r="AH669" t="str">
        <f>IF($C669="","",IFERROR(INDEX('Staff Directory'!$I$595:$I$599,MATCH($C669,'Staff Directory'!$B$5:$B$599,0))&amp;" "&amp;INDEX('Staff Directory'!$J$595:$J$599,MATCH($C669,'Staff Directory'!$B$5:$B$599,0)),$AG669))</f>
        <v>RN</v>
      </c>
      <c r="AI669" s="102"/>
      <c r="AJ669" s="101">
        <f>IF($F669="","",SUMIFS($J$5:$J669,$F$5:$F669,$F669))</f>
        <v>410</v>
      </c>
      <c r="AK669" s="101">
        <f t="shared" si="115"/>
        <v>401</v>
      </c>
      <c r="AL669" s="66" t="str" cm="1">
        <f t="array" ref="AL669">IF($F669="","",IFERROR(INDEX('Lot Balance'!$B$5:$B$500,MATCH(1,INDEX(('Lot Balance'!$A$5:$A$500=$F669)*('Lot Balance'!$K$5:$K$500&lt;$AK669)*('Lot Balance'!$K$5:$K$500+'Lot Balance'!$D$5:$D$500&gt;=$AK669),0),0)),""))</f>
        <v/>
      </c>
      <c r="AM669" s="66" t="str" cm="1">
        <f t="array" ref="AM669">IF($F669="","",IFERROR(INDEX('Lot Balance'!$B$5:$B$500,MATCH(1,INDEX(('Lot Balance'!$A$5:$A$500=$F669)*('Lot Balance'!$K$5:$K$500&lt;$AJ669)*('Lot Balance'!$K$5:$K$500+'Lot Balance'!$D$5:$D$500&gt;=$AJ669),0),0)),""))</f>
        <v/>
      </c>
      <c r="AN669" s="66" t="str">
        <f>IF($F669="","",IF($AI669&lt;&gt;"",IF(COUNTIFS('Lot Balance'!$A$5:$A$500,$F669,'Lot Balance'!$B$5:$B$500,$AI669)=0,"⚠ override is not a lot of this item",IF($AI669=$AL669,"Override = FEFO","Override - FEFO says "&amp;$AL669)),IF($AL669="","⚠ no receipt on file for this item",IF($AM669&lt;&gt;$AL669,"FEFO auto - split, also "&amp;$AM669,"FEFO auto"))))</f>
        <v>⚠ no receipt on file for this item</v>
      </c>
      <c r="AO669" s="114"/>
    </row>
    <row r="670" spans="1:41" x14ac:dyDescent="0.35">
      <c r="A670" s="74">
        <v>46153</v>
      </c>
      <c r="B670" s="18" t="str">
        <f>IF($C670="","",IFERROR(INDEX('Staff Directory'!$A$5:$A$594,MATCH($C670,'Staff Directory'!$B$5:$B$594,0)),"⚠ unknown staff"))</f>
        <v>PSW-068-A7</v>
      </c>
      <c r="C670" s="49" t="s">
        <v>1044</v>
      </c>
      <c r="D670" s="19" t="str">
        <f>IF($B670="","",IFERROR(INDEX('Staff Directory'!$C$5:$C$594,MATCH($B670,'Staff Directory'!$A$5:$A$594,0)),""))</f>
        <v>PSW</v>
      </c>
      <c r="E670" s="19" t="str">
        <f>IF($B670="","",IFERROR(INDEX('Staff Directory'!$D$5:$D$594,MATCH($B670,'Staff Directory'!$A$5:$A$594,0)),""))</f>
        <v>A7</v>
      </c>
      <c r="F670" s="9" t="s">
        <v>127</v>
      </c>
      <c r="G670" s="18" t="str">
        <f>IF($F670="","",IFERROR(INDEX(Items!$B$5:$B$597,MATCH($F670,Items!$A$5:$A$597,0)),"⚠ not in Items"))</f>
        <v>Gloves</v>
      </c>
      <c r="H670" s="19" t="str">
        <f>IF($F670="","",IFERROR(INDEX(Items!$C$5:$C$597,MATCH($F670,Items!$A$5:$A$597,0)),""))</f>
        <v>Medium</v>
      </c>
      <c r="I670" s="23">
        <f>IF($F670="","",IFERROR(INDEX(Items!$E$5:$E$597,MATCH($F670,Items!$A$5:$A$597,0)),""))</f>
        <v>500</v>
      </c>
      <c r="J670" s="115">
        <f>IF(tblIssues[[#This Row],[Qty Override]]&lt;&gt;"",tblIssues[[#This Row],[Qty Override]],IF(tblIssues[[#This Row],[Standard Issue]]="","",tblIssues[[#This Row],[Standard Issue]]))</f>
        <v>500</v>
      </c>
      <c r="K670" s="20">
        <f>IF($F670="","",IFERROR(INDEX(Items!$D$5:$D$597,MATCH($F670,Items!$A$5:$A$597,0)),""))</f>
        <v>5.5E-2</v>
      </c>
      <c r="L670" s="21">
        <f t="shared" si="116"/>
        <v>27.5</v>
      </c>
      <c r="M670" s="9" t="str">
        <f t="shared" si="117"/>
        <v>O16689</v>
      </c>
      <c r="N670" s="24">
        <f>IF($A670="","",WORKDAY($A670,Settings!$C$9,HolidayDates))</f>
        <v>46161</v>
      </c>
      <c r="O670" s="24">
        <f>IF($N670="","",WORKDAY($N670,Settings!$C$10,HolidayDates))</f>
        <v>46199</v>
      </c>
      <c r="P670" s="10" t="s">
        <v>501</v>
      </c>
      <c r="Q670" s="52" t="str">
        <f t="shared" si="119"/>
        <v>Collected</v>
      </c>
      <c r="R670" s="55" t="str">
        <f t="shared" si="120"/>
        <v>2026-05</v>
      </c>
      <c r="S670" s="55">
        <f>IF(OR($B670="",$F670="",$R670=""),"",SUMIFS(tblIssues[Qty Issued],tblIssues[Staff ID],$B670,tblIssues[Item Name],$F670,tblIssues[Month],$R670))</f>
        <v>500</v>
      </c>
      <c r="T670" s="56">
        <f>IF($I670="","",$I670*Settings!$C$11)</f>
        <v>500</v>
      </c>
      <c r="U670" s="57" t="str">
        <f t="shared" si="118"/>
        <v>OK</v>
      </c>
      <c r="V670" s="55" t="str">
        <f t="shared" si="121"/>
        <v/>
      </c>
      <c r="W670" s="55" t="str">
        <f>IF($V670="","",IF(COUNTIF($V$5:$V670,$V670)=1,1,""))</f>
        <v/>
      </c>
      <c r="X670" s="58" t="str">
        <f>IF($W670="","",MAX($X$4:X669)+1)</f>
        <v/>
      </c>
      <c r="Y670" s="62"/>
      <c r="Z670" s="62"/>
      <c r="AA670" s="64" t="str">
        <f>IF($C670="","",IFERROR(INDEX('Staff Directory'!$E$5:$E$594,MATCH($C670,'Staff Directory'!$B$5:$B$594,0)),""))</f>
        <v>firstname128.lastname128@example.com</v>
      </c>
      <c r="AB670" s="64" t="str">
        <f>IF($C670="","",IF(ISNUMBER(SEARCH($D670,Settings!$C$15)),"Pickup","Dispatch"))</f>
        <v>Pickup</v>
      </c>
      <c r="AC670" s="64" t="str">
        <f t="shared" si="122"/>
        <v>Supply order ready for pickup</v>
      </c>
      <c r="AD670" s="64" t="str">
        <f t="shared" si="113"/>
        <v>Dear PSW,
Your order is ready for pickup from Sample Branch, Wed-Fri 9am-4pm.</v>
      </c>
      <c r="AE670" s="64" t="str">
        <f t="shared" si="114"/>
        <v>mailto:firstname128.lastname128@example.com?subject=Supply%20order%20ready%20for%20pickup&amp;body=Dear%20PSW%2C%0A%0AYour%20order%20is%20ready%20for%20pickup%20from%20Sample%20Branch%2C%20Wed-Fri%209am-4pm.</v>
      </c>
      <c r="AF670" s="89" t="str">
        <f t="shared" si="123"/>
        <v>Draft email</v>
      </c>
      <c r="AG670" s="64" t="str">
        <f>IF($C670="","",IFERROR(INDEX('Staff Directory'!$K$595:$K$599,MATCH($C670,'Staff Directory'!$B$5:$B$599,0)),$D670))</f>
        <v>PSW</v>
      </c>
      <c r="AH670" t="str">
        <f>IF($C670="","",IFERROR(INDEX('Staff Directory'!$I$595:$I$599,MATCH($C670,'Staff Directory'!$B$5:$B$599,0))&amp;" "&amp;INDEX('Staff Directory'!$J$595:$J$599,MATCH($C670,'Staff Directory'!$B$5:$B$599,0)),$AG670))</f>
        <v>PSW</v>
      </c>
      <c r="AI670" s="102"/>
      <c r="AJ670" s="101">
        <f>IF($F670="","",SUMIFS($J$5:$J670,$F$5:$F670,$F670))</f>
        <v>38500</v>
      </c>
      <c r="AK670" s="101">
        <f t="shared" si="115"/>
        <v>38001</v>
      </c>
      <c r="AL670" s="66" t="str" cm="1">
        <f t="array" ref="AL670">IF($F670="","",IFERROR(INDEX('Lot Balance'!$B$5:$B$500,MATCH(1,INDEX(('Lot Balance'!$A$5:$A$500=$F670)*('Lot Balance'!$K$5:$K$500&lt;$AK670)*('Lot Balance'!$K$5:$K$500+'Lot Balance'!$D$5:$D$500&gt;=$AK670),0),0)),""))</f>
        <v>O16689</v>
      </c>
      <c r="AM670" s="66" t="str" cm="1">
        <f t="array" ref="AM670">IF($F670="","",IFERROR(INDEX('Lot Balance'!$B$5:$B$500,MATCH(1,INDEX(('Lot Balance'!$A$5:$A$500=$F670)*('Lot Balance'!$K$5:$K$500&lt;$AJ670)*('Lot Balance'!$K$5:$K$500+'Lot Balance'!$D$5:$D$500&gt;=$AJ670),0),0)),""))</f>
        <v>O16689</v>
      </c>
      <c r="AN670" s="66" t="str">
        <f>IF($F670="","",IF($AI670&lt;&gt;"",IF(COUNTIFS('Lot Balance'!$A$5:$A$500,$F670,'Lot Balance'!$B$5:$B$500,$AI670)=0,"⚠ override is not a lot of this item",IF($AI670=$AL670,"Override = FEFO","Override - FEFO says "&amp;$AL670)),IF($AL670="","⚠ no receipt on file for this item",IF($AM670&lt;&gt;$AL670,"FEFO auto - split, also "&amp;$AM670,"FEFO auto"))))</f>
        <v>FEFO auto</v>
      </c>
      <c r="AO670" s="114"/>
    </row>
    <row r="671" spans="1:41" x14ac:dyDescent="0.35">
      <c r="A671" s="74">
        <v>46153</v>
      </c>
      <c r="B671" s="18" t="str">
        <f>IF($C671="","",IFERROR(INDEX('Staff Directory'!$A$5:$A$594,MATCH($C671,'Staff Directory'!$B$5:$B$594,0)),"⚠ unknown staff"))</f>
        <v>PSW-068-A7</v>
      </c>
      <c r="C671" s="49" t="s">
        <v>1044</v>
      </c>
      <c r="D671" s="19" t="str">
        <f>IF($B671="","",IFERROR(INDEX('Staff Directory'!$C$5:$C$594,MATCH($B671,'Staff Directory'!$A$5:$A$594,0)),""))</f>
        <v>PSW</v>
      </c>
      <c r="E671" s="19" t="str">
        <f>IF($B671="","",IFERROR(INDEX('Staff Directory'!$D$5:$D$594,MATCH($B671,'Staff Directory'!$A$5:$A$594,0)),""))</f>
        <v>A7</v>
      </c>
      <c r="F671" s="9" t="s">
        <v>191</v>
      </c>
      <c r="G671" s="18" t="str">
        <f>IF($F671="","",IFERROR(INDEX(Items!$B$5:$B$597,MATCH($F671,Items!$A$5:$A$597,0)),"⚠ not in Items"))</f>
        <v>Sanitizer</v>
      </c>
      <c r="H671" s="19" t="str">
        <f>IF($F671="","",IFERROR(INDEX(Items!$C$5:$C$597,MATCH($F671,Items!$A$5:$A$597,0)),""))</f>
        <v>236 ML</v>
      </c>
      <c r="I671" s="23">
        <f>IF($F671="","",IFERROR(INDEX(Items!$E$5:$E$597,MATCH($F671,Items!$A$5:$A$597,0)),""))</f>
        <v>1</v>
      </c>
      <c r="J671" s="115">
        <f>IF(tblIssues[[#This Row],[Qty Override]]&lt;&gt;"",tblIssues[[#This Row],[Qty Override]],IF(tblIssues[[#This Row],[Standard Issue]]="","",tblIssues[[#This Row],[Standard Issue]]))</f>
        <v>1</v>
      </c>
      <c r="K671" s="20">
        <f>IF($F671="","",IFERROR(INDEX(Items!$D$5:$D$597,MATCH($F671,Items!$A$5:$A$597,0)),""))</f>
        <v>1E-4</v>
      </c>
      <c r="L671" s="21">
        <f t="shared" si="116"/>
        <v>1E-4</v>
      </c>
      <c r="M671" s="9" t="str">
        <f t="shared" si="117"/>
        <v>20-21734-3</v>
      </c>
      <c r="N671" s="24">
        <f>IF($A671="","",WORKDAY($A671,Settings!$C$9,HolidayDates))</f>
        <v>46161</v>
      </c>
      <c r="O671" s="24">
        <f>IF($N671="","",WORKDAY($N671,Settings!$C$10,HolidayDates))</f>
        <v>46199</v>
      </c>
      <c r="P671" s="10" t="s">
        <v>501</v>
      </c>
      <c r="Q671" s="52" t="str">
        <f t="shared" si="119"/>
        <v>Collected</v>
      </c>
      <c r="R671" s="55" t="str">
        <f t="shared" si="120"/>
        <v>2026-05</v>
      </c>
      <c r="S671" s="55">
        <f>IF(OR($B671="",$F671="",$R671=""),"",SUMIFS(tblIssues[Qty Issued],tblIssues[Staff ID],$B671,tblIssues[Item Name],$F671,tblIssues[Month],$R671))</f>
        <v>1</v>
      </c>
      <c r="T671" s="56">
        <f>IF($I671="","",$I671*Settings!$C$11)</f>
        <v>1</v>
      </c>
      <c r="U671" s="57" t="str">
        <f t="shared" si="118"/>
        <v>OK</v>
      </c>
      <c r="V671" s="55" t="str">
        <f t="shared" si="121"/>
        <v/>
      </c>
      <c r="W671" s="55" t="str">
        <f>IF($V671="","",IF(COUNTIF($V$5:$V671,$V671)=1,1,""))</f>
        <v/>
      </c>
      <c r="X671" s="58" t="str">
        <f>IF($W671="","",MAX($X$4:X670)+1)</f>
        <v/>
      </c>
      <c r="Y671" s="62"/>
      <c r="Z671" s="62"/>
      <c r="AA671" s="64" t="str">
        <f>IF($C671="","",IFERROR(INDEX('Staff Directory'!$E$5:$E$594,MATCH($C671,'Staff Directory'!$B$5:$B$594,0)),""))</f>
        <v>firstname128.lastname128@example.com</v>
      </c>
      <c r="AB671" s="64" t="str">
        <f>IF($C671="","",IF(ISNUMBER(SEARCH($D671,Settings!$C$15)),"Pickup","Dispatch"))</f>
        <v>Pickup</v>
      </c>
      <c r="AC671" s="64" t="str">
        <f t="shared" si="122"/>
        <v>Supply order ready for pickup</v>
      </c>
      <c r="AD671" s="64" t="str">
        <f t="shared" si="113"/>
        <v>Dear PSW,
Your order is ready for pickup from Sample Branch, Wed-Fri 9am-4pm.</v>
      </c>
      <c r="AE671" s="64" t="str">
        <f t="shared" si="114"/>
        <v>mailto:firstname128.lastname128@example.com?subject=Supply%20order%20ready%20for%20pickup&amp;body=Dear%20PSW%2C%0A%0AYour%20order%20is%20ready%20for%20pickup%20from%20Sample%20Branch%2C%20Wed-Fri%209am-4pm.</v>
      </c>
      <c r="AF671" s="89" t="str">
        <f t="shared" si="123"/>
        <v>Draft email</v>
      </c>
      <c r="AG671" s="64" t="str">
        <f>IF($C671="","",IFERROR(INDEX('Staff Directory'!$K$595:$K$599,MATCH($C671,'Staff Directory'!$B$5:$B$599,0)),$D671))</f>
        <v>PSW</v>
      </c>
      <c r="AH671" t="str">
        <f>IF($C671="","",IFERROR(INDEX('Staff Directory'!$I$595:$I$599,MATCH($C671,'Staff Directory'!$B$5:$B$599,0))&amp;" "&amp;INDEX('Staff Directory'!$J$595:$J$599,MATCH($C671,'Staff Directory'!$B$5:$B$599,0)),$AG671))</f>
        <v>PSW</v>
      </c>
      <c r="AI671" s="102"/>
      <c r="AJ671" s="101">
        <f>IF($F671="","",SUMIFS($J$5:$J671,$F$5:$F671,$F671))</f>
        <v>76</v>
      </c>
      <c r="AK671" s="101">
        <f t="shared" si="115"/>
        <v>76</v>
      </c>
      <c r="AL671" s="66" t="str" cm="1">
        <f t="array" ref="AL671">IF($F671="","",IFERROR(INDEX('Lot Balance'!$B$5:$B$500,MATCH(1,INDEX(('Lot Balance'!$A$5:$A$500=$F671)*('Lot Balance'!$K$5:$K$500&lt;$AK671)*('Lot Balance'!$K$5:$K$500+'Lot Balance'!$D$5:$D$500&gt;=$AK671),0),0)),""))</f>
        <v>20-21734-3</v>
      </c>
      <c r="AM671" s="66" t="str" cm="1">
        <f t="array" ref="AM671">IF($F671="","",IFERROR(INDEX('Lot Balance'!$B$5:$B$500,MATCH(1,INDEX(('Lot Balance'!$A$5:$A$500=$F671)*('Lot Balance'!$K$5:$K$500&lt;$AJ671)*('Lot Balance'!$K$5:$K$500+'Lot Balance'!$D$5:$D$500&gt;=$AJ671),0),0)),""))</f>
        <v>20-21734-3</v>
      </c>
      <c r="AN671" s="66" t="str">
        <f>IF($F671="","",IF($AI671&lt;&gt;"",IF(COUNTIFS('Lot Balance'!$A$5:$A$500,$F671,'Lot Balance'!$B$5:$B$500,$AI671)=0,"⚠ override is not a lot of this item",IF($AI671=$AL671,"Override = FEFO","Override - FEFO says "&amp;$AL671)),IF($AL671="","⚠ no receipt on file for this item",IF($AM671&lt;&gt;$AL671,"FEFO auto - split, also "&amp;$AM671,"FEFO auto"))))</f>
        <v>FEFO auto</v>
      </c>
      <c r="AO671" s="114"/>
    </row>
    <row r="672" spans="1:41" x14ac:dyDescent="0.35">
      <c r="A672" s="74">
        <v>46153</v>
      </c>
      <c r="B672" s="18" t="str">
        <f>IF($C672="","",IFERROR(INDEX('Staff Directory'!$A$5:$A$594,MATCH($C672,'Staff Directory'!$B$5:$B$594,0)),"⚠ unknown staff"))</f>
        <v>PSW-068-A7</v>
      </c>
      <c r="C672" s="49" t="s">
        <v>1044</v>
      </c>
      <c r="D672" s="19" t="str">
        <f>IF($B672="","",IFERROR(INDEX('Staff Directory'!$C$5:$C$594,MATCH($B672,'Staff Directory'!$A$5:$A$594,0)),""))</f>
        <v>PSW</v>
      </c>
      <c r="E672" s="19" t="str">
        <f>IF($B672="","",IFERROR(INDEX('Staff Directory'!$D$5:$D$594,MATCH($B672,'Staff Directory'!$A$5:$A$594,0)),""))</f>
        <v>A7</v>
      </c>
      <c r="F672" s="9" t="s">
        <v>115</v>
      </c>
      <c r="G672" s="18" t="str">
        <f>IF($F672="","",IFERROR(INDEX(Items!$B$5:$B$597,MATCH($F672,Items!$A$5:$A$597,0)),"⚠ not in Items"))</f>
        <v>Wipes</v>
      </c>
      <c r="H672" s="19">
        <f>IF($F672="","",IFERROR(INDEX(Items!$C$5:$C$597,MATCH($F672,Items!$A$5:$A$597,0)),""))</f>
        <v>80</v>
      </c>
      <c r="I672" s="23">
        <f>IF($F672="","",IFERROR(INDEX(Items!$E$5:$E$597,MATCH($F672,Items!$A$5:$A$597,0)),""))</f>
        <v>80</v>
      </c>
      <c r="J672" s="115">
        <f>IF(tblIssues[[#This Row],[Qty Override]]&lt;&gt;"",tblIssues[[#This Row],[Qty Override]],IF(tblIssues[[#This Row],[Standard Issue]]="","",tblIssues[[#This Row],[Standard Issue]]))</f>
        <v>80</v>
      </c>
      <c r="K672" s="20">
        <f>IF($F672="","",IFERROR(INDEX(Items!$D$5:$D$597,MATCH($F672,Items!$A$5:$A$597,0)),""))</f>
        <v>0.1</v>
      </c>
      <c r="L672" s="21">
        <f t="shared" si="116"/>
        <v>8</v>
      </c>
      <c r="M672" s="9" t="str">
        <f t="shared" si="117"/>
        <v>LYSL500290</v>
      </c>
      <c r="N672" s="24">
        <f>IF($A672="","",WORKDAY($A672,Settings!$C$9,HolidayDates))</f>
        <v>46161</v>
      </c>
      <c r="O672" s="24">
        <f>IF($N672="","",WORKDAY($N672,Settings!$C$10,HolidayDates))</f>
        <v>46199</v>
      </c>
      <c r="P672" s="10" t="s">
        <v>501</v>
      </c>
      <c r="Q672" s="52" t="str">
        <f t="shared" si="119"/>
        <v>Collected</v>
      </c>
      <c r="R672" s="55" t="str">
        <f t="shared" si="120"/>
        <v>2026-05</v>
      </c>
      <c r="S672" s="55">
        <f>IF(OR($B672="",$F672="",$R672=""),"",SUMIFS(tblIssues[Qty Issued],tblIssues[Staff ID],$B672,tblIssues[Item Name],$F672,tblIssues[Month],$R672))</f>
        <v>80</v>
      </c>
      <c r="T672" s="56">
        <f>IF($I672="","",$I672*Settings!$C$11)</f>
        <v>80</v>
      </c>
      <c r="U672" s="57" t="str">
        <f t="shared" si="118"/>
        <v>OK</v>
      </c>
      <c r="V672" s="55" t="str">
        <f t="shared" si="121"/>
        <v/>
      </c>
      <c r="W672" s="55" t="str">
        <f>IF($V672="","",IF(COUNTIF($V$5:$V672,$V672)=1,1,""))</f>
        <v/>
      </c>
      <c r="X672" s="58" t="str">
        <f>IF($W672="","",MAX($X$4:X671)+1)</f>
        <v/>
      </c>
      <c r="Y672" s="62"/>
      <c r="Z672" s="62"/>
      <c r="AA672" s="64" t="str">
        <f>IF($C672="","",IFERROR(INDEX('Staff Directory'!$E$5:$E$594,MATCH($C672,'Staff Directory'!$B$5:$B$594,0)),""))</f>
        <v>firstname128.lastname128@example.com</v>
      </c>
      <c r="AB672" s="64" t="str">
        <f>IF($C672="","",IF(ISNUMBER(SEARCH($D672,Settings!$C$15)),"Pickup","Dispatch"))</f>
        <v>Pickup</v>
      </c>
      <c r="AC672" s="64" t="str">
        <f t="shared" si="122"/>
        <v>Supply order ready for pickup</v>
      </c>
      <c r="AD672" s="64" t="str">
        <f t="shared" si="113"/>
        <v>Dear PSW,
Your order is ready for pickup from Sample Branch, Wed-Fri 9am-4pm.</v>
      </c>
      <c r="AE672" s="64" t="str">
        <f t="shared" si="114"/>
        <v>mailto:firstname128.lastname128@example.com?subject=Supply%20order%20ready%20for%20pickup&amp;body=Dear%20PSW%2C%0A%0AYour%20order%20is%20ready%20for%20pickup%20from%20Sample%20Branch%2C%20Wed-Fri%209am-4pm.</v>
      </c>
      <c r="AF672" s="89" t="str">
        <f t="shared" si="123"/>
        <v>Draft email</v>
      </c>
      <c r="AG672" s="64" t="str">
        <f>IF($C672="","",IFERROR(INDEX('Staff Directory'!$K$595:$K$599,MATCH($C672,'Staff Directory'!$B$5:$B$599,0)),$D672))</f>
        <v>PSW</v>
      </c>
      <c r="AH672" t="str">
        <f>IF($C672="","",IFERROR(INDEX('Staff Directory'!$I$595:$I$599,MATCH($C672,'Staff Directory'!$B$5:$B$599,0))&amp;" "&amp;INDEX('Staff Directory'!$J$595:$J$599,MATCH($C672,'Staff Directory'!$B$5:$B$599,0)),$AG672))</f>
        <v>PSW</v>
      </c>
      <c r="AI672" s="102"/>
      <c r="AJ672" s="101">
        <f>IF($F672="","",SUMIFS($J$5:$J672,$F$5:$F672,$F672))</f>
        <v>9360</v>
      </c>
      <c r="AK672" s="101">
        <f t="shared" si="115"/>
        <v>9281</v>
      </c>
      <c r="AL672" s="66" t="str" cm="1">
        <f t="array" ref="AL672">IF($F672="","",IFERROR(INDEX('Lot Balance'!$B$5:$B$500,MATCH(1,INDEX(('Lot Balance'!$A$5:$A$500=$F672)*('Lot Balance'!$K$5:$K$500&lt;$AK672)*('Lot Balance'!$K$5:$K$500+'Lot Balance'!$D$5:$D$500&gt;=$AK672),0),0)),""))</f>
        <v>LYSL500290</v>
      </c>
      <c r="AM672" s="66" t="str" cm="1">
        <f t="array" ref="AM672">IF($F672="","",IFERROR(INDEX('Lot Balance'!$B$5:$B$500,MATCH(1,INDEX(('Lot Balance'!$A$5:$A$500=$F672)*('Lot Balance'!$K$5:$K$500&lt;$AJ672)*('Lot Balance'!$K$5:$K$500+'Lot Balance'!$D$5:$D$500&gt;=$AJ672),0),0)),""))</f>
        <v>LYSL500290</v>
      </c>
      <c r="AN672" s="66" t="str">
        <f>IF($F672="","",IF($AI672&lt;&gt;"",IF(COUNTIFS('Lot Balance'!$A$5:$A$500,$F672,'Lot Balance'!$B$5:$B$500,$AI672)=0,"⚠ override is not a lot of this item",IF($AI672=$AL672,"Override = FEFO","Override - FEFO says "&amp;$AL672)),IF($AL672="","⚠ no receipt on file for this item",IF($AM672&lt;&gt;$AL672,"FEFO auto - split, also "&amp;$AM672,"FEFO auto"))))</f>
        <v>FEFO auto</v>
      </c>
      <c r="AO672" s="114"/>
    </row>
    <row r="673" spans="1:41" x14ac:dyDescent="0.35">
      <c r="A673" s="74">
        <v>46153</v>
      </c>
      <c r="B673" s="18" t="str">
        <f>IF($C673="","",IFERROR(INDEX('Staff Directory'!$A$5:$A$594,MATCH($C673,'Staff Directory'!$B$5:$B$594,0)),"⚠ unknown staff"))</f>
        <v>PSW-068-A7</v>
      </c>
      <c r="C673" s="49" t="s">
        <v>1044</v>
      </c>
      <c r="D673" s="19" t="str">
        <f>IF($B673="","",IFERROR(INDEX('Staff Directory'!$C$5:$C$594,MATCH($B673,'Staff Directory'!$A$5:$A$594,0)),""))</f>
        <v>PSW</v>
      </c>
      <c r="E673" s="19" t="str">
        <f>IF($B673="","",IFERROR(INDEX('Staff Directory'!$D$5:$D$594,MATCH($B673,'Staff Directory'!$A$5:$A$594,0)),""))</f>
        <v>A7</v>
      </c>
      <c r="F673" s="9" t="s">
        <v>156</v>
      </c>
      <c r="G673" s="18" t="str">
        <f>IF($F673="","",IFERROR(INDEX(Items!$B$5:$B$597,MATCH($F673,Items!$A$5:$A$597,0)),"⚠ not in Items"))</f>
        <v>Masks</v>
      </c>
      <c r="H673" s="19" t="str">
        <f>IF($F673="","",IFERROR(INDEX(Items!$C$5:$C$597,MATCH($F673,Items!$A$5:$A$597,0)),""))</f>
        <v>One Size</v>
      </c>
      <c r="I673" s="23">
        <f>IF($F673="","",IFERROR(INDEX(Items!$E$5:$E$597,MATCH($F673,Items!$A$5:$A$597,0)),""))</f>
        <v>50</v>
      </c>
      <c r="J673" s="115">
        <f>IF(tblIssues[[#This Row],[Qty Override]]&lt;&gt;"",tblIssues[[#This Row],[Qty Override]],IF(tblIssues[[#This Row],[Standard Issue]]="","",tblIssues[[#This Row],[Standard Issue]]))</f>
        <v>50</v>
      </c>
      <c r="K673" s="20">
        <f>IF($F673="","",IFERROR(INDEX(Items!$D$5:$D$597,MATCH($F673,Items!$A$5:$A$597,0)),""))</f>
        <v>0.25</v>
      </c>
      <c r="L673" s="21">
        <f t="shared" si="116"/>
        <v>12.5</v>
      </c>
      <c r="M673" s="9" t="str">
        <f t="shared" si="117"/>
        <v>0125FPC24-0</v>
      </c>
      <c r="N673" s="24">
        <f>IF($A673="","",WORKDAY($A673,Settings!$C$9,HolidayDates))</f>
        <v>46161</v>
      </c>
      <c r="O673" s="24">
        <f>IF($N673="","",WORKDAY($N673,Settings!$C$10,HolidayDates))</f>
        <v>46199</v>
      </c>
      <c r="P673" s="10" t="s">
        <v>501</v>
      </c>
      <c r="Q673" s="52" t="str">
        <f t="shared" si="119"/>
        <v>Collected</v>
      </c>
      <c r="R673" s="55" t="str">
        <f t="shared" si="120"/>
        <v>2026-05</v>
      </c>
      <c r="S673" s="55">
        <f>IF(OR($B673="",$F673="",$R673=""),"",SUMIFS(tblIssues[Qty Issued],tblIssues[Staff ID],$B673,tblIssues[Item Name],$F673,tblIssues[Month],$R673))</f>
        <v>50</v>
      </c>
      <c r="T673" s="56">
        <f>IF($I673="","",$I673*Settings!$C$11)</f>
        <v>50</v>
      </c>
      <c r="U673" s="57" t="str">
        <f t="shared" si="118"/>
        <v>OK</v>
      </c>
      <c r="V673" s="55" t="str">
        <f t="shared" si="121"/>
        <v/>
      </c>
      <c r="W673" s="55" t="str">
        <f>IF($V673="","",IF(COUNTIF($V$5:$V673,$V673)=1,1,""))</f>
        <v/>
      </c>
      <c r="X673" s="58" t="str">
        <f>IF($W673="","",MAX($X$4:X672)+1)</f>
        <v/>
      </c>
      <c r="Y673" s="62"/>
      <c r="Z673" s="62"/>
      <c r="AA673" s="64" t="str">
        <f>IF($C673="","",IFERROR(INDEX('Staff Directory'!$E$5:$E$594,MATCH($C673,'Staff Directory'!$B$5:$B$594,0)),""))</f>
        <v>firstname128.lastname128@example.com</v>
      </c>
      <c r="AB673" s="64" t="str">
        <f>IF($C673="","",IF(ISNUMBER(SEARCH($D673,Settings!$C$15)),"Pickup","Dispatch"))</f>
        <v>Pickup</v>
      </c>
      <c r="AC673" s="64" t="str">
        <f t="shared" si="122"/>
        <v>Supply order ready for pickup</v>
      </c>
      <c r="AD673" s="64" t="str">
        <f t="shared" si="113"/>
        <v>Dear PSW,
Your order is ready for pickup from Sample Branch, Wed-Fri 9am-4pm.</v>
      </c>
      <c r="AE673" s="64" t="str">
        <f t="shared" si="114"/>
        <v>mailto:firstname128.lastname128@example.com?subject=Supply%20order%20ready%20for%20pickup&amp;body=Dear%20PSW%2C%0A%0AYour%20order%20is%20ready%20for%20pickup%20from%20Sample%20Branch%2C%20Wed-Fri%209am-4pm.</v>
      </c>
      <c r="AF673" s="89" t="str">
        <f t="shared" si="123"/>
        <v>Draft email</v>
      </c>
      <c r="AG673" s="64" t="str">
        <f>IF($C673="","",IFERROR(INDEX('Staff Directory'!$K$595:$K$599,MATCH($C673,'Staff Directory'!$B$5:$B$599,0)),$D673))</f>
        <v>PSW</v>
      </c>
      <c r="AH673" t="str">
        <f>IF($C673="","",IFERROR(INDEX('Staff Directory'!$I$595:$I$599,MATCH($C673,'Staff Directory'!$B$5:$B$599,0))&amp;" "&amp;INDEX('Staff Directory'!$J$595:$J$599,MATCH($C673,'Staff Directory'!$B$5:$B$599,0)),$AG673))</f>
        <v>PSW</v>
      </c>
      <c r="AI673" s="102"/>
      <c r="AJ673" s="101">
        <f>IF($F673="","",SUMIFS($J$5:$J673,$F$5:$F673,$F673))</f>
        <v>5450</v>
      </c>
      <c r="AK673" s="101">
        <f t="shared" si="115"/>
        <v>5401</v>
      </c>
      <c r="AL673" s="66" t="str" cm="1">
        <f t="array" ref="AL673">IF($F673="","",IFERROR(INDEX('Lot Balance'!$B$5:$B$500,MATCH(1,INDEX(('Lot Balance'!$A$5:$A$500=$F673)*('Lot Balance'!$K$5:$K$500&lt;$AK673)*('Lot Balance'!$K$5:$K$500+'Lot Balance'!$D$5:$D$500&gt;=$AK673),0),0)),""))</f>
        <v>0125FPC24-0</v>
      </c>
      <c r="AM673" s="66" t="str" cm="1">
        <f t="array" ref="AM673">IF($F673="","",IFERROR(INDEX('Lot Balance'!$B$5:$B$500,MATCH(1,INDEX(('Lot Balance'!$A$5:$A$500=$F673)*('Lot Balance'!$K$5:$K$500&lt;$AJ673)*('Lot Balance'!$K$5:$K$500+'Lot Balance'!$D$5:$D$500&gt;=$AJ673),0),0)),""))</f>
        <v>0125FPC24-0</v>
      </c>
      <c r="AN673" s="66" t="str">
        <f>IF($F673="","",IF($AI673&lt;&gt;"",IF(COUNTIFS('Lot Balance'!$A$5:$A$500,$F673,'Lot Balance'!$B$5:$B$500,$AI673)=0,"⚠ override is not a lot of this item",IF($AI673=$AL673,"Override = FEFO","Override - FEFO says "&amp;$AL673)),IF($AL673="","⚠ no receipt on file for this item",IF($AM673&lt;&gt;$AL673,"FEFO auto - split, also "&amp;$AM673,"FEFO auto"))))</f>
        <v>FEFO auto</v>
      </c>
      <c r="AO673" s="114"/>
    </row>
    <row r="674" spans="1:41" x14ac:dyDescent="0.35">
      <c r="A674" s="74">
        <v>46153</v>
      </c>
      <c r="B674" s="18" t="str">
        <f>IF($C674="","",IFERROR(INDEX('Staff Directory'!$A$5:$A$594,MATCH($C674,'Staff Directory'!$B$5:$B$594,0)),"⚠ unknown staff"))</f>
        <v>PSW-070-A6</v>
      </c>
      <c r="C674" s="49" t="s">
        <v>1046</v>
      </c>
      <c r="D674" s="19" t="str">
        <f>IF($B674="","",IFERROR(INDEX('Staff Directory'!$C$5:$C$594,MATCH($B674,'Staff Directory'!$A$5:$A$594,0)),""))</f>
        <v>PSW</v>
      </c>
      <c r="E674" s="19" t="str">
        <f>IF($B674="","",IFERROR(INDEX('Staff Directory'!$D$5:$D$594,MATCH($B674,'Staff Directory'!$A$5:$A$594,0)),""))</f>
        <v>A6</v>
      </c>
      <c r="F674" s="9" t="s">
        <v>129</v>
      </c>
      <c r="G674" s="18" t="str">
        <f>IF($F674="","",IFERROR(INDEX(Items!$B$5:$B$597,MATCH($F674,Items!$A$5:$A$597,0)),"⚠ not in Items"))</f>
        <v>Gloves</v>
      </c>
      <c r="H674" s="19" t="str">
        <f>IF($F674="","",IFERROR(INDEX(Items!$C$5:$C$597,MATCH($F674,Items!$A$5:$A$597,0)),""))</f>
        <v>Small</v>
      </c>
      <c r="I674" s="23">
        <f>IF($F674="","",IFERROR(INDEX(Items!$E$5:$E$597,MATCH($F674,Items!$A$5:$A$597,0)),""))</f>
        <v>500</v>
      </c>
      <c r="J674" s="115">
        <f>IF(tblIssues[[#This Row],[Qty Override]]&lt;&gt;"",tblIssues[[#This Row],[Qty Override]],IF(tblIssues[[#This Row],[Standard Issue]]="","",tblIssues[[#This Row],[Standard Issue]]))</f>
        <v>500</v>
      </c>
      <c r="K674" s="20">
        <f>IF($F674="","",IFERROR(INDEX(Items!$D$5:$D$597,MATCH($F674,Items!$A$5:$A$597,0)),""))</f>
        <v>5.5E-2</v>
      </c>
      <c r="L674" s="21">
        <f t="shared" si="116"/>
        <v>27.5</v>
      </c>
      <c r="M674" s="9" t="str">
        <f t="shared" si="117"/>
        <v>O211LIC25-0</v>
      </c>
      <c r="N674" s="24">
        <f>IF($A674="","",WORKDAY($A674,Settings!$C$9,HolidayDates))</f>
        <v>46161</v>
      </c>
      <c r="O674" s="24">
        <f>IF($N674="","",WORKDAY($N674,Settings!$C$10,HolidayDates))</f>
        <v>46199</v>
      </c>
      <c r="P674" s="10" t="s">
        <v>501</v>
      </c>
      <c r="Q674" s="52" t="str">
        <f t="shared" si="119"/>
        <v>Collected</v>
      </c>
      <c r="R674" s="55" t="str">
        <f t="shared" si="120"/>
        <v>2026-05</v>
      </c>
      <c r="S674" s="55">
        <f>IF(OR($B674="",$F674="",$R674=""),"",SUMIFS(tblIssues[Qty Issued],tblIssues[Staff ID],$B674,tblIssues[Item Name],$F674,tblIssues[Month],$R674))</f>
        <v>500</v>
      </c>
      <c r="T674" s="56">
        <f>IF($I674="","",$I674*Settings!$C$11)</f>
        <v>500</v>
      </c>
      <c r="U674" s="57" t="str">
        <f t="shared" si="118"/>
        <v>OK</v>
      </c>
      <c r="V674" s="55" t="str">
        <f t="shared" si="121"/>
        <v/>
      </c>
      <c r="W674" s="55" t="str">
        <f>IF($V674="","",IF(COUNTIF($V$5:$V674,$V674)=1,1,""))</f>
        <v/>
      </c>
      <c r="X674" s="58" t="str">
        <f>IF($W674="","",MAX($X$4:X673)+1)</f>
        <v/>
      </c>
      <c r="Y674" s="62"/>
      <c r="Z674" s="62"/>
      <c r="AA674" s="64" t="str">
        <f>IF($C674="","",IFERROR(INDEX('Staff Directory'!$E$5:$E$594,MATCH($C674,'Staff Directory'!$B$5:$B$594,0)),""))</f>
        <v>firstname130.lastname130@example.com</v>
      </c>
      <c r="AB674" s="64" t="str">
        <f>IF($C674="","",IF(ISNUMBER(SEARCH($D674,Settings!$C$15)),"Pickup","Dispatch"))</f>
        <v>Pickup</v>
      </c>
      <c r="AC674" s="64" t="str">
        <f t="shared" si="122"/>
        <v>Supply order ready for pickup</v>
      </c>
      <c r="AD674" s="64" t="str">
        <f t="shared" si="113"/>
        <v>Dear PSW,
Your order is ready for pickup from Sample Branch, Wed-Fri 9am-4pm.</v>
      </c>
      <c r="AE674" s="64" t="str">
        <f t="shared" si="114"/>
        <v>mailto:firstname130.lastname130@example.com?subject=Supply%20order%20ready%20for%20pickup&amp;body=Dear%20PSW%2C%0A%0AYour%20order%20is%20ready%20for%20pickup%20from%20Sample%20Branch%2C%20Wed-Fri%209am-4pm.</v>
      </c>
      <c r="AF674" s="89" t="str">
        <f t="shared" si="123"/>
        <v>Draft email</v>
      </c>
      <c r="AG674" s="64" t="str">
        <f>IF($C674="","",IFERROR(INDEX('Staff Directory'!$K$595:$K$599,MATCH($C674,'Staff Directory'!$B$5:$B$599,0)),$D674))</f>
        <v>PSW</v>
      </c>
      <c r="AH674" t="str">
        <f>IF($C674="","",IFERROR(INDEX('Staff Directory'!$I$595:$I$599,MATCH($C674,'Staff Directory'!$B$5:$B$599,0))&amp;" "&amp;INDEX('Staff Directory'!$J$595:$J$599,MATCH($C674,'Staff Directory'!$B$5:$B$599,0)),$AG674))</f>
        <v>PSW</v>
      </c>
      <c r="AI674" s="102"/>
      <c r="AJ674" s="101">
        <f>IF($F674="","",SUMIFS($J$5:$J674,$F$5:$F674,$F674))</f>
        <v>24000</v>
      </c>
      <c r="AK674" s="101">
        <f t="shared" si="115"/>
        <v>23501</v>
      </c>
      <c r="AL674" s="66" t="str" cm="1">
        <f t="array" ref="AL674">IF($F674="","",IFERROR(INDEX('Lot Balance'!$B$5:$B$500,MATCH(1,INDEX(('Lot Balance'!$A$5:$A$500=$F674)*('Lot Balance'!$K$5:$K$500&lt;$AK674)*('Lot Balance'!$K$5:$K$500+'Lot Balance'!$D$5:$D$500&gt;=$AK674),0),0)),""))</f>
        <v>O211LIC25-0</v>
      </c>
      <c r="AM674" s="66" t="str" cm="1">
        <f t="array" ref="AM674">IF($F674="","",IFERROR(INDEX('Lot Balance'!$B$5:$B$500,MATCH(1,INDEX(('Lot Balance'!$A$5:$A$500=$F674)*('Lot Balance'!$K$5:$K$500&lt;$AJ674)*('Lot Balance'!$K$5:$K$500+'Lot Balance'!$D$5:$D$500&gt;=$AJ674),0),0)),""))</f>
        <v>O211LIC25-0</v>
      </c>
      <c r="AN674" s="66" t="str">
        <f>IF($F674="","",IF($AI674&lt;&gt;"",IF(COUNTIFS('Lot Balance'!$A$5:$A$500,$F674,'Lot Balance'!$B$5:$B$500,$AI674)=0,"⚠ override is not a lot of this item",IF($AI674=$AL674,"Override = FEFO","Override - FEFO says "&amp;$AL674)),IF($AL674="","⚠ no receipt on file for this item",IF($AM674&lt;&gt;$AL674,"FEFO auto - split, also "&amp;$AM674,"FEFO auto"))))</f>
        <v>FEFO auto</v>
      </c>
      <c r="AO674" s="114"/>
    </row>
    <row r="675" spans="1:41" x14ac:dyDescent="0.35">
      <c r="A675" s="74">
        <v>46153</v>
      </c>
      <c r="B675" s="18" t="str">
        <f>IF($C675="","",IFERROR(INDEX('Staff Directory'!$A$5:$A$594,MATCH($C675,'Staff Directory'!$B$5:$B$594,0)),"⚠ unknown staff"))</f>
        <v>PSW-070-A6</v>
      </c>
      <c r="C675" s="49" t="s">
        <v>1046</v>
      </c>
      <c r="D675" s="19" t="str">
        <f>IF($B675="","",IFERROR(INDEX('Staff Directory'!$C$5:$C$594,MATCH($B675,'Staff Directory'!$A$5:$A$594,0)),""))</f>
        <v>PSW</v>
      </c>
      <c r="E675" s="19" t="str">
        <f>IF($B675="","",IFERROR(INDEX('Staff Directory'!$D$5:$D$594,MATCH($B675,'Staff Directory'!$A$5:$A$594,0)),""))</f>
        <v>A6</v>
      </c>
      <c r="F675" s="9" t="s">
        <v>115</v>
      </c>
      <c r="G675" s="18" t="str">
        <f>IF($F675="","",IFERROR(INDEX(Items!$B$5:$B$597,MATCH($F675,Items!$A$5:$A$597,0)),"⚠ not in Items"))</f>
        <v>Wipes</v>
      </c>
      <c r="H675" s="19">
        <f>IF($F675="","",IFERROR(INDEX(Items!$C$5:$C$597,MATCH($F675,Items!$A$5:$A$597,0)),""))</f>
        <v>80</v>
      </c>
      <c r="I675" s="23">
        <f>IF($F675="","",IFERROR(INDEX(Items!$E$5:$E$597,MATCH($F675,Items!$A$5:$A$597,0)),""))</f>
        <v>80</v>
      </c>
      <c r="J675" s="115">
        <f>IF(tblIssues[[#This Row],[Qty Override]]&lt;&gt;"",tblIssues[[#This Row],[Qty Override]],IF(tblIssues[[#This Row],[Standard Issue]]="","",tblIssues[[#This Row],[Standard Issue]]))</f>
        <v>80</v>
      </c>
      <c r="K675" s="20">
        <f>IF($F675="","",IFERROR(INDEX(Items!$D$5:$D$597,MATCH($F675,Items!$A$5:$A$597,0)),""))</f>
        <v>0.1</v>
      </c>
      <c r="L675" s="21">
        <f t="shared" si="116"/>
        <v>8</v>
      </c>
      <c r="M675" s="9" t="str">
        <f t="shared" si="117"/>
        <v>LYSL500290</v>
      </c>
      <c r="N675" s="24">
        <f>IF($A675="","",WORKDAY($A675,Settings!$C$9,HolidayDates))</f>
        <v>46161</v>
      </c>
      <c r="O675" s="24">
        <f>IF($N675="","",WORKDAY($N675,Settings!$C$10,HolidayDates))</f>
        <v>46199</v>
      </c>
      <c r="P675" s="10" t="s">
        <v>501</v>
      </c>
      <c r="Q675" s="52" t="str">
        <f t="shared" si="119"/>
        <v>Collected</v>
      </c>
      <c r="R675" s="55" t="str">
        <f t="shared" si="120"/>
        <v>2026-05</v>
      </c>
      <c r="S675" s="55">
        <f>IF(OR($B675="",$F675="",$R675=""),"",SUMIFS(tblIssues[Qty Issued],tblIssues[Staff ID],$B675,tblIssues[Item Name],$F675,tblIssues[Month],$R675))</f>
        <v>80</v>
      </c>
      <c r="T675" s="56">
        <f>IF($I675="","",$I675*Settings!$C$11)</f>
        <v>80</v>
      </c>
      <c r="U675" s="57" t="str">
        <f t="shared" si="118"/>
        <v>OK</v>
      </c>
      <c r="V675" s="55" t="str">
        <f t="shared" si="121"/>
        <v/>
      </c>
      <c r="W675" s="55" t="str">
        <f>IF($V675="","",IF(COUNTIF($V$5:$V675,$V675)=1,1,""))</f>
        <v/>
      </c>
      <c r="X675" s="58" t="str">
        <f>IF($W675="","",MAX($X$4:X674)+1)</f>
        <v/>
      </c>
      <c r="Y675" s="62"/>
      <c r="Z675" s="62"/>
      <c r="AA675" s="64" t="str">
        <f>IF($C675="","",IFERROR(INDEX('Staff Directory'!$E$5:$E$594,MATCH($C675,'Staff Directory'!$B$5:$B$594,0)),""))</f>
        <v>firstname130.lastname130@example.com</v>
      </c>
      <c r="AB675" s="64" t="str">
        <f>IF($C675="","",IF(ISNUMBER(SEARCH($D675,Settings!$C$15)),"Pickup","Dispatch"))</f>
        <v>Pickup</v>
      </c>
      <c r="AC675" s="64" t="str">
        <f t="shared" si="122"/>
        <v>Supply order ready for pickup</v>
      </c>
      <c r="AD675" s="64" t="str">
        <f t="shared" si="113"/>
        <v>Dear PSW,
Your order is ready for pickup from Sample Branch, Wed-Fri 9am-4pm.</v>
      </c>
      <c r="AE675" s="64" t="str">
        <f t="shared" si="114"/>
        <v>mailto:firstname130.lastname130@example.com?subject=Supply%20order%20ready%20for%20pickup&amp;body=Dear%20PSW%2C%0A%0AYour%20order%20is%20ready%20for%20pickup%20from%20Sample%20Branch%2C%20Wed-Fri%209am-4pm.</v>
      </c>
      <c r="AF675" s="89" t="str">
        <f t="shared" si="123"/>
        <v>Draft email</v>
      </c>
      <c r="AG675" s="64" t="str">
        <f>IF($C675="","",IFERROR(INDEX('Staff Directory'!$K$595:$K$599,MATCH($C675,'Staff Directory'!$B$5:$B$599,0)),$D675))</f>
        <v>PSW</v>
      </c>
      <c r="AH675" t="str">
        <f>IF($C675="","",IFERROR(INDEX('Staff Directory'!$I$595:$I$599,MATCH($C675,'Staff Directory'!$B$5:$B$599,0))&amp;" "&amp;INDEX('Staff Directory'!$J$595:$J$599,MATCH($C675,'Staff Directory'!$B$5:$B$599,0)),$AG675))</f>
        <v>PSW</v>
      </c>
      <c r="AI675" s="102"/>
      <c r="AJ675" s="101">
        <f>IF($F675="","",SUMIFS($J$5:$J675,$F$5:$F675,$F675))</f>
        <v>9440</v>
      </c>
      <c r="AK675" s="101">
        <f t="shared" si="115"/>
        <v>9361</v>
      </c>
      <c r="AL675" s="66" t="str" cm="1">
        <f t="array" ref="AL675">IF($F675="","",IFERROR(INDEX('Lot Balance'!$B$5:$B$500,MATCH(1,INDEX(('Lot Balance'!$A$5:$A$500=$F675)*('Lot Balance'!$K$5:$K$500&lt;$AK675)*('Lot Balance'!$K$5:$K$500+'Lot Balance'!$D$5:$D$500&gt;=$AK675),0),0)),""))</f>
        <v>LYSL500290</v>
      </c>
      <c r="AM675" s="66" t="str" cm="1">
        <f t="array" ref="AM675">IF($F675="","",IFERROR(INDEX('Lot Balance'!$B$5:$B$500,MATCH(1,INDEX(('Lot Balance'!$A$5:$A$500=$F675)*('Lot Balance'!$K$5:$K$500&lt;$AJ675)*('Lot Balance'!$K$5:$K$500+'Lot Balance'!$D$5:$D$500&gt;=$AJ675),0),0)),""))</f>
        <v>LYSL500290</v>
      </c>
      <c r="AN675" s="66" t="str">
        <f>IF($F675="","",IF($AI675&lt;&gt;"",IF(COUNTIFS('Lot Balance'!$A$5:$A$500,$F675,'Lot Balance'!$B$5:$B$500,$AI675)=0,"⚠ override is not a lot of this item",IF($AI675=$AL675,"Override = FEFO","Override - FEFO says "&amp;$AL675)),IF($AL675="","⚠ no receipt on file for this item",IF($AM675&lt;&gt;$AL675,"FEFO auto - split, also "&amp;$AM675,"FEFO auto"))))</f>
        <v>FEFO auto</v>
      </c>
      <c r="AO675" s="114"/>
    </row>
    <row r="676" spans="1:41" x14ac:dyDescent="0.35">
      <c r="A676" s="74">
        <v>46153</v>
      </c>
      <c r="B676" s="18" t="str">
        <f>IF($C676="","",IFERROR(INDEX('Staff Directory'!$A$5:$A$594,MATCH($C676,'Staff Directory'!$B$5:$B$594,0)),"⚠ unknown staff"))</f>
        <v>PSW-079-A5</v>
      </c>
      <c r="C676" s="49" t="s">
        <v>1055</v>
      </c>
      <c r="D676" s="19" t="str">
        <f>IF($B676="","",IFERROR(INDEX('Staff Directory'!$C$5:$C$594,MATCH($B676,'Staff Directory'!$A$5:$A$594,0)),""))</f>
        <v>PSW</v>
      </c>
      <c r="E676" s="19" t="str">
        <f>IF($B676="","",IFERROR(INDEX('Staff Directory'!$D$5:$D$594,MATCH($B676,'Staff Directory'!$A$5:$A$594,0)),""))</f>
        <v>A5</v>
      </c>
      <c r="F676" s="9" t="s">
        <v>129</v>
      </c>
      <c r="G676" s="18" t="str">
        <f>IF($F676="","",IFERROR(INDEX(Items!$B$5:$B$597,MATCH($F676,Items!$A$5:$A$597,0)),"⚠ not in Items"))</f>
        <v>Gloves</v>
      </c>
      <c r="H676" s="19" t="str">
        <f>IF($F676="","",IFERROR(INDEX(Items!$C$5:$C$597,MATCH($F676,Items!$A$5:$A$597,0)),""))</f>
        <v>Small</v>
      </c>
      <c r="I676" s="23">
        <f>IF($F676="","",IFERROR(INDEX(Items!$E$5:$E$597,MATCH($F676,Items!$A$5:$A$597,0)),""))</f>
        <v>500</v>
      </c>
      <c r="J676" s="115">
        <f>IF(tblIssues[[#This Row],[Qty Override]]&lt;&gt;"",tblIssues[[#This Row],[Qty Override]],IF(tblIssues[[#This Row],[Standard Issue]]="","",tblIssues[[#This Row],[Standard Issue]]))</f>
        <v>500</v>
      </c>
      <c r="K676" s="20">
        <f>IF($F676="","",IFERROR(INDEX(Items!$D$5:$D$597,MATCH($F676,Items!$A$5:$A$597,0)),""))</f>
        <v>5.5E-2</v>
      </c>
      <c r="L676" s="21">
        <f t="shared" si="116"/>
        <v>27.5</v>
      </c>
      <c r="M676" s="9" t="str">
        <f t="shared" si="117"/>
        <v>O211LIC25-0</v>
      </c>
      <c r="N676" s="24">
        <f>IF($A676="","",WORKDAY($A676,Settings!$C$9,HolidayDates))</f>
        <v>46161</v>
      </c>
      <c r="O676" s="24">
        <f>IF($N676="","",WORKDAY($N676,Settings!$C$10,HolidayDates))</f>
        <v>46199</v>
      </c>
      <c r="P676" s="10" t="s">
        <v>501</v>
      </c>
      <c r="Q676" s="52" t="str">
        <f t="shared" si="119"/>
        <v>Collected</v>
      </c>
      <c r="R676" s="55" t="str">
        <f t="shared" si="120"/>
        <v>2026-05</v>
      </c>
      <c r="S676" s="55">
        <f>IF(OR($B676="",$F676="",$R676=""),"",SUMIFS(tblIssues[Qty Issued],tblIssues[Staff ID],$B676,tblIssues[Item Name],$F676,tblIssues[Month],$R676))</f>
        <v>500</v>
      </c>
      <c r="T676" s="56">
        <f>IF($I676="","",$I676*Settings!$C$11)</f>
        <v>500</v>
      </c>
      <c r="U676" s="57" t="str">
        <f t="shared" si="118"/>
        <v>OK</v>
      </c>
      <c r="V676" s="55" t="str">
        <f t="shared" si="121"/>
        <v/>
      </c>
      <c r="W676" s="55" t="str">
        <f>IF($V676="","",IF(COUNTIF($V$5:$V676,$V676)=1,1,""))</f>
        <v/>
      </c>
      <c r="X676" s="58" t="str">
        <f>IF($W676="","",MAX($X$4:X675)+1)</f>
        <v/>
      </c>
      <c r="Y676" s="62"/>
      <c r="Z676" s="62"/>
      <c r="AA676" s="64" t="str">
        <f>IF($C676="","",IFERROR(INDEX('Staff Directory'!$E$5:$E$594,MATCH($C676,'Staff Directory'!$B$5:$B$594,0)),""))</f>
        <v>firstname139.lastname139@example.com</v>
      </c>
      <c r="AB676" s="64" t="str">
        <f>IF($C676="","",IF(ISNUMBER(SEARCH($D676,Settings!$C$15)),"Pickup","Dispatch"))</f>
        <v>Pickup</v>
      </c>
      <c r="AC676" s="64" t="str">
        <f t="shared" si="122"/>
        <v>Supply order ready for pickup</v>
      </c>
      <c r="AD676" s="64" t="str">
        <f t="shared" si="113"/>
        <v>Dear PSW,
Your order is ready for pickup from Sample Branch, Wed-Fri 9am-4pm.</v>
      </c>
      <c r="AE676" s="64" t="str">
        <f t="shared" si="114"/>
        <v>mailto:firstname139.lastname139@example.com?subject=Supply%20order%20ready%20for%20pickup&amp;body=Dear%20PSW%2C%0A%0AYour%20order%20is%20ready%20for%20pickup%20from%20Sample%20Branch%2C%20Wed-Fri%209am-4pm.</v>
      </c>
      <c r="AF676" s="89" t="str">
        <f t="shared" si="123"/>
        <v>Draft email</v>
      </c>
      <c r="AG676" s="64" t="str">
        <f>IF($C676="","",IFERROR(INDEX('Staff Directory'!$K$595:$K$599,MATCH($C676,'Staff Directory'!$B$5:$B$599,0)),$D676))</f>
        <v>PSW</v>
      </c>
      <c r="AH676" t="str">
        <f>IF($C676="","",IFERROR(INDEX('Staff Directory'!$I$595:$I$599,MATCH($C676,'Staff Directory'!$B$5:$B$599,0))&amp;" "&amp;INDEX('Staff Directory'!$J$595:$J$599,MATCH($C676,'Staff Directory'!$B$5:$B$599,0)),$AG676))</f>
        <v>PSW</v>
      </c>
      <c r="AI676" s="102"/>
      <c r="AJ676" s="101">
        <f>IF($F676="","",SUMIFS($J$5:$J676,$F$5:$F676,$F676))</f>
        <v>24500</v>
      </c>
      <c r="AK676" s="101">
        <f t="shared" si="115"/>
        <v>24001</v>
      </c>
      <c r="AL676" s="66" t="str" cm="1">
        <f t="array" ref="AL676">IF($F676="","",IFERROR(INDEX('Lot Balance'!$B$5:$B$500,MATCH(1,INDEX(('Lot Balance'!$A$5:$A$500=$F676)*('Lot Balance'!$K$5:$K$500&lt;$AK676)*('Lot Balance'!$K$5:$K$500+'Lot Balance'!$D$5:$D$500&gt;=$AK676),0),0)),""))</f>
        <v>O211LIC25-0</v>
      </c>
      <c r="AM676" s="66" t="str" cm="1">
        <f t="array" ref="AM676">IF($F676="","",IFERROR(INDEX('Lot Balance'!$B$5:$B$500,MATCH(1,INDEX(('Lot Balance'!$A$5:$A$500=$F676)*('Lot Balance'!$K$5:$K$500&lt;$AJ676)*('Lot Balance'!$K$5:$K$500+'Lot Balance'!$D$5:$D$500&gt;=$AJ676),0),0)),""))</f>
        <v>O211LIC25-0</v>
      </c>
      <c r="AN676" s="66" t="str">
        <f>IF($F676="","",IF($AI676&lt;&gt;"",IF(COUNTIFS('Lot Balance'!$A$5:$A$500,$F676,'Lot Balance'!$B$5:$B$500,$AI676)=0,"⚠ override is not a lot of this item",IF($AI676=$AL676,"Override = FEFO","Override - FEFO says "&amp;$AL676)),IF($AL676="","⚠ no receipt on file for this item",IF($AM676&lt;&gt;$AL676,"FEFO auto - split, also "&amp;$AM676,"FEFO auto"))))</f>
        <v>FEFO auto</v>
      </c>
      <c r="AO676" s="114"/>
    </row>
    <row r="677" spans="1:41" x14ac:dyDescent="0.35">
      <c r="A677" s="74">
        <v>46153</v>
      </c>
      <c r="B677" s="18" t="str">
        <f>IF($C677="","",IFERROR(INDEX('Staff Directory'!$A$5:$A$594,MATCH($C677,'Staff Directory'!$B$5:$B$594,0)),"⚠ unknown staff"))</f>
        <v>PSW-079-A5</v>
      </c>
      <c r="C677" s="49" t="s">
        <v>1055</v>
      </c>
      <c r="D677" s="19" t="str">
        <f>IF($B677="","",IFERROR(INDEX('Staff Directory'!$C$5:$C$594,MATCH($B677,'Staff Directory'!$A$5:$A$594,0)),""))</f>
        <v>PSW</v>
      </c>
      <c r="E677" s="19" t="str">
        <f>IF($B677="","",IFERROR(INDEX('Staff Directory'!$D$5:$D$594,MATCH($B677,'Staff Directory'!$A$5:$A$594,0)),""))</f>
        <v>A5</v>
      </c>
      <c r="F677" s="9" t="s">
        <v>191</v>
      </c>
      <c r="G677" s="18" t="str">
        <f>IF($F677="","",IFERROR(INDEX(Items!$B$5:$B$597,MATCH($F677,Items!$A$5:$A$597,0)),"⚠ not in Items"))</f>
        <v>Sanitizer</v>
      </c>
      <c r="H677" s="19" t="str">
        <f>IF($F677="","",IFERROR(INDEX(Items!$C$5:$C$597,MATCH($F677,Items!$A$5:$A$597,0)),""))</f>
        <v>236 ML</v>
      </c>
      <c r="I677" s="23">
        <f>IF($F677="","",IFERROR(INDEX(Items!$E$5:$E$597,MATCH($F677,Items!$A$5:$A$597,0)),""))</f>
        <v>1</v>
      </c>
      <c r="J677" s="115">
        <f>IF(tblIssues[[#This Row],[Qty Override]]&lt;&gt;"",tblIssues[[#This Row],[Qty Override]],IF(tblIssues[[#This Row],[Standard Issue]]="","",tblIssues[[#This Row],[Standard Issue]]))</f>
        <v>1</v>
      </c>
      <c r="K677" s="20">
        <f>IF($F677="","",IFERROR(INDEX(Items!$D$5:$D$597,MATCH($F677,Items!$A$5:$A$597,0)),""))</f>
        <v>1E-4</v>
      </c>
      <c r="L677" s="21">
        <f t="shared" si="116"/>
        <v>1E-4</v>
      </c>
      <c r="M677" s="9" t="str">
        <f t="shared" si="117"/>
        <v>20-21734-3</v>
      </c>
      <c r="N677" s="24">
        <f>IF($A677="","",WORKDAY($A677,Settings!$C$9,HolidayDates))</f>
        <v>46161</v>
      </c>
      <c r="O677" s="24">
        <f>IF($N677="","",WORKDAY($N677,Settings!$C$10,HolidayDates))</f>
        <v>46199</v>
      </c>
      <c r="P677" s="10" t="s">
        <v>501</v>
      </c>
      <c r="Q677" s="52" t="str">
        <f t="shared" si="119"/>
        <v>Collected</v>
      </c>
      <c r="R677" s="55" t="str">
        <f t="shared" si="120"/>
        <v>2026-05</v>
      </c>
      <c r="S677" s="55">
        <f>IF(OR($B677="",$F677="",$R677=""),"",SUMIFS(tblIssues[Qty Issued],tblIssues[Staff ID],$B677,tblIssues[Item Name],$F677,tblIssues[Month],$R677))</f>
        <v>1</v>
      </c>
      <c r="T677" s="56">
        <f>IF($I677="","",$I677*Settings!$C$11)</f>
        <v>1</v>
      </c>
      <c r="U677" s="57" t="str">
        <f t="shared" si="118"/>
        <v>OK</v>
      </c>
      <c r="V677" s="55" t="str">
        <f t="shared" si="121"/>
        <v/>
      </c>
      <c r="W677" s="55" t="str">
        <f>IF($V677="","",IF(COUNTIF($V$5:$V677,$V677)=1,1,""))</f>
        <v/>
      </c>
      <c r="X677" s="58" t="str">
        <f>IF($W677="","",MAX($X$4:X676)+1)</f>
        <v/>
      </c>
      <c r="Y677" s="62"/>
      <c r="Z677" s="62"/>
      <c r="AA677" s="64" t="str">
        <f>IF($C677="","",IFERROR(INDEX('Staff Directory'!$E$5:$E$594,MATCH($C677,'Staff Directory'!$B$5:$B$594,0)),""))</f>
        <v>firstname139.lastname139@example.com</v>
      </c>
      <c r="AB677" s="64" t="str">
        <f>IF($C677="","",IF(ISNUMBER(SEARCH($D677,Settings!$C$15)),"Pickup","Dispatch"))</f>
        <v>Pickup</v>
      </c>
      <c r="AC677" s="64" t="str">
        <f t="shared" si="122"/>
        <v>Supply order ready for pickup</v>
      </c>
      <c r="AD677" s="64" t="str">
        <f t="shared" si="113"/>
        <v>Dear PSW,
Your order is ready for pickup from Sample Branch, Wed-Fri 9am-4pm.</v>
      </c>
      <c r="AE677" s="64" t="str">
        <f t="shared" si="114"/>
        <v>mailto:firstname139.lastname139@example.com?subject=Supply%20order%20ready%20for%20pickup&amp;body=Dear%20PSW%2C%0A%0AYour%20order%20is%20ready%20for%20pickup%20from%20Sample%20Branch%2C%20Wed-Fri%209am-4pm.</v>
      </c>
      <c r="AF677" s="89" t="str">
        <f t="shared" si="123"/>
        <v>Draft email</v>
      </c>
      <c r="AG677" s="64" t="str">
        <f>IF($C677="","",IFERROR(INDEX('Staff Directory'!$K$595:$K$599,MATCH($C677,'Staff Directory'!$B$5:$B$599,0)),$D677))</f>
        <v>PSW</v>
      </c>
      <c r="AH677" t="str">
        <f>IF($C677="","",IFERROR(INDEX('Staff Directory'!$I$595:$I$599,MATCH($C677,'Staff Directory'!$B$5:$B$599,0))&amp;" "&amp;INDEX('Staff Directory'!$J$595:$J$599,MATCH($C677,'Staff Directory'!$B$5:$B$599,0)),$AG677))</f>
        <v>PSW</v>
      </c>
      <c r="AI677" s="102"/>
      <c r="AJ677" s="101">
        <f>IF($F677="","",SUMIFS($J$5:$J677,$F$5:$F677,$F677))</f>
        <v>77</v>
      </c>
      <c r="AK677" s="101">
        <f t="shared" si="115"/>
        <v>77</v>
      </c>
      <c r="AL677" s="66" t="str" cm="1">
        <f t="array" ref="AL677">IF($F677="","",IFERROR(INDEX('Lot Balance'!$B$5:$B$500,MATCH(1,INDEX(('Lot Balance'!$A$5:$A$500=$F677)*('Lot Balance'!$K$5:$K$500&lt;$AK677)*('Lot Balance'!$K$5:$K$500+'Lot Balance'!$D$5:$D$500&gt;=$AK677),0),0)),""))</f>
        <v>20-21734-3</v>
      </c>
      <c r="AM677" s="66" t="str" cm="1">
        <f t="array" ref="AM677">IF($F677="","",IFERROR(INDEX('Lot Balance'!$B$5:$B$500,MATCH(1,INDEX(('Lot Balance'!$A$5:$A$500=$F677)*('Lot Balance'!$K$5:$K$500&lt;$AJ677)*('Lot Balance'!$K$5:$K$500+'Lot Balance'!$D$5:$D$500&gt;=$AJ677),0),0)),""))</f>
        <v>20-21734-3</v>
      </c>
      <c r="AN677" s="66" t="str">
        <f>IF($F677="","",IF($AI677&lt;&gt;"",IF(COUNTIFS('Lot Balance'!$A$5:$A$500,$F677,'Lot Balance'!$B$5:$B$500,$AI677)=0,"⚠ override is not a lot of this item",IF($AI677=$AL677,"Override = FEFO","Override - FEFO says "&amp;$AL677)),IF($AL677="","⚠ no receipt on file for this item",IF($AM677&lt;&gt;$AL677,"FEFO auto - split, also "&amp;$AM677,"FEFO auto"))))</f>
        <v>FEFO auto</v>
      </c>
      <c r="AO677" s="114"/>
    </row>
    <row r="678" spans="1:41" x14ac:dyDescent="0.35">
      <c r="A678" s="74">
        <v>46153</v>
      </c>
      <c r="B678" s="18" t="str">
        <f>IF($C678="","",IFERROR(INDEX('Staff Directory'!$A$5:$A$594,MATCH($C678,'Staff Directory'!$B$5:$B$594,0)),"⚠ unknown staff"))</f>
        <v>PSW-079-A5</v>
      </c>
      <c r="C678" s="49" t="s">
        <v>1055</v>
      </c>
      <c r="D678" s="19" t="str">
        <f>IF($B678="","",IFERROR(INDEX('Staff Directory'!$C$5:$C$594,MATCH($B678,'Staff Directory'!$A$5:$A$594,0)),""))</f>
        <v>PSW</v>
      </c>
      <c r="E678" s="19" t="str">
        <f>IF($B678="","",IFERROR(INDEX('Staff Directory'!$D$5:$D$594,MATCH($B678,'Staff Directory'!$A$5:$A$594,0)),""))</f>
        <v>A5</v>
      </c>
      <c r="F678" s="9" t="s">
        <v>115</v>
      </c>
      <c r="G678" s="18" t="str">
        <f>IF($F678="","",IFERROR(INDEX(Items!$B$5:$B$597,MATCH($F678,Items!$A$5:$A$597,0)),"⚠ not in Items"))</f>
        <v>Wipes</v>
      </c>
      <c r="H678" s="19">
        <f>IF($F678="","",IFERROR(INDEX(Items!$C$5:$C$597,MATCH($F678,Items!$A$5:$A$597,0)),""))</f>
        <v>80</v>
      </c>
      <c r="I678" s="23">
        <f>IF($F678="","",IFERROR(INDEX(Items!$E$5:$E$597,MATCH($F678,Items!$A$5:$A$597,0)),""))</f>
        <v>80</v>
      </c>
      <c r="J678" s="115">
        <f>IF(tblIssues[[#This Row],[Qty Override]]&lt;&gt;"",tblIssues[[#This Row],[Qty Override]],IF(tblIssues[[#This Row],[Standard Issue]]="","",tblIssues[[#This Row],[Standard Issue]]))</f>
        <v>80</v>
      </c>
      <c r="K678" s="20">
        <f>IF($F678="","",IFERROR(INDEX(Items!$D$5:$D$597,MATCH($F678,Items!$A$5:$A$597,0)),""))</f>
        <v>0.1</v>
      </c>
      <c r="L678" s="21">
        <f t="shared" si="116"/>
        <v>8</v>
      </c>
      <c r="M678" s="9" t="str">
        <f t="shared" si="117"/>
        <v>LYSL500290</v>
      </c>
      <c r="N678" s="24">
        <f>IF($A678="","",WORKDAY($A678,Settings!$C$9,HolidayDates))</f>
        <v>46161</v>
      </c>
      <c r="O678" s="24">
        <f>IF($N678="","",WORKDAY($N678,Settings!$C$10,HolidayDates))</f>
        <v>46199</v>
      </c>
      <c r="P678" s="10" t="s">
        <v>501</v>
      </c>
      <c r="Q678" s="52" t="str">
        <f t="shared" si="119"/>
        <v>Collected</v>
      </c>
      <c r="R678" s="55" t="str">
        <f t="shared" si="120"/>
        <v>2026-05</v>
      </c>
      <c r="S678" s="55">
        <f>IF(OR($B678="",$F678="",$R678=""),"",SUMIFS(tblIssues[Qty Issued],tblIssues[Staff ID],$B678,tblIssues[Item Name],$F678,tblIssues[Month],$R678))</f>
        <v>80</v>
      </c>
      <c r="T678" s="56">
        <f>IF($I678="","",$I678*Settings!$C$11)</f>
        <v>80</v>
      </c>
      <c r="U678" s="57" t="str">
        <f t="shared" si="118"/>
        <v>OK</v>
      </c>
      <c r="V678" s="55" t="str">
        <f t="shared" si="121"/>
        <v/>
      </c>
      <c r="W678" s="55" t="str">
        <f>IF($V678="","",IF(COUNTIF($V$5:$V678,$V678)=1,1,""))</f>
        <v/>
      </c>
      <c r="X678" s="58" t="str">
        <f>IF($W678="","",MAX($X$4:X677)+1)</f>
        <v/>
      </c>
      <c r="Y678" s="62"/>
      <c r="Z678" s="62"/>
      <c r="AA678" s="64" t="str">
        <f>IF($C678="","",IFERROR(INDEX('Staff Directory'!$E$5:$E$594,MATCH($C678,'Staff Directory'!$B$5:$B$594,0)),""))</f>
        <v>firstname139.lastname139@example.com</v>
      </c>
      <c r="AB678" s="64" t="str">
        <f>IF($C678="","",IF(ISNUMBER(SEARCH($D678,Settings!$C$15)),"Pickup","Dispatch"))</f>
        <v>Pickup</v>
      </c>
      <c r="AC678" s="64" t="str">
        <f t="shared" si="122"/>
        <v>Supply order ready for pickup</v>
      </c>
      <c r="AD678" s="64" t="str">
        <f t="shared" si="113"/>
        <v>Dear PSW,
Your order is ready for pickup from Sample Branch, Wed-Fri 9am-4pm.</v>
      </c>
      <c r="AE678" s="64" t="str">
        <f t="shared" si="114"/>
        <v>mailto:firstname139.lastname139@example.com?subject=Supply%20order%20ready%20for%20pickup&amp;body=Dear%20PSW%2C%0A%0AYour%20order%20is%20ready%20for%20pickup%20from%20Sample%20Branch%2C%20Wed-Fri%209am-4pm.</v>
      </c>
      <c r="AF678" s="89" t="str">
        <f t="shared" si="123"/>
        <v>Draft email</v>
      </c>
      <c r="AG678" s="64" t="str">
        <f>IF($C678="","",IFERROR(INDEX('Staff Directory'!$K$595:$K$599,MATCH($C678,'Staff Directory'!$B$5:$B$599,0)),$D678))</f>
        <v>PSW</v>
      </c>
      <c r="AH678" t="str">
        <f>IF($C678="","",IFERROR(INDEX('Staff Directory'!$I$595:$I$599,MATCH($C678,'Staff Directory'!$B$5:$B$599,0))&amp;" "&amp;INDEX('Staff Directory'!$J$595:$J$599,MATCH($C678,'Staff Directory'!$B$5:$B$599,0)),$AG678))</f>
        <v>PSW</v>
      </c>
      <c r="AI678" s="102"/>
      <c r="AJ678" s="101">
        <f>IF($F678="","",SUMIFS($J$5:$J678,$F$5:$F678,$F678))</f>
        <v>9520</v>
      </c>
      <c r="AK678" s="101">
        <f t="shared" si="115"/>
        <v>9441</v>
      </c>
      <c r="AL678" s="66" t="str" cm="1">
        <f t="array" ref="AL678">IF($F678="","",IFERROR(INDEX('Lot Balance'!$B$5:$B$500,MATCH(1,INDEX(('Lot Balance'!$A$5:$A$500=$F678)*('Lot Balance'!$K$5:$K$500&lt;$AK678)*('Lot Balance'!$K$5:$K$500+'Lot Balance'!$D$5:$D$500&gt;=$AK678),0),0)),""))</f>
        <v>LYSL500290</v>
      </c>
      <c r="AM678" s="66" t="str" cm="1">
        <f t="array" ref="AM678">IF($F678="","",IFERROR(INDEX('Lot Balance'!$B$5:$B$500,MATCH(1,INDEX(('Lot Balance'!$A$5:$A$500=$F678)*('Lot Balance'!$K$5:$K$500&lt;$AJ678)*('Lot Balance'!$K$5:$K$500+'Lot Balance'!$D$5:$D$500&gt;=$AJ678),0),0)),""))</f>
        <v>LYSL500290</v>
      </c>
      <c r="AN678" s="66" t="str">
        <f>IF($F678="","",IF($AI678&lt;&gt;"",IF(COUNTIFS('Lot Balance'!$A$5:$A$500,$F678,'Lot Balance'!$B$5:$B$500,$AI678)=0,"⚠ override is not a lot of this item",IF($AI678=$AL678,"Override = FEFO","Override - FEFO says "&amp;$AL678)),IF($AL678="","⚠ no receipt on file for this item",IF($AM678&lt;&gt;$AL678,"FEFO auto - split, also "&amp;$AM678,"FEFO auto"))))</f>
        <v>FEFO auto</v>
      </c>
      <c r="AO678" s="114"/>
    </row>
    <row r="679" spans="1:41" x14ac:dyDescent="0.35">
      <c r="A679" s="74">
        <v>46153</v>
      </c>
      <c r="B679" s="18" t="str">
        <f>IF($C679="","",IFERROR(INDEX('Staff Directory'!$A$5:$A$594,MATCH($C679,'Staff Directory'!$B$5:$B$594,0)),"⚠ unknown staff"))</f>
        <v>PSW-079-A5</v>
      </c>
      <c r="C679" s="49" t="s">
        <v>1055</v>
      </c>
      <c r="D679" s="19" t="str">
        <f>IF($B679="","",IFERROR(INDEX('Staff Directory'!$C$5:$C$594,MATCH($B679,'Staff Directory'!$A$5:$A$594,0)),""))</f>
        <v>PSW</v>
      </c>
      <c r="E679" s="19" t="str">
        <f>IF($B679="","",IFERROR(INDEX('Staff Directory'!$D$5:$D$594,MATCH($B679,'Staff Directory'!$A$5:$A$594,0)),""))</f>
        <v>A5</v>
      </c>
      <c r="F679" s="9" t="s">
        <v>156</v>
      </c>
      <c r="G679" s="18" t="str">
        <f>IF($F679="","",IFERROR(INDEX(Items!$B$5:$B$597,MATCH($F679,Items!$A$5:$A$597,0)),"⚠ not in Items"))</f>
        <v>Masks</v>
      </c>
      <c r="H679" s="19" t="str">
        <f>IF($F679="","",IFERROR(INDEX(Items!$C$5:$C$597,MATCH($F679,Items!$A$5:$A$597,0)),""))</f>
        <v>One Size</v>
      </c>
      <c r="I679" s="23">
        <f>IF($F679="","",IFERROR(INDEX(Items!$E$5:$E$597,MATCH($F679,Items!$A$5:$A$597,0)),""))</f>
        <v>50</v>
      </c>
      <c r="J679" s="115">
        <f>IF(tblIssues[[#This Row],[Qty Override]]&lt;&gt;"",tblIssues[[#This Row],[Qty Override]],IF(tblIssues[[#This Row],[Standard Issue]]="","",tblIssues[[#This Row],[Standard Issue]]))</f>
        <v>50</v>
      </c>
      <c r="K679" s="20">
        <f>IF($F679="","",IFERROR(INDEX(Items!$D$5:$D$597,MATCH($F679,Items!$A$5:$A$597,0)),""))</f>
        <v>0.25</v>
      </c>
      <c r="L679" s="21">
        <f t="shared" si="116"/>
        <v>12.5</v>
      </c>
      <c r="M679" s="9" t="str">
        <f t="shared" si="117"/>
        <v>0125FPC24-0</v>
      </c>
      <c r="N679" s="24">
        <f>IF($A679="","",WORKDAY($A679,Settings!$C$9,HolidayDates))</f>
        <v>46161</v>
      </c>
      <c r="O679" s="24">
        <f>IF($N679="","",WORKDAY($N679,Settings!$C$10,HolidayDates))</f>
        <v>46199</v>
      </c>
      <c r="P679" s="10" t="s">
        <v>501</v>
      </c>
      <c r="Q679" s="52" t="str">
        <f t="shared" si="119"/>
        <v>Collected</v>
      </c>
      <c r="R679" s="55" t="str">
        <f t="shared" si="120"/>
        <v>2026-05</v>
      </c>
      <c r="S679" s="55">
        <f>IF(OR($B679="",$F679="",$R679=""),"",SUMIFS(tblIssues[Qty Issued],tblIssues[Staff ID],$B679,tblIssues[Item Name],$F679,tblIssues[Month],$R679))</f>
        <v>50</v>
      </c>
      <c r="T679" s="56">
        <f>IF($I679="","",$I679*Settings!$C$11)</f>
        <v>50</v>
      </c>
      <c r="U679" s="57" t="str">
        <f t="shared" si="118"/>
        <v>OK</v>
      </c>
      <c r="V679" s="55" t="str">
        <f t="shared" si="121"/>
        <v/>
      </c>
      <c r="W679" s="55" t="str">
        <f>IF($V679="","",IF(COUNTIF($V$5:$V679,$V679)=1,1,""))</f>
        <v/>
      </c>
      <c r="X679" s="58" t="str">
        <f>IF($W679="","",MAX($X$4:X678)+1)</f>
        <v/>
      </c>
      <c r="Y679" s="62"/>
      <c r="Z679" s="62"/>
      <c r="AA679" s="64" t="str">
        <f>IF($C679="","",IFERROR(INDEX('Staff Directory'!$E$5:$E$594,MATCH($C679,'Staff Directory'!$B$5:$B$594,0)),""))</f>
        <v>firstname139.lastname139@example.com</v>
      </c>
      <c r="AB679" s="64" t="str">
        <f>IF($C679="","",IF(ISNUMBER(SEARCH($D679,Settings!$C$15)),"Pickup","Dispatch"))</f>
        <v>Pickup</v>
      </c>
      <c r="AC679" s="64" t="str">
        <f t="shared" si="122"/>
        <v>Supply order ready for pickup</v>
      </c>
      <c r="AD679" s="64" t="str">
        <f t="shared" si="113"/>
        <v>Dear PSW,
Your order is ready for pickup from Sample Branch, Wed-Fri 9am-4pm.</v>
      </c>
      <c r="AE679" s="64" t="str">
        <f t="shared" si="114"/>
        <v>mailto:firstname139.lastname139@example.com?subject=Supply%20order%20ready%20for%20pickup&amp;body=Dear%20PSW%2C%0A%0AYour%20order%20is%20ready%20for%20pickup%20from%20Sample%20Branch%2C%20Wed-Fri%209am-4pm.</v>
      </c>
      <c r="AF679" s="89" t="str">
        <f t="shared" si="123"/>
        <v>Draft email</v>
      </c>
      <c r="AG679" s="64" t="str">
        <f>IF($C679="","",IFERROR(INDEX('Staff Directory'!$K$595:$K$599,MATCH($C679,'Staff Directory'!$B$5:$B$599,0)),$D679))</f>
        <v>PSW</v>
      </c>
      <c r="AH679" t="str">
        <f>IF($C679="","",IFERROR(INDEX('Staff Directory'!$I$595:$I$599,MATCH($C679,'Staff Directory'!$B$5:$B$599,0))&amp;" "&amp;INDEX('Staff Directory'!$J$595:$J$599,MATCH($C679,'Staff Directory'!$B$5:$B$599,0)),$AG679))</f>
        <v>PSW</v>
      </c>
      <c r="AI679" s="102"/>
      <c r="AJ679" s="101">
        <f>IF($F679="","",SUMIFS($J$5:$J679,$F$5:$F679,$F679))</f>
        <v>5500</v>
      </c>
      <c r="AK679" s="101">
        <f t="shared" si="115"/>
        <v>5451</v>
      </c>
      <c r="AL679" s="66" t="str" cm="1">
        <f t="array" ref="AL679">IF($F679="","",IFERROR(INDEX('Lot Balance'!$B$5:$B$500,MATCH(1,INDEX(('Lot Balance'!$A$5:$A$500=$F679)*('Lot Balance'!$K$5:$K$500&lt;$AK679)*('Lot Balance'!$K$5:$K$500+'Lot Balance'!$D$5:$D$500&gt;=$AK679),0),0)),""))</f>
        <v>0125FPC24-0</v>
      </c>
      <c r="AM679" s="66" t="str" cm="1">
        <f t="array" ref="AM679">IF($F679="","",IFERROR(INDEX('Lot Balance'!$B$5:$B$500,MATCH(1,INDEX(('Lot Balance'!$A$5:$A$500=$F679)*('Lot Balance'!$K$5:$K$500&lt;$AJ679)*('Lot Balance'!$K$5:$K$500+'Lot Balance'!$D$5:$D$500&gt;=$AJ679),0),0)),""))</f>
        <v>0125FPC24-0</v>
      </c>
      <c r="AN679" s="66" t="str">
        <f>IF($F679="","",IF($AI679&lt;&gt;"",IF(COUNTIFS('Lot Balance'!$A$5:$A$500,$F679,'Lot Balance'!$B$5:$B$500,$AI679)=0,"⚠ override is not a lot of this item",IF($AI679=$AL679,"Override = FEFO","Override - FEFO says "&amp;$AL679)),IF($AL679="","⚠ no receipt on file for this item",IF($AM679&lt;&gt;$AL679,"FEFO auto - split, also "&amp;$AM679,"FEFO auto"))))</f>
        <v>FEFO auto</v>
      </c>
      <c r="AO679" s="114"/>
    </row>
    <row r="680" spans="1:41" x14ac:dyDescent="0.35">
      <c r="A680" s="74">
        <v>46153</v>
      </c>
      <c r="B680" s="18" t="str">
        <f>IF($C680="","",IFERROR(INDEX('Staff Directory'!$A$5:$A$594,MATCH($C680,'Staff Directory'!$B$5:$B$594,0)),"⚠ unknown staff"))</f>
        <v>PSW-087-A4</v>
      </c>
      <c r="C680" s="49" t="s">
        <v>1063</v>
      </c>
      <c r="D680" s="19" t="str">
        <f>IF($B680="","",IFERROR(INDEX('Staff Directory'!$C$5:$C$594,MATCH($B680,'Staff Directory'!$A$5:$A$594,0)),""))</f>
        <v>PSW</v>
      </c>
      <c r="E680" s="19" t="str">
        <f>IF($B680="","",IFERROR(INDEX('Staff Directory'!$D$5:$D$594,MATCH($B680,'Staff Directory'!$A$5:$A$594,0)),""))</f>
        <v>A4</v>
      </c>
      <c r="F680" s="9" t="s">
        <v>129</v>
      </c>
      <c r="G680" s="18" t="str">
        <f>IF($F680="","",IFERROR(INDEX(Items!$B$5:$B$597,MATCH($F680,Items!$A$5:$A$597,0)),"⚠ not in Items"))</f>
        <v>Gloves</v>
      </c>
      <c r="H680" s="19" t="str">
        <f>IF($F680="","",IFERROR(INDEX(Items!$C$5:$C$597,MATCH($F680,Items!$A$5:$A$597,0)),""))</f>
        <v>Small</v>
      </c>
      <c r="I680" s="23">
        <f>IF($F680="","",IFERROR(INDEX(Items!$E$5:$E$597,MATCH($F680,Items!$A$5:$A$597,0)),""))</f>
        <v>500</v>
      </c>
      <c r="J680" s="115">
        <f>IF(tblIssues[[#This Row],[Qty Override]]&lt;&gt;"",tblIssues[[#This Row],[Qty Override]],IF(tblIssues[[#This Row],[Standard Issue]]="","",tblIssues[[#This Row],[Standard Issue]]))</f>
        <v>500</v>
      </c>
      <c r="K680" s="20">
        <f>IF($F680="","",IFERROR(INDEX(Items!$D$5:$D$597,MATCH($F680,Items!$A$5:$A$597,0)),""))</f>
        <v>5.5E-2</v>
      </c>
      <c r="L680" s="21">
        <f t="shared" si="116"/>
        <v>27.5</v>
      </c>
      <c r="M680" s="9" t="str">
        <f t="shared" si="117"/>
        <v>O211LIC25-0</v>
      </c>
      <c r="N680" s="24">
        <f>IF($A680="","",WORKDAY($A680,Settings!$C$9,HolidayDates))</f>
        <v>46161</v>
      </c>
      <c r="O680" s="24">
        <f>IF($N680="","",WORKDAY($N680,Settings!$C$10,HolidayDates))</f>
        <v>46199</v>
      </c>
      <c r="P680" s="10" t="s">
        <v>501</v>
      </c>
      <c r="Q680" s="52" t="str">
        <f t="shared" si="119"/>
        <v>Collected</v>
      </c>
      <c r="R680" s="55" t="str">
        <f t="shared" si="120"/>
        <v>2026-05</v>
      </c>
      <c r="S680" s="55">
        <f>IF(OR($B680="",$F680="",$R680=""),"",SUMIFS(tblIssues[Qty Issued],tblIssues[Staff ID],$B680,tblIssues[Item Name],$F680,tblIssues[Month],$R680))</f>
        <v>500</v>
      </c>
      <c r="T680" s="56">
        <f>IF($I680="","",$I680*Settings!$C$11)</f>
        <v>500</v>
      </c>
      <c r="U680" s="57" t="str">
        <f t="shared" si="118"/>
        <v>OK</v>
      </c>
      <c r="V680" s="55" t="str">
        <f t="shared" si="121"/>
        <v/>
      </c>
      <c r="W680" s="55" t="str">
        <f>IF($V680="","",IF(COUNTIF($V$5:$V680,$V680)=1,1,""))</f>
        <v/>
      </c>
      <c r="X680" s="58" t="str">
        <f>IF($W680="","",MAX($X$4:X679)+1)</f>
        <v/>
      </c>
      <c r="Y680" s="62"/>
      <c r="Z680" s="62"/>
      <c r="AA680" s="64" t="str">
        <f>IF($C680="","",IFERROR(INDEX('Staff Directory'!$E$5:$E$594,MATCH($C680,'Staff Directory'!$B$5:$B$594,0)),""))</f>
        <v>firstname147.lastname147@example.com</v>
      </c>
      <c r="AB680" s="64" t="str">
        <f>IF($C680="","",IF(ISNUMBER(SEARCH($D680,Settings!$C$15)),"Pickup","Dispatch"))</f>
        <v>Pickup</v>
      </c>
      <c r="AC680" s="64" t="str">
        <f t="shared" si="122"/>
        <v>Supply order ready for pickup</v>
      </c>
      <c r="AD680" s="64" t="str">
        <f t="shared" si="113"/>
        <v>Dear PSW,
Your order is ready for pickup from Sample Branch, Wed-Fri 9am-4pm.</v>
      </c>
      <c r="AE680" s="64" t="str">
        <f t="shared" si="114"/>
        <v>mailto:firstname147.lastname147@example.com?subject=Supply%20order%20ready%20for%20pickup&amp;body=Dear%20PSW%2C%0A%0AYour%20order%20is%20ready%20for%20pickup%20from%20Sample%20Branch%2C%20Wed-Fri%209am-4pm.</v>
      </c>
      <c r="AF680" s="89" t="str">
        <f t="shared" si="123"/>
        <v>Draft email</v>
      </c>
      <c r="AG680" s="64" t="str">
        <f>IF($C680="","",IFERROR(INDEX('Staff Directory'!$K$595:$K$599,MATCH($C680,'Staff Directory'!$B$5:$B$599,0)),$D680))</f>
        <v>PSW</v>
      </c>
      <c r="AH680" t="str">
        <f>IF($C680="","",IFERROR(INDEX('Staff Directory'!$I$595:$I$599,MATCH($C680,'Staff Directory'!$B$5:$B$599,0))&amp;" "&amp;INDEX('Staff Directory'!$J$595:$J$599,MATCH($C680,'Staff Directory'!$B$5:$B$599,0)),$AG680))</f>
        <v>PSW</v>
      </c>
      <c r="AI680" s="102"/>
      <c r="AJ680" s="101">
        <f>IF($F680="","",SUMIFS($J$5:$J680,$F$5:$F680,$F680))</f>
        <v>25000</v>
      </c>
      <c r="AK680" s="101">
        <f t="shared" si="115"/>
        <v>24501</v>
      </c>
      <c r="AL680" s="66" t="str" cm="1">
        <f t="array" ref="AL680">IF($F680="","",IFERROR(INDEX('Lot Balance'!$B$5:$B$500,MATCH(1,INDEX(('Lot Balance'!$A$5:$A$500=$F680)*('Lot Balance'!$K$5:$K$500&lt;$AK680)*('Lot Balance'!$K$5:$K$500+'Lot Balance'!$D$5:$D$500&gt;=$AK680),0),0)),""))</f>
        <v>O211LIC25-0</v>
      </c>
      <c r="AM680" s="66" t="str" cm="1">
        <f t="array" ref="AM680">IF($F680="","",IFERROR(INDEX('Lot Balance'!$B$5:$B$500,MATCH(1,INDEX(('Lot Balance'!$A$5:$A$500=$F680)*('Lot Balance'!$K$5:$K$500&lt;$AJ680)*('Lot Balance'!$K$5:$K$500+'Lot Balance'!$D$5:$D$500&gt;=$AJ680),0),0)),""))</f>
        <v>O211LIC25-0</v>
      </c>
      <c r="AN680" s="66" t="str">
        <f>IF($F680="","",IF($AI680&lt;&gt;"",IF(COUNTIFS('Lot Balance'!$A$5:$A$500,$F680,'Lot Balance'!$B$5:$B$500,$AI680)=0,"⚠ override is not a lot of this item",IF($AI680=$AL680,"Override = FEFO","Override - FEFO says "&amp;$AL680)),IF($AL680="","⚠ no receipt on file for this item",IF($AM680&lt;&gt;$AL680,"FEFO auto - split, also "&amp;$AM680,"FEFO auto"))))</f>
        <v>FEFO auto</v>
      </c>
      <c r="AO680" s="114"/>
    </row>
    <row r="681" spans="1:41" x14ac:dyDescent="0.35">
      <c r="A681" s="74">
        <v>46153</v>
      </c>
      <c r="B681" s="18" t="str">
        <f>IF($C681="","",IFERROR(INDEX('Staff Directory'!$A$5:$A$594,MATCH($C681,'Staff Directory'!$B$5:$B$594,0)),"⚠ unknown staff"))</f>
        <v>PSW-087-A4</v>
      </c>
      <c r="C681" s="49" t="s">
        <v>1063</v>
      </c>
      <c r="D681" s="19" t="str">
        <f>IF($B681="","",IFERROR(INDEX('Staff Directory'!$C$5:$C$594,MATCH($B681,'Staff Directory'!$A$5:$A$594,0)),""))</f>
        <v>PSW</v>
      </c>
      <c r="E681" s="19" t="str">
        <f>IF($B681="","",IFERROR(INDEX('Staff Directory'!$D$5:$D$594,MATCH($B681,'Staff Directory'!$A$5:$A$594,0)),""))</f>
        <v>A4</v>
      </c>
      <c r="F681" s="9" t="s">
        <v>191</v>
      </c>
      <c r="G681" s="18" t="str">
        <f>IF($F681="","",IFERROR(INDEX(Items!$B$5:$B$597,MATCH($F681,Items!$A$5:$A$597,0)),"⚠ not in Items"))</f>
        <v>Sanitizer</v>
      </c>
      <c r="H681" s="19" t="str">
        <f>IF($F681="","",IFERROR(INDEX(Items!$C$5:$C$597,MATCH($F681,Items!$A$5:$A$597,0)),""))</f>
        <v>236 ML</v>
      </c>
      <c r="I681" s="23">
        <f>IF($F681="","",IFERROR(INDEX(Items!$E$5:$E$597,MATCH($F681,Items!$A$5:$A$597,0)),""))</f>
        <v>1</v>
      </c>
      <c r="J681" s="115">
        <f>IF(tblIssues[[#This Row],[Qty Override]]&lt;&gt;"",tblIssues[[#This Row],[Qty Override]],IF(tblIssues[[#This Row],[Standard Issue]]="","",tblIssues[[#This Row],[Standard Issue]]))</f>
        <v>1</v>
      </c>
      <c r="K681" s="20">
        <f>IF($F681="","",IFERROR(INDEX(Items!$D$5:$D$597,MATCH($F681,Items!$A$5:$A$597,0)),""))</f>
        <v>1E-4</v>
      </c>
      <c r="L681" s="21">
        <f t="shared" si="116"/>
        <v>1E-4</v>
      </c>
      <c r="M681" s="9" t="str">
        <f t="shared" si="117"/>
        <v>20-21734-3</v>
      </c>
      <c r="N681" s="24">
        <f>IF($A681="","",WORKDAY($A681,Settings!$C$9,HolidayDates))</f>
        <v>46161</v>
      </c>
      <c r="O681" s="24">
        <f>IF($N681="","",WORKDAY($N681,Settings!$C$10,HolidayDates))</f>
        <v>46199</v>
      </c>
      <c r="P681" s="10" t="s">
        <v>501</v>
      </c>
      <c r="Q681" s="52" t="str">
        <f t="shared" si="119"/>
        <v>Collected</v>
      </c>
      <c r="R681" s="55" t="str">
        <f t="shared" si="120"/>
        <v>2026-05</v>
      </c>
      <c r="S681" s="55">
        <f>IF(OR($B681="",$F681="",$R681=""),"",SUMIFS(tblIssues[Qty Issued],tblIssues[Staff ID],$B681,tblIssues[Item Name],$F681,tblIssues[Month],$R681))</f>
        <v>1</v>
      </c>
      <c r="T681" s="56">
        <f>IF($I681="","",$I681*Settings!$C$11)</f>
        <v>1</v>
      </c>
      <c r="U681" s="57" t="str">
        <f t="shared" si="118"/>
        <v>OK</v>
      </c>
      <c r="V681" s="55" t="str">
        <f t="shared" si="121"/>
        <v/>
      </c>
      <c r="W681" s="55" t="str">
        <f>IF($V681="","",IF(COUNTIF($V$5:$V681,$V681)=1,1,""))</f>
        <v/>
      </c>
      <c r="X681" s="58" t="str">
        <f>IF($W681="","",MAX($X$4:X680)+1)</f>
        <v/>
      </c>
      <c r="Y681" s="62"/>
      <c r="Z681" s="62"/>
      <c r="AA681" s="64" t="str">
        <f>IF($C681="","",IFERROR(INDEX('Staff Directory'!$E$5:$E$594,MATCH($C681,'Staff Directory'!$B$5:$B$594,0)),""))</f>
        <v>firstname147.lastname147@example.com</v>
      </c>
      <c r="AB681" s="64" t="str">
        <f>IF($C681="","",IF(ISNUMBER(SEARCH($D681,Settings!$C$15)),"Pickup","Dispatch"))</f>
        <v>Pickup</v>
      </c>
      <c r="AC681" s="64" t="str">
        <f t="shared" si="122"/>
        <v>Supply order ready for pickup</v>
      </c>
      <c r="AD681" s="64" t="str">
        <f t="shared" si="113"/>
        <v>Dear PSW,
Your order is ready for pickup from Sample Branch, Wed-Fri 9am-4pm.</v>
      </c>
      <c r="AE681" s="64" t="str">
        <f t="shared" si="114"/>
        <v>mailto:firstname147.lastname147@example.com?subject=Supply%20order%20ready%20for%20pickup&amp;body=Dear%20PSW%2C%0A%0AYour%20order%20is%20ready%20for%20pickup%20from%20Sample%20Branch%2C%20Wed-Fri%209am-4pm.</v>
      </c>
      <c r="AF681" s="89" t="str">
        <f t="shared" si="123"/>
        <v>Draft email</v>
      </c>
      <c r="AG681" s="64" t="str">
        <f>IF($C681="","",IFERROR(INDEX('Staff Directory'!$K$595:$K$599,MATCH($C681,'Staff Directory'!$B$5:$B$599,0)),$D681))</f>
        <v>PSW</v>
      </c>
      <c r="AH681" t="str">
        <f>IF($C681="","",IFERROR(INDEX('Staff Directory'!$I$595:$I$599,MATCH($C681,'Staff Directory'!$B$5:$B$599,0))&amp;" "&amp;INDEX('Staff Directory'!$J$595:$J$599,MATCH($C681,'Staff Directory'!$B$5:$B$599,0)),$AG681))</f>
        <v>PSW</v>
      </c>
      <c r="AI681" s="102"/>
      <c r="AJ681" s="101">
        <f>IF($F681="","",SUMIFS($J$5:$J681,$F$5:$F681,$F681))</f>
        <v>78</v>
      </c>
      <c r="AK681" s="101">
        <f t="shared" si="115"/>
        <v>78</v>
      </c>
      <c r="AL681" s="66" t="str" cm="1">
        <f t="array" ref="AL681">IF($F681="","",IFERROR(INDEX('Lot Balance'!$B$5:$B$500,MATCH(1,INDEX(('Lot Balance'!$A$5:$A$500=$F681)*('Lot Balance'!$K$5:$K$500&lt;$AK681)*('Lot Balance'!$K$5:$K$500+'Lot Balance'!$D$5:$D$500&gt;=$AK681),0),0)),""))</f>
        <v>20-21734-3</v>
      </c>
      <c r="AM681" s="66" t="str" cm="1">
        <f t="array" ref="AM681">IF($F681="","",IFERROR(INDEX('Lot Balance'!$B$5:$B$500,MATCH(1,INDEX(('Lot Balance'!$A$5:$A$500=$F681)*('Lot Balance'!$K$5:$K$500&lt;$AJ681)*('Lot Balance'!$K$5:$K$500+'Lot Balance'!$D$5:$D$500&gt;=$AJ681),0),0)),""))</f>
        <v>20-21734-3</v>
      </c>
      <c r="AN681" s="66" t="str">
        <f>IF($F681="","",IF($AI681&lt;&gt;"",IF(COUNTIFS('Lot Balance'!$A$5:$A$500,$F681,'Lot Balance'!$B$5:$B$500,$AI681)=0,"⚠ override is not a lot of this item",IF($AI681=$AL681,"Override = FEFO","Override - FEFO says "&amp;$AL681)),IF($AL681="","⚠ no receipt on file for this item",IF($AM681&lt;&gt;$AL681,"FEFO auto - split, also "&amp;$AM681,"FEFO auto"))))</f>
        <v>FEFO auto</v>
      </c>
      <c r="AO681" s="114"/>
    </row>
    <row r="682" spans="1:41" x14ac:dyDescent="0.35">
      <c r="A682" s="74">
        <v>46153</v>
      </c>
      <c r="B682" s="18" t="str">
        <f>IF($C682="","",IFERROR(INDEX('Staff Directory'!$A$5:$A$594,MATCH($C682,'Staff Directory'!$B$5:$B$594,0)),"⚠ unknown staff"))</f>
        <v>PSW-087-A4</v>
      </c>
      <c r="C682" s="49" t="s">
        <v>1063</v>
      </c>
      <c r="D682" s="19" t="str">
        <f>IF($B682="","",IFERROR(INDEX('Staff Directory'!$C$5:$C$594,MATCH($B682,'Staff Directory'!$A$5:$A$594,0)),""))</f>
        <v>PSW</v>
      </c>
      <c r="E682" s="19" t="str">
        <f>IF($B682="","",IFERROR(INDEX('Staff Directory'!$D$5:$D$594,MATCH($B682,'Staff Directory'!$A$5:$A$594,0)),""))</f>
        <v>A4</v>
      </c>
      <c r="F682" s="9" t="s">
        <v>115</v>
      </c>
      <c r="G682" s="18" t="str">
        <f>IF($F682="","",IFERROR(INDEX(Items!$B$5:$B$597,MATCH($F682,Items!$A$5:$A$597,0)),"⚠ not in Items"))</f>
        <v>Wipes</v>
      </c>
      <c r="H682" s="19">
        <f>IF($F682="","",IFERROR(INDEX(Items!$C$5:$C$597,MATCH($F682,Items!$A$5:$A$597,0)),""))</f>
        <v>80</v>
      </c>
      <c r="I682" s="23">
        <f>IF($F682="","",IFERROR(INDEX(Items!$E$5:$E$597,MATCH($F682,Items!$A$5:$A$597,0)),""))</f>
        <v>80</v>
      </c>
      <c r="J682" s="115">
        <f>IF(tblIssues[[#This Row],[Qty Override]]&lt;&gt;"",tblIssues[[#This Row],[Qty Override]],IF(tblIssues[[#This Row],[Standard Issue]]="","",tblIssues[[#This Row],[Standard Issue]]))</f>
        <v>80</v>
      </c>
      <c r="K682" s="20">
        <f>IF($F682="","",IFERROR(INDEX(Items!$D$5:$D$597,MATCH($F682,Items!$A$5:$A$597,0)),""))</f>
        <v>0.1</v>
      </c>
      <c r="L682" s="21">
        <f t="shared" si="116"/>
        <v>8</v>
      </c>
      <c r="M682" s="9" t="str">
        <f t="shared" si="117"/>
        <v>LYSL500290</v>
      </c>
      <c r="N682" s="24">
        <f>IF($A682="","",WORKDAY($A682,Settings!$C$9,HolidayDates))</f>
        <v>46161</v>
      </c>
      <c r="O682" s="24">
        <f>IF($N682="","",WORKDAY($N682,Settings!$C$10,HolidayDates))</f>
        <v>46199</v>
      </c>
      <c r="P682" s="10" t="s">
        <v>501</v>
      </c>
      <c r="Q682" s="52" t="str">
        <f t="shared" si="119"/>
        <v>Collected</v>
      </c>
      <c r="R682" s="55" t="str">
        <f t="shared" si="120"/>
        <v>2026-05</v>
      </c>
      <c r="S682" s="55">
        <f>IF(OR($B682="",$F682="",$R682=""),"",SUMIFS(tblIssues[Qty Issued],tblIssues[Staff ID],$B682,tblIssues[Item Name],$F682,tblIssues[Month],$R682))</f>
        <v>80</v>
      </c>
      <c r="T682" s="56">
        <f>IF($I682="","",$I682*Settings!$C$11)</f>
        <v>80</v>
      </c>
      <c r="U682" s="57" t="str">
        <f t="shared" si="118"/>
        <v>OK</v>
      </c>
      <c r="V682" s="55" t="str">
        <f t="shared" si="121"/>
        <v/>
      </c>
      <c r="W682" s="55" t="str">
        <f>IF($V682="","",IF(COUNTIF($V$5:$V682,$V682)=1,1,""))</f>
        <v/>
      </c>
      <c r="X682" s="58" t="str">
        <f>IF($W682="","",MAX($X$4:X681)+1)</f>
        <v/>
      </c>
      <c r="Y682" s="62"/>
      <c r="Z682" s="62"/>
      <c r="AA682" s="64" t="str">
        <f>IF($C682="","",IFERROR(INDEX('Staff Directory'!$E$5:$E$594,MATCH($C682,'Staff Directory'!$B$5:$B$594,0)),""))</f>
        <v>firstname147.lastname147@example.com</v>
      </c>
      <c r="AB682" s="64" t="str">
        <f>IF($C682="","",IF(ISNUMBER(SEARCH($D682,Settings!$C$15)),"Pickup","Dispatch"))</f>
        <v>Pickup</v>
      </c>
      <c r="AC682" s="64" t="str">
        <f t="shared" si="122"/>
        <v>Supply order ready for pickup</v>
      </c>
      <c r="AD682" s="64" t="str">
        <f t="shared" si="113"/>
        <v>Dear PSW,
Your order is ready for pickup from Sample Branch, Wed-Fri 9am-4pm.</v>
      </c>
      <c r="AE682" s="64" t="str">
        <f t="shared" si="114"/>
        <v>mailto:firstname147.lastname147@example.com?subject=Supply%20order%20ready%20for%20pickup&amp;body=Dear%20PSW%2C%0A%0AYour%20order%20is%20ready%20for%20pickup%20from%20Sample%20Branch%2C%20Wed-Fri%209am-4pm.</v>
      </c>
      <c r="AF682" s="89" t="str">
        <f t="shared" si="123"/>
        <v>Draft email</v>
      </c>
      <c r="AG682" s="64" t="str">
        <f>IF($C682="","",IFERROR(INDEX('Staff Directory'!$K$595:$K$599,MATCH($C682,'Staff Directory'!$B$5:$B$599,0)),$D682))</f>
        <v>PSW</v>
      </c>
      <c r="AH682" t="str">
        <f>IF($C682="","",IFERROR(INDEX('Staff Directory'!$I$595:$I$599,MATCH($C682,'Staff Directory'!$B$5:$B$599,0))&amp;" "&amp;INDEX('Staff Directory'!$J$595:$J$599,MATCH($C682,'Staff Directory'!$B$5:$B$599,0)),$AG682))</f>
        <v>PSW</v>
      </c>
      <c r="AI682" s="102"/>
      <c r="AJ682" s="101">
        <f>IF($F682="","",SUMIFS($J$5:$J682,$F$5:$F682,$F682))</f>
        <v>9600</v>
      </c>
      <c r="AK682" s="101">
        <f t="shared" si="115"/>
        <v>9521</v>
      </c>
      <c r="AL682" s="66" t="str" cm="1">
        <f t="array" ref="AL682">IF($F682="","",IFERROR(INDEX('Lot Balance'!$B$5:$B$500,MATCH(1,INDEX(('Lot Balance'!$A$5:$A$500=$F682)*('Lot Balance'!$K$5:$K$500&lt;$AK682)*('Lot Balance'!$K$5:$K$500+'Lot Balance'!$D$5:$D$500&gt;=$AK682),0),0)),""))</f>
        <v>LYSL500290</v>
      </c>
      <c r="AM682" s="66" t="str" cm="1">
        <f t="array" ref="AM682">IF($F682="","",IFERROR(INDEX('Lot Balance'!$B$5:$B$500,MATCH(1,INDEX(('Lot Balance'!$A$5:$A$500=$F682)*('Lot Balance'!$K$5:$K$500&lt;$AJ682)*('Lot Balance'!$K$5:$K$500+'Lot Balance'!$D$5:$D$500&gt;=$AJ682),0),0)),""))</f>
        <v>LYSL500290</v>
      </c>
      <c r="AN682" s="66" t="str">
        <f>IF($F682="","",IF($AI682&lt;&gt;"",IF(COUNTIFS('Lot Balance'!$A$5:$A$500,$F682,'Lot Balance'!$B$5:$B$500,$AI682)=0,"⚠ override is not a lot of this item",IF($AI682=$AL682,"Override = FEFO","Override - FEFO says "&amp;$AL682)),IF($AL682="","⚠ no receipt on file for this item",IF($AM682&lt;&gt;$AL682,"FEFO auto - split, also "&amp;$AM682,"FEFO auto"))))</f>
        <v>FEFO auto</v>
      </c>
      <c r="AO682" s="114"/>
    </row>
    <row r="683" spans="1:41" x14ac:dyDescent="0.35">
      <c r="A683" s="74">
        <v>46153</v>
      </c>
      <c r="B683" s="18" t="str">
        <f>IF($C683="","",IFERROR(INDEX('Staff Directory'!$A$5:$A$594,MATCH($C683,'Staff Directory'!$B$5:$B$594,0)),"⚠ unknown staff"))</f>
        <v>PSW-038-A6</v>
      </c>
      <c r="C683" s="49" t="s">
        <v>1013</v>
      </c>
      <c r="D683" s="19" t="str">
        <f>IF($B683="","",IFERROR(INDEX('Staff Directory'!$C$5:$C$594,MATCH($B683,'Staff Directory'!$A$5:$A$594,0)),""))</f>
        <v>PSW</v>
      </c>
      <c r="E683" s="19" t="str">
        <f>IF($B683="","",IFERROR(INDEX('Staff Directory'!$D$5:$D$594,MATCH($B683,'Staff Directory'!$A$5:$A$594,0)),""))</f>
        <v>A6</v>
      </c>
      <c r="F683" s="9" t="s">
        <v>124</v>
      </c>
      <c r="G683" s="18" t="str">
        <f>IF($F683="","",IFERROR(INDEX(Items!$B$5:$B$597,MATCH($F683,Items!$A$5:$A$597,0)),"⚠ not in Items"))</f>
        <v>Gloves</v>
      </c>
      <c r="H683" s="19" t="str">
        <f>IF($F683="","",IFERROR(INDEX(Items!$C$5:$C$597,MATCH($F683,Items!$A$5:$A$597,0)),""))</f>
        <v>Large</v>
      </c>
      <c r="I683" s="23">
        <f>IF($F683="","",IFERROR(INDEX(Items!$E$5:$E$597,MATCH($F683,Items!$A$5:$A$597,0)),""))</f>
        <v>500</v>
      </c>
      <c r="J683" s="115">
        <f>IF(tblIssues[[#This Row],[Qty Override]]&lt;&gt;"",tblIssues[[#This Row],[Qty Override]],IF(tblIssues[[#This Row],[Standard Issue]]="","",tblIssues[[#This Row],[Standard Issue]]))</f>
        <v>500</v>
      </c>
      <c r="K683" s="20">
        <f>IF($F683="","",IFERROR(INDEX(Items!$D$5:$D$597,MATCH($F683,Items!$A$5:$A$597,0)),""))</f>
        <v>5.5E-2</v>
      </c>
      <c r="L683" s="21">
        <f t="shared" si="116"/>
        <v>27.5</v>
      </c>
      <c r="M683" s="9" t="str">
        <f t="shared" si="117"/>
        <v>ZIM511139904-1</v>
      </c>
      <c r="N683" s="24">
        <f>IF($A683="","",WORKDAY($A683,Settings!$C$9,HolidayDates))</f>
        <v>46161</v>
      </c>
      <c r="O683" s="24">
        <f>IF($N683="","",WORKDAY($N683,Settings!$C$10,HolidayDates))</f>
        <v>46199</v>
      </c>
      <c r="P683" s="10" t="s">
        <v>501</v>
      </c>
      <c r="Q683" s="52" t="str">
        <f t="shared" si="119"/>
        <v>Collected</v>
      </c>
      <c r="R683" s="55" t="str">
        <f t="shared" si="120"/>
        <v>2026-05</v>
      </c>
      <c r="S683" s="55">
        <f>IF(OR($B683="",$F683="",$R683=""),"",SUMIFS(tblIssues[Qty Issued],tblIssues[Staff ID],$B683,tblIssues[Item Name],$F683,tblIssues[Month],$R683))</f>
        <v>500</v>
      </c>
      <c r="T683" s="56">
        <f>IF($I683="","",$I683*Settings!$C$11)</f>
        <v>500</v>
      </c>
      <c r="U683" s="57" t="str">
        <f t="shared" si="118"/>
        <v>OK</v>
      </c>
      <c r="V683" s="55" t="str">
        <f t="shared" si="121"/>
        <v/>
      </c>
      <c r="W683" s="55" t="str">
        <f>IF($V683="","",IF(COUNTIF($V$5:$V683,$V683)=1,1,""))</f>
        <v/>
      </c>
      <c r="X683" s="58" t="str">
        <f>IF($W683="","",MAX($X$4:X682)+1)</f>
        <v/>
      </c>
      <c r="Y683" s="62"/>
      <c r="Z683" s="62"/>
      <c r="AA683" s="64" t="str">
        <f>IF($C683="","",IFERROR(INDEX('Staff Directory'!$E$5:$E$594,MATCH($C683,'Staff Directory'!$B$5:$B$594,0)),""))</f>
        <v>firstname097.lastname097@example.com</v>
      </c>
      <c r="AB683" s="64" t="str">
        <f>IF($C683="","",IF(ISNUMBER(SEARCH($D683,Settings!$C$15)),"Pickup","Dispatch"))</f>
        <v>Pickup</v>
      </c>
      <c r="AC683" s="64" t="str">
        <f t="shared" si="122"/>
        <v>Supply order ready for pickup</v>
      </c>
      <c r="AD683" s="64" t="str">
        <f t="shared" si="113"/>
        <v>Dear PSW,
Your order is ready for pickup from Sample Branch, Wed-Fri 9am-4pm.</v>
      </c>
      <c r="AE683" s="64" t="str">
        <f t="shared" si="114"/>
        <v>mailto:firstname097.lastname097@example.com?subject=Supply%20order%20ready%20for%20pickup&amp;body=Dear%20PSW%2C%0A%0AYour%20order%20is%20ready%20for%20pickup%20from%20Sample%20Branch%2C%20Wed-Fri%209am-4pm.</v>
      </c>
      <c r="AF683" s="89" t="str">
        <f t="shared" si="123"/>
        <v>Draft email</v>
      </c>
      <c r="AG683" s="64" t="str">
        <f>IF($C683="","",IFERROR(INDEX('Staff Directory'!$K$595:$K$599,MATCH($C683,'Staff Directory'!$B$5:$B$599,0)),$D683))</f>
        <v>PSW</v>
      </c>
      <c r="AH683" t="str">
        <f>IF($C683="","",IFERROR(INDEX('Staff Directory'!$I$595:$I$599,MATCH($C683,'Staff Directory'!$B$5:$B$599,0))&amp;" "&amp;INDEX('Staff Directory'!$J$595:$J$599,MATCH($C683,'Staff Directory'!$B$5:$B$599,0)),$AG683))</f>
        <v>PSW</v>
      </c>
      <c r="AI683" s="102"/>
      <c r="AJ683" s="101">
        <f>IF($F683="","",SUMIFS($J$5:$J683,$F$5:$F683,$F683))</f>
        <v>17500</v>
      </c>
      <c r="AK683" s="101">
        <f t="shared" si="115"/>
        <v>17001</v>
      </c>
      <c r="AL683" s="66" t="str" cm="1">
        <f t="array" ref="AL683">IF($F683="","",IFERROR(INDEX('Lot Balance'!$B$5:$B$500,MATCH(1,INDEX(('Lot Balance'!$A$5:$A$500=$F683)*('Lot Balance'!$K$5:$K$500&lt;$AK683)*('Lot Balance'!$K$5:$K$500+'Lot Balance'!$D$5:$D$500&gt;=$AK683),0),0)),""))</f>
        <v>ZIM511139904-1</v>
      </c>
      <c r="AM683" s="66" t="str" cm="1">
        <f t="array" ref="AM683">IF($F683="","",IFERROR(INDEX('Lot Balance'!$B$5:$B$500,MATCH(1,INDEX(('Lot Balance'!$A$5:$A$500=$F683)*('Lot Balance'!$K$5:$K$500&lt;$AJ683)*('Lot Balance'!$K$5:$K$500+'Lot Balance'!$D$5:$D$500&gt;=$AJ683),0),0)),""))</f>
        <v>0417HIC25-1</v>
      </c>
      <c r="AN683" s="66" t="str">
        <f>IF($F683="","",IF($AI683&lt;&gt;"",IF(COUNTIFS('Lot Balance'!$A$5:$A$500,$F683,'Lot Balance'!$B$5:$B$500,$AI683)=0,"⚠ override is not a lot of this item",IF($AI683=$AL683,"Override = FEFO","Override - FEFO says "&amp;$AL683)),IF($AL683="","⚠ no receipt on file for this item",IF($AM683&lt;&gt;$AL683,"FEFO auto - split, also "&amp;$AM683,"FEFO auto"))))</f>
        <v>FEFO auto - split, also 0417HIC25-1</v>
      </c>
      <c r="AO683" s="114"/>
    </row>
    <row r="684" spans="1:41" x14ac:dyDescent="0.35">
      <c r="A684" s="74">
        <v>46153</v>
      </c>
      <c r="B684" s="18" t="str">
        <f>IF($C684="","",IFERROR(INDEX('Staff Directory'!$A$5:$A$594,MATCH($C684,'Staff Directory'!$B$5:$B$594,0)),"⚠ unknown staff"))</f>
        <v>PSW-032-A6</v>
      </c>
      <c r="C684" s="49" t="s">
        <v>1007</v>
      </c>
      <c r="D684" s="19" t="str">
        <f>IF($B684="","",IFERROR(INDEX('Staff Directory'!$C$5:$C$594,MATCH($B684,'Staff Directory'!$A$5:$A$594,0)),""))</f>
        <v>PSW</v>
      </c>
      <c r="E684" s="19" t="str">
        <f>IF($B684="","",IFERROR(INDEX('Staff Directory'!$D$5:$D$594,MATCH($B684,'Staff Directory'!$A$5:$A$594,0)),""))</f>
        <v>A6</v>
      </c>
      <c r="F684" s="9" t="s">
        <v>127</v>
      </c>
      <c r="G684" s="18" t="str">
        <f>IF($F684="","",IFERROR(INDEX(Items!$B$5:$B$597,MATCH($F684,Items!$A$5:$A$597,0)),"⚠ not in Items"))</f>
        <v>Gloves</v>
      </c>
      <c r="H684" s="19" t="str">
        <f>IF($F684="","",IFERROR(INDEX(Items!$C$5:$C$597,MATCH($F684,Items!$A$5:$A$597,0)),""))</f>
        <v>Medium</v>
      </c>
      <c r="I684" s="23">
        <f>IF($F684="","",IFERROR(INDEX(Items!$E$5:$E$597,MATCH($F684,Items!$A$5:$A$597,0)),""))</f>
        <v>500</v>
      </c>
      <c r="J684" s="115">
        <f>IF(tblIssues[[#This Row],[Qty Override]]&lt;&gt;"",tblIssues[[#This Row],[Qty Override]],IF(tblIssues[[#This Row],[Standard Issue]]="","",tblIssues[[#This Row],[Standard Issue]]))</f>
        <v>500</v>
      </c>
      <c r="K684" s="20">
        <f>IF($F684="","",IFERROR(INDEX(Items!$D$5:$D$597,MATCH($F684,Items!$A$5:$A$597,0)),""))</f>
        <v>5.5E-2</v>
      </c>
      <c r="L684" s="21">
        <f t="shared" si="116"/>
        <v>27.5</v>
      </c>
      <c r="M684" s="9" t="str">
        <f t="shared" si="117"/>
        <v>O16689</v>
      </c>
      <c r="N684" s="24">
        <f>IF($A684="","",WORKDAY($A684,Settings!$C$9,HolidayDates))</f>
        <v>46161</v>
      </c>
      <c r="O684" s="24">
        <f>IF($N684="","",WORKDAY($N684,Settings!$C$10,HolidayDates))</f>
        <v>46199</v>
      </c>
      <c r="P684" s="10" t="s">
        <v>501</v>
      </c>
      <c r="Q684" s="52" t="str">
        <f t="shared" si="119"/>
        <v>Collected</v>
      </c>
      <c r="R684" s="55" t="str">
        <f t="shared" si="120"/>
        <v>2026-05</v>
      </c>
      <c r="S684" s="55">
        <f>IF(OR($B684="",$F684="",$R684=""),"",SUMIFS(tblIssues[Qty Issued],tblIssues[Staff ID],$B684,tblIssues[Item Name],$F684,tblIssues[Month],$R684))</f>
        <v>500</v>
      </c>
      <c r="T684" s="56">
        <f>IF($I684="","",$I684*Settings!$C$11)</f>
        <v>500</v>
      </c>
      <c r="U684" s="57" t="str">
        <f t="shared" si="118"/>
        <v>OK</v>
      </c>
      <c r="V684" s="55" t="str">
        <f t="shared" si="121"/>
        <v/>
      </c>
      <c r="W684" s="55" t="str">
        <f>IF($V684="","",IF(COUNTIF($V$5:$V684,$V684)=1,1,""))</f>
        <v/>
      </c>
      <c r="X684" s="58" t="str">
        <f>IF($W684="","",MAX($X$4:X683)+1)</f>
        <v/>
      </c>
      <c r="Y684" s="62"/>
      <c r="Z684" s="62"/>
      <c r="AA684" s="64" t="str">
        <f>IF($C684="","",IFERROR(INDEX('Staff Directory'!$E$5:$E$594,MATCH($C684,'Staff Directory'!$B$5:$B$594,0)),""))</f>
        <v>firstname091.lastname091@example.com</v>
      </c>
      <c r="AB684" s="64" t="str">
        <f>IF($C684="","",IF(ISNUMBER(SEARCH($D684,Settings!$C$15)),"Pickup","Dispatch"))</f>
        <v>Pickup</v>
      </c>
      <c r="AC684" s="64" t="str">
        <f t="shared" si="122"/>
        <v>Supply order ready for pickup</v>
      </c>
      <c r="AD684" s="64" t="str">
        <f t="shared" si="113"/>
        <v>Dear PSW,
Your order is ready for pickup from Sample Branch, Wed-Fri 9am-4pm.</v>
      </c>
      <c r="AE684" s="64" t="str">
        <f t="shared" si="114"/>
        <v>mailto:firstname091.lastname091@example.com?subject=Supply%20order%20ready%20for%20pickup&amp;body=Dear%20PSW%2C%0A%0AYour%20order%20is%20ready%20for%20pickup%20from%20Sample%20Branch%2C%20Wed-Fri%209am-4pm.</v>
      </c>
      <c r="AF684" s="89" t="str">
        <f t="shared" si="123"/>
        <v>Draft email</v>
      </c>
      <c r="AG684" s="64" t="str">
        <f>IF($C684="","",IFERROR(INDEX('Staff Directory'!$K$595:$K$599,MATCH($C684,'Staff Directory'!$B$5:$B$599,0)),$D684))</f>
        <v>PSW</v>
      </c>
      <c r="AH684" t="str">
        <f>IF($C684="","",IFERROR(INDEX('Staff Directory'!$I$595:$I$599,MATCH($C684,'Staff Directory'!$B$5:$B$599,0))&amp;" "&amp;INDEX('Staff Directory'!$J$595:$J$599,MATCH($C684,'Staff Directory'!$B$5:$B$599,0)),$AG684))</f>
        <v>PSW</v>
      </c>
      <c r="AI684" s="102"/>
      <c r="AJ684" s="101">
        <f>IF($F684="","",SUMIFS($J$5:$J684,$F$5:$F684,$F684))</f>
        <v>39000</v>
      </c>
      <c r="AK684" s="101">
        <f t="shared" si="115"/>
        <v>38501</v>
      </c>
      <c r="AL684" s="66" t="str" cm="1">
        <f t="array" ref="AL684">IF($F684="","",IFERROR(INDEX('Lot Balance'!$B$5:$B$500,MATCH(1,INDEX(('Lot Balance'!$A$5:$A$500=$F684)*('Lot Balance'!$K$5:$K$500&lt;$AK684)*('Lot Balance'!$K$5:$K$500+'Lot Balance'!$D$5:$D$500&gt;=$AK684),0),0)),""))</f>
        <v>O16689</v>
      </c>
      <c r="AM684" s="66" t="str" cm="1">
        <f t="array" ref="AM684">IF($F684="","",IFERROR(INDEX('Lot Balance'!$B$5:$B$500,MATCH(1,INDEX(('Lot Balance'!$A$5:$A$500=$F684)*('Lot Balance'!$K$5:$K$500&lt;$AJ684)*('Lot Balance'!$K$5:$K$500+'Lot Balance'!$D$5:$D$500&gt;=$AJ684),0),0)),""))</f>
        <v>O16689</v>
      </c>
      <c r="AN684" s="66" t="str">
        <f>IF($F684="","",IF($AI684&lt;&gt;"",IF(COUNTIFS('Lot Balance'!$A$5:$A$500,$F684,'Lot Balance'!$B$5:$B$500,$AI684)=0,"⚠ override is not a lot of this item",IF($AI684=$AL684,"Override = FEFO","Override - FEFO says "&amp;$AL684)),IF($AL684="","⚠ no receipt on file for this item",IF($AM684&lt;&gt;$AL684,"FEFO auto - split, also "&amp;$AM684,"FEFO auto"))))</f>
        <v>FEFO auto</v>
      </c>
      <c r="AO684" s="114"/>
    </row>
    <row r="685" spans="1:41" x14ac:dyDescent="0.35">
      <c r="A685" s="74">
        <v>46153</v>
      </c>
      <c r="B685" s="18" t="str">
        <f>IF($C685="","",IFERROR(INDEX('Staff Directory'!$A$5:$A$594,MATCH($C685,'Staff Directory'!$B$5:$B$594,0)),"⚠ unknown staff"))</f>
        <v>PSW-032-A6</v>
      </c>
      <c r="C685" s="49" t="s">
        <v>1007</v>
      </c>
      <c r="D685" s="19" t="str">
        <f>IF($B685="","",IFERROR(INDEX('Staff Directory'!$C$5:$C$594,MATCH($B685,'Staff Directory'!$A$5:$A$594,0)),""))</f>
        <v>PSW</v>
      </c>
      <c r="E685" s="19" t="str">
        <f>IF($B685="","",IFERROR(INDEX('Staff Directory'!$D$5:$D$594,MATCH($B685,'Staff Directory'!$A$5:$A$594,0)),""))</f>
        <v>A6</v>
      </c>
      <c r="F685" s="9" t="s">
        <v>156</v>
      </c>
      <c r="G685" s="18" t="str">
        <f>IF($F685="","",IFERROR(INDEX(Items!$B$5:$B$597,MATCH($F685,Items!$A$5:$A$597,0)),"⚠ not in Items"))</f>
        <v>Masks</v>
      </c>
      <c r="H685" s="19" t="str">
        <f>IF($F685="","",IFERROR(INDEX(Items!$C$5:$C$597,MATCH($F685,Items!$A$5:$A$597,0)),""))</f>
        <v>One Size</v>
      </c>
      <c r="I685" s="23">
        <f>IF($F685="","",IFERROR(INDEX(Items!$E$5:$E$597,MATCH($F685,Items!$A$5:$A$597,0)),""))</f>
        <v>50</v>
      </c>
      <c r="J685" s="115">
        <f>IF(tblIssues[[#This Row],[Qty Override]]&lt;&gt;"",tblIssues[[#This Row],[Qty Override]],IF(tblIssues[[#This Row],[Standard Issue]]="","",tblIssues[[#This Row],[Standard Issue]]))</f>
        <v>50</v>
      </c>
      <c r="K685" s="20">
        <f>IF($F685="","",IFERROR(INDEX(Items!$D$5:$D$597,MATCH($F685,Items!$A$5:$A$597,0)),""))</f>
        <v>0.25</v>
      </c>
      <c r="L685" s="21">
        <f t="shared" si="116"/>
        <v>12.5</v>
      </c>
      <c r="M685" s="9" t="str">
        <f t="shared" si="117"/>
        <v>0125FPC24-0</v>
      </c>
      <c r="N685" s="24">
        <f>IF($A685="","",WORKDAY($A685,Settings!$C$9,HolidayDates))</f>
        <v>46161</v>
      </c>
      <c r="O685" s="24">
        <f>IF($N685="","",WORKDAY($N685,Settings!$C$10,HolidayDates))</f>
        <v>46199</v>
      </c>
      <c r="P685" s="10" t="s">
        <v>501</v>
      </c>
      <c r="Q685" s="52" t="str">
        <f t="shared" si="119"/>
        <v>Collected</v>
      </c>
      <c r="R685" s="55" t="str">
        <f t="shared" si="120"/>
        <v>2026-05</v>
      </c>
      <c r="S685" s="55">
        <f>IF(OR($B685="",$F685="",$R685=""),"",SUMIFS(tblIssues[Qty Issued],tblIssues[Staff ID],$B685,tblIssues[Item Name],$F685,tblIssues[Month],$R685))</f>
        <v>50</v>
      </c>
      <c r="T685" s="56">
        <f>IF($I685="","",$I685*Settings!$C$11)</f>
        <v>50</v>
      </c>
      <c r="U685" s="57" t="str">
        <f t="shared" si="118"/>
        <v>OK</v>
      </c>
      <c r="V685" s="55" t="str">
        <f t="shared" si="121"/>
        <v/>
      </c>
      <c r="W685" s="55" t="str">
        <f>IF($V685="","",IF(COUNTIF($V$5:$V685,$V685)=1,1,""))</f>
        <v/>
      </c>
      <c r="X685" s="58" t="str">
        <f>IF($W685="","",MAX($X$4:X684)+1)</f>
        <v/>
      </c>
      <c r="Y685" s="62"/>
      <c r="Z685" s="62"/>
      <c r="AA685" s="64" t="str">
        <f>IF($C685="","",IFERROR(INDEX('Staff Directory'!$E$5:$E$594,MATCH($C685,'Staff Directory'!$B$5:$B$594,0)),""))</f>
        <v>firstname091.lastname091@example.com</v>
      </c>
      <c r="AB685" s="64" t="str">
        <f>IF($C685="","",IF(ISNUMBER(SEARCH($D685,Settings!$C$15)),"Pickup","Dispatch"))</f>
        <v>Pickup</v>
      </c>
      <c r="AC685" s="64" t="str">
        <f t="shared" si="122"/>
        <v>Supply order ready for pickup</v>
      </c>
      <c r="AD685" s="64" t="str">
        <f t="shared" si="113"/>
        <v>Dear PSW,
Your order is ready for pickup from Sample Branch, Wed-Fri 9am-4pm.</v>
      </c>
      <c r="AE685" s="64" t="str">
        <f t="shared" si="114"/>
        <v>mailto:firstname091.lastname091@example.com?subject=Supply%20order%20ready%20for%20pickup&amp;body=Dear%20PSW%2C%0A%0AYour%20order%20is%20ready%20for%20pickup%20from%20Sample%20Branch%2C%20Wed-Fri%209am-4pm.</v>
      </c>
      <c r="AF685" s="89" t="str">
        <f t="shared" si="123"/>
        <v>Draft email</v>
      </c>
      <c r="AG685" s="64" t="str">
        <f>IF($C685="","",IFERROR(INDEX('Staff Directory'!$K$595:$K$599,MATCH($C685,'Staff Directory'!$B$5:$B$599,0)),$D685))</f>
        <v>PSW</v>
      </c>
      <c r="AH685" t="str">
        <f>IF($C685="","",IFERROR(INDEX('Staff Directory'!$I$595:$I$599,MATCH($C685,'Staff Directory'!$B$5:$B$599,0))&amp;" "&amp;INDEX('Staff Directory'!$J$595:$J$599,MATCH($C685,'Staff Directory'!$B$5:$B$599,0)),$AG685))</f>
        <v>PSW</v>
      </c>
      <c r="AI685" s="102"/>
      <c r="AJ685" s="101">
        <f>IF($F685="","",SUMIFS($J$5:$J685,$F$5:$F685,$F685))</f>
        <v>5550</v>
      </c>
      <c r="AK685" s="101">
        <f t="shared" si="115"/>
        <v>5501</v>
      </c>
      <c r="AL685" s="66" t="str" cm="1">
        <f t="array" ref="AL685">IF($F685="","",IFERROR(INDEX('Lot Balance'!$B$5:$B$500,MATCH(1,INDEX(('Lot Balance'!$A$5:$A$500=$F685)*('Lot Balance'!$K$5:$K$500&lt;$AK685)*('Lot Balance'!$K$5:$K$500+'Lot Balance'!$D$5:$D$500&gt;=$AK685),0),0)),""))</f>
        <v>0125FPC24-0</v>
      </c>
      <c r="AM685" s="66" t="str" cm="1">
        <f t="array" ref="AM685">IF($F685="","",IFERROR(INDEX('Lot Balance'!$B$5:$B$500,MATCH(1,INDEX(('Lot Balance'!$A$5:$A$500=$F685)*('Lot Balance'!$K$5:$K$500&lt;$AJ685)*('Lot Balance'!$K$5:$K$500+'Lot Balance'!$D$5:$D$500&gt;=$AJ685),0),0)),""))</f>
        <v>0125FPC24-0</v>
      </c>
      <c r="AN685" s="66" t="str">
        <f>IF($F685="","",IF($AI685&lt;&gt;"",IF(COUNTIFS('Lot Balance'!$A$5:$A$500,$F685,'Lot Balance'!$B$5:$B$500,$AI685)=0,"⚠ override is not a lot of this item",IF($AI685=$AL685,"Override = FEFO","Override - FEFO says "&amp;$AL685)),IF($AL685="","⚠ no receipt on file for this item",IF($AM685&lt;&gt;$AL685,"FEFO auto - split, also "&amp;$AM685,"FEFO auto"))))</f>
        <v>FEFO auto</v>
      </c>
      <c r="AO685" s="114"/>
    </row>
    <row r="686" spans="1:41" x14ac:dyDescent="0.35">
      <c r="A686" s="74">
        <v>46153</v>
      </c>
      <c r="B686" s="18" t="str">
        <f>IF($C686="","",IFERROR(INDEX('Staff Directory'!$A$5:$A$594,MATCH($C686,'Staff Directory'!$B$5:$B$594,0)),"⚠ unknown staff"))</f>
        <v>PSW-086-A4</v>
      </c>
      <c r="C686" s="49" t="s">
        <v>1062</v>
      </c>
      <c r="D686" s="19" t="str">
        <f>IF($B686="","",IFERROR(INDEX('Staff Directory'!$C$5:$C$594,MATCH($B686,'Staff Directory'!$A$5:$A$594,0)),""))</f>
        <v>PSW</v>
      </c>
      <c r="E686" s="19" t="str">
        <f>IF($B686="","",IFERROR(INDEX('Staff Directory'!$D$5:$D$594,MATCH($B686,'Staff Directory'!$A$5:$A$594,0)),""))</f>
        <v>A4</v>
      </c>
      <c r="F686" s="9" t="s">
        <v>127</v>
      </c>
      <c r="G686" s="18" t="str">
        <f>IF($F686="","",IFERROR(INDEX(Items!$B$5:$B$597,MATCH($F686,Items!$A$5:$A$597,0)),"⚠ not in Items"))</f>
        <v>Gloves</v>
      </c>
      <c r="H686" s="19" t="str">
        <f>IF($F686="","",IFERROR(INDEX(Items!$C$5:$C$597,MATCH($F686,Items!$A$5:$A$597,0)),""))</f>
        <v>Medium</v>
      </c>
      <c r="I686" s="23">
        <f>IF($F686="","",IFERROR(INDEX(Items!$E$5:$E$597,MATCH($F686,Items!$A$5:$A$597,0)),""))</f>
        <v>500</v>
      </c>
      <c r="J686" s="115">
        <f>IF(tblIssues[[#This Row],[Qty Override]]&lt;&gt;"",tblIssues[[#This Row],[Qty Override]],IF(tblIssues[[#This Row],[Standard Issue]]="","",tblIssues[[#This Row],[Standard Issue]]))</f>
        <v>500</v>
      </c>
      <c r="K686" s="20">
        <f>IF($F686="","",IFERROR(INDEX(Items!$D$5:$D$597,MATCH($F686,Items!$A$5:$A$597,0)),""))</f>
        <v>5.5E-2</v>
      </c>
      <c r="L686" s="21">
        <f t="shared" si="116"/>
        <v>27.5</v>
      </c>
      <c r="M686" s="9" t="str">
        <f t="shared" si="117"/>
        <v>O16689</v>
      </c>
      <c r="N686" s="24">
        <f>IF($A686="","",WORKDAY($A686,Settings!$C$9,HolidayDates))</f>
        <v>46161</v>
      </c>
      <c r="O686" s="24">
        <f>IF($N686="","",WORKDAY($N686,Settings!$C$10,HolidayDates))</f>
        <v>46199</v>
      </c>
      <c r="P686" s="10" t="s">
        <v>501</v>
      </c>
      <c r="Q686" s="52" t="str">
        <f t="shared" si="119"/>
        <v>Collected</v>
      </c>
      <c r="R686" s="55" t="str">
        <f t="shared" si="120"/>
        <v>2026-05</v>
      </c>
      <c r="S686" s="55">
        <f>IF(OR($B686="",$F686="",$R686=""),"",SUMIFS(tblIssues[Qty Issued],tblIssues[Staff ID],$B686,tblIssues[Item Name],$F686,tblIssues[Month],$R686))</f>
        <v>500</v>
      </c>
      <c r="T686" s="56">
        <f>IF($I686="","",$I686*Settings!$C$11)</f>
        <v>500</v>
      </c>
      <c r="U686" s="57" t="str">
        <f t="shared" si="118"/>
        <v>OK</v>
      </c>
      <c r="V686" s="55" t="str">
        <f t="shared" si="121"/>
        <v/>
      </c>
      <c r="W686" s="55" t="str">
        <f>IF($V686="","",IF(COUNTIF($V$5:$V686,$V686)=1,1,""))</f>
        <v/>
      </c>
      <c r="X686" s="58" t="str">
        <f>IF($W686="","",MAX($X$4:X685)+1)</f>
        <v/>
      </c>
      <c r="Y686" s="62"/>
      <c r="Z686" s="62"/>
      <c r="AA686" s="64" t="str">
        <f>IF($C686="","",IFERROR(INDEX('Staff Directory'!$E$5:$E$594,MATCH($C686,'Staff Directory'!$B$5:$B$594,0)),""))</f>
        <v>firstname146.lastname146@example.com</v>
      </c>
      <c r="AB686" s="64" t="str">
        <f>IF($C686="","",IF(ISNUMBER(SEARCH($D686,Settings!$C$15)),"Pickup","Dispatch"))</f>
        <v>Pickup</v>
      </c>
      <c r="AC686" s="64" t="str">
        <f t="shared" si="122"/>
        <v>Supply order ready for pickup</v>
      </c>
      <c r="AD686" s="64" t="str">
        <f t="shared" si="113"/>
        <v>Dear PSW,
Your order is ready for pickup from Sample Branch, Wed-Fri 9am-4pm.</v>
      </c>
      <c r="AE686" s="64" t="str">
        <f t="shared" si="114"/>
        <v>mailto:firstname146.lastname146@example.com?subject=Supply%20order%20ready%20for%20pickup&amp;body=Dear%20PSW%2C%0A%0AYour%20order%20is%20ready%20for%20pickup%20from%20Sample%20Branch%2C%20Wed-Fri%209am-4pm.</v>
      </c>
      <c r="AF686" s="89" t="str">
        <f t="shared" si="123"/>
        <v>Draft email</v>
      </c>
      <c r="AG686" s="64" t="str">
        <f>IF($C686="","",IFERROR(INDEX('Staff Directory'!$K$595:$K$599,MATCH($C686,'Staff Directory'!$B$5:$B$599,0)),$D686))</f>
        <v>PSW</v>
      </c>
      <c r="AH686" t="str">
        <f>IF($C686="","",IFERROR(INDEX('Staff Directory'!$I$595:$I$599,MATCH($C686,'Staff Directory'!$B$5:$B$599,0))&amp;" "&amp;INDEX('Staff Directory'!$J$595:$J$599,MATCH($C686,'Staff Directory'!$B$5:$B$599,0)),$AG686))</f>
        <v>PSW</v>
      </c>
      <c r="AI686" s="102"/>
      <c r="AJ686" s="101">
        <f>IF($F686="","",SUMIFS($J$5:$J686,$F$5:$F686,$F686))</f>
        <v>39500</v>
      </c>
      <c r="AK686" s="101">
        <f t="shared" si="115"/>
        <v>39001</v>
      </c>
      <c r="AL686" s="66" t="str" cm="1">
        <f t="array" ref="AL686">IF($F686="","",IFERROR(INDEX('Lot Balance'!$B$5:$B$500,MATCH(1,INDEX(('Lot Balance'!$A$5:$A$500=$F686)*('Lot Balance'!$K$5:$K$500&lt;$AK686)*('Lot Balance'!$K$5:$K$500+'Lot Balance'!$D$5:$D$500&gt;=$AK686),0),0)),""))</f>
        <v>O16689</v>
      </c>
      <c r="AM686" s="66" t="str" cm="1">
        <f t="array" ref="AM686">IF($F686="","",IFERROR(INDEX('Lot Balance'!$B$5:$B$500,MATCH(1,INDEX(('Lot Balance'!$A$5:$A$500=$F686)*('Lot Balance'!$K$5:$K$500&lt;$AJ686)*('Lot Balance'!$K$5:$K$500+'Lot Balance'!$D$5:$D$500&gt;=$AJ686),0),0)),""))</f>
        <v>O16689</v>
      </c>
      <c r="AN686" s="66" t="str">
        <f>IF($F686="","",IF($AI686&lt;&gt;"",IF(COUNTIFS('Lot Balance'!$A$5:$A$500,$F686,'Lot Balance'!$B$5:$B$500,$AI686)=0,"⚠ override is not a lot of this item",IF($AI686=$AL686,"Override = FEFO","Override - FEFO says "&amp;$AL686)),IF($AL686="","⚠ no receipt on file for this item",IF($AM686&lt;&gt;$AL686,"FEFO auto - split, also "&amp;$AM686,"FEFO auto"))))</f>
        <v>FEFO auto</v>
      </c>
      <c r="AO686" s="114"/>
    </row>
    <row r="687" spans="1:41" x14ac:dyDescent="0.35">
      <c r="A687" s="74">
        <v>46154</v>
      </c>
      <c r="B687" s="18" t="str">
        <f>IF($C687="","",IFERROR(INDEX('Staff Directory'!$A$5:$A$594,MATCH($C687,'Staff Directory'!$B$5:$B$594,0)),"⚠ unknown staff"))</f>
        <v/>
      </c>
      <c r="C687" s="49"/>
      <c r="D687" s="19" t="str">
        <f>IF($B687="","",IFERROR(INDEX('Staff Directory'!$C$5:$C$594,MATCH($B687,'Staff Directory'!$A$5:$A$594,0)),""))</f>
        <v/>
      </c>
      <c r="E687" s="19" t="str">
        <f>IF($B687="","",IFERROR(INDEX('Staff Directory'!$D$5:$D$594,MATCH($B687,'Staff Directory'!$A$5:$A$594,0)),""))</f>
        <v/>
      </c>
      <c r="F687" s="9" t="s">
        <v>191</v>
      </c>
      <c r="G687" s="18" t="str">
        <f>IF($F687="","",IFERROR(INDEX(Items!$B$5:$B$597,MATCH($F687,Items!$A$5:$A$597,0)),"⚠ not in Items"))</f>
        <v>Sanitizer</v>
      </c>
      <c r="H687" s="19" t="str">
        <f>IF($F687="","",IFERROR(INDEX(Items!$C$5:$C$597,MATCH($F687,Items!$A$5:$A$597,0)),""))</f>
        <v>236 ML</v>
      </c>
      <c r="I687" s="23">
        <f>IF($F687="","",IFERROR(INDEX(Items!$E$5:$E$597,MATCH($F687,Items!$A$5:$A$597,0)),""))</f>
        <v>1</v>
      </c>
      <c r="J687" s="115">
        <f>IF(tblIssues[[#This Row],[Qty Override]]&lt;&gt;"",tblIssues[[#This Row],[Qty Override]],IF(tblIssues[[#This Row],[Standard Issue]]="","",tblIssues[[#This Row],[Standard Issue]]))</f>
        <v>1</v>
      </c>
      <c r="K687" s="20">
        <f>IF($F687="","",IFERROR(INDEX(Items!$D$5:$D$597,MATCH($F687,Items!$A$5:$A$597,0)),""))</f>
        <v>1E-4</v>
      </c>
      <c r="L687" s="21">
        <f t="shared" si="116"/>
        <v>1E-4</v>
      </c>
      <c r="M687" s="9" t="str">
        <f t="shared" si="117"/>
        <v>20-21734-3</v>
      </c>
      <c r="N687" s="24">
        <f>IF($A687="","",WORKDAY($A687,Settings!$C$9,HolidayDates))</f>
        <v>46162</v>
      </c>
      <c r="O687" s="24">
        <f>IF($N687="","",WORKDAY($N687,Settings!$C$10,HolidayDates))</f>
        <v>46202</v>
      </c>
      <c r="P687" s="10" t="s">
        <v>501</v>
      </c>
      <c r="Q687" s="52" t="str">
        <f t="shared" si="119"/>
        <v>Collected</v>
      </c>
      <c r="R687" s="55" t="str">
        <f t="shared" si="120"/>
        <v>2026-05</v>
      </c>
      <c r="S687" s="55" t="str">
        <f>IF(OR($B687="",$F687="",$R687=""),"",SUMIFS(tblIssues[Qty Issued],tblIssues[Staff ID],$B687,tblIssues[Item Name],$F687,tblIssues[Month],$R687))</f>
        <v/>
      </c>
      <c r="T687" s="56">
        <f>IF($I687="","",$I687*Settings!$C$11)</f>
        <v>1</v>
      </c>
      <c r="U687" s="57" t="str">
        <f t="shared" si="118"/>
        <v/>
      </c>
      <c r="V687" s="55" t="str">
        <f t="shared" si="121"/>
        <v/>
      </c>
      <c r="W687" s="55" t="str">
        <f>IF($V687="","",IF(COUNTIF($V$5:$V687,$V687)=1,1,""))</f>
        <v/>
      </c>
      <c r="X687" s="58" t="str">
        <f>IF($W687="","",MAX($X$4:X686)+1)</f>
        <v/>
      </c>
      <c r="Y687" s="62"/>
      <c r="Z687" s="62"/>
      <c r="AA687" s="64" t="str">
        <f>IF($C687="","",IFERROR(INDEX('Staff Directory'!$E$5:$E$594,MATCH($C687,'Staff Directory'!$B$5:$B$594,0)),""))</f>
        <v/>
      </c>
      <c r="AB687" s="64" t="str">
        <f>IF($C687="","",IF(ISNUMBER(SEARCH($D687,Settings!$C$15)),"Pickup","Dispatch"))</f>
        <v/>
      </c>
      <c r="AC687" s="64" t="str">
        <f t="shared" si="122"/>
        <v/>
      </c>
      <c r="AD687" s="64" t="str">
        <f t="shared" si="113"/>
        <v/>
      </c>
      <c r="AE687" s="64" t="str">
        <f t="shared" si="114"/>
        <v/>
      </c>
      <c r="AF687" s="89" t="str">
        <f t="shared" si="123"/>
        <v/>
      </c>
      <c r="AG687" s="64" t="str">
        <f>IF($C687="","",IFERROR(INDEX('Staff Directory'!$K$595:$K$599,MATCH($C687,'Staff Directory'!$B$5:$B$599,0)),$D687))</f>
        <v/>
      </c>
      <c r="AH687" t="str">
        <f>IF($C687="","",IFERROR(INDEX('Staff Directory'!$I$595:$I$599,MATCH($C687,'Staff Directory'!$B$5:$B$599,0))&amp;" "&amp;INDEX('Staff Directory'!$J$595:$J$599,MATCH($C687,'Staff Directory'!$B$5:$B$599,0)),$AG687))</f>
        <v/>
      </c>
      <c r="AI687" s="102"/>
      <c r="AJ687" s="101">
        <f>IF($F687="","",SUMIFS($J$5:$J687,$F$5:$F687,$F687))</f>
        <v>79</v>
      </c>
      <c r="AK687" s="101">
        <f t="shared" si="115"/>
        <v>79</v>
      </c>
      <c r="AL687" s="66" t="str" cm="1">
        <f t="array" ref="AL687">IF($F687="","",IFERROR(INDEX('Lot Balance'!$B$5:$B$500,MATCH(1,INDEX(('Lot Balance'!$A$5:$A$500=$F687)*('Lot Balance'!$K$5:$K$500&lt;$AK687)*('Lot Balance'!$K$5:$K$500+'Lot Balance'!$D$5:$D$500&gt;=$AK687),0),0)),""))</f>
        <v>20-21734-3</v>
      </c>
      <c r="AM687" s="66" t="str" cm="1">
        <f t="array" ref="AM687">IF($F687="","",IFERROR(INDEX('Lot Balance'!$B$5:$B$500,MATCH(1,INDEX(('Lot Balance'!$A$5:$A$500=$F687)*('Lot Balance'!$K$5:$K$500&lt;$AJ687)*('Lot Balance'!$K$5:$K$500+'Lot Balance'!$D$5:$D$500&gt;=$AJ687),0),0)),""))</f>
        <v>20-21734-3</v>
      </c>
      <c r="AN687" s="66" t="str">
        <f>IF($F687="","",IF($AI687&lt;&gt;"",IF(COUNTIFS('Lot Balance'!$A$5:$A$500,$F687,'Lot Balance'!$B$5:$B$500,$AI687)=0,"⚠ override is not a lot of this item",IF($AI687=$AL687,"Override = FEFO","Override - FEFO says "&amp;$AL687)),IF($AL687="","⚠ no receipt on file for this item",IF($AM687&lt;&gt;$AL687,"FEFO auto - split, also "&amp;$AM687,"FEFO auto"))))</f>
        <v>FEFO auto</v>
      </c>
      <c r="AO687" s="114"/>
    </row>
    <row r="688" spans="1:41" x14ac:dyDescent="0.35">
      <c r="A688" s="74">
        <v>46154</v>
      </c>
      <c r="B688" s="18" t="str">
        <f>IF($C688="","",IFERROR(INDEX('Staff Directory'!$A$5:$A$594,MATCH($C688,'Staff Directory'!$B$5:$B$594,0)),"⚠ unknown staff"))</f>
        <v>PSW-098-A4</v>
      </c>
      <c r="C688" s="49" t="s">
        <v>1076</v>
      </c>
      <c r="D688" s="19" t="str">
        <f>IF($B688="","",IFERROR(INDEX('Staff Directory'!$C$5:$C$594,MATCH($B688,'Staff Directory'!$A$5:$A$594,0)),""))</f>
        <v>PSW</v>
      </c>
      <c r="E688" s="19" t="str">
        <f>IF($B688="","",IFERROR(INDEX('Staff Directory'!$D$5:$D$594,MATCH($B688,'Staff Directory'!$A$5:$A$594,0)),""))</f>
        <v>A4</v>
      </c>
      <c r="F688" s="9" t="s">
        <v>127</v>
      </c>
      <c r="G688" s="18" t="str">
        <f>IF($F688="","",IFERROR(INDEX(Items!$B$5:$B$597,MATCH($F688,Items!$A$5:$A$597,0)),"⚠ not in Items"))</f>
        <v>Gloves</v>
      </c>
      <c r="H688" s="19" t="str">
        <f>IF($F688="","",IFERROR(INDEX(Items!$C$5:$C$597,MATCH($F688,Items!$A$5:$A$597,0)),""))</f>
        <v>Medium</v>
      </c>
      <c r="I688" s="23">
        <f>IF($F688="","",IFERROR(INDEX(Items!$E$5:$E$597,MATCH($F688,Items!$A$5:$A$597,0)),""))</f>
        <v>500</v>
      </c>
      <c r="J688" s="115">
        <f>IF(tblIssues[[#This Row],[Qty Override]]&lt;&gt;"",tblIssues[[#This Row],[Qty Override]],IF(tblIssues[[#This Row],[Standard Issue]]="","",tblIssues[[#This Row],[Standard Issue]]))</f>
        <v>500</v>
      </c>
      <c r="K688" s="20">
        <f>IF($F688="","",IFERROR(INDEX(Items!$D$5:$D$597,MATCH($F688,Items!$A$5:$A$597,0)),""))</f>
        <v>5.5E-2</v>
      </c>
      <c r="L688" s="21">
        <f t="shared" si="116"/>
        <v>27.5</v>
      </c>
      <c r="M688" s="9" t="str">
        <f t="shared" si="117"/>
        <v>O16689</v>
      </c>
      <c r="N688" s="24">
        <f>IF($A688="","",WORKDAY($A688,Settings!$C$9,HolidayDates))</f>
        <v>46162</v>
      </c>
      <c r="O688" s="24">
        <f>IF($N688="","",WORKDAY($N688,Settings!$C$10,HolidayDates))</f>
        <v>46202</v>
      </c>
      <c r="P688" s="10" t="s">
        <v>501</v>
      </c>
      <c r="Q688" s="52" t="str">
        <f t="shared" si="119"/>
        <v>Collected</v>
      </c>
      <c r="R688" s="55" t="str">
        <f t="shared" si="120"/>
        <v>2026-05</v>
      </c>
      <c r="S688" s="55">
        <f>IF(OR($B688="",$F688="",$R688=""),"",SUMIFS(tblIssues[Qty Issued],tblIssues[Staff ID],$B688,tblIssues[Item Name],$F688,tblIssues[Month],$R688))</f>
        <v>500</v>
      </c>
      <c r="T688" s="56">
        <f>IF($I688="","",$I688*Settings!$C$11)</f>
        <v>500</v>
      </c>
      <c r="U688" s="57" t="str">
        <f t="shared" si="118"/>
        <v>OK</v>
      </c>
      <c r="V688" s="55" t="str">
        <f t="shared" si="121"/>
        <v/>
      </c>
      <c r="W688" s="55" t="str">
        <f>IF($V688="","",IF(COUNTIF($V$5:$V688,$V688)=1,1,""))</f>
        <v/>
      </c>
      <c r="X688" s="58" t="str">
        <f>IF($W688="","",MAX($X$4:X687)+1)</f>
        <v/>
      </c>
      <c r="Y688" s="62"/>
      <c r="Z688" s="62"/>
      <c r="AA688" s="64" t="str">
        <f>IF($C688="","",IFERROR(INDEX('Staff Directory'!$E$5:$E$594,MATCH($C688,'Staff Directory'!$B$5:$B$594,0)),""))</f>
        <v>firstname160.lastname160@example.com</v>
      </c>
      <c r="AB688" s="64" t="str">
        <f>IF($C688="","",IF(ISNUMBER(SEARCH($D688,Settings!$C$15)),"Pickup","Dispatch"))</f>
        <v>Pickup</v>
      </c>
      <c r="AC688" s="64" t="str">
        <f t="shared" si="122"/>
        <v>Supply order ready for pickup</v>
      </c>
      <c r="AD688" s="64" t="str">
        <f t="shared" si="113"/>
        <v>Dear PSW,
Your order is ready for pickup from Sample Branch, Wed-Fri 9am-4pm.</v>
      </c>
      <c r="AE688" s="64" t="str">
        <f t="shared" si="114"/>
        <v>mailto:firstname160.lastname160@example.com?subject=Supply%20order%20ready%20for%20pickup&amp;body=Dear%20PSW%2C%0A%0AYour%20order%20is%20ready%20for%20pickup%20from%20Sample%20Branch%2C%20Wed-Fri%209am-4pm.</v>
      </c>
      <c r="AF688" s="89" t="str">
        <f t="shared" si="123"/>
        <v>Draft email</v>
      </c>
      <c r="AG688" s="64" t="str">
        <f>IF($C688="","",IFERROR(INDEX('Staff Directory'!$K$595:$K$599,MATCH($C688,'Staff Directory'!$B$5:$B$599,0)),$D688))</f>
        <v>PSW</v>
      </c>
      <c r="AH688" t="str">
        <f>IF($C688="","",IFERROR(INDEX('Staff Directory'!$I$595:$I$599,MATCH($C688,'Staff Directory'!$B$5:$B$599,0))&amp;" "&amp;INDEX('Staff Directory'!$J$595:$J$599,MATCH($C688,'Staff Directory'!$B$5:$B$599,0)),$AG688))</f>
        <v>PSW</v>
      </c>
      <c r="AI688" s="102"/>
      <c r="AJ688" s="101">
        <f>IF($F688="","",SUMIFS($J$5:$J688,$F$5:$F688,$F688))</f>
        <v>40000</v>
      </c>
      <c r="AK688" s="101">
        <f t="shared" si="115"/>
        <v>39501</v>
      </c>
      <c r="AL688" s="66" t="str" cm="1">
        <f t="array" ref="AL688">IF($F688="","",IFERROR(INDEX('Lot Balance'!$B$5:$B$500,MATCH(1,INDEX(('Lot Balance'!$A$5:$A$500=$F688)*('Lot Balance'!$K$5:$K$500&lt;$AK688)*('Lot Balance'!$K$5:$K$500+'Lot Balance'!$D$5:$D$500&gt;=$AK688),0),0)),""))</f>
        <v>O16689</v>
      </c>
      <c r="AM688" s="66" t="str" cm="1">
        <f t="array" ref="AM688">IF($F688="","",IFERROR(INDEX('Lot Balance'!$B$5:$B$500,MATCH(1,INDEX(('Lot Balance'!$A$5:$A$500=$F688)*('Lot Balance'!$K$5:$K$500&lt;$AJ688)*('Lot Balance'!$K$5:$K$500+'Lot Balance'!$D$5:$D$500&gt;=$AJ688),0),0)),""))</f>
        <v>O16689</v>
      </c>
      <c r="AN688" s="66" t="str">
        <f>IF($F688="","",IF($AI688&lt;&gt;"",IF(COUNTIFS('Lot Balance'!$A$5:$A$500,$F688,'Lot Balance'!$B$5:$B$500,$AI688)=0,"⚠ override is not a lot of this item",IF($AI688=$AL688,"Override = FEFO","Override - FEFO says "&amp;$AL688)),IF($AL688="","⚠ no receipt on file for this item",IF($AM688&lt;&gt;$AL688,"FEFO auto - split, also "&amp;$AM688,"FEFO auto"))))</f>
        <v>FEFO auto</v>
      </c>
      <c r="AO688" s="114"/>
    </row>
    <row r="689" spans="1:41" x14ac:dyDescent="0.35">
      <c r="A689" s="74">
        <v>46154</v>
      </c>
      <c r="B689" s="18" t="str">
        <f>IF($C689="","",IFERROR(INDEX('Staff Directory'!$A$5:$A$594,MATCH($C689,'Staff Directory'!$B$5:$B$594,0)),"⚠ unknown staff"))</f>
        <v>PSW-098-A4</v>
      </c>
      <c r="C689" s="49" t="s">
        <v>1076</v>
      </c>
      <c r="D689" s="19" t="str">
        <f>IF($B689="","",IFERROR(INDEX('Staff Directory'!$C$5:$C$594,MATCH($B689,'Staff Directory'!$A$5:$A$594,0)),""))</f>
        <v>PSW</v>
      </c>
      <c r="E689" s="19" t="str">
        <f>IF($B689="","",IFERROR(INDEX('Staff Directory'!$D$5:$D$594,MATCH($B689,'Staff Directory'!$A$5:$A$594,0)),""))</f>
        <v>A4</v>
      </c>
      <c r="F689" s="9" t="s">
        <v>191</v>
      </c>
      <c r="G689" s="18" t="str">
        <f>IF($F689="","",IFERROR(INDEX(Items!$B$5:$B$597,MATCH($F689,Items!$A$5:$A$597,0)),"⚠ not in Items"))</f>
        <v>Sanitizer</v>
      </c>
      <c r="H689" s="19" t="str">
        <f>IF($F689="","",IFERROR(INDEX(Items!$C$5:$C$597,MATCH($F689,Items!$A$5:$A$597,0)),""))</f>
        <v>236 ML</v>
      </c>
      <c r="I689" s="23">
        <f>IF($F689="","",IFERROR(INDEX(Items!$E$5:$E$597,MATCH($F689,Items!$A$5:$A$597,0)),""))</f>
        <v>1</v>
      </c>
      <c r="J689" s="115">
        <f>IF(tblIssues[[#This Row],[Qty Override]]&lt;&gt;"",tblIssues[[#This Row],[Qty Override]],IF(tblIssues[[#This Row],[Standard Issue]]="","",tblIssues[[#This Row],[Standard Issue]]))</f>
        <v>1</v>
      </c>
      <c r="K689" s="20">
        <f>IF($F689="","",IFERROR(INDEX(Items!$D$5:$D$597,MATCH($F689,Items!$A$5:$A$597,0)),""))</f>
        <v>1E-4</v>
      </c>
      <c r="L689" s="21">
        <f t="shared" si="116"/>
        <v>1E-4</v>
      </c>
      <c r="M689" s="9" t="str">
        <f t="shared" si="117"/>
        <v>20-21734-3</v>
      </c>
      <c r="N689" s="24">
        <f>IF($A689="","",WORKDAY($A689,Settings!$C$9,HolidayDates))</f>
        <v>46162</v>
      </c>
      <c r="O689" s="24">
        <f>IF($N689="","",WORKDAY($N689,Settings!$C$10,HolidayDates))</f>
        <v>46202</v>
      </c>
      <c r="P689" s="10" t="s">
        <v>501</v>
      </c>
      <c r="Q689" s="52" t="str">
        <f t="shared" si="119"/>
        <v>Collected</v>
      </c>
      <c r="R689" s="55" t="str">
        <f t="shared" si="120"/>
        <v>2026-05</v>
      </c>
      <c r="S689" s="55">
        <f>IF(OR($B689="",$F689="",$R689=""),"",SUMIFS(tblIssues[Qty Issued],tblIssues[Staff ID],$B689,tblIssues[Item Name],$F689,tblIssues[Month],$R689))</f>
        <v>1</v>
      </c>
      <c r="T689" s="56">
        <f>IF($I689="","",$I689*Settings!$C$11)</f>
        <v>1</v>
      </c>
      <c r="U689" s="57" t="str">
        <f t="shared" si="118"/>
        <v>OK</v>
      </c>
      <c r="V689" s="55" t="str">
        <f t="shared" si="121"/>
        <v/>
      </c>
      <c r="W689" s="55" t="str">
        <f>IF($V689="","",IF(COUNTIF($V$5:$V689,$V689)=1,1,""))</f>
        <v/>
      </c>
      <c r="X689" s="58" t="str">
        <f>IF($W689="","",MAX($X$4:X688)+1)</f>
        <v/>
      </c>
      <c r="Y689" s="62"/>
      <c r="Z689" s="62"/>
      <c r="AA689" s="64" t="str">
        <f>IF($C689="","",IFERROR(INDEX('Staff Directory'!$E$5:$E$594,MATCH($C689,'Staff Directory'!$B$5:$B$594,0)),""))</f>
        <v>firstname160.lastname160@example.com</v>
      </c>
      <c r="AB689" s="64" t="str">
        <f>IF($C689="","",IF(ISNUMBER(SEARCH($D689,Settings!$C$15)),"Pickup","Dispatch"))</f>
        <v>Pickup</v>
      </c>
      <c r="AC689" s="64" t="str">
        <f t="shared" si="122"/>
        <v>Supply order ready for pickup</v>
      </c>
      <c r="AD689" s="64" t="str">
        <f t="shared" si="113"/>
        <v>Dear PSW,
Your order is ready for pickup from Sample Branch, Wed-Fri 9am-4pm.</v>
      </c>
      <c r="AE689" s="64" t="str">
        <f t="shared" si="114"/>
        <v>mailto:firstname160.lastname160@example.com?subject=Supply%20order%20ready%20for%20pickup&amp;body=Dear%20PSW%2C%0A%0AYour%20order%20is%20ready%20for%20pickup%20from%20Sample%20Branch%2C%20Wed-Fri%209am-4pm.</v>
      </c>
      <c r="AF689" s="89" t="str">
        <f t="shared" si="123"/>
        <v>Draft email</v>
      </c>
      <c r="AG689" s="64" t="str">
        <f>IF($C689="","",IFERROR(INDEX('Staff Directory'!$K$595:$K$599,MATCH($C689,'Staff Directory'!$B$5:$B$599,0)),$D689))</f>
        <v>PSW</v>
      </c>
      <c r="AH689" t="str">
        <f>IF($C689="","",IFERROR(INDEX('Staff Directory'!$I$595:$I$599,MATCH($C689,'Staff Directory'!$B$5:$B$599,0))&amp;" "&amp;INDEX('Staff Directory'!$J$595:$J$599,MATCH($C689,'Staff Directory'!$B$5:$B$599,0)),$AG689))</f>
        <v>PSW</v>
      </c>
      <c r="AI689" s="102"/>
      <c r="AJ689" s="101">
        <f>IF($F689="","",SUMIFS($J$5:$J689,$F$5:$F689,$F689))</f>
        <v>80</v>
      </c>
      <c r="AK689" s="101">
        <f t="shared" si="115"/>
        <v>80</v>
      </c>
      <c r="AL689" s="66" t="str" cm="1">
        <f t="array" ref="AL689">IF($F689="","",IFERROR(INDEX('Lot Balance'!$B$5:$B$500,MATCH(1,INDEX(('Lot Balance'!$A$5:$A$500=$F689)*('Lot Balance'!$K$5:$K$500&lt;$AK689)*('Lot Balance'!$K$5:$K$500+'Lot Balance'!$D$5:$D$500&gt;=$AK689),0),0)),""))</f>
        <v>20-21734-3</v>
      </c>
      <c r="AM689" s="66" t="str" cm="1">
        <f t="array" ref="AM689">IF($F689="","",IFERROR(INDEX('Lot Balance'!$B$5:$B$500,MATCH(1,INDEX(('Lot Balance'!$A$5:$A$500=$F689)*('Lot Balance'!$K$5:$K$500&lt;$AJ689)*('Lot Balance'!$K$5:$K$500+'Lot Balance'!$D$5:$D$500&gt;=$AJ689),0),0)),""))</f>
        <v>20-21734-3</v>
      </c>
      <c r="AN689" s="66" t="str">
        <f>IF($F689="","",IF($AI689&lt;&gt;"",IF(COUNTIFS('Lot Balance'!$A$5:$A$500,$F689,'Lot Balance'!$B$5:$B$500,$AI689)=0,"⚠ override is not a lot of this item",IF($AI689=$AL689,"Override = FEFO","Override - FEFO says "&amp;$AL689)),IF($AL689="","⚠ no receipt on file for this item",IF($AM689&lt;&gt;$AL689,"FEFO auto - split, also "&amp;$AM689,"FEFO auto"))))</f>
        <v>FEFO auto</v>
      </c>
      <c r="AO689" s="114"/>
    </row>
    <row r="690" spans="1:41" x14ac:dyDescent="0.35">
      <c r="A690" s="74">
        <v>46154</v>
      </c>
      <c r="B690" s="18" t="str">
        <f>IF($C690="","",IFERROR(INDEX('Staff Directory'!$A$5:$A$594,MATCH($C690,'Staff Directory'!$B$5:$B$594,0)),"⚠ unknown staff"))</f>
        <v>PSW-098-A4</v>
      </c>
      <c r="C690" s="49" t="s">
        <v>1076</v>
      </c>
      <c r="D690" s="19" t="str">
        <f>IF($B690="","",IFERROR(INDEX('Staff Directory'!$C$5:$C$594,MATCH($B690,'Staff Directory'!$A$5:$A$594,0)),""))</f>
        <v>PSW</v>
      </c>
      <c r="E690" s="19" t="str">
        <f>IF($B690="","",IFERROR(INDEX('Staff Directory'!$D$5:$D$594,MATCH($B690,'Staff Directory'!$A$5:$A$594,0)),""))</f>
        <v>A4</v>
      </c>
      <c r="F690" s="9" t="s">
        <v>115</v>
      </c>
      <c r="G690" s="18" t="str">
        <f>IF($F690="","",IFERROR(INDEX(Items!$B$5:$B$597,MATCH($F690,Items!$A$5:$A$597,0)),"⚠ not in Items"))</f>
        <v>Wipes</v>
      </c>
      <c r="H690" s="19">
        <f>IF($F690="","",IFERROR(INDEX(Items!$C$5:$C$597,MATCH($F690,Items!$A$5:$A$597,0)),""))</f>
        <v>80</v>
      </c>
      <c r="I690" s="23">
        <f>IF($F690="","",IFERROR(INDEX(Items!$E$5:$E$597,MATCH($F690,Items!$A$5:$A$597,0)),""))</f>
        <v>80</v>
      </c>
      <c r="J690" s="115">
        <f>IF(tblIssues[[#This Row],[Qty Override]]&lt;&gt;"",tblIssues[[#This Row],[Qty Override]],IF(tblIssues[[#This Row],[Standard Issue]]="","",tblIssues[[#This Row],[Standard Issue]]))</f>
        <v>80</v>
      </c>
      <c r="K690" s="20">
        <f>IF($F690="","",IFERROR(INDEX(Items!$D$5:$D$597,MATCH($F690,Items!$A$5:$A$597,0)),""))</f>
        <v>0.1</v>
      </c>
      <c r="L690" s="21">
        <f t="shared" si="116"/>
        <v>8</v>
      </c>
      <c r="M690" s="9" t="str">
        <f t="shared" si="117"/>
        <v>LYSL500290</v>
      </c>
      <c r="N690" s="24">
        <f>IF($A690="","",WORKDAY($A690,Settings!$C$9,HolidayDates))</f>
        <v>46162</v>
      </c>
      <c r="O690" s="24">
        <f>IF($N690="","",WORKDAY($N690,Settings!$C$10,HolidayDates))</f>
        <v>46202</v>
      </c>
      <c r="P690" s="10" t="s">
        <v>501</v>
      </c>
      <c r="Q690" s="52" t="str">
        <f t="shared" si="119"/>
        <v>Collected</v>
      </c>
      <c r="R690" s="55" t="str">
        <f t="shared" si="120"/>
        <v>2026-05</v>
      </c>
      <c r="S690" s="55">
        <f>IF(OR($B690="",$F690="",$R690=""),"",SUMIFS(tblIssues[Qty Issued],tblIssues[Staff ID],$B690,tblIssues[Item Name],$F690,tblIssues[Month],$R690))</f>
        <v>80</v>
      </c>
      <c r="T690" s="56">
        <f>IF($I690="","",$I690*Settings!$C$11)</f>
        <v>80</v>
      </c>
      <c r="U690" s="57" t="str">
        <f t="shared" si="118"/>
        <v>OK</v>
      </c>
      <c r="V690" s="55" t="str">
        <f t="shared" si="121"/>
        <v/>
      </c>
      <c r="W690" s="55" t="str">
        <f>IF($V690="","",IF(COUNTIF($V$5:$V690,$V690)=1,1,""))</f>
        <v/>
      </c>
      <c r="X690" s="58" t="str">
        <f>IF($W690="","",MAX($X$4:X689)+1)</f>
        <v/>
      </c>
      <c r="Y690" s="62"/>
      <c r="Z690" s="62"/>
      <c r="AA690" s="64" t="str">
        <f>IF($C690="","",IFERROR(INDEX('Staff Directory'!$E$5:$E$594,MATCH($C690,'Staff Directory'!$B$5:$B$594,0)),""))</f>
        <v>firstname160.lastname160@example.com</v>
      </c>
      <c r="AB690" s="64" t="str">
        <f>IF($C690="","",IF(ISNUMBER(SEARCH($D690,Settings!$C$15)),"Pickup","Dispatch"))</f>
        <v>Pickup</v>
      </c>
      <c r="AC690" s="64" t="str">
        <f t="shared" si="122"/>
        <v>Supply order ready for pickup</v>
      </c>
      <c r="AD690" s="64" t="str">
        <f t="shared" si="113"/>
        <v>Dear PSW,
Your order is ready for pickup from Sample Branch, Wed-Fri 9am-4pm.</v>
      </c>
      <c r="AE690" s="64" t="str">
        <f t="shared" si="114"/>
        <v>mailto:firstname160.lastname160@example.com?subject=Supply%20order%20ready%20for%20pickup&amp;body=Dear%20PSW%2C%0A%0AYour%20order%20is%20ready%20for%20pickup%20from%20Sample%20Branch%2C%20Wed-Fri%209am-4pm.</v>
      </c>
      <c r="AF690" s="89" t="str">
        <f t="shared" si="123"/>
        <v>Draft email</v>
      </c>
      <c r="AG690" s="64" t="str">
        <f>IF($C690="","",IFERROR(INDEX('Staff Directory'!$K$595:$K$599,MATCH($C690,'Staff Directory'!$B$5:$B$599,0)),$D690))</f>
        <v>PSW</v>
      </c>
      <c r="AH690" t="str">
        <f>IF($C690="","",IFERROR(INDEX('Staff Directory'!$I$595:$I$599,MATCH($C690,'Staff Directory'!$B$5:$B$599,0))&amp;" "&amp;INDEX('Staff Directory'!$J$595:$J$599,MATCH($C690,'Staff Directory'!$B$5:$B$599,0)),$AG690))</f>
        <v>PSW</v>
      </c>
      <c r="AI690" s="102"/>
      <c r="AJ690" s="101">
        <f>IF($F690="","",SUMIFS($J$5:$J690,$F$5:$F690,$F690))</f>
        <v>9680</v>
      </c>
      <c r="AK690" s="101">
        <f t="shared" si="115"/>
        <v>9601</v>
      </c>
      <c r="AL690" s="66" t="str" cm="1">
        <f t="array" ref="AL690">IF($F690="","",IFERROR(INDEX('Lot Balance'!$B$5:$B$500,MATCH(1,INDEX(('Lot Balance'!$A$5:$A$500=$F690)*('Lot Balance'!$K$5:$K$500&lt;$AK690)*('Lot Balance'!$K$5:$K$500+'Lot Balance'!$D$5:$D$500&gt;=$AK690),0),0)),""))</f>
        <v>LYSL500290</v>
      </c>
      <c r="AM690" s="66" t="str" cm="1">
        <f t="array" ref="AM690">IF($F690="","",IFERROR(INDEX('Lot Balance'!$B$5:$B$500,MATCH(1,INDEX(('Lot Balance'!$A$5:$A$500=$F690)*('Lot Balance'!$K$5:$K$500&lt;$AJ690)*('Lot Balance'!$K$5:$K$500+'Lot Balance'!$D$5:$D$500&gt;=$AJ690),0),0)),""))</f>
        <v>LYSL500290</v>
      </c>
      <c r="AN690" s="66" t="str">
        <f>IF($F690="","",IF($AI690&lt;&gt;"",IF(COUNTIFS('Lot Balance'!$A$5:$A$500,$F690,'Lot Balance'!$B$5:$B$500,$AI690)=0,"⚠ override is not a lot of this item",IF($AI690=$AL690,"Override = FEFO","Override - FEFO says "&amp;$AL690)),IF($AL690="","⚠ no receipt on file for this item",IF($AM690&lt;&gt;$AL690,"FEFO auto - split, also "&amp;$AM690,"FEFO auto"))))</f>
        <v>FEFO auto</v>
      </c>
      <c r="AO690" s="114"/>
    </row>
    <row r="691" spans="1:41" x14ac:dyDescent="0.35">
      <c r="A691" s="74">
        <v>46154</v>
      </c>
      <c r="B691" s="18" t="str">
        <f>IF($C691="","",IFERROR(INDEX('Staff Directory'!$A$5:$A$594,MATCH($C691,'Staff Directory'!$B$5:$B$594,0)),"⚠ unknown staff"))</f>
        <v>PSW-115-A5</v>
      </c>
      <c r="C691" s="49" t="s">
        <v>1093</v>
      </c>
      <c r="D691" s="19" t="str">
        <f>IF($B691="","",IFERROR(INDEX('Staff Directory'!$C$5:$C$594,MATCH($B691,'Staff Directory'!$A$5:$A$594,0)),""))</f>
        <v>PSW</v>
      </c>
      <c r="E691" s="19" t="str">
        <f>IF($B691="","",IFERROR(INDEX('Staff Directory'!$D$5:$D$594,MATCH($B691,'Staff Directory'!$A$5:$A$594,0)),""))</f>
        <v>A5</v>
      </c>
      <c r="F691" s="9" t="s">
        <v>127</v>
      </c>
      <c r="G691" s="18" t="str">
        <f>IF($F691="","",IFERROR(INDEX(Items!$B$5:$B$597,MATCH($F691,Items!$A$5:$A$597,0)),"⚠ not in Items"))</f>
        <v>Gloves</v>
      </c>
      <c r="H691" s="19" t="str">
        <f>IF($F691="","",IFERROR(INDEX(Items!$C$5:$C$597,MATCH($F691,Items!$A$5:$A$597,0)),""))</f>
        <v>Medium</v>
      </c>
      <c r="I691" s="23">
        <f>IF($F691="","",IFERROR(INDEX(Items!$E$5:$E$597,MATCH($F691,Items!$A$5:$A$597,0)),""))</f>
        <v>500</v>
      </c>
      <c r="J691" s="115">
        <f>IF(tblIssues[[#This Row],[Qty Override]]&lt;&gt;"",tblIssues[[#This Row],[Qty Override]],IF(tblIssues[[#This Row],[Standard Issue]]="","",tblIssues[[#This Row],[Standard Issue]]))</f>
        <v>500</v>
      </c>
      <c r="K691" s="20">
        <f>IF($F691="","",IFERROR(INDEX(Items!$D$5:$D$597,MATCH($F691,Items!$A$5:$A$597,0)),""))</f>
        <v>5.5E-2</v>
      </c>
      <c r="L691" s="21">
        <f t="shared" si="116"/>
        <v>27.5</v>
      </c>
      <c r="M691" s="9" t="str">
        <f t="shared" si="117"/>
        <v>O16689</v>
      </c>
      <c r="N691" s="24">
        <f>IF($A691="","",WORKDAY($A691,Settings!$C$9,HolidayDates))</f>
        <v>46162</v>
      </c>
      <c r="O691" s="24">
        <f>IF($N691="","",WORKDAY($N691,Settings!$C$10,HolidayDates))</f>
        <v>46202</v>
      </c>
      <c r="P691" s="10" t="s">
        <v>501</v>
      </c>
      <c r="Q691" s="52" t="str">
        <f t="shared" si="119"/>
        <v>Collected</v>
      </c>
      <c r="R691" s="55" t="str">
        <f t="shared" si="120"/>
        <v>2026-05</v>
      </c>
      <c r="S691" s="55">
        <f>IF(OR($B691="",$F691="",$R691=""),"",SUMIFS(tblIssues[Qty Issued],tblIssues[Staff ID],$B691,tblIssues[Item Name],$F691,tblIssues[Month],$R691))</f>
        <v>500</v>
      </c>
      <c r="T691" s="56">
        <f>IF($I691="","",$I691*Settings!$C$11)</f>
        <v>500</v>
      </c>
      <c r="U691" s="57" t="str">
        <f t="shared" si="118"/>
        <v>OK</v>
      </c>
      <c r="V691" s="55" t="str">
        <f t="shared" si="121"/>
        <v/>
      </c>
      <c r="W691" s="55" t="str">
        <f>IF($V691="","",IF(COUNTIF($V$5:$V691,$V691)=1,1,""))</f>
        <v/>
      </c>
      <c r="X691" s="58" t="str">
        <f>IF($W691="","",MAX($X$4:X690)+1)</f>
        <v/>
      </c>
      <c r="Y691" s="62"/>
      <c r="Z691" s="62"/>
      <c r="AA691" s="64" t="str">
        <f>IF($C691="","",IFERROR(INDEX('Staff Directory'!$E$5:$E$594,MATCH($C691,'Staff Directory'!$B$5:$B$594,0)),""))</f>
        <v>firstname177.lastname177@example.com</v>
      </c>
      <c r="AB691" s="64" t="str">
        <f>IF($C691="","",IF(ISNUMBER(SEARCH($D691,Settings!$C$15)),"Pickup","Dispatch"))</f>
        <v>Pickup</v>
      </c>
      <c r="AC691" s="64" t="str">
        <f t="shared" si="122"/>
        <v>Supply order ready for pickup</v>
      </c>
      <c r="AD691" s="64" t="str">
        <f t="shared" si="113"/>
        <v>Dear PSW,
Your order is ready for pickup from Sample Branch, Wed-Fri 9am-4pm.</v>
      </c>
      <c r="AE691" s="64" t="str">
        <f t="shared" si="114"/>
        <v>mailto:firstname177.lastname177@example.com?subject=Supply%20order%20ready%20for%20pickup&amp;body=Dear%20PSW%2C%0A%0AYour%20order%20is%20ready%20for%20pickup%20from%20Sample%20Branch%2C%20Wed-Fri%209am-4pm.</v>
      </c>
      <c r="AF691" s="89" t="str">
        <f t="shared" si="123"/>
        <v>Draft email</v>
      </c>
      <c r="AG691" s="64" t="str">
        <f>IF($C691="","",IFERROR(INDEX('Staff Directory'!$K$595:$K$599,MATCH($C691,'Staff Directory'!$B$5:$B$599,0)),$D691))</f>
        <v>PSW</v>
      </c>
      <c r="AH691" t="str">
        <f>IF($C691="","",IFERROR(INDEX('Staff Directory'!$I$595:$I$599,MATCH($C691,'Staff Directory'!$B$5:$B$599,0))&amp;" "&amp;INDEX('Staff Directory'!$J$595:$J$599,MATCH($C691,'Staff Directory'!$B$5:$B$599,0)),$AG691))</f>
        <v>PSW</v>
      </c>
      <c r="AI691" s="102"/>
      <c r="AJ691" s="101">
        <f>IF($F691="","",SUMIFS($J$5:$J691,$F$5:$F691,$F691))</f>
        <v>40500</v>
      </c>
      <c r="AK691" s="101">
        <f t="shared" si="115"/>
        <v>40001</v>
      </c>
      <c r="AL691" s="66" t="str" cm="1">
        <f t="array" ref="AL691">IF($F691="","",IFERROR(INDEX('Lot Balance'!$B$5:$B$500,MATCH(1,INDEX(('Lot Balance'!$A$5:$A$500=$F691)*('Lot Balance'!$K$5:$K$500&lt;$AK691)*('Lot Balance'!$K$5:$K$500+'Lot Balance'!$D$5:$D$500&gt;=$AK691),0),0)),""))</f>
        <v>O16689</v>
      </c>
      <c r="AM691" s="66" t="str" cm="1">
        <f t="array" ref="AM691">IF($F691="","",IFERROR(INDEX('Lot Balance'!$B$5:$B$500,MATCH(1,INDEX(('Lot Balance'!$A$5:$A$500=$F691)*('Lot Balance'!$K$5:$K$500&lt;$AJ691)*('Lot Balance'!$K$5:$K$500+'Lot Balance'!$D$5:$D$500&gt;=$AJ691),0),0)),""))</f>
        <v>O16689</v>
      </c>
      <c r="AN691" s="66" t="str">
        <f>IF($F691="","",IF($AI691&lt;&gt;"",IF(COUNTIFS('Lot Balance'!$A$5:$A$500,$F691,'Lot Balance'!$B$5:$B$500,$AI691)=0,"⚠ override is not a lot of this item",IF($AI691=$AL691,"Override = FEFO","Override - FEFO says "&amp;$AL691)),IF($AL691="","⚠ no receipt on file for this item",IF($AM691&lt;&gt;$AL691,"FEFO auto - split, also "&amp;$AM691,"FEFO auto"))))</f>
        <v>FEFO auto</v>
      </c>
      <c r="AO691" s="114"/>
    </row>
    <row r="692" spans="1:41" x14ac:dyDescent="0.35">
      <c r="A692" s="74">
        <v>46154</v>
      </c>
      <c r="B692" s="18" t="str">
        <f>IF($C692="","",IFERROR(INDEX('Staff Directory'!$A$5:$A$594,MATCH($C692,'Staff Directory'!$B$5:$B$594,0)),"⚠ unknown staff"))</f>
        <v>PSW-115-A5</v>
      </c>
      <c r="C692" s="49" t="s">
        <v>1093</v>
      </c>
      <c r="D692" s="19" t="str">
        <f>IF($B692="","",IFERROR(INDEX('Staff Directory'!$C$5:$C$594,MATCH($B692,'Staff Directory'!$A$5:$A$594,0)),""))</f>
        <v>PSW</v>
      </c>
      <c r="E692" s="19" t="str">
        <f>IF($B692="","",IFERROR(INDEX('Staff Directory'!$D$5:$D$594,MATCH($B692,'Staff Directory'!$A$5:$A$594,0)),""))</f>
        <v>A5</v>
      </c>
      <c r="F692" s="9" t="s">
        <v>156</v>
      </c>
      <c r="G692" s="18" t="str">
        <f>IF($F692="","",IFERROR(INDEX(Items!$B$5:$B$597,MATCH($F692,Items!$A$5:$A$597,0)),"⚠ not in Items"))</f>
        <v>Masks</v>
      </c>
      <c r="H692" s="19" t="str">
        <f>IF($F692="","",IFERROR(INDEX(Items!$C$5:$C$597,MATCH($F692,Items!$A$5:$A$597,0)),""))</f>
        <v>One Size</v>
      </c>
      <c r="I692" s="23">
        <f>IF($F692="","",IFERROR(INDEX(Items!$E$5:$E$597,MATCH($F692,Items!$A$5:$A$597,0)),""))</f>
        <v>50</v>
      </c>
      <c r="J692" s="115">
        <f>IF(tblIssues[[#This Row],[Qty Override]]&lt;&gt;"",tblIssues[[#This Row],[Qty Override]],IF(tblIssues[[#This Row],[Standard Issue]]="","",tblIssues[[#This Row],[Standard Issue]]))</f>
        <v>50</v>
      </c>
      <c r="K692" s="20">
        <f>IF($F692="","",IFERROR(INDEX(Items!$D$5:$D$597,MATCH($F692,Items!$A$5:$A$597,0)),""))</f>
        <v>0.25</v>
      </c>
      <c r="L692" s="21">
        <f t="shared" si="116"/>
        <v>12.5</v>
      </c>
      <c r="M692" s="9" t="str">
        <f t="shared" si="117"/>
        <v>0125FPC24-0</v>
      </c>
      <c r="N692" s="24">
        <f>IF($A692="","",WORKDAY($A692,Settings!$C$9,HolidayDates))</f>
        <v>46162</v>
      </c>
      <c r="O692" s="24">
        <f>IF($N692="","",WORKDAY($N692,Settings!$C$10,HolidayDates))</f>
        <v>46202</v>
      </c>
      <c r="P692" s="10" t="s">
        <v>501</v>
      </c>
      <c r="Q692" s="52" t="str">
        <f t="shared" si="119"/>
        <v>Collected</v>
      </c>
      <c r="R692" s="55" t="str">
        <f t="shared" si="120"/>
        <v>2026-05</v>
      </c>
      <c r="S692" s="55">
        <f>IF(OR($B692="",$F692="",$R692=""),"",SUMIFS(tblIssues[Qty Issued],tblIssues[Staff ID],$B692,tblIssues[Item Name],$F692,tblIssues[Month],$R692))</f>
        <v>50</v>
      </c>
      <c r="T692" s="56">
        <f>IF($I692="","",$I692*Settings!$C$11)</f>
        <v>50</v>
      </c>
      <c r="U692" s="57" t="str">
        <f t="shared" si="118"/>
        <v>OK</v>
      </c>
      <c r="V692" s="55" t="str">
        <f t="shared" si="121"/>
        <v/>
      </c>
      <c r="W692" s="55" t="str">
        <f>IF($V692="","",IF(COUNTIF($V$5:$V692,$V692)=1,1,""))</f>
        <v/>
      </c>
      <c r="X692" s="58" t="str">
        <f>IF($W692="","",MAX($X$4:X691)+1)</f>
        <v/>
      </c>
      <c r="Y692" s="62"/>
      <c r="Z692" s="62"/>
      <c r="AA692" s="64" t="str">
        <f>IF($C692="","",IFERROR(INDEX('Staff Directory'!$E$5:$E$594,MATCH($C692,'Staff Directory'!$B$5:$B$594,0)),""))</f>
        <v>firstname177.lastname177@example.com</v>
      </c>
      <c r="AB692" s="64" t="str">
        <f>IF($C692="","",IF(ISNUMBER(SEARCH($D692,Settings!$C$15)),"Pickup","Dispatch"))</f>
        <v>Pickup</v>
      </c>
      <c r="AC692" s="64" t="str">
        <f t="shared" si="122"/>
        <v>Supply order ready for pickup</v>
      </c>
      <c r="AD692" s="64" t="str">
        <f t="shared" si="113"/>
        <v>Dear PSW,
Your order is ready for pickup from Sample Branch, Wed-Fri 9am-4pm.</v>
      </c>
      <c r="AE692" s="64" t="str">
        <f t="shared" si="114"/>
        <v>mailto:firstname177.lastname177@example.com?subject=Supply%20order%20ready%20for%20pickup&amp;body=Dear%20PSW%2C%0A%0AYour%20order%20is%20ready%20for%20pickup%20from%20Sample%20Branch%2C%20Wed-Fri%209am-4pm.</v>
      </c>
      <c r="AF692" s="89" t="str">
        <f t="shared" si="123"/>
        <v>Draft email</v>
      </c>
      <c r="AG692" s="64" t="str">
        <f>IF($C692="","",IFERROR(INDEX('Staff Directory'!$K$595:$K$599,MATCH($C692,'Staff Directory'!$B$5:$B$599,0)),$D692))</f>
        <v>PSW</v>
      </c>
      <c r="AH692" t="str">
        <f>IF($C692="","",IFERROR(INDEX('Staff Directory'!$I$595:$I$599,MATCH($C692,'Staff Directory'!$B$5:$B$599,0))&amp;" "&amp;INDEX('Staff Directory'!$J$595:$J$599,MATCH($C692,'Staff Directory'!$B$5:$B$599,0)),$AG692))</f>
        <v>PSW</v>
      </c>
      <c r="AI692" s="102"/>
      <c r="AJ692" s="101">
        <f>IF($F692="","",SUMIFS($J$5:$J692,$F$5:$F692,$F692))</f>
        <v>5600</v>
      </c>
      <c r="AK692" s="101">
        <f t="shared" si="115"/>
        <v>5551</v>
      </c>
      <c r="AL692" s="66" t="str" cm="1">
        <f t="array" ref="AL692">IF($F692="","",IFERROR(INDEX('Lot Balance'!$B$5:$B$500,MATCH(1,INDEX(('Lot Balance'!$A$5:$A$500=$F692)*('Lot Balance'!$K$5:$K$500&lt;$AK692)*('Lot Balance'!$K$5:$K$500+'Lot Balance'!$D$5:$D$500&gt;=$AK692),0),0)),""))</f>
        <v>0125FPC24-0</v>
      </c>
      <c r="AM692" s="66" t="str" cm="1">
        <f t="array" ref="AM692">IF($F692="","",IFERROR(INDEX('Lot Balance'!$B$5:$B$500,MATCH(1,INDEX(('Lot Balance'!$A$5:$A$500=$F692)*('Lot Balance'!$K$5:$K$500&lt;$AJ692)*('Lot Balance'!$K$5:$K$500+'Lot Balance'!$D$5:$D$500&gt;=$AJ692),0),0)),""))</f>
        <v>0125FPC24-0</v>
      </c>
      <c r="AN692" s="66" t="str">
        <f>IF($F692="","",IF($AI692&lt;&gt;"",IF(COUNTIFS('Lot Balance'!$A$5:$A$500,$F692,'Lot Balance'!$B$5:$B$500,$AI692)=0,"⚠ override is not a lot of this item",IF($AI692=$AL692,"Override = FEFO","Override - FEFO says "&amp;$AL692)),IF($AL692="","⚠ no receipt on file for this item",IF($AM692&lt;&gt;$AL692,"FEFO auto - split, also "&amp;$AM692,"FEFO auto"))))</f>
        <v>FEFO auto</v>
      </c>
      <c r="AO692" s="114"/>
    </row>
    <row r="693" spans="1:41" x14ac:dyDescent="0.35">
      <c r="A693" s="74">
        <v>46154</v>
      </c>
      <c r="B693" s="18" t="str">
        <f>IF($C693="","",IFERROR(INDEX('Staff Directory'!$A$5:$A$594,MATCH($C693,'Staff Directory'!$B$5:$B$594,0)),"⚠ unknown staff"))</f>
        <v>RN-004-A2</v>
      </c>
      <c r="C693" s="49" t="s">
        <v>920</v>
      </c>
      <c r="D693" s="19" t="str">
        <f>IF($B693="","",IFERROR(INDEX('Staff Directory'!$C$5:$C$594,MATCH($B693,'Staff Directory'!$A$5:$A$594,0)),""))</f>
        <v>RN</v>
      </c>
      <c r="E693" s="19" t="str">
        <f>IF($B693="","",IFERROR(INDEX('Staff Directory'!$D$5:$D$594,MATCH($B693,'Staff Directory'!$A$5:$A$594,0)),""))</f>
        <v>A2</v>
      </c>
      <c r="F693" s="9" t="s">
        <v>127</v>
      </c>
      <c r="G693" s="18" t="str">
        <f>IF($F693="","",IFERROR(INDEX(Items!$B$5:$B$597,MATCH($F693,Items!$A$5:$A$597,0)),"⚠ not in Items"))</f>
        <v>Gloves</v>
      </c>
      <c r="H693" s="19" t="str">
        <f>IF($F693="","",IFERROR(INDEX(Items!$C$5:$C$597,MATCH($F693,Items!$A$5:$A$597,0)),""))</f>
        <v>Medium</v>
      </c>
      <c r="I693" s="23">
        <f>IF($F693="","",IFERROR(INDEX(Items!$E$5:$E$597,MATCH($F693,Items!$A$5:$A$597,0)),""))</f>
        <v>500</v>
      </c>
      <c r="J693" s="115">
        <f>IF(tblIssues[[#This Row],[Qty Override]]&lt;&gt;"",tblIssues[[#This Row],[Qty Override]],IF(tblIssues[[#This Row],[Standard Issue]]="","",tblIssues[[#This Row],[Standard Issue]]))</f>
        <v>500</v>
      </c>
      <c r="K693" s="20">
        <f>IF($F693="","",IFERROR(INDEX(Items!$D$5:$D$597,MATCH($F693,Items!$A$5:$A$597,0)),""))</f>
        <v>5.5E-2</v>
      </c>
      <c r="L693" s="21">
        <f t="shared" si="116"/>
        <v>27.5</v>
      </c>
      <c r="M693" s="9" t="str">
        <f t="shared" si="117"/>
        <v>O16689</v>
      </c>
      <c r="N693" s="24">
        <f>IF($A693="","",WORKDAY($A693,Settings!$C$9,HolidayDates))</f>
        <v>46162</v>
      </c>
      <c r="O693" s="24">
        <f>IF($N693="","",WORKDAY($N693,Settings!$C$10,HolidayDates))</f>
        <v>46202</v>
      </c>
      <c r="P693" s="10" t="s">
        <v>502</v>
      </c>
      <c r="Q693" s="52" t="str">
        <f t="shared" si="119"/>
        <v>Collected</v>
      </c>
      <c r="R693" s="55" t="str">
        <f t="shared" si="120"/>
        <v>2026-05</v>
      </c>
      <c r="S693" s="55">
        <f>IF(OR($B693="",$F693="",$R693=""),"",SUMIFS(tblIssues[Qty Issued],tblIssues[Staff ID],$B693,tblIssues[Item Name],$F693,tblIssues[Month],$R693))</f>
        <v>500</v>
      </c>
      <c r="T693" s="56">
        <f>IF($I693="","",$I693*Settings!$C$11)</f>
        <v>500</v>
      </c>
      <c r="U693" s="57" t="str">
        <f t="shared" si="118"/>
        <v>OK</v>
      </c>
      <c r="V693" s="55" t="str">
        <f t="shared" si="121"/>
        <v/>
      </c>
      <c r="W693" s="55" t="str">
        <f>IF($V693="","",IF(COUNTIF($V$5:$V693,$V693)=1,1,""))</f>
        <v/>
      </c>
      <c r="X693" s="58" t="str">
        <f>IF($W693="","",MAX($X$4:X692)+1)</f>
        <v/>
      </c>
      <c r="Y693" s="62"/>
      <c r="Z693" s="62"/>
      <c r="AA693" s="64" t="str">
        <f>IF($C693="","",IFERROR(INDEX('Staff Directory'!$E$5:$E$594,MATCH($C693,'Staff Directory'!$B$5:$B$594,0)),""))</f>
        <v>firstname004.lastname004@example.com</v>
      </c>
      <c r="AB693" s="64" t="str">
        <f>IF($C693="","",IF(ISNUMBER(SEARCH($D693,Settings!$C$15)),"Pickup","Dispatch"))</f>
        <v>Dispatch</v>
      </c>
      <c r="AC693" s="64" t="str">
        <f t="shared" si="122"/>
        <v>Supply order dispatched</v>
      </c>
      <c r="AD693" s="64" t="str">
        <f t="shared" si="113"/>
        <v>Dear  ,
Your order has been dispatched and is in transit. Reply if undelivered.</v>
      </c>
      <c r="AE693" s="64" t="str">
        <f t="shared" si="114"/>
        <v>mailto:firstname004.lastname004@example.com?subject=Supply%20order%20dispatched&amp;body=Dear%20%20%2C%0A%0AYour%20order%20has%20been%20dispatched%20and%20is%20in%20transit.%20Reply%20if%20undelivered.</v>
      </c>
      <c r="AF693" s="89" t="str">
        <f t="shared" si="123"/>
        <v>Draft email</v>
      </c>
      <c r="AG693" s="64">
        <f>IF($C693="","",IFERROR(INDEX('Staff Directory'!$K$595:$K$599,MATCH($C693,'Staff Directory'!$B$5:$B$599,0)),$D693))</f>
        <v>0</v>
      </c>
      <c r="AH693" t="str">
        <f>IF($C693="","",IFERROR(INDEX('Staff Directory'!$I$595:$I$599,MATCH($C693,'Staff Directory'!$B$5:$B$599,0))&amp;" "&amp;INDEX('Staff Directory'!$J$595:$J$599,MATCH($C693,'Staff Directory'!$B$5:$B$599,0)),$AG693))</f>
        <v xml:space="preserve"> </v>
      </c>
      <c r="AI693" s="102"/>
      <c r="AJ693" s="101">
        <f>IF($F693="","",SUMIFS($J$5:$J693,$F$5:$F693,$F693))</f>
        <v>41000</v>
      </c>
      <c r="AK693" s="101">
        <f t="shared" si="115"/>
        <v>40501</v>
      </c>
      <c r="AL693" s="66" t="str" cm="1">
        <f t="array" ref="AL693">IF($F693="","",IFERROR(INDEX('Lot Balance'!$B$5:$B$500,MATCH(1,INDEX(('Lot Balance'!$A$5:$A$500=$F693)*('Lot Balance'!$K$5:$K$500&lt;$AK693)*('Lot Balance'!$K$5:$K$500+'Lot Balance'!$D$5:$D$500&gt;=$AK693),0),0)),""))</f>
        <v>O16689</v>
      </c>
      <c r="AM693" s="66" t="str" cm="1">
        <f t="array" ref="AM693">IF($F693="","",IFERROR(INDEX('Lot Balance'!$B$5:$B$500,MATCH(1,INDEX(('Lot Balance'!$A$5:$A$500=$F693)*('Lot Balance'!$K$5:$K$500&lt;$AJ693)*('Lot Balance'!$K$5:$K$500+'Lot Balance'!$D$5:$D$500&gt;=$AJ693),0),0)),""))</f>
        <v>O16689</v>
      </c>
      <c r="AN693" s="66" t="str">
        <f>IF($F693="","",IF($AI693&lt;&gt;"",IF(COUNTIFS('Lot Balance'!$A$5:$A$500,$F693,'Lot Balance'!$B$5:$B$500,$AI693)=0,"⚠ override is not a lot of this item",IF($AI693=$AL693,"Override = FEFO","Override - FEFO says "&amp;$AL693)),IF($AL693="","⚠ no receipt on file for this item",IF($AM693&lt;&gt;$AL693,"FEFO auto - split, also "&amp;$AM693,"FEFO auto"))))</f>
        <v>FEFO auto</v>
      </c>
      <c r="AO693" s="114"/>
    </row>
    <row r="694" spans="1:41" x14ac:dyDescent="0.35">
      <c r="A694" s="74">
        <v>46154</v>
      </c>
      <c r="B694" s="18" t="str">
        <f>IF($C694="","",IFERROR(INDEX('Staff Directory'!$A$5:$A$594,MATCH($C694,'Staff Directory'!$B$5:$B$594,0)),"⚠ unknown staff"))</f>
        <v>RN-004-A2</v>
      </c>
      <c r="C694" s="49" t="s">
        <v>920</v>
      </c>
      <c r="D694" s="19" t="str">
        <f>IF($B694="","",IFERROR(INDEX('Staff Directory'!$C$5:$C$594,MATCH($B694,'Staff Directory'!$A$5:$A$594,0)),""))</f>
        <v>RN</v>
      </c>
      <c r="E694" s="19" t="str">
        <f>IF($B694="","",IFERROR(INDEX('Staff Directory'!$D$5:$D$594,MATCH($B694,'Staff Directory'!$A$5:$A$594,0)),""))</f>
        <v>A2</v>
      </c>
      <c r="F694" s="9" t="s">
        <v>191</v>
      </c>
      <c r="G694" s="18" t="str">
        <f>IF($F694="","",IFERROR(INDEX(Items!$B$5:$B$597,MATCH($F694,Items!$A$5:$A$597,0)),"⚠ not in Items"))</f>
        <v>Sanitizer</v>
      </c>
      <c r="H694" s="19" t="str">
        <f>IF($F694="","",IFERROR(INDEX(Items!$C$5:$C$597,MATCH($F694,Items!$A$5:$A$597,0)),""))</f>
        <v>236 ML</v>
      </c>
      <c r="I694" s="23">
        <f>IF($F694="","",IFERROR(INDEX(Items!$E$5:$E$597,MATCH($F694,Items!$A$5:$A$597,0)),""))</f>
        <v>1</v>
      </c>
      <c r="J694" s="115">
        <f>IF(tblIssues[[#This Row],[Qty Override]]&lt;&gt;"",tblIssues[[#This Row],[Qty Override]],IF(tblIssues[[#This Row],[Standard Issue]]="","",tblIssues[[#This Row],[Standard Issue]]))</f>
        <v>1</v>
      </c>
      <c r="K694" s="20">
        <f>IF($F694="","",IFERROR(INDEX(Items!$D$5:$D$597,MATCH($F694,Items!$A$5:$A$597,0)),""))</f>
        <v>1E-4</v>
      </c>
      <c r="L694" s="21">
        <f t="shared" si="116"/>
        <v>1E-4</v>
      </c>
      <c r="M694" s="9" t="str">
        <f t="shared" si="117"/>
        <v>20-21734-3</v>
      </c>
      <c r="N694" s="24">
        <f>IF($A694="","",WORKDAY($A694,Settings!$C$9,HolidayDates))</f>
        <v>46162</v>
      </c>
      <c r="O694" s="24">
        <f>IF($N694="","",WORKDAY($N694,Settings!$C$10,HolidayDates))</f>
        <v>46202</v>
      </c>
      <c r="P694" s="10" t="s">
        <v>502</v>
      </c>
      <c r="Q694" s="52" t="str">
        <f t="shared" si="119"/>
        <v>Collected</v>
      </c>
      <c r="R694" s="55" t="str">
        <f t="shared" si="120"/>
        <v>2026-05</v>
      </c>
      <c r="S694" s="55">
        <f>IF(OR($B694="",$F694="",$R694=""),"",SUMIFS(tblIssues[Qty Issued],tblIssues[Staff ID],$B694,tblIssues[Item Name],$F694,tblIssues[Month],$R694))</f>
        <v>1</v>
      </c>
      <c r="T694" s="56">
        <f>IF($I694="","",$I694*Settings!$C$11)</f>
        <v>1</v>
      </c>
      <c r="U694" s="57" t="str">
        <f t="shared" si="118"/>
        <v>OK</v>
      </c>
      <c r="V694" s="55" t="str">
        <f t="shared" si="121"/>
        <v/>
      </c>
      <c r="W694" s="55" t="str">
        <f>IF($V694="","",IF(COUNTIF($V$5:$V694,$V694)=1,1,""))</f>
        <v/>
      </c>
      <c r="X694" s="58" t="str">
        <f>IF($W694="","",MAX($X$4:X693)+1)</f>
        <v/>
      </c>
      <c r="Y694" s="62"/>
      <c r="Z694" s="62"/>
      <c r="AA694" s="64" t="str">
        <f>IF($C694="","",IFERROR(INDEX('Staff Directory'!$E$5:$E$594,MATCH($C694,'Staff Directory'!$B$5:$B$594,0)),""))</f>
        <v>firstname004.lastname004@example.com</v>
      </c>
      <c r="AB694" s="64" t="str">
        <f>IF($C694="","",IF(ISNUMBER(SEARCH($D694,Settings!$C$15)),"Pickup","Dispatch"))</f>
        <v>Dispatch</v>
      </c>
      <c r="AC694" s="64" t="str">
        <f t="shared" si="122"/>
        <v>Supply order dispatched</v>
      </c>
      <c r="AD694" s="64" t="str">
        <f t="shared" si="113"/>
        <v>Dear  ,
Your order has been dispatched and is in transit. Reply if undelivered.</v>
      </c>
      <c r="AE694" s="64" t="str">
        <f t="shared" si="114"/>
        <v>mailto:firstname004.lastname004@example.com?subject=Supply%20order%20dispatched&amp;body=Dear%20%20%2C%0A%0AYour%20order%20has%20been%20dispatched%20and%20is%20in%20transit.%20Reply%20if%20undelivered.</v>
      </c>
      <c r="AF694" s="89" t="str">
        <f t="shared" si="123"/>
        <v>Draft email</v>
      </c>
      <c r="AG694" s="64">
        <f>IF($C694="","",IFERROR(INDEX('Staff Directory'!$K$595:$K$599,MATCH($C694,'Staff Directory'!$B$5:$B$599,0)),$D694))</f>
        <v>0</v>
      </c>
      <c r="AH694" t="str">
        <f>IF($C694="","",IFERROR(INDEX('Staff Directory'!$I$595:$I$599,MATCH($C694,'Staff Directory'!$B$5:$B$599,0))&amp;" "&amp;INDEX('Staff Directory'!$J$595:$J$599,MATCH($C694,'Staff Directory'!$B$5:$B$599,0)),$AG694))</f>
        <v xml:space="preserve"> </v>
      </c>
      <c r="AI694" s="102"/>
      <c r="AJ694" s="101">
        <f>IF($F694="","",SUMIFS($J$5:$J694,$F$5:$F694,$F694))</f>
        <v>81</v>
      </c>
      <c r="AK694" s="101">
        <f t="shared" si="115"/>
        <v>81</v>
      </c>
      <c r="AL694" s="66" t="str" cm="1">
        <f t="array" ref="AL694">IF($F694="","",IFERROR(INDEX('Lot Balance'!$B$5:$B$500,MATCH(1,INDEX(('Lot Balance'!$A$5:$A$500=$F694)*('Lot Balance'!$K$5:$K$500&lt;$AK694)*('Lot Balance'!$K$5:$K$500+'Lot Balance'!$D$5:$D$500&gt;=$AK694),0),0)),""))</f>
        <v>20-21734-3</v>
      </c>
      <c r="AM694" s="66" t="str" cm="1">
        <f t="array" ref="AM694">IF($F694="","",IFERROR(INDEX('Lot Balance'!$B$5:$B$500,MATCH(1,INDEX(('Lot Balance'!$A$5:$A$500=$F694)*('Lot Balance'!$K$5:$K$500&lt;$AJ694)*('Lot Balance'!$K$5:$K$500+'Lot Balance'!$D$5:$D$500&gt;=$AJ694),0),0)),""))</f>
        <v>20-21734-3</v>
      </c>
      <c r="AN694" s="66" t="str">
        <f>IF($F694="","",IF($AI694&lt;&gt;"",IF(COUNTIFS('Lot Balance'!$A$5:$A$500,$F694,'Lot Balance'!$B$5:$B$500,$AI694)=0,"⚠ override is not a lot of this item",IF($AI694=$AL694,"Override = FEFO","Override - FEFO says "&amp;$AL694)),IF($AL694="","⚠ no receipt on file for this item",IF($AM694&lt;&gt;$AL694,"FEFO auto - split, also "&amp;$AM694,"FEFO auto"))))</f>
        <v>FEFO auto</v>
      </c>
      <c r="AO694" s="114"/>
    </row>
    <row r="695" spans="1:41" x14ac:dyDescent="0.35">
      <c r="A695" s="74">
        <v>46154</v>
      </c>
      <c r="B695" s="18" t="str">
        <f>IF($C695="","",IFERROR(INDEX('Staff Directory'!$A$5:$A$594,MATCH($C695,'Staff Directory'!$B$5:$B$594,0)),"⚠ unknown staff"))</f>
        <v>RN-004-A2</v>
      </c>
      <c r="C695" s="49" t="s">
        <v>920</v>
      </c>
      <c r="D695" s="19" t="str">
        <f>IF($B695="","",IFERROR(INDEX('Staff Directory'!$C$5:$C$594,MATCH($B695,'Staff Directory'!$A$5:$A$594,0)),""))</f>
        <v>RN</v>
      </c>
      <c r="E695" s="19" t="str">
        <f>IF($B695="","",IFERROR(INDEX('Staff Directory'!$D$5:$D$594,MATCH($B695,'Staff Directory'!$A$5:$A$594,0)),""))</f>
        <v>A2</v>
      </c>
      <c r="F695" s="9" t="s">
        <v>115</v>
      </c>
      <c r="G695" s="18" t="str">
        <f>IF($F695="","",IFERROR(INDEX(Items!$B$5:$B$597,MATCH($F695,Items!$A$5:$A$597,0)),"⚠ not in Items"))</f>
        <v>Wipes</v>
      </c>
      <c r="H695" s="19">
        <f>IF($F695="","",IFERROR(INDEX(Items!$C$5:$C$597,MATCH($F695,Items!$A$5:$A$597,0)),""))</f>
        <v>80</v>
      </c>
      <c r="I695" s="23">
        <f>IF($F695="","",IFERROR(INDEX(Items!$E$5:$E$597,MATCH($F695,Items!$A$5:$A$597,0)),""))</f>
        <v>80</v>
      </c>
      <c r="J695" s="115">
        <f>IF(tblIssues[[#This Row],[Qty Override]]&lt;&gt;"",tblIssues[[#This Row],[Qty Override]],IF(tblIssues[[#This Row],[Standard Issue]]="","",tblIssues[[#This Row],[Standard Issue]]))</f>
        <v>80</v>
      </c>
      <c r="K695" s="20">
        <f>IF($F695="","",IFERROR(INDEX(Items!$D$5:$D$597,MATCH($F695,Items!$A$5:$A$597,0)),""))</f>
        <v>0.1</v>
      </c>
      <c r="L695" s="21">
        <f t="shared" si="116"/>
        <v>8</v>
      </c>
      <c r="M695" s="9" t="str">
        <f t="shared" si="117"/>
        <v>LYSL500290</v>
      </c>
      <c r="N695" s="24">
        <f>IF($A695="","",WORKDAY($A695,Settings!$C$9,HolidayDates))</f>
        <v>46162</v>
      </c>
      <c r="O695" s="24">
        <f>IF($N695="","",WORKDAY($N695,Settings!$C$10,HolidayDates))</f>
        <v>46202</v>
      </c>
      <c r="P695" s="10" t="s">
        <v>502</v>
      </c>
      <c r="Q695" s="52" t="str">
        <f t="shared" si="119"/>
        <v>Collected</v>
      </c>
      <c r="R695" s="55" t="str">
        <f t="shared" si="120"/>
        <v>2026-05</v>
      </c>
      <c r="S695" s="55">
        <f>IF(OR($B695="",$F695="",$R695=""),"",SUMIFS(tblIssues[Qty Issued],tblIssues[Staff ID],$B695,tblIssues[Item Name],$F695,tblIssues[Month],$R695))</f>
        <v>80</v>
      </c>
      <c r="T695" s="56">
        <f>IF($I695="","",$I695*Settings!$C$11)</f>
        <v>80</v>
      </c>
      <c r="U695" s="57" t="str">
        <f t="shared" si="118"/>
        <v>OK</v>
      </c>
      <c r="V695" s="55" t="str">
        <f t="shared" si="121"/>
        <v/>
      </c>
      <c r="W695" s="55" t="str">
        <f>IF($V695="","",IF(COUNTIF($V$5:$V695,$V695)=1,1,""))</f>
        <v/>
      </c>
      <c r="X695" s="58" t="str">
        <f>IF($W695="","",MAX($X$4:X694)+1)</f>
        <v/>
      </c>
      <c r="Y695" s="62"/>
      <c r="Z695" s="62"/>
      <c r="AA695" s="64" t="str">
        <f>IF($C695="","",IFERROR(INDEX('Staff Directory'!$E$5:$E$594,MATCH($C695,'Staff Directory'!$B$5:$B$594,0)),""))</f>
        <v>firstname004.lastname004@example.com</v>
      </c>
      <c r="AB695" s="64" t="str">
        <f>IF($C695="","",IF(ISNUMBER(SEARCH($D695,Settings!$C$15)),"Pickup","Dispatch"))</f>
        <v>Dispatch</v>
      </c>
      <c r="AC695" s="64" t="str">
        <f t="shared" si="122"/>
        <v>Supply order dispatched</v>
      </c>
      <c r="AD695" s="64" t="str">
        <f t="shared" si="113"/>
        <v>Dear  ,
Your order has been dispatched and is in transit. Reply if undelivered.</v>
      </c>
      <c r="AE695" s="64" t="str">
        <f t="shared" si="114"/>
        <v>mailto:firstname004.lastname004@example.com?subject=Supply%20order%20dispatched&amp;body=Dear%20%20%2C%0A%0AYour%20order%20has%20been%20dispatched%20and%20is%20in%20transit.%20Reply%20if%20undelivered.</v>
      </c>
      <c r="AF695" s="89" t="str">
        <f t="shared" si="123"/>
        <v>Draft email</v>
      </c>
      <c r="AG695" s="64">
        <f>IF($C695="","",IFERROR(INDEX('Staff Directory'!$K$595:$K$599,MATCH($C695,'Staff Directory'!$B$5:$B$599,0)),$D695))</f>
        <v>0</v>
      </c>
      <c r="AH695" t="str">
        <f>IF($C695="","",IFERROR(INDEX('Staff Directory'!$I$595:$I$599,MATCH($C695,'Staff Directory'!$B$5:$B$599,0))&amp;" "&amp;INDEX('Staff Directory'!$J$595:$J$599,MATCH($C695,'Staff Directory'!$B$5:$B$599,0)),$AG695))</f>
        <v xml:space="preserve"> </v>
      </c>
      <c r="AI695" s="102"/>
      <c r="AJ695" s="101">
        <f>IF($F695="","",SUMIFS($J$5:$J695,$F$5:$F695,$F695))</f>
        <v>9760</v>
      </c>
      <c r="AK695" s="101">
        <f t="shared" si="115"/>
        <v>9681</v>
      </c>
      <c r="AL695" s="66" t="str" cm="1">
        <f t="array" ref="AL695">IF($F695="","",IFERROR(INDEX('Lot Balance'!$B$5:$B$500,MATCH(1,INDEX(('Lot Balance'!$A$5:$A$500=$F695)*('Lot Balance'!$K$5:$K$500&lt;$AK695)*('Lot Balance'!$K$5:$K$500+'Lot Balance'!$D$5:$D$500&gt;=$AK695),0),0)),""))</f>
        <v>LYSL500290</v>
      </c>
      <c r="AM695" s="66" t="str" cm="1">
        <f t="array" ref="AM695">IF($F695="","",IFERROR(INDEX('Lot Balance'!$B$5:$B$500,MATCH(1,INDEX(('Lot Balance'!$A$5:$A$500=$F695)*('Lot Balance'!$K$5:$K$500&lt;$AJ695)*('Lot Balance'!$K$5:$K$500+'Lot Balance'!$D$5:$D$500&gt;=$AJ695),0),0)),""))</f>
        <v>LYSL500290</v>
      </c>
      <c r="AN695" s="66" t="str">
        <f>IF($F695="","",IF($AI695&lt;&gt;"",IF(COUNTIFS('Lot Balance'!$A$5:$A$500,$F695,'Lot Balance'!$B$5:$B$500,$AI695)=0,"⚠ override is not a lot of this item",IF($AI695=$AL695,"Override = FEFO","Override - FEFO says "&amp;$AL695)),IF($AL695="","⚠ no receipt on file for this item",IF($AM695&lt;&gt;$AL695,"FEFO auto - split, also "&amp;$AM695,"FEFO auto"))))</f>
        <v>FEFO auto</v>
      </c>
      <c r="AO695" s="114"/>
    </row>
    <row r="696" spans="1:41" x14ac:dyDescent="0.35">
      <c r="A696" s="74">
        <v>46154</v>
      </c>
      <c r="B696" s="18" t="str">
        <f>IF($C696="","",IFERROR(INDEX('Staff Directory'!$A$5:$A$594,MATCH($C696,'Staff Directory'!$B$5:$B$594,0)),"⚠ unknown staff"))</f>
        <v>RN-004-A2</v>
      </c>
      <c r="C696" s="49" t="s">
        <v>920</v>
      </c>
      <c r="D696" s="19" t="str">
        <f>IF($B696="","",IFERROR(INDEX('Staff Directory'!$C$5:$C$594,MATCH($B696,'Staff Directory'!$A$5:$A$594,0)),""))</f>
        <v>RN</v>
      </c>
      <c r="E696" s="19" t="str">
        <f>IF($B696="","",IFERROR(INDEX('Staff Directory'!$D$5:$D$594,MATCH($B696,'Staff Directory'!$A$5:$A$594,0)),""))</f>
        <v>A2</v>
      </c>
      <c r="F696" s="9" t="s">
        <v>154</v>
      </c>
      <c r="G696" s="18" t="str">
        <f>IF($F696="","",IFERROR(INDEX(Items!$B$5:$B$597,MATCH($F696,Items!$A$5:$A$597,0)),"⚠ not in Items"))</f>
        <v>IPAC</v>
      </c>
      <c r="H696" s="19" t="str">
        <f>IF($F696="","",IFERROR(INDEX(Items!$C$5:$C$597,MATCH($F696,Items!$A$5:$A$597,0)),""))</f>
        <v>Regular</v>
      </c>
      <c r="I696" s="23">
        <f>IF($F696="","",IFERROR(INDEX(Items!$E$5:$E$597,MATCH($F696,Items!$A$5:$A$597,0)),""))</f>
        <v>50</v>
      </c>
      <c r="J696" s="115">
        <f>IF(tblIssues[[#This Row],[Qty Override]]&lt;&gt;"",tblIssues[[#This Row],[Qty Override]],IF(tblIssues[[#This Row],[Standard Issue]]="","",tblIssues[[#This Row],[Standard Issue]]))</f>
        <v>50</v>
      </c>
      <c r="K696" s="20">
        <f>IF($F696="","",IFERROR(INDEX(Items!$D$5:$D$597,MATCH($F696,Items!$A$5:$A$597,0)),""))</f>
        <v>0.2</v>
      </c>
      <c r="L696" s="21">
        <f t="shared" si="116"/>
        <v>10</v>
      </c>
      <c r="M696" s="9">
        <f t="shared" si="117"/>
        <v>3024</v>
      </c>
      <c r="N696" s="24">
        <f>IF($A696="","",WORKDAY($A696,Settings!$C$9,HolidayDates))</f>
        <v>46162</v>
      </c>
      <c r="O696" s="24">
        <f>IF($N696="","",WORKDAY($N696,Settings!$C$10,HolidayDates))</f>
        <v>46202</v>
      </c>
      <c r="P696" s="10" t="s">
        <v>502</v>
      </c>
      <c r="Q696" s="52" t="str">
        <f t="shared" si="119"/>
        <v>Collected</v>
      </c>
      <c r="R696" s="55" t="str">
        <f t="shared" si="120"/>
        <v>2026-05</v>
      </c>
      <c r="S696" s="55">
        <f>IF(OR($B696="",$F696="",$R696=""),"",SUMIFS(tblIssues[Qty Issued],tblIssues[Staff ID],$B696,tblIssues[Item Name],$F696,tblIssues[Month],$R696))</f>
        <v>50</v>
      </c>
      <c r="T696" s="56">
        <f>IF($I696="","",$I696*Settings!$C$11)</f>
        <v>50</v>
      </c>
      <c r="U696" s="57" t="str">
        <f t="shared" si="118"/>
        <v>OK</v>
      </c>
      <c r="V696" s="55" t="str">
        <f t="shared" si="121"/>
        <v/>
      </c>
      <c r="W696" s="55" t="str">
        <f>IF($V696="","",IF(COUNTIF($V$5:$V696,$V696)=1,1,""))</f>
        <v/>
      </c>
      <c r="X696" s="58" t="str">
        <f>IF($W696="","",MAX($X$4:X695)+1)</f>
        <v/>
      </c>
      <c r="Y696" s="62"/>
      <c r="Z696" s="62"/>
      <c r="AA696" s="64" t="str">
        <f>IF($C696="","",IFERROR(INDEX('Staff Directory'!$E$5:$E$594,MATCH($C696,'Staff Directory'!$B$5:$B$594,0)),""))</f>
        <v>firstname004.lastname004@example.com</v>
      </c>
      <c r="AB696" s="64" t="str">
        <f>IF($C696="","",IF(ISNUMBER(SEARCH($D696,Settings!$C$15)),"Pickup","Dispatch"))</f>
        <v>Dispatch</v>
      </c>
      <c r="AC696" s="64" t="str">
        <f t="shared" si="122"/>
        <v>Supply order dispatched</v>
      </c>
      <c r="AD696" s="64" t="str">
        <f t="shared" si="113"/>
        <v>Dear  ,
Your order has been dispatched and is in transit. Reply if undelivered.</v>
      </c>
      <c r="AE696" s="64" t="str">
        <f t="shared" si="114"/>
        <v>mailto:firstname004.lastname004@example.com?subject=Supply%20order%20dispatched&amp;body=Dear%20%20%2C%0A%0AYour%20order%20has%20been%20dispatched%20and%20is%20in%20transit.%20Reply%20if%20undelivered.</v>
      </c>
      <c r="AF696" s="89" t="str">
        <f t="shared" si="123"/>
        <v>Draft email</v>
      </c>
      <c r="AG696" s="64">
        <f>IF($C696="","",IFERROR(INDEX('Staff Directory'!$K$595:$K$599,MATCH($C696,'Staff Directory'!$B$5:$B$599,0)),$D696))</f>
        <v>0</v>
      </c>
      <c r="AH696" t="str">
        <f>IF($C696="","",IFERROR(INDEX('Staff Directory'!$I$595:$I$599,MATCH($C696,'Staff Directory'!$B$5:$B$599,0))&amp;" "&amp;INDEX('Staff Directory'!$J$595:$J$599,MATCH($C696,'Staff Directory'!$B$5:$B$599,0)),$AG696))</f>
        <v xml:space="preserve"> </v>
      </c>
      <c r="AI696" s="102"/>
      <c r="AJ696" s="101">
        <f>IF($F696="","",SUMIFS($J$5:$J696,$F$5:$F696,$F696))</f>
        <v>500</v>
      </c>
      <c r="AK696" s="101">
        <f t="shared" si="115"/>
        <v>451</v>
      </c>
      <c r="AL696" s="66" cm="1">
        <f t="array" ref="AL696">IF($F696="","",IFERROR(INDEX('Lot Balance'!$B$5:$B$500,MATCH(1,INDEX(('Lot Balance'!$A$5:$A$500=$F696)*('Lot Balance'!$K$5:$K$500&lt;$AK696)*('Lot Balance'!$K$5:$K$500+'Lot Balance'!$D$5:$D$500&gt;=$AK696),0),0)),""))</f>
        <v>3024</v>
      </c>
      <c r="AM696" s="66" cm="1">
        <f t="array" ref="AM696">IF($F696="","",IFERROR(INDEX('Lot Balance'!$B$5:$B$500,MATCH(1,INDEX(('Lot Balance'!$A$5:$A$500=$F696)*('Lot Balance'!$K$5:$K$500&lt;$AJ696)*('Lot Balance'!$K$5:$K$500+'Lot Balance'!$D$5:$D$500&gt;=$AJ696),0),0)),""))</f>
        <v>3024</v>
      </c>
      <c r="AN696" s="66" t="str">
        <f>IF($F696="","",IF($AI696&lt;&gt;"",IF(COUNTIFS('Lot Balance'!$A$5:$A$500,$F696,'Lot Balance'!$B$5:$B$500,$AI696)=0,"⚠ override is not a lot of this item",IF($AI696=$AL696,"Override = FEFO","Override - FEFO says "&amp;$AL696)),IF($AL696="","⚠ no receipt on file for this item",IF($AM696&lt;&gt;$AL696,"FEFO auto - split, also "&amp;$AM696,"FEFO auto"))))</f>
        <v>FEFO auto</v>
      </c>
      <c r="AO696" s="114"/>
    </row>
    <row r="697" spans="1:41" x14ac:dyDescent="0.35">
      <c r="A697" s="74">
        <v>46154</v>
      </c>
      <c r="B697" s="18" t="str">
        <f>IF($C697="","",IFERROR(INDEX('Staff Directory'!$A$5:$A$594,MATCH($C697,'Staff Directory'!$B$5:$B$594,0)),"⚠ unknown staff"))</f>
        <v>RN-004-A2</v>
      </c>
      <c r="C697" s="49" t="s">
        <v>920</v>
      </c>
      <c r="D697" s="19" t="str">
        <f>IF($B697="","",IFERROR(INDEX('Staff Directory'!$C$5:$C$594,MATCH($B697,'Staff Directory'!$A$5:$A$594,0)),""))</f>
        <v>RN</v>
      </c>
      <c r="E697" s="19" t="str">
        <f>IF($B697="","",IFERROR(INDEX('Staff Directory'!$D$5:$D$594,MATCH($B697,'Staff Directory'!$A$5:$A$594,0)),""))</f>
        <v>A2</v>
      </c>
      <c r="F697" s="9" t="s">
        <v>757</v>
      </c>
      <c r="G697" s="18" t="str">
        <f>IF($F697="","",IFERROR(INDEX(Items!$B$5:$B$597,MATCH($F697,Items!$A$5:$A$597,0)),"⚠ not in Items"))</f>
        <v>Documents</v>
      </c>
      <c r="H697" s="19" t="str">
        <f>IF($F697="","",IFERROR(INDEX(Items!$C$5:$C$597,MATCH($F697,Items!$A$5:$A$597,0)),""))</f>
        <v>Standard</v>
      </c>
      <c r="I697" s="23">
        <f>IF($F697="","",IFERROR(INDEX(Items!$E$5:$E$597,MATCH($F697,Items!$A$5:$A$597,0)),""))</f>
        <v>10</v>
      </c>
      <c r="J697" s="115">
        <f>IF(tblIssues[[#This Row],[Qty Override]]&lt;&gt;"",tblIssues[[#This Row],[Qty Override]],IF(tblIssues[[#This Row],[Standard Issue]]="","",tblIssues[[#This Row],[Standard Issue]]))</f>
        <v>10</v>
      </c>
      <c r="K697" s="20">
        <f>IF($F697="","",IFERROR(INDEX(Items!$D$5:$D$597,MATCH($F697,Items!$A$5:$A$597,0)),""))</f>
        <v>0</v>
      </c>
      <c r="L697" s="21">
        <f t="shared" si="116"/>
        <v>0</v>
      </c>
      <c r="M697" s="9" t="str">
        <f t="shared" si="117"/>
        <v/>
      </c>
      <c r="N697" s="24">
        <f>IF($A697="","",WORKDAY($A697,Settings!$C$9,HolidayDates))</f>
        <v>46162</v>
      </c>
      <c r="O697" s="24">
        <f>IF($N697="","",WORKDAY($N697,Settings!$C$10,HolidayDates))</f>
        <v>46202</v>
      </c>
      <c r="P697" s="10" t="s">
        <v>502</v>
      </c>
      <c r="Q697" s="52" t="str">
        <f t="shared" si="119"/>
        <v>Collected</v>
      </c>
      <c r="R697" s="55" t="str">
        <f t="shared" si="120"/>
        <v>2026-05</v>
      </c>
      <c r="S697" s="55">
        <f>IF(OR($B697="",$F697="",$R697=""),"",SUMIFS(tblIssues[Qty Issued],tblIssues[Staff ID],$B697,tblIssues[Item Name],$F697,tblIssues[Month],$R697))</f>
        <v>10</v>
      </c>
      <c r="T697" s="56">
        <f>IF($I697="","",$I697*Settings!$C$11)</f>
        <v>10</v>
      </c>
      <c r="U697" s="57" t="str">
        <f t="shared" si="118"/>
        <v>OK</v>
      </c>
      <c r="V697" s="55" t="str">
        <f t="shared" si="121"/>
        <v/>
      </c>
      <c r="W697" s="55" t="str">
        <f>IF($V697="","",IF(COUNTIF($V$5:$V697,$V697)=1,1,""))</f>
        <v/>
      </c>
      <c r="X697" s="58" t="str">
        <f>IF($W697="","",MAX($X$4:X696)+1)</f>
        <v/>
      </c>
      <c r="Y697" s="62"/>
      <c r="Z697" s="62"/>
      <c r="AA697" s="64" t="str">
        <f>IF($C697="","",IFERROR(INDEX('Staff Directory'!$E$5:$E$594,MATCH($C697,'Staff Directory'!$B$5:$B$594,0)),""))</f>
        <v>firstname004.lastname004@example.com</v>
      </c>
      <c r="AB697" s="64" t="str">
        <f>IF($C697="","",IF(ISNUMBER(SEARCH($D697,Settings!$C$15)),"Pickup","Dispatch"))</f>
        <v>Dispatch</v>
      </c>
      <c r="AC697" s="64" t="str">
        <f t="shared" si="122"/>
        <v>Supply order dispatched</v>
      </c>
      <c r="AD697" s="64" t="str">
        <f t="shared" si="113"/>
        <v>Dear  ,
Your order has been dispatched and is in transit. Reply if undelivered.</v>
      </c>
      <c r="AE697" s="64" t="str">
        <f t="shared" si="114"/>
        <v>mailto:firstname004.lastname004@example.com?subject=Supply%20order%20dispatched&amp;body=Dear%20%20%2C%0A%0AYour%20order%20has%20been%20dispatched%20and%20is%20in%20transit.%20Reply%20if%20undelivered.</v>
      </c>
      <c r="AF697" s="89" t="str">
        <f t="shared" si="123"/>
        <v>Draft email</v>
      </c>
      <c r="AG697" s="64">
        <f>IF($C697="","",IFERROR(INDEX('Staff Directory'!$K$595:$K$599,MATCH($C697,'Staff Directory'!$B$5:$B$599,0)),$D697))</f>
        <v>0</v>
      </c>
      <c r="AH697" t="str">
        <f>IF($C697="","",IFERROR(INDEX('Staff Directory'!$I$595:$I$599,MATCH($C697,'Staff Directory'!$B$5:$B$599,0))&amp;" "&amp;INDEX('Staff Directory'!$J$595:$J$599,MATCH($C697,'Staff Directory'!$B$5:$B$599,0)),$AG697))</f>
        <v xml:space="preserve"> </v>
      </c>
      <c r="AI697" s="102"/>
      <c r="AJ697" s="101">
        <f>IF($F697="","",SUMIFS($J$5:$J697,$F$5:$F697,$F697))</f>
        <v>420</v>
      </c>
      <c r="AK697" s="101">
        <f t="shared" si="115"/>
        <v>411</v>
      </c>
      <c r="AL697" s="66" t="str" cm="1">
        <f t="array" ref="AL697">IF($F697="","",IFERROR(INDEX('Lot Balance'!$B$5:$B$500,MATCH(1,INDEX(('Lot Balance'!$A$5:$A$500=$F697)*('Lot Balance'!$K$5:$K$500&lt;$AK697)*('Lot Balance'!$K$5:$K$500+'Lot Balance'!$D$5:$D$500&gt;=$AK697),0),0)),""))</f>
        <v/>
      </c>
      <c r="AM697" s="66" t="str" cm="1">
        <f t="array" ref="AM697">IF($F697="","",IFERROR(INDEX('Lot Balance'!$B$5:$B$500,MATCH(1,INDEX(('Lot Balance'!$A$5:$A$500=$F697)*('Lot Balance'!$K$5:$K$500&lt;$AJ697)*('Lot Balance'!$K$5:$K$500+'Lot Balance'!$D$5:$D$500&gt;=$AJ697),0),0)),""))</f>
        <v/>
      </c>
      <c r="AN697" s="66" t="str">
        <f>IF($F697="","",IF($AI697&lt;&gt;"",IF(COUNTIFS('Lot Balance'!$A$5:$A$500,$F697,'Lot Balance'!$B$5:$B$500,$AI697)=0,"⚠ override is not a lot of this item",IF($AI697=$AL697,"Override = FEFO","Override - FEFO says "&amp;$AL697)),IF($AL697="","⚠ no receipt on file for this item",IF($AM697&lt;&gt;$AL697,"FEFO auto - split, also "&amp;$AM697,"FEFO auto"))))</f>
        <v>⚠ no receipt on file for this item</v>
      </c>
      <c r="AO697" s="114"/>
    </row>
    <row r="698" spans="1:41" x14ac:dyDescent="0.35">
      <c r="A698" s="74">
        <v>46155</v>
      </c>
      <c r="B698" s="18" t="str">
        <f>IF($C698="","",IFERROR(INDEX('Staff Directory'!$A$5:$A$594,MATCH($C698,'Staff Directory'!$B$5:$B$594,0)),"⚠ unknown staff"))</f>
        <v>TL/RPN-001-A8</v>
      </c>
      <c r="C698" s="49" t="s">
        <v>1021</v>
      </c>
      <c r="D698" s="19" t="str">
        <f>IF($B698="","",IFERROR(INDEX('Staff Directory'!$C$5:$C$594,MATCH($B698,'Staff Directory'!$A$5:$A$594,0)),""))</f>
        <v>TL/RPN</v>
      </c>
      <c r="E698" s="19" t="str">
        <f>IF($B698="","",IFERROR(INDEX('Staff Directory'!$D$5:$D$594,MATCH($B698,'Staff Directory'!$A$5:$A$594,0)),""))</f>
        <v>A8</v>
      </c>
      <c r="F698" s="9" t="s">
        <v>137</v>
      </c>
      <c r="G698" s="18" t="str">
        <f>IF($F698="","",IFERROR(INDEX(Items!$B$5:$B$597,MATCH($F698,Items!$A$5:$A$597,0)),"⚠ not in Items"))</f>
        <v>Sanitizer</v>
      </c>
      <c r="H698" s="19" t="str">
        <f>IF($F698="","",IFERROR(INDEX(Items!$C$5:$C$597,MATCH($F698,Items!$A$5:$A$597,0)),""))</f>
        <v>118 ML</v>
      </c>
      <c r="I698" s="23">
        <f>IF($F698="","",IFERROR(INDEX(Items!$E$5:$E$597,MATCH($F698,Items!$A$5:$A$597,0)),""))</f>
        <v>2</v>
      </c>
      <c r="J698" s="115">
        <f>IF(tblIssues[[#This Row],[Qty Override]]&lt;&gt;"",tblIssues[[#This Row],[Qty Override]],IF(tblIssues[[#This Row],[Standard Issue]]="","",tblIssues[[#This Row],[Standard Issue]]))</f>
        <v>2</v>
      </c>
      <c r="K698" s="20">
        <f>IF($F698="","",IFERROR(INDEX(Items!$D$5:$D$597,MATCH($F698,Items!$A$5:$A$597,0)),""))</f>
        <v>4.49</v>
      </c>
      <c r="L698" s="21">
        <f t="shared" si="116"/>
        <v>8.98</v>
      </c>
      <c r="M698" s="9" t="str">
        <f t="shared" si="117"/>
        <v>563963-6</v>
      </c>
      <c r="N698" s="24">
        <f>IF($A698="","",WORKDAY($A698,Settings!$C$9,HolidayDates))</f>
        <v>46163</v>
      </c>
      <c r="O698" s="24">
        <f>IF($N698="","",WORKDAY($N698,Settings!$C$10,HolidayDates))</f>
        <v>46203</v>
      </c>
      <c r="P698" s="10" t="s">
        <v>501</v>
      </c>
      <c r="Q698" s="52" t="str">
        <f t="shared" si="119"/>
        <v>Collected</v>
      </c>
      <c r="R698" s="55" t="str">
        <f t="shared" si="120"/>
        <v>2026-05</v>
      </c>
      <c r="S698" s="55">
        <f>IF(OR($B698="",$F698="",$R698=""),"",SUMIFS(tblIssues[Qty Issued],tblIssues[Staff ID],$B698,tblIssues[Item Name],$F698,tblIssues[Month],$R698))</f>
        <v>4</v>
      </c>
      <c r="T698" s="56">
        <f>IF($I698="","",$I698*Settings!$C$11)</f>
        <v>2</v>
      </c>
      <c r="U698" s="57" t="str">
        <f t="shared" si="118"/>
        <v>⚠ OVER QUOTA</v>
      </c>
      <c r="V698" s="55" t="str">
        <f t="shared" si="121"/>
        <v>TL/RPN-001-A8 | Hand Sanitizer | 2026-05</v>
      </c>
      <c r="W698" s="55">
        <f>IF($V698="","",IF(COUNTIF($V$5:$V698,$V698)=1,1,""))</f>
        <v>1</v>
      </c>
      <c r="X698" s="58">
        <f>IF($W698="","",MAX($X$4:X697)+1)</f>
        <v>15</v>
      </c>
      <c r="Y698" s="62"/>
      <c r="Z698" s="62"/>
      <c r="AA698" s="64" t="str">
        <f>IF($C698="","",IFERROR(INDEX('Staff Directory'!$E$5:$E$594,MATCH($C698,'Staff Directory'!$B$5:$B$594,0)),""))</f>
        <v>firstname105.lastname105@example.com</v>
      </c>
      <c r="AB698" s="64" t="str">
        <f>IF($C698="","",IF(ISNUMBER(SEARCH($D698,Settings!$C$15)),"Pickup","Dispatch"))</f>
        <v>Dispatch</v>
      </c>
      <c r="AC698" s="64" t="str">
        <f t="shared" si="122"/>
        <v>Supply order dispatched</v>
      </c>
      <c r="AD698" s="64" t="str">
        <f t="shared" si="113"/>
        <v>Dear TL/RPN,
Your order has been dispatched and is in transit. Reply if undelivered.</v>
      </c>
      <c r="AE698" s="64" t="str">
        <f t="shared" si="114"/>
        <v>mailto:firstname105.lastname105@example.com?subject=Supply%20order%20dispatched&amp;body=Dear%20TL%2FRPN%2C%0A%0AYour%20order%20has%20been%20dispatched%20and%20is%20in%20transit.%20Reply%20if%20undelivered.</v>
      </c>
      <c r="AF698" s="89" t="str">
        <f t="shared" si="123"/>
        <v>Draft email</v>
      </c>
      <c r="AG698" s="64" t="str">
        <f>IF($C698="","",IFERROR(INDEX('Staff Directory'!$K$595:$K$599,MATCH($C698,'Staff Directory'!$B$5:$B$599,0)),$D698))</f>
        <v>TL/RPN</v>
      </c>
      <c r="AH698" t="str">
        <f>IF($C698="","",IFERROR(INDEX('Staff Directory'!$I$595:$I$599,MATCH($C698,'Staff Directory'!$B$5:$B$599,0))&amp;" "&amp;INDEX('Staff Directory'!$J$595:$J$599,MATCH($C698,'Staff Directory'!$B$5:$B$599,0)),$AG698))</f>
        <v>TL/RPN</v>
      </c>
      <c r="AI698" s="102"/>
      <c r="AJ698" s="101">
        <f>IF($F698="","",SUMIFS($J$5:$J698,$F$5:$F698,$F698))</f>
        <v>90</v>
      </c>
      <c r="AK698" s="101">
        <f t="shared" si="115"/>
        <v>89</v>
      </c>
      <c r="AL698" s="66" t="str" cm="1">
        <f t="array" ref="AL698">IF($F698="","",IFERROR(INDEX('Lot Balance'!$B$5:$B$500,MATCH(1,INDEX(('Lot Balance'!$A$5:$A$500=$F698)*('Lot Balance'!$K$5:$K$500&lt;$AK698)*('Lot Balance'!$K$5:$K$500+'Lot Balance'!$D$5:$D$500&gt;=$AK698),0),0)),""))</f>
        <v>563963-6</v>
      </c>
      <c r="AM698" s="66" t="str" cm="1">
        <f t="array" ref="AM698">IF($F698="","",IFERROR(INDEX('Lot Balance'!$B$5:$B$500,MATCH(1,INDEX(('Lot Balance'!$A$5:$A$500=$F698)*('Lot Balance'!$K$5:$K$500&lt;$AJ698)*('Lot Balance'!$K$5:$K$500+'Lot Balance'!$D$5:$D$500&gt;=$AJ698),0),0)),""))</f>
        <v>563963-6</v>
      </c>
      <c r="AN698" s="66" t="str">
        <f>IF($F698="","",IF($AI698&lt;&gt;"",IF(COUNTIFS('Lot Balance'!$A$5:$A$500,$F698,'Lot Balance'!$B$5:$B$500,$AI698)=0,"⚠ override is not a lot of this item",IF($AI698=$AL698,"Override = FEFO","Override - FEFO says "&amp;$AL698)),IF($AL698="","⚠ no receipt on file for this item",IF($AM698&lt;&gt;$AL698,"FEFO auto - split, also "&amp;$AM698,"FEFO auto"))))</f>
        <v>FEFO auto</v>
      </c>
      <c r="AO698" s="114"/>
    </row>
    <row r="699" spans="1:41" x14ac:dyDescent="0.35">
      <c r="A699" s="74">
        <v>46155</v>
      </c>
      <c r="B699" s="18" t="str">
        <f>IF($C699="","",IFERROR(INDEX('Staff Directory'!$A$5:$A$594,MATCH($C699,'Staff Directory'!$B$5:$B$594,0)),"⚠ unknown staff"))</f>
        <v>TL/RPN-001-A8</v>
      </c>
      <c r="C699" s="49" t="s">
        <v>1021</v>
      </c>
      <c r="D699" s="19" t="str">
        <f>IF($B699="","",IFERROR(INDEX('Staff Directory'!$C$5:$C$594,MATCH($B699,'Staff Directory'!$A$5:$A$594,0)),""))</f>
        <v>TL/RPN</v>
      </c>
      <c r="E699" s="19" t="str">
        <f>IF($B699="","",IFERROR(INDEX('Staff Directory'!$D$5:$D$594,MATCH($B699,'Staff Directory'!$A$5:$A$594,0)),""))</f>
        <v>A8</v>
      </c>
      <c r="F699" s="9" t="s">
        <v>137</v>
      </c>
      <c r="G699" s="18" t="str">
        <f>IF($F699="","",IFERROR(INDEX(Items!$B$5:$B$597,MATCH($F699,Items!$A$5:$A$597,0)),"⚠ not in Items"))</f>
        <v>Sanitizer</v>
      </c>
      <c r="H699" s="19" t="str">
        <f>IF($F699="","",IFERROR(INDEX(Items!$C$5:$C$597,MATCH($F699,Items!$A$5:$A$597,0)),""))</f>
        <v>118 ML</v>
      </c>
      <c r="I699" s="23">
        <f>IF($F699="","",IFERROR(INDEX(Items!$E$5:$E$597,MATCH($F699,Items!$A$5:$A$597,0)),""))</f>
        <v>2</v>
      </c>
      <c r="J699" s="115">
        <f>IF(tblIssues[[#This Row],[Qty Override]]&lt;&gt;"",tblIssues[[#This Row],[Qty Override]],IF(tblIssues[[#This Row],[Standard Issue]]="","",tblIssues[[#This Row],[Standard Issue]]))</f>
        <v>2</v>
      </c>
      <c r="K699" s="20">
        <f>IF($F699="","",IFERROR(INDEX(Items!$D$5:$D$597,MATCH($F699,Items!$A$5:$A$597,0)),""))</f>
        <v>4.49</v>
      </c>
      <c r="L699" s="21">
        <f t="shared" si="116"/>
        <v>8.98</v>
      </c>
      <c r="M699" s="9" t="str">
        <f t="shared" si="117"/>
        <v>563963-6</v>
      </c>
      <c r="N699" s="24">
        <f>IF($A699="","",WORKDAY($A699,Settings!$C$9,HolidayDates))</f>
        <v>46163</v>
      </c>
      <c r="O699" s="24">
        <f>IF($N699="","",WORKDAY($N699,Settings!$C$10,HolidayDates))</f>
        <v>46203</v>
      </c>
      <c r="P699" s="10" t="s">
        <v>501</v>
      </c>
      <c r="Q699" s="52" t="str">
        <f t="shared" si="119"/>
        <v>Collected</v>
      </c>
      <c r="R699" s="55" t="str">
        <f t="shared" si="120"/>
        <v>2026-05</v>
      </c>
      <c r="S699" s="55">
        <f>IF(OR($B699="",$F699="",$R699=""),"",SUMIFS(tblIssues[Qty Issued],tblIssues[Staff ID],$B699,tblIssues[Item Name],$F699,tblIssues[Month],$R699))</f>
        <v>4</v>
      </c>
      <c r="T699" s="56">
        <f>IF($I699="","",$I699*Settings!$C$11)</f>
        <v>2</v>
      </c>
      <c r="U699" s="57" t="str">
        <f t="shared" si="118"/>
        <v>⚠ OVER QUOTA</v>
      </c>
      <c r="V699" s="55" t="str">
        <f t="shared" si="121"/>
        <v>TL/RPN-001-A8 | Hand Sanitizer | 2026-05</v>
      </c>
      <c r="W699" s="55" t="str">
        <f>IF($V699="","",IF(COUNTIF($V$5:$V699,$V699)=1,1,""))</f>
        <v/>
      </c>
      <c r="X699" s="58" t="str">
        <f>IF($W699="","",MAX($X$4:X698)+1)</f>
        <v/>
      </c>
      <c r="Y699" s="62"/>
      <c r="Z699" s="62"/>
      <c r="AA699" s="64" t="str">
        <f>IF($C699="","",IFERROR(INDEX('Staff Directory'!$E$5:$E$594,MATCH($C699,'Staff Directory'!$B$5:$B$594,0)),""))</f>
        <v>firstname105.lastname105@example.com</v>
      </c>
      <c r="AB699" s="64" t="str">
        <f>IF($C699="","",IF(ISNUMBER(SEARCH($D699,Settings!$C$15)),"Pickup","Dispatch"))</f>
        <v>Dispatch</v>
      </c>
      <c r="AC699" s="64" t="str">
        <f t="shared" si="122"/>
        <v>Supply order dispatched</v>
      </c>
      <c r="AD699" s="64" t="str">
        <f t="shared" si="113"/>
        <v>Dear TL/RPN,
Your order has been dispatched and is in transit. Reply if undelivered.</v>
      </c>
      <c r="AE699" s="64" t="str">
        <f t="shared" si="114"/>
        <v>mailto:firstname105.lastname105@example.com?subject=Supply%20order%20dispatched&amp;body=Dear%20TL%2FRPN%2C%0A%0AYour%20order%20has%20been%20dispatched%20and%20is%20in%20transit.%20Reply%20if%20undelivered.</v>
      </c>
      <c r="AF699" s="89" t="str">
        <f t="shared" si="123"/>
        <v>Draft email</v>
      </c>
      <c r="AG699" s="64" t="str">
        <f>IF($C699="","",IFERROR(INDEX('Staff Directory'!$K$595:$K$599,MATCH($C699,'Staff Directory'!$B$5:$B$599,0)),$D699))</f>
        <v>TL/RPN</v>
      </c>
      <c r="AH699" t="str">
        <f>IF($C699="","",IFERROR(INDEX('Staff Directory'!$I$595:$I$599,MATCH($C699,'Staff Directory'!$B$5:$B$599,0))&amp;" "&amp;INDEX('Staff Directory'!$J$595:$J$599,MATCH($C699,'Staff Directory'!$B$5:$B$599,0)),$AG699))</f>
        <v>TL/RPN</v>
      </c>
      <c r="AI699" s="102"/>
      <c r="AJ699" s="101">
        <f>IF($F699="","",SUMIFS($J$5:$J699,$F$5:$F699,$F699))</f>
        <v>92</v>
      </c>
      <c r="AK699" s="101">
        <f t="shared" si="115"/>
        <v>91</v>
      </c>
      <c r="AL699" s="66" t="str" cm="1">
        <f t="array" ref="AL699">IF($F699="","",IFERROR(INDEX('Lot Balance'!$B$5:$B$500,MATCH(1,INDEX(('Lot Balance'!$A$5:$A$500=$F699)*('Lot Balance'!$K$5:$K$500&lt;$AK699)*('Lot Balance'!$K$5:$K$500+'Lot Balance'!$D$5:$D$500&gt;=$AK699),0),0)),""))</f>
        <v>563963-6</v>
      </c>
      <c r="AM699" s="66" t="str" cm="1">
        <f t="array" ref="AM699">IF($F699="","",IFERROR(INDEX('Lot Balance'!$B$5:$B$500,MATCH(1,INDEX(('Lot Balance'!$A$5:$A$500=$F699)*('Lot Balance'!$K$5:$K$500&lt;$AJ699)*('Lot Balance'!$K$5:$K$500+'Lot Balance'!$D$5:$D$500&gt;=$AJ699),0),0)),""))</f>
        <v>563963-6</v>
      </c>
      <c r="AN699" s="66" t="str">
        <f>IF($F699="","",IF($AI699&lt;&gt;"",IF(COUNTIFS('Lot Balance'!$A$5:$A$500,$F699,'Lot Balance'!$B$5:$B$500,$AI699)=0,"⚠ override is not a lot of this item",IF($AI699=$AL699,"Override = FEFO","Override - FEFO says "&amp;$AL699)),IF($AL699="","⚠ no receipt on file for this item",IF($AM699&lt;&gt;$AL699,"FEFO auto - split, also "&amp;$AM699,"FEFO auto"))))</f>
        <v>FEFO auto</v>
      </c>
      <c r="AO699" s="114"/>
    </row>
    <row r="700" spans="1:41" x14ac:dyDescent="0.35">
      <c r="A700" s="74">
        <v>46155</v>
      </c>
      <c r="B700" s="18" t="str">
        <f>IF($C700="","",IFERROR(INDEX('Staff Directory'!$A$5:$A$594,MATCH($C700,'Staff Directory'!$B$5:$B$594,0)),"⚠ unknown staff"))</f>
        <v>TL/RPN-001-A8</v>
      </c>
      <c r="C700" s="49" t="s">
        <v>1021</v>
      </c>
      <c r="D700" s="19" t="str">
        <f>IF($B700="","",IFERROR(INDEX('Staff Directory'!$C$5:$C$594,MATCH($B700,'Staff Directory'!$A$5:$A$594,0)),""))</f>
        <v>TL/RPN</v>
      </c>
      <c r="E700" s="19" t="str">
        <f>IF($B700="","",IFERROR(INDEX('Staff Directory'!$D$5:$D$594,MATCH($B700,'Staff Directory'!$A$5:$A$594,0)),""))</f>
        <v>A8</v>
      </c>
      <c r="F700" s="9" t="s">
        <v>115</v>
      </c>
      <c r="G700" s="18" t="str">
        <f>IF($F700="","",IFERROR(INDEX(Items!$B$5:$B$597,MATCH($F700,Items!$A$5:$A$597,0)),"⚠ not in Items"))</f>
        <v>Wipes</v>
      </c>
      <c r="H700" s="19">
        <f>IF($F700="","",IFERROR(INDEX(Items!$C$5:$C$597,MATCH($F700,Items!$A$5:$A$597,0)),""))</f>
        <v>80</v>
      </c>
      <c r="I700" s="23">
        <f>IF($F700="","",IFERROR(INDEX(Items!$E$5:$E$597,MATCH($F700,Items!$A$5:$A$597,0)),""))</f>
        <v>80</v>
      </c>
      <c r="J700" s="115">
        <f>IF(tblIssues[[#This Row],[Qty Override]]&lt;&gt;"",tblIssues[[#This Row],[Qty Override]],IF(tblIssues[[#This Row],[Standard Issue]]="","",tblIssues[[#This Row],[Standard Issue]]))</f>
        <v>80</v>
      </c>
      <c r="K700" s="20">
        <f>IF($F700="","",IFERROR(INDEX(Items!$D$5:$D$597,MATCH($F700,Items!$A$5:$A$597,0)),""))</f>
        <v>0.1</v>
      </c>
      <c r="L700" s="21">
        <f t="shared" si="116"/>
        <v>8</v>
      </c>
      <c r="M700" s="9" t="str">
        <f t="shared" si="117"/>
        <v>LYSL500290</v>
      </c>
      <c r="N700" s="24">
        <f>IF($A700="","",WORKDAY($A700,Settings!$C$9,HolidayDates))</f>
        <v>46163</v>
      </c>
      <c r="O700" s="24">
        <f>IF($N700="","",WORKDAY($N700,Settings!$C$10,HolidayDates))</f>
        <v>46203</v>
      </c>
      <c r="P700" s="10" t="s">
        <v>501</v>
      </c>
      <c r="Q700" s="52" t="str">
        <f t="shared" si="119"/>
        <v>Collected</v>
      </c>
      <c r="R700" s="55" t="str">
        <f t="shared" si="120"/>
        <v>2026-05</v>
      </c>
      <c r="S700" s="55">
        <f>IF(OR($B700="",$F700="",$R700=""),"",SUMIFS(tblIssues[Qty Issued],tblIssues[Staff ID],$B700,tblIssues[Item Name],$F700,tblIssues[Month],$R700))</f>
        <v>80</v>
      </c>
      <c r="T700" s="56">
        <f>IF($I700="","",$I700*Settings!$C$11)</f>
        <v>80</v>
      </c>
      <c r="U700" s="57" t="str">
        <f t="shared" si="118"/>
        <v>OK</v>
      </c>
      <c r="V700" s="55" t="str">
        <f t="shared" si="121"/>
        <v/>
      </c>
      <c r="W700" s="55" t="str">
        <f>IF($V700="","",IF(COUNTIF($V$5:$V700,$V700)=1,1,""))</f>
        <v/>
      </c>
      <c r="X700" s="58" t="str">
        <f>IF($W700="","",MAX($X$4:X699)+1)</f>
        <v/>
      </c>
      <c r="Y700" s="62"/>
      <c r="Z700" s="62"/>
      <c r="AA700" s="64" t="str">
        <f>IF($C700="","",IFERROR(INDEX('Staff Directory'!$E$5:$E$594,MATCH($C700,'Staff Directory'!$B$5:$B$594,0)),""))</f>
        <v>firstname105.lastname105@example.com</v>
      </c>
      <c r="AB700" s="64" t="str">
        <f>IF($C700="","",IF(ISNUMBER(SEARCH($D700,Settings!$C$15)),"Pickup","Dispatch"))</f>
        <v>Dispatch</v>
      </c>
      <c r="AC700" s="64" t="str">
        <f t="shared" si="122"/>
        <v>Supply order dispatched</v>
      </c>
      <c r="AD700" s="64" t="str">
        <f t="shared" si="113"/>
        <v>Dear TL/RPN,
Your order has been dispatched and is in transit. Reply if undelivered.</v>
      </c>
      <c r="AE700" s="64" t="str">
        <f t="shared" si="114"/>
        <v>mailto:firstname105.lastname105@example.com?subject=Supply%20order%20dispatched&amp;body=Dear%20TL%2FRPN%2C%0A%0AYour%20order%20has%20been%20dispatched%20and%20is%20in%20transit.%20Reply%20if%20undelivered.</v>
      </c>
      <c r="AF700" s="89" t="str">
        <f t="shared" si="123"/>
        <v>Draft email</v>
      </c>
      <c r="AG700" s="64" t="str">
        <f>IF($C700="","",IFERROR(INDEX('Staff Directory'!$K$595:$K$599,MATCH($C700,'Staff Directory'!$B$5:$B$599,0)),$D700))</f>
        <v>TL/RPN</v>
      </c>
      <c r="AH700" t="str">
        <f>IF($C700="","",IFERROR(INDEX('Staff Directory'!$I$595:$I$599,MATCH($C700,'Staff Directory'!$B$5:$B$599,0))&amp;" "&amp;INDEX('Staff Directory'!$J$595:$J$599,MATCH($C700,'Staff Directory'!$B$5:$B$599,0)),$AG700))</f>
        <v>TL/RPN</v>
      </c>
      <c r="AI700" s="102"/>
      <c r="AJ700" s="101">
        <f>IF($F700="","",SUMIFS($J$5:$J700,$F$5:$F700,$F700))</f>
        <v>9840</v>
      </c>
      <c r="AK700" s="101">
        <f t="shared" si="115"/>
        <v>9761</v>
      </c>
      <c r="AL700" s="66" t="str" cm="1">
        <f t="array" ref="AL700">IF($F700="","",IFERROR(INDEX('Lot Balance'!$B$5:$B$500,MATCH(1,INDEX(('Lot Balance'!$A$5:$A$500=$F700)*('Lot Balance'!$K$5:$K$500&lt;$AK700)*('Lot Balance'!$K$5:$K$500+'Lot Balance'!$D$5:$D$500&gt;=$AK700),0),0)),""))</f>
        <v>LYSL500290</v>
      </c>
      <c r="AM700" s="66" t="str" cm="1">
        <f t="array" ref="AM700">IF($F700="","",IFERROR(INDEX('Lot Balance'!$B$5:$B$500,MATCH(1,INDEX(('Lot Balance'!$A$5:$A$500=$F700)*('Lot Balance'!$K$5:$K$500&lt;$AJ700)*('Lot Balance'!$K$5:$K$500+'Lot Balance'!$D$5:$D$500&gt;=$AJ700),0),0)),""))</f>
        <v>LYSL500290</v>
      </c>
      <c r="AN700" s="66" t="str">
        <f>IF($F700="","",IF($AI700&lt;&gt;"",IF(COUNTIFS('Lot Balance'!$A$5:$A$500,$F700,'Lot Balance'!$B$5:$B$500,$AI700)=0,"⚠ override is not a lot of this item",IF($AI700=$AL700,"Override = FEFO","Override - FEFO says "&amp;$AL700)),IF($AL700="","⚠ no receipt on file for this item",IF($AM700&lt;&gt;$AL700,"FEFO auto - split, also "&amp;$AM700,"FEFO auto"))))</f>
        <v>FEFO auto</v>
      </c>
      <c r="AO700" s="114"/>
    </row>
    <row r="701" spans="1:41" x14ac:dyDescent="0.35">
      <c r="A701" s="74">
        <v>46155</v>
      </c>
      <c r="B701" s="18" t="str">
        <f>IF($C701="","",IFERROR(INDEX('Staff Directory'!$A$5:$A$594,MATCH($C701,'Staff Directory'!$B$5:$B$594,0)),"⚠ unknown staff"))</f>
        <v>TL/RPN-001-A8</v>
      </c>
      <c r="C701" s="49" t="s">
        <v>1021</v>
      </c>
      <c r="D701" s="19" t="str">
        <f>IF($B701="","",IFERROR(INDEX('Staff Directory'!$C$5:$C$594,MATCH($B701,'Staff Directory'!$A$5:$A$594,0)),""))</f>
        <v>TL/RPN</v>
      </c>
      <c r="E701" s="19" t="str">
        <f>IF($B701="","",IFERROR(INDEX('Staff Directory'!$D$5:$D$594,MATCH($B701,'Staff Directory'!$A$5:$A$594,0)),""))</f>
        <v>A8</v>
      </c>
      <c r="F701" s="9" t="s">
        <v>193</v>
      </c>
      <c r="G701" s="18" t="str">
        <f>IF($F701="","",IFERROR(INDEX(Items!$B$5:$B$597,MATCH($F701,Items!$A$5:$A$597,0)),"⚠ not in Items"))</f>
        <v>Wipes</v>
      </c>
      <c r="H701" s="19">
        <f>IF($F701="","",IFERROR(INDEX(Items!$C$5:$C$597,MATCH($F701,Items!$A$5:$A$597,0)),""))</f>
        <v>160</v>
      </c>
      <c r="I701" s="23">
        <f>IF($F701="","",IFERROR(INDEX(Items!$E$5:$E$597,MATCH($F701,Items!$A$5:$A$597,0)),""))</f>
        <v>160</v>
      </c>
      <c r="J701" s="115">
        <f>IF(tblIssues[[#This Row],[Qty Override]]&lt;&gt;"",tblIssues[[#This Row],[Qty Override]],IF(tblIssues[[#This Row],[Standard Issue]]="","",tblIssues[[#This Row],[Standard Issue]]))</f>
        <v>160</v>
      </c>
      <c r="K701" s="20">
        <f>IF($F701="","",IFERROR(INDEX(Items!$D$5:$D$597,MATCH($F701,Items!$A$5:$A$597,0)),""))</f>
        <v>0</v>
      </c>
      <c r="L701" s="21">
        <f t="shared" si="116"/>
        <v>0</v>
      </c>
      <c r="M701" s="9" t="str">
        <f t="shared" si="117"/>
        <v>22625VXO7</v>
      </c>
      <c r="N701" s="24">
        <f>IF($A701="","",WORKDAY($A701,Settings!$C$9,HolidayDates))</f>
        <v>46163</v>
      </c>
      <c r="O701" s="24">
        <f>IF($N701="","",WORKDAY($N701,Settings!$C$10,HolidayDates))</f>
        <v>46203</v>
      </c>
      <c r="P701" s="10" t="s">
        <v>501</v>
      </c>
      <c r="Q701" s="52" t="str">
        <f t="shared" si="119"/>
        <v>Collected</v>
      </c>
      <c r="R701" s="55" t="str">
        <f t="shared" si="120"/>
        <v>2026-05</v>
      </c>
      <c r="S701" s="55">
        <f>IF(OR($B701="",$F701="",$R701=""),"",SUMIFS(tblIssues[Qty Issued],tblIssues[Staff ID],$B701,tblIssues[Item Name],$F701,tblIssues[Month],$R701))</f>
        <v>160</v>
      </c>
      <c r="T701" s="56">
        <f>IF($I701="","",$I701*Settings!$C$11)</f>
        <v>160</v>
      </c>
      <c r="U701" s="57" t="str">
        <f t="shared" si="118"/>
        <v>OK</v>
      </c>
      <c r="V701" s="55" t="str">
        <f t="shared" si="121"/>
        <v/>
      </c>
      <c r="W701" s="55" t="str">
        <f>IF($V701="","",IF(COUNTIF($V$5:$V701,$V701)=1,1,""))</f>
        <v/>
      </c>
      <c r="X701" s="58" t="str">
        <f>IF($W701="","",MAX($X$4:X700)+1)</f>
        <v/>
      </c>
      <c r="Y701" s="62"/>
      <c r="Z701" s="62"/>
      <c r="AA701" s="64" t="str">
        <f>IF($C701="","",IFERROR(INDEX('Staff Directory'!$E$5:$E$594,MATCH($C701,'Staff Directory'!$B$5:$B$594,0)),""))</f>
        <v>firstname105.lastname105@example.com</v>
      </c>
      <c r="AB701" s="64" t="str">
        <f>IF($C701="","",IF(ISNUMBER(SEARCH($D701,Settings!$C$15)),"Pickup","Dispatch"))</f>
        <v>Dispatch</v>
      </c>
      <c r="AC701" s="64" t="str">
        <f t="shared" si="122"/>
        <v>Supply order dispatched</v>
      </c>
      <c r="AD701" s="64" t="str">
        <f t="shared" si="113"/>
        <v>Dear TL/RPN,
Your order has been dispatched and is in transit. Reply if undelivered.</v>
      </c>
      <c r="AE701" s="64" t="str">
        <f t="shared" si="114"/>
        <v>mailto:firstname105.lastname105@example.com?subject=Supply%20order%20dispatched&amp;body=Dear%20TL%2FRPN%2C%0A%0AYour%20order%20has%20been%20dispatched%20and%20is%20in%20transit.%20Reply%20if%20undelivered.</v>
      </c>
      <c r="AF701" s="89" t="str">
        <f t="shared" si="123"/>
        <v>Draft email</v>
      </c>
      <c r="AG701" s="64" t="str">
        <f>IF($C701="","",IFERROR(INDEX('Staff Directory'!$K$595:$K$599,MATCH($C701,'Staff Directory'!$B$5:$B$599,0)),$D701))</f>
        <v>TL/RPN</v>
      </c>
      <c r="AH701" t="str">
        <f>IF($C701="","",IFERROR(INDEX('Staff Directory'!$I$595:$I$599,MATCH($C701,'Staff Directory'!$B$5:$B$599,0))&amp;" "&amp;INDEX('Staff Directory'!$J$595:$J$599,MATCH($C701,'Staff Directory'!$B$5:$B$599,0)),$AG701))</f>
        <v>TL/RPN</v>
      </c>
      <c r="AI701" s="102"/>
      <c r="AJ701" s="101">
        <f>IF($F701="","",SUMIFS($J$5:$J701,$F$5:$F701,$F701))</f>
        <v>640</v>
      </c>
      <c r="AK701" s="101">
        <f t="shared" si="115"/>
        <v>481</v>
      </c>
      <c r="AL701" s="66" t="str" cm="1">
        <f t="array" ref="AL701">IF($F701="","",IFERROR(INDEX('Lot Balance'!$B$5:$B$500,MATCH(1,INDEX(('Lot Balance'!$A$5:$A$500=$F701)*('Lot Balance'!$K$5:$K$500&lt;$AK701)*('Lot Balance'!$K$5:$K$500+'Lot Balance'!$D$5:$D$500&gt;=$AK701),0),0)),""))</f>
        <v>22625VXO7</v>
      </c>
      <c r="AM701" s="66" t="str" cm="1">
        <f t="array" ref="AM701">IF($F701="","",IFERROR(INDEX('Lot Balance'!$B$5:$B$500,MATCH(1,INDEX(('Lot Balance'!$A$5:$A$500=$F701)*('Lot Balance'!$K$5:$K$500&lt;$AJ701)*('Lot Balance'!$K$5:$K$500+'Lot Balance'!$D$5:$D$500&gt;=$AJ701),0),0)),""))</f>
        <v>22625VXO7</v>
      </c>
      <c r="AN701" s="66" t="str">
        <f>IF($F701="","",IF($AI701&lt;&gt;"",IF(COUNTIFS('Lot Balance'!$A$5:$A$500,$F701,'Lot Balance'!$B$5:$B$500,$AI701)=0,"⚠ override is not a lot of this item",IF($AI701=$AL701,"Override = FEFO","Override - FEFO says "&amp;$AL701)),IF($AL701="","⚠ no receipt on file for this item",IF($AM701&lt;&gt;$AL701,"FEFO auto - split, also "&amp;$AM701,"FEFO auto"))))</f>
        <v>FEFO auto</v>
      </c>
      <c r="AO701" s="114"/>
    </row>
    <row r="702" spans="1:41" x14ac:dyDescent="0.35">
      <c r="A702" s="74">
        <v>46155</v>
      </c>
      <c r="B702" s="18" t="str">
        <f>IF($C702="","",IFERROR(INDEX('Staff Directory'!$A$5:$A$594,MATCH($C702,'Staff Directory'!$B$5:$B$594,0)),"⚠ unknown staff"))</f>
        <v>PSW-137-A6</v>
      </c>
      <c r="C702" s="49" t="s">
        <v>1116</v>
      </c>
      <c r="D702" s="19" t="str">
        <f>IF($B702="","",IFERROR(INDEX('Staff Directory'!$C$5:$C$594,MATCH($B702,'Staff Directory'!$A$5:$A$594,0)),""))</f>
        <v>PSW</v>
      </c>
      <c r="E702" s="19" t="str">
        <f>IF($B702="","",IFERROR(INDEX('Staff Directory'!$D$5:$D$594,MATCH($B702,'Staff Directory'!$A$5:$A$594,0)),""))</f>
        <v>A6</v>
      </c>
      <c r="F702" s="9" t="s">
        <v>115</v>
      </c>
      <c r="G702" s="18" t="str">
        <f>IF($F702="","",IFERROR(INDEX(Items!$B$5:$B$597,MATCH($F702,Items!$A$5:$A$597,0)),"⚠ not in Items"))</f>
        <v>Wipes</v>
      </c>
      <c r="H702" s="19">
        <f>IF($F702="","",IFERROR(INDEX(Items!$C$5:$C$597,MATCH($F702,Items!$A$5:$A$597,0)),""))</f>
        <v>80</v>
      </c>
      <c r="I702" s="23">
        <f>IF($F702="","",IFERROR(INDEX(Items!$E$5:$E$597,MATCH($F702,Items!$A$5:$A$597,0)),""))</f>
        <v>80</v>
      </c>
      <c r="J702" s="115">
        <f>IF(tblIssues[[#This Row],[Qty Override]]&lt;&gt;"",tblIssues[[#This Row],[Qty Override]],IF(tblIssues[[#This Row],[Standard Issue]]="","",tblIssues[[#This Row],[Standard Issue]]))</f>
        <v>80</v>
      </c>
      <c r="K702" s="20">
        <f>IF($F702="","",IFERROR(INDEX(Items!$D$5:$D$597,MATCH($F702,Items!$A$5:$A$597,0)),""))</f>
        <v>0.1</v>
      </c>
      <c r="L702" s="21">
        <f t="shared" si="116"/>
        <v>8</v>
      </c>
      <c r="M702" s="9" t="str">
        <f t="shared" si="117"/>
        <v>LYSL500290</v>
      </c>
      <c r="N702" s="24">
        <f>IF($A702="","",WORKDAY($A702,Settings!$C$9,HolidayDates))</f>
        <v>46163</v>
      </c>
      <c r="O702" s="24">
        <f>IF($N702="","",WORKDAY($N702,Settings!$C$10,HolidayDates))</f>
        <v>46203</v>
      </c>
      <c r="P702" s="10" t="s">
        <v>501</v>
      </c>
      <c r="Q702" s="52" t="str">
        <f t="shared" si="119"/>
        <v>Collected</v>
      </c>
      <c r="R702" s="55" t="str">
        <f t="shared" si="120"/>
        <v>2026-05</v>
      </c>
      <c r="S702" s="55">
        <f>IF(OR($B702="",$F702="",$R702=""),"",SUMIFS(tblIssues[Qty Issued],tblIssues[Staff ID],$B702,tblIssues[Item Name],$F702,tblIssues[Month],$R702))</f>
        <v>80</v>
      </c>
      <c r="T702" s="56">
        <f>IF($I702="","",$I702*Settings!$C$11)</f>
        <v>80</v>
      </c>
      <c r="U702" s="57" t="str">
        <f t="shared" si="118"/>
        <v>OK</v>
      </c>
      <c r="V702" s="55" t="str">
        <f t="shared" si="121"/>
        <v/>
      </c>
      <c r="W702" s="55" t="str">
        <f>IF($V702="","",IF(COUNTIF($V$5:$V702,$V702)=1,1,""))</f>
        <v/>
      </c>
      <c r="X702" s="58" t="str">
        <f>IF($W702="","",MAX($X$4:X701)+1)</f>
        <v/>
      </c>
      <c r="Y702" s="62"/>
      <c r="Z702" s="62"/>
      <c r="AA702" s="64" t="str">
        <f>IF($C702="","",IFERROR(INDEX('Staff Directory'!$E$5:$E$594,MATCH($C702,'Staff Directory'!$B$5:$B$594,0)),""))</f>
        <v>firstname200.lastname200@example.com</v>
      </c>
      <c r="AB702" s="64" t="str">
        <f>IF($C702="","",IF(ISNUMBER(SEARCH($D702,Settings!$C$15)),"Pickup","Dispatch"))</f>
        <v>Pickup</v>
      </c>
      <c r="AC702" s="64" t="str">
        <f t="shared" si="122"/>
        <v>Supply order ready for pickup</v>
      </c>
      <c r="AD702" s="64" t="str">
        <f t="shared" si="113"/>
        <v>Dear PSW,
Your order is ready for pickup from Sample Branch, Wed-Fri 9am-4pm.</v>
      </c>
      <c r="AE702" s="64" t="str">
        <f t="shared" si="114"/>
        <v>mailto:firstname200.lastname200@example.com?subject=Supply%20order%20ready%20for%20pickup&amp;body=Dear%20PSW%2C%0A%0AYour%20order%20is%20ready%20for%20pickup%20from%20Sample%20Branch%2C%20Wed-Fri%209am-4pm.</v>
      </c>
      <c r="AF702" s="89" t="str">
        <f t="shared" si="123"/>
        <v>Draft email</v>
      </c>
      <c r="AG702" s="64" t="str">
        <f>IF($C702="","",IFERROR(INDEX('Staff Directory'!$K$595:$K$599,MATCH($C702,'Staff Directory'!$B$5:$B$599,0)),$D702))</f>
        <v>PSW</v>
      </c>
      <c r="AH702" t="str">
        <f>IF($C702="","",IFERROR(INDEX('Staff Directory'!$I$595:$I$599,MATCH($C702,'Staff Directory'!$B$5:$B$599,0))&amp;" "&amp;INDEX('Staff Directory'!$J$595:$J$599,MATCH($C702,'Staff Directory'!$B$5:$B$599,0)),$AG702))</f>
        <v>PSW</v>
      </c>
      <c r="AI702" s="102"/>
      <c r="AJ702" s="101">
        <f>IF($F702="","",SUMIFS($J$5:$J702,$F$5:$F702,$F702))</f>
        <v>9920</v>
      </c>
      <c r="AK702" s="101">
        <f t="shared" si="115"/>
        <v>9841</v>
      </c>
      <c r="AL702" s="66" t="str" cm="1">
        <f t="array" ref="AL702">IF($F702="","",IFERROR(INDEX('Lot Balance'!$B$5:$B$500,MATCH(1,INDEX(('Lot Balance'!$A$5:$A$500=$F702)*('Lot Balance'!$K$5:$K$500&lt;$AK702)*('Lot Balance'!$K$5:$K$500+'Lot Balance'!$D$5:$D$500&gt;=$AK702),0),0)),""))</f>
        <v>LYSL500290</v>
      </c>
      <c r="AM702" s="66" t="str" cm="1">
        <f t="array" ref="AM702">IF($F702="","",IFERROR(INDEX('Lot Balance'!$B$5:$B$500,MATCH(1,INDEX(('Lot Balance'!$A$5:$A$500=$F702)*('Lot Balance'!$K$5:$K$500&lt;$AJ702)*('Lot Balance'!$K$5:$K$500+'Lot Balance'!$D$5:$D$500&gt;=$AJ702),0),0)),""))</f>
        <v>LYSL500290</v>
      </c>
      <c r="AN702" s="66" t="str">
        <f>IF($F702="","",IF($AI702&lt;&gt;"",IF(COUNTIFS('Lot Balance'!$A$5:$A$500,$F702,'Lot Balance'!$B$5:$B$500,$AI702)=0,"⚠ override is not a lot of this item",IF($AI702=$AL702,"Override = FEFO","Override - FEFO says "&amp;$AL702)),IF($AL702="","⚠ no receipt on file for this item",IF($AM702&lt;&gt;$AL702,"FEFO auto - split, also "&amp;$AM702,"FEFO auto"))))</f>
        <v>FEFO auto</v>
      </c>
      <c r="AO702" s="114"/>
    </row>
    <row r="703" spans="1:41" x14ac:dyDescent="0.35">
      <c r="A703" s="74">
        <v>46155</v>
      </c>
      <c r="B703" s="18" t="str">
        <f>IF($C703="","",IFERROR(INDEX('Staff Directory'!$A$5:$A$594,MATCH($C703,'Staff Directory'!$B$5:$B$594,0)),"⚠ unknown staff"))</f>
        <v>TL/RPN-002-A9</v>
      </c>
      <c r="C703" s="49" t="s">
        <v>1065</v>
      </c>
      <c r="D703" s="19" t="str">
        <f>IF($B703="","",IFERROR(INDEX('Staff Directory'!$C$5:$C$594,MATCH($B703,'Staff Directory'!$A$5:$A$594,0)),""))</f>
        <v>TL/RPN</v>
      </c>
      <c r="E703" s="19" t="str">
        <f>IF($B703="","",IFERROR(INDEX('Staff Directory'!$D$5:$D$594,MATCH($B703,'Staff Directory'!$A$5:$A$594,0)),""))</f>
        <v>A9</v>
      </c>
      <c r="F703" s="9" t="s">
        <v>193</v>
      </c>
      <c r="G703" s="18" t="str">
        <f>IF($F703="","",IFERROR(INDEX(Items!$B$5:$B$597,MATCH($F703,Items!$A$5:$A$597,0)),"⚠ not in Items"))</f>
        <v>Wipes</v>
      </c>
      <c r="H703" s="19">
        <f>IF($F703="","",IFERROR(INDEX(Items!$C$5:$C$597,MATCH($F703,Items!$A$5:$A$597,0)),""))</f>
        <v>160</v>
      </c>
      <c r="I703" s="23">
        <f>IF($F703="","",IFERROR(INDEX(Items!$E$5:$E$597,MATCH($F703,Items!$A$5:$A$597,0)),""))</f>
        <v>160</v>
      </c>
      <c r="J703" s="115">
        <f>IF(tblIssues[[#This Row],[Qty Override]]&lt;&gt;"",tblIssues[[#This Row],[Qty Override]],IF(tblIssues[[#This Row],[Standard Issue]]="","",tblIssues[[#This Row],[Standard Issue]]))</f>
        <v>160</v>
      </c>
      <c r="K703" s="20">
        <f>IF($F703="","",IFERROR(INDEX(Items!$D$5:$D$597,MATCH($F703,Items!$A$5:$A$597,0)),""))</f>
        <v>0</v>
      </c>
      <c r="L703" s="21">
        <f t="shared" si="116"/>
        <v>0</v>
      </c>
      <c r="M703" s="9" t="str">
        <f t="shared" si="117"/>
        <v>22625VXO7</v>
      </c>
      <c r="N703" s="24">
        <f>IF($A703="","",WORKDAY($A703,Settings!$C$9,HolidayDates))</f>
        <v>46163</v>
      </c>
      <c r="O703" s="24">
        <f>IF($N703="","",WORKDAY($N703,Settings!$C$10,HolidayDates))</f>
        <v>46203</v>
      </c>
      <c r="P703" s="10" t="s">
        <v>501</v>
      </c>
      <c r="Q703" s="52" t="str">
        <f t="shared" si="119"/>
        <v>Collected</v>
      </c>
      <c r="R703" s="55" t="str">
        <f t="shared" si="120"/>
        <v>2026-05</v>
      </c>
      <c r="S703" s="55">
        <f>IF(OR($B703="",$F703="",$R703=""),"",SUMIFS(tblIssues[Qty Issued],tblIssues[Staff ID],$B703,tblIssues[Item Name],$F703,tblIssues[Month],$R703))</f>
        <v>320</v>
      </c>
      <c r="T703" s="56">
        <f>IF($I703="","",$I703*Settings!$C$11)</f>
        <v>160</v>
      </c>
      <c r="U703" s="57" t="str">
        <f t="shared" si="118"/>
        <v>⚠ OVER QUOTA</v>
      </c>
      <c r="V703" s="55" t="str">
        <f t="shared" si="121"/>
        <v>TL/RPN-002-A9 | Disinfectant Wipes OS | 2026-05</v>
      </c>
      <c r="W703" s="55">
        <f>IF($V703="","",IF(COUNTIF($V$5:$V703,$V703)=1,1,""))</f>
        <v>1</v>
      </c>
      <c r="X703" s="58">
        <f>IF($W703="","",MAX($X$4:X702)+1)</f>
        <v>16</v>
      </c>
      <c r="Y703" s="62"/>
      <c r="Z703" s="62"/>
      <c r="AA703" s="64" t="str">
        <f>IF($C703="","",IFERROR(INDEX('Staff Directory'!$E$5:$E$594,MATCH($C703,'Staff Directory'!$B$5:$B$594,0)),""))</f>
        <v>firstname149.lastname149@example.com</v>
      </c>
      <c r="AB703" s="64" t="str">
        <f>IF($C703="","",IF(ISNUMBER(SEARCH($D703,Settings!$C$15)),"Pickup","Dispatch"))</f>
        <v>Dispatch</v>
      </c>
      <c r="AC703" s="64" t="str">
        <f t="shared" si="122"/>
        <v>Supply order dispatched</v>
      </c>
      <c r="AD703" s="64" t="str">
        <f t="shared" si="113"/>
        <v>Dear TL/RPN,
Your order has been dispatched and is in transit. Reply if undelivered.</v>
      </c>
      <c r="AE703" s="64" t="str">
        <f t="shared" si="114"/>
        <v>mailto:firstname149.lastname149@example.com?subject=Supply%20order%20dispatched&amp;body=Dear%20TL%2FRPN%2C%0A%0AYour%20order%20has%20been%20dispatched%20and%20is%20in%20transit.%20Reply%20if%20undelivered.</v>
      </c>
      <c r="AF703" s="89" t="str">
        <f t="shared" si="123"/>
        <v>Draft email</v>
      </c>
      <c r="AG703" s="64" t="str">
        <f>IF($C703="","",IFERROR(INDEX('Staff Directory'!$K$595:$K$599,MATCH($C703,'Staff Directory'!$B$5:$B$599,0)),$D703))</f>
        <v>TL/RPN</v>
      </c>
      <c r="AH703" t="str">
        <f>IF($C703="","",IFERROR(INDEX('Staff Directory'!$I$595:$I$599,MATCH($C703,'Staff Directory'!$B$5:$B$599,0))&amp;" "&amp;INDEX('Staff Directory'!$J$595:$J$599,MATCH($C703,'Staff Directory'!$B$5:$B$599,0)),$AG703))</f>
        <v>TL/RPN</v>
      </c>
      <c r="AI703" s="102"/>
      <c r="AJ703" s="101">
        <f>IF($F703="","",SUMIFS($J$5:$J703,$F$5:$F703,$F703))</f>
        <v>800</v>
      </c>
      <c r="AK703" s="101">
        <f t="shared" si="115"/>
        <v>641</v>
      </c>
      <c r="AL703" s="66" t="str" cm="1">
        <f t="array" ref="AL703">IF($F703="","",IFERROR(INDEX('Lot Balance'!$B$5:$B$500,MATCH(1,INDEX(('Lot Balance'!$A$5:$A$500=$F703)*('Lot Balance'!$K$5:$K$500&lt;$AK703)*('Lot Balance'!$K$5:$K$500+'Lot Balance'!$D$5:$D$500&gt;=$AK703),0),0)),""))</f>
        <v>22625VXO7</v>
      </c>
      <c r="AM703" s="66" t="str" cm="1">
        <f t="array" ref="AM703">IF($F703="","",IFERROR(INDEX('Lot Balance'!$B$5:$B$500,MATCH(1,INDEX(('Lot Balance'!$A$5:$A$500=$F703)*('Lot Balance'!$K$5:$K$500&lt;$AJ703)*('Lot Balance'!$K$5:$K$500+'Lot Balance'!$D$5:$D$500&gt;=$AJ703),0),0)),""))</f>
        <v>22625VXO7</v>
      </c>
      <c r="AN703" s="66" t="str">
        <f>IF($F703="","",IF($AI703&lt;&gt;"",IF(COUNTIFS('Lot Balance'!$A$5:$A$500,$F703,'Lot Balance'!$B$5:$B$500,$AI703)=0,"⚠ override is not a lot of this item",IF($AI703=$AL703,"Override = FEFO","Override - FEFO says "&amp;$AL703)),IF($AL703="","⚠ no receipt on file for this item",IF($AM703&lt;&gt;$AL703,"FEFO auto - split, also "&amp;$AM703,"FEFO auto"))))</f>
        <v>FEFO auto</v>
      </c>
      <c r="AO703" s="114"/>
    </row>
    <row r="704" spans="1:41" x14ac:dyDescent="0.35">
      <c r="A704" s="74">
        <v>46156</v>
      </c>
      <c r="B704" s="18" t="str">
        <f>IF($C704="","",IFERROR(INDEX('Staff Directory'!$A$5:$A$594,MATCH($C704,'Staff Directory'!$B$5:$B$594,0)),"⚠ unknown staff"))</f>
        <v>RN-010-A2</v>
      </c>
      <c r="C704" s="49" t="s">
        <v>926</v>
      </c>
      <c r="D704" s="19" t="str">
        <f>IF($B704="","",IFERROR(INDEX('Staff Directory'!$C$5:$C$594,MATCH($B704,'Staff Directory'!$A$5:$A$594,0)),""))</f>
        <v>RN</v>
      </c>
      <c r="E704" s="19" t="str">
        <f>IF($B704="","",IFERROR(INDEX('Staff Directory'!$D$5:$D$594,MATCH($B704,'Staff Directory'!$A$5:$A$594,0)),""))</f>
        <v>A2</v>
      </c>
      <c r="F704" s="9" t="s">
        <v>757</v>
      </c>
      <c r="G704" s="18" t="str">
        <f>IF($F704="","",IFERROR(INDEX(Items!$B$5:$B$597,MATCH($F704,Items!$A$5:$A$597,0)),"⚠ not in Items"))</f>
        <v>Documents</v>
      </c>
      <c r="H704" s="19" t="str">
        <f>IF($F704="","",IFERROR(INDEX(Items!$C$5:$C$597,MATCH($F704,Items!$A$5:$A$597,0)),""))</f>
        <v>Standard</v>
      </c>
      <c r="I704" s="23">
        <f>IF($F704="","",IFERROR(INDEX(Items!$E$5:$E$597,MATCH($F704,Items!$A$5:$A$597,0)),""))</f>
        <v>10</v>
      </c>
      <c r="J704" s="115">
        <f>IF(tblIssues[[#This Row],[Qty Override]]&lt;&gt;"",tblIssues[[#This Row],[Qty Override]],IF(tblIssues[[#This Row],[Standard Issue]]="","",tblIssues[[#This Row],[Standard Issue]]))</f>
        <v>10</v>
      </c>
      <c r="K704" s="20">
        <f>IF($F704="","",IFERROR(INDEX(Items!$D$5:$D$597,MATCH($F704,Items!$A$5:$A$597,0)),""))</f>
        <v>0</v>
      </c>
      <c r="L704" s="21">
        <f t="shared" si="116"/>
        <v>0</v>
      </c>
      <c r="M704" s="9" t="str">
        <f t="shared" si="117"/>
        <v/>
      </c>
      <c r="N704" s="24">
        <f>IF($A704="","",WORKDAY($A704,Settings!$C$9,HolidayDates))</f>
        <v>46164</v>
      </c>
      <c r="O704" s="24">
        <f>IF($N704="","",WORKDAY($N704,Settings!$C$10,HolidayDates))</f>
        <v>46204</v>
      </c>
      <c r="P704" s="10" t="s">
        <v>502</v>
      </c>
      <c r="Q704" s="52" t="str">
        <f t="shared" si="119"/>
        <v>Collected</v>
      </c>
      <c r="R704" s="55" t="str">
        <f t="shared" si="120"/>
        <v>2026-05</v>
      </c>
      <c r="S704" s="55">
        <f>IF(OR($B704="",$F704="",$R704=""),"",SUMIFS(tblIssues[Qty Issued],tblIssues[Staff ID],$B704,tblIssues[Item Name],$F704,tblIssues[Month],$R704))</f>
        <v>10</v>
      </c>
      <c r="T704" s="56">
        <f>IF($I704="","",$I704*Settings!$C$11)</f>
        <v>10</v>
      </c>
      <c r="U704" s="57" t="str">
        <f t="shared" si="118"/>
        <v>OK</v>
      </c>
      <c r="V704" s="55" t="str">
        <f t="shared" si="121"/>
        <v/>
      </c>
      <c r="W704" s="55" t="str">
        <f>IF($V704="","",IF(COUNTIF($V$5:$V704,$V704)=1,1,""))</f>
        <v/>
      </c>
      <c r="X704" s="58" t="str">
        <f>IF($W704="","",MAX($X$4:X703)+1)</f>
        <v/>
      </c>
      <c r="Y704" s="62"/>
      <c r="Z704" s="62"/>
      <c r="AA704" s="64" t="str">
        <f>IF($C704="","",IFERROR(INDEX('Staff Directory'!$E$5:$E$594,MATCH($C704,'Staff Directory'!$B$5:$B$594,0)),""))</f>
        <v>firstname010.lastname010@example.com</v>
      </c>
      <c r="AB704" s="64" t="str">
        <f>IF($C704="","",IF(ISNUMBER(SEARCH($D704,Settings!$C$15)),"Pickup","Dispatch"))</f>
        <v>Dispatch</v>
      </c>
      <c r="AC704" s="64" t="str">
        <f t="shared" si="122"/>
        <v>Supply order dispatched</v>
      </c>
      <c r="AD704" s="64" t="str">
        <f t="shared" si="113"/>
        <v>Dear RN,
Your order has been dispatched and is in transit. Reply if undelivered.</v>
      </c>
      <c r="AE704" s="64" t="str">
        <f t="shared" si="114"/>
        <v>mailto:firstname010.lastname010@example.com?subject=Supply%20order%20dispatched&amp;body=Dear%20RN%2C%0A%0AYour%20order%20has%20been%20dispatched%20and%20is%20in%20transit.%20Reply%20if%20undelivered.</v>
      </c>
      <c r="AF704" s="89" t="str">
        <f t="shared" si="123"/>
        <v>Draft email</v>
      </c>
      <c r="AG704" s="64" t="str">
        <f>IF($C704="","",IFERROR(INDEX('Staff Directory'!$K$595:$K$599,MATCH($C704,'Staff Directory'!$B$5:$B$599,0)),$D704))</f>
        <v>RN</v>
      </c>
      <c r="AH704" t="str">
        <f>IF($C704="","",IFERROR(INDEX('Staff Directory'!$I$595:$I$599,MATCH($C704,'Staff Directory'!$B$5:$B$599,0))&amp;" "&amp;INDEX('Staff Directory'!$J$595:$J$599,MATCH($C704,'Staff Directory'!$B$5:$B$599,0)),$AG704))</f>
        <v>RN</v>
      </c>
      <c r="AI704" s="102"/>
      <c r="AJ704" s="101">
        <f>IF($F704="","",SUMIFS($J$5:$J704,$F$5:$F704,$F704))</f>
        <v>430</v>
      </c>
      <c r="AK704" s="101">
        <f t="shared" si="115"/>
        <v>421</v>
      </c>
      <c r="AL704" s="66" t="str" cm="1">
        <f t="array" ref="AL704">IF($F704="","",IFERROR(INDEX('Lot Balance'!$B$5:$B$500,MATCH(1,INDEX(('Lot Balance'!$A$5:$A$500=$F704)*('Lot Balance'!$K$5:$K$500&lt;$AK704)*('Lot Balance'!$K$5:$K$500+'Lot Balance'!$D$5:$D$500&gt;=$AK704),0),0)),""))</f>
        <v/>
      </c>
      <c r="AM704" s="66" t="str" cm="1">
        <f t="array" ref="AM704">IF($F704="","",IFERROR(INDEX('Lot Balance'!$B$5:$B$500,MATCH(1,INDEX(('Lot Balance'!$A$5:$A$500=$F704)*('Lot Balance'!$K$5:$K$500&lt;$AJ704)*('Lot Balance'!$K$5:$K$500+'Lot Balance'!$D$5:$D$500&gt;=$AJ704),0),0)),""))</f>
        <v/>
      </c>
      <c r="AN704" s="66" t="str">
        <f>IF($F704="","",IF($AI704&lt;&gt;"",IF(COUNTIFS('Lot Balance'!$A$5:$A$500,$F704,'Lot Balance'!$B$5:$B$500,$AI704)=0,"⚠ override is not a lot of this item",IF($AI704=$AL704,"Override = FEFO","Override - FEFO says "&amp;$AL704)),IF($AL704="","⚠ no receipt on file for this item",IF($AM704&lt;&gt;$AL704,"FEFO auto - split, also "&amp;$AM704,"FEFO auto"))))</f>
        <v>⚠ no receipt on file for this item</v>
      </c>
      <c r="AO704" s="114"/>
    </row>
    <row r="705" spans="1:41" x14ac:dyDescent="0.35">
      <c r="A705" s="74">
        <v>46157</v>
      </c>
      <c r="B705" s="18" t="str">
        <f>IF($C705="","",IFERROR(INDEX('Staff Directory'!$A$5:$A$594,MATCH($C705,'Staff Directory'!$B$5:$B$594,0)),"⚠ unknown staff"))</f>
        <v>RN-033-A2</v>
      </c>
      <c r="C705" s="49" t="s">
        <v>954</v>
      </c>
      <c r="D705" s="19" t="str">
        <f>IF($B705="","",IFERROR(INDEX('Staff Directory'!$C$5:$C$594,MATCH($B705,'Staff Directory'!$A$5:$A$594,0)),""))</f>
        <v>RN</v>
      </c>
      <c r="E705" s="19" t="str">
        <f>IF($B705="","",IFERROR(INDEX('Staff Directory'!$D$5:$D$594,MATCH($B705,'Staff Directory'!$A$5:$A$594,0)),""))</f>
        <v>A2</v>
      </c>
      <c r="F705" s="9" t="s">
        <v>124</v>
      </c>
      <c r="G705" s="18" t="str">
        <f>IF($F705="","",IFERROR(INDEX(Items!$B$5:$B$597,MATCH($F705,Items!$A$5:$A$597,0)),"⚠ not in Items"))</f>
        <v>Gloves</v>
      </c>
      <c r="H705" s="19" t="str">
        <f>IF($F705="","",IFERROR(INDEX(Items!$C$5:$C$597,MATCH($F705,Items!$A$5:$A$597,0)),""))</f>
        <v>Large</v>
      </c>
      <c r="I705" s="23">
        <f>IF($F705="","",IFERROR(INDEX(Items!$E$5:$E$597,MATCH($F705,Items!$A$5:$A$597,0)),""))</f>
        <v>500</v>
      </c>
      <c r="J705" s="115">
        <f>IF(tblIssues[[#This Row],[Qty Override]]&lt;&gt;"",tblIssues[[#This Row],[Qty Override]],IF(tblIssues[[#This Row],[Standard Issue]]="","",tblIssues[[#This Row],[Standard Issue]]))</f>
        <v>500</v>
      </c>
      <c r="K705" s="20">
        <f>IF($F705="","",IFERROR(INDEX(Items!$D$5:$D$597,MATCH($F705,Items!$A$5:$A$597,0)),""))</f>
        <v>5.5E-2</v>
      </c>
      <c r="L705" s="21">
        <f t="shared" si="116"/>
        <v>27.5</v>
      </c>
      <c r="M705" s="9" t="str">
        <f t="shared" si="117"/>
        <v>0417HIC25-1</v>
      </c>
      <c r="N705" s="24">
        <f>IF($A705="","",WORKDAY($A705,Settings!$C$9,HolidayDates))</f>
        <v>46167</v>
      </c>
      <c r="O705" s="24">
        <f>IF($N705="","",WORKDAY($N705,Settings!$C$10,HolidayDates))</f>
        <v>46205</v>
      </c>
      <c r="P705" s="10" t="s">
        <v>502</v>
      </c>
      <c r="Q705" s="52" t="str">
        <f t="shared" si="119"/>
        <v>Collected</v>
      </c>
      <c r="R705" s="55" t="str">
        <f t="shared" si="120"/>
        <v>2026-05</v>
      </c>
      <c r="S705" s="55">
        <f>IF(OR($B705="",$F705="",$R705=""),"",SUMIFS(tblIssues[Qty Issued],tblIssues[Staff ID],$B705,tblIssues[Item Name],$F705,tblIssues[Month],$R705))</f>
        <v>500</v>
      </c>
      <c r="T705" s="56">
        <f>IF($I705="","",$I705*Settings!$C$11)</f>
        <v>500</v>
      </c>
      <c r="U705" s="57" t="str">
        <f t="shared" si="118"/>
        <v>OK</v>
      </c>
      <c r="V705" s="55" t="str">
        <f t="shared" si="121"/>
        <v/>
      </c>
      <c r="W705" s="55" t="str">
        <f>IF($V705="","",IF(COUNTIF($V$5:$V705,$V705)=1,1,""))</f>
        <v/>
      </c>
      <c r="X705" s="58" t="str">
        <f>IF($W705="","",MAX($X$4:X704)+1)</f>
        <v/>
      </c>
      <c r="Y705" s="62"/>
      <c r="Z705" s="62"/>
      <c r="AA705" s="64" t="str">
        <f>IF($C705="","",IFERROR(INDEX('Staff Directory'!$E$5:$E$594,MATCH($C705,'Staff Directory'!$B$5:$B$594,0)),""))</f>
        <v>firstname038.lastname038@example.com</v>
      </c>
      <c r="AB705" s="64" t="str">
        <f>IF($C705="","",IF(ISNUMBER(SEARCH($D705,Settings!$C$15)),"Pickup","Dispatch"))</f>
        <v>Dispatch</v>
      </c>
      <c r="AC705" s="64" t="str">
        <f t="shared" si="122"/>
        <v>Supply order dispatched</v>
      </c>
      <c r="AD705" s="64" t="str">
        <f t="shared" si="113"/>
        <v>Dear RN,
Your order has been dispatched and is in transit. Reply if undelivered.</v>
      </c>
      <c r="AE705" s="64" t="str">
        <f t="shared" si="114"/>
        <v>mailto:firstname038.lastname038@example.com?subject=Supply%20order%20dispatched&amp;body=Dear%20RN%2C%0A%0AYour%20order%20has%20been%20dispatched%20and%20is%20in%20transit.%20Reply%20if%20undelivered.</v>
      </c>
      <c r="AF705" s="89" t="str">
        <f t="shared" si="123"/>
        <v>Draft email</v>
      </c>
      <c r="AG705" s="64" t="str">
        <f>IF($C705="","",IFERROR(INDEX('Staff Directory'!$K$595:$K$599,MATCH($C705,'Staff Directory'!$B$5:$B$599,0)),$D705))</f>
        <v>RN</v>
      </c>
      <c r="AH705" t="str">
        <f>IF($C705="","",IFERROR(INDEX('Staff Directory'!$I$595:$I$599,MATCH($C705,'Staff Directory'!$B$5:$B$599,0))&amp;" "&amp;INDEX('Staff Directory'!$J$595:$J$599,MATCH($C705,'Staff Directory'!$B$5:$B$599,0)),$AG705))</f>
        <v>RN</v>
      </c>
      <c r="AI705" s="102"/>
      <c r="AJ705" s="101">
        <f>IF($F705="","",SUMIFS($J$5:$J705,$F$5:$F705,$F705))</f>
        <v>18000</v>
      </c>
      <c r="AK705" s="101">
        <f t="shared" si="115"/>
        <v>17501</v>
      </c>
      <c r="AL705" s="66" t="str" cm="1">
        <f t="array" ref="AL705">IF($F705="","",IFERROR(INDEX('Lot Balance'!$B$5:$B$500,MATCH(1,INDEX(('Lot Balance'!$A$5:$A$500=$F705)*('Lot Balance'!$K$5:$K$500&lt;$AK705)*('Lot Balance'!$K$5:$K$500+'Lot Balance'!$D$5:$D$500&gt;=$AK705),0),0)),""))</f>
        <v>0417HIC25-1</v>
      </c>
      <c r="AM705" s="66" t="str" cm="1">
        <f t="array" ref="AM705">IF($F705="","",IFERROR(INDEX('Lot Balance'!$B$5:$B$500,MATCH(1,INDEX(('Lot Balance'!$A$5:$A$500=$F705)*('Lot Balance'!$K$5:$K$500&lt;$AJ705)*('Lot Balance'!$K$5:$K$500+'Lot Balance'!$D$5:$D$500&gt;=$AJ705),0),0)),""))</f>
        <v>0417HIC25-1</v>
      </c>
      <c r="AN705" s="66" t="str">
        <f>IF($F705="","",IF($AI705&lt;&gt;"",IF(COUNTIFS('Lot Balance'!$A$5:$A$500,$F705,'Lot Balance'!$B$5:$B$500,$AI705)=0,"⚠ override is not a lot of this item",IF($AI705=$AL705,"Override = FEFO","Override - FEFO says "&amp;$AL705)),IF($AL705="","⚠ no receipt on file for this item",IF($AM705&lt;&gt;$AL705,"FEFO auto - split, also "&amp;$AM705,"FEFO auto"))))</f>
        <v>FEFO auto</v>
      </c>
      <c r="AO705" s="114"/>
    </row>
    <row r="706" spans="1:41" x14ac:dyDescent="0.35">
      <c r="A706" s="74">
        <v>46157</v>
      </c>
      <c r="B706" s="18" t="str">
        <f>IF($C706="","",IFERROR(INDEX('Staff Directory'!$A$5:$A$594,MATCH($C706,'Staff Directory'!$B$5:$B$594,0)),"⚠ unknown staff"))</f>
        <v>RN-033-A2</v>
      </c>
      <c r="C706" s="49" t="s">
        <v>954</v>
      </c>
      <c r="D706" s="19" t="str">
        <f>IF($B706="","",IFERROR(INDEX('Staff Directory'!$C$5:$C$594,MATCH($B706,'Staff Directory'!$A$5:$A$594,0)),""))</f>
        <v>RN</v>
      </c>
      <c r="E706" s="19" t="str">
        <f>IF($B706="","",IFERROR(INDEX('Staff Directory'!$D$5:$D$594,MATCH($B706,'Staff Directory'!$A$5:$A$594,0)),""))</f>
        <v>A2</v>
      </c>
      <c r="F706" s="9" t="s">
        <v>191</v>
      </c>
      <c r="G706" s="18" t="str">
        <f>IF($F706="","",IFERROR(INDEX(Items!$B$5:$B$597,MATCH($F706,Items!$A$5:$A$597,0)),"⚠ not in Items"))</f>
        <v>Sanitizer</v>
      </c>
      <c r="H706" s="19" t="str">
        <f>IF($F706="","",IFERROR(INDEX(Items!$C$5:$C$597,MATCH($F706,Items!$A$5:$A$597,0)),""))</f>
        <v>236 ML</v>
      </c>
      <c r="I706" s="23">
        <f>IF($F706="","",IFERROR(INDEX(Items!$E$5:$E$597,MATCH($F706,Items!$A$5:$A$597,0)),""))</f>
        <v>1</v>
      </c>
      <c r="J706" s="115">
        <f>IF(tblIssues[[#This Row],[Qty Override]]&lt;&gt;"",tblIssues[[#This Row],[Qty Override]],IF(tblIssues[[#This Row],[Standard Issue]]="","",tblIssues[[#This Row],[Standard Issue]]))</f>
        <v>1</v>
      </c>
      <c r="K706" s="20">
        <f>IF($F706="","",IFERROR(INDEX(Items!$D$5:$D$597,MATCH($F706,Items!$A$5:$A$597,0)),""))</f>
        <v>1E-4</v>
      </c>
      <c r="L706" s="21">
        <f t="shared" si="116"/>
        <v>1E-4</v>
      </c>
      <c r="M706" s="9" t="str">
        <f t="shared" si="117"/>
        <v>20-21734-3</v>
      </c>
      <c r="N706" s="24">
        <f>IF($A706="","",WORKDAY($A706,Settings!$C$9,HolidayDates))</f>
        <v>46167</v>
      </c>
      <c r="O706" s="24">
        <f>IF($N706="","",WORKDAY($N706,Settings!$C$10,HolidayDates))</f>
        <v>46205</v>
      </c>
      <c r="P706" s="10" t="s">
        <v>502</v>
      </c>
      <c r="Q706" s="52" t="str">
        <f t="shared" si="119"/>
        <v>Collected</v>
      </c>
      <c r="R706" s="55" t="str">
        <f t="shared" si="120"/>
        <v>2026-05</v>
      </c>
      <c r="S706" s="55">
        <f>IF(OR($B706="",$F706="",$R706=""),"",SUMIFS(tblIssues[Qty Issued],tblIssues[Staff ID],$B706,tblIssues[Item Name],$F706,tblIssues[Month],$R706))</f>
        <v>1</v>
      </c>
      <c r="T706" s="56">
        <f>IF($I706="","",$I706*Settings!$C$11)</f>
        <v>1</v>
      </c>
      <c r="U706" s="57" t="str">
        <f t="shared" si="118"/>
        <v>OK</v>
      </c>
      <c r="V706" s="55" t="str">
        <f t="shared" si="121"/>
        <v/>
      </c>
      <c r="W706" s="55" t="str">
        <f>IF($V706="","",IF(COUNTIF($V$5:$V706,$V706)=1,1,""))</f>
        <v/>
      </c>
      <c r="X706" s="58" t="str">
        <f>IF($W706="","",MAX($X$4:X705)+1)</f>
        <v/>
      </c>
      <c r="Y706" s="62"/>
      <c r="Z706" s="62"/>
      <c r="AA706" s="64" t="str">
        <f>IF($C706="","",IFERROR(INDEX('Staff Directory'!$E$5:$E$594,MATCH($C706,'Staff Directory'!$B$5:$B$594,0)),""))</f>
        <v>firstname038.lastname038@example.com</v>
      </c>
      <c r="AB706" s="64" t="str">
        <f>IF($C706="","",IF(ISNUMBER(SEARCH($D706,Settings!$C$15)),"Pickup","Dispatch"))</f>
        <v>Dispatch</v>
      </c>
      <c r="AC706" s="64" t="str">
        <f t="shared" si="122"/>
        <v>Supply order dispatched</v>
      </c>
      <c r="AD706" s="64" t="str">
        <f t="shared" si="113"/>
        <v>Dear RN,
Your order has been dispatched and is in transit. Reply if undelivered.</v>
      </c>
      <c r="AE706" s="64" t="str">
        <f t="shared" si="114"/>
        <v>mailto:firstname038.lastname038@example.com?subject=Supply%20order%20dispatched&amp;body=Dear%20RN%2C%0A%0AYour%20order%20has%20been%20dispatched%20and%20is%20in%20transit.%20Reply%20if%20undelivered.</v>
      </c>
      <c r="AF706" s="89" t="str">
        <f t="shared" si="123"/>
        <v>Draft email</v>
      </c>
      <c r="AG706" s="64" t="str">
        <f>IF($C706="","",IFERROR(INDEX('Staff Directory'!$K$595:$K$599,MATCH($C706,'Staff Directory'!$B$5:$B$599,0)),$D706))</f>
        <v>RN</v>
      </c>
      <c r="AH706" t="str">
        <f>IF($C706="","",IFERROR(INDEX('Staff Directory'!$I$595:$I$599,MATCH($C706,'Staff Directory'!$B$5:$B$599,0))&amp;" "&amp;INDEX('Staff Directory'!$J$595:$J$599,MATCH($C706,'Staff Directory'!$B$5:$B$599,0)),$AG706))</f>
        <v>RN</v>
      </c>
      <c r="AI706" s="102"/>
      <c r="AJ706" s="101">
        <f>IF($F706="","",SUMIFS($J$5:$J706,$F$5:$F706,$F706))</f>
        <v>82</v>
      </c>
      <c r="AK706" s="101">
        <f t="shared" si="115"/>
        <v>82</v>
      </c>
      <c r="AL706" s="66" t="str" cm="1">
        <f t="array" ref="AL706">IF($F706="","",IFERROR(INDEX('Lot Balance'!$B$5:$B$500,MATCH(1,INDEX(('Lot Balance'!$A$5:$A$500=$F706)*('Lot Balance'!$K$5:$K$500&lt;$AK706)*('Lot Balance'!$K$5:$K$500+'Lot Balance'!$D$5:$D$500&gt;=$AK706),0),0)),""))</f>
        <v>20-21734-3</v>
      </c>
      <c r="AM706" s="66" t="str" cm="1">
        <f t="array" ref="AM706">IF($F706="","",IFERROR(INDEX('Lot Balance'!$B$5:$B$500,MATCH(1,INDEX(('Lot Balance'!$A$5:$A$500=$F706)*('Lot Balance'!$K$5:$K$500&lt;$AJ706)*('Lot Balance'!$K$5:$K$500+'Lot Balance'!$D$5:$D$500&gt;=$AJ706),0),0)),""))</f>
        <v>20-21734-3</v>
      </c>
      <c r="AN706" s="66" t="str">
        <f>IF($F706="","",IF($AI706&lt;&gt;"",IF(COUNTIFS('Lot Balance'!$A$5:$A$500,$F706,'Lot Balance'!$B$5:$B$500,$AI706)=0,"⚠ override is not a lot of this item",IF($AI706=$AL706,"Override = FEFO","Override - FEFO says "&amp;$AL706)),IF($AL706="","⚠ no receipt on file for this item",IF($AM706&lt;&gt;$AL706,"FEFO auto - split, also "&amp;$AM706,"FEFO auto"))))</f>
        <v>FEFO auto</v>
      </c>
      <c r="AO706" s="114"/>
    </row>
    <row r="707" spans="1:41" x14ac:dyDescent="0.35">
      <c r="A707" s="74">
        <v>46157</v>
      </c>
      <c r="B707" s="18" t="str">
        <f>IF($C707="","",IFERROR(INDEX('Staff Directory'!$A$5:$A$594,MATCH($C707,'Staff Directory'!$B$5:$B$594,0)),"⚠ unknown staff"))</f>
        <v>RN-033-A2</v>
      </c>
      <c r="C707" s="49" t="s">
        <v>954</v>
      </c>
      <c r="D707" s="19" t="str">
        <f>IF($B707="","",IFERROR(INDEX('Staff Directory'!$C$5:$C$594,MATCH($B707,'Staff Directory'!$A$5:$A$594,0)),""))</f>
        <v>RN</v>
      </c>
      <c r="E707" s="19" t="str">
        <f>IF($B707="","",IFERROR(INDEX('Staff Directory'!$D$5:$D$594,MATCH($B707,'Staff Directory'!$A$5:$A$594,0)),""))</f>
        <v>A2</v>
      </c>
      <c r="F707" s="9" t="s">
        <v>115</v>
      </c>
      <c r="G707" s="18" t="str">
        <f>IF($F707="","",IFERROR(INDEX(Items!$B$5:$B$597,MATCH($F707,Items!$A$5:$A$597,0)),"⚠ not in Items"))</f>
        <v>Wipes</v>
      </c>
      <c r="H707" s="19">
        <f>IF($F707="","",IFERROR(INDEX(Items!$C$5:$C$597,MATCH($F707,Items!$A$5:$A$597,0)),""))</f>
        <v>80</v>
      </c>
      <c r="I707" s="23">
        <f>IF($F707="","",IFERROR(INDEX(Items!$E$5:$E$597,MATCH($F707,Items!$A$5:$A$597,0)),""))</f>
        <v>80</v>
      </c>
      <c r="J707" s="115">
        <f>IF(tblIssues[[#This Row],[Qty Override]]&lt;&gt;"",tblIssues[[#This Row],[Qty Override]],IF(tblIssues[[#This Row],[Standard Issue]]="","",tblIssues[[#This Row],[Standard Issue]]))</f>
        <v>80</v>
      </c>
      <c r="K707" s="20">
        <f>IF($F707="","",IFERROR(INDEX(Items!$D$5:$D$597,MATCH($F707,Items!$A$5:$A$597,0)),""))</f>
        <v>0.1</v>
      </c>
      <c r="L707" s="21">
        <f t="shared" si="116"/>
        <v>8</v>
      </c>
      <c r="M707" s="9" t="str">
        <f t="shared" si="117"/>
        <v>LYSL500290</v>
      </c>
      <c r="N707" s="24">
        <f>IF($A707="","",WORKDAY($A707,Settings!$C$9,HolidayDates))</f>
        <v>46167</v>
      </c>
      <c r="O707" s="24">
        <f>IF($N707="","",WORKDAY($N707,Settings!$C$10,HolidayDates))</f>
        <v>46205</v>
      </c>
      <c r="P707" s="10" t="s">
        <v>502</v>
      </c>
      <c r="Q707" s="52" t="str">
        <f t="shared" si="119"/>
        <v>Collected</v>
      </c>
      <c r="R707" s="55" t="str">
        <f t="shared" si="120"/>
        <v>2026-05</v>
      </c>
      <c r="S707" s="55">
        <f>IF(OR($B707="",$F707="",$R707=""),"",SUMIFS(tblIssues[Qty Issued],tblIssues[Staff ID],$B707,tblIssues[Item Name],$F707,tblIssues[Month],$R707))</f>
        <v>80</v>
      </c>
      <c r="T707" s="56">
        <f>IF($I707="","",$I707*Settings!$C$11)</f>
        <v>80</v>
      </c>
      <c r="U707" s="57" t="str">
        <f t="shared" si="118"/>
        <v>OK</v>
      </c>
      <c r="V707" s="55" t="str">
        <f t="shared" si="121"/>
        <v/>
      </c>
      <c r="W707" s="55" t="str">
        <f>IF($V707="","",IF(COUNTIF($V$5:$V707,$V707)=1,1,""))</f>
        <v/>
      </c>
      <c r="X707" s="58" t="str">
        <f>IF($W707="","",MAX($X$4:X706)+1)</f>
        <v/>
      </c>
      <c r="Y707" s="62"/>
      <c r="Z707" s="62"/>
      <c r="AA707" s="64" t="str">
        <f>IF($C707="","",IFERROR(INDEX('Staff Directory'!$E$5:$E$594,MATCH($C707,'Staff Directory'!$B$5:$B$594,0)),""))</f>
        <v>firstname038.lastname038@example.com</v>
      </c>
      <c r="AB707" s="64" t="str">
        <f>IF($C707="","",IF(ISNUMBER(SEARCH($D707,Settings!$C$15)),"Pickup","Dispatch"))</f>
        <v>Dispatch</v>
      </c>
      <c r="AC707" s="64" t="str">
        <f t="shared" si="122"/>
        <v>Supply order dispatched</v>
      </c>
      <c r="AD707" s="64" t="str">
        <f t="shared" si="113"/>
        <v>Dear RN,
Your order has been dispatched and is in transit. Reply if undelivered.</v>
      </c>
      <c r="AE707" s="64" t="str">
        <f t="shared" si="114"/>
        <v>mailto:firstname038.lastname038@example.com?subject=Supply%20order%20dispatched&amp;body=Dear%20RN%2C%0A%0AYour%20order%20has%20been%20dispatched%20and%20is%20in%20transit.%20Reply%20if%20undelivered.</v>
      </c>
      <c r="AF707" s="89" t="str">
        <f t="shared" si="123"/>
        <v>Draft email</v>
      </c>
      <c r="AG707" s="64" t="str">
        <f>IF($C707="","",IFERROR(INDEX('Staff Directory'!$K$595:$K$599,MATCH($C707,'Staff Directory'!$B$5:$B$599,0)),$D707))</f>
        <v>RN</v>
      </c>
      <c r="AH707" t="str">
        <f>IF($C707="","",IFERROR(INDEX('Staff Directory'!$I$595:$I$599,MATCH($C707,'Staff Directory'!$B$5:$B$599,0))&amp;" "&amp;INDEX('Staff Directory'!$J$595:$J$599,MATCH($C707,'Staff Directory'!$B$5:$B$599,0)),$AG707))</f>
        <v>RN</v>
      </c>
      <c r="AI707" s="102"/>
      <c r="AJ707" s="101">
        <f>IF($F707="","",SUMIFS($J$5:$J707,$F$5:$F707,$F707))</f>
        <v>10000</v>
      </c>
      <c r="AK707" s="101">
        <f t="shared" si="115"/>
        <v>9921</v>
      </c>
      <c r="AL707" s="66" t="str" cm="1">
        <f t="array" ref="AL707">IF($F707="","",IFERROR(INDEX('Lot Balance'!$B$5:$B$500,MATCH(1,INDEX(('Lot Balance'!$A$5:$A$500=$F707)*('Lot Balance'!$K$5:$K$500&lt;$AK707)*('Lot Balance'!$K$5:$K$500+'Lot Balance'!$D$5:$D$500&gt;=$AK707),0),0)),""))</f>
        <v>LYSL500290</v>
      </c>
      <c r="AM707" s="66" t="str" cm="1">
        <f t="array" ref="AM707">IF($F707="","",IFERROR(INDEX('Lot Balance'!$B$5:$B$500,MATCH(1,INDEX(('Lot Balance'!$A$5:$A$500=$F707)*('Lot Balance'!$K$5:$K$500&lt;$AJ707)*('Lot Balance'!$K$5:$K$500+'Lot Balance'!$D$5:$D$500&gt;=$AJ707),0),0)),""))</f>
        <v>LYSL500290</v>
      </c>
      <c r="AN707" s="66" t="str">
        <f>IF($F707="","",IF($AI707&lt;&gt;"",IF(COUNTIFS('Lot Balance'!$A$5:$A$500,$F707,'Lot Balance'!$B$5:$B$500,$AI707)=0,"⚠ override is not a lot of this item",IF($AI707=$AL707,"Override = FEFO","Override - FEFO says "&amp;$AL707)),IF($AL707="","⚠ no receipt on file for this item",IF($AM707&lt;&gt;$AL707,"FEFO auto - split, also "&amp;$AM707,"FEFO auto"))))</f>
        <v>FEFO auto</v>
      </c>
      <c r="AO707" s="114"/>
    </row>
    <row r="708" spans="1:41" x14ac:dyDescent="0.35">
      <c r="A708" s="74">
        <v>46157</v>
      </c>
      <c r="B708" s="18" t="str">
        <f>IF($C708="","",IFERROR(INDEX('Staff Directory'!$A$5:$A$594,MATCH($C708,'Staff Directory'!$B$5:$B$594,0)),"⚠ unknown staff"))</f>
        <v>RN-033-A2</v>
      </c>
      <c r="C708" s="49" t="s">
        <v>954</v>
      </c>
      <c r="D708" s="19" t="str">
        <f>IF($B708="","",IFERROR(INDEX('Staff Directory'!$C$5:$C$594,MATCH($B708,'Staff Directory'!$A$5:$A$594,0)),""))</f>
        <v>RN</v>
      </c>
      <c r="E708" s="19" t="str">
        <f>IF($B708="","",IFERROR(INDEX('Staff Directory'!$D$5:$D$594,MATCH($B708,'Staff Directory'!$A$5:$A$594,0)),""))</f>
        <v>A2</v>
      </c>
      <c r="F708" s="9" t="s">
        <v>156</v>
      </c>
      <c r="G708" s="18" t="str">
        <f>IF($F708="","",IFERROR(INDEX(Items!$B$5:$B$597,MATCH($F708,Items!$A$5:$A$597,0)),"⚠ not in Items"))</f>
        <v>Masks</v>
      </c>
      <c r="H708" s="19" t="str">
        <f>IF($F708="","",IFERROR(INDEX(Items!$C$5:$C$597,MATCH($F708,Items!$A$5:$A$597,0)),""))</f>
        <v>One Size</v>
      </c>
      <c r="I708" s="23">
        <f>IF($F708="","",IFERROR(INDEX(Items!$E$5:$E$597,MATCH($F708,Items!$A$5:$A$597,0)),""))</f>
        <v>50</v>
      </c>
      <c r="J708" s="115">
        <f>IF(tblIssues[[#This Row],[Qty Override]]&lt;&gt;"",tblIssues[[#This Row],[Qty Override]],IF(tblIssues[[#This Row],[Standard Issue]]="","",tblIssues[[#This Row],[Standard Issue]]))</f>
        <v>50</v>
      </c>
      <c r="K708" s="20">
        <f>IF($F708="","",IFERROR(INDEX(Items!$D$5:$D$597,MATCH($F708,Items!$A$5:$A$597,0)),""))</f>
        <v>0.25</v>
      </c>
      <c r="L708" s="21">
        <f t="shared" si="116"/>
        <v>12.5</v>
      </c>
      <c r="M708" s="9" t="str">
        <f t="shared" si="117"/>
        <v>0125FPC24-0</v>
      </c>
      <c r="N708" s="24">
        <f>IF($A708="","",WORKDAY($A708,Settings!$C$9,HolidayDates))</f>
        <v>46167</v>
      </c>
      <c r="O708" s="24">
        <f>IF($N708="","",WORKDAY($N708,Settings!$C$10,HolidayDates))</f>
        <v>46205</v>
      </c>
      <c r="P708" s="10" t="s">
        <v>502</v>
      </c>
      <c r="Q708" s="52" t="str">
        <f t="shared" si="119"/>
        <v>Collected</v>
      </c>
      <c r="R708" s="55" t="str">
        <f t="shared" si="120"/>
        <v>2026-05</v>
      </c>
      <c r="S708" s="55">
        <f>IF(OR($B708="",$F708="",$R708=""),"",SUMIFS(tblIssues[Qty Issued],tblIssues[Staff ID],$B708,tblIssues[Item Name],$F708,tblIssues[Month],$R708))</f>
        <v>50</v>
      </c>
      <c r="T708" s="56">
        <f>IF($I708="","",$I708*Settings!$C$11)</f>
        <v>50</v>
      </c>
      <c r="U708" s="57" t="str">
        <f t="shared" si="118"/>
        <v>OK</v>
      </c>
      <c r="V708" s="55" t="str">
        <f t="shared" si="121"/>
        <v/>
      </c>
      <c r="W708" s="55" t="str">
        <f>IF($V708="","",IF(COUNTIF($V$5:$V708,$V708)=1,1,""))</f>
        <v/>
      </c>
      <c r="X708" s="58" t="str">
        <f>IF($W708="","",MAX($X$4:X707)+1)</f>
        <v/>
      </c>
      <c r="Y708" s="62"/>
      <c r="Z708" s="62"/>
      <c r="AA708" s="64" t="str">
        <f>IF($C708="","",IFERROR(INDEX('Staff Directory'!$E$5:$E$594,MATCH($C708,'Staff Directory'!$B$5:$B$594,0)),""))</f>
        <v>firstname038.lastname038@example.com</v>
      </c>
      <c r="AB708" s="64" t="str">
        <f>IF($C708="","",IF(ISNUMBER(SEARCH($D708,Settings!$C$15)),"Pickup","Dispatch"))</f>
        <v>Dispatch</v>
      </c>
      <c r="AC708" s="64" t="str">
        <f t="shared" si="122"/>
        <v>Supply order dispatched</v>
      </c>
      <c r="AD708" s="64" t="str">
        <f t="shared" si="113"/>
        <v>Dear RN,
Your order has been dispatched and is in transit. Reply if undelivered.</v>
      </c>
      <c r="AE708" s="64" t="str">
        <f t="shared" si="114"/>
        <v>mailto:firstname038.lastname038@example.com?subject=Supply%20order%20dispatched&amp;body=Dear%20RN%2C%0A%0AYour%20order%20has%20been%20dispatched%20and%20is%20in%20transit.%20Reply%20if%20undelivered.</v>
      </c>
      <c r="AF708" s="89" t="str">
        <f t="shared" si="123"/>
        <v>Draft email</v>
      </c>
      <c r="AG708" s="64" t="str">
        <f>IF($C708="","",IFERROR(INDEX('Staff Directory'!$K$595:$K$599,MATCH($C708,'Staff Directory'!$B$5:$B$599,0)),$D708))</f>
        <v>RN</v>
      </c>
      <c r="AH708" t="str">
        <f>IF($C708="","",IFERROR(INDEX('Staff Directory'!$I$595:$I$599,MATCH($C708,'Staff Directory'!$B$5:$B$599,0))&amp;" "&amp;INDEX('Staff Directory'!$J$595:$J$599,MATCH($C708,'Staff Directory'!$B$5:$B$599,0)),$AG708))</f>
        <v>RN</v>
      </c>
      <c r="AI708" s="102"/>
      <c r="AJ708" s="101">
        <f>IF($F708="","",SUMIFS($J$5:$J708,$F$5:$F708,$F708))</f>
        <v>5650</v>
      </c>
      <c r="AK708" s="101">
        <f t="shared" si="115"/>
        <v>5601</v>
      </c>
      <c r="AL708" s="66" t="str" cm="1">
        <f t="array" ref="AL708">IF($F708="","",IFERROR(INDEX('Lot Balance'!$B$5:$B$500,MATCH(1,INDEX(('Lot Balance'!$A$5:$A$500=$F708)*('Lot Balance'!$K$5:$K$500&lt;$AK708)*('Lot Balance'!$K$5:$K$500+'Lot Balance'!$D$5:$D$500&gt;=$AK708),0),0)),""))</f>
        <v>0125FPC24-0</v>
      </c>
      <c r="AM708" s="66" t="str" cm="1">
        <f t="array" ref="AM708">IF($F708="","",IFERROR(INDEX('Lot Balance'!$B$5:$B$500,MATCH(1,INDEX(('Lot Balance'!$A$5:$A$500=$F708)*('Lot Balance'!$K$5:$K$500&lt;$AJ708)*('Lot Balance'!$K$5:$K$500+'Lot Balance'!$D$5:$D$500&gt;=$AJ708),0),0)),""))</f>
        <v>0125FPC24-0</v>
      </c>
      <c r="AN708" s="66" t="str">
        <f>IF($F708="","",IF($AI708&lt;&gt;"",IF(COUNTIFS('Lot Balance'!$A$5:$A$500,$F708,'Lot Balance'!$B$5:$B$500,$AI708)=0,"⚠ override is not a lot of this item",IF($AI708=$AL708,"Override = FEFO","Override - FEFO says "&amp;$AL708)),IF($AL708="","⚠ no receipt on file for this item",IF($AM708&lt;&gt;$AL708,"FEFO auto - split, also "&amp;$AM708,"FEFO auto"))))</f>
        <v>FEFO auto</v>
      </c>
      <c r="AO708" s="114"/>
    </row>
    <row r="709" spans="1:41" x14ac:dyDescent="0.35">
      <c r="A709" s="74">
        <v>46157</v>
      </c>
      <c r="B709" s="18" t="str">
        <f>IF($C709="","",IFERROR(INDEX('Staff Directory'!$A$5:$A$594,MATCH($C709,'Staff Directory'!$B$5:$B$594,0)),"⚠ unknown staff"))</f>
        <v>RPN-006-A1</v>
      </c>
      <c r="C709" s="49" t="s">
        <v>958</v>
      </c>
      <c r="D709" s="19" t="str">
        <f>IF($B709="","",IFERROR(INDEX('Staff Directory'!$C$5:$C$594,MATCH($B709,'Staff Directory'!$A$5:$A$594,0)),""))</f>
        <v>RPN</v>
      </c>
      <c r="E709" s="19" t="str">
        <f>IF($B709="","",IFERROR(INDEX('Staff Directory'!$D$5:$D$594,MATCH($B709,'Staff Directory'!$A$5:$A$594,0)),""))</f>
        <v>A1</v>
      </c>
      <c r="F709" s="9" t="s">
        <v>127</v>
      </c>
      <c r="G709" s="18" t="str">
        <f>IF($F709="","",IFERROR(INDEX(Items!$B$5:$B$597,MATCH($F709,Items!$A$5:$A$597,0)),"⚠ not in Items"))</f>
        <v>Gloves</v>
      </c>
      <c r="H709" s="19" t="str">
        <f>IF($F709="","",IFERROR(INDEX(Items!$C$5:$C$597,MATCH($F709,Items!$A$5:$A$597,0)),""))</f>
        <v>Medium</v>
      </c>
      <c r="I709" s="23">
        <f>IF($F709="","",IFERROR(INDEX(Items!$E$5:$E$597,MATCH($F709,Items!$A$5:$A$597,0)),""))</f>
        <v>500</v>
      </c>
      <c r="J709" s="115">
        <f>IF(tblIssues[[#This Row],[Qty Override]]&lt;&gt;"",tblIssues[[#This Row],[Qty Override]],IF(tblIssues[[#This Row],[Standard Issue]]="","",tblIssues[[#This Row],[Standard Issue]]))</f>
        <v>500</v>
      </c>
      <c r="K709" s="20">
        <f>IF($F709="","",IFERROR(INDEX(Items!$D$5:$D$597,MATCH($F709,Items!$A$5:$A$597,0)),""))</f>
        <v>5.5E-2</v>
      </c>
      <c r="L709" s="21">
        <f t="shared" si="116"/>
        <v>27.5</v>
      </c>
      <c r="M709" s="9" t="str">
        <f t="shared" si="117"/>
        <v>O16689</v>
      </c>
      <c r="N709" s="24">
        <f>IF($A709="","",WORKDAY($A709,Settings!$C$9,HolidayDates))</f>
        <v>46167</v>
      </c>
      <c r="O709" s="24">
        <f>IF($N709="","",WORKDAY($N709,Settings!$C$10,HolidayDates))</f>
        <v>46205</v>
      </c>
      <c r="P709" s="10" t="s">
        <v>502</v>
      </c>
      <c r="Q709" s="52" t="str">
        <f t="shared" si="119"/>
        <v>Collected</v>
      </c>
      <c r="R709" s="55" t="str">
        <f t="shared" si="120"/>
        <v>2026-05</v>
      </c>
      <c r="S709" s="55">
        <f>IF(OR($B709="",$F709="",$R709=""),"",SUMIFS(tblIssues[Qty Issued],tblIssues[Staff ID],$B709,tblIssues[Item Name],$F709,tblIssues[Month],$R709))</f>
        <v>500</v>
      </c>
      <c r="T709" s="56">
        <f>IF($I709="","",$I709*Settings!$C$11)</f>
        <v>500</v>
      </c>
      <c r="U709" s="57" t="str">
        <f t="shared" si="118"/>
        <v>OK</v>
      </c>
      <c r="V709" s="55" t="str">
        <f t="shared" si="121"/>
        <v/>
      </c>
      <c r="W709" s="55" t="str">
        <f>IF($V709="","",IF(COUNTIF($V$5:$V709,$V709)=1,1,""))</f>
        <v/>
      </c>
      <c r="X709" s="58" t="str">
        <f>IF($W709="","",MAX($X$4:X708)+1)</f>
        <v/>
      </c>
      <c r="Y709" s="62"/>
      <c r="Z709" s="62"/>
      <c r="AA709" s="64" t="str">
        <f>IF($C709="","",IFERROR(INDEX('Staff Directory'!$E$5:$E$594,MATCH($C709,'Staff Directory'!$B$5:$B$594,0)),""))</f>
        <v>firstname042.lastname042@example.com</v>
      </c>
      <c r="AB709" s="64" t="str">
        <f>IF($C709="","",IF(ISNUMBER(SEARCH($D709,Settings!$C$15)),"Pickup","Dispatch"))</f>
        <v>Dispatch</v>
      </c>
      <c r="AC709" s="64" t="str">
        <f t="shared" si="122"/>
        <v>Supply order dispatched</v>
      </c>
      <c r="AD709" s="64" t="str">
        <f t="shared" ref="AD709:AD772" si="124">IF($AB709="Pickup","Dear "&amp;$AH709&amp;","&amp;CHAR(10)&amp;CHAR(10)&amp;"Your order is ready for pickup from Sample Branch, Wed-Fri 9am-4pm.",IF($AB709="Dispatch","Dear "&amp;$AH709&amp;","&amp;CHAR(10)&amp;CHAR(10)&amp;"Your order has been dispatched and is in transit. Reply if undelivered.",""))</f>
        <v>Dear RPN,
Your order has been dispatched and is in transit. Reply if undelivered.</v>
      </c>
      <c r="AE709" s="64" t="str">
        <f t="shared" ref="AE709:AE772" si="125">IF(OR($AA709="",$AC709=""),"","mailto:"&amp;$AA709&amp;"?subject="&amp;_xlfn.ENCODEURL($AC709)&amp;"&amp;body="&amp;_xlfn.ENCODEURL($AD709))</f>
        <v>mailto:firstname042.lastname042@example.com?subject=Supply%20order%20dispatched&amp;body=Dear%20RPN%2C%0A%0AYour%20order%20has%20been%20dispatched%20and%20is%20in%20transit.%20Reply%20if%20undelivered.</v>
      </c>
      <c r="AF709" s="89" t="str">
        <f t="shared" si="123"/>
        <v>Draft email</v>
      </c>
      <c r="AG709" s="64" t="str">
        <f>IF($C709="","",IFERROR(INDEX('Staff Directory'!$K$595:$K$599,MATCH($C709,'Staff Directory'!$B$5:$B$599,0)),$D709))</f>
        <v>RPN</v>
      </c>
      <c r="AH709" t="str">
        <f>IF($C709="","",IFERROR(INDEX('Staff Directory'!$I$595:$I$599,MATCH($C709,'Staff Directory'!$B$5:$B$599,0))&amp;" "&amp;INDEX('Staff Directory'!$J$595:$J$599,MATCH($C709,'Staff Directory'!$B$5:$B$599,0)),$AG709))</f>
        <v>RPN</v>
      </c>
      <c r="AI709" s="102"/>
      <c r="AJ709" s="101">
        <f>IF($F709="","",SUMIFS($J$5:$J709,$F$5:$F709,$F709))</f>
        <v>41500</v>
      </c>
      <c r="AK709" s="101">
        <f t="shared" ref="AK709:AK772" si="126">IF($F709="","",MAX(1,$AJ709-MAX($J709,0)+1))</f>
        <v>41001</v>
      </c>
      <c r="AL709" s="66" t="str" cm="1">
        <f t="array" ref="AL709">IF($F709="","",IFERROR(INDEX('Lot Balance'!$B$5:$B$500,MATCH(1,INDEX(('Lot Balance'!$A$5:$A$500=$F709)*('Lot Balance'!$K$5:$K$500&lt;$AK709)*('Lot Balance'!$K$5:$K$500+'Lot Balance'!$D$5:$D$500&gt;=$AK709),0),0)),""))</f>
        <v>O16689</v>
      </c>
      <c r="AM709" s="66" t="str" cm="1">
        <f t="array" ref="AM709">IF($F709="","",IFERROR(INDEX('Lot Balance'!$B$5:$B$500,MATCH(1,INDEX(('Lot Balance'!$A$5:$A$500=$F709)*('Lot Balance'!$K$5:$K$500&lt;$AJ709)*('Lot Balance'!$K$5:$K$500+'Lot Balance'!$D$5:$D$500&gt;=$AJ709),0),0)),""))</f>
        <v>O16689</v>
      </c>
      <c r="AN709" s="66" t="str">
        <f>IF($F709="","",IF($AI709&lt;&gt;"",IF(COUNTIFS('Lot Balance'!$A$5:$A$500,$F709,'Lot Balance'!$B$5:$B$500,$AI709)=0,"⚠ override is not a lot of this item",IF($AI709=$AL709,"Override = FEFO","Override - FEFO says "&amp;$AL709)),IF($AL709="","⚠ no receipt on file for this item",IF($AM709&lt;&gt;$AL709,"FEFO auto - split, also "&amp;$AM709,"FEFO auto"))))</f>
        <v>FEFO auto</v>
      </c>
      <c r="AO709" s="114"/>
    </row>
    <row r="710" spans="1:41" x14ac:dyDescent="0.35">
      <c r="A710" s="74">
        <v>46157</v>
      </c>
      <c r="B710" s="18" t="str">
        <f>IF($C710="","",IFERROR(INDEX('Staff Directory'!$A$5:$A$594,MATCH($C710,'Staff Directory'!$B$5:$B$594,0)),"⚠ unknown staff"))</f>
        <v>RPN-006-A1</v>
      </c>
      <c r="C710" s="49" t="s">
        <v>958</v>
      </c>
      <c r="D710" s="19" t="str">
        <f>IF($B710="","",IFERROR(INDEX('Staff Directory'!$C$5:$C$594,MATCH($B710,'Staff Directory'!$A$5:$A$594,0)),""))</f>
        <v>RPN</v>
      </c>
      <c r="E710" s="19" t="str">
        <f>IF($B710="","",IFERROR(INDEX('Staff Directory'!$D$5:$D$594,MATCH($B710,'Staff Directory'!$A$5:$A$594,0)),""))</f>
        <v>A1</v>
      </c>
      <c r="F710" s="9" t="s">
        <v>162</v>
      </c>
      <c r="G710" s="18" t="str">
        <f>IF($F710="","",IFERROR(INDEX(Items!$B$5:$B$597,MATCH($F710,Items!$A$5:$A$597,0)),"⚠ not in Items"))</f>
        <v>Documents</v>
      </c>
      <c r="H710" s="19" t="str">
        <f>IF($F710="","",IFERROR(INDEX(Items!$C$5:$C$597,MATCH($F710,Items!$A$5:$A$597,0)),""))</f>
        <v>Standard</v>
      </c>
      <c r="I710" s="23">
        <f>IF($F710="","",IFERROR(INDEX(Items!$E$5:$E$597,MATCH($F710,Items!$A$5:$A$597,0)),""))</f>
        <v>20</v>
      </c>
      <c r="J710" s="115">
        <f>IF(tblIssues[[#This Row],[Qty Override]]&lt;&gt;"",tblIssues[[#This Row],[Qty Override]],IF(tblIssues[[#This Row],[Standard Issue]]="","",tblIssues[[#This Row],[Standard Issue]]))</f>
        <v>20</v>
      </c>
      <c r="K710" s="20">
        <f>IF($F710="","",IFERROR(INDEX(Items!$D$5:$D$597,MATCH($F710,Items!$A$5:$A$597,0)),""))</f>
        <v>0</v>
      </c>
      <c r="L710" s="21">
        <f t="shared" ref="L710:L775" si="127">IF(OR($J710="",$K710=""),"",$J710*$K710)</f>
        <v>0</v>
      </c>
      <c r="M710" s="9" t="str">
        <f t="shared" ref="M710:M773" si="128">IF($F710="","",IF($AI710&lt;&gt;"",$AI710,$AL710))</f>
        <v/>
      </c>
      <c r="N710" s="24">
        <f>IF($A710="","",WORKDAY($A710,Settings!$C$9,HolidayDates))</f>
        <v>46167</v>
      </c>
      <c r="O710" s="24">
        <f>IF($N710="","",WORKDAY($N710,Settings!$C$10,HolidayDates))</f>
        <v>46205</v>
      </c>
      <c r="P710" s="10" t="s">
        <v>502</v>
      </c>
      <c r="Q710" s="52" t="str">
        <f t="shared" si="119"/>
        <v>Collected</v>
      </c>
      <c r="R710" s="55" t="str">
        <f t="shared" si="120"/>
        <v>2026-05</v>
      </c>
      <c r="S710" s="55">
        <f>IF(OR($B710="",$F710="",$R710=""),"",SUMIFS(tblIssues[Qty Issued],tblIssues[Staff ID],$B710,tblIssues[Item Name],$F710,tblIssues[Month],$R710))</f>
        <v>20</v>
      </c>
      <c r="T710" s="56">
        <f>IF($I710="","",$I710*Settings!$C$11)</f>
        <v>20</v>
      </c>
      <c r="U710" s="57" t="str">
        <f t="shared" ref="U710:U773" si="129">IF(OR($S710="",$T710=""),"",IF($S710&gt;$T710,IF($Y710="Approved","APPROVED BY TL","⚠ OVER QUOTA"),"OK"))</f>
        <v>OK</v>
      </c>
      <c r="V710" s="55" t="str">
        <f t="shared" si="121"/>
        <v/>
      </c>
      <c r="W710" s="55" t="str">
        <f>IF($V710="","",IF(COUNTIF($V$5:$V710,$V710)=1,1,""))</f>
        <v/>
      </c>
      <c r="X710" s="58" t="str">
        <f>IF($W710="","",MAX($X$4:X709)+1)</f>
        <v/>
      </c>
      <c r="Y710" s="62"/>
      <c r="Z710" s="62"/>
      <c r="AA710" s="64" t="str">
        <f>IF($C710="","",IFERROR(INDEX('Staff Directory'!$E$5:$E$594,MATCH($C710,'Staff Directory'!$B$5:$B$594,0)),""))</f>
        <v>firstname042.lastname042@example.com</v>
      </c>
      <c r="AB710" s="64" t="str">
        <f>IF($C710="","",IF(ISNUMBER(SEARCH($D710,Settings!$C$15)),"Pickup","Dispatch"))</f>
        <v>Dispatch</v>
      </c>
      <c r="AC710" s="64" t="str">
        <f t="shared" si="122"/>
        <v>Supply order dispatched</v>
      </c>
      <c r="AD710" s="64" t="str">
        <f t="shared" si="124"/>
        <v>Dear RPN,
Your order has been dispatched and is in transit. Reply if undelivered.</v>
      </c>
      <c r="AE710" s="64" t="str">
        <f t="shared" si="125"/>
        <v>mailto:firstname042.lastname042@example.com?subject=Supply%20order%20dispatched&amp;body=Dear%20RPN%2C%0A%0AYour%20order%20has%20been%20dispatched%20and%20is%20in%20transit.%20Reply%20if%20undelivered.</v>
      </c>
      <c r="AF710" s="89" t="str">
        <f t="shared" si="123"/>
        <v>Draft email</v>
      </c>
      <c r="AG710" s="64" t="str">
        <f>IF($C710="","",IFERROR(INDEX('Staff Directory'!$K$595:$K$599,MATCH($C710,'Staff Directory'!$B$5:$B$599,0)),$D710))</f>
        <v>RPN</v>
      </c>
      <c r="AH710" t="str">
        <f>IF($C710="","",IFERROR(INDEX('Staff Directory'!$I$595:$I$599,MATCH($C710,'Staff Directory'!$B$5:$B$599,0))&amp;" "&amp;INDEX('Staff Directory'!$J$595:$J$599,MATCH($C710,'Staff Directory'!$B$5:$B$599,0)),$AG710))</f>
        <v>RPN</v>
      </c>
      <c r="AI710" s="102"/>
      <c r="AJ710" s="101">
        <f>IF($F710="","",SUMIFS($J$5:$J710,$F$5:$F710,$F710))</f>
        <v>120</v>
      </c>
      <c r="AK710" s="101">
        <f t="shared" si="126"/>
        <v>101</v>
      </c>
      <c r="AL710" s="66" t="str" cm="1">
        <f t="array" ref="AL710">IF($F710="","",IFERROR(INDEX('Lot Balance'!$B$5:$B$500,MATCH(1,INDEX(('Lot Balance'!$A$5:$A$500=$F710)*('Lot Balance'!$K$5:$K$500&lt;$AK710)*('Lot Balance'!$K$5:$K$500+'Lot Balance'!$D$5:$D$500&gt;=$AK710),0),0)),""))</f>
        <v/>
      </c>
      <c r="AM710" s="66" t="str" cm="1">
        <f t="array" ref="AM710">IF($F710="","",IFERROR(INDEX('Lot Balance'!$B$5:$B$500,MATCH(1,INDEX(('Lot Balance'!$A$5:$A$500=$F710)*('Lot Balance'!$K$5:$K$500&lt;$AJ710)*('Lot Balance'!$K$5:$K$500+'Lot Balance'!$D$5:$D$500&gt;=$AJ710),0),0)),""))</f>
        <v/>
      </c>
      <c r="AN710" s="66" t="str">
        <f>IF($F710="","",IF($AI710&lt;&gt;"",IF(COUNTIFS('Lot Balance'!$A$5:$A$500,$F710,'Lot Balance'!$B$5:$B$500,$AI710)=0,"⚠ override is not a lot of this item",IF($AI710=$AL710,"Override = FEFO","Override - FEFO says "&amp;$AL710)),IF($AL710="","⚠ no receipt on file for this item",IF($AM710&lt;&gt;$AL710,"FEFO auto - split, also "&amp;$AM710,"FEFO auto"))))</f>
        <v>⚠ no receipt on file for this item</v>
      </c>
      <c r="AO710" s="114"/>
    </row>
    <row r="711" spans="1:41" x14ac:dyDescent="0.35">
      <c r="A711" s="74">
        <v>46157</v>
      </c>
      <c r="B711" s="18" t="str">
        <f>IF($C711="","",IFERROR(INDEX('Staff Directory'!$A$5:$A$594,MATCH($C711,'Staff Directory'!$B$5:$B$594,0)),"⚠ unknown staff"))</f>
        <v>PSW-041-A4</v>
      </c>
      <c r="C711" s="49" t="s">
        <v>1016</v>
      </c>
      <c r="D711" s="19" t="str">
        <f>IF($B711="","",IFERROR(INDEX('Staff Directory'!$C$5:$C$594,MATCH($B711,'Staff Directory'!$A$5:$A$594,0)),""))</f>
        <v>PSW</v>
      </c>
      <c r="E711" s="19" t="str">
        <f>IF($B711="","",IFERROR(INDEX('Staff Directory'!$D$5:$D$594,MATCH($B711,'Staff Directory'!$A$5:$A$594,0)),""))</f>
        <v>A4</v>
      </c>
      <c r="F711" s="9" t="s">
        <v>124</v>
      </c>
      <c r="G711" s="18" t="str">
        <f>IF($F711="","",IFERROR(INDEX(Items!$B$5:$B$597,MATCH($F711,Items!$A$5:$A$597,0)),"⚠ not in Items"))</f>
        <v>Gloves</v>
      </c>
      <c r="H711" s="19" t="str">
        <f>IF($F711="","",IFERROR(INDEX(Items!$C$5:$C$597,MATCH($F711,Items!$A$5:$A$597,0)),""))</f>
        <v>Large</v>
      </c>
      <c r="I711" s="23">
        <f>IF($F711="","",IFERROR(INDEX(Items!$E$5:$E$597,MATCH($F711,Items!$A$5:$A$597,0)),""))</f>
        <v>500</v>
      </c>
      <c r="J711" s="115">
        <f>IF(tblIssues[[#This Row],[Qty Override]]&lt;&gt;"",tblIssues[[#This Row],[Qty Override]],IF(tblIssues[[#This Row],[Standard Issue]]="","",tblIssues[[#This Row],[Standard Issue]]))</f>
        <v>500</v>
      </c>
      <c r="K711" s="20">
        <f>IF($F711="","",IFERROR(INDEX(Items!$D$5:$D$597,MATCH($F711,Items!$A$5:$A$597,0)),""))</f>
        <v>5.5E-2</v>
      </c>
      <c r="L711" s="21">
        <f t="shared" si="127"/>
        <v>27.5</v>
      </c>
      <c r="M711" s="9" t="str">
        <f t="shared" si="128"/>
        <v>0417HIC25-1</v>
      </c>
      <c r="N711" s="24">
        <f>IF($A711="","",WORKDAY($A711,Settings!$C$9,HolidayDates))</f>
        <v>46167</v>
      </c>
      <c r="O711" s="24">
        <f>IF($N711="","",WORKDAY($N711,Settings!$C$10,HolidayDates))</f>
        <v>46205</v>
      </c>
      <c r="P711" s="10" t="s">
        <v>501</v>
      </c>
      <c r="Q711" s="52" t="str">
        <f t="shared" si="119"/>
        <v>Collected</v>
      </c>
      <c r="R711" s="55" t="str">
        <f t="shared" si="120"/>
        <v>2026-05</v>
      </c>
      <c r="S711" s="55">
        <f>IF(OR($B711="",$F711="",$R711=""),"",SUMIFS(tblIssues[Qty Issued],tblIssues[Staff ID],$B711,tblIssues[Item Name],$F711,tblIssues[Month],$R711))</f>
        <v>500</v>
      </c>
      <c r="T711" s="56">
        <f>IF($I711="","",$I711*Settings!$C$11)</f>
        <v>500</v>
      </c>
      <c r="U711" s="57" t="str">
        <f t="shared" si="129"/>
        <v>OK</v>
      </c>
      <c r="V711" s="55" t="str">
        <f t="shared" si="121"/>
        <v/>
      </c>
      <c r="W711" s="55" t="str">
        <f>IF($V711="","",IF(COUNTIF($V$5:$V711,$V711)=1,1,""))</f>
        <v/>
      </c>
      <c r="X711" s="58" t="str">
        <f>IF($W711="","",MAX($X$4:X710)+1)</f>
        <v/>
      </c>
      <c r="Y711" s="62"/>
      <c r="Z711" s="62"/>
      <c r="AA711" s="64" t="str">
        <f>IF($C711="","",IFERROR(INDEX('Staff Directory'!$E$5:$E$594,MATCH($C711,'Staff Directory'!$B$5:$B$594,0)),""))</f>
        <v>firstname100.lastname100@example.com</v>
      </c>
      <c r="AB711" s="64" t="str">
        <f>IF($C711="","",IF(ISNUMBER(SEARCH($D711,Settings!$C$15)),"Pickup","Dispatch"))</f>
        <v>Pickup</v>
      </c>
      <c r="AC711" s="64" t="str">
        <f t="shared" si="122"/>
        <v>Supply order ready for pickup</v>
      </c>
      <c r="AD711" s="64" t="str">
        <f t="shared" si="124"/>
        <v>Dear PSW,
Your order is ready for pickup from Sample Branch, Wed-Fri 9am-4pm.</v>
      </c>
      <c r="AE711" s="64" t="str">
        <f t="shared" si="125"/>
        <v>mailto:firstname100.lastname100@example.com?subject=Supply%20order%20ready%20for%20pickup&amp;body=Dear%20PSW%2C%0A%0AYour%20order%20is%20ready%20for%20pickup%20from%20Sample%20Branch%2C%20Wed-Fri%209am-4pm.</v>
      </c>
      <c r="AF711" s="89" t="str">
        <f t="shared" si="123"/>
        <v>Draft email</v>
      </c>
      <c r="AG711" s="64" t="str">
        <f>IF($C711="","",IFERROR(INDEX('Staff Directory'!$K$595:$K$599,MATCH($C711,'Staff Directory'!$B$5:$B$599,0)),$D711))</f>
        <v>PSW</v>
      </c>
      <c r="AH711" t="str">
        <f>IF($C711="","",IFERROR(INDEX('Staff Directory'!$I$595:$I$599,MATCH($C711,'Staff Directory'!$B$5:$B$599,0))&amp;" "&amp;INDEX('Staff Directory'!$J$595:$J$599,MATCH($C711,'Staff Directory'!$B$5:$B$599,0)),$AG711))</f>
        <v>PSW</v>
      </c>
      <c r="AI711" s="102"/>
      <c r="AJ711" s="101">
        <f>IF($F711="","",SUMIFS($J$5:$J711,$F$5:$F711,$F711))</f>
        <v>18500</v>
      </c>
      <c r="AK711" s="101">
        <f t="shared" si="126"/>
        <v>18001</v>
      </c>
      <c r="AL711" s="66" t="str" cm="1">
        <f t="array" ref="AL711">IF($F711="","",IFERROR(INDEX('Lot Balance'!$B$5:$B$500,MATCH(1,INDEX(('Lot Balance'!$A$5:$A$500=$F711)*('Lot Balance'!$K$5:$K$500&lt;$AK711)*('Lot Balance'!$K$5:$K$500+'Lot Balance'!$D$5:$D$500&gt;=$AK711),0),0)),""))</f>
        <v>0417HIC25-1</v>
      </c>
      <c r="AM711" s="66" t="str" cm="1">
        <f t="array" ref="AM711">IF($F711="","",IFERROR(INDEX('Lot Balance'!$B$5:$B$500,MATCH(1,INDEX(('Lot Balance'!$A$5:$A$500=$F711)*('Lot Balance'!$K$5:$K$500&lt;$AJ711)*('Lot Balance'!$K$5:$K$500+'Lot Balance'!$D$5:$D$500&gt;=$AJ711),0),0)),""))</f>
        <v>0417HIC25-1</v>
      </c>
      <c r="AN711" s="66" t="str">
        <f>IF($F711="","",IF($AI711&lt;&gt;"",IF(COUNTIFS('Lot Balance'!$A$5:$A$500,$F711,'Lot Balance'!$B$5:$B$500,$AI711)=0,"⚠ override is not a lot of this item",IF($AI711=$AL711,"Override = FEFO","Override - FEFO says "&amp;$AL711)),IF($AL711="","⚠ no receipt on file for this item",IF($AM711&lt;&gt;$AL711,"FEFO auto - split, also "&amp;$AM711,"FEFO auto"))))</f>
        <v>FEFO auto</v>
      </c>
      <c r="AO711" s="114"/>
    </row>
    <row r="712" spans="1:41" x14ac:dyDescent="0.35">
      <c r="A712" s="74">
        <v>46157</v>
      </c>
      <c r="B712" s="18" t="str">
        <f>IF($C712="","",IFERROR(INDEX('Staff Directory'!$A$5:$A$594,MATCH($C712,'Staff Directory'!$B$5:$B$594,0)),"⚠ unknown staff"))</f>
        <v>PSW-041-A4</v>
      </c>
      <c r="C712" s="49" t="s">
        <v>1016</v>
      </c>
      <c r="D712" s="19" t="str">
        <f>IF($B712="","",IFERROR(INDEX('Staff Directory'!$C$5:$C$594,MATCH($B712,'Staff Directory'!$A$5:$A$594,0)),""))</f>
        <v>PSW</v>
      </c>
      <c r="E712" s="19" t="str">
        <f>IF($B712="","",IFERROR(INDEX('Staff Directory'!$D$5:$D$594,MATCH($B712,'Staff Directory'!$A$5:$A$594,0)),""))</f>
        <v>A4</v>
      </c>
      <c r="F712" s="9" t="s">
        <v>115</v>
      </c>
      <c r="G712" s="18" t="str">
        <f>IF($F712="","",IFERROR(INDEX(Items!$B$5:$B$597,MATCH($F712,Items!$A$5:$A$597,0)),"⚠ not in Items"))</f>
        <v>Wipes</v>
      </c>
      <c r="H712" s="19">
        <f>IF($F712="","",IFERROR(INDEX(Items!$C$5:$C$597,MATCH($F712,Items!$A$5:$A$597,0)),""))</f>
        <v>80</v>
      </c>
      <c r="I712" s="23">
        <f>IF($F712="","",IFERROR(INDEX(Items!$E$5:$E$597,MATCH($F712,Items!$A$5:$A$597,0)),""))</f>
        <v>80</v>
      </c>
      <c r="J712" s="115">
        <f>IF(tblIssues[[#This Row],[Qty Override]]&lt;&gt;"",tblIssues[[#This Row],[Qty Override]],IF(tblIssues[[#This Row],[Standard Issue]]="","",tblIssues[[#This Row],[Standard Issue]]))</f>
        <v>80</v>
      </c>
      <c r="K712" s="20">
        <f>IF($F712="","",IFERROR(INDEX(Items!$D$5:$D$597,MATCH($F712,Items!$A$5:$A$597,0)),""))</f>
        <v>0.1</v>
      </c>
      <c r="L712" s="21">
        <f t="shared" si="127"/>
        <v>8</v>
      </c>
      <c r="M712" s="9" t="str">
        <f t="shared" si="128"/>
        <v>LYSL500290</v>
      </c>
      <c r="N712" s="24">
        <f>IF($A712="","",WORKDAY($A712,Settings!$C$9,HolidayDates))</f>
        <v>46167</v>
      </c>
      <c r="O712" s="24">
        <f>IF($N712="","",WORKDAY($N712,Settings!$C$10,HolidayDates))</f>
        <v>46205</v>
      </c>
      <c r="P712" s="10" t="s">
        <v>501</v>
      </c>
      <c r="Q712" s="52" t="str">
        <f t="shared" si="119"/>
        <v>Collected</v>
      </c>
      <c r="R712" s="55" t="str">
        <f t="shared" si="120"/>
        <v>2026-05</v>
      </c>
      <c r="S712" s="55">
        <f>IF(OR($B712="",$F712="",$R712=""),"",SUMIFS(tblIssues[Qty Issued],tblIssues[Staff ID],$B712,tblIssues[Item Name],$F712,tblIssues[Month],$R712))</f>
        <v>80</v>
      </c>
      <c r="T712" s="56">
        <f>IF($I712="","",$I712*Settings!$C$11)</f>
        <v>80</v>
      </c>
      <c r="U712" s="57" t="str">
        <f t="shared" si="129"/>
        <v>OK</v>
      </c>
      <c r="V712" s="55" t="str">
        <f t="shared" si="121"/>
        <v/>
      </c>
      <c r="W712" s="55" t="str">
        <f>IF($V712="","",IF(COUNTIF($V$5:$V712,$V712)=1,1,""))</f>
        <v/>
      </c>
      <c r="X712" s="58" t="str">
        <f>IF($W712="","",MAX($X$4:X711)+1)</f>
        <v/>
      </c>
      <c r="Y712" s="62"/>
      <c r="Z712" s="62"/>
      <c r="AA712" s="64" t="str">
        <f>IF($C712="","",IFERROR(INDEX('Staff Directory'!$E$5:$E$594,MATCH($C712,'Staff Directory'!$B$5:$B$594,0)),""))</f>
        <v>firstname100.lastname100@example.com</v>
      </c>
      <c r="AB712" s="64" t="str">
        <f>IF($C712="","",IF(ISNUMBER(SEARCH($D712,Settings!$C$15)),"Pickup","Dispatch"))</f>
        <v>Pickup</v>
      </c>
      <c r="AC712" s="64" t="str">
        <f t="shared" si="122"/>
        <v>Supply order ready for pickup</v>
      </c>
      <c r="AD712" s="64" t="str">
        <f t="shared" si="124"/>
        <v>Dear PSW,
Your order is ready for pickup from Sample Branch, Wed-Fri 9am-4pm.</v>
      </c>
      <c r="AE712" s="64" t="str">
        <f t="shared" si="125"/>
        <v>mailto:firstname100.lastname100@example.com?subject=Supply%20order%20ready%20for%20pickup&amp;body=Dear%20PSW%2C%0A%0AYour%20order%20is%20ready%20for%20pickup%20from%20Sample%20Branch%2C%20Wed-Fri%209am-4pm.</v>
      </c>
      <c r="AF712" s="89" t="str">
        <f t="shared" si="123"/>
        <v>Draft email</v>
      </c>
      <c r="AG712" s="64" t="str">
        <f>IF($C712="","",IFERROR(INDEX('Staff Directory'!$K$595:$K$599,MATCH($C712,'Staff Directory'!$B$5:$B$599,0)),$D712))</f>
        <v>PSW</v>
      </c>
      <c r="AH712" t="str">
        <f>IF($C712="","",IFERROR(INDEX('Staff Directory'!$I$595:$I$599,MATCH($C712,'Staff Directory'!$B$5:$B$599,0))&amp;" "&amp;INDEX('Staff Directory'!$J$595:$J$599,MATCH($C712,'Staff Directory'!$B$5:$B$599,0)),$AG712))</f>
        <v>PSW</v>
      </c>
      <c r="AI712" s="102"/>
      <c r="AJ712" s="101">
        <f>IF($F712="","",SUMIFS($J$5:$J712,$F$5:$F712,$F712))</f>
        <v>10080</v>
      </c>
      <c r="AK712" s="101">
        <f t="shared" si="126"/>
        <v>10001</v>
      </c>
      <c r="AL712" s="66" t="str" cm="1">
        <f t="array" ref="AL712">IF($F712="","",IFERROR(INDEX('Lot Balance'!$B$5:$B$500,MATCH(1,INDEX(('Lot Balance'!$A$5:$A$500=$F712)*('Lot Balance'!$K$5:$K$500&lt;$AK712)*('Lot Balance'!$K$5:$K$500+'Lot Balance'!$D$5:$D$500&gt;=$AK712),0),0)),""))</f>
        <v>LYSL500290</v>
      </c>
      <c r="AM712" s="66" t="str" cm="1">
        <f t="array" ref="AM712">IF($F712="","",IFERROR(INDEX('Lot Balance'!$B$5:$B$500,MATCH(1,INDEX(('Lot Balance'!$A$5:$A$500=$F712)*('Lot Balance'!$K$5:$K$500&lt;$AJ712)*('Lot Balance'!$K$5:$K$500+'Lot Balance'!$D$5:$D$500&gt;=$AJ712),0),0)),""))</f>
        <v>LYSL500290</v>
      </c>
      <c r="AN712" s="66" t="str">
        <f>IF($F712="","",IF($AI712&lt;&gt;"",IF(COUNTIFS('Lot Balance'!$A$5:$A$500,$F712,'Lot Balance'!$B$5:$B$500,$AI712)=0,"⚠ override is not a lot of this item",IF($AI712=$AL712,"Override = FEFO","Override - FEFO says "&amp;$AL712)),IF($AL712="","⚠ no receipt on file for this item",IF($AM712&lt;&gt;$AL712,"FEFO auto - split, also "&amp;$AM712,"FEFO auto"))))</f>
        <v>FEFO auto</v>
      </c>
      <c r="AO712" s="114"/>
    </row>
    <row r="713" spans="1:41" x14ac:dyDescent="0.35">
      <c r="A713" s="74">
        <v>46157</v>
      </c>
      <c r="B713" s="18" t="str">
        <f>IF($C713="","",IFERROR(INDEX('Staff Directory'!$A$5:$A$594,MATCH($C713,'Staff Directory'!$B$5:$B$594,0)),"⚠ unknown staff"))</f>
        <v>PSW-041-A4</v>
      </c>
      <c r="C713" s="49" t="s">
        <v>1016</v>
      </c>
      <c r="D713" s="19" t="str">
        <f>IF($B713="","",IFERROR(INDEX('Staff Directory'!$C$5:$C$594,MATCH($B713,'Staff Directory'!$A$5:$A$594,0)),""))</f>
        <v>PSW</v>
      </c>
      <c r="E713" s="19" t="str">
        <f>IF($B713="","",IFERROR(INDEX('Staff Directory'!$D$5:$D$594,MATCH($B713,'Staff Directory'!$A$5:$A$594,0)),""))</f>
        <v>A4</v>
      </c>
      <c r="F713" s="9" t="s">
        <v>156</v>
      </c>
      <c r="G713" s="18" t="str">
        <f>IF($F713="","",IFERROR(INDEX(Items!$B$5:$B$597,MATCH($F713,Items!$A$5:$A$597,0)),"⚠ not in Items"))</f>
        <v>Masks</v>
      </c>
      <c r="H713" s="19" t="str">
        <f>IF($F713="","",IFERROR(INDEX(Items!$C$5:$C$597,MATCH($F713,Items!$A$5:$A$597,0)),""))</f>
        <v>One Size</v>
      </c>
      <c r="I713" s="23">
        <f>IF($F713="","",IFERROR(INDEX(Items!$E$5:$E$597,MATCH($F713,Items!$A$5:$A$597,0)),""))</f>
        <v>50</v>
      </c>
      <c r="J713" s="115">
        <f>IF(tblIssues[[#This Row],[Qty Override]]&lt;&gt;"",tblIssues[[#This Row],[Qty Override]],IF(tblIssues[[#This Row],[Standard Issue]]="","",tblIssues[[#This Row],[Standard Issue]]))</f>
        <v>50</v>
      </c>
      <c r="K713" s="20">
        <f>IF($F713="","",IFERROR(INDEX(Items!$D$5:$D$597,MATCH($F713,Items!$A$5:$A$597,0)),""))</f>
        <v>0.25</v>
      </c>
      <c r="L713" s="21">
        <f t="shared" si="127"/>
        <v>12.5</v>
      </c>
      <c r="M713" s="9" t="str">
        <f t="shared" si="128"/>
        <v>0125FPC24-0</v>
      </c>
      <c r="N713" s="24">
        <f>IF($A713="","",WORKDAY($A713,Settings!$C$9,HolidayDates))</f>
        <v>46167</v>
      </c>
      <c r="O713" s="24">
        <f>IF($N713="","",WORKDAY($N713,Settings!$C$10,HolidayDates))</f>
        <v>46205</v>
      </c>
      <c r="P713" s="10" t="s">
        <v>501</v>
      </c>
      <c r="Q713" s="52" t="str">
        <f t="shared" si="119"/>
        <v>Collected</v>
      </c>
      <c r="R713" s="55" t="str">
        <f t="shared" si="120"/>
        <v>2026-05</v>
      </c>
      <c r="S713" s="55">
        <f>IF(OR($B713="",$F713="",$R713=""),"",SUMIFS(tblIssues[Qty Issued],tblIssues[Staff ID],$B713,tblIssues[Item Name],$F713,tblIssues[Month],$R713))</f>
        <v>50</v>
      </c>
      <c r="T713" s="56">
        <f>IF($I713="","",$I713*Settings!$C$11)</f>
        <v>50</v>
      </c>
      <c r="U713" s="57" t="str">
        <f t="shared" si="129"/>
        <v>OK</v>
      </c>
      <c r="V713" s="55" t="str">
        <f t="shared" si="121"/>
        <v/>
      </c>
      <c r="W713" s="55" t="str">
        <f>IF($V713="","",IF(COUNTIF($V$5:$V713,$V713)=1,1,""))</f>
        <v/>
      </c>
      <c r="X713" s="58" t="str">
        <f>IF($W713="","",MAX($X$4:X712)+1)</f>
        <v/>
      </c>
      <c r="Y713" s="62"/>
      <c r="Z713" s="62"/>
      <c r="AA713" s="64" t="str">
        <f>IF($C713="","",IFERROR(INDEX('Staff Directory'!$E$5:$E$594,MATCH($C713,'Staff Directory'!$B$5:$B$594,0)),""))</f>
        <v>firstname100.lastname100@example.com</v>
      </c>
      <c r="AB713" s="64" t="str">
        <f>IF($C713="","",IF(ISNUMBER(SEARCH($D713,Settings!$C$15)),"Pickup","Dispatch"))</f>
        <v>Pickup</v>
      </c>
      <c r="AC713" s="64" t="str">
        <f t="shared" si="122"/>
        <v>Supply order ready for pickup</v>
      </c>
      <c r="AD713" s="64" t="str">
        <f t="shared" si="124"/>
        <v>Dear PSW,
Your order is ready for pickup from Sample Branch, Wed-Fri 9am-4pm.</v>
      </c>
      <c r="AE713" s="64" t="str">
        <f t="shared" si="125"/>
        <v>mailto:firstname100.lastname100@example.com?subject=Supply%20order%20ready%20for%20pickup&amp;body=Dear%20PSW%2C%0A%0AYour%20order%20is%20ready%20for%20pickup%20from%20Sample%20Branch%2C%20Wed-Fri%209am-4pm.</v>
      </c>
      <c r="AF713" s="89" t="str">
        <f t="shared" si="123"/>
        <v>Draft email</v>
      </c>
      <c r="AG713" s="64" t="str">
        <f>IF($C713="","",IFERROR(INDEX('Staff Directory'!$K$595:$K$599,MATCH($C713,'Staff Directory'!$B$5:$B$599,0)),$D713))</f>
        <v>PSW</v>
      </c>
      <c r="AH713" t="str">
        <f>IF($C713="","",IFERROR(INDEX('Staff Directory'!$I$595:$I$599,MATCH($C713,'Staff Directory'!$B$5:$B$599,0))&amp;" "&amp;INDEX('Staff Directory'!$J$595:$J$599,MATCH($C713,'Staff Directory'!$B$5:$B$599,0)),$AG713))</f>
        <v>PSW</v>
      </c>
      <c r="AI713" s="102"/>
      <c r="AJ713" s="101">
        <f>IF($F713="","",SUMIFS($J$5:$J713,$F$5:$F713,$F713))</f>
        <v>5700</v>
      </c>
      <c r="AK713" s="101">
        <f t="shared" si="126"/>
        <v>5651</v>
      </c>
      <c r="AL713" s="66" t="str" cm="1">
        <f t="array" ref="AL713">IF($F713="","",IFERROR(INDEX('Lot Balance'!$B$5:$B$500,MATCH(1,INDEX(('Lot Balance'!$A$5:$A$500=$F713)*('Lot Balance'!$K$5:$K$500&lt;$AK713)*('Lot Balance'!$K$5:$K$500+'Lot Balance'!$D$5:$D$500&gt;=$AK713),0),0)),""))</f>
        <v>0125FPC24-0</v>
      </c>
      <c r="AM713" s="66" t="str" cm="1">
        <f t="array" ref="AM713">IF($F713="","",IFERROR(INDEX('Lot Balance'!$B$5:$B$500,MATCH(1,INDEX(('Lot Balance'!$A$5:$A$500=$F713)*('Lot Balance'!$K$5:$K$500&lt;$AJ713)*('Lot Balance'!$K$5:$K$500+'Lot Balance'!$D$5:$D$500&gt;=$AJ713),0),0)),""))</f>
        <v>0125FPC24-0</v>
      </c>
      <c r="AN713" s="66" t="str">
        <f>IF($F713="","",IF($AI713&lt;&gt;"",IF(COUNTIFS('Lot Balance'!$A$5:$A$500,$F713,'Lot Balance'!$B$5:$B$500,$AI713)=0,"⚠ override is not a lot of this item",IF($AI713=$AL713,"Override = FEFO","Override - FEFO says "&amp;$AL713)),IF($AL713="","⚠ no receipt on file for this item",IF($AM713&lt;&gt;$AL713,"FEFO auto - split, also "&amp;$AM713,"FEFO auto"))))</f>
        <v>FEFO auto</v>
      </c>
      <c r="AO713" s="114"/>
    </row>
    <row r="714" spans="1:41" x14ac:dyDescent="0.35">
      <c r="A714" s="74">
        <v>46157</v>
      </c>
      <c r="B714" s="18" t="str">
        <f>IF($C714="","",IFERROR(INDEX('Staff Directory'!$A$5:$A$594,MATCH($C714,'Staff Directory'!$B$5:$B$594,0)),"⚠ unknown staff"))</f>
        <v>PSW-010-A4</v>
      </c>
      <c r="C714" s="49" t="s">
        <v>986</v>
      </c>
      <c r="D714" s="19" t="str">
        <f>IF($B714="","",IFERROR(INDEX('Staff Directory'!$C$5:$C$594,MATCH($B714,'Staff Directory'!$A$5:$A$594,0)),""))</f>
        <v>PSW</v>
      </c>
      <c r="E714" s="19" t="str">
        <f>IF($B714="","",IFERROR(INDEX('Staff Directory'!$D$5:$D$594,MATCH($B714,'Staff Directory'!$A$5:$A$594,0)),""))</f>
        <v>A4</v>
      </c>
      <c r="F714" s="9" t="s">
        <v>129</v>
      </c>
      <c r="G714" s="18" t="str">
        <f>IF($F714="","",IFERROR(INDEX(Items!$B$5:$B$597,MATCH($F714,Items!$A$5:$A$597,0)),"⚠ not in Items"))</f>
        <v>Gloves</v>
      </c>
      <c r="H714" s="19" t="str">
        <f>IF($F714="","",IFERROR(INDEX(Items!$C$5:$C$597,MATCH($F714,Items!$A$5:$A$597,0)),""))</f>
        <v>Small</v>
      </c>
      <c r="I714" s="23">
        <f>IF($F714="","",IFERROR(INDEX(Items!$E$5:$E$597,MATCH($F714,Items!$A$5:$A$597,0)),""))</f>
        <v>500</v>
      </c>
      <c r="J714" s="115">
        <f>IF(tblIssues[[#This Row],[Qty Override]]&lt;&gt;"",tblIssues[[#This Row],[Qty Override]],IF(tblIssues[[#This Row],[Standard Issue]]="","",tblIssues[[#This Row],[Standard Issue]]))</f>
        <v>500</v>
      </c>
      <c r="K714" s="20">
        <f>IF($F714="","",IFERROR(INDEX(Items!$D$5:$D$597,MATCH($F714,Items!$A$5:$A$597,0)),""))</f>
        <v>5.5E-2</v>
      </c>
      <c r="L714" s="21">
        <f t="shared" si="127"/>
        <v>27.5</v>
      </c>
      <c r="M714" s="9" t="str">
        <f t="shared" si="128"/>
        <v>O211LIC25-0</v>
      </c>
      <c r="N714" s="24">
        <f>IF($A714="","",WORKDAY($A714,Settings!$C$9,HolidayDates))</f>
        <v>46167</v>
      </c>
      <c r="O714" s="24">
        <f>IF($N714="","",WORKDAY($N714,Settings!$C$10,HolidayDates))</f>
        <v>46205</v>
      </c>
      <c r="P714" s="10" t="s">
        <v>501</v>
      </c>
      <c r="Q714" s="52" t="str">
        <f t="shared" si="119"/>
        <v>Collected</v>
      </c>
      <c r="R714" s="55" t="str">
        <f t="shared" si="120"/>
        <v>2026-05</v>
      </c>
      <c r="S714" s="55">
        <f>IF(OR($B714="",$F714="",$R714=""),"",SUMIFS(tblIssues[Qty Issued],tblIssues[Staff ID],$B714,tblIssues[Item Name],$F714,tblIssues[Month],$R714))</f>
        <v>500</v>
      </c>
      <c r="T714" s="56">
        <f>IF($I714="","",$I714*Settings!$C$11)</f>
        <v>500</v>
      </c>
      <c r="U714" s="57" t="str">
        <f t="shared" si="129"/>
        <v>OK</v>
      </c>
      <c r="V714" s="55" t="str">
        <f t="shared" si="121"/>
        <v/>
      </c>
      <c r="W714" s="55" t="str">
        <f>IF($V714="","",IF(COUNTIF($V$5:$V714,$V714)=1,1,""))</f>
        <v/>
      </c>
      <c r="X714" s="58" t="str">
        <f>IF($W714="","",MAX($X$4:X713)+1)</f>
        <v/>
      </c>
      <c r="Y714" s="62"/>
      <c r="Z714" s="62"/>
      <c r="AA714" s="64" t="str">
        <f>IF($C714="","",IFERROR(INDEX('Staff Directory'!$E$5:$E$594,MATCH($C714,'Staff Directory'!$B$5:$B$594,0)),""))</f>
        <v>firstname070.lastname070@example.com</v>
      </c>
      <c r="AB714" s="64" t="str">
        <f>IF($C714="","",IF(ISNUMBER(SEARCH($D714,Settings!$C$15)),"Pickup","Dispatch"))</f>
        <v>Pickup</v>
      </c>
      <c r="AC714" s="64" t="str">
        <f t="shared" si="122"/>
        <v>Supply order ready for pickup</v>
      </c>
      <c r="AD714" s="64" t="str">
        <f t="shared" si="124"/>
        <v>Dear PSW,
Your order is ready for pickup from Sample Branch, Wed-Fri 9am-4pm.</v>
      </c>
      <c r="AE714" s="64" t="str">
        <f t="shared" si="125"/>
        <v>mailto:firstname070.lastname070@example.com?subject=Supply%20order%20ready%20for%20pickup&amp;body=Dear%20PSW%2C%0A%0AYour%20order%20is%20ready%20for%20pickup%20from%20Sample%20Branch%2C%20Wed-Fri%209am-4pm.</v>
      </c>
      <c r="AF714" s="89" t="str">
        <f t="shared" si="123"/>
        <v>Draft email</v>
      </c>
      <c r="AG714" s="64" t="str">
        <f>IF($C714="","",IFERROR(INDEX('Staff Directory'!$K$595:$K$599,MATCH($C714,'Staff Directory'!$B$5:$B$599,0)),$D714))</f>
        <v>PSW</v>
      </c>
      <c r="AH714" t="str">
        <f>IF($C714="","",IFERROR(INDEX('Staff Directory'!$I$595:$I$599,MATCH($C714,'Staff Directory'!$B$5:$B$599,0))&amp;" "&amp;INDEX('Staff Directory'!$J$595:$J$599,MATCH($C714,'Staff Directory'!$B$5:$B$599,0)),$AG714))</f>
        <v>PSW</v>
      </c>
      <c r="AI714" s="102"/>
      <c r="AJ714" s="101">
        <f>IF($F714="","",SUMIFS($J$5:$J714,$F$5:$F714,$F714))</f>
        <v>25500</v>
      </c>
      <c r="AK714" s="101">
        <f t="shared" si="126"/>
        <v>25001</v>
      </c>
      <c r="AL714" s="66" t="str" cm="1">
        <f t="array" ref="AL714">IF($F714="","",IFERROR(INDEX('Lot Balance'!$B$5:$B$500,MATCH(1,INDEX(('Lot Balance'!$A$5:$A$500=$F714)*('Lot Balance'!$K$5:$K$500&lt;$AK714)*('Lot Balance'!$K$5:$K$500+'Lot Balance'!$D$5:$D$500&gt;=$AK714),0),0)),""))</f>
        <v>O211LIC25-0</v>
      </c>
      <c r="AM714" s="66" t="str" cm="1">
        <f t="array" ref="AM714">IF($F714="","",IFERROR(INDEX('Lot Balance'!$B$5:$B$500,MATCH(1,INDEX(('Lot Balance'!$A$5:$A$500=$F714)*('Lot Balance'!$K$5:$K$500&lt;$AJ714)*('Lot Balance'!$K$5:$K$500+'Lot Balance'!$D$5:$D$500&gt;=$AJ714),0),0)),""))</f>
        <v>O211LIC25-0</v>
      </c>
      <c r="AN714" s="66" t="str">
        <f>IF($F714="","",IF($AI714&lt;&gt;"",IF(COUNTIFS('Lot Balance'!$A$5:$A$500,$F714,'Lot Balance'!$B$5:$B$500,$AI714)=0,"⚠ override is not a lot of this item",IF($AI714=$AL714,"Override = FEFO","Override - FEFO says "&amp;$AL714)),IF($AL714="","⚠ no receipt on file for this item",IF($AM714&lt;&gt;$AL714,"FEFO auto - split, also "&amp;$AM714,"FEFO auto"))))</f>
        <v>FEFO auto</v>
      </c>
      <c r="AO714" s="114"/>
    </row>
    <row r="715" spans="1:41" x14ac:dyDescent="0.35">
      <c r="A715" s="74">
        <v>46157</v>
      </c>
      <c r="B715" s="18" t="str">
        <f>IF($C715="","",IFERROR(INDEX('Staff Directory'!$A$5:$A$594,MATCH($C715,'Staff Directory'!$B$5:$B$594,0)),"⚠ unknown staff"))</f>
        <v>PSW-010-A4</v>
      </c>
      <c r="C715" s="49" t="s">
        <v>986</v>
      </c>
      <c r="D715" s="19" t="str">
        <f>IF($B715="","",IFERROR(INDEX('Staff Directory'!$C$5:$C$594,MATCH($B715,'Staff Directory'!$A$5:$A$594,0)),""))</f>
        <v>PSW</v>
      </c>
      <c r="E715" s="19" t="str">
        <f>IF($B715="","",IFERROR(INDEX('Staff Directory'!$D$5:$D$594,MATCH($B715,'Staff Directory'!$A$5:$A$594,0)),""))</f>
        <v>A4</v>
      </c>
      <c r="F715" s="9" t="s">
        <v>156</v>
      </c>
      <c r="G715" s="18" t="str">
        <f>IF($F715="","",IFERROR(INDEX(Items!$B$5:$B$597,MATCH($F715,Items!$A$5:$A$597,0)),"⚠ not in Items"))</f>
        <v>Masks</v>
      </c>
      <c r="H715" s="19" t="str">
        <f>IF($F715="","",IFERROR(INDEX(Items!$C$5:$C$597,MATCH($F715,Items!$A$5:$A$597,0)),""))</f>
        <v>One Size</v>
      </c>
      <c r="I715" s="23">
        <f>IF($F715="","",IFERROR(INDEX(Items!$E$5:$E$597,MATCH($F715,Items!$A$5:$A$597,0)),""))</f>
        <v>50</v>
      </c>
      <c r="J715" s="115">
        <f>IF(tblIssues[[#This Row],[Qty Override]]&lt;&gt;"",tblIssues[[#This Row],[Qty Override]],IF(tblIssues[[#This Row],[Standard Issue]]="","",tblIssues[[#This Row],[Standard Issue]]))</f>
        <v>50</v>
      </c>
      <c r="K715" s="20">
        <f>IF($F715="","",IFERROR(INDEX(Items!$D$5:$D$597,MATCH($F715,Items!$A$5:$A$597,0)),""))</f>
        <v>0.25</v>
      </c>
      <c r="L715" s="21">
        <f t="shared" si="127"/>
        <v>12.5</v>
      </c>
      <c r="M715" s="9" t="str">
        <f t="shared" si="128"/>
        <v>0125FPC24-0</v>
      </c>
      <c r="N715" s="24">
        <f>IF($A715="","",WORKDAY($A715,Settings!$C$9,HolidayDates))</f>
        <v>46167</v>
      </c>
      <c r="O715" s="24">
        <f>IF($N715="","",WORKDAY($N715,Settings!$C$10,HolidayDates))</f>
        <v>46205</v>
      </c>
      <c r="P715" s="10" t="s">
        <v>501</v>
      </c>
      <c r="Q715" s="52" t="str">
        <f t="shared" si="119"/>
        <v>Collected</v>
      </c>
      <c r="R715" s="55" t="str">
        <f t="shared" si="120"/>
        <v>2026-05</v>
      </c>
      <c r="S715" s="55">
        <f>IF(OR($B715="",$F715="",$R715=""),"",SUMIFS(tblIssues[Qty Issued],tblIssues[Staff ID],$B715,tblIssues[Item Name],$F715,tblIssues[Month],$R715))</f>
        <v>50</v>
      </c>
      <c r="T715" s="56">
        <f>IF($I715="","",$I715*Settings!$C$11)</f>
        <v>50</v>
      </c>
      <c r="U715" s="57" t="str">
        <f t="shared" si="129"/>
        <v>OK</v>
      </c>
      <c r="V715" s="55" t="str">
        <f t="shared" si="121"/>
        <v/>
      </c>
      <c r="W715" s="55" t="str">
        <f>IF($V715="","",IF(COUNTIF($V$5:$V715,$V715)=1,1,""))</f>
        <v/>
      </c>
      <c r="X715" s="58" t="str">
        <f>IF($W715="","",MAX($X$4:X714)+1)</f>
        <v/>
      </c>
      <c r="Y715" s="62"/>
      <c r="Z715" s="62"/>
      <c r="AA715" s="64" t="str">
        <f>IF($C715="","",IFERROR(INDEX('Staff Directory'!$E$5:$E$594,MATCH($C715,'Staff Directory'!$B$5:$B$594,0)),""))</f>
        <v>firstname070.lastname070@example.com</v>
      </c>
      <c r="AB715" s="64" t="str">
        <f>IF($C715="","",IF(ISNUMBER(SEARCH($D715,Settings!$C$15)),"Pickup","Dispatch"))</f>
        <v>Pickup</v>
      </c>
      <c r="AC715" s="64" t="str">
        <f t="shared" si="122"/>
        <v>Supply order ready for pickup</v>
      </c>
      <c r="AD715" s="64" t="str">
        <f t="shared" si="124"/>
        <v>Dear PSW,
Your order is ready for pickup from Sample Branch, Wed-Fri 9am-4pm.</v>
      </c>
      <c r="AE715" s="64" t="str">
        <f t="shared" si="125"/>
        <v>mailto:firstname070.lastname070@example.com?subject=Supply%20order%20ready%20for%20pickup&amp;body=Dear%20PSW%2C%0A%0AYour%20order%20is%20ready%20for%20pickup%20from%20Sample%20Branch%2C%20Wed-Fri%209am-4pm.</v>
      </c>
      <c r="AF715" s="89" t="str">
        <f t="shared" si="123"/>
        <v>Draft email</v>
      </c>
      <c r="AG715" s="64" t="str">
        <f>IF($C715="","",IFERROR(INDEX('Staff Directory'!$K$595:$K$599,MATCH($C715,'Staff Directory'!$B$5:$B$599,0)),$D715))</f>
        <v>PSW</v>
      </c>
      <c r="AH715" t="str">
        <f>IF($C715="","",IFERROR(INDEX('Staff Directory'!$I$595:$I$599,MATCH($C715,'Staff Directory'!$B$5:$B$599,0))&amp;" "&amp;INDEX('Staff Directory'!$J$595:$J$599,MATCH($C715,'Staff Directory'!$B$5:$B$599,0)),$AG715))</f>
        <v>PSW</v>
      </c>
      <c r="AI715" s="102"/>
      <c r="AJ715" s="101">
        <f>IF($F715="","",SUMIFS($J$5:$J715,$F$5:$F715,$F715))</f>
        <v>5750</v>
      </c>
      <c r="AK715" s="101">
        <f t="shared" si="126"/>
        <v>5701</v>
      </c>
      <c r="AL715" s="66" t="str" cm="1">
        <f t="array" ref="AL715">IF($F715="","",IFERROR(INDEX('Lot Balance'!$B$5:$B$500,MATCH(1,INDEX(('Lot Balance'!$A$5:$A$500=$F715)*('Lot Balance'!$K$5:$K$500&lt;$AK715)*('Lot Balance'!$K$5:$K$500+'Lot Balance'!$D$5:$D$500&gt;=$AK715),0),0)),""))</f>
        <v>0125FPC24-0</v>
      </c>
      <c r="AM715" s="66" t="str" cm="1">
        <f t="array" ref="AM715">IF($F715="","",IFERROR(INDEX('Lot Balance'!$B$5:$B$500,MATCH(1,INDEX(('Lot Balance'!$A$5:$A$500=$F715)*('Lot Balance'!$K$5:$K$500&lt;$AJ715)*('Lot Balance'!$K$5:$K$500+'Lot Balance'!$D$5:$D$500&gt;=$AJ715),0),0)),""))</f>
        <v>0125FPC24-0</v>
      </c>
      <c r="AN715" s="66" t="str">
        <f>IF($F715="","",IF($AI715&lt;&gt;"",IF(COUNTIFS('Lot Balance'!$A$5:$A$500,$F715,'Lot Balance'!$B$5:$B$500,$AI715)=0,"⚠ override is not a lot of this item",IF($AI715=$AL715,"Override = FEFO","Override - FEFO says "&amp;$AL715)),IF($AL715="","⚠ no receipt on file for this item",IF($AM715&lt;&gt;$AL715,"FEFO auto - split, also "&amp;$AM715,"FEFO auto"))))</f>
        <v>FEFO auto</v>
      </c>
      <c r="AO715" s="114"/>
    </row>
    <row r="716" spans="1:41" x14ac:dyDescent="0.35">
      <c r="A716" s="74">
        <v>46157</v>
      </c>
      <c r="B716" s="18" t="str">
        <f>IF($C716="","",IFERROR(INDEX('Staff Directory'!$A$5:$A$594,MATCH($C716,'Staff Directory'!$B$5:$B$594,0)),"⚠ unknown staff"))</f>
        <v>PSW-036-A7</v>
      </c>
      <c r="C716" s="49" t="s">
        <v>1011</v>
      </c>
      <c r="D716" s="19" t="str">
        <f>IF($B716="","",IFERROR(INDEX('Staff Directory'!$C$5:$C$594,MATCH($B716,'Staff Directory'!$A$5:$A$594,0)),""))</f>
        <v>PSW</v>
      </c>
      <c r="E716" s="19" t="str">
        <f>IF($B716="","",IFERROR(INDEX('Staff Directory'!$D$5:$D$594,MATCH($B716,'Staff Directory'!$A$5:$A$594,0)),""))</f>
        <v>A7</v>
      </c>
      <c r="F716" s="9" t="s">
        <v>127</v>
      </c>
      <c r="G716" s="18" t="str">
        <f>IF($F716="","",IFERROR(INDEX(Items!$B$5:$B$597,MATCH($F716,Items!$A$5:$A$597,0)),"⚠ not in Items"))</f>
        <v>Gloves</v>
      </c>
      <c r="H716" s="19" t="str">
        <f>IF($F716="","",IFERROR(INDEX(Items!$C$5:$C$597,MATCH($F716,Items!$A$5:$A$597,0)),""))</f>
        <v>Medium</v>
      </c>
      <c r="I716" s="23">
        <f>IF($F716="","",IFERROR(INDEX(Items!$E$5:$E$597,MATCH($F716,Items!$A$5:$A$597,0)),""))</f>
        <v>500</v>
      </c>
      <c r="J716" s="115">
        <f>IF(tblIssues[[#This Row],[Qty Override]]&lt;&gt;"",tblIssues[[#This Row],[Qty Override]],IF(tblIssues[[#This Row],[Standard Issue]]="","",tblIssues[[#This Row],[Standard Issue]]))</f>
        <v>500</v>
      </c>
      <c r="K716" s="20">
        <f>IF($F716="","",IFERROR(INDEX(Items!$D$5:$D$597,MATCH($F716,Items!$A$5:$A$597,0)),""))</f>
        <v>5.5E-2</v>
      </c>
      <c r="L716" s="21">
        <f t="shared" si="127"/>
        <v>27.5</v>
      </c>
      <c r="M716" s="9" t="str">
        <f t="shared" si="128"/>
        <v>O16689</v>
      </c>
      <c r="N716" s="24">
        <f>IF($A716="","",WORKDAY($A716,Settings!$C$9,HolidayDates))</f>
        <v>46167</v>
      </c>
      <c r="O716" s="24">
        <f>IF($N716="","",WORKDAY($N716,Settings!$C$10,HolidayDates))</f>
        <v>46205</v>
      </c>
      <c r="P716" s="10" t="s">
        <v>501</v>
      </c>
      <c r="Q716" s="52" t="str">
        <f t="shared" si="119"/>
        <v>Collected</v>
      </c>
      <c r="R716" s="55" t="str">
        <f t="shared" si="120"/>
        <v>2026-05</v>
      </c>
      <c r="S716" s="55">
        <f>IF(OR($B716="",$F716="",$R716=""),"",SUMIFS(tblIssues[Qty Issued],tblIssues[Staff ID],$B716,tblIssues[Item Name],$F716,tblIssues[Month],$R716))</f>
        <v>500</v>
      </c>
      <c r="T716" s="56">
        <f>IF($I716="","",$I716*Settings!$C$11)</f>
        <v>500</v>
      </c>
      <c r="U716" s="57" t="str">
        <f t="shared" si="129"/>
        <v>OK</v>
      </c>
      <c r="V716" s="55" t="str">
        <f t="shared" si="121"/>
        <v/>
      </c>
      <c r="W716" s="55" t="str">
        <f>IF($V716="","",IF(COUNTIF($V$5:$V716,$V716)=1,1,""))</f>
        <v/>
      </c>
      <c r="X716" s="58" t="str">
        <f>IF($W716="","",MAX($X$4:X715)+1)</f>
        <v/>
      </c>
      <c r="Y716" s="62"/>
      <c r="Z716" s="62"/>
      <c r="AA716" s="64" t="str">
        <f>IF($C716="","",IFERROR(INDEX('Staff Directory'!$E$5:$E$594,MATCH($C716,'Staff Directory'!$B$5:$B$594,0)),""))</f>
        <v>firstname095.lastname095@example.com</v>
      </c>
      <c r="AB716" s="64" t="str">
        <f>IF($C716="","",IF(ISNUMBER(SEARCH($D716,Settings!$C$15)),"Pickup","Dispatch"))</f>
        <v>Pickup</v>
      </c>
      <c r="AC716" s="64" t="str">
        <f t="shared" si="122"/>
        <v>Supply order ready for pickup</v>
      </c>
      <c r="AD716" s="64" t="str">
        <f t="shared" si="124"/>
        <v>Dear PSW,
Your order is ready for pickup from Sample Branch, Wed-Fri 9am-4pm.</v>
      </c>
      <c r="AE716" s="64" t="str">
        <f t="shared" si="125"/>
        <v>mailto:firstname095.lastname095@example.com?subject=Supply%20order%20ready%20for%20pickup&amp;body=Dear%20PSW%2C%0A%0AYour%20order%20is%20ready%20for%20pickup%20from%20Sample%20Branch%2C%20Wed-Fri%209am-4pm.</v>
      </c>
      <c r="AF716" s="89" t="str">
        <f t="shared" si="123"/>
        <v>Draft email</v>
      </c>
      <c r="AG716" s="64" t="str">
        <f>IF($C716="","",IFERROR(INDEX('Staff Directory'!$K$595:$K$599,MATCH($C716,'Staff Directory'!$B$5:$B$599,0)),$D716))</f>
        <v>PSW</v>
      </c>
      <c r="AH716" t="str">
        <f>IF($C716="","",IFERROR(INDEX('Staff Directory'!$I$595:$I$599,MATCH($C716,'Staff Directory'!$B$5:$B$599,0))&amp;" "&amp;INDEX('Staff Directory'!$J$595:$J$599,MATCH($C716,'Staff Directory'!$B$5:$B$599,0)),$AG716))</f>
        <v>PSW</v>
      </c>
      <c r="AI716" s="102"/>
      <c r="AJ716" s="101">
        <f>IF($F716="","",SUMIFS($J$5:$J716,$F$5:$F716,$F716))</f>
        <v>42000</v>
      </c>
      <c r="AK716" s="101">
        <f t="shared" si="126"/>
        <v>41501</v>
      </c>
      <c r="AL716" s="66" t="str" cm="1">
        <f t="array" ref="AL716">IF($F716="","",IFERROR(INDEX('Lot Balance'!$B$5:$B$500,MATCH(1,INDEX(('Lot Balance'!$A$5:$A$500=$F716)*('Lot Balance'!$K$5:$K$500&lt;$AK716)*('Lot Balance'!$K$5:$K$500+'Lot Balance'!$D$5:$D$500&gt;=$AK716),0),0)),""))</f>
        <v>O16689</v>
      </c>
      <c r="AM716" s="66" t="str" cm="1">
        <f t="array" ref="AM716">IF($F716="","",IFERROR(INDEX('Lot Balance'!$B$5:$B$500,MATCH(1,INDEX(('Lot Balance'!$A$5:$A$500=$F716)*('Lot Balance'!$K$5:$K$500&lt;$AJ716)*('Lot Balance'!$K$5:$K$500+'Lot Balance'!$D$5:$D$500&gt;=$AJ716),0),0)),""))</f>
        <v>O16689</v>
      </c>
      <c r="AN716" s="66" t="str">
        <f>IF($F716="","",IF($AI716&lt;&gt;"",IF(COUNTIFS('Lot Balance'!$A$5:$A$500,$F716,'Lot Balance'!$B$5:$B$500,$AI716)=0,"⚠ override is not a lot of this item",IF($AI716=$AL716,"Override = FEFO","Override - FEFO says "&amp;$AL716)),IF($AL716="","⚠ no receipt on file for this item",IF($AM716&lt;&gt;$AL716,"FEFO auto - split, also "&amp;$AM716,"FEFO auto"))))</f>
        <v>FEFO auto</v>
      </c>
      <c r="AO716" s="114"/>
    </row>
    <row r="717" spans="1:41" x14ac:dyDescent="0.35">
      <c r="A717" s="74">
        <v>46157</v>
      </c>
      <c r="B717" s="18" t="str">
        <f>IF($C717="","",IFERROR(INDEX('Staff Directory'!$A$5:$A$594,MATCH($C717,'Staff Directory'!$B$5:$B$594,0)),"⚠ unknown staff"))</f>
        <v>PSW-036-A7</v>
      </c>
      <c r="C717" s="49" t="s">
        <v>1011</v>
      </c>
      <c r="D717" s="19" t="str">
        <f>IF($B717="","",IFERROR(INDEX('Staff Directory'!$C$5:$C$594,MATCH($B717,'Staff Directory'!$A$5:$A$594,0)),""))</f>
        <v>PSW</v>
      </c>
      <c r="E717" s="19" t="str">
        <f>IF($B717="","",IFERROR(INDEX('Staff Directory'!$D$5:$D$594,MATCH($B717,'Staff Directory'!$A$5:$A$594,0)),""))</f>
        <v>A7</v>
      </c>
      <c r="F717" s="9" t="s">
        <v>191</v>
      </c>
      <c r="G717" s="18" t="str">
        <f>IF($F717="","",IFERROR(INDEX(Items!$B$5:$B$597,MATCH($F717,Items!$A$5:$A$597,0)),"⚠ not in Items"))</f>
        <v>Sanitizer</v>
      </c>
      <c r="H717" s="19" t="str">
        <f>IF($F717="","",IFERROR(INDEX(Items!$C$5:$C$597,MATCH($F717,Items!$A$5:$A$597,0)),""))</f>
        <v>236 ML</v>
      </c>
      <c r="I717" s="23">
        <f>IF($F717="","",IFERROR(INDEX(Items!$E$5:$E$597,MATCH($F717,Items!$A$5:$A$597,0)),""))</f>
        <v>1</v>
      </c>
      <c r="J717" s="115">
        <f>IF(tblIssues[[#This Row],[Qty Override]]&lt;&gt;"",tblIssues[[#This Row],[Qty Override]],IF(tblIssues[[#This Row],[Standard Issue]]="","",tblIssues[[#This Row],[Standard Issue]]))</f>
        <v>1</v>
      </c>
      <c r="K717" s="20">
        <f>IF($F717="","",IFERROR(INDEX(Items!$D$5:$D$597,MATCH($F717,Items!$A$5:$A$597,0)),""))</f>
        <v>1E-4</v>
      </c>
      <c r="L717" s="21">
        <f t="shared" si="127"/>
        <v>1E-4</v>
      </c>
      <c r="M717" s="9" t="str">
        <f t="shared" si="128"/>
        <v>20-21734-3</v>
      </c>
      <c r="N717" s="24">
        <f>IF($A717="","",WORKDAY($A717,Settings!$C$9,HolidayDates))</f>
        <v>46167</v>
      </c>
      <c r="O717" s="24">
        <f>IF($N717="","",WORKDAY($N717,Settings!$C$10,HolidayDates))</f>
        <v>46205</v>
      </c>
      <c r="P717" s="10" t="s">
        <v>501</v>
      </c>
      <c r="Q717" s="52" t="str">
        <f t="shared" si="119"/>
        <v>Collected</v>
      </c>
      <c r="R717" s="55" t="str">
        <f t="shared" si="120"/>
        <v>2026-05</v>
      </c>
      <c r="S717" s="55">
        <f>IF(OR($B717="",$F717="",$R717=""),"",SUMIFS(tblIssues[Qty Issued],tblIssues[Staff ID],$B717,tblIssues[Item Name],$F717,tblIssues[Month],$R717))</f>
        <v>1</v>
      </c>
      <c r="T717" s="56">
        <f>IF($I717="","",$I717*Settings!$C$11)</f>
        <v>1</v>
      </c>
      <c r="U717" s="57" t="str">
        <f t="shared" si="129"/>
        <v>OK</v>
      </c>
      <c r="V717" s="55" t="str">
        <f t="shared" si="121"/>
        <v/>
      </c>
      <c r="W717" s="55" t="str">
        <f>IF($V717="","",IF(COUNTIF($V$5:$V717,$V717)=1,1,""))</f>
        <v/>
      </c>
      <c r="X717" s="58" t="str">
        <f>IF($W717="","",MAX($X$4:X716)+1)</f>
        <v/>
      </c>
      <c r="Y717" s="62"/>
      <c r="Z717" s="62"/>
      <c r="AA717" s="64" t="str">
        <f>IF($C717="","",IFERROR(INDEX('Staff Directory'!$E$5:$E$594,MATCH($C717,'Staff Directory'!$B$5:$B$594,0)),""))</f>
        <v>firstname095.lastname095@example.com</v>
      </c>
      <c r="AB717" s="64" t="str">
        <f>IF($C717="","",IF(ISNUMBER(SEARCH($D717,Settings!$C$15)),"Pickup","Dispatch"))</f>
        <v>Pickup</v>
      </c>
      <c r="AC717" s="64" t="str">
        <f t="shared" si="122"/>
        <v>Supply order ready for pickup</v>
      </c>
      <c r="AD717" s="64" t="str">
        <f t="shared" si="124"/>
        <v>Dear PSW,
Your order is ready for pickup from Sample Branch, Wed-Fri 9am-4pm.</v>
      </c>
      <c r="AE717" s="64" t="str">
        <f t="shared" si="125"/>
        <v>mailto:firstname095.lastname095@example.com?subject=Supply%20order%20ready%20for%20pickup&amp;body=Dear%20PSW%2C%0A%0AYour%20order%20is%20ready%20for%20pickup%20from%20Sample%20Branch%2C%20Wed-Fri%209am-4pm.</v>
      </c>
      <c r="AF717" s="89" t="str">
        <f t="shared" si="123"/>
        <v>Draft email</v>
      </c>
      <c r="AG717" s="64" t="str">
        <f>IF($C717="","",IFERROR(INDEX('Staff Directory'!$K$595:$K$599,MATCH($C717,'Staff Directory'!$B$5:$B$599,0)),$D717))</f>
        <v>PSW</v>
      </c>
      <c r="AH717" t="str">
        <f>IF($C717="","",IFERROR(INDEX('Staff Directory'!$I$595:$I$599,MATCH($C717,'Staff Directory'!$B$5:$B$599,0))&amp;" "&amp;INDEX('Staff Directory'!$J$595:$J$599,MATCH($C717,'Staff Directory'!$B$5:$B$599,0)),$AG717))</f>
        <v>PSW</v>
      </c>
      <c r="AI717" s="102"/>
      <c r="AJ717" s="101">
        <f>IF($F717="","",SUMIFS($J$5:$J717,$F$5:$F717,$F717))</f>
        <v>83</v>
      </c>
      <c r="AK717" s="101">
        <f t="shared" si="126"/>
        <v>83</v>
      </c>
      <c r="AL717" s="66" t="str" cm="1">
        <f t="array" ref="AL717">IF($F717="","",IFERROR(INDEX('Lot Balance'!$B$5:$B$500,MATCH(1,INDEX(('Lot Balance'!$A$5:$A$500=$F717)*('Lot Balance'!$K$5:$K$500&lt;$AK717)*('Lot Balance'!$K$5:$K$500+'Lot Balance'!$D$5:$D$500&gt;=$AK717),0),0)),""))</f>
        <v>20-21734-3</v>
      </c>
      <c r="AM717" s="66" t="str" cm="1">
        <f t="array" ref="AM717">IF($F717="","",IFERROR(INDEX('Lot Balance'!$B$5:$B$500,MATCH(1,INDEX(('Lot Balance'!$A$5:$A$500=$F717)*('Lot Balance'!$K$5:$K$500&lt;$AJ717)*('Lot Balance'!$K$5:$K$500+'Lot Balance'!$D$5:$D$500&gt;=$AJ717),0),0)),""))</f>
        <v>20-21734-3</v>
      </c>
      <c r="AN717" s="66" t="str">
        <f>IF($F717="","",IF($AI717&lt;&gt;"",IF(COUNTIFS('Lot Balance'!$A$5:$A$500,$F717,'Lot Balance'!$B$5:$B$500,$AI717)=0,"⚠ override is not a lot of this item",IF($AI717=$AL717,"Override = FEFO","Override - FEFO says "&amp;$AL717)),IF($AL717="","⚠ no receipt on file for this item",IF($AM717&lt;&gt;$AL717,"FEFO auto - split, also "&amp;$AM717,"FEFO auto"))))</f>
        <v>FEFO auto</v>
      </c>
      <c r="AO717" s="114"/>
    </row>
    <row r="718" spans="1:41" x14ac:dyDescent="0.35">
      <c r="A718" s="74">
        <v>46157</v>
      </c>
      <c r="B718" s="18" t="str">
        <f>IF($C718="","",IFERROR(INDEX('Staff Directory'!$A$5:$A$594,MATCH($C718,'Staff Directory'!$B$5:$B$594,0)),"⚠ unknown staff"))</f>
        <v>PSW-036-A7</v>
      </c>
      <c r="C718" s="49" t="s">
        <v>1011</v>
      </c>
      <c r="D718" s="19" t="str">
        <f>IF($B718="","",IFERROR(INDEX('Staff Directory'!$C$5:$C$594,MATCH($B718,'Staff Directory'!$A$5:$A$594,0)),""))</f>
        <v>PSW</v>
      </c>
      <c r="E718" s="19" t="str">
        <f>IF($B718="","",IFERROR(INDEX('Staff Directory'!$D$5:$D$594,MATCH($B718,'Staff Directory'!$A$5:$A$594,0)),""))</f>
        <v>A7</v>
      </c>
      <c r="F718" s="9" t="s">
        <v>115</v>
      </c>
      <c r="G718" s="18" t="str">
        <f>IF($F718="","",IFERROR(INDEX(Items!$B$5:$B$597,MATCH($F718,Items!$A$5:$A$597,0)),"⚠ not in Items"))</f>
        <v>Wipes</v>
      </c>
      <c r="H718" s="19">
        <f>IF($F718="","",IFERROR(INDEX(Items!$C$5:$C$597,MATCH($F718,Items!$A$5:$A$597,0)),""))</f>
        <v>80</v>
      </c>
      <c r="I718" s="23">
        <f>IF($F718="","",IFERROR(INDEX(Items!$E$5:$E$597,MATCH($F718,Items!$A$5:$A$597,0)),""))</f>
        <v>80</v>
      </c>
      <c r="J718" s="115">
        <f>IF(tblIssues[[#This Row],[Qty Override]]&lt;&gt;"",tblIssues[[#This Row],[Qty Override]],IF(tblIssues[[#This Row],[Standard Issue]]="","",tblIssues[[#This Row],[Standard Issue]]))</f>
        <v>80</v>
      </c>
      <c r="K718" s="20">
        <f>IF($F718="","",IFERROR(INDEX(Items!$D$5:$D$597,MATCH($F718,Items!$A$5:$A$597,0)),""))</f>
        <v>0.1</v>
      </c>
      <c r="L718" s="21">
        <f t="shared" si="127"/>
        <v>8</v>
      </c>
      <c r="M718" s="9" t="str">
        <f t="shared" si="128"/>
        <v>LYSL500290</v>
      </c>
      <c r="N718" s="24">
        <f>IF($A718="","",WORKDAY($A718,Settings!$C$9,HolidayDates))</f>
        <v>46167</v>
      </c>
      <c r="O718" s="24">
        <f>IF($N718="","",WORKDAY($N718,Settings!$C$10,HolidayDates))</f>
        <v>46205</v>
      </c>
      <c r="P718" s="10" t="s">
        <v>501</v>
      </c>
      <c r="Q718" s="52" t="str">
        <f t="shared" ref="Q718:Q781" si="130">IF($A718="","",IF($P718&lt;&gt;"","Collected","Pending"))</f>
        <v>Collected</v>
      </c>
      <c r="R718" s="55" t="str">
        <f t="shared" ref="R718:R781" si="131">IF($A718="","",TEXT($A718,"yyyy-mm"))</f>
        <v>2026-05</v>
      </c>
      <c r="S718" s="55">
        <f>IF(OR($B718="",$F718="",$R718=""),"",SUMIFS(tblIssues[Qty Issued],tblIssues[Staff ID],$B718,tblIssues[Item Name],$F718,tblIssues[Month],$R718))</f>
        <v>80</v>
      </c>
      <c r="T718" s="56">
        <f>IF($I718="","",$I718*Settings!$C$11)</f>
        <v>80</v>
      </c>
      <c r="U718" s="57" t="str">
        <f t="shared" si="129"/>
        <v>OK</v>
      </c>
      <c r="V718" s="55" t="str">
        <f t="shared" ref="V718:V781" si="132">IF($U718="⚠ OVER QUOTA",$B718&amp;" | "&amp;$F718&amp;" | "&amp;$R718,"")</f>
        <v/>
      </c>
      <c r="W718" s="55" t="str">
        <f>IF($V718="","",IF(COUNTIF($V$5:$V718,$V718)=1,1,""))</f>
        <v/>
      </c>
      <c r="X718" s="58" t="str">
        <f>IF($W718="","",MAX($X$4:X717)+1)</f>
        <v/>
      </c>
      <c r="Y718" s="62"/>
      <c r="Z718" s="62"/>
      <c r="AA718" s="64" t="str">
        <f>IF($C718="","",IFERROR(INDEX('Staff Directory'!$E$5:$E$594,MATCH($C718,'Staff Directory'!$B$5:$B$594,0)),""))</f>
        <v>firstname095.lastname095@example.com</v>
      </c>
      <c r="AB718" s="64" t="str">
        <f>IF($C718="","",IF(ISNUMBER(SEARCH($D718,Settings!$C$15)),"Pickup","Dispatch"))</f>
        <v>Pickup</v>
      </c>
      <c r="AC718" s="64" t="str">
        <f t="shared" ref="AC718:AC781" si="133">IF($AB718="Pickup","Supply order ready for pickup",IF($AB718="Dispatch","Supply order dispatched",""))</f>
        <v>Supply order ready for pickup</v>
      </c>
      <c r="AD718" s="64" t="str">
        <f t="shared" si="124"/>
        <v>Dear PSW,
Your order is ready for pickup from Sample Branch, Wed-Fri 9am-4pm.</v>
      </c>
      <c r="AE718" s="64" t="str">
        <f t="shared" si="125"/>
        <v>mailto:firstname095.lastname095@example.com?subject=Supply%20order%20ready%20for%20pickup&amp;body=Dear%20PSW%2C%0A%0AYour%20order%20is%20ready%20for%20pickup%20from%20Sample%20Branch%2C%20Wed-Fri%209am-4pm.</v>
      </c>
      <c r="AF718" s="89" t="str">
        <f t="shared" ref="AF718:AF781" si="134">IF(AE718="","",HYPERLINK(AE718,"Draft email"))</f>
        <v>Draft email</v>
      </c>
      <c r="AG718" s="64" t="str">
        <f>IF($C718="","",IFERROR(INDEX('Staff Directory'!$K$595:$K$599,MATCH($C718,'Staff Directory'!$B$5:$B$599,0)),$D718))</f>
        <v>PSW</v>
      </c>
      <c r="AH718" t="str">
        <f>IF($C718="","",IFERROR(INDEX('Staff Directory'!$I$595:$I$599,MATCH($C718,'Staff Directory'!$B$5:$B$599,0))&amp;" "&amp;INDEX('Staff Directory'!$J$595:$J$599,MATCH($C718,'Staff Directory'!$B$5:$B$599,0)),$AG718))</f>
        <v>PSW</v>
      </c>
      <c r="AI718" s="102"/>
      <c r="AJ718" s="101">
        <f>IF($F718="","",SUMIFS($J$5:$J718,$F$5:$F718,$F718))</f>
        <v>10160</v>
      </c>
      <c r="AK718" s="101">
        <f t="shared" si="126"/>
        <v>10081</v>
      </c>
      <c r="AL718" s="66" t="str" cm="1">
        <f t="array" ref="AL718">IF($F718="","",IFERROR(INDEX('Lot Balance'!$B$5:$B$500,MATCH(1,INDEX(('Lot Balance'!$A$5:$A$500=$F718)*('Lot Balance'!$K$5:$K$500&lt;$AK718)*('Lot Balance'!$K$5:$K$500+'Lot Balance'!$D$5:$D$500&gt;=$AK718),0),0)),""))</f>
        <v>LYSL500290</v>
      </c>
      <c r="AM718" s="66" t="str" cm="1">
        <f t="array" ref="AM718">IF($F718="","",IFERROR(INDEX('Lot Balance'!$B$5:$B$500,MATCH(1,INDEX(('Lot Balance'!$A$5:$A$500=$F718)*('Lot Balance'!$K$5:$K$500&lt;$AJ718)*('Lot Balance'!$K$5:$K$500+'Lot Balance'!$D$5:$D$500&gt;=$AJ718),0),0)),""))</f>
        <v>LYSL500290</v>
      </c>
      <c r="AN718" s="66" t="str">
        <f>IF($F718="","",IF($AI718&lt;&gt;"",IF(COUNTIFS('Lot Balance'!$A$5:$A$500,$F718,'Lot Balance'!$B$5:$B$500,$AI718)=0,"⚠ override is not a lot of this item",IF($AI718=$AL718,"Override = FEFO","Override - FEFO says "&amp;$AL718)),IF($AL718="","⚠ no receipt on file for this item",IF($AM718&lt;&gt;$AL718,"FEFO auto - split, also "&amp;$AM718,"FEFO auto"))))</f>
        <v>FEFO auto</v>
      </c>
      <c r="AO718" s="114"/>
    </row>
    <row r="719" spans="1:41" x14ac:dyDescent="0.35">
      <c r="A719" s="74">
        <v>46157</v>
      </c>
      <c r="B719" s="18" t="str">
        <f>IF($C719="","",IFERROR(INDEX('Staff Directory'!$A$5:$A$594,MATCH($C719,'Staff Directory'!$B$5:$B$594,0)),"⚠ unknown staff"))</f>
        <v>PSW-036-A7</v>
      </c>
      <c r="C719" s="49" t="s">
        <v>1011</v>
      </c>
      <c r="D719" s="19" t="str">
        <f>IF($B719="","",IFERROR(INDEX('Staff Directory'!$C$5:$C$594,MATCH($B719,'Staff Directory'!$A$5:$A$594,0)),""))</f>
        <v>PSW</v>
      </c>
      <c r="E719" s="19" t="str">
        <f>IF($B719="","",IFERROR(INDEX('Staff Directory'!$D$5:$D$594,MATCH($B719,'Staff Directory'!$A$5:$A$594,0)),""))</f>
        <v>A7</v>
      </c>
      <c r="F719" s="9" t="s">
        <v>156</v>
      </c>
      <c r="G719" s="18" t="str">
        <f>IF($F719="","",IFERROR(INDEX(Items!$B$5:$B$597,MATCH($F719,Items!$A$5:$A$597,0)),"⚠ not in Items"))</f>
        <v>Masks</v>
      </c>
      <c r="H719" s="19" t="str">
        <f>IF($F719="","",IFERROR(INDEX(Items!$C$5:$C$597,MATCH($F719,Items!$A$5:$A$597,0)),""))</f>
        <v>One Size</v>
      </c>
      <c r="I719" s="23">
        <f>IF($F719="","",IFERROR(INDEX(Items!$E$5:$E$597,MATCH($F719,Items!$A$5:$A$597,0)),""))</f>
        <v>50</v>
      </c>
      <c r="J719" s="115">
        <f>IF(tblIssues[[#This Row],[Qty Override]]&lt;&gt;"",tblIssues[[#This Row],[Qty Override]],IF(tblIssues[[#This Row],[Standard Issue]]="","",tblIssues[[#This Row],[Standard Issue]]))</f>
        <v>50</v>
      </c>
      <c r="K719" s="20">
        <f>IF($F719="","",IFERROR(INDEX(Items!$D$5:$D$597,MATCH($F719,Items!$A$5:$A$597,0)),""))</f>
        <v>0.25</v>
      </c>
      <c r="L719" s="21">
        <f t="shared" si="127"/>
        <v>12.5</v>
      </c>
      <c r="M719" s="9" t="str">
        <f t="shared" si="128"/>
        <v>0125FPC24-0</v>
      </c>
      <c r="N719" s="24">
        <f>IF($A719="","",WORKDAY($A719,Settings!$C$9,HolidayDates))</f>
        <v>46167</v>
      </c>
      <c r="O719" s="24">
        <f>IF($N719="","",WORKDAY($N719,Settings!$C$10,HolidayDates))</f>
        <v>46205</v>
      </c>
      <c r="P719" s="10" t="s">
        <v>501</v>
      </c>
      <c r="Q719" s="52" t="str">
        <f t="shared" si="130"/>
        <v>Collected</v>
      </c>
      <c r="R719" s="55" t="str">
        <f t="shared" si="131"/>
        <v>2026-05</v>
      </c>
      <c r="S719" s="55">
        <f>IF(OR($B719="",$F719="",$R719=""),"",SUMIFS(tblIssues[Qty Issued],tblIssues[Staff ID],$B719,tblIssues[Item Name],$F719,tblIssues[Month],$R719))</f>
        <v>50</v>
      </c>
      <c r="T719" s="56">
        <f>IF($I719="","",$I719*Settings!$C$11)</f>
        <v>50</v>
      </c>
      <c r="U719" s="57" t="str">
        <f t="shared" si="129"/>
        <v>OK</v>
      </c>
      <c r="V719" s="55" t="str">
        <f t="shared" si="132"/>
        <v/>
      </c>
      <c r="W719" s="55" t="str">
        <f>IF($V719="","",IF(COUNTIF($V$5:$V719,$V719)=1,1,""))</f>
        <v/>
      </c>
      <c r="X719" s="58" t="str">
        <f>IF($W719="","",MAX($X$4:X718)+1)</f>
        <v/>
      </c>
      <c r="Y719" s="62"/>
      <c r="Z719" s="62"/>
      <c r="AA719" s="64" t="str">
        <f>IF($C719="","",IFERROR(INDEX('Staff Directory'!$E$5:$E$594,MATCH($C719,'Staff Directory'!$B$5:$B$594,0)),""))</f>
        <v>firstname095.lastname095@example.com</v>
      </c>
      <c r="AB719" s="64" t="str">
        <f>IF($C719="","",IF(ISNUMBER(SEARCH($D719,Settings!$C$15)),"Pickup","Dispatch"))</f>
        <v>Pickup</v>
      </c>
      <c r="AC719" s="64" t="str">
        <f t="shared" si="133"/>
        <v>Supply order ready for pickup</v>
      </c>
      <c r="AD719" s="64" t="str">
        <f t="shared" si="124"/>
        <v>Dear PSW,
Your order is ready for pickup from Sample Branch, Wed-Fri 9am-4pm.</v>
      </c>
      <c r="AE719" s="64" t="str">
        <f t="shared" si="125"/>
        <v>mailto:firstname095.lastname095@example.com?subject=Supply%20order%20ready%20for%20pickup&amp;body=Dear%20PSW%2C%0A%0AYour%20order%20is%20ready%20for%20pickup%20from%20Sample%20Branch%2C%20Wed-Fri%209am-4pm.</v>
      </c>
      <c r="AF719" s="89" t="str">
        <f t="shared" si="134"/>
        <v>Draft email</v>
      </c>
      <c r="AG719" s="64" t="str">
        <f>IF($C719="","",IFERROR(INDEX('Staff Directory'!$K$595:$K$599,MATCH($C719,'Staff Directory'!$B$5:$B$599,0)),$D719))</f>
        <v>PSW</v>
      </c>
      <c r="AH719" t="str">
        <f>IF($C719="","",IFERROR(INDEX('Staff Directory'!$I$595:$I$599,MATCH($C719,'Staff Directory'!$B$5:$B$599,0))&amp;" "&amp;INDEX('Staff Directory'!$J$595:$J$599,MATCH($C719,'Staff Directory'!$B$5:$B$599,0)),$AG719))</f>
        <v>PSW</v>
      </c>
      <c r="AI719" s="102"/>
      <c r="AJ719" s="101">
        <f>IF($F719="","",SUMIFS($J$5:$J719,$F$5:$F719,$F719))</f>
        <v>5800</v>
      </c>
      <c r="AK719" s="101">
        <f t="shared" si="126"/>
        <v>5751</v>
      </c>
      <c r="AL719" s="66" t="str" cm="1">
        <f t="array" ref="AL719">IF($F719="","",IFERROR(INDEX('Lot Balance'!$B$5:$B$500,MATCH(1,INDEX(('Lot Balance'!$A$5:$A$500=$F719)*('Lot Balance'!$K$5:$K$500&lt;$AK719)*('Lot Balance'!$K$5:$K$500+'Lot Balance'!$D$5:$D$500&gt;=$AK719),0),0)),""))</f>
        <v>0125FPC24-0</v>
      </c>
      <c r="AM719" s="66" t="str" cm="1">
        <f t="array" ref="AM719">IF($F719="","",IFERROR(INDEX('Lot Balance'!$B$5:$B$500,MATCH(1,INDEX(('Lot Balance'!$A$5:$A$500=$F719)*('Lot Balance'!$K$5:$K$500&lt;$AJ719)*('Lot Balance'!$K$5:$K$500+'Lot Balance'!$D$5:$D$500&gt;=$AJ719),0),0)),""))</f>
        <v>0125FPC24-0</v>
      </c>
      <c r="AN719" s="66" t="str">
        <f>IF($F719="","",IF($AI719&lt;&gt;"",IF(COUNTIFS('Lot Balance'!$A$5:$A$500,$F719,'Lot Balance'!$B$5:$B$500,$AI719)=0,"⚠ override is not a lot of this item",IF($AI719=$AL719,"Override = FEFO","Override - FEFO says "&amp;$AL719)),IF($AL719="","⚠ no receipt on file for this item",IF($AM719&lt;&gt;$AL719,"FEFO auto - split, also "&amp;$AM719,"FEFO auto"))))</f>
        <v>FEFO auto</v>
      </c>
      <c r="AO719" s="114"/>
    </row>
    <row r="720" spans="1:41" x14ac:dyDescent="0.35">
      <c r="A720" s="74">
        <v>46157</v>
      </c>
      <c r="B720" s="18" t="str">
        <f>IF($C720="","",IFERROR(INDEX('Staff Directory'!$A$5:$A$594,MATCH($C720,'Staff Directory'!$B$5:$B$594,0)),"⚠ unknown staff"))</f>
        <v>PSW-131-A5</v>
      </c>
      <c r="C720" s="49" t="s">
        <v>1110</v>
      </c>
      <c r="D720" s="19" t="str">
        <f>IF($B720="","",IFERROR(INDEX('Staff Directory'!$C$5:$C$594,MATCH($B720,'Staff Directory'!$A$5:$A$594,0)),""))</f>
        <v>PSW</v>
      </c>
      <c r="E720" s="19" t="str">
        <f>IF($B720="","",IFERROR(INDEX('Staff Directory'!$D$5:$D$594,MATCH($B720,'Staff Directory'!$A$5:$A$594,0)),""))</f>
        <v>A5</v>
      </c>
      <c r="F720" s="9" t="s">
        <v>129</v>
      </c>
      <c r="G720" s="18" t="str">
        <f>IF($F720="","",IFERROR(INDEX(Items!$B$5:$B$597,MATCH($F720,Items!$A$5:$A$597,0)),"⚠ not in Items"))</f>
        <v>Gloves</v>
      </c>
      <c r="H720" s="19" t="str">
        <f>IF($F720="","",IFERROR(INDEX(Items!$C$5:$C$597,MATCH($F720,Items!$A$5:$A$597,0)),""))</f>
        <v>Small</v>
      </c>
      <c r="I720" s="23">
        <f>IF($F720="","",IFERROR(INDEX(Items!$E$5:$E$597,MATCH($F720,Items!$A$5:$A$597,0)),""))</f>
        <v>500</v>
      </c>
      <c r="J720" s="115">
        <f>IF(tblIssues[[#This Row],[Qty Override]]&lt;&gt;"",tblIssues[[#This Row],[Qty Override]],IF(tblIssues[[#This Row],[Standard Issue]]="","",tblIssues[[#This Row],[Standard Issue]]))</f>
        <v>500</v>
      </c>
      <c r="K720" s="20">
        <f>IF($F720="","",IFERROR(INDEX(Items!$D$5:$D$597,MATCH($F720,Items!$A$5:$A$597,0)),""))</f>
        <v>5.5E-2</v>
      </c>
      <c r="L720" s="21">
        <f t="shared" si="127"/>
        <v>27.5</v>
      </c>
      <c r="M720" s="9" t="str">
        <f t="shared" si="128"/>
        <v>O211LIC25-0</v>
      </c>
      <c r="N720" s="24">
        <f>IF($A720="","",WORKDAY($A720,Settings!$C$9,HolidayDates))</f>
        <v>46167</v>
      </c>
      <c r="O720" s="24">
        <f>IF($N720="","",WORKDAY($N720,Settings!$C$10,HolidayDates))</f>
        <v>46205</v>
      </c>
      <c r="P720" s="10" t="s">
        <v>501</v>
      </c>
      <c r="Q720" s="52" t="str">
        <f t="shared" si="130"/>
        <v>Collected</v>
      </c>
      <c r="R720" s="55" t="str">
        <f t="shared" si="131"/>
        <v>2026-05</v>
      </c>
      <c r="S720" s="55">
        <f>IF(OR($B720="",$F720="",$R720=""),"",SUMIFS(tblIssues[Qty Issued],tblIssues[Staff ID],$B720,tblIssues[Item Name],$F720,tblIssues[Month],$R720))</f>
        <v>500</v>
      </c>
      <c r="T720" s="56">
        <f>IF($I720="","",$I720*Settings!$C$11)</f>
        <v>500</v>
      </c>
      <c r="U720" s="57" t="str">
        <f t="shared" si="129"/>
        <v>OK</v>
      </c>
      <c r="V720" s="55" t="str">
        <f t="shared" si="132"/>
        <v/>
      </c>
      <c r="W720" s="55" t="str">
        <f>IF($V720="","",IF(COUNTIF($V$5:$V720,$V720)=1,1,""))</f>
        <v/>
      </c>
      <c r="X720" s="58" t="str">
        <f>IF($W720="","",MAX($X$4:X719)+1)</f>
        <v/>
      </c>
      <c r="Y720" s="62"/>
      <c r="Z720" s="62"/>
      <c r="AA720" s="64" t="str">
        <f>IF($C720="","",IFERROR(INDEX('Staff Directory'!$E$5:$E$594,MATCH($C720,'Staff Directory'!$B$5:$B$594,0)),""))</f>
        <v>firstname194.lastname194@example.com</v>
      </c>
      <c r="AB720" s="64" t="str">
        <f>IF($C720="","",IF(ISNUMBER(SEARCH($D720,Settings!$C$15)),"Pickup","Dispatch"))</f>
        <v>Pickup</v>
      </c>
      <c r="AC720" s="64" t="str">
        <f t="shared" si="133"/>
        <v>Supply order ready for pickup</v>
      </c>
      <c r="AD720" s="64" t="str">
        <f t="shared" si="124"/>
        <v>Dear PSW,
Your order is ready for pickup from Sample Branch, Wed-Fri 9am-4pm.</v>
      </c>
      <c r="AE720" s="64" t="str">
        <f t="shared" si="125"/>
        <v>mailto:firstname194.lastname194@example.com?subject=Supply%20order%20ready%20for%20pickup&amp;body=Dear%20PSW%2C%0A%0AYour%20order%20is%20ready%20for%20pickup%20from%20Sample%20Branch%2C%20Wed-Fri%209am-4pm.</v>
      </c>
      <c r="AF720" s="89" t="str">
        <f t="shared" si="134"/>
        <v>Draft email</v>
      </c>
      <c r="AG720" s="64" t="str">
        <f>IF($C720="","",IFERROR(INDEX('Staff Directory'!$K$595:$K$599,MATCH($C720,'Staff Directory'!$B$5:$B$599,0)),$D720))</f>
        <v>PSW</v>
      </c>
      <c r="AH720" t="str">
        <f>IF($C720="","",IFERROR(INDEX('Staff Directory'!$I$595:$I$599,MATCH($C720,'Staff Directory'!$B$5:$B$599,0))&amp;" "&amp;INDEX('Staff Directory'!$J$595:$J$599,MATCH($C720,'Staff Directory'!$B$5:$B$599,0)),$AG720))</f>
        <v>PSW</v>
      </c>
      <c r="AI720" s="102"/>
      <c r="AJ720" s="101">
        <f>IF($F720="","",SUMIFS($J$5:$J720,$F$5:$F720,$F720))</f>
        <v>26000</v>
      </c>
      <c r="AK720" s="101">
        <f t="shared" si="126"/>
        <v>25501</v>
      </c>
      <c r="AL720" s="66" t="str" cm="1">
        <f t="array" ref="AL720">IF($F720="","",IFERROR(INDEX('Lot Balance'!$B$5:$B$500,MATCH(1,INDEX(('Lot Balance'!$A$5:$A$500=$F720)*('Lot Balance'!$K$5:$K$500&lt;$AK720)*('Lot Balance'!$K$5:$K$500+'Lot Balance'!$D$5:$D$500&gt;=$AK720),0),0)),""))</f>
        <v>O211LIC25-0</v>
      </c>
      <c r="AM720" s="66" t="str" cm="1">
        <f t="array" ref="AM720">IF($F720="","",IFERROR(INDEX('Lot Balance'!$B$5:$B$500,MATCH(1,INDEX(('Lot Balance'!$A$5:$A$500=$F720)*('Lot Balance'!$K$5:$K$500&lt;$AJ720)*('Lot Balance'!$K$5:$K$500+'Lot Balance'!$D$5:$D$500&gt;=$AJ720),0),0)),""))</f>
        <v>O211LIC25-0</v>
      </c>
      <c r="AN720" s="66" t="str">
        <f>IF($F720="","",IF($AI720&lt;&gt;"",IF(COUNTIFS('Lot Balance'!$A$5:$A$500,$F720,'Lot Balance'!$B$5:$B$500,$AI720)=0,"⚠ override is not a lot of this item",IF($AI720=$AL720,"Override = FEFO","Override - FEFO says "&amp;$AL720)),IF($AL720="","⚠ no receipt on file for this item",IF($AM720&lt;&gt;$AL720,"FEFO auto - split, also "&amp;$AM720,"FEFO auto"))))</f>
        <v>FEFO auto</v>
      </c>
      <c r="AO720" s="114"/>
    </row>
    <row r="721" spans="1:41" x14ac:dyDescent="0.35">
      <c r="A721" s="74">
        <v>46157</v>
      </c>
      <c r="B721" s="18" t="str">
        <f>IF($C721="","",IFERROR(INDEX('Staff Directory'!$A$5:$A$594,MATCH($C721,'Staff Directory'!$B$5:$B$594,0)),"⚠ unknown staff"))</f>
        <v>PSW-131-A5</v>
      </c>
      <c r="C721" s="49" t="s">
        <v>1110</v>
      </c>
      <c r="D721" s="19" t="str">
        <f>IF($B721="","",IFERROR(INDEX('Staff Directory'!$C$5:$C$594,MATCH($B721,'Staff Directory'!$A$5:$A$594,0)),""))</f>
        <v>PSW</v>
      </c>
      <c r="E721" s="19" t="str">
        <f>IF($B721="","",IFERROR(INDEX('Staff Directory'!$D$5:$D$594,MATCH($B721,'Staff Directory'!$A$5:$A$594,0)),""))</f>
        <v>A5</v>
      </c>
      <c r="F721" s="9" t="s">
        <v>191</v>
      </c>
      <c r="G721" s="18" t="str">
        <f>IF($F721="","",IFERROR(INDEX(Items!$B$5:$B$597,MATCH($F721,Items!$A$5:$A$597,0)),"⚠ not in Items"))</f>
        <v>Sanitizer</v>
      </c>
      <c r="H721" s="19" t="str">
        <f>IF($F721="","",IFERROR(INDEX(Items!$C$5:$C$597,MATCH($F721,Items!$A$5:$A$597,0)),""))</f>
        <v>236 ML</v>
      </c>
      <c r="I721" s="23">
        <f>IF($F721="","",IFERROR(INDEX(Items!$E$5:$E$597,MATCH($F721,Items!$A$5:$A$597,0)),""))</f>
        <v>1</v>
      </c>
      <c r="J721" s="115">
        <f>IF(tblIssues[[#This Row],[Qty Override]]&lt;&gt;"",tblIssues[[#This Row],[Qty Override]],IF(tblIssues[[#This Row],[Standard Issue]]="","",tblIssues[[#This Row],[Standard Issue]]))</f>
        <v>1</v>
      </c>
      <c r="K721" s="20">
        <f>IF($F721="","",IFERROR(INDEX(Items!$D$5:$D$597,MATCH($F721,Items!$A$5:$A$597,0)),""))</f>
        <v>1E-4</v>
      </c>
      <c r="L721" s="21">
        <f t="shared" si="127"/>
        <v>1E-4</v>
      </c>
      <c r="M721" s="9" t="str">
        <f t="shared" si="128"/>
        <v>20-21734-3</v>
      </c>
      <c r="N721" s="24">
        <f>IF($A721="","",WORKDAY($A721,Settings!$C$9,HolidayDates))</f>
        <v>46167</v>
      </c>
      <c r="O721" s="24">
        <f>IF($N721="","",WORKDAY($N721,Settings!$C$10,HolidayDates))</f>
        <v>46205</v>
      </c>
      <c r="P721" s="10" t="s">
        <v>501</v>
      </c>
      <c r="Q721" s="52" t="str">
        <f t="shared" si="130"/>
        <v>Collected</v>
      </c>
      <c r="R721" s="55" t="str">
        <f t="shared" si="131"/>
        <v>2026-05</v>
      </c>
      <c r="S721" s="55">
        <f>IF(OR($B721="",$F721="",$R721=""),"",SUMIFS(tblIssues[Qty Issued],tblIssues[Staff ID],$B721,tblIssues[Item Name],$F721,tblIssues[Month],$R721))</f>
        <v>1</v>
      </c>
      <c r="T721" s="56">
        <f>IF($I721="","",$I721*Settings!$C$11)</f>
        <v>1</v>
      </c>
      <c r="U721" s="57" t="str">
        <f t="shared" si="129"/>
        <v>OK</v>
      </c>
      <c r="V721" s="55" t="str">
        <f t="shared" si="132"/>
        <v/>
      </c>
      <c r="W721" s="55" t="str">
        <f>IF($V721="","",IF(COUNTIF($V$5:$V721,$V721)=1,1,""))</f>
        <v/>
      </c>
      <c r="X721" s="58" t="str">
        <f>IF($W721="","",MAX($X$4:X720)+1)</f>
        <v/>
      </c>
      <c r="Y721" s="62"/>
      <c r="Z721" s="62"/>
      <c r="AA721" s="64" t="str">
        <f>IF($C721="","",IFERROR(INDEX('Staff Directory'!$E$5:$E$594,MATCH($C721,'Staff Directory'!$B$5:$B$594,0)),""))</f>
        <v>firstname194.lastname194@example.com</v>
      </c>
      <c r="AB721" s="64" t="str">
        <f>IF($C721="","",IF(ISNUMBER(SEARCH($D721,Settings!$C$15)),"Pickup","Dispatch"))</f>
        <v>Pickup</v>
      </c>
      <c r="AC721" s="64" t="str">
        <f t="shared" si="133"/>
        <v>Supply order ready for pickup</v>
      </c>
      <c r="AD721" s="64" t="str">
        <f t="shared" si="124"/>
        <v>Dear PSW,
Your order is ready for pickup from Sample Branch, Wed-Fri 9am-4pm.</v>
      </c>
      <c r="AE721" s="64" t="str">
        <f t="shared" si="125"/>
        <v>mailto:firstname194.lastname194@example.com?subject=Supply%20order%20ready%20for%20pickup&amp;body=Dear%20PSW%2C%0A%0AYour%20order%20is%20ready%20for%20pickup%20from%20Sample%20Branch%2C%20Wed-Fri%209am-4pm.</v>
      </c>
      <c r="AF721" s="89" t="str">
        <f t="shared" si="134"/>
        <v>Draft email</v>
      </c>
      <c r="AG721" s="64" t="str">
        <f>IF($C721="","",IFERROR(INDEX('Staff Directory'!$K$595:$K$599,MATCH($C721,'Staff Directory'!$B$5:$B$599,0)),$D721))</f>
        <v>PSW</v>
      </c>
      <c r="AH721" t="str">
        <f>IF($C721="","",IFERROR(INDEX('Staff Directory'!$I$595:$I$599,MATCH($C721,'Staff Directory'!$B$5:$B$599,0))&amp;" "&amp;INDEX('Staff Directory'!$J$595:$J$599,MATCH($C721,'Staff Directory'!$B$5:$B$599,0)),$AG721))</f>
        <v>PSW</v>
      </c>
      <c r="AI721" s="102"/>
      <c r="AJ721" s="101">
        <f>IF($F721="","",SUMIFS($J$5:$J721,$F$5:$F721,$F721))</f>
        <v>84</v>
      </c>
      <c r="AK721" s="101">
        <f t="shared" si="126"/>
        <v>84</v>
      </c>
      <c r="AL721" s="66" t="str" cm="1">
        <f t="array" ref="AL721">IF($F721="","",IFERROR(INDEX('Lot Balance'!$B$5:$B$500,MATCH(1,INDEX(('Lot Balance'!$A$5:$A$500=$F721)*('Lot Balance'!$K$5:$K$500&lt;$AK721)*('Lot Balance'!$K$5:$K$500+'Lot Balance'!$D$5:$D$500&gt;=$AK721),0),0)),""))</f>
        <v>20-21734-3</v>
      </c>
      <c r="AM721" s="66" t="str" cm="1">
        <f t="array" ref="AM721">IF($F721="","",IFERROR(INDEX('Lot Balance'!$B$5:$B$500,MATCH(1,INDEX(('Lot Balance'!$A$5:$A$500=$F721)*('Lot Balance'!$K$5:$K$500&lt;$AJ721)*('Lot Balance'!$K$5:$K$500+'Lot Balance'!$D$5:$D$500&gt;=$AJ721),0),0)),""))</f>
        <v>20-21734-3</v>
      </c>
      <c r="AN721" s="66" t="str">
        <f>IF($F721="","",IF($AI721&lt;&gt;"",IF(COUNTIFS('Lot Balance'!$A$5:$A$500,$F721,'Lot Balance'!$B$5:$B$500,$AI721)=0,"⚠ override is not a lot of this item",IF($AI721=$AL721,"Override = FEFO","Override - FEFO says "&amp;$AL721)),IF($AL721="","⚠ no receipt on file for this item",IF($AM721&lt;&gt;$AL721,"FEFO auto - split, also "&amp;$AM721,"FEFO auto"))))</f>
        <v>FEFO auto</v>
      </c>
      <c r="AO721" s="114"/>
    </row>
    <row r="722" spans="1:41" x14ac:dyDescent="0.35">
      <c r="A722" s="74">
        <v>46157</v>
      </c>
      <c r="B722" s="18" t="str">
        <f>IF($C722="","",IFERROR(INDEX('Staff Directory'!$A$5:$A$594,MATCH($C722,'Staff Directory'!$B$5:$B$594,0)),"⚠ unknown staff"))</f>
        <v>PSW-131-A5</v>
      </c>
      <c r="C722" s="49" t="s">
        <v>1110</v>
      </c>
      <c r="D722" s="19" t="str">
        <f>IF($B722="","",IFERROR(INDEX('Staff Directory'!$C$5:$C$594,MATCH($B722,'Staff Directory'!$A$5:$A$594,0)),""))</f>
        <v>PSW</v>
      </c>
      <c r="E722" s="19" t="str">
        <f>IF($B722="","",IFERROR(INDEX('Staff Directory'!$D$5:$D$594,MATCH($B722,'Staff Directory'!$A$5:$A$594,0)),""))</f>
        <v>A5</v>
      </c>
      <c r="F722" s="9" t="s">
        <v>115</v>
      </c>
      <c r="G722" s="18" t="str">
        <f>IF($F722="","",IFERROR(INDEX(Items!$B$5:$B$597,MATCH($F722,Items!$A$5:$A$597,0)),"⚠ not in Items"))</f>
        <v>Wipes</v>
      </c>
      <c r="H722" s="19">
        <f>IF($F722="","",IFERROR(INDEX(Items!$C$5:$C$597,MATCH($F722,Items!$A$5:$A$597,0)),""))</f>
        <v>80</v>
      </c>
      <c r="I722" s="23">
        <f>IF($F722="","",IFERROR(INDEX(Items!$E$5:$E$597,MATCH($F722,Items!$A$5:$A$597,0)),""))</f>
        <v>80</v>
      </c>
      <c r="J722" s="115">
        <f>IF(tblIssues[[#This Row],[Qty Override]]&lt;&gt;"",tblIssues[[#This Row],[Qty Override]],IF(tblIssues[[#This Row],[Standard Issue]]="","",tblIssues[[#This Row],[Standard Issue]]))</f>
        <v>80</v>
      </c>
      <c r="K722" s="20">
        <f>IF($F722="","",IFERROR(INDEX(Items!$D$5:$D$597,MATCH($F722,Items!$A$5:$A$597,0)),""))</f>
        <v>0.1</v>
      </c>
      <c r="L722" s="21">
        <f t="shared" si="127"/>
        <v>8</v>
      </c>
      <c r="M722" s="9" t="str">
        <f t="shared" si="128"/>
        <v>LYSL500290</v>
      </c>
      <c r="N722" s="24">
        <f>IF($A722="","",WORKDAY($A722,Settings!$C$9,HolidayDates))</f>
        <v>46167</v>
      </c>
      <c r="O722" s="24">
        <f>IF($N722="","",WORKDAY($N722,Settings!$C$10,HolidayDates))</f>
        <v>46205</v>
      </c>
      <c r="P722" s="10" t="s">
        <v>501</v>
      </c>
      <c r="Q722" s="52" t="str">
        <f t="shared" si="130"/>
        <v>Collected</v>
      </c>
      <c r="R722" s="55" t="str">
        <f t="shared" si="131"/>
        <v>2026-05</v>
      </c>
      <c r="S722" s="55">
        <f>IF(OR($B722="",$F722="",$R722=""),"",SUMIFS(tblIssues[Qty Issued],tblIssues[Staff ID],$B722,tblIssues[Item Name],$F722,tblIssues[Month],$R722))</f>
        <v>80</v>
      </c>
      <c r="T722" s="56">
        <f>IF($I722="","",$I722*Settings!$C$11)</f>
        <v>80</v>
      </c>
      <c r="U722" s="57" t="str">
        <f t="shared" si="129"/>
        <v>OK</v>
      </c>
      <c r="V722" s="55" t="str">
        <f t="shared" si="132"/>
        <v/>
      </c>
      <c r="W722" s="55" t="str">
        <f>IF($V722="","",IF(COUNTIF($V$5:$V722,$V722)=1,1,""))</f>
        <v/>
      </c>
      <c r="X722" s="58" t="str">
        <f>IF($W722="","",MAX($X$4:X721)+1)</f>
        <v/>
      </c>
      <c r="Y722" s="62"/>
      <c r="Z722" s="62"/>
      <c r="AA722" s="64" t="str">
        <f>IF($C722="","",IFERROR(INDEX('Staff Directory'!$E$5:$E$594,MATCH($C722,'Staff Directory'!$B$5:$B$594,0)),""))</f>
        <v>firstname194.lastname194@example.com</v>
      </c>
      <c r="AB722" s="64" t="str">
        <f>IF($C722="","",IF(ISNUMBER(SEARCH($D722,Settings!$C$15)),"Pickup","Dispatch"))</f>
        <v>Pickup</v>
      </c>
      <c r="AC722" s="64" t="str">
        <f t="shared" si="133"/>
        <v>Supply order ready for pickup</v>
      </c>
      <c r="AD722" s="64" t="str">
        <f t="shared" si="124"/>
        <v>Dear PSW,
Your order is ready for pickup from Sample Branch, Wed-Fri 9am-4pm.</v>
      </c>
      <c r="AE722" s="64" t="str">
        <f t="shared" si="125"/>
        <v>mailto:firstname194.lastname194@example.com?subject=Supply%20order%20ready%20for%20pickup&amp;body=Dear%20PSW%2C%0A%0AYour%20order%20is%20ready%20for%20pickup%20from%20Sample%20Branch%2C%20Wed-Fri%209am-4pm.</v>
      </c>
      <c r="AF722" s="89" t="str">
        <f t="shared" si="134"/>
        <v>Draft email</v>
      </c>
      <c r="AG722" s="64" t="str">
        <f>IF($C722="","",IFERROR(INDEX('Staff Directory'!$K$595:$K$599,MATCH($C722,'Staff Directory'!$B$5:$B$599,0)),$D722))</f>
        <v>PSW</v>
      </c>
      <c r="AH722" t="str">
        <f>IF($C722="","",IFERROR(INDEX('Staff Directory'!$I$595:$I$599,MATCH($C722,'Staff Directory'!$B$5:$B$599,0))&amp;" "&amp;INDEX('Staff Directory'!$J$595:$J$599,MATCH($C722,'Staff Directory'!$B$5:$B$599,0)),$AG722))</f>
        <v>PSW</v>
      </c>
      <c r="AI722" s="102"/>
      <c r="AJ722" s="101">
        <f>IF($F722="","",SUMIFS($J$5:$J722,$F$5:$F722,$F722))</f>
        <v>10240</v>
      </c>
      <c r="AK722" s="101">
        <f t="shared" si="126"/>
        <v>10161</v>
      </c>
      <c r="AL722" s="66" t="str" cm="1">
        <f t="array" ref="AL722">IF($F722="","",IFERROR(INDEX('Lot Balance'!$B$5:$B$500,MATCH(1,INDEX(('Lot Balance'!$A$5:$A$500=$F722)*('Lot Balance'!$K$5:$K$500&lt;$AK722)*('Lot Balance'!$K$5:$K$500+'Lot Balance'!$D$5:$D$500&gt;=$AK722),0),0)),""))</f>
        <v>LYSL500290</v>
      </c>
      <c r="AM722" s="66" t="str" cm="1">
        <f t="array" ref="AM722">IF($F722="","",IFERROR(INDEX('Lot Balance'!$B$5:$B$500,MATCH(1,INDEX(('Lot Balance'!$A$5:$A$500=$F722)*('Lot Balance'!$K$5:$K$500&lt;$AJ722)*('Lot Balance'!$K$5:$K$500+'Lot Balance'!$D$5:$D$500&gt;=$AJ722),0),0)),""))</f>
        <v>LYSL500290</v>
      </c>
      <c r="AN722" s="66" t="str">
        <f>IF($F722="","",IF($AI722&lt;&gt;"",IF(COUNTIFS('Lot Balance'!$A$5:$A$500,$F722,'Lot Balance'!$B$5:$B$500,$AI722)=0,"⚠ override is not a lot of this item",IF($AI722=$AL722,"Override = FEFO","Override - FEFO says "&amp;$AL722)),IF($AL722="","⚠ no receipt on file for this item",IF($AM722&lt;&gt;$AL722,"FEFO auto - split, also "&amp;$AM722,"FEFO auto"))))</f>
        <v>FEFO auto</v>
      </c>
      <c r="AO722" s="114"/>
    </row>
    <row r="723" spans="1:41" x14ac:dyDescent="0.35">
      <c r="A723" s="74">
        <v>46157</v>
      </c>
      <c r="B723" s="18" t="str">
        <f>IF($C723="","",IFERROR(INDEX('Staff Directory'!$A$5:$A$594,MATCH($C723,'Staff Directory'!$B$5:$B$594,0)),"⚠ unknown staff"))</f>
        <v>PSW-131-A5</v>
      </c>
      <c r="C723" s="49" t="s">
        <v>1110</v>
      </c>
      <c r="D723" s="19" t="str">
        <f>IF($B723="","",IFERROR(INDEX('Staff Directory'!$C$5:$C$594,MATCH($B723,'Staff Directory'!$A$5:$A$594,0)),""))</f>
        <v>PSW</v>
      </c>
      <c r="E723" s="19" t="str">
        <f>IF($B723="","",IFERROR(INDEX('Staff Directory'!$D$5:$D$594,MATCH($B723,'Staff Directory'!$A$5:$A$594,0)),""))</f>
        <v>A5</v>
      </c>
      <c r="F723" s="9" t="s">
        <v>156</v>
      </c>
      <c r="G723" s="18" t="str">
        <f>IF($F723="","",IFERROR(INDEX(Items!$B$5:$B$597,MATCH($F723,Items!$A$5:$A$597,0)),"⚠ not in Items"))</f>
        <v>Masks</v>
      </c>
      <c r="H723" s="19" t="str">
        <f>IF($F723="","",IFERROR(INDEX(Items!$C$5:$C$597,MATCH($F723,Items!$A$5:$A$597,0)),""))</f>
        <v>One Size</v>
      </c>
      <c r="I723" s="23">
        <f>IF($F723="","",IFERROR(INDEX(Items!$E$5:$E$597,MATCH($F723,Items!$A$5:$A$597,0)),""))</f>
        <v>50</v>
      </c>
      <c r="J723" s="115">
        <f>IF(tblIssues[[#This Row],[Qty Override]]&lt;&gt;"",tblIssues[[#This Row],[Qty Override]],IF(tblIssues[[#This Row],[Standard Issue]]="","",tblIssues[[#This Row],[Standard Issue]]))</f>
        <v>50</v>
      </c>
      <c r="K723" s="20">
        <f>IF($F723="","",IFERROR(INDEX(Items!$D$5:$D$597,MATCH($F723,Items!$A$5:$A$597,0)),""))</f>
        <v>0.25</v>
      </c>
      <c r="L723" s="21">
        <f t="shared" si="127"/>
        <v>12.5</v>
      </c>
      <c r="M723" s="9" t="str">
        <f t="shared" si="128"/>
        <v>0125FPC24-0</v>
      </c>
      <c r="N723" s="24">
        <f>IF($A723="","",WORKDAY($A723,Settings!$C$9,HolidayDates))</f>
        <v>46167</v>
      </c>
      <c r="O723" s="24">
        <f>IF($N723="","",WORKDAY($N723,Settings!$C$10,HolidayDates))</f>
        <v>46205</v>
      </c>
      <c r="P723" s="10" t="s">
        <v>501</v>
      </c>
      <c r="Q723" s="52" t="str">
        <f t="shared" si="130"/>
        <v>Collected</v>
      </c>
      <c r="R723" s="55" t="str">
        <f t="shared" si="131"/>
        <v>2026-05</v>
      </c>
      <c r="S723" s="55">
        <f>IF(OR($B723="",$F723="",$R723=""),"",SUMIFS(tblIssues[Qty Issued],tblIssues[Staff ID],$B723,tblIssues[Item Name],$F723,tblIssues[Month],$R723))</f>
        <v>50</v>
      </c>
      <c r="T723" s="56">
        <f>IF($I723="","",$I723*Settings!$C$11)</f>
        <v>50</v>
      </c>
      <c r="U723" s="57" t="str">
        <f t="shared" si="129"/>
        <v>OK</v>
      </c>
      <c r="V723" s="55" t="str">
        <f t="shared" si="132"/>
        <v/>
      </c>
      <c r="W723" s="55" t="str">
        <f>IF($V723="","",IF(COUNTIF($V$5:$V723,$V723)=1,1,""))</f>
        <v/>
      </c>
      <c r="X723" s="58" t="str">
        <f>IF($W723="","",MAX($X$4:X722)+1)</f>
        <v/>
      </c>
      <c r="Y723" s="62"/>
      <c r="Z723" s="62"/>
      <c r="AA723" s="64" t="str">
        <f>IF($C723="","",IFERROR(INDEX('Staff Directory'!$E$5:$E$594,MATCH($C723,'Staff Directory'!$B$5:$B$594,0)),""))</f>
        <v>firstname194.lastname194@example.com</v>
      </c>
      <c r="AB723" s="64" t="str">
        <f>IF($C723="","",IF(ISNUMBER(SEARCH($D723,Settings!$C$15)),"Pickup","Dispatch"))</f>
        <v>Pickup</v>
      </c>
      <c r="AC723" s="64" t="str">
        <f t="shared" si="133"/>
        <v>Supply order ready for pickup</v>
      </c>
      <c r="AD723" s="64" t="str">
        <f t="shared" si="124"/>
        <v>Dear PSW,
Your order is ready for pickup from Sample Branch, Wed-Fri 9am-4pm.</v>
      </c>
      <c r="AE723" s="64" t="str">
        <f t="shared" si="125"/>
        <v>mailto:firstname194.lastname194@example.com?subject=Supply%20order%20ready%20for%20pickup&amp;body=Dear%20PSW%2C%0A%0AYour%20order%20is%20ready%20for%20pickup%20from%20Sample%20Branch%2C%20Wed-Fri%209am-4pm.</v>
      </c>
      <c r="AF723" s="89" t="str">
        <f t="shared" si="134"/>
        <v>Draft email</v>
      </c>
      <c r="AG723" s="64" t="str">
        <f>IF($C723="","",IFERROR(INDEX('Staff Directory'!$K$595:$K$599,MATCH($C723,'Staff Directory'!$B$5:$B$599,0)),$D723))</f>
        <v>PSW</v>
      </c>
      <c r="AH723" t="str">
        <f>IF($C723="","",IFERROR(INDEX('Staff Directory'!$I$595:$I$599,MATCH($C723,'Staff Directory'!$B$5:$B$599,0))&amp;" "&amp;INDEX('Staff Directory'!$J$595:$J$599,MATCH($C723,'Staff Directory'!$B$5:$B$599,0)),$AG723))</f>
        <v>PSW</v>
      </c>
      <c r="AI723" s="102"/>
      <c r="AJ723" s="101">
        <f>IF($F723="","",SUMIFS($J$5:$J723,$F$5:$F723,$F723))</f>
        <v>5850</v>
      </c>
      <c r="AK723" s="101">
        <f t="shared" si="126"/>
        <v>5801</v>
      </c>
      <c r="AL723" s="66" t="str" cm="1">
        <f t="array" ref="AL723">IF($F723="","",IFERROR(INDEX('Lot Balance'!$B$5:$B$500,MATCH(1,INDEX(('Lot Balance'!$A$5:$A$500=$F723)*('Lot Balance'!$K$5:$K$500&lt;$AK723)*('Lot Balance'!$K$5:$K$500+'Lot Balance'!$D$5:$D$500&gt;=$AK723),0),0)),""))</f>
        <v>0125FPC24-0</v>
      </c>
      <c r="AM723" s="66" t="str" cm="1">
        <f t="array" ref="AM723">IF($F723="","",IFERROR(INDEX('Lot Balance'!$B$5:$B$500,MATCH(1,INDEX(('Lot Balance'!$A$5:$A$500=$F723)*('Lot Balance'!$K$5:$K$500&lt;$AJ723)*('Lot Balance'!$K$5:$K$500+'Lot Balance'!$D$5:$D$500&gt;=$AJ723),0),0)),""))</f>
        <v>0125FPC24-0</v>
      </c>
      <c r="AN723" s="66" t="str">
        <f>IF($F723="","",IF($AI723&lt;&gt;"",IF(COUNTIFS('Lot Balance'!$A$5:$A$500,$F723,'Lot Balance'!$B$5:$B$500,$AI723)=0,"⚠ override is not a lot of this item",IF($AI723=$AL723,"Override = FEFO","Override - FEFO says "&amp;$AL723)),IF($AL723="","⚠ no receipt on file for this item",IF($AM723&lt;&gt;$AL723,"FEFO auto - split, also "&amp;$AM723,"FEFO auto"))))</f>
        <v>FEFO auto</v>
      </c>
      <c r="AO723" s="114"/>
    </row>
    <row r="724" spans="1:41" x14ac:dyDescent="0.35">
      <c r="A724" s="74">
        <v>46157</v>
      </c>
      <c r="B724" s="18" t="str">
        <f>IF($C724="","",IFERROR(INDEX('Staff Directory'!$A$5:$A$594,MATCH($C724,'Staff Directory'!$B$5:$B$594,0)),"⚠ unknown staff"))</f>
        <v>PSW-131-A5</v>
      </c>
      <c r="C724" s="49" t="s">
        <v>1110</v>
      </c>
      <c r="D724" s="19" t="str">
        <f>IF($B724="","",IFERROR(INDEX('Staff Directory'!$C$5:$C$594,MATCH($B724,'Staff Directory'!$A$5:$A$594,0)),""))</f>
        <v>PSW</v>
      </c>
      <c r="E724" s="19" t="str">
        <f>IF($B724="","",IFERROR(INDEX('Staff Directory'!$D$5:$D$594,MATCH($B724,'Staff Directory'!$A$5:$A$594,0)),""))</f>
        <v>A5</v>
      </c>
      <c r="F724" s="9" t="s">
        <v>122</v>
      </c>
      <c r="G724" s="18" t="str">
        <f>IF($F724="","",IFERROR(INDEX(Items!$B$5:$B$597,MATCH($F724,Items!$A$5:$A$597,0)),"⚠ not in Items"))</f>
        <v>Eye Protection</v>
      </c>
      <c r="H724" s="19" t="str">
        <f>IF($F724="","",IFERROR(INDEX(Items!$C$5:$C$597,MATCH($F724,Items!$A$5:$A$597,0)),""))</f>
        <v>One Size</v>
      </c>
      <c r="I724" s="23">
        <f>IF($F724="","",IFERROR(INDEX(Items!$E$5:$E$597,MATCH($F724,Items!$A$5:$A$597,0)),""))</f>
        <v>1</v>
      </c>
      <c r="J724" s="115">
        <f>IF(tblIssues[[#This Row],[Qty Override]]&lt;&gt;"",tblIssues[[#This Row],[Qty Override]],IF(tblIssues[[#This Row],[Standard Issue]]="","",tblIssues[[#This Row],[Standard Issue]]))</f>
        <v>1</v>
      </c>
      <c r="K724" s="20">
        <f>IF($F724="","",IFERROR(INDEX(Items!$D$5:$D$597,MATCH($F724,Items!$A$5:$A$597,0)),""))</f>
        <v>7</v>
      </c>
      <c r="L724" s="21">
        <f t="shared" si="127"/>
        <v>7</v>
      </c>
      <c r="M724" s="9" t="str">
        <f t="shared" si="128"/>
        <v/>
      </c>
      <c r="N724" s="24">
        <f>IF($A724="","",WORKDAY($A724,Settings!$C$9,HolidayDates))</f>
        <v>46167</v>
      </c>
      <c r="O724" s="24">
        <f>IF($N724="","",WORKDAY($N724,Settings!$C$10,HolidayDates))</f>
        <v>46205</v>
      </c>
      <c r="P724" s="10" t="s">
        <v>501</v>
      </c>
      <c r="Q724" s="52" t="str">
        <f t="shared" si="130"/>
        <v>Collected</v>
      </c>
      <c r="R724" s="55" t="str">
        <f t="shared" si="131"/>
        <v>2026-05</v>
      </c>
      <c r="S724" s="55">
        <f>IF(OR($B724="",$F724="",$R724=""),"",SUMIFS(tblIssues[Qty Issued],tblIssues[Staff ID],$B724,tblIssues[Item Name],$F724,tblIssues[Month],$R724))</f>
        <v>1</v>
      </c>
      <c r="T724" s="56">
        <f>IF($I724="","",$I724*Settings!$C$11)</f>
        <v>1</v>
      </c>
      <c r="U724" s="57" t="str">
        <f t="shared" si="129"/>
        <v>OK</v>
      </c>
      <c r="V724" s="55" t="str">
        <f t="shared" si="132"/>
        <v/>
      </c>
      <c r="W724" s="55" t="str">
        <f>IF($V724="","",IF(COUNTIF($V$5:$V724,$V724)=1,1,""))</f>
        <v/>
      </c>
      <c r="X724" s="58" t="str">
        <f>IF($W724="","",MAX($X$4:X723)+1)</f>
        <v/>
      </c>
      <c r="Y724" s="62"/>
      <c r="Z724" s="62"/>
      <c r="AA724" s="64" t="str">
        <f>IF($C724="","",IFERROR(INDEX('Staff Directory'!$E$5:$E$594,MATCH($C724,'Staff Directory'!$B$5:$B$594,0)),""))</f>
        <v>firstname194.lastname194@example.com</v>
      </c>
      <c r="AB724" s="64" t="str">
        <f>IF($C724="","",IF(ISNUMBER(SEARCH($D724,Settings!$C$15)),"Pickup","Dispatch"))</f>
        <v>Pickup</v>
      </c>
      <c r="AC724" s="64" t="str">
        <f t="shared" si="133"/>
        <v>Supply order ready for pickup</v>
      </c>
      <c r="AD724" s="64" t="str">
        <f t="shared" si="124"/>
        <v>Dear PSW,
Your order is ready for pickup from Sample Branch, Wed-Fri 9am-4pm.</v>
      </c>
      <c r="AE724" s="64" t="str">
        <f t="shared" si="125"/>
        <v>mailto:firstname194.lastname194@example.com?subject=Supply%20order%20ready%20for%20pickup&amp;body=Dear%20PSW%2C%0A%0AYour%20order%20is%20ready%20for%20pickup%20from%20Sample%20Branch%2C%20Wed-Fri%209am-4pm.</v>
      </c>
      <c r="AF724" s="89" t="str">
        <f t="shared" si="134"/>
        <v>Draft email</v>
      </c>
      <c r="AG724" s="64" t="str">
        <f>IF($C724="","",IFERROR(INDEX('Staff Directory'!$K$595:$K$599,MATCH($C724,'Staff Directory'!$B$5:$B$599,0)),$D724))</f>
        <v>PSW</v>
      </c>
      <c r="AH724" t="str">
        <f>IF($C724="","",IFERROR(INDEX('Staff Directory'!$I$595:$I$599,MATCH($C724,'Staff Directory'!$B$5:$B$599,0))&amp;" "&amp;INDEX('Staff Directory'!$J$595:$J$599,MATCH($C724,'Staff Directory'!$B$5:$B$599,0)),$AG724))</f>
        <v>PSW</v>
      </c>
      <c r="AI724" s="102"/>
      <c r="AJ724" s="101">
        <f>IF($F724="","",SUMIFS($J$5:$J724,$F$5:$F724,$F724))</f>
        <v>2</v>
      </c>
      <c r="AK724" s="101">
        <f t="shared" si="126"/>
        <v>2</v>
      </c>
      <c r="AL724" s="66" t="str" cm="1">
        <f t="array" ref="AL724">IF($F724="","",IFERROR(INDEX('Lot Balance'!$B$5:$B$500,MATCH(1,INDEX(('Lot Balance'!$A$5:$A$500=$F724)*('Lot Balance'!$K$5:$K$500&lt;$AK724)*('Lot Balance'!$K$5:$K$500+'Lot Balance'!$D$5:$D$500&gt;=$AK724),0),0)),""))</f>
        <v/>
      </c>
      <c r="AM724" s="66" t="str" cm="1">
        <f t="array" ref="AM724">IF($F724="","",IFERROR(INDEX('Lot Balance'!$B$5:$B$500,MATCH(1,INDEX(('Lot Balance'!$A$5:$A$500=$F724)*('Lot Balance'!$K$5:$K$500&lt;$AJ724)*('Lot Balance'!$K$5:$K$500+'Lot Balance'!$D$5:$D$500&gt;=$AJ724),0),0)),""))</f>
        <v/>
      </c>
      <c r="AN724" s="66" t="str">
        <f>IF($F724="","",IF($AI724&lt;&gt;"",IF(COUNTIFS('Lot Balance'!$A$5:$A$500,$F724,'Lot Balance'!$B$5:$B$500,$AI724)=0,"⚠ override is not a lot of this item",IF($AI724=$AL724,"Override = FEFO","Override - FEFO says "&amp;$AL724)),IF($AL724="","⚠ no receipt on file for this item",IF($AM724&lt;&gt;$AL724,"FEFO auto - split, also "&amp;$AM724,"FEFO auto"))))</f>
        <v>⚠ no receipt on file for this item</v>
      </c>
      <c r="AO724" s="114"/>
    </row>
    <row r="725" spans="1:41" x14ac:dyDescent="0.35">
      <c r="A725" s="74">
        <v>46157</v>
      </c>
      <c r="B725" s="18" t="str">
        <f>IF($C725="","",IFERROR(INDEX('Staff Directory'!$A$5:$A$594,MATCH($C725,'Staff Directory'!$B$5:$B$594,0)),"⚠ unknown staff"))</f>
        <v>PSW-069-A4</v>
      </c>
      <c r="C725" s="49" t="s">
        <v>1045</v>
      </c>
      <c r="D725" s="19" t="str">
        <f>IF($B725="","",IFERROR(INDEX('Staff Directory'!$C$5:$C$594,MATCH($B725,'Staff Directory'!$A$5:$A$594,0)),""))</f>
        <v>PSW</v>
      </c>
      <c r="E725" s="19" t="str">
        <f>IF($B725="","",IFERROR(INDEX('Staff Directory'!$D$5:$D$594,MATCH($B725,'Staff Directory'!$A$5:$A$594,0)),""))</f>
        <v>A4</v>
      </c>
      <c r="F725" s="9" t="s">
        <v>129</v>
      </c>
      <c r="G725" s="18" t="str">
        <f>IF($F725="","",IFERROR(INDEX(Items!$B$5:$B$597,MATCH($F725,Items!$A$5:$A$597,0)),"⚠ not in Items"))</f>
        <v>Gloves</v>
      </c>
      <c r="H725" s="19" t="str">
        <f>IF($F725="","",IFERROR(INDEX(Items!$C$5:$C$597,MATCH($F725,Items!$A$5:$A$597,0)),""))</f>
        <v>Small</v>
      </c>
      <c r="I725" s="23">
        <f>IF($F725="","",IFERROR(INDEX(Items!$E$5:$E$597,MATCH($F725,Items!$A$5:$A$597,0)),""))</f>
        <v>500</v>
      </c>
      <c r="J725" s="115">
        <f>IF(tblIssues[[#This Row],[Qty Override]]&lt;&gt;"",tblIssues[[#This Row],[Qty Override]],IF(tblIssues[[#This Row],[Standard Issue]]="","",tblIssues[[#This Row],[Standard Issue]]))</f>
        <v>500</v>
      </c>
      <c r="K725" s="20">
        <f>IF($F725="","",IFERROR(INDEX(Items!$D$5:$D$597,MATCH($F725,Items!$A$5:$A$597,0)),""))</f>
        <v>5.5E-2</v>
      </c>
      <c r="L725" s="21">
        <f t="shared" si="127"/>
        <v>27.5</v>
      </c>
      <c r="M725" s="9" t="str">
        <f t="shared" si="128"/>
        <v>O211LIC25-0</v>
      </c>
      <c r="N725" s="24">
        <f>IF($A725="","",WORKDAY($A725,Settings!$C$9,HolidayDates))</f>
        <v>46167</v>
      </c>
      <c r="O725" s="24">
        <f>IF($N725="","",WORKDAY($N725,Settings!$C$10,HolidayDates))</f>
        <v>46205</v>
      </c>
      <c r="P725" s="10" t="s">
        <v>501</v>
      </c>
      <c r="Q725" s="52" t="str">
        <f t="shared" si="130"/>
        <v>Collected</v>
      </c>
      <c r="R725" s="55" t="str">
        <f t="shared" si="131"/>
        <v>2026-05</v>
      </c>
      <c r="S725" s="55">
        <f>IF(OR($B725="",$F725="",$R725=""),"",SUMIFS(tblIssues[Qty Issued],tblIssues[Staff ID],$B725,tblIssues[Item Name],$F725,tblIssues[Month],$R725))</f>
        <v>500</v>
      </c>
      <c r="T725" s="56">
        <f>IF($I725="","",$I725*Settings!$C$11)</f>
        <v>500</v>
      </c>
      <c r="U725" s="57" t="str">
        <f t="shared" si="129"/>
        <v>OK</v>
      </c>
      <c r="V725" s="55" t="str">
        <f t="shared" si="132"/>
        <v/>
      </c>
      <c r="W725" s="55" t="str">
        <f>IF($V725="","",IF(COUNTIF($V$5:$V725,$V725)=1,1,""))</f>
        <v/>
      </c>
      <c r="X725" s="58" t="str">
        <f>IF($W725="","",MAX($X$4:X724)+1)</f>
        <v/>
      </c>
      <c r="Y725" s="62"/>
      <c r="Z725" s="62"/>
      <c r="AA725" s="64" t="str">
        <f>IF($C725="","",IFERROR(INDEX('Staff Directory'!$E$5:$E$594,MATCH($C725,'Staff Directory'!$B$5:$B$594,0)),""))</f>
        <v>firstname129.lastname129@example.com</v>
      </c>
      <c r="AB725" s="64" t="str">
        <f>IF($C725="","",IF(ISNUMBER(SEARCH($D725,Settings!$C$15)),"Pickup","Dispatch"))</f>
        <v>Pickup</v>
      </c>
      <c r="AC725" s="64" t="str">
        <f t="shared" si="133"/>
        <v>Supply order ready for pickup</v>
      </c>
      <c r="AD725" s="64" t="str">
        <f t="shared" si="124"/>
        <v>Dear PSW,
Your order is ready for pickup from Sample Branch, Wed-Fri 9am-4pm.</v>
      </c>
      <c r="AE725" s="64" t="str">
        <f t="shared" si="125"/>
        <v>mailto:firstname129.lastname129@example.com?subject=Supply%20order%20ready%20for%20pickup&amp;body=Dear%20PSW%2C%0A%0AYour%20order%20is%20ready%20for%20pickup%20from%20Sample%20Branch%2C%20Wed-Fri%209am-4pm.</v>
      </c>
      <c r="AF725" s="89" t="str">
        <f t="shared" si="134"/>
        <v>Draft email</v>
      </c>
      <c r="AG725" s="64" t="str">
        <f>IF($C725="","",IFERROR(INDEX('Staff Directory'!$K$595:$K$599,MATCH($C725,'Staff Directory'!$B$5:$B$599,0)),$D725))</f>
        <v>PSW</v>
      </c>
      <c r="AH725" t="str">
        <f>IF($C725="","",IFERROR(INDEX('Staff Directory'!$I$595:$I$599,MATCH($C725,'Staff Directory'!$B$5:$B$599,0))&amp;" "&amp;INDEX('Staff Directory'!$J$595:$J$599,MATCH($C725,'Staff Directory'!$B$5:$B$599,0)),$AG725))</f>
        <v>PSW</v>
      </c>
      <c r="AI725" s="102"/>
      <c r="AJ725" s="101">
        <f>IF($F725="","",SUMIFS($J$5:$J725,$F$5:$F725,$F725))</f>
        <v>26500</v>
      </c>
      <c r="AK725" s="101">
        <f t="shared" si="126"/>
        <v>26001</v>
      </c>
      <c r="AL725" s="66" t="str" cm="1">
        <f t="array" ref="AL725">IF($F725="","",IFERROR(INDEX('Lot Balance'!$B$5:$B$500,MATCH(1,INDEX(('Lot Balance'!$A$5:$A$500=$F725)*('Lot Balance'!$K$5:$K$500&lt;$AK725)*('Lot Balance'!$K$5:$K$500+'Lot Balance'!$D$5:$D$500&gt;=$AK725),0),0)),""))</f>
        <v>O211LIC25-0</v>
      </c>
      <c r="AM725" s="66" t="str" cm="1">
        <f t="array" ref="AM725">IF($F725="","",IFERROR(INDEX('Lot Balance'!$B$5:$B$500,MATCH(1,INDEX(('Lot Balance'!$A$5:$A$500=$F725)*('Lot Balance'!$K$5:$K$500&lt;$AJ725)*('Lot Balance'!$K$5:$K$500+'Lot Balance'!$D$5:$D$500&gt;=$AJ725),0),0)),""))</f>
        <v>O211LIC25-0</v>
      </c>
      <c r="AN725" s="66" t="str">
        <f>IF($F725="","",IF($AI725&lt;&gt;"",IF(COUNTIFS('Lot Balance'!$A$5:$A$500,$F725,'Lot Balance'!$B$5:$B$500,$AI725)=0,"⚠ override is not a lot of this item",IF($AI725=$AL725,"Override = FEFO","Override - FEFO says "&amp;$AL725)),IF($AL725="","⚠ no receipt on file for this item",IF($AM725&lt;&gt;$AL725,"FEFO auto - split, also "&amp;$AM725,"FEFO auto"))))</f>
        <v>FEFO auto</v>
      </c>
      <c r="AO725" s="114"/>
    </row>
    <row r="726" spans="1:41" x14ac:dyDescent="0.35">
      <c r="A726" s="74">
        <v>46157</v>
      </c>
      <c r="B726" s="18" t="str">
        <f>IF($C726="","",IFERROR(INDEX('Staff Directory'!$A$5:$A$594,MATCH($C726,'Staff Directory'!$B$5:$B$594,0)),"⚠ unknown staff"))</f>
        <v>PSW-069-A4</v>
      </c>
      <c r="C726" s="49" t="s">
        <v>1045</v>
      </c>
      <c r="D726" s="19" t="str">
        <f>IF($B726="","",IFERROR(INDEX('Staff Directory'!$C$5:$C$594,MATCH($B726,'Staff Directory'!$A$5:$A$594,0)),""))</f>
        <v>PSW</v>
      </c>
      <c r="E726" s="19" t="str">
        <f>IF($B726="","",IFERROR(INDEX('Staff Directory'!$D$5:$D$594,MATCH($B726,'Staff Directory'!$A$5:$A$594,0)),""))</f>
        <v>A4</v>
      </c>
      <c r="F726" s="9" t="s">
        <v>156</v>
      </c>
      <c r="G726" s="18" t="str">
        <f>IF($F726="","",IFERROR(INDEX(Items!$B$5:$B$597,MATCH($F726,Items!$A$5:$A$597,0)),"⚠ not in Items"))</f>
        <v>Masks</v>
      </c>
      <c r="H726" s="19" t="str">
        <f>IF($F726="","",IFERROR(INDEX(Items!$C$5:$C$597,MATCH($F726,Items!$A$5:$A$597,0)),""))</f>
        <v>One Size</v>
      </c>
      <c r="I726" s="23">
        <f>IF($F726="","",IFERROR(INDEX(Items!$E$5:$E$597,MATCH($F726,Items!$A$5:$A$597,0)),""))</f>
        <v>50</v>
      </c>
      <c r="J726" s="115">
        <f>IF(tblIssues[[#This Row],[Qty Override]]&lt;&gt;"",tblIssues[[#This Row],[Qty Override]],IF(tblIssues[[#This Row],[Standard Issue]]="","",tblIssues[[#This Row],[Standard Issue]]))</f>
        <v>50</v>
      </c>
      <c r="K726" s="20">
        <f>IF($F726="","",IFERROR(INDEX(Items!$D$5:$D$597,MATCH($F726,Items!$A$5:$A$597,0)),""))</f>
        <v>0.25</v>
      </c>
      <c r="L726" s="21">
        <f t="shared" si="127"/>
        <v>12.5</v>
      </c>
      <c r="M726" s="9" t="str">
        <f t="shared" si="128"/>
        <v>0125FPC24-0</v>
      </c>
      <c r="N726" s="24">
        <f>IF($A726="","",WORKDAY($A726,Settings!$C$9,HolidayDates))</f>
        <v>46167</v>
      </c>
      <c r="O726" s="24">
        <f>IF($N726="","",WORKDAY($N726,Settings!$C$10,HolidayDates))</f>
        <v>46205</v>
      </c>
      <c r="P726" s="10" t="s">
        <v>501</v>
      </c>
      <c r="Q726" s="52" t="str">
        <f t="shared" si="130"/>
        <v>Collected</v>
      </c>
      <c r="R726" s="55" t="str">
        <f t="shared" si="131"/>
        <v>2026-05</v>
      </c>
      <c r="S726" s="55">
        <f>IF(OR($B726="",$F726="",$R726=""),"",SUMIFS(tblIssues[Qty Issued],tblIssues[Staff ID],$B726,tblIssues[Item Name],$F726,tblIssues[Month],$R726))</f>
        <v>50</v>
      </c>
      <c r="T726" s="56">
        <f>IF($I726="","",$I726*Settings!$C$11)</f>
        <v>50</v>
      </c>
      <c r="U726" s="57" t="str">
        <f t="shared" si="129"/>
        <v>OK</v>
      </c>
      <c r="V726" s="55" t="str">
        <f t="shared" si="132"/>
        <v/>
      </c>
      <c r="W726" s="55" t="str">
        <f>IF($V726="","",IF(COUNTIF($V$5:$V726,$V726)=1,1,""))</f>
        <v/>
      </c>
      <c r="X726" s="58" t="str">
        <f>IF($W726="","",MAX($X$4:X725)+1)</f>
        <v/>
      </c>
      <c r="Y726" s="62"/>
      <c r="Z726" s="62"/>
      <c r="AA726" s="64" t="str">
        <f>IF($C726="","",IFERROR(INDEX('Staff Directory'!$E$5:$E$594,MATCH($C726,'Staff Directory'!$B$5:$B$594,0)),""))</f>
        <v>firstname129.lastname129@example.com</v>
      </c>
      <c r="AB726" s="64" t="str">
        <f>IF($C726="","",IF(ISNUMBER(SEARCH($D726,Settings!$C$15)),"Pickup","Dispatch"))</f>
        <v>Pickup</v>
      </c>
      <c r="AC726" s="64" t="str">
        <f t="shared" si="133"/>
        <v>Supply order ready for pickup</v>
      </c>
      <c r="AD726" s="64" t="str">
        <f t="shared" si="124"/>
        <v>Dear PSW,
Your order is ready for pickup from Sample Branch, Wed-Fri 9am-4pm.</v>
      </c>
      <c r="AE726" s="64" t="str">
        <f t="shared" si="125"/>
        <v>mailto:firstname129.lastname129@example.com?subject=Supply%20order%20ready%20for%20pickup&amp;body=Dear%20PSW%2C%0A%0AYour%20order%20is%20ready%20for%20pickup%20from%20Sample%20Branch%2C%20Wed-Fri%209am-4pm.</v>
      </c>
      <c r="AF726" s="89" t="str">
        <f t="shared" si="134"/>
        <v>Draft email</v>
      </c>
      <c r="AG726" s="64" t="str">
        <f>IF($C726="","",IFERROR(INDEX('Staff Directory'!$K$595:$K$599,MATCH($C726,'Staff Directory'!$B$5:$B$599,0)),$D726))</f>
        <v>PSW</v>
      </c>
      <c r="AH726" t="str">
        <f>IF($C726="","",IFERROR(INDEX('Staff Directory'!$I$595:$I$599,MATCH($C726,'Staff Directory'!$B$5:$B$599,0))&amp;" "&amp;INDEX('Staff Directory'!$J$595:$J$599,MATCH($C726,'Staff Directory'!$B$5:$B$599,0)),$AG726))</f>
        <v>PSW</v>
      </c>
      <c r="AI726" s="102"/>
      <c r="AJ726" s="101">
        <f>IF($F726="","",SUMIFS($J$5:$J726,$F$5:$F726,$F726))</f>
        <v>5900</v>
      </c>
      <c r="AK726" s="101">
        <f t="shared" si="126"/>
        <v>5851</v>
      </c>
      <c r="AL726" s="66" t="str" cm="1">
        <f t="array" ref="AL726">IF($F726="","",IFERROR(INDEX('Lot Balance'!$B$5:$B$500,MATCH(1,INDEX(('Lot Balance'!$A$5:$A$500=$F726)*('Lot Balance'!$K$5:$K$500&lt;$AK726)*('Lot Balance'!$K$5:$K$500+'Lot Balance'!$D$5:$D$500&gt;=$AK726),0),0)),""))</f>
        <v>0125FPC24-0</v>
      </c>
      <c r="AM726" s="66" t="str" cm="1">
        <f t="array" ref="AM726">IF($F726="","",IFERROR(INDEX('Lot Balance'!$B$5:$B$500,MATCH(1,INDEX(('Lot Balance'!$A$5:$A$500=$F726)*('Lot Balance'!$K$5:$K$500&lt;$AJ726)*('Lot Balance'!$K$5:$K$500+'Lot Balance'!$D$5:$D$500&gt;=$AJ726),0),0)),""))</f>
        <v>0125FPC24-0</v>
      </c>
      <c r="AN726" s="66" t="str">
        <f>IF($F726="","",IF($AI726&lt;&gt;"",IF(COUNTIFS('Lot Balance'!$A$5:$A$500,$F726,'Lot Balance'!$B$5:$B$500,$AI726)=0,"⚠ override is not a lot of this item",IF($AI726=$AL726,"Override = FEFO","Override - FEFO says "&amp;$AL726)),IF($AL726="","⚠ no receipt on file for this item",IF($AM726&lt;&gt;$AL726,"FEFO auto - split, also "&amp;$AM726,"FEFO auto"))))</f>
        <v>FEFO auto</v>
      </c>
      <c r="AO726" s="114"/>
    </row>
    <row r="727" spans="1:41" x14ac:dyDescent="0.35">
      <c r="A727" s="74">
        <v>46161</v>
      </c>
      <c r="B727" s="18" t="str">
        <f>IF($C727="","",IFERROR(INDEX('Staff Directory'!$A$5:$A$594,MATCH($C727,'Staff Directory'!$B$5:$B$594,0)),"⚠ unknown staff"))</f>
        <v>RN-040-A2</v>
      </c>
      <c r="C727" s="49" t="s">
        <v>962</v>
      </c>
      <c r="D727" s="19" t="str">
        <f>IF($B727="","",IFERROR(INDEX('Staff Directory'!$C$5:$C$594,MATCH($B727,'Staff Directory'!$A$5:$A$594,0)),""))</f>
        <v>RN</v>
      </c>
      <c r="E727" s="19" t="str">
        <f>IF($B727="","",IFERROR(INDEX('Staff Directory'!$D$5:$D$594,MATCH($B727,'Staff Directory'!$A$5:$A$594,0)),""))</f>
        <v>A2</v>
      </c>
      <c r="F727" s="9" t="s">
        <v>127</v>
      </c>
      <c r="G727" s="18" t="str">
        <f>IF($F727="","",IFERROR(INDEX(Items!$B$5:$B$597,MATCH($F727,Items!$A$5:$A$597,0)),"⚠ not in Items"))</f>
        <v>Gloves</v>
      </c>
      <c r="H727" s="19" t="str">
        <f>IF($F727="","",IFERROR(INDEX(Items!$C$5:$C$597,MATCH($F727,Items!$A$5:$A$597,0)),""))</f>
        <v>Medium</v>
      </c>
      <c r="I727" s="23">
        <f>IF($F727="","",IFERROR(INDEX(Items!$E$5:$E$597,MATCH($F727,Items!$A$5:$A$597,0)),""))</f>
        <v>500</v>
      </c>
      <c r="J727" s="115">
        <f>IF(tblIssues[[#This Row],[Qty Override]]&lt;&gt;"",tblIssues[[#This Row],[Qty Override]],IF(tblIssues[[#This Row],[Standard Issue]]="","",tblIssues[[#This Row],[Standard Issue]]))</f>
        <v>500</v>
      </c>
      <c r="K727" s="20">
        <f>IF($F727="","",IFERROR(INDEX(Items!$D$5:$D$597,MATCH($F727,Items!$A$5:$A$597,0)),""))</f>
        <v>5.5E-2</v>
      </c>
      <c r="L727" s="21">
        <f t="shared" si="127"/>
        <v>27.5</v>
      </c>
      <c r="M727" s="9" t="str">
        <f t="shared" si="128"/>
        <v>O16689</v>
      </c>
      <c r="N727" s="24">
        <f>IF($A727="","",WORKDAY($A727,Settings!$C$9,HolidayDates))</f>
        <v>46169</v>
      </c>
      <c r="O727" s="24">
        <f>IF($N727="","",WORKDAY($N727,Settings!$C$10,HolidayDates))</f>
        <v>46209</v>
      </c>
      <c r="P727" s="10" t="s">
        <v>502</v>
      </c>
      <c r="Q727" s="52" t="str">
        <f t="shared" si="130"/>
        <v>Collected</v>
      </c>
      <c r="R727" s="55" t="str">
        <f t="shared" si="131"/>
        <v>2026-05</v>
      </c>
      <c r="S727" s="55">
        <f>IF(OR($B727="",$F727="",$R727=""),"",SUMIFS(tblIssues[Qty Issued],tblIssues[Staff ID],$B727,tblIssues[Item Name],$F727,tblIssues[Month],$R727))</f>
        <v>500</v>
      </c>
      <c r="T727" s="56">
        <f>IF($I727="","",$I727*Settings!$C$11)</f>
        <v>500</v>
      </c>
      <c r="U727" s="57" t="str">
        <f t="shared" si="129"/>
        <v>OK</v>
      </c>
      <c r="V727" s="55" t="str">
        <f t="shared" si="132"/>
        <v/>
      </c>
      <c r="W727" s="55" t="str">
        <f>IF($V727="","",IF(COUNTIF($V$5:$V727,$V727)=1,1,""))</f>
        <v/>
      </c>
      <c r="X727" s="58" t="str">
        <f>IF($W727="","",MAX($X$4:X726)+1)</f>
        <v/>
      </c>
      <c r="Y727" s="62"/>
      <c r="Z727" s="62"/>
      <c r="AA727" s="64" t="str">
        <f>IF($C727="","",IFERROR(INDEX('Staff Directory'!$E$5:$E$594,MATCH($C727,'Staff Directory'!$B$5:$B$594,0)),""))</f>
        <v>firstname046.lastname046@example.com</v>
      </c>
      <c r="AB727" s="64" t="str">
        <f>IF($C727="","",IF(ISNUMBER(SEARCH($D727,Settings!$C$15)),"Pickup","Dispatch"))</f>
        <v>Dispatch</v>
      </c>
      <c r="AC727" s="64" t="str">
        <f t="shared" si="133"/>
        <v>Supply order dispatched</v>
      </c>
      <c r="AD727" s="64" t="str">
        <f t="shared" si="124"/>
        <v>Dear RN,
Your order has been dispatched and is in transit. Reply if undelivered.</v>
      </c>
      <c r="AE727" s="64" t="str">
        <f t="shared" si="125"/>
        <v>mailto:firstname046.lastname046@example.com?subject=Supply%20order%20dispatched&amp;body=Dear%20RN%2C%0A%0AYour%20order%20has%20been%20dispatched%20and%20is%20in%20transit.%20Reply%20if%20undelivered.</v>
      </c>
      <c r="AF727" s="89" t="str">
        <f t="shared" si="134"/>
        <v>Draft email</v>
      </c>
      <c r="AG727" s="64" t="str">
        <f>IF($C727="","",IFERROR(INDEX('Staff Directory'!$K$595:$K$599,MATCH($C727,'Staff Directory'!$B$5:$B$599,0)),$D727))</f>
        <v>RN</v>
      </c>
      <c r="AH727" t="str">
        <f>IF($C727="","",IFERROR(INDEX('Staff Directory'!$I$595:$I$599,MATCH($C727,'Staff Directory'!$B$5:$B$599,0))&amp;" "&amp;INDEX('Staff Directory'!$J$595:$J$599,MATCH($C727,'Staff Directory'!$B$5:$B$599,0)),$AG727))</f>
        <v>RN</v>
      </c>
      <c r="AI727" s="102"/>
      <c r="AJ727" s="101">
        <f>IF($F727="","",SUMIFS($J$5:$J727,$F$5:$F727,$F727))</f>
        <v>42500</v>
      </c>
      <c r="AK727" s="101">
        <f t="shared" si="126"/>
        <v>42001</v>
      </c>
      <c r="AL727" s="66" t="str" cm="1">
        <f t="array" ref="AL727">IF($F727="","",IFERROR(INDEX('Lot Balance'!$B$5:$B$500,MATCH(1,INDEX(('Lot Balance'!$A$5:$A$500=$F727)*('Lot Balance'!$K$5:$K$500&lt;$AK727)*('Lot Balance'!$K$5:$K$500+'Lot Balance'!$D$5:$D$500&gt;=$AK727),0),0)),""))</f>
        <v>O16689</v>
      </c>
      <c r="AM727" s="66" t="str" cm="1">
        <f t="array" ref="AM727">IF($F727="","",IFERROR(INDEX('Lot Balance'!$B$5:$B$500,MATCH(1,INDEX(('Lot Balance'!$A$5:$A$500=$F727)*('Lot Balance'!$K$5:$K$500&lt;$AJ727)*('Lot Balance'!$K$5:$K$500+'Lot Balance'!$D$5:$D$500&gt;=$AJ727),0),0)),""))</f>
        <v>O16689</v>
      </c>
      <c r="AN727" s="66" t="str">
        <f>IF($F727="","",IF($AI727&lt;&gt;"",IF(COUNTIFS('Lot Balance'!$A$5:$A$500,$F727,'Lot Balance'!$B$5:$B$500,$AI727)=0,"⚠ override is not a lot of this item",IF($AI727=$AL727,"Override = FEFO","Override - FEFO says "&amp;$AL727)),IF($AL727="","⚠ no receipt on file for this item",IF($AM727&lt;&gt;$AL727,"FEFO auto - split, also "&amp;$AM727,"FEFO auto"))))</f>
        <v>FEFO auto</v>
      </c>
      <c r="AO727" s="114"/>
    </row>
    <row r="728" spans="1:41" x14ac:dyDescent="0.35">
      <c r="A728" s="74">
        <v>46161</v>
      </c>
      <c r="B728" s="18" t="str">
        <f>IF($C728="","",IFERROR(INDEX('Staff Directory'!$A$5:$A$594,MATCH($C728,'Staff Directory'!$B$5:$B$594,0)),"⚠ unknown staff"))</f>
        <v>RN-040-A2</v>
      </c>
      <c r="C728" s="49" t="s">
        <v>962</v>
      </c>
      <c r="D728" s="19" t="str">
        <f>IF($B728="","",IFERROR(INDEX('Staff Directory'!$C$5:$C$594,MATCH($B728,'Staff Directory'!$A$5:$A$594,0)),""))</f>
        <v>RN</v>
      </c>
      <c r="E728" s="19" t="str">
        <f>IF($B728="","",IFERROR(INDEX('Staff Directory'!$D$5:$D$594,MATCH($B728,'Staff Directory'!$A$5:$A$594,0)),""))</f>
        <v>A2</v>
      </c>
      <c r="F728" s="9" t="s">
        <v>191</v>
      </c>
      <c r="G728" s="18" t="str">
        <f>IF($F728="","",IFERROR(INDEX(Items!$B$5:$B$597,MATCH($F728,Items!$A$5:$A$597,0)),"⚠ not in Items"))</f>
        <v>Sanitizer</v>
      </c>
      <c r="H728" s="19" t="str">
        <f>IF($F728="","",IFERROR(INDEX(Items!$C$5:$C$597,MATCH($F728,Items!$A$5:$A$597,0)),""))</f>
        <v>236 ML</v>
      </c>
      <c r="I728" s="23">
        <f>IF($F728="","",IFERROR(INDEX(Items!$E$5:$E$597,MATCH($F728,Items!$A$5:$A$597,0)),""))</f>
        <v>1</v>
      </c>
      <c r="J728" s="115">
        <f>IF(tblIssues[[#This Row],[Qty Override]]&lt;&gt;"",tblIssues[[#This Row],[Qty Override]],IF(tblIssues[[#This Row],[Standard Issue]]="","",tblIssues[[#This Row],[Standard Issue]]))</f>
        <v>1</v>
      </c>
      <c r="K728" s="20">
        <f>IF($F728="","",IFERROR(INDEX(Items!$D$5:$D$597,MATCH($F728,Items!$A$5:$A$597,0)),""))</f>
        <v>1E-4</v>
      </c>
      <c r="L728" s="21">
        <f t="shared" si="127"/>
        <v>1E-4</v>
      </c>
      <c r="M728" s="9" t="str">
        <f t="shared" si="128"/>
        <v>20-21734-3</v>
      </c>
      <c r="N728" s="24">
        <f>IF($A728="","",WORKDAY($A728,Settings!$C$9,HolidayDates))</f>
        <v>46169</v>
      </c>
      <c r="O728" s="24">
        <f>IF($N728="","",WORKDAY($N728,Settings!$C$10,HolidayDates))</f>
        <v>46209</v>
      </c>
      <c r="P728" s="10" t="s">
        <v>502</v>
      </c>
      <c r="Q728" s="52" t="str">
        <f t="shared" si="130"/>
        <v>Collected</v>
      </c>
      <c r="R728" s="55" t="str">
        <f t="shared" si="131"/>
        <v>2026-05</v>
      </c>
      <c r="S728" s="55">
        <f>IF(OR($B728="",$F728="",$R728=""),"",SUMIFS(tblIssues[Qty Issued],tblIssues[Staff ID],$B728,tblIssues[Item Name],$F728,tblIssues[Month],$R728))</f>
        <v>1</v>
      </c>
      <c r="T728" s="56">
        <f>IF($I728="","",$I728*Settings!$C$11)</f>
        <v>1</v>
      </c>
      <c r="U728" s="57" t="str">
        <f t="shared" si="129"/>
        <v>OK</v>
      </c>
      <c r="V728" s="55" t="str">
        <f t="shared" si="132"/>
        <v/>
      </c>
      <c r="W728" s="55" t="str">
        <f>IF($V728="","",IF(COUNTIF($V$5:$V728,$V728)=1,1,""))</f>
        <v/>
      </c>
      <c r="X728" s="58" t="str">
        <f>IF($W728="","",MAX($X$4:X727)+1)</f>
        <v/>
      </c>
      <c r="Y728" s="62"/>
      <c r="Z728" s="62"/>
      <c r="AA728" s="64" t="str">
        <f>IF($C728="","",IFERROR(INDEX('Staff Directory'!$E$5:$E$594,MATCH($C728,'Staff Directory'!$B$5:$B$594,0)),""))</f>
        <v>firstname046.lastname046@example.com</v>
      </c>
      <c r="AB728" s="64" t="str">
        <f>IF($C728="","",IF(ISNUMBER(SEARCH($D728,Settings!$C$15)),"Pickup","Dispatch"))</f>
        <v>Dispatch</v>
      </c>
      <c r="AC728" s="64" t="str">
        <f t="shared" si="133"/>
        <v>Supply order dispatched</v>
      </c>
      <c r="AD728" s="64" t="str">
        <f t="shared" si="124"/>
        <v>Dear RN,
Your order has been dispatched and is in transit. Reply if undelivered.</v>
      </c>
      <c r="AE728" s="64" t="str">
        <f t="shared" si="125"/>
        <v>mailto:firstname046.lastname046@example.com?subject=Supply%20order%20dispatched&amp;body=Dear%20RN%2C%0A%0AYour%20order%20has%20been%20dispatched%20and%20is%20in%20transit.%20Reply%20if%20undelivered.</v>
      </c>
      <c r="AF728" s="89" t="str">
        <f t="shared" si="134"/>
        <v>Draft email</v>
      </c>
      <c r="AG728" s="64" t="str">
        <f>IF($C728="","",IFERROR(INDEX('Staff Directory'!$K$595:$K$599,MATCH($C728,'Staff Directory'!$B$5:$B$599,0)),$D728))</f>
        <v>RN</v>
      </c>
      <c r="AH728" t="str">
        <f>IF($C728="","",IFERROR(INDEX('Staff Directory'!$I$595:$I$599,MATCH($C728,'Staff Directory'!$B$5:$B$599,0))&amp;" "&amp;INDEX('Staff Directory'!$J$595:$J$599,MATCH($C728,'Staff Directory'!$B$5:$B$599,0)),$AG728))</f>
        <v>RN</v>
      </c>
      <c r="AI728" s="102"/>
      <c r="AJ728" s="101">
        <f>IF($F728="","",SUMIFS($J$5:$J728,$F$5:$F728,$F728))</f>
        <v>85</v>
      </c>
      <c r="AK728" s="101">
        <f t="shared" si="126"/>
        <v>85</v>
      </c>
      <c r="AL728" s="66" t="str" cm="1">
        <f t="array" ref="AL728">IF($F728="","",IFERROR(INDEX('Lot Balance'!$B$5:$B$500,MATCH(1,INDEX(('Lot Balance'!$A$5:$A$500=$F728)*('Lot Balance'!$K$5:$K$500&lt;$AK728)*('Lot Balance'!$K$5:$K$500+'Lot Balance'!$D$5:$D$500&gt;=$AK728),0),0)),""))</f>
        <v>20-21734-3</v>
      </c>
      <c r="AM728" s="66" t="str" cm="1">
        <f t="array" ref="AM728">IF($F728="","",IFERROR(INDEX('Lot Balance'!$B$5:$B$500,MATCH(1,INDEX(('Lot Balance'!$A$5:$A$500=$F728)*('Lot Balance'!$K$5:$K$500&lt;$AJ728)*('Lot Balance'!$K$5:$K$500+'Lot Balance'!$D$5:$D$500&gt;=$AJ728),0),0)),""))</f>
        <v>20-21734-3</v>
      </c>
      <c r="AN728" s="66" t="str">
        <f>IF($F728="","",IF($AI728&lt;&gt;"",IF(COUNTIFS('Lot Balance'!$A$5:$A$500,$F728,'Lot Balance'!$B$5:$B$500,$AI728)=0,"⚠ override is not a lot of this item",IF($AI728=$AL728,"Override = FEFO","Override - FEFO says "&amp;$AL728)),IF($AL728="","⚠ no receipt on file for this item",IF($AM728&lt;&gt;$AL728,"FEFO auto - split, also "&amp;$AM728,"FEFO auto"))))</f>
        <v>FEFO auto</v>
      </c>
      <c r="AO728" s="114"/>
    </row>
    <row r="729" spans="1:41" x14ac:dyDescent="0.35">
      <c r="A729" s="74">
        <v>46161</v>
      </c>
      <c r="B729" s="18" t="str">
        <f>IF($C729="","",IFERROR(INDEX('Staff Directory'!$A$5:$A$594,MATCH($C729,'Staff Directory'!$B$5:$B$594,0)),"⚠ unknown staff"))</f>
        <v>RN-040-A2</v>
      </c>
      <c r="C729" s="49" t="s">
        <v>962</v>
      </c>
      <c r="D729" s="19" t="str">
        <f>IF($B729="","",IFERROR(INDEX('Staff Directory'!$C$5:$C$594,MATCH($B729,'Staff Directory'!$A$5:$A$594,0)),""))</f>
        <v>RN</v>
      </c>
      <c r="E729" s="19" t="str">
        <f>IF($B729="","",IFERROR(INDEX('Staff Directory'!$D$5:$D$594,MATCH($B729,'Staff Directory'!$A$5:$A$594,0)),""))</f>
        <v>A2</v>
      </c>
      <c r="F729" s="9" t="s">
        <v>156</v>
      </c>
      <c r="G729" s="18" t="str">
        <f>IF($F729="","",IFERROR(INDEX(Items!$B$5:$B$597,MATCH($F729,Items!$A$5:$A$597,0)),"⚠ not in Items"))</f>
        <v>Masks</v>
      </c>
      <c r="H729" s="19" t="str">
        <f>IF($F729="","",IFERROR(INDEX(Items!$C$5:$C$597,MATCH($F729,Items!$A$5:$A$597,0)),""))</f>
        <v>One Size</v>
      </c>
      <c r="I729" s="23">
        <f>IF($F729="","",IFERROR(INDEX(Items!$E$5:$E$597,MATCH($F729,Items!$A$5:$A$597,0)),""))</f>
        <v>50</v>
      </c>
      <c r="J729" s="115">
        <f>IF(tblIssues[[#This Row],[Qty Override]]&lt;&gt;"",tblIssues[[#This Row],[Qty Override]],IF(tblIssues[[#This Row],[Standard Issue]]="","",tblIssues[[#This Row],[Standard Issue]]))</f>
        <v>50</v>
      </c>
      <c r="K729" s="20">
        <f>IF($F729="","",IFERROR(INDEX(Items!$D$5:$D$597,MATCH($F729,Items!$A$5:$A$597,0)),""))</f>
        <v>0.25</v>
      </c>
      <c r="L729" s="21">
        <f t="shared" si="127"/>
        <v>12.5</v>
      </c>
      <c r="M729" s="9" t="str">
        <f t="shared" si="128"/>
        <v>0125FPC24-0</v>
      </c>
      <c r="N729" s="24">
        <f>IF($A729="","",WORKDAY($A729,Settings!$C$9,HolidayDates))</f>
        <v>46169</v>
      </c>
      <c r="O729" s="24">
        <f>IF($N729="","",WORKDAY($N729,Settings!$C$10,HolidayDates))</f>
        <v>46209</v>
      </c>
      <c r="P729" s="10" t="s">
        <v>502</v>
      </c>
      <c r="Q729" s="52" t="str">
        <f t="shared" si="130"/>
        <v>Collected</v>
      </c>
      <c r="R729" s="55" t="str">
        <f t="shared" si="131"/>
        <v>2026-05</v>
      </c>
      <c r="S729" s="55">
        <f>IF(OR($B729="",$F729="",$R729=""),"",SUMIFS(tblIssues[Qty Issued],tblIssues[Staff ID],$B729,tblIssues[Item Name],$F729,tblIssues[Month],$R729))</f>
        <v>50</v>
      </c>
      <c r="T729" s="56">
        <f>IF($I729="","",$I729*Settings!$C$11)</f>
        <v>50</v>
      </c>
      <c r="U729" s="57" t="str">
        <f t="shared" si="129"/>
        <v>OK</v>
      </c>
      <c r="V729" s="55" t="str">
        <f t="shared" si="132"/>
        <v/>
      </c>
      <c r="W729" s="55" t="str">
        <f>IF($V729="","",IF(COUNTIF($V$5:$V729,$V729)=1,1,""))</f>
        <v/>
      </c>
      <c r="X729" s="58" t="str">
        <f>IF($W729="","",MAX($X$4:X728)+1)</f>
        <v/>
      </c>
      <c r="Y729" s="62"/>
      <c r="Z729" s="62"/>
      <c r="AA729" s="64" t="str">
        <f>IF($C729="","",IFERROR(INDEX('Staff Directory'!$E$5:$E$594,MATCH($C729,'Staff Directory'!$B$5:$B$594,0)),""))</f>
        <v>firstname046.lastname046@example.com</v>
      </c>
      <c r="AB729" s="64" t="str">
        <f>IF($C729="","",IF(ISNUMBER(SEARCH($D729,Settings!$C$15)),"Pickup","Dispatch"))</f>
        <v>Dispatch</v>
      </c>
      <c r="AC729" s="64" t="str">
        <f t="shared" si="133"/>
        <v>Supply order dispatched</v>
      </c>
      <c r="AD729" s="64" t="str">
        <f t="shared" si="124"/>
        <v>Dear RN,
Your order has been dispatched and is in transit. Reply if undelivered.</v>
      </c>
      <c r="AE729" s="64" t="str">
        <f t="shared" si="125"/>
        <v>mailto:firstname046.lastname046@example.com?subject=Supply%20order%20dispatched&amp;body=Dear%20RN%2C%0A%0AYour%20order%20has%20been%20dispatched%20and%20is%20in%20transit.%20Reply%20if%20undelivered.</v>
      </c>
      <c r="AF729" s="89" t="str">
        <f t="shared" si="134"/>
        <v>Draft email</v>
      </c>
      <c r="AG729" s="64" t="str">
        <f>IF($C729="","",IFERROR(INDEX('Staff Directory'!$K$595:$K$599,MATCH($C729,'Staff Directory'!$B$5:$B$599,0)),$D729))</f>
        <v>RN</v>
      </c>
      <c r="AH729" t="str">
        <f>IF($C729="","",IFERROR(INDEX('Staff Directory'!$I$595:$I$599,MATCH($C729,'Staff Directory'!$B$5:$B$599,0))&amp;" "&amp;INDEX('Staff Directory'!$J$595:$J$599,MATCH($C729,'Staff Directory'!$B$5:$B$599,0)),$AG729))</f>
        <v>RN</v>
      </c>
      <c r="AI729" s="102"/>
      <c r="AJ729" s="101">
        <f>IF($F729="","",SUMIFS($J$5:$J729,$F$5:$F729,$F729))</f>
        <v>5950</v>
      </c>
      <c r="AK729" s="101">
        <f t="shared" si="126"/>
        <v>5901</v>
      </c>
      <c r="AL729" s="66" t="str" cm="1">
        <f t="array" ref="AL729">IF($F729="","",IFERROR(INDEX('Lot Balance'!$B$5:$B$500,MATCH(1,INDEX(('Lot Balance'!$A$5:$A$500=$F729)*('Lot Balance'!$K$5:$K$500&lt;$AK729)*('Lot Balance'!$K$5:$K$500+'Lot Balance'!$D$5:$D$500&gt;=$AK729),0),0)),""))</f>
        <v>0125FPC24-0</v>
      </c>
      <c r="AM729" s="66" t="str" cm="1">
        <f t="array" ref="AM729">IF($F729="","",IFERROR(INDEX('Lot Balance'!$B$5:$B$500,MATCH(1,INDEX(('Lot Balance'!$A$5:$A$500=$F729)*('Lot Balance'!$K$5:$K$500&lt;$AJ729)*('Lot Balance'!$K$5:$K$500+'Lot Balance'!$D$5:$D$500&gt;=$AJ729),0),0)),""))</f>
        <v>0125FPC24-0</v>
      </c>
      <c r="AN729" s="66" t="str">
        <f>IF($F729="","",IF($AI729&lt;&gt;"",IF(COUNTIFS('Lot Balance'!$A$5:$A$500,$F729,'Lot Balance'!$B$5:$B$500,$AI729)=0,"⚠ override is not a lot of this item",IF($AI729=$AL729,"Override = FEFO","Override - FEFO says "&amp;$AL729)),IF($AL729="","⚠ no receipt on file for this item",IF($AM729&lt;&gt;$AL729,"FEFO auto - split, also "&amp;$AM729,"FEFO auto"))))</f>
        <v>FEFO auto</v>
      </c>
      <c r="AO729" s="114"/>
    </row>
    <row r="730" spans="1:41" x14ac:dyDescent="0.35">
      <c r="A730" s="74">
        <v>46161</v>
      </c>
      <c r="B730" s="18" t="str">
        <f>IF($C730="","",IFERROR(INDEX('Staff Directory'!$A$5:$A$594,MATCH($C730,'Staff Directory'!$B$5:$B$594,0)),"⚠ unknown staff"))</f>
        <v>RN-040-A2</v>
      </c>
      <c r="C730" s="49" t="s">
        <v>962</v>
      </c>
      <c r="D730" s="19" t="str">
        <f>IF($B730="","",IFERROR(INDEX('Staff Directory'!$C$5:$C$594,MATCH($B730,'Staff Directory'!$A$5:$A$594,0)),""))</f>
        <v>RN</v>
      </c>
      <c r="E730" s="19" t="str">
        <f>IF($B730="","",IFERROR(INDEX('Staff Directory'!$D$5:$D$594,MATCH($B730,'Staff Directory'!$A$5:$A$594,0)),""))</f>
        <v>A2</v>
      </c>
      <c r="F730" s="9" t="s">
        <v>757</v>
      </c>
      <c r="G730" s="18" t="str">
        <f>IF($F730="","",IFERROR(INDEX(Items!$B$5:$B$597,MATCH($F730,Items!$A$5:$A$597,0)),"⚠ not in Items"))</f>
        <v>Documents</v>
      </c>
      <c r="H730" s="19" t="str">
        <f>IF($F730="","",IFERROR(INDEX(Items!$C$5:$C$597,MATCH($F730,Items!$A$5:$A$597,0)),""))</f>
        <v>Standard</v>
      </c>
      <c r="I730" s="23">
        <f>IF($F730="","",IFERROR(INDEX(Items!$E$5:$E$597,MATCH($F730,Items!$A$5:$A$597,0)),""))</f>
        <v>10</v>
      </c>
      <c r="J730" s="115">
        <f>IF(tblIssues[[#This Row],[Qty Override]]&lt;&gt;"",tblIssues[[#This Row],[Qty Override]],IF(tblIssues[[#This Row],[Standard Issue]]="","",tblIssues[[#This Row],[Standard Issue]]))</f>
        <v>10</v>
      </c>
      <c r="K730" s="20">
        <f>IF($F730="","",IFERROR(INDEX(Items!$D$5:$D$597,MATCH($F730,Items!$A$5:$A$597,0)),""))</f>
        <v>0</v>
      </c>
      <c r="L730" s="21">
        <f t="shared" si="127"/>
        <v>0</v>
      </c>
      <c r="M730" s="9" t="str">
        <f t="shared" si="128"/>
        <v/>
      </c>
      <c r="N730" s="24">
        <f>IF($A730="","",WORKDAY($A730,Settings!$C$9,HolidayDates))</f>
        <v>46169</v>
      </c>
      <c r="O730" s="24">
        <f>IF($N730="","",WORKDAY($N730,Settings!$C$10,HolidayDates))</f>
        <v>46209</v>
      </c>
      <c r="P730" s="10" t="s">
        <v>502</v>
      </c>
      <c r="Q730" s="52" t="str">
        <f t="shared" si="130"/>
        <v>Collected</v>
      </c>
      <c r="R730" s="55" t="str">
        <f t="shared" si="131"/>
        <v>2026-05</v>
      </c>
      <c r="S730" s="55">
        <f>IF(OR($B730="",$F730="",$R730=""),"",SUMIFS(tblIssues[Qty Issued],tblIssues[Staff ID],$B730,tblIssues[Item Name],$F730,tblIssues[Month],$R730))</f>
        <v>10</v>
      </c>
      <c r="T730" s="56">
        <f>IF($I730="","",$I730*Settings!$C$11)</f>
        <v>10</v>
      </c>
      <c r="U730" s="57" t="str">
        <f t="shared" si="129"/>
        <v>OK</v>
      </c>
      <c r="V730" s="55" t="str">
        <f t="shared" si="132"/>
        <v/>
      </c>
      <c r="W730" s="55" t="str">
        <f>IF($V730="","",IF(COUNTIF($V$5:$V730,$V730)=1,1,""))</f>
        <v/>
      </c>
      <c r="X730" s="58" t="str">
        <f>IF($W730="","",MAX($X$4:X729)+1)</f>
        <v/>
      </c>
      <c r="Y730" s="62"/>
      <c r="Z730" s="62"/>
      <c r="AA730" s="64" t="str">
        <f>IF($C730="","",IFERROR(INDEX('Staff Directory'!$E$5:$E$594,MATCH($C730,'Staff Directory'!$B$5:$B$594,0)),""))</f>
        <v>firstname046.lastname046@example.com</v>
      </c>
      <c r="AB730" s="64" t="str">
        <f>IF($C730="","",IF(ISNUMBER(SEARCH($D730,Settings!$C$15)),"Pickup","Dispatch"))</f>
        <v>Dispatch</v>
      </c>
      <c r="AC730" s="64" t="str">
        <f t="shared" si="133"/>
        <v>Supply order dispatched</v>
      </c>
      <c r="AD730" s="64" t="str">
        <f t="shared" si="124"/>
        <v>Dear RN,
Your order has been dispatched and is in transit. Reply if undelivered.</v>
      </c>
      <c r="AE730" s="64" t="str">
        <f t="shared" si="125"/>
        <v>mailto:firstname046.lastname046@example.com?subject=Supply%20order%20dispatched&amp;body=Dear%20RN%2C%0A%0AYour%20order%20has%20been%20dispatched%20and%20is%20in%20transit.%20Reply%20if%20undelivered.</v>
      </c>
      <c r="AF730" s="89" t="str">
        <f t="shared" si="134"/>
        <v>Draft email</v>
      </c>
      <c r="AG730" s="64" t="str">
        <f>IF($C730="","",IFERROR(INDEX('Staff Directory'!$K$595:$K$599,MATCH($C730,'Staff Directory'!$B$5:$B$599,0)),$D730))</f>
        <v>RN</v>
      </c>
      <c r="AH730" t="str">
        <f>IF($C730="","",IFERROR(INDEX('Staff Directory'!$I$595:$I$599,MATCH($C730,'Staff Directory'!$B$5:$B$599,0))&amp;" "&amp;INDEX('Staff Directory'!$J$595:$J$599,MATCH($C730,'Staff Directory'!$B$5:$B$599,0)),$AG730))</f>
        <v>RN</v>
      </c>
      <c r="AI730" s="102"/>
      <c r="AJ730" s="101">
        <f>IF($F730="","",SUMIFS($J$5:$J730,$F$5:$F730,$F730))</f>
        <v>440</v>
      </c>
      <c r="AK730" s="101">
        <f t="shared" si="126"/>
        <v>431</v>
      </c>
      <c r="AL730" s="66" t="str" cm="1">
        <f t="array" ref="AL730">IF($F730="","",IFERROR(INDEX('Lot Balance'!$B$5:$B$500,MATCH(1,INDEX(('Lot Balance'!$A$5:$A$500=$F730)*('Lot Balance'!$K$5:$K$500&lt;$AK730)*('Lot Balance'!$K$5:$K$500+'Lot Balance'!$D$5:$D$500&gt;=$AK730),0),0)),""))</f>
        <v/>
      </c>
      <c r="AM730" s="66" t="str" cm="1">
        <f t="array" ref="AM730">IF($F730="","",IFERROR(INDEX('Lot Balance'!$B$5:$B$500,MATCH(1,INDEX(('Lot Balance'!$A$5:$A$500=$F730)*('Lot Balance'!$K$5:$K$500&lt;$AJ730)*('Lot Balance'!$K$5:$K$500+'Lot Balance'!$D$5:$D$500&gt;=$AJ730),0),0)),""))</f>
        <v/>
      </c>
      <c r="AN730" s="66" t="str">
        <f>IF($F730="","",IF($AI730&lt;&gt;"",IF(COUNTIFS('Lot Balance'!$A$5:$A$500,$F730,'Lot Balance'!$B$5:$B$500,$AI730)=0,"⚠ override is not a lot of this item",IF($AI730=$AL730,"Override = FEFO","Override - FEFO says "&amp;$AL730)),IF($AL730="","⚠ no receipt on file for this item",IF($AM730&lt;&gt;$AL730,"FEFO auto - split, also "&amp;$AM730,"FEFO auto"))))</f>
        <v>⚠ no receipt on file for this item</v>
      </c>
      <c r="AO730" s="114"/>
    </row>
    <row r="731" spans="1:41" x14ac:dyDescent="0.35">
      <c r="A731" s="74">
        <v>46161</v>
      </c>
      <c r="B731" s="18" t="str">
        <f>IF($C731="","",IFERROR(INDEX('Staff Directory'!$A$5:$A$594,MATCH($C731,'Staff Directory'!$B$5:$B$594,0)),"⚠ unknown staff"))</f>
        <v>RN-009-A2</v>
      </c>
      <c r="C731" s="49" t="s">
        <v>925</v>
      </c>
      <c r="D731" s="19" t="str">
        <f>IF($B731="","",IFERROR(INDEX('Staff Directory'!$C$5:$C$594,MATCH($B731,'Staff Directory'!$A$5:$A$594,0)),""))</f>
        <v>RN</v>
      </c>
      <c r="E731" s="19" t="str">
        <f>IF($B731="","",IFERROR(INDEX('Staff Directory'!$D$5:$D$594,MATCH($B731,'Staff Directory'!$A$5:$A$594,0)),""))</f>
        <v>A2</v>
      </c>
      <c r="F731" s="9" t="s">
        <v>127</v>
      </c>
      <c r="G731" s="18" t="str">
        <f>IF($F731="","",IFERROR(INDEX(Items!$B$5:$B$597,MATCH($F731,Items!$A$5:$A$597,0)),"⚠ not in Items"))</f>
        <v>Gloves</v>
      </c>
      <c r="H731" s="19" t="str">
        <f>IF($F731="","",IFERROR(INDEX(Items!$C$5:$C$597,MATCH($F731,Items!$A$5:$A$597,0)),""))</f>
        <v>Medium</v>
      </c>
      <c r="I731" s="23">
        <f>IF($F731="","",IFERROR(INDEX(Items!$E$5:$E$597,MATCH($F731,Items!$A$5:$A$597,0)),""))</f>
        <v>500</v>
      </c>
      <c r="J731" s="115">
        <f>IF(tblIssues[[#This Row],[Qty Override]]&lt;&gt;"",tblIssues[[#This Row],[Qty Override]],IF(tblIssues[[#This Row],[Standard Issue]]="","",tblIssues[[#This Row],[Standard Issue]]))</f>
        <v>500</v>
      </c>
      <c r="K731" s="20">
        <f>IF($F731="","",IFERROR(INDEX(Items!$D$5:$D$597,MATCH($F731,Items!$A$5:$A$597,0)),""))</f>
        <v>5.5E-2</v>
      </c>
      <c r="L731" s="21">
        <f t="shared" si="127"/>
        <v>27.5</v>
      </c>
      <c r="M731" s="9" t="str">
        <f t="shared" si="128"/>
        <v>O16689</v>
      </c>
      <c r="N731" s="24">
        <f>IF($A731="","",WORKDAY($A731,Settings!$C$9,HolidayDates))</f>
        <v>46169</v>
      </c>
      <c r="O731" s="24">
        <f>IF($N731="","",WORKDAY($N731,Settings!$C$10,HolidayDates))</f>
        <v>46209</v>
      </c>
      <c r="P731" s="10" t="s">
        <v>502</v>
      </c>
      <c r="Q731" s="52" t="str">
        <f t="shared" si="130"/>
        <v>Collected</v>
      </c>
      <c r="R731" s="55" t="str">
        <f t="shared" si="131"/>
        <v>2026-05</v>
      </c>
      <c r="S731" s="55">
        <f>IF(OR($B731="",$F731="",$R731=""),"",SUMIFS(tblIssues[Qty Issued],tblIssues[Staff ID],$B731,tblIssues[Item Name],$F731,tblIssues[Month],$R731))</f>
        <v>500</v>
      </c>
      <c r="T731" s="56">
        <f>IF($I731="","",$I731*Settings!$C$11)</f>
        <v>500</v>
      </c>
      <c r="U731" s="57" t="str">
        <f t="shared" si="129"/>
        <v>OK</v>
      </c>
      <c r="V731" s="55" t="str">
        <f t="shared" si="132"/>
        <v/>
      </c>
      <c r="W731" s="55" t="str">
        <f>IF($V731="","",IF(COUNTIF($V$5:$V731,$V731)=1,1,""))</f>
        <v/>
      </c>
      <c r="X731" s="58" t="str">
        <f>IF($W731="","",MAX($X$4:X730)+1)</f>
        <v/>
      </c>
      <c r="Y731" s="62"/>
      <c r="Z731" s="62"/>
      <c r="AA731" s="64" t="str">
        <f>IF($C731="","",IFERROR(INDEX('Staff Directory'!$E$5:$E$594,MATCH($C731,'Staff Directory'!$B$5:$B$594,0)),""))</f>
        <v>firstname009.lastname009@example.com</v>
      </c>
      <c r="AB731" s="64" t="str">
        <f>IF($C731="","",IF(ISNUMBER(SEARCH($D731,Settings!$C$15)),"Pickup","Dispatch"))</f>
        <v>Dispatch</v>
      </c>
      <c r="AC731" s="64" t="str">
        <f t="shared" si="133"/>
        <v>Supply order dispatched</v>
      </c>
      <c r="AD731" s="64" t="str">
        <f t="shared" si="124"/>
        <v>Dear RN,
Your order has been dispatched and is in transit. Reply if undelivered.</v>
      </c>
      <c r="AE731" s="64" t="str">
        <f t="shared" si="125"/>
        <v>mailto:firstname009.lastname009@example.com?subject=Supply%20order%20dispatched&amp;body=Dear%20RN%2C%0A%0AYour%20order%20has%20been%20dispatched%20and%20is%20in%20transit.%20Reply%20if%20undelivered.</v>
      </c>
      <c r="AF731" s="89" t="str">
        <f t="shared" si="134"/>
        <v>Draft email</v>
      </c>
      <c r="AG731" s="64" t="str">
        <f>IF($C731="","",IFERROR(INDEX('Staff Directory'!$K$595:$K$599,MATCH($C731,'Staff Directory'!$B$5:$B$599,0)),$D731))</f>
        <v>RN</v>
      </c>
      <c r="AH731" t="str">
        <f>IF($C731="","",IFERROR(INDEX('Staff Directory'!$I$595:$I$599,MATCH($C731,'Staff Directory'!$B$5:$B$599,0))&amp;" "&amp;INDEX('Staff Directory'!$J$595:$J$599,MATCH($C731,'Staff Directory'!$B$5:$B$599,0)),$AG731))</f>
        <v>RN</v>
      </c>
      <c r="AI731" s="102"/>
      <c r="AJ731" s="101">
        <f>IF($F731="","",SUMIFS($J$5:$J731,$F$5:$F731,$F731))</f>
        <v>43000</v>
      </c>
      <c r="AK731" s="101">
        <f t="shared" si="126"/>
        <v>42501</v>
      </c>
      <c r="AL731" s="66" t="str" cm="1">
        <f t="array" ref="AL731">IF($F731="","",IFERROR(INDEX('Lot Balance'!$B$5:$B$500,MATCH(1,INDEX(('Lot Balance'!$A$5:$A$500=$F731)*('Lot Balance'!$K$5:$K$500&lt;$AK731)*('Lot Balance'!$K$5:$K$500+'Lot Balance'!$D$5:$D$500&gt;=$AK731),0),0)),""))</f>
        <v>O16689</v>
      </c>
      <c r="AM731" s="66" t="str" cm="1">
        <f t="array" ref="AM731">IF($F731="","",IFERROR(INDEX('Lot Balance'!$B$5:$B$500,MATCH(1,INDEX(('Lot Balance'!$A$5:$A$500=$F731)*('Lot Balance'!$K$5:$K$500&lt;$AJ731)*('Lot Balance'!$K$5:$K$500+'Lot Balance'!$D$5:$D$500&gt;=$AJ731),0),0)),""))</f>
        <v>O16689</v>
      </c>
      <c r="AN731" s="66" t="str">
        <f>IF($F731="","",IF($AI731&lt;&gt;"",IF(COUNTIFS('Lot Balance'!$A$5:$A$500,$F731,'Lot Balance'!$B$5:$B$500,$AI731)=0,"⚠ override is not a lot of this item",IF($AI731=$AL731,"Override = FEFO","Override - FEFO says "&amp;$AL731)),IF($AL731="","⚠ no receipt on file for this item",IF($AM731&lt;&gt;$AL731,"FEFO auto - split, also "&amp;$AM731,"FEFO auto"))))</f>
        <v>FEFO auto</v>
      </c>
      <c r="AO731" s="114"/>
    </row>
    <row r="732" spans="1:41" x14ac:dyDescent="0.35">
      <c r="A732" s="74">
        <v>46161</v>
      </c>
      <c r="B732" s="18" t="str">
        <f>IF($C732="","",IFERROR(INDEX('Staff Directory'!$A$5:$A$594,MATCH($C732,'Staff Directory'!$B$5:$B$594,0)),"⚠ unknown staff"))</f>
        <v>RN-009-A2</v>
      </c>
      <c r="C732" s="49" t="s">
        <v>925</v>
      </c>
      <c r="D732" s="19" t="str">
        <f>IF($B732="","",IFERROR(INDEX('Staff Directory'!$C$5:$C$594,MATCH($B732,'Staff Directory'!$A$5:$A$594,0)),""))</f>
        <v>RN</v>
      </c>
      <c r="E732" s="19" t="str">
        <f>IF($B732="","",IFERROR(INDEX('Staff Directory'!$D$5:$D$594,MATCH($B732,'Staff Directory'!$A$5:$A$594,0)),""))</f>
        <v>A2</v>
      </c>
      <c r="F732" s="9" t="s">
        <v>191</v>
      </c>
      <c r="G732" s="18" t="str">
        <f>IF($F732="","",IFERROR(INDEX(Items!$B$5:$B$597,MATCH($F732,Items!$A$5:$A$597,0)),"⚠ not in Items"))</f>
        <v>Sanitizer</v>
      </c>
      <c r="H732" s="19" t="str">
        <f>IF($F732="","",IFERROR(INDEX(Items!$C$5:$C$597,MATCH($F732,Items!$A$5:$A$597,0)),""))</f>
        <v>236 ML</v>
      </c>
      <c r="I732" s="23">
        <f>IF($F732="","",IFERROR(INDEX(Items!$E$5:$E$597,MATCH($F732,Items!$A$5:$A$597,0)),""))</f>
        <v>1</v>
      </c>
      <c r="J732" s="115">
        <f>IF(tblIssues[[#This Row],[Qty Override]]&lt;&gt;"",tblIssues[[#This Row],[Qty Override]],IF(tblIssues[[#This Row],[Standard Issue]]="","",tblIssues[[#This Row],[Standard Issue]]))</f>
        <v>1</v>
      </c>
      <c r="K732" s="20">
        <f>IF($F732="","",IFERROR(INDEX(Items!$D$5:$D$597,MATCH($F732,Items!$A$5:$A$597,0)),""))</f>
        <v>1E-4</v>
      </c>
      <c r="L732" s="21">
        <f t="shared" si="127"/>
        <v>1E-4</v>
      </c>
      <c r="M732" s="9" t="str">
        <f t="shared" si="128"/>
        <v>20-21734-3</v>
      </c>
      <c r="N732" s="24">
        <f>IF($A732="","",WORKDAY($A732,Settings!$C$9,HolidayDates))</f>
        <v>46169</v>
      </c>
      <c r="O732" s="24">
        <f>IF($N732="","",WORKDAY($N732,Settings!$C$10,HolidayDates))</f>
        <v>46209</v>
      </c>
      <c r="P732" s="10" t="s">
        <v>502</v>
      </c>
      <c r="Q732" s="52" t="str">
        <f t="shared" si="130"/>
        <v>Collected</v>
      </c>
      <c r="R732" s="55" t="str">
        <f t="shared" si="131"/>
        <v>2026-05</v>
      </c>
      <c r="S732" s="55">
        <f>IF(OR($B732="",$F732="",$R732=""),"",SUMIFS(tblIssues[Qty Issued],tblIssues[Staff ID],$B732,tblIssues[Item Name],$F732,tblIssues[Month],$R732))</f>
        <v>2</v>
      </c>
      <c r="T732" s="56">
        <f>IF($I732="","",$I732*Settings!$C$11)</f>
        <v>1</v>
      </c>
      <c r="U732" s="57" t="str">
        <f t="shared" si="129"/>
        <v>⚠ OVER QUOTA</v>
      </c>
      <c r="V732" s="55" t="str">
        <f t="shared" si="132"/>
        <v>RN-009-A2 | Hand Sanitizer OS | 2026-05</v>
      </c>
      <c r="W732" s="55">
        <f>IF($V732="","",IF(COUNTIF($V$5:$V732,$V732)=1,1,""))</f>
        <v>1</v>
      </c>
      <c r="X732" s="58">
        <f>IF($W732="","",MAX($X$4:X731)+1)</f>
        <v>17</v>
      </c>
      <c r="Y732" s="62"/>
      <c r="Z732" s="62"/>
      <c r="AA732" s="64" t="str">
        <f>IF($C732="","",IFERROR(INDEX('Staff Directory'!$E$5:$E$594,MATCH($C732,'Staff Directory'!$B$5:$B$594,0)),""))</f>
        <v>firstname009.lastname009@example.com</v>
      </c>
      <c r="AB732" s="64" t="str">
        <f>IF($C732="","",IF(ISNUMBER(SEARCH($D732,Settings!$C$15)),"Pickup","Dispatch"))</f>
        <v>Dispatch</v>
      </c>
      <c r="AC732" s="64" t="str">
        <f t="shared" si="133"/>
        <v>Supply order dispatched</v>
      </c>
      <c r="AD732" s="64" t="str">
        <f t="shared" si="124"/>
        <v>Dear RN,
Your order has been dispatched and is in transit. Reply if undelivered.</v>
      </c>
      <c r="AE732" s="64" t="str">
        <f t="shared" si="125"/>
        <v>mailto:firstname009.lastname009@example.com?subject=Supply%20order%20dispatched&amp;body=Dear%20RN%2C%0A%0AYour%20order%20has%20been%20dispatched%20and%20is%20in%20transit.%20Reply%20if%20undelivered.</v>
      </c>
      <c r="AF732" s="89" t="str">
        <f t="shared" si="134"/>
        <v>Draft email</v>
      </c>
      <c r="AG732" s="64" t="str">
        <f>IF($C732="","",IFERROR(INDEX('Staff Directory'!$K$595:$K$599,MATCH($C732,'Staff Directory'!$B$5:$B$599,0)),$D732))</f>
        <v>RN</v>
      </c>
      <c r="AH732" t="str">
        <f>IF($C732="","",IFERROR(INDEX('Staff Directory'!$I$595:$I$599,MATCH($C732,'Staff Directory'!$B$5:$B$599,0))&amp;" "&amp;INDEX('Staff Directory'!$J$595:$J$599,MATCH($C732,'Staff Directory'!$B$5:$B$599,0)),$AG732))</f>
        <v>RN</v>
      </c>
      <c r="AI732" s="102"/>
      <c r="AJ732" s="101">
        <f>IF($F732="","",SUMIFS($J$5:$J732,$F$5:$F732,$F732))</f>
        <v>86</v>
      </c>
      <c r="AK732" s="101">
        <f t="shared" si="126"/>
        <v>86</v>
      </c>
      <c r="AL732" s="66" t="str" cm="1">
        <f t="array" ref="AL732">IF($F732="","",IFERROR(INDEX('Lot Balance'!$B$5:$B$500,MATCH(1,INDEX(('Lot Balance'!$A$5:$A$500=$F732)*('Lot Balance'!$K$5:$K$500&lt;$AK732)*('Lot Balance'!$K$5:$K$500+'Lot Balance'!$D$5:$D$500&gt;=$AK732),0),0)),""))</f>
        <v>20-21734-3</v>
      </c>
      <c r="AM732" s="66" t="str" cm="1">
        <f t="array" ref="AM732">IF($F732="","",IFERROR(INDEX('Lot Balance'!$B$5:$B$500,MATCH(1,INDEX(('Lot Balance'!$A$5:$A$500=$F732)*('Lot Balance'!$K$5:$K$500&lt;$AJ732)*('Lot Balance'!$K$5:$K$500+'Lot Balance'!$D$5:$D$500&gt;=$AJ732),0),0)),""))</f>
        <v>20-21734-3</v>
      </c>
      <c r="AN732" s="66" t="str">
        <f>IF($F732="","",IF($AI732&lt;&gt;"",IF(COUNTIFS('Lot Balance'!$A$5:$A$500,$F732,'Lot Balance'!$B$5:$B$500,$AI732)=0,"⚠ override is not a lot of this item",IF($AI732=$AL732,"Override = FEFO","Override - FEFO says "&amp;$AL732)),IF($AL732="","⚠ no receipt on file for this item",IF($AM732&lt;&gt;$AL732,"FEFO auto - split, also "&amp;$AM732,"FEFO auto"))))</f>
        <v>FEFO auto</v>
      </c>
      <c r="AO732" s="114"/>
    </row>
    <row r="733" spans="1:41" x14ac:dyDescent="0.35">
      <c r="A733" s="74">
        <v>46161</v>
      </c>
      <c r="B733" s="18" t="str">
        <f>IF($C733="","",IFERROR(INDEX('Staff Directory'!$A$5:$A$594,MATCH($C733,'Staff Directory'!$B$5:$B$594,0)),"⚠ unknown staff"))</f>
        <v>RN-009-A2</v>
      </c>
      <c r="C733" s="49" t="s">
        <v>925</v>
      </c>
      <c r="D733" s="19" t="str">
        <f>IF($B733="","",IFERROR(INDEX('Staff Directory'!$C$5:$C$594,MATCH($B733,'Staff Directory'!$A$5:$A$594,0)),""))</f>
        <v>RN</v>
      </c>
      <c r="E733" s="19" t="str">
        <f>IF($B733="","",IFERROR(INDEX('Staff Directory'!$D$5:$D$594,MATCH($B733,'Staff Directory'!$A$5:$A$594,0)),""))</f>
        <v>A2</v>
      </c>
      <c r="F733" s="9" t="s">
        <v>191</v>
      </c>
      <c r="G733" s="18" t="str">
        <f>IF($F733="","",IFERROR(INDEX(Items!$B$5:$B$597,MATCH($F733,Items!$A$5:$A$597,0)),"⚠ not in Items"))</f>
        <v>Sanitizer</v>
      </c>
      <c r="H733" s="19" t="str">
        <f>IF($F733="","",IFERROR(INDEX(Items!$C$5:$C$597,MATCH($F733,Items!$A$5:$A$597,0)),""))</f>
        <v>236 ML</v>
      </c>
      <c r="I733" s="23">
        <f>IF($F733="","",IFERROR(INDEX(Items!$E$5:$E$597,MATCH($F733,Items!$A$5:$A$597,0)),""))</f>
        <v>1</v>
      </c>
      <c r="J733" s="115">
        <f>IF(tblIssues[[#This Row],[Qty Override]]&lt;&gt;"",tblIssues[[#This Row],[Qty Override]],IF(tblIssues[[#This Row],[Standard Issue]]="","",tblIssues[[#This Row],[Standard Issue]]))</f>
        <v>1</v>
      </c>
      <c r="K733" s="20">
        <f>IF($F733="","",IFERROR(INDEX(Items!$D$5:$D$597,MATCH($F733,Items!$A$5:$A$597,0)),""))</f>
        <v>1E-4</v>
      </c>
      <c r="L733" s="21">
        <f t="shared" si="127"/>
        <v>1E-4</v>
      </c>
      <c r="M733" s="9" t="str">
        <f t="shared" si="128"/>
        <v>20-21734-3</v>
      </c>
      <c r="N733" s="24">
        <f>IF($A733="","",WORKDAY($A733,Settings!$C$9,HolidayDates))</f>
        <v>46169</v>
      </c>
      <c r="O733" s="24">
        <f>IF($N733="","",WORKDAY($N733,Settings!$C$10,HolidayDates))</f>
        <v>46209</v>
      </c>
      <c r="P733" s="10" t="s">
        <v>502</v>
      </c>
      <c r="Q733" s="52" t="str">
        <f t="shared" si="130"/>
        <v>Collected</v>
      </c>
      <c r="R733" s="55" t="str">
        <f t="shared" si="131"/>
        <v>2026-05</v>
      </c>
      <c r="S733" s="55">
        <f>IF(OR($B733="",$F733="",$R733=""),"",SUMIFS(tblIssues[Qty Issued],tblIssues[Staff ID],$B733,tblIssues[Item Name],$F733,tblIssues[Month],$R733))</f>
        <v>2</v>
      </c>
      <c r="T733" s="56">
        <f>IF($I733="","",$I733*Settings!$C$11)</f>
        <v>1</v>
      </c>
      <c r="U733" s="57" t="str">
        <f t="shared" si="129"/>
        <v>⚠ OVER QUOTA</v>
      </c>
      <c r="V733" s="55" t="str">
        <f t="shared" si="132"/>
        <v>RN-009-A2 | Hand Sanitizer OS | 2026-05</v>
      </c>
      <c r="W733" s="55" t="str">
        <f>IF($V733="","",IF(COUNTIF($V$5:$V733,$V733)=1,1,""))</f>
        <v/>
      </c>
      <c r="X733" s="58" t="str">
        <f>IF($W733="","",MAX($X$4:X732)+1)</f>
        <v/>
      </c>
      <c r="Y733" s="62"/>
      <c r="Z733" s="62"/>
      <c r="AA733" s="64" t="str">
        <f>IF($C733="","",IFERROR(INDEX('Staff Directory'!$E$5:$E$594,MATCH($C733,'Staff Directory'!$B$5:$B$594,0)),""))</f>
        <v>firstname009.lastname009@example.com</v>
      </c>
      <c r="AB733" s="64" t="str">
        <f>IF($C733="","",IF(ISNUMBER(SEARCH($D733,Settings!$C$15)),"Pickup","Dispatch"))</f>
        <v>Dispatch</v>
      </c>
      <c r="AC733" s="64" t="str">
        <f t="shared" si="133"/>
        <v>Supply order dispatched</v>
      </c>
      <c r="AD733" s="64" t="str">
        <f t="shared" si="124"/>
        <v>Dear RN,
Your order has been dispatched and is in transit. Reply if undelivered.</v>
      </c>
      <c r="AE733" s="64" t="str">
        <f t="shared" si="125"/>
        <v>mailto:firstname009.lastname009@example.com?subject=Supply%20order%20dispatched&amp;body=Dear%20RN%2C%0A%0AYour%20order%20has%20been%20dispatched%20and%20is%20in%20transit.%20Reply%20if%20undelivered.</v>
      </c>
      <c r="AF733" s="89" t="str">
        <f t="shared" si="134"/>
        <v>Draft email</v>
      </c>
      <c r="AG733" s="64" t="str">
        <f>IF($C733="","",IFERROR(INDEX('Staff Directory'!$K$595:$K$599,MATCH($C733,'Staff Directory'!$B$5:$B$599,0)),$D733))</f>
        <v>RN</v>
      </c>
      <c r="AH733" t="str">
        <f>IF($C733="","",IFERROR(INDEX('Staff Directory'!$I$595:$I$599,MATCH($C733,'Staff Directory'!$B$5:$B$599,0))&amp;" "&amp;INDEX('Staff Directory'!$J$595:$J$599,MATCH($C733,'Staff Directory'!$B$5:$B$599,0)),$AG733))</f>
        <v>RN</v>
      </c>
      <c r="AI733" s="102"/>
      <c r="AJ733" s="101">
        <f>IF($F733="","",SUMIFS($J$5:$J733,$F$5:$F733,$F733))</f>
        <v>87</v>
      </c>
      <c r="AK733" s="101">
        <f t="shared" si="126"/>
        <v>87</v>
      </c>
      <c r="AL733" s="66" t="str" cm="1">
        <f t="array" ref="AL733">IF($F733="","",IFERROR(INDEX('Lot Balance'!$B$5:$B$500,MATCH(1,INDEX(('Lot Balance'!$A$5:$A$500=$F733)*('Lot Balance'!$K$5:$K$500&lt;$AK733)*('Lot Balance'!$K$5:$K$500+'Lot Balance'!$D$5:$D$500&gt;=$AK733),0),0)),""))</f>
        <v>20-21734-3</v>
      </c>
      <c r="AM733" s="66" t="str" cm="1">
        <f t="array" ref="AM733">IF($F733="","",IFERROR(INDEX('Lot Balance'!$B$5:$B$500,MATCH(1,INDEX(('Lot Balance'!$A$5:$A$500=$F733)*('Lot Balance'!$K$5:$K$500&lt;$AJ733)*('Lot Balance'!$K$5:$K$500+'Lot Balance'!$D$5:$D$500&gt;=$AJ733),0),0)),""))</f>
        <v>20-21734-3</v>
      </c>
      <c r="AN733" s="66" t="str">
        <f>IF($F733="","",IF($AI733&lt;&gt;"",IF(COUNTIFS('Lot Balance'!$A$5:$A$500,$F733,'Lot Balance'!$B$5:$B$500,$AI733)=0,"⚠ override is not a lot of this item",IF($AI733=$AL733,"Override = FEFO","Override - FEFO says "&amp;$AL733)),IF($AL733="","⚠ no receipt on file for this item",IF($AM733&lt;&gt;$AL733,"FEFO auto - split, also "&amp;$AM733,"FEFO auto"))))</f>
        <v>FEFO auto</v>
      </c>
      <c r="AO733" s="114"/>
    </row>
    <row r="734" spans="1:41" x14ac:dyDescent="0.35">
      <c r="A734" s="74">
        <v>46161</v>
      </c>
      <c r="B734" s="18" t="str">
        <f>IF($C734="","",IFERROR(INDEX('Staff Directory'!$A$5:$A$594,MATCH($C734,'Staff Directory'!$B$5:$B$594,0)),"⚠ unknown staff"))</f>
        <v>RN-009-A2</v>
      </c>
      <c r="C734" s="49" t="s">
        <v>925</v>
      </c>
      <c r="D734" s="19" t="str">
        <f>IF($B734="","",IFERROR(INDEX('Staff Directory'!$C$5:$C$594,MATCH($B734,'Staff Directory'!$A$5:$A$594,0)),""))</f>
        <v>RN</v>
      </c>
      <c r="E734" s="19" t="str">
        <f>IF($B734="","",IFERROR(INDEX('Staff Directory'!$D$5:$D$594,MATCH($B734,'Staff Directory'!$A$5:$A$594,0)),""))</f>
        <v>A2</v>
      </c>
      <c r="F734" s="9" t="s">
        <v>115</v>
      </c>
      <c r="G734" s="18" t="str">
        <f>IF($F734="","",IFERROR(INDEX(Items!$B$5:$B$597,MATCH($F734,Items!$A$5:$A$597,0)),"⚠ not in Items"))</f>
        <v>Wipes</v>
      </c>
      <c r="H734" s="19">
        <f>IF($F734="","",IFERROR(INDEX(Items!$C$5:$C$597,MATCH($F734,Items!$A$5:$A$597,0)),""))</f>
        <v>80</v>
      </c>
      <c r="I734" s="23">
        <f>IF($F734="","",IFERROR(INDEX(Items!$E$5:$E$597,MATCH($F734,Items!$A$5:$A$597,0)),""))</f>
        <v>80</v>
      </c>
      <c r="J734" s="115">
        <f>IF(tblIssues[[#This Row],[Qty Override]]&lt;&gt;"",tblIssues[[#This Row],[Qty Override]],IF(tblIssues[[#This Row],[Standard Issue]]="","",tblIssues[[#This Row],[Standard Issue]]))</f>
        <v>80</v>
      </c>
      <c r="K734" s="20">
        <f>IF($F734="","",IFERROR(INDEX(Items!$D$5:$D$597,MATCH($F734,Items!$A$5:$A$597,0)),""))</f>
        <v>0.1</v>
      </c>
      <c r="L734" s="21">
        <f t="shared" si="127"/>
        <v>8</v>
      </c>
      <c r="M734" s="9" t="str">
        <f t="shared" si="128"/>
        <v>LYSL500290</v>
      </c>
      <c r="N734" s="24">
        <f>IF($A734="","",WORKDAY($A734,Settings!$C$9,HolidayDates))</f>
        <v>46169</v>
      </c>
      <c r="O734" s="24">
        <f>IF($N734="","",WORKDAY($N734,Settings!$C$10,HolidayDates))</f>
        <v>46209</v>
      </c>
      <c r="P734" s="10" t="s">
        <v>502</v>
      </c>
      <c r="Q734" s="52" t="str">
        <f t="shared" si="130"/>
        <v>Collected</v>
      </c>
      <c r="R734" s="55" t="str">
        <f t="shared" si="131"/>
        <v>2026-05</v>
      </c>
      <c r="S734" s="55">
        <f>IF(OR($B734="",$F734="",$R734=""),"",SUMIFS(tblIssues[Qty Issued],tblIssues[Staff ID],$B734,tblIssues[Item Name],$F734,tblIssues[Month],$R734))</f>
        <v>80</v>
      </c>
      <c r="T734" s="56">
        <f>IF($I734="","",$I734*Settings!$C$11)</f>
        <v>80</v>
      </c>
      <c r="U734" s="57" t="str">
        <f t="shared" si="129"/>
        <v>OK</v>
      </c>
      <c r="V734" s="55" t="str">
        <f t="shared" si="132"/>
        <v/>
      </c>
      <c r="W734" s="55" t="str">
        <f>IF($V734="","",IF(COUNTIF($V$5:$V734,$V734)=1,1,""))</f>
        <v/>
      </c>
      <c r="X734" s="58" t="str">
        <f>IF($W734="","",MAX($X$4:X733)+1)</f>
        <v/>
      </c>
      <c r="Y734" s="62"/>
      <c r="Z734" s="62"/>
      <c r="AA734" s="64" t="str">
        <f>IF($C734="","",IFERROR(INDEX('Staff Directory'!$E$5:$E$594,MATCH($C734,'Staff Directory'!$B$5:$B$594,0)),""))</f>
        <v>firstname009.lastname009@example.com</v>
      </c>
      <c r="AB734" s="64" t="str">
        <f>IF($C734="","",IF(ISNUMBER(SEARCH($D734,Settings!$C$15)),"Pickup","Dispatch"))</f>
        <v>Dispatch</v>
      </c>
      <c r="AC734" s="64" t="str">
        <f t="shared" si="133"/>
        <v>Supply order dispatched</v>
      </c>
      <c r="AD734" s="64" t="str">
        <f t="shared" si="124"/>
        <v>Dear RN,
Your order has been dispatched and is in transit. Reply if undelivered.</v>
      </c>
      <c r="AE734" s="64" t="str">
        <f t="shared" si="125"/>
        <v>mailto:firstname009.lastname009@example.com?subject=Supply%20order%20dispatched&amp;body=Dear%20RN%2C%0A%0AYour%20order%20has%20been%20dispatched%20and%20is%20in%20transit.%20Reply%20if%20undelivered.</v>
      </c>
      <c r="AF734" s="89" t="str">
        <f t="shared" si="134"/>
        <v>Draft email</v>
      </c>
      <c r="AG734" s="64" t="str">
        <f>IF($C734="","",IFERROR(INDEX('Staff Directory'!$K$595:$K$599,MATCH($C734,'Staff Directory'!$B$5:$B$599,0)),$D734))</f>
        <v>RN</v>
      </c>
      <c r="AH734" t="str">
        <f>IF($C734="","",IFERROR(INDEX('Staff Directory'!$I$595:$I$599,MATCH($C734,'Staff Directory'!$B$5:$B$599,0))&amp;" "&amp;INDEX('Staff Directory'!$J$595:$J$599,MATCH($C734,'Staff Directory'!$B$5:$B$599,0)),$AG734))</f>
        <v>RN</v>
      </c>
      <c r="AI734" s="102"/>
      <c r="AJ734" s="101">
        <f>IF($F734="","",SUMIFS($J$5:$J734,$F$5:$F734,$F734))</f>
        <v>10320</v>
      </c>
      <c r="AK734" s="101">
        <f t="shared" si="126"/>
        <v>10241</v>
      </c>
      <c r="AL734" s="66" t="str" cm="1">
        <f t="array" ref="AL734">IF($F734="","",IFERROR(INDEX('Lot Balance'!$B$5:$B$500,MATCH(1,INDEX(('Lot Balance'!$A$5:$A$500=$F734)*('Lot Balance'!$K$5:$K$500&lt;$AK734)*('Lot Balance'!$K$5:$K$500+'Lot Balance'!$D$5:$D$500&gt;=$AK734),0),0)),""))</f>
        <v>LYSL500290</v>
      </c>
      <c r="AM734" s="66" t="str" cm="1">
        <f t="array" ref="AM734">IF($F734="","",IFERROR(INDEX('Lot Balance'!$B$5:$B$500,MATCH(1,INDEX(('Lot Balance'!$A$5:$A$500=$F734)*('Lot Balance'!$K$5:$K$500&lt;$AJ734)*('Lot Balance'!$K$5:$K$500+'Lot Balance'!$D$5:$D$500&gt;=$AJ734),0),0)),""))</f>
        <v>LYSL500290</v>
      </c>
      <c r="AN734" s="66" t="str">
        <f>IF($F734="","",IF($AI734&lt;&gt;"",IF(COUNTIFS('Lot Balance'!$A$5:$A$500,$F734,'Lot Balance'!$B$5:$B$500,$AI734)=0,"⚠ override is not a lot of this item",IF($AI734=$AL734,"Override = FEFO","Override - FEFO says "&amp;$AL734)),IF($AL734="","⚠ no receipt on file for this item",IF($AM734&lt;&gt;$AL734,"FEFO auto - split, also "&amp;$AM734,"FEFO auto"))))</f>
        <v>FEFO auto</v>
      </c>
      <c r="AO734" s="114"/>
    </row>
    <row r="735" spans="1:41" x14ac:dyDescent="0.35">
      <c r="A735" s="74">
        <v>46161</v>
      </c>
      <c r="B735" s="18" t="str">
        <f>IF($C735="","",IFERROR(INDEX('Staff Directory'!$A$5:$A$594,MATCH($C735,'Staff Directory'!$B$5:$B$594,0)),"⚠ unknown staff"))</f>
        <v>RN-009-A2</v>
      </c>
      <c r="C735" s="49" t="s">
        <v>925</v>
      </c>
      <c r="D735" s="19" t="str">
        <f>IF($B735="","",IFERROR(INDEX('Staff Directory'!$C$5:$C$594,MATCH($B735,'Staff Directory'!$A$5:$A$594,0)),""))</f>
        <v>RN</v>
      </c>
      <c r="E735" s="19" t="str">
        <f>IF($B735="","",IFERROR(INDEX('Staff Directory'!$D$5:$D$594,MATCH($B735,'Staff Directory'!$A$5:$A$594,0)),""))</f>
        <v>A2</v>
      </c>
      <c r="F735" s="9" t="s">
        <v>156</v>
      </c>
      <c r="G735" s="18" t="str">
        <f>IF($F735="","",IFERROR(INDEX(Items!$B$5:$B$597,MATCH($F735,Items!$A$5:$A$597,0)),"⚠ not in Items"))</f>
        <v>Masks</v>
      </c>
      <c r="H735" s="19" t="str">
        <f>IF($F735="","",IFERROR(INDEX(Items!$C$5:$C$597,MATCH($F735,Items!$A$5:$A$597,0)),""))</f>
        <v>One Size</v>
      </c>
      <c r="I735" s="23">
        <f>IF($F735="","",IFERROR(INDEX(Items!$E$5:$E$597,MATCH($F735,Items!$A$5:$A$597,0)),""))</f>
        <v>50</v>
      </c>
      <c r="J735" s="115">
        <f>IF(tblIssues[[#This Row],[Qty Override]]&lt;&gt;"",tblIssues[[#This Row],[Qty Override]],IF(tblIssues[[#This Row],[Standard Issue]]="","",tblIssues[[#This Row],[Standard Issue]]))</f>
        <v>50</v>
      </c>
      <c r="K735" s="20">
        <f>IF($F735="","",IFERROR(INDEX(Items!$D$5:$D$597,MATCH($F735,Items!$A$5:$A$597,0)),""))</f>
        <v>0.25</v>
      </c>
      <c r="L735" s="21">
        <f t="shared" si="127"/>
        <v>12.5</v>
      </c>
      <c r="M735" s="9" t="str">
        <f t="shared" si="128"/>
        <v>0125FPC24-0</v>
      </c>
      <c r="N735" s="24">
        <f>IF($A735="","",WORKDAY($A735,Settings!$C$9,HolidayDates))</f>
        <v>46169</v>
      </c>
      <c r="O735" s="24">
        <f>IF($N735="","",WORKDAY($N735,Settings!$C$10,HolidayDates))</f>
        <v>46209</v>
      </c>
      <c r="P735" s="10" t="s">
        <v>502</v>
      </c>
      <c r="Q735" s="52" t="str">
        <f t="shared" si="130"/>
        <v>Collected</v>
      </c>
      <c r="R735" s="55" t="str">
        <f t="shared" si="131"/>
        <v>2026-05</v>
      </c>
      <c r="S735" s="55">
        <f>IF(OR($B735="",$F735="",$R735=""),"",SUMIFS(tblIssues[Qty Issued],tblIssues[Staff ID],$B735,tblIssues[Item Name],$F735,tblIssues[Month],$R735))</f>
        <v>50</v>
      </c>
      <c r="T735" s="56">
        <f>IF($I735="","",$I735*Settings!$C$11)</f>
        <v>50</v>
      </c>
      <c r="U735" s="57" t="str">
        <f t="shared" si="129"/>
        <v>OK</v>
      </c>
      <c r="V735" s="55" t="str">
        <f t="shared" si="132"/>
        <v/>
      </c>
      <c r="W735" s="55" t="str">
        <f>IF($V735="","",IF(COUNTIF($V$5:$V735,$V735)=1,1,""))</f>
        <v/>
      </c>
      <c r="X735" s="58" t="str">
        <f>IF($W735="","",MAX($X$4:X734)+1)</f>
        <v/>
      </c>
      <c r="Y735" s="62"/>
      <c r="Z735" s="62"/>
      <c r="AA735" s="64" t="str">
        <f>IF($C735="","",IFERROR(INDEX('Staff Directory'!$E$5:$E$594,MATCH($C735,'Staff Directory'!$B$5:$B$594,0)),""))</f>
        <v>firstname009.lastname009@example.com</v>
      </c>
      <c r="AB735" s="64" t="str">
        <f>IF($C735="","",IF(ISNUMBER(SEARCH($D735,Settings!$C$15)),"Pickup","Dispatch"))</f>
        <v>Dispatch</v>
      </c>
      <c r="AC735" s="64" t="str">
        <f t="shared" si="133"/>
        <v>Supply order dispatched</v>
      </c>
      <c r="AD735" s="64" t="str">
        <f t="shared" si="124"/>
        <v>Dear RN,
Your order has been dispatched and is in transit. Reply if undelivered.</v>
      </c>
      <c r="AE735" s="64" t="str">
        <f t="shared" si="125"/>
        <v>mailto:firstname009.lastname009@example.com?subject=Supply%20order%20dispatched&amp;body=Dear%20RN%2C%0A%0AYour%20order%20has%20been%20dispatched%20and%20is%20in%20transit.%20Reply%20if%20undelivered.</v>
      </c>
      <c r="AF735" s="89" t="str">
        <f t="shared" si="134"/>
        <v>Draft email</v>
      </c>
      <c r="AG735" s="64" t="str">
        <f>IF($C735="","",IFERROR(INDEX('Staff Directory'!$K$595:$K$599,MATCH($C735,'Staff Directory'!$B$5:$B$599,0)),$D735))</f>
        <v>RN</v>
      </c>
      <c r="AH735" t="str">
        <f>IF($C735="","",IFERROR(INDEX('Staff Directory'!$I$595:$I$599,MATCH($C735,'Staff Directory'!$B$5:$B$599,0))&amp;" "&amp;INDEX('Staff Directory'!$J$595:$J$599,MATCH($C735,'Staff Directory'!$B$5:$B$599,0)),$AG735))</f>
        <v>RN</v>
      </c>
      <c r="AI735" s="102"/>
      <c r="AJ735" s="101">
        <f>IF($F735="","",SUMIFS($J$5:$J735,$F$5:$F735,$F735))</f>
        <v>6000</v>
      </c>
      <c r="AK735" s="101">
        <f t="shared" si="126"/>
        <v>5951</v>
      </c>
      <c r="AL735" s="66" t="str" cm="1">
        <f t="array" ref="AL735">IF($F735="","",IFERROR(INDEX('Lot Balance'!$B$5:$B$500,MATCH(1,INDEX(('Lot Balance'!$A$5:$A$500=$F735)*('Lot Balance'!$K$5:$K$500&lt;$AK735)*('Lot Balance'!$K$5:$K$500+'Lot Balance'!$D$5:$D$500&gt;=$AK735),0),0)),""))</f>
        <v>0125FPC24-0</v>
      </c>
      <c r="AM735" s="66" t="str" cm="1">
        <f t="array" ref="AM735">IF($F735="","",IFERROR(INDEX('Lot Balance'!$B$5:$B$500,MATCH(1,INDEX(('Lot Balance'!$A$5:$A$500=$F735)*('Lot Balance'!$K$5:$K$500&lt;$AJ735)*('Lot Balance'!$K$5:$K$500+'Lot Balance'!$D$5:$D$500&gt;=$AJ735),0),0)),""))</f>
        <v>0125FPC24-0</v>
      </c>
      <c r="AN735" s="66" t="str">
        <f>IF($F735="","",IF($AI735&lt;&gt;"",IF(COUNTIFS('Lot Balance'!$A$5:$A$500,$F735,'Lot Balance'!$B$5:$B$500,$AI735)=0,"⚠ override is not a lot of this item",IF($AI735=$AL735,"Override = FEFO","Override - FEFO says "&amp;$AL735)),IF($AL735="","⚠ no receipt on file for this item",IF($AM735&lt;&gt;$AL735,"FEFO auto - split, also "&amp;$AM735,"FEFO auto"))))</f>
        <v>FEFO auto</v>
      </c>
      <c r="AO735" s="114"/>
    </row>
    <row r="736" spans="1:41" x14ac:dyDescent="0.35">
      <c r="A736" s="74">
        <v>46161</v>
      </c>
      <c r="B736" s="18" t="str">
        <f>IF($C736="","",IFERROR(INDEX('Staff Directory'!$A$5:$A$594,MATCH($C736,'Staff Directory'!$B$5:$B$594,0)),"⚠ unknown staff"))</f>
        <v>RN-009-A2</v>
      </c>
      <c r="C736" s="49" t="s">
        <v>925</v>
      </c>
      <c r="D736" s="19" t="str">
        <f>IF($B736="","",IFERROR(INDEX('Staff Directory'!$C$5:$C$594,MATCH($B736,'Staff Directory'!$A$5:$A$594,0)),""))</f>
        <v>RN</v>
      </c>
      <c r="E736" s="19" t="str">
        <f>IF($B736="","",IFERROR(INDEX('Staff Directory'!$D$5:$D$594,MATCH($B736,'Staff Directory'!$A$5:$A$594,0)),""))</f>
        <v>A2</v>
      </c>
      <c r="F736" s="9" t="s">
        <v>757</v>
      </c>
      <c r="G736" s="18" t="str">
        <f>IF($F736="","",IFERROR(INDEX(Items!$B$5:$B$597,MATCH($F736,Items!$A$5:$A$597,0)),"⚠ not in Items"))</f>
        <v>Documents</v>
      </c>
      <c r="H736" s="19" t="str">
        <f>IF($F736="","",IFERROR(INDEX(Items!$C$5:$C$597,MATCH($F736,Items!$A$5:$A$597,0)),""))</f>
        <v>Standard</v>
      </c>
      <c r="I736" s="23">
        <f>IF($F736="","",IFERROR(INDEX(Items!$E$5:$E$597,MATCH($F736,Items!$A$5:$A$597,0)),""))</f>
        <v>10</v>
      </c>
      <c r="J736" s="115">
        <f>IF(tblIssues[[#This Row],[Qty Override]]&lt;&gt;"",tblIssues[[#This Row],[Qty Override]],IF(tblIssues[[#This Row],[Standard Issue]]="","",tblIssues[[#This Row],[Standard Issue]]))</f>
        <v>10</v>
      </c>
      <c r="K736" s="20">
        <f>IF($F736="","",IFERROR(INDEX(Items!$D$5:$D$597,MATCH($F736,Items!$A$5:$A$597,0)),""))</f>
        <v>0</v>
      </c>
      <c r="L736" s="21">
        <f t="shared" si="127"/>
        <v>0</v>
      </c>
      <c r="M736" s="9" t="str">
        <f t="shared" si="128"/>
        <v/>
      </c>
      <c r="N736" s="24">
        <f>IF($A736="","",WORKDAY($A736,Settings!$C$9,HolidayDates))</f>
        <v>46169</v>
      </c>
      <c r="O736" s="24">
        <f>IF($N736="","",WORKDAY($N736,Settings!$C$10,HolidayDates))</f>
        <v>46209</v>
      </c>
      <c r="P736" s="10" t="s">
        <v>502</v>
      </c>
      <c r="Q736" s="52" t="str">
        <f t="shared" si="130"/>
        <v>Collected</v>
      </c>
      <c r="R736" s="55" t="str">
        <f t="shared" si="131"/>
        <v>2026-05</v>
      </c>
      <c r="S736" s="55">
        <f>IF(OR($B736="",$F736="",$R736=""),"",SUMIFS(tblIssues[Qty Issued],tblIssues[Staff ID],$B736,tblIssues[Item Name],$F736,tblIssues[Month],$R736))</f>
        <v>10</v>
      </c>
      <c r="T736" s="56">
        <f>IF($I736="","",$I736*Settings!$C$11)</f>
        <v>10</v>
      </c>
      <c r="U736" s="57" t="str">
        <f t="shared" si="129"/>
        <v>OK</v>
      </c>
      <c r="V736" s="55" t="str">
        <f t="shared" si="132"/>
        <v/>
      </c>
      <c r="W736" s="55" t="str">
        <f>IF($V736="","",IF(COUNTIF($V$5:$V736,$V736)=1,1,""))</f>
        <v/>
      </c>
      <c r="X736" s="58" t="str">
        <f>IF($W736="","",MAX($X$4:X735)+1)</f>
        <v/>
      </c>
      <c r="Y736" s="62"/>
      <c r="Z736" s="62"/>
      <c r="AA736" s="64" t="str">
        <f>IF($C736="","",IFERROR(INDEX('Staff Directory'!$E$5:$E$594,MATCH($C736,'Staff Directory'!$B$5:$B$594,0)),""))</f>
        <v>firstname009.lastname009@example.com</v>
      </c>
      <c r="AB736" s="64" t="str">
        <f>IF($C736="","",IF(ISNUMBER(SEARCH($D736,Settings!$C$15)),"Pickup","Dispatch"))</f>
        <v>Dispatch</v>
      </c>
      <c r="AC736" s="64" t="str">
        <f t="shared" si="133"/>
        <v>Supply order dispatched</v>
      </c>
      <c r="AD736" s="64" t="str">
        <f t="shared" si="124"/>
        <v>Dear RN,
Your order has been dispatched and is in transit. Reply if undelivered.</v>
      </c>
      <c r="AE736" s="64" t="str">
        <f t="shared" si="125"/>
        <v>mailto:firstname009.lastname009@example.com?subject=Supply%20order%20dispatched&amp;body=Dear%20RN%2C%0A%0AYour%20order%20has%20been%20dispatched%20and%20is%20in%20transit.%20Reply%20if%20undelivered.</v>
      </c>
      <c r="AF736" s="89" t="str">
        <f t="shared" si="134"/>
        <v>Draft email</v>
      </c>
      <c r="AG736" s="64" t="str">
        <f>IF($C736="","",IFERROR(INDEX('Staff Directory'!$K$595:$K$599,MATCH($C736,'Staff Directory'!$B$5:$B$599,0)),$D736))</f>
        <v>RN</v>
      </c>
      <c r="AH736" t="str">
        <f>IF($C736="","",IFERROR(INDEX('Staff Directory'!$I$595:$I$599,MATCH($C736,'Staff Directory'!$B$5:$B$599,0))&amp;" "&amp;INDEX('Staff Directory'!$J$595:$J$599,MATCH($C736,'Staff Directory'!$B$5:$B$599,0)),$AG736))</f>
        <v>RN</v>
      </c>
      <c r="AI736" s="102"/>
      <c r="AJ736" s="101">
        <f>IF($F736="","",SUMIFS($J$5:$J736,$F$5:$F736,$F736))</f>
        <v>450</v>
      </c>
      <c r="AK736" s="101">
        <f t="shared" si="126"/>
        <v>441</v>
      </c>
      <c r="AL736" s="66" t="str" cm="1">
        <f t="array" ref="AL736">IF($F736="","",IFERROR(INDEX('Lot Balance'!$B$5:$B$500,MATCH(1,INDEX(('Lot Balance'!$A$5:$A$500=$F736)*('Lot Balance'!$K$5:$K$500&lt;$AK736)*('Lot Balance'!$K$5:$K$500+'Lot Balance'!$D$5:$D$500&gt;=$AK736),0),0)),""))</f>
        <v/>
      </c>
      <c r="AM736" s="66" t="str" cm="1">
        <f t="array" ref="AM736">IF($F736="","",IFERROR(INDEX('Lot Balance'!$B$5:$B$500,MATCH(1,INDEX(('Lot Balance'!$A$5:$A$500=$F736)*('Lot Balance'!$K$5:$K$500&lt;$AJ736)*('Lot Balance'!$K$5:$K$500+'Lot Balance'!$D$5:$D$500&gt;=$AJ736),0),0)),""))</f>
        <v/>
      </c>
      <c r="AN736" s="66" t="str">
        <f>IF($F736="","",IF($AI736&lt;&gt;"",IF(COUNTIFS('Lot Balance'!$A$5:$A$500,$F736,'Lot Balance'!$B$5:$B$500,$AI736)=0,"⚠ override is not a lot of this item",IF($AI736=$AL736,"Override = FEFO","Override - FEFO says "&amp;$AL736)),IF($AL736="","⚠ no receipt on file for this item",IF($AM736&lt;&gt;$AL736,"FEFO auto - split, also "&amp;$AM736,"FEFO auto"))))</f>
        <v>⚠ no receipt on file for this item</v>
      </c>
      <c r="AO736" s="114"/>
    </row>
    <row r="737" spans="1:41" x14ac:dyDescent="0.35">
      <c r="A737" s="74">
        <v>46161</v>
      </c>
      <c r="B737" s="18" t="str">
        <f>IF($C737="","",IFERROR(INDEX('Staff Directory'!$A$5:$A$594,MATCH($C737,'Staff Directory'!$B$5:$B$594,0)),"⚠ unknown staff"))</f>
        <v>PSW-128-A6</v>
      </c>
      <c r="C737" s="49" t="s">
        <v>1107</v>
      </c>
      <c r="D737" s="19" t="str">
        <f>IF($B737="","",IFERROR(INDEX('Staff Directory'!$C$5:$C$594,MATCH($B737,'Staff Directory'!$A$5:$A$594,0)),""))</f>
        <v>PSW</v>
      </c>
      <c r="E737" s="19" t="str">
        <f>IF($B737="","",IFERROR(INDEX('Staff Directory'!$D$5:$D$594,MATCH($B737,'Staff Directory'!$A$5:$A$594,0)),""))</f>
        <v>A6</v>
      </c>
      <c r="F737" s="9" t="s">
        <v>129</v>
      </c>
      <c r="G737" s="18" t="str">
        <f>IF($F737="","",IFERROR(INDEX(Items!$B$5:$B$597,MATCH($F737,Items!$A$5:$A$597,0)),"⚠ not in Items"))</f>
        <v>Gloves</v>
      </c>
      <c r="H737" s="19" t="str">
        <f>IF($F737="","",IFERROR(INDEX(Items!$C$5:$C$597,MATCH($F737,Items!$A$5:$A$597,0)),""))</f>
        <v>Small</v>
      </c>
      <c r="I737" s="23">
        <f>IF($F737="","",IFERROR(INDEX(Items!$E$5:$E$597,MATCH($F737,Items!$A$5:$A$597,0)),""))</f>
        <v>500</v>
      </c>
      <c r="J737" s="115">
        <f>IF(tblIssues[[#This Row],[Qty Override]]&lt;&gt;"",tblIssues[[#This Row],[Qty Override]],IF(tblIssues[[#This Row],[Standard Issue]]="","",tblIssues[[#This Row],[Standard Issue]]))</f>
        <v>500</v>
      </c>
      <c r="K737" s="20">
        <f>IF($F737="","",IFERROR(INDEX(Items!$D$5:$D$597,MATCH($F737,Items!$A$5:$A$597,0)),""))</f>
        <v>5.5E-2</v>
      </c>
      <c r="L737" s="21">
        <f t="shared" si="127"/>
        <v>27.5</v>
      </c>
      <c r="M737" s="9" t="str">
        <f t="shared" si="128"/>
        <v>O211LIC25-0</v>
      </c>
      <c r="N737" s="24">
        <f>IF($A737="","",WORKDAY($A737,Settings!$C$9,HolidayDates))</f>
        <v>46169</v>
      </c>
      <c r="O737" s="24">
        <f>IF($N737="","",WORKDAY($N737,Settings!$C$10,HolidayDates))</f>
        <v>46209</v>
      </c>
      <c r="P737" s="10" t="s">
        <v>501</v>
      </c>
      <c r="Q737" s="52" t="str">
        <f t="shared" si="130"/>
        <v>Collected</v>
      </c>
      <c r="R737" s="55" t="str">
        <f t="shared" si="131"/>
        <v>2026-05</v>
      </c>
      <c r="S737" s="55">
        <f>IF(OR($B737="",$F737="",$R737=""),"",SUMIFS(tblIssues[Qty Issued],tblIssues[Staff ID],$B737,tblIssues[Item Name],$F737,tblIssues[Month],$R737))</f>
        <v>500</v>
      </c>
      <c r="T737" s="56">
        <f>IF($I737="","",$I737*Settings!$C$11)</f>
        <v>500</v>
      </c>
      <c r="U737" s="57" t="str">
        <f t="shared" si="129"/>
        <v>OK</v>
      </c>
      <c r="V737" s="55" t="str">
        <f t="shared" si="132"/>
        <v/>
      </c>
      <c r="W737" s="55" t="str">
        <f>IF($V737="","",IF(COUNTIF($V$5:$V737,$V737)=1,1,""))</f>
        <v/>
      </c>
      <c r="X737" s="58" t="str">
        <f>IF($W737="","",MAX($X$4:X736)+1)</f>
        <v/>
      </c>
      <c r="Y737" s="62"/>
      <c r="Z737" s="62"/>
      <c r="AA737" s="64" t="str">
        <f>IF($C737="","",IFERROR(INDEX('Staff Directory'!$E$5:$E$594,MATCH($C737,'Staff Directory'!$B$5:$B$594,0)),""))</f>
        <v>firstname191.lastname191@example.com</v>
      </c>
      <c r="AB737" s="64" t="str">
        <f>IF($C737="","",IF(ISNUMBER(SEARCH($D737,Settings!$C$15)),"Pickup","Dispatch"))</f>
        <v>Pickup</v>
      </c>
      <c r="AC737" s="64" t="str">
        <f t="shared" si="133"/>
        <v>Supply order ready for pickup</v>
      </c>
      <c r="AD737" s="64" t="str">
        <f t="shared" si="124"/>
        <v>Dear PSW,
Your order is ready for pickup from Sample Branch, Wed-Fri 9am-4pm.</v>
      </c>
      <c r="AE737" s="64" t="str">
        <f t="shared" si="125"/>
        <v>mailto:firstname191.lastname191@example.com?subject=Supply%20order%20ready%20for%20pickup&amp;body=Dear%20PSW%2C%0A%0AYour%20order%20is%20ready%20for%20pickup%20from%20Sample%20Branch%2C%20Wed-Fri%209am-4pm.</v>
      </c>
      <c r="AF737" s="89" t="str">
        <f t="shared" si="134"/>
        <v>Draft email</v>
      </c>
      <c r="AG737" s="64" t="str">
        <f>IF($C737="","",IFERROR(INDEX('Staff Directory'!$K$595:$K$599,MATCH($C737,'Staff Directory'!$B$5:$B$599,0)),$D737))</f>
        <v>PSW</v>
      </c>
      <c r="AH737" t="str">
        <f>IF($C737="","",IFERROR(INDEX('Staff Directory'!$I$595:$I$599,MATCH($C737,'Staff Directory'!$B$5:$B$599,0))&amp;" "&amp;INDEX('Staff Directory'!$J$595:$J$599,MATCH($C737,'Staff Directory'!$B$5:$B$599,0)),$AG737))</f>
        <v>PSW</v>
      </c>
      <c r="AI737" s="102"/>
      <c r="AJ737" s="101">
        <f>IF($F737="","",SUMIFS($J$5:$J737,$F$5:$F737,$F737))</f>
        <v>27000</v>
      </c>
      <c r="AK737" s="101">
        <f t="shared" si="126"/>
        <v>26501</v>
      </c>
      <c r="AL737" s="66" t="str" cm="1">
        <f t="array" ref="AL737">IF($F737="","",IFERROR(INDEX('Lot Balance'!$B$5:$B$500,MATCH(1,INDEX(('Lot Balance'!$A$5:$A$500=$F737)*('Lot Balance'!$K$5:$K$500&lt;$AK737)*('Lot Balance'!$K$5:$K$500+'Lot Balance'!$D$5:$D$500&gt;=$AK737),0),0)),""))</f>
        <v>O211LIC25-0</v>
      </c>
      <c r="AM737" s="66" t="str" cm="1">
        <f t="array" ref="AM737">IF($F737="","",IFERROR(INDEX('Lot Balance'!$B$5:$B$500,MATCH(1,INDEX(('Lot Balance'!$A$5:$A$500=$F737)*('Lot Balance'!$K$5:$K$500&lt;$AJ737)*('Lot Balance'!$K$5:$K$500+'Lot Balance'!$D$5:$D$500&gt;=$AJ737),0),0)),""))</f>
        <v>O211LIC25-0</v>
      </c>
      <c r="AN737" s="66" t="str">
        <f>IF($F737="","",IF($AI737&lt;&gt;"",IF(COUNTIFS('Lot Balance'!$A$5:$A$500,$F737,'Lot Balance'!$B$5:$B$500,$AI737)=0,"⚠ override is not a lot of this item",IF($AI737=$AL737,"Override = FEFO","Override - FEFO says "&amp;$AL737)),IF($AL737="","⚠ no receipt on file for this item",IF($AM737&lt;&gt;$AL737,"FEFO auto - split, also "&amp;$AM737,"FEFO auto"))))</f>
        <v>FEFO auto</v>
      </c>
      <c r="AO737" s="114"/>
    </row>
    <row r="738" spans="1:41" x14ac:dyDescent="0.35">
      <c r="A738" s="74">
        <v>46161</v>
      </c>
      <c r="B738" s="18" t="str">
        <f>IF($C738="","",IFERROR(INDEX('Staff Directory'!$A$5:$A$594,MATCH($C738,'Staff Directory'!$B$5:$B$594,0)),"⚠ unknown staff"))</f>
        <v>PSW-128-A6</v>
      </c>
      <c r="C738" s="49" t="s">
        <v>1107</v>
      </c>
      <c r="D738" s="19" t="str">
        <f>IF($B738="","",IFERROR(INDEX('Staff Directory'!$C$5:$C$594,MATCH($B738,'Staff Directory'!$A$5:$A$594,0)),""))</f>
        <v>PSW</v>
      </c>
      <c r="E738" s="19" t="str">
        <f>IF($B738="","",IFERROR(INDEX('Staff Directory'!$D$5:$D$594,MATCH($B738,'Staff Directory'!$A$5:$A$594,0)),""))</f>
        <v>A6</v>
      </c>
      <c r="F738" s="9" t="s">
        <v>115</v>
      </c>
      <c r="G738" s="18" t="str">
        <f>IF($F738="","",IFERROR(INDEX(Items!$B$5:$B$597,MATCH($F738,Items!$A$5:$A$597,0)),"⚠ not in Items"))</f>
        <v>Wipes</v>
      </c>
      <c r="H738" s="19">
        <f>IF($F738="","",IFERROR(INDEX(Items!$C$5:$C$597,MATCH($F738,Items!$A$5:$A$597,0)),""))</f>
        <v>80</v>
      </c>
      <c r="I738" s="23">
        <f>IF($F738="","",IFERROR(INDEX(Items!$E$5:$E$597,MATCH($F738,Items!$A$5:$A$597,0)),""))</f>
        <v>80</v>
      </c>
      <c r="J738" s="115">
        <f>IF(tblIssues[[#This Row],[Qty Override]]&lt;&gt;"",tblIssues[[#This Row],[Qty Override]],IF(tblIssues[[#This Row],[Standard Issue]]="","",tblIssues[[#This Row],[Standard Issue]]))</f>
        <v>80</v>
      </c>
      <c r="K738" s="20">
        <f>IF($F738="","",IFERROR(INDEX(Items!$D$5:$D$597,MATCH($F738,Items!$A$5:$A$597,0)),""))</f>
        <v>0.1</v>
      </c>
      <c r="L738" s="21">
        <f t="shared" si="127"/>
        <v>8</v>
      </c>
      <c r="M738" s="9" t="str">
        <f t="shared" si="128"/>
        <v>LYSL500290</v>
      </c>
      <c r="N738" s="24">
        <f>IF($A738="","",WORKDAY($A738,Settings!$C$9,HolidayDates))</f>
        <v>46169</v>
      </c>
      <c r="O738" s="24">
        <f>IF($N738="","",WORKDAY($N738,Settings!$C$10,HolidayDates))</f>
        <v>46209</v>
      </c>
      <c r="P738" s="10" t="s">
        <v>501</v>
      </c>
      <c r="Q738" s="52" t="str">
        <f t="shared" si="130"/>
        <v>Collected</v>
      </c>
      <c r="R738" s="55" t="str">
        <f t="shared" si="131"/>
        <v>2026-05</v>
      </c>
      <c r="S738" s="55">
        <f>IF(OR($B738="",$F738="",$R738=""),"",SUMIFS(tblIssues[Qty Issued],tblIssues[Staff ID],$B738,tblIssues[Item Name],$F738,tblIssues[Month],$R738))</f>
        <v>80</v>
      </c>
      <c r="T738" s="56">
        <f>IF($I738="","",$I738*Settings!$C$11)</f>
        <v>80</v>
      </c>
      <c r="U738" s="57" t="str">
        <f t="shared" si="129"/>
        <v>OK</v>
      </c>
      <c r="V738" s="55" t="str">
        <f t="shared" si="132"/>
        <v/>
      </c>
      <c r="W738" s="55" t="str">
        <f>IF($V738="","",IF(COUNTIF($V$5:$V738,$V738)=1,1,""))</f>
        <v/>
      </c>
      <c r="X738" s="58" t="str">
        <f>IF($W738="","",MAX($X$4:X737)+1)</f>
        <v/>
      </c>
      <c r="Y738" s="62"/>
      <c r="Z738" s="62"/>
      <c r="AA738" s="64" t="str">
        <f>IF($C738="","",IFERROR(INDEX('Staff Directory'!$E$5:$E$594,MATCH($C738,'Staff Directory'!$B$5:$B$594,0)),""))</f>
        <v>firstname191.lastname191@example.com</v>
      </c>
      <c r="AB738" s="64" t="str">
        <f>IF($C738="","",IF(ISNUMBER(SEARCH($D738,Settings!$C$15)),"Pickup","Dispatch"))</f>
        <v>Pickup</v>
      </c>
      <c r="AC738" s="64" t="str">
        <f t="shared" si="133"/>
        <v>Supply order ready for pickup</v>
      </c>
      <c r="AD738" s="64" t="str">
        <f t="shared" si="124"/>
        <v>Dear PSW,
Your order is ready for pickup from Sample Branch, Wed-Fri 9am-4pm.</v>
      </c>
      <c r="AE738" s="64" t="str">
        <f t="shared" si="125"/>
        <v>mailto:firstname191.lastname191@example.com?subject=Supply%20order%20ready%20for%20pickup&amp;body=Dear%20PSW%2C%0A%0AYour%20order%20is%20ready%20for%20pickup%20from%20Sample%20Branch%2C%20Wed-Fri%209am-4pm.</v>
      </c>
      <c r="AF738" s="89" t="str">
        <f t="shared" si="134"/>
        <v>Draft email</v>
      </c>
      <c r="AG738" s="64" t="str">
        <f>IF($C738="","",IFERROR(INDEX('Staff Directory'!$K$595:$K$599,MATCH($C738,'Staff Directory'!$B$5:$B$599,0)),$D738))</f>
        <v>PSW</v>
      </c>
      <c r="AH738" t="str">
        <f>IF($C738="","",IFERROR(INDEX('Staff Directory'!$I$595:$I$599,MATCH($C738,'Staff Directory'!$B$5:$B$599,0))&amp;" "&amp;INDEX('Staff Directory'!$J$595:$J$599,MATCH($C738,'Staff Directory'!$B$5:$B$599,0)),$AG738))</f>
        <v>PSW</v>
      </c>
      <c r="AI738" s="102"/>
      <c r="AJ738" s="101">
        <f>IF($F738="","",SUMIFS($J$5:$J738,$F$5:$F738,$F738))</f>
        <v>10400</v>
      </c>
      <c r="AK738" s="101">
        <f t="shared" si="126"/>
        <v>10321</v>
      </c>
      <c r="AL738" s="66" t="str" cm="1">
        <f t="array" ref="AL738">IF($F738="","",IFERROR(INDEX('Lot Balance'!$B$5:$B$500,MATCH(1,INDEX(('Lot Balance'!$A$5:$A$500=$F738)*('Lot Balance'!$K$5:$K$500&lt;$AK738)*('Lot Balance'!$K$5:$K$500+'Lot Balance'!$D$5:$D$500&gt;=$AK738),0),0)),""))</f>
        <v>LYSL500290</v>
      </c>
      <c r="AM738" s="66" t="str" cm="1">
        <f t="array" ref="AM738">IF($F738="","",IFERROR(INDEX('Lot Balance'!$B$5:$B$500,MATCH(1,INDEX(('Lot Balance'!$A$5:$A$500=$F738)*('Lot Balance'!$K$5:$K$500&lt;$AJ738)*('Lot Balance'!$K$5:$K$500+'Lot Balance'!$D$5:$D$500&gt;=$AJ738),0),0)),""))</f>
        <v>LYSL500290</v>
      </c>
      <c r="AN738" s="66" t="str">
        <f>IF($F738="","",IF($AI738&lt;&gt;"",IF(COUNTIFS('Lot Balance'!$A$5:$A$500,$F738,'Lot Balance'!$B$5:$B$500,$AI738)=0,"⚠ override is not a lot of this item",IF($AI738=$AL738,"Override = FEFO","Override - FEFO says "&amp;$AL738)),IF($AL738="","⚠ no receipt on file for this item",IF($AM738&lt;&gt;$AL738,"FEFO auto - split, also "&amp;$AM738,"FEFO auto"))))</f>
        <v>FEFO auto</v>
      </c>
      <c r="AO738" s="114"/>
    </row>
    <row r="739" spans="1:41" x14ac:dyDescent="0.35">
      <c r="A739" s="74">
        <v>46161</v>
      </c>
      <c r="B739" s="18" t="str">
        <f>IF($C739="","",IFERROR(INDEX('Staff Directory'!$A$5:$A$594,MATCH($C739,'Staff Directory'!$B$5:$B$594,0)),"⚠ unknown staff"))</f>
        <v>PSW-128-A6</v>
      </c>
      <c r="C739" s="49" t="s">
        <v>1107</v>
      </c>
      <c r="D739" s="19" t="str">
        <f>IF($B739="","",IFERROR(INDEX('Staff Directory'!$C$5:$C$594,MATCH($B739,'Staff Directory'!$A$5:$A$594,0)),""))</f>
        <v>PSW</v>
      </c>
      <c r="E739" s="19" t="str">
        <f>IF($B739="","",IFERROR(INDEX('Staff Directory'!$D$5:$D$594,MATCH($B739,'Staff Directory'!$A$5:$A$594,0)),""))</f>
        <v>A6</v>
      </c>
      <c r="F739" s="9" t="s">
        <v>156</v>
      </c>
      <c r="G739" s="18" t="str">
        <f>IF($F739="","",IFERROR(INDEX(Items!$B$5:$B$597,MATCH($F739,Items!$A$5:$A$597,0)),"⚠ not in Items"))</f>
        <v>Masks</v>
      </c>
      <c r="H739" s="19" t="str">
        <f>IF($F739="","",IFERROR(INDEX(Items!$C$5:$C$597,MATCH($F739,Items!$A$5:$A$597,0)),""))</f>
        <v>One Size</v>
      </c>
      <c r="I739" s="23">
        <f>IF($F739="","",IFERROR(INDEX(Items!$E$5:$E$597,MATCH($F739,Items!$A$5:$A$597,0)),""))</f>
        <v>50</v>
      </c>
      <c r="J739" s="115">
        <f>IF(tblIssues[[#This Row],[Qty Override]]&lt;&gt;"",tblIssues[[#This Row],[Qty Override]],IF(tblIssues[[#This Row],[Standard Issue]]="","",tblIssues[[#This Row],[Standard Issue]]))</f>
        <v>50</v>
      </c>
      <c r="K739" s="20">
        <f>IF($F739="","",IFERROR(INDEX(Items!$D$5:$D$597,MATCH($F739,Items!$A$5:$A$597,0)),""))</f>
        <v>0.25</v>
      </c>
      <c r="L739" s="21">
        <f t="shared" si="127"/>
        <v>12.5</v>
      </c>
      <c r="M739" s="9" t="str">
        <f t="shared" si="128"/>
        <v>0125FPC24-1</v>
      </c>
      <c r="N739" s="24">
        <f>IF($A739="","",WORKDAY($A739,Settings!$C$9,HolidayDates))</f>
        <v>46169</v>
      </c>
      <c r="O739" s="24">
        <f>IF($N739="","",WORKDAY($N739,Settings!$C$10,HolidayDates))</f>
        <v>46209</v>
      </c>
      <c r="P739" s="10" t="s">
        <v>501</v>
      </c>
      <c r="Q739" s="52" t="str">
        <f t="shared" si="130"/>
        <v>Collected</v>
      </c>
      <c r="R739" s="55" t="str">
        <f t="shared" si="131"/>
        <v>2026-05</v>
      </c>
      <c r="S739" s="55">
        <f>IF(OR($B739="",$F739="",$R739=""),"",SUMIFS(tblIssues[Qty Issued],tblIssues[Staff ID],$B739,tblIssues[Item Name],$F739,tblIssues[Month],$R739))</f>
        <v>50</v>
      </c>
      <c r="T739" s="56">
        <f>IF($I739="","",$I739*Settings!$C$11)</f>
        <v>50</v>
      </c>
      <c r="U739" s="57" t="str">
        <f t="shared" si="129"/>
        <v>OK</v>
      </c>
      <c r="V739" s="55" t="str">
        <f t="shared" si="132"/>
        <v/>
      </c>
      <c r="W739" s="55" t="str">
        <f>IF($V739="","",IF(COUNTIF($V$5:$V739,$V739)=1,1,""))</f>
        <v/>
      </c>
      <c r="X739" s="58" t="str">
        <f>IF($W739="","",MAX($X$4:X738)+1)</f>
        <v/>
      </c>
      <c r="Y739" s="62"/>
      <c r="Z739" s="62"/>
      <c r="AA739" s="64" t="str">
        <f>IF($C739="","",IFERROR(INDEX('Staff Directory'!$E$5:$E$594,MATCH($C739,'Staff Directory'!$B$5:$B$594,0)),""))</f>
        <v>firstname191.lastname191@example.com</v>
      </c>
      <c r="AB739" s="64" t="str">
        <f>IF($C739="","",IF(ISNUMBER(SEARCH($D739,Settings!$C$15)),"Pickup","Dispatch"))</f>
        <v>Pickup</v>
      </c>
      <c r="AC739" s="64" t="str">
        <f t="shared" si="133"/>
        <v>Supply order ready for pickup</v>
      </c>
      <c r="AD739" s="64" t="str">
        <f t="shared" si="124"/>
        <v>Dear PSW,
Your order is ready for pickup from Sample Branch, Wed-Fri 9am-4pm.</v>
      </c>
      <c r="AE739" s="64" t="str">
        <f t="shared" si="125"/>
        <v>mailto:firstname191.lastname191@example.com?subject=Supply%20order%20ready%20for%20pickup&amp;body=Dear%20PSW%2C%0A%0AYour%20order%20is%20ready%20for%20pickup%20from%20Sample%20Branch%2C%20Wed-Fri%209am-4pm.</v>
      </c>
      <c r="AF739" s="89" t="str">
        <f t="shared" si="134"/>
        <v>Draft email</v>
      </c>
      <c r="AG739" s="64" t="str">
        <f>IF($C739="","",IFERROR(INDEX('Staff Directory'!$K$595:$K$599,MATCH($C739,'Staff Directory'!$B$5:$B$599,0)),$D739))</f>
        <v>PSW</v>
      </c>
      <c r="AH739" t="str">
        <f>IF($C739="","",IFERROR(INDEX('Staff Directory'!$I$595:$I$599,MATCH($C739,'Staff Directory'!$B$5:$B$599,0))&amp;" "&amp;INDEX('Staff Directory'!$J$595:$J$599,MATCH($C739,'Staff Directory'!$B$5:$B$599,0)),$AG739))</f>
        <v>PSW</v>
      </c>
      <c r="AI739" s="102"/>
      <c r="AJ739" s="101">
        <f>IF($F739="","",SUMIFS($J$5:$J739,$F$5:$F739,$F739))</f>
        <v>6050</v>
      </c>
      <c r="AK739" s="101">
        <f t="shared" si="126"/>
        <v>6001</v>
      </c>
      <c r="AL739" s="66" t="str" cm="1">
        <f t="array" ref="AL739">IF($F739="","",IFERROR(INDEX('Lot Balance'!$B$5:$B$500,MATCH(1,INDEX(('Lot Balance'!$A$5:$A$500=$F739)*('Lot Balance'!$K$5:$K$500&lt;$AK739)*('Lot Balance'!$K$5:$K$500+'Lot Balance'!$D$5:$D$500&gt;=$AK739),0),0)),""))</f>
        <v>0125FPC24-1</v>
      </c>
      <c r="AM739" s="66" t="str" cm="1">
        <f t="array" ref="AM739">IF($F739="","",IFERROR(INDEX('Lot Balance'!$B$5:$B$500,MATCH(1,INDEX(('Lot Balance'!$A$5:$A$500=$F739)*('Lot Balance'!$K$5:$K$500&lt;$AJ739)*('Lot Balance'!$K$5:$K$500+'Lot Balance'!$D$5:$D$500&gt;=$AJ739),0),0)),""))</f>
        <v>0125FPC24-1</v>
      </c>
      <c r="AN739" s="66" t="str">
        <f>IF($F739="","",IF($AI739&lt;&gt;"",IF(COUNTIFS('Lot Balance'!$A$5:$A$500,$F739,'Lot Balance'!$B$5:$B$500,$AI739)=0,"⚠ override is not a lot of this item",IF($AI739=$AL739,"Override = FEFO","Override - FEFO says "&amp;$AL739)),IF($AL739="","⚠ no receipt on file for this item",IF($AM739&lt;&gt;$AL739,"FEFO auto - split, also "&amp;$AM739,"FEFO auto"))))</f>
        <v>FEFO auto</v>
      </c>
      <c r="AO739" s="114"/>
    </row>
    <row r="740" spans="1:41" x14ac:dyDescent="0.35">
      <c r="A740" s="74">
        <v>46161</v>
      </c>
      <c r="B740" s="18" t="str">
        <f>IF($C740="","",IFERROR(INDEX('Staff Directory'!$A$5:$A$594,MATCH($C740,'Staff Directory'!$B$5:$B$594,0)),"⚠ unknown staff"))</f>
        <v>PSW-110-A6</v>
      </c>
      <c r="C740" s="49" t="s">
        <v>1088</v>
      </c>
      <c r="D740" s="19" t="str">
        <f>IF($B740="","",IFERROR(INDEX('Staff Directory'!$C$5:$C$594,MATCH($B740,'Staff Directory'!$A$5:$A$594,0)),""))</f>
        <v>PSW</v>
      </c>
      <c r="E740" s="19" t="str">
        <f>IF($B740="","",IFERROR(INDEX('Staff Directory'!$D$5:$D$594,MATCH($B740,'Staff Directory'!$A$5:$A$594,0)),""))</f>
        <v>A6</v>
      </c>
      <c r="F740" s="9" t="s">
        <v>127</v>
      </c>
      <c r="G740" s="18" t="str">
        <f>IF($F740="","",IFERROR(INDEX(Items!$B$5:$B$597,MATCH($F740,Items!$A$5:$A$597,0)),"⚠ not in Items"))</f>
        <v>Gloves</v>
      </c>
      <c r="H740" s="19" t="str">
        <f>IF($F740="","",IFERROR(INDEX(Items!$C$5:$C$597,MATCH($F740,Items!$A$5:$A$597,0)),""))</f>
        <v>Medium</v>
      </c>
      <c r="I740" s="23">
        <f>IF($F740="","",IFERROR(INDEX(Items!$E$5:$E$597,MATCH($F740,Items!$A$5:$A$597,0)),""))</f>
        <v>500</v>
      </c>
      <c r="J740" s="115">
        <f>IF(tblIssues[[#This Row],[Qty Override]]&lt;&gt;"",tblIssues[[#This Row],[Qty Override]],IF(tblIssues[[#This Row],[Standard Issue]]="","",tblIssues[[#This Row],[Standard Issue]]))</f>
        <v>500</v>
      </c>
      <c r="K740" s="20">
        <f>IF($F740="","",IFERROR(INDEX(Items!$D$5:$D$597,MATCH($F740,Items!$A$5:$A$597,0)),""))</f>
        <v>5.5E-2</v>
      </c>
      <c r="L740" s="21">
        <f t="shared" si="127"/>
        <v>27.5</v>
      </c>
      <c r="M740" s="9" t="str">
        <f t="shared" si="128"/>
        <v>O16689</v>
      </c>
      <c r="N740" s="24">
        <f>IF($A740="","",WORKDAY($A740,Settings!$C$9,HolidayDates))</f>
        <v>46169</v>
      </c>
      <c r="O740" s="24">
        <f>IF($N740="","",WORKDAY($N740,Settings!$C$10,HolidayDates))</f>
        <v>46209</v>
      </c>
      <c r="P740" s="10" t="s">
        <v>501</v>
      </c>
      <c r="Q740" s="52" t="str">
        <f t="shared" si="130"/>
        <v>Collected</v>
      </c>
      <c r="R740" s="55" t="str">
        <f t="shared" si="131"/>
        <v>2026-05</v>
      </c>
      <c r="S740" s="55">
        <f>IF(OR($B740="",$F740="",$R740=""),"",SUMIFS(tblIssues[Qty Issued],tblIssues[Staff ID],$B740,tblIssues[Item Name],$F740,tblIssues[Month],$R740))</f>
        <v>1000</v>
      </c>
      <c r="T740" s="56">
        <f>IF($I740="","",$I740*Settings!$C$11)</f>
        <v>500</v>
      </c>
      <c r="U740" s="57" t="str">
        <f t="shared" si="129"/>
        <v>⚠ OVER QUOTA</v>
      </c>
      <c r="V740" s="55" t="str">
        <f t="shared" si="132"/>
        <v>PSW-110-A6 | Gloves - Medium | 2026-05</v>
      </c>
      <c r="W740" s="55" t="str">
        <f>IF($V740="","",IF(COUNTIF($V$5:$V740,$V740)=1,1,""))</f>
        <v/>
      </c>
      <c r="X740" s="58" t="str">
        <f>IF($W740="","",MAX($X$4:X739)+1)</f>
        <v/>
      </c>
      <c r="Y740" s="62"/>
      <c r="Z740" s="62"/>
      <c r="AA740" s="64" t="str">
        <f>IF($C740="","",IFERROR(INDEX('Staff Directory'!$E$5:$E$594,MATCH($C740,'Staff Directory'!$B$5:$B$594,0)),""))</f>
        <v>firstname172.lastname172@example.com</v>
      </c>
      <c r="AB740" s="64" t="str">
        <f>IF($C740="","",IF(ISNUMBER(SEARCH($D740,Settings!$C$15)),"Pickup","Dispatch"))</f>
        <v>Pickup</v>
      </c>
      <c r="AC740" s="64" t="str">
        <f t="shared" si="133"/>
        <v>Supply order ready for pickup</v>
      </c>
      <c r="AD740" s="64" t="str">
        <f t="shared" si="124"/>
        <v>Dear PSW,
Your order is ready for pickup from Sample Branch, Wed-Fri 9am-4pm.</v>
      </c>
      <c r="AE740" s="64" t="str">
        <f t="shared" si="125"/>
        <v>mailto:firstname172.lastname172@example.com?subject=Supply%20order%20ready%20for%20pickup&amp;body=Dear%20PSW%2C%0A%0AYour%20order%20is%20ready%20for%20pickup%20from%20Sample%20Branch%2C%20Wed-Fri%209am-4pm.</v>
      </c>
      <c r="AF740" s="89" t="str">
        <f t="shared" si="134"/>
        <v>Draft email</v>
      </c>
      <c r="AG740" s="64" t="str">
        <f>IF($C740="","",IFERROR(INDEX('Staff Directory'!$K$595:$K$599,MATCH($C740,'Staff Directory'!$B$5:$B$599,0)),$D740))</f>
        <v>PSW</v>
      </c>
      <c r="AH740" t="str">
        <f>IF($C740="","",IFERROR(INDEX('Staff Directory'!$I$595:$I$599,MATCH($C740,'Staff Directory'!$B$5:$B$599,0))&amp;" "&amp;INDEX('Staff Directory'!$J$595:$J$599,MATCH($C740,'Staff Directory'!$B$5:$B$599,0)),$AG740))</f>
        <v>PSW</v>
      </c>
      <c r="AI740" s="102"/>
      <c r="AJ740" s="101">
        <f>IF($F740="","",SUMIFS($J$5:$J740,$F$5:$F740,$F740))</f>
        <v>43500</v>
      </c>
      <c r="AK740" s="101">
        <f t="shared" si="126"/>
        <v>43001</v>
      </c>
      <c r="AL740" s="66" t="str" cm="1">
        <f t="array" ref="AL740">IF($F740="","",IFERROR(INDEX('Lot Balance'!$B$5:$B$500,MATCH(1,INDEX(('Lot Balance'!$A$5:$A$500=$F740)*('Lot Balance'!$K$5:$K$500&lt;$AK740)*('Lot Balance'!$K$5:$K$500+'Lot Balance'!$D$5:$D$500&gt;=$AK740),0),0)),""))</f>
        <v>O16689</v>
      </c>
      <c r="AM740" s="66" t="str" cm="1">
        <f t="array" ref="AM740">IF($F740="","",IFERROR(INDEX('Lot Balance'!$B$5:$B$500,MATCH(1,INDEX(('Lot Balance'!$A$5:$A$500=$F740)*('Lot Balance'!$K$5:$K$500&lt;$AJ740)*('Lot Balance'!$K$5:$K$500+'Lot Balance'!$D$5:$D$500&gt;=$AJ740),0),0)),""))</f>
        <v>O16689</v>
      </c>
      <c r="AN740" s="66" t="str">
        <f>IF($F740="","",IF($AI740&lt;&gt;"",IF(COUNTIFS('Lot Balance'!$A$5:$A$500,$F740,'Lot Balance'!$B$5:$B$500,$AI740)=0,"⚠ override is not a lot of this item",IF($AI740=$AL740,"Override = FEFO","Override - FEFO says "&amp;$AL740)),IF($AL740="","⚠ no receipt on file for this item",IF($AM740&lt;&gt;$AL740,"FEFO auto - split, also "&amp;$AM740,"FEFO auto"))))</f>
        <v>FEFO auto</v>
      </c>
      <c r="AO740" s="114"/>
    </row>
    <row r="741" spans="1:41" x14ac:dyDescent="0.35">
      <c r="A741" s="74">
        <v>46161</v>
      </c>
      <c r="B741" s="18" t="str">
        <f>IF($C741="","",IFERROR(INDEX('Staff Directory'!$A$5:$A$594,MATCH($C741,'Staff Directory'!$B$5:$B$594,0)),"⚠ unknown staff"))</f>
        <v>PSW-110-A6</v>
      </c>
      <c r="C741" s="49" t="s">
        <v>1088</v>
      </c>
      <c r="D741" s="19" t="str">
        <f>IF($B741="","",IFERROR(INDEX('Staff Directory'!$C$5:$C$594,MATCH($B741,'Staff Directory'!$A$5:$A$594,0)),""))</f>
        <v>PSW</v>
      </c>
      <c r="E741" s="19" t="str">
        <f>IF($B741="","",IFERROR(INDEX('Staff Directory'!$D$5:$D$594,MATCH($B741,'Staff Directory'!$A$5:$A$594,0)),""))</f>
        <v>A6</v>
      </c>
      <c r="F741" s="9" t="s">
        <v>191</v>
      </c>
      <c r="G741" s="18" t="str">
        <f>IF($F741="","",IFERROR(INDEX(Items!$B$5:$B$597,MATCH($F741,Items!$A$5:$A$597,0)),"⚠ not in Items"))</f>
        <v>Sanitizer</v>
      </c>
      <c r="H741" s="19" t="str">
        <f>IF($F741="","",IFERROR(INDEX(Items!$C$5:$C$597,MATCH($F741,Items!$A$5:$A$597,0)),""))</f>
        <v>236 ML</v>
      </c>
      <c r="I741" s="23">
        <f>IF($F741="","",IFERROR(INDEX(Items!$E$5:$E$597,MATCH($F741,Items!$A$5:$A$597,0)),""))</f>
        <v>1</v>
      </c>
      <c r="J741" s="115">
        <f>IF(tblIssues[[#This Row],[Qty Override]]&lt;&gt;"",tblIssues[[#This Row],[Qty Override]],IF(tblIssues[[#This Row],[Standard Issue]]="","",tblIssues[[#This Row],[Standard Issue]]))</f>
        <v>1</v>
      </c>
      <c r="K741" s="20">
        <f>IF($F741="","",IFERROR(INDEX(Items!$D$5:$D$597,MATCH($F741,Items!$A$5:$A$597,0)),""))</f>
        <v>1E-4</v>
      </c>
      <c r="L741" s="21">
        <f t="shared" si="127"/>
        <v>1E-4</v>
      </c>
      <c r="M741" s="9" t="str">
        <f t="shared" si="128"/>
        <v>20-21734-3</v>
      </c>
      <c r="N741" s="24">
        <f>IF($A741="","",WORKDAY($A741,Settings!$C$9,HolidayDates))</f>
        <v>46169</v>
      </c>
      <c r="O741" s="24">
        <f>IF($N741="","",WORKDAY($N741,Settings!$C$10,HolidayDates))</f>
        <v>46209</v>
      </c>
      <c r="P741" s="10" t="s">
        <v>501</v>
      </c>
      <c r="Q741" s="52" t="str">
        <f t="shared" si="130"/>
        <v>Collected</v>
      </c>
      <c r="R741" s="55" t="str">
        <f t="shared" si="131"/>
        <v>2026-05</v>
      </c>
      <c r="S741" s="55">
        <f>IF(OR($B741="",$F741="",$R741=""),"",SUMIFS(tblIssues[Qty Issued],tblIssues[Staff ID],$B741,tblIssues[Item Name],$F741,tblIssues[Month],$R741))</f>
        <v>2</v>
      </c>
      <c r="T741" s="56">
        <f>IF($I741="","",$I741*Settings!$C$11)</f>
        <v>1</v>
      </c>
      <c r="U741" s="57" t="str">
        <f t="shared" si="129"/>
        <v>⚠ OVER QUOTA</v>
      </c>
      <c r="V741" s="55" t="str">
        <f t="shared" si="132"/>
        <v>PSW-110-A6 | Hand Sanitizer OS | 2026-05</v>
      </c>
      <c r="W741" s="55" t="str">
        <f>IF($V741="","",IF(COUNTIF($V$5:$V741,$V741)=1,1,""))</f>
        <v/>
      </c>
      <c r="X741" s="58" t="str">
        <f>IF($W741="","",MAX($X$4:X740)+1)</f>
        <v/>
      </c>
      <c r="Y741" s="62"/>
      <c r="Z741" s="62"/>
      <c r="AA741" s="64" t="str">
        <f>IF($C741="","",IFERROR(INDEX('Staff Directory'!$E$5:$E$594,MATCH($C741,'Staff Directory'!$B$5:$B$594,0)),""))</f>
        <v>firstname172.lastname172@example.com</v>
      </c>
      <c r="AB741" s="64" t="str">
        <f>IF($C741="","",IF(ISNUMBER(SEARCH($D741,Settings!$C$15)),"Pickup","Dispatch"))</f>
        <v>Pickup</v>
      </c>
      <c r="AC741" s="64" t="str">
        <f t="shared" si="133"/>
        <v>Supply order ready for pickup</v>
      </c>
      <c r="AD741" s="64" t="str">
        <f t="shared" si="124"/>
        <v>Dear PSW,
Your order is ready for pickup from Sample Branch, Wed-Fri 9am-4pm.</v>
      </c>
      <c r="AE741" s="64" t="str">
        <f t="shared" si="125"/>
        <v>mailto:firstname172.lastname172@example.com?subject=Supply%20order%20ready%20for%20pickup&amp;body=Dear%20PSW%2C%0A%0AYour%20order%20is%20ready%20for%20pickup%20from%20Sample%20Branch%2C%20Wed-Fri%209am-4pm.</v>
      </c>
      <c r="AF741" s="89" t="str">
        <f t="shared" si="134"/>
        <v>Draft email</v>
      </c>
      <c r="AG741" s="64" t="str">
        <f>IF($C741="","",IFERROR(INDEX('Staff Directory'!$K$595:$K$599,MATCH($C741,'Staff Directory'!$B$5:$B$599,0)),$D741))</f>
        <v>PSW</v>
      </c>
      <c r="AH741" t="str">
        <f>IF($C741="","",IFERROR(INDEX('Staff Directory'!$I$595:$I$599,MATCH($C741,'Staff Directory'!$B$5:$B$599,0))&amp;" "&amp;INDEX('Staff Directory'!$J$595:$J$599,MATCH($C741,'Staff Directory'!$B$5:$B$599,0)),$AG741))</f>
        <v>PSW</v>
      </c>
      <c r="AI741" s="102"/>
      <c r="AJ741" s="101">
        <f>IF($F741="","",SUMIFS($J$5:$J741,$F$5:$F741,$F741))</f>
        <v>88</v>
      </c>
      <c r="AK741" s="101">
        <f t="shared" si="126"/>
        <v>88</v>
      </c>
      <c r="AL741" s="66" t="str" cm="1">
        <f t="array" ref="AL741">IF($F741="","",IFERROR(INDEX('Lot Balance'!$B$5:$B$500,MATCH(1,INDEX(('Lot Balance'!$A$5:$A$500=$F741)*('Lot Balance'!$K$5:$K$500&lt;$AK741)*('Lot Balance'!$K$5:$K$500+'Lot Balance'!$D$5:$D$500&gt;=$AK741),0),0)),""))</f>
        <v>20-21734-3</v>
      </c>
      <c r="AM741" s="66" t="str" cm="1">
        <f t="array" ref="AM741">IF($F741="","",IFERROR(INDEX('Lot Balance'!$B$5:$B$500,MATCH(1,INDEX(('Lot Balance'!$A$5:$A$500=$F741)*('Lot Balance'!$K$5:$K$500&lt;$AJ741)*('Lot Balance'!$K$5:$K$500+'Lot Balance'!$D$5:$D$500&gt;=$AJ741),0),0)),""))</f>
        <v>20-21734-3</v>
      </c>
      <c r="AN741" s="66" t="str">
        <f>IF($F741="","",IF($AI741&lt;&gt;"",IF(COUNTIFS('Lot Balance'!$A$5:$A$500,$F741,'Lot Balance'!$B$5:$B$500,$AI741)=0,"⚠ override is not a lot of this item",IF($AI741=$AL741,"Override = FEFO","Override - FEFO says "&amp;$AL741)),IF($AL741="","⚠ no receipt on file for this item",IF($AM741&lt;&gt;$AL741,"FEFO auto - split, also "&amp;$AM741,"FEFO auto"))))</f>
        <v>FEFO auto</v>
      </c>
      <c r="AO741" s="114"/>
    </row>
    <row r="742" spans="1:41" x14ac:dyDescent="0.35">
      <c r="A742" s="74">
        <v>46161</v>
      </c>
      <c r="B742" s="18" t="str">
        <f>IF($C742="","",IFERROR(INDEX('Staff Directory'!$A$5:$A$594,MATCH($C742,'Staff Directory'!$B$5:$B$594,0)),"⚠ unknown staff"))</f>
        <v>PSW-110-A6</v>
      </c>
      <c r="C742" s="49" t="s">
        <v>1088</v>
      </c>
      <c r="D742" s="19" t="str">
        <f>IF($B742="","",IFERROR(INDEX('Staff Directory'!$C$5:$C$594,MATCH($B742,'Staff Directory'!$A$5:$A$594,0)),""))</f>
        <v>PSW</v>
      </c>
      <c r="E742" s="19" t="str">
        <f>IF($B742="","",IFERROR(INDEX('Staff Directory'!$D$5:$D$594,MATCH($B742,'Staff Directory'!$A$5:$A$594,0)),""))</f>
        <v>A6</v>
      </c>
      <c r="F742" s="9" t="s">
        <v>137</v>
      </c>
      <c r="G742" s="18" t="str">
        <f>IF($F742="","",IFERROR(INDEX(Items!$B$5:$B$597,MATCH($F742,Items!$A$5:$A$597,0)),"⚠ not in Items"))</f>
        <v>Sanitizer</v>
      </c>
      <c r="H742" s="19" t="str">
        <f>IF($F742="","",IFERROR(INDEX(Items!$C$5:$C$597,MATCH($F742,Items!$A$5:$A$597,0)),""))</f>
        <v>118 ML</v>
      </c>
      <c r="I742" s="23">
        <f>IF($F742="","",IFERROR(INDEX(Items!$E$5:$E$597,MATCH($F742,Items!$A$5:$A$597,0)),""))</f>
        <v>2</v>
      </c>
      <c r="J742" s="115">
        <f>IF(tblIssues[[#This Row],[Qty Override]]&lt;&gt;"",tblIssues[[#This Row],[Qty Override]],IF(tblIssues[[#This Row],[Standard Issue]]="","",tblIssues[[#This Row],[Standard Issue]]))</f>
        <v>2</v>
      </c>
      <c r="K742" s="20">
        <f>IF($F742="","",IFERROR(INDEX(Items!$D$5:$D$597,MATCH($F742,Items!$A$5:$A$597,0)),""))</f>
        <v>4.49</v>
      </c>
      <c r="L742" s="21">
        <f t="shared" si="127"/>
        <v>8.98</v>
      </c>
      <c r="M742" s="9" t="str">
        <f t="shared" si="128"/>
        <v>563963-6</v>
      </c>
      <c r="N742" s="24">
        <f>IF($A742="","",WORKDAY($A742,Settings!$C$9,HolidayDates))</f>
        <v>46169</v>
      </c>
      <c r="O742" s="24">
        <f>IF($N742="","",WORKDAY($N742,Settings!$C$10,HolidayDates))</f>
        <v>46209</v>
      </c>
      <c r="P742" s="10" t="s">
        <v>501</v>
      </c>
      <c r="Q742" s="52" t="str">
        <f t="shared" si="130"/>
        <v>Collected</v>
      </c>
      <c r="R742" s="55" t="str">
        <f t="shared" si="131"/>
        <v>2026-05</v>
      </c>
      <c r="S742" s="55">
        <f>IF(OR($B742="",$F742="",$R742=""),"",SUMIFS(tblIssues[Qty Issued],tblIssues[Staff ID],$B742,tblIssues[Item Name],$F742,tblIssues[Month],$R742))</f>
        <v>4</v>
      </c>
      <c r="T742" s="56">
        <f>IF($I742="","",$I742*Settings!$C$11)</f>
        <v>2</v>
      </c>
      <c r="U742" s="57" t="str">
        <f t="shared" si="129"/>
        <v>⚠ OVER QUOTA</v>
      </c>
      <c r="V742" s="55" t="str">
        <f t="shared" si="132"/>
        <v>PSW-110-A6 | Hand Sanitizer | 2026-05</v>
      </c>
      <c r="W742" s="55" t="str">
        <f>IF($V742="","",IF(COUNTIF($V$5:$V742,$V742)=1,1,""))</f>
        <v/>
      </c>
      <c r="X742" s="58" t="str">
        <f>IF($W742="","",MAX($X$4:X741)+1)</f>
        <v/>
      </c>
      <c r="Y742" s="62"/>
      <c r="Z742" s="62"/>
      <c r="AA742" s="64" t="str">
        <f>IF($C742="","",IFERROR(INDEX('Staff Directory'!$E$5:$E$594,MATCH($C742,'Staff Directory'!$B$5:$B$594,0)),""))</f>
        <v>firstname172.lastname172@example.com</v>
      </c>
      <c r="AB742" s="64" t="str">
        <f>IF($C742="","",IF(ISNUMBER(SEARCH($D742,Settings!$C$15)),"Pickup","Dispatch"))</f>
        <v>Pickup</v>
      </c>
      <c r="AC742" s="64" t="str">
        <f t="shared" si="133"/>
        <v>Supply order ready for pickup</v>
      </c>
      <c r="AD742" s="64" t="str">
        <f t="shared" si="124"/>
        <v>Dear PSW,
Your order is ready for pickup from Sample Branch, Wed-Fri 9am-4pm.</v>
      </c>
      <c r="AE742" s="64" t="str">
        <f t="shared" si="125"/>
        <v>mailto:firstname172.lastname172@example.com?subject=Supply%20order%20ready%20for%20pickup&amp;body=Dear%20PSW%2C%0A%0AYour%20order%20is%20ready%20for%20pickup%20from%20Sample%20Branch%2C%20Wed-Fri%209am-4pm.</v>
      </c>
      <c r="AF742" s="89" t="str">
        <f t="shared" si="134"/>
        <v>Draft email</v>
      </c>
      <c r="AG742" s="64" t="str">
        <f>IF($C742="","",IFERROR(INDEX('Staff Directory'!$K$595:$K$599,MATCH($C742,'Staff Directory'!$B$5:$B$599,0)),$D742))</f>
        <v>PSW</v>
      </c>
      <c r="AH742" t="str">
        <f>IF($C742="","",IFERROR(INDEX('Staff Directory'!$I$595:$I$599,MATCH($C742,'Staff Directory'!$B$5:$B$599,0))&amp;" "&amp;INDEX('Staff Directory'!$J$595:$J$599,MATCH($C742,'Staff Directory'!$B$5:$B$599,0)),$AG742))</f>
        <v>PSW</v>
      </c>
      <c r="AI742" s="102"/>
      <c r="AJ742" s="101">
        <f>IF($F742="","",SUMIFS($J$5:$J742,$F$5:$F742,$F742))</f>
        <v>94</v>
      </c>
      <c r="AK742" s="101">
        <f t="shared" si="126"/>
        <v>93</v>
      </c>
      <c r="AL742" s="66" t="str" cm="1">
        <f t="array" ref="AL742">IF($F742="","",IFERROR(INDEX('Lot Balance'!$B$5:$B$500,MATCH(1,INDEX(('Lot Balance'!$A$5:$A$500=$F742)*('Lot Balance'!$K$5:$K$500&lt;$AK742)*('Lot Balance'!$K$5:$K$500+'Lot Balance'!$D$5:$D$500&gt;=$AK742),0),0)),""))</f>
        <v>563963-6</v>
      </c>
      <c r="AM742" s="66" t="str" cm="1">
        <f t="array" ref="AM742">IF($F742="","",IFERROR(INDEX('Lot Balance'!$B$5:$B$500,MATCH(1,INDEX(('Lot Balance'!$A$5:$A$500=$F742)*('Lot Balance'!$K$5:$K$500&lt;$AJ742)*('Lot Balance'!$K$5:$K$500+'Lot Balance'!$D$5:$D$500&gt;=$AJ742),0),0)),""))</f>
        <v>563963-6</v>
      </c>
      <c r="AN742" s="66" t="str">
        <f>IF($F742="","",IF($AI742&lt;&gt;"",IF(COUNTIFS('Lot Balance'!$A$5:$A$500,$F742,'Lot Balance'!$B$5:$B$500,$AI742)=0,"⚠ override is not a lot of this item",IF($AI742=$AL742,"Override = FEFO","Override - FEFO says "&amp;$AL742)),IF($AL742="","⚠ no receipt on file for this item",IF($AM742&lt;&gt;$AL742,"FEFO auto - split, also "&amp;$AM742,"FEFO auto"))))</f>
        <v>FEFO auto</v>
      </c>
      <c r="AO742" s="114"/>
    </row>
    <row r="743" spans="1:41" x14ac:dyDescent="0.35">
      <c r="A743" s="74">
        <v>46161</v>
      </c>
      <c r="B743" s="18" t="str">
        <f>IF($C743="","",IFERROR(INDEX('Staff Directory'!$A$5:$A$594,MATCH($C743,'Staff Directory'!$B$5:$B$594,0)),"⚠ unknown staff"))</f>
        <v>PSW-110-A6</v>
      </c>
      <c r="C743" s="49" t="s">
        <v>1088</v>
      </c>
      <c r="D743" s="19" t="str">
        <f>IF($B743="","",IFERROR(INDEX('Staff Directory'!$C$5:$C$594,MATCH($B743,'Staff Directory'!$A$5:$A$594,0)),""))</f>
        <v>PSW</v>
      </c>
      <c r="E743" s="19" t="str">
        <f>IF($B743="","",IFERROR(INDEX('Staff Directory'!$D$5:$D$594,MATCH($B743,'Staff Directory'!$A$5:$A$594,0)),""))</f>
        <v>A6</v>
      </c>
      <c r="F743" s="9" t="s">
        <v>156</v>
      </c>
      <c r="G743" s="18" t="str">
        <f>IF($F743="","",IFERROR(INDEX(Items!$B$5:$B$597,MATCH($F743,Items!$A$5:$A$597,0)),"⚠ not in Items"))</f>
        <v>Masks</v>
      </c>
      <c r="H743" s="19" t="str">
        <f>IF($F743="","",IFERROR(INDEX(Items!$C$5:$C$597,MATCH($F743,Items!$A$5:$A$597,0)),""))</f>
        <v>One Size</v>
      </c>
      <c r="I743" s="23">
        <f>IF($F743="","",IFERROR(INDEX(Items!$E$5:$E$597,MATCH($F743,Items!$A$5:$A$597,0)),""))</f>
        <v>50</v>
      </c>
      <c r="J743" s="115">
        <f>IF(tblIssues[[#This Row],[Qty Override]]&lt;&gt;"",tblIssues[[#This Row],[Qty Override]],IF(tblIssues[[#This Row],[Standard Issue]]="","",tblIssues[[#This Row],[Standard Issue]]))</f>
        <v>50</v>
      </c>
      <c r="K743" s="20">
        <f>IF($F743="","",IFERROR(INDEX(Items!$D$5:$D$597,MATCH($F743,Items!$A$5:$A$597,0)),""))</f>
        <v>0.25</v>
      </c>
      <c r="L743" s="21">
        <f t="shared" si="127"/>
        <v>12.5</v>
      </c>
      <c r="M743" s="9" t="str">
        <f t="shared" si="128"/>
        <v>0125FPC24-1</v>
      </c>
      <c r="N743" s="24">
        <f>IF($A743="","",WORKDAY($A743,Settings!$C$9,HolidayDates))</f>
        <v>46169</v>
      </c>
      <c r="O743" s="24">
        <f>IF($N743="","",WORKDAY($N743,Settings!$C$10,HolidayDates))</f>
        <v>46209</v>
      </c>
      <c r="P743" s="10" t="s">
        <v>501</v>
      </c>
      <c r="Q743" s="52" t="str">
        <f t="shared" si="130"/>
        <v>Collected</v>
      </c>
      <c r="R743" s="55" t="str">
        <f t="shared" si="131"/>
        <v>2026-05</v>
      </c>
      <c r="S743" s="55">
        <f>IF(OR($B743="",$F743="",$R743=""),"",SUMIFS(tblIssues[Qty Issued],tblIssues[Staff ID],$B743,tblIssues[Item Name],$F743,tblIssues[Month],$R743))</f>
        <v>100</v>
      </c>
      <c r="T743" s="56">
        <f>IF($I743="","",$I743*Settings!$C$11)</f>
        <v>50</v>
      </c>
      <c r="U743" s="57" t="str">
        <f t="shared" si="129"/>
        <v>⚠ OVER QUOTA</v>
      </c>
      <c r="V743" s="55" t="str">
        <f t="shared" si="132"/>
        <v>PSW-110-A6 | Surgical Masks | 2026-05</v>
      </c>
      <c r="W743" s="55" t="str">
        <f>IF($V743="","",IF(COUNTIF($V$5:$V743,$V743)=1,1,""))</f>
        <v/>
      </c>
      <c r="X743" s="58" t="str">
        <f>IF($W743="","",MAX($X$4:X742)+1)</f>
        <v/>
      </c>
      <c r="Y743" s="62"/>
      <c r="Z743" s="62"/>
      <c r="AA743" s="64" t="str">
        <f>IF($C743="","",IFERROR(INDEX('Staff Directory'!$E$5:$E$594,MATCH($C743,'Staff Directory'!$B$5:$B$594,0)),""))</f>
        <v>firstname172.lastname172@example.com</v>
      </c>
      <c r="AB743" s="64" t="str">
        <f>IF($C743="","",IF(ISNUMBER(SEARCH($D743,Settings!$C$15)),"Pickup","Dispatch"))</f>
        <v>Pickup</v>
      </c>
      <c r="AC743" s="64" t="str">
        <f t="shared" si="133"/>
        <v>Supply order ready for pickup</v>
      </c>
      <c r="AD743" s="64" t="str">
        <f t="shared" si="124"/>
        <v>Dear PSW,
Your order is ready for pickup from Sample Branch, Wed-Fri 9am-4pm.</v>
      </c>
      <c r="AE743" s="64" t="str">
        <f t="shared" si="125"/>
        <v>mailto:firstname172.lastname172@example.com?subject=Supply%20order%20ready%20for%20pickup&amp;body=Dear%20PSW%2C%0A%0AYour%20order%20is%20ready%20for%20pickup%20from%20Sample%20Branch%2C%20Wed-Fri%209am-4pm.</v>
      </c>
      <c r="AF743" s="89" t="str">
        <f t="shared" si="134"/>
        <v>Draft email</v>
      </c>
      <c r="AG743" s="64" t="str">
        <f>IF($C743="","",IFERROR(INDEX('Staff Directory'!$K$595:$K$599,MATCH($C743,'Staff Directory'!$B$5:$B$599,0)),$D743))</f>
        <v>PSW</v>
      </c>
      <c r="AH743" t="str">
        <f>IF($C743="","",IFERROR(INDEX('Staff Directory'!$I$595:$I$599,MATCH($C743,'Staff Directory'!$B$5:$B$599,0))&amp;" "&amp;INDEX('Staff Directory'!$J$595:$J$599,MATCH($C743,'Staff Directory'!$B$5:$B$599,0)),$AG743))</f>
        <v>PSW</v>
      </c>
      <c r="AI743" s="102"/>
      <c r="AJ743" s="101">
        <f>IF($F743="","",SUMIFS($J$5:$J743,$F$5:$F743,$F743))</f>
        <v>6100</v>
      </c>
      <c r="AK743" s="101">
        <f t="shared" si="126"/>
        <v>6051</v>
      </c>
      <c r="AL743" s="66" t="str" cm="1">
        <f t="array" ref="AL743">IF($F743="","",IFERROR(INDEX('Lot Balance'!$B$5:$B$500,MATCH(1,INDEX(('Lot Balance'!$A$5:$A$500=$F743)*('Lot Balance'!$K$5:$K$500&lt;$AK743)*('Lot Balance'!$K$5:$K$500+'Lot Balance'!$D$5:$D$500&gt;=$AK743),0),0)),""))</f>
        <v>0125FPC24-1</v>
      </c>
      <c r="AM743" s="66" t="str" cm="1">
        <f t="array" ref="AM743">IF($F743="","",IFERROR(INDEX('Lot Balance'!$B$5:$B$500,MATCH(1,INDEX(('Lot Balance'!$A$5:$A$500=$F743)*('Lot Balance'!$K$5:$K$500&lt;$AJ743)*('Lot Balance'!$K$5:$K$500+'Lot Balance'!$D$5:$D$500&gt;=$AJ743),0),0)),""))</f>
        <v>0125FPC24-1</v>
      </c>
      <c r="AN743" s="66" t="str">
        <f>IF($F743="","",IF($AI743&lt;&gt;"",IF(COUNTIFS('Lot Balance'!$A$5:$A$500,$F743,'Lot Balance'!$B$5:$B$500,$AI743)=0,"⚠ override is not a lot of this item",IF($AI743=$AL743,"Override = FEFO","Override - FEFO says "&amp;$AL743)),IF($AL743="","⚠ no receipt on file for this item",IF($AM743&lt;&gt;$AL743,"FEFO auto - split, also "&amp;$AM743,"FEFO auto"))))</f>
        <v>FEFO auto</v>
      </c>
      <c r="AO743" s="114"/>
    </row>
    <row r="744" spans="1:41" x14ac:dyDescent="0.35">
      <c r="A744" s="74">
        <v>46161</v>
      </c>
      <c r="B744" s="18" t="str">
        <f>IF($C744="","",IFERROR(INDEX('Staff Directory'!$A$5:$A$594,MATCH($C744,'Staff Directory'!$B$5:$B$594,0)),"⚠ unknown staff"))</f>
        <v>PSW-099-A6</v>
      </c>
      <c r="C744" s="49" t="s">
        <v>1077</v>
      </c>
      <c r="D744" s="19" t="str">
        <f>IF($B744="","",IFERROR(INDEX('Staff Directory'!$C$5:$C$594,MATCH($B744,'Staff Directory'!$A$5:$A$594,0)),""))</f>
        <v>PSW</v>
      </c>
      <c r="E744" s="19" t="str">
        <f>IF($B744="","",IFERROR(INDEX('Staff Directory'!$D$5:$D$594,MATCH($B744,'Staff Directory'!$A$5:$A$594,0)),""))</f>
        <v>A6</v>
      </c>
      <c r="F744" s="9" t="s">
        <v>127</v>
      </c>
      <c r="G744" s="18" t="str">
        <f>IF($F744="","",IFERROR(INDEX(Items!$B$5:$B$597,MATCH($F744,Items!$A$5:$A$597,0)),"⚠ not in Items"))</f>
        <v>Gloves</v>
      </c>
      <c r="H744" s="19" t="str">
        <f>IF($F744="","",IFERROR(INDEX(Items!$C$5:$C$597,MATCH($F744,Items!$A$5:$A$597,0)),""))</f>
        <v>Medium</v>
      </c>
      <c r="I744" s="23">
        <f>IF($F744="","",IFERROR(INDEX(Items!$E$5:$E$597,MATCH($F744,Items!$A$5:$A$597,0)),""))</f>
        <v>500</v>
      </c>
      <c r="J744" s="115">
        <f>IF(tblIssues[[#This Row],[Qty Override]]&lt;&gt;"",tblIssues[[#This Row],[Qty Override]],IF(tblIssues[[#This Row],[Standard Issue]]="","",tblIssues[[#This Row],[Standard Issue]]))</f>
        <v>500</v>
      </c>
      <c r="K744" s="20">
        <f>IF($F744="","",IFERROR(INDEX(Items!$D$5:$D$597,MATCH($F744,Items!$A$5:$A$597,0)),""))</f>
        <v>5.5E-2</v>
      </c>
      <c r="L744" s="21">
        <f t="shared" si="127"/>
        <v>27.5</v>
      </c>
      <c r="M744" s="9" t="str">
        <f t="shared" si="128"/>
        <v>O16689</v>
      </c>
      <c r="N744" s="24">
        <f>IF($A744="","",WORKDAY($A744,Settings!$C$9,HolidayDates))</f>
        <v>46169</v>
      </c>
      <c r="O744" s="24">
        <f>IF($N744="","",WORKDAY($N744,Settings!$C$10,HolidayDates))</f>
        <v>46209</v>
      </c>
      <c r="P744" s="10" t="s">
        <v>501</v>
      </c>
      <c r="Q744" s="52" t="str">
        <f t="shared" si="130"/>
        <v>Collected</v>
      </c>
      <c r="R744" s="55" t="str">
        <f t="shared" si="131"/>
        <v>2026-05</v>
      </c>
      <c r="S744" s="55">
        <f>IF(OR($B744="",$F744="",$R744=""),"",SUMIFS(tblIssues[Qty Issued],tblIssues[Staff ID],$B744,tblIssues[Item Name],$F744,tblIssues[Month],$R744))</f>
        <v>500</v>
      </c>
      <c r="T744" s="56">
        <f>IF($I744="","",$I744*Settings!$C$11)</f>
        <v>500</v>
      </c>
      <c r="U744" s="57" t="str">
        <f t="shared" si="129"/>
        <v>OK</v>
      </c>
      <c r="V744" s="55" t="str">
        <f t="shared" si="132"/>
        <v/>
      </c>
      <c r="W744" s="55" t="str">
        <f>IF($V744="","",IF(COUNTIF($V$5:$V744,$V744)=1,1,""))</f>
        <v/>
      </c>
      <c r="X744" s="58" t="str">
        <f>IF($W744="","",MAX($X$4:X743)+1)</f>
        <v/>
      </c>
      <c r="Y744" s="62"/>
      <c r="Z744" s="62"/>
      <c r="AA744" s="64" t="str">
        <f>IF($C744="","",IFERROR(INDEX('Staff Directory'!$E$5:$E$594,MATCH($C744,'Staff Directory'!$B$5:$B$594,0)),""))</f>
        <v>firstname161.lastname161@example.com</v>
      </c>
      <c r="AB744" s="64" t="str">
        <f>IF($C744="","",IF(ISNUMBER(SEARCH($D744,Settings!$C$15)),"Pickup","Dispatch"))</f>
        <v>Pickup</v>
      </c>
      <c r="AC744" s="64" t="str">
        <f t="shared" si="133"/>
        <v>Supply order ready for pickup</v>
      </c>
      <c r="AD744" s="64" t="str">
        <f t="shared" si="124"/>
        <v>Dear PSW,
Your order is ready for pickup from Sample Branch, Wed-Fri 9am-4pm.</v>
      </c>
      <c r="AE744" s="64" t="str">
        <f t="shared" si="125"/>
        <v>mailto:firstname161.lastname161@example.com?subject=Supply%20order%20ready%20for%20pickup&amp;body=Dear%20PSW%2C%0A%0AYour%20order%20is%20ready%20for%20pickup%20from%20Sample%20Branch%2C%20Wed-Fri%209am-4pm.</v>
      </c>
      <c r="AF744" s="89" t="str">
        <f t="shared" si="134"/>
        <v>Draft email</v>
      </c>
      <c r="AG744" s="64" t="str">
        <f>IF($C744="","",IFERROR(INDEX('Staff Directory'!$K$595:$K$599,MATCH($C744,'Staff Directory'!$B$5:$B$599,0)),$D744))</f>
        <v>PSW</v>
      </c>
      <c r="AH744" t="str">
        <f>IF($C744="","",IFERROR(INDEX('Staff Directory'!$I$595:$I$599,MATCH($C744,'Staff Directory'!$B$5:$B$599,0))&amp;" "&amp;INDEX('Staff Directory'!$J$595:$J$599,MATCH($C744,'Staff Directory'!$B$5:$B$599,0)),$AG744))</f>
        <v>PSW</v>
      </c>
      <c r="AI744" s="102"/>
      <c r="AJ744" s="101">
        <f>IF($F744="","",SUMIFS($J$5:$J744,$F$5:$F744,$F744))</f>
        <v>44000</v>
      </c>
      <c r="AK744" s="101">
        <f t="shared" si="126"/>
        <v>43501</v>
      </c>
      <c r="AL744" s="66" t="str" cm="1">
        <f t="array" ref="AL744">IF($F744="","",IFERROR(INDEX('Lot Balance'!$B$5:$B$500,MATCH(1,INDEX(('Lot Balance'!$A$5:$A$500=$F744)*('Lot Balance'!$K$5:$K$500&lt;$AK744)*('Lot Balance'!$K$5:$K$500+'Lot Balance'!$D$5:$D$500&gt;=$AK744),0),0)),""))</f>
        <v>O16689</v>
      </c>
      <c r="AM744" s="66" t="str" cm="1">
        <f t="array" ref="AM744">IF($F744="","",IFERROR(INDEX('Lot Balance'!$B$5:$B$500,MATCH(1,INDEX(('Lot Balance'!$A$5:$A$500=$F744)*('Lot Balance'!$K$5:$K$500&lt;$AJ744)*('Lot Balance'!$K$5:$K$500+'Lot Balance'!$D$5:$D$500&gt;=$AJ744),0),0)),""))</f>
        <v>O16689</v>
      </c>
      <c r="AN744" s="66" t="str">
        <f>IF($F744="","",IF($AI744&lt;&gt;"",IF(COUNTIFS('Lot Balance'!$A$5:$A$500,$F744,'Lot Balance'!$B$5:$B$500,$AI744)=0,"⚠ override is not a lot of this item",IF($AI744=$AL744,"Override = FEFO","Override - FEFO says "&amp;$AL744)),IF($AL744="","⚠ no receipt on file for this item",IF($AM744&lt;&gt;$AL744,"FEFO auto - split, also "&amp;$AM744,"FEFO auto"))))</f>
        <v>FEFO auto</v>
      </c>
      <c r="AO744" s="114"/>
    </row>
    <row r="745" spans="1:41" x14ac:dyDescent="0.35">
      <c r="A745" s="74">
        <v>46161</v>
      </c>
      <c r="B745" s="18" t="str">
        <f>IF($C745="","",IFERROR(INDEX('Staff Directory'!$A$5:$A$594,MATCH($C745,'Staff Directory'!$B$5:$B$594,0)),"⚠ unknown staff"))</f>
        <v>PSW-099-A6</v>
      </c>
      <c r="C745" s="49" t="s">
        <v>1077</v>
      </c>
      <c r="D745" s="19" t="str">
        <f>IF($B745="","",IFERROR(INDEX('Staff Directory'!$C$5:$C$594,MATCH($B745,'Staff Directory'!$A$5:$A$594,0)),""))</f>
        <v>PSW</v>
      </c>
      <c r="E745" s="19" t="str">
        <f>IF($B745="","",IFERROR(INDEX('Staff Directory'!$D$5:$D$594,MATCH($B745,'Staff Directory'!$A$5:$A$594,0)),""))</f>
        <v>A6</v>
      </c>
      <c r="F745" s="9" t="s">
        <v>191</v>
      </c>
      <c r="G745" s="18" t="str">
        <f>IF($F745="","",IFERROR(INDEX(Items!$B$5:$B$597,MATCH($F745,Items!$A$5:$A$597,0)),"⚠ not in Items"))</f>
        <v>Sanitizer</v>
      </c>
      <c r="H745" s="19" t="str">
        <f>IF($F745="","",IFERROR(INDEX(Items!$C$5:$C$597,MATCH($F745,Items!$A$5:$A$597,0)),""))</f>
        <v>236 ML</v>
      </c>
      <c r="I745" s="23">
        <f>IF($F745="","",IFERROR(INDEX(Items!$E$5:$E$597,MATCH($F745,Items!$A$5:$A$597,0)),""))</f>
        <v>1</v>
      </c>
      <c r="J745" s="115">
        <f>IF(tblIssues[[#This Row],[Qty Override]]&lt;&gt;"",tblIssues[[#This Row],[Qty Override]],IF(tblIssues[[#This Row],[Standard Issue]]="","",tblIssues[[#This Row],[Standard Issue]]))</f>
        <v>1</v>
      </c>
      <c r="K745" s="20">
        <f>IF($F745="","",IFERROR(INDEX(Items!$D$5:$D$597,MATCH($F745,Items!$A$5:$A$597,0)),""))</f>
        <v>1E-4</v>
      </c>
      <c r="L745" s="21">
        <f t="shared" si="127"/>
        <v>1E-4</v>
      </c>
      <c r="M745" s="9" t="str">
        <f t="shared" si="128"/>
        <v>20-21734-3</v>
      </c>
      <c r="N745" s="24">
        <f>IF($A745="","",WORKDAY($A745,Settings!$C$9,HolidayDates))</f>
        <v>46169</v>
      </c>
      <c r="O745" s="24">
        <f>IF($N745="","",WORKDAY($N745,Settings!$C$10,HolidayDates))</f>
        <v>46209</v>
      </c>
      <c r="P745" s="10" t="s">
        <v>501</v>
      </c>
      <c r="Q745" s="52" t="str">
        <f t="shared" si="130"/>
        <v>Collected</v>
      </c>
      <c r="R745" s="55" t="str">
        <f t="shared" si="131"/>
        <v>2026-05</v>
      </c>
      <c r="S745" s="55">
        <f>IF(OR($B745="",$F745="",$R745=""),"",SUMIFS(tblIssues[Qty Issued],tblIssues[Staff ID],$B745,tblIssues[Item Name],$F745,tblIssues[Month],$R745))</f>
        <v>1</v>
      </c>
      <c r="T745" s="56">
        <f>IF($I745="","",$I745*Settings!$C$11)</f>
        <v>1</v>
      </c>
      <c r="U745" s="57" t="str">
        <f t="shared" si="129"/>
        <v>OK</v>
      </c>
      <c r="V745" s="55" t="str">
        <f t="shared" si="132"/>
        <v/>
      </c>
      <c r="W745" s="55" t="str">
        <f>IF($V745="","",IF(COUNTIF($V$5:$V745,$V745)=1,1,""))</f>
        <v/>
      </c>
      <c r="X745" s="58" t="str">
        <f>IF($W745="","",MAX($X$4:X744)+1)</f>
        <v/>
      </c>
      <c r="Y745" s="62"/>
      <c r="Z745" s="62"/>
      <c r="AA745" s="64" t="str">
        <f>IF($C745="","",IFERROR(INDEX('Staff Directory'!$E$5:$E$594,MATCH($C745,'Staff Directory'!$B$5:$B$594,0)),""))</f>
        <v>firstname161.lastname161@example.com</v>
      </c>
      <c r="AB745" s="64" t="str">
        <f>IF($C745="","",IF(ISNUMBER(SEARCH($D745,Settings!$C$15)),"Pickup","Dispatch"))</f>
        <v>Pickup</v>
      </c>
      <c r="AC745" s="64" t="str">
        <f t="shared" si="133"/>
        <v>Supply order ready for pickup</v>
      </c>
      <c r="AD745" s="64" t="str">
        <f t="shared" si="124"/>
        <v>Dear PSW,
Your order is ready for pickup from Sample Branch, Wed-Fri 9am-4pm.</v>
      </c>
      <c r="AE745" s="64" t="str">
        <f t="shared" si="125"/>
        <v>mailto:firstname161.lastname161@example.com?subject=Supply%20order%20ready%20for%20pickup&amp;body=Dear%20PSW%2C%0A%0AYour%20order%20is%20ready%20for%20pickup%20from%20Sample%20Branch%2C%20Wed-Fri%209am-4pm.</v>
      </c>
      <c r="AF745" s="89" t="str">
        <f t="shared" si="134"/>
        <v>Draft email</v>
      </c>
      <c r="AG745" s="64" t="str">
        <f>IF($C745="","",IFERROR(INDEX('Staff Directory'!$K$595:$K$599,MATCH($C745,'Staff Directory'!$B$5:$B$599,0)),$D745))</f>
        <v>PSW</v>
      </c>
      <c r="AH745" t="str">
        <f>IF($C745="","",IFERROR(INDEX('Staff Directory'!$I$595:$I$599,MATCH($C745,'Staff Directory'!$B$5:$B$599,0))&amp;" "&amp;INDEX('Staff Directory'!$J$595:$J$599,MATCH($C745,'Staff Directory'!$B$5:$B$599,0)),$AG745))</f>
        <v>PSW</v>
      </c>
      <c r="AI745" s="102"/>
      <c r="AJ745" s="101">
        <f>IF($F745="","",SUMIFS($J$5:$J745,$F$5:$F745,$F745))</f>
        <v>89</v>
      </c>
      <c r="AK745" s="101">
        <f t="shared" si="126"/>
        <v>89</v>
      </c>
      <c r="AL745" s="66" t="str" cm="1">
        <f t="array" ref="AL745">IF($F745="","",IFERROR(INDEX('Lot Balance'!$B$5:$B$500,MATCH(1,INDEX(('Lot Balance'!$A$5:$A$500=$F745)*('Lot Balance'!$K$5:$K$500&lt;$AK745)*('Lot Balance'!$K$5:$K$500+'Lot Balance'!$D$5:$D$500&gt;=$AK745),0),0)),""))</f>
        <v>20-21734-3</v>
      </c>
      <c r="AM745" s="66" t="str" cm="1">
        <f t="array" ref="AM745">IF($F745="","",IFERROR(INDEX('Lot Balance'!$B$5:$B$500,MATCH(1,INDEX(('Lot Balance'!$A$5:$A$500=$F745)*('Lot Balance'!$K$5:$K$500&lt;$AJ745)*('Lot Balance'!$K$5:$K$500+'Lot Balance'!$D$5:$D$500&gt;=$AJ745),0),0)),""))</f>
        <v>20-21734-3</v>
      </c>
      <c r="AN745" s="66" t="str">
        <f>IF($F745="","",IF($AI745&lt;&gt;"",IF(COUNTIFS('Lot Balance'!$A$5:$A$500,$F745,'Lot Balance'!$B$5:$B$500,$AI745)=0,"⚠ override is not a lot of this item",IF($AI745=$AL745,"Override = FEFO","Override - FEFO says "&amp;$AL745)),IF($AL745="","⚠ no receipt on file for this item",IF($AM745&lt;&gt;$AL745,"FEFO auto - split, also "&amp;$AM745,"FEFO auto"))))</f>
        <v>FEFO auto</v>
      </c>
      <c r="AO745" s="114"/>
    </row>
    <row r="746" spans="1:41" x14ac:dyDescent="0.35">
      <c r="A746" s="74">
        <v>46161</v>
      </c>
      <c r="B746" s="18" t="str">
        <f>IF($C746="","",IFERROR(INDEX('Staff Directory'!$A$5:$A$594,MATCH($C746,'Staff Directory'!$B$5:$B$594,0)),"⚠ unknown staff"))</f>
        <v>PSW-099-A6</v>
      </c>
      <c r="C746" s="49" t="s">
        <v>1077</v>
      </c>
      <c r="D746" s="19" t="str">
        <f>IF($B746="","",IFERROR(INDEX('Staff Directory'!$C$5:$C$594,MATCH($B746,'Staff Directory'!$A$5:$A$594,0)),""))</f>
        <v>PSW</v>
      </c>
      <c r="E746" s="19" t="str">
        <f>IF($B746="","",IFERROR(INDEX('Staff Directory'!$D$5:$D$594,MATCH($B746,'Staff Directory'!$A$5:$A$594,0)),""))</f>
        <v>A6</v>
      </c>
      <c r="F746" s="9" t="s">
        <v>115</v>
      </c>
      <c r="G746" s="18" t="str">
        <f>IF($F746="","",IFERROR(INDEX(Items!$B$5:$B$597,MATCH($F746,Items!$A$5:$A$597,0)),"⚠ not in Items"))</f>
        <v>Wipes</v>
      </c>
      <c r="H746" s="19">
        <f>IF($F746="","",IFERROR(INDEX(Items!$C$5:$C$597,MATCH($F746,Items!$A$5:$A$597,0)),""))</f>
        <v>80</v>
      </c>
      <c r="I746" s="23">
        <f>IF($F746="","",IFERROR(INDEX(Items!$E$5:$E$597,MATCH($F746,Items!$A$5:$A$597,0)),""))</f>
        <v>80</v>
      </c>
      <c r="J746" s="115">
        <f>IF(tblIssues[[#This Row],[Qty Override]]&lt;&gt;"",tblIssues[[#This Row],[Qty Override]],IF(tblIssues[[#This Row],[Standard Issue]]="","",tblIssues[[#This Row],[Standard Issue]]))</f>
        <v>80</v>
      </c>
      <c r="K746" s="20">
        <f>IF($F746="","",IFERROR(INDEX(Items!$D$5:$D$597,MATCH($F746,Items!$A$5:$A$597,0)),""))</f>
        <v>0.1</v>
      </c>
      <c r="L746" s="21">
        <f t="shared" si="127"/>
        <v>8</v>
      </c>
      <c r="M746" s="9" t="str">
        <f t="shared" si="128"/>
        <v>LYSL500290</v>
      </c>
      <c r="N746" s="24">
        <f>IF($A746="","",WORKDAY($A746,Settings!$C$9,HolidayDates))</f>
        <v>46169</v>
      </c>
      <c r="O746" s="24">
        <f>IF($N746="","",WORKDAY($N746,Settings!$C$10,HolidayDates))</f>
        <v>46209</v>
      </c>
      <c r="P746" s="10" t="s">
        <v>501</v>
      </c>
      <c r="Q746" s="52" t="str">
        <f t="shared" si="130"/>
        <v>Collected</v>
      </c>
      <c r="R746" s="55" t="str">
        <f t="shared" si="131"/>
        <v>2026-05</v>
      </c>
      <c r="S746" s="55">
        <f>IF(OR($B746="",$F746="",$R746=""),"",SUMIFS(tblIssues[Qty Issued],tblIssues[Staff ID],$B746,tblIssues[Item Name],$F746,tblIssues[Month],$R746))</f>
        <v>80</v>
      </c>
      <c r="T746" s="56">
        <f>IF($I746="","",$I746*Settings!$C$11)</f>
        <v>80</v>
      </c>
      <c r="U746" s="57" t="str">
        <f t="shared" si="129"/>
        <v>OK</v>
      </c>
      <c r="V746" s="55" t="str">
        <f t="shared" si="132"/>
        <v/>
      </c>
      <c r="W746" s="55" t="str">
        <f>IF($V746="","",IF(COUNTIF($V$5:$V746,$V746)=1,1,""))</f>
        <v/>
      </c>
      <c r="X746" s="58" t="str">
        <f>IF($W746="","",MAX($X$4:X745)+1)</f>
        <v/>
      </c>
      <c r="Y746" s="62"/>
      <c r="Z746" s="62"/>
      <c r="AA746" s="64" t="str">
        <f>IF($C746="","",IFERROR(INDEX('Staff Directory'!$E$5:$E$594,MATCH($C746,'Staff Directory'!$B$5:$B$594,0)),""))</f>
        <v>firstname161.lastname161@example.com</v>
      </c>
      <c r="AB746" s="64" t="str">
        <f>IF($C746="","",IF(ISNUMBER(SEARCH($D746,Settings!$C$15)),"Pickup","Dispatch"))</f>
        <v>Pickup</v>
      </c>
      <c r="AC746" s="64" t="str">
        <f t="shared" si="133"/>
        <v>Supply order ready for pickup</v>
      </c>
      <c r="AD746" s="64" t="str">
        <f t="shared" si="124"/>
        <v>Dear PSW,
Your order is ready for pickup from Sample Branch, Wed-Fri 9am-4pm.</v>
      </c>
      <c r="AE746" s="64" t="str">
        <f t="shared" si="125"/>
        <v>mailto:firstname161.lastname161@example.com?subject=Supply%20order%20ready%20for%20pickup&amp;body=Dear%20PSW%2C%0A%0AYour%20order%20is%20ready%20for%20pickup%20from%20Sample%20Branch%2C%20Wed-Fri%209am-4pm.</v>
      </c>
      <c r="AF746" s="89" t="str">
        <f t="shared" si="134"/>
        <v>Draft email</v>
      </c>
      <c r="AG746" s="64" t="str">
        <f>IF($C746="","",IFERROR(INDEX('Staff Directory'!$K$595:$K$599,MATCH($C746,'Staff Directory'!$B$5:$B$599,0)),$D746))</f>
        <v>PSW</v>
      </c>
      <c r="AH746" t="str">
        <f>IF($C746="","",IFERROR(INDEX('Staff Directory'!$I$595:$I$599,MATCH($C746,'Staff Directory'!$B$5:$B$599,0))&amp;" "&amp;INDEX('Staff Directory'!$J$595:$J$599,MATCH($C746,'Staff Directory'!$B$5:$B$599,0)),$AG746))</f>
        <v>PSW</v>
      </c>
      <c r="AI746" s="102"/>
      <c r="AJ746" s="101">
        <f>IF($F746="","",SUMIFS($J$5:$J746,$F$5:$F746,$F746))</f>
        <v>10480</v>
      </c>
      <c r="AK746" s="101">
        <f t="shared" si="126"/>
        <v>10401</v>
      </c>
      <c r="AL746" s="66" t="str" cm="1">
        <f t="array" ref="AL746">IF($F746="","",IFERROR(INDEX('Lot Balance'!$B$5:$B$500,MATCH(1,INDEX(('Lot Balance'!$A$5:$A$500=$F746)*('Lot Balance'!$K$5:$K$500&lt;$AK746)*('Lot Balance'!$K$5:$K$500+'Lot Balance'!$D$5:$D$500&gt;=$AK746),0),0)),""))</f>
        <v>LYSL500290</v>
      </c>
      <c r="AM746" s="66" t="str" cm="1">
        <f t="array" ref="AM746">IF($F746="","",IFERROR(INDEX('Lot Balance'!$B$5:$B$500,MATCH(1,INDEX(('Lot Balance'!$A$5:$A$500=$F746)*('Lot Balance'!$K$5:$K$500&lt;$AJ746)*('Lot Balance'!$K$5:$K$500+'Lot Balance'!$D$5:$D$500&gt;=$AJ746),0),0)),""))</f>
        <v>LYSL500290</v>
      </c>
      <c r="AN746" s="66" t="str">
        <f>IF($F746="","",IF($AI746&lt;&gt;"",IF(COUNTIFS('Lot Balance'!$A$5:$A$500,$F746,'Lot Balance'!$B$5:$B$500,$AI746)=0,"⚠ override is not a lot of this item",IF($AI746=$AL746,"Override = FEFO","Override - FEFO says "&amp;$AL746)),IF($AL746="","⚠ no receipt on file for this item",IF($AM746&lt;&gt;$AL746,"FEFO auto - split, also "&amp;$AM746,"FEFO auto"))))</f>
        <v>FEFO auto</v>
      </c>
      <c r="AO746" s="114"/>
    </row>
    <row r="747" spans="1:41" x14ac:dyDescent="0.35">
      <c r="A747" s="74">
        <v>46161</v>
      </c>
      <c r="B747" s="18" t="str">
        <f>IF($C747="","",IFERROR(INDEX('Staff Directory'!$A$5:$A$594,MATCH($C747,'Staff Directory'!$B$5:$B$594,0)),"⚠ unknown staff"))</f>
        <v>PSW-099-A6</v>
      </c>
      <c r="C747" s="49" t="s">
        <v>1077</v>
      </c>
      <c r="D747" s="19" t="str">
        <f>IF($B747="","",IFERROR(INDEX('Staff Directory'!$C$5:$C$594,MATCH($B747,'Staff Directory'!$A$5:$A$594,0)),""))</f>
        <v>PSW</v>
      </c>
      <c r="E747" s="19" t="str">
        <f>IF($B747="","",IFERROR(INDEX('Staff Directory'!$D$5:$D$594,MATCH($B747,'Staff Directory'!$A$5:$A$594,0)),""))</f>
        <v>A6</v>
      </c>
      <c r="F747" s="9" t="s">
        <v>156</v>
      </c>
      <c r="G747" s="18" t="str">
        <f>IF($F747="","",IFERROR(INDEX(Items!$B$5:$B$597,MATCH($F747,Items!$A$5:$A$597,0)),"⚠ not in Items"))</f>
        <v>Masks</v>
      </c>
      <c r="H747" s="19" t="str">
        <f>IF($F747="","",IFERROR(INDEX(Items!$C$5:$C$597,MATCH($F747,Items!$A$5:$A$597,0)),""))</f>
        <v>One Size</v>
      </c>
      <c r="I747" s="23">
        <f>IF($F747="","",IFERROR(INDEX(Items!$E$5:$E$597,MATCH($F747,Items!$A$5:$A$597,0)),""))</f>
        <v>50</v>
      </c>
      <c r="J747" s="115">
        <f>IF(tblIssues[[#This Row],[Qty Override]]&lt;&gt;"",tblIssues[[#This Row],[Qty Override]],IF(tblIssues[[#This Row],[Standard Issue]]="","",tblIssues[[#This Row],[Standard Issue]]))</f>
        <v>50</v>
      </c>
      <c r="K747" s="20">
        <f>IF($F747="","",IFERROR(INDEX(Items!$D$5:$D$597,MATCH($F747,Items!$A$5:$A$597,0)),""))</f>
        <v>0.25</v>
      </c>
      <c r="L747" s="21">
        <f t="shared" si="127"/>
        <v>12.5</v>
      </c>
      <c r="M747" s="9" t="str">
        <f t="shared" si="128"/>
        <v>0125FPC24-1</v>
      </c>
      <c r="N747" s="24">
        <f>IF($A747="","",WORKDAY($A747,Settings!$C$9,HolidayDates))</f>
        <v>46169</v>
      </c>
      <c r="O747" s="24">
        <f>IF($N747="","",WORKDAY($N747,Settings!$C$10,HolidayDates))</f>
        <v>46209</v>
      </c>
      <c r="P747" s="10" t="s">
        <v>501</v>
      </c>
      <c r="Q747" s="52" t="str">
        <f t="shared" si="130"/>
        <v>Collected</v>
      </c>
      <c r="R747" s="55" t="str">
        <f t="shared" si="131"/>
        <v>2026-05</v>
      </c>
      <c r="S747" s="55">
        <f>IF(OR($B747="",$F747="",$R747=""),"",SUMIFS(tblIssues[Qty Issued],tblIssues[Staff ID],$B747,tblIssues[Item Name],$F747,tblIssues[Month],$R747))</f>
        <v>50</v>
      </c>
      <c r="T747" s="56">
        <f>IF($I747="","",$I747*Settings!$C$11)</f>
        <v>50</v>
      </c>
      <c r="U747" s="57" t="str">
        <f t="shared" si="129"/>
        <v>OK</v>
      </c>
      <c r="V747" s="55" t="str">
        <f t="shared" si="132"/>
        <v/>
      </c>
      <c r="W747" s="55" t="str">
        <f>IF($V747="","",IF(COUNTIF($V$5:$V747,$V747)=1,1,""))</f>
        <v/>
      </c>
      <c r="X747" s="58" t="str">
        <f>IF($W747="","",MAX($X$4:X746)+1)</f>
        <v/>
      </c>
      <c r="Y747" s="62"/>
      <c r="Z747" s="62"/>
      <c r="AA747" s="64" t="str">
        <f>IF($C747="","",IFERROR(INDEX('Staff Directory'!$E$5:$E$594,MATCH($C747,'Staff Directory'!$B$5:$B$594,0)),""))</f>
        <v>firstname161.lastname161@example.com</v>
      </c>
      <c r="AB747" s="64" t="str">
        <f>IF($C747="","",IF(ISNUMBER(SEARCH($D747,Settings!$C$15)),"Pickup","Dispatch"))</f>
        <v>Pickup</v>
      </c>
      <c r="AC747" s="64" t="str">
        <f t="shared" si="133"/>
        <v>Supply order ready for pickup</v>
      </c>
      <c r="AD747" s="64" t="str">
        <f t="shared" si="124"/>
        <v>Dear PSW,
Your order is ready for pickup from Sample Branch, Wed-Fri 9am-4pm.</v>
      </c>
      <c r="AE747" s="64" t="str">
        <f t="shared" si="125"/>
        <v>mailto:firstname161.lastname161@example.com?subject=Supply%20order%20ready%20for%20pickup&amp;body=Dear%20PSW%2C%0A%0AYour%20order%20is%20ready%20for%20pickup%20from%20Sample%20Branch%2C%20Wed-Fri%209am-4pm.</v>
      </c>
      <c r="AF747" s="89" t="str">
        <f t="shared" si="134"/>
        <v>Draft email</v>
      </c>
      <c r="AG747" s="64" t="str">
        <f>IF($C747="","",IFERROR(INDEX('Staff Directory'!$K$595:$K$599,MATCH($C747,'Staff Directory'!$B$5:$B$599,0)),$D747))</f>
        <v>PSW</v>
      </c>
      <c r="AH747" t="str">
        <f>IF($C747="","",IFERROR(INDEX('Staff Directory'!$I$595:$I$599,MATCH($C747,'Staff Directory'!$B$5:$B$599,0))&amp;" "&amp;INDEX('Staff Directory'!$J$595:$J$599,MATCH($C747,'Staff Directory'!$B$5:$B$599,0)),$AG747))</f>
        <v>PSW</v>
      </c>
      <c r="AI747" s="102"/>
      <c r="AJ747" s="101">
        <f>IF($F747="","",SUMIFS($J$5:$J747,$F$5:$F747,$F747))</f>
        <v>6150</v>
      </c>
      <c r="AK747" s="101">
        <f t="shared" si="126"/>
        <v>6101</v>
      </c>
      <c r="AL747" s="66" t="str" cm="1">
        <f t="array" ref="AL747">IF($F747="","",IFERROR(INDEX('Lot Balance'!$B$5:$B$500,MATCH(1,INDEX(('Lot Balance'!$A$5:$A$500=$F747)*('Lot Balance'!$K$5:$K$500&lt;$AK747)*('Lot Balance'!$K$5:$K$500+'Lot Balance'!$D$5:$D$500&gt;=$AK747),0),0)),""))</f>
        <v>0125FPC24-1</v>
      </c>
      <c r="AM747" s="66" t="str" cm="1">
        <f t="array" ref="AM747">IF($F747="","",IFERROR(INDEX('Lot Balance'!$B$5:$B$500,MATCH(1,INDEX(('Lot Balance'!$A$5:$A$500=$F747)*('Lot Balance'!$K$5:$K$500&lt;$AJ747)*('Lot Balance'!$K$5:$K$500+'Lot Balance'!$D$5:$D$500&gt;=$AJ747),0),0)),""))</f>
        <v>0125FPC24-1</v>
      </c>
      <c r="AN747" s="66" t="str">
        <f>IF($F747="","",IF($AI747&lt;&gt;"",IF(COUNTIFS('Lot Balance'!$A$5:$A$500,$F747,'Lot Balance'!$B$5:$B$500,$AI747)=0,"⚠ override is not a lot of this item",IF($AI747=$AL747,"Override = FEFO","Override - FEFO says "&amp;$AL747)),IF($AL747="","⚠ no receipt on file for this item",IF($AM747&lt;&gt;$AL747,"FEFO auto - split, also "&amp;$AM747,"FEFO auto"))))</f>
        <v>FEFO auto</v>
      </c>
      <c r="AO747" s="114"/>
    </row>
    <row r="748" spans="1:41" x14ac:dyDescent="0.35">
      <c r="A748" s="74">
        <v>46161</v>
      </c>
      <c r="B748" s="18" t="str">
        <f>IF($C748="","",IFERROR(INDEX('Staff Directory'!$A$5:$A$594,MATCH($C748,'Staff Directory'!$B$5:$B$594,0)),"⚠ unknown staff"))</f>
        <v>PSW-044-A4</v>
      </c>
      <c r="C748" s="49" t="s">
        <v>1019</v>
      </c>
      <c r="D748" s="19" t="str">
        <f>IF($B748="","",IFERROR(INDEX('Staff Directory'!$C$5:$C$594,MATCH($B748,'Staff Directory'!$A$5:$A$594,0)),""))</f>
        <v>PSW</v>
      </c>
      <c r="E748" s="19" t="str">
        <f>IF($B748="","",IFERROR(INDEX('Staff Directory'!$D$5:$D$594,MATCH($B748,'Staff Directory'!$A$5:$A$594,0)),""))</f>
        <v>A4</v>
      </c>
      <c r="F748" s="9" t="s">
        <v>127</v>
      </c>
      <c r="G748" s="18" t="str">
        <f>IF($F748="","",IFERROR(INDEX(Items!$B$5:$B$597,MATCH($F748,Items!$A$5:$A$597,0)),"⚠ not in Items"))</f>
        <v>Gloves</v>
      </c>
      <c r="H748" s="19" t="str">
        <f>IF($F748="","",IFERROR(INDEX(Items!$C$5:$C$597,MATCH($F748,Items!$A$5:$A$597,0)),""))</f>
        <v>Medium</v>
      </c>
      <c r="I748" s="23">
        <f>IF($F748="","",IFERROR(INDEX(Items!$E$5:$E$597,MATCH($F748,Items!$A$5:$A$597,0)),""))</f>
        <v>500</v>
      </c>
      <c r="J748" s="115">
        <f>IF(tblIssues[[#This Row],[Qty Override]]&lt;&gt;"",tblIssues[[#This Row],[Qty Override]],IF(tblIssues[[#This Row],[Standard Issue]]="","",tblIssues[[#This Row],[Standard Issue]]))</f>
        <v>500</v>
      </c>
      <c r="K748" s="20">
        <f>IF($F748="","",IFERROR(INDEX(Items!$D$5:$D$597,MATCH($F748,Items!$A$5:$A$597,0)),""))</f>
        <v>5.5E-2</v>
      </c>
      <c r="L748" s="21">
        <f t="shared" si="127"/>
        <v>27.5</v>
      </c>
      <c r="M748" s="9" t="str">
        <f t="shared" si="128"/>
        <v>O16689</v>
      </c>
      <c r="N748" s="24">
        <f>IF($A748="","",WORKDAY($A748,Settings!$C$9,HolidayDates))</f>
        <v>46169</v>
      </c>
      <c r="O748" s="24">
        <f>IF($N748="","",WORKDAY($N748,Settings!$C$10,HolidayDates))</f>
        <v>46209</v>
      </c>
      <c r="P748" s="10" t="s">
        <v>501</v>
      </c>
      <c r="Q748" s="52" t="str">
        <f t="shared" si="130"/>
        <v>Collected</v>
      </c>
      <c r="R748" s="55" t="str">
        <f t="shared" si="131"/>
        <v>2026-05</v>
      </c>
      <c r="S748" s="55">
        <f>IF(OR($B748="",$F748="",$R748=""),"",SUMIFS(tblIssues[Qty Issued],tblIssues[Staff ID],$B748,tblIssues[Item Name],$F748,tblIssues[Month],$R748))</f>
        <v>500</v>
      </c>
      <c r="T748" s="56">
        <f>IF($I748="","",$I748*Settings!$C$11)</f>
        <v>500</v>
      </c>
      <c r="U748" s="57" t="str">
        <f t="shared" si="129"/>
        <v>OK</v>
      </c>
      <c r="V748" s="55" t="str">
        <f t="shared" si="132"/>
        <v/>
      </c>
      <c r="W748" s="55" t="str">
        <f>IF($V748="","",IF(COUNTIF($V$5:$V748,$V748)=1,1,""))</f>
        <v/>
      </c>
      <c r="X748" s="58" t="str">
        <f>IF($W748="","",MAX($X$4:X747)+1)</f>
        <v/>
      </c>
      <c r="Y748" s="62"/>
      <c r="Z748" s="62"/>
      <c r="AA748" s="64" t="str">
        <f>IF($C748="","",IFERROR(INDEX('Staff Directory'!$E$5:$E$594,MATCH($C748,'Staff Directory'!$B$5:$B$594,0)),""))</f>
        <v>firstname103.lastname103@example.com</v>
      </c>
      <c r="AB748" s="64" t="str">
        <f>IF($C748="","",IF(ISNUMBER(SEARCH($D748,Settings!$C$15)),"Pickup","Dispatch"))</f>
        <v>Pickup</v>
      </c>
      <c r="AC748" s="64" t="str">
        <f t="shared" si="133"/>
        <v>Supply order ready for pickup</v>
      </c>
      <c r="AD748" s="64" t="str">
        <f t="shared" si="124"/>
        <v>Dear PSW,
Your order is ready for pickup from Sample Branch, Wed-Fri 9am-4pm.</v>
      </c>
      <c r="AE748" s="64" t="str">
        <f t="shared" si="125"/>
        <v>mailto:firstname103.lastname103@example.com?subject=Supply%20order%20ready%20for%20pickup&amp;body=Dear%20PSW%2C%0A%0AYour%20order%20is%20ready%20for%20pickup%20from%20Sample%20Branch%2C%20Wed-Fri%209am-4pm.</v>
      </c>
      <c r="AF748" s="89" t="str">
        <f t="shared" si="134"/>
        <v>Draft email</v>
      </c>
      <c r="AG748" s="64" t="str">
        <f>IF($C748="","",IFERROR(INDEX('Staff Directory'!$K$595:$K$599,MATCH($C748,'Staff Directory'!$B$5:$B$599,0)),$D748))</f>
        <v>PSW</v>
      </c>
      <c r="AH748" t="str">
        <f>IF($C748="","",IFERROR(INDEX('Staff Directory'!$I$595:$I$599,MATCH($C748,'Staff Directory'!$B$5:$B$599,0))&amp;" "&amp;INDEX('Staff Directory'!$J$595:$J$599,MATCH($C748,'Staff Directory'!$B$5:$B$599,0)),$AG748))</f>
        <v>PSW</v>
      </c>
      <c r="AI748" s="102"/>
      <c r="AJ748" s="101">
        <f>IF($F748="","",SUMIFS($J$5:$J748,$F$5:$F748,$F748))</f>
        <v>44500</v>
      </c>
      <c r="AK748" s="101">
        <f t="shared" si="126"/>
        <v>44001</v>
      </c>
      <c r="AL748" s="66" t="str" cm="1">
        <f t="array" ref="AL748">IF($F748="","",IFERROR(INDEX('Lot Balance'!$B$5:$B$500,MATCH(1,INDEX(('Lot Balance'!$A$5:$A$500=$F748)*('Lot Balance'!$K$5:$K$500&lt;$AK748)*('Lot Balance'!$K$5:$K$500+'Lot Balance'!$D$5:$D$500&gt;=$AK748),0),0)),""))</f>
        <v>O16689</v>
      </c>
      <c r="AM748" s="66" t="str" cm="1">
        <f t="array" ref="AM748">IF($F748="","",IFERROR(INDEX('Lot Balance'!$B$5:$B$500,MATCH(1,INDEX(('Lot Balance'!$A$5:$A$500=$F748)*('Lot Balance'!$K$5:$K$500&lt;$AJ748)*('Lot Balance'!$K$5:$K$500+'Lot Balance'!$D$5:$D$500&gt;=$AJ748),0),0)),""))</f>
        <v>O16689</v>
      </c>
      <c r="AN748" s="66" t="str">
        <f>IF($F748="","",IF($AI748&lt;&gt;"",IF(COUNTIFS('Lot Balance'!$A$5:$A$500,$F748,'Lot Balance'!$B$5:$B$500,$AI748)=0,"⚠ override is not a lot of this item",IF($AI748=$AL748,"Override = FEFO","Override - FEFO says "&amp;$AL748)),IF($AL748="","⚠ no receipt on file for this item",IF($AM748&lt;&gt;$AL748,"FEFO auto - split, also "&amp;$AM748,"FEFO auto"))))</f>
        <v>FEFO auto</v>
      </c>
      <c r="AO748" s="114"/>
    </row>
    <row r="749" spans="1:41" x14ac:dyDescent="0.35">
      <c r="A749" s="74">
        <v>46161</v>
      </c>
      <c r="B749" s="18" t="str">
        <f>IF($C749="","",IFERROR(INDEX('Staff Directory'!$A$5:$A$594,MATCH($C749,'Staff Directory'!$B$5:$B$594,0)),"⚠ unknown staff"))</f>
        <v>PSW-044-A4</v>
      </c>
      <c r="C749" s="49" t="s">
        <v>1019</v>
      </c>
      <c r="D749" s="19" t="str">
        <f>IF($B749="","",IFERROR(INDEX('Staff Directory'!$C$5:$C$594,MATCH($B749,'Staff Directory'!$A$5:$A$594,0)),""))</f>
        <v>PSW</v>
      </c>
      <c r="E749" s="19" t="str">
        <f>IF($B749="","",IFERROR(INDEX('Staff Directory'!$D$5:$D$594,MATCH($B749,'Staff Directory'!$A$5:$A$594,0)),""))</f>
        <v>A4</v>
      </c>
      <c r="F749" s="9" t="s">
        <v>191</v>
      </c>
      <c r="G749" s="18" t="str">
        <f>IF($F749="","",IFERROR(INDEX(Items!$B$5:$B$597,MATCH($F749,Items!$A$5:$A$597,0)),"⚠ not in Items"))</f>
        <v>Sanitizer</v>
      </c>
      <c r="H749" s="19" t="str">
        <f>IF($F749="","",IFERROR(INDEX(Items!$C$5:$C$597,MATCH($F749,Items!$A$5:$A$597,0)),""))</f>
        <v>236 ML</v>
      </c>
      <c r="I749" s="23">
        <f>IF($F749="","",IFERROR(INDEX(Items!$E$5:$E$597,MATCH($F749,Items!$A$5:$A$597,0)),""))</f>
        <v>1</v>
      </c>
      <c r="J749" s="115">
        <f>IF(tblIssues[[#This Row],[Qty Override]]&lt;&gt;"",tblIssues[[#This Row],[Qty Override]],IF(tblIssues[[#This Row],[Standard Issue]]="","",tblIssues[[#This Row],[Standard Issue]]))</f>
        <v>1</v>
      </c>
      <c r="K749" s="20">
        <f>IF($F749="","",IFERROR(INDEX(Items!$D$5:$D$597,MATCH($F749,Items!$A$5:$A$597,0)),""))</f>
        <v>1E-4</v>
      </c>
      <c r="L749" s="21">
        <f t="shared" si="127"/>
        <v>1E-4</v>
      </c>
      <c r="M749" s="9" t="str">
        <f t="shared" si="128"/>
        <v>20-21734-3</v>
      </c>
      <c r="N749" s="24">
        <f>IF($A749="","",WORKDAY($A749,Settings!$C$9,HolidayDates))</f>
        <v>46169</v>
      </c>
      <c r="O749" s="24">
        <f>IF($N749="","",WORKDAY($N749,Settings!$C$10,HolidayDates))</f>
        <v>46209</v>
      </c>
      <c r="P749" s="10" t="s">
        <v>501</v>
      </c>
      <c r="Q749" s="52" t="str">
        <f t="shared" si="130"/>
        <v>Collected</v>
      </c>
      <c r="R749" s="55" t="str">
        <f t="shared" si="131"/>
        <v>2026-05</v>
      </c>
      <c r="S749" s="55">
        <f>IF(OR($B749="",$F749="",$R749=""),"",SUMIFS(tblIssues[Qty Issued],tblIssues[Staff ID],$B749,tblIssues[Item Name],$F749,tblIssues[Month],$R749))</f>
        <v>1</v>
      </c>
      <c r="T749" s="56">
        <f>IF($I749="","",$I749*Settings!$C$11)</f>
        <v>1</v>
      </c>
      <c r="U749" s="57" t="str">
        <f t="shared" si="129"/>
        <v>OK</v>
      </c>
      <c r="V749" s="55" t="str">
        <f t="shared" si="132"/>
        <v/>
      </c>
      <c r="W749" s="55" t="str">
        <f>IF($V749="","",IF(COUNTIF($V$5:$V749,$V749)=1,1,""))</f>
        <v/>
      </c>
      <c r="X749" s="58" t="str">
        <f>IF($W749="","",MAX($X$4:X748)+1)</f>
        <v/>
      </c>
      <c r="Y749" s="62"/>
      <c r="Z749" s="62"/>
      <c r="AA749" s="64" t="str">
        <f>IF($C749="","",IFERROR(INDEX('Staff Directory'!$E$5:$E$594,MATCH($C749,'Staff Directory'!$B$5:$B$594,0)),""))</f>
        <v>firstname103.lastname103@example.com</v>
      </c>
      <c r="AB749" s="64" t="str">
        <f>IF($C749="","",IF(ISNUMBER(SEARCH($D749,Settings!$C$15)),"Pickup","Dispatch"))</f>
        <v>Pickup</v>
      </c>
      <c r="AC749" s="64" t="str">
        <f t="shared" si="133"/>
        <v>Supply order ready for pickup</v>
      </c>
      <c r="AD749" s="64" t="str">
        <f t="shared" si="124"/>
        <v>Dear PSW,
Your order is ready for pickup from Sample Branch, Wed-Fri 9am-4pm.</v>
      </c>
      <c r="AE749" s="64" t="str">
        <f t="shared" si="125"/>
        <v>mailto:firstname103.lastname103@example.com?subject=Supply%20order%20ready%20for%20pickup&amp;body=Dear%20PSW%2C%0A%0AYour%20order%20is%20ready%20for%20pickup%20from%20Sample%20Branch%2C%20Wed-Fri%209am-4pm.</v>
      </c>
      <c r="AF749" s="89" t="str">
        <f t="shared" si="134"/>
        <v>Draft email</v>
      </c>
      <c r="AG749" s="64" t="str">
        <f>IF($C749="","",IFERROR(INDEX('Staff Directory'!$K$595:$K$599,MATCH($C749,'Staff Directory'!$B$5:$B$599,0)),$D749))</f>
        <v>PSW</v>
      </c>
      <c r="AH749" t="str">
        <f>IF($C749="","",IFERROR(INDEX('Staff Directory'!$I$595:$I$599,MATCH($C749,'Staff Directory'!$B$5:$B$599,0))&amp;" "&amp;INDEX('Staff Directory'!$J$595:$J$599,MATCH($C749,'Staff Directory'!$B$5:$B$599,0)),$AG749))</f>
        <v>PSW</v>
      </c>
      <c r="AI749" s="102"/>
      <c r="AJ749" s="101">
        <f>IF($F749="","",SUMIFS($J$5:$J749,$F$5:$F749,$F749))</f>
        <v>90</v>
      </c>
      <c r="AK749" s="101">
        <f t="shared" si="126"/>
        <v>90</v>
      </c>
      <c r="AL749" s="66" t="str" cm="1">
        <f t="array" ref="AL749">IF($F749="","",IFERROR(INDEX('Lot Balance'!$B$5:$B$500,MATCH(1,INDEX(('Lot Balance'!$A$5:$A$500=$F749)*('Lot Balance'!$K$5:$K$500&lt;$AK749)*('Lot Balance'!$K$5:$K$500+'Lot Balance'!$D$5:$D$500&gt;=$AK749),0),0)),""))</f>
        <v>20-21734-3</v>
      </c>
      <c r="AM749" s="66" t="str" cm="1">
        <f t="array" ref="AM749">IF($F749="","",IFERROR(INDEX('Lot Balance'!$B$5:$B$500,MATCH(1,INDEX(('Lot Balance'!$A$5:$A$500=$F749)*('Lot Balance'!$K$5:$K$500&lt;$AJ749)*('Lot Balance'!$K$5:$K$500+'Lot Balance'!$D$5:$D$500&gt;=$AJ749),0),0)),""))</f>
        <v>20-21734-3</v>
      </c>
      <c r="AN749" s="66" t="str">
        <f>IF($F749="","",IF($AI749&lt;&gt;"",IF(COUNTIFS('Lot Balance'!$A$5:$A$500,$F749,'Lot Balance'!$B$5:$B$500,$AI749)=0,"⚠ override is not a lot of this item",IF($AI749=$AL749,"Override = FEFO","Override - FEFO says "&amp;$AL749)),IF($AL749="","⚠ no receipt on file for this item",IF($AM749&lt;&gt;$AL749,"FEFO auto - split, also "&amp;$AM749,"FEFO auto"))))</f>
        <v>FEFO auto</v>
      </c>
      <c r="AO749" s="114"/>
    </row>
    <row r="750" spans="1:41" x14ac:dyDescent="0.35">
      <c r="A750" s="74">
        <v>46161</v>
      </c>
      <c r="B750" s="18" t="str">
        <f>IF($C750="","",IFERROR(INDEX('Staff Directory'!$A$5:$A$594,MATCH($C750,'Staff Directory'!$B$5:$B$594,0)),"⚠ unknown staff"))</f>
        <v>PSW-044-A4</v>
      </c>
      <c r="C750" s="49" t="s">
        <v>1019</v>
      </c>
      <c r="D750" s="19" t="str">
        <f>IF($B750="","",IFERROR(INDEX('Staff Directory'!$C$5:$C$594,MATCH($B750,'Staff Directory'!$A$5:$A$594,0)),""))</f>
        <v>PSW</v>
      </c>
      <c r="E750" s="19" t="str">
        <f>IF($B750="","",IFERROR(INDEX('Staff Directory'!$D$5:$D$594,MATCH($B750,'Staff Directory'!$A$5:$A$594,0)),""))</f>
        <v>A4</v>
      </c>
      <c r="F750" s="9" t="s">
        <v>156</v>
      </c>
      <c r="G750" s="18" t="str">
        <f>IF($F750="","",IFERROR(INDEX(Items!$B$5:$B$597,MATCH($F750,Items!$A$5:$A$597,0)),"⚠ not in Items"))</f>
        <v>Masks</v>
      </c>
      <c r="H750" s="19" t="str">
        <f>IF($F750="","",IFERROR(INDEX(Items!$C$5:$C$597,MATCH($F750,Items!$A$5:$A$597,0)),""))</f>
        <v>One Size</v>
      </c>
      <c r="I750" s="23">
        <f>IF($F750="","",IFERROR(INDEX(Items!$E$5:$E$597,MATCH($F750,Items!$A$5:$A$597,0)),""))</f>
        <v>50</v>
      </c>
      <c r="J750" s="115">
        <f>IF(tblIssues[[#This Row],[Qty Override]]&lt;&gt;"",tblIssues[[#This Row],[Qty Override]],IF(tblIssues[[#This Row],[Standard Issue]]="","",tblIssues[[#This Row],[Standard Issue]]))</f>
        <v>50</v>
      </c>
      <c r="K750" s="20">
        <f>IF($F750="","",IFERROR(INDEX(Items!$D$5:$D$597,MATCH($F750,Items!$A$5:$A$597,0)),""))</f>
        <v>0.25</v>
      </c>
      <c r="L750" s="21">
        <f t="shared" si="127"/>
        <v>12.5</v>
      </c>
      <c r="M750" s="9" t="str">
        <f t="shared" si="128"/>
        <v>0125FPC24-1</v>
      </c>
      <c r="N750" s="24">
        <f>IF($A750="","",WORKDAY($A750,Settings!$C$9,HolidayDates))</f>
        <v>46169</v>
      </c>
      <c r="O750" s="24">
        <f>IF($N750="","",WORKDAY($N750,Settings!$C$10,HolidayDates))</f>
        <v>46209</v>
      </c>
      <c r="P750" s="10" t="s">
        <v>501</v>
      </c>
      <c r="Q750" s="52" t="str">
        <f t="shared" si="130"/>
        <v>Collected</v>
      </c>
      <c r="R750" s="55" t="str">
        <f t="shared" si="131"/>
        <v>2026-05</v>
      </c>
      <c r="S750" s="55">
        <f>IF(OR($B750="",$F750="",$R750=""),"",SUMIFS(tblIssues[Qty Issued],tblIssues[Staff ID],$B750,tblIssues[Item Name],$F750,tblIssues[Month],$R750))</f>
        <v>50</v>
      </c>
      <c r="T750" s="56">
        <f>IF($I750="","",$I750*Settings!$C$11)</f>
        <v>50</v>
      </c>
      <c r="U750" s="57" t="str">
        <f t="shared" si="129"/>
        <v>OK</v>
      </c>
      <c r="V750" s="55" t="str">
        <f t="shared" si="132"/>
        <v/>
      </c>
      <c r="W750" s="55" t="str">
        <f>IF($V750="","",IF(COUNTIF($V$5:$V750,$V750)=1,1,""))</f>
        <v/>
      </c>
      <c r="X750" s="58" t="str">
        <f>IF($W750="","",MAX($X$4:X749)+1)</f>
        <v/>
      </c>
      <c r="Y750" s="62"/>
      <c r="Z750" s="62"/>
      <c r="AA750" s="64" t="str">
        <f>IF($C750="","",IFERROR(INDEX('Staff Directory'!$E$5:$E$594,MATCH($C750,'Staff Directory'!$B$5:$B$594,0)),""))</f>
        <v>firstname103.lastname103@example.com</v>
      </c>
      <c r="AB750" s="64" t="str">
        <f>IF($C750="","",IF(ISNUMBER(SEARCH($D750,Settings!$C$15)),"Pickup","Dispatch"))</f>
        <v>Pickup</v>
      </c>
      <c r="AC750" s="64" t="str">
        <f t="shared" si="133"/>
        <v>Supply order ready for pickup</v>
      </c>
      <c r="AD750" s="64" t="str">
        <f t="shared" si="124"/>
        <v>Dear PSW,
Your order is ready for pickup from Sample Branch, Wed-Fri 9am-4pm.</v>
      </c>
      <c r="AE750" s="64" t="str">
        <f t="shared" si="125"/>
        <v>mailto:firstname103.lastname103@example.com?subject=Supply%20order%20ready%20for%20pickup&amp;body=Dear%20PSW%2C%0A%0AYour%20order%20is%20ready%20for%20pickup%20from%20Sample%20Branch%2C%20Wed-Fri%209am-4pm.</v>
      </c>
      <c r="AF750" s="89" t="str">
        <f t="shared" si="134"/>
        <v>Draft email</v>
      </c>
      <c r="AG750" s="64" t="str">
        <f>IF($C750="","",IFERROR(INDEX('Staff Directory'!$K$595:$K$599,MATCH($C750,'Staff Directory'!$B$5:$B$599,0)),$D750))</f>
        <v>PSW</v>
      </c>
      <c r="AH750" t="str">
        <f>IF($C750="","",IFERROR(INDEX('Staff Directory'!$I$595:$I$599,MATCH($C750,'Staff Directory'!$B$5:$B$599,0))&amp;" "&amp;INDEX('Staff Directory'!$J$595:$J$599,MATCH($C750,'Staff Directory'!$B$5:$B$599,0)),$AG750))</f>
        <v>PSW</v>
      </c>
      <c r="AI750" s="102"/>
      <c r="AJ750" s="101">
        <f>IF($F750="","",SUMIFS($J$5:$J750,$F$5:$F750,$F750))</f>
        <v>6200</v>
      </c>
      <c r="AK750" s="101">
        <f t="shared" si="126"/>
        <v>6151</v>
      </c>
      <c r="AL750" s="66" t="str" cm="1">
        <f t="array" ref="AL750">IF($F750="","",IFERROR(INDEX('Lot Balance'!$B$5:$B$500,MATCH(1,INDEX(('Lot Balance'!$A$5:$A$500=$F750)*('Lot Balance'!$K$5:$K$500&lt;$AK750)*('Lot Balance'!$K$5:$K$500+'Lot Balance'!$D$5:$D$500&gt;=$AK750),0),0)),""))</f>
        <v>0125FPC24-1</v>
      </c>
      <c r="AM750" s="66" t="str" cm="1">
        <f t="array" ref="AM750">IF($F750="","",IFERROR(INDEX('Lot Balance'!$B$5:$B$500,MATCH(1,INDEX(('Lot Balance'!$A$5:$A$500=$F750)*('Lot Balance'!$K$5:$K$500&lt;$AJ750)*('Lot Balance'!$K$5:$K$500+'Lot Balance'!$D$5:$D$500&gt;=$AJ750),0),0)),""))</f>
        <v>0125FPC24-1</v>
      </c>
      <c r="AN750" s="66" t="str">
        <f>IF($F750="","",IF($AI750&lt;&gt;"",IF(COUNTIFS('Lot Balance'!$A$5:$A$500,$F750,'Lot Balance'!$B$5:$B$500,$AI750)=0,"⚠ override is not a lot of this item",IF($AI750=$AL750,"Override = FEFO","Override - FEFO says "&amp;$AL750)),IF($AL750="","⚠ no receipt on file for this item",IF($AM750&lt;&gt;$AL750,"FEFO auto - split, also "&amp;$AM750,"FEFO auto"))))</f>
        <v>FEFO auto</v>
      </c>
      <c r="AO750" s="114"/>
    </row>
    <row r="751" spans="1:41" x14ac:dyDescent="0.35">
      <c r="A751" s="74">
        <v>46161</v>
      </c>
      <c r="B751" s="18" t="str">
        <f>IF($C751="","",IFERROR(INDEX('Staff Directory'!$A$5:$A$594,MATCH($C751,'Staff Directory'!$B$5:$B$594,0)),"⚠ unknown staff"))</f>
        <v>PSW-107-A6</v>
      </c>
      <c r="C751" s="49" t="s">
        <v>1085</v>
      </c>
      <c r="D751" s="19" t="str">
        <f>IF($B751="","",IFERROR(INDEX('Staff Directory'!$C$5:$C$594,MATCH($B751,'Staff Directory'!$A$5:$A$594,0)),""))</f>
        <v>PSW</v>
      </c>
      <c r="E751" s="19" t="str">
        <f>IF($B751="","",IFERROR(INDEX('Staff Directory'!$D$5:$D$594,MATCH($B751,'Staff Directory'!$A$5:$A$594,0)),""))</f>
        <v>A6</v>
      </c>
      <c r="F751" s="9" t="s">
        <v>124</v>
      </c>
      <c r="G751" s="18" t="str">
        <f>IF($F751="","",IFERROR(INDEX(Items!$B$5:$B$597,MATCH($F751,Items!$A$5:$A$597,0)),"⚠ not in Items"))</f>
        <v>Gloves</v>
      </c>
      <c r="H751" s="19" t="str">
        <f>IF($F751="","",IFERROR(INDEX(Items!$C$5:$C$597,MATCH($F751,Items!$A$5:$A$597,0)),""))</f>
        <v>Large</v>
      </c>
      <c r="I751" s="23">
        <f>IF($F751="","",IFERROR(INDEX(Items!$E$5:$E$597,MATCH($F751,Items!$A$5:$A$597,0)),""))</f>
        <v>500</v>
      </c>
      <c r="J751" s="115">
        <f>IF(tblIssues[[#This Row],[Qty Override]]&lt;&gt;"",tblIssues[[#This Row],[Qty Override]],IF(tblIssues[[#This Row],[Standard Issue]]="","",tblIssues[[#This Row],[Standard Issue]]))</f>
        <v>500</v>
      </c>
      <c r="K751" s="20">
        <f>IF($F751="","",IFERROR(INDEX(Items!$D$5:$D$597,MATCH($F751,Items!$A$5:$A$597,0)),""))</f>
        <v>5.5E-2</v>
      </c>
      <c r="L751" s="21">
        <f t="shared" si="127"/>
        <v>27.5</v>
      </c>
      <c r="M751" s="9" t="str">
        <f t="shared" si="128"/>
        <v>0417HIC25-1</v>
      </c>
      <c r="N751" s="24">
        <f>IF($A751="","",WORKDAY($A751,Settings!$C$9,HolidayDates))</f>
        <v>46169</v>
      </c>
      <c r="O751" s="24">
        <f>IF($N751="","",WORKDAY($N751,Settings!$C$10,HolidayDates))</f>
        <v>46209</v>
      </c>
      <c r="P751" s="10" t="s">
        <v>501</v>
      </c>
      <c r="Q751" s="52" t="str">
        <f t="shared" si="130"/>
        <v>Collected</v>
      </c>
      <c r="R751" s="55" t="str">
        <f t="shared" si="131"/>
        <v>2026-05</v>
      </c>
      <c r="S751" s="55">
        <f>IF(OR($B751="",$F751="",$R751=""),"",SUMIFS(tblIssues[Qty Issued],tblIssues[Staff ID],$B751,tblIssues[Item Name],$F751,tblIssues[Month],$R751))</f>
        <v>500</v>
      </c>
      <c r="T751" s="56">
        <f>IF($I751="","",$I751*Settings!$C$11)</f>
        <v>500</v>
      </c>
      <c r="U751" s="57" t="str">
        <f t="shared" si="129"/>
        <v>OK</v>
      </c>
      <c r="V751" s="55" t="str">
        <f t="shared" si="132"/>
        <v/>
      </c>
      <c r="W751" s="55" t="str">
        <f>IF($V751="","",IF(COUNTIF($V$5:$V751,$V751)=1,1,""))</f>
        <v/>
      </c>
      <c r="X751" s="58" t="str">
        <f>IF($W751="","",MAX($X$4:X750)+1)</f>
        <v/>
      </c>
      <c r="Y751" s="62"/>
      <c r="Z751" s="62"/>
      <c r="AA751" s="64" t="str">
        <f>IF($C751="","",IFERROR(INDEX('Staff Directory'!$E$5:$E$594,MATCH($C751,'Staff Directory'!$B$5:$B$594,0)),""))</f>
        <v>firstname169.lastname169@example.com</v>
      </c>
      <c r="AB751" s="64" t="str">
        <f>IF($C751="","",IF(ISNUMBER(SEARCH($D751,Settings!$C$15)),"Pickup","Dispatch"))</f>
        <v>Pickup</v>
      </c>
      <c r="AC751" s="64" t="str">
        <f t="shared" si="133"/>
        <v>Supply order ready for pickup</v>
      </c>
      <c r="AD751" s="64" t="str">
        <f t="shared" si="124"/>
        <v>Dear PSW,
Your order is ready for pickup from Sample Branch, Wed-Fri 9am-4pm.</v>
      </c>
      <c r="AE751" s="64" t="str">
        <f t="shared" si="125"/>
        <v>mailto:firstname169.lastname169@example.com?subject=Supply%20order%20ready%20for%20pickup&amp;body=Dear%20PSW%2C%0A%0AYour%20order%20is%20ready%20for%20pickup%20from%20Sample%20Branch%2C%20Wed-Fri%209am-4pm.</v>
      </c>
      <c r="AF751" s="89" t="str">
        <f t="shared" si="134"/>
        <v>Draft email</v>
      </c>
      <c r="AG751" s="64" t="str">
        <f>IF($C751="","",IFERROR(INDEX('Staff Directory'!$K$595:$K$599,MATCH($C751,'Staff Directory'!$B$5:$B$599,0)),$D751))</f>
        <v>PSW</v>
      </c>
      <c r="AH751" t="str">
        <f>IF($C751="","",IFERROR(INDEX('Staff Directory'!$I$595:$I$599,MATCH($C751,'Staff Directory'!$B$5:$B$599,0))&amp;" "&amp;INDEX('Staff Directory'!$J$595:$J$599,MATCH($C751,'Staff Directory'!$B$5:$B$599,0)),$AG751))</f>
        <v>PSW</v>
      </c>
      <c r="AI751" s="102"/>
      <c r="AJ751" s="101">
        <f>IF($F751="","",SUMIFS($J$5:$J751,$F$5:$F751,$F751))</f>
        <v>19000</v>
      </c>
      <c r="AK751" s="101">
        <f t="shared" si="126"/>
        <v>18501</v>
      </c>
      <c r="AL751" s="66" t="str" cm="1">
        <f t="array" ref="AL751">IF($F751="","",IFERROR(INDEX('Lot Balance'!$B$5:$B$500,MATCH(1,INDEX(('Lot Balance'!$A$5:$A$500=$F751)*('Lot Balance'!$K$5:$K$500&lt;$AK751)*('Lot Balance'!$K$5:$K$500+'Lot Balance'!$D$5:$D$500&gt;=$AK751),0),0)),""))</f>
        <v>0417HIC25-1</v>
      </c>
      <c r="AM751" s="66" t="str" cm="1">
        <f t="array" ref="AM751">IF($F751="","",IFERROR(INDEX('Lot Balance'!$B$5:$B$500,MATCH(1,INDEX(('Lot Balance'!$A$5:$A$500=$F751)*('Lot Balance'!$K$5:$K$500&lt;$AJ751)*('Lot Balance'!$K$5:$K$500+'Lot Balance'!$D$5:$D$500&gt;=$AJ751),0),0)),""))</f>
        <v>0417HIC25-1</v>
      </c>
      <c r="AN751" s="66" t="str">
        <f>IF($F751="","",IF($AI751&lt;&gt;"",IF(COUNTIFS('Lot Balance'!$A$5:$A$500,$F751,'Lot Balance'!$B$5:$B$500,$AI751)=0,"⚠ override is not a lot of this item",IF($AI751=$AL751,"Override = FEFO","Override - FEFO says "&amp;$AL751)),IF($AL751="","⚠ no receipt on file for this item",IF($AM751&lt;&gt;$AL751,"FEFO auto - split, also "&amp;$AM751,"FEFO auto"))))</f>
        <v>FEFO auto</v>
      </c>
      <c r="AO751" s="114"/>
    </row>
    <row r="752" spans="1:41" x14ac:dyDescent="0.35">
      <c r="A752" s="74">
        <v>46161</v>
      </c>
      <c r="B752" s="18" t="str">
        <f>IF($C752="","",IFERROR(INDEX('Staff Directory'!$A$5:$A$594,MATCH($C752,'Staff Directory'!$B$5:$B$594,0)),"⚠ unknown staff"))</f>
        <v>PSW-107-A6</v>
      </c>
      <c r="C752" s="49" t="s">
        <v>1085</v>
      </c>
      <c r="D752" s="19" t="str">
        <f>IF($B752="","",IFERROR(INDEX('Staff Directory'!$C$5:$C$594,MATCH($B752,'Staff Directory'!$A$5:$A$594,0)),""))</f>
        <v>PSW</v>
      </c>
      <c r="E752" s="19" t="str">
        <f>IF($B752="","",IFERROR(INDEX('Staff Directory'!$D$5:$D$594,MATCH($B752,'Staff Directory'!$A$5:$A$594,0)),""))</f>
        <v>A6</v>
      </c>
      <c r="F752" s="9" t="s">
        <v>191</v>
      </c>
      <c r="G752" s="18" t="str">
        <f>IF($F752="","",IFERROR(INDEX(Items!$B$5:$B$597,MATCH($F752,Items!$A$5:$A$597,0)),"⚠ not in Items"))</f>
        <v>Sanitizer</v>
      </c>
      <c r="H752" s="19" t="str">
        <f>IF($F752="","",IFERROR(INDEX(Items!$C$5:$C$597,MATCH($F752,Items!$A$5:$A$597,0)),""))</f>
        <v>236 ML</v>
      </c>
      <c r="I752" s="23">
        <f>IF($F752="","",IFERROR(INDEX(Items!$E$5:$E$597,MATCH($F752,Items!$A$5:$A$597,0)),""))</f>
        <v>1</v>
      </c>
      <c r="J752" s="115">
        <f>IF(tblIssues[[#This Row],[Qty Override]]&lt;&gt;"",tblIssues[[#This Row],[Qty Override]],IF(tblIssues[[#This Row],[Standard Issue]]="","",tblIssues[[#This Row],[Standard Issue]]))</f>
        <v>1</v>
      </c>
      <c r="K752" s="20">
        <f>IF($F752="","",IFERROR(INDEX(Items!$D$5:$D$597,MATCH($F752,Items!$A$5:$A$597,0)),""))</f>
        <v>1E-4</v>
      </c>
      <c r="L752" s="21">
        <f t="shared" si="127"/>
        <v>1E-4</v>
      </c>
      <c r="M752" s="9" t="str">
        <f t="shared" si="128"/>
        <v>20-21734-3</v>
      </c>
      <c r="N752" s="24">
        <f>IF($A752="","",WORKDAY($A752,Settings!$C$9,HolidayDates))</f>
        <v>46169</v>
      </c>
      <c r="O752" s="24">
        <f>IF($N752="","",WORKDAY($N752,Settings!$C$10,HolidayDates))</f>
        <v>46209</v>
      </c>
      <c r="P752" s="10" t="s">
        <v>501</v>
      </c>
      <c r="Q752" s="52" t="str">
        <f t="shared" si="130"/>
        <v>Collected</v>
      </c>
      <c r="R752" s="55" t="str">
        <f t="shared" si="131"/>
        <v>2026-05</v>
      </c>
      <c r="S752" s="55">
        <f>IF(OR($B752="",$F752="",$R752=""),"",SUMIFS(tblIssues[Qty Issued],tblIssues[Staff ID],$B752,tblIssues[Item Name],$F752,tblIssues[Month],$R752))</f>
        <v>1</v>
      </c>
      <c r="T752" s="56">
        <f>IF($I752="","",$I752*Settings!$C$11)</f>
        <v>1</v>
      </c>
      <c r="U752" s="57" t="str">
        <f t="shared" si="129"/>
        <v>OK</v>
      </c>
      <c r="V752" s="55" t="str">
        <f t="shared" si="132"/>
        <v/>
      </c>
      <c r="W752" s="55" t="str">
        <f>IF($V752="","",IF(COUNTIF($V$5:$V752,$V752)=1,1,""))</f>
        <v/>
      </c>
      <c r="X752" s="58" t="str">
        <f>IF($W752="","",MAX($X$4:X751)+1)</f>
        <v/>
      </c>
      <c r="Y752" s="62"/>
      <c r="Z752" s="62"/>
      <c r="AA752" s="64" t="str">
        <f>IF($C752="","",IFERROR(INDEX('Staff Directory'!$E$5:$E$594,MATCH($C752,'Staff Directory'!$B$5:$B$594,0)),""))</f>
        <v>firstname169.lastname169@example.com</v>
      </c>
      <c r="AB752" s="64" t="str">
        <f>IF($C752="","",IF(ISNUMBER(SEARCH($D752,Settings!$C$15)),"Pickup","Dispatch"))</f>
        <v>Pickup</v>
      </c>
      <c r="AC752" s="64" t="str">
        <f t="shared" si="133"/>
        <v>Supply order ready for pickup</v>
      </c>
      <c r="AD752" s="64" t="str">
        <f t="shared" si="124"/>
        <v>Dear PSW,
Your order is ready for pickup from Sample Branch, Wed-Fri 9am-4pm.</v>
      </c>
      <c r="AE752" s="64" t="str">
        <f t="shared" si="125"/>
        <v>mailto:firstname169.lastname169@example.com?subject=Supply%20order%20ready%20for%20pickup&amp;body=Dear%20PSW%2C%0A%0AYour%20order%20is%20ready%20for%20pickup%20from%20Sample%20Branch%2C%20Wed-Fri%209am-4pm.</v>
      </c>
      <c r="AF752" s="89" t="str">
        <f t="shared" si="134"/>
        <v>Draft email</v>
      </c>
      <c r="AG752" s="64" t="str">
        <f>IF($C752="","",IFERROR(INDEX('Staff Directory'!$K$595:$K$599,MATCH($C752,'Staff Directory'!$B$5:$B$599,0)),$D752))</f>
        <v>PSW</v>
      </c>
      <c r="AH752" t="str">
        <f>IF($C752="","",IFERROR(INDEX('Staff Directory'!$I$595:$I$599,MATCH($C752,'Staff Directory'!$B$5:$B$599,0))&amp;" "&amp;INDEX('Staff Directory'!$J$595:$J$599,MATCH($C752,'Staff Directory'!$B$5:$B$599,0)),$AG752))</f>
        <v>PSW</v>
      </c>
      <c r="AI752" s="102"/>
      <c r="AJ752" s="101">
        <f>IF($F752="","",SUMIFS($J$5:$J752,$F$5:$F752,$F752))</f>
        <v>91</v>
      </c>
      <c r="AK752" s="101">
        <f t="shared" si="126"/>
        <v>91</v>
      </c>
      <c r="AL752" s="66" t="str" cm="1">
        <f t="array" ref="AL752">IF($F752="","",IFERROR(INDEX('Lot Balance'!$B$5:$B$500,MATCH(1,INDEX(('Lot Balance'!$A$5:$A$500=$F752)*('Lot Balance'!$K$5:$K$500&lt;$AK752)*('Lot Balance'!$K$5:$K$500+'Lot Balance'!$D$5:$D$500&gt;=$AK752),0),0)),""))</f>
        <v>20-21734-3</v>
      </c>
      <c r="AM752" s="66" t="str" cm="1">
        <f t="array" ref="AM752">IF($F752="","",IFERROR(INDEX('Lot Balance'!$B$5:$B$500,MATCH(1,INDEX(('Lot Balance'!$A$5:$A$500=$F752)*('Lot Balance'!$K$5:$K$500&lt;$AJ752)*('Lot Balance'!$K$5:$K$500+'Lot Balance'!$D$5:$D$500&gt;=$AJ752),0),0)),""))</f>
        <v>20-21734-3</v>
      </c>
      <c r="AN752" s="66" t="str">
        <f>IF($F752="","",IF($AI752&lt;&gt;"",IF(COUNTIFS('Lot Balance'!$A$5:$A$500,$F752,'Lot Balance'!$B$5:$B$500,$AI752)=0,"⚠ override is not a lot of this item",IF($AI752=$AL752,"Override = FEFO","Override - FEFO says "&amp;$AL752)),IF($AL752="","⚠ no receipt on file for this item",IF($AM752&lt;&gt;$AL752,"FEFO auto - split, also "&amp;$AM752,"FEFO auto"))))</f>
        <v>FEFO auto</v>
      </c>
      <c r="AO752" s="114"/>
    </row>
    <row r="753" spans="1:41" x14ac:dyDescent="0.35">
      <c r="A753" s="74">
        <v>46161</v>
      </c>
      <c r="B753" s="18" t="str">
        <f>IF($C753="","",IFERROR(INDEX('Staff Directory'!$A$5:$A$594,MATCH($C753,'Staff Directory'!$B$5:$B$594,0)),"⚠ unknown staff"))</f>
        <v>PSW-043-A5</v>
      </c>
      <c r="C753" s="49" t="s">
        <v>1018</v>
      </c>
      <c r="D753" s="19" t="str">
        <f>IF($B753="","",IFERROR(INDEX('Staff Directory'!$C$5:$C$594,MATCH($B753,'Staff Directory'!$A$5:$A$594,0)),""))</f>
        <v>PSW</v>
      </c>
      <c r="E753" s="19" t="str">
        <f>IF($B753="","",IFERROR(INDEX('Staff Directory'!$D$5:$D$594,MATCH($B753,'Staff Directory'!$A$5:$A$594,0)),""))</f>
        <v>A5</v>
      </c>
      <c r="F753" s="9" t="s">
        <v>124</v>
      </c>
      <c r="G753" s="18" t="str">
        <f>IF($F753="","",IFERROR(INDEX(Items!$B$5:$B$597,MATCH($F753,Items!$A$5:$A$597,0)),"⚠ not in Items"))</f>
        <v>Gloves</v>
      </c>
      <c r="H753" s="19" t="str">
        <f>IF($F753="","",IFERROR(INDEX(Items!$C$5:$C$597,MATCH($F753,Items!$A$5:$A$597,0)),""))</f>
        <v>Large</v>
      </c>
      <c r="I753" s="23">
        <f>IF($F753="","",IFERROR(INDEX(Items!$E$5:$E$597,MATCH($F753,Items!$A$5:$A$597,0)),""))</f>
        <v>500</v>
      </c>
      <c r="J753" s="115">
        <f>IF(tblIssues[[#This Row],[Qty Override]]&lt;&gt;"",tblIssues[[#This Row],[Qty Override]],IF(tblIssues[[#This Row],[Standard Issue]]="","",tblIssues[[#This Row],[Standard Issue]]))</f>
        <v>500</v>
      </c>
      <c r="K753" s="20">
        <f>IF($F753="","",IFERROR(INDEX(Items!$D$5:$D$597,MATCH($F753,Items!$A$5:$A$597,0)),""))</f>
        <v>5.5E-2</v>
      </c>
      <c r="L753" s="21">
        <f t="shared" si="127"/>
        <v>27.5</v>
      </c>
      <c r="M753" s="9" t="str">
        <f t="shared" si="128"/>
        <v>0417HIC25-1</v>
      </c>
      <c r="N753" s="24">
        <f>IF($A753="","",WORKDAY($A753,Settings!$C$9,HolidayDates))</f>
        <v>46169</v>
      </c>
      <c r="O753" s="24">
        <f>IF($N753="","",WORKDAY($N753,Settings!$C$10,HolidayDates))</f>
        <v>46209</v>
      </c>
      <c r="P753" s="10" t="s">
        <v>501</v>
      </c>
      <c r="Q753" s="52" t="str">
        <f t="shared" si="130"/>
        <v>Collected</v>
      </c>
      <c r="R753" s="55" t="str">
        <f t="shared" si="131"/>
        <v>2026-05</v>
      </c>
      <c r="S753" s="55">
        <f>IF(OR($B753="",$F753="",$R753=""),"",SUMIFS(tblIssues[Qty Issued],tblIssues[Staff ID],$B753,tblIssues[Item Name],$F753,tblIssues[Month],$R753))</f>
        <v>500</v>
      </c>
      <c r="T753" s="56">
        <f>IF($I753="","",$I753*Settings!$C$11)</f>
        <v>500</v>
      </c>
      <c r="U753" s="57" t="str">
        <f t="shared" si="129"/>
        <v>OK</v>
      </c>
      <c r="V753" s="55" t="str">
        <f t="shared" si="132"/>
        <v/>
      </c>
      <c r="W753" s="55" t="str">
        <f>IF($V753="","",IF(COUNTIF($V$5:$V753,$V753)=1,1,""))</f>
        <v/>
      </c>
      <c r="X753" s="58" t="str">
        <f>IF($W753="","",MAX($X$4:X752)+1)</f>
        <v/>
      </c>
      <c r="Y753" s="62"/>
      <c r="Z753" s="62"/>
      <c r="AA753" s="64" t="str">
        <f>IF($C753="","",IFERROR(INDEX('Staff Directory'!$E$5:$E$594,MATCH($C753,'Staff Directory'!$B$5:$B$594,0)),""))</f>
        <v>firstname102.lastname102@example.com</v>
      </c>
      <c r="AB753" s="64" t="str">
        <f>IF($C753="","",IF(ISNUMBER(SEARCH($D753,Settings!$C$15)),"Pickup","Dispatch"))</f>
        <v>Pickup</v>
      </c>
      <c r="AC753" s="64" t="str">
        <f t="shared" si="133"/>
        <v>Supply order ready for pickup</v>
      </c>
      <c r="AD753" s="64" t="str">
        <f t="shared" si="124"/>
        <v>Dear PSW,
Your order is ready for pickup from Sample Branch, Wed-Fri 9am-4pm.</v>
      </c>
      <c r="AE753" s="64" t="str">
        <f t="shared" si="125"/>
        <v>mailto:firstname102.lastname102@example.com?subject=Supply%20order%20ready%20for%20pickup&amp;body=Dear%20PSW%2C%0A%0AYour%20order%20is%20ready%20for%20pickup%20from%20Sample%20Branch%2C%20Wed-Fri%209am-4pm.</v>
      </c>
      <c r="AF753" s="89" t="str">
        <f t="shared" si="134"/>
        <v>Draft email</v>
      </c>
      <c r="AG753" s="64" t="str">
        <f>IF($C753="","",IFERROR(INDEX('Staff Directory'!$K$595:$K$599,MATCH($C753,'Staff Directory'!$B$5:$B$599,0)),$D753))</f>
        <v>PSW</v>
      </c>
      <c r="AH753" t="str">
        <f>IF($C753="","",IFERROR(INDEX('Staff Directory'!$I$595:$I$599,MATCH($C753,'Staff Directory'!$B$5:$B$599,0))&amp;" "&amp;INDEX('Staff Directory'!$J$595:$J$599,MATCH($C753,'Staff Directory'!$B$5:$B$599,0)),$AG753))</f>
        <v>PSW</v>
      </c>
      <c r="AI753" s="102"/>
      <c r="AJ753" s="101">
        <f>IF($F753="","",SUMIFS($J$5:$J753,$F$5:$F753,$F753))</f>
        <v>19500</v>
      </c>
      <c r="AK753" s="101">
        <f t="shared" si="126"/>
        <v>19001</v>
      </c>
      <c r="AL753" s="66" t="str" cm="1">
        <f t="array" ref="AL753">IF($F753="","",IFERROR(INDEX('Lot Balance'!$B$5:$B$500,MATCH(1,INDEX(('Lot Balance'!$A$5:$A$500=$F753)*('Lot Balance'!$K$5:$K$500&lt;$AK753)*('Lot Balance'!$K$5:$K$500+'Lot Balance'!$D$5:$D$500&gt;=$AK753),0),0)),""))</f>
        <v>0417HIC25-1</v>
      </c>
      <c r="AM753" s="66" t="str" cm="1">
        <f t="array" ref="AM753">IF($F753="","",IFERROR(INDEX('Lot Balance'!$B$5:$B$500,MATCH(1,INDEX(('Lot Balance'!$A$5:$A$500=$F753)*('Lot Balance'!$K$5:$K$500&lt;$AJ753)*('Lot Balance'!$K$5:$K$500+'Lot Balance'!$D$5:$D$500&gt;=$AJ753),0),0)),""))</f>
        <v>0417HIC25-1</v>
      </c>
      <c r="AN753" s="66" t="str">
        <f>IF($F753="","",IF($AI753&lt;&gt;"",IF(COUNTIFS('Lot Balance'!$A$5:$A$500,$F753,'Lot Balance'!$B$5:$B$500,$AI753)=0,"⚠ override is not a lot of this item",IF($AI753=$AL753,"Override = FEFO","Override - FEFO says "&amp;$AL753)),IF($AL753="","⚠ no receipt on file for this item",IF($AM753&lt;&gt;$AL753,"FEFO auto - split, also "&amp;$AM753,"FEFO auto"))))</f>
        <v>FEFO auto</v>
      </c>
      <c r="AO753" s="114"/>
    </row>
    <row r="754" spans="1:41" x14ac:dyDescent="0.35">
      <c r="A754" s="74">
        <v>46161</v>
      </c>
      <c r="B754" s="18" t="str">
        <f>IF($C754="","",IFERROR(INDEX('Staff Directory'!$A$5:$A$594,MATCH($C754,'Staff Directory'!$B$5:$B$594,0)),"⚠ unknown staff"))</f>
        <v>PSW-043-A5</v>
      </c>
      <c r="C754" s="49" t="s">
        <v>1018</v>
      </c>
      <c r="D754" s="19" t="str">
        <f>IF($B754="","",IFERROR(INDEX('Staff Directory'!$C$5:$C$594,MATCH($B754,'Staff Directory'!$A$5:$A$594,0)),""))</f>
        <v>PSW</v>
      </c>
      <c r="E754" s="19" t="str">
        <f>IF($B754="","",IFERROR(INDEX('Staff Directory'!$D$5:$D$594,MATCH($B754,'Staff Directory'!$A$5:$A$594,0)),""))</f>
        <v>A5</v>
      </c>
      <c r="F754" s="9" t="s">
        <v>191</v>
      </c>
      <c r="G754" s="18" t="str">
        <f>IF($F754="","",IFERROR(INDEX(Items!$B$5:$B$597,MATCH($F754,Items!$A$5:$A$597,0)),"⚠ not in Items"))</f>
        <v>Sanitizer</v>
      </c>
      <c r="H754" s="19" t="str">
        <f>IF($F754="","",IFERROR(INDEX(Items!$C$5:$C$597,MATCH($F754,Items!$A$5:$A$597,0)),""))</f>
        <v>236 ML</v>
      </c>
      <c r="I754" s="23">
        <f>IF($F754="","",IFERROR(INDEX(Items!$E$5:$E$597,MATCH($F754,Items!$A$5:$A$597,0)),""))</f>
        <v>1</v>
      </c>
      <c r="J754" s="115">
        <f>IF(tblIssues[[#This Row],[Qty Override]]&lt;&gt;"",tblIssues[[#This Row],[Qty Override]],IF(tblIssues[[#This Row],[Standard Issue]]="","",tblIssues[[#This Row],[Standard Issue]]))</f>
        <v>1</v>
      </c>
      <c r="K754" s="20">
        <f>IF($F754="","",IFERROR(INDEX(Items!$D$5:$D$597,MATCH($F754,Items!$A$5:$A$597,0)),""))</f>
        <v>1E-4</v>
      </c>
      <c r="L754" s="21">
        <f t="shared" si="127"/>
        <v>1E-4</v>
      </c>
      <c r="M754" s="9" t="str">
        <f t="shared" si="128"/>
        <v>20-21734-3</v>
      </c>
      <c r="N754" s="24">
        <f>IF($A754="","",WORKDAY($A754,Settings!$C$9,HolidayDates))</f>
        <v>46169</v>
      </c>
      <c r="O754" s="24">
        <f>IF($N754="","",WORKDAY($N754,Settings!$C$10,HolidayDates))</f>
        <v>46209</v>
      </c>
      <c r="P754" s="10" t="s">
        <v>501</v>
      </c>
      <c r="Q754" s="52" t="str">
        <f t="shared" si="130"/>
        <v>Collected</v>
      </c>
      <c r="R754" s="55" t="str">
        <f t="shared" si="131"/>
        <v>2026-05</v>
      </c>
      <c r="S754" s="55">
        <f>IF(OR($B754="",$F754="",$R754=""),"",SUMIFS(tblIssues[Qty Issued],tblIssues[Staff ID],$B754,tblIssues[Item Name],$F754,tblIssues[Month],$R754))</f>
        <v>1</v>
      </c>
      <c r="T754" s="56">
        <f>IF($I754="","",$I754*Settings!$C$11)</f>
        <v>1</v>
      </c>
      <c r="U754" s="57" t="str">
        <f t="shared" si="129"/>
        <v>OK</v>
      </c>
      <c r="V754" s="55" t="str">
        <f t="shared" si="132"/>
        <v/>
      </c>
      <c r="W754" s="55" t="str">
        <f>IF($V754="","",IF(COUNTIF($V$5:$V754,$V754)=1,1,""))</f>
        <v/>
      </c>
      <c r="X754" s="58" t="str">
        <f>IF($W754="","",MAX($X$4:X753)+1)</f>
        <v/>
      </c>
      <c r="Y754" s="62"/>
      <c r="Z754" s="62"/>
      <c r="AA754" s="64" t="str">
        <f>IF($C754="","",IFERROR(INDEX('Staff Directory'!$E$5:$E$594,MATCH($C754,'Staff Directory'!$B$5:$B$594,0)),""))</f>
        <v>firstname102.lastname102@example.com</v>
      </c>
      <c r="AB754" s="64" t="str">
        <f>IF($C754="","",IF(ISNUMBER(SEARCH($D754,Settings!$C$15)),"Pickup","Dispatch"))</f>
        <v>Pickup</v>
      </c>
      <c r="AC754" s="64" t="str">
        <f t="shared" si="133"/>
        <v>Supply order ready for pickup</v>
      </c>
      <c r="AD754" s="64" t="str">
        <f t="shared" si="124"/>
        <v>Dear PSW,
Your order is ready for pickup from Sample Branch, Wed-Fri 9am-4pm.</v>
      </c>
      <c r="AE754" s="64" t="str">
        <f t="shared" si="125"/>
        <v>mailto:firstname102.lastname102@example.com?subject=Supply%20order%20ready%20for%20pickup&amp;body=Dear%20PSW%2C%0A%0AYour%20order%20is%20ready%20for%20pickup%20from%20Sample%20Branch%2C%20Wed-Fri%209am-4pm.</v>
      </c>
      <c r="AF754" s="89" t="str">
        <f t="shared" si="134"/>
        <v>Draft email</v>
      </c>
      <c r="AG754" s="64" t="str">
        <f>IF($C754="","",IFERROR(INDEX('Staff Directory'!$K$595:$K$599,MATCH($C754,'Staff Directory'!$B$5:$B$599,0)),$D754))</f>
        <v>PSW</v>
      </c>
      <c r="AH754" t="str">
        <f>IF($C754="","",IFERROR(INDEX('Staff Directory'!$I$595:$I$599,MATCH($C754,'Staff Directory'!$B$5:$B$599,0))&amp;" "&amp;INDEX('Staff Directory'!$J$595:$J$599,MATCH($C754,'Staff Directory'!$B$5:$B$599,0)),$AG754))</f>
        <v>PSW</v>
      </c>
      <c r="AI754" s="102"/>
      <c r="AJ754" s="101">
        <f>IF($F754="","",SUMIFS($J$5:$J754,$F$5:$F754,$F754))</f>
        <v>92</v>
      </c>
      <c r="AK754" s="101">
        <f t="shared" si="126"/>
        <v>92</v>
      </c>
      <c r="AL754" s="66" t="str" cm="1">
        <f t="array" ref="AL754">IF($F754="","",IFERROR(INDEX('Lot Balance'!$B$5:$B$500,MATCH(1,INDEX(('Lot Balance'!$A$5:$A$500=$F754)*('Lot Balance'!$K$5:$K$500&lt;$AK754)*('Lot Balance'!$K$5:$K$500+'Lot Balance'!$D$5:$D$500&gt;=$AK754),0),0)),""))</f>
        <v>20-21734-3</v>
      </c>
      <c r="AM754" s="66" t="str" cm="1">
        <f t="array" ref="AM754">IF($F754="","",IFERROR(INDEX('Lot Balance'!$B$5:$B$500,MATCH(1,INDEX(('Lot Balance'!$A$5:$A$500=$F754)*('Lot Balance'!$K$5:$K$500&lt;$AJ754)*('Lot Balance'!$K$5:$K$500+'Lot Balance'!$D$5:$D$500&gt;=$AJ754),0),0)),""))</f>
        <v>20-21734-3</v>
      </c>
      <c r="AN754" s="66" t="str">
        <f>IF($F754="","",IF($AI754&lt;&gt;"",IF(COUNTIFS('Lot Balance'!$A$5:$A$500,$F754,'Lot Balance'!$B$5:$B$500,$AI754)=0,"⚠ override is not a lot of this item",IF($AI754=$AL754,"Override = FEFO","Override - FEFO says "&amp;$AL754)),IF($AL754="","⚠ no receipt on file for this item",IF($AM754&lt;&gt;$AL754,"FEFO auto - split, also "&amp;$AM754,"FEFO auto"))))</f>
        <v>FEFO auto</v>
      </c>
      <c r="AO754" s="114"/>
    </row>
    <row r="755" spans="1:41" x14ac:dyDescent="0.35">
      <c r="A755" s="74">
        <v>46161</v>
      </c>
      <c r="B755" s="18" t="str">
        <f>IF($C755="","",IFERROR(INDEX('Staff Directory'!$A$5:$A$594,MATCH($C755,'Staff Directory'!$B$5:$B$594,0)),"⚠ unknown staff"))</f>
        <v>PSW-043-A5</v>
      </c>
      <c r="C755" s="49" t="s">
        <v>1018</v>
      </c>
      <c r="D755" s="19" t="str">
        <f>IF($B755="","",IFERROR(INDEX('Staff Directory'!$C$5:$C$594,MATCH($B755,'Staff Directory'!$A$5:$A$594,0)),""))</f>
        <v>PSW</v>
      </c>
      <c r="E755" s="19" t="str">
        <f>IF($B755="","",IFERROR(INDEX('Staff Directory'!$D$5:$D$594,MATCH($B755,'Staff Directory'!$A$5:$A$594,0)),""))</f>
        <v>A5</v>
      </c>
      <c r="F755" s="9" t="s">
        <v>115</v>
      </c>
      <c r="G755" s="18" t="str">
        <f>IF($F755="","",IFERROR(INDEX(Items!$B$5:$B$597,MATCH($F755,Items!$A$5:$A$597,0)),"⚠ not in Items"))</f>
        <v>Wipes</v>
      </c>
      <c r="H755" s="19">
        <f>IF($F755="","",IFERROR(INDEX(Items!$C$5:$C$597,MATCH($F755,Items!$A$5:$A$597,0)),""))</f>
        <v>80</v>
      </c>
      <c r="I755" s="23">
        <f>IF($F755="","",IFERROR(INDEX(Items!$E$5:$E$597,MATCH($F755,Items!$A$5:$A$597,0)),""))</f>
        <v>80</v>
      </c>
      <c r="J755" s="115">
        <f>IF(tblIssues[[#This Row],[Qty Override]]&lt;&gt;"",tblIssues[[#This Row],[Qty Override]],IF(tblIssues[[#This Row],[Standard Issue]]="","",tblIssues[[#This Row],[Standard Issue]]))</f>
        <v>80</v>
      </c>
      <c r="K755" s="20">
        <f>IF($F755="","",IFERROR(INDEX(Items!$D$5:$D$597,MATCH($F755,Items!$A$5:$A$597,0)),""))</f>
        <v>0.1</v>
      </c>
      <c r="L755" s="21">
        <f t="shared" si="127"/>
        <v>8</v>
      </c>
      <c r="M755" s="9" t="str">
        <f t="shared" si="128"/>
        <v>LYSL500290</v>
      </c>
      <c r="N755" s="24">
        <f>IF($A755="","",WORKDAY($A755,Settings!$C$9,HolidayDates))</f>
        <v>46169</v>
      </c>
      <c r="O755" s="24">
        <f>IF($N755="","",WORKDAY($N755,Settings!$C$10,HolidayDates))</f>
        <v>46209</v>
      </c>
      <c r="P755" s="10" t="s">
        <v>501</v>
      </c>
      <c r="Q755" s="52" t="str">
        <f t="shared" si="130"/>
        <v>Collected</v>
      </c>
      <c r="R755" s="55" t="str">
        <f t="shared" si="131"/>
        <v>2026-05</v>
      </c>
      <c r="S755" s="55">
        <f>IF(OR($B755="",$F755="",$R755=""),"",SUMIFS(tblIssues[Qty Issued],tblIssues[Staff ID],$B755,tblIssues[Item Name],$F755,tblIssues[Month],$R755))</f>
        <v>80</v>
      </c>
      <c r="T755" s="56">
        <f>IF($I755="","",$I755*Settings!$C$11)</f>
        <v>80</v>
      </c>
      <c r="U755" s="57" t="str">
        <f t="shared" si="129"/>
        <v>OK</v>
      </c>
      <c r="V755" s="55" t="str">
        <f t="shared" si="132"/>
        <v/>
      </c>
      <c r="W755" s="55" t="str">
        <f>IF($V755="","",IF(COUNTIF($V$5:$V755,$V755)=1,1,""))</f>
        <v/>
      </c>
      <c r="X755" s="58" t="str">
        <f>IF($W755="","",MAX($X$4:X754)+1)</f>
        <v/>
      </c>
      <c r="Y755" s="62"/>
      <c r="Z755" s="62"/>
      <c r="AA755" s="64" t="str">
        <f>IF($C755="","",IFERROR(INDEX('Staff Directory'!$E$5:$E$594,MATCH($C755,'Staff Directory'!$B$5:$B$594,0)),""))</f>
        <v>firstname102.lastname102@example.com</v>
      </c>
      <c r="AB755" s="64" t="str">
        <f>IF($C755="","",IF(ISNUMBER(SEARCH($D755,Settings!$C$15)),"Pickup","Dispatch"))</f>
        <v>Pickup</v>
      </c>
      <c r="AC755" s="64" t="str">
        <f t="shared" si="133"/>
        <v>Supply order ready for pickup</v>
      </c>
      <c r="AD755" s="64" t="str">
        <f t="shared" si="124"/>
        <v>Dear PSW,
Your order is ready for pickup from Sample Branch, Wed-Fri 9am-4pm.</v>
      </c>
      <c r="AE755" s="64" t="str">
        <f t="shared" si="125"/>
        <v>mailto:firstname102.lastname102@example.com?subject=Supply%20order%20ready%20for%20pickup&amp;body=Dear%20PSW%2C%0A%0AYour%20order%20is%20ready%20for%20pickup%20from%20Sample%20Branch%2C%20Wed-Fri%209am-4pm.</v>
      </c>
      <c r="AF755" s="89" t="str">
        <f t="shared" si="134"/>
        <v>Draft email</v>
      </c>
      <c r="AG755" s="64" t="str">
        <f>IF($C755="","",IFERROR(INDEX('Staff Directory'!$K$595:$K$599,MATCH($C755,'Staff Directory'!$B$5:$B$599,0)),$D755))</f>
        <v>PSW</v>
      </c>
      <c r="AH755" t="str">
        <f>IF($C755="","",IFERROR(INDEX('Staff Directory'!$I$595:$I$599,MATCH($C755,'Staff Directory'!$B$5:$B$599,0))&amp;" "&amp;INDEX('Staff Directory'!$J$595:$J$599,MATCH($C755,'Staff Directory'!$B$5:$B$599,0)),$AG755))</f>
        <v>PSW</v>
      </c>
      <c r="AI755" s="102"/>
      <c r="AJ755" s="101">
        <f>IF($F755="","",SUMIFS($J$5:$J755,$F$5:$F755,$F755))</f>
        <v>10560</v>
      </c>
      <c r="AK755" s="101">
        <f t="shared" si="126"/>
        <v>10481</v>
      </c>
      <c r="AL755" s="66" t="str" cm="1">
        <f t="array" ref="AL755">IF($F755="","",IFERROR(INDEX('Lot Balance'!$B$5:$B$500,MATCH(1,INDEX(('Lot Balance'!$A$5:$A$500=$F755)*('Lot Balance'!$K$5:$K$500&lt;$AK755)*('Lot Balance'!$K$5:$K$500+'Lot Balance'!$D$5:$D$500&gt;=$AK755),0),0)),""))</f>
        <v>LYSL500290</v>
      </c>
      <c r="AM755" s="66" t="str" cm="1">
        <f t="array" ref="AM755">IF($F755="","",IFERROR(INDEX('Lot Balance'!$B$5:$B$500,MATCH(1,INDEX(('Lot Balance'!$A$5:$A$500=$F755)*('Lot Balance'!$K$5:$K$500&lt;$AJ755)*('Lot Balance'!$K$5:$K$500+'Lot Balance'!$D$5:$D$500&gt;=$AJ755),0),0)),""))</f>
        <v>LYSL500290</v>
      </c>
      <c r="AN755" s="66" t="str">
        <f>IF($F755="","",IF($AI755&lt;&gt;"",IF(COUNTIFS('Lot Balance'!$A$5:$A$500,$F755,'Lot Balance'!$B$5:$B$500,$AI755)=0,"⚠ override is not a lot of this item",IF($AI755=$AL755,"Override = FEFO","Override - FEFO says "&amp;$AL755)),IF($AL755="","⚠ no receipt on file for this item",IF($AM755&lt;&gt;$AL755,"FEFO auto - split, also "&amp;$AM755,"FEFO auto"))))</f>
        <v>FEFO auto</v>
      </c>
      <c r="AO755" s="114"/>
    </row>
    <row r="756" spans="1:41" x14ac:dyDescent="0.35">
      <c r="A756" s="74">
        <v>46161</v>
      </c>
      <c r="B756" s="18" t="str">
        <f>IF($C756="","",IFERROR(INDEX('Staff Directory'!$A$5:$A$594,MATCH($C756,'Staff Directory'!$B$5:$B$594,0)),"⚠ unknown staff"))</f>
        <v>PSW-043-A5</v>
      </c>
      <c r="C756" s="49" t="s">
        <v>1018</v>
      </c>
      <c r="D756" s="19" t="str">
        <f>IF($B756="","",IFERROR(INDEX('Staff Directory'!$C$5:$C$594,MATCH($B756,'Staff Directory'!$A$5:$A$594,0)),""))</f>
        <v>PSW</v>
      </c>
      <c r="E756" s="19" t="str">
        <f>IF($B756="","",IFERROR(INDEX('Staff Directory'!$D$5:$D$594,MATCH($B756,'Staff Directory'!$A$5:$A$594,0)),""))</f>
        <v>A5</v>
      </c>
      <c r="F756" s="9" t="s">
        <v>156</v>
      </c>
      <c r="G756" s="18" t="str">
        <f>IF($F756="","",IFERROR(INDEX(Items!$B$5:$B$597,MATCH($F756,Items!$A$5:$A$597,0)),"⚠ not in Items"))</f>
        <v>Masks</v>
      </c>
      <c r="H756" s="19" t="str">
        <f>IF($F756="","",IFERROR(INDEX(Items!$C$5:$C$597,MATCH($F756,Items!$A$5:$A$597,0)),""))</f>
        <v>One Size</v>
      </c>
      <c r="I756" s="23">
        <f>IF($F756="","",IFERROR(INDEX(Items!$E$5:$E$597,MATCH($F756,Items!$A$5:$A$597,0)),""))</f>
        <v>50</v>
      </c>
      <c r="J756" s="115">
        <f>IF(tblIssues[[#This Row],[Qty Override]]&lt;&gt;"",tblIssues[[#This Row],[Qty Override]],IF(tblIssues[[#This Row],[Standard Issue]]="","",tblIssues[[#This Row],[Standard Issue]]))</f>
        <v>50</v>
      </c>
      <c r="K756" s="20">
        <f>IF($F756="","",IFERROR(INDEX(Items!$D$5:$D$597,MATCH($F756,Items!$A$5:$A$597,0)),""))</f>
        <v>0.25</v>
      </c>
      <c r="L756" s="21">
        <f t="shared" si="127"/>
        <v>12.5</v>
      </c>
      <c r="M756" s="9" t="str">
        <f t="shared" si="128"/>
        <v>0125FPC24-1</v>
      </c>
      <c r="N756" s="24">
        <f>IF($A756="","",WORKDAY($A756,Settings!$C$9,HolidayDates))</f>
        <v>46169</v>
      </c>
      <c r="O756" s="24">
        <f>IF($N756="","",WORKDAY($N756,Settings!$C$10,HolidayDates))</f>
        <v>46209</v>
      </c>
      <c r="P756" s="10" t="s">
        <v>501</v>
      </c>
      <c r="Q756" s="52" t="str">
        <f t="shared" si="130"/>
        <v>Collected</v>
      </c>
      <c r="R756" s="55" t="str">
        <f t="shared" si="131"/>
        <v>2026-05</v>
      </c>
      <c r="S756" s="55">
        <f>IF(OR($B756="",$F756="",$R756=""),"",SUMIFS(tblIssues[Qty Issued],tblIssues[Staff ID],$B756,tblIssues[Item Name],$F756,tblIssues[Month],$R756))</f>
        <v>50</v>
      </c>
      <c r="T756" s="56">
        <f>IF($I756="","",$I756*Settings!$C$11)</f>
        <v>50</v>
      </c>
      <c r="U756" s="57" t="str">
        <f t="shared" si="129"/>
        <v>OK</v>
      </c>
      <c r="V756" s="55" t="str">
        <f t="shared" si="132"/>
        <v/>
      </c>
      <c r="W756" s="55" t="str">
        <f>IF($V756="","",IF(COUNTIF($V$5:$V756,$V756)=1,1,""))</f>
        <v/>
      </c>
      <c r="X756" s="58" t="str">
        <f>IF($W756="","",MAX($X$4:X755)+1)</f>
        <v/>
      </c>
      <c r="Y756" s="62"/>
      <c r="Z756" s="62"/>
      <c r="AA756" s="64" t="str">
        <f>IF($C756="","",IFERROR(INDEX('Staff Directory'!$E$5:$E$594,MATCH($C756,'Staff Directory'!$B$5:$B$594,0)),""))</f>
        <v>firstname102.lastname102@example.com</v>
      </c>
      <c r="AB756" s="64" t="str">
        <f>IF($C756="","",IF(ISNUMBER(SEARCH($D756,Settings!$C$15)),"Pickup","Dispatch"))</f>
        <v>Pickup</v>
      </c>
      <c r="AC756" s="64" t="str">
        <f t="shared" si="133"/>
        <v>Supply order ready for pickup</v>
      </c>
      <c r="AD756" s="64" t="str">
        <f t="shared" si="124"/>
        <v>Dear PSW,
Your order is ready for pickup from Sample Branch, Wed-Fri 9am-4pm.</v>
      </c>
      <c r="AE756" s="64" t="str">
        <f t="shared" si="125"/>
        <v>mailto:firstname102.lastname102@example.com?subject=Supply%20order%20ready%20for%20pickup&amp;body=Dear%20PSW%2C%0A%0AYour%20order%20is%20ready%20for%20pickup%20from%20Sample%20Branch%2C%20Wed-Fri%209am-4pm.</v>
      </c>
      <c r="AF756" s="89" t="str">
        <f t="shared" si="134"/>
        <v>Draft email</v>
      </c>
      <c r="AG756" s="64" t="str">
        <f>IF($C756="","",IFERROR(INDEX('Staff Directory'!$K$595:$K$599,MATCH($C756,'Staff Directory'!$B$5:$B$599,0)),$D756))</f>
        <v>PSW</v>
      </c>
      <c r="AH756" t="str">
        <f>IF($C756="","",IFERROR(INDEX('Staff Directory'!$I$595:$I$599,MATCH($C756,'Staff Directory'!$B$5:$B$599,0))&amp;" "&amp;INDEX('Staff Directory'!$J$595:$J$599,MATCH($C756,'Staff Directory'!$B$5:$B$599,0)),$AG756))</f>
        <v>PSW</v>
      </c>
      <c r="AI756" s="102"/>
      <c r="AJ756" s="101">
        <f>IF($F756="","",SUMIFS($J$5:$J756,$F$5:$F756,$F756))</f>
        <v>6250</v>
      </c>
      <c r="AK756" s="101">
        <f t="shared" si="126"/>
        <v>6201</v>
      </c>
      <c r="AL756" s="66" t="str" cm="1">
        <f t="array" ref="AL756">IF($F756="","",IFERROR(INDEX('Lot Balance'!$B$5:$B$500,MATCH(1,INDEX(('Lot Balance'!$A$5:$A$500=$F756)*('Lot Balance'!$K$5:$K$500&lt;$AK756)*('Lot Balance'!$K$5:$K$500+'Lot Balance'!$D$5:$D$500&gt;=$AK756),0),0)),""))</f>
        <v>0125FPC24-1</v>
      </c>
      <c r="AM756" s="66" t="str" cm="1">
        <f t="array" ref="AM756">IF($F756="","",IFERROR(INDEX('Lot Balance'!$B$5:$B$500,MATCH(1,INDEX(('Lot Balance'!$A$5:$A$500=$F756)*('Lot Balance'!$K$5:$K$500&lt;$AJ756)*('Lot Balance'!$K$5:$K$500+'Lot Balance'!$D$5:$D$500&gt;=$AJ756),0),0)),""))</f>
        <v>0125FPC24-1</v>
      </c>
      <c r="AN756" s="66" t="str">
        <f>IF($F756="","",IF($AI756&lt;&gt;"",IF(COUNTIFS('Lot Balance'!$A$5:$A$500,$F756,'Lot Balance'!$B$5:$B$500,$AI756)=0,"⚠ override is not a lot of this item",IF($AI756=$AL756,"Override = FEFO","Override - FEFO says "&amp;$AL756)),IF($AL756="","⚠ no receipt on file for this item",IF($AM756&lt;&gt;$AL756,"FEFO auto - split, also "&amp;$AM756,"FEFO auto"))))</f>
        <v>FEFO auto</v>
      </c>
      <c r="AO756" s="114"/>
    </row>
    <row r="757" spans="1:41" x14ac:dyDescent="0.35">
      <c r="A757" s="74">
        <v>46161</v>
      </c>
      <c r="B757" s="18" t="str">
        <f>IF($C757="","",IFERROR(INDEX('Staff Directory'!$A$5:$A$594,MATCH($C757,'Staff Directory'!$B$5:$B$594,0)),"⚠ unknown staff"))</f>
        <v>RN-047-TBD</v>
      </c>
      <c r="C757" s="49" t="s">
        <v>971</v>
      </c>
      <c r="D757" s="19" t="str">
        <f>IF($B757="","",IFERROR(INDEX('Staff Directory'!$C$5:$C$594,MATCH($B757,'Staff Directory'!$A$5:$A$594,0)),""))</f>
        <v>RN</v>
      </c>
      <c r="E757" s="19">
        <f>IF($B757="","",IFERROR(INDEX('Staff Directory'!$D$5:$D$594,MATCH($B757,'Staff Directory'!$A$5:$A$594,0)),""))</f>
        <v>0</v>
      </c>
      <c r="F757" s="9" t="s">
        <v>757</v>
      </c>
      <c r="G757" s="18" t="str">
        <f>IF($F757="","",IFERROR(INDEX(Items!$B$5:$B$597,MATCH($F757,Items!$A$5:$A$597,0)),"⚠ not in Items"))</f>
        <v>Documents</v>
      </c>
      <c r="H757" s="19" t="str">
        <f>IF($F757="","",IFERROR(INDEX(Items!$C$5:$C$597,MATCH($F757,Items!$A$5:$A$597,0)),""))</f>
        <v>Standard</v>
      </c>
      <c r="I757" s="23">
        <f>IF($F757="","",IFERROR(INDEX(Items!$E$5:$E$597,MATCH($F757,Items!$A$5:$A$597,0)),""))</f>
        <v>10</v>
      </c>
      <c r="J757" s="115">
        <f>IF(tblIssues[[#This Row],[Qty Override]]&lt;&gt;"",tblIssues[[#This Row],[Qty Override]],IF(tblIssues[[#This Row],[Standard Issue]]="","",tblIssues[[#This Row],[Standard Issue]]))</f>
        <v>10</v>
      </c>
      <c r="K757" s="20">
        <f>IF($F757="","",IFERROR(INDEX(Items!$D$5:$D$597,MATCH($F757,Items!$A$5:$A$597,0)),""))</f>
        <v>0</v>
      </c>
      <c r="L757" s="21">
        <f t="shared" si="127"/>
        <v>0</v>
      </c>
      <c r="M757" s="9" t="str">
        <f t="shared" si="128"/>
        <v/>
      </c>
      <c r="N757" s="24">
        <f>IF($A757="","",WORKDAY($A757,Settings!$C$9,HolidayDates))</f>
        <v>46169</v>
      </c>
      <c r="O757" s="24">
        <f>IF($N757="","",WORKDAY($N757,Settings!$C$10,HolidayDates))</f>
        <v>46209</v>
      </c>
      <c r="P757" s="10" t="s">
        <v>751</v>
      </c>
      <c r="Q757" s="52" t="str">
        <f t="shared" si="130"/>
        <v>Collected</v>
      </c>
      <c r="R757" s="55" t="str">
        <f t="shared" si="131"/>
        <v>2026-05</v>
      </c>
      <c r="S757" s="55">
        <f>IF(OR($B757="",$F757="",$R757=""),"",SUMIFS(tblIssues[Qty Issued],tblIssues[Staff ID],$B757,tblIssues[Item Name],$F757,tblIssues[Month],$R757))</f>
        <v>50</v>
      </c>
      <c r="T757" s="56">
        <f>IF($I757="","",$I757*Settings!$C$11)</f>
        <v>10</v>
      </c>
      <c r="U757" s="57" t="str">
        <f t="shared" si="129"/>
        <v>⚠ OVER QUOTA</v>
      </c>
      <c r="V757" s="55" t="str">
        <f t="shared" si="132"/>
        <v>RN-047-TBD | Sample Org CONNECT Welcome Package RN | 2026-05</v>
      </c>
      <c r="W757" s="55">
        <f>IF($V757="","",IF(COUNTIF($V$5:$V757,$V757)=1,1,""))</f>
        <v>1</v>
      </c>
      <c r="X757" s="58">
        <f>IF($W757="","",MAX($X$4:X756)+1)</f>
        <v>18</v>
      </c>
      <c r="Y757" s="62"/>
      <c r="Z757" s="62"/>
      <c r="AA757" s="64" t="str">
        <f>IF($C757="","",IFERROR(INDEX('Staff Directory'!$E$5:$E$594,MATCH($C757,'Staff Directory'!$B$5:$B$594,0)),""))</f>
        <v>firstname055.lastname055@example.com</v>
      </c>
      <c r="AB757" s="64" t="str">
        <f>IF($C757="","",IF(ISNUMBER(SEARCH($D757,Settings!$C$15)),"Pickup","Dispatch"))</f>
        <v>Dispatch</v>
      </c>
      <c r="AC757" s="64" t="str">
        <f t="shared" si="133"/>
        <v>Supply order dispatched</v>
      </c>
      <c r="AD757" s="64" t="str">
        <f t="shared" si="124"/>
        <v>Dear RN,
Your order has been dispatched and is in transit. Reply if undelivered.</v>
      </c>
      <c r="AE757" s="64" t="str">
        <f t="shared" si="125"/>
        <v>mailto:firstname055.lastname055@example.com?subject=Supply%20order%20dispatched&amp;body=Dear%20RN%2C%0A%0AYour%20order%20has%20been%20dispatched%20and%20is%20in%20transit.%20Reply%20if%20undelivered.</v>
      </c>
      <c r="AF757" s="89" t="str">
        <f t="shared" si="134"/>
        <v>Draft email</v>
      </c>
      <c r="AG757" s="64" t="str">
        <f>IF($C757="","",IFERROR(INDEX('Staff Directory'!$K$595:$K$599,MATCH($C757,'Staff Directory'!$B$5:$B$599,0)),$D757))</f>
        <v>RN</v>
      </c>
      <c r="AH757" t="str">
        <f>IF($C757="","",IFERROR(INDEX('Staff Directory'!$I$595:$I$599,MATCH($C757,'Staff Directory'!$B$5:$B$599,0))&amp;" "&amp;INDEX('Staff Directory'!$J$595:$J$599,MATCH($C757,'Staff Directory'!$B$5:$B$599,0)),$AG757))</f>
        <v>RN</v>
      </c>
      <c r="AI757" s="102"/>
      <c r="AJ757" s="101">
        <f>IF($F757="","",SUMIFS($J$5:$J757,$F$5:$F757,$F757))</f>
        <v>460</v>
      </c>
      <c r="AK757" s="101">
        <f t="shared" si="126"/>
        <v>451</v>
      </c>
      <c r="AL757" s="66" t="str" cm="1">
        <f t="array" ref="AL757">IF($F757="","",IFERROR(INDEX('Lot Balance'!$B$5:$B$500,MATCH(1,INDEX(('Lot Balance'!$A$5:$A$500=$F757)*('Lot Balance'!$K$5:$K$500&lt;$AK757)*('Lot Balance'!$K$5:$K$500+'Lot Balance'!$D$5:$D$500&gt;=$AK757),0),0)),""))</f>
        <v/>
      </c>
      <c r="AM757" s="66" t="str" cm="1">
        <f t="array" ref="AM757">IF($F757="","",IFERROR(INDEX('Lot Balance'!$B$5:$B$500,MATCH(1,INDEX(('Lot Balance'!$A$5:$A$500=$F757)*('Lot Balance'!$K$5:$K$500&lt;$AJ757)*('Lot Balance'!$K$5:$K$500+'Lot Balance'!$D$5:$D$500&gt;=$AJ757),0),0)),""))</f>
        <v/>
      </c>
      <c r="AN757" s="66" t="str">
        <f>IF($F757="","",IF($AI757&lt;&gt;"",IF(COUNTIFS('Lot Balance'!$A$5:$A$500,$F757,'Lot Balance'!$B$5:$B$500,$AI757)=0,"⚠ override is not a lot of this item",IF($AI757=$AL757,"Override = FEFO","Override - FEFO says "&amp;$AL757)),IF($AL757="","⚠ no receipt on file for this item",IF($AM757&lt;&gt;$AL757,"FEFO auto - split, also "&amp;$AM757,"FEFO auto"))))</f>
        <v>⚠ no receipt on file for this item</v>
      </c>
      <c r="AO757" s="114"/>
    </row>
    <row r="758" spans="1:41" x14ac:dyDescent="0.35">
      <c r="A758" s="74">
        <v>46161</v>
      </c>
      <c r="B758" s="18" t="str">
        <f>IF($C758="","",IFERROR(INDEX('Staff Directory'!$A$5:$A$594,MATCH($C758,'Staff Directory'!$B$5:$B$594,0)),"⚠ unknown staff"))</f>
        <v>RN-047-TBD</v>
      </c>
      <c r="C758" s="49" t="s">
        <v>971</v>
      </c>
      <c r="D758" s="19" t="str">
        <f>IF($B758="","",IFERROR(INDEX('Staff Directory'!$C$5:$C$594,MATCH($B758,'Staff Directory'!$A$5:$A$594,0)),""))</f>
        <v>RN</v>
      </c>
      <c r="E758" s="19">
        <f>IF($B758="","",IFERROR(INDEX('Staff Directory'!$D$5:$D$594,MATCH($B758,'Staff Directory'!$A$5:$A$594,0)),""))</f>
        <v>0</v>
      </c>
      <c r="F758" s="9" t="s">
        <v>757</v>
      </c>
      <c r="G758" s="18" t="str">
        <f>IF($F758="","",IFERROR(INDEX(Items!$B$5:$B$597,MATCH($F758,Items!$A$5:$A$597,0)),"⚠ not in Items"))</f>
        <v>Documents</v>
      </c>
      <c r="H758" s="19" t="str">
        <f>IF($F758="","",IFERROR(INDEX(Items!$C$5:$C$597,MATCH($F758,Items!$A$5:$A$597,0)),""))</f>
        <v>Standard</v>
      </c>
      <c r="I758" s="23">
        <f>IF($F758="","",IFERROR(INDEX(Items!$E$5:$E$597,MATCH($F758,Items!$A$5:$A$597,0)),""))</f>
        <v>10</v>
      </c>
      <c r="J758" s="115">
        <f>IF(tblIssues[[#This Row],[Qty Override]]&lt;&gt;"",tblIssues[[#This Row],[Qty Override]],IF(tblIssues[[#This Row],[Standard Issue]]="","",tblIssues[[#This Row],[Standard Issue]]))</f>
        <v>10</v>
      </c>
      <c r="K758" s="20">
        <f>IF($F758="","",IFERROR(INDEX(Items!$D$5:$D$597,MATCH($F758,Items!$A$5:$A$597,0)),""))</f>
        <v>0</v>
      </c>
      <c r="L758" s="21">
        <f t="shared" si="127"/>
        <v>0</v>
      </c>
      <c r="M758" s="9" t="str">
        <f t="shared" si="128"/>
        <v/>
      </c>
      <c r="N758" s="24">
        <f>IF($A758="","",WORKDAY($A758,Settings!$C$9,HolidayDates))</f>
        <v>46169</v>
      </c>
      <c r="O758" s="24">
        <f>IF($N758="","",WORKDAY($N758,Settings!$C$10,HolidayDates))</f>
        <v>46209</v>
      </c>
      <c r="P758" s="10" t="s">
        <v>751</v>
      </c>
      <c r="Q758" s="52" t="str">
        <f t="shared" si="130"/>
        <v>Collected</v>
      </c>
      <c r="R758" s="55" t="str">
        <f t="shared" si="131"/>
        <v>2026-05</v>
      </c>
      <c r="S758" s="55">
        <f>IF(OR($B758="",$F758="",$R758=""),"",SUMIFS(tblIssues[Qty Issued],tblIssues[Staff ID],$B758,tblIssues[Item Name],$F758,tblIssues[Month],$R758))</f>
        <v>50</v>
      </c>
      <c r="T758" s="56">
        <f>IF($I758="","",$I758*Settings!$C$11)</f>
        <v>10</v>
      </c>
      <c r="U758" s="57" t="str">
        <f t="shared" si="129"/>
        <v>⚠ OVER QUOTA</v>
      </c>
      <c r="V758" s="55" t="str">
        <f t="shared" si="132"/>
        <v>RN-047-TBD | Sample Org CONNECT Welcome Package RN | 2026-05</v>
      </c>
      <c r="W758" s="55" t="str">
        <f>IF($V758="","",IF(COUNTIF($V$5:$V758,$V758)=1,1,""))</f>
        <v/>
      </c>
      <c r="X758" s="58" t="str">
        <f>IF($W758="","",MAX($X$4:X757)+1)</f>
        <v/>
      </c>
      <c r="Y758" s="62"/>
      <c r="Z758" s="62"/>
      <c r="AA758" s="64" t="str">
        <f>IF($C758="","",IFERROR(INDEX('Staff Directory'!$E$5:$E$594,MATCH($C758,'Staff Directory'!$B$5:$B$594,0)),""))</f>
        <v>firstname055.lastname055@example.com</v>
      </c>
      <c r="AB758" s="64" t="str">
        <f>IF($C758="","",IF(ISNUMBER(SEARCH($D758,Settings!$C$15)),"Pickup","Dispatch"))</f>
        <v>Dispatch</v>
      </c>
      <c r="AC758" s="64" t="str">
        <f t="shared" si="133"/>
        <v>Supply order dispatched</v>
      </c>
      <c r="AD758" s="64" t="str">
        <f t="shared" si="124"/>
        <v>Dear RN,
Your order has been dispatched and is in transit. Reply if undelivered.</v>
      </c>
      <c r="AE758" s="64" t="str">
        <f t="shared" si="125"/>
        <v>mailto:firstname055.lastname055@example.com?subject=Supply%20order%20dispatched&amp;body=Dear%20RN%2C%0A%0AYour%20order%20has%20been%20dispatched%20and%20is%20in%20transit.%20Reply%20if%20undelivered.</v>
      </c>
      <c r="AF758" s="89" t="str">
        <f t="shared" si="134"/>
        <v>Draft email</v>
      </c>
      <c r="AG758" s="64" t="str">
        <f>IF($C758="","",IFERROR(INDEX('Staff Directory'!$K$595:$K$599,MATCH($C758,'Staff Directory'!$B$5:$B$599,0)),$D758))</f>
        <v>RN</v>
      </c>
      <c r="AH758" t="str">
        <f>IF($C758="","",IFERROR(INDEX('Staff Directory'!$I$595:$I$599,MATCH($C758,'Staff Directory'!$B$5:$B$599,0))&amp;" "&amp;INDEX('Staff Directory'!$J$595:$J$599,MATCH($C758,'Staff Directory'!$B$5:$B$599,0)),$AG758))</f>
        <v>RN</v>
      </c>
      <c r="AI758" s="102"/>
      <c r="AJ758" s="101">
        <f>IF($F758="","",SUMIFS($J$5:$J758,$F$5:$F758,$F758))</f>
        <v>470</v>
      </c>
      <c r="AK758" s="101">
        <f t="shared" si="126"/>
        <v>461</v>
      </c>
      <c r="AL758" s="66" t="str" cm="1">
        <f t="array" ref="AL758">IF($F758="","",IFERROR(INDEX('Lot Balance'!$B$5:$B$500,MATCH(1,INDEX(('Lot Balance'!$A$5:$A$500=$F758)*('Lot Balance'!$K$5:$K$500&lt;$AK758)*('Lot Balance'!$K$5:$K$500+'Lot Balance'!$D$5:$D$500&gt;=$AK758),0),0)),""))</f>
        <v/>
      </c>
      <c r="AM758" s="66" t="str" cm="1">
        <f t="array" ref="AM758">IF($F758="","",IFERROR(INDEX('Lot Balance'!$B$5:$B$500,MATCH(1,INDEX(('Lot Balance'!$A$5:$A$500=$F758)*('Lot Balance'!$K$5:$K$500&lt;$AJ758)*('Lot Balance'!$K$5:$K$500+'Lot Balance'!$D$5:$D$500&gt;=$AJ758),0),0)),""))</f>
        <v/>
      </c>
      <c r="AN758" s="66" t="str">
        <f>IF($F758="","",IF($AI758&lt;&gt;"",IF(COUNTIFS('Lot Balance'!$A$5:$A$500,$F758,'Lot Balance'!$B$5:$B$500,$AI758)=0,"⚠ override is not a lot of this item",IF($AI758=$AL758,"Override = FEFO","Override - FEFO says "&amp;$AL758)),IF($AL758="","⚠ no receipt on file for this item",IF($AM758&lt;&gt;$AL758,"FEFO auto - split, also "&amp;$AM758,"FEFO auto"))))</f>
        <v>⚠ no receipt on file for this item</v>
      </c>
      <c r="AO758" s="114"/>
    </row>
    <row r="759" spans="1:41" x14ac:dyDescent="0.35">
      <c r="A759" s="74">
        <v>46161</v>
      </c>
      <c r="B759" s="18" t="str">
        <f>IF($C759="","",IFERROR(INDEX('Staff Directory'!$A$5:$A$594,MATCH($C759,'Staff Directory'!$B$5:$B$594,0)),"⚠ unknown staff"))</f>
        <v>RN-047-TBD</v>
      </c>
      <c r="C759" s="49" t="s">
        <v>971</v>
      </c>
      <c r="D759" s="19" t="str">
        <f>IF($B759="","",IFERROR(INDEX('Staff Directory'!$C$5:$C$594,MATCH($B759,'Staff Directory'!$A$5:$A$594,0)),""))</f>
        <v>RN</v>
      </c>
      <c r="E759" s="19">
        <f>IF($B759="","",IFERROR(INDEX('Staff Directory'!$D$5:$D$594,MATCH($B759,'Staff Directory'!$A$5:$A$594,0)),""))</f>
        <v>0</v>
      </c>
      <c r="F759" s="9" t="s">
        <v>757</v>
      </c>
      <c r="G759" s="18" t="str">
        <f>IF($F759="","",IFERROR(INDEX(Items!$B$5:$B$597,MATCH($F759,Items!$A$5:$A$597,0)),"⚠ not in Items"))</f>
        <v>Documents</v>
      </c>
      <c r="H759" s="19" t="str">
        <f>IF($F759="","",IFERROR(INDEX(Items!$C$5:$C$597,MATCH($F759,Items!$A$5:$A$597,0)),""))</f>
        <v>Standard</v>
      </c>
      <c r="I759" s="23">
        <f>IF($F759="","",IFERROR(INDEX(Items!$E$5:$E$597,MATCH($F759,Items!$A$5:$A$597,0)),""))</f>
        <v>10</v>
      </c>
      <c r="J759" s="115">
        <f>IF(tblIssues[[#This Row],[Qty Override]]&lt;&gt;"",tblIssues[[#This Row],[Qty Override]],IF(tblIssues[[#This Row],[Standard Issue]]="","",tblIssues[[#This Row],[Standard Issue]]))</f>
        <v>10</v>
      </c>
      <c r="K759" s="20">
        <f>IF($F759="","",IFERROR(INDEX(Items!$D$5:$D$597,MATCH($F759,Items!$A$5:$A$597,0)),""))</f>
        <v>0</v>
      </c>
      <c r="L759" s="21">
        <f t="shared" si="127"/>
        <v>0</v>
      </c>
      <c r="M759" s="9" t="str">
        <f t="shared" si="128"/>
        <v/>
      </c>
      <c r="N759" s="24">
        <f>IF($A759="","",WORKDAY($A759,Settings!$C$9,HolidayDates))</f>
        <v>46169</v>
      </c>
      <c r="O759" s="24">
        <f>IF($N759="","",WORKDAY($N759,Settings!$C$10,HolidayDates))</f>
        <v>46209</v>
      </c>
      <c r="P759" s="10" t="s">
        <v>751</v>
      </c>
      <c r="Q759" s="52" t="str">
        <f t="shared" si="130"/>
        <v>Collected</v>
      </c>
      <c r="R759" s="55" t="str">
        <f t="shared" si="131"/>
        <v>2026-05</v>
      </c>
      <c r="S759" s="55">
        <f>IF(OR($B759="",$F759="",$R759=""),"",SUMIFS(tblIssues[Qty Issued],tblIssues[Staff ID],$B759,tblIssues[Item Name],$F759,tblIssues[Month],$R759))</f>
        <v>50</v>
      </c>
      <c r="T759" s="56">
        <f>IF($I759="","",$I759*Settings!$C$11)</f>
        <v>10</v>
      </c>
      <c r="U759" s="57" t="str">
        <f t="shared" si="129"/>
        <v>⚠ OVER QUOTA</v>
      </c>
      <c r="V759" s="55" t="str">
        <f t="shared" si="132"/>
        <v>RN-047-TBD | Sample Org CONNECT Welcome Package RN | 2026-05</v>
      </c>
      <c r="W759" s="55" t="str">
        <f>IF($V759="","",IF(COUNTIF($V$5:$V759,$V759)=1,1,""))</f>
        <v/>
      </c>
      <c r="X759" s="58" t="str">
        <f>IF($W759="","",MAX($X$4:X758)+1)</f>
        <v/>
      </c>
      <c r="Y759" s="62"/>
      <c r="Z759" s="62"/>
      <c r="AA759" s="64" t="str">
        <f>IF($C759="","",IFERROR(INDEX('Staff Directory'!$E$5:$E$594,MATCH($C759,'Staff Directory'!$B$5:$B$594,0)),""))</f>
        <v>firstname055.lastname055@example.com</v>
      </c>
      <c r="AB759" s="64" t="str">
        <f>IF($C759="","",IF(ISNUMBER(SEARCH($D759,Settings!$C$15)),"Pickup","Dispatch"))</f>
        <v>Dispatch</v>
      </c>
      <c r="AC759" s="64" t="str">
        <f t="shared" si="133"/>
        <v>Supply order dispatched</v>
      </c>
      <c r="AD759" s="64" t="str">
        <f t="shared" si="124"/>
        <v>Dear RN,
Your order has been dispatched and is in transit. Reply if undelivered.</v>
      </c>
      <c r="AE759" s="64" t="str">
        <f t="shared" si="125"/>
        <v>mailto:firstname055.lastname055@example.com?subject=Supply%20order%20dispatched&amp;body=Dear%20RN%2C%0A%0AYour%20order%20has%20been%20dispatched%20and%20is%20in%20transit.%20Reply%20if%20undelivered.</v>
      </c>
      <c r="AF759" s="89" t="str">
        <f t="shared" si="134"/>
        <v>Draft email</v>
      </c>
      <c r="AG759" s="64" t="str">
        <f>IF($C759="","",IFERROR(INDEX('Staff Directory'!$K$595:$K$599,MATCH($C759,'Staff Directory'!$B$5:$B$599,0)),$D759))</f>
        <v>RN</v>
      </c>
      <c r="AH759" t="str">
        <f>IF($C759="","",IFERROR(INDEX('Staff Directory'!$I$595:$I$599,MATCH($C759,'Staff Directory'!$B$5:$B$599,0))&amp;" "&amp;INDEX('Staff Directory'!$J$595:$J$599,MATCH($C759,'Staff Directory'!$B$5:$B$599,0)),$AG759))</f>
        <v>RN</v>
      </c>
      <c r="AI759" s="102"/>
      <c r="AJ759" s="101">
        <f>IF($F759="","",SUMIFS($J$5:$J759,$F$5:$F759,$F759))</f>
        <v>480</v>
      </c>
      <c r="AK759" s="101">
        <f t="shared" si="126"/>
        <v>471</v>
      </c>
      <c r="AL759" s="66" t="str" cm="1">
        <f t="array" ref="AL759">IF($F759="","",IFERROR(INDEX('Lot Balance'!$B$5:$B$500,MATCH(1,INDEX(('Lot Balance'!$A$5:$A$500=$F759)*('Lot Balance'!$K$5:$K$500&lt;$AK759)*('Lot Balance'!$K$5:$K$500+'Lot Balance'!$D$5:$D$500&gt;=$AK759),0),0)),""))</f>
        <v/>
      </c>
      <c r="AM759" s="66" t="str" cm="1">
        <f t="array" ref="AM759">IF($F759="","",IFERROR(INDEX('Lot Balance'!$B$5:$B$500,MATCH(1,INDEX(('Lot Balance'!$A$5:$A$500=$F759)*('Lot Balance'!$K$5:$K$500&lt;$AJ759)*('Lot Balance'!$K$5:$K$500+'Lot Balance'!$D$5:$D$500&gt;=$AJ759),0),0)),""))</f>
        <v/>
      </c>
      <c r="AN759" s="66" t="str">
        <f>IF($F759="","",IF($AI759&lt;&gt;"",IF(COUNTIFS('Lot Balance'!$A$5:$A$500,$F759,'Lot Balance'!$B$5:$B$500,$AI759)=0,"⚠ override is not a lot of this item",IF($AI759=$AL759,"Override = FEFO","Override - FEFO says "&amp;$AL759)),IF($AL759="","⚠ no receipt on file for this item",IF($AM759&lt;&gt;$AL759,"FEFO auto - split, also "&amp;$AM759,"FEFO auto"))))</f>
        <v>⚠ no receipt on file for this item</v>
      </c>
      <c r="AO759" s="114"/>
    </row>
    <row r="760" spans="1:41" x14ac:dyDescent="0.35">
      <c r="A760" s="74">
        <v>46161</v>
      </c>
      <c r="B760" s="18" t="str">
        <f>IF($C760="","",IFERROR(INDEX('Staff Directory'!$A$5:$A$594,MATCH($C760,'Staff Directory'!$B$5:$B$594,0)),"⚠ unknown staff"))</f>
        <v>RN-047-TBD</v>
      </c>
      <c r="C760" s="49" t="s">
        <v>971</v>
      </c>
      <c r="D760" s="19" t="str">
        <f>IF($B760="","",IFERROR(INDEX('Staff Directory'!$C$5:$C$594,MATCH($B760,'Staff Directory'!$A$5:$A$594,0)),""))</f>
        <v>RN</v>
      </c>
      <c r="E760" s="19">
        <f>IF($B760="","",IFERROR(INDEX('Staff Directory'!$D$5:$D$594,MATCH($B760,'Staff Directory'!$A$5:$A$594,0)),""))</f>
        <v>0</v>
      </c>
      <c r="F760" s="9" t="s">
        <v>757</v>
      </c>
      <c r="G760" s="18" t="str">
        <f>IF($F760="","",IFERROR(INDEX(Items!$B$5:$B$597,MATCH($F760,Items!$A$5:$A$597,0)),"⚠ not in Items"))</f>
        <v>Documents</v>
      </c>
      <c r="H760" s="19" t="str">
        <f>IF($F760="","",IFERROR(INDEX(Items!$C$5:$C$597,MATCH($F760,Items!$A$5:$A$597,0)),""))</f>
        <v>Standard</v>
      </c>
      <c r="I760" s="23">
        <f>IF($F760="","",IFERROR(INDEX(Items!$E$5:$E$597,MATCH($F760,Items!$A$5:$A$597,0)),""))</f>
        <v>10</v>
      </c>
      <c r="J760" s="115">
        <f>IF(tblIssues[[#This Row],[Qty Override]]&lt;&gt;"",tblIssues[[#This Row],[Qty Override]],IF(tblIssues[[#This Row],[Standard Issue]]="","",tblIssues[[#This Row],[Standard Issue]]))</f>
        <v>10</v>
      </c>
      <c r="K760" s="20">
        <f>IF($F760="","",IFERROR(INDEX(Items!$D$5:$D$597,MATCH($F760,Items!$A$5:$A$597,0)),""))</f>
        <v>0</v>
      </c>
      <c r="L760" s="21">
        <f t="shared" si="127"/>
        <v>0</v>
      </c>
      <c r="M760" s="9" t="str">
        <f t="shared" si="128"/>
        <v/>
      </c>
      <c r="N760" s="24">
        <f>IF($A760="","",WORKDAY($A760,Settings!$C$9,HolidayDates))</f>
        <v>46169</v>
      </c>
      <c r="O760" s="24">
        <f>IF($N760="","",WORKDAY($N760,Settings!$C$10,HolidayDates))</f>
        <v>46209</v>
      </c>
      <c r="P760" s="10" t="s">
        <v>751</v>
      </c>
      <c r="Q760" s="52" t="str">
        <f t="shared" si="130"/>
        <v>Collected</v>
      </c>
      <c r="R760" s="55" t="str">
        <f t="shared" si="131"/>
        <v>2026-05</v>
      </c>
      <c r="S760" s="55">
        <f>IF(OR($B760="",$F760="",$R760=""),"",SUMIFS(tblIssues[Qty Issued],tblIssues[Staff ID],$B760,tblIssues[Item Name],$F760,tblIssues[Month],$R760))</f>
        <v>50</v>
      </c>
      <c r="T760" s="56">
        <f>IF($I760="","",$I760*Settings!$C$11)</f>
        <v>10</v>
      </c>
      <c r="U760" s="57" t="str">
        <f t="shared" si="129"/>
        <v>⚠ OVER QUOTA</v>
      </c>
      <c r="V760" s="55" t="str">
        <f t="shared" si="132"/>
        <v>RN-047-TBD | Sample Org CONNECT Welcome Package RN | 2026-05</v>
      </c>
      <c r="W760" s="55" t="str">
        <f>IF($V760="","",IF(COUNTIF($V$5:$V760,$V760)=1,1,""))</f>
        <v/>
      </c>
      <c r="X760" s="58" t="str">
        <f>IF($W760="","",MAX($X$4:X759)+1)</f>
        <v/>
      </c>
      <c r="Y760" s="62"/>
      <c r="Z760" s="62"/>
      <c r="AA760" s="64" t="str">
        <f>IF($C760="","",IFERROR(INDEX('Staff Directory'!$E$5:$E$594,MATCH($C760,'Staff Directory'!$B$5:$B$594,0)),""))</f>
        <v>firstname055.lastname055@example.com</v>
      </c>
      <c r="AB760" s="64" t="str">
        <f>IF($C760="","",IF(ISNUMBER(SEARCH($D760,Settings!$C$15)),"Pickup","Dispatch"))</f>
        <v>Dispatch</v>
      </c>
      <c r="AC760" s="64" t="str">
        <f t="shared" si="133"/>
        <v>Supply order dispatched</v>
      </c>
      <c r="AD760" s="64" t="str">
        <f t="shared" si="124"/>
        <v>Dear RN,
Your order has been dispatched and is in transit. Reply if undelivered.</v>
      </c>
      <c r="AE760" s="64" t="str">
        <f t="shared" si="125"/>
        <v>mailto:firstname055.lastname055@example.com?subject=Supply%20order%20dispatched&amp;body=Dear%20RN%2C%0A%0AYour%20order%20has%20been%20dispatched%20and%20is%20in%20transit.%20Reply%20if%20undelivered.</v>
      </c>
      <c r="AF760" s="89" t="str">
        <f t="shared" si="134"/>
        <v>Draft email</v>
      </c>
      <c r="AG760" s="64" t="str">
        <f>IF($C760="","",IFERROR(INDEX('Staff Directory'!$K$595:$K$599,MATCH($C760,'Staff Directory'!$B$5:$B$599,0)),$D760))</f>
        <v>RN</v>
      </c>
      <c r="AH760" t="str">
        <f>IF($C760="","",IFERROR(INDEX('Staff Directory'!$I$595:$I$599,MATCH($C760,'Staff Directory'!$B$5:$B$599,0))&amp;" "&amp;INDEX('Staff Directory'!$J$595:$J$599,MATCH($C760,'Staff Directory'!$B$5:$B$599,0)),$AG760))</f>
        <v>RN</v>
      </c>
      <c r="AI760" s="102"/>
      <c r="AJ760" s="101">
        <f>IF($F760="","",SUMIFS($J$5:$J760,$F$5:$F760,$F760))</f>
        <v>490</v>
      </c>
      <c r="AK760" s="101">
        <f t="shared" si="126"/>
        <v>481</v>
      </c>
      <c r="AL760" s="66" t="str" cm="1">
        <f t="array" ref="AL760">IF($F760="","",IFERROR(INDEX('Lot Balance'!$B$5:$B$500,MATCH(1,INDEX(('Lot Balance'!$A$5:$A$500=$F760)*('Lot Balance'!$K$5:$K$500&lt;$AK760)*('Lot Balance'!$K$5:$K$500+'Lot Balance'!$D$5:$D$500&gt;=$AK760),0),0)),""))</f>
        <v/>
      </c>
      <c r="AM760" s="66" t="str" cm="1">
        <f t="array" ref="AM760">IF($F760="","",IFERROR(INDEX('Lot Balance'!$B$5:$B$500,MATCH(1,INDEX(('Lot Balance'!$A$5:$A$500=$F760)*('Lot Balance'!$K$5:$K$500&lt;$AJ760)*('Lot Balance'!$K$5:$K$500+'Lot Balance'!$D$5:$D$500&gt;=$AJ760),0),0)),""))</f>
        <v/>
      </c>
      <c r="AN760" s="66" t="str">
        <f>IF($F760="","",IF($AI760&lt;&gt;"",IF(COUNTIFS('Lot Balance'!$A$5:$A$500,$F760,'Lot Balance'!$B$5:$B$500,$AI760)=0,"⚠ override is not a lot of this item",IF($AI760=$AL760,"Override = FEFO","Override - FEFO says "&amp;$AL760)),IF($AL760="","⚠ no receipt on file for this item",IF($AM760&lt;&gt;$AL760,"FEFO auto - split, also "&amp;$AM760,"FEFO auto"))))</f>
        <v>⚠ no receipt on file for this item</v>
      </c>
      <c r="AO760" s="114"/>
    </row>
    <row r="761" spans="1:41" x14ac:dyDescent="0.35">
      <c r="A761" s="74">
        <v>46161</v>
      </c>
      <c r="B761" s="18" t="str">
        <f>IF($C761="","",IFERROR(INDEX('Staff Directory'!$A$5:$A$594,MATCH($C761,'Staff Directory'!$B$5:$B$594,0)),"⚠ unknown staff"))</f>
        <v>RN-047-TBD</v>
      </c>
      <c r="C761" s="49" t="s">
        <v>971</v>
      </c>
      <c r="D761" s="19" t="str">
        <f>IF($B761="","",IFERROR(INDEX('Staff Directory'!$C$5:$C$594,MATCH($B761,'Staff Directory'!$A$5:$A$594,0)),""))</f>
        <v>RN</v>
      </c>
      <c r="E761" s="19">
        <f>IF($B761="","",IFERROR(INDEX('Staff Directory'!$D$5:$D$594,MATCH($B761,'Staff Directory'!$A$5:$A$594,0)),""))</f>
        <v>0</v>
      </c>
      <c r="F761" s="9" t="s">
        <v>757</v>
      </c>
      <c r="G761" s="18" t="str">
        <f>IF($F761="","",IFERROR(INDEX(Items!$B$5:$B$597,MATCH($F761,Items!$A$5:$A$597,0)),"⚠ not in Items"))</f>
        <v>Documents</v>
      </c>
      <c r="H761" s="19" t="str">
        <f>IF($F761="","",IFERROR(INDEX(Items!$C$5:$C$597,MATCH($F761,Items!$A$5:$A$597,0)),""))</f>
        <v>Standard</v>
      </c>
      <c r="I761" s="23">
        <f>IF($F761="","",IFERROR(INDEX(Items!$E$5:$E$597,MATCH($F761,Items!$A$5:$A$597,0)),""))</f>
        <v>10</v>
      </c>
      <c r="J761" s="115">
        <f>IF(tblIssues[[#This Row],[Qty Override]]&lt;&gt;"",tblIssues[[#This Row],[Qty Override]],IF(tblIssues[[#This Row],[Standard Issue]]="","",tblIssues[[#This Row],[Standard Issue]]))</f>
        <v>10</v>
      </c>
      <c r="K761" s="20">
        <f>IF($F761="","",IFERROR(INDEX(Items!$D$5:$D$597,MATCH($F761,Items!$A$5:$A$597,0)),""))</f>
        <v>0</v>
      </c>
      <c r="L761" s="21">
        <f t="shared" si="127"/>
        <v>0</v>
      </c>
      <c r="M761" s="9" t="str">
        <f t="shared" si="128"/>
        <v/>
      </c>
      <c r="N761" s="24">
        <f>IF($A761="","",WORKDAY($A761,Settings!$C$9,HolidayDates))</f>
        <v>46169</v>
      </c>
      <c r="O761" s="24">
        <f>IF($N761="","",WORKDAY($N761,Settings!$C$10,HolidayDates))</f>
        <v>46209</v>
      </c>
      <c r="P761" s="10" t="s">
        <v>751</v>
      </c>
      <c r="Q761" s="52" t="str">
        <f t="shared" si="130"/>
        <v>Collected</v>
      </c>
      <c r="R761" s="55" t="str">
        <f t="shared" si="131"/>
        <v>2026-05</v>
      </c>
      <c r="S761" s="55">
        <f>IF(OR($B761="",$F761="",$R761=""),"",SUMIFS(tblIssues[Qty Issued],tblIssues[Staff ID],$B761,tblIssues[Item Name],$F761,tblIssues[Month],$R761))</f>
        <v>50</v>
      </c>
      <c r="T761" s="56">
        <f>IF($I761="","",$I761*Settings!$C$11)</f>
        <v>10</v>
      </c>
      <c r="U761" s="57" t="str">
        <f t="shared" si="129"/>
        <v>⚠ OVER QUOTA</v>
      </c>
      <c r="V761" s="55" t="str">
        <f t="shared" si="132"/>
        <v>RN-047-TBD | Sample Org CONNECT Welcome Package RN | 2026-05</v>
      </c>
      <c r="W761" s="55" t="str">
        <f>IF($V761="","",IF(COUNTIF($V$5:$V761,$V761)=1,1,""))</f>
        <v/>
      </c>
      <c r="X761" s="58" t="str">
        <f>IF($W761="","",MAX($X$4:X760)+1)</f>
        <v/>
      </c>
      <c r="Y761" s="62"/>
      <c r="Z761" s="62"/>
      <c r="AA761" s="64" t="str">
        <f>IF($C761="","",IFERROR(INDEX('Staff Directory'!$E$5:$E$594,MATCH($C761,'Staff Directory'!$B$5:$B$594,0)),""))</f>
        <v>firstname055.lastname055@example.com</v>
      </c>
      <c r="AB761" s="64" t="str">
        <f>IF($C761="","",IF(ISNUMBER(SEARCH($D761,Settings!$C$15)),"Pickup","Dispatch"))</f>
        <v>Dispatch</v>
      </c>
      <c r="AC761" s="64" t="str">
        <f t="shared" si="133"/>
        <v>Supply order dispatched</v>
      </c>
      <c r="AD761" s="64" t="str">
        <f t="shared" si="124"/>
        <v>Dear RN,
Your order has been dispatched and is in transit. Reply if undelivered.</v>
      </c>
      <c r="AE761" s="64" t="str">
        <f t="shared" si="125"/>
        <v>mailto:firstname055.lastname055@example.com?subject=Supply%20order%20dispatched&amp;body=Dear%20RN%2C%0A%0AYour%20order%20has%20been%20dispatched%20and%20is%20in%20transit.%20Reply%20if%20undelivered.</v>
      </c>
      <c r="AF761" s="89" t="str">
        <f t="shared" si="134"/>
        <v>Draft email</v>
      </c>
      <c r="AG761" s="64" t="str">
        <f>IF($C761="","",IFERROR(INDEX('Staff Directory'!$K$595:$K$599,MATCH($C761,'Staff Directory'!$B$5:$B$599,0)),$D761))</f>
        <v>RN</v>
      </c>
      <c r="AH761" t="str">
        <f>IF($C761="","",IFERROR(INDEX('Staff Directory'!$I$595:$I$599,MATCH($C761,'Staff Directory'!$B$5:$B$599,0))&amp;" "&amp;INDEX('Staff Directory'!$J$595:$J$599,MATCH($C761,'Staff Directory'!$B$5:$B$599,0)),$AG761))</f>
        <v>RN</v>
      </c>
      <c r="AI761" s="102"/>
      <c r="AJ761" s="101">
        <f>IF($F761="","",SUMIFS($J$5:$J761,$F$5:$F761,$F761))</f>
        <v>500</v>
      </c>
      <c r="AK761" s="101">
        <f t="shared" si="126"/>
        <v>491</v>
      </c>
      <c r="AL761" s="66" t="str" cm="1">
        <f t="array" ref="AL761">IF($F761="","",IFERROR(INDEX('Lot Balance'!$B$5:$B$500,MATCH(1,INDEX(('Lot Balance'!$A$5:$A$500=$F761)*('Lot Balance'!$K$5:$K$500&lt;$AK761)*('Lot Balance'!$K$5:$K$500+'Lot Balance'!$D$5:$D$500&gt;=$AK761),0),0)),""))</f>
        <v/>
      </c>
      <c r="AM761" s="66" t="str" cm="1">
        <f t="array" ref="AM761">IF($F761="","",IFERROR(INDEX('Lot Balance'!$B$5:$B$500,MATCH(1,INDEX(('Lot Balance'!$A$5:$A$500=$F761)*('Lot Balance'!$K$5:$K$500&lt;$AJ761)*('Lot Balance'!$K$5:$K$500+'Lot Balance'!$D$5:$D$500&gt;=$AJ761),0),0)),""))</f>
        <v/>
      </c>
      <c r="AN761" s="66" t="str">
        <f>IF($F761="","",IF($AI761&lt;&gt;"",IF(COUNTIFS('Lot Balance'!$A$5:$A$500,$F761,'Lot Balance'!$B$5:$B$500,$AI761)=0,"⚠ override is not a lot of this item",IF($AI761=$AL761,"Override = FEFO","Override - FEFO says "&amp;$AL761)),IF($AL761="","⚠ no receipt on file for this item",IF($AM761&lt;&gt;$AL761,"FEFO auto - split, also "&amp;$AM761,"FEFO auto"))))</f>
        <v>⚠ no receipt on file for this item</v>
      </c>
      <c r="AO761" s="114"/>
    </row>
    <row r="762" spans="1:41" x14ac:dyDescent="0.35">
      <c r="A762" s="74">
        <v>46161</v>
      </c>
      <c r="B762" s="18" t="str">
        <f>IF($C762="","",IFERROR(INDEX('Staff Directory'!$A$5:$A$594,MATCH($C762,'Staff Directory'!$B$5:$B$594,0)),"⚠ unknown staff"))</f>
        <v>PSW-169-A6</v>
      </c>
      <c r="C762" s="49" t="s">
        <v>1148</v>
      </c>
      <c r="D762" s="19" t="str">
        <f>IF($B762="","",IFERROR(INDEX('Staff Directory'!$C$5:$C$594,MATCH($B762,'Staff Directory'!$A$5:$A$594,0)),""))</f>
        <v>PSW</v>
      </c>
      <c r="E762" s="19" t="str">
        <f>IF($B762="","",IFERROR(INDEX('Staff Directory'!$D$5:$D$594,MATCH($B762,'Staff Directory'!$A$5:$A$594,0)),""))</f>
        <v>A6</v>
      </c>
      <c r="F762" s="9" t="s">
        <v>129</v>
      </c>
      <c r="G762" s="18" t="str">
        <f>IF($F762="","",IFERROR(INDEX(Items!$B$5:$B$597,MATCH($F762,Items!$A$5:$A$597,0)),"⚠ not in Items"))</f>
        <v>Gloves</v>
      </c>
      <c r="H762" s="19" t="str">
        <f>IF($F762="","",IFERROR(INDEX(Items!$C$5:$C$597,MATCH($F762,Items!$A$5:$A$597,0)),""))</f>
        <v>Small</v>
      </c>
      <c r="I762" s="23">
        <f>IF($F762="","",IFERROR(INDEX(Items!$E$5:$E$597,MATCH($F762,Items!$A$5:$A$597,0)),""))</f>
        <v>500</v>
      </c>
      <c r="J762" s="115">
        <f>IF(tblIssues[[#This Row],[Qty Override]]&lt;&gt;"",tblIssues[[#This Row],[Qty Override]],IF(tblIssues[[#This Row],[Standard Issue]]="","",tblIssues[[#This Row],[Standard Issue]]))</f>
        <v>500</v>
      </c>
      <c r="K762" s="20">
        <f>IF($F762="","",IFERROR(INDEX(Items!$D$5:$D$597,MATCH($F762,Items!$A$5:$A$597,0)),""))</f>
        <v>5.5E-2</v>
      </c>
      <c r="L762" s="21">
        <f t="shared" si="127"/>
        <v>27.5</v>
      </c>
      <c r="M762" s="9" t="str">
        <f t="shared" si="128"/>
        <v>O211LIC25-0</v>
      </c>
      <c r="N762" s="24">
        <f>IF($A762="","",WORKDAY($A762,Settings!$C$9,HolidayDates))</f>
        <v>46169</v>
      </c>
      <c r="O762" s="24">
        <f>IF($N762="","",WORKDAY($N762,Settings!$C$10,HolidayDates))</f>
        <v>46209</v>
      </c>
      <c r="P762" s="10" t="s">
        <v>501</v>
      </c>
      <c r="Q762" s="52" t="str">
        <f t="shared" si="130"/>
        <v>Collected</v>
      </c>
      <c r="R762" s="55" t="str">
        <f t="shared" si="131"/>
        <v>2026-05</v>
      </c>
      <c r="S762" s="55">
        <f>IF(OR($B762="",$F762="",$R762=""),"",SUMIFS(tblIssues[Qty Issued],tblIssues[Staff ID],$B762,tblIssues[Item Name],$F762,tblIssues[Month],$R762))</f>
        <v>500</v>
      </c>
      <c r="T762" s="56">
        <f>IF($I762="","",$I762*Settings!$C$11)</f>
        <v>500</v>
      </c>
      <c r="U762" s="57" t="str">
        <f t="shared" si="129"/>
        <v>OK</v>
      </c>
      <c r="V762" s="55" t="str">
        <f t="shared" si="132"/>
        <v/>
      </c>
      <c r="W762" s="55" t="str">
        <f>IF($V762="","",IF(COUNTIF($V$5:$V762,$V762)=1,1,""))</f>
        <v/>
      </c>
      <c r="X762" s="58" t="str">
        <f>IF($W762="","",MAX($X$4:X761)+1)</f>
        <v/>
      </c>
      <c r="Y762" s="62"/>
      <c r="Z762" s="62"/>
      <c r="AA762" s="64" t="str">
        <f>IF($C762="","",IFERROR(INDEX('Staff Directory'!$E$5:$E$594,MATCH($C762,'Staff Directory'!$B$5:$B$594,0)),""))</f>
        <v>firstname232.lastname232@example.com</v>
      </c>
      <c r="AB762" s="64" t="str">
        <f>IF($C762="","",IF(ISNUMBER(SEARCH($D762,Settings!$C$15)),"Pickup","Dispatch"))</f>
        <v>Pickup</v>
      </c>
      <c r="AC762" s="64" t="str">
        <f t="shared" si="133"/>
        <v>Supply order ready for pickup</v>
      </c>
      <c r="AD762" s="64" t="str">
        <f t="shared" si="124"/>
        <v>Dear PSW,
Your order is ready for pickup from Sample Branch, Wed-Fri 9am-4pm.</v>
      </c>
      <c r="AE762" s="64" t="str">
        <f t="shared" si="125"/>
        <v>mailto:firstname232.lastname232@example.com?subject=Supply%20order%20ready%20for%20pickup&amp;body=Dear%20PSW%2C%0A%0AYour%20order%20is%20ready%20for%20pickup%20from%20Sample%20Branch%2C%20Wed-Fri%209am-4pm.</v>
      </c>
      <c r="AF762" s="89" t="str">
        <f t="shared" si="134"/>
        <v>Draft email</v>
      </c>
      <c r="AG762" s="64" t="str">
        <f>IF($C762="","",IFERROR(INDEX('Staff Directory'!$K$595:$K$599,MATCH($C762,'Staff Directory'!$B$5:$B$599,0)),$D762))</f>
        <v>PSW</v>
      </c>
      <c r="AH762" t="str">
        <f>IF($C762="","",IFERROR(INDEX('Staff Directory'!$I$595:$I$599,MATCH($C762,'Staff Directory'!$B$5:$B$599,0))&amp;" "&amp;INDEX('Staff Directory'!$J$595:$J$599,MATCH($C762,'Staff Directory'!$B$5:$B$599,0)),$AG762))</f>
        <v>PSW</v>
      </c>
      <c r="AI762" s="102"/>
      <c r="AJ762" s="101">
        <f>IF($F762="","",SUMIFS($J$5:$J762,$F$5:$F762,$F762))</f>
        <v>27500</v>
      </c>
      <c r="AK762" s="101">
        <f t="shared" si="126"/>
        <v>27001</v>
      </c>
      <c r="AL762" s="66" t="str" cm="1">
        <f t="array" ref="AL762">IF($F762="","",IFERROR(INDEX('Lot Balance'!$B$5:$B$500,MATCH(1,INDEX(('Lot Balance'!$A$5:$A$500=$F762)*('Lot Balance'!$K$5:$K$500&lt;$AK762)*('Lot Balance'!$K$5:$K$500+'Lot Balance'!$D$5:$D$500&gt;=$AK762),0),0)),""))</f>
        <v>O211LIC25-0</v>
      </c>
      <c r="AM762" s="66" t="str" cm="1">
        <f t="array" ref="AM762">IF($F762="","",IFERROR(INDEX('Lot Balance'!$B$5:$B$500,MATCH(1,INDEX(('Lot Balance'!$A$5:$A$500=$F762)*('Lot Balance'!$K$5:$K$500&lt;$AJ762)*('Lot Balance'!$K$5:$K$500+'Lot Balance'!$D$5:$D$500&gt;=$AJ762),0),0)),""))</f>
        <v>O211LIC25-1</v>
      </c>
      <c r="AN762" s="66" t="str">
        <f>IF($F762="","",IF($AI762&lt;&gt;"",IF(COUNTIFS('Lot Balance'!$A$5:$A$500,$F762,'Lot Balance'!$B$5:$B$500,$AI762)=0,"⚠ override is not a lot of this item",IF($AI762=$AL762,"Override = FEFO","Override - FEFO says "&amp;$AL762)),IF($AL762="","⚠ no receipt on file for this item",IF($AM762&lt;&gt;$AL762,"FEFO auto - split, also "&amp;$AM762,"FEFO auto"))))</f>
        <v>FEFO auto - split, also O211LIC25-1</v>
      </c>
      <c r="AO762" s="114"/>
    </row>
    <row r="763" spans="1:41" x14ac:dyDescent="0.35">
      <c r="A763" s="74">
        <v>46161</v>
      </c>
      <c r="B763" s="18" t="str">
        <f>IF($C763="","",IFERROR(INDEX('Staff Directory'!$A$5:$A$594,MATCH($C763,'Staff Directory'!$B$5:$B$594,0)),"⚠ unknown staff"))</f>
        <v>PSW-169-A6</v>
      </c>
      <c r="C763" s="49" t="s">
        <v>1148</v>
      </c>
      <c r="D763" s="19" t="str">
        <f>IF($B763="","",IFERROR(INDEX('Staff Directory'!$C$5:$C$594,MATCH($B763,'Staff Directory'!$A$5:$A$594,0)),""))</f>
        <v>PSW</v>
      </c>
      <c r="E763" s="19" t="str">
        <f>IF($B763="","",IFERROR(INDEX('Staff Directory'!$D$5:$D$594,MATCH($B763,'Staff Directory'!$A$5:$A$594,0)),""))</f>
        <v>A6</v>
      </c>
      <c r="F763" s="9" t="s">
        <v>191</v>
      </c>
      <c r="G763" s="18" t="str">
        <f>IF($F763="","",IFERROR(INDEX(Items!$B$5:$B$597,MATCH($F763,Items!$A$5:$A$597,0)),"⚠ not in Items"))</f>
        <v>Sanitizer</v>
      </c>
      <c r="H763" s="19" t="str">
        <f>IF($F763="","",IFERROR(INDEX(Items!$C$5:$C$597,MATCH($F763,Items!$A$5:$A$597,0)),""))</f>
        <v>236 ML</v>
      </c>
      <c r="I763" s="23">
        <f>IF($F763="","",IFERROR(INDEX(Items!$E$5:$E$597,MATCH($F763,Items!$A$5:$A$597,0)),""))</f>
        <v>1</v>
      </c>
      <c r="J763" s="115">
        <f>IF(tblIssues[[#This Row],[Qty Override]]&lt;&gt;"",tblIssues[[#This Row],[Qty Override]],IF(tblIssues[[#This Row],[Standard Issue]]="","",tblIssues[[#This Row],[Standard Issue]]))</f>
        <v>1</v>
      </c>
      <c r="K763" s="20">
        <f>IF($F763="","",IFERROR(INDEX(Items!$D$5:$D$597,MATCH($F763,Items!$A$5:$A$597,0)),""))</f>
        <v>1E-4</v>
      </c>
      <c r="L763" s="21">
        <f t="shared" si="127"/>
        <v>1E-4</v>
      </c>
      <c r="M763" s="9" t="str">
        <f t="shared" si="128"/>
        <v>20-21734-3</v>
      </c>
      <c r="N763" s="24">
        <f>IF($A763="","",WORKDAY($A763,Settings!$C$9,HolidayDates))</f>
        <v>46169</v>
      </c>
      <c r="O763" s="24">
        <f>IF($N763="","",WORKDAY($N763,Settings!$C$10,HolidayDates))</f>
        <v>46209</v>
      </c>
      <c r="P763" s="10" t="s">
        <v>501</v>
      </c>
      <c r="Q763" s="52" t="str">
        <f t="shared" si="130"/>
        <v>Collected</v>
      </c>
      <c r="R763" s="55" t="str">
        <f t="shared" si="131"/>
        <v>2026-05</v>
      </c>
      <c r="S763" s="55">
        <f>IF(OR($B763="",$F763="",$R763=""),"",SUMIFS(tblIssues[Qty Issued],tblIssues[Staff ID],$B763,tblIssues[Item Name],$F763,tblIssues[Month],$R763))</f>
        <v>1</v>
      </c>
      <c r="T763" s="56">
        <f>IF($I763="","",$I763*Settings!$C$11)</f>
        <v>1</v>
      </c>
      <c r="U763" s="57" t="str">
        <f t="shared" si="129"/>
        <v>OK</v>
      </c>
      <c r="V763" s="55" t="str">
        <f t="shared" si="132"/>
        <v/>
      </c>
      <c r="W763" s="55" t="str">
        <f>IF($V763="","",IF(COUNTIF($V$5:$V763,$V763)=1,1,""))</f>
        <v/>
      </c>
      <c r="X763" s="58" t="str">
        <f>IF($W763="","",MAX($X$4:X762)+1)</f>
        <v/>
      </c>
      <c r="Y763" s="62"/>
      <c r="Z763" s="62"/>
      <c r="AA763" s="64" t="str">
        <f>IF($C763="","",IFERROR(INDEX('Staff Directory'!$E$5:$E$594,MATCH($C763,'Staff Directory'!$B$5:$B$594,0)),""))</f>
        <v>firstname232.lastname232@example.com</v>
      </c>
      <c r="AB763" s="64" t="str">
        <f>IF($C763="","",IF(ISNUMBER(SEARCH($D763,Settings!$C$15)),"Pickup","Dispatch"))</f>
        <v>Pickup</v>
      </c>
      <c r="AC763" s="64" t="str">
        <f t="shared" si="133"/>
        <v>Supply order ready for pickup</v>
      </c>
      <c r="AD763" s="64" t="str">
        <f t="shared" si="124"/>
        <v>Dear PSW,
Your order is ready for pickup from Sample Branch, Wed-Fri 9am-4pm.</v>
      </c>
      <c r="AE763" s="64" t="str">
        <f t="shared" si="125"/>
        <v>mailto:firstname232.lastname232@example.com?subject=Supply%20order%20ready%20for%20pickup&amp;body=Dear%20PSW%2C%0A%0AYour%20order%20is%20ready%20for%20pickup%20from%20Sample%20Branch%2C%20Wed-Fri%209am-4pm.</v>
      </c>
      <c r="AF763" s="89" t="str">
        <f t="shared" si="134"/>
        <v>Draft email</v>
      </c>
      <c r="AG763" s="64" t="str">
        <f>IF($C763="","",IFERROR(INDEX('Staff Directory'!$K$595:$K$599,MATCH($C763,'Staff Directory'!$B$5:$B$599,0)),$D763))</f>
        <v>PSW</v>
      </c>
      <c r="AH763" t="str">
        <f>IF($C763="","",IFERROR(INDEX('Staff Directory'!$I$595:$I$599,MATCH($C763,'Staff Directory'!$B$5:$B$599,0))&amp;" "&amp;INDEX('Staff Directory'!$J$595:$J$599,MATCH($C763,'Staff Directory'!$B$5:$B$599,0)),$AG763))</f>
        <v>PSW</v>
      </c>
      <c r="AI763" s="102"/>
      <c r="AJ763" s="101">
        <f>IF($F763="","",SUMIFS($J$5:$J763,$F$5:$F763,$F763))</f>
        <v>93</v>
      </c>
      <c r="AK763" s="101">
        <f t="shared" si="126"/>
        <v>93</v>
      </c>
      <c r="AL763" s="66" t="str" cm="1">
        <f t="array" ref="AL763">IF($F763="","",IFERROR(INDEX('Lot Balance'!$B$5:$B$500,MATCH(1,INDEX(('Lot Balance'!$A$5:$A$500=$F763)*('Lot Balance'!$K$5:$K$500&lt;$AK763)*('Lot Balance'!$K$5:$K$500+'Lot Balance'!$D$5:$D$500&gt;=$AK763),0),0)),""))</f>
        <v>20-21734-3</v>
      </c>
      <c r="AM763" s="66" t="str" cm="1">
        <f t="array" ref="AM763">IF($F763="","",IFERROR(INDEX('Lot Balance'!$B$5:$B$500,MATCH(1,INDEX(('Lot Balance'!$A$5:$A$500=$F763)*('Lot Balance'!$K$5:$K$500&lt;$AJ763)*('Lot Balance'!$K$5:$K$500+'Lot Balance'!$D$5:$D$500&gt;=$AJ763),0),0)),""))</f>
        <v>20-21734-3</v>
      </c>
      <c r="AN763" s="66" t="str">
        <f>IF($F763="","",IF($AI763&lt;&gt;"",IF(COUNTIFS('Lot Balance'!$A$5:$A$500,$F763,'Lot Balance'!$B$5:$B$500,$AI763)=0,"⚠ override is not a lot of this item",IF($AI763=$AL763,"Override = FEFO","Override - FEFO says "&amp;$AL763)),IF($AL763="","⚠ no receipt on file for this item",IF($AM763&lt;&gt;$AL763,"FEFO auto - split, also "&amp;$AM763,"FEFO auto"))))</f>
        <v>FEFO auto</v>
      </c>
      <c r="AO763" s="114"/>
    </row>
    <row r="764" spans="1:41" x14ac:dyDescent="0.35">
      <c r="A764" s="74">
        <v>46161</v>
      </c>
      <c r="B764" s="18" t="str">
        <f>IF($C764="","",IFERROR(INDEX('Staff Directory'!$A$5:$A$594,MATCH($C764,'Staff Directory'!$B$5:$B$594,0)),"⚠ unknown staff"))</f>
        <v>PSW-169-A6</v>
      </c>
      <c r="C764" s="49" t="s">
        <v>1148</v>
      </c>
      <c r="D764" s="19" t="str">
        <f>IF($B764="","",IFERROR(INDEX('Staff Directory'!$C$5:$C$594,MATCH($B764,'Staff Directory'!$A$5:$A$594,0)),""))</f>
        <v>PSW</v>
      </c>
      <c r="E764" s="19" t="str">
        <f>IF($B764="","",IFERROR(INDEX('Staff Directory'!$D$5:$D$594,MATCH($B764,'Staff Directory'!$A$5:$A$594,0)),""))</f>
        <v>A6</v>
      </c>
      <c r="F764" s="9" t="s">
        <v>115</v>
      </c>
      <c r="G764" s="18" t="str">
        <f>IF($F764="","",IFERROR(INDEX(Items!$B$5:$B$597,MATCH($F764,Items!$A$5:$A$597,0)),"⚠ not in Items"))</f>
        <v>Wipes</v>
      </c>
      <c r="H764" s="19">
        <f>IF($F764="","",IFERROR(INDEX(Items!$C$5:$C$597,MATCH($F764,Items!$A$5:$A$597,0)),""))</f>
        <v>80</v>
      </c>
      <c r="I764" s="23">
        <f>IF($F764="","",IFERROR(INDEX(Items!$E$5:$E$597,MATCH($F764,Items!$A$5:$A$597,0)),""))</f>
        <v>80</v>
      </c>
      <c r="J764" s="115">
        <f>IF(tblIssues[[#This Row],[Qty Override]]&lt;&gt;"",tblIssues[[#This Row],[Qty Override]],IF(tblIssues[[#This Row],[Standard Issue]]="","",tblIssues[[#This Row],[Standard Issue]]))</f>
        <v>80</v>
      </c>
      <c r="K764" s="20">
        <f>IF($F764="","",IFERROR(INDEX(Items!$D$5:$D$597,MATCH($F764,Items!$A$5:$A$597,0)),""))</f>
        <v>0.1</v>
      </c>
      <c r="L764" s="21">
        <f t="shared" si="127"/>
        <v>8</v>
      </c>
      <c r="M764" s="9" t="str">
        <f t="shared" si="128"/>
        <v>LYSL500290</v>
      </c>
      <c r="N764" s="24">
        <f>IF($A764="","",WORKDAY($A764,Settings!$C$9,HolidayDates))</f>
        <v>46169</v>
      </c>
      <c r="O764" s="24">
        <f>IF($N764="","",WORKDAY($N764,Settings!$C$10,HolidayDates))</f>
        <v>46209</v>
      </c>
      <c r="P764" s="10" t="s">
        <v>501</v>
      </c>
      <c r="Q764" s="52" t="str">
        <f t="shared" si="130"/>
        <v>Collected</v>
      </c>
      <c r="R764" s="55" t="str">
        <f t="shared" si="131"/>
        <v>2026-05</v>
      </c>
      <c r="S764" s="55">
        <f>IF(OR($B764="",$F764="",$R764=""),"",SUMIFS(tblIssues[Qty Issued],tblIssues[Staff ID],$B764,tblIssues[Item Name],$F764,tblIssues[Month],$R764))</f>
        <v>80</v>
      </c>
      <c r="T764" s="56">
        <f>IF($I764="","",$I764*Settings!$C$11)</f>
        <v>80</v>
      </c>
      <c r="U764" s="57" t="str">
        <f t="shared" si="129"/>
        <v>OK</v>
      </c>
      <c r="V764" s="55" t="str">
        <f t="shared" si="132"/>
        <v/>
      </c>
      <c r="W764" s="55" t="str">
        <f>IF($V764="","",IF(COUNTIF($V$5:$V764,$V764)=1,1,""))</f>
        <v/>
      </c>
      <c r="X764" s="58" t="str">
        <f>IF($W764="","",MAX($X$4:X763)+1)</f>
        <v/>
      </c>
      <c r="Y764" s="62"/>
      <c r="Z764" s="62"/>
      <c r="AA764" s="64" t="str">
        <f>IF($C764="","",IFERROR(INDEX('Staff Directory'!$E$5:$E$594,MATCH($C764,'Staff Directory'!$B$5:$B$594,0)),""))</f>
        <v>firstname232.lastname232@example.com</v>
      </c>
      <c r="AB764" s="64" t="str">
        <f>IF($C764="","",IF(ISNUMBER(SEARCH($D764,Settings!$C$15)),"Pickup","Dispatch"))</f>
        <v>Pickup</v>
      </c>
      <c r="AC764" s="64" t="str">
        <f t="shared" si="133"/>
        <v>Supply order ready for pickup</v>
      </c>
      <c r="AD764" s="64" t="str">
        <f t="shared" si="124"/>
        <v>Dear PSW,
Your order is ready for pickup from Sample Branch, Wed-Fri 9am-4pm.</v>
      </c>
      <c r="AE764" s="64" t="str">
        <f t="shared" si="125"/>
        <v>mailto:firstname232.lastname232@example.com?subject=Supply%20order%20ready%20for%20pickup&amp;body=Dear%20PSW%2C%0A%0AYour%20order%20is%20ready%20for%20pickup%20from%20Sample%20Branch%2C%20Wed-Fri%209am-4pm.</v>
      </c>
      <c r="AF764" s="89" t="str">
        <f t="shared" si="134"/>
        <v>Draft email</v>
      </c>
      <c r="AG764" s="64" t="str">
        <f>IF($C764="","",IFERROR(INDEX('Staff Directory'!$K$595:$K$599,MATCH($C764,'Staff Directory'!$B$5:$B$599,0)),$D764))</f>
        <v>PSW</v>
      </c>
      <c r="AH764" t="str">
        <f>IF($C764="","",IFERROR(INDEX('Staff Directory'!$I$595:$I$599,MATCH($C764,'Staff Directory'!$B$5:$B$599,0))&amp;" "&amp;INDEX('Staff Directory'!$J$595:$J$599,MATCH($C764,'Staff Directory'!$B$5:$B$599,0)),$AG764))</f>
        <v>PSW</v>
      </c>
      <c r="AI764" s="102"/>
      <c r="AJ764" s="101">
        <f>IF($F764="","",SUMIFS($J$5:$J764,$F$5:$F764,$F764))</f>
        <v>10640</v>
      </c>
      <c r="AK764" s="101">
        <f t="shared" si="126"/>
        <v>10561</v>
      </c>
      <c r="AL764" s="66" t="str" cm="1">
        <f t="array" ref="AL764">IF($F764="","",IFERROR(INDEX('Lot Balance'!$B$5:$B$500,MATCH(1,INDEX(('Lot Balance'!$A$5:$A$500=$F764)*('Lot Balance'!$K$5:$K$500&lt;$AK764)*('Lot Balance'!$K$5:$K$500+'Lot Balance'!$D$5:$D$500&gt;=$AK764),0),0)),""))</f>
        <v>LYSL500290</v>
      </c>
      <c r="AM764" s="66" t="str" cm="1">
        <f t="array" ref="AM764">IF($F764="","",IFERROR(INDEX('Lot Balance'!$B$5:$B$500,MATCH(1,INDEX(('Lot Balance'!$A$5:$A$500=$F764)*('Lot Balance'!$K$5:$K$500&lt;$AJ764)*('Lot Balance'!$K$5:$K$500+'Lot Balance'!$D$5:$D$500&gt;=$AJ764),0),0)),""))</f>
        <v>LYSL500290</v>
      </c>
      <c r="AN764" s="66" t="str">
        <f>IF($F764="","",IF($AI764&lt;&gt;"",IF(COUNTIFS('Lot Balance'!$A$5:$A$500,$F764,'Lot Balance'!$B$5:$B$500,$AI764)=0,"⚠ override is not a lot of this item",IF($AI764=$AL764,"Override = FEFO","Override - FEFO says "&amp;$AL764)),IF($AL764="","⚠ no receipt on file for this item",IF($AM764&lt;&gt;$AL764,"FEFO auto - split, also "&amp;$AM764,"FEFO auto"))))</f>
        <v>FEFO auto</v>
      </c>
      <c r="AO764" s="114"/>
    </row>
    <row r="765" spans="1:41" x14ac:dyDescent="0.35">
      <c r="A765" s="74">
        <v>46161</v>
      </c>
      <c r="B765" s="18" t="str">
        <f>IF($C765="","",IFERROR(INDEX('Staff Directory'!$A$5:$A$594,MATCH($C765,'Staff Directory'!$B$5:$B$594,0)),"⚠ unknown staff"))</f>
        <v>PSW-169-A6</v>
      </c>
      <c r="C765" s="49" t="s">
        <v>1148</v>
      </c>
      <c r="D765" s="19" t="str">
        <f>IF($B765="","",IFERROR(INDEX('Staff Directory'!$C$5:$C$594,MATCH($B765,'Staff Directory'!$A$5:$A$594,0)),""))</f>
        <v>PSW</v>
      </c>
      <c r="E765" s="19" t="str">
        <f>IF($B765="","",IFERROR(INDEX('Staff Directory'!$D$5:$D$594,MATCH($B765,'Staff Directory'!$A$5:$A$594,0)),""))</f>
        <v>A6</v>
      </c>
      <c r="F765" s="9" t="s">
        <v>156</v>
      </c>
      <c r="G765" s="18" t="str">
        <f>IF($F765="","",IFERROR(INDEX(Items!$B$5:$B$597,MATCH($F765,Items!$A$5:$A$597,0)),"⚠ not in Items"))</f>
        <v>Masks</v>
      </c>
      <c r="H765" s="19" t="str">
        <f>IF($F765="","",IFERROR(INDEX(Items!$C$5:$C$597,MATCH($F765,Items!$A$5:$A$597,0)),""))</f>
        <v>One Size</v>
      </c>
      <c r="I765" s="23">
        <f>IF($F765="","",IFERROR(INDEX(Items!$E$5:$E$597,MATCH($F765,Items!$A$5:$A$597,0)),""))</f>
        <v>50</v>
      </c>
      <c r="J765" s="115">
        <f>IF(tblIssues[[#This Row],[Qty Override]]&lt;&gt;"",tblIssues[[#This Row],[Qty Override]],IF(tblIssues[[#This Row],[Standard Issue]]="","",tblIssues[[#This Row],[Standard Issue]]))</f>
        <v>50</v>
      </c>
      <c r="K765" s="20">
        <f>IF($F765="","",IFERROR(INDEX(Items!$D$5:$D$597,MATCH($F765,Items!$A$5:$A$597,0)),""))</f>
        <v>0.25</v>
      </c>
      <c r="L765" s="21">
        <f t="shared" si="127"/>
        <v>12.5</v>
      </c>
      <c r="M765" s="9" t="str">
        <f t="shared" si="128"/>
        <v>0125FPC24-1</v>
      </c>
      <c r="N765" s="24">
        <f>IF($A765="","",WORKDAY($A765,Settings!$C$9,HolidayDates))</f>
        <v>46169</v>
      </c>
      <c r="O765" s="24">
        <f>IF($N765="","",WORKDAY($N765,Settings!$C$10,HolidayDates))</f>
        <v>46209</v>
      </c>
      <c r="P765" s="10" t="s">
        <v>501</v>
      </c>
      <c r="Q765" s="52" t="str">
        <f t="shared" si="130"/>
        <v>Collected</v>
      </c>
      <c r="R765" s="55" t="str">
        <f t="shared" si="131"/>
        <v>2026-05</v>
      </c>
      <c r="S765" s="55">
        <f>IF(OR($B765="",$F765="",$R765=""),"",SUMIFS(tblIssues[Qty Issued],tblIssues[Staff ID],$B765,tblIssues[Item Name],$F765,tblIssues[Month],$R765))</f>
        <v>50</v>
      </c>
      <c r="T765" s="56">
        <f>IF($I765="","",$I765*Settings!$C$11)</f>
        <v>50</v>
      </c>
      <c r="U765" s="57" t="str">
        <f t="shared" si="129"/>
        <v>OK</v>
      </c>
      <c r="V765" s="55" t="str">
        <f t="shared" si="132"/>
        <v/>
      </c>
      <c r="W765" s="55" t="str">
        <f>IF($V765="","",IF(COUNTIF($V$5:$V765,$V765)=1,1,""))</f>
        <v/>
      </c>
      <c r="X765" s="58" t="str">
        <f>IF($W765="","",MAX($X$4:X764)+1)</f>
        <v/>
      </c>
      <c r="Y765" s="62"/>
      <c r="Z765" s="62"/>
      <c r="AA765" s="64" t="str">
        <f>IF($C765="","",IFERROR(INDEX('Staff Directory'!$E$5:$E$594,MATCH($C765,'Staff Directory'!$B$5:$B$594,0)),""))</f>
        <v>firstname232.lastname232@example.com</v>
      </c>
      <c r="AB765" s="64" t="str">
        <f>IF($C765="","",IF(ISNUMBER(SEARCH($D765,Settings!$C$15)),"Pickup","Dispatch"))</f>
        <v>Pickup</v>
      </c>
      <c r="AC765" s="64" t="str">
        <f t="shared" si="133"/>
        <v>Supply order ready for pickup</v>
      </c>
      <c r="AD765" s="64" t="str">
        <f t="shared" si="124"/>
        <v>Dear PSW,
Your order is ready for pickup from Sample Branch, Wed-Fri 9am-4pm.</v>
      </c>
      <c r="AE765" s="64" t="str">
        <f t="shared" si="125"/>
        <v>mailto:firstname232.lastname232@example.com?subject=Supply%20order%20ready%20for%20pickup&amp;body=Dear%20PSW%2C%0A%0AYour%20order%20is%20ready%20for%20pickup%20from%20Sample%20Branch%2C%20Wed-Fri%209am-4pm.</v>
      </c>
      <c r="AF765" s="89" t="str">
        <f t="shared" si="134"/>
        <v>Draft email</v>
      </c>
      <c r="AG765" s="64" t="str">
        <f>IF($C765="","",IFERROR(INDEX('Staff Directory'!$K$595:$K$599,MATCH($C765,'Staff Directory'!$B$5:$B$599,0)),$D765))</f>
        <v>PSW</v>
      </c>
      <c r="AH765" t="str">
        <f>IF($C765="","",IFERROR(INDEX('Staff Directory'!$I$595:$I$599,MATCH($C765,'Staff Directory'!$B$5:$B$599,0))&amp;" "&amp;INDEX('Staff Directory'!$J$595:$J$599,MATCH($C765,'Staff Directory'!$B$5:$B$599,0)),$AG765))</f>
        <v>PSW</v>
      </c>
      <c r="AI765" s="102"/>
      <c r="AJ765" s="101">
        <f>IF($F765="","",SUMIFS($J$5:$J765,$F$5:$F765,$F765))</f>
        <v>6300</v>
      </c>
      <c r="AK765" s="101">
        <f t="shared" si="126"/>
        <v>6251</v>
      </c>
      <c r="AL765" s="66" t="str" cm="1">
        <f t="array" ref="AL765">IF($F765="","",IFERROR(INDEX('Lot Balance'!$B$5:$B$500,MATCH(1,INDEX(('Lot Balance'!$A$5:$A$500=$F765)*('Lot Balance'!$K$5:$K$500&lt;$AK765)*('Lot Balance'!$K$5:$K$500+'Lot Balance'!$D$5:$D$500&gt;=$AK765),0),0)),""))</f>
        <v>0125FPC24-1</v>
      </c>
      <c r="AM765" s="66" t="str" cm="1">
        <f t="array" ref="AM765">IF($F765="","",IFERROR(INDEX('Lot Balance'!$B$5:$B$500,MATCH(1,INDEX(('Lot Balance'!$A$5:$A$500=$F765)*('Lot Balance'!$K$5:$K$500&lt;$AJ765)*('Lot Balance'!$K$5:$K$500+'Lot Balance'!$D$5:$D$500&gt;=$AJ765),0),0)),""))</f>
        <v>0125FPC24-1</v>
      </c>
      <c r="AN765" s="66" t="str">
        <f>IF($F765="","",IF($AI765&lt;&gt;"",IF(COUNTIFS('Lot Balance'!$A$5:$A$500,$F765,'Lot Balance'!$B$5:$B$500,$AI765)=0,"⚠ override is not a lot of this item",IF($AI765=$AL765,"Override = FEFO","Override - FEFO says "&amp;$AL765)),IF($AL765="","⚠ no receipt on file for this item",IF($AM765&lt;&gt;$AL765,"FEFO auto - split, also "&amp;$AM765,"FEFO auto"))))</f>
        <v>FEFO auto</v>
      </c>
      <c r="AO765" s="114"/>
    </row>
    <row r="766" spans="1:41" x14ac:dyDescent="0.35">
      <c r="A766" s="74">
        <v>46162</v>
      </c>
      <c r="B766" s="18" t="str">
        <f>IF($C766="","",IFERROR(INDEX('Staff Directory'!$A$5:$A$594,MATCH($C766,'Staff Directory'!$B$5:$B$594,0)),"⚠ unknown staff"))</f>
        <v>RN-020-A2</v>
      </c>
      <c r="C766" s="49" t="s">
        <v>939</v>
      </c>
      <c r="D766" s="19" t="str">
        <f>IF($B766="","",IFERROR(INDEX('Staff Directory'!$C$5:$C$594,MATCH($B766,'Staff Directory'!$A$5:$A$594,0)),""))</f>
        <v>RN</v>
      </c>
      <c r="E766" s="19" t="str">
        <f>IF($B766="","",IFERROR(INDEX('Staff Directory'!$D$5:$D$594,MATCH($B766,'Staff Directory'!$A$5:$A$594,0)),""))</f>
        <v>A2</v>
      </c>
      <c r="F766" s="9" t="s">
        <v>124</v>
      </c>
      <c r="G766" s="18" t="str">
        <f>IF($F766="","",IFERROR(INDEX(Items!$B$5:$B$597,MATCH($F766,Items!$A$5:$A$597,0)),"⚠ not in Items"))</f>
        <v>Gloves</v>
      </c>
      <c r="H766" s="19" t="str">
        <f>IF($F766="","",IFERROR(INDEX(Items!$C$5:$C$597,MATCH($F766,Items!$A$5:$A$597,0)),""))</f>
        <v>Large</v>
      </c>
      <c r="I766" s="23">
        <f>IF($F766="","",IFERROR(INDEX(Items!$E$5:$E$597,MATCH($F766,Items!$A$5:$A$597,0)),""))</f>
        <v>500</v>
      </c>
      <c r="J766" s="115">
        <f>IF(tblIssues[[#This Row],[Qty Override]]&lt;&gt;"",tblIssues[[#This Row],[Qty Override]],IF(tblIssues[[#This Row],[Standard Issue]]="","",tblIssues[[#This Row],[Standard Issue]]))</f>
        <v>500</v>
      </c>
      <c r="K766" s="20">
        <f>IF($F766="","",IFERROR(INDEX(Items!$D$5:$D$597,MATCH($F766,Items!$A$5:$A$597,0)),""))</f>
        <v>5.5E-2</v>
      </c>
      <c r="L766" s="21">
        <f t="shared" si="127"/>
        <v>27.5</v>
      </c>
      <c r="M766" s="9" t="str">
        <f t="shared" si="128"/>
        <v>0417HIC25-1</v>
      </c>
      <c r="N766" s="24">
        <f>IF($A766="","",WORKDAY($A766,Settings!$C$9,HolidayDates))</f>
        <v>46170</v>
      </c>
      <c r="O766" s="24">
        <f>IF($N766="","",WORKDAY($N766,Settings!$C$10,HolidayDates))</f>
        <v>46210</v>
      </c>
      <c r="P766" s="10" t="s">
        <v>502</v>
      </c>
      <c r="Q766" s="52" t="str">
        <f t="shared" si="130"/>
        <v>Collected</v>
      </c>
      <c r="R766" s="55" t="str">
        <f t="shared" si="131"/>
        <v>2026-05</v>
      </c>
      <c r="S766" s="55">
        <f>IF(OR($B766="",$F766="",$R766=""),"",SUMIFS(tblIssues[Qty Issued],tblIssues[Staff ID],$B766,tblIssues[Item Name],$F766,tblIssues[Month],$R766))</f>
        <v>500</v>
      </c>
      <c r="T766" s="56">
        <f>IF($I766="","",$I766*Settings!$C$11)</f>
        <v>500</v>
      </c>
      <c r="U766" s="57" t="str">
        <f t="shared" si="129"/>
        <v>OK</v>
      </c>
      <c r="V766" s="55" t="str">
        <f t="shared" si="132"/>
        <v/>
      </c>
      <c r="W766" s="55" t="str">
        <f>IF($V766="","",IF(COUNTIF($V$5:$V766,$V766)=1,1,""))</f>
        <v/>
      </c>
      <c r="X766" s="58" t="str">
        <f>IF($W766="","",MAX($X$4:X765)+1)</f>
        <v/>
      </c>
      <c r="Y766" s="62"/>
      <c r="Z766" s="62"/>
      <c r="AA766" s="64" t="str">
        <f>IF($C766="","",IFERROR(INDEX('Staff Directory'!$E$5:$E$594,MATCH($C766,'Staff Directory'!$B$5:$B$594,0)),""))</f>
        <v>firstname023.lastname023@example.com</v>
      </c>
      <c r="AB766" s="64" t="str">
        <f>IF($C766="","",IF(ISNUMBER(SEARCH($D766,Settings!$C$15)),"Pickup","Dispatch"))</f>
        <v>Dispatch</v>
      </c>
      <c r="AC766" s="64" t="str">
        <f t="shared" si="133"/>
        <v>Supply order dispatched</v>
      </c>
      <c r="AD766" s="64" t="str">
        <f t="shared" si="124"/>
        <v>Dear RN,
Your order has been dispatched and is in transit. Reply if undelivered.</v>
      </c>
      <c r="AE766" s="64" t="str">
        <f t="shared" si="125"/>
        <v>mailto:firstname023.lastname023@example.com?subject=Supply%20order%20dispatched&amp;body=Dear%20RN%2C%0A%0AYour%20order%20has%20been%20dispatched%20and%20is%20in%20transit.%20Reply%20if%20undelivered.</v>
      </c>
      <c r="AF766" s="89" t="str">
        <f t="shared" si="134"/>
        <v>Draft email</v>
      </c>
      <c r="AG766" s="64" t="str">
        <f>IF($C766="","",IFERROR(INDEX('Staff Directory'!$K$595:$K$599,MATCH($C766,'Staff Directory'!$B$5:$B$599,0)),$D766))</f>
        <v>RN</v>
      </c>
      <c r="AH766" t="str">
        <f>IF($C766="","",IFERROR(INDEX('Staff Directory'!$I$595:$I$599,MATCH($C766,'Staff Directory'!$B$5:$B$599,0))&amp;" "&amp;INDEX('Staff Directory'!$J$595:$J$599,MATCH($C766,'Staff Directory'!$B$5:$B$599,0)),$AG766))</f>
        <v>RN</v>
      </c>
      <c r="AI766" s="102"/>
      <c r="AJ766" s="101">
        <f>IF($F766="","",SUMIFS($J$5:$J766,$F$5:$F766,$F766))</f>
        <v>20000</v>
      </c>
      <c r="AK766" s="101">
        <f t="shared" si="126"/>
        <v>19501</v>
      </c>
      <c r="AL766" s="66" t="str" cm="1">
        <f t="array" ref="AL766">IF($F766="","",IFERROR(INDEX('Lot Balance'!$B$5:$B$500,MATCH(1,INDEX(('Lot Balance'!$A$5:$A$500=$F766)*('Lot Balance'!$K$5:$K$500&lt;$AK766)*('Lot Balance'!$K$5:$K$500+'Lot Balance'!$D$5:$D$500&gt;=$AK766),0),0)),""))</f>
        <v>0417HIC25-1</v>
      </c>
      <c r="AM766" s="66" t="str" cm="1">
        <f t="array" ref="AM766">IF($F766="","",IFERROR(INDEX('Lot Balance'!$B$5:$B$500,MATCH(1,INDEX(('Lot Balance'!$A$5:$A$500=$F766)*('Lot Balance'!$K$5:$K$500&lt;$AJ766)*('Lot Balance'!$K$5:$K$500+'Lot Balance'!$D$5:$D$500&gt;=$AJ766),0),0)),""))</f>
        <v>0417HIC25-1</v>
      </c>
      <c r="AN766" s="66" t="str">
        <f>IF($F766="","",IF($AI766&lt;&gt;"",IF(COUNTIFS('Lot Balance'!$A$5:$A$500,$F766,'Lot Balance'!$B$5:$B$500,$AI766)=0,"⚠ override is not a lot of this item",IF($AI766=$AL766,"Override = FEFO","Override - FEFO says "&amp;$AL766)),IF($AL766="","⚠ no receipt on file for this item",IF($AM766&lt;&gt;$AL766,"FEFO auto - split, also "&amp;$AM766,"FEFO auto"))))</f>
        <v>FEFO auto</v>
      </c>
      <c r="AO766" s="114"/>
    </row>
    <row r="767" spans="1:41" x14ac:dyDescent="0.35">
      <c r="A767" s="74">
        <v>46162</v>
      </c>
      <c r="B767" s="18" t="str">
        <f>IF($C767="","",IFERROR(INDEX('Staff Directory'!$A$5:$A$594,MATCH($C767,'Staff Directory'!$B$5:$B$594,0)),"⚠ unknown staff"))</f>
        <v>RN-020-A2</v>
      </c>
      <c r="C767" s="49" t="s">
        <v>939</v>
      </c>
      <c r="D767" s="19" t="str">
        <f>IF($B767="","",IFERROR(INDEX('Staff Directory'!$C$5:$C$594,MATCH($B767,'Staff Directory'!$A$5:$A$594,0)),""))</f>
        <v>RN</v>
      </c>
      <c r="E767" s="19" t="str">
        <f>IF($B767="","",IFERROR(INDEX('Staff Directory'!$D$5:$D$594,MATCH($B767,'Staff Directory'!$A$5:$A$594,0)),""))</f>
        <v>A2</v>
      </c>
      <c r="F767" s="9" t="s">
        <v>191</v>
      </c>
      <c r="G767" s="18" t="str">
        <f>IF($F767="","",IFERROR(INDEX(Items!$B$5:$B$597,MATCH($F767,Items!$A$5:$A$597,0)),"⚠ not in Items"))</f>
        <v>Sanitizer</v>
      </c>
      <c r="H767" s="19" t="str">
        <f>IF($F767="","",IFERROR(INDEX(Items!$C$5:$C$597,MATCH($F767,Items!$A$5:$A$597,0)),""))</f>
        <v>236 ML</v>
      </c>
      <c r="I767" s="23">
        <f>IF($F767="","",IFERROR(INDEX(Items!$E$5:$E$597,MATCH($F767,Items!$A$5:$A$597,0)),""))</f>
        <v>1</v>
      </c>
      <c r="J767" s="115">
        <f>IF(tblIssues[[#This Row],[Qty Override]]&lt;&gt;"",tblIssues[[#This Row],[Qty Override]],IF(tblIssues[[#This Row],[Standard Issue]]="","",tblIssues[[#This Row],[Standard Issue]]))</f>
        <v>1</v>
      </c>
      <c r="K767" s="20">
        <f>IF($F767="","",IFERROR(INDEX(Items!$D$5:$D$597,MATCH($F767,Items!$A$5:$A$597,0)),""))</f>
        <v>1E-4</v>
      </c>
      <c r="L767" s="21">
        <f t="shared" si="127"/>
        <v>1E-4</v>
      </c>
      <c r="M767" s="9" t="str">
        <f t="shared" si="128"/>
        <v>20-21734-3</v>
      </c>
      <c r="N767" s="24">
        <f>IF($A767="","",WORKDAY($A767,Settings!$C$9,HolidayDates))</f>
        <v>46170</v>
      </c>
      <c r="O767" s="24">
        <f>IF($N767="","",WORKDAY($N767,Settings!$C$10,HolidayDates))</f>
        <v>46210</v>
      </c>
      <c r="P767" s="10" t="s">
        <v>502</v>
      </c>
      <c r="Q767" s="52" t="str">
        <f t="shared" si="130"/>
        <v>Collected</v>
      </c>
      <c r="R767" s="55" t="str">
        <f t="shared" si="131"/>
        <v>2026-05</v>
      </c>
      <c r="S767" s="55">
        <f>IF(OR($B767="",$F767="",$R767=""),"",SUMIFS(tblIssues[Qty Issued],tblIssues[Staff ID],$B767,tblIssues[Item Name],$F767,tblIssues[Month],$R767))</f>
        <v>1</v>
      </c>
      <c r="T767" s="56">
        <f>IF($I767="","",$I767*Settings!$C$11)</f>
        <v>1</v>
      </c>
      <c r="U767" s="57" t="str">
        <f t="shared" si="129"/>
        <v>OK</v>
      </c>
      <c r="V767" s="55" t="str">
        <f t="shared" si="132"/>
        <v/>
      </c>
      <c r="W767" s="55" t="str">
        <f>IF($V767="","",IF(COUNTIF($V$5:$V767,$V767)=1,1,""))</f>
        <v/>
      </c>
      <c r="X767" s="58" t="str">
        <f>IF($W767="","",MAX($X$4:X766)+1)</f>
        <v/>
      </c>
      <c r="Y767" s="62"/>
      <c r="Z767" s="62"/>
      <c r="AA767" s="64" t="str">
        <f>IF($C767="","",IFERROR(INDEX('Staff Directory'!$E$5:$E$594,MATCH($C767,'Staff Directory'!$B$5:$B$594,0)),""))</f>
        <v>firstname023.lastname023@example.com</v>
      </c>
      <c r="AB767" s="64" t="str">
        <f>IF($C767="","",IF(ISNUMBER(SEARCH($D767,Settings!$C$15)),"Pickup","Dispatch"))</f>
        <v>Dispatch</v>
      </c>
      <c r="AC767" s="64" t="str">
        <f t="shared" si="133"/>
        <v>Supply order dispatched</v>
      </c>
      <c r="AD767" s="64" t="str">
        <f t="shared" si="124"/>
        <v>Dear RN,
Your order has been dispatched and is in transit. Reply if undelivered.</v>
      </c>
      <c r="AE767" s="64" t="str">
        <f t="shared" si="125"/>
        <v>mailto:firstname023.lastname023@example.com?subject=Supply%20order%20dispatched&amp;body=Dear%20RN%2C%0A%0AYour%20order%20has%20been%20dispatched%20and%20is%20in%20transit.%20Reply%20if%20undelivered.</v>
      </c>
      <c r="AF767" s="89" t="str">
        <f t="shared" si="134"/>
        <v>Draft email</v>
      </c>
      <c r="AG767" s="64" t="str">
        <f>IF($C767="","",IFERROR(INDEX('Staff Directory'!$K$595:$K$599,MATCH($C767,'Staff Directory'!$B$5:$B$599,0)),$D767))</f>
        <v>RN</v>
      </c>
      <c r="AH767" t="str">
        <f>IF($C767="","",IFERROR(INDEX('Staff Directory'!$I$595:$I$599,MATCH($C767,'Staff Directory'!$B$5:$B$599,0))&amp;" "&amp;INDEX('Staff Directory'!$J$595:$J$599,MATCH($C767,'Staff Directory'!$B$5:$B$599,0)),$AG767))</f>
        <v>RN</v>
      </c>
      <c r="AI767" s="102"/>
      <c r="AJ767" s="101">
        <f>IF($F767="","",SUMIFS($J$5:$J767,$F$5:$F767,$F767))</f>
        <v>94</v>
      </c>
      <c r="AK767" s="101">
        <f t="shared" si="126"/>
        <v>94</v>
      </c>
      <c r="AL767" s="66" t="str" cm="1">
        <f t="array" ref="AL767">IF($F767="","",IFERROR(INDEX('Lot Balance'!$B$5:$B$500,MATCH(1,INDEX(('Lot Balance'!$A$5:$A$500=$F767)*('Lot Balance'!$K$5:$K$500&lt;$AK767)*('Lot Balance'!$K$5:$K$500+'Lot Balance'!$D$5:$D$500&gt;=$AK767),0),0)),""))</f>
        <v>20-21734-3</v>
      </c>
      <c r="AM767" s="66" t="str" cm="1">
        <f t="array" ref="AM767">IF($F767="","",IFERROR(INDEX('Lot Balance'!$B$5:$B$500,MATCH(1,INDEX(('Lot Balance'!$A$5:$A$500=$F767)*('Lot Balance'!$K$5:$K$500&lt;$AJ767)*('Lot Balance'!$K$5:$K$500+'Lot Balance'!$D$5:$D$500&gt;=$AJ767),0),0)),""))</f>
        <v>20-21734-3</v>
      </c>
      <c r="AN767" s="66" t="str">
        <f>IF($F767="","",IF($AI767&lt;&gt;"",IF(COUNTIFS('Lot Balance'!$A$5:$A$500,$F767,'Lot Balance'!$B$5:$B$500,$AI767)=0,"⚠ override is not a lot of this item",IF($AI767=$AL767,"Override = FEFO","Override - FEFO says "&amp;$AL767)),IF($AL767="","⚠ no receipt on file for this item",IF($AM767&lt;&gt;$AL767,"FEFO auto - split, also "&amp;$AM767,"FEFO auto"))))</f>
        <v>FEFO auto</v>
      </c>
      <c r="AO767" s="114"/>
    </row>
    <row r="768" spans="1:41" x14ac:dyDescent="0.35">
      <c r="A768" s="74">
        <v>46162</v>
      </c>
      <c r="B768" s="18" t="str">
        <f>IF($C768="","",IFERROR(INDEX('Staff Directory'!$A$5:$A$594,MATCH($C768,'Staff Directory'!$B$5:$B$594,0)),"⚠ unknown staff"))</f>
        <v>RN-020-A2</v>
      </c>
      <c r="C768" s="49" t="s">
        <v>939</v>
      </c>
      <c r="D768" s="19" t="str">
        <f>IF($B768="","",IFERROR(INDEX('Staff Directory'!$C$5:$C$594,MATCH($B768,'Staff Directory'!$A$5:$A$594,0)),""))</f>
        <v>RN</v>
      </c>
      <c r="E768" s="19" t="str">
        <f>IF($B768="","",IFERROR(INDEX('Staff Directory'!$D$5:$D$594,MATCH($B768,'Staff Directory'!$A$5:$A$594,0)),""))</f>
        <v>A2</v>
      </c>
      <c r="F768" s="9" t="s">
        <v>115</v>
      </c>
      <c r="G768" s="18" t="str">
        <f>IF($F768="","",IFERROR(INDEX(Items!$B$5:$B$597,MATCH($F768,Items!$A$5:$A$597,0)),"⚠ not in Items"))</f>
        <v>Wipes</v>
      </c>
      <c r="H768" s="19">
        <f>IF($F768="","",IFERROR(INDEX(Items!$C$5:$C$597,MATCH($F768,Items!$A$5:$A$597,0)),""))</f>
        <v>80</v>
      </c>
      <c r="I768" s="23">
        <f>IF($F768="","",IFERROR(INDEX(Items!$E$5:$E$597,MATCH($F768,Items!$A$5:$A$597,0)),""))</f>
        <v>80</v>
      </c>
      <c r="J768" s="115">
        <f>IF(tblIssues[[#This Row],[Qty Override]]&lt;&gt;"",tblIssues[[#This Row],[Qty Override]],IF(tblIssues[[#This Row],[Standard Issue]]="","",tblIssues[[#This Row],[Standard Issue]]))</f>
        <v>80</v>
      </c>
      <c r="K768" s="20">
        <f>IF($F768="","",IFERROR(INDEX(Items!$D$5:$D$597,MATCH($F768,Items!$A$5:$A$597,0)),""))</f>
        <v>0.1</v>
      </c>
      <c r="L768" s="21">
        <f t="shared" si="127"/>
        <v>8</v>
      </c>
      <c r="M768" s="9" t="str">
        <f t="shared" si="128"/>
        <v>LYSL500290</v>
      </c>
      <c r="N768" s="24">
        <f>IF($A768="","",WORKDAY($A768,Settings!$C$9,HolidayDates))</f>
        <v>46170</v>
      </c>
      <c r="O768" s="24">
        <f>IF($N768="","",WORKDAY($N768,Settings!$C$10,HolidayDates))</f>
        <v>46210</v>
      </c>
      <c r="P768" s="10" t="s">
        <v>502</v>
      </c>
      <c r="Q768" s="52" t="str">
        <f t="shared" si="130"/>
        <v>Collected</v>
      </c>
      <c r="R768" s="55" t="str">
        <f t="shared" si="131"/>
        <v>2026-05</v>
      </c>
      <c r="S768" s="55">
        <f>IF(OR($B768="",$F768="",$R768=""),"",SUMIFS(tblIssues[Qty Issued],tblIssues[Staff ID],$B768,tblIssues[Item Name],$F768,tblIssues[Month],$R768))</f>
        <v>80</v>
      </c>
      <c r="T768" s="56">
        <f>IF($I768="","",$I768*Settings!$C$11)</f>
        <v>80</v>
      </c>
      <c r="U768" s="57" t="str">
        <f t="shared" si="129"/>
        <v>OK</v>
      </c>
      <c r="V768" s="55" t="str">
        <f t="shared" si="132"/>
        <v/>
      </c>
      <c r="W768" s="55" t="str">
        <f>IF($V768="","",IF(COUNTIF($V$5:$V768,$V768)=1,1,""))</f>
        <v/>
      </c>
      <c r="X768" s="58" t="str">
        <f>IF($W768="","",MAX($X$4:X767)+1)</f>
        <v/>
      </c>
      <c r="Y768" s="62"/>
      <c r="Z768" s="62"/>
      <c r="AA768" s="64" t="str">
        <f>IF($C768="","",IFERROR(INDEX('Staff Directory'!$E$5:$E$594,MATCH($C768,'Staff Directory'!$B$5:$B$594,0)),""))</f>
        <v>firstname023.lastname023@example.com</v>
      </c>
      <c r="AB768" s="64" t="str">
        <f>IF($C768="","",IF(ISNUMBER(SEARCH($D768,Settings!$C$15)),"Pickup","Dispatch"))</f>
        <v>Dispatch</v>
      </c>
      <c r="AC768" s="64" t="str">
        <f t="shared" si="133"/>
        <v>Supply order dispatched</v>
      </c>
      <c r="AD768" s="64" t="str">
        <f t="shared" si="124"/>
        <v>Dear RN,
Your order has been dispatched and is in transit. Reply if undelivered.</v>
      </c>
      <c r="AE768" s="64" t="str">
        <f t="shared" si="125"/>
        <v>mailto:firstname023.lastname023@example.com?subject=Supply%20order%20dispatched&amp;body=Dear%20RN%2C%0A%0AYour%20order%20has%20been%20dispatched%20and%20is%20in%20transit.%20Reply%20if%20undelivered.</v>
      </c>
      <c r="AF768" s="89" t="str">
        <f t="shared" si="134"/>
        <v>Draft email</v>
      </c>
      <c r="AG768" s="64" t="str">
        <f>IF($C768="","",IFERROR(INDEX('Staff Directory'!$K$595:$K$599,MATCH($C768,'Staff Directory'!$B$5:$B$599,0)),$D768))</f>
        <v>RN</v>
      </c>
      <c r="AH768" t="str">
        <f>IF($C768="","",IFERROR(INDEX('Staff Directory'!$I$595:$I$599,MATCH($C768,'Staff Directory'!$B$5:$B$599,0))&amp;" "&amp;INDEX('Staff Directory'!$J$595:$J$599,MATCH($C768,'Staff Directory'!$B$5:$B$599,0)),$AG768))</f>
        <v>RN</v>
      </c>
      <c r="AI768" s="102"/>
      <c r="AJ768" s="101">
        <f>IF($F768="","",SUMIFS($J$5:$J768,$F$5:$F768,$F768))</f>
        <v>10720</v>
      </c>
      <c r="AK768" s="101">
        <f t="shared" si="126"/>
        <v>10641</v>
      </c>
      <c r="AL768" s="66" t="str" cm="1">
        <f t="array" ref="AL768">IF($F768="","",IFERROR(INDEX('Lot Balance'!$B$5:$B$500,MATCH(1,INDEX(('Lot Balance'!$A$5:$A$500=$F768)*('Lot Balance'!$K$5:$K$500&lt;$AK768)*('Lot Balance'!$K$5:$K$500+'Lot Balance'!$D$5:$D$500&gt;=$AK768),0),0)),""))</f>
        <v>LYSL500290</v>
      </c>
      <c r="AM768" s="66" t="str" cm="1">
        <f t="array" ref="AM768">IF($F768="","",IFERROR(INDEX('Lot Balance'!$B$5:$B$500,MATCH(1,INDEX(('Lot Balance'!$A$5:$A$500=$F768)*('Lot Balance'!$K$5:$K$500&lt;$AJ768)*('Lot Balance'!$K$5:$K$500+'Lot Balance'!$D$5:$D$500&gt;=$AJ768),0),0)),""))</f>
        <v>LYSL500290</v>
      </c>
      <c r="AN768" s="66" t="str">
        <f>IF($F768="","",IF($AI768&lt;&gt;"",IF(COUNTIFS('Lot Balance'!$A$5:$A$500,$F768,'Lot Balance'!$B$5:$B$500,$AI768)=0,"⚠ override is not a lot of this item",IF($AI768=$AL768,"Override = FEFO","Override - FEFO says "&amp;$AL768)),IF($AL768="","⚠ no receipt on file for this item",IF($AM768&lt;&gt;$AL768,"FEFO auto - split, also "&amp;$AM768,"FEFO auto"))))</f>
        <v>FEFO auto</v>
      </c>
      <c r="AO768" s="114"/>
    </row>
    <row r="769" spans="1:41" x14ac:dyDescent="0.35">
      <c r="A769" s="74">
        <v>46162</v>
      </c>
      <c r="B769" s="18" t="str">
        <f>IF($C769="","",IFERROR(INDEX('Staff Directory'!$A$5:$A$594,MATCH($C769,'Staff Directory'!$B$5:$B$594,0)),"⚠ unknown staff"))</f>
        <v>PSW-136-A4</v>
      </c>
      <c r="C769" s="49" t="s">
        <v>1115</v>
      </c>
      <c r="D769" s="19" t="str">
        <f>IF($B769="","",IFERROR(INDEX('Staff Directory'!$C$5:$C$594,MATCH($B769,'Staff Directory'!$A$5:$A$594,0)),""))</f>
        <v>PSW</v>
      </c>
      <c r="E769" s="19" t="str">
        <f>IF($B769="","",IFERROR(INDEX('Staff Directory'!$D$5:$D$594,MATCH($B769,'Staff Directory'!$A$5:$A$594,0)),""))</f>
        <v>A4</v>
      </c>
      <c r="F769" s="9" t="s">
        <v>127</v>
      </c>
      <c r="G769" s="18" t="str">
        <f>IF($F769="","",IFERROR(INDEX(Items!$B$5:$B$597,MATCH($F769,Items!$A$5:$A$597,0)),"⚠ not in Items"))</f>
        <v>Gloves</v>
      </c>
      <c r="H769" s="19" t="str">
        <f>IF($F769="","",IFERROR(INDEX(Items!$C$5:$C$597,MATCH($F769,Items!$A$5:$A$597,0)),""))</f>
        <v>Medium</v>
      </c>
      <c r="I769" s="23">
        <f>IF($F769="","",IFERROR(INDEX(Items!$E$5:$E$597,MATCH($F769,Items!$A$5:$A$597,0)),""))</f>
        <v>500</v>
      </c>
      <c r="J769" s="115">
        <f>IF(tblIssues[[#This Row],[Qty Override]]&lt;&gt;"",tblIssues[[#This Row],[Qty Override]],IF(tblIssues[[#This Row],[Standard Issue]]="","",tblIssues[[#This Row],[Standard Issue]]))</f>
        <v>500</v>
      </c>
      <c r="K769" s="20">
        <f>IF($F769="","",IFERROR(INDEX(Items!$D$5:$D$597,MATCH($F769,Items!$A$5:$A$597,0)),""))</f>
        <v>5.5E-2</v>
      </c>
      <c r="L769" s="21">
        <f t="shared" si="127"/>
        <v>27.5</v>
      </c>
      <c r="M769" s="9" t="str">
        <f t="shared" si="128"/>
        <v>O16689</v>
      </c>
      <c r="N769" s="24">
        <f>IF($A769="","",WORKDAY($A769,Settings!$C$9,HolidayDates))</f>
        <v>46170</v>
      </c>
      <c r="O769" s="24">
        <f>IF($N769="","",WORKDAY($N769,Settings!$C$10,HolidayDates))</f>
        <v>46210</v>
      </c>
      <c r="P769" s="10" t="s">
        <v>501</v>
      </c>
      <c r="Q769" s="52" t="str">
        <f t="shared" si="130"/>
        <v>Collected</v>
      </c>
      <c r="R769" s="55" t="str">
        <f t="shared" si="131"/>
        <v>2026-05</v>
      </c>
      <c r="S769" s="55">
        <f>IF(OR($B769="",$F769="",$R769=""),"",SUMIFS(tblIssues[Qty Issued],tblIssues[Staff ID],$B769,tblIssues[Item Name],$F769,tblIssues[Month],$R769))</f>
        <v>500</v>
      </c>
      <c r="T769" s="56">
        <f>IF($I769="","",$I769*Settings!$C$11)</f>
        <v>500</v>
      </c>
      <c r="U769" s="57" t="str">
        <f t="shared" si="129"/>
        <v>OK</v>
      </c>
      <c r="V769" s="55" t="str">
        <f t="shared" si="132"/>
        <v/>
      </c>
      <c r="W769" s="55" t="str">
        <f>IF($V769="","",IF(COUNTIF($V$5:$V769,$V769)=1,1,""))</f>
        <v/>
      </c>
      <c r="X769" s="58" t="str">
        <f>IF($W769="","",MAX($X$4:X768)+1)</f>
        <v/>
      </c>
      <c r="Y769" s="62"/>
      <c r="Z769" s="62"/>
      <c r="AA769" s="64" t="str">
        <f>IF($C769="","",IFERROR(INDEX('Staff Directory'!$E$5:$E$594,MATCH($C769,'Staff Directory'!$B$5:$B$594,0)),""))</f>
        <v>firstname199.lastname199@example.com</v>
      </c>
      <c r="AB769" s="64" t="str">
        <f>IF($C769="","",IF(ISNUMBER(SEARCH($D769,Settings!$C$15)),"Pickup","Dispatch"))</f>
        <v>Pickup</v>
      </c>
      <c r="AC769" s="64" t="str">
        <f t="shared" si="133"/>
        <v>Supply order ready for pickup</v>
      </c>
      <c r="AD769" s="64" t="str">
        <f t="shared" si="124"/>
        <v>Dear PSW,
Your order is ready for pickup from Sample Branch, Wed-Fri 9am-4pm.</v>
      </c>
      <c r="AE769" s="64" t="str">
        <f t="shared" si="125"/>
        <v>mailto:firstname199.lastname199@example.com?subject=Supply%20order%20ready%20for%20pickup&amp;body=Dear%20PSW%2C%0A%0AYour%20order%20is%20ready%20for%20pickup%20from%20Sample%20Branch%2C%20Wed-Fri%209am-4pm.</v>
      </c>
      <c r="AF769" s="89" t="str">
        <f t="shared" si="134"/>
        <v>Draft email</v>
      </c>
      <c r="AG769" s="64" t="str">
        <f>IF($C769="","",IFERROR(INDEX('Staff Directory'!$K$595:$K$599,MATCH($C769,'Staff Directory'!$B$5:$B$599,0)),$D769))</f>
        <v>PSW</v>
      </c>
      <c r="AH769" t="str">
        <f>IF($C769="","",IFERROR(INDEX('Staff Directory'!$I$595:$I$599,MATCH($C769,'Staff Directory'!$B$5:$B$599,0))&amp;" "&amp;INDEX('Staff Directory'!$J$595:$J$599,MATCH($C769,'Staff Directory'!$B$5:$B$599,0)),$AG769))</f>
        <v>PSW</v>
      </c>
      <c r="AI769" s="102"/>
      <c r="AJ769" s="101">
        <f>IF($F769="","",SUMIFS($J$5:$J769,$F$5:$F769,$F769))</f>
        <v>45000</v>
      </c>
      <c r="AK769" s="101">
        <f t="shared" si="126"/>
        <v>44501</v>
      </c>
      <c r="AL769" s="66" t="str" cm="1">
        <f t="array" ref="AL769">IF($F769="","",IFERROR(INDEX('Lot Balance'!$B$5:$B$500,MATCH(1,INDEX(('Lot Balance'!$A$5:$A$500=$F769)*('Lot Balance'!$K$5:$K$500&lt;$AK769)*('Lot Balance'!$K$5:$K$500+'Lot Balance'!$D$5:$D$500&gt;=$AK769),0),0)),""))</f>
        <v>O16689</v>
      </c>
      <c r="AM769" s="66" t="str" cm="1">
        <f t="array" ref="AM769">IF($F769="","",IFERROR(INDEX('Lot Balance'!$B$5:$B$500,MATCH(1,INDEX(('Lot Balance'!$A$5:$A$500=$F769)*('Lot Balance'!$K$5:$K$500&lt;$AJ769)*('Lot Balance'!$K$5:$K$500+'Lot Balance'!$D$5:$D$500&gt;=$AJ769),0),0)),""))</f>
        <v>ZIM504126040-4</v>
      </c>
      <c r="AN769" s="66" t="str">
        <f>IF($F769="","",IF($AI769&lt;&gt;"",IF(COUNTIFS('Lot Balance'!$A$5:$A$500,$F769,'Lot Balance'!$B$5:$B$500,$AI769)=0,"⚠ override is not a lot of this item",IF($AI769=$AL769,"Override = FEFO","Override - FEFO says "&amp;$AL769)),IF($AL769="","⚠ no receipt on file for this item",IF($AM769&lt;&gt;$AL769,"FEFO auto - split, also "&amp;$AM769,"FEFO auto"))))</f>
        <v>FEFO auto - split, also ZIM504126040-4</v>
      </c>
      <c r="AO769" s="114"/>
    </row>
    <row r="770" spans="1:41" x14ac:dyDescent="0.35">
      <c r="A770" s="74">
        <v>46162</v>
      </c>
      <c r="B770" s="18" t="str">
        <f>IF($C770="","",IFERROR(INDEX('Staff Directory'!$A$5:$A$594,MATCH($C770,'Staff Directory'!$B$5:$B$594,0)),"⚠ unknown staff"))</f>
        <v>PSW-136-A4</v>
      </c>
      <c r="C770" s="49" t="s">
        <v>1115</v>
      </c>
      <c r="D770" s="19" t="str">
        <f>IF($B770="","",IFERROR(INDEX('Staff Directory'!$C$5:$C$594,MATCH($B770,'Staff Directory'!$A$5:$A$594,0)),""))</f>
        <v>PSW</v>
      </c>
      <c r="E770" s="19" t="str">
        <f>IF($B770="","",IFERROR(INDEX('Staff Directory'!$D$5:$D$594,MATCH($B770,'Staff Directory'!$A$5:$A$594,0)),""))</f>
        <v>A4</v>
      </c>
      <c r="F770" s="9" t="s">
        <v>191</v>
      </c>
      <c r="G770" s="18" t="str">
        <f>IF($F770="","",IFERROR(INDEX(Items!$B$5:$B$597,MATCH($F770,Items!$A$5:$A$597,0)),"⚠ not in Items"))</f>
        <v>Sanitizer</v>
      </c>
      <c r="H770" s="19" t="str">
        <f>IF($F770="","",IFERROR(INDEX(Items!$C$5:$C$597,MATCH($F770,Items!$A$5:$A$597,0)),""))</f>
        <v>236 ML</v>
      </c>
      <c r="I770" s="23">
        <f>IF($F770="","",IFERROR(INDEX(Items!$E$5:$E$597,MATCH($F770,Items!$A$5:$A$597,0)),""))</f>
        <v>1</v>
      </c>
      <c r="J770" s="115">
        <f>IF(tblIssues[[#This Row],[Qty Override]]&lt;&gt;"",tblIssues[[#This Row],[Qty Override]],IF(tblIssues[[#This Row],[Standard Issue]]="","",tblIssues[[#This Row],[Standard Issue]]))</f>
        <v>1</v>
      </c>
      <c r="K770" s="20">
        <f>IF($F770="","",IFERROR(INDEX(Items!$D$5:$D$597,MATCH($F770,Items!$A$5:$A$597,0)),""))</f>
        <v>1E-4</v>
      </c>
      <c r="L770" s="21">
        <f t="shared" si="127"/>
        <v>1E-4</v>
      </c>
      <c r="M770" s="9" t="str">
        <f t="shared" si="128"/>
        <v>20-21734-3</v>
      </c>
      <c r="N770" s="24">
        <f>IF($A770="","",WORKDAY($A770,Settings!$C$9,HolidayDates))</f>
        <v>46170</v>
      </c>
      <c r="O770" s="24">
        <f>IF($N770="","",WORKDAY($N770,Settings!$C$10,HolidayDates))</f>
        <v>46210</v>
      </c>
      <c r="P770" s="10" t="s">
        <v>501</v>
      </c>
      <c r="Q770" s="52" t="str">
        <f t="shared" si="130"/>
        <v>Collected</v>
      </c>
      <c r="R770" s="55" t="str">
        <f t="shared" si="131"/>
        <v>2026-05</v>
      </c>
      <c r="S770" s="55">
        <f>IF(OR($B770="",$F770="",$R770=""),"",SUMIFS(tblIssues[Qty Issued],tblIssues[Staff ID],$B770,tblIssues[Item Name],$F770,tblIssues[Month],$R770))</f>
        <v>1</v>
      </c>
      <c r="T770" s="56">
        <f>IF($I770="","",$I770*Settings!$C$11)</f>
        <v>1</v>
      </c>
      <c r="U770" s="57" t="str">
        <f t="shared" si="129"/>
        <v>OK</v>
      </c>
      <c r="V770" s="55" t="str">
        <f t="shared" si="132"/>
        <v/>
      </c>
      <c r="W770" s="55" t="str">
        <f>IF($V770="","",IF(COUNTIF($V$5:$V770,$V770)=1,1,""))</f>
        <v/>
      </c>
      <c r="X770" s="58" t="str">
        <f>IF($W770="","",MAX($X$4:X769)+1)</f>
        <v/>
      </c>
      <c r="Y770" s="62"/>
      <c r="Z770" s="62"/>
      <c r="AA770" s="64" t="str">
        <f>IF($C770="","",IFERROR(INDEX('Staff Directory'!$E$5:$E$594,MATCH($C770,'Staff Directory'!$B$5:$B$594,0)),""))</f>
        <v>firstname199.lastname199@example.com</v>
      </c>
      <c r="AB770" s="64" t="str">
        <f>IF($C770="","",IF(ISNUMBER(SEARCH($D770,Settings!$C$15)),"Pickup","Dispatch"))</f>
        <v>Pickup</v>
      </c>
      <c r="AC770" s="64" t="str">
        <f t="shared" si="133"/>
        <v>Supply order ready for pickup</v>
      </c>
      <c r="AD770" s="64" t="str">
        <f t="shared" si="124"/>
        <v>Dear PSW,
Your order is ready for pickup from Sample Branch, Wed-Fri 9am-4pm.</v>
      </c>
      <c r="AE770" s="64" t="str">
        <f t="shared" si="125"/>
        <v>mailto:firstname199.lastname199@example.com?subject=Supply%20order%20ready%20for%20pickup&amp;body=Dear%20PSW%2C%0A%0AYour%20order%20is%20ready%20for%20pickup%20from%20Sample%20Branch%2C%20Wed-Fri%209am-4pm.</v>
      </c>
      <c r="AF770" s="89" t="str">
        <f t="shared" si="134"/>
        <v>Draft email</v>
      </c>
      <c r="AG770" s="64" t="str">
        <f>IF($C770="","",IFERROR(INDEX('Staff Directory'!$K$595:$K$599,MATCH($C770,'Staff Directory'!$B$5:$B$599,0)),$D770))</f>
        <v>PSW</v>
      </c>
      <c r="AH770" t="str">
        <f>IF($C770="","",IFERROR(INDEX('Staff Directory'!$I$595:$I$599,MATCH($C770,'Staff Directory'!$B$5:$B$599,0))&amp;" "&amp;INDEX('Staff Directory'!$J$595:$J$599,MATCH($C770,'Staff Directory'!$B$5:$B$599,0)),$AG770))</f>
        <v>PSW</v>
      </c>
      <c r="AI770" s="102"/>
      <c r="AJ770" s="101">
        <f>IF($F770="","",SUMIFS($J$5:$J770,$F$5:$F770,$F770))</f>
        <v>95</v>
      </c>
      <c r="AK770" s="101">
        <f t="shared" si="126"/>
        <v>95</v>
      </c>
      <c r="AL770" s="66" t="str" cm="1">
        <f t="array" ref="AL770">IF($F770="","",IFERROR(INDEX('Lot Balance'!$B$5:$B$500,MATCH(1,INDEX(('Lot Balance'!$A$5:$A$500=$F770)*('Lot Balance'!$K$5:$K$500&lt;$AK770)*('Lot Balance'!$K$5:$K$500+'Lot Balance'!$D$5:$D$500&gt;=$AK770),0),0)),""))</f>
        <v>20-21734-3</v>
      </c>
      <c r="AM770" s="66" t="str" cm="1">
        <f t="array" ref="AM770">IF($F770="","",IFERROR(INDEX('Lot Balance'!$B$5:$B$500,MATCH(1,INDEX(('Lot Balance'!$A$5:$A$500=$F770)*('Lot Balance'!$K$5:$K$500&lt;$AJ770)*('Lot Balance'!$K$5:$K$500+'Lot Balance'!$D$5:$D$500&gt;=$AJ770),0),0)),""))</f>
        <v>20-21734-3</v>
      </c>
      <c r="AN770" s="66" t="str">
        <f>IF($F770="","",IF($AI770&lt;&gt;"",IF(COUNTIFS('Lot Balance'!$A$5:$A$500,$F770,'Lot Balance'!$B$5:$B$500,$AI770)=0,"⚠ override is not a lot of this item",IF($AI770=$AL770,"Override = FEFO","Override - FEFO says "&amp;$AL770)),IF($AL770="","⚠ no receipt on file for this item",IF($AM770&lt;&gt;$AL770,"FEFO auto - split, also "&amp;$AM770,"FEFO auto"))))</f>
        <v>FEFO auto</v>
      </c>
      <c r="AO770" s="114"/>
    </row>
    <row r="771" spans="1:41" x14ac:dyDescent="0.35">
      <c r="A771" s="74">
        <v>46162</v>
      </c>
      <c r="B771" s="18" t="str">
        <f>IF($C771="","",IFERROR(INDEX('Staff Directory'!$A$5:$A$594,MATCH($C771,'Staff Directory'!$B$5:$B$594,0)),"⚠ unknown staff"))</f>
        <v>PSW-136-A4</v>
      </c>
      <c r="C771" s="49" t="s">
        <v>1115</v>
      </c>
      <c r="D771" s="19" t="str">
        <f>IF($B771="","",IFERROR(INDEX('Staff Directory'!$C$5:$C$594,MATCH($B771,'Staff Directory'!$A$5:$A$594,0)),""))</f>
        <v>PSW</v>
      </c>
      <c r="E771" s="19" t="str">
        <f>IF($B771="","",IFERROR(INDEX('Staff Directory'!$D$5:$D$594,MATCH($B771,'Staff Directory'!$A$5:$A$594,0)),""))</f>
        <v>A4</v>
      </c>
      <c r="F771" s="9" t="s">
        <v>156</v>
      </c>
      <c r="G771" s="18" t="str">
        <f>IF($F771="","",IFERROR(INDEX(Items!$B$5:$B$597,MATCH($F771,Items!$A$5:$A$597,0)),"⚠ not in Items"))</f>
        <v>Masks</v>
      </c>
      <c r="H771" s="19" t="str">
        <f>IF($F771="","",IFERROR(INDEX(Items!$C$5:$C$597,MATCH($F771,Items!$A$5:$A$597,0)),""))</f>
        <v>One Size</v>
      </c>
      <c r="I771" s="23">
        <f>IF($F771="","",IFERROR(INDEX(Items!$E$5:$E$597,MATCH($F771,Items!$A$5:$A$597,0)),""))</f>
        <v>50</v>
      </c>
      <c r="J771" s="115">
        <f>IF(tblIssues[[#This Row],[Qty Override]]&lt;&gt;"",tblIssues[[#This Row],[Qty Override]],IF(tblIssues[[#This Row],[Standard Issue]]="","",tblIssues[[#This Row],[Standard Issue]]))</f>
        <v>50</v>
      </c>
      <c r="K771" s="20">
        <f>IF($F771="","",IFERROR(INDEX(Items!$D$5:$D$597,MATCH($F771,Items!$A$5:$A$597,0)),""))</f>
        <v>0.25</v>
      </c>
      <c r="L771" s="21">
        <f t="shared" si="127"/>
        <v>12.5</v>
      </c>
      <c r="M771" s="9" t="str">
        <f t="shared" si="128"/>
        <v>0125FPC24-1</v>
      </c>
      <c r="N771" s="24">
        <f>IF($A771="","",WORKDAY($A771,Settings!$C$9,HolidayDates))</f>
        <v>46170</v>
      </c>
      <c r="O771" s="24">
        <f>IF($N771="","",WORKDAY($N771,Settings!$C$10,HolidayDates))</f>
        <v>46210</v>
      </c>
      <c r="P771" s="10" t="s">
        <v>501</v>
      </c>
      <c r="Q771" s="52" t="str">
        <f t="shared" si="130"/>
        <v>Collected</v>
      </c>
      <c r="R771" s="55" t="str">
        <f t="shared" si="131"/>
        <v>2026-05</v>
      </c>
      <c r="S771" s="55">
        <f>IF(OR($B771="",$F771="",$R771=""),"",SUMIFS(tblIssues[Qty Issued],tblIssues[Staff ID],$B771,tblIssues[Item Name],$F771,tblIssues[Month],$R771))</f>
        <v>50</v>
      </c>
      <c r="T771" s="56">
        <f>IF($I771="","",$I771*Settings!$C$11)</f>
        <v>50</v>
      </c>
      <c r="U771" s="57" t="str">
        <f t="shared" si="129"/>
        <v>OK</v>
      </c>
      <c r="V771" s="55" t="str">
        <f t="shared" si="132"/>
        <v/>
      </c>
      <c r="W771" s="55" t="str">
        <f>IF($V771="","",IF(COUNTIF($V$5:$V771,$V771)=1,1,""))</f>
        <v/>
      </c>
      <c r="X771" s="58" t="str">
        <f>IF($W771="","",MAX($X$4:X770)+1)</f>
        <v/>
      </c>
      <c r="Y771" s="62"/>
      <c r="Z771" s="62"/>
      <c r="AA771" s="64" t="str">
        <f>IF($C771="","",IFERROR(INDEX('Staff Directory'!$E$5:$E$594,MATCH($C771,'Staff Directory'!$B$5:$B$594,0)),""))</f>
        <v>firstname199.lastname199@example.com</v>
      </c>
      <c r="AB771" s="64" t="str">
        <f>IF($C771="","",IF(ISNUMBER(SEARCH($D771,Settings!$C$15)),"Pickup","Dispatch"))</f>
        <v>Pickup</v>
      </c>
      <c r="AC771" s="64" t="str">
        <f t="shared" si="133"/>
        <v>Supply order ready for pickup</v>
      </c>
      <c r="AD771" s="64" t="str">
        <f t="shared" si="124"/>
        <v>Dear PSW,
Your order is ready for pickup from Sample Branch, Wed-Fri 9am-4pm.</v>
      </c>
      <c r="AE771" s="64" t="str">
        <f t="shared" si="125"/>
        <v>mailto:firstname199.lastname199@example.com?subject=Supply%20order%20ready%20for%20pickup&amp;body=Dear%20PSW%2C%0A%0AYour%20order%20is%20ready%20for%20pickup%20from%20Sample%20Branch%2C%20Wed-Fri%209am-4pm.</v>
      </c>
      <c r="AF771" s="89" t="str">
        <f t="shared" si="134"/>
        <v>Draft email</v>
      </c>
      <c r="AG771" s="64" t="str">
        <f>IF($C771="","",IFERROR(INDEX('Staff Directory'!$K$595:$K$599,MATCH($C771,'Staff Directory'!$B$5:$B$599,0)),$D771))</f>
        <v>PSW</v>
      </c>
      <c r="AH771" t="str">
        <f>IF($C771="","",IFERROR(INDEX('Staff Directory'!$I$595:$I$599,MATCH($C771,'Staff Directory'!$B$5:$B$599,0))&amp;" "&amp;INDEX('Staff Directory'!$J$595:$J$599,MATCH($C771,'Staff Directory'!$B$5:$B$599,0)),$AG771))</f>
        <v>PSW</v>
      </c>
      <c r="AI771" s="102"/>
      <c r="AJ771" s="101">
        <f>IF($F771="","",SUMIFS($J$5:$J771,$F$5:$F771,$F771))</f>
        <v>6350</v>
      </c>
      <c r="AK771" s="101">
        <f t="shared" si="126"/>
        <v>6301</v>
      </c>
      <c r="AL771" s="66" t="str" cm="1">
        <f t="array" ref="AL771">IF($F771="","",IFERROR(INDEX('Lot Balance'!$B$5:$B$500,MATCH(1,INDEX(('Lot Balance'!$A$5:$A$500=$F771)*('Lot Balance'!$K$5:$K$500&lt;$AK771)*('Lot Balance'!$K$5:$K$500+'Lot Balance'!$D$5:$D$500&gt;=$AK771),0),0)),""))</f>
        <v>0125FPC24-1</v>
      </c>
      <c r="AM771" s="66" t="str" cm="1">
        <f t="array" ref="AM771">IF($F771="","",IFERROR(INDEX('Lot Balance'!$B$5:$B$500,MATCH(1,INDEX(('Lot Balance'!$A$5:$A$500=$F771)*('Lot Balance'!$K$5:$K$500&lt;$AJ771)*('Lot Balance'!$K$5:$K$500+'Lot Balance'!$D$5:$D$500&gt;=$AJ771),0),0)),""))</f>
        <v>0125FPC24-1</v>
      </c>
      <c r="AN771" s="66" t="str">
        <f>IF($F771="","",IF($AI771&lt;&gt;"",IF(COUNTIFS('Lot Balance'!$A$5:$A$500,$F771,'Lot Balance'!$B$5:$B$500,$AI771)=0,"⚠ override is not a lot of this item",IF($AI771=$AL771,"Override = FEFO","Override - FEFO says "&amp;$AL771)),IF($AL771="","⚠ no receipt on file for this item",IF($AM771&lt;&gt;$AL771,"FEFO auto - split, also "&amp;$AM771,"FEFO auto"))))</f>
        <v>FEFO auto</v>
      </c>
      <c r="AO771" s="114"/>
    </row>
    <row r="772" spans="1:41" x14ac:dyDescent="0.35">
      <c r="A772" s="74">
        <v>46162</v>
      </c>
      <c r="B772" s="18" t="str">
        <f>IF($C772="","",IFERROR(INDEX('Staff Directory'!$A$5:$A$594,MATCH($C772,'Staff Directory'!$B$5:$B$594,0)),"⚠ unknown staff"))</f>
        <v>TL/RPN-002-A9</v>
      </c>
      <c r="C772" s="49" t="s">
        <v>1065</v>
      </c>
      <c r="D772" s="19" t="str">
        <f>IF($B772="","",IFERROR(INDEX('Staff Directory'!$C$5:$C$594,MATCH($B772,'Staff Directory'!$A$5:$A$594,0)),""))</f>
        <v>TL/RPN</v>
      </c>
      <c r="E772" s="19" t="str">
        <f>IF($B772="","",IFERROR(INDEX('Staff Directory'!$D$5:$D$594,MATCH($B772,'Staff Directory'!$A$5:$A$594,0)),""))</f>
        <v>A9</v>
      </c>
      <c r="F772" s="9" t="s">
        <v>755</v>
      </c>
      <c r="G772" s="18" t="str">
        <f>IF($F772="","",IFERROR(INDEX(Items!$B$5:$B$597,MATCH($F772,Items!$A$5:$A$597,0)),"⚠ not in Items"))</f>
        <v>Documents</v>
      </c>
      <c r="H772" s="19" t="str">
        <f>IF($F772="","",IFERROR(INDEX(Items!$C$5:$C$597,MATCH($F772,Items!$A$5:$A$597,0)),""))</f>
        <v>Standard</v>
      </c>
      <c r="I772" s="23">
        <f>IF($F772="","",IFERROR(INDEX(Items!$E$5:$E$597,MATCH($F772,Items!$A$5:$A$597,0)),""))</f>
        <v>2</v>
      </c>
      <c r="J772" s="115">
        <f>IF(tblIssues[[#This Row],[Qty Override]]&lt;&gt;"",tblIssues[[#This Row],[Qty Override]],IF(tblIssues[[#This Row],[Standard Issue]]="","",tblIssues[[#This Row],[Standard Issue]]))</f>
        <v>2</v>
      </c>
      <c r="K772" s="20">
        <f>IF($F772="","",IFERROR(INDEX(Items!$D$5:$D$597,MATCH($F772,Items!$A$5:$A$597,0)),""))</f>
        <v>0</v>
      </c>
      <c r="L772" s="21">
        <f t="shared" si="127"/>
        <v>0</v>
      </c>
      <c r="M772" s="9" t="str">
        <f t="shared" si="128"/>
        <v/>
      </c>
      <c r="N772" s="24">
        <f>IF($A772="","",WORKDAY($A772,Settings!$C$9,HolidayDates))</f>
        <v>46170</v>
      </c>
      <c r="O772" s="24">
        <f>IF($N772="","",WORKDAY($N772,Settings!$C$10,HolidayDates))</f>
        <v>46210</v>
      </c>
      <c r="P772" s="10" t="s">
        <v>501</v>
      </c>
      <c r="Q772" s="52" t="str">
        <f t="shared" si="130"/>
        <v>Collected</v>
      </c>
      <c r="R772" s="55" t="str">
        <f t="shared" si="131"/>
        <v>2026-05</v>
      </c>
      <c r="S772" s="55">
        <f>IF(OR($B772="",$F772="",$R772=""),"",SUMIFS(tblIssues[Qty Issued],tblIssues[Staff ID],$B772,tblIssues[Item Name],$F772,tblIssues[Month],$R772))</f>
        <v>4</v>
      </c>
      <c r="T772" s="56">
        <f>IF($I772="","",$I772*Settings!$C$11)</f>
        <v>2</v>
      </c>
      <c r="U772" s="57" t="str">
        <f t="shared" si="129"/>
        <v>⚠ OVER QUOTA</v>
      </c>
      <c r="V772" s="55" t="str">
        <f t="shared" si="132"/>
        <v>TL/RPN-002-A9 | Sample Org CONNECT Welcome Package PSW | 2026-05</v>
      </c>
      <c r="W772" s="55">
        <f>IF($V772="","",IF(COUNTIF($V$5:$V772,$V772)=1,1,""))</f>
        <v>1</v>
      </c>
      <c r="X772" s="58">
        <f>IF($W772="","",MAX($X$4:X771)+1)</f>
        <v>19</v>
      </c>
      <c r="Y772" s="62"/>
      <c r="Z772" s="62"/>
      <c r="AA772" s="64" t="str">
        <f>IF($C772="","",IFERROR(INDEX('Staff Directory'!$E$5:$E$594,MATCH($C772,'Staff Directory'!$B$5:$B$594,0)),""))</f>
        <v>firstname149.lastname149@example.com</v>
      </c>
      <c r="AB772" s="64" t="str">
        <f>IF($C772="","",IF(ISNUMBER(SEARCH($D772,Settings!$C$15)),"Pickup","Dispatch"))</f>
        <v>Dispatch</v>
      </c>
      <c r="AC772" s="64" t="str">
        <f t="shared" si="133"/>
        <v>Supply order dispatched</v>
      </c>
      <c r="AD772" s="64" t="str">
        <f t="shared" si="124"/>
        <v>Dear TL/RPN,
Your order has been dispatched and is in transit. Reply if undelivered.</v>
      </c>
      <c r="AE772" s="64" t="str">
        <f t="shared" si="125"/>
        <v>mailto:firstname149.lastname149@example.com?subject=Supply%20order%20dispatched&amp;body=Dear%20TL%2FRPN%2C%0A%0AYour%20order%20has%20been%20dispatched%20and%20is%20in%20transit.%20Reply%20if%20undelivered.</v>
      </c>
      <c r="AF772" s="89" t="str">
        <f t="shared" si="134"/>
        <v>Draft email</v>
      </c>
      <c r="AG772" s="64" t="str">
        <f>IF($C772="","",IFERROR(INDEX('Staff Directory'!$K$595:$K$599,MATCH($C772,'Staff Directory'!$B$5:$B$599,0)),$D772))</f>
        <v>TL/RPN</v>
      </c>
      <c r="AH772" t="str">
        <f>IF($C772="","",IFERROR(INDEX('Staff Directory'!$I$595:$I$599,MATCH($C772,'Staff Directory'!$B$5:$B$599,0))&amp;" "&amp;INDEX('Staff Directory'!$J$595:$J$599,MATCH($C772,'Staff Directory'!$B$5:$B$599,0)),$AG772))</f>
        <v>TL/RPN</v>
      </c>
      <c r="AI772" s="102"/>
      <c r="AJ772" s="101">
        <f>IF($F772="","",SUMIFS($J$5:$J772,$F$5:$F772,$F772))</f>
        <v>114</v>
      </c>
      <c r="AK772" s="101">
        <f t="shared" si="126"/>
        <v>113</v>
      </c>
      <c r="AL772" s="66" t="str" cm="1">
        <f t="array" ref="AL772">IF($F772="","",IFERROR(INDEX('Lot Balance'!$B$5:$B$500,MATCH(1,INDEX(('Lot Balance'!$A$5:$A$500=$F772)*('Lot Balance'!$K$5:$K$500&lt;$AK772)*('Lot Balance'!$K$5:$K$500+'Lot Balance'!$D$5:$D$500&gt;=$AK772),0),0)),""))</f>
        <v/>
      </c>
      <c r="AM772" s="66" t="str" cm="1">
        <f t="array" ref="AM772">IF($F772="","",IFERROR(INDEX('Lot Balance'!$B$5:$B$500,MATCH(1,INDEX(('Lot Balance'!$A$5:$A$500=$F772)*('Lot Balance'!$K$5:$K$500&lt;$AJ772)*('Lot Balance'!$K$5:$K$500+'Lot Balance'!$D$5:$D$500&gt;=$AJ772),0),0)),""))</f>
        <v/>
      </c>
      <c r="AN772" s="66" t="str">
        <f>IF($F772="","",IF($AI772&lt;&gt;"",IF(COUNTIFS('Lot Balance'!$A$5:$A$500,$F772,'Lot Balance'!$B$5:$B$500,$AI772)=0,"⚠ override is not a lot of this item",IF($AI772=$AL772,"Override = FEFO","Override - FEFO says "&amp;$AL772)),IF($AL772="","⚠ no receipt on file for this item",IF($AM772&lt;&gt;$AL772,"FEFO auto - split, also "&amp;$AM772,"FEFO auto"))))</f>
        <v>⚠ no receipt on file for this item</v>
      </c>
      <c r="AO772" s="114"/>
    </row>
    <row r="773" spans="1:41" x14ac:dyDescent="0.35">
      <c r="A773" s="74">
        <v>46162</v>
      </c>
      <c r="B773" s="18" t="str">
        <f>IF($C773="","",IFERROR(INDEX('Staff Directory'!$A$5:$A$594,MATCH($C773,'Staff Directory'!$B$5:$B$594,0)),"⚠ unknown staff"))</f>
        <v>TL/RPN-002-A9</v>
      </c>
      <c r="C773" s="49" t="s">
        <v>1065</v>
      </c>
      <c r="D773" s="19" t="str">
        <f>IF($B773="","",IFERROR(INDEX('Staff Directory'!$C$5:$C$594,MATCH($B773,'Staff Directory'!$A$5:$A$594,0)),""))</f>
        <v>TL/RPN</v>
      </c>
      <c r="E773" s="19" t="str">
        <f>IF($B773="","",IFERROR(INDEX('Staff Directory'!$D$5:$D$594,MATCH($B773,'Staff Directory'!$A$5:$A$594,0)),""))</f>
        <v>A9</v>
      </c>
      <c r="F773" s="9" t="s">
        <v>755</v>
      </c>
      <c r="G773" s="18" t="str">
        <f>IF($F773="","",IFERROR(INDEX(Items!$B$5:$B$597,MATCH($F773,Items!$A$5:$A$597,0)),"⚠ not in Items"))</f>
        <v>Documents</v>
      </c>
      <c r="H773" s="19" t="str">
        <f>IF($F773="","",IFERROR(INDEX(Items!$C$5:$C$597,MATCH($F773,Items!$A$5:$A$597,0)),""))</f>
        <v>Standard</v>
      </c>
      <c r="I773" s="23">
        <f>IF($F773="","",IFERROR(INDEX(Items!$E$5:$E$597,MATCH($F773,Items!$A$5:$A$597,0)),""))</f>
        <v>2</v>
      </c>
      <c r="J773" s="115">
        <f>IF(tblIssues[[#This Row],[Qty Override]]&lt;&gt;"",tblIssues[[#This Row],[Qty Override]],IF(tblIssues[[#This Row],[Standard Issue]]="","",tblIssues[[#This Row],[Standard Issue]]))</f>
        <v>2</v>
      </c>
      <c r="K773" s="20">
        <f>IF($F773="","",IFERROR(INDEX(Items!$D$5:$D$597,MATCH($F773,Items!$A$5:$A$597,0)),""))</f>
        <v>0</v>
      </c>
      <c r="L773" s="21">
        <f t="shared" si="127"/>
        <v>0</v>
      </c>
      <c r="M773" s="9" t="str">
        <f t="shared" si="128"/>
        <v/>
      </c>
      <c r="N773" s="24">
        <f>IF($A773="","",WORKDAY($A773,Settings!$C$9,HolidayDates))</f>
        <v>46170</v>
      </c>
      <c r="O773" s="24">
        <f>IF($N773="","",WORKDAY($N773,Settings!$C$10,HolidayDates))</f>
        <v>46210</v>
      </c>
      <c r="P773" s="10" t="s">
        <v>501</v>
      </c>
      <c r="Q773" s="52" t="str">
        <f t="shared" si="130"/>
        <v>Collected</v>
      </c>
      <c r="R773" s="55" t="str">
        <f t="shared" si="131"/>
        <v>2026-05</v>
      </c>
      <c r="S773" s="55">
        <f>IF(OR($B773="",$F773="",$R773=""),"",SUMIFS(tblIssues[Qty Issued],tblIssues[Staff ID],$B773,tblIssues[Item Name],$F773,tblIssues[Month],$R773))</f>
        <v>4</v>
      </c>
      <c r="T773" s="56">
        <f>IF($I773="","",$I773*Settings!$C$11)</f>
        <v>2</v>
      </c>
      <c r="U773" s="57" t="str">
        <f t="shared" si="129"/>
        <v>⚠ OVER QUOTA</v>
      </c>
      <c r="V773" s="55" t="str">
        <f t="shared" si="132"/>
        <v>TL/RPN-002-A9 | Sample Org CONNECT Welcome Package PSW | 2026-05</v>
      </c>
      <c r="W773" s="55" t="str">
        <f>IF($V773="","",IF(COUNTIF($V$5:$V773,$V773)=1,1,""))</f>
        <v/>
      </c>
      <c r="X773" s="58" t="str">
        <f>IF($W773="","",MAX($X$4:X772)+1)</f>
        <v/>
      </c>
      <c r="Y773" s="62"/>
      <c r="Z773" s="62"/>
      <c r="AA773" s="64" t="str">
        <f>IF($C773="","",IFERROR(INDEX('Staff Directory'!$E$5:$E$594,MATCH($C773,'Staff Directory'!$B$5:$B$594,0)),""))</f>
        <v>firstname149.lastname149@example.com</v>
      </c>
      <c r="AB773" s="64" t="str">
        <f>IF($C773="","",IF(ISNUMBER(SEARCH($D773,Settings!$C$15)),"Pickup","Dispatch"))</f>
        <v>Dispatch</v>
      </c>
      <c r="AC773" s="64" t="str">
        <f t="shared" si="133"/>
        <v>Supply order dispatched</v>
      </c>
      <c r="AD773" s="64" t="str">
        <f t="shared" ref="AD773:AD836" si="135">IF($AB773="Pickup","Dear "&amp;$AH773&amp;","&amp;CHAR(10)&amp;CHAR(10)&amp;"Your order is ready for pickup from Sample Branch, Wed-Fri 9am-4pm.",IF($AB773="Dispatch","Dear "&amp;$AH773&amp;","&amp;CHAR(10)&amp;CHAR(10)&amp;"Your order has been dispatched and is in transit. Reply if undelivered.",""))</f>
        <v>Dear TL/RPN,
Your order has been dispatched and is in transit. Reply if undelivered.</v>
      </c>
      <c r="AE773" s="64" t="str">
        <f t="shared" ref="AE773:AE836" si="136">IF(OR($AA773="",$AC773=""),"","mailto:"&amp;$AA773&amp;"?subject="&amp;_xlfn.ENCODEURL($AC773)&amp;"&amp;body="&amp;_xlfn.ENCODEURL($AD773))</f>
        <v>mailto:firstname149.lastname149@example.com?subject=Supply%20order%20dispatched&amp;body=Dear%20TL%2FRPN%2C%0A%0AYour%20order%20has%20been%20dispatched%20and%20is%20in%20transit.%20Reply%20if%20undelivered.</v>
      </c>
      <c r="AF773" s="89" t="str">
        <f t="shared" si="134"/>
        <v>Draft email</v>
      </c>
      <c r="AG773" s="64" t="str">
        <f>IF($C773="","",IFERROR(INDEX('Staff Directory'!$K$595:$K$599,MATCH($C773,'Staff Directory'!$B$5:$B$599,0)),$D773))</f>
        <v>TL/RPN</v>
      </c>
      <c r="AH773" t="str">
        <f>IF($C773="","",IFERROR(INDEX('Staff Directory'!$I$595:$I$599,MATCH($C773,'Staff Directory'!$B$5:$B$599,0))&amp;" "&amp;INDEX('Staff Directory'!$J$595:$J$599,MATCH($C773,'Staff Directory'!$B$5:$B$599,0)),$AG773))</f>
        <v>TL/RPN</v>
      </c>
      <c r="AI773" s="102"/>
      <c r="AJ773" s="101">
        <f>IF($F773="","",SUMIFS($J$5:$J773,$F$5:$F773,$F773))</f>
        <v>116</v>
      </c>
      <c r="AK773" s="101">
        <f t="shared" ref="AK773:AK836" si="137">IF($F773="","",MAX(1,$AJ773-MAX($J773,0)+1))</f>
        <v>115</v>
      </c>
      <c r="AL773" s="66" t="str" cm="1">
        <f t="array" ref="AL773">IF($F773="","",IFERROR(INDEX('Lot Balance'!$B$5:$B$500,MATCH(1,INDEX(('Lot Balance'!$A$5:$A$500=$F773)*('Lot Balance'!$K$5:$K$500&lt;$AK773)*('Lot Balance'!$K$5:$K$500+'Lot Balance'!$D$5:$D$500&gt;=$AK773),0),0)),""))</f>
        <v/>
      </c>
      <c r="AM773" s="66" t="str" cm="1">
        <f t="array" ref="AM773">IF($F773="","",IFERROR(INDEX('Lot Balance'!$B$5:$B$500,MATCH(1,INDEX(('Lot Balance'!$A$5:$A$500=$F773)*('Lot Balance'!$K$5:$K$500&lt;$AJ773)*('Lot Balance'!$K$5:$K$500+'Lot Balance'!$D$5:$D$500&gt;=$AJ773),0),0)),""))</f>
        <v/>
      </c>
      <c r="AN773" s="66" t="str">
        <f>IF($F773="","",IF($AI773&lt;&gt;"",IF(COUNTIFS('Lot Balance'!$A$5:$A$500,$F773,'Lot Balance'!$B$5:$B$500,$AI773)=0,"⚠ override is not a lot of this item",IF($AI773=$AL773,"Override = FEFO","Override - FEFO says "&amp;$AL773)),IF($AL773="","⚠ no receipt on file for this item",IF($AM773&lt;&gt;$AL773,"FEFO auto - split, also "&amp;$AM773,"FEFO auto"))))</f>
        <v>⚠ no receipt on file for this item</v>
      </c>
      <c r="AO773" s="114"/>
    </row>
    <row r="774" spans="1:41" x14ac:dyDescent="0.35">
      <c r="A774" s="74">
        <v>46162</v>
      </c>
      <c r="B774" s="18" t="str">
        <f>IF($C774="","",IFERROR(INDEX('Staff Directory'!$A$5:$A$594,MATCH($C774,'Staff Directory'!$B$5:$B$594,0)),"⚠ unknown staff"))</f>
        <v>TL/RPN-002-A9</v>
      </c>
      <c r="C774" s="49" t="s">
        <v>1065</v>
      </c>
      <c r="D774" s="19" t="str">
        <f>IF($B774="","",IFERROR(INDEX('Staff Directory'!$C$5:$C$594,MATCH($B774,'Staff Directory'!$A$5:$A$594,0)),""))</f>
        <v>TL/RPN</v>
      </c>
      <c r="E774" s="19" t="str">
        <f>IF($B774="","",IFERROR(INDEX('Staff Directory'!$D$5:$D$594,MATCH($B774,'Staff Directory'!$A$5:$A$594,0)),""))</f>
        <v>A9</v>
      </c>
      <c r="F774" s="9" t="s">
        <v>193</v>
      </c>
      <c r="G774" s="18" t="str">
        <f>IF($F774="","",IFERROR(INDEX(Items!$B$5:$B$597,MATCH($F774,Items!$A$5:$A$597,0)),"⚠ not in Items"))</f>
        <v>Wipes</v>
      </c>
      <c r="H774" s="19">
        <f>IF($F774="","",IFERROR(INDEX(Items!$C$5:$C$597,MATCH($F774,Items!$A$5:$A$597,0)),""))</f>
        <v>160</v>
      </c>
      <c r="I774" s="23">
        <f>IF($F774="","",IFERROR(INDEX(Items!$E$5:$E$597,MATCH($F774,Items!$A$5:$A$597,0)),""))</f>
        <v>160</v>
      </c>
      <c r="J774" s="115">
        <f>IF(tblIssues[[#This Row],[Qty Override]]&lt;&gt;"",tblIssues[[#This Row],[Qty Override]],IF(tblIssues[[#This Row],[Standard Issue]]="","",tblIssues[[#This Row],[Standard Issue]]))</f>
        <v>160</v>
      </c>
      <c r="K774" s="20">
        <f>IF($F774="","",IFERROR(INDEX(Items!$D$5:$D$597,MATCH($F774,Items!$A$5:$A$597,0)),""))</f>
        <v>0</v>
      </c>
      <c r="L774" s="21">
        <f t="shared" si="127"/>
        <v>0</v>
      </c>
      <c r="M774" s="9" t="str">
        <f t="shared" ref="M774:M837" si="138">IF($F774="","",IF($AI774&lt;&gt;"",$AI774,$AL774))</f>
        <v>22625VXO7</v>
      </c>
      <c r="N774" s="24">
        <f>IF($A774="","",WORKDAY($A774,Settings!$C$9,HolidayDates))</f>
        <v>46170</v>
      </c>
      <c r="O774" s="24">
        <f>IF($N774="","",WORKDAY($N774,Settings!$C$10,HolidayDates))</f>
        <v>46210</v>
      </c>
      <c r="P774" s="10" t="s">
        <v>501</v>
      </c>
      <c r="Q774" s="52" t="str">
        <f t="shared" si="130"/>
        <v>Collected</v>
      </c>
      <c r="R774" s="55" t="str">
        <f t="shared" si="131"/>
        <v>2026-05</v>
      </c>
      <c r="S774" s="55">
        <f>IF(OR($B774="",$F774="",$R774=""),"",SUMIFS(tblIssues[Qty Issued],tblIssues[Staff ID],$B774,tblIssues[Item Name],$F774,tblIssues[Month],$R774))</f>
        <v>320</v>
      </c>
      <c r="T774" s="56">
        <f>IF($I774="","",$I774*Settings!$C$11)</f>
        <v>160</v>
      </c>
      <c r="U774" s="57" t="str">
        <f t="shared" ref="U774:U837" si="139">IF(OR($S774="",$T774=""),"",IF($S774&gt;$T774,IF($Y774="Approved","APPROVED BY TL","⚠ OVER QUOTA"),"OK"))</f>
        <v>⚠ OVER QUOTA</v>
      </c>
      <c r="V774" s="55" t="str">
        <f t="shared" si="132"/>
        <v>TL/RPN-002-A9 | Disinfectant Wipes OS | 2026-05</v>
      </c>
      <c r="W774" s="55" t="str">
        <f>IF($V774="","",IF(COUNTIF($V$5:$V774,$V774)=1,1,""))</f>
        <v/>
      </c>
      <c r="X774" s="58" t="str">
        <f>IF($W774="","",MAX($X$4:X773)+1)</f>
        <v/>
      </c>
      <c r="Y774" s="62"/>
      <c r="Z774" s="62"/>
      <c r="AA774" s="64" t="str">
        <f>IF($C774="","",IFERROR(INDEX('Staff Directory'!$E$5:$E$594,MATCH($C774,'Staff Directory'!$B$5:$B$594,0)),""))</f>
        <v>firstname149.lastname149@example.com</v>
      </c>
      <c r="AB774" s="64" t="str">
        <f>IF($C774="","",IF(ISNUMBER(SEARCH($D774,Settings!$C$15)),"Pickup","Dispatch"))</f>
        <v>Dispatch</v>
      </c>
      <c r="AC774" s="64" t="str">
        <f t="shared" si="133"/>
        <v>Supply order dispatched</v>
      </c>
      <c r="AD774" s="64" t="str">
        <f t="shared" si="135"/>
        <v>Dear TL/RPN,
Your order has been dispatched and is in transit. Reply if undelivered.</v>
      </c>
      <c r="AE774" s="64" t="str">
        <f t="shared" si="136"/>
        <v>mailto:firstname149.lastname149@example.com?subject=Supply%20order%20dispatched&amp;body=Dear%20TL%2FRPN%2C%0A%0AYour%20order%20has%20been%20dispatched%20and%20is%20in%20transit.%20Reply%20if%20undelivered.</v>
      </c>
      <c r="AF774" s="89" t="str">
        <f t="shared" si="134"/>
        <v>Draft email</v>
      </c>
      <c r="AG774" s="64" t="str">
        <f>IF($C774="","",IFERROR(INDEX('Staff Directory'!$K$595:$K$599,MATCH($C774,'Staff Directory'!$B$5:$B$599,0)),$D774))</f>
        <v>TL/RPN</v>
      </c>
      <c r="AH774" t="str">
        <f>IF($C774="","",IFERROR(INDEX('Staff Directory'!$I$595:$I$599,MATCH($C774,'Staff Directory'!$B$5:$B$599,0))&amp;" "&amp;INDEX('Staff Directory'!$J$595:$J$599,MATCH($C774,'Staff Directory'!$B$5:$B$599,0)),$AG774))</f>
        <v>TL/RPN</v>
      </c>
      <c r="AI774" s="102"/>
      <c r="AJ774" s="101">
        <f>IF($F774="","",SUMIFS($J$5:$J774,$F$5:$F774,$F774))</f>
        <v>960</v>
      </c>
      <c r="AK774" s="101">
        <f t="shared" si="137"/>
        <v>801</v>
      </c>
      <c r="AL774" s="66" t="str" cm="1">
        <f t="array" ref="AL774">IF($F774="","",IFERROR(INDEX('Lot Balance'!$B$5:$B$500,MATCH(1,INDEX(('Lot Balance'!$A$5:$A$500=$F774)*('Lot Balance'!$K$5:$K$500&lt;$AK774)*('Lot Balance'!$K$5:$K$500+'Lot Balance'!$D$5:$D$500&gt;=$AK774),0),0)),""))</f>
        <v>22625VXO7</v>
      </c>
      <c r="AM774" s="66" t="str" cm="1">
        <f t="array" ref="AM774">IF($F774="","",IFERROR(INDEX('Lot Balance'!$B$5:$B$500,MATCH(1,INDEX(('Lot Balance'!$A$5:$A$500=$F774)*('Lot Balance'!$K$5:$K$500&lt;$AJ774)*('Lot Balance'!$K$5:$K$500+'Lot Balance'!$D$5:$D$500&gt;=$AJ774),0),0)),""))</f>
        <v>22625VXO7</v>
      </c>
      <c r="AN774" s="66" t="str">
        <f>IF($F774="","",IF($AI774&lt;&gt;"",IF(COUNTIFS('Lot Balance'!$A$5:$A$500,$F774,'Lot Balance'!$B$5:$B$500,$AI774)=0,"⚠ override is not a lot of this item",IF($AI774=$AL774,"Override = FEFO","Override - FEFO says "&amp;$AL774)),IF($AL774="","⚠ no receipt on file for this item",IF($AM774&lt;&gt;$AL774,"FEFO auto - split, also "&amp;$AM774,"FEFO auto"))))</f>
        <v>FEFO auto</v>
      </c>
      <c r="AO774" s="114"/>
    </row>
    <row r="775" spans="1:41" x14ac:dyDescent="0.35">
      <c r="A775" s="74">
        <v>46162</v>
      </c>
      <c r="B775" s="18" t="str">
        <f>IF($C775="","",IFERROR(INDEX('Staff Directory'!$A$5:$A$594,MATCH($C775,'Staff Directory'!$B$5:$B$594,0)),"⚠ unknown staff"))</f>
        <v>TL/RPN-002-A9</v>
      </c>
      <c r="C775" s="49" t="s">
        <v>1065</v>
      </c>
      <c r="D775" s="19" t="str">
        <f>IF($B775="","",IFERROR(INDEX('Staff Directory'!$C$5:$C$594,MATCH($B775,'Staff Directory'!$A$5:$A$594,0)),""))</f>
        <v>TL/RPN</v>
      </c>
      <c r="E775" s="19" t="str">
        <f>IF($B775="","",IFERROR(INDEX('Staff Directory'!$D$5:$D$594,MATCH($B775,'Staff Directory'!$A$5:$A$594,0)),""))</f>
        <v>A9</v>
      </c>
      <c r="F775" s="9" t="s">
        <v>191</v>
      </c>
      <c r="G775" s="18" t="str">
        <f>IF($F775="","",IFERROR(INDEX(Items!$B$5:$B$597,MATCH($F775,Items!$A$5:$A$597,0)),"⚠ not in Items"))</f>
        <v>Sanitizer</v>
      </c>
      <c r="H775" s="19" t="str">
        <f>IF($F775="","",IFERROR(INDEX(Items!$C$5:$C$597,MATCH($F775,Items!$A$5:$A$597,0)),""))</f>
        <v>236 ML</v>
      </c>
      <c r="I775" s="23">
        <f>IF($F775="","",IFERROR(INDEX(Items!$E$5:$E$597,MATCH($F775,Items!$A$5:$A$597,0)),""))</f>
        <v>1</v>
      </c>
      <c r="J775" s="115">
        <f>IF(tblIssues[[#This Row],[Qty Override]]&lt;&gt;"",tblIssues[[#This Row],[Qty Override]],IF(tblIssues[[#This Row],[Standard Issue]]="","",tblIssues[[#This Row],[Standard Issue]]))</f>
        <v>1</v>
      </c>
      <c r="K775" s="20">
        <f>IF($F775="","",IFERROR(INDEX(Items!$D$5:$D$597,MATCH($F775,Items!$A$5:$A$597,0)),""))</f>
        <v>1E-4</v>
      </c>
      <c r="L775" s="21">
        <f t="shared" si="127"/>
        <v>1E-4</v>
      </c>
      <c r="M775" s="9" t="str">
        <f t="shared" si="138"/>
        <v>20-21734-3</v>
      </c>
      <c r="N775" s="24">
        <f>IF($A775="","",WORKDAY($A775,Settings!$C$9,HolidayDates))</f>
        <v>46170</v>
      </c>
      <c r="O775" s="24">
        <f>IF($N775="","",WORKDAY($N775,Settings!$C$10,HolidayDates))</f>
        <v>46210</v>
      </c>
      <c r="P775" s="10" t="s">
        <v>501</v>
      </c>
      <c r="Q775" s="52" t="str">
        <f t="shared" si="130"/>
        <v>Collected</v>
      </c>
      <c r="R775" s="55" t="str">
        <f t="shared" si="131"/>
        <v>2026-05</v>
      </c>
      <c r="S775" s="55">
        <f>IF(OR($B775="",$F775="",$R775=""),"",SUMIFS(tblIssues[Qty Issued],tblIssues[Staff ID],$B775,tblIssues[Item Name],$F775,tblIssues[Month],$R775))</f>
        <v>1</v>
      </c>
      <c r="T775" s="56">
        <f>IF($I775="","",$I775*Settings!$C$11)</f>
        <v>1</v>
      </c>
      <c r="U775" s="57" t="str">
        <f t="shared" si="139"/>
        <v>OK</v>
      </c>
      <c r="V775" s="55" t="str">
        <f t="shared" si="132"/>
        <v/>
      </c>
      <c r="W775" s="55" t="str">
        <f>IF($V775="","",IF(COUNTIF($V$5:$V775,$V775)=1,1,""))</f>
        <v/>
      </c>
      <c r="X775" s="58" t="str">
        <f>IF($W775="","",MAX($X$4:X774)+1)</f>
        <v/>
      </c>
      <c r="Y775" s="62"/>
      <c r="Z775" s="62"/>
      <c r="AA775" s="64" t="str">
        <f>IF($C775="","",IFERROR(INDEX('Staff Directory'!$E$5:$E$594,MATCH($C775,'Staff Directory'!$B$5:$B$594,0)),""))</f>
        <v>firstname149.lastname149@example.com</v>
      </c>
      <c r="AB775" s="64" t="str">
        <f>IF($C775="","",IF(ISNUMBER(SEARCH($D775,Settings!$C$15)),"Pickup","Dispatch"))</f>
        <v>Dispatch</v>
      </c>
      <c r="AC775" s="64" t="str">
        <f t="shared" si="133"/>
        <v>Supply order dispatched</v>
      </c>
      <c r="AD775" s="64" t="str">
        <f t="shared" si="135"/>
        <v>Dear TL/RPN,
Your order has been dispatched and is in transit. Reply if undelivered.</v>
      </c>
      <c r="AE775" s="64" t="str">
        <f t="shared" si="136"/>
        <v>mailto:firstname149.lastname149@example.com?subject=Supply%20order%20dispatched&amp;body=Dear%20TL%2FRPN%2C%0A%0AYour%20order%20has%20been%20dispatched%20and%20is%20in%20transit.%20Reply%20if%20undelivered.</v>
      </c>
      <c r="AF775" s="89" t="str">
        <f t="shared" si="134"/>
        <v>Draft email</v>
      </c>
      <c r="AG775" s="64" t="str">
        <f>IF($C775="","",IFERROR(INDEX('Staff Directory'!$K$595:$K$599,MATCH($C775,'Staff Directory'!$B$5:$B$599,0)),$D775))</f>
        <v>TL/RPN</v>
      </c>
      <c r="AH775" t="str">
        <f>IF($C775="","",IFERROR(INDEX('Staff Directory'!$I$595:$I$599,MATCH($C775,'Staff Directory'!$B$5:$B$599,0))&amp;" "&amp;INDEX('Staff Directory'!$J$595:$J$599,MATCH($C775,'Staff Directory'!$B$5:$B$599,0)),$AG775))</f>
        <v>TL/RPN</v>
      </c>
      <c r="AI775" s="102"/>
      <c r="AJ775" s="101">
        <f>IF($F775="","",SUMIFS($J$5:$J775,$F$5:$F775,$F775))</f>
        <v>96</v>
      </c>
      <c r="AK775" s="101">
        <f t="shared" si="137"/>
        <v>96</v>
      </c>
      <c r="AL775" s="66" t="str" cm="1">
        <f t="array" ref="AL775">IF($F775="","",IFERROR(INDEX('Lot Balance'!$B$5:$B$500,MATCH(1,INDEX(('Lot Balance'!$A$5:$A$500=$F775)*('Lot Balance'!$K$5:$K$500&lt;$AK775)*('Lot Balance'!$K$5:$K$500+'Lot Balance'!$D$5:$D$500&gt;=$AK775),0),0)),""))</f>
        <v>20-21734-3</v>
      </c>
      <c r="AM775" s="66" t="str" cm="1">
        <f t="array" ref="AM775">IF($F775="","",IFERROR(INDEX('Lot Balance'!$B$5:$B$500,MATCH(1,INDEX(('Lot Balance'!$A$5:$A$500=$F775)*('Lot Balance'!$K$5:$K$500&lt;$AJ775)*('Lot Balance'!$K$5:$K$500+'Lot Balance'!$D$5:$D$500&gt;=$AJ775),0),0)),""))</f>
        <v>20-21734-3</v>
      </c>
      <c r="AN775" s="66" t="str">
        <f>IF($F775="","",IF($AI775&lt;&gt;"",IF(COUNTIFS('Lot Balance'!$A$5:$A$500,$F775,'Lot Balance'!$B$5:$B$500,$AI775)=0,"⚠ override is not a lot of this item",IF($AI775=$AL775,"Override = FEFO","Override - FEFO says "&amp;$AL775)),IF($AL775="","⚠ no receipt on file for this item",IF($AM775&lt;&gt;$AL775,"FEFO auto - split, also "&amp;$AM775,"FEFO auto"))))</f>
        <v>FEFO auto</v>
      </c>
      <c r="AO775" s="114"/>
    </row>
    <row r="776" spans="1:41" x14ac:dyDescent="0.35">
      <c r="A776" s="74">
        <v>46162</v>
      </c>
      <c r="B776" s="18" t="str">
        <f>IF($C776="","",IFERROR(INDEX('Staff Directory'!$A$5:$A$594,MATCH($C776,'Staff Directory'!$B$5:$B$594,0)),"⚠ unknown staff"))</f>
        <v>TL/RPN-002-A9</v>
      </c>
      <c r="C776" s="49" t="s">
        <v>1065</v>
      </c>
      <c r="D776" s="19" t="str">
        <f>IF($B776="","",IFERROR(INDEX('Staff Directory'!$C$5:$C$594,MATCH($B776,'Staff Directory'!$A$5:$A$594,0)),""))</f>
        <v>TL/RPN</v>
      </c>
      <c r="E776" s="19" t="str">
        <f>IF($B776="","",IFERROR(INDEX('Staff Directory'!$D$5:$D$594,MATCH($B776,'Staff Directory'!$A$5:$A$594,0)),""))</f>
        <v>A9</v>
      </c>
      <c r="F776" s="9" t="s">
        <v>127</v>
      </c>
      <c r="G776" s="18" t="str">
        <f>IF($F776="","",IFERROR(INDEX(Items!$B$5:$B$597,MATCH($F776,Items!$A$5:$A$597,0)),"⚠ not in Items"))</f>
        <v>Gloves</v>
      </c>
      <c r="H776" s="19" t="str">
        <f>IF($F776="","",IFERROR(INDEX(Items!$C$5:$C$597,MATCH($F776,Items!$A$5:$A$597,0)),""))</f>
        <v>Medium</v>
      </c>
      <c r="I776" s="23">
        <f>IF($F776="","",IFERROR(INDEX(Items!$E$5:$E$597,MATCH($F776,Items!$A$5:$A$597,0)),""))</f>
        <v>500</v>
      </c>
      <c r="J776" s="115">
        <f>IF(tblIssues[[#This Row],[Qty Override]]&lt;&gt;"",tblIssues[[#This Row],[Qty Override]],IF(tblIssues[[#This Row],[Standard Issue]]="","",tblIssues[[#This Row],[Standard Issue]]))</f>
        <v>500</v>
      </c>
      <c r="K776" s="20">
        <f>IF($F776="","",IFERROR(INDEX(Items!$D$5:$D$597,MATCH($F776,Items!$A$5:$A$597,0)),""))</f>
        <v>5.5E-2</v>
      </c>
      <c r="L776" s="21">
        <f t="shared" ref="L776:L839" si="140">IF(OR($J776="",$K776=""),"",$J776*$K776)</f>
        <v>27.5</v>
      </c>
      <c r="M776" s="9" t="str">
        <f t="shared" si="138"/>
        <v>ZIM504126040-4</v>
      </c>
      <c r="N776" s="24">
        <f>IF($A776="","",WORKDAY($A776,Settings!$C$9,HolidayDates))</f>
        <v>46170</v>
      </c>
      <c r="O776" s="24">
        <f>IF($N776="","",WORKDAY($N776,Settings!$C$10,HolidayDates))</f>
        <v>46210</v>
      </c>
      <c r="P776" s="10" t="s">
        <v>501</v>
      </c>
      <c r="Q776" s="52" t="str">
        <f t="shared" si="130"/>
        <v>Collected</v>
      </c>
      <c r="R776" s="55" t="str">
        <f t="shared" si="131"/>
        <v>2026-05</v>
      </c>
      <c r="S776" s="55">
        <f>IF(OR($B776="",$F776="",$R776=""),"",SUMIFS(tblIssues[Qty Issued],tblIssues[Staff ID],$B776,tblIssues[Item Name],$F776,tblIssues[Month],$R776))</f>
        <v>500</v>
      </c>
      <c r="T776" s="56">
        <f>IF($I776="","",$I776*Settings!$C$11)</f>
        <v>500</v>
      </c>
      <c r="U776" s="57" t="str">
        <f t="shared" si="139"/>
        <v>OK</v>
      </c>
      <c r="V776" s="55" t="str">
        <f t="shared" si="132"/>
        <v/>
      </c>
      <c r="W776" s="55" t="str">
        <f>IF($V776="","",IF(COUNTIF($V$5:$V776,$V776)=1,1,""))</f>
        <v/>
      </c>
      <c r="X776" s="58" t="str">
        <f>IF($W776="","",MAX($X$4:X775)+1)</f>
        <v/>
      </c>
      <c r="Y776" s="62"/>
      <c r="Z776" s="62"/>
      <c r="AA776" s="64" t="str">
        <f>IF($C776="","",IFERROR(INDEX('Staff Directory'!$E$5:$E$594,MATCH($C776,'Staff Directory'!$B$5:$B$594,0)),""))</f>
        <v>firstname149.lastname149@example.com</v>
      </c>
      <c r="AB776" s="64" t="str">
        <f>IF($C776="","",IF(ISNUMBER(SEARCH($D776,Settings!$C$15)),"Pickup","Dispatch"))</f>
        <v>Dispatch</v>
      </c>
      <c r="AC776" s="64" t="str">
        <f t="shared" si="133"/>
        <v>Supply order dispatched</v>
      </c>
      <c r="AD776" s="64" t="str">
        <f t="shared" si="135"/>
        <v>Dear TL/RPN,
Your order has been dispatched and is in transit. Reply if undelivered.</v>
      </c>
      <c r="AE776" s="64" t="str">
        <f t="shared" si="136"/>
        <v>mailto:firstname149.lastname149@example.com?subject=Supply%20order%20dispatched&amp;body=Dear%20TL%2FRPN%2C%0A%0AYour%20order%20has%20been%20dispatched%20and%20is%20in%20transit.%20Reply%20if%20undelivered.</v>
      </c>
      <c r="AF776" s="89" t="str">
        <f t="shared" si="134"/>
        <v>Draft email</v>
      </c>
      <c r="AG776" s="64" t="str">
        <f>IF($C776="","",IFERROR(INDEX('Staff Directory'!$K$595:$K$599,MATCH($C776,'Staff Directory'!$B$5:$B$599,0)),$D776))</f>
        <v>TL/RPN</v>
      </c>
      <c r="AH776" t="str">
        <f>IF($C776="","",IFERROR(INDEX('Staff Directory'!$I$595:$I$599,MATCH($C776,'Staff Directory'!$B$5:$B$599,0))&amp;" "&amp;INDEX('Staff Directory'!$J$595:$J$599,MATCH($C776,'Staff Directory'!$B$5:$B$599,0)),$AG776))</f>
        <v>TL/RPN</v>
      </c>
      <c r="AI776" s="102"/>
      <c r="AJ776" s="101">
        <f>IF($F776="","",SUMIFS($J$5:$J776,$F$5:$F776,$F776))</f>
        <v>45500</v>
      </c>
      <c r="AK776" s="101">
        <f t="shared" si="137"/>
        <v>45001</v>
      </c>
      <c r="AL776" s="66" t="str" cm="1">
        <f t="array" ref="AL776">IF($F776="","",IFERROR(INDEX('Lot Balance'!$B$5:$B$500,MATCH(1,INDEX(('Lot Balance'!$A$5:$A$500=$F776)*('Lot Balance'!$K$5:$K$500&lt;$AK776)*('Lot Balance'!$K$5:$K$500+'Lot Balance'!$D$5:$D$500&gt;=$AK776),0),0)),""))</f>
        <v>ZIM504126040-4</v>
      </c>
      <c r="AM776" s="66" t="str" cm="1">
        <f t="array" ref="AM776">IF($F776="","",IFERROR(INDEX('Lot Balance'!$B$5:$B$500,MATCH(1,INDEX(('Lot Balance'!$A$5:$A$500=$F776)*('Lot Balance'!$K$5:$K$500&lt;$AJ776)*('Lot Balance'!$K$5:$K$500+'Lot Balance'!$D$5:$D$500&gt;=$AJ776),0),0)),""))</f>
        <v>ZIM504126040-4</v>
      </c>
      <c r="AN776" s="66" t="str">
        <f>IF($F776="","",IF($AI776&lt;&gt;"",IF(COUNTIFS('Lot Balance'!$A$5:$A$500,$F776,'Lot Balance'!$B$5:$B$500,$AI776)=0,"⚠ override is not a lot of this item",IF($AI776=$AL776,"Override = FEFO","Override - FEFO says "&amp;$AL776)),IF($AL776="","⚠ no receipt on file for this item",IF($AM776&lt;&gt;$AL776,"FEFO auto - split, also "&amp;$AM776,"FEFO auto"))))</f>
        <v>FEFO auto</v>
      </c>
      <c r="AO776" s="114"/>
    </row>
    <row r="777" spans="1:41" x14ac:dyDescent="0.35">
      <c r="A777" s="74">
        <v>46162</v>
      </c>
      <c r="B777" s="18" t="str">
        <f>IF($C777="","",IFERROR(INDEX('Staff Directory'!$A$5:$A$594,MATCH($C777,'Staff Directory'!$B$5:$B$594,0)),"⚠ unknown staff"))</f>
        <v>TL/RPN-002-A9</v>
      </c>
      <c r="C777" s="49" t="s">
        <v>1065</v>
      </c>
      <c r="D777" s="19" t="str">
        <f>IF($B777="","",IFERROR(INDEX('Staff Directory'!$C$5:$C$594,MATCH($B777,'Staff Directory'!$A$5:$A$594,0)),""))</f>
        <v>TL/RPN</v>
      </c>
      <c r="E777" s="19" t="str">
        <f>IF($B777="","",IFERROR(INDEX('Staff Directory'!$D$5:$D$594,MATCH($B777,'Staff Directory'!$A$5:$A$594,0)),""))</f>
        <v>A9</v>
      </c>
      <c r="F777" s="9" t="s">
        <v>156</v>
      </c>
      <c r="G777" s="18" t="str">
        <f>IF($F777="","",IFERROR(INDEX(Items!$B$5:$B$597,MATCH($F777,Items!$A$5:$A$597,0)),"⚠ not in Items"))</f>
        <v>Masks</v>
      </c>
      <c r="H777" s="19" t="str">
        <f>IF($F777="","",IFERROR(INDEX(Items!$C$5:$C$597,MATCH($F777,Items!$A$5:$A$597,0)),""))</f>
        <v>One Size</v>
      </c>
      <c r="I777" s="23">
        <f>IF($F777="","",IFERROR(INDEX(Items!$E$5:$E$597,MATCH($F777,Items!$A$5:$A$597,0)),""))</f>
        <v>50</v>
      </c>
      <c r="J777" s="115">
        <f>IF(tblIssues[[#This Row],[Qty Override]]&lt;&gt;"",tblIssues[[#This Row],[Qty Override]],IF(tblIssues[[#This Row],[Standard Issue]]="","",tblIssues[[#This Row],[Standard Issue]]))</f>
        <v>50</v>
      </c>
      <c r="K777" s="20">
        <f>IF($F777="","",IFERROR(INDEX(Items!$D$5:$D$597,MATCH($F777,Items!$A$5:$A$597,0)),""))</f>
        <v>0.25</v>
      </c>
      <c r="L777" s="21">
        <f t="shared" si="140"/>
        <v>12.5</v>
      </c>
      <c r="M777" s="9" t="str">
        <f t="shared" si="138"/>
        <v>0125FPC24-1</v>
      </c>
      <c r="N777" s="24">
        <f>IF($A777="","",WORKDAY($A777,Settings!$C$9,HolidayDates))</f>
        <v>46170</v>
      </c>
      <c r="O777" s="24">
        <f>IF($N777="","",WORKDAY($N777,Settings!$C$10,HolidayDates))</f>
        <v>46210</v>
      </c>
      <c r="P777" s="10" t="s">
        <v>501</v>
      </c>
      <c r="Q777" s="52" t="str">
        <f t="shared" si="130"/>
        <v>Collected</v>
      </c>
      <c r="R777" s="55" t="str">
        <f t="shared" si="131"/>
        <v>2026-05</v>
      </c>
      <c r="S777" s="55">
        <f>IF(OR($B777="",$F777="",$R777=""),"",SUMIFS(tblIssues[Qty Issued],tblIssues[Staff ID],$B777,tblIssues[Item Name],$F777,tblIssues[Month],$R777))</f>
        <v>50</v>
      </c>
      <c r="T777" s="56">
        <f>IF($I777="","",$I777*Settings!$C$11)</f>
        <v>50</v>
      </c>
      <c r="U777" s="57" t="str">
        <f t="shared" si="139"/>
        <v>OK</v>
      </c>
      <c r="V777" s="55" t="str">
        <f t="shared" si="132"/>
        <v/>
      </c>
      <c r="W777" s="55" t="str">
        <f>IF($V777="","",IF(COUNTIF($V$5:$V777,$V777)=1,1,""))</f>
        <v/>
      </c>
      <c r="X777" s="58" t="str">
        <f>IF($W777="","",MAX($X$4:X776)+1)</f>
        <v/>
      </c>
      <c r="Y777" s="62"/>
      <c r="Z777" s="62"/>
      <c r="AA777" s="64" t="str">
        <f>IF($C777="","",IFERROR(INDEX('Staff Directory'!$E$5:$E$594,MATCH($C777,'Staff Directory'!$B$5:$B$594,0)),""))</f>
        <v>firstname149.lastname149@example.com</v>
      </c>
      <c r="AB777" s="64" t="str">
        <f>IF($C777="","",IF(ISNUMBER(SEARCH($D777,Settings!$C$15)),"Pickup","Dispatch"))</f>
        <v>Dispatch</v>
      </c>
      <c r="AC777" s="64" t="str">
        <f t="shared" si="133"/>
        <v>Supply order dispatched</v>
      </c>
      <c r="AD777" s="64" t="str">
        <f t="shared" si="135"/>
        <v>Dear TL/RPN,
Your order has been dispatched and is in transit. Reply if undelivered.</v>
      </c>
      <c r="AE777" s="64" t="str">
        <f t="shared" si="136"/>
        <v>mailto:firstname149.lastname149@example.com?subject=Supply%20order%20dispatched&amp;body=Dear%20TL%2FRPN%2C%0A%0AYour%20order%20has%20been%20dispatched%20and%20is%20in%20transit.%20Reply%20if%20undelivered.</v>
      </c>
      <c r="AF777" s="89" t="str">
        <f t="shared" si="134"/>
        <v>Draft email</v>
      </c>
      <c r="AG777" s="64" t="str">
        <f>IF($C777="","",IFERROR(INDEX('Staff Directory'!$K$595:$K$599,MATCH($C777,'Staff Directory'!$B$5:$B$599,0)),$D777))</f>
        <v>TL/RPN</v>
      </c>
      <c r="AH777" t="str">
        <f>IF($C777="","",IFERROR(INDEX('Staff Directory'!$I$595:$I$599,MATCH($C777,'Staff Directory'!$B$5:$B$599,0))&amp;" "&amp;INDEX('Staff Directory'!$J$595:$J$599,MATCH($C777,'Staff Directory'!$B$5:$B$599,0)),$AG777))</f>
        <v>TL/RPN</v>
      </c>
      <c r="AI777" s="102"/>
      <c r="AJ777" s="101">
        <f>IF($F777="","",SUMIFS($J$5:$J777,$F$5:$F777,$F777))</f>
        <v>6400</v>
      </c>
      <c r="AK777" s="101">
        <f t="shared" si="137"/>
        <v>6351</v>
      </c>
      <c r="AL777" s="66" t="str" cm="1">
        <f t="array" ref="AL777">IF($F777="","",IFERROR(INDEX('Lot Balance'!$B$5:$B$500,MATCH(1,INDEX(('Lot Balance'!$A$5:$A$500=$F777)*('Lot Balance'!$K$5:$K$500&lt;$AK777)*('Lot Balance'!$K$5:$K$500+'Lot Balance'!$D$5:$D$500&gt;=$AK777),0),0)),""))</f>
        <v>0125FPC24-1</v>
      </c>
      <c r="AM777" s="66" t="str" cm="1">
        <f t="array" ref="AM777">IF($F777="","",IFERROR(INDEX('Lot Balance'!$B$5:$B$500,MATCH(1,INDEX(('Lot Balance'!$A$5:$A$500=$F777)*('Lot Balance'!$K$5:$K$500&lt;$AJ777)*('Lot Balance'!$K$5:$K$500+'Lot Balance'!$D$5:$D$500&gt;=$AJ777),0),0)),""))</f>
        <v>0125FPC24-1</v>
      </c>
      <c r="AN777" s="66" t="str">
        <f>IF($F777="","",IF($AI777&lt;&gt;"",IF(COUNTIFS('Lot Balance'!$A$5:$A$500,$F777,'Lot Balance'!$B$5:$B$500,$AI777)=0,"⚠ override is not a lot of this item",IF($AI777=$AL777,"Override = FEFO","Override - FEFO says "&amp;$AL777)),IF($AL777="","⚠ no receipt on file for this item",IF($AM777&lt;&gt;$AL777,"FEFO auto - split, also "&amp;$AM777,"FEFO auto"))))</f>
        <v>FEFO auto</v>
      </c>
      <c r="AO777" s="114"/>
    </row>
    <row r="778" spans="1:41" x14ac:dyDescent="0.35">
      <c r="A778" s="74">
        <v>46162</v>
      </c>
      <c r="B778" s="18" t="str">
        <f>IF($C778="","",IFERROR(INDEX('Staff Directory'!$A$5:$A$594,MATCH($C778,'Staff Directory'!$B$5:$B$594,0)),"⚠ unknown staff"))</f>
        <v>PSW-004-A4</v>
      </c>
      <c r="C778" s="49" t="s">
        <v>980</v>
      </c>
      <c r="D778" s="19" t="str">
        <f>IF($B778="","",IFERROR(INDEX('Staff Directory'!$C$5:$C$594,MATCH($B778,'Staff Directory'!$A$5:$A$594,0)),""))</f>
        <v>PSW</v>
      </c>
      <c r="E778" s="19" t="str">
        <f>IF($B778="","",IFERROR(INDEX('Staff Directory'!$D$5:$D$594,MATCH($B778,'Staff Directory'!$A$5:$A$594,0)),""))</f>
        <v>A4</v>
      </c>
      <c r="F778" s="9" t="s">
        <v>129</v>
      </c>
      <c r="G778" s="18" t="str">
        <f>IF($F778="","",IFERROR(INDEX(Items!$B$5:$B$597,MATCH($F778,Items!$A$5:$A$597,0)),"⚠ not in Items"))</f>
        <v>Gloves</v>
      </c>
      <c r="H778" s="19" t="str">
        <f>IF($F778="","",IFERROR(INDEX(Items!$C$5:$C$597,MATCH($F778,Items!$A$5:$A$597,0)),""))</f>
        <v>Small</v>
      </c>
      <c r="I778" s="23">
        <f>IF($F778="","",IFERROR(INDEX(Items!$E$5:$E$597,MATCH($F778,Items!$A$5:$A$597,0)),""))</f>
        <v>500</v>
      </c>
      <c r="J778" s="115">
        <f>IF(tblIssues[[#This Row],[Qty Override]]&lt;&gt;"",tblIssues[[#This Row],[Qty Override]],IF(tblIssues[[#This Row],[Standard Issue]]="","",tblIssues[[#This Row],[Standard Issue]]))</f>
        <v>500</v>
      </c>
      <c r="K778" s="20">
        <f>IF($F778="","",IFERROR(INDEX(Items!$D$5:$D$597,MATCH($F778,Items!$A$5:$A$597,0)),""))</f>
        <v>5.5E-2</v>
      </c>
      <c r="L778" s="21">
        <f t="shared" si="140"/>
        <v>27.5</v>
      </c>
      <c r="M778" s="9" t="str">
        <f t="shared" si="138"/>
        <v>O211LIC25-1</v>
      </c>
      <c r="N778" s="24">
        <f>IF($A778="","",WORKDAY($A778,Settings!$C$9,HolidayDates))</f>
        <v>46170</v>
      </c>
      <c r="O778" s="24">
        <f>IF($N778="","",WORKDAY($N778,Settings!$C$10,HolidayDates))</f>
        <v>46210</v>
      </c>
      <c r="P778" s="10" t="s">
        <v>501</v>
      </c>
      <c r="Q778" s="52" t="str">
        <f t="shared" si="130"/>
        <v>Collected</v>
      </c>
      <c r="R778" s="55" t="str">
        <f t="shared" si="131"/>
        <v>2026-05</v>
      </c>
      <c r="S778" s="55">
        <f>IF(OR($B778="",$F778="",$R778=""),"",SUMIFS(tblIssues[Qty Issued],tblIssues[Staff ID],$B778,tblIssues[Item Name],$F778,tblIssues[Month],$R778))</f>
        <v>500</v>
      </c>
      <c r="T778" s="56">
        <f>IF($I778="","",$I778*Settings!$C$11)</f>
        <v>500</v>
      </c>
      <c r="U778" s="57" t="str">
        <f t="shared" si="139"/>
        <v>OK</v>
      </c>
      <c r="V778" s="55" t="str">
        <f t="shared" si="132"/>
        <v/>
      </c>
      <c r="W778" s="55" t="str">
        <f>IF($V778="","",IF(COUNTIF($V$5:$V778,$V778)=1,1,""))</f>
        <v/>
      </c>
      <c r="X778" s="58" t="str">
        <f>IF($W778="","",MAX($X$4:X777)+1)</f>
        <v/>
      </c>
      <c r="Y778" s="62"/>
      <c r="Z778" s="62"/>
      <c r="AA778" s="64" t="str">
        <f>IF($C778="","",IFERROR(INDEX('Staff Directory'!$E$5:$E$594,MATCH($C778,'Staff Directory'!$B$5:$B$594,0)),""))</f>
        <v>firstname064.lastname064@example.com</v>
      </c>
      <c r="AB778" s="64" t="str">
        <f>IF($C778="","",IF(ISNUMBER(SEARCH($D778,Settings!$C$15)),"Pickup","Dispatch"))</f>
        <v>Pickup</v>
      </c>
      <c r="AC778" s="64" t="str">
        <f t="shared" si="133"/>
        <v>Supply order ready for pickup</v>
      </c>
      <c r="AD778" s="64" t="str">
        <f t="shared" si="135"/>
        <v>Dear PSW,
Your order is ready for pickup from Sample Branch, Wed-Fri 9am-4pm.</v>
      </c>
      <c r="AE778" s="64" t="str">
        <f t="shared" si="136"/>
        <v>mailto:firstname064.lastname064@example.com?subject=Supply%20order%20ready%20for%20pickup&amp;body=Dear%20PSW%2C%0A%0AYour%20order%20is%20ready%20for%20pickup%20from%20Sample%20Branch%2C%20Wed-Fri%209am-4pm.</v>
      </c>
      <c r="AF778" s="89" t="str">
        <f t="shared" si="134"/>
        <v>Draft email</v>
      </c>
      <c r="AG778" s="64" t="str">
        <f>IF($C778="","",IFERROR(INDEX('Staff Directory'!$K$595:$K$599,MATCH($C778,'Staff Directory'!$B$5:$B$599,0)),$D778))</f>
        <v>PSW</v>
      </c>
      <c r="AH778" t="str">
        <f>IF($C778="","",IFERROR(INDEX('Staff Directory'!$I$595:$I$599,MATCH($C778,'Staff Directory'!$B$5:$B$599,0))&amp;" "&amp;INDEX('Staff Directory'!$J$595:$J$599,MATCH($C778,'Staff Directory'!$B$5:$B$599,0)),$AG778))</f>
        <v>PSW</v>
      </c>
      <c r="AI778" s="102"/>
      <c r="AJ778" s="101">
        <f>IF($F778="","",SUMIFS($J$5:$J778,$F$5:$F778,$F778))</f>
        <v>28000</v>
      </c>
      <c r="AK778" s="101">
        <f t="shared" si="137"/>
        <v>27501</v>
      </c>
      <c r="AL778" s="66" t="str" cm="1">
        <f t="array" ref="AL778">IF($F778="","",IFERROR(INDEX('Lot Balance'!$B$5:$B$500,MATCH(1,INDEX(('Lot Balance'!$A$5:$A$500=$F778)*('Lot Balance'!$K$5:$K$500&lt;$AK778)*('Lot Balance'!$K$5:$K$500+'Lot Balance'!$D$5:$D$500&gt;=$AK778),0),0)),""))</f>
        <v>O211LIC25-1</v>
      </c>
      <c r="AM778" s="66" t="str" cm="1">
        <f t="array" ref="AM778">IF($F778="","",IFERROR(INDEX('Lot Balance'!$B$5:$B$500,MATCH(1,INDEX(('Lot Balance'!$A$5:$A$500=$F778)*('Lot Balance'!$K$5:$K$500&lt;$AJ778)*('Lot Balance'!$K$5:$K$500+'Lot Balance'!$D$5:$D$500&gt;=$AJ778),0),0)),""))</f>
        <v>O211LIC25-1</v>
      </c>
      <c r="AN778" s="66" t="str">
        <f>IF($F778="","",IF($AI778&lt;&gt;"",IF(COUNTIFS('Lot Balance'!$A$5:$A$500,$F778,'Lot Balance'!$B$5:$B$500,$AI778)=0,"⚠ override is not a lot of this item",IF($AI778=$AL778,"Override = FEFO","Override - FEFO says "&amp;$AL778)),IF($AL778="","⚠ no receipt on file for this item",IF($AM778&lt;&gt;$AL778,"FEFO auto - split, also "&amp;$AM778,"FEFO auto"))))</f>
        <v>FEFO auto</v>
      </c>
      <c r="AO778" s="114"/>
    </row>
    <row r="779" spans="1:41" x14ac:dyDescent="0.35">
      <c r="A779" s="74">
        <v>46162</v>
      </c>
      <c r="B779" s="18" t="str">
        <f>IF($C779="","",IFERROR(INDEX('Staff Directory'!$A$5:$A$594,MATCH($C779,'Staff Directory'!$B$5:$B$594,0)),"⚠ unknown staff"))</f>
        <v>PSW-004-A4</v>
      </c>
      <c r="C779" s="49" t="s">
        <v>980</v>
      </c>
      <c r="D779" s="19" t="str">
        <f>IF($B779="","",IFERROR(INDEX('Staff Directory'!$C$5:$C$594,MATCH($B779,'Staff Directory'!$A$5:$A$594,0)),""))</f>
        <v>PSW</v>
      </c>
      <c r="E779" s="19" t="str">
        <f>IF($B779="","",IFERROR(INDEX('Staff Directory'!$D$5:$D$594,MATCH($B779,'Staff Directory'!$A$5:$A$594,0)),""))</f>
        <v>A4</v>
      </c>
      <c r="F779" s="9" t="s">
        <v>115</v>
      </c>
      <c r="G779" s="18" t="str">
        <f>IF($F779="","",IFERROR(INDEX(Items!$B$5:$B$597,MATCH($F779,Items!$A$5:$A$597,0)),"⚠ not in Items"))</f>
        <v>Wipes</v>
      </c>
      <c r="H779" s="19">
        <f>IF($F779="","",IFERROR(INDEX(Items!$C$5:$C$597,MATCH($F779,Items!$A$5:$A$597,0)),""))</f>
        <v>80</v>
      </c>
      <c r="I779" s="23">
        <f>IF($F779="","",IFERROR(INDEX(Items!$E$5:$E$597,MATCH($F779,Items!$A$5:$A$597,0)),""))</f>
        <v>80</v>
      </c>
      <c r="J779" s="115">
        <f>IF(tblIssues[[#This Row],[Qty Override]]&lt;&gt;"",tblIssues[[#This Row],[Qty Override]],IF(tblIssues[[#This Row],[Standard Issue]]="","",tblIssues[[#This Row],[Standard Issue]]))</f>
        <v>80</v>
      </c>
      <c r="K779" s="20">
        <f>IF($F779="","",IFERROR(INDEX(Items!$D$5:$D$597,MATCH($F779,Items!$A$5:$A$597,0)),""))</f>
        <v>0.1</v>
      </c>
      <c r="L779" s="21">
        <f t="shared" si="140"/>
        <v>8</v>
      </c>
      <c r="M779" s="9" t="str">
        <f t="shared" si="138"/>
        <v>LYSL500290</v>
      </c>
      <c r="N779" s="24">
        <f>IF($A779="","",WORKDAY($A779,Settings!$C$9,HolidayDates))</f>
        <v>46170</v>
      </c>
      <c r="O779" s="24">
        <f>IF($N779="","",WORKDAY($N779,Settings!$C$10,HolidayDates))</f>
        <v>46210</v>
      </c>
      <c r="P779" s="10" t="s">
        <v>501</v>
      </c>
      <c r="Q779" s="52" t="str">
        <f t="shared" si="130"/>
        <v>Collected</v>
      </c>
      <c r="R779" s="55" t="str">
        <f t="shared" si="131"/>
        <v>2026-05</v>
      </c>
      <c r="S779" s="55">
        <f>IF(OR($B779="",$F779="",$R779=""),"",SUMIFS(tblIssues[Qty Issued],tblIssues[Staff ID],$B779,tblIssues[Item Name],$F779,tblIssues[Month],$R779))</f>
        <v>80</v>
      </c>
      <c r="T779" s="56">
        <f>IF($I779="","",$I779*Settings!$C$11)</f>
        <v>80</v>
      </c>
      <c r="U779" s="57" t="str">
        <f t="shared" si="139"/>
        <v>OK</v>
      </c>
      <c r="V779" s="55" t="str">
        <f t="shared" si="132"/>
        <v/>
      </c>
      <c r="W779" s="55" t="str">
        <f>IF($V779="","",IF(COUNTIF($V$5:$V779,$V779)=1,1,""))</f>
        <v/>
      </c>
      <c r="X779" s="58" t="str">
        <f>IF($W779="","",MAX($X$4:X778)+1)</f>
        <v/>
      </c>
      <c r="Y779" s="62"/>
      <c r="Z779" s="62"/>
      <c r="AA779" s="64" t="str">
        <f>IF($C779="","",IFERROR(INDEX('Staff Directory'!$E$5:$E$594,MATCH($C779,'Staff Directory'!$B$5:$B$594,0)),""))</f>
        <v>firstname064.lastname064@example.com</v>
      </c>
      <c r="AB779" s="64" t="str">
        <f>IF($C779="","",IF(ISNUMBER(SEARCH($D779,Settings!$C$15)),"Pickup","Dispatch"))</f>
        <v>Pickup</v>
      </c>
      <c r="AC779" s="64" t="str">
        <f t="shared" si="133"/>
        <v>Supply order ready for pickup</v>
      </c>
      <c r="AD779" s="64" t="str">
        <f t="shared" si="135"/>
        <v>Dear PSW,
Your order is ready for pickup from Sample Branch, Wed-Fri 9am-4pm.</v>
      </c>
      <c r="AE779" s="64" t="str">
        <f t="shared" si="136"/>
        <v>mailto:firstname064.lastname064@example.com?subject=Supply%20order%20ready%20for%20pickup&amp;body=Dear%20PSW%2C%0A%0AYour%20order%20is%20ready%20for%20pickup%20from%20Sample%20Branch%2C%20Wed-Fri%209am-4pm.</v>
      </c>
      <c r="AF779" s="89" t="str">
        <f t="shared" si="134"/>
        <v>Draft email</v>
      </c>
      <c r="AG779" s="64" t="str">
        <f>IF($C779="","",IFERROR(INDEX('Staff Directory'!$K$595:$K$599,MATCH($C779,'Staff Directory'!$B$5:$B$599,0)),$D779))</f>
        <v>PSW</v>
      </c>
      <c r="AH779" t="str">
        <f>IF($C779="","",IFERROR(INDEX('Staff Directory'!$I$595:$I$599,MATCH($C779,'Staff Directory'!$B$5:$B$599,0))&amp;" "&amp;INDEX('Staff Directory'!$J$595:$J$599,MATCH($C779,'Staff Directory'!$B$5:$B$599,0)),$AG779))</f>
        <v>PSW</v>
      </c>
      <c r="AI779" s="102"/>
      <c r="AJ779" s="101">
        <f>IF($F779="","",SUMIFS($J$5:$J779,$F$5:$F779,$F779))</f>
        <v>10800</v>
      </c>
      <c r="AK779" s="101">
        <f t="shared" si="137"/>
        <v>10721</v>
      </c>
      <c r="AL779" s="66" t="str" cm="1">
        <f t="array" ref="AL779">IF($F779="","",IFERROR(INDEX('Lot Balance'!$B$5:$B$500,MATCH(1,INDEX(('Lot Balance'!$A$5:$A$500=$F779)*('Lot Balance'!$K$5:$K$500&lt;$AK779)*('Lot Balance'!$K$5:$K$500+'Lot Balance'!$D$5:$D$500&gt;=$AK779),0),0)),""))</f>
        <v>LYSL500290</v>
      </c>
      <c r="AM779" s="66" t="str" cm="1">
        <f t="array" ref="AM779">IF($F779="","",IFERROR(INDEX('Lot Balance'!$B$5:$B$500,MATCH(1,INDEX(('Lot Balance'!$A$5:$A$500=$F779)*('Lot Balance'!$K$5:$K$500&lt;$AJ779)*('Lot Balance'!$K$5:$K$500+'Lot Balance'!$D$5:$D$500&gt;=$AJ779),0),0)),""))</f>
        <v>LYSL500290</v>
      </c>
      <c r="AN779" s="66" t="str">
        <f>IF($F779="","",IF($AI779&lt;&gt;"",IF(COUNTIFS('Lot Balance'!$A$5:$A$500,$F779,'Lot Balance'!$B$5:$B$500,$AI779)=0,"⚠ override is not a lot of this item",IF($AI779=$AL779,"Override = FEFO","Override - FEFO says "&amp;$AL779)),IF($AL779="","⚠ no receipt on file for this item",IF($AM779&lt;&gt;$AL779,"FEFO auto - split, also "&amp;$AM779,"FEFO auto"))))</f>
        <v>FEFO auto</v>
      </c>
      <c r="AO779" s="114"/>
    </row>
    <row r="780" spans="1:41" x14ac:dyDescent="0.35">
      <c r="A780" s="74">
        <v>46162</v>
      </c>
      <c r="B780" s="18" t="str">
        <f>IF($C780="","",IFERROR(INDEX('Staff Directory'!$A$5:$A$594,MATCH($C780,'Staff Directory'!$B$5:$B$594,0)),"⚠ unknown staff"))</f>
        <v>PSW-004-A4</v>
      </c>
      <c r="C780" s="49" t="s">
        <v>980</v>
      </c>
      <c r="D780" s="19" t="str">
        <f>IF($B780="","",IFERROR(INDEX('Staff Directory'!$C$5:$C$594,MATCH($B780,'Staff Directory'!$A$5:$A$594,0)),""))</f>
        <v>PSW</v>
      </c>
      <c r="E780" s="19" t="str">
        <f>IF($B780="","",IFERROR(INDEX('Staff Directory'!$D$5:$D$594,MATCH($B780,'Staff Directory'!$A$5:$A$594,0)),""))</f>
        <v>A4</v>
      </c>
      <c r="F780" s="9" t="s">
        <v>156</v>
      </c>
      <c r="G780" s="18" t="str">
        <f>IF($F780="","",IFERROR(INDEX(Items!$B$5:$B$597,MATCH($F780,Items!$A$5:$A$597,0)),"⚠ not in Items"))</f>
        <v>Masks</v>
      </c>
      <c r="H780" s="19" t="str">
        <f>IF($F780="","",IFERROR(INDEX(Items!$C$5:$C$597,MATCH($F780,Items!$A$5:$A$597,0)),""))</f>
        <v>One Size</v>
      </c>
      <c r="I780" s="23">
        <f>IF($F780="","",IFERROR(INDEX(Items!$E$5:$E$597,MATCH($F780,Items!$A$5:$A$597,0)),""))</f>
        <v>50</v>
      </c>
      <c r="J780" s="115">
        <f>IF(tblIssues[[#This Row],[Qty Override]]&lt;&gt;"",tblIssues[[#This Row],[Qty Override]],IF(tblIssues[[#This Row],[Standard Issue]]="","",tblIssues[[#This Row],[Standard Issue]]))</f>
        <v>50</v>
      </c>
      <c r="K780" s="20">
        <f>IF($F780="","",IFERROR(INDEX(Items!$D$5:$D$597,MATCH($F780,Items!$A$5:$A$597,0)),""))</f>
        <v>0.25</v>
      </c>
      <c r="L780" s="21">
        <f t="shared" si="140"/>
        <v>12.5</v>
      </c>
      <c r="M780" s="9" t="str">
        <f t="shared" si="138"/>
        <v>0125FPC24-1</v>
      </c>
      <c r="N780" s="24">
        <f>IF($A780="","",WORKDAY($A780,Settings!$C$9,HolidayDates))</f>
        <v>46170</v>
      </c>
      <c r="O780" s="24">
        <f>IF($N780="","",WORKDAY($N780,Settings!$C$10,HolidayDates))</f>
        <v>46210</v>
      </c>
      <c r="P780" s="10" t="s">
        <v>501</v>
      </c>
      <c r="Q780" s="52" t="str">
        <f t="shared" si="130"/>
        <v>Collected</v>
      </c>
      <c r="R780" s="55" t="str">
        <f t="shared" si="131"/>
        <v>2026-05</v>
      </c>
      <c r="S780" s="55">
        <f>IF(OR($B780="",$F780="",$R780=""),"",SUMIFS(tblIssues[Qty Issued],tblIssues[Staff ID],$B780,tblIssues[Item Name],$F780,tblIssues[Month],$R780))</f>
        <v>50</v>
      </c>
      <c r="T780" s="56">
        <f>IF($I780="","",$I780*Settings!$C$11)</f>
        <v>50</v>
      </c>
      <c r="U780" s="57" t="str">
        <f t="shared" si="139"/>
        <v>OK</v>
      </c>
      <c r="V780" s="55" t="str">
        <f t="shared" si="132"/>
        <v/>
      </c>
      <c r="W780" s="55" t="str">
        <f>IF($V780="","",IF(COUNTIF($V$5:$V780,$V780)=1,1,""))</f>
        <v/>
      </c>
      <c r="X780" s="58" t="str">
        <f>IF($W780="","",MAX($X$4:X779)+1)</f>
        <v/>
      </c>
      <c r="Y780" s="62"/>
      <c r="Z780" s="62"/>
      <c r="AA780" s="64" t="str">
        <f>IF($C780="","",IFERROR(INDEX('Staff Directory'!$E$5:$E$594,MATCH($C780,'Staff Directory'!$B$5:$B$594,0)),""))</f>
        <v>firstname064.lastname064@example.com</v>
      </c>
      <c r="AB780" s="64" t="str">
        <f>IF($C780="","",IF(ISNUMBER(SEARCH($D780,Settings!$C$15)),"Pickup","Dispatch"))</f>
        <v>Pickup</v>
      </c>
      <c r="AC780" s="64" t="str">
        <f t="shared" si="133"/>
        <v>Supply order ready for pickup</v>
      </c>
      <c r="AD780" s="64" t="str">
        <f t="shared" si="135"/>
        <v>Dear PSW,
Your order is ready for pickup from Sample Branch, Wed-Fri 9am-4pm.</v>
      </c>
      <c r="AE780" s="64" t="str">
        <f t="shared" si="136"/>
        <v>mailto:firstname064.lastname064@example.com?subject=Supply%20order%20ready%20for%20pickup&amp;body=Dear%20PSW%2C%0A%0AYour%20order%20is%20ready%20for%20pickup%20from%20Sample%20Branch%2C%20Wed-Fri%209am-4pm.</v>
      </c>
      <c r="AF780" s="89" t="str">
        <f t="shared" si="134"/>
        <v>Draft email</v>
      </c>
      <c r="AG780" s="64" t="str">
        <f>IF($C780="","",IFERROR(INDEX('Staff Directory'!$K$595:$K$599,MATCH($C780,'Staff Directory'!$B$5:$B$599,0)),$D780))</f>
        <v>PSW</v>
      </c>
      <c r="AH780" t="str">
        <f>IF($C780="","",IFERROR(INDEX('Staff Directory'!$I$595:$I$599,MATCH($C780,'Staff Directory'!$B$5:$B$599,0))&amp;" "&amp;INDEX('Staff Directory'!$J$595:$J$599,MATCH($C780,'Staff Directory'!$B$5:$B$599,0)),$AG780))</f>
        <v>PSW</v>
      </c>
      <c r="AI780" s="102"/>
      <c r="AJ780" s="101">
        <f>IF($F780="","",SUMIFS($J$5:$J780,$F$5:$F780,$F780))</f>
        <v>6450</v>
      </c>
      <c r="AK780" s="101">
        <f t="shared" si="137"/>
        <v>6401</v>
      </c>
      <c r="AL780" s="66" t="str" cm="1">
        <f t="array" ref="AL780">IF($F780="","",IFERROR(INDEX('Lot Balance'!$B$5:$B$500,MATCH(1,INDEX(('Lot Balance'!$A$5:$A$500=$F780)*('Lot Balance'!$K$5:$K$500&lt;$AK780)*('Lot Balance'!$K$5:$K$500+'Lot Balance'!$D$5:$D$500&gt;=$AK780),0),0)),""))</f>
        <v>0125FPC24-1</v>
      </c>
      <c r="AM780" s="66" t="str" cm="1">
        <f t="array" ref="AM780">IF($F780="","",IFERROR(INDEX('Lot Balance'!$B$5:$B$500,MATCH(1,INDEX(('Lot Balance'!$A$5:$A$500=$F780)*('Lot Balance'!$K$5:$K$500&lt;$AJ780)*('Lot Balance'!$K$5:$K$500+'Lot Balance'!$D$5:$D$500&gt;=$AJ780),0),0)),""))</f>
        <v>0125FPC24-1</v>
      </c>
      <c r="AN780" s="66" t="str">
        <f>IF($F780="","",IF($AI780&lt;&gt;"",IF(COUNTIFS('Lot Balance'!$A$5:$A$500,$F780,'Lot Balance'!$B$5:$B$500,$AI780)=0,"⚠ override is not a lot of this item",IF($AI780=$AL780,"Override = FEFO","Override - FEFO says "&amp;$AL780)),IF($AL780="","⚠ no receipt on file for this item",IF($AM780&lt;&gt;$AL780,"FEFO auto - split, also "&amp;$AM780,"FEFO auto"))))</f>
        <v>FEFO auto</v>
      </c>
      <c r="AO780" s="114"/>
    </row>
    <row r="781" spans="1:41" x14ac:dyDescent="0.35">
      <c r="A781" s="74">
        <v>46164</v>
      </c>
      <c r="B781" s="18" t="str">
        <f>IF($C781="","",IFERROR(INDEX('Staff Directory'!$A$5:$A$594,MATCH($C781,'Staff Directory'!$B$5:$B$594,0)),"⚠ unknown staff"))</f>
        <v>PSW-107-A6</v>
      </c>
      <c r="C781" s="49" t="s">
        <v>1085</v>
      </c>
      <c r="D781" s="19" t="str">
        <f>IF($B781="","",IFERROR(INDEX('Staff Directory'!$C$5:$C$594,MATCH($B781,'Staff Directory'!$A$5:$A$594,0)),""))</f>
        <v>PSW</v>
      </c>
      <c r="E781" s="19" t="str">
        <f>IF($B781="","",IFERROR(INDEX('Staff Directory'!$D$5:$D$594,MATCH($B781,'Staff Directory'!$A$5:$A$594,0)),""))</f>
        <v>A6</v>
      </c>
      <c r="F781" s="9" t="s">
        <v>758</v>
      </c>
      <c r="G781" s="18" t="str">
        <f>IF($F781="","",IFERROR(INDEX(Items!$B$5:$B$597,MATCH($F781,Items!$A$5:$A$597,0)),"⚠ not in Items"))</f>
        <v>Utility</v>
      </c>
      <c r="H781" s="19" t="str">
        <f>IF($F781="","",IFERROR(INDEX(Items!$C$5:$C$597,MATCH($F781,Items!$A$5:$A$597,0)),""))</f>
        <v>Standard</v>
      </c>
      <c r="I781" s="23">
        <f>IF($F781="","",IFERROR(INDEX(Items!$E$5:$E$597,MATCH($F781,Items!$A$5:$A$597,0)),""))</f>
        <v>1</v>
      </c>
      <c r="J781" s="115">
        <f>IF(tblIssues[[#This Row],[Qty Override]]&lt;&gt;"",tblIssues[[#This Row],[Qty Override]],IF(tblIssues[[#This Row],[Standard Issue]]="","",tblIssues[[#This Row],[Standard Issue]]))</f>
        <v>1</v>
      </c>
      <c r="K781" s="20">
        <f>IF($F781="","",IFERROR(INDEX(Items!$D$5:$D$597,MATCH($F781,Items!$A$5:$A$597,0)),""))</f>
        <v>0</v>
      </c>
      <c r="L781" s="21">
        <f t="shared" si="140"/>
        <v>0</v>
      </c>
      <c r="M781" s="9" t="str">
        <f t="shared" si="138"/>
        <v/>
      </c>
      <c r="N781" s="24">
        <f>IF($A781="","",WORKDAY($A781,Settings!$C$9,HolidayDates))</f>
        <v>46174</v>
      </c>
      <c r="O781" s="24">
        <f>IF($N781="","",WORKDAY($N781,Settings!$C$10,HolidayDates))</f>
        <v>46212</v>
      </c>
      <c r="P781" s="10" t="s">
        <v>501</v>
      </c>
      <c r="Q781" s="52" t="str">
        <f t="shared" si="130"/>
        <v>Collected</v>
      </c>
      <c r="R781" s="55" t="str">
        <f t="shared" si="131"/>
        <v>2026-05</v>
      </c>
      <c r="S781" s="55">
        <f>IF(OR($B781="",$F781="",$R781=""),"",SUMIFS(tblIssues[Qty Issued],tblIssues[Staff ID],$B781,tblIssues[Item Name],$F781,tblIssues[Month],$R781))</f>
        <v>1</v>
      </c>
      <c r="T781" s="56">
        <f>IF($I781="","",$I781*Settings!$C$11)</f>
        <v>1</v>
      </c>
      <c r="U781" s="57" t="str">
        <f t="shared" si="139"/>
        <v>OK</v>
      </c>
      <c r="V781" s="55" t="str">
        <f t="shared" si="132"/>
        <v/>
      </c>
      <c r="W781" s="55" t="str">
        <f>IF($V781="","",IF(COUNTIF($V$5:$V781,$V781)=1,1,""))</f>
        <v/>
      </c>
      <c r="X781" s="58" t="str">
        <f>IF($W781="","",MAX($X$4:X780)+1)</f>
        <v/>
      </c>
      <c r="Y781" s="62"/>
      <c r="Z781" s="62"/>
      <c r="AA781" s="64" t="str">
        <f>IF($C781="","",IFERROR(INDEX('Staff Directory'!$E$5:$E$594,MATCH($C781,'Staff Directory'!$B$5:$B$594,0)),""))</f>
        <v>firstname169.lastname169@example.com</v>
      </c>
      <c r="AB781" s="64" t="str">
        <f>IF($C781="","",IF(ISNUMBER(SEARCH($D781,Settings!$C$15)),"Pickup","Dispatch"))</f>
        <v>Pickup</v>
      </c>
      <c r="AC781" s="64" t="str">
        <f t="shared" si="133"/>
        <v>Supply order ready for pickup</v>
      </c>
      <c r="AD781" s="64" t="str">
        <f t="shared" si="135"/>
        <v>Dear PSW,
Your order is ready for pickup from Sample Branch, Wed-Fri 9am-4pm.</v>
      </c>
      <c r="AE781" s="64" t="str">
        <f t="shared" si="136"/>
        <v>mailto:firstname169.lastname169@example.com?subject=Supply%20order%20ready%20for%20pickup&amp;body=Dear%20PSW%2C%0A%0AYour%20order%20is%20ready%20for%20pickup%20from%20Sample%20Branch%2C%20Wed-Fri%209am-4pm.</v>
      </c>
      <c r="AF781" s="89" t="str">
        <f t="shared" si="134"/>
        <v>Draft email</v>
      </c>
      <c r="AG781" s="64" t="str">
        <f>IF($C781="","",IFERROR(INDEX('Staff Directory'!$K$595:$K$599,MATCH($C781,'Staff Directory'!$B$5:$B$599,0)),$D781))</f>
        <v>PSW</v>
      </c>
      <c r="AH781" t="str">
        <f>IF($C781="","",IFERROR(INDEX('Staff Directory'!$I$595:$I$599,MATCH($C781,'Staff Directory'!$B$5:$B$599,0))&amp;" "&amp;INDEX('Staff Directory'!$J$595:$J$599,MATCH($C781,'Staff Directory'!$B$5:$B$599,0)),$AG781))</f>
        <v>PSW</v>
      </c>
      <c r="AI781" s="102"/>
      <c r="AJ781" s="101">
        <f>IF($F781="","",SUMIFS($J$5:$J781,$F$5:$F781,$F781))</f>
        <v>1</v>
      </c>
      <c r="AK781" s="101">
        <f t="shared" si="137"/>
        <v>1</v>
      </c>
      <c r="AL781" s="66" t="str" cm="1">
        <f t="array" ref="AL781">IF($F781="","",IFERROR(INDEX('Lot Balance'!$B$5:$B$500,MATCH(1,INDEX(('Lot Balance'!$A$5:$A$500=$F781)*('Lot Balance'!$K$5:$K$500&lt;$AK781)*('Lot Balance'!$K$5:$K$500+'Lot Balance'!$D$5:$D$500&gt;=$AK781),0),0)),""))</f>
        <v/>
      </c>
      <c r="AM781" s="66" t="str" cm="1">
        <f t="array" ref="AM781">IF($F781="","",IFERROR(INDEX('Lot Balance'!$B$5:$B$500,MATCH(1,INDEX(('Lot Balance'!$A$5:$A$500=$F781)*('Lot Balance'!$K$5:$K$500&lt;$AJ781)*('Lot Balance'!$K$5:$K$500+'Lot Balance'!$D$5:$D$500&gt;=$AJ781),0),0)),""))</f>
        <v/>
      </c>
      <c r="AN781" s="66" t="str">
        <f>IF($F781="","",IF($AI781&lt;&gt;"",IF(COUNTIFS('Lot Balance'!$A$5:$A$500,$F781,'Lot Balance'!$B$5:$B$500,$AI781)=0,"⚠ override is not a lot of this item",IF($AI781=$AL781,"Override = FEFO","Override - FEFO says "&amp;$AL781)),IF($AL781="","⚠ no receipt on file for this item",IF($AM781&lt;&gt;$AL781,"FEFO auto - split, also "&amp;$AM781,"FEFO auto"))))</f>
        <v>⚠ no receipt on file for this item</v>
      </c>
      <c r="AO781" s="114"/>
    </row>
    <row r="782" spans="1:41" x14ac:dyDescent="0.35">
      <c r="A782" s="74">
        <v>46164</v>
      </c>
      <c r="B782" s="18" t="str">
        <f>IF($C782="","",IFERROR(INDEX('Staff Directory'!$A$5:$A$594,MATCH($C782,'Staff Directory'!$B$5:$B$594,0)),"⚠ unknown staff"))</f>
        <v>PSW-043-A5</v>
      </c>
      <c r="C782" s="49" t="s">
        <v>1018</v>
      </c>
      <c r="D782" s="19" t="str">
        <f>IF($B782="","",IFERROR(INDEX('Staff Directory'!$C$5:$C$594,MATCH($B782,'Staff Directory'!$A$5:$A$594,0)),""))</f>
        <v>PSW</v>
      </c>
      <c r="E782" s="19" t="str">
        <f>IF($B782="","",IFERROR(INDEX('Staff Directory'!$D$5:$D$594,MATCH($B782,'Staff Directory'!$A$5:$A$594,0)),""))</f>
        <v>A5</v>
      </c>
      <c r="F782" s="9" t="s">
        <v>758</v>
      </c>
      <c r="G782" s="18" t="str">
        <f>IF($F782="","",IFERROR(INDEX(Items!$B$5:$B$597,MATCH($F782,Items!$A$5:$A$597,0)),"⚠ not in Items"))</f>
        <v>Utility</v>
      </c>
      <c r="H782" s="19" t="str">
        <f>IF($F782="","",IFERROR(INDEX(Items!$C$5:$C$597,MATCH($F782,Items!$A$5:$A$597,0)),""))</f>
        <v>Standard</v>
      </c>
      <c r="I782" s="23">
        <f>IF($F782="","",IFERROR(INDEX(Items!$E$5:$E$597,MATCH($F782,Items!$A$5:$A$597,0)),""))</f>
        <v>1</v>
      </c>
      <c r="J782" s="115">
        <f>IF(tblIssues[[#This Row],[Qty Override]]&lt;&gt;"",tblIssues[[#This Row],[Qty Override]],IF(tblIssues[[#This Row],[Standard Issue]]="","",tblIssues[[#This Row],[Standard Issue]]))</f>
        <v>1</v>
      </c>
      <c r="K782" s="20">
        <f>IF($F782="","",IFERROR(INDEX(Items!$D$5:$D$597,MATCH($F782,Items!$A$5:$A$597,0)),""))</f>
        <v>0</v>
      </c>
      <c r="L782" s="21">
        <f t="shared" si="140"/>
        <v>0</v>
      </c>
      <c r="M782" s="9" t="str">
        <f t="shared" si="138"/>
        <v/>
      </c>
      <c r="N782" s="24">
        <f>IF($A782="","",WORKDAY($A782,Settings!$C$9,HolidayDates))</f>
        <v>46174</v>
      </c>
      <c r="O782" s="24">
        <f>IF($N782="","",WORKDAY($N782,Settings!$C$10,HolidayDates))</f>
        <v>46212</v>
      </c>
      <c r="P782" s="10" t="s">
        <v>501</v>
      </c>
      <c r="Q782" s="52" t="str">
        <f t="shared" ref="Q782:Q845" si="141">IF($A782="","",IF($P782&lt;&gt;"","Collected","Pending"))</f>
        <v>Collected</v>
      </c>
      <c r="R782" s="55" t="str">
        <f t="shared" ref="R782:R845" si="142">IF($A782="","",TEXT($A782,"yyyy-mm"))</f>
        <v>2026-05</v>
      </c>
      <c r="S782" s="55">
        <f>IF(OR($B782="",$F782="",$R782=""),"",SUMIFS(tblIssues[Qty Issued],tblIssues[Staff ID],$B782,tblIssues[Item Name],$F782,tblIssues[Month],$R782))</f>
        <v>1</v>
      </c>
      <c r="T782" s="56">
        <f>IF($I782="","",$I782*Settings!$C$11)</f>
        <v>1</v>
      </c>
      <c r="U782" s="57" t="str">
        <f t="shared" si="139"/>
        <v>OK</v>
      </c>
      <c r="V782" s="55" t="str">
        <f t="shared" ref="V782:V845" si="143">IF($U782="⚠ OVER QUOTA",$B782&amp;" | "&amp;$F782&amp;" | "&amp;$R782,"")</f>
        <v/>
      </c>
      <c r="W782" s="55" t="str">
        <f>IF($V782="","",IF(COUNTIF($V$5:$V782,$V782)=1,1,""))</f>
        <v/>
      </c>
      <c r="X782" s="58" t="str">
        <f>IF($W782="","",MAX($X$4:X781)+1)</f>
        <v/>
      </c>
      <c r="Y782" s="62"/>
      <c r="Z782" s="62"/>
      <c r="AA782" s="64" t="str">
        <f>IF($C782="","",IFERROR(INDEX('Staff Directory'!$E$5:$E$594,MATCH($C782,'Staff Directory'!$B$5:$B$594,0)),""))</f>
        <v>firstname102.lastname102@example.com</v>
      </c>
      <c r="AB782" s="64" t="str">
        <f>IF($C782="","",IF(ISNUMBER(SEARCH($D782,Settings!$C$15)),"Pickup","Dispatch"))</f>
        <v>Pickup</v>
      </c>
      <c r="AC782" s="64" t="str">
        <f t="shared" ref="AC782:AC845" si="144">IF($AB782="Pickup","Supply order ready for pickup",IF($AB782="Dispatch","Supply order dispatched",""))</f>
        <v>Supply order ready for pickup</v>
      </c>
      <c r="AD782" s="64" t="str">
        <f t="shared" si="135"/>
        <v>Dear PSW,
Your order is ready for pickup from Sample Branch, Wed-Fri 9am-4pm.</v>
      </c>
      <c r="AE782" s="64" t="str">
        <f t="shared" si="136"/>
        <v>mailto:firstname102.lastname102@example.com?subject=Supply%20order%20ready%20for%20pickup&amp;body=Dear%20PSW%2C%0A%0AYour%20order%20is%20ready%20for%20pickup%20from%20Sample%20Branch%2C%20Wed-Fri%209am-4pm.</v>
      </c>
      <c r="AF782" s="89" t="str">
        <f t="shared" ref="AF782:AF845" si="145">IF(AE782="","",HYPERLINK(AE782,"Draft email"))</f>
        <v>Draft email</v>
      </c>
      <c r="AG782" s="64" t="str">
        <f>IF($C782="","",IFERROR(INDEX('Staff Directory'!$K$595:$K$599,MATCH($C782,'Staff Directory'!$B$5:$B$599,0)),$D782))</f>
        <v>PSW</v>
      </c>
      <c r="AH782" t="str">
        <f>IF($C782="","",IFERROR(INDEX('Staff Directory'!$I$595:$I$599,MATCH($C782,'Staff Directory'!$B$5:$B$599,0))&amp;" "&amp;INDEX('Staff Directory'!$J$595:$J$599,MATCH($C782,'Staff Directory'!$B$5:$B$599,0)),$AG782))</f>
        <v>PSW</v>
      </c>
      <c r="AI782" s="102"/>
      <c r="AJ782" s="101">
        <f>IF($F782="","",SUMIFS($J$5:$J782,$F$5:$F782,$F782))</f>
        <v>2</v>
      </c>
      <c r="AK782" s="101">
        <f t="shared" si="137"/>
        <v>2</v>
      </c>
      <c r="AL782" s="66" t="str" cm="1">
        <f t="array" ref="AL782">IF($F782="","",IFERROR(INDEX('Lot Balance'!$B$5:$B$500,MATCH(1,INDEX(('Lot Balance'!$A$5:$A$500=$F782)*('Lot Balance'!$K$5:$K$500&lt;$AK782)*('Lot Balance'!$K$5:$K$500+'Lot Balance'!$D$5:$D$500&gt;=$AK782),0),0)),""))</f>
        <v/>
      </c>
      <c r="AM782" s="66" t="str" cm="1">
        <f t="array" ref="AM782">IF($F782="","",IFERROR(INDEX('Lot Balance'!$B$5:$B$500,MATCH(1,INDEX(('Lot Balance'!$A$5:$A$500=$F782)*('Lot Balance'!$K$5:$K$500&lt;$AJ782)*('Lot Balance'!$K$5:$K$500+'Lot Balance'!$D$5:$D$500&gt;=$AJ782),0),0)),""))</f>
        <v/>
      </c>
      <c r="AN782" s="66" t="str">
        <f>IF($F782="","",IF($AI782&lt;&gt;"",IF(COUNTIFS('Lot Balance'!$A$5:$A$500,$F782,'Lot Balance'!$B$5:$B$500,$AI782)=0,"⚠ override is not a lot of this item",IF($AI782=$AL782,"Override = FEFO","Override - FEFO says "&amp;$AL782)),IF($AL782="","⚠ no receipt on file for this item",IF($AM782&lt;&gt;$AL782,"FEFO auto - split, also "&amp;$AM782,"FEFO auto"))))</f>
        <v>⚠ no receipt on file for this item</v>
      </c>
      <c r="AO782" s="114"/>
    </row>
    <row r="783" spans="1:41" x14ac:dyDescent="0.35">
      <c r="A783" s="74">
        <v>46164</v>
      </c>
      <c r="B783" s="18" t="str">
        <f>IF($C783="","",IFERROR(INDEX('Staff Directory'!$A$5:$A$594,MATCH($C783,'Staff Directory'!$B$5:$B$594,0)),"⚠ unknown staff"))</f>
        <v>PSW-169-A6</v>
      </c>
      <c r="C783" s="49" t="s">
        <v>1148</v>
      </c>
      <c r="D783" s="19" t="str">
        <f>IF($B783="","",IFERROR(INDEX('Staff Directory'!$C$5:$C$594,MATCH($B783,'Staff Directory'!$A$5:$A$594,0)),""))</f>
        <v>PSW</v>
      </c>
      <c r="E783" s="19" t="str">
        <f>IF($B783="","",IFERROR(INDEX('Staff Directory'!$D$5:$D$594,MATCH($B783,'Staff Directory'!$A$5:$A$594,0)),""))</f>
        <v>A6</v>
      </c>
      <c r="F783" s="9" t="s">
        <v>758</v>
      </c>
      <c r="G783" s="18" t="str">
        <f>IF($F783="","",IFERROR(INDEX(Items!$B$5:$B$597,MATCH($F783,Items!$A$5:$A$597,0)),"⚠ not in Items"))</f>
        <v>Utility</v>
      </c>
      <c r="H783" s="19" t="str">
        <f>IF($F783="","",IFERROR(INDEX(Items!$C$5:$C$597,MATCH($F783,Items!$A$5:$A$597,0)),""))</f>
        <v>Standard</v>
      </c>
      <c r="I783" s="23">
        <f>IF($F783="","",IFERROR(INDEX(Items!$E$5:$E$597,MATCH($F783,Items!$A$5:$A$597,0)),""))</f>
        <v>1</v>
      </c>
      <c r="J783" s="115">
        <f>IF(tblIssues[[#This Row],[Qty Override]]&lt;&gt;"",tblIssues[[#This Row],[Qty Override]],IF(tblIssues[[#This Row],[Standard Issue]]="","",tblIssues[[#This Row],[Standard Issue]]))</f>
        <v>1</v>
      </c>
      <c r="K783" s="20">
        <f>IF($F783="","",IFERROR(INDEX(Items!$D$5:$D$597,MATCH($F783,Items!$A$5:$A$597,0)),""))</f>
        <v>0</v>
      </c>
      <c r="L783" s="21">
        <f t="shared" si="140"/>
        <v>0</v>
      </c>
      <c r="M783" s="9" t="str">
        <f t="shared" si="138"/>
        <v/>
      </c>
      <c r="N783" s="24">
        <f>IF($A783="","",WORKDAY($A783,Settings!$C$9,HolidayDates))</f>
        <v>46174</v>
      </c>
      <c r="O783" s="24">
        <f>IF($N783="","",WORKDAY($N783,Settings!$C$10,HolidayDates))</f>
        <v>46212</v>
      </c>
      <c r="P783" s="10" t="s">
        <v>501</v>
      </c>
      <c r="Q783" s="52" t="str">
        <f t="shared" si="141"/>
        <v>Collected</v>
      </c>
      <c r="R783" s="55" t="str">
        <f t="shared" si="142"/>
        <v>2026-05</v>
      </c>
      <c r="S783" s="55">
        <f>IF(OR($B783="",$F783="",$R783=""),"",SUMIFS(tblIssues[Qty Issued],tblIssues[Staff ID],$B783,tblIssues[Item Name],$F783,tblIssues[Month],$R783))</f>
        <v>1</v>
      </c>
      <c r="T783" s="56">
        <f>IF($I783="","",$I783*Settings!$C$11)</f>
        <v>1</v>
      </c>
      <c r="U783" s="57" t="str">
        <f t="shared" si="139"/>
        <v>OK</v>
      </c>
      <c r="V783" s="55" t="str">
        <f t="shared" si="143"/>
        <v/>
      </c>
      <c r="W783" s="55" t="str">
        <f>IF($V783="","",IF(COUNTIF($V$5:$V783,$V783)=1,1,""))</f>
        <v/>
      </c>
      <c r="X783" s="58" t="str">
        <f>IF($W783="","",MAX($X$4:X782)+1)</f>
        <v/>
      </c>
      <c r="Y783" s="62"/>
      <c r="Z783" s="62"/>
      <c r="AA783" s="64" t="str">
        <f>IF($C783="","",IFERROR(INDEX('Staff Directory'!$E$5:$E$594,MATCH($C783,'Staff Directory'!$B$5:$B$594,0)),""))</f>
        <v>firstname232.lastname232@example.com</v>
      </c>
      <c r="AB783" s="64" t="str">
        <f>IF($C783="","",IF(ISNUMBER(SEARCH($D783,Settings!$C$15)),"Pickup","Dispatch"))</f>
        <v>Pickup</v>
      </c>
      <c r="AC783" s="64" t="str">
        <f t="shared" si="144"/>
        <v>Supply order ready for pickup</v>
      </c>
      <c r="AD783" s="64" t="str">
        <f t="shared" si="135"/>
        <v>Dear PSW,
Your order is ready for pickup from Sample Branch, Wed-Fri 9am-4pm.</v>
      </c>
      <c r="AE783" s="64" t="str">
        <f t="shared" si="136"/>
        <v>mailto:firstname232.lastname232@example.com?subject=Supply%20order%20ready%20for%20pickup&amp;body=Dear%20PSW%2C%0A%0AYour%20order%20is%20ready%20for%20pickup%20from%20Sample%20Branch%2C%20Wed-Fri%209am-4pm.</v>
      </c>
      <c r="AF783" s="89" t="str">
        <f t="shared" si="145"/>
        <v>Draft email</v>
      </c>
      <c r="AG783" s="64" t="str">
        <f>IF($C783="","",IFERROR(INDEX('Staff Directory'!$K$595:$K$599,MATCH($C783,'Staff Directory'!$B$5:$B$599,0)),$D783))</f>
        <v>PSW</v>
      </c>
      <c r="AH783" t="str">
        <f>IF($C783="","",IFERROR(INDEX('Staff Directory'!$I$595:$I$599,MATCH($C783,'Staff Directory'!$B$5:$B$599,0))&amp;" "&amp;INDEX('Staff Directory'!$J$595:$J$599,MATCH($C783,'Staff Directory'!$B$5:$B$599,0)),$AG783))</f>
        <v>PSW</v>
      </c>
      <c r="AI783" s="102"/>
      <c r="AJ783" s="101">
        <f>IF($F783="","",SUMIFS($J$5:$J783,$F$5:$F783,$F783))</f>
        <v>3</v>
      </c>
      <c r="AK783" s="101">
        <f t="shared" si="137"/>
        <v>3</v>
      </c>
      <c r="AL783" s="66" t="str" cm="1">
        <f t="array" ref="AL783">IF($F783="","",IFERROR(INDEX('Lot Balance'!$B$5:$B$500,MATCH(1,INDEX(('Lot Balance'!$A$5:$A$500=$F783)*('Lot Balance'!$K$5:$K$500&lt;$AK783)*('Lot Balance'!$K$5:$K$500+'Lot Balance'!$D$5:$D$500&gt;=$AK783),0),0)),""))</f>
        <v/>
      </c>
      <c r="AM783" s="66" t="str" cm="1">
        <f t="array" ref="AM783">IF($F783="","",IFERROR(INDEX('Lot Balance'!$B$5:$B$500,MATCH(1,INDEX(('Lot Balance'!$A$5:$A$500=$F783)*('Lot Balance'!$K$5:$K$500&lt;$AJ783)*('Lot Balance'!$K$5:$K$500+'Lot Balance'!$D$5:$D$500&gt;=$AJ783),0),0)),""))</f>
        <v/>
      </c>
      <c r="AN783" s="66" t="str">
        <f>IF($F783="","",IF($AI783&lt;&gt;"",IF(COUNTIFS('Lot Balance'!$A$5:$A$500,$F783,'Lot Balance'!$B$5:$B$500,$AI783)=0,"⚠ override is not a lot of this item",IF($AI783=$AL783,"Override = FEFO","Override - FEFO says "&amp;$AL783)),IF($AL783="","⚠ no receipt on file for this item",IF($AM783&lt;&gt;$AL783,"FEFO auto - split, also "&amp;$AM783,"FEFO auto"))))</f>
        <v>⚠ no receipt on file for this item</v>
      </c>
      <c r="AO783" s="114"/>
    </row>
    <row r="784" spans="1:41" x14ac:dyDescent="0.35">
      <c r="A784" s="74">
        <v>46164</v>
      </c>
      <c r="B784" s="18" t="str">
        <f>IF($C784="","",IFERROR(INDEX('Staff Directory'!$A$5:$A$594,MATCH($C784,'Staff Directory'!$B$5:$B$594,0)),"⚠ unknown staff"))</f>
        <v>PSW-134-A6</v>
      </c>
      <c r="C784" s="49" t="s">
        <v>1113</v>
      </c>
      <c r="D784" s="19" t="str">
        <f>IF($B784="","",IFERROR(INDEX('Staff Directory'!$C$5:$C$594,MATCH($B784,'Staff Directory'!$A$5:$A$594,0)),""))</f>
        <v>PSW</v>
      </c>
      <c r="E784" s="19" t="str">
        <f>IF($B784="","",IFERROR(INDEX('Staff Directory'!$D$5:$D$594,MATCH($B784,'Staff Directory'!$A$5:$A$594,0)),""))</f>
        <v>A6</v>
      </c>
      <c r="F784" s="9" t="s">
        <v>758</v>
      </c>
      <c r="G784" s="18" t="str">
        <f>IF($F784="","",IFERROR(INDEX(Items!$B$5:$B$597,MATCH($F784,Items!$A$5:$A$597,0)),"⚠ not in Items"))</f>
        <v>Utility</v>
      </c>
      <c r="H784" s="19" t="str">
        <f>IF($F784="","",IFERROR(INDEX(Items!$C$5:$C$597,MATCH($F784,Items!$A$5:$A$597,0)),""))</f>
        <v>Standard</v>
      </c>
      <c r="I784" s="23">
        <f>IF($F784="","",IFERROR(INDEX(Items!$E$5:$E$597,MATCH($F784,Items!$A$5:$A$597,0)),""))</f>
        <v>1</v>
      </c>
      <c r="J784" s="115">
        <f>IF(tblIssues[[#This Row],[Qty Override]]&lt;&gt;"",tblIssues[[#This Row],[Qty Override]],IF(tblIssues[[#This Row],[Standard Issue]]="","",tblIssues[[#This Row],[Standard Issue]]))</f>
        <v>1</v>
      </c>
      <c r="K784" s="20">
        <f>IF($F784="","",IFERROR(INDEX(Items!$D$5:$D$597,MATCH($F784,Items!$A$5:$A$597,0)),""))</f>
        <v>0</v>
      </c>
      <c r="L784" s="21">
        <f t="shared" si="140"/>
        <v>0</v>
      </c>
      <c r="M784" s="9" t="str">
        <f t="shared" si="138"/>
        <v/>
      </c>
      <c r="N784" s="24">
        <f>IF($A784="","",WORKDAY($A784,Settings!$C$9,HolidayDates))</f>
        <v>46174</v>
      </c>
      <c r="O784" s="24">
        <f>IF($N784="","",WORKDAY($N784,Settings!$C$10,HolidayDates))</f>
        <v>46212</v>
      </c>
      <c r="P784" s="10" t="s">
        <v>501</v>
      </c>
      <c r="Q784" s="52" t="str">
        <f t="shared" si="141"/>
        <v>Collected</v>
      </c>
      <c r="R784" s="55" t="str">
        <f t="shared" si="142"/>
        <v>2026-05</v>
      </c>
      <c r="S784" s="55">
        <f>IF(OR($B784="",$F784="",$R784=""),"",SUMIFS(tblIssues[Qty Issued],tblIssues[Staff ID],$B784,tblIssues[Item Name],$F784,tblIssues[Month],$R784))</f>
        <v>1</v>
      </c>
      <c r="T784" s="56">
        <f>IF($I784="","",$I784*Settings!$C$11)</f>
        <v>1</v>
      </c>
      <c r="U784" s="57" t="str">
        <f t="shared" si="139"/>
        <v>OK</v>
      </c>
      <c r="V784" s="55" t="str">
        <f t="shared" si="143"/>
        <v/>
      </c>
      <c r="W784" s="55" t="str">
        <f>IF($V784="","",IF(COUNTIF($V$5:$V784,$V784)=1,1,""))</f>
        <v/>
      </c>
      <c r="X784" s="58" t="str">
        <f>IF($W784="","",MAX($X$4:X783)+1)</f>
        <v/>
      </c>
      <c r="Y784" s="62"/>
      <c r="Z784" s="62"/>
      <c r="AA784" s="64" t="str">
        <f>IF($C784="","",IFERROR(INDEX('Staff Directory'!$E$5:$E$594,MATCH($C784,'Staff Directory'!$B$5:$B$594,0)),""))</f>
        <v>firstname197.lastname197@example.com</v>
      </c>
      <c r="AB784" s="64" t="str">
        <f>IF($C784="","",IF(ISNUMBER(SEARCH($D784,Settings!$C$15)),"Pickup","Dispatch"))</f>
        <v>Pickup</v>
      </c>
      <c r="AC784" s="64" t="str">
        <f t="shared" si="144"/>
        <v>Supply order ready for pickup</v>
      </c>
      <c r="AD784" s="64" t="str">
        <f t="shared" si="135"/>
        <v>Dear PSW,
Your order is ready for pickup from Sample Branch, Wed-Fri 9am-4pm.</v>
      </c>
      <c r="AE784" s="64" t="str">
        <f t="shared" si="136"/>
        <v>mailto:firstname197.lastname197@example.com?subject=Supply%20order%20ready%20for%20pickup&amp;body=Dear%20PSW%2C%0A%0AYour%20order%20is%20ready%20for%20pickup%20from%20Sample%20Branch%2C%20Wed-Fri%209am-4pm.</v>
      </c>
      <c r="AF784" s="89" t="str">
        <f t="shared" si="145"/>
        <v>Draft email</v>
      </c>
      <c r="AG784" s="64" t="str">
        <f>IF($C784="","",IFERROR(INDEX('Staff Directory'!$K$595:$K$599,MATCH($C784,'Staff Directory'!$B$5:$B$599,0)),$D784))</f>
        <v>PSW</v>
      </c>
      <c r="AH784" t="str">
        <f>IF($C784="","",IFERROR(INDEX('Staff Directory'!$I$595:$I$599,MATCH($C784,'Staff Directory'!$B$5:$B$599,0))&amp;" "&amp;INDEX('Staff Directory'!$J$595:$J$599,MATCH($C784,'Staff Directory'!$B$5:$B$599,0)),$AG784))</f>
        <v>PSW</v>
      </c>
      <c r="AI784" s="102"/>
      <c r="AJ784" s="101">
        <f>IF($F784="","",SUMIFS($J$5:$J784,$F$5:$F784,$F784))</f>
        <v>4</v>
      </c>
      <c r="AK784" s="101">
        <f t="shared" si="137"/>
        <v>4</v>
      </c>
      <c r="AL784" s="66" t="str" cm="1">
        <f t="array" ref="AL784">IF($F784="","",IFERROR(INDEX('Lot Balance'!$B$5:$B$500,MATCH(1,INDEX(('Lot Balance'!$A$5:$A$500=$F784)*('Lot Balance'!$K$5:$K$500&lt;$AK784)*('Lot Balance'!$K$5:$K$500+'Lot Balance'!$D$5:$D$500&gt;=$AK784),0),0)),""))</f>
        <v/>
      </c>
      <c r="AM784" s="66" t="str" cm="1">
        <f t="array" ref="AM784">IF($F784="","",IFERROR(INDEX('Lot Balance'!$B$5:$B$500,MATCH(1,INDEX(('Lot Balance'!$A$5:$A$500=$F784)*('Lot Balance'!$K$5:$K$500&lt;$AJ784)*('Lot Balance'!$K$5:$K$500+'Lot Balance'!$D$5:$D$500&gt;=$AJ784),0),0)),""))</f>
        <v/>
      </c>
      <c r="AN784" s="66" t="str">
        <f>IF($F784="","",IF($AI784&lt;&gt;"",IF(COUNTIFS('Lot Balance'!$A$5:$A$500,$F784,'Lot Balance'!$B$5:$B$500,$AI784)=0,"⚠ override is not a lot of this item",IF($AI784=$AL784,"Override = FEFO","Override - FEFO says "&amp;$AL784)),IF($AL784="","⚠ no receipt on file for this item",IF($AM784&lt;&gt;$AL784,"FEFO auto - split, also "&amp;$AM784,"FEFO auto"))))</f>
        <v>⚠ no receipt on file for this item</v>
      </c>
      <c r="AO784" s="114"/>
    </row>
    <row r="785" spans="1:41" x14ac:dyDescent="0.35">
      <c r="A785" s="74">
        <v>46164</v>
      </c>
      <c r="B785" s="18" t="str">
        <f>IF($C785="","",IFERROR(INDEX('Staff Directory'!$A$5:$A$594,MATCH($C785,'Staff Directory'!$B$5:$B$594,0)),"⚠ unknown staff"))</f>
        <v>PSW-168-A6</v>
      </c>
      <c r="C785" s="49" t="s">
        <v>1147</v>
      </c>
      <c r="D785" s="19" t="str">
        <f>IF($B785="","",IFERROR(INDEX('Staff Directory'!$C$5:$C$594,MATCH($B785,'Staff Directory'!$A$5:$A$594,0)),""))</f>
        <v>PSW</v>
      </c>
      <c r="E785" s="19" t="str">
        <f>IF($B785="","",IFERROR(INDEX('Staff Directory'!$D$5:$D$594,MATCH($B785,'Staff Directory'!$A$5:$A$594,0)),""))</f>
        <v>A6</v>
      </c>
      <c r="F785" s="9" t="s">
        <v>127</v>
      </c>
      <c r="G785" s="18" t="str">
        <f>IF($F785="","",IFERROR(INDEX(Items!$B$5:$B$597,MATCH($F785,Items!$A$5:$A$597,0)),"⚠ not in Items"))</f>
        <v>Gloves</v>
      </c>
      <c r="H785" s="19" t="str">
        <f>IF($F785="","",IFERROR(INDEX(Items!$C$5:$C$597,MATCH($F785,Items!$A$5:$A$597,0)),""))</f>
        <v>Medium</v>
      </c>
      <c r="I785" s="23">
        <f>IF($F785="","",IFERROR(INDEX(Items!$E$5:$E$597,MATCH($F785,Items!$A$5:$A$597,0)),""))</f>
        <v>500</v>
      </c>
      <c r="J785" s="115">
        <f>IF(tblIssues[[#This Row],[Qty Override]]&lt;&gt;"",tblIssues[[#This Row],[Qty Override]],IF(tblIssues[[#This Row],[Standard Issue]]="","",tblIssues[[#This Row],[Standard Issue]]))</f>
        <v>500</v>
      </c>
      <c r="K785" s="20">
        <f>IF($F785="","",IFERROR(INDEX(Items!$D$5:$D$597,MATCH($F785,Items!$A$5:$A$597,0)),""))</f>
        <v>5.5E-2</v>
      </c>
      <c r="L785" s="21">
        <f t="shared" si="140"/>
        <v>27.5</v>
      </c>
      <c r="M785" s="9" t="str">
        <f t="shared" si="138"/>
        <v>ZIM504126040-4</v>
      </c>
      <c r="N785" s="24">
        <f>IF($A785="","",WORKDAY($A785,Settings!$C$9,HolidayDates))</f>
        <v>46174</v>
      </c>
      <c r="O785" s="24">
        <f>IF($N785="","",WORKDAY($N785,Settings!$C$10,HolidayDates))</f>
        <v>46212</v>
      </c>
      <c r="P785" s="10" t="s">
        <v>501</v>
      </c>
      <c r="Q785" s="52" t="str">
        <f t="shared" si="141"/>
        <v>Collected</v>
      </c>
      <c r="R785" s="55" t="str">
        <f t="shared" si="142"/>
        <v>2026-05</v>
      </c>
      <c r="S785" s="55">
        <f>IF(OR($B785="",$F785="",$R785=""),"",SUMIFS(tblIssues[Qty Issued],tblIssues[Staff ID],$B785,tblIssues[Item Name],$F785,tblIssues[Month],$R785))</f>
        <v>500</v>
      </c>
      <c r="T785" s="56">
        <f>IF($I785="","",$I785*Settings!$C$11)</f>
        <v>500</v>
      </c>
      <c r="U785" s="57" t="str">
        <f t="shared" si="139"/>
        <v>OK</v>
      </c>
      <c r="V785" s="55" t="str">
        <f t="shared" si="143"/>
        <v/>
      </c>
      <c r="W785" s="55" t="str">
        <f>IF($V785="","",IF(COUNTIF($V$5:$V785,$V785)=1,1,""))</f>
        <v/>
      </c>
      <c r="X785" s="58" t="str">
        <f>IF($W785="","",MAX($X$4:X784)+1)</f>
        <v/>
      </c>
      <c r="Y785" s="62"/>
      <c r="Z785" s="62"/>
      <c r="AA785" s="64" t="str">
        <f>IF($C785="","",IFERROR(INDEX('Staff Directory'!$E$5:$E$594,MATCH($C785,'Staff Directory'!$B$5:$B$594,0)),""))</f>
        <v>firstname231.lastname231@example.com</v>
      </c>
      <c r="AB785" s="64" t="str">
        <f>IF($C785="","",IF(ISNUMBER(SEARCH($D785,Settings!$C$15)),"Pickup","Dispatch"))</f>
        <v>Pickup</v>
      </c>
      <c r="AC785" s="64" t="str">
        <f t="shared" si="144"/>
        <v>Supply order ready for pickup</v>
      </c>
      <c r="AD785" s="64" t="str">
        <f t="shared" si="135"/>
        <v>Dear PSW,
Your order is ready for pickup from Sample Branch, Wed-Fri 9am-4pm.</v>
      </c>
      <c r="AE785" s="64" t="str">
        <f t="shared" si="136"/>
        <v>mailto:firstname231.lastname231@example.com?subject=Supply%20order%20ready%20for%20pickup&amp;body=Dear%20PSW%2C%0A%0AYour%20order%20is%20ready%20for%20pickup%20from%20Sample%20Branch%2C%20Wed-Fri%209am-4pm.</v>
      </c>
      <c r="AF785" s="89" t="str">
        <f t="shared" si="145"/>
        <v>Draft email</v>
      </c>
      <c r="AG785" s="64" t="str">
        <f>IF($C785="","",IFERROR(INDEX('Staff Directory'!$K$595:$K$599,MATCH($C785,'Staff Directory'!$B$5:$B$599,0)),$D785))</f>
        <v>PSW</v>
      </c>
      <c r="AH785" t="str">
        <f>IF($C785="","",IFERROR(INDEX('Staff Directory'!$I$595:$I$599,MATCH($C785,'Staff Directory'!$B$5:$B$599,0))&amp;" "&amp;INDEX('Staff Directory'!$J$595:$J$599,MATCH($C785,'Staff Directory'!$B$5:$B$599,0)),$AG785))</f>
        <v>PSW</v>
      </c>
      <c r="AI785" s="102"/>
      <c r="AJ785" s="101">
        <f>IF($F785="","",SUMIFS($J$5:$J785,$F$5:$F785,$F785))</f>
        <v>46000</v>
      </c>
      <c r="AK785" s="101">
        <f t="shared" si="137"/>
        <v>45501</v>
      </c>
      <c r="AL785" s="66" t="str" cm="1">
        <f t="array" ref="AL785">IF($F785="","",IFERROR(INDEX('Lot Balance'!$B$5:$B$500,MATCH(1,INDEX(('Lot Balance'!$A$5:$A$500=$F785)*('Lot Balance'!$K$5:$K$500&lt;$AK785)*('Lot Balance'!$K$5:$K$500+'Lot Balance'!$D$5:$D$500&gt;=$AK785),0),0)),""))</f>
        <v>ZIM504126040-4</v>
      </c>
      <c r="AM785" s="66" t="str" cm="1">
        <f t="array" ref="AM785">IF($F785="","",IFERROR(INDEX('Lot Balance'!$B$5:$B$500,MATCH(1,INDEX(('Lot Balance'!$A$5:$A$500=$F785)*('Lot Balance'!$K$5:$K$500&lt;$AJ785)*('Lot Balance'!$K$5:$K$500+'Lot Balance'!$D$5:$D$500&gt;=$AJ785),0),0)),""))</f>
        <v>ZIM504126040-4</v>
      </c>
      <c r="AN785" s="66" t="str">
        <f>IF($F785="","",IF($AI785&lt;&gt;"",IF(COUNTIFS('Lot Balance'!$A$5:$A$500,$F785,'Lot Balance'!$B$5:$B$500,$AI785)=0,"⚠ override is not a lot of this item",IF($AI785=$AL785,"Override = FEFO","Override - FEFO says "&amp;$AL785)),IF($AL785="","⚠ no receipt on file for this item",IF($AM785&lt;&gt;$AL785,"FEFO auto - split, also "&amp;$AM785,"FEFO auto"))))</f>
        <v>FEFO auto</v>
      </c>
      <c r="AO785" s="114"/>
    </row>
    <row r="786" spans="1:41" x14ac:dyDescent="0.35">
      <c r="A786" s="74">
        <v>46164</v>
      </c>
      <c r="B786" s="18" t="str">
        <f>IF($C786="","",IFERROR(INDEX('Staff Directory'!$A$5:$A$594,MATCH($C786,'Staff Directory'!$B$5:$B$594,0)),"⚠ unknown staff"))</f>
        <v>PSW-168-A6</v>
      </c>
      <c r="C786" s="49" t="s">
        <v>1147</v>
      </c>
      <c r="D786" s="19" t="str">
        <f>IF($B786="","",IFERROR(INDEX('Staff Directory'!$C$5:$C$594,MATCH($B786,'Staff Directory'!$A$5:$A$594,0)),""))</f>
        <v>PSW</v>
      </c>
      <c r="E786" s="19" t="str">
        <f>IF($B786="","",IFERROR(INDEX('Staff Directory'!$D$5:$D$594,MATCH($B786,'Staff Directory'!$A$5:$A$594,0)),""))</f>
        <v>A6</v>
      </c>
      <c r="F786" s="9" t="s">
        <v>115</v>
      </c>
      <c r="G786" s="18" t="str">
        <f>IF($F786="","",IFERROR(INDEX(Items!$B$5:$B$597,MATCH($F786,Items!$A$5:$A$597,0)),"⚠ not in Items"))</f>
        <v>Wipes</v>
      </c>
      <c r="H786" s="19">
        <f>IF($F786="","",IFERROR(INDEX(Items!$C$5:$C$597,MATCH($F786,Items!$A$5:$A$597,0)),""))</f>
        <v>80</v>
      </c>
      <c r="I786" s="23">
        <f>IF($F786="","",IFERROR(INDEX(Items!$E$5:$E$597,MATCH($F786,Items!$A$5:$A$597,0)),""))</f>
        <v>80</v>
      </c>
      <c r="J786" s="115">
        <f>IF(tblIssues[[#This Row],[Qty Override]]&lt;&gt;"",tblIssues[[#This Row],[Qty Override]],IF(tblIssues[[#This Row],[Standard Issue]]="","",tblIssues[[#This Row],[Standard Issue]]))</f>
        <v>80</v>
      </c>
      <c r="K786" s="20">
        <f>IF($F786="","",IFERROR(INDEX(Items!$D$5:$D$597,MATCH($F786,Items!$A$5:$A$597,0)),""))</f>
        <v>0.1</v>
      </c>
      <c r="L786" s="21">
        <f t="shared" si="140"/>
        <v>8</v>
      </c>
      <c r="M786" s="9" t="str">
        <f t="shared" si="138"/>
        <v>LYSL500290</v>
      </c>
      <c r="N786" s="24">
        <f>IF($A786="","",WORKDAY($A786,Settings!$C$9,HolidayDates))</f>
        <v>46174</v>
      </c>
      <c r="O786" s="24">
        <f>IF($N786="","",WORKDAY($N786,Settings!$C$10,HolidayDates))</f>
        <v>46212</v>
      </c>
      <c r="P786" s="10" t="s">
        <v>501</v>
      </c>
      <c r="Q786" s="52" t="str">
        <f t="shared" si="141"/>
        <v>Collected</v>
      </c>
      <c r="R786" s="55" t="str">
        <f t="shared" si="142"/>
        <v>2026-05</v>
      </c>
      <c r="S786" s="55">
        <f>IF(OR($B786="",$F786="",$R786=""),"",SUMIFS(tblIssues[Qty Issued],tblIssues[Staff ID],$B786,tblIssues[Item Name],$F786,tblIssues[Month],$R786))</f>
        <v>80</v>
      </c>
      <c r="T786" s="56">
        <f>IF($I786="","",$I786*Settings!$C$11)</f>
        <v>80</v>
      </c>
      <c r="U786" s="57" t="str">
        <f t="shared" si="139"/>
        <v>OK</v>
      </c>
      <c r="V786" s="55" t="str">
        <f t="shared" si="143"/>
        <v/>
      </c>
      <c r="W786" s="55" t="str">
        <f>IF($V786="","",IF(COUNTIF($V$5:$V786,$V786)=1,1,""))</f>
        <v/>
      </c>
      <c r="X786" s="58" t="str">
        <f>IF($W786="","",MAX($X$4:X785)+1)</f>
        <v/>
      </c>
      <c r="Y786" s="62"/>
      <c r="Z786" s="62"/>
      <c r="AA786" s="64" t="str">
        <f>IF($C786="","",IFERROR(INDEX('Staff Directory'!$E$5:$E$594,MATCH($C786,'Staff Directory'!$B$5:$B$594,0)),""))</f>
        <v>firstname231.lastname231@example.com</v>
      </c>
      <c r="AB786" s="64" t="str">
        <f>IF($C786="","",IF(ISNUMBER(SEARCH($D786,Settings!$C$15)),"Pickup","Dispatch"))</f>
        <v>Pickup</v>
      </c>
      <c r="AC786" s="64" t="str">
        <f t="shared" si="144"/>
        <v>Supply order ready for pickup</v>
      </c>
      <c r="AD786" s="64" t="str">
        <f t="shared" si="135"/>
        <v>Dear PSW,
Your order is ready for pickup from Sample Branch, Wed-Fri 9am-4pm.</v>
      </c>
      <c r="AE786" s="64" t="str">
        <f t="shared" si="136"/>
        <v>mailto:firstname231.lastname231@example.com?subject=Supply%20order%20ready%20for%20pickup&amp;body=Dear%20PSW%2C%0A%0AYour%20order%20is%20ready%20for%20pickup%20from%20Sample%20Branch%2C%20Wed-Fri%209am-4pm.</v>
      </c>
      <c r="AF786" s="89" t="str">
        <f t="shared" si="145"/>
        <v>Draft email</v>
      </c>
      <c r="AG786" s="64" t="str">
        <f>IF($C786="","",IFERROR(INDEX('Staff Directory'!$K$595:$K$599,MATCH($C786,'Staff Directory'!$B$5:$B$599,0)),$D786))</f>
        <v>PSW</v>
      </c>
      <c r="AH786" t="str">
        <f>IF($C786="","",IFERROR(INDEX('Staff Directory'!$I$595:$I$599,MATCH($C786,'Staff Directory'!$B$5:$B$599,0))&amp;" "&amp;INDEX('Staff Directory'!$J$595:$J$599,MATCH($C786,'Staff Directory'!$B$5:$B$599,0)),$AG786))</f>
        <v>PSW</v>
      </c>
      <c r="AI786" s="102"/>
      <c r="AJ786" s="101">
        <f>IF($F786="","",SUMIFS($J$5:$J786,$F$5:$F786,$F786))</f>
        <v>10880</v>
      </c>
      <c r="AK786" s="101">
        <f t="shared" si="137"/>
        <v>10801</v>
      </c>
      <c r="AL786" s="66" t="str" cm="1">
        <f t="array" ref="AL786">IF($F786="","",IFERROR(INDEX('Lot Balance'!$B$5:$B$500,MATCH(1,INDEX(('Lot Balance'!$A$5:$A$500=$F786)*('Lot Balance'!$K$5:$K$500&lt;$AK786)*('Lot Balance'!$K$5:$K$500+'Lot Balance'!$D$5:$D$500&gt;=$AK786),0),0)),""))</f>
        <v>LYSL500290</v>
      </c>
      <c r="AM786" s="66" t="str" cm="1">
        <f t="array" ref="AM786">IF($F786="","",IFERROR(INDEX('Lot Balance'!$B$5:$B$500,MATCH(1,INDEX(('Lot Balance'!$A$5:$A$500=$F786)*('Lot Balance'!$K$5:$K$500&lt;$AJ786)*('Lot Balance'!$K$5:$K$500+'Lot Balance'!$D$5:$D$500&gt;=$AJ786),0),0)),""))</f>
        <v>LYSL500290</v>
      </c>
      <c r="AN786" s="66" t="str">
        <f>IF($F786="","",IF($AI786&lt;&gt;"",IF(COUNTIFS('Lot Balance'!$A$5:$A$500,$F786,'Lot Balance'!$B$5:$B$500,$AI786)=0,"⚠ override is not a lot of this item",IF($AI786=$AL786,"Override = FEFO","Override - FEFO says "&amp;$AL786)),IF($AL786="","⚠ no receipt on file for this item",IF($AM786&lt;&gt;$AL786,"FEFO auto - split, also "&amp;$AM786,"FEFO auto"))))</f>
        <v>FEFO auto</v>
      </c>
      <c r="AO786" s="114"/>
    </row>
    <row r="787" spans="1:41" x14ac:dyDescent="0.35">
      <c r="A787" s="74">
        <v>46164</v>
      </c>
      <c r="B787" s="18" t="str">
        <f>IF($C787="","",IFERROR(INDEX('Staff Directory'!$A$5:$A$594,MATCH($C787,'Staff Directory'!$B$5:$B$594,0)),"⚠ unknown staff"))</f>
        <v>PSW-168-A6</v>
      </c>
      <c r="C787" s="49" t="s">
        <v>1147</v>
      </c>
      <c r="D787" s="19" t="str">
        <f>IF($B787="","",IFERROR(INDEX('Staff Directory'!$C$5:$C$594,MATCH($B787,'Staff Directory'!$A$5:$A$594,0)),""))</f>
        <v>PSW</v>
      </c>
      <c r="E787" s="19" t="str">
        <f>IF($B787="","",IFERROR(INDEX('Staff Directory'!$D$5:$D$594,MATCH($B787,'Staff Directory'!$A$5:$A$594,0)),""))</f>
        <v>A6</v>
      </c>
      <c r="F787" s="9" t="s">
        <v>156</v>
      </c>
      <c r="G787" s="18" t="str">
        <f>IF($F787="","",IFERROR(INDEX(Items!$B$5:$B$597,MATCH($F787,Items!$A$5:$A$597,0)),"⚠ not in Items"))</f>
        <v>Masks</v>
      </c>
      <c r="H787" s="19" t="str">
        <f>IF($F787="","",IFERROR(INDEX(Items!$C$5:$C$597,MATCH($F787,Items!$A$5:$A$597,0)),""))</f>
        <v>One Size</v>
      </c>
      <c r="I787" s="23">
        <f>IF($F787="","",IFERROR(INDEX(Items!$E$5:$E$597,MATCH($F787,Items!$A$5:$A$597,0)),""))</f>
        <v>50</v>
      </c>
      <c r="J787" s="115">
        <f>IF(tblIssues[[#This Row],[Qty Override]]&lt;&gt;"",tblIssues[[#This Row],[Qty Override]],IF(tblIssues[[#This Row],[Standard Issue]]="","",tblIssues[[#This Row],[Standard Issue]]))</f>
        <v>50</v>
      </c>
      <c r="K787" s="20">
        <f>IF($F787="","",IFERROR(INDEX(Items!$D$5:$D$597,MATCH($F787,Items!$A$5:$A$597,0)),""))</f>
        <v>0.25</v>
      </c>
      <c r="L787" s="21">
        <f t="shared" si="140"/>
        <v>12.5</v>
      </c>
      <c r="M787" s="9" t="str">
        <f t="shared" si="138"/>
        <v>0125FPC24-1</v>
      </c>
      <c r="N787" s="24">
        <f>IF($A787="","",WORKDAY($A787,Settings!$C$9,HolidayDates))</f>
        <v>46174</v>
      </c>
      <c r="O787" s="24">
        <f>IF($N787="","",WORKDAY($N787,Settings!$C$10,HolidayDates))</f>
        <v>46212</v>
      </c>
      <c r="P787" s="10" t="s">
        <v>501</v>
      </c>
      <c r="Q787" s="52" t="str">
        <f t="shared" si="141"/>
        <v>Collected</v>
      </c>
      <c r="R787" s="55" t="str">
        <f t="shared" si="142"/>
        <v>2026-05</v>
      </c>
      <c r="S787" s="55">
        <f>IF(OR($B787="",$F787="",$R787=""),"",SUMIFS(tblIssues[Qty Issued],tblIssues[Staff ID],$B787,tblIssues[Item Name],$F787,tblIssues[Month],$R787))</f>
        <v>50</v>
      </c>
      <c r="T787" s="56">
        <f>IF($I787="","",$I787*Settings!$C$11)</f>
        <v>50</v>
      </c>
      <c r="U787" s="57" t="str">
        <f t="shared" si="139"/>
        <v>OK</v>
      </c>
      <c r="V787" s="55" t="str">
        <f t="shared" si="143"/>
        <v/>
      </c>
      <c r="W787" s="55" t="str">
        <f>IF($V787="","",IF(COUNTIF($V$5:$V787,$V787)=1,1,""))</f>
        <v/>
      </c>
      <c r="X787" s="58" t="str">
        <f>IF($W787="","",MAX($X$4:X786)+1)</f>
        <v/>
      </c>
      <c r="Y787" s="62"/>
      <c r="Z787" s="62"/>
      <c r="AA787" s="64" t="str">
        <f>IF($C787="","",IFERROR(INDEX('Staff Directory'!$E$5:$E$594,MATCH($C787,'Staff Directory'!$B$5:$B$594,0)),""))</f>
        <v>firstname231.lastname231@example.com</v>
      </c>
      <c r="AB787" s="64" t="str">
        <f>IF($C787="","",IF(ISNUMBER(SEARCH($D787,Settings!$C$15)),"Pickup","Dispatch"))</f>
        <v>Pickup</v>
      </c>
      <c r="AC787" s="64" t="str">
        <f t="shared" si="144"/>
        <v>Supply order ready for pickup</v>
      </c>
      <c r="AD787" s="64" t="str">
        <f t="shared" si="135"/>
        <v>Dear PSW,
Your order is ready for pickup from Sample Branch, Wed-Fri 9am-4pm.</v>
      </c>
      <c r="AE787" s="64" t="str">
        <f t="shared" si="136"/>
        <v>mailto:firstname231.lastname231@example.com?subject=Supply%20order%20ready%20for%20pickup&amp;body=Dear%20PSW%2C%0A%0AYour%20order%20is%20ready%20for%20pickup%20from%20Sample%20Branch%2C%20Wed-Fri%209am-4pm.</v>
      </c>
      <c r="AF787" s="89" t="str">
        <f t="shared" si="145"/>
        <v>Draft email</v>
      </c>
      <c r="AG787" s="64" t="str">
        <f>IF($C787="","",IFERROR(INDEX('Staff Directory'!$K$595:$K$599,MATCH($C787,'Staff Directory'!$B$5:$B$599,0)),$D787))</f>
        <v>PSW</v>
      </c>
      <c r="AH787" t="str">
        <f>IF($C787="","",IFERROR(INDEX('Staff Directory'!$I$595:$I$599,MATCH($C787,'Staff Directory'!$B$5:$B$599,0))&amp;" "&amp;INDEX('Staff Directory'!$J$595:$J$599,MATCH($C787,'Staff Directory'!$B$5:$B$599,0)),$AG787))</f>
        <v>PSW</v>
      </c>
      <c r="AI787" s="102"/>
      <c r="AJ787" s="101">
        <f>IF($F787="","",SUMIFS($J$5:$J787,$F$5:$F787,$F787))</f>
        <v>6500</v>
      </c>
      <c r="AK787" s="101">
        <f t="shared" si="137"/>
        <v>6451</v>
      </c>
      <c r="AL787" s="66" t="str" cm="1">
        <f t="array" ref="AL787">IF($F787="","",IFERROR(INDEX('Lot Balance'!$B$5:$B$500,MATCH(1,INDEX(('Lot Balance'!$A$5:$A$500=$F787)*('Lot Balance'!$K$5:$K$500&lt;$AK787)*('Lot Balance'!$K$5:$K$500+'Lot Balance'!$D$5:$D$500&gt;=$AK787),0),0)),""))</f>
        <v>0125FPC24-1</v>
      </c>
      <c r="AM787" s="66" t="str" cm="1">
        <f t="array" ref="AM787">IF($F787="","",IFERROR(INDEX('Lot Balance'!$B$5:$B$500,MATCH(1,INDEX(('Lot Balance'!$A$5:$A$500=$F787)*('Lot Balance'!$K$5:$K$500&lt;$AJ787)*('Lot Balance'!$K$5:$K$500+'Lot Balance'!$D$5:$D$500&gt;=$AJ787),0),0)),""))</f>
        <v>0125FPC24-1</v>
      </c>
      <c r="AN787" s="66" t="str">
        <f>IF($F787="","",IF($AI787&lt;&gt;"",IF(COUNTIFS('Lot Balance'!$A$5:$A$500,$F787,'Lot Balance'!$B$5:$B$500,$AI787)=0,"⚠ override is not a lot of this item",IF($AI787=$AL787,"Override = FEFO","Override - FEFO says "&amp;$AL787)),IF($AL787="","⚠ no receipt on file for this item",IF($AM787&lt;&gt;$AL787,"FEFO auto - split, also "&amp;$AM787,"FEFO auto"))))</f>
        <v>FEFO auto</v>
      </c>
      <c r="AO787" s="114"/>
    </row>
    <row r="788" spans="1:41" x14ac:dyDescent="0.35">
      <c r="A788" s="74">
        <v>46164</v>
      </c>
      <c r="B788" s="18" t="str">
        <f>IF($C788="","",IFERROR(INDEX('Staff Directory'!$A$5:$A$594,MATCH($C788,'Staff Directory'!$B$5:$B$594,0)),"⚠ unknown staff"))</f>
        <v>PSW-168-A6</v>
      </c>
      <c r="C788" s="49" t="s">
        <v>1147</v>
      </c>
      <c r="D788" s="19" t="str">
        <f>IF($B788="","",IFERROR(INDEX('Staff Directory'!$C$5:$C$594,MATCH($B788,'Staff Directory'!$A$5:$A$594,0)),""))</f>
        <v>PSW</v>
      </c>
      <c r="E788" s="19" t="str">
        <f>IF($B788="","",IFERROR(INDEX('Staff Directory'!$D$5:$D$594,MATCH($B788,'Staff Directory'!$A$5:$A$594,0)),""))</f>
        <v>A6</v>
      </c>
      <c r="F788" s="9" t="s">
        <v>758</v>
      </c>
      <c r="G788" s="18" t="str">
        <f>IF($F788="","",IFERROR(INDEX(Items!$B$5:$B$597,MATCH($F788,Items!$A$5:$A$597,0)),"⚠ not in Items"))</f>
        <v>Utility</v>
      </c>
      <c r="H788" s="19" t="str">
        <f>IF($F788="","",IFERROR(INDEX(Items!$C$5:$C$597,MATCH($F788,Items!$A$5:$A$597,0)),""))</f>
        <v>Standard</v>
      </c>
      <c r="I788" s="23">
        <f>IF($F788="","",IFERROR(INDEX(Items!$E$5:$E$597,MATCH($F788,Items!$A$5:$A$597,0)),""))</f>
        <v>1</v>
      </c>
      <c r="J788" s="115">
        <f>IF(tblIssues[[#This Row],[Qty Override]]&lt;&gt;"",tblIssues[[#This Row],[Qty Override]],IF(tblIssues[[#This Row],[Standard Issue]]="","",tblIssues[[#This Row],[Standard Issue]]))</f>
        <v>1</v>
      </c>
      <c r="K788" s="20">
        <f>IF($F788="","",IFERROR(INDEX(Items!$D$5:$D$597,MATCH($F788,Items!$A$5:$A$597,0)),""))</f>
        <v>0</v>
      </c>
      <c r="L788" s="21">
        <f t="shared" si="140"/>
        <v>0</v>
      </c>
      <c r="M788" s="9" t="str">
        <f t="shared" si="138"/>
        <v/>
      </c>
      <c r="N788" s="24">
        <f>IF($A788="","",WORKDAY($A788,Settings!$C$9,HolidayDates))</f>
        <v>46174</v>
      </c>
      <c r="O788" s="24">
        <f>IF($N788="","",WORKDAY($N788,Settings!$C$10,HolidayDates))</f>
        <v>46212</v>
      </c>
      <c r="P788" s="10" t="s">
        <v>501</v>
      </c>
      <c r="Q788" s="52" t="str">
        <f t="shared" si="141"/>
        <v>Collected</v>
      </c>
      <c r="R788" s="55" t="str">
        <f t="shared" si="142"/>
        <v>2026-05</v>
      </c>
      <c r="S788" s="55">
        <f>IF(OR($B788="",$F788="",$R788=""),"",SUMIFS(tblIssues[Qty Issued],tblIssues[Staff ID],$B788,tblIssues[Item Name],$F788,tblIssues[Month],$R788))</f>
        <v>1</v>
      </c>
      <c r="T788" s="56">
        <f>IF($I788="","",$I788*Settings!$C$11)</f>
        <v>1</v>
      </c>
      <c r="U788" s="57" t="str">
        <f t="shared" si="139"/>
        <v>OK</v>
      </c>
      <c r="V788" s="55" t="str">
        <f t="shared" si="143"/>
        <v/>
      </c>
      <c r="W788" s="55" t="str">
        <f>IF($V788="","",IF(COUNTIF($V$5:$V788,$V788)=1,1,""))</f>
        <v/>
      </c>
      <c r="X788" s="58" t="str">
        <f>IF($W788="","",MAX($X$4:X787)+1)</f>
        <v/>
      </c>
      <c r="Y788" s="62"/>
      <c r="Z788" s="62"/>
      <c r="AA788" s="64" t="str">
        <f>IF($C788="","",IFERROR(INDEX('Staff Directory'!$E$5:$E$594,MATCH($C788,'Staff Directory'!$B$5:$B$594,0)),""))</f>
        <v>firstname231.lastname231@example.com</v>
      </c>
      <c r="AB788" s="64" t="str">
        <f>IF($C788="","",IF(ISNUMBER(SEARCH($D788,Settings!$C$15)),"Pickup","Dispatch"))</f>
        <v>Pickup</v>
      </c>
      <c r="AC788" s="64" t="str">
        <f t="shared" si="144"/>
        <v>Supply order ready for pickup</v>
      </c>
      <c r="AD788" s="64" t="str">
        <f t="shared" si="135"/>
        <v>Dear PSW,
Your order is ready for pickup from Sample Branch, Wed-Fri 9am-4pm.</v>
      </c>
      <c r="AE788" s="64" t="str">
        <f t="shared" si="136"/>
        <v>mailto:firstname231.lastname231@example.com?subject=Supply%20order%20ready%20for%20pickup&amp;body=Dear%20PSW%2C%0A%0AYour%20order%20is%20ready%20for%20pickup%20from%20Sample%20Branch%2C%20Wed-Fri%209am-4pm.</v>
      </c>
      <c r="AF788" s="89" t="str">
        <f t="shared" si="145"/>
        <v>Draft email</v>
      </c>
      <c r="AG788" s="64" t="str">
        <f>IF($C788="","",IFERROR(INDEX('Staff Directory'!$K$595:$K$599,MATCH($C788,'Staff Directory'!$B$5:$B$599,0)),$D788))</f>
        <v>PSW</v>
      </c>
      <c r="AH788" t="str">
        <f>IF($C788="","",IFERROR(INDEX('Staff Directory'!$I$595:$I$599,MATCH($C788,'Staff Directory'!$B$5:$B$599,0))&amp;" "&amp;INDEX('Staff Directory'!$J$595:$J$599,MATCH($C788,'Staff Directory'!$B$5:$B$599,0)),$AG788))</f>
        <v>PSW</v>
      </c>
      <c r="AI788" s="102"/>
      <c r="AJ788" s="101">
        <f>IF($F788="","",SUMIFS($J$5:$J788,$F$5:$F788,$F788))</f>
        <v>5</v>
      </c>
      <c r="AK788" s="101">
        <f t="shared" si="137"/>
        <v>5</v>
      </c>
      <c r="AL788" s="66" t="str" cm="1">
        <f t="array" ref="AL788">IF($F788="","",IFERROR(INDEX('Lot Balance'!$B$5:$B$500,MATCH(1,INDEX(('Lot Balance'!$A$5:$A$500=$F788)*('Lot Balance'!$K$5:$K$500&lt;$AK788)*('Lot Balance'!$K$5:$K$500+'Lot Balance'!$D$5:$D$500&gt;=$AK788),0),0)),""))</f>
        <v/>
      </c>
      <c r="AM788" s="66" t="str" cm="1">
        <f t="array" ref="AM788">IF($F788="","",IFERROR(INDEX('Lot Balance'!$B$5:$B$500,MATCH(1,INDEX(('Lot Balance'!$A$5:$A$500=$F788)*('Lot Balance'!$K$5:$K$500&lt;$AJ788)*('Lot Balance'!$K$5:$K$500+'Lot Balance'!$D$5:$D$500&gt;=$AJ788),0),0)),""))</f>
        <v/>
      </c>
      <c r="AN788" s="66" t="str">
        <f>IF($F788="","",IF($AI788&lt;&gt;"",IF(COUNTIFS('Lot Balance'!$A$5:$A$500,$F788,'Lot Balance'!$B$5:$B$500,$AI788)=0,"⚠ override is not a lot of this item",IF($AI788=$AL788,"Override = FEFO","Override - FEFO says "&amp;$AL788)),IF($AL788="","⚠ no receipt on file for this item",IF($AM788&lt;&gt;$AL788,"FEFO auto - split, also "&amp;$AM788,"FEFO auto"))))</f>
        <v>⚠ no receipt on file for this item</v>
      </c>
      <c r="AO788" s="114"/>
    </row>
    <row r="789" spans="1:41" x14ac:dyDescent="0.35">
      <c r="A789" s="74">
        <v>46164</v>
      </c>
      <c r="B789" s="18" t="str">
        <f>IF($C789="","",IFERROR(INDEX('Staff Directory'!$A$5:$A$594,MATCH($C789,'Staff Directory'!$B$5:$B$594,0)),"⚠ unknown staff"))</f>
        <v>PSW-021-A5</v>
      </c>
      <c r="C789" s="49" t="s">
        <v>997</v>
      </c>
      <c r="D789" s="19" t="str">
        <f>IF($B789="","",IFERROR(INDEX('Staff Directory'!$C$5:$C$594,MATCH($B789,'Staff Directory'!$A$5:$A$594,0)),""))</f>
        <v>PSW</v>
      </c>
      <c r="E789" s="19" t="str">
        <f>IF($B789="","",IFERROR(INDEX('Staff Directory'!$D$5:$D$594,MATCH($B789,'Staff Directory'!$A$5:$A$594,0)),""))</f>
        <v>A5</v>
      </c>
      <c r="F789" s="9" t="s">
        <v>127</v>
      </c>
      <c r="G789" s="18" t="str">
        <f>IF($F789="","",IFERROR(INDEX(Items!$B$5:$B$597,MATCH($F789,Items!$A$5:$A$597,0)),"⚠ not in Items"))</f>
        <v>Gloves</v>
      </c>
      <c r="H789" s="19" t="str">
        <f>IF($F789="","",IFERROR(INDEX(Items!$C$5:$C$597,MATCH($F789,Items!$A$5:$A$597,0)),""))</f>
        <v>Medium</v>
      </c>
      <c r="I789" s="23">
        <f>IF($F789="","",IFERROR(INDEX(Items!$E$5:$E$597,MATCH($F789,Items!$A$5:$A$597,0)),""))</f>
        <v>500</v>
      </c>
      <c r="J789" s="115">
        <f>IF(tblIssues[[#This Row],[Qty Override]]&lt;&gt;"",tblIssues[[#This Row],[Qty Override]],IF(tblIssues[[#This Row],[Standard Issue]]="","",tblIssues[[#This Row],[Standard Issue]]))</f>
        <v>500</v>
      </c>
      <c r="K789" s="20">
        <f>IF($F789="","",IFERROR(INDEX(Items!$D$5:$D$597,MATCH($F789,Items!$A$5:$A$597,0)),""))</f>
        <v>5.5E-2</v>
      </c>
      <c r="L789" s="21">
        <f t="shared" si="140"/>
        <v>27.5</v>
      </c>
      <c r="M789" s="9" t="str">
        <f t="shared" si="138"/>
        <v>ZIM504126040-4</v>
      </c>
      <c r="N789" s="24">
        <f>IF($A789="","",WORKDAY($A789,Settings!$C$9,HolidayDates))</f>
        <v>46174</v>
      </c>
      <c r="O789" s="24">
        <f>IF($N789="","",WORKDAY($N789,Settings!$C$10,HolidayDates))</f>
        <v>46212</v>
      </c>
      <c r="P789" s="10" t="s">
        <v>501</v>
      </c>
      <c r="Q789" s="52" t="str">
        <f t="shared" si="141"/>
        <v>Collected</v>
      </c>
      <c r="R789" s="55" t="str">
        <f t="shared" si="142"/>
        <v>2026-05</v>
      </c>
      <c r="S789" s="55">
        <f>IF(OR($B789="",$F789="",$R789=""),"",SUMIFS(tblIssues[Qty Issued],tblIssues[Staff ID],$B789,tblIssues[Item Name],$F789,tblIssues[Month],$R789))</f>
        <v>500</v>
      </c>
      <c r="T789" s="56">
        <f>IF($I789="","",$I789*Settings!$C$11)</f>
        <v>500</v>
      </c>
      <c r="U789" s="57" t="str">
        <f t="shared" si="139"/>
        <v>OK</v>
      </c>
      <c r="V789" s="55" t="str">
        <f t="shared" si="143"/>
        <v/>
      </c>
      <c r="W789" s="55" t="str">
        <f>IF($V789="","",IF(COUNTIF($V$5:$V789,$V789)=1,1,""))</f>
        <v/>
      </c>
      <c r="X789" s="58" t="str">
        <f>IF($W789="","",MAX($X$4:X788)+1)</f>
        <v/>
      </c>
      <c r="Y789" s="62"/>
      <c r="Z789" s="62"/>
      <c r="AA789" s="64" t="str">
        <f>IF($C789="","",IFERROR(INDEX('Staff Directory'!$E$5:$E$594,MATCH($C789,'Staff Directory'!$B$5:$B$594,0)),""))</f>
        <v>firstname081.lastname081@example.com</v>
      </c>
      <c r="AB789" s="64" t="str">
        <f>IF($C789="","",IF(ISNUMBER(SEARCH($D789,Settings!$C$15)),"Pickup","Dispatch"))</f>
        <v>Pickup</v>
      </c>
      <c r="AC789" s="64" t="str">
        <f t="shared" si="144"/>
        <v>Supply order ready for pickup</v>
      </c>
      <c r="AD789" s="64" t="str">
        <f t="shared" si="135"/>
        <v>Dear PSW,
Your order is ready for pickup from Sample Branch, Wed-Fri 9am-4pm.</v>
      </c>
      <c r="AE789" s="64" t="str">
        <f t="shared" si="136"/>
        <v>mailto:firstname081.lastname081@example.com?subject=Supply%20order%20ready%20for%20pickup&amp;body=Dear%20PSW%2C%0A%0AYour%20order%20is%20ready%20for%20pickup%20from%20Sample%20Branch%2C%20Wed-Fri%209am-4pm.</v>
      </c>
      <c r="AF789" s="89" t="str">
        <f t="shared" si="145"/>
        <v>Draft email</v>
      </c>
      <c r="AG789" s="64" t="str">
        <f>IF($C789="","",IFERROR(INDEX('Staff Directory'!$K$595:$K$599,MATCH($C789,'Staff Directory'!$B$5:$B$599,0)),$D789))</f>
        <v>PSW</v>
      </c>
      <c r="AH789" t="str">
        <f>IF($C789="","",IFERROR(INDEX('Staff Directory'!$I$595:$I$599,MATCH($C789,'Staff Directory'!$B$5:$B$599,0))&amp;" "&amp;INDEX('Staff Directory'!$J$595:$J$599,MATCH($C789,'Staff Directory'!$B$5:$B$599,0)),$AG789))</f>
        <v>PSW</v>
      </c>
      <c r="AI789" s="102"/>
      <c r="AJ789" s="101">
        <f>IF($F789="","",SUMIFS($J$5:$J789,$F$5:$F789,$F789))</f>
        <v>46500</v>
      </c>
      <c r="AK789" s="101">
        <f t="shared" si="137"/>
        <v>46001</v>
      </c>
      <c r="AL789" s="66" t="str" cm="1">
        <f t="array" ref="AL789">IF($F789="","",IFERROR(INDEX('Lot Balance'!$B$5:$B$500,MATCH(1,INDEX(('Lot Balance'!$A$5:$A$500=$F789)*('Lot Balance'!$K$5:$K$500&lt;$AK789)*('Lot Balance'!$K$5:$K$500+'Lot Balance'!$D$5:$D$500&gt;=$AK789),0),0)),""))</f>
        <v>ZIM504126040-4</v>
      </c>
      <c r="AM789" s="66" t="str" cm="1">
        <f t="array" ref="AM789">IF($F789="","",IFERROR(INDEX('Lot Balance'!$B$5:$B$500,MATCH(1,INDEX(('Lot Balance'!$A$5:$A$500=$F789)*('Lot Balance'!$K$5:$K$500&lt;$AJ789)*('Lot Balance'!$K$5:$K$500+'Lot Balance'!$D$5:$D$500&gt;=$AJ789),0),0)),""))</f>
        <v>ZIM504126040-4</v>
      </c>
      <c r="AN789" s="66" t="str">
        <f>IF($F789="","",IF($AI789&lt;&gt;"",IF(COUNTIFS('Lot Balance'!$A$5:$A$500,$F789,'Lot Balance'!$B$5:$B$500,$AI789)=0,"⚠ override is not a lot of this item",IF($AI789=$AL789,"Override = FEFO","Override - FEFO says "&amp;$AL789)),IF($AL789="","⚠ no receipt on file for this item",IF($AM789&lt;&gt;$AL789,"FEFO auto - split, also "&amp;$AM789,"FEFO auto"))))</f>
        <v>FEFO auto</v>
      </c>
      <c r="AO789" s="114"/>
    </row>
    <row r="790" spans="1:41" x14ac:dyDescent="0.35">
      <c r="A790" s="74">
        <v>46164</v>
      </c>
      <c r="B790" s="18" t="str">
        <f>IF($C790="","",IFERROR(INDEX('Staff Directory'!$A$5:$A$594,MATCH($C790,'Staff Directory'!$B$5:$B$594,0)),"⚠ unknown staff"))</f>
        <v>PSW-021-A5</v>
      </c>
      <c r="C790" s="49" t="s">
        <v>997</v>
      </c>
      <c r="D790" s="19" t="str">
        <f>IF($B790="","",IFERROR(INDEX('Staff Directory'!$C$5:$C$594,MATCH($B790,'Staff Directory'!$A$5:$A$594,0)),""))</f>
        <v>PSW</v>
      </c>
      <c r="E790" s="19" t="str">
        <f>IF($B790="","",IFERROR(INDEX('Staff Directory'!$D$5:$D$594,MATCH($B790,'Staff Directory'!$A$5:$A$594,0)),""))</f>
        <v>A5</v>
      </c>
      <c r="F790" s="9" t="s">
        <v>191</v>
      </c>
      <c r="G790" s="18" t="str">
        <f>IF($F790="","",IFERROR(INDEX(Items!$B$5:$B$597,MATCH($F790,Items!$A$5:$A$597,0)),"⚠ not in Items"))</f>
        <v>Sanitizer</v>
      </c>
      <c r="H790" s="19" t="str">
        <f>IF($F790="","",IFERROR(INDEX(Items!$C$5:$C$597,MATCH($F790,Items!$A$5:$A$597,0)),""))</f>
        <v>236 ML</v>
      </c>
      <c r="I790" s="23">
        <f>IF($F790="","",IFERROR(INDEX(Items!$E$5:$E$597,MATCH($F790,Items!$A$5:$A$597,0)),""))</f>
        <v>1</v>
      </c>
      <c r="J790" s="115">
        <f>IF(tblIssues[[#This Row],[Qty Override]]&lt;&gt;"",tblIssues[[#This Row],[Qty Override]],IF(tblIssues[[#This Row],[Standard Issue]]="","",tblIssues[[#This Row],[Standard Issue]]))</f>
        <v>1</v>
      </c>
      <c r="K790" s="20">
        <f>IF($F790="","",IFERROR(INDEX(Items!$D$5:$D$597,MATCH($F790,Items!$A$5:$A$597,0)),""))</f>
        <v>1E-4</v>
      </c>
      <c r="L790" s="21">
        <f t="shared" si="140"/>
        <v>1E-4</v>
      </c>
      <c r="M790" s="9" t="str">
        <f t="shared" si="138"/>
        <v>20-21734-4</v>
      </c>
      <c r="N790" s="24">
        <f>IF($A790="","",WORKDAY($A790,Settings!$C$9,HolidayDates))</f>
        <v>46174</v>
      </c>
      <c r="O790" s="24">
        <f>IF($N790="","",WORKDAY($N790,Settings!$C$10,HolidayDates))</f>
        <v>46212</v>
      </c>
      <c r="P790" s="10" t="s">
        <v>501</v>
      </c>
      <c r="Q790" s="52" t="str">
        <f t="shared" si="141"/>
        <v>Collected</v>
      </c>
      <c r="R790" s="55" t="str">
        <f t="shared" si="142"/>
        <v>2026-05</v>
      </c>
      <c r="S790" s="55">
        <f>IF(OR($B790="",$F790="",$R790=""),"",SUMIFS(tblIssues[Qty Issued],tblIssues[Staff ID],$B790,tblIssues[Item Name],$F790,tblIssues[Month],$R790))</f>
        <v>1</v>
      </c>
      <c r="T790" s="56">
        <f>IF($I790="","",$I790*Settings!$C$11)</f>
        <v>1</v>
      </c>
      <c r="U790" s="57" t="str">
        <f t="shared" si="139"/>
        <v>OK</v>
      </c>
      <c r="V790" s="55" t="str">
        <f t="shared" si="143"/>
        <v/>
      </c>
      <c r="W790" s="55" t="str">
        <f>IF($V790="","",IF(COUNTIF($V$5:$V790,$V790)=1,1,""))</f>
        <v/>
      </c>
      <c r="X790" s="58" t="str">
        <f>IF($W790="","",MAX($X$4:X789)+1)</f>
        <v/>
      </c>
      <c r="Y790" s="62"/>
      <c r="Z790" s="62"/>
      <c r="AA790" s="64" t="str">
        <f>IF($C790="","",IFERROR(INDEX('Staff Directory'!$E$5:$E$594,MATCH($C790,'Staff Directory'!$B$5:$B$594,0)),""))</f>
        <v>firstname081.lastname081@example.com</v>
      </c>
      <c r="AB790" s="64" t="str">
        <f>IF($C790="","",IF(ISNUMBER(SEARCH($D790,Settings!$C$15)),"Pickup","Dispatch"))</f>
        <v>Pickup</v>
      </c>
      <c r="AC790" s="64" t="str">
        <f t="shared" si="144"/>
        <v>Supply order ready for pickup</v>
      </c>
      <c r="AD790" s="64" t="str">
        <f t="shared" si="135"/>
        <v>Dear PSW,
Your order is ready for pickup from Sample Branch, Wed-Fri 9am-4pm.</v>
      </c>
      <c r="AE790" s="64" t="str">
        <f t="shared" si="136"/>
        <v>mailto:firstname081.lastname081@example.com?subject=Supply%20order%20ready%20for%20pickup&amp;body=Dear%20PSW%2C%0A%0AYour%20order%20is%20ready%20for%20pickup%20from%20Sample%20Branch%2C%20Wed-Fri%209am-4pm.</v>
      </c>
      <c r="AF790" s="89" t="str">
        <f t="shared" si="145"/>
        <v>Draft email</v>
      </c>
      <c r="AG790" s="64" t="str">
        <f>IF($C790="","",IFERROR(INDEX('Staff Directory'!$K$595:$K$599,MATCH($C790,'Staff Directory'!$B$5:$B$599,0)),$D790))</f>
        <v>PSW</v>
      </c>
      <c r="AH790" t="str">
        <f>IF($C790="","",IFERROR(INDEX('Staff Directory'!$I$595:$I$599,MATCH($C790,'Staff Directory'!$B$5:$B$599,0))&amp;" "&amp;INDEX('Staff Directory'!$J$595:$J$599,MATCH($C790,'Staff Directory'!$B$5:$B$599,0)),$AG790))</f>
        <v>PSW</v>
      </c>
      <c r="AI790" s="102"/>
      <c r="AJ790" s="101">
        <f>IF($F790="","",SUMIFS($J$5:$J790,$F$5:$F790,$F790))</f>
        <v>97</v>
      </c>
      <c r="AK790" s="101">
        <f t="shared" si="137"/>
        <v>97</v>
      </c>
      <c r="AL790" s="66" t="str" cm="1">
        <f t="array" ref="AL790">IF($F790="","",IFERROR(INDEX('Lot Balance'!$B$5:$B$500,MATCH(1,INDEX(('Lot Balance'!$A$5:$A$500=$F790)*('Lot Balance'!$K$5:$K$500&lt;$AK790)*('Lot Balance'!$K$5:$K$500+'Lot Balance'!$D$5:$D$500&gt;=$AK790),0),0)),""))</f>
        <v>20-21734-4</v>
      </c>
      <c r="AM790" s="66" t="str" cm="1">
        <f t="array" ref="AM790">IF($F790="","",IFERROR(INDEX('Lot Balance'!$B$5:$B$500,MATCH(1,INDEX(('Lot Balance'!$A$5:$A$500=$F790)*('Lot Balance'!$K$5:$K$500&lt;$AJ790)*('Lot Balance'!$K$5:$K$500+'Lot Balance'!$D$5:$D$500&gt;=$AJ790),0),0)),""))</f>
        <v>20-21734-4</v>
      </c>
      <c r="AN790" s="66" t="str">
        <f>IF($F790="","",IF($AI790&lt;&gt;"",IF(COUNTIFS('Lot Balance'!$A$5:$A$500,$F790,'Lot Balance'!$B$5:$B$500,$AI790)=0,"⚠ override is not a lot of this item",IF($AI790=$AL790,"Override = FEFO","Override - FEFO says "&amp;$AL790)),IF($AL790="","⚠ no receipt on file for this item",IF($AM790&lt;&gt;$AL790,"FEFO auto - split, also "&amp;$AM790,"FEFO auto"))))</f>
        <v>FEFO auto</v>
      </c>
      <c r="AO790" s="114"/>
    </row>
    <row r="791" spans="1:41" x14ac:dyDescent="0.35">
      <c r="A791" s="74">
        <v>46164</v>
      </c>
      <c r="B791" s="18" t="str">
        <f>IF($C791="","",IFERROR(INDEX('Staff Directory'!$A$5:$A$594,MATCH($C791,'Staff Directory'!$B$5:$B$594,0)),"⚠ unknown staff"))</f>
        <v>PSW-021-A5</v>
      </c>
      <c r="C791" s="49" t="s">
        <v>997</v>
      </c>
      <c r="D791" s="19" t="str">
        <f>IF($B791="","",IFERROR(INDEX('Staff Directory'!$C$5:$C$594,MATCH($B791,'Staff Directory'!$A$5:$A$594,0)),""))</f>
        <v>PSW</v>
      </c>
      <c r="E791" s="19" t="str">
        <f>IF($B791="","",IFERROR(INDEX('Staff Directory'!$D$5:$D$594,MATCH($B791,'Staff Directory'!$A$5:$A$594,0)),""))</f>
        <v>A5</v>
      </c>
      <c r="F791" s="9" t="s">
        <v>156</v>
      </c>
      <c r="G791" s="18" t="str">
        <f>IF($F791="","",IFERROR(INDEX(Items!$B$5:$B$597,MATCH($F791,Items!$A$5:$A$597,0)),"⚠ not in Items"))</f>
        <v>Masks</v>
      </c>
      <c r="H791" s="19" t="str">
        <f>IF($F791="","",IFERROR(INDEX(Items!$C$5:$C$597,MATCH($F791,Items!$A$5:$A$597,0)),""))</f>
        <v>One Size</v>
      </c>
      <c r="I791" s="23">
        <f>IF($F791="","",IFERROR(INDEX(Items!$E$5:$E$597,MATCH($F791,Items!$A$5:$A$597,0)),""))</f>
        <v>50</v>
      </c>
      <c r="J791" s="115">
        <f>IF(tblIssues[[#This Row],[Qty Override]]&lt;&gt;"",tblIssues[[#This Row],[Qty Override]],IF(tblIssues[[#This Row],[Standard Issue]]="","",tblIssues[[#This Row],[Standard Issue]]))</f>
        <v>50</v>
      </c>
      <c r="K791" s="20">
        <f>IF($F791="","",IFERROR(INDEX(Items!$D$5:$D$597,MATCH($F791,Items!$A$5:$A$597,0)),""))</f>
        <v>0.25</v>
      </c>
      <c r="L791" s="21">
        <f t="shared" si="140"/>
        <v>12.5</v>
      </c>
      <c r="M791" s="9" t="str">
        <f t="shared" si="138"/>
        <v>0125FPC24-1</v>
      </c>
      <c r="N791" s="24">
        <f>IF($A791="","",WORKDAY($A791,Settings!$C$9,HolidayDates))</f>
        <v>46174</v>
      </c>
      <c r="O791" s="24">
        <f>IF($N791="","",WORKDAY($N791,Settings!$C$10,HolidayDates))</f>
        <v>46212</v>
      </c>
      <c r="P791" s="10" t="s">
        <v>501</v>
      </c>
      <c r="Q791" s="52" t="str">
        <f t="shared" si="141"/>
        <v>Collected</v>
      </c>
      <c r="R791" s="55" t="str">
        <f t="shared" si="142"/>
        <v>2026-05</v>
      </c>
      <c r="S791" s="55">
        <f>IF(OR($B791="",$F791="",$R791=""),"",SUMIFS(tblIssues[Qty Issued],tblIssues[Staff ID],$B791,tblIssues[Item Name],$F791,tblIssues[Month],$R791))</f>
        <v>50</v>
      </c>
      <c r="T791" s="56">
        <f>IF($I791="","",$I791*Settings!$C$11)</f>
        <v>50</v>
      </c>
      <c r="U791" s="57" t="str">
        <f t="shared" si="139"/>
        <v>OK</v>
      </c>
      <c r="V791" s="55" t="str">
        <f t="shared" si="143"/>
        <v/>
      </c>
      <c r="W791" s="55" t="str">
        <f>IF($V791="","",IF(COUNTIF($V$5:$V791,$V791)=1,1,""))</f>
        <v/>
      </c>
      <c r="X791" s="58" t="str">
        <f>IF($W791="","",MAX($X$4:X790)+1)</f>
        <v/>
      </c>
      <c r="Y791" s="62"/>
      <c r="Z791" s="62"/>
      <c r="AA791" s="64" t="str">
        <f>IF($C791="","",IFERROR(INDEX('Staff Directory'!$E$5:$E$594,MATCH($C791,'Staff Directory'!$B$5:$B$594,0)),""))</f>
        <v>firstname081.lastname081@example.com</v>
      </c>
      <c r="AB791" s="64" t="str">
        <f>IF($C791="","",IF(ISNUMBER(SEARCH($D791,Settings!$C$15)),"Pickup","Dispatch"))</f>
        <v>Pickup</v>
      </c>
      <c r="AC791" s="64" t="str">
        <f t="shared" si="144"/>
        <v>Supply order ready for pickup</v>
      </c>
      <c r="AD791" s="64" t="str">
        <f t="shared" si="135"/>
        <v>Dear PSW,
Your order is ready for pickup from Sample Branch, Wed-Fri 9am-4pm.</v>
      </c>
      <c r="AE791" s="64" t="str">
        <f t="shared" si="136"/>
        <v>mailto:firstname081.lastname081@example.com?subject=Supply%20order%20ready%20for%20pickup&amp;body=Dear%20PSW%2C%0A%0AYour%20order%20is%20ready%20for%20pickup%20from%20Sample%20Branch%2C%20Wed-Fri%209am-4pm.</v>
      </c>
      <c r="AF791" s="89" t="str">
        <f t="shared" si="145"/>
        <v>Draft email</v>
      </c>
      <c r="AG791" s="64" t="str">
        <f>IF($C791="","",IFERROR(INDEX('Staff Directory'!$K$595:$K$599,MATCH($C791,'Staff Directory'!$B$5:$B$599,0)),$D791))</f>
        <v>PSW</v>
      </c>
      <c r="AH791" t="str">
        <f>IF($C791="","",IFERROR(INDEX('Staff Directory'!$I$595:$I$599,MATCH($C791,'Staff Directory'!$B$5:$B$599,0))&amp;" "&amp;INDEX('Staff Directory'!$J$595:$J$599,MATCH($C791,'Staff Directory'!$B$5:$B$599,0)),$AG791))</f>
        <v>PSW</v>
      </c>
      <c r="AI791" s="102"/>
      <c r="AJ791" s="101">
        <f>IF($F791="","",SUMIFS($J$5:$J791,$F$5:$F791,$F791))</f>
        <v>6550</v>
      </c>
      <c r="AK791" s="101">
        <f t="shared" si="137"/>
        <v>6501</v>
      </c>
      <c r="AL791" s="66" t="str" cm="1">
        <f t="array" ref="AL791">IF($F791="","",IFERROR(INDEX('Lot Balance'!$B$5:$B$500,MATCH(1,INDEX(('Lot Balance'!$A$5:$A$500=$F791)*('Lot Balance'!$K$5:$K$500&lt;$AK791)*('Lot Balance'!$K$5:$K$500+'Lot Balance'!$D$5:$D$500&gt;=$AK791),0),0)),""))</f>
        <v>0125FPC24-1</v>
      </c>
      <c r="AM791" s="66" t="str" cm="1">
        <f t="array" ref="AM791">IF($F791="","",IFERROR(INDEX('Lot Balance'!$B$5:$B$500,MATCH(1,INDEX(('Lot Balance'!$A$5:$A$500=$F791)*('Lot Balance'!$K$5:$K$500&lt;$AJ791)*('Lot Balance'!$K$5:$K$500+'Lot Balance'!$D$5:$D$500&gt;=$AJ791),0),0)),""))</f>
        <v>0125FPC24-1</v>
      </c>
      <c r="AN791" s="66" t="str">
        <f>IF($F791="","",IF($AI791&lt;&gt;"",IF(COUNTIFS('Lot Balance'!$A$5:$A$500,$F791,'Lot Balance'!$B$5:$B$500,$AI791)=0,"⚠ override is not a lot of this item",IF($AI791=$AL791,"Override = FEFO","Override - FEFO says "&amp;$AL791)),IF($AL791="","⚠ no receipt on file for this item",IF($AM791&lt;&gt;$AL791,"FEFO auto - split, also "&amp;$AM791,"FEFO auto"))))</f>
        <v>FEFO auto</v>
      </c>
      <c r="AO791" s="114"/>
    </row>
    <row r="792" spans="1:41" x14ac:dyDescent="0.35">
      <c r="A792" s="74">
        <v>46164</v>
      </c>
      <c r="B792" s="18" t="str">
        <f>IF($C792="","",IFERROR(INDEX('Staff Directory'!$A$5:$A$594,MATCH($C792,'Staff Directory'!$B$5:$B$594,0)),"⚠ unknown staff"))</f>
        <v>PSW-021-A5</v>
      </c>
      <c r="C792" s="49" t="s">
        <v>997</v>
      </c>
      <c r="D792" s="19" t="str">
        <f>IF($B792="","",IFERROR(INDEX('Staff Directory'!$C$5:$C$594,MATCH($B792,'Staff Directory'!$A$5:$A$594,0)),""))</f>
        <v>PSW</v>
      </c>
      <c r="E792" s="19" t="str">
        <f>IF($B792="","",IFERROR(INDEX('Staff Directory'!$D$5:$D$594,MATCH($B792,'Staff Directory'!$A$5:$A$594,0)),""))</f>
        <v>A5</v>
      </c>
      <c r="F792" s="9" t="s">
        <v>758</v>
      </c>
      <c r="G792" s="18" t="str">
        <f>IF($F792="","",IFERROR(INDEX(Items!$B$5:$B$597,MATCH($F792,Items!$A$5:$A$597,0)),"⚠ not in Items"))</f>
        <v>Utility</v>
      </c>
      <c r="H792" s="19" t="str">
        <f>IF($F792="","",IFERROR(INDEX(Items!$C$5:$C$597,MATCH($F792,Items!$A$5:$A$597,0)),""))</f>
        <v>Standard</v>
      </c>
      <c r="I792" s="23">
        <f>IF($F792="","",IFERROR(INDEX(Items!$E$5:$E$597,MATCH($F792,Items!$A$5:$A$597,0)),""))</f>
        <v>1</v>
      </c>
      <c r="J792" s="115">
        <f>IF(tblIssues[[#This Row],[Qty Override]]&lt;&gt;"",tblIssues[[#This Row],[Qty Override]],IF(tblIssues[[#This Row],[Standard Issue]]="","",tblIssues[[#This Row],[Standard Issue]]))</f>
        <v>1</v>
      </c>
      <c r="K792" s="20">
        <f>IF($F792="","",IFERROR(INDEX(Items!$D$5:$D$597,MATCH($F792,Items!$A$5:$A$597,0)),""))</f>
        <v>0</v>
      </c>
      <c r="L792" s="21">
        <f t="shared" si="140"/>
        <v>0</v>
      </c>
      <c r="M792" s="9" t="str">
        <f t="shared" si="138"/>
        <v/>
      </c>
      <c r="N792" s="24">
        <f>IF($A792="","",WORKDAY($A792,Settings!$C$9,HolidayDates))</f>
        <v>46174</v>
      </c>
      <c r="O792" s="24">
        <f>IF($N792="","",WORKDAY($N792,Settings!$C$10,HolidayDates))</f>
        <v>46212</v>
      </c>
      <c r="P792" s="10" t="s">
        <v>501</v>
      </c>
      <c r="Q792" s="52" t="str">
        <f t="shared" si="141"/>
        <v>Collected</v>
      </c>
      <c r="R792" s="55" t="str">
        <f t="shared" si="142"/>
        <v>2026-05</v>
      </c>
      <c r="S792" s="55">
        <f>IF(OR($B792="",$F792="",$R792=""),"",SUMIFS(tblIssues[Qty Issued],tblIssues[Staff ID],$B792,tblIssues[Item Name],$F792,tblIssues[Month],$R792))</f>
        <v>1</v>
      </c>
      <c r="T792" s="56">
        <f>IF($I792="","",$I792*Settings!$C$11)</f>
        <v>1</v>
      </c>
      <c r="U792" s="57" t="str">
        <f t="shared" si="139"/>
        <v>OK</v>
      </c>
      <c r="V792" s="55" t="str">
        <f t="shared" si="143"/>
        <v/>
      </c>
      <c r="W792" s="55" t="str">
        <f>IF($V792="","",IF(COUNTIF($V$5:$V792,$V792)=1,1,""))</f>
        <v/>
      </c>
      <c r="X792" s="58" t="str">
        <f>IF($W792="","",MAX($X$4:X791)+1)</f>
        <v/>
      </c>
      <c r="Y792" s="62"/>
      <c r="Z792" s="62"/>
      <c r="AA792" s="64" t="str">
        <f>IF($C792="","",IFERROR(INDEX('Staff Directory'!$E$5:$E$594,MATCH($C792,'Staff Directory'!$B$5:$B$594,0)),""))</f>
        <v>firstname081.lastname081@example.com</v>
      </c>
      <c r="AB792" s="64" t="str">
        <f>IF($C792="","",IF(ISNUMBER(SEARCH($D792,Settings!$C$15)),"Pickup","Dispatch"))</f>
        <v>Pickup</v>
      </c>
      <c r="AC792" s="64" t="str">
        <f t="shared" si="144"/>
        <v>Supply order ready for pickup</v>
      </c>
      <c r="AD792" s="64" t="str">
        <f t="shared" si="135"/>
        <v>Dear PSW,
Your order is ready for pickup from Sample Branch, Wed-Fri 9am-4pm.</v>
      </c>
      <c r="AE792" s="64" t="str">
        <f t="shared" si="136"/>
        <v>mailto:firstname081.lastname081@example.com?subject=Supply%20order%20ready%20for%20pickup&amp;body=Dear%20PSW%2C%0A%0AYour%20order%20is%20ready%20for%20pickup%20from%20Sample%20Branch%2C%20Wed-Fri%209am-4pm.</v>
      </c>
      <c r="AF792" s="89" t="str">
        <f t="shared" si="145"/>
        <v>Draft email</v>
      </c>
      <c r="AG792" s="64" t="str">
        <f>IF($C792="","",IFERROR(INDEX('Staff Directory'!$K$595:$K$599,MATCH($C792,'Staff Directory'!$B$5:$B$599,0)),$D792))</f>
        <v>PSW</v>
      </c>
      <c r="AH792" t="str">
        <f>IF($C792="","",IFERROR(INDEX('Staff Directory'!$I$595:$I$599,MATCH($C792,'Staff Directory'!$B$5:$B$599,0))&amp;" "&amp;INDEX('Staff Directory'!$J$595:$J$599,MATCH($C792,'Staff Directory'!$B$5:$B$599,0)),$AG792))</f>
        <v>PSW</v>
      </c>
      <c r="AI792" s="102"/>
      <c r="AJ792" s="101">
        <f>IF($F792="","",SUMIFS($J$5:$J792,$F$5:$F792,$F792))</f>
        <v>6</v>
      </c>
      <c r="AK792" s="101">
        <f t="shared" si="137"/>
        <v>6</v>
      </c>
      <c r="AL792" s="66" t="str" cm="1">
        <f t="array" ref="AL792">IF($F792="","",IFERROR(INDEX('Lot Balance'!$B$5:$B$500,MATCH(1,INDEX(('Lot Balance'!$A$5:$A$500=$F792)*('Lot Balance'!$K$5:$K$500&lt;$AK792)*('Lot Balance'!$K$5:$K$500+'Lot Balance'!$D$5:$D$500&gt;=$AK792),0),0)),""))</f>
        <v/>
      </c>
      <c r="AM792" s="66" t="str" cm="1">
        <f t="array" ref="AM792">IF($F792="","",IFERROR(INDEX('Lot Balance'!$B$5:$B$500,MATCH(1,INDEX(('Lot Balance'!$A$5:$A$500=$F792)*('Lot Balance'!$K$5:$K$500&lt;$AJ792)*('Lot Balance'!$K$5:$K$500+'Lot Balance'!$D$5:$D$500&gt;=$AJ792),0),0)),""))</f>
        <v/>
      </c>
      <c r="AN792" s="66" t="str">
        <f>IF($F792="","",IF($AI792&lt;&gt;"",IF(COUNTIFS('Lot Balance'!$A$5:$A$500,$F792,'Lot Balance'!$B$5:$B$500,$AI792)=0,"⚠ override is not a lot of this item",IF($AI792=$AL792,"Override = FEFO","Override - FEFO says "&amp;$AL792)),IF($AL792="","⚠ no receipt on file for this item",IF($AM792&lt;&gt;$AL792,"FEFO auto - split, also "&amp;$AM792,"FEFO auto"))))</f>
        <v>⚠ no receipt on file for this item</v>
      </c>
      <c r="AO792" s="114"/>
    </row>
    <row r="793" spans="1:41" x14ac:dyDescent="0.35">
      <c r="A793" s="74">
        <v>46164</v>
      </c>
      <c r="B793" s="18" t="str">
        <f>IF($C793="","",IFERROR(INDEX('Staff Directory'!$A$5:$A$594,MATCH($C793,'Staff Directory'!$B$5:$B$594,0)),"⚠ unknown staff"))</f>
        <v>PSW-100-A6</v>
      </c>
      <c r="C793" s="49" t="s">
        <v>1078</v>
      </c>
      <c r="D793" s="19" t="str">
        <f>IF($B793="","",IFERROR(INDEX('Staff Directory'!$C$5:$C$594,MATCH($B793,'Staff Directory'!$A$5:$A$594,0)),""))</f>
        <v>PSW</v>
      </c>
      <c r="E793" s="19" t="str">
        <f>IF($B793="","",IFERROR(INDEX('Staff Directory'!$D$5:$D$594,MATCH($B793,'Staff Directory'!$A$5:$A$594,0)),""))</f>
        <v>A6</v>
      </c>
      <c r="F793" s="9" t="s">
        <v>129</v>
      </c>
      <c r="G793" s="18" t="str">
        <f>IF($F793="","",IFERROR(INDEX(Items!$B$5:$B$597,MATCH($F793,Items!$A$5:$A$597,0)),"⚠ not in Items"))</f>
        <v>Gloves</v>
      </c>
      <c r="H793" s="19" t="str">
        <f>IF($F793="","",IFERROR(INDEX(Items!$C$5:$C$597,MATCH($F793,Items!$A$5:$A$597,0)),""))</f>
        <v>Small</v>
      </c>
      <c r="I793" s="23">
        <f>IF($F793="","",IFERROR(INDEX(Items!$E$5:$E$597,MATCH($F793,Items!$A$5:$A$597,0)),""))</f>
        <v>500</v>
      </c>
      <c r="J793" s="115">
        <f>IF(tblIssues[[#This Row],[Qty Override]]&lt;&gt;"",tblIssues[[#This Row],[Qty Override]],IF(tblIssues[[#This Row],[Standard Issue]]="","",tblIssues[[#This Row],[Standard Issue]]))</f>
        <v>500</v>
      </c>
      <c r="K793" s="20">
        <f>IF($F793="","",IFERROR(INDEX(Items!$D$5:$D$597,MATCH($F793,Items!$A$5:$A$597,0)),""))</f>
        <v>5.5E-2</v>
      </c>
      <c r="L793" s="21">
        <f t="shared" si="140"/>
        <v>27.5</v>
      </c>
      <c r="M793" s="9" t="str">
        <f t="shared" si="138"/>
        <v>O211LIC25-1</v>
      </c>
      <c r="N793" s="24">
        <f>IF($A793="","",WORKDAY($A793,Settings!$C$9,HolidayDates))</f>
        <v>46174</v>
      </c>
      <c r="O793" s="24">
        <f>IF($N793="","",WORKDAY($N793,Settings!$C$10,HolidayDates))</f>
        <v>46212</v>
      </c>
      <c r="P793" s="10" t="s">
        <v>501</v>
      </c>
      <c r="Q793" s="52" t="str">
        <f t="shared" si="141"/>
        <v>Collected</v>
      </c>
      <c r="R793" s="55" t="str">
        <f t="shared" si="142"/>
        <v>2026-05</v>
      </c>
      <c r="S793" s="55">
        <f>IF(OR($B793="",$F793="",$R793=""),"",SUMIFS(tblIssues[Qty Issued],tblIssues[Staff ID],$B793,tblIssues[Item Name],$F793,tblIssues[Month],$R793))</f>
        <v>500</v>
      </c>
      <c r="T793" s="56">
        <f>IF($I793="","",$I793*Settings!$C$11)</f>
        <v>500</v>
      </c>
      <c r="U793" s="57" t="str">
        <f t="shared" si="139"/>
        <v>OK</v>
      </c>
      <c r="V793" s="55" t="str">
        <f t="shared" si="143"/>
        <v/>
      </c>
      <c r="W793" s="55" t="str">
        <f>IF($V793="","",IF(COUNTIF($V$5:$V793,$V793)=1,1,""))</f>
        <v/>
      </c>
      <c r="X793" s="58" t="str">
        <f>IF($W793="","",MAX($X$4:X792)+1)</f>
        <v/>
      </c>
      <c r="Y793" s="62"/>
      <c r="Z793" s="62"/>
      <c r="AA793" s="64" t="str">
        <f>IF($C793="","",IFERROR(INDEX('Staff Directory'!$E$5:$E$594,MATCH($C793,'Staff Directory'!$B$5:$B$594,0)),""))</f>
        <v>firstname162.lastname162@example.com</v>
      </c>
      <c r="AB793" s="64" t="str">
        <f>IF($C793="","",IF(ISNUMBER(SEARCH($D793,Settings!$C$15)),"Pickup","Dispatch"))</f>
        <v>Pickup</v>
      </c>
      <c r="AC793" s="64" t="str">
        <f t="shared" si="144"/>
        <v>Supply order ready for pickup</v>
      </c>
      <c r="AD793" s="64" t="str">
        <f t="shared" si="135"/>
        <v>Dear PSW,
Your order is ready for pickup from Sample Branch, Wed-Fri 9am-4pm.</v>
      </c>
      <c r="AE793" s="64" t="str">
        <f t="shared" si="136"/>
        <v>mailto:firstname162.lastname162@example.com?subject=Supply%20order%20ready%20for%20pickup&amp;body=Dear%20PSW%2C%0A%0AYour%20order%20is%20ready%20for%20pickup%20from%20Sample%20Branch%2C%20Wed-Fri%209am-4pm.</v>
      </c>
      <c r="AF793" s="89" t="str">
        <f t="shared" si="145"/>
        <v>Draft email</v>
      </c>
      <c r="AG793" s="64" t="str">
        <f>IF($C793="","",IFERROR(INDEX('Staff Directory'!$K$595:$K$599,MATCH($C793,'Staff Directory'!$B$5:$B$599,0)),$D793))</f>
        <v>PSW</v>
      </c>
      <c r="AH793" t="str">
        <f>IF($C793="","",IFERROR(INDEX('Staff Directory'!$I$595:$I$599,MATCH($C793,'Staff Directory'!$B$5:$B$599,0))&amp;" "&amp;INDEX('Staff Directory'!$J$595:$J$599,MATCH($C793,'Staff Directory'!$B$5:$B$599,0)),$AG793))</f>
        <v>PSW</v>
      </c>
      <c r="AI793" s="102"/>
      <c r="AJ793" s="101">
        <f>IF($F793="","",SUMIFS($J$5:$J793,$F$5:$F793,$F793))</f>
        <v>28500</v>
      </c>
      <c r="AK793" s="101">
        <f t="shared" si="137"/>
        <v>28001</v>
      </c>
      <c r="AL793" s="66" t="str" cm="1">
        <f t="array" ref="AL793">IF($F793="","",IFERROR(INDEX('Lot Balance'!$B$5:$B$500,MATCH(1,INDEX(('Lot Balance'!$A$5:$A$500=$F793)*('Lot Balance'!$K$5:$K$500&lt;$AK793)*('Lot Balance'!$K$5:$K$500+'Lot Balance'!$D$5:$D$500&gt;=$AK793),0),0)),""))</f>
        <v>O211LIC25-1</v>
      </c>
      <c r="AM793" s="66" t="str" cm="1">
        <f t="array" ref="AM793">IF($F793="","",IFERROR(INDEX('Lot Balance'!$B$5:$B$500,MATCH(1,INDEX(('Lot Balance'!$A$5:$A$500=$F793)*('Lot Balance'!$K$5:$K$500&lt;$AJ793)*('Lot Balance'!$K$5:$K$500+'Lot Balance'!$D$5:$D$500&gt;=$AJ793),0),0)),""))</f>
        <v>O211LIC25-1</v>
      </c>
      <c r="AN793" s="66" t="str">
        <f>IF($F793="","",IF($AI793&lt;&gt;"",IF(COUNTIFS('Lot Balance'!$A$5:$A$500,$F793,'Lot Balance'!$B$5:$B$500,$AI793)=0,"⚠ override is not a lot of this item",IF($AI793=$AL793,"Override = FEFO","Override - FEFO says "&amp;$AL793)),IF($AL793="","⚠ no receipt on file for this item",IF($AM793&lt;&gt;$AL793,"FEFO auto - split, also "&amp;$AM793,"FEFO auto"))))</f>
        <v>FEFO auto</v>
      </c>
      <c r="AO793" s="114"/>
    </row>
    <row r="794" spans="1:41" x14ac:dyDescent="0.35">
      <c r="A794" s="74">
        <v>46164</v>
      </c>
      <c r="B794" s="18" t="str">
        <f>IF($C794="","",IFERROR(INDEX('Staff Directory'!$A$5:$A$594,MATCH($C794,'Staff Directory'!$B$5:$B$594,0)),"⚠ unknown staff"))</f>
        <v>PSW-100-A6</v>
      </c>
      <c r="C794" s="49" t="s">
        <v>1078</v>
      </c>
      <c r="D794" s="19" t="str">
        <f>IF($B794="","",IFERROR(INDEX('Staff Directory'!$C$5:$C$594,MATCH($B794,'Staff Directory'!$A$5:$A$594,0)),""))</f>
        <v>PSW</v>
      </c>
      <c r="E794" s="19" t="str">
        <f>IF($B794="","",IFERROR(INDEX('Staff Directory'!$D$5:$D$594,MATCH($B794,'Staff Directory'!$A$5:$A$594,0)),""))</f>
        <v>A6</v>
      </c>
      <c r="F794" s="9" t="s">
        <v>191</v>
      </c>
      <c r="G794" s="18" t="str">
        <f>IF($F794="","",IFERROR(INDEX(Items!$B$5:$B$597,MATCH($F794,Items!$A$5:$A$597,0)),"⚠ not in Items"))</f>
        <v>Sanitizer</v>
      </c>
      <c r="H794" s="19" t="str">
        <f>IF($F794="","",IFERROR(INDEX(Items!$C$5:$C$597,MATCH($F794,Items!$A$5:$A$597,0)),""))</f>
        <v>236 ML</v>
      </c>
      <c r="I794" s="23">
        <f>IF($F794="","",IFERROR(INDEX(Items!$E$5:$E$597,MATCH($F794,Items!$A$5:$A$597,0)),""))</f>
        <v>1</v>
      </c>
      <c r="J794" s="115">
        <f>IF(tblIssues[[#This Row],[Qty Override]]&lt;&gt;"",tblIssues[[#This Row],[Qty Override]],IF(tblIssues[[#This Row],[Standard Issue]]="","",tblIssues[[#This Row],[Standard Issue]]))</f>
        <v>1</v>
      </c>
      <c r="K794" s="20">
        <f>IF($F794="","",IFERROR(INDEX(Items!$D$5:$D$597,MATCH($F794,Items!$A$5:$A$597,0)),""))</f>
        <v>1E-4</v>
      </c>
      <c r="L794" s="21">
        <f t="shared" si="140"/>
        <v>1E-4</v>
      </c>
      <c r="M794" s="9" t="str">
        <f t="shared" si="138"/>
        <v>20-21734-4</v>
      </c>
      <c r="N794" s="24">
        <f>IF($A794="","",WORKDAY($A794,Settings!$C$9,HolidayDates))</f>
        <v>46174</v>
      </c>
      <c r="O794" s="24">
        <f>IF($N794="","",WORKDAY($N794,Settings!$C$10,HolidayDates))</f>
        <v>46212</v>
      </c>
      <c r="P794" s="10" t="s">
        <v>501</v>
      </c>
      <c r="Q794" s="52" t="str">
        <f t="shared" si="141"/>
        <v>Collected</v>
      </c>
      <c r="R794" s="55" t="str">
        <f t="shared" si="142"/>
        <v>2026-05</v>
      </c>
      <c r="S794" s="55">
        <f>IF(OR($B794="",$F794="",$R794=""),"",SUMIFS(tblIssues[Qty Issued],tblIssues[Staff ID],$B794,tblIssues[Item Name],$F794,tblIssues[Month],$R794))</f>
        <v>1</v>
      </c>
      <c r="T794" s="56">
        <f>IF($I794="","",$I794*Settings!$C$11)</f>
        <v>1</v>
      </c>
      <c r="U794" s="57" t="str">
        <f t="shared" si="139"/>
        <v>OK</v>
      </c>
      <c r="V794" s="55" t="str">
        <f t="shared" si="143"/>
        <v/>
      </c>
      <c r="W794" s="55" t="str">
        <f>IF($V794="","",IF(COUNTIF($V$5:$V794,$V794)=1,1,""))</f>
        <v/>
      </c>
      <c r="X794" s="58" t="str">
        <f>IF($W794="","",MAX($X$4:X793)+1)</f>
        <v/>
      </c>
      <c r="Y794" s="62"/>
      <c r="Z794" s="62"/>
      <c r="AA794" s="64" t="str">
        <f>IF($C794="","",IFERROR(INDEX('Staff Directory'!$E$5:$E$594,MATCH($C794,'Staff Directory'!$B$5:$B$594,0)),""))</f>
        <v>firstname162.lastname162@example.com</v>
      </c>
      <c r="AB794" s="64" t="str">
        <f>IF($C794="","",IF(ISNUMBER(SEARCH($D794,Settings!$C$15)),"Pickup","Dispatch"))</f>
        <v>Pickup</v>
      </c>
      <c r="AC794" s="64" t="str">
        <f t="shared" si="144"/>
        <v>Supply order ready for pickup</v>
      </c>
      <c r="AD794" s="64" t="str">
        <f t="shared" si="135"/>
        <v>Dear PSW,
Your order is ready for pickup from Sample Branch, Wed-Fri 9am-4pm.</v>
      </c>
      <c r="AE794" s="64" t="str">
        <f t="shared" si="136"/>
        <v>mailto:firstname162.lastname162@example.com?subject=Supply%20order%20ready%20for%20pickup&amp;body=Dear%20PSW%2C%0A%0AYour%20order%20is%20ready%20for%20pickup%20from%20Sample%20Branch%2C%20Wed-Fri%209am-4pm.</v>
      </c>
      <c r="AF794" s="89" t="str">
        <f t="shared" si="145"/>
        <v>Draft email</v>
      </c>
      <c r="AG794" s="64" t="str">
        <f>IF($C794="","",IFERROR(INDEX('Staff Directory'!$K$595:$K$599,MATCH($C794,'Staff Directory'!$B$5:$B$599,0)),$D794))</f>
        <v>PSW</v>
      </c>
      <c r="AH794" t="str">
        <f>IF($C794="","",IFERROR(INDEX('Staff Directory'!$I$595:$I$599,MATCH($C794,'Staff Directory'!$B$5:$B$599,0))&amp;" "&amp;INDEX('Staff Directory'!$J$595:$J$599,MATCH($C794,'Staff Directory'!$B$5:$B$599,0)),$AG794))</f>
        <v>PSW</v>
      </c>
      <c r="AI794" s="102"/>
      <c r="AJ794" s="101">
        <f>IF($F794="","",SUMIFS($J$5:$J794,$F$5:$F794,$F794))</f>
        <v>98</v>
      </c>
      <c r="AK794" s="101">
        <f t="shared" si="137"/>
        <v>98</v>
      </c>
      <c r="AL794" s="66" t="str" cm="1">
        <f t="array" ref="AL794">IF($F794="","",IFERROR(INDEX('Lot Balance'!$B$5:$B$500,MATCH(1,INDEX(('Lot Balance'!$A$5:$A$500=$F794)*('Lot Balance'!$K$5:$K$500&lt;$AK794)*('Lot Balance'!$K$5:$K$500+'Lot Balance'!$D$5:$D$500&gt;=$AK794),0),0)),""))</f>
        <v>20-21734-4</v>
      </c>
      <c r="AM794" s="66" t="str" cm="1">
        <f t="array" ref="AM794">IF($F794="","",IFERROR(INDEX('Lot Balance'!$B$5:$B$500,MATCH(1,INDEX(('Lot Balance'!$A$5:$A$500=$F794)*('Lot Balance'!$K$5:$K$500&lt;$AJ794)*('Lot Balance'!$K$5:$K$500+'Lot Balance'!$D$5:$D$500&gt;=$AJ794),0),0)),""))</f>
        <v>20-21734-4</v>
      </c>
      <c r="AN794" s="66" t="str">
        <f>IF($F794="","",IF($AI794&lt;&gt;"",IF(COUNTIFS('Lot Balance'!$A$5:$A$500,$F794,'Lot Balance'!$B$5:$B$500,$AI794)=0,"⚠ override is not a lot of this item",IF($AI794=$AL794,"Override = FEFO","Override - FEFO says "&amp;$AL794)),IF($AL794="","⚠ no receipt on file for this item",IF($AM794&lt;&gt;$AL794,"FEFO auto - split, also "&amp;$AM794,"FEFO auto"))))</f>
        <v>FEFO auto</v>
      </c>
      <c r="AO794" s="114"/>
    </row>
    <row r="795" spans="1:41" x14ac:dyDescent="0.35">
      <c r="A795" s="74">
        <v>46164</v>
      </c>
      <c r="B795" s="18" t="str">
        <f>IF($C795="","",IFERROR(INDEX('Staff Directory'!$A$5:$A$594,MATCH($C795,'Staff Directory'!$B$5:$B$594,0)),"⚠ unknown staff"))</f>
        <v>PSW-100-A6</v>
      </c>
      <c r="C795" s="49" t="s">
        <v>1078</v>
      </c>
      <c r="D795" s="19" t="str">
        <f>IF($B795="","",IFERROR(INDEX('Staff Directory'!$C$5:$C$594,MATCH($B795,'Staff Directory'!$A$5:$A$594,0)),""))</f>
        <v>PSW</v>
      </c>
      <c r="E795" s="19" t="str">
        <f>IF($B795="","",IFERROR(INDEX('Staff Directory'!$D$5:$D$594,MATCH($B795,'Staff Directory'!$A$5:$A$594,0)),""))</f>
        <v>A6</v>
      </c>
      <c r="F795" s="9" t="s">
        <v>115</v>
      </c>
      <c r="G795" s="18" t="str">
        <f>IF($F795="","",IFERROR(INDEX(Items!$B$5:$B$597,MATCH($F795,Items!$A$5:$A$597,0)),"⚠ not in Items"))</f>
        <v>Wipes</v>
      </c>
      <c r="H795" s="19">
        <f>IF($F795="","",IFERROR(INDEX(Items!$C$5:$C$597,MATCH($F795,Items!$A$5:$A$597,0)),""))</f>
        <v>80</v>
      </c>
      <c r="I795" s="23">
        <f>IF($F795="","",IFERROR(INDEX(Items!$E$5:$E$597,MATCH($F795,Items!$A$5:$A$597,0)),""))</f>
        <v>80</v>
      </c>
      <c r="J795" s="115">
        <f>IF(tblIssues[[#This Row],[Qty Override]]&lt;&gt;"",tblIssues[[#This Row],[Qty Override]],IF(tblIssues[[#This Row],[Standard Issue]]="","",tblIssues[[#This Row],[Standard Issue]]))</f>
        <v>80</v>
      </c>
      <c r="K795" s="20">
        <f>IF($F795="","",IFERROR(INDEX(Items!$D$5:$D$597,MATCH($F795,Items!$A$5:$A$597,0)),""))</f>
        <v>0.1</v>
      </c>
      <c r="L795" s="21">
        <f t="shared" si="140"/>
        <v>8</v>
      </c>
      <c r="M795" s="9" t="str">
        <f t="shared" si="138"/>
        <v>LYSL500290</v>
      </c>
      <c r="N795" s="24">
        <f>IF($A795="","",WORKDAY($A795,Settings!$C$9,HolidayDates))</f>
        <v>46174</v>
      </c>
      <c r="O795" s="24">
        <f>IF($N795="","",WORKDAY($N795,Settings!$C$10,HolidayDates))</f>
        <v>46212</v>
      </c>
      <c r="P795" s="10" t="s">
        <v>501</v>
      </c>
      <c r="Q795" s="52" t="str">
        <f t="shared" si="141"/>
        <v>Collected</v>
      </c>
      <c r="R795" s="55" t="str">
        <f t="shared" si="142"/>
        <v>2026-05</v>
      </c>
      <c r="S795" s="55">
        <f>IF(OR($B795="",$F795="",$R795=""),"",SUMIFS(tblIssues[Qty Issued],tblIssues[Staff ID],$B795,tblIssues[Item Name],$F795,tblIssues[Month],$R795))</f>
        <v>80</v>
      </c>
      <c r="T795" s="56">
        <f>IF($I795="","",$I795*Settings!$C$11)</f>
        <v>80</v>
      </c>
      <c r="U795" s="57" t="str">
        <f t="shared" si="139"/>
        <v>OK</v>
      </c>
      <c r="V795" s="55" t="str">
        <f t="shared" si="143"/>
        <v/>
      </c>
      <c r="W795" s="55" t="str">
        <f>IF($V795="","",IF(COUNTIF($V$5:$V795,$V795)=1,1,""))</f>
        <v/>
      </c>
      <c r="X795" s="58" t="str">
        <f>IF($W795="","",MAX($X$4:X794)+1)</f>
        <v/>
      </c>
      <c r="Y795" s="62"/>
      <c r="Z795" s="62"/>
      <c r="AA795" s="64" t="str">
        <f>IF($C795="","",IFERROR(INDEX('Staff Directory'!$E$5:$E$594,MATCH($C795,'Staff Directory'!$B$5:$B$594,0)),""))</f>
        <v>firstname162.lastname162@example.com</v>
      </c>
      <c r="AB795" s="64" t="str">
        <f>IF($C795="","",IF(ISNUMBER(SEARCH($D795,Settings!$C$15)),"Pickup","Dispatch"))</f>
        <v>Pickup</v>
      </c>
      <c r="AC795" s="64" t="str">
        <f t="shared" si="144"/>
        <v>Supply order ready for pickup</v>
      </c>
      <c r="AD795" s="64" t="str">
        <f t="shared" si="135"/>
        <v>Dear PSW,
Your order is ready for pickup from Sample Branch, Wed-Fri 9am-4pm.</v>
      </c>
      <c r="AE795" s="64" t="str">
        <f t="shared" si="136"/>
        <v>mailto:firstname162.lastname162@example.com?subject=Supply%20order%20ready%20for%20pickup&amp;body=Dear%20PSW%2C%0A%0AYour%20order%20is%20ready%20for%20pickup%20from%20Sample%20Branch%2C%20Wed-Fri%209am-4pm.</v>
      </c>
      <c r="AF795" s="89" t="str">
        <f t="shared" si="145"/>
        <v>Draft email</v>
      </c>
      <c r="AG795" s="64" t="str">
        <f>IF($C795="","",IFERROR(INDEX('Staff Directory'!$K$595:$K$599,MATCH($C795,'Staff Directory'!$B$5:$B$599,0)),$D795))</f>
        <v>PSW</v>
      </c>
      <c r="AH795" t="str">
        <f>IF($C795="","",IFERROR(INDEX('Staff Directory'!$I$595:$I$599,MATCH($C795,'Staff Directory'!$B$5:$B$599,0))&amp;" "&amp;INDEX('Staff Directory'!$J$595:$J$599,MATCH($C795,'Staff Directory'!$B$5:$B$599,0)),$AG795))</f>
        <v>PSW</v>
      </c>
      <c r="AI795" s="102"/>
      <c r="AJ795" s="101">
        <f>IF($F795="","",SUMIFS($J$5:$J795,$F$5:$F795,$F795))</f>
        <v>10960</v>
      </c>
      <c r="AK795" s="101">
        <f t="shared" si="137"/>
        <v>10881</v>
      </c>
      <c r="AL795" s="66" t="str" cm="1">
        <f t="array" ref="AL795">IF($F795="","",IFERROR(INDEX('Lot Balance'!$B$5:$B$500,MATCH(1,INDEX(('Lot Balance'!$A$5:$A$500=$F795)*('Lot Balance'!$K$5:$K$500&lt;$AK795)*('Lot Balance'!$K$5:$K$500+'Lot Balance'!$D$5:$D$500&gt;=$AK795),0),0)),""))</f>
        <v>LYSL500290</v>
      </c>
      <c r="AM795" s="66" t="str" cm="1">
        <f t="array" ref="AM795">IF($F795="","",IFERROR(INDEX('Lot Balance'!$B$5:$B$500,MATCH(1,INDEX(('Lot Balance'!$A$5:$A$500=$F795)*('Lot Balance'!$K$5:$K$500&lt;$AJ795)*('Lot Balance'!$K$5:$K$500+'Lot Balance'!$D$5:$D$500&gt;=$AJ795),0),0)),""))</f>
        <v>LYSL500290</v>
      </c>
      <c r="AN795" s="66" t="str">
        <f>IF($F795="","",IF($AI795&lt;&gt;"",IF(COUNTIFS('Lot Balance'!$A$5:$A$500,$F795,'Lot Balance'!$B$5:$B$500,$AI795)=0,"⚠ override is not a lot of this item",IF($AI795=$AL795,"Override = FEFO","Override - FEFO says "&amp;$AL795)),IF($AL795="","⚠ no receipt on file for this item",IF($AM795&lt;&gt;$AL795,"FEFO auto - split, also "&amp;$AM795,"FEFO auto"))))</f>
        <v>FEFO auto</v>
      </c>
      <c r="AO795" s="114"/>
    </row>
    <row r="796" spans="1:41" x14ac:dyDescent="0.35">
      <c r="A796" s="74">
        <v>46164</v>
      </c>
      <c r="B796" s="18" t="str">
        <f>IF($C796="","",IFERROR(INDEX('Staff Directory'!$A$5:$A$594,MATCH($C796,'Staff Directory'!$B$5:$B$594,0)),"⚠ unknown staff"))</f>
        <v>PSW-100-A6</v>
      </c>
      <c r="C796" s="49" t="s">
        <v>1078</v>
      </c>
      <c r="D796" s="19" t="str">
        <f>IF($B796="","",IFERROR(INDEX('Staff Directory'!$C$5:$C$594,MATCH($B796,'Staff Directory'!$A$5:$A$594,0)),""))</f>
        <v>PSW</v>
      </c>
      <c r="E796" s="19" t="str">
        <f>IF($B796="","",IFERROR(INDEX('Staff Directory'!$D$5:$D$594,MATCH($B796,'Staff Directory'!$A$5:$A$594,0)),""))</f>
        <v>A6</v>
      </c>
      <c r="F796" s="9" t="s">
        <v>156</v>
      </c>
      <c r="G796" s="18" t="str">
        <f>IF($F796="","",IFERROR(INDEX(Items!$B$5:$B$597,MATCH($F796,Items!$A$5:$A$597,0)),"⚠ not in Items"))</f>
        <v>Masks</v>
      </c>
      <c r="H796" s="19" t="str">
        <f>IF($F796="","",IFERROR(INDEX(Items!$C$5:$C$597,MATCH($F796,Items!$A$5:$A$597,0)),""))</f>
        <v>One Size</v>
      </c>
      <c r="I796" s="23">
        <f>IF($F796="","",IFERROR(INDEX(Items!$E$5:$E$597,MATCH($F796,Items!$A$5:$A$597,0)),""))</f>
        <v>50</v>
      </c>
      <c r="J796" s="115">
        <f>IF(tblIssues[[#This Row],[Qty Override]]&lt;&gt;"",tblIssues[[#This Row],[Qty Override]],IF(tblIssues[[#This Row],[Standard Issue]]="","",tblIssues[[#This Row],[Standard Issue]]))</f>
        <v>50</v>
      </c>
      <c r="K796" s="20">
        <f>IF($F796="","",IFERROR(INDEX(Items!$D$5:$D$597,MATCH($F796,Items!$A$5:$A$597,0)),""))</f>
        <v>0.25</v>
      </c>
      <c r="L796" s="21">
        <f t="shared" si="140"/>
        <v>12.5</v>
      </c>
      <c r="M796" s="9" t="str">
        <f t="shared" si="138"/>
        <v>0125FPC24-1</v>
      </c>
      <c r="N796" s="24">
        <f>IF($A796="","",WORKDAY($A796,Settings!$C$9,HolidayDates))</f>
        <v>46174</v>
      </c>
      <c r="O796" s="24">
        <f>IF($N796="","",WORKDAY($N796,Settings!$C$10,HolidayDates))</f>
        <v>46212</v>
      </c>
      <c r="P796" s="10" t="s">
        <v>501</v>
      </c>
      <c r="Q796" s="52" t="str">
        <f t="shared" si="141"/>
        <v>Collected</v>
      </c>
      <c r="R796" s="55" t="str">
        <f t="shared" si="142"/>
        <v>2026-05</v>
      </c>
      <c r="S796" s="55">
        <f>IF(OR($B796="",$F796="",$R796=""),"",SUMIFS(tblIssues[Qty Issued],tblIssues[Staff ID],$B796,tblIssues[Item Name],$F796,tblIssues[Month],$R796))</f>
        <v>50</v>
      </c>
      <c r="T796" s="56">
        <f>IF($I796="","",$I796*Settings!$C$11)</f>
        <v>50</v>
      </c>
      <c r="U796" s="57" t="str">
        <f t="shared" si="139"/>
        <v>OK</v>
      </c>
      <c r="V796" s="55" t="str">
        <f t="shared" si="143"/>
        <v/>
      </c>
      <c r="W796" s="55" t="str">
        <f>IF($V796="","",IF(COUNTIF($V$5:$V796,$V796)=1,1,""))</f>
        <v/>
      </c>
      <c r="X796" s="58" t="str">
        <f>IF($W796="","",MAX($X$4:X795)+1)</f>
        <v/>
      </c>
      <c r="Y796" s="62"/>
      <c r="Z796" s="62"/>
      <c r="AA796" s="64" t="str">
        <f>IF($C796="","",IFERROR(INDEX('Staff Directory'!$E$5:$E$594,MATCH($C796,'Staff Directory'!$B$5:$B$594,0)),""))</f>
        <v>firstname162.lastname162@example.com</v>
      </c>
      <c r="AB796" s="64" t="str">
        <f>IF($C796="","",IF(ISNUMBER(SEARCH($D796,Settings!$C$15)),"Pickup","Dispatch"))</f>
        <v>Pickup</v>
      </c>
      <c r="AC796" s="64" t="str">
        <f t="shared" si="144"/>
        <v>Supply order ready for pickup</v>
      </c>
      <c r="AD796" s="64" t="str">
        <f t="shared" si="135"/>
        <v>Dear PSW,
Your order is ready for pickup from Sample Branch, Wed-Fri 9am-4pm.</v>
      </c>
      <c r="AE796" s="64" t="str">
        <f t="shared" si="136"/>
        <v>mailto:firstname162.lastname162@example.com?subject=Supply%20order%20ready%20for%20pickup&amp;body=Dear%20PSW%2C%0A%0AYour%20order%20is%20ready%20for%20pickup%20from%20Sample%20Branch%2C%20Wed-Fri%209am-4pm.</v>
      </c>
      <c r="AF796" s="89" t="str">
        <f t="shared" si="145"/>
        <v>Draft email</v>
      </c>
      <c r="AG796" s="64" t="str">
        <f>IF($C796="","",IFERROR(INDEX('Staff Directory'!$K$595:$K$599,MATCH($C796,'Staff Directory'!$B$5:$B$599,0)),$D796))</f>
        <v>PSW</v>
      </c>
      <c r="AH796" t="str">
        <f>IF($C796="","",IFERROR(INDEX('Staff Directory'!$I$595:$I$599,MATCH($C796,'Staff Directory'!$B$5:$B$599,0))&amp;" "&amp;INDEX('Staff Directory'!$J$595:$J$599,MATCH($C796,'Staff Directory'!$B$5:$B$599,0)),$AG796))</f>
        <v>PSW</v>
      </c>
      <c r="AI796" s="102"/>
      <c r="AJ796" s="101">
        <f>IF($F796="","",SUMIFS($J$5:$J796,$F$5:$F796,$F796))</f>
        <v>6600</v>
      </c>
      <c r="AK796" s="101">
        <f t="shared" si="137"/>
        <v>6551</v>
      </c>
      <c r="AL796" s="66" t="str" cm="1">
        <f t="array" ref="AL796">IF($F796="","",IFERROR(INDEX('Lot Balance'!$B$5:$B$500,MATCH(1,INDEX(('Lot Balance'!$A$5:$A$500=$F796)*('Lot Balance'!$K$5:$K$500&lt;$AK796)*('Lot Balance'!$K$5:$K$500+'Lot Balance'!$D$5:$D$500&gt;=$AK796),0),0)),""))</f>
        <v>0125FPC24-1</v>
      </c>
      <c r="AM796" s="66" t="str" cm="1">
        <f t="array" ref="AM796">IF($F796="","",IFERROR(INDEX('Lot Balance'!$B$5:$B$500,MATCH(1,INDEX(('Lot Balance'!$A$5:$A$500=$F796)*('Lot Balance'!$K$5:$K$500&lt;$AJ796)*('Lot Balance'!$K$5:$K$500+'Lot Balance'!$D$5:$D$500&gt;=$AJ796),0),0)),""))</f>
        <v>0125FPC24-1</v>
      </c>
      <c r="AN796" s="66" t="str">
        <f>IF($F796="","",IF($AI796&lt;&gt;"",IF(COUNTIFS('Lot Balance'!$A$5:$A$500,$F796,'Lot Balance'!$B$5:$B$500,$AI796)=0,"⚠ override is not a lot of this item",IF($AI796=$AL796,"Override = FEFO","Override - FEFO says "&amp;$AL796)),IF($AL796="","⚠ no receipt on file for this item",IF($AM796&lt;&gt;$AL796,"FEFO auto - split, also "&amp;$AM796,"FEFO auto"))))</f>
        <v>FEFO auto</v>
      </c>
      <c r="AO796" s="114"/>
    </row>
    <row r="797" spans="1:41" x14ac:dyDescent="0.35">
      <c r="A797" s="74">
        <v>46164</v>
      </c>
      <c r="B797" s="18" t="str">
        <f>IF($C797="","",IFERROR(INDEX('Staff Directory'!$A$5:$A$594,MATCH($C797,'Staff Directory'!$B$5:$B$594,0)),"⚠ unknown staff"))</f>
        <v>PSW-100-A6</v>
      </c>
      <c r="C797" s="49" t="s">
        <v>1078</v>
      </c>
      <c r="D797" s="19" t="str">
        <f>IF($B797="","",IFERROR(INDEX('Staff Directory'!$C$5:$C$594,MATCH($B797,'Staff Directory'!$A$5:$A$594,0)),""))</f>
        <v>PSW</v>
      </c>
      <c r="E797" s="19" t="str">
        <f>IF($B797="","",IFERROR(INDEX('Staff Directory'!$D$5:$D$594,MATCH($B797,'Staff Directory'!$A$5:$A$594,0)),""))</f>
        <v>A6</v>
      </c>
      <c r="F797" s="9" t="s">
        <v>758</v>
      </c>
      <c r="G797" s="18" t="str">
        <f>IF($F797="","",IFERROR(INDEX(Items!$B$5:$B$597,MATCH($F797,Items!$A$5:$A$597,0)),"⚠ not in Items"))</f>
        <v>Utility</v>
      </c>
      <c r="H797" s="19" t="str">
        <f>IF($F797="","",IFERROR(INDEX(Items!$C$5:$C$597,MATCH($F797,Items!$A$5:$A$597,0)),""))</f>
        <v>Standard</v>
      </c>
      <c r="I797" s="23">
        <f>IF($F797="","",IFERROR(INDEX(Items!$E$5:$E$597,MATCH($F797,Items!$A$5:$A$597,0)),""))</f>
        <v>1</v>
      </c>
      <c r="J797" s="115">
        <f>IF(tblIssues[[#This Row],[Qty Override]]&lt;&gt;"",tblIssues[[#This Row],[Qty Override]],IF(tblIssues[[#This Row],[Standard Issue]]="","",tblIssues[[#This Row],[Standard Issue]]))</f>
        <v>1</v>
      </c>
      <c r="K797" s="20">
        <f>IF($F797="","",IFERROR(INDEX(Items!$D$5:$D$597,MATCH($F797,Items!$A$5:$A$597,0)),""))</f>
        <v>0</v>
      </c>
      <c r="L797" s="21">
        <f t="shared" si="140"/>
        <v>0</v>
      </c>
      <c r="M797" s="9" t="str">
        <f t="shared" si="138"/>
        <v/>
      </c>
      <c r="N797" s="24">
        <f>IF($A797="","",WORKDAY($A797,Settings!$C$9,HolidayDates))</f>
        <v>46174</v>
      </c>
      <c r="O797" s="24">
        <f>IF($N797="","",WORKDAY($N797,Settings!$C$10,HolidayDates))</f>
        <v>46212</v>
      </c>
      <c r="P797" s="10" t="s">
        <v>501</v>
      </c>
      <c r="Q797" s="52" t="str">
        <f t="shared" si="141"/>
        <v>Collected</v>
      </c>
      <c r="R797" s="55" t="str">
        <f t="shared" si="142"/>
        <v>2026-05</v>
      </c>
      <c r="S797" s="55">
        <f>IF(OR($B797="",$F797="",$R797=""),"",SUMIFS(tblIssues[Qty Issued],tblIssues[Staff ID],$B797,tblIssues[Item Name],$F797,tblIssues[Month],$R797))</f>
        <v>1</v>
      </c>
      <c r="T797" s="56">
        <f>IF($I797="","",$I797*Settings!$C$11)</f>
        <v>1</v>
      </c>
      <c r="U797" s="57" t="str">
        <f t="shared" si="139"/>
        <v>OK</v>
      </c>
      <c r="V797" s="55" t="str">
        <f t="shared" si="143"/>
        <v/>
      </c>
      <c r="W797" s="55" t="str">
        <f>IF($V797="","",IF(COUNTIF($V$5:$V797,$V797)=1,1,""))</f>
        <v/>
      </c>
      <c r="X797" s="58" t="str">
        <f>IF($W797="","",MAX($X$4:X796)+1)</f>
        <v/>
      </c>
      <c r="Y797" s="62"/>
      <c r="Z797" s="62"/>
      <c r="AA797" s="64" t="str">
        <f>IF($C797="","",IFERROR(INDEX('Staff Directory'!$E$5:$E$594,MATCH($C797,'Staff Directory'!$B$5:$B$594,0)),""))</f>
        <v>firstname162.lastname162@example.com</v>
      </c>
      <c r="AB797" s="64" t="str">
        <f>IF($C797="","",IF(ISNUMBER(SEARCH($D797,Settings!$C$15)),"Pickup","Dispatch"))</f>
        <v>Pickup</v>
      </c>
      <c r="AC797" s="64" t="str">
        <f t="shared" si="144"/>
        <v>Supply order ready for pickup</v>
      </c>
      <c r="AD797" s="64" t="str">
        <f t="shared" si="135"/>
        <v>Dear PSW,
Your order is ready for pickup from Sample Branch, Wed-Fri 9am-4pm.</v>
      </c>
      <c r="AE797" s="64" t="str">
        <f t="shared" si="136"/>
        <v>mailto:firstname162.lastname162@example.com?subject=Supply%20order%20ready%20for%20pickup&amp;body=Dear%20PSW%2C%0A%0AYour%20order%20is%20ready%20for%20pickup%20from%20Sample%20Branch%2C%20Wed-Fri%209am-4pm.</v>
      </c>
      <c r="AF797" s="89" t="str">
        <f t="shared" si="145"/>
        <v>Draft email</v>
      </c>
      <c r="AG797" s="64" t="str">
        <f>IF($C797="","",IFERROR(INDEX('Staff Directory'!$K$595:$K$599,MATCH($C797,'Staff Directory'!$B$5:$B$599,0)),$D797))</f>
        <v>PSW</v>
      </c>
      <c r="AH797" t="str">
        <f>IF($C797="","",IFERROR(INDEX('Staff Directory'!$I$595:$I$599,MATCH($C797,'Staff Directory'!$B$5:$B$599,0))&amp;" "&amp;INDEX('Staff Directory'!$J$595:$J$599,MATCH($C797,'Staff Directory'!$B$5:$B$599,0)),$AG797))</f>
        <v>PSW</v>
      </c>
      <c r="AI797" s="102"/>
      <c r="AJ797" s="101">
        <f>IF($F797="","",SUMIFS($J$5:$J797,$F$5:$F797,$F797))</f>
        <v>7</v>
      </c>
      <c r="AK797" s="101">
        <f t="shared" si="137"/>
        <v>7</v>
      </c>
      <c r="AL797" s="66" t="str" cm="1">
        <f t="array" ref="AL797">IF($F797="","",IFERROR(INDEX('Lot Balance'!$B$5:$B$500,MATCH(1,INDEX(('Lot Balance'!$A$5:$A$500=$F797)*('Lot Balance'!$K$5:$K$500&lt;$AK797)*('Lot Balance'!$K$5:$K$500+'Lot Balance'!$D$5:$D$500&gt;=$AK797),0),0)),""))</f>
        <v/>
      </c>
      <c r="AM797" s="66" t="str" cm="1">
        <f t="array" ref="AM797">IF($F797="","",IFERROR(INDEX('Lot Balance'!$B$5:$B$500,MATCH(1,INDEX(('Lot Balance'!$A$5:$A$500=$F797)*('Lot Balance'!$K$5:$K$500&lt;$AJ797)*('Lot Balance'!$K$5:$K$500+'Lot Balance'!$D$5:$D$500&gt;=$AJ797),0),0)),""))</f>
        <v/>
      </c>
      <c r="AN797" s="66" t="str">
        <f>IF($F797="","",IF($AI797&lt;&gt;"",IF(COUNTIFS('Lot Balance'!$A$5:$A$500,$F797,'Lot Balance'!$B$5:$B$500,$AI797)=0,"⚠ override is not a lot of this item",IF($AI797=$AL797,"Override = FEFO","Override - FEFO says "&amp;$AL797)),IF($AL797="","⚠ no receipt on file for this item",IF($AM797&lt;&gt;$AL797,"FEFO auto - split, also "&amp;$AM797,"FEFO auto"))))</f>
        <v>⚠ no receipt on file for this item</v>
      </c>
      <c r="AO797" s="114"/>
    </row>
    <row r="798" spans="1:41" x14ac:dyDescent="0.35">
      <c r="A798" s="74">
        <v>46164</v>
      </c>
      <c r="B798" s="18" t="str">
        <f>IF($C798="","",IFERROR(INDEX('Staff Directory'!$A$5:$A$594,MATCH($C798,'Staff Directory'!$B$5:$B$594,0)),"⚠ unknown staff"))</f>
        <v>PSW-095-A5</v>
      </c>
      <c r="C798" s="49" t="s">
        <v>1073</v>
      </c>
      <c r="D798" s="19" t="str">
        <f>IF($B798="","",IFERROR(INDEX('Staff Directory'!$C$5:$C$594,MATCH($B798,'Staff Directory'!$A$5:$A$594,0)),""))</f>
        <v>PSW</v>
      </c>
      <c r="E798" s="19" t="str">
        <f>IF($B798="","",IFERROR(INDEX('Staff Directory'!$D$5:$D$594,MATCH($B798,'Staff Directory'!$A$5:$A$594,0)),""))</f>
        <v>A5</v>
      </c>
      <c r="F798" s="9" t="s">
        <v>127</v>
      </c>
      <c r="G798" s="18" t="str">
        <f>IF($F798="","",IFERROR(INDEX(Items!$B$5:$B$597,MATCH($F798,Items!$A$5:$A$597,0)),"⚠ not in Items"))</f>
        <v>Gloves</v>
      </c>
      <c r="H798" s="19" t="str">
        <f>IF($F798="","",IFERROR(INDEX(Items!$C$5:$C$597,MATCH($F798,Items!$A$5:$A$597,0)),""))</f>
        <v>Medium</v>
      </c>
      <c r="I798" s="23">
        <f>IF($F798="","",IFERROR(INDEX(Items!$E$5:$E$597,MATCH($F798,Items!$A$5:$A$597,0)),""))</f>
        <v>500</v>
      </c>
      <c r="J798" s="115">
        <f>IF(tblIssues[[#This Row],[Qty Override]]&lt;&gt;"",tblIssues[[#This Row],[Qty Override]],IF(tblIssues[[#This Row],[Standard Issue]]="","",tblIssues[[#This Row],[Standard Issue]]))</f>
        <v>500</v>
      </c>
      <c r="K798" s="20">
        <f>IF($F798="","",IFERROR(INDEX(Items!$D$5:$D$597,MATCH($F798,Items!$A$5:$A$597,0)),""))</f>
        <v>5.5E-2</v>
      </c>
      <c r="L798" s="21">
        <f t="shared" si="140"/>
        <v>27.5</v>
      </c>
      <c r="M798" s="9" t="str">
        <f t="shared" si="138"/>
        <v>ZIM504126040-4</v>
      </c>
      <c r="N798" s="24">
        <f>IF($A798="","",WORKDAY($A798,Settings!$C$9,HolidayDates))</f>
        <v>46174</v>
      </c>
      <c r="O798" s="24">
        <f>IF($N798="","",WORKDAY($N798,Settings!$C$10,HolidayDates))</f>
        <v>46212</v>
      </c>
      <c r="P798" s="10" t="s">
        <v>501</v>
      </c>
      <c r="Q798" s="52" t="str">
        <f t="shared" si="141"/>
        <v>Collected</v>
      </c>
      <c r="R798" s="55" t="str">
        <f t="shared" si="142"/>
        <v>2026-05</v>
      </c>
      <c r="S798" s="55">
        <f>IF(OR($B798="",$F798="",$R798=""),"",SUMIFS(tblIssues[Qty Issued],tblIssues[Staff ID],$B798,tblIssues[Item Name],$F798,tblIssues[Month],$R798))</f>
        <v>500</v>
      </c>
      <c r="T798" s="56">
        <f>IF($I798="","",$I798*Settings!$C$11)</f>
        <v>500</v>
      </c>
      <c r="U798" s="57" t="str">
        <f t="shared" si="139"/>
        <v>OK</v>
      </c>
      <c r="V798" s="55" t="str">
        <f t="shared" si="143"/>
        <v/>
      </c>
      <c r="W798" s="55" t="str">
        <f>IF($V798="","",IF(COUNTIF($V$5:$V798,$V798)=1,1,""))</f>
        <v/>
      </c>
      <c r="X798" s="58" t="str">
        <f>IF($W798="","",MAX($X$4:X797)+1)</f>
        <v/>
      </c>
      <c r="Y798" s="62"/>
      <c r="Z798" s="62"/>
      <c r="AA798" s="64" t="str">
        <f>IF($C798="","",IFERROR(INDEX('Staff Directory'!$E$5:$E$594,MATCH($C798,'Staff Directory'!$B$5:$B$594,0)),""))</f>
        <v>firstname157.lastname157@example.com</v>
      </c>
      <c r="AB798" s="64" t="str">
        <f>IF($C798="","",IF(ISNUMBER(SEARCH($D798,Settings!$C$15)),"Pickup","Dispatch"))</f>
        <v>Pickup</v>
      </c>
      <c r="AC798" s="64" t="str">
        <f t="shared" si="144"/>
        <v>Supply order ready for pickup</v>
      </c>
      <c r="AD798" s="64" t="str">
        <f t="shared" si="135"/>
        <v>Dear PSW,
Your order is ready for pickup from Sample Branch, Wed-Fri 9am-4pm.</v>
      </c>
      <c r="AE798" s="64" t="str">
        <f t="shared" si="136"/>
        <v>mailto:firstname157.lastname157@example.com?subject=Supply%20order%20ready%20for%20pickup&amp;body=Dear%20PSW%2C%0A%0AYour%20order%20is%20ready%20for%20pickup%20from%20Sample%20Branch%2C%20Wed-Fri%209am-4pm.</v>
      </c>
      <c r="AF798" s="89" t="str">
        <f t="shared" si="145"/>
        <v>Draft email</v>
      </c>
      <c r="AG798" s="64" t="str">
        <f>IF($C798="","",IFERROR(INDEX('Staff Directory'!$K$595:$K$599,MATCH($C798,'Staff Directory'!$B$5:$B$599,0)),$D798))</f>
        <v>PSW</v>
      </c>
      <c r="AH798" t="str">
        <f>IF($C798="","",IFERROR(INDEX('Staff Directory'!$I$595:$I$599,MATCH($C798,'Staff Directory'!$B$5:$B$599,0))&amp;" "&amp;INDEX('Staff Directory'!$J$595:$J$599,MATCH($C798,'Staff Directory'!$B$5:$B$599,0)),$AG798))</f>
        <v>PSW</v>
      </c>
      <c r="AI798" s="102"/>
      <c r="AJ798" s="101">
        <f>IF($F798="","",SUMIFS($J$5:$J798,$F$5:$F798,$F798))</f>
        <v>47000</v>
      </c>
      <c r="AK798" s="101">
        <f t="shared" si="137"/>
        <v>46501</v>
      </c>
      <c r="AL798" s="66" t="str" cm="1">
        <f t="array" ref="AL798">IF($F798="","",IFERROR(INDEX('Lot Balance'!$B$5:$B$500,MATCH(1,INDEX(('Lot Balance'!$A$5:$A$500=$F798)*('Lot Balance'!$K$5:$K$500&lt;$AK798)*('Lot Balance'!$K$5:$K$500+'Lot Balance'!$D$5:$D$500&gt;=$AK798),0),0)),""))</f>
        <v>ZIM504126040-4</v>
      </c>
      <c r="AM798" s="66" t="str" cm="1">
        <f t="array" ref="AM798">IF($F798="","",IFERROR(INDEX('Lot Balance'!$B$5:$B$500,MATCH(1,INDEX(('Lot Balance'!$A$5:$A$500=$F798)*('Lot Balance'!$K$5:$K$500&lt;$AJ798)*('Lot Balance'!$K$5:$K$500+'Lot Balance'!$D$5:$D$500&gt;=$AJ798),0),0)),""))</f>
        <v>ZIM504126040-4</v>
      </c>
      <c r="AN798" s="66" t="str">
        <f>IF($F798="","",IF($AI798&lt;&gt;"",IF(COUNTIFS('Lot Balance'!$A$5:$A$500,$F798,'Lot Balance'!$B$5:$B$500,$AI798)=0,"⚠ override is not a lot of this item",IF($AI798=$AL798,"Override = FEFO","Override - FEFO says "&amp;$AL798)),IF($AL798="","⚠ no receipt on file for this item",IF($AM798&lt;&gt;$AL798,"FEFO auto - split, also "&amp;$AM798,"FEFO auto"))))</f>
        <v>FEFO auto</v>
      </c>
      <c r="AO798" s="114"/>
    </row>
    <row r="799" spans="1:41" x14ac:dyDescent="0.35">
      <c r="A799" s="74">
        <v>46164</v>
      </c>
      <c r="B799" s="18" t="str">
        <f>IF($C799="","",IFERROR(INDEX('Staff Directory'!$A$5:$A$594,MATCH($C799,'Staff Directory'!$B$5:$B$594,0)),"⚠ unknown staff"))</f>
        <v>PSW-095-A5</v>
      </c>
      <c r="C799" s="49" t="s">
        <v>1073</v>
      </c>
      <c r="D799" s="19" t="str">
        <f>IF($B799="","",IFERROR(INDEX('Staff Directory'!$C$5:$C$594,MATCH($B799,'Staff Directory'!$A$5:$A$594,0)),""))</f>
        <v>PSW</v>
      </c>
      <c r="E799" s="19" t="str">
        <f>IF($B799="","",IFERROR(INDEX('Staff Directory'!$D$5:$D$594,MATCH($B799,'Staff Directory'!$A$5:$A$594,0)),""))</f>
        <v>A5</v>
      </c>
      <c r="F799" s="9" t="s">
        <v>191</v>
      </c>
      <c r="G799" s="18" t="str">
        <f>IF($F799="","",IFERROR(INDEX(Items!$B$5:$B$597,MATCH($F799,Items!$A$5:$A$597,0)),"⚠ not in Items"))</f>
        <v>Sanitizer</v>
      </c>
      <c r="H799" s="19" t="str">
        <f>IF($F799="","",IFERROR(INDEX(Items!$C$5:$C$597,MATCH($F799,Items!$A$5:$A$597,0)),""))</f>
        <v>236 ML</v>
      </c>
      <c r="I799" s="23">
        <f>IF($F799="","",IFERROR(INDEX(Items!$E$5:$E$597,MATCH($F799,Items!$A$5:$A$597,0)),""))</f>
        <v>1</v>
      </c>
      <c r="J799" s="115">
        <f>IF(tblIssues[[#This Row],[Qty Override]]&lt;&gt;"",tblIssues[[#This Row],[Qty Override]],IF(tblIssues[[#This Row],[Standard Issue]]="","",tblIssues[[#This Row],[Standard Issue]]))</f>
        <v>1</v>
      </c>
      <c r="K799" s="20">
        <f>IF($F799="","",IFERROR(INDEX(Items!$D$5:$D$597,MATCH($F799,Items!$A$5:$A$597,0)),""))</f>
        <v>1E-4</v>
      </c>
      <c r="L799" s="21">
        <f t="shared" si="140"/>
        <v>1E-4</v>
      </c>
      <c r="M799" s="9" t="str">
        <f t="shared" si="138"/>
        <v>20-21734-4</v>
      </c>
      <c r="N799" s="24">
        <f>IF($A799="","",WORKDAY($A799,Settings!$C$9,HolidayDates))</f>
        <v>46174</v>
      </c>
      <c r="O799" s="24">
        <f>IF($N799="","",WORKDAY($N799,Settings!$C$10,HolidayDates))</f>
        <v>46212</v>
      </c>
      <c r="P799" s="10" t="s">
        <v>501</v>
      </c>
      <c r="Q799" s="52" t="str">
        <f t="shared" si="141"/>
        <v>Collected</v>
      </c>
      <c r="R799" s="55" t="str">
        <f t="shared" si="142"/>
        <v>2026-05</v>
      </c>
      <c r="S799" s="55">
        <f>IF(OR($B799="",$F799="",$R799=""),"",SUMIFS(tblIssues[Qty Issued],tblIssues[Staff ID],$B799,tblIssues[Item Name],$F799,tblIssues[Month],$R799))</f>
        <v>1</v>
      </c>
      <c r="T799" s="56">
        <f>IF($I799="","",$I799*Settings!$C$11)</f>
        <v>1</v>
      </c>
      <c r="U799" s="57" t="str">
        <f t="shared" si="139"/>
        <v>OK</v>
      </c>
      <c r="V799" s="55" t="str">
        <f t="shared" si="143"/>
        <v/>
      </c>
      <c r="W799" s="55" t="str">
        <f>IF($V799="","",IF(COUNTIF($V$5:$V799,$V799)=1,1,""))</f>
        <v/>
      </c>
      <c r="X799" s="58" t="str">
        <f>IF($W799="","",MAX($X$4:X798)+1)</f>
        <v/>
      </c>
      <c r="Y799" s="62"/>
      <c r="Z799" s="62"/>
      <c r="AA799" s="64" t="str">
        <f>IF($C799="","",IFERROR(INDEX('Staff Directory'!$E$5:$E$594,MATCH($C799,'Staff Directory'!$B$5:$B$594,0)),""))</f>
        <v>firstname157.lastname157@example.com</v>
      </c>
      <c r="AB799" s="64" t="str">
        <f>IF($C799="","",IF(ISNUMBER(SEARCH($D799,Settings!$C$15)),"Pickup","Dispatch"))</f>
        <v>Pickup</v>
      </c>
      <c r="AC799" s="64" t="str">
        <f t="shared" si="144"/>
        <v>Supply order ready for pickup</v>
      </c>
      <c r="AD799" s="64" t="str">
        <f t="shared" si="135"/>
        <v>Dear PSW,
Your order is ready for pickup from Sample Branch, Wed-Fri 9am-4pm.</v>
      </c>
      <c r="AE799" s="64" t="str">
        <f t="shared" si="136"/>
        <v>mailto:firstname157.lastname157@example.com?subject=Supply%20order%20ready%20for%20pickup&amp;body=Dear%20PSW%2C%0A%0AYour%20order%20is%20ready%20for%20pickup%20from%20Sample%20Branch%2C%20Wed-Fri%209am-4pm.</v>
      </c>
      <c r="AF799" s="89" t="str">
        <f t="shared" si="145"/>
        <v>Draft email</v>
      </c>
      <c r="AG799" s="64" t="str">
        <f>IF($C799="","",IFERROR(INDEX('Staff Directory'!$K$595:$K$599,MATCH($C799,'Staff Directory'!$B$5:$B$599,0)),$D799))</f>
        <v>PSW</v>
      </c>
      <c r="AH799" t="str">
        <f>IF($C799="","",IFERROR(INDEX('Staff Directory'!$I$595:$I$599,MATCH($C799,'Staff Directory'!$B$5:$B$599,0))&amp;" "&amp;INDEX('Staff Directory'!$J$595:$J$599,MATCH($C799,'Staff Directory'!$B$5:$B$599,0)),$AG799))</f>
        <v>PSW</v>
      </c>
      <c r="AI799" s="102"/>
      <c r="AJ799" s="101">
        <f>IF($F799="","",SUMIFS($J$5:$J799,$F$5:$F799,$F799))</f>
        <v>99</v>
      </c>
      <c r="AK799" s="101">
        <f t="shared" si="137"/>
        <v>99</v>
      </c>
      <c r="AL799" s="66" t="str" cm="1">
        <f t="array" ref="AL799">IF($F799="","",IFERROR(INDEX('Lot Balance'!$B$5:$B$500,MATCH(1,INDEX(('Lot Balance'!$A$5:$A$500=$F799)*('Lot Balance'!$K$5:$K$500&lt;$AK799)*('Lot Balance'!$K$5:$K$500+'Lot Balance'!$D$5:$D$500&gt;=$AK799),0),0)),""))</f>
        <v>20-21734-4</v>
      </c>
      <c r="AM799" s="66" t="str" cm="1">
        <f t="array" ref="AM799">IF($F799="","",IFERROR(INDEX('Lot Balance'!$B$5:$B$500,MATCH(1,INDEX(('Lot Balance'!$A$5:$A$500=$F799)*('Lot Balance'!$K$5:$K$500&lt;$AJ799)*('Lot Balance'!$K$5:$K$500+'Lot Balance'!$D$5:$D$500&gt;=$AJ799),0),0)),""))</f>
        <v>20-21734-4</v>
      </c>
      <c r="AN799" s="66" t="str">
        <f>IF($F799="","",IF($AI799&lt;&gt;"",IF(COUNTIFS('Lot Balance'!$A$5:$A$500,$F799,'Lot Balance'!$B$5:$B$500,$AI799)=0,"⚠ override is not a lot of this item",IF($AI799=$AL799,"Override = FEFO","Override - FEFO says "&amp;$AL799)),IF($AL799="","⚠ no receipt on file for this item",IF($AM799&lt;&gt;$AL799,"FEFO auto - split, also "&amp;$AM799,"FEFO auto"))))</f>
        <v>FEFO auto</v>
      </c>
      <c r="AO799" s="114"/>
    </row>
    <row r="800" spans="1:41" x14ac:dyDescent="0.35">
      <c r="A800" s="74">
        <v>46164</v>
      </c>
      <c r="B800" s="18" t="str">
        <f>IF($C800="","",IFERROR(INDEX('Staff Directory'!$A$5:$A$594,MATCH($C800,'Staff Directory'!$B$5:$B$594,0)),"⚠ unknown staff"))</f>
        <v>PSW-095-A5</v>
      </c>
      <c r="C800" s="49" t="s">
        <v>1073</v>
      </c>
      <c r="D800" s="19" t="str">
        <f>IF($B800="","",IFERROR(INDEX('Staff Directory'!$C$5:$C$594,MATCH($B800,'Staff Directory'!$A$5:$A$594,0)),""))</f>
        <v>PSW</v>
      </c>
      <c r="E800" s="19" t="str">
        <f>IF($B800="","",IFERROR(INDEX('Staff Directory'!$D$5:$D$594,MATCH($B800,'Staff Directory'!$A$5:$A$594,0)),""))</f>
        <v>A5</v>
      </c>
      <c r="F800" s="9" t="s">
        <v>115</v>
      </c>
      <c r="G800" s="18" t="str">
        <f>IF($F800="","",IFERROR(INDEX(Items!$B$5:$B$597,MATCH($F800,Items!$A$5:$A$597,0)),"⚠ not in Items"))</f>
        <v>Wipes</v>
      </c>
      <c r="H800" s="19">
        <f>IF($F800="","",IFERROR(INDEX(Items!$C$5:$C$597,MATCH($F800,Items!$A$5:$A$597,0)),""))</f>
        <v>80</v>
      </c>
      <c r="I800" s="23">
        <f>IF($F800="","",IFERROR(INDEX(Items!$E$5:$E$597,MATCH($F800,Items!$A$5:$A$597,0)),""))</f>
        <v>80</v>
      </c>
      <c r="J800" s="115">
        <f>IF(tblIssues[[#This Row],[Qty Override]]&lt;&gt;"",tblIssues[[#This Row],[Qty Override]],IF(tblIssues[[#This Row],[Standard Issue]]="","",tblIssues[[#This Row],[Standard Issue]]))</f>
        <v>80</v>
      </c>
      <c r="K800" s="20">
        <f>IF($F800="","",IFERROR(INDEX(Items!$D$5:$D$597,MATCH($F800,Items!$A$5:$A$597,0)),""))</f>
        <v>0.1</v>
      </c>
      <c r="L800" s="21">
        <f t="shared" si="140"/>
        <v>8</v>
      </c>
      <c r="M800" s="9" t="str">
        <f t="shared" si="138"/>
        <v>LYSL500290</v>
      </c>
      <c r="N800" s="24">
        <f>IF($A800="","",WORKDAY($A800,Settings!$C$9,HolidayDates))</f>
        <v>46174</v>
      </c>
      <c r="O800" s="24">
        <f>IF($N800="","",WORKDAY($N800,Settings!$C$10,HolidayDates))</f>
        <v>46212</v>
      </c>
      <c r="P800" s="10" t="s">
        <v>501</v>
      </c>
      <c r="Q800" s="52" t="str">
        <f t="shared" si="141"/>
        <v>Collected</v>
      </c>
      <c r="R800" s="55" t="str">
        <f t="shared" si="142"/>
        <v>2026-05</v>
      </c>
      <c r="S800" s="55">
        <f>IF(OR($B800="",$F800="",$R800=""),"",SUMIFS(tblIssues[Qty Issued],tblIssues[Staff ID],$B800,tblIssues[Item Name],$F800,tblIssues[Month],$R800))</f>
        <v>80</v>
      </c>
      <c r="T800" s="56">
        <f>IF($I800="","",$I800*Settings!$C$11)</f>
        <v>80</v>
      </c>
      <c r="U800" s="57" t="str">
        <f t="shared" si="139"/>
        <v>OK</v>
      </c>
      <c r="V800" s="55" t="str">
        <f t="shared" si="143"/>
        <v/>
      </c>
      <c r="W800" s="55" t="str">
        <f>IF($V800="","",IF(COUNTIF($V$5:$V800,$V800)=1,1,""))</f>
        <v/>
      </c>
      <c r="X800" s="58" t="str">
        <f>IF($W800="","",MAX($X$4:X799)+1)</f>
        <v/>
      </c>
      <c r="Y800" s="62"/>
      <c r="Z800" s="62"/>
      <c r="AA800" s="64" t="str">
        <f>IF($C800="","",IFERROR(INDEX('Staff Directory'!$E$5:$E$594,MATCH($C800,'Staff Directory'!$B$5:$B$594,0)),""))</f>
        <v>firstname157.lastname157@example.com</v>
      </c>
      <c r="AB800" s="64" t="str">
        <f>IF($C800="","",IF(ISNUMBER(SEARCH($D800,Settings!$C$15)),"Pickup","Dispatch"))</f>
        <v>Pickup</v>
      </c>
      <c r="AC800" s="64" t="str">
        <f t="shared" si="144"/>
        <v>Supply order ready for pickup</v>
      </c>
      <c r="AD800" s="64" t="str">
        <f t="shared" si="135"/>
        <v>Dear PSW,
Your order is ready for pickup from Sample Branch, Wed-Fri 9am-4pm.</v>
      </c>
      <c r="AE800" s="64" t="str">
        <f t="shared" si="136"/>
        <v>mailto:firstname157.lastname157@example.com?subject=Supply%20order%20ready%20for%20pickup&amp;body=Dear%20PSW%2C%0A%0AYour%20order%20is%20ready%20for%20pickup%20from%20Sample%20Branch%2C%20Wed-Fri%209am-4pm.</v>
      </c>
      <c r="AF800" s="89" t="str">
        <f t="shared" si="145"/>
        <v>Draft email</v>
      </c>
      <c r="AG800" s="64" t="str">
        <f>IF($C800="","",IFERROR(INDEX('Staff Directory'!$K$595:$K$599,MATCH($C800,'Staff Directory'!$B$5:$B$599,0)),$D800))</f>
        <v>PSW</v>
      </c>
      <c r="AH800" t="str">
        <f>IF($C800="","",IFERROR(INDEX('Staff Directory'!$I$595:$I$599,MATCH($C800,'Staff Directory'!$B$5:$B$599,0))&amp;" "&amp;INDEX('Staff Directory'!$J$595:$J$599,MATCH($C800,'Staff Directory'!$B$5:$B$599,0)),$AG800))</f>
        <v>PSW</v>
      </c>
      <c r="AI800" s="102"/>
      <c r="AJ800" s="101">
        <f>IF($F800="","",SUMIFS($J$5:$J800,$F$5:$F800,$F800))</f>
        <v>11040</v>
      </c>
      <c r="AK800" s="101">
        <f t="shared" si="137"/>
        <v>10961</v>
      </c>
      <c r="AL800" s="66" t="str" cm="1">
        <f t="array" ref="AL800">IF($F800="","",IFERROR(INDEX('Lot Balance'!$B$5:$B$500,MATCH(1,INDEX(('Lot Balance'!$A$5:$A$500=$F800)*('Lot Balance'!$K$5:$K$500&lt;$AK800)*('Lot Balance'!$K$5:$K$500+'Lot Balance'!$D$5:$D$500&gt;=$AK800),0),0)),""))</f>
        <v>LYSL500290</v>
      </c>
      <c r="AM800" s="66" t="str" cm="1">
        <f t="array" ref="AM800">IF($F800="","",IFERROR(INDEX('Lot Balance'!$B$5:$B$500,MATCH(1,INDEX(('Lot Balance'!$A$5:$A$500=$F800)*('Lot Balance'!$K$5:$K$500&lt;$AJ800)*('Lot Balance'!$K$5:$K$500+'Lot Balance'!$D$5:$D$500&gt;=$AJ800),0),0)),""))</f>
        <v>LYSL500290</v>
      </c>
      <c r="AN800" s="66" t="str">
        <f>IF($F800="","",IF($AI800&lt;&gt;"",IF(COUNTIFS('Lot Balance'!$A$5:$A$500,$F800,'Lot Balance'!$B$5:$B$500,$AI800)=0,"⚠ override is not a lot of this item",IF($AI800=$AL800,"Override = FEFO","Override - FEFO says "&amp;$AL800)),IF($AL800="","⚠ no receipt on file for this item",IF($AM800&lt;&gt;$AL800,"FEFO auto - split, also "&amp;$AM800,"FEFO auto"))))</f>
        <v>FEFO auto</v>
      </c>
      <c r="AO800" s="114"/>
    </row>
    <row r="801" spans="1:41" x14ac:dyDescent="0.35">
      <c r="A801" s="74">
        <v>46164</v>
      </c>
      <c r="B801" s="18" t="str">
        <f>IF($C801="","",IFERROR(INDEX('Staff Directory'!$A$5:$A$594,MATCH($C801,'Staff Directory'!$B$5:$B$594,0)),"⚠ unknown staff"))</f>
        <v>PSW-095-A5</v>
      </c>
      <c r="C801" s="49" t="s">
        <v>1073</v>
      </c>
      <c r="D801" s="19" t="str">
        <f>IF($B801="","",IFERROR(INDEX('Staff Directory'!$C$5:$C$594,MATCH($B801,'Staff Directory'!$A$5:$A$594,0)),""))</f>
        <v>PSW</v>
      </c>
      <c r="E801" s="19" t="str">
        <f>IF($B801="","",IFERROR(INDEX('Staff Directory'!$D$5:$D$594,MATCH($B801,'Staff Directory'!$A$5:$A$594,0)),""))</f>
        <v>A5</v>
      </c>
      <c r="F801" s="9" t="s">
        <v>156</v>
      </c>
      <c r="G801" s="18" t="str">
        <f>IF($F801="","",IFERROR(INDEX(Items!$B$5:$B$597,MATCH($F801,Items!$A$5:$A$597,0)),"⚠ not in Items"))</f>
        <v>Masks</v>
      </c>
      <c r="H801" s="19" t="str">
        <f>IF($F801="","",IFERROR(INDEX(Items!$C$5:$C$597,MATCH($F801,Items!$A$5:$A$597,0)),""))</f>
        <v>One Size</v>
      </c>
      <c r="I801" s="23">
        <f>IF($F801="","",IFERROR(INDEX(Items!$E$5:$E$597,MATCH($F801,Items!$A$5:$A$597,0)),""))</f>
        <v>50</v>
      </c>
      <c r="J801" s="115">
        <f>IF(tblIssues[[#This Row],[Qty Override]]&lt;&gt;"",tblIssues[[#This Row],[Qty Override]],IF(tblIssues[[#This Row],[Standard Issue]]="","",tblIssues[[#This Row],[Standard Issue]]))</f>
        <v>50</v>
      </c>
      <c r="K801" s="20">
        <f>IF($F801="","",IFERROR(INDEX(Items!$D$5:$D$597,MATCH($F801,Items!$A$5:$A$597,0)),""))</f>
        <v>0.25</v>
      </c>
      <c r="L801" s="21">
        <f t="shared" si="140"/>
        <v>12.5</v>
      </c>
      <c r="M801" s="9" t="str">
        <f t="shared" si="138"/>
        <v>0125FPC24-1</v>
      </c>
      <c r="N801" s="24">
        <f>IF($A801="","",WORKDAY($A801,Settings!$C$9,HolidayDates))</f>
        <v>46174</v>
      </c>
      <c r="O801" s="24">
        <f>IF($N801="","",WORKDAY($N801,Settings!$C$10,HolidayDates))</f>
        <v>46212</v>
      </c>
      <c r="P801" s="10" t="s">
        <v>501</v>
      </c>
      <c r="Q801" s="52" t="str">
        <f t="shared" si="141"/>
        <v>Collected</v>
      </c>
      <c r="R801" s="55" t="str">
        <f t="shared" si="142"/>
        <v>2026-05</v>
      </c>
      <c r="S801" s="55">
        <f>IF(OR($B801="",$F801="",$R801=""),"",SUMIFS(tblIssues[Qty Issued],tblIssues[Staff ID],$B801,tblIssues[Item Name],$F801,tblIssues[Month],$R801))</f>
        <v>50</v>
      </c>
      <c r="T801" s="56">
        <f>IF($I801="","",$I801*Settings!$C$11)</f>
        <v>50</v>
      </c>
      <c r="U801" s="57" t="str">
        <f t="shared" si="139"/>
        <v>OK</v>
      </c>
      <c r="V801" s="55" t="str">
        <f t="shared" si="143"/>
        <v/>
      </c>
      <c r="W801" s="55" t="str">
        <f>IF($V801="","",IF(COUNTIF($V$5:$V801,$V801)=1,1,""))</f>
        <v/>
      </c>
      <c r="X801" s="58" t="str">
        <f>IF($W801="","",MAX($X$4:X800)+1)</f>
        <v/>
      </c>
      <c r="Y801" s="62"/>
      <c r="Z801" s="62"/>
      <c r="AA801" s="64" t="str">
        <f>IF($C801="","",IFERROR(INDEX('Staff Directory'!$E$5:$E$594,MATCH($C801,'Staff Directory'!$B$5:$B$594,0)),""))</f>
        <v>firstname157.lastname157@example.com</v>
      </c>
      <c r="AB801" s="64" t="str">
        <f>IF($C801="","",IF(ISNUMBER(SEARCH($D801,Settings!$C$15)),"Pickup","Dispatch"))</f>
        <v>Pickup</v>
      </c>
      <c r="AC801" s="64" t="str">
        <f t="shared" si="144"/>
        <v>Supply order ready for pickup</v>
      </c>
      <c r="AD801" s="64" t="str">
        <f t="shared" si="135"/>
        <v>Dear PSW,
Your order is ready for pickup from Sample Branch, Wed-Fri 9am-4pm.</v>
      </c>
      <c r="AE801" s="64" t="str">
        <f t="shared" si="136"/>
        <v>mailto:firstname157.lastname157@example.com?subject=Supply%20order%20ready%20for%20pickup&amp;body=Dear%20PSW%2C%0A%0AYour%20order%20is%20ready%20for%20pickup%20from%20Sample%20Branch%2C%20Wed-Fri%209am-4pm.</v>
      </c>
      <c r="AF801" s="89" t="str">
        <f t="shared" si="145"/>
        <v>Draft email</v>
      </c>
      <c r="AG801" s="64" t="str">
        <f>IF($C801="","",IFERROR(INDEX('Staff Directory'!$K$595:$K$599,MATCH($C801,'Staff Directory'!$B$5:$B$599,0)),$D801))</f>
        <v>PSW</v>
      </c>
      <c r="AH801" t="str">
        <f>IF($C801="","",IFERROR(INDEX('Staff Directory'!$I$595:$I$599,MATCH($C801,'Staff Directory'!$B$5:$B$599,0))&amp;" "&amp;INDEX('Staff Directory'!$J$595:$J$599,MATCH($C801,'Staff Directory'!$B$5:$B$599,0)),$AG801))</f>
        <v>PSW</v>
      </c>
      <c r="AI801" s="102"/>
      <c r="AJ801" s="101">
        <f>IF($F801="","",SUMIFS($J$5:$J801,$F$5:$F801,$F801))</f>
        <v>6650</v>
      </c>
      <c r="AK801" s="101">
        <f t="shared" si="137"/>
        <v>6601</v>
      </c>
      <c r="AL801" s="66" t="str" cm="1">
        <f t="array" ref="AL801">IF($F801="","",IFERROR(INDEX('Lot Balance'!$B$5:$B$500,MATCH(1,INDEX(('Lot Balance'!$A$5:$A$500=$F801)*('Lot Balance'!$K$5:$K$500&lt;$AK801)*('Lot Balance'!$K$5:$K$500+'Lot Balance'!$D$5:$D$500&gt;=$AK801),0),0)),""))</f>
        <v>0125FPC24-1</v>
      </c>
      <c r="AM801" s="66" t="str" cm="1">
        <f t="array" ref="AM801">IF($F801="","",IFERROR(INDEX('Lot Balance'!$B$5:$B$500,MATCH(1,INDEX(('Lot Balance'!$A$5:$A$500=$F801)*('Lot Balance'!$K$5:$K$500&lt;$AJ801)*('Lot Balance'!$K$5:$K$500+'Lot Balance'!$D$5:$D$500&gt;=$AJ801),0),0)),""))</f>
        <v>0125FPC24-1</v>
      </c>
      <c r="AN801" s="66" t="str">
        <f>IF($F801="","",IF($AI801&lt;&gt;"",IF(COUNTIFS('Lot Balance'!$A$5:$A$500,$F801,'Lot Balance'!$B$5:$B$500,$AI801)=0,"⚠ override is not a lot of this item",IF($AI801=$AL801,"Override = FEFO","Override - FEFO says "&amp;$AL801)),IF($AL801="","⚠ no receipt on file for this item",IF($AM801&lt;&gt;$AL801,"FEFO auto - split, also "&amp;$AM801,"FEFO auto"))))</f>
        <v>FEFO auto</v>
      </c>
      <c r="AO801" s="114"/>
    </row>
    <row r="802" spans="1:41" x14ac:dyDescent="0.35">
      <c r="A802" s="74">
        <v>46164</v>
      </c>
      <c r="B802" s="18" t="str">
        <f>IF($C802="","",IFERROR(INDEX('Staff Directory'!$A$5:$A$594,MATCH($C802,'Staff Directory'!$B$5:$B$594,0)),"⚠ unknown staff"))</f>
        <v>PSW-095-A5</v>
      </c>
      <c r="C802" s="49" t="s">
        <v>1073</v>
      </c>
      <c r="D802" s="19" t="str">
        <f>IF($B802="","",IFERROR(INDEX('Staff Directory'!$C$5:$C$594,MATCH($B802,'Staff Directory'!$A$5:$A$594,0)),""))</f>
        <v>PSW</v>
      </c>
      <c r="E802" s="19" t="str">
        <f>IF($B802="","",IFERROR(INDEX('Staff Directory'!$D$5:$D$594,MATCH($B802,'Staff Directory'!$A$5:$A$594,0)),""))</f>
        <v>A5</v>
      </c>
      <c r="F802" s="9" t="s">
        <v>147</v>
      </c>
      <c r="G802" s="18" t="str">
        <f>IF($F802="","",IFERROR(INDEX(Items!$B$5:$B$597,MATCH($F802,Items!$A$5:$A$597,0)),"⚠ not in Items"))</f>
        <v>Apparel</v>
      </c>
      <c r="H802" s="19" t="str">
        <f>IF($F802="","",IFERROR(INDEX(Items!$C$5:$C$597,MATCH($F802,Items!$A$5:$A$597,0)),""))</f>
        <v>One Size</v>
      </c>
      <c r="I802" s="23">
        <f>IF($F802="","",IFERROR(INDEX(Items!$E$5:$E$597,MATCH($F802,Items!$A$5:$A$597,0)),""))</f>
        <v>5</v>
      </c>
      <c r="J802" s="115">
        <f>IF(tblIssues[[#This Row],[Qty Override]]&lt;&gt;"",tblIssues[[#This Row],[Qty Override]],IF(tblIssues[[#This Row],[Standard Issue]]="","",tblIssues[[#This Row],[Standard Issue]]))</f>
        <v>5</v>
      </c>
      <c r="K802" s="20">
        <f>IF($F802="","",IFERROR(INDEX(Items!$D$5:$D$597,MATCH($F802,Items!$A$5:$A$597,0)),""))</f>
        <v>3</v>
      </c>
      <c r="L802" s="21">
        <f t="shared" si="140"/>
        <v>15</v>
      </c>
      <c r="M802" s="9" t="str">
        <f t="shared" si="138"/>
        <v>YG500280</v>
      </c>
      <c r="N802" s="24">
        <f>IF($A802="","",WORKDAY($A802,Settings!$C$9,HolidayDates))</f>
        <v>46174</v>
      </c>
      <c r="O802" s="24">
        <f>IF($N802="","",WORKDAY($N802,Settings!$C$10,HolidayDates))</f>
        <v>46212</v>
      </c>
      <c r="P802" s="10" t="s">
        <v>501</v>
      </c>
      <c r="Q802" s="52" t="str">
        <f t="shared" si="141"/>
        <v>Collected</v>
      </c>
      <c r="R802" s="55" t="str">
        <f t="shared" si="142"/>
        <v>2026-05</v>
      </c>
      <c r="S802" s="55">
        <f>IF(OR($B802="",$F802="",$R802=""),"",SUMIFS(tblIssues[Qty Issued],tblIssues[Staff ID],$B802,tblIssues[Item Name],$F802,tblIssues[Month],$R802))</f>
        <v>5</v>
      </c>
      <c r="T802" s="56">
        <f>IF($I802="","",$I802*Settings!$C$11)</f>
        <v>5</v>
      </c>
      <c r="U802" s="57" t="str">
        <f t="shared" si="139"/>
        <v>OK</v>
      </c>
      <c r="V802" s="55" t="str">
        <f t="shared" si="143"/>
        <v/>
      </c>
      <c r="W802" s="55" t="str">
        <f>IF($V802="","",IF(COUNTIF($V$5:$V802,$V802)=1,1,""))</f>
        <v/>
      </c>
      <c r="X802" s="58" t="str">
        <f>IF($W802="","",MAX($X$4:X801)+1)</f>
        <v/>
      </c>
      <c r="Y802" s="62"/>
      <c r="Z802" s="62"/>
      <c r="AA802" s="64" t="str">
        <f>IF($C802="","",IFERROR(INDEX('Staff Directory'!$E$5:$E$594,MATCH($C802,'Staff Directory'!$B$5:$B$594,0)),""))</f>
        <v>firstname157.lastname157@example.com</v>
      </c>
      <c r="AB802" s="64" t="str">
        <f>IF($C802="","",IF(ISNUMBER(SEARCH($D802,Settings!$C$15)),"Pickup","Dispatch"))</f>
        <v>Pickup</v>
      </c>
      <c r="AC802" s="64" t="str">
        <f t="shared" si="144"/>
        <v>Supply order ready for pickup</v>
      </c>
      <c r="AD802" s="64" t="str">
        <f t="shared" si="135"/>
        <v>Dear PSW,
Your order is ready for pickup from Sample Branch, Wed-Fri 9am-4pm.</v>
      </c>
      <c r="AE802" s="64" t="str">
        <f t="shared" si="136"/>
        <v>mailto:firstname157.lastname157@example.com?subject=Supply%20order%20ready%20for%20pickup&amp;body=Dear%20PSW%2C%0A%0AYour%20order%20is%20ready%20for%20pickup%20from%20Sample%20Branch%2C%20Wed-Fri%209am-4pm.</v>
      </c>
      <c r="AF802" s="89" t="str">
        <f t="shared" si="145"/>
        <v>Draft email</v>
      </c>
      <c r="AG802" s="64" t="str">
        <f>IF($C802="","",IFERROR(INDEX('Staff Directory'!$K$595:$K$599,MATCH($C802,'Staff Directory'!$B$5:$B$599,0)),$D802))</f>
        <v>PSW</v>
      </c>
      <c r="AH802" t="str">
        <f>IF($C802="","",IFERROR(INDEX('Staff Directory'!$I$595:$I$599,MATCH($C802,'Staff Directory'!$B$5:$B$599,0))&amp;" "&amp;INDEX('Staff Directory'!$J$595:$J$599,MATCH($C802,'Staff Directory'!$B$5:$B$599,0)),$AG802))</f>
        <v>PSW</v>
      </c>
      <c r="AI802" s="102"/>
      <c r="AJ802" s="101">
        <f>IF($F802="","",SUMIFS($J$5:$J802,$F$5:$F802,$F802))</f>
        <v>80</v>
      </c>
      <c r="AK802" s="101">
        <f t="shared" si="137"/>
        <v>76</v>
      </c>
      <c r="AL802" s="66" t="str" cm="1">
        <f t="array" ref="AL802">IF($F802="","",IFERROR(INDEX('Lot Balance'!$B$5:$B$500,MATCH(1,INDEX(('Lot Balance'!$A$5:$A$500=$F802)*('Lot Balance'!$K$5:$K$500&lt;$AK802)*('Lot Balance'!$K$5:$K$500+'Lot Balance'!$D$5:$D$500&gt;=$AK802),0),0)),""))</f>
        <v>YG500280</v>
      </c>
      <c r="AM802" s="66" t="str" cm="1">
        <f t="array" ref="AM802">IF($F802="","",IFERROR(INDEX('Lot Balance'!$B$5:$B$500,MATCH(1,INDEX(('Lot Balance'!$A$5:$A$500=$F802)*('Lot Balance'!$K$5:$K$500&lt;$AJ802)*('Lot Balance'!$K$5:$K$500+'Lot Balance'!$D$5:$D$500&gt;=$AJ802),0),0)),""))</f>
        <v>YG500280</v>
      </c>
      <c r="AN802" s="66" t="str">
        <f>IF($F802="","",IF($AI802&lt;&gt;"",IF(COUNTIFS('Lot Balance'!$A$5:$A$500,$F802,'Lot Balance'!$B$5:$B$500,$AI802)=0,"⚠ override is not a lot of this item",IF($AI802=$AL802,"Override = FEFO","Override - FEFO says "&amp;$AL802)),IF($AL802="","⚠ no receipt on file for this item",IF($AM802&lt;&gt;$AL802,"FEFO auto - split, also "&amp;$AM802,"FEFO auto"))))</f>
        <v>FEFO auto</v>
      </c>
      <c r="AO802" s="114"/>
    </row>
    <row r="803" spans="1:41" x14ac:dyDescent="0.35">
      <c r="A803" s="74">
        <v>46164</v>
      </c>
      <c r="B803" s="18" t="str">
        <f>IF($C803="","",IFERROR(INDEX('Staff Directory'!$A$5:$A$594,MATCH($C803,'Staff Directory'!$B$5:$B$594,0)),"⚠ unknown staff"))</f>
        <v>PSW-095-A5</v>
      </c>
      <c r="C803" s="49" t="s">
        <v>1073</v>
      </c>
      <c r="D803" s="19" t="str">
        <f>IF($B803="","",IFERROR(INDEX('Staff Directory'!$C$5:$C$594,MATCH($B803,'Staff Directory'!$A$5:$A$594,0)),""))</f>
        <v>PSW</v>
      </c>
      <c r="E803" s="19" t="str">
        <f>IF($B803="","",IFERROR(INDEX('Staff Directory'!$D$5:$D$594,MATCH($B803,'Staff Directory'!$A$5:$A$594,0)),""))</f>
        <v>A5</v>
      </c>
      <c r="F803" s="9" t="s">
        <v>758</v>
      </c>
      <c r="G803" s="18" t="str">
        <f>IF($F803="","",IFERROR(INDEX(Items!$B$5:$B$597,MATCH($F803,Items!$A$5:$A$597,0)),"⚠ not in Items"))</f>
        <v>Utility</v>
      </c>
      <c r="H803" s="19" t="str">
        <f>IF($F803="","",IFERROR(INDEX(Items!$C$5:$C$597,MATCH($F803,Items!$A$5:$A$597,0)),""))</f>
        <v>Standard</v>
      </c>
      <c r="I803" s="23">
        <f>IF($F803="","",IFERROR(INDEX(Items!$E$5:$E$597,MATCH($F803,Items!$A$5:$A$597,0)),""))</f>
        <v>1</v>
      </c>
      <c r="J803" s="115">
        <f>IF(tblIssues[[#This Row],[Qty Override]]&lt;&gt;"",tblIssues[[#This Row],[Qty Override]],IF(tblIssues[[#This Row],[Standard Issue]]="","",tblIssues[[#This Row],[Standard Issue]]))</f>
        <v>1</v>
      </c>
      <c r="K803" s="20">
        <f>IF($F803="","",IFERROR(INDEX(Items!$D$5:$D$597,MATCH($F803,Items!$A$5:$A$597,0)),""))</f>
        <v>0</v>
      </c>
      <c r="L803" s="21">
        <f t="shared" si="140"/>
        <v>0</v>
      </c>
      <c r="M803" s="9" t="str">
        <f t="shared" si="138"/>
        <v/>
      </c>
      <c r="N803" s="24">
        <f>IF($A803="","",WORKDAY($A803,Settings!$C$9,HolidayDates))</f>
        <v>46174</v>
      </c>
      <c r="O803" s="24">
        <f>IF($N803="","",WORKDAY($N803,Settings!$C$10,HolidayDates))</f>
        <v>46212</v>
      </c>
      <c r="P803" s="10" t="s">
        <v>501</v>
      </c>
      <c r="Q803" s="52" t="str">
        <f t="shared" si="141"/>
        <v>Collected</v>
      </c>
      <c r="R803" s="55" t="str">
        <f t="shared" si="142"/>
        <v>2026-05</v>
      </c>
      <c r="S803" s="55">
        <f>IF(OR($B803="",$F803="",$R803=""),"",SUMIFS(tblIssues[Qty Issued],tblIssues[Staff ID],$B803,tblIssues[Item Name],$F803,tblIssues[Month],$R803))</f>
        <v>1</v>
      </c>
      <c r="T803" s="56">
        <f>IF($I803="","",$I803*Settings!$C$11)</f>
        <v>1</v>
      </c>
      <c r="U803" s="57" t="str">
        <f t="shared" si="139"/>
        <v>OK</v>
      </c>
      <c r="V803" s="55" t="str">
        <f t="shared" si="143"/>
        <v/>
      </c>
      <c r="W803" s="55" t="str">
        <f>IF($V803="","",IF(COUNTIF($V$5:$V803,$V803)=1,1,""))</f>
        <v/>
      </c>
      <c r="X803" s="58" t="str">
        <f>IF($W803="","",MAX($X$4:X802)+1)</f>
        <v/>
      </c>
      <c r="Y803" s="62"/>
      <c r="Z803" s="62"/>
      <c r="AA803" s="64" t="str">
        <f>IF($C803="","",IFERROR(INDEX('Staff Directory'!$E$5:$E$594,MATCH($C803,'Staff Directory'!$B$5:$B$594,0)),""))</f>
        <v>firstname157.lastname157@example.com</v>
      </c>
      <c r="AB803" s="64" t="str">
        <f>IF($C803="","",IF(ISNUMBER(SEARCH($D803,Settings!$C$15)),"Pickup","Dispatch"))</f>
        <v>Pickup</v>
      </c>
      <c r="AC803" s="64" t="str">
        <f t="shared" si="144"/>
        <v>Supply order ready for pickup</v>
      </c>
      <c r="AD803" s="64" t="str">
        <f t="shared" si="135"/>
        <v>Dear PSW,
Your order is ready for pickup from Sample Branch, Wed-Fri 9am-4pm.</v>
      </c>
      <c r="AE803" s="64" t="str">
        <f t="shared" si="136"/>
        <v>mailto:firstname157.lastname157@example.com?subject=Supply%20order%20ready%20for%20pickup&amp;body=Dear%20PSW%2C%0A%0AYour%20order%20is%20ready%20for%20pickup%20from%20Sample%20Branch%2C%20Wed-Fri%209am-4pm.</v>
      </c>
      <c r="AF803" s="89" t="str">
        <f t="shared" si="145"/>
        <v>Draft email</v>
      </c>
      <c r="AG803" s="64" t="str">
        <f>IF($C803="","",IFERROR(INDEX('Staff Directory'!$K$595:$K$599,MATCH($C803,'Staff Directory'!$B$5:$B$599,0)),$D803))</f>
        <v>PSW</v>
      </c>
      <c r="AH803" t="str">
        <f>IF($C803="","",IFERROR(INDEX('Staff Directory'!$I$595:$I$599,MATCH($C803,'Staff Directory'!$B$5:$B$599,0))&amp;" "&amp;INDEX('Staff Directory'!$J$595:$J$599,MATCH($C803,'Staff Directory'!$B$5:$B$599,0)),$AG803))</f>
        <v>PSW</v>
      </c>
      <c r="AI803" s="102"/>
      <c r="AJ803" s="101">
        <f>IF($F803="","",SUMIFS($J$5:$J803,$F$5:$F803,$F803))</f>
        <v>8</v>
      </c>
      <c r="AK803" s="101">
        <f t="shared" si="137"/>
        <v>8</v>
      </c>
      <c r="AL803" s="66" t="str" cm="1">
        <f t="array" ref="AL803">IF($F803="","",IFERROR(INDEX('Lot Balance'!$B$5:$B$500,MATCH(1,INDEX(('Lot Balance'!$A$5:$A$500=$F803)*('Lot Balance'!$K$5:$K$500&lt;$AK803)*('Lot Balance'!$K$5:$K$500+'Lot Balance'!$D$5:$D$500&gt;=$AK803),0),0)),""))</f>
        <v/>
      </c>
      <c r="AM803" s="66" t="str" cm="1">
        <f t="array" ref="AM803">IF($F803="","",IFERROR(INDEX('Lot Balance'!$B$5:$B$500,MATCH(1,INDEX(('Lot Balance'!$A$5:$A$500=$F803)*('Lot Balance'!$K$5:$K$500&lt;$AJ803)*('Lot Balance'!$K$5:$K$500+'Lot Balance'!$D$5:$D$500&gt;=$AJ803),0),0)),""))</f>
        <v/>
      </c>
      <c r="AN803" s="66" t="str">
        <f>IF($F803="","",IF($AI803&lt;&gt;"",IF(COUNTIFS('Lot Balance'!$A$5:$A$500,$F803,'Lot Balance'!$B$5:$B$500,$AI803)=0,"⚠ override is not a lot of this item",IF($AI803=$AL803,"Override = FEFO","Override - FEFO says "&amp;$AL803)),IF($AL803="","⚠ no receipt on file for this item",IF($AM803&lt;&gt;$AL803,"FEFO auto - split, also "&amp;$AM803,"FEFO auto"))))</f>
        <v>⚠ no receipt on file for this item</v>
      </c>
      <c r="AO803" s="114"/>
    </row>
    <row r="804" spans="1:41" x14ac:dyDescent="0.35">
      <c r="A804" s="74">
        <v>46164</v>
      </c>
      <c r="B804" s="18" t="str">
        <f>IF($C804="","",IFERROR(INDEX('Staff Directory'!$A$5:$A$594,MATCH($C804,'Staff Directory'!$B$5:$B$594,0)),"⚠ unknown staff"))</f>
        <v>PSW-053-A4</v>
      </c>
      <c r="C804" s="49" t="s">
        <v>1029</v>
      </c>
      <c r="D804" s="19" t="str">
        <f>IF($B804="","",IFERROR(INDEX('Staff Directory'!$C$5:$C$594,MATCH($B804,'Staff Directory'!$A$5:$A$594,0)),""))</f>
        <v>PSW</v>
      </c>
      <c r="E804" s="19" t="str">
        <f>IF($B804="","",IFERROR(INDEX('Staff Directory'!$D$5:$D$594,MATCH($B804,'Staff Directory'!$A$5:$A$594,0)),""))</f>
        <v>A4</v>
      </c>
      <c r="F804" s="9" t="s">
        <v>124</v>
      </c>
      <c r="G804" s="18" t="str">
        <f>IF($F804="","",IFERROR(INDEX(Items!$B$5:$B$597,MATCH($F804,Items!$A$5:$A$597,0)),"⚠ not in Items"))</f>
        <v>Gloves</v>
      </c>
      <c r="H804" s="19" t="str">
        <f>IF($F804="","",IFERROR(INDEX(Items!$C$5:$C$597,MATCH($F804,Items!$A$5:$A$597,0)),""))</f>
        <v>Large</v>
      </c>
      <c r="I804" s="23">
        <f>IF($F804="","",IFERROR(INDEX(Items!$E$5:$E$597,MATCH($F804,Items!$A$5:$A$597,0)),""))</f>
        <v>500</v>
      </c>
      <c r="J804" s="115">
        <f>IF(tblIssues[[#This Row],[Qty Override]]&lt;&gt;"",tblIssues[[#This Row],[Qty Override]],IF(tblIssues[[#This Row],[Standard Issue]]="","",tblIssues[[#This Row],[Standard Issue]]))</f>
        <v>500</v>
      </c>
      <c r="K804" s="20">
        <f>IF($F804="","",IFERROR(INDEX(Items!$D$5:$D$597,MATCH($F804,Items!$A$5:$A$597,0)),""))</f>
        <v>5.5E-2</v>
      </c>
      <c r="L804" s="21">
        <f t="shared" si="140"/>
        <v>27.5</v>
      </c>
      <c r="M804" s="9" t="str">
        <f t="shared" si="138"/>
        <v>0417HIC25-1</v>
      </c>
      <c r="N804" s="24">
        <f>IF($A804="","",WORKDAY($A804,Settings!$C$9,HolidayDates))</f>
        <v>46174</v>
      </c>
      <c r="O804" s="24">
        <f>IF($N804="","",WORKDAY($N804,Settings!$C$10,HolidayDates))</f>
        <v>46212</v>
      </c>
      <c r="P804" s="10" t="s">
        <v>501</v>
      </c>
      <c r="Q804" s="52" t="str">
        <f t="shared" si="141"/>
        <v>Collected</v>
      </c>
      <c r="R804" s="55" t="str">
        <f t="shared" si="142"/>
        <v>2026-05</v>
      </c>
      <c r="S804" s="55">
        <f>IF(OR($B804="",$F804="",$R804=""),"",SUMIFS(tblIssues[Qty Issued],tblIssues[Staff ID],$B804,tblIssues[Item Name],$F804,tblIssues[Month],$R804))</f>
        <v>500</v>
      </c>
      <c r="T804" s="56">
        <f>IF($I804="","",$I804*Settings!$C$11)</f>
        <v>500</v>
      </c>
      <c r="U804" s="57" t="str">
        <f t="shared" si="139"/>
        <v>OK</v>
      </c>
      <c r="V804" s="55" t="str">
        <f t="shared" si="143"/>
        <v/>
      </c>
      <c r="W804" s="55" t="str">
        <f>IF($V804="","",IF(COUNTIF($V$5:$V804,$V804)=1,1,""))</f>
        <v/>
      </c>
      <c r="X804" s="58" t="str">
        <f>IF($W804="","",MAX($X$4:X803)+1)</f>
        <v/>
      </c>
      <c r="Y804" s="62"/>
      <c r="Z804" s="62"/>
      <c r="AA804" s="64" t="str">
        <f>IF($C804="","",IFERROR(INDEX('Staff Directory'!$E$5:$E$594,MATCH($C804,'Staff Directory'!$B$5:$B$594,0)),""))</f>
        <v>firstname113.lastname113@example.com</v>
      </c>
      <c r="AB804" s="64" t="str">
        <f>IF($C804="","",IF(ISNUMBER(SEARCH($D804,Settings!$C$15)),"Pickup","Dispatch"))</f>
        <v>Pickup</v>
      </c>
      <c r="AC804" s="64" t="str">
        <f t="shared" si="144"/>
        <v>Supply order ready for pickup</v>
      </c>
      <c r="AD804" s="64" t="str">
        <f t="shared" si="135"/>
        <v>Dear PSW,
Your order is ready for pickup from Sample Branch, Wed-Fri 9am-4pm.</v>
      </c>
      <c r="AE804" s="64" t="str">
        <f t="shared" si="136"/>
        <v>mailto:firstname113.lastname113@example.com?subject=Supply%20order%20ready%20for%20pickup&amp;body=Dear%20PSW%2C%0A%0AYour%20order%20is%20ready%20for%20pickup%20from%20Sample%20Branch%2C%20Wed-Fri%209am-4pm.</v>
      </c>
      <c r="AF804" s="89" t="str">
        <f t="shared" si="145"/>
        <v>Draft email</v>
      </c>
      <c r="AG804" s="64" t="str">
        <f>IF($C804="","",IFERROR(INDEX('Staff Directory'!$K$595:$K$599,MATCH($C804,'Staff Directory'!$B$5:$B$599,0)),$D804))</f>
        <v>PSW</v>
      </c>
      <c r="AH804" t="str">
        <f>IF($C804="","",IFERROR(INDEX('Staff Directory'!$I$595:$I$599,MATCH($C804,'Staff Directory'!$B$5:$B$599,0))&amp;" "&amp;INDEX('Staff Directory'!$J$595:$J$599,MATCH($C804,'Staff Directory'!$B$5:$B$599,0)),$AG804))</f>
        <v>PSW</v>
      </c>
      <c r="AI804" s="102"/>
      <c r="AJ804" s="101">
        <f>IF($F804="","",SUMIFS($J$5:$J804,$F$5:$F804,$F804))</f>
        <v>20500</v>
      </c>
      <c r="AK804" s="101">
        <f t="shared" si="137"/>
        <v>20001</v>
      </c>
      <c r="AL804" s="66" t="str" cm="1">
        <f t="array" ref="AL804">IF($F804="","",IFERROR(INDEX('Lot Balance'!$B$5:$B$500,MATCH(1,INDEX(('Lot Balance'!$A$5:$A$500=$F804)*('Lot Balance'!$K$5:$K$500&lt;$AK804)*('Lot Balance'!$K$5:$K$500+'Lot Balance'!$D$5:$D$500&gt;=$AK804),0),0)),""))</f>
        <v>0417HIC25-1</v>
      </c>
      <c r="AM804" s="66" t="str" cm="1">
        <f t="array" ref="AM804">IF($F804="","",IFERROR(INDEX('Lot Balance'!$B$5:$B$500,MATCH(1,INDEX(('Lot Balance'!$A$5:$A$500=$F804)*('Lot Balance'!$K$5:$K$500&lt;$AJ804)*('Lot Balance'!$K$5:$K$500+'Lot Balance'!$D$5:$D$500&gt;=$AJ804),0),0)),""))</f>
        <v>0417HIC25-1</v>
      </c>
      <c r="AN804" s="66" t="str">
        <f>IF($F804="","",IF($AI804&lt;&gt;"",IF(COUNTIFS('Lot Balance'!$A$5:$A$500,$F804,'Lot Balance'!$B$5:$B$500,$AI804)=0,"⚠ override is not a lot of this item",IF($AI804=$AL804,"Override = FEFO","Override - FEFO says "&amp;$AL804)),IF($AL804="","⚠ no receipt on file for this item",IF($AM804&lt;&gt;$AL804,"FEFO auto - split, also "&amp;$AM804,"FEFO auto"))))</f>
        <v>FEFO auto</v>
      </c>
      <c r="AO804" s="114"/>
    </row>
    <row r="805" spans="1:41" x14ac:dyDescent="0.35">
      <c r="A805" s="74">
        <v>46164</v>
      </c>
      <c r="B805" s="18" t="str">
        <f>IF($C805="","",IFERROR(INDEX('Staff Directory'!$A$5:$A$594,MATCH($C805,'Staff Directory'!$B$5:$B$594,0)),"⚠ unknown staff"))</f>
        <v>PSW-053-A4</v>
      </c>
      <c r="C805" s="49" t="s">
        <v>1029</v>
      </c>
      <c r="D805" s="19" t="str">
        <f>IF($B805="","",IFERROR(INDEX('Staff Directory'!$C$5:$C$594,MATCH($B805,'Staff Directory'!$A$5:$A$594,0)),""))</f>
        <v>PSW</v>
      </c>
      <c r="E805" s="19" t="str">
        <f>IF($B805="","",IFERROR(INDEX('Staff Directory'!$D$5:$D$594,MATCH($B805,'Staff Directory'!$A$5:$A$594,0)),""))</f>
        <v>A4</v>
      </c>
      <c r="F805" s="9" t="s">
        <v>191</v>
      </c>
      <c r="G805" s="18" t="str">
        <f>IF($F805="","",IFERROR(INDEX(Items!$B$5:$B$597,MATCH($F805,Items!$A$5:$A$597,0)),"⚠ not in Items"))</f>
        <v>Sanitizer</v>
      </c>
      <c r="H805" s="19" t="str">
        <f>IF($F805="","",IFERROR(INDEX(Items!$C$5:$C$597,MATCH($F805,Items!$A$5:$A$597,0)),""))</f>
        <v>236 ML</v>
      </c>
      <c r="I805" s="23">
        <f>IF($F805="","",IFERROR(INDEX(Items!$E$5:$E$597,MATCH($F805,Items!$A$5:$A$597,0)),""))</f>
        <v>1</v>
      </c>
      <c r="J805" s="115">
        <f>IF(tblIssues[[#This Row],[Qty Override]]&lt;&gt;"",tblIssues[[#This Row],[Qty Override]],IF(tblIssues[[#This Row],[Standard Issue]]="","",tblIssues[[#This Row],[Standard Issue]]))</f>
        <v>1</v>
      </c>
      <c r="K805" s="20">
        <f>IF($F805="","",IFERROR(INDEX(Items!$D$5:$D$597,MATCH($F805,Items!$A$5:$A$597,0)),""))</f>
        <v>1E-4</v>
      </c>
      <c r="L805" s="21">
        <f t="shared" si="140"/>
        <v>1E-4</v>
      </c>
      <c r="M805" s="9" t="str">
        <f t="shared" si="138"/>
        <v>20-21734-4</v>
      </c>
      <c r="N805" s="24">
        <f>IF($A805="","",WORKDAY($A805,Settings!$C$9,HolidayDates))</f>
        <v>46174</v>
      </c>
      <c r="O805" s="24">
        <f>IF($N805="","",WORKDAY($N805,Settings!$C$10,HolidayDates))</f>
        <v>46212</v>
      </c>
      <c r="P805" s="10" t="s">
        <v>501</v>
      </c>
      <c r="Q805" s="52" t="str">
        <f t="shared" si="141"/>
        <v>Collected</v>
      </c>
      <c r="R805" s="55" t="str">
        <f t="shared" si="142"/>
        <v>2026-05</v>
      </c>
      <c r="S805" s="55">
        <f>IF(OR($B805="",$F805="",$R805=""),"",SUMIFS(tblIssues[Qty Issued],tblIssues[Staff ID],$B805,tblIssues[Item Name],$F805,tblIssues[Month],$R805))</f>
        <v>1</v>
      </c>
      <c r="T805" s="56">
        <f>IF($I805="","",$I805*Settings!$C$11)</f>
        <v>1</v>
      </c>
      <c r="U805" s="57" t="str">
        <f t="shared" si="139"/>
        <v>OK</v>
      </c>
      <c r="V805" s="55" t="str">
        <f t="shared" si="143"/>
        <v/>
      </c>
      <c r="W805" s="55" t="str">
        <f>IF($V805="","",IF(COUNTIF($V$5:$V805,$V805)=1,1,""))</f>
        <v/>
      </c>
      <c r="X805" s="58" t="str">
        <f>IF($W805="","",MAX($X$4:X804)+1)</f>
        <v/>
      </c>
      <c r="Y805" s="62"/>
      <c r="Z805" s="62"/>
      <c r="AA805" s="64" t="str">
        <f>IF($C805="","",IFERROR(INDEX('Staff Directory'!$E$5:$E$594,MATCH($C805,'Staff Directory'!$B$5:$B$594,0)),""))</f>
        <v>firstname113.lastname113@example.com</v>
      </c>
      <c r="AB805" s="64" t="str">
        <f>IF($C805="","",IF(ISNUMBER(SEARCH($D805,Settings!$C$15)),"Pickup","Dispatch"))</f>
        <v>Pickup</v>
      </c>
      <c r="AC805" s="64" t="str">
        <f t="shared" si="144"/>
        <v>Supply order ready for pickup</v>
      </c>
      <c r="AD805" s="64" t="str">
        <f t="shared" si="135"/>
        <v>Dear PSW,
Your order is ready for pickup from Sample Branch, Wed-Fri 9am-4pm.</v>
      </c>
      <c r="AE805" s="64" t="str">
        <f t="shared" si="136"/>
        <v>mailto:firstname113.lastname113@example.com?subject=Supply%20order%20ready%20for%20pickup&amp;body=Dear%20PSW%2C%0A%0AYour%20order%20is%20ready%20for%20pickup%20from%20Sample%20Branch%2C%20Wed-Fri%209am-4pm.</v>
      </c>
      <c r="AF805" s="89" t="str">
        <f t="shared" si="145"/>
        <v>Draft email</v>
      </c>
      <c r="AG805" s="64" t="str">
        <f>IF($C805="","",IFERROR(INDEX('Staff Directory'!$K$595:$K$599,MATCH($C805,'Staff Directory'!$B$5:$B$599,0)),$D805))</f>
        <v>PSW</v>
      </c>
      <c r="AH805" t="str">
        <f>IF($C805="","",IFERROR(INDEX('Staff Directory'!$I$595:$I$599,MATCH($C805,'Staff Directory'!$B$5:$B$599,0))&amp;" "&amp;INDEX('Staff Directory'!$J$595:$J$599,MATCH($C805,'Staff Directory'!$B$5:$B$599,0)),$AG805))</f>
        <v>PSW</v>
      </c>
      <c r="AI805" s="102"/>
      <c r="AJ805" s="101">
        <f>IF($F805="","",SUMIFS($J$5:$J805,$F$5:$F805,$F805))</f>
        <v>100</v>
      </c>
      <c r="AK805" s="101">
        <f t="shared" si="137"/>
        <v>100</v>
      </c>
      <c r="AL805" s="66" t="str" cm="1">
        <f t="array" ref="AL805">IF($F805="","",IFERROR(INDEX('Lot Balance'!$B$5:$B$500,MATCH(1,INDEX(('Lot Balance'!$A$5:$A$500=$F805)*('Lot Balance'!$K$5:$K$500&lt;$AK805)*('Lot Balance'!$K$5:$K$500+'Lot Balance'!$D$5:$D$500&gt;=$AK805),0),0)),""))</f>
        <v>20-21734-4</v>
      </c>
      <c r="AM805" s="66" t="str" cm="1">
        <f t="array" ref="AM805">IF($F805="","",IFERROR(INDEX('Lot Balance'!$B$5:$B$500,MATCH(1,INDEX(('Lot Balance'!$A$5:$A$500=$F805)*('Lot Balance'!$K$5:$K$500&lt;$AJ805)*('Lot Balance'!$K$5:$K$500+'Lot Balance'!$D$5:$D$500&gt;=$AJ805),0),0)),""))</f>
        <v>20-21734-4</v>
      </c>
      <c r="AN805" s="66" t="str">
        <f>IF($F805="","",IF($AI805&lt;&gt;"",IF(COUNTIFS('Lot Balance'!$A$5:$A$500,$F805,'Lot Balance'!$B$5:$B$500,$AI805)=0,"⚠ override is not a lot of this item",IF($AI805=$AL805,"Override = FEFO","Override - FEFO says "&amp;$AL805)),IF($AL805="","⚠ no receipt on file for this item",IF($AM805&lt;&gt;$AL805,"FEFO auto - split, also "&amp;$AM805,"FEFO auto"))))</f>
        <v>FEFO auto</v>
      </c>
      <c r="AO805" s="114"/>
    </row>
    <row r="806" spans="1:41" x14ac:dyDescent="0.35">
      <c r="A806" s="74">
        <v>46164</v>
      </c>
      <c r="B806" s="18" t="str">
        <f>IF($C806="","",IFERROR(INDEX('Staff Directory'!$A$5:$A$594,MATCH($C806,'Staff Directory'!$B$5:$B$594,0)),"⚠ unknown staff"))</f>
        <v>PSW-053-A4</v>
      </c>
      <c r="C806" s="49" t="s">
        <v>1029</v>
      </c>
      <c r="D806" s="19" t="str">
        <f>IF($B806="","",IFERROR(INDEX('Staff Directory'!$C$5:$C$594,MATCH($B806,'Staff Directory'!$A$5:$A$594,0)),""))</f>
        <v>PSW</v>
      </c>
      <c r="E806" s="19" t="str">
        <f>IF($B806="","",IFERROR(INDEX('Staff Directory'!$D$5:$D$594,MATCH($B806,'Staff Directory'!$A$5:$A$594,0)),""))</f>
        <v>A4</v>
      </c>
      <c r="F806" s="9" t="s">
        <v>156</v>
      </c>
      <c r="G806" s="18" t="str">
        <f>IF($F806="","",IFERROR(INDEX(Items!$B$5:$B$597,MATCH($F806,Items!$A$5:$A$597,0)),"⚠ not in Items"))</f>
        <v>Masks</v>
      </c>
      <c r="H806" s="19" t="str">
        <f>IF($F806="","",IFERROR(INDEX(Items!$C$5:$C$597,MATCH($F806,Items!$A$5:$A$597,0)),""))</f>
        <v>One Size</v>
      </c>
      <c r="I806" s="23">
        <f>IF($F806="","",IFERROR(INDEX(Items!$E$5:$E$597,MATCH($F806,Items!$A$5:$A$597,0)),""))</f>
        <v>50</v>
      </c>
      <c r="J806" s="115">
        <f>IF(tblIssues[[#This Row],[Qty Override]]&lt;&gt;"",tblIssues[[#This Row],[Qty Override]],IF(tblIssues[[#This Row],[Standard Issue]]="","",tblIssues[[#This Row],[Standard Issue]]))</f>
        <v>50</v>
      </c>
      <c r="K806" s="20">
        <f>IF($F806="","",IFERROR(INDEX(Items!$D$5:$D$597,MATCH($F806,Items!$A$5:$A$597,0)),""))</f>
        <v>0.25</v>
      </c>
      <c r="L806" s="21">
        <f t="shared" si="140"/>
        <v>12.5</v>
      </c>
      <c r="M806" s="9" t="str">
        <f t="shared" si="138"/>
        <v>0125FPC24-1</v>
      </c>
      <c r="N806" s="24">
        <f>IF($A806="","",WORKDAY($A806,Settings!$C$9,HolidayDates))</f>
        <v>46174</v>
      </c>
      <c r="O806" s="24">
        <f>IF($N806="","",WORKDAY($N806,Settings!$C$10,HolidayDates))</f>
        <v>46212</v>
      </c>
      <c r="P806" s="10" t="s">
        <v>501</v>
      </c>
      <c r="Q806" s="52" t="str">
        <f t="shared" si="141"/>
        <v>Collected</v>
      </c>
      <c r="R806" s="55" t="str">
        <f t="shared" si="142"/>
        <v>2026-05</v>
      </c>
      <c r="S806" s="55">
        <f>IF(OR($B806="",$F806="",$R806=""),"",SUMIFS(tblIssues[Qty Issued],tblIssues[Staff ID],$B806,tblIssues[Item Name],$F806,tblIssues[Month],$R806))</f>
        <v>50</v>
      </c>
      <c r="T806" s="56">
        <f>IF($I806="","",$I806*Settings!$C$11)</f>
        <v>50</v>
      </c>
      <c r="U806" s="57" t="str">
        <f t="shared" si="139"/>
        <v>OK</v>
      </c>
      <c r="V806" s="55" t="str">
        <f t="shared" si="143"/>
        <v/>
      </c>
      <c r="W806" s="55" t="str">
        <f>IF($V806="","",IF(COUNTIF($V$5:$V806,$V806)=1,1,""))</f>
        <v/>
      </c>
      <c r="X806" s="58" t="str">
        <f>IF($W806="","",MAX($X$4:X805)+1)</f>
        <v/>
      </c>
      <c r="Y806" s="62"/>
      <c r="Z806" s="62"/>
      <c r="AA806" s="64" t="str">
        <f>IF($C806="","",IFERROR(INDEX('Staff Directory'!$E$5:$E$594,MATCH($C806,'Staff Directory'!$B$5:$B$594,0)),""))</f>
        <v>firstname113.lastname113@example.com</v>
      </c>
      <c r="AB806" s="64" t="str">
        <f>IF($C806="","",IF(ISNUMBER(SEARCH($D806,Settings!$C$15)),"Pickup","Dispatch"))</f>
        <v>Pickup</v>
      </c>
      <c r="AC806" s="64" t="str">
        <f t="shared" si="144"/>
        <v>Supply order ready for pickup</v>
      </c>
      <c r="AD806" s="64" t="str">
        <f t="shared" si="135"/>
        <v>Dear PSW,
Your order is ready for pickup from Sample Branch, Wed-Fri 9am-4pm.</v>
      </c>
      <c r="AE806" s="64" t="str">
        <f t="shared" si="136"/>
        <v>mailto:firstname113.lastname113@example.com?subject=Supply%20order%20ready%20for%20pickup&amp;body=Dear%20PSW%2C%0A%0AYour%20order%20is%20ready%20for%20pickup%20from%20Sample%20Branch%2C%20Wed-Fri%209am-4pm.</v>
      </c>
      <c r="AF806" s="89" t="str">
        <f t="shared" si="145"/>
        <v>Draft email</v>
      </c>
      <c r="AG806" s="64" t="str">
        <f>IF($C806="","",IFERROR(INDEX('Staff Directory'!$K$595:$K$599,MATCH($C806,'Staff Directory'!$B$5:$B$599,0)),$D806))</f>
        <v>PSW</v>
      </c>
      <c r="AH806" t="str">
        <f>IF($C806="","",IFERROR(INDEX('Staff Directory'!$I$595:$I$599,MATCH($C806,'Staff Directory'!$B$5:$B$599,0))&amp;" "&amp;INDEX('Staff Directory'!$J$595:$J$599,MATCH($C806,'Staff Directory'!$B$5:$B$599,0)),$AG806))</f>
        <v>PSW</v>
      </c>
      <c r="AI806" s="102"/>
      <c r="AJ806" s="101">
        <f>IF($F806="","",SUMIFS($J$5:$J806,$F$5:$F806,$F806))</f>
        <v>6700</v>
      </c>
      <c r="AK806" s="101">
        <f t="shared" si="137"/>
        <v>6651</v>
      </c>
      <c r="AL806" s="66" t="str" cm="1">
        <f t="array" ref="AL806">IF($F806="","",IFERROR(INDEX('Lot Balance'!$B$5:$B$500,MATCH(1,INDEX(('Lot Balance'!$A$5:$A$500=$F806)*('Lot Balance'!$K$5:$K$500&lt;$AK806)*('Lot Balance'!$K$5:$K$500+'Lot Balance'!$D$5:$D$500&gt;=$AK806),0),0)),""))</f>
        <v>0125FPC24-1</v>
      </c>
      <c r="AM806" s="66" t="str" cm="1">
        <f t="array" ref="AM806">IF($F806="","",IFERROR(INDEX('Lot Balance'!$B$5:$B$500,MATCH(1,INDEX(('Lot Balance'!$A$5:$A$500=$F806)*('Lot Balance'!$K$5:$K$500&lt;$AJ806)*('Lot Balance'!$K$5:$K$500+'Lot Balance'!$D$5:$D$500&gt;=$AJ806),0),0)),""))</f>
        <v>0125FPC24-1</v>
      </c>
      <c r="AN806" s="66" t="str">
        <f>IF($F806="","",IF($AI806&lt;&gt;"",IF(COUNTIFS('Lot Balance'!$A$5:$A$500,$F806,'Lot Balance'!$B$5:$B$500,$AI806)=0,"⚠ override is not a lot of this item",IF($AI806=$AL806,"Override = FEFO","Override - FEFO says "&amp;$AL806)),IF($AL806="","⚠ no receipt on file for this item",IF($AM806&lt;&gt;$AL806,"FEFO auto - split, also "&amp;$AM806,"FEFO auto"))))</f>
        <v>FEFO auto</v>
      </c>
      <c r="AO806" s="114"/>
    </row>
    <row r="807" spans="1:41" x14ac:dyDescent="0.35">
      <c r="A807" s="74">
        <v>46164</v>
      </c>
      <c r="B807" s="18" t="str">
        <f>IF($C807="","",IFERROR(INDEX('Staff Directory'!$A$5:$A$594,MATCH($C807,'Staff Directory'!$B$5:$B$594,0)),"⚠ unknown staff"))</f>
        <v>PSW-053-A4</v>
      </c>
      <c r="C807" s="49" t="s">
        <v>1029</v>
      </c>
      <c r="D807" s="19" t="str">
        <f>IF($B807="","",IFERROR(INDEX('Staff Directory'!$C$5:$C$594,MATCH($B807,'Staff Directory'!$A$5:$A$594,0)),""))</f>
        <v>PSW</v>
      </c>
      <c r="E807" s="19" t="str">
        <f>IF($B807="","",IFERROR(INDEX('Staff Directory'!$D$5:$D$594,MATCH($B807,'Staff Directory'!$A$5:$A$594,0)),""))</f>
        <v>A4</v>
      </c>
      <c r="F807" s="9" t="s">
        <v>758</v>
      </c>
      <c r="G807" s="18" t="str">
        <f>IF($F807="","",IFERROR(INDEX(Items!$B$5:$B$597,MATCH($F807,Items!$A$5:$A$597,0)),"⚠ not in Items"))</f>
        <v>Utility</v>
      </c>
      <c r="H807" s="19" t="str">
        <f>IF($F807="","",IFERROR(INDEX(Items!$C$5:$C$597,MATCH($F807,Items!$A$5:$A$597,0)),""))</f>
        <v>Standard</v>
      </c>
      <c r="I807" s="23">
        <f>IF($F807="","",IFERROR(INDEX(Items!$E$5:$E$597,MATCH($F807,Items!$A$5:$A$597,0)),""))</f>
        <v>1</v>
      </c>
      <c r="J807" s="115">
        <f>IF(tblIssues[[#This Row],[Qty Override]]&lt;&gt;"",tblIssues[[#This Row],[Qty Override]],IF(tblIssues[[#This Row],[Standard Issue]]="","",tblIssues[[#This Row],[Standard Issue]]))</f>
        <v>1</v>
      </c>
      <c r="K807" s="20">
        <f>IF($F807="","",IFERROR(INDEX(Items!$D$5:$D$597,MATCH($F807,Items!$A$5:$A$597,0)),""))</f>
        <v>0</v>
      </c>
      <c r="L807" s="21">
        <f t="shared" si="140"/>
        <v>0</v>
      </c>
      <c r="M807" s="9" t="str">
        <f t="shared" si="138"/>
        <v/>
      </c>
      <c r="N807" s="24">
        <f>IF($A807="","",WORKDAY($A807,Settings!$C$9,HolidayDates))</f>
        <v>46174</v>
      </c>
      <c r="O807" s="24">
        <f>IF($N807="","",WORKDAY($N807,Settings!$C$10,HolidayDates))</f>
        <v>46212</v>
      </c>
      <c r="P807" s="10" t="s">
        <v>501</v>
      </c>
      <c r="Q807" s="52" t="str">
        <f t="shared" si="141"/>
        <v>Collected</v>
      </c>
      <c r="R807" s="55" t="str">
        <f t="shared" si="142"/>
        <v>2026-05</v>
      </c>
      <c r="S807" s="55">
        <f>IF(OR($B807="",$F807="",$R807=""),"",SUMIFS(tblIssues[Qty Issued],tblIssues[Staff ID],$B807,tblIssues[Item Name],$F807,tblIssues[Month],$R807))</f>
        <v>1</v>
      </c>
      <c r="T807" s="56">
        <f>IF($I807="","",$I807*Settings!$C$11)</f>
        <v>1</v>
      </c>
      <c r="U807" s="57" t="str">
        <f t="shared" si="139"/>
        <v>OK</v>
      </c>
      <c r="V807" s="55" t="str">
        <f t="shared" si="143"/>
        <v/>
      </c>
      <c r="W807" s="55" t="str">
        <f>IF($V807="","",IF(COUNTIF($V$5:$V807,$V807)=1,1,""))</f>
        <v/>
      </c>
      <c r="X807" s="58" t="str">
        <f>IF($W807="","",MAX($X$4:X806)+1)</f>
        <v/>
      </c>
      <c r="Y807" s="62"/>
      <c r="Z807" s="62"/>
      <c r="AA807" s="64" t="str">
        <f>IF($C807="","",IFERROR(INDEX('Staff Directory'!$E$5:$E$594,MATCH($C807,'Staff Directory'!$B$5:$B$594,0)),""))</f>
        <v>firstname113.lastname113@example.com</v>
      </c>
      <c r="AB807" s="64" t="str">
        <f>IF($C807="","",IF(ISNUMBER(SEARCH($D807,Settings!$C$15)),"Pickup","Dispatch"))</f>
        <v>Pickup</v>
      </c>
      <c r="AC807" s="64" t="str">
        <f t="shared" si="144"/>
        <v>Supply order ready for pickup</v>
      </c>
      <c r="AD807" s="64" t="str">
        <f t="shared" si="135"/>
        <v>Dear PSW,
Your order is ready for pickup from Sample Branch, Wed-Fri 9am-4pm.</v>
      </c>
      <c r="AE807" s="64" t="str">
        <f t="shared" si="136"/>
        <v>mailto:firstname113.lastname113@example.com?subject=Supply%20order%20ready%20for%20pickup&amp;body=Dear%20PSW%2C%0A%0AYour%20order%20is%20ready%20for%20pickup%20from%20Sample%20Branch%2C%20Wed-Fri%209am-4pm.</v>
      </c>
      <c r="AF807" s="89" t="str">
        <f t="shared" si="145"/>
        <v>Draft email</v>
      </c>
      <c r="AG807" s="64" t="str">
        <f>IF($C807="","",IFERROR(INDEX('Staff Directory'!$K$595:$K$599,MATCH($C807,'Staff Directory'!$B$5:$B$599,0)),$D807))</f>
        <v>PSW</v>
      </c>
      <c r="AH807" t="str">
        <f>IF($C807="","",IFERROR(INDEX('Staff Directory'!$I$595:$I$599,MATCH($C807,'Staff Directory'!$B$5:$B$599,0))&amp;" "&amp;INDEX('Staff Directory'!$J$595:$J$599,MATCH($C807,'Staff Directory'!$B$5:$B$599,0)),$AG807))</f>
        <v>PSW</v>
      </c>
      <c r="AI807" s="102"/>
      <c r="AJ807" s="101">
        <f>IF($F807="","",SUMIFS($J$5:$J807,$F$5:$F807,$F807))</f>
        <v>9</v>
      </c>
      <c r="AK807" s="101">
        <f t="shared" si="137"/>
        <v>9</v>
      </c>
      <c r="AL807" s="66" t="str" cm="1">
        <f t="array" ref="AL807">IF($F807="","",IFERROR(INDEX('Lot Balance'!$B$5:$B$500,MATCH(1,INDEX(('Lot Balance'!$A$5:$A$500=$F807)*('Lot Balance'!$K$5:$K$500&lt;$AK807)*('Lot Balance'!$K$5:$K$500+'Lot Balance'!$D$5:$D$500&gt;=$AK807),0),0)),""))</f>
        <v/>
      </c>
      <c r="AM807" s="66" t="str" cm="1">
        <f t="array" ref="AM807">IF($F807="","",IFERROR(INDEX('Lot Balance'!$B$5:$B$500,MATCH(1,INDEX(('Lot Balance'!$A$5:$A$500=$F807)*('Lot Balance'!$K$5:$K$500&lt;$AJ807)*('Lot Balance'!$K$5:$K$500+'Lot Balance'!$D$5:$D$500&gt;=$AJ807),0),0)),""))</f>
        <v/>
      </c>
      <c r="AN807" s="66" t="str">
        <f>IF($F807="","",IF($AI807&lt;&gt;"",IF(COUNTIFS('Lot Balance'!$A$5:$A$500,$F807,'Lot Balance'!$B$5:$B$500,$AI807)=0,"⚠ override is not a lot of this item",IF($AI807=$AL807,"Override = FEFO","Override - FEFO says "&amp;$AL807)),IF($AL807="","⚠ no receipt on file for this item",IF($AM807&lt;&gt;$AL807,"FEFO auto - split, also "&amp;$AM807,"FEFO auto"))))</f>
        <v>⚠ no receipt on file for this item</v>
      </c>
      <c r="AO807" s="114"/>
    </row>
    <row r="808" spans="1:41" x14ac:dyDescent="0.35">
      <c r="A808" s="74">
        <v>46164</v>
      </c>
      <c r="B808" s="18" t="str">
        <f>IF($C808="","",IFERROR(INDEX('Staff Directory'!$A$5:$A$594,MATCH($C808,'Staff Directory'!$B$5:$B$594,0)),"⚠ unknown staff"))</f>
        <v>PSW-125-A4</v>
      </c>
      <c r="C808" s="49" t="s">
        <v>1104</v>
      </c>
      <c r="D808" s="19" t="str">
        <f>IF($B808="","",IFERROR(INDEX('Staff Directory'!$C$5:$C$594,MATCH($B808,'Staff Directory'!$A$5:$A$594,0)),""))</f>
        <v>PSW</v>
      </c>
      <c r="E808" s="19" t="str">
        <f>IF($B808="","",IFERROR(INDEX('Staff Directory'!$D$5:$D$594,MATCH($B808,'Staff Directory'!$A$5:$A$594,0)),""))</f>
        <v>A4</v>
      </c>
      <c r="F808" s="9" t="s">
        <v>127</v>
      </c>
      <c r="G808" s="18" t="str">
        <f>IF($F808="","",IFERROR(INDEX(Items!$B$5:$B$597,MATCH($F808,Items!$A$5:$A$597,0)),"⚠ not in Items"))</f>
        <v>Gloves</v>
      </c>
      <c r="H808" s="19" t="str">
        <f>IF($F808="","",IFERROR(INDEX(Items!$C$5:$C$597,MATCH($F808,Items!$A$5:$A$597,0)),""))</f>
        <v>Medium</v>
      </c>
      <c r="I808" s="23">
        <f>IF($F808="","",IFERROR(INDEX(Items!$E$5:$E$597,MATCH($F808,Items!$A$5:$A$597,0)),""))</f>
        <v>500</v>
      </c>
      <c r="J808" s="115">
        <f>IF(tblIssues[[#This Row],[Qty Override]]&lt;&gt;"",tblIssues[[#This Row],[Qty Override]],IF(tblIssues[[#This Row],[Standard Issue]]="","",tblIssues[[#This Row],[Standard Issue]]))</f>
        <v>500</v>
      </c>
      <c r="K808" s="20">
        <f>IF($F808="","",IFERROR(INDEX(Items!$D$5:$D$597,MATCH($F808,Items!$A$5:$A$597,0)),""))</f>
        <v>5.5E-2</v>
      </c>
      <c r="L808" s="21">
        <f t="shared" si="140"/>
        <v>27.5</v>
      </c>
      <c r="M808" s="9" t="str">
        <f t="shared" si="138"/>
        <v>ZIM504126040-4</v>
      </c>
      <c r="N808" s="24">
        <f>IF($A808="","",WORKDAY($A808,Settings!$C$9,HolidayDates))</f>
        <v>46174</v>
      </c>
      <c r="O808" s="24">
        <f>IF($N808="","",WORKDAY($N808,Settings!$C$10,HolidayDates))</f>
        <v>46212</v>
      </c>
      <c r="P808" s="10" t="s">
        <v>501</v>
      </c>
      <c r="Q808" s="52" t="str">
        <f t="shared" si="141"/>
        <v>Collected</v>
      </c>
      <c r="R808" s="55" t="str">
        <f t="shared" si="142"/>
        <v>2026-05</v>
      </c>
      <c r="S808" s="55">
        <f>IF(OR($B808="",$F808="",$R808=""),"",SUMIFS(tblIssues[Qty Issued],tblIssues[Staff ID],$B808,tblIssues[Item Name],$F808,tblIssues[Month],$R808))</f>
        <v>500</v>
      </c>
      <c r="T808" s="56">
        <f>IF($I808="","",$I808*Settings!$C$11)</f>
        <v>500</v>
      </c>
      <c r="U808" s="57" t="str">
        <f t="shared" si="139"/>
        <v>OK</v>
      </c>
      <c r="V808" s="55" t="str">
        <f t="shared" si="143"/>
        <v/>
      </c>
      <c r="W808" s="55" t="str">
        <f>IF($V808="","",IF(COUNTIF($V$5:$V808,$V808)=1,1,""))</f>
        <v/>
      </c>
      <c r="X808" s="58" t="str">
        <f>IF($W808="","",MAX($X$4:X807)+1)</f>
        <v/>
      </c>
      <c r="Y808" s="62"/>
      <c r="Z808" s="62"/>
      <c r="AA808" s="64" t="str">
        <f>IF($C808="","",IFERROR(INDEX('Staff Directory'!$E$5:$E$594,MATCH($C808,'Staff Directory'!$B$5:$B$594,0)),""))</f>
        <v>firstname188.lastname188@example.com</v>
      </c>
      <c r="AB808" s="64" t="str">
        <f>IF($C808="","",IF(ISNUMBER(SEARCH($D808,Settings!$C$15)),"Pickup","Dispatch"))</f>
        <v>Pickup</v>
      </c>
      <c r="AC808" s="64" t="str">
        <f t="shared" si="144"/>
        <v>Supply order ready for pickup</v>
      </c>
      <c r="AD808" s="64" t="str">
        <f t="shared" si="135"/>
        <v>Dear PSW,
Your order is ready for pickup from Sample Branch, Wed-Fri 9am-4pm.</v>
      </c>
      <c r="AE808" s="64" t="str">
        <f t="shared" si="136"/>
        <v>mailto:firstname188.lastname188@example.com?subject=Supply%20order%20ready%20for%20pickup&amp;body=Dear%20PSW%2C%0A%0AYour%20order%20is%20ready%20for%20pickup%20from%20Sample%20Branch%2C%20Wed-Fri%209am-4pm.</v>
      </c>
      <c r="AF808" s="89" t="str">
        <f t="shared" si="145"/>
        <v>Draft email</v>
      </c>
      <c r="AG808" s="64" t="str">
        <f>IF($C808="","",IFERROR(INDEX('Staff Directory'!$K$595:$K$599,MATCH($C808,'Staff Directory'!$B$5:$B$599,0)),$D808))</f>
        <v>PSW</v>
      </c>
      <c r="AH808" t="str">
        <f>IF($C808="","",IFERROR(INDEX('Staff Directory'!$I$595:$I$599,MATCH($C808,'Staff Directory'!$B$5:$B$599,0))&amp;" "&amp;INDEX('Staff Directory'!$J$595:$J$599,MATCH($C808,'Staff Directory'!$B$5:$B$599,0)),$AG808))</f>
        <v>PSW</v>
      </c>
      <c r="AI808" s="102"/>
      <c r="AJ808" s="101">
        <f>IF($F808="","",SUMIFS($J$5:$J808,$F$5:$F808,$F808))</f>
        <v>47500</v>
      </c>
      <c r="AK808" s="101">
        <f t="shared" si="137"/>
        <v>47001</v>
      </c>
      <c r="AL808" s="66" t="str" cm="1">
        <f t="array" ref="AL808">IF($F808="","",IFERROR(INDEX('Lot Balance'!$B$5:$B$500,MATCH(1,INDEX(('Lot Balance'!$A$5:$A$500=$F808)*('Lot Balance'!$K$5:$K$500&lt;$AK808)*('Lot Balance'!$K$5:$K$500+'Lot Balance'!$D$5:$D$500&gt;=$AK808),0),0)),""))</f>
        <v>ZIM504126040-4</v>
      </c>
      <c r="AM808" s="66" t="str" cm="1">
        <f t="array" ref="AM808">IF($F808="","",IFERROR(INDEX('Lot Balance'!$B$5:$B$500,MATCH(1,INDEX(('Lot Balance'!$A$5:$A$500=$F808)*('Lot Balance'!$K$5:$K$500&lt;$AJ808)*('Lot Balance'!$K$5:$K$500+'Lot Balance'!$D$5:$D$500&gt;=$AJ808),0),0)),""))</f>
        <v>ZIM504126040-4</v>
      </c>
      <c r="AN808" s="66" t="str">
        <f>IF($F808="","",IF($AI808&lt;&gt;"",IF(COUNTIFS('Lot Balance'!$A$5:$A$500,$F808,'Lot Balance'!$B$5:$B$500,$AI808)=0,"⚠ override is not a lot of this item",IF($AI808=$AL808,"Override = FEFO","Override - FEFO says "&amp;$AL808)),IF($AL808="","⚠ no receipt on file for this item",IF($AM808&lt;&gt;$AL808,"FEFO auto - split, also "&amp;$AM808,"FEFO auto"))))</f>
        <v>FEFO auto</v>
      </c>
      <c r="AO808" s="114"/>
    </row>
    <row r="809" spans="1:41" x14ac:dyDescent="0.35">
      <c r="A809" s="74">
        <v>46164</v>
      </c>
      <c r="B809" s="18" t="str">
        <f>IF($C809="","",IFERROR(INDEX('Staff Directory'!$A$5:$A$594,MATCH($C809,'Staff Directory'!$B$5:$B$594,0)),"⚠ unknown staff"))</f>
        <v>PSW-125-A4</v>
      </c>
      <c r="C809" s="49" t="s">
        <v>1104</v>
      </c>
      <c r="D809" s="19" t="str">
        <f>IF($B809="","",IFERROR(INDEX('Staff Directory'!$C$5:$C$594,MATCH($B809,'Staff Directory'!$A$5:$A$594,0)),""))</f>
        <v>PSW</v>
      </c>
      <c r="E809" s="19" t="str">
        <f>IF($B809="","",IFERROR(INDEX('Staff Directory'!$D$5:$D$594,MATCH($B809,'Staff Directory'!$A$5:$A$594,0)),""))</f>
        <v>A4</v>
      </c>
      <c r="F809" s="9" t="s">
        <v>191</v>
      </c>
      <c r="G809" s="18" t="str">
        <f>IF($F809="","",IFERROR(INDEX(Items!$B$5:$B$597,MATCH($F809,Items!$A$5:$A$597,0)),"⚠ not in Items"))</f>
        <v>Sanitizer</v>
      </c>
      <c r="H809" s="19" t="str">
        <f>IF($F809="","",IFERROR(INDEX(Items!$C$5:$C$597,MATCH($F809,Items!$A$5:$A$597,0)),""))</f>
        <v>236 ML</v>
      </c>
      <c r="I809" s="23">
        <f>IF($F809="","",IFERROR(INDEX(Items!$E$5:$E$597,MATCH($F809,Items!$A$5:$A$597,0)),""))</f>
        <v>1</v>
      </c>
      <c r="J809" s="115">
        <f>IF(tblIssues[[#This Row],[Qty Override]]&lt;&gt;"",tblIssues[[#This Row],[Qty Override]],IF(tblIssues[[#This Row],[Standard Issue]]="","",tblIssues[[#This Row],[Standard Issue]]))</f>
        <v>1</v>
      </c>
      <c r="K809" s="20">
        <f>IF($F809="","",IFERROR(INDEX(Items!$D$5:$D$597,MATCH($F809,Items!$A$5:$A$597,0)),""))</f>
        <v>1E-4</v>
      </c>
      <c r="L809" s="21">
        <f t="shared" si="140"/>
        <v>1E-4</v>
      </c>
      <c r="M809" s="9" t="str">
        <f t="shared" si="138"/>
        <v>20-21734-4</v>
      </c>
      <c r="N809" s="24">
        <f>IF($A809="","",WORKDAY($A809,Settings!$C$9,HolidayDates))</f>
        <v>46174</v>
      </c>
      <c r="O809" s="24">
        <f>IF($N809="","",WORKDAY($N809,Settings!$C$10,HolidayDates))</f>
        <v>46212</v>
      </c>
      <c r="P809" s="10" t="s">
        <v>501</v>
      </c>
      <c r="Q809" s="52" t="str">
        <f t="shared" si="141"/>
        <v>Collected</v>
      </c>
      <c r="R809" s="55" t="str">
        <f t="shared" si="142"/>
        <v>2026-05</v>
      </c>
      <c r="S809" s="55">
        <f>IF(OR($B809="",$F809="",$R809=""),"",SUMIFS(tblIssues[Qty Issued],tblIssues[Staff ID],$B809,tblIssues[Item Name],$F809,tblIssues[Month],$R809))</f>
        <v>1</v>
      </c>
      <c r="T809" s="56">
        <f>IF($I809="","",$I809*Settings!$C$11)</f>
        <v>1</v>
      </c>
      <c r="U809" s="57" t="str">
        <f t="shared" si="139"/>
        <v>OK</v>
      </c>
      <c r="V809" s="55" t="str">
        <f t="shared" si="143"/>
        <v/>
      </c>
      <c r="W809" s="55" t="str">
        <f>IF($V809="","",IF(COUNTIF($V$5:$V809,$V809)=1,1,""))</f>
        <v/>
      </c>
      <c r="X809" s="58" t="str">
        <f>IF($W809="","",MAX($X$4:X808)+1)</f>
        <v/>
      </c>
      <c r="Y809" s="62"/>
      <c r="Z809" s="62"/>
      <c r="AA809" s="64" t="str">
        <f>IF($C809="","",IFERROR(INDEX('Staff Directory'!$E$5:$E$594,MATCH($C809,'Staff Directory'!$B$5:$B$594,0)),""))</f>
        <v>firstname188.lastname188@example.com</v>
      </c>
      <c r="AB809" s="64" t="str">
        <f>IF($C809="","",IF(ISNUMBER(SEARCH($D809,Settings!$C$15)),"Pickup","Dispatch"))</f>
        <v>Pickup</v>
      </c>
      <c r="AC809" s="64" t="str">
        <f t="shared" si="144"/>
        <v>Supply order ready for pickup</v>
      </c>
      <c r="AD809" s="64" t="str">
        <f t="shared" si="135"/>
        <v>Dear PSW,
Your order is ready for pickup from Sample Branch, Wed-Fri 9am-4pm.</v>
      </c>
      <c r="AE809" s="64" t="str">
        <f t="shared" si="136"/>
        <v>mailto:firstname188.lastname188@example.com?subject=Supply%20order%20ready%20for%20pickup&amp;body=Dear%20PSW%2C%0A%0AYour%20order%20is%20ready%20for%20pickup%20from%20Sample%20Branch%2C%20Wed-Fri%209am-4pm.</v>
      </c>
      <c r="AF809" s="89" t="str">
        <f t="shared" si="145"/>
        <v>Draft email</v>
      </c>
      <c r="AG809" s="64" t="str">
        <f>IF($C809="","",IFERROR(INDEX('Staff Directory'!$K$595:$K$599,MATCH($C809,'Staff Directory'!$B$5:$B$599,0)),$D809))</f>
        <v>PSW</v>
      </c>
      <c r="AH809" t="str">
        <f>IF($C809="","",IFERROR(INDEX('Staff Directory'!$I$595:$I$599,MATCH($C809,'Staff Directory'!$B$5:$B$599,0))&amp;" "&amp;INDEX('Staff Directory'!$J$595:$J$599,MATCH($C809,'Staff Directory'!$B$5:$B$599,0)),$AG809))</f>
        <v>PSW</v>
      </c>
      <c r="AI809" s="102"/>
      <c r="AJ809" s="101">
        <f>IF($F809="","",SUMIFS($J$5:$J809,$F$5:$F809,$F809))</f>
        <v>101</v>
      </c>
      <c r="AK809" s="101">
        <f t="shared" si="137"/>
        <v>101</v>
      </c>
      <c r="AL809" s="66" t="str" cm="1">
        <f t="array" ref="AL809">IF($F809="","",IFERROR(INDEX('Lot Balance'!$B$5:$B$500,MATCH(1,INDEX(('Lot Balance'!$A$5:$A$500=$F809)*('Lot Balance'!$K$5:$K$500&lt;$AK809)*('Lot Balance'!$K$5:$K$500+'Lot Balance'!$D$5:$D$500&gt;=$AK809),0),0)),""))</f>
        <v>20-21734-4</v>
      </c>
      <c r="AM809" s="66" t="str" cm="1">
        <f t="array" ref="AM809">IF($F809="","",IFERROR(INDEX('Lot Balance'!$B$5:$B$500,MATCH(1,INDEX(('Lot Balance'!$A$5:$A$500=$F809)*('Lot Balance'!$K$5:$K$500&lt;$AJ809)*('Lot Balance'!$K$5:$K$500+'Lot Balance'!$D$5:$D$500&gt;=$AJ809),0),0)),""))</f>
        <v>20-21734-4</v>
      </c>
      <c r="AN809" s="66" t="str">
        <f>IF($F809="","",IF($AI809&lt;&gt;"",IF(COUNTIFS('Lot Balance'!$A$5:$A$500,$F809,'Lot Balance'!$B$5:$B$500,$AI809)=0,"⚠ override is not a lot of this item",IF($AI809=$AL809,"Override = FEFO","Override - FEFO says "&amp;$AL809)),IF($AL809="","⚠ no receipt on file for this item",IF($AM809&lt;&gt;$AL809,"FEFO auto - split, also "&amp;$AM809,"FEFO auto"))))</f>
        <v>FEFO auto</v>
      </c>
      <c r="AO809" s="114"/>
    </row>
    <row r="810" spans="1:41" x14ac:dyDescent="0.35">
      <c r="A810" s="74">
        <v>46164</v>
      </c>
      <c r="B810" s="18" t="str">
        <f>IF($C810="","",IFERROR(INDEX('Staff Directory'!$A$5:$A$594,MATCH($C810,'Staff Directory'!$B$5:$B$594,0)),"⚠ unknown staff"))</f>
        <v>PSW-125-A4</v>
      </c>
      <c r="C810" s="49" t="s">
        <v>1104</v>
      </c>
      <c r="D810" s="19" t="str">
        <f>IF($B810="","",IFERROR(INDEX('Staff Directory'!$C$5:$C$594,MATCH($B810,'Staff Directory'!$A$5:$A$594,0)),""))</f>
        <v>PSW</v>
      </c>
      <c r="E810" s="19" t="str">
        <f>IF($B810="","",IFERROR(INDEX('Staff Directory'!$D$5:$D$594,MATCH($B810,'Staff Directory'!$A$5:$A$594,0)),""))</f>
        <v>A4</v>
      </c>
      <c r="F810" s="9" t="s">
        <v>115</v>
      </c>
      <c r="G810" s="18" t="str">
        <f>IF($F810="","",IFERROR(INDEX(Items!$B$5:$B$597,MATCH($F810,Items!$A$5:$A$597,0)),"⚠ not in Items"))</f>
        <v>Wipes</v>
      </c>
      <c r="H810" s="19">
        <f>IF($F810="","",IFERROR(INDEX(Items!$C$5:$C$597,MATCH($F810,Items!$A$5:$A$597,0)),""))</f>
        <v>80</v>
      </c>
      <c r="I810" s="23">
        <f>IF($F810="","",IFERROR(INDEX(Items!$E$5:$E$597,MATCH($F810,Items!$A$5:$A$597,0)),""))</f>
        <v>80</v>
      </c>
      <c r="J810" s="115">
        <f>IF(tblIssues[[#This Row],[Qty Override]]&lt;&gt;"",tblIssues[[#This Row],[Qty Override]],IF(tblIssues[[#This Row],[Standard Issue]]="","",tblIssues[[#This Row],[Standard Issue]]))</f>
        <v>80</v>
      </c>
      <c r="K810" s="20">
        <f>IF($F810="","",IFERROR(INDEX(Items!$D$5:$D$597,MATCH($F810,Items!$A$5:$A$597,0)),""))</f>
        <v>0.1</v>
      </c>
      <c r="L810" s="21">
        <f t="shared" si="140"/>
        <v>8</v>
      </c>
      <c r="M810" s="9" t="str">
        <f t="shared" si="138"/>
        <v>LYSL500290</v>
      </c>
      <c r="N810" s="24">
        <f>IF($A810="","",WORKDAY($A810,Settings!$C$9,HolidayDates))</f>
        <v>46174</v>
      </c>
      <c r="O810" s="24">
        <f>IF($N810="","",WORKDAY($N810,Settings!$C$10,HolidayDates))</f>
        <v>46212</v>
      </c>
      <c r="P810" s="10" t="s">
        <v>501</v>
      </c>
      <c r="Q810" s="52" t="str">
        <f t="shared" si="141"/>
        <v>Collected</v>
      </c>
      <c r="R810" s="55" t="str">
        <f t="shared" si="142"/>
        <v>2026-05</v>
      </c>
      <c r="S810" s="55">
        <f>IF(OR($B810="",$F810="",$R810=""),"",SUMIFS(tblIssues[Qty Issued],tblIssues[Staff ID],$B810,tblIssues[Item Name],$F810,tblIssues[Month],$R810))</f>
        <v>80</v>
      </c>
      <c r="T810" s="56">
        <f>IF($I810="","",$I810*Settings!$C$11)</f>
        <v>80</v>
      </c>
      <c r="U810" s="57" t="str">
        <f t="shared" si="139"/>
        <v>OK</v>
      </c>
      <c r="V810" s="55" t="str">
        <f t="shared" si="143"/>
        <v/>
      </c>
      <c r="W810" s="55" t="str">
        <f>IF($V810="","",IF(COUNTIF($V$5:$V810,$V810)=1,1,""))</f>
        <v/>
      </c>
      <c r="X810" s="58" t="str">
        <f>IF($W810="","",MAX($X$4:X809)+1)</f>
        <v/>
      </c>
      <c r="Y810" s="62"/>
      <c r="Z810" s="62"/>
      <c r="AA810" s="64" t="str">
        <f>IF($C810="","",IFERROR(INDEX('Staff Directory'!$E$5:$E$594,MATCH($C810,'Staff Directory'!$B$5:$B$594,0)),""))</f>
        <v>firstname188.lastname188@example.com</v>
      </c>
      <c r="AB810" s="64" t="str">
        <f>IF($C810="","",IF(ISNUMBER(SEARCH($D810,Settings!$C$15)),"Pickup","Dispatch"))</f>
        <v>Pickup</v>
      </c>
      <c r="AC810" s="64" t="str">
        <f t="shared" si="144"/>
        <v>Supply order ready for pickup</v>
      </c>
      <c r="AD810" s="64" t="str">
        <f t="shared" si="135"/>
        <v>Dear PSW,
Your order is ready for pickup from Sample Branch, Wed-Fri 9am-4pm.</v>
      </c>
      <c r="AE810" s="64" t="str">
        <f t="shared" si="136"/>
        <v>mailto:firstname188.lastname188@example.com?subject=Supply%20order%20ready%20for%20pickup&amp;body=Dear%20PSW%2C%0A%0AYour%20order%20is%20ready%20for%20pickup%20from%20Sample%20Branch%2C%20Wed-Fri%209am-4pm.</v>
      </c>
      <c r="AF810" s="89" t="str">
        <f t="shared" si="145"/>
        <v>Draft email</v>
      </c>
      <c r="AG810" s="64" t="str">
        <f>IF($C810="","",IFERROR(INDEX('Staff Directory'!$K$595:$K$599,MATCH($C810,'Staff Directory'!$B$5:$B$599,0)),$D810))</f>
        <v>PSW</v>
      </c>
      <c r="AH810" t="str">
        <f>IF($C810="","",IFERROR(INDEX('Staff Directory'!$I$595:$I$599,MATCH($C810,'Staff Directory'!$B$5:$B$599,0))&amp;" "&amp;INDEX('Staff Directory'!$J$595:$J$599,MATCH($C810,'Staff Directory'!$B$5:$B$599,0)),$AG810))</f>
        <v>PSW</v>
      </c>
      <c r="AI810" s="102"/>
      <c r="AJ810" s="101">
        <f>IF($F810="","",SUMIFS($J$5:$J810,$F$5:$F810,$F810))</f>
        <v>11120</v>
      </c>
      <c r="AK810" s="101">
        <f t="shared" si="137"/>
        <v>11041</v>
      </c>
      <c r="AL810" s="66" t="str" cm="1">
        <f t="array" ref="AL810">IF($F810="","",IFERROR(INDEX('Lot Balance'!$B$5:$B$500,MATCH(1,INDEX(('Lot Balance'!$A$5:$A$500=$F810)*('Lot Balance'!$K$5:$K$500&lt;$AK810)*('Lot Balance'!$K$5:$K$500+'Lot Balance'!$D$5:$D$500&gt;=$AK810),0),0)),""))</f>
        <v>LYSL500290</v>
      </c>
      <c r="AM810" s="66" t="str" cm="1">
        <f t="array" ref="AM810">IF($F810="","",IFERROR(INDEX('Lot Balance'!$B$5:$B$500,MATCH(1,INDEX(('Lot Balance'!$A$5:$A$500=$F810)*('Lot Balance'!$K$5:$K$500&lt;$AJ810)*('Lot Balance'!$K$5:$K$500+'Lot Balance'!$D$5:$D$500&gt;=$AJ810),0),0)),""))</f>
        <v>LYSL500290</v>
      </c>
      <c r="AN810" s="66" t="str">
        <f>IF($F810="","",IF($AI810&lt;&gt;"",IF(COUNTIFS('Lot Balance'!$A$5:$A$500,$F810,'Lot Balance'!$B$5:$B$500,$AI810)=0,"⚠ override is not a lot of this item",IF($AI810=$AL810,"Override = FEFO","Override - FEFO says "&amp;$AL810)),IF($AL810="","⚠ no receipt on file for this item",IF($AM810&lt;&gt;$AL810,"FEFO auto - split, also "&amp;$AM810,"FEFO auto"))))</f>
        <v>FEFO auto</v>
      </c>
      <c r="AO810" s="114"/>
    </row>
    <row r="811" spans="1:41" x14ac:dyDescent="0.35">
      <c r="A811" s="74">
        <v>46164</v>
      </c>
      <c r="B811" s="18" t="str">
        <f>IF($C811="","",IFERROR(INDEX('Staff Directory'!$A$5:$A$594,MATCH($C811,'Staff Directory'!$B$5:$B$594,0)),"⚠ unknown staff"))</f>
        <v>PSW-125-A4</v>
      </c>
      <c r="C811" s="49" t="s">
        <v>1104</v>
      </c>
      <c r="D811" s="19" t="str">
        <f>IF($B811="","",IFERROR(INDEX('Staff Directory'!$C$5:$C$594,MATCH($B811,'Staff Directory'!$A$5:$A$594,0)),""))</f>
        <v>PSW</v>
      </c>
      <c r="E811" s="19" t="str">
        <f>IF($B811="","",IFERROR(INDEX('Staff Directory'!$D$5:$D$594,MATCH($B811,'Staff Directory'!$A$5:$A$594,0)),""))</f>
        <v>A4</v>
      </c>
      <c r="F811" s="9" t="s">
        <v>156</v>
      </c>
      <c r="G811" s="18" t="str">
        <f>IF($F811="","",IFERROR(INDEX(Items!$B$5:$B$597,MATCH($F811,Items!$A$5:$A$597,0)),"⚠ not in Items"))</f>
        <v>Masks</v>
      </c>
      <c r="H811" s="19" t="str">
        <f>IF($F811="","",IFERROR(INDEX(Items!$C$5:$C$597,MATCH($F811,Items!$A$5:$A$597,0)),""))</f>
        <v>One Size</v>
      </c>
      <c r="I811" s="23">
        <f>IF($F811="","",IFERROR(INDEX(Items!$E$5:$E$597,MATCH($F811,Items!$A$5:$A$597,0)),""))</f>
        <v>50</v>
      </c>
      <c r="J811" s="115">
        <f>IF(tblIssues[[#This Row],[Qty Override]]&lt;&gt;"",tblIssues[[#This Row],[Qty Override]],IF(tblIssues[[#This Row],[Standard Issue]]="","",tblIssues[[#This Row],[Standard Issue]]))</f>
        <v>50</v>
      </c>
      <c r="K811" s="20">
        <f>IF($F811="","",IFERROR(INDEX(Items!$D$5:$D$597,MATCH($F811,Items!$A$5:$A$597,0)),""))</f>
        <v>0.25</v>
      </c>
      <c r="L811" s="21">
        <f t="shared" si="140"/>
        <v>12.5</v>
      </c>
      <c r="M811" s="9" t="str">
        <f t="shared" si="138"/>
        <v>0125FPC24-1</v>
      </c>
      <c r="N811" s="24">
        <f>IF($A811="","",WORKDAY($A811,Settings!$C$9,HolidayDates))</f>
        <v>46174</v>
      </c>
      <c r="O811" s="24">
        <f>IF($N811="","",WORKDAY($N811,Settings!$C$10,HolidayDates))</f>
        <v>46212</v>
      </c>
      <c r="P811" s="10" t="s">
        <v>501</v>
      </c>
      <c r="Q811" s="52" t="str">
        <f t="shared" si="141"/>
        <v>Collected</v>
      </c>
      <c r="R811" s="55" t="str">
        <f t="shared" si="142"/>
        <v>2026-05</v>
      </c>
      <c r="S811" s="55">
        <f>IF(OR($B811="",$F811="",$R811=""),"",SUMIFS(tblIssues[Qty Issued],tblIssues[Staff ID],$B811,tblIssues[Item Name],$F811,tblIssues[Month],$R811))</f>
        <v>50</v>
      </c>
      <c r="T811" s="56">
        <f>IF($I811="","",$I811*Settings!$C$11)</f>
        <v>50</v>
      </c>
      <c r="U811" s="57" t="str">
        <f t="shared" si="139"/>
        <v>OK</v>
      </c>
      <c r="V811" s="55" t="str">
        <f t="shared" si="143"/>
        <v/>
      </c>
      <c r="W811" s="55" t="str">
        <f>IF($V811="","",IF(COUNTIF($V$5:$V811,$V811)=1,1,""))</f>
        <v/>
      </c>
      <c r="X811" s="58" t="str">
        <f>IF($W811="","",MAX($X$4:X810)+1)</f>
        <v/>
      </c>
      <c r="Y811" s="62"/>
      <c r="Z811" s="62"/>
      <c r="AA811" s="64" t="str">
        <f>IF($C811="","",IFERROR(INDEX('Staff Directory'!$E$5:$E$594,MATCH($C811,'Staff Directory'!$B$5:$B$594,0)),""))</f>
        <v>firstname188.lastname188@example.com</v>
      </c>
      <c r="AB811" s="64" t="str">
        <f>IF($C811="","",IF(ISNUMBER(SEARCH($D811,Settings!$C$15)),"Pickup","Dispatch"))</f>
        <v>Pickup</v>
      </c>
      <c r="AC811" s="64" t="str">
        <f t="shared" si="144"/>
        <v>Supply order ready for pickup</v>
      </c>
      <c r="AD811" s="64" t="str">
        <f t="shared" si="135"/>
        <v>Dear PSW,
Your order is ready for pickup from Sample Branch, Wed-Fri 9am-4pm.</v>
      </c>
      <c r="AE811" s="64" t="str">
        <f t="shared" si="136"/>
        <v>mailto:firstname188.lastname188@example.com?subject=Supply%20order%20ready%20for%20pickup&amp;body=Dear%20PSW%2C%0A%0AYour%20order%20is%20ready%20for%20pickup%20from%20Sample%20Branch%2C%20Wed-Fri%209am-4pm.</v>
      </c>
      <c r="AF811" s="89" t="str">
        <f t="shared" si="145"/>
        <v>Draft email</v>
      </c>
      <c r="AG811" s="64" t="str">
        <f>IF($C811="","",IFERROR(INDEX('Staff Directory'!$K$595:$K$599,MATCH($C811,'Staff Directory'!$B$5:$B$599,0)),$D811))</f>
        <v>PSW</v>
      </c>
      <c r="AH811" t="str">
        <f>IF($C811="","",IFERROR(INDEX('Staff Directory'!$I$595:$I$599,MATCH($C811,'Staff Directory'!$B$5:$B$599,0))&amp;" "&amp;INDEX('Staff Directory'!$J$595:$J$599,MATCH($C811,'Staff Directory'!$B$5:$B$599,0)),$AG811))</f>
        <v>PSW</v>
      </c>
      <c r="AI811" s="102"/>
      <c r="AJ811" s="101">
        <f>IF($F811="","",SUMIFS($J$5:$J811,$F$5:$F811,$F811))</f>
        <v>6750</v>
      </c>
      <c r="AK811" s="101">
        <f t="shared" si="137"/>
        <v>6701</v>
      </c>
      <c r="AL811" s="66" t="str" cm="1">
        <f t="array" ref="AL811">IF($F811="","",IFERROR(INDEX('Lot Balance'!$B$5:$B$500,MATCH(1,INDEX(('Lot Balance'!$A$5:$A$500=$F811)*('Lot Balance'!$K$5:$K$500&lt;$AK811)*('Lot Balance'!$K$5:$K$500+'Lot Balance'!$D$5:$D$500&gt;=$AK811),0),0)),""))</f>
        <v>0125FPC24-1</v>
      </c>
      <c r="AM811" s="66" t="str" cm="1">
        <f t="array" ref="AM811">IF($F811="","",IFERROR(INDEX('Lot Balance'!$B$5:$B$500,MATCH(1,INDEX(('Lot Balance'!$A$5:$A$500=$F811)*('Lot Balance'!$K$5:$K$500&lt;$AJ811)*('Lot Balance'!$K$5:$K$500+'Lot Balance'!$D$5:$D$500&gt;=$AJ811),0),0)),""))</f>
        <v>0125FPC24-1</v>
      </c>
      <c r="AN811" s="66" t="str">
        <f>IF($F811="","",IF($AI811&lt;&gt;"",IF(COUNTIFS('Lot Balance'!$A$5:$A$500,$F811,'Lot Balance'!$B$5:$B$500,$AI811)=0,"⚠ override is not a lot of this item",IF($AI811=$AL811,"Override = FEFO","Override - FEFO says "&amp;$AL811)),IF($AL811="","⚠ no receipt on file for this item",IF($AM811&lt;&gt;$AL811,"FEFO auto - split, also "&amp;$AM811,"FEFO auto"))))</f>
        <v>FEFO auto</v>
      </c>
      <c r="AO811" s="114"/>
    </row>
    <row r="812" spans="1:41" x14ac:dyDescent="0.35">
      <c r="A812" s="74">
        <v>46164</v>
      </c>
      <c r="B812" s="18" t="str">
        <f>IF($C812="","",IFERROR(INDEX('Staff Directory'!$A$5:$A$594,MATCH($C812,'Staff Directory'!$B$5:$B$594,0)),"⚠ unknown staff"))</f>
        <v>PSW-125-A4</v>
      </c>
      <c r="C812" s="49" t="s">
        <v>1104</v>
      </c>
      <c r="D812" s="19" t="str">
        <f>IF($B812="","",IFERROR(INDEX('Staff Directory'!$C$5:$C$594,MATCH($B812,'Staff Directory'!$A$5:$A$594,0)),""))</f>
        <v>PSW</v>
      </c>
      <c r="E812" s="19" t="str">
        <f>IF($B812="","",IFERROR(INDEX('Staff Directory'!$D$5:$D$594,MATCH($B812,'Staff Directory'!$A$5:$A$594,0)),""))</f>
        <v>A4</v>
      </c>
      <c r="F812" s="9" t="s">
        <v>758</v>
      </c>
      <c r="G812" s="18" t="str">
        <f>IF($F812="","",IFERROR(INDEX(Items!$B$5:$B$597,MATCH($F812,Items!$A$5:$A$597,0)),"⚠ not in Items"))</f>
        <v>Utility</v>
      </c>
      <c r="H812" s="19" t="str">
        <f>IF($F812="","",IFERROR(INDEX(Items!$C$5:$C$597,MATCH($F812,Items!$A$5:$A$597,0)),""))</f>
        <v>Standard</v>
      </c>
      <c r="I812" s="23">
        <f>IF($F812="","",IFERROR(INDEX(Items!$E$5:$E$597,MATCH($F812,Items!$A$5:$A$597,0)),""))</f>
        <v>1</v>
      </c>
      <c r="J812" s="115">
        <f>IF(tblIssues[[#This Row],[Qty Override]]&lt;&gt;"",tblIssues[[#This Row],[Qty Override]],IF(tblIssues[[#This Row],[Standard Issue]]="","",tblIssues[[#This Row],[Standard Issue]]))</f>
        <v>1</v>
      </c>
      <c r="K812" s="20">
        <f>IF($F812="","",IFERROR(INDEX(Items!$D$5:$D$597,MATCH($F812,Items!$A$5:$A$597,0)),""))</f>
        <v>0</v>
      </c>
      <c r="L812" s="21">
        <f t="shared" si="140"/>
        <v>0</v>
      </c>
      <c r="M812" s="9" t="str">
        <f t="shared" si="138"/>
        <v/>
      </c>
      <c r="N812" s="24">
        <f>IF($A812="","",WORKDAY($A812,Settings!$C$9,HolidayDates))</f>
        <v>46174</v>
      </c>
      <c r="O812" s="24">
        <f>IF($N812="","",WORKDAY($N812,Settings!$C$10,HolidayDates))</f>
        <v>46212</v>
      </c>
      <c r="P812" s="10" t="s">
        <v>501</v>
      </c>
      <c r="Q812" s="52" t="str">
        <f t="shared" si="141"/>
        <v>Collected</v>
      </c>
      <c r="R812" s="55" t="str">
        <f t="shared" si="142"/>
        <v>2026-05</v>
      </c>
      <c r="S812" s="55">
        <f>IF(OR($B812="",$F812="",$R812=""),"",SUMIFS(tblIssues[Qty Issued],tblIssues[Staff ID],$B812,tblIssues[Item Name],$F812,tblIssues[Month],$R812))</f>
        <v>1</v>
      </c>
      <c r="T812" s="56">
        <f>IF($I812="","",$I812*Settings!$C$11)</f>
        <v>1</v>
      </c>
      <c r="U812" s="57" t="str">
        <f t="shared" si="139"/>
        <v>OK</v>
      </c>
      <c r="V812" s="55" t="str">
        <f t="shared" si="143"/>
        <v/>
      </c>
      <c r="W812" s="55" t="str">
        <f>IF($V812="","",IF(COUNTIF($V$5:$V812,$V812)=1,1,""))</f>
        <v/>
      </c>
      <c r="X812" s="58" t="str">
        <f>IF($W812="","",MAX($X$4:X811)+1)</f>
        <v/>
      </c>
      <c r="Y812" s="62"/>
      <c r="Z812" s="62"/>
      <c r="AA812" s="64" t="str">
        <f>IF($C812="","",IFERROR(INDEX('Staff Directory'!$E$5:$E$594,MATCH($C812,'Staff Directory'!$B$5:$B$594,0)),""))</f>
        <v>firstname188.lastname188@example.com</v>
      </c>
      <c r="AB812" s="64" t="str">
        <f>IF($C812="","",IF(ISNUMBER(SEARCH($D812,Settings!$C$15)),"Pickup","Dispatch"))</f>
        <v>Pickup</v>
      </c>
      <c r="AC812" s="64" t="str">
        <f t="shared" si="144"/>
        <v>Supply order ready for pickup</v>
      </c>
      <c r="AD812" s="64" t="str">
        <f t="shared" si="135"/>
        <v>Dear PSW,
Your order is ready for pickup from Sample Branch, Wed-Fri 9am-4pm.</v>
      </c>
      <c r="AE812" s="64" t="str">
        <f t="shared" si="136"/>
        <v>mailto:firstname188.lastname188@example.com?subject=Supply%20order%20ready%20for%20pickup&amp;body=Dear%20PSW%2C%0A%0AYour%20order%20is%20ready%20for%20pickup%20from%20Sample%20Branch%2C%20Wed-Fri%209am-4pm.</v>
      </c>
      <c r="AF812" s="89" t="str">
        <f t="shared" si="145"/>
        <v>Draft email</v>
      </c>
      <c r="AG812" s="64" t="str">
        <f>IF($C812="","",IFERROR(INDEX('Staff Directory'!$K$595:$K$599,MATCH($C812,'Staff Directory'!$B$5:$B$599,0)),$D812))</f>
        <v>PSW</v>
      </c>
      <c r="AH812" t="str">
        <f>IF($C812="","",IFERROR(INDEX('Staff Directory'!$I$595:$I$599,MATCH($C812,'Staff Directory'!$B$5:$B$599,0))&amp;" "&amp;INDEX('Staff Directory'!$J$595:$J$599,MATCH($C812,'Staff Directory'!$B$5:$B$599,0)),$AG812))</f>
        <v>PSW</v>
      </c>
      <c r="AI812" s="102"/>
      <c r="AJ812" s="101">
        <f>IF($F812="","",SUMIFS($J$5:$J812,$F$5:$F812,$F812))</f>
        <v>10</v>
      </c>
      <c r="AK812" s="101">
        <f t="shared" si="137"/>
        <v>10</v>
      </c>
      <c r="AL812" s="66" t="str" cm="1">
        <f t="array" ref="AL812">IF($F812="","",IFERROR(INDEX('Lot Balance'!$B$5:$B$500,MATCH(1,INDEX(('Lot Balance'!$A$5:$A$500=$F812)*('Lot Balance'!$K$5:$K$500&lt;$AK812)*('Lot Balance'!$K$5:$K$500+'Lot Balance'!$D$5:$D$500&gt;=$AK812),0),0)),""))</f>
        <v/>
      </c>
      <c r="AM812" s="66" t="str" cm="1">
        <f t="array" ref="AM812">IF($F812="","",IFERROR(INDEX('Lot Balance'!$B$5:$B$500,MATCH(1,INDEX(('Lot Balance'!$A$5:$A$500=$F812)*('Lot Balance'!$K$5:$K$500&lt;$AJ812)*('Lot Balance'!$K$5:$K$500+'Lot Balance'!$D$5:$D$500&gt;=$AJ812),0),0)),""))</f>
        <v/>
      </c>
      <c r="AN812" s="66" t="str">
        <f>IF($F812="","",IF($AI812&lt;&gt;"",IF(COUNTIFS('Lot Balance'!$A$5:$A$500,$F812,'Lot Balance'!$B$5:$B$500,$AI812)=0,"⚠ override is not a lot of this item",IF($AI812=$AL812,"Override = FEFO","Override - FEFO says "&amp;$AL812)),IF($AL812="","⚠ no receipt on file for this item",IF($AM812&lt;&gt;$AL812,"FEFO auto - split, also "&amp;$AM812,"FEFO auto"))))</f>
        <v>⚠ no receipt on file for this item</v>
      </c>
      <c r="AO812" s="114"/>
    </row>
    <row r="813" spans="1:41" x14ac:dyDescent="0.35">
      <c r="A813" s="74">
        <v>46164</v>
      </c>
      <c r="B813" s="18" t="str">
        <f>IF($C813="","",IFERROR(INDEX('Staff Directory'!$A$5:$A$594,MATCH($C813,'Staff Directory'!$B$5:$B$594,0)),"⚠ unknown staff"))</f>
        <v>PSW-164-A6</v>
      </c>
      <c r="C813" s="49" t="s">
        <v>1143</v>
      </c>
      <c r="D813" s="19" t="str">
        <f>IF($B813="","",IFERROR(INDEX('Staff Directory'!$C$5:$C$594,MATCH($B813,'Staff Directory'!$A$5:$A$594,0)),""))</f>
        <v>PSW</v>
      </c>
      <c r="E813" s="19" t="str">
        <f>IF($B813="","",IFERROR(INDEX('Staff Directory'!$D$5:$D$594,MATCH($B813,'Staff Directory'!$A$5:$A$594,0)),""))</f>
        <v>A6</v>
      </c>
      <c r="F813" s="9" t="s">
        <v>127</v>
      </c>
      <c r="G813" s="18" t="str">
        <f>IF($F813="","",IFERROR(INDEX(Items!$B$5:$B$597,MATCH($F813,Items!$A$5:$A$597,0)),"⚠ not in Items"))</f>
        <v>Gloves</v>
      </c>
      <c r="H813" s="19" t="str">
        <f>IF($F813="","",IFERROR(INDEX(Items!$C$5:$C$597,MATCH($F813,Items!$A$5:$A$597,0)),""))</f>
        <v>Medium</v>
      </c>
      <c r="I813" s="23">
        <f>IF($F813="","",IFERROR(INDEX(Items!$E$5:$E$597,MATCH($F813,Items!$A$5:$A$597,0)),""))</f>
        <v>500</v>
      </c>
      <c r="J813" s="115">
        <f>IF(tblIssues[[#This Row],[Qty Override]]&lt;&gt;"",tblIssues[[#This Row],[Qty Override]],IF(tblIssues[[#This Row],[Standard Issue]]="","",tblIssues[[#This Row],[Standard Issue]]))</f>
        <v>500</v>
      </c>
      <c r="K813" s="20">
        <f>IF($F813="","",IFERROR(INDEX(Items!$D$5:$D$597,MATCH($F813,Items!$A$5:$A$597,0)),""))</f>
        <v>5.5E-2</v>
      </c>
      <c r="L813" s="21">
        <f t="shared" si="140"/>
        <v>27.5</v>
      </c>
      <c r="M813" s="9" t="str">
        <f t="shared" si="138"/>
        <v>ZIM504126040-4</v>
      </c>
      <c r="N813" s="24">
        <f>IF($A813="","",WORKDAY($A813,Settings!$C$9,HolidayDates))</f>
        <v>46174</v>
      </c>
      <c r="O813" s="24">
        <f>IF($N813="","",WORKDAY($N813,Settings!$C$10,HolidayDates))</f>
        <v>46212</v>
      </c>
      <c r="P813" s="10" t="s">
        <v>501</v>
      </c>
      <c r="Q813" s="52" t="str">
        <f t="shared" si="141"/>
        <v>Collected</v>
      </c>
      <c r="R813" s="55" t="str">
        <f t="shared" si="142"/>
        <v>2026-05</v>
      </c>
      <c r="S813" s="55">
        <f>IF(OR($B813="",$F813="",$R813=""),"",SUMIFS(tblIssues[Qty Issued],tblIssues[Staff ID],$B813,tblIssues[Item Name],$F813,tblIssues[Month],$R813))</f>
        <v>500</v>
      </c>
      <c r="T813" s="56">
        <f>IF($I813="","",$I813*Settings!$C$11)</f>
        <v>500</v>
      </c>
      <c r="U813" s="57" t="str">
        <f t="shared" si="139"/>
        <v>OK</v>
      </c>
      <c r="V813" s="55" t="str">
        <f t="shared" si="143"/>
        <v/>
      </c>
      <c r="W813" s="55" t="str">
        <f>IF($V813="","",IF(COUNTIF($V$5:$V813,$V813)=1,1,""))</f>
        <v/>
      </c>
      <c r="X813" s="58" t="str">
        <f>IF($W813="","",MAX($X$4:X812)+1)</f>
        <v/>
      </c>
      <c r="Y813" s="62"/>
      <c r="Z813" s="62"/>
      <c r="AA813" s="64" t="str">
        <f>IF($C813="","",IFERROR(INDEX('Staff Directory'!$E$5:$E$594,MATCH($C813,'Staff Directory'!$B$5:$B$594,0)),""))</f>
        <v>firstname227.lastname227@example.com</v>
      </c>
      <c r="AB813" s="64" t="str">
        <f>IF($C813="","",IF(ISNUMBER(SEARCH($D813,Settings!$C$15)),"Pickup","Dispatch"))</f>
        <v>Pickup</v>
      </c>
      <c r="AC813" s="64" t="str">
        <f t="shared" si="144"/>
        <v>Supply order ready for pickup</v>
      </c>
      <c r="AD813" s="64" t="str">
        <f t="shared" si="135"/>
        <v>Dear PSW,
Your order is ready for pickup from Sample Branch, Wed-Fri 9am-4pm.</v>
      </c>
      <c r="AE813" s="64" t="str">
        <f t="shared" si="136"/>
        <v>mailto:firstname227.lastname227@example.com?subject=Supply%20order%20ready%20for%20pickup&amp;body=Dear%20PSW%2C%0A%0AYour%20order%20is%20ready%20for%20pickup%20from%20Sample%20Branch%2C%20Wed-Fri%209am-4pm.</v>
      </c>
      <c r="AF813" s="89" t="str">
        <f t="shared" si="145"/>
        <v>Draft email</v>
      </c>
      <c r="AG813" s="64" t="str">
        <f>IF($C813="","",IFERROR(INDEX('Staff Directory'!$K$595:$K$599,MATCH($C813,'Staff Directory'!$B$5:$B$599,0)),$D813))</f>
        <v>PSW</v>
      </c>
      <c r="AH813" t="str">
        <f>IF($C813="","",IFERROR(INDEX('Staff Directory'!$I$595:$I$599,MATCH($C813,'Staff Directory'!$B$5:$B$599,0))&amp;" "&amp;INDEX('Staff Directory'!$J$595:$J$599,MATCH($C813,'Staff Directory'!$B$5:$B$599,0)),$AG813))</f>
        <v>PSW</v>
      </c>
      <c r="AI813" s="102"/>
      <c r="AJ813" s="101">
        <f>IF($F813="","",SUMIFS($J$5:$J813,$F$5:$F813,$F813))</f>
        <v>48000</v>
      </c>
      <c r="AK813" s="101">
        <f t="shared" si="137"/>
        <v>47501</v>
      </c>
      <c r="AL813" s="66" t="str" cm="1">
        <f t="array" ref="AL813">IF($F813="","",IFERROR(INDEX('Lot Balance'!$B$5:$B$500,MATCH(1,INDEX(('Lot Balance'!$A$5:$A$500=$F813)*('Lot Balance'!$K$5:$K$500&lt;$AK813)*('Lot Balance'!$K$5:$K$500+'Lot Balance'!$D$5:$D$500&gt;=$AK813),0),0)),""))</f>
        <v>ZIM504126040-4</v>
      </c>
      <c r="AM813" s="66" t="str" cm="1">
        <f t="array" ref="AM813">IF($F813="","",IFERROR(INDEX('Lot Balance'!$B$5:$B$500,MATCH(1,INDEX(('Lot Balance'!$A$5:$A$500=$F813)*('Lot Balance'!$K$5:$K$500&lt;$AJ813)*('Lot Balance'!$K$5:$K$500+'Lot Balance'!$D$5:$D$500&gt;=$AJ813),0),0)),""))</f>
        <v>ZIM504126040-4</v>
      </c>
      <c r="AN813" s="66" t="str">
        <f>IF($F813="","",IF($AI813&lt;&gt;"",IF(COUNTIFS('Lot Balance'!$A$5:$A$500,$F813,'Lot Balance'!$B$5:$B$500,$AI813)=0,"⚠ override is not a lot of this item",IF($AI813=$AL813,"Override = FEFO","Override - FEFO says "&amp;$AL813)),IF($AL813="","⚠ no receipt on file for this item",IF($AM813&lt;&gt;$AL813,"FEFO auto - split, also "&amp;$AM813,"FEFO auto"))))</f>
        <v>FEFO auto</v>
      </c>
      <c r="AO813" s="114"/>
    </row>
    <row r="814" spans="1:41" x14ac:dyDescent="0.35">
      <c r="A814" s="74">
        <v>46164</v>
      </c>
      <c r="B814" s="18" t="str">
        <f>IF($C814="","",IFERROR(INDEX('Staff Directory'!$A$5:$A$594,MATCH($C814,'Staff Directory'!$B$5:$B$594,0)),"⚠ unknown staff"))</f>
        <v>PSW-164-A6</v>
      </c>
      <c r="C814" s="49" t="s">
        <v>1143</v>
      </c>
      <c r="D814" s="19" t="str">
        <f>IF($B814="","",IFERROR(INDEX('Staff Directory'!$C$5:$C$594,MATCH($B814,'Staff Directory'!$A$5:$A$594,0)),""))</f>
        <v>PSW</v>
      </c>
      <c r="E814" s="19" t="str">
        <f>IF($B814="","",IFERROR(INDEX('Staff Directory'!$D$5:$D$594,MATCH($B814,'Staff Directory'!$A$5:$A$594,0)),""))</f>
        <v>A6</v>
      </c>
      <c r="F814" s="9" t="s">
        <v>115</v>
      </c>
      <c r="G814" s="18" t="str">
        <f>IF($F814="","",IFERROR(INDEX(Items!$B$5:$B$597,MATCH($F814,Items!$A$5:$A$597,0)),"⚠ not in Items"))</f>
        <v>Wipes</v>
      </c>
      <c r="H814" s="19">
        <f>IF($F814="","",IFERROR(INDEX(Items!$C$5:$C$597,MATCH($F814,Items!$A$5:$A$597,0)),""))</f>
        <v>80</v>
      </c>
      <c r="I814" s="23">
        <f>IF($F814="","",IFERROR(INDEX(Items!$E$5:$E$597,MATCH($F814,Items!$A$5:$A$597,0)),""))</f>
        <v>80</v>
      </c>
      <c r="J814" s="115">
        <f>IF(tblIssues[[#This Row],[Qty Override]]&lt;&gt;"",tblIssues[[#This Row],[Qty Override]],IF(tblIssues[[#This Row],[Standard Issue]]="","",tblIssues[[#This Row],[Standard Issue]]))</f>
        <v>80</v>
      </c>
      <c r="K814" s="20">
        <f>IF($F814="","",IFERROR(INDEX(Items!$D$5:$D$597,MATCH($F814,Items!$A$5:$A$597,0)),""))</f>
        <v>0.1</v>
      </c>
      <c r="L814" s="21">
        <f t="shared" si="140"/>
        <v>8</v>
      </c>
      <c r="M814" s="9" t="str">
        <f t="shared" si="138"/>
        <v>LYSL500290</v>
      </c>
      <c r="N814" s="24">
        <f>IF($A814="","",WORKDAY($A814,Settings!$C$9,HolidayDates))</f>
        <v>46174</v>
      </c>
      <c r="O814" s="24">
        <f>IF($N814="","",WORKDAY($N814,Settings!$C$10,HolidayDates))</f>
        <v>46212</v>
      </c>
      <c r="P814" s="10" t="s">
        <v>501</v>
      </c>
      <c r="Q814" s="52" t="str">
        <f t="shared" si="141"/>
        <v>Collected</v>
      </c>
      <c r="R814" s="55" t="str">
        <f t="shared" si="142"/>
        <v>2026-05</v>
      </c>
      <c r="S814" s="55">
        <f>IF(OR($B814="",$F814="",$R814=""),"",SUMIFS(tblIssues[Qty Issued],tblIssues[Staff ID],$B814,tblIssues[Item Name],$F814,tblIssues[Month],$R814))</f>
        <v>80</v>
      </c>
      <c r="T814" s="56">
        <f>IF($I814="","",$I814*Settings!$C$11)</f>
        <v>80</v>
      </c>
      <c r="U814" s="57" t="str">
        <f t="shared" si="139"/>
        <v>OK</v>
      </c>
      <c r="V814" s="55" t="str">
        <f t="shared" si="143"/>
        <v/>
      </c>
      <c r="W814" s="55" t="str">
        <f>IF($V814="","",IF(COUNTIF($V$5:$V814,$V814)=1,1,""))</f>
        <v/>
      </c>
      <c r="X814" s="58" t="str">
        <f>IF($W814="","",MAX($X$4:X813)+1)</f>
        <v/>
      </c>
      <c r="Y814" s="62"/>
      <c r="Z814" s="62"/>
      <c r="AA814" s="64" t="str">
        <f>IF($C814="","",IFERROR(INDEX('Staff Directory'!$E$5:$E$594,MATCH($C814,'Staff Directory'!$B$5:$B$594,0)),""))</f>
        <v>firstname227.lastname227@example.com</v>
      </c>
      <c r="AB814" s="64" t="str">
        <f>IF($C814="","",IF(ISNUMBER(SEARCH($D814,Settings!$C$15)),"Pickup","Dispatch"))</f>
        <v>Pickup</v>
      </c>
      <c r="AC814" s="64" t="str">
        <f t="shared" si="144"/>
        <v>Supply order ready for pickup</v>
      </c>
      <c r="AD814" s="64" t="str">
        <f t="shared" si="135"/>
        <v>Dear PSW,
Your order is ready for pickup from Sample Branch, Wed-Fri 9am-4pm.</v>
      </c>
      <c r="AE814" s="64" t="str">
        <f t="shared" si="136"/>
        <v>mailto:firstname227.lastname227@example.com?subject=Supply%20order%20ready%20for%20pickup&amp;body=Dear%20PSW%2C%0A%0AYour%20order%20is%20ready%20for%20pickup%20from%20Sample%20Branch%2C%20Wed-Fri%209am-4pm.</v>
      </c>
      <c r="AF814" s="89" t="str">
        <f t="shared" si="145"/>
        <v>Draft email</v>
      </c>
      <c r="AG814" s="64" t="str">
        <f>IF($C814="","",IFERROR(INDEX('Staff Directory'!$K$595:$K$599,MATCH($C814,'Staff Directory'!$B$5:$B$599,0)),$D814))</f>
        <v>PSW</v>
      </c>
      <c r="AH814" t="str">
        <f>IF($C814="","",IFERROR(INDEX('Staff Directory'!$I$595:$I$599,MATCH($C814,'Staff Directory'!$B$5:$B$599,0))&amp;" "&amp;INDEX('Staff Directory'!$J$595:$J$599,MATCH($C814,'Staff Directory'!$B$5:$B$599,0)),$AG814))</f>
        <v>PSW</v>
      </c>
      <c r="AI814" s="102"/>
      <c r="AJ814" s="101">
        <f>IF($F814="","",SUMIFS($J$5:$J814,$F$5:$F814,$F814))</f>
        <v>11200</v>
      </c>
      <c r="AK814" s="101">
        <f t="shared" si="137"/>
        <v>11121</v>
      </c>
      <c r="AL814" s="66" t="str" cm="1">
        <f t="array" ref="AL814">IF($F814="","",IFERROR(INDEX('Lot Balance'!$B$5:$B$500,MATCH(1,INDEX(('Lot Balance'!$A$5:$A$500=$F814)*('Lot Balance'!$K$5:$K$500&lt;$AK814)*('Lot Balance'!$K$5:$K$500+'Lot Balance'!$D$5:$D$500&gt;=$AK814),0),0)),""))</f>
        <v>LYSL500290</v>
      </c>
      <c r="AM814" s="66" t="str" cm="1">
        <f t="array" ref="AM814">IF($F814="","",IFERROR(INDEX('Lot Balance'!$B$5:$B$500,MATCH(1,INDEX(('Lot Balance'!$A$5:$A$500=$F814)*('Lot Balance'!$K$5:$K$500&lt;$AJ814)*('Lot Balance'!$K$5:$K$500+'Lot Balance'!$D$5:$D$500&gt;=$AJ814),0),0)),""))</f>
        <v>LYSL500290</v>
      </c>
      <c r="AN814" s="66" t="str">
        <f>IF($F814="","",IF($AI814&lt;&gt;"",IF(COUNTIFS('Lot Balance'!$A$5:$A$500,$F814,'Lot Balance'!$B$5:$B$500,$AI814)=0,"⚠ override is not a lot of this item",IF($AI814=$AL814,"Override = FEFO","Override - FEFO says "&amp;$AL814)),IF($AL814="","⚠ no receipt on file for this item",IF($AM814&lt;&gt;$AL814,"FEFO auto - split, also "&amp;$AM814,"FEFO auto"))))</f>
        <v>FEFO auto</v>
      </c>
      <c r="AO814" s="114"/>
    </row>
    <row r="815" spans="1:41" x14ac:dyDescent="0.35">
      <c r="A815" s="74">
        <v>46164</v>
      </c>
      <c r="B815" s="18" t="str">
        <f>IF($C815="","",IFERROR(INDEX('Staff Directory'!$A$5:$A$594,MATCH($C815,'Staff Directory'!$B$5:$B$594,0)),"⚠ unknown staff"))</f>
        <v>PSW-164-A6</v>
      </c>
      <c r="C815" s="49" t="s">
        <v>1143</v>
      </c>
      <c r="D815" s="19" t="str">
        <f>IF($B815="","",IFERROR(INDEX('Staff Directory'!$C$5:$C$594,MATCH($B815,'Staff Directory'!$A$5:$A$594,0)),""))</f>
        <v>PSW</v>
      </c>
      <c r="E815" s="19" t="str">
        <f>IF($B815="","",IFERROR(INDEX('Staff Directory'!$D$5:$D$594,MATCH($B815,'Staff Directory'!$A$5:$A$594,0)),""))</f>
        <v>A6</v>
      </c>
      <c r="F815" s="9" t="s">
        <v>156</v>
      </c>
      <c r="G815" s="18" t="str">
        <f>IF($F815="","",IFERROR(INDEX(Items!$B$5:$B$597,MATCH($F815,Items!$A$5:$A$597,0)),"⚠ not in Items"))</f>
        <v>Masks</v>
      </c>
      <c r="H815" s="19" t="str">
        <f>IF($F815="","",IFERROR(INDEX(Items!$C$5:$C$597,MATCH($F815,Items!$A$5:$A$597,0)),""))</f>
        <v>One Size</v>
      </c>
      <c r="I815" s="23">
        <f>IF($F815="","",IFERROR(INDEX(Items!$E$5:$E$597,MATCH($F815,Items!$A$5:$A$597,0)),""))</f>
        <v>50</v>
      </c>
      <c r="J815" s="115">
        <f>IF(tblIssues[[#This Row],[Qty Override]]&lt;&gt;"",tblIssues[[#This Row],[Qty Override]],IF(tblIssues[[#This Row],[Standard Issue]]="","",tblIssues[[#This Row],[Standard Issue]]))</f>
        <v>50</v>
      </c>
      <c r="K815" s="20">
        <f>IF($F815="","",IFERROR(INDEX(Items!$D$5:$D$597,MATCH($F815,Items!$A$5:$A$597,0)),""))</f>
        <v>0.25</v>
      </c>
      <c r="L815" s="21">
        <f t="shared" si="140"/>
        <v>12.5</v>
      </c>
      <c r="M815" s="9" t="str">
        <f t="shared" si="138"/>
        <v>0125FPC24-1</v>
      </c>
      <c r="N815" s="24">
        <f>IF($A815="","",WORKDAY($A815,Settings!$C$9,HolidayDates))</f>
        <v>46174</v>
      </c>
      <c r="O815" s="24">
        <f>IF($N815="","",WORKDAY($N815,Settings!$C$10,HolidayDates))</f>
        <v>46212</v>
      </c>
      <c r="P815" s="10" t="s">
        <v>501</v>
      </c>
      <c r="Q815" s="52" t="str">
        <f t="shared" si="141"/>
        <v>Collected</v>
      </c>
      <c r="R815" s="55" t="str">
        <f t="shared" si="142"/>
        <v>2026-05</v>
      </c>
      <c r="S815" s="55">
        <f>IF(OR($B815="",$F815="",$R815=""),"",SUMIFS(tblIssues[Qty Issued],tblIssues[Staff ID],$B815,tblIssues[Item Name],$F815,tblIssues[Month],$R815))</f>
        <v>50</v>
      </c>
      <c r="T815" s="56">
        <f>IF($I815="","",$I815*Settings!$C$11)</f>
        <v>50</v>
      </c>
      <c r="U815" s="57" t="str">
        <f t="shared" si="139"/>
        <v>OK</v>
      </c>
      <c r="V815" s="55" t="str">
        <f t="shared" si="143"/>
        <v/>
      </c>
      <c r="W815" s="55" t="str">
        <f>IF($V815="","",IF(COUNTIF($V$5:$V815,$V815)=1,1,""))</f>
        <v/>
      </c>
      <c r="X815" s="58" t="str">
        <f>IF($W815="","",MAX($X$4:X814)+1)</f>
        <v/>
      </c>
      <c r="Y815" s="62"/>
      <c r="Z815" s="62"/>
      <c r="AA815" s="64" t="str">
        <f>IF($C815="","",IFERROR(INDEX('Staff Directory'!$E$5:$E$594,MATCH($C815,'Staff Directory'!$B$5:$B$594,0)),""))</f>
        <v>firstname227.lastname227@example.com</v>
      </c>
      <c r="AB815" s="64" t="str">
        <f>IF($C815="","",IF(ISNUMBER(SEARCH($D815,Settings!$C$15)),"Pickup","Dispatch"))</f>
        <v>Pickup</v>
      </c>
      <c r="AC815" s="64" t="str">
        <f t="shared" si="144"/>
        <v>Supply order ready for pickup</v>
      </c>
      <c r="AD815" s="64" t="str">
        <f t="shared" si="135"/>
        <v>Dear PSW,
Your order is ready for pickup from Sample Branch, Wed-Fri 9am-4pm.</v>
      </c>
      <c r="AE815" s="64" t="str">
        <f t="shared" si="136"/>
        <v>mailto:firstname227.lastname227@example.com?subject=Supply%20order%20ready%20for%20pickup&amp;body=Dear%20PSW%2C%0A%0AYour%20order%20is%20ready%20for%20pickup%20from%20Sample%20Branch%2C%20Wed-Fri%209am-4pm.</v>
      </c>
      <c r="AF815" s="89" t="str">
        <f t="shared" si="145"/>
        <v>Draft email</v>
      </c>
      <c r="AG815" s="64" t="str">
        <f>IF($C815="","",IFERROR(INDEX('Staff Directory'!$K$595:$K$599,MATCH($C815,'Staff Directory'!$B$5:$B$599,0)),$D815))</f>
        <v>PSW</v>
      </c>
      <c r="AH815" t="str">
        <f>IF($C815="","",IFERROR(INDEX('Staff Directory'!$I$595:$I$599,MATCH($C815,'Staff Directory'!$B$5:$B$599,0))&amp;" "&amp;INDEX('Staff Directory'!$J$595:$J$599,MATCH($C815,'Staff Directory'!$B$5:$B$599,0)),$AG815))</f>
        <v>PSW</v>
      </c>
      <c r="AI815" s="102"/>
      <c r="AJ815" s="101">
        <f>IF($F815="","",SUMIFS($J$5:$J815,$F$5:$F815,$F815))</f>
        <v>6800</v>
      </c>
      <c r="AK815" s="101">
        <f t="shared" si="137"/>
        <v>6751</v>
      </c>
      <c r="AL815" s="66" t="str" cm="1">
        <f t="array" ref="AL815">IF($F815="","",IFERROR(INDEX('Lot Balance'!$B$5:$B$500,MATCH(1,INDEX(('Lot Balance'!$A$5:$A$500=$F815)*('Lot Balance'!$K$5:$K$500&lt;$AK815)*('Lot Balance'!$K$5:$K$500+'Lot Balance'!$D$5:$D$500&gt;=$AK815),0),0)),""))</f>
        <v>0125FPC24-1</v>
      </c>
      <c r="AM815" s="66" t="str" cm="1">
        <f t="array" ref="AM815">IF($F815="","",IFERROR(INDEX('Lot Balance'!$B$5:$B$500,MATCH(1,INDEX(('Lot Balance'!$A$5:$A$500=$F815)*('Lot Balance'!$K$5:$K$500&lt;$AJ815)*('Lot Balance'!$K$5:$K$500+'Lot Balance'!$D$5:$D$500&gt;=$AJ815),0),0)),""))</f>
        <v>0125FPC24-1</v>
      </c>
      <c r="AN815" s="66" t="str">
        <f>IF($F815="","",IF($AI815&lt;&gt;"",IF(COUNTIFS('Lot Balance'!$A$5:$A$500,$F815,'Lot Balance'!$B$5:$B$500,$AI815)=0,"⚠ override is not a lot of this item",IF($AI815=$AL815,"Override = FEFO","Override - FEFO says "&amp;$AL815)),IF($AL815="","⚠ no receipt on file for this item",IF($AM815&lt;&gt;$AL815,"FEFO auto - split, also "&amp;$AM815,"FEFO auto"))))</f>
        <v>FEFO auto</v>
      </c>
      <c r="AO815" s="114"/>
    </row>
    <row r="816" spans="1:41" x14ac:dyDescent="0.35">
      <c r="A816" s="74">
        <v>46164</v>
      </c>
      <c r="B816" s="18" t="str">
        <f>IF($C816="","",IFERROR(INDEX('Staff Directory'!$A$5:$A$594,MATCH($C816,'Staff Directory'!$B$5:$B$594,0)),"⚠ unknown staff"))</f>
        <v>PSW-164-A6</v>
      </c>
      <c r="C816" s="49" t="s">
        <v>1143</v>
      </c>
      <c r="D816" s="19" t="str">
        <f>IF($B816="","",IFERROR(INDEX('Staff Directory'!$C$5:$C$594,MATCH($B816,'Staff Directory'!$A$5:$A$594,0)),""))</f>
        <v>PSW</v>
      </c>
      <c r="E816" s="19" t="str">
        <f>IF($B816="","",IFERROR(INDEX('Staff Directory'!$D$5:$D$594,MATCH($B816,'Staff Directory'!$A$5:$A$594,0)),""))</f>
        <v>A6</v>
      </c>
      <c r="F816" s="9" t="s">
        <v>758</v>
      </c>
      <c r="G816" s="18" t="str">
        <f>IF($F816="","",IFERROR(INDEX(Items!$B$5:$B$597,MATCH($F816,Items!$A$5:$A$597,0)),"⚠ not in Items"))</f>
        <v>Utility</v>
      </c>
      <c r="H816" s="19" t="str">
        <f>IF($F816="","",IFERROR(INDEX(Items!$C$5:$C$597,MATCH($F816,Items!$A$5:$A$597,0)),""))</f>
        <v>Standard</v>
      </c>
      <c r="I816" s="23">
        <f>IF($F816="","",IFERROR(INDEX(Items!$E$5:$E$597,MATCH($F816,Items!$A$5:$A$597,0)),""))</f>
        <v>1</v>
      </c>
      <c r="J816" s="115">
        <f>IF(tblIssues[[#This Row],[Qty Override]]&lt;&gt;"",tblIssues[[#This Row],[Qty Override]],IF(tblIssues[[#This Row],[Standard Issue]]="","",tblIssues[[#This Row],[Standard Issue]]))</f>
        <v>1</v>
      </c>
      <c r="K816" s="20">
        <f>IF($F816="","",IFERROR(INDEX(Items!$D$5:$D$597,MATCH($F816,Items!$A$5:$A$597,0)),""))</f>
        <v>0</v>
      </c>
      <c r="L816" s="21">
        <f t="shared" si="140"/>
        <v>0</v>
      </c>
      <c r="M816" s="9" t="str">
        <f t="shared" si="138"/>
        <v/>
      </c>
      <c r="N816" s="24">
        <f>IF($A816="","",WORKDAY($A816,Settings!$C$9,HolidayDates))</f>
        <v>46174</v>
      </c>
      <c r="O816" s="24">
        <f>IF($N816="","",WORKDAY($N816,Settings!$C$10,HolidayDates))</f>
        <v>46212</v>
      </c>
      <c r="P816" s="10" t="s">
        <v>501</v>
      </c>
      <c r="Q816" s="52" t="str">
        <f t="shared" si="141"/>
        <v>Collected</v>
      </c>
      <c r="R816" s="55" t="str">
        <f t="shared" si="142"/>
        <v>2026-05</v>
      </c>
      <c r="S816" s="55">
        <f>IF(OR($B816="",$F816="",$R816=""),"",SUMIFS(tblIssues[Qty Issued],tblIssues[Staff ID],$B816,tblIssues[Item Name],$F816,tblIssues[Month],$R816))</f>
        <v>1</v>
      </c>
      <c r="T816" s="56">
        <f>IF($I816="","",$I816*Settings!$C$11)</f>
        <v>1</v>
      </c>
      <c r="U816" s="57" t="str">
        <f t="shared" si="139"/>
        <v>OK</v>
      </c>
      <c r="V816" s="55" t="str">
        <f t="shared" si="143"/>
        <v/>
      </c>
      <c r="W816" s="55" t="str">
        <f>IF($V816="","",IF(COUNTIF($V$5:$V816,$V816)=1,1,""))</f>
        <v/>
      </c>
      <c r="X816" s="58" t="str">
        <f>IF($W816="","",MAX($X$4:X815)+1)</f>
        <v/>
      </c>
      <c r="Y816" s="62"/>
      <c r="Z816" s="62"/>
      <c r="AA816" s="64" t="str">
        <f>IF($C816="","",IFERROR(INDEX('Staff Directory'!$E$5:$E$594,MATCH($C816,'Staff Directory'!$B$5:$B$594,0)),""))</f>
        <v>firstname227.lastname227@example.com</v>
      </c>
      <c r="AB816" s="64" t="str">
        <f>IF($C816="","",IF(ISNUMBER(SEARCH($D816,Settings!$C$15)),"Pickup","Dispatch"))</f>
        <v>Pickup</v>
      </c>
      <c r="AC816" s="64" t="str">
        <f t="shared" si="144"/>
        <v>Supply order ready for pickup</v>
      </c>
      <c r="AD816" s="64" t="str">
        <f t="shared" si="135"/>
        <v>Dear PSW,
Your order is ready for pickup from Sample Branch, Wed-Fri 9am-4pm.</v>
      </c>
      <c r="AE816" s="64" t="str">
        <f t="shared" si="136"/>
        <v>mailto:firstname227.lastname227@example.com?subject=Supply%20order%20ready%20for%20pickup&amp;body=Dear%20PSW%2C%0A%0AYour%20order%20is%20ready%20for%20pickup%20from%20Sample%20Branch%2C%20Wed-Fri%209am-4pm.</v>
      </c>
      <c r="AF816" s="89" t="str">
        <f t="shared" si="145"/>
        <v>Draft email</v>
      </c>
      <c r="AG816" s="64" t="str">
        <f>IF($C816="","",IFERROR(INDEX('Staff Directory'!$K$595:$K$599,MATCH($C816,'Staff Directory'!$B$5:$B$599,0)),$D816))</f>
        <v>PSW</v>
      </c>
      <c r="AH816" t="str">
        <f>IF($C816="","",IFERROR(INDEX('Staff Directory'!$I$595:$I$599,MATCH($C816,'Staff Directory'!$B$5:$B$599,0))&amp;" "&amp;INDEX('Staff Directory'!$J$595:$J$599,MATCH($C816,'Staff Directory'!$B$5:$B$599,0)),$AG816))</f>
        <v>PSW</v>
      </c>
      <c r="AI816" s="102"/>
      <c r="AJ816" s="101">
        <f>IF($F816="","",SUMIFS($J$5:$J816,$F$5:$F816,$F816))</f>
        <v>11</v>
      </c>
      <c r="AK816" s="101">
        <f t="shared" si="137"/>
        <v>11</v>
      </c>
      <c r="AL816" s="66" t="str" cm="1">
        <f t="array" ref="AL816">IF($F816="","",IFERROR(INDEX('Lot Balance'!$B$5:$B$500,MATCH(1,INDEX(('Lot Balance'!$A$5:$A$500=$F816)*('Lot Balance'!$K$5:$K$500&lt;$AK816)*('Lot Balance'!$K$5:$K$500+'Lot Balance'!$D$5:$D$500&gt;=$AK816),0),0)),""))</f>
        <v/>
      </c>
      <c r="AM816" s="66" t="str" cm="1">
        <f t="array" ref="AM816">IF($F816="","",IFERROR(INDEX('Lot Balance'!$B$5:$B$500,MATCH(1,INDEX(('Lot Balance'!$A$5:$A$500=$F816)*('Lot Balance'!$K$5:$K$500&lt;$AJ816)*('Lot Balance'!$K$5:$K$500+'Lot Balance'!$D$5:$D$500&gt;=$AJ816),0),0)),""))</f>
        <v/>
      </c>
      <c r="AN816" s="66" t="str">
        <f>IF($F816="","",IF($AI816&lt;&gt;"",IF(COUNTIFS('Lot Balance'!$A$5:$A$500,$F816,'Lot Balance'!$B$5:$B$500,$AI816)=0,"⚠ override is not a lot of this item",IF($AI816=$AL816,"Override = FEFO","Override - FEFO says "&amp;$AL816)),IF($AL816="","⚠ no receipt on file for this item",IF($AM816&lt;&gt;$AL816,"FEFO auto - split, also "&amp;$AM816,"FEFO auto"))))</f>
        <v>⚠ no receipt on file for this item</v>
      </c>
      <c r="AO816" s="114"/>
    </row>
    <row r="817" spans="1:41" x14ac:dyDescent="0.35">
      <c r="A817" s="74">
        <v>46168</v>
      </c>
      <c r="B817" s="18" t="str">
        <f>IF($C817="","",IFERROR(INDEX('Staff Directory'!$A$5:$A$594,MATCH($C817,'Staff Directory'!$B$5:$B$594,0)),"⚠ unknown staff"))</f>
        <v>PSW-157-A5</v>
      </c>
      <c r="C817" s="49" t="s">
        <v>1136</v>
      </c>
      <c r="D817" s="19" t="str">
        <f>IF($B817="","",IFERROR(INDEX('Staff Directory'!$C$5:$C$594,MATCH($B817,'Staff Directory'!$A$5:$A$594,0)),""))</f>
        <v>PSW</v>
      </c>
      <c r="E817" s="19" t="str">
        <f>IF($B817="","",IFERROR(INDEX('Staff Directory'!$D$5:$D$594,MATCH($B817,'Staff Directory'!$A$5:$A$594,0)),""))</f>
        <v>A5</v>
      </c>
      <c r="F817" s="9" t="s">
        <v>127</v>
      </c>
      <c r="G817" s="18" t="str">
        <f>IF($F817="","",IFERROR(INDEX(Items!$B$5:$B$597,MATCH($F817,Items!$A$5:$A$597,0)),"⚠ not in Items"))</f>
        <v>Gloves</v>
      </c>
      <c r="H817" s="19" t="str">
        <f>IF($F817="","",IFERROR(INDEX(Items!$C$5:$C$597,MATCH($F817,Items!$A$5:$A$597,0)),""))</f>
        <v>Medium</v>
      </c>
      <c r="I817" s="23">
        <f>IF($F817="","",IFERROR(INDEX(Items!$E$5:$E$597,MATCH($F817,Items!$A$5:$A$597,0)),""))</f>
        <v>500</v>
      </c>
      <c r="J817" s="115">
        <f>IF(tblIssues[[#This Row],[Qty Override]]&lt;&gt;"",tblIssues[[#This Row],[Qty Override]],IF(tblIssues[[#This Row],[Standard Issue]]="","",tblIssues[[#This Row],[Standard Issue]]))</f>
        <v>500</v>
      </c>
      <c r="K817" s="20">
        <f>IF($F817="","",IFERROR(INDEX(Items!$D$5:$D$597,MATCH($F817,Items!$A$5:$A$597,0)),""))</f>
        <v>5.5E-2</v>
      </c>
      <c r="L817" s="21">
        <f t="shared" si="140"/>
        <v>27.5</v>
      </c>
      <c r="M817" s="9" t="str">
        <f t="shared" si="138"/>
        <v>ZIM504126040-4</v>
      </c>
      <c r="N817" s="24">
        <f>IF($A817="","",WORKDAY($A817,Settings!$C$9,HolidayDates))</f>
        <v>46176</v>
      </c>
      <c r="O817" s="24">
        <f>IF($N817="","",WORKDAY($N817,Settings!$C$10,HolidayDates))</f>
        <v>46216</v>
      </c>
      <c r="P817" s="10" t="s">
        <v>501</v>
      </c>
      <c r="Q817" s="52" t="str">
        <f t="shared" si="141"/>
        <v>Collected</v>
      </c>
      <c r="R817" s="55" t="str">
        <f t="shared" si="142"/>
        <v>2026-05</v>
      </c>
      <c r="S817" s="55">
        <f>IF(OR($B817="",$F817="",$R817=""),"",SUMIFS(tblIssues[Qty Issued],tblIssues[Staff ID],$B817,tblIssues[Item Name],$F817,tblIssues[Month],$R817))</f>
        <v>500</v>
      </c>
      <c r="T817" s="56">
        <f>IF($I817="","",$I817*Settings!$C$11)</f>
        <v>500</v>
      </c>
      <c r="U817" s="57" t="str">
        <f t="shared" si="139"/>
        <v>OK</v>
      </c>
      <c r="V817" s="55" t="str">
        <f t="shared" si="143"/>
        <v/>
      </c>
      <c r="W817" s="55" t="str">
        <f>IF($V817="","",IF(COUNTIF($V$5:$V817,$V817)=1,1,""))</f>
        <v/>
      </c>
      <c r="X817" s="58" t="str">
        <f>IF($W817="","",MAX($X$4:X816)+1)</f>
        <v/>
      </c>
      <c r="Y817" s="62"/>
      <c r="Z817" s="62"/>
      <c r="AA817" s="64" t="str">
        <f>IF($C817="","",IFERROR(INDEX('Staff Directory'!$E$5:$E$594,MATCH($C817,'Staff Directory'!$B$5:$B$594,0)),""))</f>
        <v>firstname220.lastname220@example.com</v>
      </c>
      <c r="AB817" s="64" t="str">
        <f>IF($C817="","",IF(ISNUMBER(SEARCH($D817,Settings!$C$15)),"Pickup","Dispatch"))</f>
        <v>Pickup</v>
      </c>
      <c r="AC817" s="64" t="str">
        <f t="shared" si="144"/>
        <v>Supply order ready for pickup</v>
      </c>
      <c r="AD817" s="64" t="str">
        <f t="shared" si="135"/>
        <v>Dear PSW,
Your order is ready for pickup from Sample Branch, Wed-Fri 9am-4pm.</v>
      </c>
      <c r="AE817" s="64" t="str">
        <f t="shared" si="136"/>
        <v>mailto:firstname220.lastname220@example.com?subject=Supply%20order%20ready%20for%20pickup&amp;body=Dear%20PSW%2C%0A%0AYour%20order%20is%20ready%20for%20pickup%20from%20Sample%20Branch%2C%20Wed-Fri%209am-4pm.</v>
      </c>
      <c r="AF817" s="89" t="str">
        <f t="shared" si="145"/>
        <v>Draft email</v>
      </c>
      <c r="AG817" s="64" t="str">
        <f>IF($C817="","",IFERROR(INDEX('Staff Directory'!$K$595:$K$599,MATCH($C817,'Staff Directory'!$B$5:$B$599,0)),$D817))</f>
        <v>PSW</v>
      </c>
      <c r="AH817" t="str">
        <f>IF($C817="","",IFERROR(INDEX('Staff Directory'!$I$595:$I$599,MATCH($C817,'Staff Directory'!$B$5:$B$599,0))&amp;" "&amp;INDEX('Staff Directory'!$J$595:$J$599,MATCH($C817,'Staff Directory'!$B$5:$B$599,0)),$AG817))</f>
        <v>PSW</v>
      </c>
      <c r="AI817" s="102"/>
      <c r="AJ817" s="101">
        <f>IF($F817="","",SUMIFS($J$5:$J817,$F$5:$F817,$F817))</f>
        <v>48500</v>
      </c>
      <c r="AK817" s="101">
        <f t="shared" si="137"/>
        <v>48001</v>
      </c>
      <c r="AL817" s="66" t="str" cm="1">
        <f t="array" ref="AL817">IF($F817="","",IFERROR(INDEX('Lot Balance'!$B$5:$B$500,MATCH(1,INDEX(('Lot Balance'!$A$5:$A$500=$F817)*('Lot Balance'!$K$5:$K$500&lt;$AK817)*('Lot Balance'!$K$5:$K$500+'Lot Balance'!$D$5:$D$500&gt;=$AK817),0),0)),""))</f>
        <v>ZIM504126040-4</v>
      </c>
      <c r="AM817" s="66" t="str" cm="1">
        <f t="array" ref="AM817">IF($F817="","",IFERROR(INDEX('Lot Balance'!$B$5:$B$500,MATCH(1,INDEX(('Lot Balance'!$A$5:$A$500=$F817)*('Lot Balance'!$K$5:$K$500&lt;$AJ817)*('Lot Balance'!$K$5:$K$500+'Lot Balance'!$D$5:$D$500&gt;=$AJ817),0),0)),""))</f>
        <v>ZIM504126040-4</v>
      </c>
      <c r="AN817" s="66" t="str">
        <f>IF($F817="","",IF($AI817&lt;&gt;"",IF(COUNTIFS('Lot Balance'!$A$5:$A$500,$F817,'Lot Balance'!$B$5:$B$500,$AI817)=0,"⚠ override is not a lot of this item",IF($AI817=$AL817,"Override = FEFO","Override - FEFO says "&amp;$AL817)),IF($AL817="","⚠ no receipt on file for this item",IF($AM817&lt;&gt;$AL817,"FEFO auto - split, also "&amp;$AM817,"FEFO auto"))))</f>
        <v>FEFO auto</v>
      </c>
      <c r="AO817" s="114"/>
    </row>
    <row r="818" spans="1:41" x14ac:dyDescent="0.35">
      <c r="A818" s="74">
        <v>46168</v>
      </c>
      <c r="B818" s="18" t="str">
        <f>IF($C818="","",IFERROR(INDEX('Staff Directory'!$A$5:$A$594,MATCH($C818,'Staff Directory'!$B$5:$B$594,0)),"⚠ unknown staff"))</f>
        <v>PSW-157-A5</v>
      </c>
      <c r="C818" s="49" t="s">
        <v>1136</v>
      </c>
      <c r="D818" s="19" t="str">
        <f>IF($B818="","",IFERROR(INDEX('Staff Directory'!$C$5:$C$594,MATCH($B818,'Staff Directory'!$A$5:$A$594,0)),""))</f>
        <v>PSW</v>
      </c>
      <c r="E818" s="19" t="str">
        <f>IF($B818="","",IFERROR(INDEX('Staff Directory'!$D$5:$D$594,MATCH($B818,'Staff Directory'!$A$5:$A$594,0)),""))</f>
        <v>A5</v>
      </c>
      <c r="F818" s="9" t="s">
        <v>191</v>
      </c>
      <c r="G818" s="18" t="str">
        <f>IF($F818="","",IFERROR(INDEX(Items!$B$5:$B$597,MATCH($F818,Items!$A$5:$A$597,0)),"⚠ not in Items"))</f>
        <v>Sanitizer</v>
      </c>
      <c r="H818" s="19" t="str">
        <f>IF($F818="","",IFERROR(INDEX(Items!$C$5:$C$597,MATCH($F818,Items!$A$5:$A$597,0)),""))</f>
        <v>236 ML</v>
      </c>
      <c r="I818" s="23">
        <f>IF($F818="","",IFERROR(INDEX(Items!$E$5:$E$597,MATCH($F818,Items!$A$5:$A$597,0)),""))</f>
        <v>1</v>
      </c>
      <c r="J818" s="115">
        <f>IF(tblIssues[[#This Row],[Qty Override]]&lt;&gt;"",tblIssues[[#This Row],[Qty Override]],IF(tblIssues[[#This Row],[Standard Issue]]="","",tblIssues[[#This Row],[Standard Issue]]))</f>
        <v>1</v>
      </c>
      <c r="K818" s="20">
        <f>IF($F818="","",IFERROR(INDEX(Items!$D$5:$D$597,MATCH($F818,Items!$A$5:$A$597,0)),""))</f>
        <v>1E-4</v>
      </c>
      <c r="L818" s="21">
        <f t="shared" si="140"/>
        <v>1E-4</v>
      </c>
      <c r="M818" s="9" t="str">
        <f t="shared" si="138"/>
        <v>20-21734-4</v>
      </c>
      <c r="N818" s="24">
        <f>IF($A818="","",WORKDAY($A818,Settings!$C$9,HolidayDates))</f>
        <v>46176</v>
      </c>
      <c r="O818" s="24">
        <f>IF($N818="","",WORKDAY($N818,Settings!$C$10,HolidayDates))</f>
        <v>46216</v>
      </c>
      <c r="P818" s="10" t="s">
        <v>501</v>
      </c>
      <c r="Q818" s="52" t="str">
        <f t="shared" si="141"/>
        <v>Collected</v>
      </c>
      <c r="R818" s="55" t="str">
        <f t="shared" si="142"/>
        <v>2026-05</v>
      </c>
      <c r="S818" s="55">
        <f>IF(OR($B818="",$F818="",$R818=""),"",SUMIFS(tblIssues[Qty Issued],tblIssues[Staff ID],$B818,tblIssues[Item Name],$F818,tblIssues[Month],$R818))</f>
        <v>1</v>
      </c>
      <c r="T818" s="56">
        <f>IF($I818="","",$I818*Settings!$C$11)</f>
        <v>1</v>
      </c>
      <c r="U818" s="57" t="str">
        <f t="shared" si="139"/>
        <v>OK</v>
      </c>
      <c r="V818" s="55" t="str">
        <f t="shared" si="143"/>
        <v/>
      </c>
      <c r="W818" s="55" t="str">
        <f>IF($V818="","",IF(COUNTIF($V$5:$V818,$V818)=1,1,""))</f>
        <v/>
      </c>
      <c r="X818" s="58" t="str">
        <f>IF($W818="","",MAX($X$4:X817)+1)</f>
        <v/>
      </c>
      <c r="Y818" s="62"/>
      <c r="Z818" s="62"/>
      <c r="AA818" s="64" t="str">
        <f>IF($C818="","",IFERROR(INDEX('Staff Directory'!$E$5:$E$594,MATCH($C818,'Staff Directory'!$B$5:$B$594,0)),""))</f>
        <v>firstname220.lastname220@example.com</v>
      </c>
      <c r="AB818" s="64" t="str">
        <f>IF($C818="","",IF(ISNUMBER(SEARCH($D818,Settings!$C$15)),"Pickup","Dispatch"))</f>
        <v>Pickup</v>
      </c>
      <c r="AC818" s="64" t="str">
        <f t="shared" si="144"/>
        <v>Supply order ready for pickup</v>
      </c>
      <c r="AD818" s="64" t="str">
        <f t="shared" si="135"/>
        <v>Dear PSW,
Your order is ready for pickup from Sample Branch, Wed-Fri 9am-4pm.</v>
      </c>
      <c r="AE818" s="64" t="str">
        <f t="shared" si="136"/>
        <v>mailto:firstname220.lastname220@example.com?subject=Supply%20order%20ready%20for%20pickup&amp;body=Dear%20PSW%2C%0A%0AYour%20order%20is%20ready%20for%20pickup%20from%20Sample%20Branch%2C%20Wed-Fri%209am-4pm.</v>
      </c>
      <c r="AF818" s="89" t="str">
        <f t="shared" si="145"/>
        <v>Draft email</v>
      </c>
      <c r="AG818" s="64" t="str">
        <f>IF($C818="","",IFERROR(INDEX('Staff Directory'!$K$595:$K$599,MATCH($C818,'Staff Directory'!$B$5:$B$599,0)),$D818))</f>
        <v>PSW</v>
      </c>
      <c r="AH818" t="str">
        <f>IF($C818="","",IFERROR(INDEX('Staff Directory'!$I$595:$I$599,MATCH($C818,'Staff Directory'!$B$5:$B$599,0))&amp;" "&amp;INDEX('Staff Directory'!$J$595:$J$599,MATCH($C818,'Staff Directory'!$B$5:$B$599,0)),$AG818))</f>
        <v>PSW</v>
      </c>
      <c r="AI818" s="102"/>
      <c r="AJ818" s="101">
        <f>IF($F818="","",SUMIFS($J$5:$J818,$F$5:$F818,$F818))</f>
        <v>102</v>
      </c>
      <c r="AK818" s="101">
        <f t="shared" si="137"/>
        <v>102</v>
      </c>
      <c r="AL818" s="66" t="str" cm="1">
        <f t="array" ref="AL818">IF($F818="","",IFERROR(INDEX('Lot Balance'!$B$5:$B$500,MATCH(1,INDEX(('Lot Balance'!$A$5:$A$500=$F818)*('Lot Balance'!$K$5:$K$500&lt;$AK818)*('Lot Balance'!$K$5:$K$500+'Lot Balance'!$D$5:$D$500&gt;=$AK818),0),0)),""))</f>
        <v>20-21734-4</v>
      </c>
      <c r="AM818" s="66" t="str" cm="1">
        <f t="array" ref="AM818">IF($F818="","",IFERROR(INDEX('Lot Balance'!$B$5:$B$500,MATCH(1,INDEX(('Lot Balance'!$A$5:$A$500=$F818)*('Lot Balance'!$K$5:$K$500&lt;$AJ818)*('Lot Balance'!$K$5:$K$500+'Lot Balance'!$D$5:$D$500&gt;=$AJ818),0),0)),""))</f>
        <v>20-21734-4</v>
      </c>
      <c r="AN818" s="66" t="str">
        <f>IF($F818="","",IF($AI818&lt;&gt;"",IF(COUNTIFS('Lot Balance'!$A$5:$A$500,$F818,'Lot Balance'!$B$5:$B$500,$AI818)=0,"⚠ override is not a lot of this item",IF($AI818=$AL818,"Override = FEFO","Override - FEFO says "&amp;$AL818)),IF($AL818="","⚠ no receipt on file for this item",IF($AM818&lt;&gt;$AL818,"FEFO auto - split, also "&amp;$AM818,"FEFO auto"))))</f>
        <v>FEFO auto</v>
      </c>
      <c r="AO818" s="114"/>
    </row>
    <row r="819" spans="1:41" x14ac:dyDescent="0.35">
      <c r="A819" s="74">
        <v>46168</v>
      </c>
      <c r="B819" s="18" t="str">
        <f>IF($C819="","",IFERROR(INDEX('Staff Directory'!$A$5:$A$594,MATCH($C819,'Staff Directory'!$B$5:$B$594,0)),"⚠ unknown staff"))</f>
        <v>PSW-157-A5</v>
      </c>
      <c r="C819" s="49" t="s">
        <v>1136</v>
      </c>
      <c r="D819" s="19" t="str">
        <f>IF($B819="","",IFERROR(INDEX('Staff Directory'!$C$5:$C$594,MATCH($B819,'Staff Directory'!$A$5:$A$594,0)),""))</f>
        <v>PSW</v>
      </c>
      <c r="E819" s="19" t="str">
        <f>IF($B819="","",IFERROR(INDEX('Staff Directory'!$D$5:$D$594,MATCH($B819,'Staff Directory'!$A$5:$A$594,0)),""))</f>
        <v>A5</v>
      </c>
      <c r="F819" s="9" t="s">
        <v>115</v>
      </c>
      <c r="G819" s="18" t="str">
        <f>IF($F819="","",IFERROR(INDEX(Items!$B$5:$B$597,MATCH($F819,Items!$A$5:$A$597,0)),"⚠ not in Items"))</f>
        <v>Wipes</v>
      </c>
      <c r="H819" s="19">
        <f>IF($F819="","",IFERROR(INDEX(Items!$C$5:$C$597,MATCH($F819,Items!$A$5:$A$597,0)),""))</f>
        <v>80</v>
      </c>
      <c r="I819" s="23">
        <f>IF($F819="","",IFERROR(INDEX(Items!$E$5:$E$597,MATCH($F819,Items!$A$5:$A$597,0)),""))</f>
        <v>80</v>
      </c>
      <c r="J819" s="115">
        <f>IF(tblIssues[[#This Row],[Qty Override]]&lt;&gt;"",tblIssues[[#This Row],[Qty Override]],IF(tblIssues[[#This Row],[Standard Issue]]="","",tblIssues[[#This Row],[Standard Issue]]))</f>
        <v>80</v>
      </c>
      <c r="K819" s="20">
        <f>IF($F819="","",IFERROR(INDEX(Items!$D$5:$D$597,MATCH($F819,Items!$A$5:$A$597,0)),""))</f>
        <v>0.1</v>
      </c>
      <c r="L819" s="21">
        <f t="shared" si="140"/>
        <v>8</v>
      </c>
      <c r="M819" s="9" t="str">
        <f t="shared" si="138"/>
        <v>LYSL500290</v>
      </c>
      <c r="N819" s="24">
        <f>IF($A819="","",WORKDAY($A819,Settings!$C$9,HolidayDates))</f>
        <v>46176</v>
      </c>
      <c r="O819" s="24">
        <f>IF($N819="","",WORKDAY($N819,Settings!$C$10,HolidayDates))</f>
        <v>46216</v>
      </c>
      <c r="P819" s="10" t="s">
        <v>501</v>
      </c>
      <c r="Q819" s="52" t="str">
        <f t="shared" si="141"/>
        <v>Collected</v>
      </c>
      <c r="R819" s="55" t="str">
        <f t="shared" si="142"/>
        <v>2026-05</v>
      </c>
      <c r="S819" s="55">
        <f>IF(OR($B819="",$F819="",$R819=""),"",SUMIFS(tblIssues[Qty Issued],tblIssues[Staff ID],$B819,tblIssues[Item Name],$F819,tblIssues[Month],$R819))</f>
        <v>80</v>
      </c>
      <c r="T819" s="56">
        <f>IF($I819="","",$I819*Settings!$C$11)</f>
        <v>80</v>
      </c>
      <c r="U819" s="57" t="str">
        <f t="shared" si="139"/>
        <v>OK</v>
      </c>
      <c r="V819" s="55" t="str">
        <f t="shared" si="143"/>
        <v/>
      </c>
      <c r="W819" s="55" t="str">
        <f>IF($V819="","",IF(COUNTIF($V$5:$V819,$V819)=1,1,""))</f>
        <v/>
      </c>
      <c r="X819" s="58" t="str">
        <f>IF($W819="","",MAX($X$4:X818)+1)</f>
        <v/>
      </c>
      <c r="Y819" s="62"/>
      <c r="Z819" s="62"/>
      <c r="AA819" s="64" t="str">
        <f>IF($C819="","",IFERROR(INDEX('Staff Directory'!$E$5:$E$594,MATCH($C819,'Staff Directory'!$B$5:$B$594,0)),""))</f>
        <v>firstname220.lastname220@example.com</v>
      </c>
      <c r="AB819" s="64" t="str">
        <f>IF($C819="","",IF(ISNUMBER(SEARCH($D819,Settings!$C$15)),"Pickup","Dispatch"))</f>
        <v>Pickup</v>
      </c>
      <c r="AC819" s="64" t="str">
        <f t="shared" si="144"/>
        <v>Supply order ready for pickup</v>
      </c>
      <c r="AD819" s="64" t="str">
        <f t="shared" si="135"/>
        <v>Dear PSW,
Your order is ready for pickup from Sample Branch, Wed-Fri 9am-4pm.</v>
      </c>
      <c r="AE819" s="64" t="str">
        <f t="shared" si="136"/>
        <v>mailto:firstname220.lastname220@example.com?subject=Supply%20order%20ready%20for%20pickup&amp;body=Dear%20PSW%2C%0A%0AYour%20order%20is%20ready%20for%20pickup%20from%20Sample%20Branch%2C%20Wed-Fri%209am-4pm.</v>
      </c>
      <c r="AF819" s="89" t="str">
        <f t="shared" si="145"/>
        <v>Draft email</v>
      </c>
      <c r="AG819" s="64" t="str">
        <f>IF($C819="","",IFERROR(INDEX('Staff Directory'!$K$595:$K$599,MATCH($C819,'Staff Directory'!$B$5:$B$599,0)),$D819))</f>
        <v>PSW</v>
      </c>
      <c r="AH819" t="str">
        <f>IF($C819="","",IFERROR(INDEX('Staff Directory'!$I$595:$I$599,MATCH($C819,'Staff Directory'!$B$5:$B$599,0))&amp;" "&amp;INDEX('Staff Directory'!$J$595:$J$599,MATCH($C819,'Staff Directory'!$B$5:$B$599,0)),$AG819))</f>
        <v>PSW</v>
      </c>
      <c r="AI819" s="102"/>
      <c r="AJ819" s="101">
        <f>IF($F819="","",SUMIFS($J$5:$J819,$F$5:$F819,$F819))</f>
        <v>11280</v>
      </c>
      <c r="AK819" s="101">
        <f t="shared" si="137"/>
        <v>11201</v>
      </c>
      <c r="AL819" s="66" t="str" cm="1">
        <f t="array" ref="AL819">IF($F819="","",IFERROR(INDEX('Lot Balance'!$B$5:$B$500,MATCH(1,INDEX(('Lot Balance'!$A$5:$A$500=$F819)*('Lot Balance'!$K$5:$K$500&lt;$AK819)*('Lot Balance'!$K$5:$K$500+'Lot Balance'!$D$5:$D$500&gt;=$AK819),0),0)),""))</f>
        <v>LYSL500290</v>
      </c>
      <c r="AM819" s="66" t="str" cm="1">
        <f t="array" ref="AM819">IF($F819="","",IFERROR(INDEX('Lot Balance'!$B$5:$B$500,MATCH(1,INDEX(('Lot Balance'!$A$5:$A$500=$F819)*('Lot Balance'!$K$5:$K$500&lt;$AJ819)*('Lot Balance'!$K$5:$K$500+'Lot Balance'!$D$5:$D$500&gt;=$AJ819),0),0)),""))</f>
        <v>LYSL500290</v>
      </c>
      <c r="AN819" s="66" t="str">
        <f>IF($F819="","",IF($AI819&lt;&gt;"",IF(COUNTIFS('Lot Balance'!$A$5:$A$500,$F819,'Lot Balance'!$B$5:$B$500,$AI819)=0,"⚠ override is not a lot of this item",IF($AI819=$AL819,"Override = FEFO","Override - FEFO says "&amp;$AL819)),IF($AL819="","⚠ no receipt on file for this item",IF($AM819&lt;&gt;$AL819,"FEFO auto - split, also "&amp;$AM819,"FEFO auto"))))</f>
        <v>FEFO auto</v>
      </c>
      <c r="AO819" s="114"/>
    </row>
    <row r="820" spans="1:41" x14ac:dyDescent="0.35">
      <c r="A820" s="74">
        <v>46168</v>
      </c>
      <c r="B820" s="18" t="str">
        <f>IF($C820="","",IFERROR(INDEX('Staff Directory'!$A$5:$A$594,MATCH($C820,'Staff Directory'!$B$5:$B$594,0)),"⚠ unknown staff"))</f>
        <v>PSW-157-A5</v>
      </c>
      <c r="C820" s="49" t="s">
        <v>1136</v>
      </c>
      <c r="D820" s="19" t="str">
        <f>IF($B820="","",IFERROR(INDEX('Staff Directory'!$C$5:$C$594,MATCH($B820,'Staff Directory'!$A$5:$A$594,0)),""))</f>
        <v>PSW</v>
      </c>
      <c r="E820" s="19" t="str">
        <f>IF($B820="","",IFERROR(INDEX('Staff Directory'!$D$5:$D$594,MATCH($B820,'Staff Directory'!$A$5:$A$594,0)),""))</f>
        <v>A5</v>
      </c>
      <c r="F820" s="9" t="s">
        <v>156</v>
      </c>
      <c r="G820" s="18" t="str">
        <f>IF($F820="","",IFERROR(INDEX(Items!$B$5:$B$597,MATCH($F820,Items!$A$5:$A$597,0)),"⚠ not in Items"))</f>
        <v>Masks</v>
      </c>
      <c r="H820" s="19" t="str">
        <f>IF($F820="","",IFERROR(INDEX(Items!$C$5:$C$597,MATCH($F820,Items!$A$5:$A$597,0)),""))</f>
        <v>One Size</v>
      </c>
      <c r="I820" s="23">
        <f>IF($F820="","",IFERROR(INDEX(Items!$E$5:$E$597,MATCH($F820,Items!$A$5:$A$597,0)),""))</f>
        <v>50</v>
      </c>
      <c r="J820" s="115">
        <f>IF(tblIssues[[#This Row],[Qty Override]]&lt;&gt;"",tblIssues[[#This Row],[Qty Override]],IF(tblIssues[[#This Row],[Standard Issue]]="","",tblIssues[[#This Row],[Standard Issue]]))</f>
        <v>50</v>
      </c>
      <c r="K820" s="20">
        <f>IF($F820="","",IFERROR(INDEX(Items!$D$5:$D$597,MATCH($F820,Items!$A$5:$A$597,0)),""))</f>
        <v>0.25</v>
      </c>
      <c r="L820" s="21">
        <f t="shared" si="140"/>
        <v>12.5</v>
      </c>
      <c r="M820" s="9" t="str">
        <f t="shared" si="138"/>
        <v>0125FPC24-1</v>
      </c>
      <c r="N820" s="24">
        <f>IF($A820="","",WORKDAY($A820,Settings!$C$9,HolidayDates))</f>
        <v>46176</v>
      </c>
      <c r="O820" s="24">
        <f>IF($N820="","",WORKDAY($N820,Settings!$C$10,HolidayDates))</f>
        <v>46216</v>
      </c>
      <c r="P820" s="10" t="s">
        <v>501</v>
      </c>
      <c r="Q820" s="52" t="str">
        <f t="shared" si="141"/>
        <v>Collected</v>
      </c>
      <c r="R820" s="55" t="str">
        <f t="shared" si="142"/>
        <v>2026-05</v>
      </c>
      <c r="S820" s="55">
        <f>IF(OR($B820="",$F820="",$R820=""),"",SUMIFS(tblIssues[Qty Issued],tblIssues[Staff ID],$B820,tblIssues[Item Name],$F820,tblIssues[Month],$R820))</f>
        <v>50</v>
      </c>
      <c r="T820" s="56">
        <f>IF($I820="","",$I820*Settings!$C$11)</f>
        <v>50</v>
      </c>
      <c r="U820" s="57" t="str">
        <f t="shared" si="139"/>
        <v>OK</v>
      </c>
      <c r="V820" s="55" t="str">
        <f t="shared" si="143"/>
        <v/>
      </c>
      <c r="W820" s="55" t="str">
        <f>IF($V820="","",IF(COUNTIF($V$5:$V820,$V820)=1,1,""))</f>
        <v/>
      </c>
      <c r="X820" s="58" t="str">
        <f>IF($W820="","",MAX($X$4:X819)+1)</f>
        <v/>
      </c>
      <c r="Y820" s="62"/>
      <c r="Z820" s="62"/>
      <c r="AA820" s="64" t="str">
        <f>IF($C820="","",IFERROR(INDEX('Staff Directory'!$E$5:$E$594,MATCH($C820,'Staff Directory'!$B$5:$B$594,0)),""))</f>
        <v>firstname220.lastname220@example.com</v>
      </c>
      <c r="AB820" s="64" t="str">
        <f>IF($C820="","",IF(ISNUMBER(SEARCH($D820,Settings!$C$15)),"Pickup","Dispatch"))</f>
        <v>Pickup</v>
      </c>
      <c r="AC820" s="64" t="str">
        <f t="shared" si="144"/>
        <v>Supply order ready for pickup</v>
      </c>
      <c r="AD820" s="64" t="str">
        <f t="shared" si="135"/>
        <v>Dear PSW,
Your order is ready for pickup from Sample Branch, Wed-Fri 9am-4pm.</v>
      </c>
      <c r="AE820" s="64" t="str">
        <f t="shared" si="136"/>
        <v>mailto:firstname220.lastname220@example.com?subject=Supply%20order%20ready%20for%20pickup&amp;body=Dear%20PSW%2C%0A%0AYour%20order%20is%20ready%20for%20pickup%20from%20Sample%20Branch%2C%20Wed-Fri%209am-4pm.</v>
      </c>
      <c r="AF820" s="89" t="str">
        <f t="shared" si="145"/>
        <v>Draft email</v>
      </c>
      <c r="AG820" s="64" t="str">
        <f>IF($C820="","",IFERROR(INDEX('Staff Directory'!$K$595:$K$599,MATCH($C820,'Staff Directory'!$B$5:$B$599,0)),$D820))</f>
        <v>PSW</v>
      </c>
      <c r="AH820" t="str">
        <f>IF($C820="","",IFERROR(INDEX('Staff Directory'!$I$595:$I$599,MATCH($C820,'Staff Directory'!$B$5:$B$599,0))&amp;" "&amp;INDEX('Staff Directory'!$J$595:$J$599,MATCH($C820,'Staff Directory'!$B$5:$B$599,0)),$AG820))</f>
        <v>PSW</v>
      </c>
      <c r="AI820" s="102"/>
      <c r="AJ820" s="101">
        <f>IF($F820="","",SUMIFS($J$5:$J820,$F$5:$F820,$F820))</f>
        <v>6850</v>
      </c>
      <c r="AK820" s="101">
        <f t="shared" si="137"/>
        <v>6801</v>
      </c>
      <c r="AL820" s="66" t="str" cm="1">
        <f t="array" ref="AL820">IF($F820="","",IFERROR(INDEX('Lot Balance'!$B$5:$B$500,MATCH(1,INDEX(('Lot Balance'!$A$5:$A$500=$F820)*('Lot Balance'!$K$5:$K$500&lt;$AK820)*('Lot Balance'!$K$5:$K$500+'Lot Balance'!$D$5:$D$500&gt;=$AK820),0),0)),""))</f>
        <v>0125FPC24-1</v>
      </c>
      <c r="AM820" s="66" t="str" cm="1">
        <f t="array" ref="AM820">IF($F820="","",IFERROR(INDEX('Lot Balance'!$B$5:$B$500,MATCH(1,INDEX(('Lot Balance'!$A$5:$A$500=$F820)*('Lot Balance'!$K$5:$K$500&lt;$AJ820)*('Lot Balance'!$K$5:$K$500+'Lot Balance'!$D$5:$D$500&gt;=$AJ820),0),0)),""))</f>
        <v>0125FPC24-1</v>
      </c>
      <c r="AN820" s="66" t="str">
        <f>IF($F820="","",IF($AI820&lt;&gt;"",IF(COUNTIFS('Lot Balance'!$A$5:$A$500,$F820,'Lot Balance'!$B$5:$B$500,$AI820)=0,"⚠ override is not a lot of this item",IF($AI820=$AL820,"Override = FEFO","Override - FEFO says "&amp;$AL820)),IF($AL820="","⚠ no receipt on file for this item",IF($AM820&lt;&gt;$AL820,"FEFO auto - split, also "&amp;$AM820,"FEFO auto"))))</f>
        <v>FEFO auto</v>
      </c>
      <c r="AO820" s="114"/>
    </row>
    <row r="821" spans="1:41" x14ac:dyDescent="0.35">
      <c r="A821" s="74">
        <v>46168</v>
      </c>
      <c r="B821" s="18" t="str">
        <f>IF($C821="","",IFERROR(INDEX('Staff Directory'!$A$5:$A$594,MATCH($C821,'Staff Directory'!$B$5:$B$594,0)),"⚠ unknown staff"))</f>
        <v>PSW-135-A5</v>
      </c>
      <c r="C821" s="49" t="s">
        <v>1114</v>
      </c>
      <c r="D821" s="19" t="str">
        <f>IF($B821="","",IFERROR(INDEX('Staff Directory'!$C$5:$C$594,MATCH($B821,'Staff Directory'!$A$5:$A$594,0)),""))</f>
        <v>PSW</v>
      </c>
      <c r="E821" s="19" t="str">
        <f>IF($B821="","",IFERROR(INDEX('Staff Directory'!$D$5:$D$594,MATCH($B821,'Staff Directory'!$A$5:$A$594,0)),""))</f>
        <v>A5</v>
      </c>
      <c r="F821" s="9" t="s">
        <v>124</v>
      </c>
      <c r="G821" s="18" t="str">
        <f>IF($F821="","",IFERROR(INDEX(Items!$B$5:$B$597,MATCH($F821,Items!$A$5:$A$597,0)),"⚠ not in Items"))</f>
        <v>Gloves</v>
      </c>
      <c r="H821" s="19" t="str">
        <f>IF($F821="","",IFERROR(INDEX(Items!$C$5:$C$597,MATCH($F821,Items!$A$5:$A$597,0)),""))</f>
        <v>Large</v>
      </c>
      <c r="I821" s="23">
        <f>IF($F821="","",IFERROR(INDEX(Items!$E$5:$E$597,MATCH($F821,Items!$A$5:$A$597,0)),""))</f>
        <v>500</v>
      </c>
      <c r="J821" s="115">
        <f>IF(tblIssues[[#This Row],[Qty Override]]&lt;&gt;"",tblIssues[[#This Row],[Qty Override]],IF(tblIssues[[#This Row],[Standard Issue]]="","",tblIssues[[#This Row],[Standard Issue]]))</f>
        <v>500</v>
      </c>
      <c r="K821" s="20">
        <f>IF($F821="","",IFERROR(INDEX(Items!$D$5:$D$597,MATCH($F821,Items!$A$5:$A$597,0)),""))</f>
        <v>5.5E-2</v>
      </c>
      <c r="L821" s="21">
        <f t="shared" si="140"/>
        <v>27.5</v>
      </c>
      <c r="M821" s="9" t="str">
        <f t="shared" si="138"/>
        <v>0417HIC25-1</v>
      </c>
      <c r="N821" s="24">
        <f>IF($A821="","",WORKDAY($A821,Settings!$C$9,HolidayDates))</f>
        <v>46176</v>
      </c>
      <c r="O821" s="24">
        <f>IF($N821="","",WORKDAY($N821,Settings!$C$10,HolidayDates))</f>
        <v>46216</v>
      </c>
      <c r="P821" s="10" t="s">
        <v>501</v>
      </c>
      <c r="Q821" s="52" t="str">
        <f t="shared" si="141"/>
        <v>Collected</v>
      </c>
      <c r="R821" s="55" t="str">
        <f t="shared" si="142"/>
        <v>2026-05</v>
      </c>
      <c r="S821" s="55">
        <f>IF(OR($B821="",$F821="",$R821=""),"",SUMIFS(tblIssues[Qty Issued],tblIssues[Staff ID],$B821,tblIssues[Item Name],$F821,tblIssues[Month],$R821))</f>
        <v>1500</v>
      </c>
      <c r="T821" s="56">
        <f>IF($I821="","",$I821*Settings!$C$11)</f>
        <v>500</v>
      </c>
      <c r="U821" s="57" t="str">
        <f t="shared" si="139"/>
        <v>⚠ OVER QUOTA</v>
      </c>
      <c r="V821" s="55" t="str">
        <f t="shared" si="143"/>
        <v>PSW-135-A5 | Gloves - Large | 2026-05</v>
      </c>
      <c r="W821" s="55">
        <f>IF($V821="","",IF(COUNTIF($V$5:$V821,$V821)=1,1,""))</f>
        <v>1</v>
      </c>
      <c r="X821" s="58">
        <f>IF($W821="","",MAX($X$4:X820)+1)</f>
        <v>20</v>
      </c>
      <c r="Y821" s="62"/>
      <c r="Z821" s="62"/>
      <c r="AA821" s="64" t="str">
        <f>IF($C821="","",IFERROR(INDEX('Staff Directory'!$E$5:$E$594,MATCH($C821,'Staff Directory'!$B$5:$B$594,0)),""))</f>
        <v>firstname198.lastname198@example.com</v>
      </c>
      <c r="AB821" s="64" t="str">
        <f>IF($C821="","",IF(ISNUMBER(SEARCH($D821,Settings!$C$15)),"Pickup","Dispatch"))</f>
        <v>Pickup</v>
      </c>
      <c r="AC821" s="64" t="str">
        <f t="shared" si="144"/>
        <v>Supply order ready for pickup</v>
      </c>
      <c r="AD821" s="64" t="str">
        <f t="shared" si="135"/>
        <v>Dear PSW,
Your order is ready for pickup from Sample Branch, Wed-Fri 9am-4pm.</v>
      </c>
      <c r="AE821" s="64" t="str">
        <f t="shared" si="136"/>
        <v>mailto:firstname198.lastname198@example.com?subject=Supply%20order%20ready%20for%20pickup&amp;body=Dear%20PSW%2C%0A%0AYour%20order%20is%20ready%20for%20pickup%20from%20Sample%20Branch%2C%20Wed-Fri%209am-4pm.</v>
      </c>
      <c r="AF821" s="89" t="str">
        <f t="shared" si="145"/>
        <v>Draft email</v>
      </c>
      <c r="AG821" s="64" t="str">
        <f>IF($C821="","",IFERROR(INDEX('Staff Directory'!$K$595:$K$599,MATCH($C821,'Staff Directory'!$B$5:$B$599,0)),$D821))</f>
        <v>PSW</v>
      </c>
      <c r="AH821" t="str">
        <f>IF($C821="","",IFERROR(INDEX('Staff Directory'!$I$595:$I$599,MATCH($C821,'Staff Directory'!$B$5:$B$599,0))&amp;" "&amp;INDEX('Staff Directory'!$J$595:$J$599,MATCH($C821,'Staff Directory'!$B$5:$B$599,0)),$AG821))</f>
        <v>PSW</v>
      </c>
      <c r="AI821" s="102"/>
      <c r="AJ821" s="101">
        <f>IF($F821="","",SUMIFS($J$5:$J821,$F$5:$F821,$F821))</f>
        <v>21000</v>
      </c>
      <c r="AK821" s="101">
        <f t="shared" si="137"/>
        <v>20501</v>
      </c>
      <c r="AL821" s="66" t="str" cm="1">
        <f t="array" ref="AL821">IF($F821="","",IFERROR(INDEX('Lot Balance'!$B$5:$B$500,MATCH(1,INDEX(('Lot Balance'!$A$5:$A$500=$F821)*('Lot Balance'!$K$5:$K$500&lt;$AK821)*('Lot Balance'!$K$5:$K$500+'Lot Balance'!$D$5:$D$500&gt;=$AK821),0),0)),""))</f>
        <v>0417HIC25-1</v>
      </c>
      <c r="AM821" s="66" t="str" cm="1">
        <f t="array" ref="AM821">IF($F821="","",IFERROR(INDEX('Lot Balance'!$B$5:$B$500,MATCH(1,INDEX(('Lot Balance'!$A$5:$A$500=$F821)*('Lot Balance'!$K$5:$K$500&lt;$AJ821)*('Lot Balance'!$K$5:$K$500+'Lot Balance'!$D$5:$D$500&gt;=$AJ821),0),0)),""))</f>
        <v>0417HIC25-1</v>
      </c>
      <c r="AN821" s="66" t="str">
        <f>IF($F821="","",IF($AI821&lt;&gt;"",IF(COUNTIFS('Lot Balance'!$A$5:$A$500,$F821,'Lot Balance'!$B$5:$B$500,$AI821)=0,"⚠ override is not a lot of this item",IF($AI821=$AL821,"Override = FEFO","Override - FEFO says "&amp;$AL821)),IF($AL821="","⚠ no receipt on file for this item",IF($AM821&lt;&gt;$AL821,"FEFO auto - split, also "&amp;$AM821,"FEFO auto"))))</f>
        <v>FEFO auto</v>
      </c>
      <c r="AO821" s="114"/>
    </row>
    <row r="822" spans="1:41" x14ac:dyDescent="0.35">
      <c r="A822" s="74">
        <v>46168</v>
      </c>
      <c r="B822" s="18" t="str">
        <f>IF($C822="","",IFERROR(INDEX('Staff Directory'!$A$5:$A$594,MATCH($C822,'Staff Directory'!$B$5:$B$594,0)),"⚠ unknown staff"))</f>
        <v>PSW-135-A5</v>
      </c>
      <c r="C822" s="49" t="s">
        <v>1114</v>
      </c>
      <c r="D822" s="19" t="str">
        <f>IF($B822="","",IFERROR(INDEX('Staff Directory'!$C$5:$C$594,MATCH($B822,'Staff Directory'!$A$5:$A$594,0)),""))</f>
        <v>PSW</v>
      </c>
      <c r="E822" s="19" t="str">
        <f>IF($B822="","",IFERROR(INDEX('Staff Directory'!$D$5:$D$594,MATCH($B822,'Staff Directory'!$A$5:$A$594,0)),""))</f>
        <v>A5</v>
      </c>
      <c r="F822" s="9" t="s">
        <v>124</v>
      </c>
      <c r="G822" s="18" t="str">
        <f>IF($F822="","",IFERROR(INDEX(Items!$B$5:$B$597,MATCH($F822,Items!$A$5:$A$597,0)),"⚠ not in Items"))</f>
        <v>Gloves</v>
      </c>
      <c r="H822" s="19" t="str">
        <f>IF($F822="","",IFERROR(INDEX(Items!$C$5:$C$597,MATCH($F822,Items!$A$5:$A$597,0)),""))</f>
        <v>Large</v>
      </c>
      <c r="I822" s="23">
        <f>IF($F822="","",IFERROR(INDEX(Items!$E$5:$E$597,MATCH($F822,Items!$A$5:$A$597,0)),""))</f>
        <v>500</v>
      </c>
      <c r="J822" s="115">
        <f>IF(tblIssues[[#This Row],[Qty Override]]&lt;&gt;"",tblIssues[[#This Row],[Qty Override]],IF(tblIssues[[#This Row],[Standard Issue]]="","",tblIssues[[#This Row],[Standard Issue]]))</f>
        <v>500</v>
      </c>
      <c r="K822" s="20">
        <f>IF($F822="","",IFERROR(INDEX(Items!$D$5:$D$597,MATCH($F822,Items!$A$5:$A$597,0)),""))</f>
        <v>5.5E-2</v>
      </c>
      <c r="L822" s="21">
        <f t="shared" si="140"/>
        <v>27.5</v>
      </c>
      <c r="M822" s="9" t="str">
        <f t="shared" si="138"/>
        <v>0417HIC25-1</v>
      </c>
      <c r="N822" s="24">
        <f>IF($A822="","",WORKDAY($A822,Settings!$C$9,HolidayDates))</f>
        <v>46176</v>
      </c>
      <c r="O822" s="24">
        <f>IF($N822="","",WORKDAY($N822,Settings!$C$10,HolidayDates))</f>
        <v>46216</v>
      </c>
      <c r="P822" s="10" t="s">
        <v>501</v>
      </c>
      <c r="Q822" s="52" t="str">
        <f t="shared" si="141"/>
        <v>Collected</v>
      </c>
      <c r="R822" s="55" t="str">
        <f t="shared" si="142"/>
        <v>2026-05</v>
      </c>
      <c r="S822" s="55">
        <f>IF(OR($B822="",$F822="",$R822=""),"",SUMIFS(tblIssues[Qty Issued],tblIssues[Staff ID],$B822,tblIssues[Item Name],$F822,tblIssues[Month],$R822))</f>
        <v>1500</v>
      </c>
      <c r="T822" s="56">
        <f>IF($I822="","",$I822*Settings!$C$11)</f>
        <v>500</v>
      </c>
      <c r="U822" s="57" t="str">
        <f t="shared" si="139"/>
        <v>⚠ OVER QUOTA</v>
      </c>
      <c r="V822" s="55" t="str">
        <f t="shared" si="143"/>
        <v>PSW-135-A5 | Gloves - Large | 2026-05</v>
      </c>
      <c r="W822" s="55" t="str">
        <f>IF($V822="","",IF(COUNTIF($V$5:$V822,$V822)=1,1,""))</f>
        <v/>
      </c>
      <c r="X822" s="58" t="str">
        <f>IF($W822="","",MAX($X$4:X821)+1)</f>
        <v/>
      </c>
      <c r="Y822" s="62"/>
      <c r="Z822" s="62"/>
      <c r="AA822" s="64" t="str">
        <f>IF($C822="","",IFERROR(INDEX('Staff Directory'!$E$5:$E$594,MATCH($C822,'Staff Directory'!$B$5:$B$594,0)),""))</f>
        <v>firstname198.lastname198@example.com</v>
      </c>
      <c r="AB822" s="64" t="str">
        <f>IF($C822="","",IF(ISNUMBER(SEARCH($D822,Settings!$C$15)),"Pickup","Dispatch"))</f>
        <v>Pickup</v>
      </c>
      <c r="AC822" s="64" t="str">
        <f t="shared" si="144"/>
        <v>Supply order ready for pickup</v>
      </c>
      <c r="AD822" s="64" t="str">
        <f t="shared" si="135"/>
        <v>Dear PSW,
Your order is ready for pickup from Sample Branch, Wed-Fri 9am-4pm.</v>
      </c>
      <c r="AE822" s="64" t="str">
        <f t="shared" si="136"/>
        <v>mailto:firstname198.lastname198@example.com?subject=Supply%20order%20ready%20for%20pickup&amp;body=Dear%20PSW%2C%0A%0AYour%20order%20is%20ready%20for%20pickup%20from%20Sample%20Branch%2C%20Wed-Fri%209am-4pm.</v>
      </c>
      <c r="AF822" s="89" t="str">
        <f t="shared" si="145"/>
        <v>Draft email</v>
      </c>
      <c r="AG822" s="64" t="str">
        <f>IF($C822="","",IFERROR(INDEX('Staff Directory'!$K$595:$K$599,MATCH($C822,'Staff Directory'!$B$5:$B$599,0)),$D822))</f>
        <v>PSW</v>
      </c>
      <c r="AH822" t="str">
        <f>IF($C822="","",IFERROR(INDEX('Staff Directory'!$I$595:$I$599,MATCH($C822,'Staff Directory'!$B$5:$B$599,0))&amp;" "&amp;INDEX('Staff Directory'!$J$595:$J$599,MATCH($C822,'Staff Directory'!$B$5:$B$599,0)),$AG822))</f>
        <v>PSW</v>
      </c>
      <c r="AI822" s="102"/>
      <c r="AJ822" s="101">
        <f>IF($F822="","",SUMIFS($J$5:$J822,$F$5:$F822,$F822))</f>
        <v>21500</v>
      </c>
      <c r="AK822" s="101">
        <f t="shared" si="137"/>
        <v>21001</v>
      </c>
      <c r="AL822" s="66" t="str" cm="1">
        <f t="array" ref="AL822">IF($F822="","",IFERROR(INDEX('Lot Balance'!$B$5:$B$500,MATCH(1,INDEX(('Lot Balance'!$A$5:$A$500=$F822)*('Lot Balance'!$K$5:$K$500&lt;$AK822)*('Lot Balance'!$K$5:$K$500+'Lot Balance'!$D$5:$D$500&gt;=$AK822),0),0)),""))</f>
        <v>0417HIC25-1</v>
      </c>
      <c r="AM822" s="66" t="str" cm="1">
        <f t="array" ref="AM822">IF($F822="","",IFERROR(INDEX('Lot Balance'!$B$5:$B$500,MATCH(1,INDEX(('Lot Balance'!$A$5:$A$500=$F822)*('Lot Balance'!$K$5:$K$500&lt;$AJ822)*('Lot Balance'!$K$5:$K$500+'Lot Balance'!$D$5:$D$500&gt;=$AJ822),0),0)),""))</f>
        <v>0417HIC25-1</v>
      </c>
      <c r="AN822" s="66" t="str">
        <f>IF($F822="","",IF($AI822&lt;&gt;"",IF(COUNTIFS('Lot Balance'!$A$5:$A$500,$F822,'Lot Balance'!$B$5:$B$500,$AI822)=0,"⚠ override is not a lot of this item",IF($AI822=$AL822,"Override = FEFO","Override - FEFO says "&amp;$AL822)),IF($AL822="","⚠ no receipt on file for this item",IF($AM822&lt;&gt;$AL822,"FEFO auto - split, also "&amp;$AM822,"FEFO auto"))))</f>
        <v>FEFO auto</v>
      </c>
      <c r="AO822" s="114"/>
    </row>
    <row r="823" spans="1:41" x14ac:dyDescent="0.35">
      <c r="A823" s="74">
        <v>46168</v>
      </c>
      <c r="B823" s="18" t="str">
        <f>IF($C823="","",IFERROR(INDEX('Staff Directory'!$A$5:$A$594,MATCH($C823,'Staff Directory'!$B$5:$B$594,0)),"⚠ unknown staff"))</f>
        <v>PSW-135-A5</v>
      </c>
      <c r="C823" s="49" t="s">
        <v>1114</v>
      </c>
      <c r="D823" s="19" t="str">
        <f>IF($B823="","",IFERROR(INDEX('Staff Directory'!$C$5:$C$594,MATCH($B823,'Staff Directory'!$A$5:$A$594,0)),""))</f>
        <v>PSW</v>
      </c>
      <c r="E823" s="19" t="str">
        <f>IF($B823="","",IFERROR(INDEX('Staff Directory'!$D$5:$D$594,MATCH($B823,'Staff Directory'!$A$5:$A$594,0)),""))</f>
        <v>A5</v>
      </c>
      <c r="F823" s="9" t="s">
        <v>124</v>
      </c>
      <c r="G823" s="18" t="str">
        <f>IF($F823="","",IFERROR(INDEX(Items!$B$5:$B$597,MATCH($F823,Items!$A$5:$A$597,0)),"⚠ not in Items"))</f>
        <v>Gloves</v>
      </c>
      <c r="H823" s="19" t="str">
        <f>IF($F823="","",IFERROR(INDEX(Items!$C$5:$C$597,MATCH($F823,Items!$A$5:$A$597,0)),""))</f>
        <v>Large</v>
      </c>
      <c r="I823" s="23">
        <f>IF($F823="","",IFERROR(INDEX(Items!$E$5:$E$597,MATCH($F823,Items!$A$5:$A$597,0)),""))</f>
        <v>500</v>
      </c>
      <c r="J823" s="115">
        <f>IF(tblIssues[[#This Row],[Qty Override]]&lt;&gt;"",tblIssues[[#This Row],[Qty Override]],IF(tblIssues[[#This Row],[Standard Issue]]="","",tblIssues[[#This Row],[Standard Issue]]))</f>
        <v>500</v>
      </c>
      <c r="K823" s="20">
        <f>IF($F823="","",IFERROR(INDEX(Items!$D$5:$D$597,MATCH($F823,Items!$A$5:$A$597,0)),""))</f>
        <v>5.5E-2</v>
      </c>
      <c r="L823" s="21">
        <f t="shared" si="140"/>
        <v>27.5</v>
      </c>
      <c r="M823" s="9" t="str">
        <f t="shared" si="138"/>
        <v>0417HIC25-1</v>
      </c>
      <c r="N823" s="24">
        <f>IF($A823="","",WORKDAY($A823,Settings!$C$9,HolidayDates))</f>
        <v>46176</v>
      </c>
      <c r="O823" s="24">
        <f>IF($N823="","",WORKDAY($N823,Settings!$C$10,HolidayDates))</f>
        <v>46216</v>
      </c>
      <c r="P823" s="10" t="s">
        <v>501</v>
      </c>
      <c r="Q823" s="52" t="str">
        <f t="shared" si="141"/>
        <v>Collected</v>
      </c>
      <c r="R823" s="55" t="str">
        <f t="shared" si="142"/>
        <v>2026-05</v>
      </c>
      <c r="S823" s="55">
        <f>IF(OR($B823="",$F823="",$R823=""),"",SUMIFS(tblIssues[Qty Issued],tblIssues[Staff ID],$B823,tblIssues[Item Name],$F823,tblIssues[Month],$R823))</f>
        <v>1500</v>
      </c>
      <c r="T823" s="56">
        <f>IF($I823="","",$I823*Settings!$C$11)</f>
        <v>500</v>
      </c>
      <c r="U823" s="57" t="str">
        <f t="shared" si="139"/>
        <v>⚠ OVER QUOTA</v>
      </c>
      <c r="V823" s="55" t="str">
        <f t="shared" si="143"/>
        <v>PSW-135-A5 | Gloves - Large | 2026-05</v>
      </c>
      <c r="W823" s="55" t="str">
        <f>IF($V823="","",IF(COUNTIF($V$5:$V823,$V823)=1,1,""))</f>
        <v/>
      </c>
      <c r="X823" s="58" t="str">
        <f>IF($W823="","",MAX($X$4:X822)+1)</f>
        <v/>
      </c>
      <c r="Y823" s="62"/>
      <c r="Z823" s="62"/>
      <c r="AA823" s="64" t="str">
        <f>IF($C823="","",IFERROR(INDEX('Staff Directory'!$E$5:$E$594,MATCH($C823,'Staff Directory'!$B$5:$B$594,0)),""))</f>
        <v>firstname198.lastname198@example.com</v>
      </c>
      <c r="AB823" s="64" t="str">
        <f>IF($C823="","",IF(ISNUMBER(SEARCH($D823,Settings!$C$15)),"Pickup","Dispatch"))</f>
        <v>Pickup</v>
      </c>
      <c r="AC823" s="64" t="str">
        <f t="shared" si="144"/>
        <v>Supply order ready for pickup</v>
      </c>
      <c r="AD823" s="64" t="str">
        <f t="shared" si="135"/>
        <v>Dear PSW,
Your order is ready for pickup from Sample Branch, Wed-Fri 9am-4pm.</v>
      </c>
      <c r="AE823" s="64" t="str">
        <f t="shared" si="136"/>
        <v>mailto:firstname198.lastname198@example.com?subject=Supply%20order%20ready%20for%20pickup&amp;body=Dear%20PSW%2C%0A%0AYour%20order%20is%20ready%20for%20pickup%20from%20Sample%20Branch%2C%20Wed-Fri%209am-4pm.</v>
      </c>
      <c r="AF823" s="89" t="str">
        <f t="shared" si="145"/>
        <v>Draft email</v>
      </c>
      <c r="AG823" s="64" t="str">
        <f>IF($C823="","",IFERROR(INDEX('Staff Directory'!$K$595:$K$599,MATCH($C823,'Staff Directory'!$B$5:$B$599,0)),$D823))</f>
        <v>PSW</v>
      </c>
      <c r="AH823" t="str">
        <f>IF($C823="","",IFERROR(INDEX('Staff Directory'!$I$595:$I$599,MATCH($C823,'Staff Directory'!$B$5:$B$599,0))&amp;" "&amp;INDEX('Staff Directory'!$J$595:$J$599,MATCH($C823,'Staff Directory'!$B$5:$B$599,0)),$AG823))</f>
        <v>PSW</v>
      </c>
      <c r="AI823" s="102"/>
      <c r="AJ823" s="101">
        <f>IF($F823="","",SUMIFS($J$5:$J823,$F$5:$F823,$F823))</f>
        <v>22000</v>
      </c>
      <c r="AK823" s="101">
        <f t="shared" si="137"/>
        <v>21501</v>
      </c>
      <c r="AL823" s="66" t="str" cm="1">
        <f t="array" ref="AL823">IF($F823="","",IFERROR(INDEX('Lot Balance'!$B$5:$B$500,MATCH(1,INDEX(('Lot Balance'!$A$5:$A$500=$F823)*('Lot Balance'!$K$5:$K$500&lt;$AK823)*('Lot Balance'!$K$5:$K$500+'Lot Balance'!$D$5:$D$500&gt;=$AK823),0),0)),""))</f>
        <v>0417HIC25-1</v>
      </c>
      <c r="AM823" s="66" t="str" cm="1">
        <f t="array" ref="AM823">IF($F823="","",IFERROR(INDEX('Lot Balance'!$B$5:$B$500,MATCH(1,INDEX(('Lot Balance'!$A$5:$A$500=$F823)*('Lot Balance'!$K$5:$K$500&lt;$AJ823)*('Lot Balance'!$K$5:$K$500+'Lot Balance'!$D$5:$D$500&gt;=$AJ823),0),0)),""))</f>
        <v>0417HIC25-1</v>
      </c>
      <c r="AN823" s="66" t="str">
        <f>IF($F823="","",IF($AI823&lt;&gt;"",IF(COUNTIFS('Lot Balance'!$A$5:$A$500,$F823,'Lot Balance'!$B$5:$B$500,$AI823)=0,"⚠ override is not a lot of this item",IF($AI823=$AL823,"Override = FEFO","Override - FEFO says "&amp;$AL823)),IF($AL823="","⚠ no receipt on file for this item",IF($AM823&lt;&gt;$AL823,"FEFO auto - split, also "&amp;$AM823,"FEFO auto"))))</f>
        <v>FEFO auto</v>
      </c>
      <c r="AO823" s="114"/>
    </row>
    <row r="824" spans="1:41" x14ac:dyDescent="0.35">
      <c r="A824" s="74">
        <v>46168</v>
      </c>
      <c r="B824" s="18" t="str">
        <f>IF($C824="","",IFERROR(INDEX('Staff Directory'!$A$5:$A$594,MATCH($C824,'Staff Directory'!$B$5:$B$594,0)),"⚠ unknown staff"))</f>
        <v>PSW-167-A4</v>
      </c>
      <c r="C824" s="49" t="s">
        <v>1146</v>
      </c>
      <c r="D824" s="19" t="str">
        <f>IF($B824="","",IFERROR(INDEX('Staff Directory'!$C$5:$C$594,MATCH($B824,'Staff Directory'!$A$5:$A$594,0)),""))</f>
        <v>PSW</v>
      </c>
      <c r="E824" s="19" t="str">
        <f>IF($B824="","",IFERROR(INDEX('Staff Directory'!$D$5:$D$594,MATCH($B824,'Staff Directory'!$A$5:$A$594,0)),""))</f>
        <v>A4</v>
      </c>
      <c r="F824" s="9" t="s">
        <v>127</v>
      </c>
      <c r="G824" s="18" t="str">
        <f>IF($F824="","",IFERROR(INDEX(Items!$B$5:$B$597,MATCH($F824,Items!$A$5:$A$597,0)),"⚠ not in Items"))</f>
        <v>Gloves</v>
      </c>
      <c r="H824" s="19" t="str">
        <f>IF($F824="","",IFERROR(INDEX(Items!$C$5:$C$597,MATCH($F824,Items!$A$5:$A$597,0)),""))</f>
        <v>Medium</v>
      </c>
      <c r="I824" s="23">
        <f>IF($F824="","",IFERROR(INDEX(Items!$E$5:$E$597,MATCH($F824,Items!$A$5:$A$597,0)),""))</f>
        <v>500</v>
      </c>
      <c r="J824" s="115">
        <f>IF(tblIssues[[#This Row],[Qty Override]]&lt;&gt;"",tblIssues[[#This Row],[Qty Override]],IF(tblIssues[[#This Row],[Standard Issue]]="","",tblIssues[[#This Row],[Standard Issue]]))</f>
        <v>500</v>
      </c>
      <c r="K824" s="20">
        <f>IF($F824="","",IFERROR(INDEX(Items!$D$5:$D$597,MATCH($F824,Items!$A$5:$A$597,0)),""))</f>
        <v>5.5E-2</v>
      </c>
      <c r="L824" s="21">
        <f t="shared" si="140"/>
        <v>27.5</v>
      </c>
      <c r="M824" s="9" t="str">
        <f t="shared" si="138"/>
        <v>ZIM504126040-4</v>
      </c>
      <c r="N824" s="24">
        <f>IF($A824="","",WORKDAY($A824,Settings!$C$9,HolidayDates))</f>
        <v>46176</v>
      </c>
      <c r="O824" s="24">
        <f>IF($N824="","",WORKDAY($N824,Settings!$C$10,HolidayDates))</f>
        <v>46216</v>
      </c>
      <c r="P824" s="10" t="s">
        <v>501</v>
      </c>
      <c r="Q824" s="52" t="str">
        <f t="shared" si="141"/>
        <v>Collected</v>
      </c>
      <c r="R824" s="55" t="str">
        <f t="shared" si="142"/>
        <v>2026-05</v>
      </c>
      <c r="S824" s="55">
        <f>IF(OR($B824="",$F824="",$R824=""),"",SUMIFS(tblIssues[Qty Issued],tblIssues[Staff ID],$B824,tblIssues[Item Name],$F824,tblIssues[Month],$R824))</f>
        <v>500</v>
      </c>
      <c r="T824" s="56">
        <f>IF($I824="","",$I824*Settings!$C$11)</f>
        <v>500</v>
      </c>
      <c r="U824" s="57" t="str">
        <f t="shared" si="139"/>
        <v>OK</v>
      </c>
      <c r="V824" s="55" t="str">
        <f t="shared" si="143"/>
        <v/>
      </c>
      <c r="W824" s="55" t="str">
        <f>IF($V824="","",IF(COUNTIF($V$5:$V824,$V824)=1,1,""))</f>
        <v/>
      </c>
      <c r="X824" s="58" t="str">
        <f>IF($W824="","",MAX($X$4:X823)+1)</f>
        <v/>
      </c>
      <c r="Y824" s="62"/>
      <c r="Z824" s="62"/>
      <c r="AA824" s="64" t="str">
        <f>IF($C824="","",IFERROR(INDEX('Staff Directory'!$E$5:$E$594,MATCH($C824,'Staff Directory'!$B$5:$B$594,0)),""))</f>
        <v>firstname230.lastname230@example.com</v>
      </c>
      <c r="AB824" s="64" t="str">
        <f>IF($C824="","",IF(ISNUMBER(SEARCH($D824,Settings!$C$15)),"Pickup","Dispatch"))</f>
        <v>Pickup</v>
      </c>
      <c r="AC824" s="64" t="str">
        <f t="shared" si="144"/>
        <v>Supply order ready for pickup</v>
      </c>
      <c r="AD824" s="64" t="str">
        <f t="shared" si="135"/>
        <v>Dear PSW,
Your order is ready for pickup from Sample Branch, Wed-Fri 9am-4pm.</v>
      </c>
      <c r="AE824" s="64" t="str">
        <f t="shared" si="136"/>
        <v>mailto:firstname230.lastname230@example.com?subject=Supply%20order%20ready%20for%20pickup&amp;body=Dear%20PSW%2C%0A%0AYour%20order%20is%20ready%20for%20pickup%20from%20Sample%20Branch%2C%20Wed-Fri%209am-4pm.</v>
      </c>
      <c r="AF824" s="89" t="str">
        <f t="shared" si="145"/>
        <v>Draft email</v>
      </c>
      <c r="AG824" s="64" t="str">
        <f>IF($C824="","",IFERROR(INDEX('Staff Directory'!$K$595:$K$599,MATCH($C824,'Staff Directory'!$B$5:$B$599,0)),$D824))</f>
        <v>PSW</v>
      </c>
      <c r="AH824" t="str">
        <f>IF($C824="","",IFERROR(INDEX('Staff Directory'!$I$595:$I$599,MATCH($C824,'Staff Directory'!$B$5:$B$599,0))&amp;" "&amp;INDEX('Staff Directory'!$J$595:$J$599,MATCH($C824,'Staff Directory'!$B$5:$B$599,0)),$AG824))</f>
        <v>PSW</v>
      </c>
      <c r="AI824" s="102"/>
      <c r="AJ824" s="101">
        <f>IF($F824="","",SUMIFS($J$5:$J824,$F$5:$F824,$F824))</f>
        <v>49000</v>
      </c>
      <c r="AK824" s="101">
        <f t="shared" si="137"/>
        <v>48501</v>
      </c>
      <c r="AL824" s="66" t="str" cm="1">
        <f t="array" ref="AL824">IF($F824="","",IFERROR(INDEX('Lot Balance'!$B$5:$B$500,MATCH(1,INDEX(('Lot Balance'!$A$5:$A$500=$F824)*('Lot Balance'!$K$5:$K$500&lt;$AK824)*('Lot Balance'!$K$5:$K$500+'Lot Balance'!$D$5:$D$500&gt;=$AK824),0),0)),""))</f>
        <v>ZIM504126040-4</v>
      </c>
      <c r="AM824" s="66" t="str" cm="1">
        <f t="array" ref="AM824">IF($F824="","",IFERROR(INDEX('Lot Balance'!$B$5:$B$500,MATCH(1,INDEX(('Lot Balance'!$A$5:$A$500=$F824)*('Lot Balance'!$K$5:$K$500&lt;$AJ824)*('Lot Balance'!$K$5:$K$500+'Lot Balance'!$D$5:$D$500&gt;=$AJ824),0),0)),""))</f>
        <v>ZIM504126040-4</v>
      </c>
      <c r="AN824" s="66" t="str">
        <f>IF($F824="","",IF($AI824&lt;&gt;"",IF(COUNTIFS('Lot Balance'!$A$5:$A$500,$F824,'Lot Balance'!$B$5:$B$500,$AI824)=0,"⚠ override is not a lot of this item",IF($AI824=$AL824,"Override = FEFO","Override - FEFO says "&amp;$AL824)),IF($AL824="","⚠ no receipt on file for this item",IF($AM824&lt;&gt;$AL824,"FEFO auto - split, also "&amp;$AM824,"FEFO auto"))))</f>
        <v>FEFO auto</v>
      </c>
      <c r="AO824" s="114"/>
    </row>
    <row r="825" spans="1:41" x14ac:dyDescent="0.35">
      <c r="A825" s="74">
        <v>46168</v>
      </c>
      <c r="B825" s="18" t="str">
        <f>IF($C825="","",IFERROR(INDEX('Staff Directory'!$A$5:$A$594,MATCH($C825,'Staff Directory'!$B$5:$B$594,0)),"⚠ unknown staff"))</f>
        <v>PSW-167-A4</v>
      </c>
      <c r="C825" s="49" t="s">
        <v>1146</v>
      </c>
      <c r="D825" s="19" t="str">
        <f>IF($B825="","",IFERROR(INDEX('Staff Directory'!$C$5:$C$594,MATCH($B825,'Staff Directory'!$A$5:$A$594,0)),""))</f>
        <v>PSW</v>
      </c>
      <c r="E825" s="19" t="str">
        <f>IF($B825="","",IFERROR(INDEX('Staff Directory'!$D$5:$D$594,MATCH($B825,'Staff Directory'!$A$5:$A$594,0)),""))</f>
        <v>A4</v>
      </c>
      <c r="F825" s="9" t="s">
        <v>191</v>
      </c>
      <c r="G825" s="18" t="str">
        <f>IF($F825="","",IFERROR(INDEX(Items!$B$5:$B$597,MATCH($F825,Items!$A$5:$A$597,0)),"⚠ not in Items"))</f>
        <v>Sanitizer</v>
      </c>
      <c r="H825" s="19" t="str">
        <f>IF($F825="","",IFERROR(INDEX(Items!$C$5:$C$597,MATCH($F825,Items!$A$5:$A$597,0)),""))</f>
        <v>236 ML</v>
      </c>
      <c r="I825" s="23">
        <f>IF($F825="","",IFERROR(INDEX(Items!$E$5:$E$597,MATCH($F825,Items!$A$5:$A$597,0)),""))</f>
        <v>1</v>
      </c>
      <c r="J825" s="115">
        <f>IF(tblIssues[[#This Row],[Qty Override]]&lt;&gt;"",tblIssues[[#This Row],[Qty Override]],IF(tblIssues[[#This Row],[Standard Issue]]="","",tblIssues[[#This Row],[Standard Issue]]))</f>
        <v>1</v>
      </c>
      <c r="K825" s="20">
        <f>IF($F825="","",IFERROR(INDEX(Items!$D$5:$D$597,MATCH($F825,Items!$A$5:$A$597,0)),""))</f>
        <v>1E-4</v>
      </c>
      <c r="L825" s="21">
        <f t="shared" si="140"/>
        <v>1E-4</v>
      </c>
      <c r="M825" s="9" t="str">
        <f t="shared" si="138"/>
        <v>20-21734-4</v>
      </c>
      <c r="N825" s="24">
        <f>IF($A825="","",WORKDAY($A825,Settings!$C$9,HolidayDates))</f>
        <v>46176</v>
      </c>
      <c r="O825" s="24">
        <f>IF($N825="","",WORKDAY($N825,Settings!$C$10,HolidayDates))</f>
        <v>46216</v>
      </c>
      <c r="P825" s="10" t="s">
        <v>501</v>
      </c>
      <c r="Q825" s="52" t="str">
        <f t="shared" si="141"/>
        <v>Collected</v>
      </c>
      <c r="R825" s="55" t="str">
        <f t="shared" si="142"/>
        <v>2026-05</v>
      </c>
      <c r="S825" s="55">
        <f>IF(OR($B825="",$F825="",$R825=""),"",SUMIFS(tblIssues[Qty Issued],tblIssues[Staff ID],$B825,tblIssues[Item Name],$F825,tblIssues[Month],$R825))</f>
        <v>1</v>
      </c>
      <c r="T825" s="56">
        <f>IF($I825="","",$I825*Settings!$C$11)</f>
        <v>1</v>
      </c>
      <c r="U825" s="57" t="str">
        <f t="shared" si="139"/>
        <v>OK</v>
      </c>
      <c r="V825" s="55" t="str">
        <f t="shared" si="143"/>
        <v/>
      </c>
      <c r="W825" s="55" t="str">
        <f>IF($V825="","",IF(COUNTIF($V$5:$V825,$V825)=1,1,""))</f>
        <v/>
      </c>
      <c r="X825" s="58" t="str">
        <f>IF($W825="","",MAX($X$4:X824)+1)</f>
        <v/>
      </c>
      <c r="Y825" s="62"/>
      <c r="Z825" s="62"/>
      <c r="AA825" s="64" t="str">
        <f>IF($C825="","",IFERROR(INDEX('Staff Directory'!$E$5:$E$594,MATCH($C825,'Staff Directory'!$B$5:$B$594,0)),""))</f>
        <v>firstname230.lastname230@example.com</v>
      </c>
      <c r="AB825" s="64" t="str">
        <f>IF($C825="","",IF(ISNUMBER(SEARCH($D825,Settings!$C$15)),"Pickup","Dispatch"))</f>
        <v>Pickup</v>
      </c>
      <c r="AC825" s="64" t="str">
        <f t="shared" si="144"/>
        <v>Supply order ready for pickup</v>
      </c>
      <c r="AD825" s="64" t="str">
        <f t="shared" si="135"/>
        <v>Dear PSW,
Your order is ready for pickup from Sample Branch, Wed-Fri 9am-4pm.</v>
      </c>
      <c r="AE825" s="64" t="str">
        <f t="shared" si="136"/>
        <v>mailto:firstname230.lastname230@example.com?subject=Supply%20order%20ready%20for%20pickup&amp;body=Dear%20PSW%2C%0A%0AYour%20order%20is%20ready%20for%20pickup%20from%20Sample%20Branch%2C%20Wed-Fri%209am-4pm.</v>
      </c>
      <c r="AF825" s="89" t="str">
        <f t="shared" si="145"/>
        <v>Draft email</v>
      </c>
      <c r="AG825" s="64" t="str">
        <f>IF($C825="","",IFERROR(INDEX('Staff Directory'!$K$595:$K$599,MATCH($C825,'Staff Directory'!$B$5:$B$599,0)),$D825))</f>
        <v>PSW</v>
      </c>
      <c r="AH825" t="str">
        <f>IF($C825="","",IFERROR(INDEX('Staff Directory'!$I$595:$I$599,MATCH($C825,'Staff Directory'!$B$5:$B$599,0))&amp;" "&amp;INDEX('Staff Directory'!$J$595:$J$599,MATCH($C825,'Staff Directory'!$B$5:$B$599,0)),$AG825))</f>
        <v>PSW</v>
      </c>
      <c r="AI825" s="102"/>
      <c r="AJ825" s="101">
        <f>IF($F825="","",SUMIFS($J$5:$J825,$F$5:$F825,$F825))</f>
        <v>103</v>
      </c>
      <c r="AK825" s="101">
        <f t="shared" si="137"/>
        <v>103</v>
      </c>
      <c r="AL825" s="66" t="str" cm="1">
        <f t="array" ref="AL825">IF($F825="","",IFERROR(INDEX('Lot Balance'!$B$5:$B$500,MATCH(1,INDEX(('Lot Balance'!$A$5:$A$500=$F825)*('Lot Balance'!$K$5:$K$500&lt;$AK825)*('Lot Balance'!$K$5:$K$500+'Lot Balance'!$D$5:$D$500&gt;=$AK825),0),0)),""))</f>
        <v>20-21734-4</v>
      </c>
      <c r="AM825" s="66" t="str" cm="1">
        <f t="array" ref="AM825">IF($F825="","",IFERROR(INDEX('Lot Balance'!$B$5:$B$500,MATCH(1,INDEX(('Lot Balance'!$A$5:$A$500=$F825)*('Lot Balance'!$K$5:$K$500&lt;$AJ825)*('Lot Balance'!$K$5:$K$500+'Lot Balance'!$D$5:$D$500&gt;=$AJ825),0),0)),""))</f>
        <v>20-21734-4</v>
      </c>
      <c r="AN825" s="66" t="str">
        <f>IF($F825="","",IF($AI825&lt;&gt;"",IF(COUNTIFS('Lot Balance'!$A$5:$A$500,$F825,'Lot Balance'!$B$5:$B$500,$AI825)=0,"⚠ override is not a lot of this item",IF($AI825=$AL825,"Override = FEFO","Override - FEFO says "&amp;$AL825)),IF($AL825="","⚠ no receipt on file for this item",IF($AM825&lt;&gt;$AL825,"FEFO auto - split, also "&amp;$AM825,"FEFO auto"))))</f>
        <v>FEFO auto</v>
      </c>
      <c r="AO825" s="114"/>
    </row>
    <row r="826" spans="1:41" x14ac:dyDescent="0.35">
      <c r="A826" s="74">
        <v>46168</v>
      </c>
      <c r="B826" s="18" t="str">
        <f>IF($C826="","",IFERROR(INDEX('Staff Directory'!$A$5:$A$594,MATCH($C826,'Staff Directory'!$B$5:$B$594,0)),"⚠ unknown staff"))</f>
        <v>PSW-167-A4</v>
      </c>
      <c r="C826" s="49" t="s">
        <v>1146</v>
      </c>
      <c r="D826" s="19" t="str">
        <f>IF($B826="","",IFERROR(INDEX('Staff Directory'!$C$5:$C$594,MATCH($B826,'Staff Directory'!$A$5:$A$594,0)),""))</f>
        <v>PSW</v>
      </c>
      <c r="E826" s="19" t="str">
        <f>IF($B826="","",IFERROR(INDEX('Staff Directory'!$D$5:$D$594,MATCH($B826,'Staff Directory'!$A$5:$A$594,0)),""))</f>
        <v>A4</v>
      </c>
      <c r="F826" s="9" t="s">
        <v>115</v>
      </c>
      <c r="G826" s="18" t="str">
        <f>IF($F826="","",IFERROR(INDEX(Items!$B$5:$B$597,MATCH($F826,Items!$A$5:$A$597,0)),"⚠ not in Items"))</f>
        <v>Wipes</v>
      </c>
      <c r="H826" s="19">
        <f>IF($F826="","",IFERROR(INDEX(Items!$C$5:$C$597,MATCH($F826,Items!$A$5:$A$597,0)),""))</f>
        <v>80</v>
      </c>
      <c r="I826" s="23">
        <f>IF($F826="","",IFERROR(INDEX(Items!$E$5:$E$597,MATCH($F826,Items!$A$5:$A$597,0)),""))</f>
        <v>80</v>
      </c>
      <c r="J826" s="115">
        <f>IF(tblIssues[[#This Row],[Qty Override]]&lt;&gt;"",tblIssues[[#This Row],[Qty Override]],IF(tblIssues[[#This Row],[Standard Issue]]="","",tblIssues[[#This Row],[Standard Issue]]))</f>
        <v>80</v>
      </c>
      <c r="K826" s="20">
        <f>IF($F826="","",IFERROR(INDEX(Items!$D$5:$D$597,MATCH($F826,Items!$A$5:$A$597,0)),""))</f>
        <v>0.1</v>
      </c>
      <c r="L826" s="21">
        <f t="shared" si="140"/>
        <v>8</v>
      </c>
      <c r="M826" s="9" t="str">
        <f t="shared" si="138"/>
        <v>LYSL500290</v>
      </c>
      <c r="N826" s="24">
        <f>IF($A826="","",WORKDAY($A826,Settings!$C$9,HolidayDates))</f>
        <v>46176</v>
      </c>
      <c r="O826" s="24">
        <f>IF($N826="","",WORKDAY($N826,Settings!$C$10,HolidayDates))</f>
        <v>46216</v>
      </c>
      <c r="P826" s="10" t="s">
        <v>501</v>
      </c>
      <c r="Q826" s="52" t="str">
        <f t="shared" si="141"/>
        <v>Collected</v>
      </c>
      <c r="R826" s="55" t="str">
        <f t="shared" si="142"/>
        <v>2026-05</v>
      </c>
      <c r="S826" s="55">
        <f>IF(OR($B826="",$F826="",$R826=""),"",SUMIFS(tblIssues[Qty Issued],tblIssues[Staff ID],$B826,tblIssues[Item Name],$F826,tblIssues[Month],$R826))</f>
        <v>80</v>
      </c>
      <c r="T826" s="56">
        <f>IF($I826="","",$I826*Settings!$C$11)</f>
        <v>80</v>
      </c>
      <c r="U826" s="57" t="str">
        <f t="shared" si="139"/>
        <v>OK</v>
      </c>
      <c r="V826" s="55" t="str">
        <f t="shared" si="143"/>
        <v/>
      </c>
      <c r="W826" s="55" t="str">
        <f>IF($V826="","",IF(COUNTIF($V$5:$V826,$V826)=1,1,""))</f>
        <v/>
      </c>
      <c r="X826" s="58" t="str">
        <f>IF($W826="","",MAX($X$4:X825)+1)</f>
        <v/>
      </c>
      <c r="Y826" s="62"/>
      <c r="Z826" s="62"/>
      <c r="AA826" s="64" t="str">
        <f>IF($C826="","",IFERROR(INDEX('Staff Directory'!$E$5:$E$594,MATCH($C826,'Staff Directory'!$B$5:$B$594,0)),""))</f>
        <v>firstname230.lastname230@example.com</v>
      </c>
      <c r="AB826" s="64" t="str">
        <f>IF($C826="","",IF(ISNUMBER(SEARCH($D826,Settings!$C$15)),"Pickup","Dispatch"))</f>
        <v>Pickup</v>
      </c>
      <c r="AC826" s="64" t="str">
        <f t="shared" si="144"/>
        <v>Supply order ready for pickup</v>
      </c>
      <c r="AD826" s="64" t="str">
        <f t="shared" si="135"/>
        <v>Dear PSW,
Your order is ready for pickup from Sample Branch, Wed-Fri 9am-4pm.</v>
      </c>
      <c r="AE826" s="64" t="str">
        <f t="shared" si="136"/>
        <v>mailto:firstname230.lastname230@example.com?subject=Supply%20order%20ready%20for%20pickup&amp;body=Dear%20PSW%2C%0A%0AYour%20order%20is%20ready%20for%20pickup%20from%20Sample%20Branch%2C%20Wed-Fri%209am-4pm.</v>
      </c>
      <c r="AF826" s="89" t="str">
        <f t="shared" si="145"/>
        <v>Draft email</v>
      </c>
      <c r="AG826" s="64" t="str">
        <f>IF($C826="","",IFERROR(INDEX('Staff Directory'!$K$595:$K$599,MATCH($C826,'Staff Directory'!$B$5:$B$599,0)),$D826))</f>
        <v>PSW</v>
      </c>
      <c r="AH826" t="str">
        <f>IF($C826="","",IFERROR(INDEX('Staff Directory'!$I$595:$I$599,MATCH($C826,'Staff Directory'!$B$5:$B$599,0))&amp;" "&amp;INDEX('Staff Directory'!$J$595:$J$599,MATCH($C826,'Staff Directory'!$B$5:$B$599,0)),$AG826))</f>
        <v>PSW</v>
      </c>
      <c r="AI826" s="102"/>
      <c r="AJ826" s="101">
        <f>IF($F826="","",SUMIFS($J$5:$J826,$F$5:$F826,$F826))</f>
        <v>11360</v>
      </c>
      <c r="AK826" s="101">
        <f t="shared" si="137"/>
        <v>11281</v>
      </c>
      <c r="AL826" s="66" t="str" cm="1">
        <f t="array" ref="AL826">IF($F826="","",IFERROR(INDEX('Lot Balance'!$B$5:$B$500,MATCH(1,INDEX(('Lot Balance'!$A$5:$A$500=$F826)*('Lot Balance'!$K$5:$K$500&lt;$AK826)*('Lot Balance'!$K$5:$K$500+'Lot Balance'!$D$5:$D$500&gt;=$AK826),0),0)),""))</f>
        <v>LYSL500290</v>
      </c>
      <c r="AM826" s="66" t="str" cm="1">
        <f t="array" ref="AM826">IF($F826="","",IFERROR(INDEX('Lot Balance'!$B$5:$B$500,MATCH(1,INDEX(('Lot Balance'!$A$5:$A$500=$F826)*('Lot Balance'!$K$5:$K$500&lt;$AJ826)*('Lot Balance'!$K$5:$K$500+'Lot Balance'!$D$5:$D$500&gt;=$AJ826),0),0)),""))</f>
        <v>LYSL500290</v>
      </c>
      <c r="AN826" s="66" t="str">
        <f>IF($F826="","",IF($AI826&lt;&gt;"",IF(COUNTIFS('Lot Balance'!$A$5:$A$500,$F826,'Lot Balance'!$B$5:$B$500,$AI826)=0,"⚠ override is not a lot of this item",IF($AI826=$AL826,"Override = FEFO","Override - FEFO says "&amp;$AL826)),IF($AL826="","⚠ no receipt on file for this item",IF($AM826&lt;&gt;$AL826,"FEFO auto - split, also "&amp;$AM826,"FEFO auto"))))</f>
        <v>FEFO auto</v>
      </c>
      <c r="AO826" s="114"/>
    </row>
    <row r="827" spans="1:41" x14ac:dyDescent="0.35">
      <c r="A827" s="74">
        <v>46168</v>
      </c>
      <c r="B827" s="18" t="str">
        <f>IF($C827="","",IFERROR(INDEX('Staff Directory'!$A$5:$A$594,MATCH($C827,'Staff Directory'!$B$5:$B$594,0)),"⚠ unknown staff"))</f>
        <v>PSW-167-A4</v>
      </c>
      <c r="C827" s="49" t="s">
        <v>1146</v>
      </c>
      <c r="D827" s="19" t="str">
        <f>IF($B827="","",IFERROR(INDEX('Staff Directory'!$C$5:$C$594,MATCH($B827,'Staff Directory'!$A$5:$A$594,0)),""))</f>
        <v>PSW</v>
      </c>
      <c r="E827" s="19" t="str">
        <f>IF($B827="","",IFERROR(INDEX('Staff Directory'!$D$5:$D$594,MATCH($B827,'Staff Directory'!$A$5:$A$594,0)),""))</f>
        <v>A4</v>
      </c>
      <c r="F827" s="9" t="s">
        <v>156</v>
      </c>
      <c r="G827" s="18" t="str">
        <f>IF($F827="","",IFERROR(INDEX(Items!$B$5:$B$597,MATCH($F827,Items!$A$5:$A$597,0)),"⚠ not in Items"))</f>
        <v>Masks</v>
      </c>
      <c r="H827" s="19" t="str">
        <f>IF($F827="","",IFERROR(INDEX(Items!$C$5:$C$597,MATCH($F827,Items!$A$5:$A$597,0)),""))</f>
        <v>One Size</v>
      </c>
      <c r="I827" s="23">
        <f>IF($F827="","",IFERROR(INDEX(Items!$E$5:$E$597,MATCH($F827,Items!$A$5:$A$597,0)),""))</f>
        <v>50</v>
      </c>
      <c r="J827" s="115">
        <f>IF(tblIssues[[#This Row],[Qty Override]]&lt;&gt;"",tblIssues[[#This Row],[Qty Override]],IF(tblIssues[[#This Row],[Standard Issue]]="","",tblIssues[[#This Row],[Standard Issue]]))</f>
        <v>50</v>
      </c>
      <c r="K827" s="20">
        <f>IF($F827="","",IFERROR(INDEX(Items!$D$5:$D$597,MATCH($F827,Items!$A$5:$A$597,0)),""))</f>
        <v>0.25</v>
      </c>
      <c r="L827" s="21">
        <f t="shared" si="140"/>
        <v>12.5</v>
      </c>
      <c r="M827" s="9" t="str">
        <f t="shared" si="138"/>
        <v>0125FPC24-1</v>
      </c>
      <c r="N827" s="24">
        <f>IF($A827="","",WORKDAY($A827,Settings!$C$9,HolidayDates))</f>
        <v>46176</v>
      </c>
      <c r="O827" s="24">
        <f>IF($N827="","",WORKDAY($N827,Settings!$C$10,HolidayDates))</f>
        <v>46216</v>
      </c>
      <c r="P827" s="10" t="s">
        <v>501</v>
      </c>
      <c r="Q827" s="52" t="str">
        <f t="shared" si="141"/>
        <v>Collected</v>
      </c>
      <c r="R827" s="55" t="str">
        <f t="shared" si="142"/>
        <v>2026-05</v>
      </c>
      <c r="S827" s="55">
        <f>IF(OR($B827="",$F827="",$R827=""),"",SUMIFS(tblIssues[Qty Issued],tblIssues[Staff ID],$B827,tblIssues[Item Name],$F827,tblIssues[Month],$R827))</f>
        <v>50</v>
      </c>
      <c r="T827" s="56">
        <f>IF($I827="","",$I827*Settings!$C$11)</f>
        <v>50</v>
      </c>
      <c r="U827" s="57" t="str">
        <f t="shared" si="139"/>
        <v>OK</v>
      </c>
      <c r="V827" s="55" t="str">
        <f t="shared" si="143"/>
        <v/>
      </c>
      <c r="W827" s="55" t="str">
        <f>IF($V827="","",IF(COUNTIF($V$5:$V827,$V827)=1,1,""))</f>
        <v/>
      </c>
      <c r="X827" s="58" t="str">
        <f>IF($W827="","",MAX($X$4:X826)+1)</f>
        <v/>
      </c>
      <c r="Y827" s="62"/>
      <c r="Z827" s="62"/>
      <c r="AA827" s="64" t="str">
        <f>IF($C827="","",IFERROR(INDEX('Staff Directory'!$E$5:$E$594,MATCH($C827,'Staff Directory'!$B$5:$B$594,0)),""))</f>
        <v>firstname230.lastname230@example.com</v>
      </c>
      <c r="AB827" s="64" t="str">
        <f>IF($C827="","",IF(ISNUMBER(SEARCH($D827,Settings!$C$15)),"Pickup","Dispatch"))</f>
        <v>Pickup</v>
      </c>
      <c r="AC827" s="64" t="str">
        <f t="shared" si="144"/>
        <v>Supply order ready for pickup</v>
      </c>
      <c r="AD827" s="64" t="str">
        <f t="shared" si="135"/>
        <v>Dear PSW,
Your order is ready for pickup from Sample Branch, Wed-Fri 9am-4pm.</v>
      </c>
      <c r="AE827" s="64" t="str">
        <f t="shared" si="136"/>
        <v>mailto:firstname230.lastname230@example.com?subject=Supply%20order%20ready%20for%20pickup&amp;body=Dear%20PSW%2C%0A%0AYour%20order%20is%20ready%20for%20pickup%20from%20Sample%20Branch%2C%20Wed-Fri%209am-4pm.</v>
      </c>
      <c r="AF827" s="89" t="str">
        <f t="shared" si="145"/>
        <v>Draft email</v>
      </c>
      <c r="AG827" s="64" t="str">
        <f>IF($C827="","",IFERROR(INDEX('Staff Directory'!$K$595:$K$599,MATCH($C827,'Staff Directory'!$B$5:$B$599,0)),$D827))</f>
        <v>PSW</v>
      </c>
      <c r="AH827" t="str">
        <f>IF($C827="","",IFERROR(INDEX('Staff Directory'!$I$595:$I$599,MATCH($C827,'Staff Directory'!$B$5:$B$599,0))&amp;" "&amp;INDEX('Staff Directory'!$J$595:$J$599,MATCH($C827,'Staff Directory'!$B$5:$B$599,0)),$AG827))</f>
        <v>PSW</v>
      </c>
      <c r="AI827" s="102"/>
      <c r="AJ827" s="101">
        <f>IF($F827="","",SUMIFS($J$5:$J827,$F$5:$F827,$F827))</f>
        <v>6900</v>
      </c>
      <c r="AK827" s="101">
        <f t="shared" si="137"/>
        <v>6851</v>
      </c>
      <c r="AL827" s="66" t="str" cm="1">
        <f t="array" ref="AL827">IF($F827="","",IFERROR(INDEX('Lot Balance'!$B$5:$B$500,MATCH(1,INDEX(('Lot Balance'!$A$5:$A$500=$F827)*('Lot Balance'!$K$5:$K$500&lt;$AK827)*('Lot Balance'!$K$5:$K$500+'Lot Balance'!$D$5:$D$500&gt;=$AK827),0),0)),""))</f>
        <v>0125FPC24-1</v>
      </c>
      <c r="AM827" s="66" t="str" cm="1">
        <f t="array" ref="AM827">IF($F827="","",IFERROR(INDEX('Lot Balance'!$B$5:$B$500,MATCH(1,INDEX(('Lot Balance'!$A$5:$A$500=$F827)*('Lot Balance'!$K$5:$K$500&lt;$AJ827)*('Lot Balance'!$K$5:$K$500+'Lot Balance'!$D$5:$D$500&gt;=$AJ827),0),0)),""))</f>
        <v>0125FPC24-1</v>
      </c>
      <c r="AN827" s="66" t="str">
        <f>IF($F827="","",IF($AI827&lt;&gt;"",IF(COUNTIFS('Lot Balance'!$A$5:$A$500,$F827,'Lot Balance'!$B$5:$B$500,$AI827)=0,"⚠ override is not a lot of this item",IF($AI827=$AL827,"Override = FEFO","Override - FEFO says "&amp;$AL827)),IF($AL827="","⚠ no receipt on file for this item",IF($AM827&lt;&gt;$AL827,"FEFO auto - split, also "&amp;$AM827,"FEFO auto"))))</f>
        <v>FEFO auto</v>
      </c>
      <c r="AO827" s="114"/>
    </row>
    <row r="828" spans="1:41" x14ac:dyDescent="0.35">
      <c r="A828" s="74">
        <v>46168</v>
      </c>
      <c r="B828" s="18" t="str">
        <f>IF($C828="","",IFERROR(INDEX('Staff Directory'!$A$5:$A$594,MATCH($C828,'Staff Directory'!$B$5:$B$594,0)),"⚠ unknown staff"))</f>
        <v>PSW-167-A4</v>
      </c>
      <c r="C828" s="49" t="s">
        <v>1146</v>
      </c>
      <c r="D828" s="19" t="str">
        <f>IF($B828="","",IFERROR(INDEX('Staff Directory'!$C$5:$C$594,MATCH($B828,'Staff Directory'!$A$5:$A$594,0)),""))</f>
        <v>PSW</v>
      </c>
      <c r="E828" s="19" t="str">
        <f>IF($B828="","",IFERROR(INDEX('Staff Directory'!$D$5:$D$594,MATCH($B828,'Staff Directory'!$A$5:$A$594,0)),""))</f>
        <v>A4</v>
      </c>
      <c r="F828" s="9" t="s">
        <v>144</v>
      </c>
      <c r="G828" s="18" t="str">
        <f>IF($F828="","",IFERROR(INDEX(Items!$B$5:$B$597,MATCH($F828,Items!$A$5:$A$597,0)),"⚠ not in Items"))</f>
        <v>IPAC</v>
      </c>
      <c r="H828" s="19" t="str">
        <f>IF($F828="","",IFERROR(INDEX(Items!$C$5:$C$597,MATCH($F828,Items!$A$5:$A$597,0)),""))</f>
        <v>One Size</v>
      </c>
      <c r="I828" s="23">
        <f>IF($F828="","",IFERROR(INDEX(Items!$E$5:$E$597,MATCH($F828,Items!$A$5:$A$597,0)),""))</f>
        <v>4</v>
      </c>
      <c r="J828" s="115">
        <f>IF(tblIssues[[#This Row],[Qty Override]]&lt;&gt;"",tblIssues[[#This Row],[Qty Override]],IF(tblIssues[[#This Row],[Standard Issue]]="","",tblIssues[[#This Row],[Standard Issue]]))</f>
        <v>4</v>
      </c>
      <c r="K828" s="20">
        <f>IF($F828="","",IFERROR(INDEX(Items!$D$5:$D$597,MATCH($F828,Items!$A$5:$A$597,0)),""))</f>
        <v>145.97999999999999</v>
      </c>
      <c r="L828" s="21">
        <f t="shared" si="140"/>
        <v>583.91999999999996</v>
      </c>
      <c r="M828" s="9" t="str">
        <f t="shared" si="138"/>
        <v/>
      </c>
      <c r="N828" s="24">
        <f>IF($A828="","",WORKDAY($A828,Settings!$C$9,HolidayDates))</f>
        <v>46176</v>
      </c>
      <c r="O828" s="24">
        <f>IF($N828="","",WORKDAY($N828,Settings!$C$10,HolidayDates))</f>
        <v>46216</v>
      </c>
      <c r="P828" s="10" t="s">
        <v>501</v>
      </c>
      <c r="Q828" s="52" t="str">
        <f t="shared" si="141"/>
        <v>Collected</v>
      </c>
      <c r="R828" s="55" t="str">
        <f t="shared" si="142"/>
        <v>2026-05</v>
      </c>
      <c r="S828" s="55">
        <f>IF(OR($B828="",$F828="",$R828=""),"",SUMIFS(tblIssues[Qty Issued],tblIssues[Staff ID],$B828,tblIssues[Item Name],$F828,tblIssues[Month],$R828))</f>
        <v>4</v>
      </c>
      <c r="T828" s="56">
        <f>IF($I828="","",$I828*Settings!$C$11)</f>
        <v>4</v>
      </c>
      <c r="U828" s="57" t="str">
        <f t="shared" si="139"/>
        <v>OK</v>
      </c>
      <c r="V828" s="55" t="str">
        <f t="shared" si="143"/>
        <v/>
      </c>
      <c r="W828" s="55" t="str">
        <f>IF($V828="","",IF(COUNTIF($V$5:$V828,$V828)=1,1,""))</f>
        <v/>
      </c>
      <c r="X828" s="58" t="str">
        <f>IF($W828="","",MAX($X$4:X827)+1)</f>
        <v/>
      </c>
      <c r="Y828" s="62"/>
      <c r="Z828" s="62"/>
      <c r="AA828" s="64" t="str">
        <f>IF($C828="","",IFERROR(INDEX('Staff Directory'!$E$5:$E$594,MATCH($C828,'Staff Directory'!$B$5:$B$594,0)),""))</f>
        <v>firstname230.lastname230@example.com</v>
      </c>
      <c r="AB828" s="64" t="str">
        <f>IF($C828="","",IF(ISNUMBER(SEARCH($D828,Settings!$C$15)),"Pickup","Dispatch"))</f>
        <v>Pickup</v>
      </c>
      <c r="AC828" s="64" t="str">
        <f t="shared" si="144"/>
        <v>Supply order ready for pickup</v>
      </c>
      <c r="AD828" s="64" t="str">
        <f t="shared" si="135"/>
        <v>Dear PSW,
Your order is ready for pickup from Sample Branch, Wed-Fri 9am-4pm.</v>
      </c>
      <c r="AE828" s="64" t="str">
        <f t="shared" si="136"/>
        <v>mailto:firstname230.lastname230@example.com?subject=Supply%20order%20ready%20for%20pickup&amp;body=Dear%20PSW%2C%0A%0AYour%20order%20is%20ready%20for%20pickup%20from%20Sample%20Branch%2C%20Wed-Fri%209am-4pm.</v>
      </c>
      <c r="AF828" s="89" t="str">
        <f t="shared" si="145"/>
        <v>Draft email</v>
      </c>
      <c r="AG828" s="64" t="str">
        <f>IF($C828="","",IFERROR(INDEX('Staff Directory'!$K$595:$K$599,MATCH($C828,'Staff Directory'!$B$5:$B$599,0)),$D828))</f>
        <v>PSW</v>
      </c>
      <c r="AH828" t="str">
        <f>IF($C828="","",IFERROR(INDEX('Staff Directory'!$I$595:$I$599,MATCH($C828,'Staff Directory'!$B$5:$B$599,0))&amp;" "&amp;INDEX('Staff Directory'!$J$595:$J$599,MATCH($C828,'Staff Directory'!$B$5:$B$599,0)),$AG828))</f>
        <v>PSW</v>
      </c>
      <c r="AI828" s="102"/>
      <c r="AJ828" s="101">
        <f>IF($F828="","",SUMIFS($J$5:$J828,$F$5:$F828,$F828))</f>
        <v>12</v>
      </c>
      <c r="AK828" s="101">
        <f t="shared" si="137"/>
        <v>9</v>
      </c>
      <c r="AL828" s="66" t="str" cm="1">
        <f t="array" ref="AL828">IF($F828="","",IFERROR(INDEX('Lot Balance'!$B$5:$B$500,MATCH(1,INDEX(('Lot Balance'!$A$5:$A$500=$F828)*('Lot Balance'!$K$5:$K$500&lt;$AK828)*('Lot Balance'!$K$5:$K$500+'Lot Balance'!$D$5:$D$500&gt;=$AK828),0),0)),""))</f>
        <v/>
      </c>
      <c r="AM828" s="66" t="str" cm="1">
        <f t="array" ref="AM828">IF($F828="","",IFERROR(INDEX('Lot Balance'!$B$5:$B$500,MATCH(1,INDEX(('Lot Balance'!$A$5:$A$500=$F828)*('Lot Balance'!$K$5:$K$500&lt;$AJ828)*('Lot Balance'!$K$5:$K$500+'Lot Balance'!$D$5:$D$500&gt;=$AJ828),0),0)),""))</f>
        <v/>
      </c>
      <c r="AN828" s="66" t="str">
        <f>IF($F828="","",IF($AI828&lt;&gt;"",IF(COUNTIFS('Lot Balance'!$A$5:$A$500,$F828,'Lot Balance'!$B$5:$B$500,$AI828)=0,"⚠ override is not a lot of this item",IF($AI828=$AL828,"Override = FEFO","Override - FEFO says "&amp;$AL828)),IF($AL828="","⚠ no receipt on file for this item",IF($AM828&lt;&gt;$AL828,"FEFO auto - split, also "&amp;$AM828,"FEFO auto"))))</f>
        <v>⚠ no receipt on file for this item</v>
      </c>
      <c r="AO828" s="114"/>
    </row>
    <row r="829" spans="1:41" x14ac:dyDescent="0.35">
      <c r="A829" s="74">
        <v>46168</v>
      </c>
      <c r="B829" s="18" t="str">
        <f>IF($C829="","",IFERROR(INDEX('Staff Directory'!$A$5:$A$594,MATCH($C829,'Staff Directory'!$B$5:$B$594,0)),"⚠ unknown staff"))</f>
        <v>PSW-167-A4</v>
      </c>
      <c r="C829" s="49" t="s">
        <v>1146</v>
      </c>
      <c r="D829" s="19" t="str">
        <f>IF($B829="","",IFERROR(INDEX('Staff Directory'!$C$5:$C$594,MATCH($B829,'Staff Directory'!$A$5:$A$594,0)),""))</f>
        <v>PSW</v>
      </c>
      <c r="E829" s="19" t="str">
        <f>IF($B829="","",IFERROR(INDEX('Staff Directory'!$D$5:$D$594,MATCH($B829,'Staff Directory'!$A$5:$A$594,0)),""))</f>
        <v>A4</v>
      </c>
      <c r="F829" s="9" t="s">
        <v>154</v>
      </c>
      <c r="G829" s="18" t="str">
        <f>IF($F829="","",IFERROR(INDEX(Items!$B$5:$B$597,MATCH($F829,Items!$A$5:$A$597,0)),"⚠ not in Items"))</f>
        <v>IPAC</v>
      </c>
      <c r="H829" s="19" t="str">
        <f>IF($F829="","",IFERROR(INDEX(Items!$C$5:$C$597,MATCH($F829,Items!$A$5:$A$597,0)),""))</f>
        <v>Regular</v>
      </c>
      <c r="I829" s="23">
        <f>IF($F829="","",IFERROR(INDEX(Items!$E$5:$E$597,MATCH($F829,Items!$A$5:$A$597,0)),""))</f>
        <v>50</v>
      </c>
      <c r="J829" s="115">
        <f>IF(tblIssues[[#This Row],[Qty Override]]&lt;&gt;"",tblIssues[[#This Row],[Qty Override]],IF(tblIssues[[#This Row],[Standard Issue]]="","",tblIssues[[#This Row],[Standard Issue]]))</f>
        <v>50</v>
      </c>
      <c r="K829" s="20">
        <f>IF($F829="","",IFERROR(INDEX(Items!$D$5:$D$597,MATCH($F829,Items!$A$5:$A$597,0)),""))</f>
        <v>0.2</v>
      </c>
      <c r="L829" s="21">
        <f t="shared" si="140"/>
        <v>10</v>
      </c>
      <c r="M829" s="9">
        <f t="shared" si="138"/>
        <v>3024</v>
      </c>
      <c r="N829" s="24">
        <f>IF($A829="","",WORKDAY($A829,Settings!$C$9,HolidayDates))</f>
        <v>46176</v>
      </c>
      <c r="O829" s="24">
        <f>IF($N829="","",WORKDAY($N829,Settings!$C$10,HolidayDates))</f>
        <v>46216</v>
      </c>
      <c r="P829" s="10" t="s">
        <v>501</v>
      </c>
      <c r="Q829" s="52" t="str">
        <f t="shared" si="141"/>
        <v>Collected</v>
      </c>
      <c r="R829" s="55" t="str">
        <f t="shared" si="142"/>
        <v>2026-05</v>
      </c>
      <c r="S829" s="55">
        <f>IF(OR($B829="",$F829="",$R829=""),"",SUMIFS(tblIssues[Qty Issued],tblIssues[Staff ID],$B829,tblIssues[Item Name],$F829,tblIssues[Month],$R829))</f>
        <v>50</v>
      </c>
      <c r="T829" s="56">
        <f>IF($I829="","",$I829*Settings!$C$11)</f>
        <v>50</v>
      </c>
      <c r="U829" s="57" t="str">
        <f t="shared" si="139"/>
        <v>OK</v>
      </c>
      <c r="V829" s="55" t="str">
        <f t="shared" si="143"/>
        <v/>
      </c>
      <c r="W829" s="55" t="str">
        <f>IF($V829="","",IF(COUNTIF($V$5:$V829,$V829)=1,1,""))</f>
        <v/>
      </c>
      <c r="X829" s="58" t="str">
        <f>IF($W829="","",MAX($X$4:X828)+1)</f>
        <v/>
      </c>
      <c r="Y829" s="62"/>
      <c r="Z829" s="62"/>
      <c r="AA829" s="64" t="str">
        <f>IF($C829="","",IFERROR(INDEX('Staff Directory'!$E$5:$E$594,MATCH($C829,'Staff Directory'!$B$5:$B$594,0)),""))</f>
        <v>firstname230.lastname230@example.com</v>
      </c>
      <c r="AB829" s="64" t="str">
        <f>IF($C829="","",IF(ISNUMBER(SEARCH($D829,Settings!$C$15)),"Pickup","Dispatch"))</f>
        <v>Pickup</v>
      </c>
      <c r="AC829" s="64" t="str">
        <f t="shared" si="144"/>
        <v>Supply order ready for pickup</v>
      </c>
      <c r="AD829" s="64" t="str">
        <f t="shared" si="135"/>
        <v>Dear PSW,
Your order is ready for pickup from Sample Branch, Wed-Fri 9am-4pm.</v>
      </c>
      <c r="AE829" s="64" t="str">
        <f t="shared" si="136"/>
        <v>mailto:firstname230.lastname230@example.com?subject=Supply%20order%20ready%20for%20pickup&amp;body=Dear%20PSW%2C%0A%0AYour%20order%20is%20ready%20for%20pickup%20from%20Sample%20Branch%2C%20Wed-Fri%209am-4pm.</v>
      </c>
      <c r="AF829" s="89" t="str">
        <f t="shared" si="145"/>
        <v>Draft email</v>
      </c>
      <c r="AG829" s="64" t="str">
        <f>IF($C829="","",IFERROR(INDEX('Staff Directory'!$K$595:$K$599,MATCH($C829,'Staff Directory'!$B$5:$B$599,0)),$D829))</f>
        <v>PSW</v>
      </c>
      <c r="AH829" t="str">
        <f>IF($C829="","",IFERROR(INDEX('Staff Directory'!$I$595:$I$599,MATCH($C829,'Staff Directory'!$B$5:$B$599,0))&amp;" "&amp;INDEX('Staff Directory'!$J$595:$J$599,MATCH($C829,'Staff Directory'!$B$5:$B$599,0)),$AG829))</f>
        <v>PSW</v>
      </c>
      <c r="AI829" s="102"/>
      <c r="AJ829" s="101">
        <f>IF($F829="","",SUMIFS($J$5:$J829,$F$5:$F829,$F829))</f>
        <v>550</v>
      </c>
      <c r="AK829" s="101">
        <f t="shared" si="137"/>
        <v>501</v>
      </c>
      <c r="AL829" s="66" cm="1">
        <f t="array" ref="AL829">IF($F829="","",IFERROR(INDEX('Lot Balance'!$B$5:$B$500,MATCH(1,INDEX(('Lot Balance'!$A$5:$A$500=$F829)*('Lot Balance'!$K$5:$K$500&lt;$AK829)*('Lot Balance'!$K$5:$K$500+'Lot Balance'!$D$5:$D$500&gt;=$AK829),0),0)),""))</f>
        <v>3024</v>
      </c>
      <c r="AM829" s="66" cm="1">
        <f t="array" ref="AM829">IF($F829="","",IFERROR(INDEX('Lot Balance'!$B$5:$B$500,MATCH(1,INDEX(('Lot Balance'!$A$5:$A$500=$F829)*('Lot Balance'!$K$5:$K$500&lt;$AJ829)*('Lot Balance'!$K$5:$K$500+'Lot Balance'!$D$5:$D$500&gt;=$AJ829),0),0)),""))</f>
        <v>3024</v>
      </c>
      <c r="AN829" s="66" t="str">
        <f>IF($F829="","",IF($AI829&lt;&gt;"",IF(COUNTIFS('Lot Balance'!$A$5:$A$500,$F829,'Lot Balance'!$B$5:$B$500,$AI829)=0,"⚠ override is not a lot of this item",IF($AI829=$AL829,"Override = FEFO","Override - FEFO says "&amp;$AL829)),IF($AL829="","⚠ no receipt on file for this item",IF($AM829&lt;&gt;$AL829,"FEFO auto - split, also "&amp;$AM829,"FEFO auto"))))</f>
        <v>FEFO auto</v>
      </c>
      <c r="AO829" s="114"/>
    </row>
    <row r="830" spans="1:41" x14ac:dyDescent="0.35">
      <c r="A830" s="74">
        <v>46168</v>
      </c>
      <c r="B830" s="18" t="str">
        <f>IF($C830="","",IFERROR(INDEX('Staff Directory'!$A$5:$A$594,MATCH($C830,'Staff Directory'!$B$5:$B$594,0)),"⚠ unknown staff"))</f>
        <v>PSW-167-A4</v>
      </c>
      <c r="C830" s="49" t="s">
        <v>1146</v>
      </c>
      <c r="D830" s="19" t="str">
        <f>IF($B830="","",IFERROR(INDEX('Staff Directory'!$C$5:$C$594,MATCH($B830,'Staff Directory'!$A$5:$A$594,0)),""))</f>
        <v>PSW</v>
      </c>
      <c r="E830" s="19" t="str">
        <f>IF($B830="","",IFERROR(INDEX('Staff Directory'!$D$5:$D$594,MATCH($B830,'Staff Directory'!$A$5:$A$594,0)),""))</f>
        <v>A4</v>
      </c>
      <c r="F830" s="9" t="s">
        <v>150</v>
      </c>
      <c r="G830" s="18" t="str">
        <f>IF($F830="","",IFERROR(INDEX(Items!$B$5:$B$597,MATCH($F830,Items!$A$5:$A$597,0)),"⚠ not in Items"))</f>
        <v>Documents</v>
      </c>
      <c r="H830" s="19" t="str">
        <f>IF($F830="","",IFERROR(INDEX(Items!$C$5:$C$597,MATCH($F830,Items!$A$5:$A$597,0)),""))</f>
        <v>Standard</v>
      </c>
      <c r="I830" s="23">
        <f>IF($F830="","",IFERROR(INDEX(Items!$E$5:$E$597,MATCH($F830,Items!$A$5:$A$597,0)),""))</f>
        <v>1</v>
      </c>
      <c r="J830" s="115">
        <f>IF(tblIssues[[#This Row],[Qty Override]]&lt;&gt;"",tblIssues[[#This Row],[Qty Override]],IF(tblIssues[[#This Row],[Standard Issue]]="","",tblIssues[[#This Row],[Standard Issue]]))</f>
        <v>1</v>
      </c>
      <c r="K830" s="20">
        <f>IF($F830="","",IFERROR(INDEX(Items!$D$5:$D$597,MATCH($F830,Items!$A$5:$A$597,0)),""))</f>
        <v>0</v>
      </c>
      <c r="L830" s="21">
        <f t="shared" si="140"/>
        <v>0</v>
      </c>
      <c r="M830" s="9" t="str">
        <f t="shared" si="138"/>
        <v/>
      </c>
      <c r="N830" s="24">
        <f>IF($A830="","",WORKDAY($A830,Settings!$C$9,HolidayDates))</f>
        <v>46176</v>
      </c>
      <c r="O830" s="24">
        <f>IF($N830="","",WORKDAY($N830,Settings!$C$10,HolidayDates))</f>
        <v>46216</v>
      </c>
      <c r="P830" s="10" t="s">
        <v>501</v>
      </c>
      <c r="Q830" s="52" t="str">
        <f t="shared" si="141"/>
        <v>Collected</v>
      </c>
      <c r="R830" s="55" t="str">
        <f t="shared" si="142"/>
        <v>2026-05</v>
      </c>
      <c r="S830" s="55">
        <f>IF(OR($B830="",$F830="",$R830=""),"",SUMIFS(tblIssues[Qty Issued],tblIssues[Staff ID],$B830,tblIssues[Item Name],$F830,tblIssues[Month],$R830))</f>
        <v>1</v>
      </c>
      <c r="T830" s="56">
        <f>IF($I830="","",$I830*Settings!$C$11)</f>
        <v>1</v>
      </c>
      <c r="U830" s="57" t="str">
        <f t="shared" si="139"/>
        <v>OK</v>
      </c>
      <c r="V830" s="55" t="str">
        <f t="shared" si="143"/>
        <v/>
      </c>
      <c r="W830" s="55" t="str">
        <f>IF($V830="","",IF(COUNTIF($V$5:$V830,$V830)=1,1,""))</f>
        <v/>
      </c>
      <c r="X830" s="58" t="str">
        <f>IF($W830="","",MAX($X$4:X829)+1)</f>
        <v/>
      </c>
      <c r="Y830" s="62"/>
      <c r="Z830" s="62"/>
      <c r="AA830" s="64" t="str">
        <f>IF($C830="","",IFERROR(INDEX('Staff Directory'!$E$5:$E$594,MATCH($C830,'Staff Directory'!$B$5:$B$594,0)),""))</f>
        <v>firstname230.lastname230@example.com</v>
      </c>
      <c r="AB830" s="64" t="str">
        <f>IF($C830="","",IF(ISNUMBER(SEARCH($D830,Settings!$C$15)),"Pickup","Dispatch"))</f>
        <v>Pickup</v>
      </c>
      <c r="AC830" s="64" t="str">
        <f t="shared" si="144"/>
        <v>Supply order ready for pickup</v>
      </c>
      <c r="AD830" s="64" t="str">
        <f t="shared" si="135"/>
        <v>Dear PSW,
Your order is ready for pickup from Sample Branch, Wed-Fri 9am-4pm.</v>
      </c>
      <c r="AE830" s="64" t="str">
        <f t="shared" si="136"/>
        <v>mailto:firstname230.lastname230@example.com?subject=Supply%20order%20ready%20for%20pickup&amp;body=Dear%20PSW%2C%0A%0AYour%20order%20is%20ready%20for%20pickup%20from%20Sample%20Branch%2C%20Wed-Fri%209am-4pm.</v>
      </c>
      <c r="AF830" s="89" t="str">
        <f t="shared" si="145"/>
        <v>Draft email</v>
      </c>
      <c r="AG830" s="64" t="str">
        <f>IF($C830="","",IFERROR(INDEX('Staff Directory'!$K$595:$K$599,MATCH($C830,'Staff Directory'!$B$5:$B$599,0)),$D830))</f>
        <v>PSW</v>
      </c>
      <c r="AH830" t="str">
        <f>IF($C830="","",IFERROR(INDEX('Staff Directory'!$I$595:$I$599,MATCH($C830,'Staff Directory'!$B$5:$B$599,0))&amp;" "&amp;INDEX('Staff Directory'!$J$595:$J$599,MATCH($C830,'Staff Directory'!$B$5:$B$599,0)),$AG830))</f>
        <v>PSW</v>
      </c>
      <c r="AI830" s="102"/>
      <c r="AJ830" s="101">
        <f>IF($F830="","",SUMIFS($J$5:$J830,$F$5:$F830,$F830))</f>
        <v>2</v>
      </c>
      <c r="AK830" s="101">
        <f t="shared" si="137"/>
        <v>2</v>
      </c>
      <c r="AL830" s="66" t="str" cm="1">
        <f t="array" ref="AL830">IF($F830="","",IFERROR(INDEX('Lot Balance'!$B$5:$B$500,MATCH(1,INDEX(('Lot Balance'!$A$5:$A$500=$F830)*('Lot Balance'!$K$5:$K$500&lt;$AK830)*('Lot Balance'!$K$5:$K$500+'Lot Balance'!$D$5:$D$500&gt;=$AK830),0),0)),""))</f>
        <v/>
      </c>
      <c r="AM830" s="66" t="str" cm="1">
        <f t="array" ref="AM830">IF($F830="","",IFERROR(INDEX('Lot Balance'!$B$5:$B$500,MATCH(1,INDEX(('Lot Balance'!$A$5:$A$500=$F830)*('Lot Balance'!$K$5:$K$500&lt;$AJ830)*('Lot Balance'!$K$5:$K$500+'Lot Balance'!$D$5:$D$500&gt;=$AJ830),0),0)),""))</f>
        <v/>
      </c>
      <c r="AN830" s="66" t="str">
        <f>IF($F830="","",IF($AI830&lt;&gt;"",IF(COUNTIFS('Lot Balance'!$A$5:$A$500,$F830,'Lot Balance'!$B$5:$B$500,$AI830)=0,"⚠ override is not a lot of this item",IF($AI830=$AL830,"Override = FEFO","Override - FEFO says "&amp;$AL830)),IF($AL830="","⚠ no receipt on file for this item",IF($AM830&lt;&gt;$AL830,"FEFO auto - split, also "&amp;$AM830,"FEFO auto"))))</f>
        <v>⚠ no receipt on file for this item</v>
      </c>
      <c r="AO830" s="114"/>
    </row>
    <row r="831" spans="1:41" x14ac:dyDescent="0.35">
      <c r="A831" s="74">
        <v>46168</v>
      </c>
      <c r="B831" s="18" t="str">
        <f>IF($C831="","",IFERROR(INDEX('Staff Directory'!$A$5:$A$594,MATCH($C831,'Staff Directory'!$B$5:$B$594,0)),"⚠ unknown staff"))</f>
        <v>PSW-138-A4</v>
      </c>
      <c r="C831" s="49" t="s">
        <v>1117</v>
      </c>
      <c r="D831" s="19" t="str">
        <f>IF($B831="","",IFERROR(INDEX('Staff Directory'!$C$5:$C$594,MATCH($B831,'Staff Directory'!$A$5:$A$594,0)),""))</f>
        <v>PSW</v>
      </c>
      <c r="E831" s="19" t="str">
        <f>IF($B831="","",IFERROR(INDEX('Staff Directory'!$D$5:$D$594,MATCH($B831,'Staff Directory'!$A$5:$A$594,0)),""))</f>
        <v>A4</v>
      </c>
      <c r="F831" s="9" t="s">
        <v>127</v>
      </c>
      <c r="G831" s="18" t="str">
        <f>IF($F831="","",IFERROR(INDEX(Items!$B$5:$B$597,MATCH($F831,Items!$A$5:$A$597,0)),"⚠ not in Items"))</f>
        <v>Gloves</v>
      </c>
      <c r="H831" s="19" t="str">
        <f>IF($F831="","",IFERROR(INDEX(Items!$C$5:$C$597,MATCH($F831,Items!$A$5:$A$597,0)),""))</f>
        <v>Medium</v>
      </c>
      <c r="I831" s="23">
        <f>IF($F831="","",IFERROR(INDEX(Items!$E$5:$E$597,MATCH($F831,Items!$A$5:$A$597,0)),""))</f>
        <v>500</v>
      </c>
      <c r="J831" s="115">
        <f>IF(tblIssues[[#This Row],[Qty Override]]&lt;&gt;"",tblIssues[[#This Row],[Qty Override]],IF(tblIssues[[#This Row],[Standard Issue]]="","",tblIssues[[#This Row],[Standard Issue]]))</f>
        <v>500</v>
      </c>
      <c r="K831" s="20">
        <f>IF($F831="","",IFERROR(INDEX(Items!$D$5:$D$597,MATCH($F831,Items!$A$5:$A$597,0)),""))</f>
        <v>5.5E-2</v>
      </c>
      <c r="L831" s="21">
        <f t="shared" si="140"/>
        <v>27.5</v>
      </c>
      <c r="M831" s="9" t="str">
        <f t="shared" si="138"/>
        <v>ZIM504126040-4</v>
      </c>
      <c r="N831" s="24">
        <f>IF($A831="","",WORKDAY($A831,Settings!$C$9,HolidayDates))</f>
        <v>46176</v>
      </c>
      <c r="O831" s="24">
        <f>IF($N831="","",WORKDAY($N831,Settings!$C$10,HolidayDates))</f>
        <v>46216</v>
      </c>
      <c r="P831" s="10" t="s">
        <v>501</v>
      </c>
      <c r="Q831" s="52" t="str">
        <f t="shared" si="141"/>
        <v>Collected</v>
      </c>
      <c r="R831" s="55" t="str">
        <f t="shared" si="142"/>
        <v>2026-05</v>
      </c>
      <c r="S831" s="55">
        <f>IF(OR($B831="",$F831="",$R831=""),"",SUMIFS(tblIssues[Qty Issued],tblIssues[Staff ID],$B831,tblIssues[Item Name],$F831,tblIssues[Month],$R831))</f>
        <v>500</v>
      </c>
      <c r="T831" s="56">
        <f>IF($I831="","",$I831*Settings!$C$11)</f>
        <v>500</v>
      </c>
      <c r="U831" s="57" t="str">
        <f t="shared" si="139"/>
        <v>OK</v>
      </c>
      <c r="V831" s="55" t="str">
        <f t="shared" si="143"/>
        <v/>
      </c>
      <c r="W831" s="55" t="str">
        <f>IF($V831="","",IF(COUNTIF($V$5:$V831,$V831)=1,1,""))</f>
        <v/>
      </c>
      <c r="X831" s="58" t="str">
        <f>IF($W831="","",MAX($X$4:X830)+1)</f>
        <v/>
      </c>
      <c r="Y831" s="62"/>
      <c r="Z831" s="62"/>
      <c r="AA831" s="64" t="str">
        <f>IF($C831="","",IFERROR(INDEX('Staff Directory'!$E$5:$E$594,MATCH($C831,'Staff Directory'!$B$5:$B$594,0)),""))</f>
        <v>firstname201.lastname201@example.com</v>
      </c>
      <c r="AB831" s="64" t="str">
        <f>IF($C831="","",IF(ISNUMBER(SEARCH($D831,Settings!$C$15)),"Pickup","Dispatch"))</f>
        <v>Pickup</v>
      </c>
      <c r="AC831" s="64" t="str">
        <f t="shared" si="144"/>
        <v>Supply order ready for pickup</v>
      </c>
      <c r="AD831" s="64" t="str">
        <f t="shared" si="135"/>
        <v>Dear PSW,
Your order is ready for pickup from Sample Branch, Wed-Fri 9am-4pm.</v>
      </c>
      <c r="AE831" s="64" t="str">
        <f t="shared" si="136"/>
        <v>mailto:firstname201.lastname201@example.com?subject=Supply%20order%20ready%20for%20pickup&amp;body=Dear%20PSW%2C%0A%0AYour%20order%20is%20ready%20for%20pickup%20from%20Sample%20Branch%2C%20Wed-Fri%209am-4pm.</v>
      </c>
      <c r="AF831" s="89" t="str">
        <f t="shared" si="145"/>
        <v>Draft email</v>
      </c>
      <c r="AG831" s="64" t="str">
        <f>IF($C831="","",IFERROR(INDEX('Staff Directory'!$K$595:$K$599,MATCH($C831,'Staff Directory'!$B$5:$B$599,0)),$D831))</f>
        <v>PSW</v>
      </c>
      <c r="AH831" t="str">
        <f>IF($C831="","",IFERROR(INDEX('Staff Directory'!$I$595:$I$599,MATCH($C831,'Staff Directory'!$B$5:$B$599,0))&amp;" "&amp;INDEX('Staff Directory'!$J$595:$J$599,MATCH($C831,'Staff Directory'!$B$5:$B$599,0)),$AG831))</f>
        <v>PSW</v>
      </c>
      <c r="AI831" s="102"/>
      <c r="AJ831" s="101">
        <f>IF($F831="","",SUMIFS($J$5:$J831,$F$5:$F831,$F831))</f>
        <v>49500</v>
      </c>
      <c r="AK831" s="101">
        <f t="shared" si="137"/>
        <v>49001</v>
      </c>
      <c r="AL831" s="66" t="str" cm="1">
        <f t="array" ref="AL831">IF($F831="","",IFERROR(INDEX('Lot Balance'!$B$5:$B$500,MATCH(1,INDEX(('Lot Balance'!$A$5:$A$500=$F831)*('Lot Balance'!$K$5:$K$500&lt;$AK831)*('Lot Balance'!$K$5:$K$500+'Lot Balance'!$D$5:$D$500&gt;=$AK831),0),0)),""))</f>
        <v>ZIM504126040-4</v>
      </c>
      <c r="AM831" s="66" t="str" cm="1">
        <f t="array" ref="AM831">IF($F831="","",IFERROR(INDEX('Lot Balance'!$B$5:$B$500,MATCH(1,INDEX(('Lot Balance'!$A$5:$A$500=$F831)*('Lot Balance'!$K$5:$K$500&lt;$AJ831)*('Lot Balance'!$K$5:$K$500+'Lot Balance'!$D$5:$D$500&gt;=$AJ831),0),0)),""))</f>
        <v>ZIM504126040-4</v>
      </c>
      <c r="AN831" s="66" t="str">
        <f>IF($F831="","",IF($AI831&lt;&gt;"",IF(COUNTIFS('Lot Balance'!$A$5:$A$500,$F831,'Lot Balance'!$B$5:$B$500,$AI831)=0,"⚠ override is not a lot of this item",IF($AI831=$AL831,"Override = FEFO","Override - FEFO says "&amp;$AL831)),IF($AL831="","⚠ no receipt on file for this item",IF($AM831&lt;&gt;$AL831,"FEFO auto - split, also "&amp;$AM831,"FEFO auto"))))</f>
        <v>FEFO auto</v>
      </c>
      <c r="AO831" s="114"/>
    </row>
    <row r="832" spans="1:41" x14ac:dyDescent="0.35">
      <c r="A832" s="74">
        <v>46168</v>
      </c>
      <c r="B832" s="18" t="str">
        <f>IF($C832="","",IFERROR(INDEX('Staff Directory'!$A$5:$A$594,MATCH($C832,'Staff Directory'!$B$5:$B$594,0)),"⚠ unknown staff"))</f>
        <v>PSW-138-A4</v>
      </c>
      <c r="C832" s="49" t="s">
        <v>1117</v>
      </c>
      <c r="D832" s="19" t="str">
        <f>IF($B832="","",IFERROR(INDEX('Staff Directory'!$C$5:$C$594,MATCH($B832,'Staff Directory'!$A$5:$A$594,0)),""))</f>
        <v>PSW</v>
      </c>
      <c r="E832" s="19" t="str">
        <f>IF($B832="","",IFERROR(INDEX('Staff Directory'!$D$5:$D$594,MATCH($B832,'Staff Directory'!$A$5:$A$594,0)),""))</f>
        <v>A4</v>
      </c>
      <c r="F832" s="9" t="s">
        <v>191</v>
      </c>
      <c r="G832" s="18" t="str">
        <f>IF($F832="","",IFERROR(INDEX(Items!$B$5:$B$597,MATCH($F832,Items!$A$5:$A$597,0)),"⚠ not in Items"))</f>
        <v>Sanitizer</v>
      </c>
      <c r="H832" s="19" t="str">
        <f>IF($F832="","",IFERROR(INDEX(Items!$C$5:$C$597,MATCH($F832,Items!$A$5:$A$597,0)),""))</f>
        <v>236 ML</v>
      </c>
      <c r="I832" s="23">
        <f>IF($F832="","",IFERROR(INDEX(Items!$E$5:$E$597,MATCH($F832,Items!$A$5:$A$597,0)),""))</f>
        <v>1</v>
      </c>
      <c r="J832" s="115">
        <f>IF(tblIssues[[#This Row],[Qty Override]]&lt;&gt;"",tblIssues[[#This Row],[Qty Override]],IF(tblIssues[[#This Row],[Standard Issue]]="","",tblIssues[[#This Row],[Standard Issue]]))</f>
        <v>1</v>
      </c>
      <c r="K832" s="20">
        <f>IF($F832="","",IFERROR(INDEX(Items!$D$5:$D$597,MATCH($F832,Items!$A$5:$A$597,0)),""))</f>
        <v>1E-4</v>
      </c>
      <c r="L832" s="21">
        <f t="shared" si="140"/>
        <v>1E-4</v>
      </c>
      <c r="M832" s="9" t="str">
        <f t="shared" si="138"/>
        <v>20-21734-4</v>
      </c>
      <c r="N832" s="24">
        <f>IF($A832="","",WORKDAY($A832,Settings!$C$9,HolidayDates))</f>
        <v>46176</v>
      </c>
      <c r="O832" s="24">
        <f>IF($N832="","",WORKDAY($N832,Settings!$C$10,HolidayDates))</f>
        <v>46216</v>
      </c>
      <c r="P832" s="10" t="s">
        <v>501</v>
      </c>
      <c r="Q832" s="52" t="str">
        <f t="shared" si="141"/>
        <v>Collected</v>
      </c>
      <c r="R832" s="55" t="str">
        <f t="shared" si="142"/>
        <v>2026-05</v>
      </c>
      <c r="S832" s="55">
        <f>IF(OR($B832="",$F832="",$R832=""),"",SUMIFS(tblIssues[Qty Issued],tblIssues[Staff ID],$B832,tblIssues[Item Name],$F832,tblIssues[Month],$R832))</f>
        <v>1</v>
      </c>
      <c r="T832" s="56">
        <f>IF($I832="","",$I832*Settings!$C$11)</f>
        <v>1</v>
      </c>
      <c r="U832" s="57" t="str">
        <f t="shared" si="139"/>
        <v>OK</v>
      </c>
      <c r="V832" s="55" t="str">
        <f t="shared" si="143"/>
        <v/>
      </c>
      <c r="W832" s="55" t="str">
        <f>IF($V832="","",IF(COUNTIF($V$5:$V832,$V832)=1,1,""))</f>
        <v/>
      </c>
      <c r="X832" s="58" t="str">
        <f>IF($W832="","",MAX($X$4:X831)+1)</f>
        <v/>
      </c>
      <c r="Y832" s="62"/>
      <c r="Z832" s="62"/>
      <c r="AA832" s="64" t="str">
        <f>IF($C832="","",IFERROR(INDEX('Staff Directory'!$E$5:$E$594,MATCH($C832,'Staff Directory'!$B$5:$B$594,0)),""))</f>
        <v>firstname201.lastname201@example.com</v>
      </c>
      <c r="AB832" s="64" t="str">
        <f>IF($C832="","",IF(ISNUMBER(SEARCH($D832,Settings!$C$15)),"Pickup","Dispatch"))</f>
        <v>Pickup</v>
      </c>
      <c r="AC832" s="64" t="str">
        <f t="shared" si="144"/>
        <v>Supply order ready for pickup</v>
      </c>
      <c r="AD832" s="64" t="str">
        <f t="shared" si="135"/>
        <v>Dear PSW,
Your order is ready for pickup from Sample Branch, Wed-Fri 9am-4pm.</v>
      </c>
      <c r="AE832" s="64" t="str">
        <f t="shared" si="136"/>
        <v>mailto:firstname201.lastname201@example.com?subject=Supply%20order%20ready%20for%20pickup&amp;body=Dear%20PSW%2C%0A%0AYour%20order%20is%20ready%20for%20pickup%20from%20Sample%20Branch%2C%20Wed-Fri%209am-4pm.</v>
      </c>
      <c r="AF832" s="89" t="str">
        <f t="shared" si="145"/>
        <v>Draft email</v>
      </c>
      <c r="AG832" s="64" t="str">
        <f>IF($C832="","",IFERROR(INDEX('Staff Directory'!$K$595:$K$599,MATCH($C832,'Staff Directory'!$B$5:$B$599,0)),$D832))</f>
        <v>PSW</v>
      </c>
      <c r="AH832" t="str">
        <f>IF($C832="","",IFERROR(INDEX('Staff Directory'!$I$595:$I$599,MATCH($C832,'Staff Directory'!$B$5:$B$599,0))&amp;" "&amp;INDEX('Staff Directory'!$J$595:$J$599,MATCH($C832,'Staff Directory'!$B$5:$B$599,0)),$AG832))</f>
        <v>PSW</v>
      </c>
      <c r="AI832" s="102"/>
      <c r="AJ832" s="101">
        <f>IF($F832="","",SUMIFS($J$5:$J832,$F$5:$F832,$F832))</f>
        <v>104</v>
      </c>
      <c r="AK832" s="101">
        <f t="shared" si="137"/>
        <v>104</v>
      </c>
      <c r="AL832" s="66" t="str" cm="1">
        <f t="array" ref="AL832">IF($F832="","",IFERROR(INDEX('Lot Balance'!$B$5:$B$500,MATCH(1,INDEX(('Lot Balance'!$A$5:$A$500=$F832)*('Lot Balance'!$K$5:$K$500&lt;$AK832)*('Lot Balance'!$K$5:$K$500+'Lot Balance'!$D$5:$D$500&gt;=$AK832),0),0)),""))</f>
        <v>20-21734-4</v>
      </c>
      <c r="AM832" s="66" t="str" cm="1">
        <f t="array" ref="AM832">IF($F832="","",IFERROR(INDEX('Lot Balance'!$B$5:$B$500,MATCH(1,INDEX(('Lot Balance'!$A$5:$A$500=$F832)*('Lot Balance'!$K$5:$K$500&lt;$AJ832)*('Lot Balance'!$K$5:$K$500+'Lot Balance'!$D$5:$D$500&gt;=$AJ832),0),0)),""))</f>
        <v>20-21734-4</v>
      </c>
      <c r="AN832" s="66" t="str">
        <f>IF($F832="","",IF($AI832&lt;&gt;"",IF(COUNTIFS('Lot Balance'!$A$5:$A$500,$F832,'Lot Balance'!$B$5:$B$500,$AI832)=0,"⚠ override is not a lot of this item",IF($AI832=$AL832,"Override = FEFO","Override - FEFO says "&amp;$AL832)),IF($AL832="","⚠ no receipt on file for this item",IF($AM832&lt;&gt;$AL832,"FEFO auto - split, also "&amp;$AM832,"FEFO auto"))))</f>
        <v>FEFO auto</v>
      </c>
      <c r="AO832" s="114"/>
    </row>
    <row r="833" spans="1:41" x14ac:dyDescent="0.35">
      <c r="A833" s="74">
        <v>46168</v>
      </c>
      <c r="B833" s="18" t="str">
        <f>IF($C833="","",IFERROR(INDEX('Staff Directory'!$A$5:$A$594,MATCH($C833,'Staff Directory'!$B$5:$B$594,0)),"⚠ unknown staff"))</f>
        <v>PSW-138-A4</v>
      </c>
      <c r="C833" s="49" t="s">
        <v>1117</v>
      </c>
      <c r="D833" s="19" t="str">
        <f>IF($B833="","",IFERROR(INDEX('Staff Directory'!$C$5:$C$594,MATCH($B833,'Staff Directory'!$A$5:$A$594,0)),""))</f>
        <v>PSW</v>
      </c>
      <c r="E833" s="19" t="str">
        <f>IF($B833="","",IFERROR(INDEX('Staff Directory'!$D$5:$D$594,MATCH($B833,'Staff Directory'!$A$5:$A$594,0)),""))</f>
        <v>A4</v>
      </c>
      <c r="F833" s="9" t="s">
        <v>115</v>
      </c>
      <c r="G833" s="18" t="str">
        <f>IF($F833="","",IFERROR(INDEX(Items!$B$5:$B$597,MATCH($F833,Items!$A$5:$A$597,0)),"⚠ not in Items"))</f>
        <v>Wipes</v>
      </c>
      <c r="H833" s="19">
        <f>IF($F833="","",IFERROR(INDEX(Items!$C$5:$C$597,MATCH($F833,Items!$A$5:$A$597,0)),""))</f>
        <v>80</v>
      </c>
      <c r="I833" s="23">
        <f>IF($F833="","",IFERROR(INDEX(Items!$E$5:$E$597,MATCH($F833,Items!$A$5:$A$597,0)),""))</f>
        <v>80</v>
      </c>
      <c r="J833" s="115">
        <f>IF(tblIssues[[#This Row],[Qty Override]]&lt;&gt;"",tblIssues[[#This Row],[Qty Override]],IF(tblIssues[[#This Row],[Standard Issue]]="","",tblIssues[[#This Row],[Standard Issue]]))</f>
        <v>80</v>
      </c>
      <c r="K833" s="20">
        <f>IF($F833="","",IFERROR(INDEX(Items!$D$5:$D$597,MATCH($F833,Items!$A$5:$A$597,0)),""))</f>
        <v>0.1</v>
      </c>
      <c r="L833" s="21">
        <f t="shared" si="140"/>
        <v>8</v>
      </c>
      <c r="M833" s="9" t="str">
        <f t="shared" si="138"/>
        <v>LYSL500290</v>
      </c>
      <c r="N833" s="24">
        <f>IF($A833="","",WORKDAY($A833,Settings!$C$9,HolidayDates))</f>
        <v>46176</v>
      </c>
      <c r="O833" s="24">
        <f>IF($N833="","",WORKDAY($N833,Settings!$C$10,HolidayDates))</f>
        <v>46216</v>
      </c>
      <c r="P833" s="10" t="s">
        <v>501</v>
      </c>
      <c r="Q833" s="52" t="str">
        <f t="shared" si="141"/>
        <v>Collected</v>
      </c>
      <c r="R833" s="55" t="str">
        <f t="shared" si="142"/>
        <v>2026-05</v>
      </c>
      <c r="S833" s="55">
        <f>IF(OR($B833="",$F833="",$R833=""),"",SUMIFS(tblIssues[Qty Issued],tblIssues[Staff ID],$B833,tblIssues[Item Name],$F833,tblIssues[Month],$R833))</f>
        <v>80</v>
      </c>
      <c r="T833" s="56">
        <f>IF($I833="","",$I833*Settings!$C$11)</f>
        <v>80</v>
      </c>
      <c r="U833" s="57" t="str">
        <f t="shared" si="139"/>
        <v>OK</v>
      </c>
      <c r="V833" s="55" t="str">
        <f t="shared" si="143"/>
        <v/>
      </c>
      <c r="W833" s="55" t="str">
        <f>IF($V833="","",IF(COUNTIF($V$5:$V833,$V833)=1,1,""))</f>
        <v/>
      </c>
      <c r="X833" s="58" t="str">
        <f>IF($W833="","",MAX($X$4:X832)+1)</f>
        <v/>
      </c>
      <c r="Y833" s="62"/>
      <c r="Z833" s="62"/>
      <c r="AA833" s="64" t="str">
        <f>IF($C833="","",IFERROR(INDEX('Staff Directory'!$E$5:$E$594,MATCH($C833,'Staff Directory'!$B$5:$B$594,0)),""))</f>
        <v>firstname201.lastname201@example.com</v>
      </c>
      <c r="AB833" s="64" t="str">
        <f>IF($C833="","",IF(ISNUMBER(SEARCH($D833,Settings!$C$15)),"Pickup","Dispatch"))</f>
        <v>Pickup</v>
      </c>
      <c r="AC833" s="64" t="str">
        <f t="shared" si="144"/>
        <v>Supply order ready for pickup</v>
      </c>
      <c r="AD833" s="64" t="str">
        <f t="shared" si="135"/>
        <v>Dear PSW,
Your order is ready for pickup from Sample Branch, Wed-Fri 9am-4pm.</v>
      </c>
      <c r="AE833" s="64" t="str">
        <f t="shared" si="136"/>
        <v>mailto:firstname201.lastname201@example.com?subject=Supply%20order%20ready%20for%20pickup&amp;body=Dear%20PSW%2C%0A%0AYour%20order%20is%20ready%20for%20pickup%20from%20Sample%20Branch%2C%20Wed-Fri%209am-4pm.</v>
      </c>
      <c r="AF833" s="89" t="str">
        <f t="shared" si="145"/>
        <v>Draft email</v>
      </c>
      <c r="AG833" s="64" t="str">
        <f>IF($C833="","",IFERROR(INDEX('Staff Directory'!$K$595:$K$599,MATCH($C833,'Staff Directory'!$B$5:$B$599,0)),$D833))</f>
        <v>PSW</v>
      </c>
      <c r="AH833" t="str">
        <f>IF($C833="","",IFERROR(INDEX('Staff Directory'!$I$595:$I$599,MATCH($C833,'Staff Directory'!$B$5:$B$599,0))&amp;" "&amp;INDEX('Staff Directory'!$J$595:$J$599,MATCH($C833,'Staff Directory'!$B$5:$B$599,0)),$AG833))</f>
        <v>PSW</v>
      </c>
      <c r="AI833" s="102"/>
      <c r="AJ833" s="101">
        <f>IF($F833="","",SUMIFS($J$5:$J833,$F$5:$F833,$F833))</f>
        <v>11440</v>
      </c>
      <c r="AK833" s="101">
        <f t="shared" si="137"/>
        <v>11361</v>
      </c>
      <c r="AL833" s="66" t="str" cm="1">
        <f t="array" ref="AL833">IF($F833="","",IFERROR(INDEX('Lot Balance'!$B$5:$B$500,MATCH(1,INDEX(('Lot Balance'!$A$5:$A$500=$F833)*('Lot Balance'!$K$5:$K$500&lt;$AK833)*('Lot Balance'!$K$5:$K$500+'Lot Balance'!$D$5:$D$500&gt;=$AK833),0),0)),""))</f>
        <v>LYSL500290</v>
      </c>
      <c r="AM833" s="66" t="str" cm="1">
        <f t="array" ref="AM833">IF($F833="","",IFERROR(INDEX('Lot Balance'!$B$5:$B$500,MATCH(1,INDEX(('Lot Balance'!$A$5:$A$500=$F833)*('Lot Balance'!$K$5:$K$500&lt;$AJ833)*('Lot Balance'!$K$5:$K$500+'Lot Balance'!$D$5:$D$500&gt;=$AJ833),0),0)),""))</f>
        <v>LYSL500290</v>
      </c>
      <c r="AN833" s="66" t="str">
        <f>IF($F833="","",IF($AI833&lt;&gt;"",IF(COUNTIFS('Lot Balance'!$A$5:$A$500,$F833,'Lot Balance'!$B$5:$B$500,$AI833)=0,"⚠ override is not a lot of this item",IF($AI833=$AL833,"Override = FEFO","Override - FEFO says "&amp;$AL833)),IF($AL833="","⚠ no receipt on file for this item",IF($AM833&lt;&gt;$AL833,"FEFO auto - split, also "&amp;$AM833,"FEFO auto"))))</f>
        <v>FEFO auto</v>
      </c>
      <c r="AO833" s="114"/>
    </row>
    <row r="834" spans="1:41" x14ac:dyDescent="0.35">
      <c r="A834" s="74">
        <v>46168</v>
      </c>
      <c r="B834" s="18" t="str">
        <f>IF($C834="","",IFERROR(INDEX('Staff Directory'!$A$5:$A$594,MATCH($C834,'Staff Directory'!$B$5:$B$594,0)),"⚠ unknown staff"))</f>
        <v>PSW-138-A4</v>
      </c>
      <c r="C834" s="49" t="s">
        <v>1117</v>
      </c>
      <c r="D834" s="19" t="str">
        <f>IF($B834="","",IFERROR(INDEX('Staff Directory'!$C$5:$C$594,MATCH($B834,'Staff Directory'!$A$5:$A$594,0)),""))</f>
        <v>PSW</v>
      </c>
      <c r="E834" s="19" t="str">
        <f>IF($B834="","",IFERROR(INDEX('Staff Directory'!$D$5:$D$594,MATCH($B834,'Staff Directory'!$A$5:$A$594,0)),""))</f>
        <v>A4</v>
      </c>
      <c r="F834" s="9" t="s">
        <v>156</v>
      </c>
      <c r="G834" s="18" t="str">
        <f>IF($F834="","",IFERROR(INDEX(Items!$B$5:$B$597,MATCH($F834,Items!$A$5:$A$597,0)),"⚠ not in Items"))</f>
        <v>Masks</v>
      </c>
      <c r="H834" s="19" t="str">
        <f>IF($F834="","",IFERROR(INDEX(Items!$C$5:$C$597,MATCH($F834,Items!$A$5:$A$597,0)),""))</f>
        <v>One Size</v>
      </c>
      <c r="I834" s="23">
        <f>IF($F834="","",IFERROR(INDEX(Items!$E$5:$E$597,MATCH($F834,Items!$A$5:$A$597,0)),""))</f>
        <v>50</v>
      </c>
      <c r="J834" s="115">
        <f>IF(tblIssues[[#This Row],[Qty Override]]&lt;&gt;"",tblIssues[[#This Row],[Qty Override]],IF(tblIssues[[#This Row],[Standard Issue]]="","",tblIssues[[#This Row],[Standard Issue]]))</f>
        <v>50</v>
      </c>
      <c r="K834" s="20">
        <f>IF($F834="","",IFERROR(INDEX(Items!$D$5:$D$597,MATCH($F834,Items!$A$5:$A$597,0)),""))</f>
        <v>0.25</v>
      </c>
      <c r="L834" s="21">
        <f t="shared" si="140"/>
        <v>12.5</v>
      </c>
      <c r="M834" s="9" t="str">
        <f t="shared" si="138"/>
        <v>0125FPC24-1</v>
      </c>
      <c r="N834" s="24">
        <f>IF($A834="","",WORKDAY($A834,Settings!$C$9,HolidayDates))</f>
        <v>46176</v>
      </c>
      <c r="O834" s="24">
        <f>IF($N834="","",WORKDAY($N834,Settings!$C$10,HolidayDates))</f>
        <v>46216</v>
      </c>
      <c r="P834" s="10" t="s">
        <v>501</v>
      </c>
      <c r="Q834" s="52" t="str">
        <f t="shared" si="141"/>
        <v>Collected</v>
      </c>
      <c r="R834" s="55" t="str">
        <f t="shared" si="142"/>
        <v>2026-05</v>
      </c>
      <c r="S834" s="55">
        <f>IF(OR($B834="",$F834="",$R834=""),"",SUMIFS(tblIssues[Qty Issued],tblIssues[Staff ID],$B834,tblIssues[Item Name],$F834,tblIssues[Month],$R834))</f>
        <v>50</v>
      </c>
      <c r="T834" s="56">
        <f>IF($I834="","",$I834*Settings!$C$11)</f>
        <v>50</v>
      </c>
      <c r="U834" s="57" t="str">
        <f t="shared" si="139"/>
        <v>OK</v>
      </c>
      <c r="V834" s="55" t="str">
        <f t="shared" si="143"/>
        <v/>
      </c>
      <c r="W834" s="55" t="str">
        <f>IF($V834="","",IF(COUNTIF($V$5:$V834,$V834)=1,1,""))</f>
        <v/>
      </c>
      <c r="X834" s="58" t="str">
        <f>IF($W834="","",MAX($X$4:X833)+1)</f>
        <v/>
      </c>
      <c r="Y834" s="62"/>
      <c r="Z834" s="62"/>
      <c r="AA834" s="64" t="str">
        <f>IF($C834="","",IFERROR(INDEX('Staff Directory'!$E$5:$E$594,MATCH($C834,'Staff Directory'!$B$5:$B$594,0)),""))</f>
        <v>firstname201.lastname201@example.com</v>
      </c>
      <c r="AB834" s="64" t="str">
        <f>IF($C834="","",IF(ISNUMBER(SEARCH($D834,Settings!$C$15)),"Pickup","Dispatch"))</f>
        <v>Pickup</v>
      </c>
      <c r="AC834" s="64" t="str">
        <f t="shared" si="144"/>
        <v>Supply order ready for pickup</v>
      </c>
      <c r="AD834" s="64" t="str">
        <f t="shared" si="135"/>
        <v>Dear PSW,
Your order is ready for pickup from Sample Branch, Wed-Fri 9am-4pm.</v>
      </c>
      <c r="AE834" s="64" t="str">
        <f t="shared" si="136"/>
        <v>mailto:firstname201.lastname201@example.com?subject=Supply%20order%20ready%20for%20pickup&amp;body=Dear%20PSW%2C%0A%0AYour%20order%20is%20ready%20for%20pickup%20from%20Sample%20Branch%2C%20Wed-Fri%209am-4pm.</v>
      </c>
      <c r="AF834" s="89" t="str">
        <f t="shared" si="145"/>
        <v>Draft email</v>
      </c>
      <c r="AG834" s="64" t="str">
        <f>IF($C834="","",IFERROR(INDEX('Staff Directory'!$K$595:$K$599,MATCH($C834,'Staff Directory'!$B$5:$B$599,0)),$D834))</f>
        <v>PSW</v>
      </c>
      <c r="AH834" t="str">
        <f>IF($C834="","",IFERROR(INDEX('Staff Directory'!$I$595:$I$599,MATCH($C834,'Staff Directory'!$B$5:$B$599,0))&amp;" "&amp;INDEX('Staff Directory'!$J$595:$J$599,MATCH($C834,'Staff Directory'!$B$5:$B$599,0)),$AG834))</f>
        <v>PSW</v>
      </c>
      <c r="AI834" s="102"/>
      <c r="AJ834" s="101">
        <f>IF($F834="","",SUMIFS($J$5:$J834,$F$5:$F834,$F834))</f>
        <v>6950</v>
      </c>
      <c r="AK834" s="101">
        <f t="shared" si="137"/>
        <v>6901</v>
      </c>
      <c r="AL834" s="66" t="str" cm="1">
        <f t="array" ref="AL834">IF($F834="","",IFERROR(INDEX('Lot Balance'!$B$5:$B$500,MATCH(1,INDEX(('Lot Balance'!$A$5:$A$500=$F834)*('Lot Balance'!$K$5:$K$500&lt;$AK834)*('Lot Balance'!$K$5:$K$500+'Lot Balance'!$D$5:$D$500&gt;=$AK834),0),0)),""))</f>
        <v>0125FPC24-1</v>
      </c>
      <c r="AM834" s="66" t="str" cm="1">
        <f t="array" ref="AM834">IF($F834="","",IFERROR(INDEX('Lot Balance'!$B$5:$B$500,MATCH(1,INDEX(('Lot Balance'!$A$5:$A$500=$F834)*('Lot Balance'!$K$5:$K$500&lt;$AJ834)*('Lot Balance'!$K$5:$K$500+'Lot Balance'!$D$5:$D$500&gt;=$AJ834),0),0)),""))</f>
        <v>0125FPC24-1</v>
      </c>
      <c r="AN834" s="66" t="str">
        <f>IF($F834="","",IF($AI834&lt;&gt;"",IF(COUNTIFS('Lot Balance'!$A$5:$A$500,$F834,'Lot Balance'!$B$5:$B$500,$AI834)=0,"⚠ override is not a lot of this item",IF($AI834=$AL834,"Override = FEFO","Override - FEFO says "&amp;$AL834)),IF($AL834="","⚠ no receipt on file for this item",IF($AM834&lt;&gt;$AL834,"FEFO auto - split, also "&amp;$AM834,"FEFO auto"))))</f>
        <v>FEFO auto</v>
      </c>
      <c r="AO834" s="114"/>
    </row>
    <row r="835" spans="1:41" x14ac:dyDescent="0.35">
      <c r="A835" s="74">
        <v>46168</v>
      </c>
      <c r="B835" s="18" t="str">
        <f>IF($C835="","",IFERROR(INDEX('Staff Directory'!$A$5:$A$594,MATCH($C835,'Staff Directory'!$B$5:$B$594,0)),"⚠ unknown staff"))</f>
        <v>PSW-139-A4</v>
      </c>
      <c r="C835" s="49" t="s">
        <v>1118</v>
      </c>
      <c r="D835" s="19" t="str">
        <f>IF($B835="","",IFERROR(INDEX('Staff Directory'!$C$5:$C$594,MATCH($B835,'Staff Directory'!$A$5:$A$594,0)),""))</f>
        <v>PSW</v>
      </c>
      <c r="E835" s="19" t="str">
        <f>IF($B835="","",IFERROR(INDEX('Staff Directory'!$D$5:$D$594,MATCH($B835,'Staff Directory'!$A$5:$A$594,0)),""))</f>
        <v>A4</v>
      </c>
      <c r="F835" s="9" t="s">
        <v>127</v>
      </c>
      <c r="G835" s="18" t="str">
        <f>IF($F835="","",IFERROR(INDEX(Items!$B$5:$B$597,MATCH($F835,Items!$A$5:$A$597,0)),"⚠ not in Items"))</f>
        <v>Gloves</v>
      </c>
      <c r="H835" s="19" t="str">
        <f>IF($F835="","",IFERROR(INDEX(Items!$C$5:$C$597,MATCH($F835,Items!$A$5:$A$597,0)),""))</f>
        <v>Medium</v>
      </c>
      <c r="I835" s="23">
        <f>IF($F835="","",IFERROR(INDEX(Items!$E$5:$E$597,MATCH($F835,Items!$A$5:$A$597,0)),""))</f>
        <v>500</v>
      </c>
      <c r="J835" s="115">
        <f>IF(tblIssues[[#This Row],[Qty Override]]&lt;&gt;"",tblIssues[[#This Row],[Qty Override]],IF(tblIssues[[#This Row],[Standard Issue]]="","",tblIssues[[#This Row],[Standard Issue]]))</f>
        <v>500</v>
      </c>
      <c r="K835" s="20">
        <f>IF($F835="","",IFERROR(INDEX(Items!$D$5:$D$597,MATCH($F835,Items!$A$5:$A$597,0)),""))</f>
        <v>5.5E-2</v>
      </c>
      <c r="L835" s="21">
        <f t="shared" si="140"/>
        <v>27.5</v>
      </c>
      <c r="M835" s="9" t="str">
        <f t="shared" si="138"/>
        <v>ZIM504126040-4</v>
      </c>
      <c r="N835" s="24">
        <f>IF($A835="","",WORKDAY($A835,Settings!$C$9,HolidayDates))</f>
        <v>46176</v>
      </c>
      <c r="O835" s="24">
        <f>IF($N835="","",WORKDAY($N835,Settings!$C$10,HolidayDates))</f>
        <v>46216</v>
      </c>
      <c r="P835" s="10" t="s">
        <v>501</v>
      </c>
      <c r="Q835" s="52" t="str">
        <f t="shared" si="141"/>
        <v>Collected</v>
      </c>
      <c r="R835" s="55" t="str">
        <f t="shared" si="142"/>
        <v>2026-05</v>
      </c>
      <c r="S835" s="55">
        <f>IF(OR($B835="",$F835="",$R835=""),"",SUMIFS(tblIssues[Qty Issued],tblIssues[Staff ID],$B835,tblIssues[Item Name],$F835,tblIssues[Month],$R835))</f>
        <v>500</v>
      </c>
      <c r="T835" s="56">
        <f>IF($I835="","",$I835*Settings!$C$11)</f>
        <v>500</v>
      </c>
      <c r="U835" s="57" t="str">
        <f t="shared" si="139"/>
        <v>OK</v>
      </c>
      <c r="V835" s="55" t="str">
        <f t="shared" si="143"/>
        <v/>
      </c>
      <c r="W835" s="55" t="str">
        <f>IF($V835="","",IF(COUNTIF($V$5:$V835,$V835)=1,1,""))</f>
        <v/>
      </c>
      <c r="X835" s="58" t="str">
        <f>IF($W835="","",MAX($X$4:X834)+1)</f>
        <v/>
      </c>
      <c r="Y835" s="62"/>
      <c r="Z835" s="62"/>
      <c r="AA835" s="64" t="str">
        <f>IF($C835="","",IFERROR(INDEX('Staff Directory'!$E$5:$E$594,MATCH($C835,'Staff Directory'!$B$5:$B$594,0)),""))</f>
        <v>firstname202.lastname202@example.com</v>
      </c>
      <c r="AB835" s="64" t="str">
        <f>IF($C835="","",IF(ISNUMBER(SEARCH($D835,Settings!$C$15)),"Pickup","Dispatch"))</f>
        <v>Pickup</v>
      </c>
      <c r="AC835" s="64" t="str">
        <f t="shared" si="144"/>
        <v>Supply order ready for pickup</v>
      </c>
      <c r="AD835" s="64" t="str">
        <f t="shared" si="135"/>
        <v>Dear PSW,
Your order is ready for pickup from Sample Branch, Wed-Fri 9am-4pm.</v>
      </c>
      <c r="AE835" s="64" t="str">
        <f t="shared" si="136"/>
        <v>mailto:firstname202.lastname202@example.com?subject=Supply%20order%20ready%20for%20pickup&amp;body=Dear%20PSW%2C%0A%0AYour%20order%20is%20ready%20for%20pickup%20from%20Sample%20Branch%2C%20Wed-Fri%209am-4pm.</v>
      </c>
      <c r="AF835" s="89" t="str">
        <f t="shared" si="145"/>
        <v>Draft email</v>
      </c>
      <c r="AG835" s="64" t="str">
        <f>IF($C835="","",IFERROR(INDEX('Staff Directory'!$K$595:$K$599,MATCH($C835,'Staff Directory'!$B$5:$B$599,0)),$D835))</f>
        <v>PSW</v>
      </c>
      <c r="AH835" t="str">
        <f>IF($C835="","",IFERROR(INDEX('Staff Directory'!$I$595:$I$599,MATCH($C835,'Staff Directory'!$B$5:$B$599,0))&amp;" "&amp;INDEX('Staff Directory'!$J$595:$J$599,MATCH($C835,'Staff Directory'!$B$5:$B$599,0)),$AG835))</f>
        <v>PSW</v>
      </c>
      <c r="AI835" s="102"/>
      <c r="AJ835" s="101">
        <f>IF($F835="","",SUMIFS($J$5:$J835,$F$5:$F835,$F835))</f>
        <v>50000</v>
      </c>
      <c r="AK835" s="101">
        <f t="shared" si="137"/>
        <v>49501</v>
      </c>
      <c r="AL835" s="66" t="str" cm="1">
        <f t="array" ref="AL835">IF($F835="","",IFERROR(INDEX('Lot Balance'!$B$5:$B$500,MATCH(1,INDEX(('Lot Balance'!$A$5:$A$500=$F835)*('Lot Balance'!$K$5:$K$500&lt;$AK835)*('Lot Balance'!$K$5:$K$500+'Lot Balance'!$D$5:$D$500&gt;=$AK835),0),0)),""))</f>
        <v>ZIM504126040-4</v>
      </c>
      <c r="AM835" s="66" t="str" cm="1">
        <f t="array" ref="AM835">IF($F835="","",IFERROR(INDEX('Lot Balance'!$B$5:$B$500,MATCH(1,INDEX(('Lot Balance'!$A$5:$A$500=$F835)*('Lot Balance'!$K$5:$K$500&lt;$AJ835)*('Lot Balance'!$K$5:$K$500+'Lot Balance'!$D$5:$D$500&gt;=$AJ835),0),0)),""))</f>
        <v>ZIM504126040-4</v>
      </c>
      <c r="AN835" s="66" t="str">
        <f>IF($F835="","",IF($AI835&lt;&gt;"",IF(COUNTIFS('Lot Balance'!$A$5:$A$500,$F835,'Lot Balance'!$B$5:$B$500,$AI835)=0,"⚠ override is not a lot of this item",IF($AI835=$AL835,"Override = FEFO","Override - FEFO says "&amp;$AL835)),IF($AL835="","⚠ no receipt on file for this item",IF($AM835&lt;&gt;$AL835,"FEFO auto - split, also "&amp;$AM835,"FEFO auto"))))</f>
        <v>FEFO auto</v>
      </c>
      <c r="AO835" s="114"/>
    </row>
    <row r="836" spans="1:41" x14ac:dyDescent="0.35">
      <c r="A836" s="74">
        <v>46168</v>
      </c>
      <c r="B836" s="18" t="str">
        <f>IF($C836="","",IFERROR(INDEX('Staff Directory'!$A$5:$A$594,MATCH($C836,'Staff Directory'!$B$5:$B$594,0)),"⚠ unknown staff"))</f>
        <v>PSW-139-A4</v>
      </c>
      <c r="C836" s="49" t="s">
        <v>1118</v>
      </c>
      <c r="D836" s="19" t="str">
        <f>IF($B836="","",IFERROR(INDEX('Staff Directory'!$C$5:$C$594,MATCH($B836,'Staff Directory'!$A$5:$A$594,0)),""))</f>
        <v>PSW</v>
      </c>
      <c r="E836" s="19" t="str">
        <f>IF($B836="","",IFERROR(INDEX('Staff Directory'!$D$5:$D$594,MATCH($B836,'Staff Directory'!$A$5:$A$594,0)),""))</f>
        <v>A4</v>
      </c>
      <c r="F836" s="9" t="s">
        <v>191</v>
      </c>
      <c r="G836" s="18" t="str">
        <f>IF($F836="","",IFERROR(INDEX(Items!$B$5:$B$597,MATCH($F836,Items!$A$5:$A$597,0)),"⚠ not in Items"))</f>
        <v>Sanitizer</v>
      </c>
      <c r="H836" s="19" t="str">
        <f>IF($F836="","",IFERROR(INDEX(Items!$C$5:$C$597,MATCH($F836,Items!$A$5:$A$597,0)),""))</f>
        <v>236 ML</v>
      </c>
      <c r="I836" s="23">
        <f>IF($F836="","",IFERROR(INDEX(Items!$E$5:$E$597,MATCH($F836,Items!$A$5:$A$597,0)),""))</f>
        <v>1</v>
      </c>
      <c r="J836" s="115">
        <f>IF(tblIssues[[#This Row],[Qty Override]]&lt;&gt;"",tblIssues[[#This Row],[Qty Override]],IF(tblIssues[[#This Row],[Standard Issue]]="","",tblIssues[[#This Row],[Standard Issue]]))</f>
        <v>1</v>
      </c>
      <c r="K836" s="20">
        <f>IF($F836="","",IFERROR(INDEX(Items!$D$5:$D$597,MATCH($F836,Items!$A$5:$A$597,0)),""))</f>
        <v>1E-4</v>
      </c>
      <c r="L836" s="21">
        <f t="shared" si="140"/>
        <v>1E-4</v>
      </c>
      <c r="M836" s="9" t="str">
        <f t="shared" si="138"/>
        <v>20-21734-4</v>
      </c>
      <c r="N836" s="24">
        <f>IF($A836="","",WORKDAY($A836,Settings!$C$9,HolidayDates))</f>
        <v>46176</v>
      </c>
      <c r="O836" s="24">
        <f>IF($N836="","",WORKDAY($N836,Settings!$C$10,HolidayDates))</f>
        <v>46216</v>
      </c>
      <c r="P836" s="10" t="s">
        <v>501</v>
      </c>
      <c r="Q836" s="52" t="str">
        <f t="shared" si="141"/>
        <v>Collected</v>
      </c>
      <c r="R836" s="55" t="str">
        <f t="shared" si="142"/>
        <v>2026-05</v>
      </c>
      <c r="S836" s="55">
        <f>IF(OR($B836="",$F836="",$R836=""),"",SUMIFS(tblIssues[Qty Issued],tblIssues[Staff ID],$B836,tblIssues[Item Name],$F836,tblIssues[Month],$R836))</f>
        <v>1</v>
      </c>
      <c r="T836" s="56">
        <f>IF($I836="","",$I836*Settings!$C$11)</f>
        <v>1</v>
      </c>
      <c r="U836" s="57" t="str">
        <f t="shared" si="139"/>
        <v>OK</v>
      </c>
      <c r="V836" s="55" t="str">
        <f t="shared" si="143"/>
        <v/>
      </c>
      <c r="W836" s="55" t="str">
        <f>IF($V836="","",IF(COUNTIF($V$5:$V836,$V836)=1,1,""))</f>
        <v/>
      </c>
      <c r="X836" s="58" t="str">
        <f>IF($W836="","",MAX($X$4:X835)+1)</f>
        <v/>
      </c>
      <c r="Y836" s="62"/>
      <c r="Z836" s="62"/>
      <c r="AA836" s="64" t="str">
        <f>IF($C836="","",IFERROR(INDEX('Staff Directory'!$E$5:$E$594,MATCH($C836,'Staff Directory'!$B$5:$B$594,0)),""))</f>
        <v>firstname202.lastname202@example.com</v>
      </c>
      <c r="AB836" s="64" t="str">
        <f>IF($C836="","",IF(ISNUMBER(SEARCH($D836,Settings!$C$15)),"Pickup","Dispatch"))</f>
        <v>Pickup</v>
      </c>
      <c r="AC836" s="64" t="str">
        <f t="shared" si="144"/>
        <v>Supply order ready for pickup</v>
      </c>
      <c r="AD836" s="64" t="str">
        <f t="shared" si="135"/>
        <v>Dear PSW,
Your order is ready for pickup from Sample Branch, Wed-Fri 9am-4pm.</v>
      </c>
      <c r="AE836" s="64" t="str">
        <f t="shared" si="136"/>
        <v>mailto:firstname202.lastname202@example.com?subject=Supply%20order%20ready%20for%20pickup&amp;body=Dear%20PSW%2C%0A%0AYour%20order%20is%20ready%20for%20pickup%20from%20Sample%20Branch%2C%20Wed-Fri%209am-4pm.</v>
      </c>
      <c r="AF836" s="89" t="str">
        <f t="shared" si="145"/>
        <v>Draft email</v>
      </c>
      <c r="AG836" s="64" t="str">
        <f>IF($C836="","",IFERROR(INDEX('Staff Directory'!$K$595:$K$599,MATCH($C836,'Staff Directory'!$B$5:$B$599,0)),$D836))</f>
        <v>PSW</v>
      </c>
      <c r="AH836" t="str">
        <f>IF($C836="","",IFERROR(INDEX('Staff Directory'!$I$595:$I$599,MATCH($C836,'Staff Directory'!$B$5:$B$599,0))&amp;" "&amp;INDEX('Staff Directory'!$J$595:$J$599,MATCH($C836,'Staff Directory'!$B$5:$B$599,0)),$AG836))</f>
        <v>PSW</v>
      </c>
      <c r="AI836" s="102"/>
      <c r="AJ836" s="101">
        <f>IF($F836="","",SUMIFS($J$5:$J836,$F$5:$F836,$F836))</f>
        <v>105</v>
      </c>
      <c r="AK836" s="101">
        <f t="shared" si="137"/>
        <v>105</v>
      </c>
      <c r="AL836" s="66" t="str" cm="1">
        <f t="array" ref="AL836">IF($F836="","",IFERROR(INDEX('Lot Balance'!$B$5:$B$500,MATCH(1,INDEX(('Lot Balance'!$A$5:$A$500=$F836)*('Lot Balance'!$K$5:$K$500&lt;$AK836)*('Lot Balance'!$K$5:$K$500+'Lot Balance'!$D$5:$D$500&gt;=$AK836),0),0)),""))</f>
        <v>20-21734-4</v>
      </c>
      <c r="AM836" s="66" t="str" cm="1">
        <f t="array" ref="AM836">IF($F836="","",IFERROR(INDEX('Lot Balance'!$B$5:$B$500,MATCH(1,INDEX(('Lot Balance'!$A$5:$A$500=$F836)*('Lot Balance'!$K$5:$K$500&lt;$AJ836)*('Lot Balance'!$K$5:$K$500+'Lot Balance'!$D$5:$D$500&gt;=$AJ836),0),0)),""))</f>
        <v>20-21734-4</v>
      </c>
      <c r="AN836" s="66" t="str">
        <f>IF($F836="","",IF($AI836&lt;&gt;"",IF(COUNTIFS('Lot Balance'!$A$5:$A$500,$F836,'Lot Balance'!$B$5:$B$500,$AI836)=0,"⚠ override is not a lot of this item",IF($AI836=$AL836,"Override = FEFO","Override - FEFO says "&amp;$AL836)),IF($AL836="","⚠ no receipt on file for this item",IF($AM836&lt;&gt;$AL836,"FEFO auto - split, also "&amp;$AM836,"FEFO auto"))))</f>
        <v>FEFO auto</v>
      </c>
      <c r="AO836" s="114"/>
    </row>
    <row r="837" spans="1:41" x14ac:dyDescent="0.35">
      <c r="A837" s="74">
        <v>46168</v>
      </c>
      <c r="B837" s="18" t="str">
        <f>IF($C837="","",IFERROR(INDEX('Staff Directory'!$A$5:$A$594,MATCH($C837,'Staff Directory'!$B$5:$B$594,0)),"⚠ unknown staff"))</f>
        <v>PSW-139-A4</v>
      </c>
      <c r="C837" s="49" t="s">
        <v>1118</v>
      </c>
      <c r="D837" s="19" t="str">
        <f>IF($B837="","",IFERROR(INDEX('Staff Directory'!$C$5:$C$594,MATCH($B837,'Staff Directory'!$A$5:$A$594,0)),""))</f>
        <v>PSW</v>
      </c>
      <c r="E837" s="19" t="str">
        <f>IF($B837="","",IFERROR(INDEX('Staff Directory'!$D$5:$D$594,MATCH($B837,'Staff Directory'!$A$5:$A$594,0)),""))</f>
        <v>A4</v>
      </c>
      <c r="F837" s="9" t="s">
        <v>115</v>
      </c>
      <c r="G837" s="18" t="str">
        <f>IF($F837="","",IFERROR(INDEX(Items!$B$5:$B$597,MATCH($F837,Items!$A$5:$A$597,0)),"⚠ not in Items"))</f>
        <v>Wipes</v>
      </c>
      <c r="H837" s="19">
        <f>IF($F837="","",IFERROR(INDEX(Items!$C$5:$C$597,MATCH($F837,Items!$A$5:$A$597,0)),""))</f>
        <v>80</v>
      </c>
      <c r="I837" s="23">
        <f>IF($F837="","",IFERROR(INDEX(Items!$E$5:$E$597,MATCH($F837,Items!$A$5:$A$597,0)),""))</f>
        <v>80</v>
      </c>
      <c r="J837" s="115">
        <f>IF(tblIssues[[#This Row],[Qty Override]]&lt;&gt;"",tblIssues[[#This Row],[Qty Override]],IF(tblIssues[[#This Row],[Standard Issue]]="","",tblIssues[[#This Row],[Standard Issue]]))</f>
        <v>80</v>
      </c>
      <c r="K837" s="20">
        <f>IF($F837="","",IFERROR(INDEX(Items!$D$5:$D$597,MATCH($F837,Items!$A$5:$A$597,0)),""))</f>
        <v>0.1</v>
      </c>
      <c r="L837" s="21">
        <f t="shared" si="140"/>
        <v>8</v>
      </c>
      <c r="M837" s="9" t="str">
        <f t="shared" si="138"/>
        <v>LYSL500290</v>
      </c>
      <c r="N837" s="24">
        <f>IF($A837="","",WORKDAY($A837,Settings!$C$9,HolidayDates))</f>
        <v>46176</v>
      </c>
      <c r="O837" s="24">
        <f>IF($N837="","",WORKDAY($N837,Settings!$C$10,HolidayDates))</f>
        <v>46216</v>
      </c>
      <c r="P837" s="10" t="s">
        <v>501</v>
      </c>
      <c r="Q837" s="52" t="str">
        <f t="shared" si="141"/>
        <v>Collected</v>
      </c>
      <c r="R837" s="55" t="str">
        <f t="shared" si="142"/>
        <v>2026-05</v>
      </c>
      <c r="S837" s="55">
        <f>IF(OR($B837="",$F837="",$R837=""),"",SUMIFS(tblIssues[Qty Issued],tblIssues[Staff ID],$B837,tblIssues[Item Name],$F837,tblIssues[Month],$R837))</f>
        <v>80</v>
      </c>
      <c r="T837" s="56">
        <f>IF($I837="","",$I837*Settings!$C$11)</f>
        <v>80</v>
      </c>
      <c r="U837" s="57" t="str">
        <f t="shared" si="139"/>
        <v>OK</v>
      </c>
      <c r="V837" s="55" t="str">
        <f t="shared" si="143"/>
        <v/>
      </c>
      <c r="W837" s="55" t="str">
        <f>IF($V837="","",IF(COUNTIF($V$5:$V837,$V837)=1,1,""))</f>
        <v/>
      </c>
      <c r="X837" s="58" t="str">
        <f>IF($W837="","",MAX($X$4:X836)+1)</f>
        <v/>
      </c>
      <c r="Y837" s="62"/>
      <c r="Z837" s="62"/>
      <c r="AA837" s="64" t="str">
        <f>IF($C837="","",IFERROR(INDEX('Staff Directory'!$E$5:$E$594,MATCH($C837,'Staff Directory'!$B$5:$B$594,0)),""))</f>
        <v>firstname202.lastname202@example.com</v>
      </c>
      <c r="AB837" s="64" t="str">
        <f>IF($C837="","",IF(ISNUMBER(SEARCH($D837,Settings!$C$15)),"Pickup","Dispatch"))</f>
        <v>Pickup</v>
      </c>
      <c r="AC837" s="64" t="str">
        <f t="shared" si="144"/>
        <v>Supply order ready for pickup</v>
      </c>
      <c r="AD837" s="64" t="str">
        <f t="shared" ref="AD837:AD900" si="146">IF($AB837="Pickup","Dear "&amp;$AH837&amp;","&amp;CHAR(10)&amp;CHAR(10)&amp;"Your order is ready for pickup from Sample Branch, Wed-Fri 9am-4pm.",IF($AB837="Dispatch","Dear "&amp;$AH837&amp;","&amp;CHAR(10)&amp;CHAR(10)&amp;"Your order has been dispatched and is in transit. Reply if undelivered.",""))</f>
        <v>Dear PSW,
Your order is ready for pickup from Sample Branch, Wed-Fri 9am-4pm.</v>
      </c>
      <c r="AE837" s="64" t="str">
        <f t="shared" ref="AE837:AE900" si="147">IF(OR($AA837="",$AC837=""),"","mailto:"&amp;$AA837&amp;"?subject="&amp;_xlfn.ENCODEURL($AC837)&amp;"&amp;body="&amp;_xlfn.ENCODEURL($AD837))</f>
        <v>mailto:firstname202.lastname202@example.com?subject=Supply%20order%20ready%20for%20pickup&amp;body=Dear%20PSW%2C%0A%0AYour%20order%20is%20ready%20for%20pickup%20from%20Sample%20Branch%2C%20Wed-Fri%209am-4pm.</v>
      </c>
      <c r="AF837" s="89" t="str">
        <f t="shared" si="145"/>
        <v>Draft email</v>
      </c>
      <c r="AG837" s="64" t="str">
        <f>IF($C837="","",IFERROR(INDEX('Staff Directory'!$K$595:$K$599,MATCH($C837,'Staff Directory'!$B$5:$B$599,0)),$D837))</f>
        <v>PSW</v>
      </c>
      <c r="AH837" t="str">
        <f>IF($C837="","",IFERROR(INDEX('Staff Directory'!$I$595:$I$599,MATCH($C837,'Staff Directory'!$B$5:$B$599,0))&amp;" "&amp;INDEX('Staff Directory'!$J$595:$J$599,MATCH($C837,'Staff Directory'!$B$5:$B$599,0)),$AG837))</f>
        <v>PSW</v>
      </c>
      <c r="AI837" s="102"/>
      <c r="AJ837" s="101">
        <f>IF($F837="","",SUMIFS($J$5:$J837,$F$5:$F837,$F837))</f>
        <v>11520</v>
      </c>
      <c r="AK837" s="101">
        <f t="shared" ref="AK837:AK900" si="148">IF($F837="","",MAX(1,$AJ837-MAX($J837,0)+1))</f>
        <v>11441</v>
      </c>
      <c r="AL837" s="66" t="str" cm="1">
        <f t="array" ref="AL837">IF($F837="","",IFERROR(INDEX('Lot Balance'!$B$5:$B$500,MATCH(1,INDEX(('Lot Balance'!$A$5:$A$500=$F837)*('Lot Balance'!$K$5:$K$500&lt;$AK837)*('Lot Balance'!$K$5:$K$500+'Lot Balance'!$D$5:$D$500&gt;=$AK837),0),0)),""))</f>
        <v>LYSL500290</v>
      </c>
      <c r="AM837" s="66" t="str" cm="1">
        <f t="array" ref="AM837">IF($F837="","",IFERROR(INDEX('Lot Balance'!$B$5:$B$500,MATCH(1,INDEX(('Lot Balance'!$A$5:$A$500=$F837)*('Lot Balance'!$K$5:$K$500&lt;$AJ837)*('Lot Balance'!$K$5:$K$500+'Lot Balance'!$D$5:$D$500&gt;=$AJ837),0),0)),""))</f>
        <v>LYSL500290</v>
      </c>
      <c r="AN837" s="66" t="str">
        <f>IF($F837="","",IF($AI837&lt;&gt;"",IF(COUNTIFS('Lot Balance'!$A$5:$A$500,$F837,'Lot Balance'!$B$5:$B$500,$AI837)=0,"⚠ override is not a lot of this item",IF($AI837=$AL837,"Override = FEFO","Override - FEFO says "&amp;$AL837)),IF($AL837="","⚠ no receipt on file for this item",IF($AM837&lt;&gt;$AL837,"FEFO auto - split, also "&amp;$AM837,"FEFO auto"))))</f>
        <v>FEFO auto</v>
      </c>
      <c r="AO837" s="114"/>
    </row>
    <row r="838" spans="1:41" x14ac:dyDescent="0.35">
      <c r="A838" s="74">
        <v>46168</v>
      </c>
      <c r="B838" s="18" t="str">
        <f>IF($C838="","",IFERROR(INDEX('Staff Directory'!$A$5:$A$594,MATCH($C838,'Staff Directory'!$B$5:$B$594,0)),"⚠ unknown staff"))</f>
        <v>PSW-139-A4</v>
      </c>
      <c r="C838" s="49" t="s">
        <v>1118</v>
      </c>
      <c r="D838" s="19" t="str">
        <f>IF($B838="","",IFERROR(INDEX('Staff Directory'!$C$5:$C$594,MATCH($B838,'Staff Directory'!$A$5:$A$594,0)),""))</f>
        <v>PSW</v>
      </c>
      <c r="E838" s="19" t="str">
        <f>IF($B838="","",IFERROR(INDEX('Staff Directory'!$D$5:$D$594,MATCH($B838,'Staff Directory'!$A$5:$A$594,0)),""))</f>
        <v>A4</v>
      </c>
      <c r="F838" s="9" t="s">
        <v>156</v>
      </c>
      <c r="G838" s="18" t="str">
        <f>IF($F838="","",IFERROR(INDEX(Items!$B$5:$B$597,MATCH($F838,Items!$A$5:$A$597,0)),"⚠ not in Items"))</f>
        <v>Masks</v>
      </c>
      <c r="H838" s="19" t="str">
        <f>IF($F838="","",IFERROR(INDEX(Items!$C$5:$C$597,MATCH($F838,Items!$A$5:$A$597,0)),""))</f>
        <v>One Size</v>
      </c>
      <c r="I838" s="23">
        <f>IF($F838="","",IFERROR(INDEX(Items!$E$5:$E$597,MATCH($F838,Items!$A$5:$A$597,0)),""))</f>
        <v>50</v>
      </c>
      <c r="J838" s="115">
        <f>IF(tblIssues[[#This Row],[Qty Override]]&lt;&gt;"",tblIssues[[#This Row],[Qty Override]],IF(tblIssues[[#This Row],[Standard Issue]]="","",tblIssues[[#This Row],[Standard Issue]]))</f>
        <v>50</v>
      </c>
      <c r="K838" s="20">
        <f>IF($F838="","",IFERROR(INDEX(Items!$D$5:$D$597,MATCH($F838,Items!$A$5:$A$597,0)),""))</f>
        <v>0.25</v>
      </c>
      <c r="L838" s="21">
        <f t="shared" si="140"/>
        <v>12.5</v>
      </c>
      <c r="M838" s="9" t="str">
        <f t="shared" ref="M838:M901" si="149">IF($F838="","",IF($AI838&lt;&gt;"",$AI838,$AL838))</f>
        <v>0125FPC24-1</v>
      </c>
      <c r="N838" s="24">
        <f>IF($A838="","",WORKDAY($A838,Settings!$C$9,HolidayDates))</f>
        <v>46176</v>
      </c>
      <c r="O838" s="24">
        <f>IF($N838="","",WORKDAY($N838,Settings!$C$10,HolidayDates))</f>
        <v>46216</v>
      </c>
      <c r="P838" s="10" t="s">
        <v>501</v>
      </c>
      <c r="Q838" s="52" t="str">
        <f t="shared" si="141"/>
        <v>Collected</v>
      </c>
      <c r="R838" s="55" t="str">
        <f t="shared" si="142"/>
        <v>2026-05</v>
      </c>
      <c r="S838" s="55">
        <f>IF(OR($B838="",$F838="",$R838=""),"",SUMIFS(tblIssues[Qty Issued],tblIssues[Staff ID],$B838,tblIssues[Item Name],$F838,tblIssues[Month],$R838))</f>
        <v>50</v>
      </c>
      <c r="T838" s="56">
        <f>IF($I838="","",$I838*Settings!$C$11)</f>
        <v>50</v>
      </c>
      <c r="U838" s="57" t="str">
        <f t="shared" ref="U838:U901" si="150">IF(OR($S838="",$T838=""),"",IF($S838&gt;$T838,IF($Y838="Approved","APPROVED BY TL","⚠ OVER QUOTA"),"OK"))</f>
        <v>OK</v>
      </c>
      <c r="V838" s="55" t="str">
        <f t="shared" si="143"/>
        <v/>
      </c>
      <c r="W838" s="55" t="str">
        <f>IF($V838="","",IF(COUNTIF($V$5:$V838,$V838)=1,1,""))</f>
        <v/>
      </c>
      <c r="X838" s="58" t="str">
        <f>IF($W838="","",MAX($X$4:X837)+1)</f>
        <v/>
      </c>
      <c r="Y838" s="62"/>
      <c r="Z838" s="62"/>
      <c r="AA838" s="64" t="str">
        <f>IF($C838="","",IFERROR(INDEX('Staff Directory'!$E$5:$E$594,MATCH($C838,'Staff Directory'!$B$5:$B$594,0)),""))</f>
        <v>firstname202.lastname202@example.com</v>
      </c>
      <c r="AB838" s="64" t="str">
        <f>IF($C838="","",IF(ISNUMBER(SEARCH($D838,Settings!$C$15)),"Pickup","Dispatch"))</f>
        <v>Pickup</v>
      </c>
      <c r="AC838" s="64" t="str">
        <f t="shared" si="144"/>
        <v>Supply order ready for pickup</v>
      </c>
      <c r="AD838" s="64" t="str">
        <f t="shared" si="146"/>
        <v>Dear PSW,
Your order is ready for pickup from Sample Branch, Wed-Fri 9am-4pm.</v>
      </c>
      <c r="AE838" s="64" t="str">
        <f t="shared" si="147"/>
        <v>mailto:firstname202.lastname202@example.com?subject=Supply%20order%20ready%20for%20pickup&amp;body=Dear%20PSW%2C%0A%0AYour%20order%20is%20ready%20for%20pickup%20from%20Sample%20Branch%2C%20Wed-Fri%209am-4pm.</v>
      </c>
      <c r="AF838" s="89" t="str">
        <f t="shared" si="145"/>
        <v>Draft email</v>
      </c>
      <c r="AG838" s="64" t="str">
        <f>IF($C838="","",IFERROR(INDEX('Staff Directory'!$K$595:$K$599,MATCH($C838,'Staff Directory'!$B$5:$B$599,0)),$D838))</f>
        <v>PSW</v>
      </c>
      <c r="AH838" t="str">
        <f>IF($C838="","",IFERROR(INDEX('Staff Directory'!$I$595:$I$599,MATCH($C838,'Staff Directory'!$B$5:$B$599,0))&amp;" "&amp;INDEX('Staff Directory'!$J$595:$J$599,MATCH($C838,'Staff Directory'!$B$5:$B$599,0)),$AG838))</f>
        <v>PSW</v>
      </c>
      <c r="AI838" s="102"/>
      <c r="AJ838" s="101">
        <f>IF($F838="","",SUMIFS($J$5:$J838,$F$5:$F838,$F838))</f>
        <v>7000</v>
      </c>
      <c r="AK838" s="101">
        <f t="shared" si="148"/>
        <v>6951</v>
      </c>
      <c r="AL838" s="66" t="str" cm="1">
        <f t="array" ref="AL838">IF($F838="","",IFERROR(INDEX('Lot Balance'!$B$5:$B$500,MATCH(1,INDEX(('Lot Balance'!$A$5:$A$500=$F838)*('Lot Balance'!$K$5:$K$500&lt;$AK838)*('Lot Balance'!$K$5:$K$500+'Lot Balance'!$D$5:$D$500&gt;=$AK838),0),0)),""))</f>
        <v>0125FPC24-1</v>
      </c>
      <c r="AM838" s="66" t="str" cm="1">
        <f t="array" ref="AM838">IF($F838="","",IFERROR(INDEX('Lot Balance'!$B$5:$B$500,MATCH(1,INDEX(('Lot Balance'!$A$5:$A$500=$F838)*('Lot Balance'!$K$5:$K$500&lt;$AJ838)*('Lot Balance'!$K$5:$K$500+'Lot Balance'!$D$5:$D$500&gt;=$AJ838),0),0)),""))</f>
        <v>0125FPC24-1</v>
      </c>
      <c r="AN838" s="66" t="str">
        <f>IF($F838="","",IF($AI838&lt;&gt;"",IF(COUNTIFS('Lot Balance'!$A$5:$A$500,$F838,'Lot Balance'!$B$5:$B$500,$AI838)=0,"⚠ override is not a lot of this item",IF($AI838=$AL838,"Override = FEFO","Override - FEFO says "&amp;$AL838)),IF($AL838="","⚠ no receipt on file for this item",IF($AM838&lt;&gt;$AL838,"FEFO auto - split, also "&amp;$AM838,"FEFO auto"))))</f>
        <v>FEFO auto</v>
      </c>
      <c r="AO838" s="114"/>
    </row>
    <row r="839" spans="1:41" x14ac:dyDescent="0.35">
      <c r="A839" s="74">
        <v>46174</v>
      </c>
      <c r="B839" s="18" t="str">
        <f>IF($C839="","",IFERROR(INDEX('Staff Directory'!$A$5:$A$594,MATCH($C839,'Staff Directory'!$B$5:$B$594,0)),"⚠ unknown staff"))</f>
        <v>PSW-162-A6</v>
      </c>
      <c r="C839" s="49" t="s">
        <v>1141</v>
      </c>
      <c r="D839" s="19" t="str">
        <f>IF($B839="","",IFERROR(INDEX('Staff Directory'!$C$5:$C$594,MATCH($B839,'Staff Directory'!$A$5:$A$594,0)),""))</f>
        <v>PSW</v>
      </c>
      <c r="E839" s="19" t="str">
        <f>IF($B839="","",IFERROR(INDEX('Staff Directory'!$D$5:$D$594,MATCH($B839,'Staff Directory'!$A$5:$A$594,0)),""))</f>
        <v>A6</v>
      </c>
      <c r="F839" s="9" t="s">
        <v>129</v>
      </c>
      <c r="G839" s="18" t="str">
        <f>IF($F839="","",IFERROR(INDEX(Items!$B$5:$B$597,MATCH($F839,Items!$A$5:$A$597,0)),"⚠ not in Items"))</f>
        <v>Gloves</v>
      </c>
      <c r="H839" s="19" t="str">
        <f>IF($F839="","",IFERROR(INDEX(Items!$C$5:$C$597,MATCH($F839,Items!$A$5:$A$597,0)),""))</f>
        <v>Small</v>
      </c>
      <c r="I839" s="23">
        <f>IF($F839="","",IFERROR(INDEX(Items!$E$5:$E$597,MATCH($F839,Items!$A$5:$A$597,0)),""))</f>
        <v>500</v>
      </c>
      <c r="J839" s="115">
        <f>IF(tblIssues[[#This Row],[Qty Override]]&lt;&gt;"",tblIssues[[#This Row],[Qty Override]],IF(tblIssues[[#This Row],[Standard Issue]]="","",tblIssues[[#This Row],[Standard Issue]]))</f>
        <v>500</v>
      </c>
      <c r="K839" s="20">
        <f>IF($F839="","",IFERROR(INDEX(Items!$D$5:$D$597,MATCH($F839,Items!$A$5:$A$597,0)),""))</f>
        <v>5.5E-2</v>
      </c>
      <c r="L839" s="21">
        <f t="shared" si="140"/>
        <v>27.5</v>
      </c>
      <c r="M839" s="9" t="str">
        <f t="shared" si="149"/>
        <v>O211LIC25-1</v>
      </c>
      <c r="N839" s="24">
        <f>IF($A839="","",WORKDAY($A839,Settings!$C$9,HolidayDates))</f>
        <v>46182</v>
      </c>
      <c r="O839" s="24">
        <f>IF($N839="","",WORKDAY($N839,Settings!$C$10,HolidayDates))</f>
        <v>46220</v>
      </c>
      <c r="P839" s="10" t="s">
        <v>501</v>
      </c>
      <c r="Q839" s="52" t="str">
        <f t="shared" si="141"/>
        <v>Collected</v>
      </c>
      <c r="R839" s="55" t="str">
        <f t="shared" si="142"/>
        <v>2026-06</v>
      </c>
      <c r="S839" s="55">
        <f>IF(OR($B839="",$F839="",$R839=""),"",SUMIFS(tblIssues[Qty Issued],tblIssues[Staff ID],$B839,tblIssues[Item Name],$F839,tblIssues[Month],$R839))</f>
        <v>500</v>
      </c>
      <c r="T839" s="56">
        <f>IF($I839="","",$I839*Settings!$C$11)</f>
        <v>500</v>
      </c>
      <c r="U839" s="57" t="str">
        <f t="shared" si="150"/>
        <v>OK</v>
      </c>
      <c r="V839" s="55" t="str">
        <f t="shared" si="143"/>
        <v/>
      </c>
      <c r="W839" s="55" t="str">
        <f>IF($V839="","",IF(COUNTIF($V$5:$V839,$V839)=1,1,""))</f>
        <v/>
      </c>
      <c r="X839" s="58" t="str">
        <f>IF($W839="","",MAX($X$4:X838)+1)</f>
        <v/>
      </c>
      <c r="Y839" s="62"/>
      <c r="Z839" s="62"/>
      <c r="AA839" s="64" t="str">
        <f>IF($C839="","",IFERROR(INDEX('Staff Directory'!$E$5:$E$594,MATCH($C839,'Staff Directory'!$B$5:$B$594,0)),""))</f>
        <v>firstname225.lastname225@example.com</v>
      </c>
      <c r="AB839" s="64" t="str">
        <f>IF($C839="","",IF(ISNUMBER(SEARCH($D839,Settings!$C$15)),"Pickup","Dispatch"))</f>
        <v>Pickup</v>
      </c>
      <c r="AC839" s="64" t="str">
        <f t="shared" si="144"/>
        <v>Supply order ready for pickup</v>
      </c>
      <c r="AD839" s="64" t="str">
        <f t="shared" si="146"/>
        <v>Dear PSW,
Your order is ready for pickup from Sample Branch, Wed-Fri 9am-4pm.</v>
      </c>
      <c r="AE839" s="64" t="str">
        <f t="shared" si="147"/>
        <v>mailto:firstname225.lastname225@example.com?subject=Supply%20order%20ready%20for%20pickup&amp;body=Dear%20PSW%2C%0A%0AYour%20order%20is%20ready%20for%20pickup%20from%20Sample%20Branch%2C%20Wed-Fri%209am-4pm.</v>
      </c>
      <c r="AF839" s="89" t="str">
        <f t="shared" si="145"/>
        <v>Draft email</v>
      </c>
      <c r="AG839" s="64" t="str">
        <f>IF($C839="","",IFERROR(INDEX('Staff Directory'!$K$595:$K$599,MATCH($C839,'Staff Directory'!$B$5:$B$599,0)),$D839))</f>
        <v>PSW</v>
      </c>
      <c r="AH839" t="str">
        <f>IF($C839="","",IFERROR(INDEX('Staff Directory'!$I$595:$I$599,MATCH($C839,'Staff Directory'!$B$5:$B$599,0))&amp;" "&amp;INDEX('Staff Directory'!$J$595:$J$599,MATCH($C839,'Staff Directory'!$B$5:$B$599,0)),$AG839))</f>
        <v>PSW</v>
      </c>
      <c r="AI839" s="102"/>
      <c r="AJ839" s="101">
        <f>IF($F839="","",SUMIFS($J$5:$J839,$F$5:$F839,$F839))</f>
        <v>29000</v>
      </c>
      <c r="AK839" s="101">
        <f t="shared" si="148"/>
        <v>28501</v>
      </c>
      <c r="AL839" s="66" t="str" cm="1">
        <f t="array" ref="AL839">IF($F839="","",IFERROR(INDEX('Lot Balance'!$B$5:$B$500,MATCH(1,INDEX(('Lot Balance'!$A$5:$A$500=$F839)*('Lot Balance'!$K$5:$K$500&lt;$AK839)*('Lot Balance'!$K$5:$K$500+'Lot Balance'!$D$5:$D$500&gt;=$AK839),0),0)),""))</f>
        <v>O211LIC25-1</v>
      </c>
      <c r="AM839" s="66" t="str" cm="1">
        <f t="array" ref="AM839">IF($F839="","",IFERROR(INDEX('Lot Balance'!$B$5:$B$500,MATCH(1,INDEX(('Lot Balance'!$A$5:$A$500=$F839)*('Lot Balance'!$K$5:$K$500&lt;$AJ839)*('Lot Balance'!$K$5:$K$500+'Lot Balance'!$D$5:$D$500&gt;=$AJ839),0),0)),""))</f>
        <v>O211LIC25-1</v>
      </c>
      <c r="AN839" s="66" t="str">
        <f>IF($F839="","",IF($AI839&lt;&gt;"",IF(COUNTIFS('Lot Balance'!$A$5:$A$500,$F839,'Lot Balance'!$B$5:$B$500,$AI839)=0,"⚠ override is not a lot of this item",IF($AI839=$AL839,"Override = FEFO","Override - FEFO says "&amp;$AL839)),IF($AL839="","⚠ no receipt on file for this item",IF($AM839&lt;&gt;$AL839,"FEFO auto - split, also "&amp;$AM839,"FEFO auto"))))</f>
        <v>FEFO auto</v>
      </c>
      <c r="AO839" s="114"/>
    </row>
    <row r="840" spans="1:41" x14ac:dyDescent="0.35">
      <c r="A840" s="74">
        <v>46174</v>
      </c>
      <c r="B840" s="18" t="str">
        <f>IF($C840="","",IFERROR(INDEX('Staff Directory'!$A$5:$A$594,MATCH($C840,'Staff Directory'!$B$5:$B$594,0)),"⚠ unknown staff"))</f>
        <v>PSW-162-A6</v>
      </c>
      <c r="C840" s="49" t="s">
        <v>1141</v>
      </c>
      <c r="D840" s="19" t="str">
        <f>IF($B840="","",IFERROR(INDEX('Staff Directory'!$C$5:$C$594,MATCH($B840,'Staff Directory'!$A$5:$A$594,0)),""))</f>
        <v>PSW</v>
      </c>
      <c r="E840" s="19" t="str">
        <f>IF($B840="","",IFERROR(INDEX('Staff Directory'!$D$5:$D$594,MATCH($B840,'Staff Directory'!$A$5:$A$594,0)),""))</f>
        <v>A6</v>
      </c>
      <c r="F840" s="9" t="s">
        <v>115</v>
      </c>
      <c r="G840" s="18" t="str">
        <f>IF($F840="","",IFERROR(INDEX(Items!$B$5:$B$597,MATCH($F840,Items!$A$5:$A$597,0)),"⚠ not in Items"))</f>
        <v>Wipes</v>
      </c>
      <c r="H840" s="19">
        <f>IF($F840="","",IFERROR(INDEX(Items!$C$5:$C$597,MATCH($F840,Items!$A$5:$A$597,0)),""))</f>
        <v>80</v>
      </c>
      <c r="I840" s="23">
        <f>IF($F840="","",IFERROR(INDEX(Items!$E$5:$E$597,MATCH($F840,Items!$A$5:$A$597,0)),""))</f>
        <v>80</v>
      </c>
      <c r="J840" s="115">
        <f>IF(tblIssues[[#This Row],[Qty Override]]&lt;&gt;"",tblIssues[[#This Row],[Qty Override]],IF(tblIssues[[#This Row],[Standard Issue]]="","",tblIssues[[#This Row],[Standard Issue]]))</f>
        <v>80</v>
      </c>
      <c r="K840" s="20">
        <f>IF($F840="","",IFERROR(INDEX(Items!$D$5:$D$597,MATCH($F840,Items!$A$5:$A$597,0)),""))</f>
        <v>0.1</v>
      </c>
      <c r="L840" s="21">
        <f t="shared" ref="L840:L903" si="151">IF(OR($J840="",$K840=""),"",$J840*$K840)</f>
        <v>8</v>
      </c>
      <c r="M840" s="9" t="str">
        <f t="shared" si="149"/>
        <v>LYSL500290</v>
      </c>
      <c r="N840" s="24">
        <f>IF($A840="","",WORKDAY($A840,Settings!$C$9,HolidayDates))</f>
        <v>46182</v>
      </c>
      <c r="O840" s="24">
        <f>IF($N840="","",WORKDAY($N840,Settings!$C$10,HolidayDates))</f>
        <v>46220</v>
      </c>
      <c r="P840" s="10" t="s">
        <v>501</v>
      </c>
      <c r="Q840" s="52" t="str">
        <f t="shared" si="141"/>
        <v>Collected</v>
      </c>
      <c r="R840" s="55" t="str">
        <f t="shared" si="142"/>
        <v>2026-06</v>
      </c>
      <c r="S840" s="55">
        <f>IF(OR($B840="",$F840="",$R840=""),"",SUMIFS(tblIssues[Qty Issued],tblIssues[Staff ID],$B840,tblIssues[Item Name],$F840,tblIssues[Month],$R840))</f>
        <v>80</v>
      </c>
      <c r="T840" s="56">
        <f>IF($I840="","",$I840*Settings!$C$11)</f>
        <v>80</v>
      </c>
      <c r="U840" s="57" t="str">
        <f t="shared" si="150"/>
        <v>OK</v>
      </c>
      <c r="V840" s="55" t="str">
        <f t="shared" si="143"/>
        <v/>
      </c>
      <c r="W840" s="55" t="str">
        <f>IF($V840="","",IF(COUNTIF($V$5:$V840,$V840)=1,1,""))</f>
        <v/>
      </c>
      <c r="X840" s="58" t="str">
        <f>IF($W840="","",MAX($X$4:X839)+1)</f>
        <v/>
      </c>
      <c r="Y840" s="62"/>
      <c r="Z840" s="62"/>
      <c r="AA840" s="64" t="str">
        <f>IF($C840="","",IFERROR(INDEX('Staff Directory'!$E$5:$E$594,MATCH($C840,'Staff Directory'!$B$5:$B$594,0)),""))</f>
        <v>firstname225.lastname225@example.com</v>
      </c>
      <c r="AB840" s="64" t="str">
        <f>IF($C840="","",IF(ISNUMBER(SEARCH($D840,Settings!$C$15)),"Pickup","Dispatch"))</f>
        <v>Pickup</v>
      </c>
      <c r="AC840" s="64" t="str">
        <f t="shared" si="144"/>
        <v>Supply order ready for pickup</v>
      </c>
      <c r="AD840" s="64" t="str">
        <f t="shared" si="146"/>
        <v>Dear PSW,
Your order is ready for pickup from Sample Branch, Wed-Fri 9am-4pm.</v>
      </c>
      <c r="AE840" s="64" t="str">
        <f t="shared" si="147"/>
        <v>mailto:firstname225.lastname225@example.com?subject=Supply%20order%20ready%20for%20pickup&amp;body=Dear%20PSW%2C%0A%0AYour%20order%20is%20ready%20for%20pickup%20from%20Sample%20Branch%2C%20Wed-Fri%209am-4pm.</v>
      </c>
      <c r="AF840" s="89" t="str">
        <f t="shared" si="145"/>
        <v>Draft email</v>
      </c>
      <c r="AG840" s="64" t="str">
        <f>IF($C840="","",IFERROR(INDEX('Staff Directory'!$K$595:$K$599,MATCH($C840,'Staff Directory'!$B$5:$B$599,0)),$D840))</f>
        <v>PSW</v>
      </c>
      <c r="AH840" t="str">
        <f>IF($C840="","",IFERROR(INDEX('Staff Directory'!$I$595:$I$599,MATCH($C840,'Staff Directory'!$B$5:$B$599,0))&amp;" "&amp;INDEX('Staff Directory'!$J$595:$J$599,MATCH($C840,'Staff Directory'!$B$5:$B$599,0)),$AG840))</f>
        <v>PSW</v>
      </c>
      <c r="AI840" s="102"/>
      <c r="AJ840" s="101">
        <f>IF($F840="","",SUMIFS($J$5:$J840,$F$5:$F840,$F840))</f>
        <v>11600</v>
      </c>
      <c r="AK840" s="101">
        <f t="shared" si="148"/>
        <v>11521</v>
      </c>
      <c r="AL840" s="66" t="str" cm="1">
        <f t="array" ref="AL840">IF($F840="","",IFERROR(INDEX('Lot Balance'!$B$5:$B$500,MATCH(1,INDEX(('Lot Balance'!$A$5:$A$500=$F840)*('Lot Balance'!$K$5:$K$500&lt;$AK840)*('Lot Balance'!$K$5:$K$500+'Lot Balance'!$D$5:$D$500&gt;=$AK840),0),0)),""))</f>
        <v>LYSL500290</v>
      </c>
      <c r="AM840" s="66" t="str" cm="1">
        <f t="array" ref="AM840">IF($F840="","",IFERROR(INDEX('Lot Balance'!$B$5:$B$500,MATCH(1,INDEX(('Lot Balance'!$A$5:$A$500=$F840)*('Lot Balance'!$K$5:$K$500&lt;$AJ840)*('Lot Balance'!$K$5:$K$500+'Lot Balance'!$D$5:$D$500&gt;=$AJ840),0),0)),""))</f>
        <v>LYSL500290</v>
      </c>
      <c r="AN840" s="66" t="str">
        <f>IF($F840="","",IF($AI840&lt;&gt;"",IF(COUNTIFS('Lot Balance'!$A$5:$A$500,$F840,'Lot Balance'!$B$5:$B$500,$AI840)=0,"⚠ override is not a lot of this item",IF($AI840=$AL840,"Override = FEFO","Override - FEFO says "&amp;$AL840)),IF($AL840="","⚠ no receipt on file for this item",IF($AM840&lt;&gt;$AL840,"FEFO auto - split, also "&amp;$AM840,"FEFO auto"))))</f>
        <v>FEFO auto</v>
      </c>
      <c r="AO840" s="114"/>
    </row>
    <row r="841" spans="1:41" x14ac:dyDescent="0.35">
      <c r="A841" s="74">
        <v>46174</v>
      </c>
      <c r="B841" s="18" t="str">
        <f>IF($C841="","",IFERROR(INDEX('Staff Directory'!$A$5:$A$594,MATCH($C841,'Staff Directory'!$B$5:$B$594,0)),"⚠ unknown staff"))</f>
        <v>PSW-162-A6</v>
      </c>
      <c r="C841" s="49" t="s">
        <v>1141</v>
      </c>
      <c r="D841" s="19" t="str">
        <f>IF($B841="","",IFERROR(INDEX('Staff Directory'!$C$5:$C$594,MATCH($B841,'Staff Directory'!$A$5:$A$594,0)),""))</f>
        <v>PSW</v>
      </c>
      <c r="E841" s="19" t="str">
        <f>IF($B841="","",IFERROR(INDEX('Staff Directory'!$D$5:$D$594,MATCH($B841,'Staff Directory'!$A$5:$A$594,0)),""))</f>
        <v>A6</v>
      </c>
      <c r="F841" s="9" t="s">
        <v>156</v>
      </c>
      <c r="G841" s="18" t="str">
        <f>IF($F841="","",IFERROR(INDEX(Items!$B$5:$B$597,MATCH($F841,Items!$A$5:$A$597,0)),"⚠ not in Items"))</f>
        <v>Masks</v>
      </c>
      <c r="H841" s="19" t="str">
        <f>IF($F841="","",IFERROR(INDEX(Items!$C$5:$C$597,MATCH($F841,Items!$A$5:$A$597,0)),""))</f>
        <v>One Size</v>
      </c>
      <c r="I841" s="23">
        <f>IF($F841="","",IFERROR(INDEX(Items!$E$5:$E$597,MATCH($F841,Items!$A$5:$A$597,0)),""))</f>
        <v>50</v>
      </c>
      <c r="J841" s="115">
        <f>IF(tblIssues[[#This Row],[Qty Override]]&lt;&gt;"",tblIssues[[#This Row],[Qty Override]],IF(tblIssues[[#This Row],[Standard Issue]]="","",tblIssues[[#This Row],[Standard Issue]]))</f>
        <v>50</v>
      </c>
      <c r="K841" s="20">
        <f>IF($F841="","",IFERROR(INDEX(Items!$D$5:$D$597,MATCH($F841,Items!$A$5:$A$597,0)),""))</f>
        <v>0.25</v>
      </c>
      <c r="L841" s="21">
        <f t="shared" si="151"/>
        <v>12.5</v>
      </c>
      <c r="M841" s="9" t="str">
        <f t="shared" si="149"/>
        <v>0125FPC24-1</v>
      </c>
      <c r="N841" s="24">
        <f>IF($A841="","",WORKDAY($A841,Settings!$C$9,HolidayDates))</f>
        <v>46182</v>
      </c>
      <c r="O841" s="24">
        <f>IF($N841="","",WORKDAY($N841,Settings!$C$10,HolidayDates))</f>
        <v>46220</v>
      </c>
      <c r="P841" s="10" t="s">
        <v>501</v>
      </c>
      <c r="Q841" s="52" t="str">
        <f t="shared" si="141"/>
        <v>Collected</v>
      </c>
      <c r="R841" s="55" t="str">
        <f t="shared" si="142"/>
        <v>2026-06</v>
      </c>
      <c r="S841" s="55">
        <f>IF(OR($B841="",$F841="",$R841=""),"",SUMIFS(tblIssues[Qty Issued],tblIssues[Staff ID],$B841,tblIssues[Item Name],$F841,tblIssues[Month],$R841))</f>
        <v>50</v>
      </c>
      <c r="T841" s="56">
        <f>IF($I841="","",$I841*Settings!$C$11)</f>
        <v>50</v>
      </c>
      <c r="U841" s="57" t="str">
        <f t="shared" si="150"/>
        <v>OK</v>
      </c>
      <c r="V841" s="55" t="str">
        <f t="shared" si="143"/>
        <v/>
      </c>
      <c r="W841" s="55" t="str">
        <f>IF($V841="","",IF(COUNTIF($V$5:$V841,$V841)=1,1,""))</f>
        <v/>
      </c>
      <c r="X841" s="58" t="str">
        <f>IF($W841="","",MAX($X$4:X840)+1)</f>
        <v/>
      </c>
      <c r="Y841" s="62"/>
      <c r="Z841" s="62"/>
      <c r="AA841" s="64" t="str">
        <f>IF($C841="","",IFERROR(INDEX('Staff Directory'!$E$5:$E$594,MATCH($C841,'Staff Directory'!$B$5:$B$594,0)),""))</f>
        <v>firstname225.lastname225@example.com</v>
      </c>
      <c r="AB841" s="64" t="str">
        <f>IF($C841="","",IF(ISNUMBER(SEARCH($D841,Settings!$C$15)),"Pickup","Dispatch"))</f>
        <v>Pickup</v>
      </c>
      <c r="AC841" s="64" t="str">
        <f t="shared" si="144"/>
        <v>Supply order ready for pickup</v>
      </c>
      <c r="AD841" s="64" t="str">
        <f t="shared" si="146"/>
        <v>Dear PSW,
Your order is ready for pickup from Sample Branch, Wed-Fri 9am-4pm.</v>
      </c>
      <c r="AE841" s="64" t="str">
        <f t="shared" si="147"/>
        <v>mailto:firstname225.lastname225@example.com?subject=Supply%20order%20ready%20for%20pickup&amp;body=Dear%20PSW%2C%0A%0AYour%20order%20is%20ready%20for%20pickup%20from%20Sample%20Branch%2C%20Wed-Fri%209am-4pm.</v>
      </c>
      <c r="AF841" s="89" t="str">
        <f t="shared" si="145"/>
        <v>Draft email</v>
      </c>
      <c r="AG841" s="64" t="str">
        <f>IF($C841="","",IFERROR(INDEX('Staff Directory'!$K$595:$K$599,MATCH($C841,'Staff Directory'!$B$5:$B$599,0)),$D841))</f>
        <v>PSW</v>
      </c>
      <c r="AH841" t="str">
        <f>IF($C841="","",IFERROR(INDEX('Staff Directory'!$I$595:$I$599,MATCH($C841,'Staff Directory'!$B$5:$B$599,0))&amp;" "&amp;INDEX('Staff Directory'!$J$595:$J$599,MATCH($C841,'Staff Directory'!$B$5:$B$599,0)),$AG841))</f>
        <v>PSW</v>
      </c>
      <c r="AI841" s="102"/>
      <c r="AJ841" s="101">
        <f>IF($F841="","",SUMIFS($J$5:$J841,$F$5:$F841,$F841))</f>
        <v>7050</v>
      </c>
      <c r="AK841" s="101">
        <f t="shared" si="148"/>
        <v>7001</v>
      </c>
      <c r="AL841" s="66" t="str" cm="1">
        <f t="array" ref="AL841">IF($F841="","",IFERROR(INDEX('Lot Balance'!$B$5:$B$500,MATCH(1,INDEX(('Lot Balance'!$A$5:$A$500=$F841)*('Lot Balance'!$K$5:$K$500&lt;$AK841)*('Lot Balance'!$K$5:$K$500+'Lot Balance'!$D$5:$D$500&gt;=$AK841),0),0)),""))</f>
        <v>0125FPC24-1</v>
      </c>
      <c r="AM841" s="66" t="str" cm="1">
        <f t="array" ref="AM841">IF($F841="","",IFERROR(INDEX('Lot Balance'!$B$5:$B$500,MATCH(1,INDEX(('Lot Balance'!$A$5:$A$500=$F841)*('Lot Balance'!$K$5:$K$500&lt;$AJ841)*('Lot Balance'!$K$5:$K$500+'Lot Balance'!$D$5:$D$500&gt;=$AJ841),0),0)),""))</f>
        <v>0125FPC24-1</v>
      </c>
      <c r="AN841" s="66" t="str">
        <f>IF($F841="","",IF($AI841&lt;&gt;"",IF(COUNTIFS('Lot Balance'!$A$5:$A$500,$F841,'Lot Balance'!$B$5:$B$500,$AI841)=0,"⚠ override is not a lot of this item",IF($AI841=$AL841,"Override = FEFO","Override - FEFO says "&amp;$AL841)),IF($AL841="","⚠ no receipt on file for this item",IF($AM841&lt;&gt;$AL841,"FEFO auto - split, also "&amp;$AM841,"FEFO auto"))))</f>
        <v>FEFO auto</v>
      </c>
      <c r="AO841" s="114"/>
    </row>
    <row r="842" spans="1:41" x14ac:dyDescent="0.35">
      <c r="A842" s="74">
        <v>46174</v>
      </c>
      <c r="B842" s="18" t="str">
        <f>IF($C842="","",IFERROR(INDEX('Staff Directory'!$A$5:$A$594,MATCH($C842,'Staff Directory'!$B$5:$B$594,0)),"⚠ unknown staff"))</f>
        <v>PSW-033-A4</v>
      </c>
      <c r="C842" s="49" t="s">
        <v>1008</v>
      </c>
      <c r="D842" s="19" t="str">
        <f>IF($B842="","",IFERROR(INDEX('Staff Directory'!$C$5:$C$594,MATCH($B842,'Staff Directory'!$A$5:$A$594,0)),""))</f>
        <v>PSW</v>
      </c>
      <c r="E842" s="19" t="str">
        <f>IF($B842="","",IFERROR(INDEX('Staff Directory'!$D$5:$D$594,MATCH($B842,'Staff Directory'!$A$5:$A$594,0)),""))</f>
        <v>A4</v>
      </c>
      <c r="F842" s="9" t="s">
        <v>129</v>
      </c>
      <c r="G842" s="18" t="str">
        <f>IF($F842="","",IFERROR(INDEX(Items!$B$5:$B$597,MATCH($F842,Items!$A$5:$A$597,0)),"⚠ not in Items"))</f>
        <v>Gloves</v>
      </c>
      <c r="H842" s="19" t="str">
        <f>IF($F842="","",IFERROR(INDEX(Items!$C$5:$C$597,MATCH($F842,Items!$A$5:$A$597,0)),""))</f>
        <v>Small</v>
      </c>
      <c r="I842" s="23">
        <f>IF($F842="","",IFERROR(INDEX(Items!$E$5:$E$597,MATCH($F842,Items!$A$5:$A$597,0)),""))</f>
        <v>500</v>
      </c>
      <c r="J842" s="115">
        <f>IF(tblIssues[[#This Row],[Qty Override]]&lt;&gt;"",tblIssues[[#This Row],[Qty Override]],IF(tblIssues[[#This Row],[Standard Issue]]="","",tblIssues[[#This Row],[Standard Issue]]))</f>
        <v>500</v>
      </c>
      <c r="K842" s="20">
        <f>IF($F842="","",IFERROR(INDEX(Items!$D$5:$D$597,MATCH($F842,Items!$A$5:$A$597,0)),""))</f>
        <v>5.5E-2</v>
      </c>
      <c r="L842" s="21">
        <f t="shared" si="151"/>
        <v>27.5</v>
      </c>
      <c r="M842" s="9" t="str">
        <f t="shared" si="149"/>
        <v>O211LIC25-1</v>
      </c>
      <c r="N842" s="24">
        <f>IF($A842="","",WORKDAY($A842,Settings!$C$9,HolidayDates))</f>
        <v>46182</v>
      </c>
      <c r="O842" s="24">
        <f>IF($N842="","",WORKDAY($N842,Settings!$C$10,HolidayDates))</f>
        <v>46220</v>
      </c>
      <c r="P842" s="10" t="s">
        <v>501</v>
      </c>
      <c r="Q842" s="52" t="str">
        <f t="shared" si="141"/>
        <v>Collected</v>
      </c>
      <c r="R842" s="55" t="str">
        <f t="shared" si="142"/>
        <v>2026-06</v>
      </c>
      <c r="S842" s="55">
        <f>IF(OR($B842="",$F842="",$R842=""),"",SUMIFS(tblIssues[Qty Issued],tblIssues[Staff ID],$B842,tblIssues[Item Name],$F842,tblIssues[Month],$R842))</f>
        <v>500</v>
      </c>
      <c r="T842" s="56">
        <f>IF($I842="","",$I842*Settings!$C$11)</f>
        <v>500</v>
      </c>
      <c r="U842" s="57" t="str">
        <f t="shared" si="150"/>
        <v>OK</v>
      </c>
      <c r="V842" s="55" t="str">
        <f t="shared" si="143"/>
        <v/>
      </c>
      <c r="W842" s="55" t="str">
        <f>IF($V842="","",IF(COUNTIF($V$5:$V842,$V842)=1,1,""))</f>
        <v/>
      </c>
      <c r="X842" s="58" t="str">
        <f>IF($W842="","",MAX($X$4:X841)+1)</f>
        <v/>
      </c>
      <c r="Y842" s="62"/>
      <c r="Z842" s="62"/>
      <c r="AA842" s="64" t="str">
        <f>IF($C842="","",IFERROR(INDEX('Staff Directory'!$E$5:$E$594,MATCH($C842,'Staff Directory'!$B$5:$B$594,0)),""))</f>
        <v>firstname092.lastname092@example.com</v>
      </c>
      <c r="AB842" s="64" t="str">
        <f>IF($C842="","",IF(ISNUMBER(SEARCH($D842,Settings!$C$15)),"Pickup","Dispatch"))</f>
        <v>Pickup</v>
      </c>
      <c r="AC842" s="64" t="str">
        <f t="shared" si="144"/>
        <v>Supply order ready for pickup</v>
      </c>
      <c r="AD842" s="64" t="str">
        <f t="shared" si="146"/>
        <v>Dear PSW,
Your order is ready for pickup from Sample Branch, Wed-Fri 9am-4pm.</v>
      </c>
      <c r="AE842" s="64" t="str">
        <f t="shared" si="147"/>
        <v>mailto:firstname092.lastname092@example.com?subject=Supply%20order%20ready%20for%20pickup&amp;body=Dear%20PSW%2C%0A%0AYour%20order%20is%20ready%20for%20pickup%20from%20Sample%20Branch%2C%20Wed-Fri%209am-4pm.</v>
      </c>
      <c r="AF842" s="89" t="str">
        <f t="shared" si="145"/>
        <v>Draft email</v>
      </c>
      <c r="AG842" s="64" t="str">
        <f>IF($C842="","",IFERROR(INDEX('Staff Directory'!$K$595:$K$599,MATCH($C842,'Staff Directory'!$B$5:$B$599,0)),$D842))</f>
        <v>PSW</v>
      </c>
      <c r="AH842" t="str">
        <f>IF($C842="","",IFERROR(INDEX('Staff Directory'!$I$595:$I$599,MATCH($C842,'Staff Directory'!$B$5:$B$599,0))&amp;" "&amp;INDEX('Staff Directory'!$J$595:$J$599,MATCH($C842,'Staff Directory'!$B$5:$B$599,0)),$AG842))</f>
        <v>PSW</v>
      </c>
      <c r="AI842" s="102"/>
      <c r="AJ842" s="101">
        <f>IF($F842="","",SUMIFS($J$5:$J842,$F$5:$F842,$F842))</f>
        <v>29500</v>
      </c>
      <c r="AK842" s="101">
        <f t="shared" si="148"/>
        <v>29001</v>
      </c>
      <c r="AL842" s="66" t="str" cm="1">
        <f t="array" ref="AL842">IF($F842="","",IFERROR(INDEX('Lot Balance'!$B$5:$B$500,MATCH(1,INDEX(('Lot Balance'!$A$5:$A$500=$F842)*('Lot Balance'!$K$5:$K$500&lt;$AK842)*('Lot Balance'!$K$5:$K$500+'Lot Balance'!$D$5:$D$500&gt;=$AK842),0),0)),""))</f>
        <v>O211LIC25-1</v>
      </c>
      <c r="AM842" s="66" t="str" cm="1">
        <f t="array" ref="AM842">IF($F842="","",IFERROR(INDEX('Lot Balance'!$B$5:$B$500,MATCH(1,INDEX(('Lot Balance'!$A$5:$A$500=$F842)*('Lot Balance'!$K$5:$K$500&lt;$AJ842)*('Lot Balance'!$K$5:$K$500+'Lot Balance'!$D$5:$D$500&gt;=$AJ842),0),0)),""))</f>
        <v>O211LIC25-1</v>
      </c>
      <c r="AN842" s="66" t="str">
        <f>IF($F842="","",IF($AI842&lt;&gt;"",IF(COUNTIFS('Lot Balance'!$A$5:$A$500,$F842,'Lot Balance'!$B$5:$B$500,$AI842)=0,"⚠ override is not a lot of this item",IF($AI842=$AL842,"Override = FEFO","Override - FEFO says "&amp;$AL842)),IF($AL842="","⚠ no receipt on file for this item",IF($AM842&lt;&gt;$AL842,"FEFO auto - split, also "&amp;$AM842,"FEFO auto"))))</f>
        <v>FEFO auto</v>
      </c>
      <c r="AO842" s="114"/>
    </row>
    <row r="843" spans="1:41" x14ac:dyDescent="0.35">
      <c r="A843" s="74">
        <v>46174</v>
      </c>
      <c r="B843" s="18" t="str">
        <f>IF($C843="","",IFERROR(INDEX('Staff Directory'!$A$5:$A$594,MATCH($C843,'Staff Directory'!$B$5:$B$594,0)),"⚠ unknown staff"))</f>
        <v>PSW-033-A4</v>
      </c>
      <c r="C843" s="49" t="s">
        <v>1008</v>
      </c>
      <c r="D843" s="19" t="str">
        <f>IF($B843="","",IFERROR(INDEX('Staff Directory'!$C$5:$C$594,MATCH($B843,'Staff Directory'!$A$5:$A$594,0)),""))</f>
        <v>PSW</v>
      </c>
      <c r="E843" s="19" t="str">
        <f>IF($B843="","",IFERROR(INDEX('Staff Directory'!$D$5:$D$594,MATCH($B843,'Staff Directory'!$A$5:$A$594,0)),""))</f>
        <v>A4</v>
      </c>
      <c r="F843" s="9" t="s">
        <v>191</v>
      </c>
      <c r="G843" s="18" t="str">
        <f>IF($F843="","",IFERROR(INDEX(Items!$B$5:$B$597,MATCH($F843,Items!$A$5:$A$597,0)),"⚠ not in Items"))</f>
        <v>Sanitizer</v>
      </c>
      <c r="H843" s="19" t="str">
        <f>IF($F843="","",IFERROR(INDEX(Items!$C$5:$C$597,MATCH($F843,Items!$A$5:$A$597,0)),""))</f>
        <v>236 ML</v>
      </c>
      <c r="I843" s="23">
        <f>IF($F843="","",IFERROR(INDEX(Items!$E$5:$E$597,MATCH($F843,Items!$A$5:$A$597,0)),""))</f>
        <v>1</v>
      </c>
      <c r="J843" s="115">
        <f>IF(tblIssues[[#This Row],[Qty Override]]&lt;&gt;"",tblIssues[[#This Row],[Qty Override]],IF(tblIssues[[#This Row],[Standard Issue]]="","",tblIssues[[#This Row],[Standard Issue]]))</f>
        <v>1</v>
      </c>
      <c r="K843" s="20">
        <f>IF($F843="","",IFERROR(INDEX(Items!$D$5:$D$597,MATCH($F843,Items!$A$5:$A$597,0)),""))</f>
        <v>1E-4</v>
      </c>
      <c r="L843" s="21">
        <f t="shared" si="151"/>
        <v>1E-4</v>
      </c>
      <c r="M843" s="9" t="str">
        <f t="shared" si="149"/>
        <v>20-21734-4</v>
      </c>
      <c r="N843" s="24">
        <f>IF($A843="","",WORKDAY($A843,Settings!$C$9,HolidayDates))</f>
        <v>46182</v>
      </c>
      <c r="O843" s="24">
        <f>IF($N843="","",WORKDAY($N843,Settings!$C$10,HolidayDates))</f>
        <v>46220</v>
      </c>
      <c r="P843" s="10" t="s">
        <v>501</v>
      </c>
      <c r="Q843" s="52" t="str">
        <f t="shared" si="141"/>
        <v>Collected</v>
      </c>
      <c r="R843" s="55" t="str">
        <f t="shared" si="142"/>
        <v>2026-06</v>
      </c>
      <c r="S843" s="55">
        <f>IF(OR($B843="",$F843="",$R843=""),"",SUMIFS(tblIssues[Qty Issued],tblIssues[Staff ID],$B843,tblIssues[Item Name],$F843,tblIssues[Month],$R843))</f>
        <v>1</v>
      </c>
      <c r="T843" s="56">
        <f>IF($I843="","",$I843*Settings!$C$11)</f>
        <v>1</v>
      </c>
      <c r="U843" s="57" t="str">
        <f t="shared" si="150"/>
        <v>OK</v>
      </c>
      <c r="V843" s="55" t="str">
        <f t="shared" si="143"/>
        <v/>
      </c>
      <c r="W843" s="55" t="str">
        <f>IF($V843="","",IF(COUNTIF($V$5:$V843,$V843)=1,1,""))</f>
        <v/>
      </c>
      <c r="X843" s="58" t="str">
        <f>IF($W843="","",MAX($X$4:X842)+1)</f>
        <v/>
      </c>
      <c r="Y843" s="62"/>
      <c r="Z843" s="62"/>
      <c r="AA843" s="64" t="str">
        <f>IF($C843="","",IFERROR(INDEX('Staff Directory'!$E$5:$E$594,MATCH($C843,'Staff Directory'!$B$5:$B$594,0)),""))</f>
        <v>firstname092.lastname092@example.com</v>
      </c>
      <c r="AB843" s="64" t="str">
        <f>IF($C843="","",IF(ISNUMBER(SEARCH($D843,Settings!$C$15)),"Pickup","Dispatch"))</f>
        <v>Pickup</v>
      </c>
      <c r="AC843" s="64" t="str">
        <f t="shared" si="144"/>
        <v>Supply order ready for pickup</v>
      </c>
      <c r="AD843" s="64" t="str">
        <f t="shared" si="146"/>
        <v>Dear PSW,
Your order is ready for pickup from Sample Branch, Wed-Fri 9am-4pm.</v>
      </c>
      <c r="AE843" s="64" t="str">
        <f t="shared" si="147"/>
        <v>mailto:firstname092.lastname092@example.com?subject=Supply%20order%20ready%20for%20pickup&amp;body=Dear%20PSW%2C%0A%0AYour%20order%20is%20ready%20for%20pickup%20from%20Sample%20Branch%2C%20Wed-Fri%209am-4pm.</v>
      </c>
      <c r="AF843" s="89" t="str">
        <f t="shared" si="145"/>
        <v>Draft email</v>
      </c>
      <c r="AG843" s="64" t="str">
        <f>IF($C843="","",IFERROR(INDEX('Staff Directory'!$K$595:$K$599,MATCH($C843,'Staff Directory'!$B$5:$B$599,0)),$D843))</f>
        <v>PSW</v>
      </c>
      <c r="AH843" t="str">
        <f>IF($C843="","",IFERROR(INDEX('Staff Directory'!$I$595:$I$599,MATCH($C843,'Staff Directory'!$B$5:$B$599,0))&amp;" "&amp;INDEX('Staff Directory'!$J$595:$J$599,MATCH($C843,'Staff Directory'!$B$5:$B$599,0)),$AG843))</f>
        <v>PSW</v>
      </c>
      <c r="AI843" s="102"/>
      <c r="AJ843" s="101">
        <f>IF($F843="","",SUMIFS($J$5:$J843,$F$5:$F843,$F843))</f>
        <v>106</v>
      </c>
      <c r="AK843" s="101">
        <f t="shared" si="148"/>
        <v>106</v>
      </c>
      <c r="AL843" s="66" t="str" cm="1">
        <f t="array" ref="AL843">IF($F843="","",IFERROR(INDEX('Lot Balance'!$B$5:$B$500,MATCH(1,INDEX(('Lot Balance'!$A$5:$A$500=$F843)*('Lot Balance'!$K$5:$K$500&lt;$AK843)*('Lot Balance'!$K$5:$K$500+'Lot Balance'!$D$5:$D$500&gt;=$AK843),0),0)),""))</f>
        <v>20-21734-4</v>
      </c>
      <c r="AM843" s="66" t="str" cm="1">
        <f t="array" ref="AM843">IF($F843="","",IFERROR(INDEX('Lot Balance'!$B$5:$B$500,MATCH(1,INDEX(('Lot Balance'!$A$5:$A$500=$F843)*('Lot Balance'!$K$5:$K$500&lt;$AJ843)*('Lot Balance'!$K$5:$K$500+'Lot Balance'!$D$5:$D$500&gt;=$AJ843),0),0)),""))</f>
        <v>20-21734-4</v>
      </c>
      <c r="AN843" s="66" t="str">
        <f>IF($F843="","",IF($AI843&lt;&gt;"",IF(COUNTIFS('Lot Balance'!$A$5:$A$500,$F843,'Lot Balance'!$B$5:$B$500,$AI843)=0,"⚠ override is not a lot of this item",IF($AI843=$AL843,"Override = FEFO","Override - FEFO says "&amp;$AL843)),IF($AL843="","⚠ no receipt on file for this item",IF($AM843&lt;&gt;$AL843,"FEFO auto - split, also "&amp;$AM843,"FEFO auto"))))</f>
        <v>FEFO auto</v>
      </c>
      <c r="AO843" s="114"/>
    </row>
    <row r="844" spans="1:41" x14ac:dyDescent="0.35">
      <c r="A844" s="74">
        <v>46174</v>
      </c>
      <c r="B844" s="18" t="str">
        <f>IF($C844="","",IFERROR(INDEX('Staff Directory'!$A$5:$A$594,MATCH($C844,'Staff Directory'!$B$5:$B$594,0)),"⚠ unknown staff"))</f>
        <v>PSW-033-A4</v>
      </c>
      <c r="C844" s="49" t="s">
        <v>1008</v>
      </c>
      <c r="D844" s="19" t="str">
        <f>IF($B844="","",IFERROR(INDEX('Staff Directory'!$C$5:$C$594,MATCH($B844,'Staff Directory'!$A$5:$A$594,0)),""))</f>
        <v>PSW</v>
      </c>
      <c r="E844" s="19" t="str">
        <f>IF($B844="","",IFERROR(INDEX('Staff Directory'!$D$5:$D$594,MATCH($B844,'Staff Directory'!$A$5:$A$594,0)),""))</f>
        <v>A4</v>
      </c>
      <c r="F844" s="9" t="s">
        <v>115</v>
      </c>
      <c r="G844" s="18" t="str">
        <f>IF($F844="","",IFERROR(INDEX(Items!$B$5:$B$597,MATCH($F844,Items!$A$5:$A$597,0)),"⚠ not in Items"))</f>
        <v>Wipes</v>
      </c>
      <c r="H844" s="19">
        <f>IF($F844="","",IFERROR(INDEX(Items!$C$5:$C$597,MATCH($F844,Items!$A$5:$A$597,0)),""))</f>
        <v>80</v>
      </c>
      <c r="I844" s="23">
        <f>IF($F844="","",IFERROR(INDEX(Items!$E$5:$E$597,MATCH($F844,Items!$A$5:$A$597,0)),""))</f>
        <v>80</v>
      </c>
      <c r="J844" s="115">
        <f>IF(tblIssues[[#This Row],[Qty Override]]&lt;&gt;"",tblIssues[[#This Row],[Qty Override]],IF(tblIssues[[#This Row],[Standard Issue]]="","",tblIssues[[#This Row],[Standard Issue]]))</f>
        <v>80</v>
      </c>
      <c r="K844" s="20">
        <f>IF($F844="","",IFERROR(INDEX(Items!$D$5:$D$597,MATCH($F844,Items!$A$5:$A$597,0)),""))</f>
        <v>0.1</v>
      </c>
      <c r="L844" s="21">
        <f t="shared" si="151"/>
        <v>8</v>
      </c>
      <c r="M844" s="9" t="str">
        <f t="shared" si="149"/>
        <v>LYSL500290</v>
      </c>
      <c r="N844" s="24">
        <f>IF($A844="","",WORKDAY($A844,Settings!$C$9,HolidayDates))</f>
        <v>46182</v>
      </c>
      <c r="O844" s="24">
        <f>IF($N844="","",WORKDAY($N844,Settings!$C$10,HolidayDates))</f>
        <v>46220</v>
      </c>
      <c r="P844" s="10" t="s">
        <v>501</v>
      </c>
      <c r="Q844" s="52" t="str">
        <f t="shared" si="141"/>
        <v>Collected</v>
      </c>
      <c r="R844" s="55" t="str">
        <f t="shared" si="142"/>
        <v>2026-06</v>
      </c>
      <c r="S844" s="55">
        <f>IF(OR($B844="",$F844="",$R844=""),"",SUMIFS(tblIssues[Qty Issued],tblIssues[Staff ID],$B844,tblIssues[Item Name],$F844,tblIssues[Month],$R844))</f>
        <v>80</v>
      </c>
      <c r="T844" s="56">
        <f>IF($I844="","",$I844*Settings!$C$11)</f>
        <v>80</v>
      </c>
      <c r="U844" s="57" t="str">
        <f t="shared" si="150"/>
        <v>OK</v>
      </c>
      <c r="V844" s="55" t="str">
        <f t="shared" si="143"/>
        <v/>
      </c>
      <c r="W844" s="55" t="str">
        <f>IF($V844="","",IF(COUNTIF($V$5:$V844,$V844)=1,1,""))</f>
        <v/>
      </c>
      <c r="X844" s="58" t="str">
        <f>IF($W844="","",MAX($X$4:X843)+1)</f>
        <v/>
      </c>
      <c r="Y844" s="62"/>
      <c r="Z844" s="62"/>
      <c r="AA844" s="64" t="str">
        <f>IF($C844="","",IFERROR(INDEX('Staff Directory'!$E$5:$E$594,MATCH($C844,'Staff Directory'!$B$5:$B$594,0)),""))</f>
        <v>firstname092.lastname092@example.com</v>
      </c>
      <c r="AB844" s="64" t="str">
        <f>IF($C844="","",IF(ISNUMBER(SEARCH($D844,Settings!$C$15)),"Pickup","Dispatch"))</f>
        <v>Pickup</v>
      </c>
      <c r="AC844" s="64" t="str">
        <f t="shared" si="144"/>
        <v>Supply order ready for pickup</v>
      </c>
      <c r="AD844" s="64" t="str">
        <f t="shared" si="146"/>
        <v>Dear PSW,
Your order is ready for pickup from Sample Branch, Wed-Fri 9am-4pm.</v>
      </c>
      <c r="AE844" s="64" t="str">
        <f t="shared" si="147"/>
        <v>mailto:firstname092.lastname092@example.com?subject=Supply%20order%20ready%20for%20pickup&amp;body=Dear%20PSW%2C%0A%0AYour%20order%20is%20ready%20for%20pickup%20from%20Sample%20Branch%2C%20Wed-Fri%209am-4pm.</v>
      </c>
      <c r="AF844" s="89" t="str">
        <f t="shared" si="145"/>
        <v>Draft email</v>
      </c>
      <c r="AG844" s="64" t="str">
        <f>IF($C844="","",IFERROR(INDEX('Staff Directory'!$K$595:$K$599,MATCH($C844,'Staff Directory'!$B$5:$B$599,0)),$D844))</f>
        <v>PSW</v>
      </c>
      <c r="AH844" t="str">
        <f>IF($C844="","",IFERROR(INDEX('Staff Directory'!$I$595:$I$599,MATCH($C844,'Staff Directory'!$B$5:$B$599,0))&amp;" "&amp;INDEX('Staff Directory'!$J$595:$J$599,MATCH($C844,'Staff Directory'!$B$5:$B$599,0)),$AG844))</f>
        <v>PSW</v>
      </c>
      <c r="AI844" s="102"/>
      <c r="AJ844" s="101">
        <f>IF($F844="","",SUMIFS($J$5:$J844,$F$5:$F844,$F844))</f>
        <v>11680</v>
      </c>
      <c r="AK844" s="101">
        <f t="shared" si="148"/>
        <v>11601</v>
      </c>
      <c r="AL844" s="66" t="str" cm="1">
        <f t="array" ref="AL844">IF($F844="","",IFERROR(INDEX('Lot Balance'!$B$5:$B$500,MATCH(1,INDEX(('Lot Balance'!$A$5:$A$500=$F844)*('Lot Balance'!$K$5:$K$500&lt;$AK844)*('Lot Balance'!$K$5:$K$500+'Lot Balance'!$D$5:$D$500&gt;=$AK844),0),0)),""))</f>
        <v>LYSL500290</v>
      </c>
      <c r="AM844" s="66" t="str" cm="1">
        <f t="array" ref="AM844">IF($F844="","",IFERROR(INDEX('Lot Balance'!$B$5:$B$500,MATCH(1,INDEX(('Lot Balance'!$A$5:$A$500=$F844)*('Lot Balance'!$K$5:$K$500&lt;$AJ844)*('Lot Balance'!$K$5:$K$500+'Lot Balance'!$D$5:$D$500&gt;=$AJ844),0),0)),""))</f>
        <v>LYSL500290</v>
      </c>
      <c r="AN844" s="66" t="str">
        <f>IF($F844="","",IF($AI844&lt;&gt;"",IF(COUNTIFS('Lot Balance'!$A$5:$A$500,$F844,'Lot Balance'!$B$5:$B$500,$AI844)=0,"⚠ override is not a lot of this item",IF($AI844=$AL844,"Override = FEFO","Override - FEFO says "&amp;$AL844)),IF($AL844="","⚠ no receipt on file for this item",IF($AM844&lt;&gt;$AL844,"FEFO auto - split, also "&amp;$AM844,"FEFO auto"))))</f>
        <v>FEFO auto</v>
      </c>
      <c r="AO844" s="114"/>
    </row>
    <row r="845" spans="1:41" x14ac:dyDescent="0.35">
      <c r="A845" s="74">
        <v>46174</v>
      </c>
      <c r="B845" s="18" t="str">
        <f>IF($C845="","",IFERROR(INDEX('Staff Directory'!$A$5:$A$594,MATCH($C845,'Staff Directory'!$B$5:$B$594,0)),"⚠ unknown staff"))</f>
        <v>PSW-033-A4</v>
      </c>
      <c r="C845" s="49" t="s">
        <v>1008</v>
      </c>
      <c r="D845" s="19" t="str">
        <f>IF($B845="","",IFERROR(INDEX('Staff Directory'!$C$5:$C$594,MATCH($B845,'Staff Directory'!$A$5:$A$594,0)),""))</f>
        <v>PSW</v>
      </c>
      <c r="E845" s="19" t="str">
        <f>IF($B845="","",IFERROR(INDEX('Staff Directory'!$D$5:$D$594,MATCH($B845,'Staff Directory'!$A$5:$A$594,0)),""))</f>
        <v>A4</v>
      </c>
      <c r="F845" s="9" t="s">
        <v>156</v>
      </c>
      <c r="G845" s="18" t="str">
        <f>IF($F845="","",IFERROR(INDEX(Items!$B$5:$B$597,MATCH($F845,Items!$A$5:$A$597,0)),"⚠ not in Items"))</f>
        <v>Masks</v>
      </c>
      <c r="H845" s="19" t="str">
        <f>IF($F845="","",IFERROR(INDEX(Items!$C$5:$C$597,MATCH($F845,Items!$A$5:$A$597,0)),""))</f>
        <v>One Size</v>
      </c>
      <c r="I845" s="23">
        <f>IF($F845="","",IFERROR(INDEX(Items!$E$5:$E$597,MATCH($F845,Items!$A$5:$A$597,0)),""))</f>
        <v>50</v>
      </c>
      <c r="J845" s="115">
        <f>IF(tblIssues[[#This Row],[Qty Override]]&lt;&gt;"",tblIssues[[#This Row],[Qty Override]],IF(tblIssues[[#This Row],[Standard Issue]]="","",tblIssues[[#This Row],[Standard Issue]]))</f>
        <v>50</v>
      </c>
      <c r="K845" s="20">
        <f>IF($F845="","",IFERROR(INDEX(Items!$D$5:$D$597,MATCH($F845,Items!$A$5:$A$597,0)),""))</f>
        <v>0.25</v>
      </c>
      <c r="L845" s="21">
        <f t="shared" si="151"/>
        <v>12.5</v>
      </c>
      <c r="M845" s="9" t="str">
        <f t="shared" si="149"/>
        <v>0125FPC24-1</v>
      </c>
      <c r="N845" s="24">
        <f>IF($A845="","",WORKDAY($A845,Settings!$C$9,HolidayDates))</f>
        <v>46182</v>
      </c>
      <c r="O845" s="24">
        <f>IF($N845="","",WORKDAY($N845,Settings!$C$10,HolidayDates))</f>
        <v>46220</v>
      </c>
      <c r="P845" s="10" t="s">
        <v>501</v>
      </c>
      <c r="Q845" s="52" t="str">
        <f t="shared" si="141"/>
        <v>Collected</v>
      </c>
      <c r="R845" s="55" t="str">
        <f t="shared" si="142"/>
        <v>2026-06</v>
      </c>
      <c r="S845" s="55">
        <f>IF(OR($B845="",$F845="",$R845=""),"",SUMIFS(tblIssues[Qty Issued],tblIssues[Staff ID],$B845,tblIssues[Item Name],$F845,tblIssues[Month],$R845))</f>
        <v>50</v>
      </c>
      <c r="T845" s="56">
        <f>IF($I845="","",$I845*Settings!$C$11)</f>
        <v>50</v>
      </c>
      <c r="U845" s="57" t="str">
        <f t="shared" si="150"/>
        <v>OK</v>
      </c>
      <c r="V845" s="55" t="str">
        <f t="shared" si="143"/>
        <v/>
      </c>
      <c r="W845" s="55" t="str">
        <f>IF($V845="","",IF(COUNTIF($V$5:$V845,$V845)=1,1,""))</f>
        <v/>
      </c>
      <c r="X845" s="58" t="str">
        <f>IF($W845="","",MAX($X$4:X844)+1)</f>
        <v/>
      </c>
      <c r="Y845" s="62"/>
      <c r="Z845" s="62"/>
      <c r="AA845" s="64" t="str">
        <f>IF($C845="","",IFERROR(INDEX('Staff Directory'!$E$5:$E$594,MATCH($C845,'Staff Directory'!$B$5:$B$594,0)),""))</f>
        <v>firstname092.lastname092@example.com</v>
      </c>
      <c r="AB845" s="64" t="str">
        <f>IF($C845="","",IF(ISNUMBER(SEARCH($D845,Settings!$C$15)),"Pickup","Dispatch"))</f>
        <v>Pickup</v>
      </c>
      <c r="AC845" s="64" t="str">
        <f t="shared" si="144"/>
        <v>Supply order ready for pickup</v>
      </c>
      <c r="AD845" s="64" t="str">
        <f t="shared" si="146"/>
        <v>Dear PSW,
Your order is ready for pickup from Sample Branch, Wed-Fri 9am-4pm.</v>
      </c>
      <c r="AE845" s="64" t="str">
        <f t="shared" si="147"/>
        <v>mailto:firstname092.lastname092@example.com?subject=Supply%20order%20ready%20for%20pickup&amp;body=Dear%20PSW%2C%0A%0AYour%20order%20is%20ready%20for%20pickup%20from%20Sample%20Branch%2C%20Wed-Fri%209am-4pm.</v>
      </c>
      <c r="AF845" s="89" t="str">
        <f t="shared" si="145"/>
        <v>Draft email</v>
      </c>
      <c r="AG845" s="64" t="str">
        <f>IF($C845="","",IFERROR(INDEX('Staff Directory'!$K$595:$K$599,MATCH($C845,'Staff Directory'!$B$5:$B$599,0)),$D845))</f>
        <v>PSW</v>
      </c>
      <c r="AH845" t="str">
        <f>IF($C845="","",IFERROR(INDEX('Staff Directory'!$I$595:$I$599,MATCH($C845,'Staff Directory'!$B$5:$B$599,0))&amp;" "&amp;INDEX('Staff Directory'!$J$595:$J$599,MATCH($C845,'Staff Directory'!$B$5:$B$599,0)),$AG845))</f>
        <v>PSW</v>
      </c>
      <c r="AI845" s="102"/>
      <c r="AJ845" s="101">
        <f>IF($F845="","",SUMIFS($J$5:$J845,$F$5:$F845,$F845))</f>
        <v>7100</v>
      </c>
      <c r="AK845" s="101">
        <f t="shared" si="148"/>
        <v>7051</v>
      </c>
      <c r="AL845" s="66" t="str" cm="1">
        <f t="array" ref="AL845">IF($F845="","",IFERROR(INDEX('Lot Balance'!$B$5:$B$500,MATCH(1,INDEX(('Lot Balance'!$A$5:$A$500=$F845)*('Lot Balance'!$K$5:$K$500&lt;$AK845)*('Lot Balance'!$K$5:$K$500+'Lot Balance'!$D$5:$D$500&gt;=$AK845),0),0)),""))</f>
        <v>0125FPC24-1</v>
      </c>
      <c r="AM845" s="66" t="str" cm="1">
        <f t="array" ref="AM845">IF($F845="","",IFERROR(INDEX('Lot Balance'!$B$5:$B$500,MATCH(1,INDEX(('Lot Balance'!$A$5:$A$500=$F845)*('Lot Balance'!$K$5:$K$500&lt;$AJ845)*('Lot Balance'!$K$5:$K$500+'Lot Balance'!$D$5:$D$500&gt;=$AJ845),0),0)),""))</f>
        <v>0125FPC24-1</v>
      </c>
      <c r="AN845" s="66" t="str">
        <f>IF($F845="","",IF($AI845&lt;&gt;"",IF(COUNTIFS('Lot Balance'!$A$5:$A$500,$F845,'Lot Balance'!$B$5:$B$500,$AI845)=0,"⚠ override is not a lot of this item",IF($AI845=$AL845,"Override = FEFO","Override - FEFO says "&amp;$AL845)),IF($AL845="","⚠ no receipt on file for this item",IF($AM845&lt;&gt;$AL845,"FEFO auto - split, also "&amp;$AM845,"FEFO auto"))))</f>
        <v>FEFO auto</v>
      </c>
      <c r="AO845" s="114"/>
    </row>
    <row r="846" spans="1:41" x14ac:dyDescent="0.35">
      <c r="A846" s="74">
        <v>46174</v>
      </c>
      <c r="B846" s="18" t="str">
        <f>IF($C846="","",IFERROR(INDEX('Staff Directory'!$A$5:$A$594,MATCH($C846,'Staff Directory'!$B$5:$B$594,0)),"⚠ unknown staff"))</f>
        <v>PSW-033-A4</v>
      </c>
      <c r="C846" s="49" t="s">
        <v>1008</v>
      </c>
      <c r="D846" s="19" t="str">
        <f>IF($B846="","",IFERROR(INDEX('Staff Directory'!$C$5:$C$594,MATCH($B846,'Staff Directory'!$A$5:$A$594,0)),""))</f>
        <v>PSW</v>
      </c>
      <c r="E846" s="19" t="str">
        <f>IF($B846="","",IFERROR(INDEX('Staff Directory'!$D$5:$D$594,MATCH($B846,'Staff Directory'!$A$5:$A$594,0)),""))</f>
        <v>A4</v>
      </c>
      <c r="F846" s="9" t="s">
        <v>144</v>
      </c>
      <c r="G846" s="18" t="str">
        <f>IF($F846="","",IFERROR(INDEX(Items!$B$5:$B$597,MATCH($F846,Items!$A$5:$A$597,0)),"⚠ not in Items"))</f>
        <v>IPAC</v>
      </c>
      <c r="H846" s="19" t="str">
        <f>IF($F846="","",IFERROR(INDEX(Items!$C$5:$C$597,MATCH($F846,Items!$A$5:$A$597,0)),""))</f>
        <v>One Size</v>
      </c>
      <c r="I846" s="23">
        <f>IF($F846="","",IFERROR(INDEX(Items!$E$5:$E$597,MATCH($F846,Items!$A$5:$A$597,0)),""))</f>
        <v>4</v>
      </c>
      <c r="J846" s="115">
        <f>IF(tblIssues[[#This Row],[Qty Override]]&lt;&gt;"",tblIssues[[#This Row],[Qty Override]],IF(tblIssues[[#This Row],[Standard Issue]]="","",tblIssues[[#This Row],[Standard Issue]]))</f>
        <v>4</v>
      </c>
      <c r="K846" s="20">
        <f>IF($F846="","",IFERROR(INDEX(Items!$D$5:$D$597,MATCH($F846,Items!$A$5:$A$597,0)),""))</f>
        <v>145.97999999999999</v>
      </c>
      <c r="L846" s="21">
        <f t="shared" si="151"/>
        <v>583.91999999999996</v>
      </c>
      <c r="M846" s="9" t="str">
        <f t="shared" si="149"/>
        <v/>
      </c>
      <c r="N846" s="24">
        <f>IF($A846="","",WORKDAY($A846,Settings!$C$9,HolidayDates))</f>
        <v>46182</v>
      </c>
      <c r="O846" s="24">
        <f>IF($N846="","",WORKDAY($N846,Settings!$C$10,HolidayDates))</f>
        <v>46220</v>
      </c>
      <c r="P846" s="10" t="s">
        <v>501</v>
      </c>
      <c r="Q846" s="52" t="str">
        <f t="shared" ref="Q846:Q909" si="152">IF($A846="","",IF($P846&lt;&gt;"","Collected","Pending"))</f>
        <v>Collected</v>
      </c>
      <c r="R846" s="55" t="str">
        <f t="shared" ref="R846:R909" si="153">IF($A846="","",TEXT($A846,"yyyy-mm"))</f>
        <v>2026-06</v>
      </c>
      <c r="S846" s="55">
        <f>IF(OR($B846="",$F846="",$R846=""),"",SUMIFS(tblIssues[Qty Issued],tblIssues[Staff ID],$B846,tblIssues[Item Name],$F846,tblIssues[Month],$R846))</f>
        <v>4</v>
      </c>
      <c r="T846" s="56">
        <f>IF($I846="","",$I846*Settings!$C$11)</f>
        <v>4</v>
      </c>
      <c r="U846" s="57" t="str">
        <f t="shared" si="150"/>
        <v>OK</v>
      </c>
      <c r="V846" s="55" t="str">
        <f t="shared" ref="V846:V909" si="154">IF($U846="⚠ OVER QUOTA",$B846&amp;" | "&amp;$F846&amp;" | "&amp;$R846,"")</f>
        <v/>
      </c>
      <c r="W846" s="55" t="str">
        <f>IF($V846="","",IF(COUNTIF($V$5:$V846,$V846)=1,1,""))</f>
        <v/>
      </c>
      <c r="X846" s="58" t="str">
        <f>IF($W846="","",MAX($X$4:X845)+1)</f>
        <v/>
      </c>
      <c r="Y846" s="62"/>
      <c r="Z846" s="62"/>
      <c r="AA846" s="64" t="str">
        <f>IF($C846="","",IFERROR(INDEX('Staff Directory'!$E$5:$E$594,MATCH($C846,'Staff Directory'!$B$5:$B$594,0)),""))</f>
        <v>firstname092.lastname092@example.com</v>
      </c>
      <c r="AB846" s="64" t="str">
        <f>IF($C846="","",IF(ISNUMBER(SEARCH($D846,Settings!$C$15)),"Pickup","Dispatch"))</f>
        <v>Pickup</v>
      </c>
      <c r="AC846" s="64" t="str">
        <f t="shared" ref="AC846:AC909" si="155">IF($AB846="Pickup","Supply order ready for pickup",IF($AB846="Dispatch","Supply order dispatched",""))</f>
        <v>Supply order ready for pickup</v>
      </c>
      <c r="AD846" s="64" t="str">
        <f t="shared" si="146"/>
        <v>Dear PSW,
Your order is ready for pickup from Sample Branch, Wed-Fri 9am-4pm.</v>
      </c>
      <c r="AE846" s="64" t="str">
        <f t="shared" si="147"/>
        <v>mailto:firstname092.lastname092@example.com?subject=Supply%20order%20ready%20for%20pickup&amp;body=Dear%20PSW%2C%0A%0AYour%20order%20is%20ready%20for%20pickup%20from%20Sample%20Branch%2C%20Wed-Fri%209am-4pm.</v>
      </c>
      <c r="AF846" s="89" t="str">
        <f t="shared" ref="AF846:AF909" si="156">IF(AE846="","",HYPERLINK(AE846,"Draft email"))</f>
        <v>Draft email</v>
      </c>
      <c r="AG846" s="64" t="str">
        <f>IF($C846="","",IFERROR(INDEX('Staff Directory'!$K$595:$K$599,MATCH($C846,'Staff Directory'!$B$5:$B$599,0)),$D846))</f>
        <v>PSW</v>
      </c>
      <c r="AH846" t="str">
        <f>IF($C846="","",IFERROR(INDEX('Staff Directory'!$I$595:$I$599,MATCH($C846,'Staff Directory'!$B$5:$B$599,0))&amp;" "&amp;INDEX('Staff Directory'!$J$595:$J$599,MATCH($C846,'Staff Directory'!$B$5:$B$599,0)),$AG846))</f>
        <v>PSW</v>
      </c>
      <c r="AI846" s="102"/>
      <c r="AJ846" s="101">
        <f>IF($F846="","",SUMIFS($J$5:$J846,$F$5:$F846,$F846))</f>
        <v>16</v>
      </c>
      <c r="AK846" s="101">
        <f t="shared" si="148"/>
        <v>13</v>
      </c>
      <c r="AL846" s="66" t="str" cm="1">
        <f t="array" ref="AL846">IF($F846="","",IFERROR(INDEX('Lot Balance'!$B$5:$B$500,MATCH(1,INDEX(('Lot Balance'!$A$5:$A$500=$F846)*('Lot Balance'!$K$5:$K$500&lt;$AK846)*('Lot Balance'!$K$5:$K$500+'Lot Balance'!$D$5:$D$500&gt;=$AK846),0),0)),""))</f>
        <v/>
      </c>
      <c r="AM846" s="66" t="str" cm="1">
        <f t="array" ref="AM846">IF($F846="","",IFERROR(INDEX('Lot Balance'!$B$5:$B$500,MATCH(1,INDEX(('Lot Balance'!$A$5:$A$500=$F846)*('Lot Balance'!$K$5:$K$500&lt;$AJ846)*('Lot Balance'!$K$5:$K$500+'Lot Balance'!$D$5:$D$500&gt;=$AJ846),0),0)),""))</f>
        <v/>
      </c>
      <c r="AN846" s="66" t="str">
        <f>IF($F846="","",IF($AI846&lt;&gt;"",IF(COUNTIFS('Lot Balance'!$A$5:$A$500,$F846,'Lot Balance'!$B$5:$B$500,$AI846)=0,"⚠ override is not a lot of this item",IF($AI846=$AL846,"Override = FEFO","Override - FEFO says "&amp;$AL846)),IF($AL846="","⚠ no receipt on file for this item",IF($AM846&lt;&gt;$AL846,"FEFO auto - split, also "&amp;$AM846,"FEFO auto"))))</f>
        <v>⚠ no receipt on file for this item</v>
      </c>
      <c r="AO846" s="114"/>
    </row>
    <row r="847" spans="1:41" x14ac:dyDescent="0.35">
      <c r="A847" s="74">
        <v>46174</v>
      </c>
      <c r="B847" s="18" t="str">
        <f>IF($C847="","",IFERROR(INDEX('Staff Directory'!$A$5:$A$594,MATCH($C847,'Staff Directory'!$B$5:$B$594,0)),"⚠ unknown staff"))</f>
        <v>RN-045-A1</v>
      </c>
      <c r="C847" s="49" t="s">
        <v>968</v>
      </c>
      <c r="D847" s="19" t="str">
        <f>IF($B847="","",IFERROR(INDEX('Staff Directory'!$C$5:$C$594,MATCH($B847,'Staff Directory'!$A$5:$A$594,0)),""))</f>
        <v>RN</v>
      </c>
      <c r="E847" s="19" t="str">
        <f>IF($B847="","",IFERROR(INDEX('Staff Directory'!$D$5:$D$594,MATCH($B847,'Staff Directory'!$A$5:$A$594,0)),""))</f>
        <v>A1</v>
      </c>
      <c r="F847" s="9" t="s">
        <v>127</v>
      </c>
      <c r="G847" s="18" t="str">
        <f>IF($F847="","",IFERROR(INDEX(Items!$B$5:$B$597,MATCH($F847,Items!$A$5:$A$597,0)),"⚠ not in Items"))</f>
        <v>Gloves</v>
      </c>
      <c r="H847" s="19" t="str">
        <f>IF($F847="","",IFERROR(INDEX(Items!$C$5:$C$597,MATCH($F847,Items!$A$5:$A$597,0)),""))</f>
        <v>Medium</v>
      </c>
      <c r="I847" s="23">
        <f>IF($F847="","",IFERROR(INDEX(Items!$E$5:$E$597,MATCH($F847,Items!$A$5:$A$597,0)),""))</f>
        <v>500</v>
      </c>
      <c r="J847" s="115">
        <f>IF(tblIssues[[#This Row],[Qty Override]]&lt;&gt;"",tblIssues[[#This Row],[Qty Override]],IF(tblIssues[[#This Row],[Standard Issue]]="","",tblIssues[[#This Row],[Standard Issue]]))</f>
        <v>500</v>
      </c>
      <c r="K847" s="20">
        <f>IF($F847="","",IFERROR(INDEX(Items!$D$5:$D$597,MATCH($F847,Items!$A$5:$A$597,0)),""))</f>
        <v>5.5E-2</v>
      </c>
      <c r="L847" s="21">
        <f t="shared" si="151"/>
        <v>27.5</v>
      </c>
      <c r="M847" s="9" t="str">
        <f t="shared" si="149"/>
        <v>ZIM504126040-4</v>
      </c>
      <c r="N847" s="24">
        <f>IF($A847="","",WORKDAY($A847,Settings!$C$9,HolidayDates))</f>
        <v>46182</v>
      </c>
      <c r="O847" s="24">
        <f>IF($N847="","",WORKDAY($N847,Settings!$C$10,HolidayDates))</f>
        <v>46220</v>
      </c>
      <c r="P847" s="10" t="s">
        <v>502</v>
      </c>
      <c r="Q847" s="52" t="str">
        <f t="shared" si="152"/>
        <v>Collected</v>
      </c>
      <c r="R847" s="55" t="str">
        <f t="shared" si="153"/>
        <v>2026-06</v>
      </c>
      <c r="S847" s="55">
        <f>IF(OR($B847="",$F847="",$R847=""),"",SUMIFS(tblIssues[Qty Issued],tblIssues[Staff ID],$B847,tblIssues[Item Name],$F847,tblIssues[Month],$R847))</f>
        <v>1000</v>
      </c>
      <c r="T847" s="56">
        <f>IF($I847="","",$I847*Settings!$C$11)</f>
        <v>500</v>
      </c>
      <c r="U847" s="57" t="str">
        <f t="shared" si="150"/>
        <v>⚠ OVER QUOTA</v>
      </c>
      <c r="V847" s="55" t="str">
        <f t="shared" si="154"/>
        <v>RN-045-A1 | Gloves - Medium | 2026-06</v>
      </c>
      <c r="W847" s="55">
        <f>IF($V847="","",IF(COUNTIF($V$5:$V847,$V847)=1,1,""))</f>
        <v>1</v>
      </c>
      <c r="X847" s="58">
        <f>IF($W847="","",MAX($X$4:X846)+1)</f>
        <v>21</v>
      </c>
      <c r="Y847" s="62"/>
      <c r="Z847" s="62"/>
      <c r="AA847" s="64" t="str">
        <f>IF($C847="","",IFERROR(INDEX('Staff Directory'!$E$5:$E$594,MATCH($C847,'Staff Directory'!$B$5:$B$594,0)),""))</f>
        <v>firstname052.lastname052@example.com</v>
      </c>
      <c r="AB847" s="64" t="str">
        <f>IF($C847="","",IF(ISNUMBER(SEARCH($D847,Settings!$C$15)),"Pickup","Dispatch"))</f>
        <v>Dispatch</v>
      </c>
      <c r="AC847" s="64" t="str">
        <f t="shared" si="155"/>
        <v>Supply order dispatched</v>
      </c>
      <c r="AD847" s="64" t="str">
        <f t="shared" si="146"/>
        <v>Dear RN,
Your order has been dispatched and is in transit. Reply if undelivered.</v>
      </c>
      <c r="AE847" s="64" t="str">
        <f t="shared" si="147"/>
        <v>mailto:firstname052.lastname052@example.com?subject=Supply%20order%20dispatched&amp;body=Dear%20RN%2C%0A%0AYour%20order%20has%20been%20dispatched%20and%20is%20in%20transit.%20Reply%20if%20undelivered.</v>
      </c>
      <c r="AF847" s="89" t="str">
        <f t="shared" si="156"/>
        <v>Draft email</v>
      </c>
      <c r="AG847" s="64" t="str">
        <f>IF($C847="","",IFERROR(INDEX('Staff Directory'!$K$595:$K$599,MATCH($C847,'Staff Directory'!$B$5:$B$599,0)),$D847))</f>
        <v>RN</v>
      </c>
      <c r="AH847" t="str">
        <f>IF($C847="","",IFERROR(INDEX('Staff Directory'!$I$595:$I$599,MATCH($C847,'Staff Directory'!$B$5:$B$599,0))&amp;" "&amp;INDEX('Staff Directory'!$J$595:$J$599,MATCH($C847,'Staff Directory'!$B$5:$B$599,0)),$AG847))</f>
        <v>RN</v>
      </c>
      <c r="AI847" s="102"/>
      <c r="AJ847" s="101">
        <f>IF($F847="","",SUMIFS($J$5:$J847,$F$5:$F847,$F847))</f>
        <v>50500</v>
      </c>
      <c r="AK847" s="101">
        <f t="shared" si="148"/>
        <v>50001</v>
      </c>
      <c r="AL847" s="66" t="str" cm="1">
        <f t="array" ref="AL847">IF($F847="","",IFERROR(INDEX('Lot Balance'!$B$5:$B$500,MATCH(1,INDEX(('Lot Balance'!$A$5:$A$500=$F847)*('Lot Balance'!$K$5:$K$500&lt;$AK847)*('Lot Balance'!$K$5:$K$500+'Lot Balance'!$D$5:$D$500&gt;=$AK847),0),0)),""))</f>
        <v>ZIM504126040-4</v>
      </c>
      <c r="AM847" s="66" t="str" cm="1">
        <f t="array" ref="AM847">IF($F847="","",IFERROR(INDEX('Lot Balance'!$B$5:$B$500,MATCH(1,INDEX(('Lot Balance'!$A$5:$A$500=$F847)*('Lot Balance'!$K$5:$K$500&lt;$AJ847)*('Lot Balance'!$K$5:$K$500+'Lot Balance'!$D$5:$D$500&gt;=$AJ847),0),0)),""))</f>
        <v>ZIM504126040-4</v>
      </c>
      <c r="AN847" s="66" t="str">
        <f>IF($F847="","",IF($AI847&lt;&gt;"",IF(COUNTIFS('Lot Balance'!$A$5:$A$500,$F847,'Lot Balance'!$B$5:$B$500,$AI847)=0,"⚠ override is not a lot of this item",IF($AI847=$AL847,"Override = FEFO","Override - FEFO says "&amp;$AL847)),IF($AL847="","⚠ no receipt on file for this item",IF($AM847&lt;&gt;$AL847,"FEFO auto - split, also "&amp;$AM847,"FEFO auto"))))</f>
        <v>FEFO auto</v>
      </c>
      <c r="AO847" s="114"/>
    </row>
    <row r="848" spans="1:41" x14ac:dyDescent="0.35">
      <c r="A848" s="74">
        <v>46174</v>
      </c>
      <c r="B848" s="18" t="str">
        <f>IF($C848="","",IFERROR(INDEX('Staff Directory'!$A$5:$A$594,MATCH($C848,'Staff Directory'!$B$5:$B$594,0)),"⚠ unknown staff"))</f>
        <v>RN-045-A1</v>
      </c>
      <c r="C848" s="49" t="s">
        <v>968</v>
      </c>
      <c r="D848" s="19" t="str">
        <f>IF($B848="","",IFERROR(INDEX('Staff Directory'!$C$5:$C$594,MATCH($B848,'Staff Directory'!$A$5:$A$594,0)),""))</f>
        <v>RN</v>
      </c>
      <c r="E848" s="19" t="str">
        <f>IF($B848="","",IFERROR(INDEX('Staff Directory'!$D$5:$D$594,MATCH($B848,'Staff Directory'!$A$5:$A$594,0)),""))</f>
        <v>A1</v>
      </c>
      <c r="F848" s="9" t="s">
        <v>191</v>
      </c>
      <c r="G848" s="18" t="str">
        <f>IF($F848="","",IFERROR(INDEX(Items!$B$5:$B$597,MATCH($F848,Items!$A$5:$A$597,0)),"⚠ not in Items"))</f>
        <v>Sanitizer</v>
      </c>
      <c r="H848" s="19" t="str">
        <f>IF($F848="","",IFERROR(INDEX(Items!$C$5:$C$597,MATCH($F848,Items!$A$5:$A$597,0)),""))</f>
        <v>236 ML</v>
      </c>
      <c r="I848" s="23">
        <f>IF($F848="","",IFERROR(INDEX(Items!$E$5:$E$597,MATCH($F848,Items!$A$5:$A$597,0)),""))</f>
        <v>1</v>
      </c>
      <c r="J848" s="115">
        <f>IF(tblIssues[[#This Row],[Qty Override]]&lt;&gt;"",tblIssues[[#This Row],[Qty Override]],IF(tblIssues[[#This Row],[Standard Issue]]="","",tblIssues[[#This Row],[Standard Issue]]))</f>
        <v>1</v>
      </c>
      <c r="K848" s="20">
        <f>IF($F848="","",IFERROR(INDEX(Items!$D$5:$D$597,MATCH($F848,Items!$A$5:$A$597,0)),""))</f>
        <v>1E-4</v>
      </c>
      <c r="L848" s="21">
        <f t="shared" si="151"/>
        <v>1E-4</v>
      </c>
      <c r="M848" s="9" t="str">
        <f t="shared" si="149"/>
        <v>20-21734-4</v>
      </c>
      <c r="N848" s="24">
        <f>IF($A848="","",WORKDAY($A848,Settings!$C$9,HolidayDates))</f>
        <v>46182</v>
      </c>
      <c r="O848" s="24">
        <f>IF($N848="","",WORKDAY($N848,Settings!$C$10,HolidayDates))</f>
        <v>46220</v>
      </c>
      <c r="P848" s="10" t="s">
        <v>502</v>
      </c>
      <c r="Q848" s="52" t="str">
        <f t="shared" si="152"/>
        <v>Collected</v>
      </c>
      <c r="R848" s="55" t="str">
        <f t="shared" si="153"/>
        <v>2026-06</v>
      </c>
      <c r="S848" s="55">
        <f>IF(OR($B848="",$F848="",$R848=""),"",SUMIFS(tblIssues[Qty Issued],tblIssues[Staff ID],$B848,tblIssues[Item Name],$F848,tblIssues[Month],$R848))</f>
        <v>4</v>
      </c>
      <c r="T848" s="56">
        <f>IF($I848="","",$I848*Settings!$C$11)</f>
        <v>1</v>
      </c>
      <c r="U848" s="57" t="str">
        <f t="shared" si="150"/>
        <v>⚠ OVER QUOTA</v>
      </c>
      <c r="V848" s="55" t="str">
        <f t="shared" si="154"/>
        <v>RN-045-A1 | Hand Sanitizer OS | 2026-06</v>
      </c>
      <c r="W848" s="55">
        <f>IF($V848="","",IF(COUNTIF($V$5:$V848,$V848)=1,1,""))</f>
        <v>1</v>
      </c>
      <c r="X848" s="58">
        <f>IF($W848="","",MAX($X$4:X847)+1)</f>
        <v>22</v>
      </c>
      <c r="Y848" s="62"/>
      <c r="Z848" s="62"/>
      <c r="AA848" s="64" t="str">
        <f>IF($C848="","",IFERROR(INDEX('Staff Directory'!$E$5:$E$594,MATCH($C848,'Staff Directory'!$B$5:$B$594,0)),""))</f>
        <v>firstname052.lastname052@example.com</v>
      </c>
      <c r="AB848" s="64" t="str">
        <f>IF($C848="","",IF(ISNUMBER(SEARCH($D848,Settings!$C$15)),"Pickup","Dispatch"))</f>
        <v>Dispatch</v>
      </c>
      <c r="AC848" s="64" t="str">
        <f t="shared" si="155"/>
        <v>Supply order dispatched</v>
      </c>
      <c r="AD848" s="64" t="str">
        <f t="shared" si="146"/>
        <v>Dear RN,
Your order has been dispatched and is in transit. Reply if undelivered.</v>
      </c>
      <c r="AE848" s="64" t="str">
        <f t="shared" si="147"/>
        <v>mailto:firstname052.lastname052@example.com?subject=Supply%20order%20dispatched&amp;body=Dear%20RN%2C%0A%0AYour%20order%20has%20been%20dispatched%20and%20is%20in%20transit.%20Reply%20if%20undelivered.</v>
      </c>
      <c r="AF848" s="89" t="str">
        <f t="shared" si="156"/>
        <v>Draft email</v>
      </c>
      <c r="AG848" s="64" t="str">
        <f>IF($C848="","",IFERROR(INDEX('Staff Directory'!$K$595:$K$599,MATCH($C848,'Staff Directory'!$B$5:$B$599,0)),$D848))</f>
        <v>RN</v>
      </c>
      <c r="AH848" t="str">
        <f>IF($C848="","",IFERROR(INDEX('Staff Directory'!$I$595:$I$599,MATCH($C848,'Staff Directory'!$B$5:$B$599,0))&amp;" "&amp;INDEX('Staff Directory'!$J$595:$J$599,MATCH($C848,'Staff Directory'!$B$5:$B$599,0)),$AG848))</f>
        <v>RN</v>
      </c>
      <c r="AI848" s="102"/>
      <c r="AJ848" s="101">
        <f>IF($F848="","",SUMIFS($J$5:$J848,$F$5:$F848,$F848))</f>
        <v>107</v>
      </c>
      <c r="AK848" s="101">
        <f t="shared" si="148"/>
        <v>107</v>
      </c>
      <c r="AL848" s="66" t="str" cm="1">
        <f t="array" ref="AL848">IF($F848="","",IFERROR(INDEX('Lot Balance'!$B$5:$B$500,MATCH(1,INDEX(('Lot Balance'!$A$5:$A$500=$F848)*('Lot Balance'!$K$5:$K$500&lt;$AK848)*('Lot Balance'!$K$5:$K$500+'Lot Balance'!$D$5:$D$500&gt;=$AK848),0),0)),""))</f>
        <v>20-21734-4</v>
      </c>
      <c r="AM848" s="66" t="str" cm="1">
        <f t="array" ref="AM848">IF($F848="","",IFERROR(INDEX('Lot Balance'!$B$5:$B$500,MATCH(1,INDEX(('Lot Balance'!$A$5:$A$500=$F848)*('Lot Balance'!$K$5:$K$500&lt;$AJ848)*('Lot Balance'!$K$5:$K$500+'Lot Balance'!$D$5:$D$500&gt;=$AJ848),0),0)),""))</f>
        <v>20-21734-4</v>
      </c>
      <c r="AN848" s="66" t="str">
        <f>IF($F848="","",IF($AI848&lt;&gt;"",IF(COUNTIFS('Lot Balance'!$A$5:$A$500,$F848,'Lot Balance'!$B$5:$B$500,$AI848)=0,"⚠ override is not a lot of this item",IF($AI848=$AL848,"Override = FEFO","Override - FEFO says "&amp;$AL848)),IF($AL848="","⚠ no receipt on file for this item",IF($AM848&lt;&gt;$AL848,"FEFO auto - split, also "&amp;$AM848,"FEFO auto"))))</f>
        <v>FEFO auto</v>
      </c>
      <c r="AO848" s="114"/>
    </row>
    <row r="849" spans="1:41" x14ac:dyDescent="0.35">
      <c r="A849" s="74">
        <v>46174</v>
      </c>
      <c r="B849" s="18" t="str">
        <f>IF($C849="","",IFERROR(INDEX('Staff Directory'!$A$5:$A$594,MATCH($C849,'Staff Directory'!$B$5:$B$594,0)),"⚠ unknown staff"))</f>
        <v>RN-045-A1</v>
      </c>
      <c r="C849" s="49" t="s">
        <v>968</v>
      </c>
      <c r="D849" s="19" t="str">
        <f>IF($B849="","",IFERROR(INDEX('Staff Directory'!$C$5:$C$594,MATCH($B849,'Staff Directory'!$A$5:$A$594,0)),""))</f>
        <v>RN</v>
      </c>
      <c r="E849" s="19" t="str">
        <f>IF($B849="","",IFERROR(INDEX('Staff Directory'!$D$5:$D$594,MATCH($B849,'Staff Directory'!$A$5:$A$594,0)),""))</f>
        <v>A1</v>
      </c>
      <c r="F849" s="9" t="s">
        <v>191</v>
      </c>
      <c r="G849" s="18" t="str">
        <f>IF($F849="","",IFERROR(INDEX(Items!$B$5:$B$597,MATCH($F849,Items!$A$5:$A$597,0)),"⚠ not in Items"))</f>
        <v>Sanitizer</v>
      </c>
      <c r="H849" s="19" t="str">
        <f>IF($F849="","",IFERROR(INDEX(Items!$C$5:$C$597,MATCH($F849,Items!$A$5:$A$597,0)),""))</f>
        <v>236 ML</v>
      </c>
      <c r="I849" s="23">
        <f>IF($F849="","",IFERROR(INDEX(Items!$E$5:$E$597,MATCH($F849,Items!$A$5:$A$597,0)),""))</f>
        <v>1</v>
      </c>
      <c r="J849" s="115">
        <f>IF(tblIssues[[#This Row],[Qty Override]]&lt;&gt;"",tblIssues[[#This Row],[Qty Override]],IF(tblIssues[[#This Row],[Standard Issue]]="","",tblIssues[[#This Row],[Standard Issue]]))</f>
        <v>1</v>
      </c>
      <c r="K849" s="20">
        <f>IF($F849="","",IFERROR(INDEX(Items!$D$5:$D$597,MATCH($F849,Items!$A$5:$A$597,0)),""))</f>
        <v>1E-4</v>
      </c>
      <c r="L849" s="21">
        <f t="shared" si="151"/>
        <v>1E-4</v>
      </c>
      <c r="M849" s="9" t="str">
        <f t="shared" si="149"/>
        <v>20-21734-4</v>
      </c>
      <c r="N849" s="24">
        <f>IF($A849="","",WORKDAY($A849,Settings!$C$9,HolidayDates))</f>
        <v>46182</v>
      </c>
      <c r="O849" s="24">
        <f>IF($N849="","",WORKDAY($N849,Settings!$C$10,HolidayDates))</f>
        <v>46220</v>
      </c>
      <c r="P849" s="10" t="s">
        <v>502</v>
      </c>
      <c r="Q849" s="52" t="str">
        <f t="shared" si="152"/>
        <v>Collected</v>
      </c>
      <c r="R849" s="55" t="str">
        <f t="shared" si="153"/>
        <v>2026-06</v>
      </c>
      <c r="S849" s="55">
        <f>IF(OR($B849="",$F849="",$R849=""),"",SUMIFS(tblIssues[Qty Issued],tblIssues[Staff ID],$B849,tblIssues[Item Name],$F849,tblIssues[Month],$R849))</f>
        <v>4</v>
      </c>
      <c r="T849" s="56">
        <f>IF($I849="","",$I849*Settings!$C$11)</f>
        <v>1</v>
      </c>
      <c r="U849" s="57" t="str">
        <f t="shared" si="150"/>
        <v>⚠ OVER QUOTA</v>
      </c>
      <c r="V849" s="55" t="str">
        <f t="shared" si="154"/>
        <v>RN-045-A1 | Hand Sanitizer OS | 2026-06</v>
      </c>
      <c r="W849" s="55" t="str">
        <f>IF($V849="","",IF(COUNTIF($V$5:$V849,$V849)=1,1,""))</f>
        <v/>
      </c>
      <c r="X849" s="58" t="str">
        <f>IF($W849="","",MAX($X$4:X848)+1)</f>
        <v/>
      </c>
      <c r="Y849" s="62"/>
      <c r="Z849" s="62"/>
      <c r="AA849" s="64" t="str">
        <f>IF($C849="","",IFERROR(INDEX('Staff Directory'!$E$5:$E$594,MATCH($C849,'Staff Directory'!$B$5:$B$594,0)),""))</f>
        <v>firstname052.lastname052@example.com</v>
      </c>
      <c r="AB849" s="64" t="str">
        <f>IF($C849="","",IF(ISNUMBER(SEARCH($D849,Settings!$C$15)),"Pickup","Dispatch"))</f>
        <v>Dispatch</v>
      </c>
      <c r="AC849" s="64" t="str">
        <f t="shared" si="155"/>
        <v>Supply order dispatched</v>
      </c>
      <c r="AD849" s="64" t="str">
        <f t="shared" si="146"/>
        <v>Dear RN,
Your order has been dispatched and is in transit. Reply if undelivered.</v>
      </c>
      <c r="AE849" s="64" t="str">
        <f t="shared" si="147"/>
        <v>mailto:firstname052.lastname052@example.com?subject=Supply%20order%20dispatched&amp;body=Dear%20RN%2C%0A%0AYour%20order%20has%20been%20dispatched%20and%20is%20in%20transit.%20Reply%20if%20undelivered.</v>
      </c>
      <c r="AF849" s="89" t="str">
        <f t="shared" si="156"/>
        <v>Draft email</v>
      </c>
      <c r="AG849" s="64" t="str">
        <f>IF($C849="","",IFERROR(INDEX('Staff Directory'!$K$595:$K$599,MATCH($C849,'Staff Directory'!$B$5:$B$599,0)),$D849))</f>
        <v>RN</v>
      </c>
      <c r="AH849" t="str">
        <f>IF($C849="","",IFERROR(INDEX('Staff Directory'!$I$595:$I$599,MATCH($C849,'Staff Directory'!$B$5:$B$599,0))&amp;" "&amp;INDEX('Staff Directory'!$J$595:$J$599,MATCH($C849,'Staff Directory'!$B$5:$B$599,0)),$AG849))</f>
        <v>RN</v>
      </c>
      <c r="AI849" s="102"/>
      <c r="AJ849" s="101">
        <f>IF($F849="","",SUMIFS($J$5:$J849,$F$5:$F849,$F849))</f>
        <v>108</v>
      </c>
      <c r="AK849" s="101">
        <f t="shared" si="148"/>
        <v>108</v>
      </c>
      <c r="AL849" s="66" t="str" cm="1">
        <f t="array" ref="AL849">IF($F849="","",IFERROR(INDEX('Lot Balance'!$B$5:$B$500,MATCH(1,INDEX(('Lot Balance'!$A$5:$A$500=$F849)*('Lot Balance'!$K$5:$K$500&lt;$AK849)*('Lot Balance'!$K$5:$K$500+'Lot Balance'!$D$5:$D$500&gt;=$AK849),0),0)),""))</f>
        <v>20-21734-4</v>
      </c>
      <c r="AM849" s="66" t="str" cm="1">
        <f t="array" ref="AM849">IF($F849="","",IFERROR(INDEX('Lot Balance'!$B$5:$B$500,MATCH(1,INDEX(('Lot Balance'!$A$5:$A$500=$F849)*('Lot Balance'!$K$5:$K$500&lt;$AJ849)*('Lot Balance'!$K$5:$K$500+'Lot Balance'!$D$5:$D$500&gt;=$AJ849),0),0)),""))</f>
        <v>20-21734-4</v>
      </c>
      <c r="AN849" s="66" t="str">
        <f>IF($F849="","",IF($AI849&lt;&gt;"",IF(COUNTIFS('Lot Balance'!$A$5:$A$500,$F849,'Lot Balance'!$B$5:$B$500,$AI849)=0,"⚠ override is not a lot of this item",IF($AI849=$AL849,"Override = FEFO","Override - FEFO says "&amp;$AL849)),IF($AL849="","⚠ no receipt on file for this item",IF($AM849&lt;&gt;$AL849,"FEFO auto - split, also "&amp;$AM849,"FEFO auto"))))</f>
        <v>FEFO auto</v>
      </c>
      <c r="AO849" s="114"/>
    </row>
    <row r="850" spans="1:41" x14ac:dyDescent="0.35">
      <c r="A850" s="74">
        <v>46169</v>
      </c>
      <c r="B850" s="18" t="str">
        <f>IF($C850="","",IFERROR(INDEX('Staff Directory'!$A$5:$A$594,MATCH($C850,'Staff Directory'!$B$5:$B$594,0)),"⚠ unknown staff"))</f>
        <v>RN-031-A2</v>
      </c>
      <c r="C850" s="49" t="s">
        <v>951</v>
      </c>
      <c r="D850" s="19" t="str">
        <f>IF($B850="","",IFERROR(INDEX('Staff Directory'!$C$5:$C$594,MATCH($B850,'Staff Directory'!$A$5:$A$594,0)),""))</f>
        <v>RN</v>
      </c>
      <c r="E850" s="19" t="str">
        <f>IF($B850="","",IFERROR(INDEX('Staff Directory'!$D$5:$D$594,MATCH($B850,'Staff Directory'!$A$5:$A$594,0)),""))</f>
        <v>A2</v>
      </c>
      <c r="F850" s="9" t="s">
        <v>757</v>
      </c>
      <c r="G850" s="18" t="str">
        <f>IF($F850="","",IFERROR(INDEX(Items!$B$5:$B$597,MATCH($F850,Items!$A$5:$A$597,0)),"⚠ not in Items"))</f>
        <v>Documents</v>
      </c>
      <c r="H850" s="19" t="str">
        <f>IF($F850="","",IFERROR(INDEX(Items!$C$5:$C$597,MATCH($F850,Items!$A$5:$A$597,0)),""))</f>
        <v>Standard</v>
      </c>
      <c r="I850" s="23">
        <f>IF($F850="","",IFERROR(INDEX(Items!$E$5:$E$597,MATCH($F850,Items!$A$5:$A$597,0)),""))</f>
        <v>10</v>
      </c>
      <c r="J850" s="115">
        <f>IF(tblIssues[[#This Row],[Qty Override]]&lt;&gt;"",tblIssues[[#This Row],[Qty Override]],IF(tblIssues[[#This Row],[Standard Issue]]="","",tblIssues[[#This Row],[Standard Issue]]))</f>
        <v>10</v>
      </c>
      <c r="K850" s="20">
        <f>IF($F850="","",IFERROR(INDEX(Items!$D$5:$D$597,MATCH($F850,Items!$A$5:$A$597,0)),""))</f>
        <v>0</v>
      </c>
      <c r="L850" s="21">
        <f t="shared" si="151"/>
        <v>0</v>
      </c>
      <c r="M850" s="9" t="str">
        <f t="shared" si="149"/>
        <v/>
      </c>
      <c r="N850" s="24">
        <f>IF($A850="","",WORKDAY($A850,Settings!$C$9,HolidayDates))</f>
        <v>46177</v>
      </c>
      <c r="O850" s="24">
        <f>IF($N850="","",WORKDAY($N850,Settings!$C$10,HolidayDates))</f>
        <v>46217</v>
      </c>
      <c r="P850" s="10" t="s">
        <v>751</v>
      </c>
      <c r="Q850" s="52" t="str">
        <f t="shared" si="152"/>
        <v>Collected</v>
      </c>
      <c r="R850" s="55" t="str">
        <f t="shared" si="153"/>
        <v>2026-05</v>
      </c>
      <c r="S850" s="55">
        <f>IF(OR($B850="",$F850="",$R850=""),"",SUMIFS(tblIssues[Qty Issued],tblIssues[Staff ID],$B850,tblIssues[Item Name],$F850,tblIssues[Month],$R850))</f>
        <v>10</v>
      </c>
      <c r="T850" s="56">
        <f>IF($I850="","",$I850*Settings!$C$11)</f>
        <v>10</v>
      </c>
      <c r="U850" s="57" t="str">
        <f t="shared" si="150"/>
        <v>OK</v>
      </c>
      <c r="V850" s="55" t="str">
        <f t="shared" si="154"/>
        <v/>
      </c>
      <c r="W850" s="55" t="str">
        <f>IF($V850="","",IF(COUNTIF($V$5:$V850,$V850)=1,1,""))</f>
        <v/>
      </c>
      <c r="X850" s="58" t="str">
        <f>IF($W850="","",MAX($X$4:X849)+1)</f>
        <v/>
      </c>
      <c r="Y850" s="62"/>
      <c r="Z850" s="62"/>
      <c r="AA850" s="64" t="str">
        <f>IF($C850="","",IFERROR(INDEX('Staff Directory'!$E$5:$E$594,MATCH($C850,'Staff Directory'!$B$5:$B$594,0)),""))</f>
        <v>firstname035.lastname035@example.com</v>
      </c>
      <c r="AB850" s="64" t="str">
        <f>IF($C850="","",IF(ISNUMBER(SEARCH($D850,Settings!$C$15)),"Pickup","Dispatch"))</f>
        <v>Dispatch</v>
      </c>
      <c r="AC850" s="64" t="str">
        <f t="shared" si="155"/>
        <v>Supply order dispatched</v>
      </c>
      <c r="AD850" s="64" t="str">
        <f t="shared" si="146"/>
        <v>Dear RN,
Your order has been dispatched and is in transit. Reply if undelivered.</v>
      </c>
      <c r="AE850" s="64" t="str">
        <f t="shared" si="147"/>
        <v>mailto:firstname035.lastname035@example.com?subject=Supply%20order%20dispatched&amp;body=Dear%20RN%2C%0A%0AYour%20order%20has%20been%20dispatched%20and%20is%20in%20transit.%20Reply%20if%20undelivered.</v>
      </c>
      <c r="AF850" s="89" t="str">
        <f t="shared" si="156"/>
        <v>Draft email</v>
      </c>
      <c r="AG850" s="64" t="str">
        <f>IF($C850="","",IFERROR(INDEX('Staff Directory'!$K$595:$K$599,MATCH($C850,'Staff Directory'!$B$5:$B$599,0)),$D850))</f>
        <v>RN</v>
      </c>
      <c r="AH850" t="str">
        <f>IF($C850="","",IFERROR(INDEX('Staff Directory'!$I$595:$I$599,MATCH($C850,'Staff Directory'!$B$5:$B$599,0))&amp;" "&amp;INDEX('Staff Directory'!$J$595:$J$599,MATCH($C850,'Staff Directory'!$B$5:$B$599,0)),$AG850))</f>
        <v>RN</v>
      </c>
      <c r="AI850" s="102"/>
      <c r="AJ850" s="101">
        <f>IF($F850="","",SUMIFS($J$5:$J850,$F$5:$F850,$F850))</f>
        <v>510</v>
      </c>
      <c r="AK850" s="101">
        <f t="shared" si="148"/>
        <v>501</v>
      </c>
      <c r="AL850" s="66" t="str" cm="1">
        <f t="array" ref="AL850">IF($F850="","",IFERROR(INDEX('Lot Balance'!$B$5:$B$500,MATCH(1,INDEX(('Lot Balance'!$A$5:$A$500=$F850)*('Lot Balance'!$K$5:$K$500&lt;$AK850)*('Lot Balance'!$K$5:$K$500+'Lot Balance'!$D$5:$D$500&gt;=$AK850),0),0)),""))</f>
        <v/>
      </c>
      <c r="AM850" s="66" t="str" cm="1">
        <f t="array" ref="AM850">IF($F850="","",IFERROR(INDEX('Lot Balance'!$B$5:$B$500,MATCH(1,INDEX(('Lot Balance'!$A$5:$A$500=$F850)*('Lot Balance'!$K$5:$K$500&lt;$AJ850)*('Lot Balance'!$K$5:$K$500+'Lot Balance'!$D$5:$D$500&gt;=$AJ850),0),0)),""))</f>
        <v/>
      </c>
      <c r="AN850" s="66" t="str">
        <f>IF($F850="","",IF($AI850&lt;&gt;"",IF(COUNTIFS('Lot Balance'!$A$5:$A$500,$F850,'Lot Balance'!$B$5:$B$500,$AI850)=0,"⚠ override is not a lot of this item",IF($AI850=$AL850,"Override = FEFO","Override - FEFO says "&amp;$AL850)),IF($AL850="","⚠ no receipt on file for this item",IF($AM850&lt;&gt;$AL850,"FEFO auto - split, also "&amp;$AM850,"FEFO auto"))))</f>
        <v>⚠ no receipt on file for this item</v>
      </c>
      <c r="AO850" s="114"/>
    </row>
    <row r="851" spans="1:41" x14ac:dyDescent="0.35">
      <c r="A851" s="74">
        <v>46169</v>
      </c>
      <c r="B851" s="18" t="str">
        <f>IF($C851="","",IFERROR(INDEX('Staff Directory'!$A$5:$A$594,MATCH($C851,'Staff Directory'!$B$5:$B$594,0)),"⚠ unknown staff"))</f>
        <v/>
      </c>
      <c r="C851" s="49"/>
      <c r="D851" s="19" t="str">
        <f>IF($B851="","",IFERROR(INDEX('Staff Directory'!$C$5:$C$594,MATCH($B851,'Staff Directory'!$A$5:$A$594,0)),""))</f>
        <v/>
      </c>
      <c r="E851" s="19" t="str">
        <f>IF($B851="","",IFERROR(INDEX('Staff Directory'!$D$5:$D$594,MATCH($B851,'Staff Directory'!$A$5:$A$594,0)),""))</f>
        <v/>
      </c>
      <c r="F851" s="9" t="s">
        <v>124</v>
      </c>
      <c r="G851" s="18" t="str">
        <f>IF($F851="","",IFERROR(INDEX(Items!$B$5:$B$597,MATCH($F851,Items!$A$5:$A$597,0)),"⚠ not in Items"))</f>
        <v>Gloves</v>
      </c>
      <c r="H851" s="19" t="str">
        <f>IF($F851="","",IFERROR(INDEX(Items!$C$5:$C$597,MATCH($F851,Items!$A$5:$A$597,0)),""))</f>
        <v>Large</v>
      </c>
      <c r="I851" s="23">
        <f>IF($F851="","",IFERROR(INDEX(Items!$E$5:$E$597,MATCH($F851,Items!$A$5:$A$597,0)),""))</f>
        <v>500</v>
      </c>
      <c r="J851" s="115">
        <f>IF(tblIssues[[#This Row],[Qty Override]]&lt;&gt;"",tblIssues[[#This Row],[Qty Override]],IF(tblIssues[[#This Row],[Standard Issue]]="","",tblIssues[[#This Row],[Standard Issue]]))</f>
        <v>500</v>
      </c>
      <c r="K851" s="20">
        <f>IF($F851="","",IFERROR(INDEX(Items!$D$5:$D$597,MATCH($F851,Items!$A$5:$A$597,0)),""))</f>
        <v>5.5E-2</v>
      </c>
      <c r="L851" s="21">
        <f t="shared" si="151"/>
        <v>27.5</v>
      </c>
      <c r="M851" s="9" t="str">
        <f t="shared" si="149"/>
        <v>0417HIC25-1</v>
      </c>
      <c r="N851" s="24">
        <f>IF($A851="","",WORKDAY($A851,Settings!$C$9,HolidayDates))</f>
        <v>46177</v>
      </c>
      <c r="O851" s="24">
        <f>IF($N851="","",WORKDAY($N851,Settings!$C$10,HolidayDates))</f>
        <v>46217</v>
      </c>
      <c r="P851" s="10" t="s">
        <v>501</v>
      </c>
      <c r="Q851" s="52" t="str">
        <f t="shared" si="152"/>
        <v>Collected</v>
      </c>
      <c r="R851" s="55" t="str">
        <f t="shared" si="153"/>
        <v>2026-05</v>
      </c>
      <c r="S851" s="55" t="str">
        <f>IF(OR($B851="",$F851="",$R851=""),"",SUMIFS(tblIssues[Qty Issued],tblIssues[Staff ID],$B851,tblIssues[Item Name],$F851,tblIssues[Month],$R851))</f>
        <v/>
      </c>
      <c r="T851" s="56">
        <f>IF($I851="","",$I851*Settings!$C$11)</f>
        <v>500</v>
      </c>
      <c r="U851" s="57" t="str">
        <f t="shared" si="150"/>
        <v/>
      </c>
      <c r="V851" s="55" t="str">
        <f t="shared" si="154"/>
        <v/>
      </c>
      <c r="W851" s="55" t="str">
        <f>IF($V851="","",IF(COUNTIF($V$5:$V851,$V851)=1,1,""))</f>
        <v/>
      </c>
      <c r="X851" s="58" t="str">
        <f>IF($W851="","",MAX($X$4:X850)+1)</f>
        <v/>
      </c>
      <c r="Y851" s="62"/>
      <c r="Z851" s="62"/>
      <c r="AA851" s="64" t="str">
        <f>IF($C851="","",IFERROR(INDEX('Staff Directory'!$E$5:$E$594,MATCH($C851,'Staff Directory'!$B$5:$B$594,0)),""))</f>
        <v/>
      </c>
      <c r="AB851" s="64" t="str">
        <f>IF($C851="","",IF(ISNUMBER(SEARCH($D851,Settings!$C$15)),"Pickup","Dispatch"))</f>
        <v/>
      </c>
      <c r="AC851" s="64" t="str">
        <f t="shared" si="155"/>
        <v/>
      </c>
      <c r="AD851" s="64" t="str">
        <f t="shared" si="146"/>
        <v/>
      </c>
      <c r="AE851" s="64" t="str">
        <f t="shared" si="147"/>
        <v/>
      </c>
      <c r="AF851" s="89" t="str">
        <f t="shared" si="156"/>
        <v/>
      </c>
      <c r="AG851" s="64" t="str">
        <f>IF($C851="","",IFERROR(INDEX('Staff Directory'!$K$595:$K$599,MATCH($C851,'Staff Directory'!$B$5:$B$599,0)),$D851))</f>
        <v/>
      </c>
      <c r="AH851" t="str">
        <f>IF($C851="","",IFERROR(INDEX('Staff Directory'!$I$595:$I$599,MATCH($C851,'Staff Directory'!$B$5:$B$599,0))&amp;" "&amp;INDEX('Staff Directory'!$J$595:$J$599,MATCH($C851,'Staff Directory'!$B$5:$B$599,0)),$AG851))</f>
        <v/>
      </c>
      <c r="AI851" s="102"/>
      <c r="AJ851" s="101">
        <f>IF($F851="","",SUMIFS($J$5:$J851,$F$5:$F851,$F851))</f>
        <v>22500</v>
      </c>
      <c r="AK851" s="101">
        <f t="shared" si="148"/>
        <v>22001</v>
      </c>
      <c r="AL851" s="66" t="str" cm="1">
        <f t="array" ref="AL851">IF($F851="","",IFERROR(INDEX('Lot Balance'!$B$5:$B$500,MATCH(1,INDEX(('Lot Balance'!$A$5:$A$500=$F851)*('Lot Balance'!$K$5:$K$500&lt;$AK851)*('Lot Balance'!$K$5:$K$500+'Lot Balance'!$D$5:$D$500&gt;=$AK851),0),0)),""))</f>
        <v>0417HIC25-1</v>
      </c>
      <c r="AM851" s="66" t="str" cm="1">
        <f t="array" ref="AM851">IF($F851="","",IFERROR(INDEX('Lot Balance'!$B$5:$B$500,MATCH(1,INDEX(('Lot Balance'!$A$5:$A$500=$F851)*('Lot Balance'!$K$5:$K$500&lt;$AJ851)*('Lot Balance'!$K$5:$K$500+'Lot Balance'!$D$5:$D$500&gt;=$AJ851),0),0)),""))</f>
        <v>0417HIC25-1</v>
      </c>
      <c r="AN851" s="66" t="str">
        <f>IF($F851="","",IF($AI851&lt;&gt;"",IF(COUNTIFS('Lot Balance'!$A$5:$A$500,$F851,'Lot Balance'!$B$5:$B$500,$AI851)=0,"⚠ override is not a lot of this item",IF($AI851=$AL851,"Override = FEFO","Override - FEFO says "&amp;$AL851)),IF($AL851="","⚠ no receipt on file for this item",IF($AM851&lt;&gt;$AL851,"FEFO auto - split, also "&amp;$AM851,"FEFO auto"))))</f>
        <v>FEFO auto</v>
      </c>
      <c r="AO851" s="114"/>
    </row>
    <row r="852" spans="1:41" x14ac:dyDescent="0.35">
      <c r="A852" s="74">
        <v>46169</v>
      </c>
      <c r="B852" s="18" t="str">
        <f>IF($C852="","",IFERROR(INDEX('Staff Directory'!$A$5:$A$594,MATCH($C852,'Staff Directory'!$B$5:$B$594,0)),"⚠ unknown staff"))</f>
        <v>PSW-024-A4</v>
      </c>
      <c r="C852" s="49" t="s">
        <v>1000</v>
      </c>
      <c r="D852" s="19" t="str">
        <f>IF($B852="","",IFERROR(INDEX('Staff Directory'!$C$5:$C$594,MATCH($B852,'Staff Directory'!$A$5:$A$594,0)),""))</f>
        <v>PSW</v>
      </c>
      <c r="E852" s="19" t="str">
        <f>IF($B852="","",IFERROR(INDEX('Staff Directory'!$D$5:$D$594,MATCH($B852,'Staff Directory'!$A$5:$A$594,0)),""))</f>
        <v>A4</v>
      </c>
      <c r="F852" s="9" t="s">
        <v>127</v>
      </c>
      <c r="G852" s="18" t="str">
        <f>IF($F852="","",IFERROR(INDEX(Items!$B$5:$B$597,MATCH($F852,Items!$A$5:$A$597,0)),"⚠ not in Items"))</f>
        <v>Gloves</v>
      </c>
      <c r="H852" s="19" t="str">
        <f>IF($F852="","",IFERROR(INDEX(Items!$C$5:$C$597,MATCH($F852,Items!$A$5:$A$597,0)),""))</f>
        <v>Medium</v>
      </c>
      <c r="I852" s="23">
        <f>IF($F852="","",IFERROR(INDEX(Items!$E$5:$E$597,MATCH($F852,Items!$A$5:$A$597,0)),""))</f>
        <v>500</v>
      </c>
      <c r="J852" s="115">
        <f>IF(tblIssues[[#This Row],[Qty Override]]&lt;&gt;"",tblIssues[[#This Row],[Qty Override]],IF(tblIssues[[#This Row],[Standard Issue]]="","",tblIssues[[#This Row],[Standard Issue]]))</f>
        <v>500</v>
      </c>
      <c r="K852" s="20">
        <f>IF($F852="","",IFERROR(INDEX(Items!$D$5:$D$597,MATCH($F852,Items!$A$5:$A$597,0)),""))</f>
        <v>5.5E-2</v>
      </c>
      <c r="L852" s="21">
        <f t="shared" si="151"/>
        <v>27.5</v>
      </c>
      <c r="M852" s="9" t="str">
        <f t="shared" si="149"/>
        <v>ZIM504126040-4</v>
      </c>
      <c r="N852" s="24">
        <f>IF($A852="","",WORKDAY($A852,Settings!$C$9,HolidayDates))</f>
        <v>46177</v>
      </c>
      <c r="O852" s="24">
        <f>IF($N852="","",WORKDAY($N852,Settings!$C$10,HolidayDates))</f>
        <v>46217</v>
      </c>
      <c r="P852" s="10" t="s">
        <v>501</v>
      </c>
      <c r="Q852" s="52" t="str">
        <f t="shared" si="152"/>
        <v>Collected</v>
      </c>
      <c r="R852" s="55" t="str">
        <f t="shared" si="153"/>
        <v>2026-05</v>
      </c>
      <c r="S852" s="55">
        <f>IF(OR($B852="",$F852="",$R852=""),"",SUMIFS(tblIssues[Qty Issued],tblIssues[Staff ID],$B852,tblIssues[Item Name],$F852,tblIssues[Month],$R852))</f>
        <v>500</v>
      </c>
      <c r="T852" s="56">
        <f>IF($I852="","",$I852*Settings!$C$11)</f>
        <v>500</v>
      </c>
      <c r="U852" s="57" t="str">
        <f t="shared" si="150"/>
        <v>OK</v>
      </c>
      <c r="V852" s="55" t="str">
        <f t="shared" si="154"/>
        <v/>
      </c>
      <c r="W852" s="55" t="str">
        <f>IF($V852="","",IF(COUNTIF($V$5:$V852,$V852)=1,1,""))</f>
        <v/>
      </c>
      <c r="X852" s="58" t="str">
        <f>IF($W852="","",MAX($X$4:X851)+1)</f>
        <v/>
      </c>
      <c r="Y852" s="62"/>
      <c r="Z852" s="62"/>
      <c r="AA852" s="64" t="str">
        <f>IF($C852="","",IFERROR(INDEX('Staff Directory'!$E$5:$E$594,MATCH($C852,'Staff Directory'!$B$5:$B$594,0)),""))</f>
        <v>firstname084.lastname084@example.com</v>
      </c>
      <c r="AB852" s="64" t="str">
        <f>IF($C852="","",IF(ISNUMBER(SEARCH($D852,Settings!$C$15)),"Pickup","Dispatch"))</f>
        <v>Pickup</v>
      </c>
      <c r="AC852" s="64" t="str">
        <f t="shared" si="155"/>
        <v>Supply order ready for pickup</v>
      </c>
      <c r="AD852" s="64" t="str">
        <f t="shared" si="146"/>
        <v>Dear PSW,
Your order is ready for pickup from Sample Branch, Wed-Fri 9am-4pm.</v>
      </c>
      <c r="AE852" s="64" t="str">
        <f t="shared" si="147"/>
        <v>mailto:firstname084.lastname084@example.com?subject=Supply%20order%20ready%20for%20pickup&amp;body=Dear%20PSW%2C%0A%0AYour%20order%20is%20ready%20for%20pickup%20from%20Sample%20Branch%2C%20Wed-Fri%209am-4pm.</v>
      </c>
      <c r="AF852" s="89" t="str">
        <f t="shared" si="156"/>
        <v>Draft email</v>
      </c>
      <c r="AG852" s="64" t="str">
        <f>IF($C852="","",IFERROR(INDEX('Staff Directory'!$K$595:$K$599,MATCH($C852,'Staff Directory'!$B$5:$B$599,0)),$D852))</f>
        <v>PSW</v>
      </c>
      <c r="AH852" t="str">
        <f>IF($C852="","",IFERROR(INDEX('Staff Directory'!$I$595:$I$599,MATCH($C852,'Staff Directory'!$B$5:$B$599,0))&amp;" "&amp;INDEX('Staff Directory'!$J$595:$J$599,MATCH($C852,'Staff Directory'!$B$5:$B$599,0)),$AG852))</f>
        <v>PSW</v>
      </c>
      <c r="AI852" s="102"/>
      <c r="AJ852" s="101">
        <f>IF($F852="","",SUMIFS($J$5:$J852,$F$5:$F852,$F852))</f>
        <v>51000</v>
      </c>
      <c r="AK852" s="101">
        <f t="shared" si="148"/>
        <v>50501</v>
      </c>
      <c r="AL852" s="66" t="str" cm="1">
        <f t="array" ref="AL852">IF($F852="","",IFERROR(INDEX('Lot Balance'!$B$5:$B$500,MATCH(1,INDEX(('Lot Balance'!$A$5:$A$500=$F852)*('Lot Balance'!$K$5:$K$500&lt;$AK852)*('Lot Balance'!$K$5:$K$500+'Lot Balance'!$D$5:$D$500&gt;=$AK852),0),0)),""))</f>
        <v>ZIM504126040-4</v>
      </c>
      <c r="AM852" s="66" t="str" cm="1">
        <f t="array" ref="AM852">IF($F852="","",IFERROR(INDEX('Lot Balance'!$B$5:$B$500,MATCH(1,INDEX(('Lot Balance'!$A$5:$A$500=$F852)*('Lot Balance'!$K$5:$K$500&lt;$AJ852)*('Lot Balance'!$K$5:$K$500+'Lot Balance'!$D$5:$D$500&gt;=$AJ852),0),0)),""))</f>
        <v>ZIM504126040-4</v>
      </c>
      <c r="AN852" s="66" t="str">
        <f>IF($F852="","",IF($AI852&lt;&gt;"",IF(COUNTIFS('Lot Balance'!$A$5:$A$500,$F852,'Lot Balance'!$B$5:$B$500,$AI852)=0,"⚠ override is not a lot of this item",IF($AI852=$AL852,"Override = FEFO","Override - FEFO says "&amp;$AL852)),IF($AL852="","⚠ no receipt on file for this item",IF($AM852&lt;&gt;$AL852,"FEFO auto - split, also "&amp;$AM852,"FEFO auto"))))</f>
        <v>FEFO auto</v>
      </c>
      <c r="AO852" s="114"/>
    </row>
    <row r="853" spans="1:41" x14ac:dyDescent="0.35">
      <c r="A853" s="74">
        <v>46169</v>
      </c>
      <c r="B853" s="18" t="str">
        <f>IF($C853="","",IFERROR(INDEX('Staff Directory'!$A$5:$A$594,MATCH($C853,'Staff Directory'!$B$5:$B$594,0)),"⚠ unknown staff"))</f>
        <v>PSW-024-A4</v>
      </c>
      <c r="C853" s="49" t="s">
        <v>1000</v>
      </c>
      <c r="D853" s="19" t="str">
        <f>IF($B853="","",IFERROR(INDEX('Staff Directory'!$C$5:$C$594,MATCH($B853,'Staff Directory'!$A$5:$A$594,0)),""))</f>
        <v>PSW</v>
      </c>
      <c r="E853" s="19" t="str">
        <f>IF($B853="","",IFERROR(INDEX('Staff Directory'!$D$5:$D$594,MATCH($B853,'Staff Directory'!$A$5:$A$594,0)),""))</f>
        <v>A4</v>
      </c>
      <c r="F853" s="9" t="s">
        <v>191</v>
      </c>
      <c r="G853" s="18" t="str">
        <f>IF($F853="","",IFERROR(INDEX(Items!$B$5:$B$597,MATCH($F853,Items!$A$5:$A$597,0)),"⚠ not in Items"))</f>
        <v>Sanitizer</v>
      </c>
      <c r="H853" s="19" t="str">
        <f>IF($F853="","",IFERROR(INDEX(Items!$C$5:$C$597,MATCH($F853,Items!$A$5:$A$597,0)),""))</f>
        <v>236 ML</v>
      </c>
      <c r="I853" s="23">
        <f>IF($F853="","",IFERROR(INDEX(Items!$E$5:$E$597,MATCH($F853,Items!$A$5:$A$597,0)),""))</f>
        <v>1</v>
      </c>
      <c r="J853" s="115">
        <f>IF(tblIssues[[#This Row],[Qty Override]]&lt;&gt;"",tblIssues[[#This Row],[Qty Override]],IF(tblIssues[[#This Row],[Standard Issue]]="","",tblIssues[[#This Row],[Standard Issue]]))</f>
        <v>1</v>
      </c>
      <c r="K853" s="20">
        <f>IF($F853="","",IFERROR(INDEX(Items!$D$5:$D$597,MATCH($F853,Items!$A$5:$A$597,0)),""))</f>
        <v>1E-4</v>
      </c>
      <c r="L853" s="21">
        <f t="shared" si="151"/>
        <v>1E-4</v>
      </c>
      <c r="M853" s="9" t="str">
        <f t="shared" si="149"/>
        <v>20-21734-4</v>
      </c>
      <c r="N853" s="24">
        <f>IF($A853="","",WORKDAY($A853,Settings!$C$9,HolidayDates))</f>
        <v>46177</v>
      </c>
      <c r="O853" s="24">
        <f>IF($N853="","",WORKDAY($N853,Settings!$C$10,HolidayDates))</f>
        <v>46217</v>
      </c>
      <c r="P853" s="10" t="s">
        <v>501</v>
      </c>
      <c r="Q853" s="52" t="str">
        <f t="shared" si="152"/>
        <v>Collected</v>
      </c>
      <c r="R853" s="55" t="str">
        <f t="shared" si="153"/>
        <v>2026-05</v>
      </c>
      <c r="S853" s="55">
        <f>IF(OR($B853="",$F853="",$R853=""),"",SUMIFS(tblIssues[Qty Issued],tblIssues[Staff ID],$B853,tblIssues[Item Name],$F853,tblIssues[Month],$R853))</f>
        <v>1</v>
      </c>
      <c r="T853" s="56">
        <f>IF($I853="","",$I853*Settings!$C$11)</f>
        <v>1</v>
      </c>
      <c r="U853" s="57" t="str">
        <f t="shared" si="150"/>
        <v>OK</v>
      </c>
      <c r="V853" s="55" t="str">
        <f t="shared" si="154"/>
        <v/>
      </c>
      <c r="W853" s="55" t="str">
        <f>IF($V853="","",IF(COUNTIF($V$5:$V853,$V853)=1,1,""))</f>
        <v/>
      </c>
      <c r="X853" s="58" t="str">
        <f>IF($W853="","",MAX($X$4:X852)+1)</f>
        <v/>
      </c>
      <c r="Y853" s="62"/>
      <c r="Z853" s="62"/>
      <c r="AA853" s="64" t="str">
        <f>IF($C853="","",IFERROR(INDEX('Staff Directory'!$E$5:$E$594,MATCH($C853,'Staff Directory'!$B$5:$B$594,0)),""))</f>
        <v>firstname084.lastname084@example.com</v>
      </c>
      <c r="AB853" s="64" t="str">
        <f>IF($C853="","",IF(ISNUMBER(SEARCH($D853,Settings!$C$15)),"Pickup","Dispatch"))</f>
        <v>Pickup</v>
      </c>
      <c r="AC853" s="64" t="str">
        <f t="shared" si="155"/>
        <v>Supply order ready for pickup</v>
      </c>
      <c r="AD853" s="64" t="str">
        <f t="shared" si="146"/>
        <v>Dear PSW,
Your order is ready for pickup from Sample Branch, Wed-Fri 9am-4pm.</v>
      </c>
      <c r="AE853" s="64" t="str">
        <f t="shared" si="147"/>
        <v>mailto:firstname084.lastname084@example.com?subject=Supply%20order%20ready%20for%20pickup&amp;body=Dear%20PSW%2C%0A%0AYour%20order%20is%20ready%20for%20pickup%20from%20Sample%20Branch%2C%20Wed-Fri%209am-4pm.</v>
      </c>
      <c r="AF853" s="89" t="str">
        <f t="shared" si="156"/>
        <v>Draft email</v>
      </c>
      <c r="AG853" s="64" t="str">
        <f>IF($C853="","",IFERROR(INDEX('Staff Directory'!$K$595:$K$599,MATCH($C853,'Staff Directory'!$B$5:$B$599,0)),$D853))</f>
        <v>PSW</v>
      </c>
      <c r="AH853" t="str">
        <f>IF($C853="","",IFERROR(INDEX('Staff Directory'!$I$595:$I$599,MATCH($C853,'Staff Directory'!$B$5:$B$599,0))&amp;" "&amp;INDEX('Staff Directory'!$J$595:$J$599,MATCH($C853,'Staff Directory'!$B$5:$B$599,0)),$AG853))</f>
        <v>PSW</v>
      </c>
      <c r="AI853" s="102"/>
      <c r="AJ853" s="101">
        <f>IF($F853="","",SUMIFS($J$5:$J853,$F$5:$F853,$F853))</f>
        <v>109</v>
      </c>
      <c r="AK853" s="101">
        <f t="shared" si="148"/>
        <v>109</v>
      </c>
      <c r="AL853" s="66" t="str" cm="1">
        <f t="array" ref="AL853">IF($F853="","",IFERROR(INDEX('Lot Balance'!$B$5:$B$500,MATCH(1,INDEX(('Lot Balance'!$A$5:$A$500=$F853)*('Lot Balance'!$K$5:$K$500&lt;$AK853)*('Lot Balance'!$K$5:$K$500+'Lot Balance'!$D$5:$D$500&gt;=$AK853),0),0)),""))</f>
        <v>20-21734-4</v>
      </c>
      <c r="AM853" s="66" t="str" cm="1">
        <f t="array" ref="AM853">IF($F853="","",IFERROR(INDEX('Lot Balance'!$B$5:$B$500,MATCH(1,INDEX(('Lot Balance'!$A$5:$A$500=$F853)*('Lot Balance'!$K$5:$K$500&lt;$AJ853)*('Lot Balance'!$K$5:$K$500+'Lot Balance'!$D$5:$D$500&gt;=$AJ853),0),0)),""))</f>
        <v>20-21734-4</v>
      </c>
      <c r="AN853" s="66" t="str">
        <f>IF($F853="","",IF($AI853&lt;&gt;"",IF(COUNTIFS('Lot Balance'!$A$5:$A$500,$F853,'Lot Balance'!$B$5:$B$500,$AI853)=0,"⚠ override is not a lot of this item",IF($AI853=$AL853,"Override = FEFO","Override - FEFO says "&amp;$AL853)),IF($AL853="","⚠ no receipt on file for this item",IF($AM853&lt;&gt;$AL853,"FEFO auto - split, also "&amp;$AM853,"FEFO auto"))))</f>
        <v>FEFO auto</v>
      </c>
      <c r="AO853" s="114"/>
    </row>
    <row r="854" spans="1:41" x14ac:dyDescent="0.35">
      <c r="A854" s="74">
        <v>46169</v>
      </c>
      <c r="B854" s="18" t="str">
        <f>IF($C854="","",IFERROR(INDEX('Staff Directory'!$A$5:$A$594,MATCH($C854,'Staff Directory'!$B$5:$B$594,0)),"⚠ unknown staff"))</f>
        <v>PSW-024-A4</v>
      </c>
      <c r="C854" s="49" t="s">
        <v>1000</v>
      </c>
      <c r="D854" s="19" t="str">
        <f>IF($B854="","",IFERROR(INDEX('Staff Directory'!$C$5:$C$594,MATCH($B854,'Staff Directory'!$A$5:$A$594,0)),""))</f>
        <v>PSW</v>
      </c>
      <c r="E854" s="19" t="str">
        <f>IF($B854="","",IFERROR(INDEX('Staff Directory'!$D$5:$D$594,MATCH($B854,'Staff Directory'!$A$5:$A$594,0)),""))</f>
        <v>A4</v>
      </c>
      <c r="F854" s="9" t="s">
        <v>115</v>
      </c>
      <c r="G854" s="18" t="str">
        <f>IF($F854="","",IFERROR(INDEX(Items!$B$5:$B$597,MATCH($F854,Items!$A$5:$A$597,0)),"⚠ not in Items"))</f>
        <v>Wipes</v>
      </c>
      <c r="H854" s="19">
        <f>IF($F854="","",IFERROR(INDEX(Items!$C$5:$C$597,MATCH($F854,Items!$A$5:$A$597,0)),""))</f>
        <v>80</v>
      </c>
      <c r="I854" s="23">
        <f>IF($F854="","",IFERROR(INDEX(Items!$E$5:$E$597,MATCH($F854,Items!$A$5:$A$597,0)),""))</f>
        <v>80</v>
      </c>
      <c r="J854" s="115">
        <f>IF(tblIssues[[#This Row],[Qty Override]]&lt;&gt;"",tblIssues[[#This Row],[Qty Override]],IF(tblIssues[[#This Row],[Standard Issue]]="","",tblIssues[[#This Row],[Standard Issue]]))</f>
        <v>80</v>
      </c>
      <c r="K854" s="20">
        <f>IF($F854="","",IFERROR(INDEX(Items!$D$5:$D$597,MATCH($F854,Items!$A$5:$A$597,0)),""))</f>
        <v>0.1</v>
      </c>
      <c r="L854" s="21">
        <f t="shared" si="151"/>
        <v>8</v>
      </c>
      <c r="M854" s="9" t="str">
        <f t="shared" si="149"/>
        <v>LYSL500290</v>
      </c>
      <c r="N854" s="24">
        <f>IF($A854="","",WORKDAY($A854,Settings!$C$9,HolidayDates))</f>
        <v>46177</v>
      </c>
      <c r="O854" s="24">
        <f>IF($N854="","",WORKDAY($N854,Settings!$C$10,HolidayDates))</f>
        <v>46217</v>
      </c>
      <c r="P854" s="10" t="s">
        <v>501</v>
      </c>
      <c r="Q854" s="52" t="str">
        <f t="shared" si="152"/>
        <v>Collected</v>
      </c>
      <c r="R854" s="55" t="str">
        <f t="shared" si="153"/>
        <v>2026-05</v>
      </c>
      <c r="S854" s="55">
        <f>IF(OR($B854="",$F854="",$R854=""),"",SUMIFS(tblIssues[Qty Issued],tblIssues[Staff ID],$B854,tblIssues[Item Name],$F854,tblIssues[Month],$R854))</f>
        <v>80</v>
      </c>
      <c r="T854" s="56">
        <f>IF($I854="","",$I854*Settings!$C$11)</f>
        <v>80</v>
      </c>
      <c r="U854" s="57" t="str">
        <f t="shared" si="150"/>
        <v>OK</v>
      </c>
      <c r="V854" s="55" t="str">
        <f t="shared" si="154"/>
        <v/>
      </c>
      <c r="W854" s="55" t="str">
        <f>IF($V854="","",IF(COUNTIF($V$5:$V854,$V854)=1,1,""))</f>
        <v/>
      </c>
      <c r="X854" s="58" t="str">
        <f>IF($W854="","",MAX($X$4:X853)+1)</f>
        <v/>
      </c>
      <c r="Y854" s="62"/>
      <c r="Z854" s="62"/>
      <c r="AA854" s="64" t="str">
        <f>IF($C854="","",IFERROR(INDEX('Staff Directory'!$E$5:$E$594,MATCH($C854,'Staff Directory'!$B$5:$B$594,0)),""))</f>
        <v>firstname084.lastname084@example.com</v>
      </c>
      <c r="AB854" s="64" t="str">
        <f>IF($C854="","",IF(ISNUMBER(SEARCH($D854,Settings!$C$15)),"Pickup","Dispatch"))</f>
        <v>Pickup</v>
      </c>
      <c r="AC854" s="64" t="str">
        <f t="shared" si="155"/>
        <v>Supply order ready for pickup</v>
      </c>
      <c r="AD854" s="64" t="str">
        <f t="shared" si="146"/>
        <v>Dear PSW,
Your order is ready for pickup from Sample Branch, Wed-Fri 9am-4pm.</v>
      </c>
      <c r="AE854" s="64" t="str">
        <f t="shared" si="147"/>
        <v>mailto:firstname084.lastname084@example.com?subject=Supply%20order%20ready%20for%20pickup&amp;body=Dear%20PSW%2C%0A%0AYour%20order%20is%20ready%20for%20pickup%20from%20Sample%20Branch%2C%20Wed-Fri%209am-4pm.</v>
      </c>
      <c r="AF854" s="89" t="str">
        <f t="shared" si="156"/>
        <v>Draft email</v>
      </c>
      <c r="AG854" s="64" t="str">
        <f>IF($C854="","",IFERROR(INDEX('Staff Directory'!$K$595:$K$599,MATCH($C854,'Staff Directory'!$B$5:$B$599,0)),$D854))</f>
        <v>PSW</v>
      </c>
      <c r="AH854" t="str">
        <f>IF($C854="","",IFERROR(INDEX('Staff Directory'!$I$595:$I$599,MATCH($C854,'Staff Directory'!$B$5:$B$599,0))&amp;" "&amp;INDEX('Staff Directory'!$J$595:$J$599,MATCH($C854,'Staff Directory'!$B$5:$B$599,0)),$AG854))</f>
        <v>PSW</v>
      </c>
      <c r="AI854" s="102"/>
      <c r="AJ854" s="101">
        <f>IF($F854="","",SUMIFS($J$5:$J854,$F$5:$F854,$F854))</f>
        <v>11760</v>
      </c>
      <c r="AK854" s="101">
        <f t="shared" si="148"/>
        <v>11681</v>
      </c>
      <c r="AL854" s="66" t="str" cm="1">
        <f t="array" ref="AL854">IF($F854="","",IFERROR(INDEX('Lot Balance'!$B$5:$B$500,MATCH(1,INDEX(('Lot Balance'!$A$5:$A$500=$F854)*('Lot Balance'!$K$5:$K$500&lt;$AK854)*('Lot Balance'!$K$5:$K$500+'Lot Balance'!$D$5:$D$500&gt;=$AK854),0),0)),""))</f>
        <v>LYSL500290</v>
      </c>
      <c r="AM854" s="66" t="str" cm="1">
        <f t="array" ref="AM854">IF($F854="","",IFERROR(INDEX('Lot Balance'!$B$5:$B$500,MATCH(1,INDEX(('Lot Balance'!$A$5:$A$500=$F854)*('Lot Balance'!$K$5:$K$500&lt;$AJ854)*('Lot Balance'!$K$5:$K$500+'Lot Balance'!$D$5:$D$500&gt;=$AJ854),0),0)),""))</f>
        <v>LYSL500290</v>
      </c>
      <c r="AN854" s="66" t="str">
        <f>IF($F854="","",IF($AI854&lt;&gt;"",IF(COUNTIFS('Lot Balance'!$A$5:$A$500,$F854,'Lot Balance'!$B$5:$B$500,$AI854)=0,"⚠ override is not a lot of this item",IF($AI854=$AL854,"Override = FEFO","Override - FEFO says "&amp;$AL854)),IF($AL854="","⚠ no receipt on file for this item",IF($AM854&lt;&gt;$AL854,"FEFO auto - split, also "&amp;$AM854,"FEFO auto"))))</f>
        <v>FEFO auto</v>
      </c>
      <c r="AO854" s="114"/>
    </row>
    <row r="855" spans="1:41" x14ac:dyDescent="0.35">
      <c r="A855" s="74">
        <v>46169</v>
      </c>
      <c r="B855" s="18" t="str">
        <f>IF($C855="","",IFERROR(INDEX('Staff Directory'!$A$5:$A$594,MATCH($C855,'Staff Directory'!$B$5:$B$594,0)),"⚠ unknown staff"))</f>
        <v>PSW-024-A4</v>
      </c>
      <c r="C855" s="49" t="s">
        <v>1000</v>
      </c>
      <c r="D855" s="19" t="str">
        <f>IF($B855="","",IFERROR(INDEX('Staff Directory'!$C$5:$C$594,MATCH($B855,'Staff Directory'!$A$5:$A$594,0)),""))</f>
        <v>PSW</v>
      </c>
      <c r="E855" s="19" t="str">
        <f>IF($B855="","",IFERROR(INDEX('Staff Directory'!$D$5:$D$594,MATCH($B855,'Staff Directory'!$A$5:$A$594,0)),""))</f>
        <v>A4</v>
      </c>
      <c r="F855" s="9" t="s">
        <v>156</v>
      </c>
      <c r="G855" s="18" t="str">
        <f>IF($F855="","",IFERROR(INDEX(Items!$B$5:$B$597,MATCH($F855,Items!$A$5:$A$597,0)),"⚠ not in Items"))</f>
        <v>Masks</v>
      </c>
      <c r="H855" s="19" t="str">
        <f>IF($F855="","",IFERROR(INDEX(Items!$C$5:$C$597,MATCH($F855,Items!$A$5:$A$597,0)),""))</f>
        <v>One Size</v>
      </c>
      <c r="I855" s="23">
        <f>IF($F855="","",IFERROR(INDEX(Items!$E$5:$E$597,MATCH($F855,Items!$A$5:$A$597,0)),""))</f>
        <v>50</v>
      </c>
      <c r="J855" s="115">
        <f>IF(tblIssues[[#This Row],[Qty Override]]&lt;&gt;"",tblIssues[[#This Row],[Qty Override]],IF(tblIssues[[#This Row],[Standard Issue]]="","",tblIssues[[#This Row],[Standard Issue]]))</f>
        <v>50</v>
      </c>
      <c r="K855" s="20">
        <f>IF($F855="","",IFERROR(INDEX(Items!$D$5:$D$597,MATCH($F855,Items!$A$5:$A$597,0)),""))</f>
        <v>0.25</v>
      </c>
      <c r="L855" s="21">
        <f t="shared" si="151"/>
        <v>12.5</v>
      </c>
      <c r="M855" s="9" t="str">
        <f t="shared" si="149"/>
        <v>0125FPC24-1</v>
      </c>
      <c r="N855" s="24">
        <f>IF($A855="","",WORKDAY($A855,Settings!$C$9,HolidayDates))</f>
        <v>46177</v>
      </c>
      <c r="O855" s="24">
        <f>IF($N855="","",WORKDAY($N855,Settings!$C$10,HolidayDates))</f>
        <v>46217</v>
      </c>
      <c r="P855" s="10" t="s">
        <v>501</v>
      </c>
      <c r="Q855" s="52" t="str">
        <f t="shared" si="152"/>
        <v>Collected</v>
      </c>
      <c r="R855" s="55" t="str">
        <f t="shared" si="153"/>
        <v>2026-05</v>
      </c>
      <c r="S855" s="55">
        <f>IF(OR($B855="",$F855="",$R855=""),"",SUMIFS(tblIssues[Qty Issued],tblIssues[Staff ID],$B855,tblIssues[Item Name],$F855,tblIssues[Month],$R855))</f>
        <v>50</v>
      </c>
      <c r="T855" s="56">
        <f>IF($I855="","",$I855*Settings!$C$11)</f>
        <v>50</v>
      </c>
      <c r="U855" s="57" t="str">
        <f t="shared" si="150"/>
        <v>OK</v>
      </c>
      <c r="V855" s="55" t="str">
        <f t="shared" si="154"/>
        <v/>
      </c>
      <c r="W855" s="55" t="str">
        <f>IF($V855="","",IF(COUNTIF($V$5:$V855,$V855)=1,1,""))</f>
        <v/>
      </c>
      <c r="X855" s="58" t="str">
        <f>IF($W855="","",MAX($X$4:X854)+1)</f>
        <v/>
      </c>
      <c r="Y855" s="62"/>
      <c r="Z855" s="62"/>
      <c r="AA855" s="64" t="str">
        <f>IF($C855="","",IFERROR(INDEX('Staff Directory'!$E$5:$E$594,MATCH($C855,'Staff Directory'!$B$5:$B$594,0)),""))</f>
        <v>firstname084.lastname084@example.com</v>
      </c>
      <c r="AB855" s="64" t="str">
        <f>IF($C855="","",IF(ISNUMBER(SEARCH($D855,Settings!$C$15)),"Pickup","Dispatch"))</f>
        <v>Pickup</v>
      </c>
      <c r="AC855" s="64" t="str">
        <f t="shared" si="155"/>
        <v>Supply order ready for pickup</v>
      </c>
      <c r="AD855" s="64" t="str">
        <f t="shared" si="146"/>
        <v>Dear PSW,
Your order is ready for pickup from Sample Branch, Wed-Fri 9am-4pm.</v>
      </c>
      <c r="AE855" s="64" t="str">
        <f t="shared" si="147"/>
        <v>mailto:firstname084.lastname084@example.com?subject=Supply%20order%20ready%20for%20pickup&amp;body=Dear%20PSW%2C%0A%0AYour%20order%20is%20ready%20for%20pickup%20from%20Sample%20Branch%2C%20Wed-Fri%209am-4pm.</v>
      </c>
      <c r="AF855" s="89" t="str">
        <f t="shared" si="156"/>
        <v>Draft email</v>
      </c>
      <c r="AG855" s="64" t="str">
        <f>IF($C855="","",IFERROR(INDEX('Staff Directory'!$K$595:$K$599,MATCH($C855,'Staff Directory'!$B$5:$B$599,0)),$D855))</f>
        <v>PSW</v>
      </c>
      <c r="AH855" t="str">
        <f>IF($C855="","",IFERROR(INDEX('Staff Directory'!$I$595:$I$599,MATCH($C855,'Staff Directory'!$B$5:$B$599,0))&amp;" "&amp;INDEX('Staff Directory'!$J$595:$J$599,MATCH($C855,'Staff Directory'!$B$5:$B$599,0)),$AG855))</f>
        <v>PSW</v>
      </c>
      <c r="AI855" s="102"/>
      <c r="AJ855" s="101">
        <f>IF($F855="","",SUMIFS($J$5:$J855,$F$5:$F855,$F855))</f>
        <v>7150</v>
      </c>
      <c r="AK855" s="101">
        <f t="shared" si="148"/>
        <v>7101</v>
      </c>
      <c r="AL855" s="66" t="str" cm="1">
        <f t="array" ref="AL855">IF($F855="","",IFERROR(INDEX('Lot Balance'!$B$5:$B$500,MATCH(1,INDEX(('Lot Balance'!$A$5:$A$500=$F855)*('Lot Balance'!$K$5:$K$500&lt;$AK855)*('Lot Balance'!$K$5:$K$500+'Lot Balance'!$D$5:$D$500&gt;=$AK855),0),0)),""))</f>
        <v>0125FPC24-1</v>
      </c>
      <c r="AM855" s="66" t="str" cm="1">
        <f t="array" ref="AM855">IF($F855="","",IFERROR(INDEX('Lot Balance'!$B$5:$B$500,MATCH(1,INDEX(('Lot Balance'!$A$5:$A$500=$F855)*('Lot Balance'!$K$5:$K$500&lt;$AJ855)*('Lot Balance'!$K$5:$K$500+'Lot Balance'!$D$5:$D$500&gt;=$AJ855),0),0)),""))</f>
        <v>0125FPC24-1</v>
      </c>
      <c r="AN855" s="66" t="str">
        <f>IF($F855="","",IF($AI855&lt;&gt;"",IF(COUNTIFS('Lot Balance'!$A$5:$A$500,$F855,'Lot Balance'!$B$5:$B$500,$AI855)=0,"⚠ override is not a lot of this item",IF($AI855=$AL855,"Override = FEFO","Override - FEFO says "&amp;$AL855)),IF($AL855="","⚠ no receipt on file for this item",IF($AM855&lt;&gt;$AL855,"FEFO auto - split, also "&amp;$AM855,"FEFO auto"))))</f>
        <v>FEFO auto</v>
      </c>
      <c r="AO855" s="114"/>
    </row>
    <row r="856" spans="1:41" x14ac:dyDescent="0.35">
      <c r="A856" s="74">
        <v>46169</v>
      </c>
      <c r="B856" s="18" t="str">
        <f>IF($C856="","",IFERROR(INDEX('Staff Directory'!$A$5:$A$594,MATCH($C856,'Staff Directory'!$B$5:$B$594,0)),"⚠ unknown staff"))</f>
        <v>PSW-109-A6</v>
      </c>
      <c r="C856" s="49" t="s">
        <v>1087</v>
      </c>
      <c r="D856" s="19" t="str">
        <f>IF($B856="","",IFERROR(INDEX('Staff Directory'!$C$5:$C$594,MATCH($B856,'Staff Directory'!$A$5:$A$594,0)),""))</f>
        <v>PSW</v>
      </c>
      <c r="E856" s="19" t="str">
        <f>IF($B856="","",IFERROR(INDEX('Staff Directory'!$D$5:$D$594,MATCH($B856,'Staff Directory'!$A$5:$A$594,0)),""))</f>
        <v>A6</v>
      </c>
      <c r="F856" s="9" t="s">
        <v>124</v>
      </c>
      <c r="G856" s="18" t="str">
        <f>IF($F856="","",IFERROR(INDEX(Items!$B$5:$B$597,MATCH($F856,Items!$A$5:$A$597,0)),"⚠ not in Items"))</f>
        <v>Gloves</v>
      </c>
      <c r="H856" s="19" t="str">
        <f>IF($F856="","",IFERROR(INDEX(Items!$C$5:$C$597,MATCH($F856,Items!$A$5:$A$597,0)),""))</f>
        <v>Large</v>
      </c>
      <c r="I856" s="23">
        <f>IF($F856="","",IFERROR(INDEX(Items!$E$5:$E$597,MATCH($F856,Items!$A$5:$A$597,0)),""))</f>
        <v>500</v>
      </c>
      <c r="J856" s="115">
        <f>IF(tblIssues[[#This Row],[Qty Override]]&lt;&gt;"",tblIssues[[#This Row],[Qty Override]],IF(tblIssues[[#This Row],[Standard Issue]]="","",tblIssues[[#This Row],[Standard Issue]]))</f>
        <v>500</v>
      </c>
      <c r="K856" s="20">
        <f>IF($F856="","",IFERROR(INDEX(Items!$D$5:$D$597,MATCH($F856,Items!$A$5:$A$597,0)),""))</f>
        <v>5.5E-2</v>
      </c>
      <c r="L856" s="21">
        <f t="shared" si="151"/>
        <v>27.5</v>
      </c>
      <c r="M856" s="9" t="str">
        <f t="shared" si="149"/>
        <v>0417HIC25-1</v>
      </c>
      <c r="N856" s="24">
        <f>IF($A856="","",WORKDAY($A856,Settings!$C$9,HolidayDates))</f>
        <v>46177</v>
      </c>
      <c r="O856" s="24">
        <f>IF($N856="","",WORKDAY($N856,Settings!$C$10,HolidayDates))</f>
        <v>46217</v>
      </c>
      <c r="P856" s="10" t="s">
        <v>501</v>
      </c>
      <c r="Q856" s="52" t="str">
        <f t="shared" si="152"/>
        <v>Collected</v>
      </c>
      <c r="R856" s="55" t="str">
        <f t="shared" si="153"/>
        <v>2026-05</v>
      </c>
      <c r="S856" s="55">
        <f>IF(OR($B856="",$F856="",$R856=""),"",SUMIFS(tblIssues[Qty Issued],tblIssues[Staff ID],$B856,tblIssues[Item Name],$F856,tblIssues[Month],$R856))</f>
        <v>500</v>
      </c>
      <c r="T856" s="56">
        <f>IF($I856="","",$I856*Settings!$C$11)</f>
        <v>500</v>
      </c>
      <c r="U856" s="57" t="str">
        <f t="shared" si="150"/>
        <v>OK</v>
      </c>
      <c r="V856" s="55" t="str">
        <f t="shared" si="154"/>
        <v/>
      </c>
      <c r="W856" s="55" t="str">
        <f>IF($V856="","",IF(COUNTIF($V$5:$V856,$V856)=1,1,""))</f>
        <v/>
      </c>
      <c r="X856" s="58" t="str">
        <f>IF($W856="","",MAX($X$4:X855)+1)</f>
        <v/>
      </c>
      <c r="Y856" s="62"/>
      <c r="Z856" s="62"/>
      <c r="AA856" s="64" t="str">
        <f>IF($C856="","",IFERROR(INDEX('Staff Directory'!$E$5:$E$594,MATCH($C856,'Staff Directory'!$B$5:$B$594,0)),""))</f>
        <v>firstname171.lastname171@example.com</v>
      </c>
      <c r="AB856" s="64" t="str">
        <f>IF($C856="","",IF(ISNUMBER(SEARCH($D856,Settings!$C$15)),"Pickup","Dispatch"))</f>
        <v>Pickup</v>
      </c>
      <c r="AC856" s="64" t="str">
        <f t="shared" si="155"/>
        <v>Supply order ready for pickup</v>
      </c>
      <c r="AD856" s="64" t="str">
        <f t="shared" si="146"/>
        <v>Dear PSW,
Your order is ready for pickup from Sample Branch, Wed-Fri 9am-4pm.</v>
      </c>
      <c r="AE856" s="64" t="str">
        <f t="shared" si="147"/>
        <v>mailto:firstname171.lastname171@example.com?subject=Supply%20order%20ready%20for%20pickup&amp;body=Dear%20PSW%2C%0A%0AYour%20order%20is%20ready%20for%20pickup%20from%20Sample%20Branch%2C%20Wed-Fri%209am-4pm.</v>
      </c>
      <c r="AF856" s="89" t="str">
        <f t="shared" si="156"/>
        <v>Draft email</v>
      </c>
      <c r="AG856" s="64" t="str">
        <f>IF($C856="","",IFERROR(INDEX('Staff Directory'!$K$595:$K$599,MATCH($C856,'Staff Directory'!$B$5:$B$599,0)),$D856))</f>
        <v>PSW</v>
      </c>
      <c r="AH856" t="str">
        <f>IF($C856="","",IFERROR(INDEX('Staff Directory'!$I$595:$I$599,MATCH($C856,'Staff Directory'!$B$5:$B$599,0))&amp;" "&amp;INDEX('Staff Directory'!$J$595:$J$599,MATCH($C856,'Staff Directory'!$B$5:$B$599,0)),$AG856))</f>
        <v>PSW</v>
      </c>
      <c r="AI856" s="102"/>
      <c r="AJ856" s="101">
        <f>IF($F856="","",SUMIFS($J$5:$J856,$F$5:$F856,$F856))</f>
        <v>23000</v>
      </c>
      <c r="AK856" s="101">
        <f t="shared" si="148"/>
        <v>22501</v>
      </c>
      <c r="AL856" s="66" t="str" cm="1">
        <f t="array" ref="AL856">IF($F856="","",IFERROR(INDEX('Lot Balance'!$B$5:$B$500,MATCH(1,INDEX(('Lot Balance'!$A$5:$A$500=$F856)*('Lot Balance'!$K$5:$K$500&lt;$AK856)*('Lot Balance'!$K$5:$K$500+'Lot Balance'!$D$5:$D$500&gt;=$AK856),0),0)),""))</f>
        <v>0417HIC25-1</v>
      </c>
      <c r="AM856" s="66" t="str" cm="1">
        <f t="array" ref="AM856">IF($F856="","",IFERROR(INDEX('Lot Balance'!$B$5:$B$500,MATCH(1,INDEX(('Lot Balance'!$A$5:$A$500=$F856)*('Lot Balance'!$K$5:$K$500&lt;$AJ856)*('Lot Balance'!$K$5:$K$500+'Lot Balance'!$D$5:$D$500&gt;=$AJ856),0),0)),""))</f>
        <v>0417HIC25-1</v>
      </c>
      <c r="AN856" s="66" t="str">
        <f>IF($F856="","",IF($AI856&lt;&gt;"",IF(COUNTIFS('Lot Balance'!$A$5:$A$500,$F856,'Lot Balance'!$B$5:$B$500,$AI856)=0,"⚠ override is not a lot of this item",IF($AI856=$AL856,"Override = FEFO","Override - FEFO says "&amp;$AL856)),IF($AL856="","⚠ no receipt on file for this item",IF($AM856&lt;&gt;$AL856,"FEFO auto - split, also "&amp;$AM856,"FEFO auto"))))</f>
        <v>FEFO auto</v>
      </c>
      <c r="AO856" s="114"/>
    </row>
    <row r="857" spans="1:41" x14ac:dyDescent="0.35">
      <c r="A857" s="74">
        <v>46169</v>
      </c>
      <c r="B857" s="18" t="str">
        <f>IF($C857="","",IFERROR(INDEX('Staff Directory'!$A$5:$A$594,MATCH($C857,'Staff Directory'!$B$5:$B$594,0)),"⚠ unknown staff"))</f>
        <v>PSW-109-A6</v>
      </c>
      <c r="C857" s="49" t="s">
        <v>1087</v>
      </c>
      <c r="D857" s="19" t="str">
        <f>IF($B857="","",IFERROR(INDEX('Staff Directory'!$C$5:$C$594,MATCH($B857,'Staff Directory'!$A$5:$A$594,0)),""))</f>
        <v>PSW</v>
      </c>
      <c r="E857" s="19" t="str">
        <f>IF($B857="","",IFERROR(INDEX('Staff Directory'!$D$5:$D$594,MATCH($B857,'Staff Directory'!$A$5:$A$594,0)),""))</f>
        <v>A6</v>
      </c>
      <c r="F857" s="9" t="s">
        <v>115</v>
      </c>
      <c r="G857" s="18" t="str">
        <f>IF($F857="","",IFERROR(INDEX(Items!$B$5:$B$597,MATCH($F857,Items!$A$5:$A$597,0)),"⚠ not in Items"))</f>
        <v>Wipes</v>
      </c>
      <c r="H857" s="19">
        <f>IF($F857="","",IFERROR(INDEX(Items!$C$5:$C$597,MATCH($F857,Items!$A$5:$A$597,0)),""))</f>
        <v>80</v>
      </c>
      <c r="I857" s="23">
        <f>IF($F857="","",IFERROR(INDEX(Items!$E$5:$E$597,MATCH($F857,Items!$A$5:$A$597,0)),""))</f>
        <v>80</v>
      </c>
      <c r="J857" s="115">
        <f>IF(tblIssues[[#This Row],[Qty Override]]&lt;&gt;"",tblIssues[[#This Row],[Qty Override]],IF(tblIssues[[#This Row],[Standard Issue]]="","",tblIssues[[#This Row],[Standard Issue]]))</f>
        <v>80</v>
      </c>
      <c r="K857" s="20">
        <f>IF($F857="","",IFERROR(INDEX(Items!$D$5:$D$597,MATCH($F857,Items!$A$5:$A$597,0)),""))</f>
        <v>0.1</v>
      </c>
      <c r="L857" s="21">
        <f t="shared" si="151"/>
        <v>8</v>
      </c>
      <c r="M857" s="9" t="str">
        <f t="shared" si="149"/>
        <v>LYSL500290</v>
      </c>
      <c r="N857" s="24">
        <f>IF($A857="","",WORKDAY($A857,Settings!$C$9,HolidayDates))</f>
        <v>46177</v>
      </c>
      <c r="O857" s="24">
        <f>IF($N857="","",WORKDAY($N857,Settings!$C$10,HolidayDates))</f>
        <v>46217</v>
      </c>
      <c r="P857" s="10" t="s">
        <v>501</v>
      </c>
      <c r="Q857" s="52" t="str">
        <f t="shared" si="152"/>
        <v>Collected</v>
      </c>
      <c r="R857" s="55" t="str">
        <f t="shared" si="153"/>
        <v>2026-05</v>
      </c>
      <c r="S857" s="55">
        <f>IF(OR($B857="",$F857="",$R857=""),"",SUMIFS(tblIssues[Qty Issued],tblIssues[Staff ID],$B857,tblIssues[Item Name],$F857,tblIssues[Month],$R857))</f>
        <v>80</v>
      </c>
      <c r="T857" s="56">
        <f>IF($I857="","",$I857*Settings!$C$11)</f>
        <v>80</v>
      </c>
      <c r="U857" s="57" t="str">
        <f t="shared" si="150"/>
        <v>OK</v>
      </c>
      <c r="V857" s="55" t="str">
        <f t="shared" si="154"/>
        <v/>
      </c>
      <c r="W857" s="55" t="str">
        <f>IF($V857="","",IF(COUNTIF($V$5:$V857,$V857)=1,1,""))</f>
        <v/>
      </c>
      <c r="X857" s="58" t="str">
        <f>IF($W857="","",MAX($X$4:X856)+1)</f>
        <v/>
      </c>
      <c r="Y857" s="62"/>
      <c r="Z857" s="62"/>
      <c r="AA857" s="64" t="str">
        <f>IF($C857="","",IFERROR(INDEX('Staff Directory'!$E$5:$E$594,MATCH($C857,'Staff Directory'!$B$5:$B$594,0)),""))</f>
        <v>firstname171.lastname171@example.com</v>
      </c>
      <c r="AB857" s="64" t="str">
        <f>IF($C857="","",IF(ISNUMBER(SEARCH($D857,Settings!$C$15)),"Pickup","Dispatch"))</f>
        <v>Pickup</v>
      </c>
      <c r="AC857" s="64" t="str">
        <f t="shared" si="155"/>
        <v>Supply order ready for pickup</v>
      </c>
      <c r="AD857" s="64" t="str">
        <f t="shared" si="146"/>
        <v>Dear PSW,
Your order is ready for pickup from Sample Branch, Wed-Fri 9am-4pm.</v>
      </c>
      <c r="AE857" s="64" t="str">
        <f t="shared" si="147"/>
        <v>mailto:firstname171.lastname171@example.com?subject=Supply%20order%20ready%20for%20pickup&amp;body=Dear%20PSW%2C%0A%0AYour%20order%20is%20ready%20for%20pickup%20from%20Sample%20Branch%2C%20Wed-Fri%209am-4pm.</v>
      </c>
      <c r="AF857" s="89" t="str">
        <f t="shared" si="156"/>
        <v>Draft email</v>
      </c>
      <c r="AG857" s="64" t="str">
        <f>IF($C857="","",IFERROR(INDEX('Staff Directory'!$K$595:$K$599,MATCH($C857,'Staff Directory'!$B$5:$B$599,0)),$D857))</f>
        <v>PSW</v>
      </c>
      <c r="AH857" t="str">
        <f>IF($C857="","",IFERROR(INDEX('Staff Directory'!$I$595:$I$599,MATCH($C857,'Staff Directory'!$B$5:$B$599,0))&amp;" "&amp;INDEX('Staff Directory'!$J$595:$J$599,MATCH($C857,'Staff Directory'!$B$5:$B$599,0)),$AG857))</f>
        <v>PSW</v>
      </c>
      <c r="AI857" s="102"/>
      <c r="AJ857" s="101">
        <f>IF($F857="","",SUMIFS($J$5:$J857,$F$5:$F857,$F857))</f>
        <v>11840</v>
      </c>
      <c r="AK857" s="101">
        <f t="shared" si="148"/>
        <v>11761</v>
      </c>
      <c r="AL857" s="66" t="str" cm="1">
        <f t="array" ref="AL857">IF($F857="","",IFERROR(INDEX('Lot Balance'!$B$5:$B$500,MATCH(1,INDEX(('Lot Balance'!$A$5:$A$500=$F857)*('Lot Balance'!$K$5:$K$500&lt;$AK857)*('Lot Balance'!$K$5:$K$500+'Lot Balance'!$D$5:$D$500&gt;=$AK857),0),0)),""))</f>
        <v>LYSL500290</v>
      </c>
      <c r="AM857" s="66" t="str" cm="1">
        <f t="array" ref="AM857">IF($F857="","",IFERROR(INDEX('Lot Balance'!$B$5:$B$500,MATCH(1,INDEX(('Lot Balance'!$A$5:$A$500=$F857)*('Lot Balance'!$K$5:$K$500&lt;$AJ857)*('Lot Balance'!$K$5:$K$500+'Lot Balance'!$D$5:$D$500&gt;=$AJ857),0),0)),""))</f>
        <v>LYSL500290</v>
      </c>
      <c r="AN857" s="66" t="str">
        <f>IF($F857="","",IF($AI857&lt;&gt;"",IF(COUNTIFS('Lot Balance'!$A$5:$A$500,$F857,'Lot Balance'!$B$5:$B$500,$AI857)=0,"⚠ override is not a lot of this item",IF($AI857=$AL857,"Override = FEFO","Override - FEFO says "&amp;$AL857)),IF($AL857="","⚠ no receipt on file for this item",IF($AM857&lt;&gt;$AL857,"FEFO auto - split, also "&amp;$AM857,"FEFO auto"))))</f>
        <v>FEFO auto</v>
      </c>
      <c r="AO857" s="114"/>
    </row>
    <row r="858" spans="1:41" x14ac:dyDescent="0.35">
      <c r="A858" s="74">
        <v>46169</v>
      </c>
      <c r="B858" s="18" t="str">
        <f>IF($C858="","",IFERROR(INDEX('Staff Directory'!$A$5:$A$594,MATCH($C858,'Staff Directory'!$B$5:$B$594,0)),"⚠ unknown staff"))</f>
        <v>PSW-109-A6</v>
      </c>
      <c r="C858" s="49" t="s">
        <v>1087</v>
      </c>
      <c r="D858" s="19" t="str">
        <f>IF($B858="","",IFERROR(INDEX('Staff Directory'!$C$5:$C$594,MATCH($B858,'Staff Directory'!$A$5:$A$594,0)),""))</f>
        <v>PSW</v>
      </c>
      <c r="E858" s="19" t="str">
        <f>IF($B858="","",IFERROR(INDEX('Staff Directory'!$D$5:$D$594,MATCH($B858,'Staff Directory'!$A$5:$A$594,0)),""))</f>
        <v>A6</v>
      </c>
      <c r="F858" s="9" t="s">
        <v>156</v>
      </c>
      <c r="G858" s="18" t="str">
        <f>IF($F858="","",IFERROR(INDEX(Items!$B$5:$B$597,MATCH($F858,Items!$A$5:$A$597,0)),"⚠ not in Items"))</f>
        <v>Masks</v>
      </c>
      <c r="H858" s="19" t="str">
        <f>IF($F858="","",IFERROR(INDEX(Items!$C$5:$C$597,MATCH($F858,Items!$A$5:$A$597,0)),""))</f>
        <v>One Size</v>
      </c>
      <c r="I858" s="23">
        <f>IF($F858="","",IFERROR(INDEX(Items!$E$5:$E$597,MATCH($F858,Items!$A$5:$A$597,0)),""))</f>
        <v>50</v>
      </c>
      <c r="J858" s="115">
        <f>IF(tblIssues[[#This Row],[Qty Override]]&lt;&gt;"",tblIssues[[#This Row],[Qty Override]],IF(tblIssues[[#This Row],[Standard Issue]]="","",tblIssues[[#This Row],[Standard Issue]]))</f>
        <v>50</v>
      </c>
      <c r="K858" s="20">
        <f>IF($F858="","",IFERROR(INDEX(Items!$D$5:$D$597,MATCH($F858,Items!$A$5:$A$597,0)),""))</f>
        <v>0.25</v>
      </c>
      <c r="L858" s="21">
        <f t="shared" si="151"/>
        <v>12.5</v>
      </c>
      <c r="M858" s="9" t="str">
        <f t="shared" si="149"/>
        <v>0125FPC24-1</v>
      </c>
      <c r="N858" s="24">
        <f>IF($A858="","",WORKDAY($A858,Settings!$C$9,HolidayDates))</f>
        <v>46177</v>
      </c>
      <c r="O858" s="24">
        <f>IF($N858="","",WORKDAY($N858,Settings!$C$10,HolidayDates))</f>
        <v>46217</v>
      </c>
      <c r="P858" s="10" t="s">
        <v>501</v>
      </c>
      <c r="Q858" s="52" t="str">
        <f t="shared" si="152"/>
        <v>Collected</v>
      </c>
      <c r="R858" s="55" t="str">
        <f t="shared" si="153"/>
        <v>2026-05</v>
      </c>
      <c r="S858" s="55">
        <f>IF(OR($B858="",$F858="",$R858=""),"",SUMIFS(tblIssues[Qty Issued],tblIssues[Staff ID],$B858,tblIssues[Item Name],$F858,tblIssues[Month],$R858))</f>
        <v>50</v>
      </c>
      <c r="T858" s="56">
        <f>IF($I858="","",$I858*Settings!$C$11)</f>
        <v>50</v>
      </c>
      <c r="U858" s="57" t="str">
        <f t="shared" si="150"/>
        <v>OK</v>
      </c>
      <c r="V858" s="55" t="str">
        <f t="shared" si="154"/>
        <v/>
      </c>
      <c r="W858" s="55" t="str">
        <f>IF($V858="","",IF(COUNTIF($V$5:$V858,$V858)=1,1,""))</f>
        <v/>
      </c>
      <c r="X858" s="58" t="str">
        <f>IF($W858="","",MAX($X$4:X857)+1)</f>
        <v/>
      </c>
      <c r="Y858" s="62"/>
      <c r="Z858" s="62"/>
      <c r="AA858" s="64" t="str">
        <f>IF($C858="","",IFERROR(INDEX('Staff Directory'!$E$5:$E$594,MATCH($C858,'Staff Directory'!$B$5:$B$594,0)),""))</f>
        <v>firstname171.lastname171@example.com</v>
      </c>
      <c r="AB858" s="64" t="str">
        <f>IF($C858="","",IF(ISNUMBER(SEARCH($D858,Settings!$C$15)),"Pickup","Dispatch"))</f>
        <v>Pickup</v>
      </c>
      <c r="AC858" s="64" t="str">
        <f t="shared" si="155"/>
        <v>Supply order ready for pickup</v>
      </c>
      <c r="AD858" s="64" t="str">
        <f t="shared" si="146"/>
        <v>Dear PSW,
Your order is ready for pickup from Sample Branch, Wed-Fri 9am-4pm.</v>
      </c>
      <c r="AE858" s="64" t="str">
        <f t="shared" si="147"/>
        <v>mailto:firstname171.lastname171@example.com?subject=Supply%20order%20ready%20for%20pickup&amp;body=Dear%20PSW%2C%0A%0AYour%20order%20is%20ready%20for%20pickup%20from%20Sample%20Branch%2C%20Wed-Fri%209am-4pm.</v>
      </c>
      <c r="AF858" s="89" t="str">
        <f t="shared" si="156"/>
        <v>Draft email</v>
      </c>
      <c r="AG858" s="64" t="str">
        <f>IF($C858="","",IFERROR(INDEX('Staff Directory'!$K$595:$K$599,MATCH($C858,'Staff Directory'!$B$5:$B$599,0)),$D858))</f>
        <v>PSW</v>
      </c>
      <c r="AH858" t="str">
        <f>IF($C858="","",IFERROR(INDEX('Staff Directory'!$I$595:$I$599,MATCH($C858,'Staff Directory'!$B$5:$B$599,0))&amp;" "&amp;INDEX('Staff Directory'!$J$595:$J$599,MATCH($C858,'Staff Directory'!$B$5:$B$599,0)),$AG858))</f>
        <v>PSW</v>
      </c>
      <c r="AI858" s="102"/>
      <c r="AJ858" s="101">
        <f>IF($F858="","",SUMIFS($J$5:$J858,$F$5:$F858,$F858))</f>
        <v>7200</v>
      </c>
      <c r="AK858" s="101">
        <f t="shared" si="148"/>
        <v>7151</v>
      </c>
      <c r="AL858" s="66" t="str" cm="1">
        <f t="array" ref="AL858">IF($F858="","",IFERROR(INDEX('Lot Balance'!$B$5:$B$500,MATCH(1,INDEX(('Lot Balance'!$A$5:$A$500=$F858)*('Lot Balance'!$K$5:$K$500&lt;$AK858)*('Lot Balance'!$K$5:$K$500+'Lot Balance'!$D$5:$D$500&gt;=$AK858),0),0)),""))</f>
        <v>0125FPC24-1</v>
      </c>
      <c r="AM858" s="66" t="str" cm="1">
        <f t="array" ref="AM858">IF($F858="","",IFERROR(INDEX('Lot Balance'!$B$5:$B$500,MATCH(1,INDEX(('Lot Balance'!$A$5:$A$500=$F858)*('Lot Balance'!$K$5:$K$500&lt;$AJ858)*('Lot Balance'!$K$5:$K$500+'Lot Balance'!$D$5:$D$500&gt;=$AJ858),0),0)),""))</f>
        <v>0125FPC24-1</v>
      </c>
      <c r="AN858" s="66" t="str">
        <f>IF($F858="","",IF($AI858&lt;&gt;"",IF(COUNTIFS('Lot Balance'!$A$5:$A$500,$F858,'Lot Balance'!$B$5:$B$500,$AI858)=0,"⚠ override is not a lot of this item",IF($AI858=$AL858,"Override = FEFO","Override - FEFO says "&amp;$AL858)),IF($AL858="","⚠ no receipt on file for this item",IF($AM858&lt;&gt;$AL858,"FEFO auto - split, also "&amp;$AM858,"FEFO auto"))))</f>
        <v>FEFO auto</v>
      </c>
      <c r="AO858" s="114"/>
    </row>
    <row r="859" spans="1:41" x14ac:dyDescent="0.35">
      <c r="A859" s="74">
        <v>46174</v>
      </c>
      <c r="B859" s="18" t="str">
        <f>IF($C859="","",IFERROR(INDEX('Staff Directory'!$A$5:$A$594,MATCH($C859,'Staff Directory'!$B$5:$B$594,0)),"⚠ unknown staff"))</f>
        <v>PSW-102-A6</v>
      </c>
      <c r="C859" s="49" t="s">
        <v>1080</v>
      </c>
      <c r="D859" s="19" t="str">
        <f>IF($B859="","",IFERROR(INDEX('Staff Directory'!$C$5:$C$594,MATCH($B859,'Staff Directory'!$A$5:$A$594,0)),""))</f>
        <v>PSW</v>
      </c>
      <c r="E859" s="19" t="str">
        <f>IF($B859="","",IFERROR(INDEX('Staff Directory'!$D$5:$D$594,MATCH($B859,'Staff Directory'!$A$5:$A$594,0)),""))</f>
        <v>A6</v>
      </c>
      <c r="F859" s="9" t="s">
        <v>124</v>
      </c>
      <c r="G859" s="18" t="str">
        <f>IF($F859="","",IFERROR(INDEX(Items!$B$5:$B$597,MATCH($F859,Items!$A$5:$A$597,0)),"⚠ not in Items"))</f>
        <v>Gloves</v>
      </c>
      <c r="H859" s="19" t="str">
        <f>IF($F859="","",IFERROR(INDEX(Items!$C$5:$C$597,MATCH($F859,Items!$A$5:$A$597,0)),""))</f>
        <v>Large</v>
      </c>
      <c r="I859" s="23">
        <f>IF($F859="","",IFERROR(INDEX(Items!$E$5:$E$597,MATCH($F859,Items!$A$5:$A$597,0)),""))</f>
        <v>500</v>
      </c>
      <c r="J859" s="115">
        <f>IF(tblIssues[[#This Row],[Qty Override]]&lt;&gt;"",tblIssues[[#This Row],[Qty Override]],IF(tblIssues[[#This Row],[Standard Issue]]="","",tblIssues[[#This Row],[Standard Issue]]))</f>
        <v>500</v>
      </c>
      <c r="K859" s="20">
        <f>IF($F859="","",IFERROR(INDEX(Items!$D$5:$D$597,MATCH($F859,Items!$A$5:$A$597,0)),""))</f>
        <v>5.5E-2</v>
      </c>
      <c r="L859" s="21">
        <f t="shared" si="151"/>
        <v>27.5</v>
      </c>
      <c r="M859" s="9" t="str">
        <f t="shared" si="149"/>
        <v>0417HIC25-1</v>
      </c>
      <c r="N859" s="24">
        <f>IF($A859="","",WORKDAY($A859,Settings!$C$9,HolidayDates))</f>
        <v>46182</v>
      </c>
      <c r="O859" s="24">
        <f>IF($N859="","",WORKDAY($N859,Settings!$C$10,HolidayDates))</f>
        <v>46220</v>
      </c>
      <c r="P859" s="10" t="s">
        <v>501</v>
      </c>
      <c r="Q859" s="52" t="str">
        <f t="shared" si="152"/>
        <v>Collected</v>
      </c>
      <c r="R859" s="55" t="str">
        <f t="shared" si="153"/>
        <v>2026-06</v>
      </c>
      <c r="S859" s="55">
        <f>IF(OR($B859="",$F859="",$R859=""),"",SUMIFS(tblIssues[Qty Issued],tblIssues[Staff ID],$B859,tblIssues[Item Name],$F859,tblIssues[Month],$R859))</f>
        <v>500</v>
      </c>
      <c r="T859" s="56">
        <f>IF($I859="","",$I859*Settings!$C$11)</f>
        <v>500</v>
      </c>
      <c r="U859" s="57" t="str">
        <f t="shared" si="150"/>
        <v>OK</v>
      </c>
      <c r="V859" s="55" t="str">
        <f t="shared" si="154"/>
        <v/>
      </c>
      <c r="W859" s="55" t="str">
        <f>IF($V859="","",IF(COUNTIF($V$5:$V859,$V859)=1,1,""))</f>
        <v/>
      </c>
      <c r="X859" s="58" t="str">
        <f>IF($W859="","",MAX($X$4:X858)+1)</f>
        <v/>
      </c>
      <c r="Y859" s="62"/>
      <c r="Z859" s="62"/>
      <c r="AA859" s="64" t="str">
        <f>IF($C859="","",IFERROR(INDEX('Staff Directory'!$E$5:$E$594,MATCH($C859,'Staff Directory'!$B$5:$B$594,0)),""))</f>
        <v>firstname164.lastname164@example.com</v>
      </c>
      <c r="AB859" s="64" t="str">
        <f>IF($C859="","",IF(ISNUMBER(SEARCH($D859,Settings!$C$15)),"Pickup","Dispatch"))</f>
        <v>Pickup</v>
      </c>
      <c r="AC859" s="64" t="str">
        <f t="shared" si="155"/>
        <v>Supply order ready for pickup</v>
      </c>
      <c r="AD859" s="64" t="str">
        <f t="shared" si="146"/>
        <v>Dear PSW,
Your order is ready for pickup from Sample Branch, Wed-Fri 9am-4pm.</v>
      </c>
      <c r="AE859" s="64" t="str">
        <f t="shared" si="147"/>
        <v>mailto:firstname164.lastname164@example.com?subject=Supply%20order%20ready%20for%20pickup&amp;body=Dear%20PSW%2C%0A%0AYour%20order%20is%20ready%20for%20pickup%20from%20Sample%20Branch%2C%20Wed-Fri%209am-4pm.</v>
      </c>
      <c r="AF859" s="89" t="str">
        <f t="shared" si="156"/>
        <v>Draft email</v>
      </c>
      <c r="AG859" s="64" t="str">
        <f>IF($C859="","",IFERROR(INDEX('Staff Directory'!$K$595:$K$599,MATCH($C859,'Staff Directory'!$B$5:$B$599,0)),$D859))</f>
        <v>PSW</v>
      </c>
      <c r="AH859" t="str">
        <f>IF($C859="","",IFERROR(INDEX('Staff Directory'!$I$595:$I$599,MATCH($C859,'Staff Directory'!$B$5:$B$599,0))&amp;" "&amp;INDEX('Staff Directory'!$J$595:$J$599,MATCH($C859,'Staff Directory'!$B$5:$B$599,0)),$AG859))</f>
        <v>PSW</v>
      </c>
      <c r="AI859" s="102"/>
      <c r="AJ859" s="101">
        <f>IF($F859="","",SUMIFS($J$5:$J859,$F$5:$F859,$F859))</f>
        <v>23500</v>
      </c>
      <c r="AK859" s="101">
        <f t="shared" si="148"/>
        <v>23001</v>
      </c>
      <c r="AL859" s="66" t="str" cm="1">
        <f t="array" ref="AL859">IF($F859="","",IFERROR(INDEX('Lot Balance'!$B$5:$B$500,MATCH(1,INDEX(('Lot Balance'!$A$5:$A$500=$F859)*('Lot Balance'!$K$5:$K$500&lt;$AK859)*('Lot Balance'!$K$5:$K$500+'Lot Balance'!$D$5:$D$500&gt;=$AK859),0),0)),""))</f>
        <v>0417HIC25-1</v>
      </c>
      <c r="AM859" s="66" t="str" cm="1">
        <f t="array" ref="AM859">IF($F859="","",IFERROR(INDEX('Lot Balance'!$B$5:$B$500,MATCH(1,INDEX(('Lot Balance'!$A$5:$A$500=$F859)*('Lot Balance'!$K$5:$K$500&lt;$AJ859)*('Lot Balance'!$K$5:$K$500+'Lot Balance'!$D$5:$D$500&gt;=$AJ859),0),0)),""))</f>
        <v>0417HIC25-1</v>
      </c>
      <c r="AN859" s="66" t="str">
        <f>IF($F859="","",IF($AI859&lt;&gt;"",IF(COUNTIFS('Lot Balance'!$A$5:$A$500,$F859,'Lot Balance'!$B$5:$B$500,$AI859)=0,"⚠ override is not a lot of this item",IF($AI859=$AL859,"Override = FEFO","Override - FEFO says "&amp;$AL859)),IF($AL859="","⚠ no receipt on file for this item",IF($AM859&lt;&gt;$AL859,"FEFO auto - split, also "&amp;$AM859,"FEFO auto"))))</f>
        <v>FEFO auto</v>
      </c>
      <c r="AO859" s="114"/>
    </row>
    <row r="860" spans="1:41" x14ac:dyDescent="0.35">
      <c r="A860" s="74">
        <v>46174</v>
      </c>
      <c r="B860" s="18" t="str">
        <f>IF($C860="","",IFERROR(INDEX('Staff Directory'!$A$5:$A$594,MATCH($C860,'Staff Directory'!$B$5:$B$594,0)),"⚠ unknown staff"))</f>
        <v>PSW-102-A6</v>
      </c>
      <c r="C860" s="49" t="s">
        <v>1080</v>
      </c>
      <c r="D860" s="19" t="str">
        <f>IF($B860="","",IFERROR(INDEX('Staff Directory'!$C$5:$C$594,MATCH($B860,'Staff Directory'!$A$5:$A$594,0)),""))</f>
        <v>PSW</v>
      </c>
      <c r="E860" s="19" t="str">
        <f>IF($B860="","",IFERROR(INDEX('Staff Directory'!$D$5:$D$594,MATCH($B860,'Staff Directory'!$A$5:$A$594,0)),""))</f>
        <v>A6</v>
      </c>
      <c r="F860" s="9" t="s">
        <v>191</v>
      </c>
      <c r="G860" s="18" t="str">
        <f>IF($F860="","",IFERROR(INDEX(Items!$B$5:$B$597,MATCH($F860,Items!$A$5:$A$597,0)),"⚠ not in Items"))</f>
        <v>Sanitizer</v>
      </c>
      <c r="H860" s="19" t="str">
        <f>IF($F860="","",IFERROR(INDEX(Items!$C$5:$C$597,MATCH($F860,Items!$A$5:$A$597,0)),""))</f>
        <v>236 ML</v>
      </c>
      <c r="I860" s="23">
        <f>IF($F860="","",IFERROR(INDEX(Items!$E$5:$E$597,MATCH($F860,Items!$A$5:$A$597,0)),""))</f>
        <v>1</v>
      </c>
      <c r="J860" s="115">
        <f>IF(tblIssues[[#This Row],[Qty Override]]&lt;&gt;"",tblIssues[[#This Row],[Qty Override]],IF(tblIssues[[#This Row],[Standard Issue]]="","",tblIssues[[#This Row],[Standard Issue]]))</f>
        <v>1</v>
      </c>
      <c r="K860" s="20">
        <f>IF($F860="","",IFERROR(INDEX(Items!$D$5:$D$597,MATCH($F860,Items!$A$5:$A$597,0)),""))</f>
        <v>1E-4</v>
      </c>
      <c r="L860" s="21">
        <f t="shared" si="151"/>
        <v>1E-4</v>
      </c>
      <c r="M860" s="9" t="str">
        <f t="shared" si="149"/>
        <v>20-21734-4</v>
      </c>
      <c r="N860" s="24">
        <f>IF($A860="","",WORKDAY($A860,Settings!$C$9,HolidayDates))</f>
        <v>46182</v>
      </c>
      <c r="O860" s="24">
        <f>IF($N860="","",WORKDAY($N860,Settings!$C$10,HolidayDates))</f>
        <v>46220</v>
      </c>
      <c r="P860" s="10" t="s">
        <v>501</v>
      </c>
      <c r="Q860" s="52" t="str">
        <f t="shared" si="152"/>
        <v>Collected</v>
      </c>
      <c r="R860" s="55" t="str">
        <f t="shared" si="153"/>
        <v>2026-06</v>
      </c>
      <c r="S860" s="55">
        <f>IF(OR($B860="",$F860="",$R860=""),"",SUMIFS(tblIssues[Qty Issued],tblIssues[Staff ID],$B860,tblIssues[Item Name],$F860,tblIssues[Month],$R860))</f>
        <v>1</v>
      </c>
      <c r="T860" s="56">
        <f>IF($I860="","",$I860*Settings!$C$11)</f>
        <v>1</v>
      </c>
      <c r="U860" s="57" t="str">
        <f t="shared" si="150"/>
        <v>OK</v>
      </c>
      <c r="V860" s="55" t="str">
        <f t="shared" si="154"/>
        <v/>
      </c>
      <c r="W860" s="55" t="str">
        <f>IF($V860="","",IF(COUNTIF($V$5:$V860,$V860)=1,1,""))</f>
        <v/>
      </c>
      <c r="X860" s="58" t="str">
        <f>IF($W860="","",MAX($X$4:X859)+1)</f>
        <v/>
      </c>
      <c r="Y860" s="62"/>
      <c r="Z860" s="62"/>
      <c r="AA860" s="64" t="str">
        <f>IF($C860="","",IFERROR(INDEX('Staff Directory'!$E$5:$E$594,MATCH($C860,'Staff Directory'!$B$5:$B$594,0)),""))</f>
        <v>firstname164.lastname164@example.com</v>
      </c>
      <c r="AB860" s="64" t="str">
        <f>IF($C860="","",IF(ISNUMBER(SEARCH($D860,Settings!$C$15)),"Pickup","Dispatch"))</f>
        <v>Pickup</v>
      </c>
      <c r="AC860" s="64" t="str">
        <f t="shared" si="155"/>
        <v>Supply order ready for pickup</v>
      </c>
      <c r="AD860" s="64" t="str">
        <f t="shared" si="146"/>
        <v>Dear PSW,
Your order is ready for pickup from Sample Branch, Wed-Fri 9am-4pm.</v>
      </c>
      <c r="AE860" s="64" t="str">
        <f t="shared" si="147"/>
        <v>mailto:firstname164.lastname164@example.com?subject=Supply%20order%20ready%20for%20pickup&amp;body=Dear%20PSW%2C%0A%0AYour%20order%20is%20ready%20for%20pickup%20from%20Sample%20Branch%2C%20Wed-Fri%209am-4pm.</v>
      </c>
      <c r="AF860" s="89" t="str">
        <f t="shared" si="156"/>
        <v>Draft email</v>
      </c>
      <c r="AG860" s="64" t="str">
        <f>IF($C860="","",IFERROR(INDEX('Staff Directory'!$K$595:$K$599,MATCH($C860,'Staff Directory'!$B$5:$B$599,0)),$D860))</f>
        <v>PSW</v>
      </c>
      <c r="AH860" t="str">
        <f>IF($C860="","",IFERROR(INDEX('Staff Directory'!$I$595:$I$599,MATCH($C860,'Staff Directory'!$B$5:$B$599,0))&amp;" "&amp;INDEX('Staff Directory'!$J$595:$J$599,MATCH($C860,'Staff Directory'!$B$5:$B$599,0)),$AG860))</f>
        <v>PSW</v>
      </c>
      <c r="AI860" s="102"/>
      <c r="AJ860" s="101">
        <f>IF($F860="","",SUMIFS($J$5:$J860,$F$5:$F860,$F860))</f>
        <v>110</v>
      </c>
      <c r="AK860" s="101">
        <f t="shared" si="148"/>
        <v>110</v>
      </c>
      <c r="AL860" s="66" t="str" cm="1">
        <f t="array" ref="AL860">IF($F860="","",IFERROR(INDEX('Lot Balance'!$B$5:$B$500,MATCH(1,INDEX(('Lot Balance'!$A$5:$A$500=$F860)*('Lot Balance'!$K$5:$K$500&lt;$AK860)*('Lot Balance'!$K$5:$K$500+'Lot Balance'!$D$5:$D$500&gt;=$AK860),0),0)),""))</f>
        <v>20-21734-4</v>
      </c>
      <c r="AM860" s="66" t="str" cm="1">
        <f t="array" ref="AM860">IF($F860="","",IFERROR(INDEX('Lot Balance'!$B$5:$B$500,MATCH(1,INDEX(('Lot Balance'!$A$5:$A$500=$F860)*('Lot Balance'!$K$5:$K$500&lt;$AJ860)*('Lot Balance'!$K$5:$K$500+'Lot Balance'!$D$5:$D$500&gt;=$AJ860),0),0)),""))</f>
        <v>20-21734-4</v>
      </c>
      <c r="AN860" s="66" t="str">
        <f>IF($F860="","",IF($AI860&lt;&gt;"",IF(COUNTIFS('Lot Balance'!$A$5:$A$500,$F860,'Lot Balance'!$B$5:$B$500,$AI860)=0,"⚠ override is not a lot of this item",IF($AI860=$AL860,"Override = FEFO","Override - FEFO says "&amp;$AL860)),IF($AL860="","⚠ no receipt on file for this item",IF($AM860&lt;&gt;$AL860,"FEFO auto - split, also "&amp;$AM860,"FEFO auto"))))</f>
        <v>FEFO auto</v>
      </c>
      <c r="AO860" s="114"/>
    </row>
    <row r="861" spans="1:41" x14ac:dyDescent="0.35">
      <c r="A861" s="74">
        <v>46174</v>
      </c>
      <c r="B861" s="18" t="str">
        <f>IF($C861="","",IFERROR(INDEX('Staff Directory'!$A$5:$A$594,MATCH($C861,'Staff Directory'!$B$5:$B$594,0)),"⚠ unknown staff"))</f>
        <v>PSW-102-A6</v>
      </c>
      <c r="C861" s="49" t="s">
        <v>1080</v>
      </c>
      <c r="D861" s="19" t="str">
        <f>IF($B861="","",IFERROR(INDEX('Staff Directory'!$C$5:$C$594,MATCH($B861,'Staff Directory'!$A$5:$A$594,0)),""))</f>
        <v>PSW</v>
      </c>
      <c r="E861" s="19" t="str">
        <f>IF($B861="","",IFERROR(INDEX('Staff Directory'!$D$5:$D$594,MATCH($B861,'Staff Directory'!$A$5:$A$594,0)),""))</f>
        <v>A6</v>
      </c>
      <c r="F861" s="9" t="s">
        <v>115</v>
      </c>
      <c r="G861" s="18" t="str">
        <f>IF($F861="","",IFERROR(INDEX(Items!$B$5:$B$597,MATCH($F861,Items!$A$5:$A$597,0)),"⚠ not in Items"))</f>
        <v>Wipes</v>
      </c>
      <c r="H861" s="19">
        <f>IF($F861="","",IFERROR(INDEX(Items!$C$5:$C$597,MATCH($F861,Items!$A$5:$A$597,0)),""))</f>
        <v>80</v>
      </c>
      <c r="I861" s="23">
        <f>IF($F861="","",IFERROR(INDEX(Items!$E$5:$E$597,MATCH($F861,Items!$A$5:$A$597,0)),""))</f>
        <v>80</v>
      </c>
      <c r="J861" s="115">
        <f>IF(tblIssues[[#This Row],[Qty Override]]&lt;&gt;"",tblIssues[[#This Row],[Qty Override]],IF(tblIssues[[#This Row],[Standard Issue]]="","",tblIssues[[#This Row],[Standard Issue]]))</f>
        <v>80</v>
      </c>
      <c r="K861" s="20">
        <f>IF($F861="","",IFERROR(INDEX(Items!$D$5:$D$597,MATCH($F861,Items!$A$5:$A$597,0)),""))</f>
        <v>0.1</v>
      </c>
      <c r="L861" s="21">
        <f t="shared" si="151"/>
        <v>8</v>
      </c>
      <c r="M861" s="9" t="str">
        <f t="shared" si="149"/>
        <v>LYSL500290</v>
      </c>
      <c r="N861" s="24">
        <f>IF($A861="","",WORKDAY($A861,Settings!$C$9,HolidayDates))</f>
        <v>46182</v>
      </c>
      <c r="O861" s="24">
        <f>IF($N861="","",WORKDAY($N861,Settings!$C$10,HolidayDates))</f>
        <v>46220</v>
      </c>
      <c r="P861" s="10" t="s">
        <v>501</v>
      </c>
      <c r="Q861" s="52" t="str">
        <f t="shared" si="152"/>
        <v>Collected</v>
      </c>
      <c r="R861" s="55" t="str">
        <f t="shared" si="153"/>
        <v>2026-06</v>
      </c>
      <c r="S861" s="55">
        <f>IF(OR($B861="",$F861="",$R861=""),"",SUMIFS(tblIssues[Qty Issued],tblIssues[Staff ID],$B861,tblIssues[Item Name],$F861,tblIssues[Month],$R861))</f>
        <v>80</v>
      </c>
      <c r="T861" s="56">
        <f>IF($I861="","",$I861*Settings!$C$11)</f>
        <v>80</v>
      </c>
      <c r="U861" s="57" t="str">
        <f t="shared" si="150"/>
        <v>OK</v>
      </c>
      <c r="V861" s="55" t="str">
        <f t="shared" si="154"/>
        <v/>
      </c>
      <c r="W861" s="55" t="str">
        <f>IF($V861="","",IF(COUNTIF($V$5:$V861,$V861)=1,1,""))</f>
        <v/>
      </c>
      <c r="X861" s="58" t="str">
        <f>IF($W861="","",MAX($X$4:X860)+1)</f>
        <v/>
      </c>
      <c r="Y861" s="62"/>
      <c r="Z861" s="62"/>
      <c r="AA861" s="64" t="str">
        <f>IF($C861="","",IFERROR(INDEX('Staff Directory'!$E$5:$E$594,MATCH($C861,'Staff Directory'!$B$5:$B$594,0)),""))</f>
        <v>firstname164.lastname164@example.com</v>
      </c>
      <c r="AB861" s="64" t="str">
        <f>IF($C861="","",IF(ISNUMBER(SEARCH($D861,Settings!$C$15)),"Pickup","Dispatch"))</f>
        <v>Pickup</v>
      </c>
      <c r="AC861" s="64" t="str">
        <f t="shared" si="155"/>
        <v>Supply order ready for pickup</v>
      </c>
      <c r="AD861" s="64" t="str">
        <f t="shared" si="146"/>
        <v>Dear PSW,
Your order is ready for pickup from Sample Branch, Wed-Fri 9am-4pm.</v>
      </c>
      <c r="AE861" s="64" t="str">
        <f t="shared" si="147"/>
        <v>mailto:firstname164.lastname164@example.com?subject=Supply%20order%20ready%20for%20pickup&amp;body=Dear%20PSW%2C%0A%0AYour%20order%20is%20ready%20for%20pickup%20from%20Sample%20Branch%2C%20Wed-Fri%209am-4pm.</v>
      </c>
      <c r="AF861" s="89" t="str">
        <f t="shared" si="156"/>
        <v>Draft email</v>
      </c>
      <c r="AG861" s="64" t="str">
        <f>IF($C861="","",IFERROR(INDEX('Staff Directory'!$K$595:$K$599,MATCH($C861,'Staff Directory'!$B$5:$B$599,0)),$D861))</f>
        <v>PSW</v>
      </c>
      <c r="AH861" t="str">
        <f>IF($C861="","",IFERROR(INDEX('Staff Directory'!$I$595:$I$599,MATCH($C861,'Staff Directory'!$B$5:$B$599,0))&amp;" "&amp;INDEX('Staff Directory'!$J$595:$J$599,MATCH($C861,'Staff Directory'!$B$5:$B$599,0)),$AG861))</f>
        <v>PSW</v>
      </c>
      <c r="AI861" s="102"/>
      <c r="AJ861" s="101">
        <f>IF($F861="","",SUMIFS($J$5:$J861,$F$5:$F861,$F861))</f>
        <v>11920</v>
      </c>
      <c r="AK861" s="101">
        <f t="shared" si="148"/>
        <v>11841</v>
      </c>
      <c r="AL861" s="66" t="str" cm="1">
        <f t="array" ref="AL861">IF($F861="","",IFERROR(INDEX('Lot Balance'!$B$5:$B$500,MATCH(1,INDEX(('Lot Balance'!$A$5:$A$500=$F861)*('Lot Balance'!$K$5:$K$500&lt;$AK861)*('Lot Balance'!$K$5:$K$500+'Lot Balance'!$D$5:$D$500&gt;=$AK861),0),0)),""))</f>
        <v>LYSL500290</v>
      </c>
      <c r="AM861" s="66" t="str" cm="1">
        <f t="array" ref="AM861">IF($F861="","",IFERROR(INDEX('Lot Balance'!$B$5:$B$500,MATCH(1,INDEX(('Lot Balance'!$A$5:$A$500=$F861)*('Lot Balance'!$K$5:$K$500&lt;$AJ861)*('Lot Balance'!$K$5:$K$500+'Lot Balance'!$D$5:$D$500&gt;=$AJ861),0),0)),""))</f>
        <v>LYSL500290</v>
      </c>
      <c r="AN861" s="66" t="str">
        <f>IF($F861="","",IF($AI861&lt;&gt;"",IF(COUNTIFS('Lot Balance'!$A$5:$A$500,$F861,'Lot Balance'!$B$5:$B$500,$AI861)=0,"⚠ override is not a lot of this item",IF($AI861=$AL861,"Override = FEFO","Override - FEFO says "&amp;$AL861)),IF($AL861="","⚠ no receipt on file for this item",IF($AM861&lt;&gt;$AL861,"FEFO auto - split, also "&amp;$AM861,"FEFO auto"))))</f>
        <v>FEFO auto</v>
      </c>
      <c r="AO861" s="114"/>
    </row>
    <row r="862" spans="1:41" x14ac:dyDescent="0.35">
      <c r="A862" s="74">
        <v>46174</v>
      </c>
      <c r="B862" s="18" t="str">
        <f>IF($C862="","",IFERROR(INDEX('Staff Directory'!$A$5:$A$594,MATCH($C862,'Staff Directory'!$B$5:$B$594,0)),"⚠ unknown staff"))</f>
        <v>PSW-102-A6</v>
      </c>
      <c r="C862" s="49" t="s">
        <v>1080</v>
      </c>
      <c r="D862" s="19" t="str">
        <f>IF($B862="","",IFERROR(INDEX('Staff Directory'!$C$5:$C$594,MATCH($B862,'Staff Directory'!$A$5:$A$594,0)),""))</f>
        <v>PSW</v>
      </c>
      <c r="E862" s="19" t="str">
        <f>IF($B862="","",IFERROR(INDEX('Staff Directory'!$D$5:$D$594,MATCH($B862,'Staff Directory'!$A$5:$A$594,0)),""))</f>
        <v>A6</v>
      </c>
      <c r="F862" s="9" t="s">
        <v>156</v>
      </c>
      <c r="G862" s="18" t="str">
        <f>IF($F862="","",IFERROR(INDEX(Items!$B$5:$B$597,MATCH($F862,Items!$A$5:$A$597,0)),"⚠ not in Items"))</f>
        <v>Masks</v>
      </c>
      <c r="H862" s="19" t="str">
        <f>IF($F862="","",IFERROR(INDEX(Items!$C$5:$C$597,MATCH($F862,Items!$A$5:$A$597,0)),""))</f>
        <v>One Size</v>
      </c>
      <c r="I862" s="23">
        <f>IF($F862="","",IFERROR(INDEX(Items!$E$5:$E$597,MATCH($F862,Items!$A$5:$A$597,0)),""))</f>
        <v>50</v>
      </c>
      <c r="J862" s="115">
        <f>IF(tblIssues[[#This Row],[Qty Override]]&lt;&gt;"",tblIssues[[#This Row],[Qty Override]],IF(tblIssues[[#This Row],[Standard Issue]]="","",tblIssues[[#This Row],[Standard Issue]]))</f>
        <v>50</v>
      </c>
      <c r="K862" s="20">
        <f>IF($F862="","",IFERROR(INDEX(Items!$D$5:$D$597,MATCH($F862,Items!$A$5:$A$597,0)),""))</f>
        <v>0.25</v>
      </c>
      <c r="L862" s="21">
        <f t="shared" si="151"/>
        <v>12.5</v>
      </c>
      <c r="M862" s="9" t="str">
        <f t="shared" si="149"/>
        <v>0125FPC24-2</v>
      </c>
      <c r="N862" s="24">
        <f>IF($A862="","",WORKDAY($A862,Settings!$C$9,HolidayDates))</f>
        <v>46182</v>
      </c>
      <c r="O862" s="24">
        <f>IF($N862="","",WORKDAY($N862,Settings!$C$10,HolidayDates))</f>
        <v>46220</v>
      </c>
      <c r="P862" s="10" t="s">
        <v>501</v>
      </c>
      <c r="Q862" s="52" t="str">
        <f t="shared" si="152"/>
        <v>Collected</v>
      </c>
      <c r="R862" s="55" t="str">
        <f t="shared" si="153"/>
        <v>2026-06</v>
      </c>
      <c r="S862" s="55">
        <f>IF(OR($B862="",$F862="",$R862=""),"",SUMIFS(tblIssues[Qty Issued],tblIssues[Staff ID],$B862,tblIssues[Item Name],$F862,tblIssues[Month],$R862))</f>
        <v>50</v>
      </c>
      <c r="T862" s="56">
        <f>IF($I862="","",$I862*Settings!$C$11)</f>
        <v>50</v>
      </c>
      <c r="U862" s="57" t="str">
        <f t="shared" si="150"/>
        <v>OK</v>
      </c>
      <c r="V862" s="55" t="str">
        <f t="shared" si="154"/>
        <v/>
      </c>
      <c r="W862" s="55" t="str">
        <f>IF($V862="","",IF(COUNTIF($V$5:$V862,$V862)=1,1,""))</f>
        <v/>
      </c>
      <c r="X862" s="58" t="str">
        <f>IF($W862="","",MAX($X$4:X861)+1)</f>
        <v/>
      </c>
      <c r="Y862" s="62"/>
      <c r="Z862" s="62"/>
      <c r="AA862" s="64" t="str">
        <f>IF($C862="","",IFERROR(INDEX('Staff Directory'!$E$5:$E$594,MATCH($C862,'Staff Directory'!$B$5:$B$594,0)),""))</f>
        <v>firstname164.lastname164@example.com</v>
      </c>
      <c r="AB862" s="64" t="str">
        <f>IF($C862="","",IF(ISNUMBER(SEARCH($D862,Settings!$C$15)),"Pickup","Dispatch"))</f>
        <v>Pickup</v>
      </c>
      <c r="AC862" s="64" t="str">
        <f t="shared" si="155"/>
        <v>Supply order ready for pickup</v>
      </c>
      <c r="AD862" s="64" t="str">
        <f t="shared" si="146"/>
        <v>Dear PSW,
Your order is ready for pickup from Sample Branch, Wed-Fri 9am-4pm.</v>
      </c>
      <c r="AE862" s="64" t="str">
        <f t="shared" si="147"/>
        <v>mailto:firstname164.lastname164@example.com?subject=Supply%20order%20ready%20for%20pickup&amp;body=Dear%20PSW%2C%0A%0AYour%20order%20is%20ready%20for%20pickup%20from%20Sample%20Branch%2C%20Wed-Fri%209am-4pm.</v>
      </c>
      <c r="AF862" s="89" t="str">
        <f t="shared" si="156"/>
        <v>Draft email</v>
      </c>
      <c r="AG862" s="64" t="str">
        <f>IF($C862="","",IFERROR(INDEX('Staff Directory'!$K$595:$K$599,MATCH($C862,'Staff Directory'!$B$5:$B$599,0)),$D862))</f>
        <v>PSW</v>
      </c>
      <c r="AH862" t="str">
        <f>IF($C862="","",IFERROR(INDEX('Staff Directory'!$I$595:$I$599,MATCH($C862,'Staff Directory'!$B$5:$B$599,0))&amp;" "&amp;INDEX('Staff Directory'!$J$595:$J$599,MATCH($C862,'Staff Directory'!$B$5:$B$599,0)),$AG862))</f>
        <v>PSW</v>
      </c>
      <c r="AI862" s="102"/>
      <c r="AJ862" s="101">
        <f>IF($F862="","",SUMIFS($J$5:$J862,$F$5:$F862,$F862))</f>
        <v>7250</v>
      </c>
      <c r="AK862" s="101">
        <f t="shared" si="148"/>
        <v>7201</v>
      </c>
      <c r="AL862" s="66" t="str" cm="1">
        <f t="array" ref="AL862">IF($F862="","",IFERROR(INDEX('Lot Balance'!$B$5:$B$500,MATCH(1,INDEX(('Lot Balance'!$A$5:$A$500=$F862)*('Lot Balance'!$K$5:$K$500&lt;$AK862)*('Lot Balance'!$K$5:$K$500+'Lot Balance'!$D$5:$D$500&gt;=$AK862),0),0)),""))</f>
        <v>0125FPC24-2</v>
      </c>
      <c r="AM862" s="66" t="str" cm="1">
        <f t="array" ref="AM862">IF($F862="","",IFERROR(INDEX('Lot Balance'!$B$5:$B$500,MATCH(1,INDEX(('Lot Balance'!$A$5:$A$500=$F862)*('Lot Balance'!$K$5:$K$500&lt;$AJ862)*('Lot Balance'!$K$5:$K$500+'Lot Balance'!$D$5:$D$500&gt;=$AJ862),0),0)),""))</f>
        <v>0125FPC24-2</v>
      </c>
      <c r="AN862" s="66" t="str">
        <f>IF($F862="","",IF($AI862&lt;&gt;"",IF(COUNTIFS('Lot Balance'!$A$5:$A$500,$F862,'Lot Balance'!$B$5:$B$500,$AI862)=0,"⚠ override is not a lot of this item",IF($AI862=$AL862,"Override = FEFO","Override - FEFO says "&amp;$AL862)),IF($AL862="","⚠ no receipt on file for this item",IF($AM862&lt;&gt;$AL862,"FEFO auto - split, also "&amp;$AM862,"FEFO auto"))))</f>
        <v>FEFO auto</v>
      </c>
      <c r="AO862" s="114"/>
    </row>
    <row r="863" spans="1:41" x14ac:dyDescent="0.35">
      <c r="A863" s="74">
        <v>46174</v>
      </c>
      <c r="B863" s="18" t="str">
        <f>IF($C863="","",IFERROR(INDEX('Staff Directory'!$A$5:$A$594,MATCH($C863,'Staff Directory'!$B$5:$B$594,0)),"⚠ unknown staff"))</f>
        <v>PSW-056-A6</v>
      </c>
      <c r="C863" s="49" t="s">
        <v>1032</v>
      </c>
      <c r="D863" s="19" t="str">
        <f>IF($B863="","",IFERROR(INDEX('Staff Directory'!$C$5:$C$594,MATCH($B863,'Staff Directory'!$A$5:$A$594,0)),""))</f>
        <v>PSW</v>
      </c>
      <c r="E863" s="19" t="str">
        <f>IF($B863="","",IFERROR(INDEX('Staff Directory'!$D$5:$D$594,MATCH($B863,'Staff Directory'!$A$5:$A$594,0)),""))</f>
        <v>A6</v>
      </c>
      <c r="F863" s="9" t="s">
        <v>129</v>
      </c>
      <c r="G863" s="18" t="str">
        <f>IF($F863="","",IFERROR(INDEX(Items!$B$5:$B$597,MATCH($F863,Items!$A$5:$A$597,0)),"⚠ not in Items"))</f>
        <v>Gloves</v>
      </c>
      <c r="H863" s="19" t="str">
        <f>IF($F863="","",IFERROR(INDEX(Items!$C$5:$C$597,MATCH($F863,Items!$A$5:$A$597,0)),""))</f>
        <v>Small</v>
      </c>
      <c r="I863" s="23">
        <f>IF($F863="","",IFERROR(INDEX(Items!$E$5:$E$597,MATCH($F863,Items!$A$5:$A$597,0)),""))</f>
        <v>500</v>
      </c>
      <c r="J863" s="115">
        <f>IF(tblIssues[[#This Row],[Qty Override]]&lt;&gt;"",tblIssues[[#This Row],[Qty Override]],IF(tblIssues[[#This Row],[Standard Issue]]="","",tblIssues[[#This Row],[Standard Issue]]))</f>
        <v>500</v>
      </c>
      <c r="K863" s="20">
        <f>IF($F863="","",IFERROR(INDEX(Items!$D$5:$D$597,MATCH($F863,Items!$A$5:$A$597,0)),""))</f>
        <v>5.5E-2</v>
      </c>
      <c r="L863" s="21">
        <f t="shared" si="151"/>
        <v>27.5</v>
      </c>
      <c r="M863" s="9" t="str">
        <f t="shared" si="149"/>
        <v>O211LIC25-1</v>
      </c>
      <c r="N863" s="24">
        <f>IF($A863="","",WORKDAY($A863,Settings!$C$9,HolidayDates))</f>
        <v>46182</v>
      </c>
      <c r="O863" s="24">
        <f>IF($N863="","",WORKDAY($N863,Settings!$C$10,HolidayDates))</f>
        <v>46220</v>
      </c>
      <c r="P863" s="10" t="s">
        <v>501</v>
      </c>
      <c r="Q863" s="52" t="str">
        <f t="shared" si="152"/>
        <v>Collected</v>
      </c>
      <c r="R863" s="55" t="str">
        <f t="shared" si="153"/>
        <v>2026-06</v>
      </c>
      <c r="S863" s="55">
        <f>IF(OR($B863="",$F863="",$R863=""),"",SUMIFS(tblIssues[Qty Issued],tblIssues[Staff ID],$B863,tblIssues[Item Name],$F863,tblIssues[Month],$R863))</f>
        <v>500</v>
      </c>
      <c r="T863" s="56">
        <f>IF($I863="","",$I863*Settings!$C$11)</f>
        <v>500</v>
      </c>
      <c r="U863" s="57" t="str">
        <f t="shared" si="150"/>
        <v>OK</v>
      </c>
      <c r="V863" s="55" t="str">
        <f t="shared" si="154"/>
        <v/>
      </c>
      <c r="W863" s="55" t="str">
        <f>IF($V863="","",IF(COUNTIF($V$5:$V863,$V863)=1,1,""))</f>
        <v/>
      </c>
      <c r="X863" s="58" t="str">
        <f>IF($W863="","",MAX($X$4:X862)+1)</f>
        <v/>
      </c>
      <c r="Y863" s="62"/>
      <c r="Z863" s="62"/>
      <c r="AA863" s="64" t="str">
        <f>IF($C863="","",IFERROR(INDEX('Staff Directory'!$E$5:$E$594,MATCH($C863,'Staff Directory'!$B$5:$B$594,0)),""))</f>
        <v>firstname116.lastname116@example.com</v>
      </c>
      <c r="AB863" s="64" t="str">
        <f>IF($C863="","",IF(ISNUMBER(SEARCH($D863,Settings!$C$15)),"Pickup","Dispatch"))</f>
        <v>Pickup</v>
      </c>
      <c r="AC863" s="64" t="str">
        <f t="shared" si="155"/>
        <v>Supply order ready for pickup</v>
      </c>
      <c r="AD863" s="64" t="str">
        <f t="shared" si="146"/>
        <v>Dear PSW,
Your order is ready for pickup from Sample Branch, Wed-Fri 9am-4pm.</v>
      </c>
      <c r="AE863" s="64" t="str">
        <f t="shared" si="147"/>
        <v>mailto:firstname116.lastname116@example.com?subject=Supply%20order%20ready%20for%20pickup&amp;body=Dear%20PSW%2C%0A%0AYour%20order%20is%20ready%20for%20pickup%20from%20Sample%20Branch%2C%20Wed-Fri%209am-4pm.</v>
      </c>
      <c r="AF863" s="89" t="str">
        <f t="shared" si="156"/>
        <v>Draft email</v>
      </c>
      <c r="AG863" s="64" t="str">
        <f>IF($C863="","",IFERROR(INDEX('Staff Directory'!$K$595:$K$599,MATCH($C863,'Staff Directory'!$B$5:$B$599,0)),$D863))</f>
        <v>PSW</v>
      </c>
      <c r="AH863" t="str">
        <f>IF($C863="","",IFERROR(INDEX('Staff Directory'!$I$595:$I$599,MATCH($C863,'Staff Directory'!$B$5:$B$599,0))&amp;" "&amp;INDEX('Staff Directory'!$J$595:$J$599,MATCH($C863,'Staff Directory'!$B$5:$B$599,0)),$AG863))</f>
        <v>PSW</v>
      </c>
      <c r="AI863" s="102"/>
      <c r="AJ863" s="101">
        <f>IF($F863="","",SUMIFS($J$5:$J863,$F$5:$F863,$F863))</f>
        <v>30000</v>
      </c>
      <c r="AK863" s="101">
        <f t="shared" si="148"/>
        <v>29501</v>
      </c>
      <c r="AL863" s="66" t="str" cm="1">
        <f t="array" ref="AL863">IF($F863="","",IFERROR(INDEX('Lot Balance'!$B$5:$B$500,MATCH(1,INDEX(('Lot Balance'!$A$5:$A$500=$F863)*('Lot Balance'!$K$5:$K$500&lt;$AK863)*('Lot Balance'!$K$5:$K$500+'Lot Balance'!$D$5:$D$500&gt;=$AK863),0),0)),""))</f>
        <v>O211LIC25-1</v>
      </c>
      <c r="AM863" s="66" t="str" cm="1">
        <f t="array" ref="AM863">IF($F863="","",IFERROR(INDEX('Lot Balance'!$B$5:$B$500,MATCH(1,INDEX(('Lot Balance'!$A$5:$A$500=$F863)*('Lot Balance'!$K$5:$K$500&lt;$AJ863)*('Lot Balance'!$K$5:$K$500+'Lot Balance'!$D$5:$D$500&gt;=$AJ863),0),0)),""))</f>
        <v>ZIM504124207-6</v>
      </c>
      <c r="AN863" s="66" t="str">
        <f>IF($F863="","",IF($AI863&lt;&gt;"",IF(COUNTIFS('Lot Balance'!$A$5:$A$500,$F863,'Lot Balance'!$B$5:$B$500,$AI863)=0,"⚠ override is not a lot of this item",IF($AI863=$AL863,"Override = FEFO","Override - FEFO says "&amp;$AL863)),IF($AL863="","⚠ no receipt on file for this item",IF($AM863&lt;&gt;$AL863,"FEFO auto - split, also "&amp;$AM863,"FEFO auto"))))</f>
        <v>FEFO auto - split, also ZIM504124207-6</v>
      </c>
      <c r="AO863" s="114"/>
    </row>
    <row r="864" spans="1:41" x14ac:dyDescent="0.35">
      <c r="A864" s="74">
        <v>46174</v>
      </c>
      <c r="B864" s="18" t="str">
        <f>IF($C864="","",IFERROR(INDEX('Staff Directory'!$A$5:$A$594,MATCH($C864,'Staff Directory'!$B$5:$B$594,0)),"⚠ unknown staff"))</f>
        <v>PSW-056-A6</v>
      </c>
      <c r="C864" s="49" t="s">
        <v>1032</v>
      </c>
      <c r="D864" s="19" t="str">
        <f>IF($B864="","",IFERROR(INDEX('Staff Directory'!$C$5:$C$594,MATCH($B864,'Staff Directory'!$A$5:$A$594,0)),""))</f>
        <v>PSW</v>
      </c>
      <c r="E864" s="19" t="str">
        <f>IF($B864="","",IFERROR(INDEX('Staff Directory'!$D$5:$D$594,MATCH($B864,'Staff Directory'!$A$5:$A$594,0)),""))</f>
        <v>A6</v>
      </c>
      <c r="F864" s="9" t="s">
        <v>115</v>
      </c>
      <c r="G864" s="18" t="str">
        <f>IF($F864="","",IFERROR(INDEX(Items!$B$5:$B$597,MATCH($F864,Items!$A$5:$A$597,0)),"⚠ not in Items"))</f>
        <v>Wipes</v>
      </c>
      <c r="H864" s="19">
        <f>IF($F864="","",IFERROR(INDEX(Items!$C$5:$C$597,MATCH($F864,Items!$A$5:$A$597,0)),""))</f>
        <v>80</v>
      </c>
      <c r="I864" s="23">
        <f>IF($F864="","",IFERROR(INDEX(Items!$E$5:$E$597,MATCH($F864,Items!$A$5:$A$597,0)),""))</f>
        <v>80</v>
      </c>
      <c r="J864" s="115">
        <f>IF(tblIssues[[#This Row],[Qty Override]]&lt;&gt;"",tblIssues[[#This Row],[Qty Override]],IF(tblIssues[[#This Row],[Standard Issue]]="","",tblIssues[[#This Row],[Standard Issue]]))</f>
        <v>80</v>
      </c>
      <c r="K864" s="20">
        <f>IF($F864="","",IFERROR(INDEX(Items!$D$5:$D$597,MATCH($F864,Items!$A$5:$A$597,0)),""))</f>
        <v>0.1</v>
      </c>
      <c r="L864" s="21">
        <f t="shared" si="151"/>
        <v>8</v>
      </c>
      <c r="M864" s="9" t="str">
        <f t="shared" si="149"/>
        <v>LYSL500290</v>
      </c>
      <c r="N864" s="24">
        <f>IF($A864="","",WORKDAY($A864,Settings!$C$9,HolidayDates))</f>
        <v>46182</v>
      </c>
      <c r="O864" s="24">
        <f>IF($N864="","",WORKDAY($N864,Settings!$C$10,HolidayDates))</f>
        <v>46220</v>
      </c>
      <c r="P864" s="10" t="s">
        <v>501</v>
      </c>
      <c r="Q864" s="52" t="str">
        <f t="shared" si="152"/>
        <v>Collected</v>
      </c>
      <c r="R864" s="55" t="str">
        <f t="shared" si="153"/>
        <v>2026-06</v>
      </c>
      <c r="S864" s="55">
        <f>IF(OR($B864="",$F864="",$R864=""),"",SUMIFS(tblIssues[Qty Issued],tblIssues[Staff ID],$B864,tblIssues[Item Name],$F864,tblIssues[Month],$R864))</f>
        <v>80</v>
      </c>
      <c r="T864" s="56">
        <f>IF($I864="","",$I864*Settings!$C$11)</f>
        <v>80</v>
      </c>
      <c r="U864" s="57" t="str">
        <f t="shared" si="150"/>
        <v>OK</v>
      </c>
      <c r="V864" s="55" t="str">
        <f t="shared" si="154"/>
        <v/>
      </c>
      <c r="W864" s="55" t="str">
        <f>IF($V864="","",IF(COUNTIF($V$5:$V864,$V864)=1,1,""))</f>
        <v/>
      </c>
      <c r="X864" s="58" t="str">
        <f>IF($W864="","",MAX($X$4:X863)+1)</f>
        <v/>
      </c>
      <c r="Y864" s="62"/>
      <c r="Z864" s="62"/>
      <c r="AA864" s="64" t="str">
        <f>IF($C864="","",IFERROR(INDEX('Staff Directory'!$E$5:$E$594,MATCH($C864,'Staff Directory'!$B$5:$B$594,0)),""))</f>
        <v>firstname116.lastname116@example.com</v>
      </c>
      <c r="AB864" s="64" t="str">
        <f>IF($C864="","",IF(ISNUMBER(SEARCH($D864,Settings!$C$15)),"Pickup","Dispatch"))</f>
        <v>Pickup</v>
      </c>
      <c r="AC864" s="64" t="str">
        <f t="shared" si="155"/>
        <v>Supply order ready for pickup</v>
      </c>
      <c r="AD864" s="64" t="str">
        <f t="shared" si="146"/>
        <v>Dear PSW,
Your order is ready for pickup from Sample Branch, Wed-Fri 9am-4pm.</v>
      </c>
      <c r="AE864" s="64" t="str">
        <f t="shared" si="147"/>
        <v>mailto:firstname116.lastname116@example.com?subject=Supply%20order%20ready%20for%20pickup&amp;body=Dear%20PSW%2C%0A%0AYour%20order%20is%20ready%20for%20pickup%20from%20Sample%20Branch%2C%20Wed-Fri%209am-4pm.</v>
      </c>
      <c r="AF864" s="89" t="str">
        <f t="shared" si="156"/>
        <v>Draft email</v>
      </c>
      <c r="AG864" s="64" t="str">
        <f>IF($C864="","",IFERROR(INDEX('Staff Directory'!$K$595:$K$599,MATCH($C864,'Staff Directory'!$B$5:$B$599,0)),$D864))</f>
        <v>PSW</v>
      </c>
      <c r="AH864" t="str">
        <f>IF($C864="","",IFERROR(INDEX('Staff Directory'!$I$595:$I$599,MATCH($C864,'Staff Directory'!$B$5:$B$599,0))&amp;" "&amp;INDEX('Staff Directory'!$J$595:$J$599,MATCH($C864,'Staff Directory'!$B$5:$B$599,0)),$AG864))</f>
        <v>PSW</v>
      </c>
      <c r="AI864" s="102"/>
      <c r="AJ864" s="101">
        <f>IF($F864="","",SUMIFS($J$5:$J864,$F$5:$F864,$F864))</f>
        <v>12000</v>
      </c>
      <c r="AK864" s="101">
        <f t="shared" si="148"/>
        <v>11921</v>
      </c>
      <c r="AL864" s="66" t="str" cm="1">
        <f t="array" ref="AL864">IF($F864="","",IFERROR(INDEX('Lot Balance'!$B$5:$B$500,MATCH(1,INDEX(('Lot Balance'!$A$5:$A$500=$F864)*('Lot Balance'!$K$5:$K$500&lt;$AK864)*('Lot Balance'!$K$5:$K$500+'Lot Balance'!$D$5:$D$500&gt;=$AK864),0),0)),""))</f>
        <v>LYSL500290</v>
      </c>
      <c r="AM864" s="66" t="str" cm="1">
        <f t="array" ref="AM864">IF($F864="","",IFERROR(INDEX('Lot Balance'!$B$5:$B$500,MATCH(1,INDEX(('Lot Balance'!$A$5:$A$500=$F864)*('Lot Balance'!$K$5:$K$500&lt;$AJ864)*('Lot Balance'!$K$5:$K$500+'Lot Balance'!$D$5:$D$500&gt;=$AJ864),0),0)),""))</f>
        <v>LYSL500290</v>
      </c>
      <c r="AN864" s="66" t="str">
        <f>IF($F864="","",IF($AI864&lt;&gt;"",IF(COUNTIFS('Lot Balance'!$A$5:$A$500,$F864,'Lot Balance'!$B$5:$B$500,$AI864)=0,"⚠ override is not a lot of this item",IF($AI864=$AL864,"Override = FEFO","Override - FEFO says "&amp;$AL864)),IF($AL864="","⚠ no receipt on file for this item",IF($AM864&lt;&gt;$AL864,"FEFO auto - split, also "&amp;$AM864,"FEFO auto"))))</f>
        <v>FEFO auto</v>
      </c>
      <c r="AO864" s="114"/>
    </row>
    <row r="865" spans="1:41" x14ac:dyDescent="0.35">
      <c r="A865" s="74">
        <v>46174</v>
      </c>
      <c r="B865" s="18" t="str">
        <f>IF($C865="","",IFERROR(INDEX('Staff Directory'!$A$5:$A$594,MATCH($C865,'Staff Directory'!$B$5:$B$594,0)),"⚠ unknown staff"))</f>
        <v>PSW-056-A6</v>
      </c>
      <c r="C865" s="49" t="s">
        <v>1032</v>
      </c>
      <c r="D865" s="19" t="str">
        <f>IF($B865="","",IFERROR(INDEX('Staff Directory'!$C$5:$C$594,MATCH($B865,'Staff Directory'!$A$5:$A$594,0)),""))</f>
        <v>PSW</v>
      </c>
      <c r="E865" s="19" t="str">
        <f>IF($B865="","",IFERROR(INDEX('Staff Directory'!$D$5:$D$594,MATCH($B865,'Staff Directory'!$A$5:$A$594,0)),""))</f>
        <v>A6</v>
      </c>
      <c r="F865" s="9" t="s">
        <v>156</v>
      </c>
      <c r="G865" s="18" t="str">
        <f>IF($F865="","",IFERROR(INDEX(Items!$B$5:$B$597,MATCH($F865,Items!$A$5:$A$597,0)),"⚠ not in Items"))</f>
        <v>Masks</v>
      </c>
      <c r="H865" s="19" t="str">
        <f>IF($F865="","",IFERROR(INDEX(Items!$C$5:$C$597,MATCH($F865,Items!$A$5:$A$597,0)),""))</f>
        <v>One Size</v>
      </c>
      <c r="I865" s="23">
        <f>IF($F865="","",IFERROR(INDEX(Items!$E$5:$E$597,MATCH($F865,Items!$A$5:$A$597,0)),""))</f>
        <v>50</v>
      </c>
      <c r="J865" s="115">
        <f>IF(tblIssues[[#This Row],[Qty Override]]&lt;&gt;"",tblIssues[[#This Row],[Qty Override]],IF(tblIssues[[#This Row],[Standard Issue]]="","",tblIssues[[#This Row],[Standard Issue]]))</f>
        <v>50</v>
      </c>
      <c r="K865" s="20">
        <f>IF($F865="","",IFERROR(INDEX(Items!$D$5:$D$597,MATCH($F865,Items!$A$5:$A$597,0)),""))</f>
        <v>0.25</v>
      </c>
      <c r="L865" s="21">
        <f t="shared" si="151"/>
        <v>12.5</v>
      </c>
      <c r="M865" s="9" t="str">
        <f t="shared" si="149"/>
        <v>0125FPC24-2</v>
      </c>
      <c r="N865" s="24">
        <f>IF($A865="","",WORKDAY($A865,Settings!$C$9,HolidayDates))</f>
        <v>46182</v>
      </c>
      <c r="O865" s="24">
        <f>IF($N865="","",WORKDAY($N865,Settings!$C$10,HolidayDates))</f>
        <v>46220</v>
      </c>
      <c r="P865" s="10" t="s">
        <v>501</v>
      </c>
      <c r="Q865" s="52" t="str">
        <f t="shared" si="152"/>
        <v>Collected</v>
      </c>
      <c r="R865" s="55" t="str">
        <f t="shared" si="153"/>
        <v>2026-06</v>
      </c>
      <c r="S865" s="55">
        <f>IF(OR($B865="",$F865="",$R865=""),"",SUMIFS(tblIssues[Qty Issued],tblIssues[Staff ID],$B865,tblIssues[Item Name],$F865,tblIssues[Month],$R865))</f>
        <v>50</v>
      </c>
      <c r="T865" s="56">
        <f>IF($I865="","",$I865*Settings!$C$11)</f>
        <v>50</v>
      </c>
      <c r="U865" s="57" t="str">
        <f t="shared" si="150"/>
        <v>OK</v>
      </c>
      <c r="V865" s="55" t="str">
        <f t="shared" si="154"/>
        <v/>
      </c>
      <c r="W865" s="55" t="str">
        <f>IF($V865="","",IF(COUNTIF($V$5:$V865,$V865)=1,1,""))</f>
        <v/>
      </c>
      <c r="X865" s="58" t="str">
        <f>IF($W865="","",MAX($X$4:X864)+1)</f>
        <v/>
      </c>
      <c r="Y865" s="62"/>
      <c r="Z865" s="62"/>
      <c r="AA865" s="64" t="str">
        <f>IF($C865="","",IFERROR(INDEX('Staff Directory'!$E$5:$E$594,MATCH($C865,'Staff Directory'!$B$5:$B$594,0)),""))</f>
        <v>firstname116.lastname116@example.com</v>
      </c>
      <c r="AB865" s="64" t="str">
        <f>IF($C865="","",IF(ISNUMBER(SEARCH($D865,Settings!$C$15)),"Pickup","Dispatch"))</f>
        <v>Pickup</v>
      </c>
      <c r="AC865" s="64" t="str">
        <f t="shared" si="155"/>
        <v>Supply order ready for pickup</v>
      </c>
      <c r="AD865" s="64" t="str">
        <f t="shared" si="146"/>
        <v>Dear PSW,
Your order is ready for pickup from Sample Branch, Wed-Fri 9am-4pm.</v>
      </c>
      <c r="AE865" s="64" t="str">
        <f t="shared" si="147"/>
        <v>mailto:firstname116.lastname116@example.com?subject=Supply%20order%20ready%20for%20pickup&amp;body=Dear%20PSW%2C%0A%0AYour%20order%20is%20ready%20for%20pickup%20from%20Sample%20Branch%2C%20Wed-Fri%209am-4pm.</v>
      </c>
      <c r="AF865" s="89" t="str">
        <f t="shared" si="156"/>
        <v>Draft email</v>
      </c>
      <c r="AG865" s="64" t="str">
        <f>IF($C865="","",IFERROR(INDEX('Staff Directory'!$K$595:$K$599,MATCH($C865,'Staff Directory'!$B$5:$B$599,0)),$D865))</f>
        <v>PSW</v>
      </c>
      <c r="AH865" t="str">
        <f>IF($C865="","",IFERROR(INDEX('Staff Directory'!$I$595:$I$599,MATCH($C865,'Staff Directory'!$B$5:$B$599,0))&amp;" "&amp;INDEX('Staff Directory'!$J$595:$J$599,MATCH($C865,'Staff Directory'!$B$5:$B$599,0)),$AG865))</f>
        <v>PSW</v>
      </c>
      <c r="AI865" s="102"/>
      <c r="AJ865" s="101">
        <f>IF($F865="","",SUMIFS($J$5:$J865,$F$5:$F865,$F865))</f>
        <v>7300</v>
      </c>
      <c r="AK865" s="101">
        <f t="shared" si="148"/>
        <v>7251</v>
      </c>
      <c r="AL865" s="66" t="str" cm="1">
        <f t="array" ref="AL865">IF($F865="","",IFERROR(INDEX('Lot Balance'!$B$5:$B$500,MATCH(1,INDEX(('Lot Balance'!$A$5:$A$500=$F865)*('Lot Balance'!$K$5:$K$500&lt;$AK865)*('Lot Balance'!$K$5:$K$500+'Lot Balance'!$D$5:$D$500&gt;=$AK865),0),0)),""))</f>
        <v>0125FPC24-2</v>
      </c>
      <c r="AM865" s="66" t="str" cm="1">
        <f t="array" ref="AM865">IF($F865="","",IFERROR(INDEX('Lot Balance'!$B$5:$B$500,MATCH(1,INDEX(('Lot Balance'!$A$5:$A$500=$F865)*('Lot Balance'!$K$5:$K$500&lt;$AJ865)*('Lot Balance'!$K$5:$K$500+'Lot Balance'!$D$5:$D$500&gt;=$AJ865),0),0)),""))</f>
        <v>0125FPC24-2</v>
      </c>
      <c r="AN865" s="66" t="str">
        <f>IF($F865="","",IF($AI865&lt;&gt;"",IF(COUNTIFS('Lot Balance'!$A$5:$A$500,$F865,'Lot Balance'!$B$5:$B$500,$AI865)=0,"⚠ override is not a lot of this item",IF($AI865=$AL865,"Override = FEFO","Override - FEFO says "&amp;$AL865)),IF($AL865="","⚠ no receipt on file for this item",IF($AM865&lt;&gt;$AL865,"FEFO auto - split, also "&amp;$AM865,"FEFO auto"))))</f>
        <v>FEFO auto</v>
      </c>
      <c r="AO865" s="114"/>
    </row>
    <row r="866" spans="1:41" x14ac:dyDescent="0.35">
      <c r="A866" s="74">
        <v>46174</v>
      </c>
      <c r="B866" s="18" t="str">
        <f>IF($C866="","",IFERROR(INDEX('Staff Directory'!$A$5:$A$594,MATCH($C866,'Staff Directory'!$B$5:$B$594,0)),"⚠ unknown staff"))</f>
        <v>PSW-152-A6</v>
      </c>
      <c r="C866" s="49" t="s">
        <v>1131</v>
      </c>
      <c r="D866" s="19" t="str">
        <f>IF($B866="","",IFERROR(INDEX('Staff Directory'!$C$5:$C$594,MATCH($B866,'Staff Directory'!$A$5:$A$594,0)),""))</f>
        <v>PSW</v>
      </c>
      <c r="E866" s="19" t="str">
        <f>IF($B866="","",IFERROR(INDEX('Staff Directory'!$D$5:$D$594,MATCH($B866,'Staff Directory'!$A$5:$A$594,0)),""))</f>
        <v>A6</v>
      </c>
      <c r="F866" s="9" t="s">
        <v>127</v>
      </c>
      <c r="G866" s="18" t="str">
        <f>IF($F866="","",IFERROR(INDEX(Items!$B$5:$B$597,MATCH($F866,Items!$A$5:$A$597,0)),"⚠ not in Items"))</f>
        <v>Gloves</v>
      </c>
      <c r="H866" s="19" t="str">
        <f>IF($F866="","",IFERROR(INDEX(Items!$C$5:$C$597,MATCH($F866,Items!$A$5:$A$597,0)),""))</f>
        <v>Medium</v>
      </c>
      <c r="I866" s="23">
        <f>IF($F866="","",IFERROR(INDEX(Items!$E$5:$E$597,MATCH($F866,Items!$A$5:$A$597,0)),""))</f>
        <v>500</v>
      </c>
      <c r="J866" s="115">
        <f>IF(tblIssues[[#This Row],[Qty Override]]&lt;&gt;"",tblIssues[[#This Row],[Qty Override]],IF(tblIssues[[#This Row],[Standard Issue]]="","",tblIssues[[#This Row],[Standard Issue]]))</f>
        <v>500</v>
      </c>
      <c r="K866" s="20">
        <f>IF($F866="","",IFERROR(INDEX(Items!$D$5:$D$597,MATCH($F866,Items!$A$5:$A$597,0)),""))</f>
        <v>5.5E-2</v>
      </c>
      <c r="L866" s="21">
        <f t="shared" si="151"/>
        <v>27.5</v>
      </c>
      <c r="M866" s="9" t="str">
        <f t="shared" si="149"/>
        <v>ZIM504126040-4</v>
      </c>
      <c r="N866" s="24">
        <f>IF($A866="","",WORKDAY($A866,Settings!$C$9,HolidayDates))</f>
        <v>46182</v>
      </c>
      <c r="O866" s="24">
        <f>IF($N866="","",WORKDAY($N866,Settings!$C$10,HolidayDates))</f>
        <v>46220</v>
      </c>
      <c r="P866" s="10" t="s">
        <v>501</v>
      </c>
      <c r="Q866" s="52" t="str">
        <f t="shared" si="152"/>
        <v>Collected</v>
      </c>
      <c r="R866" s="55" t="str">
        <f t="shared" si="153"/>
        <v>2026-06</v>
      </c>
      <c r="S866" s="55">
        <f>IF(OR($B866="",$F866="",$R866=""),"",SUMIFS(tblIssues[Qty Issued],tblIssues[Staff ID],$B866,tblIssues[Item Name],$F866,tblIssues[Month],$R866))</f>
        <v>500</v>
      </c>
      <c r="T866" s="56">
        <f>IF($I866="","",$I866*Settings!$C$11)</f>
        <v>500</v>
      </c>
      <c r="U866" s="57" t="str">
        <f t="shared" si="150"/>
        <v>OK</v>
      </c>
      <c r="V866" s="55" t="str">
        <f t="shared" si="154"/>
        <v/>
      </c>
      <c r="W866" s="55" t="str">
        <f>IF($V866="","",IF(COUNTIF($V$5:$V866,$V866)=1,1,""))</f>
        <v/>
      </c>
      <c r="X866" s="58" t="str">
        <f>IF($W866="","",MAX($X$4:X865)+1)</f>
        <v/>
      </c>
      <c r="Y866" s="62"/>
      <c r="Z866" s="62"/>
      <c r="AA866" s="64" t="str">
        <f>IF($C866="","",IFERROR(INDEX('Staff Directory'!$E$5:$E$594,MATCH($C866,'Staff Directory'!$B$5:$B$594,0)),""))</f>
        <v>firstname215.lastname215@example.com</v>
      </c>
      <c r="AB866" s="64" t="str">
        <f>IF($C866="","",IF(ISNUMBER(SEARCH($D866,Settings!$C$15)),"Pickup","Dispatch"))</f>
        <v>Pickup</v>
      </c>
      <c r="AC866" s="64" t="str">
        <f t="shared" si="155"/>
        <v>Supply order ready for pickup</v>
      </c>
      <c r="AD866" s="64" t="str">
        <f t="shared" si="146"/>
        <v>Dear PSW,
Your order is ready for pickup from Sample Branch, Wed-Fri 9am-4pm.</v>
      </c>
      <c r="AE866" s="64" t="str">
        <f t="shared" si="147"/>
        <v>mailto:firstname215.lastname215@example.com?subject=Supply%20order%20ready%20for%20pickup&amp;body=Dear%20PSW%2C%0A%0AYour%20order%20is%20ready%20for%20pickup%20from%20Sample%20Branch%2C%20Wed-Fri%209am-4pm.</v>
      </c>
      <c r="AF866" s="89" t="str">
        <f t="shared" si="156"/>
        <v>Draft email</v>
      </c>
      <c r="AG866" s="64" t="str">
        <f>IF($C866="","",IFERROR(INDEX('Staff Directory'!$K$595:$K$599,MATCH($C866,'Staff Directory'!$B$5:$B$599,0)),$D866))</f>
        <v>PSW</v>
      </c>
      <c r="AH866" t="str">
        <f>IF($C866="","",IFERROR(INDEX('Staff Directory'!$I$595:$I$599,MATCH($C866,'Staff Directory'!$B$5:$B$599,0))&amp;" "&amp;INDEX('Staff Directory'!$J$595:$J$599,MATCH($C866,'Staff Directory'!$B$5:$B$599,0)),$AG866))</f>
        <v>PSW</v>
      </c>
      <c r="AI866" s="102"/>
      <c r="AJ866" s="101">
        <f>IF($F866="","",SUMIFS($J$5:$J866,$F$5:$F866,$F866))</f>
        <v>51500</v>
      </c>
      <c r="AK866" s="101">
        <f t="shared" si="148"/>
        <v>51001</v>
      </c>
      <c r="AL866" s="66" t="str" cm="1">
        <f t="array" ref="AL866">IF($F866="","",IFERROR(INDEX('Lot Balance'!$B$5:$B$500,MATCH(1,INDEX(('Lot Balance'!$A$5:$A$500=$F866)*('Lot Balance'!$K$5:$K$500&lt;$AK866)*('Lot Balance'!$K$5:$K$500+'Lot Balance'!$D$5:$D$500&gt;=$AK866),0),0)),""))</f>
        <v>ZIM504126040-4</v>
      </c>
      <c r="AM866" s="66" t="str" cm="1">
        <f t="array" ref="AM866">IF($F866="","",IFERROR(INDEX('Lot Balance'!$B$5:$B$500,MATCH(1,INDEX(('Lot Balance'!$A$5:$A$500=$F866)*('Lot Balance'!$K$5:$K$500&lt;$AJ866)*('Lot Balance'!$K$5:$K$500+'Lot Balance'!$D$5:$D$500&gt;=$AJ866),0),0)),""))</f>
        <v>ZIM504126040-4</v>
      </c>
      <c r="AN866" s="66" t="str">
        <f>IF($F866="","",IF($AI866&lt;&gt;"",IF(COUNTIFS('Lot Balance'!$A$5:$A$500,$F866,'Lot Balance'!$B$5:$B$500,$AI866)=0,"⚠ override is not a lot of this item",IF($AI866=$AL866,"Override = FEFO","Override - FEFO says "&amp;$AL866)),IF($AL866="","⚠ no receipt on file for this item",IF($AM866&lt;&gt;$AL866,"FEFO auto - split, also "&amp;$AM866,"FEFO auto"))))</f>
        <v>FEFO auto</v>
      </c>
      <c r="AO866" s="114"/>
    </row>
    <row r="867" spans="1:41" x14ac:dyDescent="0.35">
      <c r="A867" s="74">
        <v>46174</v>
      </c>
      <c r="B867" s="18" t="str">
        <f>IF($C867="","",IFERROR(INDEX('Staff Directory'!$A$5:$A$594,MATCH($C867,'Staff Directory'!$B$5:$B$594,0)),"⚠ unknown staff"))</f>
        <v>PSW-152-A6</v>
      </c>
      <c r="C867" s="49" t="s">
        <v>1131</v>
      </c>
      <c r="D867" s="19" t="str">
        <f>IF($B867="","",IFERROR(INDEX('Staff Directory'!$C$5:$C$594,MATCH($B867,'Staff Directory'!$A$5:$A$594,0)),""))</f>
        <v>PSW</v>
      </c>
      <c r="E867" s="19" t="str">
        <f>IF($B867="","",IFERROR(INDEX('Staff Directory'!$D$5:$D$594,MATCH($B867,'Staff Directory'!$A$5:$A$594,0)),""))</f>
        <v>A6</v>
      </c>
      <c r="F867" s="9" t="s">
        <v>156</v>
      </c>
      <c r="G867" s="18" t="str">
        <f>IF($F867="","",IFERROR(INDEX(Items!$B$5:$B$597,MATCH($F867,Items!$A$5:$A$597,0)),"⚠ not in Items"))</f>
        <v>Masks</v>
      </c>
      <c r="H867" s="19" t="str">
        <f>IF($F867="","",IFERROR(INDEX(Items!$C$5:$C$597,MATCH($F867,Items!$A$5:$A$597,0)),""))</f>
        <v>One Size</v>
      </c>
      <c r="I867" s="23">
        <f>IF($F867="","",IFERROR(INDEX(Items!$E$5:$E$597,MATCH($F867,Items!$A$5:$A$597,0)),""))</f>
        <v>50</v>
      </c>
      <c r="J867" s="115">
        <f>IF(tblIssues[[#This Row],[Qty Override]]&lt;&gt;"",tblIssues[[#This Row],[Qty Override]],IF(tblIssues[[#This Row],[Standard Issue]]="","",tblIssues[[#This Row],[Standard Issue]]))</f>
        <v>50</v>
      </c>
      <c r="K867" s="20">
        <f>IF($F867="","",IFERROR(INDEX(Items!$D$5:$D$597,MATCH($F867,Items!$A$5:$A$597,0)),""))</f>
        <v>0.25</v>
      </c>
      <c r="L867" s="21">
        <f t="shared" si="151"/>
        <v>12.5</v>
      </c>
      <c r="M867" s="9" t="str">
        <f t="shared" si="149"/>
        <v>0125FPC24-2</v>
      </c>
      <c r="N867" s="24">
        <f>IF($A867="","",WORKDAY($A867,Settings!$C$9,HolidayDates))</f>
        <v>46182</v>
      </c>
      <c r="O867" s="24">
        <f>IF($N867="","",WORKDAY($N867,Settings!$C$10,HolidayDates))</f>
        <v>46220</v>
      </c>
      <c r="P867" s="10" t="s">
        <v>501</v>
      </c>
      <c r="Q867" s="52" t="str">
        <f t="shared" si="152"/>
        <v>Collected</v>
      </c>
      <c r="R867" s="55" t="str">
        <f t="shared" si="153"/>
        <v>2026-06</v>
      </c>
      <c r="S867" s="55">
        <f>IF(OR($B867="",$F867="",$R867=""),"",SUMIFS(tblIssues[Qty Issued],tblIssues[Staff ID],$B867,tblIssues[Item Name],$F867,tblIssues[Month],$R867))</f>
        <v>50</v>
      </c>
      <c r="T867" s="56">
        <f>IF($I867="","",$I867*Settings!$C$11)</f>
        <v>50</v>
      </c>
      <c r="U867" s="57" t="str">
        <f t="shared" si="150"/>
        <v>OK</v>
      </c>
      <c r="V867" s="55" t="str">
        <f t="shared" si="154"/>
        <v/>
      </c>
      <c r="W867" s="55" t="str">
        <f>IF($V867="","",IF(COUNTIF($V$5:$V867,$V867)=1,1,""))</f>
        <v/>
      </c>
      <c r="X867" s="58" t="str">
        <f>IF($W867="","",MAX($X$4:X866)+1)</f>
        <v/>
      </c>
      <c r="Y867" s="62"/>
      <c r="Z867" s="62"/>
      <c r="AA867" s="64" t="str">
        <f>IF($C867="","",IFERROR(INDEX('Staff Directory'!$E$5:$E$594,MATCH($C867,'Staff Directory'!$B$5:$B$594,0)),""))</f>
        <v>firstname215.lastname215@example.com</v>
      </c>
      <c r="AB867" s="64" t="str">
        <f>IF($C867="","",IF(ISNUMBER(SEARCH($D867,Settings!$C$15)),"Pickup","Dispatch"))</f>
        <v>Pickup</v>
      </c>
      <c r="AC867" s="64" t="str">
        <f t="shared" si="155"/>
        <v>Supply order ready for pickup</v>
      </c>
      <c r="AD867" s="64" t="str">
        <f t="shared" si="146"/>
        <v>Dear PSW,
Your order is ready for pickup from Sample Branch, Wed-Fri 9am-4pm.</v>
      </c>
      <c r="AE867" s="64" t="str">
        <f t="shared" si="147"/>
        <v>mailto:firstname215.lastname215@example.com?subject=Supply%20order%20ready%20for%20pickup&amp;body=Dear%20PSW%2C%0A%0AYour%20order%20is%20ready%20for%20pickup%20from%20Sample%20Branch%2C%20Wed-Fri%209am-4pm.</v>
      </c>
      <c r="AF867" s="89" t="str">
        <f t="shared" si="156"/>
        <v>Draft email</v>
      </c>
      <c r="AG867" s="64" t="str">
        <f>IF($C867="","",IFERROR(INDEX('Staff Directory'!$K$595:$K$599,MATCH($C867,'Staff Directory'!$B$5:$B$599,0)),$D867))</f>
        <v>PSW</v>
      </c>
      <c r="AH867" t="str">
        <f>IF($C867="","",IFERROR(INDEX('Staff Directory'!$I$595:$I$599,MATCH($C867,'Staff Directory'!$B$5:$B$599,0))&amp;" "&amp;INDEX('Staff Directory'!$J$595:$J$599,MATCH($C867,'Staff Directory'!$B$5:$B$599,0)),$AG867))</f>
        <v>PSW</v>
      </c>
      <c r="AI867" s="102"/>
      <c r="AJ867" s="101">
        <f>IF($F867="","",SUMIFS($J$5:$J867,$F$5:$F867,$F867))</f>
        <v>7350</v>
      </c>
      <c r="AK867" s="101">
        <f t="shared" si="148"/>
        <v>7301</v>
      </c>
      <c r="AL867" s="66" t="str" cm="1">
        <f t="array" ref="AL867">IF($F867="","",IFERROR(INDEX('Lot Balance'!$B$5:$B$500,MATCH(1,INDEX(('Lot Balance'!$A$5:$A$500=$F867)*('Lot Balance'!$K$5:$K$500&lt;$AK867)*('Lot Balance'!$K$5:$K$500+'Lot Balance'!$D$5:$D$500&gt;=$AK867),0),0)),""))</f>
        <v>0125FPC24-2</v>
      </c>
      <c r="AM867" s="66" t="str" cm="1">
        <f t="array" ref="AM867">IF($F867="","",IFERROR(INDEX('Lot Balance'!$B$5:$B$500,MATCH(1,INDEX(('Lot Balance'!$A$5:$A$500=$F867)*('Lot Balance'!$K$5:$K$500&lt;$AJ867)*('Lot Balance'!$K$5:$K$500+'Lot Balance'!$D$5:$D$500&gt;=$AJ867),0),0)),""))</f>
        <v>0125FPC24-2</v>
      </c>
      <c r="AN867" s="66" t="str">
        <f>IF($F867="","",IF($AI867&lt;&gt;"",IF(COUNTIFS('Lot Balance'!$A$5:$A$500,$F867,'Lot Balance'!$B$5:$B$500,$AI867)=0,"⚠ override is not a lot of this item",IF($AI867=$AL867,"Override = FEFO","Override - FEFO says "&amp;$AL867)),IF($AL867="","⚠ no receipt on file for this item",IF($AM867&lt;&gt;$AL867,"FEFO auto - split, also "&amp;$AM867,"FEFO auto"))))</f>
        <v>FEFO auto</v>
      </c>
      <c r="AO867" s="114"/>
    </row>
    <row r="868" spans="1:41" x14ac:dyDescent="0.35">
      <c r="A868" s="74">
        <v>46174</v>
      </c>
      <c r="B868" s="18" t="str">
        <f>IF($C868="","",IFERROR(INDEX('Staff Directory'!$A$5:$A$594,MATCH($C868,'Staff Directory'!$B$5:$B$594,0)),"⚠ unknown staff"))</f>
        <v>PSW-017-A5</v>
      </c>
      <c r="C868" s="49" t="s">
        <v>993</v>
      </c>
      <c r="D868" s="19" t="str">
        <f>IF($B868="","",IFERROR(INDEX('Staff Directory'!$C$5:$C$594,MATCH($B868,'Staff Directory'!$A$5:$A$594,0)),""))</f>
        <v>PSW</v>
      </c>
      <c r="E868" s="19" t="str">
        <f>IF($B868="","",IFERROR(INDEX('Staff Directory'!$D$5:$D$594,MATCH($B868,'Staff Directory'!$A$5:$A$594,0)),""))</f>
        <v>A5</v>
      </c>
      <c r="F868" s="9" t="s">
        <v>124</v>
      </c>
      <c r="G868" s="18" t="str">
        <f>IF($F868="","",IFERROR(INDEX(Items!$B$5:$B$597,MATCH($F868,Items!$A$5:$A$597,0)),"⚠ not in Items"))</f>
        <v>Gloves</v>
      </c>
      <c r="H868" s="19" t="str">
        <f>IF($F868="","",IFERROR(INDEX(Items!$C$5:$C$597,MATCH($F868,Items!$A$5:$A$597,0)),""))</f>
        <v>Large</v>
      </c>
      <c r="I868" s="23">
        <f>IF($F868="","",IFERROR(INDEX(Items!$E$5:$E$597,MATCH($F868,Items!$A$5:$A$597,0)),""))</f>
        <v>500</v>
      </c>
      <c r="J868" s="115">
        <f>IF(tblIssues[[#This Row],[Qty Override]]&lt;&gt;"",tblIssues[[#This Row],[Qty Override]],IF(tblIssues[[#This Row],[Standard Issue]]="","",tblIssues[[#This Row],[Standard Issue]]))</f>
        <v>500</v>
      </c>
      <c r="K868" s="20">
        <f>IF($F868="","",IFERROR(INDEX(Items!$D$5:$D$597,MATCH($F868,Items!$A$5:$A$597,0)),""))</f>
        <v>5.5E-2</v>
      </c>
      <c r="L868" s="21">
        <f t="shared" si="151"/>
        <v>27.5</v>
      </c>
      <c r="M868" s="9" t="str">
        <f t="shared" si="149"/>
        <v>0417HIC25-1</v>
      </c>
      <c r="N868" s="24">
        <f>IF($A868="","",WORKDAY($A868,Settings!$C$9,HolidayDates))</f>
        <v>46182</v>
      </c>
      <c r="O868" s="24">
        <f>IF($N868="","",WORKDAY($N868,Settings!$C$10,HolidayDates))</f>
        <v>46220</v>
      </c>
      <c r="P868" s="10" t="s">
        <v>501</v>
      </c>
      <c r="Q868" s="52" t="str">
        <f t="shared" si="152"/>
        <v>Collected</v>
      </c>
      <c r="R868" s="55" t="str">
        <f t="shared" si="153"/>
        <v>2026-06</v>
      </c>
      <c r="S868" s="55">
        <f>IF(OR($B868="",$F868="",$R868=""),"",SUMIFS(tblIssues[Qty Issued],tblIssues[Staff ID],$B868,tblIssues[Item Name],$F868,tblIssues[Month],$R868))</f>
        <v>500</v>
      </c>
      <c r="T868" s="56">
        <f>IF($I868="","",$I868*Settings!$C$11)</f>
        <v>500</v>
      </c>
      <c r="U868" s="57" t="str">
        <f t="shared" si="150"/>
        <v>OK</v>
      </c>
      <c r="V868" s="55" t="str">
        <f t="shared" si="154"/>
        <v/>
      </c>
      <c r="W868" s="55" t="str">
        <f>IF($V868="","",IF(COUNTIF($V$5:$V868,$V868)=1,1,""))</f>
        <v/>
      </c>
      <c r="X868" s="58" t="str">
        <f>IF($W868="","",MAX($X$4:X867)+1)</f>
        <v/>
      </c>
      <c r="Y868" s="62"/>
      <c r="Z868" s="62"/>
      <c r="AA868" s="64" t="str">
        <f>IF($C868="","",IFERROR(INDEX('Staff Directory'!$E$5:$E$594,MATCH($C868,'Staff Directory'!$B$5:$B$594,0)),""))</f>
        <v>firstname077.lastname077@example.com</v>
      </c>
      <c r="AB868" s="64" t="str">
        <f>IF($C868="","",IF(ISNUMBER(SEARCH($D868,Settings!$C$15)),"Pickup","Dispatch"))</f>
        <v>Pickup</v>
      </c>
      <c r="AC868" s="64" t="str">
        <f t="shared" si="155"/>
        <v>Supply order ready for pickup</v>
      </c>
      <c r="AD868" s="64" t="str">
        <f t="shared" si="146"/>
        <v>Dear PSW,
Your order is ready for pickup from Sample Branch, Wed-Fri 9am-4pm.</v>
      </c>
      <c r="AE868" s="64" t="str">
        <f t="shared" si="147"/>
        <v>mailto:firstname077.lastname077@example.com?subject=Supply%20order%20ready%20for%20pickup&amp;body=Dear%20PSW%2C%0A%0AYour%20order%20is%20ready%20for%20pickup%20from%20Sample%20Branch%2C%20Wed-Fri%209am-4pm.</v>
      </c>
      <c r="AF868" s="89" t="str">
        <f t="shared" si="156"/>
        <v>Draft email</v>
      </c>
      <c r="AG868" s="64" t="str">
        <f>IF($C868="","",IFERROR(INDEX('Staff Directory'!$K$595:$K$599,MATCH($C868,'Staff Directory'!$B$5:$B$599,0)),$D868))</f>
        <v>PSW</v>
      </c>
      <c r="AH868" t="str">
        <f>IF($C868="","",IFERROR(INDEX('Staff Directory'!$I$595:$I$599,MATCH($C868,'Staff Directory'!$B$5:$B$599,0))&amp;" "&amp;INDEX('Staff Directory'!$J$595:$J$599,MATCH($C868,'Staff Directory'!$B$5:$B$599,0)),$AG868))</f>
        <v>PSW</v>
      </c>
      <c r="AI868" s="102"/>
      <c r="AJ868" s="101">
        <f>IF($F868="","",SUMIFS($J$5:$J868,$F$5:$F868,$F868))</f>
        <v>24000</v>
      </c>
      <c r="AK868" s="101">
        <f t="shared" si="148"/>
        <v>23501</v>
      </c>
      <c r="AL868" s="66" t="str" cm="1">
        <f t="array" ref="AL868">IF($F868="","",IFERROR(INDEX('Lot Balance'!$B$5:$B$500,MATCH(1,INDEX(('Lot Balance'!$A$5:$A$500=$F868)*('Lot Balance'!$K$5:$K$500&lt;$AK868)*('Lot Balance'!$K$5:$K$500+'Lot Balance'!$D$5:$D$500&gt;=$AK868),0),0)),""))</f>
        <v>0417HIC25-1</v>
      </c>
      <c r="AM868" s="66" t="str" cm="1">
        <f t="array" ref="AM868">IF($F868="","",IFERROR(INDEX('Lot Balance'!$B$5:$B$500,MATCH(1,INDEX(('Lot Balance'!$A$5:$A$500=$F868)*('Lot Balance'!$K$5:$K$500&lt;$AJ868)*('Lot Balance'!$K$5:$K$500+'Lot Balance'!$D$5:$D$500&gt;=$AJ868),0),0)),""))</f>
        <v>0417HIC25-1</v>
      </c>
      <c r="AN868" s="66" t="str">
        <f>IF($F868="","",IF($AI868&lt;&gt;"",IF(COUNTIFS('Lot Balance'!$A$5:$A$500,$F868,'Lot Balance'!$B$5:$B$500,$AI868)=0,"⚠ override is not a lot of this item",IF($AI868=$AL868,"Override = FEFO","Override - FEFO says "&amp;$AL868)),IF($AL868="","⚠ no receipt on file for this item",IF($AM868&lt;&gt;$AL868,"FEFO auto - split, also "&amp;$AM868,"FEFO auto"))))</f>
        <v>FEFO auto</v>
      </c>
      <c r="AO868" s="114"/>
    </row>
    <row r="869" spans="1:41" x14ac:dyDescent="0.35">
      <c r="A869" s="74">
        <v>46174</v>
      </c>
      <c r="B869" s="18" t="str">
        <f>IF($C869="","",IFERROR(INDEX('Staff Directory'!$A$5:$A$594,MATCH($C869,'Staff Directory'!$B$5:$B$594,0)),"⚠ unknown staff"))</f>
        <v>PSW-017-A5</v>
      </c>
      <c r="C869" s="49" t="s">
        <v>993</v>
      </c>
      <c r="D869" s="19" t="str">
        <f>IF($B869="","",IFERROR(INDEX('Staff Directory'!$C$5:$C$594,MATCH($B869,'Staff Directory'!$A$5:$A$594,0)),""))</f>
        <v>PSW</v>
      </c>
      <c r="E869" s="19" t="str">
        <f>IF($B869="","",IFERROR(INDEX('Staff Directory'!$D$5:$D$594,MATCH($B869,'Staff Directory'!$A$5:$A$594,0)),""))</f>
        <v>A5</v>
      </c>
      <c r="F869" s="9" t="s">
        <v>156</v>
      </c>
      <c r="G869" s="18" t="str">
        <f>IF($F869="","",IFERROR(INDEX(Items!$B$5:$B$597,MATCH($F869,Items!$A$5:$A$597,0)),"⚠ not in Items"))</f>
        <v>Masks</v>
      </c>
      <c r="H869" s="19" t="str">
        <f>IF($F869="","",IFERROR(INDEX(Items!$C$5:$C$597,MATCH($F869,Items!$A$5:$A$597,0)),""))</f>
        <v>One Size</v>
      </c>
      <c r="I869" s="23">
        <f>IF($F869="","",IFERROR(INDEX(Items!$E$5:$E$597,MATCH($F869,Items!$A$5:$A$597,0)),""))</f>
        <v>50</v>
      </c>
      <c r="J869" s="115">
        <f>IF(tblIssues[[#This Row],[Qty Override]]&lt;&gt;"",tblIssues[[#This Row],[Qty Override]],IF(tblIssues[[#This Row],[Standard Issue]]="","",tblIssues[[#This Row],[Standard Issue]]))</f>
        <v>50</v>
      </c>
      <c r="K869" s="20">
        <f>IF($F869="","",IFERROR(INDEX(Items!$D$5:$D$597,MATCH($F869,Items!$A$5:$A$597,0)),""))</f>
        <v>0.25</v>
      </c>
      <c r="L869" s="21">
        <f t="shared" si="151"/>
        <v>12.5</v>
      </c>
      <c r="M869" s="9" t="str">
        <f t="shared" si="149"/>
        <v>0125FPC24-2</v>
      </c>
      <c r="N869" s="24">
        <f>IF($A869="","",WORKDAY($A869,Settings!$C$9,HolidayDates))</f>
        <v>46182</v>
      </c>
      <c r="O869" s="24">
        <f>IF($N869="","",WORKDAY($N869,Settings!$C$10,HolidayDates))</f>
        <v>46220</v>
      </c>
      <c r="P869" s="10" t="s">
        <v>501</v>
      </c>
      <c r="Q869" s="52" t="str">
        <f t="shared" si="152"/>
        <v>Collected</v>
      </c>
      <c r="R869" s="55" t="str">
        <f t="shared" si="153"/>
        <v>2026-06</v>
      </c>
      <c r="S869" s="55">
        <f>IF(OR($B869="",$F869="",$R869=""),"",SUMIFS(tblIssues[Qty Issued],tblIssues[Staff ID],$B869,tblIssues[Item Name],$F869,tblIssues[Month],$R869))</f>
        <v>50</v>
      </c>
      <c r="T869" s="56">
        <f>IF($I869="","",$I869*Settings!$C$11)</f>
        <v>50</v>
      </c>
      <c r="U869" s="57" t="str">
        <f t="shared" si="150"/>
        <v>OK</v>
      </c>
      <c r="V869" s="55" t="str">
        <f t="shared" si="154"/>
        <v/>
      </c>
      <c r="W869" s="55" t="str">
        <f>IF($V869="","",IF(COUNTIF($V$5:$V869,$V869)=1,1,""))</f>
        <v/>
      </c>
      <c r="X869" s="58" t="str">
        <f>IF($W869="","",MAX($X$4:X868)+1)</f>
        <v/>
      </c>
      <c r="Y869" s="62"/>
      <c r="Z869" s="62"/>
      <c r="AA869" s="64" t="str">
        <f>IF($C869="","",IFERROR(INDEX('Staff Directory'!$E$5:$E$594,MATCH($C869,'Staff Directory'!$B$5:$B$594,0)),""))</f>
        <v>firstname077.lastname077@example.com</v>
      </c>
      <c r="AB869" s="64" t="str">
        <f>IF($C869="","",IF(ISNUMBER(SEARCH($D869,Settings!$C$15)),"Pickup","Dispatch"))</f>
        <v>Pickup</v>
      </c>
      <c r="AC869" s="64" t="str">
        <f t="shared" si="155"/>
        <v>Supply order ready for pickup</v>
      </c>
      <c r="AD869" s="64" t="str">
        <f t="shared" si="146"/>
        <v>Dear PSW,
Your order is ready for pickup from Sample Branch, Wed-Fri 9am-4pm.</v>
      </c>
      <c r="AE869" s="64" t="str">
        <f t="shared" si="147"/>
        <v>mailto:firstname077.lastname077@example.com?subject=Supply%20order%20ready%20for%20pickup&amp;body=Dear%20PSW%2C%0A%0AYour%20order%20is%20ready%20for%20pickup%20from%20Sample%20Branch%2C%20Wed-Fri%209am-4pm.</v>
      </c>
      <c r="AF869" s="89" t="str">
        <f t="shared" si="156"/>
        <v>Draft email</v>
      </c>
      <c r="AG869" s="64" t="str">
        <f>IF($C869="","",IFERROR(INDEX('Staff Directory'!$K$595:$K$599,MATCH($C869,'Staff Directory'!$B$5:$B$599,0)),$D869))</f>
        <v>PSW</v>
      </c>
      <c r="AH869" t="str">
        <f>IF($C869="","",IFERROR(INDEX('Staff Directory'!$I$595:$I$599,MATCH($C869,'Staff Directory'!$B$5:$B$599,0))&amp;" "&amp;INDEX('Staff Directory'!$J$595:$J$599,MATCH($C869,'Staff Directory'!$B$5:$B$599,0)),$AG869))</f>
        <v>PSW</v>
      </c>
      <c r="AI869" s="102"/>
      <c r="AJ869" s="101">
        <f>IF($F869="","",SUMIFS($J$5:$J869,$F$5:$F869,$F869))</f>
        <v>7400</v>
      </c>
      <c r="AK869" s="101">
        <f t="shared" si="148"/>
        <v>7351</v>
      </c>
      <c r="AL869" s="66" t="str" cm="1">
        <f t="array" ref="AL869">IF($F869="","",IFERROR(INDEX('Lot Balance'!$B$5:$B$500,MATCH(1,INDEX(('Lot Balance'!$A$5:$A$500=$F869)*('Lot Balance'!$K$5:$K$500&lt;$AK869)*('Lot Balance'!$K$5:$K$500+'Lot Balance'!$D$5:$D$500&gt;=$AK869),0),0)),""))</f>
        <v>0125FPC24-2</v>
      </c>
      <c r="AM869" s="66" t="str" cm="1">
        <f t="array" ref="AM869">IF($F869="","",IFERROR(INDEX('Lot Balance'!$B$5:$B$500,MATCH(1,INDEX(('Lot Balance'!$A$5:$A$500=$F869)*('Lot Balance'!$K$5:$K$500&lt;$AJ869)*('Lot Balance'!$K$5:$K$500+'Lot Balance'!$D$5:$D$500&gt;=$AJ869),0),0)),""))</f>
        <v>0125FPC24-2</v>
      </c>
      <c r="AN869" s="66" t="str">
        <f>IF($F869="","",IF($AI869&lt;&gt;"",IF(COUNTIFS('Lot Balance'!$A$5:$A$500,$F869,'Lot Balance'!$B$5:$B$500,$AI869)=0,"⚠ override is not a lot of this item",IF($AI869=$AL869,"Override = FEFO","Override - FEFO says "&amp;$AL869)),IF($AL869="","⚠ no receipt on file for this item",IF($AM869&lt;&gt;$AL869,"FEFO auto - split, also "&amp;$AM869,"FEFO auto"))))</f>
        <v>FEFO auto</v>
      </c>
      <c r="AO869" s="114"/>
    </row>
    <row r="870" spans="1:41" x14ac:dyDescent="0.35">
      <c r="A870" s="74">
        <v>46174</v>
      </c>
      <c r="B870" s="18" t="str">
        <f>IF($C870="","",IFERROR(INDEX('Staff Directory'!$A$5:$A$594,MATCH($C870,'Staff Directory'!$B$5:$B$594,0)),"⚠ unknown staff"))</f>
        <v>PSW-017-A5</v>
      </c>
      <c r="C870" s="49" t="s">
        <v>993</v>
      </c>
      <c r="D870" s="19" t="str">
        <f>IF($B870="","",IFERROR(INDEX('Staff Directory'!$C$5:$C$594,MATCH($B870,'Staff Directory'!$A$5:$A$594,0)),""))</f>
        <v>PSW</v>
      </c>
      <c r="E870" s="19" t="str">
        <f>IF($B870="","",IFERROR(INDEX('Staff Directory'!$D$5:$D$594,MATCH($B870,'Staff Directory'!$A$5:$A$594,0)),""))</f>
        <v>A5</v>
      </c>
      <c r="F870" s="9" t="s">
        <v>154</v>
      </c>
      <c r="G870" s="18" t="str">
        <f>IF($F870="","",IFERROR(INDEX(Items!$B$5:$B$597,MATCH($F870,Items!$A$5:$A$597,0)),"⚠ not in Items"))</f>
        <v>IPAC</v>
      </c>
      <c r="H870" s="19" t="str">
        <f>IF($F870="","",IFERROR(INDEX(Items!$C$5:$C$597,MATCH($F870,Items!$A$5:$A$597,0)),""))</f>
        <v>Regular</v>
      </c>
      <c r="I870" s="23">
        <f>IF($F870="","",IFERROR(INDEX(Items!$E$5:$E$597,MATCH($F870,Items!$A$5:$A$597,0)),""))</f>
        <v>50</v>
      </c>
      <c r="J870" s="115">
        <f>IF(tblIssues[[#This Row],[Qty Override]]&lt;&gt;"",tblIssues[[#This Row],[Qty Override]],IF(tblIssues[[#This Row],[Standard Issue]]="","",tblIssues[[#This Row],[Standard Issue]]))</f>
        <v>50</v>
      </c>
      <c r="K870" s="20">
        <f>IF($F870="","",IFERROR(INDEX(Items!$D$5:$D$597,MATCH($F870,Items!$A$5:$A$597,0)),""))</f>
        <v>0.2</v>
      </c>
      <c r="L870" s="21">
        <f t="shared" si="151"/>
        <v>10</v>
      </c>
      <c r="M870" s="9">
        <f t="shared" si="149"/>
        <v>3024</v>
      </c>
      <c r="N870" s="24">
        <f>IF($A870="","",WORKDAY($A870,Settings!$C$9,HolidayDates))</f>
        <v>46182</v>
      </c>
      <c r="O870" s="24">
        <f>IF($N870="","",WORKDAY($N870,Settings!$C$10,HolidayDates))</f>
        <v>46220</v>
      </c>
      <c r="P870" s="10" t="s">
        <v>501</v>
      </c>
      <c r="Q870" s="52" t="str">
        <f t="shared" si="152"/>
        <v>Collected</v>
      </c>
      <c r="R870" s="55" t="str">
        <f t="shared" si="153"/>
        <v>2026-06</v>
      </c>
      <c r="S870" s="55">
        <f>IF(OR($B870="",$F870="",$R870=""),"",SUMIFS(tblIssues[Qty Issued],tblIssues[Staff ID],$B870,tblIssues[Item Name],$F870,tblIssues[Month],$R870))</f>
        <v>50</v>
      </c>
      <c r="T870" s="56">
        <f>IF($I870="","",$I870*Settings!$C$11)</f>
        <v>50</v>
      </c>
      <c r="U870" s="57" t="str">
        <f t="shared" si="150"/>
        <v>OK</v>
      </c>
      <c r="V870" s="55" t="str">
        <f t="shared" si="154"/>
        <v/>
      </c>
      <c r="W870" s="55" t="str">
        <f>IF($V870="","",IF(COUNTIF($V$5:$V870,$V870)=1,1,""))</f>
        <v/>
      </c>
      <c r="X870" s="58" t="str">
        <f>IF($W870="","",MAX($X$4:X869)+1)</f>
        <v/>
      </c>
      <c r="Y870" s="62"/>
      <c r="Z870" s="62"/>
      <c r="AA870" s="64" t="str">
        <f>IF($C870="","",IFERROR(INDEX('Staff Directory'!$E$5:$E$594,MATCH($C870,'Staff Directory'!$B$5:$B$594,0)),""))</f>
        <v>firstname077.lastname077@example.com</v>
      </c>
      <c r="AB870" s="64" t="str">
        <f>IF($C870="","",IF(ISNUMBER(SEARCH($D870,Settings!$C$15)),"Pickup","Dispatch"))</f>
        <v>Pickup</v>
      </c>
      <c r="AC870" s="64" t="str">
        <f t="shared" si="155"/>
        <v>Supply order ready for pickup</v>
      </c>
      <c r="AD870" s="64" t="str">
        <f t="shared" si="146"/>
        <v>Dear PSW,
Your order is ready for pickup from Sample Branch, Wed-Fri 9am-4pm.</v>
      </c>
      <c r="AE870" s="64" t="str">
        <f t="shared" si="147"/>
        <v>mailto:firstname077.lastname077@example.com?subject=Supply%20order%20ready%20for%20pickup&amp;body=Dear%20PSW%2C%0A%0AYour%20order%20is%20ready%20for%20pickup%20from%20Sample%20Branch%2C%20Wed-Fri%209am-4pm.</v>
      </c>
      <c r="AF870" s="89" t="str">
        <f t="shared" si="156"/>
        <v>Draft email</v>
      </c>
      <c r="AG870" s="64" t="str">
        <f>IF($C870="","",IFERROR(INDEX('Staff Directory'!$K$595:$K$599,MATCH($C870,'Staff Directory'!$B$5:$B$599,0)),$D870))</f>
        <v>PSW</v>
      </c>
      <c r="AH870" t="str">
        <f>IF($C870="","",IFERROR(INDEX('Staff Directory'!$I$595:$I$599,MATCH($C870,'Staff Directory'!$B$5:$B$599,0))&amp;" "&amp;INDEX('Staff Directory'!$J$595:$J$599,MATCH($C870,'Staff Directory'!$B$5:$B$599,0)),$AG870))</f>
        <v>PSW</v>
      </c>
      <c r="AI870" s="102"/>
      <c r="AJ870" s="101">
        <f>IF($F870="","",SUMIFS($J$5:$J870,$F$5:$F870,$F870))</f>
        <v>600</v>
      </c>
      <c r="AK870" s="101">
        <f t="shared" si="148"/>
        <v>551</v>
      </c>
      <c r="AL870" s="66" cm="1">
        <f t="array" ref="AL870">IF($F870="","",IFERROR(INDEX('Lot Balance'!$B$5:$B$500,MATCH(1,INDEX(('Lot Balance'!$A$5:$A$500=$F870)*('Lot Balance'!$K$5:$K$500&lt;$AK870)*('Lot Balance'!$K$5:$K$500+'Lot Balance'!$D$5:$D$500&gt;=$AK870),0),0)),""))</f>
        <v>3024</v>
      </c>
      <c r="AM870" s="66" cm="1">
        <f t="array" ref="AM870">IF($F870="","",IFERROR(INDEX('Lot Balance'!$B$5:$B$500,MATCH(1,INDEX(('Lot Balance'!$A$5:$A$500=$F870)*('Lot Balance'!$K$5:$K$500&lt;$AJ870)*('Lot Balance'!$K$5:$K$500+'Lot Balance'!$D$5:$D$500&gt;=$AJ870),0),0)),""))</f>
        <v>3024</v>
      </c>
      <c r="AN870" s="66" t="str">
        <f>IF($F870="","",IF($AI870&lt;&gt;"",IF(COUNTIFS('Lot Balance'!$A$5:$A$500,$F870,'Lot Balance'!$B$5:$B$500,$AI870)=0,"⚠ override is not a lot of this item",IF($AI870=$AL870,"Override = FEFO","Override - FEFO says "&amp;$AL870)),IF($AL870="","⚠ no receipt on file for this item",IF($AM870&lt;&gt;$AL870,"FEFO auto - split, also "&amp;$AM870,"FEFO auto"))))</f>
        <v>FEFO auto</v>
      </c>
      <c r="AO870" s="114"/>
    </row>
    <row r="871" spans="1:41" x14ac:dyDescent="0.35">
      <c r="A871" s="74">
        <v>46174</v>
      </c>
      <c r="B871" s="18" t="str">
        <f>IF($C871="","",IFERROR(INDEX('Staff Directory'!$A$5:$A$594,MATCH($C871,'Staff Directory'!$B$5:$B$594,0)),"⚠ unknown staff"))</f>
        <v>PSW-177-TBD</v>
      </c>
      <c r="C871" s="49" t="s">
        <v>1156</v>
      </c>
      <c r="D871" s="19" t="str">
        <f>IF($B871="","",IFERROR(INDEX('Staff Directory'!$C$5:$C$594,MATCH($B871,'Staff Directory'!$A$5:$A$594,0)),""))</f>
        <v>PSW</v>
      </c>
      <c r="E871" s="19">
        <f>IF($B871="","",IFERROR(INDEX('Staff Directory'!$D$5:$D$594,MATCH($B871,'Staff Directory'!$A$5:$A$594,0)),""))</f>
        <v>0</v>
      </c>
      <c r="F871" s="9" t="s">
        <v>127</v>
      </c>
      <c r="G871" s="18" t="str">
        <f>IF($F871="","",IFERROR(INDEX(Items!$B$5:$B$597,MATCH($F871,Items!$A$5:$A$597,0)),"⚠ not in Items"))</f>
        <v>Gloves</v>
      </c>
      <c r="H871" s="19" t="str">
        <f>IF($F871="","",IFERROR(INDEX(Items!$C$5:$C$597,MATCH($F871,Items!$A$5:$A$597,0)),""))</f>
        <v>Medium</v>
      </c>
      <c r="I871" s="23">
        <f>IF($F871="","",IFERROR(INDEX(Items!$E$5:$E$597,MATCH($F871,Items!$A$5:$A$597,0)),""))</f>
        <v>500</v>
      </c>
      <c r="J871" s="115">
        <f>IF(tblIssues[[#This Row],[Qty Override]]&lt;&gt;"",tblIssues[[#This Row],[Qty Override]],IF(tblIssues[[#This Row],[Standard Issue]]="","",tblIssues[[#This Row],[Standard Issue]]))</f>
        <v>500</v>
      </c>
      <c r="K871" s="20">
        <f>IF($F871="","",IFERROR(INDEX(Items!$D$5:$D$597,MATCH($F871,Items!$A$5:$A$597,0)),""))</f>
        <v>5.5E-2</v>
      </c>
      <c r="L871" s="21">
        <f t="shared" si="151"/>
        <v>27.5</v>
      </c>
      <c r="M871" s="9" t="str">
        <f t="shared" si="149"/>
        <v>ZIM504126040-4</v>
      </c>
      <c r="N871" s="24">
        <f>IF($A871="","",WORKDAY($A871,Settings!$C$9,HolidayDates))</f>
        <v>46182</v>
      </c>
      <c r="O871" s="24">
        <f>IF($N871="","",WORKDAY($N871,Settings!$C$10,HolidayDates))</f>
        <v>46220</v>
      </c>
      <c r="P871" s="10" t="s">
        <v>501</v>
      </c>
      <c r="Q871" s="52" t="str">
        <f t="shared" si="152"/>
        <v>Collected</v>
      </c>
      <c r="R871" s="55" t="str">
        <f t="shared" si="153"/>
        <v>2026-06</v>
      </c>
      <c r="S871" s="55">
        <f>IF(OR($B871="",$F871="",$R871=""),"",SUMIFS(tblIssues[Qty Issued],tblIssues[Staff ID],$B871,tblIssues[Item Name],$F871,tblIssues[Month],$R871))</f>
        <v>500</v>
      </c>
      <c r="T871" s="56">
        <f>IF($I871="","",$I871*Settings!$C$11)</f>
        <v>500</v>
      </c>
      <c r="U871" s="57" t="str">
        <f t="shared" si="150"/>
        <v>OK</v>
      </c>
      <c r="V871" s="55" t="str">
        <f t="shared" si="154"/>
        <v/>
      </c>
      <c r="W871" s="55" t="str">
        <f>IF($V871="","",IF(COUNTIF($V$5:$V871,$V871)=1,1,""))</f>
        <v/>
      </c>
      <c r="X871" s="58" t="str">
        <f>IF($W871="","",MAX($X$4:X870)+1)</f>
        <v/>
      </c>
      <c r="Y871" s="62"/>
      <c r="Z871" s="62"/>
      <c r="AA871" s="64" t="str">
        <f>IF($C871="","",IFERROR(INDEX('Staff Directory'!$E$5:$E$594,MATCH($C871,'Staff Directory'!$B$5:$B$594,0)),""))</f>
        <v>firstname240.lastname240@example.com</v>
      </c>
      <c r="AB871" s="64" t="str">
        <f>IF($C871="","",IF(ISNUMBER(SEARCH($D871,Settings!$C$15)),"Pickup","Dispatch"))</f>
        <v>Pickup</v>
      </c>
      <c r="AC871" s="64" t="str">
        <f t="shared" si="155"/>
        <v>Supply order ready for pickup</v>
      </c>
      <c r="AD871" s="64" t="str">
        <f t="shared" si="146"/>
        <v>Dear PSW,
Your order is ready for pickup from Sample Branch, Wed-Fri 9am-4pm.</v>
      </c>
      <c r="AE871" s="64" t="str">
        <f t="shared" si="147"/>
        <v>mailto:firstname240.lastname240@example.com?subject=Supply%20order%20ready%20for%20pickup&amp;body=Dear%20PSW%2C%0A%0AYour%20order%20is%20ready%20for%20pickup%20from%20Sample%20Branch%2C%20Wed-Fri%209am-4pm.</v>
      </c>
      <c r="AF871" s="89" t="str">
        <f t="shared" si="156"/>
        <v>Draft email</v>
      </c>
      <c r="AG871" s="64" t="str">
        <f>IF($C871="","",IFERROR(INDEX('Staff Directory'!$K$595:$K$599,MATCH($C871,'Staff Directory'!$B$5:$B$599,0)),$D871))</f>
        <v>PSW</v>
      </c>
      <c r="AH871" t="str">
        <f>IF($C871="","",IFERROR(INDEX('Staff Directory'!$I$595:$I$599,MATCH($C871,'Staff Directory'!$B$5:$B$599,0))&amp;" "&amp;INDEX('Staff Directory'!$J$595:$J$599,MATCH($C871,'Staff Directory'!$B$5:$B$599,0)),$AG871))</f>
        <v>PSW</v>
      </c>
      <c r="AI871" s="102"/>
      <c r="AJ871" s="101">
        <f>IF($F871="","",SUMIFS($J$5:$J871,$F$5:$F871,$F871))</f>
        <v>52000</v>
      </c>
      <c r="AK871" s="101">
        <f t="shared" si="148"/>
        <v>51501</v>
      </c>
      <c r="AL871" s="66" t="str" cm="1">
        <f t="array" ref="AL871">IF($F871="","",IFERROR(INDEX('Lot Balance'!$B$5:$B$500,MATCH(1,INDEX(('Lot Balance'!$A$5:$A$500=$F871)*('Lot Balance'!$K$5:$K$500&lt;$AK871)*('Lot Balance'!$K$5:$K$500+'Lot Balance'!$D$5:$D$500&gt;=$AK871),0),0)),""))</f>
        <v>ZIM504126040-4</v>
      </c>
      <c r="AM871" s="66" t="str" cm="1">
        <f t="array" ref="AM871">IF($F871="","",IFERROR(INDEX('Lot Balance'!$B$5:$B$500,MATCH(1,INDEX(('Lot Balance'!$A$5:$A$500=$F871)*('Lot Balance'!$K$5:$K$500&lt;$AJ871)*('Lot Balance'!$K$5:$K$500+'Lot Balance'!$D$5:$D$500&gt;=$AJ871),0),0)),""))</f>
        <v>ZIM504126040-4</v>
      </c>
      <c r="AN871" s="66" t="str">
        <f>IF($F871="","",IF($AI871&lt;&gt;"",IF(COUNTIFS('Lot Balance'!$A$5:$A$500,$F871,'Lot Balance'!$B$5:$B$500,$AI871)=0,"⚠ override is not a lot of this item",IF($AI871=$AL871,"Override = FEFO","Override - FEFO says "&amp;$AL871)),IF($AL871="","⚠ no receipt on file for this item",IF($AM871&lt;&gt;$AL871,"FEFO auto - split, also "&amp;$AM871,"FEFO auto"))))</f>
        <v>FEFO auto</v>
      </c>
      <c r="AO871" s="114"/>
    </row>
    <row r="872" spans="1:41" x14ac:dyDescent="0.35">
      <c r="A872" s="74">
        <v>46174</v>
      </c>
      <c r="B872" s="18" t="str">
        <f>IF($C872="","",IFERROR(INDEX('Staff Directory'!$A$5:$A$594,MATCH($C872,'Staff Directory'!$B$5:$B$594,0)),"⚠ unknown staff"))</f>
        <v>PSW-177-TBD</v>
      </c>
      <c r="C872" s="49" t="s">
        <v>1156</v>
      </c>
      <c r="D872" s="19" t="str">
        <f>IF($B872="","",IFERROR(INDEX('Staff Directory'!$C$5:$C$594,MATCH($B872,'Staff Directory'!$A$5:$A$594,0)),""))</f>
        <v>PSW</v>
      </c>
      <c r="E872" s="19">
        <f>IF($B872="","",IFERROR(INDEX('Staff Directory'!$D$5:$D$594,MATCH($B872,'Staff Directory'!$A$5:$A$594,0)),""))</f>
        <v>0</v>
      </c>
      <c r="F872" s="9" t="s">
        <v>115</v>
      </c>
      <c r="G872" s="18" t="str">
        <f>IF($F872="","",IFERROR(INDEX(Items!$B$5:$B$597,MATCH($F872,Items!$A$5:$A$597,0)),"⚠ not in Items"))</f>
        <v>Wipes</v>
      </c>
      <c r="H872" s="19">
        <f>IF($F872="","",IFERROR(INDEX(Items!$C$5:$C$597,MATCH($F872,Items!$A$5:$A$597,0)),""))</f>
        <v>80</v>
      </c>
      <c r="I872" s="23">
        <f>IF($F872="","",IFERROR(INDEX(Items!$E$5:$E$597,MATCH($F872,Items!$A$5:$A$597,0)),""))</f>
        <v>80</v>
      </c>
      <c r="J872" s="115">
        <f>IF(tblIssues[[#This Row],[Qty Override]]&lt;&gt;"",tblIssues[[#This Row],[Qty Override]],IF(tblIssues[[#This Row],[Standard Issue]]="","",tblIssues[[#This Row],[Standard Issue]]))</f>
        <v>80</v>
      </c>
      <c r="K872" s="20">
        <f>IF($F872="","",IFERROR(INDEX(Items!$D$5:$D$597,MATCH($F872,Items!$A$5:$A$597,0)),""))</f>
        <v>0.1</v>
      </c>
      <c r="L872" s="21">
        <f t="shared" si="151"/>
        <v>8</v>
      </c>
      <c r="M872" s="9" t="str">
        <f t="shared" si="149"/>
        <v>LYSL500290</v>
      </c>
      <c r="N872" s="24">
        <f>IF($A872="","",WORKDAY($A872,Settings!$C$9,HolidayDates))</f>
        <v>46182</v>
      </c>
      <c r="O872" s="24">
        <f>IF($N872="","",WORKDAY($N872,Settings!$C$10,HolidayDates))</f>
        <v>46220</v>
      </c>
      <c r="P872" s="10" t="s">
        <v>501</v>
      </c>
      <c r="Q872" s="52" t="str">
        <f t="shared" si="152"/>
        <v>Collected</v>
      </c>
      <c r="R872" s="55" t="str">
        <f t="shared" si="153"/>
        <v>2026-06</v>
      </c>
      <c r="S872" s="55">
        <f>IF(OR($B872="",$F872="",$R872=""),"",SUMIFS(tblIssues[Qty Issued],tblIssues[Staff ID],$B872,tblIssues[Item Name],$F872,tblIssues[Month],$R872))</f>
        <v>80</v>
      </c>
      <c r="T872" s="56">
        <f>IF($I872="","",$I872*Settings!$C$11)</f>
        <v>80</v>
      </c>
      <c r="U872" s="57" t="str">
        <f t="shared" si="150"/>
        <v>OK</v>
      </c>
      <c r="V872" s="55" t="str">
        <f t="shared" si="154"/>
        <v/>
      </c>
      <c r="W872" s="55" t="str">
        <f>IF($V872="","",IF(COUNTIF($V$5:$V872,$V872)=1,1,""))</f>
        <v/>
      </c>
      <c r="X872" s="58" t="str">
        <f>IF($W872="","",MAX($X$4:X871)+1)</f>
        <v/>
      </c>
      <c r="Y872" s="62"/>
      <c r="Z872" s="62"/>
      <c r="AA872" s="64" t="str">
        <f>IF($C872="","",IFERROR(INDEX('Staff Directory'!$E$5:$E$594,MATCH($C872,'Staff Directory'!$B$5:$B$594,0)),""))</f>
        <v>firstname240.lastname240@example.com</v>
      </c>
      <c r="AB872" s="64" t="str">
        <f>IF($C872="","",IF(ISNUMBER(SEARCH($D872,Settings!$C$15)),"Pickup","Dispatch"))</f>
        <v>Pickup</v>
      </c>
      <c r="AC872" s="64" t="str">
        <f t="shared" si="155"/>
        <v>Supply order ready for pickup</v>
      </c>
      <c r="AD872" s="64" t="str">
        <f t="shared" si="146"/>
        <v>Dear PSW,
Your order is ready for pickup from Sample Branch, Wed-Fri 9am-4pm.</v>
      </c>
      <c r="AE872" s="64" t="str">
        <f t="shared" si="147"/>
        <v>mailto:firstname240.lastname240@example.com?subject=Supply%20order%20ready%20for%20pickup&amp;body=Dear%20PSW%2C%0A%0AYour%20order%20is%20ready%20for%20pickup%20from%20Sample%20Branch%2C%20Wed-Fri%209am-4pm.</v>
      </c>
      <c r="AF872" s="89" t="str">
        <f t="shared" si="156"/>
        <v>Draft email</v>
      </c>
      <c r="AG872" s="64" t="str">
        <f>IF($C872="","",IFERROR(INDEX('Staff Directory'!$K$595:$K$599,MATCH($C872,'Staff Directory'!$B$5:$B$599,0)),$D872))</f>
        <v>PSW</v>
      </c>
      <c r="AH872" t="str">
        <f>IF($C872="","",IFERROR(INDEX('Staff Directory'!$I$595:$I$599,MATCH($C872,'Staff Directory'!$B$5:$B$599,0))&amp;" "&amp;INDEX('Staff Directory'!$J$595:$J$599,MATCH($C872,'Staff Directory'!$B$5:$B$599,0)),$AG872))</f>
        <v>PSW</v>
      </c>
      <c r="AI872" s="102"/>
      <c r="AJ872" s="101">
        <f>IF($F872="","",SUMIFS($J$5:$J872,$F$5:$F872,$F872))</f>
        <v>12080</v>
      </c>
      <c r="AK872" s="101">
        <f t="shared" si="148"/>
        <v>12001</v>
      </c>
      <c r="AL872" s="66" t="str" cm="1">
        <f t="array" ref="AL872">IF($F872="","",IFERROR(INDEX('Lot Balance'!$B$5:$B$500,MATCH(1,INDEX(('Lot Balance'!$A$5:$A$500=$F872)*('Lot Balance'!$K$5:$K$500&lt;$AK872)*('Lot Balance'!$K$5:$K$500+'Lot Balance'!$D$5:$D$500&gt;=$AK872),0),0)),""))</f>
        <v>LYSL500290</v>
      </c>
      <c r="AM872" s="66" t="str" cm="1">
        <f t="array" ref="AM872">IF($F872="","",IFERROR(INDEX('Lot Balance'!$B$5:$B$500,MATCH(1,INDEX(('Lot Balance'!$A$5:$A$500=$F872)*('Lot Balance'!$K$5:$K$500&lt;$AJ872)*('Lot Balance'!$K$5:$K$500+'Lot Balance'!$D$5:$D$500&gt;=$AJ872),0),0)),""))</f>
        <v>LYSL500290</v>
      </c>
      <c r="AN872" s="66" t="str">
        <f>IF($F872="","",IF($AI872&lt;&gt;"",IF(COUNTIFS('Lot Balance'!$A$5:$A$500,$F872,'Lot Balance'!$B$5:$B$500,$AI872)=0,"⚠ override is not a lot of this item",IF($AI872=$AL872,"Override = FEFO","Override - FEFO says "&amp;$AL872)),IF($AL872="","⚠ no receipt on file for this item",IF($AM872&lt;&gt;$AL872,"FEFO auto - split, also "&amp;$AM872,"FEFO auto"))))</f>
        <v>FEFO auto</v>
      </c>
      <c r="AO872" s="114"/>
    </row>
    <row r="873" spans="1:41" x14ac:dyDescent="0.35">
      <c r="A873" s="74">
        <v>46174</v>
      </c>
      <c r="B873" s="18" t="str">
        <f>IF($C873="","",IFERROR(INDEX('Staff Directory'!$A$5:$A$594,MATCH($C873,'Staff Directory'!$B$5:$B$594,0)),"⚠ unknown staff"))</f>
        <v>PSW-177-TBD</v>
      </c>
      <c r="C873" s="49" t="s">
        <v>1156</v>
      </c>
      <c r="D873" s="19" t="str">
        <f>IF($B873="","",IFERROR(INDEX('Staff Directory'!$C$5:$C$594,MATCH($B873,'Staff Directory'!$A$5:$A$594,0)),""))</f>
        <v>PSW</v>
      </c>
      <c r="E873" s="19">
        <f>IF($B873="","",IFERROR(INDEX('Staff Directory'!$D$5:$D$594,MATCH($B873,'Staff Directory'!$A$5:$A$594,0)),""))</f>
        <v>0</v>
      </c>
      <c r="F873" s="9" t="s">
        <v>104</v>
      </c>
      <c r="G873" s="18" t="str">
        <f>IF($F873="","",IFERROR(INDEX(Items!$B$5:$B$597,MATCH($F873,Items!$A$5:$A$597,0)),"⚠ not in Items"))</f>
        <v>Masks</v>
      </c>
      <c r="H873" s="19" t="str">
        <f>IF($F873="","",IFERROR(INDEX(Items!$C$5:$C$597,MATCH($F873,Items!$A$5:$A$597,0)),""))</f>
        <v>One Size</v>
      </c>
      <c r="I873" s="23">
        <f>IF($F873="","",IFERROR(INDEX(Items!$E$5:$E$597,MATCH($F873,Items!$A$5:$A$597,0)),""))</f>
        <v>5</v>
      </c>
      <c r="J873" s="115">
        <f>IF(tblIssues[[#This Row],[Qty Override]]&lt;&gt;"",tblIssues[[#This Row],[Qty Override]],IF(tblIssues[[#This Row],[Standard Issue]]="","",tblIssues[[#This Row],[Standard Issue]]))</f>
        <v>5</v>
      </c>
      <c r="K873" s="20">
        <f>IF($F873="","",IFERROR(INDEX(Items!$D$5:$D$597,MATCH($F873,Items!$A$5:$A$597,0)),""))</f>
        <v>2.0499999999999998</v>
      </c>
      <c r="L873" s="21">
        <f t="shared" si="151"/>
        <v>10.25</v>
      </c>
      <c r="M873" s="9" t="str">
        <f t="shared" si="149"/>
        <v>N955003717</v>
      </c>
      <c r="N873" s="24">
        <f>IF($A873="","",WORKDAY($A873,Settings!$C$9,HolidayDates))</f>
        <v>46182</v>
      </c>
      <c r="O873" s="24">
        <f>IF($N873="","",WORKDAY($N873,Settings!$C$10,HolidayDates))</f>
        <v>46220</v>
      </c>
      <c r="P873" s="10" t="s">
        <v>501</v>
      </c>
      <c r="Q873" s="52" t="str">
        <f t="shared" si="152"/>
        <v>Collected</v>
      </c>
      <c r="R873" s="55" t="str">
        <f t="shared" si="153"/>
        <v>2026-06</v>
      </c>
      <c r="S873" s="55">
        <f>IF(OR($B873="",$F873="",$R873=""),"",SUMIFS(tblIssues[Qty Issued],tblIssues[Staff ID],$B873,tblIssues[Item Name],$F873,tblIssues[Month],$R873))</f>
        <v>5</v>
      </c>
      <c r="T873" s="56">
        <f>IF($I873="","",$I873*Settings!$C$11)</f>
        <v>5</v>
      </c>
      <c r="U873" s="57" t="str">
        <f t="shared" si="150"/>
        <v>OK</v>
      </c>
      <c r="V873" s="55" t="str">
        <f t="shared" si="154"/>
        <v/>
      </c>
      <c r="W873" s="55" t="str">
        <f>IF($V873="","",IF(COUNTIF($V$5:$V873,$V873)=1,1,""))</f>
        <v/>
      </c>
      <c r="X873" s="58" t="str">
        <f>IF($W873="","",MAX($X$4:X872)+1)</f>
        <v/>
      </c>
      <c r="Y873" s="62"/>
      <c r="Z873" s="62"/>
      <c r="AA873" s="64" t="str">
        <f>IF($C873="","",IFERROR(INDEX('Staff Directory'!$E$5:$E$594,MATCH($C873,'Staff Directory'!$B$5:$B$594,0)),""))</f>
        <v>firstname240.lastname240@example.com</v>
      </c>
      <c r="AB873" s="64" t="str">
        <f>IF($C873="","",IF(ISNUMBER(SEARCH($D873,Settings!$C$15)),"Pickup","Dispatch"))</f>
        <v>Pickup</v>
      </c>
      <c r="AC873" s="64" t="str">
        <f t="shared" si="155"/>
        <v>Supply order ready for pickup</v>
      </c>
      <c r="AD873" s="64" t="str">
        <f t="shared" si="146"/>
        <v>Dear PSW,
Your order is ready for pickup from Sample Branch, Wed-Fri 9am-4pm.</v>
      </c>
      <c r="AE873" s="64" t="str">
        <f t="shared" si="147"/>
        <v>mailto:firstname240.lastname240@example.com?subject=Supply%20order%20ready%20for%20pickup&amp;body=Dear%20PSW%2C%0A%0AYour%20order%20is%20ready%20for%20pickup%20from%20Sample%20Branch%2C%20Wed-Fri%209am-4pm.</v>
      </c>
      <c r="AF873" s="89" t="str">
        <f t="shared" si="156"/>
        <v>Draft email</v>
      </c>
      <c r="AG873" s="64" t="str">
        <f>IF($C873="","",IFERROR(INDEX('Staff Directory'!$K$595:$K$599,MATCH($C873,'Staff Directory'!$B$5:$B$599,0)),$D873))</f>
        <v>PSW</v>
      </c>
      <c r="AH873" t="str">
        <f>IF($C873="","",IFERROR(INDEX('Staff Directory'!$I$595:$I$599,MATCH($C873,'Staff Directory'!$B$5:$B$599,0))&amp;" "&amp;INDEX('Staff Directory'!$J$595:$J$599,MATCH($C873,'Staff Directory'!$B$5:$B$599,0)),$AG873))</f>
        <v>PSW</v>
      </c>
      <c r="AI873" s="102"/>
      <c r="AJ873" s="101">
        <f>IF($F873="","",SUMIFS($J$5:$J873,$F$5:$F873,$F873))</f>
        <v>5</v>
      </c>
      <c r="AK873" s="101">
        <f t="shared" si="148"/>
        <v>1</v>
      </c>
      <c r="AL873" s="66" t="str" cm="1">
        <f t="array" ref="AL873">IF($F873="","",IFERROR(INDEX('Lot Balance'!$B$5:$B$500,MATCH(1,INDEX(('Lot Balance'!$A$5:$A$500=$F873)*('Lot Balance'!$K$5:$K$500&lt;$AK873)*('Lot Balance'!$K$5:$K$500+'Lot Balance'!$D$5:$D$500&gt;=$AK873),0),0)),""))</f>
        <v>N955003717</v>
      </c>
      <c r="AM873" s="66" t="str" cm="1">
        <f t="array" ref="AM873">IF($F873="","",IFERROR(INDEX('Lot Balance'!$B$5:$B$500,MATCH(1,INDEX(('Lot Balance'!$A$5:$A$500=$F873)*('Lot Balance'!$K$5:$K$500&lt;$AJ873)*('Lot Balance'!$K$5:$K$500+'Lot Balance'!$D$5:$D$500&gt;=$AJ873),0),0)),""))</f>
        <v>N955003717</v>
      </c>
      <c r="AN873" s="66" t="str">
        <f>IF($F873="","",IF($AI873&lt;&gt;"",IF(COUNTIFS('Lot Balance'!$A$5:$A$500,$F873,'Lot Balance'!$B$5:$B$500,$AI873)=0,"⚠ override is not a lot of this item",IF($AI873=$AL873,"Override = FEFO","Override - FEFO says "&amp;$AL873)),IF($AL873="","⚠ no receipt on file for this item",IF($AM873&lt;&gt;$AL873,"FEFO auto - split, also "&amp;$AM873,"FEFO auto"))))</f>
        <v>FEFO auto</v>
      </c>
      <c r="AO873" s="114"/>
    </row>
    <row r="874" spans="1:41" x14ac:dyDescent="0.35">
      <c r="A874" s="74">
        <v>46174</v>
      </c>
      <c r="B874" s="18" t="str">
        <f>IF($C874="","",IFERROR(INDEX('Staff Directory'!$A$5:$A$594,MATCH($C874,'Staff Directory'!$B$5:$B$594,0)),"⚠ unknown staff"))</f>
        <v>PSW-177-TBD</v>
      </c>
      <c r="C874" s="49" t="s">
        <v>1156</v>
      </c>
      <c r="D874" s="19" t="str">
        <f>IF($B874="","",IFERROR(INDEX('Staff Directory'!$C$5:$C$594,MATCH($B874,'Staff Directory'!$A$5:$A$594,0)),""))</f>
        <v>PSW</v>
      </c>
      <c r="E874" s="19">
        <f>IF($B874="","",IFERROR(INDEX('Staff Directory'!$D$5:$D$594,MATCH($B874,'Staff Directory'!$A$5:$A$594,0)),""))</f>
        <v>0</v>
      </c>
      <c r="F874" s="9" t="s">
        <v>137</v>
      </c>
      <c r="G874" s="18" t="str">
        <f>IF($F874="","",IFERROR(INDEX(Items!$B$5:$B$597,MATCH($F874,Items!$A$5:$A$597,0)),"⚠ not in Items"))</f>
        <v>Sanitizer</v>
      </c>
      <c r="H874" s="19" t="str">
        <f>IF($F874="","",IFERROR(INDEX(Items!$C$5:$C$597,MATCH($F874,Items!$A$5:$A$597,0)),""))</f>
        <v>118 ML</v>
      </c>
      <c r="I874" s="23">
        <f>IF($F874="","",IFERROR(INDEX(Items!$E$5:$E$597,MATCH($F874,Items!$A$5:$A$597,0)),""))</f>
        <v>2</v>
      </c>
      <c r="J874" s="115">
        <f>IF(tblIssues[[#This Row],[Qty Override]]&lt;&gt;"",tblIssues[[#This Row],[Qty Override]],IF(tblIssues[[#This Row],[Standard Issue]]="","",tblIssues[[#This Row],[Standard Issue]]))</f>
        <v>2</v>
      </c>
      <c r="K874" s="20">
        <f>IF($F874="","",IFERROR(INDEX(Items!$D$5:$D$597,MATCH($F874,Items!$A$5:$A$597,0)),""))</f>
        <v>4.49</v>
      </c>
      <c r="L874" s="21">
        <f t="shared" si="151"/>
        <v>8.98</v>
      </c>
      <c r="M874" s="9" t="str">
        <f t="shared" si="149"/>
        <v>563963-6</v>
      </c>
      <c r="N874" s="24">
        <f>IF($A874="","",WORKDAY($A874,Settings!$C$9,HolidayDates))</f>
        <v>46182</v>
      </c>
      <c r="O874" s="24">
        <f>IF($N874="","",WORKDAY($N874,Settings!$C$10,HolidayDates))</f>
        <v>46220</v>
      </c>
      <c r="P874" s="10" t="s">
        <v>501</v>
      </c>
      <c r="Q874" s="52" t="str">
        <f t="shared" si="152"/>
        <v>Collected</v>
      </c>
      <c r="R874" s="55" t="str">
        <f t="shared" si="153"/>
        <v>2026-06</v>
      </c>
      <c r="S874" s="55">
        <f>IF(OR($B874="",$F874="",$R874=""),"",SUMIFS(tblIssues[Qty Issued],tblIssues[Staff ID],$B874,tblIssues[Item Name],$F874,tblIssues[Month],$R874))</f>
        <v>2</v>
      </c>
      <c r="T874" s="56">
        <f>IF($I874="","",$I874*Settings!$C$11)</f>
        <v>2</v>
      </c>
      <c r="U874" s="57" t="str">
        <f t="shared" si="150"/>
        <v>OK</v>
      </c>
      <c r="V874" s="55" t="str">
        <f t="shared" si="154"/>
        <v/>
      </c>
      <c r="W874" s="55" t="str">
        <f>IF($V874="","",IF(COUNTIF($V$5:$V874,$V874)=1,1,""))</f>
        <v/>
      </c>
      <c r="X874" s="58" t="str">
        <f>IF($W874="","",MAX($X$4:X873)+1)</f>
        <v/>
      </c>
      <c r="Y874" s="62"/>
      <c r="Z874" s="62"/>
      <c r="AA874" s="64" t="str">
        <f>IF($C874="","",IFERROR(INDEX('Staff Directory'!$E$5:$E$594,MATCH($C874,'Staff Directory'!$B$5:$B$594,0)),""))</f>
        <v>firstname240.lastname240@example.com</v>
      </c>
      <c r="AB874" s="64" t="str">
        <f>IF($C874="","",IF(ISNUMBER(SEARCH($D874,Settings!$C$15)),"Pickup","Dispatch"))</f>
        <v>Pickup</v>
      </c>
      <c r="AC874" s="64" t="str">
        <f t="shared" si="155"/>
        <v>Supply order ready for pickup</v>
      </c>
      <c r="AD874" s="64" t="str">
        <f t="shared" si="146"/>
        <v>Dear PSW,
Your order is ready for pickup from Sample Branch, Wed-Fri 9am-4pm.</v>
      </c>
      <c r="AE874" s="64" t="str">
        <f t="shared" si="147"/>
        <v>mailto:firstname240.lastname240@example.com?subject=Supply%20order%20ready%20for%20pickup&amp;body=Dear%20PSW%2C%0A%0AYour%20order%20is%20ready%20for%20pickup%20from%20Sample%20Branch%2C%20Wed-Fri%209am-4pm.</v>
      </c>
      <c r="AF874" s="89" t="str">
        <f t="shared" si="156"/>
        <v>Draft email</v>
      </c>
      <c r="AG874" s="64" t="str">
        <f>IF($C874="","",IFERROR(INDEX('Staff Directory'!$K$595:$K$599,MATCH($C874,'Staff Directory'!$B$5:$B$599,0)),$D874))</f>
        <v>PSW</v>
      </c>
      <c r="AH874" t="str">
        <f>IF($C874="","",IFERROR(INDEX('Staff Directory'!$I$595:$I$599,MATCH($C874,'Staff Directory'!$B$5:$B$599,0))&amp;" "&amp;INDEX('Staff Directory'!$J$595:$J$599,MATCH($C874,'Staff Directory'!$B$5:$B$599,0)),$AG874))</f>
        <v>PSW</v>
      </c>
      <c r="AI874" s="102"/>
      <c r="AJ874" s="101">
        <f>IF($F874="","",SUMIFS($J$5:$J874,$F$5:$F874,$F874))</f>
        <v>96</v>
      </c>
      <c r="AK874" s="101">
        <f t="shared" si="148"/>
        <v>95</v>
      </c>
      <c r="AL874" s="66" t="str" cm="1">
        <f t="array" ref="AL874">IF($F874="","",IFERROR(INDEX('Lot Balance'!$B$5:$B$500,MATCH(1,INDEX(('Lot Balance'!$A$5:$A$500=$F874)*('Lot Balance'!$K$5:$K$500&lt;$AK874)*('Lot Balance'!$K$5:$K$500+'Lot Balance'!$D$5:$D$500&gt;=$AK874),0),0)),""))</f>
        <v>563963-6</v>
      </c>
      <c r="AM874" s="66" t="str" cm="1">
        <f t="array" ref="AM874">IF($F874="","",IFERROR(INDEX('Lot Balance'!$B$5:$B$500,MATCH(1,INDEX(('Lot Balance'!$A$5:$A$500=$F874)*('Lot Balance'!$K$5:$K$500&lt;$AJ874)*('Lot Balance'!$K$5:$K$500+'Lot Balance'!$D$5:$D$500&gt;=$AJ874),0),0)),""))</f>
        <v>563963-6</v>
      </c>
      <c r="AN874" s="66" t="str">
        <f>IF($F874="","",IF($AI874&lt;&gt;"",IF(COUNTIFS('Lot Balance'!$A$5:$A$500,$F874,'Lot Balance'!$B$5:$B$500,$AI874)=0,"⚠ override is not a lot of this item",IF($AI874=$AL874,"Override = FEFO","Override - FEFO says "&amp;$AL874)),IF($AL874="","⚠ no receipt on file for this item",IF($AM874&lt;&gt;$AL874,"FEFO auto - split, also "&amp;$AM874,"FEFO auto"))))</f>
        <v>FEFO auto</v>
      </c>
      <c r="AO874" s="114"/>
    </row>
    <row r="875" spans="1:41" x14ac:dyDescent="0.35">
      <c r="A875" s="74">
        <v>46174</v>
      </c>
      <c r="B875" s="18" t="str">
        <f>IF($C875="","",IFERROR(INDEX('Staff Directory'!$A$5:$A$594,MATCH($C875,'Staff Directory'!$B$5:$B$594,0)),"⚠ unknown staff"))</f>
        <v>PSW-177-TBD</v>
      </c>
      <c r="C875" s="49" t="s">
        <v>1156</v>
      </c>
      <c r="D875" s="19" t="str">
        <f>IF($B875="","",IFERROR(INDEX('Staff Directory'!$C$5:$C$594,MATCH($B875,'Staff Directory'!$A$5:$A$594,0)),""))</f>
        <v>PSW</v>
      </c>
      <c r="E875" s="19">
        <f>IF($B875="","",IFERROR(INDEX('Staff Directory'!$D$5:$D$594,MATCH($B875,'Staff Directory'!$A$5:$A$594,0)),""))</f>
        <v>0</v>
      </c>
      <c r="F875" s="9" t="s">
        <v>147</v>
      </c>
      <c r="G875" s="18" t="str">
        <f>IF($F875="","",IFERROR(INDEX(Items!$B$5:$B$597,MATCH($F875,Items!$A$5:$A$597,0)),"⚠ not in Items"))</f>
        <v>Apparel</v>
      </c>
      <c r="H875" s="19" t="str">
        <f>IF($F875="","",IFERROR(INDEX(Items!$C$5:$C$597,MATCH($F875,Items!$A$5:$A$597,0)),""))</f>
        <v>One Size</v>
      </c>
      <c r="I875" s="23">
        <f>IF($F875="","",IFERROR(INDEX(Items!$E$5:$E$597,MATCH($F875,Items!$A$5:$A$597,0)),""))</f>
        <v>5</v>
      </c>
      <c r="J875" s="115">
        <f>IF(tblIssues[[#This Row],[Qty Override]]&lt;&gt;"",tblIssues[[#This Row],[Qty Override]],IF(tblIssues[[#This Row],[Standard Issue]]="","",tblIssues[[#This Row],[Standard Issue]]))</f>
        <v>5</v>
      </c>
      <c r="K875" s="20">
        <f>IF($F875="","",IFERROR(INDEX(Items!$D$5:$D$597,MATCH($F875,Items!$A$5:$A$597,0)),""))</f>
        <v>3</v>
      </c>
      <c r="L875" s="21">
        <f t="shared" si="151"/>
        <v>15</v>
      </c>
      <c r="M875" s="9" t="str">
        <f t="shared" si="149"/>
        <v>YG500280</v>
      </c>
      <c r="N875" s="24">
        <f>IF($A875="","",WORKDAY($A875,Settings!$C$9,HolidayDates))</f>
        <v>46182</v>
      </c>
      <c r="O875" s="24">
        <f>IF($N875="","",WORKDAY($N875,Settings!$C$10,HolidayDates))</f>
        <v>46220</v>
      </c>
      <c r="P875" s="10" t="s">
        <v>501</v>
      </c>
      <c r="Q875" s="52" t="str">
        <f t="shared" si="152"/>
        <v>Collected</v>
      </c>
      <c r="R875" s="55" t="str">
        <f t="shared" si="153"/>
        <v>2026-06</v>
      </c>
      <c r="S875" s="55">
        <f>IF(OR($B875="",$F875="",$R875=""),"",SUMIFS(tblIssues[Qty Issued],tblIssues[Staff ID],$B875,tblIssues[Item Name],$F875,tblIssues[Month],$R875))</f>
        <v>5</v>
      </c>
      <c r="T875" s="56">
        <f>IF($I875="","",$I875*Settings!$C$11)</f>
        <v>5</v>
      </c>
      <c r="U875" s="57" t="str">
        <f t="shared" si="150"/>
        <v>OK</v>
      </c>
      <c r="V875" s="55" t="str">
        <f t="shared" si="154"/>
        <v/>
      </c>
      <c r="W875" s="55" t="str">
        <f>IF($V875="","",IF(COUNTIF($V$5:$V875,$V875)=1,1,""))</f>
        <v/>
      </c>
      <c r="X875" s="58" t="str">
        <f>IF($W875="","",MAX($X$4:X874)+1)</f>
        <v/>
      </c>
      <c r="Y875" s="62"/>
      <c r="Z875" s="62"/>
      <c r="AA875" s="64" t="str">
        <f>IF($C875="","",IFERROR(INDEX('Staff Directory'!$E$5:$E$594,MATCH($C875,'Staff Directory'!$B$5:$B$594,0)),""))</f>
        <v>firstname240.lastname240@example.com</v>
      </c>
      <c r="AB875" s="64" t="str">
        <f>IF($C875="","",IF(ISNUMBER(SEARCH($D875,Settings!$C$15)),"Pickup","Dispatch"))</f>
        <v>Pickup</v>
      </c>
      <c r="AC875" s="64" t="str">
        <f t="shared" si="155"/>
        <v>Supply order ready for pickup</v>
      </c>
      <c r="AD875" s="64" t="str">
        <f t="shared" si="146"/>
        <v>Dear PSW,
Your order is ready for pickup from Sample Branch, Wed-Fri 9am-4pm.</v>
      </c>
      <c r="AE875" s="64" t="str">
        <f t="shared" si="147"/>
        <v>mailto:firstname240.lastname240@example.com?subject=Supply%20order%20ready%20for%20pickup&amp;body=Dear%20PSW%2C%0A%0AYour%20order%20is%20ready%20for%20pickup%20from%20Sample%20Branch%2C%20Wed-Fri%209am-4pm.</v>
      </c>
      <c r="AF875" s="89" t="str">
        <f t="shared" si="156"/>
        <v>Draft email</v>
      </c>
      <c r="AG875" s="64" t="str">
        <f>IF($C875="","",IFERROR(INDEX('Staff Directory'!$K$595:$K$599,MATCH($C875,'Staff Directory'!$B$5:$B$599,0)),$D875))</f>
        <v>PSW</v>
      </c>
      <c r="AH875" t="str">
        <f>IF($C875="","",IFERROR(INDEX('Staff Directory'!$I$595:$I$599,MATCH($C875,'Staff Directory'!$B$5:$B$599,0))&amp;" "&amp;INDEX('Staff Directory'!$J$595:$J$599,MATCH($C875,'Staff Directory'!$B$5:$B$599,0)),$AG875))</f>
        <v>PSW</v>
      </c>
      <c r="AI875" s="102"/>
      <c r="AJ875" s="101">
        <f>IF($F875="","",SUMIFS($J$5:$J875,$F$5:$F875,$F875))</f>
        <v>85</v>
      </c>
      <c r="AK875" s="101">
        <f t="shared" si="148"/>
        <v>81</v>
      </c>
      <c r="AL875" s="66" t="str" cm="1">
        <f t="array" ref="AL875">IF($F875="","",IFERROR(INDEX('Lot Balance'!$B$5:$B$500,MATCH(1,INDEX(('Lot Balance'!$A$5:$A$500=$F875)*('Lot Balance'!$K$5:$K$500&lt;$AK875)*('Lot Balance'!$K$5:$K$500+'Lot Balance'!$D$5:$D$500&gt;=$AK875),0),0)),""))</f>
        <v>YG500280</v>
      </c>
      <c r="AM875" s="66" t="str" cm="1">
        <f t="array" ref="AM875">IF($F875="","",IFERROR(INDEX('Lot Balance'!$B$5:$B$500,MATCH(1,INDEX(('Lot Balance'!$A$5:$A$500=$F875)*('Lot Balance'!$K$5:$K$500&lt;$AJ875)*('Lot Balance'!$K$5:$K$500+'Lot Balance'!$D$5:$D$500&gt;=$AJ875),0),0)),""))</f>
        <v>YG500280</v>
      </c>
      <c r="AN875" s="66" t="str">
        <f>IF($F875="","",IF($AI875&lt;&gt;"",IF(COUNTIFS('Lot Balance'!$A$5:$A$500,$F875,'Lot Balance'!$B$5:$B$500,$AI875)=0,"⚠ override is not a lot of this item",IF($AI875=$AL875,"Override = FEFO","Override - FEFO says "&amp;$AL875)),IF($AL875="","⚠ no receipt on file for this item",IF($AM875&lt;&gt;$AL875,"FEFO auto - split, also "&amp;$AM875,"FEFO auto"))))</f>
        <v>FEFO auto</v>
      </c>
      <c r="AO875" s="114"/>
    </row>
    <row r="876" spans="1:41" x14ac:dyDescent="0.35">
      <c r="A876" s="74">
        <v>46174</v>
      </c>
      <c r="B876" s="18" t="str">
        <f>IF($C876="","",IFERROR(INDEX('Staff Directory'!$A$5:$A$594,MATCH($C876,'Staff Directory'!$B$5:$B$594,0)),"⚠ unknown staff"))</f>
        <v>PSW-177-TBD</v>
      </c>
      <c r="C876" s="49" t="s">
        <v>1156</v>
      </c>
      <c r="D876" s="19" t="str">
        <f>IF($B876="","",IFERROR(INDEX('Staff Directory'!$C$5:$C$594,MATCH($B876,'Staff Directory'!$A$5:$A$594,0)),""))</f>
        <v>PSW</v>
      </c>
      <c r="E876" s="19">
        <f>IF($B876="","",IFERROR(INDEX('Staff Directory'!$D$5:$D$594,MATCH($B876,'Staff Directory'!$A$5:$A$594,0)),""))</f>
        <v>0</v>
      </c>
      <c r="F876" s="9" t="s">
        <v>145</v>
      </c>
      <c r="G876" s="18" t="str">
        <f>IF($F876="","",IFERROR(INDEX(Items!$B$5:$B$597,MATCH($F876,Items!$A$5:$A$597,0)),"⚠ not in Items"))</f>
        <v>Apparel</v>
      </c>
      <c r="H876" s="19" t="str">
        <f>IF($F876="","",IFERROR(INDEX(Items!$C$5:$C$597,MATCH($F876,Items!$A$5:$A$597,0)),""))</f>
        <v>One Size</v>
      </c>
      <c r="I876" s="23">
        <f>IF($F876="","",IFERROR(INDEX(Items!$E$5:$E$597,MATCH($F876,Items!$A$5:$A$597,0)),""))</f>
        <v>5</v>
      </c>
      <c r="J876" s="115">
        <f>IF(tblIssues[[#This Row],[Qty Override]]&lt;&gt;"",tblIssues[[#This Row],[Qty Override]],IF(tblIssues[[#This Row],[Standard Issue]]="","",tblIssues[[#This Row],[Standard Issue]]))</f>
        <v>5</v>
      </c>
      <c r="K876" s="20">
        <f>IF($F876="","",IFERROR(INDEX(Items!$D$5:$D$597,MATCH($F876,Items!$A$5:$A$597,0)),""))</f>
        <v>3</v>
      </c>
      <c r="L876" s="21">
        <f t="shared" si="151"/>
        <v>15</v>
      </c>
      <c r="M876" s="9" t="str">
        <f t="shared" si="149"/>
        <v>WRB500270</v>
      </c>
      <c r="N876" s="24">
        <f>IF($A876="","",WORKDAY($A876,Settings!$C$9,HolidayDates))</f>
        <v>46182</v>
      </c>
      <c r="O876" s="24">
        <f>IF($N876="","",WORKDAY($N876,Settings!$C$10,HolidayDates))</f>
        <v>46220</v>
      </c>
      <c r="P876" s="10" t="s">
        <v>501</v>
      </c>
      <c r="Q876" s="52" t="str">
        <f t="shared" si="152"/>
        <v>Collected</v>
      </c>
      <c r="R876" s="55" t="str">
        <f t="shared" si="153"/>
        <v>2026-06</v>
      </c>
      <c r="S876" s="55">
        <f>IF(OR($B876="",$F876="",$R876=""),"",SUMIFS(tblIssues[Qty Issued],tblIssues[Staff ID],$B876,tblIssues[Item Name],$F876,tblIssues[Month],$R876))</f>
        <v>5</v>
      </c>
      <c r="T876" s="56">
        <f>IF($I876="","",$I876*Settings!$C$11)</f>
        <v>5</v>
      </c>
      <c r="U876" s="57" t="str">
        <f t="shared" si="150"/>
        <v>OK</v>
      </c>
      <c r="V876" s="55" t="str">
        <f t="shared" si="154"/>
        <v/>
      </c>
      <c r="W876" s="55" t="str">
        <f>IF($V876="","",IF(COUNTIF($V$5:$V876,$V876)=1,1,""))</f>
        <v/>
      </c>
      <c r="X876" s="58" t="str">
        <f>IF($W876="","",MAX($X$4:X875)+1)</f>
        <v/>
      </c>
      <c r="Y876" s="62"/>
      <c r="Z876" s="62"/>
      <c r="AA876" s="64" t="str">
        <f>IF($C876="","",IFERROR(INDEX('Staff Directory'!$E$5:$E$594,MATCH($C876,'Staff Directory'!$B$5:$B$594,0)),""))</f>
        <v>firstname240.lastname240@example.com</v>
      </c>
      <c r="AB876" s="64" t="str">
        <f>IF($C876="","",IF(ISNUMBER(SEARCH($D876,Settings!$C$15)),"Pickup","Dispatch"))</f>
        <v>Pickup</v>
      </c>
      <c r="AC876" s="64" t="str">
        <f t="shared" si="155"/>
        <v>Supply order ready for pickup</v>
      </c>
      <c r="AD876" s="64" t="str">
        <f t="shared" si="146"/>
        <v>Dear PSW,
Your order is ready for pickup from Sample Branch, Wed-Fri 9am-4pm.</v>
      </c>
      <c r="AE876" s="64" t="str">
        <f t="shared" si="147"/>
        <v>mailto:firstname240.lastname240@example.com?subject=Supply%20order%20ready%20for%20pickup&amp;body=Dear%20PSW%2C%0A%0AYour%20order%20is%20ready%20for%20pickup%20from%20Sample%20Branch%2C%20Wed-Fri%209am-4pm.</v>
      </c>
      <c r="AF876" s="89" t="str">
        <f t="shared" si="156"/>
        <v>Draft email</v>
      </c>
      <c r="AG876" s="64" t="str">
        <f>IF($C876="","",IFERROR(INDEX('Staff Directory'!$K$595:$K$599,MATCH($C876,'Staff Directory'!$B$5:$B$599,0)),$D876))</f>
        <v>PSW</v>
      </c>
      <c r="AH876" t="str">
        <f>IF($C876="","",IFERROR(INDEX('Staff Directory'!$I$595:$I$599,MATCH($C876,'Staff Directory'!$B$5:$B$599,0))&amp;" "&amp;INDEX('Staff Directory'!$J$595:$J$599,MATCH($C876,'Staff Directory'!$B$5:$B$599,0)),$AG876))</f>
        <v>PSW</v>
      </c>
      <c r="AI876" s="102"/>
      <c r="AJ876" s="101">
        <f>IF($F876="","",SUMIFS($J$5:$J876,$F$5:$F876,$F876))</f>
        <v>10</v>
      </c>
      <c r="AK876" s="101">
        <f t="shared" si="148"/>
        <v>6</v>
      </c>
      <c r="AL876" s="66" t="str" cm="1">
        <f t="array" ref="AL876">IF($F876="","",IFERROR(INDEX('Lot Balance'!$B$5:$B$500,MATCH(1,INDEX(('Lot Balance'!$A$5:$A$500=$F876)*('Lot Balance'!$K$5:$K$500&lt;$AK876)*('Lot Balance'!$K$5:$K$500+'Lot Balance'!$D$5:$D$500&gt;=$AK876),0),0)),""))</f>
        <v>WRB500270</v>
      </c>
      <c r="AM876" s="66" t="str" cm="1">
        <f t="array" ref="AM876">IF($F876="","",IFERROR(INDEX('Lot Balance'!$B$5:$B$500,MATCH(1,INDEX(('Lot Balance'!$A$5:$A$500=$F876)*('Lot Balance'!$K$5:$K$500&lt;$AJ876)*('Lot Balance'!$K$5:$K$500+'Lot Balance'!$D$5:$D$500&gt;=$AJ876),0),0)),""))</f>
        <v>WRB500270</v>
      </c>
      <c r="AN876" s="66" t="str">
        <f>IF($F876="","",IF($AI876&lt;&gt;"",IF(COUNTIFS('Lot Balance'!$A$5:$A$500,$F876,'Lot Balance'!$B$5:$B$500,$AI876)=0,"⚠ override is not a lot of this item",IF($AI876=$AL876,"Override = FEFO","Override - FEFO says "&amp;$AL876)),IF($AL876="","⚠ no receipt on file for this item",IF($AM876&lt;&gt;$AL876,"FEFO auto - split, also "&amp;$AM876,"FEFO auto"))))</f>
        <v>FEFO auto</v>
      </c>
      <c r="AO876" s="114"/>
    </row>
    <row r="877" spans="1:41" x14ac:dyDescent="0.35">
      <c r="A877" s="74">
        <v>46174</v>
      </c>
      <c r="B877" s="18" t="str">
        <f>IF($C877="","",IFERROR(INDEX('Staff Directory'!$A$5:$A$594,MATCH($C877,'Staff Directory'!$B$5:$B$594,0)),"⚠ unknown staff"))</f>
        <v>PSW-177-TBD</v>
      </c>
      <c r="C877" s="49" t="s">
        <v>1156</v>
      </c>
      <c r="D877" s="19" t="str">
        <f>IF($B877="","",IFERROR(INDEX('Staff Directory'!$C$5:$C$594,MATCH($B877,'Staff Directory'!$A$5:$A$594,0)),""))</f>
        <v>PSW</v>
      </c>
      <c r="E877" s="19">
        <f>IF($B877="","",IFERROR(INDEX('Staff Directory'!$D$5:$D$594,MATCH($B877,'Staff Directory'!$A$5:$A$594,0)),""))</f>
        <v>0</v>
      </c>
      <c r="F877" s="9" t="s">
        <v>144</v>
      </c>
      <c r="G877" s="18" t="str">
        <f>IF($F877="","",IFERROR(INDEX(Items!$B$5:$B$597,MATCH($F877,Items!$A$5:$A$597,0)),"⚠ not in Items"))</f>
        <v>IPAC</v>
      </c>
      <c r="H877" s="19" t="str">
        <f>IF($F877="","",IFERROR(INDEX(Items!$C$5:$C$597,MATCH($F877,Items!$A$5:$A$597,0)),""))</f>
        <v>One Size</v>
      </c>
      <c r="I877" s="23">
        <f>IF($F877="","",IFERROR(INDEX(Items!$E$5:$E$597,MATCH($F877,Items!$A$5:$A$597,0)),""))</f>
        <v>4</v>
      </c>
      <c r="J877" s="115">
        <f>IF(tblIssues[[#This Row],[Qty Override]]&lt;&gt;"",tblIssues[[#This Row],[Qty Override]],IF(tblIssues[[#This Row],[Standard Issue]]="","",tblIssues[[#This Row],[Standard Issue]]))</f>
        <v>4</v>
      </c>
      <c r="K877" s="20">
        <f>IF($F877="","",IFERROR(INDEX(Items!$D$5:$D$597,MATCH($F877,Items!$A$5:$A$597,0)),""))</f>
        <v>145.97999999999999</v>
      </c>
      <c r="L877" s="21">
        <f t="shared" si="151"/>
        <v>583.91999999999996</v>
      </c>
      <c r="M877" s="9" t="str">
        <f t="shared" si="149"/>
        <v/>
      </c>
      <c r="N877" s="24">
        <f>IF($A877="","",WORKDAY($A877,Settings!$C$9,HolidayDates))</f>
        <v>46182</v>
      </c>
      <c r="O877" s="24">
        <f>IF($N877="","",WORKDAY($N877,Settings!$C$10,HolidayDates))</f>
        <v>46220</v>
      </c>
      <c r="P877" s="10" t="s">
        <v>501</v>
      </c>
      <c r="Q877" s="52" t="str">
        <f t="shared" si="152"/>
        <v>Collected</v>
      </c>
      <c r="R877" s="55" t="str">
        <f t="shared" si="153"/>
        <v>2026-06</v>
      </c>
      <c r="S877" s="55">
        <f>IF(OR($B877="",$F877="",$R877=""),"",SUMIFS(tblIssues[Qty Issued],tblIssues[Staff ID],$B877,tblIssues[Item Name],$F877,tblIssues[Month],$R877))</f>
        <v>4</v>
      </c>
      <c r="T877" s="56">
        <f>IF($I877="","",$I877*Settings!$C$11)</f>
        <v>4</v>
      </c>
      <c r="U877" s="57" t="str">
        <f t="shared" si="150"/>
        <v>OK</v>
      </c>
      <c r="V877" s="55" t="str">
        <f t="shared" si="154"/>
        <v/>
      </c>
      <c r="W877" s="55" t="str">
        <f>IF($V877="","",IF(COUNTIF($V$5:$V877,$V877)=1,1,""))</f>
        <v/>
      </c>
      <c r="X877" s="58" t="str">
        <f>IF($W877="","",MAX($X$4:X876)+1)</f>
        <v/>
      </c>
      <c r="Y877" s="62"/>
      <c r="Z877" s="62"/>
      <c r="AA877" s="64" t="str">
        <f>IF($C877="","",IFERROR(INDEX('Staff Directory'!$E$5:$E$594,MATCH($C877,'Staff Directory'!$B$5:$B$594,0)),""))</f>
        <v>firstname240.lastname240@example.com</v>
      </c>
      <c r="AB877" s="64" t="str">
        <f>IF($C877="","",IF(ISNUMBER(SEARCH($D877,Settings!$C$15)),"Pickup","Dispatch"))</f>
        <v>Pickup</v>
      </c>
      <c r="AC877" s="64" t="str">
        <f t="shared" si="155"/>
        <v>Supply order ready for pickup</v>
      </c>
      <c r="AD877" s="64" t="str">
        <f t="shared" si="146"/>
        <v>Dear PSW,
Your order is ready for pickup from Sample Branch, Wed-Fri 9am-4pm.</v>
      </c>
      <c r="AE877" s="64" t="str">
        <f t="shared" si="147"/>
        <v>mailto:firstname240.lastname240@example.com?subject=Supply%20order%20ready%20for%20pickup&amp;body=Dear%20PSW%2C%0A%0AYour%20order%20is%20ready%20for%20pickup%20from%20Sample%20Branch%2C%20Wed-Fri%209am-4pm.</v>
      </c>
      <c r="AF877" s="89" t="str">
        <f t="shared" si="156"/>
        <v>Draft email</v>
      </c>
      <c r="AG877" s="64" t="str">
        <f>IF($C877="","",IFERROR(INDEX('Staff Directory'!$K$595:$K$599,MATCH($C877,'Staff Directory'!$B$5:$B$599,0)),$D877))</f>
        <v>PSW</v>
      </c>
      <c r="AH877" t="str">
        <f>IF($C877="","",IFERROR(INDEX('Staff Directory'!$I$595:$I$599,MATCH($C877,'Staff Directory'!$B$5:$B$599,0))&amp;" "&amp;INDEX('Staff Directory'!$J$595:$J$599,MATCH($C877,'Staff Directory'!$B$5:$B$599,0)),$AG877))</f>
        <v>PSW</v>
      </c>
      <c r="AI877" s="102"/>
      <c r="AJ877" s="101">
        <f>IF($F877="","",SUMIFS($J$5:$J877,$F$5:$F877,$F877))</f>
        <v>20</v>
      </c>
      <c r="AK877" s="101">
        <f t="shared" si="148"/>
        <v>17</v>
      </c>
      <c r="AL877" s="66" t="str" cm="1">
        <f t="array" ref="AL877">IF($F877="","",IFERROR(INDEX('Lot Balance'!$B$5:$B$500,MATCH(1,INDEX(('Lot Balance'!$A$5:$A$500=$F877)*('Lot Balance'!$K$5:$K$500&lt;$AK877)*('Lot Balance'!$K$5:$K$500+'Lot Balance'!$D$5:$D$500&gt;=$AK877),0),0)),""))</f>
        <v/>
      </c>
      <c r="AM877" s="66" t="str" cm="1">
        <f t="array" ref="AM877">IF($F877="","",IFERROR(INDEX('Lot Balance'!$B$5:$B$500,MATCH(1,INDEX(('Lot Balance'!$A$5:$A$500=$F877)*('Lot Balance'!$K$5:$K$500&lt;$AJ877)*('Lot Balance'!$K$5:$K$500+'Lot Balance'!$D$5:$D$500&gt;=$AJ877),0),0)),""))</f>
        <v/>
      </c>
      <c r="AN877" s="66" t="str">
        <f>IF($F877="","",IF($AI877&lt;&gt;"",IF(COUNTIFS('Lot Balance'!$A$5:$A$500,$F877,'Lot Balance'!$B$5:$B$500,$AI877)=0,"⚠ override is not a lot of this item",IF($AI877=$AL877,"Override = FEFO","Override - FEFO says "&amp;$AL877)),IF($AL877="","⚠ no receipt on file for this item",IF($AM877&lt;&gt;$AL877,"FEFO auto - split, also "&amp;$AM877,"FEFO auto"))))</f>
        <v>⚠ no receipt on file for this item</v>
      </c>
      <c r="AO877" s="114"/>
    </row>
    <row r="878" spans="1:41" x14ac:dyDescent="0.35">
      <c r="A878" s="74">
        <v>46174</v>
      </c>
      <c r="B878" s="18" t="str">
        <f>IF($C878="","",IFERROR(INDEX('Staff Directory'!$A$5:$A$594,MATCH($C878,'Staff Directory'!$B$5:$B$594,0)),"⚠ unknown staff"))</f>
        <v>PSW-177-TBD</v>
      </c>
      <c r="C878" s="49" t="s">
        <v>1156</v>
      </c>
      <c r="D878" s="19" t="str">
        <f>IF($B878="","",IFERROR(INDEX('Staff Directory'!$C$5:$C$594,MATCH($B878,'Staff Directory'!$A$5:$A$594,0)),""))</f>
        <v>PSW</v>
      </c>
      <c r="E878" s="19">
        <f>IF($B878="","",IFERROR(INDEX('Staff Directory'!$D$5:$D$594,MATCH($B878,'Staff Directory'!$A$5:$A$594,0)),""))</f>
        <v>0</v>
      </c>
      <c r="F878" s="9" t="s">
        <v>154</v>
      </c>
      <c r="G878" s="18" t="str">
        <f>IF($F878="","",IFERROR(INDEX(Items!$B$5:$B$597,MATCH($F878,Items!$A$5:$A$597,0)),"⚠ not in Items"))</f>
        <v>IPAC</v>
      </c>
      <c r="H878" s="19" t="str">
        <f>IF($F878="","",IFERROR(INDEX(Items!$C$5:$C$597,MATCH($F878,Items!$A$5:$A$597,0)),""))</f>
        <v>Regular</v>
      </c>
      <c r="I878" s="23">
        <f>IF($F878="","",IFERROR(INDEX(Items!$E$5:$E$597,MATCH($F878,Items!$A$5:$A$597,0)),""))</f>
        <v>50</v>
      </c>
      <c r="J878" s="115">
        <f>IF(tblIssues[[#This Row],[Qty Override]]&lt;&gt;"",tblIssues[[#This Row],[Qty Override]],IF(tblIssues[[#This Row],[Standard Issue]]="","",tblIssues[[#This Row],[Standard Issue]]))</f>
        <v>50</v>
      </c>
      <c r="K878" s="20">
        <f>IF($F878="","",IFERROR(INDEX(Items!$D$5:$D$597,MATCH($F878,Items!$A$5:$A$597,0)),""))</f>
        <v>0.2</v>
      </c>
      <c r="L878" s="21">
        <f t="shared" si="151"/>
        <v>10</v>
      </c>
      <c r="M878" s="9" t="str">
        <f t="shared" si="149"/>
        <v/>
      </c>
      <c r="N878" s="24">
        <f>IF($A878="","",WORKDAY($A878,Settings!$C$9,HolidayDates))</f>
        <v>46182</v>
      </c>
      <c r="O878" s="24">
        <f>IF($N878="","",WORKDAY($N878,Settings!$C$10,HolidayDates))</f>
        <v>46220</v>
      </c>
      <c r="P878" s="10" t="s">
        <v>501</v>
      </c>
      <c r="Q878" s="52" t="str">
        <f t="shared" si="152"/>
        <v>Collected</v>
      </c>
      <c r="R878" s="55" t="str">
        <f t="shared" si="153"/>
        <v>2026-06</v>
      </c>
      <c r="S878" s="55">
        <f>IF(OR($B878="",$F878="",$R878=""),"",SUMIFS(tblIssues[Qty Issued],tblIssues[Staff ID],$B878,tblIssues[Item Name],$F878,tblIssues[Month],$R878))</f>
        <v>50</v>
      </c>
      <c r="T878" s="56">
        <f>IF($I878="","",$I878*Settings!$C$11)</f>
        <v>50</v>
      </c>
      <c r="U878" s="57" t="str">
        <f t="shared" si="150"/>
        <v>OK</v>
      </c>
      <c r="V878" s="55" t="str">
        <f t="shared" si="154"/>
        <v/>
      </c>
      <c r="W878" s="55" t="str">
        <f>IF($V878="","",IF(COUNTIF($V$5:$V878,$V878)=1,1,""))</f>
        <v/>
      </c>
      <c r="X878" s="58" t="str">
        <f>IF($W878="","",MAX($X$4:X877)+1)</f>
        <v/>
      </c>
      <c r="Y878" s="62"/>
      <c r="Z878" s="62"/>
      <c r="AA878" s="64" t="str">
        <f>IF($C878="","",IFERROR(INDEX('Staff Directory'!$E$5:$E$594,MATCH($C878,'Staff Directory'!$B$5:$B$594,0)),""))</f>
        <v>firstname240.lastname240@example.com</v>
      </c>
      <c r="AB878" s="64" t="str">
        <f>IF($C878="","",IF(ISNUMBER(SEARCH($D878,Settings!$C$15)),"Pickup","Dispatch"))</f>
        <v>Pickup</v>
      </c>
      <c r="AC878" s="64" t="str">
        <f t="shared" si="155"/>
        <v>Supply order ready for pickup</v>
      </c>
      <c r="AD878" s="64" t="str">
        <f t="shared" si="146"/>
        <v>Dear PSW,
Your order is ready for pickup from Sample Branch, Wed-Fri 9am-4pm.</v>
      </c>
      <c r="AE878" s="64" t="str">
        <f t="shared" si="147"/>
        <v>mailto:firstname240.lastname240@example.com?subject=Supply%20order%20ready%20for%20pickup&amp;body=Dear%20PSW%2C%0A%0AYour%20order%20is%20ready%20for%20pickup%20from%20Sample%20Branch%2C%20Wed-Fri%209am-4pm.</v>
      </c>
      <c r="AF878" s="89" t="str">
        <f t="shared" si="156"/>
        <v>Draft email</v>
      </c>
      <c r="AG878" s="64" t="str">
        <f>IF($C878="","",IFERROR(INDEX('Staff Directory'!$K$595:$K$599,MATCH($C878,'Staff Directory'!$B$5:$B$599,0)),$D878))</f>
        <v>PSW</v>
      </c>
      <c r="AH878" t="str">
        <f>IF($C878="","",IFERROR(INDEX('Staff Directory'!$I$595:$I$599,MATCH($C878,'Staff Directory'!$B$5:$B$599,0))&amp;" "&amp;INDEX('Staff Directory'!$J$595:$J$599,MATCH($C878,'Staff Directory'!$B$5:$B$599,0)),$AG878))</f>
        <v>PSW</v>
      </c>
      <c r="AI878" s="102"/>
      <c r="AJ878" s="101">
        <f>IF($F878="","",SUMIFS($J$5:$J878,$F$5:$F878,$F878))</f>
        <v>650</v>
      </c>
      <c r="AK878" s="101">
        <f t="shared" si="148"/>
        <v>601</v>
      </c>
      <c r="AL878" s="66" t="str" cm="1">
        <f t="array" ref="AL878">IF($F878="","",IFERROR(INDEX('Lot Balance'!$B$5:$B$500,MATCH(1,INDEX(('Lot Balance'!$A$5:$A$500=$F878)*('Lot Balance'!$K$5:$K$500&lt;$AK878)*('Lot Balance'!$K$5:$K$500+'Lot Balance'!$D$5:$D$500&gt;=$AK878),0),0)),""))</f>
        <v/>
      </c>
      <c r="AM878" s="66" t="str" cm="1">
        <f t="array" ref="AM878">IF($F878="","",IFERROR(INDEX('Lot Balance'!$B$5:$B$500,MATCH(1,INDEX(('Lot Balance'!$A$5:$A$500=$F878)*('Lot Balance'!$K$5:$K$500&lt;$AJ878)*('Lot Balance'!$K$5:$K$500+'Lot Balance'!$D$5:$D$500&gt;=$AJ878),0),0)),""))</f>
        <v/>
      </c>
      <c r="AN878" s="66" t="str">
        <f>IF($F878="","",IF($AI878&lt;&gt;"",IF(COUNTIFS('Lot Balance'!$A$5:$A$500,$F878,'Lot Balance'!$B$5:$B$500,$AI878)=0,"⚠ override is not a lot of this item",IF($AI878=$AL878,"Override = FEFO","Override - FEFO says "&amp;$AL878)),IF($AL878="","⚠ no receipt on file for this item",IF($AM878&lt;&gt;$AL878,"FEFO auto - split, also "&amp;$AM878,"FEFO auto"))))</f>
        <v>⚠ no receipt on file for this item</v>
      </c>
      <c r="AO878" s="114"/>
    </row>
    <row r="879" spans="1:41" x14ac:dyDescent="0.35">
      <c r="A879" s="74">
        <v>46174</v>
      </c>
      <c r="B879" s="18" t="str">
        <f>IF($C879="","",IFERROR(INDEX('Staff Directory'!$A$5:$A$594,MATCH($C879,'Staff Directory'!$B$5:$B$594,0)),"⚠ unknown staff"))</f>
        <v>PSW-177-TBD</v>
      </c>
      <c r="C879" s="49" t="s">
        <v>1156</v>
      </c>
      <c r="D879" s="19" t="str">
        <f>IF($B879="","",IFERROR(INDEX('Staff Directory'!$C$5:$C$594,MATCH($B879,'Staff Directory'!$A$5:$A$594,0)),""))</f>
        <v>PSW</v>
      </c>
      <c r="E879" s="19">
        <f>IF($B879="","",IFERROR(INDEX('Staff Directory'!$D$5:$D$594,MATCH($B879,'Staff Directory'!$A$5:$A$594,0)),""))</f>
        <v>0</v>
      </c>
      <c r="F879" s="9" t="s">
        <v>136</v>
      </c>
      <c r="G879" s="18" t="str">
        <f>IF($F879="","",IFERROR(INDEX(Items!$B$5:$B$597,MATCH($F879,Items!$A$5:$A$597,0)),"⚠ not in Items"))</f>
        <v>Eye Protection</v>
      </c>
      <c r="H879" s="19" t="str">
        <f>IF($F879="","",IFERROR(INDEX(Items!$C$5:$C$597,MATCH($F879,Items!$A$5:$A$597,0)),""))</f>
        <v>One Size</v>
      </c>
      <c r="I879" s="23">
        <f>IF($F879="","",IFERROR(INDEX(Items!$E$5:$E$597,MATCH($F879,Items!$A$5:$A$597,0)),""))</f>
        <v>1</v>
      </c>
      <c r="J879" s="115">
        <f>IF(tblIssues[[#This Row],[Qty Override]]&lt;&gt;"",tblIssues[[#This Row],[Qty Override]],IF(tblIssues[[#This Row],[Standard Issue]]="","",tblIssues[[#This Row],[Standard Issue]]))</f>
        <v>1</v>
      </c>
      <c r="K879" s="20">
        <f>IF($F879="","",IFERROR(INDEX(Items!$D$5:$D$597,MATCH($F879,Items!$A$5:$A$597,0)),""))</f>
        <v>10</v>
      </c>
      <c r="L879" s="21">
        <f t="shared" si="151"/>
        <v>10</v>
      </c>
      <c r="M879" s="9" t="str">
        <f t="shared" si="149"/>
        <v>GGL5003700</v>
      </c>
      <c r="N879" s="24">
        <f>IF($A879="","",WORKDAY($A879,Settings!$C$9,HolidayDates))</f>
        <v>46182</v>
      </c>
      <c r="O879" s="24">
        <f>IF($N879="","",WORKDAY($N879,Settings!$C$10,HolidayDates))</f>
        <v>46220</v>
      </c>
      <c r="P879" s="10" t="s">
        <v>501</v>
      </c>
      <c r="Q879" s="52" t="str">
        <f t="shared" si="152"/>
        <v>Collected</v>
      </c>
      <c r="R879" s="55" t="str">
        <f t="shared" si="153"/>
        <v>2026-06</v>
      </c>
      <c r="S879" s="55">
        <f>IF(OR($B879="",$F879="",$R879=""),"",SUMIFS(tblIssues[Qty Issued],tblIssues[Staff ID],$B879,tblIssues[Item Name],$F879,tblIssues[Month],$R879))</f>
        <v>1</v>
      </c>
      <c r="T879" s="56">
        <f>IF($I879="","",$I879*Settings!$C$11)</f>
        <v>1</v>
      </c>
      <c r="U879" s="57" t="str">
        <f t="shared" si="150"/>
        <v>OK</v>
      </c>
      <c r="V879" s="55" t="str">
        <f t="shared" si="154"/>
        <v/>
      </c>
      <c r="W879" s="55" t="str">
        <f>IF($V879="","",IF(COUNTIF($V$5:$V879,$V879)=1,1,""))</f>
        <v/>
      </c>
      <c r="X879" s="58" t="str">
        <f>IF($W879="","",MAX($X$4:X878)+1)</f>
        <v/>
      </c>
      <c r="Y879" s="62"/>
      <c r="Z879" s="62"/>
      <c r="AA879" s="64" t="str">
        <f>IF($C879="","",IFERROR(INDEX('Staff Directory'!$E$5:$E$594,MATCH($C879,'Staff Directory'!$B$5:$B$594,0)),""))</f>
        <v>firstname240.lastname240@example.com</v>
      </c>
      <c r="AB879" s="64" t="str">
        <f>IF($C879="","",IF(ISNUMBER(SEARCH($D879,Settings!$C$15)),"Pickup","Dispatch"))</f>
        <v>Pickup</v>
      </c>
      <c r="AC879" s="64" t="str">
        <f t="shared" si="155"/>
        <v>Supply order ready for pickup</v>
      </c>
      <c r="AD879" s="64" t="str">
        <f t="shared" si="146"/>
        <v>Dear PSW,
Your order is ready for pickup from Sample Branch, Wed-Fri 9am-4pm.</v>
      </c>
      <c r="AE879" s="64" t="str">
        <f t="shared" si="147"/>
        <v>mailto:firstname240.lastname240@example.com?subject=Supply%20order%20ready%20for%20pickup&amp;body=Dear%20PSW%2C%0A%0AYour%20order%20is%20ready%20for%20pickup%20from%20Sample%20Branch%2C%20Wed-Fri%209am-4pm.</v>
      </c>
      <c r="AF879" s="89" t="str">
        <f t="shared" si="156"/>
        <v>Draft email</v>
      </c>
      <c r="AG879" s="64" t="str">
        <f>IF($C879="","",IFERROR(INDEX('Staff Directory'!$K$595:$K$599,MATCH($C879,'Staff Directory'!$B$5:$B$599,0)),$D879))</f>
        <v>PSW</v>
      </c>
      <c r="AH879" t="str">
        <f>IF($C879="","",IFERROR(INDEX('Staff Directory'!$I$595:$I$599,MATCH($C879,'Staff Directory'!$B$5:$B$599,0))&amp;" "&amp;INDEX('Staff Directory'!$J$595:$J$599,MATCH($C879,'Staff Directory'!$B$5:$B$599,0)),$AG879))</f>
        <v>PSW</v>
      </c>
      <c r="AI879" s="102"/>
      <c r="AJ879" s="101">
        <f>IF($F879="","",SUMIFS($J$5:$J879,$F$5:$F879,$F879))</f>
        <v>2</v>
      </c>
      <c r="AK879" s="101">
        <f t="shared" si="148"/>
        <v>2</v>
      </c>
      <c r="AL879" s="66" t="str" cm="1">
        <f t="array" ref="AL879">IF($F879="","",IFERROR(INDEX('Lot Balance'!$B$5:$B$500,MATCH(1,INDEX(('Lot Balance'!$A$5:$A$500=$F879)*('Lot Balance'!$K$5:$K$500&lt;$AK879)*('Lot Balance'!$K$5:$K$500+'Lot Balance'!$D$5:$D$500&gt;=$AK879),0),0)),""))</f>
        <v>GGL5003700</v>
      </c>
      <c r="AM879" s="66" t="str" cm="1">
        <f t="array" ref="AM879">IF($F879="","",IFERROR(INDEX('Lot Balance'!$B$5:$B$500,MATCH(1,INDEX(('Lot Balance'!$A$5:$A$500=$F879)*('Lot Balance'!$K$5:$K$500&lt;$AJ879)*('Lot Balance'!$K$5:$K$500+'Lot Balance'!$D$5:$D$500&gt;=$AJ879),0),0)),""))</f>
        <v>GGL5003700</v>
      </c>
      <c r="AN879" s="66" t="str">
        <f>IF($F879="","",IF($AI879&lt;&gt;"",IF(COUNTIFS('Lot Balance'!$A$5:$A$500,$F879,'Lot Balance'!$B$5:$B$500,$AI879)=0,"⚠ override is not a lot of this item",IF($AI879=$AL879,"Override = FEFO","Override - FEFO says "&amp;$AL879)),IF($AL879="","⚠ no receipt on file for this item",IF($AM879&lt;&gt;$AL879,"FEFO auto - split, also "&amp;$AM879,"FEFO auto"))))</f>
        <v>FEFO auto</v>
      </c>
      <c r="AO879" s="114"/>
    </row>
    <row r="880" spans="1:41" x14ac:dyDescent="0.35">
      <c r="A880" s="74">
        <v>46174</v>
      </c>
      <c r="B880" s="18" t="str">
        <f>IF($C880="","",IFERROR(INDEX('Staff Directory'!$A$5:$A$594,MATCH($C880,'Staff Directory'!$B$5:$B$594,0)),"⚠ unknown staff"))</f>
        <v>PSW-177-TBD</v>
      </c>
      <c r="C880" s="49" t="s">
        <v>1156</v>
      </c>
      <c r="D880" s="19" t="str">
        <f>IF($B880="","",IFERROR(INDEX('Staff Directory'!$C$5:$C$594,MATCH($B880,'Staff Directory'!$A$5:$A$594,0)),""))</f>
        <v>PSW</v>
      </c>
      <c r="E880" s="19">
        <f>IF($B880="","",IFERROR(INDEX('Staff Directory'!$D$5:$D$594,MATCH($B880,'Staff Directory'!$A$5:$A$594,0)),""))</f>
        <v>0</v>
      </c>
      <c r="F880" s="9" t="s">
        <v>122</v>
      </c>
      <c r="G880" s="18" t="str">
        <f>IF($F880="","",IFERROR(INDEX(Items!$B$5:$B$597,MATCH($F880,Items!$A$5:$A$597,0)),"⚠ not in Items"))</f>
        <v>Eye Protection</v>
      </c>
      <c r="H880" s="19" t="str">
        <f>IF($F880="","",IFERROR(INDEX(Items!$C$5:$C$597,MATCH($F880,Items!$A$5:$A$597,0)),""))</f>
        <v>One Size</v>
      </c>
      <c r="I880" s="23">
        <f>IF($F880="","",IFERROR(INDEX(Items!$E$5:$E$597,MATCH($F880,Items!$A$5:$A$597,0)),""))</f>
        <v>1</v>
      </c>
      <c r="J880" s="115">
        <f>IF(tblIssues[[#This Row],[Qty Override]]&lt;&gt;"",tblIssues[[#This Row],[Qty Override]],IF(tblIssues[[#This Row],[Standard Issue]]="","",tblIssues[[#This Row],[Standard Issue]]))</f>
        <v>1</v>
      </c>
      <c r="K880" s="20">
        <f>IF($F880="","",IFERROR(INDEX(Items!$D$5:$D$597,MATCH($F880,Items!$A$5:$A$597,0)),""))</f>
        <v>7</v>
      </c>
      <c r="L880" s="21">
        <f t="shared" si="151"/>
        <v>7</v>
      </c>
      <c r="M880" s="9" t="str">
        <f t="shared" si="149"/>
        <v/>
      </c>
      <c r="N880" s="24">
        <f>IF($A880="","",WORKDAY($A880,Settings!$C$9,HolidayDates))</f>
        <v>46182</v>
      </c>
      <c r="O880" s="24">
        <f>IF($N880="","",WORKDAY($N880,Settings!$C$10,HolidayDates))</f>
        <v>46220</v>
      </c>
      <c r="P880" s="10" t="s">
        <v>501</v>
      </c>
      <c r="Q880" s="52" t="str">
        <f t="shared" si="152"/>
        <v>Collected</v>
      </c>
      <c r="R880" s="55" t="str">
        <f t="shared" si="153"/>
        <v>2026-06</v>
      </c>
      <c r="S880" s="55">
        <f>IF(OR($B880="",$F880="",$R880=""),"",SUMIFS(tblIssues[Qty Issued],tblIssues[Staff ID],$B880,tblIssues[Item Name],$F880,tblIssues[Month],$R880))</f>
        <v>1</v>
      </c>
      <c r="T880" s="56">
        <f>IF($I880="","",$I880*Settings!$C$11)</f>
        <v>1</v>
      </c>
      <c r="U880" s="57" t="str">
        <f t="shared" si="150"/>
        <v>OK</v>
      </c>
      <c r="V880" s="55" t="str">
        <f t="shared" si="154"/>
        <v/>
      </c>
      <c r="W880" s="55" t="str">
        <f>IF($V880="","",IF(COUNTIF($V$5:$V880,$V880)=1,1,""))</f>
        <v/>
      </c>
      <c r="X880" s="58" t="str">
        <f>IF($W880="","",MAX($X$4:X879)+1)</f>
        <v/>
      </c>
      <c r="Y880" s="62"/>
      <c r="Z880" s="62"/>
      <c r="AA880" s="64" t="str">
        <f>IF($C880="","",IFERROR(INDEX('Staff Directory'!$E$5:$E$594,MATCH($C880,'Staff Directory'!$B$5:$B$594,0)),""))</f>
        <v>firstname240.lastname240@example.com</v>
      </c>
      <c r="AB880" s="64" t="str">
        <f>IF($C880="","",IF(ISNUMBER(SEARCH($D880,Settings!$C$15)),"Pickup","Dispatch"))</f>
        <v>Pickup</v>
      </c>
      <c r="AC880" s="64" t="str">
        <f t="shared" si="155"/>
        <v>Supply order ready for pickup</v>
      </c>
      <c r="AD880" s="64" t="str">
        <f t="shared" si="146"/>
        <v>Dear PSW,
Your order is ready for pickup from Sample Branch, Wed-Fri 9am-4pm.</v>
      </c>
      <c r="AE880" s="64" t="str">
        <f t="shared" si="147"/>
        <v>mailto:firstname240.lastname240@example.com?subject=Supply%20order%20ready%20for%20pickup&amp;body=Dear%20PSW%2C%0A%0AYour%20order%20is%20ready%20for%20pickup%20from%20Sample%20Branch%2C%20Wed-Fri%209am-4pm.</v>
      </c>
      <c r="AF880" s="89" t="str">
        <f t="shared" si="156"/>
        <v>Draft email</v>
      </c>
      <c r="AG880" s="64" t="str">
        <f>IF($C880="","",IFERROR(INDEX('Staff Directory'!$K$595:$K$599,MATCH($C880,'Staff Directory'!$B$5:$B$599,0)),$D880))</f>
        <v>PSW</v>
      </c>
      <c r="AH880" t="str">
        <f>IF($C880="","",IFERROR(INDEX('Staff Directory'!$I$595:$I$599,MATCH($C880,'Staff Directory'!$B$5:$B$599,0))&amp;" "&amp;INDEX('Staff Directory'!$J$595:$J$599,MATCH($C880,'Staff Directory'!$B$5:$B$599,0)),$AG880))</f>
        <v>PSW</v>
      </c>
      <c r="AI880" s="102"/>
      <c r="AJ880" s="101">
        <f>IF($F880="","",SUMIFS($J$5:$J880,$F$5:$F880,$F880))</f>
        <v>3</v>
      </c>
      <c r="AK880" s="101">
        <f t="shared" si="148"/>
        <v>3</v>
      </c>
      <c r="AL880" s="66" t="str" cm="1">
        <f t="array" ref="AL880">IF($F880="","",IFERROR(INDEX('Lot Balance'!$B$5:$B$500,MATCH(1,INDEX(('Lot Balance'!$A$5:$A$500=$F880)*('Lot Balance'!$K$5:$K$500&lt;$AK880)*('Lot Balance'!$K$5:$K$500+'Lot Balance'!$D$5:$D$500&gt;=$AK880),0),0)),""))</f>
        <v/>
      </c>
      <c r="AM880" s="66" t="str" cm="1">
        <f t="array" ref="AM880">IF($F880="","",IFERROR(INDEX('Lot Balance'!$B$5:$B$500,MATCH(1,INDEX(('Lot Balance'!$A$5:$A$500=$F880)*('Lot Balance'!$K$5:$K$500&lt;$AJ880)*('Lot Balance'!$K$5:$K$500+'Lot Balance'!$D$5:$D$500&gt;=$AJ880),0),0)),""))</f>
        <v/>
      </c>
      <c r="AN880" s="66" t="str">
        <f>IF($F880="","",IF($AI880&lt;&gt;"",IF(COUNTIFS('Lot Balance'!$A$5:$A$500,$F880,'Lot Balance'!$B$5:$B$500,$AI880)=0,"⚠ override is not a lot of this item",IF($AI880=$AL880,"Override = FEFO","Override - FEFO says "&amp;$AL880)),IF($AL880="","⚠ no receipt on file for this item",IF($AM880&lt;&gt;$AL880,"FEFO auto - split, also "&amp;$AM880,"FEFO auto"))))</f>
        <v>⚠ no receipt on file for this item</v>
      </c>
      <c r="AO880" s="114"/>
    </row>
    <row r="881" spans="1:41" x14ac:dyDescent="0.35">
      <c r="A881" s="74">
        <v>46174</v>
      </c>
      <c r="B881" s="18" t="str">
        <f>IF($C881="","",IFERROR(INDEX('Staff Directory'!$A$5:$A$594,MATCH($C881,'Staff Directory'!$B$5:$B$594,0)),"⚠ unknown staff"))</f>
        <v>PSW-177-TBD</v>
      </c>
      <c r="C881" s="49" t="s">
        <v>1156</v>
      </c>
      <c r="D881" s="19" t="str">
        <f>IF($B881="","",IFERROR(INDEX('Staff Directory'!$C$5:$C$594,MATCH($B881,'Staff Directory'!$A$5:$A$594,0)),""))</f>
        <v>PSW</v>
      </c>
      <c r="E881" s="19">
        <f>IF($B881="","",IFERROR(INDEX('Staff Directory'!$D$5:$D$594,MATCH($B881,'Staff Directory'!$A$5:$A$594,0)),""))</f>
        <v>0</v>
      </c>
      <c r="F881" s="9" t="s">
        <v>150</v>
      </c>
      <c r="G881" s="18" t="str">
        <f>IF($F881="","",IFERROR(INDEX(Items!$B$5:$B$597,MATCH($F881,Items!$A$5:$A$597,0)),"⚠ not in Items"))</f>
        <v>Documents</v>
      </c>
      <c r="H881" s="19" t="str">
        <f>IF($F881="","",IFERROR(INDEX(Items!$C$5:$C$597,MATCH($F881,Items!$A$5:$A$597,0)),""))</f>
        <v>Standard</v>
      </c>
      <c r="I881" s="23">
        <f>IF($F881="","",IFERROR(INDEX(Items!$E$5:$E$597,MATCH($F881,Items!$A$5:$A$597,0)),""))</f>
        <v>1</v>
      </c>
      <c r="J881" s="115">
        <f>IF(tblIssues[[#This Row],[Qty Override]]&lt;&gt;"",tblIssues[[#This Row],[Qty Override]],IF(tblIssues[[#This Row],[Standard Issue]]="","",tblIssues[[#This Row],[Standard Issue]]))</f>
        <v>1</v>
      </c>
      <c r="K881" s="20">
        <f>IF($F881="","",IFERROR(INDEX(Items!$D$5:$D$597,MATCH($F881,Items!$A$5:$A$597,0)),""))</f>
        <v>0</v>
      </c>
      <c r="L881" s="21">
        <f t="shared" si="151"/>
        <v>0</v>
      </c>
      <c r="M881" s="9" t="str">
        <f t="shared" si="149"/>
        <v/>
      </c>
      <c r="N881" s="24">
        <f>IF($A881="","",WORKDAY($A881,Settings!$C$9,HolidayDates))</f>
        <v>46182</v>
      </c>
      <c r="O881" s="24">
        <f>IF($N881="","",WORKDAY($N881,Settings!$C$10,HolidayDates))</f>
        <v>46220</v>
      </c>
      <c r="P881" s="10" t="s">
        <v>501</v>
      </c>
      <c r="Q881" s="52" t="str">
        <f t="shared" si="152"/>
        <v>Collected</v>
      </c>
      <c r="R881" s="55" t="str">
        <f t="shared" si="153"/>
        <v>2026-06</v>
      </c>
      <c r="S881" s="55">
        <f>IF(OR($B881="",$F881="",$R881=""),"",SUMIFS(tblIssues[Qty Issued],tblIssues[Staff ID],$B881,tblIssues[Item Name],$F881,tblIssues[Month],$R881))</f>
        <v>1</v>
      </c>
      <c r="T881" s="56">
        <f>IF($I881="","",$I881*Settings!$C$11)</f>
        <v>1</v>
      </c>
      <c r="U881" s="57" t="str">
        <f t="shared" si="150"/>
        <v>OK</v>
      </c>
      <c r="V881" s="55" t="str">
        <f t="shared" si="154"/>
        <v/>
      </c>
      <c r="W881" s="55" t="str">
        <f>IF($V881="","",IF(COUNTIF($V$5:$V881,$V881)=1,1,""))</f>
        <v/>
      </c>
      <c r="X881" s="58" t="str">
        <f>IF($W881="","",MAX($X$4:X880)+1)</f>
        <v/>
      </c>
      <c r="Y881" s="62"/>
      <c r="Z881" s="62"/>
      <c r="AA881" s="64" t="str">
        <f>IF($C881="","",IFERROR(INDEX('Staff Directory'!$E$5:$E$594,MATCH($C881,'Staff Directory'!$B$5:$B$594,0)),""))</f>
        <v>firstname240.lastname240@example.com</v>
      </c>
      <c r="AB881" s="64" t="str">
        <f>IF($C881="","",IF(ISNUMBER(SEARCH($D881,Settings!$C$15)),"Pickup","Dispatch"))</f>
        <v>Pickup</v>
      </c>
      <c r="AC881" s="64" t="str">
        <f t="shared" si="155"/>
        <v>Supply order ready for pickup</v>
      </c>
      <c r="AD881" s="64" t="str">
        <f t="shared" si="146"/>
        <v>Dear PSW,
Your order is ready for pickup from Sample Branch, Wed-Fri 9am-4pm.</v>
      </c>
      <c r="AE881" s="64" t="str">
        <f t="shared" si="147"/>
        <v>mailto:firstname240.lastname240@example.com?subject=Supply%20order%20ready%20for%20pickup&amp;body=Dear%20PSW%2C%0A%0AYour%20order%20is%20ready%20for%20pickup%20from%20Sample%20Branch%2C%20Wed-Fri%209am-4pm.</v>
      </c>
      <c r="AF881" s="89" t="str">
        <f t="shared" si="156"/>
        <v>Draft email</v>
      </c>
      <c r="AG881" s="64" t="str">
        <f>IF($C881="","",IFERROR(INDEX('Staff Directory'!$K$595:$K$599,MATCH($C881,'Staff Directory'!$B$5:$B$599,0)),$D881))</f>
        <v>PSW</v>
      </c>
      <c r="AH881" t="str">
        <f>IF($C881="","",IFERROR(INDEX('Staff Directory'!$I$595:$I$599,MATCH($C881,'Staff Directory'!$B$5:$B$599,0))&amp;" "&amp;INDEX('Staff Directory'!$J$595:$J$599,MATCH($C881,'Staff Directory'!$B$5:$B$599,0)),$AG881))</f>
        <v>PSW</v>
      </c>
      <c r="AI881" s="102"/>
      <c r="AJ881" s="101">
        <f>IF($F881="","",SUMIFS($J$5:$J881,$F$5:$F881,$F881))</f>
        <v>3</v>
      </c>
      <c r="AK881" s="101">
        <f t="shared" si="148"/>
        <v>3</v>
      </c>
      <c r="AL881" s="66" t="str" cm="1">
        <f t="array" ref="AL881">IF($F881="","",IFERROR(INDEX('Lot Balance'!$B$5:$B$500,MATCH(1,INDEX(('Lot Balance'!$A$5:$A$500=$F881)*('Lot Balance'!$K$5:$K$500&lt;$AK881)*('Lot Balance'!$K$5:$K$500+'Lot Balance'!$D$5:$D$500&gt;=$AK881),0),0)),""))</f>
        <v/>
      </c>
      <c r="AM881" s="66" t="str" cm="1">
        <f t="array" ref="AM881">IF($F881="","",IFERROR(INDEX('Lot Balance'!$B$5:$B$500,MATCH(1,INDEX(('Lot Balance'!$A$5:$A$500=$F881)*('Lot Balance'!$K$5:$K$500&lt;$AJ881)*('Lot Balance'!$K$5:$K$500+'Lot Balance'!$D$5:$D$500&gt;=$AJ881),0),0)),""))</f>
        <v/>
      </c>
      <c r="AN881" s="66" t="str">
        <f>IF($F881="","",IF($AI881&lt;&gt;"",IF(COUNTIFS('Lot Balance'!$A$5:$A$500,$F881,'Lot Balance'!$B$5:$B$500,$AI881)=0,"⚠ override is not a lot of this item",IF($AI881=$AL881,"Override = FEFO","Override - FEFO says "&amp;$AL881)),IF($AL881="","⚠ no receipt on file for this item",IF($AM881&lt;&gt;$AL881,"FEFO auto - split, also "&amp;$AM881,"FEFO auto"))))</f>
        <v>⚠ no receipt on file for this item</v>
      </c>
      <c r="AO881" s="114"/>
    </row>
    <row r="882" spans="1:41" x14ac:dyDescent="0.35">
      <c r="A882" s="74">
        <v>46174</v>
      </c>
      <c r="B882" s="18" t="str">
        <f>IF($C882="","",IFERROR(INDEX('Staff Directory'!$A$5:$A$594,MATCH($C882,'Staff Directory'!$B$5:$B$594,0)),"⚠ unknown staff"))</f>
        <v>PSW-177-TBD</v>
      </c>
      <c r="C882" s="49" t="s">
        <v>1156</v>
      </c>
      <c r="D882" s="19" t="str">
        <f>IF($B882="","",IFERROR(INDEX('Staff Directory'!$C$5:$C$594,MATCH($B882,'Staff Directory'!$A$5:$A$594,0)),""))</f>
        <v>PSW</v>
      </c>
      <c r="E882" s="19">
        <f>IF($B882="","",IFERROR(INDEX('Staff Directory'!$D$5:$D$594,MATCH($B882,'Staff Directory'!$A$5:$A$594,0)),""))</f>
        <v>0</v>
      </c>
      <c r="F882" s="9" t="s">
        <v>755</v>
      </c>
      <c r="G882" s="18" t="str">
        <f>IF($F882="","",IFERROR(INDEX(Items!$B$5:$B$597,MATCH($F882,Items!$A$5:$A$597,0)),"⚠ not in Items"))</f>
        <v>Documents</v>
      </c>
      <c r="H882" s="19" t="str">
        <f>IF($F882="","",IFERROR(INDEX(Items!$C$5:$C$597,MATCH($F882,Items!$A$5:$A$597,0)),""))</f>
        <v>Standard</v>
      </c>
      <c r="I882" s="23">
        <f>IF($F882="","",IFERROR(INDEX(Items!$E$5:$E$597,MATCH($F882,Items!$A$5:$A$597,0)),""))</f>
        <v>2</v>
      </c>
      <c r="J882" s="115">
        <f>IF(tblIssues[[#This Row],[Qty Override]]&lt;&gt;"",tblIssues[[#This Row],[Qty Override]],IF(tblIssues[[#This Row],[Standard Issue]]="","",tblIssues[[#This Row],[Standard Issue]]))</f>
        <v>2</v>
      </c>
      <c r="K882" s="20">
        <f>IF($F882="","",IFERROR(INDEX(Items!$D$5:$D$597,MATCH($F882,Items!$A$5:$A$597,0)),""))</f>
        <v>0</v>
      </c>
      <c r="L882" s="21">
        <f t="shared" si="151"/>
        <v>0</v>
      </c>
      <c r="M882" s="9" t="str">
        <f t="shared" si="149"/>
        <v/>
      </c>
      <c r="N882" s="24">
        <f>IF($A882="","",WORKDAY($A882,Settings!$C$9,HolidayDates))</f>
        <v>46182</v>
      </c>
      <c r="O882" s="24">
        <f>IF($N882="","",WORKDAY($N882,Settings!$C$10,HolidayDates))</f>
        <v>46220</v>
      </c>
      <c r="P882" s="10" t="s">
        <v>501</v>
      </c>
      <c r="Q882" s="52" t="str">
        <f t="shared" si="152"/>
        <v>Collected</v>
      </c>
      <c r="R882" s="55" t="str">
        <f t="shared" si="153"/>
        <v>2026-06</v>
      </c>
      <c r="S882" s="55">
        <f>IF(OR($B882="",$F882="",$R882=""),"",SUMIFS(tblIssues[Qty Issued],tblIssues[Staff ID],$B882,tblIssues[Item Name],$F882,tblIssues[Month],$R882))</f>
        <v>2</v>
      </c>
      <c r="T882" s="56">
        <f>IF($I882="","",$I882*Settings!$C$11)</f>
        <v>2</v>
      </c>
      <c r="U882" s="57" t="str">
        <f t="shared" si="150"/>
        <v>OK</v>
      </c>
      <c r="V882" s="55" t="str">
        <f t="shared" si="154"/>
        <v/>
      </c>
      <c r="W882" s="55" t="str">
        <f>IF($V882="","",IF(COUNTIF($V$5:$V882,$V882)=1,1,""))</f>
        <v/>
      </c>
      <c r="X882" s="58" t="str">
        <f>IF($W882="","",MAX($X$4:X881)+1)</f>
        <v/>
      </c>
      <c r="Y882" s="62"/>
      <c r="Z882" s="62"/>
      <c r="AA882" s="64" t="str">
        <f>IF($C882="","",IFERROR(INDEX('Staff Directory'!$E$5:$E$594,MATCH($C882,'Staff Directory'!$B$5:$B$594,0)),""))</f>
        <v>firstname240.lastname240@example.com</v>
      </c>
      <c r="AB882" s="64" t="str">
        <f>IF($C882="","",IF(ISNUMBER(SEARCH($D882,Settings!$C$15)),"Pickup","Dispatch"))</f>
        <v>Pickup</v>
      </c>
      <c r="AC882" s="64" t="str">
        <f t="shared" si="155"/>
        <v>Supply order ready for pickup</v>
      </c>
      <c r="AD882" s="64" t="str">
        <f t="shared" si="146"/>
        <v>Dear PSW,
Your order is ready for pickup from Sample Branch, Wed-Fri 9am-4pm.</v>
      </c>
      <c r="AE882" s="64" t="str">
        <f t="shared" si="147"/>
        <v>mailto:firstname240.lastname240@example.com?subject=Supply%20order%20ready%20for%20pickup&amp;body=Dear%20PSW%2C%0A%0AYour%20order%20is%20ready%20for%20pickup%20from%20Sample%20Branch%2C%20Wed-Fri%209am-4pm.</v>
      </c>
      <c r="AF882" s="89" t="str">
        <f t="shared" si="156"/>
        <v>Draft email</v>
      </c>
      <c r="AG882" s="64" t="str">
        <f>IF($C882="","",IFERROR(INDEX('Staff Directory'!$K$595:$K$599,MATCH($C882,'Staff Directory'!$B$5:$B$599,0)),$D882))</f>
        <v>PSW</v>
      </c>
      <c r="AH882" t="str">
        <f>IF($C882="","",IFERROR(INDEX('Staff Directory'!$I$595:$I$599,MATCH($C882,'Staff Directory'!$B$5:$B$599,0))&amp;" "&amp;INDEX('Staff Directory'!$J$595:$J$599,MATCH($C882,'Staff Directory'!$B$5:$B$599,0)),$AG882))</f>
        <v>PSW</v>
      </c>
      <c r="AI882" s="102"/>
      <c r="AJ882" s="101">
        <f>IF($F882="","",SUMIFS($J$5:$J882,$F$5:$F882,$F882))</f>
        <v>118</v>
      </c>
      <c r="AK882" s="101">
        <f t="shared" si="148"/>
        <v>117</v>
      </c>
      <c r="AL882" s="66" t="str" cm="1">
        <f t="array" ref="AL882">IF($F882="","",IFERROR(INDEX('Lot Balance'!$B$5:$B$500,MATCH(1,INDEX(('Lot Balance'!$A$5:$A$500=$F882)*('Lot Balance'!$K$5:$K$500&lt;$AK882)*('Lot Balance'!$K$5:$K$500+'Lot Balance'!$D$5:$D$500&gt;=$AK882),0),0)),""))</f>
        <v/>
      </c>
      <c r="AM882" s="66" t="str" cm="1">
        <f t="array" ref="AM882">IF($F882="","",IFERROR(INDEX('Lot Balance'!$B$5:$B$500,MATCH(1,INDEX(('Lot Balance'!$A$5:$A$500=$F882)*('Lot Balance'!$K$5:$K$500&lt;$AJ882)*('Lot Balance'!$K$5:$K$500+'Lot Balance'!$D$5:$D$500&gt;=$AJ882),0),0)),""))</f>
        <v/>
      </c>
      <c r="AN882" s="66" t="str">
        <f>IF($F882="","",IF($AI882&lt;&gt;"",IF(COUNTIFS('Lot Balance'!$A$5:$A$500,$F882,'Lot Balance'!$B$5:$B$500,$AI882)=0,"⚠ override is not a lot of this item",IF($AI882=$AL882,"Override = FEFO","Override - FEFO says "&amp;$AL882)),IF($AL882="","⚠ no receipt on file for this item",IF($AM882&lt;&gt;$AL882,"FEFO auto - split, also "&amp;$AM882,"FEFO auto"))))</f>
        <v>⚠ no receipt on file for this item</v>
      </c>
      <c r="AO882" s="114"/>
    </row>
    <row r="883" spans="1:41" x14ac:dyDescent="0.35">
      <c r="A883" s="74">
        <v>46174</v>
      </c>
      <c r="B883" s="18" t="str">
        <f>IF($C883="","",IFERROR(INDEX('Staff Directory'!$A$5:$A$594,MATCH($C883,'Staff Directory'!$B$5:$B$594,0)),"⚠ unknown staff"))</f>
        <v>PSW-178-TBD</v>
      </c>
      <c r="C883" s="49" t="s">
        <v>1157</v>
      </c>
      <c r="D883" s="19" t="str">
        <f>IF($B883="","",IFERROR(INDEX('Staff Directory'!$C$5:$C$594,MATCH($B883,'Staff Directory'!$A$5:$A$594,0)),""))</f>
        <v>PSW</v>
      </c>
      <c r="E883" s="19">
        <f>IF($B883="","",IFERROR(INDEX('Staff Directory'!$D$5:$D$594,MATCH($B883,'Staff Directory'!$A$5:$A$594,0)),""))</f>
        <v>0</v>
      </c>
      <c r="F883" s="9" t="s">
        <v>127</v>
      </c>
      <c r="G883" s="18" t="str">
        <f>IF($F883="","",IFERROR(INDEX(Items!$B$5:$B$597,MATCH($F883,Items!$A$5:$A$597,0)),"⚠ not in Items"))</f>
        <v>Gloves</v>
      </c>
      <c r="H883" s="19" t="str">
        <f>IF($F883="","",IFERROR(INDEX(Items!$C$5:$C$597,MATCH($F883,Items!$A$5:$A$597,0)),""))</f>
        <v>Medium</v>
      </c>
      <c r="I883" s="23">
        <f>IF($F883="","",IFERROR(INDEX(Items!$E$5:$E$597,MATCH($F883,Items!$A$5:$A$597,0)),""))</f>
        <v>500</v>
      </c>
      <c r="J883" s="115">
        <f>IF(tblIssues[[#This Row],[Qty Override]]&lt;&gt;"",tblIssues[[#This Row],[Qty Override]],IF(tblIssues[[#This Row],[Standard Issue]]="","",tblIssues[[#This Row],[Standard Issue]]))</f>
        <v>500</v>
      </c>
      <c r="K883" s="20">
        <f>IF($F883="","",IFERROR(INDEX(Items!$D$5:$D$597,MATCH($F883,Items!$A$5:$A$597,0)),""))</f>
        <v>5.5E-2</v>
      </c>
      <c r="L883" s="21">
        <f t="shared" si="151"/>
        <v>27.5</v>
      </c>
      <c r="M883" s="9" t="str">
        <f t="shared" si="149"/>
        <v>ZIM504126040-4</v>
      </c>
      <c r="N883" s="24">
        <f>IF($A883="","",WORKDAY($A883,Settings!$C$9,HolidayDates))</f>
        <v>46182</v>
      </c>
      <c r="O883" s="24">
        <f>IF($N883="","",WORKDAY($N883,Settings!$C$10,HolidayDates))</f>
        <v>46220</v>
      </c>
      <c r="P883" s="10" t="s">
        <v>501</v>
      </c>
      <c r="Q883" s="52" t="str">
        <f t="shared" si="152"/>
        <v>Collected</v>
      </c>
      <c r="R883" s="55" t="str">
        <f t="shared" si="153"/>
        <v>2026-06</v>
      </c>
      <c r="S883" s="55">
        <f>IF(OR($B883="",$F883="",$R883=""),"",SUMIFS(tblIssues[Qty Issued],tblIssues[Staff ID],$B883,tblIssues[Item Name],$F883,tblIssues[Month],$R883))</f>
        <v>500</v>
      </c>
      <c r="T883" s="56">
        <f>IF($I883="","",$I883*Settings!$C$11)</f>
        <v>500</v>
      </c>
      <c r="U883" s="57" t="str">
        <f t="shared" si="150"/>
        <v>OK</v>
      </c>
      <c r="V883" s="55" t="str">
        <f t="shared" si="154"/>
        <v/>
      </c>
      <c r="W883" s="55" t="str">
        <f>IF($V883="","",IF(COUNTIF($V$5:$V883,$V883)=1,1,""))</f>
        <v/>
      </c>
      <c r="X883" s="58" t="str">
        <f>IF($W883="","",MAX($X$4:X882)+1)</f>
        <v/>
      </c>
      <c r="Y883" s="62"/>
      <c r="Z883" s="62"/>
      <c r="AA883" s="64" t="str">
        <f>IF($C883="","",IFERROR(INDEX('Staff Directory'!$E$5:$E$594,MATCH($C883,'Staff Directory'!$B$5:$B$594,0)),""))</f>
        <v>firstname241.lastname241@example.com</v>
      </c>
      <c r="AB883" s="64" t="str">
        <f>IF($C883="","",IF(ISNUMBER(SEARCH($D883,Settings!$C$15)),"Pickup","Dispatch"))</f>
        <v>Pickup</v>
      </c>
      <c r="AC883" s="64" t="str">
        <f t="shared" si="155"/>
        <v>Supply order ready for pickup</v>
      </c>
      <c r="AD883" s="64" t="str">
        <f t="shared" si="146"/>
        <v>Dear PSW,
Your order is ready for pickup from Sample Branch, Wed-Fri 9am-4pm.</v>
      </c>
      <c r="AE883" s="64" t="str">
        <f t="shared" si="147"/>
        <v>mailto:firstname241.lastname241@example.com?subject=Supply%20order%20ready%20for%20pickup&amp;body=Dear%20PSW%2C%0A%0AYour%20order%20is%20ready%20for%20pickup%20from%20Sample%20Branch%2C%20Wed-Fri%209am-4pm.</v>
      </c>
      <c r="AF883" s="89" t="str">
        <f t="shared" si="156"/>
        <v>Draft email</v>
      </c>
      <c r="AG883" s="64" t="str">
        <f>IF($C883="","",IFERROR(INDEX('Staff Directory'!$K$595:$K$599,MATCH($C883,'Staff Directory'!$B$5:$B$599,0)),$D883))</f>
        <v>PSW</v>
      </c>
      <c r="AH883" t="str">
        <f>IF($C883="","",IFERROR(INDEX('Staff Directory'!$I$595:$I$599,MATCH($C883,'Staff Directory'!$B$5:$B$599,0))&amp;" "&amp;INDEX('Staff Directory'!$J$595:$J$599,MATCH($C883,'Staff Directory'!$B$5:$B$599,0)),$AG883))</f>
        <v>PSW</v>
      </c>
      <c r="AI883" s="102"/>
      <c r="AJ883" s="101">
        <f>IF($F883="","",SUMIFS($J$5:$J883,$F$5:$F883,$F883))</f>
        <v>52500</v>
      </c>
      <c r="AK883" s="101">
        <f t="shared" si="148"/>
        <v>52001</v>
      </c>
      <c r="AL883" s="66" t="str" cm="1">
        <f t="array" ref="AL883">IF($F883="","",IFERROR(INDEX('Lot Balance'!$B$5:$B$500,MATCH(1,INDEX(('Lot Balance'!$A$5:$A$500=$F883)*('Lot Balance'!$K$5:$K$500&lt;$AK883)*('Lot Balance'!$K$5:$K$500+'Lot Balance'!$D$5:$D$500&gt;=$AK883),0),0)),""))</f>
        <v>ZIM504126040-4</v>
      </c>
      <c r="AM883" s="66" t="str" cm="1">
        <f t="array" ref="AM883">IF($F883="","",IFERROR(INDEX('Lot Balance'!$B$5:$B$500,MATCH(1,INDEX(('Lot Balance'!$A$5:$A$500=$F883)*('Lot Balance'!$K$5:$K$500&lt;$AJ883)*('Lot Balance'!$K$5:$K$500+'Lot Balance'!$D$5:$D$500&gt;=$AJ883),0),0)),""))</f>
        <v>ZIM510329603</v>
      </c>
      <c r="AN883" s="66" t="str">
        <f>IF($F883="","",IF($AI883&lt;&gt;"",IF(COUNTIFS('Lot Balance'!$A$5:$A$500,$F883,'Lot Balance'!$B$5:$B$500,$AI883)=0,"⚠ override is not a lot of this item",IF($AI883=$AL883,"Override = FEFO","Override - FEFO says "&amp;$AL883)),IF($AL883="","⚠ no receipt on file for this item",IF($AM883&lt;&gt;$AL883,"FEFO auto - split, also "&amp;$AM883,"FEFO auto"))))</f>
        <v>FEFO auto - split, also ZIM510329603</v>
      </c>
      <c r="AO883" s="114"/>
    </row>
    <row r="884" spans="1:41" x14ac:dyDescent="0.35">
      <c r="A884" s="74">
        <v>46174</v>
      </c>
      <c r="B884" s="18" t="str">
        <f>IF($C884="","",IFERROR(INDEX('Staff Directory'!$A$5:$A$594,MATCH($C884,'Staff Directory'!$B$5:$B$594,0)),"⚠ unknown staff"))</f>
        <v>PSW-178-TBD</v>
      </c>
      <c r="C884" s="49" t="s">
        <v>1157</v>
      </c>
      <c r="D884" s="19" t="str">
        <f>IF($B884="","",IFERROR(INDEX('Staff Directory'!$C$5:$C$594,MATCH($B884,'Staff Directory'!$A$5:$A$594,0)),""))</f>
        <v>PSW</v>
      </c>
      <c r="E884" s="19">
        <f>IF($B884="","",IFERROR(INDEX('Staff Directory'!$D$5:$D$594,MATCH($B884,'Staff Directory'!$A$5:$A$594,0)),""))</f>
        <v>0</v>
      </c>
      <c r="F884" s="9" t="s">
        <v>115</v>
      </c>
      <c r="G884" s="18" t="str">
        <f>IF($F884="","",IFERROR(INDEX(Items!$B$5:$B$597,MATCH($F884,Items!$A$5:$A$597,0)),"⚠ not in Items"))</f>
        <v>Wipes</v>
      </c>
      <c r="H884" s="19">
        <f>IF($F884="","",IFERROR(INDEX(Items!$C$5:$C$597,MATCH($F884,Items!$A$5:$A$597,0)),""))</f>
        <v>80</v>
      </c>
      <c r="I884" s="23">
        <f>IF($F884="","",IFERROR(INDEX(Items!$E$5:$E$597,MATCH($F884,Items!$A$5:$A$597,0)),""))</f>
        <v>80</v>
      </c>
      <c r="J884" s="115">
        <f>IF(tblIssues[[#This Row],[Qty Override]]&lt;&gt;"",tblIssues[[#This Row],[Qty Override]],IF(tblIssues[[#This Row],[Standard Issue]]="","",tblIssues[[#This Row],[Standard Issue]]))</f>
        <v>80</v>
      </c>
      <c r="K884" s="20">
        <f>IF($F884="","",IFERROR(INDEX(Items!$D$5:$D$597,MATCH($F884,Items!$A$5:$A$597,0)),""))</f>
        <v>0.1</v>
      </c>
      <c r="L884" s="21">
        <f t="shared" si="151"/>
        <v>8</v>
      </c>
      <c r="M884" s="9" t="str">
        <f t="shared" si="149"/>
        <v>LYSL500290</v>
      </c>
      <c r="N884" s="24">
        <f>IF($A884="","",WORKDAY($A884,Settings!$C$9,HolidayDates))</f>
        <v>46182</v>
      </c>
      <c r="O884" s="24">
        <f>IF($N884="","",WORKDAY($N884,Settings!$C$10,HolidayDates))</f>
        <v>46220</v>
      </c>
      <c r="P884" s="10" t="s">
        <v>501</v>
      </c>
      <c r="Q884" s="52" t="str">
        <f t="shared" si="152"/>
        <v>Collected</v>
      </c>
      <c r="R884" s="55" t="str">
        <f t="shared" si="153"/>
        <v>2026-06</v>
      </c>
      <c r="S884" s="55">
        <f>IF(OR($B884="",$F884="",$R884=""),"",SUMIFS(tblIssues[Qty Issued],tblIssues[Staff ID],$B884,tblIssues[Item Name],$F884,tblIssues[Month],$R884))</f>
        <v>80</v>
      </c>
      <c r="T884" s="56">
        <f>IF($I884="","",$I884*Settings!$C$11)</f>
        <v>80</v>
      </c>
      <c r="U884" s="57" t="str">
        <f t="shared" si="150"/>
        <v>OK</v>
      </c>
      <c r="V884" s="55" t="str">
        <f t="shared" si="154"/>
        <v/>
      </c>
      <c r="W884" s="55" t="str">
        <f>IF($V884="","",IF(COUNTIF($V$5:$V884,$V884)=1,1,""))</f>
        <v/>
      </c>
      <c r="X884" s="58" t="str">
        <f>IF($W884="","",MAX($X$4:X883)+1)</f>
        <v/>
      </c>
      <c r="Y884" s="62"/>
      <c r="Z884" s="62"/>
      <c r="AA884" s="64" t="str">
        <f>IF($C884="","",IFERROR(INDEX('Staff Directory'!$E$5:$E$594,MATCH($C884,'Staff Directory'!$B$5:$B$594,0)),""))</f>
        <v>firstname241.lastname241@example.com</v>
      </c>
      <c r="AB884" s="64" t="str">
        <f>IF($C884="","",IF(ISNUMBER(SEARCH($D884,Settings!$C$15)),"Pickup","Dispatch"))</f>
        <v>Pickup</v>
      </c>
      <c r="AC884" s="64" t="str">
        <f t="shared" si="155"/>
        <v>Supply order ready for pickup</v>
      </c>
      <c r="AD884" s="64" t="str">
        <f t="shared" si="146"/>
        <v>Dear PSW,
Your order is ready for pickup from Sample Branch, Wed-Fri 9am-4pm.</v>
      </c>
      <c r="AE884" s="64" t="str">
        <f t="shared" si="147"/>
        <v>mailto:firstname241.lastname241@example.com?subject=Supply%20order%20ready%20for%20pickup&amp;body=Dear%20PSW%2C%0A%0AYour%20order%20is%20ready%20for%20pickup%20from%20Sample%20Branch%2C%20Wed-Fri%209am-4pm.</v>
      </c>
      <c r="AF884" s="89" t="str">
        <f t="shared" si="156"/>
        <v>Draft email</v>
      </c>
      <c r="AG884" s="64" t="str">
        <f>IF($C884="","",IFERROR(INDEX('Staff Directory'!$K$595:$K$599,MATCH($C884,'Staff Directory'!$B$5:$B$599,0)),$D884))</f>
        <v>PSW</v>
      </c>
      <c r="AH884" t="str">
        <f>IF($C884="","",IFERROR(INDEX('Staff Directory'!$I$595:$I$599,MATCH($C884,'Staff Directory'!$B$5:$B$599,0))&amp;" "&amp;INDEX('Staff Directory'!$J$595:$J$599,MATCH($C884,'Staff Directory'!$B$5:$B$599,0)),$AG884))</f>
        <v>PSW</v>
      </c>
      <c r="AI884" s="102"/>
      <c r="AJ884" s="101">
        <f>IF($F884="","",SUMIFS($J$5:$J884,$F$5:$F884,$F884))</f>
        <v>12160</v>
      </c>
      <c r="AK884" s="101">
        <f t="shared" si="148"/>
        <v>12081</v>
      </c>
      <c r="AL884" s="66" t="str" cm="1">
        <f t="array" ref="AL884">IF($F884="","",IFERROR(INDEX('Lot Balance'!$B$5:$B$500,MATCH(1,INDEX(('Lot Balance'!$A$5:$A$500=$F884)*('Lot Balance'!$K$5:$K$500&lt;$AK884)*('Lot Balance'!$K$5:$K$500+'Lot Balance'!$D$5:$D$500&gt;=$AK884),0),0)),""))</f>
        <v>LYSL500290</v>
      </c>
      <c r="AM884" s="66" t="str" cm="1">
        <f t="array" ref="AM884">IF($F884="","",IFERROR(INDEX('Lot Balance'!$B$5:$B$500,MATCH(1,INDEX(('Lot Balance'!$A$5:$A$500=$F884)*('Lot Balance'!$K$5:$K$500&lt;$AJ884)*('Lot Balance'!$K$5:$K$500+'Lot Balance'!$D$5:$D$500&gt;=$AJ884),0),0)),""))</f>
        <v>LYSL500290</v>
      </c>
      <c r="AN884" s="66" t="str">
        <f>IF($F884="","",IF($AI884&lt;&gt;"",IF(COUNTIFS('Lot Balance'!$A$5:$A$500,$F884,'Lot Balance'!$B$5:$B$500,$AI884)=0,"⚠ override is not a lot of this item",IF($AI884=$AL884,"Override = FEFO","Override - FEFO says "&amp;$AL884)),IF($AL884="","⚠ no receipt on file for this item",IF($AM884&lt;&gt;$AL884,"FEFO auto - split, also "&amp;$AM884,"FEFO auto"))))</f>
        <v>FEFO auto</v>
      </c>
      <c r="AO884" s="114"/>
    </row>
    <row r="885" spans="1:41" x14ac:dyDescent="0.35">
      <c r="A885" s="74">
        <v>46174</v>
      </c>
      <c r="B885" s="18" t="str">
        <f>IF($C885="","",IFERROR(INDEX('Staff Directory'!$A$5:$A$594,MATCH($C885,'Staff Directory'!$B$5:$B$594,0)),"⚠ unknown staff"))</f>
        <v>PSW-178-TBD</v>
      </c>
      <c r="C885" s="49" t="s">
        <v>1157</v>
      </c>
      <c r="D885" s="19" t="str">
        <f>IF($B885="","",IFERROR(INDEX('Staff Directory'!$C$5:$C$594,MATCH($B885,'Staff Directory'!$A$5:$A$594,0)),""))</f>
        <v>PSW</v>
      </c>
      <c r="E885" s="19">
        <f>IF($B885="","",IFERROR(INDEX('Staff Directory'!$D$5:$D$594,MATCH($B885,'Staff Directory'!$A$5:$A$594,0)),""))</f>
        <v>0</v>
      </c>
      <c r="F885" s="9" t="s">
        <v>104</v>
      </c>
      <c r="G885" s="18" t="str">
        <f>IF($F885="","",IFERROR(INDEX(Items!$B$5:$B$597,MATCH($F885,Items!$A$5:$A$597,0)),"⚠ not in Items"))</f>
        <v>Masks</v>
      </c>
      <c r="H885" s="19" t="str">
        <f>IF($F885="","",IFERROR(INDEX(Items!$C$5:$C$597,MATCH($F885,Items!$A$5:$A$597,0)),""))</f>
        <v>One Size</v>
      </c>
      <c r="I885" s="23">
        <f>IF($F885="","",IFERROR(INDEX(Items!$E$5:$E$597,MATCH($F885,Items!$A$5:$A$597,0)),""))</f>
        <v>5</v>
      </c>
      <c r="J885" s="115">
        <f>IF(tblIssues[[#This Row],[Qty Override]]&lt;&gt;"",tblIssues[[#This Row],[Qty Override]],IF(tblIssues[[#This Row],[Standard Issue]]="","",tblIssues[[#This Row],[Standard Issue]]))</f>
        <v>5</v>
      </c>
      <c r="K885" s="20">
        <f>IF($F885="","",IFERROR(INDEX(Items!$D$5:$D$597,MATCH($F885,Items!$A$5:$A$597,0)),""))</f>
        <v>2.0499999999999998</v>
      </c>
      <c r="L885" s="21">
        <f t="shared" si="151"/>
        <v>10.25</v>
      </c>
      <c r="M885" s="9" t="str">
        <f t="shared" si="149"/>
        <v>N955003717</v>
      </c>
      <c r="N885" s="24">
        <f>IF($A885="","",WORKDAY($A885,Settings!$C$9,HolidayDates))</f>
        <v>46182</v>
      </c>
      <c r="O885" s="24">
        <f>IF($N885="","",WORKDAY($N885,Settings!$C$10,HolidayDates))</f>
        <v>46220</v>
      </c>
      <c r="P885" s="10" t="s">
        <v>501</v>
      </c>
      <c r="Q885" s="52" t="str">
        <f t="shared" si="152"/>
        <v>Collected</v>
      </c>
      <c r="R885" s="55" t="str">
        <f t="shared" si="153"/>
        <v>2026-06</v>
      </c>
      <c r="S885" s="55">
        <f>IF(OR($B885="",$F885="",$R885=""),"",SUMIFS(tblIssues[Qty Issued],tblIssues[Staff ID],$B885,tblIssues[Item Name],$F885,tblIssues[Month],$R885))</f>
        <v>5</v>
      </c>
      <c r="T885" s="56">
        <f>IF($I885="","",$I885*Settings!$C$11)</f>
        <v>5</v>
      </c>
      <c r="U885" s="57" t="str">
        <f t="shared" si="150"/>
        <v>OK</v>
      </c>
      <c r="V885" s="55" t="str">
        <f t="shared" si="154"/>
        <v/>
      </c>
      <c r="W885" s="55" t="str">
        <f>IF($V885="","",IF(COUNTIF($V$5:$V885,$V885)=1,1,""))</f>
        <v/>
      </c>
      <c r="X885" s="58" t="str">
        <f>IF($W885="","",MAX($X$4:X884)+1)</f>
        <v/>
      </c>
      <c r="Y885" s="62"/>
      <c r="Z885" s="62"/>
      <c r="AA885" s="64" t="str">
        <f>IF($C885="","",IFERROR(INDEX('Staff Directory'!$E$5:$E$594,MATCH($C885,'Staff Directory'!$B$5:$B$594,0)),""))</f>
        <v>firstname241.lastname241@example.com</v>
      </c>
      <c r="AB885" s="64" t="str">
        <f>IF($C885="","",IF(ISNUMBER(SEARCH($D885,Settings!$C$15)),"Pickup","Dispatch"))</f>
        <v>Pickup</v>
      </c>
      <c r="AC885" s="64" t="str">
        <f t="shared" si="155"/>
        <v>Supply order ready for pickup</v>
      </c>
      <c r="AD885" s="64" t="str">
        <f t="shared" si="146"/>
        <v>Dear PSW,
Your order is ready for pickup from Sample Branch, Wed-Fri 9am-4pm.</v>
      </c>
      <c r="AE885" s="64" t="str">
        <f t="shared" si="147"/>
        <v>mailto:firstname241.lastname241@example.com?subject=Supply%20order%20ready%20for%20pickup&amp;body=Dear%20PSW%2C%0A%0AYour%20order%20is%20ready%20for%20pickup%20from%20Sample%20Branch%2C%20Wed-Fri%209am-4pm.</v>
      </c>
      <c r="AF885" s="89" t="str">
        <f t="shared" si="156"/>
        <v>Draft email</v>
      </c>
      <c r="AG885" s="64" t="str">
        <f>IF($C885="","",IFERROR(INDEX('Staff Directory'!$K$595:$K$599,MATCH($C885,'Staff Directory'!$B$5:$B$599,0)),$D885))</f>
        <v>PSW</v>
      </c>
      <c r="AH885" t="str">
        <f>IF($C885="","",IFERROR(INDEX('Staff Directory'!$I$595:$I$599,MATCH($C885,'Staff Directory'!$B$5:$B$599,0))&amp;" "&amp;INDEX('Staff Directory'!$J$595:$J$599,MATCH($C885,'Staff Directory'!$B$5:$B$599,0)),$AG885))</f>
        <v>PSW</v>
      </c>
      <c r="AI885" s="102"/>
      <c r="AJ885" s="101">
        <f>IF($F885="","",SUMIFS($J$5:$J885,$F$5:$F885,$F885))</f>
        <v>10</v>
      </c>
      <c r="AK885" s="101">
        <f t="shared" si="148"/>
        <v>6</v>
      </c>
      <c r="AL885" s="66" t="str" cm="1">
        <f t="array" ref="AL885">IF($F885="","",IFERROR(INDEX('Lot Balance'!$B$5:$B$500,MATCH(1,INDEX(('Lot Balance'!$A$5:$A$500=$F885)*('Lot Balance'!$K$5:$K$500&lt;$AK885)*('Lot Balance'!$K$5:$K$500+'Lot Balance'!$D$5:$D$500&gt;=$AK885),0),0)),""))</f>
        <v>N955003717</v>
      </c>
      <c r="AM885" s="66" t="str" cm="1">
        <f t="array" ref="AM885">IF($F885="","",IFERROR(INDEX('Lot Balance'!$B$5:$B$500,MATCH(1,INDEX(('Lot Balance'!$A$5:$A$500=$F885)*('Lot Balance'!$K$5:$K$500&lt;$AJ885)*('Lot Balance'!$K$5:$K$500+'Lot Balance'!$D$5:$D$500&gt;=$AJ885),0),0)),""))</f>
        <v>N955003717</v>
      </c>
      <c r="AN885" s="66" t="str">
        <f>IF($F885="","",IF($AI885&lt;&gt;"",IF(COUNTIFS('Lot Balance'!$A$5:$A$500,$F885,'Lot Balance'!$B$5:$B$500,$AI885)=0,"⚠ override is not a lot of this item",IF($AI885=$AL885,"Override = FEFO","Override - FEFO says "&amp;$AL885)),IF($AL885="","⚠ no receipt on file for this item",IF($AM885&lt;&gt;$AL885,"FEFO auto - split, also "&amp;$AM885,"FEFO auto"))))</f>
        <v>FEFO auto</v>
      </c>
      <c r="AO885" s="114"/>
    </row>
    <row r="886" spans="1:41" x14ac:dyDescent="0.35">
      <c r="A886" s="74">
        <v>46174</v>
      </c>
      <c r="B886" s="18" t="str">
        <f>IF($C886="","",IFERROR(INDEX('Staff Directory'!$A$5:$A$594,MATCH($C886,'Staff Directory'!$B$5:$B$594,0)),"⚠ unknown staff"))</f>
        <v>PSW-178-TBD</v>
      </c>
      <c r="C886" s="49" t="s">
        <v>1157</v>
      </c>
      <c r="D886" s="19" t="str">
        <f>IF($B886="","",IFERROR(INDEX('Staff Directory'!$C$5:$C$594,MATCH($B886,'Staff Directory'!$A$5:$A$594,0)),""))</f>
        <v>PSW</v>
      </c>
      <c r="E886" s="19">
        <f>IF($B886="","",IFERROR(INDEX('Staff Directory'!$D$5:$D$594,MATCH($B886,'Staff Directory'!$A$5:$A$594,0)),""))</f>
        <v>0</v>
      </c>
      <c r="F886" s="9" t="s">
        <v>137</v>
      </c>
      <c r="G886" s="18" t="str">
        <f>IF($F886="","",IFERROR(INDEX(Items!$B$5:$B$597,MATCH($F886,Items!$A$5:$A$597,0)),"⚠ not in Items"))</f>
        <v>Sanitizer</v>
      </c>
      <c r="H886" s="19" t="str">
        <f>IF($F886="","",IFERROR(INDEX(Items!$C$5:$C$597,MATCH($F886,Items!$A$5:$A$597,0)),""))</f>
        <v>118 ML</v>
      </c>
      <c r="I886" s="23">
        <f>IF($F886="","",IFERROR(INDEX(Items!$E$5:$E$597,MATCH($F886,Items!$A$5:$A$597,0)),""))</f>
        <v>2</v>
      </c>
      <c r="J886" s="115">
        <f>IF(tblIssues[[#This Row],[Qty Override]]&lt;&gt;"",tblIssues[[#This Row],[Qty Override]],IF(tblIssues[[#This Row],[Standard Issue]]="","",tblIssues[[#This Row],[Standard Issue]]))</f>
        <v>2</v>
      </c>
      <c r="K886" s="20">
        <f>IF($F886="","",IFERROR(INDEX(Items!$D$5:$D$597,MATCH($F886,Items!$A$5:$A$597,0)),""))</f>
        <v>4.49</v>
      </c>
      <c r="L886" s="21">
        <f t="shared" si="151"/>
        <v>8.98</v>
      </c>
      <c r="M886" s="9" t="str">
        <f t="shared" si="149"/>
        <v>563963-6</v>
      </c>
      <c r="N886" s="24">
        <f>IF($A886="","",WORKDAY($A886,Settings!$C$9,HolidayDates))</f>
        <v>46182</v>
      </c>
      <c r="O886" s="24">
        <f>IF($N886="","",WORKDAY($N886,Settings!$C$10,HolidayDates))</f>
        <v>46220</v>
      </c>
      <c r="P886" s="10" t="s">
        <v>501</v>
      </c>
      <c r="Q886" s="52" t="str">
        <f t="shared" si="152"/>
        <v>Collected</v>
      </c>
      <c r="R886" s="55" t="str">
        <f t="shared" si="153"/>
        <v>2026-06</v>
      </c>
      <c r="S886" s="55">
        <f>IF(OR($B886="",$F886="",$R886=""),"",SUMIFS(tblIssues[Qty Issued],tblIssues[Staff ID],$B886,tblIssues[Item Name],$F886,tblIssues[Month],$R886))</f>
        <v>2</v>
      </c>
      <c r="T886" s="56">
        <f>IF($I886="","",$I886*Settings!$C$11)</f>
        <v>2</v>
      </c>
      <c r="U886" s="57" t="str">
        <f t="shared" si="150"/>
        <v>OK</v>
      </c>
      <c r="V886" s="55" t="str">
        <f t="shared" si="154"/>
        <v/>
      </c>
      <c r="W886" s="55" t="str">
        <f>IF($V886="","",IF(COUNTIF($V$5:$V886,$V886)=1,1,""))</f>
        <v/>
      </c>
      <c r="X886" s="58" t="str">
        <f>IF($W886="","",MAX($X$4:X885)+1)</f>
        <v/>
      </c>
      <c r="Y886" s="62"/>
      <c r="Z886" s="62"/>
      <c r="AA886" s="64" t="str">
        <f>IF($C886="","",IFERROR(INDEX('Staff Directory'!$E$5:$E$594,MATCH($C886,'Staff Directory'!$B$5:$B$594,0)),""))</f>
        <v>firstname241.lastname241@example.com</v>
      </c>
      <c r="AB886" s="64" t="str">
        <f>IF($C886="","",IF(ISNUMBER(SEARCH($D886,Settings!$C$15)),"Pickup","Dispatch"))</f>
        <v>Pickup</v>
      </c>
      <c r="AC886" s="64" t="str">
        <f t="shared" si="155"/>
        <v>Supply order ready for pickup</v>
      </c>
      <c r="AD886" s="64" t="str">
        <f t="shared" si="146"/>
        <v>Dear PSW,
Your order is ready for pickup from Sample Branch, Wed-Fri 9am-4pm.</v>
      </c>
      <c r="AE886" s="64" t="str">
        <f t="shared" si="147"/>
        <v>mailto:firstname241.lastname241@example.com?subject=Supply%20order%20ready%20for%20pickup&amp;body=Dear%20PSW%2C%0A%0AYour%20order%20is%20ready%20for%20pickup%20from%20Sample%20Branch%2C%20Wed-Fri%209am-4pm.</v>
      </c>
      <c r="AF886" s="89" t="str">
        <f t="shared" si="156"/>
        <v>Draft email</v>
      </c>
      <c r="AG886" s="64" t="str">
        <f>IF($C886="","",IFERROR(INDEX('Staff Directory'!$K$595:$K$599,MATCH($C886,'Staff Directory'!$B$5:$B$599,0)),$D886))</f>
        <v>PSW</v>
      </c>
      <c r="AH886" t="str">
        <f>IF($C886="","",IFERROR(INDEX('Staff Directory'!$I$595:$I$599,MATCH($C886,'Staff Directory'!$B$5:$B$599,0))&amp;" "&amp;INDEX('Staff Directory'!$J$595:$J$599,MATCH($C886,'Staff Directory'!$B$5:$B$599,0)),$AG886))</f>
        <v>PSW</v>
      </c>
      <c r="AI886" s="102"/>
      <c r="AJ886" s="101">
        <f>IF($F886="","",SUMIFS($J$5:$J886,$F$5:$F886,$F886))</f>
        <v>98</v>
      </c>
      <c r="AK886" s="101">
        <f t="shared" si="148"/>
        <v>97</v>
      </c>
      <c r="AL886" s="66" t="str" cm="1">
        <f t="array" ref="AL886">IF($F886="","",IFERROR(INDEX('Lot Balance'!$B$5:$B$500,MATCH(1,INDEX(('Lot Balance'!$A$5:$A$500=$F886)*('Lot Balance'!$K$5:$K$500&lt;$AK886)*('Lot Balance'!$K$5:$K$500+'Lot Balance'!$D$5:$D$500&gt;=$AK886),0),0)),""))</f>
        <v>563963-6</v>
      </c>
      <c r="AM886" s="66" t="str" cm="1">
        <f t="array" ref="AM886">IF($F886="","",IFERROR(INDEX('Lot Balance'!$B$5:$B$500,MATCH(1,INDEX(('Lot Balance'!$A$5:$A$500=$F886)*('Lot Balance'!$K$5:$K$500&lt;$AJ886)*('Lot Balance'!$K$5:$K$500+'Lot Balance'!$D$5:$D$500&gt;=$AJ886),0),0)),""))</f>
        <v>563963-6</v>
      </c>
      <c r="AN886" s="66" t="str">
        <f>IF($F886="","",IF($AI886&lt;&gt;"",IF(COUNTIFS('Lot Balance'!$A$5:$A$500,$F886,'Lot Balance'!$B$5:$B$500,$AI886)=0,"⚠ override is not a lot of this item",IF($AI886=$AL886,"Override = FEFO","Override - FEFO says "&amp;$AL886)),IF($AL886="","⚠ no receipt on file for this item",IF($AM886&lt;&gt;$AL886,"FEFO auto - split, also "&amp;$AM886,"FEFO auto"))))</f>
        <v>FEFO auto</v>
      </c>
      <c r="AO886" s="114"/>
    </row>
    <row r="887" spans="1:41" x14ac:dyDescent="0.35">
      <c r="A887" s="74">
        <v>46174</v>
      </c>
      <c r="B887" s="18" t="str">
        <f>IF($C887="","",IFERROR(INDEX('Staff Directory'!$A$5:$A$594,MATCH($C887,'Staff Directory'!$B$5:$B$594,0)),"⚠ unknown staff"))</f>
        <v>PSW-178-TBD</v>
      </c>
      <c r="C887" s="49" t="s">
        <v>1157</v>
      </c>
      <c r="D887" s="19" t="str">
        <f>IF($B887="","",IFERROR(INDEX('Staff Directory'!$C$5:$C$594,MATCH($B887,'Staff Directory'!$A$5:$A$594,0)),""))</f>
        <v>PSW</v>
      </c>
      <c r="E887" s="19">
        <f>IF($B887="","",IFERROR(INDEX('Staff Directory'!$D$5:$D$594,MATCH($B887,'Staff Directory'!$A$5:$A$594,0)),""))</f>
        <v>0</v>
      </c>
      <c r="F887" s="9" t="s">
        <v>147</v>
      </c>
      <c r="G887" s="18" t="str">
        <f>IF($F887="","",IFERROR(INDEX(Items!$B$5:$B$597,MATCH($F887,Items!$A$5:$A$597,0)),"⚠ not in Items"))</f>
        <v>Apparel</v>
      </c>
      <c r="H887" s="19" t="str">
        <f>IF($F887="","",IFERROR(INDEX(Items!$C$5:$C$597,MATCH($F887,Items!$A$5:$A$597,0)),""))</f>
        <v>One Size</v>
      </c>
      <c r="I887" s="23">
        <f>IF($F887="","",IFERROR(INDEX(Items!$E$5:$E$597,MATCH($F887,Items!$A$5:$A$597,0)),""))</f>
        <v>5</v>
      </c>
      <c r="J887" s="115">
        <f>IF(tblIssues[[#This Row],[Qty Override]]&lt;&gt;"",tblIssues[[#This Row],[Qty Override]],IF(tblIssues[[#This Row],[Standard Issue]]="","",tblIssues[[#This Row],[Standard Issue]]))</f>
        <v>5</v>
      </c>
      <c r="K887" s="20">
        <f>IF($F887="","",IFERROR(INDEX(Items!$D$5:$D$597,MATCH($F887,Items!$A$5:$A$597,0)),""))</f>
        <v>3</v>
      </c>
      <c r="L887" s="21">
        <f t="shared" si="151"/>
        <v>15</v>
      </c>
      <c r="M887" s="9" t="str">
        <f t="shared" si="149"/>
        <v>YG500280</v>
      </c>
      <c r="N887" s="24">
        <f>IF($A887="","",WORKDAY($A887,Settings!$C$9,HolidayDates))</f>
        <v>46182</v>
      </c>
      <c r="O887" s="24">
        <f>IF($N887="","",WORKDAY($N887,Settings!$C$10,HolidayDates))</f>
        <v>46220</v>
      </c>
      <c r="P887" s="10" t="s">
        <v>501</v>
      </c>
      <c r="Q887" s="52" t="str">
        <f t="shared" si="152"/>
        <v>Collected</v>
      </c>
      <c r="R887" s="55" t="str">
        <f t="shared" si="153"/>
        <v>2026-06</v>
      </c>
      <c r="S887" s="55">
        <f>IF(OR($B887="",$F887="",$R887=""),"",SUMIFS(tblIssues[Qty Issued],tblIssues[Staff ID],$B887,tblIssues[Item Name],$F887,tblIssues[Month],$R887))</f>
        <v>5</v>
      </c>
      <c r="T887" s="56">
        <f>IF($I887="","",$I887*Settings!$C$11)</f>
        <v>5</v>
      </c>
      <c r="U887" s="57" t="str">
        <f t="shared" si="150"/>
        <v>OK</v>
      </c>
      <c r="V887" s="55" t="str">
        <f t="shared" si="154"/>
        <v/>
      </c>
      <c r="W887" s="55" t="str">
        <f>IF($V887="","",IF(COUNTIF($V$5:$V887,$V887)=1,1,""))</f>
        <v/>
      </c>
      <c r="X887" s="58" t="str">
        <f>IF($W887="","",MAX($X$4:X886)+1)</f>
        <v/>
      </c>
      <c r="Y887" s="62"/>
      <c r="Z887" s="62"/>
      <c r="AA887" s="64" t="str">
        <f>IF($C887="","",IFERROR(INDEX('Staff Directory'!$E$5:$E$594,MATCH($C887,'Staff Directory'!$B$5:$B$594,0)),""))</f>
        <v>firstname241.lastname241@example.com</v>
      </c>
      <c r="AB887" s="64" t="str">
        <f>IF($C887="","",IF(ISNUMBER(SEARCH($D887,Settings!$C$15)),"Pickup","Dispatch"))</f>
        <v>Pickup</v>
      </c>
      <c r="AC887" s="64" t="str">
        <f t="shared" si="155"/>
        <v>Supply order ready for pickup</v>
      </c>
      <c r="AD887" s="64" t="str">
        <f t="shared" si="146"/>
        <v>Dear PSW,
Your order is ready for pickup from Sample Branch, Wed-Fri 9am-4pm.</v>
      </c>
      <c r="AE887" s="64" t="str">
        <f t="shared" si="147"/>
        <v>mailto:firstname241.lastname241@example.com?subject=Supply%20order%20ready%20for%20pickup&amp;body=Dear%20PSW%2C%0A%0AYour%20order%20is%20ready%20for%20pickup%20from%20Sample%20Branch%2C%20Wed-Fri%209am-4pm.</v>
      </c>
      <c r="AF887" s="89" t="str">
        <f t="shared" si="156"/>
        <v>Draft email</v>
      </c>
      <c r="AG887" s="64" t="str">
        <f>IF($C887="","",IFERROR(INDEX('Staff Directory'!$K$595:$K$599,MATCH($C887,'Staff Directory'!$B$5:$B$599,0)),$D887))</f>
        <v>PSW</v>
      </c>
      <c r="AH887" t="str">
        <f>IF($C887="","",IFERROR(INDEX('Staff Directory'!$I$595:$I$599,MATCH($C887,'Staff Directory'!$B$5:$B$599,0))&amp;" "&amp;INDEX('Staff Directory'!$J$595:$J$599,MATCH($C887,'Staff Directory'!$B$5:$B$599,0)),$AG887))</f>
        <v>PSW</v>
      </c>
      <c r="AI887" s="102"/>
      <c r="AJ887" s="101">
        <f>IF($F887="","",SUMIFS($J$5:$J887,$F$5:$F887,$F887))</f>
        <v>90</v>
      </c>
      <c r="AK887" s="101">
        <f t="shared" si="148"/>
        <v>86</v>
      </c>
      <c r="AL887" s="66" t="str" cm="1">
        <f t="array" ref="AL887">IF($F887="","",IFERROR(INDEX('Lot Balance'!$B$5:$B$500,MATCH(1,INDEX(('Lot Balance'!$A$5:$A$500=$F887)*('Lot Balance'!$K$5:$K$500&lt;$AK887)*('Lot Balance'!$K$5:$K$500+'Lot Balance'!$D$5:$D$500&gt;=$AK887),0),0)),""))</f>
        <v>YG500280</v>
      </c>
      <c r="AM887" s="66" t="str" cm="1">
        <f t="array" ref="AM887">IF($F887="","",IFERROR(INDEX('Lot Balance'!$B$5:$B$500,MATCH(1,INDEX(('Lot Balance'!$A$5:$A$500=$F887)*('Lot Balance'!$K$5:$K$500&lt;$AJ887)*('Lot Balance'!$K$5:$K$500+'Lot Balance'!$D$5:$D$500&gt;=$AJ887),0),0)),""))</f>
        <v>YG500280</v>
      </c>
      <c r="AN887" s="66" t="str">
        <f>IF($F887="","",IF($AI887&lt;&gt;"",IF(COUNTIFS('Lot Balance'!$A$5:$A$500,$F887,'Lot Balance'!$B$5:$B$500,$AI887)=0,"⚠ override is not a lot of this item",IF($AI887=$AL887,"Override = FEFO","Override - FEFO says "&amp;$AL887)),IF($AL887="","⚠ no receipt on file for this item",IF($AM887&lt;&gt;$AL887,"FEFO auto - split, also "&amp;$AM887,"FEFO auto"))))</f>
        <v>FEFO auto</v>
      </c>
      <c r="AO887" s="114"/>
    </row>
    <row r="888" spans="1:41" x14ac:dyDescent="0.35">
      <c r="A888" s="74">
        <v>46174</v>
      </c>
      <c r="B888" s="18" t="str">
        <f>IF($C888="","",IFERROR(INDEX('Staff Directory'!$A$5:$A$594,MATCH($C888,'Staff Directory'!$B$5:$B$594,0)),"⚠ unknown staff"))</f>
        <v>PSW-178-TBD</v>
      </c>
      <c r="C888" s="49" t="s">
        <v>1157</v>
      </c>
      <c r="D888" s="19" t="str">
        <f>IF($B888="","",IFERROR(INDEX('Staff Directory'!$C$5:$C$594,MATCH($B888,'Staff Directory'!$A$5:$A$594,0)),""))</f>
        <v>PSW</v>
      </c>
      <c r="E888" s="19">
        <f>IF($B888="","",IFERROR(INDEX('Staff Directory'!$D$5:$D$594,MATCH($B888,'Staff Directory'!$A$5:$A$594,0)),""))</f>
        <v>0</v>
      </c>
      <c r="F888" s="9" t="s">
        <v>145</v>
      </c>
      <c r="G888" s="18" t="str">
        <f>IF($F888="","",IFERROR(INDEX(Items!$B$5:$B$597,MATCH($F888,Items!$A$5:$A$597,0)),"⚠ not in Items"))</f>
        <v>Apparel</v>
      </c>
      <c r="H888" s="19" t="str">
        <f>IF($F888="","",IFERROR(INDEX(Items!$C$5:$C$597,MATCH($F888,Items!$A$5:$A$597,0)),""))</f>
        <v>One Size</v>
      </c>
      <c r="I888" s="23">
        <f>IF($F888="","",IFERROR(INDEX(Items!$E$5:$E$597,MATCH($F888,Items!$A$5:$A$597,0)),""))</f>
        <v>5</v>
      </c>
      <c r="J888" s="115">
        <f>IF(tblIssues[[#This Row],[Qty Override]]&lt;&gt;"",tblIssues[[#This Row],[Qty Override]],IF(tblIssues[[#This Row],[Standard Issue]]="","",tblIssues[[#This Row],[Standard Issue]]))</f>
        <v>5</v>
      </c>
      <c r="K888" s="20">
        <f>IF($F888="","",IFERROR(INDEX(Items!$D$5:$D$597,MATCH($F888,Items!$A$5:$A$597,0)),""))</f>
        <v>3</v>
      </c>
      <c r="L888" s="21">
        <f t="shared" si="151"/>
        <v>15</v>
      </c>
      <c r="M888" s="9" t="str">
        <f t="shared" si="149"/>
        <v>WRB500270</v>
      </c>
      <c r="N888" s="24">
        <f>IF($A888="","",WORKDAY($A888,Settings!$C$9,HolidayDates))</f>
        <v>46182</v>
      </c>
      <c r="O888" s="24">
        <f>IF($N888="","",WORKDAY($N888,Settings!$C$10,HolidayDates))</f>
        <v>46220</v>
      </c>
      <c r="P888" s="10" t="s">
        <v>501</v>
      </c>
      <c r="Q888" s="52" t="str">
        <f t="shared" si="152"/>
        <v>Collected</v>
      </c>
      <c r="R888" s="55" t="str">
        <f t="shared" si="153"/>
        <v>2026-06</v>
      </c>
      <c r="S888" s="55">
        <f>IF(OR($B888="",$F888="",$R888=""),"",SUMIFS(tblIssues[Qty Issued],tblIssues[Staff ID],$B888,tblIssues[Item Name],$F888,tblIssues[Month],$R888))</f>
        <v>5</v>
      </c>
      <c r="T888" s="56">
        <f>IF($I888="","",$I888*Settings!$C$11)</f>
        <v>5</v>
      </c>
      <c r="U888" s="57" t="str">
        <f t="shared" si="150"/>
        <v>OK</v>
      </c>
      <c r="V888" s="55" t="str">
        <f t="shared" si="154"/>
        <v/>
      </c>
      <c r="W888" s="55" t="str">
        <f>IF($V888="","",IF(COUNTIF($V$5:$V888,$V888)=1,1,""))</f>
        <v/>
      </c>
      <c r="X888" s="58" t="str">
        <f>IF($W888="","",MAX($X$4:X887)+1)</f>
        <v/>
      </c>
      <c r="Y888" s="62"/>
      <c r="Z888" s="62"/>
      <c r="AA888" s="64" t="str">
        <f>IF($C888="","",IFERROR(INDEX('Staff Directory'!$E$5:$E$594,MATCH($C888,'Staff Directory'!$B$5:$B$594,0)),""))</f>
        <v>firstname241.lastname241@example.com</v>
      </c>
      <c r="AB888" s="64" t="str">
        <f>IF($C888="","",IF(ISNUMBER(SEARCH($D888,Settings!$C$15)),"Pickup","Dispatch"))</f>
        <v>Pickup</v>
      </c>
      <c r="AC888" s="64" t="str">
        <f t="shared" si="155"/>
        <v>Supply order ready for pickup</v>
      </c>
      <c r="AD888" s="64" t="str">
        <f t="shared" si="146"/>
        <v>Dear PSW,
Your order is ready for pickup from Sample Branch, Wed-Fri 9am-4pm.</v>
      </c>
      <c r="AE888" s="64" t="str">
        <f t="shared" si="147"/>
        <v>mailto:firstname241.lastname241@example.com?subject=Supply%20order%20ready%20for%20pickup&amp;body=Dear%20PSW%2C%0A%0AYour%20order%20is%20ready%20for%20pickup%20from%20Sample%20Branch%2C%20Wed-Fri%209am-4pm.</v>
      </c>
      <c r="AF888" s="89" t="str">
        <f t="shared" si="156"/>
        <v>Draft email</v>
      </c>
      <c r="AG888" s="64" t="str">
        <f>IF($C888="","",IFERROR(INDEX('Staff Directory'!$K$595:$K$599,MATCH($C888,'Staff Directory'!$B$5:$B$599,0)),$D888))</f>
        <v>PSW</v>
      </c>
      <c r="AH888" t="str">
        <f>IF($C888="","",IFERROR(INDEX('Staff Directory'!$I$595:$I$599,MATCH($C888,'Staff Directory'!$B$5:$B$599,0))&amp;" "&amp;INDEX('Staff Directory'!$J$595:$J$599,MATCH($C888,'Staff Directory'!$B$5:$B$599,0)),$AG888))</f>
        <v>PSW</v>
      </c>
      <c r="AI888" s="102"/>
      <c r="AJ888" s="101">
        <f>IF($F888="","",SUMIFS($J$5:$J888,$F$5:$F888,$F888))</f>
        <v>15</v>
      </c>
      <c r="AK888" s="101">
        <f t="shared" si="148"/>
        <v>11</v>
      </c>
      <c r="AL888" s="66" t="str" cm="1">
        <f t="array" ref="AL888">IF($F888="","",IFERROR(INDEX('Lot Balance'!$B$5:$B$500,MATCH(1,INDEX(('Lot Balance'!$A$5:$A$500=$F888)*('Lot Balance'!$K$5:$K$500&lt;$AK888)*('Lot Balance'!$K$5:$K$500+'Lot Balance'!$D$5:$D$500&gt;=$AK888),0),0)),""))</f>
        <v>WRB500270</v>
      </c>
      <c r="AM888" s="66" t="str" cm="1">
        <f t="array" ref="AM888">IF($F888="","",IFERROR(INDEX('Lot Balance'!$B$5:$B$500,MATCH(1,INDEX(('Lot Balance'!$A$5:$A$500=$F888)*('Lot Balance'!$K$5:$K$500&lt;$AJ888)*('Lot Balance'!$K$5:$K$500+'Lot Balance'!$D$5:$D$500&gt;=$AJ888),0),0)),""))</f>
        <v>WRB500270</v>
      </c>
      <c r="AN888" s="66" t="str">
        <f>IF($F888="","",IF($AI888&lt;&gt;"",IF(COUNTIFS('Lot Balance'!$A$5:$A$500,$F888,'Lot Balance'!$B$5:$B$500,$AI888)=0,"⚠ override is not a lot of this item",IF($AI888=$AL888,"Override = FEFO","Override - FEFO says "&amp;$AL888)),IF($AL888="","⚠ no receipt on file for this item",IF($AM888&lt;&gt;$AL888,"FEFO auto - split, also "&amp;$AM888,"FEFO auto"))))</f>
        <v>FEFO auto</v>
      </c>
      <c r="AO888" s="114"/>
    </row>
    <row r="889" spans="1:41" x14ac:dyDescent="0.35">
      <c r="A889" s="74">
        <v>46174</v>
      </c>
      <c r="B889" s="18" t="str">
        <f>IF($C889="","",IFERROR(INDEX('Staff Directory'!$A$5:$A$594,MATCH($C889,'Staff Directory'!$B$5:$B$594,0)),"⚠ unknown staff"))</f>
        <v>PSW-178-TBD</v>
      </c>
      <c r="C889" s="49" t="s">
        <v>1157</v>
      </c>
      <c r="D889" s="19" t="str">
        <f>IF($B889="","",IFERROR(INDEX('Staff Directory'!$C$5:$C$594,MATCH($B889,'Staff Directory'!$A$5:$A$594,0)),""))</f>
        <v>PSW</v>
      </c>
      <c r="E889" s="19">
        <f>IF($B889="","",IFERROR(INDEX('Staff Directory'!$D$5:$D$594,MATCH($B889,'Staff Directory'!$A$5:$A$594,0)),""))</f>
        <v>0</v>
      </c>
      <c r="F889" s="9" t="s">
        <v>144</v>
      </c>
      <c r="G889" s="18" t="str">
        <f>IF($F889="","",IFERROR(INDEX(Items!$B$5:$B$597,MATCH($F889,Items!$A$5:$A$597,0)),"⚠ not in Items"))</f>
        <v>IPAC</v>
      </c>
      <c r="H889" s="19" t="str">
        <f>IF($F889="","",IFERROR(INDEX(Items!$C$5:$C$597,MATCH($F889,Items!$A$5:$A$597,0)),""))</f>
        <v>One Size</v>
      </c>
      <c r="I889" s="23">
        <f>IF($F889="","",IFERROR(INDEX(Items!$E$5:$E$597,MATCH($F889,Items!$A$5:$A$597,0)),""))</f>
        <v>4</v>
      </c>
      <c r="J889" s="115">
        <f>IF(tblIssues[[#This Row],[Qty Override]]&lt;&gt;"",tblIssues[[#This Row],[Qty Override]],IF(tblIssues[[#This Row],[Standard Issue]]="","",tblIssues[[#This Row],[Standard Issue]]))</f>
        <v>4</v>
      </c>
      <c r="K889" s="20">
        <f>IF($F889="","",IFERROR(INDEX(Items!$D$5:$D$597,MATCH($F889,Items!$A$5:$A$597,0)),""))</f>
        <v>145.97999999999999</v>
      </c>
      <c r="L889" s="21">
        <f t="shared" si="151"/>
        <v>583.91999999999996</v>
      </c>
      <c r="M889" s="9" t="str">
        <f t="shared" si="149"/>
        <v/>
      </c>
      <c r="N889" s="24">
        <f>IF($A889="","",WORKDAY($A889,Settings!$C$9,HolidayDates))</f>
        <v>46182</v>
      </c>
      <c r="O889" s="24">
        <f>IF($N889="","",WORKDAY($N889,Settings!$C$10,HolidayDates))</f>
        <v>46220</v>
      </c>
      <c r="P889" s="10" t="s">
        <v>501</v>
      </c>
      <c r="Q889" s="52" t="str">
        <f t="shared" si="152"/>
        <v>Collected</v>
      </c>
      <c r="R889" s="55" t="str">
        <f t="shared" si="153"/>
        <v>2026-06</v>
      </c>
      <c r="S889" s="55">
        <f>IF(OR($B889="",$F889="",$R889=""),"",SUMIFS(tblIssues[Qty Issued],tblIssues[Staff ID],$B889,tblIssues[Item Name],$F889,tblIssues[Month],$R889))</f>
        <v>4</v>
      </c>
      <c r="T889" s="56">
        <f>IF($I889="","",$I889*Settings!$C$11)</f>
        <v>4</v>
      </c>
      <c r="U889" s="57" t="str">
        <f t="shared" si="150"/>
        <v>OK</v>
      </c>
      <c r="V889" s="55" t="str">
        <f t="shared" si="154"/>
        <v/>
      </c>
      <c r="W889" s="55" t="str">
        <f>IF($V889="","",IF(COUNTIF($V$5:$V889,$V889)=1,1,""))</f>
        <v/>
      </c>
      <c r="X889" s="58" t="str">
        <f>IF($W889="","",MAX($X$4:X888)+1)</f>
        <v/>
      </c>
      <c r="Y889" s="62"/>
      <c r="Z889" s="62"/>
      <c r="AA889" s="64" t="str">
        <f>IF($C889="","",IFERROR(INDEX('Staff Directory'!$E$5:$E$594,MATCH($C889,'Staff Directory'!$B$5:$B$594,0)),""))</f>
        <v>firstname241.lastname241@example.com</v>
      </c>
      <c r="AB889" s="64" t="str">
        <f>IF($C889="","",IF(ISNUMBER(SEARCH($D889,Settings!$C$15)),"Pickup","Dispatch"))</f>
        <v>Pickup</v>
      </c>
      <c r="AC889" s="64" t="str">
        <f t="shared" si="155"/>
        <v>Supply order ready for pickup</v>
      </c>
      <c r="AD889" s="64" t="str">
        <f t="shared" si="146"/>
        <v>Dear PSW,
Your order is ready for pickup from Sample Branch, Wed-Fri 9am-4pm.</v>
      </c>
      <c r="AE889" s="64" t="str">
        <f t="shared" si="147"/>
        <v>mailto:firstname241.lastname241@example.com?subject=Supply%20order%20ready%20for%20pickup&amp;body=Dear%20PSW%2C%0A%0AYour%20order%20is%20ready%20for%20pickup%20from%20Sample%20Branch%2C%20Wed-Fri%209am-4pm.</v>
      </c>
      <c r="AF889" s="89" t="str">
        <f t="shared" si="156"/>
        <v>Draft email</v>
      </c>
      <c r="AG889" s="64" t="str">
        <f>IF($C889="","",IFERROR(INDEX('Staff Directory'!$K$595:$K$599,MATCH($C889,'Staff Directory'!$B$5:$B$599,0)),$D889))</f>
        <v>PSW</v>
      </c>
      <c r="AH889" t="str">
        <f>IF($C889="","",IFERROR(INDEX('Staff Directory'!$I$595:$I$599,MATCH($C889,'Staff Directory'!$B$5:$B$599,0))&amp;" "&amp;INDEX('Staff Directory'!$J$595:$J$599,MATCH($C889,'Staff Directory'!$B$5:$B$599,0)),$AG889))</f>
        <v>PSW</v>
      </c>
      <c r="AI889" s="102"/>
      <c r="AJ889" s="101">
        <f>IF($F889="","",SUMIFS($J$5:$J889,$F$5:$F889,$F889))</f>
        <v>24</v>
      </c>
      <c r="AK889" s="101">
        <f t="shared" si="148"/>
        <v>21</v>
      </c>
      <c r="AL889" s="66" t="str" cm="1">
        <f t="array" ref="AL889">IF($F889="","",IFERROR(INDEX('Lot Balance'!$B$5:$B$500,MATCH(1,INDEX(('Lot Balance'!$A$5:$A$500=$F889)*('Lot Balance'!$K$5:$K$500&lt;$AK889)*('Lot Balance'!$K$5:$K$500+'Lot Balance'!$D$5:$D$500&gt;=$AK889),0),0)),""))</f>
        <v/>
      </c>
      <c r="AM889" s="66" t="str" cm="1">
        <f t="array" ref="AM889">IF($F889="","",IFERROR(INDEX('Lot Balance'!$B$5:$B$500,MATCH(1,INDEX(('Lot Balance'!$A$5:$A$500=$F889)*('Lot Balance'!$K$5:$K$500&lt;$AJ889)*('Lot Balance'!$K$5:$K$500+'Lot Balance'!$D$5:$D$500&gt;=$AJ889),0),0)),""))</f>
        <v/>
      </c>
      <c r="AN889" s="66" t="str">
        <f>IF($F889="","",IF($AI889&lt;&gt;"",IF(COUNTIFS('Lot Balance'!$A$5:$A$500,$F889,'Lot Balance'!$B$5:$B$500,$AI889)=0,"⚠ override is not a lot of this item",IF($AI889=$AL889,"Override = FEFO","Override - FEFO says "&amp;$AL889)),IF($AL889="","⚠ no receipt on file for this item",IF($AM889&lt;&gt;$AL889,"FEFO auto - split, also "&amp;$AM889,"FEFO auto"))))</f>
        <v>⚠ no receipt on file for this item</v>
      </c>
      <c r="AO889" s="114"/>
    </row>
    <row r="890" spans="1:41" x14ac:dyDescent="0.35">
      <c r="A890" s="74">
        <v>46174</v>
      </c>
      <c r="B890" s="18" t="str">
        <f>IF($C890="","",IFERROR(INDEX('Staff Directory'!$A$5:$A$594,MATCH($C890,'Staff Directory'!$B$5:$B$594,0)),"⚠ unknown staff"))</f>
        <v>PSW-178-TBD</v>
      </c>
      <c r="C890" s="49" t="s">
        <v>1157</v>
      </c>
      <c r="D890" s="19" t="str">
        <f>IF($B890="","",IFERROR(INDEX('Staff Directory'!$C$5:$C$594,MATCH($B890,'Staff Directory'!$A$5:$A$594,0)),""))</f>
        <v>PSW</v>
      </c>
      <c r="E890" s="19">
        <f>IF($B890="","",IFERROR(INDEX('Staff Directory'!$D$5:$D$594,MATCH($B890,'Staff Directory'!$A$5:$A$594,0)),""))</f>
        <v>0</v>
      </c>
      <c r="F890" s="9" t="s">
        <v>154</v>
      </c>
      <c r="G890" s="18" t="str">
        <f>IF($F890="","",IFERROR(INDEX(Items!$B$5:$B$597,MATCH($F890,Items!$A$5:$A$597,0)),"⚠ not in Items"))</f>
        <v>IPAC</v>
      </c>
      <c r="H890" s="19" t="str">
        <f>IF($F890="","",IFERROR(INDEX(Items!$C$5:$C$597,MATCH($F890,Items!$A$5:$A$597,0)),""))</f>
        <v>Regular</v>
      </c>
      <c r="I890" s="23">
        <f>IF($F890="","",IFERROR(INDEX(Items!$E$5:$E$597,MATCH($F890,Items!$A$5:$A$597,0)),""))</f>
        <v>50</v>
      </c>
      <c r="J890" s="115">
        <f>IF(tblIssues[[#This Row],[Qty Override]]&lt;&gt;"",tblIssues[[#This Row],[Qty Override]],IF(tblIssues[[#This Row],[Standard Issue]]="","",tblIssues[[#This Row],[Standard Issue]]))</f>
        <v>50</v>
      </c>
      <c r="K890" s="20">
        <f>IF($F890="","",IFERROR(INDEX(Items!$D$5:$D$597,MATCH($F890,Items!$A$5:$A$597,0)),""))</f>
        <v>0.2</v>
      </c>
      <c r="L890" s="21">
        <f t="shared" si="151"/>
        <v>10</v>
      </c>
      <c r="M890" s="9" t="str">
        <f t="shared" si="149"/>
        <v/>
      </c>
      <c r="N890" s="24">
        <f>IF($A890="","",WORKDAY($A890,Settings!$C$9,HolidayDates))</f>
        <v>46182</v>
      </c>
      <c r="O890" s="24">
        <f>IF($N890="","",WORKDAY($N890,Settings!$C$10,HolidayDates))</f>
        <v>46220</v>
      </c>
      <c r="P890" s="10" t="s">
        <v>501</v>
      </c>
      <c r="Q890" s="52" t="str">
        <f t="shared" si="152"/>
        <v>Collected</v>
      </c>
      <c r="R890" s="55" t="str">
        <f t="shared" si="153"/>
        <v>2026-06</v>
      </c>
      <c r="S890" s="55">
        <f>IF(OR($B890="",$F890="",$R890=""),"",SUMIFS(tblIssues[Qty Issued],tblIssues[Staff ID],$B890,tblIssues[Item Name],$F890,tblIssues[Month],$R890))</f>
        <v>50</v>
      </c>
      <c r="T890" s="56">
        <f>IF($I890="","",$I890*Settings!$C$11)</f>
        <v>50</v>
      </c>
      <c r="U890" s="57" t="str">
        <f t="shared" si="150"/>
        <v>OK</v>
      </c>
      <c r="V890" s="55" t="str">
        <f t="shared" si="154"/>
        <v/>
      </c>
      <c r="W890" s="55" t="str">
        <f>IF($V890="","",IF(COUNTIF($V$5:$V890,$V890)=1,1,""))</f>
        <v/>
      </c>
      <c r="X890" s="58" t="str">
        <f>IF($W890="","",MAX($X$4:X889)+1)</f>
        <v/>
      </c>
      <c r="Y890" s="62"/>
      <c r="Z890" s="62"/>
      <c r="AA890" s="64" t="str">
        <f>IF($C890="","",IFERROR(INDEX('Staff Directory'!$E$5:$E$594,MATCH($C890,'Staff Directory'!$B$5:$B$594,0)),""))</f>
        <v>firstname241.lastname241@example.com</v>
      </c>
      <c r="AB890" s="64" t="str">
        <f>IF($C890="","",IF(ISNUMBER(SEARCH($D890,Settings!$C$15)),"Pickup","Dispatch"))</f>
        <v>Pickup</v>
      </c>
      <c r="AC890" s="64" t="str">
        <f t="shared" si="155"/>
        <v>Supply order ready for pickup</v>
      </c>
      <c r="AD890" s="64" t="str">
        <f t="shared" si="146"/>
        <v>Dear PSW,
Your order is ready for pickup from Sample Branch, Wed-Fri 9am-4pm.</v>
      </c>
      <c r="AE890" s="64" t="str">
        <f t="shared" si="147"/>
        <v>mailto:firstname241.lastname241@example.com?subject=Supply%20order%20ready%20for%20pickup&amp;body=Dear%20PSW%2C%0A%0AYour%20order%20is%20ready%20for%20pickup%20from%20Sample%20Branch%2C%20Wed-Fri%209am-4pm.</v>
      </c>
      <c r="AF890" s="89" t="str">
        <f t="shared" si="156"/>
        <v>Draft email</v>
      </c>
      <c r="AG890" s="64" t="str">
        <f>IF($C890="","",IFERROR(INDEX('Staff Directory'!$K$595:$K$599,MATCH($C890,'Staff Directory'!$B$5:$B$599,0)),$D890))</f>
        <v>PSW</v>
      </c>
      <c r="AH890" t="str">
        <f>IF($C890="","",IFERROR(INDEX('Staff Directory'!$I$595:$I$599,MATCH($C890,'Staff Directory'!$B$5:$B$599,0))&amp;" "&amp;INDEX('Staff Directory'!$J$595:$J$599,MATCH($C890,'Staff Directory'!$B$5:$B$599,0)),$AG890))</f>
        <v>PSW</v>
      </c>
      <c r="AI890" s="102"/>
      <c r="AJ890" s="101">
        <f>IF($F890="","",SUMIFS($J$5:$J890,$F$5:$F890,$F890))</f>
        <v>700</v>
      </c>
      <c r="AK890" s="101">
        <f t="shared" si="148"/>
        <v>651</v>
      </c>
      <c r="AL890" s="66" t="str" cm="1">
        <f t="array" ref="AL890">IF($F890="","",IFERROR(INDEX('Lot Balance'!$B$5:$B$500,MATCH(1,INDEX(('Lot Balance'!$A$5:$A$500=$F890)*('Lot Balance'!$K$5:$K$500&lt;$AK890)*('Lot Balance'!$K$5:$K$500+'Lot Balance'!$D$5:$D$500&gt;=$AK890),0),0)),""))</f>
        <v/>
      </c>
      <c r="AM890" s="66" t="str" cm="1">
        <f t="array" ref="AM890">IF($F890="","",IFERROR(INDEX('Lot Balance'!$B$5:$B$500,MATCH(1,INDEX(('Lot Balance'!$A$5:$A$500=$F890)*('Lot Balance'!$K$5:$K$500&lt;$AJ890)*('Lot Balance'!$K$5:$K$500+'Lot Balance'!$D$5:$D$500&gt;=$AJ890),0),0)),""))</f>
        <v/>
      </c>
      <c r="AN890" s="66" t="str">
        <f>IF($F890="","",IF($AI890&lt;&gt;"",IF(COUNTIFS('Lot Balance'!$A$5:$A$500,$F890,'Lot Balance'!$B$5:$B$500,$AI890)=0,"⚠ override is not a lot of this item",IF($AI890=$AL890,"Override = FEFO","Override - FEFO says "&amp;$AL890)),IF($AL890="","⚠ no receipt on file for this item",IF($AM890&lt;&gt;$AL890,"FEFO auto - split, also "&amp;$AM890,"FEFO auto"))))</f>
        <v>⚠ no receipt on file for this item</v>
      </c>
      <c r="AO890" s="114"/>
    </row>
    <row r="891" spans="1:41" x14ac:dyDescent="0.35">
      <c r="A891" s="74">
        <v>46174</v>
      </c>
      <c r="B891" s="18" t="str">
        <f>IF($C891="","",IFERROR(INDEX('Staff Directory'!$A$5:$A$594,MATCH($C891,'Staff Directory'!$B$5:$B$594,0)),"⚠ unknown staff"))</f>
        <v>PSW-178-TBD</v>
      </c>
      <c r="C891" s="49" t="s">
        <v>1157</v>
      </c>
      <c r="D891" s="19" t="str">
        <f>IF($B891="","",IFERROR(INDEX('Staff Directory'!$C$5:$C$594,MATCH($B891,'Staff Directory'!$A$5:$A$594,0)),""))</f>
        <v>PSW</v>
      </c>
      <c r="E891" s="19">
        <f>IF($B891="","",IFERROR(INDEX('Staff Directory'!$D$5:$D$594,MATCH($B891,'Staff Directory'!$A$5:$A$594,0)),""))</f>
        <v>0</v>
      </c>
      <c r="F891" s="9" t="s">
        <v>136</v>
      </c>
      <c r="G891" s="18" t="str">
        <f>IF($F891="","",IFERROR(INDEX(Items!$B$5:$B$597,MATCH($F891,Items!$A$5:$A$597,0)),"⚠ not in Items"))</f>
        <v>Eye Protection</v>
      </c>
      <c r="H891" s="19" t="str">
        <f>IF($F891="","",IFERROR(INDEX(Items!$C$5:$C$597,MATCH($F891,Items!$A$5:$A$597,0)),""))</f>
        <v>One Size</v>
      </c>
      <c r="I891" s="23">
        <f>IF($F891="","",IFERROR(INDEX(Items!$E$5:$E$597,MATCH($F891,Items!$A$5:$A$597,0)),""))</f>
        <v>1</v>
      </c>
      <c r="J891" s="115">
        <f>IF(tblIssues[[#This Row],[Qty Override]]&lt;&gt;"",tblIssues[[#This Row],[Qty Override]],IF(tblIssues[[#This Row],[Standard Issue]]="","",tblIssues[[#This Row],[Standard Issue]]))</f>
        <v>1</v>
      </c>
      <c r="K891" s="20">
        <f>IF($F891="","",IFERROR(INDEX(Items!$D$5:$D$597,MATCH($F891,Items!$A$5:$A$597,0)),""))</f>
        <v>10</v>
      </c>
      <c r="L891" s="21">
        <f t="shared" si="151"/>
        <v>10</v>
      </c>
      <c r="M891" s="9" t="str">
        <f t="shared" si="149"/>
        <v>GGL5003700</v>
      </c>
      <c r="N891" s="24">
        <f>IF($A891="","",WORKDAY($A891,Settings!$C$9,HolidayDates))</f>
        <v>46182</v>
      </c>
      <c r="O891" s="24">
        <f>IF($N891="","",WORKDAY($N891,Settings!$C$10,HolidayDates))</f>
        <v>46220</v>
      </c>
      <c r="P891" s="10" t="s">
        <v>501</v>
      </c>
      <c r="Q891" s="52" t="str">
        <f t="shared" si="152"/>
        <v>Collected</v>
      </c>
      <c r="R891" s="55" t="str">
        <f t="shared" si="153"/>
        <v>2026-06</v>
      </c>
      <c r="S891" s="55">
        <f>IF(OR($B891="",$F891="",$R891=""),"",SUMIFS(tblIssues[Qty Issued],tblIssues[Staff ID],$B891,tblIssues[Item Name],$F891,tblIssues[Month],$R891))</f>
        <v>1</v>
      </c>
      <c r="T891" s="56">
        <f>IF($I891="","",$I891*Settings!$C$11)</f>
        <v>1</v>
      </c>
      <c r="U891" s="57" t="str">
        <f t="shared" si="150"/>
        <v>OK</v>
      </c>
      <c r="V891" s="55" t="str">
        <f t="shared" si="154"/>
        <v/>
      </c>
      <c r="W891" s="55" t="str">
        <f>IF($V891="","",IF(COUNTIF($V$5:$V891,$V891)=1,1,""))</f>
        <v/>
      </c>
      <c r="X891" s="58" t="str">
        <f>IF($W891="","",MAX($X$4:X890)+1)</f>
        <v/>
      </c>
      <c r="Y891" s="62"/>
      <c r="Z891" s="62"/>
      <c r="AA891" s="64" t="str">
        <f>IF($C891="","",IFERROR(INDEX('Staff Directory'!$E$5:$E$594,MATCH($C891,'Staff Directory'!$B$5:$B$594,0)),""))</f>
        <v>firstname241.lastname241@example.com</v>
      </c>
      <c r="AB891" s="64" t="str">
        <f>IF($C891="","",IF(ISNUMBER(SEARCH($D891,Settings!$C$15)),"Pickup","Dispatch"))</f>
        <v>Pickup</v>
      </c>
      <c r="AC891" s="64" t="str">
        <f t="shared" si="155"/>
        <v>Supply order ready for pickup</v>
      </c>
      <c r="AD891" s="64" t="str">
        <f t="shared" si="146"/>
        <v>Dear PSW,
Your order is ready for pickup from Sample Branch, Wed-Fri 9am-4pm.</v>
      </c>
      <c r="AE891" s="64" t="str">
        <f t="shared" si="147"/>
        <v>mailto:firstname241.lastname241@example.com?subject=Supply%20order%20ready%20for%20pickup&amp;body=Dear%20PSW%2C%0A%0AYour%20order%20is%20ready%20for%20pickup%20from%20Sample%20Branch%2C%20Wed-Fri%209am-4pm.</v>
      </c>
      <c r="AF891" s="89" t="str">
        <f t="shared" si="156"/>
        <v>Draft email</v>
      </c>
      <c r="AG891" s="64" t="str">
        <f>IF($C891="","",IFERROR(INDEX('Staff Directory'!$K$595:$K$599,MATCH($C891,'Staff Directory'!$B$5:$B$599,0)),$D891))</f>
        <v>PSW</v>
      </c>
      <c r="AH891" t="str">
        <f>IF($C891="","",IFERROR(INDEX('Staff Directory'!$I$595:$I$599,MATCH($C891,'Staff Directory'!$B$5:$B$599,0))&amp;" "&amp;INDEX('Staff Directory'!$J$595:$J$599,MATCH($C891,'Staff Directory'!$B$5:$B$599,0)),$AG891))</f>
        <v>PSW</v>
      </c>
      <c r="AI891" s="102"/>
      <c r="AJ891" s="101">
        <f>IF($F891="","",SUMIFS($J$5:$J891,$F$5:$F891,$F891))</f>
        <v>3</v>
      </c>
      <c r="AK891" s="101">
        <f t="shared" si="148"/>
        <v>3</v>
      </c>
      <c r="AL891" s="66" t="str" cm="1">
        <f t="array" ref="AL891">IF($F891="","",IFERROR(INDEX('Lot Balance'!$B$5:$B$500,MATCH(1,INDEX(('Lot Balance'!$A$5:$A$500=$F891)*('Lot Balance'!$K$5:$K$500&lt;$AK891)*('Lot Balance'!$K$5:$K$500+'Lot Balance'!$D$5:$D$500&gt;=$AK891),0),0)),""))</f>
        <v>GGL5003700</v>
      </c>
      <c r="AM891" s="66" t="str" cm="1">
        <f t="array" ref="AM891">IF($F891="","",IFERROR(INDEX('Lot Balance'!$B$5:$B$500,MATCH(1,INDEX(('Lot Balance'!$A$5:$A$500=$F891)*('Lot Balance'!$K$5:$K$500&lt;$AJ891)*('Lot Balance'!$K$5:$K$500+'Lot Balance'!$D$5:$D$500&gt;=$AJ891),0),0)),""))</f>
        <v>GGL5003700</v>
      </c>
      <c r="AN891" s="66" t="str">
        <f>IF($F891="","",IF($AI891&lt;&gt;"",IF(COUNTIFS('Lot Balance'!$A$5:$A$500,$F891,'Lot Balance'!$B$5:$B$500,$AI891)=0,"⚠ override is not a lot of this item",IF($AI891=$AL891,"Override = FEFO","Override - FEFO says "&amp;$AL891)),IF($AL891="","⚠ no receipt on file for this item",IF($AM891&lt;&gt;$AL891,"FEFO auto - split, also "&amp;$AM891,"FEFO auto"))))</f>
        <v>FEFO auto</v>
      </c>
      <c r="AO891" s="114"/>
    </row>
    <row r="892" spans="1:41" x14ac:dyDescent="0.35">
      <c r="A892" s="74">
        <v>46174</v>
      </c>
      <c r="B892" s="18" t="str">
        <f>IF($C892="","",IFERROR(INDEX('Staff Directory'!$A$5:$A$594,MATCH($C892,'Staff Directory'!$B$5:$B$594,0)),"⚠ unknown staff"))</f>
        <v>PSW-178-TBD</v>
      </c>
      <c r="C892" s="49" t="s">
        <v>1157</v>
      </c>
      <c r="D892" s="19" t="str">
        <f>IF($B892="","",IFERROR(INDEX('Staff Directory'!$C$5:$C$594,MATCH($B892,'Staff Directory'!$A$5:$A$594,0)),""))</f>
        <v>PSW</v>
      </c>
      <c r="E892" s="19">
        <f>IF($B892="","",IFERROR(INDEX('Staff Directory'!$D$5:$D$594,MATCH($B892,'Staff Directory'!$A$5:$A$594,0)),""))</f>
        <v>0</v>
      </c>
      <c r="F892" s="9" t="s">
        <v>122</v>
      </c>
      <c r="G892" s="18" t="str">
        <f>IF($F892="","",IFERROR(INDEX(Items!$B$5:$B$597,MATCH($F892,Items!$A$5:$A$597,0)),"⚠ not in Items"))</f>
        <v>Eye Protection</v>
      </c>
      <c r="H892" s="19" t="str">
        <f>IF($F892="","",IFERROR(INDEX(Items!$C$5:$C$597,MATCH($F892,Items!$A$5:$A$597,0)),""))</f>
        <v>One Size</v>
      </c>
      <c r="I892" s="23">
        <f>IF($F892="","",IFERROR(INDEX(Items!$E$5:$E$597,MATCH($F892,Items!$A$5:$A$597,0)),""))</f>
        <v>1</v>
      </c>
      <c r="J892" s="115">
        <f>IF(tblIssues[[#This Row],[Qty Override]]&lt;&gt;"",tblIssues[[#This Row],[Qty Override]],IF(tblIssues[[#This Row],[Standard Issue]]="","",tblIssues[[#This Row],[Standard Issue]]))</f>
        <v>1</v>
      </c>
      <c r="K892" s="20">
        <f>IF($F892="","",IFERROR(INDEX(Items!$D$5:$D$597,MATCH($F892,Items!$A$5:$A$597,0)),""))</f>
        <v>7</v>
      </c>
      <c r="L892" s="21">
        <f t="shared" si="151"/>
        <v>7</v>
      </c>
      <c r="M892" s="9" t="str">
        <f t="shared" si="149"/>
        <v/>
      </c>
      <c r="N892" s="24">
        <f>IF($A892="","",WORKDAY($A892,Settings!$C$9,HolidayDates))</f>
        <v>46182</v>
      </c>
      <c r="O892" s="24">
        <f>IF($N892="","",WORKDAY($N892,Settings!$C$10,HolidayDates))</f>
        <v>46220</v>
      </c>
      <c r="P892" s="10" t="s">
        <v>501</v>
      </c>
      <c r="Q892" s="52" t="str">
        <f t="shared" si="152"/>
        <v>Collected</v>
      </c>
      <c r="R892" s="55" t="str">
        <f t="shared" si="153"/>
        <v>2026-06</v>
      </c>
      <c r="S892" s="55">
        <f>IF(OR($B892="",$F892="",$R892=""),"",SUMIFS(tblIssues[Qty Issued],tblIssues[Staff ID],$B892,tblIssues[Item Name],$F892,tblIssues[Month],$R892))</f>
        <v>1</v>
      </c>
      <c r="T892" s="56">
        <f>IF($I892="","",$I892*Settings!$C$11)</f>
        <v>1</v>
      </c>
      <c r="U892" s="57" t="str">
        <f t="shared" si="150"/>
        <v>OK</v>
      </c>
      <c r="V892" s="55" t="str">
        <f t="shared" si="154"/>
        <v/>
      </c>
      <c r="W892" s="55" t="str">
        <f>IF($V892="","",IF(COUNTIF($V$5:$V892,$V892)=1,1,""))</f>
        <v/>
      </c>
      <c r="X892" s="58" t="str">
        <f>IF($W892="","",MAX($X$4:X891)+1)</f>
        <v/>
      </c>
      <c r="Y892" s="62"/>
      <c r="Z892" s="62"/>
      <c r="AA892" s="64" t="str">
        <f>IF($C892="","",IFERROR(INDEX('Staff Directory'!$E$5:$E$594,MATCH($C892,'Staff Directory'!$B$5:$B$594,0)),""))</f>
        <v>firstname241.lastname241@example.com</v>
      </c>
      <c r="AB892" s="64" t="str">
        <f>IF($C892="","",IF(ISNUMBER(SEARCH($D892,Settings!$C$15)),"Pickup","Dispatch"))</f>
        <v>Pickup</v>
      </c>
      <c r="AC892" s="64" t="str">
        <f t="shared" si="155"/>
        <v>Supply order ready for pickup</v>
      </c>
      <c r="AD892" s="64" t="str">
        <f t="shared" si="146"/>
        <v>Dear PSW,
Your order is ready for pickup from Sample Branch, Wed-Fri 9am-4pm.</v>
      </c>
      <c r="AE892" s="64" t="str">
        <f t="shared" si="147"/>
        <v>mailto:firstname241.lastname241@example.com?subject=Supply%20order%20ready%20for%20pickup&amp;body=Dear%20PSW%2C%0A%0AYour%20order%20is%20ready%20for%20pickup%20from%20Sample%20Branch%2C%20Wed-Fri%209am-4pm.</v>
      </c>
      <c r="AF892" s="89" t="str">
        <f t="shared" si="156"/>
        <v>Draft email</v>
      </c>
      <c r="AG892" s="64" t="str">
        <f>IF($C892="","",IFERROR(INDEX('Staff Directory'!$K$595:$K$599,MATCH($C892,'Staff Directory'!$B$5:$B$599,0)),$D892))</f>
        <v>PSW</v>
      </c>
      <c r="AH892" t="str">
        <f>IF($C892="","",IFERROR(INDEX('Staff Directory'!$I$595:$I$599,MATCH($C892,'Staff Directory'!$B$5:$B$599,0))&amp;" "&amp;INDEX('Staff Directory'!$J$595:$J$599,MATCH($C892,'Staff Directory'!$B$5:$B$599,0)),$AG892))</f>
        <v>PSW</v>
      </c>
      <c r="AI892" s="102"/>
      <c r="AJ892" s="101">
        <f>IF($F892="","",SUMIFS($J$5:$J892,$F$5:$F892,$F892))</f>
        <v>4</v>
      </c>
      <c r="AK892" s="101">
        <f t="shared" si="148"/>
        <v>4</v>
      </c>
      <c r="AL892" s="66" t="str" cm="1">
        <f t="array" ref="AL892">IF($F892="","",IFERROR(INDEX('Lot Balance'!$B$5:$B$500,MATCH(1,INDEX(('Lot Balance'!$A$5:$A$500=$F892)*('Lot Balance'!$K$5:$K$500&lt;$AK892)*('Lot Balance'!$K$5:$K$500+'Lot Balance'!$D$5:$D$500&gt;=$AK892),0),0)),""))</f>
        <v/>
      </c>
      <c r="AM892" s="66" t="str" cm="1">
        <f t="array" ref="AM892">IF($F892="","",IFERROR(INDEX('Lot Balance'!$B$5:$B$500,MATCH(1,INDEX(('Lot Balance'!$A$5:$A$500=$F892)*('Lot Balance'!$K$5:$K$500&lt;$AJ892)*('Lot Balance'!$K$5:$K$500+'Lot Balance'!$D$5:$D$500&gt;=$AJ892),0),0)),""))</f>
        <v/>
      </c>
      <c r="AN892" s="66" t="str">
        <f>IF($F892="","",IF($AI892&lt;&gt;"",IF(COUNTIFS('Lot Balance'!$A$5:$A$500,$F892,'Lot Balance'!$B$5:$B$500,$AI892)=0,"⚠ override is not a lot of this item",IF($AI892=$AL892,"Override = FEFO","Override - FEFO says "&amp;$AL892)),IF($AL892="","⚠ no receipt on file for this item",IF($AM892&lt;&gt;$AL892,"FEFO auto - split, also "&amp;$AM892,"FEFO auto"))))</f>
        <v>⚠ no receipt on file for this item</v>
      </c>
      <c r="AO892" s="114"/>
    </row>
    <row r="893" spans="1:41" x14ac:dyDescent="0.35">
      <c r="A893" s="74">
        <v>46174</v>
      </c>
      <c r="B893" s="18" t="str">
        <f>IF($C893="","",IFERROR(INDEX('Staff Directory'!$A$5:$A$594,MATCH($C893,'Staff Directory'!$B$5:$B$594,0)),"⚠ unknown staff"))</f>
        <v>PSW-178-TBD</v>
      </c>
      <c r="C893" s="49" t="s">
        <v>1157</v>
      </c>
      <c r="D893" s="19" t="str">
        <f>IF($B893="","",IFERROR(INDEX('Staff Directory'!$C$5:$C$594,MATCH($B893,'Staff Directory'!$A$5:$A$594,0)),""))</f>
        <v>PSW</v>
      </c>
      <c r="E893" s="19">
        <f>IF($B893="","",IFERROR(INDEX('Staff Directory'!$D$5:$D$594,MATCH($B893,'Staff Directory'!$A$5:$A$594,0)),""))</f>
        <v>0</v>
      </c>
      <c r="F893" s="9" t="s">
        <v>150</v>
      </c>
      <c r="G893" s="18" t="str">
        <f>IF($F893="","",IFERROR(INDEX(Items!$B$5:$B$597,MATCH($F893,Items!$A$5:$A$597,0)),"⚠ not in Items"))</f>
        <v>Documents</v>
      </c>
      <c r="H893" s="19" t="str">
        <f>IF($F893="","",IFERROR(INDEX(Items!$C$5:$C$597,MATCH($F893,Items!$A$5:$A$597,0)),""))</f>
        <v>Standard</v>
      </c>
      <c r="I893" s="23">
        <f>IF($F893="","",IFERROR(INDEX(Items!$E$5:$E$597,MATCH($F893,Items!$A$5:$A$597,0)),""))</f>
        <v>1</v>
      </c>
      <c r="J893" s="115">
        <f>IF(tblIssues[[#This Row],[Qty Override]]&lt;&gt;"",tblIssues[[#This Row],[Qty Override]],IF(tblIssues[[#This Row],[Standard Issue]]="","",tblIssues[[#This Row],[Standard Issue]]))</f>
        <v>1</v>
      </c>
      <c r="K893" s="20">
        <f>IF($F893="","",IFERROR(INDEX(Items!$D$5:$D$597,MATCH($F893,Items!$A$5:$A$597,0)),""))</f>
        <v>0</v>
      </c>
      <c r="L893" s="21">
        <f t="shared" si="151"/>
        <v>0</v>
      </c>
      <c r="M893" s="9" t="str">
        <f t="shared" si="149"/>
        <v/>
      </c>
      <c r="N893" s="24">
        <f>IF($A893="","",WORKDAY($A893,Settings!$C$9,HolidayDates))</f>
        <v>46182</v>
      </c>
      <c r="O893" s="24">
        <f>IF($N893="","",WORKDAY($N893,Settings!$C$10,HolidayDates))</f>
        <v>46220</v>
      </c>
      <c r="P893" s="10" t="s">
        <v>501</v>
      </c>
      <c r="Q893" s="52" t="str">
        <f t="shared" si="152"/>
        <v>Collected</v>
      </c>
      <c r="R893" s="55" t="str">
        <f t="shared" si="153"/>
        <v>2026-06</v>
      </c>
      <c r="S893" s="55">
        <f>IF(OR($B893="",$F893="",$R893=""),"",SUMIFS(tblIssues[Qty Issued],tblIssues[Staff ID],$B893,tblIssues[Item Name],$F893,tblIssues[Month],$R893))</f>
        <v>1</v>
      </c>
      <c r="T893" s="56">
        <f>IF($I893="","",$I893*Settings!$C$11)</f>
        <v>1</v>
      </c>
      <c r="U893" s="57" t="str">
        <f t="shared" si="150"/>
        <v>OK</v>
      </c>
      <c r="V893" s="55" t="str">
        <f t="shared" si="154"/>
        <v/>
      </c>
      <c r="W893" s="55" t="str">
        <f>IF($V893="","",IF(COUNTIF($V$5:$V893,$V893)=1,1,""))</f>
        <v/>
      </c>
      <c r="X893" s="58" t="str">
        <f>IF($W893="","",MAX($X$4:X892)+1)</f>
        <v/>
      </c>
      <c r="Y893" s="62"/>
      <c r="Z893" s="62"/>
      <c r="AA893" s="64" t="str">
        <f>IF($C893="","",IFERROR(INDEX('Staff Directory'!$E$5:$E$594,MATCH($C893,'Staff Directory'!$B$5:$B$594,0)),""))</f>
        <v>firstname241.lastname241@example.com</v>
      </c>
      <c r="AB893" s="64" t="str">
        <f>IF($C893="","",IF(ISNUMBER(SEARCH($D893,Settings!$C$15)),"Pickup","Dispatch"))</f>
        <v>Pickup</v>
      </c>
      <c r="AC893" s="64" t="str">
        <f t="shared" si="155"/>
        <v>Supply order ready for pickup</v>
      </c>
      <c r="AD893" s="64" t="str">
        <f t="shared" si="146"/>
        <v>Dear PSW,
Your order is ready for pickup from Sample Branch, Wed-Fri 9am-4pm.</v>
      </c>
      <c r="AE893" s="64" t="str">
        <f t="shared" si="147"/>
        <v>mailto:firstname241.lastname241@example.com?subject=Supply%20order%20ready%20for%20pickup&amp;body=Dear%20PSW%2C%0A%0AYour%20order%20is%20ready%20for%20pickup%20from%20Sample%20Branch%2C%20Wed-Fri%209am-4pm.</v>
      </c>
      <c r="AF893" s="89" t="str">
        <f t="shared" si="156"/>
        <v>Draft email</v>
      </c>
      <c r="AG893" s="64" t="str">
        <f>IF($C893="","",IFERROR(INDEX('Staff Directory'!$K$595:$K$599,MATCH($C893,'Staff Directory'!$B$5:$B$599,0)),$D893))</f>
        <v>PSW</v>
      </c>
      <c r="AH893" t="str">
        <f>IF($C893="","",IFERROR(INDEX('Staff Directory'!$I$595:$I$599,MATCH($C893,'Staff Directory'!$B$5:$B$599,0))&amp;" "&amp;INDEX('Staff Directory'!$J$595:$J$599,MATCH($C893,'Staff Directory'!$B$5:$B$599,0)),$AG893))</f>
        <v>PSW</v>
      </c>
      <c r="AI893" s="102"/>
      <c r="AJ893" s="101">
        <f>IF($F893="","",SUMIFS($J$5:$J893,$F$5:$F893,$F893))</f>
        <v>4</v>
      </c>
      <c r="AK893" s="101">
        <f t="shared" si="148"/>
        <v>4</v>
      </c>
      <c r="AL893" s="66" t="str" cm="1">
        <f t="array" ref="AL893">IF($F893="","",IFERROR(INDEX('Lot Balance'!$B$5:$B$500,MATCH(1,INDEX(('Lot Balance'!$A$5:$A$500=$F893)*('Lot Balance'!$K$5:$K$500&lt;$AK893)*('Lot Balance'!$K$5:$K$500+'Lot Balance'!$D$5:$D$500&gt;=$AK893),0),0)),""))</f>
        <v/>
      </c>
      <c r="AM893" s="66" t="str" cm="1">
        <f t="array" ref="AM893">IF($F893="","",IFERROR(INDEX('Lot Balance'!$B$5:$B$500,MATCH(1,INDEX(('Lot Balance'!$A$5:$A$500=$F893)*('Lot Balance'!$K$5:$K$500&lt;$AJ893)*('Lot Balance'!$K$5:$K$500+'Lot Balance'!$D$5:$D$500&gt;=$AJ893),0),0)),""))</f>
        <v/>
      </c>
      <c r="AN893" s="66" t="str">
        <f>IF($F893="","",IF($AI893&lt;&gt;"",IF(COUNTIFS('Lot Balance'!$A$5:$A$500,$F893,'Lot Balance'!$B$5:$B$500,$AI893)=0,"⚠ override is not a lot of this item",IF($AI893=$AL893,"Override = FEFO","Override - FEFO says "&amp;$AL893)),IF($AL893="","⚠ no receipt on file for this item",IF($AM893&lt;&gt;$AL893,"FEFO auto - split, also "&amp;$AM893,"FEFO auto"))))</f>
        <v>⚠ no receipt on file for this item</v>
      </c>
      <c r="AO893" s="114"/>
    </row>
    <row r="894" spans="1:41" x14ac:dyDescent="0.35">
      <c r="A894" s="74">
        <v>46174</v>
      </c>
      <c r="B894" s="18" t="str">
        <f>IF($C894="","",IFERROR(INDEX('Staff Directory'!$A$5:$A$594,MATCH($C894,'Staff Directory'!$B$5:$B$594,0)),"⚠ unknown staff"))</f>
        <v>PSW-178-TBD</v>
      </c>
      <c r="C894" s="49" t="s">
        <v>1157</v>
      </c>
      <c r="D894" s="19" t="str">
        <f>IF($B894="","",IFERROR(INDEX('Staff Directory'!$C$5:$C$594,MATCH($B894,'Staff Directory'!$A$5:$A$594,0)),""))</f>
        <v>PSW</v>
      </c>
      <c r="E894" s="19">
        <f>IF($B894="","",IFERROR(INDEX('Staff Directory'!$D$5:$D$594,MATCH($B894,'Staff Directory'!$A$5:$A$594,0)),""))</f>
        <v>0</v>
      </c>
      <c r="F894" s="9" t="s">
        <v>755</v>
      </c>
      <c r="G894" s="18" t="str">
        <f>IF($F894="","",IFERROR(INDEX(Items!$B$5:$B$597,MATCH($F894,Items!$A$5:$A$597,0)),"⚠ not in Items"))</f>
        <v>Documents</v>
      </c>
      <c r="H894" s="19" t="str">
        <f>IF($F894="","",IFERROR(INDEX(Items!$C$5:$C$597,MATCH($F894,Items!$A$5:$A$597,0)),""))</f>
        <v>Standard</v>
      </c>
      <c r="I894" s="23">
        <f>IF($F894="","",IFERROR(INDEX(Items!$E$5:$E$597,MATCH($F894,Items!$A$5:$A$597,0)),""))</f>
        <v>2</v>
      </c>
      <c r="J894" s="115">
        <f>IF(tblIssues[[#This Row],[Qty Override]]&lt;&gt;"",tblIssues[[#This Row],[Qty Override]],IF(tblIssues[[#This Row],[Standard Issue]]="","",tblIssues[[#This Row],[Standard Issue]]))</f>
        <v>2</v>
      </c>
      <c r="K894" s="20">
        <f>IF($F894="","",IFERROR(INDEX(Items!$D$5:$D$597,MATCH($F894,Items!$A$5:$A$597,0)),""))</f>
        <v>0</v>
      </c>
      <c r="L894" s="21">
        <f t="shared" si="151"/>
        <v>0</v>
      </c>
      <c r="M894" s="9" t="str">
        <f t="shared" si="149"/>
        <v/>
      </c>
      <c r="N894" s="24">
        <f>IF($A894="","",WORKDAY($A894,Settings!$C$9,HolidayDates))</f>
        <v>46182</v>
      </c>
      <c r="O894" s="24">
        <f>IF($N894="","",WORKDAY($N894,Settings!$C$10,HolidayDates))</f>
        <v>46220</v>
      </c>
      <c r="P894" s="10" t="s">
        <v>501</v>
      </c>
      <c r="Q894" s="52" t="str">
        <f t="shared" si="152"/>
        <v>Collected</v>
      </c>
      <c r="R894" s="55" t="str">
        <f t="shared" si="153"/>
        <v>2026-06</v>
      </c>
      <c r="S894" s="55">
        <f>IF(OR($B894="",$F894="",$R894=""),"",SUMIFS(tblIssues[Qty Issued],tblIssues[Staff ID],$B894,tblIssues[Item Name],$F894,tblIssues[Month],$R894))</f>
        <v>2</v>
      </c>
      <c r="T894" s="56">
        <f>IF($I894="","",$I894*Settings!$C$11)</f>
        <v>2</v>
      </c>
      <c r="U894" s="57" t="str">
        <f t="shared" si="150"/>
        <v>OK</v>
      </c>
      <c r="V894" s="55" t="str">
        <f t="shared" si="154"/>
        <v/>
      </c>
      <c r="W894" s="55" t="str">
        <f>IF($V894="","",IF(COUNTIF($V$5:$V894,$V894)=1,1,""))</f>
        <v/>
      </c>
      <c r="X894" s="58" t="str">
        <f>IF($W894="","",MAX($X$4:X893)+1)</f>
        <v/>
      </c>
      <c r="Y894" s="62"/>
      <c r="Z894" s="62"/>
      <c r="AA894" s="64" t="str">
        <f>IF($C894="","",IFERROR(INDEX('Staff Directory'!$E$5:$E$594,MATCH($C894,'Staff Directory'!$B$5:$B$594,0)),""))</f>
        <v>firstname241.lastname241@example.com</v>
      </c>
      <c r="AB894" s="64" t="str">
        <f>IF($C894="","",IF(ISNUMBER(SEARCH($D894,Settings!$C$15)),"Pickup","Dispatch"))</f>
        <v>Pickup</v>
      </c>
      <c r="AC894" s="64" t="str">
        <f t="shared" si="155"/>
        <v>Supply order ready for pickup</v>
      </c>
      <c r="AD894" s="64" t="str">
        <f t="shared" si="146"/>
        <v>Dear PSW,
Your order is ready for pickup from Sample Branch, Wed-Fri 9am-4pm.</v>
      </c>
      <c r="AE894" s="64" t="str">
        <f t="shared" si="147"/>
        <v>mailto:firstname241.lastname241@example.com?subject=Supply%20order%20ready%20for%20pickup&amp;body=Dear%20PSW%2C%0A%0AYour%20order%20is%20ready%20for%20pickup%20from%20Sample%20Branch%2C%20Wed-Fri%209am-4pm.</v>
      </c>
      <c r="AF894" s="89" t="str">
        <f t="shared" si="156"/>
        <v>Draft email</v>
      </c>
      <c r="AG894" s="64" t="str">
        <f>IF($C894="","",IFERROR(INDEX('Staff Directory'!$K$595:$K$599,MATCH($C894,'Staff Directory'!$B$5:$B$599,0)),$D894))</f>
        <v>PSW</v>
      </c>
      <c r="AH894" t="str">
        <f>IF($C894="","",IFERROR(INDEX('Staff Directory'!$I$595:$I$599,MATCH($C894,'Staff Directory'!$B$5:$B$599,0))&amp;" "&amp;INDEX('Staff Directory'!$J$595:$J$599,MATCH($C894,'Staff Directory'!$B$5:$B$599,0)),$AG894))</f>
        <v>PSW</v>
      </c>
      <c r="AI894" s="102"/>
      <c r="AJ894" s="101">
        <f>IF($F894="","",SUMIFS($J$5:$J894,$F$5:$F894,$F894))</f>
        <v>120</v>
      </c>
      <c r="AK894" s="101">
        <f t="shared" si="148"/>
        <v>119</v>
      </c>
      <c r="AL894" s="66" t="str" cm="1">
        <f t="array" ref="AL894">IF($F894="","",IFERROR(INDEX('Lot Balance'!$B$5:$B$500,MATCH(1,INDEX(('Lot Balance'!$A$5:$A$500=$F894)*('Lot Balance'!$K$5:$K$500&lt;$AK894)*('Lot Balance'!$K$5:$K$500+'Lot Balance'!$D$5:$D$500&gt;=$AK894),0),0)),""))</f>
        <v/>
      </c>
      <c r="AM894" s="66" t="str" cm="1">
        <f t="array" ref="AM894">IF($F894="","",IFERROR(INDEX('Lot Balance'!$B$5:$B$500,MATCH(1,INDEX(('Lot Balance'!$A$5:$A$500=$F894)*('Lot Balance'!$K$5:$K$500&lt;$AJ894)*('Lot Balance'!$K$5:$K$500+'Lot Balance'!$D$5:$D$500&gt;=$AJ894),0),0)),""))</f>
        <v/>
      </c>
      <c r="AN894" s="66" t="str">
        <f>IF($F894="","",IF($AI894&lt;&gt;"",IF(COUNTIFS('Lot Balance'!$A$5:$A$500,$F894,'Lot Balance'!$B$5:$B$500,$AI894)=0,"⚠ override is not a lot of this item",IF($AI894=$AL894,"Override = FEFO","Override - FEFO says "&amp;$AL894)),IF($AL894="","⚠ no receipt on file for this item",IF($AM894&lt;&gt;$AL894,"FEFO auto - split, also "&amp;$AM894,"FEFO auto"))))</f>
        <v>⚠ no receipt on file for this item</v>
      </c>
      <c r="AO894" s="114"/>
    </row>
    <row r="895" spans="1:41" x14ac:dyDescent="0.35">
      <c r="A895" s="74">
        <v>46174</v>
      </c>
      <c r="B895" s="18" t="str">
        <f>IF($C895="","",IFERROR(INDEX('Staff Directory'!$A$5:$A$594,MATCH($C895,'Staff Directory'!$B$5:$B$594,0)),"⚠ unknown staff"))</f>
        <v>PSW-179-TBD</v>
      </c>
      <c r="C895" s="49" t="s">
        <v>1158</v>
      </c>
      <c r="D895" s="19" t="str">
        <f>IF($B895="","",IFERROR(INDEX('Staff Directory'!$C$5:$C$594,MATCH($B895,'Staff Directory'!$A$5:$A$594,0)),""))</f>
        <v>PSW</v>
      </c>
      <c r="E895" s="19">
        <f>IF($B895="","",IFERROR(INDEX('Staff Directory'!$D$5:$D$594,MATCH($B895,'Staff Directory'!$A$5:$A$594,0)),""))</f>
        <v>0</v>
      </c>
      <c r="F895" s="9" t="s">
        <v>132</v>
      </c>
      <c r="G895" s="18" t="str">
        <f>IF($F895="","",IFERROR(INDEX(Items!$B$5:$B$597,MATCH($F895,Items!$A$5:$A$597,0)),"⚠ not in Items"))</f>
        <v>Gloves</v>
      </c>
      <c r="H895" s="19" t="str">
        <f>IF($F895="","",IFERROR(INDEX(Items!$C$5:$C$597,MATCH($F895,Items!$A$5:$A$597,0)),""))</f>
        <v>X-Large</v>
      </c>
      <c r="I895" s="23">
        <f>IF($F895="","",IFERROR(INDEX(Items!$E$5:$E$597,MATCH($F895,Items!$A$5:$A$597,0)),""))</f>
        <v>500</v>
      </c>
      <c r="J895" s="115">
        <f>IF(tblIssues[[#This Row],[Qty Override]]&lt;&gt;"",tblIssues[[#This Row],[Qty Override]],IF(tblIssues[[#This Row],[Standard Issue]]="","",tblIssues[[#This Row],[Standard Issue]]))</f>
        <v>500</v>
      </c>
      <c r="K895" s="20">
        <f>IF($F895="","",IFERROR(INDEX(Items!$D$5:$D$597,MATCH($F895,Items!$A$5:$A$597,0)),""))</f>
        <v>5.5E-2</v>
      </c>
      <c r="L895" s="21">
        <f t="shared" si="151"/>
        <v>27.5</v>
      </c>
      <c r="M895" s="9" t="str">
        <f t="shared" si="149"/>
        <v>ZIM502120713</v>
      </c>
      <c r="N895" s="24">
        <f>IF($A895="","",WORKDAY($A895,Settings!$C$9,HolidayDates))</f>
        <v>46182</v>
      </c>
      <c r="O895" s="24">
        <f>IF($N895="","",WORKDAY($N895,Settings!$C$10,HolidayDates))</f>
        <v>46220</v>
      </c>
      <c r="P895" s="10" t="s">
        <v>501</v>
      </c>
      <c r="Q895" s="52" t="str">
        <f t="shared" si="152"/>
        <v>Collected</v>
      </c>
      <c r="R895" s="55" t="str">
        <f t="shared" si="153"/>
        <v>2026-06</v>
      </c>
      <c r="S895" s="55">
        <f>IF(OR($B895="",$F895="",$R895=""),"",SUMIFS(tblIssues[Qty Issued],tblIssues[Staff ID],$B895,tblIssues[Item Name],$F895,tblIssues[Month],$R895))</f>
        <v>500</v>
      </c>
      <c r="T895" s="56">
        <f>IF($I895="","",$I895*Settings!$C$11)</f>
        <v>500</v>
      </c>
      <c r="U895" s="57" t="str">
        <f t="shared" si="150"/>
        <v>OK</v>
      </c>
      <c r="V895" s="55" t="str">
        <f t="shared" si="154"/>
        <v/>
      </c>
      <c r="W895" s="55" t="str">
        <f>IF($V895="","",IF(COUNTIF($V$5:$V895,$V895)=1,1,""))</f>
        <v/>
      </c>
      <c r="X895" s="58" t="str">
        <f>IF($W895="","",MAX($X$4:X894)+1)</f>
        <v/>
      </c>
      <c r="Y895" s="62"/>
      <c r="Z895" s="62"/>
      <c r="AA895" s="64" t="str">
        <f>IF($C895="","",IFERROR(INDEX('Staff Directory'!$E$5:$E$594,MATCH($C895,'Staff Directory'!$B$5:$B$594,0)),""))</f>
        <v>firstname242.lastname242@example.com</v>
      </c>
      <c r="AB895" s="64" t="str">
        <f>IF($C895="","",IF(ISNUMBER(SEARCH($D895,Settings!$C$15)),"Pickup","Dispatch"))</f>
        <v>Pickup</v>
      </c>
      <c r="AC895" s="64" t="str">
        <f t="shared" si="155"/>
        <v>Supply order ready for pickup</v>
      </c>
      <c r="AD895" s="64" t="str">
        <f t="shared" si="146"/>
        <v>Dear PSW,
Your order is ready for pickup from Sample Branch, Wed-Fri 9am-4pm.</v>
      </c>
      <c r="AE895" s="64" t="str">
        <f t="shared" si="147"/>
        <v>mailto:firstname242.lastname242@example.com?subject=Supply%20order%20ready%20for%20pickup&amp;body=Dear%20PSW%2C%0A%0AYour%20order%20is%20ready%20for%20pickup%20from%20Sample%20Branch%2C%20Wed-Fri%209am-4pm.</v>
      </c>
      <c r="AF895" s="89" t="str">
        <f t="shared" si="156"/>
        <v>Draft email</v>
      </c>
      <c r="AG895" s="64" t="str">
        <f>IF($C895="","",IFERROR(INDEX('Staff Directory'!$K$595:$K$599,MATCH($C895,'Staff Directory'!$B$5:$B$599,0)),$D895))</f>
        <v>PSW</v>
      </c>
      <c r="AH895" t="str">
        <f>IF($C895="","",IFERROR(INDEX('Staff Directory'!$I$595:$I$599,MATCH($C895,'Staff Directory'!$B$5:$B$599,0))&amp;" "&amp;INDEX('Staff Directory'!$J$595:$J$599,MATCH($C895,'Staff Directory'!$B$5:$B$599,0)),$AG895))</f>
        <v>PSW</v>
      </c>
      <c r="AI895" s="102"/>
      <c r="AJ895" s="101">
        <f>IF($F895="","",SUMIFS($J$5:$J895,$F$5:$F895,$F895))</f>
        <v>1500</v>
      </c>
      <c r="AK895" s="101">
        <f t="shared" si="148"/>
        <v>1001</v>
      </c>
      <c r="AL895" s="66" t="str" cm="1">
        <f t="array" ref="AL895">IF($F895="","",IFERROR(INDEX('Lot Balance'!$B$5:$B$500,MATCH(1,INDEX(('Lot Balance'!$A$5:$A$500=$F895)*('Lot Balance'!$K$5:$K$500&lt;$AK895)*('Lot Balance'!$K$5:$K$500+'Lot Balance'!$D$5:$D$500&gt;=$AK895),0),0)),""))</f>
        <v>ZIM502120713</v>
      </c>
      <c r="AM895" s="66" t="str" cm="1">
        <f t="array" ref="AM895">IF($F895="","",IFERROR(INDEX('Lot Balance'!$B$5:$B$500,MATCH(1,INDEX(('Lot Balance'!$A$5:$A$500=$F895)*('Lot Balance'!$K$5:$K$500&lt;$AJ895)*('Lot Balance'!$K$5:$K$500+'Lot Balance'!$D$5:$D$500&gt;=$AJ895),0),0)),""))</f>
        <v>ZIM502120713</v>
      </c>
      <c r="AN895" s="66" t="str">
        <f>IF($F895="","",IF($AI895&lt;&gt;"",IF(COUNTIFS('Lot Balance'!$A$5:$A$500,$F895,'Lot Balance'!$B$5:$B$500,$AI895)=0,"⚠ override is not a lot of this item",IF($AI895=$AL895,"Override = FEFO","Override - FEFO says "&amp;$AL895)),IF($AL895="","⚠ no receipt on file for this item",IF($AM895&lt;&gt;$AL895,"FEFO auto - split, also "&amp;$AM895,"FEFO auto"))))</f>
        <v>FEFO auto</v>
      </c>
      <c r="AO895" s="114"/>
    </row>
    <row r="896" spans="1:41" x14ac:dyDescent="0.35">
      <c r="A896" s="74">
        <v>46174</v>
      </c>
      <c r="B896" s="18" t="str">
        <f>IF($C896="","",IFERROR(INDEX('Staff Directory'!$A$5:$A$594,MATCH($C896,'Staff Directory'!$B$5:$B$594,0)),"⚠ unknown staff"))</f>
        <v>PSW-179-TBD</v>
      </c>
      <c r="C896" s="49" t="s">
        <v>1158</v>
      </c>
      <c r="D896" s="19" t="str">
        <f>IF($B896="","",IFERROR(INDEX('Staff Directory'!$C$5:$C$594,MATCH($B896,'Staff Directory'!$A$5:$A$594,0)),""))</f>
        <v>PSW</v>
      </c>
      <c r="E896" s="19">
        <f>IF($B896="","",IFERROR(INDEX('Staff Directory'!$D$5:$D$594,MATCH($B896,'Staff Directory'!$A$5:$A$594,0)),""))</f>
        <v>0</v>
      </c>
      <c r="F896" s="9" t="s">
        <v>115</v>
      </c>
      <c r="G896" s="18" t="str">
        <f>IF($F896="","",IFERROR(INDEX(Items!$B$5:$B$597,MATCH($F896,Items!$A$5:$A$597,0)),"⚠ not in Items"))</f>
        <v>Wipes</v>
      </c>
      <c r="H896" s="19">
        <f>IF($F896="","",IFERROR(INDEX(Items!$C$5:$C$597,MATCH($F896,Items!$A$5:$A$597,0)),""))</f>
        <v>80</v>
      </c>
      <c r="I896" s="23">
        <f>IF($F896="","",IFERROR(INDEX(Items!$E$5:$E$597,MATCH($F896,Items!$A$5:$A$597,0)),""))</f>
        <v>80</v>
      </c>
      <c r="J896" s="115">
        <f>IF(tblIssues[[#This Row],[Qty Override]]&lt;&gt;"",tblIssues[[#This Row],[Qty Override]],IF(tblIssues[[#This Row],[Standard Issue]]="","",tblIssues[[#This Row],[Standard Issue]]))</f>
        <v>80</v>
      </c>
      <c r="K896" s="20">
        <f>IF($F896="","",IFERROR(INDEX(Items!$D$5:$D$597,MATCH($F896,Items!$A$5:$A$597,0)),""))</f>
        <v>0.1</v>
      </c>
      <c r="L896" s="21">
        <f t="shared" si="151"/>
        <v>8</v>
      </c>
      <c r="M896" s="9" t="str">
        <f t="shared" si="149"/>
        <v>LYSL500290</v>
      </c>
      <c r="N896" s="24">
        <f>IF($A896="","",WORKDAY($A896,Settings!$C$9,HolidayDates))</f>
        <v>46182</v>
      </c>
      <c r="O896" s="24">
        <f>IF($N896="","",WORKDAY($N896,Settings!$C$10,HolidayDates))</f>
        <v>46220</v>
      </c>
      <c r="P896" s="10" t="s">
        <v>501</v>
      </c>
      <c r="Q896" s="52" t="str">
        <f t="shared" si="152"/>
        <v>Collected</v>
      </c>
      <c r="R896" s="55" t="str">
        <f t="shared" si="153"/>
        <v>2026-06</v>
      </c>
      <c r="S896" s="55">
        <f>IF(OR($B896="",$F896="",$R896=""),"",SUMIFS(tblIssues[Qty Issued],tblIssues[Staff ID],$B896,tblIssues[Item Name],$F896,tblIssues[Month],$R896))</f>
        <v>80</v>
      </c>
      <c r="T896" s="56">
        <f>IF($I896="","",$I896*Settings!$C$11)</f>
        <v>80</v>
      </c>
      <c r="U896" s="57" t="str">
        <f t="shared" si="150"/>
        <v>OK</v>
      </c>
      <c r="V896" s="55" t="str">
        <f t="shared" si="154"/>
        <v/>
      </c>
      <c r="W896" s="55" t="str">
        <f>IF($V896="","",IF(COUNTIF($V$5:$V896,$V896)=1,1,""))</f>
        <v/>
      </c>
      <c r="X896" s="58" t="str">
        <f>IF($W896="","",MAX($X$4:X895)+1)</f>
        <v/>
      </c>
      <c r="Y896" s="62"/>
      <c r="Z896" s="62"/>
      <c r="AA896" s="64" t="str">
        <f>IF($C896="","",IFERROR(INDEX('Staff Directory'!$E$5:$E$594,MATCH($C896,'Staff Directory'!$B$5:$B$594,0)),""))</f>
        <v>firstname242.lastname242@example.com</v>
      </c>
      <c r="AB896" s="64" t="str">
        <f>IF($C896="","",IF(ISNUMBER(SEARCH($D896,Settings!$C$15)),"Pickup","Dispatch"))</f>
        <v>Pickup</v>
      </c>
      <c r="AC896" s="64" t="str">
        <f t="shared" si="155"/>
        <v>Supply order ready for pickup</v>
      </c>
      <c r="AD896" s="64" t="str">
        <f t="shared" si="146"/>
        <v>Dear PSW,
Your order is ready for pickup from Sample Branch, Wed-Fri 9am-4pm.</v>
      </c>
      <c r="AE896" s="64" t="str">
        <f t="shared" si="147"/>
        <v>mailto:firstname242.lastname242@example.com?subject=Supply%20order%20ready%20for%20pickup&amp;body=Dear%20PSW%2C%0A%0AYour%20order%20is%20ready%20for%20pickup%20from%20Sample%20Branch%2C%20Wed-Fri%209am-4pm.</v>
      </c>
      <c r="AF896" s="89" t="str">
        <f t="shared" si="156"/>
        <v>Draft email</v>
      </c>
      <c r="AG896" s="64" t="str">
        <f>IF($C896="","",IFERROR(INDEX('Staff Directory'!$K$595:$K$599,MATCH($C896,'Staff Directory'!$B$5:$B$599,0)),$D896))</f>
        <v>PSW</v>
      </c>
      <c r="AH896" t="str">
        <f>IF($C896="","",IFERROR(INDEX('Staff Directory'!$I$595:$I$599,MATCH($C896,'Staff Directory'!$B$5:$B$599,0))&amp;" "&amp;INDEX('Staff Directory'!$J$595:$J$599,MATCH($C896,'Staff Directory'!$B$5:$B$599,0)),$AG896))</f>
        <v>PSW</v>
      </c>
      <c r="AI896" s="102"/>
      <c r="AJ896" s="101">
        <f>IF($F896="","",SUMIFS($J$5:$J896,$F$5:$F896,$F896))</f>
        <v>12240</v>
      </c>
      <c r="AK896" s="101">
        <f t="shared" si="148"/>
        <v>12161</v>
      </c>
      <c r="AL896" s="66" t="str" cm="1">
        <f t="array" ref="AL896">IF($F896="","",IFERROR(INDEX('Lot Balance'!$B$5:$B$500,MATCH(1,INDEX(('Lot Balance'!$A$5:$A$500=$F896)*('Lot Balance'!$K$5:$K$500&lt;$AK896)*('Lot Balance'!$K$5:$K$500+'Lot Balance'!$D$5:$D$500&gt;=$AK896),0),0)),""))</f>
        <v>LYSL500290</v>
      </c>
      <c r="AM896" s="66" t="str" cm="1">
        <f t="array" ref="AM896">IF($F896="","",IFERROR(INDEX('Lot Balance'!$B$5:$B$500,MATCH(1,INDEX(('Lot Balance'!$A$5:$A$500=$F896)*('Lot Balance'!$K$5:$K$500&lt;$AJ896)*('Lot Balance'!$K$5:$K$500+'Lot Balance'!$D$5:$D$500&gt;=$AJ896),0),0)),""))</f>
        <v>LYSL500290</v>
      </c>
      <c r="AN896" s="66" t="str">
        <f>IF($F896="","",IF($AI896&lt;&gt;"",IF(COUNTIFS('Lot Balance'!$A$5:$A$500,$F896,'Lot Balance'!$B$5:$B$500,$AI896)=0,"⚠ override is not a lot of this item",IF($AI896=$AL896,"Override = FEFO","Override - FEFO says "&amp;$AL896)),IF($AL896="","⚠ no receipt on file for this item",IF($AM896&lt;&gt;$AL896,"FEFO auto - split, also "&amp;$AM896,"FEFO auto"))))</f>
        <v>FEFO auto</v>
      </c>
      <c r="AO896" s="114"/>
    </row>
    <row r="897" spans="1:41" x14ac:dyDescent="0.35">
      <c r="A897" s="74">
        <v>46174</v>
      </c>
      <c r="B897" s="18" t="str">
        <f>IF($C897="","",IFERROR(INDEX('Staff Directory'!$A$5:$A$594,MATCH($C897,'Staff Directory'!$B$5:$B$594,0)),"⚠ unknown staff"))</f>
        <v>PSW-179-TBD</v>
      </c>
      <c r="C897" s="49" t="s">
        <v>1158</v>
      </c>
      <c r="D897" s="19" t="str">
        <f>IF($B897="","",IFERROR(INDEX('Staff Directory'!$C$5:$C$594,MATCH($B897,'Staff Directory'!$A$5:$A$594,0)),""))</f>
        <v>PSW</v>
      </c>
      <c r="E897" s="19">
        <f>IF($B897="","",IFERROR(INDEX('Staff Directory'!$D$5:$D$594,MATCH($B897,'Staff Directory'!$A$5:$A$594,0)),""))</f>
        <v>0</v>
      </c>
      <c r="F897" s="9" t="s">
        <v>104</v>
      </c>
      <c r="G897" s="18" t="str">
        <f>IF($F897="","",IFERROR(INDEX(Items!$B$5:$B$597,MATCH($F897,Items!$A$5:$A$597,0)),"⚠ not in Items"))</f>
        <v>Masks</v>
      </c>
      <c r="H897" s="19" t="str">
        <f>IF($F897="","",IFERROR(INDEX(Items!$C$5:$C$597,MATCH($F897,Items!$A$5:$A$597,0)),""))</f>
        <v>One Size</v>
      </c>
      <c r="I897" s="23">
        <f>IF($F897="","",IFERROR(INDEX(Items!$E$5:$E$597,MATCH($F897,Items!$A$5:$A$597,0)),""))</f>
        <v>5</v>
      </c>
      <c r="J897" s="115">
        <f>IF(tblIssues[[#This Row],[Qty Override]]&lt;&gt;"",tblIssues[[#This Row],[Qty Override]],IF(tblIssues[[#This Row],[Standard Issue]]="","",tblIssues[[#This Row],[Standard Issue]]))</f>
        <v>5</v>
      </c>
      <c r="K897" s="20">
        <f>IF($F897="","",IFERROR(INDEX(Items!$D$5:$D$597,MATCH($F897,Items!$A$5:$A$597,0)),""))</f>
        <v>2.0499999999999998</v>
      </c>
      <c r="L897" s="21">
        <f t="shared" si="151"/>
        <v>10.25</v>
      </c>
      <c r="M897" s="9" t="str">
        <f t="shared" si="149"/>
        <v>N955003717</v>
      </c>
      <c r="N897" s="24">
        <f>IF($A897="","",WORKDAY($A897,Settings!$C$9,HolidayDates))</f>
        <v>46182</v>
      </c>
      <c r="O897" s="24">
        <f>IF($N897="","",WORKDAY($N897,Settings!$C$10,HolidayDates))</f>
        <v>46220</v>
      </c>
      <c r="P897" s="10" t="s">
        <v>501</v>
      </c>
      <c r="Q897" s="52" t="str">
        <f t="shared" si="152"/>
        <v>Collected</v>
      </c>
      <c r="R897" s="55" t="str">
        <f t="shared" si="153"/>
        <v>2026-06</v>
      </c>
      <c r="S897" s="55">
        <f>IF(OR($B897="",$F897="",$R897=""),"",SUMIFS(tblIssues[Qty Issued],tblIssues[Staff ID],$B897,tblIssues[Item Name],$F897,tblIssues[Month],$R897))</f>
        <v>5</v>
      </c>
      <c r="T897" s="56">
        <f>IF($I897="","",$I897*Settings!$C$11)</f>
        <v>5</v>
      </c>
      <c r="U897" s="57" t="str">
        <f t="shared" si="150"/>
        <v>OK</v>
      </c>
      <c r="V897" s="55" t="str">
        <f t="shared" si="154"/>
        <v/>
      </c>
      <c r="W897" s="55" t="str">
        <f>IF($V897="","",IF(COUNTIF($V$5:$V897,$V897)=1,1,""))</f>
        <v/>
      </c>
      <c r="X897" s="58" t="str">
        <f>IF($W897="","",MAX($X$4:X896)+1)</f>
        <v/>
      </c>
      <c r="Y897" s="62"/>
      <c r="Z897" s="62"/>
      <c r="AA897" s="64" t="str">
        <f>IF($C897="","",IFERROR(INDEX('Staff Directory'!$E$5:$E$594,MATCH($C897,'Staff Directory'!$B$5:$B$594,0)),""))</f>
        <v>firstname242.lastname242@example.com</v>
      </c>
      <c r="AB897" s="64" t="str">
        <f>IF($C897="","",IF(ISNUMBER(SEARCH($D897,Settings!$C$15)),"Pickup","Dispatch"))</f>
        <v>Pickup</v>
      </c>
      <c r="AC897" s="64" t="str">
        <f t="shared" si="155"/>
        <v>Supply order ready for pickup</v>
      </c>
      <c r="AD897" s="64" t="str">
        <f t="shared" si="146"/>
        <v>Dear PSW,
Your order is ready for pickup from Sample Branch, Wed-Fri 9am-4pm.</v>
      </c>
      <c r="AE897" s="64" t="str">
        <f t="shared" si="147"/>
        <v>mailto:firstname242.lastname242@example.com?subject=Supply%20order%20ready%20for%20pickup&amp;body=Dear%20PSW%2C%0A%0AYour%20order%20is%20ready%20for%20pickup%20from%20Sample%20Branch%2C%20Wed-Fri%209am-4pm.</v>
      </c>
      <c r="AF897" s="89" t="str">
        <f t="shared" si="156"/>
        <v>Draft email</v>
      </c>
      <c r="AG897" s="64" t="str">
        <f>IF($C897="","",IFERROR(INDEX('Staff Directory'!$K$595:$K$599,MATCH($C897,'Staff Directory'!$B$5:$B$599,0)),$D897))</f>
        <v>PSW</v>
      </c>
      <c r="AH897" t="str">
        <f>IF($C897="","",IFERROR(INDEX('Staff Directory'!$I$595:$I$599,MATCH($C897,'Staff Directory'!$B$5:$B$599,0))&amp;" "&amp;INDEX('Staff Directory'!$J$595:$J$599,MATCH($C897,'Staff Directory'!$B$5:$B$599,0)),$AG897))</f>
        <v>PSW</v>
      </c>
      <c r="AI897" s="102"/>
      <c r="AJ897" s="101">
        <f>IF($F897="","",SUMIFS($J$5:$J897,$F$5:$F897,$F897))</f>
        <v>15</v>
      </c>
      <c r="AK897" s="101">
        <f t="shared" si="148"/>
        <v>11</v>
      </c>
      <c r="AL897" s="66" t="str" cm="1">
        <f t="array" ref="AL897">IF($F897="","",IFERROR(INDEX('Lot Balance'!$B$5:$B$500,MATCH(1,INDEX(('Lot Balance'!$A$5:$A$500=$F897)*('Lot Balance'!$K$5:$K$500&lt;$AK897)*('Lot Balance'!$K$5:$K$500+'Lot Balance'!$D$5:$D$500&gt;=$AK897),0),0)),""))</f>
        <v>N955003717</v>
      </c>
      <c r="AM897" s="66" t="str" cm="1">
        <f t="array" ref="AM897">IF($F897="","",IFERROR(INDEX('Lot Balance'!$B$5:$B$500,MATCH(1,INDEX(('Lot Balance'!$A$5:$A$500=$F897)*('Lot Balance'!$K$5:$K$500&lt;$AJ897)*('Lot Balance'!$K$5:$K$500+'Lot Balance'!$D$5:$D$500&gt;=$AJ897),0),0)),""))</f>
        <v>N955003717</v>
      </c>
      <c r="AN897" s="66" t="str">
        <f>IF($F897="","",IF($AI897&lt;&gt;"",IF(COUNTIFS('Lot Balance'!$A$5:$A$500,$F897,'Lot Balance'!$B$5:$B$500,$AI897)=0,"⚠ override is not a lot of this item",IF($AI897=$AL897,"Override = FEFO","Override - FEFO says "&amp;$AL897)),IF($AL897="","⚠ no receipt on file for this item",IF($AM897&lt;&gt;$AL897,"FEFO auto - split, also "&amp;$AM897,"FEFO auto"))))</f>
        <v>FEFO auto</v>
      </c>
      <c r="AO897" s="114"/>
    </row>
    <row r="898" spans="1:41" x14ac:dyDescent="0.35">
      <c r="A898" s="74">
        <v>46174</v>
      </c>
      <c r="B898" s="18" t="str">
        <f>IF($C898="","",IFERROR(INDEX('Staff Directory'!$A$5:$A$594,MATCH($C898,'Staff Directory'!$B$5:$B$594,0)),"⚠ unknown staff"))</f>
        <v>PSW-179-TBD</v>
      </c>
      <c r="C898" s="49" t="s">
        <v>1158</v>
      </c>
      <c r="D898" s="19" t="str">
        <f>IF($B898="","",IFERROR(INDEX('Staff Directory'!$C$5:$C$594,MATCH($B898,'Staff Directory'!$A$5:$A$594,0)),""))</f>
        <v>PSW</v>
      </c>
      <c r="E898" s="19">
        <f>IF($B898="","",IFERROR(INDEX('Staff Directory'!$D$5:$D$594,MATCH($B898,'Staff Directory'!$A$5:$A$594,0)),""))</f>
        <v>0</v>
      </c>
      <c r="F898" s="9" t="s">
        <v>137</v>
      </c>
      <c r="G898" s="18" t="str">
        <f>IF($F898="","",IFERROR(INDEX(Items!$B$5:$B$597,MATCH($F898,Items!$A$5:$A$597,0)),"⚠ not in Items"))</f>
        <v>Sanitizer</v>
      </c>
      <c r="H898" s="19" t="str">
        <f>IF($F898="","",IFERROR(INDEX(Items!$C$5:$C$597,MATCH($F898,Items!$A$5:$A$597,0)),""))</f>
        <v>118 ML</v>
      </c>
      <c r="I898" s="23">
        <f>IF($F898="","",IFERROR(INDEX(Items!$E$5:$E$597,MATCH($F898,Items!$A$5:$A$597,0)),""))</f>
        <v>2</v>
      </c>
      <c r="J898" s="115">
        <f>IF(tblIssues[[#This Row],[Qty Override]]&lt;&gt;"",tblIssues[[#This Row],[Qty Override]],IF(tblIssues[[#This Row],[Standard Issue]]="","",tblIssues[[#This Row],[Standard Issue]]))</f>
        <v>2</v>
      </c>
      <c r="K898" s="20">
        <f>IF($F898="","",IFERROR(INDEX(Items!$D$5:$D$597,MATCH($F898,Items!$A$5:$A$597,0)),""))</f>
        <v>4.49</v>
      </c>
      <c r="L898" s="21">
        <f t="shared" si="151"/>
        <v>8.98</v>
      </c>
      <c r="M898" s="9" t="str">
        <f t="shared" si="149"/>
        <v>563963-6</v>
      </c>
      <c r="N898" s="24">
        <f>IF($A898="","",WORKDAY($A898,Settings!$C$9,HolidayDates))</f>
        <v>46182</v>
      </c>
      <c r="O898" s="24">
        <f>IF($N898="","",WORKDAY($N898,Settings!$C$10,HolidayDates))</f>
        <v>46220</v>
      </c>
      <c r="P898" s="10" t="s">
        <v>501</v>
      </c>
      <c r="Q898" s="52" t="str">
        <f t="shared" si="152"/>
        <v>Collected</v>
      </c>
      <c r="R898" s="55" t="str">
        <f t="shared" si="153"/>
        <v>2026-06</v>
      </c>
      <c r="S898" s="55">
        <f>IF(OR($B898="",$F898="",$R898=""),"",SUMIFS(tblIssues[Qty Issued],tblIssues[Staff ID],$B898,tblIssues[Item Name],$F898,tblIssues[Month],$R898))</f>
        <v>2</v>
      </c>
      <c r="T898" s="56">
        <f>IF($I898="","",$I898*Settings!$C$11)</f>
        <v>2</v>
      </c>
      <c r="U898" s="57" t="str">
        <f t="shared" si="150"/>
        <v>OK</v>
      </c>
      <c r="V898" s="55" t="str">
        <f t="shared" si="154"/>
        <v/>
      </c>
      <c r="W898" s="55" t="str">
        <f>IF($V898="","",IF(COUNTIF($V$5:$V898,$V898)=1,1,""))</f>
        <v/>
      </c>
      <c r="X898" s="58" t="str">
        <f>IF($W898="","",MAX($X$4:X897)+1)</f>
        <v/>
      </c>
      <c r="Y898" s="62"/>
      <c r="Z898" s="62"/>
      <c r="AA898" s="64" t="str">
        <f>IF($C898="","",IFERROR(INDEX('Staff Directory'!$E$5:$E$594,MATCH($C898,'Staff Directory'!$B$5:$B$594,0)),""))</f>
        <v>firstname242.lastname242@example.com</v>
      </c>
      <c r="AB898" s="64" t="str">
        <f>IF($C898="","",IF(ISNUMBER(SEARCH($D898,Settings!$C$15)),"Pickup","Dispatch"))</f>
        <v>Pickup</v>
      </c>
      <c r="AC898" s="64" t="str">
        <f t="shared" si="155"/>
        <v>Supply order ready for pickup</v>
      </c>
      <c r="AD898" s="64" t="str">
        <f t="shared" si="146"/>
        <v>Dear PSW,
Your order is ready for pickup from Sample Branch, Wed-Fri 9am-4pm.</v>
      </c>
      <c r="AE898" s="64" t="str">
        <f t="shared" si="147"/>
        <v>mailto:firstname242.lastname242@example.com?subject=Supply%20order%20ready%20for%20pickup&amp;body=Dear%20PSW%2C%0A%0AYour%20order%20is%20ready%20for%20pickup%20from%20Sample%20Branch%2C%20Wed-Fri%209am-4pm.</v>
      </c>
      <c r="AF898" s="89" t="str">
        <f t="shared" si="156"/>
        <v>Draft email</v>
      </c>
      <c r="AG898" s="64" t="str">
        <f>IF($C898="","",IFERROR(INDEX('Staff Directory'!$K$595:$K$599,MATCH($C898,'Staff Directory'!$B$5:$B$599,0)),$D898))</f>
        <v>PSW</v>
      </c>
      <c r="AH898" t="str">
        <f>IF($C898="","",IFERROR(INDEX('Staff Directory'!$I$595:$I$599,MATCH($C898,'Staff Directory'!$B$5:$B$599,0))&amp;" "&amp;INDEX('Staff Directory'!$J$595:$J$599,MATCH($C898,'Staff Directory'!$B$5:$B$599,0)),$AG898))</f>
        <v>PSW</v>
      </c>
      <c r="AI898" s="102"/>
      <c r="AJ898" s="101">
        <f>IF($F898="","",SUMIFS($J$5:$J898,$F$5:$F898,$F898))</f>
        <v>100</v>
      </c>
      <c r="AK898" s="101">
        <f t="shared" si="148"/>
        <v>99</v>
      </c>
      <c r="AL898" s="66" t="str" cm="1">
        <f t="array" ref="AL898">IF($F898="","",IFERROR(INDEX('Lot Balance'!$B$5:$B$500,MATCH(1,INDEX(('Lot Balance'!$A$5:$A$500=$F898)*('Lot Balance'!$K$5:$K$500&lt;$AK898)*('Lot Balance'!$K$5:$K$500+'Lot Balance'!$D$5:$D$500&gt;=$AK898),0),0)),""))</f>
        <v>563963-6</v>
      </c>
      <c r="AM898" s="66" t="str" cm="1">
        <f t="array" ref="AM898">IF($F898="","",IFERROR(INDEX('Lot Balance'!$B$5:$B$500,MATCH(1,INDEX(('Lot Balance'!$A$5:$A$500=$F898)*('Lot Balance'!$K$5:$K$500&lt;$AJ898)*('Lot Balance'!$K$5:$K$500+'Lot Balance'!$D$5:$D$500&gt;=$AJ898),0),0)),""))</f>
        <v>563963-6</v>
      </c>
      <c r="AN898" s="66" t="str">
        <f>IF($F898="","",IF($AI898&lt;&gt;"",IF(COUNTIFS('Lot Balance'!$A$5:$A$500,$F898,'Lot Balance'!$B$5:$B$500,$AI898)=0,"⚠ override is not a lot of this item",IF($AI898=$AL898,"Override = FEFO","Override - FEFO says "&amp;$AL898)),IF($AL898="","⚠ no receipt on file for this item",IF($AM898&lt;&gt;$AL898,"FEFO auto - split, also "&amp;$AM898,"FEFO auto"))))</f>
        <v>FEFO auto</v>
      </c>
      <c r="AO898" s="114"/>
    </row>
    <row r="899" spans="1:41" x14ac:dyDescent="0.35">
      <c r="A899" s="74">
        <v>46174</v>
      </c>
      <c r="B899" s="18" t="str">
        <f>IF($C899="","",IFERROR(INDEX('Staff Directory'!$A$5:$A$594,MATCH($C899,'Staff Directory'!$B$5:$B$594,0)),"⚠ unknown staff"))</f>
        <v>PSW-179-TBD</v>
      </c>
      <c r="C899" s="49" t="s">
        <v>1158</v>
      </c>
      <c r="D899" s="19" t="str">
        <f>IF($B899="","",IFERROR(INDEX('Staff Directory'!$C$5:$C$594,MATCH($B899,'Staff Directory'!$A$5:$A$594,0)),""))</f>
        <v>PSW</v>
      </c>
      <c r="E899" s="19">
        <f>IF($B899="","",IFERROR(INDEX('Staff Directory'!$D$5:$D$594,MATCH($B899,'Staff Directory'!$A$5:$A$594,0)),""))</f>
        <v>0</v>
      </c>
      <c r="F899" s="9" t="s">
        <v>147</v>
      </c>
      <c r="G899" s="18" t="str">
        <f>IF($F899="","",IFERROR(INDEX(Items!$B$5:$B$597,MATCH($F899,Items!$A$5:$A$597,0)),"⚠ not in Items"))</f>
        <v>Apparel</v>
      </c>
      <c r="H899" s="19" t="str">
        <f>IF($F899="","",IFERROR(INDEX(Items!$C$5:$C$597,MATCH($F899,Items!$A$5:$A$597,0)),""))</f>
        <v>One Size</v>
      </c>
      <c r="I899" s="23">
        <f>IF($F899="","",IFERROR(INDEX(Items!$E$5:$E$597,MATCH($F899,Items!$A$5:$A$597,0)),""))</f>
        <v>5</v>
      </c>
      <c r="J899" s="115">
        <f>IF(tblIssues[[#This Row],[Qty Override]]&lt;&gt;"",tblIssues[[#This Row],[Qty Override]],IF(tblIssues[[#This Row],[Standard Issue]]="","",tblIssues[[#This Row],[Standard Issue]]))</f>
        <v>5</v>
      </c>
      <c r="K899" s="20">
        <f>IF($F899="","",IFERROR(INDEX(Items!$D$5:$D$597,MATCH($F899,Items!$A$5:$A$597,0)),""))</f>
        <v>3</v>
      </c>
      <c r="L899" s="21">
        <f t="shared" si="151"/>
        <v>15</v>
      </c>
      <c r="M899" s="9" t="str">
        <f t="shared" si="149"/>
        <v>YG500280</v>
      </c>
      <c r="N899" s="24">
        <f>IF($A899="","",WORKDAY($A899,Settings!$C$9,HolidayDates))</f>
        <v>46182</v>
      </c>
      <c r="O899" s="24">
        <f>IF($N899="","",WORKDAY($N899,Settings!$C$10,HolidayDates))</f>
        <v>46220</v>
      </c>
      <c r="P899" s="10" t="s">
        <v>501</v>
      </c>
      <c r="Q899" s="52" t="str">
        <f t="shared" si="152"/>
        <v>Collected</v>
      </c>
      <c r="R899" s="55" t="str">
        <f t="shared" si="153"/>
        <v>2026-06</v>
      </c>
      <c r="S899" s="55">
        <f>IF(OR($B899="",$F899="",$R899=""),"",SUMIFS(tblIssues[Qty Issued],tblIssues[Staff ID],$B899,tblIssues[Item Name],$F899,tblIssues[Month],$R899))</f>
        <v>5</v>
      </c>
      <c r="T899" s="56">
        <f>IF($I899="","",$I899*Settings!$C$11)</f>
        <v>5</v>
      </c>
      <c r="U899" s="57" t="str">
        <f t="shared" si="150"/>
        <v>OK</v>
      </c>
      <c r="V899" s="55" t="str">
        <f t="shared" si="154"/>
        <v/>
      </c>
      <c r="W899" s="55" t="str">
        <f>IF($V899="","",IF(COUNTIF($V$5:$V899,$V899)=1,1,""))</f>
        <v/>
      </c>
      <c r="X899" s="58" t="str">
        <f>IF($W899="","",MAX($X$4:X898)+1)</f>
        <v/>
      </c>
      <c r="Y899" s="62"/>
      <c r="Z899" s="62"/>
      <c r="AA899" s="64" t="str">
        <f>IF($C899="","",IFERROR(INDEX('Staff Directory'!$E$5:$E$594,MATCH($C899,'Staff Directory'!$B$5:$B$594,0)),""))</f>
        <v>firstname242.lastname242@example.com</v>
      </c>
      <c r="AB899" s="64" t="str">
        <f>IF($C899="","",IF(ISNUMBER(SEARCH($D899,Settings!$C$15)),"Pickup","Dispatch"))</f>
        <v>Pickup</v>
      </c>
      <c r="AC899" s="64" t="str">
        <f t="shared" si="155"/>
        <v>Supply order ready for pickup</v>
      </c>
      <c r="AD899" s="64" t="str">
        <f t="shared" si="146"/>
        <v>Dear PSW,
Your order is ready for pickup from Sample Branch, Wed-Fri 9am-4pm.</v>
      </c>
      <c r="AE899" s="64" t="str">
        <f t="shared" si="147"/>
        <v>mailto:firstname242.lastname242@example.com?subject=Supply%20order%20ready%20for%20pickup&amp;body=Dear%20PSW%2C%0A%0AYour%20order%20is%20ready%20for%20pickup%20from%20Sample%20Branch%2C%20Wed-Fri%209am-4pm.</v>
      </c>
      <c r="AF899" s="89" t="str">
        <f t="shared" si="156"/>
        <v>Draft email</v>
      </c>
      <c r="AG899" s="64" t="str">
        <f>IF($C899="","",IFERROR(INDEX('Staff Directory'!$K$595:$K$599,MATCH($C899,'Staff Directory'!$B$5:$B$599,0)),$D899))</f>
        <v>PSW</v>
      </c>
      <c r="AH899" t="str">
        <f>IF($C899="","",IFERROR(INDEX('Staff Directory'!$I$595:$I$599,MATCH($C899,'Staff Directory'!$B$5:$B$599,0))&amp;" "&amp;INDEX('Staff Directory'!$J$595:$J$599,MATCH($C899,'Staff Directory'!$B$5:$B$599,0)),$AG899))</f>
        <v>PSW</v>
      </c>
      <c r="AI899" s="102"/>
      <c r="AJ899" s="101">
        <f>IF($F899="","",SUMIFS($J$5:$J899,$F$5:$F899,$F899))</f>
        <v>95</v>
      </c>
      <c r="AK899" s="101">
        <f t="shared" si="148"/>
        <v>91</v>
      </c>
      <c r="AL899" s="66" t="str" cm="1">
        <f t="array" ref="AL899">IF($F899="","",IFERROR(INDEX('Lot Balance'!$B$5:$B$500,MATCH(1,INDEX(('Lot Balance'!$A$5:$A$500=$F899)*('Lot Balance'!$K$5:$K$500&lt;$AK899)*('Lot Balance'!$K$5:$K$500+'Lot Balance'!$D$5:$D$500&gt;=$AK899),0),0)),""))</f>
        <v>YG500280</v>
      </c>
      <c r="AM899" s="66" t="str" cm="1">
        <f t="array" ref="AM899">IF($F899="","",IFERROR(INDEX('Lot Balance'!$B$5:$B$500,MATCH(1,INDEX(('Lot Balance'!$A$5:$A$500=$F899)*('Lot Balance'!$K$5:$K$500&lt;$AJ899)*('Lot Balance'!$K$5:$K$500+'Lot Balance'!$D$5:$D$500&gt;=$AJ899),0),0)),""))</f>
        <v>YG500280</v>
      </c>
      <c r="AN899" s="66" t="str">
        <f>IF($F899="","",IF($AI899&lt;&gt;"",IF(COUNTIFS('Lot Balance'!$A$5:$A$500,$F899,'Lot Balance'!$B$5:$B$500,$AI899)=0,"⚠ override is not a lot of this item",IF($AI899=$AL899,"Override = FEFO","Override - FEFO says "&amp;$AL899)),IF($AL899="","⚠ no receipt on file for this item",IF($AM899&lt;&gt;$AL899,"FEFO auto - split, also "&amp;$AM899,"FEFO auto"))))</f>
        <v>FEFO auto</v>
      </c>
      <c r="AO899" s="114"/>
    </row>
    <row r="900" spans="1:41" x14ac:dyDescent="0.35">
      <c r="A900" s="74">
        <v>46174</v>
      </c>
      <c r="B900" s="18" t="str">
        <f>IF($C900="","",IFERROR(INDEX('Staff Directory'!$A$5:$A$594,MATCH($C900,'Staff Directory'!$B$5:$B$594,0)),"⚠ unknown staff"))</f>
        <v>PSW-179-TBD</v>
      </c>
      <c r="C900" s="49" t="s">
        <v>1158</v>
      </c>
      <c r="D900" s="19" t="str">
        <f>IF($B900="","",IFERROR(INDEX('Staff Directory'!$C$5:$C$594,MATCH($B900,'Staff Directory'!$A$5:$A$594,0)),""))</f>
        <v>PSW</v>
      </c>
      <c r="E900" s="19">
        <f>IF($B900="","",IFERROR(INDEX('Staff Directory'!$D$5:$D$594,MATCH($B900,'Staff Directory'!$A$5:$A$594,0)),""))</f>
        <v>0</v>
      </c>
      <c r="F900" s="9" t="s">
        <v>145</v>
      </c>
      <c r="G900" s="18" t="str">
        <f>IF($F900="","",IFERROR(INDEX(Items!$B$5:$B$597,MATCH($F900,Items!$A$5:$A$597,0)),"⚠ not in Items"))</f>
        <v>Apparel</v>
      </c>
      <c r="H900" s="19" t="str">
        <f>IF($F900="","",IFERROR(INDEX(Items!$C$5:$C$597,MATCH($F900,Items!$A$5:$A$597,0)),""))</f>
        <v>One Size</v>
      </c>
      <c r="I900" s="23">
        <f>IF($F900="","",IFERROR(INDEX(Items!$E$5:$E$597,MATCH($F900,Items!$A$5:$A$597,0)),""))</f>
        <v>5</v>
      </c>
      <c r="J900" s="115">
        <f>IF(tblIssues[[#This Row],[Qty Override]]&lt;&gt;"",tblIssues[[#This Row],[Qty Override]],IF(tblIssues[[#This Row],[Standard Issue]]="","",tblIssues[[#This Row],[Standard Issue]]))</f>
        <v>5</v>
      </c>
      <c r="K900" s="20">
        <f>IF($F900="","",IFERROR(INDEX(Items!$D$5:$D$597,MATCH($F900,Items!$A$5:$A$597,0)),""))</f>
        <v>3</v>
      </c>
      <c r="L900" s="21">
        <f t="shared" si="151"/>
        <v>15</v>
      </c>
      <c r="M900" s="9" t="str">
        <f t="shared" si="149"/>
        <v>WRB500270</v>
      </c>
      <c r="N900" s="24">
        <f>IF($A900="","",WORKDAY($A900,Settings!$C$9,HolidayDates))</f>
        <v>46182</v>
      </c>
      <c r="O900" s="24">
        <f>IF($N900="","",WORKDAY($N900,Settings!$C$10,HolidayDates))</f>
        <v>46220</v>
      </c>
      <c r="P900" s="10" t="s">
        <v>501</v>
      </c>
      <c r="Q900" s="52" t="str">
        <f t="shared" si="152"/>
        <v>Collected</v>
      </c>
      <c r="R900" s="55" t="str">
        <f t="shared" si="153"/>
        <v>2026-06</v>
      </c>
      <c r="S900" s="55">
        <f>IF(OR($B900="",$F900="",$R900=""),"",SUMIFS(tblIssues[Qty Issued],tblIssues[Staff ID],$B900,tblIssues[Item Name],$F900,tblIssues[Month],$R900))</f>
        <v>5</v>
      </c>
      <c r="T900" s="56">
        <f>IF($I900="","",$I900*Settings!$C$11)</f>
        <v>5</v>
      </c>
      <c r="U900" s="57" t="str">
        <f t="shared" si="150"/>
        <v>OK</v>
      </c>
      <c r="V900" s="55" t="str">
        <f t="shared" si="154"/>
        <v/>
      </c>
      <c r="W900" s="55" t="str">
        <f>IF($V900="","",IF(COUNTIF($V$5:$V900,$V900)=1,1,""))</f>
        <v/>
      </c>
      <c r="X900" s="58" t="str">
        <f>IF($W900="","",MAX($X$4:X899)+1)</f>
        <v/>
      </c>
      <c r="Y900" s="62"/>
      <c r="Z900" s="62"/>
      <c r="AA900" s="64" t="str">
        <f>IF($C900="","",IFERROR(INDEX('Staff Directory'!$E$5:$E$594,MATCH($C900,'Staff Directory'!$B$5:$B$594,0)),""))</f>
        <v>firstname242.lastname242@example.com</v>
      </c>
      <c r="AB900" s="64" t="str">
        <f>IF($C900="","",IF(ISNUMBER(SEARCH($D900,Settings!$C$15)),"Pickup","Dispatch"))</f>
        <v>Pickup</v>
      </c>
      <c r="AC900" s="64" t="str">
        <f t="shared" si="155"/>
        <v>Supply order ready for pickup</v>
      </c>
      <c r="AD900" s="64" t="str">
        <f t="shared" si="146"/>
        <v>Dear PSW,
Your order is ready for pickup from Sample Branch, Wed-Fri 9am-4pm.</v>
      </c>
      <c r="AE900" s="64" t="str">
        <f t="shared" si="147"/>
        <v>mailto:firstname242.lastname242@example.com?subject=Supply%20order%20ready%20for%20pickup&amp;body=Dear%20PSW%2C%0A%0AYour%20order%20is%20ready%20for%20pickup%20from%20Sample%20Branch%2C%20Wed-Fri%209am-4pm.</v>
      </c>
      <c r="AF900" s="89" t="str">
        <f t="shared" si="156"/>
        <v>Draft email</v>
      </c>
      <c r="AG900" s="64" t="str">
        <f>IF($C900="","",IFERROR(INDEX('Staff Directory'!$K$595:$K$599,MATCH($C900,'Staff Directory'!$B$5:$B$599,0)),$D900))</f>
        <v>PSW</v>
      </c>
      <c r="AH900" t="str">
        <f>IF($C900="","",IFERROR(INDEX('Staff Directory'!$I$595:$I$599,MATCH($C900,'Staff Directory'!$B$5:$B$599,0))&amp;" "&amp;INDEX('Staff Directory'!$J$595:$J$599,MATCH($C900,'Staff Directory'!$B$5:$B$599,0)),$AG900))</f>
        <v>PSW</v>
      </c>
      <c r="AI900" s="102"/>
      <c r="AJ900" s="101">
        <f>IF($F900="","",SUMIFS($J$5:$J900,$F$5:$F900,$F900))</f>
        <v>20</v>
      </c>
      <c r="AK900" s="101">
        <f t="shared" si="148"/>
        <v>16</v>
      </c>
      <c r="AL900" s="66" t="str" cm="1">
        <f t="array" ref="AL900">IF($F900="","",IFERROR(INDEX('Lot Balance'!$B$5:$B$500,MATCH(1,INDEX(('Lot Balance'!$A$5:$A$500=$F900)*('Lot Balance'!$K$5:$K$500&lt;$AK900)*('Lot Balance'!$K$5:$K$500+'Lot Balance'!$D$5:$D$500&gt;=$AK900),0),0)),""))</f>
        <v>WRB500270</v>
      </c>
      <c r="AM900" s="66" t="str" cm="1">
        <f t="array" ref="AM900">IF($F900="","",IFERROR(INDEX('Lot Balance'!$B$5:$B$500,MATCH(1,INDEX(('Lot Balance'!$A$5:$A$500=$F900)*('Lot Balance'!$K$5:$K$500&lt;$AJ900)*('Lot Balance'!$K$5:$K$500+'Lot Balance'!$D$5:$D$500&gt;=$AJ900),0),0)),""))</f>
        <v>WRB500270</v>
      </c>
      <c r="AN900" s="66" t="str">
        <f>IF($F900="","",IF($AI900&lt;&gt;"",IF(COUNTIFS('Lot Balance'!$A$5:$A$500,$F900,'Lot Balance'!$B$5:$B$500,$AI900)=0,"⚠ override is not a lot of this item",IF($AI900=$AL900,"Override = FEFO","Override - FEFO says "&amp;$AL900)),IF($AL900="","⚠ no receipt on file for this item",IF($AM900&lt;&gt;$AL900,"FEFO auto - split, also "&amp;$AM900,"FEFO auto"))))</f>
        <v>FEFO auto</v>
      </c>
      <c r="AO900" s="114"/>
    </row>
    <row r="901" spans="1:41" x14ac:dyDescent="0.35">
      <c r="A901" s="74">
        <v>46174</v>
      </c>
      <c r="B901" s="18" t="str">
        <f>IF($C901="","",IFERROR(INDEX('Staff Directory'!$A$5:$A$594,MATCH($C901,'Staff Directory'!$B$5:$B$594,0)),"⚠ unknown staff"))</f>
        <v>PSW-179-TBD</v>
      </c>
      <c r="C901" s="49" t="s">
        <v>1158</v>
      </c>
      <c r="D901" s="19" t="str">
        <f>IF($B901="","",IFERROR(INDEX('Staff Directory'!$C$5:$C$594,MATCH($B901,'Staff Directory'!$A$5:$A$594,0)),""))</f>
        <v>PSW</v>
      </c>
      <c r="E901" s="19">
        <f>IF($B901="","",IFERROR(INDEX('Staff Directory'!$D$5:$D$594,MATCH($B901,'Staff Directory'!$A$5:$A$594,0)),""))</f>
        <v>0</v>
      </c>
      <c r="F901" s="9" t="s">
        <v>144</v>
      </c>
      <c r="G901" s="18" t="str">
        <f>IF($F901="","",IFERROR(INDEX(Items!$B$5:$B$597,MATCH($F901,Items!$A$5:$A$597,0)),"⚠ not in Items"))</f>
        <v>IPAC</v>
      </c>
      <c r="H901" s="19" t="str">
        <f>IF($F901="","",IFERROR(INDEX(Items!$C$5:$C$597,MATCH($F901,Items!$A$5:$A$597,0)),""))</f>
        <v>One Size</v>
      </c>
      <c r="I901" s="23">
        <f>IF($F901="","",IFERROR(INDEX(Items!$E$5:$E$597,MATCH($F901,Items!$A$5:$A$597,0)),""))</f>
        <v>4</v>
      </c>
      <c r="J901" s="115">
        <f>IF(tblIssues[[#This Row],[Qty Override]]&lt;&gt;"",tblIssues[[#This Row],[Qty Override]],IF(tblIssues[[#This Row],[Standard Issue]]="","",tblIssues[[#This Row],[Standard Issue]]))</f>
        <v>4</v>
      </c>
      <c r="K901" s="20">
        <f>IF($F901="","",IFERROR(INDEX(Items!$D$5:$D$597,MATCH($F901,Items!$A$5:$A$597,0)),""))</f>
        <v>145.97999999999999</v>
      </c>
      <c r="L901" s="21">
        <f t="shared" si="151"/>
        <v>583.91999999999996</v>
      </c>
      <c r="M901" s="9" t="str">
        <f t="shared" si="149"/>
        <v/>
      </c>
      <c r="N901" s="24">
        <f>IF($A901="","",WORKDAY($A901,Settings!$C$9,HolidayDates))</f>
        <v>46182</v>
      </c>
      <c r="O901" s="24">
        <f>IF($N901="","",WORKDAY($N901,Settings!$C$10,HolidayDates))</f>
        <v>46220</v>
      </c>
      <c r="P901" s="10" t="s">
        <v>501</v>
      </c>
      <c r="Q901" s="52" t="str">
        <f t="shared" si="152"/>
        <v>Collected</v>
      </c>
      <c r="R901" s="55" t="str">
        <f t="shared" si="153"/>
        <v>2026-06</v>
      </c>
      <c r="S901" s="55">
        <f>IF(OR($B901="",$F901="",$R901=""),"",SUMIFS(tblIssues[Qty Issued],tblIssues[Staff ID],$B901,tblIssues[Item Name],$F901,tblIssues[Month],$R901))</f>
        <v>4</v>
      </c>
      <c r="T901" s="56">
        <f>IF($I901="","",$I901*Settings!$C$11)</f>
        <v>4</v>
      </c>
      <c r="U901" s="57" t="str">
        <f t="shared" si="150"/>
        <v>OK</v>
      </c>
      <c r="V901" s="55" t="str">
        <f t="shared" si="154"/>
        <v/>
      </c>
      <c r="W901" s="55" t="str">
        <f>IF($V901="","",IF(COUNTIF($V$5:$V901,$V901)=1,1,""))</f>
        <v/>
      </c>
      <c r="X901" s="58" t="str">
        <f>IF($W901="","",MAX($X$4:X900)+1)</f>
        <v/>
      </c>
      <c r="Y901" s="62"/>
      <c r="Z901" s="62"/>
      <c r="AA901" s="64" t="str">
        <f>IF($C901="","",IFERROR(INDEX('Staff Directory'!$E$5:$E$594,MATCH($C901,'Staff Directory'!$B$5:$B$594,0)),""))</f>
        <v>firstname242.lastname242@example.com</v>
      </c>
      <c r="AB901" s="64" t="str">
        <f>IF($C901="","",IF(ISNUMBER(SEARCH($D901,Settings!$C$15)),"Pickup","Dispatch"))</f>
        <v>Pickup</v>
      </c>
      <c r="AC901" s="64" t="str">
        <f t="shared" si="155"/>
        <v>Supply order ready for pickup</v>
      </c>
      <c r="AD901" s="64" t="str">
        <f t="shared" ref="AD901:AD964" si="157">IF($AB901="Pickup","Dear "&amp;$AH901&amp;","&amp;CHAR(10)&amp;CHAR(10)&amp;"Your order is ready for pickup from Sample Branch, Wed-Fri 9am-4pm.",IF($AB901="Dispatch","Dear "&amp;$AH901&amp;","&amp;CHAR(10)&amp;CHAR(10)&amp;"Your order has been dispatched and is in transit. Reply if undelivered.",""))</f>
        <v>Dear PSW,
Your order is ready for pickup from Sample Branch, Wed-Fri 9am-4pm.</v>
      </c>
      <c r="AE901" s="64" t="str">
        <f t="shared" ref="AE901:AE964" si="158">IF(OR($AA901="",$AC901=""),"","mailto:"&amp;$AA901&amp;"?subject="&amp;_xlfn.ENCODEURL($AC901)&amp;"&amp;body="&amp;_xlfn.ENCODEURL($AD901))</f>
        <v>mailto:firstname242.lastname242@example.com?subject=Supply%20order%20ready%20for%20pickup&amp;body=Dear%20PSW%2C%0A%0AYour%20order%20is%20ready%20for%20pickup%20from%20Sample%20Branch%2C%20Wed-Fri%209am-4pm.</v>
      </c>
      <c r="AF901" s="89" t="str">
        <f t="shared" si="156"/>
        <v>Draft email</v>
      </c>
      <c r="AG901" s="64" t="str">
        <f>IF($C901="","",IFERROR(INDEX('Staff Directory'!$K$595:$K$599,MATCH($C901,'Staff Directory'!$B$5:$B$599,0)),$D901))</f>
        <v>PSW</v>
      </c>
      <c r="AH901" t="str">
        <f>IF($C901="","",IFERROR(INDEX('Staff Directory'!$I$595:$I$599,MATCH($C901,'Staff Directory'!$B$5:$B$599,0))&amp;" "&amp;INDEX('Staff Directory'!$J$595:$J$599,MATCH($C901,'Staff Directory'!$B$5:$B$599,0)),$AG901))</f>
        <v>PSW</v>
      </c>
      <c r="AI901" s="102"/>
      <c r="AJ901" s="101">
        <f>IF($F901="","",SUMIFS($J$5:$J901,$F$5:$F901,$F901))</f>
        <v>28</v>
      </c>
      <c r="AK901" s="101">
        <f t="shared" ref="AK901:AK964" si="159">IF($F901="","",MAX(1,$AJ901-MAX($J901,0)+1))</f>
        <v>25</v>
      </c>
      <c r="AL901" s="66" t="str" cm="1">
        <f t="array" ref="AL901">IF($F901="","",IFERROR(INDEX('Lot Balance'!$B$5:$B$500,MATCH(1,INDEX(('Lot Balance'!$A$5:$A$500=$F901)*('Lot Balance'!$K$5:$K$500&lt;$AK901)*('Lot Balance'!$K$5:$K$500+'Lot Balance'!$D$5:$D$500&gt;=$AK901),0),0)),""))</f>
        <v/>
      </c>
      <c r="AM901" s="66" t="str" cm="1">
        <f t="array" ref="AM901">IF($F901="","",IFERROR(INDEX('Lot Balance'!$B$5:$B$500,MATCH(1,INDEX(('Lot Balance'!$A$5:$A$500=$F901)*('Lot Balance'!$K$5:$K$500&lt;$AJ901)*('Lot Balance'!$K$5:$K$500+'Lot Balance'!$D$5:$D$500&gt;=$AJ901),0),0)),""))</f>
        <v/>
      </c>
      <c r="AN901" s="66" t="str">
        <f>IF($F901="","",IF($AI901&lt;&gt;"",IF(COUNTIFS('Lot Balance'!$A$5:$A$500,$F901,'Lot Balance'!$B$5:$B$500,$AI901)=0,"⚠ override is not a lot of this item",IF($AI901=$AL901,"Override = FEFO","Override - FEFO says "&amp;$AL901)),IF($AL901="","⚠ no receipt on file for this item",IF($AM901&lt;&gt;$AL901,"FEFO auto - split, also "&amp;$AM901,"FEFO auto"))))</f>
        <v>⚠ no receipt on file for this item</v>
      </c>
      <c r="AO901" s="114"/>
    </row>
    <row r="902" spans="1:41" x14ac:dyDescent="0.35">
      <c r="A902" s="74">
        <v>46174</v>
      </c>
      <c r="B902" s="18" t="str">
        <f>IF($C902="","",IFERROR(INDEX('Staff Directory'!$A$5:$A$594,MATCH($C902,'Staff Directory'!$B$5:$B$594,0)),"⚠ unknown staff"))</f>
        <v>PSW-179-TBD</v>
      </c>
      <c r="C902" s="49" t="s">
        <v>1158</v>
      </c>
      <c r="D902" s="19" t="str">
        <f>IF($B902="","",IFERROR(INDEX('Staff Directory'!$C$5:$C$594,MATCH($B902,'Staff Directory'!$A$5:$A$594,0)),""))</f>
        <v>PSW</v>
      </c>
      <c r="E902" s="19">
        <f>IF($B902="","",IFERROR(INDEX('Staff Directory'!$D$5:$D$594,MATCH($B902,'Staff Directory'!$A$5:$A$594,0)),""))</f>
        <v>0</v>
      </c>
      <c r="F902" s="9" t="s">
        <v>154</v>
      </c>
      <c r="G902" s="18" t="str">
        <f>IF($F902="","",IFERROR(INDEX(Items!$B$5:$B$597,MATCH($F902,Items!$A$5:$A$597,0)),"⚠ not in Items"))</f>
        <v>IPAC</v>
      </c>
      <c r="H902" s="19" t="str">
        <f>IF($F902="","",IFERROR(INDEX(Items!$C$5:$C$597,MATCH($F902,Items!$A$5:$A$597,0)),""))</f>
        <v>Regular</v>
      </c>
      <c r="I902" s="23">
        <f>IF($F902="","",IFERROR(INDEX(Items!$E$5:$E$597,MATCH($F902,Items!$A$5:$A$597,0)),""))</f>
        <v>50</v>
      </c>
      <c r="J902" s="115">
        <f>IF(tblIssues[[#This Row],[Qty Override]]&lt;&gt;"",tblIssues[[#This Row],[Qty Override]],IF(tblIssues[[#This Row],[Standard Issue]]="","",tblIssues[[#This Row],[Standard Issue]]))</f>
        <v>50</v>
      </c>
      <c r="K902" s="20">
        <f>IF($F902="","",IFERROR(INDEX(Items!$D$5:$D$597,MATCH($F902,Items!$A$5:$A$597,0)),""))</f>
        <v>0.2</v>
      </c>
      <c r="L902" s="21">
        <f t="shared" si="151"/>
        <v>10</v>
      </c>
      <c r="M902" s="9" t="str">
        <f t="shared" ref="M902:M965" si="160">IF($F902="","",IF($AI902&lt;&gt;"",$AI902,$AL902))</f>
        <v/>
      </c>
      <c r="N902" s="24">
        <f>IF($A902="","",WORKDAY($A902,Settings!$C$9,HolidayDates))</f>
        <v>46182</v>
      </c>
      <c r="O902" s="24">
        <f>IF($N902="","",WORKDAY($N902,Settings!$C$10,HolidayDates))</f>
        <v>46220</v>
      </c>
      <c r="P902" s="10" t="s">
        <v>501</v>
      </c>
      <c r="Q902" s="52" t="str">
        <f t="shared" si="152"/>
        <v>Collected</v>
      </c>
      <c r="R902" s="55" t="str">
        <f t="shared" si="153"/>
        <v>2026-06</v>
      </c>
      <c r="S902" s="55">
        <f>IF(OR($B902="",$F902="",$R902=""),"",SUMIFS(tblIssues[Qty Issued],tblIssues[Staff ID],$B902,tblIssues[Item Name],$F902,tblIssues[Month],$R902))</f>
        <v>50</v>
      </c>
      <c r="T902" s="56">
        <f>IF($I902="","",$I902*Settings!$C$11)</f>
        <v>50</v>
      </c>
      <c r="U902" s="57" t="str">
        <f t="shared" ref="U902:U965" si="161">IF(OR($S902="",$T902=""),"",IF($S902&gt;$T902,IF($Y902="Approved","APPROVED BY TL","⚠ OVER QUOTA"),"OK"))</f>
        <v>OK</v>
      </c>
      <c r="V902" s="55" t="str">
        <f t="shared" si="154"/>
        <v/>
      </c>
      <c r="W902" s="55" t="str">
        <f>IF($V902="","",IF(COUNTIF($V$5:$V902,$V902)=1,1,""))</f>
        <v/>
      </c>
      <c r="X902" s="58" t="str">
        <f>IF($W902="","",MAX($X$4:X901)+1)</f>
        <v/>
      </c>
      <c r="Y902" s="62"/>
      <c r="Z902" s="62"/>
      <c r="AA902" s="64" t="str">
        <f>IF($C902="","",IFERROR(INDEX('Staff Directory'!$E$5:$E$594,MATCH($C902,'Staff Directory'!$B$5:$B$594,0)),""))</f>
        <v>firstname242.lastname242@example.com</v>
      </c>
      <c r="AB902" s="64" t="str">
        <f>IF($C902="","",IF(ISNUMBER(SEARCH($D902,Settings!$C$15)),"Pickup","Dispatch"))</f>
        <v>Pickup</v>
      </c>
      <c r="AC902" s="64" t="str">
        <f t="shared" si="155"/>
        <v>Supply order ready for pickup</v>
      </c>
      <c r="AD902" s="64" t="str">
        <f t="shared" si="157"/>
        <v>Dear PSW,
Your order is ready for pickup from Sample Branch, Wed-Fri 9am-4pm.</v>
      </c>
      <c r="AE902" s="64" t="str">
        <f t="shared" si="158"/>
        <v>mailto:firstname242.lastname242@example.com?subject=Supply%20order%20ready%20for%20pickup&amp;body=Dear%20PSW%2C%0A%0AYour%20order%20is%20ready%20for%20pickup%20from%20Sample%20Branch%2C%20Wed-Fri%209am-4pm.</v>
      </c>
      <c r="AF902" s="89" t="str">
        <f t="shared" si="156"/>
        <v>Draft email</v>
      </c>
      <c r="AG902" s="64" t="str">
        <f>IF($C902="","",IFERROR(INDEX('Staff Directory'!$K$595:$K$599,MATCH($C902,'Staff Directory'!$B$5:$B$599,0)),$D902))</f>
        <v>PSW</v>
      </c>
      <c r="AH902" t="str">
        <f>IF($C902="","",IFERROR(INDEX('Staff Directory'!$I$595:$I$599,MATCH($C902,'Staff Directory'!$B$5:$B$599,0))&amp;" "&amp;INDEX('Staff Directory'!$J$595:$J$599,MATCH($C902,'Staff Directory'!$B$5:$B$599,0)),$AG902))</f>
        <v>PSW</v>
      </c>
      <c r="AI902" s="102"/>
      <c r="AJ902" s="101">
        <f>IF($F902="","",SUMIFS($J$5:$J902,$F$5:$F902,$F902))</f>
        <v>750</v>
      </c>
      <c r="AK902" s="101">
        <f t="shared" si="159"/>
        <v>701</v>
      </c>
      <c r="AL902" s="66" t="str" cm="1">
        <f t="array" ref="AL902">IF($F902="","",IFERROR(INDEX('Lot Balance'!$B$5:$B$500,MATCH(1,INDEX(('Lot Balance'!$A$5:$A$500=$F902)*('Lot Balance'!$K$5:$K$500&lt;$AK902)*('Lot Balance'!$K$5:$K$500+'Lot Balance'!$D$5:$D$500&gt;=$AK902),0),0)),""))</f>
        <v/>
      </c>
      <c r="AM902" s="66" t="str" cm="1">
        <f t="array" ref="AM902">IF($F902="","",IFERROR(INDEX('Lot Balance'!$B$5:$B$500,MATCH(1,INDEX(('Lot Balance'!$A$5:$A$500=$F902)*('Lot Balance'!$K$5:$K$500&lt;$AJ902)*('Lot Balance'!$K$5:$K$500+'Lot Balance'!$D$5:$D$500&gt;=$AJ902),0),0)),""))</f>
        <v/>
      </c>
      <c r="AN902" s="66" t="str">
        <f>IF($F902="","",IF($AI902&lt;&gt;"",IF(COUNTIFS('Lot Balance'!$A$5:$A$500,$F902,'Lot Balance'!$B$5:$B$500,$AI902)=0,"⚠ override is not a lot of this item",IF($AI902=$AL902,"Override = FEFO","Override - FEFO says "&amp;$AL902)),IF($AL902="","⚠ no receipt on file for this item",IF($AM902&lt;&gt;$AL902,"FEFO auto - split, also "&amp;$AM902,"FEFO auto"))))</f>
        <v>⚠ no receipt on file for this item</v>
      </c>
      <c r="AO902" s="114"/>
    </row>
    <row r="903" spans="1:41" x14ac:dyDescent="0.35">
      <c r="A903" s="74">
        <v>46174</v>
      </c>
      <c r="B903" s="18" t="str">
        <f>IF($C903="","",IFERROR(INDEX('Staff Directory'!$A$5:$A$594,MATCH($C903,'Staff Directory'!$B$5:$B$594,0)),"⚠ unknown staff"))</f>
        <v>PSW-179-TBD</v>
      </c>
      <c r="C903" s="49" t="s">
        <v>1158</v>
      </c>
      <c r="D903" s="19" t="str">
        <f>IF($B903="","",IFERROR(INDEX('Staff Directory'!$C$5:$C$594,MATCH($B903,'Staff Directory'!$A$5:$A$594,0)),""))</f>
        <v>PSW</v>
      </c>
      <c r="E903" s="19">
        <f>IF($B903="","",IFERROR(INDEX('Staff Directory'!$D$5:$D$594,MATCH($B903,'Staff Directory'!$A$5:$A$594,0)),""))</f>
        <v>0</v>
      </c>
      <c r="F903" s="9" t="s">
        <v>136</v>
      </c>
      <c r="G903" s="18" t="str">
        <f>IF($F903="","",IFERROR(INDEX(Items!$B$5:$B$597,MATCH($F903,Items!$A$5:$A$597,0)),"⚠ not in Items"))</f>
        <v>Eye Protection</v>
      </c>
      <c r="H903" s="19" t="str">
        <f>IF($F903="","",IFERROR(INDEX(Items!$C$5:$C$597,MATCH($F903,Items!$A$5:$A$597,0)),""))</f>
        <v>One Size</v>
      </c>
      <c r="I903" s="23">
        <f>IF($F903="","",IFERROR(INDEX(Items!$E$5:$E$597,MATCH($F903,Items!$A$5:$A$597,0)),""))</f>
        <v>1</v>
      </c>
      <c r="J903" s="115">
        <f>IF(tblIssues[[#This Row],[Qty Override]]&lt;&gt;"",tblIssues[[#This Row],[Qty Override]],IF(tblIssues[[#This Row],[Standard Issue]]="","",tblIssues[[#This Row],[Standard Issue]]))</f>
        <v>1</v>
      </c>
      <c r="K903" s="20">
        <f>IF($F903="","",IFERROR(INDEX(Items!$D$5:$D$597,MATCH($F903,Items!$A$5:$A$597,0)),""))</f>
        <v>10</v>
      </c>
      <c r="L903" s="21">
        <f t="shared" si="151"/>
        <v>10</v>
      </c>
      <c r="M903" s="9" t="str">
        <f t="shared" si="160"/>
        <v>GGL5003700</v>
      </c>
      <c r="N903" s="24">
        <f>IF($A903="","",WORKDAY($A903,Settings!$C$9,HolidayDates))</f>
        <v>46182</v>
      </c>
      <c r="O903" s="24">
        <f>IF($N903="","",WORKDAY($N903,Settings!$C$10,HolidayDates))</f>
        <v>46220</v>
      </c>
      <c r="P903" s="10" t="s">
        <v>501</v>
      </c>
      <c r="Q903" s="52" t="str">
        <f t="shared" si="152"/>
        <v>Collected</v>
      </c>
      <c r="R903" s="55" t="str">
        <f t="shared" si="153"/>
        <v>2026-06</v>
      </c>
      <c r="S903" s="55">
        <f>IF(OR($B903="",$F903="",$R903=""),"",SUMIFS(tblIssues[Qty Issued],tblIssues[Staff ID],$B903,tblIssues[Item Name],$F903,tblIssues[Month],$R903))</f>
        <v>1</v>
      </c>
      <c r="T903" s="56">
        <f>IF($I903="","",$I903*Settings!$C$11)</f>
        <v>1</v>
      </c>
      <c r="U903" s="57" t="str">
        <f t="shared" si="161"/>
        <v>OK</v>
      </c>
      <c r="V903" s="55" t="str">
        <f t="shared" si="154"/>
        <v/>
      </c>
      <c r="W903" s="55" t="str">
        <f>IF($V903="","",IF(COUNTIF($V$5:$V903,$V903)=1,1,""))</f>
        <v/>
      </c>
      <c r="X903" s="58" t="str">
        <f>IF($W903="","",MAX($X$4:X902)+1)</f>
        <v/>
      </c>
      <c r="Y903" s="62"/>
      <c r="Z903" s="62"/>
      <c r="AA903" s="64" t="str">
        <f>IF($C903="","",IFERROR(INDEX('Staff Directory'!$E$5:$E$594,MATCH($C903,'Staff Directory'!$B$5:$B$594,0)),""))</f>
        <v>firstname242.lastname242@example.com</v>
      </c>
      <c r="AB903" s="64" t="str">
        <f>IF($C903="","",IF(ISNUMBER(SEARCH($D903,Settings!$C$15)),"Pickup","Dispatch"))</f>
        <v>Pickup</v>
      </c>
      <c r="AC903" s="64" t="str">
        <f t="shared" si="155"/>
        <v>Supply order ready for pickup</v>
      </c>
      <c r="AD903" s="64" t="str">
        <f t="shared" si="157"/>
        <v>Dear PSW,
Your order is ready for pickup from Sample Branch, Wed-Fri 9am-4pm.</v>
      </c>
      <c r="AE903" s="64" t="str">
        <f t="shared" si="158"/>
        <v>mailto:firstname242.lastname242@example.com?subject=Supply%20order%20ready%20for%20pickup&amp;body=Dear%20PSW%2C%0A%0AYour%20order%20is%20ready%20for%20pickup%20from%20Sample%20Branch%2C%20Wed-Fri%209am-4pm.</v>
      </c>
      <c r="AF903" s="89" t="str">
        <f t="shared" si="156"/>
        <v>Draft email</v>
      </c>
      <c r="AG903" s="64" t="str">
        <f>IF($C903="","",IFERROR(INDEX('Staff Directory'!$K$595:$K$599,MATCH($C903,'Staff Directory'!$B$5:$B$599,0)),$D903))</f>
        <v>PSW</v>
      </c>
      <c r="AH903" t="str">
        <f>IF($C903="","",IFERROR(INDEX('Staff Directory'!$I$595:$I$599,MATCH($C903,'Staff Directory'!$B$5:$B$599,0))&amp;" "&amp;INDEX('Staff Directory'!$J$595:$J$599,MATCH($C903,'Staff Directory'!$B$5:$B$599,0)),$AG903))</f>
        <v>PSW</v>
      </c>
      <c r="AI903" s="102"/>
      <c r="AJ903" s="101">
        <f>IF($F903="","",SUMIFS($J$5:$J903,$F$5:$F903,$F903))</f>
        <v>4</v>
      </c>
      <c r="AK903" s="101">
        <f t="shared" si="159"/>
        <v>4</v>
      </c>
      <c r="AL903" s="66" t="str" cm="1">
        <f t="array" ref="AL903">IF($F903="","",IFERROR(INDEX('Lot Balance'!$B$5:$B$500,MATCH(1,INDEX(('Lot Balance'!$A$5:$A$500=$F903)*('Lot Balance'!$K$5:$K$500&lt;$AK903)*('Lot Balance'!$K$5:$K$500+'Lot Balance'!$D$5:$D$500&gt;=$AK903),0),0)),""))</f>
        <v>GGL5003700</v>
      </c>
      <c r="AM903" s="66" t="str" cm="1">
        <f t="array" ref="AM903">IF($F903="","",IFERROR(INDEX('Lot Balance'!$B$5:$B$500,MATCH(1,INDEX(('Lot Balance'!$A$5:$A$500=$F903)*('Lot Balance'!$K$5:$K$500&lt;$AJ903)*('Lot Balance'!$K$5:$K$500+'Lot Balance'!$D$5:$D$500&gt;=$AJ903),0),0)),""))</f>
        <v>GGL5003700</v>
      </c>
      <c r="AN903" s="66" t="str">
        <f>IF($F903="","",IF($AI903&lt;&gt;"",IF(COUNTIFS('Lot Balance'!$A$5:$A$500,$F903,'Lot Balance'!$B$5:$B$500,$AI903)=0,"⚠ override is not a lot of this item",IF($AI903=$AL903,"Override = FEFO","Override - FEFO says "&amp;$AL903)),IF($AL903="","⚠ no receipt on file for this item",IF($AM903&lt;&gt;$AL903,"FEFO auto - split, also "&amp;$AM903,"FEFO auto"))))</f>
        <v>FEFO auto</v>
      </c>
      <c r="AO903" s="114"/>
    </row>
    <row r="904" spans="1:41" x14ac:dyDescent="0.35">
      <c r="A904" s="74">
        <v>46174</v>
      </c>
      <c r="B904" s="18" t="str">
        <f>IF($C904="","",IFERROR(INDEX('Staff Directory'!$A$5:$A$594,MATCH($C904,'Staff Directory'!$B$5:$B$594,0)),"⚠ unknown staff"))</f>
        <v>PSW-179-TBD</v>
      </c>
      <c r="C904" s="49" t="s">
        <v>1158</v>
      </c>
      <c r="D904" s="19" t="str">
        <f>IF($B904="","",IFERROR(INDEX('Staff Directory'!$C$5:$C$594,MATCH($B904,'Staff Directory'!$A$5:$A$594,0)),""))</f>
        <v>PSW</v>
      </c>
      <c r="E904" s="19">
        <f>IF($B904="","",IFERROR(INDEX('Staff Directory'!$D$5:$D$594,MATCH($B904,'Staff Directory'!$A$5:$A$594,0)),""))</f>
        <v>0</v>
      </c>
      <c r="F904" s="9" t="s">
        <v>122</v>
      </c>
      <c r="G904" s="18" t="str">
        <f>IF($F904="","",IFERROR(INDEX(Items!$B$5:$B$597,MATCH($F904,Items!$A$5:$A$597,0)),"⚠ not in Items"))</f>
        <v>Eye Protection</v>
      </c>
      <c r="H904" s="19" t="str">
        <f>IF($F904="","",IFERROR(INDEX(Items!$C$5:$C$597,MATCH($F904,Items!$A$5:$A$597,0)),""))</f>
        <v>One Size</v>
      </c>
      <c r="I904" s="23">
        <f>IF($F904="","",IFERROR(INDEX(Items!$E$5:$E$597,MATCH($F904,Items!$A$5:$A$597,0)),""))</f>
        <v>1</v>
      </c>
      <c r="J904" s="115">
        <f>IF(tblIssues[[#This Row],[Qty Override]]&lt;&gt;"",tblIssues[[#This Row],[Qty Override]],IF(tblIssues[[#This Row],[Standard Issue]]="","",tblIssues[[#This Row],[Standard Issue]]))</f>
        <v>1</v>
      </c>
      <c r="K904" s="20">
        <f>IF($F904="","",IFERROR(INDEX(Items!$D$5:$D$597,MATCH($F904,Items!$A$5:$A$597,0)),""))</f>
        <v>7</v>
      </c>
      <c r="L904" s="21">
        <f t="shared" ref="L904:L967" si="162">IF(OR($J904="",$K904=""),"",$J904*$K904)</f>
        <v>7</v>
      </c>
      <c r="M904" s="9" t="str">
        <f t="shared" si="160"/>
        <v/>
      </c>
      <c r="N904" s="24">
        <f>IF($A904="","",WORKDAY($A904,Settings!$C$9,HolidayDates))</f>
        <v>46182</v>
      </c>
      <c r="O904" s="24">
        <f>IF($N904="","",WORKDAY($N904,Settings!$C$10,HolidayDates))</f>
        <v>46220</v>
      </c>
      <c r="P904" s="10" t="s">
        <v>501</v>
      </c>
      <c r="Q904" s="52" t="str">
        <f t="shared" si="152"/>
        <v>Collected</v>
      </c>
      <c r="R904" s="55" t="str">
        <f t="shared" si="153"/>
        <v>2026-06</v>
      </c>
      <c r="S904" s="55">
        <f>IF(OR($B904="",$F904="",$R904=""),"",SUMIFS(tblIssues[Qty Issued],tblIssues[Staff ID],$B904,tblIssues[Item Name],$F904,tblIssues[Month],$R904))</f>
        <v>1</v>
      </c>
      <c r="T904" s="56">
        <f>IF($I904="","",$I904*Settings!$C$11)</f>
        <v>1</v>
      </c>
      <c r="U904" s="57" t="str">
        <f t="shared" si="161"/>
        <v>OK</v>
      </c>
      <c r="V904" s="55" t="str">
        <f t="shared" si="154"/>
        <v/>
      </c>
      <c r="W904" s="55" t="str">
        <f>IF($V904="","",IF(COUNTIF($V$5:$V904,$V904)=1,1,""))</f>
        <v/>
      </c>
      <c r="X904" s="58" t="str">
        <f>IF($W904="","",MAX($X$4:X903)+1)</f>
        <v/>
      </c>
      <c r="Y904" s="62"/>
      <c r="Z904" s="62"/>
      <c r="AA904" s="64" t="str">
        <f>IF($C904="","",IFERROR(INDEX('Staff Directory'!$E$5:$E$594,MATCH($C904,'Staff Directory'!$B$5:$B$594,0)),""))</f>
        <v>firstname242.lastname242@example.com</v>
      </c>
      <c r="AB904" s="64" t="str">
        <f>IF($C904="","",IF(ISNUMBER(SEARCH($D904,Settings!$C$15)),"Pickup","Dispatch"))</f>
        <v>Pickup</v>
      </c>
      <c r="AC904" s="64" t="str">
        <f t="shared" si="155"/>
        <v>Supply order ready for pickup</v>
      </c>
      <c r="AD904" s="64" t="str">
        <f t="shared" si="157"/>
        <v>Dear PSW,
Your order is ready for pickup from Sample Branch, Wed-Fri 9am-4pm.</v>
      </c>
      <c r="AE904" s="64" t="str">
        <f t="shared" si="158"/>
        <v>mailto:firstname242.lastname242@example.com?subject=Supply%20order%20ready%20for%20pickup&amp;body=Dear%20PSW%2C%0A%0AYour%20order%20is%20ready%20for%20pickup%20from%20Sample%20Branch%2C%20Wed-Fri%209am-4pm.</v>
      </c>
      <c r="AF904" s="89" t="str">
        <f t="shared" si="156"/>
        <v>Draft email</v>
      </c>
      <c r="AG904" s="64" t="str">
        <f>IF($C904="","",IFERROR(INDEX('Staff Directory'!$K$595:$K$599,MATCH($C904,'Staff Directory'!$B$5:$B$599,0)),$D904))</f>
        <v>PSW</v>
      </c>
      <c r="AH904" t="str">
        <f>IF($C904="","",IFERROR(INDEX('Staff Directory'!$I$595:$I$599,MATCH($C904,'Staff Directory'!$B$5:$B$599,0))&amp;" "&amp;INDEX('Staff Directory'!$J$595:$J$599,MATCH($C904,'Staff Directory'!$B$5:$B$599,0)),$AG904))</f>
        <v>PSW</v>
      </c>
      <c r="AI904" s="102"/>
      <c r="AJ904" s="101">
        <f>IF($F904="","",SUMIFS($J$5:$J904,$F$5:$F904,$F904))</f>
        <v>5</v>
      </c>
      <c r="AK904" s="101">
        <f t="shared" si="159"/>
        <v>5</v>
      </c>
      <c r="AL904" s="66" t="str" cm="1">
        <f t="array" ref="AL904">IF($F904="","",IFERROR(INDEX('Lot Balance'!$B$5:$B$500,MATCH(1,INDEX(('Lot Balance'!$A$5:$A$500=$F904)*('Lot Balance'!$K$5:$K$500&lt;$AK904)*('Lot Balance'!$K$5:$K$500+'Lot Balance'!$D$5:$D$500&gt;=$AK904),0),0)),""))</f>
        <v/>
      </c>
      <c r="AM904" s="66" t="str" cm="1">
        <f t="array" ref="AM904">IF($F904="","",IFERROR(INDEX('Lot Balance'!$B$5:$B$500,MATCH(1,INDEX(('Lot Balance'!$A$5:$A$500=$F904)*('Lot Balance'!$K$5:$K$500&lt;$AJ904)*('Lot Balance'!$K$5:$K$500+'Lot Balance'!$D$5:$D$500&gt;=$AJ904),0),0)),""))</f>
        <v/>
      </c>
      <c r="AN904" s="66" t="str">
        <f>IF($F904="","",IF($AI904&lt;&gt;"",IF(COUNTIFS('Lot Balance'!$A$5:$A$500,$F904,'Lot Balance'!$B$5:$B$500,$AI904)=0,"⚠ override is not a lot of this item",IF($AI904=$AL904,"Override = FEFO","Override - FEFO says "&amp;$AL904)),IF($AL904="","⚠ no receipt on file for this item",IF($AM904&lt;&gt;$AL904,"FEFO auto - split, also "&amp;$AM904,"FEFO auto"))))</f>
        <v>⚠ no receipt on file for this item</v>
      </c>
      <c r="AO904" s="114"/>
    </row>
    <row r="905" spans="1:41" x14ac:dyDescent="0.35">
      <c r="A905" s="74">
        <v>46174</v>
      </c>
      <c r="B905" s="18" t="str">
        <f>IF($C905="","",IFERROR(INDEX('Staff Directory'!$A$5:$A$594,MATCH($C905,'Staff Directory'!$B$5:$B$594,0)),"⚠ unknown staff"))</f>
        <v>PSW-179-TBD</v>
      </c>
      <c r="C905" s="49" t="s">
        <v>1158</v>
      </c>
      <c r="D905" s="19" t="str">
        <f>IF($B905="","",IFERROR(INDEX('Staff Directory'!$C$5:$C$594,MATCH($B905,'Staff Directory'!$A$5:$A$594,0)),""))</f>
        <v>PSW</v>
      </c>
      <c r="E905" s="19">
        <f>IF($B905="","",IFERROR(INDEX('Staff Directory'!$D$5:$D$594,MATCH($B905,'Staff Directory'!$A$5:$A$594,0)),""))</f>
        <v>0</v>
      </c>
      <c r="F905" s="9" t="s">
        <v>150</v>
      </c>
      <c r="G905" s="18" t="str">
        <f>IF($F905="","",IFERROR(INDEX(Items!$B$5:$B$597,MATCH($F905,Items!$A$5:$A$597,0)),"⚠ not in Items"))</f>
        <v>Documents</v>
      </c>
      <c r="H905" s="19" t="str">
        <f>IF($F905="","",IFERROR(INDEX(Items!$C$5:$C$597,MATCH($F905,Items!$A$5:$A$597,0)),""))</f>
        <v>Standard</v>
      </c>
      <c r="I905" s="23">
        <f>IF($F905="","",IFERROR(INDEX(Items!$E$5:$E$597,MATCH($F905,Items!$A$5:$A$597,0)),""))</f>
        <v>1</v>
      </c>
      <c r="J905" s="115">
        <f>IF(tblIssues[[#This Row],[Qty Override]]&lt;&gt;"",tblIssues[[#This Row],[Qty Override]],IF(tblIssues[[#This Row],[Standard Issue]]="","",tblIssues[[#This Row],[Standard Issue]]))</f>
        <v>1</v>
      </c>
      <c r="K905" s="20">
        <f>IF($F905="","",IFERROR(INDEX(Items!$D$5:$D$597,MATCH($F905,Items!$A$5:$A$597,0)),""))</f>
        <v>0</v>
      </c>
      <c r="L905" s="21">
        <f t="shared" si="162"/>
        <v>0</v>
      </c>
      <c r="M905" s="9" t="str">
        <f t="shared" si="160"/>
        <v/>
      </c>
      <c r="N905" s="24">
        <f>IF($A905="","",WORKDAY($A905,Settings!$C$9,HolidayDates))</f>
        <v>46182</v>
      </c>
      <c r="O905" s="24">
        <f>IF($N905="","",WORKDAY($N905,Settings!$C$10,HolidayDates))</f>
        <v>46220</v>
      </c>
      <c r="P905" s="10" t="s">
        <v>501</v>
      </c>
      <c r="Q905" s="52" t="str">
        <f t="shared" si="152"/>
        <v>Collected</v>
      </c>
      <c r="R905" s="55" t="str">
        <f t="shared" si="153"/>
        <v>2026-06</v>
      </c>
      <c r="S905" s="55">
        <f>IF(OR($B905="",$F905="",$R905=""),"",SUMIFS(tblIssues[Qty Issued],tblIssues[Staff ID],$B905,tblIssues[Item Name],$F905,tblIssues[Month],$R905))</f>
        <v>1</v>
      </c>
      <c r="T905" s="56">
        <f>IF($I905="","",$I905*Settings!$C$11)</f>
        <v>1</v>
      </c>
      <c r="U905" s="57" t="str">
        <f t="shared" si="161"/>
        <v>OK</v>
      </c>
      <c r="V905" s="55" t="str">
        <f t="shared" si="154"/>
        <v/>
      </c>
      <c r="W905" s="55" t="str">
        <f>IF($V905="","",IF(COUNTIF($V$5:$V905,$V905)=1,1,""))</f>
        <v/>
      </c>
      <c r="X905" s="58" t="str">
        <f>IF($W905="","",MAX($X$4:X904)+1)</f>
        <v/>
      </c>
      <c r="Y905" s="62"/>
      <c r="Z905" s="62"/>
      <c r="AA905" s="64" t="str">
        <f>IF($C905="","",IFERROR(INDEX('Staff Directory'!$E$5:$E$594,MATCH($C905,'Staff Directory'!$B$5:$B$594,0)),""))</f>
        <v>firstname242.lastname242@example.com</v>
      </c>
      <c r="AB905" s="64" t="str">
        <f>IF($C905="","",IF(ISNUMBER(SEARCH($D905,Settings!$C$15)),"Pickup","Dispatch"))</f>
        <v>Pickup</v>
      </c>
      <c r="AC905" s="64" t="str">
        <f t="shared" si="155"/>
        <v>Supply order ready for pickup</v>
      </c>
      <c r="AD905" s="64" t="str">
        <f t="shared" si="157"/>
        <v>Dear PSW,
Your order is ready for pickup from Sample Branch, Wed-Fri 9am-4pm.</v>
      </c>
      <c r="AE905" s="64" t="str">
        <f t="shared" si="158"/>
        <v>mailto:firstname242.lastname242@example.com?subject=Supply%20order%20ready%20for%20pickup&amp;body=Dear%20PSW%2C%0A%0AYour%20order%20is%20ready%20for%20pickup%20from%20Sample%20Branch%2C%20Wed-Fri%209am-4pm.</v>
      </c>
      <c r="AF905" s="89" t="str">
        <f t="shared" si="156"/>
        <v>Draft email</v>
      </c>
      <c r="AG905" s="64" t="str">
        <f>IF($C905="","",IFERROR(INDEX('Staff Directory'!$K$595:$K$599,MATCH($C905,'Staff Directory'!$B$5:$B$599,0)),$D905))</f>
        <v>PSW</v>
      </c>
      <c r="AH905" t="str">
        <f>IF($C905="","",IFERROR(INDEX('Staff Directory'!$I$595:$I$599,MATCH($C905,'Staff Directory'!$B$5:$B$599,0))&amp;" "&amp;INDEX('Staff Directory'!$J$595:$J$599,MATCH($C905,'Staff Directory'!$B$5:$B$599,0)),$AG905))</f>
        <v>PSW</v>
      </c>
      <c r="AI905" s="102"/>
      <c r="AJ905" s="101">
        <f>IF($F905="","",SUMIFS($J$5:$J905,$F$5:$F905,$F905))</f>
        <v>5</v>
      </c>
      <c r="AK905" s="101">
        <f t="shared" si="159"/>
        <v>5</v>
      </c>
      <c r="AL905" s="66" t="str" cm="1">
        <f t="array" ref="AL905">IF($F905="","",IFERROR(INDEX('Lot Balance'!$B$5:$B$500,MATCH(1,INDEX(('Lot Balance'!$A$5:$A$500=$F905)*('Lot Balance'!$K$5:$K$500&lt;$AK905)*('Lot Balance'!$K$5:$K$500+'Lot Balance'!$D$5:$D$500&gt;=$AK905),0),0)),""))</f>
        <v/>
      </c>
      <c r="AM905" s="66" t="str" cm="1">
        <f t="array" ref="AM905">IF($F905="","",IFERROR(INDEX('Lot Balance'!$B$5:$B$500,MATCH(1,INDEX(('Lot Balance'!$A$5:$A$500=$F905)*('Lot Balance'!$K$5:$K$500&lt;$AJ905)*('Lot Balance'!$K$5:$K$500+'Lot Balance'!$D$5:$D$500&gt;=$AJ905),0),0)),""))</f>
        <v/>
      </c>
      <c r="AN905" s="66" t="str">
        <f>IF($F905="","",IF($AI905&lt;&gt;"",IF(COUNTIFS('Lot Balance'!$A$5:$A$500,$F905,'Lot Balance'!$B$5:$B$500,$AI905)=0,"⚠ override is not a lot of this item",IF($AI905=$AL905,"Override = FEFO","Override - FEFO says "&amp;$AL905)),IF($AL905="","⚠ no receipt on file for this item",IF($AM905&lt;&gt;$AL905,"FEFO auto - split, also "&amp;$AM905,"FEFO auto"))))</f>
        <v>⚠ no receipt on file for this item</v>
      </c>
      <c r="AO905" s="114"/>
    </row>
    <row r="906" spans="1:41" x14ac:dyDescent="0.35">
      <c r="A906" s="74">
        <v>46174</v>
      </c>
      <c r="B906" s="18" t="str">
        <f>IF($C906="","",IFERROR(INDEX('Staff Directory'!$A$5:$A$594,MATCH($C906,'Staff Directory'!$B$5:$B$594,0)),"⚠ unknown staff"))</f>
        <v>PSW-179-TBD</v>
      </c>
      <c r="C906" s="49" t="s">
        <v>1158</v>
      </c>
      <c r="D906" s="19" t="str">
        <f>IF($B906="","",IFERROR(INDEX('Staff Directory'!$C$5:$C$594,MATCH($B906,'Staff Directory'!$A$5:$A$594,0)),""))</f>
        <v>PSW</v>
      </c>
      <c r="E906" s="19">
        <f>IF($B906="","",IFERROR(INDEX('Staff Directory'!$D$5:$D$594,MATCH($B906,'Staff Directory'!$A$5:$A$594,0)),""))</f>
        <v>0</v>
      </c>
      <c r="F906" s="9" t="s">
        <v>755</v>
      </c>
      <c r="G906" s="18" t="str">
        <f>IF($F906="","",IFERROR(INDEX(Items!$B$5:$B$597,MATCH($F906,Items!$A$5:$A$597,0)),"⚠ not in Items"))</f>
        <v>Documents</v>
      </c>
      <c r="H906" s="19" t="str">
        <f>IF($F906="","",IFERROR(INDEX(Items!$C$5:$C$597,MATCH($F906,Items!$A$5:$A$597,0)),""))</f>
        <v>Standard</v>
      </c>
      <c r="I906" s="23">
        <f>IF($F906="","",IFERROR(INDEX(Items!$E$5:$E$597,MATCH($F906,Items!$A$5:$A$597,0)),""))</f>
        <v>2</v>
      </c>
      <c r="J906" s="115">
        <f>IF(tblIssues[[#This Row],[Qty Override]]&lt;&gt;"",tblIssues[[#This Row],[Qty Override]],IF(tblIssues[[#This Row],[Standard Issue]]="","",tblIssues[[#This Row],[Standard Issue]]))</f>
        <v>2</v>
      </c>
      <c r="K906" s="20">
        <f>IF($F906="","",IFERROR(INDEX(Items!$D$5:$D$597,MATCH($F906,Items!$A$5:$A$597,0)),""))</f>
        <v>0</v>
      </c>
      <c r="L906" s="21">
        <f t="shared" si="162"/>
        <v>0</v>
      </c>
      <c r="M906" s="9" t="str">
        <f t="shared" si="160"/>
        <v/>
      </c>
      <c r="N906" s="24">
        <f>IF($A906="","",WORKDAY($A906,Settings!$C$9,HolidayDates))</f>
        <v>46182</v>
      </c>
      <c r="O906" s="24">
        <f>IF($N906="","",WORKDAY($N906,Settings!$C$10,HolidayDates))</f>
        <v>46220</v>
      </c>
      <c r="P906" s="10" t="s">
        <v>501</v>
      </c>
      <c r="Q906" s="52" t="str">
        <f t="shared" si="152"/>
        <v>Collected</v>
      </c>
      <c r="R906" s="55" t="str">
        <f t="shared" si="153"/>
        <v>2026-06</v>
      </c>
      <c r="S906" s="55">
        <f>IF(OR($B906="",$F906="",$R906=""),"",SUMIFS(tblIssues[Qty Issued],tblIssues[Staff ID],$B906,tblIssues[Item Name],$F906,tblIssues[Month],$R906))</f>
        <v>2</v>
      </c>
      <c r="T906" s="56">
        <f>IF($I906="","",$I906*Settings!$C$11)</f>
        <v>2</v>
      </c>
      <c r="U906" s="57" t="str">
        <f t="shared" si="161"/>
        <v>OK</v>
      </c>
      <c r="V906" s="55" t="str">
        <f t="shared" si="154"/>
        <v/>
      </c>
      <c r="W906" s="55" t="str">
        <f>IF($V906="","",IF(COUNTIF($V$5:$V906,$V906)=1,1,""))</f>
        <v/>
      </c>
      <c r="X906" s="58" t="str">
        <f>IF($W906="","",MAX($X$4:X905)+1)</f>
        <v/>
      </c>
      <c r="Y906" s="62"/>
      <c r="Z906" s="62"/>
      <c r="AA906" s="64" t="str">
        <f>IF($C906="","",IFERROR(INDEX('Staff Directory'!$E$5:$E$594,MATCH($C906,'Staff Directory'!$B$5:$B$594,0)),""))</f>
        <v>firstname242.lastname242@example.com</v>
      </c>
      <c r="AB906" s="64" t="str">
        <f>IF($C906="","",IF(ISNUMBER(SEARCH($D906,Settings!$C$15)),"Pickup","Dispatch"))</f>
        <v>Pickup</v>
      </c>
      <c r="AC906" s="64" t="str">
        <f t="shared" si="155"/>
        <v>Supply order ready for pickup</v>
      </c>
      <c r="AD906" s="64" t="str">
        <f t="shared" si="157"/>
        <v>Dear PSW,
Your order is ready for pickup from Sample Branch, Wed-Fri 9am-4pm.</v>
      </c>
      <c r="AE906" s="64" t="str">
        <f t="shared" si="158"/>
        <v>mailto:firstname242.lastname242@example.com?subject=Supply%20order%20ready%20for%20pickup&amp;body=Dear%20PSW%2C%0A%0AYour%20order%20is%20ready%20for%20pickup%20from%20Sample%20Branch%2C%20Wed-Fri%209am-4pm.</v>
      </c>
      <c r="AF906" s="89" t="str">
        <f t="shared" si="156"/>
        <v>Draft email</v>
      </c>
      <c r="AG906" s="64" t="str">
        <f>IF($C906="","",IFERROR(INDEX('Staff Directory'!$K$595:$K$599,MATCH($C906,'Staff Directory'!$B$5:$B$599,0)),$D906))</f>
        <v>PSW</v>
      </c>
      <c r="AH906" t="str">
        <f>IF($C906="","",IFERROR(INDEX('Staff Directory'!$I$595:$I$599,MATCH($C906,'Staff Directory'!$B$5:$B$599,0))&amp;" "&amp;INDEX('Staff Directory'!$J$595:$J$599,MATCH($C906,'Staff Directory'!$B$5:$B$599,0)),$AG906))</f>
        <v>PSW</v>
      </c>
      <c r="AI906" s="102"/>
      <c r="AJ906" s="101">
        <f>IF($F906="","",SUMIFS($J$5:$J906,$F$5:$F906,$F906))</f>
        <v>122</v>
      </c>
      <c r="AK906" s="101">
        <f t="shared" si="159"/>
        <v>121</v>
      </c>
      <c r="AL906" s="66" t="str" cm="1">
        <f t="array" ref="AL906">IF($F906="","",IFERROR(INDEX('Lot Balance'!$B$5:$B$500,MATCH(1,INDEX(('Lot Balance'!$A$5:$A$500=$F906)*('Lot Balance'!$K$5:$K$500&lt;$AK906)*('Lot Balance'!$K$5:$K$500+'Lot Balance'!$D$5:$D$500&gt;=$AK906),0),0)),""))</f>
        <v/>
      </c>
      <c r="AM906" s="66" t="str" cm="1">
        <f t="array" ref="AM906">IF($F906="","",IFERROR(INDEX('Lot Balance'!$B$5:$B$500,MATCH(1,INDEX(('Lot Balance'!$A$5:$A$500=$F906)*('Lot Balance'!$K$5:$K$500&lt;$AJ906)*('Lot Balance'!$K$5:$K$500+'Lot Balance'!$D$5:$D$500&gt;=$AJ906),0),0)),""))</f>
        <v/>
      </c>
      <c r="AN906" s="66" t="str">
        <f>IF($F906="","",IF($AI906&lt;&gt;"",IF(COUNTIFS('Lot Balance'!$A$5:$A$500,$F906,'Lot Balance'!$B$5:$B$500,$AI906)=0,"⚠ override is not a lot of this item",IF($AI906=$AL906,"Override = FEFO","Override - FEFO says "&amp;$AL906)),IF($AL906="","⚠ no receipt on file for this item",IF($AM906&lt;&gt;$AL906,"FEFO auto - split, also "&amp;$AM906,"FEFO auto"))))</f>
        <v>⚠ no receipt on file for this item</v>
      </c>
      <c r="AO906" s="114"/>
    </row>
    <row r="907" spans="1:41" x14ac:dyDescent="0.35">
      <c r="A907" s="74">
        <v>46174</v>
      </c>
      <c r="B907" s="18" t="str">
        <f>IF($C907="","",IFERROR(INDEX('Staff Directory'!$A$5:$A$594,MATCH($C907,'Staff Directory'!$B$5:$B$594,0)),"⚠ unknown staff"))</f>
        <v>PSW-180-A6</v>
      </c>
      <c r="C907" s="49" t="s">
        <v>1159</v>
      </c>
      <c r="D907" s="19" t="str">
        <f>IF($B907="","",IFERROR(INDEX('Staff Directory'!$C$5:$C$594,MATCH($B907,'Staff Directory'!$A$5:$A$594,0)),""))</f>
        <v>PSW</v>
      </c>
      <c r="E907" s="19" t="str">
        <f>IF($B907="","",IFERROR(INDEX('Staff Directory'!$D$5:$D$594,MATCH($B907,'Staff Directory'!$A$5:$A$594,0)),""))</f>
        <v>A6</v>
      </c>
      <c r="F907" s="9" t="s">
        <v>127</v>
      </c>
      <c r="G907" s="18" t="str">
        <f>IF($F907="","",IFERROR(INDEX(Items!$B$5:$B$597,MATCH($F907,Items!$A$5:$A$597,0)),"⚠ not in Items"))</f>
        <v>Gloves</v>
      </c>
      <c r="H907" s="19" t="str">
        <f>IF($F907="","",IFERROR(INDEX(Items!$C$5:$C$597,MATCH($F907,Items!$A$5:$A$597,0)),""))</f>
        <v>Medium</v>
      </c>
      <c r="I907" s="23">
        <f>IF($F907="","",IFERROR(INDEX(Items!$E$5:$E$597,MATCH($F907,Items!$A$5:$A$597,0)),""))</f>
        <v>500</v>
      </c>
      <c r="J907" s="115">
        <f>IF(tblIssues[[#This Row],[Qty Override]]&lt;&gt;"",tblIssues[[#This Row],[Qty Override]],IF(tblIssues[[#This Row],[Standard Issue]]="","",tblIssues[[#This Row],[Standard Issue]]))</f>
        <v>500</v>
      </c>
      <c r="K907" s="20">
        <f>IF($F907="","",IFERROR(INDEX(Items!$D$5:$D$597,MATCH($F907,Items!$A$5:$A$597,0)),""))</f>
        <v>5.5E-2</v>
      </c>
      <c r="L907" s="21">
        <f t="shared" si="162"/>
        <v>27.5</v>
      </c>
      <c r="M907" s="9" t="str">
        <f t="shared" si="160"/>
        <v>ZIM510329603</v>
      </c>
      <c r="N907" s="24">
        <f>IF($A907="","",WORKDAY($A907,Settings!$C$9,HolidayDates))</f>
        <v>46182</v>
      </c>
      <c r="O907" s="24">
        <f>IF($N907="","",WORKDAY($N907,Settings!$C$10,HolidayDates))</f>
        <v>46220</v>
      </c>
      <c r="P907" s="10" t="s">
        <v>501</v>
      </c>
      <c r="Q907" s="52" t="str">
        <f t="shared" si="152"/>
        <v>Collected</v>
      </c>
      <c r="R907" s="55" t="str">
        <f t="shared" si="153"/>
        <v>2026-06</v>
      </c>
      <c r="S907" s="55">
        <f>IF(OR($B907="",$F907="",$R907=""),"",SUMIFS(tblIssues[Qty Issued],tblIssues[Staff ID],$B907,tblIssues[Item Name],$F907,tblIssues[Month],$R907))</f>
        <v>500</v>
      </c>
      <c r="T907" s="56">
        <f>IF($I907="","",$I907*Settings!$C$11)</f>
        <v>500</v>
      </c>
      <c r="U907" s="57" t="str">
        <f t="shared" si="161"/>
        <v>OK</v>
      </c>
      <c r="V907" s="55" t="str">
        <f t="shared" si="154"/>
        <v/>
      </c>
      <c r="W907" s="55" t="str">
        <f>IF($V907="","",IF(COUNTIF($V$5:$V907,$V907)=1,1,""))</f>
        <v/>
      </c>
      <c r="X907" s="58" t="str">
        <f>IF($W907="","",MAX($X$4:X906)+1)</f>
        <v/>
      </c>
      <c r="Y907" s="62"/>
      <c r="Z907" s="62"/>
      <c r="AA907" s="64" t="str">
        <f>IF($C907="","",IFERROR(INDEX('Staff Directory'!$E$5:$E$594,MATCH($C907,'Staff Directory'!$B$5:$B$594,0)),""))</f>
        <v>firstname243.lastname243@example.com</v>
      </c>
      <c r="AB907" s="64" t="str">
        <f>IF($C907="","",IF(ISNUMBER(SEARCH($D907,Settings!$C$15)),"Pickup","Dispatch"))</f>
        <v>Pickup</v>
      </c>
      <c r="AC907" s="64" t="str">
        <f t="shared" si="155"/>
        <v>Supply order ready for pickup</v>
      </c>
      <c r="AD907" s="64" t="str">
        <f t="shared" si="157"/>
        <v>Dear PSW,
Your order is ready for pickup from Sample Branch, Wed-Fri 9am-4pm.</v>
      </c>
      <c r="AE907" s="64" t="str">
        <f t="shared" si="158"/>
        <v>mailto:firstname243.lastname243@example.com?subject=Supply%20order%20ready%20for%20pickup&amp;body=Dear%20PSW%2C%0A%0AYour%20order%20is%20ready%20for%20pickup%20from%20Sample%20Branch%2C%20Wed-Fri%209am-4pm.</v>
      </c>
      <c r="AF907" s="89" t="str">
        <f t="shared" si="156"/>
        <v>Draft email</v>
      </c>
      <c r="AG907" s="64" t="str">
        <f>IF($C907="","",IFERROR(INDEX('Staff Directory'!$K$595:$K$599,MATCH($C907,'Staff Directory'!$B$5:$B$599,0)),$D907))</f>
        <v>PSW</v>
      </c>
      <c r="AH907" t="str">
        <f>IF($C907="","",IFERROR(INDEX('Staff Directory'!$I$595:$I$599,MATCH($C907,'Staff Directory'!$B$5:$B$599,0))&amp;" "&amp;INDEX('Staff Directory'!$J$595:$J$599,MATCH($C907,'Staff Directory'!$B$5:$B$599,0)),$AG907))</f>
        <v>PSW</v>
      </c>
      <c r="AI907" s="102"/>
      <c r="AJ907" s="101">
        <f>IF($F907="","",SUMIFS($J$5:$J907,$F$5:$F907,$F907))</f>
        <v>53000</v>
      </c>
      <c r="AK907" s="101">
        <f t="shared" si="159"/>
        <v>52501</v>
      </c>
      <c r="AL907" s="66" t="str" cm="1">
        <f t="array" ref="AL907">IF($F907="","",IFERROR(INDEX('Lot Balance'!$B$5:$B$500,MATCH(1,INDEX(('Lot Balance'!$A$5:$A$500=$F907)*('Lot Balance'!$K$5:$K$500&lt;$AK907)*('Lot Balance'!$K$5:$K$500+'Lot Balance'!$D$5:$D$500&gt;=$AK907),0),0)),""))</f>
        <v>ZIM510329603</v>
      </c>
      <c r="AM907" s="66" t="str" cm="1">
        <f t="array" ref="AM907">IF($F907="","",IFERROR(INDEX('Lot Balance'!$B$5:$B$500,MATCH(1,INDEX(('Lot Balance'!$A$5:$A$500=$F907)*('Lot Balance'!$K$5:$K$500&lt;$AJ907)*('Lot Balance'!$K$5:$K$500+'Lot Balance'!$D$5:$D$500&gt;=$AJ907),0),0)),""))</f>
        <v>ZIM510329603</v>
      </c>
      <c r="AN907" s="66" t="str">
        <f>IF($F907="","",IF($AI907&lt;&gt;"",IF(COUNTIFS('Lot Balance'!$A$5:$A$500,$F907,'Lot Balance'!$B$5:$B$500,$AI907)=0,"⚠ override is not a lot of this item",IF($AI907=$AL907,"Override = FEFO","Override - FEFO says "&amp;$AL907)),IF($AL907="","⚠ no receipt on file for this item",IF($AM907&lt;&gt;$AL907,"FEFO auto - split, also "&amp;$AM907,"FEFO auto"))))</f>
        <v>FEFO auto</v>
      </c>
      <c r="AO907" s="114"/>
    </row>
    <row r="908" spans="1:41" x14ac:dyDescent="0.35">
      <c r="A908" s="74">
        <v>46174</v>
      </c>
      <c r="B908" s="18" t="str">
        <f>IF($C908="","",IFERROR(INDEX('Staff Directory'!$A$5:$A$594,MATCH($C908,'Staff Directory'!$B$5:$B$594,0)),"⚠ unknown staff"))</f>
        <v>PSW-180-A6</v>
      </c>
      <c r="C908" s="49" t="s">
        <v>1159</v>
      </c>
      <c r="D908" s="19" t="str">
        <f>IF($B908="","",IFERROR(INDEX('Staff Directory'!$C$5:$C$594,MATCH($B908,'Staff Directory'!$A$5:$A$594,0)),""))</f>
        <v>PSW</v>
      </c>
      <c r="E908" s="19" t="str">
        <f>IF($B908="","",IFERROR(INDEX('Staff Directory'!$D$5:$D$594,MATCH($B908,'Staff Directory'!$A$5:$A$594,0)),""))</f>
        <v>A6</v>
      </c>
      <c r="F908" s="9" t="s">
        <v>115</v>
      </c>
      <c r="G908" s="18" t="str">
        <f>IF($F908="","",IFERROR(INDEX(Items!$B$5:$B$597,MATCH($F908,Items!$A$5:$A$597,0)),"⚠ not in Items"))</f>
        <v>Wipes</v>
      </c>
      <c r="H908" s="19">
        <f>IF($F908="","",IFERROR(INDEX(Items!$C$5:$C$597,MATCH($F908,Items!$A$5:$A$597,0)),""))</f>
        <v>80</v>
      </c>
      <c r="I908" s="23">
        <f>IF($F908="","",IFERROR(INDEX(Items!$E$5:$E$597,MATCH($F908,Items!$A$5:$A$597,0)),""))</f>
        <v>80</v>
      </c>
      <c r="J908" s="115">
        <f>IF(tblIssues[[#This Row],[Qty Override]]&lt;&gt;"",tblIssues[[#This Row],[Qty Override]],IF(tblIssues[[#This Row],[Standard Issue]]="","",tblIssues[[#This Row],[Standard Issue]]))</f>
        <v>80</v>
      </c>
      <c r="K908" s="20">
        <f>IF($F908="","",IFERROR(INDEX(Items!$D$5:$D$597,MATCH($F908,Items!$A$5:$A$597,0)),""))</f>
        <v>0.1</v>
      </c>
      <c r="L908" s="21">
        <f t="shared" si="162"/>
        <v>8</v>
      </c>
      <c r="M908" s="9" t="str">
        <f t="shared" si="160"/>
        <v>LYSL500290</v>
      </c>
      <c r="N908" s="24">
        <f>IF($A908="","",WORKDAY($A908,Settings!$C$9,HolidayDates))</f>
        <v>46182</v>
      </c>
      <c r="O908" s="24">
        <f>IF($N908="","",WORKDAY($N908,Settings!$C$10,HolidayDates))</f>
        <v>46220</v>
      </c>
      <c r="P908" s="10" t="s">
        <v>501</v>
      </c>
      <c r="Q908" s="52" t="str">
        <f t="shared" si="152"/>
        <v>Collected</v>
      </c>
      <c r="R908" s="55" t="str">
        <f t="shared" si="153"/>
        <v>2026-06</v>
      </c>
      <c r="S908" s="55">
        <f>IF(OR($B908="",$F908="",$R908=""),"",SUMIFS(tblIssues[Qty Issued],tblIssues[Staff ID],$B908,tblIssues[Item Name],$F908,tblIssues[Month],$R908))</f>
        <v>80</v>
      </c>
      <c r="T908" s="56">
        <f>IF($I908="","",$I908*Settings!$C$11)</f>
        <v>80</v>
      </c>
      <c r="U908" s="57" t="str">
        <f t="shared" si="161"/>
        <v>OK</v>
      </c>
      <c r="V908" s="55" t="str">
        <f t="shared" si="154"/>
        <v/>
      </c>
      <c r="W908" s="55" t="str">
        <f>IF($V908="","",IF(COUNTIF($V$5:$V908,$V908)=1,1,""))</f>
        <v/>
      </c>
      <c r="X908" s="58" t="str">
        <f>IF($W908="","",MAX($X$4:X907)+1)</f>
        <v/>
      </c>
      <c r="Y908" s="62"/>
      <c r="Z908" s="62"/>
      <c r="AA908" s="64" t="str">
        <f>IF($C908="","",IFERROR(INDEX('Staff Directory'!$E$5:$E$594,MATCH($C908,'Staff Directory'!$B$5:$B$594,0)),""))</f>
        <v>firstname243.lastname243@example.com</v>
      </c>
      <c r="AB908" s="64" t="str">
        <f>IF($C908="","",IF(ISNUMBER(SEARCH($D908,Settings!$C$15)),"Pickup","Dispatch"))</f>
        <v>Pickup</v>
      </c>
      <c r="AC908" s="64" t="str">
        <f t="shared" si="155"/>
        <v>Supply order ready for pickup</v>
      </c>
      <c r="AD908" s="64" t="str">
        <f t="shared" si="157"/>
        <v>Dear PSW,
Your order is ready for pickup from Sample Branch, Wed-Fri 9am-4pm.</v>
      </c>
      <c r="AE908" s="64" t="str">
        <f t="shared" si="158"/>
        <v>mailto:firstname243.lastname243@example.com?subject=Supply%20order%20ready%20for%20pickup&amp;body=Dear%20PSW%2C%0A%0AYour%20order%20is%20ready%20for%20pickup%20from%20Sample%20Branch%2C%20Wed-Fri%209am-4pm.</v>
      </c>
      <c r="AF908" s="89" t="str">
        <f t="shared" si="156"/>
        <v>Draft email</v>
      </c>
      <c r="AG908" s="64" t="str">
        <f>IF($C908="","",IFERROR(INDEX('Staff Directory'!$K$595:$K$599,MATCH($C908,'Staff Directory'!$B$5:$B$599,0)),$D908))</f>
        <v>PSW</v>
      </c>
      <c r="AH908" t="str">
        <f>IF($C908="","",IFERROR(INDEX('Staff Directory'!$I$595:$I$599,MATCH($C908,'Staff Directory'!$B$5:$B$599,0))&amp;" "&amp;INDEX('Staff Directory'!$J$595:$J$599,MATCH($C908,'Staff Directory'!$B$5:$B$599,0)),$AG908))</f>
        <v>PSW</v>
      </c>
      <c r="AI908" s="102"/>
      <c r="AJ908" s="101">
        <f>IF($F908="","",SUMIFS($J$5:$J908,$F$5:$F908,$F908))</f>
        <v>12320</v>
      </c>
      <c r="AK908" s="101">
        <f t="shared" si="159"/>
        <v>12241</v>
      </c>
      <c r="AL908" s="66" t="str" cm="1">
        <f t="array" ref="AL908">IF($F908="","",IFERROR(INDEX('Lot Balance'!$B$5:$B$500,MATCH(1,INDEX(('Lot Balance'!$A$5:$A$500=$F908)*('Lot Balance'!$K$5:$K$500&lt;$AK908)*('Lot Balance'!$K$5:$K$500+'Lot Balance'!$D$5:$D$500&gt;=$AK908),0),0)),""))</f>
        <v>LYSL500290</v>
      </c>
      <c r="AM908" s="66" t="str" cm="1">
        <f t="array" ref="AM908">IF($F908="","",IFERROR(INDEX('Lot Balance'!$B$5:$B$500,MATCH(1,INDEX(('Lot Balance'!$A$5:$A$500=$F908)*('Lot Balance'!$K$5:$K$500&lt;$AJ908)*('Lot Balance'!$K$5:$K$500+'Lot Balance'!$D$5:$D$500&gt;=$AJ908),0),0)),""))</f>
        <v>LYSL500290</v>
      </c>
      <c r="AN908" s="66" t="str">
        <f>IF($F908="","",IF($AI908&lt;&gt;"",IF(COUNTIFS('Lot Balance'!$A$5:$A$500,$F908,'Lot Balance'!$B$5:$B$500,$AI908)=0,"⚠ override is not a lot of this item",IF($AI908=$AL908,"Override = FEFO","Override - FEFO says "&amp;$AL908)),IF($AL908="","⚠ no receipt on file for this item",IF($AM908&lt;&gt;$AL908,"FEFO auto - split, also "&amp;$AM908,"FEFO auto"))))</f>
        <v>FEFO auto</v>
      </c>
      <c r="AO908" s="114"/>
    </row>
    <row r="909" spans="1:41" x14ac:dyDescent="0.35">
      <c r="A909" s="74">
        <v>46174</v>
      </c>
      <c r="B909" s="18" t="str">
        <f>IF($C909="","",IFERROR(INDEX('Staff Directory'!$A$5:$A$594,MATCH($C909,'Staff Directory'!$B$5:$B$594,0)),"⚠ unknown staff"))</f>
        <v>PSW-180-A6</v>
      </c>
      <c r="C909" s="49" t="s">
        <v>1159</v>
      </c>
      <c r="D909" s="19" t="str">
        <f>IF($B909="","",IFERROR(INDEX('Staff Directory'!$C$5:$C$594,MATCH($B909,'Staff Directory'!$A$5:$A$594,0)),""))</f>
        <v>PSW</v>
      </c>
      <c r="E909" s="19" t="str">
        <f>IF($B909="","",IFERROR(INDEX('Staff Directory'!$D$5:$D$594,MATCH($B909,'Staff Directory'!$A$5:$A$594,0)),""))</f>
        <v>A6</v>
      </c>
      <c r="F909" s="9" t="s">
        <v>102</v>
      </c>
      <c r="G909" s="18" t="str">
        <f>IF($F909="","",IFERROR(INDEX(Items!$B$5:$B$597,MATCH($F909,Items!$A$5:$A$597,0)),"⚠ not in Items"))</f>
        <v>Masks</v>
      </c>
      <c r="H909" s="19" t="str">
        <f>IF($F909="","",IFERROR(INDEX(Items!$C$5:$C$597,MATCH($F909,Items!$A$5:$A$597,0)),""))</f>
        <v>One Size</v>
      </c>
      <c r="I909" s="23">
        <f>IF($F909="","",IFERROR(INDEX(Items!$E$5:$E$597,MATCH($F909,Items!$A$5:$A$597,0)),""))</f>
        <v>5</v>
      </c>
      <c r="J909" s="115">
        <f>IF(tblIssues[[#This Row],[Qty Override]]&lt;&gt;"",tblIssues[[#This Row],[Qty Override]],IF(tblIssues[[#This Row],[Standard Issue]]="","",tblIssues[[#This Row],[Standard Issue]]))</f>
        <v>5</v>
      </c>
      <c r="K909" s="20">
        <f>IF($F909="","",IFERROR(INDEX(Items!$D$5:$D$597,MATCH($F909,Items!$A$5:$A$597,0)),""))</f>
        <v>2.0499999999999998</v>
      </c>
      <c r="L909" s="21">
        <f t="shared" si="162"/>
        <v>10.25</v>
      </c>
      <c r="M909" s="9" t="str">
        <f t="shared" si="160"/>
        <v>N955003715</v>
      </c>
      <c r="N909" s="24">
        <f>IF($A909="","",WORKDAY($A909,Settings!$C$9,HolidayDates))</f>
        <v>46182</v>
      </c>
      <c r="O909" s="24">
        <f>IF($N909="","",WORKDAY($N909,Settings!$C$10,HolidayDates))</f>
        <v>46220</v>
      </c>
      <c r="P909" s="10" t="s">
        <v>501</v>
      </c>
      <c r="Q909" s="52" t="str">
        <f t="shared" si="152"/>
        <v>Collected</v>
      </c>
      <c r="R909" s="55" t="str">
        <f t="shared" si="153"/>
        <v>2026-06</v>
      </c>
      <c r="S909" s="55">
        <f>IF(OR($B909="",$F909="",$R909=""),"",SUMIFS(tblIssues[Qty Issued],tblIssues[Staff ID],$B909,tblIssues[Item Name],$F909,tblIssues[Month],$R909))</f>
        <v>5</v>
      </c>
      <c r="T909" s="56">
        <f>IF($I909="","",$I909*Settings!$C$11)</f>
        <v>5</v>
      </c>
      <c r="U909" s="57" t="str">
        <f t="shared" si="161"/>
        <v>OK</v>
      </c>
      <c r="V909" s="55" t="str">
        <f t="shared" si="154"/>
        <v/>
      </c>
      <c r="W909" s="55" t="str">
        <f>IF($V909="","",IF(COUNTIF($V$5:$V909,$V909)=1,1,""))</f>
        <v/>
      </c>
      <c r="X909" s="58" t="str">
        <f>IF($W909="","",MAX($X$4:X908)+1)</f>
        <v/>
      </c>
      <c r="Y909" s="62"/>
      <c r="Z909" s="62"/>
      <c r="AA909" s="64" t="str">
        <f>IF($C909="","",IFERROR(INDEX('Staff Directory'!$E$5:$E$594,MATCH($C909,'Staff Directory'!$B$5:$B$594,0)),""))</f>
        <v>firstname243.lastname243@example.com</v>
      </c>
      <c r="AB909" s="64" t="str">
        <f>IF($C909="","",IF(ISNUMBER(SEARCH($D909,Settings!$C$15)),"Pickup","Dispatch"))</f>
        <v>Pickup</v>
      </c>
      <c r="AC909" s="64" t="str">
        <f t="shared" si="155"/>
        <v>Supply order ready for pickup</v>
      </c>
      <c r="AD909" s="64" t="str">
        <f t="shared" si="157"/>
        <v>Dear PSW,
Your order is ready for pickup from Sample Branch, Wed-Fri 9am-4pm.</v>
      </c>
      <c r="AE909" s="64" t="str">
        <f t="shared" si="158"/>
        <v>mailto:firstname243.lastname243@example.com?subject=Supply%20order%20ready%20for%20pickup&amp;body=Dear%20PSW%2C%0A%0AYour%20order%20is%20ready%20for%20pickup%20from%20Sample%20Branch%2C%20Wed-Fri%209am-4pm.</v>
      </c>
      <c r="AF909" s="89" t="str">
        <f t="shared" si="156"/>
        <v>Draft email</v>
      </c>
      <c r="AG909" s="64" t="str">
        <f>IF($C909="","",IFERROR(INDEX('Staff Directory'!$K$595:$K$599,MATCH($C909,'Staff Directory'!$B$5:$B$599,0)),$D909))</f>
        <v>PSW</v>
      </c>
      <c r="AH909" t="str">
        <f>IF($C909="","",IFERROR(INDEX('Staff Directory'!$I$595:$I$599,MATCH($C909,'Staff Directory'!$B$5:$B$599,0))&amp;" "&amp;INDEX('Staff Directory'!$J$595:$J$599,MATCH($C909,'Staff Directory'!$B$5:$B$599,0)),$AG909))</f>
        <v>PSW</v>
      </c>
      <c r="AI909" s="102"/>
      <c r="AJ909" s="101">
        <f>IF($F909="","",SUMIFS($J$5:$J909,$F$5:$F909,$F909))</f>
        <v>10</v>
      </c>
      <c r="AK909" s="101">
        <f t="shared" si="159"/>
        <v>6</v>
      </c>
      <c r="AL909" s="66" t="str" cm="1">
        <f t="array" ref="AL909">IF($F909="","",IFERROR(INDEX('Lot Balance'!$B$5:$B$500,MATCH(1,INDEX(('Lot Balance'!$A$5:$A$500=$F909)*('Lot Balance'!$K$5:$K$500&lt;$AK909)*('Lot Balance'!$K$5:$K$500+'Lot Balance'!$D$5:$D$500&gt;=$AK909),0),0)),""))</f>
        <v>N955003715</v>
      </c>
      <c r="AM909" s="66" t="str" cm="1">
        <f t="array" ref="AM909">IF($F909="","",IFERROR(INDEX('Lot Balance'!$B$5:$B$500,MATCH(1,INDEX(('Lot Balance'!$A$5:$A$500=$F909)*('Lot Balance'!$K$5:$K$500&lt;$AJ909)*('Lot Balance'!$K$5:$K$500+'Lot Balance'!$D$5:$D$500&gt;=$AJ909),0),0)),""))</f>
        <v>N955003715</v>
      </c>
      <c r="AN909" s="66" t="str">
        <f>IF($F909="","",IF($AI909&lt;&gt;"",IF(COUNTIFS('Lot Balance'!$A$5:$A$500,$F909,'Lot Balance'!$B$5:$B$500,$AI909)=0,"⚠ override is not a lot of this item",IF($AI909=$AL909,"Override = FEFO","Override - FEFO says "&amp;$AL909)),IF($AL909="","⚠ no receipt on file for this item",IF($AM909&lt;&gt;$AL909,"FEFO auto - split, also "&amp;$AM909,"FEFO auto"))))</f>
        <v>FEFO auto</v>
      </c>
      <c r="AO909" s="114"/>
    </row>
    <row r="910" spans="1:41" x14ac:dyDescent="0.35">
      <c r="A910" s="74">
        <v>46174</v>
      </c>
      <c r="B910" s="18" t="str">
        <f>IF($C910="","",IFERROR(INDEX('Staff Directory'!$A$5:$A$594,MATCH($C910,'Staff Directory'!$B$5:$B$594,0)),"⚠ unknown staff"))</f>
        <v>PSW-180-A6</v>
      </c>
      <c r="C910" s="49" t="s">
        <v>1159</v>
      </c>
      <c r="D910" s="19" t="str">
        <f>IF($B910="","",IFERROR(INDEX('Staff Directory'!$C$5:$C$594,MATCH($B910,'Staff Directory'!$A$5:$A$594,0)),""))</f>
        <v>PSW</v>
      </c>
      <c r="E910" s="19" t="str">
        <f>IF($B910="","",IFERROR(INDEX('Staff Directory'!$D$5:$D$594,MATCH($B910,'Staff Directory'!$A$5:$A$594,0)),""))</f>
        <v>A6</v>
      </c>
      <c r="F910" s="9" t="s">
        <v>137</v>
      </c>
      <c r="G910" s="18" t="str">
        <f>IF($F910="","",IFERROR(INDEX(Items!$B$5:$B$597,MATCH($F910,Items!$A$5:$A$597,0)),"⚠ not in Items"))</f>
        <v>Sanitizer</v>
      </c>
      <c r="H910" s="19" t="str">
        <f>IF($F910="","",IFERROR(INDEX(Items!$C$5:$C$597,MATCH($F910,Items!$A$5:$A$597,0)),""))</f>
        <v>118 ML</v>
      </c>
      <c r="I910" s="23">
        <f>IF($F910="","",IFERROR(INDEX(Items!$E$5:$E$597,MATCH($F910,Items!$A$5:$A$597,0)),""))</f>
        <v>2</v>
      </c>
      <c r="J910" s="115">
        <f>IF(tblIssues[[#This Row],[Qty Override]]&lt;&gt;"",tblIssues[[#This Row],[Qty Override]],IF(tblIssues[[#This Row],[Standard Issue]]="","",tblIssues[[#This Row],[Standard Issue]]))</f>
        <v>2</v>
      </c>
      <c r="K910" s="20">
        <f>IF($F910="","",IFERROR(INDEX(Items!$D$5:$D$597,MATCH($F910,Items!$A$5:$A$597,0)),""))</f>
        <v>4.49</v>
      </c>
      <c r="L910" s="21">
        <f t="shared" si="162"/>
        <v>8.98</v>
      </c>
      <c r="M910" s="9" t="str">
        <f t="shared" si="160"/>
        <v>563963-6</v>
      </c>
      <c r="N910" s="24">
        <f>IF($A910="","",WORKDAY($A910,Settings!$C$9,HolidayDates))</f>
        <v>46182</v>
      </c>
      <c r="O910" s="24">
        <f>IF($N910="","",WORKDAY($N910,Settings!$C$10,HolidayDates))</f>
        <v>46220</v>
      </c>
      <c r="P910" s="10" t="s">
        <v>501</v>
      </c>
      <c r="Q910" s="52" t="str">
        <f t="shared" ref="Q910:Q973" si="163">IF($A910="","",IF($P910&lt;&gt;"","Collected","Pending"))</f>
        <v>Collected</v>
      </c>
      <c r="R910" s="55" t="str">
        <f t="shared" ref="R910:R973" si="164">IF($A910="","",TEXT($A910,"yyyy-mm"))</f>
        <v>2026-06</v>
      </c>
      <c r="S910" s="55">
        <f>IF(OR($B910="",$F910="",$R910=""),"",SUMIFS(tblIssues[Qty Issued],tblIssues[Staff ID],$B910,tblIssues[Item Name],$F910,tblIssues[Month],$R910))</f>
        <v>2</v>
      </c>
      <c r="T910" s="56">
        <f>IF($I910="","",$I910*Settings!$C$11)</f>
        <v>2</v>
      </c>
      <c r="U910" s="57" t="str">
        <f t="shared" si="161"/>
        <v>OK</v>
      </c>
      <c r="V910" s="55" t="str">
        <f t="shared" ref="V910:V973" si="165">IF($U910="⚠ OVER QUOTA",$B910&amp;" | "&amp;$F910&amp;" | "&amp;$R910,"")</f>
        <v/>
      </c>
      <c r="W910" s="55" t="str">
        <f>IF($V910="","",IF(COUNTIF($V$5:$V910,$V910)=1,1,""))</f>
        <v/>
      </c>
      <c r="X910" s="58" t="str">
        <f>IF($W910="","",MAX($X$4:X909)+1)</f>
        <v/>
      </c>
      <c r="Y910" s="62"/>
      <c r="Z910" s="62"/>
      <c r="AA910" s="64" t="str">
        <f>IF($C910="","",IFERROR(INDEX('Staff Directory'!$E$5:$E$594,MATCH($C910,'Staff Directory'!$B$5:$B$594,0)),""))</f>
        <v>firstname243.lastname243@example.com</v>
      </c>
      <c r="AB910" s="64" t="str">
        <f>IF($C910="","",IF(ISNUMBER(SEARCH($D910,Settings!$C$15)),"Pickup","Dispatch"))</f>
        <v>Pickup</v>
      </c>
      <c r="AC910" s="64" t="str">
        <f t="shared" ref="AC910:AC973" si="166">IF($AB910="Pickup","Supply order ready for pickup",IF($AB910="Dispatch","Supply order dispatched",""))</f>
        <v>Supply order ready for pickup</v>
      </c>
      <c r="AD910" s="64" t="str">
        <f t="shared" si="157"/>
        <v>Dear PSW,
Your order is ready for pickup from Sample Branch, Wed-Fri 9am-4pm.</v>
      </c>
      <c r="AE910" s="64" t="str">
        <f t="shared" si="158"/>
        <v>mailto:firstname243.lastname243@example.com?subject=Supply%20order%20ready%20for%20pickup&amp;body=Dear%20PSW%2C%0A%0AYour%20order%20is%20ready%20for%20pickup%20from%20Sample%20Branch%2C%20Wed-Fri%209am-4pm.</v>
      </c>
      <c r="AF910" s="89" t="str">
        <f t="shared" ref="AF910:AF973" si="167">IF(AE910="","",HYPERLINK(AE910,"Draft email"))</f>
        <v>Draft email</v>
      </c>
      <c r="AG910" s="64" t="str">
        <f>IF($C910="","",IFERROR(INDEX('Staff Directory'!$K$595:$K$599,MATCH($C910,'Staff Directory'!$B$5:$B$599,0)),$D910))</f>
        <v>PSW</v>
      </c>
      <c r="AH910" t="str">
        <f>IF($C910="","",IFERROR(INDEX('Staff Directory'!$I$595:$I$599,MATCH($C910,'Staff Directory'!$B$5:$B$599,0))&amp;" "&amp;INDEX('Staff Directory'!$J$595:$J$599,MATCH($C910,'Staff Directory'!$B$5:$B$599,0)),$AG910))</f>
        <v>PSW</v>
      </c>
      <c r="AI910" s="102"/>
      <c r="AJ910" s="101">
        <f>IF($F910="","",SUMIFS($J$5:$J910,$F$5:$F910,$F910))</f>
        <v>102</v>
      </c>
      <c r="AK910" s="101">
        <f t="shared" si="159"/>
        <v>101</v>
      </c>
      <c r="AL910" s="66" t="str" cm="1">
        <f t="array" ref="AL910">IF($F910="","",IFERROR(INDEX('Lot Balance'!$B$5:$B$500,MATCH(1,INDEX(('Lot Balance'!$A$5:$A$500=$F910)*('Lot Balance'!$K$5:$K$500&lt;$AK910)*('Lot Balance'!$K$5:$K$500+'Lot Balance'!$D$5:$D$500&gt;=$AK910),0),0)),""))</f>
        <v>563963-6</v>
      </c>
      <c r="AM910" s="66" t="str" cm="1">
        <f t="array" ref="AM910">IF($F910="","",IFERROR(INDEX('Lot Balance'!$B$5:$B$500,MATCH(1,INDEX(('Lot Balance'!$A$5:$A$500=$F910)*('Lot Balance'!$K$5:$K$500&lt;$AJ910)*('Lot Balance'!$K$5:$K$500+'Lot Balance'!$D$5:$D$500&gt;=$AJ910),0),0)),""))</f>
        <v>563963-6</v>
      </c>
      <c r="AN910" s="66" t="str">
        <f>IF($F910="","",IF($AI910&lt;&gt;"",IF(COUNTIFS('Lot Balance'!$A$5:$A$500,$F910,'Lot Balance'!$B$5:$B$500,$AI910)=0,"⚠ override is not a lot of this item",IF($AI910=$AL910,"Override = FEFO","Override - FEFO says "&amp;$AL910)),IF($AL910="","⚠ no receipt on file for this item",IF($AM910&lt;&gt;$AL910,"FEFO auto - split, also "&amp;$AM910,"FEFO auto"))))</f>
        <v>FEFO auto</v>
      </c>
      <c r="AO910" s="114"/>
    </row>
    <row r="911" spans="1:41" x14ac:dyDescent="0.35">
      <c r="A911" s="74">
        <v>46174</v>
      </c>
      <c r="B911" s="18" t="str">
        <f>IF($C911="","",IFERROR(INDEX('Staff Directory'!$A$5:$A$594,MATCH($C911,'Staff Directory'!$B$5:$B$594,0)),"⚠ unknown staff"))</f>
        <v>PSW-180-A6</v>
      </c>
      <c r="C911" s="49" t="s">
        <v>1159</v>
      </c>
      <c r="D911" s="19" t="str">
        <f>IF($B911="","",IFERROR(INDEX('Staff Directory'!$C$5:$C$594,MATCH($B911,'Staff Directory'!$A$5:$A$594,0)),""))</f>
        <v>PSW</v>
      </c>
      <c r="E911" s="19" t="str">
        <f>IF($B911="","",IFERROR(INDEX('Staff Directory'!$D$5:$D$594,MATCH($B911,'Staff Directory'!$A$5:$A$594,0)),""))</f>
        <v>A6</v>
      </c>
      <c r="F911" s="9" t="s">
        <v>147</v>
      </c>
      <c r="G911" s="18" t="str">
        <f>IF($F911="","",IFERROR(INDEX(Items!$B$5:$B$597,MATCH($F911,Items!$A$5:$A$597,0)),"⚠ not in Items"))</f>
        <v>Apparel</v>
      </c>
      <c r="H911" s="19" t="str">
        <f>IF($F911="","",IFERROR(INDEX(Items!$C$5:$C$597,MATCH($F911,Items!$A$5:$A$597,0)),""))</f>
        <v>One Size</v>
      </c>
      <c r="I911" s="23">
        <f>IF($F911="","",IFERROR(INDEX(Items!$E$5:$E$597,MATCH($F911,Items!$A$5:$A$597,0)),""))</f>
        <v>5</v>
      </c>
      <c r="J911" s="115">
        <f>IF(tblIssues[[#This Row],[Qty Override]]&lt;&gt;"",tblIssues[[#This Row],[Qty Override]],IF(tblIssues[[#This Row],[Standard Issue]]="","",tblIssues[[#This Row],[Standard Issue]]))</f>
        <v>5</v>
      </c>
      <c r="K911" s="20">
        <f>IF($F911="","",IFERROR(INDEX(Items!$D$5:$D$597,MATCH($F911,Items!$A$5:$A$597,0)),""))</f>
        <v>3</v>
      </c>
      <c r="L911" s="21">
        <f t="shared" si="162"/>
        <v>15</v>
      </c>
      <c r="M911" s="9" t="str">
        <f t="shared" si="160"/>
        <v>YG500280</v>
      </c>
      <c r="N911" s="24">
        <f>IF($A911="","",WORKDAY($A911,Settings!$C$9,HolidayDates))</f>
        <v>46182</v>
      </c>
      <c r="O911" s="24">
        <f>IF($N911="","",WORKDAY($N911,Settings!$C$10,HolidayDates))</f>
        <v>46220</v>
      </c>
      <c r="P911" s="10" t="s">
        <v>501</v>
      </c>
      <c r="Q911" s="52" t="str">
        <f t="shared" si="163"/>
        <v>Collected</v>
      </c>
      <c r="R911" s="55" t="str">
        <f t="shared" si="164"/>
        <v>2026-06</v>
      </c>
      <c r="S911" s="55">
        <f>IF(OR($B911="",$F911="",$R911=""),"",SUMIFS(tblIssues[Qty Issued],tblIssues[Staff ID],$B911,tblIssues[Item Name],$F911,tblIssues[Month],$R911))</f>
        <v>5</v>
      </c>
      <c r="T911" s="56">
        <f>IF($I911="","",$I911*Settings!$C$11)</f>
        <v>5</v>
      </c>
      <c r="U911" s="57" t="str">
        <f t="shared" si="161"/>
        <v>OK</v>
      </c>
      <c r="V911" s="55" t="str">
        <f t="shared" si="165"/>
        <v/>
      </c>
      <c r="W911" s="55" t="str">
        <f>IF($V911="","",IF(COUNTIF($V$5:$V911,$V911)=1,1,""))</f>
        <v/>
      </c>
      <c r="X911" s="58" t="str">
        <f>IF($W911="","",MAX($X$4:X910)+1)</f>
        <v/>
      </c>
      <c r="Y911" s="62"/>
      <c r="Z911" s="62"/>
      <c r="AA911" s="64" t="str">
        <f>IF($C911="","",IFERROR(INDEX('Staff Directory'!$E$5:$E$594,MATCH($C911,'Staff Directory'!$B$5:$B$594,0)),""))</f>
        <v>firstname243.lastname243@example.com</v>
      </c>
      <c r="AB911" s="64" t="str">
        <f>IF($C911="","",IF(ISNUMBER(SEARCH($D911,Settings!$C$15)),"Pickup","Dispatch"))</f>
        <v>Pickup</v>
      </c>
      <c r="AC911" s="64" t="str">
        <f t="shared" si="166"/>
        <v>Supply order ready for pickup</v>
      </c>
      <c r="AD911" s="64" t="str">
        <f t="shared" si="157"/>
        <v>Dear PSW,
Your order is ready for pickup from Sample Branch, Wed-Fri 9am-4pm.</v>
      </c>
      <c r="AE911" s="64" t="str">
        <f t="shared" si="158"/>
        <v>mailto:firstname243.lastname243@example.com?subject=Supply%20order%20ready%20for%20pickup&amp;body=Dear%20PSW%2C%0A%0AYour%20order%20is%20ready%20for%20pickup%20from%20Sample%20Branch%2C%20Wed-Fri%209am-4pm.</v>
      </c>
      <c r="AF911" s="89" t="str">
        <f t="shared" si="167"/>
        <v>Draft email</v>
      </c>
      <c r="AG911" s="64" t="str">
        <f>IF($C911="","",IFERROR(INDEX('Staff Directory'!$K$595:$K$599,MATCH($C911,'Staff Directory'!$B$5:$B$599,0)),$D911))</f>
        <v>PSW</v>
      </c>
      <c r="AH911" t="str">
        <f>IF($C911="","",IFERROR(INDEX('Staff Directory'!$I$595:$I$599,MATCH($C911,'Staff Directory'!$B$5:$B$599,0))&amp;" "&amp;INDEX('Staff Directory'!$J$595:$J$599,MATCH($C911,'Staff Directory'!$B$5:$B$599,0)),$AG911))</f>
        <v>PSW</v>
      </c>
      <c r="AI911" s="102"/>
      <c r="AJ911" s="101">
        <f>IF($F911="","",SUMIFS($J$5:$J911,$F$5:$F911,$F911))</f>
        <v>100</v>
      </c>
      <c r="AK911" s="101">
        <f t="shared" si="159"/>
        <v>96</v>
      </c>
      <c r="AL911" s="66" t="str" cm="1">
        <f t="array" ref="AL911">IF($F911="","",IFERROR(INDEX('Lot Balance'!$B$5:$B$500,MATCH(1,INDEX(('Lot Balance'!$A$5:$A$500=$F911)*('Lot Balance'!$K$5:$K$500&lt;$AK911)*('Lot Balance'!$K$5:$K$500+'Lot Balance'!$D$5:$D$500&gt;=$AK911),0),0)),""))</f>
        <v>YG500280</v>
      </c>
      <c r="AM911" s="66" t="str" cm="1">
        <f t="array" ref="AM911">IF($F911="","",IFERROR(INDEX('Lot Balance'!$B$5:$B$500,MATCH(1,INDEX(('Lot Balance'!$A$5:$A$500=$F911)*('Lot Balance'!$K$5:$K$500&lt;$AJ911)*('Lot Balance'!$K$5:$K$500+'Lot Balance'!$D$5:$D$500&gt;=$AJ911),0),0)),""))</f>
        <v>YG500280</v>
      </c>
      <c r="AN911" s="66" t="str">
        <f>IF($F911="","",IF($AI911&lt;&gt;"",IF(COUNTIFS('Lot Balance'!$A$5:$A$500,$F911,'Lot Balance'!$B$5:$B$500,$AI911)=0,"⚠ override is not a lot of this item",IF($AI911=$AL911,"Override = FEFO","Override - FEFO says "&amp;$AL911)),IF($AL911="","⚠ no receipt on file for this item",IF($AM911&lt;&gt;$AL911,"FEFO auto - split, also "&amp;$AM911,"FEFO auto"))))</f>
        <v>FEFO auto</v>
      </c>
      <c r="AO911" s="114"/>
    </row>
    <row r="912" spans="1:41" x14ac:dyDescent="0.35">
      <c r="A912" s="74">
        <v>46174</v>
      </c>
      <c r="B912" s="18" t="str">
        <f>IF($C912="","",IFERROR(INDEX('Staff Directory'!$A$5:$A$594,MATCH($C912,'Staff Directory'!$B$5:$B$594,0)),"⚠ unknown staff"))</f>
        <v>PSW-180-A6</v>
      </c>
      <c r="C912" s="49" t="s">
        <v>1159</v>
      </c>
      <c r="D912" s="19" t="str">
        <f>IF($B912="","",IFERROR(INDEX('Staff Directory'!$C$5:$C$594,MATCH($B912,'Staff Directory'!$A$5:$A$594,0)),""))</f>
        <v>PSW</v>
      </c>
      <c r="E912" s="19" t="str">
        <f>IF($B912="","",IFERROR(INDEX('Staff Directory'!$D$5:$D$594,MATCH($B912,'Staff Directory'!$A$5:$A$594,0)),""))</f>
        <v>A6</v>
      </c>
      <c r="F912" s="9" t="s">
        <v>145</v>
      </c>
      <c r="G912" s="18" t="str">
        <f>IF($F912="","",IFERROR(INDEX(Items!$B$5:$B$597,MATCH($F912,Items!$A$5:$A$597,0)),"⚠ not in Items"))</f>
        <v>Apparel</v>
      </c>
      <c r="H912" s="19" t="str">
        <f>IF($F912="","",IFERROR(INDEX(Items!$C$5:$C$597,MATCH($F912,Items!$A$5:$A$597,0)),""))</f>
        <v>One Size</v>
      </c>
      <c r="I912" s="23">
        <f>IF($F912="","",IFERROR(INDEX(Items!$E$5:$E$597,MATCH($F912,Items!$A$5:$A$597,0)),""))</f>
        <v>5</v>
      </c>
      <c r="J912" s="115">
        <f>IF(tblIssues[[#This Row],[Qty Override]]&lt;&gt;"",tblIssues[[#This Row],[Qty Override]],IF(tblIssues[[#This Row],[Standard Issue]]="","",tblIssues[[#This Row],[Standard Issue]]))</f>
        <v>5</v>
      </c>
      <c r="K912" s="20">
        <f>IF($F912="","",IFERROR(INDEX(Items!$D$5:$D$597,MATCH($F912,Items!$A$5:$A$597,0)),""))</f>
        <v>3</v>
      </c>
      <c r="L912" s="21">
        <f t="shared" si="162"/>
        <v>15</v>
      </c>
      <c r="M912" s="9" t="str">
        <f t="shared" si="160"/>
        <v>WRB500270</v>
      </c>
      <c r="N912" s="24">
        <f>IF($A912="","",WORKDAY($A912,Settings!$C$9,HolidayDates))</f>
        <v>46182</v>
      </c>
      <c r="O912" s="24">
        <f>IF($N912="","",WORKDAY($N912,Settings!$C$10,HolidayDates))</f>
        <v>46220</v>
      </c>
      <c r="P912" s="10" t="s">
        <v>501</v>
      </c>
      <c r="Q912" s="52" t="str">
        <f t="shared" si="163"/>
        <v>Collected</v>
      </c>
      <c r="R912" s="55" t="str">
        <f t="shared" si="164"/>
        <v>2026-06</v>
      </c>
      <c r="S912" s="55">
        <f>IF(OR($B912="",$F912="",$R912=""),"",SUMIFS(tblIssues[Qty Issued],tblIssues[Staff ID],$B912,tblIssues[Item Name],$F912,tblIssues[Month],$R912))</f>
        <v>5</v>
      </c>
      <c r="T912" s="56">
        <f>IF($I912="","",$I912*Settings!$C$11)</f>
        <v>5</v>
      </c>
      <c r="U912" s="57" t="str">
        <f t="shared" si="161"/>
        <v>OK</v>
      </c>
      <c r="V912" s="55" t="str">
        <f t="shared" si="165"/>
        <v/>
      </c>
      <c r="W912" s="55" t="str">
        <f>IF($V912="","",IF(COUNTIF($V$5:$V912,$V912)=1,1,""))</f>
        <v/>
      </c>
      <c r="X912" s="58" t="str">
        <f>IF($W912="","",MAX($X$4:X911)+1)</f>
        <v/>
      </c>
      <c r="Y912" s="62"/>
      <c r="Z912" s="62"/>
      <c r="AA912" s="64" t="str">
        <f>IF($C912="","",IFERROR(INDEX('Staff Directory'!$E$5:$E$594,MATCH($C912,'Staff Directory'!$B$5:$B$594,0)),""))</f>
        <v>firstname243.lastname243@example.com</v>
      </c>
      <c r="AB912" s="64" t="str">
        <f>IF($C912="","",IF(ISNUMBER(SEARCH($D912,Settings!$C$15)),"Pickup","Dispatch"))</f>
        <v>Pickup</v>
      </c>
      <c r="AC912" s="64" t="str">
        <f t="shared" si="166"/>
        <v>Supply order ready for pickup</v>
      </c>
      <c r="AD912" s="64" t="str">
        <f t="shared" si="157"/>
        <v>Dear PSW,
Your order is ready for pickup from Sample Branch, Wed-Fri 9am-4pm.</v>
      </c>
      <c r="AE912" s="64" t="str">
        <f t="shared" si="158"/>
        <v>mailto:firstname243.lastname243@example.com?subject=Supply%20order%20ready%20for%20pickup&amp;body=Dear%20PSW%2C%0A%0AYour%20order%20is%20ready%20for%20pickup%20from%20Sample%20Branch%2C%20Wed-Fri%209am-4pm.</v>
      </c>
      <c r="AF912" s="89" t="str">
        <f t="shared" si="167"/>
        <v>Draft email</v>
      </c>
      <c r="AG912" s="64" t="str">
        <f>IF($C912="","",IFERROR(INDEX('Staff Directory'!$K$595:$K$599,MATCH($C912,'Staff Directory'!$B$5:$B$599,0)),$D912))</f>
        <v>PSW</v>
      </c>
      <c r="AH912" t="str">
        <f>IF($C912="","",IFERROR(INDEX('Staff Directory'!$I$595:$I$599,MATCH($C912,'Staff Directory'!$B$5:$B$599,0))&amp;" "&amp;INDEX('Staff Directory'!$J$595:$J$599,MATCH($C912,'Staff Directory'!$B$5:$B$599,0)),$AG912))</f>
        <v>PSW</v>
      </c>
      <c r="AI912" s="102"/>
      <c r="AJ912" s="101">
        <f>IF($F912="","",SUMIFS($J$5:$J912,$F$5:$F912,$F912))</f>
        <v>25</v>
      </c>
      <c r="AK912" s="101">
        <f t="shared" si="159"/>
        <v>21</v>
      </c>
      <c r="AL912" s="66" t="str" cm="1">
        <f t="array" ref="AL912">IF($F912="","",IFERROR(INDEX('Lot Balance'!$B$5:$B$500,MATCH(1,INDEX(('Lot Balance'!$A$5:$A$500=$F912)*('Lot Balance'!$K$5:$K$500&lt;$AK912)*('Lot Balance'!$K$5:$K$500+'Lot Balance'!$D$5:$D$500&gt;=$AK912),0),0)),""))</f>
        <v>WRB500270</v>
      </c>
      <c r="AM912" s="66" t="str" cm="1">
        <f t="array" ref="AM912">IF($F912="","",IFERROR(INDEX('Lot Balance'!$B$5:$B$500,MATCH(1,INDEX(('Lot Balance'!$A$5:$A$500=$F912)*('Lot Balance'!$K$5:$K$500&lt;$AJ912)*('Lot Balance'!$K$5:$K$500+'Lot Balance'!$D$5:$D$500&gt;=$AJ912),0),0)),""))</f>
        <v>WRB500270</v>
      </c>
      <c r="AN912" s="66" t="str">
        <f>IF($F912="","",IF($AI912&lt;&gt;"",IF(COUNTIFS('Lot Balance'!$A$5:$A$500,$F912,'Lot Balance'!$B$5:$B$500,$AI912)=0,"⚠ override is not a lot of this item",IF($AI912=$AL912,"Override = FEFO","Override - FEFO says "&amp;$AL912)),IF($AL912="","⚠ no receipt on file for this item",IF($AM912&lt;&gt;$AL912,"FEFO auto - split, also "&amp;$AM912,"FEFO auto"))))</f>
        <v>FEFO auto</v>
      </c>
      <c r="AO912" s="114"/>
    </row>
    <row r="913" spans="1:41" x14ac:dyDescent="0.35">
      <c r="A913" s="74">
        <v>46174</v>
      </c>
      <c r="B913" s="18" t="str">
        <f>IF($C913="","",IFERROR(INDEX('Staff Directory'!$A$5:$A$594,MATCH($C913,'Staff Directory'!$B$5:$B$594,0)),"⚠ unknown staff"))</f>
        <v>PSW-180-A6</v>
      </c>
      <c r="C913" s="49" t="s">
        <v>1159</v>
      </c>
      <c r="D913" s="19" t="str">
        <f>IF($B913="","",IFERROR(INDEX('Staff Directory'!$C$5:$C$594,MATCH($B913,'Staff Directory'!$A$5:$A$594,0)),""))</f>
        <v>PSW</v>
      </c>
      <c r="E913" s="19" t="str">
        <f>IF($B913="","",IFERROR(INDEX('Staff Directory'!$D$5:$D$594,MATCH($B913,'Staff Directory'!$A$5:$A$594,0)),""))</f>
        <v>A6</v>
      </c>
      <c r="F913" s="9" t="s">
        <v>144</v>
      </c>
      <c r="G913" s="18" t="str">
        <f>IF($F913="","",IFERROR(INDEX(Items!$B$5:$B$597,MATCH($F913,Items!$A$5:$A$597,0)),"⚠ not in Items"))</f>
        <v>IPAC</v>
      </c>
      <c r="H913" s="19" t="str">
        <f>IF($F913="","",IFERROR(INDEX(Items!$C$5:$C$597,MATCH($F913,Items!$A$5:$A$597,0)),""))</f>
        <v>One Size</v>
      </c>
      <c r="I913" s="23">
        <f>IF($F913="","",IFERROR(INDEX(Items!$E$5:$E$597,MATCH($F913,Items!$A$5:$A$597,0)),""))</f>
        <v>4</v>
      </c>
      <c r="J913" s="115">
        <f>IF(tblIssues[[#This Row],[Qty Override]]&lt;&gt;"",tblIssues[[#This Row],[Qty Override]],IF(tblIssues[[#This Row],[Standard Issue]]="","",tblIssues[[#This Row],[Standard Issue]]))</f>
        <v>4</v>
      </c>
      <c r="K913" s="20">
        <f>IF($F913="","",IFERROR(INDEX(Items!$D$5:$D$597,MATCH($F913,Items!$A$5:$A$597,0)),""))</f>
        <v>145.97999999999999</v>
      </c>
      <c r="L913" s="21">
        <f t="shared" si="162"/>
        <v>583.91999999999996</v>
      </c>
      <c r="M913" s="9" t="str">
        <f t="shared" si="160"/>
        <v/>
      </c>
      <c r="N913" s="24">
        <f>IF($A913="","",WORKDAY($A913,Settings!$C$9,HolidayDates))</f>
        <v>46182</v>
      </c>
      <c r="O913" s="24">
        <f>IF($N913="","",WORKDAY($N913,Settings!$C$10,HolidayDates))</f>
        <v>46220</v>
      </c>
      <c r="P913" s="10" t="s">
        <v>501</v>
      </c>
      <c r="Q913" s="52" t="str">
        <f t="shared" si="163"/>
        <v>Collected</v>
      </c>
      <c r="R913" s="55" t="str">
        <f t="shared" si="164"/>
        <v>2026-06</v>
      </c>
      <c r="S913" s="55">
        <f>IF(OR($B913="",$F913="",$R913=""),"",SUMIFS(tblIssues[Qty Issued],tblIssues[Staff ID],$B913,tblIssues[Item Name],$F913,tblIssues[Month],$R913))</f>
        <v>4</v>
      </c>
      <c r="T913" s="56">
        <f>IF($I913="","",$I913*Settings!$C$11)</f>
        <v>4</v>
      </c>
      <c r="U913" s="57" t="str">
        <f t="shared" si="161"/>
        <v>OK</v>
      </c>
      <c r="V913" s="55" t="str">
        <f t="shared" si="165"/>
        <v/>
      </c>
      <c r="W913" s="55" t="str">
        <f>IF($V913="","",IF(COUNTIF($V$5:$V913,$V913)=1,1,""))</f>
        <v/>
      </c>
      <c r="X913" s="58" t="str">
        <f>IF($W913="","",MAX($X$4:X912)+1)</f>
        <v/>
      </c>
      <c r="Y913" s="62"/>
      <c r="Z913" s="62"/>
      <c r="AA913" s="64" t="str">
        <f>IF($C913="","",IFERROR(INDEX('Staff Directory'!$E$5:$E$594,MATCH($C913,'Staff Directory'!$B$5:$B$594,0)),""))</f>
        <v>firstname243.lastname243@example.com</v>
      </c>
      <c r="AB913" s="64" t="str">
        <f>IF($C913="","",IF(ISNUMBER(SEARCH($D913,Settings!$C$15)),"Pickup","Dispatch"))</f>
        <v>Pickup</v>
      </c>
      <c r="AC913" s="64" t="str">
        <f t="shared" si="166"/>
        <v>Supply order ready for pickup</v>
      </c>
      <c r="AD913" s="64" t="str">
        <f t="shared" si="157"/>
        <v>Dear PSW,
Your order is ready for pickup from Sample Branch, Wed-Fri 9am-4pm.</v>
      </c>
      <c r="AE913" s="64" t="str">
        <f t="shared" si="158"/>
        <v>mailto:firstname243.lastname243@example.com?subject=Supply%20order%20ready%20for%20pickup&amp;body=Dear%20PSW%2C%0A%0AYour%20order%20is%20ready%20for%20pickup%20from%20Sample%20Branch%2C%20Wed-Fri%209am-4pm.</v>
      </c>
      <c r="AF913" s="89" t="str">
        <f t="shared" si="167"/>
        <v>Draft email</v>
      </c>
      <c r="AG913" s="64" t="str">
        <f>IF($C913="","",IFERROR(INDEX('Staff Directory'!$K$595:$K$599,MATCH($C913,'Staff Directory'!$B$5:$B$599,0)),$D913))</f>
        <v>PSW</v>
      </c>
      <c r="AH913" t="str">
        <f>IF($C913="","",IFERROR(INDEX('Staff Directory'!$I$595:$I$599,MATCH($C913,'Staff Directory'!$B$5:$B$599,0))&amp;" "&amp;INDEX('Staff Directory'!$J$595:$J$599,MATCH($C913,'Staff Directory'!$B$5:$B$599,0)),$AG913))</f>
        <v>PSW</v>
      </c>
      <c r="AI913" s="102"/>
      <c r="AJ913" s="101">
        <f>IF($F913="","",SUMIFS($J$5:$J913,$F$5:$F913,$F913))</f>
        <v>32</v>
      </c>
      <c r="AK913" s="101">
        <f t="shared" si="159"/>
        <v>29</v>
      </c>
      <c r="AL913" s="66" t="str" cm="1">
        <f t="array" ref="AL913">IF($F913="","",IFERROR(INDEX('Lot Balance'!$B$5:$B$500,MATCH(1,INDEX(('Lot Balance'!$A$5:$A$500=$F913)*('Lot Balance'!$K$5:$K$500&lt;$AK913)*('Lot Balance'!$K$5:$K$500+'Lot Balance'!$D$5:$D$500&gt;=$AK913),0),0)),""))</f>
        <v/>
      </c>
      <c r="AM913" s="66" t="str" cm="1">
        <f t="array" ref="AM913">IF($F913="","",IFERROR(INDEX('Lot Balance'!$B$5:$B$500,MATCH(1,INDEX(('Lot Balance'!$A$5:$A$500=$F913)*('Lot Balance'!$K$5:$K$500&lt;$AJ913)*('Lot Balance'!$K$5:$K$500+'Lot Balance'!$D$5:$D$500&gt;=$AJ913),0),0)),""))</f>
        <v/>
      </c>
      <c r="AN913" s="66" t="str">
        <f>IF($F913="","",IF($AI913&lt;&gt;"",IF(COUNTIFS('Lot Balance'!$A$5:$A$500,$F913,'Lot Balance'!$B$5:$B$500,$AI913)=0,"⚠ override is not a lot of this item",IF($AI913=$AL913,"Override = FEFO","Override - FEFO says "&amp;$AL913)),IF($AL913="","⚠ no receipt on file for this item",IF($AM913&lt;&gt;$AL913,"FEFO auto - split, also "&amp;$AM913,"FEFO auto"))))</f>
        <v>⚠ no receipt on file for this item</v>
      </c>
      <c r="AO913" s="114"/>
    </row>
    <row r="914" spans="1:41" x14ac:dyDescent="0.35">
      <c r="A914" s="74">
        <v>46174</v>
      </c>
      <c r="B914" s="18" t="str">
        <f>IF($C914="","",IFERROR(INDEX('Staff Directory'!$A$5:$A$594,MATCH($C914,'Staff Directory'!$B$5:$B$594,0)),"⚠ unknown staff"))</f>
        <v>PSW-180-A6</v>
      </c>
      <c r="C914" s="49" t="s">
        <v>1159</v>
      </c>
      <c r="D914" s="19" t="str">
        <f>IF($B914="","",IFERROR(INDEX('Staff Directory'!$C$5:$C$594,MATCH($B914,'Staff Directory'!$A$5:$A$594,0)),""))</f>
        <v>PSW</v>
      </c>
      <c r="E914" s="19" t="str">
        <f>IF($B914="","",IFERROR(INDEX('Staff Directory'!$D$5:$D$594,MATCH($B914,'Staff Directory'!$A$5:$A$594,0)),""))</f>
        <v>A6</v>
      </c>
      <c r="F914" s="9" t="s">
        <v>154</v>
      </c>
      <c r="G914" s="18" t="str">
        <f>IF($F914="","",IFERROR(INDEX(Items!$B$5:$B$597,MATCH($F914,Items!$A$5:$A$597,0)),"⚠ not in Items"))</f>
        <v>IPAC</v>
      </c>
      <c r="H914" s="19" t="str">
        <f>IF($F914="","",IFERROR(INDEX(Items!$C$5:$C$597,MATCH($F914,Items!$A$5:$A$597,0)),""))</f>
        <v>Regular</v>
      </c>
      <c r="I914" s="23">
        <f>IF($F914="","",IFERROR(INDEX(Items!$E$5:$E$597,MATCH($F914,Items!$A$5:$A$597,0)),""))</f>
        <v>50</v>
      </c>
      <c r="J914" s="115">
        <f>IF(tblIssues[[#This Row],[Qty Override]]&lt;&gt;"",tblIssues[[#This Row],[Qty Override]],IF(tblIssues[[#This Row],[Standard Issue]]="","",tblIssues[[#This Row],[Standard Issue]]))</f>
        <v>50</v>
      </c>
      <c r="K914" s="20">
        <f>IF($F914="","",IFERROR(INDEX(Items!$D$5:$D$597,MATCH($F914,Items!$A$5:$A$597,0)),""))</f>
        <v>0.2</v>
      </c>
      <c r="L914" s="21">
        <f t="shared" si="162"/>
        <v>10</v>
      </c>
      <c r="M914" s="9" t="str">
        <f t="shared" si="160"/>
        <v/>
      </c>
      <c r="N914" s="24">
        <f>IF($A914="","",WORKDAY($A914,Settings!$C$9,HolidayDates))</f>
        <v>46182</v>
      </c>
      <c r="O914" s="24">
        <f>IF($N914="","",WORKDAY($N914,Settings!$C$10,HolidayDates))</f>
        <v>46220</v>
      </c>
      <c r="P914" s="10" t="s">
        <v>501</v>
      </c>
      <c r="Q914" s="52" t="str">
        <f t="shared" si="163"/>
        <v>Collected</v>
      </c>
      <c r="R914" s="55" t="str">
        <f t="shared" si="164"/>
        <v>2026-06</v>
      </c>
      <c r="S914" s="55">
        <f>IF(OR($B914="",$F914="",$R914=""),"",SUMIFS(tblIssues[Qty Issued],tblIssues[Staff ID],$B914,tblIssues[Item Name],$F914,tblIssues[Month],$R914))</f>
        <v>50</v>
      </c>
      <c r="T914" s="56">
        <f>IF($I914="","",$I914*Settings!$C$11)</f>
        <v>50</v>
      </c>
      <c r="U914" s="57" t="str">
        <f t="shared" si="161"/>
        <v>OK</v>
      </c>
      <c r="V914" s="55" t="str">
        <f t="shared" si="165"/>
        <v/>
      </c>
      <c r="W914" s="55" t="str">
        <f>IF($V914="","",IF(COUNTIF($V$5:$V914,$V914)=1,1,""))</f>
        <v/>
      </c>
      <c r="X914" s="58" t="str">
        <f>IF($W914="","",MAX($X$4:X913)+1)</f>
        <v/>
      </c>
      <c r="Y914" s="62"/>
      <c r="Z914" s="62"/>
      <c r="AA914" s="64" t="str">
        <f>IF($C914="","",IFERROR(INDEX('Staff Directory'!$E$5:$E$594,MATCH($C914,'Staff Directory'!$B$5:$B$594,0)),""))</f>
        <v>firstname243.lastname243@example.com</v>
      </c>
      <c r="AB914" s="64" t="str">
        <f>IF($C914="","",IF(ISNUMBER(SEARCH($D914,Settings!$C$15)),"Pickup","Dispatch"))</f>
        <v>Pickup</v>
      </c>
      <c r="AC914" s="64" t="str">
        <f t="shared" si="166"/>
        <v>Supply order ready for pickup</v>
      </c>
      <c r="AD914" s="64" t="str">
        <f t="shared" si="157"/>
        <v>Dear PSW,
Your order is ready for pickup from Sample Branch, Wed-Fri 9am-4pm.</v>
      </c>
      <c r="AE914" s="64" t="str">
        <f t="shared" si="158"/>
        <v>mailto:firstname243.lastname243@example.com?subject=Supply%20order%20ready%20for%20pickup&amp;body=Dear%20PSW%2C%0A%0AYour%20order%20is%20ready%20for%20pickup%20from%20Sample%20Branch%2C%20Wed-Fri%209am-4pm.</v>
      </c>
      <c r="AF914" s="89" t="str">
        <f t="shared" si="167"/>
        <v>Draft email</v>
      </c>
      <c r="AG914" s="64" t="str">
        <f>IF($C914="","",IFERROR(INDEX('Staff Directory'!$K$595:$K$599,MATCH($C914,'Staff Directory'!$B$5:$B$599,0)),$D914))</f>
        <v>PSW</v>
      </c>
      <c r="AH914" t="str">
        <f>IF($C914="","",IFERROR(INDEX('Staff Directory'!$I$595:$I$599,MATCH($C914,'Staff Directory'!$B$5:$B$599,0))&amp;" "&amp;INDEX('Staff Directory'!$J$595:$J$599,MATCH($C914,'Staff Directory'!$B$5:$B$599,0)),$AG914))</f>
        <v>PSW</v>
      </c>
      <c r="AI914" s="102"/>
      <c r="AJ914" s="101">
        <f>IF($F914="","",SUMIFS($J$5:$J914,$F$5:$F914,$F914))</f>
        <v>800</v>
      </c>
      <c r="AK914" s="101">
        <f t="shared" si="159"/>
        <v>751</v>
      </c>
      <c r="AL914" s="66" t="str" cm="1">
        <f t="array" ref="AL914">IF($F914="","",IFERROR(INDEX('Lot Balance'!$B$5:$B$500,MATCH(1,INDEX(('Lot Balance'!$A$5:$A$500=$F914)*('Lot Balance'!$K$5:$K$500&lt;$AK914)*('Lot Balance'!$K$5:$K$500+'Lot Balance'!$D$5:$D$500&gt;=$AK914),0),0)),""))</f>
        <v/>
      </c>
      <c r="AM914" s="66" t="str" cm="1">
        <f t="array" ref="AM914">IF($F914="","",IFERROR(INDEX('Lot Balance'!$B$5:$B$500,MATCH(1,INDEX(('Lot Balance'!$A$5:$A$500=$F914)*('Lot Balance'!$K$5:$K$500&lt;$AJ914)*('Lot Balance'!$K$5:$K$500+'Lot Balance'!$D$5:$D$500&gt;=$AJ914),0),0)),""))</f>
        <v/>
      </c>
      <c r="AN914" s="66" t="str">
        <f>IF($F914="","",IF($AI914&lt;&gt;"",IF(COUNTIFS('Lot Balance'!$A$5:$A$500,$F914,'Lot Balance'!$B$5:$B$500,$AI914)=0,"⚠ override is not a lot of this item",IF($AI914=$AL914,"Override = FEFO","Override - FEFO says "&amp;$AL914)),IF($AL914="","⚠ no receipt on file for this item",IF($AM914&lt;&gt;$AL914,"FEFO auto - split, also "&amp;$AM914,"FEFO auto"))))</f>
        <v>⚠ no receipt on file for this item</v>
      </c>
      <c r="AO914" s="114"/>
    </row>
    <row r="915" spans="1:41" x14ac:dyDescent="0.35">
      <c r="A915" s="74">
        <v>46174</v>
      </c>
      <c r="B915" s="18" t="str">
        <f>IF($C915="","",IFERROR(INDEX('Staff Directory'!$A$5:$A$594,MATCH($C915,'Staff Directory'!$B$5:$B$594,0)),"⚠ unknown staff"))</f>
        <v>PSW-180-A6</v>
      </c>
      <c r="C915" s="49" t="s">
        <v>1159</v>
      </c>
      <c r="D915" s="19" t="str">
        <f>IF($B915="","",IFERROR(INDEX('Staff Directory'!$C$5:$C$594,MATCH($B915,'Staff Directory'!$A$5:$A$594,0)),""))</f>
        <v>PSW</v>
      </c>
      <c r="E915" s="19" t="str">
        <f>IF($B915="","",IFERROR(INDEX('Staff Directory'!$D$5:$D$594,MATCH($B915,'Staff Directory'!$A$5:$A$594,0)),""))</f>
        <v>A6</v>
      </c>
      <c r="F915" s="9" t="s">
        <v>136</v>
      </c>
      <c r="G915" s="18" t="str">
        <f>IF($F915="","",IFERROR(INDEX(Items!$B$5:$B$597,MATCH($F915,Items!$A$5:$A$597,0)),"⚠ not in Items"))</f>
        <v>Eye Protection</v>
      </c>
      <c r="H915" s="19" t="str">
        <f>IF($F915="","",IFERROR(INDEX(Items!$C$5:$C$597,MATCH($F915,Items!$A$5:$A$597,0)),""))</f>
        <v>One Size</v>
      </c>
      <c r="I915" s="23">
        <f>IF($F915="","",IFERROR(INDEX(Items!$E$5:$E$597,MATCH($F915,Items!$A$5:$A$597,0)),""))</f>
        <v>1</v>
      </c>
      <c r="J915" s="115">
        <f>IF(tblIssues[[#This Row],[Qty Override]]&lt;&gt;"",tblIssues[[#This Row],[Qty Override]],IF(tblIssues[[#This Row],[Standard Issue]]="","",tblIssues[[#This Row],[Standard Issue]]))</f>
        <v>1</v>
      </c>
      <c r="K915" s="20">
        <f>IF($F915="","",IFERROR(INDEX(Items!$D$5:$D$597,MATCH($F915,Items!$A$5:$A$597,0)),""))</f>
        <v>10</v>
      </c>
      <c r="L915" s="21">
        <f t="shared" si="162"/>
        <v>10</v>
      </c>
      <c r="M915" s="9" t="str">
        <f t="shared" si="160"/>
        <v>GGL5003700</v>
      </c>
      <c r="N915" s="24">
        <f>IF($A915="","",WORKDAY($A915,Settings!$C$9,HolidayDates))</f>
        <v>46182</v>
      </c>
      <c r="O915" s="24">
        <f>IF($N915="","",WORKDAY($N915,Settings!$C$10,HolidayDates))</f>
        <v>46220</v>
      </c>
      <c r="P915" s="10" t="s">
        <v>501</v>
      </c>
      <c r="Q915" s="52" t="str">
        <f t="shared" si="163"/>
        <v>Collected</v>
      </c>
      <c r="R915" s="55" t="str">
        <f t="shared" si="164"/>
        <v>2026-06</v>
      </c>
      <c r="S915" s="55">
        <f>IF(OR($B915="",$F915="",$R915=""),"",SUMIFS(tblIssues[Qty Issued],tblIssues[Staff ID],$B915,tblIssues[Item Name],$F915,tblIssues[Month],$R915))</f>
        <v>1</v>
      </c>
      <c r="T915" s="56">
        <f>IF($I915="","",$I915*Settings!$C$11)</f>
        <v>1</v>
      </c>
      <c r="U915" s="57" t="str">
        <f t="shared" si="161"/>
        <v>OK</v>
      </c>
      <c r="V915" s="55" t="str">
        <f t="shared" si="165"/>
        <v/>
      </c>
      <c r="W915" s="55" t="str">
        <f>IF($V915="","",IF(COUNTIF($V$5:$V915,$V915)=1,1,""))</f>
        <v/>
      </c>
      <c r="X915" s="58" t="str">
        <f>IF($W915="","",MAX($X$4:X914)+1)</f>
        <v/>
      </c>
      <c r="Y915" s="62"/>
      <c r="Z915" s="62"/>
      <c r="AA915" s="64" t="str">
        <f>IF($C915="","",IFERROR(INDEX('Staff Directory'!$E$5:$E$594,MATCH($C915,'Staff Directory'!$B$5:$B$594,0)),""))</f>
        <v>firstname243.lastname243@example.com</v>
      </c>
      <c r="AB915" s="64" t="str">
        <f>IF($C915="","",IF(ISNUMBER(SEARCH($D915,Settings!$C$15)),"Pickup","Dispatch"))</f>
        <v>Pickup</v>
      </c>
      <c r="AC915" s="64" t="str">
        <f t="shared" si="166"/>
        <v>Supply order ready for pickup</v>
      </c>
      <c r="AD915" s="64" t="str">
        <f t="shared" si="157"/>
        <v>Dear PSW,
Your order is ready for pickup from Sample Branch, Wed-Fri 9am-4pm.</v>
      </c>
      <c r="AE915" s="64" t="str">
        <f t="shared" si="158"/>
        <v>mailto:firstname243.lastname243@example.com?subject=Supply%20order%20ready%20for%20pickup&amp;body=Dear%20PSW%2C%0A%0AYour%20order%20is%20ready%20for%20pickup%20from%20Sample%20Branch%2C%20Wed-Fri%209am-4pm.</v>
      </c>
      <c r="AF915" s="89" t="str">
        <f t="shared" si="167"/>
        <v>Draft email</v>
      </c>
      <c r="AG915" s="64" t="str">
        <f>IF($C915="","",IFERROR(INDEX('Staff Directory'!$K$595:$K$599,MATCH($C915,'Staff Directory'!$B$5:$B$599,0)),$D915))</f>
        <v>PSW</v>
      </c>
      <c r="AH915" t="str">
        <f>IF($C915="","",IFERROR(INDEX('Staff Directory'!$I$595:$I$599,MATCH($C915,'Staff Directory'!$B$5:$B$599,0))&amp;" "&amp;INDEX('Staff Directory'!$J$595:$J$599,MATCH($C915,'Staff Directory'!$B$5:$B$599,0)),$AG915))</f>
        <v>PSW</v>
      </c>
      <c r="AI915" s="102"/>
      <c r="AJ915" s="101">
        <f>IF($F915="","",SUMIFS($J$5:$J915,$F$5:$F915,$F915))</f>
        <v>5</v>
      </c>
      <c r="AK915" s="101">
        <f t="shared" si="159"/>
        <v>5</v>
      </c>
      <c r="AL915" s="66" t="str" cm="1">
        <f t="array" ref="AL915">IF($F915="","",IFERROR(INDEX('Lot Balance'!$B$5:$B$500,MATCH(1,INDEX(('Lot Balance'!$A$5:$A$500=$F915)*('Lot Balance'!$K$5:$K$500&lt;$AK915)*('Lot Balance'!$K$5:$K$500+'Lot Balance'!$D$5:$D$500&gt;=$AK915),0),0)),""))</f>
        <v>GGL5003700</v>
      </c>
      <c r="AM915" s="66" t="str" cm="1">
        <f t="array" ref="AM915">IF($F915="","",IFERROR(INDEX('Lot Balance'!$B$5:$B$500,MATCH(1,INDEX(('Lot Balance'!$A$5:$A$500=$F915)*('Lot Balance'!$K$5:$K$500&lt;$AJ915)*('Lot Balance'!$K$5:$K$500+'Lot Balance'!$D$5:$D$500&gt;=$AJ915),0),0)),""))</f>
        <v>GGL5003700</v>
      </c>
      <c r="AN915" s="66" t="str">
        <f>IF($F915="","",IF($AI915&lt;&gt;"",IF(COUNTIFS('Lot Balance'!$A$5:$A$500,$F915,'Lot Balance'!$B$5:$B$500,$AI915)=0,"⚠ override is not a lot of this item",IF($AI915=$AL915,"Override = FEFO","Override - FEFO says "&amp;$AL915)),IF($AL915="","⚠ no receipt on file for this item",IF($AM915&lt;&gt;$AL915,"FEFO auto - split, also "&amp;$AM915,"FEFO auto"))))</f>
        <v>FEFO auto</v>
      </c>
      <c r="AO915" s="114"/>
    </row>
    <row r="916" spans="1:41" x14ac:dyDescent="0.35">
      <c r="A916" s="74">
        <v>46174</v>
      </c>
      <c r="B916" s="18" t="str">
        <f>IF($C916="","",IFERROR(INDEX('Staff Directory'!$A$5:$A$594,MATCH($C916,'Staff Directory'!$B$5:$B$594,0)),"⚠ unknown staff"))</f>
        <v>PSW-180-A6</v>
      </c>
      <c r="C916" s="49" t="s">
        <v>1159</v>
      </c>
      <c r="D916" s="19" t="str">
        <f>IF($B916="","",IFERROR(INDEX('Staff Directory'!$C$5:$C$594,MATCH($B916,'Staff Directory'!$A$5:$A$594,0)),""))</f>
        <v>PSW</v>
      </c>
      <c r="E916" s="19" t="str">
        <f>IF($B916="","",IFERROR(INDEX('Staff Directory'!$D$5:$D$594,MATCH($B916,'Staff Directory'!$A$5:$A$594,0)),""))</f>
        <v>A6</v>
      </c>
      <c r="F916" s="9" t="s">
        <v>122</v>
      </c>
      <c r="G916" s="18" t="str">
        <f>IF($F916="","",IFERROR(INDEX(Items!$B$5:$B$597,MATCH($F916,Items!$A$5:$A$597,0)),"⚠ not in Items"))</f>
        <v>Eye Protection</v>
      </c>
      <c r="H916" s="19" t="str">
        <f>IF($F916="","",IFERROR(INDEX(Items!$C$5:$C$597,MATCH($F916,Items!$A$5:$A$597,0)),""))</f>
        <v>One Size</v>
      </c>
      <c r="I916" s="23">
        <f>IF($F916="","",IFERROR(INDEX(Items!$E$5:$E$597,MATCH($F916,Items!$A$5:$A$597,0)),""))</f>
        <v>1</v>
      </c>
      <c r="J916" s="115">
        <f>IF(tblIssues[[#This Row],[Qty Override]]&lt;&gt;"",tblIssues[[#This Row],[Qty Override]],IF(tblIssues[[#This Row],[Standard Issue]]="","",tblIssues[[#This Row],[Standard Issue]]))</f>
        <v>1</v>
      </c>
      <c r="K916" s="20">
        <f>IF($F916="","",IFERROR(INDEX(Items!$D$5:$D$597,MATCH($F916,Items!$A$5:$A$597,0)),""))</f>
        <v>7</v>
      </c>
      <c r="L916" s="21">
        <f t="shared" si="162"/>
        <v>7</v>
      </c>
      <c r="M916" s="9" t="str">
        <f t="shared" si="160"/>
        <v/>
      </c>
      <c r="N916" s="24">
        <f>IF($A916="","",WORKDAY($A916,Settings!$C$9,HolidayDates))</f>
        <v>46182</v>
      </c>
      <c r="O916" s="24">
        <f>IF($N916="","",WORKDAY($N916,Settings!$C$10,HolidayDates))</f>
        <v>46220</v>
      </c>
      <c r="P916" s="10" t="s">
        <v>501</v>
      </c>
      <c r="Q916" s="52" t="str">
        <f t="shared" si="163"/>
        <v>Collected</v>
      </c>
      <c r="R916" s="55" t="str">
        <f t="shared" si="164"/>
        <v>2026-06</v>
      </c>
      <c r="S916" s="55">
        <f>IF(OR($B916="",$F916="",$R916=""),"",SUMIFS(tblIssues[Qty Issued],tblIssues[Staff ID],$B916,tblIssues[Item Name],$F916,tblIssues[Month],$R916))</f>
        <v>1</v>
      </c>
      <c r="T916" s="56">
        <f>IF($I916="","",$I916*Settings!$C$11)</f>
        <v>1</v>
      </c>
      <c r="U916" s="57" t="str">
        <f t="shared" si="161"/>
        <v>OK</v>
      </c>
      <c r="V916" s="55" t="str">
        <f t="shared" si="165"/>
        <v/>
      </c>
      <c r="W916" s="55" t="str">
        <f>IF($V916="","",IF(COUNTIF($V$5:$V916,$V916)=1,1,""))</f>
        <v/>
      </c>
      <c r="X916" s="58" t="str">
        <f>IF($W916="","",MAX($X$4:X915)+1)</f>
        <v/>
      </c>
      <c r="Y916" s="62"/>
      <c r="Z916" s="62"/>
      <c r="AA916" s="64" t="str">
        <f>IF($C916="","",IFERROR(INDEX('Staff Directory'!$E$5:$E$594,MATCH($C916,'Staff Directory'!$B$5:$B$594,0)),""))</f>
        <v>firstname243.lastname243@example.com</v>
      </c>
      <c r="AB916" s="64" t="str">
        <f>IF($C916="","",IF(ISNUMBER(SEARCH($D916,Settings!$C$15)),"Pickup","Dispatch"))</f>
        <v>Pickup</v>
      </c>
      <c r="AC916" s="64" t="str">
        <f t="shared" si="166"/>
        <v>Supply order ready for pickup</v>
      </c>
      <c r="AD916" s="64" t="str">
        <f t="shared" si="157"/>
        <v>Dear PSW,
Your order is ready for pickup from Sample Branch, Wed-Fri 9am-4pm.</v>
      </c>
      <c r="AE916" s="64" t="str">
        <f t="shared" si="158"/>
        <v>mailto:firstname243.lastname243@example.com?subject=Supply%20order%20ready%20for%20pickup&amp;body=Dear%20PSW%2C%0A%0AYour%20order%20is%20ready%20for%20pickup%20from%20Sample%20Branch%2C%20Wed-Fri%209am-4pm.</v>
      </c>
      <c r="AF916" s="89" t="str">
        <f t="shared" si="167"/>
        <v>Draft email</v>
      </c>
      <c r="AG916" s="64" t="str">
        <f>IF($C916="","",IFERROR(INDEX('Staff Directory'!$K$595:$K$599,MATCH($C916,'Staff Directory'!$B$5:$B$599,0)),$D916))</f>
        <v>PSW</v>
      </c>
      <c r="AH916" t="str">
        <f>IF($C916="","",IFERROR(INDEX('Staff Directory'!$I$595:$I$599,MATCH($C916,'Staff Directory'!$B$5:$B$599,0))&amp;" "&amp;INDEX('Staff Directory'!$J$595:$J$599,MATCH($C916,'Staff Directory'!$B$5:$B$599,0)),$AG916))</f>
        <v>PSW</v>
      </c>
      <c r="AI916" s="102"/>
      <c r="AJ916" s="101">
        <f>IF($F916="","",SUMIFS($J$5:$J916,$F$5:$F916,$F916))</f>
        <v>6</v>
      </c>
      <c r="AK916" s="101">
        <f t="shared" si="159"/>
        <v>6</v>
      </c>
      <c r="AL916" s="66" t="str" cm="1">
        <f t="array" ref="AL916">IF($F916="","",IFERROR(INDEX('Lot Balance'!$B$5:$B$500,MATCH(1,INDEX(('Lot Balance'!$A$5:$A$500=$F916)*('Lot Balance'!$K$5:$K$500&lt;$AK916)*('Lot Balance'!$K$5:$K$500+'Lot Balance'!$D$5:$D$500&gt;=$AK916),0),0)),""))</f>
        <v/>
      </c>
      <c r="AM916" s="66" t="str" cm="1">
        <f t="array" ref="AM916">IF($F916="","",IFERROR(INDEX('Lot Balance'!$B$5:$B$500,MATCH(1,INDEX(('Lot Balance'!$A$5:$A$500=$F916)*('Lot Balance'!$K$5:$K$500&lt;$AJ916)*('Lot Balance'!$K$5:$K$500+'Lot Balance'!$D$5:$D$500&gt;=$AJ916),0),0)),""))</f>
        <v/>
      </c>
      <c r="AN916" s="66" t="str">
        <f>IF($F916="","",IF($AI916&lt;&gt;"",IF(COUNTIFS('Lot Balance'!$A$5:$A$500,$F916,'Lot Balance'!$B$5:$B$500,$AI916)=0,"⚠ override is not a lot of this item",IF($AI916=$AL916,"Override = FEFO","Override - FEFO says "&amp;$AL916)),IF($AL916="","⚠ no receipt on file for this item",IF($AM916&lt;&gt;$AL916,"FEFO auto - split, also "&amp;$AM916,"FEFO auto"))))</f>
        <v>⚠ no receipt on file for this item</v>
      </c>
      <c r="AO916" s="114"/>
    </row>
    <row r="917" spans="1:41" x14ac:dyDescent="0.35">
      <c r="A917" s="74">
        <v>46174</v>
      </c>
      <c r="B917" s="18" t="str">
        <f>IF($C917="","",IFERROR(INDEX('Staff Directory'!$A$5:$A$594,MATCH($C917,'Staff Directory'!$B$5:$B$594,0)),"⚠ unknown staff"))</f>
        <v>PSW-180-A6</v>
      </c>
      <c r="C917" s="49" t="s">
        <v>1159</v>
      </c>
      <c r="D917" s="19" t="str">
        <f>IF($B917="","",IFERROR(INDEX('Staff Directory'!$C$5:$C$594,MATCH($B917,'Staff Directory'!$A$5:$A$594,0)),""))</f>
        <v>PSW</v>
      </c>
      <c r="E917" s="19" t="str">
        <f>IF($B917="","",IFERROR(INDEX('Staff Directory'!$D$5:$D$594,MATCH($B917,'Staff Directory'!$A$5:$A$594,0)),""))</f>
        <v>A6</v>
      </c>
      <c r="F917" s="9" t="s">
        <v>150</v>
      </c>
      <c r="G917" s="18" t="str">
        <f>IF($F917="","",IFERROR(INDEX(Items!$B$5:$B$597,MATCH($F917,Items!$A$5:$A$597,0)),"⚠ not in Items"))</f>
        <v>Documents</v>
      </c>
      <c r="H917" s="19" t="str">
        <f>IF($F917="","",IFERROR(INDEX(Items!$C$5:$C$597,MATCH($F917,Items!$A$5:$A$597,0)),""))</f>
        <v>Standard</v>
      </c>
      <c r="I917" s="23">
        <f>IF($F917="","",IFERROR(INDEX(Items!$E$5:$E$597,MATCH($F917,Items!$A$5:$A$597,0)),""))</f>
        <v>1</v>
      </c>
      <c r="J917" s="115">
        <f>IF(tblIssues[[#This Row],[Qty Override]]&lt;&gt;"",tblIssues[[#This Row],[Qty Override]],IF(tblIssues[[#This Row],[Standard Issue]]="","",tblIssues[[#This Row],[Standard Issue]]))</f>
        <v>1</v>
      </c>
      <c r="K917" s="20">
        <f>IF($F917="","",IFERROR(INDEX(Items!$D$5:$D$597,MATCH($F917,Items!$A$5:$A$597,0)),""))</f>
        <v>0</v>
      </c>
      <c r="L917" s="21">
        <f t="shared" si="162"/>
        <v>0</v>
      </c>
      <c r="M917" s="9" t="str">
        <f t="shared" si="160"/>
        <v/>
      </c>
      <c r="N917" s="24">
        <f>IF($A917="","",WORKDAY($A917,Settings!$C$9,HolidayDates))</f>
        <v>46182</v>
      </c>
      <c r="O917" s="24">
        <f>IF($N917="","",WORKDAY($N917,Settings!$C$10,HolidayDates))</f>
        <v>46220</v>
      </c>
      <c r="P917" s="10" t="s">
        <v>501</v>
      </c>
      <c r="Q917" s="52" t="str">
        <f t="shared" si="163"/>
        <v>Collected</v>
      </c>
      <c r="R917" s="55" t="str">
        <f t="shared" si="164"/>
        <v>2026-06</v>
      </c>
      <c r="S917" s="55">
        <f>IF(OR($B917="",$F917="",$R917=""),"",SUMIFS(tblIssues[Qty Issued],tblIssues[Staff ID],$B917,tblIssues[Item Name],$F917,tblIssues[Month],$R917))</f>
        <v>1</v>
      </c>
      <c r="T917" s="56">
        <f>IF($I917="","",$I917*Settings!$C$11)</f>
        <v>1</v>
      </c>
      <c r="U917" s="57" t="str">
        <f t="shared" si="161"/>
        <v>OK</v>
      </c>
      <c r="V917" s="55" t="str">
        <f t="shared" si="165"/>
        <v/>
      </c>
      <c r="W917" s="55" t="str">
        <f>IF($V917="","",IF(COUNTIF($V$5:$V917,$V917)=1,1,""))</f>
        <v/>
      </c>
      <c r="X917" s="58" t="str">
        <f>IF($W917="","",MAX($X$4:X916)+1)</f>
        <v/>
      </c>
      <c r="Y917" s="62"/>
      <c r="Z917" s="62"/>
      <c r="AA917" s="64" t="str">
        <f>IF($C917="","",IFERROR(INDEX('Staff Directory'!$E$5:$E$594,MATCH($C917,'Staff Directory'!$B$5:$B$594,0)),""))</f>
        <v>firstname243.lastname243@example.com</v>
      </c>
      <c r="AB917" s="64" t="str">
        <f>IF($C917="","",IF(ISNUMBER(SEARCH($D917,Settings!$C$15)),"Pickup","Dispatch"))</f>
        <v>Pickup</v>
      </c>
      <c r="AC917" s="64" t="str">
        <f t="shared" si="166"/>
        <v>Supply order ready for pickup</v>
      </c>
      <c r="AD917" s="64" t="str">
        <f t="shared" si="157"/>
        <v>Dear PSW,
Your order is ready for pickup from Sample Branch, Wed-Fri 9am-4pm.</v>
      </c>
      <c r="AE917" s="64" t="str">
        <f t="shared" si="158"/>
        <v>mailto:firstname243.lastname243@example.com?subject=Supply%20order%20ready%20for%20pickup&amp;body=Dear%20PSW%2C%0A%0AYour%20order%20is%20ready%20for%20pickup%20from%20Sample%20Branch%2C%20Wed-Fri%209am-4pm.</v>
      </c>
      <c r="AF917" s="89" t="str">
        <f t="shared" si="167"/>
        <v>Draft email</v>
      </c>
      <c r="AG917" s="64" t="str">
        <f>IF($C917="","",IFERROR(INDEX('Staff Directory'!$K$595:$K$599,MATCH($C917,'Staff Directory'!$B$5:$B$599,0)),$D917))</f>
        <v>PSW</v>
      </c>
      <c r="AH917" t="str">
        <f>IF($C917="","",IFERROR(INDEX('Staff Directory'!$I$595:$I$599,MATCH($C917,'Staff Directory'!$B$5:$B$599,0))&amp;" "&amp;INDEX('Staff Directory'!$J$595:$J$599,MATCH($C917,'Staff Directory'!$B$5:$B$599,0)),$AG917))</f>
        <v>PSW</v>
      </c>
      <c r="AI917" s="102"/>
      <c r="AJ917" s="101">
        <f>IF($F917="","",SUMIFS($J$5:$J917,$F$5:$F917,$F917))</f>
        <v>6</v>
      </c>
      <c r="AK917" s="101">
        <f t="shared" si="159"/>
        <v>6</v>
      </c>
      <c r="AL917" s="66" t="str" cm="1">
        <f t="array" ref="AL917">IF($F917="","",IFERROR(INDEX('Lot Balance'!$B$5:$B$500,MATCH(1,INDEX(('Lot Balance'!$A$5:$A$500=$F917)*('Lot Balance'!$K$5:$K$500&lt;$AK917)*('Lot Balance'!$K$5:$K$500+'Lot Balance'!$D$5:$D$500&gt;=$AK917),0),0)),""))</f>
        <v/>
      </c>
      <c r="AM917" s="66" t="str" cm="1">
        <f t="array" ref="AM917">IF($F917="","",IFERROR(INDEX('Lot Balance'!$B$5:$B$500,MATCH(1,INDEX(('Lot Balance'!$A$5:$A$500=$F917)*('Lot Balance'!$K$5:$K$500&lt;$AJ917)*('Lot Balance'!$K$5:$K$500+'Lot Balance'!$D$5:$D$500&gt;=$AJ917),0),0)),""))</f>
        <v/>
      </c>
      <c r="AN917" s="66" t="str">
        <f>IF($F917="","",IF($AI917&lt;&gt;"",IF(COUNTIFS('Lot Balance'!$A$5:$A$500,$F917,'Lot Balance'!$B$5:$B$500,$AI917)=0,"⚠ override is not a lot of this item",IF($AI917=$AL917,"Override = FEFO","Override - FEFO says "&amp;$AL917)),IF($AL917="","⚠ no receipt on file for this item",IF($AM917&lt;&gt;$AL917,"FEFO auto - split, also "&amp;$AM917,"FEFO auto"))))</f>
        <v>⚠ no receipt on file for this item</v>
      </c>
      <c r="AO917" s="114"/>
    </row>
    <row r="918" spans="1:41" x14ac:dyDescent="0.35">
      <c r="A918" s="74">
        <v>46174</v>
      </c>
      <c r="B918" s="18" t="str">
        <f>IF($C918="","",IFERROR(INDEX('Staff Directory'!$A$5:$A$594,MATCH($C918,'Staff Directory'!$B$5:$B$594,0)),"⚠ unknown staff"))</f>
        <v>PSW-180-A6</v>
      </c>
      <c r="C918" s="49" t="s">
        <v>1159</v>
      </c>
      <c r="D918" s="19" t="str">
        <f>IF($B918="","",IFERROR(INDEX('Staff Directory'!$C$5:$C$594,MATCH($B918,'Staff Directory'!$A$5:$A$594,0)),""))</f>
        <v>PSW</v>
      </c>
      <c r="E918" s="19" t="str">
        <f>IF($B918="","",IFERROR(INDEX('Staff Directory'!$D$5:$D$594,MATCH($B918,'Staff Directory'!$A$5:$A$594,0)),""))</f>
        <v>A6</v>
      </c>
      <c r="F918" s="9" t="s">
        <v>755</v>
      </c>
      <c r="G918" s="18" t="str">
        <f>IF($F918="","",IFERROR(INDEX(Items!$B$5:$B$597,MATCH($F918,Items!$A$5:$A$597,0)),"⚠ not in Items"))</f>
        <v>Documents</v>
      </c>
      <c r="H918" s="19" t="str">
        <f>IF($F918="","",IFERROR(INDEX(Items!$C$5:$C$597,MATCH($F918,Items!$A$5:$A$597,0)),""))</f>
        <v>Standard</v>
      </c>
      <c r="I918" s="23">
        <f>IF($F918="","",IFERROR(INDEX(Items!$E$5:$E$597,MATCH($F918,Items!$A$5:$A$597,0)),""))</f>
        <v>2</v>
      </c>
      <c r="J918" s="115">
        <f>IF(tblIssues[[#This Row],[Qty Override]]&lt;&gt;"",tblIssues[[#This Row],[Qty Override]],IF(tblIssues[[#This Row],[Standard Issue]]="","",tblIssues[[#This Row],[Standard Issue]]))</f>
        <v>2</v>
      </c>
      <c r="K918" s="20">
        <f>IF($F918="","",IFERROR(INDEX(Items!$D$5:$D$597,MATCH($F918,Items!$A$5:$A$597,0)),""))</f>
        <v>0</v>
      </c>
      <c r="L918" s="21">
        <f t="shared" si="162"/>
        <v>0</v>
      </c>
      <c r="M918" s="9" t="str">
        <f t="shared" si="160"/>
        <v/>
      </c>
      <c r="N918" s="24">
        <f>IF($A918="","",WORKDAY($A918,Settings!$C$9,HolidayDates))</f>
        <v>46182</v>
      </c>
      <c r="O918" s="24">
        <f>IF($N918="","",WORKDAY($N918,Settings!$C$10,HolidayDates))</f>
        <v>46220</v>
      </c>
      <c r="P918" s="10" t="s">
        <v>501</v>
      </c>
      <c r="Q918" s="52" t="str">
        <f t="shared" si="163"/>
        <v>Collected</v>
      </c>
      <c r="R918" s="55" t="str">
        <f t="shared" si="164"/>
        <v>2026-06</v>
      </c>
      <c r="S918" s="55">
        <f>IF(OR($B918="",$F918="",$R918=""),"",SUMIFS(tblIssues[Qty Issued],tblIssues[Staff ID],$B918,tblIssues[Item Name],$F918,tblIssues[Month],$R918))</f>
        <v>2</v>
      </c>
      <c r="T918" s="56">
        <f>IF($I918="","",$I918*Settings!$C$11)</f>
        <v>2</v>
      </c>
      <c r="U918" s="57" t="str">
        <f t="shared" si="161"/>
        <v>OK</v>
      </c>
      <c r="V918" s="55" t="str">
        <f t="shared" si="165"/>
        <v/>
      </c>
      <c r="W918" s="55" t="str">
        <f>IF($V918="","",IF(COUNTIF($V$5:$V918,$V918)=1,1,""))</f>
        <v/>
      </c>
      <c r="X918" s="58" t="str">
        <f>IF($W918="","",MAX($X$4:X917)+1)</f>
        <v/>
      </c>
      <c r="Y918" s="62"/>
      <c r="Z918" s="62"/>
      <c r="AA918" s="64" t="str">
        <f>IF($C918="","",IFERROR(INDEX('Staff Directory'!$E$5:$E$594,MATCH($C918,'Staff Directory'!$B$5:$B$594,0)),""))</f>
        <v>firstname243.lastname243@example.com</v>
      </c>
      <c r="AB918" s="64" t="str">
        <f>IF($C918="","",IF(ISNUMBER(SEARCH($D918,Settings!$C$15)),"Pickup","Dispatch"))</f>
        <v>Pickup</v>
      </c>
      <c r="AC918" s="64" t="str">
        <f t="shared" si="166"/>
        <v>Supply order ready for pickup</v>
      </c>
      <c r="AD918" s="64" t="str">
        <f t="shared" si="157"/>
        <v>Dear PSW,
Your order is ready for pickup from Sample Branch, Wed-Fri 9am-4pm.</v>
      </c>
      <c r="AE918" s="64" t="str">
        <f t="shared" si="158"/>
        <v>mailto:firstname243.lastname243@example.com?subject=Supply%20order%20ready%20for%20pickup&amp;body=Dear%20PSW%2C%0A%0AYour%20order%20is%20ready%20for%20pickup%20from%20Sample%20Branch%2C%20Wed-Fri%209am-4pm.</v>
      </c>
      <c r="AF918" s="89" t="str">
        <f t="shared" si="167"/>
        <v>Draft email</v>
      </c>
      <c r="AG918" s="64" t="str">
        <f>IF($C918="","",IFERROR(INDEX('Staff Directory'!$K$595:$K$599,MATCH($C918,'Staff Directory'!$B$5:$B$599,0)),$D918))</f>
        <v>PSW</v>
      </c>
      <c r="AH918" t="str">
        <f>IF($C918="","",IFERROR(INDEX('Staff Directory'!$I$595:$I$599,MATCH($C918,'Staff Directory'!$B$5:$B$599,0))&amp;" "&amp;INDEX('Staff Directory'!$J$595:$J$599,MATCH($C918,'Staff Directory'!$B$5:$B$599,0)),$AG918))</f>
        <v>PSW</v>
      </c>
      <c r="AI918" s="102"/>
      <c r="AJ918" s="101">
        <f>IF($F918="","",SUMIFS($J$5:$J918,$F$5:$F918,$F918))</f>
        <v>124</v>
      </c>
      <c r="AK918" s="101">
        <f t="shared" si="159"/>
        <v>123</v>
      </c>
      <c r="AL918" s="66" t="str" cm="1">
        <f t="array" ref="AL918">IF($F918="","",IFERROR(INDEX('Lot Balance'!$B$5:$B$500,MATCH(1,INDEX(('Lot Balance'!$A$5:$A$500=$F918)*('Lot Balance'!$K$5:$K$500&lt;$AK918)*('Lot Balance'!$K$5:$K$500+'Lot Balance'!$D$5:$D$500&gt;=$AK918),0),0)),""))</f>
        <v/>
      </c>
      <c r="AM918" s="66" t="str" cm="1">
        <f t="array" ref="AM918">IF($F918="","",IFERROR(INDEX('Lot Balance'!$B$5:$B$500,MATCH(1,INDEX(('Lot Balance'!$A$5:$A$500=$F918)*('Lot Balance'!$K$5:$K$500&lt;$AJ918)*('Lot Balance'!$K$5:$K$500+'Lot Balance'!$D$5:$D$500&gt;=$AJ918),0),0)),""))</f>
        <v/>
      </c>
      <c r="AN918" s="66" t="str">
        <f>IF($F918="","",IF($AI918&lt;&gt;"",IF(COUNTIFS('Lot Balance'!$A$5:$A$500,$F918,'Lot Balance'!$B$5:$B$500,$AI918)=0,"⚠ override is not a lot of this item",IF($AI918=$AL918,"Override = FEFO","Override - FEFO says "&amp;$AL918)),IF($AL918="","⚠ no receipt on file for this item",IF($AM918&lt;&gt;$AL918,"FEFO auto - split, also "&amp;$AM918,"FEFO auto"))))</f>
        <v>⚠ no receipt on file for this item</v>
      </c>
      <c r="AO918" s="114"/>
    </row>
    <row r="919" spans="1:41" x14ac:dyDescent="0.35">
      <c r="A919" s="74">
        <v>46174</v>
      </c>
      <c r="B919" s="18" t="str">
        <f>IF($C919="","",IFERROR(INDEX('Staff Directory'!$A$5:$A$594,MATCH($C919,'Staff Directory'!$B$5:$B$594,0)),"⚠ unknown staff"))</f>
        <v>PSW-181-TBD</v>
      </c>
      <c r="C919" s="49" t="s">
        <v>1160</v>
      </c>
      <c r="D919" s="19" t="str">
        <f>IF($B919="","",IFERROR(INDEX('Staff Directory'!$C$5:$C$594,MATCH($B919,'Staff Directory'!$A$5:$A$594,0)),""))</f>
        <v>PSW</v>
      </c>
      <c r="E919" s="19">
        <f>IF($B919="","",IFERROR(INDEX('Staff Directory'!$D$5:$D$594,MATCH($B919,'Staff Directory'!$A$5:$A$594,0)),""))</f>
        <v>0</v>
      </c>
      <c r="F919" s="9" t="s">
        <v>124</v>
      </c>
      <c r="G919" s="18" t="str">
        <f>IF($F919="","",IFERROR(INDEX(Items!$B$5:$B$597,MATCH($F919,Items!$A$5:$A$597,0)),"⚠ not in Items"))</f>
        <v>Gloves</v>
      </c>
      <c r="H919" s="19" t="str">
        <f>IF($F919="","",IFERROR(INDEX(Items!$C$5:$C$597,MATCH($F919,Items!$A$5:$A$597,0)),""))</f>
        <v>Large</v>
      </c>
      <c r="I919" s="23">
        <f>IF($F919="","",IFERROR(INDEX(Items!$E$5:$E$597,MATCH($F919,Items!$A$5:$A$597,0)),""))</f>
        <v>500</v>
      </c>
      <c r="J919" s="115">
        <f>IF(tblIssues[[#This Row],[Qty Override]]&lt;&gt;"",tblIssues[[#This Row],[Qty Override]],IF(tblIssues[[#This Row],[Standard Issue]]="","",tblIssues[[#This Row],[Standard Issue]]))</f>
        <v>500</v>
      </c>
      <c r="K919" s="20">
        <f>IF($F919="","",IFERROR(INDEX(Items!$D$5:$D$597,MATCH($F919,Items!$A$5:$A$597,0)),""))</f>
        <v>5.5E-2</v>
      </c>
      <c r="L919" s="21">
        <f t="shared" si="162"/>
        <v>27.5</v>
      </c>
      <c r="M919" s="9" t="str">
        <f t="shared" si="160"/>
        <v>0417HIC25-1</v>
      </c>
      <c r="N919" s="24">
        <f>IF($A919="","",WORKDAY($A919,Settings!$C$9,HolidayDates))</f>
        <v>46182</v>
      </c>
      <c r="O919" s="24">
        <f>IF($N919="","",WORKDAY($N919,Settings!$C$10,HolidayDates))</f>
        <v>46220</v>
      </c>
      <c r="P919" s="10" t="s">
        <v>501</v>
      </c>
      <c r="Q919" s="52" t="str">
        <f t="shared" si="163"/>
        <v>Collected</v>
      </c>
      <c r="R919" s="55" t="str">
        <f t="shared" si="164"/>
        <v>2026-06</v>
      </c>
      <c r="S919" s="55">
        <f>IF(OR($B919="",$F919="",$R919=""),"",SUMIFS(tblIssues[Qty Issued],tblIssues[Staff ID],$B919,tblIssues[Item Name],$F919,tblIssues[Month],$R919))</f>
        <v>500</v>
      </c>
      <c r="T919" s="56">
        <f>IF($I919="","",$I919*Settings!$C$11)</f>
        <v>500</v>
      </c>
      <c r="U919" s="57" t="str">
        <f t="shared" si="161"/>
        <v>OK</v>
      </c>
      <c r="V919" s="55" t="str">
        <f t="shared" si="165"/>
        <v/>
      </c>
      <c r="W919" s="55" t="str">
        <f>IF($V919="","",IF(COUNTIF($V$5:$V919,$V919)=1,1,""))</f>
        <v/>
      </c>
      <c r="X919" s="58" t="str">
        <f>IF($W919="","",MAX($X$4:X918)+1)</f>
        <v/>
      </c>
      <c r="Y919" s="62"/>
      <c r="Z919" s="62"/>
      <c r="AA919" s="64" t="str">
        <f>IF($C919="","",IFERROR(INDEX('Staff Directory'!$E$5:$E$594,MATCH($C919,'Staff Directory'!$B$5:$B$594,0)),""))</f>
        <v>firstname244.lastname244@example.com</v>
      </c>
      <c r="AB919" s="64" t="str">
        <f>IF($C919="","",IF(ISNUMBER(SEARCH($D919,Settings!$C$15)),"Pickup","Dispatch"))</f>
        <v>Pickup</v>
      </c>
      <c r="AC919" s="64" t="str">
        <f t="shared" si="166"/>
        <v>Supply order ready for pickup</v>
      </c>
      <c r="AD919" s="64" t="str">
        <f t="shared" si="157"/>
        <v>Dear PSW,
Your order is ready for pickup from Sample Branch, Wed-Fri 9am-4pm.</v>
      </c>
      <c r="AE919" s="64" t="str">
        <f t="shared" si="158"/>
        <v>mailto:firstname244.lastname244@example.com?subject=Supply%20order%20ready%20for%20pickup&amp;body=Dear%20PSW%2C%0A%0AYour%20order%20is%20ready%20for%20pickup%20from%20Sample%20Branch%2C%20Wed-Fri%209am-4pm.</v>
      </c>
      <c r="AF919" s="89" t="str">
        <f t="shared" si="167"/>
        <v>Draft email</v>
      </c>
      <c r="AG919" s="64" t="str">
        <f>IF($C919="","",IFERROR(INDEX('Staff Directory'!$K$595:$K$599,MATCH($C919,'Staff Directory'!$B$5:$B$599,0)),$D919))</f>
        <v>PSW</v>
      </c>
      <c r="AH919" t="str">
        <f>IF($C919="","",IFERROR(INDEX('Staff Directory'!$I$595:$I$599,MATCH($C919,'Staff Directory'!$B$5:$B$599,0))&amp;" "&amp;INDEX('Staff Directory'!$J$595:$J$599,MATCH($C919,'Staff Directory'!$B$5:$B$599,0)),$AG919))</f>
        <v>PSW</v>
      </c>
      <c r="AI919" s="102"/>
      <c r="AJ919" s="101">
        <f>IF($F919="","",SUMIFS($J$5:$J919,$F$5:$F919,$F919))</f>
        <v>24500</v>
      </c>
      <c r="AK919" s="101">
        <f t="shared" si="159"/>
        <v>24001</v>
      </c>
      <c r="AL919" s="66" t="str" cm="1">
        <f t="array" ref="AL919">IF($F919="","",IFERROR(INDEX('Lot Balance'!$B$5:$B$500,MATCH(1,INDEX(('Lot Balance'!$A$5:$A$500=$F919)*('Lot Balance'!$K$5:$K$500&lt;$AK919)*('Lot Balance'!$K$5:$K$500+'Lot Balance'!$D$5:$D$500&gt;=$AK919),0),0)),""))</f>
        <v>0417HIC25-1</v>
      </c>
      <c r="AM919" s="66" t="str" cm="1">
        <f t="array" ref="AM919">IF($F919="","",IFERROR(INDEX('Lot Balance'!$B$5:$B$500,MATCH(1,INDEX(('Lot Balance'!$A$5:$A$500=$F919)*('Lot Balance'!$K$5:$K$500&lt;$AJ919)*('Lot Balance'!$K$5:$K$500+'Lot Balance'!$D$5:$D$500&gt;=$AJ919),0),0)),""))</f>
        <v>0417HIC25-1</v>
      </c>
      <c r="AN919" s="66" t="str">
        <f>IF($F919="","",IF($AI919&lt;&gt;"",IF(COUNTIFS('Lot Balance'!$A$5:$A$500,$F919,'Lot Balance'!$B$5:$B$500,$AI919)=0,"⚠ override is not a lot of this item",IF($AI919=$AL919,"Override = FEFO","Override - FEFO says "&amp;$AL919)),IF($AL919="","⚠ no receipt on file for this item",IF($AM919&lt;&gt;$AL919,"FEFO auto - split, also "&amp;$AM919,"FEFO auto"))))</f>
        <v>FEFO auto</v>
      </c>
      <c r="AO919" s="114"/>
    </row>
    <row r="920" spans="1:41" x14ac:dyDescent="0.35">
      <c r="A920" s="74">
        <v>46174</v>
      </c>
      <c r="B920" s="18" t="str">
        <f>IF($C920="","",IFERROR(INDEX('Staff Directory'!$A$5:$A$594,MATCH($C920,'Staff Directory'!$B$5:$B$594,0)),"⚠ unknown staff"))</f>
        <v>PSW-181-TBD</v>
      </c>
      <c r="C920" s="49" t="s">
        <v>1160</v>
      </c>
      <c r="D920" s="19" t="str">
        <f>IF($B920="","",IFERROR(INDEX('Staff Directory'!$C$5:$C$594,MATCH($B920,'Staff Directory'!$A$5:$A$594,0)),""))</f>
        <v>PSW</v>
      </c>
      <c r="E920" s="19">
        <f>IF($B920="","",IFERROR(INDEX('Staff Directory'!$D$5:$D$594,MATCH($B920,'Staff Directory'!$A$5:$A$594,0)),""))</f>
        <v>0</v>
      </c>
      <c r="F920" s="9" t="s">
        <v>115</v>
      </c>
      <c r="G920" s="18" t="str">
        <f>IF($F920="","",IFERROR(INDEX(Items!$B$5:$B$597,MATCH($F920,Items!$A$5:$A$597,0)),"⚠ not in Items"))</f>
        <v>Wipes</v>
      </c>
      <c r="H920" s="19">
        <f>IF($F920="","",IFERROR(INDEX(Items!$C$5:$C$597,MATCH($F920,Items!$A$5:$A$597,0)),""))</f>
        <v>80</v>
      </c>
      <c r="I920" s="23">
        <f>IF($F920="","",IFERROR(INDEX(Items!$E$5:$E$597,MATCH($F920,Items!$A$5:$A$597,0)),""))</f>
        <v>80</v>
      </c>
      <c r="J920" s="115">
        <f>IF(tblIssues[[#This Row],[Qty Override]]&lt;&gt;"",tblIssues[[#This Row],[Qty Override]],IF(tblIssues[[#This Row],[Standard Issue]]="","",tblIssues[[#This Row],[Standard Issue]]))</f>
        <v>80</v>
      </c>
      <c r="K920" s="20">
        <f>IF($F920="","",IFERROR(INDEX(Items!$D$5:$D$597,MATCH($F920,Items!$A$5:$A$597,0)),""))</f>
        <v>0.1</v>
      </c>
      <c r="L920" s="21">
        <f t="shared" si="162"/>
        <v>8</v>
      </c>
      <c r="M920" s="9" t="str">
        <f t="shared" si="160"/>
        <v>LYSL500290</v>
      </c>
      <c r="N920" s="24">
        <f>IF($A920="","",WORKDAY($A920,Settings!$C$9,HolidayDates))</f>
        <v>46182</v>
      </c>
      <c r="O920" s="24">
        <f>IF($N920="","",WORKDAY($N920,Settings!$C$10,HolidayDates))</f>
        <v>46220</v>
      </c>
      <c r="P920" s="10" t="s">
        <v>501</v>
      </c>
      <c r="Q920" s="52" t="str">
        <f t="shared" si="163"/>
        <v>Collected</v>
      </c>
      <c r="R920" s="55" t="str">
        <f t="shared" si="164"/>
        <v>2026-06</v>
      </c>
      <c r="S920" s="55">
        <f>IF(OR($B920="",$F920="",$R920=""),"",SUMIFS(tblIssues[Qty Issued],tblIssues[Staff ID],$B920,tblIssues[Item Name],$F920,tblIssues[Month],$R920))</f>
        <v>80</v>
      </c>
      <c r="T920" s="56">
        <f>IF($I920="","",$I920*Settings!$C$11)</f>
        <v>80</v>
      </c>
      <c r="U920" s="57" t="str">
        <f t="shared" si="161"/>
        <v>OK</v>
      </c>
      <c r="V920" s="55" t="str">
        <f t="shared" si="165"/>
        <v/>
      </c>
      <c r="W920" s="55" t="str">
        <f>IF($V920="","",IF(COUNTIF($V$5:$V920,$V920)=1,1,""))</f>
        <v/>
      </c>
      <c r="X920" s="58" t="str">
        <f>IF($W920="","",MAX($X$4:X919)+1)</f>
        <v/>
      </c>
      <c r="Y920" s="62"/>
      <c r="Z920" s="62"/>
      <c r="AA920" s="64" t="str">
        <f>IF($C920="","",IFERROR(INDEX('Staff Directory'!$E$5:$E$594,MATCH($C920,'Staff Directory'!$B$5:$B$594,0)),""))</f>
        <v>firstname244.lastname244@example.com</v>
      </c>
      <c r="AB920" s="64" t="str">
        <f>IF($C920="","",IF(ISNUMBER(SEARCH($D920,Settings!$C$15)),"Pickup","Dispatch"))</f>
        <v>Pickup</v>
      </c>
      <c r="AC920" s="64" t="str">
        <f t="shared" si="166"/>
        <v>Supply order ready for pickup</v>
      </c>
      <c r="AD920" s="64" t="str">
        <f t="shared" si="157"/>
        <v>Dear PSW,
Your order is ready for pickup from Sample Branch, Wed-Fri 9am-4pm.</v>
      </c>
      <c r="AE920" s="64" t="str">
        <f t="shared" si="158"/>
        <v>mailto:firstname244.lastname244@example.com?subject=Supply%20order%20ready%20for%20pickup&amp;body=Dear%20PSW%2C%0A%0AYour%20order%20is%20ready%20for%20pickup%20from%20Sample%20Branch%2C%20Wed-Fri%209am-4pm.</v>
      </c>
      <c r="AF920" s="89" t="str">
        <f t="shared" si="167"/>
        <v>Draft email</v>
      </c>
      <c r="AG920" s="64" t="str">
        <f>IF($C920="","",IFERROR(INDEX('Staff Directory'!$K$595:$K$599,MATCH($C920,'Staff Directory'!$B$5:$B$599,0)),$D920))</f>
        <v>PSW</v>
      </c>
      <c r="AH920" t="str">
        <f>IF($C920="","",IFERROR(INDEX('Staff Directory'!$I$595:$I$599,MATCH($C920,'Staff Directory'!$B$5:$B$599,0))&amp;" "&amp;INDEX('Staff Directory'!$J$595:$J$599,MATCH($C920,'Staff Directory'!$B$5:$B$599,0)),$AG920))</f>
        <v>PSW</v>
      </c>
      <c r="AI920" s="102"/>
      <c r="AJ920" s="101">
        <f>IF($F920="","",SUMIFS($J$5:$J920,$F$5:$F920,$F920))</f>
        <v>12400</v>
      </c>
      <c r="AK920" s="101">
        <f t="shared" si="159"/>
        <v>12321</v>
      </c>
      <c r="AL920" s="66" t="str" cm="1">
        <f t="array" ref="AL920">IF($F920="","",IFERROR(INDEX('Lot Balance'!$B$5:$B$500,MATCH(1,INDEX(('Lot Balance'!$A$5:$A$500=$F920)*('Lot Balance'!$K$5:$K$500&lt;$AK920)*('Lot Balance'!$K$5:$K$500+'Lot Balance'!$D$5:$D$500&gt;=$AK920),0),0)),""))</f>
        <v>LYSL500290</v>
      </c>
      <c r="AM920" s="66" t="str" cm="1">
        <f t="array" ref="AM920">IF($F920="","",IFERROR(INDEX('Lot Balance'!$B$5:$B$500,MATCH(1,INDEX(('Lot Balance'!$A$5:$A$500=$F920)*('Lot Balance'!$K$5:$K$500&lt;$AJ920)*('Lot Balance'!$K$5:$K$500+'Lot Balance'!$D$5:$D$500&gt;=$AJ920),0),0)),""))</f>
        <v>LYSL500290</v>
      </c>
      <c r="AN920" s="66" t="str">
        <f>IF($F920="","",IF($AI920&lt;&gt;"",IF(COUNTIFS('Lot Balance'!$A$5:$A$500,$F920,'Lot Balance'!$B$5:$B$500,$AI920)=0,"⚠ override is not a lot of this item",IF($AI920=$AL920,"Override = FEFO","Override - FEFO says "&amp;$AL920)),IF($AL920="","⚠ no receipt on file for this item",IF($AM920&lt;&gt;$AL920,"FEFO auto - split, also "&amp;$AM920,"FEFO auto"))))</f>
        <v>FEFO auto</v>
      </c>
      <c r="AO920" s="114"/>
    </row>
    <row r="921" spans="1:41" x14ac:dyDescent="0.35">
      <c r="A921" s="74">
        <v>46174</v>
      </c>
      <c r="B921" s="18" t="str">
        <f>IF($C921="","",IFERROR(INDEX('Staff Directory'!$A$5:$A$594,MATCH($C921,'Staff Directory'!$B$5:$B$594,0)),"⚠ unknown staff"))</f>
        <v>PSW-181-TBD</v>
      </c>
      <c r="C921" s="49" t="s">
        <v>1160</v>
      </c>
      <c r="D921" s="19" t="str">
        <f>IF($B921="","",IFERROR(INDEX('Staff Directory'!$C$5:$C$594,MATCH($B921,'Staff Directory'!$A$5:$A$594,0)),""))</f>
        <v>PSW</v>
      </c>
      <c r="E921" s="19">
        <f>IF($B921="","",IFERROR(INDEX('Staff Directory'!$D$5:$D$594,MATCH($B921,'Staff Directory'!$A$5:$A$594,0)),""))</f>
        <v>0</v>
      </c>
      <c r="F921" s="9" t="s">
        <v>106</v>
      </c>
      <c r="G921" s="18" t="str">
        <f>IF($F921="","",IFERROR(INDEX(Items!$B$5:$B$597,MATCH($F921,Items!$A$5:$A$597,0)),"⚠ not in Items"))</f>
        <v>Masks</v>
      </c>
      <c r="H921" s="19" t="str">
        <f>IF($F921="","",IFERROR(INDEX(Items!$C$5:$C$597,MATCH($F921,Items!$A$5:$A$597,0)),""))</f>
        <v>One Size</v>
      </c>
      <c r="I921" s="23">
        <f>IF($F921="","",IFERROR(INDEX(Items!$E$5:$E$597,MATCH($F921,Items!$A$5:$A$597,0)),""))</f>
        <v>5</v>
      </c>
      <c r="J921" s="115">
        <f>IF(tblIssues[[#This Row],[Qty Override]]&lt;&gt;"",tblIssues[[#This Row],[Qty Override]],IF(tblIssues[[#This Row],[Standard Issue]]="","",tblIssues[[#This Row],[Standard Issue]]))</f>
        <v>5</v>
      </c>
      <c r="K921" s="20">
        <f>IF($F921="","",IFERROR(INDEX(Items!$D$5:$D$597,MATCH($F921,Items!$A$5:$A$597,0)),""))</f>
        <v>1.45</v>
      </c>
      <c r="L921" s="21">
        <f t="shared" si="162"/>
        <v>7.25</v>
      </c>
      <c r="M921" s="9" t="str">
        <f t="shared" si="160"/>
        <v>N955003714</v>
      </c>
      <c r="N921" s="24">
        <f>IF($A921="","",WORKDAY($A921,Settings!$C$9,HolidayDates))</f>
        <v>46182</v>
      </c>
      <c r="O921" s="24">
        <f>IF($N921="","",WORKDAY($N921,Settings!$C$10,HolidayDates))</f>
        <v>46220</v>
      </c>
      <c r="P921" s="10" t="s">
        <v>501</v>
      </c>
      <c r="Q921" s="52" t="str">
        <f t="shared" si="163"/>
        <v>Collected</v>
      </c>
      <c r="R921" s="55" t="str">
        <f t="shared" si="164"/>
        <v>2026-06</v>
      </c>
      <c r="S921" s="55">
        <f>IF(OR($B921="",$F921="",$R921=""),"",SUMIFS(tblIssues[Qty Issued],tblIssues[Staff ID],$B921,tblIssues[Item Name],$F921,tblIssues[Month],$R921))</f>
        <v>5</v>
      </c>
      <c r="T921" s="56">
        <f>IF($I921="","",$I921*Settings!$C$11)</f>
        <v>5</v>
      </c>
      <c r="U921" s="57" t="str">
        <f t="shared" si="161"/>
        <v>OK</v>
      </c>
      <c r="V921" s="55" t="str">
        <f t="shared" si="165"/>
        <v/>
      </c>
      <c r="W921" s="55" t="str">
        <f>IF($V921="","",IF(COUNTIF($V$5:$V921,$V921)=1,1,""))</f>
        <v/>
      </c>
      <c r="X921" s="58" t="str">
        <f>IF($W921="","",MAX($X$4:X920)+1)</f>
        <v/>
      </c>
      <c r="Y921" s="62"/>
      <c r="Z921" s="62"/>
      <c r="AA921" s="64" t="str">
        <f>IF($C921="","",IFERROR(INDEX('Staff Directory'!$E$5:$E$594,MATCH($C921,'Staff Directory'!$B$5:$B$594,0)),""))</f>
        <v>firstname244.lastname244@example.com</v>
      </c>
      <c r="AB921" s="64" t="str">
        <f>IF($C921="","",IF(ISNUMBER(SEARCH($D921,Settings!$C$15)),"Pickup","Dispatch"))</f>
        <v>Pickup</v>
      </c>
      <c r="AC921" s="64" t="str">
        <f t="shared" si="166"/>
        <v>Supply order ready for pickup</v>
      </c>
      <c r="AD921" s="64" t="str">
        <f t="shared" si="157"/>
        <v>Dear PSW,
Your order is ready for pickup from Sample Branch, Wed-Fri 9am-4pm.</v>
      </c>
      <c r="AE921" s="64" t="str">
        <f t="shared" si="158"/>
        <v>mailto:firstname244.lastname244@example.com?subject=Supply%20order%20ready%20for%20pickup&amp;body=Dear%20PSW%2C%0A%0AYour%20order%20is%20ready%20for%20pickup%20from%20Sample%20Branch%2C%20Wed-Fri%209am-4pm.</v>
      </c>
      <c r="AF921" s="89" t="str">
        <f t="shared" si="167"/>
        <v>Draft email</v>
      </c>
      <c r="AG921" s="64" t="str">
        <f>IF($C921="","",IFERROR(INDEX('Staff Directory'!$K$595:$K$599,MATCH($C921,'Staff Directory'!$B$5:$B$599,0)),$D921))</f>
        <v>PSW</v>
      </c>
      <c r="AH921" t="str">
        <f>IF($C921="","",IFERROR(INDEX('Staff Directory'!$I$595:$I$599,MATCH($C921,'Staff Directory'!$B$5:$B$599,0))&amp;" "&amp;INDEX('Staff Directory'!$J$595:$J$599,MATCH($C921,'Staff Directory'!$B$5:$B$599,0)),$AG921))</f>
        <v>PSW</v>
      </c>
      <c r="AI921" s="102"/>
      <c r="AJ921" s="101">
        <f>IF($F921="","",SUMIFS($J$5:$J921,$F$5:$F921,$F921))</f>
        <v>5</v>
      </c>
      <c r="AK921" s="101">
        <f t="shared" si="159"/>
        <v>1</v>
      </c>
      <c r="AL921" s="66" t="str" cm="1">
        <f t="array" ref="AL921">IF($F921="","",IFERROR(INDEX('Lot Balance'!$B$5:$B$500,MATCH(1,INDEX(('Lot Balance'!$A$5:$A$500=$F921)*('Lot Balance'!$K$5:$K$500&lt;$AK921)*('Lot Balance'!$K$5:$K$500+'Lot Balance'!$D$5:$D$500&gt;=$AK921),0),0)),""))</f>
        <v>N955003714</v>
      </c>
      <c r="AM921" s="66" t="str" cm="1">
        <f t="array" ref="AM921">IF($F921="","",IFERROR(INDEX('Lot Balance'!$B$5:$B$500,MATCH(1,INDEX(('Lot Balance'!$A$5:$A$500=$F921)*('Lot Balance'!$K$5:$K$500&lt;$AJ921)*('Lot Balance'!$K$5:$K$500+'Lot Balance'!$D$5:$D$500&gt;=$AJ921),0),0)),""))</f>
        <v>N955003714</v>
      </c>
      <c r="AN921" s="66" t="str">
        <f>IF($F921="","",IF($AI921&lt;&gt;"",IF(COUNTIFS('Lot Balance'!$A$5:$A$500,$F921,'Lot Balance'!$B$5:$B$500,$AI921)=0,"⚠ override is not a lot of this item",IF($AI921=$AL921,"Override = FEFO","Override - FEFO says "&amp;$AL921)),IF($AL921="","⚠ no receipt on file for this item",IF($AM921&lt;&gt;$AL921,"FEFO auto - split, also "&amp;$AM921,"FEFO auto"))))</f>
        <v>FEFO auto</v>
      </c>
      <c r="AO921" s="114"/>
    </row>
    <row r="922" spans="1:41" x14ac:dyDescent="0.35">
      <c r="A922" s="74">
        <v>46174</v>
      </c>
      <c r="B922" s="18" t="str">
        <f>IF($C922="","",IFERROR(INDEX('Staff Directory'!$A$5:$A$594,MATCH($C922,'Staff Directory'!$B$5:$B$594,0)),"⚠ unknown staff"))</f>
        <v>PSW-181-TBD</v>
      </c>
      <c r="C922" s="49" t="s">
        <v>1160</v>
      </c>
      <c r="D922" s="19" t="str">
        <f>IF($B922="","",IFERROR(INDEX('Staff Directory'!$C$5:$C$594,MATCH($B922,'Staff Directory'!$A$5:$A$594,0)),""))</f>
        <v>PSW</v>
      </c>
      <c r="E922" s="19">
        <f>IF($B922="","",IFERROR(INDEX('Staff Directory'!$D$5:$D$594,MATCH($B922,'Staff Directory'!$A$5:$A$594,0)),""))</f>
        <v>0</v>
      </c>
      <c r="F922" s="9" t="s">
        <v>137</v>
      </c>
      <c r="G922" s="18" t="str">
        <f>IF($F922="","",IFERROR(INDEX(Items!$B$5:$B$597,MATCH($F922,Items!$A$5:$A$597,0)),"⚠ not in Items"))</f>
        <v>Sanitizer</v>
      </c>
      <c r="H922" s="19" t="str">
        <f>IF($F922="","",IFERROR(INDEX(Items!$C$5:$C$597,MATCH($F922,Items!$A$5:$A$597,0)),""))</f>
        <v>118 ML</v>
      </c>
      <c r="I922" s="23">
        <f>IF($F922="","",IFERROR(INDEX(Items!$E$5:$E$597,MATCH($F922,Items!$A$5:$A$597,0)),""))</f>
        <v>2</v>
      </c>
      <c r="J922" s="115">
        <f>IF(tblIssues[[#This Row],[Qty Override]]&lt;&gt;"",tblIssues[[#This Row],[Qty Override]],IF(tblIssues[[#This Row],[Standard Issue]]="","",tblIssues[[#This Row],[Standard Issue]]))</f>
        <v>2</v>
      </c>
      <c r="K922" s="20">
        <f>IF($F922="","",IFERROR(INDEX(Items!$D$5:$D$597,MATCH($F922,Items!$A$5:$A$597,0)),""))</f>
        <v>4.49</v>
      </c>
      <c r="L922" s="21">
        <f t="shared" si="162"/>
        <v>8.98</v>
      </c>
      <c r="M922" s="9" t="str">
        <f t="shared" si="160"/>
        <v>563963-6</v>
      </c>
      <c r="N922" s="24">
        <f>IF($A922="","",WORKDAY($A922,Settings!$C$9,HolidayDates))</f>
        <v>46182</v>
      </c>
      <c r="O922" s="24">
        <f>IF($N922="","",WORKDAY($N922,Settings!$C$10,HolidayDates))</f>
        <v>46220</v>
      </c>
      <c r="P922" s="10" t="s">
        <v>501</v>
      </c>
      <c r="Q922" s="52" t="str">
        <f t="shared" si="163"/>
        <v>Collected</v>
      </c>
      <c r="R922" s="55" t="str">
        <f t="shared" si="164"/>
        <v>2026-06</v>
      </c>
      <c r="S922" s="55">
        <f>IF(OR($B922="",$F922="",$R922=""),"",SUMIFS(tblIssues[Qty Issued],tblIssues[Staff ID],$B922,tblIssues[Item Name],$F922,tblIssues[Month],$R922))</f>
        <v>2</v>
      </c>
      <c r="T922" s="56">
        <f>IF($I922="","",$I922*Settings!$C$11)</f>
        <v>2</v>
      </c>
      <c r="U922" s="57" t="str">
        <f t="shared" si="161"/>
        <v>OK</v>
      </c>
      <c r="V922" s="55" t="str">
        <f t="shared" si="165"/>
        <v/>
      </c>
      <c r="W922" s="55" t="str">
        <f>IF($V922="","",IF(COUNTIF($V$5:$V922,$V922)=1,1,""))</f>
        <v/>
      </c>
      <c r="X922" s="58" t="str">
        <f>IF($W922="","",MAX($X$4:X921)+1)</f>
        <v/>
      </c>
      <c r="Y922" s="62"/>
      <c r="Z922" s="62"/>
      <c r="AA922" s="64" t="str">
        <f>IF($C922="","",IFERROR(INDEX('Staff Directory'!$E$5:$E$594,MATCH($C922,'Staff Directory'!$B$5:$B$594,0)),""))</f>
        <v>firstname244.lastname244@example.com</v>
      </c>
      <c r="AB922" s="64" t="str">
        <f>IF($C922="","",IF(ISNUMBER(SEARCH($D922,Settings!$C$15)),"Pickup","Dispatch"))</f>
        <v>Pickup</v>
      </c>
      <c r="AC922" s="64" t="str">
        <f t="shared" si="166"/>
        <v>Supply order ready for pickup</v>
      </c>
      <c r="AD922" s="64" t="str">
        <f t="shared" si="157"/>
        <v>Dear PSW,
Your order is ready for pickup from Sample Branch, Wed-Fri 9am-4pm.</v>
      </c>
      <c r="AE922" s="64" t="str">
        <f t="shared" si="158"/>
        <v>mailto:firstname244.lastname244@example.com?subject=Supply%20order%20ready%20for%20pickup&amp;body=Dear%20PSW%2C%0A%0AYour%20order%20is%20ready%20for%20pickup%20from%20Sample%20Branch%2C%20Wed-Fri%209am-4pm.</v>
      </c>
      <c r="AF922" s="89" t="str">
        <f t="shared" si="167"/>
        <v>Draft email</v>
      </c>
      <c r="AG922" s="64" t="str">
        <f>IF($C922="","",IFERROR(INDEX('Staff Directory'!$K$595:$K$599,MATCH($C922,'Staff Directory'!$B$5:$B$599,0)),$D922))</f>
        <v>PSW</v>
      </c>
      <c r="AH922" t="str">
        <f>IF($C922="","",IFERROR(INDEX('Staff Directory'!$I$595:$I$599,MATCH($C922,'Staff Directory'!$B$5:$B$599,0))&amp;" "&amp;INDEX('Staff Directory'!$J$595:$J$599,MATCH($C922,'Staff Directory'!$B$5:$B$599,0)),$AG922))</f>
        <v>PSW</v>
      </c>
      <c r="AI922" s="102"/>
      <c r="AJ922" s="101">
        <f>IF($F922="","",SUMIFS($J$5:$J922,$F$5:$F922,$F922))</f>
        <v>104</v>
      </c>
      <c r="AK922" s="101">
        <f t="shared" si="159"/>
        <v>103</v>
      </c>
      <c r="AL922" s="66" t="str" cm="1">
        <f t="array" ref="AL922">IF($F922="","",IFERROR(INDEX('Lot Balance'!$B$5:$B$500,MATCH(1,INDEX(('Lot Balance'!$A$5:$A$500=$F922)*('Lot Balance'!$K$5:$K$500&lt;$AK922)*('Lot Balance'!$K$5:$K$500+'Lot Balance'!$D$5:$D$500&gt;=$AK922),0),0)),""))</f>
        <v>563963-6</v>
      </c>
      <c r="AM922" s="66" t="str" cm="1">
        <f t="array" ref="AM922">IF($F922="","",IFERROR(INDEX('Lot Balance'!$B$5:$B$500,MATCH(1,INDEX(('Lot Balance'!$A$5:$A$500=$F922)*('Lot Balance'!$K$5:$K$500&lt;$AJ922)*('Lot Balance'!$K$5:$K$500+'Lot Balance'!$D$5:$D$500&gt;=$AJ922),0),0)),""))</f>
        <v>563963-6</v>
      </c>
      <c r="AN922" s="66" t="str">
        <f>IF($F922="","",IF($AI922&lt;&gt;"",IF(COUNTIFS('Lot Balance'!$A$5:$A$500,$F922,'Lot Balance'!$B$5:$B$500,$AI922)=0,"⚠ override is not a lot of this item",IF($AI922=$AL922,"Override = FEFO","Override - FEFO says "&amp;$AL922)),IF($AL922="","⚠ no receipt on file for this item",IF($AM922&lt;&gt;$AL922,"FEFO auto - split, also "&amp;$AM922,"FEFO auto"))))</f>
        <v>FEFO auto</v>
      </c>
      <c r="AO922" s="114"/>
    </row>
    <row r="923" spans="1:41" x14ac:dyDescent="0.35">
      <c r="A923" s="74">
        <v>46174</v>
      </c>
      <c r="B923" s="18" t="str">
        <f>IF($C923="","",IFERROR(INDEX('Staff Directory'!$A$5:$A$594,MATCH($C923,'Staff Directory'!$B$5:$B$594,0)),"⚠ unknown staff"))</f>
        <v>PSW-181-TBD</v>
      </c>
      <c r="C923" s="49" t="s">
        <v>1160</v>
      </c>
      <c r="D923" s="19" t="str">
        <f>IF($B923="","",IFERROR(INDEX('Staff Directory'!$C$5:$C$594,MATCH($B923,'Staff Directory'!$A$5:$A$594,0)),""))</f>
        <v>PSW</v>
      </c>
      <c r="E923" s="19">
        <f>IF($B923="","",IFERROR(INDEX('Staff Directory'!$D$5:$D$594,MATCH($B923,'Staff Directory'!$A$5:$A$594,0)),""))</f>
        <v>0</v>
      </c>
      <c r="F923" s="9" t="s">
        <v>147</v>
      </c>
      <c r="G923" s="18" t="str">
        <f>IF($F923="","",IFERROR(INDEX(Items!$B$5:$B$597,MATCH($F923,Items!$A$5:$A$597,0)),"⚠ not in Items"))</f>
        <v>Apparel</v>
      </c>
      <c r="H923" s="19" t="str">
        <f>IF($F923="","",IFERROR(INDEX(Items!$C$5:$C$597,MATCH($F923,Items!$A$5:$A$597,0)),""))</f>
        <v>One Size</v>
      </c>
      <c r="I923" s="23">
        <f>IF($F923="","",IFERROR(INDEX(Items!$E$5:$E$597,MATCH($F923,Items!$A$5:$A$597,0)),""))</f>
        <v>5</v>
      </c>
      <c r="J923" s="115">
        <f>IF(tblIssues[[#This Row],[Qty Override]]&lt;&gt;"",tblIssues[[#This Row],[Qty Override]],IF(tblIssues[[#This Row],[Standard Issue]]="","",tblIssues[[#This Row],[Standard Issue]]))</f>
        <v>5</v>
      </c>
      <c r="K923" s="20">
        <f>IF($F923="","",IFERROR(INDEX(Items!$D$5:$D$597,MATCH($F923,Items!$A$5:$A$597,0)),""))</f>
        <v>3</v>
      </c>
      <c r="L923" s="21">
        <f t="shared" si="162"/>
        <v>15</v>
      </c>
      <c r="M923" s="9" t="str">
        <f t="shared" si="160"/>
        <v>YG500280</v>
      </c>
      <c r="N923" s="24">
        <f>IF($A923="","",WORKDAY($A923,Settings!$C$9,HolidayDates))</f>
        <v>46182</v>
      </c>
      <c r="O923" s="24">
        <f>IF($N923="","",WORKDAY($N923,Settings!$C$10,HolidayDates))</f>
        <v>46220</v>
      </c>
      <c r="P923" s="10" t="s">
        <v>501</v>
      </c>
      <c r="Q923" s="52" t="str">
        <f t="shared" si="163"/>
        <v>Collected</v>
      </c>
      <c r="R923" s="55" t="str">
        <f t="shared" si="164"/>
        <v>2026-06</v>
      </c>
      <c r="S923" s="55">
        <f>IF(OR($B923="",$F923="",$R923=""),"",SUMIFS(tblIssues[Qty Issued],tblIssues[Staff ID],$B923,tblIssues[Item Name],$F923,tblIssues[Month],$R923))</f>
        <v>5</v>
      </c>
      <c r="T923" s="56">
        <f>IF($I923="","",$I923*Settings!$C$11)</f>
        <v>5</v>
      </c>
      <c r="U923" s="57" t="str">
        <f t="shared" si="161"/>
        <v>OK</v>
      </c>
      <c r="V923" s="55" t="str">
        <f t="shared" si="165"/>
        <v/>
      </c>
      <c r="W923" s="55" t="str">
        <f>IF($V923="","",IF(COUNTIF($V$5:$V923,$V923)=1,1,""))</f>
        <v/>
      </c>
      <c r="X923" s="58" t="str">
        <f>IF($W923="","",MAX($X$4:X922)+1)</f>
        <v/>
      </c>
      <c r="Y923" s="62"/>
      <c r="Z923" s="62"/>
      <c r="AA923" s="64" t="str">
        <f>IF($C923="","",IFERROR(INDEX('Staff Directory'!$E$5:$E$594,MATCH($C923,'Staff Directory'!$B$5:$B$594,0)),""))</f>
        <v>firstname244.lastname244@example.com</v>
      </c>
      <c r="AB923" s="64" t="str">
        <f>IF($C923="","",IF(ISNUMBER(SEARCH($D923,Settings!$C$15)),"Pickup","Dispatch"))</f>
        <v>Pickup</v>
      </c>
      <c r="AC923" s="64" t="str">
        <f t="shared" si="166"/>
        <v>Supply order ready for pickup</v>
      </c>
      <c r="AD923" s="64" t="str">
        <f t="shared" si="157"/>
        <v>Dear PSW,
Your order is ready for pickup from Sample Branch, Wed-Fri 9am-4pm.</v>
      </c>
      <c r="AE923" s="64" t="str">
        <f t="shared" si="158"/>
        <v>mailto:firstname244.lastname244@example.com?subject=Supply%20order%20ready%20for%20pickup&amp;body=Dear%20PSW%2C%0A%0AYour%20order%20is%20ready%20for%20pickup%20from%20Sample%20Branch%2C%20Wed-Fri%209am-4pm.</v>
      </c>
      <c r="AF923" s="89" t="str">
        <f t="shared" si="167"/>
        <v>Draft email</v>
      </c>
      <c r="AG923" s="64" t="str">
        <f>IF($C923="","",IFERROR(INDEX('Staff Directory'!$K$595:$K$599,MATCH($C923,'Staff Directory'!$B$5:$B$599,0)),$D923))</f>
        <v>PSW</v>
      </c>
      <c r="AH923" t="str">
        <f>IF($C923="","",IFERROR(INDEX('Staff Directory'!$I$595:$I$599,MATCH($C923,'Staff Directory'!$B$5:$B$599,0))&amp;" "&amp;INDEX('Staff Directory'!$J$595:$J$599,MATCH($C923,'Staff Directory'!$B$5:$B$599,0)),$AG923))</f>
        <v>PSW</v>
      </c>
      <c r="AI923" s="102"/>
      <c r="AJ923" s="101">
        <f>IF($F923="","",SUMIFS($J$5:$J923,$F$5:$F923,$F923))</f>
        <v>105</v>
      </c>
      <c r="AK923" s="101">
        <f t="shared" si="159"/>
        <v>101</v>
      </c>
      <c r="AL923" s="66" t="str" cm="1">
        <f t="array" ref="AL923">IF($F923="","",IFERROR(INDEX('Lot Balance'!$B$5:$B$500,MATCH(1,INDEX(('Lot Balance'!$A$5:$A$500=$F923)*('Lot Balance'!$K$5:$K$500&lt;$AK923)*('Lot Balance'!$K$5:$K$500+'Lot Balance'!$D$5:$D$500&gt;=$AK923),0),0)),""))</f>
        <v>YG500280</v>
      </c>
      <c r="AM923" s="66" t="str" cm="1">
        <f t="array" ref="AM923">IF($F923="","",IFERROR(INDEX('Lot Balance'!$B$5:$B$500,MATCH(1,INDEX(('Lot Balance'!$A$5:$A$500=$F923)*('Lot Balance'!$K$5:$K$500&lt;$AJ923)*('Lot Balance'!$K$5:$K$500+'Lot Balance'!$D$5:$D$500&gt;=$AJ923),0),0)),""))</f>
        <v>YG500280</v>
      </c>
      <c r="AN923" s="66" t="str">
        <f>IF($F923="","",IF($AI923&lt;&gt;"",IF(COUNTIFS('Lot Balance'!$A$5:$A$500,$F923,'Lot Balance'!$B$5:$B$500,$AI923)=0,"⚠ override is not a lot of this item",IF($AI923=$AL923,"Override = FEFO","Override - FEFO says "&amp;$AL923)),IF($AL923="","⚠ no receipt on file for this item",IF($AM923&lt;&gt;$AL923,"FEFO auto - split, also "&amp;$AM923,"FEFO auto"))))</f>
        <v>FEFO auto</v>
      </c>
      <c r="AO923" s="114"/>
    </row>
    <row r="924" spans="1:41" x14ac:dyDescent="0.35">
      <c r="A924" s="74">
        <v>46174</v>
      </c>
      <c r="B924" s="18" t="str">
        <f>IF($C924="","",IFERROR(INDEX('Staff Directory'!$A$5:$A$594,MATCH($C924,'Staff Directory'!$B$5:$B$594,0)),"⚠ unknown staff"))</f>
        <v>PSW-181-TBD</v>
      </c>
      <c r="C924" s="49" t="s">
        <v>1160</v>
      </c>
      <c r="D924" s="19" t="str">
        <f>IF($B924="","",IFERROR(INDEX('Staff Directory'!$C$5:$C$594,MATCH($B924,'Staff Directory'!$A$5:$A$594,0)),""))</f>
        <v>PSW</v>
      </c>
      <c r="E924" s="19">
        <f>IF($B924="","",IFERROR(INDEX('Staff Directory'!$D$5:$D$594,MATCH($B924,'Staff Directory'!$A$5:$A$594,0)),""))</f>
        <v>0</v>
      </c>
      <c r="F924" s="9" t="s">
        <v>145</v>
      </c>
      <c r="G924" s="18" t="str">
        <f>IF($F924="","",IFERROR(INDEX(Items!$B$5:$B$597,MATCH($F924,Items!$A$5:$A$597,0)),"⚠ not in Items"))</f>
        <v>Apparel</v>
      </c>
      <c r="H924" s="19" t="str">
        <f>IF($F924="","",IFERROR(INDEX(Items!$C$5:$C$597,MATCH($F924,Items!$A$5:$A$597,0)),""))</f>
        <v>One Size</v>
      </c>
      <c r="I924" s="23">
        <f>IF($F924="","",IFERROR(INDEX(Items!$E$5:$E$597,MATCH($F924,Items!$A$5:$A$597,0)),""))</f>
        <v>5</v>
      </c>
      <c r="J924" s="115">
        <f>IF(tblIssues[[#This Row],[Qty Override]]&lt;&gt;"",tblIssues[[#This Row],[Qty Override]],IF(tblIssues[[#This Row],[Standard Issue]]="","",tblIssues[[#This Row],[Standard Issue]]))</f>
        <v>5</v>
      </c>
      <c r="K924" s="20">
        <f>IF($F924="","",IFERROR(INDEX(Items!$D$5:$D$597,MATCH($F924,Items!$A$5:$A$597,0)),""))</f>
        <v>3</v>
      </c>
      <c r="L924" s="21">
        <f t="shared" si="162"/>
        <v>15</v>
      </c>
      <c r="M924" s="9" t="str">
        <f t="shared" si="160"/>
        <v>WRB500270</v>
      </c>
      <c r="N924" s="24">
        <f>IF($A924="","",WORKDAY($A924,Settings!$C$9,HolidayDates))</f>
        <v>46182</v>
      </c>
      <c r="O924" s="24">
        <f>IF($N924="","",WORKDAY($N924,Settings!$C$10,HolidayDates))</f>
        <v>46220</v>
      </c>
      <c r="P924" s="10" t="s">
        <v>501</v>
      </c>
      <c r="Q924" s="52" t="str">
        <f t="shared" si="163"/>
        <v>Collected</v>
      </c>
      <c r="R924" s="55" t="str">
        <f t="shared" si="164"/>
        <v>2026-06</v>
      </c>
      <c r="S924" s="55">
        <f>IF(OR($B924="",$F924="",$R924=""),"",SUMIFS(tblIssues[Qty Issued],tblIssues[Staff ID],$B924,tblIssues[Item Name],$F924,tblIssues[Month],$R924))</f>
        <v>5</v>
      </c>
      <c r="T924" s="56">
        <f>IF($I924="","",$I924*Settings!$C$11)</f>
        <v>5</v>
      </c>
      <c r="U924" s="57" t="str">
        <f t="shared" si="161"/>
        <v>OK</v>
      </c>
      <c r="V924" s="55" t="str">
        <f t="shared" si="165"/>
        <v/>
      </c>
      <c r="W924" s="55" t="str">
        <f>IF($V924="","",IF(COUNTIF($V$5:$V924,$V924)=1,1,""))</f>
        <v/>
      </c>
      <c r="X924" s="58" t="str">
        <f>IF($W924="","",MAX($X$4:X923)+1)</f>
        <v/>
      </c>
      <c r="Y924" s="62"/>
      <c r="Z924" s="62"/>
      <c r="AA924" s="64" t="str">
        <f>IF($C924="","",IFERROR(INDEX('Staff Directory'!$E$5:$E$594,MATCH($C924,'Staff Directory'!$B$5:$B$594,0)),""))</f>
        <v>firstname244.lastname244@example.com</v>
      </c>
      <c r="AB924" s="64" t="str">
        <f>IF($C924="","",IF(ISNUMBER(SEARCH($D924,Settings!$C$15)),"Pickup","Dispatch"))</f>
        <v>Pickup</v>
      </c>
      <c r="AC924" s="64" t="str">
        <f t="shared" si="166"/>
        <v>Supply order ready for pickup</v>
      </c>
      <c r="AD924" s="64" t="str">
        <f t="shared" si="157"/>
        <v>Dear PSW,
Your order is ready for pickup from Sample Branch, Wed-Fri 9am-4pm.</v>
      </c>
      <c r="AE924" s="64" t="str">
        <f t="shared" si="158"/>
        <v>mailto:firstname244.lastname244@example.com?subject=Supply%20order%20ready%20for%20pickup&amp;body=Dear%20PSW%2C%0A%0AYour%20order%20is%20ready%20for%20pickup%20from%20Sample%20Branch%2C%20Wed-Fri%209am-4pm.</v>
      </c>
      <c r="AF924" s="89" t="str">
        <f t="shared" si="167"/>
        <v>Draft email</v>
      </c>
      <c r="AG924" s="64" t="str">
        <f>IF($C924="","",IFERROR(INDEX('Staff Directory'!$K$595:$K$599,MATCH($C924,'Staff Directory'!$B$5:$B$599,0)),$D924))</f>
        <v>PSW</v>
      </c>
      <c r="AH924" t="str">
        <f>IF($C924="","",IFERROR(INDEX('Staff Directory'!$I$595:$I$599,MATCH($C924,'Staff Directory'!$B$5:$B$599,0))&amp;" "&amp;INDEX('Staff Directory'!$J$595:$J$599,MATCH($C924,'Staff Directory'!$B$5:$B$599,0)),$AG924))</f>
        <v>PSW</v>
      </c>
      <c r="AI924" s="102"/>
      <c r="AJ924" s="101">
        <f>IF($F924="","",SUMIFS($J$5:$J924,$F$5:$F924,$F924))</f>
        <v>30</v>
      </c>
      <c r="AK924" s="101">
        <f t="shared" si="159"/>
        <v>26</v>
      </c>
      <c r="AL924" s="66" t="str" cm="1">
        <f t="array" ref="AL924">IF($F924="","",IFERROR(INDEX('Lot Balance'!$B$5:$B$500,MATCH(1,INDEX(('Lot Balance'!$A$5:$A$500=$F924)*('Lot Balance'!$K$5:$K$500&lt;$AK924)*('Lot Balance'!$K$5:$K$500+'Lot Balance'!$D$5:$D$500&gt;=$AK924),0),0)),""))</f>
        <v>WRB500270</v>
      </c>
      <c r="AM924" s="66" t="str" cm="1">
        <f t="array" ref="AM924">IF($F924="","",IFERROR(INDEX('Lot Balance'!$B$5:$B$500,MATCH(1,INDEX(('Lot Balance'!$A$5:$A$500=$F924)*('Lot Balance'!$K$5:$K$500&lt;$AJ924)*('Lot Balance'!$K$5:$K$500+'Lot Balance'!$D$5:$D$500&gt;=$AJ924),0),0)),""))</f>
        <v>WRB500270</v>
      </c>
      <c r="AN924" s="66" t="str">
        <f>IF($F924="","",IF($AI924&lt;&gt;"",IF(COUNTIFS('Lot Balance'!$A$5:$A$500,$F924,'Lot Balance'!$B$5:$B$500,$AI924)=0,"⚠ override is not a lot of this item",IF($AI924=$AL924,"Override = FEFO","Override - FEFO says "&amp;$AL924)),IF($AL924="","⚠ no receipt on file for this item",IF($AM924&lt;&gt;$AL924,"FEFO auto - split, also "&amp;$AM924,"FEFO auto"))))</f>
        <v>FEFO auto</v>
      </c>
      <c r="AO924" s="114"/>
    </row>
    <row r="925" spans="1:41" x14ac:dyDescent="0.35">
      <c r="A925" s="74">
        <v>46174</v>
      </c>
      <c r="B925" s="18" t="str">
        <f>IF($C925="","",IFERROR(INDEX('Staff Directory'!$A$5:$A$594,MATCH($C925,'Staff Directory'!$B$5:$B$594,0)),"⚠ unknown staff"))</f>
        <v>PSW-181-TBD</v>
      </c>
      <c r="C925" s="49" t="s">
        <v>1160</v>
      </c>
      <c r="D925" s="19" t="str">
        <f>IF($B925="","",IFERROR(INDEX('Staff Directory'!$C$5:$C$594,MATCH($B925,'Staff Directory'!$A$5:$A$594,0)),""))</f>
        <v>PSW</v>
      </c>
      <c r="E925" s="19">
        <f>IF($B925="","",IFERROR(INDEX('Staff Directory'!$D$5:$D$594,MATCH($B925,'Staff Directory'!$A$5:$A$594,0)),""))</f>
        <v>0</v>
      </c>
      <c r="F925" s="9" t="s">
        <v>144</v>
      </c>
      <c r="G925" s="18" t="str">
        <f>IF($F925="","",IFERROR(INDEX(Items!$B$5:$B$597,MATCH($F925,Items!$A$5:$A$597,0)),"⚠ not in Items"))</f>
        <v>IPAC</v>
      </c>
      <c r="H925" s="19" t="str">
        <f>IF($F925="","",IFERROR(INDEX(Items!$C$5:$C$597,MATCH($F925,Items!$A$5:$A$597,0)),""))</f>
        <v>One Size</v>
      </c>
      <c r="I925" s="23">
        <f>IF($F925="","",IFERROR(INDEX(Items!$E$5:$E$597,MATCH($F925,Items!$A$5:$A$597,0)),""))</f>
        <v>4</v>
      </c>
      <c r="J925" s="115">
        <f>IF(tblIssues[[#This Row],[Qty Override]]&lt;&gt;"",tblIssues[[#This Row],[Qty Override]],IF(tblIssues[[#This Row],[Standard Issue]]="","",tblIssues[[#This Row],[Standard Issue]]))</f>
        <v>4</v>
      </c>
      <c r="K925" s="20">
        <f>IF($F925="","",IFERROR(INDEX(Items!$D$5:$D$597,MATCH($F925,Items!$A$5:$A$597,0)),""))</f>
        <v>145.97999999999999</v>
      </c>
      <c r="L925" s="21">
        <f t="shared" si="162"/>
        <v>583.91999999999996</v>
      </c>
      <c r="M925" s="9" t="str">
        <f t="shared" si="160"/>
        <v/>
      </c>
      <c r="N925" s="24">
        <f>IF($A925="","",WORKDAY($A925,Settings!$C$9,HolidayDates))</f>
        <v>46182</v>
      </c>
      <c r="O925" s="24">
        <f>IF($N925="","",WORKDAY($N925,Settings!$C$10,HolidayDates))</f>
        <v>46220</v>
      </c>
      <c r="P925" s="10" t="s">
        <v>501</v>
      </c>
      <c r="Q925" s="52" t="str">
        <f t="shared" si="163"/>
        <v>Collected</v>
      </c>
      <c r="R925" s="55" t="str">
        <f t="shared" si="164"/>
        <v>2026-06</v>
      </c>
      <c r="S925" s="55">
        <f>IF(OR($B925="",$F925="",$R925=""),"",SUMIFS(tblIssues[Qty Issued],tblIssues[Staff ID],$B925,tblIssues[Item Name],$F925,tblIssues[Month],$R925))</f>
        <v>4</v>
      </c>
      <c r="T925" s="56">
        <f>IF($I925="","",$I925*Settings!$C$11)</f>
        <v>4</v>
      </c>
      <c r="U925" s="57" t="str">
        <f t="shared" si="161"/>
        <v>OK</v>
      </c>
      <c r="V925" s="55" t="str">
        <f t="shared" si="165"/>
        <v/>
      </c>
      <c r="W925" s="55" t="str">
        <f>IF($V925="","",IF(COUNTIF($V$5:$V925,$V925)=1,1,""))</f>
        <v/>
      </c>
      <c r="X925" s="58" t="str">
        <f>IF($W925="","",MAX($X$4:X924)+1)</f>
        <v/>
      </c>
      <c r="Y925" s="62"/>
      <c r="Z925" s="62"/>
      <c r="AA925" s="64" t="str">
        <f>IF($C925="","",IFERROR(INDEX('Staff Directory'!$E$5:$E$594,MATCH($C925,'Staff Directory'!$B$5:$B$594,0)),""))</f>
        <v>firstname244.lastname244@example.com</v>
      </c>
      <c r="AB925" s="64" t="str">
        <f>IF($C925="","",IF(ISNUMBER(SEARCH($D925,Settings!$C$15)),"Pickup","Dispatch"))</f>
        <v>Pickup</v>
      </c>
      <c r="AC925" s="64" t="str">
        <f t="shared" si="166"/>
        <v>Supply order ready for pickup</v>
      </c>
      <c r="AD925" s="64" t="str">
        <f t="shared" si="157"/>
        <v>Dear PSW,
Your order is ready for pickup from Sample Branch, Wed-Fri 9am-4pm.</v>
      </c>
      <c r="AE925" s="64" t="str">
        <f t="shared" si="158"/>
        <v>mailto:firstname244.lastname244@example.com?subject=Supply%20order%20ready%20for%20pickup&amp;body=Dear%20PSW%2C%0A%0AYour%20order%20is%20ready%20for%20pickup%20from%20Sample%20Branch%2C%20Wed-Fri%209am-4pm.</v>
      </c>
      <c r="AF925" s="89" t="str">
        <f t="shared" si="167"/>
        <v>Draft email</v>
      </c>
      <c r="AG925" s="64" t="str">
        <f>IF($C925="","",IFERROR(INDEX('Staff Directory'!$K$595:$K$599,MATCH($C925,'Staff Directory'!$B$5:$B$599,0)),$D925))</f>
        <v>PSW</v>
      </c>
      <c r="AH925" t="str">
        <f>IF($C925="","",IFERROR(INDEX('Staff Directory'!$I$595:$I$599,MATCH($C925,'Staff Directory'!$B$5:$B$599,0))&amp;" "&amp;INDEX('Staff Directory'!$J$595:$J$599,MATCH($C925,'Staff Directory'!$B$5:$B$599,0)),$AG925))</f>
        <v>PSW</v>
      </c>
      <c r="AI925" s="102"/>
      <c r="AJ925" s="101">
        <f>IF($F925="","",SUMIFS($J$5:$J925,$F$5:$F925,$F925))</f>
        <v>36</v>
      </c>
      <c r="AK925" s="101">
        <f t="shared" si="159"/>
        <v>33</v>
      </c>
      <c r="AL925" s="66" t="str" cm="1">
        <f t="array" ref="AL925">IF($F925="","",IFERROR(INDEX('Lot Balance'!$B$5:$B$500,MATCH(1,INDEX(('Lot Balance'!$A$5:$A$500=$F925)*('Lot Balance'!$K$5:$K$500&lt;$AK925)*('Lot Balance'!$K$5:$K$500+'Lot Balance'!$D$5:$D$500&gt;=$AK925),0),0)),""))</f>
        <v/>
      </c>
      <c r="AM925" s="66" t="str" cm="1">
        <f t="array" ref="AM925">IF($F925="","",IFERROR(INDEX('Lot Balance'!$B$5:$B$500,MATCH(1,INDEX(('Lot Balance'!$A$5:$A$500=$F925)*('Lot Balance'!$K$5:$K$500&lt;$AJ925)*('Lot Balance'!$K$5:$K$500+'Lot Balance'!$D$5:$D$500&gt;=$AJ925),0),0)),""))</f>
        <v/>
      </c>
      <c r="AN925" s="66" t="str">
        <f>IF($F925="","",IF($AI925&lt;&gt;"",IF(COUNTIFS('Lot Balance'!$A$5:$A$500,$F925,'Lot Balance'!$B$5:$B$500,$AI925)=0,"⚠ override is not a lot of this item",IF($AI925=$AL925,"Override = FEFO","Override - FEFO says "&amp;$AL925)),IF($AL925="","⚠ no receipt on file for this item",IF($AM925&lt;&gt;$AL925,"FEFO auto - split, also "&amp;$AM925,"FEFO auto"))))</f>
        <v>⚠ no receipt on file for this item</v>
      </c>
      <c r="AO925" s="114"/>
    </row>
    <row r="926" spans="1:41" x14ac:dyDescent="0.35">
      <c r="A926" s="74">
        <v>46174</v>
      </c>
      <c r="B926" s="18" t="str">
        <f>IF($C926="","",IFERROR(INDEX('Staff Directory'!$A$5:$A$594,MATCH($C926,'Staff Directory'!$B$5:$B$594,0)),"⚠ unknown staff"))</f>
        <v>PSW-181-TBD</v>
      </c>
      <c r="C926" s="49" t="s">
        <v>1160</v>
      </c>
      <c r="D926" s="19" t="str">
        <f>IF($B926="","",IFERROR(INDEX('Staff Directory'!$C$5:$C$594,MATCH($B926,'Staff Directory'!$A$5:$A$594,0)),""))</f>
        <v>PSW</v>
      </c>
      <c r="E926" s="19">
        <f>IF($B926="","",IFERROR(INDEX('Staff Directory'!$D$5:$D$594,MATCH($B926,'Staff Directory'!$A$5:$A$594,0)),""))</f>
        <v>0</v>
      </c>
      <c r="F926" s="9" t="s">
        <v>154</v>
      </c>
      <c r="G926" s="18" t="str">
        <f>IF($F926="","",IFERROR(INDEX(Items!$B$5:$B$597,MATCH($F926,Items!$A$5:$A$597,0)),"⚠ not in Items"))</f>
        <v>IPAC</v>
      </c>
      <c r="H926" s="19" t="str">
        <f>IF($F926="","",IFERROR(INDEX(Items!$C$5:$C$597,MATCH($F926,Items!$A$5:$A$597,0)),""))</f>
        <v>Regular</v>
      </c>
      <c r="I926" s="23">
        <f>IF($F926="","",IFERROR(INDEX(Items!$E$5:$E$597,MATCH($F926,Items!$A$5:$A$597,0)),""))</f>
        <v>50</v>
      </c>
      <c r="J926" s="115">
        <f>IF(tblIssues[[#This Row],[Qty Override]]&lt;&gt;"",tblIssues[[#This Row],[Qty Override]],IF(tblIssues[[#This Row],[Standard Issue]]="","",tblIssues[[#This Row],[Standard Issue]]))</f>
        <v>50</v>
      </c>
      <c r="K926" s="20">
        <f>IF($F926="","",IFERROR(INDEX(Items!$D$5:$D$597,MATCH($F926,Items!$A$5:$A$597,0)),""))</f>
        <v>0.2</v>
      </c>
      <c r="L926" s="21">
        <f t="shared" si="162"/>
        <v>10</v>
      </c>
      <c r="M926" s="9" t="str">
        <f t="shared" si="160"/>
        <v/>
      </c>
      <c r="N926" s="24">
        <f>IF($A926="","",WORKDAY($A926,Settings!$C$9,HolidayDates))</f>
        <v>46182</v>
      </c>
      <c r="O926" s="24">
        <f>IF($N926="","",WORKDAY($N926,Settings!$C$10,HolidayDates))</f>
        <v>46220</v>
      </c>
      <c r="P926" s="10" t="s">
        <v>501</v>
      </c>
      <c r="Q926" s="52" t="str">
        <f t="shared" si="163"/>
        <v>Collected</v>
      </c>
      <c r="R926" s="55" t="str">
        <f t="shared" si="164"/>
        <v>2026-06</v>
      </c>
      <c r="S926" s="55">
        <f>IF(OR($B926="",$F926="",$R926=""),"",SUMIFS(tblIssues[Qty Issued],tblIssues[Staff ID],$B926,tblIssues[Item Name],$F926,tblIssues[Month],$R926))</f>
        <v>50</v>
      </c>
      <c r="T926" s="56">
        <f>IF($I926="","",$I926*Settings!$C$11)</f>
        <v>50</v>
      </c>
      <c r="U926" s="57" t="str">
        <f t="shared" si="161"/>
        <v>OK</v>
      </c>
      <c r="V926" s="55" t="str">
        <f t="shared" si="165"/>
        <v/>
      </c>
      <c r="W926" s="55" t="str">
        <f>IF($V926="","",IF(COUNTIF($V$5:$V926,$V926)=1,1,""))</f>
        <v/>
      </c>
      <c r="X926" s="58" t="str">
        <f>IF($W926="","",MAX($X$4:X925)+1)</f>
        <v/>
      </c>
      <c r="Y926" s="62"/>
      <c r="Z926" s="62"/>
      <c r="AA926" s="64" t="str">
        <f>IF($C926="","",IFERROR(INDEX('Staff Directory'!$E$5:$E$594,MATCH($C926,'Staff Directory'!$B$5:$B$594,0)),""))</f>
        <v>firstname244.lastname244@example.com</v>
      </c>
      <c r="AB926" s="64" t="str">
        <f>IF($C926="","",IF(ISNUMBER(SEARCH($D926,Settings!$C$15)),"Pickup","Dispatch"))</f>
        <v>Pickup</v>
      </c>
      <c r="AC926" s="64" t="str">
        <f t="shared" si="166"/>
        <v>Supply order ready for pickup</v>
      </c>
      <c r="AD926" s="64" t="str">
        <f t="shared" si="157"/>
        <v>Dear PSW,
Your order is ready for pickup from Sample Branch, Wed-Fri 9am-4pm.</v>
      </c>
      <c r="AE926" s="64" t="str">
        <f t="shared" si="158"/>
        <v>mailto:firstname244.lastname244@example.com?subject=Supply%20order%20ready%20for%20pickup&amp;body=Dear%20PSW%2C%0A%0AYour%20order%20is%20ready%20for%20pickup%20from%20Sample%20Branch%2C%20Wed-Fri%209am-4pm.</v>
      </c>
      <c r="AF926" s="89" t="str">
        <f t="shared" si="167"/>
        <v>Draft email</v>
      </c>
      <c r="AG926" s="64" t="str">
        <f>IF($C926="","",IFERROR(INDEX('Staff Directory'!$K$595:$K$599,MATCH($C926,'Staff Directory'!$B$5:$B$599,0)),$D926))</f>
        <v>PSW</v>
      </c>
      <c r="AH926" t="str">
        <f>IF($C926="","",IFERROR(INDEX('Staff Directory'!$I$595:$I$599,MATCH($C926,'Staff Directory'!$B$5:$B$599,0))&amp;" "&amp;INDEX('Staff Directory'!$J$595:$J$599,MATCH($C926,'Staff Directory'!$B$5:$B$599,0)),$AG926))</f>
        <v>PSW</v>
      </c>
      <c r="AI926" s="102"/>
      <c r="AJ926" s="101">
        <f>IF($F926="","",SUMIFS($J$5:$J926,$F$5:$F926,$F926))</f>
        <v>850</v>
      </c>
      <c r="AK926" s="101">
        <f t="shared" si="159"/>
        <v>801</v>
      </c>
      <c r="AL926" s="66" t="str" cm="1">
        <f t="array" ref="AL926">IF($F926="","",IFERROR(INDEX('Lot Balance'!$B$5:$B$500,MATCH(1,INDEX(('Lot Balance'!$A$5:$A$500=$F926)*('Lot Balance'!$K$5:$K$500&lt;$AK926)*('Lot Balance'!$K$5:$K$500+'Lot Balance'!$D$5:$D$500&gt;=$AK926),0),0)),""))</f>
        <v/>
      </c>
      <c r="AM926" s="66" t="str" cm="1">
        <f t="array" ref="AM926">IF($F926="","",IFERROR(INDEX('Lot Balance'!$B$5:$B$500,MATCH(1,INDEX(('Lot Balance'!$A$5:$A$500=$F926)*('Lot Balance'!$K$5:$K$500&lt;$AJ926)*('Lot Balance'!$K$5:$K$500+'Lot Balance'!$D$5:$D$500&gt;=$AJ926),0),0)),""))</f>
        <v/>
      </c>
      <c r="AN926" s="66" t="str">
        <f>IF($F926="","",IF($AI926&lt;&gt;"",IF(COUNTIFS('Lot Balance'!$A$5:$A$500,$F926,'Lot Balance'!$B$5:$B$500,$AI926)=0,"⚠ override is not a lot of this item",IF($AI926=$AL926,"Override = FEFO","Override - FEFO says "&amp;$AL926)),IF($AL926="","⚠ no receipt on file for this item",IF($AM926&lt;&gt;$AL926,"FEFO auto - split, also "&amp;$AM926,"FEFO auto"))))</f>
        <v>⚠ no receipt on file for this item</v>
      </c>
      <c r="AO926" s="114"/>
    </row>
    <row r="927" spans="1:41" x14ac:dyDescent="0.35">
      <c r="A927" s="74">
        <v>46174</v>
      </c>
      <c r="B927" s="18" t="str">
        <f>IF($C927="","",IFERROR(INDEX('Staff Directory'!$A$5:$A$594,MATCH($C927,'Staff Directory'!$B$5:$B$594,0)),"⚠ unknown staff"))</f>
        <v>PSW-181-TBD</v>
      </c>
      <c r="C927" s="49" t="s">
        <v>1160</v>
      </c>
      <c r="D927" s="19" t="str">
        <f>IF($B927="","",IFERROR(INDEX('Staff Directory'!$C$5:$C$594,MATCH($B927,'Staff Directory'!$A$5:$A$594,0)),""))</f>
        <v>PSW</v>
      </c>
      <c r="E927" s="19">
        <f>IF($B927="","",IFERROR(INDEX('Staff Directory'!$D$5:$D$594,MATCH($B927,'Staff Directory'!$A$5:$A$594,0)),""))</f>
        <v>0</v>
      </c>
      <c r="F927" s="9" t="s">
        <v>136</v>
      </c>
      <c r="G927" s="18" t="str">
        <f>IF($F927="","",IFERROR(INDEX(Items!$B$5:$B$597,MATCH($F927,Items!$A$5:$A$597,0)),"⚠ not in Items"))</f>
        <v>Eye Protection</v>
      </c>
      <c r="H927" s="19" t="str">
        <f>IF($F927="","",IFERROR(INDEX(Items!$C$5:$C$597,MATCH($F927,Items!$A$5:$A$597,0)),""))</f>
        <v>One Size</v>
      </c>
      <c r="I927" s="23">
        <f>IF($F927="","",IFERROR(INDEX(Items!$E$5:$E$597,MATCH($F927,Items!$A$5:$A$597,0)),""))</f>
        <v>1</v>
      </c>
      <c r="J927" s="115">
        <f>IF(tblIssues[[#This Row],[Qty Override]]&lt;&gt;"",tblIssues[[#This Row],[Qty Override]],IF(tblIssues[[#This Row],[Standard Issue]]="","",tblIssues[[#This Row],[Standard Issue]]))</f>
        <v>1</v>
      </c>
      <c r="K927" s="20">
        <f>IF($F927="","",IFERROR(INDEX(Items!$D$5:$D$597,MATCH($F927,Items!$A$5:$A$597,0)),""))</f>
        <v>10</v>
      </c>
      <c r="L927" s="21">
        <f t="shared" si="162"/>
        <v>10</v>
      </c>
      <c r="M927" s="9" t="str">
        <f t="shared" si="160"/>
        <v>GGL5003700</v>
      </c>
      <c r="N927" s="24">
        <f>IF($A927="","",WORKDAY($A927,Settings!$C$9,HolidayDates))</f>
        <v>46182</v>
      </c>
      <c r="O927" s="24">
        <f>IF($N927="","",WORKDAY($N927,Settings!$C$10,HolidayDates))</f>
        <v>46220</v>
      </c>
      <c r="P927" s="10" t="s">
        <v>501</v>
      </c>
      <c r="Q927" s="52" t="str">
        <f t="shared" si="163"/>
        <v>Collected</v>
      </c>
      <c r="R927" s="55" t="str">
        <f t="shared" si="164"/>
        <v>2026-06</v>
      </c>
      <c r="S927" s="55">
        <f>IF(OR($B927="",$F927="",$R927=""),"",SUMIFS(tblIssues[Qty Issued],tblIssues[Staff ID],$B927,tblIssues[Item Name],$F927,tblIssues[Month],$R927))</f>
        <v>1</v>
      </c>
      <c r="T927" s="56">
        <f>IF($I927="","",$I927*Settings!$C$11)</f>
        <v>1</v>
      </c>
      <c r="U927" s="57" t="str">
        <f t="shared" si="161"/>
        <v>OK</v>
      </c>
      <c r="V927" s="55" t="str">
        <f t="shared" si="165"/>
        <v/>
      </c>
      <c r="W927" s="55" t="str">
        <f>IF($V927="","",IF(COUNTIF($V$5:$V927,$V927)=1,1,""))</f>
        <v/>
      </c>
      <c r="X927" s="58" t="str">
        <f>IF($W927="","",MAX($X$4:X926)+1)</f>
        <v/>
      </c>
      <c r="Y927" s="62"/>
      <c r="Z927" s="62"/>
      <c r="AA927" s="64" t="str">
        <f>IF($C927="","",IFERROR(INDEX('Staff Directory'!$E$5:$E$594,MATCH($C927,'Staff Directory'!$B$5:$B$594,0)),""))</f>
        <v>firstname244.lastname244@example.com</v>
      </c>
      <c r="AB927" s="64" t="str">
        <f>IF($C927="","",IF(ISNUMBER(SEARCH($D927,Settings!$C$15)),"Pickup","Dispatch"))</f>
        <v>Pickup</v>
      </c>
      <c r="AC927" s="64" t="str">
        <f t="shared" si="166"/>
        <v>Supply order ready for pickup</v>
      </c>
      <c r="AD927" s="64" t="str">
        <f t="shared" si="157"/>
        <v>Dear PSW,
Your order is ready for pickup from Sample Branch, Wed-Fri 9am-4pm.</v>
      </c>
      <c r="AE927" s="64" t="str">
        <f t="shared" si="158"/>
        <v>mailto:firstname244.lastname244@example.com?subject=Supply%20order%20ready%20for%20pickup&amp;body=Dear%20PSW%2C%0A%0AYour%20order%20is%20ready%20for%20pickup%20from%20Sample%20Branch%2C%20Wed-Fri%209am-4pm.</v>
      </c>
      <c r="AF927" s="89" t="str">
        <f t="shared" si="167"/>
        <v>Draft email</v>
      </c>
      <c r="AG927" s="64" t="str">
        <f>IF($C927="","",IFERROR(INDEX('Staff Directory'!$K$595:$K$599,MATCH($C927,'Staff Directory'!$B$5:$B$599,0)),$D927))</f>
        <v>PSW</v>
      </c>
      <c r="AH927" t="str">
        <f>IF($C927="","",IFERROR(INDEX('Staff Directory'!$I$595:$I$599,MATCH($C927,'Staff Directory'!$B$5:$B$599,0))&amp;" "&amp;INDEX('Staff Directory'!$J$595:$J$599,MATCH($C927,'Staff Directory'!$B$5:$B$599,0)),$AG927))</f>
        <v>PSW</v>
      </c>
      <c r="AI927" s="102"/>
      <c r="AJ927" s="101">
        <f>IF($F927="","",SUMIFS($J$5:$J927,$F$5:$F927,$F927))</f>
        <v>6</v>
      </c>
      <c r="AK927" s="101">
        <f t="shared" si="159"/>
        <v>6</v>
      </c>
      <c r="AL927" s="66" t="str" cm="1">
        <f t="array" ref="AL927">IF($F927="","",IFERROR(INDEX('Lot Balance'!$B$5:$B$500,MATCH(1,INDEX(('Lot Balance'!$A$5:$A$500=$F927)*('Lot Balance'!$K$5:$K$500&lt;$AK927)*('Lot Balance'!$K$5:$K$500+'Lot Balance'!$D$5:$D$500&gt;=$AK927),0),0)),""))</f>
        <v>GGL5003700</v>
      </c>
      <c r="AM927" s="66" t="str" cm="1">
        <f t="array" ref="AM927">IF($F927="","",IFERROR(INDEX('Lot Balance'!$B$5:$B$500,MATCH(1,INDEX(('Lot Balance'!$A$5:$A$500=$F927)*('Lot Balance'!$K$5:$K$500&lt;$AJ927)*('Lot Balance'!$K$5:$K$500+'Lot Balance'!$D$5:$D$500&gt;=$AJ927),0),0)),""))</f>
        <v>GGL5003700</v>
      </c>
      <c r="AN927" s="66" t="str">
        <f>IF($F927="","",IF($AI927&lt;&gt;"",IF(COUNTIFS('Lot Balance'!$A$5:$A$500,$F927,'Lot Balance'!$B$5:$B$500,$AI927)=0,"⚠ override is not a lot of this item",IF($AI927=$AL927,"Override = FEFO","Override - FEFO says "&amp;$AL927)),IF($AL927="","⚠ no receipt on file for this item",IF($AM927&lt;&gt;$AL927,"FEFO auto - split, also "&amp;$AM927,"FEFO auto"))))</f>
        <v>FEFO auto</v>
      </c>
      <c r="AO927" s="114"/>
    </row>
    <row r="928" spans="1:41" x14ac:dyDescent="0.35">
      <c r="A928" s="74">
        <v>46174</v>
      </c>
      <c r="B928" s="18" t="str">
        <f>IF($C928="","",IFERROR(INDEX('Staff Directory'!$A$5:$A$594,MATCH($C928,'Staff Directory'!$B$5:$B$594,0)),"⚠ unknown staff"))</f>
        <v>PSW-181-TBD</v>
      </c>
      <c r="C928" s="49" t="s">
        <v>1160</v>
      </c>
      <c r="D928" s="19" t="str">
        <f>IF($B928="","",IFERROR(INDEX('Staff Directory'!$C$5:$C$594,MATCH($B928,'Staff Directory'!$A$5:$A$594,0)),""))</f>
        <v>PSW</v>
      </c>
      <c r="E928" s="19">
        <f>IF($B928="","",IFERROR(INDEX('Staff Directory'!$D$5:$D$594,MATCH($B928,'Staff Directory'!$A$5:$A$594,0)),""))</f>
        <v>0</v>
      </c>
      <c r="F928" s="9" t="s">
        <v>122</v>
      </c>
      <c r="G928" s="18" t="str">
        <f>IF($F928="","",IFERROR(INDEX(Items!$B$5:$B$597,MATCH($F928,Items!$A$5:$A$597,0)),"⚠ not in Items"))</f>
        <v>Eye Protection</v>
      </c>
      <c r="H928" s="19" t="str">
        <f>IF($F928="","",IFERROR(INDEX(Items!$C$5:$C$597,MATCH($F928,Items!$A$5:$A$597,0)),""))</f>
        <v>One Size</v>
      </c>
      <c r="I928" s="23">
        <f>IF($F928="","",IFERROR(INDEX(Items!$E$5:$E$597,MATCH($F928,Items!$A$5:$A$597,0)),""))</f>
        <v>1</v>
      </c>
      <c r="J928" s="115">
        <f>IF(tblIssues[[#This Row],[Qty Override]]&lt;&gt;"",tblIssues[[#This Row],[Qty Override]],IF(tblIssues[[#This Row],[Standard Issue]]="","",tblIssues[[#This Row],[Standard Issue]]))</f>
        <v>1</v>
      </c>
      <c r="K928" s="20">
        <f>IF($F928="","",IFERROR(INDEX(Items!$D$5:$D$597,MATCH($F928,Items!$A$5:$A$597,0)),""))</f>
        <v>7</v>
      </c>
      <c r="L928" s="21">
        <f t="shared" si="162"/>
        <v>7</v>
      </c>
      <c r="M928" s="9" t="str">
        <f t="shared" si="160"/>
        <v/>
      </c>
      <c r="N928" s="24">
        <f>IF($A928="","",WORKDAY($A928,Settings!$C$9,HolidayDates))</f>
        <v>46182</v>
      </c>
      <c r="O928" s="24">
        <f>IF($N928="","",WORKDAY($N928,Settings!$C$10,HolidayDates))</f>
        <v>46220</v>
      </c>
      <c r="P928" s="10" t="s">
        <v>501</v>
      </c>
      <c r="Q928" s="52" t="str">
        <f t="shared" si="163"/>
        <v>Collected</v>
      </c>
      <c r="R928" s="55" t="str">
        <f t="shared" si="164"/>
        <v>2026-06</v>
      </c>
      <c r="S928" s="55">
        <f>IF(OR($B928="",$F928="",$R928=""),"",SUMIFS(tblIssues[Qty Issued],tblIssues[Staff ID],$B928,tblIssues[Item Name],$F928,tblIssues[Month],$R928))</f>
        <v>1</v>
      </c>
      <c r="T928" s="56">
        <f>IF($I928="","",$I928*Settings!$C$11)</f>
        <v>1</v>
      </c>
      <c r="U928" s="57" t="str">
        <f t="shared" si="161"/>
        <v>OK</v>
      </c>
      <c r="V928" s="55" t="str">
        <f t="shared" si="165"/>
        <v/>
      </c>
      <c r="W928" s="55" t="str">
        <f>IF($V928="","",IF(COUNTIF($V$5:$V928,$V928)=1,1,""))</f>
        <v/>
      </c>
      <c r="X928" s="58" t="str">
        <f>IF($W928="","",MAX($X$4:X927)+1)</f>
        <v/>
      </c>
      <c r="Y928" s="62"/>
      <c r="Z928" s="62"/>
      <c r="AA928" s="64" t="str">
        <f>IF($C928="","",IFERROR(INDEX('Staff Directory'!$E$5:$E$594,MATCH($C928,'Staff Directory'!$B$5:$B$594,0)),""))</f>
        <v>firstname244.lastname244@example.com</v>
      </c>
      <c r="AB928" s="64" t="str">
        <f>IF($C928="","",IF(ISNUMBER(SEARCH($D928,Settings!$C$15)),"Pickup","Dispatch"))</f>
        <v>Pickup</v>
      </c>
      <c r="AC928" s="64" t="str">
        <f t="shared" si="166"/>
        <v>Supply order ready for pickup</v>
      </c>
      <c r="AD928" s="64" t="str">
        <f t="shared" si="157"/>
        <v>Dear PSW,
Your order is ready for pickup from Sample Branch, Wed-Fri 9am-4pm.</v>
      </c>
      <c r="AE928" s="64" t="str">
        <f t="shared" si="158"/>
        <v>mailto:firstname244.lastname244@example.com?subject=Supply%20order%20ready%20for%20pickup&amp;body=Dear%20PSW%2C%0A%0AYour%20order%20is%20ready%20for%20pickup%20from%20Sample%20Branch%2C%20Wed-Fri%209am-4pm.</v>
      </c>
      <c r="AF928" s="89" t="str">
        <f t="shared" si="167"/>
        <v>Draft email</v>
      </c>
      <c r="AG928" s="64" t="str">
        <f>IF($C928="","",IFERROR(INDEX('Staff Directory'!$K$595:$K$599,MATCH($C928,'Staff Directory'!$B$5:$B$599,0)),$D928))</f>
        <v>PSW</v>
      </c>
      <c r="AH928" t="str">
        <f>IF($C928="","",IFERROR(INDEX('Staff Directory'!$I$595:$I$599,MATCH($C928,'Staff Directory'!$B$5:$B$599,0))&amp;" "&amp;INDEX('Staff Directory'!$J$595:$J$599,MATCH($C928,'Staff Directory'!$B$5:$B$599,0)),$AG928))</f>
        <v>PSW</v>
      </c>
      <c r="AI928" s="102"/>
      <c r="AJ928" s="101">
        <f>IF($F928="","",SUMIFS($J$5:$J928,$F$5:$F928,$F928))</f>
        <v>7</v>
      </c>
      <c r="AK928" s="101">
        <f t="shared" si="159"/>
        <v>7</v>
      </c>
      <c r="AL928" s="66" t="str" cm="1">
        <f t="array" ref="AL928">IF($F928="","",IFERROR(INDEX('Lot Balance'!$B$5:$B$500,MATCH(1,INDEX(('Lot Balance'!$A$5:$A$500=$F928)*('Lot Balance'!$K$5:$K$500&lt;$AK928)*('Lot Balance'!$K$5:$K$500+'Lot Balance'!$D$5:$D$500&gt;=$AK928),0),0)),""))</f>
        <v/>
      </c>
      <c r="AM928" s="66" t="str" cm="1">
        <f t="array" ref="AM928">IF($F928="","",IFERROR(INDEX('Lot Balance'!$B$5:$B$500,MATCH(1,INDEX(('Lot Balance'!$A$5:$A$500=$F928)*('Lot Balance'!$K$5:$K$500&lt;$AJ928)*('Lot Balance'!$K$5:$K$500+'Lot Balance'!$D$5:$D$500&gt;=$AJ928),0),0)),""))</f>
        <v/>
      </c>
      <c r="AN928" s="66" t="str">
        <f>IF($F928="","",IF($AI928&lt;&gt;"",IF(COUNTIFS('Lot Balance'!$A$5:$A$500,$F928,'Lot Balance'!$B$5:$B$500,$AI928)=0,"⚠ override is not a lot of this item",IF($AI928=$AL928,"Override = FEFO","Override - FEFO says "&amp;$AL928)),IF($AL928="","⚠ no receipt on file for this item",IF($AM928&lt;&gt;$AL928,"FEFO auto - split, also "&amp;$AM928,"FEFO auto"))))</f>
        <v>⚠ no receipt on file for this item</v>
      </c>
      <c r="AO928" s="114"/>
    </row>
    <row r="929" spans="1:41" x14ac:dyDescent="0.35">
      <c r="A929" s="74">
        <v>46174</v>
      </c>
      <c r="B929" s="18" t="str">
        <f>IF($C929="","",IFERROR(INDEX('Staff Directory'!$A$5:$A$594,MATCH($C929,'Staff Directory'!$B$5:$B$594,0)),"⚠ unknown staff"))</f>
        <v>PSW-181-TBD</v>
      </c>
      <c r="C929" s="49" t="s">
        <v>1160</v>
      </c>
      <c r="D929" s="19" t="str">
        <f>IF($B929="","",IFERROR(INDEX('Staff Directory'!$C$5:$C$594,MATCH($B929,'Staff Directory'!$A$5:$A$594,0)),""))</f>
        <v>PSW</v>
      </c>
      <c r="E929" s="19">
        <f>IF($B929="","",IFERROR(INDEX('Staff Directory'!$D$5:$D$594,MATCH($B929,'Staff Directory'!$A$5:$A$594,0)),""))</f>
        <v>0</v>
      </c>
      <c r="F929" s="9" t="s">
        <v>150</v>
      </c>
      <c r="G929" s="18" t="str">
        <f>IF($F929="","",IFERROR(INDEX(Items!$B$5:$B$597,MATCH($F929,Items!$A$5:$A$597,0)),"⚠ not in Items"))</f>
        <v>Documents</v>
      </c>
      <c r="H929" s="19" t="str">
        <f>IF($F929="","",IFERROR(INDEX(Items!$C$5:$C$597,MATCH($F929,Items!$A$5:$A$597,0)),""))</f>
        <v>Standard</v>
      </c>
      <c r="I929" s="23">
        <f>IF($F929="","",IFERROR(INDEX(Items!$E$5:$E$597,MATCH($F929,Items!$A$5:$A$597,0)),""))</f>
        <v>1</v>
      </c>
      <c r="J929" s="115">
        <f>IF(tblIssues[[#This Row],[Qty Override]]&lt;&gt;"",tblIssues[[#This Row],[Qty Override]],IF(tblIssues[[#This Row],[Standard Issue]]="","",tblIssues[[#This Row],[Standard Issue]]))</f>
        <v>1</v>
      </c>
      <c r="K929" s="20">
        <f>IF($F929="","",IFERROR(INDEX(Items!$D$5:$D$597,MATCH($F929,Items!$A$5:$A$597,0)),""))</f>
        <v>0</v>
      </c>
      <c r="L929" s="21">
        <f t="shared" si="162"/>
        <v>0</v>
      </c>
      <c r="M929" s="9" t="str">
        <f t="shared" si="160"/>
        <v/>
      </c>
      <c r="N929" s="24">
        <f>IF($A929="","",WORKDAY($A929,Settings!$C$9,HolidayDates))</f>
        <v>46182</v>
      </c>
      <c r="O929" s="24">
        <f>IF($N929="","",WORKDAY($N929,Settings!$C$10,HolidayDates))</f>
        <v>46220</v>
      </c>
      <c r="P929" s="10" t="s">
        <v>501</v>
      </c>
      <c r="Q929" s="52" t="str">
        <f t="shared" si="163"/>
        <v>Collected</v>
      </c>
      <c r="R929" s="55" t="str">
        <f t="shared" si="164"/>
        <v>2026-06</v>
      </c>
      <c r="S929" s="55">
        <f>IF(OR($B929="",$F929="",$R929=""),"",SUMIFS(tblIssues[Qty Issued],tblIssues[Staff ID],$B929,tblIssues[Item Name],$F929,tblIssues[Month],$R929))</f>
        <v>1</v>
      </c>
      <c r="T929" s="56">
        <f>IF($I929="","",$I929*Settings!$C$11)</f>
        <v>1</v>
      </c>
      <c r="U929" s="57" t="str">
        <f t="shared" si="161"/>
        <v>OK</v>
      </c>
      <c r="V929" s="55" t="str">
        <f t="shared" si="165"/>
        <v/>
      </c>
      <c r="W929" s="55" t="str">
        <f>IF($V929="","",IF(COUNTIF($V$5:$V929,$V929)=1,1,""))</f>
        <v/>
      </c>
      <c r="X929" s="58" t="str">
        <f>IF($W929="","",MAX($X$4:X928)+1)</f>
        <v/>
      </c>
      <c r="Y929" s="62"/>
      <c r="Z929" s="62"/>
      <c r="AA929" s="64" t="str">
        <f>IF($C929="","",IFERROR(INDEX('Staff Directory'!$E$5:$E$594,MATCH($C929,'Staff Directory'!$B$5:$B$594,0)),""))</f>
        <v>firstname244.lastname244@example.com</v>
      </c>
      <c r="AB929" s="64" t="str">
        <f>IF($C929="","",IF(ISNUMBER(SEARCH($D929,Settings!$C$15)),"Pickup","Dispatch"))</f>
        <v>Pickup</v>
      </c>
      <c r="AC929" s="64" t="str">
        <f t="shared" si="166"/>
        <v>Supply order ready for pickup</v>
      </c>
      <c r="AD929" s="64" t="str">
        <f t="shared" si="157"/>
        <v>Dear PSW,
Your order is ready for pickup from Sample Branch, Wed-Fri 9am-4pm.</v>
      </c>
      <c r="AE929" s="64" t="str">
        <f t="shared" si="158"/>
        <v>mailto:firstname244.lastname244@example.com?subject=Supply%20order%20ready%20for%20pickup&amp;body=Dear%20PSW%2C%0A%0AYour%20order%20is%20ready%20for%20pickup%20from%20Sample%20Branch%2C%20Wed-Fri%209am-4pm.</v>
      </c>
      <c r="AF929" s="89" t="str">
        <f t="shared" si="167"/>
        <v>Draft email</v>
      </c>
      <c r="AG929" s="64" t="str">
        <f>IF($C929="","",IFERROR(INDEX('Staff Directory'!$K$595:$K$599,MATCH($C929,'Staff Directory'!$B$5:$B$599,0)),$D929))</f>
        <v>PSW</v>
      </c>
      <c r="AH929" t="str">
        <f>IF($C929="","",IFERROR(INDEX('Staff Directory'!$I$595:$I$599,MATCH($C929,'Staff Directory'!$B$5:$B$599,0))&amp;" "&amp;INDEX('Staff Directory'!$J$595:$J$599,MATCH($C929,'Staff Directory'!$B$5:$B$599,0)),$AG929))</f>
        <v>PSW</v>
      </c>
      <c r="AI929" s="102"/>
      <c r="AJ929" s="101">
        <f>IF($F929="","",SUMIFS($J$5:$J929,$F$5:$F929,$F929))</f>
        <v>7</v>
      </c>
      <c r="AK929" s="101">
        <f t="shared" si="159"/>
        <v>7</v>
      </c>
      <c r="AL929" s="66" t="str" cm="1">
        <f t="array" ref="AL929">IF($F929="","",IFERROR(INDEX('Lot Balance'!$B$5:$B$500,MATCH(1,INDEX(('Lot Balance'!$A$5:$A$500=$F929)*('Lot Balance'!$K$5:$K$500&lt;$AK929)*('Lot Balance'!$K$5:$K$500+'Lot Balance'!$D$5:$D$500&gt;=$AK929),0),0)),""))</f>
        <v/>
      </c>
      <c r="AM929" s="66" t="str" cm="1">
        <f t="array" ref="AM929">IF($F929="","",IFERROR(INDEX('Lot Balance'!$B$5:$B$500,MATCH(1,INDEX(('Lot Balance'!$A$5:$A$500=$F929)*('Lot Balance'!$K$5:$K$500&lt;$AJ929)*('Lot Balance'!$K$5:$K$500+'Lot Balance'!$D$5:$D$500&gt;=$AJ929),0),0)),""))</f>
        <v/>
      </c>
      <c r="AN929" s="66" t="str">
        <f>IF($F929="","",IF($AI929&lt;&gt;"",IF(COUNTIFS('Lot Balance'!$A$5:$A$500,$F929,'Lot Balance'!$B$5:$B$500,$AI929)=0,"⚠ override is not a lot of this item",IF($AI929=$AL929,"Override = FEFO","Override - FEFO says "&amp;$AL929)),IF($AL929="","⚠ no receipt on file for this item",IF($AM929&lt;&gt;$AL929,"FEFO auto - split, also "&amp;$AM929,"FEFO auto"))))</f>
        <v>⚠ no receipt on file for this item</v>
      </c>
      <c r="AO929" s="114"/>
    </row>
    <row r="930" spans="1:41" x14ac:dyDescent="0.35">
      <c r="A930" s="74">
        <v>46174</v>
      </c>
      <c r="B930" s="18" t="str">
        <f>IF($C930="","",IFERROR(INDEX('Staff Directory'!$A$5:$A$594,MATCH($C930,'Staff Directory'!$B$5:$B$594,0)),"⚠ unknown staff"))</f>
        <v>PSW-181-TBD</v>
      </c>
      <c r="C930" s="49" t="s">
        <v>1160</v>
      </c>
      <c r="D930" s="19" t="str">
        <f>IF($B930="","",IFERROR(INDEX('Staff Directory'!$C$5:$C$594,MATCH($B930,'Staff Directory'!$A$5:$A$594,0)),""))</f>
        <v>PSW</v>
      </c>
      <c r="E930" s="19">
        <f>IF($B930="","",IFERROR(INDEX('Staff Directory'!$D$5:$D$594,MATCH($B930,'Staff Directory'!$A$5:$A$594,0)),""))</f>
        <v>0</v>
      </c>
      <c r="F930" s="9" t="s">
        <v>755</v>
      </c>
      <c r="G930" s="18" t="str">
        <f>IF($F930="","",IFERROR(INDEX(Items!$B$5:$B$597,MATCH($F930,Items!$A$5:$A$597,0)),"⚠ not in Items"))</f>
        <v>Documents</v>
      </c>
      <c r="H930" s="19" t="str">
        <f>IF($F930="","",IFERROR(INDEX(Items!$C$5:$C$597,MATCH($F930,Items!$A$5:$A$597,0)),""))</f>
        <v>Standard</v>
      </c>
      <c r="I930" s="23">
        <f>IF($F930="","",IFERROR(INDEX(Items!$E$5:$E$597,MATCH($F930,Items!$A$5:$A$597,0)),""))</f>
        <v>2</v>
      </c>
      <c r="J930" s="115">
        <f>IF(tblIssues[[#This Row],[Qty Override]]&lt;&gt;"",tblIssues[[#This Row],[Qty Override]],IF(tblIssues[[#This Row],[Standard Issue]]="","",tblIssues[[#This Row],[Standard Issue]]))</f>
        <v>2</v>
      </c>
      <c r="K930" s="20">
        <f>IF($F930="","",IFERROR(INDEX(Items!$D$5:$D$597,MATCH($F930,Items!$A$5:$A$597,0)),""))</f>
        <v>0</v>
      </c>
      <c r="L930" s="21">
        <f t="shared" si="162"/>
        <v>0</v>
      </c>
      <c r="M930" s="9" t="str">
        <f t="shared" si="160"/>
        <v/>
      </c>
      <c r="N930" s="24">
        <f>IF($A930="","",WORKDAY($A930,Settings!$C$9,HolidayDates))</f>
        <v>46182</v>
      </c>
      <c r="O930" s="24">
        <f>IF($N930="","",WORKDAY($N930,Settings!$C$10,HolidayDates))</f>
        <v>46220</v>
      </c>
      <c r="P930" s="10" t="s">
        <v>501</v>
      </c>
      <c r="Q930" s="52" t="str">
        <f t="shared" si="163"/>
        <v>Collected</v>
      </c>
      <c r="R930" s="55" t="str">
        <f t="shared" si="164"/>
        <v>2026-06</v>
      </c>
      <c r="S930" s="55">
        <f>IF(OR($B930="",$F930="",$R930=""),"",SUMIFS(tblIssues[Qty Issued],tblIssues[Staff ID],$B930,tblIssues[Item Name],$F930,tblIssues[Month],$R930))</f>
        <v>2</v>
      </c>
      <c r="T930" s="56">
        <f>IF($I930="","",$I930*Settings!$C$11)</f>
        <v>2</v>
      </c>
      <c r="U930" s="57" t="str">
        <f t="shared" si="161"/>
        <v>OK</v>
      </c>
      <c r="V930" s="55" t="str">
        <f t="shared" si="165"/>
        <v/>
      </c>
      <c r="W930" s="55" t="str">
        <f>IF($V930="","",IF(COUNTIF($V$5:$V930,$V930)=1,1,""))</f>
        <v/>
      </c>
      <c r="X930" s="58" t="str">
        <f>IF($W930="","",MAX($X$4:X929)+1)</f>
        <v/>
      </c>
      <c r="Y930" s="62"/>
      <c r="Z930" s="62"/>
      <c r="AA930" s="64" t="str">
        <f>IF($C930="","",IFERROR(INDEX('Staff Directory'!$E$5:$E$594,MATCH($C930,'Staff Directory'!$B$5:$B$594,0)),""))</f>
        <v>firstname244.lastname244@example.com</v>
      </c>
      <c r="AB930" s="64" t="str">
        <f>IF($C930="","",IF(ISNUMBER(SEARCH($D930,Settings!$C$15)),"Pickup","Dispatch"))</f>
        <v>Pickup</v>
      </c>
      <c r="AC930" s="64" t="str">
        <f t="shared" si="166"/>
        <v>Supply order ready for pickup</v>
      </c>
      <c r="AD930" s="64" t="str">
        <f t="shared" si="157"/>
        <v>Dear PSW,
Your order is ready for pickup from Sample Branch, Wed-Fri 9am-4pm.</v>
      </c>
      <c r="AE930" s="64" t="str">
        <f t="shared" si="158"/>
        <v>mailto:firstname244.lastname244@example.com?subject=Supply%20order%20ready%20for%20pickup&amp;body=Dear%20PSW%2C%0A%0AYour%20order%20is%20ready%20for%20pickup%20from%20Sample%20Branch%2C%20Wed-Fri%209am-4pm.</v>
      </c>
      <c r="AF930" s="89" t="str">
        <f t="shared" si="167"/>
        <v>Draft email</v>
      </c>
      <c r="AG930" s="64" t="str">
        <f>IF($C930="","",IFERROR(INDEX('Staff Directory'!$K$595:$K$599,MATCH($C930,'Staff Directory'!$B$5:$B$599,0)),$D930))</f>
        <v>PSW</v>
      </c>
      <c r="AH930" t="str">
        <f>IF($C930="","",IFERROR(INDEX('Staff Directory'!$I$595:$I$599,MATCH($C930,'Staff Directory'!$B$5:$B$599,0))&amp;" "&amp;INDEX('Staff Directory'!$J$595:$J$599,MATCH($C930,'Staff Directory'!$B$5:$B$599,0)),$AG930))</f>
        <v>PSW</v>
      </c>
      <c r="AI930" s="102"/>
      <c r="AJ930" s="101">
        <f>IF($F930="","",SUMIFS($J$5:$J930,$F$5:$F930,$F930))</f>
        <v>126</v>
      </c>
      <c r="AK930" s="101">
        <f t="shared" si="159"/>
        <v>125</v>
      </c>
      <c r="AL930" s="66" t="str" cm="1">
        <f t="array" ref="AL930">IF($F930="","",IFERROR(INDEX('Lot Balance'!$B$5:$B$500,MATCH(1,INDEX(('Lot Balance'!$A$5:$A$500=$F930)*('Lot Balance'!$K$5:$K$500&lt;$AK930)*('Lot Balance'!$K$5:$K$500+'Lot Balance'!$D$5:$D$500&gt;=$AK930),0),0)),""))</f>
        <v/>
      </c>
      <c r="AM930" s="66" t="str" cm="1">
        <f t="array" ref="AM930">IF($F930="","",IFERROR(INDEX('Lot Balance'!$B$5:$B$500,MATCH(1,INDEX(('Lot Balance'!$A$5:$A$500=$F930)*('Lot Balance'!$K$5:$K$500&lt;$AJ930)*('Lot Balance'!$K$5:$K$500+'Lot Balance'!$D$5:$D$500&gt;=$AJ930),0),0)),""))</f>
        <v/>
      </c>
      <c r="AN930" s="66" t="str">
        <f>IF($F930="","",IF($AI930&lt;&gt;"",IF(COUNTIFS('Lot Balance'!$A$5:$A$500,$F930,'Lot Balance'!$B$5:$B$500,$AI930)=0,"⚠ override is not a lot of this item",IF($AI930=$AL930,"Override = FEFO","Override - FEFO says "&amp;$AL930)),IF($AL930="","⚠ no receipt on file for this item",IF($AM930&lt;&gt;$AL930,"FEFO auto - split, also "&amp;$AM930,"FEFO auto"))))</f>
        <v>⚠ no receipt on file for this item</v>
      </c>
      <c r="AO930" s="114"/>
    </row>
    <row r="931" spans="1:41" x14ac:dyDescent="0.35">
      <c r="A931" s="74">
        <v>46174</v>
      </c>
      <c r="B931" s="18" t="str">
        <f>IF($C931="","",IFERROR(INDEX('Staff Directory'!$A$5:$A$594,MATCH($C931,'Staff Directory'!$B$5:$B$594,0)),"⚠ unknown staff"))</f>
        <v>PSW-182-A5</v>
      </c>
      <c r="C931" s="49" t="s">
        <v>1161</v>
      </c>
      <c r="D931" s="19" t="str">
        <f>IF($B931="","",IFERROR(INDEX('Staff Directory'!$C$5:$C$594,MATCH($B931,'Staff Directory'!$A$5:$A$594,0)),""))</f>
        <v>PSW</v>
      </c>
      <c r="E931" s="19" t="str">
        <f>IF($B931="","",IFERROR(INDEX('Staff Directory'!$D$5:$D$594,MATCH($B931,'Staff Directory'!$A$5:$A$594,0)),""))</f>
        <v>A5</v>
      </c>
      <c r="F931" s="9" t="s">
        <v>127</v>
      </c>
      <c r="G931" s="18" t="str">
        <f>IF($F931="","",IFERROR(INDEX(Items!$B$5:$B$597,MATCH($F931,Items!$A$5:$A$597,0)),"⚠ not in Items"))</f>
        <v>Gloves</v>
      </c>
      <c r="H931" s="19" t="str">
        <f>IF($F931="","",IFERROR(INDEX(Items!$C$5:$C$597,MATCH($F931,Items!$A$5:$A$597,0)),""))</f>
        <v>Medium</v>
      </c>
      <c r="I931" s="23">
        <f>IF($F931="","",IFERROR(INDEX(Items!$E$5:$E$597,MATCH($F931,Items!$A$5:$A$597,0)),""))</f>
        <v>500</v>
      </c>
      <c r="J931" s="115">
        <f>IF(tblIssues[[#This Row],[Qty Override]]&lt;&gt;"",tblIssues[[#This Row],[Qty Override]],IF(tblIssues[[#This Row],[Standard Issue]]="","",tblIssues[[#This Row],[Standard Issue]]))</f>
        <v>500</v>
      </c>
      <c r="K931" s="20">
        <f>IF($F931="","",IFERROR(INDEX(Items!$D$5:$D$597,MATCH($F931,Items!$A$5:$A$597,0)),""))</f>
        <v>5.5E-2</v>
      </c>
      <c r="L931" s="21">
        <f t="shared" si="162"/>
        <v>27.5</v>
      </c>
      <c r="M931" s="9" t="str">
        <f t="shared" si="160"/>
        <v>ZIM510329603</v>
      </c>
      <c r="N931" s="24">
        <f>IF($A931="","",WORKDAY($A931,Settings!$C$9,HolidayDates))</f>
        <v>46182</v>
      </c>
      <c r="O931" s="24">
        <f>IF($N931="","",WORKDAY($N931,Settings!$C$10,HolidayDates))</f>
        <v>46220</v>
      </c>
      <c r="P931" s="10" t="s">
        <v>501</v>
      </c>
      <c r="Q931" s="52" t="str">
        <f t="shared" si="163"/>
        <v>Collected</v>
      </c>
      <c r="R931" s="55" t="str">
        <f t="shared" si="164"/>
        <v>2026-06</v>
      </c>
      <c r="S931" s="55">
        <f>IF(OR($B931="",$F931="",$R931=""),"",SUMIFS(tblIssues[Qty Issued],tblIssues[Staff ID],$B931,tblIssues[Item Name],$F931,tblIssues[Month],$R931))</f>
        <v>500</v>
      </c>
      <c r="T931" s="56">
        <f>IF($I931="","",$I931*Settings!$C$11)</f>
        <v>500</v>
      </c>
      <c r="U931" s="57" t="str">
        <f t="shared" si="161"/>
        <v>OK</v>
      </c>
      <c r="V931" s="55" t="str">
        <f t="shared" si="165"/>
        <v/>
      </c>
      <c r="W931" s="55" t="str">
        <f>IF($V931="","",IF(COUNTIF($V$5:$V931,$V931)=1,1,""))</f>
        <v/>
      </c>
      <c r="X931" s="58" t="str">
        <f>IF($W931="","",MAX($X$4:X930)+1)</f>
        <v/>
      </c>
      <c r="Y931" s="62"/>
      <c r="Z931" s="62"/>
      <c r="AA931" s="64" t="str">
        <f>IF($C931="","",IFERROR(INDEX('Staff Directory'!$E$5:$E$594,MATCH($C931,'Staff Directory'!$B$5:$B$594,0)),""))</f>
        <v>firstname245.lastname245@example.com</v>
      </c>
      <c r="AB931" s="64" t="str">
        <f>IF($C931="","",IF(ISNUMBER(SEARCH($D931,Settings!$C$15)),"Pickup","Dispatch"))</f>
        <v>Pickup</v>
      </c>
      <c r="AC931" s="64" t="str">
        <f t="shared" si="166"/>
        <v>Supply order ready for pickup</v>
      </c>
      <c r="AD931" s="64" t="str">
        <f t="shared" si="157"/>
        <v>Dear PSW,
Your order is ready for pickup from Sample Branch, Wed-Fri 9am-4pm.</v>
      </c>
      <c r="AE931" s="64" t="str">
        <f t="shared" si="158"/>
        <v>mailto:firstname245.lastname245@example.com?subject=Supply%20order%20ready%20for%20pickup&amp;body=Dear%20PSW%2C%0A%0AYour%20order%20is%20ready%20for%20pickup%20from%20Sample%20Branch%2C%20Wed-Fri%209am-4pm.</v>
      </c>
      <c r="AF931" s="89" t="str">
        <f t="shared" si="167"/>
        <v>Draft email</v>
      </c>
      <c r="AG931" s="64" t="str">
        <f>IF($C931="","",IFERROR(INDEX('Staff Directory'!$K$595:$K$599,MATCH($C931,'Staff Directory'!$B$5:$B$599,0)),$D931))</f>
        <v>PSW</v>
      </c>
      <c r="AH931" t="str">
        <f>IF($C931="","",IFERROR(INDEX('Staff Directory'!$I$595:$I$599,MATCH($C931,'Staff Directory'!$B$5:$B$599,0))&amp;" "&amp;INDEX('Staff Directory'!$J$595:$J$599,MATCH($C931,'Staff Directory'!$B$5:$B$599,0)),$AG931))</f>
        <v>PSW</v>
      </c>
      <c r="AI931" s="102"/>
      <c r="AJ931" s="101">
        <f>IF($F931="","",SUMIFS($J$5:$J931,$F$5:$F931,$F931))</f>
        <v>53500</v>
      </c>
      <c r="AK931" s="101">
        <f t="shared" si="159"/>
        <v>53001</v>
      </c>
      <c r="AL931" s="66" t="str" cm="1">
        <f t="array" ref="AL931">IF($F931="","",IFERROR(INDEX('Lot Balance'!$B$5:$B$500,MATCH(1,INDEX(('Lot Balance'!$A$5:$A$500=$F931)*('Lot Balance'!$K$5:$K$500&lt;$AK931)*('Lot Balance'!$K$5:$K$500+'Lot Balance'!$D$5:$D$500&gt;=$AK931),0),0)),""))</f>
        <v>ZIM510329603</v>
      </c>
      <c r="AM931" s="66" t="str" cm="1">
        <f t="array" ref="AM931">IF($F931="","",IFERROR(INDEX('Lot Balance'!$B$5:$B$500,MATCH(1,INDEX(('Lot Balance'!$A$5:$A$500=$F931)*('Lot Balance'!$K$5:$K$500&lt;$AJ931)*('Lot Balance'!$K$5:$K$500+'Lot Balance'!$D$5:$D$500&gt;=$AJ931),0),0)),""))</f>
        <v>ZIM510329603</v>
      </c>
      <c r="AN931" s="66" t="str">
        <f>IF($F931="","",IF($AI931&lt;&gt;"",IF(COUNTIFS('Lot Balance'!$A$5:$A$500,$F931,'Lot Balance'!$B$5:$B$500,$AI931)=0,"⚠ override is not a lot of this item",IF($AI931=$AL931,"Override = FEFO","Override - FEFO says "&amp;$AL931)),IF($AL931="","⚠ no receipt on file for this item",IF($AM931&lt;&gt;$AL931,"FEFO auto - split, also "&amp;$AM931,"FEFO auto"))))</f>
        <v>FEFO auto</v>
      </c>
      <c r="AO931" s="114"/>
    </row>
    <row r="932" spans="1:41" x14ac:dyDescent="0.35">
      <c r="A932" s="74">
        <v>46174</v>
      </c>
      <c r="B932" s="18" t="str">
        <f>IF($C932="","",IFERROR(INDEX('Staff Directory'!$A$5:$A$594,MATCH($C932,'Staff Directory'!$B$5:$B$594,0)),"⚠ unknown staff"))</f>
        <v>PSW-182-A5</v>
      </c>
      <c r="C932" s="49" t="s">
        <v>1161</v>
      </c>
      <c r="D932" s="19" t="str">
        <f>IF($B932="","",IFERROR(INDEX('Staff Directory'!$C$5:$C$594,MATCH($B932,'Staff Directory'!$A$5:$A$594,0)),""))</f>
        <v>PSW</v>
      </c>
      <c r="E932" s="19" t="str">
        <f>IF($B932="","",IFERROR(INDEX('Staff Directory'!$D$5:$D$594,MATCH($B932,'Staff Directory'!$A$5:$A$594,0)),""))</f>
        <v>A5</v>
      </c>
      <c r="F932" s="9" t="s">
        <v>115</v>
      </c>
      <c r="G932" s="18" t="str">
        <f>IF($F932="","",IFERROR(INDEX(Items!$B$5:$B$597,MATCH($F932,Items!$A$5:$A$597,0)),"⚠ not in Items"))</f>
        <v>Wipes</v>
      </c>
      <c r="H932" s="19">
        <f>IF($F932="","",IFERROR(INDEX(Items!$C$5:$C$597,MATCH($F932,Items!$A$5:$A$597,0)),""))</f>
        <v>80</v>
      </c>
      <c r="I932" s="23">
        <f>IF($F932="","",IFERROR(INDEX(Items!$E$5:$E$597,MATCH($F932,Items!$A$5:$A$597,0)),""))</f>
        <v>80</v>
      </c>
      <c r="J932" s="115">
        <f>IF(tblIssues[[#This Row],[Qty Override]]&lt;&gt;"",tblIssues[[#This Row],[Qty Override]],IF(tblIssues[[#This Row],[Standard Issue]]="","",tblIssues[[#This Row],[Standard Issue]]))</f>
        <v>80</v>
      </c>
      <c r="K932" s="20">
        <f>IF($F932="","",IFERROR(INDEX(Items!$D$5:$D$597,MATCH($F932,Items!$A$5:$A$597,0)),""))</f>
        <v>0.1</v>
      </c>
      <c r="L932" s="21">
        <f t="shared" si="162"/>
        <v>8</v>
      </c>
      <c r="M932" s="9" t="str">
        <f t="shared" si="160"/>
        <v>LYSL500290</v>
      </c>
      <c r="N932" s="24">
        <f>IF($A932="","",WORKDAY($A932,Settings!$C$9,HolidayDates))</f>
        <v>46182</v>
      </c>
      <c r="O932" s="24">
        <f>IF($N932="","",WORKDAY($N932,Settings!$C$10,HolidayDates))</f>
        <v>46220</v>
      </c>
      <c r="P932" s="10" t="s">
        <v>501</v>
      </c>
      <c r="Q932" s="52" t="str">
        <f t="shared" si="163"/>
        <v>Collected</v>
      </c>
      <c r="R932" s="55" t="str">
        <f t="shared" si="164"/>
        <v>2026-06</v>
      </c>
      <c r="S932" s="55">
        <f>IF(OR($B932="",$F932="",$R932=""),"",SUMIFS(tblIssues[Qty Issued],tblIssues[Staff ID],$B932,tblIssues[Item Name],$F932,tblIssues[Month],$R932))</f>
        <v>80</v>
      </c>
      <c r="T932" s="56">
        <f>IF($I932="","",$I932*Settings!$C$11)</f>
        <v>80</v>
      </c>
      <c r="U932" s="57" t="str">
        <f t="shared" si="161"/>
        <v>OK</v>
      </c>
      <c r="V932" s="55" t="str">
        <f t="shared" si="165"/>
        <v/>
      </c>
      <c r="W932" s="55" t="str">
        <f>IF($V932="","",IF(COUNTIF($V$5:$V932,$V932)=1,1,""))</f>
        <v/>
      </c>
      <c r="X932" s="58" t="str">
        <f>IF($W932="","",MAX($X$4:X931)+1)</f>
        <v/>
      </c>
      <c r="Y932" s="62"/>
      <c r="Z932" s="62"/>
      <c r="AA932" s="64" t="str">
        <f>IF($C932="","",IFERROR(INDEX('Staff Directory'!$E$5:$E$594,MATCH($C932,'Staff Directory'!$B$5:$B$594,0)),""))</f>
        <v>firstname245.lastname245@example.com</v>
      </c>
      <c r="AB932" s="64" t="str">
        <f>IF($C932="","",IF(ISNUMBER(SEARCH($D932,Settings!$C$15)),"Pickup","Dispatch"))</f>
        <v>Pickup</v>
      </c>
      <c r="AC932" s="64" t="str">
        <f t="shared" si="166"/>
        <v>Supply order ready for pickup</v>
      </c>
      <c r="AD932" s="64" t="str">
        <f t="shared" si="157"/>
        <v>Dear PSW,
Your order is ready for pickup from Sample Branch, Wed-Fri 9am-4pm.</v>
      </c>
      <c r="AE932" s="64" t="str">
        <f t="shared" si="158"/>
        <v>mailto:firstname245.lastname245@example.com?subject=Supply%20order%20ready%20for%20pickup&amp;body=Dear%20PSW%2C%0A%0AYour%20order%20is%20ready%20for%20pickup%20from%20Sample%20Branch%2C%20Wed-Fri%209am-4pm.</v>
      </c>
      <c r="AF932" s="89" t="str">
        <f t="shared" si="167"/>
        <v>Draft email</v>
      </c>
      <c r="AG932" s="64" t="str">
        <f>IF($C932="","",IFERROR(INDEX('Staff Directory'!$K$595:$K$599,MATCH($C932,'Staff Directory'!$B$5:$B$599,0)),$D932))</f>
        <v>PSW</v>
      </c>
      <c r="AH932" t="str">
        <f>IF($C932="","",IFERROR(INDEX('Staff Directory'!$I$595:$I$599,MATCH($C932,'Staff Directory'!$B$5:$B$599,0))&amp;" "&amp;INDEX('Staff Directory'!$J$595:$J$599,MATCH($C932,'Staff Directory'!$B$5:$B$599,0)),$AG932))</f>
        <v>PSW</v>
      </c>
      <c r="AI932" s="102"/>
      <c r="AJ932" s="101">
        <f>IF($F932="","",SUMIFS($J$5:$J932,$F$5:$F932,$F932))</f>
        <v>12480</v>
      </c>
      <c r="AK932" s="101">
        <f t="shared" si="159"/>
        <v>12401</v>
      </c>
      <c r="AL932" s="66" t="str" cm="1">
        <f t="array" ref="AL932">IF($F932="","",IFERROR(INDEX('Lot Balance'!$B$5:$B$500,MATCH(1,INDEX(('Lot Balance'!$A$5:$A$500=$F932)*('Lot Balance'!$K$5:$K$500&lt;$AK932)*('Lot Balance'!$K$5:$K$500+'Lot Balance'!$D$5:$D$500&gt;=$AK932),0),0)),""))</f>
        <v>LYSL500290</v>
      </c>
      <c r="AM932" s="66" t="str" cm="1">
        <f t="array" ref="AM932">IF($F932="","",IFERROR(INDEX('Lot Balance'!$B$5:$B$500,MATCH(1,INDEX(('Lot Balance'!$A$5:$A$500=$F932)*('Lot Balance'!$K$5:$K$500&lt;$AJ932)*('Lot Balance'!$K$5:$K$500+'Lot Balance'!$D$5:$D$500&gt;=$AJ932),0),0)),""))</f>
        <v>LYSL500290</v>
      </c>
      <c r="AN932" s="66" t="str">
        <f>IF($F932="","",IF($AI932&lt;&gt;"",IF(COUNTIFS('Lot Balance'!$A$5:$A$500,$F932,'Lot Balance'!$B$5:$B$500,$AI932)=0,"⚠ override is not a lot of this item",IF($AI932=$AL932,"Override = FEFO","Override - FEFO says "&amp;$AL932)),IF($AL932="","⚠ no receipt on file for this item",IF($AM932&lt;&gt;$AL932,"FEFO auto - split, also "&amp;$AM932,"FEFO auto"))))</f>
        <v>FEFO auto</v>
      </c>
      <c r="AO932" s="114"/>
    </row>
    <row r="933" spans="1:41" x14ac:dyDescent="0.35">
      <c r="A933" s="74">
        <v>46174</v>
      </c>
      <c r="B933" s="18" t="str">
        <f>IF($C933="","",IFERROR(INDEX('Staff Directory'!$A$5:$A$594,MATCH($C933,'Staff Directory'!$B$5:$B$594,0)),"⚠ unknown staff"))</f>
        <v>PSW-182-A5</v>
      </c>
      <c r="C933" s="49" t="s">
        <v>1161</v>
      </c>
      <c r="D933" s="19" t="str">
        <f>IF($B933="","",IFERROR(INDEX('Staff Directory'!$C$5:$C$594,MATCH($B933,'Staff Directory'!$A$5:$A$594,0)),""))</f>
        <v>PSW</v>
      </c>
      <c r="E933" s="19" t="str">
        <f>IF($B933="","",IFERROR(INDEX('Staff Directory'!$D$5:$D$594,MATCH($B933,'Staff Directory'!$A$5:$A$594,0)),""))</f>
        <v>A5</v>
      </c>
      <c r="F933" s="9" t="s">
        <v>104</v>
      </c>
      <c r="G933" s="18" t="str">
        <f>IF($F933="","",IFERROR(INDEX(Items!$B$5:$B$597,MATCH($F933,Items!$A$5:$A$597,0)),"⚠ not in Items"))</f>
        <v>Masks</v>
      </c>
      <c r="H933" s="19" t="str">
        <f>IF($F933="","",IFERROR(INDEX(Items!$C$5:$C$597,MATCH($F933,Items!$A$5:$A$597,0)),""))</f>
        <v>One Size</v>
      </c>
      <c r="I933" s="23">
        <f>IF($F933="","",IFERROR(INDEX(Items!$E$5:$E$597,MATCH($F933,Items!$A$5:$A$597,0)),""))</f>
        <v>5</v>
      </c>
      <c r="J933" s="115">
        <f>IF(tblIssues[[#This Row],[Qty Override]]&lt;&gt;"",tblIssues[[#This Row],[Qty Override]],IF(tblIssues[[#This Row],[Standard Issue]]="","",tblIssues[[#This Row],[Standard Issue]]))</f>
        <v>5</v>
      </c>
      <c r="K933" s="20">
        <f>IF($F933="","",IFERROR(INDEX(Items!$D$5:$D$597,MATCH($F933,Items!$A$5:$A$597,0)),""))</f>
        <v>2.0499999999999998</v>
      </c>
      <c r="L933" s="21">
        <f t="shared" si="162"/>
        <v>10.25</v>
      </c>
      <c r="M933" s="9" t="str">
        <f t="shared" si="160"/>
        <v>N955003717</v>
      </c>
      <c r="N933" s="24">
        <f>IF($A933="","",WORKDAY($A933,Settings!$C$9,HolidayDates))</f>
        <v>46182</v>
      </c>
      <c r="O933" s="24">
        <f>IF($N933="","",WORKDAY($N933,Settings!$C$10,HolidayDates))</f>
        <v>46220</v>
      </c>
      <c r="P933" s="10" t="s">
        <v>501</v>
      </c>
      <c r="Q933" s="52" t="str">
        <f t="shared" si="163"/>
        <v>Collected</v>
      </c>
      <c r="R933" s="55" t="str">
        <f t="shared" si="164"/>
        <v>2026-06</v>
      </c>
      <c r="S933" s="55">
        <f>IF(OR($B933="",$F933="",$R933=""),"",SUMIFS(tblIssues[Qty Issued],tblIssues[Staff ID],$B933,tblIssues[Item Name],$F933,tblIssues[Month],$R933))</f>
        <v>5</v>
      </c>
      <c r="T933" s="56">
        <f>IF($I933="","",$I933*Settings!$C$11)</f>
        <v>5</v>
      </c>
      <c r="U933" s="57" t="str">
        <f t="shared" si="161"/>
        <v>OK</v>
      </c>
      <c r="V933" s="55" t="str">
        <f t="shared" si="165"/>
        <v/>
      </c>
      <c r="W933" s="55" t="str">
        <f>IF($V933="","",IF(COUNTIF($V$5:$V933,$V933)=1,1,""))</f>
        <v/>
      </c>
      <c r="X933" s="58" t="str">
        <f>IF($W933="","",MAX($X$4:X932)+1)</f>
        <v/>
      </c>
      <c r="Y933" s="62"/>
      <c r="Z933" s="62"/>
      <c r="AA933" s="64" t="str">
        <f>IF($C933="","",IFERROR(INDEX('Staff Directory'!$E$5:$E$594,MATCH($C933,'Staff Directory'!$B$5:$B$594,0)),""))</f>
        <v>firstname245.lastname245@example.com</v>
      </c>
      <c r="AB933" s="64" t="str">
        <f>IF($C933="","",IF(ISNUMBER(SEARCH($D933,Settings!$C$15)),"Pickup","Dispatch"))</f>
        <v>Pickup</v>
      </c>
      <c r="AC933" s="64" t="str">
        <f t="shared" si="166"/>
        <v>Supply order ready for pickup</v>
      </c>
      <c r="AD933" s="64" t="str">
        <f t="shared" si="157"/>
        <v>Dear PSW,
Your order is ready for pickup from Sample Branch, Wed-Fri 9am-4pm.</v>
      </c>
      <c r="AE933" s="64" t="str">
        <f t="shared" si="158"/>
        <v>mailto:firstname245.lastname245@example.com?subject=Supply%20order%20ready%20for%20pickup&amp;body=Dear%20PSW%2C%0A%0AYour%20order%20is%20ready%20for%20pickup%20from%20Sample%20Branch%2C%20Wed-Fri%209am-4pm.</v>
      </c>
      <c r="AF933" s="89" t="str">
        <f t="shared" si="167"/>
        <v>Draft email</v>
      </c>
      <c r="AG933" s="64" t="str">
        <f>IF($C933="","",IFERROR(INDEX('Staff Directory'!$K$595:$K$599,MATCH($C933,'Staff Directory'!$B$5:$B$599,0)),$D933))</f>
        <v>PSW</v>
      </c>
      <c r="AH933" t="str">
        <f>IF($C933="","",IFERROR(INDEX('Staff Directory'!$I$595:$I$599,MATCH($C933,'Staff Directory'!$B$5:$B$599,0))&amp;" "&amp;INDEX('Staff Directory'!$J$595:$J$599,MATCH($C933,'Staff Directory'!$B$5:$B$599,0)),$AG933))</f>
        <v>PSW</v>
      </c>
      <c r="AI933" s="102"/>
      <c r="AJ933" s="101">
        <f>IF($F933="","",SUMIFS($J$5:$J933,$F$5:$F933,$F933))</f>
        <v>20</v>
      </c>
      <c r="AK933" s="101">
        <f t="shared" si="159"/>
        <v>16</v>
      </c>
      <c r="AL933" s="66" t="str" cm="1">
        <f t="array" ref="AL933">IF($F933="","",IFERROR(INDEX('Lot Balance'!$B$5:$B$500,MATCH(1,INDEX(('Lot Balance'!$A$5:$A$500=$F933)*('Lot Balance'!$K$5:$K$500&lt;$AK933)*('Lot Balance'!$K$5:$K$500+'Lot Balance'!$D$5:$D$500&gt;=$AK933),0),0)),""))</f>
        <v>N955003717</v>
      </c>
      <c r="AM933" s="66" t="str" cm="1">
        <f t="array" ref="AM933">IF($F933="","",IFERROR(INDEX('Lot Balance'!$B$5:$B$500,MATCH(1,INDEX(('Lot Balance'!$A$5:$A$500=$F933)*('Lot Balance'!$K$5:$K$500&lt;$AJ933)*('Lot Balance'!$K$5:$K$500+'Lot Balance'!$D$5:$D$500&gt;=$AJ933),0),0)),""))</f>
        <v>N955003717</v>
      </c>
      <c r="AN933" s="66" t="str">
        <f>IF($F933="","",IF($AI933&lt;&gt;"",IF(COUNTIFS('Lot Balance'!$A$5:$A$500,$F933,'Lot Balance'!$B$5:$B$500,$AI933)=0,"⚠ override is not a lot of this item",IF($AI933=$AL933,"Override = FEFO","Override - FEFO says "&amp;$AL933)),IF($AL933="","⚠ no receipt on file for this item",IF($AM933&lt;&gt;$AL933,"FEFO auto - split, also "&amp;$AM933,"FEFO auto"))))</f>
        <v>FEFO auto</v>
      </c>
      <c r="AO933" s="114"/>
    </row>
    <row r="934" spans="1:41" x14ac:dyDescent="0.35">
      <c r="A934" s="74">
        <v>46174</v>
      </c>
      <c r="B934" s="18" t="str">
        <f>IF($C934="","",IFERROR(INDEX('Staff Directory'!$A$5:$A$594,MATCH($C934,'Staff Directory'!$B$5:$B$594,0)),"⚠ unknown staff"))</f>
        <v>PSW-182-A5</v>
      </c>
      <c r="C934" s="49" t="s">
        <v>1161</v>
      </c>
      <c r="D934" s="19" t="str">
        <f>IF($B934="","",IFERROR(INDEX('Staff Directory'!$C$5:$C$594,MATCH($B934,'Staff Directory'!$A$5:$A$594,0)),""))</f>
        <v>PSW</v>
      </c>
      <c r="E934" s="19" t="str">
        <f>IF($B934="","",IFERROR(INDEX('Staff Directory'!$D$5:$D$594,MATCH($B934,'Staff Directory'!$A$5:$A$594,0)),""))</f>
        <v>A5</v>
      </c>
      <c r="F934" s="9" t="s">
        <v>137</v>
      </c>
      <c r="G934" s="18" t="str">
        <f>IF($F934="","",IFERROR(INDEX(Items!$B$5:$B$597,MATCH($F934,Items!$A$5:$A$597,0)),"⚠ not in Items"))</f>
        <v>Sanitizer</v>
      </c>
      <c r="H934" s="19" t="str">
        <f>IF($F934="","",IFERROR(INDEX(Items!$C$5:$C$597,MATCH($F934,Items!$A$5:$A$597,0)),""))</f>
        <v>118 ML</v>
      </c>
      <c r="I934" s="23">
        <f>IF($F934="","",IFERROR(INDEX(Items!$E$5:$E$597,MATCH($F934,Items!$A$5:$A$597,0)),""))</f>
        <v>2</v>
      </c>
      <c r="J934" s="115">
        <f>IF(tblIssues[[#This Row],[Qty Override]]&lt;&gt;"",tblIssues[[#This Row],[Qty Override]],IF(tblIssues[[#This Row],[Standard Issue]]="","",tblIssues[[#This Row],[Standard Issue]]))</f>
        <v>2</v>
      </c>
      <c r="K934" s="20">
        <f>IF($F934="","",IFERROR(INDEX(Items!$D$5:$D$597,MATCH($F934,Items!$A$5:$A$597,0)),""))</f>
        <v>4.49</v>
      </c>
      <c r="L934" s="21">
        <f t="shared" si="162"/>
        <v>8.98</v>
      </c>
      <c r="M934" s="9" t="str">
        <f t="shared" si="160"/>
        <v>563963-6</v>
      </c>
      <c r="N934" s="24">
        <f>IF($A934="","",WORKDAY($A934,Settings!$C$9,HolidayDates))</f>
        <v>46182</v>
      </c>
      <c r="O934" s="24">
        <f>IF($N934="","",WORKDAY($N934,Settings!$C$10,HolidayDates))</f>
        <v>46220</v>
      </c>
      <c r="P934" s="10" t="s">
        <v>501</v>
      </c>
      <c r="Q934" s="52" t="str">
        <f t="shared" si="163"/>
        <v>Collected</v>
      </c>
      <c r="R934" s="55" t="str">
        <f t="shared" si="164"/>
        <v>2026-06</v>
      </c>
      <c r="S934" s="55">
        <f>IF(OR($B934="",$F934="",$R934=""),"",SUMIFS(tblIssues[Qty Issued],tblIssues[Staff ID],$B934,tblIssues[Item Name],$F934,tblIssues[Month],$R934))</f>
        <v>2</v>
      </c>
      <c r="T934" s="56">
        <f>IF($I934="","",$I934*Settings!$C$11)</f>
        <v>2</v>
      </c>
      <c r="U934" s="57" t="str">
        <f t="shared" si="161"/>
        <v>OK</v>
      </c>
      <c r="V934" s="55" t="str">
        <f t="shared" si="165"/>
        <v/>
      </c>
      <c r="W934" s="55" t="str">
        <f>IF($V934="","",IF(COUNTIF($V$5:$V934,$V934)=1,1,""))</f>
        <v/>
      </c>
      <c r="X934" s="58" t="str">
        <f>IF($W934="","",MAX($X$4:X933)+1)</f>
        <v/>
      </c>
      <c r="Y934" s="62"/>
      <c r="Z934" s="62"/>
      <c r="AA934" s="64" t="str">
        <f>IF($C934="","",IFERROR(INDEX('Staff Directory'!$E$5:$E$594,MATCH($C934,'Staff Directory'!$B$5:$B$594,0)),""))</f>
        <v>firstname245.lastname245@example.com</v>
      </c>
      <c r="AB934" s="64" t="str">
        <f>IF($C934="","",IF(ISNUMBER(SEARCH($D934,Settings!$C$15)),"Pickup","Dispatch"))</f>
        <v>Pickup</v>
      </c>
      <c r="AC934" s="64" t="str">
        <f t="shared" si="166"/>
        <v>Supply order ready for pickup</v>
      </c>
      <c r="AD934" s="64" t="str">
        <f t="shared" si="157"/>
        <v>Dear PSW,
Your order is ready for pickup from Sample Branch, Wed-Fri 9am-4pm.</v>
      </c>
      <c r="AE934" s="64" t="str">
        <f t="shared" si="158"/>
        <v>mailto:firstname245.lastname245@example.com?subject=Supply%20order%20ready%20for%20pickup&amp;body=Dear%20PSW%2C%0A%0AYour%20order%20is%20ready%20for%20pickup%20from%20Sample%20Branch%2C%20Wed-Fri%209am-4pm.</v>
      </c>
      <c r="AF934" s="89" t="str">
        <f t="shared" si="167"/>
        <v>Draft email</v>
      </c>
      <c r="AG934" s="64" t="str">
        <f>IF($C934="","",IFERROR(INDEX('Staff Directory'!$K$595:$K$599,MATCH($C934,'Staff Directory'!$B$5:$B$599,0)),$D934))</f>
        <v>PSW</v>
      </c>
      <c r="AH934" t="str">
        <f>IF($C934="","",IFERROR(INDEX('Staff Directory'!$I$595:$I$599,MATCH($C934,'Staff Directory'!$B$5:$B$599,0))&amp;" "&amp;INDEX('Staff Directory'!$J$595:$J$599,MATCH($C934,'Staff Directory'!$B$5:$B$599,0)),$AG934))</f>
        <v>PSW</v>
      </c>
      <c r="AI934" s="102"/>
      <c r="AJ934" s="101">
        <f>IF($F934="","",SUMIFS($J$5:$J934,$F$5:$F934,$F934))</f>
        <v>106</v>
      </c>
      <c r="AK934" s="101">
        <f t="shared" si="159"/>
        <v>105</v>
      </c>
      <c r="AL934" s="66" t="str" cm="1">
        <f t="array" ref="AL934">IF($F934="","",IFERROR(INDEX('Lot Balance'!$B$5:$B$500,MATCH(1,INDEX(('Lot Balance'!$A$5:$A$500=$F934)*('Lot Balance'!$K$5:$K$500&lt;$AK934)*('Lot Balance'!$K$5:$K$500+'Lot Balance'!$D$5:$D$500&gt;=$AK934),0),0)),""))</f>
        <v>563963-6</v>
      </c>
      <c r="AM934" s="66" t="str" cm="1">
        <f t="array" ref="AM934">IF($F934="","",IFERROR(INDEX('Lot Balance'!$B$5:$B$500,MATCH(1,INDEX(('Lot Balance'!$A$5:$A$500=$F934)*('Lot Balance'!$K$5:$K$500&lt;$AJ934)*('Lot Balance'!$K$5:$K$500+'Lot Balance'!$D$5:$D$500&gt;=$AJ934),0),0)),""))</f>
        <v>563963-6</v>
      </c>
      <c r="AN934" s="66" t="str">
        <f>IF($F934="","",IF($AI934&lt;&gt;"",IF(COUNTIFS('Lot Balance'!$A$5:$A$500,$F934,'Lot Balance'!$B$5:$B$500,$AI934)=0,"⚠ override is not a lot of this item",IF($AI934=$AL934,"Override = FEFO","Override - FEFO says "&amp;$AL934)),IF($AL934="","⚠ no receipt on file for this item",IF($AM934&lt;&gt;$AL934,"FEFO auto - split, also "&amp;$AM934,"FEFO auto"))))</f>
        <v>FEFO auto</v>
      </c>
      <c r="AO934" s="114"/>
    </row>
    <row r="935" spans="1:41" x14ac:dyDescent="0.35">
      <c r="A935" s="74">
        <v>46174</v>
      </c>
      <c r="B935" s="18" t="str">
        <f>IF($C935="","",IFERROR(INDEX('Staff Directory'!$A$5:$A$594,MATCH($C935,'Staff Directory'!$B$5:$B$594,0)),"⚠ unknown staff"))</f>
        <v>PSW-182-A5</v>
      </c>
      <c r="C935" s="49" t="s">
        <v>1161</v>
      </c>
      <c r="D935" s="19" t="str">
        <f>IF($B935="","",IFERROR(INDEX('Staff Directory'!$C$5:$C$594,MATCH($B935,'Staff Directory'!$A$5:$A$594,0)),""))</f>
        <v>PSW</v>
      </c>
      <c r="E935" s="19" t="str">
        <f>IF($B935="","",IFERROR(INDEX('Staff Directory'!$D$5:$D$594,MATCH($B935,'Staff Directory'!$A$5:$A$594,0)),""))</f>
        <v>A5</v>
      </c>
      <c r="F935" s="9" t="s">
        <v>147</v>
      </c>
      <c r="G935" s="18" t="str">
        <f>IF($F935="","",IFERROR(INDEX(Items!$B$5:$B$597,MATCH($F935,Items!$A$5:$A$597,0)),"⚠ not in Items"))</f>
        <v>Apparel</v>
      </c>
      <c r="H935" s="19" t="str">
        <f>IF($F935="","",IFERROR(INDEX(Items!$C$5:$C$597,MATCH($F935,Items!$A$5:$A$597,0)),""))</f>
        <v>One Size</v>
      </c>
      <c r="I935" s="23">
        <f>IF($F935="","",IFERROR(INDEX(Items!$E$5:$E$597,MATCH($F935,Items!$A$5:$A$597,0)),""))</f>
        <v>5</v>
      </c>
      <c r="J935" s="115">
        <f>IF(tblIssues[[#This Row],[Qty Override]]&lt;&gt;"",tblIssues[[#This Row],[Qty Override]],IF(tblIssues[[#This Row],[Standard Issue]]="","",tblIssues[[#This Row],[Standard Issue]]))</f>
        <v>5</v>
      </c>
      <c r="K935" s="20">
        <f>IF($F935="","",IFERROR(INDEX(Items!$D$5:$D$597,MATCH($F935,Items!$A$5:$A$597,0)),""))</f>
        <v>3</v>
      </c>
      <c r="L935" s="21">
        <f t="shared" si="162"/>
        <v>15</v>
      </c>
      <c r="M935" s="9" t="str">
        <f t="shared" si="160"/>
        <v>YG500280</v>
      </c>
      <c r="N935" s="24">
        <f>IF($A935="","",WORKDAY($A935,Settings!$C$9,HolidayDates))</f>
        <v>46182</v>
      </c>
      <c r="O935" s="24">
        <f>IF($N935="","",WORKDAY($N935,Settings!$C$10,HolidayDates))</f>
        <v>46220</v>
      </c>
      <c r="P935" s="10" t="s">
        <v>501</v>
      </c>
      <c r="Q935" s="52" t="str">
        <f t="shared" si="163"/>
        <v>Collected</v>
      </c>
      <c r="R935" s="55" t="str">
        <f t="shared" si="164"/>
        <v>2026-06</v>
      </c>
      <c r="S935" s="55">
        <f>IF(OR($B935="",$F935="",$R935=""),"",SUMIFS(tblIssues[Qty Issued],tblIssues[Staff ID],$B935,tblIssues[Item Name],$F935,tblIssues[Month],$R935))</f>
        <v>5</v>
      </c>
      <c r="T935" s="56">
        <f>IF($I935="","",$I935*Settings!$C$11)</f>
        <v>5</v>
      </c>
      <c r="U935" s="57" t="str">
        <f t="shared" si="161"/>
        <v>OK</v>
      </c>
      <c r="V935" s="55" t="str">
        <f t="shared" si="165"/>
        <v/>
      </c>
      <c r="W935" s="55" t="str">
        <f>IF($V935="","",IF(COUNTIF($V$5:$V935,$V935)=1,1,""))</f>
        <v/>
      </c>
      <c r="X935" s="58" t="str">
        <f>IF($W935="","",MAX($X$4:X934)+1)</f>
        <v/>
      </c>
      <c r="Y935" s="62"/>
      <c r="Z935" s="62"/>
      <c r="AA935" s="64" t="str">
        <f>IF($C935="","",IFERROR(INDEX('Staff Directory'!$E$5:$E$594,MATCH($C935,'Staff Directory'!$B$5:$B$594,0)),""))</f>
        <v>firstname245.lastname245@example.com</v>
      </c>
      <c r="AB935" s="64" t="str">
        <f>IF($C935="","",IF(ISNUMBER(SEARCH($D935,Settings!$C$15)),"Pickup","Dispatch"))</f>
        <v>Pickup</v>
      </c>
      <c r="AC935" s="64" t="str">
        <f t="shared" si="166"/>
        <v>Supply order ready for pickup</v>
      </c>
      <c r="AD935" s="64" t="str">
        <f t="shared" si="157"/>
        <v>Dear PSW,
Your order is ready for pickup from Sample Branch, Wed-Fri 9am-4pm.</v>
      </c>
      <c r="AE935" s="64" t="str">
        <f t="shared" si="158"/>
        <v>mailto:firstname245.lastname245@example.com?subject=Supply%20order%20ready%20for%20pickup&amp;body=Dear%20PSW%2C%0A%0AYour%20order%20is%20ready%20for%20pickup%20from%20Sample%20Branch%2C%20Wed-Fri%209am-4pm.</v>
      </c>
      <c r="AF935" s="89" t="str">
        <f t="shared" si="167"/>
        <v>Draft email</v>
      </c>
      <c r="AG935" s="64" t="str">
        <f>IF($C935="","",IFERROR(INDEX('Staff Directory'!$K$595:$K$599,MATCH($C935,'Staff Directory'!$B$5:$B$599,0)),$D935))</f>
        <v>PSW</v>
      </c>
      <c r="AH935" t="str">
        <f>IF($C935="","",IFERROR(INDEX('Staff Directory'!$I$595:$I$599,MATCH($C935,'Staff Directory'!$B$5:$B$599,0))&amp;" "&amp;INDEX('Staff Directory'!$J$595:$J$599,MATCH($C935,'Staff Directory'!$B$5:$B$599,0)),$AG935))</f>
        <v>PSW</v>
      </c>
      <c r="AI935" s="102"/>
      <c r="AJ935" s="101">
        <f>IF($F935="","",SUMIFS($J$5:$J935,$F$5:$F935,$F935))</f>
        <v>110</v>
      </c>
      <c r="AK935" s="101">
        <f t="shared" si="159"/>
        <v>106</v>
      </c>
      <c r="AL935" s="66" t="str" cm="1">
        <f t="array" ref="AL935">IF($F935="","",IFERROR(INDEX('Lot Balance'!$B$5:$B$500,MATCH(1,INDEX(('Lot Balance'!$A$5:$A$500=$F935)*('Lot Balance'!$K$5:$K$500&lt;$AK935)*('Lot Balance'!$K$5:$K$500+'Lot Balance'!$D$5:$D$500&gt;=$AK935),0),0)),""))</f>
        <v>YG500280</v>
      </c>
      <c r="AM935" s="66" t="str" cm="1">
        <f t="array" ref="AM935">IF($F935="","",IFERROR(INDEX('Lot Balance'!$B$5:$B$500,MATCH(1,INDEX(('Lot Balance'!$A$5:$A$500=$F935)*('Lot Balance'!$K$5:$K$500&lt;$AJ935)*('Lot Balance'!$K$5:$K$500+'Lot Balance'!$D$5:$D$500&gt;=$AJ935),0),0)),""))</f>
        <v>YG500280</v>
      </c>
      <c r="AN935" s="66" t="str">
        <f>IF($F935="","",IF($AI935&lt;&gt;"",IF(COUNTIFS('Lot Balance'!$A$5:$A$500,$F935,'Lot Balance'!$B$5:$B$500,$AI935)=0,"⚠ override is not a lot of this item",IF($AI935=$AL935,"Override = FEFO","Override - FEFO says "&amp;$AL935)),IF($AL935="","⚠ no receipt on file for this item",IF($AM935&lt;&gt;$AL935,"FEFO auto - split, also "&amp;$AM935,"FEFO auto"))))</f>
        <v>FEFO auto</v>
      </c>
      <c r="AO935" s="114"/>
    </row>
    <row r="936" spans="1:41" x14ac:dyDescent="0.35">
      <c r="A936" s="74">
        <v>46174</v>
      </c>
      <c r="B936" s="18" t="str">
        <f>IF($C936="","",IFERROR(INDEX('Staff Directory'!$A$5:$A$594,MATCH($C936,'Staff Directory'!$B$5:$B$594,0)),"⚠ unknown staff"))</f>
        <v>PSW-182-A5</v>
      </c>
      <c r="C936" s="49" t="s">
        <v>1161</v>
      </c>
      <c r="D936" s="19" t="str">
        <f>IF($B936="","",IFERROR(INDEX('Staff Directory'!$C$5:$C$594,MATCH($B936,'Staff Directory'!$A$5:$A$594,0)),""))</f>
        <v>PSW</v>
      </c>
      <c r="E936" s="19" t="str">
        <f>IF($B936="","",IFERROR(INDEX('Staff Directory'!$D$5:$D$594,MATCH($B936,'Staff Directory'!$A$5:$A$594,0)),""))</f>
        <v>A5</v>
      </c>
      <c r="F936" s="9" t="s">
        <v>145</v>
      </c>
      <c r="G936" s="18" t="str">
        <f>IF($F936="","",IFERROR(INDEX(Items!$B$5:$B$597,MATCH($F936,Items!$A$5:$A$597,0)),"⚠ not in Items"))</f>
        <v>Apparel</v>
      </c>
      <c r="H936" s="19" t="str">
        <f>IF($F936="","",IFERROR(INDEX(Items!$C$5:$C$597,MATCH($F936,Items!$A$5:$A$597,0)),""))</f>
        <v>One Size</v>
      </c>
      <c r="I936" s="23">
        <f>IF($F936="","",IFERROR(INDEX(Items!$E$5:$E$597,MATCH($F936,Items!$A$5:$A$597,0)),""))</f>
        <v>5</v>
      </c>
      <c r="J936" s="115">
        <f>IF(tblIssues[[#This Row],[Qty Override]]&lt;&gt;"",tblIssues[[#This Row],[Qty Override]],IF(tblIssues[[#This Row],[Standard Issue]]="","",tblIssues[[#This Row],[Standard Issue]]))</f>
        <v>5</v>
      </c>
      <c r="K936" s="20">
        <f>IF($F936="","",IFERROR(INDEX(Items!$D$5:$D$597,MATCH($F936,Items!$A$5:$A$597,0)),""))</f>
        <v>3</v>
      </c>
      <c r="L936" s="21">
        <f t="shared" si="162"/>
        <v>15</v>
      </c>
      <c r="M936" s="9" t="str">
        <f t="shared" si="160"/>
        <v>WRB500270</v>
      </c>
      <c r="N936" s="24">
        <f>IF($A936="","",WORKDAY($A936,Settings!$C$9,HolidayDates))</f>
        <v>46182</v>
      </c>
      <c r="O936" s="24">
        <f>IF($N936="","",WORKDAY($N936,Settings!$C$10,HolidayDates))</f>
        <v>46220</v>
      </c>
      <c r="P936" s="10" t="s">
        <v>501</v>
      </c>
      <c r="Q936" s="52" t="str">
        <f t="shared" si="163"/>
        <v>Collected</v>
      </c>
      <c r="R936" s="55" t="str">
        <f t="shared" si="164"/>
        <v>2026-06</v>
      </c>
      <c r="S936" s="55">
        <f>IF(OR($B936="",$F936="",$R936=""),"",SUMIFS(tblIssues[Qty Issued],tblIssues[Staff ID],$B936,tblIssues[Item Name],$F936,tblIssues[Month],$R936))</f>
        <v>5</v>
      </c>
      <c r="T936" s="56">
        <f>IF($I936="","",$I936*Settings!$C$11)</f>
        <v>5</v>
      </c>
      <c r="U936" s="57" t="str">
        <f t="shared" si="161"/>
        <v>OK</v>
      </c>
      <c r="V936" s="55" t="str">
        <f t="shared" si="165"/>
        <v/>
      </c>
      <c r="W936" s="55" t="str">
        <f>IF($V936="","",IF(COUNTIF($V$5:$V936,$V936)=1,1,""))</f>
        <v/>
      </c>
      <c r="X936" s="58" t="str">
        <f>IF($W936="","",MAX($X$4:X935)+1)</f>
        <v/>
      </c>
      <c r="Y936" s="62"/>
      <c r="Z936" s="62"/>
      <c r="AA936" s="64" t="str">
        <f>IF($C936="","",IFERROR(INDEX('Staff Directory'!$E$5:$E$594,MATCH($C936,'Staff Directory'!$B$5:$B$594,0)),""))</f>
        <v>firstname245.lastname245@example.com</v>
      </c>
      <c r="AB936" s="64" t="str">
        <f>IF($C936="","",IF(ISNUMBER(SEARCH($D936,Settings!$C$15)),"Pickup","Dispatch"))</f>
        <v>Pickup</v>
      </c>
      <c r="AC936" s="64" t="str">
        <f t="shared" si="166"/>
        <v>Supply order ready for pickup</v>
      </c>
      <c r="AD936" s="64" t="str">
        <f t="shared" si="157"/>
        <v>Dear PSW,
Your order is ready for pickup from Sample Branch, Wed-Fri 9am-4pm.</v>
      </c>
      <c r="AE936" s="64" t="str">
        <f t="shared" si="158"/>
        <v>mailto:firstname245.lastname245@example.com?subject=Supply%20order%20ready%20for%20pickup&amp;body=Dear%20PSW%2C%0A%0AYour%20order%20is%20ready%20for%20pickup%20from%20Sample%20Branch%2C%20Wed-Fri%209am-4pm.</v>
      </c>
      <c r="AF936" s="89" t="str">
        <f t="shared" si="167"/>
        <v>Draft email</v>
      </c>
      <c r="AG936" s="64" t="str">
        <f>IF($C936="","",IFERROR(INDEX('Staff Directory'!$K$595:$K$599,MATCH($C936,'Staff Directory'!$B$5:$B$599,0)),$D936))</f>
        <v>PSW</v>
      </c>
      <c r="AH936" t="str">
        <f>IF($C936="","",IFERROR(INDEX('Staff Directory'!$I$595:$I$599,MATCH($C936,'Staff Directory'!$B$5:$B$599,0))&amp;" "&amp;INDEX('Staff Directory'!$J$595:$J$599,MATCH($C936,'Staff Directory'!$B$5:$B$599,0)),$AG936))</f>
        <v>PSW</v>
      </c>
      <c r="AI936" s="102"/>
      <c r="AJ936" s="101">
        <f>IF($F936="","",SUMIFS($J$5:$J936,$F$5:$F936,$F936))</f>
        <v>35</v>
      </c>
      <c r="AK936" s="101">
        <f t="shared" si="159"/>
        <v>31</v>
      </c>
      <c r="AL936" s="66" t="str" cm="1">
        <f t="array" ref="AL936">IF($F936="","",IFERROR(INDEX('Lot Balance'!$B$5:$B$500,MATCH(1,INDEX(('Lot Balance'!$A$5:$A$500=$F936)*('Lot Balance'!$K$5:$K$500&lt;$AK936)*('Lot Balance'!$K$5:$K$500+'Lot Balance'!$D$5:$D$500&gt;=$AK936),0),0)),""))</f>
        <v>WRB500270</v>
      </c>
      <c r="AM936" s="66" t="str" cm="1">
        <f t="array" ref="AM936">IF($F936="","",IFERROR(INDEX('Lot Balance'!$B$5:$B$500,MATCH(1,INDEX(('Lot Balance'!$A$5:$A$500=$F936)*('Lot Balance'!$K$5:$K$500&lt;$AJ936)*('Lot Balance'!$K$5:$K$500+'Lot Balance'!$D$5:$D$500&gt;=$AJ936),0),0)),""))</f>
        <v>WRB500270</v>
      </c>
      <c r="AN936" s="66" t="str">
        <f>IF($F936="","",IF($AI936&lt;&gt;"",IF(COUNTIFS('Lot Balance'!$A$5:$A$500,$F936,'Lot Balance'!$B$5:$B$500,$AI936)=0,"⚠ override is not a lot of this item",IF($AI936=$AL936,"Override = FEFO","Override - FEFO says "&amp;$AL936)),IF($AL936="","⚠ no receipt on file for this item",IF($AM936&lt;&gt;$AL936,"FEFO auto - split, also "&amp;$AM936,"FEFO auto"))))</f>
        <v>FEFO auto</v>
      </c>
      <c r="AO936" s="114"/>
    </row>
    <row r="937" spans="1:41" x14ac:dyDescent="0.35">
      <c r="A937" s="74">
        <v>46174</v>
      </c>
      <c r="B937" s="18" t="str">
        <f>IF($C937="","",IFERROR(INDEX('Staff Directory'!$A$5:$A$594,MATCH($C937,'Staff Directory'!$B$5:$B$594,0)),"⚠ unknown staff"))</f>
        <v>PSW-182-A5</v>
      </c>
      <c r="C937" s="49" t="s">
        <v>1161</v>
      </c>
      <c r="D937" s="19" t="str">
        <f>IF($B937="","",IFERROR(INDEX('Staff Directory'!$C$5:$C$594,MATCH($B937,'Staff Directory'!$A$5:$A$594,0)),""))</f>
        <v>PSW</v>
      </c>
      <c r="E937" s="19" t="str">
        <f>IF($B937="","",IFERROR(INDEX('Staff Directory'!$D$5:$D$594,MATCH($B937,'Staff Directory'!$A$5:$A$594,0)),""))</f>
        <v>A5</v>
      </c>
      <c r="F937" s="9" t="s">
        <v>144</v>
      </c>
      <c r="G937" s="18" t="str">
        <f>IF($F937="","",IFERROR(INDEX(Items!$B$5:$B$597,MATCH($F937,Items!$A$5:$A$597,0)),"⚠ not in Items"))</f>
        <v>IPAC</v>
      </c>
      <c r="H937" s="19" t="str">
        <f>IF($F937="","",IFERROR(INDEX(Items!$C$5:$C$597,MATCH($F937,Items!$A$5:$A$597,0)),""))</f>
        <v>One Size</v>
      </c>
      <c r="I937" s="23">
        <f>IF($F937="","",IFERROR(INDEX(Items!$E$5:$E$597,MATCH($F937,Items!$A$5:$A$597,0)),""))</f>
        <v>4</v>
      </c>
      <c r="J937" s="115">
        <f>IF(tblIssues[[#This Row],[Qty Override]]&lt;&gt;"",tblIssues[[#This Row],[Qty Override]],IF(tblIssues[[#This Row],[Standard Issue]]="","",tblIssues[[#This Row],[Standard Issue]]))</f>
        <v>4</v>
      </c>
      <c r="K937" s="20">
        <f>IF($F937="","",IFERROR(INDEX(Items!$D$5:$D$597,MATCH($F937,Items!$A$5:$A$597,0)),""))</f>
        <v>145.97999999999999</v>
      </c>
      <c r="L937" s="21">
        <f t="shared" si="162"/>
        <v>583.91999999999996</v>
      </c>
      <c r="M937" s="9" t="str">
        <f t="shared" si="160"/>
        <v/>
      </c>
      <c r="N937" s="24">
        <f>IF($A937="","",WORKDAY($A937,Settings!$C$9,HolidayDates))</f>
        <v>46182</v>
      </c>
      <c r="O937" s="24">
        <f>IF($N937="","",WORKDAY($N937,Settings!$C$10,HolidayDates))</f>
        <v>46220</v>
      </c>
      <c r="P937" s="10" t="s">
        <v>501</v>
      </c>
      <c r="Q937" s="52" t="str">
        <f t="shared" si="163"/>
        <v>Collected</v>
      </c>
      <c r="R937" s="55" t="str">
        <f t="shared" si="164"/>
        <v>2026-06</v>
      </c>
      <c r="S937" s="55">
        <f>IF(OR($B937="",$F937="",$R937=""),"",SUMIFS(tblIssues[Qty Issued],tblIssues[Staff ID],$B937,tblIssues[Item Name],$F937,tblIssues[Month],$R937))</f>
        <v>4</v>
      </c>
      <c r="T937" s="56">
        <f>IF($I937="","",$I937*Settings!$C$11)</f>
        <v>4</v>
      </c>
      <c r="U937" s="57" t="str">
        <f t="shared" si="161"/>
        <v>OK</v>
      </c>
      <c r="V937" s="55" t="str">
        <f t="shared" si="165"/>
        <v/>
      </c>
      <c r="W937" s="55" t="str">
        <f>IF($V937="","",IF(COUNTIF($V$5:$V937,$V937)=1,1,""))</f>
        <v/>
      </c>
      <c r="X937" s="58" t="str">
        <f>IF($W937="","",MAX($X$4:X936)+1)</f>
        <v/>
      </c>
      <c r="Y937" s="62"/>
      <c r="Z937" s="62"/>
      <c r="AA937" s="64" t="str">
        <f>IF($C937="","",IFERROR(INDEX('Staff Directory'!$E$5:$E$594,MATCH($C937,'Staff Directory'!$B$5:$B$594,0)),""))</f>
        <v>firstname245.lastname245@example.com</v>
      </c>
      <c r="AB937" s="64" t="str">
        <f>IF($C937="","",IF(ISNUMBER(SEARCH($D937,Settings!$C$15)),"Pickup","Dispatch"))</f>
        <v>Pickup</v>
      </c>
      <c r="AC937" s="64" t="str">
        <f t="shared" si="166"/>
        <v>Supply order ready for pickup</v>
      </c>
      <c r="AD937" s="64" t="str">
        <f t="shared" si="157"/>
        <v>Dear PSW,
Your order is ready for pickup from Sample Branch, Wed-Fri 9am-4pm.</v>
      </c>
      <c r="AE937" s="64" t="str">
        <f t="shared" si="158"/>
        <v>mailto:firstname245.lastname245@example.com?subject=Supply%20order%20ready%20for%20pickup&amp;body=Dear%20PSW%2C%0A%0AYour%20order%20is%20ready%20for%20pickup%20from%20Sample%20Branch%2C%20Wed-Fri%209am-4pm.</v>
      </c>
      <c r="AF937" s="89" t="str">
        <f t="shared" si="167"/>
        <v>Draft email</v>
      </c>
      <c r="AG937" s="64" t="str">
        <f>IF($C937="","",IFERROR(INDEX('Staff Directory'!$K$595:$K$599,MATCH($C937,'Staff Directory'!$B$5:$B$599,0)),$D937))</f>
        <v>PSW</v>
      </c>
      <c r="AH937" t="str">
        <f>IF($C937="","",IFERROR(INDEX('Staff Directory'!$I$595:$I$599,MATCH($C937,'Staff Directory'!$B$5:$B$599,0))&amp;" "&amp;INDEX('Staff Directory'!$J$595:$J$599,MATCH($C937,'Staff Directory'!$B$5:$B$599,0)),$AG937))</f>
        <v>PSW</v>
      </c>
      <c r="AI937" s="102"/>
      <c r="AJ937" s="101">
        <f>IF($F937="","",SUMIFS($J$5:$J937,$F$5:$F937,$F937))</f>
        <v>40</v>
      </c>
      <c r="AK937" s="101">
        <f t="shared" si="159"/>
        <v>37</v>
      </c>
      <c r="AL937" s="66" t="str" cm="1">
        <f t="array" ref="AL937">IF($F937="","",IFERROR(INDEX('Lot Balance'!$B$5:$B$500,MATCH(1,INDEX(('Lot Balance'!$A$5:$A$500=$F937)*('Lot Balance'!$K$5:$K$500&lt;$AK937)*('Lot Balance'!$K$5:$K$500+'Lot Balance'!$D$5:$D$500&gt;=$AK937),0),0)),""))</f>
        <v/>
      </c>
      <c r="AM937" s="66" t="str" cm="1">
        <f t="array" ref="AM937">IF($F937="","",IFERROR(INDEX('Lot Balance'!$B$5:$B$500,MATCH(1,INDEX(('Lot Balance'!$A$5:$A$500=$F937)*('Lot Balance'!$K$5:$K$500&lt;$AJ937)*('Lot Balance'!$K$5:$K$500+'Lot Balance'!$D$5:$D$500&gt;=$AJ937),0),0)),""))</f>
        <v/>
      </c>
      <c r="AN937" s="66" t="str">
        <f>IF($F937="","",IF($AI937&lt;&gt;"",IF(COUNTIFS('Lot Balance'!$A$5:$A$500,$F937,'Lot Balance'!$B$5:$B$500,$AI937)=0,"⚠ override is not a lot of this item",IF($AI937=$AL937,"Override = FEFO","Override - FEFO says "&amp;$AL937)),IF($AL937="","⚠ no receipt on file for this item",IF($AM937&lt;&gt;$AL937,"FEFO auto - split, also "&amp;$AM937,"FEFO auto"))))</f>
        <v>⚠ no receipt on file for this item</v>
      </c>
      <c r="AO937" s="114"/>
    </row>
    <row r="938" spans="1:41" x14ac:dyDescent="0.35">
      <c r="A938" s="74">
        <v>46174</v>
      </c>
      <c r="B938" s="18" t="str">
        <f>IF($C938="","",IFERROR(INDEX('Staff Directory'!$A$5:$A$594,MATCH($C938,'Staff Directory'!$B$5:$B$594,0)),"⚠ unknown staff"))</f>
        <v>PSW-182-A5</v>
      </c>
      <c r="C938" s="49" t="s">
        <v>1161</v>
      </c>
      <c r="D938" s="19" t="str">
        <f>IF($B938="","",IFERROR(INDEX('Staff Directory'!$C$5:$C$594,MATCH($B938,'Staff Directory'!$A$5:$A$594,0)),""))</f>
        <v>PSW</v>
      </c>
      <c r="E938" s="19" t="str">
        <f>IF($B938="","",IFERROR(INDEX('Staff Directory'!$D$5:$D$594,MATCH($B938,'Staff Directory'!$A$5:$A$594,0)),""))</f>
        <v>A5</v>
      </c>
      <c r="F938" s="9" t="s">
        <v>154</v>
      </c>
      <c r="G938" s="18" t="str">
        <f>IF($F938="","",IFERROR(INDEX(Items!$B$5:$B$597,MATCH($F938,Items!$A$5:$A$597,0)),"⚠ not in Items"))</f>
        <v>IPAC</v>
      </c>
      <c r="H938" s="19" t="str">
        <f>IF($F938="","",IFERROR(INDEX(Items!$C$5:$C$597,MATCH($F938,Items!$A$5:$A$597,0)),""))</f>
        <v>Regular</v>
      </c>
      <c r="I938" s="23">
        <f>IF($F938="","",IFERROR(INDEX(Items!$E$5:$E$597,MATCH($F938,Items!$A$5:$A$597,0)),""))</f>
        <v>50</v>
      </c>
      <c r="J938" s="115">
        <f>IF(tblIssues[[#This Row],[Qty Override]]&lt;&gt;"",tblIssues[[#This Row],[Qty Override]],IF(tblIssues[[#This Row],[Standard Issue]]="","",tblIssues[[#This Row],[Standard Issue]]))</f>
        <v>50</v>
      </c>
      <c r="K938" s="20">
        <f>IF($F938="","",IFERROR(INDEX(Items!$D$5:$D$597,MATCH($F938,Items!$A$5:$A$597,0)),""))</f>
        <v>0.2</v>
      </c>
      <c r="L938" s="21">
        <f t="shared" si="162"/>
        <v>10</v>
      </c>
      <c r="M938" s="9" t="str">
        <f t="shared" si="160"/>
        <v/>
      </c>
      <c r="N938" s="24">
        <f>IF($A938="","",WORKDAY($A938,Settings!$C$9,HolidayDates))</f>
        <v>46182</v>
      </c>
      <c r="O938" s="24">
        <f>IF($N938="","",WORKDAY($N938,Settings!$C$10,HolidayDates))</f>
        <v>46220</v>
      </c>
      <c r="P938" s="10" t="s">
        <v>501</v>
      </c>
      <c r="Q938" s="52" t="str">
        <f t="shared" si="163"/>
        <v>Collected</v>
      </c>
      <c r="R938" s="55" t="str">
        <f t="shared" si="164"/>
        <v>2026-06</v>
      </c>
      <c r="S938" s="55">
        <f>IF(OR($B938="",$F938="",$R938=""),"",SUMIFS(tblIssues[Qty Issued],tblIssues[Staff ID],$B938,tblIssues[Item Name],$F938,tblIssues[Month],$R938))</f>
        <v>50</v>
      </c>
      <c r="T938" s="56">
        <f>IF($I938="","",$I938*Settings!$C$11)</f>
        <v>50</v>
      </c>
      <c r="U938" s="57" t="str">
        <f t="shared" si="161"/>
        <v>OK</v>
      </c>
      <c r="V938" s="55" t="str">
        <f t="shared" si="165"/>
        <v/>
      </c>
      <c r="W938" s="55" t="str">
        <f>IF($V938="","",IF(COUNTIF($V$5:$V938,$V938)=1,1,""))</f>
        <v/>
      </c>
      <c r="X938" s="58" t="str">
        <f>IF($W938="","",MAX($X$4:X937)+1)</f>
        <v/>
      </c>
      <c r="Y938" s="62"/>
      <c r="Z938" s="62"/>
      <c r="AA938" s="64" t="str">
        <f>IF($C938="","",IFERROR(INDEX('Staff Directory'!$E$5:$E$594,MATCH($C938,'Staff Directory'!$B$5:$B$594,0)),""))</f>
        <v>firstname245.lastname245@example.com</v>
      </c>
      <c r="AB938" s="64" t="str">
        <f>IF($C938="","",IF(ISNUMBER(SEARCH($D938,Settings!$C$15)),"Pickup","Dispatch"))</f>
        <v>Pickup</v>
      </c>
      <c r="AC938" s="64" t="str">
        <f t="shared" si="166"/>
        <v>Supply order ready for pickup</v>
      </c>
      <c r="AD938" s="64" t="str">
        <f t="shared" si="157"/>
        <v>Dear PSW,
Your order is ready for pickup from Sample Branch, Wed-Fri 9am-4pm.</v>
      </c>
      <c r="AE938" s="64" t="str">
        <f t="shared" si="158"/>
        <v>mailto:firstname245.lastname245@example.com?subject=Supply%20order%20ready%20for%20pickup&amp;body=Dear%20PSW%2C%0A%0AYour%20order%20is%20ready%20for%20pickup%20from%20Sample%20Branch%2C%20Wed-Fri%209am-4pm.</v>
      </c>
      <c r="AF938" s="89" t="str">
        <f t="shared" si="167"/>
        <v>Draft email</v>
      </c>
      <c r="AG938" s="64" t="str">
        <f>IF($C938="","",IFERROR(INDEX('Staff Directory'!$K$595:$K$599,MATCH($C938,'Staff Directory'!$B$5:$B$599,0)),$D938))</f>
        <v>PSW</v>
      </c>
      <c r="AH938" t="str">
        <f>IF($C938="","",IFERROR(INDEX('Staff Directory'!$I$595:$I$599,MATCH($C938,'Staff Directory'!$B$5:$B$599,0))&amp;" "&amp;INDEX('Staff Directory'!$J$595:$J$599,MATCH($C938,'Staff Directory'!$B$5:$B$599,0)),$AG938))</f>
        <v>PSW</v>
      </c>
      <c r="AI938" s="102"/>
      <c r="AJ938" s="101">
        <f>IF($F938="","",SUMIFS($J$5:$J938,$F$5:$F938,$F938))</f>
        <v>900</v>
      </c>
      <c r="AK938" s="101">
        <f t="shared" si="159"/>
        <v>851</v>
      </c>
      <c r="AL938" s="66" t="str" cm="1">
        <f t="array" ref="AL938">IF($F938="","",IFERROR(INDEX('Lot Balance'!$B$5:$B$500,MATCH(1,INDEX(('Lot Balance'!$A$5:$A$500=$F938)*('Lot Balance'!$K$5:$K$500&lt;$AK938)*('Lot Balance'!$K$5:$K$500+'Lot Balance'!$D$5:$D$500&gt;=$AK938),0),0)),""))</f>
        <v/>
      </c>
      <c r="AM938" s="66" t="str" cm="1">
        <f t="array" ref="AM938">IF($F938="","",IFERROR(INDEX('Lot Balance'!$B$5:$B$500,MATCH(1,INDEX(('Lot Balance'!$A$5:$A$500=$F938)*('Lot Balance'!$K$5:$K$500&lt;$AJ938)*('Lot Balance'!$K$5:$K$500+'Lot Balance'!$D$5:$D$500&gt;=$AJ938),0),0)),""))</f>
        <v/>
      </c>
      <c r="AN938" s="66" t="str">
        <f>IF($F938="","",IF($AI938&lt;&gt;"",IF(COUNTIFS('Lot Balance'!$A$5:$A$500,$F938,'Lot Balance'!$B$5:$B$500,$AI938)=0,"⚠ override is not a lot of this item",IF($AI938=$AL938,"Override = FEFO","Override - FEFO says "&amp;$AL938)),IF($AL938="","⚠ no receipt on file for this item",IF($AM938&lt;&gt;$AL938,"FEFO auto - split, also "&amp;$AM938,"FEFO auto"))))</f>
        <v>⚠ no receipt on file for this item</v>
      </c>
      <c r="AO938" s="114"/>
    </row>
    <row r="939" spans="1:41" x14ac:dyDescent="0.35">
      <c r="A939" s="74">
        <v>46174</v>
      </c>
      <c r="B939" s="18" t="str">
        <f>IF($C939="","",IFERROR(INDEX('Staff Directory'!$A$5:$A$594,MATCH($C939,'Staff Directory'!$B$5:$B$594,0)),"⚠ unknown staff"))</f>
        <v>PSW-182-A5</v>
      </c>
      <c r="C939" s="49" t="s">
        <v>1161</v>
      </c>
      <c r="D939" s="19" t="str">
        <f>IF($B939="","",IFERROR(INDEX('Staff Directory'!$C$5:$C$594,MATCH($B939,'Staff Directory'!$A$5:$A$594,0)),""))</f>
        <v>PSW</v>
      </c>
      <c r="E939" s="19" t="str">
        <f>IF($B939="","",IFERROR(INDEX('Staff Directory'!$D$5:$D$594,MATCH($B939,'Staff Directory'!$A$5:$A$594,0)),""))</f>
        <v>A5</v>
      </c>
      <c r="F939" s="9" t="s">
        <v>136</v>
      </c>
      <c r="G939" s="18" t="str">
        <f>IF($F939="","",IFERROR(INDEX(Items!$B$5:$B$597,MATCH($F939,Items!$A$5:$A$597,0)),"⚠ not in Items"))</f>
        <v>Eye Protection</v>
      </c>
      <c r="H939" s="19" t="str">
        <f>IF($F939="","",IFERROR(INDEX(Items!$C$5:$C$597,MATCH($F939,Items!$A$5:$A$597,0)),""))</f>
        <v>One Size</v>
      </c>
      <c r="I939" s="23">
        <f>IF($F939="","",IFERROR(INDEX(Items!$E$5:$E$597,MATCH($F939,Items!$A$5:$A$597,0)),""))</f>
        <v>1</v>
      </c>
      <c r="J939" s="115">
        <f>IF(tblIssues[[#This Row],[Qty Override]]&lt;&gt;"",tblIssues[[#This Row],[Qty Override]],IF(tblIssues[[#This Row],[Standard Issue]]="","",tblIssues[[#This Row],[Standard Issue]]))</f>
        <v>1</v>
      </c>
      <c r="K939" s="20">
        <f>IF($F939="","",IFERROR(INDEX(Items!$D$5:$D$597,MATCH($F939,Items!$A$5:$A$597,0)),""))</f>
        <v>10</v>
      </c>
      <c r="L939" s="21">
        <f t="shared" si="162"/>
        <v>10</v>
      </c>
      <c r="M939" s="9" t="str">
        <f t="shared" si="160"/>
        <v>GGL5003700</v>
      </c>
      <c r="N939" s="24">
        <f>IF($A939="","",WORKDAY($A939,Settings!$C$9,HolidayDates))</f>
        <v>46182</v>
      </c>
      <c r="O939" s="24">
        <f>IF($N939="","",WORKDAY($N939,Settings!$C$10,HolidayDates))</f>
        <v>46220</v>
      </c>
      <c r="P939" s="10" t="s">
        <v>501</v>
      </c>
      <c r="Q939" s="52" t="str">
        <f t="shared" si="163"/>
        <v>Collected</v>
      </c>
      <c r="R939" s="55" t="str">
        <f t="shared" si="164"/>
        <v>2026-06</v>
      </c>
      <c r="S939" s="55">
        <f>IF(OR($B939="",$F939="",$R939=""),"",SUMIFS(tblIssues[Qty Issued],tblIssues[Staff ID],$B939,tblIssues[Item Name],$F939,tblIssues[Month],$R939))</f>
        <v>1</v>
      </c>
      <c r="T939" s="56">
        <f>IF($I939="","",$I939*Settings!$C$11)</f>
        <v>1</v>
      </c>
      <c r="U939" s="57" t="str">
        <f t="shared" si="161"/>
        <v>OK</v>
      </c>
      <c r="V939" s="55" t="str">
        <f t="shared" si="165"/>
        <v/>
      </c>
      <c r="W939" s="55" t="str">
        <f>IF($V939="","",IF(COUNTIF($V$5:$V939,$V939)=1,1,""))</f>
        <v/>
      </c>
      <c r="X939" s="58" t="str">
        <f>IF($W939="","",MAX($X$4:X938)+1)</f>
        <v/>
      </c>
      <c r="Y939" s="62"/>
      <c r="Z939" s="62"/>
      <c r="AA939" s="64" t="str">
        <f>IF($C939="","",IFERROR(INDEX('Staff Directory'!$E$5:$E$594,MATCH($C939,'Staff Directory'!$B$5:$B$594,0)),""))</f>
        <v>firstname245.lastname245@example.com</v>
      </c>
      <c r="AB939" s="64" t="str">
        <f>IF($C939="","",IF(ISNUMBER(SEARCH($D939,Settings!$C$15)),"Pickup","Dispatch"))</f>
        <v>Pickup</v>
      </c>
      <c r="AC939" s="64" t="str">
        <f t="shared" si="166"/>
        <v>Supply order ready for pickup</v>
      </c>
      <c r="AD939" s="64" t="str">
        <f t="shared" si="157"/>
        <v>Dear PSW,
Your order is ready for pickup from Sample Branch, Wed-Fri 9am-4pm.</v>
      </c>
      <c r="AE939" s="64" t="str">
        <f t="shared" si="158"/>
        <v>mailto:firstname245.lastname245@example.com?subject=Supply%20order%20ready%20for%20pickup&amp;body=Dear%20PSW%2C%0A%0AYour%20order%20is%20ready%20for%20pickup%20from%20Sample%20Branch%2C%20Wed-Fri%209am-4pm.</v>
      </c>
      <c r="AF939" s="89" t="str">
        <f t="shared" si="167"/>
        <v>Draft email</v>
      </c>
      <c r="AG939" s="64" t="str">
        <f>IF($C939="","",IFERROR(INDEX('Staff Directory'!$K$595:$K$599,MATCH($C939,'Staff Directory'!$B$5:$B$599,0)),$D939))</f>
        <v>PSW</v>
      </c>
      <c r="AH939" t="str">
        <f>IF($C939="","",IFERROR(INDEX('Staff Directory'!$I$595:$I$599,MATCH($C939,'Staff Directory'!$B$5:$B$599,0))&amp;" "&amp;INDEX('Staff Directory'!$J$595:$J$599,MATCH($C939,'Staff Directory'!$B$5:$B$599,0)),$AG939))</f>
        <v>PSW</v>
      </c>
      <c r="AI939" s="102"/>
      <c r="AJ939" s="101">
        <f>IF($F939="","",SUMIFS($J$5:$J939,$F$5:$F939,$F939))</f>
        <v>7</v>
      </c>
      <c r="AK939" s="101">
        <f t="shared" si="159"/>
        <v>7</v>
      </c>
      <c r="AL939" s="66" t="str" cm="1">
        <f t="array" ref="AL939">IF($F939="","",IFERROR(INDEX('Lot Balance'!$B$5:$B$500,MATCH(1,INDEX(('Lot Balance'!$A$5:$A$500=$F939)*('Lot Balance'!$K$5:$K$500&lt;$AK939)*('Lot Balance'!$K$5:$K$500+'Lot Balance'!$D$5:$D$500&gt;=$AK939),0),0)),""))</f>
        <v>GGL5003700</v>
      </c>
      <c r="AM939" s="66" t="str" cm="1">
        <f t="array" ref="AM939">IF($F939="","",IFERROR(INDEX('Lot Balance'!$B$5:$B$500,MATCH(1,INDEX(('Lot Balance'!$A$5:$A$500=$F939)*('Lot Balance'!$K$5:$K$500&lt;$AJ939)*('Lot Balance'!$K$5:$K$500+'Lot Balance'!$D$5:$D$500&gt;=$AJ939),0),0)),""))</f>
        <v>GGL5003700</v>
      </c>
      <c r="AN939" s="66" t="str">
        <f>IF($F939="","",IF($AI939&lt;&gt;"",IF(COUNTIFS('Lot Balance'!$A$5:$A$500,$F939,'Lot Balance'!$B$5:$B$500,$AI939)=0,"⚠ override is not a lot of this item",IF($AI939=$AL939,"Override = FEFO","Override - FEFO says "&amp;$AL939)),IF($AL939="","⚠ no receipt on file for this item",IF($AM939&lt;&gt;$AL939,"FEFO auto - split, also "&amp;$AM939,"FEFO auto"))))</f>
        <v>FEFO auto</v>
      </c>
      <c r="AO939" s="114"/>
    </row>
    <row r="940" spans="1:41" x14ac:dyDescent="0.35">
      <c r="A940" s="74">
        <v>46174</v>
      </c>
      <c r="B940" s="18" t="str">
        <f>IF($C940="","",IFERROR(INDEX('Staff Directory'!$A$5:$A$594,MATCH($C940,'Staff Directory'!$B$5:$B$594,0)),"⚠ unknown staff"))</f>
        <v>PSW-182-A5</v>
      </c>
      <c r="C940" s="49" t="s">
        <v>1161</v>
      </c>
      <c r="D940" s="19" t="str">
        <f>IF($B940="","",IFERROR(INDEX('Staff Directory'!$C$5:$C$594,MATCH($B940,'Staff Directory'!$A$5:$A$594,0)),""))</f>
        <v>PSW</v>
      </c>
      <c r="E940" s="19" t="str">
        <f>IF($B940="","",IFERROR(INDEX('Staff Directory'!$D$5:$D$594,MATCH($B940,'Staff Directory'!$A$5:$A$594,0)),""))</f>
        <v>A5</v>
      </c>
      <c r="F940" s="9" t="s">
        <v>122</v>
      </c>
      <c r="G940" s="18" t="str">
        <f>IF($F940="","",IFERROR(INDEX(Items!$B$5:$B$597,MATCH($F940,Items!$A$5:$A$597,0)),"⚠ not in Items"))</f>
        <v>Eye Protection</v>
      </c>
      <c r="H940" s="19" t="str">
        <f>IF($F940="","",IFERROR(INDEX(Items!$C$5:$C$597,MATCH($F940,Items!$A$5:$A$597,0)),""))</f>
        <v>One Size</v>
      </c>
      <c r="I940" s="23">
        <f>IF($F940="","",IFERROR(INDEX(Items!$E$5:$E$597,MATCH($F940,Items!$A$5:$A$597,0)),""))</f>
        <v>1</v>
      </c>
      <c r="J940" s="115">
        <f>IF(tblIssues[[#This Row],[Qty Override]]&lt;&gt;"",tblIssues[[#This Row],[Qty Override]],IF(tblIssues[[#This Row],[Standard Issue]]="","",tblIssues[[#This Row],[Standard Issue]]))</f>
        <v>1</v>
      </c>
      <c r="K940" s="20">
        <f>IF($F940="","",IFERROR(INDEX(Items!$D$5:$D$597,MATCH($F940,Items!$A$5:$A$597,0)),""))</f>
        <v>7</v>
      </c>
      <c r="L940" s="21">
        <f t="shared" si="162"/>
        <v>7</v>
      </c>
      <c r="M940" s="9" t="str">
        <f t="shared" si="160"/>
        <v/>
      </c>
      <c r="N940" s="24">
        <f>IF($A940="","",WORKDAY($A940,Settings!$C$9,HolidayDates))</f>
        <v>46182</v>
      </c>
      <c r="O940" s="24">
        <f>IF($N940="","",WORKDAY($N940,Settings!$C$10,HolidayDates))</f>
        <v>46220</v>
      </c>
      <c r="P940" s="10" t="s">
        <v>501</v>
      </c>
      <c r="Q940" s="52" t="str">
        <f t="shared" si="163"/>
        <v>Collected</v>
      </c>
      <c r="R940" s="55" t="str">
        <f t="shared" si="164"/>
        <v>2026-06</v>
      </c>
      <c r="S940" s="55">
        <f>IF(OR($B940="",$F940="",$R940=""),"",SUMIFS(tblIssues[Qty Issued],tblIssues[Staff ID],$B940,tblIssues[Item Name],$F940,tblIssues[Month],$R940))</f>
        <v>1</v>
      </c>
      <c r="T940" s="56">
        <f>IF($I940="","",$I940*Settings!$C$11)</f>
        <v>1</v>
      </c>
      <c r="U940" s="57" t="str">
        <f t="shared" si="161"/>
        <v>OK</v>
      </c>
      <c r="V940" s="55" t="str">
        <f t="shared" si="165"/>
        <v/>
      </c>
      <c r="W940" s="55" t="str">
        <f>IF($V940="","",IF(COUNTIF($V$5:$V940,$V940)=1,1,""))</f>
        <v/>
      </c>
      <c r="X940" s="58" t="str">
        <f>IF($W940="","",MAX($X$4:X939)+1)</f>
        <v/>
      </c>
      <c r="Y940" s="62"/>
      <c r="Z940" s="62"/>
      <c r="AA940" s="64" t="str">
        <f>IF($C940="","",IFERROR(INDEX('Staff Directory'!$E$5:$E$594,MATCH($C940,'Staff Directory'!$B$5:$B$594,0)),""))</f>
        <v>firstname245.lastname245@example.com</v>
      </c>
      <c r="AB940" s="64" t="str">
        <f>IF($C940="","",IF(ISNUMBER(SEARCH($D940,Settings!$C$15)),"Pickup","Dispatch"))</f>
        <v>Pickup</v>
      </c>
      <c r="AC940" s="64" t="str">
        <f t="shared" si="166"/>
        <v>Supply order ready for pickup</v>
      </c>
      <c r="AD940" s="64" t="str">
        <f t="shared" si="157"/>
        <v>Dear PSW,
Your order is ready for pickup from Sample Branch, Wed-Fri 9am-4pm.</v>
      </c>
      <c r="AE940" s="64" t="str">
        <f t="shared" si="158"/>
        <v>mailto:firstname245.lastname245@example.com?subject=Supply%20order%20ready%20for%20pickup&amp;body=Dear%20PSW%2C%0A%0AYour%20order%20is%20ready%20for%20pickup%20from%20Sample%20Branch%2C%20Wed-Fri%209am-4pm.</v>
      </c>
      <c r="AF940" s="89" t="str">
        <f t="shared" si="167"/>
        <v>Draft email</v>
      </c>
      <c r="AG940" s="64" t="str">
        <f>IF($C940="","",IFERROR(INDEX('Staff Directory'!$K$595:$K$599,MATCH($C940,'Staff Directory'!$B$5:$B$599,0)),$D940))</f>
        <v>PSW</v>
      </c>
      <c r="AH940" t="str">
        <f>IF($C940="","",IFERROR(INDEX('Staff Directory'!$I$595:$I$599,MATCH($C940,'Staff Directory'!$B$5:$B$599,0))&amp;" "&amp;INDEX('Staff Directory'!$J$595:$J$599,MATCH($C940,'Staff Directory'!$B$5:$B$599,0)),$AG940))</f>
        <v>PSW</v>
      </c>
      <c r="AI940" s="102"/>
      <c r="AJ940" s="101">
        <f>IF($F940="","",SUMIFS($J$5:$J940,$F$5:$F940,$F940))</f>
        <v>8</v>
      </c>
      <c r="AK940" s="101">
        <f t="shared" si="159"/>
        <v>8</v>
      </c>
      <c r="AL940" s="66" t="str" cm="1">
        <f t="array" ref="AL940">IF($F940="","",IFERROR(INDEX('Lot Balance'!$B$5:$B$500,MATCH(1,INDEX(('Lot Balance'!$A$5:$A$500=$F940)*('Lot Balance'!$K$5:$K$500&lt;$AK940)*('Lot Balance'!$K$5:$K$500+'Lot Balance'!$D$5:$D$500&gt;=$AK940),0),0)),""))</f>
        <v/>
      </c>
      <c r="AM940" s="66" t="str" cm="1">
        <f t="array" ref="AM940">IF($F940="","",IFERROR(INDEX('Lot Balance'!$B$5:$B$500,MATCH(1,INDEX(('Lot Balance'!$A$5:$A$500=$F940)*('Lot Balance'!$K$5:$K$500&lt;$AJ940)*('Lot Balance'!$K$5:$K$500+'Lot Balance'!$D$5:$D$500&gt;=$AJ940),0),0)),""))</f>
        <v/>
      </c>
      <c r="AN940" s="66" t="str">
        <f>IF($F940="","",IF($AI940&lt;&gt;"",IF(COUNTIFS('Lot Balance'!$A$5:$A$500,$F940,'Lot Balance'!$B$5:$B$500,$AI940)=0,"⚠ override is not a lot of this item",IF($AI940=$AL940,"Override = FEFO","Override - FEFO says "&amp;$AL940)),IF($AL940="","⚠ no receipt on file for this item",IF($AM940&lt;&gt;$AL940,"FEFO auto - split, also "&amp;$AM940,"FEFO auto"))))</f>
        <v>⚠ no receipt on file for this item</v>
      </c>
      <c r="AO940" s="114"/>
    </row>
    <row r="941" spans="1:41" x14ac:dyDescent="0.35">
      <c r="A941" s="74">
        <v>46174</v>
      </c>
      <c r="B941" s="18" t="str">
        <f>IF($C941="","",IFERROR(INDEX('Staff Directory'!$A$5:$A$594,MATCH($C941,'Staff Directory'!$B$5:$B$594,0)),"⚠ unknown staff"))</f>
        <v>PSW-182-A5</v>
      </c>
      <c r="C941" s="49" t="s">
        <v>1161</v>
      </c>
      <c r="D941" s="19" t="str">
        <f>IF($B941="","",IFERROR(INDEX('Staff Directory'!$C$5:$C$594,MATCH($B941,'Staff Directory'!$A$5:$A$594,0)),""))</f>
        <v>PSW</v>
      </c>
      <c r="E941" s="19" t="str">
        <f>IF($B941="","",IFERROR(INDEX('Staff Directory'!$D$5:$D$594,MATCH($B941,'Staff Directory'!$A$5:$A$594,0)),""))</f>
        <v>A5</v>
      </c>
      <c r="F941" s="9" t="s">
        <v>150</v>
      </c>
      <c r="G941" s="18" t="str">
        <f>IF($F941="","",IFERROR(INDEX(Items!$B$5:$B$597,MATCH($F941,Items!$A$5:$A$597,0)),"⚠ not in Items"))</f>
        <v>Documents</v>
      </c>
      <c r="H941" s="19" t="str">
        <f>IF($F941="","",IFERROR(INDEX(Items!$C$5:$C$597,MATCH($F941,Items!$A$5:$A$597,0)),""))</f>
        <v>Standard</v>
      </c>
      <c r="I941" s="23">
        <f>IF($F941="","",IFERROR(INDEX(Items!$E$5:$E$597,MATCH($F941,Items!$A$5:$A$597,0)),""))</f>
        <v>1</v>
      </c>
      <c r="J941" s="115">
        <f>IF(tblIssues[[#This Row],[Qty Override]]&lt;&gt;"",tblIssues[[#This Row],[Qty Override]],IF(tblIssues[[#This Row],[Standard Issue]]="","",tblIssues[[#This Row],[Standard Issue]]))</f>
        <v>1</v>
      </c>
      <c r="K941" s="20">
        <f>IF($F941="","",IFERROR(INDEX(Items!$D$5:$D$597,MATCH($F941,Items!$A$5:$A$597,0)),""))</f>
        <v>0</v>
      </c>
      <c r="L941" s="21">
        <f t="shared" si="162"/>
        <v>0</v>
      </c>
      <c r="M941" s="9" t="str">
        <f t="shared" si="160"/>
        <v/>
      </c>
      <c r="N941" s="24">
        <f>IF($A941="","",WORKDAY($A941,Settings!$C$9,HolidayDates))</f>
        <v>46182</v>
      </c>
      <c r="O941" s="24">
        <f>IF($N941="","",WORKDAY($N941,Settings!$C$10,HolidayDates))</f>
        <v>46220</v>
      </c>
      <c r="P941" s="10" t="s">
        <v>501</v>
      </c>
      <c r="Q941" s="52" t="str">
        <f t="shared" si="163"/>
        <v>Collected</v>
      </c>
      <c r="R941" s="55" t="str">
        <f t="shared" si="164"/>
        <v>2026-06</v>
      </c>
      <c r="S941" s="55">
        <f>IF(OR($B941="",$F941="",$R941=""),"",SUMIFS(tblIssues[Qty Issued],tblIssues[Staff ID],$B941,tblIssues[Item Name],$F941,tblIssues[Month],$R941))</f>
        <v>1</v>
      </c>
      <c r="T941" s="56">
        <f>IF($I941="","",$I941*Settings!$C$11)</f>
        <v>1</v>
      </c>
      <c r="U941" s="57" t="str">
        <f t="shared" si="161"/>
        <v>OK</v>
      </c>
      <c r="V941" s="55" t="str">
        <f t="shared" si="165"/>
        <v/>
      </c>
      <c r="W941" s="55" t="str">
        <f>IF($V941="","",IF(COUNTIF($V$5:$V941,$V941)=1,1,""))</f>
        <v/>
      </c>
      <c r="X941" s="58" t="str">
        <f>IF($W941="","",MAX($X$4:X940)+1)</f>
        <v/>
      </c>
      <c r="Y941" s="62"/>
      <c r="Z941" s="62"/>
      <c r="AA941" s="64" t="str">
        <f>IF($C941="","",IFERROR(INDEX('Staff Directory'!$E$5:$E$594,MATCH($C941,'Staff Directory'!$B$5:$B$594,0)),""))</f>
        <v>firstname245.lastname245@example.com</v>
      </c>
      <c r="AB941" s="64" t="str">
        <f>IF($C941="","",IF(ISNUMBER(SEARCH($D941,Settings!$C$15)),"Pickup","Dispatch"))</f>
        <v>Pickup</v>
      </c>
      <c r="AC941" s="64" t="str">
        <f t="shared" si="166"/>
        <v>Supply order ready for pickup</v>
      </c>
      <c r="AD941" s="64" t="str">
        <f t="shared" si="157"/>
        <v>Dear PSW,
Your order is ready for pickup from Sample Branch, Wed-Fri 9am-4pm.</v>
      </c>
      <c r="AE941" s="64" t="str">
        <f t="shared" si="158"/>
        <v>mailto:firstname245.lastname245@example.com?subject=Supply%20order%20ready%20for%20pickup&amp;body=Dear%20PSW%2C%0A%0AYour%20order%20is%20ready%20for%20pickup%20from%20Sample%20Branch%2C%20Wed-Fri%209am-4pm.</v>
      </c>
      <c r="AF941" s="89" t="str">
        <f t="shared" si="167"/>
        <v>Draft email</v>
      </c>
      <c r="AG941" s="64" t="str">
        <f>IF($C941="","",IFERROR(INDEX('Staff Directory'!$K$595:$K$599,MATCH($C941,'Staff Directory'!$B$5:$B$599,0)),$D941))</f>
        <v>PSW</v>
      </c>
      <c r="AH941" t="str">
        <f>IF($C941="","",IFERROR(INDEX('Staff Directory'!$I$595:$I$599,MATCH($C941,'Staff Directory'!$B$5:$B$599,0))&amp;" "&amp;INDEX('Staff Directory'!$J$595:$J$599,MATCH($C941,'Staff Directory'!$B$5:$B$599,0)),$AG941))</f>
        <v>PSW</v>
      </c>
      <c r="AI941" s="102"/>
      <c r="AJ941" s="101">
        <f>IF($F941="","",SUMIFS($J$5:$J941,$F$5:$F941,$F941))</f>
        <v>8</v>
      </c>
      <c r="AK941" s="101">
        <f t="shared" si="159"/>
        <v>8</v>
      </c>
      <c r="AL941" s="66" t="str" cm="1">
        <f t="array" ref="AL941">IF($F941="","",IFERROR(INDEX('Lot Balance'!$B$5:$B$500,MATCH(1,INDEX(('Lot Balance'!$A$5:$A$500=$F941)*('Lot Balance'!$K$5:$K$500&lt;$AK941)*('Lot Balance'!$K$5:$K$500+'Lot Balance'!$D$5:$D$500&gt;=$AK941),0),0)),""))</f>
        <v/>
      </c>
      <c r="AM941" s="66" t="str" cm="1">
        <f t="array" ref="AM941">IF($F941="","",IFERROR(INDEX('Lot Balance'!$B$5:$B$500,MATCH(1,INDEX(('Lot Balance'!$A$5:$A$500=$F941)*('Lot Balance'!$K$5:$K$500&lt;$AJ941)*('Lot Balance'!$K$5:$K$500+'Lot Balance'!$D$5:$D$500&gt;=$AJ941),0),0)),""))</f>
        <v/>
      </c>
      <c r="AN941" s="66" t="str">
        <f>IF($F941="","",IF($AI941&lt;&gt;"",IF(COUNTIFS('Lot Balance'!$A$5:$A$500,$F941,'Lot Balance'!$B$5:$B$500,$AI941)=0,"⚠ override is not a lot of this item",IF($AI941=$AL941,"Override = FEFO","Override - FEFO says "&amp;$AL941)),IF($AL941="","⚠ no receipt on file for this item",IF($AM941&lt;&gt;$AL941,"FEFO auto - split, also "&amp;$AM941,"FEFO auto"))))</f>
        <v>⚠ no receipt on file for this item</v>
      </c>
      <c r="AO941" s="114"/>
    </row>
    <row r="942" spans="1:41" x14ac:dyDescent="0.35">
      <c r="A942" s="74">
        <v>46174</v>
      </c>
      <c r="B942" s="18" t="str">
        <f>IF($C942="","",IFERROR(INDEX('Staff Directory'!$A$5:$A$594,MATCH($C942,'Staff Directory'!$B$5:$B$594,0)),"⚠ unknown staff"))</f>
        <v>PSW-182-A5</v>
      </c>
      <c r="C942" s="49" t="s">
        <v>1161</v>
      </c>
      <c r="D942" s="19" t="str">
        <f>IF($B942="","",IFERROR(INDEX('Staff Directory'!$C$5:$C$594,MATCH($B942,'Staff Directory'!$A$5:$A$594,0)),""))</f>
        <v>PSW</v>
      </c>
      <c r="E942" s="19" t="str">
        <f>IF($B942="","",IFERROR(INDEX('Staff Directory'!$D$5:$D$594,MATCH($B942,'Staff Directory'!$A$5:$A$594,0)),""))</f>
        <v>A5</v>
      </c>
      <c r="F942" s="9" t="s">
        <v>755</v>
      </c>
      <c r="G942" s="18" t="str">
        <f>IF($F942="","",IFERROR(INDEX(Items!$B$5:$B$597,MATCH($F942,Items!$A$5:$A$597,0)),"⚠ not in Items"))</f>
        <v>Documents</v>
      </c>
      <c r="H942" s="19" t="str">
        <f>IF($F942="","",IFERROR(INDEX(Items!$C$5:$C$597,MATCH($F942,Items!$A$5:$A$597,0)),""))</f>
        <v>Standard</v>
      </c>
      <c r="I942" s="23">
        <f>IF($F942="","",IFERROR(INDEX(Items!$E$5:$E$597,MATCH($F942,Items!$A$5:$A$597,0)),""))</f>
        <v>2</v>
      </c>
      <c r="J942" s="115">
        <f>IF(tblIssues[[#This Row],[Qty Override]]&lt;&gt;"",tblIssues[[#This Row],[Qty Override]],IF(tblIssues[[#This Row],[Standard Issue]]="","",tblIssues[[#This Row],[Standard Issue]]))</f>
        <v>2</v>
      </c>
      <c r="K942" s="20">
        <f>IF($F942="","",IFERROR(INDEX(Items!$D$5:$D$597,MATCH($F942,Items!$A$5:$A$597,0)),""))</f>
        <v>0</v>
      </c>
      <c r="L942" s="21">
        <f t="shared" si="162"/>
        <v>0</v>
      </c>
      <c r="M942" s="9" t="str">
        <f t="shared" si="160"/>
        <v/>
      </c>
      <c r="N942" s="24">
        <f>IF($A942="","",WORKDAY($A942,Settings!$C$9,HolidayDates))</f>
        <v>46182</v>
      </c>
      <c r="O942" s="24">
        <f>IF($N942="","",WORKDAY($N942,Settings!$C$10,HolidayDates))</f>
        <v>46220</v>
      </c>
      <c r="P942" s="10" t="s">
        <v>501</v>
      </c>
      <c r="Q942" s="52" t="str">
        <f t="shared" si="163"/>
        <v>Collected</v>
      </c>
      <c r="R942" s="55" t="str">
        <f t="shared" si="164"/>
        <v>2026-06</v>
      </c>
      <c r="S942" s="55">
        <f>IF(OR($B942="",$F942="",$R942=""),"",SUMIFS(tblIssues[Qty Issued],tblIssues[Staff ID],$B942,tblIssues[Item Name],$F942,tblIssues[Month],$R942))</f>
        <v>2</v>
      </c>
      <c r="T942" s="56">
        <f>IF($I942="","",$I942*Settings!$C$11)</f>
        <v>2</v>
      </c>
      <c r="U942" s="57" t="str">
        <f t="shared" si="161"/>
        <v>OK</v>
      </c>
      <c r="V942" s="55" t="str">
        <f t="shared" si="165"/>
        <v/>
      </c>
      <c r="W942" s="55" t="str">
        <f>IF($V942="","",IF(COUNTIF($V$5:$V942,$V942)=1,1,""))</f>
        <v/>
      </c>
      <c r="X942" s="58" t="str">
        <f>IF($W942="","",MAX($X$4:X941)+1)</f>
        <v/>
      </c>
      <c r="Y942" s="62"/>
      <c r="Z942" s="62"/>
      <c r="AA942" s="64" t="str">
        <f>IF($C942="","",IFERROR(INDEX('Staff Directory'!$E$5:$E$594,MATCH($C942,'Staff Directory'!$B$5:$B$594,0)),""))</f>
        <v>firstname245.lastname245@example.com</v>
      </c>
      <c r="AB942" s="64" t="str">
        <f>IF($C942="","",IF(ISNUMBER(SEARCH($D942,Settings!$C$15)),"Pickup","Dispatch"))</f>
        <v>Pickup</v>
      </c>
      <c r="AC942" s="64" t="str">
        <f t="shared" si="166"/>
        <v>Supply order ready for pickup</v>
      </c>
      <c r="AD942" s="64" t="str">
        <f t="shared" si="157"/>
        <v>Dear PSW,
Your order is ready for pickup from Sample Branch, Wed-Fri 9am-4pm.</v>
      </c>
      <c r="AE942" s="64" t="str">
        <f t="shared" si="158"/>
        <v>mailto:firstname245.lastname245@example.com?subject=Supply%20order%20ready%20for%20pickup&amp;body=Dear%20PSW%2C%0A%0AYour%20order%20is%20ready%20for%20pickup%20from%20Sample%20Branch%2C%20Wed-Fri%209am-4pm.</v>
      </c>
      <c r="AF942" s="89" t="str">
        <f t="shared" si="167"/>
        <v>Draft email</v>
      </c>
      <c r="AG942" s="64" t="str">
        <f>IF($C942="","",IFERROR(INDEX('Staff Directory'!$K$595:$K$599,MATCH($C942,'Staff Directory'!$B$5:$B$599,0)),$D942))</f>
        <v>PSW</v>
      </c>
      <c r="AH942" t="str">
        <f>IF($C942="","",IFERROR(INDEX('Staff Directory'!$I$595:$I$599,MATCH($C942,'Staff Directory'!$B$5:$B$599,0))&amp;" "&amp;INDEX('Staff Directory'!$J$595:$J$599,MATCH($C942,'Staff Directory'!$B$5:$B$599,0)),$AG942))</f>
        <v>PSW</v>
      </c>
      <c r="AI942" s="102"/>
      <c r="AJ942" s="101">
        <f>IF($F942="","",SUMIFS($J$5:$J942,$F$5:$F942,$F942))</f>
        <v>128</v>
      </c>
      <c r="AK942" s="101">
        <f t="shared" si="159"/>
        <v>127</v>
      </c>
      <c r="AL942" s="66" t="str" cm="1">
        <f t="array" ref="AL942">IF($F942="","",IFERROR(INDEX('Lot Balance'!$B$5:$B$500,MATCH(1,INDEX(('Lot Balance'!$A$5:$A$500=$F942)*('Lot Balance'!$K$5:$K$500&lt;$AK942)*('Lot Balance'!$K$5:$K$500+'Lot Balance'!$D$5:$D$500&gt;=$AK942),0),0)),""))</f>
        <v/>
      </c>
      <c r="AM942" s="66" t="str" cm="1">
        <f t="array" ref="AM942">IF($F942="","",IFERROR(INDEX('Lot Balance'!$B$5:$B$500,MATCH(1,INDEX(('Lot Balance'!$A$5:$A$500=$F942)*('Lot Balance'!$K$5:$K$500&lt;$AJ942)*('Lot Balance'!$K$5:$K$500+'Lot Balance'!$D$5:$D$500&gt;=$AJ942),0),0)),""))</f>
        <v/>
      </c>
      <c r="AN942" s="66" t="str">
        <f>IF($F942="","",IF($AI942&lt;&gt;"",IF(COUNTIFS('Lot Balance'!$A$5:$A$500,$F942,'Lot Balance'!$B$5:$B$500,$AI942)=0,"⚠ override is not a lot of this item",IF($AI942=$AL942,"Override = FEFO","Override - FEFO says "&amp;$AL942)),IF($AL942="","⚠ no receipt on file for this item",IF($AM942&lt;&gt;$AL942,"FEFO auto - split, also "&amp;$AM942,"FEFO auto"))))</f>
        <v>⚠ no receipt on file for this item</v>
      </c>
      <c r="AO942" s="114"/>
    </row>
    <row r="943" spans="1:41" x14ac:dyDescent="0.35">
      <c r="A943" s="74">
        <v>46174</v>
      </c>
      <c r="B943" s="18" t="str">
        <f>IF($C943="","",IFERROR(INDEX('Staff Directory'!$A$5:$A$594,MATCH($C943,'Staff Directory'!$B$5:$B$594,0)),"⚠ unknown staff"))</f>
        <v>PSW-183-TBD</v>
      </c>
      <c r="C943" s="49" t="s">
        <v>1162</v>
      </c>
      <c r="D943" s="19" t="str">
        <f>IF($B943="","",IFERROR(INDEX('Staff Directory'!$C$5:$C$594,MATCH($B943,'Staff Directory'!$A$5:$A$594,0)),""))</f>
        <v>PSW</v>
      </c>
      <c r="E943" s="19">
        <f>IF($B943="","",IFERROR(INDEX('Staff Directory'!$D$5:$D$594,MATCH($B943,'Staff Directory'!$A$5:$A$594,0)),""))</f>
        <v>0</v>
      </c>
      <c r="F943" s="9" t="s">
        <v>124</v>
      </c>
      <c r="G943" s="18" t="str">
        <f>IF($F943="","",IFERROR(INDEX(Items!$B$5:$B$597,MATCH($F943,Items!$A$5:$A$597,0)),"⚠ not in Items"))</f>
        <v>Gloves</v>
      </c>
      <c r="H943" s="19" t="str">
        <f>IF($F943="","",IFERROR(INDEX(Items!$C$5:$C$597,MATCH($F943,Items!$A$5:$A$597,0)),""))</f>
        <v>Large</v>
      </c>
      <c r="I943" s="23">
        <f>IF($F943="","",IFERROR(INDEX(Items!$E$5:$E$597,MATCH($F943,Items!$A$5:$A$597,0)),""))</f>
        <v>500</v>
      </c>
      <c r="J943" s="115">
        <f>IF(tblIssues[[#This Row],[Qty Override]]&lt;&gt;"",tblIssues[[#This Row],[Qty Override]],IF(tblIssues[[#This Row],[Standard Issue]]="","",tblIssues[[#This Row],[Standard Issue]]))</f>
        <v>500</v>
      </c>
      <c r="K943" s="20">
        <f>IF($F943="","",IFERROR(INDEX(Items!$D$5:$D$597,MATCH($F943,Items!$A$5:$A$597,0)),""))</f>
        <v>5.5E-2</v>
      </c>
      <c r="L943" s="21">
        <f t="shared" si="162"/>
        <v>27.5</v>
      </c>
      <c r="M943" s="9" t="str">
        <f t="shared" si="160"/>
        <v>0417HIC25-1</v>
      </c>
      <c r="N943" s="24">
        <f>IF($A943="","",WORKDAY($A943,Settings!$C$9,HolidayDates))</f>
        <v>46182</v>
      </c>
      <c r="O943" s="24">
        <f>IF($N943="","",WORKDAY($N943,Settings!$C$10,HolidayDates))</f>
        <v>46220</v>
      </c>
      <c r="P943" s="10" t="s">
        <v>501</v>
      </c>
      <c r="Q943" s="52" t="str">
        <f t="shared" si="163"/>
        <v>Collected</v>
      </c>
      <c r="R943" s="55" t="str">
        <f t="shared" si="164"/>
        <v>2026-06</v>
      </c>
      <c r="S943" s="55">
        <f>IF(OR($B943="",$F943="",$R943=""),"",SUMIFS(tblIssues[Qty Issued],tblIssues[Staff ID],$B943,tblIssues[Item Name],$F943,tblIssues[Month],$R943))</f>
        <v>500</v>
      </c>
      <c r="T943" s="56">
        <f>IF($I943="","",$I943*Settings!$C$11)</f>
        <v>500</v>
      </c>
      <c r="U943" s="57" t="str">
        <f t="shared" si="161"/>
        <v>OK</v>
      </c>
      <c r="V943" s="55" t="str">
        <f t="shared" si="165"/>
        <v/>
      </c>
      <c r="W943" s="55" t="str">
        <f>IF($V943="","",IF(COUNTIF($V$5:$V943,$V943)=1,1,""))</f>
        <v/>
      </c>
      <c r="X943" s="58" t="str">
        <f>IF($W943="","",MAX($X$4:X942)+1)</f>
        <v/>
      </c>
      <c r="Y943" s="62"/>
      <c r="Z943" s="62"/>
      <c r="AA943" s="64" t="str">
        <f>IF($C943="","",IFERROR(INDEX('Staff Directory'!$E$5:$E$594,MATCH($C943,'Staff Directory'!$B$5:$B$594,0)),""))</f>
        <v>firstname246.lastname246@example.com</v>
      </c>
      <c r="AB943" s="64" t="str">
        <f>IF($C943="","",IF(ISNUMBER(SEARCH($D943,Settings!$C$15)),"Pickup","Dispatch"))</f>
        <v>Pickup</v>
      </c>
      <c r="AC943" s="64" t="str">
        <f t="shared" si="166"/>
        <v>Supply order ready for pickup</v>
      </c>
      <c r="AD943" s="64" t="str">
        <f t="shared" si="157"/>
        <v>Dear PSW,
Your order is ready for pickup from Sample Branch, Wed-Fri 9am-4pm.</v>
      </c>
      <c r="AE943" s="64" t="str">
        <f t="shared" si="158"/>
        <v>mailto:firstname246.lastname246@example.com?subject=Supply%20order%20ready%20for%20pickup&amp;body=Dear%20PSW%2C%0A%0AYour%20order%20is%20ready%20for%20pickup%20from%20Sample%20Branch%2C%20Wed-Fri%209am-4pm.</v>
      </c>
      <c r="AF943" s="89" t="str">
        <f t="shared" si="167"/>
        <v>Draft email</v>
      </c>
      <c r="AG943" s="64" t="str">
        <f>IF($C943="","",IFERROR(INDEX('Staff Directory'!$K$595:$K$599,MATCH($C943,'Staff Directory'!$B$5:$B$599,0)),$D943))</f>
        <v>PSW</v>
      </c>
      <c r="AH943" t="str">
        <f>IF($C943="","",IFERROR(INDEX('Staff Directory'!$I$595:$I$599,MATCH($C943,'Staff Directory'!$B$5:$B$599,0))&amp;" "&amp;INDEX('Staff Directory'!$J$595:$J$599,MATCH($C943,'Staff Directory'!$B$5:$B$599,0)),$AG943))</f>
        <v>PSW</v>
      </c>
      <c r="AI943" s="102"/>
      <c r="AJ943" s="101">
        <f>IF($F943="","",SUMIFS($J$5:$J943,$F$5:$F943,$F943))</f>
        <v>25000</v>
      </c>
      <c r="AK943" s="101">
        <f t="shared" si="159"/>
        <v>24501</v>
      </c>
      <c r="AL943" s="66" t="str" cm="1">
        <f t="array" ref="AL943">IF($F943="","",IFERROR(INDEX('Lot Balance'!$B$5:$B$500,MATCH(1,INDEX(('Lot Balance'!$A$5:$A$500=$F943)*('Lot Balance'!$K$5:$K$500&lt;$AK943)*('Lot Balance'!$K$5:$K$500+'Lot Balance'!$D$5:$D$500&gt;=$AK943),0),0)),""))</f>
        <v>0417HIC25-1</v>
      </c>
      <c r="AM943" s="66" t="str" cm="1">
        <f t="array" ref="AM943">IF($F943="","",IFERROR(INDEX('Lot Balance'!$B$5:$B$500,MATCH(1,INDEX(('Lot Balance'!$A$5:$A$500=$F943)*('Lot Balance'!$K$5:$K$500&lt;$AJ943)*('Lot Balance'!$K$5:$K$500+'Lot Balance'!$D$5:$D$500&gt;=$AJ943),0),0)),""))</f>
        <v>O16705</v>
      </c>
      <c r="AN943" s="66" t="str">
        <f>IF($F943="","",IF($AI943&lt;&gt;"",IF(COUNTIFS('Lot Balance'!$A$5:$A$500,$F943,'Lot Balance'!$B$5:$B$500,$AI943)=0,"⚠ override is not a lot of this item",IF($AI943=$AL943,"Override = FEFO","Override - FEFO says "&amp;$AL943)),IF($AL943="","⚠ no receipt on file for this item",IF($AM943&lt;&gt;$AL943,"FEFO auto - split, also "&amp;$AM943,"FEFO auto"))))</f>
        <v>FEFO auto - split, also O16705</v>
      </c>
      <c r="AO943" s="114"/>
    </row>
    <row r="944" spans="1:41" x14ac:dyDescent="0.35">
      <c r="A944" s="74">
        <v>46174</v>
      </c>
      <c r="B944" s="18" t="str">
        <f>IF($C944="","",IFERROR(INDEX('Staff Directory'!$A$5:$A$594,MATCH($C944,'Staff Directory'!$B$5:$B$594,0)),"⚠ unknown staff"))</f>
        <v>PSW-183-TBD</v>
      </c>
      <c r="C944" s="49" t="s">
        <v>1162</v>
      </c>
      <c r="D944" s="19" t="str">
        <f>IF($B944="","",IFERROR(INDEX('Staff Directory'!$C$5:$C$594,MATCH($B944,'Staff Directory'!$A$5:$A$594,0)),""))</f>
        <v>PSW</v>
      </c>
      <c r="E944" s="19">
        <f>IF($B944="","",IFERROR(INDEX('Staff Directory'!$D$5:$D$594,MATCH($B944,'Staff Directory'!$A$5:$A$594,0)),""))</f>
        <v>0</v>
      </c>
      <c r="F944" s="9" t="s">
        <v>115</v>
      </c>
      <c r="G944" s="18" t="str">
        <f>IF($F944="","",IFERROR(INDEX(Items!$B$5:$B$597,MATCH($F944,Items!$A$5:$A$597,0)),"⚠ not in Items"))</f>
        <v>Wipes</v>
      </c>
      <c r="H944" s="19">
        <f>IF($F944="","",IFERROR(INDEX(Items!$C$5:$C$597,MATCH($F944,Items!$A$5:$A$597,0)),""))</f>
        <v>80</v>
      </c>
      <c r="I944" s="23">
        <f>IF($F944="","",IFERROR(INDEX(Items!$E$5:$E$597,MATCH($F944,Items!$A$5:$A$597,0)),""))</f>
        <v>80</v>
      </c>
      <c r="J944" s="115">
        <f>IF(tblIssues[[#This Row],[Qty Override]]&lt;&gt;"",tblIssues[[#This Row],[Qty Override]],IF(tblIssues[[#This Row],[Standard Issue]]="","",tblIssues[[#This Row],[Standard Issue]]))</f>
        <v>80</v>
      </c>
      <c r="K944" s="20">
        <f>IF($F944="","",IFERROR(INDEX(Items!$D$5:$D$597,MATCH($F944,Items!$A$5:$A$597,0)),""))</f>
        <v>0.1</v>
      </c>
      <c r="L944" s="21">
        <f t="shared" si="162"/>
        <v>8</v>
      </c>
      <c r="M944" s="9" t="str">
        <f t="shared" si="160"/>
        <v>LYSL500290</v>
      </c>
      <c r="N944" s="24">
        <f>IF($A944="","",WORKDAY($A944,Settings!$C$9,HolidayDates))</f>
        <v>46182</v>
      </c>
      <c r="O944" s="24">
        <f>IF($N944="","",WORKDAY($N944,Settings!$C$10,HolidayDates))</f>
        <v>46220</v>
      </c>
      <c r="P944" s="10" t="s">
        <v>501</v>
      </c>
      <c r="Q944" s="52" t="str">
        <f t="shared" si="163"/>
        <v>Collected</v>
      </c>
      <c r="R944" s="55" t="str">
        <f t="shared" si="164"/>
        <v>2026-06</v>
      </c>
      <c r="S944" s="55">
        <f>IF(OR($B944="",$F944="",$R944=""),"",SUMIFS(tblIssues[Qty Issued],tblIssues[Staff ID],$B944,tblIssues[Item Name],$F944,tblIssues[Month],$R944))</f>
        <v>80</v>
      </c>
      <c r="T944" s="56">
        <f>IF($I944="","",$I944*Settings!$C$11)</f>
        <v>80</v>
      </c>
      <c r="U944" s="57" t="str">
        <f t="shared" si="161"/>
        <v>OK</v>
      </c>
      <c r="V944" s="55" t="str">
        <f t="shared" si="165"/>
        <v/>
      </c>
      <c r="W944" s="55" t="str">
        <f>IF($V944="","",IF(COUNTIF($V$5:$V944,$V944)=1,1,""))</f>
        <v/>
      </c>
      <c r="X944" s="58" t="str">
        <f>IF($W944="","",MAX($X$4:X943)+1)</f>
        <v/>
      </c>
      <c r="Y944" s="62"/>
      <c r="Z944" s="62"/>
      <c r="AA944" s="64" t="str">
        <f>IF($C944="","",IFERROR(INDEX('Staff Directory'!$E$5:$E$594,MATCH($C944,'Staff Directory'!$B$5:$B$594,0)),""))</f>
        <v>firstname246.lastname246@example.com</v>
      </c>
      <c r="AB944" s="64" t="str">
        <f>IF($C944="","",IF(ISNUMBER(SEARCH($D944,Settings!$C$15)),"Pickup","Dispatch"))</f>
        <v>Pickup</v>
      </c>
      <c r="AC944" s="64" t="str">
        <f t="shared" si="166"/>
        <v>Supply order ready for pickup</v>
      </c>
      <c r="AD944" s="64" t="str">
        <f t="shared" si="157"/>
        <v>Dear PSW,
Your order is ready for pickup from Sample Branch, Wed-Fri 9am-4pm.</v>
      </c>
      <c r="AE944" s="64" t="str">
        <f t="shared" si="158"/>
        <v>mailto:firstname246.lastname246@example.com?subject=Supply%20order%20ready%20for%20pickup&amp;body=Dear%20PSW%2C%0A%0AYour%20order%20is%20ready%20for%20pickup%20from%20Sample%20Branch%2C%20Wed-Fri%209am-4pm.</v>
      </c>
      <c r="AF944" s="89" t="str">
        <f t="shared" si="167"/>
        <v>Draft email</v>
      </c>
      <c r="AG944" s="64" t="str">
        <f>IF($C944="","",IFERROR(INDEX('Staff Directory'!$K$595:$K$599,MATCH($C944,'Staff Directory'!$B$5:$B$599,0)),$D944))</f>
        <v>PSW</v>
      </c>
      <c r="AH944" t="str">
        <f>IF($C944="","",IFERROR(INDEX('Staff Directory'!$I$595:$I$599,MATCH($C944,'Staff Directory'!$B$5:$B$599,0))&amp;" "&amp;INDEX('Staff Directory'!$J$595:$J$599,MATCH($C944,'Staff Directory'!$B$5:$B$599,0)),$AG944))</f>
        <v>PSW</v>
      </c>
      <c r="AI944" s="102"/>
      <c r="AJ944" s="101">
        <f>IF($F944="","",SUMIFS($J$5:$J944,$F$5:$F944,$F944))</f>
        <v>12560</v>
      </c>
      <c r="AK944" s="101">
        <f t="shared" si="159"/>
        <v>12481</v>
      </c>
      <c r="AL944" s="66" t="str" cm="1">
        <f t="array" ref="AL944">IF($F944="","",IFERROR(INDEX('Lot Balance'!$B$5:$B$500,MATCH(1,INDEX(('Lot Balance'!$A$5:$A$500=$F944)*('Lot Balance'!$K$5:$K$500&lt;$AK944)*('Lot Balance'!$K$5:$K$500+'Lot Balance'!$D$5:$D$500&gt;=$AK944),0),0)),""))</f>
        <v>LYSL500290</v>
      </c>
      <c r="AM944" s="66" t="str" cm="1">
        <f t="array" ref="AM944">IF($F944="","",IFERROR(INDEX('Lot Balance'!$B$5:$B$500,MATCH(1,INDEX(('Lot Balance'!$A$5:$A$500=$F944)*('Lot Balance'!$K$5:$K$500&lt;$AJ944)*('Lot Balance'!$K$5:$K$500+'Lot Balance'!$D$5:$D$500&gt;=$AJ944),0),0)),""))</f>
        <v>LYSL500290</v>
      </c>
      <c r="AN944" s="66" t="str">
        <f>IF($F944="","",IF($AI944&lt;&gt;"",IF(COUNTIFS('Lot Balance'!$A$5:$A$500,$F944,'Lot Balance'!$B$5:$B$500,$AI944)=0,"⚠ override is not a lot of this item",IF($AI944=$AL944,"Override = FEFO","Override - FEFO says "&amp;$AL944)),IF($AL944="","⚠ no receipt on file for this item",IF($AM944&lt;&gt;$AL944,"FEFO auto - split, also "&amp;$AM944,"FEFO auto"))))</f>
        <v>FEFO auto</v>
      </c>
      <c r="AO944" s="114"/>
    </row>
    <row r="945" spans="1:41" x14ac:dyDescent="0.35">
      <c r="A945" s="74">
        <v>46174</v>
      </c>
      <c r="B945" s="18" t="str">
        <f>IF($C945="","",IFERROR(INDEX('Staff Directory'!$A$5:$A$594,MATCH($C945,'Staff Directory'!$B$5:$B$594,0)),"⚠ unknown staff"))</f>
        <v>PSW-183-TBD</v>
      </c>
      <c r="C945" s="49" t="s">
        <v>1162</v>
      </c>
      <c r="D945" s="19" t="str">
        <f>IF($B945="","",IFERROR(INDEX('Staff Directory'!$C$5:$C$594,MATCH($B945,'Staff Directory'!$A$5:$A$594,0)),""))</f>
        <v>PSW</v>
      </c>
      <c r="E945" s="19">
        <f>IF($B945="","",IFERROR(INDEX('Staff Directory'!$D$5:$D$594,MATCH($B945,'Staff Directory'!$A$5:$A$594,0)),""))</f>
        <v>0</v>
      </c>
      <c r="F945" s="9" t="s">
        <v>106</v>
      </c>
      <c r="G945" s="18" t="str">
        <f>IF($F945="","",IFERROR(INDEX(Items!$B$5:$B$597,MATCH($F945,Items!$A$5:$A$597,0)),"⚠ not in Items"))</f>
        <v>Masks</v>
      </c>
      <c r="H945" s="19" t="str">
        <f>IF($F945="","",IFERROR(INDEX(Items!$C$5:$C$597,MATCH($F945,Items!$A$5:$A$597,0)),""))</f>
        <v>One Size</v>
      </c>
      <c r="I945" s="23">
        <f>IF($F945="","",IFERROR(INDEX(Items!$E$5:$E$597,MATCH($F945,Items!$A$5:$A$597,0)),""))</f>
        <v>5</v>
      </c>
      <c r="J945" s="115">
        <f>IF(tblIssues[[#This Row],[Qty Override]]&lt;&gt;"",tblIssues[[#This Row],[Qty Override]],IF(tblIssues[[#This Row],[Standard Issue]]="","",tblIssues[[#This Row],[Standard Issue]]))</f>
        <v>5</v>
      </c>
      <c r="K945" s="20">
        <f>IF($F945="","",IFERROR(INDEX(Items!$D$5:$D$597,MATCH($F945,Items!$A$5:$A$597,0)),""))</f>
        <v>1.45</v>
      </c>
      <c r="L945" s="21">
        <f t="shared" si="162"/>
        <v>7.25</v>
      </c>
      <c r="M945" s="9" t="str">
        <f t="shared" si="160"/>
        <v>N955003714</v>
      </c>
      <c r="N945" s="24">
        <f>IF($A945="","",WORKDAY($A945,Settings!$C$9,HolidayDates))</f>
        <v>46182</v>
      </c>
      <c r="O945" s="24">
        <f>IF($N945="","",WORKDAY($N945,Settings!$C$10,HolidayDates))</f>
        <v>46220</v>
      </c>
      <c r="P945" s="10" t="s">
        <v>501</v>
      </c>
      <c r="Q945" s="52" t="str">
        <f t="shared" si="163"/>
        <v>Collected</v>
      </c>
      <c r="R945" s="55" t="str">
        <f t="shared" si="164"/>
        <v>2026-06</v>
      </c>
      <c r="S945" s="55">
        <f>IF(OR($B945="",$F945="",$R945=""),"",SUMIFS(tblIssues[Qty Issued],tblIssues[Staff ID],$B945,tblIssues[Item Name],$F945,tblIssues[Month],$R945))</f>
        <v>5</v>
      </c>
      <c r="T945" s="56">
        <f>IF($I945="","",$I945*Settings!$C$11)</f>
        <v>5</v>
      </c>
      <c r="U945" s="57" t="str">
        <f t="shared" si="161"/>
        <v>OK</v>
      </c>
      <c r="V945" s="55" t="str">
        <f t="shared" si="165"/>
        <v/>
      </c>
      <c r="W945" s="55" t="str">
        <f>IF($V945="","",IF(COUNTIF($V$5:$V945,$V945)=1,1,""))</f>
        <v/>
      </c>
      <c r="X945" s="58" t="str">
        <f>IF($W945="","",MAX($X$4:X944)+1)</f>
        <v/>
      </c>
      <c r="Y945" s="62"/>
      <c r="Z945" s="62"/>
      <c r="AA945" s="64" t="str">
        <f>IF($C945="","",IFERROR(INDEX('Staff Directory'!$E$5:$E$594,MATCH($C945,'Staff Directory'!$B$5:$B$594,0)),""))</f>
        <v>firstname246.lastname246@example.com</v>
      </c>
      <c r="AB945" s="64" t="str">
        <f>IF($C945="","",IF(ISNUMBER(SEARCH($D945,Settings!$C$15)),"Pickup","Dispatch"))</f>
        <v>Pickup</v>
      </c>
      <c r="AC945" s="64" t="str">
        <f t="shared" si="166"/>
        <v>Supply order ready for pickup</v>
      </c>
      <c r="AD945" s="64" t="str">
        <f t="shared" si="157"/>
        <v>Dear PSW,
Your order is ready for pickup from Sample Branch, Wed-Fri 9am-4pm.</v>
      </c>
      <c r="AE945" s="64" t="str">
        <f t="shared" si="158"/>
        <v>mailto:firstname246.lastname246@example.com?subject=Supply%20order%20ready%20for%20pickup&amp;body=Dear%20PSW%2C%0A%0AYour%20order%20is%20ready%20for%20pickup%20from%20Sample%20Branch%2C%20Wed-Fri%209am-4pm.</v>
      </c>
      <c r="AF945" s="89" t="str">
        <f t="shared" si="167"/>
        <v>Draft email</v>
      </c>
      <c r="AG945" s="64" t="str">
        <f>IF($C945="","",IFERROR(INDEX('Staff Directory'!$K$595:$K$599,MATCH($C945,'Staff Directory'!$B$5:$B$599,0)),$D945))</f>
        <v>PSW</v>
      </c>
      <c r="AH945" t="str">
        <f>IF($C945="","",IFERROR(INDEX('Staff Directory'!$I$595:$I$599,MATCH($C945,'Staff Directory'!$B$5:$B$599,0))&amp;" "&amp;INDEX('Staff Directory'!$J$595:$J$599,MATCH($C945,'Staff Directory'!$B$5:$B$599,0)),$AG945))</f>
        <v>PSW</v>
      </c>
      <c r="AI945" s="102"/>
      <c r="AJ945" s="101">
        <f>IF($F945="","",SUMIFS($J$5:$J945,$F$5:$F945,$F945))</f>
        <v>10</v>
      </c>
      <c r="AK945" s="101">
        <f t="shared" si="159"/>
        <v>6</v>
      </c>
      <c r="AL945" s="66" t="str" cm="1">
        <f t="array" ref="AL945">IF($F945="","",IFERROR(INDEX('Lot Balance'!$B$5:$B$500,MATCH(1,INDEX(('Lot Balance'!$A$5:$A$500=$F945)*('Lot Balance'!$K$5:$K$500&lt;$AK945)*('Lot Balance'!$K$5:$K$500+'Lot Balance'!$D$5:$D$500&gt;=$AK945),0),0)),""))</f>
        <v>N955003714</v>
      </c>
      <c r="AM945" s="66" t="str" cm="1">
        <f t="array" ref="AM945">IF($F945="","",IFERROR(INDEX('Lot Balance'!$B$5:$B$500,MATCH(1,INDEX(('Lot Balance'!$A$5:$A$500=$F945)*('Lot Balance'!$K$5:$K$500&lt;$AJ945)*('Lot Balance'!$K$5:$K$500+'Lot Balance'!$D$5:$D$500&gt;=$AJ945),0),0)),""))</f>
        <v>N955003714</v>
      </c>
      <c r="AN945" s="66" t="str">
        <f>IF($F945="","",IF($AI945&lt;&gt;"",IF(COUNTIFS('Lot Balance'!$A$5:$A$500,$F945,'Lot Balance'!$B$5:$B$500,$AI945)=0,"⚠ override is not a lot of this item",IF($AI945=$AL945,"Override = FEFO","Override - FEFO says "&amp;$AL945)),IF($AL945="","⚠ no receipt on file for this item",IF($AM945&lt;&gt;$AL945,"FEFO auto - split, also "&amp;$AM945,"FEFO auto"))))</f>
        <v>FEFO auto</v>
      </c>
      <c r="AO945" s="114"/>
    </row>
    <row r="946" spans="1:41" x14ac:dyDescent="0.35">
      <c r="A946" s="74">
        <v>46174</v>
      </c>
      <c r="B946" s="18" t="str">
        <f>IF($C946="","",IFERROR(INDEX('Staff Directory'!$A$5:$A$594,MATCH($C946,'Staff Directory'!$B$5:$B$594,0)),"⚠ unknown staff"))</f>
        <v>PSW-183-TBD</v>
      </c>
      <c r="C946" s="49" t="s">
        <v>1162</v>
      </c>
      <c r="D946" s="19" t="str">
        <f>IF($B946="","",IFERROR(INDEX('Staff Directory'!$C$5:$C$594,MATCH($B946,'Staff Directory'!$A$5:$A$594,0)),""))</f>
        <v>PSW</v>
      </c>
      <c r="E946" s="19">
        <f>IF($B946="","",IFERROR(INDEX('Staff Directory'!$D$5:$D$594,MATCH($B946,'Staff Directory'!$A$5:$A$594,0)),""))</f>
        <v>0</v>
      </c>
      <c r="F946" s="9" t="s">
        <v>137</v>
      </c>
      <c r="G946" s="18" t="str">
        <f>IF($F946="","",IFERROR(INDEX(Items!$B$5:$B$597,MATCH($F946,Items!$A$5:$A$597,0)),"⚠ not in Items"))</f>
        <v>Sanitizer</v>
      </c>
      <c r="H946" s="19" t="str">
        <f>IF($F946="","",IFERROR(INDEX(Items!$C$5:$C$597,MATCH($F946,Items!$A$5:$A$597,0)),""))</f>
        <v>118 ML</v>
      </c>
      <c r="I946" s="23">
        <f>IF($F946="","",IFERROR(INDEX(Items!$E$5:$E$597,MATCH($F946,Items!$A$5:$A$597,0)),""))</f>
        <v>2</v>
      </c>
      <c r="J946" s="115">
        <f>IF(tblIssues[[#This Row],[Qty Override]]&lt;&gt;"",tblIssues[[#This Row],[Qty Override]],IF(tblIssues[[#This Row],[Standard Issue]]="","",tblIssues[[#This Row],[Standard Issue]]))</f>
        <v>2</v>
      </c>
      <c r="K946" s="20">
        <f>IF($F946="","",IFERROR(INDEX(Items!$D$5:$D$597,MATCH($F946,Items!$A$5:$A$597,0)),""))</f>
        <v>4.49</v>
      </c>
      <c r="L946" s="21">
        <f t="shared" si="162"/>
        <v>8.98</v>
      </c>
      <c r="M946" s="9" t="str">
        <f t="shared" si="160"/>
        <v>563963-6</v>
      </c>
      <c r="N946" s="24">
        <f>IF($A946="","",WORKDAY($A946,Settings!$C$9,HolidayDates))</f>
        <v>46182</v>
      </c>
      <c r="O946" s="24">
        <f>IF($N946="","",WORKDAY($N946,Settings!$C$10,HolidayDates))</f>
        <v>46220</v>
      </c>
      <c r="P946" s="10" t="s">
        <v>501</v>
      </c>
      <c r="Q946" s="52" t="str">
        <f t="shared" si="163"/>
        <v>Collected</v>
      </c>
      <c r="R946" s="55" t="str">
        <f t="shared" si="164"/>
        <v>2026-06</v>
      </c>
      <c r="S946" s="55">
        <f>IF(OR($B946="",$F946="",$R946=""),"",SUMIFS(tblIssues[Qty Issued],tblIssues[Staff ID],$B946,tblIssues[Item Name],$F946,tblIssues[Month],$R946))</f>
        <v>2</v>
      </c>
      <c r="T946" s="56">
        <f>IF($I946="","",$I946*Settings!$C$11)</f>
        <v>2</v>
      </c>
      <c r="U946" s="57" t="str">
        <f t="shared" si="161"/>
        <v>OK</v>
      </c>
      <c r="V946" s="55" t="str">
        <f t="shared" si="165"/>
        <v/>
      </c>
      <c r="W946" s="55" t="str">
        <f>IF($V946="","",IF(COUNTIF($V$5:$V946,$V946)=1,1,""))</f>
        <v/>
      </c>
      <c r="X946" s="58" t="str">
        <f>IF($W946="","",MAX($X$4:X945)+1)</f>
        <v/>
      </c>
      <c r="Y946" s="62"/>
      <c r="Z946" s="62"/>
      <c r="AA946" s="64" t="str">
        <f>IF($C946="","",IFERROR(INDEX('Staff Directory'!$E$5:$E$594,MATCH($C946,'Staff Directory'!$B$5:$B$594,0)),""))</f>
        <v>firstname246.lastname246@example.com</v>
      </c>
      <c r="AB946" s="64" t="str">
        <f>IF($C946="","",IF(ISNUMBER(SEARCH($D946,Settings!$C$15)),"Pickup","Dispatch"))</f>
        <v>Pickup</v>
      </c>
      <c r="AC946" s="64" t="str">
        <f t="shared" si="166"/>
        <v>Supply order ready for pickup</v>
      </c>
      <c r="AD946" s="64" t="str">
        <f t="shared" si="157"/>
        <v>Dear PSW,
Your order is ready for pickup from Sample Branch, Wed-Fri 9am-4pm.</v>
      </c>
      <c r="AE946" s="64" t="str">
        <f t="shared" si="158"/>
        <v>mailto:firstname246.lastname246@example.com?subject=Supply%20order%20ready%20for%20pickup&amp;body=Dear%20PSW%2C%0A%0AYour%20order%20is%20ready%20for%20pickup%20from%20Sample%20Branch%2C%20Wed-Fri%209am-4pm.</v>
      </c>
      <c r="AF946" s="89" t="str">
        <f t="shared" si="167"/>
        <v>Draft email</v>
      </c>
      <c r="AG946" s="64" t="str">
        <f>IF($C946="","",IFERROR(INDEX('Staff Directory'!$K$595:$K$599,MATCH($C946,'Staff Directory'!$B$5:$B$599,0)),$D946))</f>
        <v>PSW</v>
      </c>
      <c r="AH946" t="str">
        <f>IF($C946="","",IFERROR(INDEX('Staff Directory'!$I$595:$I$599,MATCH($C946,'Staff Directory'!$B$5:$B$599,0))&amp;" "&amp;INDEX('Staff Directory'!$J$595:$J$599,MATCH($C946,'Staff Directory'!$B$5:$B$599,0)),$AG946))</f>
        <v>PSW</v>
      </c>
      <c r="AI946" s="102"/>
      <c r="AJ946" s="101">
        <f>IF($F946="","",SUMIFS($J$5:$J946,$F$5:$F946,$F946))</f>
        <v>108</v>
      </c>
      <c r="AK946" s="101">
        <f t="shared" si="159"/>
        <v>107</v>
      </c>
      <c r="AL946" s="66" t="str" cm="1">
        <f t="array" ref="AL946">IF($F946="","",IFERROR(INDEX('Lot Balance'!$B$5:$B$500,MATCH(1,INDEX(('Lot Balance'!$A$5:$A$500=$F946)*('Lot Balance'!$K$5:$K$500&lt;$AK946)*('Lot Balance'!$K$5:$K$500+'Lot Balance'!$D$5:$D$500&gt;=$AK946),0),0)),""))</f>
        <v>563963-6</v>
      </c>
      <c r="AM946" s="66" t="str" cm="1">
        <f t="array" ref="AM946">IF($F946="","",IFERROR(INDEX('Lot Balance'!$B$5:$B$500,MATCH(1,INDEX(('Lot Balance'!$A$5:$A$500=$F946)*('Lot Balance'!$K$5:$K$500&lt;$AJ946)*('Lot Balance'!$K$5:$K$500+'Lot Balance'!$D$5:$D$500&gt;=$AJ946),0),0)),""))</f>
        <v>563963-7</v>
      </c>
      <c r="AN946" s="66" t="str">
        <f>IF($F946="","",IF($AI946&lt;&gt;"",IF(COUNTIFS('Lot Balance'!$A$5:$A$500,$F946,'Lot Balance'!$B$5:$B$500,$AI946)=0,"⚠ override is not a lot of this item",IF($AI946=$AL946,"Override = FEFO","Override - FEFO says "&amp;$AL946)),IF($AL946="","⚠ no receipt on file for this item",IF($AM946&lt;&gt;$AL946,"FEFO auto - split, also "&amp;$AM946,"FEFO auto"))))</f>
        <v>FEFO auto - split, also 563963-7</v>
      </c>
      <c r="AO946" s="114"/>
    </row>
    <row r="947" spans="1:41" x14ac:dyDescent="0.35">
      <c r="A947" s="74">
        <v>46174</v>
      </c>
      <c r="B947" s="18" t="str">
        <f>IF($C947="","",IFERROR(INDEX('Staff Directory'!$A$5:$A$594,MATCH($C947,'Staff Directory'!$B$5:$B$594,0)),"⚠ unknown staff"))</f>
        <v>PSW-183-TBD</v>
      </c>
      <c r="C947" s="49" t="s">
        <v>1162</v>
      </c>
      <c r="D947" s="19" t="str">
        <f>IF($B947="","",IFERROR(INDEX('Staff Directory'!$C$5:$C$594,MATCH($B947,'Staff Directory'!$A$5:$A$594,0)),""))</f>
        <v>PSW</v>
      </c>
      <c r="E947" s="19">
        <f>IF($B947="","",IFERROR(INDEX('Staff Directory'!$D$5:$D$594,MATCH($B947,'Staff Directory'!$A$5:$A$594,0)),""))</f>
        <v>0</v>
      </c>
      <c r="F947" s="9" t="s">
        <v>147</v>
      </c>
      <c r="G947" s="18" t="str">
        <f>IF($F947="","",IFERROR(INDEX(Items!$B$5:$B$597,MATCH($F947,Items!$A$5:$A$597,0)),"⚠ not in Items"))</f>
        <v>Apparel</v>
      </c>
      <c r="H947" s="19" t="str">
        <f>IF($F947="","",IFERROR(INDEX(Items!$C$5:$C$597,MATCH($F947,Items!$A$5:$A$597,0)),""))</f>
        <v>One Size</v>
      </c>
      <c r="I947" s="23">
        <f>IF($F947="","",IFERROR(INDEX(Items!$E$5:$E$597,MATCH($F947,Items!$A$5:$A$597,0)),""))</f>
        <v>5</v>
      </c>
      <c r="J947" s="115">
        <f>IF(tblIssues[[#This Row],[Qty Override]]&lt;&gt;"",tblIssues[[#This Row],[Qty Override]],IF(tblIssues[[#This Row],[Standard Issue]]="","",tblIssues[[#This Row],[Standard Issue]]))</f>
        <v>5</v>
      </c>
      <c r="K947" s="20">
        <f>IF($F947="","",IFERROR(INDEX(Items!$D$5:$D$597,MATCH($F947,Items!$A$5:$A$597,0)),""))</f>
        <v>3</v>
      </c>
      <c r="L947" s="21">
        <f t="shared" si="162"/>
        <v>15</v>
      </c>
      <c r="M947" s="9" t="str">
        <f t="shared" si="160"/>
        <v>YG500280</v>
      </c>
      <c r="N947" s="24">
        <f>IF($A947="","",WORKDAY($A947,Settings!$C$9,HolidayDates))</f>
        <v>46182</v>
      </c>
      <c r="O947" s="24">
        <f>IF($N947="","",WORKDAY($N947,Settings!$C$10,HolidayDates))</f>
        <v>46220</v>
      </c>
      <c r="P947" s="10" t="s">
        <v>501</v>
      </c>
      <c r="Q947" s="52" t="str">
        <f t="shared" si="163"/>
        <v>Collected</v>
      </c>
      <c r="R947" s="55" t="str">
        <f t="shared" si="164"/>
        <v>2026-06</v>
      </c>
      <c r="S947" s="55">
        <f>IF(OR($B947="",$F947="",$R947=""),"",SUMIFS(tblIssues[Qty Issued],tblIssues[Staff ID],$B947,tblIssues[Item Name],$F947,tblIssues[Month],$R947))</f>
        <v>5</v>
      </c>
      <c r="T947" s="56">
        <f>IF($I947="","",$I947*Settings!$C$11)</f>
        <v>5</v>
      </c>
      <c r="U947" s="57" t="str">
        <f t="shared" si="161"/>
        <v>OK</v>
      </c>
      <c r="V947" s="55" t="str">
        <f t="shared" si="165"/>
        <v/>
      </c>
      <c r="W947" s="55" t="str">
        <f>IF($V947="","",IF(COUNTIF($V$5:$V947,$V947)=1,1,""))</f>
        <v/>
      </c>
      <c r="X947" s="58" t="str">
        <f>IF($W947="","",MAX($X$4:X946)+1)</f>
        <v/>
      </c>
      <c r="Y947" s="62"/>
      <c r="Z947" s="62"/>
      <c r="AA947" s="64" t="str">
        <f>IF($C947="","",IFERROR(INDEX('Staff Directory'!$E$5:$E$594,MATCH($C947,'Staff Directory'!$B$5:$B$594,0)),""))</f>
        <v>firstname246.lastname246@example.com</v>
      </c>
      <c r="AB947" s="64" t="str">
        <f>IF($C947="","",IF(ISNUMBER(SEARCH($D947,Settings!$C$15)),"Pickup","Dispatch"))</f>
        <v>Pickup</v>
      </c>
      <c r="AC947" s="64" t="str">
        <f t="shared" si="166"/>
        <v>Supply order ready for pickup</v>
      </c>
      <c r="AD947" s="64" t="str">
        <f t="shared" si="157"/>
        <v>Dear PSW,
Your order is ready for pickup from Sample Branch, Wed-Fri 9am-4pm.</v>
      </c>
      <c r="AE947" s="64" t="str">
        <f t="shared" si="158"/>
        <v>mailto:firstname246.lastname246@example.com?subject=Supply%20order%20ready%20for%20pickup&amp;body=Dear%20PSW%2C%0A%0AYour%20order%20is%20ready%20for%20pickup%20from%20Sample%20Branch%2C%20Wed-Fri%209am-4pm.</v>
      </c>
      <c r="AF947" s="89" t="str">
        <f t="shared" si="167"/>
        <v>Draft email</v>
      </c>
      <c r="AG947" s="64" t="str">
        <f>IF($C947="","",IFERROR(INDEX('Staff Directory'!$K$595:$K$599,MATCH($C947,'Staff Directory'!$B$5:$B$599,0)),$D947))</f>
        <v>PSW</v>
      </c>
      <c r="AH947" t="str">
        <f>IF($C947="","",IFERROR(INDEX('Staff Directory'!$I$595:$I$599,MATCH($C947,'Staff Directory'!$B$5:$B$599,0))&amp;" "&amp;INDEX('Staff Directory'!$J$595:$J$599,MATCH($C947,'Staff Directory'!$B$5:$B$599,0)),$AG947))</f>
        <v>PSW</v>
      </c>
      <c r="AI947" s="102"/>
      <c r="AJ947" s="101">
        <f>IF($F947="","",SUMIFS($J$5:$J947,$F$5:$F947,$F947))</f>
        <v>115</v>
      </c>
      <c r="AK947" s="101">
        <f t="shared" si="159"/>
        <v>111</v>
      </c>
      <c r="AL947" s="66" t="str" cm="1">
        <f t="array" ref="AL947">IF($F947="","",IFERROR(INDEX('Lot Balance'!$B$5:$B$500,MATCH(1,INDEX(('Lot Balance'!$A$5:$A$500=$F947)*('Lot Balance'!$K$5:$K$500&lt;$AK947)*('Lot Balance'!$K$5:$K$500+'Lot Balance'!$D$5:$D$500&gt;=$AK947),0),0)),""))</f>
        <v>YG500280</v>
      </c>
      <c r="AM947" s="66" t="str" cm="1">
        <f t="array" ref="AM947">IF($F947="","",IFERROR(INDEX('Lot Balance'!$B$5:$B$500,MATCH(1,INDEX(('Lot Balance'!$A$5:$A$500=$F947)*('Lot Balance'!$K$5:$K$500&lt;$AJ947)*('Lot Balance'!$K$5:$K$500+'Lot Balance'!$D$5:$D$500&gt;=$AJ947),0),0)),""))</f>
        <v>YG500280</v>
      </c>
      <c r="AN947" s="66" t="str">
        <f>IF($F947="","",IF($AI947&lt;&gt;"",IF(COUNTIFS('Lot Balance'!$A$5:$A$500,$F947,'Lot Balance'!$B$5:$B$500,$AI947)=0,"⚠ override is not a lot of this item",IF($AI947=$AL947,"Override = FEFO","Override - FEFO says "&amp;$AL947)),IF($AL947="","⚠ no receipt on file for this item",IF($AM947&lt;&gt;$AL947,"FEFO auto - split, also "&amp;$AM947,"FEFO auto"))))</f>
        <v>FEFO auto</v>
      </c>
      <c r="AO947" s="114"/>
    </row>
    <row r="948" spans="1:41" x14ac:dyDescent="0.35">
      <c r="A948" s="74">
        <v>46174</v>
      </c>
      <c r="B948" s="18" t="str">
        <f>IF($C948="","",IFERROR(INDEX('Staff Directory'!$A$5:$A$594,MATCH($C948,'Staff Directory'!$B$5:$B$594,0)),"⚠ unknown staff"))</f>
        <v>PSW-183-TBD</v>
      </c>
      <c r="C948" s="49" t="s">
        <v>1162</v>
      </c>
      <c r="D948" s="19" t="str">
        <f>IF($B948="","",IFERROR(INDEX('Staff Directory'!$C$5:$C$594,MATCH($B948,'Staff Directory'!$A$5:$A$594,0)),""))</f>
        <v>PSW</v>
      </c>
      <c r="E948" s="19">
        <f>IF($B948="","",IFERROR(INDEX('Staff Directory'!$D$5:$D$594,MATCH($B948,'Staff Directory'!$A$5:$A$594,0)),""))</f>
        <v>0</v>
      </c>
      <c r="F948" s="9" t="s">
        <v>145</v>
      </c>
      <c r="G948" s="18" t="str">
        <f>IF($F948="","",IFERROR(INDEX(Items!$B$5:$B$597,MATCH($F948,Items!$A$5:$A$597,0)),"⚠ not in Items"))</f>
        <v>Apparel</v>
      </c>
      <c r="H948" s="19" t="str">
        <f>IF($F948="","",IFERROR(INDEX(Items!$C$5:$C$597,MATCH($F948,Items!$A$5:$A$597,0)),""))</f>
        <v>One Size</v>
      </c>
      <c r="I948" s="23">
        <f>IF($F948="","",IFERROR(INDEX(Items!$E$5:$E$597,MATCH($F948,Items!$A$5:$A$597,0)),""))</f>
        <v>5</v>
      </c>
      <c r="J948" s="115">
        <f>IF(tblIssues[[#This Row],[Qty Override]]&lt;&gt;"",tblIssues[[#This Row],[Qty Override]],IF(tblIssues[[#This Row],[Standard Issue]]="","",tblIssues[[#This Row],[Standard Issue]]))</f>
        <v>5</v>
      </c>
      <c r="K948" s="20">
        <f>IF($F948="","",IFERROR(INDEX(Items!$D$5:$D$597,MATCH($F948,Items!$A$5:$A$597,0)),""))</f>
        <v>3</v>
      </c>
      <c r="L948" s="21">
        <f t="shared" si="162"/>
        <v>15</v>
      </c>
      <c r="M948" s="9" t="str">
        <f t="shared" si="160"/>
        <v>WRB500270</v>
      </c>
      <c r="N948" s="24">
        <f>IF($A948="","",WORKDAY($A948,Settings!$C$9,HolidayDates))</f>
        <v>46182</v>
      </c>
      <c r="O948" s="24">
        <f>IF($N948="","",WORKDAY($N948,Settings!$C$10,HolidayDates))</f>
        <v>46220</v>
      </c>
      <c r="P948" s="10" t="s">
        <v>501</v>
      </c>
      <c r="Q948" s="52" t="str">
        <f t="shared" si="163"/>
        <v>Collected</v>
      </c>
      <c r="R948" s="55" t="str">
        <f t="shared" si="164"/>
        <v>2026-06</v>
      </c>
      <c r="S948" s="55">
        <f>IF(OR($B948="",$F948="",$R948=""),"",SUMIFS(tblIssues[Qty Issued],tblIssues[Staff ID],$B948,tblIssues[Item Name],$F948,tblIssues[Month],$R948))</f>
        <v>5</v>
      </c>
      <c r="T948" s="56">
        <f>IF($I948="","",$I948*Settings!$C$11)</f>
        <v>5</v>
      </c>
      <c r="U948" s="57" t="str">
        <f t="shared" si="161"/>
        <v>OK</v>
      </c>
      <c r="V948" s="55" t="str">
        <f t="shared" si="165"/>
        <v/>
      </c>
      <c r="W948" s="55" t="str">
        <f>IF($V948="","",IF(COUNTIF($V$5:$V948,$V948)=1,1,""))</f>
        <v/>
      </c>
      <c r="X948" s="58" t="str">
        <f>IF($W948="","",MAX($X$4:X947)+1)</f>
        <v/>
      </c>
      <c r="Y948" s="62"/>
      <c r="Z948" s="62"/>
      <c r="AA948" s="64" t="str">
        <f>IF($C948="","",IFERROR(INDEX('Staff Directory'!$E$5:$E$594,MATCH($C948,'Staff Directory'!$B$5:$B$594,0)),""))</f>
        <v>firstname246.lastname246@example.com</v>
      </c>
      <c r="AB948" s="64" t="str">
        <f>IF($C948="","",IF(ISNUMBER(SEARCH($D948,Settings!$C$15)),"Pickup","Dispatch"))</f>
        <v>Pickup</v>
      </c>
      <c r="AC948" s="64" t="str">
        <f t="shared" si="166"/>
        <v>Supply order ready for pickup</v>
      </c>
      <c r="AD948" s="64" t="str">
        <f t="shared" si="157"/>
        <v>Dear PSW,
Your order is ready for pickup from Sample Branch, Wed-Fri 9am-4pm.</v>
      </c>
      <c r="AE948" s="64" t="str">
        <f t="shared" si="158"/>
        <v>mailto:firstname246.lastname246@example.com?subject=Supply%20order%20ready%20for%20pickup&amp;body=Dear%20PSW%2C%0A%0AYour%20order%20is%20ready%20for%20pickup%20from%20Sample%20Branch%2C%20Wed-Fri%209am-4pm.</v>
      </c>
      <c r="AF948" s="89" t="str">
        <f t="shared" si="167"/>
        <v>Draft email</v>
      </c>
      <c r="AG948" s="64" t="str">
        <f>IF($C948="","",IFERROR(INDEX('Staff Directory'!$K$595:$K$599,MATCH($C948,'Staff Directory'!$B$5:$B$599,0)),$D948))</f>
        <v>PSW</v>
      </c>
      <c r="AH948" t="str">
        <f>IF($C948="","",IFERROR(INDEX('Staff Directory'!$I$595:$I$599,MATCH($C948,'Staff Directory'!$B$5:$B$599,0))&amp;" "&amp;INDEX('Staff Directory'!$J$595:$J$599,MATCH($C948,'Staff Directory'!$B$5:$B$599,0)),$AG948))</f>
        <v>PSW</v>
      </c>
      <c r="AI948" s="102"/>
      <c r="AJ948" s="101">
        <f>IF($F948="","",SUMIFS($J$5:$J948,$F$5:$F948,$F948))</f>
        <v>40</v>
      </c>
      <c r="AK948" s="101">
        <f t="shared" si="159"/>
        <v>36</v>
      </c>
      <c r="AL948" s="66" t="str" cm="1">
        <f t="array" ref="AL948">IF($F948="","",IFERROR(INDEX('Lot Balance'!$B$5:$B$500,MATCH(1,INDEX(('Lot Balance'!$A$5:$A$500=$F948)*('Lot Balance'!$K$5:$K$500&lt;$AK948)*('Lot Balance'!$K$5:$K$500+'Lot Balance'!$D$5:$D$500&gt;=$AK948),0),0)),""))</f>
        <v>WRB500270</v>
      </c>
      <c r="AM948" s="66" t="str" cm="1">
        <f t="array" ref="AM948">IF($F948="","",IFERROR(INDEX('Lot Balance'!$B$5:$B$500,MATCH(1,INDEX(('Lot Balance'!$A$5:$A$500=$F948)*('Lot Balance'!$K$5:$K$500&lt;$AJ948)*('Lot Balance'!$K$5:$K$500+'Lot Balance'!$D$5:$D$500&gt;=$AJ948),0),0)),""))</f>
        <v>WRB500270</v>
      </c>
      <c r="AN948" s="66" t="str">
        <f>IF($F948="","",IF($AI948&lt;&gt;"",IF(COUNTIFS('Lot Balance'!$A$5:$A$500,$F948,'Lot Balance'!$B$5:$B$500,$AI948)=0,"⚠ override is not a lot of this item",IF($AI948=$AL948,"Override = FEFO","Override - FEFO says "&amp;$AL948)),IF($AL948="","⚠ no receipt on file for this item",IF($AM948&lt;&gt;$AL948,"FEFO auto - split, also "&amp;$AM948,"FEFO auto"))))</f>
        <v>FEFO auto</v>
      </c>
      <c r="AO948" s="114"/>
    </row>
    <row r="949" spans="1:41" x14ac:dyDescent="0.35">
      <c r="A949" s="74">
        <v>46174</v>
      </c>
      <c r="B949" s="18" t="str">
        <f>IF($C949="","",IFERROR(INDEX('Staff Directory'!$A$5:$A$594,MATCH($C949,'Staff Directory'!$B$5:$B$594,0)),"⚠ unknown staff"))</f>
        <v>PSW-183-TBD</v>
      </c>
      <c r="C949" s="49" t="s">
        <v>1162</v>
      </c>
      <c r="D949" s="19" t="str">
        <f>IF($B949="","",IFERROR(INDEX('Staff Directory'!$C$5:$C$594,MATCH($B949,'Staff Directory'!$A$5:$A$594,0)),""))</f>
        <v>PSW</v>
      </c>
      <c r="E949" s="19">
        <f>IF($B949="","",IFERROR(INDEX('Staff Directory'!$D$5:$D$594,MATCH($B949,'Staff Directory'!$A$5:$A$594,0)),""))</f>
        <v>0</v>
      </c>
      <c r="F949" s="9" t="s">
        <v>144</v>
      </c>
      <c r="G949" s="18" t="str">
        <f>IF($F949="","",IFERROR(INDEX(Items!$B$5:$B$597,MATCH($F949,Items!$A$5:$A$597,0)),"⚠ not in Items"))</f>
        <v>IPAC</v>
      </c>
      <c r="H949" s="19" t="str">
        <f>IF($F949="","",IFERROR(INDEX(Items!$C$5:$C$597,MATCH($F949,Items!$A$5:$A$597,0)),""))</f>
        <v>One Size</v>
      </c>
      <c r="I949" s="23">
        <f>IF($F949="","",IFERROR(INDEX(Items!$E$5:$E$597,MATCH($F949,Items!$A$5:$A$597,0)),""))</f>
        <v>4</v>
      </c>
      <c r="J949" s="115">
        <f>IF(tblIssues[[#This Row],[Qty Override]]&lt;&gt;"",tblIssues[[#This Row],[Qty Override]],IF(tblIssues[[#This Row],[Standard Issue]]="","",tblIssues[[#This Row],[Standard Issue]]))</f>
        <v>4</v>
      </c>
      <c r="K949" s="20">
        <f>IF($F949="","",IFERROR(INDEX(Items!$D$5:$D$597,MATCH($F949,Items!$A$5:$A$597,0)),""))</f>
        <v>145.97999999999999</v>
      </c>
      <c r="L949" s="21">
        <f t="shared" si="162"/>
        <v>583.91999999999996</v>
      </c>
      <c r="M949" s="9" t="str">
        <f t="shared" si="160"/>
        <v/>
      </c>
      <c r="N949" s="24">
        <f>IF($A949="","",WORKDAY($A949,Settings!$C$9,HolidayDates))</f>
        <v>46182</v>
      </c>
      <c r="O949" s="24">
        <f>IF($N949="","",WORKDAY($N949,Settings!$C$10,HolidayDates))</f>
        <v>46220</v>
      </c>
      <c r="P949" s="10" t="s">
        <v>501</v>
      </c>
      <c r="Q949" s="52" t="str">
        <f t="shared" si="163"/>
        <v>Collected</v>
      </c>
      <c r="R949" s="55" t="str">
        <f t="shared" si="164"/>
        <v>2026-06</v>
      </c>
      <c r="S949" s="55">
        <f>IF(OR($B949="",$F949="",$R949=""),"",SUMIFS(tblIssues[Qty Issued],tblIssues[Staff ID],$B949,tblIssues[Item Name],$F949,tblIssues[Month],$R949))</f>
        <v>4</v>
      </c>
      <c r="T949" s="56">
        <f>IF($I949="","",$I949*Settings!$C$11)</f>
        <v>4</v>
      </c>
      <c r="U949" s="57" t="str">
        <f t="shared" si="161"/>
        <v>OK</v>
      </c>
      <c r="V949" s="55" t="str">
        <f t="shared" si="165"/>
        <v/>
      </c>
      <c r="W949" s="55" t="str">
        <f>IF($V949="","",IF(COUNTIF($V$5:$V949,$V949)=1,1,""))</f>
        <v/>
      </c>
      <c r="X949" s="58" t="str">
        <f>IF($W949="","",MAX($X$4:X948)+1)</f>
        <v/>
      </c>
      <c r="Y949" s="62"/>
      <c r="Z949" s="62"/>
      <c r="AA949" s="64" t="str">
        <f>IF($C949="","",IFERROR(INDEX('Staff Directory'!$E$5:$E$594,MATCH($C949,'Staff Directory'!$B$5:$B$594,0)),""))</f>
        <v>firstname246.lastname246@example.com</v>
      </c>
      <c r="AB949" s="64" t="str">
        <f>IF($C949="","",IF(ISNUMBER(SEARCH($D949,Settings!$C$15)),"Pickup","Dispatch"))</f>
        <v>Pickup</v>
      </c>
      <c r="AC949" s="64" t="str">
        <f t="shared" si="166"/>
        <v>Supply order ready for pickup</v>
      </c>
      <c r="AD949" s="64" t="str">
        <f t="shared" si="157"/>
        <v>Dear PSW,
Your order is ready for pickup from Sample Branch, Wed-Fri 9am-4pm.</v>
      </c>
      <c r="AE949" s="64" t="str">
        <f t="shared" si="158"/>
        <v>mailto:firstname246.lastname246@example.com?subject=Supply%20order%20ready%20for%20pickup&amp;body=Dear%20PSW%2C%0A%0AYour%20order%20is%20ready%20for%20pickup%20from%20Sample%20Branch%2C%20Wed-Fri%209am-4pm.</v>
      </c>
      <c r="AF949" s="89" t="str">
        <f t="shared" si="167"/>
        <v>Draft email</v>
      </c>
      <c r="AG949" s="64" t="str">
        <f>IF($C949="","",IFERROR(INDEX('Staff Directory'!$K$595:$K$599,MATCH($C949,'Staff Directory'!$B$5:$B$599,0)),$D949))</f>
        <v>PSW</v>
      </c>
      <c r="AH949" t="str">
        <f>IF($C949="","",IFERROR(INDEX('Staff Directory'!$I$595:$I$599,MATCH($C949,'Staff Directory'!$B$5:$B$599,0))&amp;" "&amp;INDEX('Staff Directory'!$J$595:$J$599,MATCH($C949,'Staff Directory'!$B$5:$B$599,0)),$AG949))</f>
        <v>PSW</v>
      </c>
      <c r="AI949" s="102"/>
      <c r="AJ949" s="101">
        <f>IF($F949="","",SUMIFS($J$5:$J949,$F$5:$F949,$F949))</f>
        <v>44</v>
      </c>
      <c r="AK949" s="101">
        <f t="shared" si="159"/>
        <v>41</v>
      </c>
      <c r="AL949" s="66" t="str" cm="1">
        <f t="array" ref="AL949">IF($F949="","",IFERROR(INDEX('Lot Balance'!$B$5:$B$500,MATCH(1,INDEX(('Lot Balance'!$A$5:$A$500=$F949)*('Lot Balance'!$K$5:$K$500&lt;$AK949)*('Lot Balance'!$K$5:$K$500+'Lot Balance'!$D$5:$D$500&gt;=$AK949),0),0)),""))</f>
        <v/>
      </c>
      <c r="AM949" s="66" t="str" cm="1">
        <f t="array" ref="AM949">IF($F949="","",IFERROR(INDEX('Lot Balance'!$B$5:$B$500,MATCH(1,INDEX(('Lot Balance'!$A$5:$A$500=$F949)*('Lot Balance'!$K$5:$K$500&lt;$AJ949)*('Lot Balance'!$K$5:$K$500+'Lot Balance'!$D$5:$D$500&gt;=$AJ949),0),0)),""))</f>
        <v/>
      </c>
      <c r="AN949" s="66" t="str">
        <f>IF($F949="","",IF($AI949&lt;&gt;"",IF(COUNTIFS('Lot Balance'!$A$5:$A$500,$F949,'Lot Balance'!$B$5:$B$500,$AI949)=0,"⚠ override is not a lot of this item",IF($AI949=$AL949,"Override = FEFO","Override - FEFO says "&amp;$AL949)),IF($AL949="","⚠ no receipt on file for this item",IF($AM949&lt;&gt;$AL949,"FEFO auto - split, also "&amp;$AM949,"FEFO auto"))))</f>
        <v>⚠ no receipt on file for this item</v>
      </c>
      <c r="AO949" s="114"/>
    </row>
    <row r="950" spans="1:41" x14ac:dyDescent="0.35">
      <c r="A950" s="74">
        <v>46174</v>
      </c>
      <c r="B950" s="18" t="str">
        <f>IF($C950="","",IFERROR(INDEX('Staff Directory'!$A$5:$A$594,MATCH($C950,'Staff Directory'!$B$5:$B$594,0)),"⚠ unknown staff"))</f>
        <v>PSW-183-TBD</v>
      </c>
      <c r="C950" s="49" t="s">
        <v>1162</v>
      </c>
      <c r="D950" s="19" t="str">
        <f>IF($B950="","",IFERROR(INDEX('Staff Directory'!$C$5:$C$594,MATCH($B950,'Staff Directory'!$A$5:$A$594,0)),""))</f>
        <v>PSW</v>
      </c>
      <c r="E950" s="19">
        <f>IF($B950="","",IFERROR(INDEX('Staff Directory'!$D$5:$D$594,MATCH($B950,'Staff Directory'!$A$5:$A$594,0)),""))</f>
        <v>0</v>
      </c>
      <c r="F950" s="9" t="s">
        <v>154</v>
      </c>
      <c r="G950" s="18" t="str">
        <f>IF($F950="","",IFERROR(INDEX(Items!$B$5:$B$597,MATCH($F950,Items!$A$5:$A$597,0)),"⚠ not in Items"))</f>
        <v>IPAC</v>
      </c>
      <c r="H950" s="19" t="str">
        <f>IF($F950="","",IFERROR(INDEX(Items!$C$5:$C$597,MATCH($F950,Items!$A$5:$A$597,0)),""))</f>
        <v>Regular</v>
      </c>
      <c r="I950" s="23">
        <f>IF($F950="","",IFERROR(INDEX(Items!$E$5:$E$597,MATCH($F950,Items!$A$5:$A$597,0)),""))</f>
        <v>50</v>
      </c>
      <c r="J950" s="115">
        <f>IF(tblIssues[[#This Row],[Qty Override]]&lt;&gt;"",tblIssues[[#This Row],[Qty Override]],IF(tblIssues[[#This Row],[Standard Issue]]="","",tblIssues[[#This Row],[Standard Issue]]))</f>
        <v>50</v>
      </c>
      <c r="K950" s="20">
        <f>IF($F950="","",IFERROR(INDEX(Items!$D$5:$D$597,MATCH($F950,Items!$A$5:$A$597,0)),""))</f>
        <v>0.2</v>
      </c>
      <c r="L950" s="21">
        <f t="shared" si="162"/>
        <v>10</v>
      </c>
      <c r="M950" s="9" t="str">
        <f t="shared" si="160"/>
        <v/>
      </c>
      <c r="N950" s="24">
        <f>IF($A950="","",WORKDAY($A950,Settings!$C$9,HolidayDates))</f>
        <v>46182</v>
      </c>
      <c r="O950" s="24">
        <f>IF($N950="","",WORKDAY($N950,Settings!$C$10,HolidayDates))</f>
        <v>46220</v>
      </c>
      <c r="P950" s="10" t="s">
        <v>501</v>
      </c>
      <c r="Q950" s="52" t="str">
        <f t="shared" si="163"/>
        <v>Collected</v>
      </c>
      <c r="R950" s="55" t="str">
        <f t="shared" si="164"/>
        <v>2026-06</v>
      </c>
      <c r="S950" s="55">
        <f>IF(OR($B950="",$F950="",$R950=""),"",SUMIFS(tblIssues[Qty Issued],tblIssues[Staff ID],$B950,tblIssues[Item Name],$F950,tblIssues[Month],$R950))</f>
        <v>50</v>
      </c>
      <c r="T950" s="56">
        <f>IF($I950="","",$I950*Settings!$C$11)</f>
        <v>50</v>
      </c>
      <c r="U950" s="57" t="str">
        <f t="shared" si="161"/>
        <v>OK</v>
      </c>
      <c r="V950" s="55" t="str">
        <f t="shared" si="165"/>
        <v/>
      </c>
      <c r="W950" s="55" t="str">
        <f>IF($V950="","",IF(COUNTIF($V$5:$V950,$V950)=1,1,""))</f>
        <v/>
      </c>
      <c r="X950" s="58" t="str">
        <f>IF($W950="","",MAX($X$4:X949)+1)</f>
        <v/>
      </c>
      <c r="Y950" s="62"/>
      <c r="Z950" s="62"/>
      <c r="AA950" s="64" t="str">
        <f>IF($C950="","",IFERROR(INDEX('Staff Directory'!$E$5:$E$594,MATCH($C950,'Staff Directory'!$B$5:$B$594,0)),""))</f>
        <v>firstname246.lastname246@example.com</v>
      </c>
      <c r="AB950" s="64" t="str">
        <f>IF($C950="","",IF(ISNUMBER(SEARCH($D950,Settings!$C$15)),"Pickup","Dispatch"))</f>
        <v>Pickup</v>
      </c>
      <c r="AC950" s="64" t="str">
        <f t="shared" si="166"/>
        <v>Supply order ready for pickup</v>
      </c>
      <c r="AD950" s="64" t="str">
        <f t="shared" si="157"/>
        <v>Dear PSW,
Your order is ready for pickup from Sample Branch, Wed-Fri 9am-4pm.</v>
      </c>
      <c r="AE950" s="64" t="str">
        <f t="shared" si="158"/>
        <v>mailto:firstname246.lastname246@example.com?subject=Supply%20order%20ready%20for%20pickup&amp;body=Dear%20PSW%2C%0A%0AYour%20order%20is%20ready%20for%20pickup%20from%20Sample%20Branch%2C%20Wed-Fri%209am-4pm.</v>
      </c>
      <c r="AF950" s="89" t="str">
        <f t="shared" si="167"/>
        <v>Draft email</v>
      </c>
      <c r="AG950" s="64" t="str">
        <f>IF($C950="","",IFERROR(INDEX('Staff Directory'!$K$595:$K$599,MATCH($C950,'Staff Directory'!$B$5:$B$599,0)),$D950))</f>
        <v>PSW</v>
      </c>
      <c r="AH950" t="str">
        <f>IF($C950="","",IFERROR(INDEX('Staff Directory'!$I$595:$I$599,MATCH($C950,'Staff Directory'!$B$5:$B$599,0))&amp;" "&amp;INDEX('Staff Directory'!$J$595:$J$599,MATCH($C950,'Staff Directory'!$B$5:$B$599,0)),$AG950))</f>
        <v>PSW</v>
      </c>
      <c r="AI950" s="102"/>
      <c r="AJ950" s="101">
        <f>IF($F950="","",SUMIFS($J$5:$J950,$F$5:$F950,$F950))</f>
        <v>950</v>
      </c>
      <c r="AK950" s="101">
        <f t="shared" si="159"/>
        <v>901</v>
      </c>
      <c r="AL950" s="66" t="str" cm="1">
        <f t="array" ref="AL950">IF($F950="","",IFERROR(INDEX('Lot Balance'!$B$5:$B$500,MATCH(1,INDEX(('Lot Balance'!$A$5:$A$500=$F950)*('Lot Balance'!$K$5:$K$500&lt;$AK950)*('Lot Balance'!$K$5:$K$500+'Lot Balance'!$D$5:$D$500&gt;=$AK950),0),0)),""))</f>
        <v/>
      </c>
      <c r="AM950" s="66" t="str" cm="1">
        <f t="array" ref="AM950">IF($F950="","",IFERROR(INDEX('Lot Balance'!$B$5:$B$500,MATCH(1,INDEX(('Lot Balance'!$A$5:$A$500=$F950)*('Lot Balance'!$K$5:$K$500&lt;$AJ950)*('Lot Balance'!$K$5:$K$500+'Lot Balance'!$D$5:$D$500&gt;=$AJ950),0),0)),""))</f>
        <v/>
      </c>
      <c r="AN950" s="66" t="str">
        <f>IF($F950="","",IF($AI950&lt;&gt;"",IF(COUNTIFS('Lot Balance'!$A$5:$A$500,$F950,'Lot Balance'!$B$5:$B$500,$AI950)=0,"⚠ override is not a lot of this item",IF($AI950=$AL950,"Override = FEFO","Override - FEFO says "&amp;$AL950)),IF($AL950="","⚠ no receipt on file for this item",IF($AM950&lt;&gt;$AL950,"FEFO auto - split, also "&amp;$AM950,"FEFO auto"))))</f>
        <v>⚠ no receipt on file for this item</v>
      </c>
      <c r="AO950" s="114"/>
    </row>
    <row r="951" spans="1:41" x14ac:dyDescent="0.35">
      <c r="A951" s="74">
        <v>46174</v>
      </c>
      <c r="B951" s="18" t="str">
        <f>IF($C951="","",IFERROR(INDEX('Staff Directory'!$A$5:$A$594,MATCH($C951,'Staff Directory'!$B$5:$B$594,0)),"⚠ unknown staff"))</f>
        <v>PSW-183-TBD</v>
      </c>
      <c r="C951" s="49" t="s">
        <v>1162</v>
      </c>
      <c r="D951" s="19" t="str">
        <f>IF($B951="","",IFERROR(INDEX('Staff Directory'!$C$5:$C$594,MATCH($B951,'Staff Directory'!$A$5:$A$594,0)),""))</f>
        <v>PSW</v>
      </c>
      <c r="E951" s="19">
        <f>IF($B951="","",IFERROR(INDEX('Staff Directory'!$D$5:$D$594,MATCH($B951,'Staff Directory'!$A$5:$A$594,0)),""))</f>
        <v>0</v>
      </c>
      <c r="F951" s="9" t="s">
        <v>136</v>
      </c>
      <c r="G951" s="18" t="str">
        <f>IF($F951="","",IFERROR(INDEX(Items!$B$5:$B$597,MATCH($F951,Items!$A$5:$A$597,0)),"⚠ not in Items"))</f>
        <v>Eye Protection</v>
      </c>
      <c r="H951" s="19" t="str">
        <f>IF($F951="","",IFERROR(INDEX(Items!$C$5:$C$597,MATCH($F951,Items!$A$5:$A$597,0)),""))</f>
        <v>One Size</v>
      </c>
      <c r="I951" s="23">
        <f>IF($F951="","",IFERROR(INDEX(Items!$E$5:$E$597,MATCH($F951,Items!$A$5:$A$597,0)),""))</f>
        <v>1</v>
      </c>
      <c r="J951" s="115">
        <f>IF(tblIssues[[#This Row],[Qty Override]]&lt;&gt;"",tblIssues[[#This Row],[Qty Override]],IF(tblIssues[[#This Row],[Standard Issue]]="","",tblIssues[[#This Row],[Standard Issue]]))</f>
        <v>1</v>
      </c>
      <c r="K951" s="20">
        <f>IF($F951="","",IFERROR(INDEX(Items!$D$5:$D$597,MATCH($F951,Items!$A$5:$A$597,0)),""))</f>
        <v>10</v>
      </c>
      <c r="L951" s="21">
        <f t="shared" si="162"/>
        <v>10</v>
      </c>
      <c r="M951" s="9" t="str">
        <f t="shared" si="160"/>
        <v>GGL5003700</v>
      </c>
      <c r="N951" s="24">
        <f>IF($A951="","",WORKDAY($A951,Settings!$C$9,HolidayDates))</f>
        <v>46182</v>
      </c>
      <c r="O951" s="24">
        <f>IF($N951="","",WORKDAY($N951,Settings!$C$10,HolidayDates))</f>
        <v>46220</v>
      </c>
      <c r="P951" s="10" t="s">
        <v>501</v>
      </c>
      <c r="Q951" s="52" t="str">
        <f t="shared" si="163"/>
        <v>Collected</v>
      </c>
      <c r="R951" s="55" t="str">
        <f t="shared" si="164"/>
        <v>2026-06</v>
      </c>
      <c r="S951" s="55">
        <f>IF(OR($B951="",$F951="",$R951=""),"",SUMIFS(tblIssues[Qty Issued],tblIssues[Staff ID],$B951,tblIssues[Item Name],$F951,tblIssues[Month],$R951))</f>
        <v>1</v>
      </c>
      <c r="T951" s="56">
        <f>IF($I951="","",$I951*Settings!$C$11)</f>
        <v>1</v>
      </c>
      <c r="U951" s="57" t="str">
        <f t="shared" si="161"/>
        <v>OK</v>
      </c>
      <c r="V951" s="55" t="str">
        <f t="shared" si="165"/>
        <v/>
      </c>
      <c r="W951" s="55" t="str">
        <f>IF($V951="","",IF(COUNTIF($V$5:$V951,$V951)=1,1,""))</f>
        <v/>
      </c>
      <c r="X951" s="58" t="str">
        <f>IF($W951="","",MAX($X$4:X950)+1)</f>
        <v/>
      </c>
      <c r="Y951" s="62"/>
      <c r="Z951" s="62"/>
      <c r="AA951" s="64" t="str">
        <f>IF($C951="","",IFERROR(INDEX('Staff Directory'!$E$5:$E$594,MATCH($C951,'Staff Directory'!$B$5:$B$594,0)),""))</f>
        <v>firstname246.lastname246@example.com</v>
      </c>
      <c r="AB951" s="64" t="str">
        <f>IF($C951="","",IF(ISNUMBER(SEARCH($D951,Settings!$C$15)),"Pickup","Dispatch"))</f>
        <v>Pickup</v>
      </c>
      <c r="AC951" s="64" t="str">
        <f t="shared" si="166"/>
        <v>Supply order ready for pickup</v>
      </c>
      <c r="AD951" s="64" t="str">
        <f t="shared" si="157"/>
        <v>Dear PSW,
Your order is ready for pickup from Sample Branch, Wed-Fri 9am-4pm.</v>
      </c>
      <c r="AE951" s="64" t="str">
        <f t="shared" si="158"/>
        <v>mailto:firstname246.lastname246@example.com?subject=Supply%20order%20ready%20for%20pickup&amp;body=Dear%20PSW%2C%0A%0AYour%20order%20is%20ready%20for%20pickup%20from%20Sample%20Branch%2C%20Wed-Fri%209am-4pm.</v>
      </c>
      <c r="AF951" s="89" t="str">
        <f t="shared" si="167"/>
        <v>Draft email</v>
      </c>
      <c r="AG951" s="64" t="str">
        <f>IF($C951="","",IFERROR(INDEX('Staff Directory'!$K$595:$K$599,MATCH($C951,'Staff Directory'!$B$5:$B$599,0)),$D951))</f>
        <v>PSW</v>
      </c>
      <c r="AH951" t="str">
        <f>IF($C951="","",IFERROR(INDEX('Staff Directory'!$I$595:$I$599,MATCH($C951,'Staff Directory'!$B$5:$B$599,0))&amp;" "&amp;INDEX('Staff Directory'!$J$595:$J$599,MATCH($C951,'Staff Directory'!$B$5:$B$599,0)),$AG951))</f>
        <v>PSW</v>
      </c>
      <c r="AI951" s="102"/>
      <c r="AJ951" s="101">
        <f>IF($F951="","",SUMIFS($J$5:$J951,$F$5:$F951,$F951))</f>
        <v>8</v>
      </c>
      <c r="AK951" s="101">
        <f t="shared" si="159"/>
        <v>8</v>
      </c>
      <c r="AL951" s="66" t="str" cm="1">
        <f t="array" ref="AL951">IF($F951="","",IFERROR(INDEX('Lot Balance'!$B$5:$B$500,MATCH(1,INDEX(('Lot Balance'!$A$5:$A$500=$F951)*('Lot Balance'!$K$5:$K$500&lt;$AK951)*('Lot Balance'!$K$5:$K$500+'Lot Balance'!$D$5:$D$500&gt;=$AK951),0),0)),""))</f>
        <v>GGL5003700</v>
      </c>
      <c r="AM951" s="66" t="str" cm="1">
        <f t="array" ref="AM951">IF($F951="","",IFERROR(INDEX('Lot Balance'!$B$5:$B$500,MATCH(1,INDEX(('Lot Balance'!$A$5:$A$500=$F951)*('Lot Balance'!$K$5:$K$500&lt;$AJ951)*('Lot Balance'!$K$5:$K$500+'Lot Balance'!$D$5:$D$500&gt;=$AJ951),0),0)),""))</f>
        <v>GGL5003700</v>
      </c>
      <c r="AN951" s="66" t="str">
        <f>IF($F951="","",IF($AI951&lt;&gt;"",IF(COUNTIFS('Lot Balance'!$A$5:$A$500,$F951,'Lot Balance'!$B$5:$B$500,$AI951)=0,"⚠ override is not a lot of this item",IF($AI951=$AL951,"Override = FEFO","Override - FEFO says "&amp;$AL951)),IF($AL951="","⚠ no receipt on file for this item",IF($AM951&lt;&gt;$AL951,"FEFO auto - split, also "&amp;$AM951,"FEFO auto"))))</f>
        <v>FEFO auto</v>
      </c>
      <c r="AO951" s="114"/>
    </row>
    <row r="952" spans="1:41" x14ac:dyDescent="0.35">
      <c r="A952" s="74">
        <v>46174</v>
      </c>
      <c r="B952" s="18" t="str">
        <f>IF($C952="","",IFERROR(INDEX('Staff Directory'!$A$5:$A$594,MATCH($C952,'Staff Directory'!$B$5:$B$594,0)),"⚠ unknown staff"))</f>
        <v>PSW-183-TBD</v>
      </c>
      <c r="C952" s="49" t="s">
        <v>1162</v>
      </c>
      <c r="D952" s="19" t="str">
        <f>IF($B952="","",IFERROR(INDEX('Staff Directory'!$C$5:$C$594,MATCH($B952,'Staff Directory'!$A$5:$A$594,0)),""))</f>
        <v>PSW</v>
      </c>
      <c r="E952" s="19">
        <f>IF($B952="","",IFERROR(INDEX('Staff Directory'!$D$5:$D$594,MATCH($B952,'Staff Directory'!$A$5:$A$594,0)),""))</f>
        <v>0</v>
      </c>
      <c r="F952" s="9" t="s">
        <v>122</v>
      </c>
      <c r="G952" s="18" t="str">
        <f>IF($F952="","",IFERROR(INDEX(Items!$B$5:$B$597,MATCH($F952,Items!$A$5:$A$597,0)),"⚠ not in Items"))</f>
        <v>Eye Protection</v>
      </c>
      <c r="H952" s="19" t="str">
        <f>IF($F952="","",IFERROR(INDEX(Items!$C$5:$C$597,MATCH($F952,Items!$A$5:$A$597,0)),""))</f>
        <v>One Size</v>
      </c>
      <c r="I952" s="23">
        <f>IF($F952="","",IFERROR(INDEX(Items!$E$5:$E$597,MATCH($F952,Items!$A$5:$A$597,0)),""))</f>
        <v>1</v>
      </c>
      <c r="J952" s="115">
        <f>IF(tblIssues[[#This Row],[Qty Override]]&lt;&gt;"",tblIssues[[#This Row],[Qty Override]],IF(tblIssues[[#This Row],[Standard Issue]]="","",tblIssues[[#This Row],[Standard Issue]]))</f>
        <v>1</v>
      </c>
      <c r="K952" s="20">
        <f>IF($F952="","",IFERROR(INDEX(Items!$D$5:$D$597,MATCH($F952,Items!$A$5:$A$597,0)),""))</f>
        <v>7</v>
      </c>
      <c r="L952" s="21">
        <f t="shared" si="162"/>
        <v>7</v>
      </c>
      <c r="M952" s="9" t="str">
        <f t="shared" si="160"/>
        <v/>
      </c>
      <c r="N952" s="24">
        <f>IF($A952="","",WORKDAY($A952,Settings!$C$9,HolidayDates))</f>
        <v>46182</v>
      </c>
      <c r="O952" s="24">
        <f>IF($N952="","",WORKDAY($N952,Settings!$C$10,HolidayDates))</f>
        <v>46220</v>
      </c>
      <c r="P952" s="10" t="s">
        <v>501</v>
      </c>
      <c r="Q952" s="52" t="str">
        <f t="shared" si="163"/>
        <v>Collected</v>
      </c>
      <c r="R952" s="55" t="str">
        <f t="shared" si="164"/>
        <v>2026-06</v>
      </c>
      <c r="S952" s="55">
        <f>IF(OR($B952="",$F952="",$R952=""),"",SUMIFS(tblIssues[Qty Issued],tblIssues[Staff ID],$B952,tblIssues[Item Name],$F952,tblIssues[Month],$R952))</f>
        <v>1</v>
      </c>
      <c r="T952" s="56">
        <f>IF($I952="","",$I952*Settings!$C$11)</f>
        <v>1</v>
      </c>
      <c r="U952" s="57" t="str">
        <f t="shared" si="161"/>
        <v>OK</v>
      </c>
      <c r="V952" s="55" t="str">
        <f t="shared" si="165"/>
        <v/>
      </c>
      <c r="W952" s="55" t="str">
        <f>IF($V952="","",IF(COUNTIF($V$5:$V952,$V952)=1,1,""))</f>
        <v/>
      </c>
      <c r="X952" s="58" t="str">
        <f>IF($W952="","",MAX($X$4:X951)+1)</f>
        <v/>
      </c>
      <c r="Y952" s="62"/>
      <c r="Z952" s="62"/>
      <c r="AA952" s="64" t="str">
        <f>IF($C952="","",IFERROR(INDEX('Staff Directory'!$E$5:$E$594,MATCH($C952,'Staff Directory'!$B$5:$B$594,0)),""))</f>
        <v>firstname246.lastname246@example.com</v>
      </c>
      <c r="AB952" s="64" t="str">
        <f>IF($C952="","",IF(ISNUMBER(SEARCH($D952,Settings!$C$15)),"Pickup","Dispatch"))</f>
        <v>Pickup</v>
      </c>
      <c r="AC952" s="64" t="str">
        <f t="shared" si="166"/>
        <v>Supply order ready for pickup</v>
      </c>
      <c r="AD952" s="64" t="str">
        <f t="shared" si="157"/>
        <v>Dear PSW,
Your order is ready for pickup from Sample Branch, Wed-Fri 9am-4pm.</v>
      </c>
      <c r="AE952" s="64" t="str">
        <f t="shared" si="158"/>
        <v>mailto:firstname246.lastname246@example.com?subject=Supply%20order%20ready%20for%20pickup&amp;body=Dear%20PSW%2C%0A%0AYour%20order%20is%20ready%20for%20pickup%20from%20Sample%20Branch%2C%20Wed-Fri%209am-4pm.</v>
      </c>
      <c r="AF952" s="89" t="str">
        <f t="shared" si="167"/>
        <v>Draft email</v>
      </c>
      <c r="AG952" s="64" t="str">
        <f>IF($C952="","",IFERROR(INDEX('Staff Directory'!$K$595:$K$599,MATCH($C952,'Staff Directory'!$B$5:$B$599,0)),$D952))</f>
        <v>PSW</v>
      </c>
      <c r="AH952" t="str">
        <f>IF($C952="","",IFERROR(INDEX('Staff Directory'!$I$595:$I$599,MATCH($C952,'Staff Directory'!$B$5:$B$599,0))&amp;" "&amp;INDEX('Staff Directory'!$J$595:$J$599,MATCH($C952,'Staff Directory'!$B$5:$B$599,0)),$AG952))</f>
        <v>PSW</v>
      </c>
      <c r="AI952" s="102"/>
      <c r="AJ952" s="101">
        <f>IF($F952="","",SUMIFS($J$5:$J952,$F$5:$F952,$F952))</f>
        <v>9</v>
      </c>
      <c r="AK952" s="101">
        <f t="shared" si="159"/>
        <v>9</v>
      </c>
      <c r="AL952" s="66" t="str" cm="1">
        <f t="array" ref="AL952">IF($F952="","",IFERROR(INDEX('Lot Balance'!$B$5:$B$500,MATCH(1,INDEX(('Lot Balance'!$A$5:$A$500=$F952)*('Lot Balance'!$K$5:$K$500&lt;$AK952)*('Lot Balance'!$K$5:$K$500+'Lot Balance'!$D$5:$D$500&gt;=$AK952),0),0)),""))</f>
        <v/>
      </c>
      <c r="AM952" s="66" t="str" cm="1">
        <f t="array" ref="AM952">IF($F952="","",IFERROR(INDEX('Lot Balance'!$B$5:$B$500,MATCH(1,INDEX(('Lot Balance'!$A$5:$A$500=$F952)*('Lot Balance'!$K$5:$K$500&lt;$AJ952)*('Lot Balance'!$K$5:$K$500+'Lot Balance'!$D$5:$D$500&gt;=$AJ952),0),0)),""))</f>
        <v/>
      </c>
      <c r="AN952" s="66" t="str">
        <f>IF($F952="","",IF($AI952&lt;&gt;"",IF(COUNTIFS('Lot Balance'!$A$5:$A$500,$F952,'Lot Balance'!$B$5:$B$500,$AI952)=0,"⚠ override is not a lot of this item",IF($AI952=$AL952,"Override = FEFO","Override - FEFO says "&amp;$AL952)),IF($AL952="","⚠ no receipt on file for this item",IF($AM952&lt;&gt;$AL952,"FEFO auto - split, also "&amp;$AM952,"FEFO auto"))))</f>
        <v>⚠ no receipt on file for this item</v>
      </c>
      <c r="AO952" s="114"/>
    </row>
    <row r="953" spans="1:41" x14ac:dyDescent="0.35">
      <c r="A953" s="74">
        <v>46174</v>
      </c>
      <c r="B953" s="18" t="str">
        <f>IF($C953="","",IFERROR(INDEX('Staff Directory'!$A$5:$A$594,MATCH($C953,'Staff Directory'!$B$5:$B$594,0)),"⚠ unknown staff"))</f>
        <v>PSW-183-TBD</v>
      </c>
      <c r="C953" s="49" t="s">
        <v>1162</v>
      </c>
      <c r="D953" s="19" t="str">
        <f>IF($B953="","",IFERROR(INDEX('Staff Directory'!$C$5:$C$594,MATCH($B953,'Staff Directory'!$A$5:$A$594,0)),""))</f>
        <v>PSW</v>
      </c>
      <c r="E953" s="19">
        <f>IF($B953="","",IFERROR(INDEX('Staff Directory'!$D$5:$D$594,MATCH($B953,'Staff Directory'!$A$5:$A$594,0)),""))</f>
        <v>0</v>
      </c>
      <c r="F953" s="9" t="s">
        <v>150</v>
      </c>
      <c r="G953" s="18" t="str">
        <f>IF($F953="","",IFERROR(INDEX(Items!$B$5:$B$597,MATCH($F953,Items!$A$5:$A$597,0)),"⚠ not in Items"))</f>
        <v>Documents</v>
      </c>
      <c r="H953" s="19" t="str">
        <f>IF($F953="","",IFERROR(INDEX(Items!$C$5:$C$597,MATCH($F953,Items!$A$5:$A$597,0)),""))</f>
        <v>Standard</v>
      </c>
      <c r="I953" s="23">
        <f>IF($F953="","",IFERROR(INDEX(Items!$E$5:$E$597,MATCH($F953,Items!$A$5:$A$597,0)),""))</f>
        <v>1</v>
      </c>
      <c r="J953" s="115">
        <f>IF(tblIssues[[#This Row],[Qty Override]]&lt;&gt;"",tblIssues[[#This Row],[Qty Override]],IF(tblIssues[[#This Row],[Standard Issue]]="","",tblIssues[[#This Row],[Standard Issue]]))</f>
        <v>1</v>
      </c>
      <c r="K953" s="20">
        <f>IF($F953="","",IFERROR(INDEX(Items!$D$5:$D$597,MATCH($F953,Items!$A$5:$A$597,0)),""))</f>
        <v>0</v>
      </c>
      <c r="L953" s="21">
        <f t="shared" si="162"/>
        <v>0</v>
      </c>
      <c r="M953" s="9" t="str">
        <f t="shared" si="160"/>
        <v/>
      </c>
      <c r="N953" s="24">
        <f>IF($A953="","",WORKDAY($A953,Settings!$C$9,HolidayDates))</f>
        <v>46182</v>
      </c>
      <c r="O953" s="24">
        <f>IF($N953="","",WORKDAY($N953,Settings!$C$10,HolidayDates))</f>
        <v>46220</v>
      </c>
      <c r="P953" s="10" t="s">
        <v>501</v>
      </c>
      <c r="Q953" s="52" t="str">
        <f t="shared" si="163"/>
        <v>Collected</v>
      </c>
      <c r="R953" s="55" t="str">
        <f t="shared" si="164"/>
        <v>2026-06</v>
      </c>
      <c r="S953" s="55">
        <f>IF(OR($B953="",$F953="",$R953=""),"",SUMIFS(tblIssues[Qty Issued],tblIssues[Staff ID],$B953,tblIssues[Item Name],$F953,tblIssues[Month],$R953))</f>
        <v>1</v>
      </c>
      <c r="T953" s="56">
        <f>IF($I953="","",$I953*Settings!$C$11)</f>
        <v>1</v>
      </c>
      <c r="U953" s="57" t="str">
        <f t="shared" si="161"/>
        <v>OK</v>
      </c>
      <c r="V953" s="55" t="str">
        <f t="shared" si="165"/>
        <v/>
      </c>
      <c r="W953" s="55" t="str">
        <f>IF($V953="","",IF(COUNTIF($V$5:$V953,$V953)=1,1,""))</f>
        <v/>
      </c>
      <c r="X953" s="58" t="str">
        <f>IF($W953="","",MAX($X$4:X952)+1)</f>
        <v/>
      </c>
      <c r="Y953" s="62"/>
      <c r="Z953" s="62"/>
      <c r="AA953" s="64" t="str">
        <f>IF($C953="","",IFERROR(INDEX('Staff Directory'!$E$5:$E$594,MATCH($C953,'Staff Directory'!$B$5:$B$594,0)),""))</f>
        <v>firstname246.lastname246@example.com</v>
      </c>
      <c r="AB953" s="64" t="str">
        <f>IF($C953="","",IF(ISNUMBER(SEARCH($D953,Settings!$C$15)),"Pickup","Dispatch"))</f>
        <v>Pickup</v>
      </c>
      <c r="AC953" s="64" t="str">
        <f t="shared" si="166"/>
        <v>Supply order ready for pickup</v>
      </c>
      <c r="AD953" s="64" t="str">
        <f t="shared" si="157"/>
        <v>Dear PSW,
Your order is ready for pickup from Sample Branch, Wed-Fri 9am-4pm.</v>
      </c>
      <c r="AE953" s="64" t="str">
        <f t="shared" si="158"/>
        <v>mailto:firstname246.lastname246@example.com?subject=Supply%20order%20ready%20for%20pickup&amp;body=Dear%20PSW%2C%0A%0AYour%20order%20is%20ready%20for%20pickup%20from%20Sample%20Branch%2C%20Wed-Fri%209am-4pm.</v>
      </c>
      <c r="AF953" s="89" t="str">
        <f t="shared" si="167"/>
        <v>Draft email</v>
      </c>
      <c r="AG953" s="64" t="str">
        <f>IF($C953="","",IFERROR(INDEX('Staff Directory'!$K$595:$K$599,MATCH($C953,'Staff Directory'!$B$5:$B$599,0)),$D953))</f>
        <v>PSW</v>
      </c>
      <c r="AH953" t="str">
        <f>IF($C953="","",IFERROR(INDEX('Staff Directory'!$I$595:$I$599,MATCH($C953,'Staff Directory'!$B$5:$B$599,0))&amp;" "&amp;INDEX('Staff Directory'!$J$595:$J$599,MATCH($C953,'Staff Directory'!$B$5:$B$599,0)),$AG953))</f>
        <v>PSW</v>
      </c>
      <c r="AI953" s="102"/>
      <c r="AJ953" s="101">
        <f>IF($F953="","",SUMIFS($J$5:$J953,$F$5:$F953,$F953))</f>
        <v>9</v>
      </c>
      <c r="AK953" s="101">
        <f t="shared" si="159"/>
        <v>9</v>
      </c>
      <c r="AL953" s="66" t="str" cm="1">
        <f t="array" ref="AL953">IF($F953="","",IFERROR(INDEX('Lot Balance'!$B$5:$B$500,MATCH(1,INDEX(('Lot Balance'!$A$5:$A$500=$F953)*('Lot Balance'!$K$5:$K$500&lt;$AK953)*('Lot Balance'!$K$5:$K$500+'Lot Balance'!$D$5:$D$500&gt;=$AK953),0),0)),""))</f>
        <v/>
      </c>
      <c r="AM953" s="66" t="str" cm="1">
        <f t="array" ref="AM953">IF($F953="","",IFERROR(INDEX('Lot Balance'!$B$5:$B$500,MATCH(1,INDEX(('Lot Balance'!$A$5:$A$500=$F953)*('Lot Balance'!$K$5:$K$500&lt;$AJ953)*('Lot Balance'!$K$5:$K$500+'Lot Balance'!$D$5:$D$500&gt;=$AJ953),0),0)),""))</f>
        <v/>
      </c>
      <c r="AN953" s="66" t="str">
        <f>IF($F953="","",IF($AI953&lt;&gt;"",IF(COUNTIFS('Lot Balance'!$A$5:$A$500,$F953,'Lot Balance'!$B$5:$B$500,$AI953)=0,"⚠ override is not a lot of this item",IF($AI953=$AL953,"Override = FEFO","Override - FEFO says "&amp;$AL953)),IF($AL953="","⚠ no receipt on file for this item",IF($AM953&lt;&gt;$AL953,"FEFO auto - split, also "&amp;$AM953,"FEFO auto"))))</f>
        <v>⚠ no receipt on file for this item</v>
      </c>
      <c r="AO953" s="114"/>
    </row>
    <row r="954" spans="1:41" x14ac:dyDescent="0.35">
      <c r="A954" s="74">
        <v>46174</v>
      </c>
      <c r="B954" s="18" t="str">
        <f>IF($C954="","",IFERROR(INDEX('Staff Directory'!$A$5:$A$594,MATCH($C954,'Staff Directory'!$B$5:$B$594,0)),"⚠ unknown staff"))</f>
        <v>PSW-183-TBD</v>
      </c>
      <c r="C954" s="49" t="s">
        <v>1162</v>
      </c>
      <c r="D954" s="19" t="str">
        <f>IF($B954="","",IFERROR(INDEX('Staff Directory'!$C$5:$C$594,MATCH($B954,'Staff Directory'!$A$5:$A$594,0)),""))</f>
        <v>PSW</v>
      </c>
      <c r="E954" s="19">
        <f>IF($B954="","",IFERROR(INDEX('Staff Directory'!$D$5:$D$594,MATCH($B954,'Staff Directory'!$A$5:$A$594,0)),""))</f>
        <v>0</v>
      </c>
      <c r="F954" s="9" t="s">
        <v>755</v>
      </c>
      <c r="G954" s="18" t="str">
        <f>IF($F954="","",IFERROR(INDEX(Items!$B$5:$B$597,MATCH($F954,Items!$A$5:$A$597,0)),"⚠ not in Items"))</f>
        <v>Documents</v>
      </c>
      <c r="H954" s="19" t="str">
        <f>IF($F954="","",IFERROR(INDEX(Items!$C$5:$C$597,MATCH($F954,Items!$A$5:$A$597,0)),""))</f>
        <v>Standard</v>
      </c>
      <c r="I954" s="23">
        <f>IF($F954="","",IFERROR(INDEX(Items!$E$5:$E$597,MATCH($F954,Items!$A$5:$A$597,0)),""))</f>
        <v>2</v>
      </c>
      <c r="J954" s="115">
        <f>IF(tblIssues[[#This Row],[Qty Override]]&lt;&gt;"",tblIssues[[#This Row],[Qty Override]],IF(tblIssues[[#This Row],[Standard Issue]]="","",tblIssues[[#This Row],[Standard Issue]]))</f>
        <v>2</v>
      </c>
      <c r="K954" s="20">
        <f>IF($F954="","",IFERROR(INDEX(Items!$D$5:$D$597,MATCH($F954,Items!$A$5:$A$597,0)),""))</f>
        <v>0</v>
      </c>
      <c r="L954" s="21">
        <f t="shared" si="162"/>
        <v>0</v>
      </c>
      <c r="M954" s="9" t="str">
        <f t="shared" si="160"/>
        <v/>
      </c>
      <c r="N954" s="24">
        <f>IF($A954="","",WORKDAY($A954,Settings!$C$9,HolidayDates))</f>
        <v>46182</v>
      </c>
      <c r="O954" s="24">
        <f>IF($N954="","",WORKDAY($N954,Settings!$C$10,HolidayDates))</f>
        <v>46220</v>
      </c>
      <c r="P954" s="10" t="s">
        <v>501</v>
      </c>
      <c r="Q954" s="52" t="str">
        <f t="shared" si="163"/>
        <v>Collected</v>
      </c>
      <c r="R954" s="55" t="str">
        <f t="shared" si="164"/>
        <v>2026-06</v>
      </c>
      <c r="S954" s="55">
        <f>IF(OR($B954="",$F954="",$R954=""),"",SUMIFS(tblIssues[Qty Issued],tblIssues[Staff ID],$B954,tblIssues[Item Name],$F954,tblIssues[Month],$R954))</f>
        <v>2</v>
      </c>
      <c r="T954" s="56">
        <f>IF($I954="","",$I954*Settings!$C$11)</f>
        <v>2</v>
      </c>
      <c r="U954" s="57" t="str">
        <f t="shared" si="161"/>
        <v>OK</v>
      </c>
      <c r="V954" s="55" t="str">
        <f t="shared" si="165"/>
        <v/>
      </c>
      <c r="W954" s="55" t="str">
        <f>IF($V954="","",IF(COUNTIF($V$5:$V954,$V954)=1,1,""))</f>
        <v/>
      </c>
      <c r="X954" s="58" t="str">
        <f>IF($W954="","",MAX($X$4:X953)+1)</f>
        <v/>
      </c>
      <c r="Y954" s="62"/>
      <c r="Z954" s="62"/>
      <c r="AA954" s="64" t="str">
        <f>IF($C954="","",IFERROR(INDEX('Staff Directory'!$E$5:$E$594,MATCH($C954,'Staff Directory'!$B$5:$B$594,0)),""))</f>
        <v>firstname246.lastname246@example.com</v>
      </c>
      <c r="AB954" s="64" t="str">
        <f>IF($C954="","",IF(ISNUMBER(SEARCH($D954,Settings!$C$15)),"Pickup","Dispatch"))</f>
        <v>Pickup</v>
      </c>
      <c r="AC954" s="64" t="str">
        <f t="shared" si="166"/>
        <v>Supply order ready for pickup</v>
      </c>
      <c r="AD954" s="64" t="str">
        <f t="shared" si="157"/>
        <v>Dear PSW,
Your order is ready for pickup from Sample Branch, Wed-Fri 9am-4pm.</v>
      </c>
      <c r="AE954" s="64" t="str">
        <f t="shared" si="158"/>
        <v>mailto:firstname246.lastname246@example.com?subject=Supply%20order%20ready%20for%20pickup&amp;body=Dear%20PSW%2C%0A%0AYour%20order%20is%20ready%20for%20pickup%20from%20Sample%20Branch%2C%20Wed-Fri%209am-4pm.</v>
      </c>
      <c r="AF954" s="89" t="str">
        <f t="shared" si="167"/>
        <v>Draft email</v>
      </c>
      <c r="AG954" s="64" t="str">
        <f>IF($C954="","",IFERROR(INDEX('Staff Directory'!$K$595:$K$599,MATCH($C954,'Staff Directory'!$B$5:$B$599,0)),$D954))</f>
        <v>PSW</v>
      </c>
      <c r="AH954" t="str">
        <f>IF($C954="","",IFERROR(INDEX('Staff Directory'!$I$595:$I$599,MATCH($C954,'Staff Directory'!$B$5:$B$599,0))&amp;" "&amp;INDEX('Staff Directory'!$J$595:$J$599,MATCH($C954,'Staff Directory'!$B$5:$B$599,0)),$AG954))</f>
        <v>PSW</v>
      </c>
      <c r="AI954" s="102"/>
      <c r="AJ954" s="101">
        <f>IF($F954="","",SUMIFS($J$5:$J954,$F$5:$F954,$F954))</f>
        <v>130</v>
      </c>
      <c r="AK954" s="101">
        <f t="shared" si="159"/>
        <v>129</v>
      </c>
      <c r="AL954" s="66" t="str" cm="1">
        <f t="array" ref="AL954">IF($F954="","",IFERROR(INDEX('Lot Balance'!$B$5:$B$500,MATCH(1,INDEX(('Lot Balance'!$A$5:$A$500=$F954)*('Lot Balance'!$K$5:$K$500&lt;$AK954)*('Lot Balance'!$K$5:$K$500+'Lot Balance'!$D$5:$D$500&gt;=$AK954),0),0)),""))</f>
        <v/>
      </c>
      <c r="AM954" s="66" t="str" cm="1">
        <f t="array" ref="AM954">IF($F954="","",IFERROR(INDEX('Lot Balance'!$B$5:$B$500,MATCH(1,INDEX(('Lot Balance'!$A$5:$A$500=$F954)*('Lot Balance'!$K$5:$K$500&lt;$AJ954)*('Lot Balance'!$K$5:$K$500+'Lot Balance'!$D$5:$D$500&gt;=$AJ954),0),0)),""))</f>
        <v/>
      </c>
      <c r="AN954" s="66" t="str">
        <f>IF($F954="","",IF($AI954&lt;&gt;"",IF(COUNTIFS('Lot Balance'!$A$5:$A$500,$F954,'Lot Balance'!$B$5:$B$500,$AI954)=0,"⚠ override is not a lot of this item",IF($AI954=$AL954,"Override = FEFO","Override - FEFO says "&amp;$AL954)),IF($AL954="","⚠ no receipt on file for this item",IF($AM954&lt;&gt;$AL954,"FEFO auto - split, also "&amp;$AM954,"FEFO auto"))))</f>
        <v>⚠ no receipt on file for this item</v>
      </c>
      <c r="AO954" s="114"/>
    </row>
    <row r="955" spans="1:41" x14ac:dyDescent="0.35">
      <c r="A955" s="74">
        <v>46174</v>
      </c>
      <c r="B955" s="18" t="str">
        <f>IF($C955="","",IFERROR(INDEX('Staff Directory'!$A$5:$A$594,MATCH($C955,'Staff Directory'!$B$5:$B$594,0)),"⚠ unknown staff"))</f>
        <v>PSW-184-TBD</v>
      </c>
      <c r="C955" s="49" t="s">
        <v>1163</v>
      </c>
      <c r="D955" s="19" t="str">
        <f>IF($B955="","",IFERROR(INDEX('Staff Directory'!$C$5:$C$594,MATCH($B955,'Staff Directory'!$A$5:$A$594,0)),""))</f>
        <v>PSW</v>
      </c>
      <c r="E955" s="19">
        <f>IF($B955="","",IFERROR(INDEX('Staff Directory'!$D$5:$D$594,MATCH($B955,'Staff Directory'!$A$5:$A$594,0)),""))</f>
        <v>0</v>
      </c>
      <c r="F955" s="9" t="s">
        <v>124</v>
      </c>
      <c r="G955" s="18" t="str">
        <f>IF($F955="","",IFERROR(INDEX(Items!$B$5:$B$597,MATCH($F955,Items!$A$5:$A$597,0)),"⚠ not in Items"))</f>
        <v>Gloves</v>
      </c>
      <c r="H955" s="19" t="str">
        <f>IF($F955="","",IFERROR(INDEX(Items!$C$5:$C$597,MATCH($F955,Items!$A$5:$A$597,0)),""))</f>
        <v>Large</v>
      </c>
      <c r="I955" s="23">
        <f>IF($F955="","",IFERROR(INDEX(Items!$E$5:$E$597,MATCH($F955,Items!$A$5:$A$597,0)),""))</f>
        <v>500</v>
      </c>
      <c r="J955" s="115">
        <f>IF(tblIssues[[#This Row],[Qty Override]]&lt;&gt;"",tblIssues[[#This Row],[Qty Override]],IF(tblIssues[[#This Row],[Standard Issue]]="","",tblIssues[[#This Row],[Standard Issue]]))</f>
        <v>500</v>
      </c>
      <c r="K955" s="20">
        <f>IF($F955="","",IFERROR(INDEX(Items!$D$5:$D$597,MATCH($F955,Items!$A$5:$A$597,0)),""))</f>
        <v>5.5E-2</v>
      </c>
      <c r="L955" s="21">
        <f t="shared" si="162"/>
        <v>27.5</v>
      </c>
      <c r="M955" s="9" t="str">
        <f t="shared" si="160"/>
        <v>O16705</v>
      </c>
      <c r="N955" s="24">
        <f>IF($A955="","",WORKDAY($A955,Settings!$C$9,HolidayDates))</f>
        <v>46182</v>
      </c>
      <c r="O955" s="24">
        <f>IF($N955="","",WORKDAY($N955,Settings!$C$10,HolidayDates))</f>
        <v>46220</v>
      </c>
      <c r="P955" s="10" t="s">
        <v>501</v>
      </c>
      <c r="Q955" s="52" t="str">
        <f t="shared" si="163"/>
        <v>Collected</v>
      </c>
      <c r="R955" s="55" t="str">
        <f t="shared" si="164"/>
        <v>2026-06</v>
      </c>
      <c r="S955" s="55">
        <f>IF(OR($B955="",$F955="",$R955=""),"",SUMIFS(tblIssues[Qty Issued],tblIssues[Staff ID],$B955,tblIssues[Item Name],$F955,tblIssues[Month],$R955))</f>
        <v>500</v>
      </c>
      <c r="T955" s="56">
        <f>IF($I955="","",$I955*Settings!$C$11)</f>
        <v>500</v>
      </c>
      <c r="U955" s="57" t="str">
        <f t="shared" si="161"/>
        <v>OK</v>
      </c>
      <c r="V955" s="55" t="str">
        <f t="shared" si="165"/>
        <v/>
      </c>
      <c r="W955" s="55" t="str">
        <f>IF($V955="","",IF(COUNTIF($V$5:$V955,$V955)=1,1,""))</f>
        <v/>
      </c>
      <c r="X955" s="58" t="str">
        <f>IF($W955="","",MAX($X$4:X954)+1)</f>
        <v/>
      </c>
      <c r="Y955" s="62"/>
      <c r="Z955" s="62"/>
      <c r="AA955" s="64" t="str">
        <f>IF($C955="","",IFERROR(INDEX('Staff Directory'!$E$5:$E$594,MATCH($C955,'Staff Directory'!$B$5:$B$594,0)),""))</f>
        <v>firstname247.lastname247@example.com</v>
      </c>
      <c r="AB955" s="64" t="str">
        <f>IF($C955="","",IF(ISNUMBER(SEARCH($D955,Settings!$C$15)),"Pickup","Dispatch"))</f>
        <v>Pickup</v>
      </c>
      <c r="AC955" s="64" t="str">
        <f t="shared" si="166"/>
        <v>Supply order ready for pickup</v>
      </c>
      <c r="AD955" s="64" t="str">
        <f t="shared" si="157"/>
        <v>Dear PSW,
Your order is ready for pickup from Sample Branch, Wed-Fri 9am-4pm.</v>
      </c>
      <c r="AE955" s="64" t="str">
        <f t="shared" si="158"/>
        <v>mailto:firstname247.lastname247@example.com?subject=Supply%20order%20ready%20for%20pickup&amp;body=Dear%20PSW%2C%0A%0AYour%20order%20is%20ready%20for%20pickup%20from%20Sample%20Branch%2C%20Wed-Fri%209am-4pm.</v>
      </c>
      <c r="AF955" s="89" t="str">
        <f t="shared" si="167"/>
        <v>Draft email</v>
      </c>
      <c r="AG955" s="64" t="str">
        <f>IF($C955="","",IFERROR(INDEX('Staff Directory'!$K$595:$K$599,MATCH($C955,'Staff Directory'!$B$5:$B$599,0)),$D955))</f>
        <v>PSW</v>
      </c>
      <c r="AH955" t="str">
        <f>IF($C955="","",IFERROR(INDEX('Staff Directory'!$I$595:$I$599,MATCH($C955,'Staff Directory'!$B$5:$B$599,0))&amp;" "&amp;INDEX('Staff Directory'!$J$595:$J$599,MATCH($C955,'Staff Directory'!$B$5:$B$599,0)),$AG955))</f>
        <v>PSW</v>
      </c>
      <c r="AI955" s="102"/>
      <c r="AJ955" s="101">
        <f>IF($F955="","",SUMIFS($J$5:$J955,$F$5:$F955,$F955))</f>
        <v>25500</v>
      </c>
      <c r="AK955" s="101">
        <f t="shared" si="159"/>
        <v>25001</v>
      </c>
      <c r="AL955" s="66" t="str" cm="1">
        <f t="array" ref="AL955">IF($F955="","",IFERROR(INDEX('Lot Balance'!$B$5:$B$500,MATCH(1,INDEX(('Lot Balance'!$A$5:$A$500=$F955)*('Lot Balance'!$K$5:$K$500&lt;$AK955)*('Lot Balance'!$K$5:$K$500+'Lot Balance'!$D$5:$D$500&gt;=$AK955),0),0)),""))</f>
        <v>O16705</v>
      </c>
      <c r="AM955" s="66" t="str" cm="1">
        <f t="array" ref="AM955">IF($F955="","",IFERROR(INDEX('Lot Balance'!$B$5:$B$500,MATCH(1,INDEX(('Lot Balance'!$A$5:$A$500=$F955)*('Lot Balance'!$K$5:$K$500&lt;$AJ955)*('Lot Balance'!$K$5:$K$500+'Lot Balance'!$D$5:$D$500&gt;=$AJ955),0),0)),""))</f>
        <v>O16705</v>
      </c>
      <c r="AN955" s="66" t="str">
        <f>IF($F955="","",IF($AI955&lt;&gt;"",IF(COUNTIFS('Lot Balance'!$A$5:$A$500,$F955,'Lot Balance'!$B$5:$B$500,$AI955)=0,"⚠ override is not a lot of this item",IF($AI955=$AL955,"Override = FEFO","Override - FEFO says "&amp;$AL955)),IF($AL955="","⚠ no receipt on file for this item",IF($AM955&lt;&gt;$AL955,"FEFO auto - split, also "&amp;$AM955,"FEFO auto"))))</f>
        <v>FEFO auto</v>
      </c>
      <c r="AO955" s="114"/>
    </row>
    <row r="956" spans="1:41" x14ac:dyDescent="0.35">
      <c r="A956" s="74">
        <v>46174</v>
      </c>
      <c r="B956" s="18" t="str">
        <f>IF($C956="","",IFERROR(INDEX('Staff Directory'!$A$5:$A$594,MATCH($C956,'Staff Directory'!$B$5:$B$594,0)),"⚠ unknown staff"))</f>
        <v>PSW-184-TBD</v>
      </c>
      <c r="C956" s="49" t="s">
        <v>1163</v>
      </c>
      <c r="D956" s="19" t="str">
        <f>IF($B956="","",IFERROR(INDEX('Staff Directory'!$C$5:$C$594,MATCH($B956,'Staff Directory'!$A$5:$A$594,0)),""))</f>
        <v>PSW</v>
      </c>
      <c r="E956" s="19">
        <f>IF($B956="","",IFERROR(INDEX('Staff Directory'!$D$5:$D$594,MATCH($B956,'Staff Directory'!$A$5:$A$594,0)),""))</f>
        <v>0</v>
      </c>
      <c r="F956" s="9" t="s">
        <v>115</v>
      </c>
      <c r="G956" s="18" t="str">
        <f>IF($F956="","",IFERROR(INDEX(Items!$B$5:$B$597,MATCH($F956,Items!$A$5:$A$597,0)),"⚠ not in Items"))</f>
        <v>Wipes</v>
      </c>
      <c r="H956" s="19">
        <f>IF($F956="","",IFERROR(INDEX(Items!$C$5:$C$597,MATCH($F956,Items!$A$5:$A$597,0)),""))</f>
        <v>80</v>
      </c>
      <c r="I956" s="23">
        <f>IF($F956="","",IFERROR(INDEX(Items!$E$5:$E$597,MATCH($F956,Items!$A$5:$A$597,0)),""))</f>
        <v>80</v>
      </c>
      <c r="J956" s="115">
        <f>IF(tblIssues[[#This Row],[Qty Override]]&lt;&gt;"",tblIssues[[#This Row],[Qty Override]],IF(tblIssues[[#This Row],[Standard Issue]]="","",tblIssues[[#This Row],[Standard Issue]]))</f>
        <v>80</v>
      </c>
      <c r="K956" s="20">
        <f>IF($F956="","",IFERROR(INDEX(Items!$D$5:$D$597,MATCH($F956,Items!$A$5:$A$597,0)),""))</f>
        <v>0.1</v>
      </c>
      <c r="L956" s="21">
        <f t="shared" si="162"/>
        <v>8</v>
      </c>
      <c r="M956" s="9" t="str">
        <f t="shared" si="160"/>
        <v>LYSL500290</v>
      </c>
      <c r="N956" s="24">
        <f>IF($A956="","",WORKDAY($A956,Settings!$C$9,HolidayDates))</f>
        <v>46182</v>
      </c>
      <c r="O956" s="24">
        <f>IF($N956="","",WORKDAY($N956,Settings!$C$10,HolidayDates))</f>
        <v>46220</v>
      </c>
      <c r="P956" s="10" t="s">
        <v>501</v>
      </c>
      <c r="Q956" s="52" t="str">
        <f t="shared" si="163"/>
        <v>Collected</v>
      </c>
      <c r="R956" s="55" t="str">
        <f t="shared" si="164"/>
        <v>2026-06</v>
      </c>
      <c r="S956" s="55">
        <f>IF(OR($B956="",$F956="",$R956=""),"",SUMIFS(tblIssues[Qty Issued],tblIssues[Staff ID],$B956,tblIssues[Item Name],$F956,tblIssues[Month],$R956))</f>
        <v>80</v>
      </c>
      <c r="T956" s="56">
        <f>IF($I956="","",$I956*Settings!$C$11)</f>
        <v>80</v>
      </c>
      <c r="U956" s="57" t="str">
        <f t="shared" si="161"/>
        <v>OK</v>
      </c>
      <c r="V956" s="55" t="str">
        <f t="shared" si="165"/>
        <v/>
      </c>
      <c r="W956" s="55" t="str">
        <f>IF($V956="","",IF(COUNTIF($V$5:$V956,$V956)=1,1,""))</f>
        <v/>
      </c>
      <c r="X956" s="58" t="str">
        <f>IF($W956="","",MAX($X$4:X955)+1)</f>
        <v/>
      </c>
      <c r="Y956" s="62"/>
      <c r="Z956" s="62"/>
      <c r="AA956" s="64" t="str">
        <f>IF($C956="","",IFERROR(INDEX('Staff Directory'!$E$5:$E$594,MATCH($C956,'Staff Directory'!$B$5:$B$594,0)),""))</f>
        <v>firstname247.lastname247@example.com</v>
      </c>
      <c r="AB956" s="64" t="str">
        <f>IF($C956="","",IF(ISNUMBER(SEARCH($D956,Settings!$C$15)),"Pickup","Dispatch"))</f>
        <v>Pickup</v>
      </c>
      <c r="AC956" s="64" t="str">
        <f t="shared" si="166"/>
        <v>Supply order ready for pickup</v>
      </c>
      <c r="AD956" s="64" t="str">
        <f t="shared" si="157"/>
        <v>Dear PSW,
Your order is ready for pickup from Sample Branch, Wed-Fri 9am-4pm.</v>
      </c>
      <c r="AE956" s="64" t="str">
        <f t="shared" si="158"/>
        <v>mailto:firstname247.lastname247@example.com?subject=Supply%20order%20ready%20for%20pickup&amp;body=Dear%20PSW%2C%0A%0AYour%20order%20is%20ready%20for%20pickup%20from%20Sample%20Branch%2C%20Wed-Fri%209am-4pm.</v>
      </c>
      <c r="AF956" s="89" t="str">
        <f t="shared" si="167"/>
        <v>Draft email</v>
      </c>
      <c r="AG956" s="64" t="str">
        <f>IF($C956="","",IFERROR(INDEX('Staff Directory'!$K$595:$K$599,MATCH($C956,'Staff Directory'!$B$5:$B$599,0)),$D956))</f>
        <v>PSW</v>
      </c>
      <c r="AH956" t="str">
        <f>IF($C956="","",IFERROR(INDEX('Staff Directory'!$I$595:$I$599,MATCH($C956,'Staff Directory'!$B$5:$B$599,0))&amp;" "&amp;INDEX('Staff Directory'!$J$595:$J$599,MATCH($C956,'Staff Directory'!$B$5:$B$599,0)),$AG956))</f>
        <v>PSW</v>
      </c>
      <c r="AI956" s="102"/>
      <c r="AJ956" s="101">
        <f>IF($F956="","",SUMIFS($J$5:$J956,$F$5:$F956,$F956))</f>
        <v>12640</v>
      </c>
      <c r="AK956" s="101">
        <f t="shared" si="159"/>
        <v>12561</v>
      </c>
      <c r="AL956" s="66" t="str" cm="1">
        <f t="array" ref="AL956">IF($F956="","",IFERROR(INDEX('Lot Balance'!$B$5:$B$500,MATCH(1,INDEX(('Lot Balance'!$A$5:$A$500=$F956)*('Lot Balance'!$K$5:$K$500&lt;$AK956)*('Lot Balance'!$K$5:$K$500+'Lot Balance'!$D$5:$D$500&gt;=$AK956),0),0)),""))</f>
        <v>LYSL500290</v>
      </c>
      <c r="AM956" s="66" t="str" cm="1">
        <f t="array" ref="AM956">IF($F956="","",IFERROR(INDEX('Lot Balance'!$B$5:$B$500,MATCH(1,INDEX(('Lot Balance'!$A$5:$A$500=$F956)*('Lot Balance'!$K$5:$K$500&lt;$AJ956)*('Lot Balance'!$K$5:$K$500+'Lot Balance'!$D$5:$D$500&gt;=$AJ956),0),0)),""))</f>
        <v>LYSL500290</v>
      </c>
      <c r="AN956" s="66" t="str">
        <f>IF($F956="","",IF($AI956&lt;&gt;"",IF(COUNTIFS('Lot Balance'!$A$5:$A$500,$F956,'Lot Balance'!$B$5:$B$500,$AI956)=0,"⚠ override is not a lot of this item",IF($AI956=$AL956,"Override = FEFO","Override - FEFO says "&amp;$AL956)),IF($AL956="","⚠ no receipt on file for this item",IF($AM956&lt;&gt;$AL956,"FEFO auto - split, also "&amp;$AM956,"FEFO auto"))))</f>
        <v>FEFO auto</v>
      </c>
      <c r="AO956" s="114"/>
    </row>
    <row r="957" spans="1:41" x14ac:dyDescent="0.35">
      <c r="A957" s="74">
        <v>46174</v>
      </c>
      <c r="B957" s="18" t="str">
        <f>IF($C957="","",IFERROR(INDEX('Staff Directory'!$A$5:$A$594,MATCH($C957,'Staff Directory'!$B$5:$B$594,0)),"⚠ unknown staff"))</f>
        <v>PSW-184-TBD</v>
      </c>
      <c r="C957" s="49" t="s">
        <v>1163</v>
      </c>
      <c r="D957" s="19" t="str">
        <f>IF($B957="","",IFERROR(INDEX('Staff Directory'!$C$5:$C$594,MATCH($B957,'Staff Directory'!$A$5:$A$594,0)),""))</f>
        <v>PSW</v>
      </c>
      <c r="E957" s="19">
        <f>IF($B957="","",IFERROR(INDEX('Staff Directory'!$D$5:$D$594,MATCH($B957,'Staff Directory'!$A$5:$A$594,0)),""))</f>
        <v>0</v>
      </c>
      <c r="F957" s="9" t="s">
        <v>104</v>
      </c>
      <c r="G957" s="18" t="str">
        <f>IF($F957="","",IFERROR(INDEX(Items!$B$5:$B$597,MATCH($F957,Items!$A$5:$A$597,0)),"⚠ not in Items"))</f>
        <v>Masks</v>
      </c>
      <c r="H957" s="19" t="str">
        <f>IF($F957="","",IFERROR(INDEX(Items!$C$5:$C$597,MATCH($F957,Items!$A$5:$A$597,0)),""))</f>
        <v>One Size</v>
      </c>
      <c r="I957" s="23">
        <f>IF($F957="","",IFERROR(INDEX(Items!$E$5:$E$597,MATCH($F957,Items!$A$5:$A$597,0)),""))</f>
        <v>5</v>
      </c>
      <c r="J957" s="115">
        <f>IF(tblIssues[[#This Row],[Qty Override]]&lt;&gt;"",tblIssues[[#This Row],[Qty Override]],IF(tblIssues[[#This Row],[Standard Issue]]="","",tblIssues[[#This Row],[Standard Issue]]))</f>
        <v>5</v>
      </c>
      <c r="K957" s="20">
        <f>IF($F957="","",IFERROR(INDEX(Items!$D$5:$D$597,MATCH($F957,Items!$A$5:$A$597,0)),""))</f>
        <v>2.0499999999999998</v>
      </c>
      <c r="L957" s="21">
        <f t="shared" si="162"/>
        <v>10.25</v>
      </c>
      <c r="M957" s="9" t="str">
        <f t="shared" si="160"/>
        <v>N955003717</v>
      </c>
      <c r="N957" s="24">
        <f>IF($A957="","",WORKDAY($A957,Settings!$C$9,HolidayDates))</f>
        <v>46182</v>
      </c>
      <c r="O957" s="24">
        <f>IF($N957="","",WORKDAY($N957,Settings!$C$10,HolidayDates))</f>
        <v>46220</v>
      </c>
      <c r="P957" s="10" t="s">
        <v>501</v>
      </c>
      <c r="Q957" s="52" t="str">
        <f t="shared" si="163"/>
        <v>Collected</v>
      </c>
      <c r="R957" s="55" t="str">
        <f t="shared" si="164"/>
        <v>2026-06</v>
      </c>
      <c r="S957" s="55">
        <f>IF(OR($B957="",$F957="",$R957=""),"",SUMIFS(tblIssues[Qty Issued],tblIssues[Staff ID],$B957,tblIssues[Item Name],$F957,tblIssues[Month],$R957))</f>
        <v>5</v>
      </c>
      <c r="T957" s="56">
        <f>IF($I957="","",$I957*Settings!$C$11)</f>
        <v>5</v>
      </c>
      <c r="U957" s="57" t="str">
        <f t="shared" si="161"/>
        <v>OK</v>
      </c>
      <c r="V957" s="55" t="str">
        <f t="shared" si="165"/>
        <v/>
      </c>
      <c r="W957" s="55" t="str">
        <f>IF($V957="","",IF(COUNTIF($V$5:$V957,$V957)=1,1,""))</f>
        <v/>
      </c>
      <c r="X957" s="58" t="str">
        <f>IF($W957="","",MAX($X$4:X956)+1)</f>
        <v/>
      </c>
      <c r="Y957" s="62"/>
      <c r="Z957" s="62"/>
      <c r="AA957" s="64" t="str">
        <f>IF($C957="","",IFERROR(INDEX('Staff Directory'!$E$5:$E$594,MATCH($C957,'Staff Directory'!$B$5:$B$594,0)),""))</f>
        <v>firstname247.lastname247@example.com</v>
      </c>
      <c r="AB957" s="64" t="str">
        <f>IF($C957="","",IF(ISNUMBER(SEARCH($D957,Settings!$C$15)),"Pickup","Dispatch"))</f>
        <v>Pickup</v>
      </c>
      <c r="AC957" s="64" t="str">
        <f t="shared" si="166"/>
        <v>Supply order ready for pickup</v>
      </c>
      <c r="AD957" s="64" t="str">
        <f t="shared" si="157"/>
        <v>Dear PSW,
Your order is ready for pickup from Sample Branch, Wed-Fri 9am-4pm.</v>
      </c>
      <c r="AE957" s="64" t="str">
        <f t="shared" si="158"/>
        <v>mailto:firstname247.lastname247@example.com?subject=Supply%20order%20ready%20for%20pickup&amp;body=Dear%20PSW%2C%0A%0AYour%20order%20is%20ready%20for%20pickup%20from%20Sample%20Branch%2C%20Wed-Fri%209am-4pm.</v>
      </c>
      <c r="AF957" s="89" t="str">
        <f t="shared" si="167"/>
        <v>Draft email</v>
      </c>
      <c r="AG957" s="64" t="str">
        <f>IF($C957="","",IFERROR(INDEX('Staff Directory'!$K$595:$K$599,MATCH($C957,'Staff Directory'!$B$5:$B$599,0)),$D957))</f>
        <v>PSW</v>
      </c>
      <c r="AH957" t="str">
        <f>IF($C957="","",IFERROR(INDEX('Staff Directory'!$I$595:$I$599,MATCH($C957,'Staff Directory'!$B$5:$B$599,0))&amp;" "&amp;INDEX('Staff Directory'!$J$595:$J$599,MATCH($C957,'Staff Directory'!$B$5:$B$599,0)),$AG957))</f>
        <v>PSW</v>
      </c>
      <c r="AI957" s="102"/>
      <c r="AJ957" s="101">
        <f>IF($F957="","",SUMIFS($J$5:$J957,$F$5:$F957,$F957))</f>
        <v>25</v>
      </c>
      <c r="AK957" s="101">
        <f t="shared" si="159"/>
        <v>21</v>
      </c>
      <c r="AL957" s="66" t="str" cm="1">
        <f t="array" ref="AL957">IF($F957="","",IFERROR(INDEX('Lot Balance'!$B$5:$B$500,MATCH(1,INDEX(('Lot Balance'!$A$5:$A$500=$F957)*('Lot Balance'!$K$5:$K$500&lt;$AK957)*('Lot Balance'!$K$5:$K$500+'Lot Balance'!$D$5:$D$500&gt;=$AK957),0),0)),""))</f>
        <v>N955003717</v>
      </c>
      <c r="AM957" s="66" t="str" cm="1">
        <f t="array" ref="AM957">IF($F957="","",IFERROR(INDEX('Lot Balance'!$B$5:$B$500,MATCH(1,INDEX(('Lot Balance'!$A$5:$A$500=$F957)*('Lot Balance'!$K$5:$K$500&lt;$AJ957)*('Lot Balance'!$K$5:$K$500+'Lot Balance'!$D$5:$D$500&gt;=$AJ957),0),0)),""))</f>
        <v>N955003717</v>
      </c>
      <c r="AN957" s="66" t="str">
        <f>IF($F957="","",IF($AI957&lt;&gt;"",IF(COUNTIFS('Lot Balance'!$A$5:$A$500,$F957,'Lot Balance'!$B$5:$B$500,$AI957)=0,"⚠ override is not a lot of this item",IF($AI957=$AL957,"Override = FEFO","Override - FEFO says "&amp;$AL957)),IF($AL957="","⚠ no receipt on file for this item",IF($AM957&lt;&gt;$AL957,"FEFO auto - split, also "&amp;$AM957,"FEFO auto"))))</f>
        <v>FEFO auto</v>
      </c>
      <c r="AO957" s="114"/>
    </row>
    <row r="958" spans="1:41" x14ac:dyDescent="0.35">
      <c r="A958" s="74">
        <v>46174</v>
      </c>
      <c r="B958" s="18" t="str">
        <f>IF($C958="","",IFERROR(INDEX('Staff Directory'!$A$5:$A$594,MATCH($C958,'Staff Directory'!$B$5:$B$594,0)),"⚠ unknown staff"))</f>
        <v>PSW-184-TBD</v>
      </c>
      <c r="C958" s="49" t="s">
        <v>1163</v>
      </c>
      <c r="D958" s="19" t="str">
        <f>IF($B958="","",IFERROR(INDEX('Staff Directory'!$C$5:$C$594,MATCH($B958,'Staff Directory'!$A$5:$A$594,0)),""))</f>
        <v>PSW</v>
      </c>
      <c r="E958" s="19">
        <f>IF($B958="","",IFERROR(INDEX('Staff Directory'!$D$5:$D$594,MATCH($B958,'Staff Directory'!$A$5:$A$594,0)),""))</f>
        <v>0</v>
      </c>
      <c r="F958" s="9" t="s">
        <v>137</v>
      </c>
      <c r="G958" s="18" t="str">
        <f>IF($F958="","",IFERROR(INDEX(Items!$B$5:$B$597,MATCH($F958,Items!$A$5:$A$597,0)),"⚠ not in Items"))</f>
        <v>Sanitizer</v>
      </c>
      <c r="H958" s="19" t="str">
        <f>IF($F958="","",IFERROR(INDEX(Items!$C$5:$C$597,MATCH($F958,Items!$A$5:$A$597,0)),""))</f>
        <v>118 ML</v>
      </c>
      <c r="I958" s="23">
        <f>IF($F958="","",IFERROR(INDEX(Items!$E$5:$E$597,MATCH($F958,Items!$A$5:$A$597,0)),""))</f>
        <v>2</v>
      </c>
      <c r="J958" s="115">
        <f>IF(tblIssues[[#This Row],[Qty Override]]&lt;&gt;"",tblIssues[[#This Row],[Qty Override]],IF(tblIssues[[#This Row],[Standard Issue]]="","",tblIssues[[#This Row],[Standard Issue]]))</f>
        <v>2</v>
      </c>
      <c r="K958" s="20">
        <f>IF($F958="","",IFERROR(INDEX(Items!$D$5:$D$597,MATCH($F958,Items!$A$5:$A$597,0)),""))</f>
        <v>4.49</v>
      </c>
      <c r="L958" s="21">
        <f t="shared" si="162"/>
        <v>8.98</v>
      </c>
      <c r="M958" s="9" t="str">
        <f t="shared" si="160"/>
        <v>563963-7</v>
      </c>
      <c r="N958" s="24">
        <f>IF($A958="","",WORKDAY($A958,Settings!$C$9,HolidayDates))</f>
        <v>46182</v>
      </c>
      <c r="O958" s="24">
        <f>IF($N958="","",WORKDAY($N958,Settings!$C$10,HolidayDates))</f>
        <v>46220</v>
      </c>
      <c r="P958" s="10" t="s">
        <v>501</v>
      </c>
      <c r="Q958" s="52" t="str">
        <f t="shared" si="163"/>
        <v>Collected</v>
      </c>
      <c r="R958" s="55" t="str">
        <f t="shared" si="164"/>
        <v>2026-06</v>
      </c>
      <c r="S958" s="55">
        <f>IF(OR($B958="",$F958="",$R958=""),"",SUMIFS(tblIssues[Qty Issued],tblIssues[Staff ID],$B958,tblIssues[Item Name],$F958,tblIssues[Month],$R958))</f>
        <v>2</v>
      </c>
      <c r="T958" s="56">
        <f>IF($I958="","",$I958*Settings!$C$11)</f>
        <v>2</v>
      </c>
      <c r="U958" s="57" t="str">
        <f t="shared" si="161"/>
        <v>OK</v>
      </c>
      <c r="V958" s="55" t="str">
        <f t="shared" si="165"/>
        <v/>
      </c>
      <c r="W958" s="55" t="str">
        <f>IF($V958="","",IF(COUNTIF($V$5:$V958,$V958)=1,1,""))</f>
        <v/>
      </c>
      <c r="X958" s="58" t="str">
        <f>IF($W958="","",MAX($X$4:X957)+1)</f>
        <v/>
      </c>
      <c r="Y958" s="62"/>
      <c r="Z958" s="62"/>
      <c r="AA958" s="64" t="str">
        <f>IF($C958="","",IFERROR(INDEX('Staff Directory'!$E$5:$E$594,MATCH($C958,'Staff Directory'!$B$5:$B$594,0)),""))</f>
        <v>firstname247.lastname247@example.com</v>
      </c>
      <c r="AB958" s="64" t="str">
        <f>IF($C958="","",IF(ISNUMBER(SEARCH($D958,Settings!$C$15)),"Pickup","Dispatch"))</f>
        <v>Pickup</v>
      </c>
      <c r="AC958" s="64" t="str">
        <f t="shared" si="166"/>
        <v>Supply order ready for pickup</v>
      </c>
      <c r="AD958" s="64" t="str">
        <f t="shared" si="157"/>
        <v>Dear PSW,
Your order is ready for pickup from Sample Branch, Wed-Fri 9am-4pm.</v>
      </c>
      <c r="AE958" s="64" t="str">
        <f t="shared" si="158"/>
        <v>mailto:firstname247.lastname247@example.com?subject=Supply%20order%20ready%20for%20pickup&amp;body=Dear%20PSW%2C%0A%0AYour%20order%20is%20ready%20for%20pickup%20from%20Sample%20Branch%2C%20Wed-Fri%209am-4pm.</v>
      </c>
      <c r="AF958" s="89" t="str">
        <f t="shared" si="167"/>
        <v>Draft email</v>
      </c>
      <c r="AG958" s="64" t="str">
        <f>IF($C958="","",IFERROR(INDEX('Staff Directory'!$K$595:$K$599,MATCH($C958,'Staff Directory'!$B$5:$B$599,0)),$D958))</f>
        <v>PSW</v>
      </c>
      <c r="AH958" t="str">
        <f>IF($C958="","",IFERROR(INDEX('Staff Directory'!$I$595:$I$599,MATCH($C958,'Staff Directory'!$B$5:$B$599,0))&amp;" "&amp;INDEX('Staff Directory'!$J$595:$J$599,MATCH($C958,'Staff Directory'!$B$5:$B$599,0)),$AG958))</f>
        <v>PSW</v>
      </c>
      <c r="AI958" s="102"/>
      <c r="AJ958" s="101">
        <f>IF($F958="","",SUMIFS($J$5:$J958,$F$5:$F958,$F958))</f>
        <v>110</v>
      </c>
      <c r="AK958" s="101">
        <f t="shared" si="159"/>
        <v>109</v>
      </c>
      <c r="AL958" s="66" t="str" cm="1">
        <f t="array" ref="AL958">IF($F958="","",IFERROR(INDEX('Lot Balance'!$B$5:$B$500,MATCH(1,INDEX(('Lot Balance'!$A$5:$A$500=$F958)*('Lot Balance'!$K$5:$K$500&lt;$AK958)*('Lot Balance'!$K$5:$K$500+'Lot Balance'!$D$5:$D$500&gt;=$AK958),0),0)),""))</f>
        <v>563963-7</v>
      </c>
      <c r="AM958" s="66" t="str" cm="1">
        <f t="array" ref="AM958">IF($F958="","",IFERROR(INDEX('Lot Balance'!$B$5:$B$500,MATCH(1,INDEX(('Lot Balance'!$A$5:$A$500=$F958)*('Lot Balance'!$K$5:$K$500&lt;$AJ958)*('Lot Balance'!$K$5:$K$500+'Lot Balance'!$D$5:$D$500&gt;=$AJ958),0),0)),""))</f>
        <v>563963-7</v>
      </c>
      <c r="AN958" s="66" t="str">
        <f>IF($F958="","",IF($AI958&lt;&gt;"",IF(COUNTIFS('Lot Balance'!$A$5:$A$500,$F958,'Lot Balance'!$B$5:$B$500,$AI958)=0,"⚠ override is not a lot of this item",IF($AI958=$AL958,"Override = FEFO","Override - FEFO says "&amp;$AL958)),IF($AL958="","⚠ no receipt on file for this item",IF($AM958&lt;&gt;$AL958,"FEFO auto - split, also "&amp;$AM958,"FEFO auto"))))</f>
        <v>FEFO auto</v>
      </c>
      <c r="AO958" s="114"/>
    </row>
    <row r="959" spans="1:41" x14ac:dyDescent="0.35">
      <c r="A959" s="74">
        <v>46174</v>
      </c>
      <c r="B959" s="18" t="str">
        <f>IF($C959="","",IFERROR(INDEX('Staff Directory'!$A$5:$A$594,MATCH($C959,'Staff Directory'!$B$5:$B$594,0)),"⚠ unknown staff"))</f>
        <v>PSW-184-TBD</v>
      </c>
      <c r="C959" s="49" t="s">
        <v>1163</v>
      </c>
      <c r="D959" s="19" t="str">
        <f>IF($B959="","",IFERROR(INDEX('Staff Directory'!$C$5:$C$594,MATCH($B959,'Staff Directory'!$A$5:$A$594,0)),""))</f>
        <v>PSW</v>
      </c>
      <c r="E959" s="19">
        <f>IF($B959="","",IFERROR(INDEX('Staff Directory'!$D$5:$D$594,MATCH($B959,'Staff Directory'!$A$5:$A$594,0)),""))</f>
        <v>0</v>
      </c>
      <c r="F959" s="9" t="s">
        <v>147</v>
      </c>
      <c r="G959" s="18" t="str">
        <f>IF($F959="","",IFERROR(INDEX(Items!$B$5:$B$597,MATCH($F959,Items!$A$5:$A$597,0)),"⚠ not in Items"))</f>
        <v>Apparel</v>
      </c>
      <c r="H959" s="19" t="str">
        <f>IF($F959="","",IFERROR(INDEX(Items!$C$5:$C$597,MATCH($F959,Items!$A$5:$A$597,0)),""))</f>
        <v>One Size</v>
      </c>
      <c r="I959" s="23">
        <f>IF($F959="","",IFERROR(INDEX(Items!$E$5:$E$597,MATCH($F959,Items!$A$5:$A$597,0)),""))</f>
        <v>5</v>
      </c>
      <c r="J959" s="115">
        <f>IF(tblIssues[[#This Row],[Qty Override]]&lt;&gt;"",tblIssues[[#This Row],[Qty Override]],IF(tblIssues[[#This Row],[Standard Issue]]="","",tblIssues[[#This Row],[Standard Issue]]))</f>
        <v>5</v>
      </c>
      <c r="K959" s="20">
        <f>IF($F959="","",IFERROR(INDEX(Items!$D$5:$D$597,MATCH($F959,Items!$A$5:$A$597,0)),""))</f>
        <v>3</v>
      </c>
      <c r="L959" s="21">
        <f t="shared" si="162"/>
        <v>15</v>
      </c>
      <c r="M959" s="9" t="str">
        <f t="shared" si="160"/>
        <v>YG500280</v>
      </c>
      <c r="N959" s="24">
        <f>IF($A959="","",WORKDAY($A959,Settings!$C$9,HolidayDates))</f>
        <v>46182</v>
      </c>
      <c r="O959" s="24">
        <f>IF($N959="","",WORKDAY($N959,Settings!$C$10,HolidayDates))</f>
        <v>46220</v>
      </c>
      <c r="P959" s="10" t="s">
        <v>501</v>
      </c>
      <c r="Q959" s="52" t="str">
        <f t="shared" si="163"/>
        <v>Collected</v>
      </c>
      <c r="R959" s="55" t="str">
        <f t="shared" si="164"/>
        <v>2026-06</v>
      </c>
      <c r="S959" s="55">
        <f>IF(OR($B959="",$F959="",$R959=""),"",SUMIFS(tblIssues[Qty Issued],tblIssues[Staff ID],$B959,tblIssues[Item Name],$F959,tblIssues[Month],$R959))</f>
        <v>5</v>
      </c>
      <c r="T959" s="56">
        <f>IF($I959="","",$I959*Settings!$C$11)</f>
        <v>5</v>
      </c>
      <c r="U959" s="57" t="str">
        <f t="shared" si="161"/>
        <v>OK</v>
      </c>
      <c r="V959" s="55" t="str">
        <f t="shared" si="165"/>
        <v/>
      </c>
      <c r="W959" s="55" t="str">
        <f>IF($V959="","",IF(COUNTIF($V$5:$V959,$V959)=1,1,""))</f>
        <v/>
      </c>
      <c r="X959" s="58" t="str">
        <f>IF($W959="","",MAX($X$4:X958)+1)</f>
        <v/>
      </c>
      <c r="Y959" s="62"/>
      <c r="Z959" s="62"/>
      <c r="AA959" s="64" t="str">
        <f>IF($C959="","",IFERROR(INDEX('Staff Directory'!$E$5:$E$594,MATCH($C959,'Staff Directory'!$B$5:$B$594,0)),""))</f>
        <v>firstname247.lastname247@example.com</v>
      </c>
      <c r="AB959" s="64" t="str">
        <f>IF($C959="","",IF(ISNUMBER(SEARCH($D959,Settings!$C$15)),"Pickup","Dispatch"))</f>
        <v>Pickup</v>
      </c>
      <c r="AC959" s="64" t="str">
        <f t="shared" si="166"/>
        <v>Supply order ready for pickup</v>
      </c>
      <c r="AD959" s="64" t="str">
        <f t="shared" si="157"/>
        <v>Dear PSW,
Your order is ready for pickup from Sample Branch, Wed-Fri 9am-4pm.</v>
      </c>
      <c r="AE959" s="64" t="str">
        <f t="shared" si="158"/>
        <v>mailto:firstname247.lastname247@example.com?subject=Supply%20order%20ready%20for%20pickup&amp;body=Dear%20PSW%2C%0A%0AYour%20order%20is%20ready%20for%20pickup%20from%20Sample%20Branch%2C%20Wed-Fri%209am-4pm.</v>
      </c>
      <c r="AF959" s="89" t="str">
        <f t="shared" si="167"/>
        <v>Draft email</v>
      </c>
      <c r="AG959" s="64" t="str">
        <f>IF($C959="","",IFERROR(INDEX('Staff Directory'!$K$595:$K$599,MATCH($C959,'Staff Directory'!$B$5:$B$599,0)),$D959))</f>
        <v>PSW</v>
      </c>
      <c r="AH959" t="str">
        <f>IF($C959="","",IFERROR(INDEX('Staff Directory'!$I$595:$I$599,MATCH($C959,'Staff Directory'!$B$5:$B$599,0))&amp;" "&amp;INDEX('Staff Directory'!$J$595:$J$599,MATCH($C959,'Staff Directory'!$B$5:$B$599,0)),$AG959))</f>
        <v>PSW</v>
      </c>
      <c r="AI959" s="102"/>
      <c r="AJ959" s="101">
        <f>IF($F959="","",SUMIFS($J$5:$J959,$F$5:$F959,$F959))</f>
        <v>120</v>
      </c>
      <c r="AK959" s="101">
        <f t="shared" si="159"/>
        <v>116</v>
      </c>
      <c r="AL959" s="66" t="str" cm="1">
        <f t="array" ref="AL959">IF($F959="","",IFERROR(INDEX('Lot Balance'!$B$5:$B$500,MATCH(1,INDEX(('Lot Balance'!$A$5:$A$500=$F959)*('Lot Balance'!$K$5:$K$500&lt;$AK959)*('Lot Balance'!$K$5:$K$500+'Lot Balance'!$D$5:$D$500&gt;=$AK959),0),0)),""))</f>
        <v>YG500280</v>
      </c>
      <c r="AM959" s="66" t="str" cm="1">
        <f t="array" ref="AM959">IF($F959="","",IFERROR(INDEX('Lot Balance'!$B$5:$B$500,MATCH(1,INDEX(('Lot Balance'!$A$5:$A$500=$F959)*('Lot Balance'!$K$5:$K$500&lt;$AJ959)*('Lot Balance'!$K$5:$K$500+'Lot Balance'!$D$5:$D$500&gt;=$AJ959),0),0)),""))</f>
        <v>YG500280</v>
      </c>
      <c r="AN959" s="66" t="str">
        <f>IF($F959="","",IF($AI959&lt;&gt;"",IF(COUNTIFS('Lot Balance'!$A$5:$A$500,$F959,'Lot Balance'!$B$5:$B$500,$AI959)=0,"⚠ override is not a lot of this item",IF($AI959=$AL959,"Override = FEFO","Override - FEFO says "&amp;$AL959)),IF($AL959="","⚠ no receipt on file for this item",IF($AM959&lt;&gt;$AL959,"FEFO auto - split, also "&amp;$AM959,"FEFO auto"))))</f>
        <v>FEFO auto</v>
      </c>
      <c r="AO959" s="114"/>
    </row>
    <row r="960" spans="1:41" x14ac:dyDescent="0.35">
      <c r="A960" s="74">
        <v>46174</v>
      </c>
      <c r="B960" s="18" t="str">
        <f>IF($C960="","",IFERROR(INDEX('Staff Directory'!$A$5:$A$594,MATCH($C960,'Staff Directory'!$B$5:$B$594,0)),"⚠ unknown staff"))</f>
        <v>PSW-184-TBD</v>
      </c>
      <c r="C960" s="49" t="s">
        <v>1163</v>
      </c>
      <c r="D960" s="19" t="str">
        <f>IF($B960="","",IFERROR(INDEX('Staff Directory'!$C$5:$C$594,MATCH($B960,'Staff Directory'!$A$5:$A$594,0)),""))</f>
        <v>PSW</v>
      </c>
      <c r="E960" s="19">
        <f>IF($B960="","",IFERROR(INDEX('Staff Directory'!$D$5:$D$594,MATCH($B960,'Staff Directory'!$A$5:$A$594,0)),""))</f>
        <v>0</v>
      </c>
      <c r="F960" s="9" t="s">
        <v>145</v>
      </c>
      <c r="G960" s="18" t="str">
        <f>IF($F960="","",IFERROR(INDEX(Items!$B$5:$B$597,MATCH($F960,Items!$A$5:$A$597,0)),"⚠ not in Items"))</f>
        <v>Apparel</v>
      </c>
      <c r="H960" s="19" t="str">
        <f>IF($F960="","",IFERROR(INDEX(Items!$C$5:$C$597,MATCH($F960,Items!$A$5:$A$597,0)),""))</f>
        <v>One Size</v>
      </c>
      <c r="I960" s="23">
        <f>IF($F960="","",IFERROR(INDEX(Items!$E$5:$E$597,MATCH($F960,Items!$A$5:$A$597,0)),""))</f>
        <v>5</v>
      </c>
      <c r="J960" s="115">
        <f>IF(tblIssues[[#This Row],[Qty Override]]&lt;&gt;"",tblIssues[[#This Row],[Qty Override]],IF(tblIssues[[#This Row],[Standard Issue]]="","",tblIssues[[#This Row],[Standard Issue]]))</f>
        <v>5</v>
      </c>
      <c r="K960" s="20">
        <f>IF($F960="","",IFERROR(INDEX(Items!$D$5:$D$597,MATCH($F960,Items!$A$5:$A$597,0)),""))</f>
        <v>3</v>
      </c>
      <c r="L960" s="21">
        <f t="shared" si="162"/>
        <v>15</v>
      </c>
      <c r="M960" s="9" t="str">
        <f t="shared" si="160"/>
        <v>WRB500270</v>
      </c>
      <c r="N960" s="24">
        <f>IF($A960="","",WORKDAY($A960,Settings!$C$9,HolidayDates))</f>
        <v>46182</v>
      </c>
      <c r="O960" s="24">
        <f>IF($N960="","",WORKDAY($N960,Settings!$C$10,HolidayDates))</f>
        <v>46220</v>
      </c>
      <c r="P960" s="10" t="s">
        <v>501</v>
      </c>
      <c r="Q960" s="52" t="str">
        <f t="shared" si="163"/>
        <v>Collected</v>
      </c>
      <c r="R960" s="55" t="str">
        <f t="shared" si="164"/>
        <v>2026-06</v>
      </c>
      <c r="S960" s="55">
        <f>IF(OR($B960="",$F960="",$R960=""),"",SUMIFS(tblIssues[Qty Issued],tblIssues[Staff ID],$B960,tblIssues[Item Name],$F960,tblIssues[Month],$R960))</f>
        <v>5</v>
      </c>
      <c r="T960" s="56">
        <f>IF($I960="","",$I960*Settings!$C$11)</f>
        <v>5</v>
      </c>
      <c r="U960" s="57" t="str">
        <f t="shared" si="161"/>
        <v>OK</v>
      </c>
      <c r="V960" s="55" t="str">
        <f t="shared" si="165"/>
        <v/>
      </c>
      <c r="W960" s="55" t="str">
        <f>IF($V960="","",IF(COUNTIF($V$5:$V960,$V960)=1,1,""))</f>
        <v/>
      </c>
      <c r="X960" s="58" t="str">
        <f>IF($W960="","",MAX($X$4:X959)+1)</f>
        <v/>
      </c>
      <c r="Y960" s="62"/>
      <c r="Z960" s="62"/>
      <c r="AA960" s="64" t="str">
        <f>IF($C960="","",IFERROR(INDEX('Staff Directory'!$E$5:$E$594,MATCH($C960,'Staff Directory'!$B$5:$B$594,0)),""))</f>
        <v>firstname247.lastname247@example.com</v>
      </c>
      <c r="AB960" s="64" t="str">
        <f>IF($C960="","",IF(ISNUMBER(SEARCH($D960,Settings!$C$15)),"Pickup","Dispatch"))</f>
        <v>Pickup</v>
      </c>
      <c r="AC960" s="64" t="str">
        <f t="shared" si="166"/>
        <v>Supply order ready for pickup</v>
      </c>
      <c r="AD960" s="64" t="str">
        <f t="shared" si="157"/>
        <v>Dear PSW,
Your order is ready for pickup from Sample Branch, Wed-Fri 9am-4pm.</v>
      </c>
      <c r="AE960" s="64" t="str">
        <f t="shared" si="158"/>
        <v>mailto:firstname247.lastname247@example.com?subject=Supply%20order%20ready%20for%20pickup&amp;body=Dear%20PSW%2C%0A%0AYour%20order%20is%20ready%20for%20pickup%20from%20Sample%20Branch%2C%20Wed-Fri%209am-4pm.</v>
      </c>
      <c r="AF960" s="89" t="str">
        <f t="shared" si="167"/>
        <v>Draft email</v>
      </c>
      <c r="AG960" s="64" t="str">
        <f>IF($C960="","",IFERROR(INDEX('Staff Directory'!$K$595:$K$599,MATCH($C960,'Staff Directory'!$B$5:$B$599,0)),$D960))</f>
        <v>PSW</v>
      </c>
      <c r="AH960" t="str">
        <f>IF($C960="","",IFERROR(INDEX('Staff Directory'!$I$595:$I$599,MATCH($C960,'Staff Directory'!$B$5:$B$599,0))&amp;" "&amp;INDEX('Staff Directory'!$J$595:$J$599,MATCH($C960,'Staff Directory'!$B$5:$B$599,0)),$AG960))</f>
        <v>PSW</v>
      </c>
      <c r="AI960" s="102"/>
      <c r="AJ960" s="101">
        <f>IF($F960="","",SUMIFS($J$5:$J960,$F$5:$F960,$F960))</f>
        <v>45</v>
      </c>
      <c r="AK960" s="101">
        <f t="shared" si="159"/>
        <v>41</v>
      </c>
      <c r="AL960" s="66" t="str" cm="1">
        <f t="array" ref="AL960">IF($F960="","",IFERROR(INDEX('Lot Balance'!$B$5:$B$500,MATCH(1,INDEX(('Lot Balance'!$A$5:$A$500=$F960)*('Lot Balance'!$K$5:$K$500&lt;$AK960)*('Lot Balance'!$K$5:$K$500+'Lot Balance'!$D$5:$D$500&gt;=$AK960),0),0)),""))</f>
        <v>WRB500270</v>
      </c>
      <c r="AM960" s="66" t="str" cm="1">
        <f t="array" ref="AM960">IF($F960="","",IFERROR(INDEX('Lot Balance'!$B$5:$B$500,MATCH(1,INDEX(('Lot Balance'!$A$5:$A$500=$F960)*('Lot Balance'!$K$5:$K$500&lt;$AJ960)*('Lot Balance'!$K$5:$K$500+'Lot Balance'!$D$5:$D$500&gt;=$AJ960),0),0)),""))</f>
        <v>WRB500270</v>
      </c>
      <c r="AN960" s="66" t="str">
        <f>IF($F960="","",IF($AI960&lt;&gt;"",IF(COUNTIFS('Lot Balance'!$A$5:$A$500,$F960,'Lot Balance'!$B$5:$B$500,$AI960)=0,"⚠ override is not a lot of this item",IF($AI960=$AL960,"Override = FEFO","Override - FEFO says "&amp;$AL960)),IF($AL960="","⚠ no receipt on file for this item",IF($AM960&lt;&gt;$AL960,"FEFO auto - split, also "&amp;$AM960,"FEFO auto"))))</f>
        <v>FEFO auto</v>
      </c>
      <c r="AO960" s="114"/>
    </row>
    <row r="961" spans="1:41" x14ac:dyDescent="0.35">
      <c r="A961" s="74">
        <v>46174</v>
      </c>
      <c r="B961" s="18" t="str">
        <f>IF($C961="","",IFERROR(INDEX('Staff Directory'!$A$5:$A$594,MATCH($C961,'Staff Directory'!$B$5:$B$594,0)),"⚠ unknown staff"))</f>
        <v>PSW-184-TBD</v>
      </c>
      <c r="C961" s="49" t="s">
        <v>1163</v>
      </c>
      <c r="D961" s="19" t="str">
        <f>IF($B961="","",IFERROR(INDEX('Staff Directory'!$C$5:$C$594,MATCH($B961,'Staff Directory'!$A$5:$A$594,0)),""))</f>
        <v>PSW</v>
      </c>
      <c r="E961" s="19">
        <f>IF($B961="","",IFERROR(INDEX('Staff Directory'!$D$5:$D$594,MATCH($B961,'Staff Directory'!$A$5:$A$594,0)),""))</f>
        <v>0</v>
      </c>
      <c r="F961" s="9" t="s">
        <v>144</v>
      </c>
      <c r="G961" s="18" t="str">
        <f>IF($F961="","",IFERROR(INDEX(Items!$B$5:$B$597,MATCH($F961,Items!$A$5:$A$597,0)),"⚠ not in Items"))</f>
        <v>IPAC</v>
      </c>
      <c r="H961" s="19" t="str">
        <f>IF($F961="","",IFERROR(INDEX(Items!$C$5:$C$597,MATCH($F961,Items!$A$5:$A$597,0)),""))</f>
        <v>One Size</v>
      </c>
      <c r="I961" s="23">
        <f>IF($F961="","",IFERROR(INDEX(Items!$E$5:$E$597,MATCH($F961,Items!$A$5:$A$597,0)),""))</f>
        <v>4</v>
      </c>
      <c r="J961" s="115">
        <f>IF(tblIssues[[#This Row],[Qty Override]]&lt;&gt;"",tblIssues[[#This Row],[Qty Override]],IF(tblIssues[[#This Row],[Standard Issue]]="","",tblIssues[[#This Row],[Standard Issue]]))</f>
        <v>4</v>
      </c>
      <c r="K961" s="20">
        <f>IF($F961="","",IFERROR(INDEX(Items!$D$5:$D$597,MATCH($F961,Items!$A$5:$A$597,0)),""))</f>
        <v>145.97999999999999</v>
      </c>
      <c r="L961" s="21">
        <f t="shared" si="162"/>
        <v>583.91999999999996</v>
      </c>
      <c r="M961" s="9" t="str">
        <f t="shared" si="160"/>
        <v/>
      </c>
      <c r="N961" s="24">
        <f>IF($A961="","",WORKDAY($A961,Settings!$C$9,HolidayDates))</f>
        <v>46182</v>
      </c>
      <c r="O961" s="24">
        <f>IF($N961="","",WORKDAY($N961,Settings!$C$10,HolidayDates))</f>
        <v>46220</v>
      </c>
      <c r="P961" s="10" t="s">
        <v>501</v>
      </c>
      <c r="Q961" s="52" t="str">
        <f t="shared" si="163"/>
        <v>Collected</v>
      </c>
      <c r="R961" s="55" t="str">
        <f t="shared" si="164"/>
        <v>2026-06</v>
      </c>
      <c r="S961" s="55">
        <f>IF(OR($B961="",$F961="",$R961=""),"",SUMIFS(tblIssues[Qty Issued],tblIssues[Staff ID],$B961,tblIssues[Item Name],$F961,tblIssues[Month],$R961))</f>
        <v>4</v>
      </c>
      <c r="T961" s="56">
        <f>IF($I961="","",$I961*Settings!$C$11)</f>
        <v>4</v>
      </c>
      <c r="U961" s="57" t="str">
        <f t="shared" si="161"/>
        <v>OK</v>
      </c>
      <c r="V961" s="55" t="str">
        <f t="shared" si="165"/>
        <v/>
      </c>
      <c r="W961" s="55" t="str">
        <f>IF($V961="","",IF(COUNTIF($V$5:$V961,$V961)=1,1,""))</f>
        <v/>
      </c>
      <c r="X961" s="58" t="str">
        <f>IF($W961="","",MAX($X$4:X960)+1)</f>
        <v/>
      </c>
      <c r="Y961" s="62"/>
      <c r="Z961" s="62"/>
      <c r="AA961" s="64" t="str">
        <f>IF($C961="","",IFERROR(INDEX('Staff Directory'!$E$5:$E$594,MATCH($C961,'Staff Directory'!$B$5:$B$594,0)),""))</f>
        <v>firstname247.lastname247@example.com</v>
      </c>
      <c r="AB961" s="64" t="str">
        <f>IF($C961="","",IF(ISNUMBER(SEARCH($D961,Settings!$C$15)),"Pickup","Dispatch"))</f>
        <v>Pickup</v>
      </c>
      <c r="AC961" s="64" t="str">
        <f t="shared" si="166"/>
        <v>Supply order ready for pickup</v>
      </c>
      <c r="AD961" s="64" t="str">
        <f t="shared" si="157"/>
        <v>Dear PSW,
Your order is ready for pickup from Sample Branch, Wed-Fri 9am-4pm.</v>
      </c>
      <c r="AE961" s="64" t="str">
        <f t="shared" si="158"/>
        <v>mailto:firstname247.lastname247@example.com?subject=Supply%20order%20ready%20for%20pickup&amp;body=Dear%20PSW%2C%0A%0AYour%20order%20is%20ready%20for%20pickup%20from%20Sample%20Branch%2C%20Wed-Fri%209am-4pm.</v>
      </c>
      <c r="AF961" s="89" t="str">
        <f t="shared" si="167"/>
        <v>Draft email</v>
      </c>
      <c r="AG961" s="64" t="str">
        <f>IF($C961="","",IFERROR(INDEX('Staff Directory'!$K$595:$K$599,MATCH($C961,'Staff Directory'!$B$5:$B$599,0)),$D961))</f>
        <v>PSW</v>
      </c>
      <c r="AH961" t="str">
        <f>IF($C961="","",IFERROR(INDEX('Staff Directory'!$I$595:$I$599,MATCH($C961,'Staff Directory'!$B$5:$B$599,0))&amp;" "&amp;INDEX('Staff Directory'!$J$595:$J$599,MATCH($C961,'Staff Directory'!$B$5:$B$599,0)),$AG961))</f>
        <v>PSW</v>
      </c>
      <c r="AI961" s="102"/>
      <c r="AJ961" s="101">
        <f>IF($F961="","",SUMIFS($J$5:$J961,$F$5:$F961,$F961))</f>
        <v>48</v>
      </c>
      <c r="AK961" s="101">
        <f t="shared" si="159"/>
        <v>45</v>
      </c>
      <c r="AL961" s="66" t="str" cm="1">
        <f t="array" ref="AL961">IF($F961="","",IFERROR(INDEX('Lot Balance'!$B$5:$B$500,MATCH(1,INDEX(('Lot Balance'!$A$5:$A$500=$F961)*('Lot Balance'!$K$5:$K$500&lt;$AK961)*('Lot Balance'!$K$5:$K$500+'Lot Balance'!$D$5:$D$500&gt;=$AK961),0),0)),""))</f>
        <v/>
      </c>
      <c r="AM961" s="66" t="str" cm="1">
        <f t="array" ref="AM961">IF($F961="","",IFERROR(INDEX('Lot Balance'!$B$5:$B$500,MATCH(1,INDEX(('Lot Balance'!$A$5:$A$500=$F961)*('Lot Balance'!$K$5:$K$500&lt;$AJ961)*('Lot Balance'!$K$5:$K$500+'Lot Balance'!$D$5:$D$500&gt;=$AJ961),0),0)),""))</f>
        <v/>
      </c>
      <c r="AN961" s="66" t="str">
        <f>IF($F961="","",IF($AI961&lt;&gt;"",IF(COUNTIFS('Lot Balance'!$A$5:$A$500,$F961,'Lot Balance'!$B$5:$B$500,$AI961)=0,"⚠ override is not a lot of this item",IF($AI961=$AL961,"Override = FEFO","Override - FEFO says "&amp;$AL961)),IF($AL961="","⚠ no receipt on file for this item",IF($AM961&lt;&gt;$AL961,"FEFO auto - split, also "&amp;$AM961,"FEFO auto"))))</f>
        <v>⚠ no receipt on file for this item</v>
      </c>
      <c r="AO961" s="114"/>
    </row>
    <row r="962" spans="1:41" x14ac:dyDescent="0.35">
      <c r="A962" s="74">
        <v>46174</v>
      </c>
      <c r="B962" s="18" t="str">
        <f>IF($C962="","",IFERROR(INDEX('Staff Directory'!$A$5:$A$594,MATCH($C962,'Staff Directory'!$B$5:$B$594,0)),"⚠ unknown staff"))</f>
        <v>PSW-184-TBD</v>
      </c>
      <c r="C962" s="49" t="s">
        <v>1163</v>
      </c>
      <c r="D962" s="19" t="str">
        <f>IF($B962="","",IFERROR(INDEX('Staff Directory'!$C$5:$C$594,MATCH($B962,'Staff Directory'!$A$5:$A$594,0)),""))</f>
        <v>PSW</v>
      </c>
      <c r="E962" s="19">
        <f>IF($B962="","",IFERROR(INDEX('Staff Directory'!$D$5:$D$594,MATCH($B962,'Staff Directory'!$A$5:$A$594,0)),""))</f>
        <v>0</v>
      </c>
      <c r="F962" s="9" t="s">
        <v>154</v>
      </c>
      <c r="G962" s="18" t="str">
        <f>IF($F962="","",IFERROR(INDEX(Items!$B$5:$B$597,MATCH($F962,Items!$A$5:$A$597,0)),"⚠ not in Items"))</f>
        <v>IPAC</v>
      </c>
      <c r="H962" s="19" t="str">
        <f>IF($F962="","",IFERROR(INDEX(Items!$C$5:$C$597,MATCH($F962,Items!$A$5:$A$597,0)),""))</f>
        <v>Regular</v>
      </c>
      <c r="I962" s="23">
        <f>IF($F962="","",IFERROR(INDEX(Items!$E$5:$E$597,MATCH($F962,Items!$A$5:$A$597,0)),""))</f>
        <v>50</v>
      </c>
      <c r="J962" s="115">
        <f>IF(tblIssues[[#This Row],[Qty Override]]&lt;&gt;"",tblIssues[[#This Row],[Qty Override]],IF(tblIssues[[#This Row],[Standard Issue]]="","",tblIssues[[#This Row],[Standard Issue]]))</f>
        <v>50</v>
      </c>
      <c r="K962" s="20">
        <f>IF($F962="","",IFERROR(INDEX(Items!$D$5:$D$597,MATCH($F962,Items!$A$5:$A$597,0)),""))</f>
        <v>0.2</v>
      </c>
      <c r="L962" s="21">
        <f t="shared" si="162"/>
        <v>10</v>
      </c>
      <c r="M962" s="9" t="str">
        <f t="shared" si="160"/>
        <v/>
      </c>
      <c r="N962" s="24">
        <f>IF($A962="","",WORKDAY($A962,Settings!$C$9,HolidayDates))</f>
        <v>46182</v>
      </c>
      <c r="O962" s="24">
        <f>IF($N962="","",WORKDAY($N962,Settings!$C$10,HolidayDates))</f>
        <v>46220</v>
      </c>
      <c r="P962" s="10" t="s">
        <v>501</v>
      </c>
      <c r="Q962" s="52" t="str">
        <f t="shared" si="163"/>
        <v>Collected</v>
      </c>
      <c r="R962" s="55" t="str">
        <f t="shared" si="164"/>
        <v>2026-06</v>
      </c>
      <c r="S962" s="55">
        <f>IF(OR($B962="",$F962="",$R962=""),"",SUMIFS(tblIssues[Qty Issued],tblIssues[Staff ID],$B962,tblIssues[Item Name],$F962,tblIssues[Month],$R962))</f>
        <v>50</v>
      </c>
      <c r="T962" s="56">
        <f>IF($I962="","",$I962*Settings!$C$11)</f>
        <v>50</v>
      </c>
      <c r="U962" s="57" t="str">
        <f t="shared" si="161"/>
        <v>OK</v>
      </c>
      <c r="V962" s="55" t="str">
        <f t="shared" si="165"/>
        <v/>
      </c>
      <c r="W962" s="55" t="str">
        <f>IF($V962="","",IF(COUNTIF($V$5:$V962,$V962)=1,1,""))</f>
        <v/>
      </c>
      <c r="X962" s="58" t="str">
        <f>IF($W962="","",MAX($X$4:X961)+1)</f>
        <v/>
      </c>
      <c r="Y962" s="62"/>
      <c r="Z962" s="62"/>
      <c r="AA962" s="64" t="str">
        <f>IF($C962="","",IFERROR(INDEX('Staff Directory'!$E$5:$E$594,MATCH($C962,'Staff Directory'!$B$5:$B$594,0)),""))</f>
        <v>firstname247.lastname247@example.com</v>
      </c>
      <c r="AB962" s="64" t="str">
        <f>IF($C962="","",IF(ISNUMBER(SEARCH($D962,Settings!$C$15)),"Pickup","Dispatch"))</f>
        <v>Pickup</v>
      </c>
      <c r="AC962" s="64" t="str">
        <f t="shared" si="166"/>
        <v>Supply order ready for pickup</v>
      </c>
      <c r="AD962" s="64" t="str">
        <f t="shared" si="157"/>
        <v>Dear PSW,
Your order is ready for pickup from Sample Branch, Wed-Fri 9am-4pm.</v>
      </c>
      <c r="AE962" s="64" t="str">
        <f t="shared" si="158"/>
        <v>mailto:firstname247.lastname247@example.com?subject=Supply%20order%20ready%20for%20pickup&amp;body=Dear%20PSW%2C%0A%0AYour%20order%20is%20ready%20for%20pickup%20from%20Sample%20Branch%2C%20Wed-Fri%209am-4pm.</v>
      </c>
      <c r="AF962" s="89" t="str">
        <f t="shared" si="167"/>
        <v>Draft email</v>
      </c>
      <c r="AG962" s="64" t="str">
        <f>IF($C962="","",IFERROR(INDEX('Staff Directory'!$K$595:$K$599,MATCH($C962,'Staff Directory'!$B$5:$B$599,0)),$D962))</f>
        <v>PSW</v>
      </c>
      <c r="AH962" t="str">
        <f>IF($C962="","",IFERROR(INDEX('Staff Directory'!$I$595:$I$599,MATCH($C962,'Staff Directory'!$B$5:$B$599,0))&amp;" "&amp;INDEX('Staff Directory'!$J$595:$J$599,MATCH($C962,'Staff Directory'!$B$5:$B$599,0)),$AG962))</f>
        <v>PSW</v>
      </c>
      <c r="AI962" s="102"/>
      <c r="AJ962" s="101">
        <f>IF($F962="","",SUMIFS($J$5:$J962,$F$5:$F962,$F962))</f>
        <v>1000</v>
      </c>
      <c r="AK962" s="101">
        <f t="shared" si="159"/>
        <v>951</v>
      </c>
      <c r="AL962" s="66" t="str" cm="1">
        <f t="array" ref="AL962">IF($F962="","",IFERROR(INDEX('Lot Balance'!$B$5:$B$500,MATCH(1,INDEX(('Lot Balance'!$A$5:$A$500=$F962)*('Lot Balance'!$K$5:$K$500&lt;$AK962)*('Lot Balance'!$K$5:$K$500+'Lot Balance'!$D$5:$D$500&gt;=$AK962),0),0)),""))</f>
        <v/>
      </c>
      <c r="AM962" s="66" t="str" cm="1">
        <f t="array" ref="AM962">IF($F962="","",IFERROR(INDEX('Lot Balance'!$B$5:$B$500,MATCH(1,INDEX(('Lot Balance'!$A$5:$A$500=$F962)*('Lot Balance'!$K$5:$K$500&lt;$AJ962)*('Lot Balance'!$K$5:$K$500+'Lot Balance'!$D$5:$D$500&gt;=$AJ962),0),0)),""))</f>
        <v/>
      </c>
      <c r="AN962" s="66" t="str">
        <f>IF($F962="","",IF($AI962&lt;&gt;"",IF(COUNTIFS('Lot Balance'!$A$5:$A$500,$F962,'Lot Balance'!$B$5:$B$500,$AI962)=0,"⚠ override is not a lot of this item",IF($AI962=$AL962,"Override = FEFO","Override - FEFO says "&amp;$AL962)),IF($AL962="","⚠ no receipt on file for this item",IF($AM962&lt;&gt;$AL962,"FEFO auto - split, also "&amp;$AM962,"FEFO auto"))))</f>
        <v>⚠ no receipt on file for this item</v>
      </c>
      <c r="AO962" s="114"/>
    </row>
    <row r="963" spans="1:41" x14ac:dyDescent="0.35">
      <c r="A963" s="74">
        <v>46174</v>
      </c>
      <c r="B963" s="18" t="str">
        <f>IF($C963="","",IFERROR(INDEX('Staff Directory'!$A$5:$A$594,MATCH($C963,'Staff Directory'!$B$5:$B$594,0)),"⚠ unknown staff"))</f>
        <v>PSW-184-TBD</v>
      </c>
      <c r="C963" s="49" t="s">
        <v>1163</v>
      </c>
      <c r="D963" s="19" t="str">
        <f>IF($B963="","",IFERROR(INDEX('Staff Directory'!$C$5:$C$594,MATCH($B963,'Staff Directory'!$A$5:$A$594,0)),""))</f>
        <v>PSW</v>
      </c>
      <c r="E963" s="19">
        <f>IF($B963="","",IFERROR(INDEX('Staff Directory'!$D$5:$D$594,MATCH($B963,'Staff Directory'!$A$5:$A$594,0)),""))</f>
        <v>0</v>
      </c>
      <c r="F963" s="9" t="s">
        <v>136</v>
      </c>
      <c r="G963" s="18" t="str">
        <f>IF($F963="","",IFERROR(INDEX(Items!$B$5:$B$597,MATCH($F963,Items!$A$5:$A$597,0)),"⚠ not in Items"))</f>
        <v>Eye Protection</v>
      </c>
      <c r="H963" s="19" t="str">
        <f>IF($F963="","",IFERROR(INDEX(Items!$C$5:$C$597,MATCH($F963,Items!$A$5:$A$597,0)),""))</f>
        <v>One Size</v>
      </c>
      <c r="I963" s="23">
        <f>IF($F963="","",IFERROR(INDEX(Items!$E$5:$E$597,MATCH($F963,Items!$A$5:$A$597,0)),""))</f>
        <v>1</v>
      </c>
      <c r="J963" s="115">
        <f>IF(tblIssues[[#This Row],[Qty Override]]&lt;&gt;"",tblIssues[[#This Row],[Qty Override]],IF(tblIssues[[#This Row],[Standard Issue]]="","",tblIssues[[#This Row],[Standard Issue]]))</f>
        <v>1</v>
      </c>
      <c r="K963" s="20">
        <f>IF($F963="","",IFERROR(INDEX(Items!$D$5:$D$597,MATCH($F963,Items!$A$5:$A$597,0)),""))</f>
        <v>10</v>
      </c>
      <c r="L963" s="21">
        <f t="shared" si="162"/>
        <v>10</v>
      </c>
      <c r="M963" s="9" t="str">
        <f t="shared" si="160"/>
        <v>GGL5003700</v>
      </c>
      <c r="N963" s="24">
        <f>IF($A963="","",WORKDAY($A963,Settings!$C$9,HolidayDates))</f>
        <v>46182</v>
      </c>
      <c r="O963" s="24">
        <f>IF($N963="","",WORKDAY($N963,Settings!$C$10,HolidayDates))</f>
        <v>46220</v>
      </c>
      <c r="P963" s="10" t="s">
        <v>501</v>
      </c>
      <c r="Q963" s="52" t="str">
        <f t="shared" si="163"/>
        <v>Collected</v>
      </c>
      <c r="R963" s="55" t="str">
        <f t="shared" si="164"/>
        <v>2026-06</v>
      </c>
      <c r="S963" s="55">
        <f>IF(OR($B963="",$F963="",$R963=""),"",SUMIFS(tblIssues[Qty Issued],tblIssues[Staff ID],$B963,tblIssues[Item Name],$F963,tblIssues[Month],$R963))</f>
        <v>1</v>
      </c>
      <c r="T963" s="56">
        <f>IF($I963="","",$I963*Settings!$C$11)</f>
        <v>1</v>
      </c>
      <c r="U963" s="57" t="str">
        <f t="shared" si="161"/>
        <v>OK</v>
      </c>
      <c r="V963" s="55" t="str">
        <f t="shared" si="165"/>
        <v/>
      </c>
      <c r="W963" s="55" t="str">
        <f>IF($V963="","",IF(COUNTIF($V$5:$V963,$V963)=1,1,""))</f>
        <v/>
      </c>
      <c r="X963" s="58" t="str">
        <f>IF($W963="","",MAX($X$4:X962)+1)</f>
        <v/>
      </c>
      <c r="Y963" s="62"/>
      <c r="Z963" s="62"/>
      <c r="AA963" s="64" t="str">
        <f>IF($C963="","",IFERROR(INDEX('Staff Directory'!$E$5:$E$594,MATCH($C963,'Staff Directory'!$B$5:$B$594,0)),""))</f>
        <v>firstname247.lastname247@example.com</v>
      </c>
      <c r="AB963" s="64" t="str">
        <f>IF($C963="","",IF(ISNUMBER(SEARCH($D963,Settings!$C$15)),"Pickup","Dispatch"))</f>
        <v>Pickup</v>
      </c>
      <c r="AC963" s="64" t="str">
        <f t="shared" si="166"/>
        <v>Supply order ready for pickup</v>
      </c>
      <c r="AD963" s="64" t="str">
        <f t="shared" si="157"/>
        <v>Dear PSW,
Your order is ready for pickup from Sample Branch, Wed-Fri 9am-4pm.</v>
      </c>
      <c r="AE963" s="64" t="str">
        <f t="shared" si="158"/>
        <v>mailto:firstname247.lastname247@example.com?subject=Supply%20order%20ready%20for%20pickup&amp;body=Dear%20PSW%2C%0A%0AYour%20order%20is%20ready%20for%20pickup%20from%20Sample%20Branch%2C%20Wed-Fri%209am-4pm.</v>
      </c>
      <c r="AF963" s="89" t="str">
        <f t="shared" si="167"/>
        <v>Draft email</v>
      </c>
      <c r="AG963" s="64" t="str">
        <f>IF($C963="","",IFERROR(INDEX('Staff Directory'!$K$595:$K$599,MATCH($C963,'Staff Directory'!$B$5:$B$599,0)),$D963))</f>
        <v>PSW</v>
      </c>
      <c r="AH963" t="str">
        <f>IF($C963="","",IFERROR(INDEX('Staff Directory'!$I$595:$I$599,MATCH($C963,'Staff Directory'!$B$5:$B$599,0))&amp;" "&amp;INDEX('Staff Directory'!$J$595:$J$599,MATCH($C963,'Staff Directory'!$B$5:$B$599,0)),$AG963))</f>
        <v>PSW</v>
      </c>
      <c r="AI963" s="102"/>
      <c r="AJ963" s="101">
        <f>IF($F963="","",SUMIFS($J$5:$J963,$F$5:$F963,$F963))</f>
        <v>9</v>
      </c>
      <c r="AK963" s="101">
        <f t="shared" si="159"/>
        <v>9</v>
      </c>
      <c r="AL963" s="66" t="str" cm="1">
        <f t="array" ref="AL963">IF($F963="","",IFERROR(INDEX('Lot Balance'!$B$5:$B$500,MATCH(1,INDEX(('Lot Balance'!$A$5:$A$500=$F963)*('Lot Balance'!$K$5:$K$500&lt;$AK963)*('Lot Balance'!$K$5:$K$500+'Lot Balance'!$D$5:$D$500&gt;=$AK963),0),0)),""))</f>
        <v>GGL5003700</v>
      </c>
      <c r="AM963" s="66" t="str" cm="1">
        <f t="array" ref="AM963">IF($F963="","",IFERROR(INDEX('Lot Balance'!$B$5:$B$500,MATCH(1,INDEX(('Lot Balance'!$A$5:$A$500=$F963)*('Lot Balance'!$K$5:$K$500&lt;$AJ963)*('Lot Balance'!$K$5:$K$500+'Lot Balance'!$D$5:$D$500&gt;=$AJ963),0),0)),""))</f>
        <v>GGL5003700</v>
      </c>
      <c r="AN963" s="66" t="str">
        <f>IF($F963="","",IF($AI963&lt;&gt;"",IF(COUNTIFS('Lot Balance'!$A$5:$A$500,$F963,'Lot Balance'!$B$5:$B$500,$AI963)=0,"⚠ override is not a lot of this item",IF($AI963=$AL963,"Override = FEFO","Override - FEFO says "&amp;$AL963)),IF($AL963="","⚠ no receipt on file for this item",IF($AM963&lt;&gt;$AL963,"FEFO auto - split, also "&amp;$AM963,"FEFO auto"))))</f>
        <v>FEFO auto</v>
      </c>
      <c r="AO963" s="114"/>
    </row>
    <row r="964" spans="1:41" x14ac:dyDescent="0.35">
      <c r="A964" s="74">
        <v>46174</v>
      </c>
      <c r="B964" s="18" t="str">
        <f>IF($C964="","",IFERROR(INDEX('Staff Directory'!$A$5:$A$594,MATCH($C964,'Staff Directory'!$B$5:$B$594,0)),"⚠ unknown staff"))</f>
        <v>PSW-184-TBD</v>
      </c>
      <c r="C964" s="49" t="s">
        <v>1163</v>
      </c>
      <c r="D964" s="19" t="str">
        <f>IF($B964="","",IFERROR(INDEX('Staff Directory'!$C$5:$C$594,MATCH($B964,'Staff Directory'!$A$5:$A$594,0)),""))</f>
        <v>PSW</v>
      </c>
      <c r="E964" s="19">
        <f>IF($B964="","",IFERROR(INDEX('Staff Directory'!$D$5:$D$594,MATCH($B964,'Staff Directory'!$A$5:$A$594,0)),""))</f>
        <v>0</v>
      </c>
      <c r="F964" s="9" t="s">
        <v>122</v>
      </c>
      <c r="G964" s="18" t="str">
        <f>IF($F964="","",IFERROR(INDEX(Items!$B$5:$B$597,MATCH($F964,Items!$A$5:$A$597,0)),"⚠ not in Items"))</f>
        <v>Eye Protection</v>
      </c>
      <c r="H964" s="19" t="str">
        <f>IF($F964="","",IFERROR(INDEX(Items!$C$5:$C$597,MATCH($F964,Items!$A$5:$A$597,0)),""))</f>
        <v>One Size</v>
      </c>
      <c r="I964" s="23">
        <f>IF($F964="","",IFERROR(INDEX(Items!$E$5:$E$597,MATCH($F964,Items!$A$5:$A$597,0)),""))</f>
        <v>1</v>
      </c>
      <c r="J964" s="115">
        <f>IF(tblIssues[[#This Row],[Qty Override]]&lt;&gt;"",tblIssues[[#This Row],[Qty Override]],IF(tblIssues[[#This Row],[Standard Issue]]="","",tblIssues[[#This Row],[Standard Issue]]))</f>
        <v>1</v>
      </c>
      <c r="K964" s="20">
        <f>IF($F964="","",IFERROR(INDEX(Items!$D$5:$D$597,MATCH($F964,Items!$A$5:$A$597,0)),""))</f>
        <v>7</v>
      </c>
      <c r="L964" s="21">
        <f t="shared" si="162"/>
        <v>7</v>
      </c>
      <c r="M964" s="9" t="str">
        <f t="shared" si="160"/>
        <v/>
      </c>
      <c r="N964" s="24">
        <f>IF($A964="","",WORKDAY($A964,Settings!$C$9,HolidayDates))</f>
        <v>46182</v>
      </c>
      <c r="O964" s="24">
        <f>IF($N964="","",WORKDAY($N964,Settings!$C$10,HolidayDates))</f>
        <v>46220</v>
      </c>
      <c r="P964" s="10" t="s">
        <v>501</v>
      </c>
      <c r="Q964" s="52" t="str">
        <f t="shared" si="163"/>
        <v>Collected</v>
      </c>
      <c r="R964" s="55" t="str">
        <f t="shared" si="164"/>
        <v>2026-06</v>
      </c>
      <c r="S964" s="55">
        <f>IF(OR($B964="",$F964="",$R964=""),"",SUMIFS(tblIssues[Qty Issued],tblIssues[Staff ID],$B964,tblIssues[Item Name],$F964,tblIssues[Month],$R964))</f>
        <v>1</v>
      </c>
      <c r="T964" s="56">
        <f>IF($I964="","",$I964*Settings!$C$11)</f>
        <v>1</v>
      </c>
      <c r="U964" s="57" t="str">
        <f t="shared" si="161"/>
        <v>OK</v>
      </c>
      <c r="V964" s="55" t="str">
        <f t="shared" si="165"/>
        <v/>
      </c>
      <c r="W964" s="55" t="str">
        <f>IF($V964="","",IF(COUNTIF($V$5:$V964,$V964)=1,1,""))</f>
        <v/>
      </c>
      <c r="X964" s="58" t="str">
        <f>IF($W964="","",MAX($X$4:X963)+1)</f>
        <v/>
      </c>
      <c r="Y964" s="62"/>
      <c r="Z964" s="62"/>
      <c r="AA964" s="64" t="str">
        <f>IF($C964="","",IFERROR(INDEX('Staff Directory'!$E$5:$E$594,MATCH($C964,'Staff Directory'!$B$5:$B$594,0)),""))</f>
        <v>firstname247.lastname247@example.com</v>
      </c>
      <c r="AB964" s="64" t="str">
        <f>IF($C964="","",IF(ISNUMBER(SEARCH($D964,Settings!$C$15)),"Pickup","Dispatch"))</f>
        <v>Pickup</v>
      </c>
      <c r="AC964" s="64" t="str">
        <f t="shared" si="166"/>
        <v>Supply order ready for pickup</v>
      </c>
      <c r="AD964" s="64" t="str">
        <f t="shared" si="157"/>
        <v>Dear PSW,
Your order is ready for pickup from Sample Branch, Wed-Fri 9am-4pm.</v>
      </c>
      <c r="AE964" s="64" t="str">
        <f t="shared" si="158"/>
        <v>mailto:firstname247.lastname247@example.com?subject=Supply%20order%20ready%20for%20pickup&amp;body=Dear%20PSW%2C%0A%0AYour%20order%20is%20ready%20for%20pickup%20from%20Sample%20Branch%2C%20Wed-Fri%209am-4pm.</v>
      </c>
      <c r="AF964" s="89" t="str">
        <f t="shared" si="167"/>
        <v>Draft email</v>
      </c>
      <c r="AG964" s="64" t="str">
        <f>IF($C964="","",IFERROR(INDEX('Staff Directory'!$K$595:$K$599,MATCH($C964,'Staff Directory'!$B$5:$B$599,0)),$D964))</f>
        <v>PSW</v>
      </c>
      <c r="AH964" t="str">
        <f>IF($C964="","",IFERROR(INDEX('Staff Directory'!$I$595:$I$599,MATCH($C964,'Staff Directory'!$B$5:$B$599,0))&amp;" "&amp;INDEX('Staff Directory'!$J$595:$J$599,MATCH($C964,'Staff Directory'!$B$5:$B$599,0)),$AG964))</f>
        <v>PSW</v>
      </c>
      <c r="AI964" s="102"/>
      <c r="AJ964" s="101">
        <f>IF($F964="","",SUMIFS($J$5:$J964,$F$5:$F964,$F964))</f>
        <v>10</v>
      </c>
      <c r="AK964" s="101">
        <f t="shared" si="159"/>
        <v>10</v>
      </c>
      <c r="AL964" s="66" t="str" cm="1">
        <f t="array" ref="AL964">IF($F964="","",IFERROR(INDEX('Lot Balance'!$B$5:$B$500,MATCH(1,INDEX(('Lot Balance'!$A$5:$A$500=$F964)*('Lot Balance'!$K$5:$K$500&lt;$AK964)*('Lot Balance'!$K$5:$K$500+'Lot Balance'!$D$5:$D$500&gt;=$AK964),0),0)),""))</f>
        <v/>
      </c>
      <c r="AM964" s="66" t="str" cm="1">
        <f t="array" ref="AM964">IF($F964="","",IFERROR(INDEX('Lot Balance'!$B$5:$B$500,MATCH(1,INDEX(('Lot Balance'!$A$5:$A$500=$F964)*('Lot Balance'!$K$5:$K$500&lt;$AJ964)*('Lot Balance'!$K$5:$K$500+'Lot Balance'!$D$5:$D$500&gt;=$AJ964),0),0)),""))</f>
        <v/>
      </c>
      <c r="AN964" s="66" t="str">
        <f>IF($F964="","",IF($AI964&lt;&gt;"",IF(COUNTIFS('Lot Balance'!$A$5:$A$500,$F964,'Lot Balance'!$B$5:$B$500,$AI964)=0,"⚠ override is not a lot of this item",IF($AI964=$AL964,"Override = FEFO","Override - FEFO says "&amp;$AL964)),IF($AL964="","⚠ no receipt on file for this item",IF($AM964&lt;&gt;$AL964,"FEFO auto - split, also "&amp;$AM964,"FEFO auto"))))</f>
        <v>⚠ no receipt on file for this item</v>
      </c>
      <c r="AO964" s="114"/>
    </row>
    <row r="965" spans="1:41" x14ac:dyDescent="0.35">
      <c r="A965" s="74">
        <v>46174</v>
      </c>
      <c r="B965" s="18" t="str">
        <f>IF($C965="","",IFERROR(INDEX('Staff Directory'!$A$5:$A$594,MATCH($C965,'Staff Directory'!$B$5:$B$594,0)),"⚠ unknown staff"))</f>
        <v>PSW-184-TBD</v>
      </c>
      <c r="C965" s="49" t="s">
        <v>1163</v>
      </c>
      <c r="D965" s="19" t="str">
        <f>IF($B965="","",IFERROR(INDEX('Staff Directory'!$C$5:$C$594,MATCH($B965,'Staff Directory'!$A$5:$A$594,0)),""))</f>
        <v>PSW</v>
      </c>
      <c r="E965" s="19">
        <f>IF($B965="","",IFERROR(INDEX('Staff Directory'!$D$5:$D$594,MATCH($B965,'Staff Directory'!$A$5:$A$594,0)),""))</f>
        <v>0</v>
      </c>
      <c r="F965" s="9" t="s">
        <v>150</v>
      </c>
      <c r="G965" s="18" t="str">
        <f>IF($F965="","",IFERROR(INDEX(Items!$B$5:$B$597,MATCH($F965,Items!$A$5:$A$597,0)),"⚠ not in Items"))</f>
        <v>Documents</v>
      </c>
      <c r="H965" s="19" t="str">
        <f>IF($F965="","",IFERROR(INDEX(Items!$C$5:$C$597,MATCH($F965,Items!$A$5:$A$597,0)),""))</f>
        <v>Standard</v>
      </c>
      <c r="I965" s="23">
        <f>IF($F965="","",IFERROR(INDEX(Items!$E$5:$E$597,MATCH($F965,Items!$A$5:$A$597,0)),""))</f>
        <v>1</v>
      </c>
      <c r="J965" s="115">
        <f>IF(tblIssues[[#This Row],[Qty Override]]&lt;&gt;"",tblIssues[[#This Row],[Qty Override]],IF(tblIssues[[#This Row],[Standard Issue]]="","",tblIssues[[#This Row],[Standard Issue]]))</f>
        <v>1</v>
      </c>
      <c r="K965" s="20">
        <f>IF($F965="","",IFERROR(INDEX(Items!$D$5:$D$597,MATCH($F965,Items!$A$5:$A$597,0)),""))</f>
        <v>0</v>
      </c>
      <c r="L965" s="21">
        <f t="shared" si="162"/>
        <v>0</v>
      </c>
      <c r="M965" s="9" t="str">
        <f t="shared" si="160"/>
        <v/>
      </c>
      <c r="N965" s="24">
        <f>IF($A965="","",WORKDAY($A965,Settings!$C$9,HolidayDates))</f>
        <v>46182</v>
      </c>
      <c r="O965" s="24">
        <f>IF($N965="","",WORKDAY($N965,Settings!$C$10,HolidayDates))</f>
        <v>46220</v>
      </c>
      <c r="P965" s="10" t="s">
        <v>501</v>
      </c>
      <c r="Q965" s="52" t="str">
        <f t="shared" si="163"/>
        <v>Collected</v>
      </c>
      <c r="R965" s="55" t="str">
        <f t="shared" si="164"/>
        <v>2026-06</v>
      </c>
      <c r="S965" s="55">
        <f>IF(OR($B965="",$F965="",$R965=""),"",SUMIFS(tblIssues[Qty Issued],tblIssues[Staff ID],$B965,tblIssues[Item Name],$F965,tblIssues[Month],$R965))</f>
        <v>1</v>
      </c>
      <c r="T965" s="56">
        <f>IF($I965="","",$I965*Settings!$C$11)</f>
        <v>1</v>
      </c>
      <c r="U965" s="57" t="str">
        <f t="shared" si="161"/>
        <v>OK</v>
      </c>
      <c r="V965" s="55" t="str">
        <f t="shared" si="165"/>
        <v/>
      </c>
      <c r="W965" s="55" t="str">
        <f>IF($V965="","",IF(COUNTIF($V$5:$V965,$V965)=1,1,""))</f>
        <v/>
      </c>
      <c r="X965" s="58" t="str">
        <f>IF($W965="","",MAX($X$4:X964)+1)</f>
        <v/>
      </c>
      <c r="Y965" s="62"/>
      <c r="Z965" s="62"/>
      <c r="AA965" s="64" t="str">
        <f>IF($C965="","",IFERROR(INDEX('Staff Directory'!$E$5:$E$594,MATCH($C965,'Staff Directory'!$B$5:$B$594,0)),""))</f>
        <v>firstname247.lastname247@example.com</v>
      </c>
      <c r="AB965" s="64" t="str">
        <f>IF($C965="","",IF(ISNUMBER(SEARCH($D965,Settings!$C$15)),"Pickup","Dispatch"))</f>
        <v>Pickup</v>
      </c>
      <c r="AC965" s="64" t="str">
        <f t="shared" si="166"/>
        <v>Supply order ready for pickup</v>
      </c>
      <c r="AD965" s="64" t="str">
        <f t="shared" ref="AD965:AD1028" si="168">IF($AB965="Pickup","Dear "&amp;$AH965&amp;","&amp;CHAR(10)&amp;CHAR(10)&amp;"Your order is ready for pickup from Sample Branch, Wed-Fri 9am-4pm.",IF($AB965="Dispatch","Dear "&amp;$AH965&amp;","&amp;CHAR(10)&amp;CHAR(10)&amp;"Your order has been dispatched and is in transit. Reply if undelivered.",""))</f>
        <v>Dear PSW,
Your order is ready for pickup from Sample Branch, Wed-Fri 9am-4pm.</v>
      </c>
      <c r="AE965" s="64" t="str">
        <f t="shared" ref="AE965:AE1028" si="169">IF(OR($AA965="",$AC965=""),"","mailto:"&amp;$AA965&amp;"?subject="&amp;_xlfn.ENCODEURL($AC965)&amp;"&amp;body="&amp;_xlfn.ENCODEURL($AD965))</f>
        <v>mailto:firstname247.lastname247@example.com?subject=Supply%20order%20ready%20for%20pickup&amp;body=Dear%20PSW%2C%0A%0AYour%20order%20is%20ready%20for%20pickup%20from%20Sample%20Branch%2C%20Wed-Fri%209am-4pm.</v>
      </c>
      <c r="AF965" s="89" t="str">
        <f t="shared" si="167"/>
        <v>Draft email</v>
      </c>
      <c r="AG965" s="64" t="str">
        <f>IF($C965="","",IFERROR(INDEX('Staff Directory'!$K$595:$K$599,MATCH($C965,'Staff Directory'!$B$5:$B$599,0)),$D965))</f>
        <v>PSW</v>
      </c>
      <c r="AH965" t="str">
        <f>IF($C965="","",IFERROR(INDEX('Staff Directory'!$I$595:$I$599,MATCH($C965,'Staff Directory'!$B$5:$B$599,0))&amp;" "&amp;INDEX('Staff Directory'!$J$595:$J$599,MATCH($C965,'Staff Directory'!$B$5:$B$599,0)),$AG965))</f>
        <v>PSW</v>
      </c>
      <c r="AI965" s="102"/>
      <c r="AJ965" s="101">
        <f>IF($F965="","",SUMIFS($J$5:$J965,$F$5:$F965,$F965))</f>
        <v>10</v>
      </c>
      <c r="AK965" s="101">
        <f t="shared" ref="AK965:AK1028" si="170">IF($F965="","",MAX(1,$AJ965-MAX($J965,0)+1))</f>
        <v>10</v>
      </c>
      <c r="AL965" s="66" t="str" cm="1">
        <f t="array" ref="AL965">IF($F965="","",IFERROR(INDEX('Lot Balance'!$B$5:$B$500,MATCH(1,INDEX(('Lot Balance'!$A$5:$A$500=$F965)*('Lot Balance'!$K$5:$K$500&lt;$AK965)*('Lot Balance'!$K$5:$K$500+'Lot Balance'!$D$5:$D$500&gt;=$AK965),0),0)),""))</f>
        <v/>
      </c>
      <c r="AM965" s="66" t="str" cm="1">
        <f t="array" ref="AM965">IF($F965="","",IFERROR(INDEX('Lot Balance'!$B$5:$B$500,MATCH(1,INDEX(('Lot Balance'!$A$5:$A$500=$F965)*('Lot Balance'!$K$5:$K$500&lt;$AJ965)*('Lot Balance'!$K$5:$K$500+'Lot Balance'!$D$5:$D$500&gt;=$AJ965),0),0)),""))</f>
        <v/>
      </c>
      <c r="AN965" s="66" t="str">
        <f>IF($F965="","",IF($AI965&lt;&gt;"",IF(COUNTIFS('Lot Balance'!$A$5:$A$500,$F965,'Lot Balance'!$B$5:$B$500,$AI965)=0,"⚠ override is not a lot of this item",IF($AI965=$AL965,"Override = FEFO","Override - FEFO says "&amp;$AL965)),IF($AL965="","⚠ no receipt on file for this item",IF($AM965&lt;&gt;$AL965,"FEFO auto - split, also "&amp;$AM965,"FEFO auto"))))</f>
        <v>⚠ no receipt on file for this item</v>
      </c>
      <c r="AO965" s="114"/>
    </row>
    <row r="966" spans="1:41" x14ac:dyDescent="0.35">
      <c r="A966" s="74">
        <v>46174</v>
      </c>
      <c r="B966" s="18" t="str">
        <f>IF($C966="","",IFERROR(INDEX('Staff Directory'!$A$5:$A$594,MATCH($C966,'Staff Directory'!$B$5:$B$594,0)),"⚠ unknown staff"))</f>
        <v>PSW-184-TBD</v>
      </c>
      <c r="C966" s="49" t="s">
        <v>1163</v>
      </c>
      <c r="D966" s="19" t="str">
        <f>IF($B966="","",IFERROR(INDEX('Staff Directory'!$C$5:$C$594,MATCH($B966,'Staff Directory'!$A$5:$A$594,0)),""))</f>
        <v>PSW</v>
      </c>
      <c r="E966" s="19">
        <f>IF($B966="","",IFERROR(INDEX('Staff Directory'!$D$5:$D$594,MATCH($B966,'Staff Directory'!$A$5:$A$594,0)),""))</f>
        <v>0</v>
      </c>
      <c r="F966" s="9" t="s">
        <v>755</v>
      </c>
      <c r="G966" s="18" t="str">
        <f>IF($F966="","",IFERROR(INDEX(Items!$B$5:$B$597,MATCH($F966,Items!$A$5:$A$597,0)),"⚠ not in Items"))</f>
        <v>Documents</v>
      </c>
      <c r="H966" s="19" t="str">
        <f>IF($F966="","",IFERROR(INDEX(Items!$C$5:$C$597,MATCH($F966,Items!$A$5:$A$597,0)),""))</f>
        <v>Standard</v>
      </c>
      <c r="I966" s="23">
        <f>IF($F966="","",IFERROR(INDEX(Items!$E$5:$E$597,MATCH($F966,Items!$A$5:$A$597,0)),""))</f>
        <v>2</v>
      </c>
      <c r="J966" s="115">
        <f>IF(tblIssues[[#This Row],[Qty Override]]&lt;&gt;"",tblIssues[[#This Row],[Qty Override]],IF(tblIssues[[#This Row],[Standard Issue]]="","",tblIssues[[#This Row],[Standard Issue]]))</f>
        <v>2</v>
      </c>
      <c r="K966" s="20">
        <f>IF($F966="","",IFERROR(INDEX(Items!$D$5:$D$597,MATCH($F966,Items!$A$5:$A$597,0)),""))</f>
        <v>0</v>
      </c>
      <c r="L966" s="21">
        <f t="shared" si="162"/>
        <v>0</v>
      </c>
      <c r="M966" s="9" t="str">
        <f t="shared" ref="M966:M1029" si="171">IF($F966="","",IF($AI966&lt;&gt;"",$AI966,$AL966))</f>
        <v/>
      </c>
      <c r="N966" s="24">
        <f>IF($A966="","",WORKDAY($A966,Settings!$C$9,HolidayDates))</f>
        <v>46182</v>
      </c>
      <c r="O966" s="24">
        <f>IF($N966="","",WORKDAY($N966,Settings!$C$10,HolidayDates))</f>
        <v>46220</v>
      </c>
      <c r="P966" s="10" t="s">
        <v>501</v>
      </c>
      <c r="Q966" s="52" t="str">
        <f t="shared" si="163"/>
        <v>Collected</v>
      </c>
      <c r="R966" s="55" t="str">
        <f t="shared" si="164"/>
        <v>2026-06</v>
      </c>
      <c r="S966" s="55">
        <f>IF(OR($B966="",$F966="",$R966=""),"",SUMIFS(tblIssues[Qty Issued],tblIssues[Staff ID],$B966,tblIssues[Item Name],$F966,tblIssues[Month],$R966))</f>
        <v>2</v>
      </c>
      <c r="T966" s="56">
        <f>IF($I966="","",$I966*Settings!$C$11)</f>
        <v>2</v>
      </c>
      <c r="U966" s="57" t="str">
        <f t="shared" ref="U966:U1029" si="172">IF(OR($S966="",$T966=""),"",IF($S966&gt;$T966,IF($Y966="Approved","APPROVED BY TL","⚠ OVER QUOTA"),"OK"))</f>
        <v>OK</v>
      </c>
      <c r="V966" s="55" t="str">
        <f t="shared" si="165"/>
        <v/>
      </c>
      <c r="W966" s="55" t="str">
        <f>IF($V966="","",IF(COUNTIF($V$5:$V966,$V966)=1,1,""))</f>
        <v/>
      </c>
      <c r="X966" s="58" t="str">
        <f>IF($W966="","",MAX($X$4:X965)+1)</f>
        <v/>
      </c>
      <c r="Y966" s="62"/>
      <c r="Z966" s="62"/>
      <c r="AA966" s="64" t="str">
        <f>IF($C966="","",IFERROR(INDEX('Staff Directory'!$E$5:$E$594,MATCH($C966,'Staff Directory'!$B$5:$B$594,0)),""))</f>
        <v>firstname247.lastname247@example.com</v>
      </c>
      <c r="AB966" s="64" t="str">
        <f>IF($C966="","",IF(ISNUMBER(SEARCH($D966,Settings!$C$15)),"Pickup","Dispatch"))</f>
        <v>Pickup</v>
      </c>
      <c r="AC966" s="64" t="str">
        <f t="shared" si="166"/>
        <v>Supply order ready for pickup</v>
      </c>
      <c r="AD966" s="64" t="str">
        <f t="shared" si="168"/>
        <v>Dear PSW,
Your order is ready for pickup from Sample Branch, Wed-Fri 9am-4pm.</v>
      </c>
      <c r="AE966" s="64" t="str">
        <f t="shared" si="169"/>
        <v>mailto:firstname247.lastname247@example.com?subject=Supply%20order%20ready%20for%20pickup&amp;body=Dear%20PSW%2C%0A%0AYour%20order%20is%20ready%20for%20pickup%20from%20Sample%20Branch%2C%20Wed-Fri%209am-4pm.</v>
      </c>
      <c r="AF966" s="89" t="str">
        <f t="shared" si="167"/>
        <v>Draft email</v>
      </c>
      <c r="AG966" s="64" t="str">
        <f>IF($C966="","",IFERROR(INDEX('Staff Directory'!$K$595:$K$599,MATCH($C966,'Staff Directory'!$B$5:$B$599,0)),$D966))</f>
        <v>PSW</v>
      </c>
      <c r="AH966" t="str">
        <f>IF($C966="","",IFERROR(INDEX('Staff Directory'!$I$595:$I$599,MATCH($C966,'Staff Directory'!$B$5:$B$599,0))&amp;" "&amp;INDEX('Staff Directory'!$J$595:$J$599,MATCH($C966,'Staff Directory'!$B$5:$B$599,0)),$AG966))</f>
        <v>PSW</v>
      </c>
      <c r="AI966" s="102"/>
      <c r="AJ966" s="101">
        <f>IF($F966="","",SUMIFS($J$5:$J966,$F$5:$F966,$F966))</f>
        <v>132</v>
      </c>
      <c r="AK966" s="101">
        <f t="shared" si="170"/>
        <v>131</v>
      </c>
      <c r="AL966" s="66" t="str" cm="1">
        <f t="array" ref="AL966">IF($F966="","",IFERROR(INDEX('Lot Balance'!$B$5:$B$500,MATCH(1,INDEX(('Lot Balance'!$A$5:$A$500=$F966)*('Lot Balance'!$K$5:$K$500&lt;$AK966)*('Lot Balance'!$K$5:$K$500+'Lot Balance'!$D$5:$D$500&gt;=$AK966),0),0)),""))</f>
        <v/>
      </c>
      <c r="AM966" s="66" t="str" cm="1">
        <f t="array" ref="AM966">IF($F966="","",IFERROR(INDEX('Lot Balance'!$B$5:$B$500,MATCH(1,INDEX(('Lot Balance'!$A$5:$A$500=$F966)*('Lot Balance'!$K$5:$K$500&lt;$AJ966)*('Lot Balance'!$K$5:$K$500+'Lot Balance'!$D$5:$D$500&gt;=$AJ966),0),0)),""))</f>
        <v/>
      </c>
      <c r="AN966" s="66" t="str">
        <f>IF($F966="","",IF($AI966&lt;&gt;"",IF(COUNTIFS('Lot Balance'!$A$5:$A$500,$F966,'Lot Balance'!$B$5:$B$500,$AI966)=0,"⚠ override is not a lot of this item",IF($AI966=$AL966,"Override = FEFO","Override - FEFO says "&amp;$AL966)),IF($AL966="","⚠ no receipt on file for this item",IF($AM966&lt;&gt;$AL966,"FEFO auto - split, also "&amp;$AM966,"FEFO auto"))))</f>
        <v>⚠ no receipt on file for this item</v>
      </c>
      <c r="AO966" s="114"/>
    </row>
    <row r="967" spans="1:41" x14ac:dyDescent="0.35">
      <c r="A967" s="74">
        <v>46174</v>
      </c>
      <c r="B967" s="18" t="str">
        <f>IF($C967="","",IFERROR(INDEX('Staff Directory'!$A$5:$A$594,MATCH($C967,'Staff Directory'!$B$5:$B$594,0)),"⚠ unknown staff"))</f>
        <v>PSW-185-TBD</v>
      </c>
      <c r="C967" s="49" t="s">
        <v>1164</v>
      </c>
      <c r="D967" s="19" t="str">
        <f>IF($B967="","",IFERROR(INDEX('Staff Directory'!$C$5:$C$594,MATCH($B967,'Staff Directory'!$A$5:$A$594,0)),""))</f>
        <v>PSW</v>
      </c>
      <c r="E967" s="19">
        <f>IF($B967="","",IFERROR(INDEX('Staff Directory'!$D$5:$D$594,MATCH($B967,'Staff Directory'!$A$5:$A$594,0)),""))</f>
        <v>0</v>
      </c>
      <c r="F967" s="9" t="s">
        <v>127</v>
      </c>
      <c r="G967" s="18" t="str">
        <f>IF($F967="","",IFERROR(INDEX(Items!$B$5:$B$597,MATCH($F967,Items!$A$5:$A$597,0)),"⚠ not in Items"))</f>
        <v>Gloves</v>
      </c>
      <c r="H967" s="19" t="str">
        <f>IF($F967="","",IFERROR(INDEX(Items!$C$5:$C$597,MATCH($F967,Items!$A$5:$A$597,0)),""))</f>
        <v>Medium</v>
      </c>
      <c r="I967" s="23">
        <f>IF($F967="","",IFERROR(INDEX(Items!$E$5:$E$597,MATCH($F967,Items!$A$5:$A$597,0)),""))</f>
        <v>500</v>
      </c>
      <c r="J967" s="115">
        <f>IF(tblIssues[[#This Row],[Qty Override]]&lt;&gt;"",tblIssues[[#This Row],[Qty Override]],IF(tblIssues[[#This Row],[Standard Issue]]="","",tblIssues[[#This Row],[Standard Issue]]))</f>
        <v>500</v>
      </c>
      <c r="K967" s="20">
        <f>IF($F967="","",IFERROR(INDEX(Items!$D$5:$D$597,MATCH($F967,Items!$A$5:$A$597,0)),""))</f>
        <v>5.5E-2</v>
      </c>
      <c r="L967" s="21">
        <f t="shared" si="162"/>
        <v>27.5</v>
      </c>
      <c r="M967" s="9" t="str">
        <f t="shared" si="171"/>
        <v>ZIM510329603</v>
      </c>
      <c r="N967" s="24">
        <f>IF($A967="","",WORKDAY($A967,Settings!$C$9,HolidayDates))</f>
        <v>46182</v>
      </c>
      <c r="O967" s="24">
        <f>IF($N967="","",WORKDAY($N967,Settings!$C$10,HolidayDates))</f>
        <v>46220</v>
      </c>
      <c r="P967" s="10" t="s">
        <v>501</v>
      </c>
      <c r="Q967" s="52" t="str">
        <f t="shared" si="163"/>
        <v>Collected</v>
      </c>
      <c r="R967" s="55" t="str">
        <f t="shared" si="164"/>
        <v>2026-06</v>
      </c>
      <c r="S967" s="55">
        <f>IF(OR($B967="",$F967="",$R967=""),"",SUMIFS(tblIssues[Qty Issued],tblIssues[Staff ID],$B967,tblIssues[Item Name],$F967,tblIssues[Month],$R967))</f>
        <v>500</v>
      </c>
      <c r="T967" s="56">
        <f>IF($I967="","",$I967*Settings!$C$11)</f>
        <v>500</v>
      </c>
      <c r="U967" s="57" t="str">
        <f t="shared" si="172"/>
        <v>OK</v>
      </c>
      <c r="V967" s="55" t="str">
        <f t="shared" si="165"/>
        <v/>
      </c>
      <c r="W967" s="55" t="str">
        <f>IF($V967="","",IF(COUNTIF($V$5:$V967,$V967)=1,1,""))</f>
        <v/>
      </c>
      <c r="X967" s="58" t="str">
        <f>IF($W967="","",MAX($X$4:X966)+1)</f>
        <v/>
      </c>
      <c r="Y967" s="62"/>
      <c r="Z967" s="62"/>
      <c r="AA967" s="64" t="str">
        <f>IF($C967="","",IFERROR(INDEX('Staff Directory'!$E$5:$E$594,MATCH($C967,'Staff Directory'!$B$5:$B$594,0)),""))</f>
        <v>firstname248.lastname248@example.com</v>
      </c>
      <c r="AB967" s="64" t="str">
        <f>IF($C967="","",IF(ISNUMBER(SEARCH($D967,Settings!$C$15)),"Pickup","Dispatch"))</f>
        <v>Pickup</v>
      </c>
      <c r="AC967" s="64" t="str">
        <f t="shared" si="166"/>
        <v>Supply order ready for pickup</v>
      </c>
      <c r="AD967" s="64" t="str">
        <f t="shared" si="168"/>
        <v>Dear PSW,
Your order is ready for pickup from Sample Branch, Wed-Fri 9am-4pm.</v>
      </c>
      <c r="AE967" s="64" t="str">
        <f t="shared" si="169"/>
        <v>mailto:firstname248.lastname248@example.com?subject=Supply%20order%20ready%20for%20pickup&amp;body=Dear%20PSW%2C%0A%0AYour%20order%20is%20ready%20for%20pickup%20from%20Sample%20Branch%2C%20Wed-Fri%209am-4pm.</v>
      </c>
      <c r="AF967" s="89" t="str">
        <f t="shared" si="167"/>
        <v>Draft email</v>
      </c>
      <c r="AG967" s="64" t="str">
        <f>IF($C967="","",IFERROR(INDEX('Staff Directory'!$K$595:$K$599,MATCH($C967,'Staff Directory'!$B$5:$B$599,0)),$D967))</f>
        <v>PSW</v>
      </c>
      <c r="AH967" t="str">
        <f>IF($C967="","",IFERROR(INDEX('Staff Directory'!$I$595:$I$599,MATCH($C967,'Staff Directory'!$B$5:$B$599,0))&amp;" "&amp;INDEX('Staff Directory'!$J$595:$J$599,MATCH($C967,'Staff Directory'!$B$5:$B$599,0)),$AG967))</f>
        <v>PSW</v>
      </c>
      <c r="AI967" s="102"/>
      <c r="AJ967" s="101">
        <f>IF($F967="","",SUMIFS($J$5:$J967,$F$5:$F967,$F967))</f>
        <v>54000</v>
      </c>
      <c r="AK967" s="101">
        <f t="shared" si="170"/>
        <v>53501</v>
      </c>
      <c r="AL967" s="66" t="str" cm="1">
        <f t="array" ref="AL967">IF($F967="","",IFERROR(INDEX('Lot Balance'!$B$5:$B$500,MATCH(1,INDEX(('Lot Balance'!$A$5:$A$500=$F967)*('Lot Balance'!$K$5:$K$500&lt;$AK967)*('Lot Balance'!$K$5:$K$500+'Lot Balance'!$D$5:$D$500&gt;=$AK967),0),0)),""))</f>
        <v>ZIM510329603</v>
      </c>
      <c r="AM967" s="66" t="str" cm="1">
        <f t="array" ref="AM967">IF($F967="","",IFERROR(INDEX('Lot Balance'!$B$5:$B$500,MATCH(1,INDEX(('Lot Balance'!$A$5:$A$500=$F967)*('Lot Balance'!$K$5:$K$500&lt;$AJ967)*('Lot Balance'!$K$5:$K$500+'Lot Balance'!$D$5:$D$500&gt;=$AJ967),0),0)),""))</f>
        <v>ZIM510329603</v>
      </c>
      <c r="AN967" s="66" t="str">
        <f>IF($F967="","",IF($AI967&lt;&gt;"",IF(COUNTIFS('Lot Balance'!$A$5:$A$500,$F967,'Lot Balance'!$B$5:$B$500,$AI967)=0,"⚠ override is not a lot of this item",IF($AI967=$AL967,"Override = FEFO","Override - FEFO says "&amp;$AL967)),IF($AL967="","⚠ no receipt on file for this item",IF($AM967&lt;&gt;$AL967,"FEFO auto - split, also "&amp;$AM967,"FEFO auto"))))</f>
        <v>FEFO auto</v>
      </c>
      <c r="AO967" s="114"/>
    </row>
    <row r="968" spans="1:41" x14ac:dyDescent="0.35">
      <c r="A968" s="74">
        <v>46174</v>
      </c>
      <c r="B968" s="18" t="str">
        <f>IF($C968="","",IFERROR(INDEX('Staff Directory'!$A$5:$A$594,MATCH($C968,'Staff Directory'!$B$5:$B$594,0)),"⚠ unknown staff"))</f>
        <v>PSW-185-TBD</v>
      </c>
      <c r="C968" s="49" t="s">
        <v>1164</v>
      </c>
      <c r="D968" s="19" t="str">
        <f>IF($B968="","",IFERROR(INDEX('Staff Directory'!$C$5:$C$594,MATCH($B968,'Staff Directory'!$A$5:$A$594,0)),""))</f>
        <v>PSW</v>
      </c>
      <c r="E968" s="19">
        <f>IF($B968="","",IFERROR(INDEX('Staff Directory'!$D$5:$D$594,MATCH($B968,'Staff Directory'!$A$5:$A$594,0)),""))</f>
        <v>0</v>
      </c>
      <c r="F968" s="9" t="s">
        <v>115</v>
      </c>
      <c r="G968" s="18" t="str">
        <f>IF($F968="","",IFERROR(INDEX(Items!$B$5:$B$597,MATCH($F968,Items!$A$5:$A$597,0)),"⚠ not in Items"))</f>
        <v>Wipes</v>
      </c>
      <c r="H968" s="19">
        <f>IF($F968="","",IFERROR(INDEX(Items!$C$5:$C$597,MATCH($F968,Items!$A$5:$A$597,0)),""))</f>
        <v>80</v>
      </c>
      <c r="I968" s="23">
        <f>IF($F968="","",IFERROR(INDEX(Items!$E$5:$E$597,MATCH($F968,Items!$A$5:$A$597,0)),""))</f>
        <v>80</v>
      </c>
      <c r="J968" s="115">
        <f>IF(tblIssues[[#This Row],[Qty Override]]&lt;&gt;"",tblIssues[[#This Row],[Qty Override]],IF(tblIssues[[#This Row],[Standard Issue]]="","",tblIssues[[#This Row],[Standard Issue]]))</f>
        <v>80</v>
      </c>
      <c r="K968" s="20">
        <f>IF($F968="","",IFERROR(INDEX(Items!$D$5:$D$597,MATCH($F968,Items!$A$5:$A$597,0)),""))</f>
        <v>0.1</v>
      </c>
      <c r="L968" s="21">
        <f t="shared" ref="L968:L1031" si="173">IF(OR($J968="",$K968=""),"",$J968*$K968)</f>
        <v>8</v>
      </c>
      <c r="M968" s="9" t="str">
        <f t="shared" si="171"/>
        <v>LYSL500290</v>
      </c>
      <c r="N968" s="24">
        <f>IF($A968="","",WORKDAY($A968,Settings!$C$9,HolidayDates))</f>
        <v>46182</v>
      </c>
      <c r="O968" s="24">
        <f>IF($N968="","",WORKDAY($N968,Settings!$C$10,HolidayDates))</f>
        <v>46220</v>
      </c>
      <c r="P968" s="10" t="s">
        <v>501</v>
      </c>
      <c r="Q968" s="52" t="str">
        <f t="shared" si="163"/>
        <v>Collected</v>
      </c>
      <c r="R968" s="55" t="str">
        <f t="shared" si="164"/>
        <v>2026-06</v>
      </c>
      <c r="S968" s="55">
        <f>IF(OR($B968="",$F968="",$R968=""),"",SUMIFS(tblIssues[Qty Issued],tblIssues[Staff ID],$B968,tblIssues[Item Name],$F968,tblIssues[Month],$R968))</f>
        <v>80</v>
      </c>
      <c r="T968" s="56">
        <f>IF($I968="","",$I968*Settings!$C$11)</f>
        <v>80</v>
      </c>
      <c r="U968" s="57" t="str">
        <f t="shared" si="172"/>
        <v>OK</v>
      </c>
      <c r="V968" s="55" t="str">
        <f t="shared" si="165"/>
        <v/>
      </c>
      <c r="W968" s="55" t="str">
        <f>IF($V968="","",IF(COUNTIF($V$5:$V968,$V968)=1,1,""))</f>
        <v/>
      </c>
      <c r="X968" s="58" t="str">
        <f>IF($W968="","",MAX($X$4:X967)+1)</f>
        <v/>
      </c>
      <c r="Y968" s="62"/>
      <c r="Z968" s="62"/>
      <c r="AA968" s="64" t="str">
        <f>IF($C968="","",IFERROR(INDEX('Staff Directory'!$E$5:$E$594,MATCH($C968,'Staff Directory'!$B$5:$B$594,0)),""))</f>
        <v>firstname248.lastname248@example.com</v>
      </c>
      <c r="AB968" s="64" t="str">
        <f>IF($C968="","",IF(ISNUMBER(SEARCH($D968,Settings!$C$15)),"Pickup","Dispatch"))</f>
        <v>Pickup</v>
      </c>
      <c r="AC968" s="64" t="str">
        <f t="shared" si="166"/>
        <v>Supply order ready for pickup</v>
      </c>
      <c r="AD968" s="64" t="str">
        <f t="shared" si="168"/>
        <v>Dear PSW,
Your order is ready for pickup from Sample Branch, Wed-Fri 9am-4pm.</v>
      </c>
      <c r="AE968" s="64" t="str">
        <f t="shared" si="169"/>
        <v>mailto:firstname248.lastname248@example.com?subject=Supply%20order%20ready%20for%20pickup&amp;body=Dear%20PSW%2C%0A%0AYour%20order%20is%20ready%20for%20pickup%20from%20Sample%20Branch%2C%20Wed-Fri%209am-4pm.</v>
      </c>
      <c r="AF968" s="89" t="str">
        <f t="shared" si="167"/>
        <v>Draft email</v>
      </c>
      <c r="AG968" s="64" t="str">
        <f>IF($C968="","",IFERROR(INDEX('Staff Directory'!$K$595:$K$599,MATCH($C968,'Staff Directory'!$B$5:$B$599,0)),$D968))</f>
        <v>PSW</v>
      </c>
      <c r="AH968" t="str">
        <f>IF($C968="","",IFERROR(INDEX('Staff Directory'!$I$595:$I$599,MATCH($C968,'Staff Directory'!$B$5:$B$599,0))&amp;" "&amp;INDEX('Staff Directory'!$J$595:$J$599,MATCH($C968,'Staff Directory'!$B$5:$B$599,0)),$AG968))</f>
        <v>PSW</v>
      </c>
      <c r="AI968" s="102"/>
      <c r="AJ968" s="101">
        <f>IF($F968="","",SUMIFS($J$5:$J968,$F$5:$F968,$F968))</f>
        <v>12720</v>
      </c>
      <c r="AK968" s="101">
        <f t="shared" si="170"/>
        <v>12641</v>
      </c>
      <c r="AL968" s="66" t="str" cm="1">
        <f t="array" ref="AL968">IF($F968="","",IFERROR(INDEX('Lot Balance'!$B$5:$B$500,MATCH(1,INDEX(('Lot Balance'!$A$5:$A$500=$F968)*('Lot Balance'!$K$5:$K$500&lt;$AK968)*('Lot Balance'!$K$5:$K$500+'Lot Balance'!$D$5:$D$500&gt;=$AK968),0),0)),""))</f>
        <v>LYSL500290</v>
      </c>
      <c r="AM968" s="66" t="str" cm="1">
        <f t="array" ref="AM968">IF($F968="","",IFERROR(INDEX('Lot Balance'!$B$5:$B$500,MATCH(1,INDEX(('Lot Balance'!$A$5:$A$500=$F968)*('Lot Balance'!$K$5:$K$500&lt;$AJ968)*('Lot Balance'!$K$5:$K$500+'Lot Balance'!$D$5:$D$500&gt;=$AJ968),0),0)),""))</f>
        <v>LYSL500290</v>
      </c>
      <c r="AN968" s="66" t="str">
        <f>IF($F968="","",IF($AI968&lt;&gt;"",IF(COUNTIFS('Lot Balance'!$A$5:$A$500,$F968,'Lot Balance'!$B$5:$B$500,$AI968)=0,"⚠ override is not a lot of this item",IF($AI968=$AL968,"Override = FEFO","Override - FEFO says "&amp;$AL968)),IF($AL968="","⚠ no receipt on file for this item",IF($AM968&lt;&gt;$AL968,"FEFO auto - split, also "&amp;$AM968,"FEFO auto"))))</f>
        <v>FEFO auto</v>
      </c>
      <c r="AO968" s="114"/>
    </row>
    <row r="969" spans="1:41" x14ac:dyDescent="0.35">
      <c r="A969" s="74">
        <v>46174</v>
      </c>
      <c r="B969" s="18" t="str">
        <f>IF($C969="","",IFERROR(INDEX('Staff Directory'!$A$5:$A$594,MATCH($C969,'Staff Directory'!$B$5:$B$594,0)),"⚠ unknown staff"))</f>
        <v>PSW-185-TBD</v>
      </c>
      <c r="C969" s="49" t="s">
        <v>1164</v>
      </c>
      <c r="D969" s="19" t="str">
        <f>IF($B969="","",IFERROR(INDEX('Staff Directory'!$C$5:$C$594,MATCH($B969,'Staff Directory'!$A$5:$A$594,0)),""))</f>
        <v>PSW</v>
      </c>
      <c r="E969" s="19">
        <f>IF($B969="","",IFERROR(INDEX('Staff Directory'!$D$5:$D$594,MATCH($B969,'Staff Directory'!$A$5:$A$594,0)),""))</f>
        <v>0</v>
      </c>
      <c r="F969" s="9" t="s">
        <v>106</v>
      </c>
      <c r="G969" s="18" t="str">
        <f>IF($F969="","",IFERROR(INDEX(Items!$B$5:$B$597,MATCH($F969,Items!$A$5:$A$597,0)),"⚠ not in Items"))</f>
        <v>Masks</v>
      </c>
      <c r="H969" s="19" t="str">
        <f>IF($F969="","",IFERROR(INDEX(Items!$C$5:$C$597,MATCH($F969,Items!$A$5:$A$597,0)),""))</f>
        <v>One Size</v>
      </c>
      <c r="I969" s="23">
        <f>IF($F969="","",IFERROR(INDEX(Items!$E$5:$E$597,MATCH($F969,Items!$A$5:$A$597,0)),""))</f>
        <v>5</v>
      </c>
      <c r="J969" s="115">
        <f>IF(tblIssues[[#This Row],[Qty Override]]&lt;&gt;"",tblIssues[[#This Row],[Qty Override]],IF(tblIssues[[#This Row],[Standard Issue]]="","",tblIssues[[#This Row],[Standard Issue]]))</f>
        <v>5</v>
      </c>
      <c r="K969" s="20">
        <f>IF($F969="","",IFERROR(INDEX(Items!$D$5:$D$597,MATCH($F969,Items!$A$5:$A$597,0)),""))</f>
        <v>1.45</v>
      </c>
      <c r="L969" s="21">
        <f t="shared" si="173"/>
        <v>7.25</v>
      </c>
      <c r="M969" s="9" t="str">
        <f t="shared" si="171"/>
        <v>N955003714</v>
      </c>
      <c r="N969" s="24">
        <f>IF($A969="","",WORKDAY($A969,Settings!$C$9,HolidayDates))</f>
        <v>46182</v>
      </c>
      <c r="O969" s="24">
        <f>IF($N969="","",WORKDAY($N969,Settings!$C$10,HolidayDates))</f>
        <v>46220</v>
      </c>
      <c r="P969" s="10" t="s">
        <v>501</v>
      </c>
      <c r="Q969" s="52" t="str">
        <f t="shared" si="163"/>
        <v>Collected</v>
      </c>
      <c r="R969" s="55" t="str">
        <f t="shared" si="164"/>
        <v>2026-06</v>
      </c>
      <c r="S969" s="55">
        <f>IF(OR($B969="",$F969="",$R969=""),"",SUMIFS(tblIssues[Qty Issued],tblIssues[Staff ID],$B969,tblIssues[Item Name],$F969,tblIssues[Month],$R969))</f>
        <v>5</v>
      </c>
      <c r="T969" s="56">
        <f>IF($I969="","",$I969*Settings!$C$11)</f>
        <v>5</v>
      </c>
      <c r="U969" s="57" t="str">
        <f t="shared" si="172"/>
        <v>OK</v>
      </c>
      <c r="V969" s="55" t="str">
        <f t="shared" si="165"/>
        <v/>
      </c>
      <c r="W969" s="55" t="str">
        <f>IF($V969="","",IF(COUNTIF($V$5:$V969,$V969)=1,1,""))</f>
        <v/>
      </c>
      <c r="X969" s="58" t="str">
        <f>IF($W969="","",MAX($X$4:X968)+1)</f>
        <v/>
      </c>
      <c r="Y969" s="62"/>
      <c r="Z969" s="62"/>
      <c r="AA969" s="64" t="str">
        <f>IF($C969="","",IFERROR(INDEX('Staff Directory'!$E$5:$E$594,MATCH($C969,'Staff Directory'!$B$5:$B$594,0)),""))</f>
        <v>firstname248.lastname248@example.com</v>
      </c>
      <c r="AB969" s="64" t="str">
        <f>IF($C969="","",IF(ISNUMBER(SEARCH($D969,Settings!$C$15)),"Pickup","Dispatch"))</f>
        <v>Pickup</v>
      </c>
      <c r="AC969" s="64" t="str">
        <f t="shared" si="166"/>
        <v>Supply order ready for pickup</v>
      </c>
      <c r="AD969" s="64" t="str">
        <f t="shared" si="168"/>
        <v>Dear PSW,
Your order is ready for pickup from Sample Branch, Wed-Fri 9am-4pm.</v>
      </c>
      <c r="AE969" s="64" t="str">
        <f t="shared" si="169"/>
        <v>mailto:firstname248.lastname248@example.com?subject=Supply%20order%20ready%20for%20pickup&amp;body=Dear%20PSW%2C%0A%0AYour%20order%20is%20ready%20for%20pickup%20from%20Sample%20Branch%2C%20Wed-Fri%209am-4pm.</v>
      </c>
      <c r="AF969" s="89" t="str">
        <f t="shared" si="167"/>
        <v>Draft email</v>
      </c>
      <c r="AG969" s="64" t="str">
        <f>IF($C969="","",IFERROR(INDEX('Staff Directory'!$K$595:$K$599,MATCH($C969,'Staff Directory'!$B$5:$B$599,0)),$D969))</f>
        <v>PSW</v>
      </c>
      <c r="AH969" t="str">
        <f>IF($C969="","",IFERROR(INDEX('Staff Directory'!$I$595:$I$599,MATCH($C969,'Staff Directory'!$B$5:$B$599,0))&amp;" "&amp;INDEX('Staff Directory'!$J$595:$J$599,MATCH($C969,'Staff Directory'!$B$5:$B$599,0)),$AG969))</f>
        <v>PSW</v>
      </c>
      <c r="AI969" s="102"/>
      <c r="AJ969" s="101">
        <f>IF($F969="","",SUMIFS($J$5:$J969,$F$5:$F969,$F969))</f>
        <v>15</v>
      </c>
      <c r="AK969" s="101">
        <f t="shared" si="170"/>
        <v>11</v>
      </c>
      <c r="AL969" s="66" t="str" cm="1">
        <f t="array" ref="AL969">IF($F969="","",IFERROR(INDEX('Lot Balance'!$B$5:$B$500,MATCH(1,INDEX(('Lot Balance'!$A$5:$A$500=$F969)*('Lot Balance'!$K$5:$K$500&lt;$AK969)*('Lot Balance'!$K$5:$K$500+'Lot Balance'!$D$5:$D$500&gt;=$AK969),0),0)),""))</f>
        <v>N955003714</v>
      </c>
      <c r="AM969" s="66" t="str" cm="1">
        <f t="array" ref="AM969">IF($F969="","",IFERROR(INDEX('Lot Balance'!$B$5:$B$500,MATCH(1,INDEX(('Lot Balance'!$A$5:$A$500=$F969)*('Lot Balance'!$K$5:$K$500&lt;$AJ969)*('Lot Balance'!$K$5:$K$500+'Lot Balance'!$D$5:$D$500&gt;=$AJ969),0),0)),""))</f>
        <v>N955003714</v>
      </c>
      <c r="AN969" s="66" t="str">
        <f>IF($F969="","",IF($AI969&lt;&gt;"",IF(COUNTIFS('Lot Balance'!$A$5:$A$500,$F969,'Lot Balance'!$B$5:$B$500,$AI969)=0,"⚠ override is not a lot of this item",IF($AI969=$AL969,"Override = FEFO","Override - FEFO says "&amp;$AL969)),IF($AL969="","⚠ no receipt on file for this item",IF($AM969&lt;&gt;$AL969,"FEFO auto - split, also "&amp;$AM969,"FEFO auto"))))</f>
        <v>FEFO auto</v>
      </c>
      <c r="AO969" s="114"/>
    </row>
    <row r="970" spans="1:41" x14ac:dyDescent="0.35">
      <c r="A970" s="74">
        <v>46174</v>
      </c>
      <c r="B970" s="18" t="str">
        <f>IF($C970="","",IFERROR(INDEX('Staff Directory'!$A$5:$A$594,MATCH($C970,'Staff Directory'!$B$5:$B$594,0)),"⚠ unknown staff"))</f>
        <v>PSW-185-TBD</v>
      </c>
      <c r="C970" s="49" t="s">
        <v>1164</v>
      </c>
      <c r="D970" s="19" t="str">
        <f>IF($B970="","",IFERROR(INDEX('Staff Directory'!$C$5:$C$594,MATCH($B970,'Staff Directory'!$A$5:$A$594,0)),""))</f>
        <v>PSW</v>
      </c>
      <c r="E970" s="19">
        <f>IF($B970="","",IFERROR(INDEX('Staff Directory'!$D$5:$D$594,MATCH($B970,'Staff Directory'!$A$5:$A$594,0)),""))</f>
        <v>0</v>
      </c>
      <c r="F970" s="9" t="s">
        <v>137</v>
      </c>
      <c r="G970" s="18" t="str">
        <f>IF($F970="","",IFERROR(INDEX(Items!$B$5:$B$597,MATCH($F970,Items!$A$5:$A$597,0)),"⚠ not in Items"))</f>
        <v>Sanitizer</v>
      </c>
      <c r="H970" s="19" t="str">
        <f>IF($F970="","",IFERROR(INDEX(Items!$C$5:$C$597,MATCH($F970,Items!$A$5:$A$597,0)),""))</f>
        <v>118 ML</v>
      </c>
      <c r="I970" s="23">
        <f>IF($F970="","",IFERROR(INDEX(Items!$E$5:$E$597,MATCH($F970,Items!$A$5:$A$597,0)),""))</f>
        <v>2</v>
      </c>
      <c r="J970" s="115">
        <f>IF(tblIssues[[#This Row],[Qty Override]]&lt;&gt;"",tblIssues[[#This Row],[Qty Override]],IF(tblIssues[[#This Row],[Standard Issue]]="","",tblIssues[[#This Row],[Standard Issue]]))</f>
        <v>2</v>
      </c>
      <c r="K970" s="20">
        <f>IF($F970="","",IFERROR(INDEX(Items!$D$5:$D$597,MATCH($F970,Items!$A$5:$A$597,0)),""))</f>
        <v>4.49</v>
      </c>
      <c r="L970" s="21">
        <f t="shared" si="173"/>
        <v>8.98</v>
      </c>
      <c r="M970" s="9" t="str">
        <f t="shared" si="171"/>
        <v>563963-7</v>
      </c>
      <c r="N970" s="24">
        <f>IF($A970="","",WORKDAY($A970,Settings!$C$9,HolidayDates))</f>
        <v>46182</v>
      </c>
      <c r="O970" s="24">
        <f>IF($N970="","",WORKDAY($N970,Settings!$C$10,HolidayDates))</f>
        <v>46220</v>
      </c>
      <c r="P970" s="10" t="s">
        <v>501</v>
      </c>
      <c r="Q970" s="52" t="str">
        <f t="shared" si="163"/>
        <v>Collected</v>
      </c>
      <c r="R970" s="55" t="str">
        <f t="shared" si="164"/>
        <v>2026-06</v>
      </c>
      <c r="S970" s="55">
        <f>IF(OR($B970="",$F970="",$R970=""),"",SUMIFS(tblIssues[Qty Issued],tblIssues[Staff ID],$B970,tblIssues[Item Name],$F970,tblIssues[Month],$R970))</f>
        <v>2</v>
      </c>
      <c r="T970" s="56">
        <f>IF($I970="","",$I970*Settings!$C$11)</f>
        <v>2</v>
      </c>
      <c r="U970" s="57" t="str">
        <f t="shared" si="172"/>
        <v>OK</v>
      </c>
      <c r="V970" s="55" t="str">
        <f t="shared" si="165"/>
        <v/>
      </c>
      <c r="W970" s="55" t="str">
        <f>IF($V970="","",IF(COUNTIF($V$5:$V970,$V970)=1,1,""))</f>
        <v/>
      </c>
      <c r="X970" s="58" t="str">
        <f>IF($W970="","",MAX($X$4:X969)+1)</f>
        <v/>
      </c>
      <c r="Y970" s="62"/>
      <c r="Z970" s="62"/>
      <c r="AA970" s="64" t="str">
        <f>IF($C970="","",IFERROR(INDEX('Staff Directory'!$E$5:$E$594,MATCH($C970,'Staff Directory'!$B$5:$B$594,0)),""))</f>
        <v>firstname248.lastname248@example.com</v>
      </c>
      <c r="AB970" s="64" t="str">
        <f>IF($C970="","",IF(ISNUMBER(SEARCH($D970,Settings!$C$15)),"Pickup","Dispatch"))</f>
        <v>Pickup</v>
      </c>
      <c r="AC970" s="64" t="str">
        <f t="shared" si="166"/>
        <v>Supply order ready for pickup</v>
      </c>
      <c r="AD970" s="64" t="str">
        <f t="shared" si="168"/>
        <v>Dear PSW,
Your order is ready for pickup from Sample Branch, Wed-Fri 9am-4pm.</v>
      </c>
      <c r="AE970" s="64" t="str">
        <f t="shared" si="169"/>
        <v>mailto:firstname248.lastname248@example.com?subject=Supply%20order%20ready%20for%20pickup&amp;body=Dear%20PSW%2C%0A%0AYour%20order%20is%20ready%20for%20pickup%20from%20Sample%20Branch%2C%20Wed-Fri%209am-4pm.</v>
      </c>
      <c r="AF970" s="89" t="str">
        <f t="shared" si="167"/>
        <v>Draft email</v>
      </c>
      <c r="AG970" s="64" t="str">
        <f>IF($C970="","",IFERROR(INDEX('Staff Directory'!$K$595:$K$599,MATCH($C970,'Staff Directory'!$B$5:$B$599,0)),$D970))</f>
        <v>PSW</v>
      </c>
      <c r="AH970" t="str">
        <f>IF($C970="","",IFERROR(INDEX('Staff Directory'!$I$595:$I$599,MATCH($C970,'Staff Directory'!$B$5:$B$599,0))&amp;" "&amp;INDEX('Staff Directory'!$J$595:$J$599,MATCH($C970,'Staff Directory'!$B$5:$B$599,0)),$AG970))</f>
        <v>PSW</v>
      </c>
      <c r="AI970" s="102"/>
      <c r="AJ970" s="101">
        <f>IF($F970="","",SUMIFS($J$5:$J970,$F$5:$F970,$F970))</f>
        <v>112</v>
      </c>
      <c r="AK970" s="101">
        <f t="shared" si="170"/>
        <v>111</v>
      </c>
      <c r="AL970" s="66" t="str" cm="1">
        <f t="array" ref="AL970">IF($F970="","",IFERROR(INDEX('Lot Balance'!$B$5:$B$500,MATCH(1,INDEX(('Lot Balance'!$A$5:$A$500=$F970)*('Lot Balance'!$K$5:$K$500&lt;$AK970)*('Lot Balance'!$K$5:$K$500+'Lot Balance'!$D$5:$D$500&gt;=$AK970),0),0)),""))</f>
        <v>563963-7</v>
      </c>
      <c r="AM970" s="66" t="str" cm="1">
        <f t="array" ref="AM970">IF($F970="","",IFERROR(INDEX('Lot Balance'!$B$5:$B$500,MATCH(1,INDEX(('Lot Balance'!$A$5:$A$500=$F970)*('Lot Balance'!$K$5:$K$500&lt;$AJ970)*('Lot Balance'!$K$5:$K$500+'Lot Balance'!$D$5:$D$500&gt;=$AJ970),0),0)),""))</f>
        <v>563963-7</v>
      </c>
      <c r="AN970" s="66" t="str">
        <f>IF($F970="","",IF($AI970&lt;&gt;"",IF(COUNTIFS('Lot Balance'!$A$5:$A$500,$F970,'Lot Balance'!$B$5:$B$500,$AI970)=0,"⚠ override is not a lot of this item",IF($AI970=$AL970,"Override = FEFO","Override - FEFO says "&amp;$AL970)),IF($AL970="","⚠ no receipt on file for this item",IF($AM970&lt;&gt;$AL970,"FEFO auto - split, also "&amp;$AM970,"FEFO auto"))))</f>
        <v>FEFO auto</v>
      </c>
      <c r="AO970" s="114"/>
    </row>
    <row r="971" spans="1:41" x14ac:dyDescent="0.35">
      <c r="A971" s="74">
        <v>46174</v>
      </c>
      <c r="B971" s="18" t="str">
        <f>IF($C971="","",IFERROR(INDEX('Staff Directory'!$A$5:$A$594,MATCH($C971,'Staff Directory'!$B$5:$B$594,0)),"⚠ unknown staff"))</f>
        <v>PSW-185-TBD</v>
      </c>
      <c r="C971" s="49" t="s">
        <v>1164</v>
      </c>
      <c r="D971" s="19" t="str">
        <f>IF($B971="","",IFERROR(INDEX('Staff Directory'!$C$5:$C$594,MATCH($B971,'Staff Directory'!$A$5:$A$594,0)),""))</f>
        <v>PSW</v>
      </c>
      <c r="E971" s="19">
        <f>IF($B971="","",IFERROR(INDEX('Staff Directory'!$D$5:$D$594,MATCH($B971,'Staff Directory'!$A$5:$A$594,0)),""))</f>
        <v>0</v>
      </c>
      <c r="F971" s="9" t="s">
        <v>147</v>
      </c>
      <c r="G971" s="18" t="str">
        <f>IF($F971="","",IFERROR(INDEX(Items!$B$5:$B$597,MATCH($F971,Items!$A$5:$A$597,0)),"⚠ not in Items"))</f>
        <v>Apparel</v>
      </c>
      <c r="H971" s="19" t="str">
        <f>IF($F971="","",IFERROR(INDEX(Items!$C$5:$C$597,MATCH($F971,Items!$A$5:$A$597,0)),""))</f>
        <v>One Size</v>
      </c>
      <c r="I971" s="23">
        <f>IF($F971="","",IFERROR(INDEX(Items!$E$5:$E$597,MATCH($F971,Items!$A$5:$A$597,0)),""))</f>
        <v>5</v>
      </c>
      <c r="J971" s="115">
        <f>IF(tblIssues[[#This Row],[Qty Override]]&lt;&gt;"",tblIssues[[#This Row],[Qty Override]],IF(tblIssues[[#This Row],[Standard Issue]]="","",tblIssues[[#This Row],[Standard Issue]]))</f>
        <v>5</v>
      </c>
      <c r="K971" s="20">
        <f>IF($F971="","",IFERROR(INDEX(Items!$D$5:$D$597,MATCH($F971,Items!$A$5:$A$597,0)),""))</f>
        <v>3</v>
      </c>
      <c r="L971" s="21">
        <f t="shared" si="173"/>
        <v>15</v>
      </c>
      <c r="M971" s="9" t="str">
        <f t="shared" si="171"/>
        <v>YG500280</v>
      </c>
      <c r="N971" s="24">
        <f>IF($A971="","",WORKDAY($A971,Settings!$C$9,HolidayDates))</f>
        <v>46182</v>
      </c>
      <c r="O971" s="24">
        <f>IF($N971="","",WORKDAY($N971,Settings!$C$10,HolidayDates))</f>
        <v>46220</v>
      </c>
      <c r="P971" s="10" t="s">
        <v>501</v>
      </c>
      <c r="Q971" s="52" t="str">
        <f t="shared" si="163"/>
        <v>Collected</v>
      </c>
      <c r="R971" s="55" t="str">
        <f t="shared" si="164"/>
        <v>2026-06</v>
      </c>
      <c r="S971" s="55">
        <f>IF(OR($B971="",$F971="",$R971=""),"",SUMIFS(tblIssues[Qty Issued],tblIssues[Staff ID],$B971,tblIssues[Item Name],$F971,tblIssues[Month],$R971))</f>
        <v>5</v>
      </c>
      <c r="T971" s="56">
        <f>IF($I971="","",$I971*Settings!$C$11)</f>
        <v>5</v>
      </c>
      <c r="U971" s="57" t="str">
        <f t="shared" si="172"/>
        <v>OK</v>
      </c>
      <c r="V971" s="55" t="str">
        <f t="shared" si="165"/>
        <v/>
      </c>
      <c r="W971" s="55" t="str">
        <f>IF($V971="","",IF(COUNTIF($V$5:$V971,$V971)=1,1,""))</f>
        <v/>
      </c>
      <c r="X971" s="58" t="str">
        <f>IF($W971="","",MAX($X$4:X970)+1)</f>
        <v/>
      </c>
      <c r="Y971" s="62"/>
      <c r="Z971" s="62"/>
      <c r="AA971" s="64" t="str">
        <f>IF($C971="","",IFERROR(INDEX('Staff Directory'!$E$5:$E$594,MATCH($C971,'Staff Directory'!$B$5:$B$594,0)),""))</f>
        <v>firstname248.lastname248@example.com</v>
      </c>
      <c r="AB971" s="64" t="str">
        <f>IF($C971="","",IF(ISNUMBER(SEARCH($D971,Settings!$C$15)),"Pickup","Dispatch"))</f>
        <v>Pickup</v>
      </c>
      <c r="AC971" s="64" t="str">
        <f t="shared" si="166"/>
        <v>Supply order ready for pickup</v>
      </c>
      <c r="AD971" s="64" t="str">
        <f t="shared" si="168"/>
        <v>Dear PSW,
Your order is ready for pickup from Sample Branch, Wed-Fri 9am-4pm.</v>
      </c>
      <c r="AE971" s="64" t="str">
        <f t="shared" si="169"/>
        <v>mailto:firstname248.lastname248@example.com?subject=Supply%20order%20ready%20for%20pickup&amp;body=Dear%20PSW%2C%0A%0AYour%20order%20is%20ready%20for%20pickup%20from%20Sample%20Branch%2C%20Wed-Fri%209am-4pm.</v>
      </c>
      <c r="AF971" s="89" t="str">
        <f t="shared" si="167"/>
        <v>Draft email</v>
      </c>
      <c r="AG971" s="64" t="str">
        <f>IF($C971="","",IFERROR(INDEX('Staff Directory'!$K$595:$K$599,MATCH($C971,'Staff Directory'!$B$5:$B$599,0)),$D971))</f>
        <v>PSW</v>
      </c>
      <c r="AH971" t="str">
        <f>IF($C971="","",IFERROR(INDEX('Staff Directory'!$I$595:$I$599,MATCH($C971,'Staff Directory'!$B$5:$B$599,0))&amp;" "&amp;INDEX('Staff Directory'!$J$595:$J$599,MATCH($C971,'Staff Directory'!$B$5:$B$599,0)),$AG971))</f>
        <v>PSW</v>
      </c>
      <c r="AI971" s="102"/>
      <c r="AJ971" s="101">
        <f>IF($F971="","",SUMIFS($J$5:$J971,$F$5:$F971,$F971))</f>
        <v>125</v>
      </c>
      <c r="AK971" s="101">
        <f t="shared" si="170"/>
        <v>121</v>
      </c>
      <c r="AL971" s="66" t="str" cm="1">
        <f t="array" ref="AL971">IF($F971="","",IFERROR(INDEX('Lot Balance'!$B$5:$B$500,MATCH(1,INDEX(('Lot Balance'!$A$5:$A$500=$F971)*('Lot Balance'!$K$5:$K$500&lt;$AK971)*('Lot Balance'!$K$5:$K$500+'Lot Balance'!$D$5:$D$500&gt;=$AK971),0),0)),""))</f>
        <v>YG500280</v>
      </c>
      <c r="AM971" s="66" t="str" cm="1">
        <f t="array" ref="AM971">IF($F971="","",IFERROR(INDEX('Lot Balance'!$B$5:$B$500,MATCH(1,INDEX(('Lot Balance'!$A$5:$A$500=$F971)*('Lot Balance'!$K$5:$K$500&lt;$AJ971)*('Lot Balance'!$K$5:$K$500+'Lot Balance'!$D$5:$D$500&gt;=$AJ971),0),0)),""))</f>
        <v>YG500280</v>
      </c>
      <c r="AN971" s="66" t="str">
        <f>IF($F971="","",IF($AI971&lt;&gt;"",IF(COUNTIFS('Lot Balance'!$A$5:$A$500,$F971,'Lot Balance'!$B$5:$B$500,$AI971)=0,"⚠ override is not a lot of this item",IF($AI971=$AL971,"Override = FEFO","Override - FEFO says "&amp;$AL971)),IF($AL971="","⚠ no receipt on file for this item",IF($AM971&lt;&gt;$AL971,"FEFO auto - split, also "&amp;$AM971,"FEFO auto"))))</f>
        <v>FEFO auto</v>
      </c>
      <c r="AO971" s="114"/>
    </row>
    <row r="972" spans="1:41" x14ac:dyDescent="0.35">
      <c r="A972" s="74">
        <v>46174</v>
      </c>
      <c r="B972" s="18" t="str">
        <f>IF($C972="","",IFERROR(INDEX('Staff Directory'!$A$5:$A$594,MATCH($C972,'Staff Directory'!$B$5:$B$594,0)),"⚠ unknown staff"))</f>
        <v>PSW-185-TBD</v>
      </c>
      <c r="C972" s="49" t="s">
        <v>1164</v>
      </c>
      <c r="D972" s="19" t="str">
        <f>IF($B972="","",IFERROR(INDEX('Staff Directory'!$C$5:$C$594,MATCH($B972,'Staff Directory'!$A$5:$A$594,0)),""))</f>
        <v>PSW</v>
      </c>
      <c r="E972" s="19">
        <f>IF($B972="","",IFERROR(INDEX('Staff Directory'!$D$5:$D$594,MATCH($B972,'Staff Directory'!$A$5:$A$594,0)),""))</f>
        <v>0</v>
      </c>
      <c r="F972" s="9" t="s">
        <v>145</v>
      </c>
      <c r="G972" s="18" t="str">
        <f>IF($F972="","",IFERROR(INDEX(Items!$B$5:$B$597,MATCH($F972,Items!$A$5:$A$597,0)),"⚠ not in Items"))</f>
        <v>Apparel</v>
      </c>
      <c r="H972" s="19" t="str">
        <f>IF($F972="","",IFERROR(INDEX(Items!$C$5:$C$597,MATCH($F972,Items!$A$5:$A$597,0)),""))</f>
        <v>One Size</v>
      </c>
      <c r="I972" s="23">
        <f>IF($F972="","",IFERROR(INDEX(Items!$E$5:$E$597,MATCH($F972,Items!$A$5:$A$597,0)),""))</f>
        <v>5</v>
      </c>
      <c r="J972" s="115">
        <f>IF(tblIssues[[#This Row],[Qty Override]]&lt;&gt;"",tblIssues[[#This Row],[Qty Override]],IF(tblIssues[[#This Row],[Standard Issue]]="","",tblIssues[[#This Row],[Standard Issue]]))</f>
        <v>5</v>
      </c>
      <c r="K972" s="20">
        <f>IF($F972="","",IFERROR(INDEX(Items!$D$5:$D$597,MATCH($F972,Items!$A$5:$A$597,0)),""))</f>
        <v>3</v>
      </c>
      <c r="L972" s="21">
        <f t="shared" si="173"/>
        <v>15</v>
      </c>
      <c r="M972" s="9" t="str">
        <f t="shared" si="171"/>
        <v>WRB500270</v>
      </c>
      <c r="N972" s="24">
        <f>IF($A972="","",WORKDAY($A972,Settings!$C$9,HolidayDates))</f>
        <v>46182</v>
      </c>
      <c r="O972" s="24">
        <f>IF($N972="","",WORKDAY($N972,Settings!$C$10,HolidayDates))</f>
        <v>46220</v>
      </c>
      <c r="P972" s="10" t="s">
        <v>501</v>
      </c>
      <c r="Q972" s="52" t="str">
        <f t="shared" si="163"/>
        <v>Collected</v>
      </c>
      <c r="R972" s="55" t="str">
        <f t="shared" si="164"/>
        <v>2026-06</v>
      </c>
      <c r="S972" s="55">
        <f>IF(OR($B972="",$F972="",$R972=""),"",SUMIFS(tblIssues[Qty Issued],tblIssues[Staff ID],$B972,tblIssues[Item Name],$F972,tblIssues[Month],$R972))</f>
        <v>5</v>
      </c>
      <c r="T972" s="56">
        <f>IF($I972="","",$I972*Settings!$C$11)</f>
        <v>5</v>
      </c>
      <c r="U972" s="57" t="str">
        <f t="shared" si="172"/>
        <v>OK</v>
      </c>
      <c r="V972" s="55" t="str">
        <f t="shared" si="165"/>
        <v/>
      </c>
      <c r="W972" s="55" t="str">
        <f>IF($V972="","",IF(COUNTIF($V$5:$V972,$V972)=1,1,""))</f>
        <v/>
      </c>
      <c r="X972" s="58" t="str">
        <f>IF($W972="","",MAX($X$4:X971)+1)</f>
        <v/>
      </c>
      <c r="Y972" s="62"/>
      <c r="Z972" s="62"/>
      <c r="AA972" s="64" t="str">
        <f>IF($C972="","",IFERROR(INDEX('Staff Directory'!$E$5:$E$594,MATCH($C972,'Staff Directory'!$B$5:$B$594,0)),""))</f>
        <v>firstname248.lastname248@example.com</v>
      </c>
      <c r="AB972" s="64" t="str">
        <f>IF($C972="","",IF(ISNUMBER(SEARCH($D972,Settings!$C$15)),"Pickup","Dispatch"))</f>
        <v>Pickup</v>
      </c>
      <c r="AC972" s="64" t="str">
        <f t="shared" si="166"/>
        <v>Supply order ready for pickup</v>
      </c>
      <c r="AD972" s="64" t="str">
        <f t="shared" si="168"/>
        <v>Dear PSW,
Your order is ready for pickup from Sample Branch, Wed-Fri 9am-4pm.</v>
      </c>
      <c r="AE972" s="64" t="str">
        <f t="shared" si="169"/>
        <v>mailto:firstname248.lastname248@example.com?subject=Supply%20order%20ready%20for%20pickup&amp;body=Dear%20PSW%2C%0A%0AYour%20order%20is%20ready%20for%20pickup%20from%20Sample%20Branch%2C%20Wed-Fri%209am-4pm.</v>
      </c>
      <c r="AF972" s="89" t="str">
        <f t="shared" si="167"/>
        <v>Draft email</v>
      </c>
      <c r="AG972" s="64" t="str">
        <f>IF($C972="","",IFERROR(INDEX('Staff Directory'!$K$595:$K$599,MATCH($C972,'Staff Directory'!$B$5:$B$599,0)),$D972))</f>
        <v>PSW</v>
      </c>
      <c r="AH972" t="str">
        <f>IF($C972="","",IFERROR(INDEX('Staff Directory'!$I$595:$I$599,MATCH($C972,'Staff Directory'!$B$5:$B$599,0))&amp;" "&amp;INDEX('Staff Directory'!$J$595:$J$599,MATCH($C972,'Staff Directory'!$B$5:$B$599,0)),$AG972))</f>
        <v>PSW</v>
      </c>
      <c r="AI972" s="102"/>
      <c r="AJ972" s="101">
        <f>IF($F972="","",SUMIFS($J$5:$J972,$F$5:$F972,$F972))</f>
        <v>50</v>
      </c>
      <c r="AK972" s="101">
        <f t="shared" si="170"/>
        <v>46</v>
      </c>
      <c r="AL972" s="66" t="str" cm="1">
        <f t="array" ref="AL972">IF($F972="","",IFERROR(INDEX('Lot Balance'!$B$5:$B$500,MATCH(1,INDEX(('Lot Balance'!$A$5:$A$500=$F972)*('Lot Balance'!$K$5:$K$500&lt;$AK972)*('Lot Balance'!$K$5:$K$500+'Lot Balance'!$D$5:$D$500&gt;=$AK972),0),0)),""))</f>
        <v>WRB500270</v>
      </c>
      <c r="AM972" s="66" t="str" cm="1">
        <f t="array" ref="AM972">IF($F972="","",IFERROR(INDEX('Lot Balance'!$B$5:$B$500,MATCH(1,INDEX(('Lot Balance'!$A$5:$A$500=$F972)*('Lot Balance'!$K$5:$K$500&lt;$AJ972)*('Lot Balance'!$K$5:$K$500+'Lot Balance'!$D$5:$D$500&gt;=$AJ972),0),0)),""))</f>
        <v>WRB500270</v>
      </c>
      <c r="AN972" s="66" t="str">
        <f>IF($F972="","",IF($AI972&lt;&gt;"",IF(COUNTIFS('Lot Balance'!$A$5:$A$500,$F972,'Lot Balance'!$B$5:$B$500,$AI972)=0,"⚠ override is not a lot of this item",IF($AI972=$AL972,"Override = FEFO","Override - FEFO says "&amp;$AL972)),IF($AL972="","⚠ no receipt on file for this item",IF($AM972&lt;&gt;$AL972,"FEFO auto - split, also "&amp;$AM972,"FEFO auto"))))</f>
        <v>FEFO auto</v>
      </c>
      <c r="AO972" s="114"/>
    </row>
    <row r="973" spans="1:41" x14ac:dyDescent="0.35">
      <c r="A973" s="74">
        <v>46174</v>
      </c>
      <c r="B973" s="18" t="str">
        <f>IF($C973="","",IFERROR(INDEX('Staff Directory'!$A$5:$A$594,MATCH($C973,'Staff Directory'!$B$5:$B$594,0)),"⚠ unknown staff"))</f>
        <v>PSW-185-TBD</v>
      </c>
      <c r="C973" s="49" t="s">
        <v>1164</v>
      </c>
      <c r="D973" s="19" t="str">
        <f>IF($B973="","",IFERROR(INDEX('Staff Directory'!$C$5:$C$594,MATCH($B973,'Staff Directory'!$A$5:$A$594,0)),""))</f>
        <v>PSW</v>
      </c>
      <c r="E973" s="19">
        <f>IF($B973="","",IFERROR(INDEX('Staff Directory'!$D$5:$D$594,MATCH($B973,'Staff Directory'!$A$5:$A$594,0)),""))</f>
        <v>0</v>
      </c>
      <c r="F973" s="9" t="s">
        <v>144</v>
      </c>
      <c r="G973" s="18" t="str">
        <f>IF($F973="","",IFERROR(INDEX(Items!$B$5:$B$597,MATCH($F973,Items!$A$5:$A$597,0)),"⚠ not in Items"))</f>
        <v>IPAC</v>
      </c>
      <c r="H973" s="19" t="str">
        <f>IF($F973="","",IFERROR(INDEX(Items!$C$5:$C$597,MATCH($F973,Items!$A$5:$A$597,0)),""))</f>
        <v>One Size</v>
      </c>
      <c r="I973" s="23">
        <f>IF($F973="","",IFERROR(INDEX(Items!$E$5:$E$597,MATCH($F973,Items!$A$5:$A$597,0)),""))</f>
        <v>4</v>
      </c>
      <c r="J973" s="115">
        <f>IF(tblIssues[[#This Row],[Qty Override]]&lt;&gt;"",tblIssues[[#This Row],[Qty Override]],IF(tblIssues[[#This Row],[Standard Issue]]="","",tblIssues[[#This Row],[Standard Issue]]))</f>
        <v>4</v>
      </c>
      <c r="K973" s="20">
        <f>IF($F973="","",IFERROR(INDEX(Items!$D$5:$D$597,MATCH($F973,Items!$A$5:$A$597,0)),""))</f>
        <v>145.97999999999999</v>
      </c>
      <c r="L973" s="21">
        <f t="shared" si="173"/>
        <v>583.91999999999996</v>
      </c>
      <c r="M973" s="9" t="str">
        <f t="shared" si="171"/>
        <v/>
      </c>
      <c r="N973" s="24">
        <f>IF($A973="","",WORKDAY($A973,Settings!$C$9,HolidayDates))</f>
        <v>46182</v>
      </c>
      <c r="O973" s="24">
        <f>IF($N973="","",WORKDAY($N973,Settings!$C$10,HolidayDates))</f>
        <v>46220</v>
      </c>
      <c r="P973" s="10" t="s">
        <v>501</v>
      </c>
      <c r="Q973" s="52" t="str">
        <f t="shared" si="163"/>
        <v>Collected</v>
      </c>
      <c r="R973" s="55" t="str">
        <f t="shared" si="164"/>
        <v>2026-06</v>
      </c>
      <c r="S973" s="55">
        <f>IF(OR($B973="",$F973="",$R973=""),"",SUMIFS(tblIssues[Qty Issued],tblIssues[Staff ID],$B973,tblIssues[Item Name],$F973,tblIssues[Month],$R973))</f>
        <v>4</v>
      </c>
      <c r="T973" s="56">
        <f>IF($I973="","",$I973*Settings!$C$11)</f>
        <v>4</v>
      </c>
      <c r="U973" s="57" t="str">
        <f t="shared" si="172"/>
        <v>OK</v>
      </c>
      <c r="V973" s="55" t="str">
        <f t="shared" si="165"/>
        <v/>
      </c>
      <c r="W973" s="55" t="str">
        <f>IF($V973="","",IF(COUNTIF($V$5:$V973,$V973)=1,1,""))</f>
        <v/>
      </c>
      <c r="X973" s="58" t="str">
        <f>IF($W973="","",MAX($X$4:X972)+1)</f>
        <v/>
      </c>
      <c r="Y973" s="62"/>
      <c r="Z973" s="62"/>
      <c r="AA973" s="64" t="str">
        <f>IF($C973="","",IFERROR(INDEX('Staff Directory'!$E$5:$E$594,MATCH($C973,'Staff Directory'!$B$5:$B$594,0)),""))</f>
        <v>firstname248.lastname248@example.com</v>
      </c>
      <c r="AB973" s="64" t="str">
        <f>IF($C973="","",IF(ISNUMBER(SEARCH($D973,Settings!$C$15)),"Pickup","Dispatch"))</f>
        <v>Pickup</v>
      </c>
      <c r="AC973" s="64" t="str">
        <f t="shared" si="166"/>
        <v>Supply order ready for pickup</v>
      </c>
      <c r="AD973" s="64" t="str">
        <f t="shared" si="168"/>
        <v>Dear PSW,
Your order is ready for pickup from Sample Branch, Wed-Fri 9am-4pm.</v>
      </c>
      <c r="AE973" s="64" t="str">
        <f t="shared" si="169"/>
        <v>mailto:firstname248.lastname248@example.com?subject=Supply%20order%20ready%20for%20pickup&amp;body=Dear%20PSW%2C%0A%0AYour%20order%20is%20ready%20for%20pickup%20from%20Sample%20Branch%2C%20Wed-Fri%209am-4pm.</v>
      </c>
      <c r="AF973" s="89" t="str">
        <f t="shared" si="167"/>
        <v>Draft email</v>
      </c>
      <c r="AG973" s="64" t="str">
        <f>IF($C973="","",IFERROR(INDEX('Staff Directory'!$K$595:$K$599,MATCH($C973,'Staff Directory'!$B$5:$B$599,0)),$D973))</f>
        <v>PSW</v>
      </c>
      <c r="AH973" t="str">
        <f>IF($C973="","",IFERROR(INDEX('Staff Directory'!$I$595:$I$599,MATCH($C973,'Staff Directory'!$B$5:$B$599,0))&amp;" "&amp;INDEX('Staff Directory'!$J$595:$J$599,MATCH($C973,'Staff Directory'!$B$5:$B$599,0)),$AG973))</f>
        <v>PSW</v>
      </c>
      <c r="AI973" s="102"/>
      <c r="AJ973" s="101">
        <f>IF($F973="","",SUMIFS($J$5:$J973,$F$5:$F973,$F973))</f>
        <v>52</v>
      </c>
      <c r="AK973" s="101">
        <f t="shared" si="170"/>
        <v>49</v>
      </c>
      <c r="AL973" s="66" t="str" cm="1">
        <f t="array" ref="AL973">IF($F973="","",IFERROR(INDEX('Lot Balance'!$B$5:$B$500,MATCH(1,INDEX(('Lot Balance'!$A$5:$A$500=$F973)*('Lot Balance'!$K$5:$K$500&lt;$AK973)*('Lot Balance'!$K$5:$K$500+'Lot Balance'!$D$5:$D$500&gt;=$AK973),0),0)),""))</f>
        <v/>
      </c>
      <c r="AM973" s="66" t="str" cm="1">
        <f t="array" ref="AM973">IF($F973="","",IFERROR(INDEX('Lot Balance'!$B$5:$B$500,MATCH(1,INDEX(('Lot Balance'!$A$5:$A$500=$F973)*('Lot Balance'!$K$5:$K$500&lt;$AJ973)*('Lot Balance'!$K$5:$K$500+'Lot Balance'!$D$5:$D$500&gt;=$AJ973),0),0)),""))</f>
        <v/>
      </c>
      <c r="AN973" s="66" t="str">
        <f>IF($F973="","",IF($AI973&lt;&gt;"",IF(COUNTIFS('Lot Balance'!$A$5:$A$500,$F973,'Lot Balance'!$B$5:$B$500,$AI973)=0,"⚠ override is not a lot of this item",IF($AI973=$AL973,"Override = FEFO","Override - FEFO says "&amp;$AL973)),IF($AL973="","⚠ no receipt on file for this item",IF($AM973&lt;&gt;$AL973,"FEFO auto - split, also "&amp;$AM973,"FEFO auto"))))</f>
        <v>⚠ no receipt on file for this item</v>
      </c>
      <c r="AO973" s="114"/>
    </row>
    <row r="974" spans="1:41" x14ac:dyDescent="0.35">
      <c r="A974" s="74">
        <v>46174</v>
      </c>
      <c r="B974" s="18" t="str">
        <f>IF($C974="","",IFERROR(INDEX('Staff Directory'!$A$5:$A$594,MATCH($C974,'Staff Directory'!$B$5:$B$594,0)),"⚠ unknown staff"))</f>
        <v>PSW-185-TBD</v>
      </c>
      <c r="C974" s="49" t="s">
        <v>1164</v>
      </c>
      <c r="D974" s="19" t="str">
        <f>IF($B974="","",IFERROR(INDEX('Staff Directory'!$C$5:$C$594,MATCH($B974,'Staff Directory'!$A$5:$A$594,0)),""))</f>
        <v>PSW</v>
      </c>
      <c r="E974" s="19">
        <f>IF($B974="","",IFERROR(INDEX('Staff Directory'!$D$5:$D$594,MATCH($B974,'Staff Directory'!$A$5:$A$594,0)),""))</f>
        <v>0</v>
      </c>
      <c r="F974" s="9" t="s">
        <v>154</v>
      </c>
      <c r="G974" s="18" t="str">
        <f>IF($F974="","",IFERROR(INDEX(Items!$B$5:$B$597,MATCH($F974,Items!$A$5:$A$597,0)),"⚠ not in Items"))</f>
        <v>IPAC</v>
      </c>
      <c r="H974" s="19" t="str">
        <f>IF($F974="","",IFERROR(INDEX(Items!$C$5:$C$597,MATCH($F974,Items!$A$5:$A$597,0)),""))</f>
        <v>Regular</v>
      </c>
      <c r="I974" s="23">
        <f>IF($F974="","",IFERROR(INDEX(Items!$E$5:$E$597,MATCH($F974,Items!$A$5:$A$597,0)),""))</f>
        <v>50</v>
      </c>
      <c r="J974" s="115">
        <f>IF(tblIssues[[#This Row],[Qty Override]]&lt;&gt;"",tblIssues[[#This Row],[Qty Override]],IF(tblIssues[[#This Row],[Standard Issue]]="","",tblIssues[[#This Row],[Standard Issue]]))</f>
        <v>50</v>
      </c>
      <c r="K974" s="20">
        <f>IF($F974="","",IFERROR(INDEX(Items!$D$5:$D$597,MATCH($F974,Items!$A$5:$A$597,0)),""))</f>
        <v>0.2</v>
      </c>
      <c r="L974" s="21">
        <f t="shared" si="173"/>
        <v>10</v>
      </c>
      <c r="M974" s="9" t="str">
        <f t="shared" si="171"/>
        <v/>
      </c>
      <c r="N974" s="24">
        <f>IF($A974="","",WORKDAY($A974,Settings!$C$9,HolidayDates))</f>
        <v>46182</v>
      </c>
      <c r="O974" s="24">
        <f>IF($N974="","",WORKDAY($N974,Settings!$C$10,HolidayDates))</f>
        <v>46220</v>
      </c>
      <c r="P974" s="10" t="s">
        <v>501</v>
      </c>
      <c r="Q974" s="52" t="str">
        <f t="shared" ref="Q974:Q1037" si="174">IF($A974="","",IF($P974&lt;&gt;"","Collected","Pending"))</f>
        <v>Collected</v>
      </c>
      <c r="R974" s="55" t="str">
        <f t="shared" ref="R974:R1037" si="175">IF($A974="","",TEXT($A974,"yyyy-mm"))</f>
        <v>2026-06</v>
      </c>
      <c r="S974" s="55">
        <f>IF(OR($B974="",$F974="",$R974=""),"",SUMIFS(tblIssues[Qty Issued],tblIssues[Staff ID],$B974,tblIssues[Item Name],$F974,tblIssues[Month],$R974))</f>
        <v>50</v>
      </c>
      <c r="T974" s="56">
        <f>IF($I974="","",$I974*Settings!$C$11)</f>
        <v>50</v>
      </c>
      <c r="U974" s="57" t="str">
        <f t="shared" si="172"/>
        <v>OK</v>
      </c>
      <c r="V974" s="55" t="str">
        <f t="shared" ref="V974:V1037" si="176">IF($U974="⚠ OVER QUOTA",$B974&amp;" | "&amp;$F974&amp;" | "&amp;$R974,"")</f>
        <v/>
      </c>
      <c r="W974" s="55" t="str">
        <f>IF($V974="","",IF(COUNTIF($V$5:$V974,$V974)=1,1,""))</f>
        <v/>
      </c>
      <c r="X974" s="58" t="str">
        <f>IF($W974="","",MAX($X$4:X973)+1)</f>
        <v/>
      </c>
      <c r="Y974" s="62"/>
      <c r="Z974" s="62"/>
      <c r="AA974" s="64" t="str">
        <f>IF($C974="","",IFERROR(INDEX('Staff Directory'!$E$5:$E$594,MATCH($C974,'Staff Directory'!$B$5:$B$594,0)),""))</f>
        <v>firstname248.lastname248@example.com</v>
      </c>
      <c r="AB974" s="64" t="str">
        <f>IF($C974="","",IF(ISNUMBER(SEARCH($D974,Settings!$C$15)),"Pickup","Dispatch"))</f>
        <v>Pickup</v>
      </c>
      <c r="AC974" s="64" t="str">
        <f t="shared" ref="AC974:AC1037" si="177">IF($AB974="Pickup","Supply order ready for pickup",IF($AB974="Dispatch","Supply order dispatched",""))</f>
        <v>Supply order ready for pickup</v>
      </c>
      <c r="AD974" s="64" t="str">
        <f t="shared" si="168"/>
        <v>Dear PSW,
Your order is ready for pickup from Sample Branch, Wed-Fri 9am-4pm.</v>
      </c>
      <c r="AE974" s="64" t="str">
        <f t="shared" si="169"/>
        <v>mailto:firstname248.lastname248@example.com?subject=Supply%20order%20ready%20for%20pickup&amp;body=Dear%20PSW%2C%0A%0AYour%20order%20is%20ready%20for%20pickup%20from%20Sample%20Branch%2C%20Wed-Fri%209am-4pm.</v>
      </c>
      <c r="AF974" s="89" t="str">
        <f t="shared" ref="AF974:AF1037" si="178">IF(AE974="","",HYPERLINK(AE974,"Draft email"))</f>
        <v>Draft email</v>
      </c>
      <c r="AG974" s="64" t="str">
        <f>IF($C974="","",IFERROR(INDEX('Staff Directory'!$K$595:$K$599,MATCH($C974,'Staff Directory'!$B$5:$B$599,0)),$D974))</f>
        <v>PSW</v>
      </c>
      <c r="AH974" t="str">
        <f>IF($C974="","",IFERROR(INDEX('Staff Directory'!$I$595:$I$599,MATCH($C974,'Staff Directory'!$B$5:$B$599,0))&amp;" "&amp;INDEX('Staff Directory'!$J$595:$J$599,MATCH($C974,'Staff Directory'!$B$5:$B$599,0)),$AG974))</f>
        <v>PSW</v>
      </c>
      <c r="AI974" s="102"/>
      <c r="AJ974" s="101">
        <f>IF($F974="","",SUMIFS($J$5:$J974,$F$5:$F974,$F974))</f>
        <v>1050</v>
      </c>
      <c r="AK974" s="101">
        <f t="shared" si="170"/>
        <v>1001</v>
      </c>
      <c r="AL974" s="66" t="str" cm="1">
        <f t="array" ref="AL974">IF($F974="","",IFERROR(INDEX('Lot Balance'!$B$5:$B$500,MATCH(1,INDEX(('Lot Balance'!$A$5:$A$500=$F974)*('Lot Balance'!$K$5:$K$500&lt;$AK974)*('Lot Balance'!$K$5:$K$500+'Lot Balance'!$D$5:$D$500&gt;=$AK974),0),0)),""))</f>
        <v/>
      </c>
      <c r="AM974" s="66" t="str" cm="1">
        <f t="array" ref="AM974">IF($F974="","",IFERROR(INDEX('Lot Balance'!$B$5:$B$500,MATCH(1,INDEX(('Lot Balance'!$A$5:$A$500=$F974)*('Lot Balance'!$K$5:$K$500&lt;$AJ974)*('Lot Balance'!$K$5:$K$500+'Lot Balance'!$D$5:$D$500&gt;=$AJ974),0),0)),""))</f>
        <v/>
      </c>
      <c r="AN974" s="66" t="str">
        <f>IF($F974="","",IF($AI974&lt;&gt;"",IF(COUNTIFS('Lot Balance'!$A$5:$A$500,$F974,'Lot Balance'!$B$5:$B$500,$AI974)=0,"⚠ override is not a lot of this item",IF($AI974=$AL974,"Override = FEFO","Override - FEFO says "&amp;$AL974)),IF($AL974="","⚠ no receipt on file for this item",IF($AM974&lt;&gt;$AL974,"FEFO auto - split, also "&amp;$AM974,"FEFO auto"))))</f>
        <v>⚠ no receipt on file for this item</v>
      </c>
      <c r="AO974" s="114"/>
    </row>
    <row r="975" spans="1:41" x14ac:dyDescent="0.35">
      <c r="A975" s="74">
        <v>46174</v>
      </c>
      <c r="B975" s="18" t="str">
        <f>IF($C975="","",IFERROR(INDEX('Staff Directory'!$A$5:$A$594,MATCH($C975,'Staff Directory'!$B$5:$B$594,0)),"⚠ unknown staff"))</f>
        <v>PSW-185-TBD</v>
      </c>
      <c r="C975" s="49" t="s">
        <v>1164</v>
      </c>
      <c r="D975" s="19" t="str">
        <f>IF($B975="","",IFERROR(INDEX('Staff Directory'!$C$5:$C$594,MATCH($B975,'Staff Directory'!$A$5:$A$594,0)),""))</f>
        <v>PSW</v>
      </c>
      <c r="E975" s="19">
        <f>IF($B975="","",IFERROR(INDEX('Staff Directory'!$D$5:$D$594,MATCH($B975,'Staff Directory'!$A$5:$A$594,0)),""))</f>
        <v>0</v>
      </c>
      <c r="F975" s="9" t="s">
        <v>136</v>
      </c>
      <c r="G975" s="18" t="str">
        <f>IF($F975="","",IFERROR(INDEX(Items!$B$5:$B$597,MATCH($F975,Items!$A$5:$A$597,0)),"⚠ not in Items"))</f>
        <v>Eye Protection</v>
      </c>
      <c r="H975" s="19" t="str">
        <f>IF($F975="","",IFERROR(INDEX(Items!$C$5:$C$597,MATCH($F975,Items!$A$5:$A$597,0)),""))</f>
        <v>One Size</v>
      </c>
      <c r="I975" s="23">
        <f>IF($F975="","",IFERROR(INDEX(Items!$E$5:$E$597,MATCH($F975,Items!$A$5:$A$597,0)),""))</f>
        <v>1</v>
      </c>
      <c r="J975" s="115">
        <f>IF(tblIssues[[#This Row],[Qty Override]]&lt;&gt;"",tblIssues[[#This Row],[Qty Override]],IF(tblIssues[[#This Row],[Standard Issue]]="","",tblIssues[[#This Row],[Standard Issue]]))</f>
        <v>1</v>
      </c>
      <c r="K975" s="20">
        <f>IF($F975="","",IFERROR(INDEX(Items!$D$5:$D$597,MATCH($F975,Items!$A$5:$A$597,0)),""))</f>
        <v>10</v>
      </c>
      <c r="L975" s="21">
        <f t="shared" si="173"/>
        <v>10</v>
      </c>
      <c r="M975" s="9" t="str">
        <f t="shared" si="171"/>
        <v>GGL5003700</v>
      </c>
      <c r="N975" s="24">
        <f>IF($A975="","",WORKDAY($A975,Settings!$C$9,HolidayDates))</f>
        <v>46182</v>
      </c>
      <c r="O975" s="24">
        <f>IF($N975="","",WORKDAY($N975,Settings!$C$10,HolidayDates))</f>
        <v>46220</v>
      </c>
      <c r="P975" s="10" t="s">
        <v>501</v>
      </c>
      <c r="Q975" s="52" t="str">
        <f t="shared" si="174"/>
        <v>Collected</v>
      </c>
      <c r="R975" s="55" t="str">
        <f t="shared" si="175"/>
        <v>2026-06</v>
      </c>
      <c r="S975" s="55">
        <f>IF(OR($B975="",$F975="",$R975=""),"",SUMIFS(tblIssues[Qty Issued],tblIssues[Staff ID],$B975,tblIssues[Item Name],$F975,tblIssues[Month],$R975))</f>
        <v>1</v>
      </c>
      <c r="T975" s="56">
        <f>IF($I975="","",$I975*Settings!$C$11)</f>
        <v>1</v>
      </c>
      <c r="U975" s="57" t="str">
        <f t="shared" si="172"/>
        <v>OK</v>
      </c>
      <c r="V975" s="55" t="str">
        <f t="shared" si="176"/>
        <v/>
      </c>
      <c r="W975" s="55" t="str">
        <f>IF($V975="","",IF(COUNTIF($V$5:$V975,$V975)=1,1,""))</f>
        <v/>
      </c>
      <c r="X975" s="58" t="str">
        <f>IF($W975="","",MAX($X$4:X974)+1)</f>
        <v/>
      </c>
      <c r="Y975" s="62"/>
      <c r="Z975" s="62"/>
      <c r="AA975" s="64" t="str">
        <f>IF($C975="","",IFERROR(INDEX('Staff Directory'!$E$5:$E$594,MATCH($C975,'Staff Directory'!$B$5:$B$594,0)),""))</f>
        <v>firstname248.lastname248@example.com</v>
      </c>
      <c r="AB975" s="64" t="str">
        <f>IF($C975="","",IF(ISNUMBER(SEARCH($D975,Settings!$C$15)),"Pickup","Dispatch"))</f>
        <v>Pickup</v>
      </c>
      <c r="AC975" s="64" t="str">
        <f t="shared" si="177"/>
        <v>Supply order ready for pickup</v>
      </c>
      <c r="AD975" s="64" t="str">
        <f t="shared" si="168"/>
        <v>Dear PSW,
Your order is ready for pickup from Sample Branch, Wed-Fri 9am-4pm.</v>
      </c>
      <c r="AE975" s="64" t="str">
        <f t="shared" si="169"/>
        <v>mailto:firstname248.lastname248@example.com?subject=Supply%20order%20ready%20for%20pickup&amp;body=Dear%20PSW%2C%0A%0AYour%20order%20is%20ready%20for%20pickup%20from%20Sample%20Branch%2C%20Wed-Fri%209am-4pm.</v>
      </c>
      <c r="AF975" s="89" t="str">
        <f t="shared" si="178"/>
        <v>Draft email</v>
      </c>
      <c r="AG975" s="64" t="str">
        <f>IF($C975="","",IFERROR(INDEX('Staff Directory'!$K$595:$K$599,MATCH($C975,'Staff Directory'!$B$5:$B$599,0)),$D975))</f>
        <v>PSW</v>
      </c>
      <c r="AH975" t="str">
        <f>IF($C975="","",IFERROR(INDEX('Staff Directory'!$I$595:$I$599,MATCH($C975,'Staff Directory'!$B$5:$B$599,0))&amp;" "&amp;INDEX('Staff Directory'!$J$595:$J$599,MATCH($C975,'Staff Directory'!$B$5:$B$599,0)),$AG975))</f>
        <v>PSW</v>
      </c>
      <c r="AI975" s="102"/>
      <c r="AJ975" s="101">
        <f>IF($F975="","",SUMIFS($J$5:$J975,$F$5:$F975,$F975))</f>
        <v>10</v>
      </c>
      <c r="AK975" s="101">
        <f t="shared" si="170"/>
        <v>10</v>
      </c>
      <c r="AL975" s="66" t="str" cm="1">
        <f t="array" ref="AL975">IF($F975="","",IFERROR(INDEX('Lot Balance'!$B$5:$B$500,MATCH(1,INDEX(('Lot Balance'!$A$5:$A$500=$F975)*('Lot Balance'!$K$5:$K$500&lt;$AK975)*('Lot Balance'!$K$5:$K$500+'Lot Balance'!$D$5:$D$500&gt;=$AK975),0),0)),""))</f>
        <v>GGL5003700</v>
      </c>
      <c r="AM975" s="66" t="str" cm="1">
        <f t="array" ref="AM975">IF($F975="","",IFERROR(INDEX('Lot Balance'!$B$5:$B$500,MATCH(1,INDEX(('Lot Balance'!$A$5:$A$500=$F975)*('Lot Balance'!$K$5:$K$500&lt;$AJ975)*('Lot Balance'!$K$5:$K$500+'Lot Balance'!$D$5:$D$500&gt;=$AJ975),0),0)),""))</f>
        <v>GGL5003700</v>
      </c>
      <c r="AN975" s="66" t="str">
        <f>IF($F975="","",IF($AI975&lt;&gt;"",IF(COUNTIFS('Lot Balance'!$A$5:$A$500,$F975,'Lot Balance'!$B$5:$B$500,$AI975)=0,"⚠ override is not a lot of this item",IF($AI975=$AL975,"Override = FEFO","Override - FEFO says "&amp;$AL975)),IF($AL975="","⚠ no receipt on file for this item",IF($AM975&lt;&gt;$AL975,"FEFO auto - split, also "&amp;$AM975,"FEFO auto"))))</f>
        <v>FEFO auto</v>
      </c>
      <c r="AO975" s="114"/>
    </row>
    <row r="976" spans="1:41" x14ac:dyDescent="0.35">
      <c r="A976" s="74">
        <v>46174</v>
      </c>
      <c r="B976" s="18" t="str">
        <f>IF($C976="","",IFERROR(INDEX('Staff Directory'!$A$5:$A$594,MATCH($C976,'Staff Directory'!$B$5:$B$594,0)),"⚠ unknown staff"))</f>
        <v>PSW-185-TBD</v>
      </c>
      <c r="C976" s="49" t="s">
        <v>1164</v>
      </c>
      <c r="D976" s="19" t="str">
        <f>IF($B976="","",IFERROR(INDEX('Staff Directory'!$C$5:$C$594,MATCH($B976,'Staff Directory'!$A$5:$A$594,0)),""))</f>
        <v>PSW</v>
      </c>
      <c r="E976" s="19">
        <f>IF($B976="","",IFERROR(INDEX('Staff Directory'!$D$5:$D$594,MATCH($B976,'Staff Directory'!$A$5:$A$594,0)),""))</f>
        <v>0</v>
      </c>
      <c r="F976" s="9" t="s">
        <v>122</v>
      </c>
      <c r="G976" s="18" t="str">
        <f>IF($F976="","",IFERROR(INDEX(Items!$B$5:$B$597,MATCH($F976,Items!$A$5:$A$597,0)),"⚠ not in Items"))</f>
        <v>Eye Protection</v>
      </c>
      <c r="H976" s="19" t="str">
        <f>IF($F976="","",IFERROR(INDEX(Items!$C$5:$C$597,MATCH($F976,Items!$A$5:$A$597,0)),""))</f>
        <v>One Size</v>
      </c>
      <c r="I976" s="23">
        <f>IF($F976="","",IFERROR(INDEX(Items!$E$5:$E$597,MATCH($F976,Items!$A$5:$A$597,0)),""))</f>
        <v>1</v>
      </c>
      <c r="J976" s="115">
        <f>IF(tblIssues[[#This Row],[Qty Override]]&lt;&gt;"",tblIssues[[#This Row],[Qty Override]],IF(tblIssues[[#This Row],[Standard Issue]]="","",tblIssues[[#This Row],[Standard Issue]]))</f>
        <v>1</v>
      </c>
      <c r="K976" s="20">
        <f>IF($F976="","",IFERROR(INDEX(Items!$D$5:$D$597,MATCH($F976,Items!$A$5:$A$597,0)),""))</f>
        <v>7</v>
      </c>
      <c r="L976" s="21">
        <f t="shared" si="173"/>
        <v>7</v>
      </c>
      <c r="M976" s="9" t="str">
        <f t="shared" si="171"/>
        <v/>
      </c>
      <c r="N976" s="24">
        <f>IF($A976="","",WORKDAY($A976,Settings!$C$9,HolidayDates))</f>
        <v>46182</v>
      </c>
      <c r="O976" s="24">
        <f>IF($N976="","",WORKDAY($N976,Settings!$C$10,HolidayDates))</f>
        <v>46220</v>
      </c>
      <c r="P976" s="10" t="s">
        <v>501</v>
      </c>
      <c r="Q976" s="52" t="str">
        <f t="shared" si="174"/>
        <v>Collected</v>
      </c>
      <c r="R976" s="55" t="str">
        <f t="shared" si="175"/>
        <v>2026-06</v>
      </c>
      <c r="S976" s="55">
        <f>IF(OR($B976="",$F976="",$R976=""),"",SUMIFS(tblIssues[Qty Issued],tblIssues[Staff ID],$B976,tblIssues[Item Name],$F976,tblIssues[Month],$R976))</f>
        <v>1</v>
      </c>
      <c r="T976" s="56">
        <f>IF($I976="","",$I976*Settings!$C$11)</f>
        <v>1</v>
      </c>
      <c r="U976" s="57" t="str">
        <f t="shared" si="172"/>
        <v>OK</v>
      </c>
      <c r="V976" s="55" t="str">
        <f t="shared" si="176"/>
        <v/>
      </c>
      <c r="W976" s="55" t="str">
        <f>IF($V976="","",IF(COUNTIF($V$5:$V976,$V976)=1,1,""))</f>
        <v/>
      </c>
      <c r="X976" s="58" t="str">
        <f>IF($W976="","",MAX($X$4:X975)+1)</f>
        <v/>
      </c>
      <c r="Y976" s="62"/>
      <c r="Z976" s="62"/>
      <c r="AA976" s="64" t="str">
        <f>IF($C976="","",IFERROR(INDEX('Staff Directory'!$E$5:$E$594,MATCH($C976,'Staff Directory'!$B$5:$B$594,0)),""))</f>
        <v>firstname248.lastname248@example.com</v>
      </c>
      <c r="AB976" s="64" t="str">
        <f>IF($C976="","",IF(ISNUMBER(SEARCH($D976,Settings!$C$15)),"Pickup","Dispatch"))</f>
        <v>Pickup</v>
      </c>
      <c r="AC976" s="64" t="str">
        <f t="shared" si="177"/>
        <v>Supply order ready for pickup</v>
      </c>
      <c r="AD976" s="64" t="str">
        <f t="shared" si="168"/>
        <v>Dear PSW,
Your order is ready for pickup from Sample Branch, Wed-Fri 9am-4pm.</v>
      </c>
      <c r="AE976" s="64" t="str">
        <f t="shared" si="169"/>
        <v>mailto:firstname248.lastname248@example.com?subject=Supply%20order%20ready%20for%20pickup&amp;body=Dear%20PSW%2C%0A%0AYour%20order%20is%20ready%20for%20pickup%20from%20Sample%20Branch%2C%20Wed-Fri%209am-4pm.</v>
      </c>
      <c r="AF976" s="89" t="str">
        <f t="shared" si="178"/>
        <v>Draft email</v>
      </c>
      <c r="AG976" s="64" t="str">
        <f>IF($C976="","",IFERROR(INDEX('Staff Directory'!$K$595:$K$599,MATCH($C976,'Staff Directory'!$B$5:$B$599,0)),$D976))</f>
        <v>PSW</v>
      </c>
      <c r="AH976" t="str">
        <f>IF($C976="","",IFERROR(INDEX('Staff Directory'!$I$595:$I$599,MATCH($C976,'Staff Directory'!$B$5:$B$599,0))&amp;" "&amp;INDEX('Staff Directory'!$J$595:$J$599,MATCH($C976,'Staff Directory'!$B$5:$B$599,0)),$AG976))</f>
        <v>PSW</v>
      </c>
      <c r="AI976" s="102"/>
      <c r="AJ976" s="101">
        <f>IF($F976="","",SUMIFS($J$5:$J976,$F$5:$F976,$F976))</f>
        <v>11</v>
      </c>
      <c r="AK976" s="101">
        <f t="shared" si="170"/>
        <v>11</v>
      </c>
      <c r="AL976" s="66" t="str" cm="1">
        <f t="array" ref="AL976">IF($F976="","",IFERROR(INDEX('Lot Balance'!$B$5:$B$500,MATCH(1,INDEX(('Lot Balance'!$A$5:$A$500=$F976)*('Lot Balance'!$K$5:$K$500&lt;$AK976)*('Lot Balance'!$K$5:$K$500+'Lot Balance'!$D$5:$D$500&gt;=$AK976),0),0)),""))</f>
        <v/>
      </c>
      <c r="AM976" s="66" t="str" cm="1">
        <f t="array" ref="AM976">IF($F976="","",IFERROR(INDEX('Lot Balance'!$B$5:$B$500,MATCH(1,INDEX(('Lot Balance'!$A$5:$A$500=$F976)*('Lot Balance'!$K$5:$K$500&lt;$AJ976)*('Lot Balance'!$K$5:$K$500+'Lot Balance'!$D$5:$D$500&gt;=$AJ976),0),0)),""))</f>
        <v/>
      </c>
      <c r="AN976" s="66" t="str">
        <f>IF($F976="","",IF($AI976&lt;&gt;"",IF(COUNTIFS('Lot Balance'!$A$5:$A$500,$F976,'Lot Balance'!$B$5:$B$500,$AI976)=0,"⚠ override is not a lot of this item",IF($AI976=$AL976,"Override = FEFO","Override - FEFO says "&amp;$AL976)),IF($AL976="","⚠ no receipt on file for this item",IF($AM976&lt;&gt;$AL976,"FEFO auto - split, also "&amp;$AM976,"FEFO auto"))))</f>
        <v>⚠ no receipt on file for this item</v>
      </c>
      <c r="AO976" s="114"/>
    </row>
    <row r="977" spans="1:41" x14ac:dyDescent="0.35">
      <c r="A977" s="74">
        <v>46174</v>
      </c>
      <c r="B977" s="18" t="str">
        <f>IF($C977="","",IFERROR(INDEX('Staff Directory'!$A$5:$A$594,MATCH($C977,'Staff Directory'!$B$5:$B$594,0)),"⚠ unknown staff"))</f>
        <v>PSW-185-TBD</v>
      </c>
      <c r="C977" s="49" t="s">
        <v>1164</v>
      </c>
      <c r="D977" s="19" t="str">
        <f>IF($B977="","",IFERROR(INDEX('Staff Directory'!$C$5:$C$594,MATCH($B977,'Staff Directory'!$A$5:$A$594,0)),""))</f>
        <v>PSW</v>
      </c>
      <c r="E977" s="19">
        <f>IF($B977="","",IFERROR(INDEX('Staff Directory'!$D$5:$D$594,MATCH($B977,'Staff Directory'!$A$5:$A$594,0)),""))</f>
        <v>0</v>
      </c>
      <c r="F977" s="9" t="s">
        <v>150</v>
      </c>
      <c r="G977" s="18" t="str">
        <f>IF($F977="","",IFERROR(INDEX(Items!$B$5:$B$597,MATCH($F977,Items!$A$5:$A$597,0)),"⚠ not in Items"))</f>
        <v>Documents</v>
      </c>
      <c r="H977" s="19" t="str">
        <f>IF($F977="","",IFERROR(INDEX(Items!$C$5:$C$597,MATCH($F977,Items!$A$5:$A$597,0)),""))</f>
        <v>Standard</v>
      </c>
      <c r="I977" s="23">
        <f>IF($F977="","",IFERROR(INDEX(Items!$E$5:$E$597,MATCH($F977,Items!$A$5:$A$597,0)),""))</f>
        <v>1</v>
      </c>
      <c r="J977" s="115">
        <f>IF(tblIssues[[#This Row],[Qty Override]]&lt;&gt;"",tblIssues[[#This Row],[Qty Override]],IF(tblIssues[[#This Row],[Standard Issue]]="","",tblIssues[[#This Row],[Standard Issue]]))</f>
        <v>1</v>
      </c>
      <c r="K977" s="20">
        <f>IF($F977="","",IFERROR(INDEX(Items!$D$5:$D$597,MATCH($F977,Items!$A$5:$A$597,0)),""))</f>
        <v>0</v>
      </c>
      <c r="L977" s="21">
        <f t="shared" si="173"/>
        <v>0</v>
      </c>
      <c r="M977" s="9" t="str">
        <f t="shared" si="171"/>
        <v/>
      </c>
      <c r="N977" s="24">
        <f>IF($A977="","",WORKDAY($A977,Settings!$C$9,HolidayDates))</f>
        <v>46182</v>
      </c>
      <c r="O977" s="24">
        <f>IF($N977="","",WORKDAY($N977,Settings!$C$10,HolidayDates))</f>
        <v>46220</v>
      </c>
      <c r="P977" s="10" t="s">
        <v>501</v>
      </c>
      <c r="Q977" s="52" t="str">
        <f t="shared" si="174"/>
        <v>Collected</v>
      </c>
      <c r="R977" s="55" t="str">
        <f t="shared" si="175"/>
        <v>2026-06</v>
      </c>
      <c r="S977" s="55">
        <f>IF(OR($B977="",$F977="",$R977=""),"",SUMIFS(tblIssues[Qty Issued],tblIssues[Staff ID],$B977,tblIssues[Item Name],$F977,tblIssues[Month],$R977))</f>
        <v>1</v>
      </c>
      <c r="T977" s="56">
        <f>IF($I977="","",$I977*Settings!$C$11)</f>
        <v>1</v>
      </c>
      <c r="U977" s="57" t="str">
        <f t="shared" si="172"/>
        <v>OK</v>
      </c>
      <c r="V977" s="55" t="str">
        <f t="shared" si="176"/>
        <v/>
      </c>
      <c r="W977" s="55" t="str">
        <f>IF($V977="","",IF(COUNTIF($V$5:$V977,$V977)=1,1,""))</f>
        <v/>
      </c>
      <c r="X977" s="58" t="str">
        <f>IF($W977="","",MAX($X$4:X976)+1)</f>
        <v/>
      </c>
      <c r="Y977" s="62"/>
      <c r="Z977" s="62"/>
      <c r="AA977" s="64" t="str">
        <f>IF($C977="","",IFERROR(INDEX('Staff Directory'!$E$5:$E$594,MATCH($C977,'Staff Directory'!$B$5:$B$594,0)),""))</f>
        <v>firstname248.lastname248@example.com</v>
      </c>
      <c r="AB977" s="64" t="str">
        <f>IF($C977="","",IF(ISNUMBER(SEARCH($D977,Settings!$C$15)),"Pickup","Dispatch"))</f>
        <v>Pickup</v>
      </c>
      <c r="AC977" s="64" t="str">
        <f t="shared" si="177"/>
        <v>Supply order ready for pickup</v>
      </c>
      <c r="AD977" s="64" t="str">
        <f t="shared" si="168"/>
        <v>Dear PSW,
Your order is ready for pickup from Sample Branch, Wed-Fri 9am-4pm.</v>
      </c>
      <c r="AE977" s="64" t="str">
        <f t="shared" si="169"/>
        <v>mailto:firstname248.lastname248@example.com?subject=Supply%20order%20ready%20for%20pickup&amp;body=Dear%20PSW%2C%0A%0AYour%20order%20is%20ready%20for%20pickup%20from%20Sample%20Branch%2C%20Wed-Fri%209am-4pm.</v>
      </c>
      <c r="AF977" s="89" t="str">
        <f t="shared" si="178"/>
        <v>Draft email</v>
      </c>
      <c r="AG977" s="64" t="str">
        <f>IF($C977="","",IFERROR(INDEX('Staff Directory'!$K$595:$K$599,MATCH($C977,'Staff Directory'!$B$5:$B$599,0)),$D977))</f>
        <v>PSW</v>
      </c>
      <c r="AH977" t="str">
        <f>IF($C977="","",IFERROR(INDEX('Staff Directory'!$I$595:$I$599,MATCH($C977,'Staff Directory'!$B$5:$B$599,0))&amp;" "&amp;INDEX('Staff Directory'!$J$595:$J$599,MATCH($C977,'Staff Directory'!$B$5:$B$599,0)),$AG977))</f>
        <v>PSW</v>
      </c>
      <c r="AI977" s="102"/>
      <c r="AJ977" s="101">
        <f>IF($F977="","",SUMIFS($J$5:$J977,$F$5:$F977,$F977))</f>
        <v>11</v>
      </c>
      <c r="AK977" s="101">
        <f t="shared" si="170"/>
        <v>11</v>
      </c>
      <c r="AL977" s="66" t="str" cm="1">
        <f t="array" ref="AL977">IF($F977="","",IFERROR(INDEX('Lot Balance'!$B$5:$B$500,MATCH(1,INDEX(('Lot Balance'!$A$5:$A$500=$F977)*('Lot Balance'!$K$5:$K$500&lt;$AK977)*('Lot Balance'!$K$5:$K$500+'Lot Balance'!$D$5:$D$500&gt;=$AK977),0),0)),""))</f>
        <v/>
      </c>
      <c r="AM977" s="66" t="str" cm="1">
        <f t="array" ref="AM977">IF($F977="","",IFERROR(INDEX('Lot Balance'!$B$5:$B$500,MATCH(1,INDEX(('Lot Balance'!$A$5:$A$500=$F977)*('Lot Balance'!$K$5:$K$500&lt;$AJ977)*('Lot Balance'!$K$5:$K$500+'Lot Balance'!$D$5:$D$500&gt;=$AJ977),0),0)),""))</f>
        <v/>
      </c>
      <c r="AN977" s="66" t="str">
        <f>IF($F977="","",IF($AI977&lt;&gt;"",IF(COUNTIFS('Lot Balance'!$A$5:$A$500,$F977,'Lot Balance'!$B$5:$B$500,$AI977)=0,"⚠ override is not a lot of this item",IF($AI977=$AL977,"Override = FEFO","Override - FEFO says "&amp;$AL977)),IF($AL977="","⚠ no receipt on file for this item",IF($AM977&lt;&gt;$AL977,"FEFO auto - split, also "&amp;$AM977,"FEFO auto"))))</f>
        <v>⚠ no receipt on file for this item</v>
      </c>
      <c r="AO977" s="114"/>
    </row>
    <row r="978" spans="1:41" x14ac:dyDescent="0.35">
      <c r="A978" s="74">
        <v>46174</v>
      </c>
      <c r="B978" s="18" t="str">
        <f>IF($C978="","",IFERROR(INDEX('Staff Directory'!$A$5:$A$594,MATCH($C978,'Staff Directory'!$B$5:$B$594,0)),"⚠ unknown staff"))</f>
        <v>PSW-185-TBD</v>
      </c>
      <c r="C978" s="49" t="s">
        <v>1164</v>
      </c>
      <c r="D978" s="19" t="str">
        <f>IF($B978="","",IFERROR(INDEX('Staff Directory'!$C$5:$C$594,MATCH($B978,'Staff Directory'!$A$5:$A$594,0)),""))</f>
        <v>PSW</v>
      </c>
      <c r="E978" s="19">
        <f>IF($B978="","",IFERROR(INDEX('Staff Directory'!$D$5:$D$594,MATCH($B978,'Staff Directory'!$A$5:$A$594,0)),""))</f>
        <v>0</v>
      </c>
      <c r="F978" s="9" t="s">
        <v>755</v>
      </c>
      <c r="G978" s="18" t="str">
        <f>IF($F978="","",IFERROR(INDEX(Items!$B$5:$B$597,MATCH($F978,Items!$A$5:$A$597,0)),"⚠ not in Items"))</f>
        <v>Documents</v>
      </c>
      <c r="H978" s="19" t="str">
        <f>IF($F978="","",IFERROR(INDEX(Items!$C$5:$C$597,MATCH($F978,Items!$A$5:$A$597,0)),""))</f>
        <v>Standard</v>
      </c>
      <c r="I978" s="23">
        <f>IF($F978="","",IFERROR(INDEX(Items!$E$5:$E$597,MATCH($F978,Items!$A$5:$A$597,0)),""))</f>
        <v>2</v>
      </c>
      <c r="J978" s="115">
        <f>IF(tblIssues[[#This Row],[Qty Override]]&lt;&gt;"",tblIssues[[#This Row],[Qty Override]],IF(tblIssues[[#This Row],[Standard Issue]]="","",tblIssues[[#This Row],[Standard Issue]]))</f>
        <v>2</v>
      </c>
      <c r="K978" s="20">
        <f>IF($F978="","",IFERROR(INDEX(Items!$D$5:$D$597,MATCH($F978,Items!$A$5:$A$597,0)),""))</f>
        <v>0</v>
      </c>
      <c r="L978" s="21">
        <f t="shared" si="173"/>
        <v>0</v>
      </c>
      <c r="M978" s="9" t="str">
        <f t="shared" si="171"/>
        <v/>
      </c>
      <c r="N978" s="24">
        <f>IF($A978="","",WORKDAY($A978,Settings!$C$9,HolidayDates))</f>
        <v>46182</v>
      </c>
      <c r="O978" s="24">
        <f>IF($N978="","",WORKDAY($N978,Settings!$C$10,HolidayDates))</f>
        <v>46220</v>
      </c>
      <c r="P978" s="10" t="s">
        <v>501</v>
      </c>
      <c r="Q978" s="52" t="str">
        <f t="shared" si="174"/>
        <v>Collected</v>
      </c>
      <c r="R978" s="55" t="str">
        <f t="shared" si="175"/>
        <v>2026-06</v>
      </c>
      <c r="S978" s="55">
        <f>IF(OR($B978="",$F978="",$R978=""),"",SUMIFS(tblIssues[Qty Issued],tblIssues[Staff ID],$B978,tblIssues[Item Name],$F978,tblIssues[Month],$R978))</f>
        <v>2</v>
      </c>
      <c r="T978" s="56">
        <f>IF($I978="","",$I978*Settings!$C$11)</f>
        <v>2</v>
      </c>
      <c r="U978" s="57" t="str">
        <f t="shared" si="172"/>
        <v>OK</v>
      </c>
      <c r="V978" s="55" t="str">
        <f t="shared" si="176"/>
        <v/>
      </c>
      <c r="W978" s="55" t="str">
        <f>IF($V978="","",IF(COUNTIF($V$5:$V978,$V978)=1,1,""))</f>
        <v/>
      </c>
      <c r="X978" s="58" t="str">
        <f>IF($W978="","",MAX($X$4:X977)+1)</f>
        <v/>
      </c>
      <c r="Y978" s="62"/>
      <c r="Z978" s="62"/>
      <c r="AA978" s="64" t="str">
        <f>IF($C978="","",IFERROR(INDEX('Staff Directory'!$E$5:$E$594,MATCH($C978,'Staff Directory'!$B$5:$B$594,0)),""))</f>
        <v>firstname248.lastname248@example.com</v>
      </c>
      <c r="AB978" s="64" t="str">
        <f>IF($C978="","",IF(ISNUMBER(SEARCH($D978,Settings!$C$15)),"Pickup","Dispatch"))</f>
        <v>Pickup</v>
      </c>
      <c r="AC978" s="64" t="str">
        <f t="shared" si="177"/>
        <v>Supply order ready for pickup</v>
      </c>
      <c r="AD978" s="64" t="str">
        <f t="shared" si="168"/>
        <v>Dear PSW,
Your order is ready for pickup from Sample Branch, Wed-Fri 9am-4pm.</v>
      </c>
      <c r="AE978" s="64" t="str">
        <f t="shared" si="169"/>
        <v>mailto:firstname248.lastname248@example.com?subject=Supply%20order%20ready%20for%20pickup&amp;body=Dear%20PSW%2C%0A%0AYour%20order%20is%20ready%20for%20pickup%20from%20Sample%20Branch%2C%20Wed-Fri%209am-4pm.</v>
      </c>
      <c r="AF978" s="89" t="str">
        <f t="shared" si="178"/>
        <v>Draft email</v>
      </c>
      <c r="AG978" s="64" t="str">
        <f>IF($C978="","",IFERROR(INDEX('Staff Directory'!$K$595:$K$599,MATCH($C978,'Staff Directory'!$B$5:$B$599,0)),$D978))</f>
        <v>PSW</v>
      </c>
      <c r="AH978" t="str">
        <f>IF($C978="","",IFERROR(INDEX('Staff Directory'!$I$595:$I$599,MATCH($C978,'Staff Directory'!$B$5:$B$599,0))&amp;" "&amp;INDEX('Staff Directory'!$J$595:$J$599,MATCH($C978,'Staff Directory'!$B$5:$B$599,0)),$AG978))</f>
        <v>PSW</v>
      </c>
      <c r="AI978" s="102"/>
      <c r="AJ978" s="101">
        <f>IF($F978="","",SUMIFS($J$5:$J978,$F$5:$F978,$F978))</f>
        <v>134</v>
      </c>
      <c r="AK978" s="101">
        <f t="shared" si="170"/>
        <v>133</v>
      </c>
      <c r="AL978" s="66" t="str" cm="1">
        <f t="array" ref="AL978">IF($F978="","",IFERROR(INDEX('Lot Balance'!$B$5:$B$500,MATCH(1,INDEX(('Lot Balance'!$A$5:$A$500=$F978)*('Lot Balance'!$K$5:$K$500&lt;$AK978)*('Lot Balance'!$K$5:$K$500+'Lot Balance'!$D$5:$D$500&gt;=$AK978),0),0)),""))</f>
        <v/>
      </c>
      <c r="AM978" s="66" t="str" cm="1">
        <f t="array" ref="AM978">IF($F978="","",IFERROR(INDEX('Lot Balance'!$B$5:$B$500,MATCH(1,INDEX(('Lot Balance'!$A$5:$A$500=$F978)*('Lot Balance'!$K$5:$K$500&lt;$AJ978)*('Lot Balance'!$K$5:$K$500+'Lot Balance'!$D$5:$D$500&gt;=$AJ978),0),0)),""))</f>
        <v/>
      </c>
      <c r="AN978" s="66" t="str">
        <f>IF($F978="","",IF($AI978&lt;&gt;"",IF(COUNTIFS('Lot Balance'!$A$5:$A$500,$F978,'Lot Balance'!$B$5:$B$500,$AI978)=0,"⚠ override is not a lot of this item",IF($AI978=$AL978,"Override = FEFO","Override - FEFO says "&amp;$AL978)),IF($AL978="","⚠ no receipt on file for this item",IF($AM978&lt;&gt;$AL978,"FEFO auto - split, also "&amp;$AM978,"FEFO auto"))))</f>
        <v>⚠ no receipt on file for this item</v>
      </c>
      <c r="AO978" s="114"/>
    </row>
    <row r="979" spans="1:41" x14ac:dyDescent="0.35">
      <c r="A979" s="74">
        <v>46174</v>
      </c>
      <c r="B979" s="18" t="str">
        <f>IF($C979="","",IFERROR(INDEX('Staff Directory'!$A$5:$A$594,MATCH($C979,'Staff Directory'!$B$5:$B$594,0)),"⚠ unknown staff"))</f>
        <v>RN-017-A2</v>
      </c>
      <c r="C979" s="49" t="s">
        <v>936</v>
      </c>
      <c r="D979" s="19" t="str">
        <f>IF($B979="","",IFERROR(INDEX('Staff Directory'!$C$5:$C$594,MATCH($B979,'Staff Directory'!$A$5:$A$594,0)),""))</f>
        <v>RN</v>
      </c>
      <c r="E979" s="19" t="str">
        <f>IF($B979="","",IFERROR(INDEX('Staff Directory'!$D$5:$D$594,MATCH($B979,'Staff Directory'!$A$5:$A$594,0)),""))</f>
        <v>A2</v>
      </c>
      <c r="F979" s="9" t="s">
        <v>127</v>
      </c>
      <c r="G979" s="18" t="str">
        <f>IF($F979="","",IFERROR(INDEX(Items!$B$5:$B$597,MATCH($F979,Items!$A$5:$A$597,0)),"⚠ not in Items"))</f>
        <v>Gloves</v>
      </c>
      <c r="H979" s="19" t="str">
        <f>IF($F979="","",IFERROR(INDEX(Items!$C$5:$C$597,MATCH($F979,Items!$A$5:$A$597,0)),""))</f>
        <v>Medium</v>
      </c>
      <c r="I979" s="23">
        <f>IF($F979="","",IFERROR(INDEX(Items!$E$5:$E$597,MATCH($F979,Items!$A$5:$A$597,0)),""))</f>
        <v>500</v>
      </c>
      <c r="J979" s="115">
        <f>IF(tblIssues[[#This Row],[Qty Override]]&lt;&gt;"",tblIssues[[#This Row],[Qty Override]],IF(tblIssues[[#This Row],[Standard Issue]]="","",tblIssues[[#This Row],[Standard Issue]]))</f>
        <v>500</v>
      </c>
      <c r="K979" s="20">
        <f>IF($F979="","",IFERROR(INDEX(Items!$D$5:$D$597,MATCH($F979,Items!$A$5:$A$597,0)),""))</f>
        <v>5.5E-2</v>
      </c>
      <c r="L979" s="21">
        <f t="shared" si="173"/>
        <v>27.5</v>
      </c>
      <c r="M979" s="9" t="str">
        <f t="shared" si="171"/>
        <v>ZIM510329603</v>
      </c>
      <c r="N979" s="24">
        <f>IF($A979="","",WORKDAY($A979,Settings!$C$9,HolidayDates))</f>
        <v>46182</v>
      </c>
      <c r="O979" s="24">
        <f>IF($N979="","",WORKDAY($N979,Settings!$C$10,HolidayDates))</f>
        <v>46220</v>
      </c>
      <c r="P979" s="10" t="s">
        <v>751</v>
      </c>
      <c r="Q979" s="52" t="str">
        <f t="shared" si="174"/>
        <v>Collected</v>
      </c>
      <c r="R979" s="55" t="str">
        <f t="shared" si="175"/>
        <v>2026-06</v>
      </c>
      <c r="S979" s="55">
        <f>IF(OR($B979="",$F979="",$R979=""),"",SUMIFS(tblIssues[Qty Issued],tblIssues[Staff ID],$B979,tblIssues[Item Name],$F979,tblIssues[Month],$R979))</f>
        <v>500</v>
      </c>
      <c r="T979" s="56">
        <f>IF($I979="","",$I979*Settings!$C$11)</f>
        <v>500</v>
      </c>
      <c r="U979" s="57" t="str">
        <f t="shared" si="172"/>
        <v>OK</v>
      </c>
      <c r="V979" s="55" t="str">
        <f t="shared" si="176"/>
        <v/>
      </c>
      <c r="W979" s="55" t="str">
        <f>IF($V979="","",IF(COUNTIF($V$5:$V979,$V979)=1,1,""))</f>
        <v/>
      </c>
      <c r="X979" s="58" t="str">
        <f>IF($W979="","",MAX($X$4:X978)+1)</f>
        <v/>
      </c>
      <c r="Y979" s="62"/>
      <c r="Z979" s="62"/>
      <c r="AA979" s="64" t="str">
        <f>IF($C979="","",IFERROR(INDEX('Staff Directory'!$E$5:$E$594,MATCH($C979,'Staff Directory'!$B$5:$B$594,0)),""))</f>
        <v>firstname020.lastname020@example.com</v>
      </c>
      <c r="AB979" s="64" t="str">
        <f>IF($C979="","",IF(ISNUMBER(SEARCH($D979,Settings!$C$15)),"Pickup","Dispatch"))</f>
        <v>Dispatch</v>
      </c>
      <c r="AC979" s="64" t="str">
        <f t="shared" si="177"/>
        <v>Supply order dispatched</v>
      </c>
      <c r="AD979" s="64" t="str">
        <f t="shared" si="168"/>
        <v>Dear RN,
Your order has been dispatched and is in transit. Reply if undelivered.</v>
      </c>
      <c r="AE979" s="64" t="str">
        <f t="shared" si="169"/>
        <v>mailto:firstname020.lastname020@example.com?subject=Supply%20order%20dispatched&amp;body=Dear%20RN%2C%0A%0AYour%20order%20has%20been%20dispatched%20and%20is%20in%20transit.%20Reply%20if%20undelivered.</v>
      </c>
      <c r="AF979" s="89" t="str">
        <f t="shared" si="178"/>
        <v>Draft email</v>
      </c>
      <c r="AG979" s="64" t="str">
        <f>IF($C979="","",IFERROR(INDEX('Staff Directory'!$K$595:$K$599,MATCH($C979,'Staff Directory'!$B$5:$B$599,0)),$D979))</f>
        <v>RN</v>
      </c>
      <c r="AH979" t="str">
        <f>IF($C979="","",IFERROR(INDEX('Staff Directory'!$I$595:$I$599,MATCH($C979,'Staff Directory'!$B$5:$B$599,0))&amp;" "&amp;INDEX('Staff Directory'!$J$595:$J$599,MATCH($C979,'Staff Directory'!$B$5:$B$599,0)),$AG979))</f>
        <v>RN</v>
      </c>
      <c r="AI979" s="102"/>
      <c r="AJ979" s="101">
        <f>IF($F979="","",SUMIFS($J$5:$J979,$F$5:$F979,$F979))</f>
        <v>54500</v>
      </c>
      <c r="AK979" s="101">
        <f t="shared" si="170"/>
        <v>54001</v>
      </c>
      <c r="AL979" s="66" t="str" cm="1">
        <f t="array" ref="AL979">IF($F979="","",IFERROR(INDEX('Lot Balance'!$B$5:$B$500,MATCH(1,INDEX(('Lot Balance'!$A$5:$A$500=$F979)*('Lot Balance'!$K$5:$K$500&lt;$AK979)*('Lot Balance'!$K$5:$K$500+'Lot Balance'!$D$5:$D$500&gt;=$AK979),0),0)),""))</f>
        <v>ZIM510329603</v>
      </c>
      <c r="AM979" s="66" t="str" cm="1">
        <f t="array" ref="AM979">IF($F979="","",IFERROR(INDEX('Lot Balance'!$B$5:$B$500,MATCH(1,INDEX(('Lot Balance'!$A$5:$A$500=$F979)*('Lot Balance'!$K$5:$K$500&lt;$AJ979)*('Lot Balance'!$K$5:$K$500+'Lot Balance'!$D$5:$D$500&gt;=$AJ979),0),0)),""))</f>
        <v>ZIM510329603</v>
      </c>
      <c r="AN979" s="66" t="str">
        <f>IF($F979="","",IF($AI979&lt;&gt;"",IF(COUNTIFS('Lot Balance'!$A$5:$A$500,$F979,'Lot Balance'!$B$5:$B$500,$AI979)=0,"⚠ override is not a lot of this item",IF($AI979=$AL979,"Override = FEFO","Override - FEFO says "&amp;$AL979)),IF($AL979="","⚠ no receipt on file for this item",IF($AM979&lt;&gt;$AL979,"FEFO auto - split, also "&amp;$AM979,"FEFO auto"))))</f>
        <v>FEFO auto</v>
      </c>
      <c r="AO979" s="114"/>
    </row>
    <row r="980" spans="1:41" x14ac:dyDescent="0.35">
      <c r="A980" s="74">
        <v>46174</v>
      </c>
      <c r="B980" s="18" t="str">
        <f>IF($C980="","",IFERROR(INDEX('Staff Directory'!$A$5:$A$594,MATCH($C980,'Staff Directory'!$B$5:$B$594,0)),"⚠ unknown staff"))</f>
        <v>RN-017-A2</v>
      </c>
      <c r="C980" s="49" t="s">
        <v>936</v>
      </c>
      <c r="D980" s="19" t="str">
        <f>IF($B980="","",IFERROR(INDEX('Staff Directory'!$C$5:$C$594,MATCH($B980,'Staff Directory'!$A$5:$A$594,0)),""))</f>
        <v>RN</v>
      </c>
      <c r="E980" s="19" t="str">
        <f>IF($B980="","",IFERROR(INDEX('Staff Directory'!$D$5:$D$594,MATCH($B980,'Staff Directory'!$A$5:$A$594,0)),""))</f>
        <v>A2</v>
      </c>
      <c r="F980" s="9" t="s">
        <v>757</v>
      </c>
      <c r="G980" s="18" t="str">
        <f>IF($F980="","",IFERROR(INDEX(Items!$B$5:$B$597,MATCH($F980,Items!$A$5:$A$597,0)),"⚠ not in Items"))</f>
        <v>Documents</v>
      </c>
      <c r="H980" s="19" t="str">
        <f>IF($F980="","",IFERROR(INDEX(Items!$C$5:$C$597,MATCH($F980,Items!$A$5:$A$597,0)),""))</f>
        <v>Standard</v>
      </c>
      <c r="I980" s="23">
        <f>IF($F980="","",IFERROR(INDEX(Items!$E$5:$E$597,MATCH($F980,Items!$A$5:$A$597,0)),""))</f>
        <v>10</v>
      </c>
      <c r="J980" s="115">
        <f>IF(tblIssues[[#This Row],[Qty Override]]&lt;&gt;"",tblIssues[[#This Row],[Qty Override]],IF(tblIssues[[#This Row],[Standard Issue]]="","",tblIssues[[#This Row],[Standard Issue]]))</f>
        <v>10</v>
      </c>
      <c r="K980" s="20">
        <f>IF($F980="","",IFERROR(INDEX(Items!$D$5:$D$597,MATCH($F980,Items!$A$5:$A$597,0)),""))</f>
        <v>0</v>
      </c>
      <c r="L980" s="21">
        <f t="shared" si="173"/>
        <v>0</v>
      </c>
      <c r="M980" s="9" t="str">
        <f t="shared" si="171"/>
        <v/>
      </c>
      <c r="N980" s="24">
        <f>IF($A980="","",WORKDAY($A980,Settings!$C$9,HolidayDates))</f>
        <v>46182</v>
      </c>
      <c r="O980" s="24">
        <f>IF($N980="","",WORKDAY($N980,Settings!$C$10,HolidayDates))</f>
        <v>46220</v>
      </c>
      <c r="P980" s="10" t="s">
        <v>751</v>
      </c>
      <c r="Q980" s="52" t="str">
        <f t="shared" si="174"/>
        <v>Collected</v>
      </c>
      <c r="R980" s="55" t="str">
        <f t="shared" si="175"/>
        <v>2026-06</v>
      </c>
      <c r="S980" s="55">
        <f>IF(OR($B980="",$F980="",$R980=""),"",SUMIFS(tblIssues[Qty Issued],tblIssues[Staff ID],$B980,tblIssues[Item Name],$F980,tblIssues[Month],$R980))</f>
        <v>10</v>
      </c>
      <c r="T980" s="56">
        <f>IF($I980="","",$I980*Settings!$C$11)</f>
        <v>10</v>
      </c>
      <c r="U980" s="57" t="str">
        <f t="shared" si="172"/>
        <v>OK</v>
      </c>
      <c r="V980" s="55" t="str">
        <f t="shared" si="176"/>
        <v/>
      </c>
      <c r="W980" s="55" t="str">
        <f>IF($V980="","",IF(COUNTIF($V$5:$V980,$V980)=1,1,""))</f>
        <v/>
      </c>
      <c r="X980" s="58" t="str">
        <f>IF($W980="","",MAX($X$4:X979)+1)</f>
        <v/>
      </c>
      <c r="Y980" s="62"/>
      <c r="Z980" s="62"/>
      <c r="AA980" s="64" t="str">
        <f>IF($C980="","",IFERROR(INDEX('Staff Directory'!$E$5:$E$594,MATCH($C980,'Staff Directory'!$B$5:$B$594,0)),""))</f>
        <v>firstname020.lastname020@example.com</v>
      </c>
      <c r="AB980" s="64" t="str">
        <f>IF($C980="","",IF(ISNUMBER(SEARCH($D980,Settings!$C$15)),"Pickup","Dispatch"))</f>
        <v>Dispatch</v>
      </c>
      <c r="AC980" s="64" t="str">
        <f t="shared" si="177"/>
        <v>Supply order dispatched</v>
      </c>
      <c r="AD980" s="64" t="str">
        <f t="shared" si="168"/>
        <v>Dear RN,
Your order has been dispatched and is in transit. Reply if undelivered.</v>
      </c>
      <c r="AE980" s="64" t="str">
        <f t="shared" si="169"/>
        <v>mailto:firstname020.lastname020@example.com?subject=Supply%20order%20dispatched&amp;body=Dear%20RN%2C%0A%0AYour%20order%20has%20been%20dispatched%20and%20is%20in%20transit.%20Reply%20if%20undelivered.</v>
      </c>
      <c r="AF980" s="89" t="str">
        <f t="shared" si="178"/>
        <v>Draft email</v>
      </c>
      <c r="AG980" s="64" t="str">
        <f>IF($C980="","",IFERROR(INDEX('Staff Directory'!$K$595:$K$599,MATCH($C980,'Staff Directory'!$B$5:$B$599,0)),$D980))</f>
        <v>RN</v>
      </c>
      <c r="AH980" t="str">
        <f>IF($C980="","",IFERROR(INDEX('Staff Directory'!$I$595:$I$599,MATCH($C980,'Staff Directory'!$B$5:$B$599,0))&amp;" "&amp;INDEX('Staff Directory'!$J$595:$J$599,MATCH($C980,'Staff Directory'!$B$5:$B$599,0)),$AG980))</f>
        <v>RN</v>
      </c>
      <c r="AI980" s="102"/>
      <c r="AJ980" s="101">
        <f>IF($F980="","",SUMIFS($J$5:$J980,$F$5:$F980,$F980))</f>
        <v>520</v>
      </c>
      <c r="AK980" s="101">
        <f t="shared" si="170"/>
        <v>511</v>
      </c>
      <c r="AL980" s="66" t="str" cm="1">
        <f t="array" ref="AL980">IF($F980="","",IFERROR(INDEX('Lot Balance'!$B$5:$B$500,MATCH(1,INDEX(('Lot Balance'!$A$5:$A$500=$F980)*('Lot Balance'!$K$5:$K$500&lt;$AK980)*('Lot Balance'!$K$5:$K$500+'Lot Balance'!$D$5:$D$500&gt;=$AK980),0),0)),""))</f>
        <v/>
      </c>
      <c r="AM980" s="66" t="str" cm="1">
        <f t="array" ref="AM980">IF($F980="","",IFERROR(INDEX('Lot Balance'!$B$5:$B$500,MATCH(1,INDEX(('Lot Balance'!$A$5:$A$500=$F980)*('Lot Balance'!$K$5:$K$500&lt;$AJ980)*('Lot Balance'!$K$5:$K$500+'Lot Balance'!$D$5:$D$500&gt;=$AJ980),0),0)),""))</f>
        <v/>
      </c>
      <c r="AN980" s="66" t="str">
        <f>IF($F980="","",IF($AI980&lt;&gt;"",IF(COUNTIFS('Lot Balance'!$A$5:$A$500,$F980,'Lot Balance'!$B$5:$B$500,$AI980)=0,"⚠ override is not a lot of this item",IF($AI980=$AL980,"Override = FEFO","Override - FEFO says "&amp;$AL980)),IF($AL980="","⚠ no receipt on file for this item",IF($AM980&lt;&gt;$AL980,"FEFO auto - split, also "&amp;$AM980,"FEFO auto"))))</f>
        <v>⚠ no receipt on file for this item</v>
      </c>
      <c r="AO980" s="114"/>
    </row>
    <row r="981" spans="1:41" x14ac:dyDescent="0.35">
      <c r="A981" s="74">
        <v>46174</v>
      </c>
      <c r="B981" s="18" t="str">
        <f>IF($C981="","",IFERROR(INDEX('Staff Directory'!$A$5:$A$594,MATCH($C981,'Staff Directory'!$B$5:$B$594,0)),"⚠ unknown staff"))</f>
        <v>RN-049-A1</v>
      </c>
      <c r="C981" s="49" t="s">
        <v>974</v>
      </c>
      <c r="D981" s="19" t="str">
        <f>IF($B981="","",IFERROR(INDEX('Staff Directory'!$C$5:$C$594,MATCH($B981,'Staff Directory'!$A$5:$A$594,0)),""))</f>
        <v>RN</v>
      </c>
      <c r="E981" s="19" t="str">
        <f>IF($B981="","",IFERROR(INDEX('Staff Directory'!$D$5:$D$594,MATCH($B981,'Staff Directory'!$A$5:$A$594,0)),""))</f>
        <v>A1</v>
      </c>
      <c r="F981" s="9" t="s">
        <v>757</v>
      </c>
      <c r="G981" s="18" t="str">
        <f>IF($F981="","",IFERROR(INDEX(Items!$B$5:$B$597,MATCH($F981,Items!$A$5:$A$597,0)),"⚠ not in Items"))</f>
        <v>Documents</v>
      </c>
      <c r="H981" s="19" t="str">
        <f>IF($F981="","",IFERROR(INDEX(Items!$C$5:$C$597,MATCH($F981,Items!$A$5:$A$597,0)),""))</f>
        <v>Standard</v>
      </c>
      <c r="I981" s="23">
        <f>IF($F981="","",IFERROR(INDEX(Items!$E$5:$E$597,MATCH($F981,Items!$A$5:$A$597,0)),""))</f>
        <v>10</v>
      </c>
      <c r="J981" s="115">
        <f>IF(tblIssues[[#This Row],[Qty Override]]&lt;&gt;"",tblIssues[[#This Row],[Qty Override]],IF(tblIssues[[#This Row],[Standard Issue]]="","",tblIssues[[#This Row],[Standard Issue]]))</f>
        <v>10</v>
      </c>
      <c r="K981" s="20">
        <f>IF($F981="","",IFERROR(INDEX(Items!$D$5:$D$597,MATCH($F981,Items!$A$5:$A$597,0)),""))</f>
        <v>0</v>
      </c>
      <c r="L981" s="21">
        <f t="shared" si="173"/>
        <v>0</v>
      </c>
      <c r="M981" s="9" t="str">
        <f t="shared" si="171"/>
        <v/>
      </c>
      <c r="N981" s="24">
        <f>IF($A981="","",WORKDAY($A981,Settings!$C$9,HolidayDates))</f>
        <v>46182</v>
      </c>
      <c r="O981" s="24">
        <f>IF($N981="","",WORKDAY($N981,Settings!$C$10,HolidayDates))</f>
        <v>46220</v>
      </c>
      <c r="P981" s="10" t="s">
        <v>502</v>
      </c>
      <c r="Q981" s="52" t="str">
        <f t="shared" si="174"/>
        <v>Collected</v>
      </c>
      <c r="R981" s="55" t="str">
        <f t="shared" si="175"/>
        <v>2026-06</v>
      </c>
      <c r="S981" s="55">
        <f>IF(OR($B981="",$F981="",$R981=""),"",SUMIFS(tblIssues[Qty Issued],tblIssues[Staff ID],$B981,tblIssues[Item Name],$F981,tblIssues[Month],$R981))</f>
        <v>30</v>
      </c>
      <c r="T981" s="56">
        <f>IF($I981="","",$I981*Settings!$C$11)</f>
        <v>10</v>
      </c>
      <c r="U981" s="57" t="str">
        <f t="shared" si="172"/>
        <v>⚠ OVER QUOTA</v>
      </c>
      <c r="V981" s="55" t="str">
        <f t="shared" si="176"/>
        <v>RN-049-A1 | Sample Org CONNECT Welcome Package RN | 2026-06</v>
      </c>
      <c r="W981" s="55">
        <f>IF($V981="","",IF(COUNTIF($V$5:$V981,$V981)=1,1,""))</f>
        <v>1</v>
      </c>
      <c r="X981" s="58">
        <f>IF($W981="","",MAX($X$4:X980)+1)</f>
        <v>23</v>
      </c>
      <c r="Y981" s="62"/>
      <c r="Z981" s="62"/>
      <c r="AA981" s="64" t="str">
        <f>IF($C981="","",IFERROR(INDEX('Staff Directory'!$E$5:$E$594,MATCH($C981,'Staff Directory'!$B$5:$B$594,0)),""))</f>
        <v>firstname058.lastname058@example.com</v>
      </c>
      <c r="AB981" s="64" t="str">
        <f>IF($C981="","",IF(ISNUMBER(SEARCH($D981,Settings!$C$15)),"Pickup","Dispatch"))</f>
        <v>Dispatch</v>
      </c>
      <c r="AC981" s="64" t="str">
        <f t="shared" si="177"/>
        <v>Supply order dispatched</v>
      </c>
      <c r="AD981" s="64" t="str">
        <f t="shared" si="168"/>
        <v>Dear RN,
Your order has been dispatched and is in transit. Reply if undelivered.</v>
      </c>
      <c r="AE981" s="64" t="str">
        <f t="shared" si="169"/>
        <v>mailto:firstname058.lastname058@example.com?subject=Supply%20order%20dispatched&amp;body=Dear%20RN%2C%0A%0AYour%20order%20has%20been%20dispatched%20and%20is%20in%20transit.%20Reply%20if%20undelivered.</v>
      </c>
      <c r="AF981" s="89" t="str">
        <f t="shared" si="178"/>
        <v>Draft email</v>
      </c>
      <c r="AG981" s="64" t="str">
        <f>IF($C981="","",IFERROR(INDEX('Staff Directory'!$K$595:$K$599,MATCH($C981,'Staff Directory'!$B$5:$B$599,0)),$D981))</f>
        <v>RN</v>
      </c>
      <c r="AH981" t="str">
        <f>IF($C981="","",IFERROR(INDEX('Staff Directory'!$I$595:$I$599,MATCH($C981,'Staff Directory'!$B$5:$B$599,0))&amp;" "&amp;INDEX('Staff Directory'!$J$595:$J$599,MATCH($C981,'Staff Directory'!$B$5:$B$599,0)),$AG981))</f>
        <v>RN</v>
      </c>
      <c r="AI981" s="102"/>
      <c r="AJ981" s="101">
        <f>IF($F981="","",SUMIFS($J$5:$J981,$F$5:$F981,$F981))</f>
        <v>530</v>
      </c>
      <c r="AK981" s="101">
        <f t="shared" si="170"/>
        <v>521</v>
      </c>
      <c r="AL981" s="66" t="str" cm="1">
        <f t="array" ref="AL981">IF($F981="","",IFERROR(INDEX('Lot Balance'!$B$5:$B$500,MATCH(1,INDEX(('Lot Balance'!$A$5:$A$500=$F981)*('Lot Balance'!$K$5:$K$500&lt;$AK981)*('Lot Balance'!$K$5:$K$500+'Lot Balance'!$D$5:$D$500&gt;=$AK981),0),0)),""))</f>
        <v/>
      </c>
      <c r="AM981" s="66" t="str" cm="1">
        <f t="array" ref="AM981">IF($F981="","",IFERROR(INDEX('Lot Balance'!$B$5:$B$500,MATCH(1,INDEX(('Lot Balance'!$A$5:$A$500=$F981)*('Lot Balance'!$K$5:$K$500&lt;$AJ981)*('Lot Balance'!$K$5:$K$500+'Lot Balance'!$D$5:$D$500&gt;=$AJ981),0),0)),""))</f>
        <v/>
      </c>
      <c r="AN981" s="66" t="str">
        <f>IF($F981="","",IF($AI981&lt;&gt;"",IF(COUNTIFS('Lot Balance'!$A$5:$A$500,$F981,'Lot Balance'!$B$5:$B$500,$AI981)=0,"⚠ override is not a lot of this item",IF($AI981=$AL981,"Override = FEFO","Override - FEFO says "&amp;$AL981)),IF($AL981="","⚠ no receipt on file for this item",IF($AM981&lt;&gt;$AL981,"FEFO auto - split, also "&amp;$AM981,"FEFO auto"))))</f>
        <v>⚠ no receipt on file for this item</v>
      </c>
      <c r="AO981" s="114"/>
    </row>
    <row r="982" spans="1:41" x14ac:dyDescent="0.35">
      <c r="A982" s="74">
        <v>46174</v>
      </c>
      <c r="B982" s="18" t="str">
        <f>IF($C982="","",IFERROR(INDEX('Staff Directory'!$A$5:$A$594,MATCH($C982,'Staff Directory'!$B$5:$B$594,0)),"⚠ unknown staff"))</f>
        <v>RN-049-A1</v>
      </c>
      <c r="C982" s="49" t="s">
        <v>974</v>
      </c>
      <c r="D982" s="19" t="str">
        <f>IF($B982="","",IFERROR(INDEX('Staff Directory'!$C$5:$C$594,MATCH($B982,'Staff Directory'!$A$5:$A$594,0)),""))</f>
        <v>RN</v>
      </c>
      <c r="E982" s="19" t="str">
        <f>IF($B982="","",IFERROR(INDEX('Staff Directory'!$D$5:$D$594,MATCH($B982,'Staff Directory'!$A$5:$A$594,0)),""))</f>
        <v>A1</v>
      </c>
      <c r="F982" s="9" t="s">
        <v>757</v>
      </c>
      <c r="G982" s="18" t="str">
        <f>IF($F982="","",IFERROR(INDEX(Items!$B$5:$B$597,MATCH($F982,Items!$A$5:$A$597,0)),"⚠ not in Items"))</f>
        <v>Documents</v>
      </c>
      <c r="H982" s="19" t="str">
        <f>IF($F982="","",IFERROR(INDEX(Items!$C$5:$C$597,MATCH($F982,Items!$A$5:$A$597,0)),""))</f>
        <v>Standard</v>
      </c>
      <c r="I982" s="23">
        <f>IF($F982="","",IFERROR(INDEX(Items!$E$5:$E$597,MATCH($F982,Items!$A$5:$A$597,0)),""))</f>
        <v>10</v>
      </c>
      <c r="J982" s="115">
        <f>IF(tblIssues[[#This Row],[Qty Override]]&lt;&gt;"",tblIssues[[#This Row],[Qty Override]],IF(tblIssues[[#This Row],[Standard Issue]]="","",tblIssues[[#This Row],[Standard Issue]]))</f>
        <v>10</v>
      </c>
      <c r="K982" s="20">
        <f>IF($F982="","",IFERROR(INDEX(Items!$D$5:$D$597,MATCH($F982,Items!$A$5:$A$597,0)),""))</f>
        <v>0</v>
      </c>
      <c r="L982" s="21">
        <f t="shared" si="173"/>
        <v>0</v>
      </c>
      <c r="M982" s="9" t="str">
        <f t="shared" si="171"/>
        <v/>
      </c>
      <c r="N982" s="24">
        <f>IF($A982="","",WORKDAY($A982,Settings!$C$9,HolidayDates))</f>
        <v>46182</v>
      </c>
      <c r="O982" s="24">
        <f>IF($N982="","",WORKDAY($N982,Settings!$C$10,HolidayDates))</f>
        <v>46220</v>
      </c>
      <c r="P982" s="10" t="s">
        <v>502</v>
      </c>
      <c r="Q982" s="52" t="str">
        <f t="shared" si="174"/>
        <v>Collected</v>
      </c>
      <c r="R982" s="55" t="str">
        <f t="shared" si="175"/>
        <v>2026-06</v>
      </c>
      <c r="S982" s="55">
        <f>IF(OR($B982="",$F982="",$R982=""),"",SUMIFS(tblIssues[Qty Issued],tblIssues[Staff ID],$B982,tblIssues[Item Name],$F982,tblIssues[Month],$R982))</f>
        <v>30</v>
      </c>
      <c r="T982" s="56">
        <f>IF($I982="","",$I982*Settings!$C$11)</f>
        <v>10</v>
      </c>
      <c r="U982" s="57" t="str">
        <f t="shared" si="172"/>
        <v>⚠ OVER QUOTA</v>
      </c>
      <c r="V982" s="55" t="str">
        <f t="shared" si="176"/>
        <v>RN-049-A1 | Sample Org CONNECT Welcome Package RN | 2026-06</v>
      </c>
      <c r="W982" s="55" t="str">
        <f>IF($V982="","",IF(COUNTIF($V$5:$V982,$V982)=1,1,""))</f>
        <v/>
      </c>
      <c r="X982" s="58" t="str">
        <f>IF($W982="","",MAX($X$4:X981)+1)</f>
        <v/>
      </c>
      <c r="Y982" s="62"/>
      <c r="Z982" s="62"/>
      <c r="AA982" s="64" t="str">
        <f>IF($C982="","",IFERROR(INDEX('Staff Directory'!$E$5:$E$594,MATCH($C982,'Staff Directory'!$B$5:$B$594,0)),""))</f>
        <v>firstname058.lastname058@example.com</v>
      </c>
      <c r="AB982" s="64" t="str">
        <f>IF($C982="","",IF(ISNUMBER(SEARCH($D982,Settings!$C$15)),"Pickup","Dispatch"))</f>
        <v>Dispatch</v>
      </c>
      <c r="AC982" s="64" t="str">
        <f t="shared" si="177"/>
        <v>Supply order dispatched</v>
      </c>
      <c r="AD982" s="64" t="str">
        <f t="shared" si="168"/>
        <v>Dear RN,
Your order has been dispatched and is in transit. Reply if undelivered.</v>
      </c>
      <c r="AE982" s="64" t="str">
        <f t="shared" si="169"/>
        <v>mailto:firstname058.lastname058@example.com?subject=Supply%20order%20dispatched&amp;body=Dear%20RN%2C%0A%0AYour%20order%20has%20been%20dispatched%20and%20is%20in%20transit.%20Reply%20if%20undelivered.</v>
      </c>
      <c r="AF982" s="89" t="str">
        <f t="shared" si="178"/>
        <v>Draft email</v>
      </c>
      <c r="AG982" s="64" t="str">
        <f>IF($C982="","",IFERROR(INDEX('Staff Directory'!$K$595:$K$599,MATCH($C982,'Staff Directory'!$B$5:$B$599,0)),$D982))</f>
        <v>RN</v>
      </c>
      <c r="AH982" t="str">
        <f>IF($C982="","",IFERROR(INDEX('Staff Directory'!$I$595:$I$599,MATCH($C982,'Staff Directory'!$B$5:$B$599,0))&amp;" "&amp;INDEX('Staff Directory'!$J$595:$J$599,MATCH($C982,'Staff Directory'!$B$5:$B$599,0)),$AG982))</f>
        <v>RN</v>
      </c>
      <c r="AI982" s="102"/>
      <c r="AJ982" s="101">
        <f>IF($F982="","",SUMIFS($J$5:$J982,$F$5:$F982,$F982))</f>
        <v>540</v>
      </c>
      <c r="AK982" s="101">
        <f t="shared" si="170"/>
        <v>531</v>
      </c>
      <c r="AL982" s="66" t="str" cm="1">
        <f t="array" ref="AL982">IF($F982="","",IFERROR(INDEX('Lot Balance'!$B$5:$B$500,MATCH(1,INDEX(('Lot Balance'!$A$5:$A$500=$F982)*('Lot Balance'!$K$5:$K$500&lt;$AK982)*('Lot Balance'!$K$5:$K$500+'Lot Balance'!$D$5:$D$500&gt;=$AK982),0),0)),""))</f>
        <v/>
      </c>
      <c r="AM982" s="66" t="str" cm="1">
        <f t="array" ref="AM982">IF($F982="","",IFERROR(INDEX('Lot Balance'!$B$5:$B$500,MATCH(1,INDEX(('Lot Balance'!$A$5:$A$500=$F982)*('Lot Balance'!$K$5:$K$500&lt;$AJ982)*('Lot Balance'!$K$5:$K$500+'Lot Balance'!$D$5:$D$500&gt;=$AJ982),0),0)),""))</f>
        <v/>
      </c>
      <c r="AN982" s="66" t="str">
        <f>IF($F982="","",IF($AI982&lt;&gt;"",IF(COUNTIFS('Lot Balance'!$A$5:$A$500,$F982,'Lot Balance'!$B$5:$B$500,$AI982)=0,"⚠ override is not a lot of this item",IF($AI982=$AL982,"Override = FEFO","Override - FEFO says "&amp;$AL982)),IF($AL982="","⚠ no receipt on file for this item",IF($AM982&lt;&gt;$AL982,"FEFO auto - split, also "&amp;$AM982,"FEFO auto"))))</f>
        <v>⚠ no receipt on file for this item</v>
      </c>
      <c r="AO982" s="114"/>
    </row>
    <row r="983" spans="1:41" x14ac:dyDescent="0.35">
      <c r="A983" s="74">
        <v>46174</v>
      </c>
      <c r="B983" s="18" t="str">
        <f>IF($C983="","",IFERROR(INDEX('Staff Directory'!$A$5:$A$594,MATCH($C983,'Staff Directory'!$B$5:$B$594,0)),"⚠ unknown staff"))</f>
        <v>PSW-127-A6</v>
      </c>
      <c r="C983" s="49" t="s">
        <v>1106</v>
      </c>
      <c r="D983" s="19" t="str">
        <f>IF($B983="","",IFERROR(INDEX('Staff Directory'!$C$5:$C$594,MATCH($B983,'Staff Directory'!$A$5:$A$594,0)),""))</f>
        <v>PSW</v>
      </c>
      <c r="E983" s="19" t="str">
        <f>IF($B983="","",IFERROR(INDEX('Staff Directory'!$D$5:$D$594,MATCH($B983,'Staff Directory'!$A$5:$A$594,0)),""))</f>
        <v>A6</v>
      </c>
      <c r="F983" s="9" t="s">
        <v>127</v>
      </c>
      <c r="G983" s="18" t="str">
        <f>IF($F983="","",IFERROR(INDEX(Items!$B$5:$B$597,MATCH($F983,Items!$A$5:$A$597,0)),"⚠ not in Items"))</f>
        <v>Gloves</v>
      </c>
      <c r="H983" s="19" t="str">
        <f>IF($F983="","",IFERROR(INDEX(Items!$C$5:$C$597,MATCH($F983,Items!$A$5:$A$597,0)),""))</f>
        <v>Medium</v>
      </c>
      <c r="I983" s="23">
        <f>IF($F983="","",IFERROR(INDEX(Items!$E$5:$E$597,MATCH($F983,Items!$A$5:$A$597,0)),""))</f>
        <v>500</v>
      </c>
      <c r="J983" s="115">
        <f>IF(tblIssues[[#This Row],[Qty Override]]&lt;&gt;"",tblIssues[[#This Row],[Qty Override]],IF(tblIssues[[#This Row],[Standard Issue]]="","",tblIssues[[#This Row],[Standard Issue]]))</f>
        <v>500</v>
      </c>
      <c r="K983" s="20">
        <f>IF($F983="","",IFERROR(INDEX(Items!$D$5:$D$597,MATCH($F983,Items!$A$5:$A$597,0)),""))</f>
        <v>5.5E-2</v>
      </c>
      <c r="L983" s="21">
        <f t="shared" si="173"/>
        <v>27.5</v>
      </c>
      <c r="M983" s="9" t="str">
        <f t="shared" si="171"/>
        <v>ZIM510329603</v>
      </c>
      <c r="N983" s="24">
        <f>IF($A983="","",WORKDAY($A983,Settings!$C$9,HolidayDates))</f>
        <v>46182</v>
      </c>
      <c r="O983" s="24">
        <f>IF($N983="","",WORKDAY($N983,Settings!$C$10,HolidayDates))</f>
        <v>46220</v>
      </c>
      <c r="P983" s="10" t="s">
        <v>501</v>
      </c>
      <c r="Q983" s="52" t="str">
        <f t="shared" si="174"/>
        <v>Collected</v>
      </c>
      <c r="R983" s="55" t="str">
        <f t="shared" si="175"/>
        <v>2026-06</v>
      </c>
      <c r="S983" s="55">
        <f>IF(OR($B983="",$F983="",$R983=""),"",SUMIFS(tblIssues[Qty Issued],tblIssues[Staff ID],$B983,tblIssues[Item Name],$F983,tblIssues[Month],$R983))</f>
        <v>500</v>
      </c>
      <c r="T983" s="56">
        <f>IF($I983="","",$I983*Settings!$C$11)</f>
        <v>500</v>
      </c>
      <c r="U983" s="57" t="str">
        <f t="shared" si="172"/>
        <v>OK</v>
      </c>
      <c r="V983" s="55" t="str">
        <f t="shared" si="176"/>
        <v/>
      </c>
      <c r="W983" s="55" t="str">
        <f>IF($V983="","",IF(COUNTIF($V$5:$V983,$V983)=1,1,""))</f>
        <v/>
      </c>
      <c r="X983" s="58" t="str">
        <f>IF($W983="","",MAX($X$4:X982)+1)</f>
        <v/>
      </c>
      <c r="Y983" s="62"/>
      <c r="Z983" s="62"/>
      <c r="AA983" s="64" t="str">
        <f>IF($C983="","",IFERROR(INDEX('Staff Directory'!$E$5:$E$594,MATCH($C983,'Staff Directory'!$B$5:$B$594,0)),""))</f>
        <v>firstname190.lastname190@example.com</v>
      </c>
      <c r="AB983" s="64" t="str">
        <f>IF($C983="","",IF(ISNUMBER(SEARCH($D983,Settings!$C$15)),"Pickup","Dispatch"))</f>
        <v>Pickup</v>
      </c>
      <c r="AC983" s="64" t="str">
        <f t="shared" si="177"/>
        <v>Supply order ready for pickup</v>
      </c>
      <c r="AD983" s="64" t="str">
        <f t="shared" si="168"/>
        <v>Dear PSW,
Your order is ready for pickup from Sample Branch, Wed-Fri 9am-4pm.</v>
      </c>
      <c r="AE983" s="64" t="str">
        <f t="shared" si="169"/>
        <v>mailto:firstname190.lastname190@example.com?subject=Supply%20order%20ready%20for%20pickup&amp;body=Dear%20PSW%2C%0A%0AYour%20order%20is%20ready%20for%20pickup%20from%20Sample%20Branch%2C%20Wed-Fri%209am-4pm.</v>
      </c>
      <c r="AF983" s="89" t="str">
        <f t="shared" si="178"/>
        <v>Draft email</v>
      </c>
      <c r="AG983" s="64" t="str">
        <f>IF($C983="","",IFERROR(INDEX('Staff Directory'!$K$595:$K$599,MATCH($C983,'Staff Directory'!$B$5:$B$599,0)),$D983))</f>
        <v>PSW</v>
      </c>
      <c r="AH983" t="str">
        <f>IF($C983="","",IFERROR(INDEX('Staff Directory'!$I$595:$I$599,MATCH($C983,'Staff Directory'!$B$5:$B$599,0))&amp;" "&amp;INDEX('Staff Directory'!$J$595:$J$599,MATCH($C983,'Staff Directory'!$B$5:$B$599,0)),$AG983))</f>
        <v>PSW</v>
      </c>
      <c r="AI983" s="102"/>
      <c r="AJ983" s="101">
        <f>IF($F983="","",SUMIFS($J$5:$J983,$F$5:$F983,$F983))</f>
        <v>55000</v>
      </c>
      <c r="AK983" s="101">
        <f t="shared" si="170"/>
        <v>54501</v>
      </c>
      <c r="AL983" s="66" t="str" cm="1">
        <f t="array" ref="AL983">IF($F983="","",IFERROR(INDEX('Lot Balance'!$B$5:$B$500,MATCH(1,INDEX(('Lot Balance'!$A$5:$A$500=$F983)*('Lot Balance'!$K$5:$K$500&lt;$AK983)*('Lot Balance'!$K$5:$K$500+'Lot Balance'!$D$5:$D$500&gt;=$AK983),0),0)),""))</f>
        <v>ZIM510329603</v>
      </c>
      <c r="AM983" s="66" t="str" cm="1">
        <f t="array" ref="AM983">IF($F983="","",IFERROR(INDEX('Lot Balance'!$B$5:$B$500,MATCH(1,INDEX(('Lot Balance'!$A$5:$A$500=$F983)*('Lot Balance'!$K$5:$K$500&lt;$AJ983)*('Lot Balance'!$K$5:$K$500+'Lot Balance'!$D$5:$D$500&gt;=$AJ983),0),0)),""))</f>
        <v>ZIM510329603</v>
      </c>
      <c r="AN983" s="66" t="str">
        <f>IF($F983="","",IF($AI983&lt;&gt;"",IF(COUNTIFS('Lot Balance'!$A$5:$A$500,$F983,'Lot Balance'!$B$5:$B$500,$AI983)=0,"⚠ override is not a lot of this item",IF($AI983=$AL983,"Override = FEFO","Override - FEFO says "&amp;$AL983)),IF($AL983="","⚠ no receipt on file for this item",IF($AM983&lt;&gt;$AL983,"FEFO auto - split, also "&amp;$AM983,"FEFO auto"))))</f>
        <v>FEFO auto</v>
      </c>
      <c r="AO983" s="114"/>
    </row>
    <row r="984" spans="1:41" x14ac:dyDescent="0.35">
      <c r="A984" s="74">
        <v>46174</v>
      </c>
      <c r="B984" s="18" t="str">
        <f>IF($C984="","",IFERROR(INDEX('Staff Directory'!$A$5:$A$594,MATCH($C984,'Staff Directory'!$B$5:$B$594,0)),"⚠ unknown staff"))</f>
        <v>PSW-127-A6</v>
      </c>
      <c r="C984" s="49" t="s">
        <v>1106</v>
      </c>
      <c r="D984" s="19" t="str">
        <f>IF($B984="","",IFERROR(INDEX('Staff Directory'!$C$5:$C$594,MATCH($B984,'Staff Directory'!$A$5:$A$594,0)),""))</f>
        <v>PSW</v>
      </c>
      <c r="E984" s="19" t="str">
        <f>IF($B984="","",IFERROR(INDEX('Staff Directory'!$D$5:$D$594,MATCH($B984,'Staff Directory'!$A$5:$A$594,0)),""))</f>
        <v>A6</v>
      </c>
      <c r="F984" s="9" t="s">
        <v>115</v>
      </c>
      <c r="G984" s="18" t="str">
        <f>IF($F984="","",IFERROR(INDEX(Items!$B$5:$B$597,MATCH($F984,Items!$A$5:$A$597,0)),"⚠ not in Items"))</f>
        <v>Wipes</v>
      </c>
      <c r="H984" s="19">
        <f>IF($F984="","",IFERROR(INDEX(Items!$C$5:$C$597,MATCH($F984,Items!$A$5:$A$597,0)),""))</f>
        <v>80</v>
      </c>
      <c r="I984" s="23">
        <f>IF($F984="","",IFERROR(INDEX(Items!$E$5:$E$597,MATCH($F984,Items!$A$5:$A$597,0)),""))</f>
        <v>80</v>
      </c>
      <c r="J984" s="115">
        <f>IF(tblIssues[[#This Row],[Qty Override]]&lt;&gt;"",tblIssues[[#This Row],[Qty Override]],IF(tblIssues[[#This Row],[Standard Issue]]="","",tblIssues[[#This Row],[Standard Issue]]))</f>
        <v>80</v>
      </c>
      <c r="K984" s="20">
        <f>IF($F984="","",IFERROR(INDEX(Items!$D$5:$D$597,MATCH($F984,Items!$A$5:$A$597,0)),""))</f>
        <v>0.1</v>
      </c>
      <c r="L984" s="21">
        <f t="shared" si="173"/>
        <v>8</v>
      </c>
      <c r="M984" s="9" t="str">
        <f t="shared" si="171"/>
        <v>LYSL500290</v>
      </c>
      <c r="N984" s="24">
        <f>IF($A984="","",WORKDAY($A984,Settings!$C$9,HolidayDates))</f>
        <v>46182</v>
      </c>
      <c r="O984" s="24">
        <f>IF($N984="","",WORKDAY($N984,Settings!$C$10,HolidayDates))</f>
        <v>46220</v>
      </c>
      <c r="P984" s="10" t="s">
        <v>501</v>
      </c>
      <c r="Q984" s="52" t="str">
        <f t="shared" si="174"/>
        <v>Collected</v>
      </c>
      <c r="R984" s="55" t="str">
        <f t="shared" si="175"/>
        <v>2026-06</v>
      </c>
      <c r="S984" s="55">
        <f>IF(OR($B984="",$F984="",$R984=""),"",SUMIFS(tblIssues[Qty Issued],tblIssues[Staff ID],$B984,tblIssues[Item Name],$F984,tblIssues[Month],$R984))</f>
        <v>80</v>
      </c>
      <c r="T984" s="56">
        <f>IF($I984="","",$I984*Settings!$C$11)</f>
        <v>80</v>
      </c>
      <c r="U984" s="57" t="str">
        <f t="shared" si="172"/>
        <v>OK</v>
      </c>
      <c r="V984" s="55" t="str">
        <f t="shared" si="176"/>
        <v/>
      </c>
      <c r="W984" s="55" t="str">
        <f>IF($V984="","",IF(COUNTIF($V$5:$V984,$V984)=1,1,""))</f>
        <v/>
      </c>
      <c r="X984" s="58" t="str">
        <f>IF($W984="","",MAX($X$4:X983)+1)</f>
        <v/>
      </c>
      <c r="Y984" s="62"/>
      <c r="Z984" s="62"/>
      <c r="AA984" s="64" t="str">
        <f>IF($C984="","",IFERROR(INDEX('Staff Directory'!$E$5:$E$594,MATCH($C984,'Staff Directory'!$B$5:$B$594,0)),""))</f>
        <v>firstname190.lastname190@example.com</v>
      </c>
      <c r="AB984" s="64" t="str">
        <f>IF($C984="","",IF(ISNUMBER(SEARCH($D984,Settings!$C$15)),"Pickup","Dispatch"))</f>
        <v>Pickup</v>
      </c>
      <c r="AC984" s="64" t="str">
        <f t="shared" si="177"/>
        <v>Supply order ready for pickup</v>
      </c>
      <c r="AD984" s="64" t="str">
        <f t="shared" si="168"/>
        <v>Dear PSW,
Your order is ready for pickup from Sample Branch, Wed-Fri 9am-4pm.</v>
      </c>
      <c r="AE984" s="64" t="str">
        <f t="shared" si="169"/>
        <v>mailto:firstname190.lastname190@example.com?subject=Supply%20order%20ready%20for%20pickup&amp;body=Dear%20PSW%2C%0A%0AYour%20order%20is%20ready%20for%20pickup%20from%20Sample%20Branch%2C%20Wed-Fri%209am-4pm.</v>
      </c>
      <c r="AF984" s="89" t="str">
        <f t="shared" si="178"/>
        <v>Draft email</v>
      </c>
      <c r="AG984" s="64" t="str">
        <f>IF($C984="","",IFERROR(INDEX('Staff Directory'!$K$595:$K$599,MATCH($C984,'Staff Directory'!$B$5:$B$599,0)),$D984))</f>
        <v>PSW</v>
      </c>
      <c r="AH984" t="str">
        <f>IF($C984="","",IFERROR(INDEX('Staff Directory'!$I$595:$I$599,MATCH($C984,'Staff Directory'!$B$5:$B$599,0))&amp;" "&amp;INDEX('Staff Directory'!$J$595:$J$599,MATCH($C984,'Staff Directory'!$B$5:$B$599,0)),$AG984))</f>
        <v>PSW</v>
      </c>
      <c r="AI984" s="102"/>
      <c r="AJ984" s="101">
        <f>IF($F984="","",SUMIFS($J$5:$J984,$F$5:$F984,$F984))</f>
        <v>12800</v>
      </c>
      <c r="AK984" s="101">
        <f t="shared" si="170"/>
        <v>12721</v>
      </c>
      <c r="AL984" s="66" t="str" cm="1">
        <f t="array" ref="AL984">IF($F984="","",IFERROR(INDEX('Lot Balance'!$B$5:$B$500,MATCH(1,INDEX(('Lot Balance'!$A$5:$A$500=$F984)*('Lot Balance'!$K$5:$K$500&lt;$AK984)*('Lot Balance'!$K$5:$K$500+'Lot Balance'!$D$5:$D$500&gt;=$AK984),0),0)),""))</f>
        <v>LYSL500290</v>
      </c>
      <c r="AM984" s="66" t="str" cm="1">
        <f t="array" ref="AM984">IF($F984="","",IFERROR(INDEX('Lot Balance'!$B$5:$B$500,MATCH(1,INDEX(('Lot Balance'!$A$5:$A$500=$F984)*('Lot Balance'!$K$5:$K$500&lt;$AJ984)*('Lot Balance'!$K$5:$K$500+'Lot Balance'!$D$5:$D$500&gt;=$AJ984),0),0)),""))</f>
        <v>LYSL500290</v>
      </c>
      <c r="AN984" s="66" t="str">
        <f>IF($F984="","",IF($AI984&lt;&gt;"",IF(COUNTIFS('Lot Balance'!$A$5:$A$500,$F984,'Lot Balance'!$B$5:$B$500,$AI984)=0,"⚠ override is not a lot of this item",IF($AI984=$AL984,"Override = FEFO","Override - FEFO says "&amp;$AL984)),IF($AL984="","⚠ no receipt on file for this item",IF($AM984&lt;&gt;$AL984,"FEFO auto - split, also "&amp;$AM984,"FEFO auto"))))</f>
        <v>FEFO auto</v>
      </c>
      <c r="AO984" s="114"/>
    </row>
    <row r="985" spans="1:41" x14ac:dyDescent="0.35">
      <c r="A985" s="74">
        <v>46174</v>
      </c>
      <c r="B985" s="18" t="str">
        <f>IF($C985="","",IFERROR(INDEX('Staff Directory'!$A$5:$A$594,MATCH($C985,'Staff Directory'!$B$5:$B$594,0)),"⚠ unknown staff"))</f>
        <v>PSW-105-A5</v>
      </c>
      <c r="C985" s="49" t="s">
        <v>1083</v>
      </c>
      <c r="D985" s="19" t="str">
        <f>IF($B985="","",IFERROR(INDEX('Staff Directory'!$C$5:$C$594,MATCH($B985,'Staff Directory'!$A$5:$A$594,0)),""))</f>
        <v>PSW</v>
      </c>
      <c r="E985" s="19" t="str">
        <f>IF($B985="","",IFERROR(INDEX('Staff Directory'!$D$5:$D$594,MATCH($B985,'Staff Directory'!$A$5:$A$594,0)),""))</f>
        <v>A5</v>
      </c>
      <c r="F985" s="9" t="s">
        <v>127</v>
      </c>
      <c r="G985" s="18" t="str">
        <f>IF($F985="","",IFERROR(INDEX(Items!$B$5:$B$597,MATCH($F985,Items!$A$5:$A$597,0)),"⚠ not in Items"))</f>
        <v>Gloves</v>
      </c>
      <c r="H985" s="19" t="str">
        <f>IF($F985="","",IFERROR(INDEX(Items!$C$5:$C$597,MATCH($F985,Items!$A$5:$A$597,0)),""))</f>
        <v>Medium</v>
      </c>
      <c r="I985" s="23">
        <f>IF($F985="","",IFERROR(INDEX(Items!$E$5:$E$597,MATCH($F985,Items!$A$5:$A$597,0)),""))</f>
        <v>500</v>
      </c>
      <c r="J985" s="115">
        <f>IF(tblIssues[[#This Row],[Qty Override]]&lt;&gt;"",tblIssues[[#This Row],[Qty Override]],IF(tblIssues[[#This Row],[Standard Issue]]="","",tblIssues[[#This Row],[Standard Issue]]))</f>
        <v>500</v>
      </c>
      <c r="K985" s="20">
        <f>IF($F985="","",IFERROR(INDEX(Items!$D$5:$D$597,MATCH($F985,Items!$A$5:$A$597,0)),""))</f>
        <v>5.5E-2</v>
      </c>
      <c r="L985" s="21">
        <f t="shared" si="173"/>
        <v>27.5</v>
      </c>
      <c r="M985" s="9" t="str">
        <f t="shared" si="171"/>
        <v>ZIM510329603</v>
      </c>
      <c r="N985" s="24">
        <f>IF($A985="","",WORKDAY($A985,Settings!$C$9,HolidayDates))</f>
        <v>46182</v>
      </c>
      <c r="O985" s="24">
        <f>IF($N985="","",WORKDAY($N985,Settings!$C$10,HolidayDates))</f>
        <v>46220</v>
      </c>
      <c r="P985" s="10" t="s">
        <v>501</v>
      </c>
      <c r="Q985" s="52" t="str">
        <f t="shared" si="174"/>
        <v>Collected</v>
      </c>
      <c r="R985" s="55" t="str">
        <f t="shared" si="175"/>
        <v>2026-06</v>
      </c>
      <c r="S985" s="55">
        <f>IF(OR($B985="",$F985="",$R985=""),"",SUMIFS(tblIssues[Qty Issued],tblIssues[Staff ID],$B985,tblIssues[Item Name],$F985,tblIssues[Month],$R985))</f>
        <v>500</v>
      </c>
      <c r="T985" s="56">
        <f>IF($I985="","",$I985*Settings!$C$11)</f>
        <v>500</v>
      </c>
      <c r="U985" s="57" t="str">
        <f t="shared" si="172"/>
        <v>OK</v>
      </c>
      <c r="V985" s="55" t="str">
        <f t="shared" si="176"/>
        <v/>
      </c>
      <c r="W985" s="55" t="str">
        <f>IF($V985="","",IF(COUNTIF($V$5:$V985,$V985)=1,1,""))</f>
        <v/>
      </c>
      <c r="X985" s="58" t="str">
        <f>IF($W985="","",MAX($X$4:X984)+1)</f>
        <v/>
      </c>
      <c r="Y985" s="62"/>
      <c r="Z985" s="62"/>
      <c r="AA985" s="64" t="str">
        <f>IF($C985="","",IFERROR(INDEX('Staff Directory'!$E$5:$E$594,MATCH($C985,'Staff Directory'!$B$5:$B$594,0)),""))</f>
        <v>firstname167.lastname167@example.com</v>
      </c>
      <c r="AB985" s="64" t="str">
        <f>IF($C985="","",IF(ISNUMBER(SEARCH($D985,Settings!$C$15)),"Pickup","Dispatch"))</f>
        <v>Pickup</v>
      </c>
      <c r="AC985" s="64" t="str">
        <f t="shared" si="177"/>
        <v>Supply order ready for pickup</v>
      </c>
      <c r="AD985" s="64" t="str">
        <f t="shared" si="168"/>
        <v>Dear PSW,
Your order is ready for pickup from Sample Branch, Wed-Fri 9am-4pm.</v>
      </c>
      <c r="AE985" s="64" t="str">
        <f t="shared" si="169"/>
        <v>mailto:firstname167.lastname167@example.com?subject=Supply%20order%20ready%20for%20pickup&amp;body=Dear%20PSW%2C%0A%0AYour%20order%20is%20ready%20for%20pickup%20from%20Sample%20Branch%2C%20Wed-Fri%209am-4pm.</v>
      </c>
      <c r="AF985" s="89" t="str">
        <f t="shared" si="178"/>
        <v>Draft email</v>
      </c>
      <c r="AG985" s="64" t="str">
        <f>IF($C985="","",IFERROR(INDEX('Staff Directory'!$K$595:$K$599,MATCH($C985,'Staff Directory'!$B$5:$B$599,0)),$D985))</f>
        <v>PSW</v>
      </c>
      <c r="AH985" t="str">
        <f>IF($C985="","",IFERROR(INDEX('Staff Directory'!$I$595:$I$599,MATCH($C985,'Staff Directory'!$B$5:$B$599,0))&amp;" "&amp;INDEX('Staff Directory'!$J$595:$J$599,MATCH($C985,'Staff Directory'!$B$5:$B$599,0)),$AG985))</f>
        <v>PSW</v>
      </c>
      <c r="AI985" s="102"/>
      <c r="AJ985" s="101">
        <f>IF($F985="","",SUMIFS($J$5:$J985,$F$5:$F985,$F985))</f>
        <v>55500</v>
      </c>
      <c r="AK985" s="101">
        <f t="shared" si="170"/>
        <v>55001</v>
      </c>
      <c r="AL985" s="66" t="str" cm="1">
        <f t="array" ref="AL985">IF($F985="","",IFERROR(INDEX('Lot Balance'!$B$5:$B$500,MATCH(1,INDEX(('Lot Balance'!$A$5:$A$500=$F985)*('Lot Balance'!$K$5:$K$500&lt;$AK985)*('Lot Balance'!$K$5:$K$500+'Lot Balance'!$D$5:$D$500&gt;=$AK985),0),0)),""))</f>
        <v>ZIM510329603</v>
      </c>
      <c r="AM985" s="66" t="str" cm="1">
        <f t="array" ref="AM985">IF($F985="","",IFERROR(INDEX('Lot Balance'!$B$5:$B$500,MATCH(1,INDEX(('Lot Balance'!$A$5:$A$500=$F985)*('Lot Balance'!$K$5:$K$500&lt;$AJ985)*('Lot Balance'!$K$5:$K$500+'Lot Balance'!$D$5:$D$500&gt;=$AJ985),0),0)),""))</f>
        <v>ZIM510329603</v>
      </c>
      <c r="AN985" s="66" t="str">
        <f>IF($F985="","",IF($AI985&lt;&gt;"",IF(COUNTIFS('Lot Balance'!$A$5:$A$500,$F985,'Lot Balance'!$B$5:$B$500,$AI985)=0,"⚠ override is not a lot of this item",IF($AI985=$AL985,"Override = FEFO","Override - FEFO says "&amp;$AL985)),IF($AL985="","⚠ no receipt on file for this item",IF($AM985&lt;&gt;$AL985,"FEFO auto - split, also "&amp;$AM985,"FEFO auto"))))</f>
        <v>FEFO auto</v>
      </c>
      <c r="AO985" s="114"/>
    </row>
    <row r="986" spans="1:41" x14ac:dyDescent="0.35">
      <c r="A986" s="74">
        <v>46174</v>
      </c>
      <c r="B986" s="18" t="str">
        <f>IF($C986="","",IFERROR(INDEX('Staff Directory'!$A$5:$A$594,MATCH($C986,'Staff Directory'!$B$5:$B$594,0)),"⚠ unknown staff"))</f>
        <v>PSW-105-A5</v>
      </c>
      <c r="C986" s="49" t="s">
        <v>1083</v>
      </c>
      <c r="D986" s="19" t="str">
        <f>IF($B986="","",IFERROR(INDEX('Staff Directory'!$C$5:$C$594,MATCH($B986,'Staff Directory'!$A$5:$A$594,0)),""))</f>
        <v>PSW</v>
      </c>
      <c r="E986" s="19" t="str">
        <f>IF($B986="","",IFERROR(INDEX('Staff Directory'!$D$5:$D$594,MATCH($B986,'Staff Directory'!$A$5:$A$594,0)),""))</f>
        <v>A5</v>
      </c>
      <c r="F986" s="9" t="s">
        <v>191</v>
      </c>
      <c r="G986" s="18" t="str">
        <f>IF($F986="","",IFERROR(INDEX(Items!$B$5:$B$597,MATCH($F986,Items!$A$5:$A$597,0)),"⚠ not in Items"))</f>
        <v>Sanitizer</v>
      </c>
      <c r="H986" s="19" t="str">
        <f>IF($F986="","",IFERROR(INDEX(Items!$C$5:$C$597,MATCH($F986,Items!$A$5:$A$597,0)),""))</f>
        <v>236 ML</v>
      </c>
      <c r="I986" s="23">
        <f>IF($F986="","",IFERROR(INDEX(Items!$E$5:$E$597,MATCH($F986,Items!$A$5:$A$597,0)),""))</f>
        <v>1</v>
      </c>
      <c r="J986" s="115">
        <f>IF(tblIssues[[#This Row],[Qty Override]]&lt;&gt;"",tblIssues[[#This Row],[Qty Override]],IF(tblIssues[[#This Row],[Standard Issue]]="","",tblIssues[[#This Row],[Standard Issue]]))</f>
        <v>1</v>
      </c>
      <c r="K986" s="20">
        <f>IF($F986="","",IFERROR(INDEX(Items!$D$5:$D$597,MATCH($F986,Items!$A$5:$A$597,0)),""))</f>
        <v>1E-4</v>
      </c>
      <c r="L986" s="21">
        <f t="shared" si="173"/>
        <v>1E-4</v>
      </c>
      <c r="M986" s="9" t="str">
        <f t="shared" si="171"/>
        <v>20-21734-4</v>
      </c>
      <c r="N986" s="24">
        <f>IF($A986="","",WORKDAY($A986,Settings!$C$9,HolidayDates))</f>
        <v>46182</v>
      </c>
      <c r="O986" s="24">
        <f>IF($N986="","",WORKDAY($N986,Settings!$C$10,HolidayDates))</f>
        <v>46220</v>
      </c>
      <c r="P986" s="10" t="s">
        <v>501</v>
      </c>
      <c r="Q986" s="52" t="str">
        <f t="shared" si="174"/>
        <v>Collected</v>
      </c>
      <c r="R986" s="55" t="str">
        <f t="shared" si="175"/>
        <v>2026-06</v>
      </c>
      <c r="S986" s="55">
        <f>IF(OR($B986="",$F986="",$R986=""),"",SUMIFS(tblIssues[Qty Issued],tblIssues[Staff ID],$B986,tblIssues[Item Name],$F986,tblIssues[Month],$R986))</f>
        <v>1</v>
      </c>
      <c r="T986" s="56">
        <f>IF($I986="","",$I986*Settings!$C$11)</f>
        <v>1</v>
      </c>
      <c r="U986" s="57" t="str">
        <f t="shared" si="172"/>
        <v>OK</v>
      </c>
      <c r="V986" s="55" t="str">
        <f t="shared" si="176"/>
        <v/>
      </c>
      <c r="W986" s="55" t="str">
        <f>IF($V986="","",IF(COUNTIF($V$5:$V986,$V986)=1,1,""))</f>
        <v/>
      </c>
      <c r="X986" s="58" t="str">
        <f>IF($W986="","",MAX($X$4:X985)+1)</f>
        <v/>
      </c>
      <c r="Y986" s="62"/>
      <c r="Z986" s="62"/>
      <c r="AA986" s="64" t="str">
        <f>IF($C986="","",IFERROR(INDEX('Staff Directory'!$E$5:$E$594,MATCH($C986,'Staff Directory'!$B$5:$B$594,0)),""))</f>
        <v>firstname167.lastname167@example.com</v>
      </c>
      <c r="AB986" s="64" t="str">
        <f>IF($C986="","",IF(ISNUMBER(SEARCH($D986,Settings!$C$15)),"Pickup","Dispatch"))</f>
        <v>Pickup</v>
      </c>
      <c r="AC986" s="64" t="str">
        <f t="shared" si="177"/>
        <v>Supply order ready for pickup</v>
      </c>
      <c r="AD986" s="64" t="str">
        <f t="shared" si="168"/>
        <v>Dear PSW,
Your order is ready for pickup from Sample Branch, Wed-Fri 9am-4pm.</v>
      </c>
      <c r="AE986" s="64" t="str">
        <f t="shared" si="169"/>
        <v>mailto:firstname167.lastname167@example.com?subject=Supply%20order%20ready%20for%20pickup&amp;body=Dear%20PSW%2C%0A%0AYour%20order%20is%20ready%20for%20pickup%20from%20Sample%20Branch%2C%20Wed-Fri%209am-4pm.</v>
      </c>
      <c r="AF986" s="89" t="str">
        <f t="shared" si="178"/>
        <v>Draft email</v>
      </c>
      <c r="AG986" s="64" t="str">
        <f>IF($C986="","",IFERROR(INDEX('Staff Directory'!$K$595:$K$599,MATCH($C986,'Staff Directory'!$B$5:$B$599,0)),$D986))</f>
        <v>PSW</v>
      </c>
      <c r="AH986" t="str">
        <f>IF($C986="","",IFERROR(INDEX('Staff Directory'!$I$595:$I$599,MATCH($C986,'Staff Directory'!$B$5:$B$599,0))&amp;" "&amp;INDEX('Staff Directory'!$J$595:$J$599,MATCH($C986,'Staff Directory'!$B$5:$B$599,0)),$AG986))</f>
        <v>PSW</v>
      </c>
      <c r="AI986" s="102"/>
      <c r="AJ986" s="101">
        <f>IF($F986="","",SUMIFS($J$5:$J986,$F$5:$F986,$F986))</f>
        <v>111</v>
      </c>
      <c r="AK986" s="101">
        <f t="shared" si="170"/>
        <v>111</v>
      </c>
      <c r="AL986" s="66" t="str" cm="1">
        <f t="array" ref="AL986">IF($F986="","",IFERROR(INDEX('Lot Balance'!$B$5:$B$500,MATCH(1,INDEX(('Lot Balance'!$A$5:$A$500=$F986)*('Lot Balance'!$K$5:$K$500&lt;$AK986)*('Lot Balance'!$K$5:$K$500+'Lot Balance'!$D$5:$D$500&gt;=$AK986),0),0)),""))</f>
        <v>20-21734-4</v>
      </c>
      <c r="AM986" s="66" t="str" cm="1">
        <f t="array" ref="AM986">IF($F986="","",IFERROR(INDEX('Lot Balance'!$B$5:$B$500,MATCH(1,INDEX(('Lot Balance'!$A$5:$A$500=$F986)*('Lot Balance'!$K$5:$K$500&lt;$AJ986)*('Lot Balance'!$K$5:$K$500+'Lot Balance'!$D$5:$D$500&gt;=$AJ986),0),0)),""))</f>
        <v>20-21734-4</v>
      </c>
      <c r="AN986" s="66" t="str">
        <f>IF($F986="","",IF($AI986&lt;&gt;"",IF(COUNTIFS('Lot Balance'!$A$5:$A$500,$F986,'Lot Balance'!$B$5:$B$500,$AI986)=0,"⚠ override is not a lot of this item",IF($AI986=$AL986,"Override = FEFO","Override - FEFO says "&amp;$AL986)),IF($AL986="","⚠ no receipt on file for this item",IF($AM986&lt;&gt;$AL986,"FEFO auto - split, also "&amp;$AM986,"FEFO auto"))))</f>
        <v>FEFO auto</v>
      </c>
      <c r="AO986" s="114"/>
    </row>
    <row r="987" spans="1:41" x14ac:dyDescent="0.35">
      <c r="A987" s="74">
        <v>46174</v>
      </c>
      <c r="B987" s="18" t="str">
        <f>IF($C987="","",IFERROR(INDEX('Staff Directory'!$A$5:$A$594,MATCH($C987,'Staff Directory'!$B$5:$B$594,0)),"⚠ unknown staff"))</f>
        <v>PSW-105-A5</v>
      </c>
      <c r="C987" s="49" t="s">
        <v>1083</v>
      </c>
      <c r="D987" s="19" t="str">
        <f>IF($B987="","",IFERROR(INDEX('Staff Directory'!$C$5:$C$594,MATCH($B987,'Staff Directory'!$A$5:$A$594,0)),""))</f>
        <v>PSW</v>
      </c>
      <c r="E987" s="19" t="str">
        <f>IF($B987="","",IFERROR(INDEX('Staff Directory'!$D$5:$D$594,MATCH($B987,'Staff Directory'!$A$5:$A$594,0)),""))</f>
        <v>A5</v>
      </c>
      <c r="F987" s="9" t="s">
        <v>115</v>
      </c>
      <c r="G987" s="18" t="str">
        <f>IF($F987="","",IFERROR(INDEX(Items!$B$5:$B$597,MATCH($F987,Items!$A$5:$A$597,0)),"⚠ not in Items"))</f>
        <v>Wipes</v>
      </c>
      <c r="H987" s="19">
        <f>IF($F987="","",IFERROR(INDEX(Items!$C$5:$C$597,MATCH($F987,Items!$A$5:$A$597,0)),""))</f>
        <v>80</v>
      </c>
      <c r="I987" s="23">
        <f>IF($F987="","",IFERROR(INDEX(Items!$E$5:$E$597,MATCH($F987,Items!$A$5:$A$597,0)),""))</f>
        <v>80</v>
      </c>
      <c r="J987" s="115">
        <f>IF(tblIssues[[#This Row],[Qty Override]]&lt;&gt;"",tblIssues[[#This Row],[Qty Override]],IF(tblIssues[[#This Row],[Standard Issue]]="","",tblIssues[[#This Row],[Standard Issue]]))</f>
        <v>80</v>
      </c>
      <c r="K987" s="20">
        <f>IF($F987="","",IFERROR(INDEX(Items!$D$5:$D$597,MATCH($F987,Items!$A$5:$A$597,0)),""))</f>
        <v>0.1</v>
      </c>
      <c r="L987" s="21">
        <f t="shared" si="173"/>
        <v>8</v>
      </c>
      <c r="M987" s="9" t="str">
        <f t="shared" si="171"/>
        <v>LYSL500290</v>
      </c>
      <c r="N987" s="24">
        <f>IF($A987="","",WORKDAY($A987,Settings!$C$9,HolidayDates))</f>
        <v>46182</v>
      </c>
      <c r="O987" s="24">
        <f>IF($N987="","",WORKDAY($N987,Settings!$C$10,HolidayDates))</f>
        <v>46220</v>
      </c>
      <c r="P987" s="10" t="s">
        <v>501</v>
      </c>
      <c r="Q987" s="52" t="str">
        <f t="shared" si="174"/>
        <v>Collected</v>
      </c>
      <c r="R987" s="55" t="str">
        <f t="shared" si="175"/>
        <v>2026-06</v>
      </c>
      <c r="S987" s="55">
        <f>IF(OR($B987="",$F987="",$R987=""),"",SUMIFS(tblIssues[Qty Issued],tblIssues[Staff ID],$B987,tblIssues[Item Name],$F987,tblIssues[Month],$R987))</f>
        <v>80</v>
      </c>
      <c r="T987" s="56">
        <f>IF($I987="","",$I987*Settings!$C$11)</f>
        <v>80</v>
      </c>
      <c r="U987" s="57" t="str">
        <f t="shared" si="172"/>
        <v>OK</v>
      </c>
      <c r="V987" s="55" t="str">
        <f t="shared" si="176"/>
        <v/>
      </c>
      <c r="W987" s="55" t="str">
        <f>IF($V987="","",IF(COUNTIF($V$5:$V987,$V987)=1,1,""))</f>
        <v/>
      </c>
      <c r="X987" s="58" t="str">
        <f>IF($W987="","",MAX($X$4:X986)+1)</f>
        <v/>
      </c>
      <c r="Y987" s="62"/>
      <c r="Z987" s="62"/>
      <c r="AA987" s="64" t="str">
        <f>IF($C987="","",IFERROR(INDEX('Staff Directory'!$E$5:$E$594,MATCH($C987,'Staff Directory'!$B$5:$B$594,0)),""))</f>
        <v>firstname167.lastname167@example.com</v>
      </c>
      <c r="AB987" s="64" t="str">
        <f>IF($C987="","",IF(ISNUMBER(SEARCH($D987,Settings!$C$15)),"Pickup","Dispatch"))</f>
        <v>Pickup</v>
      </c>
      <c r="AC987" s="64" t="str">
        <f t="shared" si="177"/>
        <v>Supply order ready for pickup</v>
      </c>
      <c r="AD987" s="64" t="str">
        <f t="shared" si="168"/>
        <v>Dear PSW,
Your order is ready for pickup from Sample Branch, Wed-Fri 9am-4pm.</v>
      </c>
      <c r="AE987" s="64" t="str">
        <f t="shared" si="169"/>
        <v>mailto:firstname167.lastname167@example.com?subject=Supply%20order%20ready%20for%20pickup&amp;body=Dear%20PSW%2C%0A%0AYour%20order%20is%20ready%20for%20pickup%20from%20Sample%20Branch%2C%20Wed-Fri%209am-4pm.</v>
      </c>
      <c r="AF987" s="89" t="str">
        <f t="shared" si="178"/>
        <v>Draft email</v>
      </c>
      <c r="AG987" s="64" t="str">
        <f>IF($C987="","",IFERROR(INDEX('Staff Directory'!$K$595:$K$599,MATCH($C987,'Staff Directory'!$B$5:$B$599,0)),$D987))</f>
        <v>PSW</v>
      </c>
      <c r="AH987" t="str">
        <f>IF($C987="","",IFERROR(INDEX('Staff Directory'!$I$595:$I$599,MATCH($C987,'Staff Directory'!$B$5:$B$599,0))&amp;" "&amp;INDEX('Staff Directory'!$J$595:$J$599,MATCH($C987,'Staff Directory'!$B$5:$B$599,0)),$AG987))</f>
        <v>PSW</v>
      </c>
      <c r="AI987" s="102"/>
      <c r="AJ987" s="101">
        <f>IF($F987="","",SUMIFS($J$5:$J987,$F$5:$F987,$F987))</f>
        <v>12880</v>
      </c>
      <c r="AK987" s="101">
        <f t="shared" si="170"/>
        <v>12801</v>
      </c>
      <c r="AL987" s="66" t="str" cm="1">
        <f t="array" ref="AL987">IF($F987="","",IFERROR(INDEX('Lot Balance'!$B$5:$B$500,MATCH(1,INDEX(('Lot Balance'!$A$5:$A$500=$F987)*('Lot Balance'!$K$5:$K$500&lt;$AK987)*('Lot Balance'!$K$5:$K$500+'Lot Balance'!$D$5:$D$500&gt;=$AK987),0),0)),""))</f>
        <v>LYSL500290</v>
      </c>
      <c r="AM987" s="66" t="str" cm="1">
        <f t="array" ref="AM987">IF($F987="","",IFERROR(INDEX('Lot Balance'!$B$5:$B$500,MATCH(1,INDEX(('Lot Balance'!$A$5:$A$500=$F987)*('Lot Balance'!$K$5:$K$500&lt;$AJ987)*('Lot Balance'!$K$5:$K$500+'Lot Balance'!$D$5:$D$500&gt;=$AJ987),0),0)),""))</f>
        <v>LYSL500290</v>
      </c>
      <c r="AN987" s="66" t="str">
        <f>IF($F987="","",IF($AI987&lt;&gt;"",IF(COUNTIFS('Lot Balance'!$A$5:$A$500,$F987,'Lot Balance'!$B$5:$B$500,$AI987)=0,"⚠ override is not a lot of this item",IF($AI987=$AL987,"Override = FEFO","Override - FEFO says "&amp;$AL987)),IF($AL987="","⚠ no receipt on file for this item",IF($AM987&lt;&gt;$AL987,"FEFO auto - split, also "&amp;$AM987,"FEFO auto"))))</f>
        <v>FEFO auto</v>
      </c>
      <c r="AO987" s="114"/>
    </row>
    <row r="988" spans="1:41" x14ac:dyDescent="0.35">
      <c r="A988" s="74">
        <v>46174</v>
      </c>
      <c r="B988" s="18" t="str">
        <f>IF($C988="","",IFERROR(INDEX('Staff Directory'!$A$5:$A$594,MATCH($C988,'Staff Directory'!$B$5:$B$594,0)),"⚠ unknown staff"))</f>
        <v>PSW-105-A5</v>
      </c>
      <c r="C988" s="49" t="s">
        <v>1083</v>
      </c>
      <c r="D988" s="19" t="str">
        <f>IF($B988="","",IFERROR(INDEX('Staff Directory'!$C$5:$C$594,MATCH($B988,'Staff Directory'!$A$5:$A$594,0)),""))</f>
        <v>PSW</v>
      </c>
      <c r="E988" s="19" t="str">
        <f>IF($B988="","",IFERROR(INDEX('Staff Directory'!$D$5:$D$594,MATCH($B988,'Staff Directory'!$A$5:$A$594,0)),""))</f>
        <v>A5</v>
      </c>
      <c r="F988" s="9" t="s">
        <v>156</v>
      </c>
      <c r="G988" s="18" t="str">
        <f>IF($F988="","",IFERROR(INDEX(Items!$B$5:$B$597,MATCH($F988,Items!$A$5:$A$597,0)),"⚠ not in Items"))</f>
        <v>Masks</v>
      </c>
      <c r="H988" s="19" t="str">
        <f>IF($F988="","",IFERROR(INDEX(Items!$C$5:$C$597,MATCH($F988,Items!$A$5:$A$597,0)),""))</f>
        <v>One Size</v>
      </c>
      <c r="I988" s="23">
        <f>IF($F988="","",IFERROR(INDEX(Items!$E$5:$E$597,MATCH($F988,Items!$A$5:$A$597,0)),""))</f>
        <v>50</v>
      </c>
      <c r="J988" s="115">
        <f>IF(tblIssues[[#This Row],[Qty Override]]&lt;&gt;"",tblIssues[[#This Row],[Qty Override]],IF(tblIssues[[#This Row],[Standard Issue]]="","",tblIssues[[#This Row],[Standard Issue]]))</f>
        <v>50</v>
      </c>
      <c r="K988" s="20">
        <f>IF($F988="","",IFERROR(INDEX(Items!$D$5:$D$597,MATCH($F988,Items!$A$5:$A$597,0)),""))</f>
        <v>0.25</v>
      </c>
      <c r="L988" s="21">
        <f t="shared" si="173"/>
        <v>12.5</v>
      </c>
      <c r="M988" s="9" t="str">
        <f t="shared" si="171"/>
        <v>0125FPC24-2</v>
      </c>
      <c r="N988" s="24">
        <f>IF($A988="","",WORKDAY($A988,Settings!$C$9,HolidayDates))</f>
        <v>46182</v>
      </c>
      <c r="O988" s="24">
        <f>IF($N988="","",WORKDAY($N988,Settings!$C$10,HolidayDates))</f>
        <v>46220</v>
      </c>
      <c r="P988" s="10" t="s">
        <v>501</v>
      </c>
      <c r="Q988" s="52" t="str">
        <f t="shared" si="174"/>
        <v>Collected</v>
      </c>
      <c r="R988" s="55" t="str">
        <f t="shared" si="175"/>
        <v>2026-06</v>
      </c>
      <c r="S988" s="55">
        <f>IF(OR($B988="",$F988="",$R988=""),"",SUMIFS(tblIssues[Qty Issued],tblIssues[Staff ID],$B988,tblIssues[Item Name],$F988,tblIssues[Month],$R988))</f>
        <v>50</v>
      </c>
      <c r="T988" s="56">
        <f>IF($I988="","",$I988*Settings!$C$11)</f>
        <v>50</v>
      </c>
      <c r="U988" s="57" t="str">
        <f t="shared" si="172"/>
        <v>OK</v>
      </c>
      <c r="V988" s="55" t="str">
        <f t="shared" si="176"/>
        <v/>
      </c>
      <c r="W988" s="55" t="str">
        <f>IF($V988="","",IF(COUNTIF($V$5:$V988,$V988)=1,1,""))</f>
        <v/>
      </c>
      <c r="X988" s="58" t="str">
        <f>IF($W988="","",MAX($X$4:X987)+1)</f>
        <v/>
      </c>
      <c r="Y988" s="62"/>
      <c r="Z988" s="62"/>
      <c r="AA988" s="64" t="str">
        <f>IF($C988="","",IFERROR(INDEX('Staff Directory'!$E$5:$E$594,MATCH($C988,'Staff Directory'!$B$5:$B$594,0)),""))</f>
        <v>firstname167.lastname167@example.com</v>
      </c>
      <c r="AB988" s="64" t="str">
        <f>IF($C988="","",IF(ISNUMBER(SEARCH($D988,Settings!$C$15)),"Pickup","Dispatch"))</f>
        <v>Pickup</v>
      </c>
      <c r="AC988" s="64" t="str">
        <f t="shared" si="177"/>
        <v>Supply order ready for pickup</v>
      </c>
      <c r="AD988" s="64" t="str">
        <f t="shared" si="168"/>
        <v>Dear PSW,
Your order is ready for pickup from Sample Branch, Wed-Fri 9am-4pm.</v>
      </c>
      <c r="AE988" s="64" t="str">
        <f t="shared" si="169"/>
        <v>mailto:firstname167.lastname167@example.com?subject=Supply%20order%20ready%20for%20pickup&amp;body=Dear%20PSW%2C%0A%0AYour%20order%20is%20ready%20for%20pickup%20from%20Sample%20Branch%2C%20Wed-Fri%209am-4pm.</v>
      </c>
      <c r="AF988" s="89" t="str">
        <f t="shared" si="178"/>
        <v>Draft email</v>
      </c>
      <c r="AG988" s="64" t="str">
        <f>IF($C988="","",IFERROR(INDEX('Staff Directory'!$K$595:$K$599,MATCH($C988,'Staff Directory'!$B$5:$B$599,0)),$D988))</f>
        <v>PSW</v>
      </c>
      <c r="AH988" t="str">
        <f>IF($C988="","",IFERROR(INDEX('Staff Directory'!$I$595:$I$599,MATCH($C988,'Staff Directory'!$B$5:$B$599,0))&amp;" "&amp;INDEX('Staff Directory'!$J$595:$J$599,MATCH($C988,'Staff Directory'!$B$5:$B$599,0)),$AG988))</f>
        <v>PSW</v>
      </c>
      <c r="AI988" s="102"/>
      <c r="AJ988" s="101">
        <f>IF($F988="","",SUMIFS($J$5:$J988,$F$5:$F988,$F988))</f>
        <v>7450</v>
      </c>
      <c r="AK988" s="101">
        <f t="shared" si="170"/>
        <v>7401</v>
      </c>
      <c r="AL988" s="66" t="str" cm="1">
        <f t="array" ref="AL988">IF($F988="","",IFERROR(INDEX('Lot Balance'!$B$5:$B$500,MATCH(1,INDEX(('Lot Balance'!$A$5:$A$500=$F988)*('Lot Balance'!$K$5:$K$500&lt;$AK988)*('Lot Balance'!$K$5:$K$500+'Lot Balance'!$D$5:$D$500&gt;=$AK988),0),0)),""))</f>
        <v>0125FPC24-2</v>
      </c>
      <c r="AM988" s="66" t="str" cm="1">
        <f t="array" ref="AM988">IF($F988="","",IFERROR(INDEX('Lot Balance'!$B$5:$B$500,MATCH(1,INDEX(('Lot Balance'!$A$5:$A$500=$F988)*('Lot Balance'!$K$5:$K$500&lt;$AJ988)*('Lot Balance'!$K$5:$K$500+'Lot Balance'!$D$5:$D$500&gt;=$AJ988),0),0)),""))</f>
        <v>0125FPC24-2</v>
      </c>
      <c r="AN988" s="66" t="str">
        <f>IF($F988="","",IF($AI988&lt;&gt;"",IF(COUNTIFS('Lot Balance'!$A$5:$A$500,$F988,'Lot Balance'!$B$5:$B$500,$AI988)=0,"⚠ override is not a lot of this item",IF($AI988=$AL988,"Override = FEFO","Override - FEFO says "&amp;$AL988)),IF($AL988="","⚠ no receipt on file for this item",IF($AM988&lt;&gt;$AL988,"FEFO auto - split, also "&amp;$AM988,"FEFO auto"))))</f>
        <v>FEFO auto</v>
      </c>
      <c r="AO988" s="114"/>
    </row>
    <row r="989" spans="1:41" x14ac:dyDescent="0.35">
      <c r="A989" s="74">
        <v>46174</v>
      </c>
      <c r="B989" s="18" t="str">
        <f>IF($C989="","",IFERROR(INDEX('Staff Directory'!$A$5:$A$594,MATCH($C989,'Staff Directory'!$B$5:$B$594,0)),"⚠ unknown staff"))</f>
        <v>PSW-105-A5</v>
      </c>
      <c r="C989" s="49" t="s">
        <v>1083</v>
      </c>
      <c r="D989" s="19" t="str">
        <f>IF($B989="","",IFERROR(INDEX('Staff Directory'!$C$5:$C$594,MATCH($B989,'Staff Directory'!$A$5:$A$594,0)),""))</f>
        <v>PSW</v>
      </c>
      <c r="E989" s="19" t="str">
        <f>IF($B989="","",IFERROR(INDEX('Staff Directory'!$D$5:$D$594,MATCH($B989,'Staff Directory'!$A$5:$A$594,0)),""))</f>
        <v>A5</v>
      </c>
      <c r="F989" s="9" t="s">
        <v>189</v>
      </c>
      <c r="G989" s="18" t="str">
        <f>IF($F989="","",IFERROR(INDEX(Items!$B$5:$B$597,MATCH($F989,Items!$A$5:$A$597,0)),"⚠ not in Items"))</f>
        <v>Electronic</v>
      </c>
      <c r="H989" s="19" t="str">
        <f>IF($F989="","",IFERROR(INDEX(Items!$C$5:$C$597,MATCH($F989,Items!$A$5:$A$597,0)),""))</f>
        <v>Standard</v>
      </c>
      <c r="I989" s="23">
        <f>IF($F989="","",IFERROR(INDEX(Items!$E$5:$E$597,MATCH($F989,Items!$A$5:$A$597,0)),""))</f>
        <v>1</v>
      </c>
      <c r="J989" s="115">
        <f>IF(tblIssues[[#This Row],[Qty Override]]&lt;&gt;"",tblIssues[[#This Row],[Qty Override]],IF(tblIssues[[#This Row],[Standard Issue]]="","",tblIssues[[#This Row],[Standard Issue]]))</f>
        <v>1</v>
      </c>
      <c r="K989" s="20">
        <f>IF($F989="","",IFERROR(INDEX(Items!$D$5:$D$597,MATCH($F989,Items!$A$5:$A$597,0)),""))</f>
        <v>14</v>
      </c>
      <c r="L989" s="21">
        <f t="shared" si="173"/>
        <v>14</v>
      </c>
      <c r="M989" s="9" t="str">
        <f t="shared" si="171"/>
        <v/>
      </c>
      <c r="N989" s="24">
        <f>IF($A989="","",WORKDAY($A989,Settings!$C$9,HolidayDates))</f>
        <v>46182</v>
      </c>
      <c r="O989" s="24">
        <f>IF($N989="","",WORKDAY($N989,Settings!$C$10,HolidayDates))</f>
        <v>46220</v>
      </c>
      <c r="P989" s="10" t="s">
        <v>501</v>
      </c>
      <c r="Q989" s="52" t="str">
        <f t="shared" si="174"/>
        <v>Collected</v>
      </c>
      <c r="R989" s="55" t="str">
        <f t="shared" si="175"/>
        <v>2026-06</v>
      </c>
      <c r="S989" s="55">
        <f>IF(OR($B989="",$F989="",$R989=""),"",SUMIFS(tblIssues[Qty Issued],tblIssues[Staff ID],$B989,tblIssues[Item Name],$F989,tblIssues[Month],$R989))</f>
        <v>1</v>
      </c>
      <c r="T989" s="56">
        <f>IF($I989="","",$I989*Settings!$C$11)</f>
        <v>1</v>
      </c>
      <c r="U989" s="57" t="str">
        <f t="shared" si="172"/>
        <v>OK</v>
      </c>
      <c r="V989" s="55" t="str">
        <f t="shared" si="176"/>
        <v/>
      </c>
      <c r="W989" s="55" t="str">
        <f>IF($V989="","",IF(COUNTIF($V$5:$V989,$V989)=1,1,""))</f>
        <v/>
      </c>
      <c r="X989" s="58" t="str">
        <f>IF($W989="","",MAX($X$4:X988)+1)</f>
        <v/>
      </c>
      <c r="Y989" s="62"/>
      <c r="Z989" s="62"/>
      <c r="AA989" s="64" t="str">
        <f>IF($C989="","",IFERROR(INDEX('Staff Directory'!$E$5:$E$594,MATCH($C989,'Staff Directory'!$B$5:$B$594,0)),""))</f>
        <v>firstname167.lastname167@example.com</v>
      </c>
      <c r="AB989" s="64" t="str">
        <f>IF($C989="","",IF(ISNUMBER(SEARCH($D989,Settings!$C$15)),"Pickup","Dispatch"))</f>
        <v>Pickup</v>
      </c>
      <c r="AC989" s="64" t="str">
        <f t="shared" si="177"/>
        <v>Supply order ready for pickup</v>
      </c>
      <c r="AD989" s="64" t="str">
        <f t="shared" si="168"/>
        <v>Dear PSW,
Your order is ready for pickup from Sample Branch, Wed-Fri 9am-4pm.</v>
      </c>
      <c r="AE989" s="64" t="str">
        <f t="shared" si="169"/>
        <v>mailto:firstname167.lastname167@example.com?subject=Supply%20order%20ready%20for%20pickup&amp;body=Dear%20PSW%2C%0A%0AYour%20order%20is%20ready%20for%20pickup%20from%20Sample%20Branch%2C%20Wed-Fri%209am-4pm.</v>
      </c>
      <c r="AF989" s="89" t="str">
        <f t="shared" si="178"/>
        <v>Draft email</v>
      </c>
      <c r="AG989" s="64" t="str">
        <f>IF($C989="","",IFERROR(INDEX('Staff Directory'!$K$595:$K$599,MATCH($C989,'Staff Directory'!$B$5:$B$599,0)),$D989))</f>
        <v>PSW</v>
      </c>
      <c r="AH989" t="str">
        <f>IF($C989="","",IFERROR(INDEX('Staff Directory'!$I$595:$I$599,MATCH($C989,'Staff Directory'!$B$5:$B$599,0))&amp;" "&amp;INDEX('Staff Directory'!$J$595:$J$599,MATCH($C989,'Staff Directory'!$B$5:$B$599,0)),$AG989))</f>
        <v>PSW</v>
      </c>
      <c r="AI989" s="102"/>
      <c r="AJ989" s="101">
        <f>IF($F989="","",SUMIFS($J$5:$J989,$F$5:$F989,$F989))</f>
        <v>1</v>
      </c>
      <c r="AK989" s="101">
        <f t="shared" si="170"/>
        <v>1</v>
      </c>
      <c r="AL989" s="66" t="str" cm="1">
        <f t="array" ref="AL989">IF($F989="","",IFERROR(INDEX('Lot Balance'!$B$5:$B$500,MATCH(1,INDEX(('Lot Balance'!$A$5:$A$500=$F989)*('Lot Balance'!$K$5:$K$500&lt;$AK989)*('Lot Balance'!$K$5:$K$500+'Lot Balance'!$D$5:$D$500&gt;=$AK989),0),0)),""))</f>
        <v/>
      </c>
      <c r="AM989" s="66" t="str" cm="1">
        <f t="array" ref="AM989">IF($F989="","",IFERROR(INDEX('Lot Balance'!$B$5:$B$500,MATCH(1,INDEX(('Lot Balance'!$A$5:$A$500=$F989)*('Lot Balance'!$K$5:$K$500&lt;$AJ989)*('Lot Balance'!$K$5:$K$500+'Lot Balance'!$D$5:$D$500&gt;=$AJ989),0),0)),""))</f>
        <v/>
      </c>
      <c r="AN989" s="66" t="str">
        <f>IF($F989="","",IF($AI989&lt;&gt;"",IF(COUNTIFS('Lot Balance'!$A$5:$A$500,$F989,'Lot Balance'!$B$5:$B$500,$AI989)=0,"⚠ override is not a lot of this item",IF($AI989=$AL989,"Override = FEFO","Override - FEFO says "&amp;$AL989)),IF($AL989="","⚠ no receipt on file for this item",IF($AM989&lt;&gt;$AL989,"FEFO auto - split, also "&amp;$AM989,"FEFO auto"))))</f>
        <v>⚠ no receipt on file for this item</v>
      </c>
      <c r="AO989" s="114"/>
    </row>
    <row r="990" spans="1:41" x14ac:dyDescent="0.35">
      <c r="A990" s="74">
        <v>46174</v>
      </c>
      <c r="B990" s="18" t="str">
        <f>IF($C990="","",IFERROR(INDEX('Staff Directory'!$A$5:$A$594,MATCH($C990,'Staff Directory'!$B$5:$B$594,0)),"⚠ unknown staff"))</f>
        <v>PSW-119-A5</v>
      </c>
      <c r="C990" s="49" t="s">
        <v>1098</v>
      </c>
      <c r="D990" s="19" t="str">
        <f>IF($B990="","",IFERROR(INDEX('Staff Directory'!$C$5:$C$594,MATCH($B990,'Staff Directory'!$A$5:$A$594,0)),""))</f>
        <v>PSW</v>
      </c>
      <c r="E990" s="19" t="str">
        <f>IF($B990="","",IFERROR(INDEX('Staff Directory'!$D$5:$D$594,MATCH($B990,'Staff Directory'!$A$5:$A$594,0)),""))</f>
        <v>A5</v>
      </c>
      <c r="F990" s="9" t="s">
        <v>124</v>
      </c>
      <c r="G990" s="18" t="str">
        <f>IF($F990="","",IFERROR(INDEX(Items!$B$5:$B$597,MATCH($F990,Items!$A$5:$A$597,0)),"⚠ not in Items"))</f>
        <v>Gloves</v>
      </c>
      <c r="H990" s="19" t="str">
        <f>IF($F990="","",IFERROR(INDEX(Items!$C$5:$C$597,MATCH($F990,Items!$A$5:$A$597,0)),""))</f>
        <v>Large</v>
      </c>
      <c r="I990" s="23">
        <f>IF($F990="","",IFERROR(INDEX(Items!$E$5:$E$597,MATCH($F990,Items!$A$5:$A$597,0)),""))</f>
        <v>500</v>
      </c>
      <c r="J990" s="115">
        <f>IF(tblIssues[[#This Row],[Qty Override]]&lt;&gt;"",tblIssues[[#This Row],[Qty Override]],IF(tblIssues[[#This Row],[Standard Issue]]="","",tblIssues[[#This Row],[Standard Issue]]))</f>
        <v>500</v>
      </c>
      <c r="K990" s="20">
        <f>IF($F990="","",IFERROR(INDEX(Items!$D$5:$D$597,MATCH($F990,Items!$A$5:$A$597,0)),""))</f>
        <v>5.5E-2</v>
      </c>
      <c r="L990" s="21">
        <f t="shared" si="173"/>
        <v>27.5</v>
      </c>
      <c r="M990" s="9" t="str">
        <f t="shared" si="171"/>
        <v>O16705</v>
      </c>
      <c r="N990" s="24">
        <f>IF($A990="","",WORKDAY($A990,Settings!$C$9,HolidayDates))</f>
        <v>46182</v>
      </c>
      <c r="O990" s="24">
        <f>IF($N990="","",WORKDAY($N990,Settings!$C$10,HolidayDates))</f>
        <v>46220</v>
      </c>
      <c r="P990" s="10" t="s">
        <v>501</v>
      </c>
      <c r="Q990" s="52" t="str">
        <f t="shared" si="174"/>
        <v>Collected</v>
      </c>
      <c r="R990" s="55" t="str">
        <f t="shared" si="175"/>
        <v>2026-06</v>
      </c>
      <c r="S990" s="55">
        <f>IF(OR($B990="",$F990="",$R990=""),"",SUMIFS(tblIssues[Qty Issued],tblIssues[Staff ID],$B990,tblIssues[Item Name],$F990,tblIssues[Month],$R990))</f>
        <v>500</v>
      </c>
      <c r="T990" s="56">
        <f>IF($I990="","",$I990*Settings!$C$11)</f>
        <v>500</v>
      </c>
      <c r="U990" s="57" t="str">
        <f t="shared" si="172"/>
        <v>OK</v>
      </c>
      <c r="V990" s="55" t="str">
        <f t="shared" si="176"/>
        <v/>
      </c>
      <c r="W990" s="55" t="str">
        <f>IF($V990="","",IF(COUNTIF($V$5:$V990,$V990)=1,1,""))</f>
        <v/>
      </c>
      <c r="X990" s="58" t="str">
        <f>IF($W990="","",MAX($X$4:X989)+1)</f>
        <v/>
      </c>
      <c r="Y990" s="62"/>
      <c r="Z990" s="62"/>
      <c r="AA990" s="64" t="str">
        <f>IF($C990="","",IFERROR(INDEX('Staff Directory'!$E$5:$E$594,MATCH($C990,'Staff Directory'!$B$5:$B$594,0)),""))</f>
        <v>firstname182.lastname182@example.com</v>
      </c>
      <c r="AB990" s="64" t="str">
        <f>IF($C990="","",IF(ISNUMBER(SEARCH($D990,Settings!$C$15)),"Pickup","Dispatch"))</f>
        <v>Pickup</v>
      </c>
      <c r="AC990" s="64" t="str">
        <f t="shared" si="177"/>
        <v>Supply order ready for pickup</v>
      </c>
      <c r="AD990" s="64" t="str">
        <f t="shared" si="168"/>
        <v>Dear PSW,
Your order is ready for pickup from Sample Branch, Wed-Fri 9am-4pm.</v>
      </c>
      <c r="AE990" s="64" t="str">
        <f t="shared" si="169"/>
        <v>mailto:firstname182.lastname182@example.com?subject=Supply%20order%20ready%20for%20pickup&amp;body=Dear%20PSW%2C%0A%0AYour%20order%20is%20ready%20for%20pickup%20from%20Sample%20Branch%2C%20Wed-Fri%209am-4pm.</v>
      </c>
      <c r="AF990" s="89" t="str">
        <f t="shared" si="178"/>
        <v>Draft email</v>
      </c>
      <c r="AG990" s="64" t="str">
        <f>IF($C990="","",IFERROR(INDEX('Staff Directory'!$K$595:$K$599,MATCH($C990,'Staff Directory'!$B$5:$B$599,0)),$D990))</f>
        <v>PSW</v>
      </c>
      <c r="AH990" t="str">
        <f>IF($C990="","",IFERROR(INDEX('Staff Directory'!$I$595:$I$599,MATCH($C990,'Staff Directory'!$B$5:$B$599,0))&amp;" "&amp;INDEX('Staff Directory'!$J$595:$J$599,MATCH($C990,'Staff Directory'!$B$5:$B$599,0)),$AG990))</f>
        <v>PSW</v>
      </c>
      <c r="AI990" s="102"/>
      <c r="AJ990" s="101">
        <f>IF($F990="","",SUMIFS($J$5:$J990,$F$5:$F990,$F990))</f>
        <v>26000</v>
      </c>
      <c r="AK990" s="101">
        <f t="shared" si="170"/>
        <v>25501</v>
      </c>
      <c r="AL990" s="66" t="str" cm="1">
        <f t="array" ref="AL990">IF($F990="","",IFERROR(INDEX('Lot Balance'!$B$5:$B$500,MATCH(1,INDEX(('Lot Balance'!$A$5:$A$500=$F990)*('Lot Balance'!$K$5:$K$500&lt;$AK990)*('Lot Balance'!$K$5:$K$500+'Lot Balance'!$D$5:$D$500&gt;=$AK990),0),0)),""))</f>
        <v>O16705</v>
      </c>
      <c r="AM990" s="66" t="str" cm="1">
        <f t="array" ref="AM990">IF($F990="","",IFERROR(INDEX('Lot Balance'!$B$5:$B$500,MATCH(1,INDEX(('Lot Balance'!$A$5:$A$500=$F990)*('Lot Balance'!$K$5:$K$500&lt;$AJ990)*('Lot Balance'!$K$5:$K$500+'Lot Balance'!$D$5:$D$500&gt;=$AJ990),0),0)),""))</f>
        <v>O16705</v>
      </c>
      <c r="AN990" s="66" t="str">
        <f>IF($F990="","",IF($AI990&lt;&gt;"",IF(COUNTIFS('Lot Balance'!$A$5:$A$500,$F990,'Lot Balance'!$B$5:$B$500,$AI990)=0,"⚠ override is not a lot of this item",IF($AI990=$AL990,"Override = FEFO","Override - FEFO says "&amp;$AL990)),IF($AL990="","⚠ no receipt on file for this item",IF($AM990&lt;&gt;$AL990,"FEFO auto - split, also "&amp;$AM990,"FEFO auto"))))</f>
        <v>FEFO auto</v>
      </c>
      <c r="AO990" s="114"/>
    </row>
    <row r="991" spans="1:41" x14ac:dyDescent="0.35">
      <c r="A991" s="74">
        <v>46174</v>
      </c>
      <c r="B991" s="18" t="str">
        <f>IF($C991="","",IFERROR(INDEX('Staff Directory'!$A$5:$A$594,MATCH($C991,'Staff Directory'!$B$5:$B$594,0)),"⚠ unknown staff"))</f>
        <v>PSW-119-A5</v>
      </c>
      <c r="C991" s="49" t="s">
        <v>1098</v>
      </c>
      <c r="D991" s="19" t="str">
        <f>IF($B991="","",IFERROR(INDEX('Staff Directory'!$C$5:$C$594,MATCH($B991,'Staff Directory'!$A$5:$A$594,0)),""))</f>
        <v>PSW</v>
      </c>
      <c r="E991" s="19" t="str">
        <f>IF($B991="","",IFERROR(INDEX('Staff Directory'!$D$5:$D$594,MATCH($B991,'Staff Directory'!$A$5:$A$594,0)),""))</f>
        <v>A5</v>
      </c>
      <c r="F991" s="9" t="s">
        <v>191</v>
      </c>
      <c r="G991" s="18" t="str">
        <f>IF($F991="","",IFERROR(INDEX(Items!$B$5:$B$597,MATCH($F991,Items!$A$5:$A$597,0)),"⚠ not in Items"))</f>
        <v>Sanitizer</v>
      </c>
      <c r="H991" s="19" t="str">
        <f>IF($F991="","",IFERROR(INDEX(Items!$C$5:$C$597,MATCH($F991,Items!$A$5:$A$597,0)),""))</f>
        <v>236 ML</v>
      </c>
      <c r="I991" s="23">
        <f>IF($F991="","",IFERROR(INDEX(Items!$E$5:$E$597,MATCH($F991,Items!$A$5:$A$597,0)),""))</f>
        <v>1</v>
      </c>
      <c r="J991" s="115">
        <f>IF(tblIssues[[#This Row],[Qty Override]]&lt;&gt;"",tblIssues[[#This Row],[Qty Override]],IF(tblIssues[[#This Row],[Standard Issue]]="","",tblIssues[[#This Row],[Standard Issue]]))</f>
        <v>1</v>
      </c>
      <c r="K991" s="20">
        <f>IF($F991="","",IFERROR(INDEX(Items!$D$5:$D$597,MATCH($F991,Items!$A$5:$A$597,0)),""))</f>
        <v>1E-4</v>
      </c>
      <c r="L991" s="21">
        <f t="shared" si="173"/>
        <v>1E-4</v>
      </c>
      <c r="M991" s="9" t="str">
        <f t="shared" si="171"/>
        <v>20-21734-4</v>
      </c>
      <c r="N991" s="24">
        <f>IF($A991="","",WORKDAY($A991,Settings!$C$9,HolidayDates))</f>
        <v>46182</v>
      </c>
      <c r="O991" s="24">
        <f>IF($N991="","",WORKDAY($N991,Settings!$C$10,HolidayDates))</f>
        <v>46220</v>
      </c>
      <c r="P991" s="10" t="s">
        <v>501</v>
      </c>
      <c r="Q991" s="52" t="str">
        <f t="shared" si="174"/>
        <v>Collected</v>
      </c>
      <c r="R991" s="55" t="str">
        <f t="shared" si="175"/>
        <v>2026-06</v>
      </c>
      <c r="S991" s="55">
        <f>IF(OR($B991="",$F991="",$R991=""),"",SUMIFS(tblIssues[Qty Issued],tblIssues[Staff ID],$B991,tblIssues[Item Name],$F991,tblIssues[Month],$R991))</f>
        <v>1</v>
      </c>
      <c r="T991" s="56">
        <f>IF($I991="","",$I991*Settings!$C$11)</f>
        <v>1</v>
      </c>
      <c r="U991" s="57" t="str">
        <f t="shared" si="172"/>
        <v>OK</v>
      </c>
      <c r="V991" s="55" t="str">
        <f t="shared" si="176"/>
        <v/>
      </c>
      <c r="W991" s="55" t="str">
        <f>IF($V991="","",IF(COUNTIF($V$5:$V991,$V991)=1,1,""))</f>
        <v/>
      </c>
      <c r="X991" s="58" t="str">
        <f>IF($W991="","",MAX($X$4:X990)+1)</f>
        <v/>
      </c>
      <c r="Y991" s="62"/>
      <c r="Z991" s="62"/>
      <c r="AA991" s="64" t="str">
        <f>IF($C991="","",IFERROR(INDEX('Staff Directory'!$E$5:$E$594,MATCH($C991,'Staff Directory'!$B$5:$B$594,0)),""))</f>
        <v>firstname182.lastname182@example.com</v>
      </c>
      <c r="AB991" s="64" t="str">
        <f>IF($C991="","",IF(ISNUMBER(SEARCH($D991,Settings!$C$15)),"Pickup","Dispatch"))</f>
        <v>Pickup</v>
      </c>
      <c r="AC991" s="64" t="str">
        <f t="shared" si="177"/>
        <v>Supply order ready for pickup</v>
      </c>
      <c r="AD991" s="64" t="str">
        <f t="shared" si="168"/>
        <v>Dear PSW,
Your order is ready for pickup from Sample Branch, Wed-Fri 9am-4pm.</v>
      </c>
      <c r="AE991" s="64" t="str">
        <f t="shared" si="169"/>
        <v>mailto:firstname182.lastname182@example.com?subject=Supply%20order%20ready%20for%20pickup&amp;body=Dear%20PSW%2C%0A%0AYour%20order%20is%20ready%20for%20pickup%20from%20Sample%20Branch%2C%20Wed-Fri%209am-4pm.</v>
      </c>
      <c r="AF991" s="89" t="str">
        <f t="shared" si="178"/>
        <v>Draft email</v>
      </c>
      <c r="AG991" s="64" t="str">
        <f>IF($C991="","",IFERROR(INDEX('Staff Directory'!$K$595:$K$599,MATCH($C991,'Staff Directory'!$B$5:$B$599,0)),$D991))</f>
        <v>PSW</v>
      </c>
      <c r="AH991" t="str">
        <f>IF($C991="","",IFERROR(INDEX('Staff Directory'!$I$595:$I$599,MATCH($C991,'Staff Directory'!$B$5:$B$599,0))&amp;" "&amp;INDEX('Staff Directory'!$J$595:$J$599,MATCH($C991,'Staff Directory'!$B$5:$B$599,0)),$AG991))</f>
        <v>PSW</v>
      </c>
      <c r="AI991" s="102"/>
      <c r="AJ991" s="101">
        <f>IF($F991="","",SUMIFS($J$5:$J991,$F$5:$F991,$F991))</f>
        <v>112</v>
      </c>
      <c r="AK991" s="101">
        <f t="shared" si="170"/>
        <v>112</v>
      </c>
      <c r="AL991" s="66" t="str" cm="1">
        <f t="array" ref="AL991">IF($F991="","",IFERROR(INDEX('Lot Balance'!$B$5:$B$500,MATCH(1,INDEX(('Lot Balance'!$A$5:$A$500=$F991)*('Lot Balance'!$K$5:$K$500&lt;$AK991)*('Lot Balance'!$K$5:$K$500+'Lot Balance'!$D$5:$D$500&gt;=$AK991),0),0)),""))</f>
        <v>20-21734-4</v>
      </c>
      <c r="AM991" s="66" t="str" cm="1">
        <f t="array" ref="AM991">IF($F991="","",IFERROR(INDEX('Lot Balance'!$B$5:$B$500,MATCH(1,INDEX(('Lot Balance'!$A$5:$A$500=$F991)*('Lot Balance'!$K$5:$K$500&lt;$AJ991)*('Lot Balance'!$K$5:$K$500+'Lot Balance'!$D$5:$D$500&gt;=$AJ991),0),0)),""))</f>
        <v>20-21734-4</v>
      </c>
      <c r="AN991" s="66" t="str">
        <f>IF($F991="","",IF($AI991&lt;&gt;"",IF(COUNTIFS('Lot Balance'!$A$5:$A$500,$F991,'Lot Balance'!$B$5:$B$500,$AI991)=0,"⚠ override is not a lot of this item",IF($AI991=$AL991,"Override = FEFO","Override - FEFO says "&amp;$AL991)),IF($AL991="","⚠ no receipt on file for this item",IF($AM991&lt;&gt;$AL991,"FEFO auto - split, also "&amp;$AM991,"FEFO auto"))))</f>
        <v>FEFO auto</v>
      </c>
      <c r="AO991" s="114"/>
    </row>
    <row r="992" spans="1:41" x14ac:dyDescent="0.35">
      <c r="A992" s="74">
        <v>46174</v>
      </c>
      <c r="B992" s="18" t="str">
        <f>IF($C992="","",IFERROR(INDEX('Staff Directory'!$A$5:$A$594,MATCH($C992,'Staff Directory'!$B$5:$B$594,0)),"⚠ unknown staff"))</f>
        <v>PSW-119-A5</v>
      </c>
      <c r="C992" s="49" t="s">
        <v>1098</v>
      </c>
      <c r="D992" s="19" t="str">
        <f>IF($B992="","",IFERROR(INDEX('Staff Directory'!$C$5:$C$594,MATCH($B992,'Staff Directory'!$A$5:$A$594,0)),""))</f>
        <v>PSW</v>
      </c>
      <c r="E992" s="19" t="str">
        <f>IF($B992="","",IFERROR(INDEX('Staff Directory'!$D$5:$D$594,MATCH($B992,'Staff Directory'!$A$5:$A$594,0)),""))</f>
        <v>A5</v>
      </c>
      <c r="F992" s="9" t="s">
        <v>115</v>
      </c>
      <c r="G992" s="18" t="str">
        <f>IF($F992="","",IFERROR(INDEX(Items!$B$5:$B$597,MATCH($F992,Items!$A$5:$A$597,0)),"⚠ not in Items"))</f>
        <v>Wipes</v>
      </c>
      <c r="H992" s="19">
        <f>IF($F992="","",IFERROR(INDEX(Items!$C$5:$C$597,MATCH($F992,Items!$A$5:$A$597,0)),""))</f>
        <v>80</v>
      </c>
      <c r="I992" s="23">
        <f>IF($F992="","",IFERROR(INDEX(Items!$E$5:$E$597,MATCH($F992,Items!$A$5:$A$597,0)),""))</f>
        <v>80</v>
      </c>
      <c r="J992" s="115">
        <f>IF(tblIssues[[#This Row],[Qty Override]]&lt;&gt;"",tblIssues[[#This Row],[Qty Override]],IF(tblIssues[[#This Row],[Standard Issue]]="","",tblIssues[[#This Row],[Standard Issue]]))</f>
        <v>80</v>
      </c>
      <c r="K992" s="20">
        <f>IF($F992="","",IFERROR(INDEX(Items!$D$5:$D$597,MATCH($F992,Items!$A$5:$A$597,0)),""))</f>
        <v>0.1</v>
      </c>
      <c r="L992" s="21">
        <f t="shared" si="173"/>
        <v>8</v>
      </c>
      <c r="M992" s="9" t="str">
        <f t="shared" si="171"/>
        <v>LYSL500290</v>
      </c>
      <c r="N992" s="24">
        <f>IF($A992="","",WORKDAY($A992,Settings!$C$9,HolidayDates))</f>
        <v>46182</v>
      </c>
      <c r="O992" s="24">
        <f>IF($N992="","",WORKDAY($N992,Settings!$C$10,HolidayDates))</f>
        <v>46220</v>
      </c>
      <c r="P992" s="10" t="s">
        <v>501</v>
      </c>
      <c r="Q992" s="52" t="str">
        <f t="shared" si="174"/>
        <v>Collected</v>
      </c>
      <c r="R992" s="55" t="str">
        <f t="shared" si="175"/>
        <v>2026-06</v>
      </c>
      <c r="S992" s="55">
        <f>IF(OR($B992="",$F992="",$R992=""),"",SUMIFS(tblIssues[Qty Issued],tblIssues[Staff ID],$B992,tblIssues[Item Name],$F992,tblIssues[Month],$R992))</f>
        <v>80</v>
      </c>
      <c r="T992" s="56">
        <f>IF($I992="","",$I992*Settings!$C$11)</f>
        <v>80</v>
      </c>
      <c r="U992" s="57" t="str">
        <f t="shared" si="172"/>
        <v>OK</v>
      </c>
      <c r="V992" s="55" t="str">
        <f t="shared" si="176"/>
        <v/>
      </c>
      <c r="W992" s="55" t="str">
        <f>IF($V992="","",IF(COUNTIF($V$5:$V992,$V992)=1,1,""))</f>
        <v/>
      </c>
      <c r="X992" s="58" t="str">
        <f>IF($W992="","",MAX($X$4:X991)+1)</f>
        <v/>
      </c>
      <c r="Y992" s="62"/>
      <c r="Z992" s="62"/>
      <c r="AA992" s="64" t="str">
        <f>IF($C992="","",IFERROR(INDEX('Staff Directory'!$E$5:$E$594,MATCH($C992,'Staff Directory'!$B$5:$B$594,0)),""))</f>
        <v>firstname182.lastname182@example.com</v>
      </c>
      <c r="AB992" s="64" t="str">
        <f>IF($C992="","",IF(ISNUMBER(SEARCH($D992,Settings!$C$15)),"Pickup","Dispatch"))</f>
        <v>Pickup</v>
      </c>
      <c r="AC992" s="64" t="str">
        <f t="shared" si="177"/>
        <v>Supply order ready for pickup</v>
      </c>
      <c r="AD992" s="64" t="str">
        <f t="shared" si="168"/>
        <v>Dear PSW,
Your order is ready for pickup from Sample Branch, Wed-Fri 9am-4pm.</v>
      </c>
      <c r="AE992" s="64" t="str">
        <f t="shared" si="169"/>
        <v>mailto:firstname182.lastname182@example.com?subject=Supply%20order%20ready%20for%20pickup&amp;body=Dear%20PSW%2C%0A%0AYour%20order%20is%20ready%20for%20pickup%20from%20Sample%20Branch%2C%20Wed-Fri%209am-4pm.</v>
      </c>
      <c r="AF992" s="89" t="str">
        <f t="shared" si="178"/>
        <v>Draft email</v>
      </c>
      <c r="AG992" s="64" t="str">
        <f>IF($C992="","",IFERROR(INDEX('Staff Directory'!$K$595:$K$599,MATCH($C992,'Staff Directory'!$B$5:$B$599,0)),$D992))</f>
        <v>PSW</v>
      </c>
      <c r="AH992" t="str">
        <f>IF($C992="","",IFERROR(INDEX('Staff Directory'!$I$595:$I$599,MATCH($C992,'Staff Directory'!$B$5:$B$599,0))&amp;" "&amp;INDEX('Staff Directory'!$J$595:$J$599,MATCH($C992,'Staff Directory'!$B$5:$B$599,0)),$AG992))</f>
        <v>PSW</v>
      </c>
      <c r="AI992" s="102"/>
      <c r="AJ992" s="101">
        <f>IF($F992="","",SUMIFS($J$5:$J992,$F$5:$F992,$F992))</f>
        <v>12960</v>
      </c>
      <c r="AK992" s="101">
        <f t="shared" si="170"/>
        <v>12881</v>
      </c>
      <c r="AL992" s="66" t="str" cm="1">
        <f t="array" ref="AL992">IF($F992="","",IFERROR(INDEX('Lot Balance'!$B$5:$B$500,MATCH(1,INDEX(('Lot Balance'!$A$5:$A$500=$F992)*('Lot Balance'!$K$5:$K$500&lt;$AK992)*('Lot Balance'!$K$5:$K$500+'Lot Balance'!$D$5:$D$500&gt;=$AK992),0),0)),""))</f>
        <v>LYSL500290</v>
      </c>
      <c r="AM992" s="66" t="str" cm="1">
        <f t="array" ref="AM992">IF($F992="","",IFERROR(INDEX('Lot Balance'!$B$5:$B$500,MATCH(1,INDEX(('Lot Balance'!$A$5:$A$500=$F992)*('Lot Balance'!$K$5:$K$500&lt;$AJ992)*('Lot Balance'!$K$5:$K$500+'Lot Balance'!$D$5:$D$500&gt;=$AJ992),0),0)),""))</f>
        <v>LYSL500290</v>
      </c>
      <c r="AN992" s="66" t="str">
        <f>IF($F992="","",IF($AI992&lt;&gt;"",IF(COUNTIFS('Lot Balance'!$A$5:$A$500,$F992,'Lot Balance'!$B$5:$B$500,$AI992)=0,"⚠ override is not a lot of this item",IF($AI992=$AL992,"Override = FEFO","Override - FEFO says "&amp;$AL992)),IF($AL992="","⚠ no receipt on file for this item",IF($AM992&lt;&gt;$AL992,"FEFO auto - split, also "&amp;$AM992,"FEFO auto"))))</f>
        <v>FEFO auto</v>
      </c>
      <c r="AO992" s="114"/>
    </row>
    <row r="993" spans="1:41" x14ac:dyDescent="0.35">
      <c r="A993" s="74">
        <v>46174</v>
      </c>
      <c r="B993" s="18" t="str">
        <f>IF($C993="","",IFERROR(INDEX('Staff Directory'!$A$5:$A$594,MATCH($C993,'Staff Directory'!$B$5:$B$594,0)),"⚠ unknown staff"))</f>
        <v>PSW-119-A5</v>
      </c>
      <c r="C993" s="49" t="s">
        <v>1098</v>
      </c>
      <c r="D993" s="19" t="str">
        <f>IF($B993="","",IFERROR(INDEX('Staff Directory'!$C$5:$C$594,MATCH($B993,'Staff Directory'!$A$5:$A$594,0)),""))</f>
        <v>PSW</v>
      </c>
      <c r="E993" s="19" t="str">
        <f>IF($B993="","",IFERROR(INDEX('Staff Directory'!$D$5:$D$594,MATCH($B993,'Staff Directory'!$A$5:$A$594,0)),""))</f>
        <v>A5</v>
      </c>
      <c r="F993" s="9" t="s">
        <v>156</v>
      </c>
      <c r="G993" s="18" t="str">
        <f>IF($F993="","",IFERROR(INDEX(Items!$B$5:$B$597,MATCH($F993,Items!$A$5:$A$597,0)),"⚠ not in Items"))</f>
        <v>Masks</v>
      </c>
      <c r="H993" s="19" t="str">
        <f>IF($F993="","",IFERROR(INDEX(Items!$C$5:$C$597,MATCH($F993,Items!$A$5:$A$597,0)),""))</f>
        <v>One Size</v>
      </c>
      <c r="I993" s="23">
        <f>IF($F993="","",IFERROR(INDEX(Items!$E$5:$E$597,MATCH($F993,Items!$A$5:$A$597,0)),""))</f>
        <v>50</v>
      </c>
      <c r="J993" s="115">
        <f>IF(tblIssues[[#This Row],[Qty Override]]&lt;&gt;"",tblIssues[[#This Row],[Qty Override]],IF(tblIssues[[#This Row],[Standard Issue]]="","",tblIssues[[#This Row],[Standard Issue]]))</f>
        <v>50</v>
      </c>
      <c r="K993" s="20">
        <f>IF($F993="","",IFERROR(INDEX(Items!$D$5:$D$597,MATCH($F993,Items!$A$5:$A$597,0)),""))</f>
        <v>0.25</v>
      </c>
      <c r="L993" s="21">
        <f t="shared" si="173"/>
        <v>12.5</v>
      </c>
      <c r="M993" s="9" t="str">
        <f t="shared" si="171"/>
        <v>0125FPC24-2</v>
      </c>
      <c r="N993" s="24">
        <f>IF($A993="","",WORKDAY($A993,Settings!$C$9,HolidayDates))</f>
        <v>46182</v>
      </c>
      <c r="O993" s="24">
        <f>IF($N993="","",WORKDAY($N993,Settings!$C$10,HolidayDates))</f>
        <v>46220</v>
      </c>
      <c r="P993" s="10" t="s">
        <v>501</v>
      </c>
      <c r="Q993" s="52" t="str">
        <f t="shared" si="174"/>
        <v>Collected</v>
      </c>
      <c r="R993" s="55" t="str">
        <f t="shared" si="175"/>
        <v>2026-06</v>
      </c>
      <c r="S993" s="55">
        <f>IF(OR($B993="",$F993="",$R993=""),"",SUMIFS(tblIssues[Qty Issued],tblIssues[Staff ID],$B993,tblIssues[Item Name],$F993,tblIssues[Month],$R993))</f>
        <v>50</v>
      </c>
      <c r="T993" s="56">
        <f>IF($I993="","",$I993*Settings!$C$11)</f>
        <v>50</v>
      </c>
      <c r="U993" s="57" t="str">
        <f t="shared" si="172"/>
        <v>OK</v>
      </c>
      <c r="V993" s="55" t="str">
        <f t="shared" si="176"/>
        <v/>
      </c>
      <c r="W993" s="55" t="str">
        <f>IF($V993="","",IF(COUNTIF($V$5:$V993,$V993)=1,1,""))</f>
        <v/>
      </c>
      <c r="X993" s="58" t="str">
        <f>IF($W993="","",MAX($X$4:X992)+1)</f>
        <v/>
      </c>
      <c r="Y993" s="62"/>
      <c r="Z993" s="62"/>
      <c r="AA993" s="64" t="str">
        <f>IF($C993="","",IFERROR(INDEX('Staff Directory'!$E$5:$E$594,MATCH($C993,'Staff Directory'!$B$5:$B$594,0)),""))</f>
        <v>firstname182.lastname182@example.com</v>
      </c>
      <c r="AB993" s="64" t="str">
        <f>IF($C993="","",IF(ISNUMBER(SEARCH($D993,Settings!$C$15)),"Pickup","Dispatch"))</f>
        <v>Pickup</v>
      </c>
      <c r="AC993" s="64" t="str">
        <f t="shared" si="177"/>
        <v>Supply order ready for pickup</v>
      </c>
      <c r="AD993" s="64" t="str">
        <f t="shared" si="168"/>
        <v>Dear PSW,
Your order is ready for pickup from Sample Branch, Wed-Fri 9am-4pm.</v>
      </c>
      <c r="AE993" s="64" t="str">
        <f t="shared" si="169"/>
        <v>mailto:firstname182.lastname182@example.com?subject=Supply%20order%20ready%20for%20pickup&amp;body=Dear%20PSW%2C%0A%0AYour%20order%20is%20ready%20for%20pickup%20from%20Sample%20Branch%2C%20Wed-Fri%209am-4pm.</v>
      </c>
      <c r="AF993" s="89" t="str">
        <f t="shared" si="178"/>
        <v>Draft email</v>
      </c>
      <c r="AG993" s="64" t="str">
        <f>IF($C993="","",IFERROR(INDEX('Staff Directory'!$K$595:$K$599,MATCH($C993,'Staff Directory'!$B$5:$B$599,0)),$D993))</f>
        <v>PSW</v>
      </c>
      <c r="AH993" t="str">
        <f>IF($C993="","",IFERROR(INDEX('Staff Directory'!$I$595:$I$599,MATCH($C993,'Staff Directory'!$B$5:$B$599,0))&amp;" "&amp;INDEX('Staff Directory'!$J$595:$J$599,MATCH($C993,'Staff Directory'!$B$5:$B$599,0)),$AG993))</f>
        <v>PSW</v>
      </c>
      <c r="AI993" s="102"/>
      <c r="AJ993" s="101">
        <f>IF($F993="","",SUMIFS($J$5:$J993,$F$5:$F993,$F993))</f>
        <v>7500</v>
      </c>
      <c r="AK993" s="101">
        <f t="shared" si="170"/>
        <v>7451</v>
      </c>
      <c r="AL993" s="66" t="str" cm="1">
        <f t="array" ref="AL993">IF($F993="","",IFERROR(INDEX('Lot Balance'!$B$5:$B$500,MATCH(1,INDEX(('Lot Balance'!$A$5:$A$500=$F993)*('Lot Balance'!$K$5:$K$500&lt;$AK993)*('Lot Balance'!$K$5:$K$500+'Lot Balance'!$D$5:$D$500&gt;=$AK993),0),0)),""))</f>
        <v>0125FPC24-2</v>
      </c>
      <c r="AM993" s="66" t="str" cm="1">
        <f t="array" ref="AM993">IF($F993="","",IFERROR(INDEX('Lot Balance'!$B$5:$B$500,MATCH(1,INDEX(('Lot Balance'!$A$5:$A$500=$F993)*('Lot Balance'!$K$5:$K$500&lt;$AJ993)*('Lot Balance'!$K$5:$K$500+'Lot Balance'!$D$5:$D$500&gt;=$AJ993),0),0)),""))</f>
        <v>0125FPC24-2</v>
      </c>
      <c r="AN993" s="66" t="str">
        <f>IF($F993="","",IF($AI993&lt;&gt;"",IF(COUNTIFS('Lot Balance'!$A$5:$A$500,$F993,'Lot Balance'!$B$5:$B$500,$AI993)=0,"⚠ override is not a lot of this item",IF($AI993=$AL993,"Override = FEFO","Override - FEFO says "&amp;$AL993)),IF($AL993="","⚠ no receipt on file for this item",IF($AM993&lt;&gt;$AL993,"FEFO auto - split, also "&amp;$AM993,"FEFO auto"))))</f>
        <v>FEFO auto</v>
      </c>
      <c r="AO993" s="114"/>
    </row>
    <row r="994" spans="1:41" x14ac:dyDescent="0.35">
      <c r="A994" s="74">
        <v>46174</v>
      </c>
      <c r="B994" s="18" t="str">
        <f>IF($C994="","",IFERROR(INDEX('Staff Directory'!$A$5:$A$594,MATCH($C994,'Staff Directory'!$B$5:$B$594,0)),"⚠ unknown staff"))</f>
        <v>PSW-052-A5</v>
      </c>
      <c r="C994" s="49" t="s">
        <v>1028</v>
      </c>
      <c r="D994" s="19" t="str">
        <f>IF($B994="","",IFERROR(INDEX('Staff Directory'!$C$5:$C$594,MATCH($B994,'Staff Directory'!$A$5:$A$594,0)),""))</f>
        <v>PSW</v>
      </c>
      <c r="E994" s="19" t="str">
        <f>IF($B994="","",IFERROR(INDEX('Staff Directory'!$D$5:$D$594,MATCH($B994,'Staff Directory'!$A$5:$A$594,0)),""))</f>
        <v>A5</v>
      </c>
      <c r="F994" s="9" t="s">
        <v>127</v>
      </c>
      <c r="G994" s="18" t="str">
        <f>IF($F994="","",IFERROR(INDEX(Items!$B$5:$B$597,MATCH($F994,Items!$A$5:$A$597,0)),"⚠ not in Items"))</f>
        <v>Gloves</v>
      </c>
      <c r="H994" s="19" t="str">
        <f>IF($F994="","",IFERROR(INDEX(Items!$C$5:$C$597,MATCH($F994,Items!$A$5:$A$597,0)),""))</f>
        <v>Medium</v>
      </c>
      <c r="I994" s="23">
        <f>IF($F994="","",IFERROR(INDEX(Items!$E$5:$E$597,MATCH($F994,Items!$A$5:$A$597,0)),""))</f>
        <v>500</v>
      </c>
      <c r="J994" s="115">
        <f>IF(tblIssues[[#This Row],[Qty Override]]&lt;&gt;"",tblIssues[[#This Row],[Qty Override]],IF(tblIssues[[#This Row],[Standard Issue]]="","",tblIssues[[#This Row],[Standard Issue]]))</f>
        <v>500</v>
      </c>
      <c r="K994" s="20">
        <f>IF($F994="","",IFERROR(INDEX(Items!$D$5:$D$597,MATCH($F994,Items!$A$5:$A$597,0)),""))</f>
        <v>5.5E-2</v>
      </c>
      <c r="L994" s="21">
        <f t="shared" si="173"/>
        <v>27.5</v>
      </c>
      <c r="M994" s="9" t="str">
        <f t="shared" si="171"/>
        <v>ZIM510329603</v>
      </c>
      <c r="N994" s="24">
        <f>IF($A994="","",WORKDAY($A994,Settings!$C$9,HolidayDates))</f>
        <v>46182</v>
      </c>
      <c r="O994" s="24">
        <f>IF($N994="","",WORKDAY($N994,Settings!$C$10,HolidayDates))</f>
        <v>46220</v>
      </c>
      <c r="P994" s="10" t="s">
        <v>501</v>
      </c>
      <c r="Q994" s="52" t="str">
        <f t="shared" si="174"/>
        <v>Collected</v>
      </c>
      <c r="R994" s="55" t="str">
        <f t="shared" si="175"/>
        <v>2026-06</v>
      </c>
      <c r="S994" s="55">
        <f>IF(OR($B994="",$F994="",$R994=""),"",SUMIFS(tblIssues[Qty Issued],tblIssues[Staff ID],$B994,tblIssues[Item Name],$F994,tblIssues[Month],$R994))</f>
        <v>500</v>
      </c>
      <c r="T994" s="56">
        <f>IF($I994="","",$I994*Settings!$C$11)</f>
        <v>500</v>
      </c>
      <c r="U994" s="57" t="str">
        <f t="shared" si="172"/>
        <v>OK</v>
      </c>
      <c r="V994" s="55" t="str">
        <f t="shared" si="176"/>
        <v/>
      </c>
      <c r="W994" s="55" t="str">
        <f>IF($V994="","",IF(COUNTIF($V$5:$V994,$V994)=1,1,""))</f>
        <v/>
      </c>
      <c r="X994" s="58" t="str">
        <f>IF($W994="","",MAX($X$4:X993)+1)</f>
        <v/>
      </c>
      <c r="Y994" s="62"/>
      <c r="Z994" s="62"/>
      <c r="AA994" s="64" t="str">
        <f>IF($C994="","",IFERROR(INDEX('Staff Directory'!$E$5:$E$594,MATCH($C994,'Staff Directory'!$B$5:$B$594,0)),""))</f>
        <v>firstname112.lastname112@example.com</v>
      </c>
      <c r="AB994" s="64" t="str">
        <f>IF($C994="","",IF(ISNUMBER(SEARCH($D994,Settings!$C$15)),"Pickup","Dispatch"))</f>
        <v>Pickup</v>
      </c>
      <c r="AC994" s="64" t="str">
        <f t="shared" si="177"/>
        <v>Supply order ready for pickup</v>
      </c>
      <c r="AD994" s="64" t="str">
        <f t="shared" si="168"/>
        <v>Dear PSW,
Your order is ready for pickup from Sample Branch, Wed-Fri 9am-4pm.</v>
      </c>
      <c r="AE994" s="64" t="str">
        <f t="shared" si="169"/>
        <v>mailto:firstname112.lastname112@example.com?subject=Supply%20order%20ready%20for%20pickup&amp;body=Dear%20PSW%2C%0A%0AYour%20order%20is%20ready%20for%20pickup%20from%20Sample%20Branch%2C%20Wed-Fri%209am-4pm.</v>
      </c>
      <c r="AF994" s="89" t="str">
        <f t="shared" si="178"/>
        <v>Draft email</v>
      </c>
      <c r="AG994" s="64" t="str">
        <f>IF($C994="","",IFERROR(INDEX('Staff Directory'!$K$595:$K$599,MATCH($C994,'Staff Directory'!$B$5:$B$599,0)),$D994))</f>
        <v>PSW</v>
      </c>
      <c r="AH994" t="str">
        <f>IF($C994="","",IFERROR(INDEX('Staff Directory'!$I$595:$I$599,MATCH($C994,'Staff Directory'!$B$5:$B$599,0))&amp;" "&amp;INDEX('Staff Directory'!$J$595:$J$599,MATCH($C994,'Staff Directory'!$B$5:$B$599,0)),$AG994))</f>
        <v>PSW</v>
      </c>
      <c r="AI994" s="102"/>
      <c r="AJ994" s="101">
        <f>IF($F994="","",SUMIFS($J$5:$J994,$F$5:$F994,$F994))</f>
        <v>56000</v>
      </c>
      <c r="AK994" s="101">
        <f t="shared" si="170"/>
        <v>55501</v>
      </c>
      <c r="AL994" s="66" t="str" cm="1">
        <f t="array" ref="AL994">IF($F994="","",IFERROR(INDEX('Lot Balance'!$B$5:$B$500,MATCH(1,INDEX(('Lot Balance'!$A$5:$A$500=$F994)*('Lot Balance'!$K$5:$K$500&lt;$AK994)*('Lot Balance'!$K$5:$K$500+'Lot Balance'!$D$5:$D$500&gt;=$AK994),0),0)),""))</f>
        <v>ZIM510329603</v>
      </c>
      <c r="AM994" s="66" t="str" cm="1">
        <f t="array" ref="AM994">IF($F994="","",IFERROR(INDEX('Lot Balance'!$B$5:$B$500,MATCH(1,INDEX(('Lot Balance'!$A$5:$A$500=$F994)*('Lot Balance'!$K$5:$K$500&lt;$AJ994)*('Lot Balance'!$K$5:$K$500+'Lot Balance'!$D$5:$D$500&gt;=$AJ994),0),0)),""))</f>
        <v>ZIM510329603</v>
      </c>
      <c r="AN994" s="66" t="str">
        <f>IF($F994="","",IF($AI994&lt;&gt;"",IF(COUNTIFS('Lot Balance'!$A$5:$A$500,$F994,'Lot Balance'!$B$5:$B$500,$AI994)=0,"⚠ override is not a lot of this item",IF($AI994=$AL994,"Override = FEFO","Override - FEFO says "&amp;$AL994)),IF($AL994="","⚠ no receipt on file for this item",IF($AM994&lt;&gt;$AL994,"FEFO auto - split, also "&amp;$AM994,"FEFO auto"))))</f>
        <v>FEFO auto</v>
      </c>
      <c r="AO994" s="114"/>
    </row>
    <row r="995" spans="1:41" x14ac:dyDescent="0.35">
      <c r="A995" s="74">
        <v>46174</v>
      </c>
      <c r="B995" s="18" t="str">
        <f>IF($C995="","",IFERROR(INDEX('Staff Directory'!$A$5:$A$594,MATCH($C995,'Staff Directory'!$B$5:$B$594,0)),"⚠ unknown staff"))</f>
        <v>PSW-052-A5</v>
      </c>
      <c r="C995" s="49" t="s">
        <v>1028</v>
      </c>
      <c r="D995" s="19" t="str">
        <f>IF($B995="","",IFERROR(INDEX('Staff Directory'!$C$5:$C$594,MATCH($B995,'Staff Directory'!$A$5:$A$594,0)),""))</f>
        <v>PSW</v>
      </c>
      <c r="E995" s="19" t="str">
        <f>IF($B995="","",IFERROR(INDEX('Staff Directory'!$D$5:$D$594,MATCH($B995,'Staff Directory'!$A$5:$A$594,0)),""))</f>
        <v>A5</v>
      </c>
      <c r="F995" s="9" t="s">
        <v>191</v>
      </c>
      <c r="G995" s="18" t="str">
        <f>IF($F995="","",IFERROR(INDEX(Items!$B$5:$B$597,MATCH($F995,Items!$A$5:$A$597,0)),"⚠ not in Items"))</f>
        <v>Sanitizer</v>
      </c>
      <c r="H995" s="19" t="str">
        <f>IF($F995="","",IFERROR(INDEX(Items!$C$5:$C$597,MATCH($F995,Items!$A$5:$A$597,0)),""))</f>
        <v>236 ML</v>
      </c>
      <c r="I995" s="23">
        <f>IF($F995="","",IFERROR(INDEX(Items!$E$5:$E$597,MATCH($F995,Items!$A$5:$A$597,0)),""))</f>
        <v>1</v>
      </c>
      <c r="J995" s="115">
        <f>IF(tblIssues[[#This Row],[Qty Override]]&lt;&gt;"",tblIssues[[#This Row],[Qty Override]],IF(tblIssues[[#This Row],[Standard Issue]]="","",tblIssues[[#This Row],[Standard Issue]]))</f>
        <v>1</v>
      </c>
      <c r="K995" s="20">
        <f>IF($F995="","",IFERROR(INDEX(Items!$D$5:$D$597,MATCH($F995,Items!$A$5:$A$597,0)),""))</f>
        <v>1E-4</v>
      </c>
      <c r="L995" s="21">
        <f t="shared" si="173"/>
        <v>1E-4</v>
      </c>
      <c r="M995" s="9" t="str">
        <f t="shared" si="171"/>
        <v>20-21734-4</v>
      </c>
      <c r="N995" s="24">
        <f>IF($A995="","",WORKDAY($A995,Settings!$C$9,HolidayDates))</f>
        <v>46182</v>
      </c>
      <c r="O995" s="24">
        <f>IF($N995="","",WORKDAY($N995,Settings!$C$10,HolidayDates))</f>
        <v>46220</v>
      </c>
      <c r="P995" s="10" t="s">
        <v>501</v>
      </c>
      <c r="Q995" s="52" t="str">
        <f t="shared" si="174"/>
        <v>Collected</v>
      </c>
      <c r="R995" s="55" t="str">
        <f t="shared" si="175"/>
        <v>2026-06</v>
      </c>
      <c r="S995" s="55">
        <f>IF(OR($B995="",$F995="",$R995=""),"",SUMIFS(tblIssues[Qty Issued],tblIssues[Staff ID],$B995,tblIssues[Item Name],$F995,tblIssues[Month],$R995))</f>
        <v>1</v>
      </c>
      <c r="T995" s="56">
        <f>IF($I995="","",$I995*Settings!$C$11)</f>
        <v>1</v>
      </c>
      <c r="U995" s="57" t="str">
        <f t="shared" si="172"/>
        <v>OK</v>
      </c>
      <c r="V995" s="55" t="str">
        <f t="shared" si="176"/>
        <v/>
      </c>
      <c r="W995" s="55" t="str">
        <f>IF($V995="","",IF(COUNTIF($V$5:$V995,$V995)=1,1,""))</f>
        <v/>
      </c>
      <c r="X995" s="58" t="str">
        <f>IF($W995="","",MAX($X$4:X994)+1)</f>
        <v/>
      </c>
      <c r="Y995" s="62"/>
      <c r="Z995" s="62"/>
      <c r="AA995" s="64" t="str">
        <f>IF($C995="","",IFERROR(INDEX('Staff Directory'!$E$5:$E$594,MATCH($C995,'Staff Directory'!$B$5:$B$594,0)),""))</f>
        <v>firstname112.lastname112@example.com</v>
      </c>
      <c r="AB995" s="64" t="str">
        <f>IF($C995="","",IF(ISNUMBER(SEARCH($D995,Settings!$C$15)),"Pickup","Dispatch"))</f>
        <v>Pickup</v>
      </c>
      <c r="AC995" s="64" t="str">
        <f t="shared" si="177"/>
        <v>Supply order ready for pickup</v>
      </c>
      <c r="AD995" s="64" t="str">
        <f t="shared" si="168"/>
        <v>Dear PSW,
Your order is ready for pickup from Sample Branch, Wed-Fri 9am-4pm.</v>
      </c>
      <c r="AE995" s="64" t="str">
        <f t="shared" si="169"/>
        <v>mailto:firstname112.lastname112@example.com?subject=Supply%20order%20ready%20for%20pickup&amp;body=Dear%20PSW%2C%0A%0AYour%20order%20is%20ready%20for%20pickup%20from%20Sample%20Branch%2C%20Wed-Fri%209am-4pm.</v>
      </c>
      <c r="AF995" s="89" t="str">
        <f t="shared" si="178"/>
        <v>Draft email</v>
      </c>
      <c r="AG995" s="64" t="str">
        <f>IF($C995="","",IFERROR(INDEX('Staff Directory'!$K$595:$K$599,MATCH($C995,'Staff Directory'!$B$5:$B$599,0)),$D995))</f>
        <v>PSW</v>
      </c>
      <c r="AH995" t="str">
        <f>IF($C995="","",IFERROR(INDEX('Staff Directory'!$I$595:$I$599,MATCH($C995,'Staff Directory'!$B$5:$B$599,0))&amp;" "&amp;INDEX('Staff Directory'!$J$595:$J$599,MATCH($C995,'Staff Directory'!$B$5:$B$599,0)),$AG995))</f>
        <v>PSW</v>
      </c>
      <c r="AI995" s="102"/>
      <c r="AJ995" s="101">
        <f>IF($F995="","",SUMIFS($J$5:$J995,$F$5:$F995,$F995))</f>
        <v>113</v>
      </c>
      <c r="AK995" s="101">
        <f t="shared" si="170"/>
        <v>113</v>
      </c>
      <c r="AL995" s="66" t="str" cm="1">
        <f t="array" ref="AL995">IF($F995="","",IFERROR(INDEX('Lot Balance'!$B$5:$B$500,MATCH(1,INDEX(('Lot Balance'!$A$5:$A$500=$F995)*('Lot Balance'!$K$5:$K$500&lt;$AK995)*('Lot Balance'!$K$5:$K$500+'Lot Balance'!$D$5:$D$500&gt;=$AK995),0),0)),""))</f>
        <v>20-21734-4</v>
      </c>
      <c r="AM995" s="66" t="str" cm="1">
        <f t="array" ref="AM995">IF($F995="","",IFERROR(INDEX('Lot Balance'!$B$5:$B$500,MATCH(1,INDEX(('Lot Balance'!$A$5:$A$500=$F995)*('Lot Balance'!$K$5:$K$500&lt;$AJ995)*('Lot Balance'!$K$5:$K$500+'Lot Balance'!$D$5:$D$500&gt;=$AJ995),0),0)),""))</f>
        <v>20-21734-4</v>
      </c>
      <c r="AN995" s="66" t="str">
        <f>IF($F995="","",IF($AI995&lt;&gt;"",IF(COUNTIFS('Lot Balance'!$A$5:$A$500,$F995,'Lot Balance'!$B$5:$B$500,$AI995)=0,"⚠ override is not a lot of this item",IF($AI995=$AL995,"Override = FEFO","Override - FEFO says "&amp;$AL995)),IF($AL995="","⚠ no receipt on file for this item",IF($AM995&lt;&gt;$AL995,"FEFO auto - split, also "&amp;$AM995,"FEFO auto"))))</f>
        <v>FEFO auto</v>
      </c>
      <c r="AO995" s="114"/>
    </row>
    <row r="996" spans="1:41" x14ac:dyDescent="0.35">
      <c r="A996" s="74">
        <v>46174</v>
      </c>
      <c r="B996" s="18" t="str">
        <f>IF($C996="","",IFERROR(INDEX('Staff Directory'!$A$5:$A$594,MATCH($C996,'Staff Directory'!$B$5:$B$594,0)),"⚠ unknown staff"))</f>
        <v>PSW-052-A5</v>
      </c>
      <c r="C996" s="49" t="s">
        <v>1028</v>
      </c>
      <c r="D996" s="19" t="str">
        <f>IF($B996="","",IFERROR(INDEX('Staff Directory'!$C$5:$C$594,MATCH($B996,'Staff Directory'!$A$5:$A$594,0)),""))</f>
        <v>PSW</v>
      </c>
      <c r="E996" s="19" t="str">
        <f>IF($B996="","",IFERROR(INDEX('Staff Directory'!$D$5:$D$594,MATCH($B996,'Staff Directory'!$A$5:$A$594,0)),""))</f>
        <v>A5</v>
      </c>
      <c r="F996" s="9" t="s">
        <v>156</v>
      </c>
      <c r="G996" s="18" t="str">
        <f>IF($F996="","",IFERROR(INDEX(Items!$B$5:$B$597,MATCH($F996,Items!$A$5:$A$597,0)),"⚠ not in Items"))</f>
        <v>Masks</v>
      </c>
      <c r="H996" s="19" t="str">
        <f>IF($F996="","",IFERROR(INDEX(Items!$C$5:$C$597,MATCH($F996,Items!$A$5:$A$597,0)),""))</f>
        <v>One Size</v>
      </c>
      <c r="I996" s="23">
        <f>IF($F996="","",IFERROR(INDEX(Items!$E$5:$E$597,MATCH($F996,Items!$A$5:$A$597,0)),""))</f>
        <v>50</v>
      </c>
      <c r="J996" s="115">
        <f>IF(tblIssues[[#This Row],[Qty Override]]&lt;&gt;"",tblIssues[[#This Row],[Qty Override]],IF(tblIssues[[#This Row],[Standard Issue]]="","",tblIssues[[#This Row],[Standard Issue]]))</f>
        <v>50</v>
      </c>
      <c r="K996" s="20">
        <f>IF($F996="","",IFERROR(INDEX(Items!$D$5:$D$597,MATCH($F996,Items!$A$5:$A$597,0)),""))</f>
        <v>0.25</v>
      </c>
      <c r="L996" s="21">
        <f t="shared" si="173"/>
        <v>12.5</v>
      </c>
      <c r="M996" s="9" t="str">
        <f t="shared" si="171"/>
        <v>0125FPC24-2</v>
      </c>
      <c r="N996" s="24">
        <f>IF($A996="","",WORKDAY($A996,Settings!$C$9,HolidayDates))</f>
        <v>46182</v>
      </c>
      <c r="O996" s="24">
        <f>IF($N996="","",WORKDAY($N996,Settings!$C$10,HolidayDates))</f>
        <v>46220</v>
      </c>
      <c r="P996" s="10" t="s">
        <v>501</v>
      </c>
      <c r="Q996" s="52" t="str">
        <f t="shared" si="174"/>
        <v>Collected</v>
      </c>
      <c r="R996" s="55" t="str">
        <f t="shared" si="175"/>
        <v>2026-06</v>
      </c>
      <c r="S996" s="55">
        <f>IF(OR($B996="",$F996="",$R996=""),"",SUMIFS(tblIssues[Qty Issued],tblIssues[Staff ID],$B996,tblIssues[Item Name],$F996,tblIssues[Month],$R996))</f>
        <v>50</v>
      </c>
      <c r="T996" s="56">
        <f>IF($I996="","",$I996*Settings!$C$11)</f>
        <v>50</v>
      </c>
      <c r="U996" s="57" t="str">
        <f t="shared" si="172"/>
        <v>OK</v>
      </c>
      <c r="V996" s="55" t="str">
        <f t="shared" si="176"/>
        <v/>
      </c>
      <c r="W996" s="55" t="str">
        <f>IF($V996="","",IF(COUNTIF($V$5:$V996,$V996)=1,1,""))</f>
        <v/>
      </c>
      <c r="X996" s="58" t="str">
        <f>IF($W996="","",MAX($X$4:X995)+1)</f>
        <v/>
      </c>
      <c r="Y996" s="62"/>
      <c r="Z996" s="62"/>
      <c r="AA996" s="64" t="str">
        <f>IF($C996="","",IFERROR(INDEX('Staff Directory'!$E$5:$E$594,MATCH($C996,'Staff Directory'!$B$5:$B$594,0)),""))</f>
        <v>firstname112.lastname112@example.com</v>
      </c>
      <c r="AB996" s="64" t="str">
        <f>IF($C996="","",IF(ISNUMBER(SEARCH($D996,Settings!$C$15)),"Pickup","Dispatch"))</f>
        <v>Pickup</v>
      </c>
      <c r="AC996" s="64" t="str">
        <f t="shared" si="177"/>
        <v>Supply order ready for pickup</v>
      </c>
      <c r="AD996" s="64" t="str">
        <f t="shared" si="168"/>
        <v>Dear PSW,
Your order is ready for pickup from Sample Branch, Wed-Fri 9am-4pm.</v>
      </c>
      <c r="AE996" s="64" t="str">
        <f t="shared" si="169"/>
        <v>mailto:firstname112.lastname112@example.com?subject=Supply%20order%20ready%20for%20pickup&amp;body=Dear%20PSW%2C%0A%0AYour%20order%20is%20ready%20for%20pickup%20from%20Sample%20Branch%2C%20Wed-Fri%209am-4pm.</v>
      </c>
      <c r="AF996" s="89" t="str">
        <f t="shared" si="178"/>
        <v>Draft email</v>
      </c>
      <c r="AG996" s="64" t="str">
        <f>IF($C996="","",IFERROR(INDEX('Staff Directory'!$K$595:$K$599,MATCH($C996,'Staff Directory'!$B$5:$B$599,0)),$D996))</f>
        <v>PSW</v>
      </c>
      <c r="AH996" t="str">
        <f>IF($C996="","",IFERROR(INDEX('Staff Directory'!$I$595:$I$599,MATCH($C996,'Staff Directory'!$B$5:$B$599,0))&amp;" "&amp;INDEX('Staff Directory'!$J$595:$J$599,MATCH($C996,'Staff Directory'!$B$5:$B$599,0)),$AG996))</f>
        <v>PSW</v>
      </c>
      <c r="AI996" s="102"/>
      <c r="AJ996" s="101">
        <f>IF($F996="","",SUMIFS($J$5:$J996,$F$5:$F996,$F996))</f>
        <v>7550</v>
      </c>
      <c r="AK996" s="101">
        <f t="shared" si="170"/>
        <v>7501</v>
      </c>
      <c r="AL996" s="66" t="str" cm="1">
        <f t="array" ref="AL996">IF($F996="","",IFERROR(INDEX('Lot Balance'!$B$5:$B$500,MATCH(1,INDEX(('Lot Balance'!$A$5:$A$500=$F996)*('Lot Balance'!$K$5:$K$500&lt;$AK996)*('Lot Balance'!$K$5:$K$500+'Lot Balance'!$D$5:$D$500&gt;=$AK996),0),0)),""))</f>
        <v>0125FPC24-2</v>
      </c>
      <c r="AM996" s="66" t="str" cm="1">
        <f t="array" ref="AM996">IF($F996="","",IFERROR(INDEX('Lot Balance'!$B$5:$B$500,MATCH(1,INDEX(('Lot Balance'!$A$5:$A$500=$F996)*('Lot Balance'!$K$5:$K$500&lt;$AJ996)*('Lot Balance'!$K$5:$K$500+'Lot Balance'!$D$5:$D$500&gt;=$AJ996),0),0)),""))</f>
        <v>0125FPC24-2</v>
      </c>
      <c r="AN996" s="66" t="str">
        <f>IF($F996="","",IF($AI996&lt;&gt;"",IF(COUNTIFS('Lot Balance'!$A$5:$A$500,$F996,'Lot Balance'!$B$5:$B$500,$AI996)=0,"⚠ override is not a lot of this item",IF($AI996=$AL996,"Override = FEFO","Override - FEFO says "&amp;$AL996)),IF($AL996="","⚠ no receipt on file for this item",IF($AM996&lt;&gt;$AL996,"FEFO auto - split, also "&amp;$AM996,"FEFO auto"))))</f>
        <v>FEFO auto</v>
      </c>
      <c r="AO996" s="114"/>
    </row>
    <row r="997" spans="1:41" x14ac:dyDescent="0.35">
      <c r="A997" s="74">
        <v>46174</v>
      </c>
      <c r="B997" s="18" t="str">
        <f>IF($C997="","",IFERROR(INDEX('Staff Directory'!$A$5:$A$594,MATCH($C997,'Staff Directory'!$B$5:$B$594,0)),"⚠ unknown staff"))</f>
        <v>PSW-061-A5</v>
      </c>
      <c r="C997" s="49" t="s">
        <v>1037</v>
      </c>
      <c r="D997" s="19" t="str">
        <f>IF($B997="","",IFERROR(INDEX('Staff Directory'!$C$5:$C$594,MATCH($B997,'Staff Directory'!$A$5:$A$594,0)),""))</f>
        <v>PSW</v>
      </c>
      <c r="E997" s="19" t="str">
        <f>IF($B997="","",IFERROR(INDEX('Staff Directory'!$D$5:$D$594,MATCH($B997,'Staff Directory'!$A$5:$A$594,0)),""))</f>
        <v>A5</v>
      </c>
      <c r="F997" s="9" t="s">
        <v>127</v>
      </c>
      <c r="G997" s="18" t="str">
        <f>IF($F997="","",IFERROR(INDEX(Items!$B$5:$B$597,MATCH($F997,Items!$A$5:$A$597,0)),"⚠ not in Items"))</f>
        <v>Gloves</v>
      </c>
      <c r="H997" s="19" t="str">
        <f>IF($F997="","",IFERROR(INDEX(Items!$C$5:$C$597,MATCH($F997,Items!$A$5:$A$597,0)),""))</f>
        <v>Medium</v>
      </c>
      <c r="I997" s="23">
        <f>IF($F997="","",IFERROR(INDEX(Items!$E$5:$E$597,MATCH($F997,Items!$A$5:$A$597,0)),""))</f>
        <v>500</v>
      </c>
      <c r="J997" s="115">
        <f>IF(tblIssues[[#This Row],[Qty Override]]&lt;&gt;"",tblIssues[[#This Row],[Qty Override]],IF(tblIssues[[#This Row],[Standard Issue]]="","",tblIssues[[#This Row],[Standard Issue]]))</f>
        <v>500</v>
      </c>
      <c r="K997" s="20">
        <f>IF($F997="","",IFERROR(INDEX(Items!$D$5:$D$597,MATCH($F997,Items!$A$5:$A$597,0)),""))</f>
        <v>5.5E-2</v>
      </c>
      <c r="L997" s="21">
        <f t="shared" si="173"/>
        <v>27.5</v>
      </c>
      <c r="M997" s="9" t="str">
        <f t="shared" si="171"/>
        <v>ZIM510329603</v>
      </c>
      <c r="N997" s="24">
        <f>IF($A997="","",WORKDAY($A997,Settings!$C$9,HolidayDates))</f>
        <v>46182</v>
      </c>
      <c r="O997" s="24">
        <f>IF($N997="","",WORKDAY($N997,Settings!$C$10,HolidayDates))</f>
        <v>46220</v>
      </c>
      <c r="P997" s="10" t="s">
        <v>501</v>
      </c>
      <c r="Q997" s="52" t="str">
        <f t="shared" si="174"/>
        <v>Collected</v>
      </c>
      <c r="R997" s="55" t="str">
        <f t="shared" si="175"/>
        <v>2026-06</v>
      </c>
      <c r="S997" s="55">
        <f>IF(OR($B997="",$F997="",$R997=""),"",SUMIFS(tblIssues[Qty Issued],tblIssues[Staff ID],$B997,tblIssues[Item Name],$F997,tblIssues[Month],$R997))</f>
        <v>500</v>
      </c>
      <c r="T997" s="56">
        <f>IF($I997="","",$I997*Settings!$C$11)</f>
        <v>500</v>
      </c>
      <c r="U997" s="57" t="str">
        <f t="shared" si="172"/>
        <v>OK</v>
      </c>
      <c r="V997" s="55" t="str">
        <f t="shared" si="176"/>
        <v/>
      </c>
      <c r="W997" s="55" t="str">
        <f>IF($V997="","",IF(COUNTIF($V$5:$V997,$V997)=1,1,""))</f>
        <v/>
      </c>
      <c r="X997" s="58" t="str">
        <f>IF($W997="","",MAX($X$4:X996)+1)</f>
        <v/>
      </c>
      <c r="Y997" s="62"/>
      <c r="Z997" s="62"/>
      <c r="AA997" s="64" t="str">
        <f>IF($C997="","",IFERROR(INDEX('Staff Directory'!$E$5:$E$594,MATCH($C997,'Staff Directory'!$B$5:$B$594,0)),""))</f>
        <v>firstname121.lastname121@example.com</v>
      </c>
      <c r="AB997" s="64" t="str">
        <f>IF($C997="","",IF(ISNUMBER(SEARCH($D997,Settings!$C$15)),"Pickup","Dispatch"))</f>
        <v>Pickup</v>
      </c>
      <c r="AC997" s="64" t="str">
        <f t="shared" si="177"/>
        <v>Supply order ready for pickup</v>
      </c>
      <c r="AD997" s="64" t="str">
        <f t="shared" si="168"/>
        <v>Dear PSW,
Your order is ready for pickup from Sample Branch, Wed-Fri 9am-4pm.</v>
      </c>
      <c r="AE997" s="64" t="str">
        <f t="shared" si="169"/>
        <v>mailto:firstname121.lastname121@example.com?subject=Supply%20order%20ready%20for%20pickup&amp;body=Dear%20PSW%2C%0A%0AYour%20order%20is%20ready%20for%20pickup%20from%20Sample%20Branch%2C%20Wed-Fri%209am-4pm.</v>
      </c>
      <c r="AF997" s="89" t="str">
        <f t="shared" si="178"/>
        <v>Draft email</v>
      </c>
      <c r="AG997" s="64" t="str">
        <f>IF($C997="","",IFERROR(INDEX('Staff Directory'!$K$595:$K$599,MATCH($C997,'Staff Directory'!$B$5:$B$599,0)),$D997))</f>
        <v>PSW</v>
      </c>
      <c r="AH997" t="str">
        <f>IF($C997="","",IFERROR(INDEX('Staff Directory'!$I$595:$I$599,MATCH($C997,'Staff Directory'!$B$5:$B$599,0))&amp;" "&amp;INDEX('Staff Directory'!$J$595:$J$599,MATCH($C997,'Staff Directory'!$B$5:$B$599,0)),$AG997))</f>
        <v>PSW</v>
      </c>
      <c r="AI997" s="102"/>
      <c r="AJ997" s="101">
        <f>IF($F997="","",SUMIFS($J$5:$J997,$F$5:$F997,$F997))</f>
        <v>56500</v>
      </c>
      <c r="AK997" s="101">
        <f t="shared" si="170"/>
        <v>56001</v>
      </c>
      <c r="AL997" s="66" t="str" cm="1">
        <f t="array" ref="AL997">IF($F997="","",IFERROR(INDEX('Lot Balance'!$B$5:$B$500,MATCH(1,INDEX(('Lot Balance'!$A$5:$A$500=$F997)*('Lot Balance'!$K$5:$K$500&lt;$AK997)*('Lot Balance'!$K$5:$K$500+'Lot Balance'!$D$5:$D$500&gt;=$AK997),0),0)),""))</f>
        <v>ZIM510329603</v>
      </c>
      <c r="AM997" s="66" t="str" cm="1">
        <f t="array" ref="AM997">IF($F997="","",IFERROR(INDEX('Lot Balance'!$B$5:$B$500,MATCH(1,INDEX(('Lot Balance'!$A$5:$A$500=$F997)*('Lot Balance'!$K$5:$K$500&lt;$AJ997)*('Lot Balance'!$K$5:$K$500+'Lot Balance'!$D$5:$D$500&gt;=$AJ997),0),0)),""))</f>
        <v>ZIM510329603</v>
      </c>
      <c r="AN997" s="66" t="str">
        <f>IF($F997="","",IF($AI997&lt;&gt;"",IF(COUNTIFS('Lot Balance'!$A$5:$A$500,$F997,'Lot Balance'!$B$5:$B$500,$AI997)=0,"⚠ override is not a lot of this item",IF($AI997=$AL997,"Override = FEFO","Override - FEFO says "&amp;$AL997)),IF($AL997="","⚠ no receipt on file for this item",IF($AM997&lt;&gt;$AL997,"FEFO auto - split, also "&amp;$AM997,"FEFO auto"))))</f>
        <v>FEFO auto</v>
      </c>
      <c r="AO997" s="114"/>
    </row>
    <row r="998" spans="1:41" x14ac:dyDescent="0.35">
      <c r="A998" s="74">
        <v>46174</v>
      </c>
      <c r="B998" s="18" t="str">
        <f>IF($C998="","",IFERROR(INDEX('Staff Directory'!$A$5:$A$594,MATCH($C998,'Staff Directory'!$B$5:$B$594,0)),"⚠ unknown staff"))</f>
        <v>PSW-061-A5</v>
      </c>
      <c r="C998" s="49" t="s">
        <v>1037</v>
      </c>
      <c r="D998" s="19" t="str">
        <f>IF($B998="","",IFERROR(INDEX('Staff Directory'!$C$5:$C$594,MATCH($B998,'Staff Directory'!$A$5:$A$594,0)),""))</f>
        <v>PSW</v>
      </c>
      <c r="E998" s="19" t="str">
        <f>IF($B998="","",IFERROR(INDEX('Staff Directory'!$D$5:$D$594,MATCH($B998,'Staff Directory'!$A$5:$A$594,0)),""))</f>
        <v>A5</v>
      </c>
      <c r="F998" s="9" t="s">
        <v>191</v>
      </c>
      <c r="G998" s="18" t="str">
        <f>IF($F998="","",IFERROR(INDEX(Items!$B$5:$B$597,MATCH($F998,Items!$A$5:$A$597,0)),"⚠ not in Items"))</f>
        <v>Sanitizer</v>
      </c>
      <c r="H998" s="19" t="str">
        <f>IF($F998="","",IFERROR(INDEX(Items!$C$5:$C$597,MATCH($F998,Items!$A$5:$A$597,0)),""))</f>
        <v>236 ML</v>
      </c>
      <c r="I998" s="23">
        <f>IF($F998="","",IFERROR(INDEX(Items!$E$5:$E$597,MATCH($F998,Items!$A$5:$A$597,0)),""))</f>
        <v>1</v>
      </c>
      <c r="J998" s="115">
        <f>IF(tblIssues[[#This Row],[Qty Override]]&lt;&gt;"",tblIssues[[#This Row],[Qty Override]],IF(tblIssues[[#This Row],[Standard Issue]]="","",tblIssues[[#This Row],[Standard Issue]]))</f>
        <v>1</v>
      </c>
      <c r="K998" s="20">
        <f>IF($F998="","",IFERROR(INDEX(Items!$D$5:$D$597,MATCH($F998,Items!$A$5:$A$597,0)),""))</f>
        <v>1E-4</v>
      </c>
      <c r="L998" s="21">
        <f t="shared" si="173"/>
        <v>1E-4</v>
      </c>
      <c r="M998" s="9" t="str">
        <f t="shared" si="171"/>
        <v>20-21734-4</v>
      </c>
      <c r="N998" s="24">
        <f>IF($A998="","",WORKDAY($A998,Settings!$C$9,HolidayDates))</f>
        <v>46182</v>
      </c>
      <c r="O998" s="24">
        <f>IF($N998="","",WORKDAY($N998,Settings!$C$10,HolidayDates))</f>
        <v>46220</v>
      </c>
      <c r="P998" s="10" t="s">
        <v>501</v>
      </c>
      <c r="Q998" s="52" t="str">
        <f t="shared" si="174"/>
        <v>Collected</v>
      </c>
      <c r="R998" s="55" t="str">
        <f t="shared" si="175"/>
        <v>2026-06</v>
      </c>
      <c r="S998" s="55">
        <f>IF(OR($B998="",$F998="",$R998=""),"",SUMIFS(tblIssues[Qty Issued],tblIssues[Staff ID],$B998,tblIssues[Item Name],$F998,tblIssues[Month],$R998))</f>
        <v>1</v>
      </c>
      <c r="T998" s="56">
        <f>IF($I998="","",$I998*Settings!$C$11)</f>
        <v>1</v>
      </c>
      <c r="U998" s="57" t="str">
        <f t="shared" si="172"/>
        <v>OK</v>
      </c>
      <c r="V998" s="55" t="str">
        <f t="shared" si="176"/>
        <v/>
      </c>
      <c r="W998" s="55" t="str">
        <f>IF($V998="","",IF(COUNTIF($V$5:$V998,$V998)=1,1,""))</f>
        <v/>
      </c>
      <c r="X998" s="58" t="str">
        <f>IF($W998="","",MAX($X$4:X997)+1)</f>
        <v/>
      </c>
      <c r="Y998" s="62"/>
      <c r="Z998" s="62"/>
      <c r="AA998" s="64" t="str">
        <f>IF($C998="","",IFERROR(INDEX('Staff Directory'!$E$5:$E$594,MATCH($C998,'Staff Directory'!$B$5:$B$594,0)),""))</f>
        <v>firstname121.lastname121@example.com</v>
      </c>
      <c r="AB998" s="64" t="str">
        <f>IF($C998="","",IF(ISNUMBER(SEARCH($D998,Settings!$C$15)),"Pickup","Dispatch"))</f>
        <v>Pickup</v>
      </c>
      <c r="AC998" s="64" t="str">
        <f t="shared" si="177"/>
        <v>Supply order ready for pickup</v>
      </c>
      <c r="AD998" s="64" t="str">
        <f t="shared" si="168"/>
        <v>Dear PSW,
Your order is ready for pickup from Sample Branch, Wed-Fri 9am-4pm.</v>
      </c>
      <c r="AE998" s="64" t="str">
        <f t="shared" si="169"/>
        <v>mailto:firstname121.lastname121@example.com?subject=Supply%20order%20ready%20for%20pickup&amp;body=Dear%20PSW%2C%0A%0AYour%20order%20is%20ready%20for%20pickup%20from%20Sample%20Branch%2C%20Wed-Fri%209am-4pm.</v>
      </c>
      <c r="AF998" s="89" t="str">
        <f t="shared" si="178"/>
        <v>Draft email</v>
      </c>
      <c r="AG998" s="64" t="str">
        <f>IF($C998="","",IFERROR(INDEX('Staff Directory'!$K$595:$K$599,MATCH($C998,'Staff Directory'!$B$5:$B$599,0)),$D998))</f>
        <v>PSW</v>
      </c>
      <c r="AH998" t="str">
        <f>IF($C998="","",IFERROR(INDEX('Staff Directory'!$I$595:$I$599,MATCH($C998,'Staff Directory'!$B$5:$B$599,0))&amp;" "&amp;INDEX('Staff Directory'!$J$595:$J$599,MATCH($C998,'Staff Directory'!$B$5:$B$599,0)),$AG998))</f>
        <v>PSW</v>
      </c>
      <c r="AI998" s="102"/>
      <c r="AJ998" s="101">
        <f>IF($F998="","",SUMIFS($J$5:$J998,$F$5:$F998,$F998))</f>
        <v>114</v>
      </c>
      <c r="AK998" s="101">
        <f t="shared" si="170"/>
        <v>114</v>
      </c>
      <c r="AL998" s="66" t="str" cm="1">
        <f t="array" ref="AL998">IF($F998="","",IFERROR(INDEX('Lot Balance'!$B$5:$B$500,MATCH(1,INDEX(('Lot Balance'!$A$5:$A$500=$F998)*('Lot Balance'!$K$5:$K$500&lt;$AK998)*('Lot Balance'!$K$5:$K$500+'Lot Balance'!$D$5:$D$500&gt;=$AK998),0),0)),""))</f>
        <v>20-21734-4</v>
      </c>
      <c r="AM998" s="66" t="str" cm="1">
        <f t="array" ref="AM998">IF($F998="","",IFERROR(INDEX('Lot Balance'!$B$5:$B$500,MATCH(1,INDEX(('Lot Balance'!$A$5:$A$500=$F998)*('Lot Balance'!$K$5:$K$500&lt;$AJ998)*('Lot Balance'!$K$5:$K$500+'Lot Balance'!$D$5:$D$500&gt;=$AJ998),0),0)),""))</f>
        <v>20-21734-4</v>
      </c>
      <c r="AN998" s="66" t="str">
        <f>IF($F998="","",IF($AI998&lt;&gt;"",IF(COUNTIFS('Lot Balance'!$A$5:$A$500,$F998,'Lot Balance'!$B$5:$B$500,$AI998)=0,"⚠ override is not a lot of this item",IF($AI998=$AL998,"Override = FEFO","Override - FEFO says "&amp;$AL998)),IF($AL998="","⚠ no receipt on file for this item",IF($AM998&lt;&gt;$AL998,"FEFO auto - split, also "&amp;$AM998,"FEFO auto"))))</f>
        <v>FEFO auto</v>
      </c>
      <c r="AO998" s="114"/>
    </row>
    <row r="999" spans="1:41" x14ac:dyDescent="0.35">
      <c r="A999" s="74">
        <v>46174</v>
      </c>
      <c r="B999" s="18" t="str">
        <f>IF($C999="","",IFERROR(INDEX('Staff Directory'!$A$5:$A$594,MATCH($C999,'Staff Directory'!$B$5:$B$594,0)),"⚠ unknown staff"))</f>
        <v>PSW-061-A5</v>
      </c>
      <c r="C999" s="49" t="s">
        <v>1037</v>
      </c>
      <c r="D999" s="19" t="str">
        <f>IF($B999="","",IFERROR(INDEX('Staff Directory'!$C$5:$C$594,MATCH($B999,'Staff Directory'!$A$5:$A$594,0)),""))</f>
        <v>PSW</v>
      </c>
      <c r="E999" s="19" t="str">
        <f>IF($B999="","",IFERROR(INDEX('Staff Directory'!$D$5:$D$594,MATCH($B999,'Staff Directory'!$A$5:$A$594,0)),""))</f>
        <v>A5</v>
      </c>
      <c r="F999" s="9" t="s">
        <v>115</v>
      </c>
      <c r="G999" s="18" t="str">
        <f>IF($F999="","",IFERROR(INDEX(Items!$B$5:$B$597,MATCH($F999,Items!$A$5:$A$597,0)),"⚠ not in Items"))</f>
        <v>Wipes</v>
      </c>
      <c r="H999" s="19">
        <f>IF($F999="","",IFERROR(INDEX(Items!$C$5:$C$597,MATCH($F999,Items!$A$5:$A$597,0)),""))</f>
        <v>80</v>
      </c>
      <c r="I999" s="23">
        <f>IF($F999="","",IFERROR(INDEX(Items!$E$5:$E$597,MATCH($F999,Items!$A$5:$A$597,0)),""))</f>
        <v>80</v>
      </c>
      <c r="J999" s="115">
        <f>IF(tblIssues[[#This Row],[Qty Override]]&lt;&gt;"",tblIssues[[#This Row],[Qty Override]],IF(tblIssues[[#This Row],[Standard Issue]]="","",tblIssues[[#This Row],[Standard Issue]]))</f>
        <v>80</v>
      </c>
      <c r="K999" s="20">
        <f>IF($F999="","",IFERROR(INDEX(Items!$D$5:$D$597,MATCH($F999,Items!$A$5:$A$597,0)),""))</f>
        <v>0.1</v>
      </c>
      <c r="L999" s="21">
        <f t="shared" si="173"/>
        <v>8</v>
      </c>
      <c r="M999" s="9" t="str">
        <f t="shared" si="171"/>
        <v>LYSL500290</v>
      </c>
      <c r="N999" s="24">
        <f>IF($A999="","",WORKDAY($A999,Settings!$C$9,HolidayDates))</f>
        <v>46182</v>
      </c>
      <c r="O999" s="24">
        <f>IF($N999="","",WORKDAY($N999,Settings!$C$10,HolidayDates))</f>
        <v>46220</v>
      </c>
      <c r="P999" s="10" t="s">
        <v>501</v>
      </c>
      <c r="Q999" s="52" t="str">
        <f t="shared" si="174"/>
        <v>Collected</v>
      </c>
      <c r="R999" s="55" t="str">
        <f t="shared" si="175"/>
        <v>2026-06</v>
      </c>
      <c r="S999" s="55">
        <f>IF(OR($B999="",$F999="",$R999=""),"",SUMIFS(tblIssues[Qty Issued],tblIssues[Staff ID],$B999,tblIssues[Item Name],$F999,tblIssues[Month],$R999))</f>
        <v>80</v>
      </c>
      <c r="T999" s="56">
        <f>IF($I999="","",$I999*Settings!$C$11)</f>
        <v>80</v>
      </c>
      <c r="U999" s="57" t="str">
        <f t="shared" si="172"/>
        <v>OK</v>
      </c>
      <c r="V999" s="55" t="str">
        <f t="shared" si="176"/>
        <v/>
      </c>
      <c r="W999" s="55" t="str">
        <f>IF($V999="","",IF(COUNTIF($V$5:$V999,$V999)=1,1,""))</f>
        <v/>
      </c>
      <c r="X999" s="58" t="str">
        <f>IF($W999="","",MAX($X$4:X998)+1)</f>
        <v/>
      </c>
      <c r="Y999" s="62"/>
      <c r="Z999" s="62"/>
      <c r="AA999" s="64" t="str">
        <f>IF($C999="","",IFERROR(INDEX('Staff Directory'!$E$5:$E$594,MATCH($C999,'Staff Directory'!$B$5:$B$594,0)),""))</f>
        <v>firstname121.lastname121@example.com</v>
      </c>
      <c r="AB999" s="64" t="str">
        <f>IF($C999="","",IF(ISNUMBER(SEARCH($D999,Settings!$C$15)),"Pickup","Dispatch"))</f>
        <v>Pickup</v>
      </c>
      <c r="AC999" s="64" t="str">
        <f t="shared" si="177"/>
        <v>Supply order ready for pickup</v>
      </c>
      <c r="AD999" s="64" t="str">
        <f t="shared" si="168"/>
        <v>Dear PSW,
Your order is ready for pickup from Sample Branch, Wed-Fri 9am-4pm.</v>
      </c>
      <c r="AE999" s="64" t="str">
        <f t="shared" si="169"/>
        <v>mailto:firstname121.lastname121@example.com?subject=Supply%20order%20ready%20for%20pickup&amp;body=Dear%20PSW%2C%0A%0AYour%20order%20is%20ready%20for%20pickup%20from%20Sample%20Branch%2C%20Wed-Fri%209am-4pm.</v>
      </c>
      <c r="AF999" s="89" t="str">
        <f t="shared" si="178"/>
        <v>Draft email</v>
      </c>
      <c r="AG999" s="64" t="str">
        <f>IF($C999="","",IFERROR(INDEX('Staff Directory'!$K$595:$K$599,MATCH($C999,'Staff Directory'!$B$5:$B$599,0)),$D999))</f>
        <v>PSW</v>
      </c>
      <c r="AH999" t="str">
        <f>IF($C999="","",IFERROR(INDEX('Staff Directory'!$I$595:$I$599,MATCH($C999,'Staff Directory'!$B$5:$B$599,0))&amp;" "&amp;INDEX('Staff Directory'!$J$595:$J$599,MATCH($C999,'Staff Directory'!$B$5:$B$599,0)),$AG999))</f>
        <v>PSW</v>
      </c>
      <c r="AI999" s="102"/>
      <c r="AJ999" s="101">
        <f>IF($F999="","",SUMIFS($J$5:$J999,$F$5:$F999,$F999))</f>
        <v>13040</v>
      </c>
      <c r="AK999" s="101">
        <f t="shared" si="170"/>
        <v>12961</v>
      </c>
      <c r="AL999" s="66" t="str" cm="1">
        <f t="array" ref="AL999">IF($F999="","",IFERROR(INDEX('Lot Balance'!$B$5:$B$500,MATCH(1,INDEX(('Lot Balance'!$A$5:$A$500=$F999)*('Lot Balance'!$K$5:$K$500&lt;$AK999)*('Lot Balance'!$K$5:$K$500+'Lot Balance'!$D$5:$D$500&gt;=$AK999),0),0)),""))</f>
        <v>LYSL500290</v>
      </c>
      <c r="AM999" s="66" t="str" cm="1">
        <f t="array" ref="AM999">IF($F999="","",IFERROR(INDEX('Lot Balance'!$B$5:$B$500,MATCH(1,INDEX(('Lot Balance'!$A$5:$A$500=$F999)*('Lot Balance'!$K$5:$K$500&lt;$AJ999)*('Lot Balance'!$K$5:$K$500+'Lot Balance'!$D$5:$D$500&gt;=$AJ999),0),0)),""))</f>
        <v>LYSL500290</v>
      </c>
      <c r="AN999" s="66" t="str">
        <f>IF($F999="","",IF($AI999&lt;&gt;"",IF(COUNTIFS('Lot Balance'!$A$5:$A$500,$F999,'Lot Balance'!$B$5:$B$500,$AI999)=0,"⚠ override is not a lot of this item",IF($AI999=$AL999,"Override = FEFO","Override - FEFO says "&amp;$AL999)),IF($AL999="","⚠ no receipt on file for this item",IF($AM999&lt;&gt;$AL999,"FEFO auto - split, also "&amp;$AM999,"FEFO auto"))))</f>
        <v>FEFO auto</v>
      </c>
      <c r="AO999" s="114"/>
    </row>
    <row r="1000" spans="1:41" x14ac:dyDescent="0.35">
      <c r="A1000" s="74">
        <v>46174</v>
      </c>
      <c r="B1000" s="18" t="str">
        <f>IF($C1000="","",IFERROR(INDEX('Staff Directory'!$A$5:$A$594,MATCH($C1000,'Staff Directory'!$B$5:$B$594,0)),"⚠ unknown staff"))</f>
        <v>PSW-061-A5</v>
      </c>
      <c r="C1000" s="49" t="s">
        <v>1037</v>
      </c>
      <c r="D1000" s="19" t="str">
        <f>IF($B1000="","",IFERROR(INDEX('Staff Directory'!$C$5:$C$594,MATCH($B1000,'Staff Directory'!$A$5:$A$594,0)),""))</f>
        <v>PSW</v>
      </c>
      <c r="E1000" s="19" t="str">
        <f>IF($B1000="","",IFERROR(INDEX('Staff Directory'!$D$5:$D$594,MATCH($B1000,'Staff Directory'!$A$5:$A$594,0)),""))</f>
        <v>A5</v>
      </c>
      <c r="F1000" s="9" t="s">
        <v>156</v>
      </c>
      <c r="G1000" s="18" t="str">
        <f>IF($F1000="","",IFERROR(INDEX(Items!$B$5:$B$597,MATCH($F1000,Items!$A$5:$A$597,0)),"⚠ not in Items"))</f>
        <v>Masks</v>
      </c>
      <c r="H1000" s="19" t="str">
        <f>IF($F1000="","",IFERROR(INDEX(Items!$C$5:$C$597,MATCH($F1000,Items!$A$5:$A$597,0)),""))</f>
        <v>One Size</v>
      </c>
      <c r="I1000" s="23">
        <f>IF($F1000="","",IFERROR(INDEX(Items!$E$5:$E$597,MATCH($F1000,Items!$A$5:$A$597,0)),""))</f>
        <v>50</v>
      </c>
      <c r="J1000" s="115">
        <f>IF(tblIssues[[#This Row],[Qty Override]]&lt;&gt;"",tblIssues[[#This Row],[Qty Override]],IF(tblIssues[[#This Row],[Standard Issue]]="","",tblIssues[[#This Row],[Standard Issue]]))</f>
        <v>50</v>
      </c>
      <c r="K1000" s="20">
        <f>IF($F1000="","",IFERROR(INDEX(Items!$D$5:$D$597,MATCH($F1000,Items!$A$5:$A$597,0)),""))</f>
        <v>0.25</v>
      </c>
      <c r="L1000" s="21">
        <f t="shared" si="173"/>
        <v>12.5</v>
      </c>
      <c r="M1000" s="9" t="str">
        <f t="shared" si="171"/>
        <v>0125FPC24-2</v>
      </c>
      <c r="N1000" s="24">
        <f>IF($A1000="","",WORKDAY($A1000,Settings!$C$9,HolidayDates))</f>
        <v>46182</v>
      </c>
      <c r="O1000" s="24">
        <f>IF($N1000="","",WORKDAY($N1000,Settings!$C$10,HolidayDates))</f>
        <v>46220</v>
      </c>
      <c r="P1000" s="10" t="s">
        <v>501</v>
      </c>
      <c r="Q1000" s="52" t="str">
        <f t="shared" si="174"/>
        <v>Collected</v>
      </c>
      <c r="R1000" s="55" t="str">
        <f t="shared" si="175"/>
        <v>2026-06</v>
      </c>
      <c r="S1000" s="55">
        <f>IF(OR($B1000="",$F1000="",$R1000=""),"",SUMIFS(tblIssues[Qty Issued],tblIssues[Staff ID],$B1000,tblIssues[Item Name],$F1000,tblIssues[Month],$R1000))</f>
        <v>50</v>
      </c>
      <c r="T1000" s="56">
        <f>IF($I1000="","",$I1000*Settings!$C$11)</f>
        <v>50</v>
      </c>
      <c r="U1000" s="57" t="str">
        <f t="shared" si="172"/>
        <v>OK</v>
      </c>
      <c r="V1000" s="55" t="str">
        <f t="shared" si="176"/>
        <v/>
      </c>
      <c r="W1000" s="55" t="str">
        <f>IF($V1000="","",IF(COUNTIF($V$5:$V1000,$V1000)=1,1,""))</f>
        <v/>
      </c>
      <c r="X1000" s="58" t="str">
        <f>IF($W1000="","",MAX($X$4:X999)+1)</f>
        <v/>
      </c>
      <c r="Y1000" s="62"/>
      <c r="Z1000" s="62"/>
      <c r="AA1000" s="64" t="str">
        <f>IF($C1000="","",IFERROR(INDEX('Staff Directory'!$E$5:$E$594,MATCH($C1000,'Staff Directory'!$B$5:$B$594,0)),""))</f>
        <v>firstname121.lastname121@example.com</v>
      </c>
      <c r="AB1000" s="64" t="str">
        <f>IF($C1000="","",IF(ISNUMBER(SEARCH($D1000,Settings!$C$15)),"Pickup","Dispatch"))</f>
        <v>Pickup</v>
      </c>
      <c r="AC1000" s="64" t="str">
        <f t="shared" si="177"/>
        <v>Supply order ready for pickup</v>
      </c>
      <c r="AD1000" s="64" t="str">
        <f t="shared" si="168"/>
        <v>Dear PSW,
Your order is ready for pickup from Sample Branch, Wed-Fri 9am-4pm.</v>
      </c>
      <c r="AE1000" s="64" t="str">
        <f t="shared" si="169"/>
        <v>mailto:firstname121.lastname121@example.com?subject=Supply%20order%20ready%20for%20pickup&amp;body=Dear%20PSW%2C%0A%0AYour%20order%20is%20ready%20for%20pickup%20from%20Sample%20Branch%2C%20Wed-Fri%209am-4pm.</v>
      </c>
      <c r="AF1000" s="89" t="str">
        <f t="shared" si="178"/>
        <v>Draft email</v>
      </c>
      <c r="AG1000" s="64" t="str">
        <f>IF($C1000="","",IFERROR(INDEX('Staff Directory'!$K$595:$K$599,MATCH($C1000,'Staff Directory'!$B$5:$B$599,0)),$D1000))</f>
        <v>PSW</v>
      </c>
      <c r="AH1000" t="str">
        <f>IF($C1000="","",IFERROR(INDEX('Staff Directory'!$I$595:$I$599,MATCH($C1000,'Staff Directory'!$B$5:$B$599,0))&amp;" "&amp;INDEX('Staff Directory'!$J$595:$J$599,MATCH($C1000,'Staff Directory'!$B$5:$B$599,0)),$AG1000))</f>
        <v>PSW</v>
      </c>
      <c r="AI1000" s="102"/>
      <c r="AJ1000" s="101">
        <f>IF($F1000="","",SUMIFS($J$5:$J1000,$F$5:$F1000,$F1000))</f>
        <v>7600</v>
      </c>
      <c r="AK1000" s="101">
        <f t="shared" si="170"/>
        <v>7551</v>
      </c>
      <c r="AL1000" s="66" t="str" cm="1">
        <f t="array" ref="AL1000">IF($F1000="","",IFERROR(INDEX('Lot Balance'!$B$5:$B$500,MATCH(1,INDEX(('Lot Balance'!$A$5:$A$500=$F1000)*('Lot Balance'!$K$5:$K$500&lt;$AK1000)*('Lot Balance'!$K$5:$K$500+'Lot Balance'!$D$5:$D$500&gt;=$AK1000),0),0)),""))</f>
        <v>0125FPC24-2</v>
      </c>
      <c r="AM1000" s="66" t="str" cm="1">
        <f t="array" ref="AM1000">IF($F1000="","",IFERROR(INDEX('Lot Balance'!$B$5:$B$500,MATCH(1,INDEX(('Lot Balance'!$A$5:$A$500=$F1000)*('Lot Balance'!$K$5:$K$500&lt;$AJ1000)*('Lot Balance'!$K$5:$K$500+'Lot Balance'!$D$5:$D$500&gt;=$AJ1000),0),0)),""))</f>
        <v>0125FPC24-2</v>
      </c>
      <c r="AN1000" s="66" t="str">
        <f>IF($F1000="","",IF($AI1000&lt;&gt;"",IF(COUNTIFS('Lot Balance'!$A$5:$A$500,$F1000,'Lot Balance'!$B$5:$B$500,$AI1000)=0,"⚠ override is not a lot of this item",IF($AI1000=$AL1000,"Override = FEFO","Override - FEFO says "&amp;$AL1000)),IF($AL1000="","⚠ no receipt on file for this item",IF($AM1000&lt;&gt;$AL1000,"FEFO auto - split, also "&amp;$AM1000,"FEFO auto"))))</f>
        <v>FEFO auto</v>
      </c>
      <c r="AO1000" s="114"/>
    </row>
    <row r="1001" spans="1:41" x14ac:dyDescent="0.35">
      <c r="A1001" s="74">
        <v>46174</v>
      </c>
      <c r="B1001" s="18" t="str">
        <f>IF($C1001="","",IFERROR(INDEX('Staff Directory'!$A$5:$A$594,MATCH($C1001,'Staff Directory'!$B$5:$B$594,0)),"⚠ unknown staff"))</f>
        <v>PSW-121-A4</v>
      </c>
      <c r="C1001" s="49" t="s">
        <v>1100</v>
      </c>
      <c r="D1001" s="19" t="str">
        <f>IF($B1001="","",IFERROR(INDEX('Staff Directory'!$C$5:$C$594,MATCH($B1001,'Staff Directory'!$A$5:$A$594,0)),""))</f>
        <v>PSW</v>
      </c>
      <c r="E1001" s="19" t="str">
        <f>IF($B1001="","",IFERROR(INDEX('Staff Directory'!$D$5:$D$594,MATCH($B1001,'Staff Directory'!$A$5:$A$594,0)),""))</f>
        <v>A4</v>
      </c>
      <c r="F1001" s="9" t="s">
        <v>124</v>
      </c>
      <c r="G1001" s="18" t="str">
        <f>IF($F1001="","",IFERROR(INDEX(Items!$B$5:$B$597,MATCH($F1001,Items!$A$5:$A$597,0)),"⚠ not in Items"))</f>
        <v>Gloves</v>
      </c>
      <c r="H1001" s="19" t="str">
        <f>IF($F1001="","",IFERROR(INDEX(Items!$C$5:$C$597,MATCH($F1001,Items!$A$5:$A$597,0)),""))</f>
        <v>Large</v>
      </c>
      <c r="I1001" s="23">
        <f>IF($F1001="","",IFERROR(INDEX(Items!$E$5:$E$597,MATCH($F1001,Items!$A$5:$A$597,0)),""))</f>
        <v>500</v>
      </c>
      <c r="J1001" s="115">
        <f>IF(tblIssues[[#This Row],[Qty Override]]&lt;&gt;"",tblIssues[[#This Row],[Qty Override]],IF(tblIssues[[#This Row],[Standard Issue]]="","",tblIssues[[#This Row],[Standard Issue]]))</f>
        <v>500</v>
      </c>
      <c r="K1001" s="20">
        <f>IF($F1001="","",IFERROR(INDEX(Items!$D$5:$D$597,MATCH($F1001,Items!$A$5:$A$597,0)),""))</f>
        <v>5.5E-2</v>
      </c>
      <c r="L1001" s="21">
        <f t="shared" si="173"/>
        <v>27.5</v>
      </c>
      <c r="M1001" s="9" t="str">
        <f t="shared" si="171"/>
        <v>O16705</v>
      </c>
      <c r="N1001" s="24">
        <f>IF($A1001="","",WORKDAY($A1001,Settings!$C$9,HolidayDates))</f>
        <v>46182</v>
      </c>
      <c r="O1001" s="24">
        <f>IF($N1001="","",WORKDAY($N1001,Settings!$C$10,HolidayDates))</f>
        <v>46220</v>
      </c>
      <c r="P1001" s="10" t="s">
        <v>501</v>
      </c>
      <c r="Q1001" s="52" t="str">
        <f t="shared" si="174"/>
        <v>Collected</v>
      </c>
      <c r="R1001" s="55" t="str">
        <f t="shared" si="175"/>
        <v>2026-06</v>
      </c>
      <c r="S1001" s="55">
        <f>IF(OR($B1001="",$F1001="",$R1001=""),"",SUMIFS(tblIssues[Qty Issued],tblIssues[Staff ID],$B1001,tblIssues[Item Name],$F1001,tblIssues[Month],$R1001))</f>
        <v>500</v>
      </c>
      <c r="T1001" s="56">
        <f>IF($I1001="","",$I1001*Settings!$C$11)</f>
        <v>500</v>
      </c>
      <c r="U1001" s="57" t="str">
        <f t="shared" si="172"/>
        <v>OK</v>
      </c>
      <c r="V1001" s="55" t="str">
        <f t="shared" si="176"/>
        <v/>
      </c>
      <c r="W1001" s="55" t="str">
        <f>IF($V1001="","",IF(COUNTIF($V$5:$V1001,$V1001)=1,1,""))</f>
        <v/>
      </c>
      <c r="X1001" s="58" t="str">
        <f>IF($W1001="","",MAX($X$4:X1000)+1)</f>
        <v/>
      </c>
      <c r="Y1001" s="62"/>
      <c r="Z1001" s="62"/>
      <c r="AA1001" s="64" t="str">
        <f>IF($C1001="","",IFERROR(INDEX('Staff Directory'!$E$5:$E$594,MATCH($C1001,'Staff Directory'!$B$5:$B$594,0)),""))</f>
        <v>firstname184.lastname184@example.com</v>
      </c>
      <c r="AB1001" s="64" t="str">
        <f>IF($C1001="","",IF(ISNUMBER(SEARCH($D1001,Settings!$C$15)),"Pickup","Dispatch"))</f>
        <v>Pickup</v>
      </c>
      <c r="AC1001" s="64" t="str">
        <f t="shared" si="177"/>
        <v>Supply order ready for pickup</v>
      </c>
      <c r="AD1001" s="64" t="str">
        <f t="shared" si="168"/>
        <v>Dear PSW,
Your order is ready for pickup from Sample Branch, Wed-Fri 9am-4pm.</v>
      </c>
      <c r="AE1001" s="64" t="str">
        <f t="shared" si="169"/>
        <v>mailto:firstname184.lastname184@example.com?subject=Supply%20order%20ready%20for%20pickup&amp;body=Dear%20PSW%2C%0A%0AYour%20order%20is%20ready%20for%20pickup%20from%20Sample%20Branch%2C%20Wed-Fri%209am-4pm.</v>
      </c>
      <c r="AF1001" s="89" t="str">
        <f t="shared" si="178"/>
        <v>Draft email</v>
      </c>
      <c r="AG1001" s="64" t="str">
        <f>IF($C1001="","",IFERROR(INDEX('Staff Directory'!$K$595:$K$599,MATCH($C1001,'Staff Directory'!$B$5:$B$599,0)),$D1001))</f>
        <v>PSW</v>
      </c>
      <c r="AH1001" t="str">
        <f>IF($C1001="","",IFERROR(INDEX('Staff Directory'!$I$595:$I$599,MATCH($C1001,'Staff Directory'!$B$5:$B$599,0))&amp;" "&amp;INDEX('Staff Directory'!$J$595:$J$599,MATCH($C1001,'Staff Directory'!$B$5:$B$599,0)),$AG1001))</f>
        <v>PSW</v>
      </c>
      <c r="AI1001" s="102"/>
      <c r="AJ1001" s="101">
        <f>IF($F1001="","",SUMIFS($J$5:$J1001,$F$5:$F1001,$F1001))</f>
        <v>26500</v>
      </c>
      <c r="AK1001" s="101">
        <f t="shared" si="170"/>
        <v>26001</v>
      </c>
      <c r="AL1001" s="66" t="str" cm="1">
        <f t="array" ref="AL1001">IF($F1001="","",IFERROR(INDEX('Lot Balance'!$B$5:$B$500,MATCH(1,INDEX(('Lot Balance'!$A$5:$A$500=$F1001)*('Lot Balance'!$K$5:$K$500&lt;$AK1001)*('Lot Balance'!$K$5:$K$500+'Lot Balance'!$D$5:$D$500&gt;=$AK1001),0),0)),""))</f>
        <v>O16705</v>
      </c>
      <c r="AM1001" s="66" t="str" cm="1">
        <f t="array" ref="AM1001">IF($F1001="","",IFERROR(INDEX('Lot Balance'!$B$5:$B$500,MATCH(1,INDEX(('Lot Balance'!$A$5:$A$500=$F1001)*('Lot Balance'!$K$5:$K$500&lt;$AJ1001)*('Lot Balance'!$K$5:$K$500+'Lot Balance'!$D$5:$D$500&gt;=$AJ1001),0),0)),""))</f>
        <v>O16705</v>
      </c>
      <c r="AN1001" s="66" t="str">
        <f>IF($F1001="","",IF($AI1001&lt;&gt;"",IF(COUNTIFS('Lot Balance'!$A$5:$A$500,$F1001,'Lot Balance'!$B$5:$B$500,$AI1001)=0,"⚠ override is not a lot of this item",IF($AI1001=$AL1001,"Override = FEFO","Override - FEFO says "&amp;$AL1001)),IF($AL1001="","⚠ no receipt on file for this item",IF($AM1001&lt;&gt;$AL1001,"FEFO auto - split, also "&amp;$AM1001,"FEFO auto"))))</f>
        <v>FEFO auto</v>
      </c>
      <c r="AO1001" s="114"/>
    </row>
    <row r="1002" spans="1:41" x14ac:dyDescent="0.35">
      <c r="A1002" s="74">
        <v>46174</v>
      </c>
      <c r="B1002" s="18" t="str">
        <f>IF($C1002="","",IFERROR(INDEX('Staff Directory'!$A$5:$A$594,MATCH($C1002,'Staff Directory'!$B$5:$B$594,0)),"⚠ unknown staff"))</f>
        <v>PSW-121-A4</v>
      </c>
      <c r="C1002" s="49" t="s">
        <v>1100</v>
      </c>
      <c r="D1002" s="19" t="str">
        <f>IF($B1002="","",IFERROR(INDEX('Staff Directory'!$C$5:$C$594,MATCH($B1002,'Staff Directory'!$A$5:$A$594,0)),""))</f>
        <v>PSW</v>
      </c>
      <c r="E1002" s="19" t="str">
        <f>IF($B1002="","",IFERROR(INDEX('Staff Directory'!$D$5:$D$594,MATCH($B1002,'Staff Directory'!$A$5:$A$594,0)),""))</f>
        <v>A4</v>
      </c>
      <c r="F1002" s="9" t="s">
        <v>115</v>
      </c>
      <c r="G1002" s="18" t="str">
        <f>IF($F1002="","",IFERROR(INDEX(Items!$B$5:$B$597,MATCH($F1002,Items!$A$5:$A$597,0)),"⚠ not in Items"))</f>
        <v>Wipes</v>
      </c>
      <c r="H1002" s="19">
        <f>IF($F1002="","",IFERROR(INDEX(Items!$C$5:$C$597,MATCH($F1002,Items!$A$5:$A$597,0)),""))</f>
        <v>80</v>
      </c>
      <c r="I1002" s="23">
        <f>IF($F1002="","",IFERROR(INDEX(Items!$E$5:$E$597,MATCH($F1002,Items!$A$5:$A$597,0)),""))</f>
        <v>80</v>
      </c>
      <c r="J1002" s="115">
        <f>IF(tblIssues[[#This Row],[Qty Override]]&lt;&gt;"",tblIssues[[#This Row],[Qty Override]],IF(tblIssues[[#This Row],[Standard Issue]]="","",tblIssues[[#This Row],[Standard Issue]]))</f>
        <v>80</v>
      </c>
      <c r="K1002" s="20">
        <f>IF($F1002="","",IFERROR(INDEX(Items!$D$5:$D$597,MATCH($F1002,Items!$A$5:$A$597,0)),""))</f>
        <v>0.1</v>
      </c>
      <c r="L1002" s="21">
        <f t="shared" si="173"/>
        <v>8</v>
      </c>
      <c r="M1002" s="9" t="str">
        <f t="shared" si="171"/>
        <v>LYSL500290</v>
      </c>
      <c r="N1002" s="24">
        <f>IF($A1002="","",WORKDAY($A1002,Settings!$C$9,HolidayDates))</f>
        <v>46182</v>
      </c>
      <c r="O1002" s="24">
        <f>IF($N1002="","",WORKDAY($N1002,Settings!$C$10,HolidayDates))</f>
        <v>46220</v>
      </c>
      <c r="P1002" s="10" t="s">
        <v>501</v>
      </c>
      <c r="Q1002" s="52" t="str">
        <f t="shared" si="174"/>
        <v>Collected</v>
      </c>
      <c r="R1002" s="55" t="str">
        <f t="shared" si="175"/>
        <v>2026-06</v>
      </c>
      <c r="S1002" s="55">
        <f>IF(OR($B1002="",$F1002="",$R1002=""),"",SUMIFS(tblIssues[Qty Issued],tblIssues[Staff ID],$B1002,tblIssues[Item Name],$F1002,tblIssues[Month],$R1002))</f>
        <v>80</v>
      </c>
      <c r="T1002" s="56">
        <f>IF($I1002="","",$I1002*Settings!$C$11)</f>
        <v>80</v>
      </c>
      <c r="U1002" s="57" t="str">
        <f t="shared" si="172"/>
        <v>OK</v>
      </c>
      <c r="V1002" s="55" t="str">
        <f t="shared" si="176"/>
        <v/>
      </c>
      <c r="W1002" s="55" t="str">
        <f>IF($V1002="","",IF(COUNTIF($V$5:$V1002,$V1002)=1,1,""))</f>
        <v/>
      </c>
      <c r="X1002" s="58" t="str">
        <f>IF($W1002="","",MAX($X$4:X1001)+1)</f>
        <v/>
      </c>
      <c r="Y1002" s="62"/>
      <c r="Z1002" s="62"/>
      <c r="AA1002" s="64" t="str">
        <f>IF($C1002="","",IFERROR(INDEX('Staff Directory'!$E$5:$E$594,MATCH($C1002,'Staff Directory'!$B$5:$B$594,0)),""))</f>
        <v>firstname184.lastname184@example.com</v>
      </c>
      <c r="AB1002" s="64" t="str">
        <f>IF($C1002="","",IF(ISNUMBER(SEARCH($D1002,Settings!$C$15)),"Pickup","Dispatch"))</f>
        <v>Pickup</v>
      </c>
      <c r="AC1002" s="64" t="str">
        <f t="shared" si="177"/>
        <v>Supply order ready for pickup</v>
      </c>
      <c r="AD1002" s="64" t="str">
        <f t="shared" si="168"/>
        <v>Dear PSW,
Your order is ready for pickup from Sample Branch, Wed-Fri 9am-4pm.</v>
      </c>
      <c r="AE1002" s="64" t="str">
        <f t="shared" si="169"/>
        <v>mailto:firstname184.lastname184@example.com?subject=Supply%20order%20ready%20for%20pickup&amp;body=Dear%20PSW%2C%0A%0AYour%20order%20is%20ready%20for%20pickup%20from%20Sample%20Branch%2C%20Wed-Fri%209am-4pm.</v>
      </c>
      <c r="AF1002" s="89" t="str">
        <f t="shared" si="178"/>
        <v>Draft email</v>
      </c>
      <c r="AG1002" s="64" t="str">
        <f>IF($C1002="","",IFERROR(INDEX('Staff Directory'!$K$595:$K$599,MATCH($C1002,'Staff Directory'!$B$5:$B$599,0)),$D1002))</f>
        <v>PSW</v>
      </c>
      <c r="AH1002" t="str">
        <f>IF($C1002="","",IFERROR(INDEX('Staff Directory'!$I$595:$I$599,MATCH($C1002,'Staff Directory'!$B$5:$B$599,0))&amp;" "&amp;INDEX('Staff Directory'!$J$595:$J$599,MATCH($C1002,'Staff Directory'!$B$5:$B$599,0)),$AG1002))</f>
        <v>PSW</v>
      </c>
      <c r="AI1002" s="102"/>
      <c r="AJ1002" s="101">
        <f>IF($F1002="","",SUMIFS($J$5:$J1002,$F$5:$F1002,$F1002))</f>
        <v>13120</v>
      </c>
      <c r="AK1002" s="101">
        <f t="shared" si="170"/>
        <v>13041</v>
      </c>
      <c r="AL1002" s="66" t="str" cm="1">
        <f t="array" ref="AL1002">IF($F1002="","",IFERROR(INDEX('Lot Balance'!$B$5:$B$500,MATCH(1,INDEX(('Lot Balance'!$A$5:$A$500=$F1002)*('Lot Balance'!$K$5:$K$500&lt;$AK1002)*('Lot Balance'!$K$5:$K$500+'Lot Balance'!$D$5:$D$500&gt;=$AK1002),0),0)),""))</f>
        <v>LYSL500290</v>
      </c>
      <c r="AM1002" s="66" t="str" cm="1">
        <f t="array" ref="AM1002">IF($F1002="","",IFERROR(INDEX('Lot Balance'!$B$5:$B$500,MATCH(1,INDEX(('Lot Balance'!$A$5:$A$500=$F1002)*('Lot Balance'!$K$5:$K$500&lt;$AJ1002)*('Lot Balance'!$K$5:$K$500+'Lot Balance'!$D$5:$D$500&gt;=$AJ1002),0),0)),""))</f>
        <v>LYSL500290</v>
      </c>
      <c r="AN1002" s="66" t="str">
        <f>IF($F1002="","",IF($AI1002&lt;&gt;"",IF(COUNTIFS('Lot Balance'!$A$5:$A$500,$F1002,'Lot Balance'!$B$5:$B$500,$AI1002)=0,"⚠ override is not a lot of this item",IF($AI1002=$AL1002,"Override = FEFO","Override - FEFO says "&amp;$AL1002)),IF($AL1002="","⚠ no receipt on file for this item",IF($AM1002&lt;&gt;$AL1002,"FEFO auto - split, also "&amp;$AM1002,"FEFO auto"))))</f>
        <v>FEFO auto</v>
      </c>
      <c r="AO1002" s="114"/>
    </row>
    <row r="1003" spans="1:41" x14ac:dyDescent="0.35">
      <c r="A1003" s="74">
        <v>46174</v>
      </c>
      <c r="B1003" s="18" t="str">
        <f>IF($C1003="","",IFERROR(INDEX('Staff Directory'!$A$5:$A$594,MATCH($C1003,'Staff Directory'!$B$5:$B$594,0)),"⚠ unknown staff"))</f>
        <v>PSW-121-A4</v>
      </c>
      <c r="C1003" s="49" t="s">
        <v>1100</v>
      </c>
      <c r="D1003" s="19" t="str">
        <f>IF($B1003="","",IFERROR(INDEX('Staff Directory'!$C$5:$C$594,MATCH($B1003,'Staff Directory'!$A$5:$A$594,0)),""))</f>
        <v>PSW</v>
      </c>
      <c r="E1003" s="19" t="str">
        <f>IF($B1003="","",IFERROR(INDEX('Staff Directory'!$D$5:$D$594,MATCH($B1003,'Staff Directory'!$A$5:$A$594,0)),""))</f>
        <v>A4</v>
      </c>
      <c r="F1003" s="9" t="s">
        <v>156</v>
      </c>
      <c r="G1003" s="18" t="str">
        <f>IF($F1003="","",IFERROR(INDEX(Items!$B$5:$B$597,MATCH($F1003,Items!$A$5:$A$597,0)),"⚠ not in Items"))</f>
        <v>Masks</v>
      </c>
      <c r="H1003" s="19" t="str">
        <f>IF($F1003="","",IFERROR(INDEX(Items!$C$5:$C$597,MATCH($F1003,Items!$A$5:$A$597,0)),""))</f>
        <v>One Size</v>
      </c>
      <c r="I1003" s="23">
        <f>IF($F1003="","",IFERROR(INDEX(Items!$E$5:$E$597,MATCH($F1003,Items!$A$5:$A$597,0)),""))</f>
        <v>50</v>
      </c>
      <c r="J1003" s="115">
        <f>IF(tblIssues[[#This Row],[Qty Override]]&lt;&gt;"",tblIssues[[#This Row],[Qty Override]],IF(tblIssues[[#This Row],[Standard Issue]]="","",tblIssues[[#This Row],[Standard Issue]]))</f>
        <v>50</v>
      </c>
      <c r="K1003" s="20">
        <f>IF($F1003="","",IFERROR(INDEX(Items!$D$5:$D$597,MATCH($F1003,Items!$A$5:$A$597,0)),""))</f>
        <v>0.25</v>
      </c>
      <c r="L1003" s="21">
        <f t="shared" si="173"/>
        <v>12.5</v>
      </c>
      <c r="M1003" s="9" t="str">
        <f t="shared" si="171"/>
        <v>0125FPC24-2</v>
      </c>
      <c r="N1003" s="24">
        <f>IF($A1003="","",WORKDAY($A1003,Settings!$C$9,HolidayDates))</f>
        <v>46182</v>
      </c>
      <c r="O1003" s="24">
        <f>IF($N1003="","",WORKDAY($N1003,Settings!$C$10,HolidayDates))</f>
        <v>46220</v>
      </c>
      <c r="P1003" s="10" t="s">
        <v>501</v>
      </c>
      <c r="Q1003" s="52" t="str">
        <f t="shared" si="174"/>
        <v>Collected</v>
      </c>
      <c r="R1003" s="55" t="str">
        <f t="shared" si="175"/>
        <v>2026-06</v>
      </c>
      <c r="S1003" s="55">
        <f>IF(OR($B1003="",$F1003="",$R1003=""),"",SUMIFS(tblIssues[Qty Issued],tblIssues[Staff ID],$B1003,tblIssues[Item Name],$F1003,tblIssues[Month],$R1003))</f>
        <v>50</v>
      </c>
      <c r="T1003" s="56">
        <f>IF($I1003="","",$I1003*Settings!$C$11)</f>
        <v>50</v>
      </c>
      <c r="U1003" s="57" t="str">
        <f t="shared" si="172"/>
        <v>OK</v>
      </c>
      <c r="V1003" s="55" t="str">
        <f t="shared" si="176"/>
        <v/>
      </c>
      <c r="W1003" s="55" t="str">
        <f>IF($V1003="","",IF(COUNTIF($V$5:$V1003,$V1003)=1,1,""))</f>
        <v/>
      </c>
      <c r="X1003" s="58" t="str">
        <f>IF($W1003="","",MAX($X$4:X1002)+1)</f>
        <v/>
      </c>
      <c r="Y1003" s="62"/>
      <c r="Z1003" s="62"/>
      <c r="AA1003" s="64" t="str">
        <f>IF($C1003="","",IFERROR(INDEX('Staff Directory'!$E$5:$E$594,MATCH($C1003,'Staff Directory'!$B$5:$B$594,0)),""))</f>
        <v>firstname184.lastname184@example.com</v>
      </c>
      <c r="AB1003" s="64" t="str">
        <f>IF($C1003="","",IF(ISNUMBER(SEARCH($D1003,Settings!$C$15)),"Pickup","Dispatch"))</f>
        <v>Pickup</v>
      </c>
      <c r="AC1003" s="64" t="str">
        <f t="shared" si="177"/>
        <v>Supply order ready for pickup</v>
      </c>
      <c r="AD1003" s="64" t="str">
        <f t="shared" si="168"/>
        <v>Dear PSW,
Your order is ready for pickup from Sample Branch, Wed-Fri 9am-4pm.</v>
      </c>
      <c r="AE1003" s="64" t="str">
        <f t="shared" si="169"/>
        <v>mailto:firstname184.lastname184@example.com?subject=Supply%20order%20ready%20for%20pickup&amp;body=Dear%20PSW%2C%0A%0AYour%20order%20is%20ready%20for%20pickup%20from%20Sample%20Branch%2C%20Wed-Fri%209am-4pm.</v>
      </c>
      <c r="AF1003" s="89" t="str">
        <f t="shared" si="178"/>
        <v>Draft email</v>
      </c>
      <c r="AG1003" s="64" t="str">
        <f>IF($C1003="","",IFERROR(INDEX('Staff Directory'!$K$595:$K$599,MATCH($C1003,'Staff Directory'!$B$5:$B$599,0)),$D1003))</f>
        <v>PSW</v>
      </c>
      <c r="AH1003" t="str">
        <f>IF($C1003="","",IFERROR(INDEX('Staff Directory'!$I$595:$I$599,MATCH($C1003,'Staff Directory'!$B$5:$B$599,0))&amp;" "&amp;INDEX('Staff Directory'!$J$595:$J$599,MATCH($C1003,'Staff Directory'!$B$5:$B$599,0)),$AG1003))</f>
        <v>PSW</v>
      </c>
      <c r="AI1003" s="102"/>
      <c r="AJ1003" s="101">
        <f>IF($F1003="","",SUMIFS($J$5:$J1003,$F$5:$F1003,$F1003))</f>
        <v>7650</v>
      </c>
      <c r="AK1003" s="101">
        <f t="shared" si="170"/>
        <v>7601</v>
      </c>
      <c r="AL1003" s="66" t="str" cm="1">
        <f t="array" ref="AL1003">IF($F1003="","",IFERROR(INDEX('Lot Balance'!$B$5:$B$500,MATCH(1,INDEX(('Lot Balance'!$A$5:$A$500=$F1003)*('Lot Balance'!$K$5:$K$500&lt;$AK1003)*('Lot Balance'!$K$5:$K$500+'Lot Balance'!$D$5:$D$500&gt;=$AK1003),0),0)),""))</f>
        <v>0125FPC24-2</v>
      </c>
      <c r="AM1003" s="66" t="str" cm="1">
        <f t="array" ref="AM1003">IF($F1003="","",IFERROR(INDEX('Lot Balance'!$B$5:$B$500,MATCH(1,INDEX(('Lot Balance'!$A$5:$A$500=$F1003)*('Lot Balance'!$K$5:$K$500&lt;$AJ1003)*('Lot Balance'!$K$5:$K$500+'Lot Balance'!$D$5:$D$500&gt;=$AJ1003),0),0)),""))</f>
        <v>0125FPC24-2</v>
      </c>
      <c r="AN1003" s="66" t="str">
        <f>IF($F1003="","",IF($AI1003&lt;&gt;"",IF(COUNTIFS('Lot Balance'!$A$5:$A$500,$F1003,'Lot Balance'!$B$5:$B$500,$AI1003)=0,"⚠ override is not a lot of this item",IF($AI1003=$AL1003,"Override = FEFO","Override - FEFO says "&amp;$AL1003)),IF($AL1003="","⚠ no receipt on file for this item",IF($AM1003&lt;&gt;$AL1003,"FEFO auto - split, also "&amp;$AM1003,"FEFO auto"))))</f>
        <v>FEFO auto</v>
      </c>
      <c r="AO1003" s="114"/>
    </row>
    <row r="1004" spans="1:41" x14ac:dyDescent="0.35">
      <c r="A1004" s="74">
        <v>46174</v>
      </c>
      <c r="B1004" s="18" t="str">
        <f>IF($C1004="","",IFERROR(INDEX('Staff Directory'!$A$5:$A$594,MATCH($C1004,'Staff Directory'!$B$5:$B$594,0)),"⚠ unknown staff"))</f>
        <v>PSW-121-A4</v>
      </c>
      <c r="C1004" s="49" t="s">
        <v>1100</v>
      </c>
      <c r="D1004" s="19" t="str">
        <f>IF($B1004="","",IFERROR(INDEX('Staff Directory'!$C$5:$C$594,MATCH($B1004,'Staff Directory'!$A$5:$A$594,0)),""))</f>
        <v>PSW</v>
      </c>
      <c r="E1004" s="19" t="str">
        <f>IF($B1004="","",IFERROR(INDEX('Staff Directory'!$D$5:$D$594,MATCH($B1004,'Staff Directory'!$A$5:$A$594,0)),""))</f>
        <v>A4</v>
      </c>
      <c r="F1004" s="9" t="s">
        <v>147</v>
      </c>
      <c r="G1004" s="18" t="str">
        <f>IF($F1004="","",IFERROR(INDEX(Items!$B$5:$B$597,MATCH($F1004,Items!$A$5:$A$597,0)),"⚠ not in Items"))</f>
        <v>Apparel</v>
      </c>
      <c r="H1004" s="19" t="str">
        <f>IF($F1004="","",IFERROR(INDEX(Items!$C$5:$C$597,MATCH($F1004,Items!$A$5:$A$597,0)),""))</f>
        <v>One Size</v>
      </c>
      <c r="I1004" s="23">
        <f>IF($F1004="","",IFERROR(INDEX(Items!$E$5:$E$597,MATCH($F1004,Items!$A$5:$A$597,0)),""))</f>
        <v>5</v>
      </c>
      <c r="J1004" s="115">
        <f>IF(tblIssues[[#This Row],[Qty Override]]&lt;&gt;"",tblIssues[[#This Row],[Qty Override]],IF(tblIssues[[#This Row],[Standard Issue]]="","",tblIssues[[#This Row],[Standard Issue]]))</f>
        <v>5</v>
      </c>
      <c r="K1004" s="20">
        <f>IF($F1004="","",IFERROR(INDEX(Items!$D$5:$D$597,MATCH($F1004,Items!$A$5:$A$597,0)),""))</f>
        <v>3</v>
      </c>
      <c r="L1004" s="21">
        <f t="shared" si="173"/>
        <v>15</v>
      </c>
      <c r="M1004" s="9" t="str">
        <f t="shared" si="171"/>
        <v>YG500280</v>
      </c>
      <c r="N1004" s="24">
        <f>IF($A1004="","",WORKDAY($A1004,Settings!$C$9,HolidayDates))</f>
        <v>46182</v>
      </c>
      <c r="O1004" s="24">
        <f>IF($N1004="","",WORKDAY($N1004,Settings!$C$10,HolidayDates))</f>
        <v>46220</v>
      </c>
      <c r="P1004" s="10" t="s">
        <v>501</v>
      </c>
      <c r="Q1004" s="52" t="str">
        <f t="shared" si="174"/>
        <v>Collected</v>
      </c>
      <c r="R1004" s="55" t="str">
        <f t="shared" si="175"/>
        <v>2026-06</v>
      </c>
      <c r="S1004" s="55">
        <f>IF(OR($B1004="",$F1004="",$R1004=""),"",SUMIFS(tblIssues[Qty Issued],tblIssues[Staff ID],$B1004,tblIssues[Item Name],$F1004,tblIssues[Month],$R1004))</f>
        <v>5</v>
      </c>
      <c r="T1004" s="56">
        <f>IF($I1004="","",$I1004*Settings!$C$11)</f>
        <v>5</v>
      </c>
      <c r="U1004" s="57" t="str">
        <f t="shared" si="172"/>
        <v>OK</v>
      </c>
      <c r="V1004" s="55" t="str">
        <f t="shared" si="176"/>
        <v/>
      </c>
      <c r="W1004" s="55" t="str">
        <f>IF($V1004="","",IF(COUNTIF($V$5:$V1004,$V1004)=1,1,""))</f>
        <v/>
      </c>
      <c r="X1004" s="58" t="str">
        <f>IF($W1004="","",MAX($X$4:X1003)+1)</f>
        <v/>
      </c>
      <c r="Y1004" s="62"/>
      <c r="Z1004" s="62"/>
      <c r="AA1004" s="64" t="str">
        <f>IF($C1004="","",IFERROR(INDEX('Staff Directory'!$E$5:$E$594,MATCH($C1004,'Staff Directory'!$B$5:$B$594,0)),""))</f>
        <v>firstname184.lastname184@example.com</v>
      </c>
      <c r="AB1004" s="64" t="str">
        <f>IF($C1004="","",IF(ISNUMBER(SEARCH($D1004,Settings!$C$15)),"Pickup","Dispatch"))</f>
        <v>Pickup</v>
      </c>
      <c r="AC1004" s="64" t="str">
        <f t="shared" si="177"/>
        <v>Supply order ready for pickup</v>
      </c>
      <c r="AD1004" s="64" t="str">
        <f t="shared" si="168"/>
        <v>Dear PSW,
Your order is ready for pickup from Sample Branch, Wed-Fri 9am-4pm.</v>
      </c>
      <c r="AE1004" s="64" t="str">
        <f t="shared" si="169"/>
        <v>mailto:firstname184.lastname184@example.com?subject=Supply%20order%20ready%20for%20pickup&amp;body=Dear%20PSW%2C%0A%0AYour%20order%20is%20ready%20for%20pickup%20from%20Sample%20Branch%2C%20Wed-Fri%209am-4pm.</v>
      </c>
      <c r="AF1004" s="89" t="str">
        <f t="shared" si="178"/>
        <v>Draft email</v>
      </c>
      <c r="AG1004" s="64" t="str">
        <f>IF($C1004="","",IFERROR(INDEX('Staff Directory'!$K$595:$K$599,MATCH($C1004,'Staff Directory'!$B$5:$B$599,0)),$D1004))</f>
        <v>PSW</v>
      </c>
      <c r="AH1004" t="str">
        <f>IF($C1004="","",IFERROR(INDEX('Staff Directory'!$I$595:$I$599,MATCH($C1004,'Staff Directory'!$B$5:$B$599,0))&amp;" "&amp;INDEX('Staff Directory'!$J$595:$J$599,MATCH($C1004,'Staff Directory'!$B$5:$B$599,0)),$AG1004))</f>
        <v>PSW</v>
      </c>
      <c r="AI1004" s="102"/>
      <c r="AJ1004" s="101">
        <f>IF($F1004="","",SUMIFS($J$5:$J1004,$F$5:$F1004,$F1004))</f>
        <v>130</v>
      </c>
      <c r="AK1004" s="101">
        <f t="shared" si="170"/>
        <v>126</v>
      </c>
      <c r="AL1004" s="66" t="str" cm="1">
        <f t="array" ref="AL1004">IF($F1004="","",IFERROR(INDEX('Lot Balance'!$B$5:$B$500,MATCH(1,INDEX(('Lot Balance'!$A$5:$A$500=$F1004)*('Lot Balance'!$K$5:$K$500&lt;$AK1004)*('Lot Balance'!$K$5:$K$500+'Lot Balance'!$D$5:$D$500&gt;=$AK1004),0),0)),""))</f>
        <v>YG500280</v>
      </c>
      <c r="AM1004" s="66" t="str" cm="1">
        <f t="array" ref="AM1004">IF($F1004="","",IFERROR(INDEX('Lot Balance'!$B$5:$B$500,MATCH(1,INDEX(('Lot Balance'!$A$5:$A$500=$F1004)*('Lot Balance'!$K$5:$K$500&lt;$AJ1004)*('Lot Balance'!$K$5:$K$500+'Lot Balance'!$D$5:$D$500&gt;=$AJ1004),0),0)),""))</f>
        <v>YG500280</v>
      </c>
      <c r="AN1004" s="66" t="str">
        <f>IF($F1004="","",IF($AI1004&lt;&gt;"",IF(COUNTIFS('Lot Balance'!$A$5:$A$500,$F1004,'Lot Balance'!$B$5:$B$500,$AI1004)=0,"⚠ override is not a lot of this item",IF($AI1004=$AL1004,"Override = FEFO","Override - FEFO says "&amp;$AL1004)),IF($AL1004="","⚠ no receipt on file for this item",IF($AM1004&lt;&gt;$AL1004,"FEFO auto - split, also "&amp;$AM1004,"FEFO auto"))))</f>
        <v>FEFO auto</v>
      </c>
      <c r="AO1004" s="114"/>
    </row>
    <row r="1005" spans="1:41" x14ac:dyDescent="0.35">
      <c r="A1005" s="74">
        <v>46174</v>
      </c>
      <c r="B1005" s="18" t="str">
        <f>IF($C1005="","",IFERROR(INDEX('Staff Directory'!$A$5:$A$594,MATCH($C1005,'Staff Directory'!$B$5:$B$594,0)),"⚠ unknown staff"))</f>
        <v>PSW-058-A5</v>
      </c>
      <c r="C1005" s="49" t="s">
        <v>1034</v>
      </c>
      <c r="D1005" s="19" t="str">
        <f>IF($B1005="","",IFERROR(INDEX('Staff Directory'!$C$5:$C$594,MATCH($B1005,'Staff Directory'!$A$5:$A$594,0)),""))</f>
        <v>PSW</v>
      </c>
      <c r="E1005" s="19" t="str">
        <f>IF($B1005="","",IFERROR(INDEX('Staff Directory'!$D$5:$D$594,MATCH($B1005,'Staff Directory'!$A$5:$A$594,0)),""))</f>
        <v>A5</v>
      </c>
      <c r="F1005" s="9" t="s">
        <v>127</v>
      </c>
      <c r="G1005" s="18" t="str">
        <f>IF($F1005="","",IFERROR(INDEX(Items!$B$5:$B$597,MATCH($F1005,Items!$A$5:$A$597,0)),"⚠ not in Items"))</f>
        <v>Gloves</v>
      </c>
      <c r="H1005" s="19" t="str">
        <f>IF($F1005="","",IFERROR(INDEX(Items!$C$5:$C$597,MATCH($F1005,Items!$A$5:$A$597,0)),""))</f>
        <v>Medium</v>
      </c>
      <c r="I1005" s="23">
        <f>IF($F1005="","",IFERROR(INDEX(Items!$E$5:$E$597,MATCH($F1005,Items!$A$5:$A$597,0)),""))</f>
        <v>500</v>
      </c>
      <c r="J1005" s="115">
        <f>IF(tblIssues[[#This Row],[Qty Override]]&lt;&gt;"",tblIssues[[#This Row],[Qty Override]],IF(tblIssues[[#This Row],[Standard Issue]]="","",tblIssues[[#This Row],[Standard Issue]]))</f>
        <v>500</v>
      </c>
      <c r="K1005" s="20">
        <f>IF($F1005="","",IFERROR(INDEX(Items!$D$5:$D$597,MATCH($F1005,Items!$A$5:$A$597,0)),""))</f>
        <v>5.5E-2</v>
      </c>
      <c r="L1005" s="21">
        <f t="shared" si="173"/>
        <v>27.5</v>
      </c>
      <c r="M1005" s="9" t="str">
        <f t="shared" si="171"/>
        <v>ZIM510329603</v>
      </c>
      <c r="N1005" s="24">
        <f>IF($A1005="","",WORKDAY($A1005,Settings!$C$9,HolidayDates))</f>
        <v>46182</v>
      </c>
      <c r="O1005" s="24">
        <f>IF($N1005="","",WORKDAY($N1005,Settings!$C$10,HolidayDates))</f>
        <v>46220</v>
      </c>
      <c r="P1005" s="10" t="s">
        <v>501</v>
      </c>
      <c r="Q1005" s="52" t="str">
        <f t="shared" si="174"/>
        <v>Collected</v>
      </c>
      <c r="R1005" s="55" t="str">
        <f t="shared" si="175"/>
        <v>2026-06</v>
      </c>
      <c r="S1005" s="55">
        <f>IF(OR($B1005="",$F1005="",$R1005=""),"",SUMIFS(tblIssues[Qty Issued],tblIssues[Staff ID],$B1005,tblIssues[Item Name],$F1005,tblIssues[Month],$R1005))</f>
        <v>500</v>
      </c>
      <c r="T1005" s="56">
        <f>IF($I1005="","",$I1005*Settings!$C$11)</f>
        <v>500</v>
      </c>
      <c r="U1005" s="57" t="str">
        <f t="shared" si="172"/>
        <v>OK</v>
      </c>
      <c r="V1005" s="55" t="str">
        <f t="shared" si="176"/>
        <v/>
      </c>
      <c r="W1005" s="55" t="str">
        <f>IF($V1005="","",IF(COUNTIF($V$5:$V1005,$V1005)=1,1,""))</f>
        <v/>
      </c>
      <c r="X1005" s="58" t="str">
        <f>IF($W1005="","",MAX($X$4:X1004)+1)</f>
        <v/>
      </c>
      <c r="Y1005" s="62"/>
      <c r="Z1005" s="62"/>
      <c r="AA1005" s="64" t="str">
        <f>IF($C1005="","",IFERROR(INDEX('Staff Directory'!$E$5:$E$594,MATCH($C1005,'Staff Directory'!$B$5:$B$594,0)),""))</f>
        <v>firstname118.lastname118@example.com</v>
      </c>
      <c r="AB1005" s="64" t="str">
        <f>IF($C1005="","",IF(ISNUMBER(SEARCH($D1005,Settings!$C$15)),"Pickup","Dispatch"))</f>
        <v>Pickup</v>
      </c>
      <c r="AC1005" s="64" t="str">
        <f t="shared" si="177"/>
        <v>Supply order ready for pickup</v>
      </c>
      <c r="AD1005" s="64" t="str">
        <f t="shared" si="168"/>
        <v>Dear PSW,
Your order is ready for pickup from Sample Branch, Wed-Fri 9am-4pm.</v>
      </c>
      <c r="AE1005" s="64" t="str">
        <f t="shared" si="169"/>
        <v>mailto:firstname118.lastname118@example.com?subject=Supply%20order%20ready%20for%20pickup&amp;body=Dear%20PSW%2C%0A%0AYour%20order%20is%20ready%20for%20pickup%20from%20Sample%20Branch%2C%20Wed-Fri%209am-4pm.</v>
      </c>
      <c r="AF1005" s="89" t="str">
        <f t="shared" si="178"/>
        <v>Draft email</v>
      </c>
      <c r="AG1005" s="64" t="str">
        <f>IF($C1005="","",IFERROR(INDEX('Staff Directory'!$K$595:$K$599,MATCH($C1005,'Staff Directory'!$B$5:$B$599,0)),$D1005))</f>
        <v>PSW</v>
      </c>
      <c r="AH1005" t="str">
        <f>IF($C1005="","",IFERROR(INDEX('Staff Directory'!$I$595:$I$599,MATCH($C1005,'Staff Directory'!$B$5:$B$599,0))&amp;" "&amp;INDEX('Staff Directory'!$J$595:$J$599,MATCH($C1005,'Staff Directory'!$B$5:$B$599,0)),$AG1005))</f>
        <v>PSW</v>
      </c>
      <c r="AI1005" s="102"/>
      <c r="AJ1005" s="101">
        <f>IF($F1005="","",SUMIFS($J$5:$J1005,$F$5:$F1005,$F1005))</f>
        <v>57000</v>
      </c>
      <c r="AK1005" s="101">
        <f t="shared" si="170"/>
        <v>56501</v>
      </c>
      <c r="AL1005" s="66" t="str" cm="1">
        <f t="array" ref="AL1005">IF($F1005="","",IFERROR(INDEX('Lot Balance'!$B$5:$B$500,MATCH(1,INDEX(('Lot Balance'!$A$5:$A$500=$F1005)*('Lot Balance'!$K$5:$K$500&lt;$AK1005)*('Lot Balance'!$K$5:$K$500+'Lot Balance'!$D$5:$D$500&gt;=$AK1005),0),0)),""))</f>
        <v>ZIM510329603</v>
      </c>
      <c r="AM1005" s="66" t="str" cm="1">
        <f t="array" ref="AM1005">IF($F1005="","",IFERROR(INDEX('Lot Balance'!$B$5:$B$500,MATCH(1,INDEX(('Lot Balance'!$A$5:$A$500=$F1005)*('Lot Balance'!$K$5:$K$500&lt;$AJ1005)*('Lot Balance'!$K$5:$K$500+'Lot Balance'!$D$5:$D$500&gt;=$AJ1005),0),0)),""))</f>
        <v>ZIM510329603</v>
      </c>
      <c r="AN1005" s="66" t="str">
        <f>IF($F1005="","",IF($AI1005&lt;&gt;"",IF(COUNTIFS('Lot Balance'!$A$5:$A$500,$F1005,'Lot Balance'!$B$5:$B$500,$AI1005)=0,"⚠ override is not a lot of this item",IF($AI1005=$AL1005,"Override = FEFO","Override - FEFO says "&amp;$AL1005)),IF($AL1005="","⚠ no receipt on file for this item",IF($AM1005&lt;&gt;$AL1005,"FEFO auto - split, also "&amp;$AM1005,"FEFO auto"))))</f>
        <v>FEFO auto</v>
      </c>
      <c r="AO1005" s="114"/>
    </row>
    <row r="1006" spans="1:41" x14ac:dyDescent="0.35">
      <c r="A1006" s="74">
        <v>46174</v>
      </c>
      <c r="B1006" s="18" t="str">
        <f>IF($C1006="","",IFERROR(INDEX('Staff Directory'!$A$5:$A$594,MATCH($C1006,'Staff Directory'!$B$5:$B$594,0)),"⚠ unknown staff"))</f>
        <v>PSW-058-A5</v>
      </c>
      <c r="C1006" s="49" t="s">
        <v>1034</v>
      </c>
      <c r="D1006" s="19" t="str">
        <f>IF($B1006="","",IFERROR(INDEX('Staff Directory'!$C$5:$C$594,MATCH($B1006,'Staff Directory'!$A$5:$A$594,0)),""))</f>
        <v>PSW</v>
      </c>
      <c r="E1006" s="19" t="str">
        <f>IF($B1006="","",IFERROR(INDEX('Staff Directory'!$D$5:$D$594,MATCH($B1006,'Staff Directory'!$A$5:$A$594,0)),""))</f>
        <v>A5</v>
      </c>
      <c r="F1006" s="9" t="s">
        <v>115</v>
      </c>
      <c r="G1006" s="18" t="str">
        <f>IF($F1006="","",IFERROR(INDEX(Items!$B$5:$B$597,MATCH($F1006,Items!$A$5:$A$597,0)),"⚠ not in Items"))</f>
        <v>Wipes</v>
      </c>
      <c r="H1006" s="19">
        <f>IF($F1006="","",IFERROR(INDEX(Items!$C$5:$C$597,MATCH($F1006,Items!$A$5:$A$597,0)),""))</f>
        <v>80</v>
      </c>
      <c r="I1006" s="23">
        <f>IF($F1006="","",IFERROR(INDEX(Items!$E$5:$E$597,MATCH($F1006,Items!$A$5:$A$597,0)),""))</f>
        <v>80</v>
      </c>
      <c r="J1006" s="115">
        <f>IF(tblIssues[[#This Row],[Qty Override]]&lt;&gt;"",tblIssues[[#This Row],[Qty Override]],IF(tblIssues[[#This Row],[Standard Issue]]="","",tblIssues[[#This Row],[Standard Issue]]))</f>
        <v>80</v>
      </c>
      <c r="K1006" s="20">
        <f>IF($F1006="","",IFERROR(INDEX(Items!$D$5:$D$597,MATCH($F1006,Items!$A$5:$A$597,0)),""))</f>
        <v>0.1</v>
      </c>
      <c r="L1006" s="21">
        <f t="shared" si="173"/>
        <v>8</v>
      </c>
      <c r="M1006" s="9" t="str">
        <f t="shared" si="171"/>
        <v>LYSL500290</v>
      </c>
      <c r="N1006" s="24">
        <f>IF($A1006="","",WORKDAY($A1006,Settings!$C$9,HolidayDates))</f>
        <v>46182</v>
      </c>
      <c r="O1006" s="24">
        <f>IF($N1006="","",WORKDAY($N1006,Settings!$C$10,HolidayDates))</f>
        <v>46220</v>
      </c>
      <c r="P1006" s="10" t="s">
        <v>501</v>
      </c>
      <c r="Q1006" s="52" t="str">
        <f t="shared" si="174"/>
        <v>Collected</v>
      </c>
      <c r="R1006" s="55" t="str">
        <f t="shared" si="175"/>
        <v>2026-06</v>
      </c>
      <c r="S1006" s="55">
        <f>IF(OR($B1006="",$F1006="",$R1006=""),"",SUMIFS(tblIssues[Qty Issued],tblIssues[Staff ID],$B1006,tblIssues[Item Name],$F1006,tblIssues[Month],$R1006))</f>
        <v>80</v>
      </c>
      <c r="T1006" s="56">
        <f>IF($I1006="","",$I1006*Settings!$C$11)</f>
        <v>80</v>
      </c>
      <c r="U1006" s="57" t="str">
        <f t="shared" si="172"/>
        <v>OK</v>
      </c>
      <c r="V1006" s="55" t="str">
        <f t="shared" si="176"/>
        <v/>
      </c>
      <c r="W1006" s="55" t="str">
        <f>IF($V1006="","",IF(COUNTIF($V$5:$V1006,$V1006)=1,1,""))</f>
        <v/>
      </c>
      <c r="X1006" s="58" t="str">
        <f>IF($W1006="","",MAX($X$4:X1005)+1)</f>
        <v/>
      </c>
      <c r="Y1006" s="62"/>
      <c r="Z1006" s="62"/>
      <c r="AA1006" s="64" t="str">
        <f>IF($C1006="","",IFERROR(INDEX('Staff Directory'!$E$5:$E$594,MATCH($C1006,'Staff Directory'!$B$5:$B$594,0)),""))</f>
        <v>firstname118.lastname118@example.com</v>
      </c>
      <c r="AB1006" s="64" t="str">
        <f>IF($C1006="","",IF(ISNUMBER(SEARCH($D1006,Settings!$C$15)),"Pickup","Dispatch"))</f>
        <v>Pickup</v>
      </c>
      <c r="AC1006" s="64" t="str">
        <f t="shared" si="177"/>
        <v>Supply order ready for pickup</v>
      </c>
      <c r="AD1006" s="64" t="str">
        <f t="shared" si="168"/>
        <v>Dear PSW,
Your order is ready for pickup from Sample Branch, Wed-Fri 9am-4pm.</v>
      </c>
      <c r="AE1006" s="64" t="str">
        <f t="shared" si="169"/>
        <v>mailto:firstname118.lastname118@example.com?subject=Supply%20order%20ready%20for%20pickup&amp;body=Dear%20PSW%2C%0A%0AYour%20order%20is%20ready%20for%20pickup%20from%20Sample%20Branch%2C%20Wed-Fri%209am-4pm.</v>
      </c>
      <c r="AF1006" s="89" t="str">
        <f t="shared" si="178"/>
        <v>Draft email</v>
      </c>
      <c r="AG1006" s="64" t="str">
        <f>IF($C1006="","",IFERROR(INDEX('Staff Directory'!$K$595:$K$599,MATCH($C1006,'Staff Directory'!$B$5:$B$599,0)),$D1006))</f>
        <v>PSW</v>
      </c>
      <c r="AH1006" t="str">
        <f>IF($C1006="","",IFERROR(INDEX('Staff Directory'!$I$595:$I$599,MATCH($C1006,'Staff Directory'!$B$5:$B$599,0))&amp;" "&amp;INDEX('Staff Directory'!$J$595:$J$599,MATCH($C1006,'Staff Directory'!$B$5:$B$599,0)),$AG1006))</f>
        <v>PSW</v>
      </c>
      <c r="AI1006" s="102"/>
      <c r="AJ1006" s="101">
        <f>IF($F1006="","",SUMIFS($J$5:$J1006,$F$5:$F1006,$F1006))</f>
        <v>13200</v>
      </c>
      <c r="AK1006" s="101">
        <f t="shared" si="170"/>
        <v>13121</v>
      </c>
      <c r="AL1006" s="66" t="str" cm="1">
        <f t="array" ref="AL1006">IF($F1006="","",IFERROR(INDEX('Lot Balance'!$B$5:$B$500,MATCH(1,INDEX(('Lot Balance'!$A$5:$A$500=$F1006)*('Lot Balance'!$K$5:$K$500&lt;$AK1006)*('Lot Balance'!$K$5:$K$500+'Lot Balance'!$D$5:$D$500&gt;=$AK1006),0),0)),""))</f>
        <v>LYSL500290</v>
      </c>
      <c r="AM1006" s="66" t="str" cm="1">
        <f t="array" ref="AM1006">IF($F1006="","",IFERROR(INDEX('Lot Balance'!$B$5:$B$500,MATCH(1,INDEX(('Lot Balance'!$A$5:$A$500=$F1006)*('Lot Balance'!$K$5:$K$500&lt;$AJ1006)*('Lot Balance'!$K$5:$K$500+'Lot Balance'!$D$5:$D$500&gt;=$AJ1006),0),0)),""))</f>
        <v>LYSL500290</v>
      </c>
      <c r="AN1006" s="66" t="str">
        <f>IF($F1006="","",IF($AI1006&lt;&gt;"",IF(COUNTIFS('Lot Balance'!$A$5:$A$500,$F1006,'Lot Balance'!$B$5:$B$500,$AI1006)=0,"⚠ override is not a lot of this item",IF($AI1006=$AL1006,"Override = FEFO","Override - FEFO says "&amp;$AL1006)),IF($AL1006="","⚠ no receipt on file for this item",IF($AM1006&lt;&gt;$AL1006,"FEFO auto - split, also "&amp;$AM1006,"FEFO auto"))))</f>
        <v>FEFO auto</v>
      </c>
      <c r="AO1006" s="114"/>
    </row>
    <row r="1007" spans="1:41" x14ac:dyDescent="0.35">
      <c r="A1007" s="74">
        <v>46174</v>
      </c>
      <c r="B1007" s="18" t="str">
        <f>IF($C1007="","",IFERROR(INDEX('Staff Directory'!$A$5:$A$594,MATCH($C1007,'Staff Directory'!$B$5:$B$594,0)),"⚠ unknown staff"))</f>
        <v>PSW-058-A5</v>
      </c>
      <c r="C1007" s="49" t="s">
        <v>1034</v>
      </c>
      <c r="D1007" s="19" t="str">
        <f>IF($B1007="","",IFERROR(INDEX('Staff Directory'!$C$5:$C$594,MATCH($B1007,'Staff Directory'!$A$5:$A$594,0)),""))</f>
        <v>PSW</v>
      </c>
      <c r="E1007" s="19" t="str">
        <f>IF($B1007="","",IFERROR(INDEX('Staff Directory'!$D$5:$D$594,MATCH($B1007,'Staff Directory'!$A$5:$A$594,0)),""))</f>
        <v>A5</v>
      </c>
      <c r="F1007" s="9" t="s">
        <v>156</v>
      </c>
      <c r="G1007" s="18" t="str">
        <f>IF($F1007="","",IFERROR(INDEX(Items!$B$5:$B$597,MATCH($F1007,Items!$A$5:$A$597,0)),"⚠ not in Items"))</f>
        <v>Masks</v>
      </c>
      <c r="H1007" s="19" t="str">
        <f>IF($F1007="","",IFERROR(INDEX(Items!$C$5:$C$597,MATCH($F1007,Items!$A$5:$A$597,0)),""))</f>
        <v>One Size</v>
      </c>
      <c r="I1007" s="23">
        <f>IF($F1007="","",IFERROR(INDEX(Items!$E$5:$E$597,MATCH($F1007,Items!$A$5:$A$597,0)),""))</f>
        <v>50</v>
      </c>
      <c r="J1007" s="115">
        <f>IF(tblIssues[[#This Row],[Qty Override]]&lt;&gt;"",tblIssues[[#This Row],[Qty Override]],IF(tblIssues[[#This Row],[Standard Issue]]="","",tblIssues[[#This Row],[Standard Issue]]))</f>
        <v>50</v>
      </c>
      <c r="K1007" s="20">
        <f>IF($F1007="","",IFERROR(INDEX(Items!$D$5:$D$597,MATCH($F1007,Items!$A$5:$A$597,0)),""))</f>
        <v>0.25</v>
      </c>
      <c r="L1007" s="21">
        <f t="shared" si="173"/>
        <v>12.5</v>
      </c>
      <c r="M1007" s="9" t="str">
        <f t="shared" si="171"/>
        <v>0125FPC24-2</v>
      </c>
      <c r="N1007" s="24">
        <f>IF($A1007="","",WORKDAY($A1007,Settings!$C$9,HolidayDates))</f>
        <v>46182</v>
      </c>
      <c r="O1007" s="24">
        <f>IF($N1007="","",WORKDAY($N1007,Settings!$C$10,HolidayDates))</f>
        <v>46220</v>
      </c>
      <c r="P1007" s="10" t="s">
        <v>501</v>
      </c>
      <c r="Q1007" s="52" t="str">
        <f t="shared" si="174"/>
        <v>Collected</v>
      </c>
      <c r="R1007" s="55" t="str">
        <f t="shared" si="175"/>
        <v>2026-06</v>
      </c>
      <c r="S1007" s="55">
        <f>IF(OR($B1007="",$F1007="",$R1007=""),"",SUMIFS(tblIssues[Qty Issued],tblIssues[Staff ID],$B1007,tblIssues[Item Name],$F1007,tblIssues[Month],$R1007))</f>
        <v>50</v>
      </c>
      <c r="T1007" s="56">
        <f>IF($I1007="","",$I1007*Settings!$C$11)</f>
        <v>50</v>
      </c>
      <c r="U1007" s="57" t="str">
        <f t="shared" si="172"/>
        <v>OK</v>
      </c>
      <c r="V1007" s="55" t="str">
        <f t="shared" si="176"/>
        <v/>
      </c>
      <c r="W1007" s="55" t="str">
        <f>IF($V1007="","",IF(COUNTIF($V$5:$V1007,$V1007)=1,1,""))</f>
        <v/>
      </c>
      <c r="X1007" s="58" t="str">
        <f>IF($W1007="","",MAX($X$4:X1006)+1)</f>
        <v/>
      </c>
      <c r="Y1007" s="62"/>
      <c r="Z1007" s="62"/>
      <c r="AA1007" s="64" t="str">
        <f>IF($C1007="","",IFERROR(INDEX('Staff Directory'!$E$5:$E$594,MATCH($C1007,'Staff Directory'!$B$5:$B$594,0)),""))</f>
        <v>firstname118.lastname118@example.com</v>
      </c>
      <c r="AB1007" s="64" t="str">
        <f>IF($C1007="","",IF(ISNUMBER(SEARCH($D1007,Settings!$C$15)),"Pickup","Dispatch"))</f>
        <v>Pickup</v>
      </c>
      <c r="AC1007" s="64" t="str">
        <f t="shared" si="177"/>
        <v>Supply order ready for pickup</v>
      </c>
      <c r="AD1007" s="64" t="str">
        <f t="shared" si="168"/>
        <v>Dear PSW,
Your order is ready for pickup from Sample Branch, Wed-Fri 9am-4pm.</v>
      </c>
      <c r="AE1007" s="64" t="str">
        <f t="shared" si="169"/>
        <v>mailto:firstname118.lastname118@example.com?subject=Supply%20order%20ready%20for%20pickup&amp;body=Dear%20PSW%2C%0A%0AYour%20order%20is%20ready%20for%20pickup%20from%20Sample%20Branch%2C%20Wed-Fri%209am-4pm.</v>
      </c>
      <c r="AF1007" s="89" t="str">
        <f t="shared" si="178"/>
        <v>Draft email</v>
      </c>
      <c r="AG1007" s="64" t="str">
        <f>IF($C1007="","",IFERROR(INDEX('Staff Directory'!$K$595:$K$599,MATCH($C1007,'Staff Directory'!$B$5:$B$599,0)),$D1007))</f>
        <v>PSW</v>
      </c>
      <c r="AH1007" t="str">
        <f>IF($C1007="","",IFERROR(INDEX('Staff Directory'!$I$595:$I$599,MATCH($C1007,'Staff Directory'!$B$5:$B$599,0))&amp;" "&amp;INDEX('Staff Directory'!$J$595:$J$599,MATCH($C1007,'Staff Directory'!$B$5:$B$599,0)),$AG1007))</f>
        <v>PSW</v>
      </c>
      <c r="AI1007" s="102"/>
      <c r="AJ1007" s="101">
        <f>IF($F1007="","",SUMIFS($J$5:$J1007,$F$5:$F1007,$F1007))</f>
        <v>7700</v>
      </c>
      <c r="AK1007" s="101">
        <f t="shared" si="170"/>
        <v>7651</v>
      </c>
      <c r="AL1007" s="66" t="str" cm="1">
        <f t="array" ref="AL1007">IF($F1007="","",IFERROR(INDEX('Lot Balance'!$B$5:$B$500,MATCH(1,INDEX(('Lot Balance'!$A$5:$A$500=$F1007)*('Lot Balance'!$K$5:$K$500&lt;$AK1007)*('Lot Balance'!$K$5:$K$500+'Lot Balance'!$D$5:$D$500&gt;=$AK1007),0),0)),""))</f>
        <v>0125FPC24-2</v>
      </c>
      <c r="AM1007" s="66" t="str" cm="1">
        <f t="array" ref="AM1007">IF($F1007="","",IFERROR(INDEX('Lot Balance'!$B$5:$B$500,MATCH(1,INDEX(('Lot Balance'!$A$5:$A$500=$F1007)*('Lot Balance'!$K$5:$K$500&lt;$AJ1007)*('Lot Balance'!$K$5:$K$500+'Lot Balance'!$D$5:$D$500&gt;=$AJ1007),0),0)),""))</f>
        <v>0125FPC24-2</v>
      </c>
      <c r="AN1007" s="66" t="str">
        <f>IF($F1007="","",IF($AI1007&lt;&gt;"",IF(COUNTIFS('Lot Balance'!$A$5:$A$500,$F1007,'Lot Balance'!$B$5:$B$500,$AI1007)=0,"⚠ override is not a lot of this item",IF($AI1007=$AL1007,"Override = FEFO","Override - FEFO says "&amp;$AL1007)),IF($AL1007="","⚠ no receipt on file for this item",IF($AM1007&lt;&gt;$AL1007,"FEFO auto - split, also "&amp;$AM1007,"FEFO auto"))))</f>
        <v>FEFO auto</v>
      </c>
      <c r="AO1007" s="114"/>
    </row>
    <row r="1008" spans="1:41" x14ac:dyDescent="0.35">
      <c r="A1008" s="74">
        <v>46174</v>
      </c>
      <c r="B1008" s="18" t="str">
        <f>IF($C1008="","",IFERROR(INDEX('Staff Directory'!$A$5:$A$594,MATCH($C1008,'Staff Directory'!$B$5:$B$594,0)),"⚠ unknown staff"))</f>
        <v>PSW-057-A5</v>
      </c>
      <c r="C1008" s="49" t="s">
        <v>1033</v>
      </c>
      <c r="D1008" s="19" t="str">
        <f>IF($B1008="","",IFERROR(INDEX('Staff Directory'!$C$5:$C$594,MATCH($B1008,'Staff Directory'!$A$5:$A$594,0)),""))</f>
        <v>PSW</v>
      </c>
      <c r="E1008" s="19" t="str">
        <f>IF($B1008="","",IFERROR(INDEX('Staff Directory'!$D$5:$D$594,MATCH($B1008,'Staff Directory'!$A$5:$A$594,0)),""))</f>
        <v>A5</v>
      </c>
      <c r="F1008" s="9" t="s">
        <v>124</v>
      </c>
      <c r="G1008" s="18" t="str">
        <f>IF($F1008="","",IFERROR(INDEX(Items!$B$5:$B$597,MATCH($F1008,Items!$A$5:$A$597,0)),"⚠ not in Items"))</f>
        <v>Gloves</v>
      </c>
      <c r="H1008" s="19" t="str">
        <f>IF($F1008="","",IFERROR(INDEX(Items!$C$5:$C$597,MATCH($F1008,Items!$A$5:$A$597,0)),""))</f>
        <v>Large</v>
      </c>
      <c r="I1008" s="23">
        <f>IF($F1008="","",IFERROR(INDEX(Items!$E$5:$E$597,MATCH($F1008,Items!$A$5:$A$597,0)),""))</f>
        <v>500</v>
      </c>
      <c r="J1008" s="115">
        <f>IF(tblIssues[[#This Row],[Qty Override]]&lt;&gt;"",tblIssues[[#This Row],[Qty Override]],IF(tblIssues[[#This Row],[Standard Issue]]="","",tblIssues[[#This Row],[Standard Issue]]))</f>
        <v>500</v>
      </c>
      <c r="K1008" s="20">
        <f>IF($F1008="","",IFERROR(INDEX(Items!$D$5:$D$597,MATCH($F1008,Items!$A$5:$A$597,0)),""))</f>
        <v>5.5E-2</v>
      </c>
      <c r="L1008" s="21">
        <f t="shared" si="173"/>
        <v>27.5</v>
      </c>
      <c r="M1008" s="9" t="str">
        <f t="shared" si="171"/>
        <v>O16705</v>
      </c>
      <c r="N1008" s="24">
        <f>IF($A1008="","",WORKDAY($A1008,Settings!$C$9,HolidayDates))</f>
        <v>46182</v>
      </c>
      <c r="O1008" s="24">
        <f>IF($N1008="","",WORKDAY($N1008,Settings!$C$10,HolidayDates))</f>
        <v>46220</v>
      </c>
      <c r="P1008" s="10" t="s">
        <v>501</v>
      </c>
      <c r="Q1008" s="52" t="str">
        <f t="shared" si="174"/>
        <v>Collected</v>
      </c>
      <c r="R1008" s="55" t="str">
        <f t="shared" si="175"/>
        <v>2026-06</v>
      </c>
      <c r="S1008" s="55">
        <f>IF(OR($B1008="",$F1008="",$R1008=""),"",SUMIFS(tblIssues[Qty Issued],tblIssues[Staff ID],$B1008,tblIssues[Item Name],$F1008,tblIssues[Month],$R1008))</f>
        <v>500</v>
      </c>
      <c r="T1008" s="56">
        <f>IF($I1008="","",$I1008*Settings!$C$11)</f>
        <v>500</v>
      </c>
      <c r="U1008" s="57" t="str">
        <f t="shared" si="172"/>
        <v>OK</v>
      </c>
      <c r="V1008" s="55" t="str">
        <f t="shared" si="176"/>
        <v/>
      </c>
      <c r="W1008" s="55" t="str">
        <f>IF($V1008="","",IF(COUNTIF($V$5:$V1008,$V1008)=1,1,""))</f>
        <v/>
      </c>
      <c r="X1008" s="58" t="str">
        <f>IF($W1008="","",MAX($X$4:X1007)+1)</f>
        <v/>
      </c>
      <c r="Y1008" s="62"/>
      <c r="Z1008" s="62"/>
      <c r="AA1008" s="64" t="str">
        <f>IF($C1008="","",IFERROR(INDEX('Staff Directory'!$E$5:$E$594,MATCH($C1008,'Staff Directory'!$B$5:$B$594,0)),""))</f>
        <v>firstname117.lastname117@example.com</v>
      </c>
      <c r="AB1008" s="64" t="str">
        <f>IF($C1008="","",IF(ISNUMBER(SEARCH($D1008,Settings!$C$15)),"Pickup","Dispatch"))</f>
        <v>Pickup</v>
      </c>
      <c r="AC1008" s="64" t="str">
        <f t="shared" si="177"/>
        <v>Supply order ready for pickup</v>
      </c>
      <c r="AD1008" s="64" t="str">
        <f t="shared" si="168"/>
        <v>Dear PSW,
Your order is ready for pickup from Sample Branch, Wed-Fri 9am-4pm.</v>
      </c>
      <c r="AE1008" s="64" t="str">
        <f t="shared" si="169"/>
        <v>mailto:firstname117.lastname117@example.com?subject=Supply%20order%20ready%20for%20pickup&amp;body=Dear%20PSW%2C%0A%0AYour%20order%20is%20ready%20for%20pickup%20from%20Sample%20Branch%2C%20Wed-Fri%209am-4pm.</v>
      </c>
      <c r="AF1008" s="89" t="str">
        <f t="shared" si="178"/>
        <v>Draft email</v>
      </c>
      <c r="AG1008" s="64" t="str">
        <f>IF($C1008="","",IFERROR(INDEX('Staff Directory'!$K$595:$K$599,MATCH($C1008,'Staff Directory'!$B$5:$B$599,0)),$D1008))</f>
        <v>PSW</v>
      </c>
      <c r="AH1008" t="str">
        <f>IF($C1008="","",IFERROR(INDEX('Staff Directory'!$I$595:$I$599,MATCH($C1008,'Staff Directory'!$B$5:$B$599,0))&amp;" "&amp;INDEX('Staff Directory'!$J$595:$J$599,MATCH($C1008,'Staff Directory'!$B$5:$B$599,0)),$AG1008))</f>
        <v>PSW</v>
      </c>
      <c r="AI1008" s="102"/>
      <c r="AJ1008" s="101">
        <f>IF($F1008="","",SUMIFS($J$5:$J1008,$F$5:$F1008,$F1008))</f>
        <v>27000</v>
      </c>
      <c r="AK1008" s="101">
        <f t="shared" si="170"/>
        <v>26501</v>
      </c>
      <c r="AL1008" s="66" t="str" cm="1">
        <f t="array" ref="AL1008">IF($F1008="","",IFERROR(INDEX('Lot Balance'!$B$5:$B$500,MATCH(1,INDEX(('Lot Balance'!$A$5:$A$500=$F1008)*('Lot Balance'!$K$5:$K$500&lt;$AK1008)*('Lot Balance'!$K$5:$K$500+'Lot Balance'!$D$5:$D$500&gt;=$AK1008),0),0)),""))</f>
        <v>O16705</v>
      </c>
      <c r="AM1008" s="66" t="str" cm="1">
        <f t="array" ref="AM1008">IF($F1008="","",IFERROR(INDEX('Lot Balance'!$B$5:$B$500,MATCH(1,INDEX(('Lot Balance'!$A$5:$A$500=$F1008)*('Lot Balance'!$K$5:$K$500&lt;$AJ1008)*('Lot Balance'!$K$5:$K$500+'Lot Balance'!$D$5:$D$500&gt;=$AJ1008),0),0)),""))</f>
        <v>O16705</v>
      </c>
      <c r="AN1008" s="66" t="str">
        <f>IF($F1008="","",IF($AI1008&lt;&gt;"",IF(COUNTIFS('Lot Balance'!$A$5:$A$500,$F1008,'Lot Balance'!$B$5:$B$500,$AI1008)=0,"⚠ override is not a lot of this item",IF($AI1008=$AL1008,"Override = FEFO","Override - FEFO says "&amp;$AL1008)),IF($AL1008="","⚠ no receipt on file for this item",IF($AM1008&lt;&gt;$AL1008,"FEFO auto - split, also "&amp;$AM1008,"FEFO auto"))))</f>
        <v>FEFO auto</v>
      </c>
      <c r="AO1008" s="114"/>
    </row>
    <row r="1009" spans="1:41" x14ac:dyDescent="0.35">
      <c r="A1009" s="74">
        <v>46174</v>
      </c>
      <c r="B1009" s="18" t="str">
        <f>IF($C1009="","",IFERROR(INDEX('Staff Directory'!$A$5:$A$594,MATCH($C1009,'Staff Directory'!$B$5:$B$594,0)),"⚠ unknown staff"))</f>
        <v>PSW-057-A5</v>
      </c>
      <c r="C1009" s="49" t="s">
        <v>1033</v>
      </c>
      <c r="D1009" s="19" t="str">
        <f>IF($B1009="","",IFERROR(INDEX('Staff Directory'!$C$5:$C$594,MATCH($B1009,'Staff Directory'!$A$5:$A$594,0)),""))</f>
        <v>PSW</v>
      </c>
      <c r="E1009" s="19" t="str">
        <f>IF($B1009="","",IFERROR(INDEX('Staff Directory'!$D$5:$D$594,MATCH($B1009,'Staff Directory'!$A$5:$A$594,0)),""))</f>
        <v>A5</v>
      </c>
      <c r="F1009" s="9" t="s">
        <v>156</v>
      </c>
      <c r="G1009" s="18" t="str">
        <f>IF($F1009="","",IFERROR(INDEX(Items!$B$5:$B$597,MATCH($F1009,Items!$A$5:$A$597,0)),"⚠ not in Items"))</f>
        <v>Masks</v>
      </c>
      <c r="H1009" s="19" t="str">
        <f>IF($F1009="","",IFERROR(INDEX(Items!$C$5:$C$597,MATCH($F1009,Items!$A$5:$A$597,0)),""))</f>
        <v>One Size</v>
      </c>
      <c r="I1009" s="23">
        <f>IF($F1009="","",IFERROR(INDEX(Items!$E$5:$E$597,MATCH($F1009,Items!$A$5:$A$597,0)),""))</f>
        <v>50</v>
      </c>
      <c r="J1009" s="115">
        <f>IF(tblIssues[[#This Row],[Qty Override]]&lt;&gt;"",tblIssues[[#This Row],[Qty Override]],IF(tblIssues[[#This Row],[Standard Issue]]="","",tblIssues[[#This Row],[Standard Issue]]))</f>
        <v>50</v>
      </c>
      <c r="K1009" s="20">
        <f>IF($F1009="","",IFERROR(INDEX(Items!$D$5:$D$597,MATCH($F1009,Items!$A$5:$A$597,0)),""))</f>
        <v>0.25</v>
      </c>
      <c r="L1009" s="21">
        <f t="shared" si="173"/>
        <v>12.5</v>
      </c>
      <c r="M1009" s="9" t="str">
        <f t="shared" si="171"/>
        <v>0125FPC24-2</v>
      </c>
      <c r="N1009" s="24">
        <f>IF($A1009="","",WORKDAY($A1009,Settings!$C$9,HolidayDates))</f>
        <v>46182</v>
      </c>
      <c r="O1009" s="24">
        <f>IF($N1009="","",WORKDAY($N1009,Settings!$C$10,HolidayDates))</f>
        <v>46220</v>
      </c>
      <c r="P1009" s="10" t="s">
        <v>501</v>
      </c>
      <c r="Q1009" s="52" t="str">
        <f t="shared" si="174"/>
        <v>Collected</v>
      </c>
      <c r="R1009" s="55" t="str">
        <f t="shared" si="175"/>
        <v>2026-06</v>
      </c>
      <c r="S1009" s="55">
        <f>IF(OR($B1009="",$F1009="",$R1009=""),"",SUMIFS(tblIssues[Qty Issued],tblIssues[Staff ID],$B1009,tblIssues[Item Name],$F1009,tblIssues[Month],$R1009))</f>
        <v>50</v>
      </c>
      <c r="T1009" s="56">
        <f>IF($I1009="","",$I1009*Settings!$C$11)</f>
        <v>50</v>
      </c>
      <c r="U1009" s="57" t="str">
        <f t="shared" si="172"/>
        <v>OK</v>
      </c>
      <c r="V1009" s="55" t="str">
        <f t="shared" si="176"/>
        <v/>
      </c>
      <c r="W1009" s="55" t="str">
        <f>IF($V1009="","",IF(COUNTIF($V$5:$V1009,$V1009)=1,1,""))</f>
        <v/>
      </c>
      <c r="X1009" s="58" t="str">
        <f>IF($W1009="","",MAX($X$4:X1008)+1)</f>
        <v/>
      </c>
      <c r="Y1009" s="62"/>
      <c r="Z1009" s="62"/>
      <c r="AA1009" s="64" t="str">
        <f>IF($C1009="","",IFERROR(INDEX('Staff Directory'!$E$5:$E$594,MATCH($C1009,'Staff Directory'!$B$5:$B$594,0)),""))</f>
        <v>firstname117.lastname117@example.com</v>
      </c>
      <c r="AB1009" s="64" t="str">
        <f>IF($C1009="","",IF(ISNUMBER(SEARCH($D1009,Settings!$C$15)),"Pickup","Dispatch"))</f>
        <v>Pickup</v>
      </c>
      <c r="AC1009" s="64" t="str">
        <f t="shared" si="177"/>
        <v>Supply order ready for pickup</v>
      </c>
      <c r="AD1009" s="64" t="str">
        <f t="shared" si="168"/>
        <v>Dear PSW,
Your order is ready for pickup from Sample Branch, Wed-Fri 9am-4pm.</v>
      </c>
      <c r="AE1009" s="64" t="str">
        <f t="shared" si="169"/>
        <v>mailto:firstname117.lastname117@example.com?subject=Supply%20order%20ready%20for%20pickup&amp;body=Dear%20PSW%2C%0A%0AYour%20order%20is%20ready%20for%20pickup%20from%20Sample%20Branch%2C%20Wed-Fri%209am-4pm.</v>
      </c>
      <c r="AF1009" s="89" t="str">
        <f t="shared" si="178"/>
        <v>Draft email</v>
      </c>
      <c r="AG1009" s="64" t="str">
        <f>IF($C1009="","",IFERROR(INDEX('Staff Directory'!$K$595:$K$599,MATCH($C1009,'Staff Directory'!$B$5:$B$599,0)),$D1009))</f>
        <v>PSW</v>
      </c>
      <c r="AH1009" t="str">
        <f>IF($C1009="","",IFERROR(INDEX('Staff Directory'!$I$595:$I$599,MATCH($C1009,'Staff Directory'!$B$5:$B$599,0))&amp;" "&amp;INDEX('Staff Directory'!$J$595:$J$599,MATCH($C1009,'Staff Directory'!$B$5:$B$599,0)),$AG1009))</f>
        <v>PSW</v>
      </c>
      <c r="AI1009" s="102"/>
      <c r="AJ1009" s="101">
        <f>IF($F1009="","",SUMIFS($J$5:$J1009,$F$5:$F1009,$F1009))</f>
        <v>7750</v>
      </c>
      <c r="AK1009" s="101">
        <f t="shared" si="170"/>
        <v>7701</v>
      </c>
      <c r="AL1009" s="66" t="str" cm="1">
        <f t="array" ref="AL1009">IF($F1009="","",IFERROR(INDEX('Lot Balance'!$B$5:$B$500,MATCH(1,INDEX(('Lot Balance'!$A$5:$A$500=$F1009)*('Lot Balance'!$K$5:$K$500&lt;$AK1009)*('Lot Balance'!$K$5:$K$500+'Lot Balance'!$D$5:$D$500&gt;=$AK1009),0),0)),""))</f>
        <v>0125FPC24-2</v>
      </c>
      <c r="AM1009" s="66" t="str" cm="1">
        <f t="array" ref="AM1009">IF($F1009="","",IFERROR(INDEX('Lot Balance'!$B$5:$B$500,MATCH(1,INDEX(('Lot Balance'!$A$5:$A$500=$F1009)*('Lot Balance'!$K$5:$K$500&lt;$AJ1009)*('Lot Balance'!$K$5:$K$500+'Lot Balance'!$D$5:$D$500&gt;=$AJ1009),0),0)),""))</f>
        <v>0125FPC24-2</v>
      </c>
      <c r="AN1009" s="66" t="str">
        <f>IF($F1009="","",IF($AI1009&lt;&gt;"",IF(COUNTIFS('Lot Balance'!$A$5:$A$500,$F1009,'Lot Balance'!$B$5:$B$500,$AI1009)=0,"⚠ override is not a lot of this item",IF($AI1009=$AL1009,"Override = FEFO","Override - FEFO says "&amp;$AL1009)),IF($AL1009="","⚠ no receipt on file for this item",IF($AM1009&lt;&gt;$AL1009,"FEFO auto - split, also "&amp;$AM1009,"FEFO auto"))))</f>
        <v>FEFO auto</v>
      </c>
      <c r="AO1009" s="114"/>
    </row>
    <row r="1010" spans="1:41" x14ac:dyDescent="0.35">
      <c r="A1010" s="74">
        <v>46174</v>
      </c>
      <c r="B1010" s="18" t="str">
        <f>IF($C1010="","",IFERROR(INDEX('Staff Directory'!$A$5:$A$594,MATCH($C1010,'Staff Directory'!$B$5:$B$594,0)),"⚠ unknown staff"))</f>
        <v>PSW-057-A5</v>
      </c>
      <c r="C1010" s="49" t="s">
        <v>1033</v>
      </c>
      <c r="D1010" s="19" t="str">
        <f>IF($B1010="","",IFERROR(INDEX('Staff Directory'!$C$5:$C$594,MATCH($B1010,'Staff Directory'!$A$5:$A$594,0)),""))</f>
        <v>PSW</v>
      </c>
      <c r="E1010" s="19" t="str">
        <f>IF($B1010="","",IFERROR(INDEX('Staff Directory'!$D$5:$D$594,MATCH($B1010,'Staff Directory'!$A$5:$A$594,0)),""))</f>
        <v>A5</v>
      </c>
      <c r="F1010" s="9" t="s">
        <v>154</v>
      </c>
      <c r="G1010" s="18" t="str">
        <f>IF($F1010="","",IFERROR(INDEX(Items!$B$5:$B$597,MATCH($F1010,Items!$A$5:$A$597,0)),"⚠ not in Items"))</f>
        <v>IPAC</v>
      </c>
      <c r="H1010" s="19" t="str">
        <f>IF($F1010="","",IFERROR(INDEX(Items!$C$5:$C$597,MATCH($F1010,Items!$A$5:$A$597,0)),""))</f>
        <v>Regular</v>
      </c>
      <c r="I1010" s="23">
        <f>IF($F1010="","",IFERROR(INDEX(Items!$E$5:$E$597,MATCH($F1010,Items!$A$5:$A$597,0)),""))</f>
        <v>50</v>
      </c>
      <c r="J1010" s="115">
        <f>IF(tblIssues[[#This Row],[Qty Override]]&lt;&gt;"",tblIssues[[#This Row],[Qty Override]],IF(tblIssues[[#This Row],[Standard Issue]]="","",tblIssues[[#This Row],[Standard Issue]]))</f>
        <v>50</v>
      </c>
      <c r="K1010" s="20">
        <f>IF($F1010="","",IFERROR(INDEX(Items!$D$5:$D$597,MATCH($F1010,Items!$A$5:$A$597,0)),""))</f>
        <v>0.2</v>
      </c>
      <c r="L1010" s="21">
        <f t="shared" si="173"/>
        <v>10</v>
      </c>
      <c r="M1010" s="9" t="str">
        <f t="shared" si="171"/>
        <v/>
      </c>
      <c r="N1010" s="24">
        <f>IF($A1010="","",WORKDAY($A1010,Settings!$C$9,HolidayDates))</f>
        <v>46182</v>
      </c>
      <c r="O1010" s="24">
        <f>IF($N1010="","",WORKDAY($N1010,Settings!$C$10,HolidayDates))</f>
        <v>46220</v>
      </c>
      <c r="P1010" s="10" t="s">
        <v>501</v>
      </c>
      <c r="Q1010" s="52" t="str">
        <f t="shared" si="174"/>
        <v>Collected</v>
      </c>
      <c r="R1010" s="55" t="str">
        <f t="shared" si="175"/>
        <v>2026-06</v>
      </c>
      <c r="S1010" s="55">
        <f>IF(OR($B1010="",$F1010="",$R1010=""),"",SUMIFS(tblIssues[Qty Issued],tblIssues[Staff ID],$B1010,tblIssues[Item Name],$F1010,tblIssues[Month],$R1010))</f>
        <v>50</v>
      </c>
      <c r="T1010" s="56">
        <f>IF($I1010="","",$I1010*Settings!$C$11)</f>
        <v>50</v>
      </c>
      <c r="U1010" s="57" t="str">
        <f t="shared" si="172"/>
        <v>OK</v>
      </c>
      <c r="V1010" s="55" t="str">
        <f t="shared" si="176"/>
        <v/>
      </c>
      <c r="W1010" s="55" t="str">
        <f>IF($V1010="","",IF(COUNTIF($V$5:$V1010,$V1010)=1,1,""))</f>
        <v/>
      </c>
      <c r="X1010" s="58" t="str">
        <f>IF($W1010="","",MAX($X$4:X1009)+1)</f>
        <v/>
      </c>
      <c r="Y1010" s="62"/>
      <c r="Z1010" s="62"/>
      <c r="AA1010" s="64" t="str">
        <f>IF($C1010="","",IFERROR(INDEX('Staff Directory'!$E$5:$E$594,MATCH($C1010,'Staff Directory'!$B$5:$B$594,0)),""))</f>
        <v>firstname117.lastname117@example.com</v>
      </c>
      <c r="AB1010" s="64" t="str">
        <f>IF($C1010="","",IF(ISNUMBER(SEARCH($D1010,Settings!$C$15)),"Pickup","Dispatch"))</f>
        <v>Pickup</v>
      </c>
      <c r="AC1010" s="64" t="str">
        <f t="shared" si="177"/>
        <v>Supply order ready for pickup</v>
      </c>
      <c r="AD1010" s="64" t="str">
        <f t="shared" si="168"/>
        <v>Dear PSW,
Your order is ready for pickup from Sample Branch, Wed-Fri 9am-4pm.</v>
      </c>
      <c r="AE1010" s="64" t="str">
        <f t="shared" si="169"/>
        <v>mailto:firstname117.lastname117@example.com?subject=Supply%20order%20ready%20for%20pickup&amp;body=Dear%20PSW%2C%0A%0AYour%20order%20is%20ready%20for%20pickup%20from%20Sample%20Branch%2C%20Wed-Fri%209am-4pm.</v>
      </c>
      <c r="AF1010" s="89" t="str">
        <f t="shared" si="178"/>
        <v>Draft email</v>
      </c>
      <c r="AG1010" s="64" t="str">
        <f>IF($C1010="","",IFERROR(INDEX('Staff Directory'!$K$595:$K$599,MATCH($C1010,'Staff Directory'!$B$5:$B$599,0)),$D1010))</f>
        <v>PSW</v>
      </c>
      <c r="AH1010" t="str">
        <f>IF($C1010="","",IFERROR(INDEX('Staff Directory'!$I$595:$I$599,MATCH($C1010,'Staff Directory'!$B$5:$B$599,0))&amp;" "&amp;INDEX('Staff Directory'!$J$595:$J$599,MATCH($C1010,'Staff Directory'!$B$5:$B$599,0)),$AG1010))</f>
        <v>PSW</v>
      </c>
      <c r="AI1010" s="102"/>
      <c r="AJ1010" s="101">
        <f>IF($F1010="","",SUMIFS($J$5:$J1010,$F$5:$F1010,$F1010))</f>
        <v>1100</v>
      </c>
      <c r="AK1010" s="101">
        <f t="shared" si="170"/>
        <v>1051</v>
      </c>
      <c r="AL1010" s="66" t="str" cm="1">
        <f t="array" ref="AL1010">IF($F1010="","",IFERROR(INDEX('Lot Balance'!$B$5:$B$500,MATCH(1,INDEX(('Lot Balance'!$A$5:$A$500=$F1010)*('Lot Balance'!$K$5:$K$500&lt;$AK1010)*('Lot Balance'!$K$5:$K$500+'Lot Balance'!$D$5:$D$500&gt;=$AK1010),0),0)),""))</f>
        <v/>
      </c>
      <c r="AM1010" s="66" t="str" cm="1">
        <f t="array" ref="AM1010">IF($F1010="","",IFERROR(INDEX('Lot Balance'!$B$5:$B$500,MATCH(1,INDEX(('Lot Balance'!$A$5:$A$500=$F1010)*('Lot Balance'!$K$5:$K$500&lt;$AJ1010)*('Lot Balance'!$K$5:$K$500+'Lot Balance'!$D$5:$D$500&gt;=$AJ1010),0),0)),""))</f>
        <v/>
      </c>
      <c r="AN1010" s="66" t="str">
        <f>IF($F1010="","",IF($AI1010&lt;&gt;"",IF(COUNTIFS('Lot Balance'!$A$5:$A$500,$F1010,'Lot Balance'!$B$5:$B$500,$AI1010)=0,"⚠ override is not a lot of this item",IF($AI1010=$AL1010,"Override = FEFO","Override - FEFO says "&amp;$AL1010)),IF($AL1010="","⚠ no receipt on file for this item",IF($AM1010&lt;&gt;$AL1010,"FEFO auto - split, also "&amp;$AM1010,"FEFO auto"))))</f>
        <v>⚠ no receipt on file for this item</v>
      </c>
      <c r="AO1010" s="114"/>
    </row>
    <row r="1011" spans="1:41" x14ac:dyDescent="0.35">
      <c r="A1011" s="74">
        <v>46174</v>
      </c>
      <c r="B1011" s="18" t="str">
        <f>IF($C1011="","",IFERROR(INDEX('Staff Directory'!$A$5:$A$594,MATCH($C1011,'Staff Directory'!$B$5:$B$594,0)),"⚠ unknown staff"))</f>
        <v>PSW-130-A6</v>
      </c>
      <c r="C1011" s="49" t="s">
        <v>1109</v>
      </c>
      <c r="D1011" s="19" t="str">
        <f>IF($B1011="","",IFERROR(INDEX('Staff Directory'!$C$5:$C$594,MATCH($B1011,'Staff Directory'!$A$5:$A$594,0)),""))</f>
        <v>PSW</v>
      </c>
      <c r="E1011" s="19" t="str">
        <f>IF($B1011="","",IFERROR(INDEX('Staff Directory'!$D$5:$D$594,MATCH($B1011,'Staff Directory'!$A$5:$A$594,0)),""))</f>
        <v>A6</v>
      </c>
      <c r="F1011" s="9" t="s">
        <v>127</v>
      </c>
      <c r="G1011" s="18" t="str">
        <f>IF($F1011="","",IFERROR(INDEX(Items!$B$5:$B$597,MATCH($F1011,Items!$A$5:$A$597,0)),"⚠ not in Items"))</f>
        <v>Gloves</v>
      </c>
      <c r="H1011" s="19" t="str">
        <f>IF($F1011="","",IFERROR(INDEX(Items!$C$5:$C$597,MATCH($F1011,Items!$A$5:$A$597,0)),""))</f>
        <v>Medium</v>
      </c>
      <c r="I1011" s="23">
        <f>IF($F1011="","",IFERROR(INDEX(Items!$E$5:$E$597,MATCH($F1011,Items!$A$5:$A$597,0)),""))</f>
        <v>500</v>
      </c>
      <c r="J1011" s="115">
        <f>IF(tblIssues[[#This Row],[Qty Override]]&lt;&gt;"",tblIssues[[#This Row],[Qty Override]],IF(tblIssues[[#This Row],[Standard Issue]]="","",tblIssues[[#This Row],[Standard Issue]]))</f>
        <v>500</v>
      </c>
      <c r="K1011" s="20">
        <f>IF($F1011="","",IFERROR(INDEX(Items!$D$5:$D$597,MATCH($F1011,Items!$A$5:$A$597,0)),""))</f>
        <v>5.5E-2</v>
      </c>
      <c r="L1011" s="21">
        <f t="shared" si="173"/>
        <v>27.5</v>
      </c>
      <c r="M1011" s="9" t="str">
        <f t="shared" si="171"/>
        <v>ZIM510329603</v>
      </c>
      <c r="N1011" s="24">
        <f>IF($A1011="","",WORKDAY($A1011,Settings!$C$9,HolidayDates))</f>
        <v>46182</v>
      </c>
      <c r="O1011" s="24">
        <f>IF($N1011="","",WORKDAY($N1011,Settings!$C$10,HolidayDates))</f>
        <v>46220</v>
      </c>
      <c r="P1011" s="10" t="s">
        <v>501</v>
      </c>
      <c r="Q1011" s="52" t="str">
        <f t="shared" si="174"/>
        <v>Collected</v>
      </c>
      <c r="R1011" s="55" t="str">
        <f t="shared" si="175"/>
        <v>2026-06</v>
      </c>
      <c r="S1011" s="55">
        <f>IF(OR($B1011="",$F1011="",$R1011=""),"",SUMIFS(tblIssues[Qty Issued],tblIssues[Staff ID],$B1011,tblIssues[Item Name],$F1011,tblIssues[Month],$R1011))</f>
        <v>500</v>
      </c>
      <c r="T1011" s="56">
        <f>IF($I1011="","",$I1011*Settings!$C$11)</f>
        <v>500</v>
      </c>
      <c r="U1011" s="57" t="str">
        <f t="shared" si="172"/>
        <v>OK</v>
      </c>
      <c r="V1011" s="55" t="str">
        <f t="shared" si="176"/>
        <v/>
      </c>
      <c r="W1011" s="55" t="str">
        <f>IF($V1011="","",IF(COUNTIF($V$5:$V1011,$V1011)=1,1,""))</f>
        <v/>
      </c>
      <c r="X1011" s="58" t="str">
        <f>IF($W1011="","",MAX($X$4:X1010)+1)</f>
        <v/>
      </c>
      <c r="Y1011" s="62"/>
      <c r="Z1011" s="62"/>
      <c r="AA1011" s="64" t="str">
        <f>IF($C1011="","",IFERROR(INDEX('Staff Directory'!$E$5:$E$594,MATCH($C1011,'Staff Directory'!$B$5:$B$594,0)),""))</f>
        <v>firstname193.lastname193@example.com</v>
      </c>
      <c r="AB1011" s="64" t="str">
        <f>IF($C1011="","",IF(ISNUMBER(SEARCH($D1011,Settings!$C$15)),"Pickup","Dispatch"))</f>
        <v>Pickup</v>
      </c>
      <c r="AC1011" s="64" t="str">
        <f t="shared" si="177"/>
        <v>Supply order ready for pickup</v>
      </c>
      <c r="AD1011" s="64" t="str">
        <f t="shared" si="168"/>
        <v>Dear PSW,
Your order is ready for pickup from Sample Branch, Wed-Fri 9am-4pm.</v>
      </c>
      <c r="AE1011" s="64" t="str">
        <f t="shared" si="169"/>
        <v>mailto:firstname193.lastname193@example.com?subject=Supply%20order%20ready%20for%20pickup&amp;body=Dear%20PSW%2C%0A%0AYour%20order%20is%20ready%20for%20pickup%20from%20Sample%20Branch%2C%20Wed-Fri%209am-4pm.</v>
      </c>
      <c r="AF1011" s="89" t="str">
        <f t="shared" si="178"/>
        <v>Draft email</v>
      </c>
      <c r="AG1011" s="64" t="str">
        <f>IF($C1011="","",IFERROR(INDEX('Staff Directory'!$K$595:$K$599,MATCH($C1011,'Staff Directory'!$B$5:$B$599,0)),$D1011))</f>
        <v>PSW</v>
      </c>
      <c r="AH1011" t="str">
        <f>IF($C1011="","",IFERROR(INDEX('Staff Directory'!$I$595:$I$599,MATCH($C1011,'Staff Directory'!$B$5:$B$599,0))&amp;" "&amp;INDEX('Staff Directory'!$J$595:$J$599,MATCH($C1011,'Staff Directory'!$B$5:$B$599,0)),$AG1011))</f>
        <v>PSW</v>
      </c>
      <c r="AI1011" s="102"/>
      <c r="AJ1011" s="101">
        <f>IF($F1011="","",SUMIFS($J$5:$J1011,$F$5:$F1011,$F1011))</f>
        <v>57500</v>
      </c>
      <c r="AK1011" s="101">
        <f t="shared" si="170"/>
        <v>57001</v>
      </c>
      <c r="AL1011" s="66" t="str" cm="1">
        <f t="array" ref="AL1011">IF($F1011="","",IFERROR(INDEX('Lot Balance'!$B$5:$B$500,MATCH(1,INDEX(('Lot Balance'!$A$5:$A$500=$F1011)*('Lot Balance'!$K$5:$K$500&lt;$AK1011)*('Lot Balance'!$K$5:$K$500+'Lot Balance'!$D$5:$D$500&gt;=$AK1011),0),0)),""))</f>
        <v>ZIM510329603</v>
      </c>
      <c r="AM1011" s="66" t="str" cm="1">
        <f t="array" ref="AM1011">IF($F1011="","",IFERROR(INDEX('Lot Balance'!$B$5:$B$500,MATCH(1,INDEX(('Lot Balance'!$A$5:$A$500=$F1011)*('Lot Balance'!$K$5:$K$500&lt;$AJ1011)*('Lot Balance'!$K$5:$K$500+'Lot Balance'!$D$5:$D$500&gt;=$AJ1011),0),0)),""))</f>
        <v>ZIM510137962-0</v>
      </c>
      <c r="AN1011" s="66" t="str">
        <f>IF($F1011="","",IF($AI1011&lt;&gt;"",IF(COUNTIFS('Lot Balance'!$A$5:$A$500,$F1011,'Lot Balance'!$B$5:$B$500,$AI1011)=0,"⚠ override is not a lot of this item",IF($AI1011=$AL1011,"Override = FEFO","Override - FEFO says "&amp;$AL1011)),IF($AL1011="","⚠ no receipt on file for this item",IF($AM1011&lt;&gt;$AL1011,"FEFO auto - split, also "&amp;$AM1011,"FEFO auto"))))</f>
        <v>FEFO auto - split, also ZIM510137962-0</v>
      </c>
      <c r="AO1011" s="114"/>
    </row>
    <row r="1012" spans="1:41" x14ac:dyDescent="0.35">
      <c r="A1012" s="74">
        <v>46174</v>
      </c>
      <c r="B1012" s="18" t="str">
        <f>IF($C1012="","",IFERROR(INDEX('Staff Directory'!$A$5:$A$594,MATCH($C1012,'Staff Directory'!$B$5:$B$594,0)),"⚠ unknown staff"))</f>
        <v>PSW-130-A6</v>
      </c>
      <c r="C1012" s="49" t="s">
        <v>1109</v>
      </c>
      <c r="D1012" s="19" t="str">
        <f>IF($B1012="","",IFERROR(INDEX('Staff Directory'!$C$5:$C$594,MATCH($B1012,'Staff Directory'!$A$5:$A$594,0)),""))</f>
        <v>PSW</v>
      </c>
      <c r="E1012" s="19" t="str">
        <f>IF($B1012="","",IFERROR(INDEX('Staff Directory'!$D$5:$D$594,MATCH($B1012,'Staff Directory'!$A$5:$A$594,0)),""))</f>
        <v>A6</v>
      </c>
      <c r="F1012" s="9" t="s">
        <v>191</v>
      </c>
      <c r="G1012" s="18" t="str">
        <f>IF($F1012="","",IFERROR(INDEX(Items!$B$5:$B$597,MATCH($F1012,Items!$A$5:$A$597,0)),"⚠ not in Items"))</f>
        <v>Sanitizer</v>
      </c>
      <c r="H1012" s="19" t="str">
        <f>IF($F1012="","",IFERROR(INDEX(Items!$C$5:$C$597,MATCH($F1012,Items!$A$5:$A$597,0)),""))</f>
        <v>236 ML</v>
      </c>
      <c r="I1012" s="23">
        <f>IF($F1012="","",IFERROR(INDEX(Items!$E$5:$E$597,MATCH($F1012,Items!$A$5:$A$597,0)),""))</f>
        <v>1</v>
      </c>
      <c r="J1012" s="115">
        <f>IF(tblIssues[[#This Row],[Qty Override]]&lt;&gt;"",tblIssues[[#This Row],[Qty Override]],IF(tblIssues[[#This Row],[Standard Issue]]="","",tblIssues[[#This Row],[Standard Issue]]))</f>
        <v>1</v>
      </c>
      <c r="K1012" s="20">
        <f>IF($F1012="","",IFERROR(INDEX(Items!$D$5:$D$597,MATCH($F1012,Items!$A$5:$A$597,0)),""))</f>
        <v>1E-4</v>
      </c>
      <c r="L1012" s="21">
        <f t="shared" si="173"/>
        <v>1E-4</v>
      </c>
      <c r="M1012" s="9" t="str">
        <f t="shared" si="171"/>
        <v>20-21734-4</v>
      </c>
      <c r="N1012" s="24">
        <f>IF($A1012="","",WORKDAY($A1012,Settings!$C$9,HolidayDates))</f>
        <v>46182</v>
      </c>
      <c r="O1012" s="24">
        <f>IF($N1012="","",WORKDAY($N1012,Settings!$C$10,HolidayDates))</f>
        <v>46220</v>
      </c>
      <c r="P1012" s="10" t="s">
        <v>501</v>
      </c>
      <c r="Q1012" s="52" t="str">
        <f t="shared" si="174"/>
        <v>Collected</v>
      </c>
      <c r="R1012" s="55" t="str">
        <f t="shared" si="175"/>
        <v>2026-06</v>
      </c>
      <c r="S1012" s="55">
        <f>IF(OR($B1012="",$F1012="",$R1012=""),"",SUMIFS(tblIssues[Qty Issued],tblIssues[Staff ID],$B1012,tblIssues[Item Name],$F1012,tblIssues[Month],$R1012))</f>
        <v>1</v>
      </c>
      <c r="T1012" s="56">
        <f>IF($I1012="","",$I1012*Settings!$C$11)</f>
        <v>1</v>
      </c>
      <c r="U1012" s="57" t="str">
        <f t="shared" si="172"/>
        <v>OK</v>
      </c>
      <c r="V1012" s="55" t="str">
        <f t="shared" si="176"/>
        <v/>
      </c>
      <c r="W1012" s="55" t="str">
        <f>IF($V1012="","",IF(COUNTIF($V$5:$V1012,$V1012)=1,1,""))</f>
        <v/>
      </c>
      <c r="X1012" s="58" t="str">
        <f>IF($W1012="","",MAX($X$4:X1011)+1)</f>
        <v/>
      </c>
      <c r="Y1012" s="62"/>
      <c r="Z1012" s="62"/>
      <c r="AA1012" s="64" t="str">
        <f>IF($C1012="","",IFERROR(INDEX('Staff Directory'!$E$5:$E$594,MATCH($C1012,'Staff Directory'!$B$5:$B$594,0)),""))</f>
        <v>firstname193.lastname193@example.com</v>
      </c>
      <c r="AB1012" s="64" t="str">
        <f>IF($C1012="","",IF(ISNUMBER(SEARCH($D1012,Settings!$C$15)),"Pickup","Dispatch"))</f>
        <v>Pickup</v>
      </c>
      <c r="AC1012" s="64" t="str">
        <f t="shared" si="177"/>
        <v>Supply order ready for pickup</v>
      </c>
      <c r="AD1012" s="64" t="str">
        <f t="shared" si="168"/>
        <v>Dear PSW,
Your order is ready for pickup from Sample Branch, Wed-Fri 9am-4pm.</v>
      </c>
      <c r="AE1012" s="64" t="str">
        <f t="shared" si="169"/>
        <v>mailto:firstname193.lastname193@example.com?subject=Supply%20order%20ready%20for%20pickup&amp;body=Dear%20PSW%2C%0A%0AYour%20order%20is%20ready%20for%20pickup%20from%20Sample%20Branch%2C%20Wed-Fri%209am-4pm.</v>
      </c>
      <c r="AF1012" s="89" t="str">
        <f t="shared" si="178"/>
        <v>Draft email</v>
      </c>
      <c r="AG1012" s="64" t="str">
        <f>IF($C1012="","",IFERROR(INDEX('Staff Directory'!$K$595:$K$599,MATCH($C1012,'Staff Directory'!$B$5:$B$599,0)),$D1012))</f>
        <v>PSW</v>
      </c>
      <c r="AH1012" t="str">
        <f>IF($C1012="","",IFERROR(INDEX('Staff Directory'!$I$595:$I$599,MATCH($C1012,'Staff Directory'!$B$5:$B$599,0))&amp;" "&amp;INDEX('Staff Directory'!$J$595:$J$599,MATCH($C1012,'Staff Directory'!$B$5:$B$599,0)),$AG1012))</f>
        <v>PSW</v>
      </c>
      <c r="AI1012" s="102"/>
      <c r="AJ1012" s="101">
        <f>IF($F1012="","",SUMIFS($J$5:$J1012,$F$5:$F1012,$F1012))</f>
        <v>115</v>
      </c>
      <c r="AK1012" s="101">
        <f t="shared" si="170"/>
        <v>115</v>
      </c>
      <c r="AL1012" s="66" t="str" cm="1">
        <f t="array" ref="AL1012">IF($F1012="","",IFERROR(INDEX('Lot Balance'!$B$5:$B$500,MATCH(1,INDEX(('Lot Balance'!$A$5:$A$500=$F1012)*('Lot Balance'!$K$5:$K$500&lt;$AK1012)*('Lot Balance'!$K$5:$K$500+'Lot Balance'!$D$5:$D$500&gt;=$AK1012),0),0)),""))</f>
        <v>20-21734-4</v>
      </c>
      <c r="AM1012" s="66" t="str" cm="1">
        <f t="array" ref="AM1012">IF($F1012="","",IFERROR(INDEX('Lot Balance'!$B$5:$B$500,MATCH(1,INDEX(('Lot Balance'!$A$5:$A$500=$F1012)*('Lot Balance'!$K$5:$K$500&lt;$AJ1012)*('Lot Balance'!$K$5:$K$500+'Lot Balance'!$D$5:$D$500&gt;=$AJ1012),0),0)),""))</f>
        <v>20-21734-4</v>
      </c>
      <c r="AN1012" s="66" t="str">
        <f>IF($F1012="","",IF($AI1012&lt;&gt;"",IF(COUNTIFS('Lot Balance'!$A$5:$A$500,$F1012,'Lot Balance'!$B$5:$B$500,$AI1012)=0,"⚠ override is not a lot of this item",IF($AI1012=$AL1012,"Override = FEFO","Override - FEFO says "&amp;$AL1012)),IF($AL1012="","⚠ no receipt on file for this item",IF($AM1012&lt;&gt;$AL1012,"FEFO auto - split, also "&amp;$AM1012,"FEFO auto"))))</f>
        <v>FEFO auto</v>
      </c>
      <c r="AO1012" s="114"/>
    </row>
    <row r="1013" spans="1:41" x14ac:dyDescent="0.35">
      <c r="A1013" s="74">
        <v>46174</v>
      </c>
      <c r="B1013" s="18" t="str">
        <f>IF($C1013="","",IFERROR(INDEX('Staff Directory'!$A$5:$A$594,MATCH($C1013,'Staff Directory'!$B$5:$B$594,0)),"⚠ unknown staff"))</f>
        <v>PSW-130-A6</v>
      </c>
      <c r="C1013" s="49" t="s">
        <v>1109</v>
      </c>
      <c r="D1013" s="19" t="str">
        <f>IF($B1013="","",IFERROR(INDEX('Staff Directory'!$C$5:$C$594,MATCH($B1013,'Staff Directory'!$A$5:$A$594,0)),""))</f>
        <v>PSW</v>
      </c>
      <c r="E1013" s="19" t="str">
        <f>IF($B1013="","",IFERROR(INDEX('Staff Directory'!$D$5:$D$594,MATCH($B1013,'Staff Directory'!$A$5:$A$594,0)),""))</f>
        <v>A6</v>
      </c>
      <c r="F1013" s="9" t="s">
        <v>115</v>
      </c>
      <c r="G1013" s="18" t="str">
        <f>IF($F1013="","",IFERROR(INDEX(Items!$B$5:$B$597,MATCH($F1013,Items!$A$5:$A$597,0)),"⚠ not in Items"))</f>
        <v>Wipes</v>
      </c>
      <c r="H1013" s="19">
        <f>IF($F1013="","",IFERROR(INDEX(Items!$C$5:$C$597,MATCH($F1013,Items!$A$5:$A$597,0)),""))</f>
        <v>80</v>
      </c>
      <c r="I1013" s="23">
        <f>IF($F1013="","",IFERROR(INDEX(Items!$E$5:$E$597,MATCH($F1013,Items!$A$5:$A$597,0)),""))</f>
        <v>80</v>
      </c>
      <c r="J1013" s="115">
        <f>IF(tblIssues[[#This Row],[Qty Override]]&lt;&gt;"",tblIssues[[#This Row],[Qty Override]],IF(tblIssues[[#This Row],[Standard Issue]]="","",tblIssues[[#This Row],[Standard Issue]]))</f>
        <v>80</v>
      </c>
      <c r="K1013" s="20">
        <f>IF($F1013="","",IFERROR(INDEX(Items!$D$5:$D$597,MATCH($F1013,Items!$A$5:$A$597,0)),""))</f>
        <v>0.1</v>
      </c>
      <c r="L1013" s="21">
        <f t="shared" si="173"/>
        <v>8</v>
      </c>
      <c r="M1013" s="9" t="str">
        <f t="shared" si="171"/>
        <v>LYSL500290</v>
      </c>
      <c r="N1013" s="24">
        <f>IF($A1013="","",WORKDAY($A1013,Settings!$C$9,HolidayDates))</f>
        <v>46182</v>
      </c>
      <c r="O1013" s="24">
        <f>IF($N1013="","",WORKDAY($N1013,Settings!$C$10,HolidayDates))</f>
        <v>46220</v>
      </c>
      <c r="P1013" s="10" t="s">
        <v>501</v>
      </c>
      <c r="Q1013" s="52" t="str">
        <f t="shared" si="174"/>
        <v>Collected</v>
      </c>
      <c r="R1013" s="55" t="str">
        <f t="shared" si="175"/>
        <v>2026-06</v>
      </c>
      <c r="S1013" s="55">
        <f>IF(OR($B1013="",$F1013="",$R1013=""),"",SUMIFS(tblIssues[Qty Issued],tblIssues[Staff ID],$B1013,tblIssues[Item Name],$F1013,tblIssues[Month],$R1013))</f>
        <v>80</v>
      </c>
      <c r="T1013" s="56">
        <f>IF($I1013="","",$I1013*Settings!$C$11)</f>
        <v>80</v>
      </c>
      <c r="U1013" s="57" t="str">
        <f t="shared" si="172"/>
        <v>OK</v>
      </c>
      <c r="V1013" s="55" t="str">
        <f t="shared" si="176"/>
        <v/>
      </c>
      <c r="W1013" s="55" t="str">
        <f>IF($V1013="","",IF(COUNTIF($V$5:$V1013,$V1013)=1,1,""))</f>
        <v/>
      </c>
      <c r="X1013" s="58" t="str">
        <f>IF($W1013="","",MAX($X$4:X1012)+1)</f>
        <v/>
      </c>
      <c r="Y1013" s="62"/>
      <c r="Z1013" s="62"/>
      <c r="AA1013" s="64" t="str">
        <f>IF($C1013="","",IFERROR(INDEX('Staff Directory'!$E$5:$E$594,MATCH($C1013,'Staff Directory'!$B$5:$B$594,0)),""))</f>
        <v>firstname193.lastname193@example.com</v>
      </c>
      <c r="AB1013" s="64" t="str">
        <f>IF($C1013="","",IF(ISNUMBER(SEARCH($D1013,Settings!$C$15)),"Pickup","Dispatch"))</f>
        <v>Pickup</v>
      </c>
      <c r="AC1013" s="64" t="str">
        <f t="shared" si="177"/>
        <v>Supply order ready for pickup</v>
      </c>
      <c r="AD1013" s="64" t="str">
        <f t="shared" si="168"/>
        <v>Dear PSW,
Your order is ready for pickup from Sample Branch, Wed-Fri 9am-4pm.</v>
      </c>
      <c r="AE1013" s="64" t="str">
        <f t="shared" si="169"/>
        <v>mailto:firstname193.lastname193@example.com?subject=Supply%20order%20ready%20for%20pickup&amp;body=Dear%20PSW%2C%0A%0AYour%20order%20is%20ready%20for%20pickup%20from%20Sample%20Branch%2C%20Wed-Fri%209am-4pm.</v>
      </c>
      <c r="AF1013" s="89" t="str">
        <f t="shared" si="178"/>
        <v>Draft email</v>
      </c>
      <c r="AG1013" s="64" t="str">
        <f>IF($C1013="","",IFERROR(INDEX('Staff Directory'!$K$595:$K$599,MATCH($C1013,'Staff Directory'!$B$5:$B$599,0)),$D1013))</f>
        <v>PSW</v>
      </c>
      <c r="AH1013" t="str">
        <f>IF($C1013="","",IFERROR(INDEX('Staff Directory'!$I$595:$I$599,MATCH($C1013,'Staff Directory'!$B$5:$B$599,0))&amp;" "&amp;INDEX('Staff Directory'!$J$595:$J$599,MATCH($C1013,'Staff Directory'!$B$5:$B$599,0)),$AG1013))</f>
        <v>PSW</v>
      </c>
      <c r="AI1013" s="102"/>
      <c r="AJ1013" s="101">
        <f>IF($F1013="","",SUMIFS($J$5:$J1013,$F$5:$F1013,$F1013))</f>
        <v>13280</v>
      </c>
      <c r="AK1013" s="101">
        <f t="shared" si="170"/>
        <v>13201</v>
      </c>
      <c r="AL1013" s="66" t="str" cm="1">
        <f t="array" ref="AL1013">IF($F1013="","",IFERROR(INDEX('Lot Balance'!$B$5:$B$500,MATCH(1,INDEX(('Lot Balance'!$A$5:$A$500=$F1013)*('Lot Balance'!$K$5:$K$500&lt;$AK1013)*('Lot Balance'!$K$5:$K$500+'Lot Balance'!$D$5:$D$500&gt;=$AK1013),0),0)),""))</f>
        <v>LYSL500290</v>
      </c>
      <c r="AM1013" s="66" t="str" cm="1">
        <f t="array" ref="AM1013">IF($F1013="","",IFERROR(INDEX('Lot Balance'!$B$5:$B$500,MATCH(1,INDEX(('Lot Balance'!$A$5:$A$500=$F1013)*('Lot Balance'!$K$5:$K$500&lt;$AJ1013)*('Lot Balance'!$K$5:$K$500+'Lot Balance'!$D$5:$D$500&gt;=$AJ1013),0),0)),""))</f>
        <v>LYSL500290</v>
      </c>
      <c r="AN1013" s="66" t="str">
        <f>IF($F1013="","",IF($AI1013&lt;&gt;"",IF(COUNTIFS('Lot Balance'!$A$5:$A$500,$F1013,'Lot Balance'!$B$5:$B$500,$AI1013)=0,"⚠ override is not a lot of this item",IF($AI1013=$AL1013,"Override = FEFO","Override - FEFO says "&amp;$AL1013)),IF($AL1013="","⚠ no receipt on file for this item",IF($AM1013&lt;&gt;$AL1013,"FEFO auto - split, also "&amp;$AM1013,"FEFO auto"))))</f>
        <v>FEFO auto</v>
      </c>
      <c r="AO1013" s="114"/>
    </row>
    <row r="1014" spans="1:41" x14ac:dyDescent="0.35">
      <c r="A1014" s="74">
        <v>46174</v>
      </c>
      <c r="B1014" s="18" t="str">
        <f>IF($C1014="","",IFERROR(INDEX('Staff Directory'!$A$5:$A$594,MATCH($C1014,'Staff Directory'!$B$5:$B$594,0)),"⚠ unknown staff"))</f>
        <v>PSW-130-A6</v>
      </c>
      <c r="C1014" s="49" t="s">
        <v>1109</v>
      </c>
      <c r="D1014" s="19" t="str">
        <f>IF($B1014="","",IFERROR(INDEX('Staff Directory'!$C$5:$C$594,MATCH($B1014,'Staff Directory'!$A$5:$A$594,0)),""))</f>
        <v>PSW</v>
      </c>
      <c r="E1014" s="19" t="str">
        <f>IF($B1014="","",IFERROR(INDEX('Staff Directory'!$D$5:$D$594,MATCH($B1014,'Staff Directory'!$A$5:$A$594,0)),""))</f>
        <v>A6</v>
      </c>
      <c r="F1014" s="9" t="s">
        <v>156</v>
      </c>
      <c r="G1014" s="18" t="str">
        <f>IF($F1014="","",IFERROR(INDEX(Items!$B$5:$B$597,MATCH($F1014,Items!$A$5:$A$597,0)),"⚠ not in Items"))</f>
        <v>Masks</v>
      </c>
      <c r="H1014" s="19" t="str">
        <f>IF($F1014="","",IFERROR(INDEX(Items!$C$5:$C$597,MATCH($F1014,Items!$A$5:$A$597,0)),""))</f>
        <v>One Size</v>
      </c>
      <c r="I1014" s="23">
        <f>IF($F1014="","",IFERROR(INDEX(Items!$E$5:$E$597,MATCH($F1014,Items!$A$5:$A$597,0)),""))</f>
        <v>50</v>
      </c>
      <c r="J1014" s="115">
        <f>IF(tblIssues[[#This Row],[Qty Override]]&lt;&gt;"",tblIssues[[#This Row],[Qty Override]],IF(tblIssues[[#This Row],[Standard Issue]]="","",tblIssues[[#This Row],[Standard Issue]]))</f>
        <v>50</v>
      </c>
      <c r="K1014" s="20">
        <f>IF($F1014="","",IFERROR(INDEX(Items!$D$5:$D$597,MATCH($F1014,Items!$A$5:$A$597,0)),""))</f>
        <v>0.25</v>
      </c>
      <c r="L1014" s="21">
        <f t="shared" si="173"/>
        <v>12.5</v>
      </c>
      <c r="M1014" s="9" t="str">
        <f t="shared" si="171"/>
        <v>0125FPC24-2</v>
      </c>
      <c r="N1014" s="24">
        <f>IF($A1014="","",WORKDAY($A1014,Settings!$C$9,HolidayDates))</f>
        <v>46182</v>
      </c>
      <c r="O1014" s="24">
        <f>IF($N1014="","",WORKDAY($N1014,Settings!$C$10,HolidayDates))</f>
        <v>46220</v>
      </c>
      <c r="P1014" s="10" t="s">
        <v>501</v>
      </c>
      <c r="Q1014" s="52" t="str">
        <f t="shared" si="174"/>
        <v>Collected</v>
      </c>
      <c r="R1014" s="55" t="str">
        <f t="shared" si="175"/>
        <v>2026-06</v>
      </c>
      <c r="S1014" s="55">
        <f>IF(OR($B1014="",$F1014="",$R1014=""),"",SUMIFS(tblIssues[Qty Issued],tblIssues[Staff ID],$B1014,tblIssues[Item Name],$F1014,tblIssues[Month],$R1014))</f>
        <v>50</v>
      </c>
      <c r="T1014" s="56">
        <f>IF($I1014="","",$I1014*Settings!$C$11)</f>
        <v>50</v>
      </c>
      <c r="U1014" s="57" t="str">
        <f t="shared" si="172"/>
        <v>OK</v>
      </c>
      <c r="V1014" s="55" t="str">
        <f t="shared" si="176"/>
        <v/>
      </c>
      <c r="W1014" s="55" t="str">
        <f>IF($V1014="","",IF(COUNTIF($V$5:$V1014,$V1014)=1,1,""))</f>
        <v/>
      </c>
      <c r="X1014" s="58" t="str">
        <f>IF($W1014="","",MAX($X$4:X1013)+1)</f>
        <v/>
      </c>
      <c r="Y1014" s="62"/>
      <c r="Z1014" s="62"/>
      <c r="AA1014" s="64" t="str">
        <f>IF($C1014="","",IFERROR(INDEX('Staff Directory'!$E$5:$E$594,MATCH($C1014,'Staff Directory'!$B$5:$B$594,0)),""))</f>
        <v>firstname193.lastname193@example.com</v>
      </c>
      <c r="AB1014" s="64" t="str">
        <f>IF($C1014="","",IF(ISNUMBER(SEARCH($D1014,Settings!$C$15)),"Pickup","Dispatch"))</f>
        <v>Pickup</v>
      </c>
      <c r="AC1014" s="64" t="str">
        <f t="shared" si="177"/>
        <v>Supply order ready for pickup</v>
      </c>
      <c r="AD1014" s="64" t="str">
        <f t="shared" si="168"/>
        <v>Dear PSW,
Your order is ready for pickup from Sample Branch, Wed-Fri 9am-4pm.</v>
      </c>
      <c r="AE1014" s="64" t="str">
        <f t="shared" si="169"/>
        <v>mailto:firstname193.lastname193@example.com?subject=Supply%20order%20ready%20for%20pickup&amp;body=Dear%20PSW%2C%0A%0AYour%20order%20is%20ready%20for%20pickup%20from%20Sample%20Branch%2C%20Wed-Fri%209am-4pm.</v>
      </c>
      <c r="AF1014" s="89" t="str">
        <f t="shared" si="178"/>
        <v>Draft email</v>
      </c>
      <c r="AG1014" s="64" t="str">
        <f>IF($C1014="","",IFERROR(INDEX('Staff Directory'!$K$595:$K$599,MATCH($C1014,'Staff Directory'!$B$5:$B$599,0)),$D1014))</f>
        <v>PSW</v>
      </c>
      <c r="AH1014" t="str">
        <f>IF($C1014="","",IFERROR(INDEX('Staff Directory'!$I$595:$I$599,MATCH($C1014,'Staff Directory'!$B$5:$B$599,0))&amp;" "&amp;INDEX('Staff Directory'!$J$595:$J$599,MATCH($C1014,'Staff Directory'!$B$5:$B$599,0)),$AG1014))</f>
        <v>PSW</v>
      </c>
      <c r="AI1014" s="102"/>
      <c r="AJ1014" s="101">
        <f>IF($F1014="","",SUMIFS($J$5:$J1014,$F$5:$F1014,$F1014))</f>
        <v>7800</v>
      </c>
      <c r="AK1014" s="101">
        <f t="shared" si="170"/>
        <v>7751</v>
      </c>
      <c r="AL1014" s="66" t="str" cm="1">
        <f t="array" ref="AL1014">IF($F1014="","",IFERROR(INDEX('Lot Balance'!$B$5:$B$500,MATCH(1,INDEX(('Lot Balance'!$A$5:$A$500=$F1014)*('Lot Balance'!$K$5:$K$500&lt;$AK1014)*('Lot Balance'!$K$5:$K$500+'Lot Balance'!$D$5:$D$500&gt;=$AK1014),0),0)),""))</f>
        <v>0125FPC24-2</v>
      </c>
      <c r="AM1014" s="66" t="str" cm="1">
        <f t="array" ref="AM1014">IF($F1014="","",IFERROR(INDEX('Lot Balance'!$B$5:$B$500,MATCH(1,INDEX(('Lot Balance'!$A$5:$A$500=$F1014)*('Lot Balance'!$K$5:$K$500&lt;$AJ1014)*('Lot Balance'!$K$5:$K$500+'Lot Balance'!$D$5:$D$500&gt;=$AJ1014),0),0)),""))</f>
        <v>0125FPC24-2</v>
      </c>
      <c r="AN1014" s="66" t="str">
        <f>IF($F1014="","",IF($AI1014&lt;&gt;"",IF(COUNTIFS('Lot Balance'!$A$5:$A$500,$F1014,'Lot Balance'!$B$5:$B$500,$AI1014)=0,"⚠ override is not a lot of this item",IF($AI1014=$AL1014,"Override = FEFO","Override - FEFO says "&amp;$AL1014)),IF($AL1014="","⚠ no receipt on file for this item",IF($AM1014&lt;&gt;$AL1014,"FEFO auto - split, also "&amp;$AM1014,"FEFO auto"))))</f>
        <v>FEFO auto</v>
      </c>
      <c r="AO1014" s="114"/>
    </row>
    <row r="1015" spans="1:41" x14ac:dyDescent="0.35">
      <c r="A1015" s="74">
        <v>46174</v>
      </c>
      <c r="B1015" s="18" t="str">
        <f>IF($C1015="","",IFERROR(INDEX('Staff Directory'!$A$5:$A$594,MATCH($C1015,'Staff Directory'!$B$5:$B$594,0)),"⚠ unknown staff"))</f>
        <v>PSW-011-A6</v>
      </c>
      <c r="C1015" s="49" t="s">
        <v>987</v>
      </c>
      <c r="D1015" s="19" t="str">
        <f>IF($B1015="","",IFERROR(INDEX('Staff Directory'!$C$5:$C$594,MATCH($B1015,'Staff Directory'!$A$5:$A$594,0)),""))</f>
        <v>PSW</v>
      </c>
      <c r="E1015" s="19" t="str">
        <f>IF($B1015="","",IFERROR(INDEX('Staff Directory'!$D$5:$D$594,MATCH($B1015,'Staff Directory'!$A$5:$A$594,0)),""))</f>
        <v>A6</v>
      </c>
      <c r="F1015" s="9" t="s">
        <v>129</v>
      </c>
      <c r="G1015" s="18" t="str">
        <f>IF($F1015="","",IFERROR(INDEX(Items!$B$5:$B$597,MATCH($F1015,Items!$A$5:$A$597,0)),"⚠ not in Items"))</f>
        <v>Gloves</v>
      </c>
      <c r="H1015" s="19" t="str">
        <f>IF($F1015="","",IFERROR(INDEX(Items!$C$5:$C$597,MATCH($F1015,Items!$A$5:$A$597,0)),""))</f>
        <v>Small</v>
      </c>
      <c r="I1015" s="23">
        <f>IF($F1015="","",IFERROR(INDEX(Items!$E$5:$E$597,MATCH($F1015,Items!$A$5:$A$597,0)),""))</f>
        <v>500</v>
      </c>
      <c r="J1015" s="115">
        <f>IF(tblIssues[[#This Row],[Qty Override]]&lt;&gt;"",tblIssues[[#This Row],[Qty Override]],IF(tblIssues[[#This Row],[Standard Issue]]="","",tblIssues[[#This Row],[Standard Issue]]))</f>
        <v>500</v>
      </c>
      <c r="K1015" s="20">
        <f>IF($F1015="","",IFERROR(INDEX(Items!$D$5:$D$597,MATCH($F1015,Items!$A$5:$A$597,0)),""))</f>
        <v>5.5E-2</v>
      </c>
      <c r="L1015" s="21">
        <f t="shared" si="173"/>
        <v>27.5</v>
      </c>
      <c r="M1015" s="9" t="str">
        <f t="shared" si="171"/>
        <v>ZIM504124207-6</v>
      </c>
      <c r="N1015" s="24">
        <f>IF($A1015="","",WORKDAY($A1015,Settings!$C$9,HolidayDates))</f>
        <v>46182</v>
      </c>
      <c r="O1015" s="24">
        <f>IF($N1015="","",WORKDAY($N1015,Settings!$C$10,HolidayDates))</f>
        <v>46220</v>
      </c>
      <c r="P1015" s="10" t="s">
        <v>501</v>
      </c>
      <c r="Q1015" s="52" t="str">
        <f t="shared" si="174"/>
        <v>Collected</v>
      </c>
      <c r="R1015" s="55" t="str">
        <f t="shared" si="175"/>
        <v>2026-06</v>
      </c>
      <c r="S1015" s="55">
        <f>IF(OR($B1015="",$F1015="",$R1015=""),"",SUMIFS(tblIssues[Qty Issued],tblIssues[Staff ID],$B1015,tblIssues[Item Name],$F1015,tblIssues[Month],$R1015))</f>
        <v>500</v>
      </c>
      <c r="T1015" s="56">
        <f>IF($I1015="","",$I1015*Settings!$C$11)</f>
        <v>500</v>
      </c>
      <c r="U1015" s="57" t="str">
        <f t="shared" si="172"/>
        <v>OK</v>
      </c>
      <c r="V1015" s="55" t="str">
        <f t="shared" si="176"/>
        <v/>
      </c>
      <c r="W1015" s="55" t="str">
        <f>IF($V1015="","",IF(COUNTIF($V$5:$V1015,$V1015)=1,1,""))</f>
        <v/>
      </c>
      <c r="X1015" s="58" t="str">
        <f>IF($W1015="","",MAX($X$4:X1014)+1)</f>
        <v/>
      </c>
      <c r="Y1015" s="62"/>
      <c r="Z1015" s="62"/>
      <c r="AA1015" s="64" t="str">
        <f>IF($C1015="","",IFERROR(INDEX('Staff Directory'!$E$5:$E$594,MATCH($C1015,'Staff Directory'!$B$5:$B$594,0)),""))</f>
        <v>firstname071.lastname071@example.com</v>
      </c>
      <c r="AB1015" s="64" t="str">
        <f>IF($C1015="","",IF(ISNUMBER(SEARCH($D1015,Settings!$C$15)),"Pickup","Dispatch"))</f>
        <v>Pickup</v>
      </c>
      <c r="AC1015" s="64" t="str">
        <f t="shared" si="177"/>
        <v>Supply order ready for pickup</v>
      </c>
      <c r="AD1015" s="64" t="str">
        <f t="shared" si="168"/>
        <v>Dear PSW,
Your order is ready for pickup from Sample Branch, Wed-Fri 9am-4pm.</v>
      </c>
      <c r="AE1015" s="64" t="str">
        <f t="shared" si="169"/>
        <v>mailto:firstname071.lastname071@example.com?subject=Supply%20order%20ready%20for%20pickup&amp;body=Dear%20PSW%2C%0A%0AYour%20order%20is%20ready%20for%20pickup%20from%20Sample%20Branch%2C%20Wed-Fri%209am-4pm.</v>
      </c>
      <c r="AF1015" s="89" t="str">
        <f t="shared" si="178"/>
        <v>Draft email</v>
      </c>
      <c r="AG1015" s="64" t="str">
        <f>IF($C1015="","",IFERROR(INDEX('Staff Directory'!$K$595:$K$599,MATCH($C1015,'Staff Directory'!$B$5:$B$599,0)),$D1015))</f>
        <v>PSW</v>
      </c>
      <c r="AH1015" t="str">
        <f>IF($C1015="","",IFERROR(INDEX('Staff Directory'!$I$595:$I$599,MATCH($C1015,'Staff Directory'!$B$5:$B$599,0))&amp;" "&amp;INDEX('Staff Directory'!$J$595:$J$599,MATCH($C1015,'Staff Directory'!$B$5:$B$599,0)),$AG1015))</f>
        <v>PSW</v>
      </c>
      <c r="AI1015" s="102"/>
      <c r="AJ1015" s="101">
        <f>IF($F1015="","",SUMIFS($J$5:$J1015,$F$5:$F1015,$F1015))</f>
        <v>30500</v>
      </c>
      <c r="AK1015" s="101">
        <f t="shared" si="170"/>
        <v>30001</v>
      </c>
      <c r="AL1015" s="66" t="str" cm="1">
        <f t="array" ref="AL1015">IF($F1015="","",IFERROR(INDEX('Lot Balance'!$B$5:$B$500,MATCH(1,INDEX(('Lot Balance'!$A$5:$A$500=$F1015)*('Lot Balance'!$K$5:$K$500&lt;$AK1015)*('Lot Balance'!$K$5:$K$500+'Lot Balance'!$D$5:$D$500&gt;=$AK1015),0),0)),""))</f>
        <v>ZIM504124207-6</v>
      </c>
      <c r="AM1015" s="66" t="str" cm="1">
        <f t="array" ref="AM1015">IF($F1015="","",IFERROR(INDEX('Lot Balance'!$B$5:$B$500,MATCH(1,INDEX(('Lot Balance'!$A$5:$A$500=$F1015)*('Lot Balance'!$K$5:$K$500&lt;$AJ1015)*('Lot Balance'!$K$5:$K$500+'Lot Balance'!$D$5:$D$500&gt;=$AJ1015),0),0)),""))</f>
        <v>ZIM504124207-6</v>
      </c>
      <c r="AN1015" s="66" t="str">
        <f>IF($F1015="","",IF($AI1015&lt;&gt;"",IF(COUNTIFS('Lot Balance'!$A$5:$A$500,$F1015,'Lot Balance'!$B$5:$B$500,$AI1015)=0,"⚠ override is not a lot of this item",IF($AI1015=$AL1015,"Override = FEFO","Override - FEFO says "&amp;$AL1015)),IF($AL1015="","⚠ no receipt on file for this item",IF($AM1015&lt;&gt;$AL1015,"FEFO auto - split, also "&amp;$AM1015,"FEFO auto"))))</f>
        <v>FEFO auto</v>
      </c>
      <c r="AO1015" s="114"/>
    </row>
    <row r="1016" spans="1:41" x14ac:dyDescent="0.35">
      <c r="A1016" s="74">
        <v>46174</v>
      </c>
      <c r="B1016" s="18" t="str">
        <f>IF($C1016="","",IFERROR(INDEX('Staff Directory'!$A$5:$A$594,MATCH($C1016,'Staff Directory'!$B$5:$B$594,0)),"⚠ unknown staff"))</f>
        <v>PSW-011-A6</v>
      </c>
      <c r="C1016" s="49" t="s">
        <v>987</v>
      </c>
      <c r="D1016" s="19" t="str">
        <f>IF($B1016="","",IFERROR(INDEX('Staff Directory'!$C$5:$C$594,MATCH($B1016,'Staff Directory'!$A$5:$A$594,0)),""))</f>
        <v>PSW</v>
      </c>
      <c r="E1016" s="19" t="str">
        <f>IF($B1016="","",IFERROR(INDEX('Staff Directory'!$D$5:$D$594,MATCH($B1016,'Staff Directory'!$A$5:$A$594,0)),""))</f>
        <v>A6</v>
      </c>
      <c r="F1016" s="9" t="s">
        <v>156</v>
      </c>
      <c r="G1016" s="18" t="str">
        <f>IF($F1016="","",IFERROR(INDEX(Items!$B$5:$B$597,MATCH($F1016,Items!$A$5:$A$597,0)),"⚠ not in Items"))</f>
        <v>Masks</v>
      </c>
      <c r="H1016" s="19" t="str">
        <f>IF($F1016="","",IFERROR(INDEX(Items!$C$5:$C$597,MATCH($F1016,Items!$A$5:$A$597,0)),""))</f>
        <v>One Size</v>
      </c>
      <c r="I1016" s="23">
        <f>IF($F1016="","",IFERROR(INDEX(Items!$E$5:$E$597,MATCH($F1016,Items!$A$5:$A$597,0)),""))</f>
        <v>50</v>
      </c>
      <c r="J1016" s="115">
        <f>IF(tblIssues[[#This Row],[Qty Override]]&lt;&gt;"",tblIssues[[#This Row],[Qty Override]],IF(tblIssues[[#This Row],[Standard Issue]]="","",tblIssues[[#This Row],[Standard Issue]]))</f>
        <v>50</v>
      </c>
      <c r="K1016" s="20">
        <f>IF($F1016="","",IFERROR(INDEX(Items!$D$5:$D$597,MATCH($F1016,Items!$A$5:$A$597,0)),""))</f>
        <v>0.25</v>
      </c>
      <c r="L1016" s="21">
        <f t="shared" si="173"/>
        <v>12.5</v>
      </c>
      <c r="M1016" s="9" t="str">
        <f t="shared" si="171"/>
        <v>0125FPC24-2</v>
      </c>
      <c r="N1016" s="24">
        <f>IF($A1016="","",WORKDAY($A1016,Settings!$C$9,HolidayDates))</f>
        <v>46182</v>
      </c>
      <c r="O1016" s="24">
        <f>IF($N1016="","",WORKDAY($N1016,Settings!$C$10,HolidayDates))</f>
        <v>46220</v>
      </c>
      <c r="P1016" s="10" t="s">
        <v>501</v>
      </c>
      <c r="Q1016" s="52" t="str">
        <f t="shared" si="174"/>
        <v>Collected</v>
      </c>
      <c r="R1016" s="55" t="str">
        <f t="shared" si="175"/>
        <v>2026-06</v>
      </c>
      <c r="S1016" s="55">
        <f>IF(OR($B1016="",$F1016="",$R1016=""),"",SUMIFS(tblIssues[Qty Issued],tblIssues[Staff ID],$B1016,tblIssues[Item Name],$F1016,tblIssues[Month],$R1016))</f>
        <v>50</v>
      </c>
      <c r="T1016" s="56">
        <f>IF($I1016="","",$I1016*Settings!$C$11)</f>
        <v>50</v>
      </c>
      <c r="U1016" s="57" t="str">
        <f t="shared" si="172"/>
        <v>OK</v>
      </c>
      <c r="V1016" s="55" t="str">
        <f t="shared" si="176"/>
        <v/>
      </c>
      <c r="W1016" s="55" t="str">
        <f>IF($V1016="","",IF(COUNTIF($V$5:$V1016,$V1016)=1,1,""))</f>
        <v/>
      </c>
      <c r="X1016" s="58" t="str">
        <f>IF($W1016="","",MAX($X$4:X1015)+1)</f>
        <v/>
      </c>
      <c r="Y1016" s="62"/>
      <c r="Z1016" s="62"/>
      <c r="AA1016" s="64" t="str">
        <f>IF($C1016="","",IFERROR(INDEX('Staff Directory'!$E$5:$E$594,MATCH($C1016,'Staff Directory'!$B$5:$B$594,0)),""))</f>
        <v>firstname071.lastname071@example.com</v>
      </c>
      <c r="AB1016" s="64" t="str">
        <f>IF($C1016="","",IF(ISNUMBER(SEARCH($D1016,Settings!$C$15)),"Pickup","Dispatch"))</f>
        <v>Pickup</v>
      </c>
      <c r="AC1016" s="64" t="str">
        <f t="shared" si="177"/>
        <v>Supply order ready for pickup</v>
      </c>
      <c r="AD1016" s="64" t="str">
        <f t="shared" si="168"/>
        <v>Dear PSW,
Your order is ready for pickup from Sample Branch, Wed-Fri 9am-4pm.</v>
      </c>
      <c r="AE1016" s="64" t="str">
        <f t="shared" si="169"/>
        <v>mailto:firstname071.lastname071@example.com?subject=Supply%20order%20ready%20for%20pickup&amp;body=Dear%20PSW%2C%0A%0AYour%20order%20is%20ready%20for%20pickup%20from%20Sample%20Branch%2C%20Wed-Fri%209am-4pm.</v>
      </c>
      <c r="AF1016" s="89" t="str">
        <f t="shared" si="178"/>
        <v>Draft email</v>
      </c>
      <c r="AG1016" s="64" t="str">
        <f>IF($C1016="","",IFERROR(INDEX('Staff Directory'!$K$595:$K$599,MATCH($C1016,'Staff Directory'!$B$5:$B$599,0)),$D1016))</f>
        <v>PSW</v>
      </c>
      <c r="AH1016" t="str">
        <f>IF($C1016="","",IFERROR(INDEX('Staff Directory'!$I$595:$I$599,MATCH($C1016,'Staff Directory'!$B$5:$B$599,0))&amp;" "&amp;INDEX('Staff Directory'!$J$595:$J$599,MATCH($C1016,'Staff Directory'!$B$5:$B$599,0)),$AG1016))</f>
        <v>PSW</v>
      </c>
      <c r="AI1016" s="102"/>
      <c r="AJ1016" s="101">
        <f>IF($F1016="","",SUMIFS($J$5:$J1016,$F$5:$F1016,$F1016))</f>
        <v>7850</v>
      </c>
      <c r="AK1016" s="101">
        <f t="shared" si="170"/>
        <v>7801</v>
      </c>
      <c r="AL1016" s="66" t="str" cm="1">
        <f t="array" ref="AL1016">IF($F1016="","",IFERROR(INDEX('Lot Balance'!$B$5:$B$500,MATCH(1,INDEX(('Lot Balance'!$A$5:$A$500=$F1016)*('Lot Balance'!$K$5:$K$500&lt;$AK1016)*('Lot Balance'!$K$5:$K$500+'Lot Balance'!$D$5:$D$500&gt;=$AK1016),0),0)),""))</f>
        <v>0125FPC24-2</v>
      </c>
      <c r="AM1016" s="66" t="str" cm="1">
        <f t="array" ref="AM1016">IF($F1016="","",IFERROR(INDEX('Lot Balance'!$B$5:$B$500,MATCH(1,INDEX(('Lot Balance'!$A$5:$A$500=$F1016)*('Lot Balance'!$K$5:$K$500&lt;$AJ1016)*('Lot Balance'!$K$5:$K$500+'Lot Balance'!$D$5:$D$500&gt;=$AJ1016),0),0)),""))</f>
        <v>0125FPC24-2</v>
      </c>
      <c r="AN1016" s="66" t="str">
        <f>IF($F1016="","",IF($AI1016&lt;&gt;"",IF(COUNTIFS('Lot Balance'!$A$5:$A$500,$F1016,'Lot Balance'!$B$5:$B$500,$AI1016)=0,"⚠ override is not a lot of this item",IF($AI1016=$AL1016,"Override = FEFO","Override - FEFO says "&amp;$AL1016)),IF($AL1016="","⚠ no receipt on file for this item",IF($AM1016&lt;&gt;$AL1016,"FEFO auto - split, also "&amp;$AM1016,"FEFO auto"))))</f>
        <v>FEFO auto</v>
      </c>
      <c r="AO1016" s="114"/>
    </row>
    <row r="1017" spans="1:41" x14ac:dyDescent="0.35">
      <c r="A1017" s="74">
        <v>46174</v>
      </c>
      <c r="B1017" s="18" t="str">
        <f>IF($C1017="","",IFERROR(INDEX('Staff Directory'!$A$5:$A$594,MATCH($C1017,'Staff Directory'!$B$5:$B$594,0)),"⚠ unknown staff"))</f>
        <v>PSW-029-A5</v>
      </c>
      <c r="C1017" s="49" t="s">
        <v>1004</v>
      </c>
      <c r="D1017" s="19" t="str">
        <f>IF($B1017="","",IFERROR(INDEX('Staff Directory'!$C$5:$C$594,MATCH($B1017,'Staff Directory'!$A$5:$A$594,0)),""))</f>
        <v>PSW</v>
      </c>
      <c r="E1017" s="19" t="str">
        <f>IF($B1017="","",IFERROR(INDEX('Staff Directory'!$D$5:$D$594,MATCH($B1017,'Staff Directory'!$A$5:$A$594,0)),""))</f>
        <v>A5</v>
      </c>
      <c r="F1017" s="9" t="s">
        <v>127</v>
      </c>
      <c r="G1017" s="18" t="str">
        <f>IF($F1017="","",IFERROR(INDEX(Items!$B$5:$B$597,MATCH($F1017,Items!$A$5:$A$597,0)),"⚠ not in Items"))</f>
        <v>Gloves</v>
      </c>
      <c r="H1017" s="19" t="str">
        <f>IF($F1017="","",IFERROR(INDEX(Items!$C$5:$C$597,MATCH($F1017,Items!$A$5:$A$597,0)),""))</f>
        <v>Medium</v>
      </c>
      <c r="I1017" s="23">
        <f>IF($F1017="","",IFERROR(INDEX(Items!$E$5:$E$597,MATCH($F1017,Items!$A$5:$A$597,0)),""))</f>
        <v>500</v>
      </c>
      <c r="J1017" s="115">
        <f>IF(tblIssues[[#This Row],[Qty Override]]&lt;&gt;"",tblIssues[[#This Row],[Qty Override]],IF(tblIssues[[#This Row],[Standard Issue]]="","",tblIssues[[#This Row],[Standard Issue]]))</f>
        <v>500</v>
      </c>
      <c r="K1017" s="20">
        <f>IF($F1017="","",IFERROR(INDEX(Items!$D$5:$D$597,MATCH($F1017,Items!$A$5:$A$597,0)),""))</f>
        <v>5.5E-2</v>
      </c>
      <c r="L1017" s="21">
        <f t="shared" si="173"/>
        <v>27.5</v>
      </c>
      <c r="M1017" s="9" t="str">
        <f t="shared" si="171"/>
        <v>ZIM510137962-0</v>
      </c>
      <c r="N1017" s="24">
        <f>IF($A1017="","",WORKDAY($A1017,Settings!$C$9,HolidayDates))</f>
        <v>46182</v>
      </c>
      <c r="O1017" s="24">
        <f>IF($N1017="","",WORKDAY($N1017,Settings!$C$10,HolidayDates))</f>
        <v>46220</v>
      </c>
      <c r="P1017" s="10" t="s">
        <v>501</v>
      </c>
      <c r="Q1017" s="52" t="str">
        <f t="shared" si="174"/>
        <v>Collected</v>
      </c>
      <c r="R1017" s="55" t="str">
        <f t="shared" si="175"/>
        <v>2026-06</v>
      </c>
      <c r="S1017" s="55">
        <f>IF(OR($B1017="",$F1017="",$R1017=""),"",SUMIFS(tblIssues[Qty Issued],tblIssues[Staff ID],$B1017,tblIssues[Item Name],$F1017,tblIssues[Month],$R1017))</f>
        <v>500</v>
      </c>
      <c r="T1017" s="56">
        <f>IF($I1017="","",$I1017*Settings!$C$11)</f>
        <v>500</v>
      </c>
      <c r="U1017" s="57" t="str">
        <f t="shared" si="172"/>
        <v>OK</v>
      </c>
      <c r="V1017" s="55" t="str">
        <f t="shared" si="176"/>
        <v/>
      </c>
      <c r="W1017" s="55" t="str">
        <f>IF($V1017="","",IF(COUNTIF($V$5:$V1017,$V1017)=1,1,""))</f>
        <v/>
      </c>
      <c r="X1017" s="58" t="str">
        <f>IF($W1017="","",MAX($X$4:X1016)+1)</f>
        <v/>
      </c>
      <c r="Y1017" s="62"/>
      <c r="Z1017" s="62"/>
      <c r="AA1017" s="64" t="str">
        <f>IF($C1017="","",IFERROR(INDEX('Staff Directory'!$E$5:$E$594,MATCH($C1017,'Staff Directory'!$B$5:$B$594,0)),""))</f>
        <v>firstname088.lastname088@example.com</v>
      </c>
      <c r="AB1017" s="64" t="str">
        <f>IF($C1017="","",IF(ISNUMBER(SEARCH($D1017,Settings!$C$15)),"Pickup","Dispatch"))</f>
        <v>Pickup</v>
      </c>
      <c r="AC1017" s="64" t="str">
        <f t="shared" si="177"/>
        <v>Supply order ready for pickup</v>
      </c>
      <c r="AD1017" s="64" t="str">
        <f t="shared" si="168"/>
        <v>Dear PSW,
Your order is ready for pickup from Sample Branch, Wed-Fri 9am-4pm.</v>
      </c>
      <c r="AE1017" s="64" t="str">
        <f t="shared" si="169"/>
        <v>mailto:firstname088.lastname088@example.com?subject=Supply%20order%20ready%20for%20pickup&amp;body=Dear%20PSW%2C%0A%0AYour%20order%20is%20ready%20for%20pickup%20from%20Sample%20Branch%2C%20Wed-Fri%209am-4pm.</v>
      </c>
      <c r="AF1017" s="89" t="str">
        <f t="shared" si="178"/>
        <v>Draft email</v>
      </c>
      <c r="AG1017" s="64" t="str">
        <f>IF($C1017="","",IFERROR(INDEX('Staff Directory'!$K$595:$K$599,MATCH($C1017,'Staff Directory'!$B$5:$B$599,0)),$D1017))</f>
        <v>PSW</v>
      </c>
      <c r="AH1017" t="str">
        <f>IF($C1017="","",IFERROR(INDEX('Staff Directory'!$I$595:$I$599,MATCH($C1017,'Staff Directory'!$B$5:$B$599,0))&amp;" "&amp;INDEX('Staff Directory'!$J$595:$J$599,MATCH($C1017,'Staff Directory'!$B$5:$B$599,0)),$AG1017))</f>
        <v>PSW</v>
      </c>
      <c r="AI1017" s="102"/>
      <c r="AJ1017" s="101">
        <f>IF($F1017="","",SUMIFS($J$5:$J1017,$F$5:$F1017,$F1017))</f>
        <v>58000</v>
      </c>
      <c r="AK1017" s="101">
        <f t="shared" si="170"/>
        <v>57501</v>
      </c>
      <c r="AL1017" s="66" t="str" cm="1">
        <f t="array" ref="AL1017">IF($F1017="","",IFERROR(INDEX('Lot Balance'!$B$5:$B$500,MATCH(1,INDEX(('Lot Balance'!$A$5:$A$500=$F1017)*('Lot Balance'!$K$5:$K$500&lt;$AK1017)*('Lot Balance'!$K$5:$K$500+'Lot Balance'!$D$5:$D$500&gt;=$AK1017),0),0)),""))</f>
        <v>ZIM510137962-0</v>
      </c>
      <c r="AM1017" s="66" t="str" cm="1">
        <f t="array" ref="AM1017">IF($F1017="","",IFERROR(INDEX('Lot Balance'!$B$5:$B$500,MATCH(1,INDEX(('Lot Balance'!$A$5:$A$500=$F1017)*('Lot Balance'!$K$5:$K$500&lt;$AJ1017)*('Lot Balance'!$K$5:$K$500+'Lot Balance'!$D$5:$D$500&gt;=$AJ1017),0),0)),""))</f>
        <v>ZIM510137962-0</v>
      </c>
      <c r="AN1017" s="66" t="str">
        <f>IF($F1017="","",IF($AI1017&lt;&gt;"",IF(COUNTIFS('Lot Balance'!$A$5:$A$500,$F1017,'Lot Balance'!$B$5:$B$500,$AI1017)=0,"⚠ override is not a lot of this item",IF($AI1017=$AL1017,"Override = FEFO","Override - FEFO says "&amp;$AL1017)),IF($AL1017="","⚠ no receipt on file for this item",IF($AM1017&lt;&gt;$AL1017,"FEFO auto - split, also "&amp;$AM1017,"FEFO auto"))))</f>
        <v>FEFO auto</v>
      </c>
      <c r="AO1017" s="114"/>
    </row>
    <row r="1018" spans="1:41" x14ac:dyDescent="0.35">
      <c r="A1018" s="74">
        <v>46174</v>
      </c>
      <c r="B1018" s="18" t="str">
        <f>IF($C1018="","",IFERROR(INDEX('Staff Directory'!$A$5:$A$594,MATCH($C1018,'Staff Directory'!$B$5:$B$594,0)),"⚠ unknown staff"))</f>
        <v>PSW-029-A5</v>
      </c>
      <c r="C1018" s="49" t="s">
        <v>1004</v>
      </c>
      <c r="D1018" s="19" t="str">
        <f>IF($B1018="","",IFERROR(INDEX('Staff Directory'!$C$5:$C$594,MATCH($B1018,'Staff Directory'!$A$5:$A$594,0)),""))</f>
        <v>PSW</v>
      </c>
      <c r="E1018" s="19" t="str">
        <f>IF($B1018="","",IFERROR(INDEX('Staff Directory'!$D$5:$D$594,MATCH($B1018,'Staff Directory'!$A$5:$A$594,0)),""))</f>
        <v>A5</v>
      </c>
      <c r="F1018" s="9" t="s">
        <v>115</v>
      </c>
      <c r="G1018" s="18" t="str">
        <f>IF($F1018="","",IFERROR(INDEX(Items!$B$5:$B$597,MATCH($F1018,Items!$A$5:$A$597,0)),"⚠ not in Items"))</f>
        <v>Wipes</v>
      </c>
      <c r="H1018" s="19">
        <f>IF($F1018="","",IFERROR(INDEX(Items!$C$5:$C$597,MATCH($F1018,Items!$A$5:$A$597,0)),""))</f>
        <v>80</v>
      </c>
      <c r="I1018" s="23">
        <f>IF($F1018="","",IFERROR(INDEX(Items!$E$5:$E$597,MATCH($F1018,Items!$A$5:$A$597,0)),""))</f>
        <v>80</v>
      </c>
      <c r="J1018" s="115">
        <f>IF(tblIssues[[#This Row],[Qty Override]]&lt;&gt;"",tblIssues[[#This Row],[Qty Override]],IF(tblIssues[[#This Row],[Standard Issue]]="","",tblIssues[[#This Row],[Standard Issue]]))</f>
        <v>80</v>
      </c>
      <c r="K1018" s="20">
        <f>IF($F1018="","",IFERROR(INDEX(Items!$D$5:$D$597,MATCH($F1018,Items!$A$5:$A$597,0)),""))</f>
        <v>0.1</v>
      </c>
      <c r="L1018" s="21">
        <f t="shared" si="173"/>
        <v>8</v>
      </c>
      <c r="M1018" s="9" t="str">
        <f t="shared" si="171"/>
        <v>LYSL500290</v>
      </c>
      <c r="N1018" s="24">
        <f>IF($A1018="","",WORKDAY($A1018,Settings!$C$9,HolidayDates))</f>
        <v>46182</v>
      </c>
      <c r="O1018" s="24">
        <f>IF($N1018="","",WORKDAY($N1018,Settings!$C$10,HolidayDates))</f>
        <v>46220</v>
      </c>
      <c r="P1018" s="10" t="s">
        <v>501</v>
      </c>
      <c r="Q1018" s="52" t="str">
        <f t="shared" si="174"/>
        <v>Collected</v>
      </c>
      <c r="R1018" s="55" t="str">
        <f t="shared" si="175"/>
        <v>2026-06</v>
      </c>
      <c r="S1018" s="55">
        <f>IF(OR($B1018="",$F1018="",$R1018=""),"",SUMIFS(tblIssues[Qty Issued],tblIssues[Staff ID],$B1018,tblIssues[Item Name],$F1018,tblIssues[Month],$R1018))</f>
        <v>80</v>
      </c>
      <c r="T1018" s="56">
        <f>IF($I1018="","",$I1018*Settings!$C$11)</f>
        <v>80</v>
      </c>
      <c r="U1018" s="57" t="str">
        <f t="shared" si="172"/>
        <v>OK</v>
      </c>
      <c r="V1018" s="55" t="str">
        <f t="shared" si="176"/>
        <v/>
      </c>
      <c r="W1018" s="55" t="str">
        <f>IF($V1018="","",IF(COUNTIF($V$5:$V1018,$V1018)=1,1,""))</f>
        <v/>
      </c>
      <c r="X1018" s="58" t="str">
        <f>IF($W1018="","",MAX($X$4:X1017)+1)</f>
        <v/>
      </c>
      <c r="Y1018" s="62"/>
      <c r="Z1018" s="62"/>
      <c r="AA1018" s="64" t="str">
        <f>IF($C1018="","",IFERROR(INDEX('Staff Directory'!$E$5:$E$594,MATCH($C1018,'Staff Directory'!$B$5:$B$594,0)),""))</f>
        <v>firstname088.lastname088@example.com</v>
      </c>
      <c r="AB1018" s="64" t="str">
        <f>IF($C1018="","",IF(ISNUMBER(SEARCH($D1018,Settings!$C$15)),"Pickup","Dispatch"))</f>
        <v>Pickup</v>
      </c>
      <c r="AC1018" s="64" t="str">
        <f t="shared" si="177"/>
        <v>Supply order ready for pickup</v>
      </c>
      <c r="AD1018" s="64" t="str">
        <f t="shared" si="168"/>
        <v>Dear PSW,
Your order is ready for pickup from Sample Branch, Wed-Fri 9am-4pm.</v>
      </c>
      <c r="AE1018" s="64" t="str">
        <f t="shared" si="169"/>
        <v>mailto:firstname088.lastname088@example.com?subject=Supply%20order%20ready%20for%20pickup&amp;body=Dear%20PSW%2C%0A%0AYour%20order%20is%20ready%20for%20pickup%20from%20Sample%20Branch%2C%20Wed-Fri%209am-4pm.</v>
      </c>
      <c r="AF1018" s="89" t="str">
        <f t="shared" si="178"/>
        <v>Draft email</v>
      </c>
      <c r="AG1018" s="64" t="str">
        <f>IF($C1018="","",IFERROR(INDEX('Staff Directory'!$K$595:$K$599,MATCH($C1018,'Staff Directory'!$B$5:$B$599,0)),$D1018))</f>
        <v>PSW</v>
      </c>
      <c r="AH1018" t="str">
        <f>IF($C1018="","",IFERROR(INDEX('Staff Directory'!$I$595:$I$599,MATCH($C1018,'Staff Directory'!$B$5:$B$599,0))&amp;" "&amp;INDEX('Staff Directory'!$J$595:$J$599,MATCH($C1018,'Staff Directory'!$B$5:$B$599,0)),$AG1018))</f>
        <v>PSW</v>
      </c>
      <c r="AI1018" s="102"/>
      <c r="AJ1018" s="101">
        <f>IF($F1018="","",SUMIFS($J$5:$J1018,$F$5:$F1018,$F1018))</f>
        <v>13360</v>
      </c>
      <c r="AK1018" s="101">
        <f t="shared" si="170"/>
        <v>13281</v>
      </c>
      <c r="AL1018" s="66" t="str" cm="1">
        <f t="array" ref="AL1018">IF($F1018="","",IFERROR(INDEX('Lot Balance'!$B$5:$B$500,MATCH(1,INDEX(('Lot Balance'!$A$5:$A$500=$F1018)*('Lot Balance'!$K$5:$K$500&lt;$AK1018)*('Lot Balance'!$K$5:$K$500+'Lot Balance'!$D$5:$D$500&gt;=$AK1018),0),0)),""))</f>
        <v>LYSL500290</v>
      </c>
      <c r="AM1018" s="66" t="str" cm="1">
        <f t="array" ref="AM1018">IF($F1018="","",IFERROR(INDEX('Lot Balance'!$B$5:$B$500,MATCH(1,INDEX(('Lot Balance'!$A$5:$A$500=$F1018)*('Lot Balance'!$K$5:$K$500&lt;$AJ1018)*('Lot Balance'!$K$5:$K$500+'Lot Balance'!$D$5:$D$500&gt;=$AJ1018),0),0)),""))</f>
        <v>LYSL500290</v>
      </c>
      <c r="AN1018" s="66" t="str">
        <f>IF($F1018="","",IF($AI1018&lt;&gt;"",IF(COUNTIFS('Lot Balance'!$A$5:$A$500,$F1018,'Lot Balance'!$B$5:$B$500,$AI1018)=0,"⚠ override is not a lot of this item",IF($AI1018=$AL1018,"Override = FEFO","Override - FEFO says "&amp;$AL1018)),IF($AL1018="","⚠ no receipt on file for this item",IF($AM1018&lt;&gt;$AL1018,"FEFO auto - split, also "&amp;$AM1018,"FEFO auto"))))</f>
        <v>FEFO auto</v>
      </c>
      <c r="AO1018" s="114"/>
    </row>
    <row r="1019" spans="1:41" x14ac:dyDescent="0.35">
      <c r="A1019" s="74">
        <v>46174</v>
      </c>
      <c r="B1019" s="18" t="str">
        <f>IF($C1019="","",IFERROR(INDEX('Staff Directory'!$A$5:$A$594,MATCH($C1019,'Staff Directory'!$B$5:$B$594,0)),"⚠ unknown staff"))</f>
        <v>PSW-029-A5</v>
      </c>
      <c r="C1019" s="49" t="s">
        <v>1004</v>
      </c>
      <c r="D1019" s="19" t="str">
        <f>IF($B1019="","",IFERROR(INDEX('Staff Directory'!$C$5:$C$594,MATCH($B1019,'Staff Directory'!$A$5:$A$594,0)),""))</f>
        <v>PSW</v>
      </c>
      <c r="E1019" s="19" t="str">
        <f>IF($B1019="","",IFERROR(INDEX('Staff Directory'!$D$5:$D$594,MATCH($B1019,'Staff Directory'!$A$5:$A$594,0)),""))</f>
        <v>A5</v>
      </c>
      <c r="F1019" s="9" t="s">
        <v>156</v>
      </c>
      <c r="G1019" s="18" t="str">
        <f>IF($F1019="","",IFERROR(INDEX(Items!$B$5:$B$597,MATCH($F1019,Items!$A$5:$A$597,0)),"⚠ not in Items"))</f>
        <v>Masks</v>
      </c>
      <c r="H1019" s="19" t="str">
        <f>IF($F1019="","",IFERROR(INDEX(Items!$C$5:$C$597,MATCH($F1019,Items!$A$5:$A$597,0)),""))</f>
        <v>One Size</v>
      </c>
      <c r="I1019" s="23">
        <f>IF($F1019="","",IFERROR(INDEX(Items!$E$5:$E$597,MATCH($F1019,Items!$A$5:$A$597,0)),""))</f>
        <v>50</v>
      </c>
      <c r="J1019" s="115">
        <f>IF(tblIssues[[#This Row],[Qty Override]]&lt;&gt;"",tblIssues[[#This Row],[Qty Override]],IF(tblIssues[[#This Row],[Standard Issue]]="","",tblIssues[[#This Row],[Standard Issue]]))</f>
        <v>50</v>
      </c>
      <c r="K1019" s="20">
        <f>IF($F1019="","",IFERROR(INDEX(Items!$D$5:$D$597,MATCH($F1019,Items!$A$5:$A$597,0)),""))</f>
        <v>0.25</v>
      </c>
      <c r="L1019" s="21">
        <f t="shared" si="173"/>
        <v>12.5</v>
      </c>
      <c r="M1019" s="9" t="str">
        <f t="shared" si="171"/>
        <v>0125FPC24-2</v>
      </c>
      <c r="N1019" s="24">
        <f>IF($A1019="","",WORKDAY($A1019,Settings!$C$9,HolidayDates))</f>
        <v>46182</v>
      </c>
      <c r="O1019" s="24">
        <f>IF($N1019="","",WORKDAY($N1019,Settings!$C$10,HolidayDates))</f>
        <v>46220</v>
      </c>
      <c r="P1019" s="10" t="s">
        <v>501</v>
      </c>
      <c r="Q1019" s="52" t="str">
        <f t="shared" si="174"/>
        <v>Collected</v>
      </c>
      <c r="R1019" s="55" t="str">
        <f t="shared" si="175"/>
        <v>2026-06</v>
      </c>
      <c r="S1019" s="55">
        <f>IF(OR($B1019="",$F1019="",$R1019=""),"",SUMIFS(tblIssues[Qty Issued],tblIssues[Staff ID],$B1019,tblIssues[Item Name],$F1019,tblIssues[Month],$R1019))</f>
        <v>50</v>
      </c>
      <c r="T1019" s="56">
        <f>IF($I1019="","",$I1019*Settings!$C$11)</f>
        <v>50</v>
      </c>
      <c r="U1019" s="57" t="str">
        <f t="shared" si="172"/>
        <v>OK</v>
      </c>
      <c r="V1019" s="55" t="str">
        <f t="shared" si="176"/>
        <v/>
      </c>
      <c r="W1019" s="55" t="str">
        <f>IF($V1019="","",IF(COUNTIF($V$5:$V1019,$V1019)=1,1,""))</f>
        <v/>
      </c>
      <c r="X1019" s="58" t="str">
        <f>IF($W1019="","",MAX($X$4:X1018)+1)</f>
        <v/>
      </c>
      <c r="Y1019" s="62"/>
      <c r="Z1019" s="62"/>
      <c r="AA1019" s="64" t="str">
        <f>IF($C1019="","",IFERROR(INDEX('Staff Directory'!$E$5:$E$594,MATCH($C1019,'Staff Directory'!$B$5:$B$594,0)),""))</f>
        <v>firstname088.lastname088@example.com</v>
      </c>
      <c r="AB1019" s="64" t="str">
        <f>IF($C1019="","",IF(ISNUMBER(SEARCH($D1019,Settings!$C$15)),"Pickup","Dispatch"))</f>
        <v>Pickup</v>
      </c>
      <c r="AC1019" s="64" t="str">
        <f t="shared" si="177"/>
        <v>Supply order ready for pickup</v>
      </c>
      <c r="AD1019" s="64" t="str">
        <f t="shared" si="168"/>
        <v>Dear PSW,
Your order is ready for pickup from Sample Branch, Wed-Fri 9am-4pm.</v>
      </c>
      <c r="AE1019" s="64" t="str">
        <f t="shared" si="169"/>
        <v>mailto:firstname088.lastname088@example.com?subject=Supply%20order%20ready%20for%20pickup&amp;body=Dear%20PSW%2C%0A%0AYour%20order%20is%20ready%20for%20pickup%20from%20Sample%20Branch%2C%20Wed-Fri%209am-4pm.</v>
      </c>
      <c r="AF1019" s="89" t="str">
        <f t="shared" si="178"/>
        <v>Draft email</v>
      </c>
      <c r="AG1019" s="64" t="str">
        <f>IF($C1019="","",IFERROR(INDEX('Staff Directory'!$K$595:$K$599,MATCH($C1019,'Staff Directory'!$B$5:$B$599,0)),$D1019))</f>
        <v>PSW</v>
      </c>
      <c r="AH1019" t="str">
        <f>IF($C1019="","",IFERROR(INDEX('Staff Directory'!$I$595:$I$599,MATCH($C1019,'Staff Directory'!$B$5:$B$599,0))&amp;" "&amp;INDEX('Staff Directory'!$J$595:$J$599,MATCH($C1019,'Staff Directory'!$B$5:$B$599,0)),$AG1019))</f>
        <v>PSW</v>
      </c>
      <c r="AI1019" s="102"/>
      <c r="AJ1019" s="101">
        <f>IF($F1019="","",SUMIFS($J$5:$J1019,$F$5:$F1019,$F1019))</f>
        <v>7900</v>
      </c>
      <c r="AK1019" s="101">
        <f t="shared" si="170"/>
        <v>7851</v>
      </c>
      <c r="AL1019" s="66" t="str" cm="1">
        <f t="array" ref="AL1019">IF($F1019="","",IFERROR(INDEX('Lot Balance'!$B$5:$B$500,MATCH(1,INDEX(('Lot Balance'!$A$5:$A$500=$F1019)*('Lot Balance'!$K$5:$K$500&lt;$AK1019)*('Lot Balance'!$K$5:$K$500+'Lot Balance'!$D$5:$D$500&gt;=$AK1019),0),0)),""))</f>
        <v>0125FPC24-2</v>
      </c>
      <c r="AM1019" s="66" t="str" cm="1">
        <f t="array" ref="AM1019">IF($F1019="","",IFERROR(INDEX('Lot Balance'!$B$5:$B$500,MATCH(1,INDEX(('Lot Balance'!$A$5:$A$500=$F1019)*('Lot Balance'!$K$5:$K$500&lt;$AJ1019)*('Lot Balance'!$K$5:$K$500+'Lot Balance'!$D$5:$D$500&gt;=$AJ1019),0),0)),""))</f>
        <v>0125FPC24-2</v>
      </c>
      <c r="AN1019" s="66" t="str">
        <f>IF($F1019="","",IF($AI1019&lt;&gt;"",IF(COUNTIFS('Lot Balance'!$A$5:$A$500,$F1019,'Lot Balance'!$B$5:$B$500,$AI1019)=0,"⚠ override is not a lot of this item",IF($AI1019=$AL1019,"Override = FEFO","Override - FEFO says "&amp;$AL1019)),IF($AL1019="","⚠ no receipt on file for this item",IF($AM1019&lt;&gt;$AL1019,"FEFO auto - split, also "&amp;$AM1019,"FEFO auto"))))</f>
        <v>FEFO auto</v>
      </c>
      <c r="AO1019" s="114"/>
    </row>
    <row r="1020" spans="1:41" x14ac:dyDescent="0.35">
      <c r="A1020" s="74">
        <v>46174</v>
      </c>
      <c r="B1020" s="18" t="str">
        <f>IF($C1020="","",IFERROR(INDEX('Staff Directory'!$A$5:$A$594,MATCH($C1020,'Staff Directory'!$B$5:$B$594,0)),"⚠ unknown staff"))</f>
        <v>PSW-029-A5</v>
      </c>
      <c r="C1020" s="49" t="s">
        <v>1004</v>
      </c>
      <c r="D1020" s="19" t="str">
        <f>IF($B1020="","",IFERROR(INDEX('Staff Directory'!$C$5:$C$594,MATCH($B1020,'Staff Directory'!$A$5:$A$594,0)),""))</f>
        <v>PSW</v>
      </c>
      <c r="E1020" s="19" t="str">
        <f>IF($B1020="","",IFERROR(INDEX('Staff Directory'!$D$5:$D$594,MATCH($B1020,'Staff Directory'!$A$5:$A$594,0)),""))</f>
        <v>A5</v>
      </c>
      <c r="F1020" s="9" t="s">
        <v>102</v>
      </c>
      <c r="G1020" s="18" t="str">
        <f>IF($F1020="","",IFERROR(INDEX(Items!$B$5:$B$597,MATCH($F1020,Items!$A$5:$A$597,0)),"⚠ not in Items"))</f>
        <v>Masks</v>
      </c>
      <c r="H1020" s="19" t="str">
        <f>IF($F1020="","",IFERROR(INDEX(Items!$C$5:$C$597,MATCH($F1020,Items!$A$5:$A$597,0)),""))</f>
        <v>One Size</v>
      </c>
      <c r="I1020" s="23">
        <f>IF($F1020="","",IFERROR(INDEX(Items!$E$5:$E$597,MATCH($F1020,Items!$A$5:$A$597,0)),""))</f>
        <v>5</v>
      </c>
      <c r="J1020" s="115">
        <f>IF(tblIssues[[#This Row],[Qty Override]]&lt;&gt;"",tblIssues[[#This Row],[Qty Override]],IF(tblIssues[[#This Row],[Standard Issue]]="","",tblIssues[[#This Row],[Standard Issue]]))</f>
        <v>5</v>
      </c>
      <c r="K1020" s="20">
        <f>IF($F1020="","",IFERROR(INDEX(Items!$D$5:$D$597,MATCH($F1020,Items!$A$5:$A$597,0)),""))</f>
        <v>2.0499999999999998</v>
      </c>
      <c r="L1020" s="21">
        <f t="shared" si="173"/>
        <v>10.25</v>
      </c>
      <c r="M1020" s="9" t="str">
        <f t="shared" si="171"/>
        <v>N955003715</v>
      </c>
      <c r="N1020" s="24">
        <f>IF($A1020="","",WORKDAY($A1020,Settings!$C$9,HolidayDates))</f>
        <v>46182</v>
      </c>
      <c r="O1020" s="24">
        <f>IF($N1020="","",WORKDAY($N1020,Settings!$C$10,HolidayDates))</f>
        <v>46220</v>
      </c>
      <c r="P1020" s="10" t="s">
        <v>501</v>
      </c>
      <c r="Q1020" s="52" t="str">
        <f t="shared" si="174"/>
        <v>Collected</v>
      </c>
      <c r="R1020" s="55" t="str">
        <f t="shared" si="175"/>
        <v>2026-06</v>
      </c>
      <c r="S1020" s="55">
        <f>IF(OR($B1020="",$F1020="",$R1020=""),"",SUMIFS(tblIssues[Qty Issued],tblIssues[Staff ID],$B1020,tblIssues[Item Name],$F1020,tblIssues[Month],$R1020))</f>
        <v>5</v>
      </c>
      <c r="T1020" s="56">
        <f>IF($I1020="","",$I1020*Settings!$C$11)</f>
        <v>5</v>
      </c>
      <c r="U1020" s="57" t="str">
        <f t="shared" si="172"/>
        <v>OK</v>
      </c>
      <c r="V1020" s="55" t="str">
        <f t="shared" si="176"/>
        <v/>
      </c>
      <c r="W1020" s="55" t="str">
        <f>IF($V1020="","",IF(COUNTIF($V$5:$V1020,$V1020)=1,1,""))</f>
        <v/>
      </c>
      <c r="X1020" s="58" t="str">
        <f>IF($W1020="","",MAX($X$4:X1019)+1)</f>
        <v/>
      </c>
      <c r="Y1020" s="62"/>
      <c r="Z1020" s="62"/>
      <c r="AA1020" s="64" t="str">
        <f>IF($C1020="","",IFERROR(INDEX('Staff Directory'!$E$5:$E$594,MATCH($C1020,'Staff Directory'!$B$5:$B$594,0)),""))</f>
        <v>firstname088.lastname088@example.com</v>
      </c>
      <c r="AB1020" s="64" t="str">
        <f>IF($C1020="","",IF(ISNUMBER(SEARCH($D1020,Settings!$C$15)),"Pickup","Dispatch"))</f>
        <v>Pickup</v>
      </c>
      <c r="AC1020" s="64" t="str">
        <f t="shared" si="177"/>
        <v>Supply order ready for pickup</v>
      </c>
      <c r="AD1020" s="64" t="str">
        <f t="shared" si="168"/>
        <v>Dear PSW,
Your order is ready for pickup from Sample Branch, Wed-Fri 9am-4pm.</v>
      </c>
      <c r="AE1020" s="64" t="str">
        <f t="shared" si="169"/>
        <v>mailto:firstname088.lastname088@example.com?subject=Supply%20order%20ready%20for%20pickup&amp;body=Dear%20PSW%2C%0A%0AYour%20order%20is%20ready%20for%20pickup%20from%20Sample%20Branch%2C%20Wed-Fri%209am-4pm.</v>
      </c>
      <c r="AF1020" s="89" t="str">
        <f t="shared" si="178"/>
        <v>Draft email</v>
      </c>
      <c r="AG1020" s="64" t="str">
        <f>IF($C1020="","",IFERROR(INDEX('Staff Directory'!$K$595:$K$599,MATCH($C1020,'Staff Directory'!$B$5:$B$599,0)),$D1020))</f>
        <v>PSW</v>
      </c>
      <c r="AH1020" t="str">
        <f>IF($C1020="","",IFERROR(INDEX('Staff Directory'!$I$595:$I$599,MATCH($C1020,'Staff Directory'!$B$5:$B$599,0))&amp;" "&amp;INDEX('Staff Directory'!$J$595:$J$599,MATCH($C1020,'Staff Directory'!$B$5:$B$599,0)),$AG1020))</f>
        <v>PSW</v>
      </c>
      <c r="AI1020" s="102"/>
      <c r="AJ1020" s="101">
        <f>IF($F1020="","",SUMIFS($J$5:$J1020,$F$5:$F1020,$F1020))</f>
        <v>15</v>
      </c>
      <c r="AK1020" s="101">
        <f t="shared" si="170"/>
        <v>11</v>
      </c>
      <c r="AL1020" s="66" t="str" cm="1">
        <f t="array" ref="AL1020">IF($F1020="","",IFERROR(INDEX('Lot Balance'!$B$5:$B$500,MATCH(1,INDEX(('Lot Balance'!$A$5:$A$500=$F1020)*('Lot Balance'!$K$5:$K$500&lt;$AK1020)*('Lot Balance'!$K$5:$K$500+'Lot Balance'!$D$5:$D$500&gt;=$AK1020),0),0)),""))</f>
        <v>N955003715</v>
      </c>
      <c r="AM1020" s="66" t="str" cm="1">
        <f t="array" ref="AM1020">IF($F1020="","",IFERROR(INDEX('Lot Balance'!$B$5:$B$500,MATCH(1,INDEX(('Lot Balance'!$A$5:$A$500=$F1020)*('Lot Balance'!$K$5:$K$500&lt;$AJ1020)*('Lot Balance'!$K$5:$K$500+'Lot Balance'!$D$5:$D$500&gt;=$AJ1020),0),0)),""))</f>
        <v>N955003715</v>
      </c>
      <c r="AN1020" s="66" t="str">
        <f>IF($F1020="","",IF($AI1020&lt;&gt;"",IF(COUNTIFS('Lot Balance'!$A$5:$A$500,$F1020,'Lot Balance'!$B$5:$B$500,$AI1020)=0,"⚠ override is not a lot of this item",IF($AI1020=$AL1020,"Override = FEFO","Override - FEFO says "&amp;$AL1020)),IF($AL1020="","⚠ no receipt on file for this item",IF($AM1020&lt;&gt;$AL1020,"FEFO auto - split, also "&amp;$AM1020,"FEFO auto"))))</f>
        <v>FEFO auto</v>
      </c>
      <c r="AO1020" s="114"/>
    </row>
    <row r="1021" spans="1:41" x14ac:dyDescent="0.35">
      <c r="A1021" s="74">
        <v>46174</v>
      </c>
      <c r="B1021" s="18" t="str">
        <f>IF($C1021="","",IFERROR(INDEX('Staff Directory'!$A$5:$A$594,MATCH($C1021,'Staff Directory'!$B$5:$B$594,0)),"⚠ unknown staff"))</f>
        <v>PSW-175-TBD</v>
      </c>
      <c r="C1021" s="49" t="s">
        <v>1154</v>
      </c>
      <c r="D1021" s="19" t="str">
        <f>IF($B1021="","",IFERROR(INDEX('Staff Directory'!$C$5:$C$594,MATCH($B1021,'Staff Directory'!$A$5:$A$594,0)),""))</f>
        <v>PSW</v>
      </c>
      <c r="E1021" s="19">
        <f>IF($B1021="","",IFERROR(INDEX('Staff Directory'!$D$5:$D$594,MATCH($B1021,'Staff Directory'!$A$5:$A$594,0)),""))</f>
        <v>0</v>
      </c>
      <c r="F1021" s="9" t="s">
        <v>124</v>
      </c>
      <c r="G1021" s="18" t="str">
        <f>IF($F1021="","",IFERROR(INDEX(Items!$B$5:$B$597,MATCH($F1021,Items!$A$5:$A$597,0)),"⚠ not in Items"))</f>
        <v>Gloves</v>
      </c>
      <c r="H1021" s="19" t="str">
        <f>IF($F1021="","",IFERROR(INDEX(Items!$C$5:$C$597,MATCH($F1021,Items!$A$5:$A$597,0)),""))</f>
        <v>Large</v>
      </c>
      <c r="I1021" s="23">
        <f>IF($F1021="","",IFERROR(INDEX(Items!$E$5:$E$597,MATCH($F1021,Items!$A$5:$A$597,0)),""))</f>
        <v>500</v>
      </c>
      <c r="J1021" s="115">
        <f>IF(tblIssues[[#This Row],[Qty Override]]&lt;&gt;"",tblIssues[[#This Row],[Qty Override]],IF(tblIssues[[#This Row],[Standard Issue]]="","",tblIssues[[#This Row],[Standard Issue]]))</f>
        <v>500</v>
      </c>
      <c r="K1021" s="20">
        <f>IF($F1021="","",IFERROR(INDEX(Items!$D$5:$D$597,MATCH($F1021,Items!$A$5:$A$597,0)),""))</f>
        <v>5.5E-2</v>
      </c>
      <c r="L1021" s="21">
        <f t="shared" si="173"/>
        <v>27.5</v>
      </c>
      <c r="M1021" s="9" t="str">
        <f t="shared" si="171"/>
        <v>O16705</v>
      </c>
      <c r="N1021" s="24">
        <f>IF($A1021="","",WORKDAY($A1021,Settings!$C$9,HolidayDates))</f>
        <v>46182</v>
      </c>
      <c r="O1021" s="24">
        <f>IF($N1021="","",WORKDAY($N1021,Settings!$C$10,HolidayDates))</f>
        <v>46220</v>
      </c>
      <c r="P1021" s="10" t="s">
        <v>501</v>
      </c>
      <c r="Q1021" s="52" t="str">
        <f t="shared" si="174"/>
        <v>Collected</v>
      </c>
      <c r="R1021" s="55" t="str">
        <f t="shared" si="175"/>
        <v>2026-06</v>
      </c>
      <c r="S1021" s="55">
        <f>IF(OR($B1021="",$F1021="",$R1021=""),"",SUMIFS(tblIssues[Qty Issued],tblIssues[Staff ID],$B1021,tblIssues[Item Name],$F1021,tblIssues[Month],$R1021))</f>
        <v>500</v>
      </c>
      <c r="T1021" s="56">
        <f>IF($I1021="","",$I1021*Settings!$C$11)</f>
        <v>500</v>
      </c>
      <c r="U1021" s="57" t="str">
        <f t="shared" si="172"/>
        <v>OK</v>
      </c>
      <c r="V1021" s="55" t="str">
        <f t="shared" si="176"/>
        <v/>
      </c>
      <c r="W1021" s="55" t="str">
        <f>IF($V1021="","",IF(COUNTIF($V$5:$V1021,$V1021)=1,1,""))</f>
        <v/>
      </c>
      <c r="X1021" s="58" t="str">
        <f>IF($W1021="","",MAX($X$4:X1020)+1)</f>
        <v/>
      </c>
      <c r="Y1021" s="62"/>
      <c r="Z1021" s="62"/>
      <c r="AA1021" s="64" t="str">
        <f>IF($C1021="","",IFERROR(INDEX('Staff Directory'!$E$5:$E$594,MATCH($C1021,'Staff Directory'!$B$5:$B$594,0)),""))</f>
        <v>firstname238.lastname238@example.com</v>
      </c>
      <c r="AB1021" s="64" t="str">
        <f>IF($C1021="","",IF(ISNUMBER(SEARCH($D1021,Settings!$C$15)),"Pickup","Dispatch"))</f>
        <v>Pickup</v>
      </c>
      <c r="AC1021" s="64" t="str">
        <f t="shared" si="177"/>
        <v>Supply order ready for pickup</v>
      </c>
      <c r="AD1021" s="64" t="str">
        <f t="shared" si="168"/>
        <v>Dear PSW,
Your order is ready for pickup from Sample Branch, Wed-Fri 9am-4pm.</v>
      </c>
      <c r="AE1021" s="64" t="str">
        <f t="shared" si="169"/>
        <v>mailto:firstname238.lastname238@example.com?subject=Supply%20order%20ready%20for%20pickup&amp;body=Dear%20PSW%2C%0A%0AYour%20order%20is%20ready%20for%20pickup%20from%20Sample%20Branch%2C%20Wed-Fri%209am-4pm.</v>
      </c>
      <c r="AF1021" s="89" t="str">
        <f t="shared" si="178"/>
        <v>Draft email</v>
      </c>
      <c r="AG1021" s="64" t="str">
        <f>IF($C1021="","",IFERROR(INDEX('Staff Directory'!$K$595:$K$599,MATCH($C1021,'Staff Directory'!$B$5:$B$599,0)),$D1021))</f>
        <v>PSW</v>
      </c>
      <c r="AH1021" t="str">
        <f>IF($C1021="","",IFERROR(INDEX('Staff Directory'!$I$595:$I$599,MATCH($C1021,'Staff Directory'!$B$5:$B$599,0))&amp;" "&amp;INDEX('Staff Directory'!$J$595:$J$599,MATCH($C1021,'Staff Directory'!$B$5:$B$599,0)),$AG1021))</f>
        <v>PSW</v>
      </c>
      <c r="AI1021" s="102"/>
      <c r="AJ1021" s="101">
        <f>IF($F1021="","",SUMIFS($J$5:$J1021,$F$5:$F1021,$F1021))</f>
        <v>27500</v>
      </c>
      <c r="AK1021" s="101">
        <f t="shared" si="170"/>
        <v>27001</v>
      </c>
      <c r="AL1021" s="66" t="str" cm="1">
        <f t="array" ref="AL1021">IF($F1021="","",IFERROR(INDEX('Lot Balance'!$B$5:$B$500,MATCH(1,INDEX(('Lot Balance'!$A$5:$A$500=$F1021)*('Lot Balance'!$K$5:$K$500&lt;$AK1021)*('Lot Balance'!$K$5:$K$500+'Lot Balance'!$D$5:$D$500&gt;=$AK1021),0),0)),""))</f>
        <v>O16705</v>
      </c>
      <c r="AM1021" s="66" t="str" cm="1">
        <f t="array" ref="AM1021">IF($F1021="","",IFERROR(INDEX('Lot Balance'!$B$5:$B$500,MATCH(1,INDEX(('Lot Balance'!$A$5:$A$500=$F1021)*('Lot Balance'!$K$5:$K$500&lt;$AJ1021)*('Lot Balance'!$K$5:$K$500+'Lot Balance'!$D$5:$D$500&gt;=$AJ1021),0),0)),""))</f>
        <v>O16705</v>
      </c>
      <c r="AN1021" s="66" t="str">
        <f>IF($F1021="","",IF($AI1021&lt;&gt;"",IF(COUNTIFS('Lot Balance'!$A$5:$A$500,$F1021,'Lot Balance'!$B$5:$B$500,$AI1021)=0,"⚠ override is not a lot of this item",IF($AI1021=$AL1021,"Override = FEFO","Override - FEFO says "&amp;$AL1021)),IF($AL1021="","⚠ no receipt on file for this item",IF($AM1021&lt;&gt;$AL1021,"FEFO auto - split, also "&amp;$AM1021,"FEFO auto"))))</f>
        <v>FEFO auto</v>
      </c>
      <c r="AO1021" s="114"/>
    </row>
    <row r="1022" spans="1:41" x14ac:dyDescent="0.35">
      <c r="A1022" s="74">
        <v>46174</v>
      </c>
      <c r="B1022" s="18" t="str">
        <f>IF($C1022="","",IFERROR(INDEX('Staff Directory'!$A$5:$A$594,MATCH($C1022,'Staff Directory'!$B$5:$B$594,0)),"⚠ unknown staff"))</f>
        <v>PSW-175-TBD</v>
      </c>
      <c r="C1022" s="49" t="s">
        <v>1154</v>
      </c>
      <c r="D1022" s="19" t="str">
        <f>IF($B1022="","",IFERROR(INDEX('Staff Directory'!$C$5:$C$594,MATCH($B1022,'Staff Directory'!$A$5:$A$594,0)),""))</f>
        <v>PSW</v>
      </c>
      <c r="E1022" s="19">
        <f>IF($B1022="","",IFERROR(INDEX('Staff Directory'!$D$5:$D$594,MATCH($B1022,'Staff Directory'!$A$5:$A$594,0)),""))</f>
        <v>0</v>
      </c>
      <c r="F1022" s="9" t="s">
        <v>191</v>
      </c>
      <c r="G1022" s="18" t="str">
        <f>IF($F1022="","",IFERROR(INDEX(Items!$B$5:$B$597,MATCH($F1022,Items!$A$5:$A$597,0)),"⚠ not in Items"))</f>
        <v>Sanitizer</v>
      </c>
      <c r="H1022" s="19" t="str">
        <f>IF($F1022="","",IFERROR(INDEX(Items!$C$5:$C$597,MATCH($F1022,Items!$A$5:$A$597,0)),""))</f>
        <v>236 ML</v>
      </c>
      <c r="I1022" s="23">
        <f>IF($F1022="","",IFERROR(INDEX(Items!$E$5:$E$597,MATCH($F1022,Items!$A$5:$A$597,0)),""))</f>
        <v>1</v>
      </c>
      <c r="J1022" s="115">
        <f>IF(tblIssues[[#This Row],[Qty Override]]&lt;&gt;"",tblIssues[[#This Row],[Qty Override]],IF(tblIssues[[#This Row],[Standard Issue]]="","",tblIssues[[#This Row],[Standard Issue]]))</f>
        <v>1</v>
      </c>
      <c r="K1022" s="20">
        <f>IF($F1022="","",IFERROR(INDEX(Items!$D$5:$D$597,MATCH($F1022,Items!$A$5:$A$597,0)),""))</f>
        <v>1E-4</v>
      </c>
      <c r="L1022" s="21">
        <f t="shared" si="173"/>
        <v>1E-4</v>
      </c>
      <c r="M1022" s="9" t="str">
        <f t="shared" si="171"/>
        <v>20-21734-4</v>
      </c>
      <c r="N1022" s="24">
        <f>IF($A1022="","",WORKDAY($A1022,Settings!$C$9,HolidayDates))</f>
        <v>46182</v>
      </c>
      <c r="O1022" s="24">
        <f>IF($N1022="","",WORKDAY($N1022,Settings!$C$10,HolidayDates))</f>
        <v>46220</v>
      </c>
      <c r="P1022" s="10" t="s">
        <v>501</v>
      </c>
      <c r="Q1022" s="52" t="str">
        <f t="shared" si="174"/>
        <v>Collected</v>
      </c>
      <c r="R1022" s="55" t="str">
        <f t="shared" si="175"/>
        <v>2026-06</v>
      </c>
      <c r="S1022" s="55">
        <f>IF(OR($B1022="",$F1022="",$R1022=""),"",SUMIFS(tblIssues[Qty Issued],tblIssues[Staff ID],$B1022,tblIssues[Item Name],$F1022,tblIssues[Month],$R1022))</f>
        <v>1</v>
      </c>
      <c r="T1022" s="56">
        <f>IF($I1022="","",$I1022*Settings!$C$11)</f>
        <v>1</v>
      </c>
      <c r="U1022" s="57" t="str">
        <f t="shared" si="172"/>
        <v>OK</v>
      </c>
      <c r="V1022" s="55" t="str">
        <f t="shared" si="176"/>
        <v/>
      </c>
      <c r="W1022" s="55" t="str">
        <f>IF($V1022="","",IF(COUNTIF($V$5:$V1022,$V1022)=1,1,""))</f>
        <v/>
      </c>
      <c r="X1022" s="58" t="str">
        <f>IF($W1022="","",MAX($X$4:X1021)+1)</f>
        <v/>
      </c>
      <c r="Y1022" s="62"/>
      <c r="Z1022" s="62"/>
      <c r="AA1022" s="64" t="str">
        <f>IF($C1022="","",IFERROR(INDEX('Staff Directory'!$E$5:$E$594,MATCH($C1022,'Staff Directory'!$B$5:$B$594,0)),""))</f>
        <v>firstname238.lastname238@example.com</v>
      </c>
      <c r="AB1022" s="64" t="str">
        <f>IF($C1022="","",IF(ISNUMBER(SEARCH($D1022,Settings!$C$15)),"Pickup","Dispatch"))</f>
        <v>Pickup</v>
      </c>
      <c r="AC1022" s="64" t="str">
        <f t="shared" si="177"/>
        <v>Supply order ready for pickup</v>
      </c>
      <c r="AD1022" s="64" t="str">
        <f t="shared" si="168"/>
        <v>Dear PSW,
Your order is ready for pickup from Sample Branch, Wed-Fri 9am-4pm.</v>
      </c>
      <c r="AE1022" s="64" t="str">
        <f t="shared" si="169"/>
        <v>mailto:firstname238.lastname238@example.com?subject=Supply%20order%20ready%20for%20pickup&amp;body=Dear%20PSW%2C%0A%0AYour%20order%20is%20ready%20for%20pickup%20from%20Sample%20Branch%2C%20Wed-Fri%209am-4pm.</v>
      </c>
      <c r="AF1022" s="89" t="str">
        <f t="shared" si="178"/>
        <v>Draft email</v>
      </c>
      <c r="AG1022" s="64" t="str">
        <f>IF($C1022="","",IFERROR(INDEX('Staff Directory'!$K$595:$K$599,MATCH($C1022,'Staff Directory'!$B$5:$B$599,0)),$D1022))</f>
        <v>PSW</v>
      </c>
      <c r="AH1022" t="str">
        <f>IF($C1022="","",IFERROR(INDEX('Staff Directory'!$I$595:$I$599,MATCH($C1022,'Staff Directory'!$B$5:$B$599,0))&amp;" "&amp;INDEX('Staff Directory'!$J$595:$J$599,MATCH($C1022,'Staff Directory'!$B$5:$B$599,0)),$AG1022))</f>
        <v>PSW</v>
      </c>
      <c r="AI1022" s="102"/>
      <c r="AJ1022" s="101">
        <f>IF($F1022="","",SUMIFS($J$5:$J1022,$F$5:$F1022,$F1022))</f>
        <v>116</v>
      </c>
      <c r="AK1022" s="101">
        <f t="shared" si="170"/>
        <v>116</v>
      </c>
      <c r="AL1022" s="66" t="str" cm="1">
        <f t="array" ref="AL1022">IF($F1022="","",IFERROR(INDEX('Lot Balance'!$B$5:$B$500,MATCH(1,INDEX(('Lot Balance'!$A$5:$A$500=$F1022)*('Lot Balance'!$K$5:$K$500&lt;$AK1022)*('Lot Balance'!$K$5:$K$500+'Lot Balance'!$D$5:$D$500&gt;=$AK1022),0),0)),""))</f>
        <v>20-21734-4</v>
      </c>
      <c r="AM1022" s="66" t="str" cm="1">
        <f t="array" ref="AM1022">IF($F1022="","",IFERROR(INDEX('Lot Balance'!$B$5:$B$500,MATCH(1,INDEX(('Lot Balance'!$A$5:$A$500=$F1022)*('Lot Balance'!$K$5:$K$500&lt;$AJ1022)*('Lot Balance'!$K$5:$K$500+'Lot Balance'!$D$5:$D$500&gt;=$AJ1022),0),0)),""))</f>
        <v>20-21734-4</v>
      </c>
      <c r="AN1022" s="66" t="str">
        <f>IF($F1022="","",IF($AI1022&lt;&gt;"",IF(COUNTIFS('Lot Balance'!$A$5:$A$500,$F1022,'Lot Balance'!$B$5:$B$500,$AI1022)=0,"⚠ override is not a lot of this item",IF($AI1022=$AL1022,"Override = FEFO","Override - FEFO says "&amp;$AL1022)),IF($AL1022="","⚠ no receipt on file for this item",IF($AM1022&lt;&gt;$AL1022,"FEFO auto - split, also "&amp;$AM1022,"FEFO auto"))))</f>
        <v>FEFO auto</v>
      </c>
      <c r="AO1022" s="114"/>
    </row>
    <row r="1023" spans="1:41" x14ac:dyDescent="0.35">
      <c r="A1023" s="74">
        <v>46174</v>
      </c>
      <c r="B1023" s="18" t="str">
        <f>IF($C1023="","",IFERROR(INDEX('Staff Directory'!$A$5:$A$594,MATCH($C1023,'Staff Directory'!$B$5:$B$594,0)),"⚠ unknown staff"))</f>
        <v>PSW-175-TBD</v>
      </c>
      <c r="C1023" s="49" t="s">
        <v>1154</v>
      </c>
      <c r="D1023" s="19" t="str">
        <f>IF($B1023="","",IFERROR(INDEX('Staff Directory'!$C$5:$C$594,MATCH($B1023,'Staff Directory'!$A$5:$A$594,0)),""))</f>
        <v>PSW</v>
      </c>
      <c r="E1023" s="19">
        <f>IF($B1023="","",IFERROR(INDEX('Staff Directory'!$D$5:$D$594,MATCH($B1023,'Staff Directory'!$A$5:$A$594,0)),""))</f>
        <v>0</v>
      </c>
      <c r="F1023" s="9" t="s">
        <v>115</v>
      </c>
      <c r="G1023" s="18" t="str">
        <f>IF($F1023="","",IFERROR(INDEX(Items!$B$5:$B$597,MATCH($F1023,Items!$A$5:$A$597,0)),"⚠ not in Items"))</f>
        <v>Wipes</v>
      </c>
      <c r="H1023" s="19">
        <f>IF($F1023="","",IFERROR(INDEX(Items!$C$5:$C$597,MATCH($F1023,Items!$A$5:$A$597,0)),""))</f>
        <v>80</v>
      </c>
      <c r="I1023" s="23">
        <f>IF($F1023="","",IFERROR(INDEX(Items!$E$5:$E$597,MATCH($F1023,Items!$A$5:$A$597,0)),""))</f>
        <v>80</v>
      </c>
      <c r="J1023" s="115">
        <f>IF(tblIssues[[#This Row],[Qty Override]]&lt;&gt;"",tblIssues[[#This Row],[Qty Override]],IF(tblIssues[[#This Row],[Standard Issue]]="","",tblIssues[[#This Row],[Standard Issue]]))</f>
        <v>80</v>
      </c>
      <c r="K1023" s="20">
        <f>IF($F1023="","",IFERROR(INDEX(Items!$D$5:$D$597,MATCH($F1023,Items!$A$5:$A$597,0)),""))</f>
        <v>0.1</v>
      </c>
      <c r="L1023" s="21">
        <f t="shared" si="173"/>
        <v>8</v>
      </c>
      <c r="M1023" s="9" t="str">
        <f t="shared" si="171"/>
        <v>LYSL500290</v>
      </c>
      <c r="N1023" s="24">
        <f>IF($A1023="","",WORKDAY($A1023,Settings!$C$9,HolidayDates))</f>
        <v>46182</v>
      </c>
      <c r="O1023" s="24">
        <f>IF($N1023="","",WORKDAY($N1023,Settings!$C$10,HolidayDates))</f>
        <v>46220</v>
      </c>
      <c r="P1023" s="10" t="s">
        <v>501</v>
      </c>
      <c r="Q1023" s="52" t="str">
        <f t="shared" si="174"/>
        <v>Collected</v>
      </c>
      <c r="R1023" s="55" t="str">
        <f t="shared" si="175"/>
        <v>2026-06</v>
      </c>
      <c r="S1023" s="55">
        <f>IF(OR($B1023="",$F1023="",$R1023=""),"",SUMIFS(tblIssues[Qty Issued],tblIssues[Staff ID],$B1023,tblIssues[Item Name],$F1023,tblIssues[Month],$R1023))</f>
        <v>80</v>
      </c>
      <c r="T1023" s="56">
        <f>IF($I1023="","",$I1023*Settings!$C$11)</f>
        <v>80</v>
      </c>
      <c r="U1023" s="57" t="str">
        <f t="shared" si="172"/>
        <v>OK</v>
      </c>
      <c r="V1023" s="55" t="str">
        <f t="shared" si="176"/>
        <v/>
      </c>
      <c r="W1023" s="55" t="str">
        <f>IF($V1023="","",IF(COUNTIF($V$5:$V1023,$V1023)=1,1,""))</f>
        <v/>
      </c>
      <c r="X1023" s="58" t="str">
        <f>IF($W1023="","",MAX($X$4:X1022)+1)</f>
        <v/>
      </c>
      <c r="Y1023" s="62"/>
      <c r="Z1023" s="62"/>
      <c r="AA1023" s="64" t="str">
        <f>IF($C1023="","",IFERROR(INDEX('Staff Directory'!$E$5:$E$594,MATCH($C1023,'Staff Directory'!$B$5:$B$594,0)),""))</f>
        <v>firstname238.lastname238@example.com</v>
      </c>
      <c r="AB1023" s="64" t="str">
        <f>IF($C1023="","",IF(ISNUMBER(SEARCH($D1023,Settings!$C$15)),"Pickup","Dispatch"))</f>
        <v>Pickup</v>
      </c>
      <c r="AC1023" s="64" t="str">
        <f t="shared" si="177"/>
        <v>Supply order ready for pickup</v>
      </c>
      <c r="AD1023" s="64" t="str">
        <f t="shared" si="168"/>
        <v>Dear PSW,
Your order is ready for pickup from Sample Branch, Wed-Fri 9am-4pm.</v>
      </c>
      <c r="AE1023" s="64" t="str">
        <f t="shared" si="169"/>
        <v>mailto:firstname238.lastname238@example.com?subject=Supply%20order%20ready%20for%20pickup&amp;body=Dear%20PSW%2C%0A%0AYour%20order%20is%20ready%20for%20pickup%20from%20Sample%20Branch%2C%20Wed-Fri%209am-4pm.</v>
      </c>
      <c r="AF1023" s="89" t="str">
        <f t="shared" si="178"/>
        <v>Draft email</v>
      </c>
      <c r="AG1023" s="64" t="str">
        <f>IF($C1023="","",IFERROR(INDEX('Staff Directory'!$K$595:$K$599,MATCH($C1023,'Staff Directory'!$B$5:$B$599,0)),$D1023))</f>
        <v>PSW</v>
      </c>
      <c r="AH1023" t="str">
        <f>IF($C1023="","",IFERROR(INDEX('Staff Directory'!$I$595:$I$599,MATCH($C1023,'Staff Directory'!$B$5:$B$599,0))&amp;" "&amp;INDEX('Staff Directory'!$J$595:$J$599,MATCH($C1023,'Staff Directory'!$B$5:$B$599,0)),$AG1023))</f>
        <v>PSW</v>
      </c>
      <c r="AI1023" s="102"/>
      <c r="AJ1023" s="101">
        <f>IF($F1023="","",SUMIFS($J$5:$J1023,$F$5:$F1023,$F1023))</f>
        <v>13440</v>
      </c>
      <c r="AK1023" s="101">
        <f t="shared" si="170"/>
        <v>13361</v>
      </c>
      <c r="AL1023" s="66" t="str" cm="1">
        <f t="array" ref="AL1023">IF($F1023="","",IFERROR(INDEX('Lot Balance'!$B$5:$B$500,MATCH(1,INDEX(('Lot Balance'!$A$5:$A$500=$F1023)*('Lot Balance'!$K$5:$K$500&lt;$AK1023)*('Lot Balance'!$K$5:$K$500+'Lot Balance'!$D$5:$D$500&gt;=$AK1023),0),0)),""))</f>
        <v>LYSL500290</v>
      </c>
      <c r="AM1023" s="66" t="str" cm="1">
        <f t="array" ref="AM1023">IF($F1023="","",IFERROR(INDEX('Lot Balance'!$B$5:$B$500,MATCH(1,INDEX(('Lot Balance'!$A$5:$A$500=$F1023)*('Lot Balance'!$K$5:$K$500&lt;$AJ1023)*('Lot Balance'!$K$5:$K$500+'Lot Balance'!$D$5:$D$500&gt;=$AJ1023),0),0)),""))</f>
        <v>LYSL500290</v>
      </c>
      <c r="AN1023" s="66" t="str">
        <f>IF($F1023="","",IF($AI1023&lt;&gt;"",IF(COUNTIFS('Lot Balance'!$A$5:$A$500,$F1023,'Lot Balance'!$B$5:$B$500,$AI1023)=0,"⚠ override is not a lot of this item",IF($AI1023=$AL1023,"Override = FEFO","Override - FEFO says "&amp;$AL1023)),IF($AL1023="","⚠ no receipt on file for this item",IF($AM1023&lt;&gt;$AL1023,"FEFO auto - split, also "&amp;$AM1023,"FEFO auto"))))</f>
        <v>FEFO auto</v>
      </c>
      <c r="AO1023" s="114"/>
    </row>
    <row r="1024" spans="1:41" x14ac:dyDescent="0.35">
      <c r="A1024" s="74">
        <v>46174</v>
      </c>
      <c r="B1024" s="18" t="str">
        <f>IF($C1024="","",IFERROR(INDEX('Staff Directory'!$A$5:$A$594,MATCH($C1024,'Staff Directory'!$B$5:$B$594,0)),"⚠ unknown staff"))</f>
        <v>PSW-175-TBD</v>
      </c>
      <c r="C1024" s="49" t="s">
        <v>1154</v>
      </c>
      <c r="D1024" s="19" t="str">
        <f>IF($B1024="","",IFERROR(INDEX('Staff Directory'!$C$5:$C$594,MATCH($B1024,'Staff Directory'!$A$5:$A$594,0)),""))</f>
        <v>PSW</v>
      </c>
      <c r="E1024" s="19">
        <f>IF($B1024="","",IFERROR(INDEX('Staff Directory'!$D$5:$D$594,MATCH($B1024,'Staff Directory'!$A$5:$A$594,0)),""))</f>
        <v>0</v>
      </c>
      <c r="F1024" s="9" t="s">
        <v>156</v>
      </c>
      <c r="G1024" s="18" t="str">
        <f>IF($F1024="","",IFERROR(INDEX(Items!$B$5:$B$597,MATCH($F1024,Items!$A$5:$A$597,0)),"⚠ not in Items"))</f>
        <v>Masks</v>
      </c>
      <c r="H1024" s="19" t="str">
        <f>IF($F1024="","",IFERROR(INDEX(Items!$C$5:$C$597,MATCH($F1024,Items!$A$5:$A$597,0)),""))</f>
        <v>One Size</v>
      </c>
      <c r="I1024" s="23">
        <f>IF($F1024="","",IFERROR(INDEX(Items!$E$5:$E$597,MATCH($F1024,Items!$A$5:$A$597,0)),""))</f>
        <v>50</v>
      </c>
      <c r="J1024" s="115">
        <f>IF(tblIssues[[#This Row],[Qty Override]]&lt;&gt;"",tblIssues[[#This Row],[Qty Override]],IF(tblIssues[[#This Row],[Standard Issue]]="","",tblIssues[[#This Row],[Standard Issue]]))</f>
        <v>50</v>
      </c>
      <c r="K1024" s="20">
        <f>IF($F1024="","",IFERROR(INDEX(Items!$D$5:$D$597,MATCH($F1024,Items!$A$5:$A$597,0)),""))</f>
        <v>0.25</v>
      </c>
      <c r="L1024" s="21">
        <f t="shared" si="173"/>
        <v>12.5</v>
      </c>
      <c r="M1024" s="9" t="str">
        <f t="shared" si="171"/>
        <v>0125FPC24-2</v>
      </c>
      <c r="N1024" s="24">
        <f>IF($A1024="","",WORKDAY($A1024,Settings!$C$9,HolidayDates))</f>
        <v>46182</v>
      </c>
      <c r="O1024" s="24">
        <f>IF($N1024="","",WORKDAY($N1024,Settings!$C$10,HolidayDates))</f>
        <v>46220</v>
      </c>
      <c r="P1024" s="10" t="s">
        <v>501</v>
      </c>
      <c r="Q1024" s="52" t="str">
        <f t="shared" si="174"/>
        <v>Collected</v>
      </c>
      <c r="R1024" s="55" t="str">
        <f t="shared" si="175"/>
        <v>2026-06</v>
      </c>
      <c r="S1024" s="55">
        <f>IF(OR($B1024="",$F1024="",$R1024=""),"",SUMIFS(tblIssues[Qty Issued],tblIssues[Staff ID],$B1024,tblIssues[Item Name],$F1024,tblIssues[Month],$R1024))</f>
        <v>50</v>
      </c>
      <c r="T1024" s="56">
        <f>IF($I1024="","",$I1024*Settings!$C$11)</f>
        <v>50</v>
      </c>
      <c r="U1024" s="57" t="str">
        <f t="shared" si="172"/>
        <v>OK</v>
      </c>
      <c r="V1024" s="55" t="str">
        <f t="shared" si="176"/>
        <v/>
      </c>
      <c r="W1024" s="55" t="str">
        <f>IF($V1024="","",IF(COUNTIF($V$5:$V1024,$V1024)=1,1,""))</f>
        <v/>
      </c>
      <c r="X1024" s="58" t="str">
        <f>IF($W1024="","",MAX($X$4:X1023)+1)</f>
        <v/>
      </c>
      <c r="Y1024" s="62"/>
      <c r="Z1024" s="62"/>
      <c r="AA1024" s="64" t="str">
        <f>IF($C1024="","",IFERROR(INDEX('Staff Directory'!$E$5:$E$594,MATCH($C1024,'Staff Directory'!$B$5:$B$594,0)),""))</f>
        <v>firstname238.lastname238@example.com</v>
      </c>
      <c r="AB1024" s="64" t="str">
        <f>IF($C1024="","",IF(ISNUMBER(SEARCH($D1024,Settings!$C$15)),"Pickup","Dispatch"))</f>
        <v>Pickup</v>
      </c>
      <c r="AC1024" s="64" t="str">
        <f t="shared" si="177"/>
        <v>Supply order ready for pickup</v>
      </c>
      <c r="AD1024" s="64" t="str">
        <f t="shared" si="168"/>
        <v>Dear PSW,
Your order is ready for pickup from Sample Branch, Wed-Fri 9am-4pm.</v>
      </c>
      <c r="AE1024" s="64" t="str">
        <f t="shared" si="169"/>
        <v>mailto:firstname238.lastname238@example.com?subject=Supply%20order%20ready%20for%20pickup&amp;body=Dear%20PSW%2C%0A%0AYour%20order%20is%20ready%20for%20pickup%20from%20Sample%20Branch%2C%20Wed-Fri%209am-4pm.</v>
      </c>
      <c r="AF1024" s="89" t="str">
        <f t="shared" si="178"/>
        <v>Draft email</v>
      </c>
      <c r="AG1024" s="64" t="str">
        <f>IF($C1024="","",IFERROR(INDEX('Staff Directory'!$K$595:$K$599,MATCH($C1024,'Staff Directory'!$B$5:$B$599,0)),$D1024))</f>
        <v>PSW</v>
      </c>
      <c r="AH1024" t="str">
        <f>IF($C1024="","",IFERROR(INDEX('Staff Directory'!$I$595:$I$599,MATCH($C1024,'Staff Directory'!$B$5:$B$599,0))&amp;" "&amp;INDEX('Staff Directory'!$J$595:$J$599,MATCH($C1024,'Staff Directory'!$B$5:$B$599,0)),$AG1024))</f>
        <v>PSW</v>
      </c>
      <c r="AI1024" s="102"/>
      <c r="AJ1024" s="101">
        <f>IF($F1024="","",SUMIFS($J$5:$J1024,$F$5:$F1024,$F1024))</f>
        <v>7950</v>
      </c>
      <c r="AK1024" s="101">
        <f t="shared" si="170"/>
        <v>7901</v>
      </c>
      <c r="AL1024" s="66" t="str" cm="1">
        <f t="array" ref="AL1024">IF($F1024="","",IFERROR(INDEX('Lot Balance'!$B$5:$B$500,MATCH(1,INDEX(('Lot Balance'!$A$5:$A$500=$F1024)*('Lot Balance'!$K$5:$K$500&lt;$AK1024)*('Lot Balance'!$K$5:$K$500+'Lot Balance'!$D$5:$D$500&gt;=$AK1024),0),0)),""))</f>
        <v>0125FPC24-2</v>
      </c>
      <c r="AM1024" s="66" t="str" cm="1">
        <f t="array" ref="AM1024">IF($F1024="","",IFERROR(INDEX('Lot Balance'!$B$5:$B$500,MATCH(1,INDEX(('Lot Balance'!$A$5:$A$500=$F1024)*('Lot Balance'!$K$5:$K$500&lt;$AJ1024)*('Lot Balance'!$K$5:$K$500+'Lot Balance'!$D$5:$D$500&gt;=$AJ1024),0),0)),""))</f>
        <v>0125FPC24-2</v>
      </c>
      <c r="AN1024" s="66" t="str">
        <f>IF($F1024="","",IF($AI1024&lt;&gt;"",IF(COUNTIFS('Lot Balance'!$A$5:$A$500,$F1024,'Lot Balance'!$B$5:$B$500,$AI1024)=0,"⚠ override is not a lot of this item",IF($AI1024=$AL1024,"Override = FEFO","Override - FEFO says "&amp;$AL1024)),IF($AL1024="","⚠ no receipt on file for this item",IF($AM1024&lt;&gt;$AL1024,"FEFO auto - split, also "&amp;$AM1024,"FEFO auto"))))</f>
        <v>FEFO auto</v>
      </c>
      <c r="AO1024" s="114"/>
    </row>
    <row r="1025" spans="1:41" x14ac:dyDescent="0.35">
      <c r="A1025" s="74">
        <v>46174</v>
      </c>
      <c r="B1025" s="18" t="str">
        <f>IF($C1025="","",IFERROR(INDEX('Staff Directory'!$A$5:$A$594,MATCH($C1025,'Staff Directory'!$B$5:$B$594,0)),"⚠ unknown staff"))</f>
        <v>PSW-150-A5</v>
      </c>
      <c r="C1025" s="49" t="s">
        <v>1129</v>
      </c>
      <c r="D1025" s="19" t="str">
        <f>IF($B1025="","",IFERROR(INDEX('Staff Directory'!$C$5:$C$594,MATCH($B1025,'Staff Directory'!$A$5:$A$594,0)),""))</f>
        <v>PSW</v>
      </c>
      <c r="E1025" s="19" t="str">
        <f>IF($B1025="","",IFERROR(INDEX('Staff Directory'!$D$5:$D$594,MATCH($B1025,'Staff Directory'!$A$5:$A$594,0)),""))</f>
        <v>A5</v>
      </c>
      <c r="F1025" s="9" t="s">
        <v>124</v>
      </c>
      <c r="G1025" s="18" t="str">
        <f>IF($F1025="","",IFERROR(INDEX(Items!$B$5:$B$597,MATCH($F1025,Items!$A$5:$A$597,0)),"⚠ not in Items"))</f>
        <v>Gloves</v>
      </c>
      <c r="H1025" s="19" t="str">
        <f>IF($F1025="","",IFERROR(INDEX(Items!$C$5:$C$597,MATCH($F1025,Items!$A$5:$A$597,0)),""))</f>
        <v>Large</v>
      </c>
      <c r="I1025" s="23">
        <f>IF($F1025="","",IFERROR(INDEX(Items!$E$5:$E$597,MATCH($F1025,Items!$A$5:$A$597,0)),""))</f>
        <v>500</v>
      </c>
      <c r="J1025" s="115">
        <f>IF(tblIssues[[#This Row],[Qty Override]]&lt;&gt;"",tblIssues[[#This Row],[Qty Override]],IF(tblIssues[[#This Row],[Standard Issue]]="","",tblIssues[[#This Row],[Standard Issue]]))</f>
        <v>500</v>
      </c>
      <c r="K1025" s="20">
        <f>IF($F1025="","",IFERROR(INDEX(Items!$D$5:$D$597,MATCH($F1025,Items!$A$5:$A$597,0)),""))</f>
        <v>5.5E-2</v>
      </c>
      <c r="L1025" s="21">
        <f t="shared" si="173"/>
        <v>27.5</v>
      </c>
      <c r="M1025" s="9" t="str">
        <f t="shared" si="171"/>
        <v>O16705</v>
      </c>
      <c r="N1025" s="24">
        <f>IF($A1025="","",WORKDAY($A1025,Settings!$C$9,HolidayDates))</f>
        <v>46182</v>
      </c>
      <c r="O1025" s="24">
        <f>IF($N1025="","",WORKDAY($N1025,Settings!$C$10,HolidayDates))</f>
        <v>46220</v>
      </c>
      <c r="P1025" s="10" t="s">
        <v>501</v>
      </c>
      <c r="Q1025" s="52" t="str">
        <f t="shared" si="174"/>
        <v>Collected</v>
      </c>
      <c r="R1025" s="55" t="str">
        <f t="shared" si="175"/>
        <v>2026-06</v>
      </c>
      <c r="S1025" s="55">
        <f>IF(OR($B1025="",$F1025="",$R1025=""),"",SUMIFS(tblIssues[Qty Issued],tblIssues[Staff ID],$B1025,tblIssues[Item Name],$F1025,tblIssues[Month],$R1025))</f>
        <v>500</v>
      </c>
      <c r="T1025" s="56">
        <f>IF($I1025="","",$I1025*Settings!$C$11)</f>
        <v>500</v>
      </c>
      <c r="U1025" s="57" t="str">
        <f t="shared" si="172"/>
        <v>OK</v>
      </c>
      <c r="V1025" s="55" t="str">
        <f t="shared" si="176"/>
        <v/>
      </c>
      <c r="W1025" s="55" t="str">
        <f>IF($V1025="","",IF(COUNTIF($V$5:$V1025,$V1025)=1,1,""))</f>
        <v/>
      </c>
      <c r="X1025" s="58" t="str">
        <f>IF($W1025="","",MAX($X$4:X1024)+1)</f>
        <v/>
      </c>
      <c r="Y1025" s="62"/>
      <c r="Z1025" s="62"/>
      <c r="AA1025" s="64" t="str">
        <f>IF($C1025="","",IFERROR(INDEX('Staff Directory'!$E$5:$E$594,MATCH($C1025,'Staff Directory'!$B$5:$B$594,0)),""))</f>
        <v>firstname213.lastname213@example.com</v>
      </c>
      <c r="AB1025" s="64" t="str">
        <f>IF($C1025="","",IF(ISNUMBER(SEARCH($D1025,Settings!$C$15)),"Pickup","Dispatch"))</f>
        <v>Pickup</v>
      </c>
      <c r="AC1025" s="64" t="str">
        <f t="shared" si="177"/>
        <v>Supply order ready for pickup</v>
      </c>
      <c r="AD1025" s="64" t="str">
        <f t="shared" si="168"/>
        <v>Dear PSW,
Your order is ready for pickup from Sample Branch, Wed-Fri 9am-4pm.</v>
      </c>
      <c r="AE1025" s="64" t="str">
        <f t="shared" si="169"/>
        <v>mailto:firstname213.lastname213@example.com?subject=Supply%20order%20ready%20for%20pickup&amp;body=Dear%20PSW%2C%0A%0AYour%20order%20is%20ready%20for%20pickup%20from%20Sample%20Branch%2C%20Wed-Fri%209am-4pm.</v>
      </c>
      <c r="AF1025" s="89" t="str">
        <f t="shared" si="178"/>
        <v>Draft email</v>
      </c>
      <c r="AG1025" s="64" t="str">
        <f>IF($C1025="","",IFERROR(INDEX('Staff Directory'!$K$595:$K$599,MATCH($C1025,'Staff Directory'!$B$5:$B$599,0)),$D1025))</f>
        <v>PSW</v>
      </c>
      <c r="AH1025" t="str">
        <f>IF($C1025="","",IFERROR(INDEX('Staff Directory'!$I$595:$I$599,MATCH($C1025,'Staff Directory'!$B$5:$B$599,0))&amp;" "&amp;INDEX('Staff Directory'!$J$595:$J$599,MATCH($C1025,'Staff Directory'!$B$5:$B$599,0)),$AG1025))</f>
        <v>PSW</v>
      </c>
      <c r="AI1025" s="102"/>
      <c r="AJ1025" s="101">
        <f>IF($F1025="","",SUMIFS($J$5:$J1025,$F$5:$F1025,$F1025))</f>
        <v>28000</v>
      </c>
      <c r="AK1025" s="101">
        <f t="shared" si="170"/>
        <v>27501</v>
      </c>
      <c r="AL1025" s="66" t="str" cm="1">
        <f t="array" ref="AL1025">IF($F1025="","",IFERROR(INDEX('Lot Balance'!$B$5:$B$500,MATCH(1,INDEX(('Lot Balance'!$A$5:$A$500=$F1025)*('Lot Balance'!$K$5:$K$500&lt;$AK1025)*('Lot Balance'!$K$5:$K$500+'Lot Balance'!$D$5:$D$500&gt;=$AK1025),0),0)),""))</f>
        <v>O16705</v>
      </c>
      <c r="AM1025" s="66" t="str" cm="1">
        <f t="array" ref="AM1025">IF($F1025="","",IFERROR(INDEX('Lot Balance'!$B$5:$B$500,MATCH(1,INDEX(('Lot Balance'!$A$5:$A$500=$F1025)*('Lot Balance'!$K$5:$K$500&lt;$AJ1025)*('Lot Balance'!$K$5:$K$500+'Lot Balance'!$D$5:$D$500&gt;=$AJ1025),0),0)),""))</f>
        <v>O16705</v>
      </c>
      <c r="AN1025" s="66" t="str">
        <f>IF($F1025="","",IF($AI1025&lt;&gt;"",IF(COUNTIFS('Lot Balance'!$A$5:$A$500,$F1025,'Lot Balance'!$B$5:$B$500,$AI1025)=0,"⚠ override is not a lot of this item",IF($AI1025=$AL1025,"Override = FEFO","Override - FEFO says "&amp;$AL1025)),IF($AL1025="","⚠ no receipt on file for this item",IF($AM1025&lt;&gt;$AL1025,"FEFO auto - split, also "&amp;$AM1025,"FEFO auto"))))</f>
        <v>FEFO auto</v>
      </c>
      <c r="AO1025" s="114"/>
    </row>
    <row r="1026" spans="1:41" x14ac:dyDescent="0.35">
      <c r="A1026" s="74">
        <v>46174</v>
      </c>
      <c r="B1026" s="18" t="str">
        <f>IF($C1026="","",IFERROR(INDEX('Staff Directory'!$A$5:$A$594,MATCH($C1026,'Staff Directory'!$B$5:$B$594,0)),"⚠ unknown staff"))</f>
        <v>PSW-150-A5</v>
      </c>
      <c r="C1026" s="49" t="s">
        <v>1129</v>
      </c>
      <c r="D1026" s="19" t="str">
        <f>IF($B1026="","",IFERROR(INDEX('Staff Directory'!$C$5:$C$594,MATCH($B1026,'Staff Directory'!$A$5:$A$594,0)),""))</f>
        <v>PSW</v>
      </c>
      <c r="E1026" s="19" t="str">
        <f>IF($B1026="","",IFERROR(INDEX('Staff Directory'!$D$5:$D$594,MATCH($B1026,'Staff Directory'!$A$5:$A$594,0)),""))</f>
        <v>A5</v>
      </c>
      <c r="F1026" s="9" t="s">
        <v>191</v>
      </c>
      <c r="G1026" s="18" t="str">
        <f>IF($F1026="","",IFERROR(INDEX(Items!$B$5:$B$597,MATCH($F1026,Items!$A$5:$A$597,0)),"⚠ not in Items"))</f>
        <v>Sanitizer</v>
      </c>
      <c r="H1026" s="19" t="str">
        <f>IF($F1026="","",IFERROR(INDEX(Items!$C$5:$C$597,MATCH($F1026,Items!$A$5:$A$597,0)),""))</f>
        <v>236 ML</v>
      </c>
      <c r="I1026" s="23">
        <f>IF($F1026="","",IFERROR(INDEX(Items!$E$5:$E$597,MATCH($F1026,Items!$A$5:$A$597,0)),""))</f>
        <v>1</v>
      </c>
      <c r="J1026" s="115">
        <f>IF(tblIssues[[#This Row],[Qty Override]]&lt;&gt;"",tblIssues[[#This Row],[Qty Override]],IF(tblIssues[[#This Row],[Standard Issue]]="","",tblIssues[[#This Row],[Standard Issue]]))</f>
        <v>1</v>
      </c>
      <c r="K1026" s="20">
        <f>IF($F1026="","",IFERROR(INDEX(Items!$D$5:$D$597,MATCH($F1026,Items!$A$5:$A$597,0)),""))</f>
        <v>1E-4</v>
      </c>
      <c r="L1026" s="21">
        <f t="shared" si="173"/>
        <v>1E-4</v>
      </c>
      <c r="M1026" s="9" t="str">
        <f t="shared" si="171"/>
        <v>20-21734-4</v>
      </c>
      <c r="N1026" s="24">
        <f>IF($A1026="","",WORKDAY($A1026,Settings!$C$9,HolidayDates))</f>
        <v>46182</v>
      </c>
      <c r="O1026" s="24">
        <f>IF($N1026="","",WORKDAY($N1026,Settings!$C$10,HolidayDates))</f>
        <v>46220</v>
      </c>
      <c r="P1026" s="10" t="s">
        <v>501</v>
      </c>
      <c r="Q1026" s="52" t="str">
        <f t="shared" si="174"/>
        <v>Collected</v>
      </c>
      <c r="R1026" s="55" t="str">
        <f t="shared" si="175"/>
        <v>2026-06</v>
      </c>
      <c r="S1026" s="55">
        <f>IF(OR($B1026="",$F1026="",$R1026=""),"",SUMIFS(tblIssues[Qty Issued],tblIssues[Staff ID],$B1026,tblIssues[Item Name],$F1026,tblIssues[Month],$R1026))</f>
        <v>1</v>
      </c>
      <c r="T1026" s="56">
        <f>IF($I1026="","",$I1026*Settings!$C$11)</f>
        <v>1</v>
      </c>
      <c r="U1026" s="57" t="str">
        <f t="shared" si="172"/>
        <v>OK</v>
      </c>
      <c r="V1026" s="55" t="str">
        <f t="shared" si="176"/>
        <v/>
      </c>
      <c r="W1026" s="55" t="str">
        <f>IF($V1026="","",IF(COUNTIF($V$5:$V1026,$V1026)=1,1,""))</f>
        <v/>
      </c>
      <c r="X1026" s="58" t="str">
        <f>IF($W1026="","",MAX($X$4:X1025)+1)</f>
        <v/>
      </c>
      <c r="Y1026" s="62"/>
      <c r="Z1026" s="62"/>
      <c r="AA1026" s="64" t="str">
        <f>IF($C1026="","",IFERROR(INDEX('Staff Directory'!$E$5:$E$594,MATCH($C1026,'Staff Directory'!$B$5:$B$594,0)),""))</f>
        <v>firstname213.lastname213@example.com</v>
      </c>
      <c r="AB1026" s="64" t="str">
        <f>IF($C1026="","",IF(ISNUMBER(SEARCH($D1026,Settings!$C$15)),"Pickup","Dispatch"))</f>
        <v>Pickup</v>
      </c>
      <c r="AC1026" s="64" t="str">
        <f t="shared" si="177"/>
        <v>Supply order ready for pickup</v>
      </c>
      <c r="AD1026" s="64" t="str">
        <f t="shared" si="168"/>
        <v>Dear PSW,
Your order is ready for pickup from Sample Branch, Wed-Fri 9am-4pm.</v>
      </c>
      <c r="AE1026" s="64" t="str">
        <f t="shared" si="169"/>
        <v>mailto:firstname213.lastname213@example.com?subject=Supply%20order%20ready%20for%20pickup&amp;body=Dear%20PSW%2C%0A%0AYour%20order%20is%20ready%20for%20pickup%20from%20Sample%20Branch%2C%20Wed-Fri%209am-4pm.</v>
      </c>
      <c r="AF1026" s="89" t="str">
        <f t="shared" si="178"/>
        <v>Draft email</v>
      </c>
      <c r="AG1026" s="64" t="str">
        <f>IF($C1026="","",IFERROR(INDEX('Staff Directory'!$K$595:$K$599,MATCH($C1026,'Staff Directory'!$B$5:$B$599,0)),$D1026))</f>
        <v>PSW</v>
      </c>
      <c r="AH1026" t="str">
        <f>IF($C1026="","",IFERROR(INDEX('Staff Directory'!$I$595:$I$599,MATCH($C1026,'Staff Directory'!$B$5:$B$599,0))&amp;" "&amp;INDEX('Staff Directory'!$J$595:$J$599,MATCH($C1026,'Staff Directory'!$B$5:$B$599,0)),$AG1026))</f>
        <v>PSW</v>
      </c>
      <c r="AI1026" s="102"/>
      <c r="AJ1026" s="101">
        <f>IF($F1026="","",SUMIFS($J$5:$J1026,$F$5:$F1026,$F1026))</f>
        <v>117</v>
      </c>
      <c r="AK1026" s="101">
        <f t="shared" si="170"/>
        <v>117</v>
      </c>
      <c r="AL1026" s="66" t="str" cm="1">
        <f t="array" ref="AL1026">IF($F1026="","",IFERROR(INDEX('Lot Balance'!$B$5:$B$500,MATCH(1,INDEX(('Lot Balance'!$A$5:$A$500=$F1026)*('Lot Balance'!$K$5:$K$500&lt;$AK1026)*('Lot Balance'!$K$5:$K$500+'Lot Balance'!$D$5:$D$500&gt;=$AK1026),0),0)),""))</f>
        <v>20-21734-4</v>
      </c>
      <c r="AM1026" s="66" t="str" cm="1">
        <f t="array" ref="AM1026">IF($F1026="","",IFERROR(INDEX('Lot Balance'!$B$5:$B$500,MATCH(1,INDEX(('Lot Balance'!$A$5:$A$500=$F1026)*('Lot Balance'!$K$5:$K$500&lt;$AJ1026)*('Lot Balance'!$K$5:$K$500+'Lot Balance'!$D$5:$D$500&gt;=$AJ1026),0),0)),""))</f>
        <v>20-21734-4</v>
      </c>
      <c r="AN1026" s="66" t="str">
        <f>IF($F1026="","",IF($AI1026&lt;&gt;"",IF(COUNTIFS('Lot Balance'!$A$5:$A$500,$F1026,'Lot Balance'!$B$5:$B$500,$AI1026)=0,"⚠ override is not a lot of this item",IF($AI1026=$AL1026,"Override = FEFO","Override - FEFO says "&amp;$AL1026)),IF($AL1026="","⚠ no receipt on file for this item",IF($AM1026&lt;&gt;$AL1026,"FEFO auto - split, also "&amp;$AM1026,"FEFO auto"))))</f>
        <v>FEFO auto</v>
      </c>
      <c r="AO1026" s="114"/>
    </row>
    <row r="1027" spans="1:41" x14ac:dyDescent="0.35">
      <c r="A1027" s="74">
        <v>46174</v>
      </c>
      <c r="B1027" s="18" t="str">
        <f>IF($C1027="","",IFERROR(INDEX('Staff Directory'!$A$5:$A$594,MATCH($C1027,'Staff Directory'!$B$5:$B$594,0)),"⚠ unknown staff"))</f>
        <v>PSW-150-A5</v>
      </c>
      <c r="C1027" s="49" t="s">
        <v>1129</v>
      </c>
      <c r="D1027" s="19" t="str">
        <f>IF($B1027="","",IFERROR(INDEX('Staff Directory'!$C$5:$C$594,MATCH($B1027,'Staff Directory'!$A$5:$A$594,0)),""))</f>
        <v>PSW</v>
      </c>
      <c r="E1027" s="19" t="str">
        <f>IF($B1027="","",IFERROR(INDEX('Staff Directory'!$D$5:$D$594,MATCH($B1027,'Staff Directory'!$A$5:$A$594,0)),""))</f>
        <v>A5</v>
      </c>
      <c r="F1027" s="9" t="s">
        <v>156</v>
      </c>
      <c r="G1027" s="18" t="str">
        <f>IF($F1027="","",IFERROR(INDEX(Items!$B$5:$B$597,MATCH($F1027,Items!$A$5:$A$597,0)),"⚠ not in Items"))</f>
        <v>Masks</v>
      </c>
      <c r="H1027" s="19" t="str">
        <f>IF($F1027="","",IFERROR(INDEX(Items!$C$5:$C$597,MATCH($F1027,Items!$A$5:$A$597,0)),""))</f>
        <v>One Size</v>
      </c>
      <c r="I1027" s="23">
        <f>IF($F1027="","",IFERROR(INDEX(Items!$E$5:$E$597,MATCH($F1027,Items!$A$5:$A$597,0)),""))</f>
        <v>50</v>
      </c>
      <c r="J1027" s="115">
        <f>IF(tblIssues[[#This Row],[Qty Override]]&lt;&gt;"",tblIssues[[#This Row],[Qty Override]],IF(tblIssues[[#This Row],[Standard Issue]]="","",tblIssues[[#This Row],[Standard Issue]]))</f>
        <v>50</v>
      </c>
      <c r="K1027" s="20">
        <f>IF($F1027="","",IFERROR(INDEX(Items!$D$5:$D$597,MATCH($F1027,Items!$A$5:$A$597,0)),""))</f>
        <v>0.25</v>
      </c>
      <c r="L1027" s="21">
        <f t="shared" si="173"/>
        <v>12.5</v>
      </c>
      <c r="M1027" s="9" t="str">
        <f t="shared" si="171"/>
        <v>0125FPC24-2</v>
      </c>
      <c r="N1027" s="24">
        <f>IF($A1027="","",WORKDAY($A1027,Settings!$C$9,HolidayDates))</f>
        <v>46182</v>
      </c>
      <c r="O1027" s="24">
        <f>IF($N1027="","",WORKDAY($N1027,Settings!$C$10,HolidayDates))</f>
        <v>46220</v>
      </c>
      <c r="P1027" s="10" t="s">
        <v>501</v>
      </c>
      <c r="Q1027" s="52" t="str">
        <f t="shared" si="174"/>
        <v>Collected</v>
      </c>
      <c r="R1027" s="55" t="str">
        <f t="shared" si="175"/>
        <v>2026-06</v>
      </c>
      <c r="S1027" s="55">
        <f>IF(OR($B1027="",$F1027="",$R1027=""),"",SUMIFS(tblIssues[Qty Issued],tblIssues[Staff ID],$B1027,tblIssues[Item Name],$F1027,tblIssues[Month],$R1027))</f>
        <v>50</v>
      </c>
      <c r="T1027" s="56">
        <f>IF($I1027="","",$I1027*Settings!$C$11)</f>
        <v>50</v>
      </c>
      <c r="U1027" s="57" t="str">
        <f t="shared" si="172"/>
        <v>OK</v>
      </c>
      <c r="V1027" s="55" t="str">
        <f t="shared" si="176"/>
        <v/>
      </c>
      <c r="W1027" s="55" t="str">
        <f>IF($V1027="","",IF(COUNTIF($V$5:$V1027,$V1027)=1,1,""))</f>
        <v/>
      </c>
      <c r="X1027" s="58" t="str">
        <f>IF($W1027="","",MAX($X$4:X1026)+1)</f>
        <v/>
      </c>
      <c r="Y1027" s="62"/>
      <c r="Z1027" s="62"/>
      <c r="AA1027" s="64" t="str">
        <f>IF($C1027="","",IFERROR(INDEX('Staff Directory'!$E$5:$E$594,MATCH($C1027,'Staff Directory'!$B$5:$B$594,0)),""))</f>
        <v>firstname213.lastname213@example.com</v>
      </c>
      <c r="AB1027" s="64" t="str">
        <f>IF($C1027="","",IF(ISNUMBER(SEARCH($D1027,Settings!$C$15)),"Pickup","Dispatch"))</f>
        <v>Pickup</v>
      </c>
      <c r="AC1027" s="64" t="str">
        <f t="shared" si="177"/>
        <v>Supply order ready for pickup</v>
      </c>
      <c r="AD1027" s="64" t="str">
        <f t="shared" si="168"/>
        <v>Dear PSW,
Your order is ready for pickup from Sample Branch, Wed-Fri 9am-4pm.</v>
      </c>
      <c r="AE1027" s="64" t="str">
        <f t="shared" si="169"/>
        <v>mailto:firstname213.lastname213@example.com?subject=Supply%20order%20ready%20for%20pickup&amp;body=Dear%20PSW%2C%0A%0AYour%20order%20is%20ready%20for%20pickup%20from%20Sample%20Branch%2C%20Wed-Fri%209am-4pm.</v>
      </c>
      <c r="AF1027" s="89" t="str">
        <f t="shared" si="178"/>
        <v>Draft email</v>
      </c>
      <c r="AG1027" s="64" t="str">
        <f>IF($C1027="","",IFERROR(INDEX('Staff Directory'!$K$595:$K$599,MATCH($C1027,'Staff Directory'!$B$5:$B$599,0)),$D1027))</f>
        <v>PSW</v>
      </c>
      <c r="AH1027" t="str">
        <f>IF($C1027="","",IFERROR(INDEX('Staff Directory'!$I$595:$I$599,MATCH($C1027,'Staff Directory'!$B$5:$B$599,0))&amp;" "&amp;INDEX('Staff Directory'!$J$595:$J$599,MATCH($C1027,'Staff Directory'!$B$5:$B$599,0)),$AG1027))</f>
        <v>PSW</v>
      </c>
      <c r="AI1027" s="102"/>
      <c r="AJ1027" s="101">
        <f>IF($F1027="","",SUMIFS($J$5:$J1027,$F$5:$F1027,$F1027))</f>
        <v>8000</v>
      </c>
      <c r="AK1027" s="101">
        <f t="shared" si="170"/>
        <v>7951</v>
      </c>
      <c r="AL1027" s="66" t="str" cm="1">
        <f t="array" ref="AL1027">IF($F1027="","",IFERROR(INDEX('Lot Balance'!$B$5:$B$500,MATCH(1,INDEX(('Lot Balance'!$A$5:$A$500=$F1027)*('Lot Balance'!$K$5:$K$500&lt;$AK1027)*('Lot Balance'!$K$5:$K$500+'Lot Balance'!$D$5:$D$500&gt;=$AK1027),0),0)),""))</f>
        <v>0125FPC24-2</v>
      </c>
      <c r="AM1027" s="66" t="str" cm="1">
        <f t="array" ref="AM1027">IF($F1027="","",IFERROR(INDEX('Lot Balance'!$B$5:$B$500,MATCH(1,INDEX(('Lot Balance'!$A$5:$A$500=$F1027)*('Lot Balance'!$K$5:$K$500&lt;$AJ1027)*('Lot Balance'!$K$5:$K$500+'Lot Balance'!$D$5:$D$500&gt;=$AJ1027),0),0)),""))</f>
        <v>0125FPC24-2</v>
      </c>
      <c r="AN1027" s="66" t="str">
        <f>IF($F1027="","",IF($AI1027&lt;&gt;"",IF(COUNTIFS('Lot Balance'!$A$5:$A$500,$F1027,'Lot Balance'!$B$5:$B$500,$AI1027)=0,"⚠ override is not a lot of this item",IF($AI1027=$AL1027,"Override = FEFO","Override - FEFO says "&amp;$AL1027)),IF($AL1027="","⚠ no receipt on file for this item",IF($AM1027&lt;&gt;$AL1027,"FEFO auto - split, also "&amp;$AM1027,"FEFO auto"))))</f>
        <v>FEFO auto</v>
      </c>
      <c r="AO1027" s="114"/>
    </row>
    <row r="1028" spans="1:41" x14ac:dyDescent="0.35">
      <c r="A1028" s="74">
        <v>46174</v>
      </c>
      <c r="B1028" s="18" t="str">
        <f>IF($C1028="","",IFERROR(INDEX('Staff Directory'!$A$5:$A$594,MATCH($C1028,'Staff Directory'!$B$5:$B$594,0)),"⚠ unknown staff"))</f>
        <v>PSW-172-TBD</v>
      </c>
      <c r="C1028" s="49" t="s">
        <v>1151</v>
      </c>
      <c r="D1028" s="19" t="str">
        <f>IF($B1028="","",IFERROR(INDEX('Staff Directory'!$C$5:$C$594,MATCH($B1028,'Staff Directory'!$A$5:$A$594,0)),""))</f>
        <v>PSW</v>
      </c>
      <c r="E1028" s="19">
        <f>IF($B1028="","",IFERROR(INDEX('Staff Directory'!$D$5:$D$594,MATCH($B1028,'Staff Directory'!$A$5:$A$594,0)),""))</f>
        <v>0</v>
      </c>
      <c r="F1028" s="9" t="s">
        <v>127</v>
      </c>
      <c r="G1028" s="18" t="str">
        <f>IF($F1028="","",IFERROR(INDEX(Items!$B$5:$B$597,MATCH($F1028,Items!$A$5:$A$597,0)),"⚠ not in Items"))</f>
        <v>Gloves</v>
      </c>
      <c r="H1028" s="19" t="str">
        <f>IF($F1028="","",IFERROR(INDEX(Items!$C$5:$C$597,MATCH($F1028,Items!$A$5:$A$597,0)),""))</f>
        <v>Medium</v>
      </c>
      <c r="I1028" s="23">
        <f>IF($F1028="","",IFERROR(INDEX(Items!$E$5:$E$597,MATCH($F1028,Items!$A$5:$A$597,0)),""))</f>
        <v>500</v>
      </c>
      <c r="J1028" s="115">
        <f>IF(tblIssues[[#This Row],[Qty Override]]&lt;&gt;"",tblIssues[[#This Row],[Qty Override]],IF(tblIssues[[#This Row],[Standard Issue]]="","",tblIssues[[#This Row],[Standard Issue]]))</f>
        <v>500</v>
      </c>
      <c r="K1028" s="20">
        <f>IF($F1028="","",IFERROR(INDEX(Items!$D$5:$D$597,MATCH($F1028,Items!$A$5:$A$597,0)),""))</f>
        <v>5.5E-2</v>
      </c>
      <c r="L1028" s="21">
        <f t="shared" si="173"/>
        <v>27.5</v>
      </c>
      <c r="M1028" s="9" t="str">
        <f t="shared" si="171"/>
        <v>ZIM510137962-0</v>
      </c>
      <c r="N1028" s="24">
        <f>IF($A1028="","",WORKDAY($A1028,Settings!$C$9,HolidayDates))</f>
        <v>46182</v>
      </c>
      <c r="O1028" s="24">
        <f>IF($N1028="","",WORKDAY($N1028,Settings!$C$10,HolidayDates))</f>
        <v>46220</v>
      </c>
      <c r="P1028" s="10" t="s">
        <v>501</v>
      </c>
      <c r="Q1028" s="52" t="str">
        <f t="shared" si="174"/>
        <v>Collected</v>
      </c>
      <c r="R1028" s="55" t="str">
        <f t="shared" si="175"/>
        <v>2026-06</v>
      </c>
      <c r="S1028" s="55">
        <f>IF(OR($B1028="",$F1028="",$R1028=""),"",SUMIFS(tblIssues[Qty Issued],tblIssues[Staff ID],$B1028,tblIssues[Item Name],$F1028,tblIssues[Month],$R1028))</f>
        <v>500</v>
      </c>
      <c r="T1028" s="56">
        <f>IF($I1028="","",$I1028*Settings!$C$11)</f>
        <v>500</v>
      </c>
      <c r="U1028" s="57" t="str">
        <f t="shared" si="172"/>
        <v>OK</v>
      </c>
      <c r="V1028" s="55" t="str">
        <f t="shared" si="176"/>
        <v/>
      </c>
      <c r="W1028" s="55" t="str">
        <f>IF($V1028="","",IF(COUNTIF($V$5:$V1028,$V1028)=1,1,""))</f>
        <v/>
      </c>
      <c r="X1028" s="58" t="str">
        <f>IF($W1028="","",MAX($X$4:X1027)+1)</f>
        <v/>
      </c>
      <c r="Y1028" s="62"/>
      <c r="Z1028" s="62"/>
      <c r="AA1028" s="64" t="str">
        <f>IF($C1028="","",IFERROR(INDEX('Staff Directory'!$E$5:$E$594,MATCH($C1028,'Staff Directory'!$B$5:$B$594,0)),""))</f>
        <v>firstname235.lastname235@example.com</v>
      </c>
      <c r="AB1028" s="64" t="str">
        <f>IF($C1028="","",IF(ISNUMBER(SEARCH($D1028,Settings!$C$15)),"Pickup","Dispatch"))</f>
        <v>Pickup</v>
      </c>
      <c r="AC1028" s="64" t="str">
        <f t="shared" si="177"/>
        <v>Supply order ready for pickup</v>
      </c>
      <c r="AD1028" s="64" t="str">
        <f t="shared" si="168"/>
        <v>Dear PSW,
Your order is ready for pickup from Sample Branch, Wed-Fri 9am-4pm.</v>
      </c>
      <c r="AE1028" s="64" t="str">
        <f t="shared" si="169"/>
        <v>mailto:firstname235.lastname235@example.com?subject=Supply%20order%20ready%20for%20pickup&amp;body=Dear%20PSW%2C%0A%0AYour%20order%20is%20ready%20for%20pickup%20from%20Sample%20Branch%2C%20Wed-Fri%209am-4pm.</v>
      </c>
      <c r="AF1028" s="89" t="str">
        <f t="shared" si="178"/>
        <v>Draft email</v>
      </c>
      <c r="AG1028" s="64" t="str">
        <f>IF($C1028="","",IFERROR(INDEX('Staff Directory'!$K$595:$K$599,MATCH($C1028,'Staff Directory'!$B$5:$B$599,0)),$D1028))</f>
        <v>PSW</v>
      </c>
      <c r="AH1028" t="str">
        <f>IF($C1028="","",IFERROR(INDEX('Staff Directory'!$I$595:$I$599,MATCH($C1028,'Staff Directory'!$B$5:$B$599,0))&amp;" "&amp;INDEX('Staff Directory'!$J$595:$J$599,MATCH($C1028,'Staff Directory'!$B$5:$B$599,0)),$AG1028))</f>
        <v>PSW</v>
      </c>
      <c r="AI1028" s="102"/>
      <c r="AJ1028" s="101">
        <f>IF($F1028="","",SUMIFS($J$5:$J1028,$F$5:$F1028,$F1028))</f>
        <v>58500</v>
      </c>
      <c r="AK1028" s="101">
        <f t="shared" si="170"/>
        <v>58001</v>
      </c>
      <c r="AL1028" s="66" t="str" cm="1">
        <f t="array" ref="AL1028">IF($F1028="","",IFERROR(INDEX('Lot Balance'!$B$5:$B$500,MATCH(1,INDEX(('Lot Balance'!$A$5:$A$500=$F1028)*('Lot Balance'!$K$5:$K$500&lt;$AK1028)*('Lot Balance'!$K$5:$K$500+'Lot Balance'!$D$5:$D$500&gt;=$AK1028),0),0)),""))</f>
        <v>ZIM510137962-0</v>
      </c>
      <c r="AM1028" s="66" t="str" cm="1">
        <f t="array" ref="AM1028">IF($F1028="","",IFERROR(INDEX('Lot Balance'!$B$5:$B$500,MATCH(1,INDEX(('Lot Balance'!$A$5:$A$500=$F1028)*('Lot Balance'!$K$5:$K$500&lt;$AJ1028)*('Lot Balance'!$K$5:$K$500+'Lot Balance'!$D$5:$D$500&gt;=$AJ1028),0),0)),""))</f>
        <v>ZIM510137962-0</v>
      </c>
      <c r="AN1028" s="66" t="str">
        <f>IF($F1028="","",IF($AI1028&lt;&gt;"",IF(COUNTIFS('Lot Balance'!$A$5:$A$500,$F1028,'Lot Balance'!$B$5:$B$500,$AI1028)=0,"⚠ override is not a lot of this item",IF($AI1028=$AL1028,"Override = FEFO","Override - FEFO says "&amp;$AL1028)),IF($AL1028="","⚠ no receipt on file for this item",IF($AM1028&lt;&gt;$AL1028,"FEFO auto - split, also "&amp;$AM1028,"FEFO auto"))))</f>
        <v>FEFO auto</v>
      </c>
      <c r="AO1028" s="114"/>
    </row>
    <row r="1029" spans="1:41" x14ac:dyDescent="0.35">
      <c r="A1029" s="74">
        <v>46174</v>
      </c>
      <c r="B1029" s="18" t="str">
        <f>IF($C1029="","",IFERROR(INDEX('Staff Directory'!$A$5:$A$594,MATCH($C1029,'Staff Directory'!$B$5:$B$594,0)),"⚠ unknown staff"))</f>
        <v>PSW-172-TBD</v>
      </c>
      <c r="C1029" s="49" t="s">
        <v>1151</v>
      </c>
      <c r="D1029" s="19" t="str">
        <f>IF($B1029="","",IFERROR(INDEX('Staff Directory'!$C$5:$C$594,MATCH($B1029,'Staff Directory'!$A$5:$A$594,0)),""))</f>
        <v>PSW</v>
      </c>
      <c r="E1029" s="19">
        <f>IF($B1029="","",IFERROR(INDEX('Staff Directory'!$D$5:$D$594,MATCH($B1029,'Staff Directory'!$A$5:$A$594,0)),""))</f>
        <v>0</v>
      </c>
      <c r="F1029" s="9" t="s">
        <v>156</v>
      </c>
      <c r="G1029" s="18" t="str">
        <f>IF($F1029="","",IFERROR(INDEX(Items!$B$5:$B$597,MATCH($F1029,Items!$A$5:$A$597,0)),"⚠ not in Items"))</f>
        <v>Masks</v>
      </c>
      <c r="H1029" s="19" t="str">
        <f>IF($F1029="","",IFERROR(INDEX(Items!$C$5:$C$597,MATCH($F1029,Items!$A$5:$A$597,0)),""))</f>
        <v>One Size</v>
      </c>
      <c r="I1029" s="23">
        <f>IF($F1029="","",IFERROR(INDEX(Items!$E$5:$E$597,MATCH($F1029,Items!$A$5:$A$597,0)),""))</f>
        <v>50</v>
      </c>
      <c r="J1029" s="115">
        <f>IF(tblIssues[[#This Row],[Qty Override]]&lt;&gt;"",tblIssues[[#This Row],[Qty Override]],IF(tblIssues[[#This Row],[Standard Issue]]="","",tblIssues[[#This Row],[Standard Issue]]))</f>
        <v>50</v>
      </c>
      <c r="K1029" s="20">
        <f>IF($F1029="","",IFERROR(INDEX(Items!$D$5:$D$597,MATCH($F1029,Items!$A$5:$A$597,0)),""))</f>
        <v>0.25</v>
      </c>
      <c r="L1029" s="21">
        <f t="shared" si="173"/>
        <v>12.5</v>
      </c>
      <c r="M1029" s="9" t="str">
        <f t="shared" si="171"/>
        <v>0125FPC24-2</v>
      </c>
      <c r="N1029" s="24">
        <f>IF($A1029="","",WORKDAY($A1029,Settings!$C$9,HolidayDates))</f>
        <v>46182</v>
      </c>
      <c r="O1029" s="24">
        <f>IF($N1029="","",WORKDAY($N1029,Settings!$C$10,HolidayDates))</f>
        <v>46220</v>
      </c>
      <c r="P1029" s="10" t="s">
        <v>501</v>
      </c>
      <c r="Q1029" s="52" t="str">
        <f t="shared" si="174"/>
        <v>Collected</v>
      </c>
      <c r="R1029" s="55" t="str">
        <f t="shared" si="175"/>
        <v>2026-06</v>
      </c>
      <c r="S1029" s="55">
        <f>IF(OR($B1029="",$F1029="",$R1029=""),"",SUMIFS(tblIssues[Qty Issued],tblIssues[Staff ID],$B1029,tblIssues[Item Name],$F1029,tblIssues[Month],$R1029))</f>
        <v>100</v>
      </c>
      <c r="T1029" s="56">
        <f>IF($I1029="","",$I1029*Settings!$C$11)</f>
        <v>50</v>
      </c>
      <c r="U1029" s="57" t="str">
        <f t="shared" si="172"/>
        <v>⚠ OVER QUOTA</v>
      </c>
      <c r="V1029" s="55" t="str">
        <f t="shared" si="176"/>
        <v>PSW-172-TBD | Surgical Masks | 2026-06</v>
      </c>
      <c r="W1029" s="55">
        <f>IF($V1029="","",IF(COUNTIF($V$5:$V1029,$V1029)=1,1,""))</f>
        <v>1</v>
      </c>
      <c r="X1029" s="58">
        <f>IF($W1029="","",MAX($X$4:X1028)+1)</f>
        <v>24</v>
      </c>
      <c r="Y1029" s="62"/>
      <c r="Z1029" s="62"/>
      <c r="AA1029" s="64" t="str">
        <f>IF($C1029="","",IFERROR(INDEX('Staff Directory'!$E$5:$E$594,MATCH($C1029,'Staff Directory'!$B$5:$B$594,0)),""))</f>
        <v>firstname235.lastname235@example.com</v>
      </c>
      <c r="AB1029" s="64" t="str">
        <f>IF($C1029="","",IF(ISNUMBER(SEARCH($D1029,Settings!$C$15)),"Pickup","Dispatch"))</f>
        <v>Pickup</v>
      </c>
      <c r="AC1029" s="64" t="str">
        <f t="shared" si="177"/>
        <v>Supply order ready for pickup</v>
      </c>
      <c r="AD1029" s="64" t="str">
        <f t="shared" ref="AD1029:AD1092" si="179">IF($AB1029="Pickup","Dear "&amp;$AH1029&amp;","&amp;CHAR(10)&amp;CHAR(10)&amp;"Your order is ready for pickup from Sample Branch, Wed-Fri 9am-4pm.",IF($AB1029="Dispatch","Dear "&amp;$AH1029&amp;","&amp;CHAR(10)&amp;CHAR(10)&amp;"Your order has been dispatched and is in transit. Reply if undelivered.",""))</f>
        <v>Dear PSW,
Your order is ready for pickup from Sample Branch, Wed-Fri 9am-4pm.</v>
      </c>
      <c r="AE1029" s="64" t="str">
        <f t="shared" ref="AE1029:AE1092" si="180">IF(OR($AA1029="",$AC1029=""),"","mailto:"&amp;$AA1029&amp;"?subject="&amp;_xlfn.ENCODEURL($AC1029)&amp;"&amp;body="&amp;_xlfn.ENCODEURL($AD1029))</f>
        <v>mailto:firstname235.lastname235@example.com?subject=Supply%20order%20ready%20for%20pickup&amp;body=Dear%20PSW%2C%0A%0AYour%20order%20is%20ready%20for%20pickup%20from%20Sample%20Branch%2C%20Wed-Fri%209am-4pm.</v>
      </c>
      <c r="AF1029" s="89" t="str">
        <f t="shared" si="178"/>
        <v>Draft email</v>
      </c>
      <c r="AG1029" s="64" t="str">
        <f>IF($C1029="","",IFERROR(INDEX('Staff Directory'!$K$595:$K$599,MATCH($C1029,'Staff Directory'!$B$5:$B$599,0)),$D1029))</f>
        <v>PSW</v>
      </c>
      <c r="AH1029" t="str">
        <f>IF($C1029="","",IFERROR(INDEX('Staff Directory'!$I$595:$I$599,MATCH($C1029,'Staff Directory'!$B$5:$B$599,0))&amp;" "&amp;INDEX('Staff Directory'!$J$595:$J$599,MATCH($C1029,'Staff Directory'!$B$5:$B$599,0)),$AG1029))</f>
        <v>PSW</v>
      </c>
      <c r="AI1029" s="102"/>
      <c r="AJ1029" s="101">
        <f>IF($F1029="","",SUMIFS($J$5:$J1029,$F$5:$F1029,$F1029))</f>
        <v>8050</v>
      </c>
      <c r="AK1029" s="101">
        <f t="shared" ref="AK1029:AK1092" si="181">IF($F1029="","",MAX(1,$AJ1029-MAX($J1029,0)+1))</f>
        <v>8001</v>
      </c>
      <c r="AL1029" s="66" t="str" cm="1">
        <f t="array" ref="AL1029">IF($F1029="","",IFERROR(INDEX('Lot Balance'!$B$5:$B$500,MATCH(1,INDEX(('Lot Balance'!$A$5:$A$500=$F1029)*('Lot Balance'!$K$5:$K$500&lt;$AK1029)*('Lot Balance'!$K$5:$K$500+'Lot Balance'!$D$5:$D$500&gt;=$AK1029),0),0)),""))</f>
        <v>0125FPC24-2</v>
      </c>
      <c r="AM1029" s="66" t="str" cm="1">
        <f t="array" ref="AM1029">IF($F1029="","",IFERROR(INDEX('Lot Balance'!$B$5:$B$500,MATCH(1,INDEX(('Lot Balance'!$A$5:$A$500=$F1029)*('Lot Balance'!$K$5:$K$500&lt;$AJ1029)*('Lot Balance'!$K$5:$K$500+'Lot Balance'!$D$5:$D$500&gt;=$AJ1029),0),0)),""))</f>
        <v>0125FPC24-2</v>
      </c>
      <c r="AN1029" s="66" t="str">
        <f>IF($F1029="","",IF($AI1029&lt;&gt;"",IF(COUNTIFS('Lot Balance'!$A$5:$A$500,$F1029,'Lot Balance'!$B$5:$B$500,$AI1029)=0,"⚠ override is not a lot of this item",IF($AI1029=$AL1029,"Override = FEFO","Override - FEFO says "&amp;$AL1029)),IF($AL1029="","⚠ no receipt on file for this item",IF($AM1029&lt;&gt;$AL1029,"FEFO auto - split, also "&amp;$AM1029,"FEFO auto"))))</f>
        <v>FEFO auto</v>
      </c>
      <c r="AO1029" s="114"/>
    </row>
    <row r="1030" spans="1:41" x14ac:dyDescent="0.35">
      <c r="A1030" s="74">
        <v>46174</v>
      </c>
      <c r="B1030" s="18" t="str">
        <f>IF($C1030="","",IFERROR(INDEX('Staff Directory'!$A$5:$A$594,MATCH($C1030,'Staff Directory'!$B$5:$B$594,0)),"⚠ unknown staff"))</f>
        <v>PSW-172-TBD</v>
      </c>
      <c r="C1030" s="49" t="s">
        <v>1151</v>
      </c>
      <c r="D1030" s="19" t="str">
        <f>IF($B1030="","",IFERROR(INDEX('Staff Directory'!$C$5:$C$594,MATCH($B1030,'Staff Directory'!$A$5:$A$594,0)),""))</f>
        <v>PSW</v>
      </c>
      <c r="E1030" s="19">
        <f>IF($B1030="","",IFERROR(INDEX('Staff Directory'!$D$5:$D$594,MATCH($B1030,'Staff Directory'!$A$5:$A$594,0)),""))</f>
        <v>0</v>
      </c>
      <c r="F1030" s="9" t="s">
        <v>156</v>
      </c>
      <c r="G1030" s="18" t="str">
        <f>IF($F1030="","",IFERROR(INDEX(Items!$B$5:$B$597,MATCH($F1030,Items!$A$5:$A$597,0)),"⚠ not in Items"))</f>
        <v>Masks</v>
      </c>
      <c r="H1030" s="19" t="str">
        <f>IF($F1030="","",IFERROR(INDEX(Items!$C$5:$C$597,MATCH($F1030,Items!$A$5:$A$597,0)),""))</f>
        <v>One Size</v>
      </c>
      <c r="I1030" s="23">
        <f>IF($F1030="","",IFERROR(INDEX(Items!$E$5:$E$597,MATCH($F1030,Items!$A$5:$A$597,0)),""))</f>
        <v>50</v>
      </c>
      <c r="J1030" s="115">
        <f>IF(tblIssues[[#This Row],[Qty Override]]&lt;&gt;"",tblIssues[[#This Row],[Qty Override]],IF(tblIssues[[#This Row],[Standard Issue]]="","",tblIssues[[#This Row],[Standard Issue]]))</f>
        <v>50</v>
      </c>
      <c r="K1030" s="20">
        <f>IF($F1030="","",IFERROR(INDEX(Items!$D$5:$D$597,MATCH($F1030,Items!$A$5:$A$597,0)),""))</f>
        <v>0.25</v>
      </c>
      <c r="L1030" s="21">
        <f t="shared" si="173"/>
        <v>12.5</v>
      </c>
      <c r="M1030" s="9" t="str">
        <f t="shared" ref="M1030:M1093" si="182">IF($F1030="","",IF($AI1030&lt;&gt;"",$AI1030,$AL1030))</f>
        <v>0125FPC24-2</v>
      </c>
      <c r="N1030" s="24">
        <f>IF($A1030="","",WORKDAY($A1030,Settings!$C$9,HolidayDates))</f>
        <v>46182</v>
      </c>
      <c r="O1030" s="24">
        <f>IF($N1030="","",WORKDAY($N1030,Settings!$C$10,HolidayDates))</f>
        <v>46220</v>
      </c>
      <c r="P1030" s="10" t="s">
        <v>501</v>
      </c>
      <c r="Q1030" s="52" t="str">
        <f t="shared" si="174"/>
        <v>Collected</v>
      </c>
      <c r="R1030" s="55" t="str">
        <f t="shared" si="175"/>
        <v>2026-06</v>
      </c>
      <c r="S1030" s="55">
        <f>IF(OR($B1030="",$F1030="",$R1030=""),"",SUMIFS(tblIssues[Qty Issued],tblIssues[Staff ID],$B1030,tblIssues[Item Name],$F1030,tblIssues[Month],$R1030))</f>
        <v>100</v>
      </c>
      <c r="T1030" s="56">
        <f>IF($I1030="","",$I1030*Settings!$C$11)</f>
        <v>50</v>
      </c>
      <c r="U1030" s="57" t="str">
        <f t="shared" ref="U1030:U1093" si="183">IF(OR($S1030="",$T1030=""),"",IF($S1030&gt;$T1030,IF($Y1030="Approved","APPROVED BY TL","⚠ OVER QUOTA"),"OK"))</f>
        <v>⚠ OVER QUOTA</v>
      </c>
      <c r="V1030" s="55" t="str">
        <f t="shared" si="176"/>
        <v>PSW-172-TBD | Surgical Masks | 2026-06</v>
      </c>
      <c r="W1030" s="55" t="str">
        <f>IF($V1030="","",IF(COUNTIF($V$5:$V1030,$V1030)=1,1,""))</f>
        <v/>
      </c>
      <c r="X1030" s="58" t="str">
        <f>IF($W1030="","",MAX($X$4:X1029)+1)</f>
        <v/>
      </c>
      <c r="Y1030" s="62"/>
      <c r="Z1030" s="62"/>
      <c r="AA1030" s="64" t="str">
        <f>IF($C1030="","",IFERROR(INDEX('Staff Directory'!$E$5:$E$594,MATCH($C1030,'Staff Directory'!$B$5:$B$594,0)),""))</f>
        <v>firstname235.lastname235@example.com</v>
      </c>
      <c r="AB1030" s="64" t="str">
        <f>IF($C1030="","",IF(ISNUMBER(SEARCH($D1030,Settings!$C$15)),"Pickup","Dispatch"))</f>
        <v>Pickup</v>
      </c>
      <c r="AC1030" s="64" t="str">
        <f t="shared" si="177"/>
        <v>Supply order ready for pickup</v>
      </c>
      <c r="AD1030" s="64" t="str">
        <f t="shared" si="179"/>
        <v>Dear PSW,
Your order is ready for pickup from Sample Branch, Wed-Fri 9am-4pm.</v>
      </c>
      <c r="AE1030" s="64" t="str">
        <f t="shared" si="180"/>
        <v>mailto:firstname235.lastname235@example.com?subject=Supply%20order%20ready%20for%20pickup&amp;body=Dear%20PSW%2C%0A%0AYour%20order%20is%20ready%20for%20pickup%20from%20Sample%20Branch%2C%20Wed-Fri%209am-4pm.</v>
      </c>
      <c r="AF1030" s="89" t="str">
        <f t="shared" si="178"/>
        <v>Draft email</v>
      </c>
      <c r="AG1030" s="64" t="str">
        <f>IF($C1030="","",IFERROR(INDEX('Staff Directory'!$K$595:$K$599,MATCH($C1030,'Staff Directory'!$B$5:$B$599,0)),$D1030))</f>
        <v>PSW</v>
      </c>
      <c r="AH1030" t="str">
        <f>IF($C1030="","",IFERROR(INDEX('Staff Directory'!$I$595:$I$599,MATCH($C1030,'Staff Directory'!$B$5:$B$599,0))&amp;" "&amp;INDEX('Staff Directory'!$J$595:$J$599,MATCH($C1030,'Staff Directory'!$B$5:$B$599,0)),$AG1030))</f>
        <v>PSW</v>
      </c>
      <c r="AI1030" s="102"/>
      <c r="AJ1030" s="101">
        <f>IF($F1030="","",SUMIFS($J$5:$J1030,$F$5:$F1030,$F1030))</f>
        <v>8100</v>
      </c>
      <c r="AK1030" s="101">
        <f t="shared" si="181"/>
        <v>8051</v>
      </c>
      <c r="AL1030" s="66" t="str" cm="1">
        <f t="array" ref="AL1030">IF($F1030="","",IFERROR(INDEX('Lot Balance'!$B$5:$B$500,MATCH(1,INDEX(('Lot Balance'!$A$5:$A$500=$F1030)*('Lot Balance'!$K$5:$K$500&lt;$AK1030)*('Lot Balance'!$K$5:$K$500+'Lot Balance'!$D$5:$D$500&gt;=$AK1030),0),0)),""))</f>
        <v>0125FPC24-2</v>
      </c>
      <c r="AM1030" s="66" t="str" cm="1">
        <f t="array" ref="AM1030">IF($F1030="","",IFERROR(INDEX('Lot Balance'!$B$5:$B$500,MATCH(1,INDEX(('Lot Balance'!$A$5:$A$500=$F1030)*('Lot Balance'!$K$5:$K$500&lt;$AJ1030)*('Lot Balance'!$K$5:$K$500+'Lot Balance'!$D$5:$D$500&gt;=$AJ1030),0),0)),""))</f>
        <v>0125FPC24-2</v>
      </c>
      <c r="AN1030" s="66" t="str">
        <f>IF($F1030="","",IF($AI1030&lt;&gt;"",IF(COUNTIFS('Lot Balance'!$A$5:$A$500,$F1030,'Lot Balance'!$B$5:$B$500,$AI1030)=0,"⚠ override is not a lot of this item",IF($AI1030=$AL1030,"Override = FEFO","Override - FEFO says "&amp;$AL1030)),IF($AL1030="","⚠ no receipt on file for this item",IF($AM1030&lt;&gt;$AL1030,"FEFO auto - split, also "&amp;$AM1030,"FEFO auto"))))</f>
        <v>FEFO auto</v>
      </c>
      <c r="AO1030" s="114"/>
    </row>
    <row r="1031" spans="1:41" x14ac:dyDescent="0.35">
      <c r="A1031" s="74">
        <v>46174</v>
      </c>
      <c r="B1031" s="18" t="str">
        <f>IF($C1031="","",IFERROR(INDEX('Staff Directory'!$A$5:$A$594,MATCH($C1031,'Staff Directory'!$B$5:$B$594,0)),"⚠ unknown staff"))</f>
        <v>PSW-132-A6</v>
      </c>
      <c r="C1031" s="49" t="s">
        <v>1111</v>
      </c>
      <c r="D1031" s="19" t="str">
        <f>IF($B1031="","",IFERROR(INDEX('Staff Directory'!$C$5:$C$594,MATCH($B1031,'Staff Directory'!$A$5:$A$594,0)),""))</f>
        <v>PSW</v>
      </c>
      <c r="E1031" s="19" t="str">
        <f>IF($B1031="","",IFERROR(INDEX('Staff Directory'!$D$5:$D$594,MATCH($B1031,'Staff Directory'!$A$5:$A$594,0)),""))</f>
        <v>A6</v>
      </c>
      <c r="F1031" s="9" t="s">
        <v>124</v>
      </c>
      <c r="G1031" s="18" t="str">
        <f>IF($F1031="","",IFERROR(INDEX(Items!$B$5:$B$597,MATCH($F1031,Items!$A$5:$A$597,0)),"⚠ not in Items"))</f>
        <v>Gloves</v>
      </c>
      <c r="H1031" s="19" t="str">
        <f>IF($F1031="","",IFERROR(INDEX(Items!$C$5:$C$597,MATCH($F1031,Items!$A$5:$A$597,0)),""))</f>
        <v>Large</v>
      </c>
      <c r="I1031" s="23">
        <f>IF($F1031="","",IFERROR(INDEX(Items!$E$5:$E$597,MATCH($F1031,Items!$A$5:$A$597,0)),""))</f>
        <v>500</v>
      </c>
      <c r="J1031" s="115">
        <f>IF(tblIssues[[#This Row],[Qty Override]]&lt;&gt;"",tblIssues[[#This Row],[Qty Override]],IF(tblIssues[[#This Row],[Standard Issue]]="","",tblIssues[[#This Row],[Standard Issue]]))</f>
        <v>500</v>
      </c>
      <c r="K1031" s="20">
        <f>IF($F1031="","",IFERROR(INDEX(Items!$D$5:$D$597,MATCH($F1031,Items!$A$5:$A$597,0)),""))</f>
        <v>5.5E-2</v>
      </c>
      <c r="L1031" s="21">
        <f t="shared" si="173"/>
        <v>27.5</v>
      </c>
      <c r="M1031" s="9" t="str">
        <f t="shared" si="182"/>
        <v>O16705</v>
      </c>
      <c r="N1031" s="24">
        <f>IF($A1031="","",WORKDAY($A1031,Settings!$C$9,HolidayDates))</f>
        <v>46182</v>
      </c>
      <c r="O1031" s="24">
        <f>IF($N1031="","",WORKDAY($N1031,Settings!$C$10,HolidayDates))</f>
        <v>46220</v>
      </c>
      <c r="P1031" s="10" t="s">
        <v>501</v>
      </c>
      <c r="Q1031" s="52" t="str">
        <f t="shared" si="174"/>
        <v>Collected</v>
      </c>
      <c r="R1031" s="55" t="str">
        <f t="shared" si="175"/>
        <v>2026-06</v>
      </c>
      <c r="S1031" s="55">
        <f>IF(OR($B1031="",$F1031="",$R1031=""),"",SUMIFS(tblIssues[Qty Issued],tblIssues[Staff ID],$B1031,tblIssues[Item Name],$F1031,tblIssues[Month],$R1031))</f>
        <v>500</v>
      </c>
      <c r="T1031" s="56">
        <f>IF($I1031="","",$I1031*Settings!$C$11)</f>
        <v>500</v>
      </c>
      <c r="U1031" s="57" t="str">
        <f t="shared" si="183"/>
        <v>OK</v>
      </c>
      <c r="V1031" s="55" t="str">
        <f t="shared" si="176"/>
        <v/>
      </c>
      <c r="W1031" s="55" t="str">
        <f>IF($V1031="","",IF(COUNTIF($V$5:$V1031,$V1031)=1,1,""))</f>
        <v/>
      </c>
      <c r="X1031" s="58" t="str">
        <f>IF($W1031="","",MAX($X$4:X1030)+1)</f>
        <v/>
      </c>
      <c r="Y1031" s="62"/>
      <c r="Z1031" s="62"/>
      <c r="AA1031" s="64" t="str">
        <f>IF($C1031="","",IFERROR(INDEX('Staff Directory'!$E$5:$E$594,MATCH($C1031,'Staff Directory'!$B$5:$B$594,0)),""))</f>
        <v>firstname195.lastname195@example.com</v>
      </c>
      <c r="AB1031" s="64" t="str">
        <f>IF($C1031="","",IF(ISNUMBER(SEARCH($D1031,Settings!$C$15)),"Pickup","Dispatch"))</f>
        <v>Pickup</v>
      </c>
      <c r="AC1031" s="64" t="str">
        <f t="shared" si="177"/>
        <v>Supply order ready for pickup</v>
      </c>
      <c r="AD1031" s="64" t="str">
        <f t="shared" si="179"/>
        <v>Dear PSW,
Your order is ready for pickup from Sample Branch, Wed-Fri 9am-4pm.</v>
      </c>
      <c r="AE1031" s="64" t="str">
        <f t="shared" si="180"/>
        <v>mailto:firstname195.lastname195@example.com?subject=Supply%20order%20ready%20for%20pickup&amp;body=Dear%20PSW%2C%0A%0AYour%20order%20is%20ready%20for%20pickup%20from%20Sample%20Branch%2C%20Wed-Fri%209am-4pm.</v>
      </c>
      <c r="AF1031" s="89" t="str">
        <f t="shared" si="178"/>
        <v>Draft email</v>
      </c>
      <c r="AG1031" s="64" t="str">
        <f>IF($C1031="","",IFERROR(INDEX('Staff Directory'!$K$595:$K$599,MATCH($C1031,'Staff Directory'!$B$5:$B$599,0)),$D1031))</f>
        <v>PSW</v>
      </c>
      <c r="AH1031" t="str">
        <f>IF($C1031="","",IFERROR(INDEX('Staff Directory'!$I$595:$I$599,MATCH($C1031,'Staff Directory'!$B$5:$B$599,0))&amp;" "&amp;INDEX('Staff Directory'!$J$595:$J$599,MATCH($C1031,'Staff Directory'!$B$5:$B$599,0)),$AG1031))</f>
        <v>PSW</v>
      </c>
      <c r="AI1031" s="102"/>
      <c r="AJ1031" s="101">
        <f>IF($F1031="","",SUMIFS($J$5:$J1031,$F$5:$F1031,$F1031))</f>
        <v>28500</v>
      </c>
      <c r="AK1031" s="101">
        <f t="shared" si="181"/>
        <v>28001</v>
      </c>
      <c r="AL1031" s="66" t="str" cm="1">
        <f t="array" ref="AL1031">IF($F1031="","",IFERROR(INDEX('Lot Balance'!$B$5:$B$500,MATCH(1,INDEX(('Lot Balance'!$A$5:$A$500=$F1031)*('Lot Balance'!$K$5:$K$500&lt;$AK1031)*('Lot Balance'!$K$5:$K$500+'Lot Balance'!$D$5:$D$500&gt;=$AK1031),0),0)),""))</f>
        <v>O16705</v>
      </c>
      <c r="AM1031" s="66" t="str" cm="1">
        <f t="array" ref="AM1031">IF($F1031="","",IFERROR(INDEX('Lot Balance'!$B$5:$B$500,MATCH(1,INDEX(('Lot Balance'!$A$5:$A$500=$F1031)*('Lot Balance'!$K$5:$K$500&lt;$AJ1031)*('Lot Balance'!$K$5:$K$500+'Lot Balance'!$D$5:$D$500&gt;=$AJ1031),0),0)),""))</f>
        <v>O16705</v>
      </c>
      <c r="AN1031" s="66" t="str">
        <f>IF($F1031="","",IF($AI1031&lt;&gt;"",IF(COUNTIFS('Lot Balance'!$A$5:$A$500,$F1031,'Lot Balance'!$B$5:$B$500,$AI1031)=0,"⚠ override is not a lot of this item",IF($AI1031=$AL1031,"Override = FEFO","Override - FEFO says "&amp;$AL1031)),IF($AL1031="","⚠ no receipt on file for this item",IF($AM1031&lt;&gt;$AL1031,"FEFO auto - split, also "&amp;$AM1031,"FEFO auto"))))</f>
        <v>FEFO auto</v>
      </c>
      <c r="AO1031" s="114"/>
    </row>
    <row r="1032" spans="1:41" x14ac:dyDescent="0.35">
      <c r="A1032" s="74">
        <v>46174</v>
      </c>
      <c r="B1032" s="18" t="str">
        <f>IF($C1032="","",IFERROR(INDEX('Staff Directory'!$A$5:$A$594,MATCH($C1032,'Staff Directory'!$B$5:$B$594,0)),"⚠ unknown staff"))</f>
        <v>PSW-132-A6</v>
      </c>
      <c r="C1032" s="49" t="s">
        <v>1111</v>
      </c>
      <c r="D1032" s="19" t="str">
        <f>IF($B1032="","",IFERROR(INDEX('Staff Directory'!$C$5:$C$594,MATCH($B1032,'Staff Directory'!$A$5:$A$594,0)),""))</f>
        <v>PSW</v>
      </c>
      <c r="E1032" s="19" t="str">
        <f>IF($B1032="","",IFERROR(INDEX('Staff Directory'!$D$5:$D$594,MATCH($B1032,'Staff Directory'!$A$5:$A$594,0)),""))</f>
        <v>A6</v>
      </c>
      <c r="F1032" s="9" t="s">
        <v>191</v>
      </c>
      <c r="G1032" s="18" t="str">
        <f>IF($F1032="","",IFERROR(INDEX(Items!$B$5:$B$597,MATCH($F1032,Items!$A$5:$A$597,0)),"⚠ not in Items"))</f>
        <v>Sanitizer</v>
      </c>
      <c r="H1032" s="19" t="str">
        <f>IF($F1032="","",IFERROR(INDEX(Items!$C$5:$C$597,MATCH($F1032,Items!$A$5:$A$597,0)),""))</f>
        <v>236 ML</v>
      </c>
      <c r="I1032" s="23">
        <f>IF($F1032="","",IFERROR(INDEX(Items!$E$5:$E$597,MATCH($F1032,Items!$A$5:$A$597,0)),""))</f>
        <v>1</v>
      </c>
      <c r="J1032" s="115">
        <f>IF(tblIssues[[#This Row],[Qty Override]]&lt;&gt;"",tblIssues[[#This Row],[Qty Override]],IF(tblIssues[[#This Row],[Standard Issue]]="","",tblIssues[[#This Row],[Standard Issue]]))</f>
        <v>1</v>
      </c>
      <c r="K1032" s="20">
        <f>IF($F1032="","",IFERROR(INDEX(Items!$D$5:$D$597,MATCH($F1032,Items!$A$5:$A$597,0)),""))</f>
        <v>1E-4</v>
      </c>
      <c r="L1032" s="21">
        <f t="shared" ref="L1032:L1095" si="184">IF(OR($J1032="",$K1032=""),"",$J1032*$K1032)</f>
        <v>1E-4</v>
      </c>
      <c r="M1032" s="9" t="str">
        <f t="shared" si="182"/>
        <v>20-21734-4</v>
      </c>
      <c r="N1032" s="24">
        <f>IF($A1032="","",WORKDAY($A1032,Settings!$C$9,HolidayDates))</f>
        <v>46182</v>
      </c>
      <c r="O1032" s="24">
        <f>IF($N1032="","",WORKDAY($N1032,Settings!$C$10,HolidayDates))</f>
        <v>46220</v>
      </c>
      <c r="P1032" s="10" t="s">
        <v>501</v>
      </c>
      <c r="Q1032" s="52" t="str">
        <f t="shared" si="174"/>
        <v>Collected</v>
      </c>
      <c r="R1032" s="55" t="str">
        <f t="shared" si="175"/>
        <v>2026-06</v>
      </c>
      <c r="S1032" s="55">
        <f>IF(OR($B1032="",$F1032="",$R1032=""),"",SUMIFS(tblIssues[Qty Issued],tblIssues[Staff ID],$B1032,tblIssues[Item Name],$F1032,tblIssues[Month],$R1032))</f>
        <v>1</v>
      </c>
      <c r="T1032" s="56">
        <f>IF($I1032="","",$I1032*Settings!$C$11)</f>
        <v>1</v>
      </c>
      <c r="U1032" s="57" t="str">
        <f t="shared" si="183"/>
        <v>OK</v>
      </c>
      <c r="V1032" s="55" t="str">
        <f t="shared" si="176"/>
        <v/>
      </c>
      <c r="W1032" s="55" t="str">
        <f>IF($V1032="","",IF(COUNTIF($V$5:$V1032,$V1032)=1,1,""))</f>
        <v/>
      </c>
      <c r="X1032" s="58" t="str">
        <f>IF($W1032="","",MAX($X$4:X1031)+1)</f>
        <v/>
      </c>
      <c r="Y1032" s="62"/>
      <c r="Z1032" s="62"/>
      <c r="AA1032" s="64" t="str">
        <f>IF($C1032="","",IFERROR(INDEX('Staff Directory'!$E$5:$E$594,MATCH($C1032,'Staff Directory'!$B$5:$B$594,0)),""))</f>
        <v>firstname195.lastname195@example.com</v>
      </c>
      <c r="AB1032" s="64" t="str">
        <f>IF($C1032="","",IF(ISNUMBER(SEARCH($D1032,Settings!$C$15)),"Pickup","Dispatch"))</f>
        <v>Pickup</v>
      </c>
      <c r="AC1032" s="64" t="str">
        <f t="shared" si="177"/>
        <v>Supply order ready for pickup</v>
      </c>
      <c r="AD1032" s="64" t="str">
        <f t="shared" si="179"/>
        <v>Dear PSW,
Your order is ready for pickup from Sample Branch, Wed-Fri 9am-4pm.</v>
      </c>
      <c r="AE1032" s="64" t="str">
        <f t="shared" si="180"/>
        <v>mailto:firstname195.lastname195@example.com?subject=Supply%20order%20ready%20for%20pickup&amp;body=Dear%20PSW%2C%0A%0AYour%20order%20is%20ready%20for%20pickup%20from%20Sample%20Branch%2C%20Wed-Fri%209am-4pm.</v>
      </c>
      <c r="AF1032" s="89" t="str">
        <f t="shared" si="178"/>
        <v>Draft email</v>
      </c>
      <c r="AG1032" s="64" t="str">
        <f>IF($C1032="","",IFERROR(INDEX('Staff Directory'!$K$595:$K$599,MATCH($C1032,'Staff Directory'!$B$5:$B$599,0)),$D1032))</f>
        <v>PSW</v>
      </c>
      <c r="AH1032" t="str">
        <f>IF($C1032="","",IFERROR(INDEX('Staff Directory'!$I$595:$I$599,MATCH($C1032,'Staff Directory'!$B$5:$B$599,0))&amp;" "&amp;INDEX('Staff Directory'!$J$595:$J$599,MATCH($C1032,'Staff Directory'!$B$5:$B$599,0)),$AG1032))</f>
        <v>PSW</v>
      </c>
      <c r="AI1032" s="102"/>
      <c r="AJ1032" s="101">
        <f>IF($F1032="","",SUMIFS($J$5:$J1032,$F$5:$F1032,$F1032))</f>
        <v>118</v>
      </c>
      <c r="AK1032" s="101">
        <f t="shared" si="181"/>
        <v>118</v>
      </c>
      <c r="AL1032" s="66" t="str" cm="1">
        <f t="array" ref="AL1032">IF($F1032="","",IFERROR(INDEX('Lot Balance'!$B$5:$B$500,MATCH(1,INDEX(('Lot Balance'!$A$5:$A$500=$F1032)*('Lot Balance'!$K$5:$K$500&lt;$AK1032)*('Lot Balance'!$K$5:$K$500+'Lot Balance'!$D$5:$D$500&gt;=$AK1032),0),0)),""))</f>
        <v>20-21734-4</v>
      </c>
      <c r="AM1032" s="66" t="str" cm="1">
        <f t="array" ref="AM1032">IF($F1032="","",IFERROR(INDEX('Lot Balance'!$B$5:$B$500,MATCH(1,INDEX(('Lot Balance'!$A$5:$A$500=$F1032)*('Lot Balance'!$K$5:$K$500&lt;$AJ1032)*('Lot Balance'!$K$5:$K$500+'Lot Balance'!$D$5:$D$500&gt;=$AJ1032),0),0)),""))</f>
        <v>20-21734-4</v>
      </c>
      <c r="AN1032" s="66" t="str">
        <f>IF($F1032="","",IF($AI1032&lt;&gt;"",IF(COUNTIFS('Lot Balance'!$A$5:$A$500,$F1032,'Lot Balance'!$B$5:$B$500,$AI1032)=0,"⚠ override is not a lot of this item",IF($AI1032=$AL1032,"Override = FEFO","Override - FEFO says "&amp;$AL1032)),IF($AL1032="","⚠ no receipt on file for this item",IF($AM1032&lt;&gt;$AL1032,"FEFO auto - split, also "&amp;$AM1032,"FEFO auto"))))</f>
        <v>FEFO auto</v>
      </c>
      <c r="AO1032" s="114"/>
    </row>
    <row r="1033" spans="1:41" x14ac:dyDescent="0.35">
      <c r="A1033" s="74">
        <v>46174</v>
      </c>
      <c r="B1033" s="18" t="str">
        <f>IF($C1033="","",IFERROR(INDEX('Staff Directory'!$A$5:$A$594,MATCH($C1033,'Staff Directory'!$B$5:$B$594,0)),"⚠ unknown staff"))</f>
        <v>PSW-132-A6</v>
      </c>
      <c r="C1033" s="49" t="s">
        <v>1111</v>
      </c>
      <c r="D1033" s="19" t="str">
        <f>IF($B1033="","",IFERROR(INDEX('Staff Directory'!$C$5:$C$594,MATCH($B1033,'Staff Directory'!$A$5:$A$594,0)),""))</f>
        <v>PSW</v>
      </c>
      <c r="E1033" s="19" t="str">
        <f>IF($B1033="","",IFERROR(INDEX('Staff Directory'!$D$5:$D$594,MATCH($B1033,'Staff Directory'!$A$5:$A$594,0)),""))</f>
        <v>A6</v>
      </c>
      <c r="F1033" s="9" t="s">
        <v>115</v>
      </c>
      <c r="G1033" s="18" t="str">
        <f>IF($F1033="","",IFERROR(INDEX(Items!$B$5:$B$597,MATCH($F1033,Items!$A$5:$A$597,0)),"⚠ not in Items"))</f>
        <v>Wipes</v>
      </c>
      <c r="H1033" s="19">
        <f>IF($F1033="","",IFERROR(INDEX(Items!$C$5:$C$597,MATCH($F1033,Items!$A$5:$A$597,0)),""))</f>
        <v>80</v>
      </c>
      <c r="I1033" s="23">
        <f>IF($F1033="","",IFERROR(INDEX(Items!$E$5:$E$597,MATCH($F1033,Items!$A$5:$A$597,0)),""))</f>
        <v>80</v>
      </c>
      <c r="J1033" s="115">
        <f>IF(tblIssues[[#This Row],[Qty Override]]&lt;&gt;"",tblIssues[[#This Row],[Qty Override]],IF(tblIssues[[#This Row],[Standard Issue]]="","",tblIssues[[#This Row],[Standard Issue]]))</f>
        <v>80</v>
      </c>
      <c r="K1033" s="20">
        <f>IF($F1033="","",IFERROR(INDEX(Items!$D$5:$D$597,MATCH($F1033,Items!$A$5:$A$597,0)),""))</f>
        <v>0.1</v>
      </c>
      <c r="L1033" s="21">
        <f t="shared" si="184"/>
        <v>8</v>
      </c>
      <c r="M1033" s="9" t="str">
        <f t="shared" si="182"/>
        <v>LYSL500290</v>
      </c>
      <c r="N1033" s="24">
        <f>IF($A1033="","",WORKDAY($A1033,Settings!$C$9,HolidayDates))</f>
        <v>46182</v>
      </c>
      <c r="O1033" s="24">
        <f>IF($N1033="","",WORKDAY($N1033,Settings!$C$10,HolidayDates))</f>
        <v>46220</v>
      </c>
      <c r="P1033" s="10" t="s">
        <v>501</v>
      </c>
      <c r="Q1033" s="52" t="str">
        <f t="shared" si="174"/>
        <v>Collected</v>
      </c>
      <c r="R1033" s="55" t="str">
        <f t="shared" si="175"/>
        <v>2026-06</v>
      </c>
      <c r="S1033" s="55">
        <f>IF(OR($B1033="",$F1033="",$R1033=""),"",SUMIFS(tblIssues[Qty Issued],tblIssues[Staff ID],$B1033,tblIssues[Item Name],$F1033,tblIssues[Month],$R1033))</f>
        <v>80</v>
      </c>
      <c r="T1033" s="56">
        <f>IF($I1033="","",$I1033*Settings!$C$11)</f>
        <v>80</v>
      </c>
      <c r="U1033" s="57" t="str">
        <f t="shared" si="183"/>
        <v>OK</v>
      </c>
      <c r="V1033" s="55" t="str">
        <f t="shared" si="176"/>
        <v/>
      </c>
      <c r="W1033" s="55" t="str">
        <f>IF($V1033="","",IF(COUNTIF($V$5:$V1033,$V1033)=1,1,""))</f>
        <v/>
      </c>
      <c r="X1033" s="58" t="str">
        <f>IF($W1033="","",MAX($X$4:X1032)+1)</f>
        <v/>
      </c>
      <c r="Y1033" s="62"/>
      <c r="Z1033" s="62"/>
      <c r="AA1033" s="64" t="str">
        <f>IF($C1033="","",IFERROR(INDEX('Staff Directory'!$E$5:$E$594,MATCH($C1033,'Staff Directory'!$B$5:$B$594,0)),""))</f>
        <v>firstname195.lastname195@example.com</v>
      </c>
      <c r="AB1033" s="64" t="str">
        <f>IF($C1033="","",IF(ISNUMBER(SEARCH($D1033,Settings!$C$15)),"Pickup","Dispatch"))</f>
        <v>Pickup</v>
      </c>
      <c r="AC1033" s="64" t="str">
        <f t="shared" si="177"/>
        <v>Supply order ready for pickup</v>
      </c>
      <c r="AD1033" s="64" t="str">
        <f t="shared" si="179"/>
        <v>Dear PSW,
Your order is ready for pickup from Sample Branch, Wed-Fri 9am-4pm.</v>
      </c>
      <c r="AE1033" s="64" t="str">
        <f t="shared" si="180"/>
        <v>mailto:firstname195.lastname195@example.com?subject=Supply%20order%20ready%20for%20pickup&amp;body=Dear%20PSW%2C%0A%0AYour%20order%20is%20ready%20for%20pickup%20from%20Sample%20Branch%2C%20Wed-Fri%209am-4pm.</v>
      </c>
      <c r="AF1033" s="89" t="str">
        <f t="shared" si="178"/>
        <v>Draft email</v>
      </c>
      <c r="AG1033" s="64" t="str">
        <f>IF($C1033="","",IFERROR(INDEX('Staff Directory'!$K$595:$K$599,MATCH($C1033,'Staff Directory'!$B$5:$B$599,0)),$D1033))</f>
        <v>PSW</v>
      </c>
      <c r="AH1033" t="str">
        <f>IF($C1033="","",IFERROR(INDEX('Staff Directory'!$I$595:$I$599,MATCH($C1033,'Staff Directory'!$B$5:$B$599,0))&amp;" "&amp;INDEX('Staff Directory'!$J$595:$J$599,MATCH($C1033,'Staff Directory'!$B$5:$B$599,0)),$AG1033))</f>
        <v>PSW</v>
      </c>
      <c r="AI1033" s="102"/>
      <c r="AJ1033" s="101">
        <f>IF($F1033="","",SUMIFS($J$5:$J1033,$F$5:$F1033,$F1033))</f>
        <v>13520</v>
      </c>
      <c r="AK1033" s="101">
        <f t="shared" si="181"/>
        <v>13441</v>
      </c>
      <c r="AL1033" s="66" t="str" cm="1">
        <f t="array" ref="AL1033">IF($F1033="","",IFERROR(INDEX('Lot Balance'!$B$5:$B$500,MATCH(1,INDEX(('Lot Balance'!$A$5:$A$500=$F1033)*('Lot Balance'!$K$5:$K$500&lt;$AK1033)*('Lot Balance'!$K$5:$K$500+'Lot Balance'!$D$5:$D$500&gt;=$AK1033),0),0)),""))</f>
        <v>LYSL500290</v>
      </c>
      <c r="AM1033" s="66" t="str" cm="1">
        <f t="array" ref="AM1033">IF($F1033="","",IFERROR(INDEX('Lot Balance'!$B$5:$B$500,MATCH(1,INDEX(('Lot Balance'!$A$5:$A$500=$F1033)*('Lot Balance'!$K$5:$K$500&lt;$AJ1033)*('Lot Balance'!$K$5:$K$500+'Lot Balance'!$D$5:$D$500&gt;=$AJ1033),0),0)),""))</f>
        <v>LYSL500290</v>
      </c>
      <c r="AN1033" s="66" t="str">
        <f>IF($F1033="","",IF($AI1033&lt;&gt;"",IF(COUNTIFS('Lot Balance'!$A$5:$A$500,$F1033,'Lot Balance'!$B$5:$B$500,$AI1033)=0,"⚠ override is not a lot of this item",IF($AI1033=$AL1033,"Override = FEFO","Override - FEFO says "&amp;$AL1033)),IF($AL1033="","⚠ no receipt on file for this item",IF($AM1033&lt;&gt;$AL1033,"FEFO auto - split, also "&amp;$AM1033,"FEFO auto"))))</f>
        <v>FEFO auto</v>
      </c>
      <c r="AO1033" s="114"/>
    </row>
    <row r="1034" spans="1:41" x14ac:dyDescent="0.35">
      <c r="A1034" s="74">
        <v>46174</v>
      </c>
      <c r="B1034" s="18" t="str">
        <f>IF($C1034="","",IFERROR(INDEX('Staff Directory'!$A$5:$A$594,MATCH($C1034,'Staff Directory'!$B$5:$B$594,0)),"⚠ unknown staff"))</f>
        <v>PSW-132-A6</v>
      </c>
      <c r="C1034" s="49" t="s">
        <v>1111</v>
      </c>
      <c r="D1034" s="19" t="str">
        <f>IF($B1034="","",IFERROR(INDEX('Staff Directory'!$C$5:$C$594,MATCH($B1034,'Staff Directory'!$A$5:$A$594,0)),""))</f>
        <v>PSW</v>
      </c>
      <c r="E1034" s="19" t="str">
        <f>IF($B1034="","",IFERROR(INDEX('Staff Directory'!$D$5:$D$594,MATCH($B1034,'Staff Directory'!$A$5:$A$594,0)),""))</f>
        <v>A6</v>
      </c>
      <c r="F1034" s="9" t="s">
        <v>156</v>
      </c>
      <c r="G1034" s="18" t="str">
        <f>IF($F1034="","",IFERROR(INDEX(Items!$B$5:$B$597,MATCH($F1034,Items!$A$5:$A$597,0)),"⚠ not in Items"))</f>
        <v>Masks</v>
      </c>
      <c r="H1034" s="19" t="str">
        <f>IF($F1034="","",IFERROR(INDEX(Items!$C$5:$C$597,MATCH($F1034,Items!$A$5:$A$597,0)),""))</f>
        <v>One Size</v>
      </c>
      <c r="I1034" s="23">
        <f>IF($F1034="","",IFERROR(INDEX(Items!$E$5:$E$597,MATCH($F1034,Items!$A$5:$A$597,0)),""))</f>
        <v>50</v>
      </c>
      <c r="J1034" s="115">
        <f>IF(tblIssues[[#This Row],[Qty Override]]&lt;&gt;"",tblIssues[[#This Row],[Qty Override]],IF(tblIssues[[#This Row],[Standard Issue]]="","",tblIssues[[#This Row],[Standard Issue]]))</f>
        <v>50</v>
      </c>
      <c r="K1034" s="20">
        <f>IF($F1034="","",IFERROR(INDEX(Items!$D$5:$D$597,MATCH($F1034,Items!$A$5:$A$597,0)),""))</f>
        <v>0.25</v>
      </c>
      <c r="L1034" s="21">
        <f t="shared" si="184"/>
        <v>12.5</v>
      </c>
      <c r="M1034" s="9" t="str">
        <f t="shared" si="182"/>
        <v>0125FPC24-2</v>
      </c>
      <c r="N1034" s="24">
        <f>IF($A1034="","",WORKDAY($A1034,Settings!$C$9,HolidayDates))</f>
        <v>46182</v>
      </c>
      <c r="O1034" s="24">
        <f>IF($N1034="","",WORKDAY($N1034,Settings!$C$10,HolidayDates))</f>
        <v>46220</v>
      </c>
      <c r="P1034" s="10" t="s">
        <v>501</v>
      </c>
      <c r="Q1034" s="52" t="str">
        <f t="shared" si="174"/>
        <v>Collected</v>
      </c>
      <c r="R1034" s="55" t="str">
        <f t="shared" si="175"/>
        <v>2026-06</v>
      </c>
      <c r="S1034" s="55">
        <f>IF(OR($B1034="",$F1034="",$R1034=""),"",SUMIFS(tblIssues[Qty Issued],tblIssues[Staff ID],$B1034,tblIssues[Item Name],$F1034,tblIssues[Month],$R1034))</f>
        <v>50</v>
      </c>
      <c r="T1034" s="56">
        <f>IF($I1034="","",$I1034*Settings!$C$11)</f>
        <v>50</v>
      </c>
      <c r="U1034" s="57" t="str">
        <f t="shared" si="183"/>
        <v>OK</v>
      </c>
      <c r="V1034" s="55" t="str">
        <f t="shared" si="176"/>
        <v/>
      </c>
      <c r="W1034" s="55" t="str">
        <f>IF($V1034="","",IF(COUNTIF($V$5:$V1034,$V1034)=1,1,""))</f>
        <v/>
      </c>
      <c r="X1034" s="58" t="str">
        <f>IF($W1034="","",MAX($X$4:X1033)+1)</f>
        <v/>
      </c>
      <c r="Y1034" s="62"/>
      <c r="Z1034" s="62"/>
      <c r="AA1034" s="64" t="str">
        <f>IF($C1034="","",IFERROR(INDEX('Staff Directory'!$E$5:$E$594,MATCH($C1034,'Staff Directory'!$B$5:$B$594,0)),""))</f>
        <v>firstname195.lastname195@example.com</v>
      </c>
      <c r="AB1034" s="64" t="str">
        <f>IF($C1034="","",IF(ISNUMBER(SEARCH($D1034,Settings!$C$15)),"Pickup","Dispatch"))</f>
        <v>Pickup</v>
      </c>
      <c r="AC1034" s="64" t="str">
        <f t="shared" si="177"/>
        <v>Supply order ready for pickup</v>
      </c>
      <c r="AD1034" s="64" t="str">
        <f t="shared" si="179"/>
        <v>Dear PSW,
Your order is ready for pickup from Sample Branch, Wed-Fri 9am-4pm.</v>
      </c>
      <c r="AE1034" s="64" t="str">
        <f t="shared" si="180"/>
        <v>mailto:firstname195.lastname195@example.com?subject=Supply%20order%20ready%20for%20pickup&amp;body=Dear%20PSW%2C%0A%0AYour%20order%20is%20ready%20for%20pickup%20from%20Sample%20Branch%2C%20Wed-Fri%209am-4pm.</v>
      </c>
      <c r="AF1034" s="89" t="str">
        <f t="shared" si="178"/>
        <v>Draft email</v>
      </c>
      <c r="AG1034" s="64" t="str">
        <f>IF($C1034="","",IFERROR(INDEX('Staff Directory'!$K$595:$K$599,MATCH($C1034,'Staff Directory'!$B$5:$B$599,0)),$D1034))</f>
        <v>PSW</v>
      </c>
      <c r="AH1034" t="str">
        <f>IF($C1034="","",IFERROR(INDEX('Staff Directory'!$I$595:$I$599,MATCH($C1034,'Staff Directory'!$B$5:$B$599,0))&amp;" "&amp;INDEX('Staff Directory'!$J$595:$J$599,MATCH($C1034,'Staff Directory'!$B$5:$B$599,0)),$AG1034))</f>
        <v>PSW</v>
      </c>
      <c r="AI1034" s="102"/>
      <c r="AJ1034" s="101">
        <f>IF($F1034="","",SUMIFS($J$5:$J1034,$F$5:$F1034,$F1034))</f>
        <v>8150</v>
      </c>
      <c r="AK1034" s="101">
        <f t="shared" si="181"/>
        <v>8101</v>
      </c>
      <c r="AL1034" s="66" t="str" cm="1">
        <f t="array" ref="AL1034">IF($F1034="","",IFERROR(INDEX('Lot Balance'!$B$5:$B$500,MATCH(1,INDEX(('Lot Balance'!$A$5:$A$500=$F1034)*('Lot Balance'!$K$5:$K$500&lt;$AK1034)*('Lot Balance'!$K$5:$K$500+'Lot Balance'!$D$5:$D$500&gt;=$AK1034),0),0)),""))</f>
        <v>0125FPC24-2</v>
      </c>
      <c r="AM1034" s="66" t="str" cm="1">
        <f t="array" ref="AM1034">IF($F1034="","",IFERROR(INDEX('Lot Balance'!$B$5:$B$500,MATCH(1,INDEX(('Lot Balance'!$A$5:$A$500=$F1034)*('Lot Balance'!$K$5:$K$500&lt;$AJ1034)*('Lot Balance'!$K$5:$K$500+'Lot Balance'!$D$5:$D$500&gt;=$AJ1034),0),0)),""))</f>
        <v>0125FPC24-2</v>
      </c>
      <c r="AN1034" s="66" t="str">
        <f>IF($F1034="","",IF($AI1034&lt;&gt;"",IF(COUNTIFS('Lot Balance'!$A$5:$A$500,$F1034,'Lot Balance'!$B$5:$B$500,$AI1034)=0,"⚠ override is not a lot of this item",IF($AI1034=$AL1034,"Override = FEFO","Override - FEFO says "&amp;$AL1034)),IF($AL1034="","⚠ no receipt on file for this item",IF($AM1034&lt;&gt;$AL1034,"FEFO auto - split, also "&amp;$AM1034,"FEFO auto"))))</f>
        <v>FEFO auto</v>
      </c>
      <c r="AO1034" s="114"/>
    </row>
    <row r="1035" spans="1:41" x14ac:dyDescent="0.35">
      <c r="A1035" s="74">
        <v>46175</v>
      </c>
      <c r="B1035" s="18" t="str">
        <f>IF($C1035="","",IFERROR(INDEX('Staff Directory'!$A$5:$A$594,MATCH($C1035,'Staff Directory'!$B$5:$B$594,0)),"⚠ unknown staff"))</f>
        <v>PSW-126-A6</v>
      </c>
      <c r="C1035" s="49" t="s">
        <v>1105</v>
      </c>
      <c r="D1035" s="19" t="str">
        <f>IF($B1035="","",IFERROR(INDEX('Staff Directory'!$C$5:$C$594,MATCH($B1035,'Staff Directory'!$A$5:$A$594,0)),""))</f>
        <v>PSW</v>
      </c>
      <c r="E1035" s="19" t="str">
        <f>IF($B1035="","",IFERROR(INDEX('Staff Directory'!$D$5:$D$594,MATCH($B1035,'Staff Directory'!$A$5:$A$594,0)),""))</f>
        <v>A6</v>
      </c>
      <c r="F1035" s="9" t="s">
        <v>124</v>
      </c>
      <c r="G1035" s="18" t="str">
        <f>IF($F1035="","",IFERROR(INDEX(Items!$B$5:$B$597,MATCH($F1035,Items!$A$5:$A$597,0)),"⚠ not in Items"))</f>
        <v>Gloves</v>
      </c>
      <c r="H1035" s="19" t="str">
        <f>IF($F1035="","",IFERROR(INDEX(Items!$C$5:$C$597,MATCH($F1035,Items!$A$5:$A$597,0)),""))</f>
        <v>Large</v>
      </c>
      <c r="I1035" s="23">
        <f>IF($F1035="","",IFERROR(INDEX(Items!$E$5:$E$597,MATCH($F1035,Items!$A$5:$A$597,0)),""))</f>
        <v>500</v>
      </c>
      <c r="J1035" s="115">
        <f>IF(tblIssues[[#This Row],[Qty Override]]&lt;&gt;"",tblIssues[[#This Row],[Qty Override]],IF(tblIssues[[#This Row],[Standard Issue]]="","",tblIssues[[#This Row],[Standard Issue]]))</f>
        <v>500</v>
      </c>
      <c r="K1035" s="20">
        <f>IF($F1035="","",IFERROR(INDEX(Items!$D$5:$D$597,MATCH($F1035,Items!$A$5:$A$597,0)),""))</f>
        <v>5.5E-2</v>
      </c>
      <c r="L1035" s="21">
        <f t="shared" si="184"/>
        <v>27.5</v>
      </c>
      <c r="M1035" s="9" t="str">
        <f t="shared" si="182"/>
        <v>O16705</v>
      </c>
      <c r="N1035" s="24">
        <f>IF($A1035="","",WORKDAY($A1035,Settings!$C$9,HolidayDates))</f>
        <v>46183</v>
      </c>
      <c r="O1035" s="24">
        <f>IF($N1035="","",WORKDAY($N1035,Settings!$C$10,HolidayDates))</f>
        <v>46223</v>
      </c>
      <c r="P1035" s="10" t="s">
        <v>501</v>
      </c>
      <c r="Q1035" s="52" t="str">
        <f t="shared" si="174"/>
        <v>Collected</v>
      </c>
      <c r="R1035" s="55" t="str">
        <f t="shared" si="175"/>
        <v>2026-06</v>
      </c>
      <c r="S1035" s="55">
        <f>IF(OR($B1035="",$F1035="",$R1035=""),"",SUMIFS(tblIssues[Qty Issued],tblIssues[Staff ID],$B1035,tblIssues[Item Name],$F1035,tblIssues[Month],$R1035))</f>
        <v>500</v>
      </c>
      <c r="T1035" s="56">
        <f>IF($I1035="","",$I1035*Settings!$C$11)</f>
        <v>500</v>
      </c>
      <c r="U1035" s="57" t="str">
        <f t="shared" si="183"/>
        <v>OK</v>
      </c>
      <c r="V1035" s="55" t="str">
        <f t="shared" si="176"/>
        <v/>
      </c>
      <c r="W1035" s="55" t="str">
        <f>IF($V1035="","",IF(COUNTIF($V$5:$V1035,$V1035)=1,1,""))</f>
        <v/>
      </c>
      <c r="X1035" s="58" t="str">
        <f>IF($W1035="","",MAX($X$4:X1034)+1)</f>
        <v/>
      </c>
      <c r="Y1035" s="62"/>
      <c r="Z1035" s="62"/>
      <c r="AA1035" s="64" t="str">
        <f>IF($C1035="","",IFERROR(INDEX('Staff Directory'!$E$5:$E$594,MATCH($C1035,'Staff Directory'!$B$5:$B$594,0)),""))</f>
        <v>firstname189.lastname189@example.com</v>
      </c>
      <c r="AB1035" s="64" t="str">
        <f>IF($C1035="","",IF(ISNUMBER(SEARCH($D1035,Settings!$C$15)),"Pickup","Dispatch"))</f>
        <v>Pickup</v>
      </c>
      <c r="AC1035" s="64" t="str">
        <f t="shared" si="177"/>
        <v>Supply order ready for pickup</v>
      </c>
      <c r="AD1035" s="64" t="str">
        <f t="shared" si="179"/>
        <v>Dear PSW,
Your order is ready for pickup from Sample Branch, Wed-Fri 9am-4pm.</v>
      </c>
      <c r="AE1035" s="64" t="str">
        <f t="shared" si="180"/>
        <v>mailto:firstname189.lastname189@example.com?subject=Supply%20order%20ready%20for%20pickup&amp;body=Dear%20PSW%2C%0A%0AYour%20order%20is%20ready%20for%20pickup%20from%20Sample%20Branch%2C%20Wed-Fri%209am-4pm.</v>
      </c>
      <c r="AF1035" s="89" t="str">
        <f t="shared" si="178"/>
        <v>Draft email</v>
      </c>
      <c r="AG1035" s="64" t="str">
        <f>IF($C1035="","",IFERROR(INDEX('Staff Directory'!$K$595:$K$599,MATCH($C1035,'Staff Directory'!$B$5:$B$599,0)),$D1035))</f>
        <v>PSW</v>
      </c>
      <c r="AH1035" t="str">
        <f>IF($C1035="","",IFERROR(INDEX('Staff Directory'!$I$595:$I$599,MATCH($C1035,'Staff Directory'!$B$5:$B$599,0))&amp;" "&amp;INDEX('Staff Directory'!$J$595:$J$599,MATCH($C1035,'Staff Directory'!$B$5:$B$599,0)),$AG1035))</f>
        <v>PSW</v>
      </c>
      <c r="AI1035" s="102"/>
      <c r="AJ1035" s="101">
        <f>IF($F1035="","",SUMIFS($J$5:$J1035,$F$5:$F1035,$F1035))</f>
        <v>29000</v>
      </c>
      <c r="AK1035" s="101">
        <f t="shared" si="181"/>
        <v>28501</v>
      </c>
      <c r="AL1035" s="66" t="str" cm="1">
        <f t="array" ref="AL1035">IF($F1035="","",IFERROR(INDEX('Lot Balance'!$B$5:$B$500,MATCH(1,INDEX(('Lot Balance'!$A$5:$A$500=$F1035)*('Lot Balance'!$K$5:$K$500&lt;$AK1035)*('Lot Balance'!$K$5:$K$500+'Lot Balance'!$D$5:$D$500&gt;=$AK1035),0),0)),""))</f>
        <v>O16705</v>
      </c>
      <c r="AM1035" s="66" t="str" cm="1">
        <f t="array" ref="AM1035">IF($F1035="","",IFERROR(INDEX('Lot Balance'!$B$5:$B$500,MATCH(1,INDEX(('Lot Balance'!$A$5:$A$500=$F1035)*('Lot Balance'!$K$5:$K$500&lt;$AJ1035)*('Lot Balance'!$K$5:$K$500+'Lot Balance'!$D$5:$D$500&gt;=$AJ1035),0),0)),""))</f>
        <v>O16705</v>
      </c>
      <c r="AN1035" s="66" t="str">
        <f>IF($F1035="","",IF($AI1035&lt;&gt;"",IF(COUNTIFS('Lot Balance'!$A$5:$A$500,$F1035,'Lot Balance'!$B$5:$B$500,$AI1035)=0,"⚠ override is not a lot of this item",IF($AI1035=$AL1035,"Override = FEFO","Override - FEFO says "&amp;$AL1035)),IF($AL1035="","⚠ no receipt on file for this item",IF($AM1035&lt;&gt;$AL1035,"FEFO auto - split, also "&amp;$AM1035,"FEFO auto"))))</f>
        <v>FEFO auto</v>
      </c>
      <c r="AO1035" s="114"/>
    </row>
    <row r="1036" spans="1:41" x14ac:dyDescent="0.35">
      <c r="A1036" s="74">
        <v>46175</v>
      </c>
      <c r="B1036" s="18" t="str">
        <f>IF($C1036="","",IFERROR(INDEX('Staff Directory'!$A$5:$A$594,MATCH($C1036,'Staff Directory'!$B$5:$B$594,0)),"⚠ unknown staff"))</f>
        <v>PSW-126-A6</v>
      </c>
      <c r="C1036" s="49" t="s">
        <v>1105</v>
      </c>
      <c r="D1036" s="19" t="str">
        <f>IF($B1036="","",IFERROR(INDEX('Staff Directory'!$C$5:$C$594,MATCH($B1036,'Staff Directory'!$A$5:$A$594,0)),""))</f>
        <v>PSW</v>
      </c>
      <c r="E1036" s="19" t="str">
        <f>IF($B1036="","",IFERROR(INDEX('Staff Directory'!$D$5:$D$594,MATCH($B1036,'Staff Directory'!$A$5:$A$594,0)),""))</f>
        <v>A6</v>
      </c>
      <c r="F1036" s="9" t="s">
        <v>115</v>
      </c>
      <c r="G1036" s="18" t="str">
        <f>IF($F1036="","",IFERROR(INDEX(Items!$B$5:$B$597,MATCH($F1036,Items!$A$5:$A$597,0)),"⚠ not in Items"))</f>
        <v>Wipes</v>
      </c>
      <c r="H1036" s="19">
        <f>IF($F1036="","",IFERROR(INDEX(Items!$C$5:$C$597,MATCH($F1036,Items!$A$5:$A$597,0)),""))</f>
        <v>80</v>
      </c>
      <c r="I1036" s="23">
        <f>IF($F1036="","",IFERROR(INDEX(Items!$E$5:$E$597,MATCH($F1036,Items!$A$5:$A$597,0)),""))</f>
        <v>80</v>
      </c>
      <c r="J1036" s="115">
        <f>IF(tblIssues[[#This Row],[Qty Override]]&lt;&gt;"",tblIssues[[#This Row],[Qty Override]],IF(tblIssues[[#This Row],[Standard Issue]]="","",tblIssues[[#This Row],[Standard Issue]]))</f>
        <v>80</v>
      </c>
      <c r="K1036" s="20">
        <f>IF($F1036="","",IFERROR(INDEX(Items!$D$5:$D$597,MATCH($F1036,Items!$A$5:$A$597,0)),""))</f>
        <v>0.1</v>
      </c>
      <c r="L1036" s="21">
        <f t="shared" si="184"/>
        <v>8</v>
      </c>
      <c r="M1036" s="9" t="str">
        <f t="shared" si="182"/>
        <v>LYSL500290</v>
      </c>
      <c r="N1036" s="24">
        <f>IF($A1036="","",WORKDAY($A1036,Settings!$C$9,HolidayDates))</f>
        <v>46183</v>
      </c>
      <c r="O1036" s="24">
        <f>IF($N1036="","",WORKDAY($N1036,Settings!$C$10,HolidayDates))</f>
        <v>46223</v>
      </c>
      <c r="P1036" s="10" t="s">
        <v>501</v>
      </c>
      <c r="Q1036" s="52" t="str">
        <f t="shared" si="174"/>
        <v>Collected</v>
      </c>
      <c r="R1036" s="55" t="str">
        <f t="shared" si="175"/>
        <v>2026-06</v>
      </c>
      <c r="S1036" s="55">
        <f>IF(OR($B1036="",$F1036="",$R1036=""),"",SUMIFS(tblIssues[Qty Issued],tblIssues[Staff ID],$B1036,tblIssues[Item Name],$F1036,tblIssues[Month],$R1036))</f>
        <v>80</v>
      </c>
      <c r="T1036" s="56">
        <f>IF($I1036="","",$I1036*Settings!$C$11)</f>
        <v>80</v>
      </c>
      <c r="U1036" s="57" t="str">
        <f t="shared" si="183"/>
        <v>OK</v>
      </c>
      <c r="V1036" s="55" t="str">
        <f t="shared" si="176"/>
        <v/>
      </c>
      <c r="W1036" s="55" t="str">
        <f>IF($V1036="","",IF(COUNTIF($V$5:$V1036,$V1036)=1,1,""))</f>
        <v/>
      </c>
      <c r="X1036" s="58" t="str">
        <f>IF($W1036="","",MAX($X$4:X1035)+1)</f>
        <v/>
      </c>
      <c r="Y1036" s="62"/>
      <c r="Z1036" s="62"/>
      <c r="AA1036" s="64" t="str">
        <f>IF($C1036="","",IFERROR(INDEX('Staff Directory'!$E$5:$E$594,MATCH($C1036,'Staff Directory'!$B$5:$B$594,0)),""))</f>
        <v>firstname189.lastname189@example.com</v>
      </c>
      <c r="AB1036" s="64" t="str">
        <f>IF($C1036="","",IF(ISNUMBER(SEARCH($D1036,Settings!$C$15)),"Pickup","Dispatch"))</f>
        <v>Pickup</v>
      </c>
      <c r="AC1036" s="64" t="str">
        <f t="shared" si="177"/>
        <v>Supply order ready for pickup</v>
      </c>
      <c r="AD1036" s="64" t="str">
        <f t="shared" si="179"/>
        <v>Dear PSW,
Your order is ready for pickup from Sample Branch, Wed-Fri 9am-4pm.</v>
      </c>
      <c r="AE1036" s="64" t="str">
        <f t="shared" si="180"/>
        <v>mailto:firstname189.lastname189@example.com?subject=Supply%20order%20ready%20for%20pickup&amp;body=Dear%20PSW%2C%0A%0AYour%20order%20is%20ready%20for%20pickup%20from%20Sample%20Branch%2C%20Wed-Fri%209am-4pm.</v>
      </c>
      <c r="AF1036" s="89" t="str">
        <f t="shared" si="178"/>
        <v>Draft email</v>
      </c>
      <c r="AG1036" s="64" t="str">
        <f>IF($C1036="","",IFERROR(INDEX('Staff Directory'!$K$595:$K$599,MATCH($C1036,'Staff Directory'!$B$5:$B$599,0)),$D1036))</f>
        <v>PSW</v>
      </c>
      <c r="AH1036" t="str">
        <f>IF($C1036="","",IFERROR(INDEX('Staff Directory'!$I$595:$I$599,MATCH($C1036,'Staff Directory'!$B$5:$B$599,0))&amp;" "&amp;INDEX('Staff Directory'!$J$595:$J$599,MATCH($C1036,'Staff Directory'!$B$5:$B$599,0)),$AG1036))</f>
        <v>PSW</v>
      </c>
      <c r="AI1036" s="102"/>
      <c r="AJ1036" s="101">
        <f>IF($F1036="","",SUMIFS($J$5:$J1036,$F$5:$F1036,$F1036))</f>
        <v>13600</v>
      </c>
      <c r="AK1036" s="101">
        <f t="shared" si="181"/>
        <v>13521</v>
      </c>
      <c r="AL1036" s="66" t="str" cm="1">
        <f t="array" ref="AL1036">IF($F1036="","",IFERROR(INDEX('Lot Balance'!$B$5:$B$500,MATCH(1,INDEX(('Lot Balance'!$A$5:$A$500=$F1036)*('Lot Balance'!$K$5:$K$500&lt;$AK1036)*('Lot Balance'!$K$5:$K$500+'Lot Balance'!$D$5:$D$500&gt;=$AK1036),0),0)),""))</f>
        <v>LYSL500290</v>
      </c>
      <c r="AM1036" s="66" t="str" cm="1">
        <f t="array" ref="AM1036">IF($F1036="","",IFERROR(INDEX('Lot Balance'!$B$5:$B$500,MATCH(1,INDEX(('Lot Balance'!$A$5:$A$500=$F1036)*('Lot Balance'!$K$5:$K$500&lt;$AJ1036)*('Lot Balance'!$K$5:$K$500+'Lot Balance'!$D$5:$D$500&gt;=$AJ1036),0),0)),""))</f>
        <v>LYSL500290</v>
      </c>
      <c r="AN1036" s="66" t="str">
        <f>IF($F1036="","",IF($AI1036&lt;&gt;"",IF(COUNTIFS('Lot Balance'!$A$5:$A$500,$F1036,'Lot Balance'!$B$5:$B$500,$AI1036)=0,"⚠ override is not a lot of this item",IF($AI1036=$AL1036,"Override = FEFO","Override - FEFO says "&amp;$AL1036)),IF($AL1036="","⚠ no receipt on file for this item",IF($AM1036&lt;&gt;$AL1036,"FEFO auto - split, also "&amp;$AM1036,"FEFO auto"))))</f>
        <v>FEFO auto</v>
      </c>
      <c r="AO1036" s="114"/>
    </row>
    <row r="1037" spans="1:41" x14ac:dyDescent="0.35">
      <c r="A1037" s="74">
        <v>46175</v>
      </c>
      <c r="B1037" s="18" t="str">
        <f>IF($C1037="","",IFERROR(INDEX('Staff Directory'!$A$5:$A$594,MATCH($C1037,'Staff Directory'!$B$5:$B$594,0)),"⚠ unknown staff"))</f>
        <v>PSW-126-A6</v>
      </c>
      <c r="C1037" s="49" t="s">
        <v>1105</v>
      </c>
      <c r="D1037" s="19" t="str">
        <f>IF($B1037="","",IFERROR(INDEX('Staff Directory'!$C$5:$C$594,MATCH($B1037,'Staff Directory'!$A$5:$A$594,0)),""))</f>
        <v>PSW</v>
      </c>
      <c r="E1037" s="19" t="str">
        <f>IF($B1037="","",IFERROR(INDEX('Staff Directory'!$D$5:$D$594,MATCH($B1037,'Staff Directory'!$A$5:$A$594,0)),""))</f>
        <v>A6</v>
      </c>
      <c r="F1037" s="9" t="s">
        <v>156</v>
      </c>
      <c r="G1037" s="18" t="str">
        <f>IF($F1037="","",IFERROR(INDEX(Items!$B$5:$B$597,MATCH($F1037,Items!$A$5:$A$597,0)),"⚠ not in Items"))</f>
        <v>Masks</v>
      </c>
      <c r="H1037" s="19" t="str">
        <f>IF($F1037="","",IFERROR(INDEX(Items!$C$5:$C$597,MATCH($F1037,Items!$A$5:$A$597,0)),""))</f>
        <v>One Size</v>
      </c>
      <c r="I1037" s="23">
        <f>IF($F1037="","",IFERROR(INDEX(Items!$E$5:$E$597,MATCH($F1037,Items!$A$5:$A$597,0)),""))</f>
        <v>50</v>
      </c>
      <c r="J1037" s="115">
        <f>IF(tblIssues[[#This Row],[Qty Override]]&lt;&gt;"",tblIssues[[#This Row],[Qty Override]],IF(tblIssues[[#This Row],[Standard Issue]]="","",tblIssues[[#This Row],[Standard Issue]]))</f>
        <v>50</v>
      </c>
      <c r="K1037" s="20">
        <f>IF($F1037="","",IFERROR(INDEX(Items!$D$5:$D$597,MATCH($F1037,Items!$A$5:$A$597,0)),""))</f>
        <v>0.25</v>
      </c>
      <c r="L1037" s="21">
        <f t="shared" si="184"/>
        <v>12.5</v>
      </c>
      <c r="M1037" s="9" t="str">
        <f t="shared" si="182"/>
        <v>0125FPC24-2</v>
      </c>
      <c r="N1037" s="24">
        <f>IF($A1037="","",WORKDAY($A1037,Settings!$C$9,HolidayDates))</f>
        <v>46183</v>
      </c>
      <c r="O1037" s="24">
        <f>IF($N1037="","",WORKDAY($N1037,Settings!$C$10,HolidayDates))</f>
        <v>46223</v>
      </c>
      <c r="P1037" s="10" t="s">
        <v>501</v>
      </c>
      <c r="Q1037" s="52" t="str">
        <f t="shared" si="174"/>
        <v>Collected</v>
      </c>
      <c r="R1037" s="55" t="str">
        <f t="shared" si="175"/>
        <v>2026-06</v>
      </c>
      <c r="S1037" s="55">
        <f>IF(OR($B1037="",$F1037="",$R1037=""),"",SUMIFS(tblIssues[Qty Issued],tblIssues[Staff ID],$B1037,tblIssues[Item Name],$F1037,tblIssues[Month],$R1037))</f>
        <v>50</v>
      </c>
      <c r="T1037" s="56">
        <f>IF($I1037="","",$I1037*Settings!$C$11)</f>
        <v>50</v>
      </c>
      <c r="U1037" s="57" t="str">
        <f t="shared" si="183"/>
        <v>OK</v>
      </c>
      <c r="V1037" s="55" t="str">
        <f t="shared" si="176"/>
        <v/>
      </c>
      <c r="W1037" s="55" t="str">
        <f>IF($V1037="","",IF(COUNTIF($V$5:$V1037,$V1037)=1,1,""))</f>
        <v/>
      </c>
      <c r="X1037" s="58" t="str">
        <f>IF($W1037="","",MAX($X$4:X1036)+1)</f>
        <v/>
      </c>
      <c r="Y1037" s="62"/>
      <c r="Z1037" s="62"/>
      <c r="AA1037" s="64" t="str">
        <f>IF($C1037="","",IFERROR(INDEX('Staff Directory'!$E$5:$E$594,MATCH($C1037,'Staff Directory'!$B$5:$B$594,0)),""))</f>
        <v>firstname189.lastname189@example.com</v>
      </c>
      <c r="AB1037" s="64" t="str">
        <f>IF($C1037="","",IF(ISNUMBER(SEARCH($D1037,Settings!$C$15)),"Pickup","Dispatch"))</f>
        <v>Pickup</v>
      </c>
      <c r="AC1037" s="64" t="str">
        <f t="shared" si="177"/>
        <v>Supply order ready for pickup</v>
      </c>
      <c r="AD1037" s="64" t="str">
        <f t="shared" si="179"/>
        <v>Dear PSW,
Your order is ready for pickup from Sample Branch, Wed-Fri 9am-4pm.</v>
      </c>
      <c r="AE1037" s="64" t="str">
        <f t="shared" si="180"/>
        <v>mailto:firstname189.lastname189@example.com?subject=Supply%20order%20ready%20for%20pickup&amp;body=Dear%20PSW%2C%0A%0AYour%20order%20is%20ready%20for%20pickup%20from%20Sample%20Branch%2C%20Wed-Fri%209am-4pm.</v>
      </c>
      <c r="AF1037" s="89" t="str">
        <f t="shared" si="178"/>
        <v>Draft email</v>
      </c>
      <c r="AG1037" s="64" t="str">
        <f>IF($C1037="","",IFERROR(INDEX('Staff Directory'!$K$595:$K$599,MATCH($C1037,'Staff Directory'!$B$5:$B$599,0)),$D1037))</f>
        <v>PSW</v>
      </c>
      <c r="AH1037" t="str">
        <f>IF($C1037="","",IFERROR(INDEX('Staff Directory'!$I$595:$I$599,MATCH($C1037,'Staff Directory'!$B$5:$B$599,0))&amp;" "&amp;INDEX('Staff Directory'!$J$595:$J$599,MATCH($C1037,'Staff Directory'!$B$5:$B$599,0)),$AG1037))</f>
        <v>PSW</v>
      </c>
      <c r="AI1037" s="102"/>
      <c r="AJ1037" s="101">
        <f>IF($F1037="","",SUMIFS($J$5:$J1037,$F$5:$F1037,$F1037))</f>
        <v>8200</v>
      </c>
      <c r="AK1037" s="101">
        <f t="shared" si="181"/>
        <v>8151</v>
      </c>
      <c r="AL1037" s="66" t="str" cm="1">
        <f t="array" ref="AL1037">IF($F1037="","",IFERROR(INDEX('Lot Balance'!$B$5:$B$500,MATCH(1,INDEX(('Lot Balance'!$A$5:$A$500=$F1037)*('Lot Balance'!$K$5:$K$500&lt;$AK1037)*('Lot Balance'!$K$5:$K$500+'Lot Balance'!$D$5:$D$500&gt;=$AK1037),0),0)),""))</f>
        <v>0125FPC24-2</v>
      </c>
      <c r="AM1037" s="66" t="str" cm="1">
        <f t="array" ref="AM1037">IF($F1037="","",IFERROR(INDEX('Lot Balance'!$B$5:$B$500,MATCH(1,INDEX(('Lot Balance'!$A$5:$A$500=$F1037)*('Lot Balance'!$K$5:$K$500&lt;$AJ1037)*('Lot Balance'!$K$5:$K$500+'Lot Balance'!$D$5:$D$500&gt;=$AJ1037),0),0)),""))</f>
        <v>0125FPC24-2</v>
      </c>
      <c r="AN1037" s="66" t="str">
        <f>IF($F1037="","",IF($AI1037&lt;&gt;"",IF(COUNTIFS('Lot Balance'!$A$5:$A$500,$F1037,'Lot Balance'!$B$5:$B$500,$AI1037)=0,"⚠ override is not a lot of this item",IF($AI1037=$AL1037,"Override = FEFO","Override - FEFO says "&amp;$AL1037)),IF($AL1037="","⚠ no receipt on file for this item",IF($AM1037&lt;&gt;$AL1037,"FEFO auto - split, also "&amp;$AM1037,"FEFO auto"))))</f>
        <v>FEFO auto</v>
      </c>
      <c r="AO1037" s="114"/>
    </row>
    <row r="1038" spans="1:41" x14ac:dyDescent="0.35">
      <c r="A1038" s="74">
        <v>46175</v>
      </c>
      <c r="B1038" s="18" t="str">
        <f>IF($C1038="","",IFERROR(INDEX('Staff Directory'!$A$5:$A$594,MATCH($C1038,'Staff Directory'!$B$5:$B$594,0)),"⚠ unknown staff"))</f>
        <v>PSW-126-A6</v>
      </c>
      <c r="C1038" s="49" t="s">
        <v>1105</v>
      </c>
      <c r="D1038" s="19" t="str">
        <f>IF($B1038="","",IFERROR(INDEX('Staff Directory'!$C$5:$C$594,MATCH($B1038,'Staff Directory'!$A$5:$A$594,0)),""))</f>
        <v>PSW</v>
      </c>
      <c r="E1038" s="19" t="str">
        <f>IF($B1038="","",IFERROR(INDEX('Staff Directory'!$D$5:$D$594,MATCH($B1038,'Staff Directory'!$A$5:$A$594,0)),""))</f>
        <v>A6</v>
      </c>
      <c r="F1038" s="9" t="s">
        <v>103</v>
      </c>
      <c r="G1038" s="18" t="str">
        <f>IF($F1038="","",IFERROR(INDEX(Items!$B$5:$B$597,MATCH($F1038,Items!$A$5:$A$597,0)),"⚠ not in Items"))</f>
        <v>Masks</v>
      </c>
      <c r="H1038" s="19" t="str">
        <f>IF($F1038="","",IFERROR(INDEX(Items!$C$5:$C$597,MATCH($F1038,Items!$A$5:$A$597,0)),""))</f>
        <v>One Size</v>
      </c>
      <c r="I1038" s="23">
        <f>IF($F1038="","",IFERROR(INDEX(Items!$E$5:$E$597,MATCH($F1038,Items!$A$5:$A$597,0)),""))</f>
        <v>5</v>
      </c>
      <c r="J1038" s="115">
        <f>IF(tblIssues[[#This Row],[Qty Override]]&lt;&gt;"",tblIssues[[#This Row],[Qty Override]],IF(tblIssues[[#This Row],[Standard Issue]]="","",tblIssues[[#This Row],[Standard Issue]]))</f>
        <v>5</v>
      </c>
      <c r="K1038" s="20">
        <f>IF($F1038="","",IFERROR(INDEX(Items!$D$5:$D$597,MATCH($F1038,Items!$A$5:$A$597,0)),""))</f>
        <v>2.0499999999999998</v>
      </c>
      <c r="L1038" s="21">
        <f t="shared" si="184"/>
        <v>10.25</v>
      </c>
      <c r="M1038" s="9" t="str">
        <f t="shared" si="182"/>
        <v>N955003718</v>
      </c>
      <c r="N1038" s="24">
        <f>IF($A1038="","",WORKDAY($A1038,Settings!$C$9,HolidayDates))</f>
        <v>46183</v>
      </c>
      <c r="O1038" s="24">
        <f>IF($N1038="","",WORKDAY($N1038,Settings!$C$10,HolidayDates))</f>
        <v>46223</v>
      </c>
      <c r="P1038" s="10" t="s">
        <v>501</v>
      </c>
      <c r="Q1038" s="52" t="str">
        <f t="shared" ref="Q1038:Q1101" si="185">IF($A1038="","",IF($P1038&lt;&gt;"","Collected","Pending"))</f>
        <v>Collected</v>
      </c>
      <c r="R1038" s="55" t="str">
        <f t="shared" ref="R1038:R1101" si="186">IF($A1038="","",TEXT($A1038,"yyyy-mm"))</f>
        <v>2026-06</v>
      </c>
      <c r="S1038" s="55">
        <f>IF(OR($B1038="",$F1038="",$R1038=""),"",SUMIFS(tblIssues[Qty Issued],tblIssues[Staff ID],$B1038,tblIssues[Item Name],$F1038,tblIssues[Month],$R1038))</f>
        <v>5</v>
      </c>
      <c r="T1038" s="56">
        <f>IF($I1038="","",$I1038*Settings!$C$11)</f>
        <v>5</v>
      </c>
      <c r="U1038" s="57" t="str">
        <f t="shared" si="183"/>
        <v>OK</v>
      </c>
      <c r="V1038" s="55" t="str">
        <f t="shared" ref="V1038:V1101" si="187">IF($U1038="⚠ OVER QUOTA",$B1038&amp;" | "&amp;$F1038&amp;" | "&amp;$R1038,"")</f>
        <v/>
      </c>
      <c r="W1038" s="55" t="str">
        <f>IF($V1038="","",IF(COUNTIF($V$5:$V1038,$V1038)=1,1,""))</f>
        <v/>
      </c>
      <c r="X1038" s="58" t="str">
        <f>IF($W1038="","",MAX($X$4:X1037)+1)</f>
        <v/>
      </c>
      <c r="Y1038" s="62"/>
      <c r="Z1038" s="62"/>
      <c r="AA1038" s="64" t="str">
        <f>IF($C1038="","",IFERROR(INDEX('Staff Directory'!$E$5:$E$594,MATCH($C1038,'Staff Directory'!$B$5:$B$594,0)),""))</f>
        <v>firstname189.lastname189@example.com</v>
      </c>
      <c r="AB1038" s="64" t="str">
        <f>IF($C1038="","",IF(ISNUMBER(SEARCH($D1038,Settings!$C$15)),"Pickup","Dispatch"))</f>
        <v>Pickup</v>
      </c>
      <c r="AC1038" s="64" t="str">
        <f t="shared" ref="AC1038:AC1101" si="188">IF($AB1038="Pickup","Supply order ready for pickup",IF($AB1038="Dispatch","Supply order dispatched",""))</f>
        <v>Supply order ready for pickup</v>
      </c>
      <c r="AD1038" s="64" t="str">
        <f t="shared" si="179"/>
        <v>Dear PSW,
Your order is ready for pickup from Sample Branch, Wed-Fri 9am-4pm.</v>
      </c>
      <c r="AE1038" s="64" t="str">
        <f t="shared" si="180"/>
        <v>mailto:firstname189.lastname189@example.com?subject=Supply%20order%20ready%20for%20pickup&amp;body=Dear%20PSW%2C%0A%0AYour%20order%20is%20ready%20for%20pickup%20from%20Sample%20Branch%2C%20Wed-Fri%209am-4pm.</v>
      </c>
      <c r="AF1038" s="89" t="str">
        <f t="shared" ref="AF1038:AF1101" si="189">IF(AE1038="","",HYPERLINK(AE1038,"Draft email"))</f>
        <v>Draft email</v>
      </c>
      <c r="AG1038" s="64" t="str">
        <f>IF($C1038="","",IFERROR(INDEX('Staff Directory'!$K$595:$K$599,MATCH($C1038,'Staff Directory'!$B$5:$B$599,0)),$D1038))</f>
        <v>PSW</v>
      </c>
      <c r="AH1038" t="str">
        <f>IF($C1038="","",IFERROR(INDEX('Staff Directory'!$I$595:$I$599,MATCH($C1038,'Staff Directory'!$B$5:$B$599,0))&amp;" "&amp;INDEX('Staff Directory'!$J$595:$J$599,MATCH($C1038,'Staff Directory'!$B$5:$B$599,0)),$AG1038))</f>
        <v>PSW</v>
      </c>
      <c r="AI1038" s="102"/>
      <c r="AJ1038" s="101">
        <f>IF($F1038="","",SUMIFS($J$5:$J1038,$F$5:$F1038,$F1038))</f>
        <v>10</v>
      </c>
      <c r="AK1038" s="101">
        <f t="shared" si="181"/>
        <v>6</v>
      </c>
      <c r="AL1038" s="66" t="str" cm="1">
        <f t="array" ref="AL1038">IF($F1038="","",IFERROR(INDEX('Lot Balance'!$B$5:$B$500,MATCH(1,INDEX(('Lot Balance'!$A$5:$A$500=$F1038)*('Lot Balance'!$K$5:$K$500&lt;$AK1038)*('Lot Balance'!$K$5:$K$500+'Lot Balance'!$D$5:$D$500&gt;=$AK1038),0),0)),""))</f>
        <v>N955003718</v>
      </c>
      <c r="AM1038" s="66" t="str" cm="1">
        <f t="array" ref="AM1038">IF($F1038="","",IFERROR(INDEX('Lot Balance'!$B$5:$B$500,MATCH(1,INDEX(('Lot Balance'!$A$5:$A$500=$F1038)*('Lot Balance'!$K$5:$K$500&lt;$AJ1038)*('Lot Balance'!$K$5:$K$500+'Lot Balance'!$D$5:$D$500&gt;=$AJ1038),0),0)),""))</f>
        <v>N955003718</v>
      </c>
      <c r="AN1038" s="66" t="str">
        <f>IF($F1038="","",IF($AI1038&lt;&gt;"",IF(COUNTIFS('Lot Balance'!$A$5:$A$500,$F1038,'Lot Balance'!$B$5:$B$500,$AI1038)=0,"⚠ override is not a lot of this item",IF($AI1038=$AL1038,"Override = FEFO","Override - FEFO says "&amp;$AL1038)),IF($AL1038="","⚠ no receipt on file for this item",IF($AM1038&lt;&gt;$AL1038,"FEFO auto - split, also "&amp;$AM1038,"FEFO auto"))))</f>
        <v>FEFO auto</v>
      </c>
      <c r="AO1038" s="114"/>
    </row>
    <row r="1039" spans="1:41" x14ac:dyDescent="0.35">
      <c r="A1039" s="74">
        <v>46175</v>
      </c>
      <c r="B1039" s="18" t="str">
        <f>IF($C1039="","",IFERROR(INDEX('Staff Directory'!$A$5:$A$594,MATCH($C1039,'Staff Directory'!$B$5:$B$594,0)),"⚠ unknown staff"))</f>
        <v>PSW-018-A5</v>
      </c>
      <c r="C1039" s="49" t="s">
        <v>994</v>
      </c>
      <c r="D1039" s="19" t="str">
        <f>IF($B1039="","",IFERROR(INDEX('Staff Directory'!$C$5:$C$594,MATCH($B1039,'Staff Directory'!$A$5:$A$594,0)),""))</f>
        <v>PSW</v>
      </c>
      <c r="E1039" s="19" t="str">
        <f>IF($B1039="","",IFERROR(INDEX('Staff Directory'!$D$5:$D$594,MATCH($B1039,'Staff Directory'!$A$5:$A$594,0)),""))</f>
        <v>A5</v>
      </c>
      <c r="F1039" s="9" t="s">
        <v>127</v>
      </c>
      <c r="G1039" s="18" t="str">
        <f>IF($F1039="","",IFERROR(INDEX(Items!$B$5:$B$597,MATCH($F1039,Items!$A$5:$A$597,0)),"⚠ not in Items"))</f>
        <v>Gloves</v>
      </c>
      <c r="H1039" s="19" t="str">
        <f>IF($F1039="","",IFERROR(INDEX(Items!$C$5:$C$597,MATCH($F1039,Items!$A$5:$A$597,0)),""))</f>
        <v>Medium</v>
      </c>
      <c r="I1039" s="23">
        <f>IF($F1039="","",IFERROR(INDEX(Items!$E$5:$E$597,MATCH($F1039,Items!$A$5:$A$597,0)),""))</f>
        <v>500</v>
      </c>
      <c r="J1039" s="115">
        <f>IF(tblIssues[[#This Row],[Qty Override]]&lt;&gt;"",tblIssues[[#This Row],[Qty Override]],IF(tblIssues[[#This Row],[Standard Issue]]="","",tblIssues[[#This Row],[Standard Issue]]))</f>
        <v>500</v>
      </c>
      <c r="K1039" s="20">
        <f>IF($F1039="","",IFERROR(INDEX(Items!$D$5:$D$597,MATCH($F1039,Items!$A$5:$A$597,0)),""))</f>
        <v>5.5E-2</v>
      </c>
      <c r="L1039" s="21">
        <f t="shared" si="184"/>
        <v>27.5</v>
      </c>
      <c r="M1039" s="9" t="str">
        <f t="shared" si="182"/>
        <v>ZIM510137962-0</v>
      </c>
      <c r="N1039" s="24">
        <f>IF($A1039="","",WORKDAY($A1039,Settings!$C$9,HolidayDates))</f>
        <v>46183</v>
      </c>
      <c r="O1039" s="24">
        <f>IF($N1039="","",WORKDAY($N1039,Settings!$C$10,HolidayDates))</f>
        <v>46223</v>
      </c>
      <c r="P1039" s="10" t="s">
        <v>501</v>
      </c>
      <c r="Q1039" s="52" t="str">
        <f t="shared" si="185"/>
        <v>Collected</v>
      </c>
      <c r="R1039" s="55" t="str">
        <f t="shared" si="186"/>
        <v>2026-06</v>
      </c>
      <c r="S1039" s="55">
        <f>IF(OR($B1039="",$F1039="",$R1039=""),"",SUMIFS(tblIssues[Qty Issued],tblIssues[Staff ID],$B1039,tblIssues[Item Name],$F1039,tblIssues[Month],$R1039))</f>
        <v>500</v>
      </c>
      <c r="T1039" s="56">
        <f>IF($I1039="","",$I1039*Settings!$C$11)</f>
        <v>500</v>
      </c>
      <c r="U1039" s="57" t="str">
        <f t="shared" si="183"/>
        <v>OK</v>
      </c>
      <c r="V1039" s="55" t="str">
        <f t="shared" si="187"/>
        <v/>
      </c>
      <c r="W1039" s="55" t="str">
        <f>IF($V1039="","",IF(COUNTIF($V$5:$V1039,$V1039)=1,1,""))</f>
        <v/>
      </c>
      <c r="X1039" s="58" t="str">
        <f>IF($W1039="","",MAX($X$4:X1038)+1)</f>
        <v/>
      </c>
      <c r="Y1039" s="62"/>
      <c r="Z1039" s="62"/>
      <c r="AA1039" s="64" t="str">
        <f>IF($C1039="","",IFERROR(INDEX('Staff Directory'!$E$5:$E$594,MATCH($C1039,'Staff Directory'!$B$5:$B$594,0)),""))</f>
        <v>firstname078.lastname078@example.com</v>
      </c>
      <c r="AB1039" s="64" t="str">
        <f>IF($C1039="","",IF(ISNUMBER(SEARCH($D1039,Settings!$C$15)),"Pickup","Dispatch"))</f>
        <v>Pickup</v>
      </c>
      <c r="AC1039" s="64" t="str">
        <f t="shared" si="188"/>
        <v>Supply order ready for pickup</v>
      </c>
      <c r="AD1039" s="64" t="str">
        <f t="shared" si="179"/>
        <v>Dear PSW,
Your order is ready for pickup from Sample Branch, Wed-Fri 9am-4pm.</v>
      </c>
      <c r="AE1039" s="64" t="str">
        <f t="shared" si="180"/>
        <v>mailto:firstname078.lastname078@example.com?subject=Supply%20order%20ready%20for%20pickup&amp;body=Dear%20PSW%2C%0A%0AYour%20order%20is%20ready%20for%20pickup%20from%20Sample%20Branch%2C%20Wed-Fri%209am-4pm.</v>
      </c>
      <c r="AF1039" s="89" t="str">
        <f t="shared" si="189"/>
        <v>Draft email</v>
      </c>
      <c r="AG1039" s="64" t="str">
        <f>IF($C1039="","",IFERROR(INDEX('Staff Directory'!$K$595:$K$599,MATCH($C1039,'Staff Directory'!$B$5:$B$599,0)),$D1039))</f>
        <v>PSW</v>
      </c>
      <c r="AH1039" t="str">
        <f>IF($C1039="","",IFERROR(INDEX('Staff Directory'!$I$595:$I$599,MATCH($C1039,'Staff Directory'!$B$5:$B$599,0))&amp;" "&amp;INDEX('Staff Directory'!$J$595:$J$599,MATCH($C1039,'Staff Directory'!$B$5:$B$599,0)),$AG1039))</f>
        <v>PSW</v>
      </c>
      <c r="AI1039" s="102"/>
      <c r="AJ1039" s="101">
        <f>IF($F1039="","",SUMIFS($J$5:$J1039,$F$5:$F1039,$F1039))</f>
        <v>59000</v>
      </c>
      <c r="AK1039" s="101">
        <f t="shared" si="181"/>
        <v>58501</v>
      </c>
      <c r="AL1039" s="66" t="str" cm="1">
        <f t="array" ref="AL1039">IF($F1039="","",IFERROR(INDEX('Lot Balance'!$B$5:$B$500,MATCH(1,INDEX(('Lot Balance'!$A$5:$A$500=$F1039)*('Lot Balance'!$K$5:$K$500&lt;$AK1039)*('Lot Balance'!$K$5:$K$500+'Lot Balance'!$D$5:$D$500&gt;=$AK1039),0),0)),""))</f>
        <v>ZIM510137962-0</v>
      </c>
      <c r="AM1039" s="66" t="str" cm="1">
        <f t="array" ref="AM1039">IF($F1039="","",IFERROR(INDEX('Lot Balance'!$B$5:$B$500,MATCH(1,INDEX(('Lot Balance'!$A$5:$A$500=$F1039)*('Lot Balance'!$K$5:$K$500&lt;$AJ1039)*('Lot Balance'!$K$5:$K$500+'Lot Balance'!$D$5:$D$500&gt;=$AJ1039),0),0)),""))</f>
        <v>ZIM510137962-0</v>
      </c>
      <c r="AN1039" s="66" t="str">
        <f>IF($F1039="","",IF($AI1039&lt;&gt;"",IF(COUNTIFS('Lot Balance'!$A$5:$A$500,$F1039,'Lot Balance'!$B$5:$B$500,$AI1039)=0,"⚠ override is not a lot of this item",IF($AI1039=$AL1039,"Override = FEFO","Override - FEFO says "&amp;$AL1039)),IF($AL1039="","⚠ no receipt on file for this item",IF($AM1039&lt;&gt;$AL1039,"FEFO auto - split, also "&amp;$AM1039,"FEFO auto"))))</f>
        <v>FEFO auto</v>
      </c>
      <c r="AO1039" s="114"/>
    </row>
    <row r="1040" spans="1:41" x14ac:dyDescent="0.35">
      <c r="A1040" s="74">
        <v>46175</v>
      </c>
      <c r="B1040" s="18" t="str">
        <f>IF($C1040="","",IFERROR(INDEX('Staff Directory'!$A$5:$A$594,MATCH($C1040,'Staff Directory'!$B$5:$B$594,0)),"⚠ unknown staff"))</f>
        <v>PSW-018-A5</v>
      </c>
      <c r="C1040" s="49" t="s">
        <v>994</v>
      </c>
      <c r="D1040" s="19" t="str">
        <f>IF($B1040="","",IFERROR(INDEX('Staff Directory'!$C$5:$C$594,MATCH($B1040,'Staff Directory'!$A$5:$A$594,0)),""))</f>
        <v>PSW</v>
      </c>
      <c r="E1040" s="19" t="str">
        <f>IF($B1040="","",IFERROR(INDEX('Staff Directory'!$D$5:$D$594,MATCH($B1040,'Staff Directory'!$A$5:$A$594,0)),""))</f>
        <v>A5</v>
      </c>
      <c r="F1040" s="9" t="s">
        <v>191</v>
      </c>
      <c r="G1040" s="18" t="str">
        <f>IF($F1040="","",IFERROR(INDEX(Items!$B$5:$B$597,MATCH($F1040,Items!$A$5:$A$597,0)),"⚠ not in Items"))</f>
        <v>Sanitizer</v>
      </c>
      <c r="H1040" s="19" t="str">
        <f>IF($F1040="","",IFERROR(INDEX(Items!$C$5:$C$597,MATCH($F1040,Items!$A$5:$A$597,0)),""))</f>
        <v>236 ML</v>
      </c>
      <c r="I1040" s="23">
        <f>IF($F1040="","",IFERROR(INDEX(Items!$E$5:$E$597,MATCH($F1040,Items!$A$5:$A$597,0)),""))</f>
        <v>1</v>
      </c>
      <c r="J1040" s="115">
        <f>IF(tblIssues[[#This Row],[Qty Override]]&lt;&gt;"",tblIssues[[#This Row],[Qty Override]],IF(tblIssues[[#This Row],[Standard Issue]]="","",tblIssues[[#This Row],[Standard Issue]]))</f>
        <v>1</v>
      </c>
      <c r="K1040" s="20">
        <f>IF($F1040="","",IFERROR(INDEX(Items!$D$5:$D$597,MATCH($F1040,Items!$A$5:$A$597,0)),""))</f>
        <v>1E-4</v>
      </c>
      <c r="L1040" s="21">
        <f t="shared" si="184"/>
        <v>1E-4</v>
      </c>
      <c r="M1040" s="9" t="str">
        <f t="shared" si="182"/>
        <v>20-21734-4</v>
      </c>
      <c r="N1040" s="24">
        <f>IF($A1040="","",WORKDAY($A1040,Settings!$C$9,HolidayDates))</f>
        <v>46183</v>
      </c>
      <c r="O1040" s="24">
        <f>IF($N1040="","",WORKDAY($N1040,Settings!$C$10,HolidayDates))</f>
        <v>46223</v>
      </c>
      <c r="P1040" s="10" t="s">
        <v>501</v>
      </c>
      <c r="Q1040" s="52" t="str">
        <f t="shared" si="185"/>
        <v>Collected</v>
      </c>
      <c r="R1040" s="55" t="str">
        <f t="shared" si="186"/>
        <v>2026-06</v>
      </c>
      <c r="S1040" s="55">
        <f>IF(OR($B1040="",$F1040="",$R1040=""),"",SUMIFS(tblIssues[Qty Issued],tblIssues[Staff ID],$B1040,tblIssues[Item Name],$F1040,tblIssues[Month],$R1040))</f>
        <v>1</v>
      </c>
      <c r="T1040" s="56">
        <f>IF($I1040="","",$I1040*Settings!$C$11)</f>
        <v>1</v>
      </c>
      <c r="U1040" s="57" t="str">
        <f t="shared" si="183"/>
        <v>OK</v>
      </c>
      <c r="V1040" s="55" t="str">
        <f t="shared" si="187"/>
        <v/>
      </c>
      <c r="W1040" s="55" t="str">
        <f>IF($V1040="","",IF(COUNTIF($V$5:$V1040,$V1040)=1,1,""))</f>
        <v/>
      </c>
      <c r="X1040" s="58" t="str">
        <f>IF($W1040="","",MAX($X$4:X1039)+1)</f>
        <v/>
      </c>
      <c r="Y1040" s="62"/>
      <c r="Z1040" s="62"/>
      <c r="AA1040" s="64" t="str">
        <f>IF($C1040="","",IFERROR(INDEX('Staff Directory'!$E$5:$E$594,MATCH($C1040,'Staff Directory'!$B$5:$B$594,0)),""))</f>
        <v>firstname078.lastname078@example.com</v>
      </c>
      <c r="AB1040" s="64" t="str">
        <f>IF($C1040="","",IF(ISNUMBER(SEARCH($D1040,Settings!$C$15)),"Pickup","Dispatch"))</f>
        <v>Pickup</v>
      </c>
      <c r="AC1040" s="64" t="str">
        <f t="shared" si="188"/>
        <v>Supply order ready for pickup</v>
      </c>
      <c r="AD1040" s="64" t="str">
        <f t="shared" si="179"/>
        <v>Dear PSW,
Your order is ready for pickup from Sample Branch, Wed-Fri 9am-4pm.</v>
      </c>
      <c r="AE1040" s="64" t="str">
        <f t="shared" si="180"/>
        <v>mailto:firstname078.lastname078@example.com?subject=Supply%20order%20ready%20for%20pickup&amp;body=Dear%20PSW%2C%0A%0AYour%20order%20is%20ready%20for%20pickup%20from%20Sample%20Branch%2C%20Wed-Fri%209am-4pm.</v>
      </c>
      <c r="AF1040" s="89" t="str">
        <f t="shared" si="189"/>
        <v>Draft email</v>
      </c>
      <c r="AG1040" s="64" t="str">
        <f>IF($C1040="","",IFERROR(INDEX('Staff Directory'!$K$595:$K$599,MATCH($C1040,'Staff Directory'!$B$5:$B$599,0)),$D1040))</f>
        <v>PSW</v>
      </c>
      <c r="AH1040" t="str">
        <f>IF($C1040="","",IFERROR(INDEX('Staff Directory'!$I$595:$I$599,MATCH($C1040,'Staff Directory'!$B$5:$B$599,0))&amp;" "&amp;INDEX('Staff Directory'!$J$595:$J$599,MATCH($C1040,'Staff Directory'!$B$5:$B$599,0)),$AG1040))</f>
        <v>PSW</v>
      </c>
      <c r="AI1040" s="102"/>
      <c r="AJ1040" s="101">
        <f>IF($F1040="","",SUMIFS($J$5:$J1040,$F$5:$F1040,$F1040))</f>
        <v>119</v>
      </c>
      <c r="AK1040" s="101">
        <f t="shared" si="181"/>
        <v>119</v>
      </c>
      <c r="AL1040" s="66" t="str" cm="1">
        <f t="array" ref="AL1040">IF($F1040="","",IFERROR(INDEX('Lot Balance'!$B$5:$B$500,MATCH(1,INDEX(('Lot Balance'!$A$5:$A$500=$F1040)*('Lot Balance'!$K$5:$K$500&lt;$AK1040)*('Lot Balance'!$K$5:$K$500+'Lot Balance'!$D$5:$D$500&gt;=$AK1040),0),0)),""))</f>
        <v>20-21734-4</v>
      </c>
      <c r="AM1040" s="66" t="str" cm="1">
        <f t="array" ref="AM1040">IF($F1040="","",IFERROR(INDEX('Lot Balance'!$B$5:$B$500,MATCH(1,INDEX(('Lot Balance'!$A$5:$A$500=$F1040)*('Lot Balance'!$K$5:$K$500&lt;$AJ1040)*('Lot Balance'!$K$5:$K$500+'Lot Balance'!$D$5:$D$500&gt;=$AJ1040),0),0)),""))</f>
        <v>20-21734-4</v>
      </c>
      <c r="AN1040" s="66" t="str">
        <f>IF($F1040="","",IF($AI1040&lt;&gt;"",IF(COUNTIFS('Lot Balance'!$A$5:$A$500,$F1040,'Lot Balance'!$B$5:$B$500,$AI1040)=0,"⚠ override is not a lot of this item",IF($AI1040=$AL1040,"Override = FEFO","Override - FEFO says "&amp;$AL1040)),IF($AL1040="","⚠ no receipt on file for this item",IF($AM1040&lt;&gt;$AL1040,"FEFO auto - split, also "&amp;$AM1040,"FEFO auto"))))</f>
        <v>FEFO auto</v>
      </c>
      <c r="AO1040" s="114"/>
    </row>
    <row r="1041" spans="1:41" x14ac:dyDescent="0.35">
      <c r="A1041" s="74">
        <v>46175</v>
      </c>
      <c r="B1041" s="18" t="str">
        <f>IF($C1041="","",IFERROR(INDEX('Staff Directory'!$A$5:$A$594,MATCH($C1041,'Staff Directory'!$B$5:$B$594,0)),"⚠ unknown staff"))</f>
        <v>PSW-018-A5</v>
      </c>
      <c r="C1041" s="49" t="s">
        <v>994</v>
      </c>
      <c r="D1041" s="19" t="str">
        <f>IF($B1041="","",IFERROR(INDEX('Staff Directory'!$C$5:$C$594,MATCH($B1041,'Staff Directory'!$A$5:$A$594,0)),""))</f>
        <v>PSW</v>
      </c>
      <c r="E1041" s="19" t="str">
        <f>IF($B1041="","",IFERROR(INDEX('Staff Directory'!$D$5:$D$594,MATCH($B1041,'Staff Directory'!$A$5:$A$594,0)),""))</f>
        <v>A5</v>
      </c>
      <c r="F1041" s="9" t="s">
        <v>115</v>
      </c>
      <c r="G1041" s="18" t="str">
        <f>IF($F1041="","",IFERROR(INDEX(Items!$B$5:$B$597,MATCH($F1041,Items!$A$5:$A$597,0)),"⚠ not in Items"))</f>
        <v>Wipes</v>
      </c>
      <c r="H1041" s="19">
        <f>IF($F1041="","",IFERROR(INDEX(Items!$C$5:$C$597,MATCH($F1041,Items!$A$5:$A$597,0)),""))</f>
        <v>80</v>
      </c>
      <c r="I1041" s="23">
        <f>IF($F1041="","",IFERROR(INDEX(Items!$E$5:$E$597,MATCH($F1041,Items!$A$5:$A$597,0)),""))</f>
        <v>80</v>
      </c>
      <c r="J1041" s="115">
        <f>IF(tblIssues[[#This Row],[Qty Override]]&lt;&gt;"",tblIssues[[#This Row],[Qty Override]],IF(tblIssues[[#This Row],[Standard Issue]]="","",tblIssues[[#This Row],[Standard Issue]]))</f>
        <v>80</v>
      </c>
      <c r="K1041" s="20">
        <f>IF($F1041="","",IFERROR(INDEX(Items!$D$5:$D$597,MATCH($F1041,Items!$A$5:$A$597,0)),""))</f>
        <v>0.1</v>
      </c>
      <c r="L1041" s="21">
        <f t="shared" si="184"/>
        <v>8</v>
      </c>
      <c r="M1041" s="9" t="str">
        <f t="shared" si="182"/>
        <v>LYSL500290</v>
      </c>
      <c r="N1041" s="24">
        <f>IF($A1041="","",WORKDAY($A1041,Settings!$C$9,HolidayDates))</f>
        <v>46183</v>
      </c>
      <c r="O1041" s="24">
        <f>IF($N1041="","",WORKDAY($N1041,Settings!$C$10,HolidayDates))</f>
        <v>46223</v>
      </c>
      <c r="P1041" s="10" t="s">
        <v>501</v>
      </c>
      <c r="Q1041" s="52" t="str">
        <f t="shared" si="185"/>
        <v>Collected</v>
      </c>
      <c r="R1041" s="55" t="str">
        <f t="shared" si="186"/>
        <v>2026-06</v>
      </c>
      <c r="S1041" s="55">
        <f>IF(OR($B1041="",$F1041="",$R1041=""),"",SUMIFS(tblIssues[Qty Issued],tblIssues[Staff ID],$B1041,tblIssues[Item Name],$F1041,tblIssues[Month],$R1041))</f>
        <v>80</v>
      </c>
      <c r="T1041" s="56">
        <f>IF($I1041="","",$I1041*Settings!$C$11)</f>
        <v>80</v>
      </c>
      <c r="U1041" s="57" t="str">
        <f t="shared" si="183"/>
        <v>OK</v>
      </c>
      <c r="V1041" s="55" t="str">
        <f t="shared" si="187"/>
        <v/>
      </c>
      <c r="W1041" s="55" t="str">
        <f>IF($V1041="","",IF(COUNTIF($V$5:$V1041,$V1041)=1,1,""))</f>
        <v/>
      </c>
      <c r="X1041" s="58" t="str">
        <f>IF($W1041="","",MAX($X$4:X1040)+1)</f>
        <v/>
      </c>
      <c r="Y1041" s="62"/>
      <c r="Z1041" s="62"/>
      <c r="AA1041" s="64" t="str">
        <f>IF($C1041="","",IFERROR(INDEX('Staff Directory'!$E$5:$E$594,MATCH($C1041,'Staff Directory'!$B$5:$B$594,0)),""))</f>
        <v>firstname078.lastname078@example.com</v>
      </c>
      <c r="AB1041" s="64" t="str">
        <f>IF($C1041="","",IF(ISNUMBER(SEARCH($D1041,Settings!$C$15)),"Pickup","Dispatch"))</f>
        <v>Pickup</v>
      </c>
      <c r="AC1041" s="64" t="str">
        <f t="shared" si="188"/>
        <v>Supply order ready for pickup</v>
      </c>
      <c r="AD1041" s="64" t="str">
        <f t="shared" si="179"/>
        <v>Dear PSW,
Your order is ready for pickup from Sample Branch, Wed-Fri 9am-4pm.</v>
      </c>
      <c r="AE1041" s="64" t="str">
        <f t="shared" si="180"/>
        <v>mailto:firstname078.lastname078@example.com?subject=Supply%20order%20ready%20for%20pickup&amp;body=Dear%20PSW%2C%0A%0AYour%20order%20is%20ready%20for%20pickup%20from%20Sample%20Branch%2C%20Wed-Fri%209am-4pm.</v>
      </c>
      <c r="AF1041" s="89" t="str">
        <f t="shared" si="189"/>
        <v>Draft email</v>
      </c>
      <c r="AG1041" s="64" t="str">
        <f>IF($C1041="","",IFERROR(INDEX('Staff Directory'!$K$595:$K$599,MATCH($C1041,'Staff Directory'!$B$5:$B$599,0)),$D1041))</f>
        <v>PSW</v>
      </c>
      <c r="AH1041" t="str">
        <f>IF($C1041="","",IFERROR(INDEX('Staff Directory'!$I$595:$I$599,MATCH($C1041,'Staff Directory'!$B$5:$B$599,0))&amp;" "&amp;INDEX('Staff Directory'!$J$595:$J$599,MATCH($C1041,'Staff Directory'!$B$5:$B$599,0)),$AG1041))</f>
        <v>PSW</v>
      </c>
      <c r="AI1041" s="102"/>
      <c r="AJ1041" s="101">
        <f>IF($F1041="","",SUMIFS($J$5:$J1041,$F$5:$F1041,$F1041))</f>
        <v>13680</v>
      </c>
      <c r="AK1041" s="101">
        <f t="shared" si="181"/>
        <v>13601</v>
      </c>
      <c r="AL1041" s="66" t="str" cm="1">
        <f t="array" ref="AL1041">IF($F1041="","",IFERROR(INDEX('Lot Balance'!$B$5:$B$500,MATCH(1,INDEX(('Lot Balance'!$A$5:$A$500=$F1041)*('Lot Balance'!$K$5:$K$500&lt;$AK1041)*('Lot Balance'!$K$5:$K$500+'Lot Balance'!$D$5:$D$500&gt;=$AK1041),0),0)),""))</f>
        <v>LYSL500290</v>
      </c>
      <c r="AM1041" s="66" t="str" cm="1">
        <f t="array" ref="AM1041">IF($F1041="","",IFERROR(INDEX('Lot Balance'!$B$5:$B$500,MATCH(1,INDEX(('Lot Balance'!$A$5:$A$500=$F1041)*('Lot Balance'!$K$5:$K$500&lt;$AJ1041)*('Lot Balance'!$K$5:$K$500+'Lot Balance'!$D$5:$D$500&gt;=$AJ1041),0),0)),""))</f>
        <v>LYSL500290</v>
      </c>
      <c r="AN1041" s="66" t="str">
        <f>IF($F1041="","",IF($AI1041&lt;&gt;"",IF(COUNTIFS('Lot Balance'!$A$5:$A$500,$F1041,'Lot Balance'!$B$5:$B$500,$AI1041)=0,"⚠ override is not a lot of this item",IF($AI1041=$AL1041,"Override = FEFO","Override - FEFO says "&amp;$AL1041)),IF($AL1041="","⚠ no receipt on file for this item",IF($AM1041&lt;&gt;$AL1041,"FEFO auto - split, also "&amp;$AM1041,"FEFO auto"))))</f>
        <v>FEFO auto</v>
      </c>
      <c r="AO1041" s="114"/>
    </row>
    <row r="1042" spans="1:41" x14ac:dyDescent="0.35">
      <c r="A1042" s="74">
        <v>46175</v>
      </c>
      <c r="B1042" s="18" t="str">
        <f>IF($C1042="","",IFERROR(INDEX('Staff Directory'!$A$5:$A$594,MATCH($C1042,'Staff Directory'!$B$5:$B$594,0)),"⚠ unknown staff"))</f>
        <v>PSW-018-A5</v>
      </c>
      <c r="C1042" s="49" t="s">
        <v>994</v>
      </c>
      <c r="D1042" s="19" t="str">
        <f>IF($B1042="","",IFERROR(INDEX('Staff Directory'!$C$5:$C$594,MATCH($B1042,'Staff Directory'!$A$5:$A$594,0)),""))</f>
        <v>PSW</v>
      </c>
      <c r="E1042" s="19" t="str">
        <f>IF($B1042="","",IFERROR(INDEX('Staff Directory'!$D$5:$D$594,MATCH($B1042,'Staff Directory'!$A$5:$A$594,0)),""))</f>
        <v>A5</v>
      </c>
      <c r="F1042" s="9" t="s">
        <v>156</v>
      </c>
      <c r="G1042" s="18" t="str">
        <f>IF($F1042="","",IFERROR(INDEX(Items!$B$5:$B$597,MATCH($F1042,Items!$A$5:$A$597,0)),"⚠ not in Items"))</f>
        <v>Masks</v>
      </c>
      <c r="H1042" s="19" t="str">
        <f>IF($F1042="","",IFERROR(INDEX(Items!$C$5:$C$597,MATCH($F1042,Items!$A$5:$A$597,0)),""))</f>
        <v>One Size</v>
      </c>
      <c r="I1042" s="23">
        <f>IF($F1042="","",IFERROR(INDEX(Items!$E$5:$E$597,MATCH($F1042,Items!$A$5:$A$597,0)),""))</f>
        <v>50</v>
      </c>
      <c r="J1042" s="115">
        <f>IF(tblIssues[[#This Row],[Qty Override]]&lt;&gt;"",tblIssues[[#This Row],[Qty Override]],IF(tblIssues[[#This Row],[Standard Issue]]="","",tblIssues[[#This Row],[Standard Issue]]))</f>
        <v>50</v>
      </c>
      <c r="K1042" s="20">
        <f>IF($F1042="","",IFERROR(INDEX(Items!$D$5:$D$597,MATCH($F1042,Items!$A$5:$A$597,0)),""))</f>
        <v>0.25</v>
      </c>
      <c r="L1042" s="21">
        <f t="shared" si="184"/>
        <v>12.5</v>
      </c>
      <c r="M1042" s="9" t="str">
        <f t="shared" si="182"/>
        <v>102GPC24</v>
      </c>
      <c r="N1042" s="24">
        <f>IF($A1042="","",WORKDAY($A1042,Settings!$C$9,HolidayDates))</f>
        <v>46183</v>
      </c>
      <c r="O1042" s="24">
        <f>IF($N1042="","",WORKDAY($N1042,Settings!$C$10,HolidayDates))</f>
        <v>46223</v>
      </c>
      <c r="P1042" s="10" t="s">
        <v>501</v>
      </c>
      <c r="Q1042" s="52" t="str">
        <f t="shared" si="185"/>
        <v>Collected</v>
      </c>
      <c r="R1042" s="55" t="str">
        <f t="shared" si="186"/>
        <v>2026-06</v>
      </c>
      <c r="S1042" s="55">
        <f>IF(OR($B1042="",$F1042="",$R1042=""),"",SUMIFS(tblIssues[Qty Issued],tblIssues[Staff ID],$B1042,tblIssues[Item Name],$F1042,tblIssues[Month],$R1042))</f>
        <v>50</v>
      </c>
      <c r="T1042" s="56">
        <f>IF($I1042="","",$I1042*Settings!$C$11)</f>
        <v>50</v>
      </c>
      <c r="U1042" s="57" t="str">
        <f t="shared" si="183"/>
        <v>OK</v>
      </c>
      <c r="V1042" s="55" t="str">
        <f t="shared" si="187"/>
        <v/>
      </c>
      <c r="W1042" s="55" t="str">
        <f>IF($V1042="","",IF(COUNTIF($V$5:$V1042,$V1042)=1,1,""))</f>
        <v/>
      </c>
      <c r="X1042" s="58" t="str">
        <f>IF($W1042="","",MAX($X$4:X1041)+1)</f>
        <v/>
      </c>
      <c r="Y1042" s="62"/>
      <c r="Z1042" s="62"/>
      <c r="AA1042" s="64" t="str">
        <f>IF($C1042="","",IFERROR(INDEX('Staff Directory'!$E$5:$E$594,MATCH($C1042,'Staff Directory'!$B$5:$B$594,0)),""))</f>
        <v>firstname078.lastname078@example.com</v>
      </c>
      <c r="AB1042" s="64" t="str">
        <f>IF($C1042="","",IF(ISNUMBER(SEARCH($D1042,Settings!$C$15)),"Pickup","Dispatch"))</f>
        <v>Pickup</v>
      </c>
      <c r="AC1042" s="64" t="str">
        <f t="shared" si="188"/>
        <v>Supply order ready for pickup</v>
      </c>
      <c r="AD1042" s="64" t="str">
        <f t="shared" si="179"/>
        <v>Dear PSW,
Your order is ready for pickup from Sample Branch, Wed-Fri 9am-4pm.</v>
      </c>
      <c r="AE1042" s="64" t="str">
        <f t="shared" si="180"/>
        <v>mailto:firstname078.lastname078@example.com?subject=Supply%20order%20ready%20for%20pickup&amp;body=Dear%20PSW%2C%0A%0AYour%20order%20is%20ready%20for%20pickup%20from%20Sample%20Branch%2C%20Wed-Fri%209am-4pm.</v>
      </c>
      <c r="AF1042" s="89" t="str">
        <f t="shared" si="189"/>
        <v>Draft email</v>
      </c>
      <c r="AG1042" s="64" t="str">
        <f>IF($C1042="","",IFERROR(INDEX('Staff Directory'!$K$595:$K$599,MATCH($C1042,'Staff Directory'!$B$5:$B$599,0)),$D1042))</f>
        <v>PSW</v>
      </c>
      <c r="AH1042" t="str">
        <f>IF($C1042="","",IFERROR(INDEX('Staff Directory'!$I$595:$I$599,MATCH($C1042,'Staff Directory'!$B$5:$B$599,0))&amp;" "&amp;INDEX('Staff Directory'!$J$595:$J$599,MATCH($C1042,'Staff Directory'!$B$5:$B$599,0)),$AG1042))</f>
        <v>PSW</v>
      </c>
      <c r="AI1042" s="102"/>
      <c r="AJ1042" s="101">
        <f>IF($F1042="","",SUMIFS($J$5:$J1042,$F$5:$F1042,$F1042))</f>
        <v>8250</v>
      </c>
      <c r="AK1042" s="101">
        <f t="shared" si="181"/>
        <v>8201</v>
      </c>
      <c r="AL1042" s="66" t="str" cm="1">
        <f t="array" ref="AL1042">IF($F1042="","",IFERROR(INDEX('Lot Balance'!$B$5:$B$500,MATCH(1,INDEX(('Lot Balance'!$A$5:$A$500=$F1042)*('Lot Balance'!$K$5:$K$500&lt;$AK1042)*('Lot Balance'!$K$5:$K$500+'Lot Balance'!$D$5:$D$500&gt;=$AK1042),0),0)),""))</f>
        <v>102GPC24</v>
      </c>
      <c r="AM1042" s="66" t="str" cm="1">
        <f t="array" ref="AM1042">IF($F1042="","",IFERROR(INDEX('Lot Balance'!$B$5:$B$500,MATCH(1,INDEX(('Lot Balance'!$A$5:$A$500=$F1042)*('Lot Balance'!$K$5:$K$500&lt;$AJ1042)*('Lot Balance'!$K$5:$K$500+'Lot Balance'!$D$5:$D$500&gt;=$AJ1042),0),0)),""))</f>
        <v>102GPC24</v>
      </c>
      <c r="AN1042" s="66" t="str">
        <f>IF($F1042="","",IF($AI1042&lt;&gt;"",IF(COUNTIFS('Lot Balance'!$A$5:$A$500,$F1042,'Lot Balance'!$B$5:$B$500,$AI1042)=0,"⚠ override is not a lot of this item",IF($AI1042=$AL1042,"Override = FEFO","Override - FEFO says "&amp;$AL1042)),IF($AL1042="","⚠ no receipt on file for this item",IF($AM1042&lt;&gt;$AL1042,"FEFO auto - split, also "&amp;$AM1042,"FEFO auto"))))</f>
        <v>FEFO auto</v>
      </c>
      <c r="AO1042" s="114"/>
    </row>
    <row r="1043" spans="1:41" x14ac:dyDescent="0.35">
      <c r="A1043" s="74">
        <v>46175</v>
      </c>
      <c r="B1043" s="18" t="str">
        <f>IF($C1043="","",IFERROR(INDEX('Staff Directory'!$A$5:$A$594,MATCH($C1043,'Staff Directory'!$B$5:$B$594,0)),"⚠ unknown staff"))</f>
        <v>PSW-149-A5</v>
      </c>
      <c r="C1043" s="49" t="s">
        <v>1128</v>
      </c>
      <c r="D1043" s="19" t="str">
        <f>IF($B1043="","",IFERROR(INDEX('Staff Directory'!$C$5:$C$594,MATCH($B1043,'Staff Directory'!$A$5:$A$594,0)),""))</f>
        <v>PSW</v>
      </c>
      <c r="E1043" s="19" t="str">
        <f>IF($B1043="","",IFERROR(INDEX('Staff Directory'!$D$5:$D$594,MATCH($B1043,'Staff Directory'!$A$5:$A$594,0)),""))</f>
        <v>A5</v>
      </c>
      <c r="F1043" s="9" t="s">
        <v>129</v>
      </c>
      <c r="G1043" s="18" t="str">
        <f>IF($F1043="","",IFERROR(INDEX(Items!$B$5:$B$597,MATCH($F1043,Items!$A$5:$A$597,0)),"⚠ not in Items"))</f>
        <v>Gloves</v>
      </c>
      <c r="H1043" s="19" t="str">
        <f>IF($F1043="","",IFERROR(INDEX(Items!$C$5:$C$597,MATCH($F1043,Items!$A$5:$A$597,0)),""))</f>
        <v>Small</v>
      </c>
      <c r="I1043" s="23">
        <f>IF($F1043="","",IFERROR(INDEX(Items!$E$5:$E$597,MATCH($F1043,Items!$A$5:$A$597,0)),""))</f>
        <v>500</v>
      </c>
      <c r="J1043" s="115">
        <f>IF(tblIssues[[#This Row],[Qty Override]]&lt;&gt;"",tblIssues[[#This Row],[Qty Override]],IF(tblIssues[[#This Row],[Standard Issue]]="","",tblIssues[[#This Row],[Standard Issue]]))</f>
        <v>500</v>
      </c>
      <c r="K1043" s="20">
        <f>IF($F1043="","",IFERROR(INDEX(Items!$D$5:$D$597,MATCH($F1043,Items!$A$5:$A$597,0)),""))</f>
        <v>5.5E-2</v>
      </c>
      <c r="L1043" s="21">
        <f t="shared" si="184"/>
        <v>27.5</v>
      </c>
      <c r="M1043" s="9" t="str">
        <f t="shared" si="182"/>
        <v>ZIM504124207-6</v>
      </c>
      <c r="N1043" s="24">
        <f>IF($A1043="","",WORKDAY($A1043,Settings!$C$9,HolidayDates))</f>
        <v>46183</v>
      </c>
      <c r="O1043" s="24">
        <f>IF($N1043="","",WORKDAY($N1043,Settings!$C$10,HolidayDates))</f>
        <v>46223</v>
      </c>
      <c r="P1043" s="10" t="s">
        <v>501</v>
      </c>
      <c r="Q1043" s="52" t="str">
        <f t="shared" si="185"/>
        <v>Collected</v>
      </c>
      <c r="R1043" s="55" t="str">
        <f t="shared" si="186"/>
        <v>2026-06</v>
      </c>
      <c r="S1043" s="55">
        <f>IF(OR($B1043="",$F1043="",$R1043=""),"",SUMIFS(tblIssues[Qty Issued],tblIssues[Staff ID],$B1043,tblIssues[Item Name],$F1043,tblIssues[Month],$R1043))</f>
        <v>500</v>
      </c>
      <c r="T1043" s="56">
        <f>IF($I1043="","",$I1043*Settings!$C$11)</f>
        <v>500</v>
      </c>
      <c r="U1043" s="57" t="str">
        <f t="shared" si="183"/>
        <v>OK</v>
      </c>
      <c r="V1043" s="55" t="str">
        <f t="shared" si="187"/>
        <v/>
      </c>
      <c r="W1043" s="55" t="str">
        <f>IF($V1043="","",IF(COUNTIF($V$5:$V1043,$V1043)=1,1,""))</f>
        <v/>
      </c>
      <c r="X1043" s="58" t="str">
        <f>IF($W1043="","",MAX($X$4:X1042)+1)</f>
        <v/>
      </c>
      <c r="Y1043" s="62"/>
      <c r="Z1043" s="62"/>
      <c r="AA1043" s="64" t="str">
        <f>IF($C1043="","",IFERROR(INDEX('Staff Directory'!$E$5:$E$594,MATCH($C1043,'Staff Directory'!$B$5:$B$594,0)),""))</f>
        <v>firstname212.lastname212@example.com</v>
      </c>
      <c r="AB1043" s="64" t="str">
        <f>IF($C1043="","",IF(ISNUMBER(SEARCH($D1043,Settings!$C$15)),"Pickup","Dispatch"))</f>
        <v>Pickup</v>
      </c>
      <c r="AC1043" s="64" t="str">
        <f t="shared" si="188"/>
        <v>Supply order ready for pickup</v>
      </c>
      <c r="AD1043" s="64" t="str">
        <f t="shared" si="179"/>
        <v>Dear PSW,
Your order is ready for pickup from Sample Branch, Wed-Fri 9am-4pm.</v>
      </c>
      <c r="AE1043" s="64" t="str">
        <f t="shared" si="180"/>
        <v>mailto:firstname212.lastname212@example.com?subject=Supply%20order%20ready%20for%20pickup&amp;body=Dear%20PSW%2C%0A%0AYour%20order%20is%20ready%20for%20pickup%20from%20Sample%20Branch%2C%20Wed-Fri%209am-4pm.</v>
      </c>
      <c r="AF1043" s="89" t="str">
        <f t="shared" si="189"/>
        <v>Draft email</v>
      </c>
      <c r="AG1043" s="64" t="str">
        <f>IF($C1043="","",IFERROR(INDEX('Staff Directory'!$K$595:$K$599,MATCH($C1043,'Staff Directory'!$B$5:$B$599,0)),$D1043))</f>
        <v>PSW</v>
      </c>
      <c r="AH1043" t="str">
        <f>IF($C1043="","",IFERROR(INDEX('Staff Directory'!$I$595:$I$599,MATCH($C1043,'Staff Directory'!$B$5:$B$599,0))&amp;" "&amp;INDEX('Staff Directory'!$J$595:$J$599,MATCH($C1043,'Staff Directory'!$B$5:$B$599,0)),$AG1043))</f>
        <v>PSW</v>
      </c>
      <c r="AI1043" s="102"/>
      <c r="AJ1043" s="101">
        <f>IF($F1043="","",SUMIFS($J$5:$J1043,$F$5:$F1043,$F1043))</f>
        <v>31000</v>
      </c>
      <c r="AK1043" s="101">
        <f t="shared" si="181"/>
        <v>30501</v>
      </c>
      <c r="AL1043" s="66" t="str" cm="1">
        <f t="array" ref="AL1043">IF($F1043="","",IFERROR(INDEX('Lot Balance'!$B$5:$B$500,MATCH(1,INDEX(('Lot Balance'!$A$5:$A$500=$F1043)*('Lot Balance'!$K$5:$K$500&lt;$AK1043)*('Lot Balance'!$K$5:$K$500+'Lot Balance'!$D$5:$D$500&gt;=$AK1043),0),0)),""))</f>
        <v>ZIM504124207-6</v>
      </c>
      <c r="AM1043" s="66" t="str" cm="1">
        <f t="array" ref="AM1043">IF($F1043="","",IFERROR(INDEX('Lot Balance'!$B$5:$B$500,MATCH(1,INDEX(('Lot Balance'!$A$5:$A$500=$F1043)*('Lot Balance'!$K$5:$K$500&lt;$AJ1043)*('Lot Balance'!$K$5:$K$500+'Lot Balance'!$D$5:$D$500&gt;=$AJ1043),0),0)),""))</f>
        <v>ZIM504124207-6</v>
      </c>
      <c r="AN1043" s="66" t="str">
        <f>IF($F1043="","",IF($AI1043&lt;&gt;"",IF(COUNTIFS('Lot Balance'!$A$5:$A$500,$F1043,'Lot Balance'!$B$5:$B$500,$AI1043)=0,"⚠ override is not a lot of this item",IF($AI1043=$AL1043,"Override = FEFO","Override - FEFO says "&amp;$AL1043)),IF($AL1043="","⚠ no receipt on file for this item",IF($AM1043&lt;&gt;$AL1043,"FEFO auto - split, also "&amp;$AM1043,"FEFO auto"))))</f>
        <v>FEFO auto</v>
      </c>
      <c r="AO1043" s="114"/>
    </row>
    <row r="1044" spans="1:41" x14ac:dyDescent="0.35">
      <c r="A1044" s="74">
        <v>46175</v>
      </c>
      <c r="B1044" s="18" t="str">
        <f>IF($C1044="","",IFERROR(INDEX('Staff Directory'!$A$5:$A$594,MATCH($C1044,'Staff Directory'!$B$5:$B$594,0)),"⚠ unknown staff"))</f>
        <v>PSW-149-A5</v>
      </c>
      <c r="C1044" s="49" t="s">
        <v>1128</v>
      </c>
      <c r="D1044" s="19" t="str">
        <f>IF($B1044="","",IFERROR(INDEX('Staff Directory'!$C$5:$C$594,MATCH($B1044,'Staff Directory'!$A$5:$A$594,0)),""))</f>
        <v>PSW</v>
      </c>
      <c r="E1044" s="19" t="str">
        <f>IF($B1044="","",IFERROR(INDEX('Staff Directory'!$D$5:$D$594,MATCH($B1044,'Staff Directory'!$A$5:$A$594,0)),""))</f>
        <v>A5</v>
      </c>
      <c r="F1044" s="9" t="s">
        <v>115</v>
      </c>
      <c r="G1044" s="18" t="str">
        <f>IF($F1044="","",IFERROR(INDEX(Items!$B$5:$B$597,MATCH($F1044,Items!$A$5:$A$597,0)),"⚠ not in Items"))</f>
        <v>Wipes</v>
      </c>
      <c r="H1044" s="19">
        <f>IF($F1044="","",IFERROR(INDEX(Items!$C$5:$C$597,MATCH($F1044,Items!$A$5:$A$597,0)),""))</f>
        <v>80</v>
      </c>
      <c r="I1044" s="23">
        <f>IF($F1044="","",IFERROR(INDEX(Items!$E$5:$E$597,MATCH($F1044,Items!$A$5:$A$597,0)),""))</f>
        <v>80</v>
      </c>
      <c r="J1044" s="115">
        <f>IF(tblIssues[[#This Row],[Qty Override]]&lt;&gt;"",tblIssues[[#This Row],[Qty Override]],IF(tblIssues[[#This Row],[Standard Issue]]="","",tblIssues[[#This Row],[Standard Issue]]))</f>
        <v>80</v>
      </c>
      <c r="K1044" s="20">
        <f>IF($F1044="","",IFERROR(INDEX(Items!$D$5:$D$597,MATCH($F1044,Items!$A$5:$A$597,0)),""))</f>
        <v>0.1</v>
      </c>
      <c r="L1044" s="21">
        <f t="shared" si="184"/>
        <v>8</v>
      </c>
      <c r="M1044" s="9" t="str">
        <f t="shared" si="182"/>
        <v>LYSL500290</v>
      </c>
      <c r="N1044" s="24">
        <f>IF($A1044="","",WORKDAY($A1044,Settings!$C$9,HolidayDates))</f>
        <v>46183</v>
      </c>
      <c r="O1044" s="24">
        <f>IF($N1044="","",WORKDAY($N1044,Settings!$C$10,HolidayDates))</f>
        <v>46223</v>
      </c>
      <c r="P1044" s="10" t="s">
        <v>501</v>
      </c>
      <c r="Q1044" s="52" t="str">
        <f t="shared" si="185"/>
        <v>Collected</v>
      </c>
      <c r="R1044" s="55" t="str">
        <f t="shared" si="186"/>
        <v>2026-06</v>
      </c>
      <c r="S1044" s="55">
        <f>IF(OR($B1044="",$F1044="",$R1044=""),"",SUMIFS(tblIssues[Qty Issued],tblIssues[Staff ID],$B1044,tblIssues[Item Name],$F1044,tblIssues[Month],$R1044))</f>
        <v>80</v>
      </c>
      <c r="T1044" s="56">
        <f>IF($I1044="","",$I1044*Settings!$C$11)</f>
        <v>80</v>
      </c>
      <c r="U1044" s="57" t="str">
        <f t="shared" si="183"/>
        <v>OK</v>
      </c>
      <c r="V1044" s="55" t="str">
        <f t="shared" si="187"/>
        <v/>
      </c>
      <c r="W1044" s="55" t="str">
        <f>IF($V1044="","",IF(COUNTIF($V$5:$V1044,$V1044)=1,1,""))</f>
        <v/>
      </c>
      <c r="X1044" s="58" t="str">
        <f>IF($W1044="","",MAX($X$4:X1043)+1)</f>
        <v/>
      </c>
      <c r="Y1044" s="62"/>
      <c r="Z1044" s="62"/>
      <c r="AA1044" s="64" t="str">
        <f>IF($C1044="","",IFERROR(INDEX('Staff Directory'!$E$5:$E$594,MATCH($C1044,'Staff Directory'!$B$5:$B$594,0)),""))</f>
        <v>firstname212.lastname212@example.com</v>
      </c>
      <c r="AB1044" s="64" t="str">
        <f>IF($C1044="","",IF(ISNUMBER(SEARCH($D1044,Settings!$C$15)),"Pickup","Dispatch"))</f>
        <v>Pickup</v>
      </c>
      <c r="AC1044" s="64" t="str">
        <f t="shared" si="188"/>
        <v>Supply order ready for pickup</v>
      </c>
      <c r="AD1044" s="64" t="str">
        <f t="shared" si="179"/>
        <v>Dear PSW,
Your order is ready for pickup from Sample Branch, Wed-Fri 9am-4pm.</v>
      </c>
      <c r="AE1044" s="64" t="str">
        <f t="shared" si="180"/>
        <v>mailto:firstname212.lastname212@example.com?subject=Supply%20order%20ready%20for%20pickup&amp;body=Dear%20PSW%2C%0A%0AYour%20order%20is%20ready%20for%20pickup%20from%20Sample%20Branch%2C%20Wed-Fri%209am-4pm.</v>
      </c>
      <c r="AF1044" s="89" t="str">
        <f t="shared" si="189"/>
        <v>Draft email</v>
      </c>
      <c r="AG1044" s="64" t="str">
        <f>IF($C1044="","",IFERROR(INDEX('Staff Directory'!$K$595:$K$599,MATCH($C1044,'Staff Directory'!$B$5:$B$599,0)),$D1044))</f>
        <v>PSW</v>
      </c>
      <c r="AH1044" t="str">
        <f>IF($C1044="","",IFERROR(INDEX('Staff Directory'!$I$595:$I$599,MATCH($C1044,'Staff Directory'!$B$5:$B$599,0))&amp;" "&amp;INDEX('Staff Directory'!$J$595:$J$599,MATCH($C1044,'Staff Directory'!$B$5:$B$599,0)),$AG1044))</f>
        <v>PSW</v>
      </c>
      <c r="AI1044" s="102"/>
      <c r="AJ1044" s="101">
        <f>IF($F1044="","",SUMIFS($J$5:$J1044,$F$5:$F1044,$F1044))</f>
        <v>13760</v>
      </c>
      <c r="AK1044" s="101">
        <f t="shared" si="181"/>
        <v>13681</v>
      </c>
      <c r="AL1044" s="66" t="str" cm="1">
        <f t="array" ref="AL1044">IF($F1044="","",IFERROR(INDEX('Lot Balance'!$B$5:$B$500,MATCH(1,INDEX(('Lot Balance'!$A$5:$A$500=$F1044)*('Lot Balance'!$K$5:$K$500&lt;$AK1044)*('Lot Balance'!$K$5:$K$500+'Lot Balance'!$D$5:$D$500&gt;=$AK1044),0),0)),""))</f>
        <v>LYSL500290</v>
      </c>
      <c r="AM1044" s="66" t="str" cm="1">
        <f t="array" ref="AM1044">IF($F1044="","",IFERROR(INDEX('Lot Balance'!$B$5:$B$500,MATCH(1,INDEX(('Lot Balance'!$A$5:$A$500=$F1044)*('Lot Balance'!$K$5:$K$500&lt;$AJ1044)*('Lot Balance'!$K$5:$K$500+'Lot Balance'!$D$5:$D$500&gt;=$AJ1044),0),0)),""))</f>
        <v>LYSL500290</v>
      </c>
      <c r="AN1044" s="66" t="str">
        <f>IF($F1044="","",IF($AI1044&lt;&gt;"",IF(COUNTIFS('Lot Balance'!$A$5:$A$500,$F1044,'Lot Balance'!$B$5:$B$500,$AI1044)=0,"⚠ override is not a lot of this item",IF($AI1044=$AL1044,"Override = FEFO","Override - FEFO says "&amp;$AL1044)),IF($AL1044="","⚠ no receipt on file for this item",IF($AM1044&lt;&gt;$AL1044,"FEFO auto - split, also "&amp;$AM1044,"FEFO auto"))))</f>
        <v>FEFO auto</v>
      </c>
      <c r="AO1044" s="114"/>
    </row>
    <row r="1045" spans="1:41" x14ac:dyDescent="0.35">
      <c r="A1045" s="74">
        <v>46175</v>
      </c>
      <c r="B1045" s="18" t="str">
        <f>IF($C1045="","",IFERROR(INDEX('Staff Directory'!$A$5:$A$594,MATCH($C1045,'Staff Directory'!$B$5:$B$594,0)),"⚠ unknown staff"))</f>
        <v>PSW-149-A5</v>
      </c>
      <c r="C1045" s="49" t="s">
        <v>1128</v>
      </c>
      <c r="D1045" s="19" t="str">
        <f>IF($B1045="","",IFERROR(INDEX('Staff Directory'!$C$5:$C$594,MATCH($B1045,'Staff Directory'!$A$5:$A$594,0)),""))</f>
        <v>PSW</v>
      </c>
      <c r="E1045" s="19" t="str">
        <f>IF($B1045="","",IFERROR(INDEX('Staff Directory'!$D$5:$D$594,MATCH($B1045,'Staff Directory'!$A$5:$A$594,0)),""))</f>
        <v>A5</v>
      </c>
      <c r="F1045" s="9" t="s">
        <v>156</v>
      </c>
      <c r="G1045" s="18" t="str">
        <f>IF($F1045="","",IFERROR(INDEX(Items!$B$5:$B$597,MATCH($F1045,Items!$A$5:$A$597,0)),"⚠ not in Items"))</f>
        <v>Masks</v>
      </c>
      <c r="H1045" s="19" t="str">
        <f>IF($F1045="","",IFERROR(INDEX(Items!$C$5:$C$597,MATCH($F1045,Items!$A$5:$A$597,0)),""))</f>
        <v>One Size</v>
      </c>
      <c r="I1045" s="23">
        <f>IF($F1045="","",IFERROR(INDEX(Items!$E$5:$E$597,MATCH($F1045,Items!$A$5:$A$597,0)),""))</f>
        <v>50</v>
      </c>
      <c r="J1045" s="115">
        <f>IF(tblIssues[[#This Row],[Qty Override]]&lt;&gt;"",tblIssues[[#This Row],[Qty Override]],IF(tblIssues[[#This Row],[Standard Issue]]="","",tblIssues[[#This Row],[Standard Issue]]))</f>
        <v>50</v>
      </c>
      <c r="K1045" s="20">
        <f>IF($F1045="","",IFERROR(INDEX(Items!$D$5:$D$597,MATCH($F1045,Items!$A$5:$A$597,0)),""))</f>
        <v>0.25</v>
      </c>
      <c r="L1045" s="21">
        <f t="shared" si="184"/>
        <v>12.5</v>
      </c>
      <c r="M1045" s="9" t="str">
        <f t="shared" si="182"/>
        <v>102GPC24</v>
      </c>
      <c r="N1045" s="24">
        <f>IF($A1045="","",WORKDAY($A1045,Settings!$C$9,HolidayDates))</f>
        <v>46183</v>
      </c>
      <c r="O1045" s="24">
        <f>IF($N1045="","",WORKDAY($N1045,Settings!$C$10,HolidayDates))</f>
        <v>46223</v>
      </c>
      <c r="P1045" s="10" t="s">
        <v>501</v>
      </c>
      <c r="Q1045" s="52" t="str">
        <f t="shared" si="185"/>
        <v>Collected</v>
      </c>
      <c r="R1045" s="55" t="str">
        <f t="shared" si="186"/>
        <v>2026-06</v>
      </c>
      <c r="S1045" s="55">
        <f>IF(OR($B1045="",$F1045="",$R1045=""),"",SUMIFS(tblIssues[Qty Issued],tblIssues[Staff ID],$B1045,tblIssues[Item Name],$F1045,tblIssues[Month],$R1045))</f>
        <v>50</v>
      </c>
      <c r="T1045" s="56">
        <f>IF($I1045="","",$I1045*Settings!$C$11)</f>
        <v>50</v>
      </c>
      <c r="U1045" s="57" t="str">
        <f t="shared" si="183"/>
        <v>OK</v>
      </c>
      <c r="V1045" s="55" t="str">
        <f t="shared" si="187"/>
        <v/>
      </c>
      <c r="W1045" s="55" t="str">
        <f>IF($V1045="","",IF(COUNTIF($V$5:$V1045,$V1045)=1,1,""))</f>
        <v/>
      </c>
      <c r="X1045" s="58" t="str">
        <f>IF($W1045="","",MAX($X$4:X1044)+1)</f>
        <v/>
      </c>
      <c r="Y1045" s="62"/>
      <c r="Z1045" s="62"/>
      <c r="AA1045" s="64" t="str">
        <f>IF($C1045="","",IFERROR(INDEX('Staff Directory'!$E$5:$E$594,MATCH($C1045,'Staff Directory'!$B$5:$B$594,0)),""))</f>
        <v>firstname212.lastname212@example.com</v>
      </c>
      <c r="AB1045" s="64" t="str">
        <f>IF($C1045="","",IF(ISNUMBER(SEARCH($D1045,Settings!$C$15)),"Pickup","Dispatch"))</f>
        <v>Pickup</v>
      </c>
      <c r="AC1045" s="64" t="str">
        <f t="shared" si="188"/>
        <v>Supply order ready for pickup</v>
      </c>
      <c r="AD1045" s="64" t="str">
        <f t="shared" si="179"/>
        <v>Dear PSW,
Your order is ready for pickup from Sample Branch, Wed-Fri 9am-4pm.</v>
      </c>
      <c r="AE1045" s="64" t="str">
        <f t="shared" si="180"/>
        <v>mailto:firstname212.lastname212@example.com?subject=Supply%20order%20ready%20for%20pickup&amp;body=Dear%20PSW%2C%0A%0AYour%20order%20is%20ready%20for%20pickup%20from%20Sample%20Branch%2C%20Wed-Fri%209am-4pm.</v>
      </c>
      <c r="AF1045" s="89" t="str">
        <f t="shared" si="189"/>
        <v>Draft email</v>
      </c>
      <c r="AG1045" s="64" t="str">
        <f>IF($C1045="","",IFERROR(INDEX('Staff Directory'!$K$595:$K$599,MATCH($C1045,'Staff Directory'!$B$5:$B$599,0)),$D1045))</f>
        <v>PSW</v>
      </c>
      <c r="AH1045" t="str">
        <f>IF($C1045="","",IFERROR(INDEX('Staff Directory'!$I$595:$I$599,MATCH($C1045,'Staff Directory'!$B$5:$B$599,0))&amp;" "&amp;INDEX('Staff Directory'!$J$595:$J$599,MATCH($C1045,'Staff Directory'!$B$5:$B$599,0)),$AG1045))</f>
        <v>PSW</v>
      </c>
      <c r="AI1045" s="102"/>
      <c r="AJ1045" s="101">
        <f>IF($F1045="","",SUMIFS($J$5:$J1045,$F$5:$F1045,$F1045))</f>
        <v>8300</v>
      </c>
      <c r="AK1045" s="101">
        <f t="shared" si="181"/>
        <v>8251</v>
      </c>
      <c r="AL1045" s="66" t="str" cm="1">
        <f t="array" ref="AL1045">IF($F1045="","",IFERROR(INDEX('Lot Balance'!$B$5:$B$500,MATCH(1,INDEX(('Lot Balance'!$A$5:$A$500=$F1045)*('Lot Balance'!$K$5:$K$500&lt;$AK1045)*('Lot Balance'!$K$5:$K$500+'Lot Balance'!$D$5:$D$500&gt;=$AK1045),0),0)),""))</f>
        <v>102GPC24</v>
      </c>
      <c r="AM1045" s="66" t="str" cm="1">
        <f t="array" ref="AM1045">IF($F1045="","",IFERROR(INDEX('Lot Balance'!$B$5:$B$500,MATCH(1,INDEX(('Lot Balance'!$A$5:$A$500=$F1045)*('Lot Balance'!$K$5:$K$500&lt;$AJ1045)*('Lot Balance'!$K$5:$K$500+'Lot Balance'!$D$5:$D$500&gt;=$AJ1045),0),0)),""))</f>
        <v>102GPC24</v>
      </c>
      <c r="AN1045" s="66" t="str">
        <f>IF($F1045="","",IF($AI1045&lt;&gt;"",IF(COUNTIFS('Lot Balance'!$A$5:$A$500,$F1045,'Lot Balance'!$B$5:$B$500,$AI1045)=0,"⚠ override is not a lot of this item",IF($AI1045=$AL1045,"Override = FEFO","Override - FEFO says "&amp;$AL1045)),IF($AL1045="","⚠ no receipt on file for this item",IF($AM1045&lt;&gt;$AL1045,"FEFO auto - split, also "&amp;$AM1045,"FEFO auto"))))</f>
        <v>FEFO auto</v>
      </c>
      <c r="AO1045" s="114"/>
    </row>
    <row r="1046" spans="1:41" x14ac:dyDescent="0.35">
      <c r="A1046" s="74">
        <v>46175</v>
      </c>
      <c r="B1046" s="18" t="str">
        <f>IF($C1046="","",IFERROR(INDEX('Staff Directory'!$A$5:$A$594,MATCH($C1046,'Staff Directory'!$B$5:$B$594,0)),"⚠ unknown staff"))</f>
        <v>PSW-016-A6</v>
      </c>
      <c r="C1046" s="49" t="s">
        <v>992</v>
      </c>
      <c r="D1046" s="19" t="str">
        <f>IF($B1046="","",IFERROR(INDEX('Staff Directory'!$C$5:$C$594,MATCH($B1046,'Staff Directory'!$A$5:$A$594,0)),""))</f>
        <v>PSW</v>
      </c>
      <c r="E1046" s="19" t="str">
        <f>IF($B1046="","",IFERROR(INDEX('Staff Directory'!$D$5:$D$594,MATCH($B1046,'Staff Directory'!$A$5:$A$594,0)),""))</f>
        <v>A6</v>
      </c>
      <c r="F1046" s="9" t="s">
        <v>127</v>
      </c>
      <c r="G1046" s="18" t="str">
        <f>IF($F1046="","",IFERROR(INDEX(Items!$B$5:$B$597,MATCH($F1046,Items!$A$5:$A$597,0)),"⚠ not in Items"))</f>
        <v>Gloves</v>
      </c>
      <c r="H1046" s="19" t="str">
        <f>IF($F1046="","",IFERROR(INDEX(Items!$C$5:$C$597,MATCH($F1046,Items!$A$5:$A$597,0)),""))</f>
        <v>Medium</v>
      </c>
      <c r="I1046" s="23">
        <f>IF($F1046="","",IFERROR(INDEX(Items!$E$5:$E$597,MATCH($F1046,Items!$A$5:$A$597,0)),""))</f>
        <v>500</v>
      </c>
      <c r="J1046" s="115">
        <f>IF(tblIssues[[#This Row],[Qty Override]]&lt;&gt;"",tblIssues[[#This Row],[Qty Override]],IF(tblIssues[[#This Row],[Standard Issue]]="","",tblIssues[[#This Row],[Standard Issue]]))</f>
        <v>500</v>
      </c>
      <c r="K1046" s="20">
        <f>IF($F1046="","",IFERROR(INDEX(Items!$D$5:$D$597,MATCH($F1046,Items!$A$5:$A$597,0)),""))</f>
        <v>5.5E-2</v>
      </c>
      <c r="L1046" s="21">
        <f t="shared" si="184"/>
        <v>27.5</v>
      </c>
      <c r="M1046" s="9" t="str">
        <f t="shared" si="182"/>
        <v>ZIM510137962-0</v>
      </c>
      <c r="N1046" s="24">
        <f>IF($A1046="","",WORKDAY($A1046,Settings!$C$9,HolidayDates))</f>
        <v>46183</v>
      </c>
      <c r="O1046" s="24">
        <f>IF($N1046="","",WORKDAY($N1046,Settings!$C$10,HolidayDates))</f>
        <v>46223</v>
      </c>
      <c r="P1046" s="10" t="s">
        <v>501</v>
      </c>
      <c r="Q1046" s="52" t="str">
        <f t="shared" si="185"/>
        <v>Collected</v>
      </c>
      <c r="R1046" s="55" t="str">
        <f t="shared" si="186"/>
        <v>2026-06</v>
      </c>
      <c r="S1046" s="55">
        <f>IF(OR($B1046="",$F1046="",$R1046=""),"",SUMIFS(tblIssues[Qty Issued],tblIssues[Staff ID],$B1046,tblIssues[Item Name],$F1046,tblIssues[Month],$R1046))</f>
        <v>500</v>
      </c>
      <c r="T1046" s="56">
        <f>IF($I1046="","",$I1046*Settings!$C$11)</f>
        <v>500</v>
      </c>
      <c r="U1046" s="57" t="str">
        <f t="shared" si="183"/>
        <v>OK</v>
      </c>
      <c r="V1046" s="55" t="str">
        <f t="shared" si="187"/>
        <v/>
      </c>
      <c r="W1046" s="55" t="str">
        <f>IF($V1046="","",IF(COUNTIF($V$5:$V1046,$V1046)=1,1,""))</f>
        <v/>
      </c>
      <c r="X1046" s="58" t="str">
        <f>IF($W1046="","",MAX($X$4:X1045)+1)</f>
        <v/>
      </c>
      <c r="Y1046" s="62"/>
      <c r="Z1046" s="62"/>
      <c r="AA1046" s="64" t="str">
        <f>IF($C1046="","",IFERROR(INDEX('Staff Directory'!$E$5:$E$594,MATCH($C1046,'Staff Directory'!$B$5:$B$594,0)),""))</f>
        <v>firstname076.lastname076@example.com</v>
      </c>
      <c r="AB1046" s="64" t="str">
        <f>IF($C1046="","",IF(ISNUMBER(SEARCH($D1046,Settings!$C$15)),"Pickup","Dispatch"))</f>
        <v>Pickup</v>
      </c>
      <c r="AC1046" s="64" t="str">
        <f t="shared" si="188"/>
        <v>Supply order ready for pickup</v>
      </c>
      <c r="AD1046" s="64" t="str">
        <f t="shared" si="179"/>
        <v>Dear PSW,
Your order is ready for pickup from Sample Branch, Wed-Fri 9am-4pm.</v>
      </c>
      <c r="AE1046" s="64" t="str">
        <f t="shared" si="180"/>
        <v>mailto:firstname076.lastname076@example.com?subject=Supply%20order%20ready%20for%20pickup&amp;body=Dear%20PSW%2C%0A%0AYour%20order%20is%20ready%20for%20pickup%20from%20Sample%20Branch%2C%20Wed-Fri%209am-4pm.</v>
      </c>
      <c r="AF1046" s="89" t="str">
        <f t="shared" si="189"/>
        <v>Draft email</v>
      </c>
      <c r="AG1046" s="64" t="str">
        <f>IF($C1046="","",IFERROR(INDEX('Staff Directory'!$K$595:$K$599,MATCH($C1046,'Staff Directory'!$B$5:$B$599,0)),$D1046))</f>
        <v>PSW</v>
      </c>
      <c r="AH1046" t="str">
        <f>IF($C1046="","",IFERROR(INDEX('Staff Directory'!$I$595:$I$599,MATCH($C1046,'Staff Directory'!$B$5:$B$599,0))&amp;" "&amp;INDEX('Staff Directory'!$J$595:$J$599,MATCH($C1046,'Staff Directory'!$B$5:$B$599,0)),$AG1046))</f>
        <v>PSW</v>
      </c>
      <c r="AI1046" s="102"/>
      <c r="AJ1046" s="101">
        <f>IF($F1046="","",SUMIFS($J$5:$J1046,$F$5:$F1046,$F1046))</f>
        <v>59500</v>
      </c>
      <c r="AK1046" s="101">
        <f t="shared" si="181"/>
        <v>59001</v>
      </c>
      <c r="AL1046" s="66" t="str" cm="1">
        <f t="array" ref="AL1046">IF($F1046="","",IFERROR(INDEX('Lot Balance'!$B$5:$B$500,MATCH(1,INDEX(('Lot Balance'!$A$5:$A$500=$F1046)*('Lot Balance'!$K$5:$K$500&lt;$AK1046)*('Lot Balance'!$K$5:$K$500+'Lot Balance'!$D$5:$D$500&gt;=$AK1046),0),0)),""))</f>
        <v>ZIM510137962-0</v>
      </c>
      <c r="AM1046" s="66" t="str" cm="1">
        <f t="array" ref="AM1046">IF($F1046="","",IFERROR(INDEX('Lot Balance'!$B$5:$B$500,MATCH(1,INDEX(('Lot Balance'!$A$5:$A$500=$F1046)*('Lot Balance'!$K$5:$K$500&lt;$AJ1046)*('Lot Balance'!$K$5:$K$500+'Lot Balance'!$D$5:$D$500&gt;=$AJ1046),0),0)),""))</f>
        <v>ZIM510137962-0</v>
      </c>
      <c r="AN1046" s="66" t="str">
        <f>IF($F1046="","",IF($AI1046&lt;&gt;"",IF(COUNTIFS('Lot Balance'!$A$5:$A$500,$F1046,'Lot Balance'!$B$5:$B$500,$AI1046)=0,"⚠ override is not a lot of this item",IF($AI1046=$AL1046,"Override = FEFO","Override - FEFO says "&amp;$AL1046)),IF($AL1046="","⚠ no receipt on file for this item",IF($AM1046&lt;&gt;$AL1046,"FEFO auto - split, also "&amp;$AM1046,"FEFO auto"))))</f>
        <v>FEFO auto</v>
      </c>
      <c r="AO1046" s="114"/>
    </row>
    <row r="1047" spans="1:41" x14ac:dyDescent="0.35">
      <c r="A1047" s="74">
        <v>46175</v>
      </c>
      <c r="B1047" s="18" t="str">
        <f>IF($C1047="","",IFERROR(INDEX('Staff Directory'!$A$5:$A$594,MATCH($C1047,'Staff Directory'!$B$5:$B$594,0)),"⚠ unknown staff"))</f>
        <v>PSW-016-A6</v>
      </c>
      <c r="C1047" s="49" t="s">
        <v>992</v>
      </c>
      <c r="D1047" s="19" t="str">
        <f>IF($B1047="","",IFERROR(INDEX('Staff Directory'!$C$5:$C$594,MATCH($B1047,'Staff Directory'!$A$5:$A$594,0)),""))</f>
        <v>PSW</v>
      </c>
      <c r="E1047" s="19" t="str">
        <f>IF($B1047="","",IFERROR(INDEX('Staff Directory'!$D$5:$D$594,MATCH($B1047,'Staff Directory'!$A$5:$A$594,0)),""))</f>
        <v>A6</v>
      </c>
      <c r="F1047" s="9" t="s">
        <v>191</v>
      </c>
      <c r="G1047" s="18" t="str">
        <f>IF($F1047="","",IFERROR(INDEX(Items!$B$5:$B$597,MATCH($F1047,Items!$A$5:$A$597,0)),"⚠ not in Items"))</f>
        <v>Sanitizer</v>
      </c>
      <c r="H1047" s="19" t="str">
        <f>IF($F1047="","",IFERROR(INDEX(Items!$C$5:$C$597,MATCH($F1047,Items!$A$5:$A$597,0)),""))</f>
        <v>236 ML</v>
      </c>
      <c r="I1047" s="23">
        <f>IF($F1047="","",IFERROR(INDEX(Items!$E$5:$E$597,MATCH($F1047,Items!$A$5:$A$597,0)),""))</f>
        <v>1</v>
      </c>
      <c r="J1047" s="115">
        <f>IF(tblIssues[[#This Row],[Qty Override]]&lt;&gt;"",tblIssues[[#This Row],[Qty Override]],IF(tblIssues[[#This Row],[Standard Issue]]="","",tblIssues[[#This Row],[Standard Issue]]))</f>
        <v>1</v>
      </c>
      <c r="K1047" s="20">
        <f>IF($F1047="","",IFERROR(INDEX(Items!$D$5:$D$597,MATCH($F1047,Items!$A$5:$A$597,0)),""))</f>
        <v>1E-4</v>
      </c>
      <c r="L1047" s="21">
        <f t="shared" si="184"/>
        <v>1E-4</v>
      </c>
      <c r="M1047" s="9" t="str">
        <f t="shared" si="182"/>
        <v>20-21734-4</v>
      </c>
      <c r="N1047" s="24">
        <f>IF($A1047="","",WORKDAY($A1047,Settings!$C$9,HolidayDates))</f>
        <v>46183</v>
      </c>
      <c r="O1047" s="24">
        <f>IF($N1047="","",WORKDAY($N1047,Settings!$C$10,HolidayDates))</f>
        <v>46223</v>
      </c>
      <c r="P1047" s="10" t="s">
        <v>501</v>
      </c>
      <c r="Q1047" s="52" t="str">
        <f t="shared" si="185"/>
        <v>Collected</v>
      </c>
      <c r="R1047" s="55" t="str">
        <f t="shared" si="186"/>
        <v>2026-06</v>
      </c>
      <c r="S1047" s="55">
        <f>IF(OR($B1047="",$F1047="",$R1047=""),"",SUMIFS(tblIssues[Qty Issued],tblIssues[Staff ID],$B1047,tblIssues[Item Name],$F1047,tblIssues[Month],$R1047))</f>
        <v>1</v>
      </c>
      <c r="T1047" s="56">
        <f>IF($I1047="","",$I1047*Settings!$C$11)</f>
        <v>1</v>
      </c>
      <c r="U1047" s="57" t="str">
        <f t="shared" si="183"/>
        <v>OK</v>
      </c>
      <c r="V1047" s="55" t="str">
        <f t="shared" si="187"/>
        <v/>
      </c>
      <c r="W1047" s="55" t="str">
        <f>IF($V1047="","",IF(COUNTIF($V$5:$V1047,$V1047)=1,1,""))</f>
        <v/>
      </c>
      <c r="X1047" s="58" t="str">
        <f>IF($W1047="","",MAX($X$4:X1046)+1)</f>
        <v/>
      </c>
      <c r="Y1047" s="62"/>
      <c r="Z1047" s="62"/>
      <c r="AA1047" s="64" t="str">
        <f>IF($C1047="","",IFERROR(INDEX('Staff Directory'!$E$5:$E$594,MATCH($C1047,'Staff Directory'!$B$5:$B$594,0)),""))</f>
        <v>firstname076.lastname076@example.com</v>
      </c>
      <c r="AB1047" s="64" t="str">
        <f>IF($C1047="","",IF(ISNUMBER(SEARCH($D1047,Settings!$C$15)),"Pickup","Dispatch"))</f>
        <v>Pickup</v>
      </c>
      <c r="AC1047" s="64" t="str">
        <f t="shared" si="188"/>
        <v>Supply order ready for pickup</v>
      </c>
      <c r="AD1047" s="64" t="str">
        <f t="shared" si="179"/>
        <v>Dear PSW,
Your order is ready for pickup from Sample Branch, Wed-Fri 9am-4pm.</v>
      </c>
      <c r="AE1047" s="64" t="str">
        <f t="shared" si="180"/>
        <v>mailto:firstname076.lastname076@example.com?subject=Supply%20order%20ready%20for%20pickup&amp;body=Dear%20PSW%2C%0A%0AYour%20order%20is%20ready%20for%20pickup%20from%20Sample%20Branch%2C%20Wed-Fri%209am-4pm.</v>
      </c>
      <c r="AF1047" s="89" t="str">
        <f t="shared" si="189"/>
        <v>Draft email</v>
      </c>
      <c r="AG1047" s="64" t="str">
        <f>IF($C1047="","",IFERROR(INDEX('Staff Directory'!$K$595:$K$599,MATCH($C1047,'Staff Directory'!$B$5:$B$599,0)),$D1047))</f>
        <v>PSW</v>
      </c>
      <c r="AH1047" t="str">
        <f>IF($C1047="","",IFERROR(INDEX('Staff Directory'!$I$595:$I$599,MATCH($C1047,'Staff Directory'!$B$5:$B$599,0))&amp;" "&amp;INDEX('Staff Directory'!$J$595:$J$599,MATCH($C1047,'Staff Directory'!$B$5:$B$599,0)),$AG1047))</f>
        <v>PSW</v>
      </c>
      <c r="AI1047" s="102"/>
      <c r="AJ1047" s="101">
        <f>IF($F1047="","",SUMIFS($J$5:$J1047,$F$5:$F1047,$F1047))</f>
        <v>120</v>
      </c>
      <c r="AK1047" s="101">
        <f t="shared" si="181"/>
        <v>120</v>
      </c>
      <c r="AL1047" s="66" t="str" cm="1">
        <f t="array" ref="AL1047">IF($F1047="","",IFERROR(INDEX('Lot Balance'!$B$5:$B$500,MATCH(1,INDEX(('Lot Balance'!$A$5:$A$500=$F1047)*('Lot Balance'!$K$5:$K$500&lt;$AK1047)*('Lot Balance'!$K$5:$K$500+'Lot Balance'!$D$5:$D$500&gt;=$AK1047),0),0)),""))</f>
        <v>20-21734-4</v>
      </c>
      <c r="AM1047" s="66" t="str" cm="1">
        <f t="array" ref="AM1047">IF($F1047="","",IFERROR(INDEX('Lot Balance'!$B$5:$B$500,MATCH(1,INDEX(('Lot Balance'!$A$5:$A$500=$F1047)*('Lot Balance'!$K$5:$K$500&lt;$AJ1047)*('Lot Balance'!$K$5:$K$500+'Lot Balance'!$D$5:$D$500&gt;=$AJ1047),0),0)),""))</f>
        <v>20-21734-4</v>
      </c>
      <c r="AN1047" s="66" t="str">
        <f>IF($F1047="","",IF($AI1047&lt;&gt;"",IF(COUNTIFS('Lot Balance'!$A$5:$A$500,$F1047,'Lot Balance'!$B$5:$B$500,$AI1047)=0,"⚠ override is not a lot of this item",IF($AI1047=$AL1047,"Override = FEFO","Override - FEFO says "&amp;$AL1047)),IF($AL1047="","⚠ no receipt on file for this item",IF($AM1047&lt;&gt;$AL1047,"FEFO auto - split, also "&amp;$AM1047,"FEFO auto"))))</f>
        <v>FEFO auto</v>
      </c>
      <c r="AO1047" s="114"/>
    </row>
    <row r="1048" spans="1:41" x14ac:dyDescent="0.35">
      <c r="A1048" s="74">
        <v>46175</v>
      </c>
      <c r="B1048" s="18" t="str">
        <f>IF($C1048="","",IFERROR(INDEX('Staff Directory'!$A$5:$A$594,MATCH($C1048,'Staff Directory'!$B$5:$B$594,0)),"⚠ unknown staff"))</f>
        <v>PSW-016-A6</v>
      </c>
      <c r="C1048" s="49" t="s">
        <v>992</v>
      </c>
      <c r="D1048" s="19" t="str">
        <f>IF($B1048="","",IFERROR(INDEX('Staff Directory'!$C$5:$C$594,MATCH($B1048,'Staff Directory'!$A$5:$A$594,0)),""))</f>
        <v>PSW</v>
      </c>
      <c r="E1048" s="19" t="str">
        <f>IF($B1048="","",IFERROR(INDEX('Staff Directory'!$D$5:$D$594,MATCH($B1048,'Staff Directory'!$A$5:$A$594,0)),""))</f>
        <v>A6</v>
      </c>
      <c r="F1048" s="9" t="s">
        <v>115</v>
      </c>
      <c r="G1048" s="18" t="str">
        <f>IF($F1048="","",IFERROR(INDEX(Items!$B$5:$B$597,MATCH($F1048,Items!$A$5:$A$597,0)),"⚠ not in Items"))</f>
        <v>Wipes</v>
      </c>
      <c r="H1048" s="19">
        <f>IF($F1048="","",IFERROR(INDEX(Items!$C$5:$C$597,MATCH($F1048,Items!$A$5:$A$597,0)),""))</f>
        <v>80</v>
      </c>
      <c r="I1048" s="23">
        <f>IF($F1048="","",IFERROR(INDEX(Items!$E$5:$E$597,MATCH($F1048,Items!$A$5:$A$597,0)),""))</f>
        <v>80</v>
      </c>
      <c r="J1048" s="115">
        <f>IF(tblIssues[[#This Row],[Qty Override]]&lt;&gt;"",tblIssues[[#This Row],[Qty Override]],IF(tblIssues[[#This Row],[Standard Issue]]="","",tblIssues[[#This Row],[Standard Issue]]))</f>
        <v>80</v>
      </c>
      <c r="K1048" s="20">
        <f>IF($F1048="","",IFERROR(INDEX(Items!$D$5:$D$597,MATCH($F1048,Items!$A$5:$A$597,0)),""))</f>
        <v>0.1</v>
      </c>
      <c r="L1048" s="21">
        <f t="shared" si="184"/>
        <v>8</v>
      </c>
      <c r="M1048" s="9" t="str">
        <f t="shared" si="182"/>
        <v>LYSL500290</v>
      </c>
      <c r="N1048" s="24">
        <f>IF($A1048="","",WORKDAY($A1048,Settings!$C$9,HolidayDates))</f>
        <v>46183</v>
      </c>
      <c r="O1048" s="24">
        <f>IF($N1048="","",WORKDAY($N1048,Settings!$C$10,HolidayDates))</f>
        <v>46223</v>
      </c>
      <c r="P1048" s="10" t="s">
        <v>501</v>
      </c>
      <c r="Q1048" s="52" t="str">
        <f t="shared" si="185"/>
        <v>Collected</v>
      </c>
      <c r="R1048" s="55" t="str">
        <f t="shared" si="186"/>
        <v>2026-06</v>
      </c>
      <c r="S1048" s="55">
        <f>IF(OR($B1048="",$F1048="",$R1048=""),"",SUMIFS(tblIssues[Qty Issued],tblIssues[Staff ID],$B1048,tblIssues[Item Name],$F1048,tblIssues[Month],$R1048))</f>
        <v>80</v>
      </c>
      <c r="T1048" s="56">
        <f>IF($I1048="","",$I1048*Settings!$C$11)</f>
        <v>80</v>
      </c>
      <c r="U1048" s="57" t="str">
        <f t="shared" si="183"/>
        <v>OK</v>
      </c>
      <c r="V1048" s="55" t="str">
        <f t="shared" si="187"/>
        <v/>
      </c>
      <c r="W1048" s="55" t="str">
        <f>IF($V1048="","",IF(COUNTIF($V$5:$V1048,$V1048)=1,1,""))</f>
        <v/>
      </c>
      <c r="X1048" s="58" t="str">
        <f>IF($W1048="","",MAX($X$4:X1047)+1)</f>
        <v/>
      </c>
      <c r="Y1048" s="62"/>
      <c r="Z1048" s="62"/>
      <c r="AA1048" s="64" t="str">
        <f>IF($C1048="","",IFERROR(INDEX('Staff Directory'!$E$5:$E$594,MATCH($C1048,'Staff Directory'!$B$5:$B$594,0)),""))</f>
        <v>firstname076.lastname076@example.com</v>
      </c>
      <c r="AB1048" s="64" t="str">
        <f>IF($C1048="","",IF(ISNUMBER(SEARCH($D1048,Settings!$C$15)),"Pickup","Dispatch"))</f>
        <v>Pickup</v>
      </c>
      <c r="AC1048" s="64" t="str">
        <f t="shared" si="188"/>
        <v>Supply order ready for pickup</v>
      </c>
      <c r="AD1048" s="64" t="str">
        <f t="shared" si="179"/>
        <v>Dear PSW,
Your order is ready for pickup from Sample Branch, Wed-Fri 9am-4pm.</v>
      </c>
      <c r="AE1048" s="64" t="str">
        <f t="shared" si="180"/>
        <v>mailto:firstname076.lastname076@example.com?subject=Supply%20order%20ready%20for%20pickup&amp;body=Dear%20PSW%2C%0A%0AYour%20order%20is%20ready%20for%20pickup%20from%20Sample%20Branch%2C%20Wed-Fri%209am-4pm.</v>
      </c>
      <c r="AF1048" s="89" t="str">
        <f t="shared" si="189"/>
        <v>Draft email</v>
      </c>
      <c r="AG1048" s="64" t="str">
        <f>IF($C1048="","",IFERROR(INDEX('Staff Directory'!$K$595:$K$599,MATCH($C1048,'Staff Directory'!$B$5:$B$599,0)),$D1048))</f>
        <v>PSW</v>
      </c>
      <c r="AH1048" t="str">
        <f>IF($C1048="","",IFERROR(INDEX('Staff Directory'!$I$595:$I$599,MATCH($C1048,'Staff Directory'!$B$5:$B$599,0))&amp;" "&amp;INDEX('Staff Directory'!$J$595:$J$599,MATCH($C1048,'Staff Directory'!$B$5:$B$599,0)),$AG1048))</f>
        <v>PSW</v>
      </c>
      <c r="AI1048" s="102"/>
      <c r="AJ1048" s="101">
        <f>IF($F1048="","",SUMIFS($J$5:$J1048,$F$5:$F1048,$F1048))</f>
        <v>13840</v>
      </c>
      <c r="AK1048" s="101">
        <f t="shared" si="181"/>
        <v>13761</v>
      </c>
      <c r="AL1048" s="66" t="str" cm="1">
        <f t="array" ref="AL1048">IF($F1048="","",IFERROR(INDEX('Lot Balance'!$B$5:$B$500,MATCH(1,INDEX(('Lot Balance'!$A$5:$A$500=$F1048)*('Lot Balance'!$K$5:$K$500&lt;$AK1048)*('Lot Balance'!$K$5:$K$500+'Lot Balance'!$D$5:$D$500&gt;=$AK1048),0),0)),""))</f>
        <v>LYSL500290</v>
      </c>
      <c r="AM1048" s="66" t="str" cm="1">
        <f t="array" ref="AM1048">IF($F1048="","",IFERROR(INDEX('Lot Balance'!$B$5:$B$500,MATCH(1,INDEX(('Lot Balance'!$A$5:$A$500=$F1048)*('Lot Balance'!$K$5:$K$500&lt;$AJ1048)*('Lot Balance'!$K$5:$K$500+'Lot Balance'!$D$5:$D$500&gt;=$AJ1048),0),0)),""))</f>
        <v>LYSL500290</v>
      </c>
      <c r="AN1048" s="66" t="str">
        <f>IF($F1048="","",IF($AI1048&lt;&gt;"",IF(COUNTIFS('Lot Balance'!$A$5:$A$500,$F1048,'Lot Balance'!$B$5:$B$500,$AI1048)=0,"⚠ override is not a lot of this item",IF($AI1048=$AL1048,"Override = FEFO","Override - FEFO says "&amp;$AL1048)),IF($AL1048="","⚠ no receipt on file for this item",IF($AM1048&lt;&gt;$AL1048,"FEFO auto - split, also "&amp;$AM1048,"FEFO auto"))))</f>
        <v>FEFO auto</v>
      </c>
      <c r="AO1048" s="114"/>
    </row>
    <row r="1049" spans="1:41" x14ac:dyDescent="0.35">
      <c r="A1049" s="74">
        <v>46175</v>
      </c>
      <c r="B1049" s="18" t="str">
        <f>IF($C1049="","",IFERROR(INDEX('Staff Directory'!$A$5:$A$594,MATCH($C1049,'Staff Directory'!$B$5:$B$594,0)),"⚠ unknown staff"))</f>
        <v>PSW-016-A6</v>
      </c>
      <c r="C1049" s="49" t="s">
        <v>992</v>
      </c>
      <c r="D1049" s="19" t="str">
        <f>IF($B1049="","",IFERROR(INDEX('Staff Directory'!$C$5:$C$594,MATCH($B1049,'Staff Directory'!$A$5:$A$594,0)),""))</f>
        <v>PSW</v>
      </c>
      <c r="E1049" s="19" t="str">
        <f>IF($B1049="","",IFERROR(INDEX('Staff Directory'!$D$5:$D$594,MATCH($B1049,'Staff Directory'!$A$5:$A$594,0)),""))</f>
        <v>A6</v>
      </c>
      <c r="F1049" s="9" t="s">
        <v>156</v>
      </c>
      <c r="G1049" s="18" t="str">
        <f>IF($F1049="","",IFERROR(INDEX(Items!$B$5:$B$597,MATCH($F1049,Items!$A$5:$A$597,0)),"⚠ not in Items"))</f>
        <v>Masks</v>
      </c>
      <c r="H1049" s="19" t="str">
        <f>IF($F1049="","",IFERROR(INDEX(Items!$C$5:$C$597,MATCH($F1049,Items!$A$5:$A$597,0)),""))</f>
        <v>One Size</v>
      </c>
      <c r="I1049" s="23">
        <f>IF($F1049="","",IFERROR(INDEX(Items!$E$5:$E$597,MATCH($F1049,Items!$A$5:$A$597,0)),""))</f>
        <v>50</v>
      </c>
      <c r="J1049" s="115">
        <f>IF(tblIssues[[#This Row],[Qty Override]]&lt;&gt;"",tblIssues[[#This Row],[Qty Override]],IF(tblIssues[[#This Row],[Standard Issue]]="","",tblIssues[[#This Row],[Standard Issue]]))</f>
        <v>50</v>
      </c>
      <c r="K1049" s="20">
        <f>IF($F1049="","",IFERROR(INDEX(Items!$D$5:$D$597,MATCH($F1049,Items!$A$5:$A$597,0)),""))</f>
        <v>0.25</v>
      </c>
      <c r="L1049" s="21">
        <f t="shared" si="184"/>
        <v>12.5</v>
      </c>
      <c r="M1049" s="9" t="str">
        <f t="shared" si="182"/>
        <v>102GPC24</v>
      </c>
      <c r="N1049" s="24">
        <f>IF($A1049="","",WORKDAY($A1049,Settings!$C$9,HolidayDates))</f>
        <v>46183</v>
      </c>
      <c r="O1049" s="24">
        <f>IF($N1049="","",WORKDAY($N1049,Settings!$C$10,HolidayDates))</f>
        <v>46223</v>
      </c>
      <c r="P1049" s="10" t="s">
        <v>501</v>
      </c>
      <c r="Q1049" s="52" t="str">
        <f t="shared" si="185"/>
        <v>Collected</v>
      </c>
      <c r="R1049" s="55" t="str">
        <f t="shared" si="186"/>
        <v>2026-06</v>
      </c>
      <c r="S1049" s="55">
        <f>IF(OR($B1049="",$F1049="",$R1049=""),"",SUMIFS(tblIssues[Qty Issued],tblIssues[Staff ID],$B1049,tblIssues[Item Name],$F1049,tblIssues[Month],$R1049))</f>
        <v>50</v>
      </c>
      <c r="T1049" s="56">
        <f>IF($I1049="","",$I1049*Settings!$C$11)</f>
        <v>50</v>
      </c>
      <c r="U1049" s="57" t="str">
        <f t="shared" si="183"/>
        <v>OK</v>
      </c>
      <c r="V1049" s="55" t="str">
        <f t="shared" si="187"/>
        <v/>
      </c>
      <c r="W1049" s="55" t="str">
        <f>IF($V1049="","",IF(COUNTIF($V$5:$V1049,$V1049)=1,1,""))</f>
        <v/>
      </c>
      <c r="X1049" s="58" t="str">
        <f>IF($W1049="","",MAX($X$4:X1048)+1)</f>
        <v/>
      </c>
      <c r="Y1049" s="62"/>
      <c r="Z1049" s="62"/>
      <c r="AA1049" s="64" t="str">
        <f>IF($C1049="","",IFERROR(INDEX('Staff Directory'!$E$5:$E$594,MATCH($C1049,'Staff Directory'!$B$5:$B$594,0)),""))</f>
        <v>firstname076.lastname076@example.com</v>
      </c>
      <c r="AB1049" s="64" t="str">
        <f>IF($C1049="","",IF(ISNUMBER(SEARCH($D1049,Settings!$C$15)),"Pickup","Dispatch"))</f>
        <v>Pickup</v>
      </c>
      <c r="AC1049" s="64" t="str">
        <f t="shared" si="188"/>
        <v>Supply order ready for pickup</v>
      </c>
      <c r="AD1049" s="64" t="str">
        <f t="shared" si="179"/>
        <v>Dear PSW,
Your order is ready for pickup from Sample Branch, Wed-Fri 9am-4pm.</v>
      </c>
      <c r="AE1049" s="64" t="str">
        <f t="shared" si="180"/>
        <v>mailto:firstname076.lastname076@example.com?subject=Supply%20order%20ready%20for%20pickup&amp;body=Dear%20PSW%2C%0A%0AYour%20order%20is%20ready%20for%20pickup%20from%20Sample%20Branch%2C%20Wed-Fri%209am-4pm.</v>
      </c>
      <c r="AF1049" s="89" t="str">
        <f t="shared" si="189"/>
        <v>Draft email</v>
      </c>
      <c r="AG1049" s="64" t="str">
        <f>IF($C1049="","",IFERROR(INDEX('Staff Directory'!$K$595:$K$599,MATCH($C1049,'Staff Directory'!$B$5:$B$599,0)),$D1049))</f>
        <v>PSW</v>
      </c>
      <c r="AH1049" t="str">
        <f>IF($C1049="","",IFERROR(INDEX('Staff Directory'!$I$595:$I$599,MATCH($C1049,'Staff Directory'!$B$5:$B$599,0))&amp;" "&amp;INDEX('Staff Directory'!$J$595:$J$599,MATCH($C1049,'Staff Directory'!$B$5:$B$599,0)),$AG1049))</f>
        <v>PSW</v>
      </c>
      <c r="AI1049" s="102"/>
      <c r="AJ1049" s="101">
        <f>IF($F1049="","",SUMIFS($J$5:$J1049,$F$5:$F1049,$F1049))</f>
        <v>8350</v>
      </c>
      <c r="AK1049" s="101">
        <f t="shared" si="181"/>
        <v>8301</v>
      </c>
      <c r="AL1049" s="66" t="str" cm="1">
        <f t="array" ref="AL1049">IF($F1049="","",IFERROR(INDEX('Lot Balance'!$B$5:$B$500,MATCH(1,INDEX(('Lot Balance'!$A$5:$A$500=$F1049)*('Lot Balance'!$K$5:$K$500&lt;$AK1049)*('Lot Balance'!$K$5:$K$500+'Lot Balance'!$D$5:$D$500&gt;=$AK1049),0),0)),""))</f>
        <v>102GPC24</v>
      </c>
      <c r="AM1049" s="66" t="str" cm="1">
        <f t="array" ref="AM1049">IF($F1049="","",IFERROR(INDEX('Lot Balance'!$B$5:$B$500,MATCH(1,INDEX(('Lot Balance'!$A$5:$A$500=$F1049)*('Lot Balance'!$K$5:$K$500&lt;$AJ1049)*('Lot Balance'!$K$5:$K$500+'Lot Balance'!$D$5:$D$500&gt;=$AJ1049),0),0)),""))</f>
        <v>102GPC24</v>
      </c>
      <c r="AN1049" s="66" t="str">
        <f>IF($F1049="","",IF($AI1049&lt;&gt;"",IF(COUNTIFS('Lot Balance'!$A$5:$A$500,$F1049,'Lot Balance'!$B$5:$B$500,$AI1049)=0,"⚠ override is not a lot of this item",IF($AI1049=$AL1049,"Override = FEFO","Override - FEFO says "&amp;$AL1049)),IF($AL1049="","⚠ no receipt on file for this item",IF($AM1049&lt;&gt;$AL1049,"FEFO auto - split, also "&amp;$AM1049,"FEFO auto"))))</f>
        <v>FEFO auto</v>
      </c>
      <c r="AO1049" s="114"/>
    </row>
    <row r="1050" spans="1:41" x14ac:dyDescent="0.35">
      <c r="A1050" s="74">
        <v>46175</v>
      </c>
      <c r="B1050" s="18" t="str">
        <f>IF($C1050="","",IFERROR(INDEX('Staff Directory'!$A$5:$A$594,MATCH($C1050,'Staff Directory'!$B$5:$B$594,0)),"⚠ unknown staff"))</f>
        <v>PSW-065-A4</v>
      </c>
      <c r="C1050" s="49" t="s">
        <v>1041</v>
      </c>
      <c r="D1050" s="19" t="str">
        <f>IF($B1050="","",IFERROR(INDEX('Staff Directory'!$C$5:$C$594,MATCH($B1050,'Staff Directory'!$A$5:$A$594,0)),""))</f>
        <v>PSW</v>
      </c>
      <c r="E1050" s="19" t="str">
        <f>IF($B1050="","",IFERROR(INDEX('Staff Directory'!$D$5:$D$594,MATCH($B1050,'Staff Directory'!$A$5:$A$594,0)),""))</f>
        <v>A4</v>
      </c>
      <c r="F1050" s="9" t="s">
        <v>127</v>
      </c>
      <c r="G1050" s="18" t="str">
        <f>IF($F1050="","",IFERROR(INDEX(Items!$B$5:$B$597,MATCH($F1050,Items!$A$5:$A$597,0)),"⚠ not in Items"))</f>
        <v>Gloves</v>
      </c>
      <c r="H1050" s="19" t="str">
        <f>IF($F1050="","",IFERROR(INDEX(Items!$C$5:$C$597,MATCH($F1050,Items!$A$5:$A$597,0)),""))</f>
        <v>Medium</v>
      </c>
      <c r="I1050" s="23">
        <f>IF($F1050="","",IFERROR(INDEX(Items!$E$5:$E$597,MATCH($F1050,Items!$A$5:$A$597,0)),""))</f>
        <v>500</v>
      </c>
      <c r="J1050" s="115">
        <f>IF(tblIssues[[#This Row],[Qty Override]]&lt;&gt;"",tblIssues[[#This Row],[Qty Override]],IF(tblIssues[[#This Row],[Standard Issue]]="","",tblIssues[[#This Row],[Standard Issue]]))</f>
        <v>500</v>
      </c>
      <c r="K1050" s="20">
        <f>IF($F1050="","",IFERROR(INDEX(Items!$D$5:$D$597,MATCH($F1050,Items!$A$5:$A$597,0)),""))</f>
        <v>5.5E-2</v>
      </c>
      <c r="L1050" s="21">
        <f t="shared" si="184"/>
        <v>27.5</v>
      </c>
      <c r="M1050" s="9" t="str">
        <f t="shared" si="182"/>
        <v>ZIM510137962-0</v>
      </c>
      <c r="N1050" s="24">
        <f>IF($A1050="","",WORKDAY($A1050,Settings!$C$9,HolidayDates))</f>
        <v>46183</v>
      </c>
      <c r="O1050" s="24">
        <f>IF($N1050="","",WORKDAY($N1050,Settings!$C$10,HolidayDates))</f>
        <v>46223</v>
      </c>
      <c r="P1050" s="10" t="s">
        <v>501</v>
      </c>
      <c r="Q1050" s="52" t="str">
        <f t="shared" si="185"/>
        <v>Collected</v>
      </c>
      <c r="R1050" s="55" t="str">
        <f t="shared" si="186"/>
        <v>2026-06</v>
      </c>
      <c r="S1050" s="55">
        <f>IF(OR($B1050="",$F1050="",$R1050=""),"",SUMIFS(tblIssues[Qty Issued],tblIssues[Staff ID],$B1050,tblIssues[Item Name],$F1050,tblIssues[Month],$R1050))</f>
        <v>500</v>
      </c>
      <c r="T1050" s="56">
        <f>IF($I1050="","",$I1050*Settings!$C$11)</f>
        <v>500</v>
      </c>
      <c r="U1050" s="57" t="str">
        <f t="shared" si="183"/>
        <v>OK</v>
      </c>
      <c r="V1050" s="55" t="str">
        <f t="shared" si="187"/>
        <v/>
      </c>
      <c r="W1050" s="55" t="str">
        <f>IF($V1050="","",IF(COUNTIF($V$5:$V1050,$V1050)=1,1,""))</f>
        <v/>
      </c>
      <c r="X1050" s="58" t="str">
        <f>IF($W1050="","",MAX($X$4:X1049)+1)</f>
        <v/>
      </c>
      <c r="Y1050" s="62"/>
      <c r="Z1050" s="62"/>
      <c r="AA1050" s="64" t="str">
        <f>IF($C1050="","",IFERROR(INDEX('Staff Directory'!$E$5:$E$594,MATCH($C1050,'Staff Directory'!$B$5:$B$594,0)),""))</f>
        <v>firstname125.lastname125@example.com</v>
      </c>
      <c r="AB1050" s="64" t="str">
        <f>IF($C1050="","",IF(ISNUMBER(SEARCH($D1050,Settings!$C$15)),"Pickup","Dispatch"))</f>
        <v>Pickup</v>
      </c>
      <c r="AC1050" s="64" t="str">
        <f t="shared" si="188"/>
        <v>Supply order ready for pickup</v>
      </c>
      <c r="AD1050" s="64" t="str">
        <f t="shared" si="179"/>
        <v>Dear PSW,
Your order is ready for pickup from Sample Branch, Wed-Fri 9am-4pm.</v>
      </c>
      <c r="AE1050" s="64" t="str">
        <f t="shared" si="180"/>
        <v>mailto:firstname125.lastname125@example.com?subject=Supply%20order%20ready%20for%20pickup&amp;body=Dear%20PSW%2C%0A%0AYour%20order%20is%20ready%20for%20pickup%20from%20Sample%20Branch%2C%20Wed-Fri%209am-4pm.</v>
      </c>
      <c r="AF1050" s="89" t="str">
        <f t="shared" si="189"/>
        <v>Draft email</v>
      </c>
      <c r="AG1050" s="64" t="str">
        <f>IF($C1050="","",IFERROR(INDEX('Staff Directory'!$K$595:$K$599,MATCH($C1050,'Staff Directory'!$B$5:$B$599,0)),$D1050))</f>
        <v>PSW</v>
      </c>
      <c r="AH1050" t="str">
        <f>IF($C1050="","",IFERROR(INDEX('Staff Directory'!$I$595:$I$599,MATCH($C1050,'Staff Directory'!$B$5:$B$599,0))&amp;" "&amp;INDEX('Staff Directory'!$J$595:$J$599,MATCH($C1050,'Staff Directory'!$B$5:$B$599,0)),$AG1050))</f>
        <v>PSW</v>
      </c>
      <c r="AI1050" s="102"/>
      <c r="AJ1050" s="101">
        <f>IF($F1050="","",SUMIFS($J$5:$J1050,$F$5:$F1050,$F1050))</f>
        <v>60000</v>
      </c>
      <c r="AK1050" s="101">
        <f t="shared" si="181"/>
        <v>59501</v>
      </c>
      <c r="AL1050" s="66" t="str" cm="1">
        <f t="array" ref="AL1050">IF($F1050="","",IFERROR(INDEX('Lot Balance'!$B$5:$B$500,MATCH(1,INDEX(('Lot Balance'!$A$5:$A$500=$F1050)*('Lot Balance'!$K$5:$K$500&lt;$AK1050)*('Lot Balance'!$K$5:$K$500+'Lot Balance'!$D$5:$D$500&gt;=$AK1050),0),0)),""))</f>
        <v>ZIM510137962-0</v>
      </c>
      <c r="AM1050" s="66" t="str" cm="1">
        <f t="array" ref="AM1050">IF($F1050="","",IFERROR(INDEX('Lot Balance'!$B$5:$B$500,MATCH(1,INDEX(('Lot Balance'!$A$5:$A$500=$F1050)*('Lot Balance'!$K$5:$K$500&lt;$AJ1050)*('Lot Balance'!$K$5:$K$500+'Lot Balance'!$D$5:$D$500&gt;=$AJ1050),0),0)),""))</f>
        <v>ZIM510137962-0</v>
      </c>
      <c r="AN1050" s="66" t="str">
        <f>IF($F1050="","",IF($AI1050&lt;&gt;"",IF(COUNTIFS('Lot Balance'!$A$5:$A$500,$F1050,'Lot Balance'!$B$5:$B$500,$AI1050)=0,"⚠ override is not a lot of this item",IF($AI1050=$AL1050,"Override = FEFO","Override - FEFO says "&amp;$AL1050)),IF($AL1050="","⚠ no receipt on file for this item",IF($AM1050&lt;&gt;$AL1050,"FEFO auto - split, also "&amp;$AM1050,"FEFO auto"))))</f>
        <v>FEFO auto</v>
      </c>
      <c r="AO1050" s="114"/>
    </row>
    <row r="1051" spans="1:41" x14ac:dyDescent="0.35">
      <c r="A1051" s="74">
        <v>46175</v>
      </c>
      <c r="B1051" s="18" t="str">
        <f>IF($C1051="","",IFERROR(INDEX('Staff Directory'!$A$5:$A$594,MATCH($C1051,'Staff Directory'!$B$5:$B$594,0)),"⚠ unknown staff"))</f>
        <v>PSW-065-A4</v>
      </c>
      <c r="C1051" s="49" t="s">
        <v>1041</v>
      </c>
      <c r="D1051" s="19" t="str">
        <f>IF($B1051="","",IFERROR(INDEX('Staff Directory'!$C$5:$C$594,MATCH($B1051,'Staff Directory'!$A$5:$A$594,0)),""))</f>
        <v>PSW</v>
      </c>
      <c r="E1051" s="19" t="str">
        <f>IF($B1051="","",IFERROR(INDEX('Staff Directory'!$D$5:$D$594,MATCH($B1051,'Staff Directory'!$A$5:$A$594,0)),""))</f>
        <v>A4</v>
      </c>
      <c r="F1051" s="9" t="s">
        <v>191</v>
      </c>
      <c r="G1051" s="18" t="str">
        <f>IF($F1051="","",IFERROR(INDEX(Items!$B$5:$B$597,MATCH($F1051,Items!$A$5:$A$597,0)),"⚠ not in Items"))</f>
        <v>Sanitizer</v>
      </c>
      <c r="H1051" s="19" t="str">
        <f>IF($F1051="","",IFERROR(INDEX(Items!$C$5:$C$597,MATCH($F1051,Items!$A$5:$A$597,0)),""))</f>
        <v>236 ML</v>
      </c>
      <c r="I1051" s="23">
        <f>IF($F1051="","",IFERROR(INDEX(Items!$E$5:$E$597,MATCH($F1051,Items!$A$5:$A$597,0)),""))</f>
        <v>1</v>
      </c>
      <c r="J1051" s="115">
        <f>IF(tblIssues[[#This Row],[Qty Override]]&lt;&gt;"",tblIssues[[#This Row],[Qty Override]],IF(tblIssues[[#This Row],[Standard Issue]]="","",tblIssues[[#This Row],[Standard Issue]]))</f>
        <v>1</v>
      </c>
      <c r="K1051" s="20">
        <f>IF($F1051="","",IFERROR(INDEX(Items!$D$5:$D$597,MATCH($F1051,Items!$A$5:$A$597,0)),""))</f>
        <v>1E-4</v>
      </c>
      <c r="L1051" s="21">
        <f t="shared" si="184"/>
        <v>1E-4</v>
      </c>
      <c r="M1051" s="9" t="str">
        <f t="shared" si="182"/>
        <v>20-21734-4</v>
      </c>
      <c r="N1051" s="24">
        <f>IF($A1051="","",WORKDAY($A1051,Settings!$C$9,HolidayDates))</f>
        <v>46183</v>
      </c>
      <c r="O1051" s="24">
        <f>IF($N1051="","",WORKDAY($N1051,Settings!$C$10,HolidayDates))</f>
        <v>46223</v>
      </c>
      <c r="P1051" s="10" t="s">
        <v>501</v>
      </c>
      <c r="Q1051" s="52" t="str">
        <f t="shared" si="185"/>
        <v>Collected</v>
      </c>
      <c r="R1051" s="55" t="str">
        <f t="shared" si="186"/>
        <v>2026-06</v>
      </c>
      <c r="S1051" s="55">
        <f>IF(OR($B1051="",$F1051="",$R1051=""),"",SUMIFS(tblIssues[Qty Issued],tblIssues[Staff ID],$B1051,tblIssues[Item Name],$F1051,tblIssues[Month],$R1051))</f>
        <v>1</v>
      </c>
      <c r="T1051" s="56">
        <f>IF($I1051="","",$I1051*Settings!$C$11)</f>
        <v>1</v>
      </c>
      <c r="U1051" s="57" t="str">
        <f t="shared" si="183"/>
        <v>OK</v>
      </c>
      <c r="V1051" s="55" t="str">
        <f t="shared" si="187"/>
        <v/>
      </c>
      <c r="W1051" s="55" t="str">
        <f>IF($V1051="","",IF(COUNTIF($V$5:$V1051,$V1051)=1,1,""))</f>
        <v/>
      </c>
      <c r="X1051" s="58" t="str">
        <f>IF($W1051="","",MAX($X$4:X1050)+1)</f>
        <v/>
      </c>
      <c r="Y1051" s="62"/>
      <c r="Z1051" s="62"/>
      <c r="AA1051" s="64" t="str">
        <f>IF($C1051="","",IFERROR(INDEX('Staff Directory'!$E$5:$E$594,MATCH($C1051,'Staff Directory'!$B$5:$B$594,0)),""))</f>
        <v>firstname125.lastname125@example.com</v>
      </c>
      <c r="AB1051" s="64" t="str">
        <f>IF($C1051="","",IF(ISNUMBER(SEARCH($D1051,Settings!$C$15)),"Pickup","Dispatch"))</f>
        <v>Pickup</v>
      </c>
      <c r="AC1051" s="64" t="str">
        <f t="shared" si="188"/>
        <v>Supply order ready for pickup</v>
      </c>
      <c r="AD1051" s="64" t="str">
        <f t="shared" si="179"/>
        <v>Dear PSW,
Your order is ready for pickup from Sample Branch, Wed-Fri 9am-4pm.</v>
      </c>
      <c r="AE1051" s="64" t="str">
        <f t="shared" si="180"/>
        <v>mailto:firstname125.lastname125@example.com?subject=Supply%20order%20ready%20for%20pickup&amp;body=Dear%20PSW%2C%0A%0AYour%20order%20is%20ready%20for%20pickup%20from%20Sample%20Branch%2C%20Wed-Fri%209am-4pm.</v>
      </c>
      <c r="AF1051" s="89" t="str">
        <f t="shared" si="189"/>
        <v>Draft email</v>
      </c>
      <c r="AG1051" s="64" t="str">
        <f>IF($C1051="","",IFERROR(INDEX('Staff Directory'!$K$595:$K$599,MATCH($C1051,'Staff Directory'!$B$5:$B$599,0)),$D1051))</f>
        <v>PSW</v>
      </c>
      <c r="AH1051" t="str">
        <f>IF($C1051="","",IFERROR(INDEX('Staff Directory'!$I$595:$I$599,MATCH($C1051,'Staff Directory'!$B$5:$B$599,0))&amp;" "&amp;INDEX('Staff Directory'!$J$595:$J$599,MATCH($C1051,'Staff Directory'!$B$5:$B$599,0)),$AG1051))</f>
        <v>PSW</v>
      </c>
      <c r="AI1051" s="102"/>
      <c r="AJ1051" s="101">
        <f>IF($F1051="","",SUMIFS($J$5:$J1051,$F$5:$F1051,$F1051))</f>
        <v>121</v>
      </c>
      <c r="AK1051" s="101">
        <f t="shared" si="181"/>
        <v>121</v>
      </c>
      <c r="AL1051" s="66" t="str" cm="1">
        <f t="array" ref="AL1051">IF($F1051="","",IFERROR(INDEX('Lot Balance'!$B$5:$B$500,MATCH(1,INDEX(('Lot Balance'!$A$5:$A$500=$F1051)*('Lot Balance'!$K$5:$K$500&lt;$AK1051)*('Lot Balance'!$K$5:$K$500+'Lot Balance'!$D$5:$D$500&gt;=$AK1051),0),0)),""))</f>
        <v>20-21734-4</v>
      </c>
      <c r="AM1051" s="66" t="str" cm="1">
        <f t="array" ref="AM1051">IF($F1051="","",IFERROR(INDEX('Lot Balance'!$B$5:$B$500,MATCH(1,INDEX(('Lot Balance'!$A$5:$A$500=$F1051)*('Lot Balance'!$K$5:$K$500&lt;$AJ1051)*('Lot Balance'!$K$5:$K$500+'Lot Balance'!$D$5:$D$500&gt;=$AJ1051),0),0)),""))</f>
        <v>20-21734-4</v>
      </c>
      <c r="AN1051" s="66" t="str">
        <f>IF($F1051="","",IF($AI1051&lt;&gt;"",IF(COUNTIFS('Lot Balance'!$A$5:$A$500,$F1051,'Lot Balance'!$B$5:$B$500,$AI1051)=0,"⚠ override is not a lot of this item",IF($AI1051=$AL1051,"Override = FEFO","Override - FEFO says "&amp;$AL1051)),IF($AL1051="","⚠ no receipt on file for this item",IF($AM1051&lt;&gt;$AL1051,"FEFO auto - split, also "&amp;$AM1051,"FEFO auto"))))</f>
        <v>FEFO auto</v>
      </c>
      <c r="AO1051" s="114"/>
    </row>
    <row r="1052" spans="1:41" x14ac:dyDescent="0.35">
      <c r="A1052" s="74">
        <v>46175</v>
      </c>
      <c r="B1052" s="18" t="str">
        <f>IF($C1052="","",IFERROR(INDEX('Staff Directory'!$A$5:$A$594,MATCH($C1052,'Staff Directory'!$B$5:$B$594,0)),"⚠ unknown staff"))</f>
        <v>PSW-065-A4</v>
      </c>
      <c r="C1052" s="49" t="s">
        <v>1041</v>
      </c>
      <c r="D1052" s="19" t="str">
        <f>IF($B1052="","",IFERROR(INDEX('Staff Directory'!$C$5:$C$594,MATCH($B1052,'Staff Directory'!$A$5:$A$594,0)),""))</f>
        <v>PSW</v>
      </c>
      <c r="E1052" s="19" t="str">
        <f>IF($B1052="","",IFERROR(INDEX('Staff Directory'!$D$5:$D$594,MATCH($B1052,'Staff Directory'!$A$5:$A$594,0)),""))</f>
        <v>A4</v>
      </c>
      <c r="F1052" s="9" t="s">
        <v>115</v>
      </c>
      <c r="G1052" s="18" t="str">
        <f>IF($F1052="","",IFERROR(INDEX(Items!$B$5:$B$597,MATCH($F1052,Items!$A$5:$A$597,0)),"⚠ not in Items"))</f>
        <v>Wipes</v>
      </c>
      <c r="H1052" s="19">
        <f>IF($F1052="","",IFERROR(INDEX(Items!$C$5:$C$597,MATCH($F1052,Items!$A$5:$A$597,0)),""))</f>
        <v>80</v>
      </c>
      <c r="I1052" s="23">
        <f>IF($F1052="","",IFERROR(INDEX(Items!$E$5:$E$597,MATCH($F1052,Items!$A$5:$A$597,0)),""))</f>
        <v>80</v>
      </c>
      <c r="J1052" s="115">
        <f>IF(tblIssues[[#This Row],[Qty Override]]&lt;&gt;"",tblIssues[[#This Row],[Qty Override]],IF(tblIssues[[#This Row],[Standard Issue]]="","",tblIssues[[#This Row],[Standard Issue]]))</f>
        <v>80</v>
      </c>
      <c r="K1052" s="20">
        <f>IF($F1052="","",IFERROR(INDEX(Items!$D$5:$D$597,MATCH($F1052,Items!$A$5:$A$597,0)),""))</f>
        <v>0.1</v>
      </c>
      <c r="L1052" s="21">
        <f t="shared" si="184"/>
        <v>8</v>
      </c>
      <c r="M1052" s="9" t="str">
        <f t="shared" si="182"/>
        <v>LYSL500290</v>
      </c>
      <c r="N1052" s="24">
        <f>IF($A1052="","",WORKDAY($A1052,Settings!$C$9,HolidayDates))</f>
        <v>46183</v>
      </c>
      <c r="O1052" s="24">
        <f>IF($N1052="","",WORKDAY($N1052,Settings!$C$10,HolidayDates))</f>
        <v>46223</v>
      </c>
      <c r="P1052" s="10" t="s">
        <v>501</v>
      </c>
      <c r="Q1052" s="52" t="str">
        <f t="shared" si="185"/>
        <v>Collected</v>
      </c>
      <c r="R1052" s="55" t="str">
        <f t="shared" si="186"/>
        <v>2026-06</v>
      </c>
      <c r="S1052" s="55">
        <f>IF(OR($B1052="",$F1052="",$R1052=""),"",SUMIFS(tblIssues[Qty Issued],tblIssues[Staff ID],$B1052,tblIssues[Item Name],$F1052,tblIssues[Month],$R1052))</f>
        <v>80</v>
      </c>
      <c r="T1052" s="56">
        <f>IF($I1052="","",$I1052*Settings!$C$11)</f>
        <v>80</v>
      </c>
      <c r="U1052" s="57" t="str">
        <f t="shared" si="183"/>
        <v>OK</v>
      </c>
      <c r="V1052" s="55" t="str">
        <f t="shared" si="187"/>
        <v/>
      </c>
      <c r="W1052" s="55" t="str">
        <f>IF($V1052="","",IF(COUNTIF($V$5:$V1052,$V1052)=1,1,""))</f>
        <v/>
      </c>
      <c r="X1052" s="58" t="str">
        <f>IF($W1052="","",MAX($X$4:X1051)+1)</f>
        <v/>
      </c>
      <c r="Y1052" s="62"/>
      <c r="Z1052" s="62"/>
      <c r="AA1052" s="64" t="str">
        <f>IF($C1052="","",IFERROR(INDEX('Staff Directory'!$E$5:$E$594,MATCH($C1052,'Staff Directory'!$B$5:$B$594,0)),""))</f>
        <v>firstname125.lastname125@example.com</v>
      </c>
      <c r="AB1052" s="64" t="str">
        <f>IF($C1052="","",IF(ISNUMBER(SEARCH($D1052,Settings!$C$15)),"Pickup","Dispatch"))</f>
        <v>Pickup</v>
      </c>
      <c r="AC1052" s="64" t="str">
        <f t="shared" si="188"/>
        <v>Supply order ready for pickup</v>
      </c>
      <c r="AD1052" s="64" t="str">
        <f t="shared" si="179"/>
        <v>Dear PSW,
Your order is ready for pickup from Sample Branch, Wed-Fri 9am-4pm.</v>
      </c>
      <c r="AE1052" s="64" t="str">
        <f t="shared" si="180"/>
        <v>mailto:firstname125.lastname125@example.com?subject=Supply%20order%20ready%20for%20pickup&amp;body=Dear%20PSW%2C%0A%0AYour%20order%20is%20ready%20for%20pickup%20from%20Sample%20Branch%2C%20Wed-Fri%209am-4pm.</v>
      </c>
      <c r="AF1052" s="89" t="str">
        <f t="shared" si="189"/>
        <v>Draft email</v>
      </c>
      <c r="AG1052" s="64" t="str">
        <f>IF($C1052="","",IFERROR(INDEX('Staff Directory'!$K$595:$K$599,MATCH($C1052,'Staff Directory'!$B$5:$B$599,0)),$D1052))</f>
        <v>PSW</v>
      </c>
      <c r="AH1052" t="str">
        <f>IF($C1052="","",IFERROR(INDEX('Staff Directory'!$I$595:$I$599,MATCH($C1052,'Staff Directory'!$B$5:$B$599,0))&amp;" "&amp;INDEX('Staff Directory'!$J$595:$J$599,MATCH($C1052,'Staff Directory'!$B$5:$B$599,0)),$AG1052))</f>
        <v>PSW</v>
      </c>
      <c r="AI1052" s="102"/>
      <c r="AJ1052" s="101">
        <f>IF($F1052="","",SUMIFS($J$5:$J1052,$F$5:$F1052,$F1052))</f>
        <v>13920</v>
      </c>
      <c r="AK1052" s="101">
        <f t="shared" si="181"/>
        <v>13841</v>
      </c>
      <c r="AL1052" s="66" t="str" cm="1">
        <f t="array" ref="AL1052">IF($F1052="","",IFERROR(INDEX('Lot Balance'!$B$5:$B$500,MATCH(1,INDEX(('Lot Balance'!$A$5:$A$500=$F1052)*('Lot Balance'!$K$5:$K$500&lt;$AK1052)*('Lot Balance'!$K$5:$K$500+'Lot Balance'!$D$5:$D$500&gt;=$AK1052),0),0)),""))</f>
        <v>LYSL500290</v>
      </c>
      <c r="AM1052" s="66" t="str" cm="1">
        <f t="array" ref="AM1052">IF($F1052="","",IFERROR(INDEX('Lot Balance'!$B$5:$B$500,MATCH(1,INDEX(('Lot Balance'!$A$5:$A$500=$F1052)*('Lot Balance'!$K$5:$K$500&lt;$AJ1052)*('Lot Balance'!$K$5:$K$500+'Lot Balance'!$D$5:$D$500&gt;=$AJ1052),0),0)),""))</f>
        <v>LYSL500290</v>
      </c>
      <c r="AN1052" s="66" t="str">
        <f>IF($F1052="","",IF($AI1052&lt;&gt;"",IF(COUNTIFS('Lot Balance'!$A$5:$A$500,$F1052,'Lot Balance'!$B$5:$B$500,$AI1052)=0,"⚠ override is not a lot of this item",IF($AI1052=$AL1052,"Override = FEFO","Override - FEFO says "&amp;$AL1052)),IF($AL1052="","⚠ no receipt on file for this item",IF($AM1052&lt;&gt;$AL1052,"FEFO auto - split, also "&amp;$AM1052,"FEFO auto"))))</f>
        <v>FEFO auto</v>
      </c>
      <c r="AO1052" s="114"/>
    </row>
    <row r="1053" spans="1:41" x14ac:dyDescent="0.35">
      <c r="A1053" s="74">
        <v>46175</v>
      </c>
      <c r="B1053" s="18" t="str">
        <f>IF($C1053="","",IFERROR(INDEX('Staff Directory'!$A$5:$A$594,MATCH($C1053,'Staff Directory'!$B$5:$B$594,0)),"⚠ unknown staff"))</f>
        <v>PSW-065-A4</v>
      </c>
      <c r="C1053" s="49" t="s">
        <v>1041</v>
      </c>
      <c r="D1053" s="19" t="str">
        <f>IF($B1053="","",IFERROR(INDEX('Staff Directory'!$C$5:$C$594,MATCH($B1053,'Staff Directory'!$A$5:$A$594,0)),""))</f>
        <v>PSW</v>
      </c>
      <c r="E1053" s="19" t="str">
        <f>IF($B1053="","",IFERROR(INDEX('Staff Directory'!$D$5:$D$594,MATCH($B1053,'Staff Directory'!$A$5:$A$594,0)),""))</f>
        <v>A4</v>
      </c>
      <c r="F1053" s="9" t="s">
        <v>156</v>
      </c>
      <c r="G1053" s="18" t="str">
        <f>IF($F1053="","",IFERROR(INDEX(Items!$B$5:$B$597,MATCH($F1053,Items!$A$5:$A$597,0)),"⚠ not in Items"))</f>
        <v>Masks</v>
      </c>
      <c r="H1053" s="19" t="str">
        <f>IF($F1053="","",IFERROR(INDEX(Items!$C$5:$C$597,MATCH($F1053,Items!$A$5:$A$597,0)),""))</f>
        <v>One Size</v>
      </c>
      <c r="I1053" s="23">
        <f>IF($F1053="","",IFERROR(INDEX(Items!$E$5:$E$597,MATCH($F1053,Items!$A$5:$A$597,0)),""))</f>
        <v>50</v>
      </c>
      <c r="J1053" s="115">
        <f>IF(tblIssues[[#This Row],[Qty Override]]&lt;&gt;"",tblIssues[[#This Row],[Qty Override]],IF(tblIssues[[#This Row],[Standard Issue]]="","",tblIssues[[#This Row],[Standard Issue]]))</f>
        <v>50</v>
      </c>
      <c r="K1053" s="20">
        <f>IF($F1053="","",IFERROR(INDEX(Items!$D$5:$D$597,MATCH($F1053,Items!$A$5:$A$597,0)),""))</f>
        <v>0.25</v>
      </c>
      <c r="L1053" s="21">
        <f t="shared" si="184"/>
        <v>12.5</v>
      </c>
      <c r="M1053" s="9" t="str">
        <f t="shared" si="182"/>
        <v>102GPC24</v>
      </c>
      <c r="N1053" s="24">
        <f>IF($A1053="","",WORKDAY($A1053,Settings!$C$9,HolidayDates))</f>
        <v>46183</v>
      </c>
      <c r="O1053" s="24">
        <f>IF($N1053="","",WORKDAY($N1053,Settings!$C$10,HolidayDates))</f>
        <v>46223</v>
      </c>
      <c r="P1053" s="10" t="s">
        <v>501</v>
      </c>
      <c r="Q1053" s="52" t="str">
        <f t="shared" si="185"/>
        <v>Collected</v>
      </c>
      <c r="R1053" s="55" t="str">
        <f t="shared" si="186"/>
        <v>2026-06</v>
      </c>
      <c r="S1053" s="55">
        <f>IF(OR($B1053="",$F1053="",$R1053=""),"",SUMIFS(tblIssues[Qty Issued],tblIssues[Staff ID],$B1053,tblIssues[Item Name],$F1053,tblIssues[Month],$R1053))</f>
        <v>50</v>
      </c>
      <c r="T1053" s="56">
        <f>IF($I1053="","",$I1053*Settings!$C$11)</f>
        <v>50</v>
      </c>
      <c r="U1053" s="57" t="str">
        <f t="shared" si="183"/>
        <v>OK</v>
      </c>
      <c r="V1053" s="55" t="str">
        <f t="shared" si="187"/>
        <v/>
      </c>
      <c r="W1053" s="55" t="str">
        <f>IF($V1053="","",IF(COUNTIF($V$5:$V1053,$V1053)=1,1,""))</f>
        <v/>
      </c>
      <c r="X1053" s="58" t="str">
        <f>IF($W1053="","",MAX($X$4:X1052)+1)</f>
        <v/>
      </c>
      <c r="Y1053" s="62"/>
      <c r="Z1053" s="62"/>
      <c r="AA1053" s="64" t="str">
        <f>IF($C1053="","",IFERROR(INDEX('Staff Directory'!$E$5:$E$594,MATCH($C1053,'Staff Directory'!$B$5:$B$594,0)),""))</f>
        <v>firstname125.lastname125@example.com</v>
      </c>
      <c r="AB1053" s="64" t="str">
        <f>IF($C1053="","",IF(ISNUMBER(SEARCH($D1053,Settings!$C$15)),"Pickup","Dispatch"))</f>
        <v>Pickup</v>
      </c>
      <c r="AC1053" s="64" t="str">
        <f t="shared" si="188"/>
        <v>Supply order ready for pickup</v>
      </c>
      <c r="AD1053" s="64" t="str">
        <f t="shared" si="179"/>
        <v>Dear PSW,
Your order is ready for pickup from Sample Branch, Wed-Fri 9am-4pm.</v>
      </c>
      <c r="AE1053" s="64" t="str">
        <f t="shared" si="180"/>
        <v>mailto:firstname125.lastname125@example.com?subject=Supply%20order%20ready%20for%20pickup&amp;body=Dear%20PSW%2C%0A%0AYour%20order%20is%20ready%20for%20pickup%20from%20Sample%20Branch%2C%20Wed-Fri%209am-4pm.</v>
      </c>
      <c r="AF1053" s="89" t="str">
        <f t="shared" si="189"/>
        <v>Draft email</v>
      </c>
      <c r="AG1053" s="64" t="str">
        <f>IF($C1053="","",IFERROR(INDEX('Staff Directory'!$K$595:$K$599,MATCH($C1053,'Staff Directory'!$B$5:$B$599,0)),$D1053))</f>
        <v>PSW</v>
      </c>
      <c r="AH1053" t="str">
        <f>IF($C1053="","",IFERROR(INDEX('Staff Directory'!$I$595:$I$599,MATCH($C1053,'Staff Directory'!$B$5:$B$599,0))&amp;" "&amp;INDEX('Staff Directory'!$J$595:$J$599,MATCH($C1053,'Staff Directory'!$B$5:$B$599,0)),$AG1053))</f>
        <v>PSW</v>
      </c>
      <c r="AI1053" s="102"/>
      <c r="AJ1053" s="101">
        <f>IF($F1053="","",SUMIFS($J$5:$J1053,$F$5:$F1053,$F1053))</f>
        <v>8400</v>
      </c>
      <c r="AK1053" s="101">
        <f t="shared" si="181"/>
        <v>8351</v>
      </c>
      <c r="AL1053" s="66" t="str" cm="1">
        <f t="array" ref="AL1053">IF($F1053="","",IFERROR(INDEX('Lot Balance'!$B$5:$B$500,MATCH(1,INDEX(('Lot Balance'!$A$5:$A$500=$F1053)*('Lot Balance'!$K$5:$K$500&lt;$AK1053)*('Lot Balance'!$K$5:$K$500+'Lot Balance'!$D$5:$D$500&gt;=$AK1053),0),0)),""))</f>
        <v>102GPC24</v>
      </c>
      <c r="AM1053" s="66" t="str" cm="1">
        <f t="array" ref="AM1053">IF($F1053="","",IFERROR(INDEX('Lot Balance'!$B$5:$B$500,MATCH(1,INDEX(('Lot Balance'!$A$5:$A$500=$F1053)*('Lot Balance'!$K$5:$K$500&lt;$AJ1053)*('Lot Balance'!$K$5:$K$500+'Lot Balance'!$D$5:$D$500&gt;=$AJ1053),0),0)),""))</f>
        <v>102GPC24</v>
      </c>
      <c r="AN1053" s="66" t="str">
        <f>IF($F1053="","",IF($AI1053&lt;&gt;"",IF(COUNTIFS('Lot Balance'!$A$5:$A$500,$F1053,'Lot Balance'!$B$5:$B$500,$AI1053)=0,"⚠ override is not a lot of this item",IF($AI1053=$AL1053,"Override = FEFO","Override - FEFO says "&amp;$AL1053)),IF($AL1053="","⚠ no receipt on file for this item",IF($AM1053&lt;&gt;$AL1053,"FEFO auto - split, also "&amp;$AM1053,"FEFO auto"))))</f>
        <v>FEFO auto</v>
      </c>
      <c r="AO1053" s="114"/>
    </row>
    <row r="1054" spans="1:41" x14ac:dyDescent="0.35">
      <c r="A1054" s="74">
        <v>46175</v>
      </c>
      <c r="B1054" s="18" t="str">
        <f>IF($C1054="","",IFERROR(INDEX('Staff Directory'!$A$5:$A$594,MATCH($C1054,'Staff Directory'!$B$5:$B$594,0)),"⚠ unknown staff"))</f>
        <v>PSW-051-A4</v>
      </c>
      <c r="C1054" s="49" t="s">
        <v>1027</v>
      </c>
      <c r="D1054" s="19" t="str">
        <f>IF($B1054="","",IFERROR(INDEX('Staff Directory'!$C$5:$C$594,MATCH($B1054,'Staff Directory'!$A$5:$A$594,0)),""))</f>
        <v>PSW</v>
      </c>
      <c r="E1054" s="19" t="str">
        <f>IF($B1054="","",IFERROR(INDEX('Staff Directory'!$D$5:$D$594,MATCH($B1054,'Staff Directory'!$A$5:$A$594,0)),""))</f>
        <v>A4</v>
      </c>
      <c r="F1054" s="9" t="s">
        <v>129</v>
      </c>
      <c r="G1054" s="18" t="str">
        <f>IF($F1054="","",IFERROR(INDEX(Items!$B$5:$B$597,MATCH($F1054,Items!$A$5:$A$597,0)),"⚠ not in Items"))</f>
        <v>Gloves</v>
      </c>
      <c r="H1054" s="19" t="str">
        <f>IF($F1054="","",IFERROR(INDEX(Items!$C$5:$C$597,MATCH($F1054,Items!$A$5:$A$597,0)),""))</f>
        <v>Small</v>
      </c>
      <c r="I1054" s="23">
        <f>IF($F1054="","",IFERROR(INDEX(Items!$E$5:$E$597,MATCH($F1054,Items!$A$5:$A$597,0)),""))</f>
        <v>500</v>
      </c>
      <c r="J1054" s="115">
        <f>IF(tblIssues[[#This Row],[Qty Override]]&lt;&gt;"",tblIssues[[#This Row],[Qty Override]],IF(tblIssues[[#This Row],[Standard Issue]]="","",tblIssues[[#This Row],[Standard Issue]]))</f>
        <v>500</v>
      </c>
      <c r="K1054" s="20">
        <f>IF($F1054="","",IFERROR(INDEX(Items!$D$5:$D$597,MATCH($F1054,Items!$A$5:$A$597,0)),""))</f>
        <v>5.5E-2</v>
      </c>
      <c r="L1054" s="21">
        <f t="shared" si="184"/>
        <v>27.5</v>
      </c>
      <c r="M1054" s="9" t="str">
        <f t="shared" si="182"/>
        <v>ZIM504124207-6</v>
      </c>
      <c r="N1054" s="24">
        <f>IF($A1054="","",WORKDAY($A1054,Settings!$C$9,HolidayDates))</f>
        <v>46183</v>
      </c>
      <c r="O1054" s="24">
        <f>IF($N1054="","",WORKDAY($N1054,Settings!$C$10,HolidayDates))</f>
        <v>46223</v>
      </c>
      <c r="P1054" s="10" t="s">
        <v>501</v>
      </c>
      <c r="Q1054" s="52" t="str">
        <f t="shared" si="185"/>
        <v>Collected</v>
      </c>
      <c r="R1054" s="55" t="str">
        <f t="shared" si="186"/>
        <v>2026-06</v>
      </c>
      <c r="S1054" s="55">
        <f>IF(OR($B1054="",$F1054="",$R1054=""),"",SUMIFS(tblIssues[Qty Issued],tblIssues[Staff ID],$B1054,tblIssues[Item Name],$F1054,tblIssues[Month],$R1054))</f>
        <v>500</v>
      </c>
      <c r="T1054" s="56">
        <f>IF($I1054="","",$I1054*Settings!$C$11)</f>
        <v>500</v>
      </c>
      <c r="U1054" s="57" t="str">
        <f t="shared" si="183"/>
        <v>OK</v>
      </c>
      <c r="V1054" s="55" t="str">
        <f t="shared" si="187"/>
        <v/>
      </c>
      <c r="W1054" s="55" t="str">
        <f>IF($V1054="","",IF(COUNTIF($V$5:$V1054,$V1054)=1,1,""))</f>
        <v/>
      </c>
      <c r="X1054" s="58" t="str">
        <f>IF($W1054="","",MAX($X$4:X1053)+1)</f>
        <v/>
      </c>
      <c r="Y1054" s="62"/>
      <c r="Z1054" s="62"/>
      <c r="AA1054" s="64" t="str">
        <f>IF($C1054="","",IFERROR(INDEX('Staff Directory'!$E$5:$E$594,MATCH($C1054,'Staff Directory'!$B$5:$B$594,0)),""))</f>
        <v>firstname111.lastname111@example.com</v>
      </c>
      <c r="AB1054" s="64" t="str">
        <f>IF($C1054="","",IF(ISNUMBER(SEARCH($D1054,Settings!$C$15)),"Pickup","Dispatch"))</f>
        <v>Pickup</v>
      </c>
      <c r="AC1054" s="64" t="str">
        <f t="shared" si="188"/>
        <v>Supply order ready for pickup</v>
      </c>
      <c r="AD1054" s="64" t="str">
        <f t="shared" si="179"/>
        <v>Dear PSW,
Your order is ready for pickup from Sample Branch, Wed-Fri 9am-4pm.</v>
      </c>
      <c r="AE1054" s="64" t="str">
        <f t="shared" si="180"/>
        <v>mailto:firstname111.lastname111@example.com?subject=Supply%20order%20ready%20for%20pickup&amp;body=Dear%20PSW%2C%0A%0AYour%20order%20is%20ready%20for%20pickup%20from%20Sample%20Branch%2C%20Wed-Fri%209am-4pm.</v>
      </c>
      <c r="AF1054" s="89" t="str">
        <f t="shared" si="189"/>
        <v>Draft email</v>
      </c>
      <c r="AG1054" s="64" t="str">
        <f>IF($C1054="","",IFERROR(INDEX('Staff Directory'!$K$595:$K$599,MATCH($C1054,'Staff Directory'!$B$5:$B$599,0)),$D1054))</f>
        <v>PSW</v>
      </c>
      <c r="AH1054" t="str">
        <f>IF($C1054="","",IFERROR(INDEX('Staff Directory'!$I$595:$I$599,MATCH($C1054,'Staff Directory'!$B$5:$B$599,0))&amp;" "&amp;INDEX('Staff Directory'!$J$595:$J$599,MATCH($C1054,'Staff Directory'!$B$5:$B$599,0)),$AG1054))</f>
        <v>PSW</v>
      </c>
      <c r="AI1054" s="102"/>
      <c r="AJ1054" s="101">
        <f>IF($F1054="","",SUMIFS($J$5:$J1054,$F$5:$F1054,$F1054))</f>
        <v>31500</v>
      </c>
      <c r="AK1054" s="101">
        <f t="shared" si="181"/>
        <v>31001</v>
      </c>
      <c r="AL1054" s="66" t="str" cm="1">
        <f t="array" ref="AL1054">IF($F1054="","",IFERROR(INDEX('Lot Balance'!$B$5:$B$500,MATCH(1,INDEX(('Lot Balance'!$A$5:$A$500=$F1054)*('Lot Balance'!$K$5:$K$500&lt;$AK1054)*('Lot Balance'!$K$5:$K$500+'Lot Balance'!$D$5:$D$500&gt;=$AK1054),0),0)),""))</f>
        <v>ZIM504124207-6</v>
      </c>
      <c r="AM1054" s="66" t="str" cm="1">
        <f t="array" ref="AM1054">IF($F1054="","",IFERROR(INDEX('Lot Balance'!$B$5:$B$500,MATCH(1,INDEX(('Lot Balance'!$A$5:$A$500=$F1054)*('Lot Balance'!$K$5:$K$500&lt;$AJ1054)*('Lot Balance'!$K$5:$K$500+'Lot Balance'!$D$5:$D$500&gt;=$AJ1054),0),0)),""))</f>
        <v>ZIM504124207-6</v>
      </c>
      <c r="AN1054" s="66" t="str">
        <f>IF($F1054="","",IF($AI1054&lt;&gt;"",IF(COUNTIFS('Lot Balance'!$A$5:$A$500,$F1054,'Lot Balance'!$B$5:$B$500,$AI1054)=0,"⚠ override is not a lot of this item",IF($AI1054=$AL1054,"Override = FEFO","Override - FEFO says "&amp;$AL1054)),IF($AL1054="","⚠ no receipt on file for this item",IF($AM1054&lt;&gt;$AL1054,"FEFO auto - split, also "&amp;$AM1054,"FEFO auto"))))</f>
        <v>FEFO auto</v>
      </c>
      <c r="AO1054" s="114"/>
    </row>
    <row r="1055" spans="1:41" x14ac:dyDescent="0.35">
      <c r="A1055" s="74">
        <v>46175</v>
      </c>
      <c r="B1055" s="18" t="str">
        <f>IF($C1055="","",IFERROR(INDEX('Staff Directory'!$A$5:$A$594,MATCH($C1055,'Staff Directory'!$B$5:$B$594,0)),"⚠ unknown staff"))</f>
        <v>PSW-051-A4</v>
      </c>
      <c r="C1055" s="49" t="s">
        <v>1027</v>
      </c>
      <c r="D1055" s="19" t="str">
        <f>IF($B1055="","",IFERROR(INDEX('Staff Directory'!$C$5:$C$594,MATCH($B1055,'Staff Directory'!$A$5:$A$594,0)),""))</f>
        <v>PSW</v>
      </c>
      <c r="E1055" s="19" t="str">
        <f>IF($B1055="","",IFERROR(INDEX('Staff Directory'!$D$5:$D$594,MATCH($B1055,'Staff Directory'!$A$5:$A$594,0)),""))</f>
        <v>A4</v>
      </c>
      <c r="F1055" s="9" t="s">
        <v>191</v>
      </c>
      <c r="G1055" s="18" t="str">
        <f>IF($F1055="","",IFERROR(INDEX(Items!$B$5:$B$597,MATCH($F1055,Items!$A$5:$A$597,0)),"⚠ not in Items"))</f>
        <v>Sanitizer</v>
      </c>
      <c r="H1055" s="19" t="str">
        <f>IF($F1055="","",IFERROR(INDEX(Items!$C$5:$C$597,MATCH($F1055,Items!$A$5:$A$597,0)),""))</f>
        <v>236 ML</v>
      </c>
      <c r="I1055" s="23">
        <f>IF($F1055="","",IFERROR(INDEX(Items!$E$5:$E$597,MATCH($F1055,Items!$A$5:$A$597,0)),""))</f>
        <v>1</v>
      </c>
      <c r="J1055" s="115">
        <f>IF(tblIssues[[#This Row],[Qty Override]]&lt;&gt;"",tblIssues[[#This Row],[Qty Override]],IF(tblIssues[[#This Row],[Standard Issue]]="","",tblIssues[[#This Row],[Standard Issue]]))</f>
        <v>1</v>
      </c>
      <c r="K1055" s="20">
        <f>IF($F1055="","",IFERROR(INDEX(Items!$D$5:$D$597,MATCH($F1055,Items!$A$5:$A$597,0)),""))</f>
        <v>1E-4</v>
      </c>
      <c r="L1055" s="21">
        <f t="shared" si="184"/>
        <v>1E-4</v>
      </c>
      <c r="M1055" s="9" t="str">
        <f t="shared" si="182"/>
        <v>20-21734-4</v>
      </c>
      <c r="N1055" s="24">
        <f>IF($A1055="","",WORKDAY($A1055,Settings!$C$9,HolidayDates))</f>
        <v>46183</v>
      </c>
      <c r="O1055" s="24">
        <f>IF($N1055="","",WORKDAY($N1055,Settings!$C$10,HolidayDates))</f>
        <v>46223</v>
      </c>
      <c r="P1055" s="10" t="s">
        <v>501</v>
      </c>
      <c r="Q1055" s="52" t="str">
        <f t="shared" si="185"/>
        <v>Collected</v>
      </c>
      <c r="R1055" s="55" t="str">
        <f t="shared" si="186"/>
        <v>2026-06</v>
      </c>
      <c r="S1055" s="55">
        <f>IF(OR($B1055="",$F1055="",$R1055=""),"",SUMIFS(tblIssues[Qty Issued],tblIssues[Staff ID],$B1055,tblIssues[Item Name],$F1055,tblIssues[Month],$R1055))</f>
        <v>1</v>
      </c>
      <c r="T1055" s="56">
        <f>IF($I1055="","",$I1055*Settings!$C$11)</f>
        <v>1</v>
      </c>
      <c r="U1055" s="57" t="str">
        <f t="shared" si="183"/>
        <v>OK</v>
      </c>
      <c r="V1055" s="55" t="str">
        <f t="shared" si="187"/>
        <v/>
      </c>
      <c r="W1055" s="55" t="str">
        <f>IF($V1055="","",IF(COUNTIF($V$5:$V1055,$V1055)=1,1,""))</f>
        <v/>
      </c>
      <c r="X1055" s="58" t="str">
        <f>IF($W1055="","",MAX($X$4:X1054)+1)</f>
        <v/>
      </c>
      <c r="Y1055" s="62"/>
      <c r="Z1055" s="62"/>
      <c r="AA1055" s="64" t="str">
        <f>IF($C1055="","",IFERROR(INDEX('Staff Directory'!$E$5:$E$594,MATCH($C1055,'Staff Directory'!$B$5:$B$594,0)),""))</f>
        <v>firstname111.lastname111@example.com</v>
      </c>
      <c r="AB1055" s="64" t="str">
        <f>IF($C1055="","",IF(ISNUMBER(SEARCH($D1055,Settings!$C$15)),"Pickup","Dispatch"))</f>
        <v>Pickup</v>
      </c>
      <c r="AC1055" s="64" t="str">
        <f t="shared" si="188"/>
        <v>Supply order ready for pickup</v>
      </c>
      <c r="AD1055" s="64" t="str">
        <f t="shared" si="179"/>
        <v>Dear PSW,
Your order is ready for pickup from Sample Branch, Wed-Fri 9am-4pm.</v>
      </c>
      <c r="AE1055" s="64" t="str">
        <f t="shared" si="180"/>
        <v>mailto:firstname111.lastname111@example.com?subject=Supply%20order%20ready%20for%20pickup&amp;body=Dear%20PSW%2C%0A%0AYour%20order%20is%20ready%20for%20pickup%20from%20Sample%20Branch%2C%20Wed-Fri%209am-4pm.</v>
      </c>
      <c r="AF1055" s="89" t="str">
        <f t="shared" si="189"/>
        <v>Draft email</v>
      </c>
      <c r="AG1055" s="64" t="str">
        <f>IF($C1055="","",IFERROR(INDEX('Staff Directory'!$K$595:$K$599,MATCH($C1055,'Staff Directory'!$B$5:$B$599,0)),$D1055))</f>
        <v>PSW</v>
      </c>
      <c r="AH1055" t="str">
        <f>IF($C1055="","",IFERROR(INDEX('Staff Directory'!$I$595:$I$599,MATCH($C1055,'Staff Directory'!$B$5:$B$599,0))&amp;" "&amp;INDEX('Staff Directory'!$J$595:$J$599,MATCH($C1055,'Staff Directory'!$B$5:$B$599,0)),$AG1055))</f>
        <v>PSW</v>
      </c>
      <c r="AI1055" s="102"/>
      <c r="AJ1055" s="101">
        <f>IF($F1055="","",SUMIFS($J$5:$J1055,$F$5:$F1055,$F1055))</f>
        <v>122</v>
      </c>
      <c r="AK1055" s="101">
        <f t="shared" si="181"/>
        <v>122</v>
      </c>
      <c r="AL1055" s="66" t="str" cm="1">
        <f t="array" ref="AL1055">IF($F1055="","",IFERROR(INDEX('Lot Balance'!$B$5:$B$500,MATCH(1,INDEX(('Lot Balance'!$A$5:$A$500=$F1055)*('Lot Balance'!$K$5:$K$500&lt;$AK1055)*('Lot Balance'!$K$5:$K$500+'Lot Balance'!$D$5:$D$500&gt;=$AK1055),0),0)),""))</f>
        <v>20-21734-4</v>
      </c>
      <c r="AM1055" s="66" t="str" cm="1">
        <f t="array" ref="AM1055">IF($F1055="","",IFERROR(INDEX('Lot Balance'!$B$5:$B$500,MATCH(1,INDEX(('Lot Balance'!$A$5:$A$500=$F1055)*('Lot Balance'!$K$5:$K$500&lt;$AJ1055)*('Lot Balance'!$K$5:$K$500+'Lot Balance'!$D$5:$D$500&gt;=$AJ1055),0),0)),""))</f>
        <v>20-21734-4</v>
      </c>
      <c r="AN1055" s="66" t="str">
        <f>IF($F1055="","",IF($AI1055&lt;&gt;"",IF(COUNTIFS('Lot Balance'!$A$5:$A$500,$F1055,'Lot Balance'!$B$5:$B$500,$AI1055)=0,"⚠ override is not a lot of this item",IF($AI1055=$AL1055,"Override = FEFO","Override - FEFO says "&amp;$AL1055)),IF($AL1055="","⚠ no receipt on file for this item",IF($AM1055&lt;&gt;$AL1055,"FEFO auto - split, also "&amp;$AM1055,"FEFO auto"))))</f>
        <v>FEFO auto</v>
      </c>
      <c r="AO1055" s="114"/>
    </row>
    <row r="1056" spans="1:41" x14ac:dyDescent="0.35">
      <c r="A1056" s="74">
        <v>46175</v>
      </c>
      <c r="B1056" s="18" t="str">
        <f>IF($C1056="","",IFERROR(INDEX('Staff Directory'!$A$5:$A$594,MATCH($C1056,'Staff Directory'!$B$5:$B$594,0)),"⚠ unknown staff"))</f>
        <v>PSW-051-A4</v>
      </c>
      <c r="C1056" s="49" t="s">
        <v>1027</v>
      </c>
      <c r="D1056" s="19" t="str">
        <f>IF($B1056="","",IFERROR(INDEX('Staff Directory'!$C$5:$C$594,MATCH($B1056,'Staff Directory'!$A$5:$A$594,0)),""))</f>
        <v>PSW</v>
      </c>
      <c r="E1056" s="19" t="str">
        <f>IF($B1056="","",IFERROR(INDEX('Staff Directory'!$D$5:$D$594,MATCH($B1056,'Staff Directory'!$A$5:$A$594,0)),""))</f>
        <v>A4</v>
      </c>
      <c r="F1056" s="9" t="s">
        <v>115</v>
      </c>
      <c r="G1056" s="18" t="str">
        <f>IF($F1056="","",IFERROR(INDEX(Items!$B$5:$B$597,MATCH($F1056,Items!$A$5:$A$597,0)),"⚠ not in Items"))</f>
        <v>Wipes</v>
      </c>
      <c r="H1056" s="19">
        <f>IF($F1056="","",IFERROR(INDEX(Items!$C$5:$C$597,MATCH($F1056,Items!$A$5:$A$597,0)),""))</f>
        <v>80</v>
      </c>
      <c r="I1056" s="23">
        <f>IF($F1056="","",IFERROR(INDEX(Items!$E$5:$E$597,MATCH($F1056,Items!$A$5:$A$597,0)),""))</f>
        <v>80</v>
      </c>
      <c r="J1056" s="115">
        <f>IF(tblIssues[[#This Row],[Qty Override]]&lt;&gt;"",tblIssues[[#This Row],[Qty Override]],IF(tblIssues[[#This Row],[Standard Issue]]="","",tblIssues[[#This Row],[Standard Issue]]))</f>
        <v>80</v>
      </c>
      <c r="K1056" s="20">
        <f>IF($F1056="","",IFERROR(INDEX(Items!$D$5:$D$597,MATCH($F1056,Items!$A$5:$A$597,0)),""))</f>
        <v>0.1</v>
      </c>
      <c r="L1056" s="21">
        <f t="shared" si="184"/>
        <v>8</v>
      </c>
      <c r="M1056" s="9" t="str">
        <f t="shared" si="182"/>
        <v>LYSL500290</v>
      </c>
      <c r="N1056" s="24">
        <f>IF($A1056="","",WORKDAY($A1056,Settings!$C$9,HolidayDates))</f>
        <v>46183</v>
      </c>
      <c r="O1056" s="24">
        <f>IF($N1056="","",WORKDAY($N1056,Settings!$C$10,HolidayDates))</f>
        <v>46223</v>
      </c>
      <c r="P1056" s="10" t="s">
        <v>501</v>
      </c>
      <c r="Q1056" s="52" t="str">
        <f t="shared" si="185"/>
        <v>Collected</v>
      </c>
      <c r="R1056" s="55" t="str">
        <f t="shared" si="186"/>
        <v>2026-06</v>
      </c>
      <c r="S1056" s="55">
        <f>IF(OR($B1056="",$F1056="",$R1056=""),"",SUMIFS(tblIssues[Qty Issued],tblIssues[Staff ID],$B1056,tblIssues[Item Name],$F1056,tblIssues[Month],$R1056))</f>
        <v>80</v>
      </c>
      <c r="T1056" s="56">
        <f>IF($I1056="","",$I1056*Settings!$C$11)</f>
        <v>80</v>
      </c>
      <c r="U1056" s="57" t="str">
        <f t="shared" si="183"/>
        <v>OK</v>
      </c>
      <c r="V1056" s="55" t="str">
        <f t="shared" si="187"/>
        <v/>
      </c>
      <c r="W1056" s="55" t="str">
        <f>IF($V1056="","",IF(COUNTIF($V$5:$V1056,$V1056)=1,1,""))</f>
        <v/>
      </c>
      <c r="X1056" s="58" t="str">
        <f>IF($W1056="","",MAX($X$4:X1055)+1)</f>
        <v/>
      </c>
      <c r="Y1056" s="62"/>
      <c r="Z1056" s="62"/>
      <c r="AA1056" s="64" t="str">
        <f>IF($C1056="","",IFERROR(INDEX('Staff Directory'!$E$5:$E$594,MATCH($C1056,'Staff Directory'!$B$5:$B$594,0)),""))</f>
        <v>firstname111.lastname111@example.com</v>
      </c>
      <c r="AB1056" s="64" t="str">
        <f>IF($C1056="","",IF(ISNUMBER(SEARCH($D1056,Settings!$C$15)),"Pickup","Dispatch"))</f>
        <v>Pickup</v>
      </c>
      <c r="AC1056" s="64" t="str">
        <f t="shared" si="188"/>
        <v>Supply order ready for pickup</v>
      </c>
      <c r="AD1056" s="64" t="str">
        <f t="shared" si="179"/>
        <v>Dear PSW,
Your order is ready for pickup from Sample Branch, Wed-Fri 9am-4pm.</v>
      </c>
      <c r="AE1056" s="64" t="str">
        <f t="shared" si="180"/>
        <v>mailto:firstname111.lastname111@example.com?subject=Supply%20order%20ready%20for%20pickup&amp;body=Dear%20PSW%2C%0A%0AYour%20order%20is%20ready%20for%20pickup%20from%20Sample%20Branch%2C%20Wed-Fri%209am-4pm.</v>
      </c>
      <c r="AF1056" s="89" t="str">
        <f t="shared" si="189"/>
        <v>Draft email</v>
      </c>
      <c r="AG1056" s="64" t="str">
        <f>IF($C1056="","",IFERROR(INDEX('Staff Directory'!$K$595:$K$599,MATCH($C1056,'Staff Directory'!$B$5:$B$599,0)),$D1056))</f>
        <v>PSW</v>
      </c>
      <c r="AH1056" t="str">
        <f>IF($C1056="","",IFERROR(INDEX('Staff Directory'!$I$595:$I$599,MATCH($C1056,'Staff Directory'!$B$5:$B$599,0))&amp;" "&amp;INDEX('Staff Directory'!$J$595:$J$599,MATCH($C1056,'Staff Directory'!$B$5:$B$599,0)),$AG1056))</f>
        <v>PSW</v>
      </c>
      <c r="AI1056" s="102"/>
      <c r="AJ1056" s="101">
        <f>IF($F1056="","",SUMIFS($J$5:$J1056,$F$5:$F1056,$F1056))</f>
        <v>14000</v>
      </c>
      <c r="AK1056" s="101">
        <f t="shared" si="181"/>
        <v>13921</v>
      </c>
      <c r="AL1056" s="66" t="str" cm="1">
        <f t="array" ref="AL1056">IF($F1056="","",IFERROR(INDEX('Lot Balance'!$B$5:$B$500,MATCH(1,INDEX(('Lot Balance'!$A$5:$A$500=$F1056)*('Lot Balance'!$K$5:$K$500&lt;$AK1056)*('Lot Balance'!$K$5:$K$500+'Lot Balance'!$D$5:$D$500&gt;=$AK1056),0),0)),""))</f>
        <v>LYSL500290</v>
      </c>
      <c r="AM1056" s="66" t="str" cm="1">
        <f t="array" ref="AM1056">IF($F1056="","",IFERROR(INDEX('Lot Balance'!$B$5:$B$500,MATCH(1,INDEX(('Lot Balance'!$A$5:$A$500=$F1056)*('Lot Balance'!$K$5:$K$500&lt;$AJ1056)*('Lot Balance'!$K$5:$K$500+'Lot Balance'!$D$5:$D$500&gt;=$AJ1056),0),0)),""))</f>
        <v>LYSL500290</v>
      </c>
      <c r="AN1056" s="66" t="str">
        <f>IF($F1056="","",IF($AI1056&lt;&gt;"",IF(COUNTIFS('Lot Balance'!$A$5:$A$500,$F1056,'Lot Balance'!$B$5:$B$500,$AI1056)=0,"⚠ override is not a lot of this item",IF($AI1056=$AL1056,"Override = FEFO","Override - FEFO says "&amp;$AL1056)),IF($AL1056="","⚠ no receipt on file for this item",IF($AM1056&lt;&gt;$AL1056,"FEFO auto - split, also "&amp;$AM1056,"FEFO auto"))))</f>
        <v>FEFO auto</v>
      </c>
      <c r="AO1056" s="114"/>
    </row>
    <row r="1057" spans="1:41" x14ac:dyDescent="0.35">
      <c r="A1057" s="74">
        <v>46175</v>
      </c>
      <c r="B1057" s="18" t="str">
        <f>IF($C1057="","",IFERROR(INDEX('Staff Directory'!$A$5:$A$594,MATCH($C1057,'Staff Directory'!$B$5:$B$594,0)),"⚠ unknown staff"))</f>
        <v>PSW-051-A4</v>
      </c>
      <c r="C1057" s="49" t="s">
        <v>1027</v>
      </c>
      <c r="D1057" s="19" t="str">
        <f>IF($B1057="","",IFERROR(INDEX('Staff Directory'!$C$5:$C$594,MATCH($B1057,'Staff Directory'!$A$5:$A$594,0)),""))</f>
        <v>PSW</v>
      </c>
      <c r="E1057" s="19" t="str">
        <f>IF($B1057="","",IFERROR(INDEX('Staff Directory'!$D$5:$D$594,MATCH($B1057,'Staff Directory'!$A$5:$A$594,0)),""))</f>
        <v>A4</v>
      </c>
      <c r="F1057" s="9" t="s">
        <v>156</v>
      </c>
      <c r="G1057" s="18" t="str">
        <f>IF($F1057="","",IFERROR(INDEX(Items!$B$5:$B$597,MATCH($F1057,Items!$A$5:$A$597,0)),"⚠ not in Items"))</f>
        <v>Masks</v>
      </c>
      <c r="H1057" s="19" t="str">
        <f>IF($F1057="","",IFERROR(INDEX(Items!$C$5:$C$597,MATCH($F1057,Items!$A$5:$A$597,0)),""))</f>
        <v>One Size</v>
      </c>
      <c r="I1057" s="23">
        <f>IF($F1057="","",IFERROR(INDEX(Items!$E$5:$E$597,MATCH($F1057,Items!$A$5:$A$597,0)),""))</f>
        <v>50</v>
      </c>
      <c r="J1057" s="115">
        <f>IF(tblIssues[[#This Row],[Qty Override]]&lt;&gt;"",tblIssues[[#This Row],[Qty Override]],IF(tblIssues[[#This Row],[Standard Issue]]="","",tblIssues[[#This Row],[Standard Issue]]))</f>
        <v>50</v>
      </c>
      <c r="K1057" s="20">
        <f>IF($F1057="","",IFERROR(INDEX(Items!$D$5:$D$597,MATCH($F1057,Items!$A$5:$A$597,0)),""))</f>
        <v>0.25</v>
      </c>
      <c r="L1057" s="21">
        <f t="shared" si="184"/>
        <v>12.5</v>
      </c>
      <c r="M1057" s="9" t="str">
        <f t="shared" si="182"/>
        <v>102GPC24</v>
      </c>
      <c r="N1057" s="24">
        <f>IF($A1057="","",WORKDAY($A1057,Settings!$C$9,HolidayDates))</f>
        <v>46183</v>
      </c>
      <c r="O1057" s="24">
        <f>IF($N1057="","",WORKDAY($N1057,Settings!$C$10,HolidayDates))</f>
        <v>46223</v>
      </c>
      <c r="P1057" s="10" t="s">
        <v>501</v>
      </c>
      <c r="Q1057" s="52" t="str">
        <f t="shared" si="185"/>
        <v>Collected</v>
      </c>
      <c r="R1057" s="55" t="str">
        <f t="shared" si="186"/>
        <v>2026-06</v>
      </c>
      <c r="S1057" s="55">
        <f>IF(OR($B1057="",$F1057="",$R1057=""),"",SUMIFS(tblIssues[Qty Issued],tblIssues[Staff ID],$B1057,tblIssues[Item Name],$F1057,tblIssues[Month],$R1057))</f>
        <v>50</v>
      </c>
      <c r="T1057" s="56">
        <f>IF($I1057="","",$I1057*Settings!$C$11)</f>
        <v>50</v>
      </c>
      <c r="U1057" s="57" t="str">
        <f t="shared" si="183"/>
        <v>OK</v>
      </c>
      <c r="V1057" s="55" t="str">
        <f t="shared" si="187"/>
        <v/>
      </c>
      <c r="W1057" s="55" t="str">
        <f>IF($V1057="","",IF(COUNTIF($V$5:$V1057,$V1057)=1,1,""))</f>
        <v/>
      </c>
      <c r="X1057" s="58" t="str">
        <f>IF($W1057="","",MAX($X$4:X1056)+1)</f>
        <v/>
      </c>
      <c r="Y1057" s="62"/>
      <c r="Z1057" s="62"/>
      <c r="AA1057" s="64" t="str">
        <f>IF($C1057="","",IFERROR(INDEX('Staff Directory'!$E$5:$E$594,MATCH($C1057,'Staff Directory'!$B$5:$B$594,0)),""))</f>
        <v>firstname111.lastname111@example.com</v>
      </c>
      <c r="AB1057" s="64" t="str">
        <f>IF($C1057="","",IF(ISNUMBER(SEARCH($D1057,Settings!$C$15)),"Pickup","Dispatch"))</f>
        <v>Pickup</v>
      </c>
      <c r="AC1057" s="64" t="str">
        <f t="shared" si="188"/>
        <v>Supply order ready for pickup</v>
      </c>
      <c r="AD1057" s="64" t="str">
        <f t="shared" si="179"/>
        <v>Dear PSW,
Your order is ready for pickup from Sample Branch, Wed-Fri 9am-4pm.</v>
      </c>
      <c r="AE1057" s="64" t="str">
        <f t="shared" si="180"/>
        <v>mailto:firstname111.lastname111@example.com?subject=Supply%20order%20ready%20for%20pickup&amp;body=Dear%20PSW%2C%0A%0AYour%20order%20is%20ready%20for%20pickup%20from%20Sample%20Branch%2C%20Wed-Fri%209am-4pm.</v>
      </c>
      <c r="AF1057" s="89" t="str">
        <f t="shared" si="189"/>
        <v>Draft email</v>
      </c>
      <c r="AG1057" s="64" t="str">
        <f>IF($C1057="","",IFERROR(INDEX('Staff Directory'!$K$595:$K$599,MATCH($C1057,'Staff Directory'!$B$5:$B$599,0)),$D1057))</f>
        <v>PSW</v>
      </c>
      <c r="AH1057" t="str">
        <f>IF($C1057="","",IFERROR(INDEX('Staff Directory'!$I$595:$I$599,MATCH($C1057,'Staff Directory'!$B$5:$B$599,0))&amp;" "&amp;INDEX('Staff Directory'!$J$595:$J$599,MATCH($C1057,'Staff Directory'!$B$5:$B$599,0)),$AG1057))</f>
        <v>PSW</v>
      </c>
      <c r="AI1057" s="102"/>
      <c r="AJ1057" s="101">
        <f>IF($F1057="","",SUMIFS($J$5:$J1057,$F$5:$F1057,$F1057))</f>
        <v>8450</v>
      </c>
      <c r="AK1057" s="101">
        <f t="shared" si="181"/>
        <v>8401</v>
      </c>
      <c r="AL1057" s="66" t="str" cm="1">
        <f t="array" ref="AL1057">IF($F1057="","",IFERROR(INDEX('Lot Balance'!$B$5:$B$500,MATCH(1,INDEX(('Lot Balance'!$A$5:$A$500=$F1057)*('Lot Balance'!$K$5:$K$500&lt;$AK1057)*('Lot Balance'!$K$5:$K$500+'Lot Balance'!$D$5:$D$500&gt;=$AK1057),0),0)),""))</f>
        <v>102GPC24</v>
      </c>
      <c r="AM1057" s="66" t="str" cm="1">
        <f t="array" ref="AM1057">IF($F1057="","",IFERROR(INDEX('Lot Balance'!$B$5:$B$500,MATCH(1,INDEX(('Lot Balance'!$A$5:$A$500=$F1057)*('Lot Balance'!$K$5:$K$500&lt;$AJ1057)*('Lot Balance'!$K$5:$K$500+'Lot Balance'!$D$5:$D$500&gt;=$AJ1057),0),0)),""))</f>
        <v>102GPC24</v>
      </c>
      <c r="AN1057" s="66" t="str">
        <f>IF($F1057="","",IF($AI1057&lt;&gt;"",IF(COUNTIFS('Lot Balance'!$A$5:$A$500,$F1057,'Lot Balance'!$B$5:$B$500,$AI1057)=0,"⚠ override is not a lot of this item",IF($AI1057=$AL1057,"Override = FEFO","Override - FEFO says "&amp;$AL1057)),IF($AL1057="","⚠ no receipt on file for this item",IF($AM1057&lt;&gt;$AL1057,"FEFO auto - split, also "&amp;$AM1057,"FEFO auto"))))</f>
        <v>FEFO auto</v>
      </c>
      <c r="AO1057" s="114"/>
    </row>
    <row r="1058" spans="1:41" x14ac:dyDescent="0.35">
      <c r="A1058" s="74">
        <v>46175</v>
      </c>
      <c r="B1058" s="18" t="str">
        <f>IF($C1058="","",IFERROR(INDEX('Staff Directory'!$A$5:$A$594,MATCH($C1058,'Staff Directory'!$B$5:$B$594,0)),"⚠ unknown staff"))</f>
        <v>PSW-116-A6</v>
      </c>
      <c r="C1058" s="49" t="s">
        <v>1095</v>
      </c>
      <c r="D1058" s="19" t="str">
        <f>IF($B1058="","",IFERROR(INDEX('Staff Directory'!$C$5:$C$594,MATCH($B1058,'Staff Directory'!$A$5:$A$594,0)),""))</f>
        <v>PSW</v>
      </c>
      <c r="E1058" s="19" t="str">
        <f>IF($B1058="","",IFERROR(INDEX('Staff Directory'!$D$5:$D$594,MATCH($B1058,'Staff Directory'!$A$5:$A$594,0)),""))</f>
        <v>A6</v>
      </c>
      <c r="F1058" s="9" t="s">
        <v>124</v>
      </c>
      <c r="G1058" s="18" t="str">
        <f>IF($F1058="","",IFERROR(INDEX(Items!$B$5:$B$597,MATCH($F1058,Items!$A$5:$A$597,0)),"⚠ not in Items"))</f>
        <v>Gloves</v>
      </c>
      <c r="H1058" s="19" t="str">
        <f>IF($F1058="","",IFERROR(INDEX(Items!$C$5:$C$597,MATCH($F1058,Items!$A$5:$A$597,0)),""))</f>
        <v>Large</v>
      </c>
      <c r="I1058" s="23">
        <f>IF($F1058="","",IFERROR(INDEX(Items!$E$5:$E$597,MATCH($F1058,Items!$A$5:$A$597,0)),""))</f>
        <v>500</v>
      </c>
      <c r="J1058" s="115">
        <f>IF(tblIssues[[#This Row],[Qty Override]]&lt;&gt;"",tblIssues[[#This Row],[Qty Override]],IF(tblIssues[[#This Row],[Standard Issue]]="","",tblIssues[[#This Row],[Standard Issue]]))</f>
        <v>500</v>
      </c>
      <c r="K1058" s="20">
        <f>IF($F1058="","",IFERROR(INDEX(Items!$D$5:$D$597,MATCH($F1058,Items!$A$5:$A$597,0)),""))</f>
        <v>5.5E-2</v>
      </c>
      <c r="L1058" s="21">
        <f t="shared" si="184"/>
        <v>27.5</v>
      </c>
      <c r="M1058" s="9" t="str">
        <f t="shared" si="182"/>
        <v>O16705</v>
      </c>
      <c r="N1058" s="24">
        <f>IF($A1058="","",WORKDAY($A1058,Settings!$C$9,HolidayDates))</f>
        <v>46183</v>
      </c>
      <c r="O1058" s="24">
        <f>IF($N1058="","",WORKDAY($N1058,Settings!$C$10,HolidayDates))</f>
        <v>46223</v>
      </c>
      <c r="P1058" s="10" t="s">
        <v>501</v>
      </c>
      <c r="Q1058" s="52" t="str">
        <f t="shared" si="185"/>
        <v>Collected</v>
      </c>
      <c r="R1058" s="55" t="str">
        <f t="shared" si="186"/>
        <v>2026-06</v>
      </c>
      <c r="S1058" s="55">
        <f>IF(OR($B1058="",$F1058="",$R1058=""),"",SUMIFS(tblIssues[Qty Issued],tblIssues[Staff ID],$B1058,tblIssues[Item Name],$F1058,tblIssues[Month],$R1058))</f>
        <v>500</v>
      </c>
      <c r="T1058" s="56">
        <f>IF($I1058="","",$I1058*Settings!$C$11)</f>
        <v>500</v>
      </c>
      <c r="U1058" s="57" t="str">
        <f t="shared" si="183"/>
        <v>OK</v>
      </c>
      <c r="V1058" s="55" t="str">
        <f t="shared" si="187"/>
        <v/>
      </c>
      <c r="W1058" s="55" t="str">
        <f>IF($V1058="","",IF(COUNTIF($V$5:$V1058,$V1058)=1,1,""))</f>
        <v/>
      </c>
      <c r="X1058" s="58" t="str">
        <f>IF($W1058="","",MAX($X$4:X1057)+1)</f>
        <v/>
      </c>
      <c r="Y1058" s="62"/>
      <c r="Z1058" s="62"/>
      <c r="AA1058" s="64" t="str">
        <f>IF($C1058="","",IFERROR(INDEX('Staff Directory'!$E$5:$E$594,MATCH($C1058,'Staff Directory'!$B$5:$B$594,0)),""))</f>
        <v>firstname179.lastname179@example.com</v>
      </c>
      <c r="AB1058" s="64" t="str">
        <f>IF($C1058="","",IF(ISNUMBER(SEARCH($D1058,Settings!$C$15)),"Pickup","Dispatch"))</f>
        <v>Pickup</v>
      </c>
      <c r="AC1058" s="64" t="str">
        <f t="shared" si="188"/>
        <v>Supply order ready for pickup</v>
      </c>
      <c r="AD1058" s="64" t="str">
        <f t="shared" si="179"/>
        <v>Dear PSW,
Your order is ready for pickup from Sample Branch, Wed-Fri 9am-4pm.</v>
      </c>
      <c r="AE1058" s="64" t="str">
        <f t="shared" si="180"/>
        <v>mailto:firstname179.lastname179@example.com?subject=Supply%20order%20ready%20for%20pickup&amp;body=Dear%20PSW%2C%0A%0AYour%20order%20is%20ready%20for%20pickup%20from%20Sample%20Branch%2C%20Wed-Fri%209am-4pm.</v>
      </c>
      <c r="AF1058" s="89" t="str">
        <f t="shared" si="189"/>
        <v>Draft email</v>
      </c>
      <c r="AG1058" s="64" t="str">
        <f>IF($C1058="","",IFERROR(INDEX('Staff Directory'!$K$595:$K$599,MATCH($C1058,'Staff Directory'!$B$5:$B$599,0)),$D1058))</f>
        <v>PSW</v>
      </c>
      <c r="AH1058" t="str">
        <f>IF($C1058="","",IFERROR(INDEX('Staff Directory'!$I$595:$I$599,MATCH($C1058,'Staff Directory'!$B$5:$B$599,0))&amp;" "&amp;INDEX('Staff Directory'!$J$595:$J$599,MATCH($C1058,'Staff Directory'!$B$5:$B$599,0)),$AG1058))</f>
        <v>PSW</v>
      </c>
      <c r="AI1058" s="102"/>
      <c r="AJ1058" s="101">
        <f>IF($F1058="","",SUMIFS($J$5:$J1058,$F$5:$F1058,$F1058))</f>
        <v>29500</v>
      </c>
      <c r="AK1058" s="101">
        <f t="shared" si="181"/>
        <v>29001</v>
      </c>
      <c r="AL1058" s="66" t="str" cm="1">
        <f t="array" ref="AL1058">IF($F1058="","",IFERROR(INDEX('Lot Balance'!$B$5:$B$500,MATCH(1,INDEX(('Lot Balance'!$A$5:$A$500=$F1058)*('Lot Balance'!$K$5:$K$500&lt;$AK1058)*('Lot Balance'!$K$5:$K$500+'Lot Balance'!$D$5:$D$500&gt;=$AK1058),0),0)),""))</f>
        <v>O16705</v>
      </c>
      <c r="AM1058" s="66" t="str" cm="1">
        <f t="array" ref="AM1058">IF($F1058="","",IFERROR(INDEX('Lot Balance'!$B$5:$B$500,MATCH(1,INDEX(('Lot Balance'!$A$5:$A$500=$F1058)*('Lot Balance'!$K$5:$K$500&lt;$AJ1058)*('Lot Balance'!$K$5:$K$500+'Lot Balance'!$D$5:$D$500&gt;=$AJ1058),0),0)),""))</f>
        <v>O16705</v>
      </c>
      <c r="AN1058" s="66" t="str">
        <f>IF($F1058="","",IF($AI1058&lt;&gt;"",IF(COUNTIFS('Lot Balance'!$A$5:$A$500,$F1058,'Lot Balance'!$B$5:$B$500,$AI1058)=0,"⚠ override is not a lot of this item",IF($AI1058=$AL1058,"Override = FEFO","Override - FEFO says "&amp;$AL1058)),IF($AL1058="","⚠ no receipt on file for this item",IF($AM1058&lt;&gt;$AL1058,"FEFO auto - split, also "&amp;$AM1058,"FEFO auto"))))</f>
        <v>FEFO auto</v>
      </c>
      <c r="AO1058" s="114"/>
    </row>
    <row r="1059" spans="1:41" x14ac:dyDescent="0.35">
      <c r="A1059" s="74">
        <v>46175</v>
      </c>
      <c r="B1059" s="18" t="str">
        <f>IF($C1059="","",IFERROR(INDEX('Staff Directory'!$A$5:$A$594,MATCH($C1059,'Staff Directory'!$B$5:$B$594,0)),"⚠ unknown staff"))</f>
        <v>PSW-116-A6</v>
      </c>
      <c r="C1059" s="49" t="s">
        <v>1095</v>
      </c>
      <c r="D1059" s="19" t="str">
        <f>IF($B1059="","",IFERROR(INDEX('Staff Directory'!$C$5:$C$594,MATCH($B1059,'Staff Directory'!$A$5:$A$594,0)),""))</f>
        <v>PSW</v>
      </c>
      <c r="E1059" s="19" t="str">
        <f>IF($B1059="","",IFERROR(INDEX('Staff Directory'!$D$5:$D$594,MATCH($B1059,'Staff Directory'!$A$5:$A$594,0)),""))</f>
        <v>A6</v>
      </c>
      <c r="F1059" s="9" t="s">
        <v>191</v>
      </c>
      <c r="G1059" s="18" t="str">
        <f>IF($F1059="","",IFERROR(INDEX(Items!$B$5:$B$597,MATCH($F1059,Items!$A$5:$A$597,0)),"⚠ not in Items"))</f>
        <v>Sanitizer</v>
      </c>
      <c r="H1059" s="19" t="str">
        <f>IF($F1059="","",IFERROR(INDEX(Items!$C$5:$C$597,MATCH($F1059,Items!$A$5:$A$597,0)),""))</f>
        <v>236 ML</v>
      </c>
      <c r="I1059" s="23">
        <f>IF($F1059="","",IFERROR(INDEX(Items!$E$5:$E$597,MATCH($F1059,Items!$A$5:$A$597,0)),""))</f>
        <v>1</v>
      </c>
      <c r="J1059" s="115">
        <f>IF(tblIssues[[#This Row],[Qty Override]]&lt;&gt;"",tblIssues[[#This Row],[Qty Override]],IF(tblIssues[[#This Row],[Standard Issue]]="","",tblIssues[[#This Row],[Standard Issue]]))</f>
        <v>1</v>
      </c>
      <c r="K1059" s="20">
        <f>IF($F1059="","",IFERROR(INDEX(Items!$D$5:$D$597,MATCH($F1059,Items!$A$5:$A$597,0)),""))</f>
        <v>1E-4</v>
      </c>
      <c r="L1059" s="21">
        <f t="shared" si="184"/>
        <v>1E-4</v>
      </c>
      <c r="M1059" s="9" t="str">
        <f t="shared" si="182"/>
        <v>20-21734-4</v>
      </c>
      <c r="N1059" s="24">
        <f>IF($A1059="","",WORKDAY($A1059,Settings!$C$9,HolidayDates))</f>
        <v>46183</v>
      </c>
      <c r="O1059" s="24">
        <f>IF($N1059="","",WORKDAY($N1059,Settings!$C$10,HolidayDates))</f>
        <v>46223</v>
      </c>
      <c r="P1059" s="10" t="s">
        <v>501</v>
      </c>
      <c r="Q1059" s="52" t="str">
        <f t="shared" si="185"/>
        <v>Collected</v>
      </c>
      <c r="R1059" s="55" t="str">
        <f t="shared" si="186"/>
        <v>2026-06</v>
      </c>
      <c r="S1059" s="55">
        <f>IF(OR($B1059="",$F1059="",$R1059=""),"",SUMIFS(tblIssues[Qty Issued],tblIssues[Staff ID],$B1059,tblIssues[Item Name],$F1059,tblIssues[Month],$R1059))</f>
        <v>1</v>
      </c>
      <c r="T1059" s="56">
        <f>IF($I1059="","",$I1059*Settings!$C$11)</f>
        <v>1</v>
      </c>
      <c r="U1059" s="57" t="str">
        <f t="shared" si="183"/>
        <v>OK</v>
      </c>
      <c r="V1059" s="55" t="str">
        <f t="shared" si="187"/>
        <v/>
      </c>
      <c r="W1059" s="55" t="str">
        <f>IF($V1059="","",IF(COUNTIF($V$5:$V1059,$V1059)=1,1,""))</f>
        <v/>
      </c>
      <c r="X1059" s="58" t="str">
        <f>IF($W1059="","",MAX($X$4:X1058)+1)</f>
        <v/>
      </c>
      <c r="Y1059" s="62"/>
      <c r="Z1059" s="62"/>
      <c r="AA1059" s="64" t="str">
        <f>IF($C1059="","",IFERROR(INDEX('Staff Directory'!$E$5:$E$594,MATCH($C1059,'Staff Directory'!$B$5:$B$594,0)),""))</f>
        <v>firstname179.lastname179@example.com</v>
      </c>
      <c r="AB1059" s="64" t="str">
        <f>IF($C1059="","",IF(ISNUMBER(SEARCH($D1059,Settings!$C$15)),"Pickup","Dispatch"))</f>
        <v>Pickup</v>
      </c>
      <c r="AC1059" s="64" t="str">
        <f t="shared" si="188"/>
        <v>Supply order ready for pickup</v>
      </c>
      <c r="AD1059" s="64" t="str">
        <f t="shared" si="179"/>
        <v>Dear PSW,
Your order is ready for pickup from Sample Branch, Wed-Fri 9am-4pm.</v>
      </c>
      <c r="AE1059" s="64" t="str">
        <f t="shared" si="180"/>
        <v>mailto:firstname179.lastname179@example.com?subject=Supply%20order%20ready%20for%20pickup&amp;body=Dear%20PSW%2C%0A%0AYour%20order%20is%20ready%20for%20pickup%20from%20Sample%20Branch%2C%20Wed-Fri%209am-4pm.</v>
      </c>
      <c r="AF1059" s="89" t="str">
        <f t="shared" si="189"/>
        <v>Draft email</v>
      </c>
      <c r="AG1059" s="64" t="str">
        <f>IF($C1059="","",IFERROR(INDEX('Staff Directory'!$K$595:$K$599,MATCH($C1059,'Staff Directory'!$B$5:$B$599,0)),$D1059))</f>
        <v>PSW</v>
      </c>
      <c r="AH1059" t="str">
        <f>IF($C1059="","",IFERROR(INDEX('Staff Directory'!$I$595:$I$599,MATCH($C1059,'Staff Directory'!$B$5:$B$599,0))&amp;" "&amp;INDEX('Staff Directory'!$J$595:$J$599,MATCH($C1059,'Staff Directory'!$B$5:$B$599,0)),$AG1059))</f>
        <v>PSW</v>
      </c>
      <c r="AI1059" s="102"/>
      <c r="AJ1059" s="101">
        <f>IF($F1059="","",SUMIFS($J$5:$J1059,$F$5:$F1059,$F1059))</f>
        <v>123</v>
      </c>
      <c r="AK1059" s="101">
        <f t="shared" si="181"/>
        <v>123</v>
      </c>
      <c r="AL1059" s="66" t="str" cm="1">
        <f t="array" ref="AL1059">IF($F1059="","",IFERROR(INDEX('Lot Balance'!$B$5:$B$500,MATCH(1,INDEX(('Lot Balance'!$A$5:$A$500=$F1059)*('Lot Balance'!$K$5:$K$500&lt;$AK1059)*('Lot Balance'!$K$5:$K$500+'Lot Balance'!$D$5:$D$500&gt;=$AK1059),0),0)),""))</f>
        <v>20-21734-4</v>
      </c>
      <c r="AM1059" s="66" t="str" cm="1">
        <f t="array" ref="AM1059">IF($F1059="","",IFERROR(INDEX('Lot Balance'!$B$5:$B$500,MATCH(1,INDEX(('Lot Balance'!$A$5:$A$500=$F1059)*('Lot Balance'!$K$5:$K$500&lt;$AJ1059)*('Lot Balance'!$K$5:$K$500+'Lot Balance'!$D$5:$D$500&gt;=$AJ1059),0),0)),""))</f>
        <v>20-21734-4</v>
      </c>
      <c r="AN1059" s="66" t="str">
        <f>IF($F1059="","",IF($AI1059&lt;&gt;"",IF(COUNTIFS('Lot Balance'!$A$5:$A$500,$F1059,'Lot Balance'!$B$5:$B$500,$AI1059)=0,"⚠ override is not a lot of this item",IF($AI1059=$AL1059,"Override = FEFO","Override - FEFO says "&amp;$AL1059)),IF($AL1059="","⚠ no receipt on file for this item",IF($AM1059&lt;&gt;$AL1059,"FEFO auto - split, also "&amp;$AM1059,"FEFO auto"))))</f>
        <v>FEFO auto</v>
      </c>
      <c r="AO1059" s="114"/>
    </row>
    <row r="1060" spans="1:41" x14ac:dyDescent="0.35">
      <c r="A1060" s="74">
        <v>46175</v>
      </c>
      <c r="B1060" s="18" t="str">
        <f>IF($C1060="","",IFERROR(INDEX('Staff Directory'!$A$5:$A$594,MATCH($C1060,'Staff Directory'!$B$5:$B$594,0)),"⚠ unknown staff"))</f>
        <v>PSW-116-A6</v>
      </c>
      <c r="C1060" s="49" t="s">
        <v>1095</v>
      </c>
      <c r="D1060" s="19" t="str">
        <f>IF($B1060="","",IFERROR(INDEX('Staff Directory'!$C$5:$C$594,MATCH($B1060,'Staff Directory'!$A$5:$A$594,0)),""))</f>
        <v>PSW</v>
      </c>
      <c r="E1060" s="19" t="str">
        <f>IF($B1060="","",IFERROR(INDEX('Staff Directory'!$D$5:$D$594,MATCH($B1060,'Staff Directory'!$A$5:$A$594,0)),""))</f>
        <v>A6</v>
      </c>
      <c r="F1060" s="9" t="s">
        <v>115</v>
      </c>
      <c r="G1060" s="18" t="str">
        <f>IF($F1060="","",IFERROR(INDEX(Items!$B$5:$B$597,MATCH($F1060,Items!$A$5:$A$597,0)),"⚠ not in Items"))</f>
        <v>Wipes</v>
      </c>
      <c r="H1060" s="19">
        <f>IF($F1060="","",IFERROR(INDEX(Items!$C$5:$C$597,MATCH($F1060,Items!$A$5:$A$597,0)),""))</f>
        <v>80</v>
      </c>
      <c r="I1060" s="23">
        <f>IF($F1060="","",IFERROR(INDEX(Items!$E$5:$E$597,MATCH($F1060,Items!$A$5:$A$597,0)),""))</f>
        <v>80</v>
      </c>
      <c r="J1060" s="115">
        <f>IF(tblIssues[[#This Row],[Qty Override]]&lt;&gt;"",tblIssues[[#This Row],[Qty Override]],IF(tblIssues[[#This Row],[Standard Issue]]="","",tblIssues[[#This Row],[Standard Issue]]))</f>
        <v>80</v>
      </c>
      <c r="K1060" s="20">
        <f>IF($F1060="","",IFERROR(INDEX(Items!$D$5:$D$597,MATCH($F1060,Items!$A$5:$A$597,0)),""))</f>
        <v>0.1</v>
      </c>
      <c r="L1060" s="21">
        <f t="shared" si="184"/>
        <v>8</v>
      </c>
      <c r="M1060" s="9" t="str">
        <f t="shared" si="182"/>
        <v>LYSL500290</v>
      </c>
      <c r="N1060" s="24">
        <f>IF($A1060="","",WORKDAY($A1060,Settings!$C$9,HolidayDates))</f>
        <v>46183</v>
      </c>
      <c r="O1060" s="24">
        <f>IF($N1060="","",WORKDAY($N1060,Settings!$C$10,HolidayDates))</f>
        <v>46223</v>
      </c>
      <c r="P1060" s="10" t="s">
        <v>501</v>
      </c>
      <c r="Q1060" s="52" t="str">
        <f t="shared" si="185"/>
        <v>Collected</v>
      </c>
      <c r="R1060" s="55" t="str">
        <f t="shared" si="186"/>
        <v>2026-06</v>
      </c>
      <c r="S1060" s="55">
        <f>IF(OR($B1060="",$F1060="",$R1060=""),"",SUMIFS(tblIssues[Qty Issued],tblIssues[Staff ID],$B1060,tblIssues[Item Name],$F1060,tblIssues[Month],$R1060))</f>
        <v>80</v>
      </c>
      <c r="T1060" s="56">
        <f>IF($I1060="","",$I1060*Settings!$C$11)</f>
        <v>80</v>
      </c>
      <c r="U1060" s="57" t="str">
        <f t="shared" si="183"/>
        <v>OK</v>
      </c>
      <c r="V1060" s="55" t="str">
        <f t="shared" si="187"/>
        <v/>
      </c>
      <c r="W1060" s="55" t="str">
        <f>IF($V1060="","",IF(COUNTIF($V$5:$V1060,$V1060)=1,1,""))</f>
        <v/>
      </c>
      <c r="X1060" s="58" t="str">
        <f>IF($W1060="","",MAX($X$4:X1059)+1)</f>
        <v/>
      </c>
      <c r="Y1060" s="62"/>
      <c r="Z1060" s="62"/>
      <c r="AA1060" s="64" t="str">
        <f>IF($C1060="","",IFERROR(INDEX('Staff Directory'!$E$5:$E$594,MATCH($C1060,'Staff Directory'!$B$5:$B$594,0)),""))</f>
        <v>firstname179.lastname179@example.com</v>
      </c>
      <c r="AB1060" s="64" t="str">
        <f>IF($C1060="","",IF(ISNUMBER(SEARCH($D1060,Settings!$C$15)),"Pickup","Dispatch"))</f>
        <v>Pickup</v>
      </c>
      <c r="AC1060" s="64" t="str">
        <f t="shared" si="188"/>
        <v>Supply order ready for pickup</v>
      </c>
      <c r="AD1060" s="64" t="str">
        <f t="shared" si="179"/>
        <v>Dear PSW,
Your order is ready for pickup from Sample Branch, Wed-Fri 9am-4pm.</v>
      </c>
      <c r="AE1060" s="64" t="str">
        <f t="shared" si="180"/>
        <v>mailto:firstname179.lastname179@example.com?subject=Supply%20order%20ready%20for%20pickup&amp;body=Dear%20PSW%2C%0A%0AYour%20order%20is%20ready%20for%20pickup%20from%20Sample%20Branch%2C%20Wed-Fri%209am-4pm.</v>
      </c>
      <c r="AF1060" s="89" t="str">
        <f t="shared" si="189"/>
        <v>Draft email</v>
      </c>
      <c r="AG1060" s="64" t="str">
        <f>IF($C1060="","",IFERROR(INDEX('Staff Directory'!$K$595:$K$599,MATCH($C1060,'Staff Directory'!$B$5:$B$599,0)),$D1060))</f>
        <v>PSW</v>
      </c>
      <c r="AH1060" t="str">
        <f>IF($C1060="","",IFERROR(INDEX('Staff Directory'!$I$595:$I$599,MATCH($C1060,'Staff Directory'!$B$5:$B$599,0))&amp;" "&amp;INDEX('Staff Directory'!$J$595:$J$599,MATCH($C1060,'Staff Directory'!$B$5:$B$599,0)),$AG1060))</f>
        <v>PSW</v>
      </c>
      <c r="AI1060" s="102"/>
      <c r="AJ1060" s="101">
        <f>IF($F1060="","",SUMIFS($J$5:$J1060,$F$5:$F1060,$F1060))</f>
        <v>14080</v>
      </c>
      <c r="AK1060" s="101">
        <f t="shared" si="181"/>
        <v>14001</v>
      </c>
      <c r="AL1060" s="66" t="str" cm="1">
        <f t="array" ref="AL1060">IF($F1060="","",IFERROR(INDEX('Lot Balance'!$B$5:$B$500,MATCH(1,INDEX(('Lot Balance'!$A$5:$A$500=$F1060)*('Lot Balance'!$K$5:$K$500&lt;$AK1060)*('Lot Balance'!$K$5:$K$500+'Lot Balance'!$D$5:$D$500&gt;=$AK1060),0),0)),""))</f>
        <v>LYSL500290</v>
      </c>
      <c r="AM1060" s="66" t="str" cm="1">
        <f t="array" ref="AM1060">IF($F1060="","",IFERROR(INDEX('Lot Balance'!$B$5:$B$500,MATCH(1,INDEX(('Lot Balance'!$A$5:$A$500=$F1060)*('Lot Balance'!$K$5:$K$500&lt;$AJ1060)*('Lot Balance'!$K$5:$K$500+'Lot Balance'!$D$5:$D$500&gt;=$AJ1060),0),0)),""))</f>
        <v>LYSL500290</v>
      </c>
      <c r="AN1060" s="66" t="str">
        <f>IF($F1060="","",IF($AI1060&lt;&gt;"",IF(COUNTIFS('Lot Balance'!$A$5:$A$500,$F1060,'Lot Balance'!$B$5:$B$500,$AI1060)=0,"⚠ override is not a lot of this item",IF($AI1060=$AL1060,"Override = FEFO","Override - FEFO says "&amp;$AL1060)),IF($AL1060="","⚠ no receipt on file for this item",IF($AM1060&lt;&gt;$AL1060,"FEFO auto - split, also "&amp;$AM1060,"FEFO auto"))))</f>
        <v>FEFO auto</v>
      </c>
      <c r="AO1060" s="114"/>
    </row>
    <row r="1061" spans="1:41" x14ac:dyDescent="0.35">
      <c r="A1061" s="74">
        <v>46175</v>
      </c>
      <c r="B1061" s="18" t="str">
        <f>IF($C1061="","",IFERROR(INDEX('Staff Directory'!$A$5:$A$594,MATCH($C1061,'Staff Directory'!$B$5:$B$594,0)),"⚠ unknown staff"))</f>
        <v>PSW-116-A6</v>
      </c>
      <c r="C1061" s="49" t="s">
        <v>1095</v>
      </c>
      <c r="D1061" s="19" t="str">
        <f>IF($B1061="","",IFERROR(INDEX('Staff Directory'!$C$5:$C$594,MATCH($B1061,'Staff Directory'!$A$5:$A$594,0)),""))</f>
        <v>PSW</v>
      </c>
      <c r="E1061" s="19" t="str">
        <f>IF($B1061="","",IFERROR(INDEX('Staff Directory'!$D$5:$D$594,MATCH($B1061,'Staff Directory'!$A$5:$A$594,0)),""))</f>
        <v>A6</v>
      </c>
      <c r="F1061" s="9" t="s">
        <v>156</v>
      </c>
      <c r="G1061" s="18" t="str">
        <f>IF($F1061="","",IFERROR(INDEX(Items!$B$5:$B$597,MATCH($F1061,Items!$A$5:$A$597,0)),"⚠ not in Items"))</f>
        <v>Masks</v>
      </c>
      <c r="H1061" s="19" t="str">
        <f>IF($F1061="","",IFERROR(INDEX(Items!$C$5:$C$597,MATCH($F1061,Items!$A$5:$A$597,0)),""))</f>
        <v>One Size</v>
      </c>
      <c r="I1061" s="23">
        <f>IF($F1061="","",IFERROR(INDEX(Items!$E$5:$E$597,MATCH($F1061,Items!$A$5:$A$597,0)),""))</f>
        <v>50</v>
      </c>
      <c r="J1061" s="115">
        <f>IF(tblIssues[[#This Row],[Qty Override]]&lt;&gt;"",tblIssues[[#This Row],[Qty Override]],IF(tblIssues[[#This Row],[Standard Issue]]="","",tblIssues[[#This Row],[Standard Issue]]))</f>
        <v>50</v>
      </c>
      <c r="K1061" s="20">
        <f>IF($F1061="","",IFERROR(INDEX(Items!$D$5:$D$597,MATCH($F1061,Items!$A$5:$A$597,0)),""))</f>
        <v>0.25</v>
      </c>
      <c r="L1061" s="21">
        <f t="shared" si="184"/>
        <v>12.5</v>
      </c>
      <c r="M1061" s="9" t="str">
        <f t="shared" si="182"/>
        <v>102GPC24</v>
      </c>
      <c r="N1061" s="24">
        <f>IF($A1061="","",WORKDAY($A1061,Settings!$C$9,HolidayDates))</f>
        <v>46183</v>
      </c>
      <c r="O1061" s="24">
        <f>IF($N1061="","",WORKDAY($N1061,Settings!$C$10,HolidayDates))</f>
        <v>46223</v>
      </c>
      <c r="P1061" s="10" t="s">
        <v>501</v>
      </c>
      <c r="Q1061" s="52" t="str">
        <f t="shared" si="185"/>
        <v>Collected</v>
      </c>
      <c r="R1061" s="55" t="str">
        <f t="shared" si="186"/>
        <v>2026-06</v>
      </c>
      <c r="S1061" s="55">
        <f>IF(OR($B1061="",$F1061="",$R1061=""),"",SUMIFS(tblIssues[Qty Issued],tblIssues[Staff ID],$B1061,tblIssues[Item Name],$F1061,tblIssues[Month],$R1061))</f>
        <v>50</v>
      </c>
      <c r="T1061" s="56">
        <f>IF($I1061="","",$I1061*Settings!$C$11)</f>
        <v>50</v>
      </c>
      <c r="U1061" s="57" t="str">
        <f t="shared" si="183"/>
        <v>OK</v>
      </c>
      <c r="V1061" s="55" t="str">
        <f t="shared" si="187"/>
        <v/>
      </c>
      <c r="W1061" s="55" t="str">
        <f>IF($V1061="","",IF(COUNTIF($V$5:$V1061,$V1061)=1,1,""))</f>
        <v/>
      </c>
      <c r="X1061" s="58" t="str">
        <f>IF($W1061="","",MAX($X$4:X1060)+1)</f>
        <v/>
      </c>
      <c r="Y1061" s="62"/>
      <c r="Z1061" s="62"/>
      <c r="AA1061" s="64" t="str">
        <f>IF($C1061="","",IFERROR(INDEX('Staff Directory'!$E$5:$E$594,MATCH($C1061,'Staff Directory'!$B$5:$B$594,0)),""))</f>
        <v>firstname179.lastname179@example.com</v>
      </c>
      <c r="AB1061" s="64" t="str">
        <f>IF($C1061="","",IF(ISNUMBER(SEARCH($D1061,Settings!$C$15)),"Pickup","Dispatch"))</f>
        <v>Pickup</v>
      </c>
      <c r="AC1061" s="64" t="str">
        <f t="shared" si="188"/>
        <v>Supply order ready for pickup</v>
      </c>
      <c r="AD1061" s="64" t="str">
        <f t="shared" si="179"/>
        <v>Dear PSW,
Your order is ready for pickup from Sample Branch, Wed-Fri 9am-4pm.</v>
      </c>
      <c r="AE1061" s="64" t="str">
        <f t="shared" si="180"/>
        <v>mailto:firstname179.lastname179@example.com?subject=Supply%20order%20ready%20for%20pickup&amp;body=Dear%20PSW%2C%0A%0AYour%20order%20is%20ready%20for%20pickup%20from%20Sample%20Branch%2C%20Wed-Fri%209am-4pm.</v>
      </c>
      <c r="AF1061" s="89" t="str">
        <f t="shared" si="189"/>
        <v>Draft email</v>
      </c>
      <c r="AG1061" s="64" t="str">
        <f>IF($C1061="","",IFERROR(INDEX('Staff Directory'!$K$595:$K$599,MATCH($C1061,'Staff Directory'!$B$5:$B$599,0)),$D1061))</f>
        <v>PSW</v>
      </c>
      <c r="AH1061" t="str">
        <f>IF($C1061="","",IFERROR(INDEX('Staff Directory'!$I$595:$I$599,MATCH($C1061,'Staff Directory'!$B$5:$B$599,0))&amp;" "&amp;INDEX('Staff Directory'!$J$595:$J$599,MATCH($C1061,'Staff Directory'!$B$5:$B$599,0)),$AG1061))</f>
        <v>PSW</v>
      </c>
      <c r="AI1061" s="102"/>
      <c r="AJ1061" s="101">
        <f>IF($F1061="","",SUMIFS($J$5:$J1061,$F$5:$F1061,$F1061))</f>
        <v>8500</v>
      </c>
      <c r="AK1061" s="101">
        <f t="shared" si="181"/>
        <v>8451</v>
      </c>
      <c r="AL1061" s="66" t="str" cm="1">
        <f t="array" ref="AL1061">IF($F1061="","",IFERROR(INDEX('Lot Balance'!$B$5:$B$500,MATCH(1,INDEX(('Lot Balance'!$A$5:$A$500=$F1061)*('Lot Balance'!$K$5:$K$500&lt;$AK1061)*('Lot Balance'!$K$5:$K$500+'Lot Balance'!$D$5:$D$500&gt;=$AK1061),0),0)),""))</f>
        <v>102GPC24</v>
      </c>
      <c r="AM1061" s="66" t="str" cm="1">
        <f t="array" ref="AM1061">IF($F1061="","",IFERROR(INDEX('Lot Balance'!$B$5:$B$500,MATCH(1,INDEX(('Lot Balance'!$A$5:$A$500=$F1061)*('Lot Balance'!$K$5:$K$500&lt;$AJ1061)*('Lot Balance'!$K$5:$K$500+'Lot Balance'!$D$5:$D$500&gt;=$AJ1061),0),0)),""))</f>
        <v>102GPC24</v>
      </c>
      <c r="AN1061" s="66" t="str">
        <f>IF($F1061="","",IF($AI1061&lt;&gt;"",IF(COUNTIFS('Lot Balance'!$A$5:$A$500,$F1061,'Lot Balance'!$B$5:$B$500,$AI1061)=0,"⚠ override is not a lot of this item",IF($AI1061=$AL1061,"Override = FEFO","Override - FEFO says "&amp;$AL1061)),IF($AL1061="","⚠ no receipt on file for this item",IF($AM1061&lt;&gt;$AL1061,"FEFO auto - split, also "&amp;$AM1061,"FEFO auto"))))</f>
        <v>FEFO auto</v>
      </c>
      <c r="AO1061" s="114"/>
    </row>
    <row r="1062" spans="1:41" x14ac:dyDescent="0.35">
      <c r="A1062" s="74">
        <v>46175</v>
      </c>
      <c r="B1062" s="18" t="str">
        <f>IF($C1062="","",IFERROR(INDEX('Staff Directory'!$A$5:$A$594,MATCH($C1062,'Staff Directory'!$B$5:$B$594,0)),"⚠ unknown staff"))</f>
        <v>PSW-088-A6</v>
      </c>
      <c r="C1062" s="49" t="s">
        <v>1064</v>
      </c>
      <c r="D1062" s="19" t="str">
        <f>IF($B1062="","",IFERROR(INDEX('Staff Directory'!$C$5:$C$594,MATCH($B1062,'Staff Directory'!$A$5:$A$594,0)),""))</f>
        <v>PSW</v>
      </c>
      <c r="E1062" s="19" t="str">
        <f>IF($B1062="","",IFERROR(INDEX('Staff Directory'!$D$5:$D$594,MATCH($B1062,'Staff Directory'!$A$5:$A$594,0)),""))</f>
        <v>A6</v>
      </c>
      <c r="F1062" s="9" t="s">
        <v>124</v>
      </c>
      <c r="G1062" s="18" t="str">
        <f>IF($F1062="","",IFERROR(INDEX(Items!$B$5:$B$597,MATCH($F1062,Items!$A$5:$A$597,0)),"⚠ not in Items"))</f>
        <v>Gloves</v>
      </c>
      <c r="H1062" s="19" t="str">
        <f>IF($F1062="","",IFERROR(INDEX(Items!$C$5:$C$597,MATCH($F1062,Items!$A$5:$A$597,0)),""))</f>
        <v>Large</v>
      </c>
      <c r="I1062" s="23">
        <f>IF($F1062="","",IFERROR(INDEX(Items!$E$5:$E$597,MATCH($F1062,Items!$A$5:$A$597,0)),""))</f>
        <v>500</v>
      </c>
      <c r="J1062" s="115">
        <f>IF(tblIssues[[#This Row],[Qty Override]]&lt;&gt;"",tblIssues[[#This Row],[Qty Override]],IF(tblIssues[[#This Row],[Standard Issue]]="","",tblIssues[[#This Row],[Standard Issue]]))</f>
        <v>500</v>
      </c>
      <c r="K1062" s="20">
        <f>IF($F1062="","",IFERROR(INDEX(Items!$D$5:$D$597,MATCH($F1062,Items!$A$5:$A$597,0)),""))</f>
        <v>5.5E-2</v>
      </c>
      <c r="L1062" s="21">
        <f t="shared" si="184"/>
        <v>27.5</v>
      </c>
      <c r="M1062" s="9" t="str">
        <f t="shared" si="182"/>
        <v>O16705</v>
      </c>
      <c r="N1062" s="24">
        <f>IF($A1062="","",WORKDAY($A1062,Settings!$C$9,HolidayDates))</f>
        <v>46183</v>
      </c>
      <c r="O1062" s="24">
        <f>IF($N1062="","",WORKDAY($N1062,Settings!$C$10,HolidayDates))</f>
        <v>46223</v>
      </c>
      <c r="P1062" s="10" t="s">
        <v>501</v>
      </c>
      <c r="Q1062" s="52" t="str">
        <f t="shared" si="185"/>
        <v>Collected</v>
      </c>
      <c r="R1062" s="55" t="str">
        <f t="shared" si="186"/>
        <v>2026-06</v>
      </c>
      <c r="S1062" s="55">
        <f>IF(OR($B1062="",$F1062="",$R1062=""),"",SUMIFS(tblIssues[Qty Issued],tblIssues[Staff ID],$B1062,tblIssues[Item Name],$F1062,tblIssues[Month],$R1062))</f>
        <v>500</v>
      </c>
      <c r="T1062" s="56">
        <f>IF($I1062="","",$I1062*Settings!$C$11)</f>
        <v>500</v>
      </c>
      <c r="U1062" s="57" t="str">
        <f t="shared" si="183"/>
        <v>OK</v>
      </c>
      <c r="V1062" s="55" t="str">
        <f t="shared" si="187"/>
        <v/>
      </c>
      <c r="W1062" s="55" t="str">
        <f>IF($V1062="","",IF(COUNTIF($V$5:$V1062,$V1062)=1,1,""))</f>
        <v/>
      </c>
      <c r="X1062" s="58" t="str">
        <f>IF($W1062="","",MAX($X$4:X1061)+1)</f>
        <v/>
      </c>
      <c r="Y1062" s="62"/>
      <c r="Z1062" s="62"/>
      <c r="AA1062" s="64" t="str">
        <f>IF($C1062="","",IFERROR(INDEX('Staff Directory'!$E$5:$E$594,MATCH($C1062,'Staff Directory'!$B$5:$B$594,0)),""))</f>
        <v>firstname148.lastname148@example.com</v>
      </c>
      <c r="AB1062" s="64" t="str">
        <f>IF($C1062="","",IF(ISNUMBER(SEARCH($D1062,Settings!$C$15)),"Pickup","Dispatch"))</f>
        <v>Pickup</v>
      </c>
      <c r="AC1062" s="64" t="str">
        <f t="shared" si="188"/>
        <v>Supply order ready for pickup</v>
      </c>
      <c r="AD1062" s="64" t="str">
        <f t="shared" si="179"/>
        <v>Dear PSW,
Your order is ready for pickup from Sample Branch, Wed-Fri 9am-4pm.</v>
      </c>
      <c r="AE1062" s="64" t="str">
        <f t="shared" si="180"/>
        <v>mailto:firstname148.lastname148@example.com?subject=Supply%20order%20ready%20for%20pickup&amp;body=Dear%20PSW%2C%0A%0AYour%20order%20is%20ready%20for%20pickup%20from%20Sample%20Branch%2C%20Wed-Fri%209am-4pm.</v>
      </c>
      <c r="AF1062" s="89" t="str">
        <f t="shared" si="189"/>
        <v>Draft email</v>
      </c>
      <c r="AG1062" s="64" t="str">
        <f>IF($C1062="","",IFERROR(INDEX('Staff Directory'!$K$595:$K$599,MATCH($C1062,'Staff Directory'!$B$5:$B$599,0)),$D1062))</f>
        <v>PSW</v>
      </c>
      <c r="AH1062" t="str">
        <f>IF($C1062="","",IFERROR(INDEX('Staff Directory'!$I$595:$I$599,MATCH($C1062,'Staff Directory'!$B$5:$B$599,0))&amp;" "&amp;INDEX('Staff Directory'!$J$595:$J$599,MATCH($C1062,'Staff Directory'!$B$5:$B$599,0)),$AG1062))</f>
        <v>PSW</v>
      </c>
      <c r="AI1062" s="102"/>
      <c r="AJ1062" s="101">
        <f>IF($F1062="","",SUMIFS($J$5:$J1062,$F$5:$F1062,$F1062))</f>
        <v>30000</v>
      </c>
      <c r="AK1062" s="101">
        <f t="shared" si="181"/>
        <v>29501</v>
      </c>
      <c r="AL1062" s="66" t="str" cm="1">
        <f t="array" ref="AL1062">IF($F1062="","",IFERROR(INDEX('Lot Balance'!$B$5:$B$500,MATCH(1,INDEX(('Lot Balance'!$A$5:$A$500=$F1062)*('Lot Balance'!$K$5:$K$500&lt;$AK1062)*('Lot Balance'!$K$5:$K$500+'Lot Balance'!$D$5:$D$500&gt;=$AK1062),0),0)),""))</f>
        <v>O16705</v>
      </c>
      <c r="AM1062" s="66" t="str" cm="1">
        <f t="array" ref="AM1062">IF($F1062="","",IFERROR(INDEX('Lot Balance'!$B$5:$B$500,MATCH(1,INDEX(('Lot Balance'!$A$5:$A$500=$F1062)*('Lot Balance'!$K$5:$K$500&lt;$AJ1062)*('Lot Balance'!$K$5:$K$500+'Lot Balance'!$D$5:$D$500&gt;=$AJ1062),0),0)),""))</f>
        <v>O742HIC25</v>
      </c>
      <c r="AN1062" s="66" t="str">
        <f>IF($F1062="","",IF($AI1062&lt;&gt;"",IF(COUNTIFS('Lot Balance'!$A$5:$A$500,$F1062,'Lot Balance'!$B$5:$B$500,$AI1062)=0,"⚠ override is not a lot of this item",IF($AI1062=$AL1062,"Override = FEFO","Override - FEFO says "&amp;$AL1062)),IF($AL1062="","⚠ no receipt on file for this item",IF($AM1062&lt;&gt;$AL1062,"FEFO auto - split, also "&amp;$AM1062,"FEFO auto"))))</f>
        <v>FEFO auto - split, also O742HIC25</v>
      </c>
      <c r="AO1062" s="114"/>
    </row>
    <row r="1063" spans="1:41" x14ac:dyDescent="0.35">
      <c r="A1063" s="74">
        <v>46175</v>
      </c>
      <c r="B1063" s="18" t="str">
        <f>IF($C1063="","",IFERROR(INDEX('Staff Directory'!$A$5:$A$594,MATCH($C1063,'Staff Directory'!$B$5:$B$594,0)),"⚠ unknown staff"))</f>
        <v>PSW-088-A6</v>
      </c>
      <c r="C1063" s="49" t="s">
        <v>1064</v>
      </c>
      <c r="D1063" s="19" t="str">
        <f>IF($B1063="","",IFERROR(INDEX('Staff Directory'!$C$5:$C$594,MATCH($B1063,'Staff Directory'!$A$5:$A$594,0)),""))</f>
        <v>PSW</v>
      </c>
      <c r="E1063" s="19" t="str">
        <f>IF($B1063="","",IFERROR(INDEX('Staff Directory'!$D$5:$D$594,MATCH($B1063,'Staff Directory'!$A$5:$A$594,0)),""))</f>
        <v>A6</v>
      </c>
      <c r="F1063" s="9" t="s">
        <v>191</v>
      </c>
      <c r="G1063" s="18" t="str">
        <f>IF($F1063="","",IFERROR(INDEX(Items!$B$5:$B$597,MATCH($F1063,Items!$A$5:$A$597,0)),"⚠ not in Items"))</f>
        <v>Sanitizer</v>
      </c>
      <c r="H1063" s="19" t="str">
        <f>IF($F1063="","",IFERROR(INDEX(Items!$C$5:$C$597,MATCH($F1063,Items!$A$5:$A$597,0)),""))</f>
        <v>236 ML</v>
      </c>
      <c r="I1063" s="23">
        <f>IF($F1063="","",IFERROR(INDEX(Items!$E$5:$E$597,MATCH($F1063,Items!$A$5:$A$597,0)),""))</f>
        <v>1</v>
      </c>
      <c r="J1063" s="115">
        <f>IF(tblIssues[[#This Row],[Qty Override]]&lt;&gt;"",tblIssues[[#This Row],[Qty Override]],IF(tblIssues[[#This Row],[Standard Issue]]="","",tblIssues[[#This Row],[Standard Issue]]))</f>
        <v>1</v>
      </c>
      <c r="K1063" s="20">
        <f>IF($F1063="","",IFERROR(INDEX(Items!$D$5:$D$597,MATCH($F1063,Items!$A$5:$A$597,0)),""))</f>
        <v>1E-4</v>
      </c>
      <c r="L1063" s="21">
        <f t="shared" si="184"/>
        <v>1E-4</v>
      </c>
      <c r="M1063" s="9" t="str">
        <f t="shared" si="182"/>
        <v>20-21734-4</v>
      </c>
      <c r="N1063" s="24">
        <f>IF($A1063="","",WORKDAY($A1063,Settings!$C$9,HolidayDates))</f>
        <v>46183</v>
      </c>
      <c r="O1063" s="24">
        <f>IF($N1063="","",WORKDAY($N1063,Settings!$C$10,HolidayDates))</f>
        <v>46223</v>
      </c>
      <c r="P1063" s="10" t="s">
        <v>501</v>
      </c>
      <c r="Q1063" s="52" t="str">
        <f t="shared" si="185"/>
        <v>Collected</v>
      </c>
      <c r="R1063" s="55" t="str">
        <f t="shared" si="186"/>
        <v>2026-06</v>
      </c>
      <c r="S1063" s="55">
        <f>IF(OR($B1063="",$F1063="",$R1063=""),"",SUMIFS(tblIssues[Qty Issued],tblIssues[Staff ID],$B1063,tblIssues[Item Name],$F1063,tblIssues[Month],$R1063))</f>
        <v>1</v>
      </c>
      <c r="T1063" s="56">
        <f>IF($I1063="","",$I1063*Settings!$C$11)</f>
        <v>1</v>
      </c>
      <c r="U1063" s="57" t="str">
        <f t="shared" si="183"/>
        <v>OK</v>
      </c>
      <c r="V1063" s="55" t="str">
        <f t="shared" si="187"/>
        <v/>
      </c>
      <c r="W1063" s="55" t="str">
        <f>IF($V1063="","",IF(COUNTIF($V$5:$V1063,$V1063)=1,1,""))</f>
        <v/>
      </c>
      <c r="X1063" s="58" t="str">
        <f>IF($W1063="","",MAX($X$4:X1062)+1)</f>
        <v/>
      </c>
      <c r="Y1063" s="62"/>
      <c r="Z1063" s="62"/>
      <c r="AA1063" s="64" t="str">
        <f>IF($C1063="","",IFERROR(INDEX('Staff Directory'!$E$5:$E$594,MATCH($C1063,'Staff Directory'!$B$5:$B$594,0)),""))</f>
        <v>firstname148.lastname148@example.com</v>
      </c>
      <c r="AB1063" s="64" t="str">
        <f>IF($C1063="","",IF(ISNUMBER(SEARCH($D1063,Settings!$C$15)),"Pickup","Dispatch"))</f>
        <v>Pickup</v>
      </c>
      <c r="AC1063" s="64" t="str">
        <f t="shared" si="188"/>
        <v>Supply order ready for pickup</v>
      </c>
      <c r="AD1063" s="64" t="str">
        <f t="shared" si="179"/>
        <v>Dear PSW,
Your order is ready for pickup from Sample Branch, Wed-Fri 9am-4pm.</v>
      </c>
      <c r="AE1063" s="64" t="str">
        <f t="shared" si="180"/>
        <v>mailto:firstname148.lastname148@example.com?subject=Supply%20order%20ready%20for%20pickup&amp;body=Dear%20PSW%2C%0A%0AYour%20order%20is%20ready%20for%20pickup%20from%20Sample%20Branch%2C%20Wed-Fri%209am-4pm.</v>
      </c>
      <c r="AF1063" s="89" t="str">
        <f t="shared" si="189"/>
        <v>Draft email</v>
      </c>
      <c r="AG1063" s="64" t="str">
        <f>IF($C1063="","",IFERROR(INDEX('Staff Directory'!$K$595:$K$599,MATCH($C1063,'Staff Directory'!$B$5:$B$599,0)),$D1063))</f>
        <v>PSW</v>
      </c>
      <c r="AH1063" t="str">
        <f>IF($C1063="","",IFERROR(INDEX('Staff Directory'!$I$595:$I$599,MATCH($C1063,'Staff Directory'!$B$5:$B$599,0))&amp;" "&amp;INDEX('Staff Directory'!$J$595:$J$599,MATCH($C1063,'Staff Directory'!$B$5:$B$599,0)),$AG1063))</f>
        <v>PSW</v>
      </c>
      <c r="AI1063" s="102"/>
      <c r="AJ1063" s="101">
        <f>IF($F1063="","",SUMIFS($J$5:$J1063,$F$5:$F1063,$F1063))</f>
        <v>124</v>
      </c>
      <c r="AK1063" s="101">
        <f t="shared" si="181"/>
        <v>124</v>
      </c>
      <c r="AL1063" s="66" t="str" cm="1">
        <f t="array" ref="AL1063">IF($F1063="","",IFERROR(INDEX('Lot Balance'!$B$5:$B$500,MATCH(1,INDEX(('Lot Balance'!$A$5:$A$500=$F1063)*('Lot Balance'!$K$5:$K$500&lt;$AK1063)*('Lot Balance'!$K$5:$K$500+'Lot Balance'!$D$5:$D$500&gt;=$AK1063),0),0)),""))</f>
        <v>20-21734-4</v>
      </c>
      <c r="AM1063" s="66" t="str" cm="1">
        <f t="array" ref="AM1063">IF($F1063="","",IFERROR(INDEX('Lot Balance'!$B$5:$B$500,MATCH(1,INDEX(('Lot Balance'!$A$5:$A$500=$F1063)*('Lot Balance'!$K$5:$K$500&lt;$AJ1063)*('Lot Balance'!$K$5:$K$500+'Lot Balance'!$D$5:$D$500&gt;=$AJ1063),0),0)),""))</f>
        <v>20-21734-4</v>
      </c>
      <c r="AN1063" s="66" t="str">
        <f>IF($F1063="","",IF($AI1063&lt;&gt;"",IF(COUNTIFS('Lot Balance'!$A$5:$A$500,$F1063,'Lot Balance'!$B$5:$B$500,$AI1063)=0,"⚠ override is not a lot of this item",IF($AI1063=$AL1063,"Override = FEFO","Override - FEFO says "&amp;$AL1063)),IF($AL1063="","⚠ no receipt on file for this item",IF($AM1063&lt;&gt;$AL1063,"FEFO auto - split, also "&amp;$AM1063,"FEFO auto"))))</f>
        <v>FEFO auto</v>
      </c>
      <c r="AO1063" s="114"/>
    </row>
    <row r="1064" spans="1:41" x14ac:dyDescent="0.35">
      <c r="A1064" s="74">
        <v>46175</v>
      </c>
      <c r="B1064" s="18" t="str">
        <f>IF($C1064="","",IFERROR(INDEX('Staff Directory'!$A$5:$A$594,MATCH($C1064,'Staff Directory'!$B$5:$B$594,0)),"⚠ unknown staff"))</f>
        <v>PSW-088-A6</v>
      </c>
      <c r="C1064" s="49" t="s">
        <v>1064</v>
      </c>
      <c r="D1064" s="19" t="str">
        <f>IF($B1064="","",IFERROR(INDEX('Staff Directory'!$C$5:$C$594,MATCH($B1064,'Staff Directory'!$A$5:$A$594,0)),""))</f>
        <v>PSW</v>
      </c>
      <c r="E1064" s="19" t="str">
        <f>IF($B1064="","",IFERROR(INDEX('Staff Directory'!$D$5:$D$594,MATCH($B1064,'Staff Directory'!$A$5:$A$594,0)),""))</f>
        <v>A6</v>
      </c>
      <c r="F1064" s="9" t="s">
        <v>115</v>
      </c>
      <c r="G1064" s="18" t="str">
        <f>IF($F1064="","",IFERROR(INDEX(Items!$B$5:$B$597,MATCH($F1064,Items!$A$5:$A$597,0)),"⚠ not in Items"))</f>
        <v>Wipes</v>
      </c>
      <c r="H1064" s="19">
        <f>IF($F1064="","",IFERROR(INDEX(Items!$C$5:$C$597,MATCH($F1064,Items!$A$5:$A$597,0)),""))</f>
        <v>80</v>
      </c>
      <c r="I1064" s="23">
        <f>IF($F1064="","",IFERROR(INDEX(Items!$E$5:$E$597,MATCH($F1064,Items!$A$5:$A$597,0)),""))</f>
        <v>80</v>
      </c>
      <c r="J1064" s="115">
        <f>IF(tblIssues[[#This Row],[Qty Override]]&lt;&gt;"",tblIssues[[#This Row],[Qty Override]],IF(tblIssues[[#This Row],[Standard Issue]]="","",tblIssues[[#This Row],[Standard Issue]]))</f>
        <v>80</v>
      </c>
      <c r="K1064" s="20">
        <f>IF($F1064="","",IFERROR(INDEX(Items!$D$5:$D$597,MATCH($F1064,Items!$A$5:$A$597,0)),""))</f>
        <v>0.1</v>
      </c>
      <c r="L1064" s="21">
        <f t="shared" si="184"/>
        <v>8</v>
      </c>
      <c r="M1064" s="9" t="str">
        <f t="shared" si="182"/>
        <v>LYSL500290</v>
      </c>
      <c r="N1064" s="24">
        <f>IF($A1064="","",WORKDAY($A1064,Settings!$C$9,HolidayDates))</f>
        <v>46183</v>
      </c>
      <c r="O1064" s="24">
        <f>IF($N1064="","",WORKDAY($N1064,Settings!$C$10,HolidayDates))</f>
        <v>46223</v>
      </c>
      <c r="P1064" s="10" t="s">
        <v>501</v>
      </c>
      <c r="Q1064" s="52" t="str">
        <f t="shared" si="185"/>
        <v>Collected</v>
      </c>
      <c r="R1064" s="55" t="str">
        <f t="shared" si="186"/>
        <v>2026-06</v>
      </c>
      <c r="S1064" s="55">
        <f>IF(OR($B1064="",$F1064="",$R1064=""),"",SUMIFS(tblIssues[Qty Issued],tblIssues[Staff ID],$B1064,tblIssues[Item Name],$F1064,tblIssues[Month],$R1064))</f>
        <v>80</v>
      </c>
      <c r="T1064" s="56">
        <f>IF($I1064="","",$I1064*Settings!$C$11)</f>
        <v>80</v>
      </c>
      <c r="U1064" s="57" t="str">
        <f t="shared" si="183"/>
        <v>OK</v>
      </c>
      <c r="V1064" s="55" t="str">
        <f t="shared" si="187"/>
        <v/>
      </c>
      <c r="W1064" s="55" t="str">
        <f>IF($V1064="","",IF(COUNTIF($V$5:$V1064,$V1064)=1,1,""))</f>
        <v/>
      </c>
      <c r="X1064" s="58" t="str">
        <f>IF($W1064="","",MAX($X$4:X1063)+1)</f>
        <v/>
      </c>
      <c r="Y1064" s="62"/>
      <c r="Z1064" s="62"/>
      <c r="AA1064" s="64" t="str">
        <f>IF($C1064="","",IFERROR(INDEX('Staff Directory'!$E$5:$E$594,MATCH($C1064,'Staff Directory'!$B$5:$B$594,0)),""))</f>
        <v>firstname148.lastname148@example.com</v>
      </c>
      <c r="AB1064" s="64" t="str">
        <f>IF($C1064="","",IF(ISNUMBER(SEARCH($D1064,Settings!$C$15)),"Pickup","Dispatch"))</f>
        <v>Pickup</v>
      </c>
      <c r="AC1064" s="64" t="str">
        <f t="shared" si="188"/>
        <v>Supply order ready for pickup</v>
      </c>
      <c r="AD1064" s="64" t="str">
        <f t="shared" si="179"/>
        <v>Dear PSW,
Your order is ready for pickup from Sample Branch, Wed-Fri 9am-4pm.</v>
      </c>
      <c r="AE1064" s="64" t="str">
        <f t="shared" si="180"/>
        <v>mailto:firstname148.lastname148@example.com?subject=Supply%20order%20ready%20for%20pickup&amp;body=Dear%20PSW%2C%0A%0AYour%20order%20is%20ready%20for%20pickup%20from%20Sample%20Branch%2C%20Wed-Fri%209am-4pm.</v>
      </c>
      <c r="AF1064" s="89" t="str">
        <f t="shared" si="189"/>
        <v>Draft email</v>
      </c>
      <c r="AG1064" s="64" t="str">
        <f>IF($C1064="","",IFERROR(INDEX('Staff Directory'!$K$595:$K$599,MATCH($C1064,'Staff Directory'!$B$5:$B$599,0)),$D1064))</f>
        <v>PSW</v>
      </c>
      <c r="AH1064" t="str">
        <f>IF($C1064="","",IFERROR(INDEX('Staff Directory'!$I$595:$I$599,MATCH($C1064,'Staff Directory'!$B$5:$B$599,0))&amp;" "&amp;INDEX('Staff Directory'!$J$595:$J$599,MATCH($C1064,'Staff Directory'!$B$5:$B$599,0)),$AG1064))</f>
        <v>PSW</v>
      </c>
      <c r="AI1064" s="102"/>
      <c r="AJ1064" s="101">
        <f>IF($F1064="","",SUMIFS($J$5:$J1064,$F$5:$F1064,$F1064))</f>
        <v>14160</v>
      </c>
      <c r="AK1064" s="101">
        <f t="shared" si="181"/>
        <v>14081</v>
      </c>
      <c r="AL1064" s="66" t="str" cm="1">
        <f t="array" ref="AL1064">IF($F1064="","",IFERROR(INDEX('Lot Balance'!$B$5:$B$500,MATCH(1,INDEX(('Lot Balance'!$A$5:$A$500=$F1064)*('Lot Balance'!$K$5:$K$500&lt;$AK1064)*('Lot Balance'!$K$5:$K$500+'Lot Balance'!$D$5:$D$500&gt;=$AK1064),0),0)),""))</f>
        <v>LYSL500290</v>
      </c>
      <c r="AM1064" s="66" t="str" cm="1">
        <f t="array" ref="AM1064">IF($F1064="","",IFERROR(INDEX('Lot Balance'!$B$5:$B$500,MATCH(1,INDEX(('Lot Balance'!$A$5:$A$500=$F1064)*('Lot Balance'!$K$5:$K$500&lt;$AJ1064)*('Lot Balance'!$K$5:$K$500+'Lot Balance'!$D$5:$D$500&gt;=$AJ1064),0),0)),""))</f>
        <v>LYSL500290</v>
      </c>
      <c r="AN1064" s="66" t="str">
        <f>IF($F1064="","",IF($AI1064&lt;&gt;"",IF(COUNTIFS('Lot Balance'!$A$5:$A$500,$F1064,'Lot Balance'!$B$5:$B$500,$AI1064)=0,"⚠ override is not a lot of this item",IF($AI1064=$AL1064,"Override = FEFO","Override - FEFO says "&amp;$AL1064)),IF($AL1064="","⚠ no receipt on file for this item",IF($AM1064&lt;&gt;$AL1064,"FEFO auto - split, also "&amp;$AM1064,"FEFO auto"))))</f>
        <v>FEFO auto</v>
      </c>
      <c r="AO1064" s="114"/>
    </row>
    <row r="1065" spans="1:41" x14ac:dyDescent="0.35">
      <c r="A1065" s="74">
        <v>46175</v>
      </c>
      <c r="B1065" s="18" t="str">
        <f>IF($C1065="","",IFERROR(INDEX('Staff Directory'!$A$5:$A$594,MATCH($C1065,'Staff Directory'!$B$5:$B$594,0)),"⚠ unknown staff"))</f>
        <v>PSW-088-A6</v>
      </c>
      <c r="C1065" s="49" t="s">
        <v>1064</v>
      </c>
      <c r="D1065" s="19" t="str">
        <f>IF($B1065="","",IFERROR(INDEX('Staff Directory'!$C$5:$C$594,MATCH($B1065,'Staff Directory'!$A$5:$A$594,0)),""))</f>
        <v>PSW</v>
      </c>
      <c r="E1065" s="19" t="str">
        <f>IF($B1065="","",IFERROR(INDEX('Staff Directory'!$D$5:$D$594,MATCH($B1065,'Staff Directory'!$A$5:$A$594,0)),""))</f>
        <v>A6</v>
      </c>
      <c r="F1065" s="9" t="s">
        <v>156</v>
      </c>
      <c r="G1065" s="18" t="str">
        <f>IF($F1065="","",IFERROR(INDEX(Items!$B$5:$B$597,MATCH($F1065,Items!$A$5:$A$597,0)),"⚠ not in Items"))</f>
        <v>Masks</v>
      </c>
      <c r="H1065" s="19" t="str">
        <f>IF($F1065="","",IFERROR(INDEX(Items!$C$5:$C$597,MATCH($F1065,Items!$A$5:$A$597,0)),""))</f>
        <v>One Size</v>
      </c>
      <c r="I1065" s="23">
        <f>IF($F1065="","",IFERROR(INDEX(Items!$E$5:$E$597,MATCH($F1065,Items!$A$5:$A$597,0)),""))</f>
        <v>50</v>
      </c>
      <c r="J1065" s="115">
        <f>IF(tblIssues[[#This Row],[Qty Override]]&lt;&gt;"",tblIssues[[#This Row],[Qty Override]],IF(tblIssues[[#This Row],[Standard Issue]]="","",tblIssues[[#This Row],[Standard Issue]]))</f>
        <v>50</v>
      </c>
      <c r="K1065" s="20">
        <f>IF($F1065="","",IFERROR(INDEX(Items!$D$5:$D$597,MATCH($F1065,Items!$A$5:$A$597,0)),""))</f>
        <v>0.25</v>
      </c>
      <c r="L1065" s="21">
        <f t="shared" si="184"/>
        <v>12.5</v>
      </c>
      <c r="M1065" s="9" t="str">
        <f t="shared" si="182"/>
        <v>102GPC24</v>
      </c>
      <c r="N1065" s="24">
        <f>IF($A1065="","",WORKDAY($A1065,Settings!$C$9,HolidayDates))</f>
        <v>46183</v>
      </c>
      <c r="O1065" s="24">
        <f>IF($N1065="","",WORKDAY($N1065,Settings!$C$10,HolidayDates))</f>
        <v>46223</v>
      </c>
      <c r="P1065" s="10" t="s">
        <v>501</v>
      </c>
      <c r="Q1065" s="52" t="str">
        <f t="shared" si="185"/>
        <v>Collected</v>
      </c>
      <c r="R1065" s="55" t="str">
        <f t="shared" si="186"/>
        <v>2026-06</v>
      </c>
      <c r="S1065" s="55">
        <f>IF(OR($B1065="",$F1065="",$R1065=""),"",SUMIFS(tblIssues[Qty Issued],tblIssues[Staff ID],$B1065,tblIssues[Item Name],$F1065,tblIssues[Month],$R1065))</f>
        <v>50</v>
      </c>
      <c r="T1065" s="56">
        <f>IF($I1065="","",$I1065*Settings!$C$11)</f>
        <v>50</v>
      </c>
      <c r="U1065" s="57" t="str">
        <f t="shared" si="183"/>
        <v>OK</v>
      </c>
      <c r="V1065" s="55" t="str">
        <f t="shared" si="187"/>
        <v/>
      </c>
      <c r="W1065" s="55" t="str">
        <f>IF($V1065="","",IF(COUNTIF($V$5:$V1065,$V1065)=1,1,""))</f>
        <v/>
      </c>
      <c r="X1065" s="58" t="str">
        <f>IF($W1065="","",MAX($X$4:X1064)+1)</f>
        <v/>
      </c>
      <c r="Y1065" s="62"/>
      <c r="Z1065" s="62"/>
      <c r="AA1065" s="64" t="str">
        <f>IF($C1065="","",IFERROR(INDEX('Staff Directory'!$E$5:$E$594,MATCH($C1065,'Staff Directory'!$B$5:$B$594,0)),""))</f>
        <v>firstname148.lastname148@example.com</v>
      </c>
      <c r="AB1065" s="64" t="str">
        <f>IF($C1065="","",IF(ISNUMBER(SEARCH($D1065,Settings!$C$15)),"Pickup","Dispatch"))</f>
        <v>Pickup</v>
      </c>
      <c r="AC1065" s="64" t="str">
        <f t="shared" si="188"/>
        <v>Supply order ready for pickup</v>
      </c>
      <c r="AD1065" s="64" t="str">
        <f t="shared" si="179"/>
        <v>Dear PSW,
Your order is ready for pickup from Sample Branch, Wed-Fri 9am-4pm.</v>
      </c>
      <c r="AE1065" s="64" t="str">
        <f t="shared" si="180"/>
        <v>mailto:firstname148.lastname148@example.com?subject=Supply%20order%20ready%20for%20pickup&amp;body=Dear%20PSW%2C%0A%0AYour%20order%20is%20ready%20for%20pickup%20from%20Sample%20Branch%2C%20Wed-Fri%209am-4pm.</v>
      </c>
      <c r="AF1065" s="89" t="str">
        <f t="shared" si="189"/>
        <v>Draft email</v>
      </c>
      <c r="AG1065" s="64" t="str">
        <f>IF($C1065="","",IFERROR(INDEX('Staff Directory'!$K$595:$K$599,MATCH($C1065,'Staff Directory'!$B$5:$B$599,0)),$D1065))</f>
        <v>PSW</v>
      </c>
      <c r="AH1065" t="str">
        <f>IF($C1065="","",IFERROR(INDEX('Staff Directory'!$I$595:$I$599,MATCH($C1065,'Staff Directory'!$B$5:$B$599,0))&amp;" "&amp;INDEX('Staff Directory'!$J$595:$J$599,MATCH($C1065,'Staff Directory'!$B$5:$B$599,0)),$AG1065))</f>
        <v>PSW</v>
      </c>
      <c r="AI1065" s="102"/>
      <c r="AJ1065" s="101">
        <f>IF($F1065="","",SUMIFS($J$5:$J1065,$F$5:$F1065,$F1065))</f>
        <v>8550</v>
      </c>
      <c r="AK1065" s="101">
        <f t="shared" si="181"/>
        <v>8501</v>
      </c>
      <c r="AL1065" s="66" t="str" cm="1">
        <f t="array" ref="AL1065">IF($F1065="","",IFERROR(INDEX('Lot Balance'!$B$5:$B$500,MATCH(1,INDEX(('Lot Balance'!$A$5:$A$500=$F1065)*('Lot Balance'!$K$5:$K$500&lt;$AK1065)*('Lot Balance'!$K$5:$K$500+'Lot Balance'!$D$5:$D$500&gt;=$AK1065),0),0)),""))</f>
        <v>102GPC24</v>
      </c>
      <c r="AM1065" s="66" t="str" cm="1">
        <f t="array" ref="AM1065">IF($F1065="","",IFERROR(INDEX('Lot Balance'!$B$5:$B$500,MATCH(1,INDEX(('Lot Balance'!$A$5:$A$500=$F1065)*('Lot Balance'!$K$5:$K$500&lt;$AJ1065)*('Lot Balance'!$K$5:$K$500+'Lot Balance'!$D$5:$D$500&gt;=$AJ1065),0),0)),""))</f>
        <v>102GPC24</v>
      </c>
      <c r="AN1065" s="66" t="str">
        <f>IF($F1065="","",IF($AI1065&lt;&gt;"",IF(COUNTIFS('Lot Balance'!$A$5:$A$500,$F1065,'Lot Balance'!$B$5:$B$500,$AI1065)=0,"⚠ override is not a lot of this item",IF($AI1065=$AL1065,"Override = FEFO","Override - FEFO says "&amp;$AL1065)),IF($AL1065="","⚠ no receipt on file for this item",IF($AM1065&lt;&gt;$AL1065,"FEFO auto - split, also "&amp;$AM1065,"FEFO auto"))))</f>
        <v>FEFO auto</v>
      </c>
      <c r="AO1065" s="114"/>
    </row>
    <row r="1066" spans="1:41" x14ac:dyDescent="0.35">
      <c r="A1066" s="74">
        <v>46175</v>
      </c>
      <c r="B1066" s="18" t="str">
        <f>IF($C1066="","",IFERROR(INDEX('Staff Directory'!$A$5:$A$594,MATCH($C1066,'Staff Directory'!$B$5:$B$594,0)),"⚠ unknown staff"))</f>
        <v>RN-006-A1</v>
      </c>
      <c r="C1066" s="49" t="s">
        <v>922</v>
      </c>
      <c r="D1066" s="19" t="str">
        <f>IF($B1066="","",IFERROR(INDEX('Staff Directory'!$C$5:$C$594,MATCH($B1066,'Staff Directory'!$A$5:$A$594,0)),""))</f>
        <v>RN</v>
      </c>
      <c r="E1066" s="19" t="str">
        <f>IF($B1066="","",IFERROR(INDEX('Staff Directory'!$D$5:$D$594,MATCH($B1066,'Staff Directory'!$A$5:$A$594,0)),""))</f>
        <v>A1</v>
      </c>
      <c r="F1066" s="9" t="s">
        <v>124</v>
      </c>
      <c r="G1066" s="18" t="str">
        <f>IF($F1066="","",IFERROR(INDEX(Items!$B$5:$B$597,MATCH($F1066,Items!$A$5:$A$597,0)),"⚠ not in Items"))</f>
        <v>Gloves</v>
      </c>
      <c r="H1066" s="19" t="str">
        <f>IF($F1066="","",IFERROR(INDEX(Items!$C$5:$C$597,MATCH($F1066,Items!$A$5:$A$597,0)),""))</f>
        <v>Large</v>
      </c>
      <c r="I1066" s="23">
        <f>IF($F1066="","",IFERROR(INDEX(Items!$E$5:$E$597,MATCH($F1066,Items!$A$5:$A$597,0)),""))</f>
        <v>500</v>
      </c>
      <c r="J1066" s="115">
        <f>IF(tblIssues[[#This Row],[Qty Override]]&lt;&gt;"",tblIssues[[#This Row],[Qty Override]],IF(tblIssues[[#This Row],[Standard Issue]]="","",tblIssues[[#This Row],[Standard Issue]]))</f>
        <v>500</v>
      </c>
      <c r="K1066" s="20">
        <f>IF($F1066="","",IFERROR(INDEX(Items!$D$5:$D$597,MATCH($F1066,Items!$A$5:$A$597,0)),""))</f>
        <v>5.5E-2</v>
      </c>
      <c r="L1066" s="21">
        <f t="shared" si="184"/>
        <v>27.5</v>
      </c>
      <c r="M1066" s="9" t="str">
        <f t="shared" si="182"/>
        <v>O742HIC25</v>
      </c>
      <c r="N1066" s="24">
        <f>IF($A1066="","",WORKDAY($A1066,Settings!$C$9,HolidayDates))</f>
        <v>46183</v>
      </c>
      <c r="O1066" s="24">
        <f>IF($N1066="","",WORKDAY($N1066,Settings!$C$10,HolidayDates))</f>
        <v>46223</v>
      </c>
      <c r="P1066" s="10" t="s">
        <v>502</v>
      </c>
      <c r="Q1066" s="52" t="str">
        <f t="shared" si="185"/>
        <v>Collected</v>
      </c>
      <c r="R1066" s="55" t="str">
        <f t="shared" si="186"/>
        <v>2026-06</v>
      </c>
      <c r="S1066" s="55">
        <f>IF(OR($B1066="",$F1066="",$R1066=""),"",SUMIFS(tblIssues[Qty Issued],tblIssues[Staff ID],$B1066,tblIssues[Item Name],$F1066,tblIssues[Month],$R1066))</f>
        <v>500</v>
      </c>
      <c r="T1066" s="56">
        <f>IF($I1066="","",$I1066*Settings!$C$11)</f>
        <v>500</v>
      </c>
      <c r="U1066" s="57" t="str">
        <f t="shared" si="183"/>
        <v>OK</v>
      </c>
      <c r="V1066" s="55" t="str">
        <f t="shared" si="187"/>
        <v/>
      </c>
      <c r="W1066" s="55" t="str">
        <f>IF($V1066="","",IF(COUNTIF($V$5:$V1066,$V1066)=1,1,""))</f>
        <v/>
      </c>
      <c r="X1066" s="58" t="str">
        <f>IF($W1066="","",MAX($X$4:X1065)+1)</f>
        <v/>
      </c>
      <c r="Y1066" s="62"/>
      <c r="Z1066" s="62"/>
      <c r="AA1066" s="64" t="str">
        <f>IF($C1066="","",IFERROR(INDEX('Staff Directory'!$E$5:$E$594,MATCH($C1066,'Staff Directory'!$B$5:$B$594,0)),""))</f>
        <v>firstname006.lastname006@example.com</v>
      </c>
      <c r="AB1066" s="64" t="str">
        <f>IF($C1066="","",IF(ISNUMBER(SEARCH($D1066,Settings!$C$15)),"Pickup","Dispatch"))</f>
        <v>Dispatch</v>
      </c>
      <c r="AC1066" s="64" t="str">
        <f t="shared" si="188"/>
        <v>Supply order dispatched</v>
      </c>
      <c r="AD1066" s="64" t="str">
        <f t="shared" si="179"/>
        <v>Dear RN,
Your order has been dispatched and is in transit. Reply if undelivered.</v>
      </c>
      <c r="AE1066" s="64" t="str">
        <f t="shared" si="180"/>
        <v>mailto:firstname006.lastname006@example.com?subject=Supply%20order%20dispatched&amp;body=Dear%20RN%2C%0A%0AYour%20order%20has%20been%20dispatched%20and%20is%20in%20transit.%20Reply%20if%20undelivered.</v>
      </c>
      <c r="AF1066" s="89" t="str">
        <f t="shared" si="189"/>
        <v>Draft email</v>
      </c>
      <c r="AG1066" s="64" t="str">
        <f>IF($C1066="","",IFERROR(INDEX('Staff Directory'!$K$595:$K$599,MATCH($C1066,'Staff Directory'!$B$5:$B$599,0)),$D1066))</f>
        <v>RN</v>
      </c>
      <c r="AH1066" t="str">
        <f>IF($C1066="","",IFERROR(INDEX('Staff Directory'!$I$595:$I$599,MATCH($C1066,'Staff Directory'!$B$5:$B$599,0))&amp;" "&amp;INDEX('Staff Directory'!$J$595:$J$599,MATCH($C1066,'Staff Directory'!$B$5:$B$599,0)),$AG1066))</f>
        <v>RN</v>
      </c>
      <c r="AI1066" s="102"/>
      <c r="AJ1066" s="101">
        <f>IF($F1066="","",SUMIFS($J$5:$J1066,$F$5:$F1066,$F1066))</f>
        <v>30500</v>
      </c>
      <c r="AK1066" s="101">
        <f t="shared" si="181"/>
        <v>30001</v>
      </c>
      <c r="AL1066" s="66" t="str" cm="1">
        <f t="array" ref="AL1066">IF($F1066="","",IFERROR(INDEX('Lot Balance'!$B$5:$B$500,MATCH(1,INDEX(('Lot Balance'!$A$5:$A$500=$F1066)*('Lot Balance'!$K$5:$K$500&lt;$AK1066)*('Lot Balance'!$K$5:$K$500+'Lot Balance'!$D$5:$D$500&gt;=$AK1066),0),0)),""))</f>
        <v>O742HIC25</v>
      </c>
      <c r="AM1066" s="66" t="str" cm="1">
        <f t="array" ref="AM1066">IF($F1066="","",IFERROR(INDEX('Lot Balance'!$B$5:$B$500,MATCH(1,INDEX(('Lot Balance'!$A$5:$A$500=$F1066)*('Lot Balance'!$K$5:$K$500&lt;$AJ1066)*('Lot Balance'!$K$5:$K$500+'Lot Balance'!$D$5:$D$500&gt;=$AJ1066),0),0)),""))</f>
        <v>O742HIC25</v>
      </c>
      <c r="AN1066" s="66" t="str">
        <f>IF($F1066="","",IF($AI1066&lt;&gt;"",IF(COUNTIFS('Lot Balance'!$A$5:$A$500,$F1066,'Lot Balance'!$B$5:$B$500,$AI1066)=0,"⚠ override is not a lot of this item",IF($AI1066=$AL1066,"Override = FEFO","Override - FEFO says "&amp;$AL1066)),IF($AL1066="","⚠ no receipt on file for this item",IF($AM1066&lt;&gt;$AL1066,"FEFO auto - split, also "&amp;$AM1066,"FEFO auto"))))</f>
        <v>FEFO auto</v>
      </c>
      <c r="AO1066" s="114"/>
    </row>
    <row r="1067" spans="1:41" x14ac:dyDescent="0.35">
      <c r="A1067" s="74">
        <v>46175</v>
      </c>
      <c r="B1067" s="18" t="str">
        <f>IF($C1067="","",IFERROR(INDEX('Staff Directory'!$A$5:$A$594,MATCH($C1067,'Staff Directory'!$B$5:$B$594,0)),"⚠ unknown staff"))</f>
        <v>RN-006-A1</v>
      </c>
      <c r="C1067" s="49" t="s">
        <v>922</v>
      </c>
      <c r="D1067" s="19" t="str">
        <f>IF($B1067="","",IFERROR(INDEX('Staff Directory'!$C$5:$C$594,MATCH($B1067,'Staff Directory'!$A$5:$A$594,0)),""))</f>
        <v>RN</v>
      </c>
      <c r="E1067" s="19" t="str">
        <f>IF($B1067="","",IFERROR(INDEX('Staff Directory'!$D$5:$D$594,MATCH($B1067,'Staff Directory'!$A$5:$A$594,0)),""))</f>
        <v>A1</v>
      </c>
      <c r="F1067" s="9" t="s">
        <v>191</v>
      </c>
      <c r="G1067" s="18" t="str">
        <f>IF($F1067="","",IFERROR(INDEX(Items!$B$5:$B$597,MATCH($F1067,Items!$A$5:$A$597,0)),"⚠ not in Items"))</f>
        <v>Sanitizer</v>
      </c>
      <c r="H1067" s="19" t="str">
        <f>IF($F1067="","",IFERROR(INDEX(Items!$C$5:$C$597,MATCH($F1067,Items!$A$5:$A$597,0)),""))</f>
        <v>236 ML</v>
      </c>
      <c r="I1067" s="23">
        <f>IF($F1067="","",IFERROR(INDEX(Items!$E$5:$E$597,MATCH($F1067,Items!$A$5:$A$597,0)),""))</f>
        <v>1</v>
      </c>
      <c r="J1067" s="115">
        <f>IF(tblIssues[[#This Row],[Qty Override]]&lt;&gt;"",tblIssues[[#This Row],[Qty Override]],IF(tblIssues[[#This Row],[Standard Issue]]="","",tblIssues[[#This Row],[Standard Issue]]))</f>
        <v>1</v>
      </c>
      <c r="K1067" s="20">
        <f>IF($F1067="","",IFERROR(INDEX(Items!$D$5:$D$597,MATCH($F1067,Items!$A$5:$A$597,0)),""))</f>
        <v>1E-4</v>
      </c>
      <c r="L1067" s="21">
        <f t="shared" si="184"/>
        <v>1E-4</v>
      </c>
      <c r="M1067" s="9" t="str">
        <f t="shared" si="182"/>
        <v>20-21734-4</v>
      </c>
      <c r="N1067" s="24">
        <f>IF($A1067="","",WORKDAY($A1067,Settings!$C$9,HolidayDates))</f>
        <v>46183</v>
      </c>
      <c r="O1067" s="24">
        <f>IF($N1067="","",WORKDAY($N1067,Settings!$C$10,HolidayDates))</f>
        <v>46223</v>
      </c>
      <c r="P1067" s="10" t="s">
        <v>502</v>
      </c>
      <c r="Q1067" s="52" t="str">
        <f t="shared" si="185"/>
        <v>Collected</v>
      </c>
      <c r="R1067" s="55" t="str">
        <f t="shared" si="186"/>
        <v>2026-06</v>
      </c>
      <c r="S1067" s="55">
        <f>IF(OR($B1067="",$F1067="",$R1067=""),"",SUMIFS(tblIssues[Qty Issued],tblIssues[Staff ID],$B1067,tblIssues[Item Name],$F1067,tblIssues[Month],$R1067))</f>
        <v>1</v>
      </c>
      <c r="T1067" s="56">
        <f>IF($I1067="","",$I1067*Settings!$C$11)</f>
        <v>1</v>
      </c>
      <c r="U1067" s="57" t="str">
        <f t="shared" si="183"/>
        <v>OK</v>
      </c>
      <c r="V1067" s="55" t="str">
        <f t="shared" si="187"/>
        <v/>
      </c>
      <c r="W1067" s="55" t="str">
        <f>IF($V1067="","",IF(COUNTIF($V$5:$V1067,$V1067)=1,1,""))</f>
        <v/>
      </c>
      <c r="X1067" s="58" t="str">
        <f>IF($W1067="","",MAX($X$4:X1066)+1)</f>
        <v/>
      </c>
      <c r="Y1067" s="62"/>
      <c r="Z1067" s="62"/>
      <c r="AA1067" s="64" t="str">
        <f>IF($C1067="","",IFERROR(INDEX('Staff Directory'!$E$5:$E$594,MATCH($C1067,'Staff Directory'!$B$5:$B$594,0)),""))</f>
        <v>firstname006.lastname006@example.com</v>
      </c>
      <c r="AB1067" s="64" t="str">
        <f>IF($C1067="","",IF(ISNUMBER(SEARCH($D1067,Settings!$C$15)),"Pickup","Dispatch"))</f>
        <v>Dispatch</v>
      </c>
      <c r="AC1067" s="64" t="str">
        <f t="shared" si="188"/>
        <v>Supply order dispatched</v>
      </c>
      <c r="AD1067" s="64" t="str">
        <f t="shared" si="179"/>
        <v>Dear RN,
Your order has been dispatched and is in transit. Reply if undelivered.</v>
      </c>
      <c r="AE1067" s="64" t="str">
        <f t="shared" si="180"/>
        <v>mailto:firstname006.lastname006@example.com?subject=Supply%20order%20dispatched&amp;body=Dear%20RN%2C%0A%0AYour%20order%20has%20been%20dispatched%20and%20is%20in%20transit.%20Reply%20if%20undelivered.</v>
      </c>
      <c r="AF1067" s="89" t="str">
        <f t="shared" si="189"/>
        <v>Draft email</v>
      </c>
      <c r="AG1067" s="64" t="str">
        <f>IF($C1067="","",IFERROR(INDEX('Staff Directory'!$K$595:$K$599,MATCH($C1067,'Staff Directory'!$B$5:$B$599,0)),$D1067))</f>
        <v>RN</v>
      </c>
      <c r="AH1067" t="str">
        <f>IF($C1067="","",IFERROR(INDEX('Staff Directory'!$I$595:$I$599,MATCH($C1067,'Staff Directory'!$B$5:$B$599,0))&amp;" "&amp;INDEX('Staff Directory'!$J$595:$J$599,MATCH($C1067,'Staff Directory'!$B$5:$B$599,0)),$AG1067))</f>
        <v>RN</v>
      </c>
      <c r="AI1067" s="102"/>
      <c r="AJ1067" s="101">
        <f>IF($F1067="","",SUMIFS($J$5:$J1067,$F$5:$F1067,$F1067))</f>
        <v>125</v>
      </c>
      <c r="AK1067" s="101">
        <f t="shared" si="181"/>
        <v>125</v>
      </c>
      <c r="AL1067" s="66" t="str" cm="1">
        <f t="array" ref="AL1067">IF($F1067="","",IFERROR(INDEX('Lot Balance'!$B$5:$B$500,MATCH(1,INDEX(('Lot Balance'!$A$5:$A$500=$F1067)*('Lot Balance'!$K$5:$K$500&lt;$AK1067)*('Lot Balance'!$K$5:$K$500+'Lot Balance'!$D$5:$D$500&gt;=$AK1067),0),0)),""))</f>
        <v>20-21734-4</v>
      </c>
      <c r="AM1067" s="66" t="str" cm="1">
        <f t="array" ref="AM1067">IF($F1067="","",IFERROR(INDEX('Lot Balance'!$B$5:$B$500,MATCH(1,INDEX(('Lot Balance'!$A$5:$A$500=$F1067)*('Lot Balance'!$K$5:$K$500&lt;$AJ1067)*('Lot Balance'!$K$5:$K$500+'Lot Balance'!$D$5:$D$500&gt;=$AJ1067),0),0)),""))</f>
        <v>20-21734-4</v>
      </c>
      <c r="AN1067" s="66" t="str">
        <f>IF($F1067="","",IF($AI1067&lt;&gt;"",IF(COUNTIFS('Lot Balance'!$A$5:$A$500,$F1067,'Lot Balance'!$B$5:$B$500,$AI1067)=0,"⚠ override is not a lot of this item",IF($AI1067=$AL1067,"Override = FEFO","Override - FEFO says "&amp;$AL1067)),IF($AL1067="","⚠ no receipt on file for this item",IF($AM1067&lt;&gt;$AL1067,"FEFO auto - split, also "&amp;$AM1067,"FEFO auto"))))</f>
        <v>FEFO auto</v>
      </c>
      <c r="AO1067" s="114"/>
    </row>
    <row r="1068" spans="1:41" x14ac:dyDescent="0.35">
      <c r="A1068" s="74">
        <v>46175</v>
      </c>
      <c r="B1068" s="18" t="str">
        <f>IF($C1068="","",IFERROR(INDEX('Staff Directory'!$A$5:$A$594,MATCH($C1068,'Staff Directory'!$B$5:$B$594,0)),"⚠ unknown staff"))</f>
        <v>RN-006-A1</v>
      </c>
      <c r="C1068" s="49" t="s">
        <v>922</v>
      </c>
      <c r="D1068" s="19" t="str">
        <f>IF($B1068="","",IFERROR(INDEX('Staff Directory'!$C$5:$C$594,MATCH($B1068,'Staff Directory'!$A$5:$A$594,0)),""))</f>
        <v>RN</v>
      </c>
      <c r="E1068" s="19" t="str">
        <f>IF($B1068="","",IFERROR(INDEX('Staff Directory'!$D$5:$D$594,MATCH($B1068,'Staff Directory'!$A$5:$A$594,0)),""))</f>
        <v>A1</v>
      </c>
      <c r="F1068" s="9" t="s">
        <v>115</v>
      </c>
      <c r="G1068" s="18" t="str">
        <f>IF($F1068="","",IFERROR(INDEX(Items!$B$5:$B$597,MATCH($F1068,Items!$A$5:$A$597,0)),"⚠ not in Items"))</f>
        <v>Wipes</v>
      </c>
      <c r="H1068" s="19">
        <f>IF($F1068="","",IFERROR(INDEX(Items!$C$5:$C$597,MATCH($F1068,Items!$A$5:$A$597,0)),""))</f>
        <v>80</v>
      </c>
      <c r="I1068" s="23">
        <f>IF($F1068="","",IFERROR(INDEX(Items!$E$5:$E$597,MATCH($F1068,Items!$A$5:$A$597,0)),""))</f>
        <v>80</v>
      </c>
      <c r="J1068" s="115">
        <f>IF(tblIssues[[#This Row],[Qty Override]]&lt;&gt;"",tblIssues[[#This Row],[Qty Override]],IF(tblIssues[[#This Row],[Standard Issue]]="","",tblIssues[[#This Row],[Standard Issue]]))</f>
        <v>80</v>
      </c>
      <c r="K1068" s="20">
        <f>IF($F1068="","",IFERROR(INDEX(Items!$D$5:$D$597,MATCH($F1068,Items!$A$5:$A$597,0)),""))</f>
        <v>0.1</v>
      </c>
      <c r="L1068" s="21">
        <f t="shared" si="184"/>
        <v>8</v>
      </c>
      <c r="M1068" s="9" t="str">
        <f t="shared" si="182"/>
        <v>LYSL500290</v>
      </c>
      <c r="N1068" s="24">
        <f>IF($A1068="","",WORKDAY($A1068,Settings!$C$9,HolidayDates))</f>
        <v>46183</v>
      </c>
      <c r="O1068" s="24">
        <f>IF($N1068="","",WORKDAY($N1068,Settings!$C$10,HolidayDates))</f>
        <v>46223</v>
      </c>
      <c r="P1068" s="10" t="s">
        <v>502</v>
      </c>
      <c r="Q1068" s="52" t="str">
        <f t="shared" si="185"/>
        <v>Collected</v>
      </c>
      <c r="R1068" s="55" t="str">
        <f t="shared" si="186"/>
        <v>2026-06</v>
      </c>
      <c r="S1068" s="55">
        <f>IF(OR($B1068="",$F1068="",$R1068=""),"",SUMIFS(tblIssues[Qty Issued],tblIssues[Staff ID],$B1068,tblIssues[Item Name],$F1068,tblIssues[Month],$R1068))</f>
        <v>80</v>
      </c>
      <c r="T1068" s="56">
        <f>IF($I1068="","",$I1068*Settings!$C$11)</f>
        <v>80</v>
      </c>
      <c r="U1068" s="57" t="str">
        <f t="shared" si="183"/>
        <v>OK</v>
      </c>
      <c r="V1068" s="55" t="str">
        <f t="shared" si="187"/>
        <v/>
      </c>
      <c r="W1068" s="55" t="str">
        <f>IF($V1068="","",IF(COUNTIF($V$5:$V1068,$V1068)=1,1,""))</f>
        <v/>
      </c>
      <c r="X1068" s="58" t="str">
        <f>IF($W1068="","",MAX($X$4:X1067)+1)</f>
        <v/>
      </c>
      <c r="Y1068" s="62"/>
      <c r="Z1068" s="62"/>
      <c r="AA1068" s="64" t="str">
        <f>IF($C1068="","",IFERROR(INDEX('Staff Directory'!$E$5:$E$594,MATCH($C1068,'Staff Directory'!$B$5:$B$594,0)),""))</f>
        <v>firstname006.lastname006@example.com</v>
      </c>
      <c r="AB1068" s="64" t="str">
        <f>IF($C1068="","",IF(ISNUMBER(SEARCH($D1068,Settings!$C$15)),"Pickup","Dispatch"))</f>
        <v>Dispatch</v>
      </c>
      <c r="AC1068" s="64" t="str">
        <f t="shared" si="188"/>
        <v>Supply order dispatched</v>
      </c>
      <c r="AD1068" s="64" t="str">
        <f t="shared" si="179"/>
        <v>Dear RN,
Your order has been dispatched and is in transit. Reply if undelivered.</v>
      </c>
      <c r="AE1068" s="64" t="str">
        <f t="shared" si="180"/>
        <v>mailto:firstname006.lastname006@example.com?subject=Supply%20order%20dispatched&amp;body=Dear%20RN%2C%0A%0AYour%20order%20has%20been%20dispatched%20and%20is%20in%20transit.%20Reply%20if%20undelivered.</v>
      </c>
      <c r="AF1068" s="89" t="str">
        <f t="shared" si="189"/>
        <v>Draft email</v>
      </c>
      <c r="AG1068" s="64" t="str">
        <f>IF($C1068="","",IFERROR(INDEX('Staff Directory'!$K$595:$K$599,MATCH($C1068,'Staff Directory'!$B$5:$B$599,0)),$D1068))</f>
        <v>RN</v>
      </c>
      <c r="AH1068" t="str">
        <f>IF($C1068="","",IFERROR(INDEX('Staff Directory'!$I$595:$I$599,MATCH($C1068,'Staff Directory'!$B$5:$B$599,0))&amp;" "&amp;INDEX('Staff Directory'!$J$595:$J$599,MATCH($C1068,'Staff Directory'!$B$5:$B$599,0)),$AG1068))</f>
        <v>RN</v>
      </c>
      <c r="AI1068" s="102"/>
      <c r="AJ1068" s="101">
        <f>IF($F1068="","",SUMIFS($J$5:$J1068,$F$5:$F1068,$F1068))</f>
        <v>14240</v>
      </c>
      <c r="AK1068" s="101">
        <f t="shared" si="181"/>
        <v>14161</v>
      </c>
      <c r="AL1068" s="66" t="str" cm="1">
        <f t="array" ref="AL1068">IF($F1068="","",IFERROR(INDEX('Lot Balance'!$B$5:$B$500,MATCH(1,INDEX(('Lot Balance'!$A$5:$A$500=$F1068)*('Lot Balance'!$K$5:$K$500&lt;$AK1068)*('Lot Balance'!$K$5:$K$500+'Lot Balance'!$D$5:$D$500&gt;=$AK1068),0),0)),""))</f>
        <v>LYSL500290</v>
      </c>
      <c r="AM1068" s="66" t="str" cm="1">
        <f t="array" ref="AM1068">IF($F1068="","",IFERROR(INDEX('Lot Balance'!$B$5:$B$500,MATCH(1,INDEX(('Lot Balance'!$A$5:$A$500=$F1068)*('Lot Balance'!$K$5:$K$500&lt;$AJ1068)*('Lot Balance'!$K$5:$K$500+'Lot Balance'!$D$5:$D$500&gt;=$AJ1068),0),0)),""))</f>
        <v>LYSL500290</v>
      </c>
      <c r="AN1068" s="66" t="str">
        <f>IF($F1068="","",IF($AI1068&lt;&gt;"",IF(COUNTIFS('Lot Balance'!$A$5:$A$500,$F1068,'Lot Balance'!$B$5:$B$500,$AI1068)=0,"⚠ override is not a lot of this item",IF($AI1068=$AL1068,"Override = FEFO","Override - FEFO says "&amp;$AL1068)),IF($AL1068="","⚠ no receipt on file for this item",IF($AM1068&lt;&gt;$AL1068,"FEFO auto - split, also "&amp;$AM1068,"FEFO auto"))))</f>
        <v>FEFO auto</v>
      </c>
      <c r="AO1068" s="114"/>
    </row>
    <row r="1069" spans="1:41" x14ac:dyDescent="0.35">
      <c r="A1069" s="74">
        <v>46175</v>
      </c>
      <c r="B1069" s="18" t="str">
        <f>IF($C1069="","",IFERROR(INDEX('Staff Directory'!$A$5:$A$594,MATCH($C1069,'Staff Directory'!$B$5:$B$594,0)),"⚠ unknown staff"))</f>
        <v>RN-006-A1</v>
      </c>
      <c r="C1069" s="49" t="s">
        <v>922</v>
      </c>
      <c r="D1069" s="19" t="str">
        <f>IF($B1069="","",IFERROR(INDEX('Staff Directory'!$C$5:$C$594,MATCH($B1069,'Staff Directory'!$A$5:$A$594,0)),""))</f>
        <v>RN</v>
      </c>
      <c r="E1069" s="19" t="str">
        <f>IF($B1069="","",IFERROR(INDEX('Staff Directory'!$D$5:$D$594,MATCH($B1069,'Staff Directory'!$A$5:$A$594,0)),""))</f>
        <v>A1</v>
      </c>
      <c r="F1069" s="9" t="s">
        <v>156</v>
      </c>
      <c r="G1069" s="18" t="str">
        <f>IF($F1069="","",IFERROR(INDEX(Items!$B$5:$B$597,MATCH($F1069,Items!$A$5:$A$597,0)),"⚠ not in Items"))</f>
        <v>Masks</v>
      </c>
      <c r="H1069" s="19" t="str">
        <f>IF($F1069="","",IFERROR(INDEX(Items!$C$5:$C$597,MATCH($F1069,Items!$A$5:$A$597,0)),""))</f>
        <v>One Size</v>
      </c>
      <c r="I1069" s="23">
        <f>IF($F1069="","",IFERROR(INDEX(Items!$E$5:$E$597,MATCH($F1069,Items!$A$5:$A$597,0)),""))</f>
        <v>50</v>
      </c>
      <c r="J1069" s="115">
        <f>IF(tblIssues[[#This Row],[Qty Override]]&lt;&gt;"",tblIssues[[#This Row],[Qty Override]],IF(tblIssues[[#This Row],[Standard Issue]]="","",tblIssues[[#This Row],[Standard Issue]]))</f>
        <v>50</v>
      </c>
      <c r="K1069" s="20">
        <f>IF($F1069="","",IFERROR(INDEX(Items!$D$5:$D$597,MATCH($F1069,Items!$A$5:$A$597,0)),""))</f>
        <v>0.25</v>
      </c>
      <c r="L1069" s="21">
        <f t="shared" si="184"/>
        <v>12.5</v>
      </c>
      <c r="M1069" s="9" t="str">
        <f t="shared" si="182"/>
        <v>102GPC24</v>
      </c>
      <c r="N1069" s="24">
        <f>IF($A1069="","",WORKDAY($A1069,Settings!$C$9,HolidayDates))</f>
        <v>46183</v>
      </c>
      <c r="O1069" s="24">
        <f>IF($N1069="","",WORKDAY($N1069,Settings!$C$10,HolidayDates))</f>
        <v>46223</v>
      </c>
      <c r="P1069" s="10" t="s">
        <v>502</v>
      </c>
      <c r="Q1069" s="52" t="str">
        <f t="shared" si="185"/>
        <v>Collected</v>
      </c>
      <c r="R1069" s="55" t="str">
        <f t="shared" si="186"/>
        <v>2026-06</v>
      </c>
      <c r="S1069" s="55">
        <f>IF(OR($B1069="",$F1069="",$R1069=""),"",SUMIFS(tblIssues[Qty Issued],tblIssues[Staff ID],$B1069,tblIssues[Item Name],$F1069,tblIssues[Month],$R1069))</f>
        <v>50</v>
      </c>
      <c r="T1069" s="56">
        <f>IF($I1069="","",$I1069*Settings!$C$11)</f>
        <v>50</v>
      </c>
      <c r="U1069" s="57" t="str">
        <f t="shared" si="183"/>
        <v>OK</v>
      </c>
      <c r="V1069" s="55" t="str">
        <f t="shared" si="187"/>
        <v/>
      </c>
      <c r="W1069" s="55" t="str">
        <f>IF($V1069="","",IF(COUNTIF($V$5:$V1069,$V1069)=1,1,""))</f>
        <v/>
      </c>
      <c r="X1069" s="58" t="str">
        <f>IF($W1069="","",MAX($X$4:X1068)+1)</f>
        <v/>
      </c>
      <c r="Y1069" s="62"/>
      <c r="Z1069" s="62"/>
      <c r="AA1069" s="64" t="str">
        <f>IF($C1069="","",IFERROR(INDEX('Staff Directory'!$E$5:$E$594,MATCH($C1069,'Staff Directory'!$B$5:$B$594,0)),""))</f>
        <v>firstname006.lastname006@example.com</v>
      </c>
      <c r="AB1069" s="64" t="str">
        <f>IF($C1069="","",IF(ISNUMBER(SEARCH($D1069,Settings!$C$15)),"Pickup","Dispatch"))</f>
        <v>Dispatch</v>
      </c>
      <c r="AC1069" s="64" t="str">
        <f t="shared" si="188"/>
        <v>Supply order dispatched</v>
      </c>
      <c r="AD1069" s="64" t="str">
        <f t="shared" si="179"/>
        <v>Dear RN,
Your order has been dispatched and is in transit. Reply if undelivered.</v>
      </c>
      <c r="AE1069" s="64" t="str">
        <f t="shared" si="180"/>
        <v>mailto:firstname006.lastname006@example.com?subject=Supply%20order%20dispatched&amp;body=Dear%20RN%2C%0A%0AYour%20order%20has%20been%20dispatched%20and%20is%20in%20transit.%20Reply%20if%20undelivered.</v>
      </c>
      <c r="AF1069" s="89" t="str">
        <f t="shared" si="189"/>
        <v>Draft email</v>
      </c>
      <c r="AG1069" s="64" t="str">
        <f>IF($C1069="","",IFERROR(INDEX('Staff Directory'!$K$595:$K$599,MATCH($C1069,'Staff Directory'!$B$5:$B$599,0)),$D1069))</f>
        <v>RN</v>
      </c>
      <c r="AH1069" t="str">
        <f>IF($C1069="","",IFERROR(INDEX('Staff Directory'!$I$595:$I$599,MATCH($C1069,'Staff Directory'!$B$5:$B$599,0))&amp;" "&amp;INDEX('Staff Directory'!$J$595:$J$599,MATCH($C1069,'Staff Directory'!$B$5:$B$599,0)),$AG1069))</f>
        <v>RN</v>
      </c>
      <c r="AI1069" s="102"/>
      <c r="AJ1069" s="101">
        <f>IF($F1069="","",SUMIFS($J$5:$J1069,$F$5:$F1069,$F1069))</f>
        <v>8600</v>
      </c>
      <c r="AK1069" s="101">
        <f t="shared" si="181"/>
        <v>8551</v>
      </c>
      <c r="AL1069" s="66" t="str" cm="1">
        <f t="array" ref="AL1069">IF($F1069="","",IFERROR(INDEX('Lot Balance'!$B$5:$B$500,MATCH(1,INDEX(('Lot Balance'!$A$5:$A$500=$F1069)*('Lot Balance'!$K$5:$K$500&lt;$AK1069)*('Lot Balance'!$K$5:$K$500+'Lot Balance'!$D$5:$D$500&gt;=$AK1069),0),0)),""))</f>
        <v>102GPC24</v>
      </c>
      <c r="AM1069" s="66" t="str" cm="1">
        <f t="array" ref="AM1069">IF($F1069="","",IFERROR(INDEX('Lot Balance'!$B$5:$B$500,MATCH(1,INDEX(('Lot Balance'!$A$5:$A$500=$F1069)*('Lot Balance'!$K$5:$K$500&lt;$AJ1069)*('Lot Balance'!$K$5:$K$500+'Lot Balance'!$D$5:$D$500&gt;=$AJ1069),0),0)),""))</f>
        <v>102GPC24</v>
      </c>
      <c r="AN1069" s="66" t="str">
        <f>IF($F1069="","",IF($AI1069&lt;&gt;"",IF(COUNTIFS('Lot Balance'!$A$5:$A$500,$F1069,'Lot Balance'!$B$5:$B$500,$AI1069)=0,"⚠ override is not a lot of this item",IF($AI1069=$AL1069,"Override = FEFO","Override - FEFO says "&amp;$AL1069)),IF($AL1069="","⚠ no receipt on file for this item",IF($AM1069&lt;&gt;$AL1069,"FEFO auto - split, also "&amp;$AM1069,"FEFO auto"))))</f>
        <v>FEFO auto</v>
      </c>
      <c r="AO1069" s="114"/>
    </row>
    <row r="1070" spans="1:41" x14ac:dyDescent="0.35">
      <c r="A1070" s="74">
        <v>46175</v>
      </c>
      <c r="B1070" s="18" t="str">
        <f>IF($C1070="","",IFERROR(INDEX('Staff Directory'!$A$5:$A$594,MATCH($C1070,'Staff Directory'!$B$5:$B$594,0)),"⚠ unknown staff"))</f>
        <v>RN-006-A1</v>
      </c>
      <c r="C1070" s="49" t="s">
        <v>922</v>
      </c>
      <c r="D1070" s="19" t="str">
        <f>IF($B1070="","",IFERROR(INDEX('Staff Directory'!$C$5:$C$594,MATCH($B1070,'Staff Directory'!$A$5:$A$594,0)),""))</f>
        <v>RN</v>
      </c>
      <c r="E1070" s="19" t="str">
        <f>IF($B1070="","",IFERROR(INDEX('Staff Directory'!$D$5:$D$594,MATCH($B1070,'Staff Directory'!$A$5:$A$594,0)),""))</f>
        <v>A1</v>
      </c>
      <c r="F1070" s="9" t="s">
        <v>162</v>
      </c>
      <c r="G1070" s="18" t="str">
        <f>IF($F1070="","",IFERROR(INDEX(Items!$B$5:$B$597,MATCH($F1070,Items!$A$5:$A$597,0)),"⚠ not in Items"))</f>
        <v>Documents</v>
      </c>
      <c r="H1070" s="19" t="str">
        <f>IF($F1070="","",IFERROR(INDEX(Items!$C$5:$C$597,MATCH($F1070,Items!$A$5:$A$597,0)),""))</f>
        <v>Standard</v>
      </c>
      <c r="I1070" s="23">
        <f>IF($F1070="","",IFERROR(INDEX(Items!$E$5:$E$597,MATCH($F1070,Items!$A$5:$A$597,0)),""))</f>
        <v>20</v>
      </c>
      <c r="J1070" s="115">
        <f>IF(tblIssues[[#This Row],[Qty Override]]&lt;&gt;"",tblIssues[[#This Row],[Qty Override]],IF(tblIssues[[#This Row],[Standard Issue]]="","",tblIssues[[#This Row],[Standard Issue]]))</f>
        <v>20</v>
      </c>
      <c r="K1070" s="20">
        <f>IF($F1070="","",IFERROR(INDEX(Items!$D$5:$D$597,MATCH($F1070,Items!$A$5:$A$597,0)),""))</f>
        <v>0</v>
      </c>
      <c r="L1070" s="21">
        <f t="shared" si="184"/>
        <v>0</v>
      </c>
      <c r="M1070" s="9" t="str">
        <f t="shared" si="182"/>
        <v/>
      </c>
      <c r="N1070" s="24">
        <f>IF($A1070="","",WORKDAY($A1070,Settings!$C$9,HolidayDates))</f>
        <v>46183</v>
      </c>
      <c r="O1070" s="24">
        <f>IF($N1070="","",WORKDAY($N1070,Settings!$C$10,HolidayDates))</f>
        <v>46223</v>
      </c>
      <c r="P1070" s="10" t="s">
        <v>502</v>
      </c>
      <c r="Q1070" s="52" t="str">
        <f t="shared" si="185"/>
        <v>Collected</v>
      </c>
      <c r="R1070" s="55" t="str">
        <f t="shared" si="186"/>
        <v>2026-06</v>
      </c>
      <c r="S1070" s="55">
        <f>IF(OR($B1070="",$F1070="",$R1070=""),"",SUMIFS(tblIssues[Qty Issued],tblIssues[Staff ID],$B1070,tblIssues[Item Name],$F1070,tblIssues[Month],$R1070))</f>
        <v>20</v>
      </c>
      <c r="T1070" s="56">
        <f>IF($I1070="","",$I1070*Settings!$C$11)</f>
        <v>20</v>
      </c>
      <c r="U1070" s="57" t="str">
        <f t="shared" si="183"/>
        <v>OK</v>
      </c>
      <c r="V1070" s="55" t="str">
        <f t="shared" si="187"/>
        <v/>
      </c>
      <c r="W1070" s="55" t="str">
        <f>IF($V1070="","",IF(COUNTIF($V$5:$V1070,$V1070)=1,1,""))</f>
        <v/>
      </c>
      <c r="X1070" s="58" t="str">
        <f>IF($W1070="","",MAX($X$4:X1069)+1)</f>
        <v/>
      </c>
      <c r="Y1070" s="62"/>
      <c r="Z1070" s="62"/>
      <c r="AA1070" s="64" t="str">
        <f>IF($C1070="","",IFERROR(INDEX('Staff Directory'!$E$5:$E$594,MATCH($C1070,'Staff Directory'!$B$5:$B$594,0)),""))</f>
        <v>firstname006.lastname006@example.com</v>
      </c>
      <c r="AB1070" s="64" t="str">
        <f>IF($C1070="","",IF(ISNUMBER(SEARCH($D1070,Settings!$C$15)),"Pickup","Dispatch"))</f>
        <v>Dispatch</v>
      </c>
      <c r="AC1070" s="64" t="str">
        <f t="shared" si="188"/>
        <v>Supply order dispatched</v>
      </c>
      <c r="AD1070" s="64" t="str">
        <f t="shared" si="179"/>
        <v>Dear RN,
Your order has been dispatched and is in transit. Reply if undelivered.</v>
      </c>
      <c r="AE1070" s="64" t="str">
        <f t="shared" si="180"/>
        <v>mailto:firstname006.lastname006@example.com?subject=Supply%20order%20dispatched&amp;body=Dear%20RN%2C%0A%0AYour%20order%20has%20been%20dispatched%20and%20is%20in%20transit.%20Reply%20if%20undelivered.</v>
      </c>
      <c r="AF1070" s="89" t="str">
        <f t="shared" si="189"/>
        <v>Draft email</v>
      </c>
      <c r="AG1070" s="64" t="str">
        <f>IF($C1070="","",IFERROR(INDEX('Staff Directory'!$K$595:$K$599,MATCH($C1070,'Staff Directory'!$B$5:$B$599,0)),$D1070))</f>
        <v>RN</v>
      </c>
      <c r="AH1070" t="str">
        <f>IF($C1070="","",IFERROR(INDEX('Staff Directory'!$I$595:$I$599,MATCH($C1070,'Staff Directory'!$B$5:$B$599,0))&amp;" "&amp;INDEX('Staff Directory'!$J$595:$J$599,MATCH($C1070,'Staff Directory'!$B$5:$B$599,0)),$AG1070))</f>
        <v>RN</v>
      </c>
      <c r="AI1070" s="102"/>
      <c r="AJ1070" s="101">
        <f>IF($F1070="","",SUMIFS($J$5:$J1070,$F$5:$F1070,$F1070))</f>
        <v>140</v>
      </c>
      <c r="AK1070" s="101">
        <f t="shared" si="181"/>
        <v>121</v>
      </c>
      <c r="AL1070" s="66" t="str" cm="1">
        <f t="array" ref="AL1070">IF($F1070="","",IFERROR(INDEX('Lot Balance'!$B$5:$B$500,MATCH(1,INDEX(('Lot Balance'!$A$5:$A$500=$F1070)*('Lot Balance'!$K$5:$K$500&lt;$AK1070)*('Lot Balance'!$K$5:$K$500+'Lot Balance'!$D$5:$D$500&gt;=$AK1070),0),0)),""))</f>
        <v/>
      </c>
      <c r="AM1070" s="66" t="str" cm="1">
        <f t="array" ref="AM1070">IF($F1070="","",IFERROR(INDEX('Lot Balance'!$B$5:$B$500,MATCH(1,INDEX(('Lot Balance'!$A$5:$A$500=$F1070)*('Lot Balance'!$K$5:$K$500&lt;$AJ1070)*('Lot Balance'!$K$5:$K$500+'Lot Balance'!$D$5:$D$500&gt;=$AJ1070),0),0)),""))</f>
        <v/>
      </c>
      <c r="AN1070" s="66" t="str">
        <f>IF($F1070="","",IF($AI1070&lt;&gt;"",IF(COUNTIFS('Lot Balance'!$A$5:$A$500,$F1070,'Lot Balance'!$B$5:$B$500,$AI1070)=0,"⚠ override is not a lot of this item",IF($AI1070=$AL1070,"Override = FEFO","Override - FEFO says "&amp;$AL1070)),IF($AL1070="","⚠ no receipt on file for this item",IF($AM1070&lt;&gt;$AL1070,"FEFO auto - split, also "&amp;$AM1070,"FEFO auto"))))</f>
        <v>⚠ no receipt on file for this item</v>
      </c>
      <c r="AO1070" s="114"/>
    </row>
    <row r="1071" spans="1:41" x14ac:dyDescent="0.35">
      <c r="A1071" s="74">
        <v>46175</v>
      </c>
      <c r="B1071" s="18" t="str">
        <f>IF($C1071="","",IFERROR(INDEX('Staff Directory'!$A$5:$A$594,MATCH($C1071,'Staff Directory'!$B$5:$B$594,0)),"⚠ unknown staff"))</f>
        <v>RPN-006-A1</v>
      </c>
      <c r="C1071" s="49" t="s">
        <v>958</v>
      </c>
      <c r="D1071" s="19" t="str">
        <f>IF($B1071="","",IFERROR(INDEX('Staff Directory'!$C$5:$C$594,MATCH($B1071,'Staff Directory'!$A$5:$A$594,0)),""))</f>
        <v>RPN</v>
      </c>
      <c r="E1071" s="19" t="str">
        <f>IF($B1071="","",IFERROR(INDEX('Staff Directory'!$D$5:$D$594,MATCH($B1071,'Staff Directory'!$A$5:$A$594,0)),""))</f>
        <v>A1</v>
      </c>
      <c r="F1071" s="9" t="s">
        <v>163</v>
      </c>
      <c r="G1071" s="18" t="str">
        <f>IF($F1071="","",IFERROR(INDEX(Items!$B$5:$B$597,MATCH($F1071,Items!$A$5:$A$597,0)),"⚠ not in Items"))</f>
        <v>Documents</v>
      </c>
      <c r="H1071" s="19" t="str">
        <f>IF($F1071="","",IFERROR(INDEX(Items!$C$5:$C$597,MATCH($F1071,Items!$A$5:$A$597,0)),""))</f>
        <v>Standard</v>
      </c>
      <c r="I1071" s="23">
        <f>IF($F1071="","",IFERROR(INDEX(Items!$E$5:$E$597,MATCH($F1071,Items!$A$5:$A$597,0)),""))</f>
        <v>20</v>
      </c>
      <c r="J1071" s="115">
        <f>IF(tblIssues[[#This Row],[Qty Override]]&lt;&gt;"",tblIssues[[#This Row],[Qty Override]],IF(tblIssues[[#This Row],[Standard Issue]]="","",tblIssues[[#This Row],[Standard Issue]]))</f>
        <v>20</v>
      </c>
      <c r="K1071" s="20">
        <f>IF($F1071="","",IFERROR(INDEX(Items!$D$5:$D$597,MATCH($F1071,Items!$A$5:$A$597,0)),""))</f>
        <v>0</v>
      </c>
      <c r="L1071" s="21">
        <f t="shared" si="184"/>
        <v>0</v>
      </c>
      <c r="M1071" s="9" t="str">
        <f t="shared" si="182"/>
        <v/>
      </c>
      <c r="N1071" s="24">
        <f>IF($A1071="","",WORKDAY($A1071,Settings!$C$9,HolidayDates))</f>
        <v>46183</v>
      </c>
      <c r="O1071" s="24">
        <f>IF($N1071="","",WORKDAY($N1071,Settings!$C$10,HolidayDates))</f>
        <v>46223</v>
      </c>
      <c r="P1071" s="10" t="s">
        <v>502</v>
      </c>
      <c r="Q1071" s="52" t="str">
        <f t="shared" si="185"/>
        <v>Collected</v>
      </c>
      <c r="R1071" s="55" t="str">
        <f t="shared" si="186"/>
        <v>2026-06</v>
      </c>
      <c r="S1071" s="55">
        <f>IF(OR($B1071="",$F1071="",$R1071=""),"",SUMIFS(tblIssues[Qty Issued],tblIssues[Staff ID],$B1071,tblIssues[Item Name],$F1071,tblIssues[Month],$R1071))</f>
        <v>20</v>
      </c>
      <c r="T1071" s="56">
        <f>IF($I1071="","",$I1071*Settings!$C$11)</f>
        <v>20</v>
      </c>
      <c r="U1071" s="57" t="str">
        <f t="shared" si="183"/>
        <v>OK</v>
      </c>
      <c r="V1071" s="55" t="str">
        <f t="shared" si="187"/>
        <v/>
      </c>
      <c r="W1071" s="55" t="str">
        <f>IF($V1071="","",IF(COUNTIF($V$5:$V1071,$V1071)=1,1,""))</f>
        <v/>
      </c>
      <c r="X1071" s="58" t="str">
        <f>IF($W1071="","",MAX($X$4:X1070)+1)</f>
        <v/>
      </c>
      <c r="Y1071" s="62"/>
      <c r="Z1071" s="62"/>
      <c r="AA1071" s="64" t="str">
        <f>IF($C1071="","",IFERROR(INDEX('Staff Directory'!$E$5:$E$594,MATCH($C1071,'Staff Directory'!$B$5:$B$594,0)),""))</f>
        <v>firstname042.lastname042@example.com</v>
      </c>
      <c r="AB1071" s="64" t="str">
        <f>IF($C1071="","",IF(ISNUMBER(SEARCH($D1071,Settings!$C$15)),"Pickup","Dispatch"))</f>
        <v>Dispatch</v>
      </c>
      <c r="AC1071" s="64" t="str">
        <f t="shared" si="188"/>
        <v>Supply order dispatched</v>
      </c>
      <c r="AD1071" s="64" t="str">
        <f t="shared" si="179"/>
        <v>Dear RPN,
Your order has been dispatched and is in transit. Reply if undelivered.</v>
      </c>
      <c r="AE1071" s="64" t="str">
        <f t="shared" si="180"/>
        <v>mailto:firstname042.lastname042@example.com?subject=Supply%20order%20dispatched&amp;body=Dear%20RPN%2C%0A%0AYour%20order%20has%20been%20dispatched%20and%20is%20in%20transit.%20Reply%20if%20undelivered.</v>
      </c>
      <c r="AF1071" s="89" t="str">
        <f t="shared" si="189"/>
        <v>Draft email</v>
      </c>
      <c r="AG1071" s="64" t="str">
        <f>IF($C1071="","",IFERROR(INDEX('Staff Directory'!$K$595:$K$599,MATCH($C1071,'Staff Directory'!$B$5:$B$599,0)),$D1071))</f>
        <v>RPN</v>
      </c>
      <c r="AH1071" t="str">
        <f>IF($C1071="","",IFERROR(INDEX('Staff Directory'!$I$595:$I$599,MATCH($C1071,'Staff Directory'!$B$5:$B$599,0))&amp;" "&amp;INDEX('Staff Directory'!$J$595:$J$599,MATCH($C1071,'Staff Directory'!$B$5:$B$599,0)),$AG1071))</f>
        <v>RPN</v>
      </c>
      <c r="AI1071" s="102"/>
      <c r="AJ1071" s="101">
        <f>IF($F1071="","",SUMIFS($J$5:$J1071,$F$5:$F1071,$F1071))</f>
        <v>20</v>
      </c>
      <c r="AK1071" s="101">
        <f t="shared" si="181"/>
        <v>1</v>
      </c>
      <c r="AL1071" s="66" t="str" cm="1">
        <f t="array" ref="AL1071">IF($F1071="","",IFERROR(INDEX('Lot Balance'!$B$5:$B$500,MATCH(1,INDEX(('Lot Balance'!$A$5:$A$500=$F1071)*('Lot Balance'!$K$5:$K$500&lt;$AK1071)*('Lot Balance'!$K$5:$K$500+'Lot Balance'!$D$5:$D$500&gt;=$AK1071),0),0)),""))</f>
        <v/>
      </c>
      <c r="AM1071" s="66" t="str" cm="1">
        <f t="array" ref="AM1071">IF($F1071="","",IFERROR(INDEX('Lot Balance'!$B$5:$B$500,MATCH(1,INDEX(('Lot Balance'!$A$5:$A$500=$F1071)*('Lot Balance'!$K$5:$K$500&lt;$AJ1071)*('Lot Balance'!$K$5:$K$500+'Lot Balance'!$D$5:$D$500&gt;=$AJ1071),0),0)),""))</f>
        <v/>
      </c>
      <c r="AN1071" s="66" t="str">
        <f>IF($F1071="","",IF($AI1071&lt;&gt;"",IF(COUNTIFS('Lot Balance'!$A$5:$A$500,$F1071,'Lot Balance'!$B$5:$B$500,$AI1071)=0,"⚠ override is not a lot of this item",IF($AI1071=$AL1071,"Override = FEFO","Override - FEFO says "&amp;$AL1071)),IF($AL1071="","⚠ no receipt on file for this item",IF($AM1071&lt;&gt;$AL1071,"FEFO auto - split, also "&amp;$AM1071,"FEFO auto"))))</f>
        <v>⚠ no receipt on file for this item</v>
      </c>
      <c r="AO1071" s="114"/>
    </row>
    <row r="1072" spans="1:41" x14ac:dyDescent="0.35">
      <c r="A1072" s="74">
        <v>46175</v>
      </c>
      <c r="B1072" s="18" t="str">
        <f>IF($C1072="","",IFERROR(INDEX('Staff Directory'!$A$5:$A$594,MATCH($C1072,'Staff Directory'!$B$5:$B$594,0)),"⚠ unknown staff"))</f>
        <v>PSW-171-A4</v>
      </c>
      <c r="C1072" s="49" t="s">
        <v>1150</v>
      </c>
      <c r="D1072" s="19" t="str">
        <f>IF($B1072="","",IFERROR(INDEX('Staff Directory'!$C$5:$C$594,MATCH($B1072,'Staff Directory'!$A$5:$A$594,0)),""))</f>
        <v>PSW</v>
      </c>
      <c r="E1072" s="19" t="str">
        <f>IF($B1072="","",IFERROR(INDEX('Staff Directory'!$D$5:$D$594,MATCH($B1072,'Staff Directory'!$A$5:$A$594,0)),""))</f>
        <v>A4</v>
      </c>
      <c r="F1072" s="9" t="s">
        <v>127</v>
      </c>
      <c r="G1072" s="18" t="str">
        <f>IF($F1072="","",IFERROR(INDEX(Items!$B$5:$B$597,MATCH($F1072,Items!$A$5:$A$597,0)),"⚠ not in Items"))</f>
        <v>Gloves</v>
      </c>
      <c r="H1072" s="19" t="str">
        <f>IF($F1072="","",IFERROR(INDEX(Items!$C$5:$C$597,MATCH($F1072,Items!$A$5:$A$597,0)),""))</f>
        <v>Medium</v>
      </c>
      <c r="I1072" s="23">
        <f>IF($F1072="","",IFERROR(INDEX(Items!$E$5:$E$597,MATCH($F1072,Items!$A$5:$A$597,0)),""))</f>
        <v>500</v>
      </c>
      <c r="J1072" s="115">
        <f>IF(tblIssues[[#This Row],[Qty Override]]&lt;&gt;"",tblIssues[[#This Row],[Qty Override]],IF(tblIssues[[#This Row],[Standard Issue]]="","",tblIssues[[#This Row],[Standard Issue]]))</f>
        <v>500</v>
      </c>
      <c r="K1072" s="20">
        <f>IF($F1072="","",IFERROR(INDEX(Items!$D$5:$D$597,MATCH($F1072,Items!$A$5:$A$597,0)),""))</f>
        <v>5.5E-2</v>
      </c>
      <c r="L1072" s="21">
        <f t="shared" si="184"/>
        <v>27.5</v>
      </c>
      <c r="M1072" s="9" t="str">
        <f t="shared" si="182"/>
        <v>ZIM510137962-0</v>
      </c>
      <c r="N1072" s="24">
        <f>IF($A1072="","",WORKDAY($A1072,Settings!$C$9,HolidayDates))</f>
        <v>46183</v>
      </c>
      <c r="O1072" s="24">
        <f>IF($N1072="","",WORKDAY($N1072,Settings!$C$10,HolidayDates))</f>
        <v>46223</v>
      </c>
      <c r="P1072" s="10" t="s">
        <v>501</v>
      </c>
      <c r="Q1072" s="52" t="str">
        <f t="shared" si="185"/>
        <v>Collected</v>
      </c>
      <c r="R1072" s="55" t="str">
        <f t="shared" si="186"/>
        <v>2026-06</v>
      </c>
      <c r="S1072" s="55">
        <f>IF(OR($B1072="",$F1072="",$R1072=""),"",SUMIFS(tblIssues[Qty Issued],tblIssues[Staff ID],$B1072,tblIssues[Item Name],$F1072,tblIssues[Month],$R1072))</f>
        <v>500</v>
      </c>
      <c r="T1072" s="56">
        <f>IF($I1072="","",$I1072*Settings!$C$11)</f>
        <v>500</v>
      </c>
      <c r="U1072" s="57" t="str">
        <f t="shared" si="183"/>
        <v>OK</v>
      </c>
      <c r="V1072" s="55" t="str">
        <f t="shared" si="187"/>
        <v/>
      </c>
      <c r="W1072" s="55" t="str">
        <f>IF($V1072="","",IF(COUNTIF($V$5:$V1072,$V1072)=1,1,""))</f>
        <v/>
      </c>
      <c r="X1072" s="58" t="str">
        <f>IF($W1072="","",MAX($X$4:X1071)+1)</f>
        <v/>
      </c>
      <c r="Y1072" s="62"/>
      <c r="Z1072" s="62"/>
      <c r="AA1072" s="64" t="str">
        <f>IF($C1072="","",IFERROR(INDEX('Staff Directory'!$E$5:$E$594,MATCH($C1072,'Staff Directory'!$B$5:$B$594,0)),""))</f>
        <v>firstname234.lastname234@example.com</v>
      </c>
      <c r="AB1072" s="64" t="str">
        <f>IF($C1072="","",IF(ISNUMBER(SEARCH($D1072,Settings!$C$15)),"Pickup","Dispatch"))</f>
        <v>Pickup</v>
      </c>
      <c r="AC1072" s="64" t="str">
        <f t="shared" si="188"/>
        <v>Supply order ready for pickup</v>
      </c>
      <c r="AD1072" s="64" t="str">
        <f t="shared" si="179"/>
        <v>Dear PSW,
Your order is ready for pickup from Sample Branch, Wed-Fri 9am-4pm.</v>
      </c>
      <c r="AE1072" s="64" t="str">
        <f t="shared" si="180"/>
        <v>mailto:firstname234.lastname234@example.com?subject=Supply%20order%20ready%20for%20pickup&amp;body=Dear%20PSW%2C%0A%0AYour%20order%20is%20ready%20for%20pickup%20from%20Sample%20Branch%2C%20Wed-Fri%209am-4pm.</v>
      </c>
      <c r="AF1072" s="89" t="str">
        <f t="shared" si="189"/>
        <v>Draft email</v>
      </c>
      <c r="AG1072" s="64" t="str">
        <f>IF($C1072="","",IFERROR(INDEX('Staff Directory'!$K$595:$K$599,MATCH($C1072,'Staff Directory'!$B$5:$B$599,0)),$D1072))</f>
        <v>PSW</v>
      </c>
      <c r="AH1072" t="str">
        <f>IF($C1072="","",IFERROR(INDEX('Staff Directory'!$I$595:$I$599,MATCH($C1072,'Staff Directory'!$B$5:$B$599,0))&amp;" "&amp;INDEX('Staff Directory'!$J$595:$J$599,MATCH($C1072,'Staff Directory'!$B$5:$B$599,0)),$AG1072))</f>
        <v>PSW</v>
      </c>
      <c r="AI1072" s="102"/>
      <c r="AJ1072" s="101">
        <f>IF($F1072="","",SUMIFS($J$5:$J1072,$F$5:$F1072,$F1072))</f>
        <v>60500</v>
      </c>
      <c r="AK1072" s="101">
        <f t="shared" si="181"/>
        <v>60001</v>
      </c>
      <c r="AL1072" s="66" t="str" cm="1">
        <f t="array" ref="AL1072">IF($F1072="","",IFERROR(INDEX('Lot Balance'!$B$5:$B$500,MATCH(1,INDEX(('Lot Balance'!$A$5:$A$500=$F1072)*('Lot Balance'!$K$5:$K$500&lt;$AK1072)*('Lot Balance'!$K$5:$K$500+'Lot Balance'!$D$5:$D$500&gt;=$AK1072),0),0)),""))</f>
        <v>ZIM510137962-0</v>
      </c>
      <c r="AM1072" s="66" t="str" cm="1">
        <f t="array" ref="AM1072">IF($F1072="","",IFERROR(INDEX('Lot Balance'!$B$5:$B$500,MATCH(1,INDEX(('Lot Balance'!$A$5:$A$500=$F1072)*('Lot Balance'!$K$5:$K$500&lt;$AJ1072)*('Lot Balance'!$K$5:$K$500+'Lot Balance'!$D$5:$D$500&gt;=$AJ1072),0),0)),""))</f>
        <v>ZIM510137962-0</v>
      </c>
      <c r="AN1072" s="66" t="str">
        <f>IF($F1072="","",IF($AI1072&lt;&gt;"",IF(COUNTIFS('Lot Balance'!$A$5:$A$500,$F1072,'Lot Balance'!$B$5:$B$500,$AI1072)=0,"⚠ override is not a lot of this item",IF($AI1072=$AL1072,"Override = FEFO","Override - FEFO says "&amp;$AL1072)),IF($AL1072="","⚠ no receipt on file for this item",IF($AM1072&lt;&gt;$AL1072,"FEFO auto - split, also "&amp;$AM1072,"FEFO auto"))))</f>
        <v>FEFO auto</v>
      </c>
      <c r="AO1072" s="114"/>
    </row>
    <row r="1073" spans="1:41" x14ac:dyDescent="0.35">
      <c r="A1073" s="74">
        <v>46175</v>
      </c>
      <c r="B1073" s="18" t="str">
        <f>IF($C1073="","",IFERROR(INDEX('Staff Directory'!$A$5:$A$594,MATCH($C1073,'Staff Directory'!$B$5:$B$594,0)),"⚠ unknown staff"))</f>
        <v>PSW-171-A4</v>
      </c>
      <c r="C1073" s="49" t="s">
        <v>1150</v>
      </c>
      <c r="D1073" s="19" t="str">
        <f>IF($B1073="","",IFERROR(INDEX('Staff Directory'!$C$5:$C$594,MATCH($B1073,'Staff Directory'!$A$5:$A$594,0)),""))</f>
        <v>PSW</v>
      </c>
      <c r="E1073" s="19" t="str">
        <f>IF($B1073="","",IFERROR(INDEX('Staff Directory'!$D$5:$D$594,MATCH($B1073,'Staff Directory'!$A$5:$A$594,0)),""))</f>
        <v>A4</v>
      </c>
      <c r="F1073" s="9" t="s">
        <v>191</v>
      </c>
      <c r="G1073" s="18" t="str">
        <f>IF($F1073="","",IFERROR(INDEX(Items!$B$5:$B$597,MATCH($F1073,Items!$A$5:$A$597,0)),"⚠ not in Items"))</f>
        <v>Sanitizer</v>
      </c>
      <c r="H1073" s="19" t="str">
        <f>IF($F1073="","",IFERROR(INDEX(Items!$C$5:$C$597,MATCH($F1073,Items!$A$5:$A$597,0)),""))</f>
        <v>236 ML</v>
      </c>
      <c r="I1073" s="23">
        <f>IF($F1073="","",IFERROR(INDEX(Items!$E$5:$E$597,MATCH($F1073,Items!$A$5:$A$597,0)),""))</f>
        <v>1</v>
      </c>
      <c r="J1073" s="115">
        <f>IF(tblIssues[[#This Row],[Qty Override]]&lt;&gt;"",tblIssues[[#This Row],[Qty Override]],IF(tblIssues[[#This Row],[Standard Issue]]="","",tblIssues[[#This Row],[Standard Issue]]))</f>
        <v>1</v>
      </c>
      <c r="K1073" s="20">
        <f>IF($F1073="","",IFERROR(INDEX(Items!$D$5:$D$597,MATCH($F1073,Items!$A$5:$A$597,0)),""))</f>
        <v>1E-4</v>
      </c>
      <c r="L1073" s="21">
        <f t="shared" si="184"/>
        <v>1E-4</v>
      </c>
      <c r="M1073" s="9" t="str">
        <f t="shared" si="182"/>
        <v>20-21734-4</v>
      </c>
      <c r="N1073" s="24">
        <f>IF($A1073="","",WORKDAY($A1073,Settings!$C$9,HolidayDates))</f>
        <v>46183</v>
      </c>
      <c r="O1073" s="24">
        <f>IF($N1073="","",WORKDAY($N1073,Settings!$C$10,HolidayDates))</f>
        <v>46223</v>
      </c>
      <c r="P1073" s="10" t="s">
        <v>501</v>
      </c>
      <c r="Q1073" s="52" t="str">
        <f t="shared" si="185"/>
        <v>Collected</v>
      </c>
      <c r="R1073" s="55" t="str">
        <f t="shared" si="186"/>
        <v>2026-06</v>
      </c>
      <c r="S1073" s="55">
        <f>IF(OR($B1073="",$F1073="",$R1073=""),"",SUMIFS(tblIssues[Qty Issued],tblIssues[Staff ID],$B1073,tblIssues[Item Name],$F1073,tblIssues[Month],$R1073))</f>
        <v>2</v>
      </c>
      <c r="T1073" s="56">
        <f>IF($I1073="","",$I1073*Settings!$C$11)</f>
        <v>1</v>
      </c>
      <c r="U1073" s="57" t="str">
        <f t="shared" si="183"/>
        <v>⚠ OVER QUOTA</v>
      </c>
      <c r="V1073" s="55" t="str">
        <f t="shared" si="187"/>
        <v>PSW-171-A4 | Hand Sanitizer OS | 2026-06</v>
      </c>
      <c r="W1073" s="55">
        <f>IF($V1073="","",IF(COUNTIF($V$5:$V1073,$V1073)=1,1,""))</f>
        <v>1</v>
      </c>
      <c r="X1073" s="58">
        <f>IF($W1073="","",MAX($X$4:X1072)+1)</f>
        <v>25</v>
      </c>
      <c r="Y1073" s="62"/>
      <c r="Z1073" s="62"/>
      <c r="AA1073" s="64" t="str">
        <f>IF($C1073="","",IFERROR(INDEX('Staff Directory'!$E$5:$E$594,MATCH($C1073,'Staff Directory'!$B$5:$B$594,0)),""))</f>
        <v>firstname234.lastname234@example.com</v>
      </c>
      <c r="AB1073" s="64" t="str">
        <f>IF($C1073="","",IF(ISNUMBER(SEARCH($D1073,Settings!$C$15)),"Pickup","Dispatch"))</f>
        <v>Pickup</v>
      </c>
      <c r="AC1073" s="64" t="str">
        <f t="shared" si="188"/>
        <v>Supply order ready for pickup</v>
      </c>
      <c r="AD1073" s="64" t="str">
        <f t="shared" si="179"/>
        <v>Dear PSW,
Your order is ready for pickup from Sample Branch, Wed-Fri 9am-4pm.</v>
      </c>
      <c r="AE1073" s="64" t="str">
        <f t="shared" si="180"/>
        <v>mailto:firstname234.lastname234@example.com?subject=Supply%20order%20ready%20for%20pickup&amp;body=Dear%20PSW%2C%0A%0AYour%20order%20is%20ready%20for%20pickup%20from%20Sample%20Branch%2C%20Wed-Fri%209am-4pm.</v>
      </c>
      <c r="AF1073" s="89" t="str">
        <f t="shared" si="189"/>
        <v>Draft email</v>
      </c>
      <c r="AG1073" s="64" t="str">
        <f>IF($C1073="","",IFERROR(INDEX('Staff Directory'!$K$595:$K$599,MATCH($C1073,'Staff Directory'!$B$5:$B$599,0)),$D1073))</f>
        <v>PSW</v>
      </c>
      <c r="AH1073" t="str">
        <f>IF($C1073="","",IFERROR(INDEX('Staff Directory'!$I$595:$I$599,MATCH($C1073,'Staff Directory'!$B$5:$B$599,0))&amp;" "&amp;INDEX('Staff Directory'!$J$595:$J$599,MATCH($C1073,'Staff Directory'!$B$5:$B$599,0)),$AG1073))</f>
        <v>PSW</v>
      </c>
      <c r="AI1073" s="102"/>
      <c r="AJ1073" s="101">
        <f>IF($F1073="","",SUMIFS($J$5:$J1073,$F$5:$F1073,$F1073))</f>
        <v>126</v>
      </c>
      <c r="AK1073" s="101">
        <f t="shared" si="181"/>
        <v>126</v>
      </c>
      <c r="AL1073" s="66" t="str" cm="1">
        <f t="array" ref="AL1073">IF($F1073="","",IFERROR(INDEX('Lot Balance'!$B$5:$B$500,MATCH(1,INDEX(('Lot Balance'!$A$5:$A$500=$F1073)*('Lot Balance'!$K$5:$K$500&lt;$AK1073)*('Lot Balance'!$K$5:$K$500+'Lot Balance'!$D$5:$D$500&gt;=$AK1073),0),0)),""))</f>
        <v>20-21734-4</v>
      </c>
      <c r="AM1073" s="66" t="str" cm="1">
        <f t="array" ref="AM1073">IF($F1073="","",IFERROR(INDEX('Lot Balance'!$B$5:$B$500,MATCH(1,INDEX(('Lot Balance'!$A$5:$A$500=$F1073)*('Lot Balance'!$K$5:$K$500&lt;$AJ1073)*('Lot Balance'!$K$5:$K$500+'Lot Balance'!$D$5:$D$500&gt;=$AJ1073),0),0)),""))</f>
        <v>20-21734-4</v>
      </c>
      <c r="AN1073" s="66" t="str">
        <f>IF($F1073="","",IF($AI1073&lt;&gt;"",IF(COUNTIFS('Lot Balance'!$A$5:$A$500,$F1073,'Lot Balance'!$B$5:$B$500,$AI1073)=0,"⚠ override is not a lot of this item",IF($AI1073=$AL1073,"Override = FEFO","Override - FEFO says "&amp;$AL1073)),IF($AL1073="","⚠ no receipt on file for this item",IF($AM1073&lt;&gt;$AL1073,"FEFO auto - split, also "&amp;$AM1073,"FEFO auto"))))</f>
        <v>FEFO auto</v>
      </c>
      <c r="AO1073" s="114"/>
    </row>
    <row r="1074" spans="1:41" x14ac:dyDescent="0.35">
      <c r="A1074" s="74">
        <v>46175</v>
      </c>
      <c r="B1074" s="18" t="str">
        <f>IF($C1074="","",IFERROR(INDEX('Staff Directory'!$A$5:$A$594,MATCH($C1074,'Staff Directory'!$B$5:$B$594,0)),"⚠ unknown staff"))</f>
        <v>PSW-171-A4</v>
      </c>
      <c r="C1074" s="49" t="s">
        <v>1150</v>
      </c>
      <c r="D1074" s="19" t="str">
        <f>IF($B1074="","",IFERROR(INDEX('Staff Directory'!$C$5:$C$594,MATCH($B1074,'Staff Directory'!$A$5:$A$594,0)),""))</f>
        <v>PSW</v>
      </c>
      <c r="E1074" s="19" t="str">
        <f>IF($B1074="","",IFERROR(INDEX('Staff Directory'!$D$5:$D$594,MATCH($B1074,'Staff Directory'!$A$5:$A$594,0)),""))</f>
        <v>A4</v>
      </c>
      <c r="F1074" s="9" t="s">
        <v>191</v>
      </c>
      <c r="G1074" s="18" t="str">
        <f>IF($F1074="","",IFERROR(INDEX(Items!$B$5:$B$597,MATCH($F1074,Items!$A$5:$A$597,0)),"⚠ not in Items"))</f>
        <v>Sanitizer</v>
      </c>
      <c r="H1074" s="19" t="str">
        <f>IF($F1074="","",IFERROR(INDEX(Items!$C$5:$C$597,MATCH($F1074,Items!$A$5:$A$597,0)),""))</f>
        <v>236 ML</v>
      </c>
      <c r="I1074" s="23">
        <f>IF($F1074="","",IFERROR(INDEX(Items!$E$5:$E$597,MATCH($F1074,Items!$A$5:$A$597,0)),""))</f>
        <v>1</v>
      </c>
      <c r="J1074" s="115">
        <f>IF(tblIssues[[#This Row],[Qty Override]]&lt;&gt;"",tblIssues[[#This Row],[Qty Override]],IF(tblIssues[[#This Row],[Standard Issue]]="","",tblIssues[[#This Row],[Standard Issue]]))</f>
        <v>1</v>
      </c>
      <c r="K1074" s="20">
        <f>IF($F1074="","",IFERROR(INDEX(Items!$D$5:$D$597,MATCH($F1074,Items!$A$5:$A$597,0)),""))</f>
        <v>1E-4</v>
      </c>
      <c r="L1074" s="21">
        <f t="shared" si="184"/>
        <v>1E-4</v>
      </c>
      <c r="M1074" s="9" t="str">
        <f t="shared" si="182"/>
        <v>20-21734-4</v>
      </c>
      <c r="N1074" s="24">
        <f>IF($A1074="","",WORKDAY($A1074,Settings!$C$9,HolidayDates))</f>
        <v>46183</v>
      </c>
      <c r="O1074" s="24">
        <f>IF($N1074="","",WORKDAY($N1074,Settings!$C$10,HolidayDates))</f>
        <v>46223</v>
      </c>
      <c r="P1074" s="10" t="s">
        <v>501</v>
      </c>
      <c r="Q1074" s="52" t="str">
        <f t="shared" si="185"/>
        <v>Collected</v>
      </c>
      <c r="R1074" s="55" t="str">
        <f t="shared" si="186"/>
        <v>2026-06</v>
      </c>
      <c r="S1074" s="55">
        <f>IF(OR($B1074="",$F1074="",$R1074=""),"",SUMIFS(tblIssues[Qty Issued],tblIssues[Staff ID],$B1074,tblIssues[Item Name],$F1074,tblIssues[Month],$R1074))</f>
        <v>2</v>
      </c>
      <c r="T1074" s="56">
        <f>IF($I1074="","",$I1074*Settings!$C$11)</f>
        <v>1</v>
      </c>
      <c r="U1074" s="57" t="str">
        <f t="shared" si="183"/>
        <v>⚠ OVER QUOTA</v>
      </c>
      <c r="V1074" s="55" t="str">
        <f t="shared" si="187"/>
        <v>PSW-171-A4 | Hand Sanitizer OS | 2026-06</v>
      </c>
      <c r="W1074" s="55" t="str">
        <f>IF($V1074="","",IF(COUNTIF($V$5:$V1074,$V1074)=1,1,""))</f>
        <v/>
      </c>
      <c r="X1074" s="58" t="str">
        <f>IF($W1074="","",MAX($X$4:X1073)+1)</f>
        <v/>
      </c>
      <c r="Y1074" s="62"/>
      <c r="Z1074" s="62"/>
      <c r="AA1074" s="64" t="str">
        <f>IF($C1074="","",IFERROR(INDEX('Staff Directory'!$E$5:$E$594,MATCH($C1074,'Staff Directory'!$B$5:$B$594,0)),""))</f>
        <v>firstname234.lastname234@example.com</v>
      </c>
      <c r="AB1074" s="64" t="str">
        <f>IF($C1074="","",IF(ISNUMBER(SEARCH($D1074,Settings!$C$15)),"Pickup","Dispatch"))</f>
        <v>Pickup</v>
      </c>
      <c r="AC1074" s="64" t="str">
        <f t="shared" si="188"/>
        <v>Supply order ready for pickup</v>
      </c>
      <c r="AD1074" s="64" t="str">
        <f t="shared" si="179"/>
        <v>Dear PSW,
Your order is ready for pickup from Sample Branch, Wed-Fri 9am-4pm.</v>
      </c>
      <c r="AE1074" s="64" t="str">
        <f t="shared" si="180"/>
        <v>mailto:firstname234.lastname234@example.com?subject=Supply%20order%20ready%20for%20pickup&amp;body=Dear%20PSW%2C%0A%0AYour%20order%20is%20ready%20for%20pickup%20from%20Sample%20Branch%2C%20Wed-Fri%209am-4pm.</v>
      </c>
      <c r="AF1074" s="89" t="str">
        <f t="shared" si="189"/>
        <v>Draft email</v>
      </c>
      <c r="AG1074" s="64" t="str">
        <f>IF($C1074="","",IFERROR(INDEX('Staff Directory'!$K$595:$K$599,MATCH($C1074,'Staff Directory'!$B$5:$B$599,0)),$D1074))</f>
        <v>PSW</v>
      </c>
      <c r="AH1074" t="str">
        <f>IF($C1074="","",IFERROR(INDEX('Staff Directory'!$I$595:$I$599,MATCH($C1074,'Staff Directory'!$B$5:$B$599,0))&amp;" "&amp;INDEX('Staff Directory'!$J$595:$J$599,MATCH($C1074,'Staff Directory'!$B$5:$B$599,0)),$AG1074))</f>
        <v>PSW</v>
      </c>
      <c r="AI1074" s="102"/>
      <c r="AJ1074" s="101">
        <f>IF($F1074="","",SUMIFS($J$5:$J1074,$F$5:$F1074,$F1074))</f>
        <v>127</v>
      </c>
      <c r="AK1074" s="101">
        <f t="shared" si="181"/>
        <v>127</v>
      </c>
      <c r="AL1074" s="66" t="str" cm="1">
        <f t="array" ref="AL1074">IF($F1074="","",IFERROR(INDEX('Lot Balance'!$B$5:$B$500,MATCH(1,INDEX(('Lot Balance'!$A$5:$A$500=$F1074)*('Lot Balance'!$K$5:$K$500&lt;$AK1074)*('Lot Balance'!$K$5:$K$500+'Lot Balance'!$D$5:$D$500&gt;=$AK1074),0),0)),""))</f>
        <v>20-21734-4</v>
      </c>
      <c r="AM1074" s="66" t="str" cm="1">
        <f t="array" ref="AM1074">IF($F1074="","",IFERROR(INDEX('Lot Balance'!$B$5:$B$500,MATCH(1,INDEX(('Lot Balance'!$A$5:$A$500=$F1074)*('Lot Balance'!$K$5:$K$500&lt;$AJ1074)*('Lot Balance'!$K$5:$K$500+'Lot Balance'!$D$5:$D$500&gt;=$AJ1074),0),0)),""))</f>
        <v>20-21734-4</v>
      </c>
      <c r="AN1074" s="66" t="str">
        <f>IF($F1074="","",IF($AI1074&lt;&gt;"",IF(COUNTIFS('Lot Balance'!$A$5:$A$500,$F1074,'Lot Balance'!$B$5:$B$500,$AI1074)=0,"⚠ override is not a lot of this item",IF($AI1074=$AL1074,"Override = FEFO","Override - FEFO says "&amp;$AL1074)),IF($AL1074="","⚠ no receipt on file for this item",IF($AM1074&lt;&gt;$AL1074,"FEFO auto - split, also "&amp;$AM1074,"FEFO auto"))))</f>
        <v>FEFO auto</v>
      </c>
      <c r="AO1074" s="114"/>
    </row>
    <row r="1075" spans="1:41" x14ac:dyDescent="0.35">
      <c r="A1075" s="74">
        <v>46175</v>
      </c>
      <c r="B1075" s="18" t="str">
        <f>IF($C1075="","",IFERROR(INDEX('Staff Directory'!$A$5:$A$594,MATCH($C1075,'Staff Directory'!$B$5:$B$594,0)),"⚠ unknown staff"))</f>
        <v>PSW-171-A4</v>
      </c>
      <c r="C1075" s="49" t="s">
        <v>1150</v>
      </c>
      <c r="D1075" s="19" t="str">
        <f>IF($B1075="","",IFERROR(INDEX('Staff Directory'!$C$5:$C$594,MATCH($B1075,'Staff Directory'!$A$5:$A$594,0)),""))</f>
        <v>PSW</v>
      </c>
      <c r="E1075" s="19" t="str">
        <f>IF($B1075="","",IFERROR(INDEX('Staff Directory'!$D$5:$D$594,MATCH($B1075,'Staff Directory'!$A$5:$A$594,0)),""))</f>
        <v>A4</v>
      </c>
      <c r="F1075" s="9" t="s">
        <v>115</v>
      </c>
      <c r="G1075" s="18" t="str">
        <f>IF($F1075="","",IFERROR(INDEX(Items!$B$5:$B$597,MATCH($F1075,Items!$A$5:$A$597,0)),"⚠ not in Items"))</f>
        <v>Wipes</v>
      </c>
      <c r="H1075" s="19">
        <f>IF($F1075="","",IFERROR(INDEX(Items!$C$5:$C$597,MATCH($F1075,Items!$A$5:$A$597,0)),""))</f>
        <v>80</v>
      </c>
      <c r="I1075" s="23">
        <f>IF($F1075="","",IFERROR(INDEX(Items!$E$5:$E$597,MATCH($F1075,Items!$A$5:$A$597,0)),""))</f>
        <v>80</v>
      </c>
      <c r="J1075" s="115">
        <f>IF(tblIssues[[#This Row],[Qty Override]]&lt;&gt;"",tblIssues[[#This Row],[Qty Override]],IF(tblIssues[[#This Row],[Standard Issue]]="","",tblIssues[[#This Row],[Standard Issue]]))</f>
        <v>80</v>
      </c>
      <c r="K1075" s="20">
        <f>IF($F1075="","",IFERROR(INDEX(Items!$D$5:$D$597,MATCH($F1075,Items!$A$5:$A$597,0)),""))</f>
        <v>0.1</v>
      </c>
      <c r="L1075" s="21">
        <f t="shared" si="184"/>
        <v>8</v>
      </c>
      <c r="M1075" s="9" t="str">
        <f t="shared" si="182"/>
        <v>LYSL500290</v>
      </c>
      <c r="N1075" s="24">
        <f>IF($A1075="","",WORKDAY($A1075,Settings!$C$9,HolidayDates))</f>
        <v>46183</v>
      </c>
      <c r="O1075" s="24">
        <f>IF($N1075="","",WORKDAY($N1075,Settings!$C$10,HolidayDates))</f>
        <v>46223</v>
      </c>
      <c r="P1075" s="10" t="s">
        <v>501</v>
      </c>
      <c r="Q1075" s="52" t="str">
        <f t="shared" si="185"/>
        <v>Collected</v>
      </c>
      <c r="R1075" s="55" t="str">
        <f t="shared" si="186"/>
        <v>2026-06</v>
      </c>
      <c r="S1075" s="55">
        <f>IF(OR($B1075="",$F1075="",$R1075=""),"",SUMIFS(tblIssues[Qty Issued],tblIssues[Staff ID],$B1075,tblIssues[Item Name],$F1075,tblIssues[Month],$R1075))</f>
        <v>80</v>
      </c>
      <c r="T1075" s="56">
        <f>IF($I1075="","",$I1075*Settings!$C$11)</f>
        <v>80</v>
      </c>
      <c r="U1075" s="57" t="str">
        <f t="shared" si="183"/>
        <v>OK</v>
      </c>
      <c r="V1075" s="55" t="str">
        <f t="shared" si="187"/>
        <v/>
      </c>
      <c r="W1075" s="55" t="str">
        <f>IF($V1075="","",IF(COUNTIF($V$5:$V1075,$V1075)=1,1,""))</f>
        <v/>
      </c>
      <c r="X1075" s="58" t="str">
        <f>IF($W1075="","",MAX($X$4:X1074)+1)</f>
        <v/>
      </c>
      <c r="Y1075" s="62"/>
      <c r="Z1075" s="62"/>
      <c r="AA1075" s="64" t="str">
        <f>IF($C1075="","",IFERROR(INDEX('Staff Directory'!$E$5:$E$594,MATCH($C1075,'Staff Directory'!$B$5:$B$594,0)),""))</f>
        <v>firstname234.lastname234@example.com</v>
      </c>
      <c r="AB1075" s="64" t="str">
        <f>IF($C1075="","",IF(ISNUMBER(SEARCH($D1075,Settings!$C$15)),"Pickup","Dispatch"))</f>
        <v>Pickup</v>
      </c>
      <c r="AC1075" s="64" t="str">
        <f t="shared" si="188"/>
        <v>Supply order ready for pickup</v>
      </c>
      <c r="AD1075" s="64" t="str">
        <f t="shared" si="179"/>
        <v>Dear PSW,
Your order is ready for pickup from Sample Branch, Wed-Fri 9am-4pm.</v>
      </c>
      <c r="AE1075" s="64" t="str">
        <f t="shared" si="180"/>
        <v>mailto:firstname234.lastname234@example.com?subject=Supply%20order%20ready%20for%20pickup&amp;body=Dear%20PSW%2C%0A%0AYour%20order%20is%20ready%20for%20pickup%20from%20Sample%20Branch%2C%20Wed-Fri%209am-4pm.</v>
      </c>
      <c r="AF1075" s="89" t="str">
        <f t="shared" si="189"/>
        <v>Draft email</v>
      </c>
      <c r="AG1075" s="64" t="str">
        <f>IF($C1075="","",IFERROR(INDEX('Staff Directory'!$K$595:$K$599,MATCH($C1075,'Staff Directory'!$B$5:$B$599,0)),$D1075))</f>
        <v>PSW</v>
      </c>
      <c r="AH1075" t="str">
        <f>IF($C1075="","",IFERROR(INDEX('Staff Directory'!$I$595:$I$599,MATCH($C1075,'Staff Directory'!$B$5:$B$599,0))&amp;" "&amp;INDEX('Staff Directory'!$J$595:$J$599,MATCH($C1075,'Staff Directory'!$B$5:$B$599,0)),$AG1075))</f>
        <v>PSW</v>
      </c>
      <c r="AI1075" s="102"/>
      <c r="AJ1075" s="101">
        <f>IF($F1075="","",SUMIFS($J$5:$J1075,$F$5:$F1075,$F1075))</f>
        <v>14320</v>
      </c>
      <c r="AK1075" s="101">
        <f t="shared" si="181"/>
        <v>14241</v>
      </c>
      <c r="AL1075" s="66" t="str" cm="1">
        <f t="array" ref="AL1075">IF($F1075="","",IFERROR(INDEX('Lot Balance'!$B$5:$B$500,MATCH(1,INDEX(('Lot Balance'!$A$5:$A$500=$F1075)*('Lot Balance'!$K$5:$K$500&lt;$AK1075)*('Lot Balance'!$K$5:$K$500+'Lot Balance'!$D$5:$D$500&gt;=$AK1075),0),0)),""))</f>
        <v>LYSL500290</v>
      </c>
      <c r="AM1075" s="66" t="str" cm="1">
        <f t="array" ref="AM1075">IF($F1075="","",IFERROR(INDEX('Lot Balance'!$B$5:$B$500,MATCH(1,INDEX(('Lot Balance'!$A$5:$A$500=$F1075)*('Lot Balance'!$K$5:$K$500&lt;$AJ1075)*('Lot Balance'!$K$5:$K$500+'Lot Balance'!$D$5:$D$500&gt;=$AJ1075),0),0)),""))</f>
        <v>LYSL500290</v>
      </c>
      <c r="AN1075" s="66" t="str">
        <f>IF($F1075="","",IF($AI1075&lt;&gt;"",IF(COUNTIFS('Lot Balance'!$A$5:$A$500,$F1075,'Lot Balance'!$B$5:$B$500,$AI1075)=0,"⚠ override is not a lot of this item",IF($AI1075=$AL1075,"Override = FEFO","Override - FEFO says "&amp;$AL1075)),IF($AL1075="","⚠ no receipt on file for this item",IF($AM1075&lt;&gt;$AL1075,"FEFO auto - split, also "&amp;$AM1075,"FEFO auto"))))</f>
        <v>FEFO auto</v>
      </c>
      <c r="AO1075" s="114"/>
    </row>
    <row r="1076" spans="1:41" x14ac:dyDescent="0.35">
      <c r="A1076" s="74">
        <v>46175</v>
      </c>
      <c r="B1076" s="18" t="str">
        <f>IF($C1076="","",IFERROR(INDEX('Staff Directory'!$A$5:$A$594,MATCH($C1076,'Staff Directory'!$B$5:$B$594,0)),"⚠ unknown staff"))</f>
        <v>PSW-171-A4</v>
      </c>
      <c r="C1076" s="49" t="s">
        <v>1150</v>
      </c>
      <c r="D1076" s="19" t="str">
        <f>IF($B1076="","",IFERROR(INDEX('Staff Directory'!$C$5:$C$594,MATCH($B1076,'Staff Directory'!$A$5:$A$594,0)),""))</f>
        <v>PSW</v>
      </c>
      <c r="E1076" s="19" t="str">
        <f>IF($B1076="","",IFERROR(INDEX('Staff Directory'!$D$5:$D$594,MATCH($B1076,'Staff Directory'!$A$5:$A$594,0)),""))</f>
        <v>A4</v>
      </c>
      <c r="F1076" s="9" t="s">
        <v>156</v>
      </c>
      <c r="G1076" s="18" t="str">
        <f>IF($F1076="","",IFERROR(INDEX(Items!$B$5:$B$597,MATCH($F1076,Items!$A$5:$A$597,0)),"⚠ not in Items"))</f>
        <v>Masks</v>
      </c>
      <c r="H1076" s="19" t="str">
        <f>IF($F1076="","",IFERROR(INDEX(Items!$C$5:$C$597,MATCH($F1076,Items!$A$5:$A$597,0)),""))</f>
        <v>One Size</v>
      </c>
      <c r="I1076" s="23">
        <f>IF($F1076="","",IFERROR(INDEX(Items!$E$5:$E$597,MATCH($F1076,Items!$A$5:$A$597,0)),""))</f>
        <v>50</v>
      </c>
      <c r="J1076" s="115">
        <f>IF(tblIssues[[#This Row],[Qty Override]]&lt;&gt;"",tblIssues[[#This Row],[Qty Override]],IF(tblIssues[[#This Row],[Standard Issue]]="","",tblIssues[[#This Row],[Standard Issue]]))</f>
        <v>50</v>
      </c>
      <c r="K1076" s="20">
        <f>IF($F1076="","",IFERROR(INDEX(Items!$D$5:$D$597,MATCH($F1076,Items!$A$5:$A$597,0)),""))</f>
        <v>0.25</v>
      </c>
      <c r="L1076" s="21">
        <f t="shared" si="184"/>
        <v>12.5</v>
      </c>
      <c r="M1076" s="9" t="str">
        <f t="shared" si="182"/>
        <v>102GPC24</v>
      </c>
      <c r="N1076" s="24">
        <f>IF($A1076="","",WORKDAY($A1076,Settings!$C$9,HolidayDates))</f>
        <v>46183</v>
      </c>
      <c r="O1076" s="24">
        <f>IF($N1076="","",WORKDAY($N1076,Settings!$C$10,HolidayDates))</f>
        <v>46223</v>
      </c>
      <c r="P1076" s="10" t="s">
        <v>501</v>
      </c>
      <c r="Q1076" s="52" t="str">
        <f t="shared" si="185"/>
        <v>Collected</v>
      </c>
      <c r="R1076" s="55" t="str">
        <f t="shared" si="186"/>
        <v>2026-06</v>
      </c>
      <c r="S1076" s="55">
        <f>IF(OR($B1076="",$F1076="",$R1076=""),"",SUMIFS(tblIssues[Qty Issued],tblIssues[Staff ID],$B1076,tblIssues[Item Name],$F1076,tblIssues[Month],$R1076))</f>
        <v>50</v>
      </c>
      <c r="T1076" s="56">
        <f>IF($I1076="","",$I1076*Settings!$C$11)</f>
        <v>50</v>
      </c>
      <c r="U1076" s="57" t="str">
        <f t="shared" si="183"/>
        <v>OK</v>
      </c>
      <c r="V1076" s="55" t="str">
        <f t="shared" si="187"/>
        <v/>
      </c>
      <c r="W1076" s="55" t="str">
        <f>IF($V1076="","",IF(COUNTIF($V$5:$V1076,$V1076)=1,1,""))</f>
        <v/>
      </c>
      <c r="X1076" s="58" t="str">
        <f>IF($W1076="","",MAX($X$4:X1075)+1)</f>
        <v/>
      </c>
      <c r="Y1076" s="62"/>
      <c r="Z1076" s="62"/>
      <c r="AA1076" s="64" t="str">
        <f>IF($C1076="","",IFERROR(INDEX('Staff Directory'!$E$5:$E$594,MATCH($C1076,'Staff Directory'!$B$5:$B$594,0)),""))</f>
        <v>firstname234.lastname234@example.com</v>
      </c>
      <c r="AB1076" s="64" t="str">
        <f>IF($C1076="","",IF(ISNUMBER(SEARCH($D1076,Settings!$C$15)),"Pickup","Dispatch"))</f>
        <v>Pickup</v>
      </c>
      <c r="AC1076" s="64" t="str">
        <f t="shared" si="188"/>
        <v>Supply order ready for pickup</v>
      </c>
      <c r="AD1076" s="64" t="str">
        <f t="shared" si="179"/>
        <v>Dear PSW,
Your order is ready for pickup from Sample Branch, Wed-Fri 9am-4pm.</v>
      </c>
      <c r="AE1076" s="64" t="str">
        <f t="shared" si="180"/>
        <v>mailto:firstname234.lastname234@example.com?subject=Supply%20order%20ready%20for%20pickup&amp;body=Dear%20PSW%2C%0A%0AYour%20order%20is%20ready%20for%20pickup%20from%20Sample%20Branch%2C%20Wed-Fri%209am-4pm.</v>
      </c>
      <c r="AF1076" s="89" t="str">
        <f t="shared" si="189"/>
        <v>Draft email</v>
      </c>
      <c r="AG1076" s="64" t="str">
        <f>IF($C1076="","",IFERROR(INDEX('Staff Directory'!$K$595:$K$599,MATCH($C1076,'Staff Directory'!$B$5:$B$599,0)),$D1076))</f>
        <v>PSW</v>
      </c>
      <c r="AH1076" t="str">
        <f>IF($C1076="","",IFERROR(INDEX('Staff Directory'!$I$595:$I$599,MATCH($C1076,'Staff Directory'!$B$5:$B$599,0))&amp;" "&amp;INDEX('Staff Directory'!$J$595:$J$599,MATCH($C1076,'Staff Directory'!$B$5:$B$599,0)),$AG1076))</f>
        <v>PSW</v>
      </c>
      <c r="AI1076" s="102"/>
      <c r="AJ1076" s="101">
        <f>IF($F1076="","",SUMIFS($J$5:$J1076,$F$5:$F1076,$F1076))</f>
        <v>8650</v>
      </c>
      <c r="AK1076" s="101">
        <f t="shared" si="181"/>
        <v>8601</v>
      </c>
      <c r="AL1076" s="66" t="str" cm="1">
        <f t="array" ref="AL1076">IF($F1076="","",IFERROR(INDEX('Lot Balance'!$B$5:$B$500,MATCH(1,INDEX(('Lot Balance'!$A$5:$A$500=$F1076)*('Lot Balance'!$K$5:$K$500&lt;$AK1076)*('Lot Balance'!$K$5:$K$500+'Lot Balance'!$D$5:$D$500&gt;=$AK1076),0),0)),""))</f>
        <v>102GPC24</v>
      </c>
      <c r="AM1076" s="66" t="str" cm="1">
        <f t="array" ref="AM1076">IF($F1076="","",IFERROR(INDEX('Lot Balance'!$B$5:$B$500,MATCH(1,INDEX(('Lot Balance'!$A$5:$A$500=$F1076)*('Lot Balance'!$K$5:$K$500&lt;$AJ1076)*('Lot Balance'!$K$5:$K$500+'Lot Balance'!$D$5:$D$500&gt;=$AJ1076),0),0)),""))</f>
        <v>102GPC24</v>
      </c>
      <c r="AN1076" s="66" t="str">
        <f>IF($F1076="","",IF($AI1076&lt;&gt;"",IF(COUNTIFS('Lot Balance'!$A$5:$A$500,$F1076,'Lot Balance'!$B$5:$B$500,$AI1076)=0,"⚠ override is not a lot of this item",IF($AI1076=$AL1076,"Override = FEFO","Override - FEFO says "&amp;$AL1076)),IF($AL1076="","⚠ no receipt on file for this item",IF($AM1076&lt;&gt;$AL1076,"FEFO auto - split, also "&amp;$AM1076,"FEFO auto"))))</f>
        <v>FEFO auto</v>
      </c>
      <c r="AO1076" s="114"/>
    </row>
    <row r="1077" spans="1:41" x14ac:dyDescent="0.35">
      <c r="A1077" s="74">
        <v>46175</v>
      </c>
      <c r="B1077" s="18" t="str">
        <f>IF($C1077="","",IFERROR(INDEX('Staff Directory'!$A$5:$A$594,MATCH($C1077,'Staff Directory'!$B$5:$B$594,0)),"⚠ unknown staff"))</f>
        <v>PSW-139-A4</v>
      </c>
      <c r="C1077" s="49" t="s">
        <v>1118</v>
      </c>
      <c r="D1077" s="19" t="str">
        <f>IF($B1077="","",IFERROR(INDEX('Staff Directory'!$C$5:$C$594,MATCH($B1077,'Staff Directory'!$A$5:$A$594,0)),""))</f>
        <v>PSW</v>
      </c>
      <c r="E1077" s="19" t="str">
        <f>IF($B1077="","",IFERROR(INDEX('Staff Directory'!$D$5:$D$594,MATCH($B1077,'Staff Directory'!$A$5:$A$594,0)),""))</f>
        <v>A4</v>
      </c>
      <c r="F1077" s="9" t="s">
        <v>191</v>
      </c>
      <c r="G1077" s="18" t="str">
        <f>IF($F1077="","",IFERROR(INDEX(Items!$B$5:$B$597,MATCH($F1077,Items!$A$5:$A$597,0)),"⚠ not in Items"))</f>
        <v>Sanitizer</v>
      </c>
      <c r="H1077" s="19" t="str">
        <f>IF($F1077="","",IFERROR(INDEX(Items!$C$5:$C$597,MATCH($F1077,Items!$A$5:$A$597,0)),""))</f>
        <v>236 ML</v>
      </c>
      <c r="I1077" s="23">
        <f>IF($F1077="","",IFERROR(INDEX(Items!$E$5:$E$597,MATCH($F1077,Items!$A$5:$A$597,0)),""))</f>
        <v>1</v>
      </c>
      <c r="J1077" s="115">
        <f>IF(tblIssues[[#This Row],[Qty Override]]&lt;&gt;"",tblIssues[[#This Row],[Qty Override]],IF(tblIssues[[#This Row],[Standard Issue]]="","",tblIssues[[#This Row],[Standard Issue]]))</f>
        <v>1</v>
      </c>
      <c r="K1077" s="20">
        <f>IF($F1077="","",IFERROR(INDEX(Items!$D$5:$D$597,MATCH($F1077,Items!$A$5:$A$597,0)),""))</f>
        <v>1E-4</v>
      </c>
      <c r="L1077" s="21">
        <f t="shared" si="184"/>
        <v>1E-4</v>
      </c>
      <c r="M1077" s="9" t="str">
        <f t="shared" si="182"/>
        <v>20-21734-4</v>
      </c>
      <c r="N1077" s="24">
        <f>IF($A1077="","",WORKDAY($A1077,Settings!$C$9,HolidayDates))</f>
        <v>46183</v>
      </c>
      <c r="O1077" s="24">
        <f>IF($N1077="","",WORKDAY($N1077,Settings!$C$10,HolidayDates))</f>
        <v>46223</v>
      </c>
      <c r="P1077" s="10" t="s">
        <v>501</v>
      </c>
      <c r="Q1077" s="52" t="str">
        <f t="shared" si="185"/>
        <v>Collected</v>
      </c>
      <c r="R1077" s="55" t="str">
        <f t="shared" si="186"/>
        <v>2026-06</v>
      </c>
      <c r="S1077" s="55">
        <f>IF(OR($B1077="",$F1077="",$R1077=""),"",SUMIFS(tblIssues[Qty Issued],tblIssues[Staff ID],$B1077,tblIssues[Item Name],$F1077,tblIssues[Month],$R1077))</f>
        <v>2</v>
      </c>
      <c r="T1077" s="56">
        <f>IF($I1077="","",$I1077*Settings!$C$11)</f>
        <v>1</v>
      </c>
      <c r="U1077" s="57" t="str">
        <f t="shared" si="183"/>
        <v>⚠ OVER QUOTA</v>
      </c>
      <c r="V1077" s="55" t="str">
        <f t="shared" si="187"/>
        <v>PSW-139-A4 | Hand Sanitizer OS | 2026-06</v>
      </c>
      <c r="W1077" s="55">
        <f>IF($V1077="","",IF(COUNTIF($V$5:$V1077,$V1077)=1,1,""))</f>
        <v>1</v>
      </c>
      <c r="X1077" s="58">
        <f>IF($W1077="","",MAX($X$4:X1076)+1)</f>
        <v>26</v>
      </c>
      <c r="Y1077" s="62"/>
      <c r="Z1077" s="62"/>
      <c r="AA1077" s="64" t="str">
        <f>IF($C1077="","",IFERROR(INDEX('Staff Directory'!$E$5:$E$594,MATCH($C1077,'Staff Directory'!$B$5:$B$594,0)),""))</f>
        <v>firstname202.lastname202@example.com</v>
      </c>
      <c r="AB1077" s="64" t="str">
        <f>IF($C1077="","",IF(ISNUMBER(SEARCH($D1077,Settings!$C$15)),"Pickup","Dispatch"))</f>
        <v>Pickup</v>
      </c>
      <c r="AC1077" s="64" t="str">
        <f t="shared" si="188"/>
        <v>Supply order ready for pickup</v>
      </c>
      <c r="AD1077" s="64" t="str">
        <f t="shared" si="179"/>
        <v>Dear PSW,
Your order is ready for pickup from Sample Branch, Wed-Fri 9am-4pm.</v>
      </c>
      <c r="AE1077" s="64" t="str">
        <f t="shared" si="180"/>
        <v>mailto:firstname202.lastname202@example.com?subject=Supply%20order%20ready%20for%20pickup&amp;body=Dear%20PSW%2C%0A%0AYour%20order%20is%20ready%20for%20pickup%20from%20Sample%20Branch%2C%20Wed-Fri%209am-4pm.</v>
      </c>
      <c r="AF1077" s="89" t="str">
        <f t="shared" si="189"/>
        <v>Draft email</v>
      </c>
      <c r="AG1077" s="64" t="str">
        <f>IF($C1077="","",IFERROR(INDEX('Staff Directory'!$K$595:$K$599,MATCH($C1077,'Staff Directory'!$B$5:$B$599,0)),$D1077))</f>
        <v>PSW</v>
      </c>
      <c r="AH1077" t="str">
        <f>IF($C1077="","",IFERROR(INDEX('Staff Directory'!$I$595:$I$599,MATCH($C1077,'Staff Directory'!$B$5:$B$599,0))&amp;" "&amp;INDEX('Staff Directory'!$J$595:$J$599,MATCH($C1077,'Staff Directory'!$B$5:$B$599,0)),$AG1077))</f>
        <v>PSW</v>
      </c>
      <c r="AI1077" s="102"/>
      <c r="AJ1077" s="101">
        <f>IF($F1077="","",SUMIFS($J$5:$J1077,$F$5:$F1077,$F1077))</f>
        <v>128</v>
      </c>
      <c r="AK1077" s="101">
        <f t="shared" si="181"/>
        <v>128</v>
      </c>
      <c r="AL1077" s="66" t="str" cm="1">
        <f t="array" ref="AL1077">IF($F1077="","",IFERROR(INDEX('Lot Balance'!$B$5:$B$500,MATCH(1,INDEX(('Lot Balance'!$A$5:$A$500=$F1077)*('Lot Balance'!$K$5:$K$500&lt;$AK1077)*('Lot Balance'!$K$5:$K$500+'Lot Balance'!$D$5:$D$500&gt;=$AK1077),0),0)),""))</f>
        <v>20-21734-4</v>
      </c>
      <c r="AM1077" s="66" t="str" cm="1">
        <f t="array" ref="AM1077">IF($F1077="","",IFERROR(INDEX('Lot Balance'!$B$5:$B$500,MATCH(1,INDEX(('Lot Balance'!$A$5:$A$500=$F1077)*('Lot Balance'!$K$5:$K$500&lt;$AJ1077)*('Lot Balance'!$K$5:$K$500+'Lot Balance'!$D$5:$D$500&gt;=$AJ1077),0),0)),""))</f>
        <v>20-21734-4</v>
      </c>
      <c r="AN1077" s="66" t="str">
        <f>IF($F1077="","",IF($AI1077&lt;&gt;"",IF(COUNTIFS('Lot Balance'!$A$5:$A$500,$F1077,'Lot Balance'!$B$5:$B$500,$AI1077)=0,"⚠ override is not a lot of this item",IF($AI1077=$AL1077,"Override = FEFO","Override - FEFO says "&amp;$AL1077)),IF($AL1077="","⚠ no receipt on file for this item",IF($AM1077&lt;&gt;$AL1077,"FEFO auto - split, also "&amp;$AM1077,"FEFO auto"))))</f>
        <v>FEFO auto</v>
      </c>
      <c r="AO1077" s="114"/>
    </row>
    <row r="1078" spans="1:41" x14ac:dyDescent="0.35">
      <c r="A1078" s="74">
        <v>46175</v>
      </c>
      <c r="B1078" s="18" t="str">
        <f>IF($C1078="","",IFERROR(INDEX('Staff Directory'!$A$5:$A$594,MATCH($C1078,'Staff Directory'!$B$5:$B$594,0)),"⚠ unknown staff"))</f>
        <v>PSW-104-A6</v>
      </c>
      <c r="C1078" s="49" t="s">
        <v>1082</v>
      </c>
      <c r="D1078" s="19" t="str">
        <f>IF($B1078="","",IFERROR(INDEX('Staff Directory'!$C$5:$C$594,MATCH($B1078,'Staff Directory'!$A$5:$A$594,0)),""))</f>
        <v>PSW</v>
      </c>
      <c r="E1078" s="19" t="str">
        <f>IF($B1078="","",IFERROR(INDEX('Staff Directory'!$D$5:$D$594,MATCH($B1078,'Staff Directory'!$A$5:$A$594,0)),""))</f>
        <v>A6</v>
      </c>
      <c r="F1078" s="9" t="s">
        <v>127</v>
      </c>
      <c r="G1078" s="18" t="str">
        <f>IF($F1078="","",IFERROR(INDEX(Items!$B$5:$B$597,MATCH($F1078,Items!$A$5:$A$597,0)),"⚠ not in Items"))</f>
        <v>Gloves</v>
      </c>
      <c r="H1078" s="19" t="str">
        <f>IF($F1078="","",IFERROR(INDEX(Items!$C$5:$C$597,MATCH($F1078,Items!$A$5:$A$597,0)),""))</f>
        <v>Medium</v>
      </c>
      <c r="I1078" s="23">
        <f>IF($F1078="","",IFERROR(INDEX(Items!$E$5:$E$597,MATCH($F1078,Items!$A$5:$A$597,0)),""))</f>
        <v>500</v>
      </c>
      <c r="J1078" s="115">
        <f>IF(tblIssues[[#This Row],[Qty Override]]&lt;&gt;"",tblIssues[[#This Row],[Qty Override]],IF(tblIssues[[#This Row],[Standard Issue]]="","",tblIssues[[#This Row],[Standard Issue]]))</f>
        <v>500</v>
      </c>
      <c r="K1078" s="20">
        <f>IF($F1078="","",IFERROR(INDEX(Items!$D$5:$D$597,MATCH($F1078,Items!$A$5:$A$597,0)),""))</f>
        <v>5.5E-2</v>
      </c>
      <c r="L1078" s="21">
        <f t="shared" si="184"/>
        <v>27.5</v>
      </c>
      <c r="M1078" s="9" t="str">
        <f t="shared" si="182"/>
        <v>ZIM510137962-0</v>
      </c>
      <c r="N1078" s="24">
        <f>IF($A1078="","",WORKDAY($A1078,Settings!$C$9,HolidayDates))</f>
        <v>46183</v>
      </c>
      <c r="O1078" s="24">
        <f>IF($N1078="","",WORKDAY($N1078,Settings!$C$10,HolidayDates))</f>
        <v>46223</v>
      </c>
      <c r="P1078" s="10" t="s">
        <v>501</v>
      </c>
      <c r="Q1078" s="52" t="str">
        <f t="shared" si="185"/>
        <v>Collected</v>
      </c>
      <c r="R1078" s="55" t="str">
        <f t="shared" si="186"/>
        <v>2026-06</v>
      </c>
      <c r="S1078" s="55">
        <f>IF(OR($B1078="",$F1078="",$R1078=""),"",SUMIFS(tblIssues[Qty Issued],tblIssues[Staff ID],$B1078,tblIssues[Item Name],$F1078,tblIssues[Month],$R1078))</f>
        <v>500</v>
      </c>
      <c r="T1078" s="56">
        <f>IF($I1078="","",$I1078*Settings!$C$11)</f>
        <v>500</v>
      </c>
      <c r="U1078" s="57" t="str">
        <f t="shared" si="183"/>
        <v>OK</v>
      </c>
      <c r="V1078" s="55" t="str">
        <f t="shared" si="187"/>
        <v/>
      </c>
      <c r="W1078" s="55" t="str">
        <f>IF($V1078="","",IF(COUNTIF($V$5:$V1078,$V1078)=1,1,""))</f>
        <v/>
      </c>
      <c r="X1078" s="58" t="str">
        <f>IF($W1078="","",MAX($X$4:X1077)+1)</f>
        <v/>
      </c>
      <c r="Y1078" s="62"/>
      <c r="Z1078" s="62"/>
      <c r="AA1078" s="64" t="str">
        <f>IF($C1078="","",IFERROR(INDEX('Staff Directory'!$E$5:$E$594,MATCH($C1078,'Staff Directory'!$B$5:$B$594,0)),""))</f>
        <v>firstname166.lastname166@example.com</v>
      </c>
      <c r="AB1078" s="64" t="str">
        <f>IF($C1078="","",IF(ISNUMBER(SEARCH($D1078,Settings!$C$15)),"Pickup","Dispatch"))</f>
        <v>Pickup</v>
      </c>
      <c r="AC1078" s="64" t="str">
        <f t="shared" si="188"/>
        <v>Supply order ready for pickup</v>
      </c>
      <c r="AD1078" s="64" t="str">
        <f t="shared" si="179"/>
        <v>Dear PSW,
Your order is ready for pickup from Sample Branch, Wed-Fri 9am-4pm.</v>
      </c>
      <c r="AE1078" s="64" t="str">
        <f t="shared" si="180"/>
        <v>mailto:firstname166.lastname166@example.com?subject=Supply%20order%20ready%20for%20pickup&amp;body=Dear%20PSW%2C%0A%0AYour%20order%20is%20ready%20for%20pickup%20from%20Sample%20Branch%2C%20Wed-Fri%209am-4pm.</v>
      </c>
      <c r="AF1078" s="89" t="str">
        <f t="shared" si="189"/>
        <v>Draft email</v>
      </c>
      <c r="AG1078" s="64" t="str">
        <f>IF($C1078="","",IFERROR(INDEX('Staff Directory'!$K$595:$K$599,MATCH($C1078,'Staff Directory'!$B$5:$B$599,0)),$D1078))</f>
        <v>PSW</v>
      </c>
      <c r="AH1078" t="str">
        <f>IF($C1078="","",IFERROR(INDEX('Staff Directory'!$I$595:$I$599,MATCH($C1078,'Staff Directory'!$B$5:$B$599,0))&amp;" "&amp;INDEX('Staff Directory'!$J$595:$J$599,MATCH($C1078,'Staff Directory'!$B$5:$B$599,0)),$AG1078))</f>
        <v>PSW</v>
      </c>
      <c r="AI1078" s="102"/>
      <c r="AJ1078" s="101">
        <f>IF($F1078="","",SUMIFS($J$5:$J1078,$F$5:$F1078,$F1078))</f>
        <v>61000</v>
      </c>
      <c r="AK1078" s="101">
        <f t="shared" si="181"/>
        <v>60501</v>
      </c>
      <c r="AL1078" s="66" t="str" cm="1">
        <f t="array" ref="AL1078">IF($F1078="","",IFERROR(INDEX('Lot Balance'!$B$5:$B$500,MATCH(1,INDEX(('Lot Balance'!$A$5:$A$500=$F1078)*('Lot Balance'!$K$5:$K$500&lt;$AK1078)*('Lot Balance'!$K$5:$K$500+'Lot Balance'!$D$5:$D$500&gt;=$AK1078),0),0)),""))</f>
        <v>ZIM510137962-0</v>
      </c>
      <c r="AM1078" s="66" t="str" cm="1">
        <f t="array" ref="AM1078">IF($F1078="","",IFERROR(INDEX('Lot Balance'!$B$5:$B$500,MATCH(1,INDEX(('Lot Balance'!$A$5:$A$500=$F1078)*('Lot Balance'!$K$5:$K$500&lt;$AJ1078)*('Lot Balance'!$K$5:$K$500+'Lot Balance'!$D$5:$D$500&gt;=$AJ1078),0),0)),""))</f>
        <v>ZIM510137962-0</v>
      </c>
      <c r="AN1078" s="66" t="str">
        <f>IF($F1078="","",IF($AI1078&lt;&gt;"",IF(COUNTIFS('Lot Balance'!$A$5:$A$500,$F1078,'Lot Balance'!$B$5:$B$500,$AI1078)=0,"⚠ override is not a lot of this item",IF($AI1078=$AL1078,"Override = FEFO","Override - FEFO says "&amp;$AL1078)),IF($AL1078="","⚠ no receipt on file for this item",IF($AM1078&lt;&gt;$AL1078,"FEFO auto - split, also "&amp;$AM1078,"FEFO auto"))))</f>
        <v>FEFO auto</v>
      </c>
      <c r="AO1078" s="114"/>
    </row>
    <row r="1079" spans="1:41" x14ac:dyDescent="0.35">
      <c r="A1079" s="74">
        <v>46175</v>
      </c>
      <c r="B1079" s="18" t="str">
        <f>IF($C1079="","",IFERROR(INDEX('Staff Directory'!$A$5:$A$594,MATCH($C1079,'Staff Directory'!$B$5:$B$594,0)),"⚠ unknown staff"))</f>
        <v>PSW-104-A6</v>
      </c>
      <c r="C1079" s="49" t="s">
        <v>1082</v>
      </c>
      <c r="D1079" s="19" t="str">
        <f>IF($B1079="","",IFERROR(INDEX('Staff Directory'!$C$5:$C$594,MATCH($B1079,'Staff Directory'!$A$5:$A$594,0)),""))</f>
        <v>PSW</v>
      </c>
      <c r="E1079" s="19" t="str">
        <f>IF($B1079="","",IFERROR(INDEX('Staff Directory'!$D$5:$D$594,MATCH($B1079,'Staff Directory'!$A$5:$A$594,0)),""))</f>
        <v>A6</v>
      </c>
      <c r="F1079" s="9" t="s">
        <v>191</v>
      </c>
      <c r="G1079" s="18" t="str">
        <f>IF($F1079="","",IFERROR(INDEX(Items!$B$5:$B$597,MATCH($F1079,Items!$A$5:$A$597,0)),"⚠ not in Items"))</f>
        <v>Sanitizer</v>
      </c>
      <c r="H1079" s="19" t="str">
        <f>IF($F1079="","",IFERROR(INDEX(Items!$C$5:$C$597,MATCH($F1079,Items!$A$5:$A$597,0)),""))</f>
        <v>236 ML</v>
      </c>
      <c r="I1079" s="23">
        <f>IF($F1079="","",IFERROR(INDEX(Items!$E$5:$E$597,MATCH($F1079,Items!$A$5:$A$597,0)),""))</f>
        <v>1</v>
      </c>
      <c r="J1079" s="115">
        <f>IF(tblIssues[[#This Row],[Qty Override]]&lt;&gt;"",tblIssues[[#This Row],[Qty Override]],IF(tblIssues[[#This Row],[Standard Issue]]="","",tblIssues[[#This Row],[Standard Issue]]))</f>
        <v>1</v>
      </c>
      <c r="K1079" s="20">
        <f>IF($F1079="","",IFERROR(INDEX(Items!$D$5:$D$597,MATCH($F1079,Items!$A$5:$A$597,0)),""))</f>
        <v>1E-4</v>
      </c>
      <c r="L1079" s="21">
        <f t="shared" si="184"/>
        <v>1E-4</v>
      </c>
      <c r="M1079" s="9" t="str">
        <f t="shared" si="182"/>
        <v>20-21734-4</v>
      </c>
      <c r="N1079" s="24">
        <f>IF($A1079="","",WORKDAY($A1079,Settings!$C$9,HolidayDates))</f>
        <v>46183</v>
      </c>
      <c r="O1079" s="24">
        <f>IF($N1079="","",WORKDAY($N1079,Settings!$C$10,HolidayDates))</f>
        <v>46223</v>
      </c>
      <c r="P1079" s="10" t="s">
        <v>501</v>
      </c>
      <c r="Q1079" s="52" t="str">
        <f t="shared" si="185"/>
        <v>Collected</v>
      </c>
      <c r="R1079" s="55" t="str">
        <f t="shared" si="186"/>
        <v>2026-06</v>
      </c>
      <c r="S1079" s="55">
        <f>IF(OR($B1079="",$F1079="",$R1079=""),"",SUMIFS(tblIssues[Qty Issued],tblIssues[Staff ID],$B1079,tblIssues[Item Name],$F1079,tblIssues[Month],$R1079))</f>
        <v>1</v>
      </c>
      <c r="T1079" s="56">
        <f>IF($I1079="","",$I1079*Settings!$C$11)</f>
        <v>1</v>
      </c>
      <c r="U1079" s="57" t="str">
        <f t="shared" si="183"/>
        <v>OK</v>
      </c>
      <c r="V1079" s="55" t="str">
        <f t="shared" si="187"/>
        <v/>
      </c>
      <c r="W1079" s="55" t="str">
        <f>IF($V1079="","",IF(COUNTIF($V$5:$V1079,$V1079)=1,1,""))</f>
        <v/>
      </c>
      <c r="X1079" s="58" t="str">
        <f>IF($W1079="","",MAX($X$4:X1078)+1)</f>
        <v/>
      </c>
      <c r="Y1079" s="62"/>
      <c r="Z1079" s="62"/>
      <c r="AA1079" s="64" t="str">
        <f>IF($C1079="","",IFERROR(INDEX('Staff Directory'!$E$5:$E$594,MATCH($C1079,'Staff Directory'!$B$5:$B$594,0)),""))</f>
        <v>firstname166.lastname166@example.com</v>
      </c>
      <c r="AB1079" s="64" t="str">
        <f>IF($C1079="","",IF(ISNUMBER(SEARCH($D1079,Settings!$C$15)),"Pickup","Dispatch"))</f>
        <v>Pickup</v>
      </c>
      <c r="AC1079" s="64" t="str">
        <f t="shared" si="188"/>
        <v>Supply order ready for pickup</v>
      </c>
      <c r="AD1079" s="64" t="str">
        <f t="shared" si="179"/>
        <v>Dear PSW,
Your order is ready for pickup from Sample Branch, Wed-Fri 9am-4pm.</v>
      </c>
      <c r="AE1079" s="64" t="str">
        <f t="shared" si="180"/>
        <v>mailto:firstname166.lastname166@example.com?subject=Supply%20order%20ready%20for%20pickup&amp;body=Dear%20PSW%2C%0A%0AYour%20order%20is%20ready%20for%20pickup%20from%20Sample%20Branch%2C%20Wed-Fri%209am-4pm.</v>
      </c>
      <c r="AF1079" s="89" t="str">
        <f t="shared" si="189"/>
        <v>Draft email</v>
      </c>
      <c r="AG1079" s="64" t="str">
        <f>IF($C1079="","",IFERROR(INDEX('Staff Directory'!$K$595:$K$599,MATCH($C1079,'Staff Directory'!$B$5:$B$599,0)),$D1079))</f>
        <v>PSW</v>
      </c>
      <c r="AH1079" t="str">
        <f>IF($C1079="","",IFERROR(INDEX('Staff Directory'!$I$595:$I$599,MATCH($C1079,'Staff Directory'!$B$5:$B$599,0))&amp;" "&amp;INDEX('Staff Directory'!$J$595:$J$599,MATCH($C1079,'Staff Directory'!$B$5:$B$599,0)),$AG1079))</f>
        <v>PSW</v>
      </c>
      <c r="AI1079" s="102"/>
      <c r="AJ1079" s="101">
        <f>IF($F1079="","",SUMIFS($J$5:$J1079,$F$5:$F1079,$F1079))</f>
        <v>129</v>
      </c>
      <c r="AK1079" s="101">
        <f t="shared" si="181"/>
        <v>129</v>
      </c>
      <c r="AL1079" s="66" t="str" cm="1">
        <f t="array" ref="AL1079">IF($F1079="","",IFERROR(INDEX('Lot Balance'!$B$5:$B$500,MATCH(1,INDEX(('Lot Balance'!$A$5:$A$500=$F1079)*('Lot Balance'!$K$5:$K$500&lt;$AK1079)*('Lot Balance'!$K$5:$K$500+'Lot Balance'!$D$5:$D$500&gt;=$AK1079),0),0)),""))</f>
        <v>20-21734-4</v>
      </c>
      <c r="AM1079" s="66" t="str" cm="1">
        <f t="array" ref="AM1079">IF($F1079="","",IFERROR(INDEX('Lot Balance'!$B$5:$B$500,MATCH(1,INDEX(('Lot Balance'!$A$5:$A$500=$F1079)*('Lot Balance'!$K$5:$K$500&lt;$AJ1079)*('Lot Balance'!$K$5:$K$500+'Lot Balance'!$D$5:$D$500&gt;=$AJ1079),0),0)),""))</f>
        <v>20-21734-4</v>
      </c>
      <c r="AN1079" s="66" t="str">
        <f>IF($F1079="","",IF($AI1079&lt;&gt;"",IF(COUNTIFS('Lot Balance'!$A$5:$A$500,$F1079,'Lot Balance'!$B$5:$B$500,$AI1079)=0,"⚠ override is not a lot of this item",IF($AI1079=$AL1079,"Override = FEFO","Override - FEFO says "&amp;$AL1079)),IF($AL1079="","⚠ no receipt on file for this item",IF($AM1079&lt;&gt;$AL1079,"FEFO auto - split, also "&amp;$AM1079,"FEFO auto"))))</f>
        <v>FEFO auto</v>
      </c>
      <c r="AO1079" s="114"/>
    </row>
    <row r="1080" spans="1:41" x14ac:dyDescent="0.35">
      <c r="A1080" s="74">
        <v>46175</v>
      </c>
      <c r="B1080" s="18" t="str">
        <f>IF($C1080="","",IFERROR(INDEX('Staff Directory'!$A$5:$A$594,MATCH($C1080,'Staff Directory'!$B$5:$B$594,0)),"⚠ unknown staff"))</f>
        <v>PSW-104-A6</v>
      </c>
      <c r="C1080" s="49" t="s">
        <v>1082</v>
      </c>
      <c r="D1080" s="19" t="str">
        <f>IF($B1080="","",IFERROR(INDEX('Staff Directory'!$C$5:$C$594,MATCH($B1080,'Staff Directory'!$A$5:$A$594,0)),""))</f>
        <v>PSW</v>
      </c>
      <c r="E1080" s="19" t="str">
        <f>IF($B1080="","",IFERROR(INDEX('Staff Directory'!$D$5:$D$594,MATCH($B1080,'Staff Directory'!$A$5:$A$594,0)),""))</f>
        <v>A6</v>
      </c>
      <c r="F1080" s="9" t="s">
        <v>115</v>
      </c>
      <c r="G1080" s="18" t="str">
        <f>IF($F1080="","",IFERROR(INDEX(Items!$B$5:$B$597,MATCH($F1080,Items!$A$5:$A$597,0)),"⚠ not in Items"))</f>
        <v>Wipes</v>
      </c>
      <c r="H1080" s="19">
        <f>IF($F1080="","",IFERROR(INDEX(Items!$C$5:$C$597,MATCH($F1080,Items!$A$5:$A$597,0)),""))</f>
        <v>80</v>
      </c>
      <c r="I1080" s="23">
        <f>IF($F1080="","",IFERROR(INDEX(Items!$E$5:$E$597,MATCH($F1080,Items!$A$5:$A$597,0)),""))</f>
        <v>80</v>
      </c>
      <c r="J1080" s="115">
        <f>IF(tblIssues[[#This Row],[Qty Override]]&lt;&gt;"",tblIssues[[#This Row],[Qty Override]],IF(tblIssues[[#This Row],[Standard Issue]]="","",tblIssues[[#This Row],[Standard Issue]]))</f>
        <v>80</v>
      </c>
      <c r="K1080" s="20">
        <f>IF($F1080="","",IFERROR(INDEX(Items!$D$5:$D$597,MATCH($F1080,Items!$A$5:$A$597,0)),""))</f>
        <v>0.1</v>
      </c>
      <c r="L1080" s="21">
        <f t="shared" si="184"/>
        <v>8</v>
      </c>
      <c r="M1080" s="9" t="str">
        <f t="shared" si="182"/>
        <v>LYSL500290</v>
      </c>
      <c r="N1080" s="24">
        <f>IF($A1080="","",WORKDAY($A1080,Settings!$C$9,HolidayDates))</f>
        <v>46183</v>
      </c>
      <c r="O1080" s="24">
        <f>IF($N1080="","",WORKDAY($N1080,Settings!$C$10,HolidayDates))</f>
        <v>46223</v>
      </c>
      <c r="P1080" s="10" t="s">
        <v>501</v>
      </c>
      <c r="Q1080" s="52" t="str">
        <f t="shared" si="185"/>
        <v>Collected</v>
      </c>
      <c r="R1080" s="55" t="str">
        <f t="shared" si="186"/>
        <v>2026-06</v>
      </c>
      <c r="S1080" s="55">
        <f>IF(OR($B1080="",$F1080="",$R1080=""),"",SUMIFS(tblIssues[Qty Issued],tblIssues[Staff ID],$B1080,tblIssues[Item Name],$F1080,tblIssues[Month],$R1080))</f>
        <v>80</v>
      </c>
      <c r="T1080" s="56">
        <f>IF($I1080="","",$I1080*Settings!$C$11)</f>
        <v>80</v>
      </c>
      <c r="U1080" s="57" t="str">
        <f t="shared" si="183"/>
        <v>OK</v>
      </c>
      <c r="V1080" s="55" t="str">
        <f t="shared" si="187"/>
        <v/>
      </c>
      <c r="W1080" s="55" t="str">
        <f>IF($V1080="","",IF(COUNTIF($V$5:$V1080,$V1080)=1,1,""))</f>
        <v/>
      </c>
      <c r="X1080" s="58" t="str">
        <f>IF($W1080="","",MAX($X$4:X1079)+1)</f>
        <v/>
      </c>
      <c r="Y1080" s="62"/>
      <c r="Z1080" s="62"/>
      <c r="AA1080" s="64" t="str">
        <f>IF($C1080="","",IFERROR(INDEX('Staff Directory'!$E$5:$E$594,MATCH($C1080,'Staff Directory'!$B$5:$B$594,0)),""))</f>
        <v>firstname166.lastname166@example.com</v>
      </c>
      <c r="AB1080" s="64" t="str">
        <f>IF($C1080="","",IF(ISNUMBER(SEARCH($D1080,Settings!$C$15)),"Pickup","Dispatch"))</f>
        <v>Pickup</v>
      </c>
      <c r="AC1080" s="64" t="str">
        <f t="shared" si="188"/>
        <v>Supply order ready for pickup</v>
      </c>
      <c r="AD1080" s="64" t="str">
        <f t="shared" si="179"/>
        <v>Dear PSW,
Your order is ready for pickup from Sample Branch, Wed-Fri 9am-4pm.</v>
      </c>
      <c r="AE1080" s="64" t="str">
        <f t="shared" si="180"/>
        <v>mailto:firstname166.lastname166@example.com?subject=Supply%20order%20ready%20for%20pickup&amp;body=Dear%20PSW%2C%0A%0AYour%20order%20is%20ready%20for%20pickup%20from%20Sample%20Branch%2C%20Wed-Fri%209am-4pm.</v>
      </c>
      <c r="AF1080" s="89" t="str">
        <f t="shared" si="189"/>
        <v>Draft email</v>
      </c>
      <c r="AG1080" s="64" t="str">
        <f>IF($C1080="","",IFERROR(INDEX('Staff Directory'!$K$595:$K$599,MATCH($C1080,'Staff Directory'!$B$5:$B$599,0)),$D1080))</f>
        <v>PSW</v>
      </c>
      <c r="AH1080" t="str">
        <f>IF($C1080="","",IFERROR(INDEX('Staff Directory'!$I$595:$I$599,MATCH($C1080,'Staff Directory'!$B$5:$B$599,0))&amp;" "&amp;INDEX('Staff Directory'!$J$595:$J$599,MATCH($C1080,'Staff Directory'!$B$5:$B$599,0)),$AG1080))</f>
        <v>PSW</v>
      </c>
      <c r="AI1080" s="102"/>
      <c r="AJ1080" s="101">
        <f>IF($F1080="","",SUMIFS($J$5:$J1080,$F$5:$F1080,$F1080))</f>
        <v>14400</v>
      </c>
      <c r="AK1080" s="101">
        <f t="shared" si="181"/>
        <v>14321</v>
      </c>
      <c r="AL1080" s="66" t="str" cm="1">
        <f t="array" ref="AL1080">IF($F1080="","",IFERROR(INDEX('Lot Balance'!$B$5:$B$500,MATCH(1,INDEX(('Lot Balance'!$A$5:$A$500=$F1080)*('Lot Balance'!$K$5:$K$500&lt;$AK1080)*('Lot Balance'!$K$5:$K$500+'Lot Balance'!$D$5:$D$500&gt;=$AK1080),0),0)),""))</f>
        <v>LYSL500290</v>
      </c>
      <c r="AM1080" s="66" t="str" cm="1">
        <f t="array" ref="AM1080">IF($F1080="","",IFERROR(INDEX('Lot Balance'!$B$5:$B$500,MATCH(1,INDEX(('Lot Balance'!$A$5:$A$500=$F1080)*('Lot Balance'!$K$5:$K$500&lt;$AJ1080)*('Lot Balance'!$K$5:$K$500+'Lot Balance'!$D$5:$D$500&gt;=$AJ1080),0),0)),""))</f>
        <v>LYSL500290</v>
      </c>
      <c r="AN1080" s="66" t="str">
        <f>IF($F1080="","",IF($AI1080&lt;&gt;"",IF(COUNTIFS('Lot Balance'!$A$5:$A$500,$F1080,'Lot Balance'!$B$5:$B$500,$AI1080)=0,"⚠ override is not a lot of this item",IF($AI1080=$AL1080,"Override = FEFO","Override - FEFO says "&amp;$AL1080)),IF($AL1080="","⚠ no receipt on file for this item",IF($AM1080&lt;&gt;$AL1080,"FEFO auto - split, also "&amp;$AM1080,"FEFO auto"))))</f>
        <v>FEFO auto</v>
      </c>
      <c r="AO1080" s="114"/>
    </row>
    <row r="1081" spans="1:41" x14ac:dyDescent="0.35">
      <c r="A1081" s="74">
        <v>46175</v>
      </c>
      <c r="B1081" s="18" t="str">
        <f>IF($C1081="","",IFERROR(INDEX('Staff Directory'!$A$5:$A$594,MATCH($C1081,'Staff Directory'!$B$5:$B$594,0)),"⚠ unknown staff"))</f>
        <v>PSW-104-A6</v>
      </c>
      <c r="C1081" s="49" t="s">
        <v>1082</v>
      </c>
      <c r="D1081" s="19" t="str">
        <f>IF($B1081="","",IFERROR(INDEX('Staff Directory'!$C$5:$C$594,MATCH($B1081,'Staff Directory'!$A$5:$A$594,0)),""))</f>
        <v>PSW</v>
      </c>
      <c r="E1081" s="19" t="str">
        <f>IF($B1081="","",IFERROR(INDEX('Staff Directory'!$D$5:$D$594,MATCH($B1081,'Staff Directory'!$A$5:$A$594,0)),""))</f>
        <v>A6</v>
      </c>
      <c r="F1081" s="9" t="s">
        <v>156</v>
      </c>
      <c r="G1081" s="18" t="str">
        <f>IF($F1081="","",IFERROR(INDEX(Items!$B$5:$B$597,MATCH($F1081,Items!$A$5:$A$597,0)),"⚠ not in Items"))</f>
        <v>Masks</v>
      </c>
      <c r="H1081" s="19" t="str">
        <f>IF($F1081="","",IFERROR(INDEX(Items!$C$5:$C$597,MATCH($F1081,Items!$A$5:$A$597,0)),""))</f>
        <v>One Size</v>
      </c>
      <c r="I1081" s="23">
        <f>IF($F1081="","",IFERROR(INDEX(Items!$E$5:$E$597,MATCH($F1081,Items!$A$5:$A$597,0)),""))</f>
        <v>50</v>
      </c>
      <c r="J1081" s="115">
        <f>IF(tblIssues[[#This Row],[Qty Override]]&lt;&gt;"",tblIssues[[#This Row],[Qty Override]],IF(tblIssues[[#This Row],[Standard Issue]]="","",tblIssues[[#This Row],[Standard Issue]]))</f>
        <v>50</v>
      </c>
      <c r="K1081" s="20">
        <f>IF($F1081="","",IFERROR(INDEX(Items!$D$5:$D$597,MATCH($F1081,Items!$A$5:$A$597,0)),""))</f>
        <v>0.25</v>
      </c>
      <c r="L1081" s="21">
        <f t="shared" si="184"/>
        <v>12.5</v>
      </c>
      <c r="M1081" s="9" t="str">
        <f t="shared" si="182"/>
        <v>102GPC24</v>
      </c>
      <c r="N1081" s="24">
        <f>IF($A1081="","",WORKDAY($A1081,Settings!$C$9,HolidayDates))</f>
        <v>46183</v>
      </c>
      <c r="O1081" s="24">
        <f>IF($N1081="","",WORKDAY($N1081,Settings!$C$10,HolidayDates))</f>
        <v>46223</v>
      </c>
      <c r="P1081" s="10" t="s">
        <v>501</v>
      </c>
      <c r="Q1081" s="52" t="str">
        <f t="shared" si="185"/>
        <v>Collected</v>
      </c>
      <c r="R1081" s="55" t="str">
        <f t="shared" si="186"/>
        <v>2026-06</v>
      </c>
      <c r="S1081" s="55">
        <f>IF(OR($B1081="",$F1081="",$R1081=""),"",SUMIFS(tblIssues[Qty Issued],tblIssues[Staff ID],$B1081,tblIssues[Item Name],$F1081,tblIssues[Month],$R1081))</f>
        <v>50</v>
      </c>
      <c r="T1081" s="56">
        <f>IF($I1081="","",$I1081*Settings!$C$11)</f>
        <v>50</v>
      </c>
      <c r="U1081" s="57" t="str">
        <f t="shared" si="183"/>
        <v>OK</v>
      </c>
      <c r="V1081" s="55" t="str">
        <f t="shared" si="187"/>
        <v/>
      </c>
      <c r="W1081" s="55" t="str">
        <f>IF($V1081="","",IF(COUNTIF($V$5:$V1081,$V1081)=1,1,""))</f>
        <v/>
      </c>
      <c r="X1081" s="58" t="str">
        <f>IF($W1081="","",MAX($X$4:X1080)+1)</f>
        <v/>
      </c>
      <c r="Y1081" s="62"/>
      <c r="Z1081" s="62"/>
      <c r="AA1081" s="64" t="str">
        <f>IF($C1081="","",IFERROR(INDEX('Staff Directory'!$E$5:$E$594,MATCH($C1081,'Staff Directory'!$B$5:$B$594,0)),""))</f>
        <v>firstname166.lastname166@example.com</v>
      </c>
      <c r="AB1081" s="64" t="str">
        <f>IF($C1081="","",IF(ISNUMBER(SEARCH($D1081,Settings!$C$15)),"Pickup","Dispatch"))</f>
        <v>Pickup</v>
      </c>
      <c r="AC1081" s="64" t="str">
        <f t="shared" si="188"/>
        <v>Supply order ready for pickup</v>
      </c>
      <c r="AD1081" s="64" t="str">
        <f t="shared" si="179"/>
        <v>Dear PSW,
Your order is ready for pickup from Sample Branch, Wed-Fri 9am-4pm.</v>
      </c>
      <c r="AE1081" s="64" t="str">
        <f t="shared" si="180"/>
        <v>mailto:firstname166.lastname166@example.com?subject=Supply%20order%20ready%20for%20pickup&amp;body=Dear%20PSW%2C%0A%0AYour%20order%20is%20ready%20for%20pickup%20from%20Sample%20Branch%2C%20Wed-Fri%209am-4pm.</v>
      </c>
      <c r="AF1081" s="89" t="str">
        <f t="shared" si="189"/>
        <v>Draft email</v>
      </c>
      <c r="AG1081" s="64" t="str">
        <f>IF($C1081="","",IFERROR(INDEX('Staff Directory'!$K$595:$K$599,MATCH($C1081,'Staff Directory'!$B$5:$B$599,0)),$D1081))</f>
        <v>PSW</v>
      </c>
      <c r="AH1081" t="str">
        <f>IF($C1081="","",IFERROR(INDEX('Staff Directory'!$I$595:$I$599,MATCH($C1081,'Staff Directory'!$B$5:$B$599,0))&amp;" "&amp;INDEX('Staff Directory'!$J$595:$J$599,MATCH($C1081,'Staff Directory'!$B$5:$B$599,0)),$AG1081))</f>
        <v>PSW</v>
      </c>
      <c r="AI1081" s="102"/>
      <c r="AJ1081" s="101">
        <f>IF($F1081="","",SUMIFS($J$5:$J1081,$F$5:$F1081,$F1081))</f>
        <v>8700</v>
      </c>
      <c r="AK1081" s="101">
        <f t="shared" si="181"/>
        <v>8651</v>
      </c>
      <c r="AL1081" s="66" t="str" cm="1">
        <f t="array" ref="AL1081">IF($F1081="","",IFERROR(INDEX('Lot Balance'!$B$5:$B$500,MATCH(1,INDEX(('Lot Balance'!$A$5:$A$500=$F1081)*('Lot Balance'!$K$5:$K$500&lt;$AK1081)*('Lot Balance'!$K$5:$K$500+'Lot Balance'!$D$5:$D$500&gt;=$AK1081),0),0)),""))</f>
        <v>102GPC24</v>
      </c>
      <c r="AM1081" s="66" t="str" cm="1">
        <f t="array" ref="AM1081">IF($F1081="","",IFERROR(INDEX('Lot Balance'!$B$5:$B$500,MATCH(1,INDEX(('Lot Balance'!$A$5:$A$500=$F1081)*('Lot Balance'!$K$5:$K$500&lt;$AJ1081)*('Lot Balance'!$K$5:$K$500+'Lot Balance'!$D$5:$D$500&gt;=$AJ1081),0),0)),""))</f>
        <v>102GPC24</v>
      </c>
      <c r="AN1081" s="66" t="str">
        <f>IF($F1081="","",IF($AI1081&lt;&gt;"",IF(COUNTIFS('Lot Balance'!$A$5:$A$500,$F1081,'Lot Balance'!$B$5:$B$500,$AI1081)=0,"⚠ override is not a lot of this item",IF($AI1081=$AL1081,"Override = FEFO","Override - FEFO says "&amp;$AL1081)),IF($AL1081="","⚠ no receipt on file for this item",IF($AM1081&lt;&gt;$AL1081,"FEFO auto - split, also "&amp;$AM1081,"FEFO auto"))))</f>
        <v>FEFO auto</v>
      </c>
      <c r="AO1081" s="114"/>
    </row>
    <row r="1082" spans="1:41" x14ac:dyDescent="0.35">
      <c r="A1082" s="74">
        <v>46177</v>
      </c>
      <c r="B1082" s="18" t="str">
        <f>IF($C1082="","",IFERROR(INDEX('Staff Directory'!$A$5:$A$594,MATCH($C1082,'Staff Directory'!$B$5:$B$594,0)),"⚠ unknown staff"))</f>
        <v>PSW-155-A5</v>
      </c>
      <c r="C1082" s="49" t="s">
        <v>1134</v>
      </c>
      <c r="D1082" s="19" t="str">
        <f>IF($B1082="","",IFERROR(INDEX('Staff Directory'!$C$5:$C$594,MATCH($B1082,'Staff Directory'!$A$5:$A$594,0)),""))</f>
        <v>PSW</v>
      </c>
      <c r="E1082" s="19" t="str">
        <f>IF($B1082="","",IFERROR(INDEX('Staff Directory'!$D$5:$D$594,MATCH($B1082,'Staff Directory'!$A$5:$A$594,0)),""))</f>
        <v>A5</v>
      </c>
      <c r="F1082" s="9" t="s">
        <v>127</v>
      </c>
      <c r="G1082" s="18" t="str">
        <f>IF($F1082="","",IFERROR(INDEX(Items!$B$5:$B$597,MATCH($F1082,Items!$A$5:$A$597,0)),"⚠ not in Items"))</f>
        <v>Gloves</v>
      </c>
      <c r="H1082" s="19" t="str">
        <f>IF($F1082="","",IFERROR(INDEX(Items!$C$5:$C$597,MATCH($F1082,Items!$A$5:$A$597,0)),""))</f>
        <v>Medium</v>
      </c>
      <c r="I1082" s="23">
        <f>IF($F1082="","",IFERROR(INDEX(Items!$E$5:$E$597,MATCH($F1082,Items!$A$5:$A$597,0)),""))</f>
        <v>500</v>
      </c>
      <c r="J1082" s="115">
        <f>IF(tblIssues[[#This Row],[Qty Override]]&lt;&gt;"",tblIssues[[#This Row],[Qty Override]],IF(tblIssues[[#This Row],[Standard Issue]]="","",tblIssues[[#This Row],[Standard Issue]]))</f>
        <v>500</v>
      </c>
      <c r="K1082" s="20">
        <f>IF($F1082="","",IFERROR(INDEX(Items!$D$5:$D$597,MATCH($F1082,Items!$A$5:$A$597,0)),""))</f>
        <v>5.5E-2</v>
      </c>
      <c r="L1082" s="21">
        <f t="shared" si="184"/>
        <v>27.5</v>
      </c>
      <c r="M1082" s="9" t="str">
        <f t="shared" si="182"/>
        <v>ZIM510137962-0</v>
      </c>
      <c r="N1082" s="24">
        <f>IF($A1082="","",WORKDAY($A1082,Settings!$C$9,HolidayDates))</f>
        <v>46185</v>
      </c>
      <c r="O1082" s="24">
        <f>IF($N1082="","",WORKDAY($N1082,Settings!$C$10,HolidayDates))</f>
        <v>46225</v>
      </c>
      <c r="P1082" s="10" t="s">
        <v>501</v>
      </c>
      <c r="Q1082" s="52" t="str">
        <f t="shared" si="185"/>
        <v>Collected</v>
      </c>
      <c r="R1082" s="55" t="str">
        <f t="shared" si="186"/>
        <v>2026-06</v>
      </c>
      <c r="S1082" s="55">
        <f>IF(OR($B1082="",$F1082="",$R1082=""),"",SUMIFS(tblIssues[Qty Issued],tblIssues[Staff ID],$B1082,tblIssues[Item Name],$F1082,tblIssues[Month],$R1082))</f>
        <v>500</v>
      </c>
      <c r="T1082" s="56">
        <f>IF($I1082="","",$I1082*Settings!$C$11)</f>
        <v>500</v>
      </c>
      <c r="U1082" s="57" t="str">
        <f t="shared" si="183"/>
        <v>OK</v>
      </c>
      <c r="V1082" s="55" t="str">
        <f t="shared" si="187"/>
        <v/>
      </c>
      <c r="W1082" s="55" t="str">
        <f>IF($V1082="","",IF(COUNTIF($V$5:$V1082,$V1082)=1,1,""))</f>
        <v/>
      </c>
      <c r="X1082" s="58" t="str">
        <f>IF($W1082="","",MAX($X$4:X1081)+1)</f>
        <v/>
      </c>
      <c r="Y1082" s="62"/>
      <c r="Z1082" s="62"/>
      <c r="AA1082" s="64" t="str">
        <f>IF($C1082="","",IFERROR(INDEX('Staff Directory'!$E$5:$E$594,MATCH($C1082,'Staff Directory'!$B$5:$B$594,0)),""))</f>
        <v>firstname218.lastname218@example.com</v>
      </c>
      <c r="AB1082" s="64" t="str">
        <f>IF($C1082="","",IF(ISNUMBER(SEARCH($D1082,Settings!$C$15)),"Pickup","Dispatch"))</f>
        <v>Pickup</v>
      </c>
      <c r="AC1082" s="64" t="str">
        <f t="shared" si="188"/>
        <v>Supply order ready for pickup</v>
      </c>
      <c r="AD1082" s="64" t="str">
        <f t="shared" si="179"/>
        <v>Dear PSW,
Your order is ready for pickup from Sample Branch, Wed-Fri 9am-4pm.</v>
      </c>
      <c r="AE1082" s="64" t="str">
        <f t="shared" si="180"/>
        <v>mailto:firstname218.lastname218@example.com?subject=Supply%20order%20ready%20for%20pickup&amp;body=Dear%20PSW%2C%0A%0AYour%20order%20is%20ready%20for%20pickup%20from%20Sample%20Branch%2C%20Wed-Fri%209am-4pm.</v>
      </c>
      <c r="AF1082" s="89" t="str">
        <f t="shared" si="189"/>
        <v>Draft email</v>
      </c>
      <c r="AG1082" s="64" t="str">
        <f>IF($C1082="","",IFERROR(INDEX('Staff Directory'!$K$595:$K$599,MATCH($C1082,'Staff Directory'!$B$5:$B$599,0)),$D1082))</f>
        <v>PSW</v>
      </c>
      <c r="AH1082" t="str">
        <f>IF($C1082="","",IFERROR(INDEX('Staff Directory'!$I$595:$I$599,MATCH($C1082,'Staff Directory'!$B$5:$B$599,0))&amp;" "&amp;INDEX('Staff Directory'!$J$595:$J$599,MATCH($C1082,'Staff Directory'!$B$5:$B$599,0)),$AG1082))</f>
        <v>PSW</v>
      </c>
      <c r="AI1082" s="102"/>
      <c r="AJ1082" s="101">
        <f>IF($F1082="","",SUMIFS($J$5:$J1082,$F$5:$F1082,$F1082))</f>
        <v>61500</v>
      </c>
      <c r="AK1082" s="101">
        <f t="shared" si="181"/>
        <v>61001</v>
      </c>
      <c r="AL1082" s="66" t="str" cm="1">
        <f t="array" ref="AL1082">IF($F1082="","",IFERROR(INDEX('Lot Balance'!$B$5:$B$500,MATCH(1,INDEX(('Lot Balance'!$A$5:$A$500=$F1082)*('Lot Balance'!$K$5:$K$500&lt;$AK1082)*('Lot Balance'!$K$5:$K$500+'Lot Balance'!$D$5:$D$500&gt;=$AK1082),0),0)),""))</f>
        <v>ZIM510137962-0</v>
      </c>
      <c r="AM1082" s="66" t="str" cm="1">
        <f t="array" ref="AM1082">IF($F1082="","",IFERROR(INDEX('Lot Balance'!$B$5:$B$500,MATCH(1,INDEX(('Lot Balance'!$A$5:$A$500=$F1082)*('Lot Balance'!$K$5:$K$500&lt;$AJ1082)*('Lot Balance'!$K$5:$K$500+'Lot Balance'!$D$5:$D$500&gt;=$AJ1082),0),0)),""))</f>
        <v>ZIM510137962-0</v>
      </c>
      <c r="AN1082" s="66" t="str">
        <f>IF($F1082="","",IF($AI1082&lt;&gt;"",IF(COUNTIFS('Lot Balance'!$A$5:$A$500,$F1082,'Lot Balance'!$B$5:$B$500,$AI1082)=0,"⚠ override is not a lot of this item",IF($AI1082=$AL1082,"Override = FEFO","Override - FEFO says "&amp;$AL1082)),IF($AL1082="","⚠ no receipt on file for this item",IF($AM1082&lt;&gt;$AL1082,"FEFO auto - split, also "&amp;$AM1082,"FEFO auto"))))</f>
        <v>FEFO auto</v>
      </c>
      <c r="AO1082" s="114"/>
    </row>
    <row r="1083" spans="1:41" x14ac:dyDescent="0.35">
      <c r="A1083" s="74">
        <v>46177</v>
      </c>
      <c r="B1083" s="18" t="str">
        <f>IF($C1083="","",IFERROR(INDEX('Staff Directory'!$A$5:$A$594,MATCH($C1083,'Staff Directory'!$B$5:$B$594,0)),"⚠ unknown staff"))</f>
        <v>PSW-155-A5</v>
      </c>
      <c r="C1083" s="49" t="s">
        <v>1134</v>
      </c>
      <c r="D1083" s="19" t="str">
        <f>IF($B1083="","",IFERROR(INDEX('Staff Directory'!$C$5:$C$594,MATCH($B1083,'Staff Directory'!$A$5:$A$594,0)),""))</f>
        <v>PSW</v>
      </c>
      <c r="E1083" s="19" t="str">
        <f>IF($B1083="","",IFERROR(INDEX('Staff Directory'!$D$5:$D$594,MATCH($B1083,'Staff Directory'!$A$5:$A$594,0)),""))</f>
        <v>A5</v>
      </c>
      <c r="F1083" s="9" t="s">
        <v>191</v>
      </c>
      <c r="G1083" s="18" t="str">
        <f>IF($F1083="","",IFERROR(INDEX(Items!$B$5:$B$597,MATCH($F1083,Items!$A$5:$A$597,0)),"⚠ not in Items"))</f>
        <v>Sanitizer</v>
      </c>
      <c r="H1083" s="19" t="str">
        <f>IF($F1083="","",IFERROR(INDEX(Items!$C$5:$C$597,MATCH($F1083,Items!$A$5:$A$597,0)),""))</f>
        <v>236 ML</v>
      </c>
      <c r="I1083" s="23">
        <f>IF($F1083="","",IFERROR(INDEX(Items!$E$5:$E$597,MATCH($F1083,Items!$A$5:$A$597,0)),""))</f>
        <v>1</v>
      </c>
      <c r="J1083" s="115">
        <f>IF(tblIssues[[#This Row],[Qty Override]]&lt;&gt;"",tblIssues[[#This Row],[Qty Override]],IF(tblIssues[[#This Row],[Standard Issue]]="","",tblIssues[[#This Row],[Standard Issue]]))</f>
        <v>1</v>
      </c>
      <c r="K1083" s="20">
        <f>IF($F1083="","",IFERROR(INDEX(Items!$D$5:$D$597,MATCH($F1083,Items!$A$5:$A$597,0)),""))</f>
        <v>1E-4</v>
      </c>
      <c r="L1083" s="21">
        <f t="shared" si="184"/>
        <v>1E-4</v>
      </c>
      <c r="M1083" s="9" t="str">
        <f t="shared" si="182"/>
        <v>20-21734-4</v>
      </c>
      <c r="N1083" s="24">
        <f>IF($A1083="","",WORKDAY($A1083,Settings!$C$9,HolidayDates))</f>
        <v>46185</v>
      </c>
      <c r="O1083" s="24">
        <f>IF($N1083="","",WORKDAY($N1083,Settings!$C$10,HolidayDates))</f>
        <v>46225</v>
      </c>
      <c r="P1083" s="10" t="s">
        <v>501</v>
      </c>
      <c r="Q1083" s="52" t="str">
        <f t="shared" si="185"/>
        <v>Collected</v>
      </c>
      <c r="R1083" s="55" t="str">
        <f t="shared" si="186"/>
        <v>2026-06</v>
      </c>
      <c r="S1083" s="55">
        <f>IF(OR($B1083="",$F1083="",$R1083=""),"",SUMIFS(tblIssues[Qty Issued],tblIssues[Staff ID],$B1083,tblIssues[Item Name],$F1083,tblIssues[Month],$R1083))</f>
        <v>1</v>
      </c>
      <c r="T1083" s="56">
        <f>IF($I1083="","",$I1083*Settings!$C$11)</f>
        <v>1</v>
      </c>
      <c r="U1083" s="57" t="str">
        <f t="shared" si="183"/>
        <v>OK</v>
      </c>
      <c r="V1083" s="55" t="str">
        <f t="shared" si="187"/>
        <v/>
      </c>
      <c r="W1083" s="55" t="str">
        <f>IF($V1083="","",IF(COUNTIF($V$5:$V1083,$V1083)=1,1,""))</f>
        <v/>
      </c>
      <c r="X1083" s="58" t="str">
        <f>IF($W1083="","",MAX($X$4:X1082)+1)</f>
        <v/>
      </c>
      <c r="Y1083" s="62"/>
      <c r="Z1083" s="62"/>
      <c r="AA1083" s="64" t="str">
        <f>IF($C1083="","",IFERROR(INDEX('Staff Directory'!$E$5:$E$594,MATCH($C1083,'Staff Directory'!$B$5:$B$594,0)),""))</f>
        <v>firstname218.lastname218@example.com</v>
      </c>
      <c r="AB1083" s="64" t="str">
        <f>IF($C1083="","",IF(ISNUMBER(SEARCH($D1083,Settings!$C$15)),"Pickup","Dispatch"))</f>
        <v>Pickup</v>
      </c>
      <c r="AC1083" s="64" t="str">
        <f t="shared" si="188"/>
        <v>Supply order ready for pickup</v>
      </c>
      <c r="AD1083" s="64" t="str">
        <f t="shared" si="179"/>
        <v>Dear PSW,
Your order is ready for pickup from Sample Branch, Wed-Fri 9am-4pm.</v>
      </c>
      <c r="AE1083" s="64" t="str">
        <f t="shared" si="180"/>
        <v>mailto:firstname218.lastname218@example.com?subject=Supply%20order%20ready%20for%20pickup&amp;body=Dear%20PSW%2C%0A%0AYour%20order%20is%20ready%20for%20pickup%20from%20Sample%20Branch%2C%20Wed-Fri%209am-4pm.</v>
      </c>
      <c r="AF1083" s="89" t="str">
        <f t="shared" si="189"/>
        <v>Draft email</v>
      </c>
      <c r="AG1083" s="64" t="str">
        <f>IF($C1083="","",IFERROR(INDEX('Staff Directory'!$K$595:$K$599,MATCH($C1083,'Staff Directory'!$B$5:$B$599,0)),$D1083))</f>
        <v>PSW</v>
      </c>
      <c r="AH1083" t="str">
        <f>IF($C1083="","",IFERROR(INDEX('Staff Directory'!$I$595:$I$599,MATCH($C1083,'Staff Directory'!$B$5:$B$599,0))&amp;" "&amp;INDEX('Staff Directory'!$J$595:$J$599,MATCH($C1083,'Staff Directory'!$B$5:$B$599,0)),$AG1083))</f>
        <v>PSW</v>
      </c>
      <c r="AI1083" s="102"/>
      <c r="AJ1083" s="101">
        <f>IF($F1083="","",SUMIFS($J$5:$J1083,$F$5:$F1083,$F1083))</f>
        <v>130</v>
      </c>
      <c r="AK1083" s="101">
        <f t="shared" si="181"/>
        <v>130</v>
      </c>
      <c r="AL1083" s="66" t="str" cm="1">
        <f t="array" ref="AL1083">IF($F1083="","",IFERROR(INDEX('Lot Balance'!$B$5:$B$500,MATCH(1,INDEX(('Lot Balance'!$A$5:$A$500=$F1083)*('Lot Balance'!$K$5:$K$500&lt;$AK1083)*('Lot Balance'!$K$5:$K$500+'Lot Balance'!$D$5:$D$500&gt;=$AK1083),0),0)),""))</f>
        <v>20-21734-4</v>
      </c>
      <c r="AM1083" s="66" t="str" cm="1">
        <f t="array" ref="AM1083">IF($F1083="","",IFERROR(INDEX('Lot Balance'!$B$5:$B$500,MATCH(1,INDEX(('Lot Balance'!$A$5:$A$500=$F1083)*('Lot Balance'!$K$5:$K$500&lt;$AJ1083)*('Lot Balance'!$K$5:$K$500+'Lot Balance'!$D$5:$D$500&gt;=$AJ1083),0),0)),""))</f>
        <v>20-21734-4</v>
      </c>
      <c r="AN1083" s="66" t="str">
        <f>IF($F1083="","",IF($AI1083&lt;&gt;"",IF(COUNTIFS('Lot Balance'!$A$5:$A$500,$F1083,'Lot Balance'!$B$5:$B$500,$AI1083)=0,"⚠ override is not a lot of this item",IF($AI1083=$AL1083,"Override = FEFO","Override - FEFO says "&amp;$AL1083)),IF($AL1083="","⚠ no receipt on file for this item",IF($AM1083&lt;&gt;$AL1083,"FEFO auto - split, also "&amp;$AM1083,"FEFO auto"))))</f>
        <v>FEFO auto</v>
      </c>
      <c r="AO1083" s="114"/>
    </row>
    <row r="1084" spans="1:41" x14ac:dyDescent="0.35">
      <c r="A1084" s="74">
        <v>46177</v>
      </c>
      <c r="B1084" s="18" t="str">
        <f>IF($C1084="","",IFERROR(INDEX('Staff Directory'!$A$5:$A$594,MATCH($C1084,'Staff Directory'!$B$5:$B$594,0)),"⚠ unknown staff"))</f>
        <v>PSW-155-A5</v>
      </c>
      <c r="C1084" s="49" t="s">
        <v>1134</v>
      </c>
      <c r="D1084" s="19" t="str">
        <f>IF($B1084="","",IFERROR(INDEX('Staff Directory'!$C$5:$C$594,MATCH($B1084,'Staff Directory'!$A$5:$A$594,0)),""))</f>
        <v>PSW</v>
      </c>
      <c r="E1084" s="19" t="str">
        <f>IF($B1084="","",IFERROR(INDEX('Staff Directory'!$D$5:$D$594,MATCH($B1084,'Staff Directory'!$A$5:$A$594,0)),""))</f>
        <v>A5</v>
      </c>
      <c r="F1084" s="9" t="s">
        <v>115</v>
      </c>
      <c r="G1084" s="18" t="str">
        <f>IF($F1084="","",IFERROR(INDEX(Items!$B$5:$B$597,MATCH($F1084,Items!$A$5:$A$597,0)),"⚠ not in Items"))</f>
        <v>Wipes</v>
      </c>
      <c r="H1084" s="19">
        <f>IF($F1084="","",IFERROR(INDEX(Items!$C$5:$C$597,MATCH($F1084,Items!$A$5:$A$597,0)),""))</f>
        <v>80</v>
      </c>
      <c r="I1084" s="23">
        <f>IF($F1084="","",IFERROR(INDEX(Items!$E$5:$E$597,MATCH($F1084,Items!$A$5:$A$597,0)),""))</f>
        <v>80</v>
      </c>
      <c r="J1084" s="115">
        <f>IF(tblIssues[[#This Row],[Qty Override]]&lt;&gt;"",tblIssues[[#This Row],[Qty Override]],IF(tblIssues[[#This Row],[Standard Issue]]="","",tblIssues[[#This Row],[Standard Issue]]))</f>
        <v>80</v>
      </c>
      <c r="K1084" s="20">
        <f>IF($F1084="","",IFERROR(INDEX(Items!$D$5:$D$597,MATCH($F1084,Items!$A$5:$A$597,0)),""))</f>
        <v>0.1</v>
      </c>
      <c r="L1084" s="21">
        <f t="shared" si="184"/>
        <v>8</v>
      </c>
      <c r="M1084" s="9" t="str">
        <f t="shared" si="182"/>
        <v>LYSL500290</v>
      </c>
      <c r="N1084" s="24">
        <f>IF($A1084="","",WORKDAY($A1084,Settings!$C$9,HolidayDates))</f>
        <v>46185</v>
      </c>
      <c r="O1084" s="24">
        <f>IF($N1084="","",WORKDAY($N1084,Settings!$C$10,HolidayDates))</f>
        <v>46225</v>
      </c>
      <c r="P1084" s="10" t="s">
        <v>501</v>
      </c>
      <c r="Q1084" s="52" t="str">
        <f t="shared" si="185"/>
        <v>Collected</v>
      </c>
      <c r="R1084" s="55" t="str">
        <f t="shared" si="186"/>
        <v>2026-06</v>
      </c>
      <c r="S1084" s="55">
        <f>IF(OR($B1084="",$F1084="",$R1084=""),"",SUMIFS(tblIssues[Qty Issued],tblIssues[Staff ID],$B1084,tblIssues[Item Name],$F1084,tblIssues[Month],$R1084))</f>
        <v>80</v>
      </c>
      <c r="T1084" s="56">
        <f>IF($I1084="","",$I1084*Settings!$C$11)</f>
        <v>80</v>
      </c>
      <c r="U1084" s="57" t="str">
        <f t="shared" si="183"/>
        <v>OK</v>
      </c>
      <c r="V1084" s="55" t="str">
        <f t="shared" si="187"/>
        <v/>
      </c>
      <c r="W1084" s="55" t="str">
        <f>IF($V1084="","",IF(COUNTIF($V$5:$V1084,$V1084)=1,1,""))</f>
        <v/>
      </c>
      <c r="X1084" s="58" t="str">
        <f>IF($W1084="","",MAX($X$4:X1083)+1)</f>
        <v/>
      </c>
      <c r="Y1084" s="62"/>
      <c r="Z1084" s="62"/>
      <c r="AA1084" s="64" t="str">
        <f>IF($C1084="","",IFERROR(INDEX('Staff Directory'!$E$5:$E$594,MATCH($C1084,'Staff Directory'!$B$5:$B$594,0)),""))</f>
        <v>firstname218.lastname218@example.com</v>
      </c>
      <c r="AB1084" s="64" t="str">
        <f>IF($C1084="","",IF(ISNUMBER(SEARCH($D1084,Settings!$C$15)),"Pickup","Dispatch"))</f>
        <v>Pickup</v>
      </c>
      <c r="AC1084" s="64" t="str">
        <f t="shared" si="188"/>
        <v>Supply order ready for pickup</v>
      </c>
      <c r="AD1084" s="64" t="str">
        <f t="shared" si="179"/>
        <v>Dear PSW,
Your order is ready for pickup from Sample Branch, Wed-Fri 9am-4pm.</v>
      </c>
      <c r="AE1084" s="64" t="str">
        <f t="shared" si="180"/>
        <v>mailto:firstname218.lastname218@example.com?subject=Supply%20order%20ready%20for%20pickup&amp;body=Dear%20PSW%2C%0A%0AYour%20order%20is%20ready%20for%20pickup%20from%20Sample%20Branch%2C%20Wed-Fri%209am-4pm.</v>
      </c>
      <c r="AF1084" s="89" t="str">
        <f t="shared" si="189"/>
        <v>Draft email</v>
      </c>
      <c r="AG1084" s="64" t="str">
        <f>IF($C1084="","",IFERROR(INDEX('Staff Directory'!$K$595:$K$599,MATCH($C1084,'Staff Directory'!$B$5:$B$599,0)),$D1084))</f>
        <v>PSW</v>
      </c>
      <c r="AH1084" t="str">
        <f>IF($C1084="","",IFERROR(INDEX('Staff Directory'!$I$595:$I$599,MATCH($C1084,'Staff Directory'!$B$5:$B$599,0))&amp;" "&amp;INDEX('Staff Directory'!$J$595:$J$599,MATCH($C1084,'Staff Directory'!$B$5:$B$599,0)),$AG1084))</f>
        <v>PSW</v>
      </c>
      <c r="AI1084" s="102"/>
      <c r="AJ1084" s="101">
        <f>IF($F1084="","",SUMIFS($J$5:$J1084,$F$5:$F1084,$F1084))</f>
        <v>14480</v>
      </c>
      <c r="AK1084" s="101">
        <f t="shared" si="181"/>
        <v>14401</v>
      </c>
      <c r="AL1084" s="66" t="str" cm="1">
        <f t="array" ref="AL1084">IF($F1084="","",IFERROR(INDEX('Lot Balance'!$B$5:$B$500,MATCH(1,INDEX(('Lot Balance'!$A$5:$A$500=$F1084)*('Lot Balance'!$K$5:$K$500&lt;$AK1084)*('Lot Balance'!$K$5:$K$500+'Lot Balance'!$D$5:$D$500&gt;=$AK1084),0),0)),""))</f>
        <v>LYSL500290</v>
      </c>
      <c r="AM1084" s="66" t="str" cm="1">
        <f t="array" ref="AM1084">IF($F1084="","",IFERROR(INDEX('Lot Balance'!$B$5:$B$500,MATCH(1,INDEX(('Lot Balance'!$A$5:$A$500=$F1084)*('Lot Balance'!$K$5:$K$500&lt;$AJ1084)*('Lot Balance'!$K$5:$K$500+'Lot Balance'!$D$5:$D$500&gt;=$AJ1084),0),0)),""))</f>
        <v>LYSL500290</v>
      </c>
      <c r="AN1084" s="66" t="str">
        <f>IF($F1084="","",IF($AI1084&lt;&gt;"",IF(COUNTIFS('Lot Balance'!$A$5:$A$500,$F1084,'Lot Balance'!$B$5:$B$500,$AI1084)=0,"⚠ override is not a lot of this item",IF($AI1084=$AL1084,"Override = FEFO","Override - FEFO says "&amp;$AL1084)),IF($AL1084="","⚠ no receipt on file for this item",IF($AM1084&lt;&gt;$AL1084,"FEFO auto - split, also "&amp;$AM1084,"FEFO auto"))))</f>
        <v>FEFO auto</v>
      </c>
      <c r="AO1084" s="114"/>
    </row>
    <row r="1085" spans="1:41" x14ac:dyDescent="0.35">
      <c r="A1085" s="74">
        <v>46177</v>
      </c>
      <c r="B1085" s="18" t="str">
        <f>IF($C1085="","",IFERROR(INDEX('Staff Directory'!$A$5:$A$594,MATCH($C1085,'Staff Directory'!$B$5:$B$594,0)),"⚠ unknown staff"))</f>
        <v>PSW-155-A5</v>
      </c>
      <c r="C1085" s="49" t="s">
        <v>1134</v>
      </c>
      <c r="D1085" s="19" t="str">
        <f>IF($B1085="","",IFERROR(INDEX('Staff Directory'!$C$5:$C$594,MATCH($B1085,'Staff Directory'!$A$5:$A$594,0)),""))</f>
        <v>PSW</v>
      </c>
      <c r="E1085" s="19" t="str">
        <f>IF($B1085="","",IFERROR(INDEX('Staff Directory'!$D$5:$D$594,MATCH($B1085,'Staff Directory'!$A$5:$A$594,0)),""))</f>
        <v>A5</v>
      </c>
      <c r="F1085" s="9" t="s">
        <v>156</v>
      </c>
      <c r="G1085" s="18" t="str">
        <f>IF($F1085="","",IFERROR(INDEX(Items!$B$5:$B$597,MATCH($F1085,Items!$A$5:$A$597,0)),"⚠ not in Items"))</f>
        <v>Masks</v>
      </c>
      <c r="H1085" s="19" t="str">
        <f>IF($F1085="","",IFERROR(INDEX(Items!$C$5:$C$597,MATCH($F1085,Items!$A$5:$A$597,0)),""))</f>
        <v>One Size</v>
      </c>
      <c r="I1085" s="23">
        <f>IF($F1085="","",IFERROR(INDEX(Items!$E$5:$E$597,MATCH($F1085,Items!$A$5:$A$597,0)),""))</f>
        <v>50</v>
      </c>
      <c r="J1085" s="115">
        <f>IF(tblIssues[[#This Row],[Qty Override]]&lt;&gt;"",tblIssues[[#This Row],[Qty Override]],IF(tblIssues[[#This Row],[Standard Issue]]="","",tblIssues[[#This Row],[Standard Issue]]))</f>
        <v>50</v>
      </c>
      <c r="K1085" s="20">
        <f>IF($F1085="","",IFERROR(INDEX(Items!$D$5:$D$597,MATCH($F1085,Items!$A$5:$A$597,0)),""))</f>
        <v>0.25</v>
      </c>
      <c r="L1085" s="21">
        <f t="shared" si="184"/>
        <v>12.5</v>
      </c>
      <c r="M1085" s="9" t="str">
        <f t="shared" si="182"/>
        <v>102GPC24</v>
      </c>
      <c r="N1085" s="24">
        <f>IF($A1085="","",WORKDAY($A1085,Settings!$C$9,HolidayDates))</f>
        <v>46185</v>
      </c>
      <c r="O1085" s="24">
        <f>IF($N1085="","",WORKDAY($N1085,Settings!$C$10,HolidayDates))</f>
        <v>46225</v>
      </c>
      <c r="P1085" s="10" t="s">
        <v>501</v>
      </c>
      <c r="Q1085" s="52" t="str">
        <f t="shared" si="185"/>
        <v>Collected</v>
      </c>
      <c r="R1085" s="55" t="str">
        <f t="shared" si="186"/>
        <v>2026-06</v>
      </c>
      <c r="S1085" s="55">
        <f>IF(OR($B1085="",$F1085="",$R1085=""),"",SUMIFS(tblIssues[Qty Issued],tblIssues[Staff ID],$B1085,tblIssues[Item Name],$F1085,tblIssues[Month],$R1085))</f>
        <v>50</v>
      </c>
      <c r="T1085" s="56">
        <f>IF($I1085="","",$I1085*Settings!$C$11)</f>
        <v>50</v>
      </c>
      <c r="U1085" s="57" t="str">
        <f t="shared" si="183"/>
        <v>OK</v>
      </c>
      <c r="V1085" s="55" t="str">
        <f t="shared" si="187"/>
        <v/>
      </c>
      <c r="W1085" s="55" t="str">
        <f>IF($V1085="","",IF(COUNTIF($V$5:$V1085,$V1085)=1,1,""))</f>
        <v/>
      </c>
      <c r="X1085" s="58" t="str">
        <f>IF($W1085="","",MAX($X$4:X1084)+1)</f>
        <v/>
      </c>
      <c r="Y1085" s="62"/>
      <c r="Z1085" s="62"/>
      <c r="AA1085" s="64" t="str">
        <f>IF($C1085="","",IFERROR(INDEX('Staff Directory'!$E$5:$E$594,MATCH($C1085,'Staff Directory'!$B$5:$B$594,0)),""))</f>
        <v>firstname218.lastname218@example.com</v>
      </c>
      <c r="AB1085" s="64" t="str">
        <f>IF($C1085="","",IF(ISNUMBER(SEARCH($D1085,Settings!$C$15)),"Pickup","Dispatch"))</f>
        <v>Pickup</v>
      </c>
      <c r="AC1085" s="64" t="str">
        <f t="shared" si="188"/>
        <v>Supply order ready for pickup</v>
      </c>
      <c r="AD1085" s="64" t="str">
        <f t="shared" si="179"/>
        <v>Dear PSW,
Your order is ready for pickup from Sample Branch, Wed-Fri 9am-4pm.</v>
      </c>
      <c r="AE1085" s="64" t="str">
        <f t="shared" si="180"/>
        <v>mailto:firstname218.lastname218@example.com?subject=Supply%20order%20ready%20for%20pickup&amp;body=Dear%20PSW%2C%0A%0AYour%20order%20is%20ready%20for%20pickup%20from%20Sample%20Branch%2C%20Wed-Fri%209am-4pm.</v>
      </c>
      <c r="AF1085" s="89" t="str">
        <f t="shared" si="189"/>
        <v>Draft email</v>
      </c>
      <c r="AG1085" s="64" t="str">
        <f>IF($C1085="","",IFERROR(INDEX('Staff Directory'!$K$595:$K$599,MATCH($C1085,'Staff Directory'!$B$5:$B$599,0)),$D1085))</f>
        <v>PSW</v>
      </c>
      <c r="AH1085" t="str">
        <f>IF($C1085="","",IFERROR(INDEX('Staff Directory'!$I$595:$I$599,MATCH($C1085,'Staff Directory'!$B$5:$B$599,0))&amp;" "&amp;INDEX('Staff Directory'!$J$595:$J$599,MATCH($C1085,'Staff Directory'!$B$5:$B$599,0)),$AG1085))</f>
        <v>PSW</v>
      </c>
      <c r="AI1085" s="102"/>
      <c r="AJ1085" s="101">
        <f>IF($F1085="","",SUMIFS($J$5:$J1085,$F$5:$F1085,$F1085))</f>
        <v>8750</v>
      </c>
      <c r="AK1085" s="101">
        <f t="shared" si="181"/>
        <v>8701</v>
      </c>
      <c r="AL1085" s="66" t="str" cm="1">
        <f t="array" ref="AL1085">IF($F1085="","",IFERROR(INDEX('Lot Balance'!$B$5:$B$500,MATCH(1,INDEX(('Lot Balance'!$A$5:$A$500=$F1085)*('Lot Balance'!$K$5:$K$500&lt;$AK1085)*('Lot Balance'!$K$5:$K$500+'Lot Balance'!$D$5:$D$500&gt;=$AK1085),0),0)),""))</f>
        <v>102GPC24</v>
      </c>
      <c r="AM1085" s="66" t="str" cm="1">
        <f t="array" ref="AM1085">IF($F1085="","",IFERROR(INDEX('Lot Balance'!$B$5:$B$500,MATCH(1,INDEX(('Lot Balance'!$A$5:$A$500=$F1085)*('Lot Balance'!$K$5:$K$500&lt;$AJ1085)*('Lot Balance'!$K$5:$K$500+'Lot Balance'!$D$5:$D$500&gt;=$AJ1085),0),0)),""))</f>
        <v>102GPC24</v>
      </c>
      <c r="AN1085" s="66" t="str">
        <f>IF($F1085="","",IF($AI1085&lt;&gt;"",IF(COUNTIFS('Lot Balance'!$A$5:$A$500,$F1085,'Lot Balance'!$B$5:$B$500,$AI1085)=0,"⚠ override is not a lot of this item",IF($AI1085=$AL1085,"Override = FEFO","Override - FEFO says "&amp;$AL1085)),IF($AL1085="","⚠ no receipt on file for this item",IF($AM1085&lt;&gt;$AL1085,"FEFO auto - split, also "&amp;$AM1085,"FEFO auto"))))</f>
        <v>FEFO auto</v>
      </c>
      <c r="AO1085" s="114"/>
    </row>
    <row r="1086" spans="1:41" x14ac:dyDescent="0.35">
      <c r="A1086" s="74">
        <v>46177</v>
      </c>
      <c r="B1086" s="18" t="str">
        <f>IF($C1086="","",IFERROR(INDEX('Staff Directory'!$A$5:$A$594,MATCH($C1086,'Staff Directory'!$B$5:$B$594,0)),"⚠ unknown staff"))</f>
        <v>PSW-063-A6</v>
      </c>
      <c r="C1086" s="49" t="s">
        <v>1039</v>
      </c>
      <c r="D1086" s="19" t="str">
        <f>IF($B1086="","",IFERROR(INDEX('Staff Directory'!$C$5:$C$594,MATCH($B1086,'Staff Directory'!$A$5:$A$594,0)),""))</f>
        <v>PSW</v>
      </c>
      <c r="E1086" s="19" t="str">
        <f>IF($B1086="","",IFERROR(INDEX('Staff Directory'!$D$5:$D$594,MATCH($B1086,'Staff Directory'!$A$5:$A$594,0)),""))</f>
        <v>A6</v>
      </c>
      <c r="F1086" s="9" t="s">
        <v>129</v>
      </c>
      <c r="G1086" s="18" t="str">
        <f>IF($F1086="","",IFERROR(INDEX(Items!$B$5:$B$597,MATCH($F1086,Items!$A$5:$A$597,0)),"⚠ not in Items"))</f>
        <v>Gloves</v>
      </c>
      <c r="H1086" s="19" t="str">
        <f>IF($F1086="","",IFERROR(INDEX(Items!$C$5:$C$597,MATCH($F1086,Items!$A$5:$A$597,0)),""))</f>
        <v>Small</v>
      </c>
      <c r="I1086" s="23">
        <f>IF($F1086="","",IFERROR(INDEX(Items!$E$5:$E$597,MATCH($F1086,Items!$A$5:$A$597,0)),""))</f>
        <v>500</v>
      </c>
      <c r="J1086" s="115">
        <f>IF(tblIssues[[#This Row],[Qty Override]]&lt;&gt;"",tblIssues[[#This Row],[Qty Override]],IF(tblIssues[[#This Row],[Standard Issue]]="","",tblIssues[[#This Row],[Standard Issue]]))</f>
        <v>500</v>
      </c>
      <c r="K1086" s="20">
        <f>IF($F1086="","",IFERROR(INDEX(Items!$D$5:$D$597,MATCH($F1086,Items!$A$5:$A$597,0)),""))</f>
        <v>5.5E-2</v>
      </c>
      <c r="L1086" s="21">
        <f t="shared" si="184"/>
        <v>27.5</v>
      </c>
      <c r="M1086" s="9" t="str">
        <f t="shared" si="182"/>
        <v>ZIM504124207-6</v>
      </c>
      <c r="N1086" s="24">
        <f>IF($A1086="","",WORKDAY($A1086,Settings!$C$9,HolidayDates))</f>
        <v>46185</v>
      </c>
      <c r="O1086" s="24">
        <f>IF($N1086="","",WORKDAY($N1086,Settings!$C$10,HolidayDates))</f>
        <v>46225</v>
      </c>
      <c r="P1086" s="10" t="s">
        <v>501</v>
      </c>
      <c r="Q1086" s="52" t="str">
        <f t="shared" si="185"/>
        <v>Collected</v>
      </c>
      <c r="R1086" s="55" t="str">
        <f t="shared" si="186"/>
        <v>2026-06</v>
      </c>
      <c r="S1086" s="55">
        <f>IF(OR($B1086="",$F1086="",$R1086=""),"",SUMIFS(tblIssues[Qty Issued],tblIssues[Staff ID],$B1086,tblIssues[Item Name],$F1086,tblIssues[Month],$R1086))</f>
        <v>500</v>
      </c>
      <c r="T1086" s="56">
        <f>IF($I1086="","",$I1086*Settings!$C$11)</f>
        <v>500</v>
      </c>
      <c r="U1086" s="57" t="str">
        <f t="shared" si="183"/>
        <v>OK</v>
      </c>
      <c r="V1086" s="55" t="str">
        <f t="shared" si="187"/>
        <v/>
      </c>
      <c r="W1086" s="55" t="str">
        <f>IF($V1086="","",IF(COUNTIF($V$5:$V1086,$V1086)=1,1,""))</f>
        <v/>
      </c>
      <c r="X1086" s="58" t="str">
        <f>IF($W1086="","",MAX($X$4:X1085)+1)</f>
        <v/>
      </c>
      <c r="Y1086" s="62"/>
      <c r="Z1086" s="62"/>
      <c r="AA1086" s="64" t="str">
        <f>IF($C1086="","",IFERROR(INDEX('Staff Directory'!$E$5:$E$594,MATCH($C1086,'Staff Directory'!$B$5:$B$594,0)),""))</f>
        <v>firstname123.lastname123@example.com</v>
      </c>
      <c r="AB1086" s="64" t="str">
        <f>IF($C1086="","",IF(ISNUMBER(SEARCH($D1086,Settings!$C$15)),"Pickup","Dispatch"))</f>
        <v>Pickup</v>
      </c>
      <c r="AC1086" s="64" t="str">
        <f t="shared" si="188"/>
        <v>Supply order ready for pickup</v>
      </c>
      <c r="AD1086" s="64" t="str">
        <f t="shared" si="179"/>
        <v>Dear PSW,
Your order is ready for pickup from Sample Branch, Wed-Fri 9am-4pm.</v>
      </c>
      <c r="AE1086" s="64" t="str">
        <f t="shared" si="180"/>
        <v>mailto:firstname123.lastname123@example.com?subject=Supply%20order%20ready%20for%20pickup&amp;body=Dear%20PSW%2C%0A%0AYour%20order%20is%20ready%20for%20pickup%20from%20Sample%20Branch%2C%20Wed-Fri%209am-4pm.</v>
      </c>
      <c r="AF1086" s="89" t="str">
        <f t="shared" si="189"/>
        <v>Draft email</v>
      </c>
      <c r="AG1086" s="64" t="str">
        <f>IF($C1086="","",IFERROR(INDEX('Staff Directory'!$K$595:$K$599,MATCH($C1086,'Staff Directory'!$B$5:$B$599,0)),$D1086))</f>
        <v>PSW</v>
      </c>
      <c r="AH1086" t="str">
        <f>IF($C1086="","",IFERROR(INDEX('Staff Directory'!$I$595:$I$599,MATCH($C1086,'Staff Directory'!$B$5:$B$599,0))&amp;" "&amp;INDEX('Staff Directory'!$J$595:$J$599,MATCH($C1086,'Staff Directory'!$B$5:$B$599,0)),$AG1086))</f>
        <v>PSW</v>
      </c>
      <c r="AI1086" s="102"/>
      <c r="AJ1086" s="101">
        <f>IF($F1086="","",SUMIFS($J$5:$J1086,$F$5:$F1086,$F1086))</f>
        <v>32000</v>
      </c>
      <c r="AK1086" s="101">
        <f t="shared" si="181"/>
        <v>31501</v>
      </c>
      <c r="AL1086" s="66" t="str" cm="1">
        <f t="array" ref="AL1086">IF($F1086="","",IFERROR(INDEX('Lot Balance'!$B$5:$B$500,MATCH(1,INDEX(('Lot Balance'!$A$5:$A$500=$F1086)*('Lot Balance'!$K$5:$K$500&lt;$AK1086)*('Lot Balance'!$K$5:$K$500+'Lot Balance'!$D$5:$D$500&gt;=$AK1086),0),0)),""))</f>
        <v>ZIM504124207-6</v>
      </c>
      <c r="AM1086" s="66" t="str" cm="1">
        <f t="array" ref="AM1086">IF($F1086="","",IFERROR(INDEX('Lot Balance'!$B$5:$B$500,MATCH(1,INDEX(('Lot Balance'!$A$5:$A$500=$F1086)*('Lot Balance'!$K$5:$K$500&lt;$AJ1086)*('Lot Balance'!$K$5:$K$500+'Lot Balance'!$D$5:$D$500&gt;=$AJ1086),0),0)),""))</f>
        <v>ZIM504124207-6</v>
      </c>
      <c r="AN1086" s="66" t="str">
        <f>IF($F1086="","",IF($AI1086&lt;&gt;"",IF(COUNTIFS('Lot Balance'!$A$5:$A$500,$F1086,'Lot Balance'!$B$5:$B$500,$AI1086)=0,"⚠ override is not a lot of this item",IF($AI1086=$AL1086,"Override = FEFO","Override - FEFO says "&amp;$AL1086)),IF($AL1086="","⚠ no receipt on file for this item",IF($AM1086&lt;&gt;$AL1086,"FEFO auto - split, also "&amp;$AM1086,"FEFO auto"))))</f>
        <v>FEFO auto</v>
      </c>
      <c r="AO1086" s="114"/>
    </row>
    <row r="1087" spans="1:41" x14ac:dyDescent="0.35">
      <c r="A1087" s="74">
        <v>46177</v>
      </c>
      <c r="B1087" s="18" t="str">
        <f>IF($C1087="","",IFERROR(INDEX('Staff Directory'!$A$5:$A$594,MATCH($C1087,'Staff Directory'!$B$5:$B$594,0)),"⚠ unknown staff"))</f>
        <v>PSW-063-A6</v>
      </c>
      <c r="C1087" s="49" t="s">
        <v>1039</v>
      </c>
      <c r="D1087" s="19" t="str">
        <f>IF($B1087="","",IFERROR(INDEX('Staff Directory'!$C$5:$C$594,MATCH($B1087,'Staff Directory'!$A$5:$A$594,0)),""))</f>
        <v>PSW</v>
      </c>
      <c r="E1087" s="19" t="str">
        <f>IF($B1087="","",IFERROR(INDEX('Staff Directory'!$D$5:$D$594,MATCH($B1087,'Staff Directory'!$A$5:$A$594,0)),""))</f>
        <v>A6</v>
      </c>
      <c r="F1087" s="9" t="s">
        <v>191</v>
      </c>
      <c r="G1087" s="18" t="str">
        <f>IF($F1087="","",IFERROR(INDEX(Items!$B$5:$B$597,MATCH($F1087,Items!$A$5:$A$597,0)),"⚠ not in Items"))</f>
        <v>Sanitizer</v>
      </c>
      <c r="H1087" s="19" t="str">
        <f>IF($F1087="","",IFERROR(INDEX(Items!$C$5:$C$597,MATCH($F1087,Items!$A$5:$A$597,0)),""))</f>
        <v>236 ML</v>
      </c>
      <c r="I1087" s="23">
        <f>IF($F1087="","",IFERROR(INDEX(Items!$E$5:$E$597,MATCH($F1087,Items!$A$5:$A$597,0)),""))</f>
        <v>1</v>
      </c>
      <c r="J1087" s="115">
        <f>IF(tblIssues[[#This Row],[Qty Override]]&lt;&gt;"",tblIssues[[#This Row],[Qty Override]],IF(tblIssues[[#This Row],[Standard Issue]]="","",tblIssues[[#This Row],[Standard Issue]]))</f>
        <v>1</v>
      </c>
      <c r="K1087" s="20">
        <f>IF($F1087="","",IFERROR(INDEX(Items!$D$5:$D$597,MATCH($F1087,Items!$A$5:$A$597,0)),""))</f>
        <v>1E-4</v>
      </c>
      <c r="L1087" s="21">
        <f t="shared" si="184"/>
        <v>1E-4</v>
      </c>
      <c r="M1087" s="9" t="str">
        <f t="shared" si="182"/>
        <v>20-21734-4</v>
      </c>
      <c r="N1087" s="24">
        <f>IF($A1087="","",WORKDAY($A1087,Settings!$C$9,HolidayDates))</f>
        <v>46185</v>
      </c>
      <c r="O1087" s="24">
        <f>IF($N1087="","",WORKDAY($N1087,Settings!$C$10,HolidayDates))</f>
        <v>46225</v>
      </c>
      <c r="P1087" s="10" t="s">
        <v>501</v>
      </c>
      <c r="Q1087" s="52" t="str">
        <f t="shared" si="185"/>
        <v>Collected</v>
      </c>
      <c r="R1087" s="55" t="str">
        <f t="shared" si="186"/>
        <v>2026-06</v>
      </c>
      <c r="S1087" s="55">
        <f>IF(OR($B1087="",$F1087="",$R1087=""),"",SUMIFS(tblIssues[Qty Issued],tblIssues[Staff ID],$B1087,tblIssues[Item Name],$F1087,tblIssues[Month],$R1087))</f>
        <v>1</v>
      </c>
      <c r="T1087" s="56">
        <f>IF($I1087="","",$I1087*Settings!$C$11)</f>
        <v>1</v>
      </c>
      <c r="U1087" s="57" t="str">
        <f t="shared" si="183"/>
        <v>OK</v>
      </c>
      <c r="V1087" s="55" t="str">
        <f t="shared" si="187"/>
        <v/>
      </c>
      <c r="W1087" s="55" t="str">
        <f>IF($V1087="","",IF(COUNTIF($V$5:$V1087,$V1087)=1,1,""))</f>
        <v/>
      </c>
      <c r="X1087" s="58" t="str">
        <f>IF($W1087="","",MAX($X$4:X1086)+1)</f>
        <v/>
      </c>
      <c r="Y1087" s="62"/>
      <c r="Z1087" s="62"/>
      <c r="AA1087" s="64" t="str">
        <f>IF($C1087="","",IFERROR(INDEX('Staff Directory'!$E$5:$E$594,MATCH($C1087,'Staff Directory'!$B$5:$B$594,0)),""))</f>
        <v>firstname123.lastname123@example.com</v>
      </c>
      <c r="AB1087" s="64" t="str">
        <f>IF($C1087="","",IF(ISNUMBER(SEARCH($D1087,Settings!$C$15)),"Pickup","Dispatch"))</f>
        <v>Pickup</v>
      </c>
      <c r="AC1087" s="64" t="str">
        <f t="shared" si="188"/>
        <v>Supply order ready for pickup</v>
      </c>
      <c r="AD1087" s="64" t="str">
        <f t="shared" si="179"/>
        <v>Dear PSW,
Your order is ready for pickup from Sample Branch, Wed-Fri 9am-4pm.</v>
      </c>
      <c r="AE1087" s="64" t="str">
        <f t="shared" si="180"/>
        <v>mailto:firstname123.lastname123@example.com?subject=Supply%20order%20ready%20for%20pickup&amp;body=Dear%20PSW%2C%0A%0AYour%20order%20is%20ready%20for%20pickup%20from%20Sample%20Branch%2C%20Wed-Fri%209am-4pm.</v>
      </c>
      <c r="AF1087" s="89" t="str">
        <f t="shared" si="189"/>
        <v>Draft email</v>
      </c>
      <c r="AG1087" s="64" t="str">
        <f>IF($C1087="","",IFERROR(INDEX('Staff Directory'!$K$595:$K$599,MATCH($C1087,'Staff Directory'!$B$5:$B$599,0)),$D1087))</f>
        <v>PSW</v>
      </c>
      <c r="AH1087" t="str">
        <f>IF($C1087="","",IFERROR(INDEX('Staff Directory'!$I$595:$I$599,MATCH($C1087,'Staff Directory'!$B$5:$B$599,0))&amp;" "&amp;INDEX('Staff Directory'!$J$595:$J$599,MATCH($C1087,'Staff Directory'!$B$5:$B$599,0)),$AG1087))</f>
        <v>PSW</v>
      </c>
      <c r="AI1087" s="102"/>
      <c r="AJ1087" s="101">
        <f>IF($F1087="","",SUMIFS($J$5:$J1087,$F$5:$F1087,$F1087))</f>
        <v>131</v>
      </c>
      <c r="AK1087" s="101">
        <f t="shared" si="181"/>
        <v>131</v>
      </c>
      <c r="AL1087" s="66" t="str" cm="1">
        <f t="array" ref="AL1087">IF($F1087="","",IFERROR(INDEX('Lot Balance'!$B$5:$B$500,MATCH(1,INDEX(('Lot Balance'!$A$5:$A$500=$F1087)*('Lot Balance'!$K$5:$K$500&lt;$AK1087)*('Lot Balance'!$K$5:$K$500+'Lot Balance'!$D$5:$D$500&gt;=$AK1087),0),0)),""))</f>
        <v>20-21734-4</v>
      </c>
      <c r="AM1087" s="66" t="str" cm="1">
        <f t="array" ref="AM1087">IF($F1087="","",IFERROR(INDEX('Lot Balance'!$B$5:$B$500,MATCH(1,INDEX(('Lot Balance'!$A$5:$A$500=$F1087)*('Lot Balance'!$K$5:$K$500&lt;$AJ1087)*('Lot Balance'!$K$5:$K$500+'Lot Balance'!$D$5:$D$500&gt;=$AJ1087),0),0)),""))</f>
        <v>20-21734-4</v>
      </c>
      <c r="AN1087" s="66" t="str">
        <f>IF($F1087="","",IF($AI1087&lt;&gt;"",IF(COUNTIFS('Lot Balance'!$A$5:$A$500,$F1087,'Lot Balance'!$B$5:$B$500,$AI1087)=0,"⚠ override is not a lot of this item",IF($AI1087=$AL1087,"Override = FEFO","Override - FEFO says "&amp;$AL1087)),IF($AL1087="","⚠ no receipt on file for this item",IF($AM1087&lt;&gt;$AL1087,"FEFO auto - split, also "&amp;$AM1087,"FEFO auto"))))</f>
        <v>FEFO auto</v>
      </c>
      <c r="AO1087" s="114"/>
    </row>
    <row r="1088" spans="1:41" x14ac:dyDescent="0.35">
      <c r="A1088" s="74">
        <v>46177</v>
      </c>
      <c r="B1088" s="18" t="str">
        <f>IF($C1088="","",IFERROR(INDEX('Staff Directory'!$A$5:$A$594,MATCH($C1088,'Staff Directory'!$B$5:$B$594,0)),"⚠ unknown staff"))</f>
        <v>PSW-063-A6</v>
      </c>
      <c r="C1088" s="49" t="s">
        <v>1039</v>
      </c>
      <c r="D1088" s="19" t="str">
        <f>IF($B1088="","",IFERROR(INDEX('Staff Directory'!$C$5:$C$594,MATCH($B1088,'Staff Directory'!$A$5:$A$594,0)),""))</f>
        <v>PSW</v>
      </c>
      <c r="E1088" s="19" t="str">
        <f>IF($B1088="","",IFERROR(INDEX('Staff Directory'!$D$5:$D$594,MATCH($B1088,'Staff Directory'!$A$5:$A$594,0)),""))</f>
        <v>A6</v>
      </c>
      <c r="F1088" s="9" t="s">
        <v>115</v>
      </c>
      <c r="G1088" s="18" t="str">
        <f>IF($F1088="","",IFERROR(INDEX(Items!$B$5:$B$597,MATCH($F1088,Items!$A$5:$A$597,0)),"⚠ not in Items"))</f>
        <v>Wipes</v>
      </c>
      <c r="H1088" s="19">
        <f>IF($F1088="","",IFERROR(INDEX(Items!$C$5:$C$597,MATCH($F1088,Items!$A$5:$A$597,0)),""))</f>
        <v>80</v>
      </c>
      <c r="I1088" s="23">
        <f>IF($F1088="","",IFERROR(INDEX(Items!$E$5:$E$597,MATCH($F1088,Items!$A$5:$A$597,0)),""))</f>
        <v>80</v>
      </c>
      <c r="J1088" s="115">
        <f>IF(tblIssues[[#This Row],[Qty Override]]&lt;&gt;"",tblIssues[[#This Row],[Qty Override]],IF(tblIssues[[#This Row],[Standard Issue]]="","",tblIssues[[#This Row],[Standard Issue]]))</f>
        <v>80</v>
      </c>
      <c r="K1088" s="20">
        <f>IF($F1088="","",IFERROR(INDEX(Items!$D$5:$D$597,MATCH($F1088,Items!$A$5:$A$597,0)),""))</f>
        <v>0.1</v>
      </c>
      <c r="L1088" s="21">
        <f t="shared" si="184"/>
        <v>8</v>
      </c>
      <c r="M1088" s="9" t="str">
        <f t="shared" si="182"/>
        <v>LYSL500290</v>
      </c>
      <c r="N1088" s="24">
        <f>IF($A1088="","",WORKDAY($A1088,Settings!$C$9,HolidayDates))</f>
        <v>46185</v>
      </c>
      <c r="O1088" s="24">
        <f>IF($N1088="","",WORKDAY($N1088,Settings!$C$10,HolidayDates))</f>
        <v>46225</v>
      </c>
      <c r="P1088" s="10" t="s">
        <v>501</v>
      </c>
      <c r="Q1088" s="52" t="str">
        <f t="shared" si="185"/>
        <v>Collected</v>
      </c>
      <c r="R1088" s="55" t="str">
        <f t="shared" si="186"/>
        <v>2026-06</v>
      </c>
      <c r="S1088" s="55">
        <f>IF(OR($B1088="",$F1088="",$R1088=""),"",SUMIFS(tblIssues[Qty Issued],tblIssues[Staff ID],$B1088,tblIssues[Item Name],$F1088,tblIssues[Month],$R1088))</f>
        <v>80</v>
      </c>
      <c r="T1088" s="56">
        <f>IF($I1088="","",$I1088*Settings!$C$11)</f>
        <v>80</v>
      </c>
      <c r="U1088" s="57" t="str">
        <f t="shared" si="183"/>
        <v>OK</v>
      </c>
      <c r="V1088" s="55" t="str">
        <f t="shared" si="187"/>
        <v/>
      </c>
      <c r="W1088" s="55" t="str">
        <f>IF($V1088="","",IF(COUNTIF($V$5:$V1088,$V1088)=1,1,""))</f>
        <v/>
      </c>
      <c r="X1088" s="58" t="str">
        <f>IF($W1088="","",MAX($X$4:X1087)+1)</f>
        <v/>
      </c>
      <c r="Y1088" s="62"/>
      <c r="Z1088" s="62"/>
      <c r="AA1088" s="64" t="str">
        <f>IF($C1088="","",IFERROR(INDEX('Staff Directory'!$E$5:$E$594,MATCH($C1088,'Staff Directory'!$B$5:$B$594,0)),""))</f>
        <v>firstname123.lastname123@example.com</v>
      </c>
      <c r="AB1088" s="64" t="str">
        <f>IF($C1088="","",IF(ISNUMBER(SEARCH($D1088,Settings!$C$15)),"Pickup","Dispatch"))</f>
        <v>Pickup</v>
      </c>
      <c r="AC1088" s="64" t="str">
        <f t="shared" si="188"/>
        <v>Supply order ready for pickup</v>
      </c>
      <c r="AD1088" s="64" t="str">
        <f t="shared" si="179"/>
        <v>Dear PSW,
Your order is ready for pickup from Sample Branch, Wed-Fri 9am-4pm.</v>
      </c>
      <c r="AE1088" s="64" t="str">
        <f t="shared" si="180"/>
        <v>mailto:firstname123.lastname123@example.com?subject=Supply%20order%20ready%20for%20pickup&amp;body=Dear%20PSW%2C%0A%0AYour%20order%20is%20ready%20for%20pickup%20from%20Sample%20Branch%2C%20Wed-Fri%209am-4pm.</v>
      </c>
      <c r="AF1088" s="89" t="str">
        <f t="shared" si="189"/>
        <v>Draft email</v>
      </c>
      <c r="AG1088" s="64" t="str">
        <f>IF($C1088="","",IFERROR(INDEX('Staff Directory'!$K$595:$K$599,MATCH($C1088,'Staff Directory'!$B$5:$B$599,0)),$D1088))</f>
        <v>PSW</v>
      </c>
      <c r="AH1088" t="str">
        <f>IF($C1088="","",IFERROR(INDEX('Staff Directory'!$I$595:$I$599,MATCH($C1088,'Staff Directory'!$B$5:$B$599,0))&amp;" "&amp;INDEX('Staff Directory'!$J$595:$J$599,MATCH($C1088,'Staff Directory'!$B$5:$B$599,0)),$AG1088))</f>
        <v>PSW</v>
      </c>
      <c r="AI1088" s="102"/>
      <c r="AJ1088" s="101">
        <f>IF($F1088="","",SUMIFS($J$5:$J1088,$F$5:$F1088,$F1088))</f>
        <v>14560</v>
      </c>
      <c r="AK1088" s="101">
        <f t="shared" si="181"/>
        <v>14481</v>
      </c>
      <c r="AL1088" s="66" t="str" cm="1">
        <f t="array" ref="AL1088">IF($F1088="","",IFERROR(INDEX('Lot Balance'!$B$5:$B$500,MATCH(1,INDEX(('Lot Balance'!$A$5:$A$500=$F1088)*('Lot Balance'!$K$5:$K$500&lt;$AK1088)*('Lot Balance'!$K$5:$K$500+'Lot Balance'!$D$5:$D$500&gt;=$AK1088),0),0)),""))</f>
        <v>LYSL500290</v>
      </c>
      <c r="AM1088" s="66" t="str" cm="1">
        <f t="array" ref="AM1088">IF($F1088="","",IFERROR(INDEX('Lot Balance'!$B$5:$B$500,MATCH(1,INDEX(('Lot Balance'!$A$5:$A$500=$F1088)*('Lot Balance'!$K$5:$K$500&lt;$AJ1088)*('Lot Balance'!$K$5:$K$500+'Lot Balance'!$D$5:$D$500&gt;=$AJ1088),0),0)),""))</f>
        <v>LYSL500290</v>
      </c>
      <c r="AN1088" s="66" t="str">
        <f>IF($F1088="","",IF($AI1088&lt;&gt;"",IF(COUNTIFS('Lot Balance'!$A$5:$A$500,$F1088,'Lot Balance'!$B$5:$B$500,$AI1088)=0,"⚠ override is not a lot of this item",IF($AI1088=$AL1088,"Override = FEFO","Override - FEFO says "&amp;$AL1088)),IF($AL1088="","⚠ no receipt on file for this item",IF($AM1088&lt;&gt;$AL1088,"FEFO auto - split, also "&amp;$AM1088,"FEFO auto"))))</f>
        <v>FEFO auto</v>
      </c>
      <c r="AO1088" s="114"/>
    </row>
    <row r="1089" spans="1:41" x14ac:dyDescent="0.35">
      <c r="A1089" s="74">
        <v>46177</v>
      </c>
      <c r="B1089" s="18" t="str">
        <f>IF($C1089="","",IFERROR(INDEX('Staff Directory'!$A$5:$A$594,MATCH($C1089,'Staff Directory'!$B$5:$B$594,0)),"⚠ unknown staff"))</f>
        <v>PSW-063-A6</v>
      </c>
      <c r="C1089" s="49" t="s">
        <v>1039</v>
      </c>
      <c r="D1089" s="19" t="str">
        <f>IF($B1089="","",IFERROR(INDEX('Staff Directory'!$C$5:$C$594,MATCH($B1089,'Staff Directory'!$A$5:$A$594,0)),""))</f>
        <v>PSW</v>
      </c>
      <c r="E1089" s="19" t="str">
        <f>IF($B1089="","",IFERROR(INDEX('Staff Directory'!$D$5:$D$594,MATCH($B1089,'Staff Directory'!$A$5:$A$594,0)),""))</f>
        <v>A6</v>
      </c>
      <c r="F1089" s="9" t="s">
        <v>156</v>
      </c>
      <c r="G1089" s="18" t="str">
        <f>IF($F1089="","",IFERROR(INDEX(Items!$B$5:$B$597,MATCH($F1089,Items!$A$5:$A$597,0)),"⚠ not in Items"))</f>
        <v>Masks</v>
      </c>
      <c r="H1089" s="19" t="str">
        <f>IF($F1089="","",IFERROR(INDEX(Items!$C$5:$C$597,MATCH($F1089,Items!$A$5:$A$597,0)),""))</f>
        <v>One Size</v>
      </c>
      <c r="I1089" s="23">
        <f>IF($F1089="","",IFERROR(INDEX(Items!$E$5:$E$597,MATCH($F1089,Items!$A$5:$A$597,0)),""))</f>
        <v>50</v>
      </c>
      <c r="J1089" s="115">
        <f>IF(tblIssues[[#This Row],[Qty Override]]&lt;&gt;"",tblIssues[[#This Row],[Qty Override]],IF(tblIssues[[#This Row],[Standard Issue]]="","",tblIssues[[#This Row],[Standard Issue]]))</f>
        <v>50</v>
      </c>
      <c r="K1089" s="20">
        <f>IF($F1089="","",IFERROR(INDEX(Items!$D$5:$D$597,MATCH($F1089,Items!$A$5:$A$597,0)),""))</f>
        <v>0.25</v>
      </c>
      <c r="L1089" s="21">
        <f t="shared" si="184"/>
        <v>12.5</v>
      </c>
      <c r="M1089" s="9" t="str">
        <f t="shared" si="182"/>
        <v>102GPC24</v>
      </c>
      <c r="N1089" s="24">
        <f>IF($A1089="","",WORKDAY($A1089,Settings!$C$9,HolidayDates))</f>
        <v>46185</v>
      </c>
      <c r="O1089" s="24">
        <f>IF($N1089="","",WORKDAY($N1089,Settings!$C$10,HolidayDates))</f>
        <v>46225</v>
      </c>
      <c r="P1089" s="10" t="s">
        <v>501</v>
      </c>
      <c r="Q1089" s="52" t="str">
        <f t="shared" si="185"/>
        <v>Collected</v>
      </c>
      <c r="R1089" s="55" t="str">
        <f t="shared" si="186"/>
        <v>2026-06</v>
      </c>
      <c r="S1089" s="55">
        <f>IF(OR($B1089="",$F1089="",$R1089=""),"",SUMIFS(tblIssues[Qty Issued],tblIssues[Staff ID],$B1089,tblIssues[Item Name],$F1089,tblIssues[Month],$R1089))</f>
        <v>50</v>
      </c>
      <c r="T1089" s="56">
        <f>IF($I1089="","",$I1089*Settings!$C$11)</f>
        <v>50</v>
      </c>
      <c r="U1089" s="57" t="str">
        <f t="shared" si="183"/>
        <v>OK</v>
      </c>
      <c r="V1089" s="55" t="str">
        <f t="shared" si="187"/>
        <v/>
      </c>
      <c r="W1089" s="55" t="str">
        <f>IF($V1089="","",IF(COUNTIF($V$5:$V1089,$V1089)=1,1,""))</f>
        <v/>
      </c>
      <c r="X1089" s="58" t="str">
        <f>IF($W1089="","",MAX($X$4:X1088)+1)</f>
        <v/>
      </c>
      <c r="Y1089" s="62"/>
      <c r="Z1089" s="62"/>
      <c r="AA1089" s="64" t="str">
        <f>IF($C1089="","",IFERROR(INDEX('Staff Directory'!$E$5:$E$594,MATCH($C1089,'Staff Directory'!$B$5:$B$594,0)),""))</f>
        <v>firstname123.lastname123@example.com</v>
      </c>
      <c r="AB1089" s="64" t="str">
        <f>IF($C1089="","",IF(ISNUMBER(SEARCH($D1089,Settings!$C$15)),"Pickup","Dispatch"))</f>
        <v>Pickup</v>
      </c>
      <c r="AC1089" s="64" t="str">
        <f t="shared" si="188"/>
        <v>Supply order ready for pickup</v>
      </c>
      <c r="AD1089" s="64" t="str">
        <f t="shared" si="179"/>
        <v>Dear PSW,
Your order is ready for pickup from Sample Branch, Wed-Fri 9am-4pm.</v>
      </c>
      <c r="AE1089" s="64" t="str">
        <f t="shared" si="180"/>
        <v>mailto:firstname123.lastname123@example.com?subject=Supply%20order%20ready%20for%20pickup&amp;body=Dear%20PSW%2C%0A%0AYour%20order%20is%20ready%20for%20pickup%20from%20Sample%20Branch%2C%20Wed-Fri%209am-4pm.</v>
      </c>
      <c r="AF1089" s="89" t="str">
        <f t="shared" si="189"/>
        <v>Draft email</v>
      </c>
      <c r="AG1089" s="64" t="str">
        <f>IF($C1089="","",IFERROR(INDEX('Staff Directory'!$K$595:$K$599,MATCH($C1089,'Staff Directory'!$B$5:$B$599,0)),$D1089))</f>
        <v>PSW</v>
      </c>
      <c r="AH1089" t="str">
        <f>IF($C1089="","",IFERROR(INDEX('Staff Directory'!$I$595:$I$599,MATCH($C1089,'Staff Directory'!$B$5:$B$599,0))&amp;" "&amp;INDEX('Staff Directory'!$J$595:$J$599,MATCH($C1089,'Staff Directory'!$B$5:$B$599,0)),$AG1089))</f>
        <v>PSW</v>
      </c>
      <c r="AI1089" s="102"/>
      <c r="AJ1089" s="101">
        <f>IF($F1089="","",SUMIFS($J$5:$J1089,$F$5:$F1089,$F1089))</f>
        <v>8800</v>
      </c>
      <c r="AK1089" s="101">
        <f t="shared" si="181"/>
        <v>8751</v>
      </c>
      <c r="AL1089" s="66" t="str" cm="1">
        <f t="array" ref="AL1089">IF($F1089="","",IFERROR(INDEX('Lot Balance'!$B$5:$B$500,MATCH(1,INDEX(('Lot Balance'!$A$5:$A$500=$F1089)*('Lot Balance'!$K$5:$K$500&lt;$AK1089)*('Lot Balance'!$K$5:$K$500+'Lot Balance'!$D$5:$D$500&gt;=$AK1089),0),0)),""))</f>
        <v>102GPC24</v>
      </c>
      <c r="AM1089" s="66" t="str" cm="1">
        <f t="array" ref="AM1089">IF($F1089="","",IFERROR(INDEX('Lot Balance'!$B$5:$B$500,MATCH(1,INDEX(('Lot Balance'!$A$5:$A$500=$F1089)*('Lot Balance'!$K$5:$K$500&lt;$AJ1089)*('Lot Balance'!$K$5:$K$500+'Lot Balance'!$D$5:$D$500&gt;=$AJ1089),0),0)),""))</f>
        <v>102GPC24</v>
      </c>
      <c r="AN1089" s="66" t="str">
        <f>IF($F1089="","",IF($AI1089&lt;&gt;"",IF(COUNTIFS('Lot Balance'!$A$5:$A$500,$F1089,'Lot Balance'!$B$5:$B$500,$AI1089)=0,"⚠ override is not a lot of this item",IF($AI1089=$AL1089,"Override = FEFO","Override - FEFO says "&amp;$AL1089)),IF($AL1089="","⚠ no receipt on file for this item",IF($AM1089&lt;&gt;$AL1089,"FEFO auto - split, also "&amp;$AM1089,"FEFO auto"))))</f>
        <v>FEFO auto</v>
      </c>
      <c r="AO1089" s="114"/>
    </row>
    <row r="1090" spans="1:41" x14ac:dyDescent="0.35">
      <c r="A1090" s="74">
        <v>46177</v>
      </c>
      <c r="B1090" s="18" t="str">
        <f>IF($C1090="","",IFERROR(INDEX('Staff Directory'!$A$5:$A$594,MATCH($C1090,'Staff Directory'!$B$5:$B$594,0)),"⚠ unknown staff"))</f>
        <v>PSW-069-A4</v>
      </c>
      <c r="C1090" s="49" t="s">
        <v>1045</v>
      </c>
      <c r="D1090" s="19" t="str">
        <f>IF($B1090="","",IFERROR(INDEX('Staff Directory'!$C$5:$C$594,MATCH($B1090,'Staff Directory'!$A$5:$A$594,0)),""))</f>
        <v>PSW</v>
      </c>
      <c r="E1090" s="19" t="str">
        <f>IF($B1090="","",IFERROR(INDEX('Staff Directory'!$D$5:$D$594,MATCH($B1090,'Staff Directory'!$A$5:$A$594,0)),""))</f>
        <v>A4</v>
      </c>
      <c r="F1090" s="9" t="s">
        <v>129</v>
      </c>
      <c r="G1090" s="18" t="str">
        <f>IF($F1090="","",IFERROR(INDEX(Items!$B$5:$B$597,MATCH($F1090,Items!$A$5:$A$597,0)),"⚠ not in Items"))</f>
        <v>Gloves</v>
      </c>
      <c r="H1090" s="19" t="str">
        <f>IF($F1090="","",IFERROR(INDEX(Items!$C$5:$C$597,MATCH($F1090,Items!$A$5:$A$597,0)),""))</f>
        <v>Small</v>
      </c>
      <c r="I1090" s="23">
        <f>IF($F1090="","",IFERROR(INDEX(Items!$E$5:$E$597,MATCH($F1090,Items!$A$5:$A$597,0)),""))</f>
        <v>500</v>
      </c>
      <c r="J1090" s="115">
        <f>IF(tblIssues[[#This Row],[Qty Override]]&lt;&gt;"",tblIssues[[#This Row],[Qty Override]],IF(tblIssues[[#This Row],[Standard Issue]]="","",tblIssues[[#This Row],[Standard Issue]]))</f>
        <v>500</v>
      </c>
      <c r="K1090" s="20">
        <f>IF($F1090="","",IFERROR(INDEX(Items!$D$5:$D$597,MATCH($F1090,Items!$A$5:$A$597,0)),""))</f>
        <v>5.5E-2</v>
      </c>
      <c r="L1090" s="21">
        <f t="shared" si="184"/>
        <v>27.5</v>
      </c>
      <c r="M1090" s="9" t="str">
        <f t="shared" si="182"/>
        <v>ZIM504124207-6</v>
      </c>
      <c r="N1090" s="24">
        <f>IF($A1090="","",WORKDAY($A1090,Settings!$C$9,HolidayDates))</f>
        <v>46185</v>
      </c>
      <c r="O1090" s="24">
        <f>IF($N1090="","",WORKDAY($N1090,Settings!$C$10,HolidayDates))</f>
        <v>46225</v>
      </c>
      <c r="P1090" s="10" t="s">
        <v>501</v>
      </c>
      <c r="Q1090" s="52" t="str">
        <f t="shared" si="185"/>
        <v>Collected</v>
      </c>
      <c r="R1090" s="55" t="str">
        <f t="shared" si="186"/>
        <v>2026-06</v>
      </c>
      <c r="S1090" s="55">
        <f>IF(OR($B1090="",$F1090="",$R1090=""),"",SUMIFS(tblIssues[Qty Issued],tblIssues[Staff ID],$B1090,tblIssues[Item Name],$F1090,tblIssues[Month],$R1090))</f>
        <v>500</v>
      </c>
      <c r="T1090" s="56">
        <f>IF($I1090="","",$I1090*Settings!$C$11)</f>
        <v>500</v>
      </c>
      <c r="U1090" s="57" t="str">
        <f t="shared" si="183"/>
        <v>OK</v>
      </c>
      <c r="V1090" s="55" t="str">
        <f t="shared" si="187"/>
        <v/>
      </c>
      <c r="W1090" s="55" t="str">
        <f>IF($V1090="","",IF(COUNTIF($V$5:$V1090,$V1090)=1,1,""))</f>
        <v/>
      </c>
      <c r="X1090" s="58" t="str">
        <f>IF($W1090="","",MAX($X$4:X1089)+1)</f>
        <v/>
      </c>
      <c r="Y1090" s="62"/>
      <c r="Z1090" s="62"/>
      <c r="AA1090" s="64" t="str">
        <f>IF($C1090="","",IFERROR(INDEX('Staff Directory'!$E$5:$E$594,MATCH($C1090,'Staff Directory'!$B$5:$B$594,0)),""))</f>
        <v>firstname129.lastname129@example.com</v>
      </c>
      <c r="AB1090" s="64" t="str">
        <f>IF($C1090="","",IF(ISNUMBER(SEARCH($D1090,Settings!$C$15)),"Pickup","Dispatch"))</f>
        <v>Pickup</v>
      </c>
      <c r="AC1090" s="64" t="str">
        <f t="shared" si="188"/>
        <v>Supply order ready for pickup</v>
      </c>
      <c r="AD1090" s="64" t="str">
        <f t="shared" si="179"/>
        <v>Dear PSW,
Your order is ready for pickup from Sample Branch, Wed-Fri 9am-4pm.</v>
      </c>
      <c r="AE1090" s="64" t="str">
        <f t="shared" si="180"/>
        <v>mailto:firstname129.lastname129@example.com?subject=Supply%20order%20ready%20for%20pickup&amp;body=Dear%20PSW%2C%0A%0AYour%20order%20is%20ready%20for%20pickup%20from%20Sample%20Branch%2C%20Wed-Fri%209am-4pm.</v>
      </c>
      <c r="AF1090" s="89" t="str">
        <f t="shared" si="189"/>
        <v>Draft email</v>
      </c>
      <c r="AG1090" s="64" t="str">
        <f>IF($C1090="","",IFERROR(INDEX('Staff Directory'!$K$595:$K$599,MATCH($C1090,'Staff Directory'!$B$5:$B$599,0)),$D1090))</f>
        <v>PSW</v>
      </c>
      <c r="AH1090" t="str">
        <f>IF($C1090="","",IFERROR(INDEX('Staff Directory'!$I$595:$I$599,MATCH($C1090,'Staff Directory'!$B$5:$B$599,0))&amp;" "&amp;INDEX('Staff Directory'!$J$595:$J$599,MATCH($C1090,'Staff Directory'!$B$5:$B$599,0)),$AG1090))</f>
        <v>PSW</v>
      </c>
      <c r="AI1090" s="102"/>
      <c r="AJ1090" s="101">
        <f>IF($F1090="","",SUMIFS($J$5:$J1090,$F$5:$F1090,$F1090))</f>
        <v>32500</v>
      </c>
      <c r="AK1090" s="101">
        <f t="shared" si="181"/>
        <v>32001</v>
      </c>
      <c r="AL1090" s="66" t="str" cm="1">
        <f t="array" ref="AL1090">IF($F1090="","",IFERROR(INDEX('Lot Balance'!$B$5:$B$500,MATCH(1,INDEX(('Lot Balance'!$A$5:$A$500=$F1090)*('Lot Balance'!$K$5:$K$500&lt;$AK1090)*('Lot Balance'!$K$5:$K$500+'Lot Balance'!$D$5:$D$500&gt;=$AK1090),0),0)),""))</f>
        <v>ZIM504124207-6</v>
      </c>
      <c r="AM1090" s="66" t="str" cm="1">
        <f t="array" ref="AM1090">IF($F1090="","",IFERROR(INDEX('Lot Balance'!$B$5:$B$500,MATCH(1,INDEX(('Lot Balance'!$A$5:$A$500=$F1090)*('Lot Balance'!$K$5:$K$500&lt;$AJ1090)*('Lot Balance'!$K$5:$K$500+'Lot Balance'!$D$5:$D$500&gt;=$AJ1090),0),0)),""))</f>
        <v>ZIM504124207-6</v>
      </c>
      <c r="AN1090" s="66" t="str">
        <f>IF($F1090="","",IF($AI1090&lt;&gt;"",IF(COUNTIFS('Lot Balance'!$A$5:$A$500,$F1090,'Lot Balance'!$B$5:$B$500,$AI1090)=0,"⚠ override is not a lot of this item",IF($AI1090=$AL1090,"Override = FEFO","Override - FEFO says "&amp;$AL1090)),IF($AL1090="","⚠ no receipt on file for this item",IF($AM1090&lt;&gt;$AL1090,"FEFO auto - split, also "&amp;$AM1090,"FEFO auto"))))</f>
        <v>FEFO auto</v>
      </c>
      <c r="AO1090" s="114"/>
    </row>
    <row r="1091" spans="1:41" x14ac:dyDescent="0.35">
      <c r="A1091" s="74">
        <v>46177</v>
      </c>
      <c r="B1091" s="18" t="str">
        <f>IF($C1091="","",IFERROR(INDEX('Staff Directory'!$A$5:$A$594,MATCH($C1091,'Staff Directory'!$B$5:$B$594,0)),"⚠ unknown staff"))</f>
        <v>PSW-069-A4</v>
      </c>
      <c r="C1091" s="49" t="s">
        <v>1045</v>
      </c>
      <c r="D1091" s="19" t="str">
        <f>IF($B1091="","",IFERROR(INDEX('Staff Directory'!$C$5:$C$594,MATCH($B1091,'Staff Directory'!$A$5:$A$594,0)),""))</f>
        <v>PSW</v>
      </c>
      <c r="E1091" s="19" t="str">
        <f>IF($B1091="","",IFERROR(INDEX('Staff Directory'!$D$5:$D$594,MATCH($B1091,'Staff Directory'!$A$5:$A$594,0)),""))</f>
        <v>A4</v>
      </c>
      <c r="F1091" s="9" t="s">
        <v>156</v>
      </c>
      <c r="G1091" s="18" t="str">
        <f>IF($F1091="","",IFERROR(INDEX(Items!$B$5:$B$597,MATCH($F1091,Items!$A$5:$A$597,0)),"⚠ not in Items"))</f>
        <v>Masks</v>
      </c>
      <c r="H1091" s="19" t="str">
        <f>IF($F1091="","",IFERROR(INDEX(Items!$C$5:$C$597,MATCH($F1091,Items!$A$5:$A$597,0)),""))</f>
        <v>One Size</v>
      </c>
      <c r="I1091" s="23">
        <f>IF($F1091="","",IFERROR(INDEX(Items!$E$5:$E$597,MATCH($F1091,Items!$A$5:$A$597,0)),""))</f>
        <v>50</v>
      </c>
      <c r="J1091" s="115">
        <f>IF(tblIssues[[#This Row],[Qty Override]]&lt;&gt;"",tblIssues[[#This Row],[Qty Override]],IF(tblIssues[[#This Row],[Standard Issue]]="","",tblIssues[[#This Row],[Standard Issue]]))</f>
        <v>50</v>
      </c>
      <c r="K1091" s="20">
        <f>IF($F1091="","",IFERROR(INDEX(Items!$D$5:$D$597,MATCH($F1091,Items!$A$5:$A$597,0)),""))</f>
        <v>0.25</v>
      </c>
      <c r="L1091" s="21">
        <f t="shared" si="184"/>
        <v>12.5</v>
      </c>
      <c r="M1091" s="9" t="str">
        <f t="shared" si="182"/>
        <v>102GPC24</v>
      </c>
      <c r="N1091" s="24">
        <f>IF($A1091="","",WORKDAY($A1091,Settings!$C$9,HolidayDates))</f>
        <v>46185</v>
      </c>
      <c r="O1091" s="24">
        <f>IF($N1091="","",WORKDAY($N1091,Settings!$C$10,HolidayDates))</f>
        <v>46225</v>
      </c>
      <c r="P1091" s="10" t="s">
        <v>501</v>
      </c>
      <c r="Q1091" s="52" t="str">
        <f t="shared" si="185"/>
        <v>Collected</v>
      </c>
      <c r="R1091" s="55" t="str">
        <f t="shared" si="186"/>
        <v>2026-06</v>
      </c>
      <c r="S1091" s="55">
        <f>IF(OR($B1091="",$F1091="",$R1091=""),"",SUMIFS(tblIssues[Qty Issued],tblIssues[Staff ID],$B1091,tblIssues[Item Name],$F1091,tblIssues[Month],$R1091))</f>
        <v>50</v>
      </c>
      <c r="T1091" s="56">
        <f>IF($I1091="","",$I1091*Settings!$C$11)</f>
        <v>50</v>
      </c>
      <c r="U1091" s="57" t="str">
        <f t="shared" si="183"/>
        <v>OK</v>
      </c>
      <c r="V1091" s="55" t="str">
        <f t="shared" si="187"/>
        <v/>
      </c>
      <c r="W1091" s="55" t="str">
        <f>IF($V1091="","",IF(COUNTIF($V$5:$V1091,$V1091)=1,1,""))</f>
        <v/>
      </c>
      <c r="X1091" s="58" t="str">
        <f>IF($W1091="","",MAX($X$4:X1090)+1)</f>
        <v/>
      </c>
      <c r="Y1091" s="62"/>
      <c r="Z1091" s="62"/>
      <c r="AA1091" s="64" t="str">
        <f>IF($C1091="","",IFERROR(INDEX('Staff Directory'!$E$5:$E$594,MATCH($C1091,'Staff Directory'!$B$5:$B$594,0)),""))</f>
        <v>firstname129.lastname129@example.com</v>
      </c>
      <c r="AB1091" s="64" t="str">
        <f>IF($C1091="","",IF(ISNUMBER(SEARCH($D1091,Settings!$C$15)),"Pickup","Dispatch"))</f>
        <v>Pickup</v>
      </c>
      <c r="AC1091" s="64" t="str">
        <f t="shared" si="188"/>
        <v>Supply order ready for pickup</v>
      </c>
      <c r="AD1091" s="64" t="str">
        <f t="shared" si="179"/>
        <v>Dear PSW,
Your order is ready for pickup from Sample Branch, Wed-Fri 9am-4pm.</v>
      </c>
      <c r="AE1091" s="64" t="str">
        <f t="shared" si="180"/>
        <v>mailto:firstname129.lastname129@example.com?subject=Supply%20order%20ready%20for%20pickup&amp;body=Dear%20PSW%2C%0A%0AYour%20order%20is%20ready%20for%20pickup%20from%20Sample%20Branch%2C%20Wed-Fri%209am-4pm.</v>
      </c>
      <c r="AF1091" s="89" t="str">
        <f t="shared" si="189"/>
        <v>Draft email</v>
      </c>
      <c r="AG1091" s="64" t="str">
        <f>IF($C1091="","",IFERROR(INDEX('Staff Directory'!$K$595:$K$599,MATCH($C1091,'Staff Directory'!$B$5:$B$599,0)),$D1091))</f>
        <v>PSW</v>
      </c>
      <c r="AH1091" t="str">
        <f>IF($C1091="","",IFERROR(INDEX('Staff Directory'!$I$595:$I$599,MATCH($C1091,'Staff Directory'!$B$5:$B$599,0))&amp;" "&amp;INDEX('Staff Directory'!$J$595:$J$599,MATCH($C1091,'Staff Directory'!$B$5:$B$599,0)),$AG1091))</f>
        <v>PSW</v>
      </c>
      <c r="AI1091" s="102"/>
      <c r="AJ1091" s="101">
        <f>IF($F1091="","",SUMIFS($J$5:$J1091,$F$5:$F1091,$F1091))</f>
        <v>8850</v>
      </c>
      <c r="AK1091" s="101">
        <f t="shared" si="181"/>
        <v>8801</v>
      </c>
      <c r="AL1091" s="66" t="str" cm="1">
        <f t="array" ref="AL1091">IF($F1091="","",IFERROR(INDEX('Lot Balance'!$B$5:$B$500,MATCH(1,INDEX(('Lot Balance'!$A$5:$A$500=$F1091)*('Lot Balance'!$K$5:$K$500&lt;$AK1091)*('Lot Balance'!$K$5:$K$500+'Lot Balance'!$D$5:$D$500&gt;=$AK1091),0),0)),""))</f>
        <v>102GPC24</v>
      </c>
      <c r="AM1091" s="66" t="str" cm="1">
        <f t="array" ref="AM1091">IF($F1091="","",IFERROR(INDEX('Lot Balance'!$B$5:$B$500,MATCH(1,INDEX(('Lot Balance'!$A$5:$A$500=$F1091)*('Lot Balance'!$K$5:$K$500&lt;$AJ1091)*('Lot Balance'!$K$5:$K$500+'Lot Balance'!$D$5:$D$500&gt;=$AJ1091),0),0)),""))</f>
        <v>102GPC24</v>
      </c>
      <c r="AN1091" s="66" t="str">
        <f>IF($F1091="","",IF($AI1091&lt;&gt;"",IF(COUNTIFS('Lot Balance'!$A$5:$A$500,$F1091,'Lot Balance'!$B$5:$B$500,$AI1091)=0,"⚠ override is not a lot of this item",IF($AI1091=$AL1091,"Override = FEFO","Override - FEFO says "&amp;$AL1091)),IF($AL1091="","⚠ no receipt on file for this item",IF($AM1091&lt;&gt;$AL1091,"FEFO auto - split, also "&amp;$AM1091,"FEFO auto"))))</f>
        <v>FEFO auto</v>
      </c>
      <c r="AO1091" s="114"/>
    </row>
    <row r="1092" spans="1:41" x14ac:dyDescent="0.35">
      <c r="A1092" s="74">
        <v>46177</v>
      </c>
      <c r="B1092" s="18" t="str">
        <f>IF($C1092="","",IFERROR(INDEX('Staff Directory'!$A$5:$A$594,MATCH($C1092,'Staff Directory'!$B$5:$B$594,0)),"⚠ unknown staff"))</f>
        <v>PSW-124-A6</v>
      </c>
      <c r="C1092" s="49" t="s">
        <v>1103</v>
      </c>
      <c r="D1092" s="19" t="str">
        <f>IF($B1092="","",IFERROR(INDEX('Staff Directory'!$C$5:$C$594,MATCH($B1092,'Staff Directory'!$A$5:$A$594,0)),""))</f>
        <v>PSW</v>
      </c>
      <c r="E1092" s="19" t="str">
        <f>IF($B1092="","",IFERROR(INDEX('Staff Directory'!$D$5:$D$594,MATCH($B1092,'Staff Directory'!$A$5:$A$594,0)),""))</f>
        <v>A6</v>
      </c>
      <c r="F1092" s="9" t="s">
        <v>124</v>
      </c>
      <c r="G1092" s="18" t="str">
        <f>IF($F1092="","",IFERROR(INDEX(Items!$B$5:$B$597,MATCH($F1092,Items!$A$5:$A$597,0)),"⚠ not in Items"))</f>
        <v>Gloves</v>
      </c>
      <c r="H1092" s="19" t="str">
        <f>IF($F1092="","",IFERROR(INDEX(Items!$C$5:$C$597,MATCH($F1092,Items!$A$5:$A$597,0)),""))</f>
        <v>Large</v>
      </c>
      <c r="I1092" s="23">
        <f>IF($F1092="","",IFERROR(INDEX(Items!$E$5:$E$597,MATCH($F1092,Items!$A$5:$A$597,0)),""))</f>
        <v>500</v>
      </c>
      <c r="J1092" s="115">
        <f>IF(tblIssues[[#This Row],[Qty Override]]&lt;&gt;"",tblIssues[[#This Row],[Qty Override]],IF(tblIssues[[#This Row],[Standard Issue]]="","",tblIssues[[#This Row],[Standard Issue]]))</f>
        <v>500</v>
      </c>
      <c r="K1092" s="20">
        <f>IF($F1092="","",IFERROR(INDEX(Items!$D$5:$D$597,MATCH($F1092,Items!$A$5:$A$597,0)),""))</f>
        <v>5.5E-2</v>
      </c>
      <c r="L1092" s="21">
        <f t="shared" si="184"/>
        <v>27.5</v>
      </c>
      <c r="M1092" s="9" t="str">
        <f t="shared" si="182"/>
        <v>O742HIC25</v>
      </c>
      <c r="N1092" s="24">
        <f>IF($A1092="","",WORKDAY($A1092,Settings!$C$9,HolidayDates))</f>
        <v>46185</v>
      </c>
      <c r="O1092" s="24">
        <f>IF($N1092="","",WORKDAY($N1092,Settings!$C$10,HolidayDates))</f>
        <v>46225</v>
      </c>
      <c r="P1092" s="10" t="s">
        <v>501</v>
      </c>
      <c r="Q1092" s="52" t="str">
        <f t="shared" si="185"/>
        <v>Collected</v>
      </c>
      <c r="R1092" s="55" t="str">
        <f t="shared" si="186"/>
        <v>2026-06</v>
      </c>
      <c r="S1092" s="55">
        <f>IF(OR($B1092="",$F1092="",$R1092=""),"",SUMIFS(tblIssues[Qty Issued],tblIssues[Staff ID],$B1092,tblIssues[Item Name],$F1092,tblIssues[Month],$R1092))</f>
        <v>500</v>
      </c>
      <c r="T1092" s="56">
        <f>IF($I1092="","",$I1092*Settings!$C$11)</f>
        <v>500</v>
      </c>
      <c r="U1092" s="57" t="str">
        <f t="shared" si="183"/>
        <v>OK</v>
      </c>
      <c r="V1092" s="55" t="str">
        <f t="shared" si="187"/>
        <v/>
      </c>
      <c r="W1092" s="55" t="str">
        <f>IF($V1092="","",IF(COUNTIF($V$5:$V1092,$V1092)=1,1,""))</f>
        <v/>
      </c>
      <c r="X1092" s="58" t="str">
        <f>IF($W1092="","",MAX($X$4:X1091)+1)</f>
        <v/>
      </c>
      <c r="Y1092" s="62"/>
      <c r="Z1092" s="62"/>
      <c r="AA1092" s="64" t="str">
        <f>IF($C1092="","",IFERROR(INDEX('Staff Directory'!$E$5:$E$594,MATCH($C1092,'Staff Directory'!$B$5:$B$594,0)),""))</f>
        <v>firstname187.lastname187@example.com</v>
      </c>
      <c r="AB1092" s="64" t="str">
        <f>IF($C1092="","",IF(ISNUMBER(SEARCH($D1092,Settings!$C$15)),"Pickup","Dispatch"))</f>
        <v>Pickup</v>
      </c>
      <c r="AC1092" s="64" t="str">
        <f t="shared" si="188"/>
        <v>Supply order ready for pickup</v>
      </c>
      <c r="AD1092" s="64" t="str">
        <f t="shared" si="179"/>
        <v>Dear PSW,
Your order is ready for pickup from Sample Branch, Wed-Fri 9am-4pm.</v>
      </c>
      <c r="AE1092" s="64" t="str">
        <f t="shared" si="180"/>
        <v>mailto:firstname187.lastname187@example.com?subject=Supply%20order%20ready%20for%20pickup&amp;body=Dear%20PSW%2C%0A%0AYour%20order%20is%20ready%20for%20pickup%20from%20Sample%20Branch%2C%20Wed-Fri%209am-4pm.</v>
      </c>
      <c r="AF1092" s="89" t="str">
        <f t="shared" si="189"/>
        <v>Draft email</v>
      </c>
      <c r="AG1092" s="64" t="str">
        <f>IF($C1092="","",IFERROR(INDEX('Staff Directory'!$K$595:$K$599,MATCH($C1092,'Staff Directory'!$B$5:$B$599,0)),$D1092))</f>
        <v>PSW</v>
      </c>
      <c r="AH1092" t="str">
        <f>IF($C1092="","",IFERROR(INDEX('Staff Directory'!$I$595:$I$599,MATCH($C1092,'Staff Directory'!$B$5:$B$599,0))&amp;" "&amp;INDEX('Staff Directory'!$J$595:$J$599,MATCH($C1092,'Staff Directory'!$B$5:$B$599,0)),$AG1092))</f>
        <v>PSW</v>
      </c>
      <c r="AI1092" s="102"/>
      <c r="AJ1092" s="101">
        <f>IF($F1092="","",SUMIFS($J$5:$J1092,$F$5:$F1092,$F1092))</f>
        <v>31000</v>
      </c>
      <c r="AK1092" s="101">
        <f t="shared" si="181"/>
        <v>30501</v>
      </c>
      <c r="AL1092" s="66" t="str" cm="1">
        <f t="array" ref="AL1092">IF($F1092="","",IFERROR(INDEX('Lot Balance'!$B$5:$B$500,MATCH(1,INDEX(('Lot Balance'!$A$5:$A$500=$F1092)*('Lot Balance'!$K$5:$K$500&lt;$AK1092)*('Lot Balance'!$K$5:$K$500+'Lot Balance'!$D$5:$D$500&gt;=$AK1092),0),0)),""))</f>
        <v>O742HIC25</v>
      </c>
      <c r="AM1092" s="66" t="str" cm="1">
        <f t="array" ref="AM1092">IF($F1092="","",IFERROR(INDEX('Lot Balance'!$B$5:$B$500,MATCH(1,INDEX(('Lot Balance'!$A$5:$A$500=$F1092)*('Lot Balance'!$K$5:$K$500&lt;$AJ1092)*('Lot Balance'!$K$5:$K$500+'Lot Balance'!$D$5:$D$500&gt;=$AJ1092),0),0)),""))</f>
        <v>O742HIC25</v>
      </c>
      <c r="AN1092" s="66" t="str">
        <f>IF($F1092="","",IF($AI1092&lt;&gt;"",IF(COUNTIFS('Lot Balance'!$A$5:$A$500,$F1092,'Lot Balance'!$B$5:$B$500,$AI1092)=0,"⚠ override is not a lot of this item",IF($AI1092=$AL1092,"Override = FEFO","Override - FEFO says "&amp;$AL1092)),IF($AL1092="","⚠ no receipt on file for this item",IF($AM1092&lt;&gt;$AL1092,"FEFO auto - split, also "&amp;$AM1092,"FEFO auto"))))</f>
        <v>FEFO auto</v>
      </c>
      <c r="AO1092" s="114"/>
    </row>
    <row r="1093" spans="1:41" x14ac:dyDescent="0.35">
      <c r="A1093" s="74">
        <v>46177</v>
      </c>
      <c r="B1093" s="18" t="str">
        <f>IF($C1093="","",IFERROR(INDEX('Staff Directory'!$A$5:$A$594,MATCH($C1093,'Staff Directory'!$B$5:$B$594,0)),"⚠ unknown staff"))</f>
        <v>PSW-124-A6</v>
      </c>
      <c r="C1093" s="49" t="s">
        <v>1103</v>
      </c>
      <c r="D1093" s="19" t="str">
        <f>IF($B1093="","",IFERROR(INDEX('Staff Directory'!$C$5:$C$594,MATCH($B1093,'Staff Directory'!$A$5:$A$594,0)),""))</f>
        <v>PSW</v>
      </c>
      <c r="E1093" s="19" t="str">
        <f>IF($B1093="","",IFERROR(INDEX('Staff Directory'!$D$5:$D$594,MATCH($B1093,'Staff Directory'!$A$5:$A$594,0)),""))</f>
        <v>A6</v>
      </c>
      <c r="F1093" s="9" t="s">
        <v>115</v>
      </c>
      <c r="G1093" s="18" t="str">
        <f>IF($F1093="","",IFERROR(INDEX(Items!$B$5:$B$597,MATCH($F1093,Items!$A$5:$A$597,0)),"⚠ not in Items"))</f>
        <v>Wipes</v>
      </c>
      <c r="H1093" s="19">
        <f>IF($F1093="","",IFERROR(INDEX(Items!$C$5:$C$597,MATCH($F1093,Items!$A$5:$A$597,0)),""))</f>
        <v>80</v>
      </c>
      <c r="I1093" s="23">
        <f>IF($F1093="","",IFERROR(INDEX(Items!$E$5:$E$597,MATCH($F1093,Items!$A$5:$A$597,0)),""))</f>
        <v>80</v>
      </c>
      <c r="J1093" s="115">
        <f>IF(tblIssues[[#This Row],[Qty Override]]&lt;&gt;"",tblIssues[[#This Row],[Qty Override]],IF(tblIssues[[#This Row],[Standard Issue]]="","",tblIssues[[#This Row],[Standard Issue]]))</f>
        <v>80</v>
      </c>
      <c r="K1093" s="20">
        <f>IF($F1093="","",IFERROR(INDEX(Items!$D$5:$D$597,MATCH($F1093,Items!$A$5:$A$597,0)),""))</f>
        <v>0.1</v>
      </c>
      <c r="L1093" s="21">
        <f t="shared" si="184"/>
        <v>8</v>
      </c>
      <c r="M1093" s="9" t="str">
        <f t="shared" si="182"/>
        <v>LYSL500290</v>
      </c>
      <c r="N1093" s="24">
        <f>IF($A1093="","",WORKDAY($A1093,Settings!$C$9,HolidayDates))</f>
        <v>46185</v>
      </c>
      <c r="O1093" s="24">
        <f>IF($N1093="","",WORKDAY($N1093,Settings!$C$10,HolidayDates))</f>
        <v>46225</v>
      </c>
      <c r="P1093" s="10" t="s">
        <v>501</v>
      </c>
      <c r="Q1093" s="52" t="str">
        <f t="shared" si="185"/>
        <v>Collected</v>
      </c>
      <c r="R1093" s="55" t="str">
        <f t="shared" si="186"/>
        <v>2026-06</v>
      </c>
      <c r="S1093" s="55">
        <f>IF(OR($B1093="",$F1093="",$R1093=""),"",SUMIFS(tblIssues[Qty Issued],tblIssues[Staff ID],$B1093,tblIssues[Item Name],$F1093,tblIssues[Month],$R1093))</f>
        <v>80</v>
      </c>
      <c r="T1093" s="56">
        <f>IF($I1093="","",$I1093*Settings!$C$11)</f>
        <v>80</v>
      </c>
      <c r="U1093" s="57" t="str">
        <f t="shared" si="183"/>
        <v>OK</v>
      </c>
      <c r="V1093" s="55" t="str">
        <f t="shared" si="187"/>
        <v/>
      </c>
      <c r="W1093" s="55" t="str">
        <f>IF($V1093="","",IF(COUNTIF($V$5:$V1093,$V1093)=1,1,""))</f>
        <v/>
      </c>
      <c r="X1093" s="58" t="str">
        <f>IF($W1093="","",MAX($X$4:X1092)+1)</f>
        <v/>
      </c>
      <c r="Y1093" s="62"/>
      <c r="Z1093" s="62"/>
      <c r="AA1093" s="64" t="str">
        <f>IF($C1093="","",IFERROR(INDEX('Staff Directory'!$E$5:$E$594,MATCH($C1093,'Staff Directory'!$B$5:$B$594,0)),""))</f>
        <v>firstname187.lastname187@example.com</v>
      </c>
      <c r="AB1093" s="64" t="str">
        <f>IF($C1093="","",IF(ISNUMBER(SEARCH($D1093,Settings!$C$15)),"Pickup","Dispatch"))</f>
        <v>Pickup</v>
      </c>
      <c r="AC1093" s="64" t="str">
        <f t="shared" si="188"/>
        <v>Supply order ready for pickup</v>
      </c>
      <c r="AD1093" s="64" t="str">
        <f t="shared" ref="AD1093:AD1156" si="190">IF($AB1093="Pickup","Dear "&amp;$AH1093&amp;","&amp;CHAR(10)&amp;CHAR(10)&amp;"Your order is ready for pickup from Sample Branch, Wed-Fri 9am-4pm.",IF($AB1093="Dispatch","Dear "&amp;$AH1093&amp;","&amp;CHAR(10)&amp;CHAR(10)&amp;"Your order has been dispatched and is in transit. Reply if undelivered.",""))</f>
        <v>Dear PSW,
Your order is ready for pickup from Sample Branch, Wed-Fri 9am-4pm.</v>
      </c>
      <c r="AE1093" s="64" t="str">
        <f t="shared" ref="AE1093:AE1156" si="191">IF(OR($AA1093="",$AC1093=""),"","mailto:"&amp;$AA1093&amp;"?subject="&amp;_xlfn.ENCODEURL($AC1093)&amp;"&amp;body="&amp;_xlfn.ENCODEURL($AD1093))</f>
        <v>mailto:firstname187.lastname187@example.com?subject=Supply%20order%20ready%20for%20pickup&amp;body=Dear%20PSW%2C%0A%0AYour%20order%20is%20ready%20for%20pickup%20from%20Sample%20Branch%2C%20Wed-Fri%209am-4pm.</v>
      </c>
      <c r="AF1093" s="89" t="str">
        <f t="shared" si="189"/>
        <v>Draft email</v>
      </c>
      <c r="AG1093" s="64" t="str">
        <f>IF($C1093="","",IFERROR(INDEX('Staff Directory'!$K$595:$K$599,MATCH($C1093,'Staff Directory'!$B$5:$B$599,0)),$D1093))</f>
        <v>PSW</v>
      </c>
      <c r="AH1093" t="str">
        <f>IF($C1093="","",IFERROR(INDEX('Staff Directory'!$I$595:$I$599,MATCH($C1093,'Staff Directory'!$B$5:$B$599,0))&amp;" "&amp;INDEX('Staff Directory'!$J$595:$J$599,MATCH($C1093,'Staff Directory'!$B$5:$B$599,0)),$AG1093))</f>
        <v>PSW</v>
      </c>
      <c r="AI1093" s="102"/>
      <c r="AJ1093" s="101">
        <f>IF($F1093="","",SUMIFS($J$5:$J1093,$F$5:$F1093,$F1093))</f>
        <v>14640</v>
      </c>
      <c r="AK1093" s="101">
        <f t="shared" ref="AK1093:AK1156" si="192">IF($F1093="","",MAX(1,$AJ1093-MAX($J1093,0)+1))</f>
        <v>14561</v>
      </c>
      <c r="AL1093" s="66" t="str" cm="1">
        <f t="array" ref="AL1093">IF($F1093="","",IFERROR(INDEX('Lot Balance'!$B$5:$B$500,MATCH(1,INDEX(('Lot Balance'!$A$5:$A$500=$F1093)*('Lot Balance'!$K$5:$K$500&lt;$AK1093)*('Lot Balance'!$K$5:$K$500+'Lot Balance'!$D$5:$D$500&gt;=$AK1093),0),0)),""))</f>
        <v>LYSL500290</v>
      </c>
      <c r="AM1093" s="66" t="str" cm="1">
        <f t="array" ref="AM1093">IF($F1093="","",IFERROR(INDEX('Lot Balance'!$B$5:$B$500,MATCH(1,INDEX(('Lot Balance'!$A$5:$A$500=$F1093)*('Lot Balance'!$K$5:$K$500&lt;$AJ1093)*('Lot Balance'!$K$5:$K$500+'Lot Balance'!$D$5:$D$500&gt;=$AJ1093),0),0)),""))</f>
        <v>LYSL500290</v>
      </c>
      <c r="AN1093" s="66" t="str">
        <f>IF($F1093="","",IF($AI1093&lt;&gt;"",IF(COUNTIFS('Lot Balance'!$A$5:$A$500,$F1093,'Lot Balance'!$B$5:$B$500,$AI1093)=0,"⚠ override is not a lot of this item",IF($AI1093=$AL1093,"Override = FEFO","Override - FEFO says "&amp;$AL1093)),IF($AL1093="","⚠ no receipt on file for this item",IF($AM1093&lt;&gt;$AL1093,"FEFO auto - split, also "&amp;$AM1093,"FEFO auto"))))</f>
        <v>FEFO auto</v>
      </c>
      <c r="AO1093" s="114"/>
    </row>
    <row r="1094" spans="1:41" x14ac:dyDescent="0.35">
      <c r="A1094" s="74">
        <v>46177</v>
      </c>
      <c r="B1094" s="18" t="str">
        <f>IF($C1094="","",IFERROR(INDEX('Staff Directory'!$A$5:$A$594,MATCH($C1094,'Staff Directory'!$B$5:$B$594,0)),"⚠ unknown staff"))</f>
        <v>PSW-124-A6</v>
      </c>
      <c r="C1094" s="49" t="s">
        <v>1103</v>
      </c>
      <c r="D1094" s="19" t="str">
        <f>IF($B1094="","",IFERROR(INDEX('Staff Directory'!$C$5:$C$594,MATCH($B1094,'Staff Directory'!$A$5:$A$594,0)),""))</f>
        <v>PSW</v>
      </c>
      <c r="E1094" s="19" t="str">
        <f>IF($B1094="","",IFERROR(INDEX('Staff Directory'!$D$5:$D$594,MATCH($B1094,'Staff Directory'!$A$5:$A$594,0)),""))</f>
        <v>A6</v>
      </c>
      <c r="F1094" s="9" t="s">
        <v>156</v>
      </c>
      <c r="G1094" s="18" t="str">
        <f>IF($F1094="","",IFERROR(INDEX(Items!$B$5:$B$597,MATCH($F1094,Items!$A$5:$A$597,0)),"⚠ not in Items"))</f>
        <v>Masks</v>
      </c>
      <c r="H1094" s="19" t="str">
        <f>IF($F1094="","",IFERROR(INDEX(Items!$C$5:$C$597,MATCH($F1094,Items!$A$5:$A$597,0)),""))</f>
        <v>One Size</v>
      </c>
      <c r="I1094" s="23">
        <f>IF($F1094="","",IFERROR(INDEX(Items!$E$5:$E$597,MATCH($F1094,Items!$A$5:$A$597,0)),""))</f>
        <v>50</v>
      </c>
      <c r="J1094" s="115">
        <f>IF(tblIssues[[#This Row],[Qty Override]]&lt;&gt;"",tblIssues[[#This Row],[Qty Override]],IF(tblIssues[[#This Row],[Standard Issue]]="","",tblIssues[[#This Row],[Standard Issue]]))</f>
        <v>50</v>
      </c>
      <c r="K1094" s="20">
        <f>IF($F1094="","",IFERROR(INDEX(Items!$D$5:$D$597,MATCH($F1094,Items!$A$5:$A$597,0)),""))</f>
        <v>0.25</v>
      </c>
      <c r="L1094" s="21">
        <f t="shared" si="184"/>
        <v>12.5</v>
      </c>
      <c r="M1094" s="9" t="str">
        <f t="shared" ref="M1094:M1157" si="193">IF($F1094="","",IF($AI1094&lt;&gt;"",$AI1094,$AL1094))</f>
        <v>102GPC24</v>
      </c>
      <c r="N1094" s="24">
        <f>IF($A1094="","",WORKDAY($A1094,Settings!$C$9,HolidayDates))</f>
        <v>46185</v>
      </c>
      <c r="O1094" s="24">
        <f>IF($N1094="","",WORKDAY($N1094,Settings!$C$10,HolidayDates))</f>
        <v>46225</v>
      </c>
      <c r="P1094" s="10" t="s">
        <v>501</v>
      </c>
      <c r="Q1094" s="52" t="str">
        <f t="shared" si="185"/>
        <v>Collected</v>
      </c>
      <c r="R1094" s="55" t="str">
        <f t="shared" si="186"/>
        <v>2026-06</v>
      </c>
      <c r="S1094" s="55">
        <f>IF(OR($B1094="",$F1094="",$R1094=""),"",SUMIFS(tblIssues[Qty Issued],tblIssues[Staff ID],$B1094,tblIssues[Item Name],$F1094,tblIssues[Month],$R1094))</f>
        <v>50</v>
      </c>
      <c r="T1094" s="56">
        <f>IF($I1094="","",$I1094*Settings!$C$11)</f>
        <v>50</v>
      </c>
      <c r="U1094" s="57" t="str">
        <f t="shared" ref="U1094:U1157" si="194">IF(OR($S1094="",$T1094=""),"",IF($S1094&gt;$T1094,IF($Y1094="Approved","APPROVED BY TL","⚠ OVER QUOTA"),"OK"))</f>
        <v>OK</v>
      </c>
      <c r="V1094" s="55" t="str">
        <f t="shared" si="187"/>
        <v/>
      </c>
      <c r="W1094" s="55" t="str">
        <f>IF($V1094="","",IF(COUNTIF($V$5:$V1094,$V1094)=1,1,""))</f>
        <v/>
      </c>
      <c r="X1094" s="58" t="str">
        <f>IF($W1094="","",MAX($X$4:X1093)+1)</f>
        <v/>
      </c>
      <c r="Y1094" s="62"/>
      <c r="Z1094" s="62"/>
      <c r="AA1094" s="64" t="str">
        <f>IF($C1094="","",IFERROR(INDEX('Staff Directory'!$E$5:$E$594,MATCH($C1094,'Staff Directory'!$B$5:$B$594,0)),""))</f>
        <v>firstname187.lastname187@example.com</v>
      </c>
      <c r="AB1094" s="64" t="str">
        <f>IF($C1094="","",IF(ISNUMBER(SEARCH($D1094,Settings!$C$15)),"Pickup","Dispatch"))</f>
        <v>Pickup</v>
      </c>
      <c r="AC1094" s="64" t="str">
        <f t="shared" si="188"/>
        <v>Supply order ready for pickup</v>
      </c>
      <c r="AD1094" s="64" t="str">
        <f t="shared" si="190"/>
        <v>Dear PSW,
Your order is ready for pickup from Sample Branch, Wed-Fri 9am-4pm.</v>
      </c>
      <c r="AE1094" s="64" t="str">
        <f t="shared" si="191"/>
        <v>mailto:firstname187.lastname187@example.com?subject=Supply%20order%20ready%20for%20pickup&amp;body=Dear%20PSW%2C%0A%0AYour%20order%20is%20ready%20for%20pickup%20from%20Sample%20Branch%2C%20Wed-Fri%209am-4pm.</v>
      </c>
      <c r="AF1094" s="89" t="str">
        <f t="shared" si="189"/>
        <v>Draft email</v>
      </c>
      <c r="AG1094" s="64" t="str">
        <f>IF($C1094="","",IFERROR(INDEX('Staff Directory'!$K$595:$K$599,MATCH($C1094,'Staff Directory'!$B$5:$B$599,0)),$D1094))</f>
        <v>PSW</v>
      </c>
      <c r="AH1094" t="str">
        <f>IF($C1094="","",IFERROR(INDEX('Staff Directory'!$I$595:$I$599,MATCH($C1094,'Staff Directory'!$B$5:$B$599,0))&amp;" "&amp;INDEX('Staff Directory'!$J$595:$J$599,MATCH($C1094,'Staff Directory'!$B$5:$B$599,0)),$AG1094))</f>
        <v>PSW</v>
      </c>
      <c r="AI1094" s="102"/>
      <c r="AJ1094" s="101">
        <f>IF($F1094="","",SUMIFS($J$5:$J1094,$F$5:$F1094,$F1094))</f>
        <v>8900</v>
      </c>
      <c r="AK1094" s="101">
        <f t="shared" si="192"/>
        <v>8851</v>
      </c>
      <c r="AL1094" s="66" t="str" cm="1">
        <f t="array" ref="AL1094">IF($F1094="","",IFERROR(INDEX('Lot Balance'!$B$5:$B$500,MATCH(1,INDEX(('Lot Balance'!$A$5:$A$500=$F1094)*('Lot Balance'!$K$5:$K$500&lt;$AK1094)*('Lot Balance'!$K$5:$K$500+'Lot Balance'!$D$5:$D$500&gt;=$AK1094),0),0)),""))</f>
        <v>102GPC24</v>
      </c>
      <c r="AM1094" s="66" t="str" cm="1">
        <f t="array" ref="AM1094">IF($F1094="","",IFERROR(INDEX('Lot Balance'!$B$5:$B$500,MATCH(1,INDEX(('Lot Balance'!$A$5:$A$500=$F1094)*('Lot Balance'!$K$5:$K$500&lt;$AJ1094)*('Lot Balance'!$K$5:$K$500+'Lot Balance'!$D$5:$D$500&gt;=$AJ1094),0),0)),""))</f>
        <v>102GPC24</v>
      </c>
      <c r="AN1094" s="66" t="str">
        <f>IF($F1094="","",IF($AI1094&lt;&gt;"",IF(COUNTIFS('Lot Balance'!$A$5:$A$500,$F1094,'Lot Balance'!$B$5:$B$500,$AI1094)=0,"⚠ override is not a lot of this item",IF($AI1094=$AL1094,"Override = FEFO","Override - FEFO says "&amp;$AL1094)),IF($AL1094="","⚠ no receipt on file for this item",IF($AM1094&lt;&gt;$AL1094,"FEFO auto - split, also "&amp;$AM1094,"FEFO auto"))))</f>
        <v>FEFO auto</v>
      </c>
      <c r="AO1094" s="114"/>
    </row>
    <row r="1095" spans="1:41" x14ac:dyDescent="0.35">
      <c r="A1095" s="74">
        <v>46177</v>
      </c>
      <c r="B1095" s="18" t="str">
        <f>IF($C1095="","",IFERROR(INDEX('Staff Directory'!$A$5:$A$594,MATCH($C1095,'Staff Directory'!$B$5:$B$594,0)),"⚠ unknown staff"))</f>
        <v>PSW-082-A5</v>
      </c>
      <c r="C1095" s="49" t="s">
        <v>1058</v>
      </c>
      <c r="D1095" s="19" t="str">
        <f>IF($B1095="","",IFERROR(INDEX('Staff Directory'!$C$5:$C$594,MATCH($B1095,'Staff Directory'!$A$5:$A$594,0)),""))</f>
        <v>PSW</v>
      </c>
      <c r="E1095" s="19" t="str">
        <f>IF($B1095="","",IFERROR(INDEX('Staff Directory'!$D$5:$D$594,MATCH($B1095,'Staff Directory'!$A$5:$A$594,0)),""))</f>
        <v>A5</v>
      </c>
      <c r="F1095" s="9" t="s">
        <v>124</v>
      </c>
      <c r="G1095" s="18" t="str">
        <f>IF($F1095="","",IFERROR(INDEX(Items!$B$5:$B$597,MATCH($F1095,Items!$A$5:$A$597,0)),"⚠ not in Items"))</f>
        <v>Gloves</v>
      </c>
      <c r="H1095" s="19" t="str">
        <f>IF($F1095="","",IFERROR(INDEX(Items!$C$5:$C$597,MATCH($F1095,Items!$A$5:$A$597,0)),""))</f>
        <v>Large</v>
      </c>
      <c r="I1095" s="23">
        <f>IF($F1095="","",IFERROR(INDEX(Items!$E$5:$E$597,MATCH($F1095,Items!$A$5:$A$597,0)),""))</f>
        <v>500</v>
      </c>
      <c r="J1095" s="115">
        <f>IF(tblIssues[[#This Row],[Qty Override]]&lt;&gt;"",tblIssues[[#This Row],[Qty Override]],IF(tblIssues[[#This Row],[Standard Issue]]="","",tblIssues[[#This Row],[Standard Issue]]))</f>
        <v>500</v>
      </c>
      <c r="K1095" s="20">
        <f>IF($F1095="","",IFERROR(INDEX(Items!$D$5:$D$597,MATCH($F1095,Items!$A$5:$A$597,0)),""))</f>
        <v>5.5E-2</v>
      </c>
      <c r="L1095" s="21">
        <f t="shared" si="184"/>
        <v>27.5</v>
      </c>
      <c r="M1095" s="9" t="str">
        <f t="shared" si="193"/>
        <v>O742HIC25</v>
      </c>
      <c r="N1095" s="24">
        <f>IF($A1095="","",WORKDAY($A1095,Settings!$C$9,HolidayDates))</f>
        <v>46185</v>
      </c>
      <c r="O1095" s="24">
        <f>IF($N1095="","",WORKDAY($N1095,Settings!$C$10,HolidayDates))</f>
        <v>46225</v>
      </c>
      <c r="P1095" s="10" t="s">
        <v>501</v>
      </c>
      <c r="Q1095" s="52" t="str">
        <f t="shared" si="185"/>
        <v>Collected</v>
      </c>
      <c r="R1095" s="55" t="str">
        <f t="shared" si="186"/>
        <v>2026-06</v>
      </c>
      <c r="S1095" s="55">
        <f>IF(OR($B1095="",$F1095="",$R1095=""),"",SUMIFS(tblIssues[Qty Issued],tblIssues[Staff ID],$B1095,tblIssues[Item Name],$F1095,tblIssues[Month],$R1095))</f>
        <v>500</v>
      </c>
      <c r="T1095" s="56">
        <f>IF($I1095="","",$I1095*Settings!$C$11)</f>
        <v>500</v>
      </c>
      <c r="U1095" s="57" t="str">
        <f t="shared" si="194"/>
        <v>OK</v>
      </c>
      <c r="V1095" s="55" t="str">
        <f t="shared" si="187"/>
        <v/>
      </c>
      <c r="W1095" s="55" t="str">
        <f>IF($V1095="","",IF(COUNTIF($V$5:$V1095,$V1095)=1,1,""))</f>
        <v/>
      </c>
      <c r="X1095" s="58" t="str">
        <f>IF($W1095="","",MAX($X$4:X1094)+1)</f>
        <v/>
      </c>
      <c r="Y1095" s="62"/>
      <c r="Z1095" s="62"/>
      <c r="AA1095" s="64" t="str">
        <f>IF($C1095="","",IFERROR(INDEX('Staff Directory'!$E$5:$E$594,MATCH($C1095,'Staff Directory'!$B$5:$B$594,0)),""))</f>
        <v>firstname142.lastname142@example.com</v>
      </c>
      <c r="AB1095" s="64" t="str">
        <f>IF($C1095="","",IF(ISNUMBER(SEARCH($D1095,Settings!$C$15)),"Pickup","Dispatch"))</f>
        <v>Pickup</v>
      </c>
      <c r="AC1095" s="64" t="str">
        <f t="shared" si="188"/>
        <v>Supply order ready for pickup</v>
      </c>
      <c r="AD1095" s="64" t="str">
        <f t="shared" si="190"/>
        <v>Dear PSW,
Your order is ready for pickup from Sample Branch, Wed-Fri 9am-4pm.</v>
      </c>
      <c r="AE1095" s="64" t="str">
        <f t="shared" si="191"/>
        <v>mailto:firstname142.lastname142@example.com?subject=Supply%20order%20ready%20for%20pickup&amp;body=Dear%20PSW%2C%0A%0AYour%20order%20is%20ready%20for%20pickup%20from%20Sample%20Branch%2C%20Wed-Fri%209am-4pm.</v>
      </c>
      <c r="AF1095" s="89" t="str">
        <f t="shared" si="189"/>
        <v>Draft email</v>
      </c>
      <c r="AG1095" s="64" t="str">
        <f>IF($C1095="","",IFERROR(INDEX('Staff Directory'!$K$595:$K$599,MATCH($C1095,'Staff Directory'!$B$5:$B$599,0)),$D1095))</f>
        <v>PSW</v>
      </c>
      <c r="AH1095" t="str">
        <f>IF($C1095="","",IFERROR(INDEX('Staff Directory'!$I$595:$I$599,MATCH($C1095,'Staff Directory'!$B$5:$B$599,0))&amp;" "&amp;INDEX('Staff Directory'!$J$595:$J$599,MATCH($C1095,'Staff Directory'!$B$5:$B$599,0)),$AG1095))</f>
        <v>PSW</v>
      </c>
      <c r="AI1095" s="102"/>
      <c r="AJ1095" s="101">
        <f>IF($F1095="","",SUMIFS($J$5:$J1095,$F$5:$F1095,$F1095))</f>
        <v>31500</v>
      </c>
      <c r="AK1095" s="101">
        <f t="shared" si="192"/>
        <v>31001</v>
      </c>
      <c r="AL1095" s="66" t="str" cm="1">
        <f t="array" ref="AL1095">IF($F1095="","",IFERROR(INDEX('Lot Balance'!$B$5:$B$500,MATCH(1,INDEX(('Lot Balance'!$A$5:$A$500=$F1095)*('Lot Balance'!$K$5:$K$500&lt;$AK1095)*('Lot Balance'!$K$5:$K$500+'Lot Balance'!$D$5:$D$500&gt;=$AK1095),0),0)),""))</f>
        <v>O742HIC25</v>
      </c>
      <c r="AM1095" s="66" t="str" cm="1">
        <f t="array" ref="AM1095">IF($F1095="","",IFERROR(INDEX('Lot Balance'!$B$5:$B$500,MATCH(1,INDEX(('Lot Balance'!$A$5:$A$500=$F1095)*('Lot Balance'!$K$5:$K$500&lt;$AJ1095)*('Lot Balance'!$K$5:$K$500+'Lot Balance'!$D$5:$D$500&gt;=$AJ1095),0),0)),""))</f>
        <v>O742HIC25</v>
      </c>
      <c r="AN1095" s="66" t="str">
        <f>IF($F1095="","",IF($AI1095&lt;&gt;"",IF(COUNTIFS('Lot Balance'!$A$5:$A$500,$F1095,'Lot Balance'!$B$5:$B$500,$AI1095)=0,"⚠ override is not a lot of this item",IF($AI1095=$AL1095,"Override = FEFO","Override - FEFO says "&amp;$AL1095)),IF($AL1095="","⚠ no receipt on file for this item",IF($AM1095&lt;&gt;$AL1095,"FEFO auto - split, also "&amp;$AM1095,"FEFO auto"))))</f>
        <v>FEFO auto</v>
      </c>
      <c r="AO1095" s="114"/>
    </row>
    <row r="1096" spans="1:41" x14ac:dyDescent="0.35">
      <c r="A1096" s="74">
        <v>46177</v>
      </c>
      <c r="B1096" s="18" t="str">
        <f>IF($C1096="","",IFERROR(INDEX('Staff Directory'!$A$5:$A$594,MATCH($C1096,'Staff Directory'!$B$5:$B$594,0)),"⚠ unknown staff"))</f>
        <v>PSW-142-A6</v>
      </c>
      <c r="C1096" s="49" t="s">
        <v>1121</v>
      </c>
      <c r="D1096" s="19" t="str">
        <f>IF($B1096="","",IFERROR(INDEX('Staff Directory'!$C$5:$C$594,MATCH($B1096,'Staff Directory'!$A$5:$A$594,0)),""))</f>
        <v>PSW</v>
      </c>
      <c r="E1096" s="19" t="str">
        <f>IF($B1096="","",IFERROR(INDEX('Staff Directory'!$D$5:$D$594,MATCH($B1096,'Staff Directory'!$A$5:$A$594,0)),""))</f>
        <v>A6</v>
      </c>
      <c r="F1096" s="9" t="s">
        <v>129</v>
      </c>
      <c r="G1096" s="18" t="str">
        <f>IF($F1096="","",IFERROR(INDEX(Items!$B$5:$B$597,MATCH($F1096,Items!$A$5:$A$597,0)),"⚠ not in Items"))</f>
        <v>Gloves</v>
      </c>
      <c r="H1096" s="19" t="str">
        <f>IF($F1096="","",IFERROR(INDEX(Items!$C$5:$C$597,MATCH($F1096,Items!$A$5:$A$597,0)),""))</f>
        <v>Small</v>
      </c>
      <c r="I1096" s="23">
        <f>IF($F1096="","",IFERROR(INDEX(Items!$E$5:$E$597,MATCH($F1096,Items!$A$5:$A$597,0)),""))</f>
        <v>500</v>
      </c>
      <c r="J1096" s="115">
        <f>IF(tblIssues[[#This Row],[Qty Override]]&lt;&gt;"",tblIssues[[#This Row],[Qty Override]],IF(tblIssues[[#This Row],[Standard Issue]]="","",tblIssues[[#This Row],[Standard Issue]]))</f>
        <v>500</v>
      </c>
      <c r="K1096" s="20">
        <f>IF($F1096="","",IFERROR(INDEX(Items!$D$5:$D$597,MATCH($F1096,Items!$A$5:$A$597,0)),""))</f>
        <v>5.5E-2</v>
      </c>
      <c r="L1096" s="21">
        <f t="shared" ref="L1096:L1159" si="195">IF(OR($J1096="",$K1096=""),"",$J1096*$K1096)</f>
        <v>27.5</v>
      </c>
      <c r="M1096" s="9" t="str">
        <f t="shared" si="193"/>
        <v>ZIM504124207-6</v>
      </c>
      <c r="N1096" s="24">
        <f>IF($A1096="","",WORKDAY($A1096,Settings!$C$9,HolidayDates))</f>
        <v>46185</v>
      </c>
      <c r="O1096" s="24">
        <f>IF($N1096="","",WORKDAY($N1096,Settings!$C$10,HolidayDates))</f>
        <v>46225</v>
      </c>
      <c r="P1096" s="10" t="s">
        <v>501</v>
      </c>
      <c r="Q1096" s="52" t="str">
        <f t="shared" si="185"/>
        <v>Collected</v>
      </c>
      <c r="R1096" s="55" t="str">
        <f t="shared" si="186"/>
        <v>2026-06</v>
      </c>
      <c r="S1096" s="55">
        <f>IF(OR($B1096="",$F1096="",$R1096=""),"",SUMIFS(tblIssues[Qty Issued],tblIssues[Staff ID],$B1096,tblIssues[Item Name],$F1096,tblIssues[Month],$R1096))</f>
        <v>500</v>
      </c>
      <c r="T1096" s="56">
        <f>IF($I1096="","",$I1096*Settings!$C$11)</f>
        <v>500</v>
      </c>
      <c r="U1096" s="57" t="str">
        <f t="shared" si="194"/>
        <v>OK</v>
      </c>
      <c r="V1096" s="55" t="str">
        <f t="shared" si="187"/>
        <v/>
      </c>
      <c r="W1096" s="55" t="str">
        <f>IF($V1096="","",IF(COUNTIF($V$5:$V1096,$V1096)=1,1,""))</f>
        <v/>
      </c>
      <c r="X1096" s="58" t="str">
        <f>IF($W1096="","",MAX($X$4:X1095)+1)</f>
        <v/>
      </c>
      <c r="Y1096" s="62"/>
      <c r="Z1096" s="62"/>
      <c r="AA1096" s="64" t="str">
        <f>IF($C1096="","",IFERROR(INDEX('Staff Directory'!$E$5:$E$594,MATCH($C1096,'Staff Directory'!$B$5:$B$594,0)),""))</f>
        <v>firstname205.lastname205@example.com</v>
      </c>
      <c r="AB1096" s="64" t="str">
        <f>IF($C1096="","",IF(ISNUMBER(SEARCH($D1096,Settings!$C$15)),"Pickup","Dispatch"))</f>
        <v>Pickup</v>
      </c>
      <c r="AC1096" s="64" t="str">
        <f t="shared" si="188"/>
        <v>Supply order ready for pickup</v>
      </c>
      <c r="AD1096" s="64" t="str">
        <f t="shared" si="190"/>
        <v>Dear PSW,
Your order is ready for pickup from Sample Branch, Wed-Fri 9am-4pm.</v>
      </c>
      <c r="AE1096" s="64" t="str">
        <f t="shared" si="191"/>
        <v>mailto:firstname205.lastname205@example.com?subject=Supply%20order%20ready%20for%20pickup&amp;body=Dear%20PSW%2C%0A%0AYour%20order%20is%20ready%20for%20pickup%20from%20Sample%20Branch%2C%20Wed-Fri%209am-4pm.</v>
      </c>
      <c r="AF1096" s="89" t="str">
        <f t="shared" si="189"/>
        <v>Draft email</v>
      </c>
      <c r="AG1096" s="64" t="str">
        <f>IF($C1096="","",IFERROR(INDEX('Staff Directory'!$K$595:$K$599,MATCH($C1096,'Staff Directory'!$B$5:$B$599,0)),$D1096))</f>
        <v>PSW</v>
      </c>
      <c r="AH1096" t="str">
        <f>IF($C1096="","",IFERROR(INDEX('Staff Directory'!$I$595:$I$599,MATCH($C1096,'Staff Directory'!$B$5:$B$599,0))&amp;" "&amp;INDEX('Staff Directory'!$J$595:$J$599,MATCH($C1096,'Staff Directory'!$B$5:$B$599,0)),$AG1096))</f>
        <v>PSW</v>
      </c>
      <c r="AI1096" s="102"/>
      <c r="AJ1096" s="101">
        <f>IF($F1096="","",SUMIFS($J$5:$J1096,$F$5:$F1096,$F1096))</f>
        <v>33000</v>
      </c>
      <c r="AK1096" s="101">
        <f t="shared" si="192"/>
        <v>32501</v>
      </c>
      <c r="AL1096" s="66" t="str" cm="1">
        <f t="array" ref="AL1096">IF($F1096="","",IFERROR(INDEX('Lot Balance'!$B$5:$B$500,MATCH(1,INDEX(('Lot Balance'!$A$5:$A$500=$F1096)*('Lot Balance'!$K$5:$K$500&lt;$AK1096)*('Lot Balance'!$K$5:$K$500+'Lot Balance'!$D$5:$D$500&gt;=$AK1096),0),0)),""))</f>
        <v>ZIM504124207-6</v>
      </c>
      <c r="AM1096" s="66" t="str" cm="1">
        <f t="array" ref="AM1096">IF($F1096="","",IFERROR(INDEX('Lot Balance'!$B$5:$B$500,MATCH(1,INDEX(('Lot Balance'!$A$5:$A$500=$F1096)*('Lot Balance'!$K$5:$K$500&lt;$AJ1096)*('Lot Balance'!$K$5:$K$500+'Lot Balance'!$D$5:$D$500&gt;=$AJ1096),0),0)),""))</f>
        <v>ZIM504124207-6</v>
      </c>
      <c r="AN1096" s="66" t="str">
        <f>IF($F1096="","",IF($AI1096&lt;&gt;"",IF(COUNTIFS('Lot Balance'!$A$5:$A$500,$F1096,'Lot Balance'!$B$5:$B$500,$AI1096)=0,"⚠ override is not a lot of this item",IF($AI1096=$AL1096,"Override = FEFO","Override - FEFO says "&amp;$AL1096)),IF($AL1096="","⚠ no receipt on file for this item",IF($AM1096&lt;&gt;$AL1096,"FEFO auto - split, also "&amp;$AM1096,"FEFO auto"))))</f>
        <v>FEFO auto</v>
      </c>
      <c r="AO1096" s="114"/>
    </row>
    <row r="1097" spans="1:41" x14ac:dyDescent="0.35">
      <c r="A1097" s="74">
        <v>46177</v>
      </c>
      <c r="B1097" s="18" t="str">
        <f>IF($C1097="","",IFERROR(INDEX('Staff Directory'!$A$5:$A$594,MATCH($C1097,'Staff Directory'!$B$5:$B$594,0)),"⚠ unknown staff"))</f>
        <v>PSW-142-A6</v>
      </c>
      <c r="C1097" s="49" t="s">
        <v>1121</v>
      </c>
      <c r="D1097" s="19" t="str">
        <f>IF($B1097="","",IFERROR(INDEX('Staff Directory'!$C$5:$C$594,MATCH($B1097,'Staff Directory'!$A$5:$A$594,0)),""))</f>
        <v>PSW</v>
      </c>
      <c r="E1097" s="19" t="str">
        <f>IF($B1097="","",IFERROR(INDEX('Staff Directory'!$D$5:$D$594,MATCH($B1097,'Staff Directory'!$A$5:$A$594,0)),""))</f>
        <v>A6</v>
      </c>
      <c r="F1097" s="9" t="s">
        <v>191</v>
      </c>
      <c r="G1097" s="18" t="str">
        <f>IF($F1097="","",IFERROR(INDEX(Items!$B$5:$B$597,MATCH($F1097,Items!$A$5:$A$597,0)),"⚠ not in Items"))</f>
        <v>Sanitizer</v>
      </c>
      <c r="H1097" s="19" t="str">
        <f>IF($F1097="","",IFERROR(INDEX(Items!$C$5:$C$597,MATCH($F1097,Items!$A$5:$A$597,0)),""))</f>
        <v>236 ML</v>
      </c>
      <c r="I1097" s="23">
        <f>IF($F1097="","",IFERROR(INDEX(Items!$E$5:$E$597,MATCH($F1097,Items!$A$5:$A$597,0)),""))</f>
        <v>1</v>
      </c>
      <c r="J1097" s="115">
        <f>IF(tblIssues[[#This Row],[Qty Override]]&lt;&gt;"",tblIssues[[#This Row],[Qty Override]],IF(tblIssues[[#This Row],[Standard Issue]]="","",tblIssues[[#This Row],[Standard Issue]]))</f>
        <v>1</v>
      </c>
      <c r="K1097" s="20">
        <f>IF($F1097="","",IFERROR(INDEX(Items!$D$5:$D$597,MATCH($F1097,Items!$A$5:$A$597,0)),""))</f>
        <v>1E-4</v>
      </c>
      <c r="L1097" s="21">
        <f t="shared" si="195"/>
        <v>1E-4</v>
      </c>
      <c r="M1097" s="9" t="str">
        <f t="shared" si="193"/>
        <v>20-21734-4</v>
      </c>
      <c r="N1097" s="24">
        <f>IF($A1097="","",WORKDAY($A1097,Settings!$C$9,HolidayDates))</f>
        <v>46185</v>
      </c>
      <c r="O1097" s="24">
        <f>IF($N1097="","",WORKDAY($N1097,Settings!$C$10,HolidayDates))</f>
        <v>46225</v>
      </c>
      <c r="P1097" s="10" t="s">
        <v>501</v>
      </c>
      <c r="Q1097" s="52" t="str">
        <f t="shared" si="185"/>
        <v>Collected</v>
      </c>
      <c r="R1097" s="55" t="str">
        <f t="shared" si="186"/>
        <v>2026-06</v>
      </c>
      <c r="S1097" s="55">
        <f>IF(OR($B1097="",$F1097="",$R1097=""),"",SUMIFS(tblIssues[Qty Issued],tblIssues[Staff ID],$B1097,tblIssues[Item Name],$F1097,tblIssues[Month],$R1097))</f>
        <v>1</v>
      </c>
      <c r="T1097" s="56">
        <f>IF($I1097="","",$I1097*Settings!$C$11)</f>
        <v>1</v>
      </c>
      <c r="U1097" s="57" t="str">
        <f t="shared" si="194"/>
        <v>OK</v>
      </c>
      <c r="V1097" s="55" t="str">
        <f t="shared" si="187"/>
        <v/>
      </c>
      <c r="W1097" s="55" t="str">
        <f>IF($V1097="","",IF(COUNTIF($V$5:$V1097,$V1097)=1,1,""))</f>
        <v/>
      </c>
      <c r="X1097" s="58" t="str">
        <f>IF($W1097="","",MAX($X$4:X1096)+1)</f>
        <v/>
      </c>
      <c r="Y1097" s="62"/>
      <c r="Z1097" s="62"/>
      <c r="AA1097" s="64" t="str">
        <f>IF($C1097="","",IFERROR(INDEX('Staff Directory'!$E$5:$E$594,MATCH($C1097,'Staff Directory'!$B$5:$B$594,0)),""))</f>
        <v>firstname205.lastname205@example.com</v>
      </c>
      <c r="AB1097" s="64" t="str">
        <f>IF($C1097="","",IF(ISNUMBER(SEARCH($D1097,Settings!$C$15)),"Pickup","Dispatch"))</f>
        <v>Pickup</v>
      </c>
      <c r="AC1097" s="64" t="str">
        <f t="shared" si="188"/>
        <v>Supply order ready for pickup</v>
      </c>
      <c r="AD1097" s="64" t="str">
        <f t="shared" si="190"/>
        <v>Dear PSW,
Your order is ready for pickup from Sample Branch, Wed-Fri 9am-4pm.</v>
      </c>
      <c r="AE1097" s="64" t="str">
        <f t="shared" si="191"/>
        <v>mailto:firstname205.lastname205@example.com?subject=Supply%20order%20ready%20for%20pickup&amp;body=Dear%20PSW%2C%0A%0AYour%20order%20is%20ready%20for%20pickup%20from%20Sample%20Branch%2C%20Wed-Fri%209am-4pm.</v>
      </c>
      <c r="AF1097" s="89" t="str">
        <f t="shared" si="189"/>
        <v>Draft email</v>
      </c>
      <c r="AG1097" s="64" t="str">
        <f>IF($C1097="","",IFERROR(INDEX('Staff Directory'!$K$595:$K$599,MATCH($C1097,'Staff Directory'!$B$5:$B$599,0)),$D1097))</f>
        <v>PSW</v>
      </c>
      <c r="AH1097" t="str">
        <f>IF($C1097="","",IFERROR(INDEX('Staff Directory'!$I$595:$I$599,MATCH($C1097,'Staff Directory'!$B$5:$B$599,0))&amp;" "&amp;INDEX('Staff Directory'!$J$595:$J$599,MATCH($C1097,'Staff Directory'!$B$5:$B$599,0)),$AG1097))</f>
        <v>PSW</v>
      </c>
      <c r="AI1097" s="102"/>
      <c r="AJ1097" s="101">
        <f>IF($F1097="","",SUMIFS($J$5:$J1097,$F$5:$F1097,$F1097))</f>
        <v>132</v>
      </c>
      <c r="AK1097" s="101">
        <f t="shared" si="192"/>
        <v>132</v>
      </c>
      <c r="AL1097" s="66" t="str" cm="1">
        <f t="array" ref="AL1097">IF($F1097="","",IFERROR(INDEX('Lot Balance'!$B$5:$B$500,MATCH(1,INDEX(('Lot Balance'!$A$5:$A$500=$F1097)*('Lot Balance'!$K$5:$K$500&lt;$AK1097)*('Lot Balance'!$K$5:$K$500+'Lot Balance'!$D$5:$D$500&gt;=$AK1097),0),0)),""))</f>
        <v>20-21734-4</v>
      </c>
      <c r="AM1097" s="66" t="str" cm="1">
        <f t="array" ref="AM1097">IF($F1097="","",IFERROR(INDEX('Lot Balance'!$B$5:$B$500,MATCH(1,INDEX(('Lot Balance'!$A$5:$A$500=$F1097)*('Lot Balance'!$K$5:$K$500&lt;$AJ1097)*('Lot Balance'!$K$5:$K$500+'Lot Balance'!$D$5:$D$500&gt;=$AJ1097),0),0)),""))</f>
        <v>20-21734-4</v>
      </c>
      <c r="AN1097" s="66" t="str">
        <f>IF($F1097="","",IF($AI1097&lt;&gt;"",IF(COUNTIFS('Lot Balance'!$A$5:$A$500,$F1097,'Lot Balance'!$B$5:$B$500,$AI1097)=0,"⚠ override is not a lot of this item",IF($AI1097=$AL1097,"Override = FEFO","Override - FEFO says "&amp;$AL1097)),IF($AL1097="","⚠ no receipt on file for this item",IF($AM1097&lt;&gt;$AL1097,"FEFO auto - split, also "&amp;$AM1097,"FEFO auto"))))</f>
        <v>FEFO auto</v>
      </c>
      <c r="AO1097" s="114"/>
    </row>
    <row r="1098" spans="1:41" x14ac:dyDescent="0.35">
      <c r="A1098" s="74">
        <v>46177</v>
      </c>
      <c r="B1098" s="18" t="str">
        <f>IF($C1098="","",IFERROR(INDEX('Staff Directory'!$A$5:$A$594,MATCH($C1098,'Staff Directory'!$B$5:$B$594,0)),"⚠ unknown staff"))</f>
        <v>PSW-142-A6</v>
      </c>
      <c r="C1098" s="49" t="s">
        <v>1121</v>
      </c>
      <c r="D1098" s="19" t="str">
        <f>IF($B1098="","",IFERROR(INDEX('Staff Directory'!$C$5:$C$594,MATCH($B1098,'Staff Directory'!$A$5:$A$594,0)),""))</f>
        <v>PSW</v>
      </c>
      <c r="E1098" s="19" t="str">
        <f>IF($B1098="","",IFERROR(INDEX('Staff Directory'!$D$5:$D$594,MATCH($B1098,'Staff Directory'!$A$5:$A$594,0)),""))</f>
        <v>A6</v>
      </c>
      <c r="F1098" s="9" t="s">
        <v>115</v>
      </c>
      <c r="G1098" s="18" t="str">
        <f>IF($F1098="","",IFERROR(INDEX(Items!$B$5:$B$597,MATCH($F1098,Items!$A$5:$A$597,0)),"⚠ not in Items"))</f>
        <v>Wipes</v>
      </c>
      <c r="H1098" s="19">
        <f>IF($F1098="","",IFERROR(INDEX(Items!$C$5:$C$597,MATCH($F1098,Items!$A$5:$A$597,0)),""))</f>
        <v>80</v>
      </c>
      <c r="I1098" s="23">
        <f>IF($F1098="","",IFERROR(INDEX(Items!$E$5:$E$597,MATCH($F1098,Items!$A$5:$A$597,0)),""))</f>
        <v>80</v>
      </c>
      <c r="J1098" s="115">
        <f>IF(tblIssues[[#This Row],[Qty Override]]&lt;&gt;"",tblIssues[[#This Row],[Qty Override]],IF(tblIssues[[#This Row],[Standard Issue]]="","",tblIssues[[#This Row],[Standard Issue]]))</f>
        <v>80</v>
      </c>
      <c r="K1098" s="20">
        <f>IF($F1098="","",IFERROR(INDEX(Items!$D$5:$D$597,MATCH($F1098,Items!$A$5:$A$597,0)),""))</f>
        <v>0.1</v>
      </c>
      <c r="L1098" s="21">
        <f t="shared" si="195"/>
        <v>8</v>
      </c>
      <c r="M1098" s="9" t="str">
        <f t="shared" si="193"/>
        <v>LYSL500290</v>
      </c>
      <c r="N1098" s="24">
        <f>IF($A1098="","",WORKDAY($A1098,Settings!$C$9,HolidayDates))</f>
        <v>46185</v>
      </c>
      <c r="O1098" s="24">
        <f>IF($N1098="","",WORKDAY($N1098,Settings!$C$10,HolidayDates))</f>
        <v>46225</v>
      </c>
      <c r="P1098" s="10" t="s">
        <v>501</v>
      </c>
      <c r="Q1098" s="52" t="str">
        <f t="shared" si="185"/>
        <v>Collected</v>
      </c>
      <c r="R1098" s="55" t="str">
        <f t="shared" si="186"/>
        <v>2026-06</v>
      </c>
      <c r="S1098" s="55">
        <f>IF(OR($B1098="",$F1098="",$R1098=""),"",SUMIFS(tblIssues[Qty Issued],tblIssues[Staff ID],$B1098,tblIssues[Item Name],$F1098,tblIssues[Month],$R1098))</f>
        <v>80</v>
      </c>
      <c r="T1098" s="56">
        <f>IF($I1098="","",$I1098*Settings!$C$11)</f>
        <v>80</v>
      </c>
      <c r="U1098" s="57" t="str">
        <f t="shared" si="194"/>
        <v>OK</v>
      </c>
      <c r="V1098" s="55" t="str">
        <f t="shared" si="187"/>
        <v/>
      </c>
      <c r="W1098" s="55" t="str">
        <f>IF($V1098="","",IF(COUNTIF($V$5:$V1098,$V1098)=1,1,""))</f>
        <v/>
      </c>
      <c r="X1098" s="58" t="str">
        <f>IF($W1098="","",MAX($X$4:X1097)+1)</f>
        <v/>
      </c>
      <c r="Y1098" s="62"/>
      <c r="Z1098" s="62"/>
      <c r="AA1098" s="64" t="str">
        <f>IF($C1098="","",IFERROR(INDEX('Staff Directory'!$E$5:$E$594,MATCH($C1098,'Staff Directory'!$B$5:$B$594,0)),""))</f>
        <v>firstname205.lastname205@example.com</v>
      </c>
      <c r="AB1098" s="64" t="str">
        <f>IF($C1098="","",IF(ISNUMBER(SEARCH($D1098,Settings!$C$15)),"Pickup","Dispatch"))</f>
        <v>Pickup</v>
      </c>
      <c r="AC1098" s="64" t="str">
        <f t="shared" si="188"/>
        <v>Supply order ready for pickup</v>
      </c>
      <c r="AD1098" s="64" t="str">
        <f t="shared" si="190"/>
        <v>Dear PSW,
Your order is ready for pickup from Sample Branch, Wed-Fri 9am-4pm.</v>
      </c>
      <c r="AE1098" s="64" t="str">
        <f t="shared" si="191"/>
        <v>mailto:firstname205.lastname205@example.com?subject=Supply%20order%20ready%20for%20pickup&amp;body=Dear%20PSW%2C%0A%0AYour%20order%20is%20ready%20for%20pickup%20from%20Sample%20Branch%2C%20Wed-Fri%209am-4pm.</v>
      </c>
      <c r="AF1098" s="89" t="str">
        <f t="shared" si="189"/>
        <v>Draft email</v>
      </c>
      <c r="AG1098" s="64" t="str">
        <f>IF($C1098="","",IFERROR(INDEX('Staff Directory'!$K$595:$K$599,MATCH($C1098,'Staff Directory'!$B$5:$B$599,0)),$D1098))</f>
        <v>PSW</v>
      </c>
      <c r="AH1098" t="str">
        <f>IF($C1098="","",IFERROR(INDEX('Staff Directory'!$I$595:$I$599,MATCH($C1098,'Staff Directory'!$B$5:$B$599,0))&amp;" "&amp;INDEX('Staff Directory'!$J$595:$J$599,MATCH($C1098,'Staff Directory'!$B$5:$B$599,0)),$AG1098))</f>
        <v>PSW</v>
      </c>
      <c r="AI1098" s="102"/>
      <c r="AJ1098" s="101">
        <f>IF($F1098="","",SUMIFS($J$5:$J1098,$F$5:$F1098,$F1098))</f>
        <v>14720</v>
      </c>
      <c r="AK1098" s="101">
        <f t="shared" si="192"/>
        <v>14641</v>
      </c>
      <c r="AL1098" s="66" t="str" cm="1">
        <f t="array" ref="AL1098">IF($F1098="","",IFERROR(INDEX('Lot Balance'!$B$5:$B$500,MATCH(1,INDEX(('Lot Balance'!$A$5:$A$500=$F1098)*('Lot Balance'!$K$5:$K$500&lt;$AK1098)*('Lot Balance'!$K$5:$K$500+'Lot Balance'!$D$5:$D$500&gt;=$AK1098),0),0)),""))</f>
        <v>LYSL500290</v>
      </c>
      <c r="AM1098" s="66" t="str" cm="1">
        <f t="array" ref="AM1098">IF($F1098="","",IFERROR(INDEX('Lot Balance'!$B$5:$B$500,MATCH(1,INDEX(('Lot Balance'!$A$5:$A$500=$F1098)*('Lot Balance'!$K$5:$K$500&lt;$AJ1098)*('Lot Balance'!$K$5:$K$500+'Lot Balance'!$D$5:$D$500&gt;=$AJ1098),0),0)),""))</f>
        <v>LYSL500290</v>
      </c>
      <c r="AN1098" s="66" t="str">
        <f>IF($F1098="","",IF($AI1098&lt;&gt;"",IF(COUNTIFS('Lot Balance'!$A$5:$A$500,$F1098,'Lot Balance'!$B$5:$B$500,$AI1098)=0,"⚠ override is not a lot of this item",IF($AI1098=$AL1098,"Override = FEFO","Override - FEFO says "&amp;$AL1098)),IF($AL1098="","⚠ no receipt on file for this item",IF($AM1098&lt;&gt;$AL1098,"FEFO auto - split, also "&amp;$AM1098,"FEFO auto"))))</f>
        <v>FEFO auto</v>
      </c>
      <c r="AO1098" s="114"/>
    </row>
    <row r="1099" spans="1:41" x14ac:dyDescent="0.35">
      <c r="A1099" s="74">
        <v>46177</v>
      </c>
      <c r="B1099" s="18" t="str">
        <f>IF($C1099="","",IFERROR(INDEX('Staff Directory'!$A$5:$A$594,MATCH($C1099,'Staff Directory'!$B$5:$B$594,0)),"⚠ unknown staff"))</f>
        <v>PSW-142-A6</v>
      </c>
      <c r="C1099" s="49" t="s">
        <v>1121</v>
      </c>
      <c r="D1099" s="19" t="str">
        <f>IF($B1099="","",IFERROR(INDEX('Staff Directory'!$C$5:$C$594,MATCH($B1099,'Staff Directory'!$A$5:$A$594,0)),""))</f>
        <v>PSW</v>
      </c>
      <c r="E1099" s="19" t="str">
        <f>IF($B1099="","",IFERROR(INDEX('Staff Directory'!$D$5:$D$594,MATCH($B1099,'Staff Directory'!$A$5:$A$594,0)),""))</f>
        <v>A6</v>
      </c>
      <c r="F1099" s="9" t="s">
        <v>156</v>
      </c>
      <c r="G1099" s="18" t="str">
        <f>IF($F1099="","",IFERROR(INDEX(Items!$B$5:$B$597,MATCH($F1099,Items!$A$5:$A$597,0)),"⚠ not in Items"))</f>
        <v>Masks</v>
      </c>
      <c r="H1099" s="19" t="str">
        <f>IF($F1099="","",IFERROR(INDEX(Items!$C$5:$C$597,MATCH($F1099,Items!$A$5:$A$597,0)),""))</f>
        <v>One Size</v>
      </c>
      <c r="I1099" s="23">
        <f>IF($F1099="","",IFERROR(INDEX(Items!$E$5:$E$597,MATCH($F1099,Items!$A$5:$A$597,0)),""))</f>
        <v>50</v>
      </c>
      <c r="J1099" s="115">
        <f>IF(tblIssues[[#This Row],[Qty Override]]&lt;&gt;"",tblIssues[[#This Row],[Qty Override]],IF(tblIssues[[#This Row],[Standard Issue]]="","",tblIssues[[#This Row],[Standard Issue]]))</f>
        <v>50</v>
      </c>
      <c r="K1099" s="20">
        <f>IF($F1099="","",IFERROR(INDEX(Items!$D$5:$D$597,MATCH($F1099,Items!$A$5:$A$597,0)),""))</f>
        <v>0.25</v>
      </c>
      <c r="L1099" s="21">
        <f t="shared" si="195"/>
        <v>12.5</v>
      </c>
      <c r="M1099" s="9" t="str">
        <f t="shared" si="193"/>
        <v>102GPC24</v>
      </c>
      <c r="N1099" s="24">
        <f>IF($A1099="","",WORKDAY($A1099,Settings!$C$9,HolidayDates))</f>
        <v>46185</v>
      </c>
      <c r="O1099" s="24">
        <f>IF($N1099="","",WORKDAY($N1099,Settings!$C$10,HolidayDates))</f>
        <v>46225</v>
      </c>
      <c r="P1099" s="10" t="s">
        <v>501</v>
      </c>
      <c r="Q1099" s="52" t="str">
        <f t="shared" si="185"/>
        <v>Collected</v>
      </c>
      <c r="R1099" s="55" t="str">
        <f t="shared" si="186"/>
        <v>2026-06</v>
      </c>
      <c r="S1099" s="55">
        <f>IF(OR($B1099="",$F1099="",$R1099=""),"",SUMIFS(tblIssues[Qty Issued],tblIssues[Staff ID],$B1099,tblIssues[Item Name],$F1099,tblIssues[Month],$R1099))</f>
        <v>50</v>
      </c>
      <c r="T1099" s="56">
        <f>IF($I1099="","",$I1099*Settings!$C$11)</f>
        <v>50</v>
      </c>
      <c r="U1099" s="57" t="str">
        <f t="shared" si="194"/>
        <v>OK</v>
      </c>
      <c r="V1099" s="55" t="str">
        <f t="shared" si="187"/>
        <v/>
      </c>
      <c r="W1099" s="55" t="str">
        <f>IF($V1099="","",IF(COUNTIF($V$5:$V1099,$V1099)=1,1,""))</f>
        <v/>
      </c>
      <c r="X1099" s="58" t="str">
        <f>IF($W1099="","",MAX($X$4:X1098)+1)</f>
        <v/>
      </c>
      <c r="Y1099" s="62"/>
      <c r="Z1099" s="62"/>
      <c r="AA1099" s="64" t="str">
        <f>IF($C1099="","",IFERROR(INDEX('Staff Directory'!$E$5:$E$594,MATCH($C1099,'Staff Directory'!$B$5:$B$594,0)),""))</f>
        <v>firstname205.lastname205@example.com</v>
      </c>
      <c r="AB1099" s="64" t="str">
        <f>IF($C1099="","",IF(ISNUMBER(SEARCH($D1099,Settings!$C$15)),"Pickup","Dispatch"))</f>
        <v>Pickup</v>
      </c>
      <c r="AC1099" s="64" t="str">
        <f t="shared" si="188"/>
        <v>Supply order ready for pickup</v>
      </c>
      <c r="AD1099" s="64" t="str">
        <f t="shared" si="190"/>
        <v>Dear PSW,
Your order is ready for pickup from Sample Branch, Wed-Fri 9am-4pm.</v>
      </c>
      <c r="AE1099" s="64" t="str">
        <f t="shared" si="191"/>
        <v>mailto:firstname205.lastname205@example.com?subject=Supply%20order%20ready%20for%20pickup&amp;body=Dear%20PSW%2C%0A%0AYour%20order%20is%20ready%20for%20pickup%20from%20Sample%20Branch%2C%20Wed-Fri%209am-4pm.</v>
      </c>
      <c r="AF1099" s="89" t="str">
        <f t="shared" si="189"/>
        <v>Draft email</v>
      </c>
      <c r="AG1099" s="64" t="str">
        <f>IF($C1099="","",IFERROR(INDEX('Staff Directory'!$K$595:$K$599,MATCH($C1099,'Staff Directory'!$B$5:$B$599,0)),$D1099))</f>
        <v>PSW</v>
      </c>
      <c r="AH1099" t="str">
        <f>IF($C1099="","",IFERROR(INDEX('Staff Directory'!$I$595:$I$599,MATCH($C1099,'Staff Directory'!$B$5:$B$599,0))&amp;" "&amp;INDEX('Staff Directory'!$J$595:$J$599,MATCH($C1099,'Staff Directory'!$B$5:$B$599,0)),$AG1099))</f>
        <v>PSW</v>
      </c>
      <c r="AI1099" s="102"/>
      <c r="AJ1099" s="101">
        <f>IF($F1099="","",SUMIFS($J$5:$J1099,$F$5:$F1099,$F1099))</f>
        <v>8950</v>
      </c>
      <c r="AK1099" s="101">
        <f t="shared" si="192"/>
        <v>8901</v>
      </c>
      <c r="AL1099" s="66" t="str" cm="1">
        <f t="array" ref="AL1099">IF($F1099="","",IFERROR(INDEX('Lot Balance'!$B$5:$B$500,MATCH(1,INDEX(('Lot Balance'!$A$5:$A$500=$F1099)*('Lot Balance'!$K$5:$K$500&lt;$AK1099)*('Lot Balance'!$K$5:$K$500+'Lot Balance'!$D$5:$D$500&gt;=$AK1099),0),0)),""))</f>
        <v>102GPC24</v>
      </c>
      <c r="AM1099" s="66" t="str" cm="1">
        <f t="array" ref="AM1099">IF($F1099="","",IFERROR(INDEX('Lot Balance'!$B$5:$B$500,MATCH(1,INDEX(('Lot Balance'!$A$5:$A$500=$F1099)*('Lot Balance'!$K$5:$K$500&lt;$AJ1099)*('Lot Balance'!$K$5:$K$500+'Lot Balance'!$D$5:$D$500&gt;=$AJ1099),0),0)),""))</f>
        <v>102GPC24</v>
      </c>
      <c r="AN1099" s="66" t="str">
        <f>IF($F1099="","",IF($AI1099&lt;&gt;"",IF(COUNTIFS('Lot Balance'!$A$5:$A$500,$F1099,'Lot Balance'!$B$5:$B$500,$AI1099)=0,"⚠ override is not a lot of this item",IF($AI1099=$AL1099,"Override = FEFO","Override - FEFO says "&amp;$AL1099)),IF($AL1099="","⚠ no receipt on file for this item",IF($AM1099&lt;&gt;$AL1099,"FEFO auto - split, also "&amp;$AM1099,"FEFO auto"))))</f>
        <v>FEFO auto</v>
      </c>
      <c r="AO1099" s="114"/>
    </row>
    <row r="1100" spans="1:41" x14ac:dyDescent="0.35">
      <c r="A1100" s="74">
        <v>46177</v>
      </c>
      <c r="B1100" s="18" t="str">
        <f>IF($C1100="","",IFERROR(INDEX('Staff Directory'!$A$5:$A$594,MATCH($C1100,'Staff Directory'!$B$5:$B$594,0)),"⚠ unknown staff"))</f>
        <v>PSW-073-A5</v>
      </c>
      <c r="C1100" s="49" t="s">
        <v>1049</v>
      </c>
      <c r="D1100" s="19" t="str">
        <f>IF($B1100="","",IFERROR(INDEX('Staff Directory'!$C$5:$C$594,MATCH($B1100,'Staff Directory'!$A$5:$A$594,0)),""))</f>
        <v>PSW</v>
      </c>
      <c r="E1100" s="19" t="str">
        <f>IF($B1100="","",IFERROR(INDEX('Staff Directory'!$D$5:$D$594,MATCH($B1100,'Staff Directory'!$A$5:$A$594,0)),""))</f>
        <v>A5</v>
      </c>
      <c r="F1100" s="9" t="s">
        <v>129</v>
      </c>
      <c r="G1100" s="18" t="str">
        <f>IF($F1100="","",IFERROR(INDEX(Items!$B$5:$B$597,MATCH($F1100,Items!$A$5:$A$597,0)),"⚠ not in Items"))</f>
        <v>Gloves</v>
      </c>
      <c r="H1100" s="19" t="str">
        <f>IF($F1100="","",IFERROR(INDEX(Items!$C$5:$C$597,MATCH($F1100,Items!$A$5:$A$597,0)),""))</f>
        <v>Small</v>
      </c>
      <c r="I1100" s="23">
        <f>IF($F1100="","",IFERROR(INDEX(Items!$E$5:$E$597,MATCH($F1100,Items!$A$5:$A$597,0)),""))</f>
        <v>500</v>
      </c>
      <c r="J1100" s="115">
        <f>IF(tblIssues[[#This Row],[Qty Override]]&lt;&gt;"",tblIssues[[#This Row],[Qty Override]],IF(tblIssues[[#This Row],[Standard Issue]]="","",tblIssues[[#This Row],[Standard Issue]]))</f>
        <v>500</v>
      </c>
      <c r="K1100" s="20">
        <f>IF($F1100="","",IFERROR(INDEX(Items!$D$5:$D$597,MATCH($F1100,Items!$A$5:$A$597,0)),""))</f>
        <v>5.5E-2</v>
      </c>
      <c r="L1100" s="21">
        <f t="shared" si="195"/>
        <v>27.5</v>
      </c>
      <c r="M1100" s="9" t="str">
        <f t="shared" si="193"/>
        <v>ZIM504124207-6</v>
      </c>
      <c r="N1100" s="24">
        <f>IF($A1100="","",WORKDAY($A1100,Settings!$C$9,HolidayDates))</f>
        <v>46185</v>
      </c>
      <c r="O1100" s="24">
        <f>IF($N1100="","",WORKDAY($N1100,Settings!$C$10,HolidayDates))</f>
        <v>46225</v>
      </c>
      <c r="P1100" s="10" t="s">
        <v>501</v>
      </c>
      <c r="Q1100" s="52" t="str">
        <f t="shared" si="185"/>
        <v>Collected</v>
      </c>
      <c r="R1100" s="55" t="str">
        <f t="shared" si="186"/>
        <v>2026-06</v>
      </c>
      <c r="S1100" s="55">
        <f>IF(OR($B1100="",$F1100="",$R1100=""),"",SUMIFS(tblIssues[Qty Issued],tblIssues[Staff ID],$B1100,tblIssues[Item Name],$F1100,tblIssues[Month],$R1100))</f>
        <v>500</v>
      </c>
      <c r="T1100" s="56">
        <f>IF($I1100="","",$I1100*Settings!$C$11)</f>
        <v>500</v>
      </c>
      <c r="U1100" s="57" t="str">
        <f t="shared" si="194"/>
        <v>OK</v>
      </c>
      <c r="V1100" s="55" t="str">
        <f t="shared" si="187"/>
        <v/>
      </c>
      <c r="W1100" s="55" t="str">
        <f>IF($V1100="","",IF(COUNTIF($V$5:$V1100,$V1100)=1,1,""))</f>
        <v/>
      </c>
      <c r="X1100" s="58" t="str">
        <f>IF($W1100="","",MAX($X$4:X1099)+1)</f>
        <v/>
      </c>
      <c r="Y1100" s="62"/>
      <c r="Z1100" s="62"/>
      <c r="AA1100" s="64" t="str">
        <f>IF($C1100="","",IFERROR(INDEX('Staff Directory'!$E$5:$E$594,MATCH($C1100,'Staff Directory'!$B$5:$B$594,0)),""))</f>
        <v>firstname133.lastname133@example.com</v>
      </c>
      <c r="AB1100" s="64" t="str">
        <f>IF($C1100="","",IF(ISNUMBER(SEARCH($D1100,Settings!$C$15)),"Pickup","Dispatch"))</f>
        <v>Pickup</v>
      </c>
      <c r="AC1100" s="64" t="str">
        <f t="shared" si="188"/>
        <v>Supply order ready for pickup</v>
      </c>
      <c r="AD1100" s="64" t="str">
        <f t="shared" si="190"/>
        <v>Dear PSW,
Your order is ready for pickup from Sample Branch, Wed-Fri 9am-4pm.</v>
      </c>
      <c r="AE1100" s="64" t="str">
        <f t="shared" si="191"/>
        <v>mailto:firstname133.lastname133@example.com?subject=Supply%20order%20ready%20for%20pickup&amp;body=Dear%20PSW%2C%0A%0AYour%20order%20is%20ready%20for%20pickup%20from%20Sample%20Branch%2C%20Wed-Fri%209am-4pm.</v>
      </c>
      <c r="AF1100" s="89" t="str">
        <f t="shared" si="189"/>
        <v>Draft email</v>
      </c>
      <c r="AG1100" s="64" t="str">
        <f>IF($C1100="","",IFERROR(INDEX('Staff Directory'!$K$595:$K$599,MATCH($C1100,'Staff Directory'!$B$5:$B$599,0)),$D1100))</f>
        <v>PSW</v>
      </c>
      <c r="AH1100" t="str">
        <f>IF($C1100="","",IFERROR(INDEX('Staff Directory'!$I$595:$I$599,MATCH($C1100,'Staff Directory'!$B$5:$B$599,0))&amp;" "&amp;INDEX('Staff Directory'!$J$595:$J$599,MATCH($C1100,'Staff Directory'!$B$5:$B$599,0)),$AG1100))</f>
        <v>PSW</v>
      </c>
      <c r="AI1100" s="102"/>
      <c r="AJ1100" s="101">
        <f>IF($F1100="","",SUMIFS($J$5:$J1100,$F$5:$F1100,$F1100))</f>
        <v>33500</v>
      </c>
      <c r="AK1100" s="101">
        <f t="shared" si="192"/>
        <v>33001</v>
      </c>
      <c r="AL1100" s="66" t="str" cm="1">
        <f t="array" ref="AL1100">IF($F1100="","",IFERROR(INDEX('Lot Balance'!$B$5:$B$500,MATCH(1,INDEX(('Lot Balance'!$A$5:$A$500=$F1100)*('Lot Balance'!$K$5:$K$500&lt;$AK1100)*('Lot Balance'!$K$5:$K$500+'Lot Balance'!$D$5:$D$500&gt;=$AK1100),0),0)),""))</f>
        <v>ZIM504124207-6</v>
      </c>
      <c r="AM1100" s="66" t="str" cm="1">
        <f t="array" ref="AM1100">IF($F1100="","",IFERROR(INDEX('Lot Balance'!$B$5:$B$500,MATCH(1,INDEX(('Lot Balance'!$A$5:$A$500=$F1100)*('Lot Balance'!$K$5:$K$500&lt;$AJ1100)*('Lot Balance'!$K$5:$K$500+'Lot Balance'!$D$5:$D$500&gt;=$AJ1100),0),0)),""))</f>
        <v>ZIM504124207-6</v>
      </c>
      <c r="AN1100" s="66" t="str">
        <f>IF($F1100="","",IF($AI1100&lt;&gt;"",IF(COUNTIFS('Lot Balance'!$A$5:$A$500,$F1100,'Lot Balance'!$B$5:$B$500,$AI1100)=0,"⚠ override is not a lot of this item",IF($AI1100=$AL1100,"Override = FEFO","Override - FEFO says "&amp;$AL1100)),IF($AL1100="","⚠ no receipt on file for this item",IF($AM1100&lt;&gt;$AL1100,"FEFO auto - split, also "&amp;$AM1100,"FEFO auto"))))</f>
        <v>FEFO auto</v>
      </c>
      <c r="AO1100" s="114"/>
    </row>
    <row r="1101" spans="1:41" x14ac:dyDescent="0.35">
      <c r="A1101" s="74">
        <v>46177</v>
      </c>
      <c r="B1101" s="18" t="str">
        <f>IF($C1101="","",IFERROR(INDEX('Staff Directory'!$A$5:$A$594,MATCH($C1101,'Staff Directory'!$B$5:$B$594,0)),"⚠ unknown staff"))</f>
        <v>PSW-073-A5</v>
      </c>
      <c r="C1101" s="49" t="s">
        <v>1049</v>
      </c>
      <c r="D1101" s="19" t="str">
        <f>IF($B1101="","",IFERROR(INDEX('Staff Directory'!$C$5:$C$594,MATCH($B1101,'Staff Directory'!$A$5:$A$594,0)),""))</f>
        <v>PSW</v>
      </c>
      <c r="E1101" s="19" t="str">
        <f>IF($B1101="","",IFERROR(INDEX('Staff Directory'!$D$5:$D$594,MATCH($B1101,'Staff Directory'!$A$5:$A$594,0)),""))</f>
        <v>A5</v>
      </c>
      <c r="F1101" s="9" t="s">
        <v>156</v>
      </c>
      <c r="G1101" s="18" t="str">
        <f>IF($F1101="","",IFERROR(INDEX(Items!$B$5:$B$597,MATCH($F1101,Items!$A$5:$A$597,0)),"⚠ not in Items"))</f>
        <v>Masks</v>
      </c>
      <c r="H1101" s="19" t="str">
        <f>IF($F1101="","",IFERROR(INDEX(Items!$C$5:$C$597,MATCH($F1101,Items!$A$5:$A$597,0)),""))</f>
        <v>One Size</v>
      </c>
      <c r="I1101" s="23">
        <f>IF($F1101="","",IFERROR(INDEX(Items!$E$5:$E$597,MATCH($F1101,Items!$A$5:$A$597,0)),""))</f>
        <v>50</v>
      </c>
      <c r="J1101" s="115">
        <f>IF(tblIssues[[#This Row],[Qty Override]]&lt;&gt;"",tblIssues[[#This Row],[Qty Override]],IF(tblIssues[[#This Row],[Standard Issue]]="","",tblIssues[[#This Row],[Standard Issue]]))</f>
        <v>50</v>
      </c>
      <c r="K1101" s="20">
        <f>IF($F1101="","",IFERROR(INDEX(Items!$D$5:$D$597,MATCH($F1101,Items!$A$5:$A$597,0)),""))</f>
        <v>0.25</v>
      </c>
      <c r="L1101" s="21">
        <f t="shared" si="195"/>
        <v>12.5</v>
      </c>
      <c r="M1101" s="9" t="str">
        <f t="shared" si="193"/>
        <v>102GPC24</v>
      </c>
      <c r="N1101" s="24">
        <f>IF($A1101="","",WORKDAY($A1101,Settings!$C$9,HolidayDates))</f>
        <v>46185</v>
      </c>
      <c r="O1101" s="24">
        <f>IF($N1101="","",WORKDAY($N1101,Settings!$C$10,HolidayDates))</f>
        <v>46225</v>
      </c>
      <c r="P1101" s="10" t="s">
        <v>501</v>
      </c>
      <c r="Q1101" s="52" t="str">
        <f t="shared" si="185"/>
        <v>Collected</v>
      </c>
      <c r="R1101" s="55" t="str">
        <f t="shared" si="186"/>
        <v>2026-06</v>
      </c>
      <c r="S1101" s="55">
        <f>IF(OR($B1101="",$F1101="",$R1101=""),"",SUMIFS(tblIssues[Qty Issued],tblIssues[Staff ID],$B1101,tblIssues[Item Name],$F1101,tblIssues[Month],$R1101))</f>
        <v>50</v>
      </c>
      <c r="T1101" s="56">
        <f>IF($I1101="","",$I1101*Settings!$C$11)</f>
        <v>50</v>
      </c>
      <c r="U1101" s="57" t="str">
        <f t="shared" si="194"/>
        <v>OK</v>
      </c>
      <c r="V1101" s="55" t="str">
        <f t="shared" si="187"/>
        <v/>
      </c>
      <c r="W1101" s="55" t="str">
        <f>IF($V1101="","",IF(COUNTIF($V$5:$V1101,$V1101)=1,1,""))</f>
        <v/>
      </c>
      <c r="X1101" s="58" t="str">
        <f>IF($W1101="","",MAX($X$4:X1100)+1)</f>
        <v/>
      </c>
      <c r="Y1101" s="62"/>
      <c r="Z1101" s="62"/>
      <c r="AA1101" s="64" t="str">
        <f>IF($C1101="","",IFERROR(INDEX('Staff Directory'!$E$5:$E$594,MATCH($C1101,'Staff Directory'!$B$5:$B$594,0)),""))</f>
        <v>firstname133.lastname133@example.com</v>
      </c>
      <c r="AB1101" s="64" t="str">
        <f>IF($C1101="","",IF(ISNUMBER(SEARCH($D1101,Settings!$C$15)),"Pickup","Dispatch"))</f>
        <v>Pickup</v>
      </c>
      <c r="AC1101" s="64" t="str">
        <f t="shared" si="188"/>
        <v>Supply order ready for pickup</v>
      </c>
      <c r="AD1101" s="64" t="str">
        <f t="shared" si="190"/>
        <v>Dear PSW,
Your order is ready for pickup from Sample Branch, Wed-Fri 9am-4pm.</v>
      </c>
      <c r="AE1101" s="64" t="str">
        <f t="shared" si="191"/>
        <v>mailto:firstname133.lastname133@example.com?subject=Supply%20order%20ready%20for%20pickup&amp;body=Dear%20PSW%2C%0A%0AYour%20order%20is%20ready%20for%20pickup%20from%20Sample%20Branch%2C%20Wed-Fri%209am-4pm.</v>
      </c>
      <c r="AF1101" s="89" t="str">
        <f t="shared" si="189"/>
        <v>Draft email</v>
      </c>
      <c r="AG1101" s="64" t="str">
        <f>IF($C1101="","",IFERROR(INDEX('Staff Directory'!$K$595:$K$599,MATCH($C1101,'Staff Directory'!$B$5:$B$599,0)),$D1101))</f>
        <v>PSW</v>
      </c>
      <c r="AH1101" t="str">
        <f>IF($C1101="","",IFERROR(INDEX('Staff Directory'!$I$595:$I$599,MATCH($C1101,'Staff Directory'!$B$5:$B$599,0))&amp;" "&amp;INDEX('Staff Directory'!$J$595:$J$599,MATCH($C1101,'Staff Directory'!$B$5:$B$599,0)),$AG1101))</f>
        <v>PSW</v>
      </c>
      <c r="AI1101" s="102"/>
      <c r="AJ1101" s="101">
        <f>IF($F1101="","",SUMIFS($J$5:$J1101,$F$5:$F1101,$F1101))</f>
        <v>9000</v>
      </c>
      <c r="AK1101" s="101">
        <f t="shared" si="192"/>
        <v>8951</v>
      </c>
      <c r="AL1101" s="66" t="str" cm="1">
        <f t="array" ref="AL1101">IF($F1101="","",IFERROR(INDEX('Lot Balance'!$B$5:$B$500,MATCH(1,INDEX(('Lot Balance'!$A$5:$A$500=$F1101)*('Lot Balance'!$K$5:$K$500&lt;$AK1101)*('Lot Balance'!$K$5:$K$500+'Lot Balance'!$D$5:$D$500&gt;=$AK1101),0),0)),""))</f>
        <v>102GPC24</v>
      </c>
      <c r="AM1101" s="66" t="str" cm="1">
        <f t="array" ref="AM1101">IF($F1101="","",IFERROR(INDEX('Lot Balance'!$B$5:$B$500,MATCH(1,INDEX(('Lot Balance'!$A$5:$A$500=$F1101)*('Lot Balance'!$K$5:$K$500&lt;$AJ1101)*('Lot Balance'!$K$5:$K$500+'Lot Balance'!$D$5:$D$500&gt;=$AJ1101),0),0)),""))</f>
        <v>102GPC24</v>
      </c>
      <c r="AN1101" s="66" t="str">
        <f>IF($F1101="","",IF($AI1101&lt;&gt;"",IF(COUNTIFS('Lot Balance'!$A$5:$A$500,$F1101,'Lot Balance'!$B$5:$B$500,$AI1101)=0,"⚠ override is not a lot of this item",IF($AI1101=$AL1101,"Override = FEFO","Override - FEFO says "&amp;$AL1101)),IF($AL1101="","⚠ no receipt on file for this item",IF($AM1101&lt;&gt;$AL1101,"FEFO auto - split, also "&amp;$AM1101,"FEFO auto"))))</f>
        <v>FEFO auto</v>
      </c>
      <c r="AO1101" s="114"/>
    </row>
    <row r="1102" spans="1:41" x14ac:dyDescent="0.35">
      <c r="A1102" s="74">
        <v>46177</v>
      </c>
      <c r="B1102" s="18" t="str">
        <f>IF($C1102="","",IFERROR(INDEX('Staff Directory'!$A$5:$A$594,MATCH($C1102,'Staff Directory'!$B$5:$B$594,0)),"⚠ unknown staff"))</f>
        <v>PSW-163-A5</v>
      </c>
      <c r="C1102" s="49" t="s">
        <v>1142</v>
      </c>
      <c r="D1102" s="19" t="str">
        <f>IF($B1102="","",IFERROR(INDEX('Staff Directory'!$C$5:$C$594,MATCH($B1102,'Staff Directory'!$A$5:$A$594,0)),""))</f>
        <v>PSW</v>
      </c>
      <c r="E1102" s="19" t="str">
        <f>IF($B1102="","",IFERROR(INDEX('Staff Directory'!$D$5:$D$594,MATCH($B1102,'Staff Directory'!$A$5:$A$594,0)),""))</f>
        <v>A5</v>
      </c>
      <c r="F1102" s="9" t="s">
        <v>127</v>
      </c>
      <c r="G1102" s="18" t="str">
        <f>IF($F1102="","",IFERROR(INDEX(Items!$B$5:$B$597,MATCH($F1102,Items!$A$5:$A$597,0)),"⚠ not in Items"))</f>
        <v>Gloves</v>
      </c>
      <c r="H1102" s="19" t="str">
        <f>IF($F1102="","",IFERROR(INDEX(Items!$C$5:$C$597,MATCH($F1102,Items!$A$5:$A$597,0)),""))</f>
        <v>Medium</v>
      </c>
      <c r="I1102" s="23">
        <f>IF($F1102="","",IFERROR(INDEX(Items!$E$5:$E$597,MATCH($F1102,Items!$A$5:$A$597,0)),""))</f>
        <v>500</v>
      </c>
      <c r="J1102" s="115">
        <f>IF(tblIssues[[#This Row],[Qty Override]]&lt;&gt;"",tblIssues[[#This Row],[Qty Override]],IF(tblIssues[[#This Row],[Standard Issue]]="","",tblIssues[[#This Row],[Standard Issue]]))</f>
        <v>500</v>
      </c>
      <c r="K1102" s="20">
        <f>IF($F1102="","",IFERROR(INDEX(Items!$D$5:$D$597,MATCH($F1102,Items!$A$5:$A$597,0)),""))</f>
        <v>5.5E-2</v>
      </c>
      <c r="L1102" s="21">
        <f t="shared" si="195"/>
        <v>27.5</v>
      </c>
      <c r="M1102" s="9" t="str">
        <f t="shared" si="193"/>
        <v>ZIM510137962-0</v>
      </c>
      <c r="N1102" s="24">
        <f>IF($A1102="","",WORKDAY($A1102,Settings!$C$9,HolidayDates))</f>
        <v>46185</v>
      </c>
      <c r="O1102" s="24">
        <f>IF($N1102="","",WORKDAY($N1102,Settings!$C$10,HolidayDates))</f>
        <v>46225</v>
      </c>
      <c r="P1102" s="10" t="s">
        <v>501</v>
      </c>
      <c r="Q1102" s="52" t="str">
        <f t="shared" ref="Q1102:Q1165" si="196">IF($A1102="","",IF($P1102&lt;&gt;"","Collected","Pending"))</f>
        <v>Collected</v>
      </c>
      <c r="R1102" s="55" t="str">
        <f t="shared" ref="R1102:R1165" si="197">IF($A1102="","",TEXT($A1102,"yyyy-mm"))</f>
        <v>2026-06</v>
      </c>
      <c r="S1102" s="55">
        <f>IF(OR($B1102="",$F1102="",$R1102=""),"",SUMIFS(tblIssues[Qty Issued],tblIssues[Staff ID],$B1102,tblIssues[Item Name],$F1102,tblIssues[Month],$R1102))</f>
        <v>500</v>
      </c>
      <c r="T1102" s="56">
        <f>IF($I1102="","",$I1102*Settings!$C$11)</f>
        <v>500</v>
      </c>
      <c r="U1102" s="57" t="str">
        <f t="shared" si="194"/>
        <v>OK</v>
      </c>
      <c r="V1102" s="55" t="str">
        <f t="shared" ref="V1102:V1165" si="198">IF($U1102="⚠ OVER QUOTA",$B1102&amp;" | "&amp;$F1102&amp;" | "&amp;$R1102,"")</f>
        <v/>
      </c>
      <c r="W1102" s="55" t="str">
        <f>IF($V1102="","",IF(COUNTIF($V$5:$V1102,$V1102)=1,1,""))</f>
        <v/>
      </c>
      <c r="X1102" s="58" t="str">
        <f>IF($W1102="","",MAX($X$4:X1101)+1)</f>
        <v/>
      </c>
      <c r="Y1102" s="62"/>
      <c r="Z1102" s="62"/>
      <c r="AA1102" s="64" t="str">
        <f>IF($C1102="","",IFERROR(INDEX('Staff Directory'!$E$5:$E$594,MATCH($C1102,'Staff Directory'!$B$5:$B$594,0)),""))</f>
        <v>firstname226.lastname226@example.com</v>
      </c>
      <c r="AB1102" s="64" t="str">
        <f>IF($C1102="","",IF(ISNUMBER(SEARCH($D1102,Settings!$C$15)),"Pickup","Dispatch"))</f>
        <v>Pickup</v>
      </c>
      <c r="AC1102" s="64" t="str">
        <f t="shared" ref="AC1102:AC1165" si="199">IF($AB1102="Pickup","Supply order ready for pickup",IF($AB1102="Dispatch","Supply order dispatched",""))</f>
        <v>Supply order ready for pickup</v>
      </c>
      <c r="AD1102" s="64" t="str">
        <f t="shared" si="190"/>
        <v>Dear PSW,
Your order is ready for pickup from Sample Branch, Wed-Fri 9am-4pm.</v>
      </c>
      <c r="AE1102" s="64" t="str">
        <f t="shared" si="191"/>
        <v>mailto:firstname226.lastname226@example.com?subject=Supply%20order%20ready%20for%20pickup&amp;body=Dear%20PSW%2C%0A%0AYour%20order%20is%20ready%20for%20pickup%20from%20Sample%20Branch%2C%20Wed-Fri%209am-4pm.</v>
      </c>
      <c r="AF1102" s="89" t="str">
        <f t="shared" ref="AF1102:AF1165" si="200">IF(AE1102="","",HYPERLINK(AE1102,"Draft email"))</f>
        <v>Draft email</v>
      </c>
      <c r="AG1102" s="64" t="str">
        <f>IF($C1102="","",IFERROR(INDEX('Staff Directory'!$K$595:$K$599,MATCH($C1102,'Staff Directory'!$B$5:$B$599,0)),$D1102))</f>
        <v>PSW</v>
      </c>
      <c r="AH1102" t="str">
        <f>IF($C1102="","",IFERROR(INDEX('Staff Directory'!$I$595:$I$599,MATCH($C1102,'Staff Directory'!$B$5:$B$599,0))&amp;" "&amp;INDEX('Staff Directory'!$J$595:$J$599,MATCH($C1102,'Staff Directory'!$B$5:$B$599,0)),$AG1102))</f>
        <v>PSW</v>
      </c>
      <c r="AI1102" s="102"/>
      <c r="AJ1102" s="101">
        <f>IF($F1102="","",SUMIFS($J$5:$J1102,$F$5:$F1102,$F1102))</f>
        <v>62000</v>
      </c>
      <c r="AK1102" s="101">
        <f t="shared" si="192"/>
        <v>61501</v>
      </c>
      <c r="AL1102" s="66" t="str" cm="1">
        <f t="array" ref="AL1102">IF($F1102="","",IFERROR(INDEX('Lot Balance'!$B$5:$B$500,MATCH(1,INDEX(('Lot Balance'!$A$5:$A$500=$F1102)*('Lot Balance'!$K$5:$K$500&lt;$AK1102)*('Lot Balance'!$K$5:$K$500+'Lot Balance'!$D$5:$D$500&gt;=$AK1102),0),0)),""))</f>
        <v>ZIM510137962-0</v>
      </c>
      <c r="AM1102" s="66" t="str" cm="1">
        <f t="array" ref="AM1102">IF($F1102="","",IFERROR(INDEX('Lot Balance'!$B$5:$B$500,MATCH(1,INDEX(('Lot Balance'!$A$5:$A$500=$F1102)*('Lot Balance'!$K$5:$K$500&lt;$AJ1102)*('Lot Balance'!$K$5:$K$500+'Lot Balance'!$D$5:$D$500&gt;=$AJ1102),0),0)),""))</f>
        <v>ZIM510137962-0</v>
      </c>
      <c r="AN1102" s="66" t="str">
        <f>IF($F1102="","",IF($AI1102&lt;&gt;"",IF(COUNTIFS('Lot Balance'!$A$5:$A$500,$F1102,'Lot Balance'!$B$5:$B$500,$AI1102)=0,"⚠ override is not a lot of this item",IF($AI1102=$AL1102,"Override = FEFO","Override - FEFO says "&amp;$AL1102)),IF($AL1102="","⚠ no receipt on file for this item",IF($AM1102&lt;&gt;$AL1102,"FEFO auto - split, also "&amp;$AM1102,"FEFO auto"))))</f>
        <v>FEFO auto</v>
      </c>
      <c r="AO1102" s="114"/>
    </row>
    <row r="1103" spans="1:41" x14ac:dyDescent="0.35">
      <c r="A1103" s="74">
        <v>46177</v>
      </c>
      <c r="B1103" s="18" t="str">
        <f>IF($C1103="","",IFERROR(INDEX('Staff Directory'!$A$5:$A$594,MATCH($C1103,'Staff Directory'!$B$5:$B$594,0)),"⚠ unknown staff"))</f>
        <v>PSW-163-A5</v>
      </c>
      <c r="C1103" s="49" t="s">
        <v>1142</v>
      </c>
      <c r="D1103" s="19" t="str">
        <f>IF($B1103="","",IFERROR(INDEX('Staff Directory'!$C$5:$C$594,MATCH($B1103,'Staff Directory'!$A$5:$A$594,0)),""))</f>
        <v>PSW</v>
      </c>
      <c r="E1103" s="19" t="str">
        <f>IF($B1103="","",IFERROR(INDEX('Staff Directory'!$D$5:$D$594,MATCH($B1103,'Staff Directory'!$A$5:$A$594,0)),""))</f>
        <v>A5</v>
      </c>
      <c r="F1103" s="9" t="s">
        <v>191</v>
      </c>
      <c r="G1103" s="18" t="str">
        <f>IF($F1103="","",IFERROR(INDEX(Items!$B$5:$B$597,MATCH($F1103,Items!$A$5:$A$597,0)),"⚠ not in Items"))</f>
        <v>Sanitizer</v>
      </c>
      <c r="H1103" s="19" t="str">
        <f>IF($F1103="","",IFERROR(INDEX(Items!$C$5:$C$597,MATCH($F1103,Items!$A$5:$A$597,0)),""))</f>
        <v>236 ML</v>
      </c>
      <c r="I1103" s="23">
        <f>IF($F1103="","",IFERROR(INDEX(Items!$E$5:$E$597,MATCH($F1103,Items!$A$5:$A$597,0)),""))</f>
        <v>1</v>
      </c>
      <c r="J1103" s="115">
        <f>IF(tblIssues[[#This Row],[Qty Override]]&lt;&gt;"",tblIssues[[#This Row],[Qty Override]],IF(tblIssues[[#This Row],[Standard Issue]]="","",tblIssues[[#This Row],[Standard Issue]]))</f>
        <v>1</v>
      </c>
      <c r="K1103" s="20">
        <f>IF($F1103="","",IFERROR(INDEX(Items!$D$5:$D$597,MATCH($F1103,Items!$A$5:$A$597,0)),""))</f>
        <v>1E-4</v>
      </c>
      <c r="L1103" s="21">
        <f t="shared" si="195"/>
        <v>1E-4</v>
      </c>
      <c r="M1103" s="9" t="str">
        <f t="shared" si="193"/>
        <v>20-21734-4</v>
      </c>
      <c r="N1103" s="24">
        <f>IF($A1103="","",WORKDAY($A1103,Settings!$C$9,HolidayDates))</f>
        <v>46185</v>
      </c>
      <c r="O1103" s="24">
        <f>IF($N1103="","",WORKDAY($N1103,Settings!$C$10,HolidayDates))</f>
        <v>46225</v>
      </c>
      <c r="P1103" s="10" t="s">
        <v>501</v>
      </c>
      <c r="Q1103" s="52" t="str">
        <f t="shared" si="196"/>
        <v>Collected</v>
      </c>
      <c r="R1103" s="55" t="str">
        <f t="shared" si="197"/>
        <v>2026-06</v>
      </c>
      <c r="S1103" s="55">
        <f>IF(OR($B1103="",$F1103="",$R1103=""),"",SUMIFS(tblIssues[Qty Issued],tblIssues[Staff ID],$B1103,tblIssues[Item Name],$F1103,tblIssues[Month],$R1103))</f>
        <v>1</v>
      </c>
      <c r="T1103" s="56">
        <f>IF($I1103="","",$I1103*Settings!$C$11)</f>
        <v>1</v>
      </c>
      <c r="U1103" s="57" t="str">
        <f t="shared" si="194"/>
        <v>OK</v>
      </c>
      <c r="V1103" s="55" t="str">
        <f t="shared" si="198"/>
        <v/>
      </c>
      <c r="W1103" s="55" t="str">
        <f>IF($V1103="","",IF(COUNTIF($V$5:$V1103,$V1103)=1,1,""))</f>
        <v/>
      </c>
      <c r="X1103" s="58" t="str">
        <f>IF($W1103="","",MAX($X$4:X1102)+1)</f>
        <v/>
      </c>
      <c r="Y1103" s="62"/>
      <c r="Z1103" s="62"/>
      <c r="AA1103" s="64" t="str">
        <f>IF($C1103="","",IFERROR(INDEX('Staff Directory'!$E$5:$E$594,MATCH($C1103,'Staff Directory'!$B$5:$B$594,0)),""))</f>
        <v>firstname226.lastname226@example.com</v>
      </c>
      <c r="AB1103" s="64" t="str">
        <f>IF($C1103="","",IF(ISNUMBER(SEARCH($D1103,Settings!$C$15)),"Pickup","Dispatch"))</f>
        <v>Pickup</v>
      </c>
      <c r="AC1103" s="64" t="str">
        <f t="shared" si="199"/>
        <v>Supply order ready for pickup</v>
      </c>
      <c r="AD1103" s="64" t="str">
        <f t="shared" si="190"/>
        <v>Dear PSW,
Your order is ready for pickup from Sample Branch, Wed-Fri 9am-4pm.</v>
      </c>
      <c r="AE1103" s="64" t="str">
        <f t="shared" si="191"/>
        <v>mailto:firstname226.lastname226@example.com?subject=Supply%20order%20ready%20for%20pickup&amp;body=Dear%20PSW%2C%0A%0AYour%20order%20is%20ready%20for%20pickup%20from%20Sample%20Branch%2C%20Wed-Fri%209am-4pm.</v>
      </c>
      <c r="AF1103" s="89" t="str">
        <f t="shared" si="200"/>
        <v>Draft email</v>
      </c>
      <c r="AG1103" s="64" t="str">
        <f>IF($C1103="","",IFERROR(INDEX('Staff Directory'!$K$595:$K$599,MATCH($C1103,'Staff Directory'!$B$5:$B$599,0)),$D1103))</f>
        <v>PSW</v>
      </c>
      <c r="AH1103" t="str">
        <f>IF($C1103="","",IFERROR(INDEX('Staff Directory'!$I$595:$I$599,MATCH($C1103,'Staff Directory'!$B$5:$B$599,0))&amp;" "&amp;INDEX('Staff Directory'!$J$595:$J$599,MATCH($C1103,'Staff Directory'!$B$5:$B$599,0)),$AG1103))</f>
        <v>PSW</v>
      </c>
      <c r="AI1103" s="102"/>
      <c r="AJ1103" s="101">
        <f>IF($F1103="","",SUMIFS($J$5:$J1103,$F$5:$F1103,$F1103))</f>
        <v>133</v>
      </c>
      <c r="AK1103" s="101">
        <f t="shared" si="192"/>
        <v>133</v>
      </c>
      <c r="AL1103" s="66" t="str" cm="1">
        <f t="array" ref="AL1103">IF($F1103="","",IFERROR(INDEX('Lot Balance'!$B$5:$B$500,MATCH(1,INDEX(('Lot Balance'!$A$5:$A$500=$F1103)*('Lot Balance'!$K$5:$K$500&lt;$AK1103)*('Lot Balance'!$K$5:$K$500+'Lot Balance'!$D$5:$D$500&gt;=$AK1103),0),0)),""))</f>
        <v>20-21734-4</v>
      </c>
      <c r="AM1103" s="66" t="str" cm="1">
        <f t="array" ref="AM1103">IF($F1103="","",IFERROR(INDEX('Lot Balance'!$B$5:$B$500,MATCH(1,INDEX(('Lot Balance'!$A$5:$A$500=$F1103)*('Lot Balance'!$K$5:$K$500&lt;$AJ1103)*('Lot Balance'!$K$5:$K$500+'Lot Balance'!$D$5:$D$500&gt;=$AJ1103),0),0)),""))</f>
        <v>20-21734-4</v>
      </c>
      <c r="AN1103" s="66" t="str">
        <f>IF($F1103="","",IF($AI1103&lt;&gt;"",IF(COUNTIFS('Lot Balance'!$A$5:$A$500,$F1103,'Lot Balance'!$B$5:$B$500,$AI1103)=0,"⚠ override is not a lot of this item",IF($AI1103=$AL1103,"Override = FEFO","Override - FEFO says "&amp;$AL1103)),IF($AL1103="","⚠ no receipt on file for this item",IF($AM1103&lt;&gt;$AL1103,"FEFO auto - split, also "&amp;$AM1103,"FEFO auto"))))</f>
        <v>FEFO auto</v>
      </c>
      <c r="AO1103" s="114"/>
    </row>
    <row r="1104" spans="1:41" x14ac:dyDescent="0.35">
      <c r="A1104" s="74">
        <v>46177</v>
      </c>
      <c r="B1104" s="18" t="str">
        <f>IF($C1104="","",IFERROR(INDEX('Staff Directory'!$A$5:$A$594,MATCH($C1104,'Staff Directory'!$B$5:$B$594,0)),"⚠ unknown staff"))</f>
        <v>PSW-013-A5</v>
      </c>
      <c r="C1104" s="49" t="s">
        <v>989</v>
      </c>
      <c r="D1104" s="19" t="str">
        <f>IF($B1104="","",IFERROR(INDEX('Staff Directory'!$C$5:$C$594,MATCH($B1104,'Staff Directory'!$A$5:$A$594,0)),""))</f>
        <v>PSW</v>
      </c>
      <c r="E1104" s="19" t="str">
        <f>IF($B1104="","",IFERROR(INDEX('Staff Directory'!$D$5:$D$594,MATCH($B1104,'Staff Directory'!$A$5:$A$594,0)),""))</f>
        <v>A5</v>
      </c>
      <c r="F1104" s="9" t="s">
        <v>129</v>
      </c>
      <c r="G1104" s="18" t="str">
        <f>IF($F1104="","",IFERROR(INDEX(Items!$B$5:$B$597,MATCH($F1104,Items!$A$5:$A$597,0)),"⚠ not in Items"))</f>
        <v>Gloves</v>
      </c>
      <c r="H1104" s="19" t="str">
        <f>IF($F1104="","",IFERROR(INDEX(Items!$C$5:$C$597,MATCH($F1104,Items!$A$5:$A$597,0)),""))</f>
        <v>Small</v>
      </c>
      <c r="I1104" s="23">
        <f>IF($F1104="","",IFERROR(INDEX(Items!$E$5:$E$597,MATCH($F1104,Items!$A$5:$A$597,0)),""))</f>
        <v>500</v>
      </c>
      <c r="J1104" s="115">
        <f>IF(tblIssues[[#This Row],[Qty Override]]&lt;&gt;"",tblIssues[[#This Row],[Qty Override]],IF(tblIssues[[#This Row],[Standard Issue]]="","",tblIssues[[#This Row],[Standard Issue]]))</f>
        <v>500</v>
      </c>
      <c r="K1104" s="20">
        <f>IF($F1104="","",IFERROR(INDEX(Items!$D$5:$D$597,MATCH($F1104,Items!$A$5:$A$597,0)),""))</f>
        <v>5.5E-2</v>
      </c>
      <c r="L1104" s="21">
        <f t="shared" si="195"/>
        <v>27.5</v>
      </c>
      <c r="M1104" s="9" t="str">
        <f t="shared" si="193"/>
        <v>ZIM504124207-6</v>
      </c>
      <c r="N1104" s="24">
        <f>IF($A1104="","",WORKDAY($A1104,Settings!$C$9,HolidayDates))</f>
        <v>46185</v>
      </c>
      <c r="O1104" s="24">
        <f>IF($N1104="","",WORKDAY($N1104,Settings!$C$10,HolidayDates))</f>
        <v>46225</v>
      </c>
      <c r="P1104" s="10" t="s">
        <v>501</v>
      </c>
      <c r="Q1104" s="52" t="str">
        <f t="shared" si="196"/>
        <v>Collected</v>
      </c>
      <c r="R1104" s="55" t="str">
        <f t="shared" si="197"/>
        <v>2026-06</v>
      </c>
      <c r="S1104" s="55">
        <f>IF(OR($B1104="",$F1104="",$R1104=""),"",SUMIFS(tblIssues[Qty Issued],tblIssues[Staff ID],$B1104,tblIssues[Item Name],$F1104,tblIssues[Month],$R1104))</f>
        <v>500</v>
      </c>
      <c r="T1104" s="56">
        <f>IF($I1104="","",$I1104*Settings!$C$11)</f>
        <v>500</v>
      </c>
      <c r="U1104" s="57" t="str">
        <f t="shared" si="194"/>
        <v>OK</v>
      </c>
      <c r="V1104" s="55" t="str">
        <f t="shared" si="198"/>
        <v/>
      </c>
      <c r="W1104" s="55" t="str">
        <f>IF($V1104="","",IF(COUNTIF($V$5:$V1104,$V1104)=1,1,""))</f>
        <v/>
      </c>
      <c r="X1104" s="58" t="str">
        <f>IF($W1104="","",MAX($X$4:X1103)+1)</f>
        <v/>
      </c>
      <c r="Y1104" s="62"/>
      <c r="Z1104" s="62"/>
      <c r="AA1104" s="64" t="str">
        <f>IF($C1104="","",IFERROR(INDEX('Staff Directory'!$E$5:$E$594,MATCH($C1104,'Staff Directory'!$B$5:$B$594,0)),""))</f>
        <v>firstname073.lastname073@example.com</v>
      </c>
      <c r="AB1104" s="64" t="str">
        <f>IF($C1104="","",IF(ISNUMBER(SEARCH($D1104,Settings!$C$15)),"Pickup","Dispatch"))</f>
        <v>Pickup</v>
      </c>
      <c r="AC1104" s="64" t="str">
        <f t="shared" si="199"/>
        <v>Supply order ready for pickup</v>
      </c>
      <c r="AD1104" s="64" t="str">
        <f t="shared" si="190"/>
        <v>Dear PSW,
Your order is ready for pickup from Sample Branch, Wed-Fri 9am-4pm.</v>
      </c>
      <c r="AE1104" s="64" t="str">
        <f t="shared" si="191"/>
        <v>mailto:firstname073.lastname073@example.com?subject=Supply%20order%20ready%20for%20pickup&amp;body=Dear%20PSW%2C%0A%0AYour%20order%20is%20ready%20for%20pickup%20from%20Sample%20Branch%2C%20Wed-Fri%209am-4pm.</v>
      </c>
      <c r="AF1104" s="89" t="str">
        <f t="shared" si="200"/>
        <v>Draft email</v>
      </c>
      <c r="AG1104" s="64" t="str">
        <f>IF($C1104="","",IFERROR(INDEX('Staff Directory'!$K$595:$K$599,MATCH($C1104,'Staff Directory'!$B$5:$B$599,0)),$D1104))</f>
        <v>PSW</v>
      </c>
      <c r="AH1104" t="str">
        <f>IF($C1104="","",IFERROR(INDEX('Staff Directory'!$I$595:$I$599,MATCH($C1104,'Staff Directory'!$B$5:$B$599,0))&amp;" "&amp;INDEX('Staff Directory'!$J$595:$J$599,MATCH($C1104,'Staff Directory'!$B$5:$B$599,0)),$AG1104))</f>
        <v>PSW</v>
      </c>
      <c r="AI1104" s="102"/>
      <c r="AJ1104" s="101">
        <f>IF($F1104="","",SUMIFS($J$5:$J1104,$F$5:$F1104,$F1104))</f>
        <v>34000</v>
      </c>
      <c r="AK1104" s="101">
        <f t="shared" si="192"/>
        <v>33501</v>
      </c>
      <c r="AL1104" s="66" t="str" cm="1">
        <f t="array" ref="AL1104">IF($F1104="","",IFERROR(INDEX('Lot Balance'!$B$5:$B$500,MATCH(1,INDEX(('Lot Balance'!$A$5:$A$500=$F1104)*('Lot Balance'!$K$5:$K$500&lt;$AK1104)*('Lot Balance'!$K$5:$K$500+'Lot Balance'!$D$5:$D$500&gt;=$AK1104),0),0)),""))</f>
        <v>ZIM504124207-6</v>
      </c>
      <c r="AM1104" s="66" t="str" cm="1">
        <f t="array" ref="AM1104">IF($F1104="","",IFERROR(INDEX('Lot Balance'!$B$5:$B$500,MATCH(1,INDEX(('Lot Balance'!$A$5:$A$500=$F1104)*('Lot Balance'!$K$5:$K$500&lt;$AJ1104)*('Lot Balance'!$K$5:$K$500+'Lot Balance'!$D$5:$D$500&gt;=$AJ1104),0),0)),""))</f>
        <v>ZIM504124207-6</v>
      </c>
      <c r="AN1104" s="66" t="str">
        <f>IF($F1104="","",IF($AI1104&lt;&gt;"",IF(COUNTIFS('Lot Balance'!$A$5:$A$500,$F1104,'Lot Balance'!$B$5:$B$500,$AI1104)=0,"⚠ override is not a lot of this item",IF($AI1104=$AL1104,"Override = FEFO","Override - FEFO says "&amp;$AL1104)),IF($AL1104="","⚠ no receipt on file for this item",IF($AM1104&lt;&gt;$AL1104,"FEFO auto - split, also "&amp;$AM1104,"FEFO auto"))))</f>
        <v>FEFO auto</v>
      </c>
      <c r="AO1104" s="114"/>
    </row>
    <row r="1105" spans="1:41" x14ac:dyDescent="0.35">
      <c r="A1105" s="74">
        <v>46177</v>
      </c>
      <c r="B1105" s="18" t="str">
        <f>IF($C1105="","",IFERROR(INDEX('Staff Directory'!$A$5:$A$594,MATCH($C1105,'Staff Directory'!$B$5:$B$594,0)),"⚠ unknown staff"))</f>
        <v>PSW-013-A5</v>
      </c>
      <c r="C1105" s="49" t="s">
        <v>989</v>
      </c>
      <c r="D1105" s="19" t="str">
        <f>IF($B1105="","",IFERROR(INDEX('Staff Directory'!$C$5:$C$594,MATCH($B1105,'Staff Directory'!$A$5:$A$594,0)),""))</f>
        <v>PSW</v>
      </c>
      <c r="E1105" s="19" t="str">
        <f>IF($B1105="","",IFERROR(INDEX('Staff Directory'!$D$5:$D$594,MATCH($B1105,'Staff Directory'!$A$5:$A$594,0)),""))</f>
        <v>A5</v>
      </c>
      <c r="F1105" s="9" t="s">
        <v>191</v>
      </c>
      <c r="G1105" s="18" t="str">
        <f>IF($F1105="","",IFERROR(INDEX(Items!$B$5:$B$597,MATCH($F1105,Items!$A$5:$A$597,0)),"⚠ not in Items"))</f>
        <v>Sanitizer</v>
      </c>
      <c r="H1105" s="19" t="str">
        <f>IF($F1105="","",IFERROR(INDEX(Items!$C$5:$C$597,MATCH($F1105,Items!$A$5:$A$597,0)),""))</f>
        <v>236 ML</v>
      </c>
      <c r="I1105" s="23">
        <f>IF($F1105="","",IFERROR(INDEX(Items!$E$5:$E$597,MATCH($F1105,Items!$A$5:$A$597,0)),""))</f>
        <v>1</v>
      </c>
      <c r="J1105" s="115">
        <f>IF(tblIssues[[#This Row],[Qty Override]]&lt;&gt;"",tblIssues[[#This Row],[Qty Override]],IF(tblIssues[[#This Row],[Standard Issue]]="","",tblIssues[[#This Row],[Standard Issue]]))</f>
        <v>1</v>
      </c>
      <c r="K1105" s="20">
        <f>IF($F1105="","",IFERROR(INDEX(Items!$D$5:$D$597,MATCH($F1105,Items!$A$5:$A$597,0)),""))</f>
        <v>1E-4</v>
      </c>
      <c r="L1105" s="21">
        <f t="shared" si="195"/>
        <v>1E-4</v>
      </c>
      <c r="M1105" s="9" t="str">
        <f t="shared" si="193"/>
        <v>20-21734-4</v>
      </c>
      <c r="N1105" s="24">
        <f>IF($A1105="","",WORKDAY($A1105,Settings!$C$9,HolidayDates))</f>
        <v>46185</v>
      </c>
      <c r="O1105" s="24">
        <f>IF($N1105="","",WORKDAY($N1105,Settings!$C$10,HolidayDates))</f>
        <v>46225</v>
      </c>
      <c r="P1105" s="10" t="s">
        <v>501</v>
      </c>
      <c r="Q1105" s="52" t="str">
        <f t="shared" si="196"/>
        <v>Collected</v>
      </c>
      <c r="R1105" s="55" t="str">
        <f t="shared" si="197"/>
        <v>2026-06</v>
      </c>
      <c r="S1105" s="55">
        <f>IF(OR($B1105="",$F1105="",$R1105=""),"",SUMIFS(tblIssues[Qty Issued],tblIssues[Staff ID],$B1105,tblIssues[Item Name],$F1105,tblIssues[Month],$R1105))</f>
        <v>1</v>
      </c>
      <c r="T1105" s="56">
        <f>IF($I1105="","",$I1105*Settings!$C$11)</f>
        <v>1</v>
      </c>
      <c r="U1105" s="57" t="str">
        <f t="shared" si="194"/>
        <v>OK</v>
      </c>
      <c r="V1105" s="55" t="str">
        <f t="shared" si="198"/>
        <v/>
      </c>
      <c r="W1105" s="55" t="str">
        <f>IF($V1105="","",IF(COUNTIF($V$5:$V1105,$V1105)=1,1,""))</f>
        <v/>
      </c>
      <c r="X1105" s="58" t="str">
        <f>IF($W1105="","",MAX($X$4:X1104)+1)</f>
        <v/>
      </c>
      <c r="Y1105" s="62"/>
      <c r="Z1105" s="62"/>
      <c r="AA1105" s="64" t="str">
        <f>IF($C1105="","",IFERROR(INDEX('Staff Directory'!$E$5:$E$594,MATCH($C1105,'Staff Directory'!$B$5:$B$594,0)),""))</f>
        <v>firstname073.lastname073@example.com</v>
      </c>
      <c r="AB1105" s="64" t="str">
        <f>IF($C1105="","",IF(ISNUMBER(SEARCH($D1105,Settings!$C$15)),"Pickup","Dispatch"))</f>
        <v>Pickup</v>
      </c>
      <c r="AC1105" s="64" t="str">
        <f t="shared" si="199"/>
        <v>Supply order ready for pickup</v>
      </c>
      <c r="AD1105" s="64" t="str">
        <f t="shared" si="190"/>
        <v>Dear PSW,
Your order is ready for pickup from Sample Branch, Wed-Fri 9am-4pm.</v>
      </c>
      <c r="AE1105" s="64" t="str">
        <f t="shared" si="191"/>
        <v>mailto:firstname073.lastname073@example.com?subject=Supply%20order%20ready%20for%20pickup&amp;body=Dear%20PSW%2C%0A%0AYour%20order%20is%20ready%20for%20pickup%20from%20Sample%20Branch%2C%20Wed-Fri%209am-4pm.</v>
      </c>
      <c r="AF1105" s="89" t="str">
        <f t="shared" si="200"/>
        <v>Draft email</v>
      </c>
      <c r="AG1105" s="64" t="str">
        <f>IF($C1105="","",IFERROR(INDEX('Staff Directory'!$K$595:$K$599,MATCH($C1105,'Staff Directory'!$B$5:$B$599,0)),$D1105))</f>
        <v>PSW</v>
      </c>
      <c r="AH1105" t="str">
        <f>IF($C1105="","",IFERROR(INDEX('Staff Directory'!$I$595:$I$599,MATCH($C1105,'Staff Directory'!$B$5:$B$599,0))&amp;" "&amp;INDEX('Staff Directory'!$J$595:$J$599,MATCH($C1105,'Staff Directory'!$B$5:$B$599,0)),$AG1105))</f>
        <v>PSW</v>
      </c>
      <c r="AI1105" s="102"/>
      <c r="AJ1105" s="101">
        <f>IF($F1105="","",SUMIFS($J$5:$J1105,$F$5:$F1105,$F1105))</f>
        <v>134</v>
      </c>
      <c r="AK1105" s="101">
        <f t="shared" si="192"/>
        <v>134</v>
      </c>
      <c r="AL1105" s="66" t="str" cm="1">
        <f t="array" ref="AL1105">IF($F1105="","",IFERROR(INDEX('Lot Balance'!$B$5:$B$500,MATCH(1,INDEX(('Lot Balance'!$A$5:$A$500=$F1105)*('Lot Balance'!$K$5:$K$500&lt;$AK1105)*('Lot Balance'!$K$5:$K$500+'Lot Balance'!$D$5:$D$500&gt;=$AK1105),0),0)),""))</f>
        <v>20-21734-4</v>
      </c>
      <c r="AM1105" s="66" t="str" cm="1">
        <f t="array" ref="AM1105">IF($F1105="","",IFERROR(INDEX('Lot Balance'!$B$5:$B$500,MATCH(1,INDEX(('Lot Balance'!$A$5:$A$500=$F1105)*('Lot Balance'!$K$5:$K$500&lt;$AJ1105)*('Lot Balance'!$K$5:$K$500+'Lot Balance'!$D$5:$D$500&gt;=$AJ1105),0),0)),""))</f>
        <v>20-21734-4</v>
      </c>
      <c r="AN1105" s="66" t="str">
        <f>IF($F1105="","",IF($AI1105&lt;&gt;"",IF(COUNTIFS('Lot Balance'!$A$5:$A$500,$F1105,'Lot Balance'!$B$5:$B$500,$AI1105)=0,"⚠ override is not a lot of this item",IF($AI1105=$AL1105,"Override = FEFO","Override - FEFO says "&amp;$AL1105)),IF($AL1105="","⚠ no receipt on file for this item",IF($AM1105&lt;&gt;$AL1105,"FEFO auto - split, also "&amp;$AM1105,"FEFO auto"))))</f>
        <v>FEFO auto</v>
      </c>
      <c r="AO1105" s="114"/>
    </row>
    <row r="1106" spans="1:41" x14ac:dyDescent="0.35">
      <c r="A1106" s="74">
        <v>46177</v>
      </c>
      <c r="B1106" s="18" t="str">
        <f>IF($C1106="","",IFERROR(INDEX('Staff Directory'!$A$5:$A$594,MATCH($C1106,'Staff Directory'!$B$5:$B$594,0)),"⚠ unknown staff"))</f>
        <v>PSW-013-A5</v>
      </c>
      <c r="C1106" s="49" t="s">
        <v>989</v>
      </c>
      <c r="D1106" s="19" t="str">
        <f>IF($B1106="","",IFERROR(INDEX('Staff Directory'!$C$5:$C$594,MATCH($B1106,'Staff Directory'!$A$5:$A$594,0)),""))</f>
        <v>PSW</v>
      </c>
      <c r="E1106" s="19" t="str">
        <f>IF($B1106="","",IFERROR(INDEX('Staff Directory'!$D$5:$D$594,MATCH($B1106,'Staff Directory'!$A$5:$A$594,0)),""))</f>
        <v>A5</v>
      </c>
      <c r="F1106" s="9" t="s">
        <v>115</v>
      </c>
      <c r="G1106" s="18" t="str">
        <f>IF($F1106="","",IFERROR(INDEX(Items!$B$5:$B$597,MATCH($F1106,Items!$A$5:$A$597,0)),"⚠ not in Items"))</f>
        <v>Wipes</v>
      </c>
      <c r="H1106" s="19">
        <f>IF($F1106="","",IFERROR(INDEX(Items!$C$5:$C$597,MATCH($F1106,Items!$A$5:$A$597,0)),""))</f>
        <v>80</v>
      </c>
      <c r="I1106" s="23">
        <f>IF($F1106="","",IFERROR(INDEX(Items!$E$5:$E$597,MATCH($F1106,Items!$A$5:$A$597,0)),""))</f>
        <v>80</v>
      </c>
      <c r="J1106" s="115">
        <f>IF(tblIssues[[#This Row],[Qty Override]]&lt;&gt;"",tblIssues[[#This Row],[Qty Override]],IF(tblIssues[[#This Row],[Standard Issue]]="","",tblIssues[[#This Row],[Standard Issue]]))</f>
        <v>80</v>
      </c>
      <c r="K1106" s="20">
        <f>IF($F1106="","",IFERROR(INDEX(Items!$D$5:$D$597,MATCH($F1106,Items!$A$5:$A$597,0)),""))</f>
        <v>0.1</v>
      </c>
      <c r="L1106" s="21">
        <f t="shared" si="195"/>
        <v>8</v>
      </c>
      <c r="M1106" s="9" t="str">
        <f t="shared" si="193"/>
        <v>LYSL500290</v>
      </c>
      <c r="N1106" s="24">
        <f>IF($A1106="","",WORKDAY($A1106,Settings!$C$9,HolidayDates))</f>
        <v>46185</v>
      </c>
      <c r="O1106" s="24">
        <f>IF($N1106="","",WORKDAY($N1106,Settings!$C$10,HolidayDates))</f>
        <v>46225</v>
      </c>
      <c r="P1106" s="10" t="s">
        <v>501</v>
      </c>
      <c r="Q1106" s="52" t="str">
        <f t="shared" si="196"/>
        <v>Collected</v>
      </c>
      <c r="R1106" s="55" t="str">
        <f t="shared" si="197"/>
        <v>2026-06</v>
      </c>
      <c r="S1106" s="55">
        <f>IF(OR($B1106="",$F1106="",$R1106=""),"",SUMIFS(tblIssues[Qty Issued],tblIssues[Staff ID],$B1106,tblIssues[Item Name],$F1106,tblIssues[Month],$R1106))</f>
        <v>80</v>
      </c>
      <c r="T1106" s="56">
        <f>IF($I1106="","",$I1106*Settings!$C$11)</f>
        <v>80</v>
      </c>
      <c r="U1106" s="57" t="str">
        <f t="shared" si="194"/>
        <v>OK</v>
      </c>
      <c r="V1106" s="55" t="str">
        <f t="shared" si="198"/>
        <v/>
      </c>
      <c r="W1106" s="55" t="str">
        <f>IF($V1106="","",IF(COUNTIF($V$5:$V1106,$V1106)=1,1,""))</f>
        <v/>
      </c>
      <c r="X1106" s="58" t="str">
        <f>IF($W1106="","",MAX($X$4:X1105)+1)</f>
        <v/>
      </c>
      <c r="Y1106" s="62"/>
      <c r="Z1106" s="62"/>
      <c r="AA1106" s="64" t="str">
        <f>IF($C1106="","",IFERROR(INDEX('Staff Directory'!$E$5:$E$594,MATCH($C1106,'Staff Directory'!$B$5:$B$594,0)),""))</f>
        <v>firstname073.lastname073@example.com</v>
      </c>
      <c r="AB1106" s="64" t="str">
        <f>IF($C1106="","",IF(ISNUMBER(SEARCH($D1106,Settings!$C$15)),"Pickup","Dispatch"))</f>
        <v>Pickup</v>
      </c>
      <c r="AC1106" s="64" t="str">
        <f t="shared" si="199"/>
        <v>Supply order ready for pickup</v>
      </c>
      <c r="AD1106" s="64" t="str">
        <f t="shared" si="190"/>
        <v>Dear PSW,
Your order is ready for pickup from Sample Branch, Wed-Fri 9am-4pm.</v>
      </c>
      <c r="AE1106" s="64" t="str">
        <f t="shared" si="191"/>
        <v>mailto:firstname073.lastname073@example.com?subject=Supply%20order%20ready%20for%20pickup&amp;body=Dear%20PSW%2C%0A%0AYour%20order%20is%20ready%20for%20pickup%20from%20Sample%20Branch%2C%20Wed-Fri%209am-4pm.</v>
      </c>
      <c r="AF1106" s="89" t="str">
        <f t="shared" si="200"/>
        <v>Draft email</v>
      </c>
      <c r="AG1106" s="64" t="str">
        <f>IF($C1106="","",IFERROR(INDEX('Staff Directory'!$K$595:$K$599,MATCH($C1106,'Staff Directory'!$B$5:$B$599,0)),$D1106))</f>
        <v>PSW</v>
      </c>
      <c r="AH1106" t="str">
        <f>IF($C1106="","",IFERROR(INDEX('Staff Directory'!$I$595:$I$599,MATCH($C1106,'Staff Directory'!$B$5:$B$599,0))&amp;" "&amp;INDEX('Staff Directory'!$J$595:$J$599,MATCH($C1106,'Staff Directory'!$B$5:$B$599,0)),$AG1106))</f>
        <v>PSW</v>
      </c>
      <c r="AI1106" s="102"/>
      <c r="AJ1106" s="101">
        <f>IF($F1106="","",SUMIFS($J$5:$J1106,$F$5:$F1106,$F1106))</f>
        <v>14800</v>
      </c>
      <c r="AK1106" s="101">
        <f t="shared" si="192"/>
        <v>14721</v>
      </c>
      <c r="AL1106" s="66" t="str" cm="1">
        <f t="array" ref="AL1106">IF($F1106="","",IFERROR(INDEX('Lot Balance'!$B$5:$B$500,MATCH(1,INDEX(('Lot Balance'!$A$5:$A$500=$F1106)*('Lot Balance'!$K$5:$K$500&lt;$AK1106)*('Lot Balance'!$K$5:$K$500+'Lot Balance'!$D$5:$D$500&gt;=$AK1106),0),0)),""))</f>
        <v>LYSL500290</v>
      </c>
      <c r="AM1106" s="66" t="str" cm="1">
        <f t="array" ref="AM1106">IF($F1106="","",IFERROR(INDEX('Lot Balance'!$B$5:$B$500,MATCH(1,INDEX(('Lot Balance'!$A$5:$A$500=$F1106)*('Lot Balance'!$K$5:$K$500&lt;$AJ1106)*('Lot Balance'!$K$5:$K$500+'Lot Balance'!$D$5:$D$500&gt;=$AJ1106),0),0)),""))</f>
        <v>LYSL500290</v>
      </c>
      <c r="AN1106" s="66" t="str">
        <f>IF($F1106="","",IF($AI1106&lt;&gt;"",IF(COUNTIFS('Lot Balance'!$A$5:$A$500,$F1106,'Lot Balance'!$B$5:$B$500,$AI1106)=0,"⚠ override is not a lot of this item",IF($AI1106=$AL1106,"Override = FEFO","Override - FEFO says "&amp;$AL1106)),IF($AL1106="","⚠ no receipt on file for this item",IF($AM1106&lt;&gt;$AL1106,"FEFO auto - split, also "&amp;$AM1106,"FEFO auto"))))</f>
        <v>FEFO auto</v>
      </c>
      <c r="AO1106" s="114"/>
    </row>
    <row r="1107" spans="1:41" x14ac:dyDescent="0.35">
      <c r="A1107" s="74">
        <v>46177</v>
      </c>
      <c r="B1107" s="18" t="str">
        <f>IF($C1107="","",IFERROR(INDEX('Staff Directory'!$A$5:$A$594,MATCH($C1107,'Staff Directory'!$B$5:$B$594,0)),"⚠ unknown staff"))</f>
        <v>PSW-013-A5</v>
      </c>
      <c r="C1107" s="49" t="s">
        <v>989</v>
      </c>
      <c r="D1107" s="19" t="str">
        <f>IF($B1107="","",IFERROR(INDEX('Staff Directory'!$C$5:$C$594,MATCH($B1107,'Staff Directory'!$A$5:$A$594,0)),""))</f>
        <v>PSW</v>
      </c>
      <c r="E1107" s="19" t="str">
        <f>IF($B1107="","",IFERROR(INDEX('Staff Directory'!$D$5:$D$594,MATCH($B1107,'Staff Directory'!$A$5:$A$594,0)),""))</f>
        <v>A5</v>
      </c>
      <c r="F1107" s="9" t="s">
        <v>156</v>
      </c>
      <c r="G1107" s="18" t="str">
        <f>IF($F1107="","",IFERROR(INDEX(Items!$B$5:$B$597,MATCH($F1107,Items!$A$5:$A$597,0)),"⚠ not in Items"))</f>
        <v>Masks</v>
      </c>
      <c r="H1107" s="19" t="str">
        <f>IF($F1107="","",IFERROR(INDEX(Items!$C$5:$C$597,MATCH($F1107,Items!$A$5:$A$597,0)),""))</f>
        <v>One Size</v>
      </c>
      <c r="I1107" s="23">
        <f>IF($F1107="","",IFERROR(INDEX(Items!$E$5:$E$597,MATCH($F1107,Items!$A$5:$A$597,0)),""))</f>
        <v>50</v>
      </c>
      <c r="J1107" s="115">
        <f>IF(tblIssues[[#This Row],[Qty Override]]&lt;&gt;"",tblIssues[[#This Row],[Qty Override]],IF(tblIssues[[#This Row],[Standard Issue]]="","",tblIssues[[#This Row],[Standard Issue]]))</f>
        <v>50</v>
      </c>
      <c r="K1107" s="20">
        <f>IF($F1107="","",IFERROR(INDEX(Items!$D$5:$D$597,MATCH($F1107,Items!$A$5:$A$597,0)),""))</f>
        <v>0.25</v>
      </c>
      <c r="L1107" s="21">
        <f t="shared" si="195"/>
        <v>12.5</v>
      </c>
      <c r="M1107" s="9" t="str">
        <f t="shared" si="193"/>
        <v>102GPC24</v>
      </c>
      <c r="N1107" s="24">
        <f>IF($A1107="","",WORKDAY($A1107,Settings!$C$9,HolidayDates))</f>
        <v>46185</v>
      </c>
      <c r="O1107" s="24">
        <f>IF($N1107="","",WORKDAY($N1107,Settings!$C$10,HolidayDates))</f>
        <v>46225</v>
      </c>
      <c r="P1107" s="10" t="s">
        <v>501</v>
      </c>
      <c r="Q1107" s="52" t="str">
        <f t="shared" si="196"/>
        <v>Collected</v>
      </c>
      <c r="R1107" s="55" t="str">
        <f t="shared" si="197"/>
        <v>2026-06</v>
      </c>
      <c r="S1107" s="55">
        <f>IF(OR($B1107="",$F1107="",$R1107=""),"",SUMIFS(tblIssues[Qty Issued],tblIssues[Staff ID],$B1107,tblIssues[Item Name],$F1107,tblIssues[Month],$R1107))</f>
        <v>50</v>
      </c>
      <c r="T1107" s="56">
        <f>IF($I1107="","",$I1107*Settings!$C$11)</f>
        <v>50</v>
      </c>
      <c r="U1107" s="57" t="str">
        <f t="shared" si="194"/>
        <v>OK</v>
      </c>
      <c r="V1107" s="55" t="str">
        <f t="shared" si="198"/>
        <v/>
      </c>
      <c r="W1107" s="55" t="str">
        <f>IF($V1107="","",IF(COUNTIF($V$5:$V1107,$V1107)=1,1,""))</f>
        <v/>
      </c>
      <c r="X1107" s="58" t="str">
        <f>IF($W1107="","",MAX($X$4:X1106)+1)</f>
        <v/>
      </c>
      <c r="Y1107" s="62"/>
      <c r="Z1107" s="62"/>
      <c r="AA1107" s="64" t="str">
        <f>IF($C1107="","",IFERROR(INDEX('Staff Directory'!$E$5:$E$594,MATCH($C1107,'Staff Directory'!$B$5:$B$594,0)),""))</f>
        <v>firstname073.lastname073@example.com</v>
      </c>
      <c r="AB1107" s="64" t="str">
        <f>IF($C1107="","",IF(ISNUMBER(SEARCH($D1107,Settings!$C$15)),"Pickup","Dispatch"))</f>
        <v>Pickup</v>
      </c>
      <c r="AC1107" s="64" t="str">
        <f t="shared" si="199"/>
        <v>Supply order ready for pickup</v>
      </c>
      <c r="AD1107" s="64" t="str">
        <f t="shared" si="190"/>
        <v>Dear PSW,
Your order is ready for pickup from Sample Branch, Wed-Fri 9am-4pm.</v>
      </c>
      <c r="AE1107" s="64" t="str">
        <f t="shared" si="191"/>
        <v>mailto:firstname073.lastname073@example.com?subject=Supply%20order%20ready%20for%20pickup&amp;body=Dear%20PSW%2C%0A%0AYour%20order%20is%20ready%20for%20pickup%20from%20Sample%20Branch%2C%20Wed-Fri%209am-4pm.</v>
      </c>
      <c r="AF1107" s="89" t="str">
        <f t="shared" si="200"/>
        <v>Draft email</v>
      </c>
      <c r="AG1107" s="64" t="str">
        <f>IF($C1107="","",IFERROR(INDEX('Staff Directory'!$K$595:$K$599,MATCH($C1107,'Staff Directory'!$B$5:$B$599,0)),$D1107))</f>
        <v>PSW</v>
      </c>
      <c r="AH1107" t="str">
        <f>IF($C1107="","",IFERROR(INDEX('Staff Directory'!$I$595:$I$599,MATCH($C1107,'Staff Directory'!$B$5:$B$599,0))&amp;" "&amp;INDEX('Staff Directory'!$J$595:$J$599,MATCH($C1107,'Staff Directory'!$B$5:$B$599,0)),$AG1107))</f>
        <v>PSW</v>
      </c>
      <c r="AI1107" s="102"/>
      <c r="AJ1107" s="101">
        <f>IF($F1107="","",SUMIFS($J$5:$J1107,$F$5:$F1107,$F1107))</f>
        <v>9050</v>
      </c>
      <c r="AK1107" s="101">
        <f t="shared" si="192"/>
        <v>9001</v>
      </c>
      <c r="AL1107" s="66" t="str" cm="1">
        <f t="array" ref="AL1107">IF($F1107="","",IFERROR(INDEX('Lot Balance'!$B$5:$B$500,MATCH(1,INDEX(('Lot Balance'!$A$5:$A$500=$F1107)*('Lot Balance'!$K$5:$K$500&lt;$AK1107)*('Lot Balance'!$K$5:$K$500+'Lot Balance'!$D$5:$D$500&gt;=$AK1107),0),0)),""))</f>
        <v>102GPC24</v>
      </c>
      <c r="AM1107" s="66" t="str" cm="1">
        <f t="array" ref="AM1107">IF($F1107="","",IFERROR(INDEX('Lot Balance'!$B$5:$B$500,MATCH(1,INDEX(('Lot Balance'!$A$5:$A$500=$F1107)*('Lot Balance'!$K$5:$K$500&lt;$AJ1107)*('Lot Balance'!$K$5:$K$500+'Lot Balance'!$D$5:$D$500&gt;=$AJ1107),0),0)),""))</f>
        <v>102GPC24</v>
      </c>
      <c r="AN1107" s="66" t="str">
        <f>IF($F1107="","",IF($AI1107&lt;&gt;"",IF(COUNTIFS('Lot Balance'!$A$5:$A$500,$F1107,'Lot Balance'!$B$5:$B$500,$AI1107)=0,"⚠ override is not a lot of this item",IF($AI1107=$AL1107,"Override = FEFO","Override - FEFO says "&amp;$AL1107)),IF($AL1107="","⚠ no receipt on file for this item",IF($AM1107&lt;&gt;$AL1107,"FEFO auto - split, also "&amp;$AM1107,"FEFO auto"))))</f>
        <v>FEFO auto</v>
      </c>
      <c r="AO1107" s="114"/>
    </row>
    <row r="1108" spans="1:41" x14ac:dyDescent="0.35">
      <c r="A1108" s="74">
        <v>46177</v>
      </c>
      <c r="B1108" s="18" t="str">
        <f>IF($C1108="","",IFERROR(INDEX('Staff Directory'!$A$5:$A$594,MATCH($C1108,'Staff Directory'!$B$5:$B$594,0)),"⚠ unknown staff"))</f>
        <v>PSW-006-A6</v>
      </c>
      <c r="C1108" s="49" t="s">
        <v>982</v>
      </c>
      <c r="D1108" s="19" t="str">
        <f>IF($B1108="","",IFERROR(INDEX('Staff Directory'!$C$5:$C$594,MATCH($B1108,'Staff Directory'!$A$5:$A$594,0)),""))</f>
        <v>PSW</v>
      </c>
      <c r="E1108" s="19" t="str">
        <f>IF($B1108="","",IFERROR(INDEX('Staff Directory'!$D$5:$D$594,MATCH($B1108,'Staff Directory'!$A$5:$A$594,0)),""))</f>
        <v>A6</v>
      </c>
      <c r="F1108" s="9" t="s">
        <v>127</v>
      </c>
      <c r="G1108" s="18" t="str">
        <f>IF($F1108="","",IFERROR(INDEX(Items!$B$5:$B$597,MATCH($F1108,Items!$A$5:$A$597,0)),"⚠ not in Items"))</f>
        <v>Gloves</v>
      </c>
      <c r="H1108" s="19" t="str">
        <f>IF($F1108="","",IFERROR(INDEX(Items!$C$5:$C$597,MATCH($F1108,Items!$A$5:$A$597,0)),""))</f>
        <v>Medium</v>
      </c>
      <c r="I1108" s="23">
        <f>IF($F1108="","",IFERROR(INDEX(Items!$E$5:$E$597,MATCH($F1108,Items!$A$5:$A$597,0)),""))</f>
        <v>500</v>
      </c>
      <c r="J1108" s="115">
        <f>IF(tblIssues[[#This Row],[Qty Override]]&lt;&gt;"",tblIssues[[#This Row],[Qty Override]],IF(tblIssues[[#This Row],[Standard Issue]]="","",tblIssues[[#This Row],[Standard Issue]]))</f>
        <v>500</v>
      </c>
      <c r="K1108" s="20">
        <f>IF($F1108="","",IFERROR(INDEX(Items!$D$5:$D$597,MATCH($F1108,Items!$A$5:$A$597,0)),""))</f>
        <v>5.5E-2</v>
      </c>
      <c r="L1108" s="21">
        <f t="shared" si="195"/>
        <v>27.5</v>
      </c>
      <c r="M1108" s="9" t="str">
        <f t="shared" si="193"/>
        <v>ZIM510137962-0</v>
      </c>
      <c r="N1108" s="24">
        <f>IF($A1108="","",WORKDAY($A1108,Settings!$C$9,HolidayDates))</f>
        <v>46185</v>
      </c>
      <c r="O1108" s="24">
        <f>IF($N1108="","",WORKDAY($N1108,Settings!$C$10,HolidayDates))</f>
        <v>46225</v>
      </c>
      <c r="P1108" s="10" t="s">
        <v>501</v>
      </c>
      <c r="Q1108" s="52" t="str">
        <f t="shared" si="196"/>
        <v>Collected</v>
      </c>
      <c r="R1108" s="55" t="str">
        <f t="shared" si="197"/>
        <v>2026-06</v>
      </c>
      <c r="S1108" s="55">
        <f>IF(OR($B1108="",$F1108="",$R1108=""),"",SUMIFS(tblIssues[Qty Issued],tblIssues[Staff ID],$B1108,tblIssues[Item Name],$F1108,tblIssues[Month],$R1108))</f>
        <v>500</v>
      </c>
      <c r="T1108" s="56">
        <f>IF($I1108="","",$I1108*Settings!$C$11)</f>
        <v>500</v>
      </c>
      <c r="U1108" s="57" t="str">
        <f t="shared" si="194"/>
        <v>OK</v>
      </c>
      <c r="V1108" s="55" t="str">
        <f t="shared" si="198"/>
        <v/>
      </c>
      <c r="W1108" s="55" t="str">
        <f>IF($V1108="","",IF(COUNTIF($V$5:$V1108,$V1108)=1,1,""))</f>
        <v/>
      </c>
      <c r="X1108" s="58" t="str">
        <f>IF($W1108="","",MAX($X$4:X1107)+1)</f>
        <v/>
      </c>
      <c r="Y1108" s="62"/>
      <c r="Z1108" s="62"/>
      <c r="AA1108" s="64" t="str">
        <f>IF($C1108="","",IFERROR(INDEX('Staff Directory'!$E$5:$E$594,MATCH($C1108,'Staff Directory'!$B$5:$B$594,0)),""))</f>
        <v>firstname066.lastname066@example.com</v>
      </c>
      <c r="AB1108" s="64" t="str">
        <f>IF($C1108="","",IF(ISNUMBER(SEARCH($D1108,Settings!$C$15)),"Pickup","Dispatch"))</f>
        <v>Pickup</v>
      </c>
      <c r="AC1108" s="64" t="str">
        <f t="shared" si="199"/>
        <v>Supply order ready for pickup</v>
      </c>
      <c r="AD1108" s="64" t="str">
        <f t="shared" si="190"/>
        <v>Dear PSW,
Your order is ready for pickup from Sample Branch, Wed-Fri 9am-4pm.</v>
      </c>
      <c r="AE1108" s="64" t="str">
        <f t="shared" si="191"/>
        <v>mailto:firstname066.lastname066@example.com?subject=Supply%20order%20ready%20for%20pickup&amp;body=Dear%20PSW%2C%0A%0AYour%20order%20is%20ready%20for%20pickup%20from%20Sample%20Branch%2C%20Wed-Fri%209am-4pm.</v>
      </c>
      <c r="AF1108" s="89" t="str">
        <f t="shared" si="200"/>
        <v>Draft email</v>
      </c>
      <c r="AG1108" s="64" t="str">
        <f>IF($C1108="","",IFERROR(INDEX('Staff Directory'!$K$595:$K$599,MATCH($C1108,'Staff Directory'!$B$5:$B$599,0)),$D1108))</f>
        <v>PSW</v>
      </c>
      <c r="AH1108" t="str">
        <f>IF($C1108="","",IFERROR(INDEX('Staff Directory'!$I$595:$I$599,MATCH($C1108,'Staff Directory'!$B$5:$B$599,0))&amp;" "&amp;INDEX('Staff Directory'!$J$595:$J$599,MATCH($C1108,'Staff Directory'!$B$5:$B$599,0)),$AG1108))</f>
        <v>PSW</v>
      </c>
      <c r="AI1108" s="102"/>
      <c r="AJ1108" s="101">
        <f>IF($F1108="","",SUMIFS($J$5:$J1108,$F$5:$F1108,$F1108))</f>
        <v>62500</v>
      </c>
      <c r="AK1108" s="101">
        <f t="shared" si="192"/>
        <v>62001</v>
      </c>
      <c r="AL1108" s="66" t="str" cm="1">
        <f t="array" ref="AL1108">IF($F1108="","",IFERROR(INDEX('Lot Balance'!$B$5:$B$500,MATCH(1,INDEX(('Lot Balance'!$A$5:$A$500=$F1108)*('Lot Balance'!$K$5:$K$500&lt;$AK1108)*('Lot Balance'!$K$5:$K$500+'Lot Balance'!$D$5:$D$500&gt;=$AK1108),0),0)),""))</f>
        <v>ZIM510137962-0</v>
      </c>
      <c r="AM1108" s="66" t="str" cm="1">
        <f t="array" ref="AM1108">IF($F1108="","",IFERROR(INDEX('Lot Balance'!$B$5:$B$500,MATCH(1,INDEX(('Lot Balance'!$A$5:$A$500=$F1108)*('Lot Balance'!$K$5:$K$500&lt;$AJ1108)*('Lot Balance'!$K$5:$K$500+'Lot Balance'!$D$5:$D$500&gt;=$AJ1108),0),0)),""))</f>
        <v>ZIM510137962-0</v>
      </c>
      <c r="AN1108" s="66" t="str">
        <f>IF($F1108="","",IF($AI1108&lt;&gt;"",IF(COUNTIFS('Lot Balance'!$A$5:$A$500,$F1108,'Lot Balance'!$B$5:$B$500,$AI1108)=0,"⚠ override is not a lot of this item",IF($AI1108=$AL1108,"Override = FEFO","Override - FEFO says "&amp;$AL1108)),IF($AL1108="","⚠ no receipt on file for this item",IF($AM1108&lt;&gt;$AL1108,"FEFO auto - split, also "&amp;$AM1108,"FEFO auto"))))</f>
        <v>FEFO auto</v>
      </c>
      <c r="AO1108" s="114"/>
    </row>
    <row r="1109" spans="1:41" x14ac:dyDescent="0.35">
      <c r="A1109" s="74">
        <v>46177</v>
      </c>
      <c r="B1109" s="18" t="str">
        <f>IF($C1109="","",IFERROR(INDEX('Staff Directory'!$A$5:$A$594,MATCH($C1109,'Staff Directory'!$B$5:$B$594,0)),"⚠ unknown staff"))</f>
        <v>PSW-006-A6</v>
      </c>
      <c r="C1109" s="49" t="s">
        <v>982</v>
      </c>
      <c r="D1109" s="19" t="str">
        <f>IF($B1109="","",IFERROR(INDEX('Staff Directory'!$C$5:$C$594,MATCH($B1109,'Staff Directory'!$A$5:$A$594,0)),""))</f>
        <v>PSW</v>
      </c>
      <c r="E1109" s="19" t="str">
        <f>IF($B1109="","",IFERROR(INDEX('Staff Directory'!$D$5:$D$594,MATCH($B1109,'Staff Directory'!$A$5:$A$594,0)),""))</f>
        <v>A6</v>
      </c>
      <c r="F1109" s="9" t="s">
        <v>115</v>
      </c>
      <c r="G1109" s="18" t="str">
        <f>IF($F1109="","",IFERROR(INDEX(Items!$B$5:$B$597,MATCH($F1109,Items!$A$5:$A$597,0)),"⚠ not in Items"))</f>
        <v>Wipes</v>
      </c>
      <c r="H1109" s="19">
        <f>IF($F1109="","",IFERROR(INDEX(Items!$C$5:$C$597,MATCH($F1109,Items!$A$5:$A$597,0)),""))</f>
        <v>80</v>
      </c>
      <c r="I1109" s="23">
        <f>IF($F1109="","",IFERROR(INDEX(Items!$E$5:$E$597,MATCH($F1109,Items!$A$5:$A$597,0)),""))</f>
        <v>80</v>
      </c>
      <c r="J1109" s="115">
        <f>IF(tblIssues[[#This Row],[Qty Override]]&lt;&gt;"",tblIssues[[#This Row],[Qty Override]],IF(tblIssues[[#This Row],[Standard Issue]]="","",tblIssues[[#This Row],[Standard Issue]]))</f>
        <v>80</v>
      </c>
      <c r="K1109" s="20">
        <f>IF($F1109="","",IFERROR(INDEX(Items!$D$5:$D$597,MATCH($F1109,Items!$A$5:$A$597,0)),""))</f>
        <v>0.1</v>
      </c>
      <c r="L1109" s="21">
        <f t="shared" si="195"/>
        <v>8</v>
      </c>
      <c r="M1109" s="9" t="str">
        <f t="shared" si="193"/>
        <v>LYSL500290</v>
      </c>
      <c r="N1109" s="24">
        <f>IF($A1109="","",WORKDAY($A1109,Settings!$C$9,HolidayDates))</f>
        <v>46185</v>
      </c>
      <c r="O1109" s="24">
        <f>IF($N1109="","",WORKDAY($N1109,Settings!$C$10,HolidayDates))</f>
        <v>46225</v>
      </c>
      <c r="P1109" s="10" t="s">
        <v>501</v>
      </c>
      <c r="Q1109" s="52" t="str">
        <f t="shared" si="196"/>
        <v>Collected</v>
      </c>
      <c r="R1109" s="55" t="str">
        <f t="shared" si="197"/>
        <v>2026-06</v>
      </c>
      <c r="S1109" s="55">
        <f>IF(OR($B1109="",$F1109="",$R1109=""),"",SUMIFS(tblIssues[Qty Issued],tblIssues[Staff ID],$B1109,tblIssues[Item Name],$F1109,tblIssues[Month],$R1109))</f>
        <v>80</v>
      </c>
      <c r="T1109" s="56">
        <f>IF($I1109="","",$I1109*Settings!$C$11)</f>
        <v>80</v>
      </c>
      <c r="U1109" s="57" t="str">
        <f t="shared" si="194"/>
        <v>OK</v>
      </c>
      <c r="V1109" s="55" t="str">
        <f t="shared" si="198"/>
        <v/>
      </c>
      <c r="W1109" s="55" t="str">
        <f>IF($V1109="","",IF(COUNTIF($V$5:$V1109,$V1109)=1,1,""))</f>
        <v/>
      </c>
      <c r="X1109" s="58" t="str">
        <f>IF($W1109="","",MAX($X$4:X1108)+1)</f>
        <v/>
      </c>
      <c r="Y1109" s="62"/>
      <c r="Z1109" s="62"/>
      <c r="AA1109" s="64" t="str">
        <f>IF($C1109="","",IFERROR(INDEX('Staff Directory'!$E$5:$E$594,MATCH($C1109,'Staff Directory'!$B$5:$B$594,0)),""))</f>
        <v>firstname066.lastname066@example.com</v>
      </c>
      <c r="AB1109" s="64" t="str">
        <f>IF($C1109="","",IF(ISNUMBER(SEARCH($D1109,Settings!$C$15)),"Pickup","Dispatch"))</f>
        <v>Pickup</v>
      </c>
      <c r="AC1109" s="64" t="str">
        <f t="shared" si="199"/>
        <v>Supply order ready for pickup</v>
      </c>
      <c r="AD1109" s="64" t="str">
        <f t="shared" si="190"/>
        <v>Dear PSW,
Your order is ready for pickup from Sample Branch, Wed-Fri 9am-4pm.</v>
      </c>
      <c r="AE1109" s="64" t="str">
        <f t="shared" si="191"/>
        <v>mailto:firstname066.lastname066@example.com?subject=Supply%20order%20ready%20for%20pickup&amp;body=Dear%20PSW%2C%0A%0AYour%20order%20is%20ready%20for%20pickup%20from%20Sample%20Branch%2C%20Wed-Fri%209am-4pm.</v>
      </c>
      <c r="AF1109" s="89" t="str">
        <f t="shared" si="200"/>
        <v>Draft email</v>
      </c>
      <c r="AG1109" s="64" t="str">
        <f>IF($C1109="","",IFERROR(INDEX('Staff Directory'!$K$595:$K$599,MATCH($C1109,'Staff Directory'!$B$5:$B$599,0)),$D1109))</f>
        <v>PSW</v>
      </c>
      <c r="AH1109" t="str">
        <f>IF($C1109="","",IFERROR(INDEX('Staff Directory'!$I$595:$I$599,MATCH($C1109,'Staff Directory'!$B$5:$B$599,0))&amp;" "&amp;INDEX('Staff Directory'!$J$595:$J$599,MATCH($C1109,'Staff Directory'!$B$5:$B$599,0)),$AG1109))</f>
        <v>PSW</v>
      </c>
      <c r="AI1109" s="102"/>
      <c r="AJ1109" s="101">
        <f>IF($F1109="","",SUMIFS($J$5:$J1109,$F$5:$F1109,$F1109))</f>
        <v>14880</v>
      </c>
      <c r="AK1109" s="101">
        <f t="shared" si="192"/>
        <v>14801</v>
      </c>
      <c r="AL1109" s="66" t="str" cm="1">
        <f t="array" ref="AL1109">IF($F1109="","",IFERROR(INDEX('Lot Balance'!$B$5:$B$500,MATCH(1,INDEX(('Lot Balance'!$A$5:$A$500=$F1109)*('Lot Balance'!$K$5:$K$500&lt;$AK1109)*('Lot Balance'!$K$5:$K$500+'Lot Balance'!$D$5:$D$500&gt;=$AK1109),0),0)),""))</f>
        <v>LYSL500290</v>
      </c>
      <c r="AM1109" s="66" t="str" cm="1">
        <f t="array" ref="AM1109">IF($F1109="","",IFERROR(INDEX('Lot Balance'!$B$5:$B$500,MATCH(1,INDEX(('Lot Balance'!$A$5:$A$500=$F1109)*('Lot Balance'!$K$5:$K$500&lt;$AJ1109)*('Lot Balance'!$K$5:$K$500+'Lot Balance'!$D$5:$D$500&gt;=$AJ1109),0),0)),""))</f>
        <v>LYSL500290</v>
      </c>
      <c r="AN1109" s="66" t="str">
        <f>IF($F1109="","",IF($AI1109&lt;&gt;"",IF(COUNTIFS('Lot Balance'!$A$5:$A$500,$F1109,'Lot Balance'!$B$5:$B$500,$AI1109)=0,"⚠ override is not a lot of this item",IF($AI1109=$AL1109,"Override = FEFO","Override - FEFO says "&amp;$AL1109)),IF($AL1109="","⚠ no receipt on file for this item",IF($AM1109&lt;&gt;$AL1109,"FEFO auto - split, also "&amp;$AM1109,"FEFO auto"))))</f>
        <v>FEFO auto</v>
      </c>
      <c r="AO1109" s="114"/>
    </row>
    <row r="1110" spans="1:41" x14ac:dyDescent="0.35">
      <c r="A1110" s="74">
        <v>46177</v>
      </c>
      <c r="B1110" s="18" t="str">
        <f>IF($C1110="","",IFERROR(INDEX('Staff Directory'!$A$5:$A$594,MATCH($C1110,'Staff Directory'!$B$5:$B$594,0)),"⚠ unknown staff"))</f>
        <v>PSW-006-A6</v>
      </c>
      <c r="C1110" s="49" t="s">
        <v>982</v>
      </c>
      <c r="D1110" s="19" t="str">
        <f>IF($B1110="","",IFERROR(INDEX('Staff Directory'!$C$5:$C$594,MATCH($B1110,'Staff Directory'!$A$5:$A$594,0)),""))</f>
        <v>PSW</v>
      </c>
      <c r="E1110" s="19" t="str">
        <f>IF($B1110="","",IFERROR(INDEX('Staff Directory'!$D$5:$D$594,MATCH($B1110,'Staff Directory'!$A$5:$A$594,0)),""))</f>
        <v>A6</v>
      </c>
      <c r="F1110" s="9" t="s">
        <v>156</v>
      </c>
      <c r="G1110" s="18" t="str">
        <f>IF($F1110="","",IFERROR(INDEX(Items!$B$5:$B$597,MATCH($F1110,Items!$A$5:$A$597,0)),"⚠ not in Items"))</f>
        <v>Masks</v>
      </c>
      <c r="H1110" s="19" t="str">
        <f>IF($F1110="","",IFERROR(INDEX(Items!$C$5:$C$597,MATCH($F1110,Items!$A$5:$A$597,0)),""))</f>
        <v>One Size</v>
      </c>
      <c r="I1110" s="23">
        <f>IF($F1110="","",IFERROR(INDEX(Items!$E$5:$E$597,MATCH($F1110,Items!$A$5:$A$597,0)),""))</f>
        <v>50</v>
      </c>
      <c r="J1110" s="115">
        <f>IF(tblIssues[[#This Row],[Qty Override]]&lt;&gt;"",tblIssues[[#This Row],[Qty Override]],IF(tblIssues[[#This Row],[Standard Issue]]="","",tblIssues[[#This Row],[Standard Issue]]))</f>
        <v>50</v>
      </c>
      <c r="K1110" s="20">
        <f>IF($F1110="","",IFERROR(INDEX(Items!$D$5:$D$597,MATCH($F1110,Items!$A$5:$A$597,0)),""))</f>
        <v>0.25</v>
      </c>
      <c r="L1110" s="21">
        <f t="shared" si="195"/>
        <v>12.5</v>
      </c>
      <c r="M1110" s="9" t="str">
        <f t="shared" si="193"/>
        <v>102GPC24</v>
      </c>
      <c r="N1110" s="24">
        <f>IF($A1110="","",WORKDAY($A1110,Settings!$C$9,HolidayDates))</f>
        <v>46185</v>
      </c>
      <c r="O1110" s="24">
        <f>IF($N1110="","",WORKDAY($N1110,Settings!$C$10,HolidayDates))</f>
        <v>46225</v>
      </c>
      <c r="P1110" s="10" t="s">
        <v>501</v>
      </c>
      <c r="Q1110" s="52" t="str">
        <f t="shared" si="196"/>
        <v>Collected</v>
      </c>
      <c r="R1110" s="55" t="str">
        <f t="shared" si="197"/>
        <v>2026-06</v>
      </c>
      <c r="S1110" s="55">
        <f>IF(OR($B1110="",$F1110="",$R1110=""),"",SUMIFS(tblIssues[Qty Issued],tblIssues[Staff ID],$B1110,tblIssues[Item Name],$F1110,tblIssues[Month],$R1110))</f>
        <v>50</v>
      </c>
      <c r="T1110" s="56">
        <f>IF($I1110="","",$I1110*Settings!$C$11)</f>
        <v>50</v>
      </c>
      <c r="U1110" s="57" t="str">
        <f t="shared" si="194"/>
        <v>OK</v>
      </c>
      <c r="V1110" s="55" t="str">
        <f t="shared" si="198"/>
        <v/>
      </c>
      <c r="W1110" s="55" t="str">
        <f>IF($V1110="","",IF(COUNTIF($V$5:$V1110,$V1110)=1,1,""))</f>
        <v/>
      </c>
      <c r="X1110" s="58" t="str">
        <f>IF($W1110="","",MAX($X$4:X1109)+1)</f>
        <v/>
      </c>
      <c r="Y1110" s="62"/>
      <c r="Z1110" s="62"/>
      <c r="AA1110" s="64" t="str">
        <f>IF($C1110="","",IFERROR(INDEX('Staff Directory'!$E$5:$E$594,MATCH($C1110,'Staff Directory'!$B$5:$B$594,0)),""))</f>
        <v>firstname066.lastname066@example.com</v>
      </c>
      <c r="AB1110" s="64" t="str">
        <f>IF($C1110="","",IF(ISNUMBER(SEARCH($D1110,Settings!$C$15)),"Pickup","Dispatch"))</f>
        <v>Pickup</v>
      </c>
      <c r="AC1110" s="64" t="str">
        <f t="shared" si="199"/>
        <v>Supply order ready for pickup</v>
      </c>
      <c r="AD1110" s="64" t="str">
        <f t="shared" si="190"/>
        <v>Dear PSW,
Your order is ready for pickup from Sample Branch, Wed-Fri 9am-4pm.</v>
      </c>
      <c r="AE1110" s="64" t="str">
        <f t="shared" si="191"/>
        <v>mailto:firstname066.lastname066@example.com?subject=Supply%20order%20ready%20for%20pickup&amp;body=Dear%20PSW%2C%0A%0AYour%20order%20is%20ready%20for%20pickup%20from%20Sample%20Branch%2C%20Wed-Fri%209am-4pm.</v>
      </c>
      <c r="AF1110" s="89" t="str">
        <f t="shared" si="200"/>
        <v>Draft email</v>
      </c>
      <c r="AG1110" s="64" t="str">
        <f>IF($C1110="","",IFERROR(INDEX('Staff Directory'!$K$595:$K$599,MATCH($C1110,'Staff Directory'!$B$5:$B$599,0)),$D1110))</f>
        <v>PSW</v>
      </c>
      <c r="AH1110" t="str">
        <f>IF($C1110="","",IFERROR(INDEX('Staff Directory'!$I$595:$I$599,MATCH($C1110,'Staff Directory'!$B$5:$B$599,0))&amp;" "&amp;INDEX('Staff Directory'!$J$595:$J$599,MATCH($C1110,'Staff Directory'!$B$5:$B$599,0)),$AG1110))</f>
        <v>PSW</v>
      </c>
      <c r="AI1110" s="102"/>
      <c r="AJ1110" s="101">
        <f>IF($F1110="","",SUMIFS($J$5:$J1110,$F$5:$F1110,$F1110))</f>
        <v>9100</v>
      </c>
      <c r="AK1110" s="101">
        <f t="shared" si="192"/>
        <v>9051</v>
      </c>
      <c r="AL1110" s="66" t="str" cm="1">
        <f t="array" ref="AL1110">IF($F1110="","",IFERROR(INDEX('Lot Balance'!$B$5:$B$500,MATCH(1,INDEX(('Lot Balance'!$A$5:$A$500=$F1110)*('Lot Balance'!$K$5:$K$500&lt;$AK1110)*('Lot Balance'!$K$5:$K$500+'Lot Balance'!$D$5:$D$500&gt;=$AK1110),0),0)),""))</f>
        <v>102GPC24</v>
      </c>
      <c r="AM1110" s="66" t="str" cm="1">
        <f t="array" ref="AM1110">IF($F1110="","",IFERROR(INDEX('Lot Balance'!$B$5:$B$500,MATCH(1,INDEX(('Lot Balance'!$A$5:$A$500=$F1110)*('Lot Balance'!$K$5:$K$500&lt;$AJ1110)*('Lot Balance'!$K$5:$K$500+'Lot Balance'!$D$5:$D$500&gt;=$AJ1110),0),0)),""))</f>
        <v>102GPC24</v>
      </c>
      <c r="AN1110" s="66" t="str">
        <f>IF($F1110="","",IF($AI1110&lt;&gt;"",IF(COUNTIFS('Lot Balance'!$A$5:$A$500,$F1110,'Lot Balance'!$B$5:$B$500,$AI1110)=0,"⚠ override is not a lot of this item",IF($AI1110=$AL1110,"Override = FEFO","Override - FEFO says "&amp;$AL1110)),IF($AL1110="","⚠ no receipt on file for this item",IF($AM1110&lt;&gt;$AL1110,"FEFO auto - split, also "&amp;$AM1110,"FEFO auto"))))</f>
        <v>FEFO auto</v>
      </c>
      <c r="AO1110" s="114"/>
    </row>
    <row r="1111" spans="1:41" x14ac:dyDescent="0.35">
      <c r="A1111" s="74">
        <v>46177</v>
      </c>
      <c r="B1111" s="18" t="str">
        <f>IF($C1111="","",IFERROR(INDEX('Staff Directory'!$A$5:$A$594,MATCH($C1111,'Staff Directory'!$B$5:$B$594,0)),"⚠ unknown staff"))</f>
        <v>PSW-066-A5</v>
      </c>
      <c r="C1111" s="49" t="s">
        <v>1042</v>
      </c>
      <c r="D1111" s="19" t="str">
        <f>IF($B1111="","",IFERROR(INDEX('Staff Directory'!$C$5:$C$594,MATCH($B1111,'Staff Directory'!$A$5:$A$594,0)),""))</f>
        <v>PSW</v>
      </c>
      <c r="E1111" s="19" t="str">
        <f>IF($B1111="","",IFERROR(INDEX('Staff Directory'!$D$5:$D$594,MATCH($B1111,'Staff Directory'!$A$5:$A$594,0)),""))</f>
        <v>A5</v>
      </c>
      <c r="F1111" s="9" t="s">
        <v>129</v>
      </c>
      <c r="G1111" s="18" t="str">
        <f>IF($F1111="","",IFERROR(INDEX(Items!$B$5:$B$597,MATCH($F1111,Items!$A$5:$A$597,0)),"⚠ not in Items"))</f>
        <v>Gloves</v>
      </c>
      <c r="H1111" s="19" t="str">
        <f>IF($F1111="","",IFERROR(INDEX(Items!$C$5:$C$597,MATCH($F1111,Items!$A$5:$A$597,0)),""))</f>
        <v>Small</v>
      </c>
      <c r="I1111" s="23">
        <f>IF($F1111="","",IFERROR(INDEX(Items!$E$5:$E$597,MATCH($F1111,Items!$A$5:$A$597,0)),""))</f>
        <v>500</v>
      </c>
      <c r="J1111" s="115">
        <f>IF(tblIssues[[#This Row],[Qty Override]]&lt;&gt;"",tblIssues[[#This Row],[Qty Override]],IF(tblIssues[[#This Row],[Standard Issue]]="","",tblIssues[[#This Row],[Standard Issue]]))</f>
        <v>500</v>
      </c>
      <c r="K1111" s="20">
        <f>IF($F1111="","",IFERROR(INDEX(Items!$D$5:$D$597,MATCH($F1111,Items!$A$5:$A$597,0)),""))</f>
        <v>5.5E-2</v>
      </c>
      <c r="L1111" s="21">
        <f t="shared" si="195"/>
        <v>27.5</v>
      </c>
      <c r="M1111" s="9" t="str">
        <f t="shared" si="193"/>
        <v>ZIM504124207-6</v>
      </c>
      <c r="N1111" s="24">
        <f>IF($A1111="","",WORKDAY($A1111,Settings!$C$9,HolidayDates))</f>
        <v>46185</v>
      </c>
      <c r="O1111" s="24">
        <f>IF($N1111="","",WORKDAY($N1111,Settings!$C$10,HolidayDates))</f>
        <v>46225</v>
      </c>
      <c r="P1111" s="10" t="s">
        <v>501</v>
      </c>
      <c r="Q1111" s="52" t="str">
        <f t="shared" si="196"/>
        <v>Collected</v>
      </c>
      <c r="R1111" s="55" t="str">
        <f t="shared" si="197"/>
        <v>2026-06</v>
      </c>
      <c r="S1111" s="55">
        <f>IF(OR($B1111="",$F1111="",$R1111=""),"",SUMIFS(tblIssues[Qty Issued],tblIssues[Staff ID],$B1111,tblIssues[Item Name],$F1111,tblIssues[Month],$R1111))</f>
        <v>500</v>
      </c>
      <c r="T1111" s="56">
        <f>IF($I1111="","",$I1111*Settings!$C$11)</f>
        <v>500</v>
      </c>
      <c r="U1111" s="57" t="str">
        <f t="shared" si="194"/>
        <v>OK</v>
      </c>
      <c r="V1111" s="55" t="str">
        <f t="shared" si="198"/>
        <v/>
      </c>
      <c r="W1111" s="55" t="str">
        <f>IF($V1111="","",IF(COUNTIF($V$5:$V1111,$V1111)=1,1,""))</f>
        <v/>
      </c>
      <c r="X1111" s="58" t="str">
        <f>IF($W1111="","",MAX($X$4:X1110)+1)</f>
        <v/>
      </c>
      <c r="Y1111" s="62"/>
      <c r="Z1111" s="62"/>
      <c r="AA1111" s="64" t="str">
        <f>IF($C1111="","",IFERROR(INDEX('Staff Directory'!$E$5:$E$594,MATCH($C1111,'Staff Directory'!$B$5:$B$594,0)),""))</f>
        <v>firstname126.lastname126@example.com</v>
      </c>
      <c r="AB1111" s="64" t="str">
        <f>IF($C1111="","",IF(ISNUMBER(SEARCH($D1111,Settings!$C$15)),"Pickup","Dispatch"))</f>
        <v>Pickup</v>
      </c>
      <c r="AC1111" s="64" t="str">
        <f t="shared" si="199"/>
        <v>Supply order ready for pickup</v>
      </c>
      <c r="AD1111" s="64" t="str">
        <f t="shared" si="190"/>
        <v>Dear PSW,
Your order is ready for pickup from Sample Branch, Wed-Fri 9am-4pm.</v>
      </c>
      <c r="AE1111" s="64" t="str">
        <f t="shared" si="191"/>
        <v>mailto:firstname126.lastname126@example.com?subject=Supply%20order%20ready%20for%20pickup&amp;body=Dear%20PSW%2C%0A%0AYour%20order%20is%20ready%20for%20pickup%20from%20Sample%20Branch%2C%20Wed-Fri%209am-4pm.</v>
      </c>
      <c r="AF1111" s="89" t="str">
        <f t="shared" si="200"/>
        <v>Draft email</v>
      </c>
      <c r="AG1111" s="64" t="str">
        <f>IF($C1111="","",IFERROR(INDEX('Staff Directory'!$K$595:$K$599,MATCH($C1111,'Staff Directory'!$B$5:$B$599,0)),$D1111))</f>
        <v>PSW</v>
      </c>
      <c r="AH1111" t="str">
        <f>IF($C1111="","",IFERROR(INDEX('Staff Directory'!$I$595:$I$599,MATCH($C1111,'Staff Directory'!$B$5:$B$599,0))&amp;" "&amp;INDEX('Staff Directory'!$J$595:$J$599,MATCH($C1111,'Staff Directory'!$B$5:$B$599,0)),$AG1111))</f>
        <v>PSW</v>
      </c>
      <c r="AI1111" s="102"/>
      <c r="AJ1111" s="101">
        <f>IF($F1111="","",SUMIFS($J$5:$J1111,$F$5:$F1111,$F1111))</f>
        <v>34500</v>
      </c>
      <c r="AK1111" s="101">
        <f t="shared" si="192"/>
        <v>34001</v>
      </c>
      <c r="AL1111" s="66" t="str" cm="1">
        <f t="array" ref="AL1111">IF($F1111="","",IFERROR(INDEX('Lot Balance'!$B$5:$B$500,MATCH(1,INDEX(('Lot Balance'!$A$5:$A$500=$F1111)*('Lot Balance'!$K$5:$K$500&lt;$AK1111)*('Lot Balance'!$K$5:$K$500+'Lot Balance'!$D$5:$D$500&gt;=$AK1111),0),0)),""))</f>
        <v>ZIM504124207-6</v>
      </c>
      <c r="AM1111" s="66" t="str" cm="1">
        <f t="array" ref="AM1111">IF($F1111="","",IFERROR(INDEX('Lot Balance'!$B$5:$B$500,MATCH(1,INDEX(('Lot Balance'!$A$5:$A$500=$F1111)*('Lot Balance'!$K$5:$K$500&lt;$AJ1111)*('Lot Balance'!$K$5:$K$500+'Lot Balance'!$D$5:$D$500&gt;=$AJ1111),0),0)),""))</f>
        <v>ZIM504124207-6</v>
      </c>
      <c r="AN1111" s="66" t="str">
        <f>IF($F1111="","",IF($AI1111&lt;&gt;"",IF(COUNTIFS('Lot Balance'!$A$5:$A$500,$F1111,'Lot Balance'!$B$5:$B$500,$AI1111)=0,"⚠ override is not a lot of this item",IF($AI1111=$AL1111,"Override = FEFO","Override - FEFO says "&amp;$AL1111)),IF($AL1111="","⚠ no receipt on file for this item",IF($AM1111&lt;&gt;$AL1111,"FEFO auto - split, also "&amp;$AM1111,"FEFO auto"))))</f>
        <v>FEFO auto</v>
      </c>
      <c r="AO1111" s="114"/>
    </row>
    <row r="1112" spans="1:41" x14ac:dyDescent="0.35">
      <c r="A1112" s="74">
        <v>46177</v>
      </c>
      <c r="B1112" s="18" t="str">
        <f>IF($C1112="","",IFERROR(INDEX('Staff Directory'!$A$5:$A$594,MATCH($C1112,'Staff Directory'!$B$5:$B$594,0)),"⚠ unknown staff"))</f>
        <v>PSW-066-A5</v>
      </c>
      <c r="C1112" s="49" t="s">
        <v>1042</v>
      </c>
      <c r="D1112" s="19" t="str">
        <f>IF($B1112="","",IFERROR(INDEX('Staff Directory'!$C$5:$C$594,MATCH($B1112,'Staff Directory'!$A$5:$A$594,0)),""))</f>
        <v>PSW</v>
      </c>
      <c r="E1112" s="19" t="str">
        <f>IF($B1112="","",IFERROR(INDEX('Staff Directory'!$D$5:$D$594,MATCH($B1112,'Staff Directory'!$A$5:$A$594,0)),""))</f>
        <v>A5</v>
      </c>
      <c r="F1112" s="9" t="s">
        <v>191</v>
      </c>
      <c r="G1112" s="18" t="str">
        <f>IF($F1112="","",IFERROR(INDEX(Items!$B$5:$B$597,MATCH($F1112,Items!$A$5:$A$597,0)),"⚠ not in Items"))</f>
        <v>Sanitizer</v>
      </c>
      <c r="H1112" s="19" t="str">
        <f>IF($F1112="","",IFERROR(INDEX(Items!$C$5:$C$597,MATCH($F1112,Items!$A$5:$A$597,0)),""))</f>
        <v>236 ML</v>
      </c>
      <c r="I1112" s="23">
        <f>IF($F1112="","",IFERROR(INDEX(Items!$E$5:$E$597,MATCH($F1112,Items!$A$5:$A$597,0)),""))</f>
        <v>1</v>
      </c>
      <c r="J1112" s="115">
        <f>IF(tblIssues[[#This Row],[Qty Override]]&lt;&gt;"",tblIssues[[#This Row],[Qty Override]],IF(tblIssues[[#This Row],[Standard Issue]]="","",tblIssues[[#This Row],[Standard Issue]]))</f>
        <v>1</v>
      </c>
      <c r="K1112" s="20">
        <f>IF($F1112="","",IFERROR(INDEX(Items!$D$5:$D$597,MATCH($F1112,Items!$A$5:$A$597,0)),""))</f>
        <v>1E-4</v>
      </c>
      <c r="L1112" s="21">
        <f t="shared" si="195"/>
        <v>1E-4</v>
      </c>
      <c r="M1112" s="9" t="str">
        <f t="shared" si="193"/>
        <v>20-21734-4</v>
      </c>
      <c r="N1112" s="24">
        <f>IF($A1112="","",WORKDAY($A1112,Settings!$C$9,HolidayDates))</f>
        <v>46185</v>
      </c>
      <c r="O1112" s="24">
        <f>IF($N1112="","",WORKDAY($N1112,Settings!$C$10,HolidayDates))</f>
        <v>46225</v>
      </c>
      <c r="P1112" s="10" t="s">
        <v>501</v>
      </c>
      <c r="Q1112" s="52" t="str">
        <f t="shared" si="196"/>
        <v>Collected</v>
      </c>
      <c r="R1112" s="55" t="str">
        <f t="shared" si="197"/>
        <v>2026-06</v>
      </c>
      <c r="S1112" s="55">
        <f>IF(OR($B1112="",$F1112="",$R1112=""),"",SUMIFS(tblIssues[Qty Issued],tblIssues[Staff ID],$B1112,tblIssues[Item Name],$F1112,tblIssues[Month],$R1112))</f>
        <v>1</v>
      </c>
      <c r="T1112" s="56">
        <f>IF($I1112="","",$I1112*Settings!$C$11)</f>
        <v>1</v>
      </c>
      <c r="U1112" s="57" t="str">
        <f t="shared" si="194"/>
        <v>OK</v>
      </c>
      <c r="V1112" s="55" t="str">
        <f t="shared" si="198"/>
        <v/>
      </c>
      <c r="W1112" s="55" t="str">
        <f>IF($V1112="","",IF(COUNTIF($V$5:$V1112,$V1112)=1,1,""))</f>
        <v/>
      </c>
      <c r="X1112" s="58" t="str">
        <f>IF($W1112="","",MAX($X$4:X1111)+1)</f>
        <v/>
      </c>
      <c r="Y1112" s="62"/>
      <c r="Z1112" s="62"/>
      <c r="AA1112" s="64" t="str">
        <f>IF($C1112="","",IFERROR(INDEX('Staff Directory'!$E$5:$E$594,MATCH($C1112,'Staff Directory'!$B$5:$B$594,0)),""))</f>
        <v>firstname126.lastname126@example.com</v>
      </c>
      <c r="AB1112" s="64" t="str">
        <f>IF($C1112="","",IF(ISNUMBER(SEARCH($D1112,Settings!$C$15)),"Pickup","Dispatch"))</f>
        <v>Pickup</v>
      </c>
      <c r="AC1112" s="64" t="str">
        <f t="shared" si="199"/>
        <v>Supply order ready for pickup</v>
      </c>
      <c r="AD1112" s="64" t="str">
        <f t="shared" si="190"/>
        <v>Dear PSW,
Your order is ready for pickup from Sample Branch, Wed-Fri 9am-4pm.</v>
      </c>
      <c r="AE1112" s="64" t="str">
        <f t="shared" si="191"/>
        <v>mailto:firstname126.lastname126@example.com?subject=Supply%20order%20ready%20for%20pickup&amp;body=Dear%20PSW%2C%0A%0AYour%20order%20is%20ready%20for%20pickup%20from%20Sample%20Branch%2C%20Wed-Fri%209am-4pm.</v>
      </c>
      <c r="AF1112" s="89" t="str">
        <f t="shared" si="200"/>
        <v>Draft email</v>
      </c>
      <c r="AG1112" s="64" t="str">
        <f>IF($C1112="","",IFERROR(INDEX('Staff Directory'!$K$595:$K$599,MATCH($C1112,'Staff Directory'!$B$5:$B$599,0)),$D1112))</f>
        <v>PSW</v>
      </c>
      <c r="AH1112" t="str">
        <f>IF($C1112="","",IFERROR(INDEX('Staff Directory'!$I$595:$I$599,MATCH($C1112,'Staff Directory'!$B$5:$B$599,0))&amp;" "&amp;INDEX('Staff Directory'!$J$595:$J$599,MATCH($C1112,'Staff Directory'!$B$5:$B$599,0)),$AG1112))</f>
        <v>PSW</v>
      </c>
      <c r="AI1112" s="102"/>
      <c r="AJ1112" s="101">
        <f>IF($F1112="","",SUMIFS($J$5:$J1112,$F$5:$F1112,$F1112))</f>
        <v>135</v>
      </c>
      <c r="AK1112" s="101">
        <f t="shared" si="192"/>
        <v>135</v>
      </c>
      <c r="AL1112" s="66" t="str" cm="1">
        <f t="array" ref="AL1112">IF($F1112="","",IFERROR(INDEX('Lot Balance'!$B$5:$B$500,MATCH(1,INDEX(('Lot Balance'!$A$5:$A$500=$F1112)*('Lot Balance'!$K$5:$K$500&lt;$AK1112)*('Lot Balance'!$K$5:$K$500+'Lot Balance'!$D$5:$D$500&gt;=$AK1112),0),0)),""))</f>
        <v>20-21734-4</v>
      </c>
      <c r="AM1112" s="66" t="str" cm="1">
        <f t="array" ref="AM1112">IF($F1112="","",IFERROR(INDEX('Lot Balance'!$B$5:$B$500,MATCH(1,INDEX(('Lot Balance'!$A$5:$A$500=$F1112)*('Lot Balance'!$K$5:$K$500&lt;$AJ1112)*('Lot Balance'!$K$5:$K$500+'Lot Balance'!$D$5:$D$500&gt;=$AJ1112),0),0)),""))</f>
        <v>20-21734-4</v>
      </c>
      <c r="AN1112" s="66" t="str">
        <f>IF($F1112="","",IF($AI1112&lt;&gt;"",IF(COUNTIFS('Lot Balance'!$A$5:$A$500,$F1112,'Lot Balance'!$B$5:$B$500,$AI1112)=0,"⚠ override is not a lot of this item",IF($AI1112=$AL1112,"Override = FEFO","Override - FEFO says "&amp;$AL1112)),IF($AL1112="","⚠ no receipt on file for this item",IF($AM1112&lt;&gt;$AL1112,"FEFO auto - split, also "&amp;$AM1112,"FEFO auto"))))</f>
        <v>FEFO auto</v>
      </c>
      <c r="AO1112" s="114"/>
    </row>
    <row r="1113" spans="1:41" x14ac:dyDescent="0.35">
      <c r="A1113" s="74">
        <v>46177</v>
      </c>
      <c r="B1113" s="18" t="str">
        <f>IF($C1113="","",IFERROR(INDEX('Staff Directory'!$A$5:$A$594,MATCH($C1113,'Staff Directory'!$B$5:$B$594,0)),"⚠ unknown staff"))</f>
        <v>PSW-066-A5</v>
      </c>
      <c r="C1113" s="49" t="s">
        <v>1042</v>
      </c>
      <c r="D1113" s="19" t="str">
        <f>IF($B1113="","",IFERROR(INDEX('Staff Directory'!$C$5:$C$594,MATCH($B1113,'Staff Directory'!$A$5:$A$594,0)),""))</f>
        <v>PSW</v>
      </c>
      <c r="E1113" s="19" t="str">
        <f>IF($B1113="","",IFERROR(INDEX('Staff Directory'!$D$5:$D$594,MATCH($B1113,'Staff Directory'!$A$5:$A$594,0)),""))</f>
        <v>A5</v>
      </c>
      <c r="F1113" s="9" t="s">
        <v>115</v>
      </c>
      <c r="G1113" s="18" t="str">
        <f>IF($F1113="","",IFERROR(INDEX(Items!$B$5:$B$597,MATCH($F1113,Items!$A$5:$A$597,0)),"⚠ not in Items"))</f>
        <v>Wipes</v>
      </c>
      <c r="H1113" s="19">
        <f>IF($F1113="","",IFERROR(INDEX(Items!$C$5:$C$597,MATCH($F1113,Items!$A$5:$A$597,0)),""))</f>
        <v>80</v>
      </c>
      <c r="I1113" s="23">
        <f>IF($F1113="","",IFERROR(INDEX(Items!$E$5:$E$597,MATCH($F1113,Items!$A$5:$A$597,0)),""))</f>
        <v>80</v>
      </c>
      <c r="J1113" s="115">
        <f>IF(tblIssues[[#This Row],[Qty Override]]&lt;&gt;"",tblIssues[[#This Row],[Qty Override]],IF(tblIssues[[#This Row],[Standard Issue]]="","",tblIssues[[#This Row],[Standard Issue]]))</f>
        <v>80</v>
      </c>
      <c r="K1113" s="20">
        <f>IF($F1113="","",IFERROR(INDEX(Items!$D$5:$D$597,MATCH($F1113,Items!$A$5:$A$597,0)),""))</f>
        <v>0.1</v>
      </c>
      <c r="L1113" s="21">
        <f t="shared" si="195"/>
        <v>8</v>
      </c>
      <c r="M1113" s="9" t="str">
        <f t="shared" si="193"/>
        <v>LYSL500290</v>
      </c>
      <c r="N1113" s="24">
        <f>IF($A1113="","",WORKDAY($A1113,Settings!$C$9,HolidayDates))</f>
        <v>46185</v>
      </c>
      <c r="O1113" s="24">
        <f>IF($N1113="","",WORKDAY($N1113,Settings!$C$10,HolidayDates))</f>
        <v>46225</v>
      </c>
      <c r="P1113" s="10" t="s">
        <v>501</v>
      </c>
      <c r="Q1113" s="52" t="str">
        <f t="shared" si="196"/>
        <v>Collected</v>
      </c>
      <c r="R1113" s="55" t="str">
        <f t="shared" si="197"/>
        <v>2026-06</v>
      </c>
      <c r="S1113" s="55">
        <f>IF(OR($B1113="",$F1113="",$R1113=""),"",SUMIFS(tblIssues[Qty Issued],tblIssues[Staff ID],$B1113,tblIssues[Item Name],$F1113,tblIssues[Month],$R1113))</f>
        <v>80</v>
      </c>
      <c r="T1113" s="56">
        <f>IF($I1113="","",$I1113*Settings!$C$11)</f>
        <v>80</v>
      </c>
      <c r="U1113" s="57" t="str">
        <f t="shared" si="194"/>
        <v>OK</v>
      </c>
      <c r="V1113" s="55" t="str">
        <f t="shared" si="198"/>
        <v/>
      </c>
      <c r="W1113" s="55" t="str">
        <f>IF($V1113="","",IF(COUNTIF($V$5:$V1113,$V1113)=1,1,""))</f>
        <v/>
      </c>
      <c r="X1113" s="58" t="str">
        <f>IF($W1113="","",MAX($X$4:X1112)+1)</f>
        <v/>
      </c>
      <c r="Y1113" s="62"/>
      <c r="Z1113" s="62"/>
      <c r="AA1113" s="64" t="str">
        <f>IF($C1113="","",IFERROR(INDEX('Staff Directory'!$E$5:$E$594,MATCH($C1113,'Staff Directory'!$B$5:$B$594,0)),""))</f>
        <v>firstname126.lastname126@example.com</v>
      </c>
      <c r="AB1113" s="64" t="str">
        <f>IF($C1113="","",IF(ISNUMBER(SEARCH($D1113,Settings!$C$15)),"Pickup","Dispatch"))</f>
        <v>Pickup</v>
      </c>
      <c r="AC1113" s="64" t="str">
        <f t="shared" si="199"/>
        <v>Supply order ready for pickup</v>
      </c>
      <c r="AD1113" s="64" t="str">
        <f t="shared" si="190"/>
        <v>Dear PSW,
Your order is ready for pickup from Sample Branch, Wed-Fri 9am-4pm.</v>
      </c>
      <c r="AE1113" s="64" t="str">
        <f t="shared" si="191"/>
        <v>mailto:firstname126.lastname126@example.com?subject=Supply%20order%20ready%20for%20pickup&amp;body=Dear%20PSW%2C%0A%0AYour%20order%20is%20ready%20for%20pickup%20from%20Sample%20Branch%2C%20Wed-Fri%209am-4pm.</v>
      </c>
      <c r="AF1113" s="89" t="str">
        <f t="shared" si="200"/>
        <v>Draft email</v>
      </c>
      <c r="AG1113" s="64" t="str">
        <f>IF($C1113="","",IFERROR(INDEX('Staff Directory'!$K$595:$K$599,MATCH($C1113,'Staff Directory'!$B$5:$B$599,0)),$D1113))</f>
        <v>PSW</v>
      </c>
      <c r="AH1113" t="str">
        <f>IF($C1113="","",IFERROR(INDEX('Staff Directory'!$I$595:$I$599,MATCH($C1113,'Staff Directory'!$B$5:$B$599,0))&amp;" "&amp;INDEX('Staff Directory'!$J$595:$J$599,MATCH($C1113,'Staff Directory'!$B$5:$B$599,0)),$AG1113))</f>
        <v>PSW</v>
      </c>
      <c r="AI1113" s="102"/>
      <c r="AJ1113" s="101">
        <f>IF($F1113="","",SUMIFS($J$5:$J1113,$F$5:$F1113,$F1113))</f>
        <v>14960</v>
      </c>
      <c r="AK1113" s="101">
        <f t="shared" si="192"/>
        <v>14881</v>
      </c>
      <c r="AL1113" s="66" t="str" cm="1">
        <f t="array" ref="AL1113">IF($F1113="","",IFERROR(INDEX('Lot Balance'!$B$5:$B$500,MATCH(1,INDEX(('Lot Balance'!$A$5:$A$500=$F1113)*('Lot Balance'!$K$5:$K$500&lt;$AK1113)*('Lot Balance'!$K$5:$K$500+'Lot Balance'!$D$5:$D$500&gt;=$AK1113),0),0)),""))</f>
        <v>LYSL500290</v>
      </c>
      <c r="AM1113" s="66" t="str" cm="1">
        <f t="array" ref="AM1113">IF($F1113="","",IFERROR(INDEX('Lot Balance'!$B$5:$B$500,MATCH(1,INDEX(('Lot Balance'!$A$5:$A$500=$F1113)*('Lot Balance'!$K$5:$K$500&lt;$AJ1113)*('Lot Balance'!$K$5:$K$500+'Lot Balance'!$D$5:$D$500&gt;=$AJ1113),0),0)),""))</f>
        <v>LYSL500290</v>
      </c>
      <c r="AN1113" s="66" t="str">
        <f>IF($F1113="","",IF($AI1113&lt;&gt;"",IF(COUNTIFS('Lot Balance'!$A$5:$A$500,$F1113,'Lot Balance'!$B$5:$B$500,$AI1113)=0,"⚠ override is not a lot of this item",IF($AI1113=$AL1113,"Override = FEFO","Override - FEFO says "&amp;$AL1113)),IF($AL1113="","⚠ no receipt on file for this item",IF($AM1113&lt;&gt;$AL1113,"FEFO auto - split, also "&amp;$AM1113,"FEFO auto"))))</f>
        <v>FEFO auto</v>
      </c>
      <c r="AO1113" s="114"/>
    </row>
    <row r="1114" spans="1:41" x14ac:dyDescent="0.35">
      <c r="A1114" s="74">
        <v>46177</v>
      </c>
      <c r="B1114" s="18" t="str">
        <f>IF($C1114="","",IFERROR(INDEX('Staff Directory'!$A$5:$A$594,MATCH($C1114,'Staff Directory'!$B$5:$B$594,0)),"⚠ unknown staff"))</f>
        <v>PSW-066-A5</v>
      </c>
      <c r="C1114" s="49" t="s">
        <v>1042</v>
      </c>
      <c r="D1114" s="19" t="str">
        <f>IF($B1114="","",IFERROR(INDEX('Staff Directory'!$C$5:$C$594,MATCH($B1114,'Staff Directory'!$A$5:$A$594,0)),""))</f>
        <v>PSW</v>
      </c>
      <c r="E1114" s="19" t="str">
        <f>IF($B1114="","",IFERROR(INDEX('Staff Directory'!$D$5:$D$594,MATCH($B1114,'Staff Directory'!$A$5:$A$594,0)),""))</f>
        <v>A5</v>
      </c>
      <c r="F1114" s="9" t="s">
        <v>156</v>
      </c>
      <c r="G1114" s="18" t="str">
        <f>IF($F1114="","",IFERROR(INDEX(Items!$B$5:$B$597,MATCH($F1114,Items!$A$5:$A$597,0)),"⚠ not in Items"))</f>
        <v>Masks</v>
      </c>
      <c r="H1114" s="19" t="str">
        <f>IF($F1114="","",IFERROR(INDEX(Items!$C$5:$C$597,MATCH($F1114,Items!$A$5:$A$597,0)),""))</f>
        <v>One Size</v>
      </c>
      <c r="I1114" s="23">
        <f>IF($F1114="","",IFERROR(INDEX(Items!$E$5:$E$597,MATCH($F1114,Items!$A$5:$A$597,0)),""))</f>
        <v>50</v>
      </c>
      <c r="J1114" s="115">
        <f>IF(tblIssues[[#This Row],[Qty Override]]&lt;&gt;"",tblIssues[[#This Row],[Qty Override]],IF(tblIssues[[#This Row],[Standard Issue]]="","",tblIssues[[#This Row],[Standard Issue]]))</f>
        <v>50</v>
      </c>
      <c r="K1114" s="20">
        <f>IF($F1114="","",IFERROR(INDEX(Items!$D$5:$D$597,MATCH($F1114,Items!$A$5:$A$597,0)),""))</f>
        <v>0.25</v>
      </c>
      <c r="L1114" s="21">
        <f t="shared" si="195"/>
        <v>12.5</v>
      </c>
      <c r="M1114" s="9" t="str">
        <f t="shared" si="193"/>
        <v>102GPC24</v>
      </c>
      <c r="N1114" s="24">
        <f>IF($A1114="","",WORKDAY($A1114,Settings!$C$9,HolidayDates))</f>
        <v>46185</v>
      </c>
      <c r="O1114" s="24">
        <f>IF($N1114="","",WORKDAY($N1114,Settings!$C$10,HolidayDates))</f>
        <v>46225</v>
      </c>
      <c r="P1114" s="10" t="s">
        <v>501</v>
      </c>
      <c r="Q1114" s="52" t="str">
        <f t="shared" si="196"/>
        <v>Collected</v>
      </c>
      <c r="R1114" s="55" t="str">
        <f t="shared" si="197"/>
        <v>2026-06</v>
      </c>
      <c r="S1114" s="55">
        <f>IF(OR($B1114="",$F1114="",$R1114=""),"",SUMIFS(tblIssues[Qty Issued],tblIssues[Staff ID],$B1114,tblIssues[Item Name],$F1114,tblIssues[Month],$R1114))</f>
        <v>50</v>
      </c>
      <c r="T1114" s="56">
        <f>IF($I1114="","",$I1114*Settings!$C$11)</f>
        <v>50</v>
      </c>
      <c r="U1114" s="57" t="str">
        <f t="shared" si="194"/>
        <v>OK</v>
      </c>
      <c r="V1114" s="55" t="str">
        <f t="shared" si="198"/>
        <v/>
      </c>
      <c r="W1114" s="55" t="str">
        <f>IF($V1114="","",IF(COUNTIF($V$5:$V1114,$V1114)=1,1,""))</f>
        <v/>
      </c>
      <c r="X1114" s="58" t="str">
        <f>IF($W1114="","",MAX($X$4:X1113)+1)</f>
        <v/>
      </c>
      <c r="Y1114" s="62"/>
      <c r="Z1114" s="62"/>
      <c r="AA1114" s="64" t="str">
        <f>IF($C1114="","",IFERROR(INDEX('Staff Directory'!$E$5:$E$594,MATCH($C1114,'Staff Directory'!$B$5:$B$594,0)),""))</f>
        <v>firstname126.lastname126@example.com</v>
      </c>
      <c r="AB1114" s="64" t="str">
        <f>IF($C1114="","",IF(ISNUMBER(SEARCH($D1114,Settings!$C$15)),"Pickup","Dispatch"))</f>
        <v>Pickup</v>
      </c>
      <c r="AC1114" s="64" t="str">
        <f t="shared" si="199"/>
        <v>Supply order ready for pickup</v>
      </c>
      <c r="AD1114" s="64" t="str">
        <f t="shared" si="190"/>
        <v>Dear PSW,
Your order is ready for pickup from Sample Branch, Wed-Fri 9am-4pm.</v>
      </c>
      <c r="AE1114" s="64" t="str">
        <f t="shared" si="191"/>
        <v>mailto:firstname126.lastname126@example.com?subject=Supply%20order%20ready%20for%20pickup&amp;body=Dear%20PSW%2C%0A%0AYour%20order%20is%20ready%20for%20pickup%20from%20Sample%20Branch%2C%20Wed-Fri%209am-4pm.</v>
      </c>
      <c r="AF1114" s="89" t="str">
        <f t="shared" si="200"/>
        <v>Draft email</v>
      </c>
      <c r="AG1114" s="64" t="str">
        <f>IF($C1114="","",IFERROR(INDEX('Staff Directory'!$K$595:$K$599,MATCH($C1114,'Staff Directory'!$B$5:$B$599,0)),$D1114))</f>
        <v>PSW</v>
      </c>
      <c r="AH1114" t="str">
        <f>IF($C1114="","",IFERROR(INDEX('Staff Directory'!$I$595:$I$599,MATCH($C1114,'Staff Directory'!$B$5:$B$599,0))&amp;" "&amp;INDEX('Staff Directory'!$J$595:$J$599,MATCH($C1114,'Staff Directory'!$B$5:$B$599,0)),$AG1114))</f>
        <v>PSW</v>
      </c>
      <c r="AI1114" s="102"/>
      <c r="AJ1114" s="101">
        <f>IF($F1114="","",SUMIFS($J$5:$J1114,$F$5:$F1114,$F1114))</f>
        <v>9150</v>
      </c>
      <c r="AK1114" s="101">
        <f t="shared" si="192"/>
        <v>9101</v>
      </c>
      <c r="AL1114" s="66" t="str" cm="1">
        <f t="array" ref="AL1114">IF($F1114="","",IFERROR(INDEX('Lot Balance'!$B$5:$B$500,MATCH(1,INDEX(('Lot Balance'!$A$5:$A$500=$F1114)*('Lot Balance'!$K$5:$K$500&lt;$AK1114)*('Lot Balance'!$K$5:$K$500+'Lot Balance'!$D$5:$D$500&gt;=$AK1114),0),0)),""))</f>
        <v>102GPC24</v>
      </c>
      <c r="AM1114" s="66" t="str" cm="1">
        <f t="array" ref="AM1114">IF($F1114="","",IFERROR(INDEX('Lot Balance'!$B$5:$B$500,MATCH(1,INDEX(('Lot Balance'!$A$5:$A$500=$F1114)*('Lot Balance'!$K$5:$K$500&lt;$AJ1114)*('Lot Balance'!$K$5:$K$500+'Lot Balance'!$D$5:$D$500&gt;=$AJ1114),0),0)),""))</f>
        <v>102GPC24</v>
      </c>
      <c r="AN1114" s="66" t="str">
        <f>IF($F1114="","",IF($AI1114&lt;&gt;"",IF(COUNTIFS('Lot Balance'!$A$5:$A$500,$F1114,'Lot Balance'!$B$5:$B$500,$AI1114)=0,"⚠ override is not a lot of this item",IF($AI1114=$AL1114,"Override = FEFO","Override - FEFO says "&amp;$AL1114)),IF($AL1114="","⚠ no receipt on file for this item",IF($AM1114&lt;&gt;$AL1114,"FEFO auto - split, also "&amp;$AM1114,"FEFO auto"))))</f>
        <v>FEFO auto</v>
      </c>
      <c r="AO1114" s="114"/>
    </row>
    <row r="1115" spans="1:41" x14ac:dyDescent="0.35">
      <c r="A1115" s="74">
        <v>46177</v>
      </c>
      <c r="B1115" s="18" t="str">
        <f>IF($C1115="","",IFERROR(INDEX('Staff Directory'!$A$5:$A$594,MATCH($C1115,'Staff Directory'!$B$5:$B$594,0)),"⚠ unknown staff"))</f>
        <v>PSW-157-A5</v>
      </c>
      <c r="C1115" s="49" t="s">
        <v>1136</v>
      </c>
      <c r="D1115" s="19" t="str">
        <f>IF($B1115="","",IFERROR(INDEX('Staff Directory'!$C$5:$C$594,MATCH($B1115,'Staff Directory'!$A$5:$A$594,0)),""))</f>
        <v>PSW</v>
      </c>
      <c r="E1115" s="19" t="str">
        <f>IF($B1115="","",IFERROR(INDEX('Staff Directory'!$D$5:$D$594,MATCH($B1115,'Staff Directory'!$A$5:$A$594,0)),""))</f>
        <v>A5</v>
      </c>
      <c r="F1115" s="9" t="s">
        <v>127</v>
      </c>
      <c r="G1115" s="18" t="str">
        <f>IF($F1115="","",IFERROR(INDEX(Items!$B$5:$B$597,MATCH($F1115,Items!$A$5:$A$597,0)),"⚠ not in Items"))</f>
        <v>Gloves</v>
      </c>
      <c r="H1115" s="19" t="str">
        <f>IF($F1115="","",IFERROR(INDEX(Items!$C$5:$C$597,MATCH($F1115,Items!$A$5:$A$597,0)),""))</f>
        <v>Medium</v>
      </c>
      <c r="I1115" s="23">
        <f>IF($F1115="","",IFERROR(INDEX(Items!$E$5:$E$597,MATCH($F1115,Items!$A$5:$A$597,0)),""))</f>
        <v>500</v>
      </c>
      <c r="J1115" s="115">
        <f>IF(tblIssues[[#This Row],[Qty Override]]&lt;&gt;"",tblIssues[[#This Row],[Qty Override]],IF(tblIssues[[#This Row],[Standard Issue]]="","",tblIssues[[#This Row],[Standard Issue]]))</f>
        <v>500</v>
      </c>
      <c r="K1115" s="20">
        <f>IF($F1115="","",IFERROR(INDEX(Items!$D$5:$D$597,MATCH($F1115,Items!$A$5:$A$597,0)),""))</f>
        <v>5.5E-2</v>
      </c>
      <c r="L1115" s="21">
        <f t="shared" si="195"/>
        <v>27.5</v>
      </c>
      <c r="M1115" s="9" t="str">
        <f t="shared" si="193"/>
        <v>ZIM510137962-0</v>
      </c>
      <c r="N1115" s="24">
        <f>IF($A1115="","",WORKDAY($A1115,Settings!$C$9,HolidayDates))</f>
        <v>46185</v>
      </c>
      <c r="O1115" s="24">
        <f>IF($N1115="","",WORKDAY($N1115,Settings!$C$10,HolidayDates))</f>
        <v>46225</v>
      </c>
      <c r="P1115" s="10" t="s">
        <v>501</v>
      </c>
      <c r="Q1115" s="52" t="str">
        <f t="shared" si="196"/>
        <v>Collected</v>
      </c>
      <c r="R1115" s="55" t="str">
        <f t="shared" si="197"/>
        <v>2026-06</v>
      </c>
      <c r="S1115" s="55">
        <f>IF(OR($B1115="",$F1115="",$R1115=""),"",SUMIFS(tblIssues[Qty Issued],tblIssues[Staff ID],$B1115,tblIssues[Item Name],$F1115,tblIssues[Month],$R1115))</f>
        <v>1000</v>
      </c>
      <c r="T1115" s="56">
        <f>IF($I1115="","",$I1115*Settings!$C$11)</f>
        <v>500</v>
      </c>
      <c r="U1115" s="57" t="str">
        <f t="shared" si="194"/>
        <v>⚠ OVER QUOTA</v>
      </c>
      <c r="V1115" s="55" t="str">
        <f t="shared" si="198"/>
        <v>PSW-157-A5 | Gloves - Medium | 2026-06</v>
      </c>
      <c r="W1115" s="55">
        <f>IF($V1115="","",IF(COUNTIF($V$5:$V1115,$V1115)=1,1,""))</f>
        <v>1</v>
      </c>
      <c r="X1115" s="58">
        <f>IF($W1115="","",MAX($X$4:X1114)+1)</f>
        <v>27</v>
      </c>
      <c r="Y1115" s="62"/>
      <c r="Z1115" s="62"/>
      <c r="AA1115" s="64" t="str">
        <f>IF($C1115="","",IFERROR(INDEX('Staff Directory'!$E$5:$E$594,MATCH($C1115,'Staff Directory'!$B$5:$B$594,0)),""))</f>
        <v>firstname220.lastname220@example.com</v>
      </c>
      <c r="AB1115" s="64" t="str">
        <f>IF($C1115="","",IF(ISNUMBER(SEARCH($D1115,Settings!$C$15)),"Pickup","Dispatch"))</f>
        <v>Pickup</v>
      </c>
      <c r="AC1115" s="64" t="str">
        <f t="shared" si="199"/>
        <v>Supply order ready for pickup</v>
      </c>
      <c r="AD1115" s="64" t="str">
        <f t="shared" si="190"/>
        <v>Dear PSW,
Your order is ready for pickup from Sample Branch, Wed-Fri 9am-4pm.</v>
      </c>
      <c r="AE1115" s="64" t="str">
        <f t="shared" si="191"/>
        <v>mailto:firstname220.lastname220@example.com?subject=Supply%20order%20ready%20for%20pickup&amp;body=Dear%20PSW%2C%0A%0AYour%20order%20is%20ready%20for%20pickup%20from%20Sample%20Branch%2C%20Wed-Fri%209am-4pm.</v>
      </c>
      <c r="AF1115" s="89" t="str">
        <f t="shared" si="200"/>
        <v>Draft email</v>
      </c>
      <c r="AG1115" s="64" t="str">
        <f>IF($C1115="","",IFERROR(INDEX('Staff Directory'!$K$595:$K$599,MATCH($C1115,'Staff Directory'!$B$5:$B$599,0)),$D1115))</f>
        <v>PSW</v>
      </c>
      <c r="AH1115" t="str">
        <f>IF($C1115="","",IFERROR(INDEX('Staff Directory'!$I$595:$I$599,MATCH($C1115,'Staff Directory'!$B$5:$B$599,0))&amp;" "&amp;INDEX('Staff Directory'!$J$595:$J$599,MATCH($C1115,'Staff Directory'!$B$5:$B$599,0)),$AG1115))</f>
        <v>PSW</v>
      </c>
      <c r="AI1115" s="102"/>
      <c r="AJ1115" s="101">
        <f>IF($F1115="","",SUMIFS($J$5:$J1115,$F$5:$F1115,$F1115))</f>
        <v>63000</v>
      </c>
      <c r="AK1115" s="101">
        <f t="shared" si="192"/>
        <v>62501</v>
      </c>
      <c r="AL1115" s="66" t="str" cm="1">
        <f t="array" ref="AL1115">IF($F1115="","",IFERROR(INDEX('Lot Balance'!$B$5:$B$500,MATCH(1,INDEX(('Lot Balance'!$A$5:$A$500=$F1115)*('Lot Balance'!$K$5:$K$500&lt;$AK1115)*('Lot Balance'!$K$5:$K$500+'Lot Balance'!$D$5:$D$500&gt;=$AK1115),0),0)),""))</f>
        <v>ZIM510137962-0</v>
      </c>
      <c r="AM1115" s="66" t="str" cm="1">
        <f t="array" ref="AM1115">IF($F1115="","",IFERROR(INDEX('Lot Balance'!$B$5:$B$500,MATCH(1,INDEX(('Lot Balance'!$A$5:$A$500=$F1115)*('Lot Balance'!$K$5:$K$500&lt;$AJ1115)*('Lot Balance'!$K$5:$K$500+'Lot Balance'!$D$5:$D$500&gt;=$AJ1115),0),0)),""))</f>
        <v>ZIM510137962-0</v>
      </c>
      <c r="AN1115" s="66" t="str">
        <f>IF($F1115="","",IF($AI1115&lt;&gt;"",IF(COUNTIFS('Lot Balance'!$A$5:$A$500,$F1115,'Lot Balance'!$B$5:$B$500,$AI1115)=0,"⚠ override is not a lot of this item",IF($AI1115=$AL1115,"Override = FEFO","Override - FEFO says "&amp;$AL1115)),IF($AL1115="","⚠ no receipt on file for this item",IF($AM1115&lt;&gt;$AL1115,"FEFO auto - split, also "&amp;$AM1115,"FEFO auto"))))</f>
        <v>FEFO auto</v>
      </c>
      <c r="AO1115" s="114"/>
    </row>
    <row r="1116" spans="1:41" x14ac:dyDescent="0.35">
      <c r="A1116" s="74">
        <v>46177</v>
      </c>
      <c r="B1116" s="18" t="str">
        <f>IF($C1116="","",IFERROR(INDEX('Staff Directory'!$A$5:$A$594,MATCH($C1116,'Staff Directory'!$B$5:$B$594,0)),"⚠ unknown staff"))</f>
        <v>PSW-157-A5</v>
      </c>
      <c r="C1116" s="49" t="s">
        <v>1136</v>
      </c>
      <c r="D1116" s="19" t="str">
        <f>IF($B1116="","",IFERROR(INDEX('Staff Directory'!$C$5:$C$594,MATCH($B1116,'Staff Directory'!$A$5:$A$594,0)),""))</f>
        <v>PSW</v>
      </c>
      <c r="E1116" s="19" t="str">
        <f>IF($B1116="","",IFERROR(INDEX('Staff Directory'!$D$5:$D$594,MATCH($B1116,'Staff Directory'!$A$5:$A$594,0)),""))</f>
        <v>A5</v>
      </c>
      <c r="F1116" s="9" t="s">
        <v>191</v>
      </c>
      <c r="G1116" s="18" t="str">
        <f>IF($F1116="","",IFERROR(INDEX(Items!$B$5:$B$597,MATCH($F1116,Items!$A$5:$A$597,0)),"⚠ not in Items"))</f>
        <v>Sanitizer</v>
      </c>
      <c r="H1116" s="19" t="str">
        <f>IF($F1116="","",IFERROR(INDEX(Items!$C$5:$C$597,MATCH($F1116,Items!$A$5:$A$597,0)),""))</f>
        <v>236 ML</v>
      </c>
      <c r="I1116" s="23">
        <f>IF($F1116="","",IFERROR(INDEX(Items!$E$5:$E$597,MATCH($F1116,Items!$A$5:$A$597,0)),""))</f>
        <v>1</v>
      </c>
      <c r="J1116" s="115">
        <f>IF(tblIssues[[#This Row],[Qty Override]]&lt;&gt;"",tblIssues[[#This Row],[Qty Override]],IF(tblIssues[[#This Row],[Standard Issue]]="","",tblIssues[[#This Row],[Standard Issue]]))</f>
        <v>1</v>
      </c>
      <c r="K1116" s="20">
        <f>IF($F1116="","",IFERROR(INDEX(Items!$D$5:$D$597,MATCH($F1116,Items!$A$5:$A$597,0)),""))</f>
        <v>1E-4</v>
      </c>
      <c r="L1116" s="21">
        <f t="shared" si="195"/>
        <v>1E-4</v>
      </c>
      <c r="M1116" s="9" t="str">
        <f t="shared" si="193"/>
        <v>20-21734-4</v>
      </c>
      <c r="N1116" s="24">
        <f>IF($A1116="","",WORKDAY($A1116,Settings!$C$9,HolidayDates))</f>
        <v>46185</v>
      </c>
      <c r="O1116" s="24">
        <f>IF($N1116="","",WORKDAY($N1116,Settings!$C$10,HolidayDates))</f>
        <v>46225</v>
      </c>
      <c r="P1116" s="10" t="s">
        <v>501</v>
      </c>
      <c r="Q1116" s="52" t="str">
        <f t="shared" si="196"/>
        <v>Collected</v>
      </c>
      <c r="R1116" s="55" t="str">
        <f t="shared" si="197"/>
        <v>2026-06</v>
      </c>
      <c r="S1116" s="55">
        <f>IF(OR($B1116="",$F1116="",$R1116=""),"",SUMIFS(tblIssues[Qty Issued],tblIssues[Staff ID],$B1116,tblIssues[Item Name],$F1116,tblIssues[Month],$R1116))</f>
        <v>2</v>
      </c>
      <c r="T1116" s="56">
        <f>IF($I1116="","",$I1116*Settings!$C$11)</f>
        <v>1</v>
      </c>
      <c r="U1116" s="57" t="str">
        <f t="shared" si="194"/>
        <v>⚠ OVER QUOTA</v>
      </c>
      <c r="V1116" s="55" t="str">
        <f t="shared" si="198"/>
        <v>PSW-157-A5 | Hand Sanitizer OS | 2026-06</v>
      </c>
      <c r="W1116" s="55">
        <f>IF($V1116="","",IF(COUNTIF($V$5:$V1116,$V1116)=1,1,""))</f>
        <v>1</v>
      </c>
      <c r="X1116" s="58">
        <f>IF($W1116="","",MAX($X$4:X1115)+1)</f>
        <v>28</v>
      </c>
      <c r="Y1116" s="62"/>
      <c r="Z1116" s="62"/>
      <c r="AA1116" s="64" t="str">
        <f>IF($C1116="","",IFERROR(INDEX('Staff Directory'!$E$5:$E$594,MATCH($C1116,'Staff Directory'!$B$5:$B$594,0)),""))</f>
        <v>firstname220.lastname220@example.com</v>
      </c>
      <c r="AB1116" s="64" t="str">
        <f>IF($C1116="","",IF(ISNUMBER(SEARCH($D1116,Settings!$C$15)),"Pickup","Dispatch"))</f>
        <v>Pickup</v>
      </c>
      <c r="AC1116" s="64" t="str">
        <f t="shared" si="199"/>
        <v>Supply order ready for pickup</v>
      </c>
      <c r="AD1116" s="64" t="str">
        <f t="shared" si="190"/>
        <v>Dear PSW,
Your order is ready for pickup from Sample Branch, Wed-Fri 9am-4pm.</v>
      </c>
      <c r="AE1116" s="64" t="str">
        <f t="shared" si="191"/>
        <v>mailto:firstname220.lastname220@example.com?subject=Supply%20order%20ready%20for%20pickup&amp;body=Dear%20PSW%2C%0A%0AYour%20order%20is%20ready%20for%20pickup%20from%20Sample%20Branch%2C%20Wed-Fri%209am-4pm.</v>
      </c>
      <c r="AF1116" s="89" t="str">
        <f t="shared" si="200"/>
        <v>Draft email</v>
      </c>
      <c r="AG1116" s="64" t="str">
        <f>IF($C1116="","",IFERROR(INDEX('Staff Directory'!$K$595:$K$599,MATCH($C1116,'Staff Directory'!$B$5:$B$599,0)),$D1116))</f>
        <v>PSW</v>
      </c>
      <c r="AH1116" t="str">
        <f>IF($C1116="","",IFERROR(INDEX('Staff Directory'!$I$595:$I$599,MATCH($C1116,'Staff Directory'!$B$5:$B$599,0))&amp;" "&amp;INDEX('Staff Directory'!$J$595:$J$599,MATCH($C1116,'Staff Directory'!$B$5:$B$599,0)),$AG1116))</f>
        <v>PSW</v>
      </c>
      <c r="AI1116" s="102"/>
      <c r="AJ1116" s="101">
        <f>IF($F1116="","",SUMIFS($J$5:$J1116,$F$5:$F1116,$F1116))</f>
        <v>136</v>
      </c>
      <c r="AK1116" s="101">
        <f t="shared" si="192"/>
        <v>136</v>
      </c>
      <c r="AL1116" s="66" t="str" cm="1">
        <f t="array" ref="AL1116">IF($F1116="","",IFERROR(INDEX('Lot Balance'!$B$5:$B$500,MATCH(1,INDEX(('Lot Balance'!$A$5:$A$500=$F1116)*('Lot Balance'!$K$5:$K$500&lt;$AK1116)*('Lot Balance'!$K$5:$K$500+'Lot Balance'!$D$5:$D$500&gt;=$AK1116),0),0)),""))</f>
        <v>20-21734-4</v>
      </c>
      <c r="AM1116" s="66" t="str" cm="1">
        <f t="array" ref="AM1116">IF($F1116="","",IFERROR(INDEX('Lot Balance'!$B$5:$B$500,MATCH(1,INDEX(('Lot Balance'!$A$5:$A$500=$F1116)*('Lot Balance'!$K$5:$K$500&lt;$AJ1116)*('Lot Balance'!$K$5:$K$500+'Lot Balance'!$D$5:$D$500&gt;=$AJ1116),0),0)),""))</f>
        <v>20-21734-4</v>
      </c>
      <c r="AN1116" s="66" t="str">
        <f>IF($F1116="","",IF($AI1116&lt;&gt;"",IF(COUNTIFS('Lot Balance'!$A$5:$A$500,$F1116,'Lot Balance'!$B$5:$B$500,$AI1116)=0,"⚠ override is not a lot of this item",IF($AI1116=$AL1116,"Override = FEFO","Override - FEFO says "&amp;$AL1116)),IF($AL1116="","⚠ no receipt on file for this item",IF($AM1116&lt;&gt;$AL1116,"FEFO auto - split, also "&amp;$AM1116,"FEFO auto"))))</f>
        <v>FEFO auto</v>
      </c>
      <c r="AO1116" s="114"/>
    </row>
    <row r="1117" spans="1:41" x14ac:dyDescent="0.35">
      <c r="A1117" s="74">
        <v>46177</v>
      </c>
      <c r="B1117" s="18" t="str">
        <f>IF($C1117="","",IFERROR(INDEX('Staff Directory'!$A$5:$A$594,MATCH($C1117,'Staff Directory'!$B$5:$B$594,0)),"⚠ unknown staff"))</f>
        <v>PSW-157-A5</v>
      </c>
      <c r="C1117" s="49" t="s">
        <v>1136</v>
      </c>
      <c r="D1117" s="19" t="str">
        <f>IF($B1117="","",IFERROR(INDEX('Staff Directory'!$C$5:$C$594,MATCH($B1117,'Staff Directory'!$A$5:$A$594,0)),""))</f>
        <v>PSW</v>
      </c>
      <c r="E1117" s="19" t="str">
        <f>IF($B1117="","",IFERROR(INDEX('Staff Directory'!$D$5:$D$594,MATCH($B1117,'Staff Directory'!$A$5:$A$594,0)),""))</f>
        <v>A5</v>
      </c>
      <c r="F1117" s="9" t="s">
        <v>156</v>
      </c>
      <c r="G1117" s="18" t="str">
        <f>IF($F1117="","",IFERROR(INDEX(Items!$B$5:$B$597,MATCH($F1117,Items!$A$5:$A$597,0)),"⚠ not in Items"))</f>
        <v>Masks</v>
      </c>
      <c r="H1117" s="19" t="str">
        <f>IF($F1117="","",IFERROR(INDEX(Items!$C$5:$C$597,MATCH($F1117,Items!$A$5:$A$597,0)),""))</f>
        <v>One Size</v>
      </c>
      <c r="I1117" s="23">
        <f>IF($F1117="","",IFERROR(INDEX(Items!$E$5:$E$597,MATCH($F1117,Items!$A$5:$A$597,0)),""))</f>
        <v>50</v>
      </c>
      <c r="J1117" s="115">
        <f>IF(tblIssues[[#This Row],[Qty Override]]&lt;&gt;"",tblIssues[[#This Row],[Qty Override]],IF(tblIssues[[#This Row],[Standard Issue]]="","",tblIssues[[#This Row],[Standard Issue]]))</f>
        <v>50</v>
      </c>
      <c r="K1117" s="20">
        <f>IF($F1117="","",IFERROR(INDEX(Items!$D$5:$D$597,MATCH($F1117,Items!$A$5:$A$597,0)),""))</f>
        <v>0.25</v>
      </c>
      <c r="L1117" s="21">
        <f t="shared" si="195"/>
        <v>12.5</v>
      </c>
      <c r="M1117" s="9" t="str">
        <f t="shared" si="193"/>
        <v>102GPC24</v>
      </c>
      <c r="N1117" s="24">
        <f>IF($A1117="","",WORKDAY($A1117,Settings!$C$9,HolidayDates))</f>
        <v>46185</v>
      </c>
      <c r="O1117" s="24">
        <f>IF($N1117="","",WORKDAY($N1117,Settings!$C$10,HolidayDates))</f>
        <v>46225</v>
      </c>
      <c r="P1117" s="10" t="s">
        <v>501</v>
      </c>
      <c r="Q1117" s="52" t="str">
        <f t="shared" si="196"/>
        <v>Collected</v>
      </c>
      <c r="R1117" s="55" t="str">
        <f t="shared" si="197"/>
        <v>2026-06</v>
      </c>
      <c r="S1117" s="55">
        <f>IF(OR($B1117="",$F1117="",$R1117=""),"",SUMIFS(tblIssues[Qty Issued],tblIssues[Staff ID],$B1117,tblIssues[Item Name],$F1117,tblIssues[Month],$R1117))</f>
        <v>100</v>
      </c>
      <c r="T1117" s="56">
        <f>IF($I1117="","",$I1117*Settings!$C$11)</f>
        <v>50</v>
      </c>
      <c r="U1117" s="57" t="str">
        <f t="shared" si="194"/>
        <v>⚠ OVER QUOTA</v>
      </c>
      <c r="V1117" s="55" t="str">
        <f t="shared" si="198"/>
        <v>PSW-157-A5 | Surgical Masks | 2026-06</v>
      </c>
      <c r="W1117" s="55">
        <f>IF($V1117="","",IF(COUNTIF($V$5:$V1117,$V1117)=1,1,""))</f>
        <v>1</v>
      </c>
      <c r="X1117" s="58">
        <f>IF($W1117="","",MAX($X$4:X1116)+1)</f>
        <v>29</v>
      </c>
      <c r="Y1117" s="62"/>
      <c r="Z1117" s="62"/>
      <c r="AA1117" s="64" t="str">
        <f>IF($C1117="","",IFERROR(INDEX('Staff Directory'!$E$5:$E$594,MATCH($C1117,'Staff Directory'!$B$5:$B$594,0)),""))</f>
        <v>firstname220.lastname220@example.com</v>
      </c>
      <c r="AB1117" s="64" t="str">
        <f>IF($C1117="","",IF(ISNUMBER(SEARCH($D1117,Settings!$C$15)),"Pickup","Dispatch"))</f>
        <v>Pickup</v>
      </c>
      <c r="AC1117" s="64" t="str">
        <f t="shared" si="199"/>
        <v>Supply order ready for pickup</v>
      </c>
      <c r="AD1117" s="64" t="str">
        <f t="shared" si="190"/>
        <v>Dear PSW,
Your order is ready for pickup from Sample Branch, Wed-Fri 9am-4pm.</v>
      </c>
      <c r="AE1117" s="64" t="str">
        <f t="shared" si="191"/>
        <v>mailto:firstname220.lastname220@example.com?subject=Supply%20order%20ready%20for%20pickup&amp;body=Dear%20PSW%2C%0A%0AYour%20order%20is%20ready%20for%20pickup%20from%20Sample%20Branch%2C%20Wed-Fri%209am-4pm.</v>
      </c>
      <c r="AF1117" s="89" t="str">
        <f t="shared" si="200"/>
        <v>Draft email</v>
      </c>
      <c r="AG1117" s="64" t="str">
        <f>IF($C1117="","",IFERROR(INDEX('Staff Directory'!$K$595:$K$599,MATCH($C1117,'Staff Directory'!$B$5:$B$599,0)),$D1117))</f>
        <v>PSW</v>
      </c>
      <c r="AH1117" t="str">
        <f>IF($C1117="","",IFERROR(INDEX('Staff Directory'!$I$595:$I$599,MATCH($C1117,'Staff Directory'!$B$5:$B$599,0))&amp;" "&amp;INDEX('Staff Directory'!$J$595:$J$599,MATCH($C1117,'Staff Directory'!$B$5:$B$599,0)),$AG1117))</f>
        <v>PSW</v>
      </c>
      <c r="AI1117" s="102"/>
      <c r="AJ1117" s="101">
        <f>IF($F1117="","",SUMIFS($J$5:$J1117,$F$5:$F1117,$F1117))</f>
        <v>9200</v>
      </c>
      <c r="AK1117" s="101">
        <f t="shared" si="192"/>
        <v>9151</v>
      </c>
      <c r="AL1117" s="66" t="str" cm="1">
        <f t="array" ref="AL1117">IF($F1117="","",IFERROR(INDEX('Lot Balance'!$B$5:$B$500,MATCH(1,INDEX(('Lot Balance'!$A$5:$A$500=$F1117)*('Lot Balance'!$K$5:$K$500&lt;$AK1117)*('Lot Balance'!$K$5:$K$500+'Lot Balance'!$D$5:$D$500&gt;=$AK1117),0),0)),""))</f>
        <v>102GPC24</v>
      </c>
      <c r="AM1117" s="66" t="str" cm="1">
        <f t="array" ref="AM1117">IF($F1117="","",IFERROR(INDEX('Lot Balance'!$B$5:$B$500,MATCH(1,INDEX(('Lot Balance'!$A$5:$A$500=$F1117)*('Lot Balance'!$K$5:$K$500&lt;$AJ1117)*('Lot Balance'!$K$5:$K$500+'Lot Balance'!$D$5:$D$500&gt;=$AJ1117),0),0)),""))</f>
        <v>102GPC24</v>
      </c>
      <c r="AN1117" s="66" t="str">
        <f>IF($F1117="","",IF($AI1117&lt;&gt;"",IF(COUNTIFS('Lot Balance'!$A$5:$A$500,$F1117,'Lot Balance'!$B$5:$B$500,$AI1117)=0,"⚠ override is not a lot of this item",IF($AI1117=$AL1117,"Override = FEFO","Override - FEFO says "&amp;$AL1117)),IF($AL1117="","⚠ no receipt on file for this item",IF($AM1117&lt;&gt;$AL1117,"FEFO auto - split, also "&amp;$AM1117,"FEFO auto"))))</f>
        <v>FEFO auto</v>
      </c>
      <c r="AO1117" s="114"/>
    </row>
    <row r="1118" spans="1:41" x14ac:dyDescent="0.35">
      <c r="A1118" s="74">
        <v>46177</v>
      </c>
      <c r="B1118" s="18" t="str">
        <f>IF($C1118="","",IFERROR(INDEX('Staff Directory'!$A$5:$A$594,MATCH($C1118,'Staff Directory'!$B$5:$B$594,0)),"⚠ unknown staff"))</f>
        <v>PSW-008-A6</v>
      </c>
      <c r="C1118" s="49" t="s">
        <v>984</v>
      </c>
      <c r="D1118" s="19" t="str">
        <f>IF($B1118="","",IFERROR(INDEX('Staff Directory'!$C$5:$C$594,MATCH($B1118,'Staff Directory'!$A$5:$A$594,0)),""))</f>
        <v>PSW</v>
      </c>
      <c r="E1118" s="19" t="str">
        <f>IF($B1118="","",IFERROR(INDEX('Staff Directory'!$D$5:$D$594,MATCH($B1118,'Staff Directory'!$A$5:$A$594,0)),""))</f>
        <v>A6</v>
      </c>
      <c r="F1118" s="9" t="s">
        <v>129</v>
      </c>
      <c r="G1118" s="18" t="str">
        <f>IF($F1118="","",IFERROR(INDEX(Items!$B$5:$B$597,MATCH($F1118,Items!$A$5:$A$597,0)),"⚠ not in Items"))</f>
        <v>Gloves</v>
      </c>
      <c r="H1118" s="19" t="str">
        <f>IF($F1118="","",IFERROR(INDEX(Items!$C$5:$C$597,MATCH($F1118,Items!$A$5:$A$597,0)),""))</f>
        <v>Small</v>
      </c>
      <c r="I1118" s="23">
        <f>IF($F1118="","",IFERROR(INDEX(Items!$E$5:$E$597,MATCH($F1118,Items!$A$5:$A$597,0)),""))</f>
        <v>500</v>
      </c>
      <c r="J1118" s="115">
        <f>IF(tblIssues[[#This Row],[Qty Override]]&lt;&gt;"",tblIssues[[#This Row],[Qty Override]],IF(tblIssues[[#This Row],[Standard Issue]]="","",tblIssues[[#This Row],[Standard Issue]]))</f>
        <v>500</v>
      </c>
      <c r="K1118" s="20">
        <f>IF($F1118="","",IFERROR(INDEX(Items!$D$5:$D$597,MATCH($F1118,Items!$A$5:$A$597,0)),""))</f>
        <v>5.5E-2</v>
      </c>
      <c r="L1118" s="21">
        <f t="shared" si="195"/>
        <v>27.5</v>
      </c>
      <c r="M1118" s="9" t="str">
        <f t="shared" si="193"/>
        <v>ZIM504124207-6</v>
      </c>
      <c r="N1118" s="24">
        <f>IF($A1118="","",WORKDAY($A1118,Settings!$C$9,HolidayDates))</f>
        <v>46185</v>
      </c>
      <c r="O1118" s="24">
        <f>IF($N1118="","",WORKDAY($N1118,Settings!$C$10,HolidayDates))</f>
        <v>46225</v>
      </c>
      <c r="P1118" s="10" t="s">
        <v>501</v>
      </c>
      <c r="Q1118" s="52" t="str">
        <f t="shared" si="196"/>
        <v>Collected</v>
      </c>
      <c r="R1118" s="55" t="str">
        <f t="shared" si="197"/>
        <v>2026-06</v>
      </c>
      <c r="S1118" s="55">
        <f>IF(OR($B1118="",$F1118="",$R1118=""),"",SUMIFS(tblIssues[Qty Issued],tblIssues[Staff ID],$B1118,tblIssues[Item Name],$F1118,tblIssues[Month],$R1118))</f>
        <v>500</v>
      </c>
      <c r="T1118" s="56">
        <f>IF($I1118="","",$I1118*Settings!$C$11)</f>
        <v>500</v>
      </c>
      <c r="U1118" s="57" t="str">
        <f t="shared" si="194"/>
        <v>OK</v>
      </c>
      <c r="V1118" s="55" t="str">
        <f t="shared" si="198"/>
        <v/>
      </c>
      <c r="W1118" s="55" t="str">
        <f>IF($V1118="","",IF(COUNTIF($V$5:$V1118,$V1118)=1,1,""))</f>
        <v/>
      </c>
      <c r="X1118" s="58" t="str">
        <f>IF($W1118="","",MAX($X$4:X1117)+1)</f>
        <v/>
      </c>
      <c r="Y1118" s="62"/>
      <c r="Z1118" s="62"/>
      <c r="AA1118" s="64" t="str">
        <f>IF($C1118="","",IFERROR(INDEX('Staff Directory'!$E$5:$E$594,MATCH($C1118,'Staff Directory'!$B$5:$B$594,0)),""))</f>
        <v>firstname068.lastname068@example.com</v>
      </c>
      <c r="AB1118" s="64" t="str">
        <f>IF($C1118="","",IF(ISNUMBER(SEARCH($D1118,Settings!$C$15)),"Pickup","Dispatch"))</f>
        <v>Pickup</v>
      </c>
      <c r="AC1118" s="64" t="str">
        <f t="shared" si="199"/>
        <v>Supply order ready for pickup</v>
      </c>
      <c r="AD1118" s="64" t="str">
        <f t="shared" si="190"/>
        <v>Dear PSW,
Your order is ready for pickup from Sample Branch, Wed-Fri 9am-4pm.</v>
      </c>
      <c r="AE1118" s="64" t="str">
        <f t="shared" si="191"/>
        <v>mailto:firstname068.lastname068@example.com?subject=Supply%20order%20ready%20for%20pickup&amp;body=Dear%20PSW%2C%0A%0AYour%20order%20is%20ready%20for%20pickup%20from%20Sample%20Branch%2C%20Wed-Fri%209am-4pm.</v>
      </c>
      <c r="AF1118" s="89" t="str">
        <f t="shared" si="200"/>
        <v>Draft email</v>
      </c>
      <c r="AG1118" s="64" t="str">
        <f>IF($C1118="","",IFERROR(INDEX('Staff Directory'!$K$595:$K$599,MATCH($C1118,'Staff Directory'!$B$5:$B$599,0)),$D1118))</f>
        <v>PSW</v>
      </c>
      <c r="AH1118" t="str">
        <f>IF($C1118="","",IFERROR(INDEX('Staff Directory'!$I$595:$I$599,MATCH($C1118,'Staff Directory'!$B$5:$B$599,0))&amp;" "&amp;INDEX('Staff Directory'!$J$595:$J$599,MATCH($C1118,'Staff Directory'!$B$5:$B$599,0)),$AG1118))</f>
        <v>PSW</v>
      </c>
      <c r="AI1118" s="102"/>
      <c r="AJ1118" s="101">
        <f>IF($F1118="","",SUMIFS($J$5:$J1118,$F$5:$F1118,$F1118))</f>
        <v>35000</v>
      </c>
      <c r="AK1118" s="101">
        <f t="shared" si="192"/>
        <v>34501</v>
      </c>
      <c r="AL1118" s="66" t="str" cm="1">
        <f t="array" ref="AL1118">IF($F1118="","",IFERROR(INDEX('Lot Balance'!$B$5:$B$500,MATCH(1,INDEX(('Lot Balance'!$A$5:$A$500=$F1118)*('Lot Balance'!$K$5:$K$500&lt;$AK1118)*('Lot Balance'!$K$5:$K$500+'Lot Balance'!$D$5:$D$500&gt;=$AK1118),0),0)),""))</f>
        <v>ZIM504124207-6</v>
      </c>
      <c r="AM1118" s="66" t="str" cm="1">
        <f t="array" ref="AM1118">IF($F1118="","",IFERROR(INDEX('Lot Balance'!$B$5:$B$500,MATCH(1,INDEX(('Lot Balance'!$A$5:$A$500=$F1118)*('Lot Balance'!$K$5:$K$500&lt;$AJ1118)*('Lot Balance'!$K$5:$K$500+'Lot Balance'!$D$5:$D$500&gt;=$AJ1118),0),0)),""))</f>
        <v>ZIM504124207-7</v>
      </c>
      <c r="AN1118" s="66" t="str">
        <f>IF($F1118="","",IF($AI1118&lt;&gt;"",IF(COUNTIFS('Lot Balance'!$A$5:$A$500,$F1118,'Lot Balance'!$B$5:$B$500,$AI1118)=0,"⚠ override is not a lot of this item",IF($AI1118=$AL1118,"Override = FEFO","Override - FEFO says "&amp;$AL1118)),IF($AL1118="","⚠ no receipt on file for this item",IF($AM1118&lt;&gt;$AL1118,"FEFO auto - split, also "&amp;$AM1118,"FEFO auto"))))</f>
        <v>FEFO auto - split, also ZIM504124207-7</v>
      </c>
      <c r="AO1118" s="114"/>
    </row>
    <row r="1119" spans="1:41" x14ac:dyDescent="0.35">
      <c r="A1119" s="74">
        <v>46177</v>
      </c>
      <c r="B1119" s="18" t="str">
        <f>IF($C1119="","",IFERROR(INDEX('Staff Directory'!$A$5:$A$594,MATCH($C1119,'Staff Directory'!$B$5:$B$594,0)),"⚠ unknown staff"))</f>
        <v>PSW-008-A6</v>
      </c>
      <c r="C1119" s="49" t="s">
        <v>984</v>
      </c>
      <c r="D1119" s="19" t="str">
        <f>IF($B1119="","",IFERROR(INDEX('Staff Directory'!$C$5:$C$594,MATCH($B1119,'Staff Directory'!$A$5:$A$594,0)),""))</f>
        <v>PSW</v>
      </c>
      <c r="E1119" s="19" t="str">
        <f>IF($B1119="","",IFERROR(INDEX('Staff Directory'!$D$5:$D$594,MATCH($B1119,'Staff Directory'!$A$5:$A$594,0)),""))</f>
        <v>A6</v>
      </c>
      <c r="F1119" s="9" t="s">
        <v>115</v>
      </c>
      <c r="G1119" s="18" t="str">
        <f>IF($F1119="","",IFERROR(INDEX(Items!$B$5:$B$597,MATCH($F1119,Items!$A$5:$A$597,0)),"⚠ not in Items"))</f>
        <v>Wipes</v>
      </c>
      <c r="H1119" s="19">
        <f>IF($F1119="","",IFERROR(INDEX(Items!$C$5:$C$597,MATCH($F1119,Items!$A$5:$A$597,0)),""))</f>
        <v>80</v>
      </c>
      <c r="I1119" s="23">
        <f>IF($F1119="","",IFERROR(INDEX(Items!$E$5:$E$597,MATCH($F1119,Items!$A$5:$A$597,0)),""))</f>
        <v>80</v>
      </c>
      <c r="J1119" s="115">
        <f>IF(tblIssues[[#This Row],[Qty Override]]&lt;&gt;"",tblIssues[[#This Row],[Qty Override]],IF(tblIssues[[#This Row],[Standard Issue]]="","",tblIssues[[#This Row],[Standard Issue]]))</f>
        <v>80</v>
      </c>
      <c r="K1119" s="20">
        <f>IF($F1119="","",IFERROR(INDEX(Items!$D$5:$D$597,MATCH($F1119,Items!$A$5:$A$597,0)),""))</f>
        <v>0.1</v>
      </c>
      <c r="L1119" s="21">
        <f t="shared" si="195"/>
        <v>8</v>
      </c>
      <c r="M1119" s="9" t="str">
        <f t="shared" si="193"/>
        <v>LYSL500290</v>
      </c>
      <c r="N1119" s="24">
        <f>IF($A1119="","",WORKDAY($A1119,Settings!$C$9,HolidayDates))</f>
        <v>46185</v>
      </c>
      <c r="O1119" s="24">
        <f>IF($N1119="","",WORKDAY($N1119,Settings!$C$10,HolidayDates))</f>
        <v>46225</v>
      </c>
      <c r="P1119" s="10" t="s">
        <v>501</v>
      </c>
      <c r="Q1119" s="52" t="str">
        <f t="shared" si="196"/>
        <v>Collected</v>
      </c>
      <c r="R1119" s="55" t="str">
        <f t="shared" si="197"/>
        <v>2026-06</v>
      </c>
      <c r="S1119" s="55">
        <f>IF(OR($B1119="",$F1119="",$R1119=""),"",SUMIFS(tblIssues[Qty Issued],tblIssues[Staff ID],$B1119,tblIssues[Item Name],$F1119,tblIssues[Month],$R1119))</f>
        <v>80</v>
      </c>
      <c r="T1119" s="56">
        <f>IF($I1119="","",$I1119*Settings!$C$11)</f>
        <v>80</v>
      </c>
      <c r="U1119" s="57" t="str">
        <f t="shared" si="194"/>
        <v>OK</v>
      </c>
      <c r="V1119" s="55" t="str">
        <f t="shared" si="198"/>
        <v/>
      </c>
      <c r="W1119" s="55" t="str">
        <f>IF($V1119="","",IF(COUNTIF($V$5:$V1119,$V1119)=1,1,""))</f>
        <v/>
      </c>
      <c r="X1119" s="58" t="str">
        <f>IF($W1119="","",MAX($X$4:X1118)+1)</f>
        <v/>
      </c>
      <c r="Y1119" s="62"/>
      <c r="Z1119" s="62"/>
      <c r="AA1119" s="64" t="str">
        <f>IF($C1119="","",IFERROR(INDEX('Staff Directory'!$E$5:$E$594,MATCH($C1119,'Staff Directory'!$B$5:$B$594,0)),""))</f>
        <v>firstname068.lastname068@example.com</v>
      </c>
      <c r="AB1119" s="64" t="str">
        <f>IF($C1119="","",IF(ISNUMBER(SEARCH($D1119,Settings!$C$15)),"Pickup","Dispatch"))</f>
        <v>Pickup</v>
      </c>
      <c r="AC1119" s="64" t="str">
        <f t="shared" si="199"/>
        <v>Supply order ready for pickup</v>
      </c>
      <c r="AD1119" s="64" t="str">
        <f t="shared" si="190"/>
        <v>Dear PSW,
Your order is ready for pickup from Sample Branch, Wed-Fri 9am-4pm.</v>
      </c>
      <c r="AE1119" s="64" t="str">
        <f t="shared" si="191"/>
        <v>mailto:firstname068.lastname068@example.com?subject=Supply%20order%20ready%20for%20pickup&amp;body=Dear%20PSW%2C%0A%0AYour%20order%20is%20ready%20for%20pickup%20from%20Sample%20Branch%2C%20Wed-Fri%209am-4pm.</v>
      </c>
      <c r="AF1119" s="89" t="str">
        <f t="shared" si="200"/>
        <v>Draft email</v>
      </c>
      <c r="AG1119" s="64" t="str">
        <f>IF($C1119="","",IFERROR(INDEX('Staff Directory'!$K$595:$K$599,MATCH($C1119,'Staff Directory'!$B$5:$B$599,0)),$D1119))</f>
        <v>PSW</v>
      </c>
      <c r="AH1119" t="str">
        <f>IF($C1119="","",IFERROR(INDEX('Staff Directory'!$I$595:$I$599,MATCH($C1119,'Staff Directory'!$B$5:$B$599,0))&amp;" "&amp;INDEX('Staff Directory'!$J$595:$J$599,MATCH($C1119,'Staff Directory'!$B$5:$B$599,0)),$AG1119))</f>
        <v>PSW</v>
      </c>
      <c r="AI1119" s="102"/>
      <c r="AJ1119" s="101">
        <f>IF($F1119="","",SUMIFS($J$5:$J1119,$F$5:$F1119,$F1119))</f>
        <v>15040</v>
      </c>
      <c r="AK1119" s="101">
        <f t="shared" si="192"/>
        <v>14961</v>
      </c>
      <c r="AL1119" s="66" t="str" cm="1">
        <f t="array" ref="AL1119">IF($F1119="","",IFERROR(INDEX('Lot Balance'!$B$5:$B$500,MATCH(1,INDEX(('Lot Balance'!$A$5:$A$500=$F1119)*('Lot Balance'!$K$5:$K$500&lt;$AK1119)*('Lot Balance'!$K$5:$K$500+'Lot Balance'!$D$5:$D$500&gt;=$AK1119),0),0)),""))</f>
        <v>LYSL500290</v>
      </c>
      <c r="AM1119" s="66" t="str" cm="1">
        <f t="array" ref="AM1119">IF($F1119="","",IFERROR(INDEX('Lot Balance'!$B$5:$B$500,MATCH(1,INDEX(('Lot Balance'!$A$5:$A$500=$F1119)*('Lot Balance'!$K$5:$K$500&lt;$AJ1119)*('Lot Balance'!$K$5:$K$500+'Lot Balance'!$D$5:$D$500&gt;=$AJ1119),0),0)),""))</f>
        <v>LYSL500290</v>
      </c>
      <c r="AN1119" s="66" t="str">
        <f>IF($F1119="","",IF($AI1119&lt;&gt;"",IF(COUNTIFS('Lot Balance'!$A$5:$A$500,$F1119,'Lot Balance'!$B$5:$B$500,$AI1119)=0,"⚠ override is not a lot of this item",IF($AI1119=$AL1119,"Override = FEFO","Override - FEFO says "&amp;$AL1119)),IF($AL1119="","⚠ no receipt on file for this item",IF($AM1119&lt;&gt;$AL1119,"FEFO auto - split, also "&amp;$AM1119,"FEFO auto"))))</f>
        <v>FEFO auto</v>
      </c>
      <c r="AO1119" s="114"/>
    </row>
    <row r="1120" spans="1:41" x14ac:dyDescent="0.35">
      <c r="A1120" s="74">
        <v>46177</v>
      </c>
      <c r="B1120" s="18" t="str">
        <f>IF($C1120="","",IFERROR(INDEX('Staff Directory'!$A$5:$A$594,MATCH($C1120,'Staff Directory'!$B$5:$B$594,0)),"⚠ unknown staff"))</f>
        <v>PSW-055-A4</v>
      </c>
      <c r="C1120" s="49" t="s">
        <v>1031</v>
      </c>
      <c r="D1120" s="19" t="str">
        <f>IF($B1120="","",IFERROR(INDEX('Staff Directory'!$C$5:$C$594,MATCH($B1120,'Staff Directory'!$A$5:$A$594,0)),""))</f>
        <v>PSW</v>
      </c>
      <c r="E1120" s="19" t="str">
        <f>IF($B1120="","",IFERROR(INDEX('Staff Directory'!$D$5:$D$594,MATCH($B1120,'Staff Directory'!$A$5:$A$594,0)),""))</f>
        <v>A4</v>
      </c>
      <c r="F1120" s="9" t="s">
        <v>124</v>
      </c>
      <c r="G1120" s="18" t="str">
        <f>IF($F1120="","",IFERROR(INDEX(Items!$B$5:$B$597,MATCH($F1120,Items!$A$5:$A$597,0)),"⚠ not in Items"))</f>
        <v>Gloves</v>
      </c>
      <c r="H1120" s="19" t="str">
        <f>IF($F1120="","",IFERROR(INDEX(Items!$C$5:$C$597,MATCH($F1120,Items!$A$5:$A$597,0)),""))</f>
        <v>Large</v>
      </c>
      <c r="I1120" s="23">
        <f>IF($F1120="","",IFERROR(INDEX(Items!$E$5:$E$597,MATCH($F1120,Items!$A$5:$A$597,0)),""))</f>
        <v>500</v>
      </c>
      <c r="J1120" s="115">
        <f>IF(tblIssues[[#This Row],[Qty Override]]&lt;&gt;"",tblIssues[[#This Row],[Qty Override]],IF(tblIssues[[#This Row],[Standard Issue]]="","",tblIssues[[#This Row],[Standard Issue]]))</f>
        <v>500</v>
      </c>
      <c r="K1120" s="20">
        <f>IF($F1120="","",IFERROR(INDEX(Items!$D$5:$D$597,MATCH($F1120,Items!$A$5:$A$597,0)),""))</f>
        <v>5.5E-2</v>
      </c>
      <c r="L1120" s="21">
        <f t="shared" si="195"/>
        <v>27.5</v>
      </c>
      <c r="M1120" s="9" t="str">
        <f t="shared" si="193"/>
        <v>O742HIC25</v>
      </c>
      <c r="N1120" s="24">
        <f>IF($A1120="","",WORKDAY($A1120,Settings!$C$9,HolidayDates))</f>
        <v>46185</v>
      </c>
      <c r="O1120" s="24">
        <f>IF($N1120="","",WORKDAY($N1120,Settings!$C$10,HolidayDates))</f>
        <v>46225</v>
      </c>
      <c r="P1120" s="10" t="s">
        <v>501</v>
      </c>
      <c r="Q1120" s="52" t="str">
        <f t="shared" si="196"/>
        <v>Collected</v>
      </c>
      <c r="R1120" s="55" t="str">
        <f t="shared" si="197"/>
        <v>2026-06</v>
      </c>
      <c r="S1120" s="55">
        <f>IF(OR($B1120="",$F1120="",$R1120=""),"",SUMIFS(tblIssues[Qty Issued],tblIssues[Staff ID],$B1120,tblIssues[Item Name],$F1120,tblIssues[Month],$R1120))</f>
        <v>500</v>
      </c>
      <c r="T1120" s="56">
        <f>IF($I1120="","",$I1120*Settings!$C$11)</f>
        <v>500</v>
      </c>
      <c r="U1120" s="57" t="str">
        <f t="shared" si="194"/>
        <v>OK</v>
      </c>
      <c r="V1120" s="55" t="str">
        <f t="shared" si="198"/>
        <v/>
      </c>
      <c r="W1120" s="55" t="str">
        <f>IF($V1120="","",IF(COUNTIF($V$5:$V1120,$V1120)=1,1,""))</f>
        <v/>
      </c>
      <c r="X1120" s="58" t="str">
        <f>IF($W1120="","",MAX($X$4:X1119)+1)</f>
        <v/>
      </c>
      <c r="Y1120" s="62"/>
      <c r="Z1120" s="62"/>
      <c r="AA1120" s="64" t="str">
        <f>IF($C1120="","",IFERROR(INDEX('Staff Directory'!$E$5:$E$594,MATCH($C1120,'Staff Directory'!$B$5:$B$594,0)),""))</f>
        <v>firstname115.lastname115@example.com</v>
      </c>
      <c r="AB1120" s="64" t="str">
        <f>IF($C1120="","",IF(ISNUMBER(SEARCH($D1120,Settings!$C$15)),"Pickup","Dispatch"))</f>
        <v>Pickup</v>
      </c>
      <c r="AC1120" s="64" t="str">
        <f t="shared" si="199"/>
        <v>Supply order ready for pickup</v>
      </c>
      <c r="AD1120" s="64" t="str">
        <f t="shared" si="190"/>
        <v>Dear PSW,
Your order is ready for pickup from Sample Branch, Wed-Fri 9am-4pm.</v>
      </c>
      <c r="AE1120" s="64" t="str">
        <f t="shared" si="191"/>
        <v>mailto:firstname115.lastname115@example.com?subject=Supply%20order%20ready%20for%20pickup&amp;body=Dear%20PSW%2C%0A%0AYour%20order%20is%20ready%20for%20pickup%20from%20Sample%20Branch%2C%20Wed-Fri%209am-4pm.</v>
      </c>
      <c r="AF1120" s="89" t="str">
        <f t="shared" si="200"/>
        <v>Draft email</v>
      </c>
      <c r="AG1120" s="64" t="str">
        <f>IF($C1120="","",IFERROR(INDEX('Staff Directory'!$K$595:$K$599,MATCH($C1120,'Staff Directory'!$B$5:$B$599,0)),$D1120))</f>
        <v>PSW</v>
      </c>
      <c r="AH1120" t="str">
        <f>IF($C1120="","",IFERROR(INDEX('Staff Directory'!$I$595:$I$599,MATCH($C1120,'Staff Directory'!$B$5:$B$599,0))&amp;" "&amp;INDEX('Staff Directory'!$J$595:$J$599,MATCH($C1120,'Staff Directory'!$B$5:$B$599,0)),$AG1120))</f>
        <v>PSW</v>
      </c>
      <c r="AI1120" s="102"/>
      <c r="AJ1120" s="101">
        <f>IF($F1120="","",SUMIFS($J$5:$J1120,$F$5:$F1120,$F1120))</f>
        <v>32000</v>
      </c>
      <c r="AK1120" s="101">
        <f t="shared" si="192"/>
        <v>31501</v>
      </c>
      <c r="AL1120" s="66" t="str" cm="1">
        <f t="array" ref="AL1120">IF($F1120="","",IFERROR(INDEX('Lot Balance'!$B$5:$B$500,MATCH(1,INDEX(('Lot Balance'!$A$5:$A$500=$F1120)*('Lot Balance'!$K$5:$K$500&lt;$AK1120)*('Lot Balance'!$K$5:$K$500+'Lot Balance'!$D$5:$D$500&gt;=$AK1120),0),0)),""))</f>
        <v>O742HIC25</v>
      </c>
      <c r="AM1120" s="66" t="str" cm="1">
        <f t="array" ref="AM1120">IF($F1120="","",IFERROR(INDEX('Lot Balance'!$B$5:$B$500,MATCH(1,INDEX(('Lot Balance'!$A$5:$A$500=$F1120)*('Lot Balance'!$K$5:$K$500&lt;$AJ1120)*('Lot Balance'!$K$5:$K$500+'Lot Balance'!$D$5:$D$500&gt;=$AJ1120),0),0)),""))</f>
        <v>O742HIC25</v>
      </c>
      <c r="AN1120" s="66" t="str">
        <f>IF($F1120="","",IF($AI1120&lt;&gt;"",IF(COUNTIFS('Lot Balance'!$A$5:$A$500,$F1120,'Lot Balance'!$B$5:$B$500,$AI1120)=0,"⚠ override is not a lot of this item",IF($AI1120=$AL1120,"Override = FEFO","Override - FEFO says "&amp;$AL1120)),IF($AL1120="","⚠ no receipt on file for this item",IF($AM1120&lt;&gt;$AL1120,"FEFO auto - split, also "&amp;$AM1120,"FEFO auto"))))</f>
        <v>FEFO auto</v>
      </c>
      <c r="AO1120" s="114"/>
    </row>
    <row r="1121" spans="1:41" x14ac:dyDescent="0.35">
      <c r="A1121" s="74">
        <v>46177</v>
      </c>
      <c r="B1121" s="18" t="str">
        <f>IF($C1121="","",IFERROR(INDEX('Staff Directory'!$A$5:$A$594,MATCH($C1121,'Staff Directory'!$B$5:$B$594,0)),"⚠ unknown staff"))</f>
        <v>PSW-055-A4</v>
      </c>
      <c r="C1121" s="49" t="s">
        <v>1031</v>
      </c>
      <c r="D1121" s="19" t="str">
        <f>IF($B1121="","",IFERROR(INDEX('Staff Directory'!$C$5:$C$594,MATCH($B1121,'Staff Directory'!$A$5:$A$594,0)),""))</f>
        <v>PSW</v>
      </c>
      <c r="E1121" s="19" t="str">
        <f>IF($B1121="","",IFERROR(INDEX('Staff Directory'!$D$5:$D$594,MATCH($B1121,'Staff Directory'!$A$5:$A$594,0)),""))</f>
        <v>A4</v>
      </c>
      <c r="F1121" s="9" t="s">
        <v>115</v>
      </c>
      <c r="G1121" s="18" t="str">
        <f>IF($F1121="","",IFERROR(INDEX(Items!$B$5:$B$597,MATCH($F1121,Items!$A$5:$A$597,0)),"⚠ not in Items"))</f>
        <v>Wipes</v>
      </c>
      <c r="H1121" s="19">
        <f>IF($F1121="","",IFERROR(INDEX(Items!$C$5:$C$597,MATCH($F1121,Items!$A$5:$A$597,0)),""))</f>
        <v>80</v>
      </c>
      <c r="I1121" s="23">
        <f>IF($F1121="","",IFERROR(INDEX(Items!$E$5:$E$597,MATCH($F1121,Items!$A$5:$A$597,0)),""))</f>
        <v>80</v>
      </c>
      <c r="J1121" s="115">
        <f>IF(tblIssues[[#This Row],[Qty Override]]&lt;&gt;"",tblIssues[[#This Row],[Qty Override]],IF(tblIssues[[#This Row],[Standard Issue]]="","",tblIssues[[#This Row],[Standard Issue]]))</f>
        <v>80</v>
      </c>
      <c r="K1121" s="20">
        <f>IF($F1121="","",IFERROR(INDEX(Items!$D$5:$D$597,MATCH($F1121,Items!$A$5:$A$597,0)),""))</f>
        <v>0.1</v>
      </c>
      <c r="L1121" s="21">
        <f t="shared" si="195"/>
        <v>8</v>
      </c>
      <c r="M1121" s="9" t="str">
        <f t="shared" si="193"/>
        <v>LYSL500290</v>
      </c>
      <c r="N1121" s="24">
        <f>IF($A1121="","",WORKDAY($A1121,Settings!$C$9,HolidayDates))</f>
        <v>46185</v>
      </c>
      <c r="O1121" s="24">
        <f>IF($N1121="","",WORKDAY($N1121,Settings!$C$10,HolidayDates))</f>
        <v>46225</v>
      </c>
      <c r="P1121" s="10" t="s">
        <v>501</v>
      </c>
      <c r="Q1121" s="52" t="str">
        <f t="shared" si="196"/>
        <v>Collected</v>
      </c>
      <c r="R1121" s="55" t="str">
        <f t="shared" si="197"/>
        <v>2026-06</v>
      </c>
      <c r="S1121" s="55">
        <f>IF(OR($B1121="",$F1121="",$R1121=""),"",SUMIFS(tblIssues[Qty Issued],tblIssues[Staff ID],$B1121,tblIssues[Item Name],$F1121,tblIssues[Month],$R1121))</f>
        <v>80</v>
      </c>
      <c r="T1121" s="56">
        <f>IF($I1121="","",$I1121*Settings!$C$11)</f>
        <v>80</v>
      </c>
      <c r="U1121" s="57" t="str">
        <f t="shared" si="194"/>
        <v>OK</v>
      </c>
      <c r="V1121" s="55" t="str">
        <f t="shared" si="198"/>
        <v/>
      </c>
      <c r="W1121" s="55" t="str">
        <f>IF($V1121="","",IF(COUNTIF($V$5:$V1121,$V1121)=1,1,""))</f>
        <v/>
      </c>
      <c r="X1121" s="58" t="str">
        <f>IF($W1121="","",MAX($X$4:X1120)+1)</f>
        <v/>
      </c>
      <c r="Y1121" s="62"/>
      <c r="Z1121" s="62"/>
      <c r="AA1121" s="64" t="str">
        <f>IF($C1121="","",IFERROR(INDEX('Staff Directory'!$E$5:$E$594,MATCH($C1121,'Staff Directory'!$B$5:$B$594,0)),""))</f>
        <v>firstname115.lastname115@example.com</v>
      </c>
      <c r="AB1121" s="64" t="str">
        <f>IF($C1121="","",IF(ISNUMBER(SEARCH($D1121,Settings!$C$15)),"Pickup","Dispatch"))</f>
        <v>Pickup</v>
      </c>
      <c r="AC1121" s="64" t="str">
        <f t="shared" si="199"/>
        <v>Supply order ready for pickup</v>
      </c>
      <c r="AD1121" s="64" t="str">
        <f t="shared" si="190"/>
        <v>Dear PSW,
Your order is ready for pickup from Sample Branch, Wed-Fri 9am-4pm.</v>
      </c>
      <c r="AE1121" s="64" t="str">
        <f t="shared" si="191"/>
        <v>mailto:firstname115.lastname115@example.com?subject=Supply%20order%20ready%20for%20pickup&amp;body=Dear%20PSW%2C%0A%0AYour%20order%20is%20ready%20for%20pickup%20from%20Sample%20Branch%2C%20Wed-Fri%209am-4pm.</v>
      </c>
      <c r="AF1121" s="89" t="str">
        <f t="shared" si="200"/>
        <v>Draft email</v>
      </c>
      <c r="AG1121" s="64" t="str">
        <f>IF($C1121="","",IFERROR(INDEX('Staff Directory'!$K$595:$K$599,MATCH($C1121,'Staff Directory'!$B$5:$B$599,0)),$D1121))</f>
        <v>PSW</v>
      </c>
      <c r="AH1121" t="str">
        <f>IF($C1121="","",IFERROR(INDEX('Staff Directory'!$I$595:$I$599,MATCH($C1121,'Staff Directory'!$B$5:$B$599,0))&amp;" "&amp;INDEX('Staff Directory'!$J$595:$J$599,MATCH($C1121,'Staff Directory'!$B$5:$B$599,0)),$AG1121))</f>
        <v>PSW</v>
      </c>
      <c r="AI1121" s="102"/>
      <c r="AJ1121" s="101">
        <f>IF($F1121="","",SUMIFS($J$5:$J1121,$F$5:$F1121,$F1121))</f>
        <v>15120</v>
      </c>
      <c r="AK1121" s="101">
        <f t="shared" si="192"/>
        <v>15041</v>
      </c>
      <c r="AL1121" s="66" t="str" cm="1">
        <f t="array" ref="AL1121">IF($F1121="","",IFERROR(INDEX('Lot Balance'!$B$5:$B$500,MATCH(1,INDEX(('Lot Balance'!$A$5:$A$500=$F1121)*('Lot Balance'!$K$5:$K$500&lt;$AK1121)*('Lot Balance'!$K$5:$K$500+'Lot Balance'!$D$5:$D$500&gt;=$AK1121),0),0)),""))</f>
        <v>LYSL500290</v>
      </c>
      <c r="AM1121" s="66" t="str" cm="1">
        <f t="array" ref="AM1121">IF($F1121="","",IFERROR(INDEX('Lot Balance'!$B$5:$B$500,MATCH(1,INDEX(('Lot Balance'!$A$5:$A$500=$F1121)*('Lot Balance'!$K$5:$K$500&lt;$AJ1121)*('Lot Balance'!$K$5:$K$500+'Lot Balance'!$D$5:$D$500&gt;=$AJ1121),0),0)),""))</f>
        <v>LYSL500290</v>
      </c>
      <c r="AN1121" s="66" t="str">
        <f>IF($F1121="","",IF($AI1121&lt;&gt;"",IF(COUNTIFS('Lot Balance'!$A$5:$A$500,$F1121,'Lot Balance'!$B$5:$B$500,$AI1121)=0,"⚠ override is not a lot of this item",IF($AI1121=$AL1121,"Override = FEFO","Override - FEFO says "&amp;$AL1121)),IF($AL1121="","⚠ no receipt on file for this item",IF($AM1121&lt;&gt;$AL1121,"FEFO auto - split, also "&amp;$AM1121,"FEFO auto"))))</f>
        <v>FEFO auto</v>
      </c>
      <c r="AO1121" s="114"/>
    </row>
    <row r="1122" spans="1:41" x14ac:dyDescent="0.35">
      <c r="A1122" s="74">
        <v>46177</v>
      </c>
      <c r="B1122" s="18" t="str">
        <f>IF($C1122="","",IFERROR(INDEX('Staff Directory'!$A$5:$A$594,MATCH($C1122,'Staff Directory'!$B$5:$B$594,0)),"⚠ unknown staff"))</f>
        <v>PSW-055-A4</v>
      </c>
      <c r="C1122" s="49" t="s">
        <v>1031</v>
      </c>
      <c r="D1122" s="19" t="str">
        <f>IF($B1122="","",IFERROR(INDEX('Staff Directory'!$C$5:$C$594,MATCH($B1122,'Staff Directory'!$A$5:$A$594,0)),""))</f>
        <v>PSW</v>
      </c>
      <c r="E1122" s="19" t="str">
        <f>IF($B1122="","",IFERROR(INDEX('Staff Directory'!$D$5:$D$594,MATCH($B1122,'Staff Directory'!$A$5:$A$594,0)),""))</f>
        <v>A4</v>
      </c>
      <c r="F1122" s="9" t="s">
        <v>156</v>
      </c>
      <c r="G1122" s="18" t="str">
        <f>IF($F1122="","",IFERROR(INDEX(Items!$B$5:$B$597,MATCH($F1122,Items!$A$5:$A$597,0)),"⚠ not in Items"))</f>
        <v>Masks</v>
      </c>
      <c r="H1122" s="19" t="str">
        <f>IF($F1122="","",IFERROR(INDEX(Items!$C$5:$C$597,MATCH($F1122,Items!$A$5:$A$597,0)),""))</f>
        <v>One Size</v>
      </c>
      <c r="I1122" s="23">
        <f>IF($F1122="","",IFERROR(INDEX(Items!$E$5:$E$597,MATCH($F1122,Items!$A$5:$A$597,0)),""))</f>
        <v>50</v>
      </c>
      <c r="J1122" s="115">
        <f>IF(tblIssues[[#This Row],[Qty Override]]&lt;&gt;"",tblIssues[[#This Row],[Qty Override]],IF(tblIssues[[#This Row],[Standard Issue]]="","",tblIssues[[#This Row],[Standard Issue]]))</f>
        <v>50</v>
      </c>
      <c r="K1122" s="20">
        <f>IF($F1122="","",IFERROR(INDEX(Items!$D$5:$D$597,MATCH($F1122,Items!$A$5:$A$597,0)),""))</f>
        <v>0.25</v>
      </c>
      <c r="L1122" s="21">
        <f t="shared" si="195"/>
        <v>12.5</v>
      </c>
      <c r="M1122" s="9" t="str">
        <f t="shared" si="193"/>
        <v>102GPC24</v>
      </c>
      <c r="N1122" s="24">
        <f>IF($A1122="","",WORKDAY($A1122,Settings!$C$9,HolidayDates))</f>
        <v>46185</v>
      </c>
      <c r="O1122" s="24">
        <f>IF($N1122="","",WORKDAY($N1122,Settings!$C$10,HolidayDates))</f>
        <v>46225</v>
      </c>
      <c r="P1122" s="10" t="s">
        <v>501</v>
      </c>
      <c r="Q1122" s="52" t="str">
        <f t="shared" si="196"/>
        <v>Collected</v>
      </c>
      <c r="R1122" s="55" t="str">
        <f t="shared" si="197"/>
        <v>2026-06</v>
      </c>
      <c r="S1122" s="55">
        <f>IF(OR($B1122="",$F1122="",$R1122=""),"",SUMIFS(tblIssues[Qty Issued],tblIssues[Staff ID],$B1122,tblIssues[Item Name],$F1122,tblIssues[Month],$R1122))</f>
        <v>50</v>
      </c>
      <c r="T1122" s="56">
        <f>IF($I1122="","",$I1122*Settings!$C$11)</f>
        <v>50</v>
      </c>
      <c r="U1122" s="57" t="str">
        <f t="shared" si="194"/>
        <v>OK</v>
      </c>
      <c r="V1122" s="55" t="str">
        <f t="shared" si="198"/>
        <v/>
      </c>
      <c r="W1122" s="55" t="str">
        <f>IF($V1122="","",IF(COUNTIF($V$5:$V1122,$V1122)=1,1,""))</f>
        <v/>
      </c>
      <c r="X1122" s="58" t="str">
        <f>IF($W1122="","",MAX($X$4:X1121)+1)</f>
        <v/>
      </c>
      <c r="Y1122" s="62"/>
      <c r="Z1122" s="62"/>
      <c r="AA1122" s="64" t="str">
        <f>IF($C1122="","",IFERROR(INDEX('Staff Directory'!$E$5:$E$594,MATCH($C1122,'Staff Directory'!$B$5:$B$594,0)),""))</f>
        <v>firstname115.lastname115@example.com</v>
      </c>
      <c r="AB1122" s="64" t="str">
        <f>IF($C1122="","",IF(ISNUMBER(SEARCH($D1122,Settings!$C$15)),"Pickup","Dispatch"))</f>
        <v>Pickup</v>
      </c>
      <c r="AC1122" s="64" t="str">
        <f t="shared" si="199"/>
        <v>Supply order ready for pickup</v>
      </c>
      <c r="AD1122" s="64" t="str">
        <f t="shared" si="190"/>
        <v>Dear PSW,
Your order is ready for pickup from Sample Branch, Wed-Fri 9am-4pm.</v>
      </c>
      <c r="AE1122" s="64" t="str">
        <f t="shared" si="191"/>
        <v>mailto:firstname115.lastname115@example.com?subject=Supply%20order%20ready%20for%20pickup&amp;body=Dear%20PSW%2C%0A%0AYour%20order%20is%20ready%20for%20pickup%20from%20Sample%20Branch%2C%20Wed-Fri%209am-4pm.</v>
      </c>
      <c r="AF1122" s="89" t="str">
        <f t="shared" si="200"/>
        <v>Draft email</v>
      </c>
      <c r="AG1122" s="64" t="str">
        <f>IF($C1122="","",IFERROR(INDEX('Staff Directory'!$K$595:$K$599,MATCH($C1122,'Staff Directory'!$B$5:$B$599,0)),$D1122))</f>
        <v>PSW</v>
      </c>
      <c r="AH1122" t="str">
        <f>IF($C1122="","",IFERROR(INDEX('Staff Directory'!$I$595:$I$599,MATCH($C1122,'Staff Directory'!$B$5:$B$599,0))&amp;" "&amp;INDEX('Staff Directory'!$J$595:$J$599,MATCH($C1122,'Staff Directory'!$B$5:$B$599,0)),$AG1122))</f>
        <v>PSW</v>
      </c>
      <c r="AI1122" s="102"/>
      <c r="AJ1122" s="101">
        <f>IF($F1122="","",SUMIFS($J$5:$J1122,$F$5:$F1122,$F1122))</f>
        <v>9250</v>
      </c>
      <c r="AK1122" s="101">
        <f t="shared" si="192"/>
        <v>9201</v>
      </c>
      <c r="AL1122" s="66" t="str" cm="1">
        <f t="array" ref="AL1122">IF($F1122="","",IFERROR(INDEX('Lot Balance'!$B$5:$B$500,MATCH(1,INDEX(('Lot Balance'!$A$5:$A$500=$F1122)*('Lot Balance'!$K$5:$K$500&lt;$AK1122)*('Lot Balance'!$K$5:$K$500+'Lot Balance'!$D$5:$D$500&gt;=$AK1122),0),0)),""))</f>
        <v>102GPC24</v>
      </c>
      <c r="AM1122" s="66" t="str" cm="1">
        <f t="array" ref="AM1122">IF($F1122="","",IFERROR(INDEX('Lot Balance'!$B$5:$B$500,MATCH(1,INDEX(('Lot Balance'!$A$5:$A$500=$F1122)*('Lot Balance'!$K$5:$K$500&lt;$AJ1122)*('Lot Balance'!$K$5:$K$500+'Lot Balance'!$D$5:$D$500&gt;=$AJ1122),0),0)),""))</f>
        <v>102GPC24</v>
      </c>
      <c r="AN1122" s="66" t="str">
        <f>IF($F1122="","",IF($AI1122&lt;&gt;"",IF(COUNTIFS('Lot Balance'!$A$5:$A$500,$F1122,'Lot Balance'!$B$5:$B$500,$AI1122)=0,"⚠ override is not a lot of this item",IF($AI1122=$AL1122,"Override = FEFO","Override - FEFO says "&amp;$AL1122)),IF($AL1122="","⚠ no receipt on file for this item",IF($AM1122&lt;&gt;$AL1122,"FEFO auto - split, also "&amp;$AM1122,"FEFO auto"))))</f>
        <v>FEFO auto</v>
      </c>
      <c r="AO1122" s="114"/>
    </row>
    <row r="1123" spans="1:41" x14ac:dyDescent="0.35">
      <c r="A1123" s="74">
        <v>46177</v>
      </c>
      <c r="B1123" s="18" t="str">
        <f>IF($C1123="","",IFERROR(INDEX('Staff Directory'!$A$5:$A$594,MATCH($C1123,'Staff Directory'!$B$5:$B$594,0)),"⚠ unknown staff"))</f>
        <v>PSW-055-A4</v>
      </c>
      <c r="C1123" s="49" t="s">
        <v>1031</v>
      </c>
      <c r="D1123" s="19" t="str">
        <f>IF($B1123="","",IFERROR(INDEX('Staff Directory'!$C$5:$C$594,MATCH($B1123,'Staff Directory'!$A$5:$A$594,0)),""))</f>
        <v>PSW</v>
      </c>
      <c r="E1123" s="19" t="str">
        <f>IF($B1123="","",IFERROR(INDEX('Staff Directory'!$D$5:$D$594,MATCH($B1123,'Staff Directory'!$A$5:$A$594,0)),""))</f>
        <v>A4</v>
      </c>
      <c r="F1123" s="9" t="s">
        <v>147</v>
      </c>
      <c r="G1123" s="18" t="str">
        <f>IF($F1123="","",IFERROR(INDEX(Items!$B$5:$B$597,MATCH($F1123,Items!$A$5:$A$597,0)),"⚠ not in Items"))</f>
        <v>Apparel</v>
      </c>
      <c r="H1123" s="19" t="str">
        <f>IF($F1123="","",IFERROR(INDEX(Items!$C$5:$C$597,MATCH($F1123,Items!$A$5:$A$597,0)),""))</f>
        <v>One Size</v>
      </c>
      <c r="I1123" s="23">
        <f>IF($F1123="","",IFERROR(INDEX(Items!$E$5:$E$597,MATCH($F1123,Items!$A$5:$A$597,0)),""))</f>
        <v>5</v>
      </c>
      <c r="J1123" s="115">
        <f>IF(tblIssues[[#This Row],[Qty Override]]&lt;&gt;"",tblIssues[[#This Row],[Qty Override]],IF(tblIssues[[#This Row],[Standard Issue]]="","",tblIssues[[#This Row],[Standard Issue]]))</f>
        <v>5</v>
      </c>
      <c r="K1123" s="20">
        <f>IF($F1123="","",IFERROR(INDEX(Items!$D$5:$D$597,MATCH($F1123,Items!$A$5:$A$597,0)),""))</f>
        <v>3</v>
      </c>
      <c r="L1123" s="21">
        <f t="shared" si="195"/>
        <v>15</v>
      </c>
      <c r="M1123" s="9" t="str">
        <f t="shared" si="193"/>
        <v>YG500280</v>
      </c>
      <c r="N1123" s="24">
        <f>IF($A1123="","",WORKDAY($A1123,Settings!$C$9,HolidayDates))</f>
        <v>46185</v>
      </c>
      <c r="O1123" s="24">
        <f>IF($N1123="","",WORKDAY($N1123,Settings!$C$10,HolidayDates))</f>
        <v>46225</v>
      </c>
      <c r="P1123" s="10" t="s">
        <v>501</v>
      </c>
      <c r="Q1123" s="52" t="str">
        <f t="shared" si="196"/>
        <v>Collected</v>
      </c>
      <c r="R1123" s="55" t="str">
        <f t="shared" si="197"/>
        <v>2026-06</v>
      </c>
      <c r="S1123" s="55">
        <f>IF(OR($B1123="",$F1123="",$R1123=""),"",SUMIFS(tblIssues[Qty Issued],tblIssues[Staff ID],$B1123,tblIssues[Item Name],$F1123,tblIssues[Month],$R1123))</f>
        <v>10</v>
      </c>
      <c r="T1123" s="56">
        <f>IF($I1123="","",$I1123*Settings!$C$11)</f>
        <v>5</v>
      </c>
      <c r="U1123" s="57" t="str">
        <f t="shared" si="194"/>
        <v>⚠ OVER QUOTA</v>
      </c>
      <c r="V1123" s="55" t="str">
        <f t="shared" si="198"/>
        <v>PSW-055-A4 | Level 1/2 - Yellow Gown | 2026-06</v>
      </c>
      <c r="W1123" s="55">
        <f>IF($V1123="","",IF(COUNTIF($V$5:$V1123,$V1123)=1,1,""))</f>
        <v>1</v>
      </c>
      <c r="X1123" s="58">
        <f>IF($W1123="","",MAX($X$4:X1122)+1)</f>
        <v>30</v>
      </c>
      <c r="Y1123" s="62"/>
      <c r="Z1123" s="62"/>
      <c r="AA1123" s="64" t="str">
        <f>IF($C1123="","",IFERROR(INDEX('Staff Directory'!$E$5:$E$594,MATCH($C1123,'Staff Directory'!$B$5:$B$594,0)),""))</f>
        <v>firstname115.lastname115@example.com</v>
      </c>
      <c r="AB1123" s="64" t="str">
        <f>IF($C1123="","",IF(ISNUMBER(SEARCH($D1123,Settings!$C$15)),"Pickup","Dispatch"))</f>
        <v>Pickup</v>
      </c>
      <c r="AC1123" s="64" t="str">
        <f t="shared" si="199"/>
        <v>Supply order ready for pickup</v>
      </c>
      <c r="AD1123" s="64" t="str">
        <f t="shared" si="190"/>
        <v>Dear PSW,
Your order is ready for pickup from Sample Branch, Wed-Fri 9am-4pm.</v>
      </c>
      <c r="AE1123" s="64" t="str">
        <f t="shared" si="191"/>
        <v>mailto:firstname115.lastname115@example.com?subject=Supply%20order%20ready%20for%20pickup&amp;body=Dear%20PSW%2C%0A%0AYour%20order%20is%20ready%20for%20pickup%20from%20Sample%20Branch%2C%20Wed-Fri%209am-4pm.</v>
      </c>
      <c r="AF1123" s="89" t="str">
        <f t="shared" si="200"/>
        <v>Draft email</v>
      </c>
      <c r="AG1123" s="64" t="str">
        <f>IF($C1123="","",IFERROR(INDEX('Staff Directory'!$K$595:$K$599,MATCH($C1123,'Staff Directory'!$B$5:$B$599,0)),$D1123))</f>
        <v>PSW</v>
      </c>
      <c r="AH1123" t="str">
        <f>IF($C1123="","",IFERROR(INDEX('Staff Directory'!$I$595:$I$599,MATCH($C1123,'Staff Directory'!$B$5:$B$599,0))&amp;" "&amp;INDEX('Staff Directory'!$J$595:$J$599,MATCH($C1123,'Staff Directory'!$B$5:$B$599,0)),$AG1123))</f>
        <v>PSW</v>
      </c>
      <c r="AI1123" s="102"/>
      <c r="AJ1123" s="101">
        <f>IF($F1123="","",SUMIFS($J$5:$J1123,$F$5:$F1123,$F1123))</f>
        <v>135</v>
      </c>
      <c r="AK1123" s="101">
        <f t="shared" si="192"/>
        <v>131</v>
      </c>
      <c r="AL1123" s="66" t="str" cm="1">
        <f t="array" ref="AL1123">IF($F1123="","",IFERROR(INDEX('Lot Balance'!$B$5:$B$500,MATCH(1,INDEX(('Lot Balance'!$A$5:$A$500=$F1123)*('Lot Balance'!$K$5:$K$500&lt;$AK1123)*('Lot Balance'!$K$5:$K$500+'Lot Balance'!$D$5:$D$500&gt;=$AK1123),0),0)),""))</f>
        <v>YG500280</v>
      </c>
      <c r="AM1123" s="66" t="str" cm="1">
        <f t="array" ref="AM1123">IF($F1123="","",IFERROR(INDEX('Lot Balance'!$B$5:$B$500,MATCH(1,INDEX(('Lot Balance'!$A$5:$A$500=$F1123)*('Lot Balance'!$K$5:$K$500&lt;$AJ1123)*('Lot Balance'!$K$5:$K$500+'Lot Balance'!$D$5:$D$500&gt;=$AJ1123),0),0)),""))</f>
        <v>YG500280</v>
      </c>
      <c r="AN1123" s="66" t="str">
        <f>IF($F1123="","",IF($AI1123&lt;&gt;"",IF(COUNTIFS('Lot Balance'!$A$5:$A$500,$F1123,'Lot Balance'!$B$5:$B$500,$AI1123)=0,"⚠ override is not a lot of this item",IF($AI1123=$AL1123,"Override = FEFO","Override - FEFO says "&amp;$AL1123)),IF($AL1123="","⚠ no receipt on file for this item",IF($AM1123&lt;&gt;$AL1123,"FEFO auto - split, also "&amp;$AM1123,"FEFO auto"))))</f>
        <v>FEFO auto</v>
      </c>
      <c r="AO1123" s="114"/>
    </row>
    <row r="1124" spans="1:41" x14ac:dyDescent="0.35">
      <c r="A1124" s="74">
        <v>46177</v>
      </c>
      <c r="B1124" s="18" t="str">
        <f>IF($C1124="","",IFERROR(INDEX('Staff Directory'!$A$5:$A$594,MATCH($C1124,'Staff Directory'!$B$5:$B$594,0)),"⚠ unknown staff"))</f>
        <v>PSW-055-A4</v>
      </c>
      <c r="C1124" s="49" t="s">
        <v>1031</v>
      </c>
      <c r="D1124" s="19" t="str">
        <f>IF($B1124="","",IFERROR(INDEX('Staff Directory'!$C$5:$C$594,MATCH($B1124,'Staff Directory'!$A$5:$A$594,0)),""))</f>
        <v>PSW</v>
      </c>
      <c r="E1124" s="19" t="str">
        <f>IF($B1124="","",IFERROR(INDEX('Staff Directory'!$D$5:$D$594,MATCH($B1124,'Staff Directory'!$A$5:$A$594,0)),""))</f>
        <v>A4</v>
      </c>
      <c r="F1124" s="9" t="s">
        <v>147</v>
      </c>
      <c r="G1124" s="18" t="str">
        <f>IF($F1124="","",IFERROR(INDEX(Items!$B$5:$B$597,MATCH($F1124,Items!$A$5:$A$597,0)),"⚠ not in Items"))</f>
        <v>Apparel</v>
      </c>
      <c r="H1124" s="19" t="str">
        <f>IF($F1124="","",IFERROR(INDEX(Items!$C$5:$C$597,MATCH($F1124,Items!$A$5:$A$597,0)),""))</f>
        <v>One Size</v>
      </c>
      <c r="I1124" s="23">
        <f>IF($F1124="","",IFERROR(INDEX(Items!$E$5:$E$597,MATCH($F1124,Items!$A$5:$A$597,0)),""))</f>
        <v>5</v>
      </c>
      <c r="J1124" s="115">
        <f>IF(tblIssues[[#This Row],[Qty Override]]&lt;&gt;"",tblIssues[[#This Row],[Qty Override]],IF(tblIssues[[#This Row],[Standard Issue]]="","",tblIssues[[#This Row],[Standard Issue]]))</f>
        <v>5</v>
      </c>
      <c r="K1124" s="20">
        <f>IF($F1124="","",IFERROR(INDEX(Items!$D$5:$D$597,MATCH($F1124,Items!$A$5:$A$597,0)),""))</f>
        <v>3</v>
      </c>
      <c r="L1124" s="21">
        <f t="shared" si="195"/>
        <v>15</v>
      </c>
      <c r="M1124" s="9" t="str">
        <f t="shared" si="193"/>
        <v>YG500280</v>
      </c>
      <c r="N1124" s="24">
        <f>IF($A1124="","",WORKDAY($A1124,Settings!$C$9,HolidayDates))</f>
        <v>46185</v>
      </c>
      <c r="O1124" s="24">
        <f>IF($N1124="","",WORKDAY($N1124,Settings!$C$10,HolidayDates))</f>
        <v>46225</v>
      </c>
      <c r="P1124" s="10" t="s">
        <v>501</v>
      </c>
      <c r="Q1124" s="52" t="str">
        <f t="shared" si="196"/>
        <v>Collected</v>
      </c>
      <c r="R1124" s="55" t="str">
        <f t="shared" si="197"/>
        <v>2026-06</v>
      </c>
      <c r="S1124" s="55">
        <f>IF(OR($B1124="",$F1124="",$R1124=""),"",SUMIFS(tblIssues[Qty Issued],tblIssues[Staff ID],$B1124,tblIssues[Item Name],$F1124,tblIssues[Month],$R1124))</f>
        <v>10</v>
      </c>
      <c r="T1124" s="56">
        <f>IF($I1124="","",$I1124*Settings!$C$11)</f>
        <v>5</v>
      </c>
      <c r="U1124" s="57" t="str">
        <f t="shared" si="194"/>
        <v>⚠ OVER QUOTA</v>
      </c>
      <c r="V1124" s="55" t="str">
        <f t="shared" si="198"/>
        <v>PSW-055-A4 | Level 1/2 - Yellow Gown | 2026-06</v>
      </c>
      <c r="W1124" s="55" t="str">
        <f>IF($V1124="","",IF(COUNTIF($V$5:$V1124,$V1124)=1,1,""))</f>
        <v/>
      </c>
      <c r="X1124" s="58" t="str">
        <f>IF($W1124="","",MAX($X$4:X1123)+1)</f>
        <v/>
      </c>
      <c r="Y1124" s="62"/>
      <c r="Z1124" s="62"/>
      <c r="AA1124" s="64" t="str">
        <f>IF($C1124="","",IFERROR(INDEX('Staff Directory'!$E$5:$E$594,MATCH($C1124,'Staff Directory'!$B$5:$B$594,0)),""))</f>
        <v>firstname115.lastname115@example.com</v>
      </c>
      <c r="AB1124" s="64" t="str">
        <f>IF($C1124="","",IF(ISNUMBER(SEARCH($D1124,Settings!$C$15)),"Pickup","Dispatch"))</f>
        <v>Pickup</v>
      </c>
      <c r="AC1124" s="64" t="str">
        <f t="shared" si="199"/>
        <v>Supply order ready for pickup</v>
      </c>
      <c r="AD1124" s="64" t="str">
        <f t="shared" si="190"/>
        <v>Dear PSW,
Your order is ready for pickup from Sample Branch, Wed-Fri 9am-4pm.</v>
      </c>
      <c r="AE1124" s="64" t="str">
        <f t="shared" si="191"/>
        <v>mailto:firstname115.lastname115@example.com?subject=Supply%20order%20ready%20for%20pickup&amp;body=Dear%20PSW%2C%0A%0AYour%20order%20is%20ready%20for%20pickup%20from%20Sample%20Branch%2C%20Wed-Fri%209am-4pm.</v>
      </c>
      <c r="AF1124" s="89" t="str">
        <f t="shared" si="200"/>
        <v>Draft email</v>
      </c>
      <c r="AG1124" s="64" t="str">
        <f>IF($C1124="","",IFERROR(INDEX('Staff Directory'!$K$595:$K$599,MATCH($C1124,'Staff Directory'!$B$5:$B$599,0)),$D1124))</f>
        <v>PSW</v>
      </c>
      <c r="AH1124" t="str">
        <f>IF($C1124="","",IFERROR(INDEX('Staff Directory'!$I$595:$I$599,MATCH($C1124,'Staff Directory'!$B$5:$B$599,0))&amp;" "&amp;INDEX('Staff Directory'!$J$595:$J$599,MATCH($C1124,'Staff Directory'!$B$5:$B$599,0)),$AG1124))</f>
        <v>PSW</v>
      </c>
      <c r="AI1124" s="102"/>
      <c r="AJ1124" s="101">
        <f>IF($F1124="","",SUMIFS($J$5:$J1124,$F$5:$F1124,$F1124))</f>
        <v>140</v>
      </c>
      <c r="AK1124" s="101">
        <f t="shared" si="192"/>
        <v>136</v>
      </c>
      <c r="AL1124" s="66" t="str" cm="1">
        <f t="array" ref="AL1124">IF($F1124="","",IFERROR(INDEX('Lot Balance'!$B$5:$B$500,MATCH(1,INDEX(('Lot Balance'!$A$5:$A$500=$F1124)*('Lot Balance'!$K$5:$K$500&lt;$AK1124)*('Lot Balance'!$K$5:$K$500+'Lot Balance'!$D$5:$D$500&gt;=$AK1124),0),0)),""))</f>
        <v>YG500280</v>
      </c>
      <c r="AM1124" s="66" t="str" cm="1">
        <f t="array" ref="AM1124">IF($F1124="","",IFERROR(INDEX('Lot Balance'!$B$5:$B$500,MATCH(1,INDEX(('Lot Balance'!$A$5:$A$500=$F1124)*('Lot Balance'!$K$5:$K$500&lt;$AJ1124)*('Lot Balance'!$K$5:$K$500+'Lot Balance'!$D$5:$D$500&gt;=$AJ1124),0),0)),""))</f>
        <v>YG500280</v>
      </c>
      <c r="AN1124" s="66" t="str">
        <f>IF($F1124="","",IF($AI1124&lt;&gt;"",IF(COUNTIFS('Lot Balance'!$A$5:$A$500,$F1124,'Lot Balance'!$B$5:$B$500,$AI1124)=0,"⚠ override is not a lot of this item",IF($AI1124=$AL1124,"Override = FEFO","Override - FEFO says "&amp;$AL1124)),IF($AL1124="","⚠ no receipt on file for this item",IF($AM1124&lt;&gt;$AL1124,"FEFO auto - split, also "&amp;$AM1124,"FEFO auto"))))</f>
        <v>FEFO auto</v>
      </c>
      <c r="AO1124" s="114"/>
    </row>
    <row r="1125" spans="1:41" x14ac:dyDescent="0.35">
      <c r="A1125" s="74">
        <v>46177</v>
      </c>
      <c r="B1125" s="18" t="str">
        <f>IF($C1125="","",IFERROR(INDEX('Staff Directory'!$A$5:$A$594,MATCH($C1125,'Staff Directory'!$B$5:$B$594,0)),"⚠ unknown staff"))</f>
        <v>PSW-025-A4</v>
      </c>
      <c r="C1125" s="49" t="s">
        <v>1001</v>
      </c>
      <c r="D1125" s="19" t="str">
        <f>IF($B1125="","",IFERROR(INDEX('Staff Directory'!$C$5:$C$594,MATCH($B1125,'Staff Directory'!$A$5:$A$594,0)),""))</f>
        <v>PSW</v>
      </c>
      <c r="E1125" s="19" t="str">
        <f>IF($B1125="","",IFERROR(INDEX('Staff Directory'!$D$5:$D$594,MATCH($B1125,'Staff Directory'!$A$5:$A$594,0)),""))</f>
        <v>A4</v>
      </c>
      <c r="F1125" s="9" t="s">
        <v>124</v>
      </c>
      <c r="G1125" s="18" t="str">
        <f>IF($F1125="","",IFERROR(INDEX(Items!$B$5:$B$597,MATCH($F1125,Items!$A$5:$A$597,0)),"⚠ not in Items"))</f>
        <v>Gloves</v>
      </c>
      <c r="H1125" s="19" t="str">
        <f>IF($F1125="","",IFERROR(INDEX(Items!$C$5:$C$597,MATCH($F1125,Items!$A$5:$A$597,0)),""))</f>
        <v>Large</v>
      </c>
      <c r="I1125" s="23">
        <f>IF($F1125="","",IFERROR(INDEX(Items!$E$5:$E$597,MATCH($F1125,Items!$A$5:$A$597,0)),""))</f>
        <v>500</v>
      </c>
      <c r="J1125" s="115">
        <f>IF(tblIssues[[#This Row],[Qty Override]]&lt;&gt;"",tblIssues[[#This Row],[Qty Override]],IF(tblIssues[[#This Row],[Standard Issue]]="","",tblIssues[[#This Row],[Standard Issue]]))</f>
        <v>500</v>
      </c>
      <c r="K1125" s="20">
        <f>IF($F1125="","",IFERROR(INDEX(Items!$D$5:$D$597,MATCH($F1125,Items!$A$5:$A$597,0)),""))</f>
        <v>5.5E-2</v>
      </c>
      <c r="L1125" s="21">
        <f t="shared" si="195"/>
        <v>27.5</v>
      </c>
      <c r="M1125" s="9" t="str">
        <f t="shared" si="193"/>
        <v>O742HIC25</v>
      </c>
      <c r="N1125" s="24">
        <f>IF($A1125="","",WORKDAY($A1125,Settings!$C$9,HolidayDates))</f>
        <v>46185</v>
      </c>
      <c r="O1125" s="24">
        <f>IF($N1125="","",WORKDAY($N1125,Settings!$C$10,HolidayDates))</f>
        <v>46225</v>
      </c>
      <c r="P1125" s="10" t="s">
        <v>501</v>
      </c>
      <c r="Q1125" s="52" t="str">
        <f t="shared" si="196"/>
        <v>Collected</v>
      </c>
      <c r="R1125" s="55" t="str">
        <f t="shared" si="197"/>
        <v>2026-06</v>
      </c>
      <c r="S1125" s="55">
        <f>IF(OR($B1125="",$F1125="",$R1125=""),"",SUMIFS(tblIssues[Qty Issued],tblIssues[Staff ID],$B1125,tblIssues[Item Name],$F1125,tblIssues[Month],$R1125))</f>
        <v>500</v>
      </c>
      <c r="T1125" s="56">
        <f>IF($I1125="","",$I1125*Settings!$C$11)</f>
        <v>500</v>
      </c>
      <c r="U1125" s="57" t="str">
        <f t="shared" si="194"/>
        <v>OK</v>
      </c>
      <c r="V1125" s="55" t="str">
        <f t="shared" si="198"/>
        <v/>
      </c>
      <c r="W1125" s="55" t="str">
        <f>IF($V1125="","",IF(COUNTIF($V$5:$V1125,$V1125)=1,1,""))</f>
        <v/>
      </c>
      <c r="X1125" s="58" t="str">
        <f>IF($W1125="","",MAX($X$4:X1124)+1)</f>
        <v/>
      </c>
      <c r="Y1125" s="62"/>
      <c r="Z1125" s="62"/>
      <c r="AA1125" s="64" t="str">
        <f>IF($C1125="","",IFERROR(INDEX('Staff Directory'!$E$5:$E$594,MATCH($C1125,'Staff Directory'!$B$5:$B$594,0)),""))</f>
        <v>firstname085.lastname085@example.com</v>
      </c>
      <c r="AB1125" s="64" t="str">
        <f>IF($C1125="","",IF(ISNUMBER(SEARCH($D1125,Settings!$C$15)),"Pickup","Dispatch"))</f>
        <v>Pickup</v>
      </c>
      <c r="AC1125" s="64" t="str">
        <f t="shared" si="199"/>
        <v>Supply order ready for pickup</v>
      </c>
      <c r="AD1125" s="64" t="str">
        <f t="shared" si="190"/>
        <v>Dear PSW,
Your order is ready for pickup from Sample Branch, Wed-Fri 9am-4pm.</v>
      </c>
      <c r="AE1125" s="64" t="str">
        <f t="shared" si="191"/>
        <v>mailto:firstname085.lastname085@example.com?subject=Supply%20order%20ready%20for%20pickup&amp;body=Dear%20PSW%2C%0A%0AYour%20order%20is%20ready%20for%20pickup%20from%20Sample%20Branch%2C%20Wed-Fri%209am-4pm.</v>
      </c>
      <c r="AF1125" s="89" t="str">
        <f t="shared" si="200"/>
        <v>Draft email</v>
      </c>
      <c r="AG1125" s="64" t="str">
        <f>IF($C1125="","",IFERROR(INDEX('Staff Directory'!$K$595:$K$599,MATCH($C1125,'Staff Directory'!$B$5:$B$599,0)),$D1125))</f>
        <v>PSW</v>
      </c>
      <c r="AH1125" t="str">
        <f>IF($C1125="","",IFERROR(INDEX('Staff Directory'!$I$595:$I$599,MATCH($C1125,'Staff Directory'!$B$5:$B$599,0))&amp;" "&amp;INDEX('Staff Directory'!$J$595:$J$599,MATCH($C1125,'Staff Directory'!$B$5:$B$599,0)),$AG1125))</f>
        <v>PSW</v>
      </c>
      <c r="AI1125" s="102"/>
      <c r="AJ1125" s="101">
        <f>IF($F1125="","",SUMIFS($J$5:$J1125,$F$5:$F1125,$F1125))</f>
        <v>32500</v>
      </c>
      <c r="AK1125" s="101">
        <f t="shared" si="192"/>
        <v>32001</v>
      </c>
      <c r="AL1125" s="66" t="str" cm="1">
        <f t="array" ref="AL1125">IF($F1125="","",IFERROR(INDEX('Lot Balance'!$B$5:$B$500,MATCH(1,INDEX(('Lot Balance'!$A$5:$A$500=$F1125)*('Lot Balance'!$K$5:$K$500&lt;$AK1125)*('Lot Balance'!$K$5:$K$500+'Lot Balance'!$D$5:$D$500&gt;=$AK1125),0),0)),""))</f>
        <v>O742HIC25</v>
      </c>
      <c r="AM1125" s="66" t="str" cm="1">
        <f t="array" ref="AM1125">IF($F1125="","",IFERROR(INDEX('Lot Balance'!$B$5:$B$500,MATCH(1,INDEX(('Lot Balance'!$A$5:$A$500=$F1125)*('Lot Balance'!$K$5:$K$500&lt;$AJ1125)*('Lot Balance'!$K$5:$K$500+'Lot Balance'!$D$5:$D$500&gt;=$AJ1125),0),0)),""))</f>
        <v>ZIM511139904-2</v>
      </c>
      <c r="AN1125" s="66" t="str">
        <f>IF($F1125="","",IF($AI1125&lt;&gt;"",IF(COUNTIFS('Lot Balance'!$A$5:$A$500,$F1125,'Lot Balance'!$B$5:$B$500,$AI1125)=0,"⚠ override is not a lot of this item",IF($AI1125=$AL1125,"Override = FEFO","Override - FEFO says "&amp;$AL1125)),IF($AL1125="","⚠ no receipt on file for this item",IF($AM1125&lt;&gt;$AL1125,"FEFO auto - split, also "&amp;$AM1125,"FEFO auto"))))</f>
        <v>FEFO auto - split, also ZIM511139904-2</v>
      </c>
      <c r="AO1125" s="114"/>
    </row>
    <row r="1126" spans="1:41" x14ac:dyDescent="0.35">
      <c r="A1126" s="74">
        <v>46177</v>
      </c>
      <c r="B1126" s="18" t="str">
        <f>IF($C1126="","",IFERROR(INDEX('Staff Directory'!$A$5:$A$594,MATCH($C1126,'Staff Directory'!$B$5:$B$594,0)),"⚠ unknown staff"))</f>
        <v>PSW-025-A4</v>
      </c>
      <c r="C1126" s="49" t="s">
        <v>1001</v>
      </c>
      <c r="D1126" s="19" t="str">
        <f>IF($B1126="","",IFERROR(INDEX('Staff Directory'!$C$5:$C$594,MATCH($B1126,'Staff Directory'!$A$5:$A$594,0)),""))</f>
        <v>PSW</v>
      </c>
      <c r="E1126" s="19" t="str">
        <f>IF($B1126="","",IFERROR(INDEX('Staff Directory'!$D$5:$D$594,MATCH($B1126,'Staff Directory'!$A$5:$A$594,0)),""))</f>
        <v>A4</v>
      </c>
      <c r="F1126" s="9" t="s">
        <v>115</v>
      </c>
      <c r="G1126" s="18" t="str">
        <f>IF($F1126="","",IFERROR(INDEX(Items!$B$5:$B$597,MATCH($F1126,Items!$A$5:$A$597,0)),"⚠ not in Items"))</f>
        <v>Wipes</v>
      </c>
      <c r="H1126" s="19">
        <f>IF($F1126="","",IFERROR(INDEX(Items!$C$5:$C$597,MATCH($F1126,Items!$A$5:$A$597,0)),""))</f>
        <v>80</v>
      </c>
      <c r="I1126" s="23">
        <f>IF($F1126="","",IFERROR(INDEX(Items!$E$5:$E$597,MATCH($F1126,Items!$A$5:$A$597,0)),""))</f>
        <v>80</v>
      </c>
      <c r="J1126" s="115">
        <f>IF(tblIssues[[#This Row],[Qty Override]]&lt;&gt;"",tblIssues[[#This Row],[Qty Override]],IF(tblIssues[[#This Row],[Standard Issue]]="","",tblIssues[[#This Row],[Standard Issue]]))</f>
        <v>80</v>
      </c>
      <c r="K1126" s="20">
        <f>IF($F1126="","",IFERROR(INDEX(Items!$D$5:$D$597,MATCH($F1126,Items!$A$5:$A$597,0)),""))</f>
        <v>0.1</v>
      </c>
      <c r="L1126" s="21">
        <f t="shared" si="195"/>
        <v>8</v>
      </c>
      <c r="M1126" s="9" t="str">
        <f t="shared" si="193"/>
        <v>LYSL500290</v>
      </c>
      <c r="N1126" s="24">
        <f>IF($A1126="","",WORKDAY($A1126,Settings!$C$9,HolidayDates))</f>
        <v>46185</v>
      </c>
      <c r="O1126" s="24">
        <f>IF($N1126="","",WORKDAY($N1126,Settings!$C$10,HolidayDates))</f>
        <v>46225</v>
      </c>
      <c r="P1126" s="10" t="s">
        <v>501</v>
      </c>
      <c r="Q1126" s="52" t="str">
        <f t="shared" si="196"/>
        <v>Collected</v>
      </c>
      <c r="R1126" s="55" t="str">
        <f t="shared" si="197"/>
        <v>2026-06</v>
      </c>
      <c r="S1126" s="55">
        <f>IF(OR($B1126="",$F1126="",$R1126=""),"",SUMIFS(tblIssues[Qty Issued],tblIssues[Staff ID],$B1126,tblIssues[Item Name],$F1126,tblIssues[Month],$R1126))</f>
        <v>80</v>
      </c>
      <c r="T1126" s="56">
        <f>IF($I1126="","",$I1126*Settings!$C$11)</f>
        <v>80</v>
      </c>
      <c r="U1126" s="57" t="str">
        <f t="shared" si="194"/>
        <v>OK</v>
      </c>
      <c r="V1126" s="55" t="str">
        <f t="shared" si="198"/>
        <v/>
      </c>
      <c r="W1126" s="55" t="str">
        <f>IF($V1126="","",IF(COUNTIF($V$5:$V1126,$V1126)=1,1,""))</f>
        <v/>
      </c>
      <c r="X1126" s="58" t="str">
        <f>IF($W1126="","",MAX($X$4:X1125)+1)</f>
        <v/>
      </c>
      <c r="Y1126" s="62"/>
      <c r="Z1126" s="62"/>
      <c r="AA1126" s="64" t="str">
        <f>IF($C1126="","",IFERROR(INDEX('Staff Directory'!$E$5:$E$594,MATCH($C1126,'Staff Directory'!$B$5:$B$594,0)),""))</f>
        <v>firstname085.lastname085@example.com</v>
      </c>
      <c r="AB1126" s="64" t="str">
        <f>IF($C1126="","",IF(ISNUMBER(SEARCH($D1126,Settings!$C$15)),"Pickup","Dispatch"))</f>
        <v>Pickup</v>
      </c>
      <c r="AC1126" s="64" t="str">
        <f t="shared" si="199"/>
        <v>Supply order ready for pickup</v>
      </c>
      <c r="AD1126" s="64" t="str">
        <f t="shared" si="190"/>
        <v>Dear PSW,
Your order is ready for pickup from Sample Branch, Wed-Fri 9am-4pm.</v>
      </c>
      <c r="AE1126" s="64" t="str">
        <f t="shared" si="191"/>
        <v>mailto:firstname085.lastname085@example.com?subject=Supply%20order%20ready%20for%20pickup&amp;body=Dear%20PSW%2C%0A%0AYour%20order%20is%20ready%20for%20pickup%20from%20Sample%20Branch%2C%20Wed-Fri%209am-4pm.</v>
      </c>
      <c r="AF1126" s="89" t="str">
        <f t="shared" si="200"/>
        <v>Draft email</v>
      </c>
      <c r="AG1126" s="64" t="str">
        <f>IF($C1126="","",IFERROR(INDEX('Staff Directory'!$K$595:$K$599,MATCH($C1126,'Staff Directory'!$B$5:$B$599,0)),$D1126))</f>
        <v>PSW</v>
      </c>
      <c r="AH1126" t="str">
        <f>IF($C1126="","",IFERROR(INDEX('Staff Directory'!$I$595:$I$599,MATCH($C1126,'Staff Directory'!$B$5:$B$599,0))&amp;" "&amp;INDEX('Staff Directory'!$J$595:$J$599,MATCH($C1126,'Staff Directory'!$B$5:$B$599,0)),$AG1126))</f>
        <v>PSW</v>
      </c>
      <c r="AI1126" s="102"/>
      <c r="AJ1126" s="101">
        <f>IF($F1126="","",SUMIFS($J$5:$J1126,$F$5:$F1126,$F1126))</f>
        <v>15200</v>
      </c>
      <c r="AK1126" s="101">
        <f t="shared" si="192"/>
        <v>15121</v>
      </c>
      <c r="AL1126" s="66" t="str" cm="1">
        <f t="array" ref="AL1126">IF($F1126="","",IFERROR(INDEX('Lot Balance'!$B$5:$B$500,MATCH(1,INDEX(('Lot Balance'!$A$5:$A$500=$F1126)*('Lot Balance'!$K$5:$K$500&lt;$AK1126)*('Lot Balance'!$K$5:$K$500+'Lot Balance'!$D$5:$D$500&gt;=$AK1126),0),0)),""))</f>
        <v>LYSL500290</v>
      </c>
      <c r="AM1126" s="66" t="str" cm="1">
        <f t="array" ref="AM1126">IF($F1126="","",IFERROR(INDEX('Lot Balance'!$B$5:$B$500,MATCH(1,INDEX(('Lot Balance'!$A$5:$A$500=$F1126)*('Lot Balance'!$K$5:$K$500&lt;$AJ1126)*('Lot Balance'!$K$5:$K$500+'Lot Balance'!$D$5:$D$500&gt;=$AJ1126),0),0)),""))</f>
        <v>LYSL500290</v>
      </c>
      <c r="AN1126" s="66" t="str">
        <f>IF($F1126="","",IF($AI1126&lt;&gt;"",IF(COUNTIFS('Lot Balance'!$A$5:$A$500,$F1126,'Lot Balance'!$B$5:$B$500,$AI1126)=0,"⚠ override is not a lot of this item",IF($AI1126=$AL1126,"Override = FEFO","Override - FEFO says "&amp;$AL1126)),IF($AL1126="","⚠ no receipt on file for this item",IF($AM1126&lt;&gt;$AL1126,"FEFO auto - split, also "&amp;$AM1126,"FEFO auto"))))</f>
        <v>FEFO auto</v>
      </c>
      <c r="AO1126" s="114"/>
    </row>
    <row r="1127" spans="1:41" x14ac:dyDescent="0.35">
      <c r="A1127" s="74">
        <v>46177</v>
      </c>
      <c r="B1127" s="18" t="str">
        <f>IF($C1127="","",IFERROR(INDEX('Staff Directory'!$A$5:$A$594,MATCH($C1127,'Staff Directory'!$B$5:$B$594,0)),"⚠ unknown staff"))</f>
        <v>PSW-025-A4</v>
      </c>
      <c r="C1127" s="49" t="s">
        <v>1001</v>
      </c>
      <c r="D1127" s="19" t="str">
        <f>IF($B1127="","",IFERROR(INDEX('Staff Directory'!$C$5:$C$594,MATCH($B1127,'Staff Directory'!$A$5:$A$594,0)),""))</f>
        <v>PSW</v>
      </c>
      <c r="E1127" s="19" t="str">
        <f>IF($B1127="","",IFERROR(INDEX('Staff Directory'!$D$5:$D$594,MATCH($B1127,'Staff Directory'!$A$5:$A$594,0)),""))</f>
        <v>A4</v>
      </c>
      <c r="F1127" s="9" t="s">
        <v>156</v>
      </c>
      <c r="G1127" s="18" t="str">
        <f>IF($F1127="","",IFERROR(INDEX(Items!$B$5:$B$597,MATCH($F1127,Items!$A$5:$A$597,0)),"⚠ not in Items"))</f>
        <v>Masks</v>
      </c>
      <c r="H1127" s="19" t="str">
        <f>IF($F1127="","",IFERROR(INDEX(Items!$C$5:$C$597,MATCH($F1127,Items!$A$5:$A$597,0)),""))</f>
        <v>One Size</v>
      </c>
      <c r="I1127" s="23">
        <f>IF($F1127="","",IFERROR(INDEX(Items!$E$5:$E$597,MATCH($F1127,Items!$A$5:$A$597,0)),""))</f>
        <v>50</v>
      </c>
      <c r="J1127" s="115">
        <f>IF(tblIssues[[#This Row],[Qty Override]]&lt;&gt;"",tblIssues[[#This Row],[Qty Override]],IF(tblIssues[[#This Row],[Standard Issue]]="","",tblIssues[[#This Row],[Standard Issue]]))</f>
        <v>50</v>
      </c>
      <c r="K1127" s="20">
        <f>IF($F1127="","",IFERROR(INDEX(Items!$D$5:$D$597,MATCH($F1127,Items!$A$5:$A$597,0)),""))</f>
        <v>0.25</v>
      </c>
      <c r="L1127" s="21">
        <f t="shared" si="195"/>
        <v>12.5</v>
      </c>
      <c r="M1127" s="9" t="str">
        <f t="shared" si="193"/>
        <v>102GPC24</v>
      </c>
      <c r="N1127" s="24">
        <f>IF($A1127="","",WORKDAY($A1127,Settings!$C$9,HolidayDates))</f>
        <v>46185</v>
      </c>
      <c r="O1127" s="24">
        <f>IF($N1127="","",WORKDAY($N1127,Settings!$C$10,HolidayDates))</f>
        <v>46225</v>
      </c>
      <c r="P1127" s="10" t="s">
        <v>501</v>
      </c>
      <c r="Q1127" s="52" t="str">
        <f t="shared" si="196"/>
        <v>Collected</v>
      </c>
      <c r="R1127" s="55" t="str">
        <f t="shared" si="197"/>
        <v>2026-06</v>
      </c>
      <c r="S1127" s="55">
        <f>IF(OR($B1127="",$F1127="",$R1127=""),"",SUMIFS(tblIssues[Qty Issued],tblIssues[Staff ID],$B1127,tblIssues[Item Name],$F1127,tblIssues[Month],$R1127))</f>
        <v>50</v>
      </c>
      <c r="T1127" s="56">
        <f>IF($I1127="","",$I1127*Settings!$C$11)</f>
        <v>50</v>
      </c>
      <c r="U1127" s="57" t="str">
        <f t="shared" si="194"/>
        <v>OK</v>
      </c>
      <c r="V1127" s="55" t="str">
        <f t="shared" si="198"/>
        <v/>
      </c>
      <c r="W1127" s="55" t="str">
        <f>IF($V1127="","",IF(COUNTIF($V$5:$V1127,$V1127)=1,1,""))</f>
        <v/>
      </c>
      <c r="X1127" s="58" t="str">
        <f>IF($W1127="","",MAX($X$4:X1126)+1)</f>
        <v/>
      </c>
      <c r="Y1127" s="62"/>
      <c r="Z1127" s="62"/>
      <c r="AA1127" s="64" t="str">
        <f>IF($C1127="","",IFERROR(INDEX('Staff Directory'!$E$5:$E$594,MATCH($C1127,'Staff Directory'!$B$5:$B$594,0)),""))</f>
        <v>firstname085.lastname085@example.com</v>
      </c>
      <c r="AB1127" s="64" t="str">
        <f>IF($C1127="","",IF(ISNUMBER(SEARCH($D1127,Settings!$C$15)),"Pickup","Dispatch"))</f>
        <v>Pickup</v>
      </c>
      <c r="AC1127" s="64" t="str">
        <f t="shared" si="199"/>
        <v>Supply order ready for pickup</v>
      </c>
      <c r="AD1127" s="64" t="str">
        <f t="shared" si="190"/>
        <v>Dear PSW,
Your order is ready for pickup from Sample Branch, Wed-Fri 9am-4pm.</v>
      </c>
      <c r="AE1127" s="64" t="str">
        <f t="shared" si="191"/>
        <v>mailto:firstname085.lastname085@example.com?subject=Supply%20order%20ready%20for%20pickup&amp;body=Dear%20PSW%2C%0A%0AYour%20order%20is%20ready%20for%20pickup%20from%20Sample%20Branch%2C%20Wed-Fri%209am-4pm.</v>
      </c>
      <c r="AF1127" s="89" t="str">
        <f t="shared" si="200"/>
        <v>Draft email</v>
      </c>
      <c r="AG1127" s="64" t="str">
        <f>IF($C1127="","",IFERROR(INDEX('Staff Directory'!$K$595:$K$599,MATCH($C1127,'Staff Directory'!$B$5:$B$599,0)),$D1127))</f>
        <v>PSW</v>
      </c>
      <c r="AH1127" t="str">
        <f>IF($C1127="","",IFERROR(INDEX('Staff Directory'!$I$595:$I$599,MATCH($C1127,'Staff Directory'!$B$5:$B$599,0))&amp;" "&amp;INDEX('Staff Directory'!$J$595:$J$599,MATCH($C1127,'Staff Directory'!$B$5:$B$599,0)),$AG1127))</f>
        <v>PSW</v>
      </c>
      <c r="AI1127" s="102"/>
      <c r="AJ1127" s="101">
        <f>IF($F1127="","",SUMIFS($J$5:$J1127,$F$5:$F1127,$F1127))</f>
        <v>9300</v>
      </c>
      <c r="AK1127" s="101">
        <f t="shared" si="192"/>
        <v>9251</v>
      </c>
      <c r="AL1127" s="66" t="str" cm="1">
        <f t="array" ref="AL1127">IF($F1127="","",IFERROR(INDEX('Lot Balance'!$B$5:$B$500,MATCH(1,INDEX(('Lot Balance'!$A$5:$A$500=$F1127)*('Lot Balance'!$K$5:$K$500&lt;$AK1127)*('Lot Balance'!$K$5:$K$500+'Lot Balance'!$D$5:$D$500&gt;=$AK1127),0),0)),""))</f>
        <v>102GPC24</v>
      </c>
      <c r="AM1127" s="66" t="str" cm="1">
        <f t="array" ref="AM1127">IF($F1127="","",IFERROR(INDEX('Lot Balance'!$B$5:$B$500,MATCH(1,INDEX(('Lot Balance'!$A$5:$A$500=$F1127)*('Lot Balance'!$K$5:$K$500&lt;$AJ1127)*('Lot Balance'!$K$5:$K$500+'Lot Balance'!$D$5:$D$500&gt;=$AJ1127),0),0)),""))</f>
        <v>102GPC24</v>
      </c>
      <c r="AN1127" s="66" t="str">
        <f>IF($F1127="","",IF($AI1127&lt;&gt;"",IF(COUNTIFS('Lot Balance'!$A$5:$A$500,$F1127,'Lot Balance'!$B$5:$B$500,$AI1127)=0,"⚠ override is not a lot of this item",IF($AI1127=$AL1127,"Override = FEFO","Override - FEFO says "&amp;$AL1127)),IF($AL1127="","⚠ no receipt on file for this item",IF($AM1127&lt;&gt;$AL1127,"FEFO auto - split, also "&amp;$AM1127,"FEFO auto"))))</f>
        <v>FEFO auto</v>
      </c>
      <c r="AO1127" s="114"/>
    </row>
    <row r="1128" spans="1:41" x14ac:dyDescent="0.35">
      <c r="A1128" s="74">
        <v>46177</v>
      </c>
      <c r="B1128" s="18" t="str">
        <f>IF($C1128="","",IFERROR(INDEX('Staff Directory'!$A$5:$A$594,MATCH($C1128,'Staff Directory'!$B$5:$B$594,0)),"⚠ unknown staff"))</f>
        <v>PSW-025-A4</v>
      </c>
      <c r="C1128" s="49" t="s">
        <v>1001</v>
      </c>
      <c r="D1128" s="19" t="str">
        <f>IF($B1128="","",IFERROR(INDEX('Staff Directory'!$C$5:$C$594,MATCH($B1128,'Staff Directory'!$A$5:$A$594,0)),""))</f>
        <v>PSW</v>
      </c>
      <c r="E1128" s="19" t="str">
        <f>IF($B1128="","",IFERROR(INDEX('Staff Directory'!$D$5:$D$594,MATCH($B1128,'Staff Directory'!$A$5:$A$594,0)),""))</f>
        <v>A4</v>
      </c>
      <c r="F1128" s="9" t="s">
        <v>147</v>
      </c>
      <c r="G1128" s="18" t="str">
        <f>IF($F1128="","",IFERROR(INDEX(Items!$B$5:$B$597,MATCH($F1128,Items!$A$5:$A$597,0)),"⚠ not in Items"))</f>
        <v>Apparel</v>
      </c>
      <c r="H1128" s="19" t="str">
        <f>IF($F1128="","",IFERROR(INDEX(Items!$C$5:$C$597,MATCH($F1128,Items!$A$5:$A$597,0)),""))</f>
        <v>One Size</v>
      </c>
      <c r="I1128" s="23">
        <f>IF($F1128="","",IFERROR(INDEX(Items!$E$5:$E$597,MATCH($F1128,Items!$A$5:$A$597,0)),""))</f>
        <v>5</v>
      </c>
      <c r="J1128" s="115">
        <f>IF(tblIssues[[#This Row],[Qty Override]]&lt;&gt;"",tblIssues[[#This Row],[Qty Override]],IF(tblIssues[[#This Row],[Standard Issue]]="","",tblIssues[[#This Row],[Standard Issue]]))</f>
        <v>5</v>
      </c>
      <c r="K1128" s="20">
        <f>IF($F1128="","",IFERROR(INDEX(Items!$D$5:$D$597,MATCH($F1128,Items!$A$5:$A$597,0)),""))</f>
        <v>3</v>
      </c>
      <c r="L1128" s="21">
        <f t="shared" si="195"/>
        <v>15</v>
      </c>
      <c r="M1128" s="9" t="str">
        <f t="shared" si="193"/>
        <v>YG500280</v>
      </c>
      <c r="N1128" s="24">
        <f>IF($A1128="","",WORKDAY($A1128,Settings!$C$9,HolidayDates))</f>
        <v>46185</v>
      </c>
      <c r="O1128" s="24">
        <f>IF($N1128="","",WORKDAY($N1128,Settings!$C$10,HolidayDates))</f>
        <v>46225</v>
      </c>
      <c r="P1128" s="10" t="s">
        <v>501</v>
      </c>
      <c r="Q1128" s="52" t="str">
        <f t="shared" si="196"/>
        <v>Collected</v>
      </c>
      <c r="R1128" s="55" t="str">
        <f t="shared" si="197"/>
        <v>2026-06</v>
      </c>
      <c r="S1128" s="55">
        <f>IF(OR($B1128="",$F1128="",$R1128=""),"",SUMIFS(tblIssues[Qty Issued],tblIssues[Staff ID],$B1128,tblIssues[Item Name],$F1128,tblIssues[Month],$R1128))</f>
        <v>5</v>
      </c>
      <c r="T1128" s="56">
        <f>IF($I1128="","",$I1128*Settings!$C$11)</f>
        <v>5</v>
      </c>
      <c r="U1128" s="57" t="str">
        <f t="shared" si="194"/>
        <v>OK</v>
      </c>
      <c r="V1128" s="55" t="str">
        <f t="shared" si="198"/>
        <v/>
      </c>
      <c r="W1128" s="55" t="str">
        <f>IF($V1128="","",IF(COUNTIF($V$5:$V1128,$V1128)=1,1,""))</f>
        <v/>
      </c>
      <c r="X1128" s="58" t="str">
        <f>IF($W1128="","",MAX($X$4:X1127)+1)</f>
        <v/>
      </c>
      <c r="Y1128" s="62"/>
      <c r="Z1128" s="62"/>
      <c r="AA1128" s="64" t="str">
        <f>IF($C1128="","",IFERROR(INDEX('Staff Directory'!$E$5:$E$594,MATCH($C1128,'Staff Directory'!$B$5:$B$594,0)),""))</f>
        <v>firstname085.lastname085@example.com</v>
      </c>
      <c r="AB1128" s="64" t="str">
        <f>IF($C1128="","",IF(ISNUMBER(SEARCH($D1128,Settings!$C$15)),"Pickup","Dispatch"))</f>
        <v>Pickup</v>
      </c>
      <c r="AC1128" s="64" t="str">
        <f t="shared" si="199"/>
        <v>Supply order ready for pickup</v>
      </c>
      <c r="AD1128" s="64" t="str">
        <f t="shared" si="190"/>
        <v>Dear PSW,
Your order is ready for pickup from Sample Branch, Wed-Fri 9am-4pm.</v>
      </c>
      <c r="AE1128" s="64" t="str">
        <f t="shared" si="191"/>
        <v>mailto:firstname085.lastname085@example.com?subject=Supply%20order%20ready%20for%20pickup&amp;body=Dear%20PSW%2C%0A%0AYour%20order%20is%20ready%20for%20pickup%20from%20Sample%20Branch%2C%20Wed-Fri%209am-4pm.</v>
      </c>
      <c r="AF1128" s="89" t="str">
        <f t="shared" si="200"/>
        <v>Draft email</v>
      </c>
      <c r="AG1128" s="64" t="str">
        <f>IF($C1128="","",IFERROR(INDEX('Staff Directory'!$K$595:$K$599,MATCH($C1128,'Staff Directory'!$B$5:$B$599,0)),$D1128))</f>
        <v>PSW</v>
      </c>
      <c r="AH1128" t="str">
        <f>IF($C1128="","",IFERROR(INDEX('Staff Directory'!$I$595:$I$599,MATCH($C1128,'Staff Directory'!$B$5:$B$599,0))&amp;" "&amp;INDEX('Staff Directory'!$J$595:$J$599,MATCH($C1128,'Staff Directory'!$B$5:$B$599,0)),$AG1128))</f>
        <v>PSW</v>
      </c>
      <c r="AI1128" s="102"/>
      <c r="AJ1128" s="101">
        <f>IF($F1128="","",SUMIFS($J$5:$J1128,$F$5:$F1128,$F1128))</f>
        <v>145</v>
      </c>
      <c r="AK1128" s="101">
        <f t="shared" si="192"/>
        <v>141</v>
      </c>
      <c r="AL1128" s="66" t="str" cm="1">
        <f t="array" ref="AL1128">IF($F1128="","",IFERROR(INDEX('Lot Balance'!$B$5:$B$500,MATCH(1,INDEX(('Lot Balance'!$A$5:$A$500=$F1128)*('Lot Balance'!$K$5:$K$500&lt;$AK1128)*('Lot Balance'!$K$5:$K$500+'Lot Balance'!$D$5:$D$500&gt;=$AK1128),0),0)),""))</f>
        <v>YG500280</v>
      </c>
      <c r="AM1128" s="66" t="str" cm="1">
        <f t="array" ref="AM1128">IF($F1128="","",IFERROR(INDEX('Lot Balance'!$B$5:$B$500,MATCH(1,INDEX(('Lot Balance'!$A$5:$A$500=$F1128)*('Lot Balance'!$K$5:$K$500&lt;$AJ1128)*('Lot Balance'!$K$5:$K$500+'Lot Balance'!$D$5:$D$500&gt;=$AJ1128),0),0)),""))</f>
        <v>YG500280</v>
      </c>
      <c r="AN1128" s="66" t="str">
        <f>IF($F1128="","",IF($AI1128&lt;&gt;"",IF(COUNTIFS('Lot Balance'!$A$5:$A$500,$F1128,'Lot Balance'!$B$5:$B$500,$AI1128)=0,"⚠ override is not a lot of this item",IF($AI1128=$AL1128,"Override = FEFO","Override - FEFO says "&amp;$AL1128)),IF($AL1128="","⚠ no receipt on file for this item",IF($AM1128&lt;&gt;$AL1128,"FEFO auto - split, also "&amp;$AM1128,"FEFO auto"))))</f>
        <v>FEFO auto</v>
      </c>
      <c r="AO1128" s="114"/>
    </row>
    <row r="1129" spans="1:41" x14ac:dyDescent="0.35">
      <c r="A1129" s="74">
        <v>46177</v>
      </c>
      <c r="B1129" s="18" t="str">
        <f>IF($C1129="","",IFERROR(INDEX('Staff Directory'!$A$5:$A$594,MATCH($C1129,'Staff Directory'!$B$5:$B$594,0)),"⚠ unknown staff"))</f>
        <v>RN-028-A1</v>
      </c>
      <c r="C1129" s="49" t="s">
        <v>948</v>
      </c>
      <c r="D1129" s="19" t="str">
        <f>IF($B1129="","",IFERROR(INDEX('Staff Directory'!$C$5:$C$594,MATCH($B1129,'Staff Directory'!$A$5:$A$594,0)),""))</f>
        <v>RN</v>
      </c>
      <c r="E1129" s="19" t="str">
        <f>IF($B1129="","",IFERROR(INDEX('Staff Directory'!$D$5:$D$594,MATCH($B1129,'Staff Directory'!$A$5:$A$594,0)),""))</f>
        <v>A1</v>
      </c>
      <c r="F1129" s="9" t="s">
        <v>124</v>
      </c>
      <c r="G1129" s="18" t="str">
        <f>IF($F1129="","",IFERROR(INDEX(Items!$B$5:$B$597,MATCH($F1129,Items!$A$5:$A$597,0)),"⚠ not in Items"))</f>
        <v>Gloves</v>
      </c>
      <c r="H1129" s="19" t="str">
        <f>IF($F1129="","",IFERROR(INDEX(Items!$C$5:$C$597,MATCH($F1129,Items!$A$5:$A$597,0)),""))</f>
        <v>Large</v>
      </c>
      <c r="I1129" s="23">
        <f>IF($F1129="","",IFERROR(INDEX(Items!$E$5:$E$597,MATCH($F1129,Items!$A$5:$A$597,0)),""))</f>
        <v>500</v>
      </c>
      <c r="J1129" s="115">
        <f>IF(tblIssues[[#This Row],[Qty Override]]&lt;&gt;"",tblIssues[[#This Row],[Qty Override]],IF(tblIssues[[#This Row],[Standard Issue]]="","",tblIssues[[#This Row],[Standard Issue]]))</f>
        <v>500</v>
      </c>
      <c r="K1129" s="20">
        <f>IF($F1129="","",IFERROR(INDEX(Items!$D$5:$D$597,MATCH($F1129,Items!$A$5:$A$597,0)),""))</f>
        <v>5.5E-2</v>
      </c>
      <c r="L1129" s="21">
        <f t="shared" si="195"/>
        <v>27.5</v>
      </c>
      <c r="M1129" s="9" t="str">
        <f t="shared" si="193"/>
        <v>ZIM511139904-2</v>
      </c>
      <c r="N1129" s="24">
        <f>IF($A1129="","",WORKDAY($A1129,Settings!$C$9,HolidayDates))</f>
        <v>46185</v>
      </c>
      <c r="O1129" s="24">
        <f>IF($N1129="","",WORKDAY($N1129,Settings!$C$10,HolidayDates))</f>
        <v>46225</v>
      </c>
      <c r="P1129" s="10" t="s">
        <v>502</v>
      </c>
      <c r="Q1129" s="52" t="str">
        <f t="shared" si="196"/>
        <v>Collected</v>
      </c>
      <c r="R1129" s="55" t="str">
        <f t="shared" si="197"/>
        <v>2026-06</v>
      </c>
      <c r="S1129" s="55">
        <f>IF(OR($B1129="",$F1129="",$R1129=""),"",SUMIFS(tblIssues[Qty Issued],tblIssues[Staff ID],$B1129,tblIssues[Item Name],$F1129,tblIssues[Month],$R1129))</f>
        <v>500</v>
      </c>
      <c r="T1129" s="56">
        <f>IF($I1129="","",$I1129*Settings!$C$11)</f>
        <v>500</v>
      </c>
      <c r="U1129" s="57" t="str">
        <f t="shared" si="194"/>
        <v>OK</v>
      </c>
      <c r="V1129" s="55" t="str">
        <f t="shared" si="198"/>
        <v/>
      </c>
      <c r="W1129" s="55" t="str">
        <f>IF($V1129="","",IF(COUNTIF($V$5:$V1129,$V1129)=1,1,""))</f>
        <v/>
      </c>
      <c r="X1129" s="58" t="str">
        <f>IF($W1129="","",MAX($X$4:X1128)+1)</f>
        <v/>
      </c>
      <c r="Y1129" s="62"/>
      <c r="Z1129" s="62"/>
      <c r="AA1129" s="64" t="str">
        <f>IF($C1129="","",IFERROR(INDEX('Staff Directory'!$E$5:$E$594,MATCH($C1129,'Staff Directory'!$B$5:$B$594,0)),""))</f>
        <v>firstname032.lastname032@example.com</v>
      </c>
      <c r="AB1129" s="64" t="str">
        <f>IF($C1129="","",IF(ISNUMBER(SEARCH($D1129,Settings!$C$15)),"Pickup","Dispatch"))</f>
        <v>Dispatch</v>
      </c>
      <c r="AC1129" s="64" t="str">
        <f t="shared" si="199"/>
        <v>Supply order dispatched</v>
      </c>
      <c r="AD1129" s="64" t="str">
        <f t="shared" si="190"/>
        <v>Dear RN,
Your order has been dispatched and is in transit. Reply if undelivered.</v>
      </c>
      <c r="AE1129" s="64" t="str">
        <f t="shared" si="191"/>
        <v>mailto:firstname032.lastname032@example.com?subject=Supply%20order%20dispatched&amp;body=Dear%20RN%2C%0A%0AYour%20order%20has%20been%20dispatched%20and%20is%20in%20transit.%20Reply%20if%20undelivered.</v>
      </c>
      <c r="AF1129" s="89" t="str">
        <f t="shared" si="200"/>
        <v>Draft email</v>
      </c>
      <c r="AG1129" s="64" t="str">
        <f>IF($C1129="","",IFERROR(INDEX('Staff Directory'!$K$595:$K$599,MATCH($C1129,'Staff Directory'!$B$5:$B$599,0)),$D1129))</f>
        <v>RN</v>
      </c>
      <c r="AH1129" t="str">
        <f>IF($C1129="","",IFERROR(INDEX('Staff Directory'!$I$595:$I$599,MATCH($C1129,'Staff Directory'!$B$5:$B$599,0))&amp;" "&amp;INDEX('Staff Directory'!$J$595:$J$599,MATCH($C1129,'Staff Directory'!$B$5:$B$599,0)),$AG1129))</f>
        <v>RN</v>
      </c>
      <c r="AI1129" s="102"/>
      <c r="AJ1129" s="101">
        <f>IF($F1129="","",SUMIFS($J$5:$J1129,$F$5:$F1129,$F1129))</f>
        <v>33000</v>
      </c>
      <c r="AK1129" s="101">
        <f t="shared" si="192"/>
        <v>32501</v>
      </c>
      <c r="AL1129" s="66" t="str" cm="1">
        <f t="array" ref="AL1129">IF($F1129="","",IFERROR(INDEX('Lot Balance'!$B$5:$B$500,MATCH(1,INDEX(('Lot Balance'!$A$5:$A$500=$F1129)*('Lot Balance'!$K$5:$K$500&lt;$AK1129)*('Lot Balance'!$K$5:$K$500+'Lot Balance'!$D$5:$D$500&gt;=$AK1129),0),0)),""))</f>
        <v>ZIM511139904-2</v>
      </c>
      <c r="AM1129" s="66" t="str" cm="1">
        <f t="array" ref="AM1129">IF($F1129="","",IFERROR(INDEX('Lot Balance'!$B$5:$B$500,MATCH(1,INDEX(('Lot Balance'!$A$5:$A$500=$F1129)*('Lot Balance'!$K$5:$K$500&lt;$AJ1129)*('Lot Balance'!$K$5:$K$500+'Lot Balance'!$D$5:$D$500&gt;=$AJ1129),0),0)),""))</f>
        <v>ZIM511139904-2</v>
      </c>
      <c r="AN1129" s="66" t="str">
        <f>IF($F1129="","",IF($AI1129&lt;&gt;"",IF(COUNTIFS('Lot Balance'!$A$5:$A$500,$F1129,'Lot Balance'!$B$5:$B$500,$AI1129)=0,"⚠ override is not a lot of this item",IF($AI1129=$AL1129,"Override = FEFO","Override - FEFO says "&amp;$AL1129)),IF($AL1129="","⚠ no receipt on file for this item",IF($AM1129&lt;&gt;$AL1129,"FEFO auto - split, also "&amp;$AM1129,"FEFO auto"))))</f>
        <v>FEFO auto</v>
      </c>
      <c r="AO1129" s="114"/>
    </row>
    <row r="1130" spans="1:41" x14ac:dyDescent="0.35">
      <c r="A1130" s="74">
        <v>46177</v>
      </c>
      <c r="B1130" s="18" t="str">
        <f>IF($C1130="","",IFERROR(INDEX('Staff Directory'!$A$5:$A$594,MATCH($C1130,'Staff Directory'!$B$5:$B$594,0)),"⚠ unknown staff"))</f>
        <v>RN-028-A1</v>
      </c>
      <c r="C1130" s="49" t="s">
        <v>948</v>
      </c>
      <c r="D1130" s="19" t="str">
        <f>IF($B1130="","",IFERROR(INDEX('Staff Directory'!$C$5:$C$594,MATCH($B1130,'Staff Directory'!$A$5:$A$594,0)),""))</f>
        <v>RN</v>
      </c>
      <c r="E1130" s="19" t="str">
        <f>IF($B1130="","",IFERROR(INDEX('Staff Directory'!$D$5:$D$594,MATCH($B1130,'Staff Directory'!$A$5:$A$594,0)),""))</f>
        <v>A1</v>
      </c>
      <c r="F1130" s="9" t="s">
        <v>191</v>
      </c>
      <c r="G1130" s="18" t="str">
        <f>IF($F1130="","",IFERROR(INDEX(Items!$B$5:$B$597,MATCH($F1130,Items!$A$5:$A$597,0)),"⚠ not in Items"))</f>
        <v>Sanitizer</v>
      </c>
      <c r="H1130" s="19" t="str">
        <f>IF($F1130="","",IFERROR(INDEX(Items!$C$5:$C$597,MATCH($F1130,Items!$A$5:$A$597,0)),""))</f>
        <v>236 ML</v>
      </c>
      <c r="I1130" s="23">
        <f>IF($F1130="","",IFERROR(INDEX(Items!$E$5:$E$597,MATCH($F1130,Items!$A$5:$A$597,0)),""))</f>
        <v>1</v>
      </c>
      <c r="J1130" s="115">
        <f>IF(tblIssues[[#This Row],[Qty Override]]&lt;&gt;"",tblIssues[[#This Row],[Qty Override]],IF(tblIssues[[#This Row],[Standard Issue]]="","",tblIssues[[#This Row],[Standard Issue]]))</f>
        <v>1</v>
      </c>
      <c r="K1130" s="20">
        <f>IF($F1130="","",IFERROR(INDEX(Items!$D$5:$D$597,MATCH($F1130,Items!$A$5:$A$597,0)),""))</f>
        <v>1E-4</v>
      </c>
      <c r="L1130" s="21">
        <f t="shared" si="195"/>
        <v>1E-4</v>
      </c>
      <c r="M1130" s="9" t="str">
        <f t="shared" si="193"/>
        <v>20-21734-4</v>
      </c>
      <c r="N1130" s="24">
        <f>IF($A1130="","",WORKDAY($A1130,Settings!$C$9,HolidayDates))</f>
        <v>46185</v>
      </c>
      <c r="O1130" s="24">
        <f>IF($N1130="","",WORKDAY($N1130,Settings!$C$10,HolidayDates))</f>
        <v>46225</v>
      </c>
      <c r="P1130" s="10" t="s">
        <v>502</v>
      </c>
      <c r="Q1130" s="52" t="str">
        <f t="shared" si="196"/>
        <v>Collected</v>
      </c>
      <c r="R1130" s="55" t="str">
        <f t="shared" si="197"/>
        <v>2026-06</v>
      </c>
      <c r="S1130" s="55">
        <f>IF(OR($B1130="",$F1130="",$R1130=""),"",SUMIFS(tblIssues[Qty Issued],tblIssues[Staff ID],$B1130,tblIssues[Item Name],$F1130,tblIssues[Month],$R1130))</f>
        <v>1</v>
      </c>
      <c r="T1130" s="56">
        <f>IF($I1130="","",$I1130*Settings!$C$11)</f>
        <v>1</v>
      </c>
      <c r="U1130" s="57" t="str">
        <f t="shared" si="194"/>
        <v>OK</v>
      </c>
      <c r="V1130" s="55" t="str">
        <f t="shared" si="198"/>
        <v/>
      </c>
      <c r="W1130" s="55" t="str">
        <f>IF($V1130="","",IF(COUNTIF($V$5:$V1130,$V1130)=1,1,""))</f>
        <v/>
      </c>
      <c r="X1130" s="58" t="str">
        <f>IF($W1130="","",MAX($X$4:X1129)+1)</f>
        <v/>
      </c>
      <c r="Y1130" s="62"/>
      <c r="Z1130" s="62"/>
      <c r="AA1130" s="64" t="str">
        <f>IF($C1130="","",IFERROR(INDEX('Staff Directory'!$E$5:$E$594,MATCH($C1130,'Staff Directory'!$B$5:$B$594,0)),""))</f>
        <v>firstname032.lastname032@example.com</v>
      </c>
      <c r="AB1130" s="64" t="str">
        <f>IF($C1130="","",IF(ISNUMBER(SEARCH($D1130,Settings!$C$15)),"Pickup","Dispatch"))</f>
        <v>Dispatch</v>
      </c>
      <c r="AC1130" s="64" t="str">
        <f t="shared" si="199"/>
        <v>Supply order dispatched</v>
      </c>
      <c r="AD1130" s="64" t="str">
        <f t="shared" si="190"/>
        <v>Dear RN,
Your order has been dispatched and is in transit. Reply if undelivered.</v>
      </c>
      <c r="AE1130" s="64" t="str">
        <f t="shared" si="191"/>
        <v>mailto:firstname032.lastname032@example.com?subject=Supply%20order%20dispatched&amp;body=Dear%20RN%2C%0A%0AYour%20order%20has%20been%20dispatched%20and%20is%20in%20transit.%20Reply%20if%20undelivered.</v>
      </c>
      <c r="AF1130" s="89" t="str">
        <f t="shared" si="200"/>
        <v>Draft email</v>
      </c>
      <c r="AG1130" s="64" t="str">
        <f>IF($C1130="","",IFERROR(INDEX('Staff Directory'!$K$595:$K$599,MATCH($C1130,'Staff Directory'!$B$5:$B$599,0)),$D1130))</f>
        <v>RN</v>
      </c>
      <c r="AH1130" t="str">
        <f>IF($C1130="","",IFERROR(INDEX('Staff Directory'!$I$595:$I$599,MATCH($C1130,'Staff Directory'!$B$5:$B$599,0))&amp;" "&amp;INDEX('Staff Directory'!$J$595:$J$599,MATCH($C1130,'Staff Directory'!$B$5:$B$599,0)),$AG1130))</f>
        <v>RN</v>
      </c>
      <c r="AI1130" s="102"/>
      <c r="AJ1130" s="101">
        <f>IF($F1130="","",SUMIFS($J$5:$J1130,$F$5:$F1130,$F1130))</f>
        <v>137</v>
      </c>
      <c r="AK1130" s="101">
        <f t="shared" si="192"/>
        <v>137</v>
      </c>
      <c r="AL1130" s="66" t="str" cm="1">
        <f t="array" ref="AL1130">IF($F1130="","",IFERROR(INDEX('Lot Balance'!$B$5:$B$500,MATCH(1,INDEX(('Lot Balance'!$A$5:$A$500=$F1130)*('Lot Balance'!$K$5:$K$500&lt;$AK1130)*('Lot Balance'!$K$5:$K$500+'Lot Balance'!$D$5:$D$500&gt;=$AK1130),0),0)),""))</f>
        <v>20-21734-4</v>
      </c>
      <c r="AM1130" s="66" t="str" cm="1">
        <f t="array" ref="AM1130">IF($F1130="","",IFERROR(INDEX('Lot Balance'!$B$5:$B$500,MATCH(1,INDEX(('Lot Balance'!$A$5:$A$500=$F1130)*('Lot Balance'!$K$5:$K$500&lt;$AJ1130)*('Lot Balance'!$K$5:$K$500+'Lot Balance'!$D$5:$D$500&gt;=$AJ1130),0),0)),""))</f>
        <v>20-21734-4</v>
      </c>
      <c r="AN1130" s="66" t="str">
        <f>IF($F1130="","",IF($AI1130&lt;&gt;"",IF(COUNTIFS('Lot Balance'!$A$5:$A$500,$F1130,'Lot Balance'!$B$5:$B$500,$AI1130)=0,"⚠ override is not a lot of this item",IF($AI1130=$AL1130,"Override = FEFO","Override - FEFO says "&amp;$AL1130)),IF($AL1130="","⚠ no receipt on file for this item",IF($AM1130&lt;&gt;$AL1130,"FEFO auto - split, also "&amp;$AM1130,"FEFO auto"))))</f>
        <v>FEFO auto</v>
      </c>
      <c r="AO1130" s="114"/>
    </row>
    <row r="1131" spans="1:41" x14ac:dyDescent="0.35">
      <c r="A1131" s="74">
        <v>46177</v>
      </c>
      <c r="B1131" s="18" t="str">
        <f>IF($C1131="","",IFERROR(INDEX('Staff Directory'!$A$5:$A$594,MATCH($C1131,'Staff Directory'!$B$5:$B$594,0)),"⚠ unknown staff"))</f>
        <v>RN-028-A1</v>
      </c>
      <c r="C1131" s="49" t="s">
        <v>948</v>
      </c>
      <c r="D1131" s="19" t="str">
        <f>IF($B1131="","",IFERROR(INDEX('Staff Directory'!$C$5:$C$594,MATCH($B1131,'Staff Directory'!$A$5:$A$594,0)),""))</f>
        <v>RN</v>
      </c>
      <c r="E1131" s="19" t="str">
        <f>IF($B1131="","",IFERROR(INDEX('Staff Directory'!$D$5:$D$594,MATCH($B1131,'Staff Directory'!$A$5:$A$594,0)),""))</f>
        <v>A1</v>
      </c>
      <c r="F1131" s="9" t="s">
        <v>115</v>
      </c>
      <c r="G1131" s="18" t="str">
        <f>IF($F1131="","",IFERROR(INDEX(Items!$B$5:$B$597,MATCH($F1131,Items!$A$5:$A$597,0)),"⚠ not in Items"))</f>
        <v>Wipes</v>
      </c>
      <c r="H1131" s="19">
        <f>IF($F1131="","",IFERROR(INDEX(Items!$C$5:$C$597,MATCH($F1131,Items!$A$5:$A$597,0)),""))</f>
        <v>80</v>
      </c>
      <c r="I1131" s="23">
        <f>IF($F1131="","",IFERROR(INDEX(Items!$E$5:$E$597,MATCH($F1131,Items!$A$5:$A$597,0)),""))</f>
        <v>80</v>
      </c>
      <c r="J1131" s="115">
        <f>IF(tblIssues[[#This Row],[Qty Override]]&lt;&gt;"",tblIssues[[#This Row],[Qty Override]],IF(tblIssues[[#This Row],[Standard Issue]]="","",tblIssues[[#This Row],[Standard Issue]]))</f>
        <v>80</v>
      </c>
      <c r="K1131" s="20">
        <f>IF($F1131="","",IFERROR(INDEX(Items!$D$5:$D$597,MATCH($F1131,Items!$A$5:$A$597,0)),""))</f>
        <v>0.1</v>
      </c>
      <c r="L1131" s="21">
        <f t="shared" si="195"/>
        <v>8</v>
      </c>
      <c r="M1131" s="9" t="str">
        <f t="shared" si="193"/>
        <v>LYSL500290</v>
      </c>
      <c r="N1131" s="24">
        <f>IF($A1131="","",WORKDAY($A1131,Settings!$C$9,HolidayDates))</f>
        <v>46185</v>
      </c>
      <c r="O1131" s="24">
        <f>IF($N1131="","",WORKDAY($N1131,Settings!$C$10,HolidayDates))</f>
        <v>46225</v>
      </c>
      <c r="P1131" s="10" t="s">
        <v>502</v>
      </c>
      <c r="Q1131" s="52" t="str">
        <f t="shared" si="196"/>
        <v>Collected</v>
      </c>
      <c r="R1131" s="55" t="str">
        <f t="shared" si="197"/>
        <v>2026-06</v>
      </c>
      <c r="S1131" s="55">
        <f>IF(OR($B1131="",$F1131="",$R1131=""),"",SUMIFS(tblIssues[Qty Issued],tblIssues[Staff ID],$B1131,tblIssues[Item Name],$F1131,tblIssues[Month],$R1131))</f>
        <v>80</v>
      </c>
      <c r="T1131" s="56">
        <f>IF($I1131="","",$I1131*Settings!$C$11)</f>
        <v>80</v>
      </c>
      <c r="U1131" s="57" t="str">
        <f t="shared" si="194"/>
        <v>OK</v>
      </c>
      <c r="V1131" s="55" t="str">
        <f t="shared" si="198"/>
        <v/>
      </c>
      <c r="W1131" s="55" t="str">
        <f>IF($V1131="","",IF(COUNTIF($V$5:$V1131,$V1131)=1,1,""))</f>
        <v/>
      </c>
      <c r="X1131" s="58" t="str">
        <f>IF($W1131="","",MAX($X$4:X1130)+1)</f>
        <v/>
      </c>
      <c r="Y1131" s="62"/>
      <c r="Z1131" s="62"/>
      <c r="AA1131" s="64" t="str">
        <f>IF($C1131="","",IFERROR(INDEX('Staff Directory'!$E$5:$E$594,MATCH($C1131,'Staff Directory'!$B$5:$B$594,0)),""))</f>
        <v>firstname032.lastname032@example.com</v>
      </c>
      <c r="AB1131" s="64" t="str">
        <f>IF($C1131="","",IF(ISNUMBER(SEARCH($D1131,Settings!$C$15)),"Pickup","Dispatch"))</f>
        <v>Dispatch</v>
      </c>
      <c r="AC1131" s="64" t="str">
        <f t="shared" si="199"/>
        <v>Supply order dispatched</v>
      </c>
      <c r="AD1131" s="64" t="str">
        <f t="shared" si="190"/>
        <v>Dear RN,
Your order has been dispatched and is in transit. Reply if undelivered.</v>
      </c>
      <c r="AE1131" s="64" t="str">
        <f t="shared" si="191"/>
        <v>mailto:firstname032.lastname032@example.com?subject=Supply%20order%20dispatched&amp;body=Dear%20RN%2C%0A%0AYour%20order%20has%20been%20dispatched%20and%20is%20in%20transit.%20Reply%20if%20undelivered.</v>
      </c>
      <c r="AF1131" s="89" t="str">
        <f t="shared" si="200"/>
        <v>Draft email</v>
      </c>
      <c r="AG1131" s="64" t="str">
        <f>IF($C1131="","",IFERROR(INDEX('Staff Directory'!$K$595:$K$599,MATCH($C1131,'Staff Directory'!$B$5:$B$599,0)),$D1131))</f>
        <v>RN</v>
      </c>
      <c r="AH1131" t="str">
        <f>IF($C1131="","",IFERROR(INDEX('Staff Directory'!$I$595:$I$599,MATCH($C1131,'Staff Directory'!$B$5:$B$599,0))&amp;" "&amp;INDEX('Staff Directory'!$J$595:$J$599,MATCH($C1131,'Staff Directory'!$B$5:$B$599,0)),$AG1131))</f>
        <v>RN</v>
      </c>
      <c r="AI1131" s="102"/>
      <c r="AJ1131" s="101">
        <f>IF($F1131="","",SUMIFS($J$5:$J1131,$F$5:$F1131,$F1131))</f>
        <v>15280</v>
      </c>
      <c r="AK1131" s="101">
        <f t="shared" si="192"/>
        <v>15201</v>
      </c>
      <c r="AL1131" s="66" t="str" cm="1">
        <f t="array" ref="AL1131">IF($F1131="","",IFERROR(INDEX('Lot Balance'!$B$5:$B$500,MATCH(1,INDEX(('Lot Balance'!$A$5:$A$500=$F1131)*('Lot Balance'!$K$5:$K$500&lt;$AK1131)*('Lot Balance'!$K$5:$K$500+'Lot Balance'!$D$5:$D$500&gt;=$AK1131),0),0)),""))</f>
        <v>LYSL500290</v>
      </c>
      <c r="AM1131" s="66" t="str" cm="1">
        <f t="array" ref="AM1131">IF($F1131="","",IFERROR(INDEX('Lot Balance'!$B$5:$B$500,MATCH(1,INDEX(('Lot Balance'!$A$5:$A$500=$F1131)*('Lot Balance'!$K$5:$K$500&lt;$AJ1131)*('Lot Balance'!$K$5:$K$500+'Lot Balance'!$D$5:$D$500&gt;=$AJ1131),0),0)),""))</f>
        <v>LYSL500290</v>
      </c>
      <c r="AN1131" s="66" t="str">
        <f>IF($F1131="","",IF($AI1131&lt;&gt;"",IF(COUNTIFS('Lot Balance'!$A$5:$A$500,$F1131,'Lot Balance'!$B$5:$B$500,$AI1131)=0,"⚠ override is not a lot of this item",IF($AI1131=$AL1131,"Override = FEFO","Override - FEFO says "&amp;$AL1131)),IF($AL1131="","⚠ no receipt on file for this item",IF($AM1131&lt;&gt;$AL1131,"FEFO auto - split, also "&amp;$AM1131,"FEFO auto"))))</f>
        <v>FEFO auto</v>
      </c>
      <c r="AO1131" s="114"/>
    </row>
    <row r="1132" spans="1:41" x14ac:dyDescent="0.35">
      <c r="A1132" s="74">
        <v>46177</v>
      </c>
      <c r="B1132" s="18" t="str">
        <f>IF($C1132="","",IFERROR(INDEX('Staff Directory'!$A$5:$A$594,MATCH($C1132,'Staff Directory'!$B$5:$B$594,0)),"⚠ unknown staff"))</f>
        <v>RN-028-A1</v>
      </c>
      <c r="C1132" s="49" t="s">
        <v>948</v>
      </c>
      <c r="D1132" s="19" t="str">
        <f>IF($B1132="","",IFERROR(INDEX('Staff Directory'!$C$5:$C$594,MATCH($B1132,'Staff Directory'!$A$5:$A$594,0)),""))</f>
        <v>RN</v>
      </c>
      <c r="E1132" s="19" t="str">
        <f>IF($B1132="","",IFERROR(INDEX('Staff Directory'!$D$5:$D$594,MATCH($B1132,'Staff Directory'!$A$5:$A$594,0)),""))</f>
        <v>A1</v>
      </c>
      <c r="F1132" s="9" t="s">
        <v>156</v>
      </c>
      <c r="G1132" s="18" t="str">
        <f>IF($F1132="","",IFERROR(INDEX(Items!$B$5:$B$597,MATCH($F1132,Items!$A$5:$A$597,0)),"⚠ not in Items"))</f>
        <v>Masks</v>
      </c>
      <c r="H1132" s="19" t="str">
        <f>IF($F1132="","",IFERROR(INDEX(Items!$C$5:$C$597,MATCH($F1132,Items!$A$5:$A$597,0)),""))</f>
        <v>One Size</v>
      </c>
      <c r="I1132" s="23">
        <f>IF($F1132="","",IFERROR(INDEX(Items!$E$5:$E$597,MATCH($F1132,Items!$A$5:$A$597,0)),""))</f>
        <v>50</v>
      </c>
      <c r="J1132" s="115">
        <f>IF(tblIssues[[#This Row],[Qty Override]]&lt;&gt;"",tblIssues[[#This Row],[Qty Override]],IF(tblIssues[[#This Row],[Standard Issue]]="","",tblIssues[[#This Row],[Standard Issue]]))</f>
        <v>50</v>
      </c>
      <c r="K1132" s="20">
        <f>IF($F1132="","",IFERROR(INDEX(Items!$D$5:$D$597,MATCH($F1132,Items!$A$5:$A$597,0)),""))</f>
        <v>0.25</v>
      </c>
      <c r="L1132" s="21">
        <f t="shared" si="195"/>
        <v>12.5</v>
      </c>
      <c r="M1132" s="9" t="str">
        <f t="shared" si="193"/>
        <v>102GPC24</v>
      </c>
      <c r="N1132" s="24">
        <f>IF($A1132="","",WORKDAY($A1132,Settings!$C$9,HolidayDates))</f>
        <v>46185</v>
      </c>
      <c r="O1132" s="24">
        <f>IF($N1132="","",WORKDAY($N1132,Settings!$C$10,HolidayDates))</f>
        <v>46225</v>
      </c>
      <c r="P1132" s="10" t="s">
        <v>502</v>
      </c>
      <c r="Q1132" s="52" t="str">
        <f t="shared" si="196"/>
        <v>Collected</v>
      </c>
      <c r="R1132" s="55" t="str">
        <f t="shared" si="197"/>
        <v>2026-06</v>
      </c>
      <c r="S1132" s="55">
        <f>IF(OR($B1132="",$F1132="",$R1132=""),"",SUMIFS(tblIssues[Qty Issued],tblIssues[Staff ID],$B1132,tblIssues[Item Name],$F1132,tblIssues[Month],$R1132))</f>
        <v>50</v>
      </c>
      <c r="T1132" s="56">
        <f>IF($I1132="","",$I1132*Settings!$C$11)</f>
        <v>50</v>
      </c>
      <c r="U1132" s="57" t="str">
        <f t="shared" si="194"/>
        <v>OK</v>
      </c>
      <c r="V1132" s="55" t="str">
        <f t="shared" si="198"/>
        <v/>
      </c>
      <c r="W1132" s="55" t="str">
        <f>IF($V1132="","",IF(COUNTIF($V$5:$V1132,$V1132)=1,1,""))</f>
        <v/>
      </c>
      <c r="X1132" s="58" t="str">
        <f>IF($W1132="","",MAX($X$4:X1131)+1)</f>
        <v/>
      </c>
      <c r="Y1132" s="62"/>
      <c r="Z1132" s="62"/>
      <c r="AA1132" s="64" t="str">
        <f>IF($C1132="","",IFERROR(INDEX('Staff Directory'!$E$5:$E$594,MATCH($C1132,'Staff Directory'!$B$5:$B$594,0)),""))</f>
        <v>firstname032.lastname032@example.com</v>
      </c>
      <c r="AB1132" s="64" t="str">
        <f>IF($C1132="","",IF(ISNUMBER(SEARCH($D1132,Settings!$C$15)),"Pickup","Dispatch"))</f>
        <v>Dispatch</v>
      </c>
      <c r="AC1132" s="64" t="str">
        <f t="shared" si="199"/>
        <v>Supply order dispatched</v>
      </c>
      <c r="AD1132" s="64" t="str">
        <f t="shared" si="190"/>
        <v>Dear RN,
Your order has been dispatched and is in transit. Reply if undelivered.</v>
      </c>
      <c r="AE1132" s="64" t="str">
        <f t="shared" si="191"/>
        <v>mailto:firstname032.lastname032@example.com?subject=Supply%20order%20dispatched&amp;body=Dear%20RN%2C%0A%0AYour%20order%20has%20been%20dispatched%20and%20is%20in%20transit.%20Reply%20if%20undelivered.</v>
      </c>
      <c r="AF1132" s="89" t="str">
        <f t="shared" si="200"/>
        <v>Draft email</v>
      </c>
      <c r="AG1132" s="64" t="str">
        <f>IF($C1132="","",IFERROR(INDEX('Staff Directory'!$K$595:$K$599,MATCH($C1132,'Staff Directory'!$B$5:$B$599,0)),$D1132))</f>
        <v>RN</v>
      </c>
      <c r="AH1132" t="str">
        <f>IF($C1132="","",IFERROR(INDEX('Staff Directory'!$I$595:$I$599,MATCH($C1132,'Staff Directory'!$B$5:$B$599,0))&amp;" "&amp;INDEX('Staff Directory'!$J$595:$J$599,MATCH($C1132,'Staff Directory'!$B$5:$B$599,0)),$AG1132))</f>
        <v>RN</v>
      </c>
      <c r="AI1132" s="102"/>
      <c r="AJ1132" s="101">
        <f>IF($F1132="","",SUMIFS($J$5:$J1132,$F$5:$F1132,$F1132))</f>
        <v>9350</v>
      </c>
      <c r="AK1132" s="101">
        <f t="shared" si="192"/>
        <v>9301</v>
      </c>
      <c r="AL1132" s="66" t="str" cm="1">
        <f t="array" ref="AL1132">IF($F1132="","",IFERROR(INDEX('Lot Balance'!$B$5:$B$500,MATCH(1,INDEX(('Lot Balance'!$A$5:$A$500=$F1132)*('Lot Balance'!$K$5:$K$500&lt;$AK1132)*('Lot Balance'!$K$5:$K$500+'Lot Balance'!$D$5:$D$500&gt;=$AK1132),0),0)),""))</f>
        <v>102GPC24</v>
      </c>
      <c r="AM1132" s="66" t="str" cm="1">
        <f t="array" ref="AM1132">IF($F1132="","",IFERROR(INDEX('Lot Balance'!$B$5:$B$500,MATCH(1,INDEX(('Lot Balance'!$A$5:$A$500=$F1132)*('Lot Balance'!$K$5:$K$500&lt;$AJ1132)*('Lot Balance'!$K$5:$K$500+'Lot Balance'!$D$5:$D$500&gt;=$AJ1132),0),0)),""))</f>
        <v>102GPC24</v>
      </c>
      <c r="AN1132" s="66" t="str">
        <f>IF($F1132="","",IF($AI1132&lt;&gt;"",IF(COUNTIFS('Lot Balance'!$A$5:$A$500,$F1132,'Lot Balance'!$B$5:$B$500,$AI1132)=0,"⚠ override is not a lot of this item",IF($AI1132=$AL1132,"Override = FEFO","Override - FEFO says "&amp;$AL1132)),IF($AL1132="","⚠ no receipt on file for this item",IF($AM1132&lt;&gt;$AL1132,"FEFO auto - split, also "&amp;$AM1132,"FEFO auto"))))</f>
        <v>FEFO auto</v>
      </c>
      <c r="AO1132" s="114"/>
    </row>
    <row r="1133" spans="1:41" x14ac:dyDescent="0.35">
      <c r="A1133" s="74">
        <v>46177</v>
      </c>
      <c r="B1133" s="18" t="str">
        <f>IF($C1133="","",IFERROR(INDEX('Staff Directory'!$A$5:$A$594,MATCH($C1133,'Staff Directory'!$B$5:$B$594,0)),"⚠ unknown staff"))</f>
        <v>RN-028-A1</v>
      </c>
      <c r="C1133" s="49" t="s">
        <v>948</v>
      </c>
      <c r="D1133" s="19" t="str">
        <f>IF($B1133="","",IFERROR(INDEX('Staff Directory'!$C$5:$C$594,MATCH($B1133,'Staff Directory'!$A$5:$A$594,0)),""))</f>
        <v>RN</v>
      </c>
      <c r="E1133" s="19" t="str">
        <f>IF($B1133="","",IFERROR(INDEX('Staff Directory'!$D$5:$D$594,MATCH($B1133,'Staff Directory'!$A$5:$A$594,0)),""))</f>
        <v>A1</v>
      </c>
      <c r="F1133" s="9" t="s">
        <v>757</v>
      </c>
      <c r="G1133" s="18" t="str">
        <f>IF($F1133="","",IFERROR(INDEX(Items!$B$5:$B$597,MATCH($F1133,Items!$A$5:$A$597,0)),"⚠ not in Items"))</f>
        <v>Documents</v>
      </c>
      <c r="H1133" s="19" t="str">
        <f>IF($F1133="","",IFERROR(INDEX(Items!$C$5:$C$597,MATCH($F1133,Items!$A$5:$A$597,0)),""))</f>
        <v>Standard</v>
      </c>
      <c r="I1133" s="23">
        <f>IF($F1133="","",IFERROR(INDEX(Items!$E$5:$E$597,MATCH($F1133,Items!$A$5:$A$597,0)),""))</f>
        <v>10</v>
      </c>
      <c r="J1133" s="115">
        <f>IF(tblIssues[[#This Row],[Qty Override]]&lt;&gt;"",tblIssues[[#This Row],[Qty Override]],IF(tblIssues[[#This Row],[Standard Issue]]="","",tblIssues[[#This Row],[Standard Issue]]))</f>
        <v>10</v>
      </c>
      <c r="K1133" s="20">
        <f>IF($F1133="","",IFERROR(INDEX(Items!$D$5:$D$597,MATCH($F1133,Items!$A$5:$A$597,0)),""))</f>
        <v>0</v>
      </c>
      <c r="L1133" s="21">
        <f t="shared" si="195"/>
        <v>0</v>
      </c>
      <c r="M1133" s="9" t="str">
        <f t="shared" si="193"/>
        <v/>
      </c>
      <c r="N1133" s="24">
        <f>IF($A1133="","",WORKDAY($A1133,Settings!$C$9,HolidayDates))</f>
        <v>46185</v>
      </c>
      <c r="O1133" s="24">
        <f>IF($N1133="","",WORKDAY($N1133,Settings!$C$10,HolidayDates))</f>
        <v>46225</v>
      </c>
      <c r="P1133" s="10" t="s">
        <v>502</v>
      </c>
      <c r="Q1133" s="52" t="str">
        <f t="shared" si="196"/>
        <v>Collected</v>
      </c>
      <c r="R1133" s="55" t="str">
        <f t="shared" si="197"/>
        <v>2026-06</v>
      </c>
      <c r="S1133" s="55">
        <f>IF(OR($B1133="",$F1133="",$R1133=""),"",SUMIFS(tblIssues[Qty Issued],tblIssues[Staff ID],$B1133,tblIssues[Item Name],$F1133,tblIssues[Month],$R1133))</f>
        <v>20</v>
      </c>
      <c r="T1133" s="56">
        <f>IF($I1133="","",$I1133*Settings!$C$11)</f>
        <v>10</v>
      </c>
      <c r="U1133" s="57" t="str">
        <f t="shared" si="194"/>
        <v>⚠ OVER QUOTA</v>
      </c>
      <c r="V1133" s="55" t="str">
        <f t="shared" si="198"/>
        <v>RN-028-A1 | Sample Org CONNECT Welcome Package RN | 2026-06</v>
      </c>
      <c r="W1133" s="55">
        <f>IF($V1133="","",IF(COUNTIF($V$5:$V1133,$V1133)=1,1,""))</f>
        <v>1</v>
      </c>
      <c r="X1133" s="58">
        <f>IF($W1133="","",MAX($X$4:X1132)+1)</f>
        <v>31</v>
      </c>
      <c r="Y1133" s="62"/>
      <c r="Z1133" s="62"/>
      <c r="AA1133" s="64" t="str">
        <f>IF($C1133="","",IFERROR(INDEX('Staff Directory'!$E$5:$E$594,MATCH($C1133,'Staff Directory'!$B$5:$B$594,0)),""))</f>
        <v>firstname032.lastname032@example.com</v>
      </c>
      <c r="AB1133" s="64" t="str">
        <f>IF($C1133="","",IF(ISNUMBER(SEARCH($D1133,Settings!$C$15)),"Pickup","Dispatch"))</f>
        <v>Dispatch</v>
      </c>
      <c r="AC1133" s="64" t="str">
        <f t="shared" si="199"/>
        <v>Supply order dispatched</v>
      </c>
      <c r="AD1133" s="64" t="str">
        <f t="shared" si="190"/>
        <v>Dear RN,
Your order has been dispatched and is in transit. Reply if undelivered.</v>
      </c>
      <c r="AE1133" s="64" t="str">
        <f t="shared" si="191"/>
        <v>mailto:firstname032.lastname032@example.com?subject=Supply%20order%20dispatched&amp;body=Dear%20RN%2C%0A%0AYour%20order%20has%20been%20dispatched%20and%20is%20in%20transit.%20Reply%20if%20undelivered.</v>
      </c>
      <c r="AF1133" s="89" t="str">
        <f t="shared" si="200"/>
        <v>Draft email</v>
      </c>
      <c r="AG1133" s="64" t="str">
        <f>IF($C1133="","",IFERROR(INDEX('Staff Directory'!$K$595:$K$599,MATCH($C1133,'Staff Directory'!$B$5:$B$599,0)),$D1133))</f>
        <v>RN</v>
      </c>
      <c r="AH1133" t="str">
        <f>IF($C1133="","",IFERROR(INDEX('Staff Directory'!$I$595:$I$599,MATCH($C1133,'Staff Directory'!$B$5:$B$599,0))&amp;" "&amp;INDEX('Staff Directory'!$J$595:$J$599,MATCH($C1133,'Staff Directory'!$B$5:$B$599,0)),$AG1133))</f>
        <v>RN</v>
      </c>
      <c r="AI1133" s="102"/>
      <c r="AJ1133" s="101">
        <f>IF($F1133="","",SUMIFS($J$5:$J1133,$F$5:$F1133,$F1133))</f>
        <v>550</v>
      </c>
      <c r="AK1133" s="101">
        <f t="shared" si="192"/>
        <v>541</v>
      </c>
      <c r="AL1133" s="66" t="str" cm="1">
        <f t="array" ref="AL1133">IF($F1133="","",IFERROR(INDEX('Lot Balance'!$B$5:$B$500,MATCH(1,INDEX(('Lot Balance'!$A$5:$A$500=$F1133)*('Lot Balance'!$K$5:$K$500&lt;$AK1133)*('Lot Balance'!$K$5:$K$500+'Lot Balance'!$D$5:$D$500&gt;=$AK1133),0),0)),""))</f>
        <v/>
      </c>
      <c r="AM1133" s="66" t="str" cm="1">
        <f t="array" ref="AM1133">IF($F1133="","",IFERROR(INDEX('Lot Balance'!$B$5:$B$500,MATCH(1,INDEX(('Lot Balance'!$A$5:$A$500=$F1133)*('Lot Balance'!$K$5:$K$500&lt;$AJ1133)*('Lot Balance'!$K$5:$K$500+'Lot Balance'!$D$5:$D$500&gt;=$AJ1133),0),0)),""))</f>
        <v/>
      </c>
      <c r="AN1133" s="66" t="str">
        <f>IF($F1133="","",IF($AI1133&lt;&gt;"",IF(COUNTIFS('Lot Balance'!$A$5:$A$500,$F1133,'Lot Balance'!$B$5:$B$500,$AI1133)=0,"⚠ override is not a lot of this item",IF($AI1133=$AL1133,"Override = FEFO","Override - FEFO says "&amp;$AL1133)),IF($AL1133="","⚠ no receipt on file for this item",IF($AM1133&lt;&gt;$AL1133,"FEFO auto - split, also "&amp;$AM1133,"FEFO auto"))))</f>
        <v>⚠ no receipt on file for this item</v>
      </c>
      <c r="AO1133" s="114"/>
    </row>
    <row r="1134" spans="1:41" x14ac:dyDescent="0.35">
      <c r="A1134" s="74">
        <v>46177</v>
      </c>
      <c r="B1134" s="18" t="str">
        <f>IF($C1134="","",IFERROR(INDEX('Staff Directory'!$A$5:$A$594,MATCH($C1134,'Staff Directory'!$B$5:$B$594,0)),"⚠ unknown staff"))</f>
        <v>RN-028-A1</v>
      </c>
      <c r="C1134" s="49" t="s">
        <v>948</v>
      </c>
      <c r="D1134" s="19" t="str">
        <f>IF($B1134="","",IFERROR(INDEX('Staff Directory'!$C$5:$C$594,MATCH($B1134,'Staff Directory'!$A$5:$A$594,0)),""))</f>
        <v>RN</v>
      </c>
      <c r="E1134" s="19" t="str">
        <f>IF($B1134="","",IFERROR(INDEX('Staff Directory'!$D$5:$D$594,MATCH($B1134,'Staff Directory'!$A$5:$A$594,0)),""))</f>
        <v>A1</v>
      </c>
      <c r="F1134" s="9" t="s">
        <v>757</v>
      </c>
      <c r="G1134" s="18" t="str">
        <f>IF($F1134="","",IFERROR(INDEX(Items!$B$5:$B$597,MATCH($F1134,Items!$A$5:$A$597,0)),"⚠ not in Items"))</f>
        <v>Documents</v>
      </c>
      <c r="H1134" s="19" t="str">
        <f>IF($F1134="","",IFERROR(INDEX(Items!$C$5:$C$597,MATCH($F1134,Items!$A$5:$A$597,0)),""))</f>
        <v>Standard</v>
      </c>
      <c r="I1134" s="23">
        <f>IF($F1134="","",IFERROR(INDEX(Items!$E$5:$E$597,MATCH($F1134,Items!$A$5:$A$597,0)),""))</f>
        <v>10</v>
      </c>
      <c r="J1134" s="115">
        <f>IF(tblIssues[[#This Row],[Qty Override]]&lt;&gt;"",tblIssues[[#This Row],[Qty Override]],IF(tblIssues[[#This Row],[Standard Issue]]="","",tblIssues[[#This Row],[Standard Issue]]))</f>
        <v>10</v>
      </c>
      <c r="K1134" s="20">
        <f>IF($F1134="","",IFERROR(INDEX(Items!$D$5:$D$597,MATCH($F1134,Items!$A$5:$A$597,0)),""))</f>
        <v>0</v>
      </c>
      <c r="L1134" s="21">
        <f t="shared" si="195"/>
        <v>0</v>
      </c>
      <c r="M1134" s="9" t="str">
        <f t="shared" si="193"/>
        <v/>
      </c>
      <c r="N1134" s="24">
        <f>IF($A1134="","",WORKDAY($A1134,Settings!$C$9,HolidayDates))</f>
        <v>46185</v>
      </c>
      <c r="O1134" s="24">
        <f>IF($N1134="","",WORKDAY($N1134,Settings!$C$10,HolidayDates))</f>
        <v>46225</v>
      </c>
      <c r="P1134" s="10" t="s">
        <v>502</v>
      </c>
      <c r="Q1134" s="52" t="str">
        <f t="shared" si="196"/>
        <v>Collected</v>
      </c>
      <c r="R1134" s="55" t="str">
        <f t="shared" si="197"/>
        <v>2026-06</v>
      </c>
      <c r="S1134" s="55">
        <f>IF(OR($B1134="",$F1134="",$R1134=""),"",SUMIFS(tblIssues[Qty Issued],tblIssues[Staff ID],$B1134,tblIssues[Item Name],$F1134,tblIssues[Month],$R1134))</f>
        <v>20</v>
      </c>
      <c r="T1134" s="56">
        <f>IF($I1134="","",$I1134*Settings!$C$11)</f>
        <v>10</v>
      </c>
      <c r="U1134" s="57" t="str">
        <f t="shared" si="194"/>
        <v>⚠ OVER QUOTA</v>
      </c>
      <c r="V1134" s="55" t="str">
        <f t="shared" si="198"/>
        <v>RN-028-A1 | Sample Org CONNECT Welcome Package RN | 2026-06</v>
      </c>
      <c r="W1134" s="55" t="str">
        <f>IF($V1134="","",IF(COUNTIF($V$5:$V1134,$V1134)=1,1,""))</f>
        <v/>
      </c>
      <c r="X1134" s="58" t="str">
        <f>IF($W1134="","",MAX($X$4:X1133)+1)</f>
        <v/>
      </c>
      <c r="Y1134" s="62"/>
      <c r="Z1134" s="62"/>
      <c r="AA1134" s="64" t="str">
        <f>IF($C1134="","",IFERROR(INDEX('Staff Directory'!$E$5:$E$594,MATCH($C1134,'Staff Directory'!$B$5:$B$594,0)),""))</f>
        <v>firstname032.lastname032@example.com</v>
      </c>
      <c r="AB1134" s="64" t="str">
        <f>IF($C1134="","",IF(ISNUMBER(SEARCH($D1134,Settings!$C$15)),"Pickup","Dispatch"))</f>
        <v>Dispatch</v>
      </c>
      <c r="AC1134" s="64" t="str">
        <f t="shared" si="199"/>
        <v>Supply order dispatched</v>
      </c>
      <c r="AD1134" s="64" t="str">
        <f t="shared" si="190"/>
        <v>Dear RN,
Your order has been dispatched and is in transit. Reply if undelivered.</v>
      </c>
      <c r="AE1134" s="64" t="str">
        <f t="shared" si="191"/>
        <v>mailto:firstname032.lastname032@example.com?subject=Supply%20order%20dispatched&amp;body=Dear%20RN%2C%0A%0AYour%20order%20has%20been%20dispatched%20and%20is%20in%20transit.%20Reply%20if%20undelivered.</v>
      </c>
      <c r="AF1134" s="89" t="str">
        <f t="shared" si="200"/>
        <v>Draft email</v>
      </c>
      <c r="AG1134" s="64" t="str">
        <f>IF($C1134="","",IFERROR(INDEX('Staff Directory'!$K$595:$K$599,MATCH($C1134,'Staff Directory'!$B$5:$B$599,0)),$D1134))</f>
        <v>RN</v>
      </c>
      <c r="AH1134" t="str">
        <f>IF($C1134="","",IFERROR(INDEX('Staff Directory'!$I$595:$I$599,MATCH($C1134,'Staff Directory'!$B$5:$B$599,0))&amp;" "&amp;INDEX('Staff Directory'!$J$595:$J$599,MATCH($C1134,'Staff Directory'!$B$5:$B$599,0)),$AG1134))</f>
        <v>RN</v>
      </c>
      <c r="AI1134" s="102"/>
      <c r="AJ1134" s="101">
        <f>IF($F1134="","",SUMIFS($J$5:$J1134,$F$5:$F1134,$F1134))</f>
        <v>560</v>
      </c>
      <c r="AK1134" s="101">
        <f t="shared" si="192"/>
        <v>551</v>
      </c>
      <c r="AL1134" s="66" t="str" cm="1">
        <f t="array" ref="AL1134">IF($F1134="","",IFERROR(INDEX('Lot Balance'!$B$5:$B$500,MATCH(1,INDEX(('Lot Balance'!$A$5:$A$500=$F1134)*('Lot Balance'!$K$5:$K$500&lt;$AK1134)*('Lot Balance'!$K$5:$K$500+'Lot Balance'!$D$5:$D$500&gt;=$AK1134),0),0)),""))</f>
        <v/>
      </c>
      <c r="AM1134" s="66" t="str" cm="1">
        <f t="array" ref="AM1134">IF($F1134="","",IFERROR(INDEX('Lot Balance'!$B$5:$B$500,MATCH(1,INDEX(('Lot Balance'!$A$5:$A$500=$F1134)*('Lot Balance'!$K$5:$K$500&lt;$AJ1134)*('Lot Balance'!$K$5:$K$500+'Lot Balance'!$D$5:$D$500&gt;=$AJ1134),0),0)),""))</f>
        <v/>
      </c>
      <c r="AN1134" s="66" t="str">
        <f>IF($F1134="","",IF($AI1134&lt;&gt;"",IF(COUNTIFS('Lot Balance'!$A$5:$A$500,$F1134,'Lot Balance'!$B$5:$B$500,$AI1134)=0,"⚠ override is not a lot of this item",IF($AI1134=$AL1134,"Override = FEFO","Override - FEFO says "&amp;$AL1134)),IF($AL1134="","⚠ no receipt on file for this item",IF($AM1134&lt;&gt;$AL1134,"FEFO auto - split, also "&amp;$AM1134,"FEFO auto"))))</f>
        <v>⚠ no receipt on file for this item</v>
      </c>
      <c r="AO1134" s="114"/>
    </row>
    <row r="1135" spans="1:41" x14ac:dyDescent="0.35">
      <c r="A1135" s="74">
        <v>46177</v>
      </c>
      <c r="B1135" s="18" t="str">
        <f>IF($C1135="","",IFERROR(INDEX('Staff Directory'!$A$5:$A$594,MATCH($C1135,'Staff Directory'!$B$5:$B$594,0)),"⚠ unknown staff"))</f>
        <v>RN-024-A2</v>
      </c>
      <c r="C1135" s="49" t="s">
        <v>944</v>
      </c>
      <c r="D1135" s="19" t="str">
        <f>IF($B1135="","",IFERROR(INDEX('Staff Directory'!$C$5:$C$594,MATCH($B1135,'Staff Directory'!$A$5:$A$594,0)),""))</f>
        <v>RN</v>
      </c>
      <c r="E1135" s="19" t="str">
        <f>IF($B1135="","",IFERROR(INDEX('Staff Directory'!$D$5:$D$594,MATCH($B1135,'Staff Directory'!$A$5:$A$594,0)),""))</f>
        <v>A2</v>
      </c>
      <c r="F1135" s="9" t="s">
        <v>127</v>
      </c>
      <c r="G1135" s="18" t="str">
        <f>IF($F1135="","",IFERROR(INDEX(Items!$B$5:$B$597,MATCH($F1135,Items!$A$5:$A$597,0)),"⚠ not in Items"))</f>
        <v>Gloves</v>
      </c>
      <c r="H1135" s="19" t="str">
        <f>IF($F1135="","",IFERROR(INDEX(Items!$C$5:$C$597,MATCH($F1135,Items!$A$5:$A$597,0)),""))</f>
        <v>Medium</v>
      </c>
      <c r="I1135" s="23">
        <f>IF($F1135="","",IFERROR(INDEX(Items!$E$5:$E$597,MATCH($F1135,Items!$A$5:$A$597,0)),""))</f>
        <v>500</v>
      </c>
      <c r="J1135" s="115">
        <f>IF(tblIssues[[#This Row],[Qty Override]]&lt;&gt;"",tblIssues[[#This Row],[Qty Override]],IF(tblIssues[[#This Row],[Standard Issue]]="","",tblIssues[[#This Row],[Standard Issue]]))</f>
        <v>500</v>
      </c>
      <c r="K1135" s="20">
        <f>IF($F1135="","",IFERROR(INDEX(Items!$D$5:$D$597,MATCH($F1135,Items!$A$5:$A$597,0)),""))</f>
        <v>5.5E-2</v>
      </c>
      <c r="L1135" s="21">
        <f t="shared" si="195"/>
        <v>27.5</v>
      </c>
      <c r="M1135" s="9" t="str">
        <f t="shared" si="193"/>
        <v>ZIM510137962-0</v>
      </c>
      <c r="N1135" s="24">
        <f>IF($A1135="","",WORKDAY($A1135,Settings!$C$9,HolidayDates))</f>
        <v>46185</v>
      </c>
      <c r="O1135" s="24">
        <f>IF($N1135="","",WORKDAY($N1135,Settings!$C$10,HolidayDates))</f>
        <v>46225</v>
      </c>
      <c r="P1135" s="10" t="s">
        <v>502</v>
      </c>
      <c r="Q1135" s="52" t="str">
        <f t="shared" si="196"/>
        <v>Collected</v>
      </c>
      <c r="R1135" s="55" t="str">
        <f t="shared" si="197"/>
        <v>2026-06</v>
      </c>
      <c r="S1135" s="55">
        <f>IF(OR($B1135="",$F1135="",$R1135=""),"",SUMIFS(tblIssues[Qty Issued],tblIssues[Staff ID],$B1135,tblIssues[Item Name],$F1135,tblIssues[Month],$R1135))</f>
        <v>500</v>
      </c>
      <c r="T1135" s="56">
        <f>IF($I1135="","",$I1135*Settings!$C$11)</f>
        <v>500</v>
      </c>
      <c r="U1135" s="57" t="str">
        <f t="shared" si="194"/>
        <v>OK</v>
      </c>
      <c r="V1135" s="55" t="str">
        <f t="shared" si="198"/>
        <v/>
      </c>
      <c r="W1135" s="55" t="str">
        <f>IF($V1135="","",IF(COUNTIF($V$5:$V1135,$V1135)=1,1,""))</f>
        <v/>
      </c>
      <c r="X1135" s="58" t="str">
        <f>IF($W1135="","",MAX($X$4:X1134)+1)</f>
        <v/>
      </c>
      <c r="Y1135" s="62"/>
      <c r="Z1135" s="62"/>
      <c r="AA1135" s="64" t="str">
        <f>IF($C1135="","",IFERROR(INDEX('Staff Directory'!$E$5:$E$594,MATCH($C1135,'Staff Directory'!$B$5:$B$594,0)),""))</f>
        <v>firstname028.lastname028@example.com</v>
      </c>
      <c r="AB1135" s="64" t="str">
        <f>IF($C1135="","",IF(ISNUMBER(SEARCH($D1135,Settings!$C$15)),"Pickup","Dispatch"))</f>
        <v>Dispatch</v>
      </c>
      <c r="AC1135" s="64" t="str">
        <f t="shared" si="199"/>
        <v>Supply order dispatched</v>
      </c>
      <c r="AD1135" s="64" t="str">
        <f t="shared" si="190"/>
        <v>Dear RN,
Your order has been dispatched and is in transit. Reply if undelivered.</v>
      </c>
      <c r="AE1135" s="64" t="str">
        <f t="shared" si="191"/>
        <v>mailto:firstname028.lastname028@example.com?subject=Supply%20order%20dispatched&amp;body=Dear%20RN%2C%0A%0AYour%20order%20has%20been%20dispatched%20and%20is%20in%20transit.%20Reply%20if%20undelivered.</v>
      </c>
      <c r="AF1135" s="89" t="str">
        <f t="shared" si="200"/>
        <v>Draft email</v>
      </c>
      <c r="AG1135" s="64" t="str">
        <f>IF($C1135="","",IFERROR(INDEX('Staff Directory'!$K$595:$K$599,MATCH($C1135,'Staff Directory'!$B$5:$B$599,0)),$D1135))</f>
        <v>RN</v>
      </c>
      <c r="AH1135" t="str">
        <f>IF($C1135="","",IFERROR(INDEX('Staff Directory'!$I$595:$I$599,MATCH($C1135,'Staff Directory'!$B$5:$B$599,0))&amp;" "&amp;INDEX('Staff Directory'!$J$595:$J$599,MATCH($C1135,'Staff Directory'!$B$5:$B$599,0)),$AG1135))</f>
        <v>RN</v>
      </c>
      <c r="AI1135" s="102"/>
      <c r="AJ1135" s="101">
        <f>IF($F1135="","",SUMIFS($J$5:$J1135,$F$5:$F1135,$F1135))</f>
        <v>63500</v>
      </c>
      <c r="AK1135" s="101">
        <f t="shared" si="192"/>
        <v>63001</v>
      </c>
      <c r="AL1135" s="66" t="str" cm="1">
        <f t="array" ref="AL1135">IF($F1135="","",IFERROR(INDEX('Lot Balance'!$B$5:$B$500,MATCH(1,INDEX(('Lot Balance'!$A$5:$A$500=$F1135)*('Lot Balance'!$K$5:$K$500&lt;$AK1135)*('Lot Balance'!$K$5:$K$500+'Lot Balance'!$D$5:$D$500&gt;=$AK1135),0),0)),""))</f>
        <v>ZIM510137962-0</v>
      </c>
      <c r="AM1135" s="66" t="str" cm="1">
        <f t="array" ref="AM1135">IF($F1135="","",IFERROR(INDEX('Lot Balance'!$B$5:$B$500,MATCH(1,INDEX(('Lot Balance'!$A$5:$A$500=$F1135)*('Lot Balance'!$K$5:$K$500&lt;$AJ1135)*('Lot Balance'!$K$5:$K$500+'Lot Balance'!$D$5:$D$500&gt;=$AJ1135),0),0)),""))</f>
        <v>ZIM510137962-0</v>
      </c>
      <c r="AN1135" s="66" t="str">
        <f>IF($F1135="","",IF($AI1135&lt;&gt;"",IF(COUNTIFS('Lot Balance'!$A$5:$A$500,$F1135,'Lot Balance'!$B$5:$B$500,$AI1135)=0,"⚠ override is not a lot of this item",IF($AI1135=$AL1135,"Override = FEFO","Override - FEFO says "&amp;$AL1135)),IF($AL1135="","⚠ no receipt on file for this item",IF($AM1135&lt;&gt;$AL1135,"FEFO auto - split, also "&amp;$AM1135,"FEFO auto"))))</f>
        <v>FEFO auto</v>
      </c>
      <c r="AO1135" s="114"/>
    </row>
    <row r="1136" spans="1:41" x14ac:dyDescent="0.35">
      <c r="A1136" s="74">
        <v>46177</v>
      </c>
      <c r="B1136" s="18" t="str">
        <f>IF($C1136="","",IFERROR(INDEX('Staff Directory'!$A$5:$A$594,MATCH($C1136,'Staff Directory'!$B$5:$B$594,0)),"⚠ unknown staff"))</f>
        <v>RN-024-A2</v>
      </c>
      <c r="C1136" s="49" t="s">
        <v>944</v>
      </c>
      <c r="D1136" s="19" t="str">
        <f>IF($B1136="","",IFERROR(INDEX('Staff Directory'!$C$5:$C$594,MATCH($B1136,'Staff Directory'!$A$5:$A$594,0)),""))</f>
        <v>RN</v>
      </c>
      <c r="E1136" s="19" t="str">
        <f>IF($B1136="","",IFERROR(INDEX('Staff Directory'!$D$5:$D$594,MATCH($B1136,'Staff Directory'!$A$5:$A$594,0)),""))</f>
        <v>A2</v>
      </c>
      <c r="F1136" s="9" t="s">
        <v>191</v>
      </c>
      <c r="G1136" s="18" t="str">
        <f>IF($F1136="","",IFERROR(INDEX(Items!$B$5:$B$597,MATCH($F1136,Items!$A$5:$A$597,0)),"⚠ not in Items"))</f>
        <v>Sanitizer</v>
      </c>
      <c r="H1136" s="19" t="str">
        <f>IF($F1136="","",IFERROR(INDEX(Items!$C$5:$C$597,MATCH($F1136,Items!$A$5:$A$597,0)),""))</f>
        <v>236 ML</v>
      </c>
      <c r="I1136" s="23">
        <f>IF($F1136="","",IFERROR(INDEX(Items!$E$5:$E$597,MATCH($F1136,Items!$A$5:$A$597,0)),""))</f>
        <v>1</v>
      </c>
      <c r="J1136" s="115">
        <f>IF(tblIssues[[#This Row],[Qty Override]]&lt;&gt;"",tblIssues[[#This Row],[Qty Override]],IF(tblIssues[[#This Row],[Standard Issue]]="","",tblIssues[[#This Row],[Standard Issue]]))</f>
        <v>1</v>
      </c>
      <c r="K1136" s="20">
        <f>IF($F1136="","",IFERROR(INDEX(Items!$D$5:$D$597,MATCH($F1136,Items!$A$5:$A$597,0)),""))</f>
        <v>1E-4</v>
      </c>
      <c r="L1136" s="21">
        <f t="shared" si="195"/>
        <v>1E-4</v>
      </c>
      <c r="M1136" s="9" t="str">
        <f t="shared" si="193"/>
        <v>20-21734-4</v>
      </c>
      <c r="N1136" s="24">
        <f>IF($A1136="","",WORKDAY($A1136,Settings!$C$9,HolidayDates))</f>
        <v>46185</v>
      </c>
      <c r="O1136" s="24">
        <f>IF($N1136="","",WORKDAY($N1136,Settings!$C$10,HolidayDates))</f>
        <v>46225</v>
      </c>
      <c r="P1136" s="10" t="s">
        <v>502</v>
      </c>
      <c r="Q1136" s="52" t="str">
        <f t="shared" si="196"/>
        <v>Collected</v>
      </c>
      <c r="R1136" s="55" t="str">
        <f t="shared" si="197"/>
        <v>2026-06</v>
      </c>
      <c r="S1136" s="55">
        <f>IF(OR($B1136="",$F1136="",$R1136=""),"",SUMIFS(tblIssues[Qty Issued],tblIssues[Staff ID],$B1136,tblIssues[Item Name],$F1136,tblIssues[Month],$R1136))</f>
        <v>1</v>
      </c>
      <c r="T1136" s="56">
        <f>IF($I1136="","",$I1136*Settings!$C$11)</f>
        <v>1</v>
      </c>
      <c r="U1136" s="57" t="str">
        <f t="shared" si="194"/>
        <v>OK</v>
      </c>
      <c r="V1136" s="55" t="str">
        <f t="shared" si="198"/>
        <v/>
      </c>
      <c r="W1136" s="55" t="str">
        <f>IF($V1136="","",IF(COUNTIF($V$5:$V1136,$V1136)=1,1,""))</f>
        <v/>
      </c>
      <c r="X1136" s="58" t="str">
        <f>IF($W1136="","",MAX($X$4:X1135)+1)</f>
        <v/>
      </c>
      <c r="Y1136" s="62"/>
      <c r="Z1136" s="62"/>
      <c r="AA1136" s="64" t="str">
        <f>IF($C1136="","",IFERROR(INDEX('Staff Directory'!$E$5:$E$594,MATCH($C1136,'Staff Directory'!$B$5:$B$594,0)),""))</f>
        <v>firstname028.lastname028@example.com</v>
      </c>
      <c r="AB1136" s="64" t="str">
        <f>IF($C1136="","",IF(ISNUMBER(SEARCH($D1136,Settings!$C$15)),"Pickup","Dispatch"))</f>
        <v>Dispatch</v>
      </c>
      <c r="AC1136" s="64" t="str">
        <f t="shared" si="199"/>
        <v>Supply order dispatched</v>
      </c>
      <c r="AD1136" s="64" t="str">
        <f t="shared" si="190"/>
        <v>Dear RN,
Your order has been dispatched and is in transit. Reply if undelivered.</v>
      </c>
      <c r="AE1136" s="64" t="str">
        <f t="shared" si="191"/>
        <v>mailto:firstname028.lastname028@example.com?subject=Supply%20order%20dispatched&amp;body=Dear%20RN%2C%0A%0AYour%20order%20has%20been%20dispatched%20and%20is%20in%20transit.%20Reply%20if%20undelivered.</v>
      </c>
      <c r="AF1136" s="89" t="str">
        <f t="shared" si="200"/>
        <v>Draft email</v>
      </c>
      <c r="AG1136" s="64" t="str">
        <f>IF($C1136="","",IFERROR(INDEX('Staff Directory'!$K$595:$K$599,MATCH($C1136,'Staff Directory'!$B$5:$B$599,0)),$D1136))</f>
        <v>RN</v>
      </c>
      <c r="AH1136" t="str">
        <f>IF($C1136="","",IFERROR(INDEX('Staff Directory'!$I$595:$I$599,MATCH($C1136,'Staff Directory'!$B$5:$B$599,0))&amp;" "&amp;INDEX('Staff Directory'!$J$595:$J$599,MATCH($C1136,'Staff Directory'!$B$5:$B$599,0)),$AG1136))</f>
        <v>RN</v>
      </c>
      <c r="AI1136" s="102"/>
      <c r="AJ1136" s="101">
        <f>IF($F1136="","",SUMIFS($J$5:$J1136,$F$5:$F1136,$F1136))</f>
        <v>138</v>
      </c>
      <c r="AK1136" s="101">
        <f t="shared" si="192"/>
        <v>138</v>
      </c>
      <c r="AL1136" s="66" t="str" cm="1">
        <f t="array" ref="AL1136">IF($F1136="","",IFERROR(INDEX('Lot Balance'!$B$5:$B$500,MATCH(1,INDEX(('Lot Balance'!$A$5:$A$500=$F1136)*('Lot Balance'!$K$5:$K$500&lt;$AK1136)*('Lot Balance'!$K$5:$K$500+'Lot Balance'!$D$5:$D$500&gt;=$AK1136),0),0)),""))</f>
        <v>20-21734-4</v>
      </c>
      <c r="AM1136" s="66" t="str" cm="1">
        <f t="array" ref="AM1136">IF($F1136="","",IFERROR(INDEX('Lot Balance'!$B$5:$B$500,MATCH(1,INDEX(('Lot Balance'!$A$5:$A$500=$F1136)*('Lot Balance'!$K$5:$K$500&lt;$AJ1136)*('Lot Balance'!$K$5:$K$500+'Lot Balance'!$D$5:$D$500&gt;=$AJ1136),0),0)),""))</f>
        <v>20-21734-4</v>
      </c>
      <c r="AN1136" s="66" t="str">
        <f>IF($F1136="","",IF($AI1136&lt;&gt;"",IF(COUNTIFS('Lot Balance'!$A$5:$A$500,$F1136,'Lot Balance'!$B$5:$B$500,$AI1136)=0,"⚠ override is not a lot of this item",IF($AI1136=$AL1136,"Override = FEFO","Override - FEFO says "&amp;$AL1136)),IF($AL1136="","⚠ no receipt on file for this item",IF($AM1136&lt;&gt;$AL1136,"FEFO auto - split, also "&amp;$AM1136,"FEFO auto"))))</f>
        <v>FEFO auto</v>
      </c>
      <c r="AO1136" s="114"/>
    </row>
    <row r="1137" spans="1:41" x14ac:dyDescent="0.35">
      <c r="A1137" s="74">
        <v>46177</v>
      </c>
      <c r="B1137" s="18" t="str">
        <f>IF($C1137="","",IFERROR(INDEX('Staff Directory'!$A$5:$A$594,MATCH($C1137,'Staff Directory'!$B$5:$B$594,0)),"⚠ unknown staff"))</f>
        <v>RN-024-A2</v>
      </c>
      <c r="C1137" s="49" t="s">
        <v>944</v>
      </c>
      <c r="D1137" s="19" t="str">
        <f>IF($B1137="","",IFERROR(INDEX('Staff Directory'!$C$5:$C$594,MATCH($B1137,'Staff Directory'!$A$5:$A$594,0)),""))</f>
        <v>RN</v>
      </c>
      <c r="E1137" s="19" t="str">
        <f>IF($B1137="","",IFERROR(INDEX('Staff Directory'!$D$5:$D$594,MATCH($B1137,'Staff Directory'!$A$5:$A$594,0)),""))</f>
        <v>A2</v>
      </c>
      <c r="F1137" s="9" t="s">
        <v>115</v>
      </c>
      <c r="G1137" s="18" t="str">
        <f>IF($F1137="","",IFERROR(INDEX(Items!$B$5:$B$597,MATCH($F1137,Items!$A$5:$A$597,0)),"⚠ not in Items"))</f>
        <v>Wipes</v>
      </c>
      <c r="H1137" s="19">
        <f>IF($F1137="","",IFERROR(INDEX(Items!$C$5:$C$597,MATCH($F1137,Items!$A$5:$A$597,0)),""))</f>
        <v>80</v>
      </c>
      <c r="I1137" s="23">
        <f>IF($F1137="","",IFERROR(INDEX(Items!$E$5:$E$597,MATCH($F1137,Items!$A$5:$A$597,0)),""))</f>
        <v>80</v>
      </c>
      <c r="J1137" s="115">
        <f>IF(tblIssues[[#This Row],[Qty Override]]&lt;&gt;"",tblIssues[[#This Row],[Qty Override]],IF(tblIssues[[#This Row],[Standard Issue]]="","",tblIssues[[#This Row],[Standard Issue]]))</f>
        <v>80</v>
      </c>
      <c r="K1137" s="20">
        <f>IF($F1137="","",IFERROR(INDEX(Items!$D$5:$D$597,MATCH($F1137,Items!$A$5:$A$597,0)),""))</f>
        <v>0.1</v>
      </c>
      <c r="L1137" s="21">
        <f t="shared" si="195"/>
        <v>8</v>
      </c>
      <c r="M1137" s="9" t="str">
        <f t="shared" si="193"/>
        <v>LYSL500290</v>
      </c>
      <c r="N1137" s="24">
        <f>IF($A1137="","",WORKDAY($A1137,Settings!$C$9,HolidayDates))</f>
        <v>46185</v>
      </c>
      <c r="O1137" s="24">
        <f>IF($N1137="","",WORKDAY($N1137,Settings!$C$10,HolidayDates))</f>
        <v>46225</v>
      </c>
      <c r="P1137" s="10" t="s">
        <v>502</v>
      </c>
      <c r="Q1137" s="52" t="str">
        <f t="shared" si="196"/>
        <v>Collected</v>
      </c>
      <c r="R1137" s="55" t="str">
        <f t="shared" si="197"/>
        <v>2026-06</v>
      </c>
      <c r="S1137" s="55">
        <f>IF(OR($B1137="",$F1137="",$R1137=""),"",SUMIFS(tblIssues[Qty Issued],tblIssues[Staff ID],$B1137,tblIssues[Item Name],$F1137,tblIssues[Month],$R1137))</f>
        <v>80</v>
      </c>
      <c r="T1137" s="56">
        <f>IF($I1137="","",$I1137*Settings!$C$11)</f>
        <v>80</v>
      </c>
      <c r="U1137" s="57" t="str">
        <f t="shared" si="194"/>
        <v>OK</v>
      </c>
      <c r="V1137" s="55" t="str">
        <f t="shared" si="198"/>
        <v/>
      </c>
      <c r="W1137" s="55" t="str">
        <f>IF($V1137="","",IF(COUNTIF($V$5:$V1137,$V1137)=1,1,""))</f>
        <v/>
      </c>
      <c r="X1137" s="58" t="str">
        <f>IF($W1137="","",MAX($X$4:X1136)+1)</f>
        <v/>
      </c>
      <c r="Y1137" s="62"/>
      <c r="Z1137" s="62"/>
      <c r="AA1137" s="64" t="str">
        <f>IF($C1137="","",IFERROR(INDEX('Staff Directory'!$E$5:$E$594,MATCH($C1137,'Staff Directory'!$B$5:$B$594,0)),""))</f>
        <v>firstname028.lastname028@example.com</v>
      </c>
      <c r="AB1137" s="64" t="str">
        <f>IF($C1137="","",IF(ISNUMBER(SEARCH($D1137,Settings!$C$15)),"Pickup","Dispatch"))</f>
        <v>Dispatch</v>
      </c>
      <c r="AC1137" s="64" t="str">
        <f t="shared" si="199"/>
        <v>Supply order dispatched</v>
      </c>
      <c r="AD1137" s="64" t="str">
        <f t="shared" si="190"/>
        <v>Dear RN,
Your order has been dispatched and is in transit. Reply if undelivered.</v>
      </c>
      <c r="AE1137" s="64" t="str">
        <f t="shared" si="191"/>
        <v>mailto:firstname028.lastname028@example.com?subject=Supply%20order%20dispatched&amp;body=Dear%20RN%2C%0A%0AYour%20order%20has%20been%20dispatched%20and%20is%20in%20transit.%20Reply%20if%20undelivered.</v>
      </c>
      <c r="AF1137" s="89" t="str">
        <f t="shared" si="200"/>
        <v>Draft email</v>
      </c>
      <c r="AG1137" s="64" t="str">
        <f>IF($C1137="","",IFERROR(INDEX('Staff Directory'!$K$595:$K$599,MATCH($C1137,'Staff Directory'!$B$5:$B$599,0)),$D1137))</f>
        <v>RN</v>
      </c>
      <c r="AH1137" t="str">
        <f>IF($C1137="","",IFERROR(INDEX('Staff Directory'!$I$595:$I$599,MATCH($C1137,'Staff Directory'!$B$5:$B$599,0))&amp;" "&amp;INDEX('Staff Directory'!$J$595:$J$599,MATCH($C1137,'Staff Directory'!$B$5:$B$599,0)),$AG1137))</f>
        <v>RN</v>
      </c>
      <c r="AI1137" s="102"/>
      <c r="AJ1137" s="101">
        <f>IF($F1137="","",SUMIFS($J$5:$J1137,$F$5:$F1137,$F1137))</f>
        <v>15360</v>
      </c>
      <c r="AK1137" s="101">
        <f t="shared" si="192"/>
        <v>15281</v>
      </c>
      <c r="AL1137" s="66" t="str" cm="1">
        <f t="array" ref="AL1137">IF($F1137="","",IFERROR(INDEX('Lot Balance'!$B$5:$B$500,MATCH(1,INDEX(('Lot Balance'!$A$5:$A$500=$F1137)*('Lot Balance'!$K$5:$K$500&lt;$AK1137)*('Lot Balance'!$K$5:$K$500+'Lot Balance'!$D$5:$D$500&gt;=$AK1137),0),0)),""))</f>
        <v>LYSL500290</v>
      </c>
      <c r="AM1137" s="66" t="str" cm="1">
        <f t="array" ref="AM1137">IF($F1137="","",IFERROR(INDEX('Lot Balance'!$B$5:$B$500,MATCH(1,INDEX(('Lot Balance'!$A$5:$A$500=$F1137)*('Lot Balance'!$K$5:$K$500&lt;$AJ1137)*('Lot Balance'!$K$5:$K$500+'Lot Balance'!$D$5:$D$500&gt;=$AJ1137),0),0)),""))</f>
        <v>LYSL500290</v>
      </c>
      <c r="AN1137" s="66" t="str">
        <f>IF($F1137="","",IF($AI1137&lt;&gt;"",IF(COUNTIFS('Lot Balance'!$A$5:$A$500,$F1137,'Lot Balance'!$B$5:$B$500,$AI1137)=0,"⚠ override is not a lot of this item",IF($AI1137=$AL1137,"Override = FEFO","Override - FEFO says "&amp;$AL1137)),IF($AL1137="","⚠ no receipt on file for this item",IF($AM1137&lt;&gt;$AL1137,"FEFO auto - split, also "&amp;$AM1137,"FEFO auto"))))</f>
        <v>FEFO auto</v>
      </c>
      <c r="AO1137" s="114"/>
    </row>
    <row r="1138" spans="1:41" x14ac:dyDescent="0.35">
      <c r="A1138" s="74">
        <v>46177</v>
      </c>
      <c r="B1138" s="18" t="str">
        <f>IF($C1138="","",IFERROR(INDEX('Staff Directory'!$A$5:$A$594,MATCH($C1138,'Staff Directory'!$B$5:$B$594,0)),"⚠ unknown staff"))</f>
        <v>RN-024-A2</v>
      </c>
      <c r="C1138" s="49" t="s">
        <v>944</v>
      </c>
      <c r="D1138" s="19" t="str">
        <f>IF($B1138="","",IFERROR(INDEX('Staff Directory'!$C$5:$C$594,MATCH($B1138,'Staff Directory'!$A$5:$A$594,0)),""))</f>
        <v>RN</v>
      </c>
      <c r="E1138" s="19" t="str">
        <f>IF($B1138="","",IFERROR(INDEX('Staff Directory'!$D$5:$D$594,MATCH($B1138,'Staff Directory'!$A$5:$A$594,0)),""))</f>
        <v>A2</v>
      </c>
      <c r="F1138" s="9" t="s">
        <v>156</v>
      </c>
      <c r="G1138" s="18" t="str">
        <f>IF($F1138="","",IFERROR(INDEX(Items!$B$5:$B$597,MATCH($F1138,Items!$A$5:$A$597,0)),"⚠ not in Items"))</f>
        <v>Masks</v>
      </c>
      <c r="H1138" s="19" t="str">
        <f>IF($F1138="","",IFERROR(INDEX(Items!$C$5:$C$597,MATCH($F1138,Items!$A$5:$A$597,0)),""))</f>
        <v>One Size</v>
      </c>
      <c r="I1138" s="23">
        <f>IF($F1138="","",IFERROR(INDEX(Items!$E$5:$E$597,MATCH($F1138,Items!$A$5:$A$597,0)),""))</f>
        <v>50</v>
      </c>
      <c r="J1138" s="115">
        <f>IF(tblIssues[[#This Row],[Qty Override]]&lt;&gt;"",tblIssues[[#This Row],[Qty Override]],IF(tblIssues[[#This Row],[Standard Issue]]="","",tblIssues[[#This Row],[Standard Issue]]))</f>
        <v>50</v>
      </c>
      <c r="K1138" s="20">
        <f>IF($F1138="","",IFERROR(INDEX(Items!$D$5:$D$597,MATCH($F1138,Items!$A$5:$A$597,0)),""))</f>
        <v>0.25</v>
      </c>
      <c r="L1138" s="21">
        <f t="shared" si="195"/>
        <v>12.5</v>
      </c>
      <c r="M1138" s="9" t="str">
        <f t="shared" si="193"/>
        <v>102GPC24</v>
      </c>
      <c r="N1138" s="24">
        <f>IF($A1138="","",WORKDAY($A1138,Settings!$C$9,HolidayDates))</f>
        <v>46185</v>
      </c>
      <c r="O1138" s="24">
        <f>IF($N1138="","",WORKDAY($N1138,Settings!$C$10,HolidayDates))</f>
        <v>46225</v>
      </c>
      <c r="P1138" s="10" t="s">
        <v>502</v>
      </c>
      <c r="Q1138" s="52" t="str">
        <f t="shared" si="196"/>
        <v>Collected</v>
      </c>
      <c r="R1138" s="55" t="str">
        <f t="shared" si="197"/>
        <v>2026-06</v>
      </c>
      <c r="S1138" s="55">
        <f>IF(OR($B1138="",$F1138="",$R1138=""),"",SUMIFS(tblIssues[Qty Issued],tblIssues[Staff ID],$B1138,tblIssues[Item Name],$F1138,tblIssues[Month],$R1138))</f>
        <v>50</v>
      </c>
      <c r="T1138" s="56">
        <f>IF($I1138="","",$I1138*Settings!$C$11)</f>
        <v>50</v>
      </c>
      <c r="U1138" s="57" t="str">
        <f t="shared" si="194"/>
        <v>OK</v>
      </c>
      <c r="V1138" s="55" t="str">
        <f t="shared" si="198"/>
        <v/>
      </c>
      <c r="W1138" s="55" t="str">
        <f>IF($V1138="","",IF(COUNTIF($V$5:$V1138,$V1138)=1,1,""))</f>
        <v/>
      </c>
      <c r="X1138" s="58" t="str">
        <f>IF($W1138="","",MAX($X$4:X1137)+1)</f>
        <v/>
      </c>
      <c r="Y1138" s="62"/>
      <c r="Z1138" s="62"/>
      <c r="AA1138" s="64" t="str">
        <f>IF($C1138="","",IFERROR(INDEX('Staff Directory'!$E$5:$E$594,MATCH($C1138,'Staff Directory'!$B$5:$B$594,0)),""))</f>
        <v>firstname028.lastname028@example.com</v>
      </c>
      <c r="AB1138" s="64" t="str">
        <f>IF($C1138="","",IF(ISNUMBER(SEARCH($D1138,Settings!$C$15)),"Pickup","Dispatch"))</f>
        <v>Dispatch</v>
      </c>
      <c r="AC1138" s="64" t="str">
        <f t="shared" si="199"/>
        <v>Supply order dispatched</v>
      </c>
      <c r="AD1138" s="64" t="str">
        <f t="shared" si="190"/>
        <v>Dear RN,
Your order has been dispatched and is in transit. Reply if undelivered.</v>
      </c>
      <c r="AE1138" s="64" t="str">
        <f t="shared" si="191"/>
        <v>mailto:firstname028.lastname028@example.com?subject=Supply%20order%20dispatched&amp;body=Dear%20RN%2C%0A%0AYour%20order%20has%20been%20dispatched%20and%20is%20in%20transit.%20Reply%20if%20undelivered.</v>
      </c>
      <c r="AF1138" s="89" t="str">
        <f t="shared" si="200"/>
        <v>Draft email</v>
      </c>
      <c r="AG1138" s="64" t="str">
        <f>IF($C1138="","",IFERROR(INDEX('Staff Directory'!$K$595:$K$599,MATCH($C1138,'Staff Directory'!$B$5:$B$599,0)),$D1138))</f>
        <v>RN</v>
      </c>
      <c r="AH1138" t="str">
        <f>IF($C1138="","",IFERROR(INDEX('Staff Directory'!$I$595:$I$599,MATCH($C1138,'Staff Directory'!$B$5:$B$599,0))&amp;" "&amp;INDEX('Staff Directory'!$J$595:$J$599,MATCH($C1138,'Staff Directory'!$B$5:$B$599,0)),$AG1138))</f>
        <v>RN</v>
      </c>
      <c r="AI1138" s="102"/>
      <c r="AJ1138" s="101">
        <f>IF($F1138="","",SUMIFS($J$5:$J1138,$F$5:$F1138,$F1138))</f>
        <v>9400</v>
      </c>
      <c r="AK1138" s="101">
        <f t="shared" si="192"/>
        <v>9351</v>
      </c>
      <c r="AL1138" s="66" t="str" cm="1">
        <f t="array" ref="AL1138">IF($F1138="","",IFERROR(INDEX('Lot Balance'!$B$5:$B$500,MATCH(1,INDEX(('Lot Balance'!$A$5:$A$500=$F1138)*('Lot Balance'!$K$5:$K$500&lt;$AK1138)*('Lot Balance'!$K$5:$K$500+'Lot Balance'!$D$5:$D$500&gt;=$AK1138),0),0)),""))</f>
        <v>102GPC24</v>
      </c>
      <c r="AM1138" s="66" t="str" cm="1">
        <f t="array" ref="AM1138">IF($F1138="","",IFERROR(INDEX('Lot Balance'!$B$5:$B$500,MATCH(1,INDEX(('Lot Balance'!$A$5:$A$500=$F1138)*('Lot Balance'!$K$5:$K$500&lt;$AJ1138)*('Lot Balance'!$K$5:$K$500+'Lot Balance'!$D$5:$D$500&gt;=$AJ1138),0),0)),""))</f>
        <v>102GPC24</v>
      </c>
      <c r="AN1138" s="66" t="str">
        <f>IF($F1138="","",IF($AI1138&lt;&gt;"",IF(COUNTIFS('Lot Balance'!$A$5:$A$500,$F1138,'Lot Balance'!$B$5:$B$500,$AI1138)=0,"⚠ override is not a lot of this item",IF($AI1138=$AL1138,"Override = FEFO","Override - FEFO says "&amp;$AL1138)),IF($AL1138="","⚠ no receipt on file for this item",IF($AM1138&lt;&gt;$AL1138,"FEFO auto - split, also "&amp;$AM1138,"FEFO auto"))))</f>
        <v>FEFO auto</v>
      </c>
      <c r="AO1138" s="114"/>
    </row>
    <row r="1139" spans="1:41" x14ac:dyDescent="0.35">
      <c r="A1139" s="74">
        <v>46182</v>
      </c>
      <c r="B1139" s="18" t="str">
        <f>IF($C1139="","",IFERROR(INDEX('Staff Directory'!$A$5:$A$594,MATCH($C1139,'Staff Directory'!$B$5:$B$594,0)),"⚠ unknown staff"))</f>
        <v>PSW-118-A5</v>
      </c>
      <c r="C1139" s="49" t="s">
        <v>1097</v>
      </c>
      <c r="D1139" s="19" t="str">
        <f>IF($B1139="","",IFERROR(INDEX('Staff Directory'!$C$5:$C$594,MATCH($B1139,'Staff Directory'!$A$5:$A$594,0)),""))</f>
        <v>PSW</v>
      </c>
      <c r="E1139" s="19" t="str">
        <f>IF($B1139="","",IFERROR(INDEX('Staff Directory'!$D$5:$D$594,MATCH($B1139,'Staff Directory'!$A$5:$A$594,0)),""))</f>
        <v>A5</v>
      </c>
      <c r="F1139" s="9" t="s">
        <v>127</v>
      </c>
      <c r="G1139" s="18" t="str">
        <f>IF($F1139="","",IFERROR(INDEX(Items!$B$5:$B$597,MATCH($F1139,Items!$A$5:$A$597,0)),"⚠ not in Items"))</f>
        <v>Gloves</v>
      </c>
      <c r="H1139" s="19" t="str">
        <f>IF($F1139="","",IFERROR(INDEX(Items!$C$5:$C$597,MATCH($F1139,Items!$A$5:$A$597,0)),""))</f>
        <v>Medium</v>
      </c>
      <c r="I1139" s="23">
        <f>IF($F1139="","",IFERROR(INDEX(Items!$E$5:$E$597,MATCH($F1139,Items!$A$5:$A$597,0)),""))</f>
        <v>500</v>
      </c>
      <c r="J1139" s="115">
        <f>IF(tblIssues[[#This Row],[Qty Override]]&lt;&gt;"",tblIssues[[#This Row],[Qty Override]],IF(tblIssues[[#This Row],[Standard Issue]]="","",tblIssues[[#This Row],[Standard Issue]]))</f>
        <v>500</v>
      </c>
      <c r="K1139" s="20">
        <f>IF($F1139="","",IFERROR(INDEX(Items!$D$5:$D$597,MATCH($F1139,Items!$A$5:$A$597,0)),""))</f>
        <v>5.5E-2</v>
      </c>
      <c r="L1139" s="21">
        <f t="shared" si="195"/>
        <v>27.5</v>
      </c>
      <c r="M1139" s="9" t="str">
        <f t="shared" si="193"/>
        <v>ZIM510137962-0</v>
      </c>
      <c r="N1139" s="24">
        <f>IF($A1139="","",WORKDAY($A1139,Settings!$C$9,HolidayDates))</f>
        <v>46190</v>
      </c>
      <c r="O1139" s="24">
        <f>IF($N1139="","",WORKDAY($N1139,Settings!$C$10,HolidayDates))</f>
        <v>46230</v>
      </c>
      <c r="P1139" s="10" t="s">
        <v>501</v>
      </c>
      <c r="Q1139" s="52" t="str">
        <f t="shared" si="196"/>
        <v>Collected</v>
      </c>
      <c r="R1139" s="55" t="str">
        <f t="shared" si="197"/>
        <v>2026-06</v>
      </c>
      <c r="S1139" s="55">
        <f>IF(OR($B1139="",$F1139="",$R1139=""),"",SUMIFS(tblIssues[Qty Issued],tblIssues[Staff ID],$B1139,tblIssues[Item Name],$F1139,tblIssues[Month],$R1139))</f>
        <v>500</v>
      </c>
      <c r="T1139" s="56">
        <f>IF($I1139="","",$I1139*Settings!$C$11)</f>
        <v>500</v>
      </c>
      <c r="U1139" s="57" t="str">
        <f t="shared" si="194"/>
        <v>OK</v>
      </c>
      <c r="V1139" s="55" t="str">
        <f t="shared" si="198"/>
        <v/>
      </c>
      <c r="W1139" s="55" t="str">
        <f>IF($V1139="","",IF(COUNTIF($V$5:$V1139,$V1139)=1,1,""))</f>
        <v/>
      </c>
      <c r="X1139" s="58" t="str">
        <f>IF($W1139="","",MAX($X$4:X1138)+1)</f>
        <v/>
      </c>
      <c r="Y1139" s="62"/>
      <c r="Z1139" s="62"/>
      <c r="AA1139" s="64" t="str">
        <f>IF($C1139="","",IFERROR(INDEX('Staff Directory'!$E$5:$E$594,MATCH($C1139,'Staff Directory'!$B$5:$B$594,0)),""))</f>
        <v>firstname181.lastname181@example.com</v>
      </c>
      <c r="AB1139" s="64" t="str">
        <f>IF($C1139="","",IF(ISNUMBER(SEARCH($D1139,Settings!$C$15)),"Pickup","Dispatch"))</f>
        <v>Pickup</v>
      </c>
      <c r="AC1139" s="64" t="str">
        <f t="shared" si="199"/>
        <v>Supply order ready for pickup</v>
      </c>
      <c r="AD1139" s="64" t="str">
        <f t="shared" si="190"/>
        <v>Dear PSW,
Your order is ready for pickup from Sample Branch, Wed-Fri 9am-4pm.</v>
      </c>
      <c r="AE1139" s="64" t="str">
        <f t="shared" si="191"/>
        <v>mailto:firstname181.lastname181@example.com?subject=Supply%20order%20ready%20for%20pickup&amp;body=Dear%20PSW%2C%0A%0AYour%20order%20is%20ready%20for%20pickup%20from%20Sample%20Branch%2C%20Wed-Fri%209am-4pm.</v>
      </c>
      <c r="AF1139" s="89" t="str">
        <f t="shared" si="200"/>
        <v>Draft email</v>
      </c>
      <c r="AG1139" s="64" t="str">
        <f>IF($C1139="","",IFERROR(INDEX('Staff Directory'!$K$595:$K$599,MATCH($C1139,'Staff Directory'!$B$5:$B$599,0)),$D1139))</f>
        <v>PSW</v>
      </c>
      <c r="AH1139" t="str">
        <f>IF($C1139="","",IFERROR(INDEX('Staff Directory'!$I$595:$I$599,MATCH($C1139,'Staff Directory'!$B$5:$B$599,0))&amp;" "&amp;INDEX('Staff Directory'!$J$595:$J$599,MATCH($C1139,'Staff Directory'!$B$5:$B$599,0)),$AG1139))</f>
        <v>PSW</v>
      </c>
      <c r="AI1139" s="102"/>
      <c r="AJ1139" s="101">
        <f>IF($F1139="","",SUMIFS($J$5:$J1139,$F$5:$F1139,$F1139))</f>
        <v>64000</v>
      </c>
      <c r="AK1139" s="101">
        <f t="shared" si="192"/>
        <v>63501</v>
      </c>
      <c r="AL1139" s="66" t="str" cm="1">
        <f t="array" ref="AL1139">IF($F1139="","",IFERROR(INDEX('Lot Balance'!$B$5:$B$500,MATCH(1,INDEX(('Lot Balance'!$A$5:$A$500=$F1139)*('Lot Balance'!$K$5:$K$500&lt;$AK1139)*('Lot Balance'!$K$5:$K$500+'Lot Balance'!$D$5:$D$500&gt;=$AK1139),0),0)),""))</f>
        <v>ZIM510137962-0</v>
      </c>
      <c r="AM1139" s="66" t="str" cm="1">
        <f t="array" ref="AM1139">IF($F1139="","",IFERROR(INDEX('Lot Balance'!$B$5:$B$500,MATCH(1,INDEX(('Lot Balance'!$A$5:$A$500=$F1139)*('Lot Balance'!$K$5:$K$500&lt;$AJ1139)*('Lot Balance'!$K$5:$K$500+'Lot Balance'!$D$5:$D$500&gt;=$AJ1139),0),0)),""))</f>
        <v>ZIM510137962-0</v>
      </c>
      <c r="AN1139" s="66" t="str">
        <f>IF($F1139="","",IF($AI1139&lt;&gt;"",IF(COUNTIFS('Lot Balance'!$A$5:$A$500,$F1139,'Lot Balance'!$B$5:$B$500,$AI1139)=0,"⚠ override is not a lot of this item",IF($AI1139=$AL1139,"Override = FEFO","Override - FEFO says "&amp;$AL1139)),IF($AL1139="","⚠ no receipt on file for this item",IF($AM1139&lt;&gt;$AL1139,"FEFO auto - split, also "&amp;$AM1139,"FEFO auto"))))</f>
        <v>FEFO auto</v>
      </c>
      <c r="AO1139" s="114"/>
    </row>
    <row r="1140" spans="1:41" x14ac:dyDescent="0.35">
      <c r="A1140" s="74">
        <v>46182</v>
      </c>
      <c r="B1140" s="18" t="str">
        <f>IF($C1140="","",IFERROR(INDEX('Staff Directory'!$A$5:$A$594,MATCH($C1140,'Staff Directory'!$B$5:$B$594,0)),"⚠ unknown staff"))</f>
        <v>PSW-118-A5</v>
      </c>
      <c r="C1140" s="49" t="s">
        <v>1097</v>
      </c>
      <c r="D1140" s="19" t="str">
        <f>IF($B1140="","",IFERROR(INDEX('Staff Directory'!$C$5:$C$594,MATCH($B1140,'Staff Directory'!$A$5:$A$594,0)),""))</f>
        <v>PSW</v>
      </c>
      <c r="E1140" s="19" t="str">
        <f>IF($B1140="","",IFERROR(INDEX('Staff Directory'!$D$5:$D$594,MATCH($B1140,'Staff Directory'!$A$5:$A$594,0)),""))</f>
        <v>A5</v>
      </c>
      <c r="F1140" s="9" t="s">
        <v>156</v>
      </c>
      <c r="G1140" s="18" t="str">
        <f>IF($F1140="","",IFERROR(INDEX(Items!$B$5:$B$597,MATCH($F1140,Items!$A$5:$A$597,0)),"⚠ not in Items"))</f>
        <v>Masks</v>
      </c>
      <c r="H1140" s="19" t="str">
        <f>IF($F1140="","",IFERROR(INDEX(Items!$C$5:$C$597,MATCH($F1140,Items!$A$5:$A$597,0)),""))</f>
        <v>One Size</v>
      </c>
      <c r="I1140" s="23">
        <f>IF($F1140="","",IFERROR(INDEX(Items!$E$5:$E$597,MATCH($F1140,Items!$A$5:$A$597,0)),""))</f>
        <v>50</v>
      </c>
      <c r="J1140" s="115">
        <f>IF(tblIssues[[#This Row],[Qty Override]]&lt;&gt;"",tblIssues[[#This Row],[Qty Override]],IF(tblIssues[[#This Row],[Standard Issue]]="","",tblIssues[[#This Row],[Standard Issue]]))</f>
        <v>50</v>
      </c>
      <c r="K1140" s="20">
        <f>IF($F1140="","",IFERROR(INDEX(Items!$D$5:$D$597,MATCH($F1140,Items!$A$5:$A$597,0)),""))</f>
        <v>0.25</v>
      </c>
      <c r="L1140" s="21">
        <f t="shared" si="195"/>
        <v>12.5</v>
      </c>
      <c r="M1140" s="9" t="str">
        <f t="shared" si="193"/>
        <v>102GPC24</v>
      </c>
      <c r="N1140" s="24">
        <f>IF($A1140="","",WORKDAY($A1140,Settings!$C$9,HolidayDates))</f>
        <v>46190</v>
      </c>
      <c r="O1140" s="24">
        <f>IF($N1140="","",WORKDAY($N1140,Settings!$C$10,HolidayDates))</f>
        <v>46230</v>
      </c>
      <c r="P1140" s="10" t="s">
        <v>501</v>
      </c>
      <c r="Q1140" s="52" t="str">
        <f t="shared" si="196"/>
        <v>Collected</v>
      </c>
      <c r="R1140" s="55" t="str">
        <f t="shared" si="197"/>
        <v>2026-06</v>
      </c>
      <c r="S1140" s="55">
        <f>IF(OR($B1140="",$F1140="",$R1140=""),"",SUMIFS(tblIssues[Qty Issued],tblIssues[Staff ID],$B1140,tblIssues[Item Name],$F1140,tblIssues[Month],$R1140))</f>
        <v>50</v>
      </c>
      <c r="T1140" s="56">
        <f>IF($I1140="","",$I1140*Settings!$C$11)</f>
        <v>50</v>
      </c>
      <c r="U1140" s="57" t="str">
        <f t="shared" si="194"/>
        <v>OK</v>
      </c>
      <c r="V1140" s="55" t="str">
        <f t="shared" si="198"/>
        <v/>
      </c>
      <c r="W1140" s="55" t="str">
        <f>IF($V1140="","",IF(COUNTIF($V$5:$V1140,$V1140)=1,1,""))</f>
        <v/>
      </c>
      <c r="X1140" s="58" t="str">
        <f>IF($W1140="","",MAX($X$4:X1139)+1)</f>
        <v/>
      </c>
      <c r="Y1140" s="62"/>
      <c r="Z1140" s="62"/>
      <c r="AA1140" s="64" t="str">
        <f>IF($C1140="","",IFERROR(INDEX('Staff Directory'!$E$5:$E$594,MATCH($C1140,'Staff Directory'!$B$5:$B$594,0)),""))</f>
        <v>firstname181.lastname181@example.com</v>
      </c>
      <c r="AB1140" s="64" t="str">
        <f>IF($C1140="","",IF(ISNUMBER(SEARCH($D1140,Settings!$C$15)),"Pickup","Dispatch"))</f>
        <v>Pickup</v>
      </c>
      <c r="AC1140" s="64" t="str">
        <f t="shared" si="199"/>
        <v>Supply order ready for pickup</v>
      </c>
      <c r="AD1140" s="64" t="str">
        <f t="shared" si="190"/>
        <v>Dear PSW,
Your order is ready for pickup from Sample Branch, Wed-Fri 9am-4pm.</v>
      </c>
      <c r="AE1140" s="64" t="str">
        <f t="shared" si="191"/>
        <v>mailto:firstname181.lastname181@example.com?subject=Supply%20order%20ready%20for%20pickup&amp;body=Dear%20PSW%2C%0A%0AYour%20order%20is%20ready%20for%20pickup%20from%20Sample%20Branch%2C%20Wed-Fri%209am-4pm.</v>
      </c>
      <c r="AF1140" s="89" t="str">
        <f t="shared" si="200"/>
        <v>Draft email</v>
      </c>
      <c r="AG1140" s="64" t="str">
        <f>IF($C1140="","",IFERROR(INDEX('Staff Directory'!$K$595:$K$599,MATCH($C1140,'Staff Directory'!$B$5:$B$599,0)),$D1140))</f>
        <v>PSW</v>
      </c>
      <c r="AH1140" t="str">
        <f>IF($C1140="","",IFERROR(INDEX('Staff Directory'!$I$595:$I$599,MATCH($C1140,'Staff Directory'!$B$5:$B$599,0))&amp;" "&amp;INDEX('Staff Directory'!$J$595:$J$599,MATCH($C1140,'Staff Directory'!$B$5:$B$599,0)),$AG1140))</f>
        <v>PSW</v>
      </c>
      <c r="AI1140" s="102"/>
      <c r="AJ1140" s="101">
        <f>IF($F1140="","",SUMIFS($J$5:$J1140,$F$5:$F1140,$F1140))</f>
        <v>9450</v>
      </c>
      <c r="AK1140" s="101">
        <f t="shared" si="192"/>
        <v>9401</v>
      </c>
      <c r="AL1140" s="66" t="str" cm="1">
        <f t="array" ref="AL1140">IF($F1140="","",IFERROR(INDEX('Lot Balance'!$B$5:$B$500,MATCH(1,INDEX(('Lot Balance'!$A$5:$A$500=$F1140)*('Lot Balance'!$K$5:$K$500&lt;$AK1140)*('Lot Balance'!$K$5:$K$500+'Lot Balance'!$D$5:$D$500&gt;=$AK1140),0),0)),""))</f>
        <v>102GPC24</v>
      </c>
      <c r="AM1140" s="66" t="str" cm="1">
        <f t="array" ref="AM1140">IF($F1140="","",IFERROR(INDEX('Lot Balance'!$B$5:$B$500,MATCH(1,INDEX(('Lot Balance'!$A$5:$A$500=$F1140)*('Lot Balance'!$K$5:$K$500&lt;$AJ1140)*('Lot Balance'!$K$5:$K$500+'Lot Balance'!$D$5:$D$500&gt;=$AJ1140),0),0)),""))</f>
        <v>102GPC24</v>
      </c>
      <c r="AN1140" s="66" t="str">
        <f>IF($F1140="","",IF($AI1140&lt;&gt;"",IF(COUNTIFS('Lot Balance'!$A$5:$A$500,$F1140,'Lot Balance'!$B$5:$B$500,$AI1140)=0,"⚠ override is not a lot of this item",IF($AI1140=$AL1140,"Override = FEFO","Override - FEFO says "&amp;$AL1140)),IF($AL1140="","⚠ no receipt on file for this item",IF($AM1140&lt;&gt;$AL1140,"FEFO auto - split, also "&amp;$AM1140,"FEFO auto"))))</f>
        <v>FEFO auto</v>
      </c>
      <c r="AO1140" s="114"/>
    </row>
    <row r="1141" spans="1:41" x14ac:dyDescent="0.35">
      <c r="A1141" s="74">
        <v>46182</v>
      </c>
      <c r="B1141" s="18" t="str">
        <f>IF($C1141="","",IFERROR(INDEX('Staff Directory'!$A$5:$A$594,MATCH($C1141,'Staff Directory'!$B$5:$B$594,0)),"⚠ unknown staff"))</f>
        <v>PSW-161-A6</v>
      </c>
      <c r="C1141" s="49" t="s">
        <v>1140</v>
      </c>
      <c r="D1141" s="19" t="str">
        <f>IF($B1141="","",IFERROR(INDEX('Staff Directory'!$C$5:$C$594,MATCH($B1141,'Staff Directory'!$A$5:$A$594,0)),""))</f>
        <v>PSW</v>
      </c>
      <c r="E1141" s="19" t="str">
        <f>IF($B1141="","",IFERROR(INDEX('Staff Directory'!$D$5:$D$594,MATCH($B1141,'Staff Directory'!$A$5:$A$594,0)),""))</f>
        <v>A6</v>
      </c>
      <c r="F1141" s="9" t="s">
        <v>127</v>
      </c>
      <c r="G1141" s="18" t="str">
        <f>IF($F1141="","",IFERROR(INDEX(Items!$B$5:$B$597,MATCH($F1141,Items!$A$5:$A$597,0)),"⚠ not in Items"))</f>
        <v>Gloves</v>
      </c>
      <c r="H1141" s="19" t="str">
        <f>IF($F1141="","",IFERROR(INDEX(Items!$C$5:$C$597,MATCH($F1141,Items!$A$5:$A$597,0)),""))</f>
        <v>Medium</v>
      </c>
      <c r="I1141" s="23">
        <f>IF($F1141="","",IFERROR(INDEX(Items!$E$5:$E$597,MATCH($F1141,Items!$A$5:$A$597,0)),""))</f>
        <v>500</v>
      </c>
      <c r="J1141" s="115">
        <f>IF(tblIssues[[#This Row],[Qty Override]]&lt;&gt;"",tblIssues[[#This Row],[Qty Override]],IF(tblIssues[[#This Row],[Standard Issue]]="","",tblIssues[[#This Row],[Standard Issue]]))</f>
        <v>500</v>
      </c>
      <c r="K1141" s="20">
        <f>IF($F1141="","",IFERROR(INDEX(Items!$D$5:$D$597,MATCH($F1141,Items!$A$5:$A$597,0)),""))</f>
        <v>5.5E-2</v>
      </c>
      <c r="L1141" s="21">
        <f t="shared" si="195"/>
        <v>27.5</v>
      </c>
      <c r="M1141" s="9" t="str">
        <f t="shared" si="193"/>
        <v>ZIM510137962-0</v>
      </c>
      <c r="N1141" s="24">
        <f>IF($A1141="","",WORKDAY($A1141,Settings!$C$9,HolidayDates))</f>
        <v>46190</v>
      </c>
      <c r="O1141" s="24">
        <f>IF($N1141="","",WORKDAY($N1141,Settings!$C$10,HolidayDates))</f>
        <v>46230</v>
      </c>
      <c r="P1141" s="10" t="s">
        <v>501</v>
      </c>
      <c r="Q1141" s="52" t="str">
        <f t="shared" si="196"/>
        <v>Collected</v>
      </c>
      <c r="R1141" s="55" t="str">
        <f t="shared" si="197"/>
        <v>2026-06</v>
      </c>
      <c r="S1141" s="55">
        <f>IF(OR($B1141="",$F1141="",$R1141=""),"",SUMIFS(tblIssues[Qty Issued],tblIssues[Staff ID],$B1141,tblIssues[Item Name],$F1141,tblIssues[Month],$R1141))</f>
        <v>500</v>
      </c>
      <c r="T1141" s="56">
        <f>IF($I1141="","",$I1141*Settings!$C$11)</f>
        <v>500</v>
      </c>
      <c r="U1141" s="57" t="str">
        <f t="shared" si="194"/>
        <v>OK</v>
      </c>
      <c r="V1141" s="55" t="str">
        <f t="shared" si="198"/>
        <v/>
      </c>
      <c r="W1141" s="55" t="str">
        <f>IF($V1141="","",IF(COUNTIF($V$5:$V1141,$V1141)=1,1,""))</f>
        <v/>
      </c>
      <c r="X1141" s="58" t="str">
        <f>IF($W1141="","",MAX($X$4:X1140)+1)</f>
        <v/>
      </c>
      <c r="Y1141" s="62"/>
      <c r="Z1141" s="62"/>
      <c r="AA1141" s="64" t="str">
        <f>IF($C1141="","",IFERROR(INDEX('Staff Directory'!$E$5:$E$594,MATCH($C1141,'Staff Directory'!$B$5:$B$594,0)),""))</f>
        <v>firstname224.lastname224@example.com</v>
      </c>
      <c r="AB1141" s="64" t="str">
        <f>IF($C1141="","",IF(ISNUMBER(SEARCH($D1141,Settings!$C$15)),"Pickup","Dispatch"))</f>
        <v>Pickup</v>
      </c>
      <c r="AC1141" s="64" t="str">
        <f t="shared" si="199"/>
        <v>Supply order ready for pickup</v>
      </c>
      <c r="AD1141" s="64" t="str">
        <f t="shared" si="190"/>
        <v>Dear PSW,
Your order is ready for pickup from Sample Branch, Wed-Fri 9am-4pm.</v>
      </c>
      <c r="AE1141" s="64" t="str">
        <f t="shared" si="191"/>
        <v>mailto:firstname224.lastname224@example.com?subject=Supply%20order%20ready%20for%20pickup&amp;body=Dear%20PSW%2C%0A%0AYour%20order%20is%20ready%20for%20pickup%20from%20Sample%20Branch%2C%20Wed-Fri%209am-4pm.</v>
      </c>
      <c r="AF1141" s="89" t="str">
        <f t="shared" si="200"/>
        <v>Draft email</v>
      </c>
      <c r="AG1141" s="64" t="str">
        <f>IF($C1141="","",IFERROR(INDEX('Staff Directory'!$K$595:$K$599,MATCH($C1141,'Staff Directory'!$B$5:$B$599,0)),$D1141))</f>
        <v>PSW</v>
      </c>
      <c r="AH1141" t="str">
        <f>IF($C1141="","",IFERROR(INDEX('Staff Directory'!$I$595:$I$599,MATCH($C1141,'Staff Directory'!$B$5:$B$599,0))&amp;" "&amp;INDEX('Staff Directory'!$J$595:$J$599,MATCH($C1141,'Staff Directory'!$B$5:$B$599,0)),$AG1141))</f>
        <v>PSW</v>
      </c>
      <c r="AI1141" s="102"/>
      <c r="AJ1141" s="101">
        <f>IF($F1141="","",SUMIFS($J$5:$J1141,$F$5:$F1141,$F1141))</f>
        <v>64500</v>
      </c>
      <c r="AK1141" s="101">
        <f t="shared" si="192"/>
        <v>64001</v>
      </c>
      <c r="AL1141" s="66" t="str" cm="1">
        <f t="array" ref="AL1141">IF($F1141="","",IFERROR(INDEX('Lot Balance'!$B$5:$B$500,MATCH(1,INDEX(('Lot Balance'!$A$5:$A$500=$F1141)*('Lot Balance'!$K$5:$K$500&lt;$AK1141)*('Lot Balance'!$K$5:$K$500+'Lot Balance'!$D$5:$D$500&gt;=$AK1141),0),0)),""))</f>
        <v>ZIM510137962-0</v>
      </c>
      <c r="AM1141" s="66" t="str" cm="1">
        <f t="array" ref="AM1141">IF($F1141="","",IFERROR(INDEX('Lot Balance'!$B$5:$B$500,MATCH(1,INDEX(('Lot Balance'!$A$5:$A$500=$F1141)*('Lot Balance'!$K$5:$K$500&lt;$AJ1141)*('Lot Balance'!$K$5:$K$500+'Lot Balance'!$D$5:$D$500&gt;=$AJ1141),0),0)),""))</f>
        <v>ZIM510137962-0</v>
      </c>
      <c r="AN1141" s="66" t="str">
        <f>IF($F1141="","",IF($AI1141&lt;&gt;"",IF(COUNTIFS('Lot Balance'!$A$5:$A$500,$F1141,'Lot Balance'!$B$5:$B$500,$AI1141)=0,"⚠ override is not a lot of this item",IF($AI1141=$AL1141,"Override = FEFO","Override - FEFO says "&amp;$AL1141)),IF($AL1141="","⚠ no receipt on file for this item",IF($AM1141&lt;&gt;$AL1141,"FEFO auto - split, also "&amp;$AM1141,"FEFO auto"))))</f>
        <v>FEFO auto</v>
      </c>
      <c r="AO1141" s="114"/>
    </row>
    <row r="1142" spans="1:41" x14ac:dyDescent="0.35">
      <c r="A1142" s="74">
        <v>46182</v>
      </c>
      <c r="B1142" s="18" t="str">
        <f>IF($C1142="","",IFERROR(INDEX('Staff Directory'!$A$5:$A$594,MATCH($C1142,'Staff Directory'!$B$5:$B$594,0)),"⚠ unknown staff"))</f>
        <v>PSW-161-A6</v>
      </c>
      <c r="C1142" s="49" t="s">
        <v>1140</v>
      </c>
      <c r="D1142" s="19" t="str">
        <f>IF($B1142="","",IFERROR(INDEX('Staff Directory'!$C$5:$C$594,MATCH($B1142,'Staff Directory'!$A$5:$A$594,0)),""))</f>
        <v>PSW</v>
      </c>
      <c r="E1142" s="19" t="str">
        <f>IF($B1142="","",IFERROR(INDEX('Staff Directory'!$D$5:$D$594,MATCH($B1142,'Staff Directory'!$A$5:$A$594,0)),""))</f>
        <v>A6</v>
      </c>
      <c r="F1142" s="9" t="s">
        <v>115</v>
      </c>
      <c r="G1142" s="18" t="str">
        <f>IF($F1142="","",IFERROR(INDEX(Items!$B$5:$B$597,MATCH($F1142,Items!$A$5:$A$597,0)),"⚠ not in Items"))</f>
        <v>Wipes</v>
      </c>
      <c r="H1142" s="19">
        <f>IF($F1142="","",IFERROR(INDEX(Items!$C$5:$C$597,MATCH($F1142,Items!$A$5:$A$597,0)),""))</f>
        <v>80</v>
      </c>
      <c r="I1142" s="23">
        <f>IF($F1142="","",IFERROR(INDEX(Items!$E$5:$E$597,MATCH($F1142,Items!$A$5:$A$597,0)),""))</f>
        <v>80</v>
      </c>
      <c r="J1142" s="115">
        <f>IF(tblIssues[[#This Row],[Qty Override]]&lt;&gt;"",tblIssues[[#This Row],[Qty Override]],IF(tblIssues[[#This Row],[Standard Issue]]="","",tblIssues[[#This Row],[Standard Issue]]))</f>
        <v>80</v>
      </c>
      <c r="K1142" s="20">
        <f>IF($F1142="","",IFERROR(INDEX(Items!$D$5:$D$597,MATCH($F1142,Items!$A$5:$A$597,0)),""))</f>
        <v>0.1</v>
      </c>
      <c r="L1142" s="21">
        <f t="shared" si="195"/>
        <v>8</v>
      </c>
      <c r="M1142" s="9" t="str">
        <f t="shared" si="193"/>
        <v>LYSL500290</v>
      </c>
      <c r="N1142" s="24">
        <f>IF($A1142="","",WORKDAY($A1142,Settings!$C$9,HolidayDates))</f>
        <v>46190</v>
      </c>
      <c r="O1142" s="24">
        <f>IF($N1142="","",WORKDAY($N1142,Settings!$C$10,HolidayDates))</f>
        <v>46230</v>
      </c>
      <c r="P1142" s="10" t="s">
        <v>501</v>
      </c>
      <c r="Q1142" s="52" t="str">
        <f t="shared" si="196"/>
        <v>Collected</v>
      </c>
      <c r="R1142" s="55" t="str">
        <f t="shared" si="197"/>
        <v>2026-06</v>
      </c>
      <c r="S1142" s="55">
        <f>IF(OR($B1142="",$F1142="",$R1142=""),"",SUMIFS(tblIssues[Qty Issued],tblIssues[Staff ID],$B1142,tblIssues[Item Name],$F1142,tblIssues[Month],$R1142))</f>
        <v>80</v>
      </c>
      <c r="T1142" s="56">
        <f>IF($I1142="","",$I1142*Settings!$C$11)</f>
        <v>80</v>
      </c>
      <c r="U1142" s="57" t="str">
        <f t="shared" si="194"/>
        <v>OK</v>
      </c>
      <c r="V1142" s="55" t="str">
        <f t="shared" si="198"/>
        <v/>
      </c>
      <c r="W1142" s="55" t="str">
        <f>IF($V1142="","",IF(COUNTIF($V$5:$V1142,$V1142)=1,1,""))</f>
        <v/>
      </c>
      <c r="X1142" s="58" t="str">
        <f>IF($W1142="","",MAX($X$4:X1141)+1)</f>
        <v/>
      </c>
      <c r="Y1142" s="62"/>
      <c r="Z1142" s="62"/>
      <c r="AA1142" s="64" t="str">
        <f>IF($C1142="","",IFERROR(INDEX('Staff Directory'!$E$5:$E$594,MATCH($C1142,'Staff Directory'!$B$5:$B$594,0)),""))</f>
        <v>firstname224.lastname224@example.com</v>
      </c>
      <c r="AB1142" s="64" t="str">
        <f>IF($C1142="","",IF(ISNUMBER(SEARCH($D1142,Settings!$C$15)),"Pickup","Dispatch"))</f>
        <v>Pickup</v>
      </c>
      <c r="AC1142" s="64" t="str">
        <f t="shared" si="199"/>
        <v>Supply order ready for pickup</v>
      </c>
      <c r="AD1142" s="64" t="str">
        <f t="shared" si="190"/>
        <v>Dear PSW,
Your order is ready for pickup from Sample Branch, Wed-Fri 9am-4pm.</v>
      </c>
      <c r="AE1142" s="64" t="str">
        <f t="shared" si="191"/>
        <v>mailto:firstname224.lastname224@example.com?subject=Supply%20order%20ready%20for%20pickup&amp;body=Dear%20PSW%2C%0A%0AYour%20order%20is%20ready%20for%20pickup%20from%20Sample%20Branch%2C%20Wed-Fri%209am-4pm.</v>
      </c>
      <c r="AF1142" s="89" t="str">
        <f t="shared" si="200"/>
        <v>Draft email</v>
      </c>
      <c r="AG1142" s="64" t="str">
        <f>IF($C1142="","",IFERROR(INDEX('Staff Directory'!$K$595:$K$599,MATCH($C1142,'Staff Directory'!$B$5:$B$599,0)),$D1142))</f>
        <v>PSW</v>
      </c>
      <c r="AH1142" t="str">
        <f>IF($C1142="","",IFERROR(INDEX('Staff Directory'!$I$595:$I$599,MATCH($C1142,'Staff Directory'!$B$5:$B$599,0))&amp;" "&amp;INDEX('Staff Directory'!$J$595:$J$599,MATCH($C1142,'Staff Directory'!$B$5:$B$599,0)),$AG1142))</f>
        <v>PSW</v>
      </c>
      <c r="AI1142" s="102"/>
      <c r="AJ1142" s="101">
        <f>IF($F1142="","",SUMIFS($J$5:$J1142,$F$5:$F1142,$F1142))</f>
        <v>15440</v>
      </c>
      <c r="AK1142" s="101">
        <f t="shared" si="192"/>
        <v>15361</v>
      </c>
      <c r="AL1142" s="66" t="str" cm="1">
        <f t="array" ref="AL1142">IF($F1142="","",IFERROR(INDEX('Lot Balance'!$B$5:$B$500,MATCH(1,INDEX(('Lot Balance'!$A$5:$A$500=$F1142)*('Lot Balance'!$K$5:$K$500&lt;$AK1142)*('Lot Balance'!$K$5:$K$500+'Lot Balance'!$D$5:$D$500&gt;=$AK1142),0),0)),""))</f>
        <v>LYSL500290</v>
      </c>
      <c r="AM1142" s="66" t="str" cm="1">
        <f t="array" ref="AM1142">IF($F1142="","",IFERROR(INDEX('Lot Balance'!$B$5:$B$500,MATCH(1,INDEX(('Lot Balance'!$A$5:$A$500=$F1142)*('Lot Balance'!$K$5:$K$500&lt;$AJ1142)*('Lot Balance'!$K$5:$K$500+'Lot Balance'!$D$5:$D$500&gt;=$AJ1142),0),0)),""))</f>
        <v>LYSL500290</v>
      </c>
      <c r="AN1142" s="66" t="str">
        <f>IF($F1142="","",IF($AI1142&lt;&gt;"",IF(COUNTIFS('Lot Balance'!$A$5:$A$500,$F1142,'Lot Balance'!$B$5:$B$500,$AI1142)=0,"⚠ override is not a lot of this item",IF($AI1142=$AL1142,"Override = FEFO","Override - FEFO says "&amp;$AL1142)),IF($AL1142="","⚠ no receipt on file for this item",IF($AM1142&lt;&gt;$AL1142,"FEFO auto - split, also "&amp;$AM1142,"FEFO auto"))))</f>
        <v>FEFO auto</v>
      </c>
      <c r="AO1142" s="114"/>
    </row>
    <row r="1143" spans="1:41" x14ac:dyDescent="0.35">
      <c r="A1143" s="74">
        <v>46182</v>
      </c>
      <c r="B1143" s="18" t="str">
        <f>IF($C1143="","",IFERROR(INDEX('Staff Directory'!$A$5:$A$594,MATCH($C1143,'Staff Directory'!$B$5:$B$594,0)),"⚠ unknown staff"))</f>
        <v>PSW-161-A6</v>
      </c>
      <c r="C1143" s="49" t="s">
        <v>1140</v>
      </c>
      <c r="D1143" s="19" t="str">
        <f>IF($B1143="","",IFERROR(INDEX('Staff Directory'!$C$5:$C$594,MATCH($B1143,'Staff Directory'!$A$5:$A$594,0)),""))</f>
        <v>PSW</v>
      </c>
      <c r="E1143" s="19" t="str">
        <f>IF($B1143="","",IFERROR(INDEX('Staff Directory'!$D$5:$D$594,MATCH($B1143,'Staff Directory'!$A$5:$A$594,0)),""))</f>
        <v>A6</v>
      </c>
      <c r="F1143" s="9" t="s">
        <v>156</v>
      </c>
      <c r="G1143" s="18" t="str">
        <f>IF($F1143="","",IFERROR(INDEX(Items!$B$5:$B$597,MATCH($F1143,Items!$A$5:$A$597,0)),"⚠ not in Items"))</f>
        <v>Masks</v>
      </c>
      <c r="H1143" s="19" t="str">
        <f>IF($F1143="","",IFERROR(INDEX(Items!$C$5:$C$597,MATCH($F1143,Items!$A$5:$A$597,0)),""))</f>
        <v>One Size</v>
      </c>
      <c r="I1143" s="23">
        <f>IF($F1143="","",IFERROR(INDEX(Items!$E$5:$E$597,MATCH($F1143,Items!$A$5:$A$597,0)),""))</f>
        <v>50</v>
      </c>
      <c r="J1143" s="115">
        <f>IF(tblIssues[[#This Row],[Qty Override]]&lt;&gt;"",tblIssues[[#This Row],[Qty Override]],IF(tblIssues[[#This Row],[Standard Issue]]="","",tblIssues[[#This Row],[Standard Issue]]))</f>
        <v>50</v>
      </c>
      <c r="K1143" s="20">
        <f>IF($F1143="","",IFERROR(INDEX(Items!$D$5:$D$597,MATCH($F1143,Items!$A$5:$A$597,0)),""))</f>
        <v>0.25</v>
      </c>
      <c r="L1143" s="21">
        <f t="shared" si="195"/>
        <v>12.5</v>
      </c>
      <c r="M1143" s="9" t="str">
        <f t="shared" si="193"/>
        <v>102GPC24</v>
      </c>
      <c r="N1143" s="24">
        <f>IF($A1143="","",WORKDAY($A1143,Settings!$C$9,HolidayDates))</f>
        <v>46190</v>
      </c>
      <c r="O1143" s="24">
        <f>IF($N1143="","",WORKDAY($N1143,Settings!$C$10,HolidayDates))</f>
        <v>46230</v>
      </c>
      <c r="P1143" s="10" t="s">
        <v>501</v>
      </c>
      <c r="Q1143" s="52" t="str">
        <f t="shared" si="196"/>
        <v>Collected</v>
      </c>
      <c r="R1143" s="55" t="str">
        <f t="shared" si="197"/>
        <v>2026-06</v>
      </c>
      <c r="S1143" s="55">
        <f>IF(OR($B1143="",$F1143="",$R1143=""),"",SUMIFS(tblIssues[Qty Issued],tblIssues[Staff ID],$B1143,tblIssues[Item Name],$F1143,tblIssues[Month],$R1143))</f>
        <v>50</v>
      </c>
      <c r="T1143" s="56">
        <f>IF($I1143="","",$I1143*Settings!$C$11)</f>
        <v>50</v>
      </c>
      <c r="U1143" s="57" t="str">
        <f t="shared" si="194"/>
        <v>OK</v>
      </c>
      <c r="V1143" s="55" t="str">
        <f t="shared" si="198"/>
        <v/>
      </c>
      <c r="W1143" s="55" t="str">
        <f>IF($V1143="","",IF(COUNTIF($V$5:$V1143,$V1143)=1,1,""))</f>
        <v/>
      </c>
      <c r="X1143" s="58" t="str">
        <f>IF($W1143="","",MAX($X$4:X1142)+1)</f>
        <v/>
      </c>
      <c r="Y1143" s="62"/>
      <c r="Z1143" s="62"/>
      <c r="AA1143" s="64" t="str">
        <f>IF($C1143="","",IFERROR(INDEX('Staff Directory'!$E$5:$E$594,MATCH($C1143,'Staff Directory'!$B$5:$B$594,0)),""))</f>
        <v>firstname224.lastname224@example.com</v>
      </c>
      <c r="AB1143" s="64" t="str">
        <f>IF($C1143="","",IF(ISNUMBER(SEARCH($D1143,Settings!$C$15)),"Pickup","Dispatch"))</f>
        <v>Pickup</v>
      </c>
      <c r="AC1143" s="64" t="str">
        <f t="shared" si="199"/>
        <v>Supply order ready for pickup</v>
      </c>
      <c r="AD1143" s="64" t="str">
        <f t="shared" si="190"/>
        <v>Dear PSW,
Your order is ready for pickup from Sample Branch, Wed-Fri 9am-4pm.</v>
      </c>
      <c r="AE1143" s="64" t="str">
        <f t="shared" si="191"/>
        <v>mailto:firstname224.lastname224@example.com?subject=Supply%20order%20ready%20for%20pickup&amp;body=Dear%20PSW%2C%0A%0AYour%20order%20is%20ready%20for%20pickup%20from%20Sample%20Branch%2C%20Wed-Fri%209am-4pm.</v>
      </c>
      <c r="AF1143" s="89" t="str">
        <f t="shared" si="200"/>
        <v>Draft email</v>
      </c>
      <c r="AG1143" s="64" t="str">
        <f>IF($C1143="","",IFERROR(INDEX('Staff Directory'!$K$595:$K$599,MATCH($C1143,'Staff Directory'!$B$5:$B$599,0)),$D1143))</f>
        <v>PSW</v>
      </c>
      <c r="AH1143" t="str">
        <f>IF($C1143="","",IFERROR(INDEX('Staff Directory'!$I$595:$I$599,MATCH($C1143,'Staff Directory'!$B$5:$B$599,0))&amp;" "&amp;INDEX('Staff Directory'!$J$595:$J$599,MATCH($C1143,'Staff Directory'!$B$5:$B$599,0)),$AG1143))</f>
        <v>PSW</v>
      </c>
      <c r="AI1143" s="102"/>
      <c r="AJ1143" s="101">
        <f>IF($F1143="","",SUMIFS($J$5:$J1143,$F$5:$F1143,$F1143))</f>
        <v>9500</v>
      </c>
      <c r="AK1143" s="101">
        <f t="shared" si="192"/>
        <v>9451</v>
      </c>
      <c r="AL1143" s="66" t="str" cm="1">
        <f t="array" ref="AL1143">IF($F1143="","",IFERROR(INDEX('Lot Balance'!$B$5:$B$500,MATCH(1,INDEX(('Lot Balance'!$A$5:$A$500=$F1143)*('Lot Balance'!$K$5:$K$500&lt;$AK1143)*('Lot Balance'!$K$5:$K$500+'Lot Balance'!$D$5:$D$500&gt;=$AK1143),0),0)),""))</f>
        <v>102GPC24</v>
      </c>
      <c r="AM1143" s="66" t="str" cm="1">
        <f t="array" ref="AM1143">IF($F1143="","",IFERROR(INDEX('Lot Balance'!$B$5:$B$500,MATCH(1,INDEX(('Lot Balance'!$A$5:$A$500=$F1143)*('Lot Balance'!$K$5:$K$500&lt;$AJ1143)*('Lot Balance'!$K$5:$K$500+'Lot Balance'!$D$5:$D$500&gt;=$AJ1143),0),0)),""))</f>
        <v>102GPC24</v>
      </c>
      <c r="AN1143" s="66" t="str">
        <f>IF($F1143="","",IF($AI1143&lt;&gt;"",IF(COUNTIFS('Lot Balance'!$A$5:$A$500,$F1143,'Lot Balance'!$B$5:$B$500,$AI1143)=0,"⚠ override is not a lot of this item",IF($AI1143=$AL1143,"Override = FEFO","Override - FEFO says "&amp;$AL1143)),IF($AL1143="","⚠ no receipt on file for this item",IF($AM1143&lt;&gt;$AL1143,"FEFO auto - split, also "&amp;$AM1143,"FEFO auto"))))</f>
        <v>FEFO auto</v>
      </c>
      <c r="AO1143" s="114"/>
    </row>
    <row r="1144" spans="1:41" x14ac:dyDescent="0.35">
      <c r="A1144" s="74">
        <v>46182</v>
      </c>
      <c r="B1144" s="18" t="str">
        <f>IF($C1144="","",IFERROR(INDEX('Staff Directory'!$A$5:$A$594,MATCH($C1144,'Staff Directory'!$B$5:$B$594,0)),"⚠ unknown staff"))</f>
        <v>PSW-032-A6</v>
      </c>
      <c r="C1144" s="49" t="s">
        <v>1007</v>
      </c>
      <c r="D1144" s="19" t="str">
        <f>IF($B1144="","",IFERROR(INDEX('Staff Directory'!$C$5:$C$594,MATCH($B1144,'Staff Directory'!$A$5:$A$594,0)),""))</f>
        <v>PSW</v>
      </c>
      <c r="E1144" s="19" t="str">
        <f>IF($B1144="","",IFERROR(INDEX('Staff Directory'!$D$5:$D$594,MATCH($B1144,'Staff Directory'!$A$5:$A$594,0)),""))</f>
        <v>A6</v>
      </c>
      <c r="F1144" s="9" t="s">
        <v>127</v>
      </c>
      <c r="G1144" s="18" t="str">
        <f>IF($F1144="","",IFERROR(INDEX(Items!$B$5:$B$597,MATCH($F1144,Items!$A$5:$A$597,0)),"⚠ not in Items"))</f>
        <v>Gloves</v>
      </c>
      <c r="H1144" s="19" t="str">
        <f>IF($F1144="","",IFERROR(INDEX(Items!$C$5:$C$597,MATCH($F1144,Items!$A$5:$A$597,0)),""))</f>
        <v>Medium</v>
      </c>
      <c r="I1144" s="23">
        <f>IF($F1144="","",IFERROR(INDEX(Items!$E$5:$E$597,MATCH($F1144,Items!$A$5:$A$597,0)),""))</f>
        <v>500</v>
      </c>
      <c r="J1144" s="115">
        <f>IF(tblIssues[[#This Row],[Qty Override]]&lt;&gt;"",tblIssues[[#This Row],[Qty Override]],IF(tblIssues[[#This Row],[Standard Issue]]="","",tblIssues[[#This Row],[Standard Issue]]))</f>
        <v>500</v>
      </c>
      <c r="K1144" s="20">
        <f>IF($F1144="","",IFERROR(INDEX(Items!$D$5:$D$597,MATCH($F1144,Items!$A$5:$A$597,0)),""))</f>
        <v>5.5E-2</v>
      </c>
      <c r="L1144" s="21">
        <f t="shared" si="195"/>
        <v>27.5</v>
      </c>
      <c r="M1144" s="9" t="str">
        <f t="shared" si="193"/>
        <v>ZIM510137962-0</v>
      </c>
      <c r="N1144" s="24">
        <f>IF($A1144="","",WORKDAY($A1144,Settings!$C$9,HolidayDates))</f>
        <v>46190</v>
      </c>
      <c r="O1144" s="24">
        <f>IF($N1144="","",WORKDAY($N1144,Settings!$C$10,HolidayDates))</f>
        <v>46230</v>
      </c>
      <c r="P1144" s="10" t="s">
        <v>501</v>
      </c>
      <c r="Q1144" s="52" t="str">
        <f t="shared" si="196"/>
        <v>Collected</v>
      </c>
      <c r="R1144" s="55" t="str">
        <f t="shared" si="197"/>
        <v>2026-06</v>
      </c>
      <c r="S1144" s="55">
        <f>IF(OR($B1144="",$F1144="",$R1144=""),"",SUMIFS(tblIssues[Qty Issued],tblIssues[Staff ID],$B1144,tblIssues[Item Name],$F1144,tblIssues[Month],$R1144))</f>
        <v>500</v>
      </c>
      <c r="T1144" s="56">
        <f>IF($I1144="","",$I1144*Settings!$C$11)</f>
        <v>500</v>
      </c>
      <c r="U1144" s="57" t="str">
        <f t="shared" si="194"/>
        <v>OK</v>
      </c>
      <c r="V1144" s="55" t="str">
        <f t="shared" si="198"/>
        <v/>
      </c>
      <c r="W1144" s="55" t="str">
        <f>IF($V1144="","",IF(COUNTIF($V$5:$V1144,$V1144)=1,1,""))</f>
        <v/>
      </c>
      <c r="X1144" s="58" t="str">
        <f>IF($W1144="","",MAX($X$4:X1143)+1)</f>
        <v/>
      </c>
      <c r="Y1144" s="62"/>
      <c r="Z1144" s="62"/>
      <c r="AA1144" s="64" t="str">
        <f>IF($C1144="","",IFERROR(INDEX('Staff Directory'!$E$5:$E$594,MATCH($C1144,'Staff Directory'!$B$5:$B$594,0)),""))</f>
        <v>firstname091.lastname091@example.com</v>
      </c>
      <c r="AB1144" s="64" t="str">
        <f>IF($C1144="","",IF(ISNUMBER(SEARCH($D1144,Settings!$C$15)),"Pickup","Dispatch"))</f>
        <v>Pickup</v>
      </c>
      <c r="AC1144" s="64" t="str">
        <f t="shared" si="199"/>
        <v>Supply order ready for pickup</v>
      </c>
      <c r="AD1144" s="64" t="str">
        <f t="shared" si="190"/>
        <v>Dear PSW,
Your order is ready for pickup from Sample Branch, Wed-Fri 9am-4pm.</v>
      </c>
      <c r="AE1144" s="64" t="str">
        <f t="shared" si="191"/>
        <v>mailto:firstname091.lastname091@example.com?subject=Supply%20order%20ready%20for%20pickup&amp;body=Dear%20PSW%2C%0A%0AYour%20order%20is%20ready%20for%20pickup%20from%20Sample%20Branch%2C%20Wed-Fri%209am-4pm.</v>
      </c>
      <c r="AF1144" s="89" t="str">
        <f t="shared" si="200"/>
        <v>Draft email</v>
      </c>
      <c r="AG1144" s="64" t="str">
        <f>IF($C1144="","",IFERROR(INDEX('Staff Directory'!$K$595:$K$599,MATCH($C1144,'Staff Directory'!$B$5:$B$599,0)),$D1144))</f>
        <v>PSW</v>
      </c>
      <c r="AH1144" t="str">
        <f>IF($C1144="","",IFERROR(INDEX('Staff Directory'!$I$595:$I$599,MATCH($C1144,'Staff Directory'!$B$5:$B$599,0))&amp;" "&amp;INDEX('Staff Directory'!$J$595:$J$599,MATCH($C1144,'Staff Directory'!$B$5:$B$599,0)),$AG1144))</f>
        <v>PSW</v>
      </c>
      <c r="AI1144" s="102"/>
      <c r="AJ1144" s="101">
        <f>IF($F1144="","",SUMIFS($J$5:$J1144,$F$5:$F1144,$F1144))</f>
        <v>65000</v>
      </c>
      <c r="AK1144" s="101">
        <f t="shared" si="192"/>
        <v>64501</v>
      </c>
      <c r="AL1144" s="66" t="str" cm="1">
        <f t="array" ref="AL1144">IF($F1144="","",IFERROR(INDEX('Lot Balance'!$B$5:$B$500,MATCH(1,INDEX(('Lot Balance'!$A$5:$A$500=$F1144)*('Lot Balance'!$K$5:$K$500&lt;$AK1144)*('Lot Balance'!$K$5:$K$500+'Lot Balance'!$D$5:$D$500&gt;=$AK1144),0),0)),""))</f>
        <v>ZIM510137962-0</v>
      </c>
      <c r="AM1144" s="66" t="str" cm="1">
        <f t="array" ref="AM1144">IF($F1144="","",IFERROR(INDEX('Lot Balance'!$B$5:$B$500,MATCH(1,INDEX(('Lot Balance'!$A$5:$A$500=$F1144)*('Lot Balance'!$K$5:$K$500&lt;$AJ1144)*('Lot Balance'!$K$5:$K$500+'Lot Balance'!$D$5:$D$500&gt;=$AJ1144),0),0)),""))</f>
        <v>ZIM510137964</v>
      </c>
      <c r="AN1144" s="66" t="str">
        <f>IF($F1144="","",IF($AI1144&lt;&gt;"",IF(COUNTIFS('Lot Balance'!$A$5:$A$500,$F1144,'Lot Balance'!$B$5:$B$500,$AI1144)=0,"⚠ override is not a lot of this item",IF($AI1144=$AL1144,"Override = FEFO","Override - FEFO says "&amp;$AL1144)),IF($AL1144="","⚠ no receipt on file for this item",IF($AM1144&lt;&gt;$AL1144,"FEFO auto - split, also "&amp;$AM1144,"FEFO auto"))))</f>
        <v>FEFO auto - split, also ZIM510137964</v>
      </c>
      <c r="AO1144" s="114"/>
    </row>
    <row r="1145" spans="1:41" x14ac:dyDescent="0.35">
      <c r="A1145" s="74">
        <v>46182</v>
      </c>
      <c r="B1145" s="18" t="str">
        <f>IF($C1145="","",IFERROR(INDEX('Staff Directory'!$A$5:$A$594,MATCH($C1145,'Staff Directory'!$B$5:$B$594,0)),"⚠ unknown staff"))</f>
        <v>PSW-032-A6</v>
      </c>
      <c r="C1145" s="49" t="s">
        <v>1007</v>
      </c>
      <c r="D1145" s="19" t="str">
        <f>IF($B1145="","",IFERROR(INDEX('Staff Directory'!$C$5:$C$594,MATCH($B1145,'Staff Directory'!$A$5:$A$594,0)),""))</f>
        <v>PSW</v>
      </c>
      <c r="E1145" s="19" t="str">
        <f>IF($B1145="","",IFERROR(INDEX('Staff Directory'!$D$5:$D$594,MATCH($B1145,'Staff Directory'!$A$5:$A$594,0)),""))</f>
        <v>A6</v>
      </c>
      <c r="F1145" s="9" t="s">
        <v>115</v>
      </c>
      <c r="G1145" s="18" t="str">
        <f>IF($F1145="","",IFERROR(INDEX(Items!$B$5:$B$597,MATCH($F1145,Items!$A$5:$A$597,0)),"⚠ not in Items"))</f>
        <v>Wipes</v>
      </c>
      <c r="H1145" s="19">
        <f>IF($F1145="","",IFERROR(INDEX(Items!$C$5:$C$597,MATCH($F1145,Items!$A$5:$A$597,0)),""))</f>
        <v>80</v>
      </c>
      <c r="I1145" s="23">
        <f>IF($F1145="","",IFERROR(INDEX(Items!$E$5:$E$597,MATCH($F1145,Items!$A$5:$A$597,0)),""))</f>
        <v>80</v>
      </c>
      <c r="J1145" s="115">
        <f>IF(tblIssues[[#This Row],[Qty Override]]&lt;&gt;"",tblIssues[[#This Row],[Qty Override]],IF(tblIssues[[#This Row],[Standard Issue]]="","",tblIssues[[#This Row],[Standard Issue]]))</f>
        <v>80</v>
      </c>
      <c r="K1145" s="20">
        <f>IF($F1145="","",IFERROR(INDEX(Items!$D$5:$D$597,MATCH($F1145,Items!$A$5:$A$597,0)),""))</f>
        <v>0.1</v>
      </c>
      <c r="L1145" s="21">
        <f t="shared" si="195"/>
        <v>8</v>
      </c>
      <c r="M1145" s="9" t="str">
        <f t="shared" si="193"/>
        <v>LYSL500290</v>
      </c>
      <c r="N1145" s="24">
        <f>IF($A1145="","",WORKDAY($A1145,Settings!$C$9,HolidayDates))</f>
        <v>46190</v>
      </c>
      <c r="O1145" s="24">
        <f>IF($N1145="","",WORKDAY($N1145,Settings!$C$10,HolidayDates))</f>
        <v>46230</v>
      </c>
      <c r="P1145" s="10" t="s">
        <v>501</v>
      </c>
      <c r="Q1145" s="52" t="str">
        <f t="shared" si="196"/>
        <v>Collected</v>
      </c>
      <c r="R1145" s="55" t="str">
        <f t="shared" si="197"/>
        <v>2026-06</v>
      </c>
      <c r="S1145" s="55">
        <f>IF(OR($B1145="",$F1145="",$R1145=""),"",SUMIFS(tblIssues[Qty Issued],tblIssues[Staff ID],$B1145,tblIssues[Item Name],$F1145,tblIssues[Month],$R1145))</f>
        <v>80</v>
      </c>
      <c r="T1145" s="56">
        <f>IF($I1145="","",$I1145*Settings!$C$11)</f>
        <v>80</v>
      </c>
      <c r="U1145" s="57" t="str">
        <f t="shared" si="194"/>
        <v>OK</v>
      </c>
      <c r="V1145" s="55" t="str">
        <f t="shared" si="198"/>
        <v/>
      </c>
      <c r="W1145" s="55" t="str">
        <f>IF($V1145="","",IF(COUNTIF($V$5:$V1145,$V1145)=1,1,""))</f>
        <v/>
      </c>
      <c r="X1145" s="58" t="str">
        <f>IF($W1145="","",MAX($X$4:X1144)+1)</f>
        <v/>
      </c>
      <c r="Y1145" s="62"/>
      <c r="Z1145" s="62"/>
      <c r="AA1145" s="64" t="str">
        <f>IF($C1145="","",IFERROR(INDEX('Staff Directory'!$E$5:$E$594,MATCH($C1145,'Staff Directory'!$B$5:$B$594,0)),""))</f>
        <v>firstname091.lastname091@example.com</v>
      </c>
      <c r="AB1145" s="64" t="str">
        <f>IF($C1145="","",IF(ISNUMBER(SEARCH($D1145,Settings!$C$15)),"Pickup","Dispatch"))</f>
        <v>Pickup</v>
      </c>
      <c r="AC1145" s="64" t="str">
        <f t="shared" si="199"/>
        <v>Supply order ready for pickup</v>
      </c>
      <c r="AD1145" s="64" t="str">
        <f t="shared" si="190"/>
        <v>Dear PSW,
Your order is ready for pickup from Sample Branch, Wed-Fri 9am-4pm.</v>
      </c>
      <c r="AE1145" s="64" t="str">
        <f t="shared" si="191"/>
        <v>mailto:firstname091.lastname091@example.com?subject=Supply%20order%20ready%20for%20pickup&amp;body=Dear%20PSW%2C%0A%0AYour%20order%20is%20ready%20for%20pickup%20from%20Sample%20Branch%2C%20Wed-Fri%209am-4pm.</v>
      </c>
      <c r="AF1145" s="89" t="str">
        <f t="shared" si="200"/>
        <v>Draft email</v>
      </c>
      <c r="AG1145" s="64" t="str">
        <f>IF($C1145="","",IFERROR(INDEX('Staff Directory'!$K$595:$K$599,MATCH($C1145,'Staff Directory'!$B$5:$B$599,0)),$D1145))</f>
        <v>PSW</v>
      </c>
      <c r="AH1145" t="str">
        <f>IF($C1145="","",IFERROR(INDEX('Staff Directory'!$I$595:$I$599,MATCH($C1145,'Staff Directory'!$B$5:$B$599,0))&amp;" "&amp;INDEX('Staff Directory'!$J$595:$J$599,MATCH($C1145,'Staff Directory'!$B$5:$B$599,0)),$AG1145))</f>
        <v>PSW</v>
      </c>
      <c r="AI1145" s="102"/>
      <c r="AJ1145" s="101">
        <f>IF($F1145="","",SUMIFS($J$5:$J1145,$F$5:$F1145,$F1145))</f>
        <v>15520</v>
      </c>
      <c r="AK1145" s="101">
        <f t="shared" si="192"/>
        <v>15441</v>
      </c>
      <c r="AL1145" s="66" t="str" cm="1">
        <f t="array" ref="AL1145">IF($F1145="","",IFERROR(INDEX('Lot Balance'!$B$5:$B$500,MATCH(1,INDEX(('Lot Balance'!$A$5:$A$500=$F1145)*('Lot Balance'!$K$5:$K$500&lt;$AK1145)*('Lot Balance'!$K$5:$K$500+'Lot Balance'!$D$5:$D$500&gt;=$AK1145),0),0)),""))</f>
        <v>LYSL500290</v>
      </c>
      <c r="AM1145" s="66" t="str" cm="1">
        <f t="array" ref="AM1145">IF($F1145="","",IFERROR(INDEX('Lot Balance'!$B$5:$B$500,MATCH(1,INDEX(('Lot Balance'!$A$5:$A$500=$F1145)*('Lot Balance'!$K$5:$K$500&lt;$AJ1145)*('Lot Balance'!$K$5:$K$500+'Lot Balance'!$D$5:$D$500&gt;=$AJ1145),0),0)),""))</f>
        <v>LYSL500290</v>
      </c>
      <c r="AN1145" s="66" t="str">
        <f>IF($F1145="","",IF($AI1145&lt;&gt;"",IF(COUNTIFS('Lot Balance'!$A$5:$A$500,$F1145,'Lot Balance'!$B$5:$B$500,$AI1145)=0,"⚠ override is not a lot of this item",IF($AI1145=$AL1145,"Override = FEFO","Override - FEFO says "&amp;$AL1145)),IF($AL1145="","⚠ no receipt on file for this item",IF($AM1145&lt;&gt;$AL1145,"FEFO auto - split, also "&amp;$AM1145,"FEFO auto"))))</f>
        <v>FEFO auto</v>
      </c>
      <c r="AO1145" s="114"/>
    </row>
    <row r="1146" spans="1:41" x14ac:dyDescent="0.35">
      <c r="A1146" s="74">
        <v>46182</v>
      </c>
      <c r="B1146" s="18" t="str">
        <f>IF($C1146="","",IFERROR(INDEX('Staff Directory'!$A$5:$A$594,MATCH($C1146,'Staff Directory'!$B$5:$B$594,0)),"⚠ unknown staff"))</f>
        <v>PSW-032-A6</v>
      </c>
      <c r="C1146" s="49" t="s">
        <v>1007</v>
      </c>
      <c r="D1146" s="19" t="str">
        <f>IF($B1146="","",IFERROR(INDEX('Staff Directory'!$C$5:$C$594,MATCH($B1146,'Staff Directory'!$A$5:$A$594,0)),""))</f>
        <v>PSW</v>
      </c>
      <c r="E1146" s="19" t="str">
        <f>IF($B1146="","",IFERROR(INDEX('Staff Directory'!$D$5:$D$594,MATCH($B1146,'Staff Directory'!$A$5:$A$594,0)),""))</f>
        <v>A6</v>
      </c>
      <c r="F1146" s="9" t="s">
        <v>156</v>
      </c>
      <c r="G1146" s="18" t="str">
        <f>IF($F1146="","",IFERROR(INDEX(Items!$B$5:$B$597,MATCH($F1146,Items!$A$5:$A$597,0)),"⚠ not in Items"))</f>
        <v>Masks</v>
      </c>
      <c r="H1146" s="19" t="str">
        <f>IF($F1146="","",IFERROR(INDEX(Items!$C$5:$C$597,MATCH($F1146,Items!$A$5:$A$597,0)),""))</f>
        <v>One Size</v>
      </c>
      <c r="I1146" s="23">
        <f>IF($F1146="","",IFERROR(INDEX(Items!$E$5:$E$597,MATCH($F1146,Items!$A$5:$A$597,0)),""))</f>
        <v>50</v>
      </c>
      <c r="J1146" s="115">
        <f>IF(tblIssues[[#This Row],[Qty Override]]&lt;&gt;"",tblIssues[[#This Row],[Qty Override]],IF(tblIssues[[#This Row],[Standard Issue]]="","",tblIssues[[#This Row],[Standard Issue]]))</f>
        <v>50</v>
      </c>
      <c r="K1146" s="20">
        <f>IF($F1146="","",IFERROR(INDEX(Items!$D$5:$D$597,MATCH($F1146,Items!$A$5:$A$597,0)),""))</f>
        <v>0.25</v>
      </c>
      <c r="L1146" s="21">
        <f t="shared" si="195"/>
        <v>12.5</v>
      </c>
      <c r="M1146" s="9" t="str">
        <f t="shared" si="193"/>
        <v>102GPC24</v>
      </c>
      <c r="N1146" s="24">
        <f>IF($A1146="","",WORKDAY($A1146,Settings!$C$9,HolidayDates))</f>
        <v>46190</v>
      </c>
      <c r="O1146" s="24">
        <f>IF($N1146="","",WORKDAY($N1146,Settings!$C$10,HolidayDates))</f>
        <v>46230</v>
      </c>
      <c r="P1146" s="10" t="s">
        <v>501</v>
      </c>
      <c r="Q1146" s="52" t="str">
        <f t="shared" si="196"/>
        <v>Collected</v>
      </c>
      <c r="R1146" s="55" t="str">
        <f t="shared" si="197"/>
        <v>2026-06</v>
      </c>
      <c r="S1146" s="55">
        <f>IF(OR($B1146="",$F1146="",$R1146=""),"",SUMIFS(tblIssues[Qty Issued],tblIssues[Staff ID],$B1146,tblIssues[Item Name],$F1146,tblIssues[Month],$R1146))</f>
        <v>50</v>
      </c>
      <c r="T1146" s="56">
        <f>IF($I1146="","",$I1146*Settings!$C$11)</f>
        <v>50</v>
      </c>
      <c r="U1146" s="57" t="str">
        <f t="shared" si="194"/>
        <v>OK</v>
      </c>
      <c r="V1146" s="55" t="str">
        <f t="shared" si="198"/>
        <v/>
      </c>
      <c r="W1146" s="55" t="str">
        <f>IF($V1146="","",IF(COUNTIF($V$5:$V1146,$V1146)=1,1,""))</f>
        <v/>
      </c>
      <c r="X1146" s="58" t="str">
        <f>IF($W1146="","",MAX($X$4:X1145)+1)</f>
        <v/>
      </c>
      <c r="Y1146" s="62"/>
      <c r="Z1146" s="62"/>
      <c r="AA1146" s="64" t="str">
        <f>IF($C1146="","",IFERROR(INDEX('Staff Directory'!$E$5:$E$594,MATCH($C1146,'Staff Directory'!$B$5:$B$594,0)),""))</f>
        <v>firstname091.lastname091@example.com</v>
      </c>
      <c r="AB1146" s="64" t="str">
        <f>IF($C1146="","",IF(ISNUMBER(SEARCH($D1146,Settings!$C$15)),"Pickup","Dispatch"))</f>
        <v>Pickup</v>
      </c>
      <c r="AC1146" s="64" t="str">
        <f t="shared" si="199"/>
        <v>Supply order ready for pickup</v>
      </c>
      <c r="AD1146" s="64" t="str">
        <f t="shared" si="190"/>
        <v>Dear PSW,
Your order is ready for pickup from Sample Branch, Wed-Fri 9am-4pm.</v>
      </c>
      <c r="AE1146" s="64" t="str">
        <f t="shared" si="191"/>
        <v>mailto:firstname091.lastname091@example.com?subject=Supply%20order%20ready%20for%20pickup&amp;body=Dear%20PSW%2C%0A%0AYour%20order%20is%20ready%20for%20pickup%20from%20Sample%20Branch%2C%20Wed-Fri%209am-4pm.</v>
      </c>
      <c r="AF1146" s="89" t="str">
        <f t="shared" si="200"/>
        <v>Draft email</v>
      </c>
      <c r="AG1146" s="64" t="str">
        <f>IF($C1146="","",IFERROR(INDEX('Staff Directory'!$K$595:$K$599,MATCH($C1146,'Staff Directory'!$B$5:$B$599,0)),$D1146))</f>
        <v>PSW</v>
      </c>
      <c r="AH1146" t="str">
        <f>IF($C1146="","",IFERROR(INDEX('Staff Directory'!$I$595:$I$599,MATCH($C1146,'Staff Directory'!$B$5:$B$599,0))&amp;" "&amp;INDEX('Staff Directory'!$J$595:$J$599,MATCH($C1146,'Staff Directory'!$B$5:$B$599,0)),$AG1146))</f>
        <v>PSW</v>
      </c>
      <c r="AI1146" s="102"/>
      <c r="AJ1146" s="101">
        <f>IF($F1146="","",SUMIFS($J$5:$J1146,$F$5:$F1146,$F1146))</f>
        <v>9550</v>
      </c>
      <c r="AK1146" s="101">
        <f t="shared" si="192"/>
        <v>9501</v>
      </c>
      <c r="AL1146" s="66" t="str" cm="1">
        <f t="array" ref="AL1146">IF($F1146="","",IFERROR(INDEX('Lot Balance'!$B$5:$B$500,MATCH(1,INDEX(('Lot Balance'!$A$5:$A$500=$F1146)*('Lot Balance'!$K$5:$K$500&lt;$AK1146)*('Lot Balance'!$K$5:$K$500+'Lot Balance'!$D$5:$D$500&gt;=$AK1146),0),0)),""))</f>
        <v>102GPC24</v>
      </c>
      <c r="AM1146" s="66" t="str" cm="1">
        <f t="array" ref="AM1146">IF($F1146="","",IFERROR(INDEX('Lot Balance'!$B$5:$B$500,MATCH(1,INDEX(('Lot Balance'!$A$5:$A$500=$F1146)*('Lot Balance'!$K$5:$K$500&lt;$AJ1146)*('Lot Balance'!$K$5:$K$500+'Lot Balance'!$D$5:$D$500&gt;=$AJ1146),0),0)),""))</f>
        <v>102GPC24</v>
      </c>
      <c r="AN1146" s="66" t="str">
        <f>IF($F1146="","",IF($AI1146&lt;&gt;"",IF(COUNTIFS('Lot Balance'!$A$5:$A$500,$F1146,'Lot Balance'!$B$5:$B$500,$AI1146)=0,"⚠ override is not a lot of this item",IF($AI1146=$AL1146,"Override = FEFO","Override - FEFO says "&amp;$AL1146)),IF($AL1146="","⚠ no receipt on file for this item",IF($AM1146&lt;&gt;$AL1146,"FEFO auto - split, also "&amp;$AM1146,"FEFO auto"))))</f>
        <v>FEFO auto</v>
      </c>
      <c r="AO1146" s="114"/>
    </row>
    <row r="1147" spans="1:41" x14ac:dyDescent="0.35">
      <c r="A1147" s="74">
        <v>46182</v>
      </c>
      <c r="B1147" s="18" t="str">
        <f>IF($C1147="","",IFERROR(INDEX('Staff Directory'!$A$5:$A$594,MATCH($C1147,'Staff Directory'!$B$5:$B$594,0)),"⚠ unknown staff"))</f>
        <v>PSW-156-A5</v>
      </c>
      <c r="C1147" s="49" t="s">
        <v>1135</v>
      </c>
      <c r="D1147" s="19" t="str">
        <f>IF($B1147="","",IFERROR(INDEX('Staff Directory'!$C$5:$C$594,MATCH($B1147,'Staff Directory'!$A$5:$A$594,0)),""))</f>
        <v>PSW</v>
      </c>
      <c r="E1147" s="19" t="str">
        <f>IF($B1147="","",IFERROR(INDEX('Staff Directory'!$D$5:$D$594,MATCH($B1147,'Staff Directory'!$A$5:$A$594,0)),""))</f>
        <v>A5</v>
      </c>
      <c r="F1147" s="9" t="s">
        <v>127</v>
      </c>
      <c r="G1147" s="18" t="str">
        <f>IF($F1147="","",IFERROR(INDEX(Items!$B$5:$B$597,MATCH($F1147,Items!$A$5:$A$597,0)),"⚠ not in Items"))</f>
        <v>Gloves</v>
      </c>
      <c r="H1147" s="19" t="str">
        <f>IF($F1147="","",IFERROR(INDEX(Items!$C$5:$C$597,MATCH($F1147,Items!$A$5:$A$597,0)),""))</f>
        <v>Medium</v>
      </c>
      <c r="I1147" s="23">
        <f>IF($F1147="","",IFERROR(INDEX(Items!$E$5:$E$597,MATCH($F1147,Items!$A$5:$A$597,0)),""))</f>
        <v>500</v>
      </c>
      <c r="J1147" s="115">
        <f>IF(tblIssues[[#This Row],[Qty Override]]&lt;&gt;"",tblIssues[[#This Row],[Qty Override]],IF(tblIssues[[#This Row],[Standard Issue]]="","",tblIssues[[#This Row],[Standard Issue]]))</f>
        <v>500</v>
      </c>
      <c r="K1147" s="20">
        <f>IF($F1147="","",IFERROR(INDEX(Items!$D$5:$D$597,MATCH($F1147,Items!$A$5:$A$597,0)),""))</f>
        <v>5.5E-2</v>
      </c>
      <c r="L1147" s="21">
        <f t="shared" si="195"/>
        <v>27.5</v>
      </c>
      <c r="M1147" s="9" t="str">
        <f t="shared" si="193"/>
        <v>ZIM510137964</v>
      </c>
      <c r="N1147" s="24">
        <f>IF($A1147="","",WORKDAY($A1147,Settings!$C$9,HolidayDates))</f>
        <v>46190</v>
      </c>
      <c r="O1147" s="24">
        <f>IF($N1147="","",WORKDAY($N1147,Settings!$C$10,HolidayDates))</f>
        <v>46230</v>
      </c>
      <c r="P1147" s="10" t="s">
        <v>501</v>
      </c>
      <c r="Q1147" s="52" t="str">
        <f t="shared" si="196"/>
        <v>Collected</v>
      </c>
      <c r="R1147" s="55" t="str">
        <f t="shared" si="197"/>
        <v>2026-06</v>
      </c>
      <c r="S1147" s="55">
        <f>IF(OR($B1147="",$F1147="",$R1147=""),"",SUMIFS(tblIssues[Qty Issued],tblIssues[Staff ID],$B1147,tblIssues[Item Name],$F1147,tblIssues[Month],$R1147))</f>
        <v>500</v>
      </c>
      <c r="T1147" s="56">
        <f>IF($I1147="","",$I1147*Settings!$C$11)</f>
        <v>500</v>
      </c>
      <c r="U1147" s="57" t="str">
        <f t="shared" si="194"/>
        <v>OK</v>
      </c>
      <c r="V1147" s="55" t="str">
        <f t="shared" si="198"/>
        <v/>
      </c>
      <c r="W1147" s="55" t="str">
        <f>IF($V1147="","",IF(COUNTIF($V$5:$V1147,$V1147)=1,1,""))</f>
        <v/>
      </c>
      <c r="X1147" s="58" t="str">
        <f>IF($W1147="","",MAX($X$4:X1146)+1)</f>
        <v/>
      </c>
      <c r="Y1147" s="62"/>
      <c r="Z1147" s="62"/>
      <c r="AA1147" s="64" t="str">
        <f>IF($C1147="","",IFERROR(INDEX('Staff Directory'!$E$5:$E$594,MATCH($C1147,'Staff Directory'!$B$5:$B$594,0)),""))</f>
        <v>firstname219.lastname219@example.com</v>
      </c>
      <c r="AB1147" s="64" t="str">
        <f>IF($C1147="","",IF(ISNUMBER(SEARCH($D1147,Settings!$C$15)),"Pickup","Dispatch"))</f>
        <v>Pickup</v>
      </c>
      <c r="AC1147" s="64" t="str">
        <f t="shared" si="199"/>
        <v>Supply order ready for pickup</v>
      </c>
      <c r="AD1147" s="64" t="str">
        <f t="shared" si="190"/>
        <v>Dear PSW,
Your order is ready for pickup from Sample Branch, Wed-Fri 9am-4pm.</v>
      </c>
      <c r="AE1147" s="64" t="str">
        <f t="shared" si="191"/>
        <v>mailto:firstname219.lastname219@example.com?subject=Supply%20order%20ready%20for%20pickup&amp;body=Dear%20PSW%2C%0A%0AYour%20order%20is%20ready%20for%20pickup%20from%20Sample%20Branch%2C%20Wed-Fri%209am-4pm.</v>
      </c>
      <c r="AF1147" s="89" t="str">
        <f t="shared" si="200"/>
        <v>Draft email</v>
      </c>
      <c r="AG1147" s="64" t="str">
        <f>IF($C1147="","",IFERROR(INDEX('Staff Directory'!$K$595:$K$599,MATCH($C1147,'Staff Directory'!$B$5:$B$599,0)),$D1147))</f>
        <v>PSW</v>
      </c>
      <c r="AH1147" t="str">
        <f>IF($C1147="","",IFERROR(INDEX('Staff Directory'!$I$595:$I$599,MATCH($C1147,'Staff Directory'!$B$5:$B$599,0))&amp;" "&amp;INDEX('Staff Directory'!$J$595:$J$599,MATCH($C1147,'Staff Directory'!$B$5:$B$599,0)),$AG1147))</f>
        <v>PSW</v>
      </c>
      <c r="AI1147" s="102"/>
      <c r="AJ1147" s="101">
        <f>IF($F1147="","",SUMIFS($J$5:$J1147,$F$5:$F1147,$F1147))</f>
        <v>65500</v>
      </c>
      <c r="AK1147" s="101">
        <f t="shared" si="192"/>
        <v>65001</v>
      </c>
      <c r="AL1147" s="66" t="str" cm="1">
        <f t="array" ref="AL1147">IF($F1147="","",IFERROR(INDEX('Lot Balance'!$B$5:$B$500,MATCH(1,INDEX(('Lot Balance'!$A$5:$A$500=$F1147)*('Lot Balance'!$K$5:$K$500&lt;$AK1147)*('Lot Balance'!$K$5:$K$500+'Lot Balance'!$D$5:$D$500&gt;=$AK1147),0),0)),""))</f>
        <v>ZIM510137964</v>
      </c>
      <c r="AM1147" s="66" t="str" cm="1">
        <f t="array" ref="AM1147">IF($F1147="","",IFERROR(INDEX('Lot Balance'!$B$5:$B$500,MATCH(1,INDEX(('Lot Balance'!$A$5:$A$500=$F1147)*('Lot Balance'!$K$5:$K$500&lt;$AJ1147)*('Lot Balance'!$K$5:$K$500+'Lot Balance'!$D$5:$D$500&gt;=$AJ1147),0),0)),""))</f>
        <v>ZIM510137964</v>
      </c>
      <c r="AN1147" s="66" t="str">
        <f>IF($F1147="","",IF($AI1147&lt;&gt;"",IF(COUNTIFS('Lot Balance'!$A$5:$A$500,$F1147,'Lot Balance'!$B$5:$B$500,$AI1147)=0,"⚠ override is not a lot of this item",IF($AI1147=$AL1147,"Override = FEFO","Override - FEFO says "&amp;$AL1147)),IF($AL1147="","⚠ no receipt on file for this item",IF($AM1147&lt;&gt;$AL1147,"FEFO auto - split, also "&amp;$AM1147,"FEFO auto"))))</f>
        <v>FEFO auto</v>
      </c>
      <c r="AO1147" s="114"/>
    </row>
    <row r="1148" spans="1:41" x14ac:dyDescent="0.35">
      <c r="A1148" s="74">
        <v>46182</v>
      </c>
      <c r="B1148" s="18" t="str">
        <f>IF($C1148="","",IFERROR(INDEX('Staff Directory'!$A$5:$A$594,MATCH($C1148,'Staff Directory'!$B$5:$B$594,0)),"⚠ unknown staff"))</f>
        <v>PSW-156-A5</v>
      </c>
      <c r="C1148" s="49" t="s">
        <v>1135</v>
      </c>
      <c r="D1148" s="19" t="str">
        <f>IF($B1148="","",IFERROR(INDEX('Staff Directory'!$C$5:$C$594,MATCH($B1148,'Staff Directory'!$A$5:$A$594,0)),""))</f>
        <v>PSW</v>
      </c>
      <c r="E1148" s="19" t="str">
        <f>IF($B1148="","",IFERROR(INDEX('Staff Directory'!$D$5:$D$594,MATCH($B1148,'Staff Directory'!$A$5:$A$594,0)),""))</f>
        <v>A5</v>
      </c>
      <c r="F1148" s="9" t="s">
        <v>191</v>
      </c>
      <c r="G1148" s="18" t="str">
        <f>IF($F1148="","",IFERROR(INDEX(Items!$B$5:$B$597,MATCH($F1148,Items!$A$5:$A$597,0)),"⚠ not in Items"))</f>
        <v>Sanitizer</v>
      </c>
      <c r="H1148" s="19" t="str">
        <f>IF($F1148="","",IFERROR(INDEX(Items!$C$5:$C$597,MATCH($F1148,Items!$A$5:$A$597,0)),""))</f>
        <v>236 ML</v>
      </c>
      <c r="I1148" s="23">
        <f>IF($F1148="","",IFERROR(INDEX(Items!$E$5:$E$597,MATCH($F1148,Items!$A$5:$A$597,0)),""))</f>
        <v>1</v>
      </c>
      <c r="J1148" s="115">
        <f>IF(tblIssues[[#This Row],[Qty Override]]&lt;&gt;"",tblIssues[[#This Row],[Qty Override]],IF(tblIssues[[#This Row],[Standard Issue]]="","",tblIssues[[#This Row],[Standard Issue]]))</f>
        <v>1</v>
      </c>
      <c r="K1148" s="20">
        <f>IF($F1148="","",IFERROR(INDEX(Items!$D$5:$D$597,MATCH($F1148,Items!$A$5:$A$597,0)),""))</f>
        <v>1E-4</v>
      </c>
      <c r="L1148" s="21">
        <f t="shared" si="195"/>
        <v>1E-4</v>
      </c>
      <c r="M1148" s="9" t="str">
        <f t="shared" si="193"/>
        <v>20-21734-4</v>
      </c>
      <c r="N1148" s="24">
        <f>IF($A1148="","",WORKDAY($A1148,Settings!$C$9,HolidayDates))</f>
        <v>46190</v>
      </c>
      <c r="O1148" s="24">
        <f>IF($N1148="","",WORKDAY($N1148,Settings!$C$10,HolidayDates))</f>
        <v>46230</v>
      </c>
      <c r="P1148" s="10" t="s">
        <v>501</v>
      </c>
      <c r="Q1148" s="52" t="str">
        <f t="shared" si="196"/>
        <v>Collected</v>
      </c>
      <c r="R1148" s="55" t="str">
        <f t="shared" si="197"/>
        <v>2026-06</v>
      </c>
      <c r="S1148" s="55">
        <f>IF(OR($B1148="",$F1148="",$R1148=""),"",SUMIFS(tblIssues[Qty Issued],tblIssues[Staff ID],$B1148,tblIssues[Item Name],$F1148,tblIssues[Month],$R1148))</f>
        <v>1</v>
      </c>
      <c r="T1148" s="56">
        <f>IF($I1148="","",$I1148*Settings!$C$11)</f>
        <v>1</v>
      </c>
      <c r="U1148" s="57" t="str">
        <f t="shared" si="194"/>
        <v>OK</v>
      </c>
      <c r="V1148" s="55" t="str">
        <f t="shared" si="198"/>
        <v/>
      </c>
      <c r="W1148" s="55" t="str">
        <f>IF($V1148="","",IF(COUNTIF($V$5:$V1148,$V1148)=1,1,""))</f>
        <v/>
      </c>
      <c r="X1148" s="58" t="str">
        <f>IF($W1148="","",MAX($X$4:X1147)+1)</f>
        <v/>
      </c>
      <c r="Y1148" s="62"/>
      <c r="Z1148" s="62"/>
      <c r="AA1148" s="64" t="str">
        <f>IF($C1148="","",IFERROR(INDEX('Staff Directory'!$E$5:$E$594,MATCH($C1148,'Staff Directory'!$B$5:$B$594,0)),""))</f>
        <v>firstname219.lastname219@example.com</v>
      </c>
      <c r="AB1148" s="64" t="str">
        <f>IF($C1148="","",IF(ISNUMBER(SEARCH($D1148,Settings!$C$15)),"Pickup","Dispatch"))</f>
        <v>Pickup</v>
      </c>
      <c r="AC1148" s="64" t="str">
        <f t="shared" si="199"/>
        <v>Supply order ready for pickup</v>
      </c>
      <c r="AD1148" s="64" t="str">
        <f t="shared" si="190"/>
        <v>Dear PSW,
Your order is ready for pickup from Sample Branch, Wed-Fri 9am-4pm.</v>
      </c>
      <c r="AE1148" s="64" t="str">
        <f t="shared" si="191"/>
        <v>mailto:firstname219.lastname219@example.com?subject=Supply%20order%20ready%20for%20pickup&amp;body=Dear%20PSW%2C%0A%0AYour%20order%20is%20ready%20for%20pickup%20from%20Sample%20Branch%2C%20Wed-Fri%209am-4pm.</v>
      </c>
      <c r="AF1148" s="89" t="str">
        <f t="shared" si="200"/>
        <v>Draft email</v>
      </c>
      <c r="AG1148" s="64" t="str">
        <f>IF($C1148="","",IFERROR(INDEX('Staff Directory'!$K$595:$K$599,MATCH($C1148,'Staff Directory'!$B$5:$B$599,0)),$D1148))</f>
        <v>PSW</v>
      </c>
      <c r="AH1148" t="str">
        <f>IF($C1148="","",IFERROR(INDEX('Staff Directory'!$I$595:$I$599,MATCH($C1148,'Staff Directory'!$B$5:$B$599,0))&amp;" "&amp;INDEX('Staff Directory'!$J$595:$J$599,MATCH($C1148,'Staff Directory'!$B$5:$B$599,0)),$AG1148))</f>
        <v>PSW</v>
      </c>
      <c r="AI1148" s="102"/>
      <c r="AJ1148" s="101">
        <f>IF($F1148="","",SUMIFS($J$5:$J1148,$F$5:$F1148,$F1148))</f>
        <v>139</v>
      </c>
      <c r="AK1148" s="101">
        <f t="shared" si="192"/>
        <v>139</v>
      </c>
      <c r="AL1148" s="66" t="str" cm="1">
        <f t="array" ref="AL1148">IF($F1148="","",IFERROR(INDEX('Lot Balance'!$B$5:$B$500,MATCH(1,INDEX(('Lot Balance'!$A$5:$A$500=$F1148)*('Lot Balance'!$K$5:$K$500&lt;$AK1148)*('Lot Balance'!$K$5:$K$500+'Lot Balance'!$D$5:$D$500&gt;=$AK1148),0),0)),""))</f>
        <v>20-21734-4</v>
      </c>
      <c r="AM1148" s="66" t="str" cm="1">
        <f t="array" ref="AM1148">IF($F1148="","",IFERROR(INDEX('Lot Balance'!$B$5:$B$500,MATCH(1,INDEX(('Lot Balance'!$A$5:$A$500=$F1148)*('Lot Balance'!$K$5:$K$500&lt;$AJ1148)*('Lot Balance'!$K$5:$K$500+'Lot Balance'!$D$5:$D$500&gt;=$AJ1148),0),0)),""))</f>
        <v>20-21734-4</v>
      </c>
      <c r="AN1148" s="66" t="str">
        <f>IF($F1148="","",IF($AI1148&lt;&gt;"",IF(COUNTIFS('Lot Balance'!$A$5:$A$500,$F1148,'Lot Balance'!$B$5:$B$500,$AI1148)=0,"⚠ override is not a lot of this item",IF($AI1148=$AL1148,"Override = FEFO","Override - FEFO says "&amp;$AL1148)),IF($AL1148="","⚠ no receipt on file for this item",IF($AM1148&lt;&gt;$AL1148,"FEFO auto - split, also "&amp;$AM1148,"FEFO auto"))))</f>
        <v>FEFO auto</v>
      </c>
      <c r="AO1148" s="114"/>
    </row>
    <row r="1149" spans="1:41" x14ac:dyDescent="0.35">
      <c r="A1149" s="74">
        <v>46182</v>
      </c>
      <c r="B1149" s="18" t="str">
        <f>IF($C1149="","",IFERROR(INDEX('Staff Directory'!$A$5:$A$594,MATCH($C1149,'Staff Directory'!$B$5:$B$594,0)),"⚠ unknown staff"))</f>
        <v>PSW-156-A5</v>
      </c>
      <c r="C1149" s="49" t="s">
        <v>1135</v>
      </c>
      <c r="D1149" s="19" t="str">
        <f>IF($B1149="","",IFERROR(INDEX('Staff Directory'!$C$5:$C$594,MATCH($B1149,'Staff Directory'!$A$5:$A$594,0)),""))</f>
        <v>PSW</v>
      </c>
      <c r="E1149" s="19" t="str">
        <f>IF($B1149="","",IFERROR(INDEX('Staff Directory'!$D$5:$D$594,MATCH($B1149,'Staff Directory'!$A$5:$A$594,0)),""))</f>
        <v>A5</v>
      </c>
      <c r="F1149" s="9" t="s">
        <v>115</v>
      </c>
      <c r="G1149" s="18" t="str">
        <f>IF($F1149="","",IFERROR(INDEX(Items!$B$5:$B$597,MATCH($F1149,Items!$A$5:$A$597,0)),"⚠ not in Items"))</f>
        <v>Wipes</v>
      </c>
      <c r="H1149" s="19">
        <f>IF($F1149="","",IFERROR(INDEX(Items!$C$5:$C$597,MATCH($F1149,Items!$A$5:$A$597,0)),""))</f>
        <v>80</v>
      </c>
      <c r="I1149" s="23">
        <f>IF($F1149="","",IFERROR(INDEX(Items!$E$5:$E$597,MATCH($F1149,Items!$A$5:$A$597,0)),""))</f>
        <v>80</v>
      </c>
      <c r="J1149" s="115">
        <f>IF(tblIssues[[#This Row],[Qty Override]]&lt;&gt;"",tblIssues[[#This Row],[Qty Override]],IF(tblIssues[[#This Row],[Standard Issue]]="","",tblIssues[[#This Row],[Standard Issue]]))</f>
        <v>80</v>
      </c>
      <c r="K1149" s="20">
        <f>IF($F1149="","",IFERROR(INDEX(Items!$D$5:$D$597,MATCH($F1149,Items!$A$5:$A$597,0)),""))</f>
        <v>0.1</v>
      </c>
      <c r="L1149" s="21">
        <f t="shared" si="195"/>
        <v>8</v>
      </c>
      <c r="M1149" s="9" t="str">
        <f t="shared" si="193"/>
        <v>LYSL500290</v>
      </c>
      <c r="N1149" s="24">
        <f>IF($A1149="","",WORKDAY($A1149,Settings!$C$9,HolidayDates))</f>
        <v>46190</v>
      </c>
      <c r="O1149" s="24">
        <f>IF($N1149="","",WORKDAY($N1149,Settings!$C$10,HolidayDates))</f>
        <v>46230</v>
      </c>
      <c r="P1149" s="10" t="s">
        <v>501</v>
      </c>
      <c r="Q1149" s="52" t="str">
        <f t="shared" si="196"/>
        <v>Collected</v>
      </c>
      <c r="R1149" s="55" t="str">
        <f t="shared" si="197"/>
        <v>2026-06</v>
      </c>
      <c r="S1149" s="55">
        <f>IF(OR($B1149="",$F1149="",$R1149=""),"",SUMIFS(tblIssues[Qty Issued],tblIssues[Staff ID],$B1149,tblIssues[Item Name],$F1149,tblIssues[Month],$R1149))</f>
        <v>80</v>
      </c>
      <c r="T1149" s="56">
        <f>IF($I1149="","",$I1149*Settings!$C$11)</f>
        <v>80</v>
      </c>
      <c r="U1149" s="57" t="str">
        <f t="shared" si="194"/>
        <v>OK</v>
      </c>
      <c r="V1149" s="55" t="str">
        <f t="shared" si="198"/>
        <v/>
      </c>
      <c r="W1149" s="55" t="str">
        <f>IF($V1149="","",IF(COUNTIF($V$5:$V1149,$V1149)=1,1,""))</f>
        <v/>
      </c>
      <c r="X1149" s="58" t="str">
        <f>IF($W1149="","",MAX($X$4:X1148)+1)</f>
        <v/>
      </c>
      <c r="Y1149" s="62"/>
      <c r="Z1149" s="62"/>
      <c r="AA1149" s="64" t="str">
        <f>IF($C1149="","",IFERROR(INDEX('Staff Directory'!$E$5:$E$594,MATCH($C1149,'Staff Directory'!$B$5:$B$594,0)),""))</f>
        <v>firstname219.lastname219@example.com</v>
      </c>
      <c r="AB1149" s="64" t="str">
        <f>IF($C1149="","",IF(ISNUMBER(SEARCH($D1149,Settings!$C$15)),"Pickup","Dispatch"))</f>
        <v>Pickup</v>
      </c>
      <c r="AC1149" s="64" t="str">
        <f t="shared" si="199"/>
        <v>Supply order ready for pickup</v>
      </c>
      <c r="AD1149" s="64" t="str">
        <f t="shared" si="190"/>
        <v>Dear PSW,
Your order is ready for pickup from Sample Branch, Wed-Fri 9am-4pm.</v>
      </c>
      <c r="AE1149" s="64" t="str">
        <f t="shared" si="191"/>
        <v>mailto:firstname219.lastname219@example.com?subject=Supply%20order%20ready%20for%20pickup&amp;body=Dear%20PSW%2C%0A%0AYour%20order%20is%20ready%20for%20pickup%20from%20Sample%20Branch%2C%20Wed-Fri%209am-4pm.</v>
      </c>
      <c r="AF1149" s="89" t="str">
        <f t="shared" si="200"/>
        <v>Draft email</v>
      </c>
      <c r="AG1149" s="64" t="str">
        <f>IF($C1149="","",IFERROR(INDEX('Staff Directory'!$K$595:$K$599,MATCH($C1149,'Staff Directory'!$B$5:$B$599,0)),$D1149))</f>
        <v>PSW</v>
      </c>
      <c r="AH1149" t="str">
        <f>IF($C1149="","",IFERROR(INDEX('Staff Directory'!$I$595:$I$599,MATCH($C1149,'Staff Directory'!$B$5:$B$599,0))&amp;" "&amp;INDEX('Staff Directory'!$J$595:$J$599,MATCH($C1149,'Staff Directory'!$B$5:$B$599,0)),$AG1149))</f>
        <v>PSW</v>
      </c>
      <c r="AI1149" s="102"/>
      <c r="AJ1149" s="101">
        <f>IF($F1149="","",SUMIFS($J$5:$J1149,$F$5:$F1149,$F1149))</f>
        <v>15600</v>
      </c>
      <c r="AK1149" s="101">
        <f t="shared" si="192"/>
        <v>15521</v>
      </c>
      <c r="AL1149" s="66" t="str" cm="1">
        <f t="array" ref="AL1149">IF($F1149="","",IFERROR(INDEX('Lot Balance'!$B$5:$B$500,MATCH(1,INDEX(('Lot Balance'!$A$5:$A$500=$F1149)*('Lot Balance'!$K$5:$K$500&lt;$AK1149)*('Lot Balance'!$K$5:$K$500+'Lot Balance'!$D$5:$D$500&gt;=$AK1149),0),0)),""))</f>
        <v>LYSL500290</v>
      </c>
      <c r="AM1149" s="66" t="str" cm="1">
        <f t="array" ref="AM1149">IF($F1149="","",IFERROR(INDEX('Lot Balance'!$B$5:$B$500,MATCH(1,INDEX(('Lot Balance'!$A$5:$A$500=$F1149)*('Lot Balance'!$K$5:$K$500&lt;$AJ1149)*('Lot Balance'!$K$5:$K$500+'Lot Balance'!$D$5:$D$500&gt;=$AJ1149),0),0)),""))</f>
        <v>LYSL500290</v>
      </c>
      <c r="AN1149" s="66" t="str">
        <f>IF($F1149="","",IF($AI1149&lt;&gt;"",IF(COUNTIFS('Lot Balance'!$A$5:$A$500,$F1149,'Lot Balance'!$B$5:$B$500,$AI1149)=0,"⚠ override is not a lot of this item",IF($AI1149=$AL1149,"Override = FEFO","Override - FEFO says "&amp;$AL1149)),IF($AL1149="","⚠ no receipt on file for this item",IF($AM1149&lt;&gt;$AL1149,"FEFO auto - split, also "&amp;$AM1149,"FEFO auto"))))</f>
        <v>FEFO auto</v>
      </c>
      <c r="AO1149" s="114"/>
    </row>
    <row r="1150" spans="1:41" x14ac:dyDescent="0.35">
      <c r="A1150" s="74">
        <v>46182</v>
      </c>
      <c r="B1150" s="18" t="str">
        <f>IF($C1150="","",IFERROR(INDEX('Staff Directory'!$A$5:$A$594,MATCH($C1150,'Staff Directory'!$B$5:$B$594,0)),"⚠ unknown staff"))</f>
        <v>PSW-156-A5</v>
      </c>
      <c r="C1150" s="49" t="s">
        <v>1135</v>
      </c>
      <c r="D1150" s="19" t="str">
        <f>IF($B1150="","",IFERROR(INDEX('Staff Directory'!$C$5:$C$594,MATCH($B1150,'Staff Directory'!$A$5:$A$594,0)),""))</f>
        <v>PSW</v>
      </c>
      <c r="E1150" s="19" t="str">
        <f>IF($B1150="","",IFERROR(INDEX('Staff Directory'!$D$5:$D$594,MATCH($B1150,'Staff Directory'!$A$5:$A$594,0)),""))</f>
        <v>A5</v>
      </c>
      <c r="F1150" s="9" t="s">
        <v>156</v>
      </c>
      <c r="G1150" s="18" t="str">
        <f>IF($F1150="","",IFERROR(INDEX(Items!$B$5:$B$597,MATCH($F1150,Items!$A$5:$A$597,0)),"⚠ not in Items"))</f>
        <v>Masks</v>
      </c>
      <c r="H1150" s="19" t="str">
        <f>IF($F1150="","",IFERROR(INDEX(Items!$C$5:$C$597,MATCH($F1150,Items!$A$5:$A$597,0)),""))</f>
        <v>One Size</v>
      </c>
      <c r="I1150" s="23">
        <f>IF($F1150="","",IFERROR(INDEX(Items!$E$5:$E$597,MATCH($F1150,Items!$A$5:$A$597,0)),""))</f>
        <v>50</v>
      </c>
      <c r="J1150" s="115">
        <f>IF(tblIssues[[#This Row],[Qty Override]]&lt;&gt;"",tblIssues[[#This Row],[Qty Override]],IF(tblIssues[[#This Row],[Standard Issue]]="","",tblIssues[[#This Row],[Standard Issue]]))</f>
        <v>50</v>
      </c>
      <c r="K1150" s="20">
        <f>IF($F1150="","",IFERROR(INDEX(Items!$D$5:$D$597,MATCH($F1150,Items!$A$5:$A$597,0)),""))</f>
        <v>0.25</v>
      </c>
      <c r="L1150" s="21">
        <f t="shared" si="195"/>
        <v>12.5</v>
      </c>
      <c r="M1150" s="9" t="str">
        <f t="shared" si="193"/>
        <v>102GPC24</v>
      </c>
      <c r="N1150" s="24">
        <f>IF($A1150="","",WORKDAY($A1150,Settings!$C$9,HolidayDates))</f>
        <v>46190</v>
      </c>
      <c r="O1150" s="24">
        <f>IF($N1150="","",WORKDAY($N1150,Settings!$C$10,HolidayDates))</f>
        <v>46230</v>
      </c>
      <c r="P1150" s="10" t="s">
        <v>501</v>
      </c>
      <c r="Q1150" s="52" t="str">
        <f t="shared" si="196"/>
        <v>Collected</v>
      </c>
      <c r="R1150" s="55" t="str">
        <f t="shared" si="197"/>
        <v>2026-06</v>
      </c>
      <c r="S1150" s="55">
        <f>IF(OR($B1150="",$F1150="",$R1150=""),"",SUMIFS(tblIssues[Qty Issued],tblIssues[Staff ID],$B1150,tblIssues[Item Name],$F1150,tblIssues[Month],$R1150))</f>
        <v>50</v>
      </c>
      <c r="T1150" s="56">
        <f>IF($I1150="","",$I1150*Settings!$C$11)</f>
        <v>50</v>
      </c>
      <c r="U1150" s="57" t="str">
        <f t="shared" si="194"/>
        <v>OK</v>
      </c>
      <c r="V1150" s="55" t="str">
        <f t="shared" si="198"/>
        <v/>
      </c>
      <c r="W1150" s="55" t="str">
        <f>IF($V1150="","",IF(COUNTIF($V$5:$V1150,$V1150)=1,1,""))</f>
        <v/>
      </c>
      <c r="X1150" s="58" t="str">
        <f>IF($W1150="","",MAX($X$4:X1149)+1)</f>
        <v/>
      </c>
      <c r="Y1150" s="62"/>
      <c r="Z1150" s="62"/>
      <c r="AA1150" s="64" t="str">
        <f>IF($C1150="","",IFERROR(INDEX('Staff Directory'!$E$5:$E$594,MATCH($C1150,'Staff Directory'!$B$5:$B$594,0)),""))</f>
        <v>firstname219.lastname219@example.com</v>
      </c>
      <c r="AB1150" s="64" t="str">
        <f>IF($C1150="","",IF(ISNUMBER(SEARCH($D1150,Settings!$C$15)),"Pickup","Dispatch"))</f>
        <v>Pickup</v>
      </c>
      <c r="AC1150" s="64" t="str">
        <f t="shared" si="199"/>
        <v>Supply order ready for pickup</v>
      </c>
      <c r="AD1150" s="64" t="str">
        <f t="shared" si="190"/>
        <v>Dear PSW,
Your order is ready for pickup from Sample Branch, Wed-Fri 9am-4pm.</v>
      </c>
      <c r="AE1150" s="64" t="str">
        <f t="shared" si="191"/>
        <v>mailto:firstname219.lastname219@example.com?subject=Supply%20order%20ready%20for%20pickup&amp;body=Dear%20PSW%2C%0A%0AYour%20order%20is%20ready%20for%20pickup%20from%20Sample%20Branch%2C%20Wed-Fri%209am-4pm.</v>
      </c>
      <c r="AF1150" s="89" t="str">
        <f t="shared" si="200"/>
        <v>Draft email</v>
      </c>
      <c r="AG1150" s="64" t="str">
        <f>IF($C1150="","",IFERROR(INDEX('Staff Directory'!$K$595:$K$599,MATCH($C1150,'Staff Directory'!$B$5:$B$599,0)),$D1150))</f>
        <v>PSW</v>
      </c>
      <c r="AH1150" t="str">
        <f>IF($C1150="","",IFERROR(INDEX('Staff Directory'!$I$595:$I$599,MATCH($C1150,'Staff Directory'!$B$5:$B$599,0))&amp;" "&amp;INDEX('Staff Directory'!$J$595:$J$599,MATCH($C1150,'Staff Directory'!$B$5:$B$599,0)),$AG1150))</f>
        <v>PSW</v>
      </c>
      <c r="AI1150" s="102"/>
      <c r="AJ1150" s="101">
        <f>IF($F1150="","",SUMIFS($J$5:$J1150,$F$5:$F1150,$F1150))</f>
        <v>9600</v>
      </c>
      <c r="AK1150" s="101">
        <f t="shared" si="192"/>
        <v>9551</v>
      </c>
      <c r="AL1150" s="66" t="str" cm="1">
        <f t="array" ref="AL1150">IF($F1150="","",IFERROR(INDEX('Lot Balance'!$B$5:$B$500,MATCH(1,INDEX(('Lot Balance'!$A$5:$A$500=$F1150)*('Lot Balance'!$K$5:$K$500&lt;$AK1150)*('Lot Balance'!$K$5:$K$500+'Lot Balance'!$D$5:$D$500&gt;=$AK1150),0),0)),""))</f>
        <v>102GPC24</v>
      </c>
      <c r="AM1150" s="66" t="str" cm="1">
        <f t="array" ref="AM1150">IF($F1150="","",IFERROR(INDEX('Lot Balance'!$B$5:$B$500,MATCH(1,INDEX(('Lot Balance'!$A$5:$A$500=$F1150)*('Lot Balance'!$K$5:$K$500&lt;$AJ1150)*('Lot Balance'!$K$5:$K$500+'Lot Balance'!$D$5:$D$500&gt;=$AJ1150),0),0)),""))</f>
        <v>102GPC24</v>
      </c>
      <c r="AN1150" s="66" t="str">
        <f>IF($F1150="","",IF($AI1150&lt;&gt;"",IF(COUNTIFS('Lot Balance'!$A$5:$A$500,$F1150,'Lot Balance'!$B$5:$B$500,$AI1150)=0,"⚠ override is not a lot of this item",IF($AI1150=$AL1150,"Override = FEFO","Override - FEFO says "&amp;$AL1150)),IF($AL1150="","⚠ no receipt on file for this item",IF($AM1150&lt;&gt;$AL1150,"FEFO auto - split, also "&amp;$AM1150,"FEFO auto"))))</f>
        <v>FEFO auto</v>
      </c>
      <c r="AO1150" s="114"/>
    </row>
    <row r="1151" spans="1:41" x14ac:dyDescent="0.35">
      <c r="A1151" s="74">
        <v>46182</v>
      </c>
      <c r="B1151" s="18" t="str">
        <f>IF($C1151="","",IFERROR(INDEX('Staff Directory'!$A$5:$A$594,MATCH($C1151,'Staff Directory'!$B$5:$B$594,0)),"⚠ unknown staff"))</f>
        <v>RN-043-A1</v>
      </c>
      <c r="C1151" s="49" t="s">
        <v>966</v>
      </c>
      <c r="D1151" s="19" t="str">
        <f>IF($B1151="","",IFERROR(INDEX('Staff Directory'!$C$5:$C$594,MATCH($B1151,'Staff Directory'!$A$5:$A$594,0)),""))</f>
        <v>RN</v>
      </c>
      <c r="E1151" s="19" t="str">
        <f>IF($B1151="","",IFERROR(INDEX('Staff Directory'!$D$5:$D$594,MATCH($B1151,'Staff Directory'!$A$5:$A$594,0)),""))</f>
        <v>A1</v>
      </c>
      <c r="F1151" s="9" t="s">
        <v>127</v>
      </c>
      <c r="G1151" s="18" t="str">
        <f>IF($F1151="","",IFERROR(INDEX(Items!$B$5:$B$597,MATCH($F1151,Items!$A$5:$A$597,0)),"⚠ not in Items"))</f>
        <v>Gloves</v>
      </c>
      <c r="H1151" s="19" t="str">
        <f>IF($F1151="","",IFERROR(INDEX(Items!$C$5:$C$597,MATCH($F1151,Items!$A$5:$A$597,0)),""))</f>
        <v>Medium</v>
      </c>
      <c r="I1151" s="23">
        <f>IF($F1151="","",IFERROR(INDEX(Items!$E$5:$E$597,MATCH($F1151,Items!$A$5:$A$597,0)),""))</f>
        <v>500</v>
      </c>
      <c r="J1151" s="115">
        <f>IF(tblIssues[[#This Row],[Qty Override]]&lt;&gt;"",tblIssues[[#This Row],[Qty Override]],IF(tblIssues[[#This Row],[Standard Issue]]="","",tblIssues[[#This Row],[Standard Issue]]))</f>
        <v>500</v>
      </c>
      <c r="K1151" s="20">
        <f>IF($F1151="","",IFERROR(INDEX(Items!$D$5:$D$597,MATCH($F1151,Items!$A$5:$A$597,0)),""))</f>
        <v>5.5E-2</v>
      </c>
      <c r="L1151" s="21">
        <f t="shared" si="195"/>
        <v>27.5</v>
      </c>
      <c r="M1151" s="9" t="str">
        <f t="shared" si="193"/>
        <v>ZIM510137964</v>
      </c>
      <c r="N1151" s="24">
        <f>IF($A1151="","",WORKDAY($A1151,Settings!$C$9,HolidayDates))</f>
        <v>46190</v>
      </c>
      <c r="O1151" s="24">
        <f>IF($N1151="","",WORKDAY($N1151,Settings!$C$10,HolidayDates))</f>
        <v>46230</v>
      </c>
      <c r="P1151" s="10" t="s">
        <v>502</v>
      </c>
      <c r="Q1151" s="52" t="str">
        <f t="shared" si="196"/>
        <v>Collected</v>
      </c>
      <c r="R1151" s="55" t="str">
        <f t="shared" si="197"/>
        <v>2026-06</v>
      </c>
      <c r="S1151" s="55">
        <f>IF(OR($B1151="",$F1151="",$R1151=""),"",SUMIFS(tblIssues[Qty Issued],tblIssues[Staff ID],$B1151,tblIssues[Item Name],$F1151,tblIssues[Month],$R1151))</f>
        <v>1000</v>
      </c>
      <c r="T1151" s="56">
        <f>IF($I1151="","",$I1151*Settings!$C$11)</f>
        <v>500</v>
      </c>
      <c r="U1151" s="57" t="str">
        <f t="shared" si="194"/>
        <v>⚠ OVER QUOTA</v>
      </c>
      <c r="V1151" s="55" t="str">
        <f t="shared" si="198"/>
        <v>RN-043-A1 | Gloves - Medium | 2026-06</v>
      </c>
      <c r="W1151" s="55">
        <f>IF($V1151="","",IF(COUNTIF($V$5:$V1151,$V1151)=1,1,""))</f>
        <v>1</v>
      </c>
      <c r="X1151" s="58">
        <f>IF($W1151="","",MAX($X$4:X1150)+1)</f>
        <v>32</v>
      </c>
      <c r="Y1151" s="62"/>
      <c r="Z1151" s="62"/>
      <c r="AA1151" s="64" t="str">
        <f>IF($C1151="","",IFERROR(INDEX('Staff Directory'!$E$5:$E$594,MATCH($C1151,'Staff Directory'!$B$5:$B$594,0)),""))</f>
        <v>firstname050.lastname050@example.com</v>
      </c>
      <c r="AB1151" s="64" t="str">
        <f>IF($C1151="","",IF(ISNUMBER(SEARCH($D1151,Settings!$C$15)),"Pickup","Dispatch"))</f>
        <v>Dispatch</v>
      </c>
      <c r="AC1151" s="64" t="str">
        <f t="shared" si="199"/>
        <v>Supply order dispatched</v>
      </c>
      <c r="AD1151" s="64" t="str">
        <f t="shared" si="190"/>
        <v>Dear RN,
Your order has been dispatched and is in transit. Reply if undelivered.</v>
      </c>
      <c r="AE1151" s="64" t="str">
        <f t="shared" si="191"/>
        <v>mailto:firstname050.lastname050@example.com?subject=Supply%20order%20dispatched&amp;body=Dear%20RN%2C%0A%0AYour%20order%20has%20been%20dispatched%20and%20is%20in%20transit.%20Reply%20if%20undelivered.</v>
      </c>
      <c r="AF1151" s="89" t="str">
        <f t="shared" si="200"/>
        <v>Draft email</v>
      </c>
      <c r="AG1151" s="64" t="str">
        <f>IF($C1151="","",IFERROR(INDEX('Staff Directory'!$K$595:$K$599,MATCH($C1151,'Staff Directory'!$B$5:$B$599,0)),$D1151))</f>
        <v>RN</v>
      </c>
      <c r="AH1151" t="str">
        <f>IF($C1151="","",IFERROR(INDEX('Staff Directory'!$I$595:$I$599,MATCH($C1151,'Staff Directory'!$B$5:$B$599,0))&amp;" "&amp;INDEX('Staff Directory'!$J$595:$J$599,MATCH($C1151,'Staff Directory'!$B$5:$B$599,0)),$AG1151))</f>
        <v>RN</v>
      </c>
      <c r="AI1151" s="102"/>
      <c r="AJ1151" s="101">
        <f>IF($F1151="","",SUMIFS($J$5:$J1151,$F$5:$F1151,$F1151))</f>
        <v>66000</v>
      </c>
      <c r="AK1151" s="101">
        <f t="shared" si="192"/>
        <v>65501</v>
      </c>
      <c r="AL1151" s="66" t="str" cm="1">
        <f t="array" ref="AL1151">IF($F1151="","",IFERROR(INDEX('Lot Balance'!$B$5:$B$500,MATCH(1,INDEX(('Lot Balance'!$A$5:$A$500=$F1151)*('Lot Balance'!$K$5:$K$500&lt;$AK1151)*('Lot Balance'!$K$5:$K$500+'Lot Balance'!$D$5:$D$500&gt;=$AK1151),0),0)),""))</f>
        <v>ZIM510137964</v>
      </c>
      <c r="AM1151" s="66" t="str" cm="1">
        <f t="array" ref="AM1151">IF($F1151="","",IFERROR(INDEX('Lot Balance'!$B$5:$B$500,MATCH(1,INDEX(('Lot Balance'!$A$5:$A$500=$F1151)*('Lot Balance'!$K$5:$K$500&lt;$AJ1151)*('Lot Balance'!$K$5:$K$500+'Lot Balance'!$D$5:$D$500&gt;=$AJ1151),0),0)),""))</f>
        <v>ZIM510137964</v>
      </c>
      <c r="AN1151" s="66" t="str">
        <f>IF($F1151="","",IF($AI1151&lt;&gt;"",IF(COUNTIFS('Lot Balance'!$A$5:$A$500,$F1151,'Lot Balance'!$B$5:$B$500,$AI1151)=0,"⚠ override is not a lot of this item",IF($AI1151=$AL1151,"Override = FEFO","Override - FEFO says "&amp;$AL1151)),IF($AL1151="","⚠ no receipt on file for this item",IF($AM1151&lt;&gt;$AL1151,"FEFO auto - split, also "&amp;$AM1151,"FEFO auto"))))</f>
        <v>FEFO auto</v>
      </c>
      <c r="AO1151" s="114"/>
    </row>
    <row r="1152" spans="1:41" x14ac:dyDescent="0.35">
      <c r="A1152" s="74">
        <v>46182</v>
      </c>
      <c r="B1152" s="18" t="str">
        <f>IF($C1152="","",IFERROR(INDEX('Staff Directory'!$A$5:$A$594,MATCH($C1152,'Staff Directory'!$B$5:$B$594,0)),"⚠ unknown staff"))</f>
        <v>RN-043-A1</v>
      </c>
      <c r="C1152" s="49" t="s">
        <v>966</v>
      </c>
      <c r="D1152" s="19" t="str">
        <f>IF($B1152="","",IFERROR(INDEX('Staff Directory'!$C$5:$C$594,MATCH($B1152,'Staff Directory'!$A$5:$A$594,0)),""))</f>
        <v>RN</v>
      </c>
      <c r="E1152" s="19" t="str">
        <f>IF($B1152="","",IFERROR(INDEX('Staff Directory'!$D$5:$D$594,MATCH($B1152,'Staff Directory'!$A$5:$A$594,0)),""))</f>
        <v>A1</v>
      </c>
      <c r="F1152" s="9" t="s">
        <v>127</v>
      </c>
      <c r="G1152" s="18" t="str">
        <f>IF($F1152="","",IFERROR(INDEX(Items!$B$5:$B$597,MATCH($F1152,Items!$A$5:$A$597,0)),"⚠ not in Items"))</f>
        <v>Gloves</v>
      </c>
      <c r="H1152" s="19" t="str">
        <f>IF($F1152="","",IFERROR(INDEX(Items!$C$5:$C$597,MATCH($F1152,Items!$A$5:$A$597,0)),""))</f>
        <v>Medium</v>
      </c>
      <c r="I1152" s="23">
        <f>IF($F1152="","",IFERROR(INDEX(Items!$E$5:$E$597,MATCH($F1152,Items!$A$5:$A$597,0)),""))</f>
        <v>500</v>
      </c>
      <c r="J1152" s="115">
        <f>IF(tblIssues[[#This Row],[Qty Override]]&lt;&gt;"",tblIssues[[#This Row],[Qty Override]],IF(tblIssues[[#This Row],[Standard Issue]]="","",tblIssues[[#This Row],[Standard Issue]]))</f>
        <v>500</v>
      </c>
      <c r="K1152" s="20">
        <f>IF($F1152="","",IFERROR(INDEX(Items!$D$5:$D$597,MATCH($F1152,Items!$A$5:$A$597,0)),""))</f>
        <v>5.5E-2</v>
      </c>
      <c r="L1152" s="21">
        <f t="shared" si="195"/>
        <v>27.5</v>
      </c>
      <c r="M1152" s="9" t="str">
        <f t="shared" si="193"/>
        <v>ZIM510137964</v>
      </c>
      <c r="N1152" s="24">
        <f>IF($A1152="","",WORKDAY($A1152,Settings!$C$9,HolidayDates))</f>
        <v>46190</v>
      </c>
      <c r="O1152" s="24">
        <f>IF($N1152="","",WORKDAY($N1152,Settings!$C$10,HolidayDates))</f>
        <v>46230</v>
      </c>
      <c r="P1152" s="10" t="s">
        <v>502</v>
      </c>
      <c r="Q1152" s="52" t="str">
        <f t="shared" si="196"/>
        <v>Collected</v>
      </c>
      <c r="R1152" s="55" t="str">
        <f t="shared" si="197"/>
        <v>2026-06</v>
      </c>
      <c r="S1152" s="55">
        <f>IF(OR($B1152="",$F1152="",$R1152=""),"",SUMIFS(tblIssues[Qty Issued],tblIssues[Staff ID],$B1152,tblIssues[Item Name],$F1152,tblIssues[Month],$R1152))</f>
        <v>1000</v>
      </c>
      <c r="T1152" s="56">
        <f>IF($I1152="","",$I1152*Settings!$C$11)</f>
        <v>500</v>
      </c>
      <c r="U1152" s="57" t="str">
        <f t="shared" si="194"/>
        <v>⚠ OVER QUOTA</v>
      </c>
      <c r="V1152" s="55" t="str">
        <f t="shared" si="198"/>
        <v>RN-043-A1 | Gloves - Medium | 2026-06</v>
      </c>
      <c r="W1152" s="55" t="str">
        <f>IF($V1152="","",IF(COUNTIF($V$5:$V1152,$V1152)=1,1,""))</f>
        <v/>
      </c>
      <c r="X1152" s="58" t="str">
        <f>IF($W1152="","",MAX($X$4:X1151)+1)</f>
        <v/>
      </c>
      <c r="Y1152" s="62"/>
      <c r="Z1152" s="62"/>
      <c r="AA1152" s="64" t="str">
        <f>IF($C1152="","",IFERROR(INDEX('Staff Directory'!$E$5:$E$594,MATCH($C1152,'Staff Directory'!$B$5:$B$594,0)),""))</f>
        <v>firstname050.lastname050@example.com</v>
      </c>
      <c r="AB1152" s="64" t="str">
        <f>IF($C1152="","",IF(ISNUMBER(SEARCH($D1152,Settings!$C$15)),"Pickup","Dispatch"))</f>
        <v>Dispatch</v>
      </c>
      <c r="AC1152" s="64" t="str">
        <f t="shared" si="199"/>
        <v>Supply order dispatched</v>
      </c>
      <c r="AD1152" s="64" t="str">
        <f t="shared" si="190"/>
        <v>Dear RN,
Your order has been dispatched and is in transit. Reply if undelivered.</v>
      </c>
      <c r="AE1152" s="64" t="str">
        <f t="shared" si="191"/>
        <v>mailto:firstname050.lastname050@example.com?subject=Supply%20order%20dispatched&amp;body=Dear%20RN%2C%0A%0AYour%20order%20has%20been%20dispatched%20and%20is%20in%20transit.%20Reply%20if%20undelivered.</v>
      </c>
      <c r="AF1152" s="89" t="str">
        <f t="shared" si="200"/>
        <v>Draft email</v>
      </c>
      <c r="AG1152" s="64" t="str">
        <f>IF($C1152="","",IFERROR(INDEX('Staff Directory'!$K$595:$K$599,MATCH($C1152,'Staff Directory'!$B$5:$B$599,0)),$D1152))</f>
        <v>RN</v>
      </c>
      <c r="AH1152" t="str">
        <f>IF($C1152="","",IFERROR(INDEX('Staff Directory'!$I$595:$I$599,MATCH($C1152,'Staff Directory'!$B$5:$B$599,0))&amp;" "&amp;INDEX('Staff Directory'!$J$595:$J$599,MATCH($C1152,'Staff Directory'!$B$5:$B$599,0)),$AG1152))</f>
        <v>RN</v>
      </c>
      <c r="AI1152" s="102"/>
      <c r="AJ1152" s="101">
        <f>IF($F1152="","",SUMIFS($J$5:$J1152,$F$5:$F1152,$F1152))</f>
        <v>66500</v>
      </c>
      <c r="AK1152" s="101">
        <f t="shared" si="192"/>
        <v>66001</v>
      </c>
      <c r="AL1152" s="66" t="str" cm="1">
        <f t="array" ref="AL1152">IF($F1152="","",IFERROR(INDEX('Lot Balance'!$B$5:$B$500,MATCH(1,INDEX(('Lot Balance'!$A$5:$A$500=$F1152)*('Lot Balance'!$K$5:$K$500&lt;$AK1152)*('Lot Balance'!$K$5:$K$500+'Lot Balance'!$D$5:$D$500&gt;=$AK1152),0),0)),""))</f>
        <v>ZIM510137964</v>
      </c>
      <c r="AM1152" s="66" t="str" cm="1">
        <f t="array" ref="AM1152">IF($F1152="","",IFERROR(INDEX('Lot Balance'!$B$5:$B$500,MATCH(1,INDEX(('Lot Balance'!$A$5:$A$500=$F1152)*('Lot Balance'!$K$5:$K$500&lt;$AJ1152)*('Lot Balance'!$K$5:$K$500+'Lot Balance'!$D$5:$D$500&gt;=$AJ1152),0),0)),""))</f>
        <v>ZIM510137964</v>
      </c>
      <c r="AN1152" s="66" t="str">
        <f>IF($F1152="","",IF($AI1152&lt;&gt;"",IF(COUNTIFS('Lot Balance'!$A$5:$A$500,$F1152,'Lot Balance'!$B$5:$B$500,$AI1152)=0,"⚠ override is not a lot of this item",IF($AI1152=$AL1152,"Override = FEFO","Override - FEFO says "&amp;$AL1152)),IF($AL1152="","⚠ no receipt on file for this item",IF($AM1152&lt;&gt;$AL1152,"FEFO auto - split, also "&amp;$AM1152,"FEFO auto"))))</f>
        <v>FEFO auto</v>
      </c>
      <c r="AO1152" s="114"/>
    </row>
    <row r="1153" spans="1:41" x14ac:dyDescent="0.35">
      <c r="A1153" s="74">
        <v>46182</v>
      </c>
      <c r="B1153" s="18" t="str">
        <f>IF($C1153="","",IFERROR(INDEX('Staff Directory'!$A$5:$A$594,MATCH($C1153,'Staff Directory'!$B$5:$B$594,0)),"⚠ unknown staff"))</f>
        <v>RN-043-A1</v>
      </c>
      <c r="C1153" s="49" t="s">
        <v>966</v>
      </c>
      <c r="D1153" s="19" t="str">
        <f>IF($B1153="","",IFERROR(INDEX('Staff Directory'!$C$5:$C$594,MATCH($B1153,'Staff Directory'!$A$5:$A$594,0)),""))</f>
        <v>RN</v>
      </c>
      <c r="E1153" s="19" t="str">
        <f>IF($B1153="","",IFERROR(INDEX('Staff Directory'!$D$5:$D$594,MATCH($B1153,'Staff Directory'!$A$5:$A$594,0)),""))</f>
        <v>A1</v>
      </c>
      <c r="F1153" s="9" t="s">
        <v>191</v>
      </c>
      <c r="G1153" s="18" t="str">
        <f>IF($F1153="","",IFERROR(INDEX(Items!$B$5:$B$597,MATCH($F1153,Items!$A$5:$A$597,0)),"⚠ not in Items"))</f>
        <v>Sanitizer</v>
      </c>
      <c r="H1153" s="19" t="str">
        <f>IF($F1153="","",IFERROR(INDEX(Items!$C$5:$C$597,MATCH($F1153,Items!$A$5:$A$597,0)),""))</f>
        <v>236 ML</v>
      </c>
      <c r="I1153" s="23">
        <f>IF($F1153="","",IFERROR(INDEX(Items!$E$5:$E$597,MATCH($F1153,Items!$A$5:$A$597,0)),""))</f>
        <v>1</v>
      </c>
      <c r="J1153" s="115">
        <f>IF(tblIssues[[#This Row],[Qty Override]]&lt;&gt;"",tblIssues[[#This Row],[Qty Override]],IF(tblIssues[[#This Row],[Standard Issue]]="","",tblIssues[[#This Row],[Standard Issue]]))</f>
        <v>1</v>
      </c>
      <c r="K1153" s="20">
        <f>IF($F1153="","",IFERROR(INDEX(Items!$D$5:$D$597,MATCH($F1153,Items!$A$5:$A$597,0)),""))</f>
        <v>1E-4</v>
      </c>
      <c r="L1153" s="21">
        <f t="shared" si="195"/>
        <v>1E-4</v>
      </c>
      <c r="M1153" s="9" t="str">
        <f t="shared" si="193"/>
        <v>20-21734-4</v>
      </c>
      <c r="N1153" s="24">
        <f>IF($A1153="","",WORKDAY($A1153,Settings!$C$9,HolidayDates))</f>
        <v>46190</v>
      </c>
      <c r="O1153" s="24">
        <f>IF($N1153="","",WORKDAY($N1153,Settings!$C$10,HolidayDates))</f>
        <v>46230</v>
      </c>
      <c r="P1153" s="10" t="s">
        <v>502</v>
      </c>
      <c r="Q1153" s="52" t="str">
        <f t="shared" si="196"/>
        <v>Collected</v>
      </c>
      <c r="R1153" s="55" t="str">
        <f t="shared" si="197"/>
        <v>2026-06</v>
      </c>
      <c r="S1153" s="55">
        <f>IF(OR($B1153="",$F1153="",$R1153=""),"",SUMIFS(tblIssues[Qty Issued],tblIssues[Staff ID],$B1153,tblIssues[Item Name],$F1153,tblIssues[Month],$R1153))</f>
        <v>2</v>
      </c>
      <c r="T1153" s="56">
        <f>IF($I1153="","",$I1153*Settings!$C$11)</f>
        <v>1</v>
      </c>
      <c r="U1153" s="57" t="str">
        <f t="shared" si="194"/>
        <v>⚠ OVER QUOTA</v>
      </c>
      <c r="V1153" s="55" t="str">
        <f t="shared" si="198"/>
        <v>RN-043-A1 | Hand Sanitizer OS | 2026-06</v>
      </c>
      <c r="W1153" s="55">
        <f>IF($V1153="","",IF(COUNTIF($V$5:$V1153,$V1153)=1,1,""))</f>
        <v>1</v>
      </c>
      <c r="X1153" s="58">
        <f>IF($W1153="","",MAX($X$4:X1152)+1)</f>
        <v>33</v>
      </c>
      <c r="Y1153" s="62"/>
      <c r="Z1153" s="62"/>
      <c r="AA1153" s="64" t="str">
        <f>IF($C1153="","",IFERROR(INDEX('Staff Directory'!$E$5:$E$594,MATCH($C1153,'Staff Directory'!$B$5:$B$594,0)),""))</f>
        <v>firstname050.lastname050@example.com</v>
      </c>
      <c r="AB1153" s="64" t="str">
        <f>IF($C1153="","",IF(ISNUMBER(SEARCH($D1153,Settings!$C$15)),"Pickup","Dispatch"))</f>
        <v>Dispatch</v>
      </c>
      <c r="AC1153" s="64" t="str">
        <f t="shared" si="199"/>
        <v>Supply order dispatched</v>
      </c>
      <c r="AD1153" s="64" t="str">
        <f t="shared" si="190"/>
        <v>Dear RN,
Your order has been dispatched and is in transit. Reply if undelivered.</v>
      </c>
      <c r="AE1153" s="64" t="str">
        <f t="shared" si="191"/>
        <v>mailto:firstname050.lastname050@example.com?subject=Supply%20order%20dispatched&amp;body=Dear%20RN%2C%0A%0AYour%20order%20has%20been%20dispatched%20and%20is%20in%20transit.%20Reply%20if%20undelivered.</v>
      </c>
      <c r="AF1153" s="89" t="str">
        <f t="shared" si="200"/>
        <v>Draft email</v>
      </c>
      <c r="AG1153" s="64" t="str">
        <f>IF($C1153="","",IFERROR(INDEX('Staff Directory'!$K$595:$K$599,MATCH($C1153,'Staff Directory'!$B$5:$B$599,0)),$D1153))</f>
        <v>RN</v>
      </c>
      <c r="AH1153" t="str">
        <f>IF($C1153="","",IFERROR(INDEX('Staff Directory'!$I$595:$I$599,MATCH($C1153,'Staff Directory'!$B$5:$B$599,0))&amp;" "&amp;INDEX('Staff Directory'!$J$595:$J$599,MATCH($C1153,'Staff Directory'!$B$5:$B$599,0)),$AG1153))</f>
        <v>RN</v>
      </c>
      <c r="AI1153" s="102"/>
      <c r="AJ1153" s="101">
        <f>IF($F1153="","",SUMIFS($J$5:$J1153,$F$5:$F1153,$F1153))</f>
        <v>140</v>
      </c>
      <c r="AK1153" s="101">
        <f t="shared" si="192"/>
        <v>140</v>
      </c>
      <c r="AL1153" s="66" t="str" cm="1">
        <f t="array" ref="AL1153">IF($F1153="","",IFERROR(INDEX('Lot Balance'!$B$5:$B$500,MATCH(1,INDEX(('Lot Balance'!$A$5:$A$500=$F1153)*('Lot Balance'!$K$5:$K$500&lt;$AK1153)*('Lot Balance'!$K$5:$K$500+'Lot Balance'!$D$5:$D$500&gt;=$AK1153),0),0)),""))</f>
        <v>20-21734-4</v>
      </c>
      <c r="AM1153" s="66" t="str" cm="1">
        <f t="array" ref="AM1153">IF($F1153="","",IFERROR(INDEX('Lot Balance'!$B$5:$B$500,MATCH(1,INDEX(('Lot Balance'!$A$5:$A$500=$F1153)*('Lot Balance'!$K$5:$K$500&lt;$AJ1153)*('Lot Balance'!$K$5:$K$500+'Lot Balance'!$D$5:$D$500&gt;=$AJ1153),0),0)),""))</f>
        <v>20-21734-4</v>
      </c>
      <c r="AN1153" s="66" t="str">
        <f>IF($F1153="","",IF($AI1153&lt;&gt;"",IF(COUNTIFS('Lot Balance'!$A$5:$A$500,$F1153,'Lot Balance'!$B$5:$B$500,$AI1153)=0,"⚠ override is not a lot of this item",IF($AI1153=$AL1153,"Override = FEFO","Override - FEFO says "&amp;$AL1153)),IF($AL1153="","⚠ no receipt on file for this item",IF($AM1153&lt;&gt;$AL1153,"FEFO auto - split, also "&amp;$AM1153,"FEFO auto"))))</f>
        <v>FEFO auto</v>
      </c>
      <c r="AO1153" s="114"/>
    </row>
    <row r="1154" spans="1:41" x14ac:dyDescent="0.35">
      <c r="A1154" s="74">
        <v>46182</v>
      </c>
      <c r="B1154" s="18" t="str">
        <f>IF($C1154="","",IFERROR(INDEX('Staff Directory'!$A$5:$A$594,MATCH($C1154,'Staff Directory'!$B$5:$B$594,0)),"⚠ unknown staff"))</f>
        <v>RN-043-A1</v>
      </c>
      <c r="C1154" s="49" t="s">
        <v>966</v>
      </c>
      <c r="D1154" s="19" t="str">
        <f>IF($B1154="","",IFERROR(INDEX('Staff Directory'!$C$5:$C$594,MATCH($B1154,'Staff Directory'!$A$5:$A$594,0)),""))</f>
        <v>RN</v>
      </c>
      <c r="E1154" s="19" t="str">
        <f>IF($B1154="","",IFERROR(INDEX('Staff Directory'!$D$5:$D$594,MATCH($B1154,'Staff Directory'!$A$5:$A$594,0)),""))</f>
        <v>A1</v>
      </c>
      <c r="F1154" s="9" t="s">
        <v>191</v>
      </c>
      <c r="G1154" s="18" t="str">
        <f>IF($F1154="","",IFERROR(INDEX(Items!$B$5:$B$597,MATCH($F1154,Items!$A$5:$A$597,0)),"⚠ not in Items"))</f>
        <v>Sanitizer</v>
      </c>
      <c r="H1154" s="19" t="str">
        <f>IF($F1154="","",IFERROR(INDEX(Items!$C$5:$C$597,MATCH($F1154,Items!$A$5:$A$597,0)),""))</f>
        <v>236 ML</v>
      </c>
      <c r="I1154" s="23">
        <f>IF($F1154="","",IFERROR(INDEX(Items!$E$5:$E$597,MATCH($F1154,Items!$A$5:$A$597,0)),""))</f>
        <v>1</v>
      </c>
      <c r="J1154" s="115">
        <f>IF(tblIssues[[#This Row],[Qty Override]]&lt;&gt;"",tblIssues[[#This Row],[Qty Override]],IF(tblIssues[[#This Row],[Standard Issue]]="","",tblIssues[[#This Row],[Standard Issue]]))</f>
        <v>1</v>
      </c>
      <c r="K1154" s="20">
        <f>IF($F1154="","",IFERROR(INDEX(Items!$D$5:$D$597,MATCH($F1154,Items!$A$5:$A$597,0)),""))</f>
        <v>1E-4</v>
      </c>
      <c r="L1154" s="21">
        <f t="shared" si="195"/>
        <v>1E-4</v>
      </c>
      <c r="M1154" s="9" t="str">
        <f t="shared" si="193"/>
        <v>20-21734-4</v>
      </c>
      <c r="N1154" s="24">
        <f>IF($A1154="","",WORKDAY($A1154,Settings!$C$9,HolidayDates))</f>
        <v>46190</v>
      </c>
      <c r="O1154" s="24">
        <f>IF($N1154="","",WORKDAY($N1154,Settings!$C$10,HolidayDates))</f>
        <v>46230</v>
      </c>
      <c r="P1154" s="10" t="s">
        <v>502</v>
      </c>
      <c r="Q1154" s="52" t="str">
        <f t="shared" si="196"/>
        <v>Collected</v>
      </c>
      <c r="R1154" s="55" t="str">
        <f t="shared" si="197"/>
        <v>2026-06</v>
      </c>
      <c r="S1154" s="55">
        <f>IF(OR($B1154="",$F1154="",$R1154=""),"",SUMIFS(tblIssues[Qty Issued],tblIssues[Staff ID],$B1154,tblIssues[Item Name],$F1154,tblIssues[Month],$R1154))</f>
        <v>2</v>
      </c>
      <c r="T1154" s="56">
        <f>IF($I1154="","",$I1154*Settings!$C$11)</f>
        <v>1</v>
      </c>
      <c r="U1154" s="57" t="str">
        <f t="shared" si="194"/>
        <v>⚠ OVER QUOTA</v>
      </c>
      <c r="V1154" s="55" t="str">
        <f t="shared" si="198"/>
        <v>RN-043-A1 | Hand Sanitizer OS | 2026-06</v>
      </c>
      <c r="W1154" s="55" t="str">
        <f>IF($V1154="","",IF(COUNTIF($V$5:$V1154,$V1154)=1,1,""))</f>
        <v/>
      </c>
      <c r="X1154" s="58" t="str">
        <f>IF($W1154="","",MAX($X$4:X1153)+1)</f>
        <v/>
      </c>
      <c r="Y1154" s="62"/>
      <c r="Z1154" s="62"/>
      <c r="AA1154" s="64" t="str">
        <f>IF($C1154="","",IFERROR(INDEX('Staff Directory'!$E$5:$E$594,MATCH($C1154,'Staff Directory'!$B$5:$B$594,0)),""))</f>
        <v>firstname050.lastname050@example.com</v>
      </c>
      <c r="AB1154" s="64" t="str">
        <f>IF($C1154="","",IF(ISNUMBER(SEARCH($D1154,Settings!$C$15)),"Pickup","Dispatch"))</f>
        <v>Dispatch</v>
      </c>
      <c r="AC1154" s="64" t="str">
        <f t="shared" si="199"/>
        <v>Supply order dispatched</v>
      </c>
      <c r="AD1154" s="64" t="str">
        <f t="shared" si="190"/>
        <v>Dear RN,
Your order has been dispatched and is in transit. Reply if undelivered.</v>
      </c>
      <c r="AE1154" s="64" t="str">
        <f t="shared" si="191"/>
        <v>mailto:firstname050.lastname050@example.com?subject=Supply%20order%20dispatched&amp;body=Dear%20RN%2C%0A%0AYour%20order%20has%20been%20dispatched%20and%20is%20in%20transit.%20Reply%20if%20undelivered.</v>
      </c>
      <c r="AF1154" s="89" t="str">
        <f t="shared" si="200"/>
        <v>Draft email</v>
      </c>
      <c r="AG1154" s="64" t="str">
        <f>IF($C1154="","",IFERROR(INDEX('Staff Directory'!$K$595:$K$599,MATCH($C1154,'Staff Directory'!$B$5:$B$599,0)),$D1154))</f>
        <v>RN</v>
      </c>
      <c r="AH1154" t="str">
        <f>IF($C1154="","",IFERROR(INDEX('Staff Directory'!$I$595:$I$599,MATCH($C1154,'Staff Directory'!$B$5:$B$599,0))&amp;" "&amp;INDEX('Staff Directory'!$J$595:$J$599,MATCH($C1154,'Staff Directory'!$B$5:$B$599,0)),$AG1154))</f>
        <v>RN</v>
      </c>
      <c r="AI1154" s="102"/>
      <c r="AJ1154" s="101">
        <f>IF($F1154="","",SUMIFS($J$5:$J1154,$F$5:$F1154,$F1154))</f>
        <v>141</v>
      </c>
      <c r="AK1154" s="101">
        <f t="shared" si="192"/>
        <v>141</v>
      </c>
      <c r="AL1154" s="66" t="str" cm="1">
        <f t="array" ref="AL1154">IF($F1154="","",IFERROR(INDEX('Lot Balance'!$B$5:$B$500,MATCH(1,INDEX(('Lot Balance'!$A$5:$A$500=$F1154)*('Lot Balance'!$K$5:$K$500&lt;$AK1154)*('Lot Balance'!$K$5:$K$500+'Lot Balance'!$D$5:$D$500&gt;=$AK1154),0),0)),""))</f>
        <v>20-21734-4</v>
      </c>
      <c r="AM1154" s="66" t="str" cm="1">
        <f t="array" ref="AM1154">IF($F1154="","",IFERROR(INDEX('Lot Balance'!$B$5:$B$500,MATCH(1,INDEX(('Lot Balance'!$A$5:$A$500=$F1154)*('Lot Balance'!$K$5:$K$500&lt;$AJ1154)*('Lot Balance'!$K$5:$K$500+'Lot Balance'!$D$5:$D$500&gt;=$AJ1154),0),0)),""))</f>
        <v>20-21734-4</v>
      </c>
      <c r="AN1154" s="66" t="str">
        <f>IF($F1154="","",IF($AI1154&lt;&gt;"",IF(COUNTIFS('Lot Balance'!$A$5:$A$500,$F1154,'Lot Balance'!$B$5:$B$500,$AI1154)=0,"⚠ override is not a lot of this item",IF($AI1154=$AL1154,"Override = FEFO","Override - FEFO says "&amp;$AL1154)),IF($AL1154="","⚠ no receipt on file for this item",IF($AM1154&lt;&gt;$AL1154,"FEFO auto - split, also "&amp;$AM1154,"FEFO auto"))))</f>
        <v>FEFO auto</v>
      </c>
      <c r="AO1154" s="114"/>
    </row>
    <row r="1155" spans="1:41" x14ac:dyDescent="0.35">
      <c r="A1155" s="74">
        <v>46182</v>
      </c>
      <c r="B1155" s="18" t="str">
        <f>IF($C1155="","",IFERROR(INDEX('Staff Directory'!$A$5:$A$594,MATCH($C1155,'Staff Directory'!$B$5:$B$594,0)),"⚠ unknown staff"))</f>
        <v>RN-043-A1</v>
      </c>
      <c r="C1155" s="49" t="s">
        <v>966</v>
      </c>
      <c r="D1155" s="19" t="str">
        <f>IF($B1155="","",IFERROR(INDEX('Staff Directory'!$C$5:$C$594,MATCH($B1155,'Staff Directory'!$A$5:$A$594,0)),""))</f>
        <v>RN</v>
      </c>
      <c r="E1155" s="19" t="str">
        <f>IF($B1155="","",IFERROR(INDEX('Staff Directory'!$D$5:$D$594,MATCH($B1155,'Staff Directory'!$A$5:$A$594,0)),""))</f>
        <v>A1</v>
      </c>
      <c r="F1155" s="9" t="s">
        <v>115</v>
      </c>
      <c r="G1155" s="18" t="str">
        <f>IF($F1155="","",IFERROR(INDEX(Items!$B$5:$B$597,MATCH($F1155,Items!$A$5:$A$597,0)),"⚠ not in Items"))</f>
        <v>Wipes</v>
      </c>
      <c r="H1155" s="19">
        <f>IF($F1155="","",IFERROR(INDEX(Items!$C$5:$C$597,MATCH($F1155,Items!$A$5:$A$597,0)),""))</f>
        <v>80</v>
      </c>
      <c r="I1155" s="23">
        <f>IF($F1155="","",IFERROR(INDEX(Items!$E$5:$E$597,MATCH($F1155,Items!$A$5:$A$597,0)),""))</f>
        <v>80</v>
      </c>
      <c r="J1155" s="115">
        <f>IF(tblIssues[[#This Row],[Qty Override]]&lt;&gt;"",tblIssues[[#This Row],[Qty Override]],IF(tblIssues[[#This Row],[Standard Issue]]="","",tblIssues[[#This Row],[Standard Issue]]))</f>
        <v>80</v>
      </c>
      <c r="K1155" s="20">
        <f>IF($F1155="","",IFERROR(INDEX(Items!$D$5:$D$597,MATCH($F1155,Items!$A$5:$A$597,0)),""))</f>
        <v>0.1</v>
      </c>
      <c r="L1155" s="21">
        <f t="shared" si="195"/>
        <v>8</v>
      </c>
      <c r="M1155" s="9" t="str">
        <f t="shared" si="193"/>
        <v>LYSL500290</v>
      </c>
      <c r="N1155" s="24">
        <f>IF($A1155="","",WORKDAY($A1155,Settings!$C$9,HolidayDates))</f>
        <v>46190</v>
      </c>
      <c r="O1155" s="24">
        <f>IF($N1155="","",WORKDAY($N1155,Settings!$C$10,HolidayDates))</f>
        <v>46230</v>
      </c>
      <c r="P1155" s="10" t="s">
        <v>502</v>
      </c>
      <c r="Q1155" s="52" t="str">
        <f t="shared" si="196"/>
        <v>Collected</v>
      </c>
      <c r="R1155" s="55" t="str">
        <f t="shared" si="197"/>
        <v>2026-06</v>
      </c>
      <c r="S1155" s="55">
        <f>IF(OR($B1155="",$F1155="",$R1155=""),"",SUMIFS(tblIssues[Qty Issued],tblIssues[Staff ID],$B1155,tblIssues[Item Name],$F1155,tblIssues[Month],$R1155))</f>
        <v>80</v>
      </c>
      <c r="T1155" s="56">
        <f>IF($I1155="","",$I1155*Settings!$C$11)</f>
        <v>80</v>
      </c>
      <c r="U1155" s="57" t="str">
        <f t="shared" si="194"/>
        <v>OK</v>
      </c>
      <c r="V1155" s="55" t="str">
        <f t="shared" si="198"/>
        <v/>
      </c>
      <c r="W1155" s="55" t="str">
        <f>IF($V1155="","",IF(COUNTIF($V$5:$V1155,$V1155)=1,1,""))</f>
        <v/>
      </c>
      <c r="X1155" s="58" t="str">
        <f>IF($W1155="","",MAX($X$4:X1154)+1)</f>
        <v/>
      </c>
      <c r="Y1155" s="62"/>
      <c r="Z1155" s="62"/>
      <c r="AA1155" s="64" t="str">
        <f>IF($C1155="","",IFERROR(INDEX('Staff Directory'!$E$5:$E$594,MATCH($C1155,'Staff Directory'!$B$5:$B$594,0)),""))</f>
        <v>firstname050.lastname050@example.com</v>
      </c>
      <c r="AB1155" s="64" t="str">
        <f>IF($C1155="","",IF(ISNUMBER(SEARCH($D1155,Settings!$C$15)),"Pickup","Dispatch"))</f>
        <v>Dispatch</v>
      </c>
      <c r="AC1155" s="64" t="str">
        <f t="shared" si="199"/>
        <v>Supply order dispatched</v>
      </c>
      <c r="AD1155" s="64" t="str">
        <f t="shared" si="190"/>
        <v>Dear RN,
Your order has been dispatched and is in transit. Reply if undelivered.</v>
      </c>
      <c r="AE1155" s="64" t="str">
        <f t="shared" si="191"/>
        <v>mailto:firstname050.lastname050@example.com?subject=Supply%20order%20dispatched&amp;body=Dear%20RN%2C%0A%0AYour%20order%20has%20been%20dispatched%20and%20is%20in%20transit.%20Reply%20if%20undelivered.</v>
      </c>
      <c r="AF1155" s="89" t="str">
        <f t="shared" si="200"/>
        <v>Draft email</v>
      </c>
      <c r="AG1155" s="64" t="str">
        <f>IF($C1155="","",IFERROR(INDEX('Staff Directory'!$K$595:$K$599,MATCH($C1155,'Staff Directory'!$B$5:$B$599,0)),$D1155))</f>
        <v>RN</v>
      </c>
      <c r="AH1155" t="str">
        <f>IF($C1155="","",IFERROR(INDEX('Staff Directory'!$I$595:$I$599,MATCH($C1155,'Staff Directory'!$B$5:$B$599,0))&amp;" "&amp;INDEX('Staff Directory'!$J$595:$J$599,MATCH($C1155,'Staff Directory'!$B$5:$B$599,0)),$AG1155))</f>
        <v>RN</v>
      </c>
      <c r="AI1155" s="102"/>
      <c r="AJ1155" s="101">
        <f>IF($F1155="","",SUMIFS($J$5:$J1155,$F$5:$F1155,$F1155))</f>
        <v>15680</v>
      </c>
      <c r="AK1155" s="101">
        <f t="shared" si="192"/>
        <v>15601</v>
      </c>
      <c r="AL1155" s="66" t="str" cm="1">
        <f t="array" ref="AL1155">IF($F1155="","",IFERROR(INDEX('Lot Balance'!$B$5:$B$500,MATCH(1,INDEX(('Lot Balance'!$A$5:$A$500=$F1155)*('Lot Balance'!$K$5:$K$500&lt;$AK1155)*('Lot Balance'!$K$5:$K$500+'Lot Balance'!$D$5:$D$500&gt;=$AK1155),0),0)),""))</f>
        <v>LYSL500290</v>
      </c>
      <c r="AM1155" s="66" t="str" cm="1">
        <f t="array" ref="AM1155">IF($F1155="","",IFERROR(INDEX('Lot Balance'!$B$5:$B$500,MATCH(1,INDEX(('Lot Balance'!$A$5:$A$500=$F1155)*('Lot Balance'!$K$5:$K$500&lt;$AJ1155)*('Lot Balance'!$K$5:$K$500+'Lot Balance'!$D$5:$D$500&gt;=$AJ1155),0),0)),""))</f>
        <v>LYSL500290</v>
      </c>
      <c r="AN1155" s="66" t="str">
        <f>IF($F1155="","",IF($AI1155&lt;&gt;"",IF(COUNTIFS('Lot Balance'!$A$5:$A$500,$F1155,'Lot Balance'!$B$5:$B$500,$AI1155)=0,"⚠ override is not a lot of this item",IF($AI1155=$AL1155,"Override = FEFO","Override - FEFO says "&amp;$AL1155)),IF($AL1155="","⚠ no receipt on file for this item",IF($AM1155&lt;&gt;$AL1155,"FEFO auto - split, also "&amp;$AM1155,"FEFO auto"))))</f>
        <v>FEFO auto</v>
      </c>
      <c r="AO1155" s="114"/>
    </row>
    <row r="1156" spans="1:41" x14ac:dyDescent="0.35">
      <c r="A1156" s="74">
        <v>46182</v>
      </c>
      <c r="B1156" s="18" t="str">
        <f>IF($C1156="","",IFERROR(INDEX('Staff Directory'!$A$5:$A$594,MATCH($C1156,'Staff Directory'!$B$5:$B$594,0)),"⚠ unknown staff"))</f>
        <v>RN-043-A1</v>
      </c>
      <c r="C1156" s="49" t="s">
        <v>966</v>
      </c>
      <c r="D1156" s="19" t="str">
        <f>IF($B1156="","",IFERROR(INDEX('Staff Directory'!$C$5:$C$594,MATCH($B1156,'Staff Directory'!$A$5:$A$594,0)),""))</f>
        <v>RN</v>
      </c>
      <c r="E1156" s="19" t="str">
        <f>IF($B1156="","",IFERROR(INDEX('Staff Directory'!$D$5:$D$594,MATCH($B1156,'Staff Directory'!$A$5:$A$594,0)),""))</f>
        <v>A1</v>
      </c>
      <c r="F1156" s="9" t="s">
        <v>757</v>
      </c>
      <c r="G1156" s="18" t="str">
        <f>IF($F1156="","",IFERROR(INDEX(Items!$B$5:$B$597,MATCH($F1156,Items!$A$5:$A$597,0)),"⚠ not in Items"))</f>
        <v>Documents</v>
      </c>
      <c r="H1156" s="19" t="str">
        <f>IF($F1156="","",IFERROR(INDEX(Items!$C$5:$C$597,MATCH($F1156,Items!$A$5:$A$597,0)),""))</f>
        <v>Standard</v>
      </c>
      <c r="I1156" s="23">
        <f>IF($F1156="","",IFERROR(INDEX(Items!$E$5:$E$597,MATCH($F1156,Items!$A$5:$A$597,0)),""))</f>
        <v>10</v>
      </c>
      <c r="J1156" s="115">
        <f>IF(tblIssues[[#This Row],[Qty Override]]&lt;&gt;"",tblIssues[[#This Row],[Qty Override]],IF(tblIssues[[#This Row],[Standard Issue]]="","",tblIssues[[#This Row],[Standard Issue]]))</f>
        <v>10</v>
      </c>
      <c r="K1156" s="20">
        <f>IF($F1156="","",IFERROR(INDEX(Items!$D$5:$D$597,MATCH($F1156,Items!$A$5:$A$597,0)),""))</f>
        <v>0</v>
      </c>
      <c r="L1156" s="21">
        <f t="shared" si="195"/>
        <v>0</v>
      </c>
      <c r="M1156" s="9" t="str">
        <f t="shared" si="193"/>
        <v/>
      </c>
      <c r="N1156" s="24">
        <f>IF($A1156="","",WORKDAY($A1156,Settings!$C$9,HolidayDates))</f>
        <v>46190</v>
      </c>
      <c r="O1156" s="24">
        <f>IF($N1156="","",WORKDAY($N1156,Settings!$C$10,HolidayDates))</f>
        <v>46230</v>
      </c>
      <c r="P1156" s="10" t="s">
        <v>502</v>
      </c>
      <c r="Q1156" s="52" t="str">
        <f t="shared" si="196"/>
        <v>Collected</v>
      </c>
      <c r="R1156" s="55" t="str">
        <f t="shared" si="197"/>
        <v>2026-06</v>
      </c>
      <c r="S1156" s="55">
        <f>IF(OR($B1156="",$F1156="",$R1156=""),"",SUMIFS(tblIssues[Qty Issued],tblIssues[Staff ID],$B1156,tblIssues[Item Name],$F1156,tblIssues[Month],$R1156))</f>
        <v>10</v>
      </c>
      <c r="T1156" s="56">
        <f>IF($I1156="","",$I1156*Settings!$C$11)</f>
        <v>10</v>
      </c>
      <c r="U1156" s="57" t="str">
        <f t="shared" si="194"/>
        <v>OK</v>
      </c>
      <c r="V1156" s="55" t="str">
        <f t="shared" si="198"/>
        <v/>
      </c>
      <c r="W1156" s="55" t="str">
        <f>IF($V1156="","",IF(COUNTIF($V$5:$V1156,$V1156)=1,1,""))</f>
        <v/>
      </c>
      <c r="X1156" s="58" t="str">
        <f>IF($W1156="","",MAX($X$4:X1155)+1)</f>
        <v/>
      </c>
      <c r="Y1156" s="62"/>
      <c r="Z1156" s="62"/>
      <c r="AA1156" s="64" t="str">
        <f>IF($C1156="","",IFERROR(INDEX('Staff Directory'!$E$5:$E$594,MATCH($C1156,'Staff Directory'!$B$5:$B$594,0)),""))</f>
        <v>firstname050.lastname050@example.com</v>
      </c>
      <c r="AB1156" s="64" t="str">
        <f>IF($C1156="","",IF(ISNUMBER(SEARCH($D1156,Settings!$C$15)),"Pickup","Dispatch"))</f>
        <v>Dispatch</v>
      </c>
      <c r="AC1156" s="64" t="str">
        <f t="shared" si="199"/>
        <v>Supply order dispatched</v>
      </c>
      <c r="AD1156" s="64" t="str">
        <f t="shared" si="190"/>
        <v>Dear RN,
Your order has been dispatched and is in transit. Reply if undelivered.</v>
      </c>
      <c r="AE1156" s="64" t="str">
        <f t="shared" si="191"/>
        <v>mailto:firstname050.lastname050@example.com?subject=Supply%20order%20dispatched&amp;body=Dear%20RN%2C%0A%0AYour%20order%20has%20been%20dispatched%20and%20is%20in%20transit.%20Reply%20if%20undelivered.</v>
      </c>
      <c r="AF1156" s="89" t="str">
        <f t="shared" si="200"/>
        <v>Draft email</v>
      </c>
      <c r="AG1156" s="64" t="str">
        <f>IF($C1156="","",IFERROR(INDEX('Staff Directory'!$K$595:$K$599,MATCH($C1156,'Staff Directory'!$B$5:$B$599,0)),$D1156))</f>
        <v>RN</v>
      </c>
      <c r="AH1156" t="str">
        <f>IF($C1156="","",IFERROR(INDEX('Staff Directory'!$I$595:$I$599,MATCH($C1156,'Staff Directory'!$B$5:$B$599,0))&amp;" "&amp;INDEX('Staff Directory'!$J$595:$J$599,MATCH($C1156,'Staff Directory'!$B$5:$B$599,0)),$AG1156))</f>
        <v>RN</v>
      </c>
      <c r="AI1156" s="102"/>
      <c r="AJ1156" s="101">
        <f>IF($F1156="","",SUMIFS($J$5:$J1156,$F$5:$F1156,$F1156))</f>
        <v>570</v>
      </c>
      <c r="AK1156" s="101">
        <f t="shared" si="192"/>
        <v>561</v>
      </c>
      <c r="AL1156" s="66" t="str" cm="1">
        <f t="array" ref="AL1156">IF($F1156="","",IFERROR(INDEX('Lot Balance'!$B$5:$B$500,MATCH(1,INDEX(('Lot Balance'!$A$5:$A$500=$F1156)*('Lot Balance'!$K$5:$K$500&lt;$AK1156)*('Lot Balance'!$K$5:$K$500+'Lot Balance'!$D$5:$D$500&gt;=$AK1156),0),0)),""))</f>
        <v/>
      </c>
      <c r="AM1156" s="66" t="str" cm="1">
        <f t="array" ref="AM1156">IF($F1156="","",IFERROR(INDEX('Lot Balance'!$B$5:$B$500,MATCH(1,INDEX(('Lot Balance'!$A$5:$A$500=$F1156)*('Lot Balance'!$K$5:$K$500&lt;$AJ1156)*('Lot Balance'!$K$5:$K$500+'Lot Balance'!$D$5:$D$500&gt;=$AJ1156),0),0)),""))</f>
        <v/>
      </c>
      <c r="AN1156" s="66" t="str">
        <f>IF($F1156="","",IF($AI1156&lt;&gt;"",IF(COUNTIFS('Lot Balance'!$A$5:$A$500,$F1156,'Lot Balance'!$B$5:$B$500,$AI1156)=0,"⚠ override is not a lot of this item",IF($AI1156=$AL1156,"Override = FEFO","Override - FEFO says "&amp;$AL1156)),IF($AL1156="","⚠ no receipt on file for this item",IF($AM1156&lt;&gt;$AL1156,"FEFO auto - split, also "&amp;$AM1156,"FEFO auto"))))</f>
        <v>⚠ no receipt on file for this item</v>
      </c>
      <c r="AO1156" s="114"/>
    </row>
    <row r="1157" spans="1:41" x14ac:dyDescent="0.35">
      <c r="A1157" s="74">
        <v>46168</v>
      </c>
      <c r="B1157" s="18" t="str">
        <f>IF($C1157="","",IFERROR(INDEX('Staff Directory'!$A$5:$A$594,MATCH($C1157,'Staff Directory'!$B$5:$B$594,0)),"⚠ unknown staff"))</f>
        <v>PSW-085-A6</v>
      </c>
      <c r="C1157" s="49" t="s">
        <v>1061</v>
      </c>
      <c r="D1157" s="19" t="str">
        <f>IF($B1157="","",IFERROR(INDEX('Staff Directory'!$C$5:$C$594,MATCH($B1157,'Staff Directory'!$A$5:$A$594,0)),""))</f>
        <v>PSW</v>
      </c>
      <c r="E1157" s="19" t="str">
        <f>IF($B1157="","",IFERROR(INDEX('Staff Directory'!$D$5:$D$594,MATCH($B1157,'Staff Directory'!$A$5:$A$594,0)),""))</f>
        <v>A6</v>
      </c>
      <c r="F1157" s="9" t="s">
        <v>127</v>
      </c>
      <c r="G1157" s="18" t="str">
        <f>IF($F1157="","",IFERROR(INDEX(Items!$B$5:$B$597,MATCH($F1157,Items!$A$5:$A$597,0)),"⚠ not in Items"))</f>
        <v>Gloves</v>
      </c>
      <c r="H1157" s="19" t="str">
        <f>IF($F1157="","",IFERROR(INDEX(Items!$C$5:$C$597,MATCH($F1157,Items!$A$5:$A$597,0)),""))</f>
        <v>Medium</v>
      </c>
      <c r="I1157" s="23">
        <f>IF($F1157="","",IFERROR(INDEX(Items!$E$5:$E$597,MATCH($F1157,Items!$A$5:$A$597,0)),""))</f>
        <v>500</v>
      </c>
      <c r="J1157" s="115">
        <f>IF(tblIssues[[#This Row],[Qty Override]]&lt;&gt;"",tblIssues[[#This Row],[Qty Override]],IF(tblIssues[[#This Row],[Standard Issue]]="","",tblIssues[[#This Row],[Standard Issue]]))</f>
        <v>500</v>
      </c>
      <c r="K1157" s="20">
        <f>IF($F1157="","",IFERROR(INDEX(Items!$D$5:$D$597,MATCH($F1157,Items!$A$5:$A$597,0)),""))</f>
        <v>5.5E-2</v>
      </c>
      <c r="L1157" s="21">
        <f t="shared" si="195"/>
        <v>27.5</v>
      </c>
      <c r="M1157" s="9" t="str">
        <f t="shared" si="193"/>
        <v>ZIM510137964</v>
      </c>
      <c r="N1157" s="24">
        <f>IF($A1157="","",WORKDAY($A1157,Settings!$C$9,HolidayDates))</f>
        <v>46176</v>
      </c>
      <c r="O1157" s="24">
        <f>IF($N1157="","",WORKDAY($N1157,Settings!$C$10,HolidayDates))</f>
        <v>46216</v>
      </c>
      <c r="P1157" s="10" t="s">
        <v>501</v>
      </c>
      <c r="Q1157" s="52" t="str">
        <f t="shared" si="196"/>
        <v>Collected</v>
      </c>
      <c r="R1157" s="55" t="str">
        <f t="shared" si="197"/>
        <v>2026-05</v>
      </c>
      <c r="S1157" s="55">
        <f>IF(OR($B1157="",$F1157="",$R1157=""),"",SUMIFS(tblIssues[Qty Issued],tblIssues[Staff ID],$B1157,tblIssues[Item Name],$F1157,tblIssues[Month],$R1157))</f>
        <v>500</v>
      </c>
      <c r="T1157" s="56">
        <f>IF($I1157="","",$I1157*Settings!$C$11)</f>
        <v>500</v>
      </c>
      <c r="U1157" s="57" t="str">
        <f t="shared" si="194"/>
        <v>OK</v>
      </c>
      <c r="V1157" s="55" t="str">
        <f t="shared" si="198"/>
        <v/>
      </c>
      <c r="W1157" s="55" t="str">
        <f>IF($V1157="","",IF(COUNTIF($V$5:$V1157,$V1157)=1,1,""))</f>
        <v/>
      </c>
      <c r="X1157" s="58" t="str">
        <f>IF($W1157="","",MAX($X$4:X1156)+1)</f>
        <v/>
      </c>
      <c r="Y1157" s="62"/>
      <c r="Z1157" s="62"/>
      <c r="AA1157" s="64" t="str">
        <f>IF($C1157="","",IFERROR(INDEX('Staff Directory'!$E$5:$E$594,MATCH($C1157,'Staff Directory'!$B$5:$B$594,0)),""))</f>
        <v>firstname145.lastname145@example.com</v>
      </c>
      <c r="AB1157" s="64" t="str">
        <f>IF($C1157="","",IF(ISNUMBER(SEARCH($D1157,Settings!$C$15)),"Pickup","Dispatch"))</f>
        <v>Pickup</v>
      </c>
      <c r="AC1157" s="64" t="str">
        <f t="shared" si="199"/>
        <v>Supply order ready for pickup</v>
      </c>
      <c r="AD1157" s="64" t="str">
        <f t="shared" ref="AD1157:AD1220" si="201">IF($AB1157="Pickup","Dear "&amp;$AH1157&amp;","&amp;CHAR(10)&amp;CHAR(10)&amp;"Your order is ready for pickup from Sample Branch, Wed-Fri 9am-4pm.",IF($AB1157="Dispatch","Dear "&amp;$AH1157&amp;","&amp;CHAR(10)&amp;CHAR(10)&amp;"Your order has been dispatched and is in transit. Reply if undelivered.",""))</f>
        <v>Dear PSW,
Your order is ready for pickup from Sample Branch, Wed-Fri 9am-4pm.</v>
      </c>
      <c r="AE1157" s="64" t="str">
        <f t="shared" ref="AE1157:AE1220" si="202">IF(OR($AA1157="",$AC1157=""),"","mailto:"&amp;$AA1157&amp;"?subject="&amp;_xlfn.ENCODEURL($AC1157)&amp;"&amp;body="&amp;_xlfn.ENCODEURL($AD1157))</f>
        <v>mailto:firstname145.lastname145@example.com?subject=Supply%20order%20ready%20for%20pickup&amp;body=Dear%20PSW%2C%0A%0AYour%20order%20is%20ready%20for%20pickup%20from%20Sample%20Branch%2C%20Wed-Fri%209am-4pm.</v>
      </c>
      <c r="AF1157" s="89" t="str">
        <f t="shared" si="200"/>
        <v>Draft email</v>
      </c>
      <c r="AG1157" s="64" t="str">
        <f>IF($C1157="","",IFERROR(INDEX('Staff Directory'!$K$595:$K$599,MATCH($C1157,'Staff Directory'!$B$5:$B$599,0)),$D1157))</f>
        <v>PSW</v>
      </c>
      <c r="AH1157" t="str">
        <f>IF($C1157="","",IFERROR(INDEX('Staff Directory'!$I$595:$I$599,MATCH($C1157,'Staff Directory'!$B$5:$B$599,0))&amp;" "&amp;INDEX('Staff Directory'!$J$595:$J$599,MATCH($C1157,'Staff Directory'!$B$5:$B$599,0)),$AG1157))</f>
        <v>PSW</v>
      </c>
      <c r="AI1157" s="102"/>
      <c r="AJ1157" s="101">
        <f>IF($F1157="","",SUMIFS($J$5:$J1157,$F$5:$F1157,$F1157))</f>
        <v>67000</v>
      </c>
      <c r="AK1157" s="101">
        <f t="shared" ref="AK1157:AK1220" si="203">IF($F1157="","",MAX(1,$AJ1157-MAX($J1157,0)+1))</f>
        <v>66501</v>
      </c>
      <c r="AL1157" s="66" t="str" cm="1">
        <f t="array" ref="AL1157">IF($F1157="","",IFERROR(INDEX('Lot Balance'!$B$5:$B$500,MATCH(1,INDEX(('Lot Balance'!$A$5:$A$500=$F1157)*('Lot Balance'!$K$5:$K$500&lt;$AK1157)*('Lot Balance'!$K$5:$K$500+'Lot Balance'!$D$5:$D$500&gt;=$AK1157),0),0)),""))</f>
        <v>ZIM510137964</v>
      </c>
      <c r="AM1157" s="66" t="str" cm="1">
        <f t="array" ref="AM1157">IF($F1157="","",IFERROR(INDEX('Lot Balance'!$B$5:$B$500,MATCH(1,INDEX(('Lot Balance'!$A$5:$A$500=$F1157)*('Lot Balance'!$K$5:$K$500&lt;$AJ1157)*('Lot Balance'!$K$5:$K$500+'Lot Balance'!$D$5:$D$500&gt;=$AJ1157),0),0)),""))</f>
        <v>ZIM510137964</v>
      </c>
      <c r="AN1157" s="66" t="str">
        <f>IF($F1157="","",IF($AI1157&lt;&gt;"",IF(COUNTIFS('Lot Balance'!$A$5:$A$500,$F1157,'Lot Balance'!$B$5:$B$500,$AI1157)=0,"⚠ override is not a lot of this item",IF($AI1157=$AL1157,"Override = FEFO","Override - FEFO says "&amp;$AL1157)),IF($AL1157="","⚠ no receipt on file for this item",IF($AM1157&lt;&gt;$AL1157,"FEFO auto - split, also "&amp;$AM1157,"FEFO auto"))))</f>
        <v>FEFO auto</v>
      </c>
      <c r="AO1157" s="114"/>
    </row>
    <row r="1158" spans="1:41" x14ac:dyDescent="0.35">
      <c r="A1158" s="74">
        <v>46168</v>
      </c>
      <c r="B1158" s="18" t="str">
        <f>IF($C1158="","",IFERROR(INDEX('Staff Directory'!$A$5:$A$594,MATCH($C1158,'Staff Directory'!$B$5:$B$594,0)),"⚠ unknown staff"))</f>
        <v>PSW-085-A6</v>
      </c>
      <c r="C1158" s="49" t="s">
        <v>1061</v>
      </c>
      <c r="D1158" s="19" t="str">
        <f>IF($B1158="","",IFERROR(INDEX('Staff Directory'!$C$5:$C$594,MATCH($B1158,'Staff Directory'!$A$5:$A$594,0)),""))</f>
        <v>PSW</v>
      </c>
      <c r="E1158" s="19" t="str">
        <f>IF($B1158="","",IFERROR(INDEX('Staff Directory'!$D$5:$D$594,MATCH($B1158,'Staff Directory'!$A$5:$A$594,0)),""))</f>
        <v>A6</v>
      </c>
      <c r="F1158" s="9" t="s">
        <v>115</v>
      </c>
      <c r="G1158" s="18" t="str">
        <f>IF($F1158="","",IFERROR(INDEX(Items!$B$5:$B$597,MATCH($F1158,Items!$A$5:$A$597,0)),"⚠ not in Items"))</f>
        <v>Wipes</v>
      </c>
      <c r="H1158" s="19">
        <f>IF($F1158="","",IFERROR(INDEX(Items!$C$5:$C$597,MATCH($F1158,Items!$A$5:$A$597,0)),""))</f>
        <v>80</v>
      </c>
      <c r="I1158" s="23">
        <f>IF($F1158="","",IFERROR(INDEX(Items!$E$5:$E$597,MATCH($F1158,Items!$A$5:$A$597,0)),""))</f>
        <v>80</v>
      </c>
      <c r="J1158" s="115">
        <f>IF(tblIssues[[#This Row],[Qty Override]]&lt;&gt;"",tblIssues[[#This Row],[Qty Override]],IF(tblIssues[[#This Row],[Standard Issue]]="","",tblIssues[[#This Row],[Standard Issue]]))</f>
        <v>80</v>
      </c>
      <c r="K1158" s="20">
        <f>IF($F1158="","",IFERROR(INDEX(Items!$D$5:$D$597,MATCH($F1158,Items!$A$5:$A$597,0)),""))</f>
        <v>0.1</v>
      </c>
      <c r="L1158" s="21">
        <f t="shared" si="195"/>
        <v>8</v>
      </c>
      <c r="M1158" s="9" t="str">
        <f t="shared" ref="M1158:M1221" si="204">IF($F1158="","",IF($AI1158&lt;&gt;"",$AI1158,$AL1158))</f>
        <v>LYSL500290</v>
      </c>
      <c r="N1158" s="24">
        <f>IF($A1158="","",WORKDAY($A1158,Settings!$C$9,HolidayDates))</f>
        <v>46176</v>
      </c>
      <c r="O1158" s="24">
        <f>IF($N1158="","",WORKDAY($N1158,Settings!$C$10,HolidayDates))</f>
        <v>46216</v>
      </c>
      <c r="P1158" s="10" t="s">
        <v>501</v>
      </c>
      <c r="Q1158" s="52" t="str">
        <f t="shared" si="196"/>
        <v>Collected</v>
      </c>
      <c r="R1158" s="55" t="str">
        <f t="shared" si="197"/>
        <v>2026-05</v>
      </c>
      <c r="S1158" s="55">
        <f>IF(OR($B1158="",$F1158="",$R1158=""),"",SUMIFS(tblIssues[Qty Issued],tblIssues[Staff ID],$B1158,tblIssues[Item Name],$F1158,tblIssues[Month],$R1158))</f>
        <v>80</v>
      </c>
      <c r="T1158" s="56">
        <f>IF($I1158="","",$I1158*Settings!$C$11)</f>
        <v>80</v>
      </c>
      <c r="U1158" s="57" t="str">
        <f t="shared" ref="U1158:U1221" si="205">IF(OR($S1158="",$T1158=""),"",IF($S1158&gt;$T1158,IF($Y1158="Approved","APPROVED BY TL","⚠ OVER QUOTA"),"OK"))</f>
        <v>OK</v>
      </c>
      <c r="V1158" s="55" t="str">
        <f t="shared" si="198"/>
        <v/>
      </c>
      <c r="W1158" s="55" t="str">
        <f>IF($V1158="","",IF(COUNTIF($V$5:$V1158,$V1158)=1,1,""))</f>
        <v/>
      </c>
      <c r="X1158" s="58" t="str">
        <f>IF($W1158="","",MAX($X$4:X1157)+1)</f>
        <v/>
      </c>
      <c r="Y1158" s="62"/>
      <c r="Z1158" s="62"/>
      <c r="AA1158" s="64" t="str">
        <f>IF($C1158="","",IFERROR(INDEX('Staff Directory'!$E$5:$E$594,MATCH($C1158,'Staff Directory'!$B$5:$B$594,0)),""))</f>
        <v>firstname145.lastname145@example.com</v>
      </c>
      <c r="AB1158" s="64" t="str">
        <f>IF($C1158="","",IF(ISNUMBER(SEARCH($D1158,Settings!$C$15)),"Pickup","Dispatch"))</f>
        <v>Pickup</v>
      </c>
      <c r="AC1158" s="64" t="str">
        <f t="shared" si="199"/>
        <v>Supply order ready for pickup</v>
      </c>
      <c r="AD1158" s="64" t="str">
        <f t="shared" si="201"/>
        <v>Dear PSW,
Your order is ready for pickup from Sample Branch, Wed-Fri 9am-4pm.</v>
      </c>
      <c r="AE1158" s="64" t="str">
        <f t="shared" si="202"/>
        <v>mailto:firstname145.lastname145@example.com?subject=Supply%20order%20ready%20for%20pickup&amp;body=Dear%20PSW%2C%0A%0AYour%20order%20is%20ready%20for%20pickup%20from%20Sample%20Branch%2C%20Wed-Fri%209am-4pm.</v>
      </c>
      <c r="AF1158" s="89" t="str">
        <f t="shared" si="200"/>
        <v>Draft email</v>
      </c>
      <c r="AG1158" s="64" t="str">
        <f>IF($C1158="","",IFERROR(INDEX('Staff Directory'!$K$595:$K$599,MATCH($C1158,'Staff Directory'!$B$5:$B$599,0)),$D1158))</f>
        <v>PSW</v>
      </c>
      <c r="AH1158" t="str">
        <f>IF($C1158="","",IFERROR(INDEX('Staff Directory'!$I$595:$I$599,MATCH($C1158,'Staff Directory'!$B$5:$B$599,0))&amp;" "&amp;INDEX('Staff Directory'!$J$595:$J$599,MATCH($C1158,'Staff Directory'!$B$5:$B$599,0)),$AG1158))</f>
        <v>PSW</v>
      </c>
      <c r="AI1158" s="102"/>
      <c r="AJ1158" s="101">
        <f>IF($F1158="","",SUMIFS($J$5:$J1158,$F$5:$F1158,$F1158))</f>
        <v>15760</v>
      </c>
      <c r="AK1158" s="101">
        <f t="shared" si="203"/>
        <v>15681</v>
      </c>
      <c r="AL1158" s="66" t="str" cm="1">
        <f t="array" ref="AL1158">IF($F1158="","",IFERROR(INDEX('Lot Balance'!$B$5:$B$500,MATCH(1,INDEX(('Lot Balance'!$A$5:$A$500=$F1158)*('Lot Balance'!$K$5:$K$500&lt;$AK1158)*('Lot Balance'!$K$5:$K$500+'Lot Balance'!$D$5:$D$500&gt;=$AK1158),0),0)),""))</f>
        <v>LYSL500290</v>
      </c>
      <c r="AM1158" s="66" t="str" cm="1">
        <f t="array" ref="AM1158">IF($F1158="","",IFERROR(INDEX('Lot Balance'!$B$5:$B$500,MATCH(1,INDEX(('Lot Balance'!$A$5:$A$500=$F1158)*('Lot Balance'!$K$5:$K$500&lt;$AJ1158)*('Lot Balance'!$K$5:$K$500+'Lot Balance'!$D$5:$D$500&gt;=$AJ1158),0),0)),""))</f>
        <v>LYSL500290</v>
      </c>
      <c r="AN1158" s="66" t="str">
        <f>IF($F1158="","",IF($AI1158&lt;&gt;"",IF(COUNTIFS('Lot Balance'!$A$5:$A$500,$F1158,'Lot Balance'!$B$5:$B$500,$AI1158)=0,"⚠ override is not a lot of this item",IF($AI1158=$AL1158,"Override = FEFO","Override - FEFO says "&amp;$AL1158)),IF($AL1158="","⚠ no receipt on file for this item",IF($AM1158&lt;&gt;$AL1158,"FEFO auto - split, also "&amp;$AM1158,"FEFO auto"))))</f>
        <v>FEFO auto</v>
      </c>
      <c r="AO1158" s="114"/>
    </row>
    <row r="1159" spans="1:41" x14ac:dyDescent="0.35">
      <c r="A1159" s="74">
        <v>46182</v>
      </c>
      <c r="B1159" s="18" t="str">
        <f>IF($C1159="","",IFERROR(INDEX('Staff Directory'!$A$5:$A$594,MATCH($C1159,'Staff Directory'!$B$5:$B$594,0)),"⚠ unknown staff"))</f>
        <v>PSW-085-A6</v>
      </c>
      <c r="C1159" s="49" t="s">
        <v>1061</v>
      </c>
      <c r="D1159" s="19" t="str">
        <f>IF($B1159="","",IFERROR(INDEX('Staff Directory'!$C$5:$C$594,MATCH($B1159,'Staff Directory'!$A$5:$A$594,0)),""))</f>
        <v>PSW</v>
      </c>
      <c r="E1159" s="19" t="str">
        <f>IF($B1159="","",IFERROR(INDEX('Staff Directory'!$D$5:$D$594,MATCH($B1159,'Staff Directory'!$A$5:$A$594,0)),""))</f>
        <v>A6</v>
      </c>
      <c r="F1159" s="9" t="s">
        <v>127</v>
      </c>
      <c r="G1159" s="18" t="str">
        <f>IF($F1159="","",IFERROR(INDEX(Items!$B$5:$B$597,MATCH($F1159,Items!$A$5:$A$597,0)),"⚠ not in Items"))</f>
        <v>Gloves</v>
      </c>
      <c r="H1159" s="19" t="str">
        <f>IF($F1159="","",IFERROR(INDEX(Items!$C$5:$C$597,MATCH($F1159,Items!$A$5:$A$597,0)),""))</f>
        <v>Medium</v>
      </c>
      <c r="I1159" s="23">
        <f>IF($F1159="","",IFERROR(INDEX(Items!$E$5:$E$597,MATCH($F1159,Items!$A$5:$A$597,0)),""))</f>
        <v>500</v>
      </c>
      <c r="J1159" s="115">
        <f>IF(tblIssues[[#This Row],[Qty Override]]&lt;&gt;"",tblIssues[[#This Row],[Qty Override]],IF(tblIssues[[#This Row],[Standard Issue]]="","",tblIssues[[#This Row],[Standard Issue]]))</f>
        <v>500</v>
      </c>
      <c r="K1159" s="20">
        <f>IF($F1159="","",IFERROR(INDEX(Items!$D$5:$D$597,MATCH($F1159,Items!$A$5:$A$597,0)),""))</f>
        <v>5.5E-2</v>
      </c>
      <c r="L1159" s="21">
        <f t="shared" si="195"/>
        <v>27.5</v>
      </c>
      <c r="M1159" s="9" t="str">
        <f t="shared" si="204"/>
        <v>ZIM510137964</v>
      </c>
      <c r="N1159" s="24">
        <f>IF($A1159="","",WORKDAY($A1159,Settings!$C$9,HolidayDates))</f>
        <v>46190</v>
      </c>
      <c r="O1159" s="24">
        <f>IF($N1159="","",WORKDAY($N1159,Settings!$C$10,HolidayDates))</f>
        <v>46230</v>
      </c>
      <c r="P1159" s="10" t="s">
        <v>501</v>
      </c>
      <c r="Q1159" s="52" t="str">
        <f t="shared" si="196"/>
        <v>Collected</v>
      </c>
      <c r="R1159" s="55" t="str">
        <f t="shared" si="197"/>
        <v>2026-06</v>
      </c>
      <c r="S1159" s="55">
        <f>IF(OR($B1159="",$F1159="",$R1159=""),"",SUMIFS(tblIssues[Qty Issued],tblIssues[Staff ID],$B1159,tblIssues[Item Name],$F1159,tblIssues[Month],$R1159))</f>
        <v>500</v>
      </c>
      <c r="T1159" s="56">
        <f>IF($I1159="","",$I1159*Settings!$C$11)</f>
        <v>500</v>
      </c>
      <c r="U1159" s="57" t="str">
        <f t="shared" si="205"/>
        <v>OK</v>
      </c>
      <c r="V1159" s="55" t="str">
        <f t="shared" si="198"/>
        <v/>
      </c>
      <c r="W1159" s="55" t="str">
        <f>IF($V1159="","",IF(COUNTIF($V$5:$V1159,$V1159)=1,1,""))</f>
        <v/>
      </c>
      <c r="X1159" s="58" t="str">
        <f>IF($W1159="","",MAX($X$4:X1158)+1)</f>
        <v/>
      </c>
      <c r="Y1159" s="62"/>
      <c r="Z1159" s="62"/>
      <c r="AA1159" s="64" t="str">
        <f>IF($C1159="","",IFERROR(INDEX('Staff Directory'!$E$5:$E$594,MATCH($C1159,'Staff Directory'!$B$5:$B$594,0)),""))</f>
        <v>firstname145.lastname145@example.com</v>
      </c>
      <c r="AB1159" s="64" t="str">
        <f>IF($C1159="","",IF(ISNUMBER(SEARCH($D1159,Settings!$C$15)),"Pickup","Dispatch"))</f>
        <v>Pickup</v>
      </c>
      <c r="AC1159" s="64" t="str">
        <f t="shared" si="199"/>
        <v>Supply order ready for pickup</v>
      </c>
      <c r="AD1159" s="64" t="str">
        <f t="shared" si="201"/>
        <v>Dear PSW,
Your order is ready for pickup from Sample Branch, Wed-Fri 9am-4pm.</v>
      </c>
      <c r="AE1159" s="64" t="str">
        <f t="shared" si="202"/>
        <v>mailto:firstname145.lastname145@example.com?subject=Supply%20order%20ready%20for%20pickup&amp;body=Dear%20PSW%2C%0A%0AYour%20order%20is%20ready%20for%20pickup%20from%20Sample%20Branch%2C%20Wed-Fri%209am-4pm.</v>
      </c>
      <c r="AF1159" s="89" t="str">
        <f t="shared" si="200"/>
        <v>Draft email</v>
      </c>
      <c r="AG1159" s="64" t="str">
        <f>IF($C1159="","",IFERROR(INDEX('Staff Directory'!$K$595:$K$599,MATCH($C1159,'Staff Directory'!$B$5:$B$599,0)),$D1159))</f>
        <v>PSW</v>
      </c>
      <c r="AH1159" t="str">
        <f>IF($C1159="","",IFERROR(INDEX('Staff Directory'!$I$595:$I$599,MATCH($C1159,'Staff Directory'!$B$5:$B$599,0))&amp;" "&amp;INDEX('Staff Directory'!$J$595:$J$599,MATCH($C1159,'Staff Directory'!$B$5:$B$599,0)),$AG1159))</f>
        <v>PSW</v>
      </c>
      <c r="AI1159" s="102"/>
      <c r="AJ1159" s="101">
        <f>IF($F1159="","",SUMIFS($J$5:$J1159,$F$5:$F1159,$F1159))</f>
        <v>67500</v>
      </c>
      <c r="AK1159" s="101">
        <f t="shared" si="203"/>
        <v>67001</v>
      </c>
      <c r="AL1159" s="66" t="str" cm="1">
        <f t="array" ref="AL1159">IF($F1159="","",IFERROR(INDEX('Lot Balance'!$B$5:$B$500,MATCH(1,INDEX(('Lot Balance'!$A$5:$A$500=$F1159)*('Lot Balance'!$K$5:$K$500&lt;$AK1159)*('Lot Balance'!$K$5:$K$500+'Lot Balance'!$D$5:$D$500&gt;=$AK1159),0),0)),""))</f>
        <v>ZIM510137964</v>
      </c>
      <c r="AM1159" s="66" t="str" cm="1">
        <f t="array" ref="AM1159">IF($F1159="","",IFERROR(INDEX('Lot Balance'!$B$5:$B$500,MATCH(1,INDEX(('Lot Balance'!$A$5:$A$500=$F1159)*('Lot Balance'!$K$5:$K$500&lt;$AJ1159)*('Lot Balance'!$K$5:$K$500+'Lot Balance'!$D$5:$D$500&gt;=$AJ1159),0),0)),""))</f>
        <v>ZIM510137964</v>
      </c>
      <c r="AN1159" s="66" t="str">
        <f>IF($F1159="","",IF($AI1159&lt;&gt;"",IF(COUNTIFS('Lot Balance'!$A$5:$A$500,$F1159,'Lot Balance'!$B$5:$B$500,$AI1159)=0,"⚠ override is not a lot of this item",IF($AI1159=$AL1159,"Override = FEFO","Override - FEFO says "&amp;$AL1159)),IF($AL1159="","⚠ no receipt on file for this item",IF($AM1159&lt;&gt;$AL1159,"FEFO auto - split, also "&amp;$AM1159,"FEFO auto"))))</f>
        <v>FEFO auto</v>
      </c>
      <c r="AO1159" s="114"/>
    </row>
    <row r="1160" spans="1:41" x14ac:dyDescent="0.35">
      <c r="A1160" s="74">
        <v>46182</v>
      </c>
      <c r="B1160" s="18" t="str">
        <f>IF($C1160="","",IFERROR(INDEX('Staff Directory'!$A$5:$A$594,MATCH($C1160,'Staff Directory'!$B$5:$B$594,0)),"⚠ unknown staff"))</f>
        <v>PSW-085-A6</v>
      </c>
      <c r="C1160" s="49" t="s">
        <v>1061</v>
      </c>
      <c r="D1160" s="19" t="str">
        <f>IF($B1160="","",IFERROR(INDEX('Staff Directory'!$C$5:$C$594,MATCH($B1160,'Staff Directory'!$A$5:$A$594,0)),""))</f>
        <v>PSW</v>
      </c>
      <c r="E1160" s="19" t="str">
        <f>IF($B1160="","",IFERROR(INDEX('Staff Directory'!$D$5:$D$594,MATCH($B1160,'Staff Directory'!$A$5:$A$594,0)),""))</f>
        <v>A6</v>
      </c>
      <c r="F1160" s="9" t="s">
        <v>115</v>
      </c>
      <c r="G1160" s="18" t="str">
        <f>IF($F1160="","",IFERROR(INDEX(Items!$B$5:$B$597,MATCH($F1160,Items!$A$5:$A$597,0)),"⚠ not in Items"))</f>
        <v>Wipes</v>
      </c>
      <c r="H1160" s="19">
        <f>IF($F1160="","",IFERROR(INDEX(Items!$C$5:$C$597,MATCH($F1160,Items!$A$5:$A$597,0)),""))</f>
        <v>80</v>
      </c>
      <c r="I1160" s="23">
        <f>IF($F1160="","",IFERROR(INDEX(Items!$E$5:$E$597,MATCH($F1160,Items!$A$5:$A$597,0)),""))</f>
        <v>80</v>
      </c>
      <c r="J1160" s="115">
        <f>IF(tblIssues[[#This Row],[Qty Override]]&lt;&gt;"",tblIssues[[#This Row],[Qty Override]],IF(tblIssues[[#This Row],[Standard Issue]]="","",tblIssues[[#This Row],[Standard Issue]]))</f>
        <v>80</v>
      </c>
      <c r="K1160" s="20">
        <f>IF($F1160="","",IFERROR(INDEX(Items!$D$5:$D$597,MATCH($F1160,Items!$A$5:$A$597,0)),""))</f>
        <v>0.1</v>
      </c>
      <c r="L1160" s="21">
        <f t="shared" ref="L1160:L1223" si="206">IF(OR($J1160="",$K1160=""),"",$J1160*$K1160)</f>
        <v>8</v>
      </c>
      <c r="M1160" s="9" t="str">
        <f t="shared" si="204"/>
        <v>LYSL500290</v>
      </c>
      <c r="N1160" s="24">
        <f>IF($A1160="","",WORKDAY($A1160,Settings!$C$9,HolidayDates))</f>
        <v>46190</v>
      </c>
      <c r="O1160" s="24">
        <f>IF($N1160="","",WORKDAY($N1160,Settings!$C$10,HolidayDates))</f>
        <v>46230</v>
      </c>
      <c r="P1160" s="10" t="s">
        <v>501</v>
      </c>
      <c r="Q1160" s="52" t="str">
        <f t="shared" si="196"/>
        <v>Collected</v>
      </c>
      <c r="R1160" s="55" t="str">
        <f t="shared" si="197"/>
        <v>2026-06</v>
      </c>
      <c r="S1160" s="55">
        <f>IF(OR($B1160="",$F1160="",$R1160=""),"",SUMIFS(tblIssues[Qty Issued],tblIssues[Staff ID],$B1160,tblIssues[Item Name],$F1160,tblIssues[Month],$R1160))</f>
        <v>80</v>
      </c>
      <c r="T1160" s="56">
        <f>IF($I1160="","",$I1160*Settings!$C$11)</f>
        <v>80</v>
      </c>
      <c r="U1160" s="57" t="str">
        <f t="shared" si="205"/>
        <v>OK</v>
      </c>
      <c r="V1160" s="55" t="str">
        <f t="shared" si="198"/>
        <v/>
      </c>
      <c r="W1160" s="55" t="str">
        <f>IF($V1160="","",IF(COUNTIF($V$5:$V1160,$V1160)=1,1,""))</f>
        <v/>
      </c>
      <c r="X1160" s="58" t="str">
        <f>IF($W1160="","",MAX($X$4:X1159)+1)</f>
        <v/>
      </c>
      <c r="Y1160" s="62"/>
      <c r="Z1160" s="62"/>
      <c r="AA1160" s="64" t="str">
        <f>IF($C1160="","",IFERROR(INDEX('Staff Directory'!$E$5:$E$594,MATCH($C1160,'Staff Directory'!$B$5:$B$594,0)),""))</f>
        <v>firstname145.lastname145@example.com</v>
      </c>
      <c r="AB1160" s="64" t="str">
        <f>IF($C1160="","",IF(ISNUMBER(SEARCH($D1160,Settings!$C$15)),"Pickup","Dispatch"))</f>
        <v>Pickup</v>
      </c>
      <c r="AC1160" s="64" t="str">
        <f t="shared" si="199"/>
        <v>Supply order ready for pickup</v>
      </c>
      <c r="AD1160" s="64" t="str">
        <f t="shared" si="201"/>
        <v>Dear PSW,
Your order is ready for pickup from Sample Branch, Wed-Fri 9am-4pm.</v>
      </c>
      <c r="AE1160" s="64" t="str">
        <f t="shared" si="202"/>
        <v>mailto:firstname145.lastname145@example.com?subject=Supply%20order%20ready%20for%20pickup&amp;body=Dear%20PSW%2C%0A%0AYour%20order%20is%20ready%20for%20pickup%20from%20Sample%20Branch%2C%20Wed-Fri%209am-4pm.</v>
      </c>
      <c r="AF1160" s="89" t="str">
        <f t="shared" si="200"/>
        <v>Draft email</v>
      </c>
      <c r="AG1160" s="64" t="str">
        <f>IF($C1160="","",IFERROR(INDEX('Staff Directory'!$K$595:$K$599,MATCH($C1160,'Staff Directory'!$B$5:$B$599,0)),$D1160))</f>
        <v>PSW</v>
      </c>
      <c r="AH1160" t="str">
        <f>IF($C1160="","",IFERROR(INDEX('Staff Directory'!$I$595:$I$599,MATCH($C1160,'Staff Directory'!$B$5:$B$599,0))&amp;" "&amp;INDEX('Staff Directory'!$J$595:$J$599,MATCH($C1160,'Staff Directory'!$B$5:$B$599,0)),$AG1160))</f>
        <v>PSW</v>
      </c>
      <c r="AI1160" s="102"/>
      <c r="AJ1160" s="101">
        <f>IF($F1160="","",SUMIFS($J$5:$J1160,$F$5:$F1160,$F1160))</f>
        <v>15840</v>
      </c>
      <c r="AK1160" s="101">
        <f t="shared" si="203"/>
        <v>15761</v>
      </c>
      <c r="AL1160" s="66" t="str" cm="1">
        <f t="array" ref="AL1160">IF($F1160="","",IFERROR(INDEX('Lot Balance'!$B$5:$B$500,MATCH(1,INDEX(('Lot Balance'!$A$5:$A$500=$F1160)*('Lot Balance'!$K$5:$K$500&lt;$AK1160)*('Lot Balance'!$K$5:$K$500+'Lot Balance'!$D$5:$D$500&gt;=$AK1160),0),0)),""))</f>
        <v>LYSL500290</v>
      </c>
      <c r="AM1160" s="66" t="str" cm="1">
        <f t="array" ref="AM1160">IF($F1160="","",IFERROR(INDEX('Lot Balance'!$B$5:$B$500,MATCH(1,INDEX(('Lot Balance'!$A$5:$A$500=$F1160)*('Lot Balance'!$K$5:$K$500&lt;$AJ1160)*('Lot Balance'!$K$5:$K$500+'Lot Balance'!$D$5:$D$500&gt;=$AJ1160),0),0)),""))</f>
        <v>LYSL500290</v>
      </c>
      <c r="AN1160" s="66" t="str">
        <f>IF($F1160="","",IF($AI1160&lt;&gt;"",IF(COUNTIFS('Lot Balance'!$A$5:$A$500,$F1160,'Lot Balance'!$B$5:$B$500,$AI1160)=0,"⚠ override is not a lot of this item",IF($AI1160=$AL1160,"Override = FEFO","Override - FEFO says "&amp;$AL1160)),IF($AL1160="","⚠ no receipt on file for this item",IF($AM1160&lt;&gt;$AL1160,"FEFO auto - split, also "&amp;$AM1160,"FEFO auto"))))</f>
        <v>FEFO auto</v>
      </c>
      <c r="AO1160" s="114"/>
    </row>
    <row r="1161" spans="1:41" x14ac:dyDescent="0.35">
      <c r="A1161" s="74">
        <v>46183</v>
      </c>
      <c r="B1161" s="18" t="str">
        <f>IF($C1161="","",IFERROR(INDEX('Staff Directory'!$A$5:$A$594,MATCH($C1161,'Staff Directory'!$B$5:$B$594,0)),"⚠ unknown staff"))</f>
        <v>PSW-040-A6</v>
      </c>
      <c r="C1161" s="49" t="s">
        <v>1015</v>
      </c>
      <c r="D1161" s="19" t="str">
        <f>IF($B1161="","",IFERROR(INDEX('Staff Directory'!$C$5:$C$594,MATCH($B1161,'Staff Directory'!$A$5:$A$594,0)),""))</f>
        <v>PSW</v>
      </c>
      <c r="E1161" s="19" t="str">
        <f>IF($B1161="","",IFERROR(INDEX('Staff Directory'!$D$5:$D$594,MATCH($B1161,'Staff Directory'!$A$5:$A$594,0)),""))</f>
        <v>A6</v>
      </c>
      <c r="F1161" s="9" t="s">
        <v>129</v>
      </c>
      <c r="G1161" s="18" t="str">
        <f>IF($F1161="","",IFERROR(INDEX(Items!$B$5:$B$597,MATCH($F1161,Items!$A$5:$A$597,0)),"⚠ not in Items"))</f>
        <v>Gloves</v>
      </c>
      <c r="H1161" s="19" t="str">
        <f>IF($F1161="","",IFERROR(INDEX(Items!$C$5:$C$597,MATCH($F1161,Items!$A$5:$A$597,0)),""))</f>
        <v>Small</v>
      </c>
      <c r="I1161" s="23">
        <f>IF($F1161="","",IFERROR(INDEX(Items!$E$5:$E$597,MATCH($F1161,Items!$A$5:$A$597,0)),""))</f>
        <v>500</v>
      </c>
      <c r="J1161" s="115">
        <f>IF(tblIssues[[#This Row],[Qty Override]]&lt;&gt;"",tblIssues[[#This Row],[Qty Override]],IF(tblIssues[[#This Row],[Standard Issue]]="","",tblIssues[[#This Row],[Standard Issue]]))</f>
        <v>500</v>
      </c>
      <c r="K1161" s="20">
        <f>IF($F1161="","",IFERROR(INDEX(Items!$D$5:$D$597,MATCH($F1161,Items!$A$5:$A$597,0)),""))</f>
        <v>5.5E-2</v>
      </c>
      <c r="L1161" s="21">
        <f t="shared" si="206"/>
        <v>27.5</v>
      </c>
      <c r="M1161" s="9" t="str">
        <f t="shared" si="204"/>
        <v>ZIM504124207-7</v>
      </c>
      <c r="N1161" s="24">
        <f>IF($A1161="","",WORKDAY($A1161,Settings!$C$9,HolidayDates))</f>
        <v>46191</v>
      </c>
      <c r="O1161" s="24">
        <f>IF($N1161="","",WORKDAY($N1161,Settings!$C$10,HolidayDates))</f>
        <v>46231</v>
      </c>
      <c r="P1161" s="10" t="s">
        <v>501</v>
      </c>
      <c r="Q1161" s="52" t="str">
        <f t="shared" si="196"/>
        <v>Collected</v>
      </c>
      <c r="R1161" s="55" t="str">
        <f t="shared" si="197"/>
        <v>2026-06</v>
      </c>
      <c r="S1161" s="55">
        <f>IF(OR($B1161="",$F1161="",$R1161=""),"",SUMIFS(tblIssues[Qty Issued],tblIssues[Staff ID],$B1161,tblIssues[Item Name],$F1161,tblIssues[Month],$R1161))</f>
        <v>500</v>
      </c>
      <c r="T1161" s="56">
        <f>IF($I1161="","",$I1161*Settings!$C$11)</f>
        <v>500</v>
      </c>
      <c r="U1161" s="57" t="str">
        <f t="shared" si="205"/>
        <v>OK</v>
      </c>
      <c r="V1161" s="55" t="str">
        <f t="shared" si="198"/>
        <v/>
      </c>
      <c r="W1161" s="55" t="str">
        <f>IF($V1161="","",IF(COUNTIF($V$5:$V1161,$V1161)=1,1,""))</f>
        <v/>
      </c>
      <c r="X1161" s="58" t="str">
        <f>IF($W1161="","",MAX($X$4:X1160)+1)</f>
        <v/>
      </c>
      <c r="Y1161" s="62"/>
      <c r="Z1161" s="62"/>
      <c r="AA1161" s="64" t="str">
        <f>IF($C1161="","",IFERROR(INDEX('Staff Directory'!$E$5:$E$594,MATCH($C1161,'Staff Directory'!$B$5:$B$594,0)),""))</f>
        <v>firstname099.lastname099@example.com</v>
      </c>
      <c r="AB1161" s="64" t="str">
        <f>IF($C1161="","",IF(ISNUMBER(SEARCH($D1161,Settings!$C$15)),"Pickup","Dispatch"))</f>
        <v>Pickup</v>
      </c>
      <c r="AC1161" s="64" t="str">
        <f t="shared" si="199"/>
        <v>Supply order ready for pickup</v>
      </c>
      <c r="AD1161" s="64" t="str">
        <f t="shared" si="201"/>
        <v>Dear PSW,
Your order is ready for pickup from Sample Branch, Wed-Fri 9am-4pm.</v>
      </c>
      <c r="AE1161" s="64" t="str">
        <f t="shared" si="202"/>
        <v>mailto:firstname099.lastname099@example.com?subject=Supply%20order%20ready%20for%20pickup&amp;body=Dear%20PSW%2C%0A%0AYour%20order%20is%20ready%20for%20pickup%20from%20Sample%20Branch%2C%20Wed-Fri%209am-4pm.</v>
      </c>
      <c r="AF1161" s="89" t="str">
        <f t="shared" si="200"/>
        <v>Draft email</v>
      </c>
      <c r="AG1161" s="64" t="str">
        <f>IF($C1161="","",IFERROR(INDEX('Staff Directory'!$K$595:$K$599,MATCH($C1161,'Staff Directory'!$B$5:$B$599,0)),$D1161))</f>
        <v>PSW</v>
      </c>
      <c r="AH1161" t="str">
        <f>IF($C1161="","",IFERROR(INDEX('Staff Directory'!$I$595:$I$599,MATCH($C1161,'Staff Directory'!$B$5:$B$599,0))&amp;" "&amp;INDEX('Staff Directory'!$J$595:$J$599,MATCH($C1161,'Staff Directory'!$B$5:$B$599,0)),$AG1161))</f>
        <v>PSW</v>
      </c>
      <c r="AI1161" s="102"/>
      <c r="AJ1161" s="101">
        <f>IF($F1161="","",SUMIFS($J$5:$J1161,$F$5:$F1161,$F1161))</f>
        <v>35500</v>
      </c>
      <c r="AK1161" s="101">
        <f t="shared" si="203"/>
        <v>35001</v>
      </c>
      <c r="AL1161" s="66" t="str" cm="1">
        <f t="array" ref="AL1161">IF($F1161="","",IFERROR(INDEX('Lot Balance'!$B$5:$B$500,MATCH(1,INDEX(('Lot Balance'!$A$5:$A$500=$F1161)*('Lot Balance'!$K$5:$K$500&lt;$AK1161)*('Lot Balance'!$K$5:$K$500+'Lot Balance'!$D$5:$D$500&gt;=$AK1161),0),0)),""))</f>
        <v>ZIM504124207-7</v>
      </c>
      <c r="AM1161" s="66" t="str" cm="1">
        <f t="array" ref="AM1161">IF($F1161="","",IFERROR(INDEX('Lot Balance'!$B$5:$B$500,MATCH(1,INDEX(('Lot Balance'!$A$5:$A$500=$F1161)*('Lot Balance'!$K$5:$K$500&lt;$AJ1161)*('Lot Balance'!$K$5:$K$500+'Lot Balance'!$D$5:$D$500&gt;=$AJ1161),0),0)),""))</f>
        <v>ZIM504124207-7</v>
      </c>
      <c r="AN1161" s="66" t="str">
        <f>IF($F1161="","",IF($AI1161&lt;&gt;"",IF(COUNTIFS('Lot Balance'!$A$5:$A$500,$F1161,'Lot Balance'!$B$5:$B$500,$AI1161)=0,"⚠ override is not a lot of this item",IF($AI1161=$AL1161,"Override = FEFO","Override - FEFO says "&amp;$AL1161)),IF($AL1161="","⚠ no receipt on file for this item",IF($AM1161&lt;&gt;$AL1161,"FEFO auto - split, also "&amp;$AM1161,"FEFO auto"))))</f>
        <v>FEFO auto</v>
      </c>
      <c r="AO1161" s="114"/>
    </row>
    <row r="1162" spans="1:41" x14ac:dyDescent="0.35">
      <c r="A1162" s="74">
        <v>46183</v>
      </c>
      <c r="B1162" s="18" t="str">
        <f>IF($C1162="","",IFERROR(INDEX('Staff Directory'!$A$5:$A$594,MATCH($C1162,'Staff Directory'!$B$5:$B$594,0)),"⚠ unknown staff"))</f>
        <v>PSW-040-A6</v>
      </c>
      <c r="C1162" s="49" t="s">
        <v>1015</v>
      </c>
      <c r="D1162" s="19" t="str">
        <f>IF($B1162="","",IFERROR(INDEX('Staff Directory'!$C$5:$C$594,MATCH($B1162,'Staff Directory'!$A$5:$A$594,0)),""))</f>
        <v>PSW</v>
      </c>
      <c r="E1162" s="19" t="str">
        <f>IF($B1162="","",IFERROR(INDEX('Staff Directory'!$D$5:$D$594,MATCH($B1162,'Staff Directory'!$A$5:$A$594,0)),""))</f>
        <v>A6</v>
      </c>
      <c r="F1162" s="9" t="s">
        <v>191</v>
      </c>
      <c r="G1162" s="18" t="str">
        <f>IF($F1162="","",IFERROR(INDEX(Items!$B$5:$B$597,MATCH($F1162,Items!$A$5:$A$597,0)),"⚠ not in Items"))</f>
        <v>Sanitizer</v>
      </c>
      <c r="H1162" s="19" t="str">
        <f>IF($F1162="","",IFERROR(INDEX(Items!$C$5:$C$597,MATCH($F1162,Items!$A$5:$A$597,0)),""))</f>
        <v>236 ML</v>
      </c>
      <c r="I1162" s="23">
        <f>IF($F1162="","",IFERROR(INDEX(Items!$E$5:$E$597,MATCH($F1162,Items!$A$5:$A$597,0)),""))</f>
        <v>1</v>
      </c>
      <c r="J1162" s="115">
        <f>IF(tblIssues[[#This Row],[Qty Override]]&lt;&gt;"",tblIssues[[#This Row],[Qty Override]],IF(tblIssues[[#This Row],[Standard Issue]]="","",tblIssues[[#This Row],[Standard Issue]]))</f>
        <v>1</v>
      </c>
      <c r="K1162" s="20">
        <f>IF($F1162="","",IFERROR(INDEX(Items!$D$5:$D$597,MATCH($F1162,Items!$A$5:$A$597,0)),""))</f>
        <v>1E-4</v>
      </c>
      <c r="L1162" s="21">
        <f t="shared" si="206"/>
        <v>1E-4</v>
      </c>
      <c r="M1162" s="9" t="str">
        <f t="shared" si="204"/>
        <v>20-21734-4</v>
      </c>
      <c r="N1162" s="24">
        <f>IF($A1162="","",WORKDAY($A1162,Settings!$C$9,HolidayDates))</f>
        <v>46191</v>
      </c>
      <c r="O1162" s="24">
        <f>IF($N1162="","",WORKDAY($N1162,Settings!$C$10,HolidayDates))</f>
        <v>46231</v>
      </c>
      <c r="P1162" s="10" t="s">
        <v>501</v>
      </c>
      <c r="Q1162" s="52" t="str">
        <f t="shared" si="196"/>
        <v>Collected</v>
      </c>
      <c r="R1162" s="55" t="str">
        <f t="shared" si="197"/>
        <v>2026-06</v>
      </c>
      <c r="S1162" s="55">
        <f>IF(OR($B1162="",$F1162="",$R1162=""),"",SUMIFS(tblIssues[Qty Issued],tblIssues[Staff ID],$B1162,tblIssues[Item Name],$F1162,tblIssues[Month],$R1162))</f>
        <v>1</v>
      </c>
      <c r="T1162" s="56">
        <f>IF($I1162="","",$I1162*Settings!$C$11)</f>
        <v>1</v>
      </c>
      <c r="U1162" s="57" t="str">
        <f t="shared" si="205"/>
        <v>OK</v>
      </c>
      <c r="V1162" s="55" t="str">
        <f t="shared" si="198"/>
        <v/>
      </c>
      <c r="W1162" s="55" t="str">
        <f>IF($V1162="","",IF(COUNTIF($V$5:$V1162,$V1162)=1,1,""))</f>
        <v/>
      </c>
      <c r="X1162" s="58" t="str">
        <f>IF($W1162="","",MAX($X$4:X1161)+1)</f>
        <v/>
      </c>
      <c r="Y1162" s="62"/>
      <c r="Z1162" s="62"/>
      <c r="AA1162" s="64" t="str">
        <f>IF($C1162="","",IFERROR(INDEX('Staff Directory'!$E$5:$E$594,MATCH($C1162,'Staff Directory'!$B$5:$B$594,0)),""))</f>
        <v>firstname099.lastname099@example.com</v>
      </c>
      <c r="AB1162" s="64" t="str">
        <f>IF($C1162="","",IF(ISNUMBER(SEARCH($D1162,Settings!$C$15)),"Pickup","Dispatch"))</f>
        <v>Pickup</v>
      </c>
      <c r="AC1162" s="64" t="str">
        <f t="shared" si="199"/>
        <v>Supply order ready for pickup</v>
      </c>
      <c r="AD1162" s="64" t="str">
        <f t="shared" si="201"/>
        <v>Dear PSW,
Your order is ready for pickup from Sample Branch, Wed-Fri 9am-4pm.</v>
      </c>
      <c r="AE1162" s="64" t="str">
        <f t="shared" si="202"/>
        <v>mailto:firstname099.lastname099@example.com?subject=Supply%20order%20ready%20for%20pickup&amp;body=Dear%20PSW%2C%0A%0AYour%20order%20is%20ready%20for%20pickup%20from%20Sample%20Branch%2C%20Wed-Fri%209am-4pm.</v>
      </c>
      <c r="AF1162" s="89" t="str">
        <f t="shared" si="200"/>
        <v>Draft email</v>
      </c>
      <c r="AG1162" s="64" t="str">
        <f>IF($C1162="","",IFERROR(INDEX('Staff Directory'!$K$595:$K$599,MATCH($C1162,'Staff Directory'!$B$5:$B$599,0)),$D1162))</f>
        <v>PSW</v>
      </c>
      <c r="AH1162" t="str">
        <f>IF($C1162="","",IFERROR(INDEX('Staff Directory'!$I$595:$I$599,MATCH($C1162,'Staff Directory'!$B$5:$B$599,0))&amp;" "&amp;INDEX('Staff Directory'!$J$595:$J$599,MATCH($C1162,'Staff Directory'!$B$5:$B$599,0)),$AG1162))</f>
        <v>PSW</v>
      </c>
      <c r="AI1162" s="102"/>
      <c r="AJ1162" s="101">
        <f>IF($F1162="","",SUMIFS($J$5:$J1162,$F$5:$F1162,$F1162))</f>
        <v>142</v>
      </c>
      <c r="AK1162" s="101">
        <f t="shared" si="203"/>
        <v>142</v>
      </c>
      <c r="AL1162" s="66" t="str" cm="1">
        <f t="array" ref="AL1162">IF($F1162="","",IFERROR(INDEX('Lot Balance'!$B$5:$B$500,MATCH(1,INDEX(('Lot Balance'!$A$5:$A$500=$F1162)*('Lot Balance'!$K$5:$K$500&lt;$AK1162)*('Lot Balance'!$K$5:$K$500+'Lot Balance'!$D$5:$D$500&gt;=$AK1162),0),0)),""))</f>
        <v>20-21734-4</v>
      </c>
      <c r="AM1162" s="66" t="str" cm="1">
        <f t="array" ref="AM1162">IF($F1162="","",IFERROR(INDEX('Lot Balance'!$B$5:$B$500,MATCH(1,INDEX(('Lot Balance'!$A$5:$A$500=$F1162)*('Lot Balance'!$K$5:$K$500&lt;$AJ1162)*('Lot Balance'!$K$5:$K$500+'Lot Balance'!$D$5:$D$500&gt;=$AJ1162),0),0)),""))</f>
        <v>20-21734-4</v>
      </c>
      <c r="AN1162" s="66" t="str">
        <f>IF($F1162="","",IF($AI1162&lt;&gt;"",IF(COUNTIFS('Lot Balance'!$A$5:$A$500,$F1162,'Lot Balance'!$B$5:$B$500,$AI1162)=0,"⚠ override is not a lot of this item",IF($AI1162=$AL1162,"Override = FEFO","Override - FEFO says "&amp;$AL1162)),IF($AL1162="","⚠ no receipt on file for this item",IF($AM1162&lt;&gt;$AL1162,"FEFO auto - split, also "&amp;$AM1162,"FEFO auto"))))</f>
        <v>FEFO auto</v>
      </c>
      <c r="AO1162" s="114"/>
    </row>
    <row r="1163" spans="1:41" x14ac:dyDescent="0.35">
      <c r="A1163" s="74">
        <v>46183</v>
      </c>
      <c r="B1163" s="18" t="str">
        <f>IF($C1163="","",IFERROR(INDEX('Staff Directory'!$A$5:$A$594,MATCH($C1163,'Staff Directory'!$B$5:$B$594,0)),"⚠ unknown staff"))</f>
        <v>PSW-040-A6</v>
      </c>
      <c r="C1163" s="49" t="s">
        <v>1015</v>
      </c>
      <c r="D1163" s="19" t="str">
        <f>IF($B1163="","",IFERROR(INDEX('Staff Directory'!$C$5:$C$594,MATCH($B1163,'Staff Directory'!$A$5:$A$594,0)),""))</f>
        <v>PSW</v>
      </c>
      <c r="E1163" s="19" t="str">
        <f>IF($B1163="","",IFERROR(INDEX('Staff Directory'!$D$5:$D$594,MATCH($B1163,'Staff Directory'!$A$5:$A$594,0)),""))</f>
        <v>A6</v>
      </c>
      <c r="F1163" s="9" t="s">
        <v>156</v>
      </c>
      <c r="G1163" s="18" t="str">
        <f>IF($F1163="","",IFERROR(INDEX(Items!$B$5:$B$597,MATCH($F1163,Items!$A$5:$A$597,0)),"⚠ not in Items"))</f>
        <v>Masks</v>
      </c>
      <c r="H1163" s="19" t="str">
        <f>IF($F1163="","",IFERROR(INDEX(Items!$C$5:$C$597,MATCH($F1163,Items!$A$5:$A$597,0)),""))</f>
        <v>One Size</v>
      </c>
      <c r="I1163" s="23">
        <f>IF($F1163="","",IFERROR(INDEX(Items!$E$5:$E$597,MATCH($F1163,Items!$A$5:$A$597,0)),""))</f>
        <v>50</v>
      </c>
      <c r="J1163" s="115">
        <f>IF(tblIssues[[#This Row],[Qty Override]]&lt;&gt;"",tblIssues[[#This Row],[Qty Override]],IF(tblIssues[[#This Row],[Standard Issue]]="","",tblIssues[[#This Row],[Standard Issue]]))</f>
        <v>50</v>
      </c>
      <c r="K1163" s="20">
        <f>IF($F1163="","",IFERROR(INDEX(Items!$D$5:$D$597,MATCH($F1163,Items!$A$5:$A$597,0)),""))</f>
        <v>0.25</v>
      </c>
      <c r="L1163" s="21">
        <f t="shared" si="206"/>
        <v>12.5</v>
      </c>
      <c r="M1163" s="9" t="str">
        <f t="shared" si="204"/>
        <v>102GPC24</v>
      </c>
      <c r="N1163" s="24">
        <f>IF($A1163="","",WORKDAY($A1163,Settings!$C$9,HolidayDates))</f>
        <v>46191</v>
      </c>
      <c r="O1163" s="24">
        <f>IF($N1163="","",WORKDAY($N1163,Settings!$C$10,HolidayDates))</f>
        <v>46231</v>
      </c>
      <c r="P1163" s="10" t="s">
        <v>501</v>
      </c>
      <c r="Q1163" s="52" t="str">
        <f t="shared" si="196"/>
        <v>Collected</v>
      </c>
      <c r="R1163" s="55" t="str">
        <f t="shared" si="197"/>
        <v>2026-06</v>
      </c>
      <c r="S1163" s="55">
        <f>IF(OR($B1163="",$F1163="",$R1163=""),"",SUMIFS(tblIssues[Qty Issued],tblIssues[Staff ID],$B1163,tblIssues[Item Name],$F1163,tblIssues[Month],$R1163))</f>
        <v>50</v>
      </c>
      <c r="T1163" s="56">
        <f>IF($I1163="","",$I1163*Settings!$C$11)</f>
        <v>50</v>
      </c>
      <c r="U1163" s="57" t="str">
        <f t="shared" si="205"/>
        <v>OK</v>
      </c>
      <c r="V1163" s="55" t="str">
        <f t="shared" si="198"/>
        <v/>
      </c>
      <c r="W1163" s="55" t="str">
        <f>IF($V1163="","",IF(COUNTIF($V$5:$V1163,$V1163)=1,1,""))</f>
        <v/>
      </c>
      <c r="X1163" s="58" t="str">
        <f>IF($W1163="","",MAX($X$4:X1162)+1)</f>
        <v/>
      </c>
      <c r="Y1163" s="62"/>
      <c r="Z1163" s="62"/>
      <c r="AA1163" s="64" t="str">
        <f>IF($C1163="","",IFERROR(INDEX('Staff Directory'!$E$5:$E$594,MATCH($C1163,'Staff Directory'!$B$5:$B$594,0)),""))</f>
        <v>firstname099.lastname099@example.com</v>
      </c>
      <c r="AB1163" s="64" t="str">
        <f>IF($C1163="","",IF(ISNUMBER(SEARCH($D1163,Settings!$C$15)),"Pickup","Dispatch"))</f>
        <v>Pickup</v>
      </c>
      <c r="AC1163" s="64" t="str">
        <f t="shared" si="199"/>
        <v>Supply order ready for pickup</v>
      </c>
      <c r="AD1163" s="64" t="str">
        <f t="shared" si="201"/>
        <v>Dear PSW,
Your order is ready for pickup from Sample Branch, Wed-Fri 9am-4pm.</v>
      </c>
      <c r="AE1163" s="64" t="str">
        <f t="shared" si="202"/>
        <v>mailto:firstname099.lastname099@example.com?subject=Supply%20order%20ready%20for%20pickup&amp;body=Dear%20PSW%2C%0A%0AYour%20order%20is%20ready%20for%20pickup%20from%20Sample%20Branch%2C%20Wed-Fri%209am-4pm.</v>
      </c>
      <c r="AF1163" s="89" t="str">
        <f t="shared" si="200"/>
        <v>Draft email</v>
      </c>
      <c r="AG1163" s="64" t="str">
        <f>IF($C1163="","",IFERROR(INDEX('Staff Directory'!$K$595:$K$599,MATCH($C1163,'Staff Directory'!$B$5:$B$599,0)),$D1163))</f>
        <v>PSW</v>
      </c>
      <c r="AH1163" t="str">
        <f>IF($C1163="","",IFERROR(INDEX('Staff Directory'!$I$595:$I$599,MATCH($C1163,'Staff Directory'!$B$5:$B$599,0))&amp;" "&amp;INDEX('Staff Directory'!$J$595:$J$599,MATCH($C1163,'Staff Directory'!$B$5:$B$599,0)),$AG1163))</f>
        <v>PSW</v>
      </c>
      <c r="AI1163" s="102"/>
      <c r="AJ1163" s="101">
        <f>IF($F1163="","",SUMIFS($J$5:$J1163,$F$5:$F1163,$F1163))</f>
        <v>9650</v>
      </c>
      <c r="AK1163" s="101">
        <f t="shared" si="203"/>
        <v>9601</v>
      </c>
      <c r="AL1163" s="66" t="str" cm="1">
        <f t="array" ref="AL1163">IF($F1163="","",IFERROR(INDEX('Lot Balance'!$B$5:$B$500,MATCH(1,INDEX(('Lot Balance'!$A$5:$A$500=$F1163)*('Lot Balance'!$K$5:$K$500&lt;$AK1163)*('Lot Balance'!$K$5:$K$500+'Lot Balance'!$D$5:$D$500&gt;=$AK1163),0),0)),""))</f>
        <v>102GPC24</v>
      </c>
      <c r="AM1163" s="66" t="str" cm="1">
        <f t="array" ref="AM1163">IF($F1163="","",IFERROR(INDEX('Lot Balance'!$B$5:$B$500,MATCH(1,INDEX(('Lot Balance'!$A$5:$A$500=$F1163)*('Lot Balance'!$K$5:$K$500&lt;$AJ1163)*('Lot Balance'!$K$5:$K$500+'Lot Balance'!$D$5:$D$500&gt;=$AJ1163),0),0)),""))</f>
        <v>102GPC24</v>
      </c>
      <c r="AN1163" s="66" t="str">
        <f>IF($F1163="","",IF($AI1163&lt;&gt;"",IF(COUNTIFS('Lot Balance'!$A$5:$A$500,$F1163,'Lot Balance'!$B$5:$B$500,$AI1163)=0,"⚠ override is not a lot of this item",IF($AI1163=$AL1163,"Override = FEFO","Override - FEFO says "&amp;$AL1163)),IF($AL1163="","⚠ no receipt on file for this item",IF($AM1163&lt;&gt;$AL1163,"FEFO auto - split, also "&amp;$AM1163,"FEFO auto"))))</f>
        <v>FEFO auto</v>
      </c>
      <c r="AO1163" s="114"/>
    </row>
    <row r="1164" spans="1:41" x14ac:dyDescent="0.35">
      <c r="A1164" s="74">
        <v>46183</v>
      </c>
      <c r="B1164" s="18" t="str">
        <f>IF($C1164="","",IFERROR(INDEX('Staff Directory'!$A$5:$A$594,MATCH($C1164,'Staff Directory'!$B$5:$B$594,0)),"⚠ unknown staff"))</f>
        <v>PSW-035-A5</v>
      </c>
      <c r="C1164" s="49" t="s">
        <v>1010</v>
      </c>
      <c r="D1164" s="19" t="str">
        <f>IF($B1164="","",IFERROR(INDEX('Staff Directory'!$C$5:$C$594,MATCH($B1164,'Staff Directory'!$A$5:$A$594,0)),""))</f>
        <v>PSW</v>
      </c>
      <c r="E1164" s="19" t="str">
        <f>IF($B1164="","",IFERROR(INDEX('Staff Directory'!$D$5:$D$594,MATCH($B1164,'Staff Directory'!$A$5:$A$594,0)),""))</f>
        <v>A5</v>
      </c>
      <c r="F1164" s="9" t="s">
        <v>127</v>
      </c>
      <c r="G1164" s="18" t="str">
        <f>IF($F1164="","",IFERROR(INDEX(Items!$B$5:$B$597,MATCH($F1164,Items!$A$5:$A$597,0)),"⚠ not in Items"))</f>
        <v>Gloves</v>
      </c>
      <c r="H1164" s="19" t="str">
        <f>IF($F1164="","",IFERROR(INDEX(Items!$C$5:$C$597,MATCH($F1164,Items!$A$5:$A$597,0)),""))</f>
        <v>Medium</v>
      </c>
      <c r="I1164" s="23">
        <f>IF($F1164="","",IFERROR(INDEX(Items!$E$5:$E$597,MATCH($F1164,Items!$A$5:$A$597,0)),""))</f>
        <v>500</v>
      </c>
      <c r="J1164" s="115">
        <f>IF(tblIssues[[#This Row],[Qty Override]]&lt;&gt;"",tblIssues[[#This Row],[Qty Override]],IF(tblIssues[[#This Row],[Standard Issue]]="","",tblIssues[[#This Row],[Standard Issue]]))</f>
        <v>500</v>
      </c>
      <c r="K1164" s="20">
        <f>IF($F1164="","",IFERROR(INDEX(Items!$D$5:$D$597,MATCH($F1164,Items!$A$5:$A$597,0)),""))</f>
        <v>5.5E-2</v>
      </c>
      <c r="L1164" s="21">
        <f t="shared" si="206"/>
        <v>27.5</v>
      </c>
      <c r="M1164" s="9" t="str">
        <f t="shared" si="204"/>
        <v>ZIM510137964</v>
      </c>
      <c r="N1164" s="24">
        <f>IF($A1164="","",WORKDAY($A1164,Settings!$C$9,HolidayDates))</f>
        <v>46191</v>
      </c>
      <c r="O1164" s="24">
        <f>IF($N1164="","",WORKDAY($N1164,Settings!$C$10,HolidayDates))</f>
        <v>46231</v>
      </c>
      <c r="P1164" s="10" t="s">
        <v>501</v>
      </c>
      <c r="Q1164" s="52" t="str">
        <f t="shared" si="196"/>
        <v>Collected</v>
      </c>
      <c r="R1164" s="55" t="str">
        <f t="shared" si="197"/>
        <v>2026-06</v>
      </c>
      <c r="S1164" s="55">
        <f>IF(OR($B1164="",$F1164="",$R1164=""),"",SUMIFS(tblIssues[Qty Issued],tblIssues[Staff ID],$B1164,tblIssues[Item Name],$F1164,tblIssues[Month],$R1164))</f>
        <v>500</v>
      </c>
      <c r="T1164" s="56">
        <f>IF($I1164="","",$I1164*Settings!$C$11)</f>
        <v>500</v>
      </c>
      <c r="U1164" s="57" t="str">
        <f t="shared" si="205"/>
        <v>OK</v>
      </c>
      <c r="V1164" s="55" t="str">
        <f t="shared" si="198"/>
        <v/>
      </c>
      <c r="W1164" s="55" t="str">
        <f>IF($V1164="","",IF(COUNTIF($V$5:$V1164,$V1164)=1,1,""))</f>
        <v/>
      </c>
      <c r="X1164" s="58" t="str">
        <f>IF($W1164="","",MAX($X$4:X1163)+1)</f>
        <v/>
      </c>
      <c r="Y1164" s="62"/>
      <c r="Z1164" s="62"/>
      <c r="AA1164" s="64" t="str">
        <f>IF($C1164="","",IFERROR(INDEX('Staff Directory'!$E$5:$E$594,MATCH($C1164,'Staff Directory'!$B$5:$B$594,0)),""))</f>
        <v>firstname094.lastname094@example.com</v>
      </c>
      <c r="AB1164" s="64" t="str">
        <f>IF($C1164="","",IF(ISNUMBER(SEARCH($D1164,Settings!$C$15)),"Pickup","Dispatch"))</f>
        <v>Pickup</v>
      </c>
      <c r="AC1164" s="64" t="str">
        <f t="shared" si="199"/>
        <v>Supply order ready for pickup</v>
      </c>
      <c r="AD1164" s="64" t="str">
        <f t="shared" si="201"/>
        <v>Dear PSW,
Your order is ready for pickup from Sample Branch, Wed-Fri 9am-4pm.</v>
      </c>
      <c r="AE1164" s="64" t="str">
        <f t="shared" si="202"/>
        <v>mailto:firstname094.lastname094@example.com?subject=Supply%20order%20ready%20for%20pickup&amp;body=Dear%20PSW%2C%0A%0AYour%20order%20is%20ready%20for%20pickup%20from%20Sample%20Branch%2C%20Wed-Fri%209am-4pm.</v>
      </c>
      <c r="AF1164" s="89" t="str">
        <f t="shared" si="200"/>
        <v>Draft email</v>
      </c>
      <c r="AG1164" s="64" t="str">
        <f>IF($C1164="","",IFERROR(INDEX('Staff Directory'!$K$595:$K$599,MATCH($C1164,'Staff Directory'!$B$5:$B$599,0)),$D1164))</f>
        <v>PSW</v>
      </c>
      <c r="AH1164" t="str">
        <f>IF($C1164="","",IFERROR(INDEX('Staff Directory'!$I$595:$I$599,MATCH($C1164,'Staff Directory'!$B$5:$B$599,0))&amp;" "&amp;INDEX('Staff Directory'!$J$595:$J$599,MATCH($C1164,'Staff Directory'!$B$5:$B$599,0)),$AG1164))</f>
        <v>PSW</v>
      </c>
      <c r="AI1164" s="102"/>
      <c r="AJ1164" s="101">
        <f>IF($F1164="","",SUMIFS($J$5:$J1164,$F$5:$F1164,$F1164))</f>
        <v>68000</v>
      </c>
      <c r="AK1164" s="101">
        <f t="shared" si="203"/>
        <v>67501</v>
      </c>
      <c r="AL1164" s="66" t="str" cm="1">
        <f t="array" ref="AL1164">IF($F1164="","",IFERROR(INDEX('Lot Balance'!$B$5:$B$500,MATCH(1,INDEX(('Lot Balance'!$A$5:$A$500=$F1164)*('Lot Balance'!$K$5:$K$500&lt;$AK1164)*('Lot Balance'!$K$5:$K$500+'Lot Balance'!$D$5:$D$500&gt;=$AK1164),0),0)),""))</f>
        <v>ZIM510137964</v>
      </c>
      <c r="AM1164" s="66" t="str" cm="1">
        <f t="array" ref="AM1164">IF($F1164="","",IFERROR(INDEX('Lot Balance'!$B$5:$B$500,MATCH(1,INDEX(('Lot Balance'!$A$5:$A$500=$F1164)*('Lot Balance'!$K$5:$K$500&lt;$AJ1164)*('Lot Balance'!$K$5:$K$500+'Lot Balance'!$D$5:$D$500&gt;=$AJ1164),0),0)),""))</f>
        <v>ZIM510137964</v>
      </c>
      <c r="AN1164" s="66" t="str">
        <f>IF($F1164="","",IF($AI1164&lt;&gt;"",IF(COUNTIFS('Lot Balance'!$A$5:$A$500,$F1164,'Lot Balance'!$B$5:$B$500,$AI1164)=0,"⚠ override is not a lot of this item",IF($AI1164=$AL1164,"Override = FEFO","Override - FEFO says "&amp;$AL1164)),IF($AL1164="","⚠ no receipt on file for this item",IF($AM1164&lt;&gt;$AL1164,"FEFO auto - split, also "&amp;$AM1164,"FEFO auto"))))</f>
        <v>FEFO auto</v>
      </c>
      <c r="AO1164" s="114"/>
    </row>
    <row r="1165" spans="1:41" x14ac:dyDescent="0.35">
      <c r="A1165" s="74">
        <v>46183</v>
      </c>
      <c r="B1165" s="18" t="str">
        <f>IF($C1165="","",IFERROR(INDEX('Staff Directory'!$A$5:$A$594,MATCH($C1165,'Staff Directory'!$B$5:$B$594,0)),"⚠ unknown staff"))</f>
        <v>PSW-035-A5</v>
      </c>
      <c r="C1165" s="49" t="s">
        <v>1010</v>
      </c>
      <c r="D1165" s="19" t="str">
        <f>IF($B1165="","",IFERROR(INDEX('Staff Directory'!$C$5:$C$594,MATCH($B1165,'Staff Directory'!$A$5:$A$594,0)),""))</f>
        <v>PSW</v>
      </c>
      <c r="E1165" s="19" t="str">
        <f>IF($B1165="","",IFERROR(INDEX('Staff Directory'!$D$5:$D$594,MATCH($B1165,'Staff Directory'!$A$5:$A$594,0)),""))</f>
        <v>A5</v>
      </c>
      <c r="F1165" s="9" t="s">
        <v>191</v>
      </c>
      <c r="G1165" s="18" t="str">
        <f>IF($F1165="","",IFERROR(INDEX(Items!$B$5:$B$597,MATCH($F1165,Items!$A$5:$A$597,0)),"⚠ not in Items"))</f>
        <v>Sanitizer</v>
      </c>
      <c r="H1165" s="19" t="str">
        <f>IF($F1165="","",IFERROR(INDEX(Items!$C$5:$C$597,MATCH($F1165,Items!$A$5:$A$597,0)),""))</f>
        <v>236 ML</v>
      </c>
      <c r="I1165" s="23">
        <f>IF($F1165="","",IFERROR(INDEX(Items!$E$5:$E$597,MATCH($F1165,Items!$A$5:$A$597,0)),""))</f>
        <v>1</v>
      </c>
      <c r="J1165" s="115">
        <f>IF(tblIssues[[#This Row],[Qty Override]]&lt;&gt;"",tblIssues[[#This Row],[Qty Override]],IF(tblIssues[[#This Row],[Standard Issue]]="","",tblIssues[[#This Row],[Standard Issue]]))</f>
        <v>1</v>
      </c>
      <c r="K1165" s="20">
        <f>IF($F1165="","",IFERROR(INDEX(Items!$D$5:$D$597,MATCH($F1165,Items!$A$5:$A$597,0)),""))</f>
        <v>1E-4</v>
      </c>
      <c r="L1165" s="21">
        <f t="shared" si="206"/>
        <v>1E-4</v>
      </c>
      <c r="M1165" s="9" t="str">
        <f t="shared" si="204"/>
        <v>20-21734-4</v>
      </c>
      <c r="N1165" s="24">
        <f>IF($A1165="","",WORKDAY($A1165,Settings!$C$9,HolidayDates))</f>
        <v>46191</v>
      </c>
      <c r="O1165" s="24">
        <f>IF($N1165="","",WORKDAY($N1165,Settings!$C$10,HolidayDates))</f>
        <v>46231</v>
      </c>
      <c r="P1165" s="10" t="s">
        <v>501</v>
      </c>
      <c r="Q1165" s="52" t="str">
        <f t="shared" si="196"/>
        <v>Collected</v>
      </c>
      <c r="R1165" s="55" t="str">
        <f t="shared" si="197"/>
        <v>2026-06</v>
      </c>
      <c r="S1165" s="55">
        <f>IF(OR($B1165="",$F1165="",$R1165=""),"",SUMIFS(tblIssues[Qty Issued],tblIssues[Staff ID],$B1165,tblIssues[Item Name],$F1165,tblIssues[Month],$R1165))</f>
        <v>1</v>
      </c>
      <c r="T1165" s="56">
        <f>IF($I1165="","",$I1165*Settings!$C$11)</f>
        <v>1</v>
      </c>
      <c r="U1165" s="57" t="str">
        <f t="shared" si="205"/>
        <v>OK</v>
      </c>
      <c r="V1165" s="55" t="str">
        <f t="shared" si="198"/>
        <v/>
      </c>
      <c r="W1165" s="55" t="str">
        <f>IF($V1165="","",IF(COUNTIF($V$5:$V1165,$V1165)=1,1,""))</f>
        <v/>
      </c>
      <c r="X1165" s="58" t="str">
        <f>IF($W1165="","",MAX($X$4:X1164)+1)</f>
        <v/>
      </c>
      <c r="Y1165" s="62"/>
      <c r="Z1165" s="62"/>
      <c r="AA1165" s="64" t="str">
        <f>IF($C1165="","",IFERROR(INDEX('Staff Directory'!$E$5:$E$594,MATCH($C1165,'Staff Directory'!$B$5:$B$594,0)),""))</f>
        <v>firstname094.lastname094@example.com</v>
      </c>
      <c r="AB1165" s="64" t="str">
        <f>IF($C1165="","",IF(ISNUMBER(SEARCH($D1165,Settings!$C$15)),"Pickup","Dispatch"))</f>
        <v>Pickup</v>
      </c>
      <c r="AC1165" s="64" t="str">
        <f t="shared" si="199"/>
        <v>Supply order ready for pickup</v>
      </c>
      <c r="AD1165" s="64" t="str">
        <f t="shared" si="201"/>
        <v>Dear PSW,
Your order is ready for pickup from Sample Branch, Wed-Fri 9am-4pm.</v>
      </c>
      <c r="AE1165" s="64" t="str">
        <f t="shared" si="202"/>
        <v>mailto:firstname094.lastname094@example.com?subject=Supply%20order%20ready%20for%20pickup&amp;body=Dear%20PSW%2C%0A%0AYour%20order%20is%20ready%20for%20pickup%20from%20Sample%20Branch%2C%20Wed-Fri%209am-4pm.</v>
      </c>
      <c r="AF1165" s="89" t="str">
        <f t="shared" si="200"/>
        <v>Draft email</v>
      </c>
      <c r="AG1165" s="64" t="str">
        <f>IF($C1165="","",IFERROR(INDEX('Staff Directory'!$K$595:$K$599,MATCH($C1165,'Staff Directory'!$B$5:$B$599,0)),$D1165))</f>
        <v>PSW</v>
      </c>
      <c r="AH1165" t="str">
        <f>IF($C1165="","",IFERROR(INDEX('Staff Directory'!$I$595:$I$599,MATCH($C1165,'Staff Directory'!$B$5:$B$599,0))&amp;" "&amp;INDEX('Staff Directory'!$J$595:$J$599,MATCH($C1165,'Staff Directory'!$B$5:$B$599,0)),$AG1165))</f>
        <v>PSW</v>
      </c>
      <c r="AI1165" s="102"/>
      <c r="AJ1165" s="101">
        <f>IF($F1165="","",SUMIFS($J$5:$J1165,$F$5:$F1165,$F1165))</f>
        <v>143</v>
      </c>
      <c r="AK1165" s="101">
        <f t="shared" si="203"/>
        <v>143</v>
      </c>
      <c r="AL1165" s="66" t="str" cm="1">
        <f t="array" ref="AL1165">IF($F1165="","",IFERROR(INDEX('Lot Balance'!$B$5:$B$500,MATCH(1,INDEX(('Lot Balance'!$A$5:$A$500=$F1165)*('Lot Balance'!$K$5:$K$500&lt;$AK1165)*('Lot Balance'!$K$5:$K$500+'Lot Balance'!$D$5:$D$500&gt;=$AK1165),0),0)),""))</f>
        <v>20-21734-4</v>
      </c>
      <c r="AM1165" s="66" t="str" cm="1">
        <f t="array" ref="AM1165">IF($F1165="","",IFERROR(INDEX('Lot Balance'!$B$5:$B$500,MATCH(1,INDEX(('Lot Balance'!$A$5:$A$500=$F1165)*('Lot Balance'!$K$5:$K$500&lt;$AJ1165)*('Lot Balance'!$K$5:$K$500+'Lot Balance'!$D$5:$D$500&gt;=$AJ1165),0),0)),""))</f>
        <v>20-21734-4</v>
      </c>
      <c r="AN1165" s="66" t="str">
        <f>IF($F1165="","",IF($AI1165&lt;&gt;"",IF(COUNTIFS('Lot Balance'!$A$5:$A$500,$F1165,'Lot Balance'!$B$5:$B$500,$AI1165)=0,"⚠ override is not a lot of this item",IF($AI1165=$AL1165,"Override = FEFO","Override - FEFO says "&amp;$AL1165)),IF($AL1165="","⚠ no receipt on file for this item",IF($AM1165&lt;&gt;$AL1165,"FEFO auto - split, also "&amp;$AM1165,"FEFO auto"))))</f>
        <v>FEFO auto</v>
      </c>
      <c r="AO1165" s="114"/>
    </row>
    <row r="1166" spans="1:41" x14ac:dyDescent="0.35">
      <c r="A1166" s="74">
        <v>46183</v>
      </c>
      <c r="B1166" s="18" t="str">
        <f>IF($C1166="","",IFERROR(INDEX('Staff Directory'!$A$5:$A$594,MATCH($C1166,'Staff Directory'!$B$5:$B$594,0)),"⚠ unknown staff"))</f>
        <v>PSW-035-A5</v>
      </c>
      <c r="C1166" s="49" t="s">
        <v>1010</v>
      </c>
      <c r="D1166" s="19" t="str">
        <f>IF($B1166="","",IFERROR(INDEX('Staff Directory'!$C$5:$C$594,MATCH($B1166,'Staff Directory'!$A$5:$A$594,0)),""))</f>
        <v>PSW</v>
      </c>
      <c r="E1166" s="19" t="str">
        <f>IF($B1166="","",IFERROR(INDEX('Staff Directory'!$D$5:$D$594,MATCH($B1166,'Staff Directory'!$A$5:$A$594,0)),""))</f>
        <v>A5</v>
      </c>
      <c r="F1166" s="9" t="s">
        <v>115</v>
      </c>
      <c r="G1166" s="18" t="str">
        <f>IF($F1166="","",IFERROR(INDEX(Items!$B$5:$B$597,MATCH($F1166,Items!$A$5:$A$597,0)),"⚠ not in Items"))</f>
        <v>Wipes</v>
      </c>
      <c r="H1166" s="19">
        <f>IF($F1166="","",IFERROR(INDEX(Items!$C$5:$C$597,MATCH($F1166,Items!$A$5:$A$597,0)),""))</f>
        <v>80</v>
      </c>
      <c r="I1166" s="23">
        <f>IF($F1166="","",IFERROR(INDEX(Items!$E$5:$E$597,MATCH($F1166,Items!$A$5:$A$597,0)),""))</f>
        <v>80</v>
      </c>
      <c r="J1166" s="115">
        <f>IF(tblIssues[[#This Row],[Qty Override]]&lt;&gt;"",tblIssues[[#This Row],[Qty Override]],IF(tblIssues[[#This Row],[Standard Issue]]="","",tblIssues[[#This Row],[Standard Issue]]))</f>
        <v>80</v>
      </c>
      <c r="K1166" s="20">
        <f>IF($F1166="","",IFERROR(INDEX(Items!$D$5:$D$597,MATCH($F1166,Items!$A$5:$A$597,0)),""))</f>
        <v>0.1</v>
      </c>
      <c r="L1166" s="21">
        <f t="shared" si="206"/>
        <v>8</v>
      </c>
      <c r="M1166" s="9" t="str">
        <f t="shared" si="204"/>
        <v>LYSL500290</v>
      </c>
      <c r="N1166" s="24">
        <f>IF($A1166="","",WORKDAY($A1166,Settings!$C$9,HolidayDates))</f>
        <v>46191</v>
      </c>
      <c r="O1166" s="24">
        <f>IF($N1166="","",WORKDAY($N1166,Settings!$C$10,HolidayDates))</f>
        <v>46231</v>
      </c>
      <c r="P1166" s="10" t="s">
        <v>501</v>
      </c>
      <c r="Q1166" s="52" t="str">
        <f t="shared" ref="Q1166:Q1229" si="207">IF($A1166="","",IF($P1166&lt;&gt;"","Collected","Pending"))</f>
        <v>Collected</v>
      </c>
      <c r="R1166" s="55" t="str">
        <f t="shared" ref="R1166:R1229" si="208">IF($A1166="","",TEXT($A1166,"yyyy-mm"))</f>
        <v>2026-06</v>
      </c>
      <c r="S1166" s="55">
        <f>IF(OR($B1166="",$F1166="",$R1166=""),"",SUMIFS(tblIssues[Qty Issued],tblIssues[Staff ID],$B1166,tblIssues[Item Name],$F1166,tblIssues[Month],$R1166))</f>
        <v>80</v>
      </c>
      <c r="T1166" s="56">
        <f>IF($I1166="","",$I1166*Settings!$C$11)</f>
        <v>80</v>
      </c>
      <c r="U1166" s="57" t="str">
        <f t="shared" si="205"/>
        <v>OK</v>
      </c>
      <c r="V1166" s="55" t="str">
        <f t="shared" ref="V1166:V1229" si="209">IF($U1166="⚠ OVER QUOTA",$B1166&amp;" | "&amp;$F1166&amp;" | "&amp;$R1166,"")</f>
        <v/>
      </c>
      <c r="W1166" s="55" t="str">
        <f>IF($V1166="","",IF(COUNTIF($V$5:$V1166,$V1166)=1,1,""))</f>
        <v/>
      </c>
      <c r="X1166" s="58" t="str">
        <f>IF($W1166="","",MAX($X$4:X1165)+1)</f>
        <v/>
      </c>
      <c r="Y1166" s="62"/>
      <c r="Z1166" s="62"/>
      <c r="AA1166" s="64" t="str">
        <f>IF($C1166="","",IFERROR(INDEX('Staff Directory'!$E$5:$E$594,MATCH($C1166,'Staff Directory'!$B$5:$B$594,0)),""))</f>
        <v>firstname094.lastname094@example.com</v>
      </c>
      <c r="AB1166" s="64" t="str">
        <f>IF($C1166="","",IF(ISNUMBER(SEARCH($D1166,Settings!$C$15)),"Pickup","Dispatch"))</f>
        <v>Pickup</v>
      </c>
      <c r="AC1166" s="64" t="str">
        <f t="shared" ref="AC1166:AC1229" si="210">IF($AB1166="Pickup","Supply order ready for pickup",IF($AB1166="Dispatch","Supply order dispatched",""))</f>
        <v>Supply order ready for pickup</v>
      </c>
      <c r="AD1166" s="64" t="str">
        <f t="shared" si="201"/>
        <v>Dear PSW,
Your order is ready for pickup from Sample Branch, Wed-Fri 9am-4pm.</v>
      </c>
      <c r="AE1166" s="64" t="str">
        <f t="shared" si="202"/>
        <v>mailto:firstname094.lastname094@example.com?subject=Supply%20order%20ready%20for%20pickup&amp;body=Dear%20PSW%2C%0A%0AYour%20order%20is%20ready%20for%20pickup%20from%20Sample%20Branch%2C%20Wed-Fri%209am-4pm.</v>
      </c>
      <c r="AF1166" s="89" t="str">
        <f t="shared" ref="AF1166:AF1229" si="211">IF(AE1166="","",HYPERLINK(AE1166,"Draft email"))</f>
        <v>Draft email</v>
      </c>
      <c r="AG1166" s="64" t="str">
        <f>IF($C1166="","",IFERROR(INDEX('Staff Directory'!$K$595:$K$599,MATCH($C1166,'Staff Directory'!$B$5:$B$599,0)),$D1166))</f>
        <v>PSW</v>
      </c>
      <c r="AH1166" t="str">
        <f>IF($C1166="","",IFERROR(INDEX('Staff Directory'!$I$595:$I$599,MATCH($C1166,'Staff Directory'!$B$5:$B$599,0))&amp;" "&amp;INDEX('Staff Directory'!$J$595:$J$599,MATCH($C1166,'Staff Directory'!$B$5:$B$599,0)),$AG1166))</f>
        <v>PSW</v>
      </c>
      <c r="AI1166" s="102"/>
      <c r="AJ1166" s="101">
        <f>IF($F1166="","",SUMIFS($J$5:$J1166,$F$5:$F1166,$F1166))</f>
        <v>15920</v>
      </c>
      <c r="AK1166" s="101">
        <f t="shared" si="203"/>
        <v>15841</v>
      </c>
      <c r="AL1166" s="66" t="str" cm="1">
        <f t="array" ref="AL1166">IF($F1166="","",IFERROR(INDEX('Lot Balance'!$B$5:$B$500,MATCH(1,INDEX(('Lot Balance'!$A$5:$A$500=$F1166)*('Lot Balance'!$K$5:$K$500&lt;$AK1166)*('Lot Balance'!$K$5:$K$500+'Lot Balance'!$D$5:$D$500&gt;=$AK1166),0),0)),""))</f>
        <v>LYSL500290</v>
      </c>
      <c r="AM1166" s="66" t="str" cm="1">
        <f t="array" ref="AM1166">IF($F1166="","",IFERROR(INDEX('Lot Balance'!$B$5:$B$500,MATCH(1,INDEX(('Lot Balance'!$A$5:$A$500=$F1166)*('Lot Balance'!$K$5:$K$500&lt;$AJ1166)*('Lot Balance'!$K$5:$K$500+'Lot Balance'!$D$5:$D$500&gt;=$AJ1166),0),0)),""))</f>
        <v>LYSL500290</v>
      </c>
      <c r="AN1166" s="66" t="str">
        <f>IF($F1166="","",IF($AI1166&lt;&gt;"",IF(COUNTIFS('Lot Balance'!$A$5:$A$500,$F1166,'Lot Balance'!$B$5:$B$500,$AI1166)=0,"⚠ override is not a lot of this item",IF($AI1166=$AL1166,"Override = FEFO","Override - FEFO says "&amp;$AL1166)),IF($AL1166="","⚠ no receipt on file for this item",IF($AM1166&lt;&gt;$AL1166,"FEFO auto - split, also "&amp;$AM1166,"FEFO auto"))))</f>
        <v>FEFO auto</v>
      </c>
      <c r="AO1166" s="114"/>
    </row>
    <row r="1167" spans="1:41" x14ac:dyDescent="0.35">
      <c r="A1167" s="74">
        <v>46183</v>
      </c>
      <c r="B1167" s="18" t="str">
        <f>IF($C1167="","",IFERROR(INDEX('Staff Directory'!$A$5:$A$594,MATCH($C1167,'Staff Directory'!$B$5:$B$594,0)),"⚠ unknown staff"))</f>
        <v>PSW-035-A5</v>
      </c>
      <c r="C1167" s="49" t="s">
        <v>1010</v>
      </c>
      <c r="D1167" s="19" t="str">
        <f>IF($B1167="","",IFERROR(INDEX('Staff Directory'!$C$5:$C$594,MATCH($B1167,'Staff Directory'!$A$5:$A$594,0)),""))</f>
        <v>PSW</v>
      </c>
      <c r="E1167" s="19" t="str">
        <f>IF($B1167="","",IFERROR(INDEX('Staff Directory'!$D$5:$D$594,MATCH($B1167,'Staff Directory'!$A$5:$A$594,0)),""))</f>
        <v>A5</v>
      </c>
      <c r="F1167" s="9" t="s">
        <v>156</v>
      </c>
      <c r="G1167" s="18" t="str">
        <f>IF($F1167="","",IFERROR(INDEX(Items!$B$5:$B$597,MATCH($F1167,Items!$A$5:$A$597,0)),"⚠ not in Items"))</f>
        <v>Masks</v>
      </c>
      <c r="H1167" s="19" t="str">
        <f>IF($F1167="","",IFERROR(INDEX(Items!$C$5:$C$597,MATCH($F1167,Items!$A$5:$A$597,0)),""))</f>
        <v>One Size</v>
      </c>
      <c r="I1167" s="23">
        <f>IF($F1167="","",IFERROR(INDEX(Items!$E$5:$E$597,MATCH($F1167,Items!$A$5:$A$597,0)),""))</f>
        <v>50</v>
      </c>
      <c r="J1167" s="115">
        <f>IF(tblIssues[[#This Row],[Qty Override]]&lt;&gt;"",tblIssues[[#This Row],[Qty Override]],IF(tblIssues[[#This Row],[Standard Issue]]="","",tblIssues[[#This Row],[Standard Issue]]))</f>
        <v>50</v>
      </c>
      <c r="K1167" s="20">
        <f>IF($F1167="","",IFERROR(INDEX(Items!$D$5:$D$597,MATCH($F1167,Items!$A$5:$A$597,0)),""))</f>
        <v>0.25</v>
      </c>
      <c r="L1167" s="21">
        <f t="shared" si="206"/>
        <v>12.5</v>
      </c>
      <c r="M1167" s="9" t="str">
        <f t="shared" si="204"/>
        <v>102GPC24</v>
      </c>
      <c r="N1167" s="24">
        <f>IF($A1167="","",WORKDAY($A1167,Settings!$C$9,HolidayDates))</f>
        <v>46191</v>
      </c>
      <c r="O1167" s="24">
        <f>IF($N1167="","",WORKDAY($N1167,Settings!$C$10,HolidayDates))</f>
        <v>46231</v>
      </c>
      <c r="P1167" s="10" t="s">
        <v>501</v>
      </c>
      <c r="Q1167" s="52" t="str">
        <f t="shared" si="207"/>
        <v>Collected</v>
      </c>
      <c r="R1167" s="55" t="str">
        <f t="shared" si="208"/>
        <v>2026-06</v>
      </c>
      <c r="S1167" s="55">
        <f>IF(OR($B1167="",$F1167="",$R1167=""),"",SUMIFS(tblIssues[Qty Issued],tblIssues[Staff ID],$B1167,tblIssues[Item Name],$F1167,tblIssues[Month],$R1167))</f>
        <v>50</v>
      </c>
      <c r="T1167" s="56">
        <f>IF($I1167="","",$I1167*Settings!$C$11)</f>
        <v>50</v>
      </c>
      <c r="U1167" s="57" t="str">
        <f t="shared" si="205"/>
        <v>OK</v>
      </c>
      <c r="V1167" s="55" t="str">
        <f t="shared" si="209"/>
        <v/>
      </c>
      <c r="W1167" s="55" t="str">
        <f>IF($V1167="","",IF(COUNTIF($V$5:$V1167,$V1167)=1,1,""))</f>
        <v/>
      </c>
      <c r="X1167" s="58" t="str">
        <f>IF($W1167="","",MAX($X$4:X1166)+1)</f>
        <v/>
      </c>
      <c r="Y1167" s="62"/>
      <c r="Z1167" s="62"/>
      <c r="AA1167" s="64" t="str">
        <f>IF($C1167="","",IFERROR(INDEX('Staff Directory'!$E$5:$E$594,MATCH($C1167,'Staff Directory'!$B$5:$B$594,0)),""))</f>
        <v>firstname094.lastname094@example.com</v>
      </c>
      <c r="AB1167" s="64" t="str">
        <f>IF($C1167="","",IF(ISNUMBER(SEARCH($D1167,Settings!$C$15)),"Pickup","Dispatch"))</f>
        <v>Pickup</v>
      </c>
      <c r="AC1167" s="64" t="str">
        <f t="shared" si="210"/>
        <v>Supply order ready for pickup</v>
      </c>
      <c r="AD1167" s="64" t="str">
        <f t="shared" si="201"/>
        <v>Dear PSW,
Your order is ready for pickup from Sample Branch, Wed-Fri 9am-4pm.</v>
      </c>
      <c r="AE1167" s="64" t="str">
        <f t="shared" si="202"/>
        <v>mailto:firstname094.lastname094@example.com?subject=Supply%20order%20ready%20for%20pickup&amp;body=Dear%20PSW%2C%0A%0AYour%20order%20is%20ready%20for%20pickup%20from%20Sample%20Branch%2C%20Wed-Fri%209am-4pm.</v>
      </c>
      <c r="AF1167" s="89" t="str">
        <f t="shared" si="211"/>
        <v>Draft email</v>
      </c>
      <c r="AG1167" s="64" t="str">
        <f>IF($C1167="","",IFERROR(INDEX('Staff Directory'!$K$595:$K$599,MATCH($C1167,'Staff Directory'!$B$5:$B$599,0)),$D1167))</f>
        <v>PSW</v>
      </c>
      <c r="AH1167" t="str">
        <f>IF($C1167="","",IFERROR(INDEX('Staff Directory'!$I$595:$I$599,MATCH($C1167,'Staff Directory'!$B$5:$B$599,0))&amp;" "&amp;INDEX('Staff Directory'!$J$595:$J$599,MATCH($C1167,'Staff Directory'!$B$5:$B$599,0)),$AG1167))</f>
        <v>PSW</v>
      </c>
      <c r="AI1167" s="102"/>
      <c r="AJ1167" s="101">
        <f>IF($F1167="","",SUMIFS($J$5:$J1167,$F$5:$F1167,$F1167))</f>
        <v>9700</v>
      </c>
      <c r="AK1167" s="101">
        <f t="shared" si="203"/>
        <v>9651</v>
      </c>
      <c r="AL1167" s="66" t="str" cm="1">
        <f t="array" ref="AL1167">IF($F1167="","",IFERROR(INDEX('Lot Balance'!$B$5:$B$500,MATCH(1,INDEX(('Lot Balance'!$A$5:$A$500=$F1167)*('Lot Balance'!$K$5:$K$500&lt;$AK1167)*('Lot Balance'!$K$5:$K$500+'Lot Balance'!$D$5:$D$500&gt;=$AK1167),0),0)),""))</f>
        <v>102GPC24</v>
      </c>
      <c r="AM1167" s="66" t="str" cm="1">
        <f t="array" ref="AM1167">IF($F1167="","",IFERROR(INDEX('Lot Balance'!$B$5:$B$500,MATCH(1,INDEX(('Lot Balance'!$A$5:$A$500=$F1167)*('Lot Balance'!$K$5:$K$500&lt;$AJ1167)*('Lot Balance'!$K$5:$K$500+'Lot Balance'!$D$5:$D$500&gt;=$AJ1167),0),0)),""))</f>
        <v>102GPC24</v>
      </c>
      <c r="AN1167" s="66" t="str">
        <f>IF($F1167="","",IF($AI1167&lt;&gt;"",IF(COUNTIFS('Lot Balance'!$A$5:$A$500,$F1167,'Lot Balance'!$B$5:$B$500,$AI1167)=0,"⚠ override is not a lot of this item",IF($AI1167=$AL1167,"Override = FEFO","Override - FEFO says "&amp;$AL1167)),IF($AL1167="","⚠ no receipt on file for this item",IF($AM1167&lt;&gt;$AL1167,"FEFO auto - split, also "&amp;$AM1167,"FEFO auto"))))</f>
        <v>FEFO auto</v>
      </c>
      <c r="AO1167" s="114"/>
    </row>
    <row r="1168" spans="1:41" x14ac:dyDescent="0.35">
      <c r="A1168" s="74">
        <v>46183</v>
      </c>
      <c r="B1168" s="18" t="str">
        <f>IF($C1168="","",IFERROR(INDEX('Staff Directory'!$A$5:$A$594,MATCH($C1168,'Staff Directory'!$B$5:$B$594,0)),"⚠ unknown staff"))</f>
        <v>PSW-070-A6</v>
      </c>
      <c r="C1168" s="49" t="s">
        <v>1046</v>
      </c>
      <c r="D1168" s="19" t="str">
        <f>IF($B1168="","",IFERROR(INDEX('Staff Directory'!$C$5:$C$594,MATCH($B1168,'Staff Directory'!$A$5:$A$594,0)),""))</f>
        <v>PSW</v>
      </c>
      <c r="E1168" s="19" t="str">
        <f>IF($B1168="","",IFERROR(INDEX('Staff Directory'!$D$5:$D$594,MATCH($B1168,'Staff Directory'!$A$5:$A$594,0)),""))</f>
        <v>A6</v>
      </c>
      <c r="F1168" s="9" t="s">
        <v>129</v>
      </c>
      <c r="G1168" s="18" t="str">
        <f>IF($F1168="","",IFERROR(INDEX(Items!$B$5:$B$597,MATCH($F1168,Items!$A$5:$A$597,0)),"⚠ not in Items"))</f>
        <v>Gloves</v>
      </c>
      <c r="H1168" s="19" t="str">
        <f>IF($F1168="","",IFERROR(INDEX(Items!$C$5:$C$597,MATCH($F1168,Items!$A$5:$A$597,0)),""))</f>
        <v>Small</v>
      </c>
      <c r="I1168" s="23">
        <f>IF($F1168="","",IFERROR(INDEX(Items!$E$5:$E$597,MATCH($F1168,Items!$A$5:$A$597,0)),""))</f>
        <v>500</v>
      </c>
      <c r="J1168" s="115">
        <f>IF(tblIssues[[#This Row],[Qty Override]]&lt;&gt;"",tblIssues[[#This Row],[Qty Override]],IF(tblIssues[[#This Row],[Standard Issue]]="","",tblIssues[[#This Row],[Standard Issue]]))</f>
        <v>500</v>
      </c>
      <c r="K1168" s="20">
        <f>IF($F1168="","",IFERROR(INDEX(Items!$D$5:$D$597,MATCH($F1168,Items!$A$5:$A$597,0)),""))</f>
        <v>5.5E-2</v>
      </c>
      <c r="L1168" s="21">
        <f t="shared" si="206"/>
        <v>27.5</v>
      </c>
      <c r="M1168" s="9" t="str">
        <f t="shared" si="204"/>
        <v>ZIM504124207-7</v>
      </c>
      <c r="N1168" s="24">
        <f>IF($A1168="","",WORKDAY($A1168,Settings!$C$9,HolidayDates))</f>
        <v>46191</v>
      </c>
      <c r="O1168" s="24">
        <f>IF($N1168="","",WORKDAY($N1168,Settings!$C$10,HolidayDates))</f>
        <v>46231</v>
      </c>
      <c r="P1168" s="10" t="s">
        <v>501</v>
      </c>
      <c r="Q1168" s="52" t="str">
        <f t="shared" si="207"/>
        <v>Collected</v>
      </c>
      <c r="R1168" s="55" t="str">
        <f t="shared" si="208"/>
        <v>2026-06</v>
      </c>
      <c r="S1168" s="55">
        <f>IF(OR($B1168="",$F1168="",$R1168=""),"",SUMIFS(tblIssues[Qty Issued],tblIssues[Staff ID],$B1168,tblIssues[Item Name],$F1168,tblIssues[Month],$R1168))</f>
        <v>500</v>
      </c>
      <c r="T1168" s="56">
        <f>IF($I1168="","",$I1168*Settings!$C$11)</f>
        <v>500</v>
      </c>
      <c r="U1168" s="57" t="str">
        <f t="shared" si="205"/>
        <v>OK</v>
      </c>
      <c r="V1168" s="55" t="str">
        <f t="shared" si="209"/>
        <v/>
      </c>
      <c r="W1168" s="55" t="str">
        <f>IF($V1168="","",IF(COUNTIF($V$5:$V1168,$V1168)=1,1,""))</f>
        <v/>
      </c>
      <c r="X1168" s="58" t="str">
        <f>IF($W1168="","",MAX($X$4:X1167)+1)</f>
        <v/>
      </c>
      <c r="Y1168" s="62"/>
      <c r="Z1168" s="62"/>
      <c r="AA1168" s="64" t="str">
        <f>IF($C1168="","",IFERROR(INDEX('Staff Directory'!$E$5:$E$594,MATCH($C1168,'Staff Directory'!$B$5:$B$594,0)),""))</f>
        <v>firstname130.lastname130@example.com</v>
      </c>
      <c r="AB1168" s="64" t="str">
        <f>IF($C1168="","",IF(ISNUMBER(SEARCH($D1168,Settings!$C$15)),"Pickup","Dispatch"))</f>
        <v>Pickup</v>
      </c>
      <c r="AC1168" s="64" t="str">
        <f t="shared" si="210"/>
        <v>Supply order ready for pickup</v>
      </c>
      <c r="AD1168" s="64" t="str">
        <f t="shared" si="201"/>
        <v>Dear PSW,
Your order is ready for pickup from Sample Branch, Wed-Fri 9am-4pm.</v>
      </c>
      <c r="AE1168" s="64" t="str">
        <f t="shared" si="202"/>
        <v>mailto:firstname130.lastname130@example.com?subject=Supply%20order%20ready%20for%20pickup&amp;body=Dear%20PSW%2C%0A%0AYour%20order%20is%20ready%20for%20pickup%20from%20Sample%20Branch%2C%20Wed-Fri%209am-4pm.</v>
      </c>
      <c r="AF1168" s="89" t="str">
        <f t="shared" si="211"/>
        <v>Draft email</v>
      </c>
      <c r="AG1168" s="64" t="str">
        <f>IF($C1168="","",IFERROR(INDEX('Staff Directory'!$K$595:$K$599,MATCH($C1168,'Staff Directory'!$B$5:$B$599,0)),$D1168))</f>
        <v>PSW</v>
      </c>
      <c r="AH1168" t="str">
        <f>IF($C1168="","",IFERROR(INDEX('Staff Directory'!$I$595:$I$599,MATCH($C1168,'Staff Directory'!$B$5:$B$599,0))&amp;" "&amp;INDEX('Staff Directory'!$J$595:$J$599,MATCH($C1168,'Staff Directory'!$B$5:$B$599,0)),$AG1168))</f>
        <v>PSW</v>
      </c>
      <c r="AI1168" s="102"/>
      <c r="AJ1168" s="101">
        <f>IF($F1168="","",SUMIFS($J$5:$J1168,$F$5:$F1168,$F1168))</f>
        <v>36000</v>
      </c>
      <c r="AK1168" s="101">
        <f t="shared" si="203"/>
        <v>35501</v>
      </c>
      <c r="AL1168" s="66" t="str" cm="1">
        <f t="array" ref="AL1168">IF($F1168="","",IFERROR(INDEX('Lot Balance'!$B$5:$B$500,MATCH(1,INDEX(('Lot Balance'!$A$5:$A$500=$F1168)*('Lot Balance'!$K$5:$K$500&lt;$AK1168)*('Lot Balance'!$K$5:$K$500+'Lot Balance'!$D$5:$D$500&gt;=$AK1168),0),0)),""))</f>
        <v>ZIM504124207-7</v>
      </c>
      <c r="AM1168" s="66" t="str" cm="1">
        <f t="array" ref="AM1168">IF($F1168="","",IFERROR(INDEX('Lot Balance'!$B$5:$B$500,MATCH(1,INDEX(('Lot Balance'!$A$5:$A$500=$F1168)*('Lot Balance'!$K$5:$K$500&lt;$AJ1168)*('Lot Balance'!$K$5:$K$500+'Lot Balance'!$D$5:$D$500&gt;=$AJ1168),0),0)),""))</f>
        <v>ZIM504124207-7</v>
      </c>
      <c r="AN1168" s="66" t="str">
        <f>IF($F1168="","",IF($AI1168&lt;&gt;"",IF(COUNTIFS('Lot Balance'!$A$5:$A$500,$F1168,'Lot Balance'!$B$5:$B$500,$AI1168)=0,"⚠ override is not a lot of this item",IF($AI1168=$AL1168,"Override = FEFO","Override - FEFO says "&amp;$AL1168)),IF($AL1168="","⚠ no receipt on file for this item",IF($AM1168&lt;&gt;$AL1168,"FEFO auto - split, also "&amp;$AM1168,"FEFO auto"))))</f>
        <v>FEFO auto</v>
      </c>
      <c r="AO1168" s="114"/>
    </row>
    <row r="1169" spans="1:41" x14ac:dyDescent="0.35">
      <c r="A1169" s="74">
        <v>46183</v>
      </c>
      <c r="B1169" s="18" t="str">
        <f>IF($C1169="","",IFERROR(INDEX('Staff Directory'!$A$5:$A$594,MATCH($C1169,'Staff Directory'!$B$5:$B$594,0)),"⚠ unknown staff"))</f>
        <v>PSW-070-A6</v>
      </c>
      <c r="C1169" s="49" t="s">
        <v>1046</v>
      </c>
      <c r="D1169" s="19" t="str">
        <f>IF($B1169="","",IFERROR(INDEX('Staff Directory'!$C$5:$C$594,MATCH($B1169,'Staff Directory'!$A$5:$A$594,0)),""))</f>
        <v>PSW</v>
      </c>
      <c r="E1169" s="19" t="str">
        <f>IF($B1169="","",IFERROR(INDEX('Staff Directory'!$D$5:$D$594,MATCH($B1169,'Staff Directory'!$A$5:$A$594,0)),""))</f>
        <v>A6</v>
      </c>
      <c r="F1169" s="9" t="s">
        <v>115</v>
      </c>
      <c r="G1169" s="18" t="str">
        <f>IF($F1169="","",IFERROR(INDEX(Items!$B$5:$B$597,MATCH($F1169,Items!$A$5:$A$597,0)),"⚠ not in Items"))</f>
        <v>Wipes</v>
      </c>
      <c r="H1169" s="19">
        <f>IF($F1169="","",IFERROR(INDEX(Items!$C$5:$C$597,MATCH($F1169,Items!$A$5:$A$597,0)),""))</f>
        <v>80</v>
      </c>
      <c r="I1169" s="23">
        <f>IF($F1169="","",IFERROR(INDEX(Items!$E$5:$E$597,MATCH($F1169,Items!$A$5:$A$597,0)),""))</f>
        <v>80</v>
      </c>
      <c r="J1169" s="115">
        <f>IF(tblIssues[[#This Row],[Qty Override]]&lt;&gt;"",tblIssues[[#This Row],[Qty Override]],IF(tblIssues[[#This Row],[Standard Issue]]="","",tblIssues[[#This Row],[Standard Issue]]))</f>
        <v>80</v>
      </c>
      <c r="K1169" s="20">
        <f>IF($F1169="","",IFERROR(INDEX(Items!$D$5:$D$597,MATCH($F1169,Items!$A$5:$A$597,0)),""))</f>
        <v>0.1</v>
      </c>
      <c r="L1169" s="21">
        <f t="shared" si="206"/>
        <v>8</v>
      </c>
      <c r="M1169" s="9" t="str">
        <f t="shared" si="204"/>
        <v>LYSL500290</v>
      </c>
      <c r="N1169" s="24">
        <f>IF($A1169="","",WORKDAY($A1169,Settings!$C$9,HolidayDates))</f>
        <v>46191</v>
      </c>
      <c r="O1169" s="24">
        <f>IF($N1169="","",WORKDAY($N1169,Settings!$C$10,HolidayDates))</f>
        <v>46231</v>
      </c>
      <c r="P1169" s="10" t="s">
        <v>501</v>
      </c>
      <c r="Q1169" s="52" t="str">
        <f t="shared" si="207"/>
        <v>Collected</v>
      </c>
      <c r="R1169" s="55" t="str">
        <f t="shared" si="208"/>
        <v>2026-06</v>
      </c>
      <c r="S1169" s="55">
        <f>IF(OR($B1169="",$F1169="",$R1169=""),"",SUMIFS(tblIssues[Qty Issued],tblIssues[Staff ID],$B1169,tblIssues[Item Name],$F1169,tblIssues[Month],$R1169))</f>
        <v>80</v>
      </c>
      <c r="T1169" s="56">
        <f>IF($I1169="","",$I1169*Settings!$C$11)</f>
        <v>80</v>
      </c>
      <c r="U1169" s="57" t="str">
        <f t="shared" si="205"/>
        <v>OK</v>
      </c>
      <c r="V1169" s="55" t="str">
        <f t="shared" si="209"/>
        <v/>
      </c>
      <c r="W1169" s="55" t="str">
        <f>IF($V1169="","",IF(COUNTIF($V$5:$V1169,$V1169)=1,1,""))</f>
        <v/>
      </c>
      <c r="X1169" s="58" t="str">
        <f>IF($W1169="","",MAX($X$4:X1168)+1)</f>
        <v/>
      </c>
      <c r="Y1169" s="62"/>
      <c r="Z1169" s="62"/>
      <c r="AA1169" s="64" t="str">
        <f>IF($C1169="","",IFERROR(INDEX('Staff Directory'!$E$5:$E$594,MATCH($C1169,'Staff Directory'!$B$5:$B$594,0)),""))</f>
        <v>firstname130.lastname130@example.com</v>
      </c>
      <c r="AB1169" s="64" t="str">
        <f>IF($C1169="","",IF(ISNUMBER(SEARCH($D1169,Settings!$C$15)),"Pickup","Dispatch"))</f>
        <v>Pickup</v>
      </c>
      <c r="AC1169" s="64" t="str">
        <f t="shared" si="210"/>
        <v>Supply order ready for pickup</v>
      </c>
      <c r="AD1169" s="64" t="str">
        <f t="shared" si="201"/>
        <v>Dear PSW,
Your order is ready for pickup from Sample Branch, Wed-Fri 9am-4pm.</v>
      </c>
      <c r="AE1169" s="64" t="str">
        <f t="shared" si="202"/>
        <v>mailto:firstname130.lastname130@example.com?subject=Supply%20order%20ready%20for%20pickup&amp;body=Dear%20PSW%2C%0A%0AYour%20order%20is%20ready%20for%20pickup%20from%20Sample%20Branch%2C%20Wed-Fri%209am-4pm.</v>
      </c>
      <c r="AF1169" s="89" t="str">
        <f t="shared" si="211"/>
        <v>Draft email</v>
      </c>
      <c r="AG1169" s="64" t="str">
        <f>IF($C1169="","",IFERROR(INDEX('Staff Directory'!$K$595:$K$599,MATCH($C1169,'Staff Directory'!$B$5:$B$599,0)),$D1169))</f>
        <v>PSW</v>
      </c>
      <c r="AH1169" t="str">
        <f>IF($C1169="","",IFERROR(INDEX('Staff Directory'!$I$595:$I$599,MATCH($C1169,'Staff Directory'!$B$5:$B$599,0))&amp;" "&amp;INDEX('Staff Directory'!$J$595:$J$599,MATCH($C1169,'Staff Directory'!$B$5:$B$599,0)),$AG1169))</f>
        <v>PSW</v>
      </c>
      <c r="AI1169" s="102"/>
      <c r="AJ1169" s="101">
        <f>IF($F1169="","",SUMIFS($J$5:$J1169,$F$5:$F1169,$F1169))</f>
        <v>16000</v>
      </c>
      <c r="AK1169" s="101">
        <f t="shared" si="203"/>
        <v>15921</v>
      </c>
      <c r="AL1169" s="66" t="str" cm="1">
        <f t="array" ref="AL1169">IF($F1169="","",IFERROR(INDEX('Lot Balance'!$B$5:$B$500,MATCH(1,INDEX(('Lot Balance'!$A$5:$A$500=$F1169)*('Lot Balance'!$K$5:$K$500&lt;$AK1169)*('Lot Balance'!$K$5:$K$500+'Lot Balance'!$D$5:$D$500&gt;=$AK1169),0),0)),""))</f>
        <v>LYSL500290</v>
      </c>
      <c r="AM1169" s="66" t="str" cm="1">
        <f t="array" ref="AM1169">IF($F1169="","",IFERROR(INDEX('Lot Balance'!$B$5:$B$500,MATCH(1,INDEX(('Lot Balance'!$A$5:$A$500=$F1169)*('Lot Balance'!$K$5:$K$500&lt;$AJ1169)*('Lot Balance'!$K$5:$K$500+'Lot Balance'!$D$5:$D$500&gt;=$AJ1169),0),0)),""))</f>
        <v>LYSL500290</v>
      </c>
      <c r="AN1169" s="66" t="str">
        <f>IF($F1169="","",IF($AI1169&lt;&gt;"",IF(COUNTIFS('Lot Balance'!$A$5:$A$500,$F1169,'Lot Balance'!$B$5:$B$500,$AI1169)=0,"⚠ override is not a lot of this item",IF($AI1169=$AL1169,"Override = FEFO","Override - FEFO says "&amp;$AL1169)),IF($AL1169="","⚠ no receipt on file for this item",IF($AM1169&lt;&gt;$AL1169,"FEFO auto - split, also "&amp;$AM1169,"FEFO auto"))))</f>
        <v>FEFO auto</v>
      </c>
      <c r="AO1169" s="114"/>
    </row>
    <row r="1170" spans="1:41" x14ac:dyDescent="0.35">
      <c r="A1170" s="74">
        <v>46183</v>
      </c>
      <c r="B1170" s="18" t="str">
        <f>IF($C1170="","",IFERROR(INDEX('Staff Directory'!$A$5:$A$594,MATCH($C1170,'Staff Directory'!$B$5:$B$594,0)),"⚠ unknown staff"))</f>
        <v>RN-004-A2</v>
      </c>
      <c r="C1170" s="49" t="s">
        <v>920</v>
      </c>
      <c r="D1170" s="19" t="str">
        <f>IF($B1170="","",IFERROR(INDEX('Staff Directory'!$C$5:$C$594,MATCH($B1170,'Staff Directory'!$A$5:$A$594,0)),""))</f>
        <v>RN</v>
      </c>
      <c r="E1170" s="19" t="str">
        <f>IF($B1170="","",IFERROR(INDEX('Staff Directory'!$D$5:$D$594,MATCH($B1170,'Staff Directory'!$A$5:$A$594,0)),""))</f>
        <v>A2</v>
      </c>
      <c r="F1170" s="9" t="s">
        <v>127</v>
      </c>
      <c r="G1170" s="18" t="str">
        <f>IF($F1170="","",IFERROR(INDEX(Items!$B$5:$B$597,MATCH($F1170,Items!$A$5:$A$597,0)),"⚠ not in Items"))</f>
        <v>Gloves</v>
      </c>
      <c r="H1170" s="19" t="str">
        <f>IF($F1170="","",IFERROR(INDEX(Items!$C$5:$C$597,MATCH($F1170,Items!$A$5:$A$597,0)),""))</f>
        <v>Medium</v>
      </c>
      <c r="I1170" s="23">
        <f>IF($F1170="","",IFERROR(INDEX(Items!$E$5:$E$597,MATCH($F1170,Items!$A$5:$A$597,0)),""))</f>
        <v>500</v>
      </c>
      <c r="J1170" s="115">
        <f>IF(tblIssues[[#This Row],[Qty Override]]&lt;&gt;"",tblIssues[[#This Row],[Qty Override]],IF(tblIssues[[#This Row],[Standard Issue]]="","",tblIssues[[#This Row],[Standard Issue]]))</f>
        <v>500</v>
      </c>
      <c r="K1170" s="20">
        <f>IF($F1170="","",IFERROR(INDEX(Items!$D$5:$D$597,MATCH($F1170,Items!$A$5:$A$597,0)),""))</f>
        <v>5.5E-2</v>
      </c>
      <c r="L1170" s="21">
        <f t="shared" si="206"/>
        <v>27.5</v>
      </c>
      <c r="M1170" s="9" t="str">
        <f t="shared" si="204"/>
        <v>ZIM510137964</v>
      </c>
      <c r="N1170" s="24">
        <f>IF($A1170="","",WORKDAY($A1170,Settings!$C$9,HolidayDates))</f>
        <v>46191</v>
      </c>
      <c r="O1170" s="24">
        <f>IF($N1170="","",WORKDAY($N1170,Settings!$C$10,HolidayDates))</f>
        <v>46231</v>
      </c>
      <c r="P1170" s="10" t="s">
        <v>502</v>
      </c>
      <c r="Q1170" s="52" t="str">
        <f t="shared" si="207"/>
        <v>Collected</v>
      </c>
      <c r="R1170" s="55" t="str">
        <f t="shared" si="208"/>
        <v>2026-06</v>
      </c>
      <c r="S1170" s="55">
        <f>IF(OR($B1170="",$F1170="",$R1170=""),"",SUMIFS(tblIssues[Qty Issued],tblIssues[Staff ID],$B1170,tblIssues[Item Name],$F1170,tblIssues[Month],$R1170))</f>
        <v>500</v>
      </c>
      <c r="T1170" s="56">
        <f>IF($I1170="","",$I1170*Settings!$C$11)</f>
        <v>500</v>
      </c>
      <c r="U1170" s="57" t="str">
        <f t="shared" si="205"/>
        <v>OK</v>
      </c>
      <c r="V1170" s="55" t="str">
        <f t="shared" si="209"/>
        <v/>
      </c>
      <c r="W1170" s="55" t="str">
        <f>IF($V1170="","",IF(COUNTIF($V$5:$V1170,$V1170)=1,1,""))</f>
        <v/>
      </c>
      <c r="X1170" s="58" t="str">
        <f>IF($W1170="","",MAX($X$4:X1169)+1)</f>
        <v/>
      </c>
      <c r="Y1170" s="62"/>
      <c r="Z1170" s="62"/>
      <c r="AA1170" s="64" t="str">
        <f>IF($C1170="","",IFERROR(INDEX('Staff Directory'!$E$5:$E$594,MATCH($C1170,'Staff Directory'!$B$5:$B$594,0)),""))</f>
        <v>firstname004.lastname004@example.com</v>
      </c>
      <c r="AB1170" s="64" t="str">
        <f>IF($C1170="","",IF(ISNUMBER(SEARCH($D1170,Settings!$C$15)),"Pickup","Dispatch"))</f>
        <v>Dispatch</v>
      </c>
      <c r="AC1170" s="64" t="str">
        <f t="shared" si="210"/>
        <v>Supply order dispatched</v>
      </c>
      <c r="AD1170" s="64" t="str">
        <f t="shared" si="201"/>
        <v>Dear  ,
Your order has been dispatched and is in transit. Reply if undelivered.</v>
      </c>
      <c r="AE1170" s="64" t="str">
        <f t="shared" si="202"/>
        <v>mailto:firstname004.lastname004@example.com?subject=Supply%20order%20dispatched&amp;body=Dear%20%20%2C%0A%0AYour%20order%20has%20been%20dispatched%20and%20is%20in%20transit.%20Reply%20if%20undelivered.</v>
      </c>
      <c r="AF1170" s="89" t="str">
        <f t="shared" si="211"/>
        <v>Draft email</v>
      </c>
      <c r="AG1170" s="64">
        <f>IF($C1170="","",IFERROR(INDEX('Staff Directory'!$K$595:$K$599,MATCH($C1170,'Staff Directory'!$B$5:$B$599,0)),$D1170))</f>
        <v>0</v>
      </c>
      <c r="AH1170" t="str">
        <f>IF($C1170="","",IFERROR(INDEX('Staff Directory'!$I$595:$I$599,MATCH($C1170,'Staff Directory'!$B$5:$B$599,0))&amp;" "&amp;INDEX('Staff Directory'!$J$595:$J$599,MATCH($C1170,'Staff Directory'!$B$5:$B$599,0)),$AG1170))</f>
        <v xml:space="preserve"> </v>
      </c>
      <c r="AI1170" s="102"/>
      <c r="AJ1170" s="101">
        <f>IF($F1170="","",SUMIFS($J$5:$J1170,$F$5:$F1170,$F1170))</f>
        <v>68500</v>
      </c>
      <c r="AK1170" s="101">
        <f t="shared" si="203"/>
        <v>68001</v>
      </c>
      <c r="AL1170" s="66" t="str" cm="1">
        <f t="array" ref="AL1170">IF($F1170="","",IFERROR(INDEX('Lot Balance'!$B$5:$B$500,MATCH(1,INDEX(('Lot Balance'!$A$5:$A$500=$F1170)*('Lot Balance'!$K$5:$K$500&lt;$AK1170)*('Lot Balance'!$K$5:$K$500+'Lot Balance'!$D$5:$D$500&gt;=$AK1170),0),0)),""))</f>
        <v>ZIM510137964</v>
      </c>
      <c r="AM1170" s="66" t="str" cm="1">
        <f t="array" ref="AM1170">IF($F1170="","",IFERROR(INDEX('Lot Balance'!$B$5:$B$500,MATCH(1,INDEX(('Lot Balance'!$A$5:$A$500=$F1170)*('Lot Balance'!$K$5:$K$500&lt;$AJ1170)*('Lot Balance'!$K$5:$K$500+'Lot Balance'!$D$5:$D$500&gt;=$AJ1170),0),0)),""))</f>
        <v>ZIM510137964</v>
      </c>
      <c r="AN1170" s="66" t="str">
        <f>IF($F1170="","",IF($AI1170&lt;&gt;"",IF(COUNTIFS('Lot Balance'!$A$5:$A$500,$F1170,'Lot Balance'!$B$5:$B$500,$AI1170)=0,"⚠ override is not a lot of this item",IF($AI1170=$AL1170,"Override = FEFO","Override - FEFO says "&amp;$AL1170)),IF($AL1170="","⚠ no receipt on file for this item",IF($AM1170&lt;&gt;$AL1170,"FEFO auto - split, also "&amp;$AM1170,"FEFO auto"))))</f>
        <v>FEFO auto</v>
      </c>
      <c r="AO1170" s="114"/>
    </row>
    <row r="1171" spans="1:41" x14ac:dyDescent="0.35">
      <c r="A1171" s="74">
        <v>46183</v>
      </c>
      <c r="B1171" s="18" t="str">
        <f>IF($C1171="","",IFERROR(INDEX('Staff Directory'!$A$5:$A$594,MATCH($C1171,'Staff Directory'!$B$5:$B$594,0)),"⚠ unknown staff"))</f>
        <v>RN-004-A2</v>
      </c>
      <c r="C1171" s="49" t="s">
        <v>920</v>
      </c>
      <c r="D1171" s="19" t="str">
        <f>IF($B1171="","",IFERROR(INDEX('Staff Directory'!$C$5:$C$594,MATCH($B1171,'Staff Directory'!$A$5:$A$594,0)),""))</f>
        <v>RN</v>
      </c>
      <c r="E1171" s="19" t="str">
        <f>IF($B1171="","",IFERROR(INDEX('Staff Directory'!$D$5:$D$594,MATCH($B1171,'Staff Directory'!$A$5:$A$594,0)),""))</f>
        <v>A2</v>
      </c>
      <c r="F1171" s="9" t="s">
        <v>115</v>
      </c>
      <c r="G1171" s="18" t="str">
        <f>IF($F1171="","",IFERROR(INDEX(Items!$B$5:$B$597,MATCH($F1171,Items!$A$5:$A$597,0)),"⚠ not in Items"))</f>
        <v>Wipes</v>
      </c>
      <c r="H1171" s="19">
        <f>IF($F1171="","",IFERROR(INDEX(Items!$C$5:$C$597,MATCH($F1171,Items!$A$5:$A$597,0)),""))</f>
        <v>80</v>
      </c>
      <c r="I1171" s="23">
        <f>IF($F1171="","",IFERROR(INDEX(Items!$E$5:$E$597,MATCH($F1171,Items!$A$5:$A$597,0)),""))</f>
        <v>80</v>
      </c>
      <c r="J1171" s="115">
        <f>IF(tblIssues[[#This Row],[Qty Override]]&lt;&gt;"",tblIssues[[#This Row],[Qty Override]],IF(tblIssues[[#This Row],[Standard Issue]]="","",tblIssues[[#This Row],[Standard Issue]]))</f>
        <v>80</v>
      </c>
      <c r="K1171" s="20">
        <f>IF($F1171="","",IFERROR(INDEX(Items!$D$5:$D$597,MATCH($F1171,Items!$A$5:$A$597,0)),""))</f>
        <v>0.1</v>
      </c>
      <c r="L1171" s="21">
        <f t="shared" si="206"/>
        <v>8</v>
      </c>
      <c r="M1171" s="9" t="str">
        <f t="shared" si="204"/>
        <v>LYSL500290</v>
      </c>
      <c r="N1171" s="24">
        <f>IF($A1171="","",WORKDAY($A1171,Settings!$C$9,HolidayDates))</f>
        <v>46191</v>
      </c>
      <c r="O1171" s="24">
        <f>IF($N1171="","",WORKDAY($N1171,Settings!$C$10,HolidayDates))</f>
        <v>46231</v>
      </c>
      <c r="P1171" s="10" t="s">
        <v>502</v>
      </c>
      <c r="Q1171" s="52" t="str">
        <f t="shared" si="207"/>
        <v>Collected</v>
      </c>
      <c r="R1171" s="55" t="str">
        <f t="shared" si="208"/>
        <v>2026-06</v>
      </c>
      <c r="S1171" s="55">
        <f>IF(OR($B1171="",$F1171="",$R1171=""),"",SUMIFS(tblIssues[Qty Issued],tblIssues[Staff ID],$B1171,tblIssues[Item Name],$F1171,tblIssues[Month],$R1171))</f>
        <v>80</v>
      </c>
      <c r="T1171" s="56">
        <f>IF($I1171="","",$I1171*Settings!$C$11)</f>
        <v>80</v>
      </c>
      <c r="U1171" s="57" t="str">
        <f t="shared" si="205"/>
        <v>OK</v>
      </c>
      <c r="V1171" s="55" t="str">
        <f t="shared" si="209"/>
        <v/>
      </c>
      <c r="W1171" s="55" t="str">
        <f>IF($V1171="","",IF(COUNTIF($V$5:$V1171,$V1171)=1,1,""))</f>
        <v/>
      </c>
      <c r="X1171" s="58" t="str">
        <f>IF($W1171="","",MAX($X$4:X1170)+1)</f>
        <v/>
      </c>
      <c r="Y1171" s="62"/>
      <c r="Z1171" s="62"/>
      <c r="AA1171" s="64" t="str">
        <f>IF($C1171="","",IFERROR(INDEX('Staff Directory'!$E$5:$E$594,MATCH($C1171,'Staff Directory'!$B$5:$B$594,0)),""))</f>
        <v>firstname004.lastname004@example.com</v>
      </c>
      <c r="AB1171" s="64" t="str">
        <f>IF($C1171="","",IF(ISNUMBER(SEARCH($D1171,Settings!$C$15)),"Pickup","Dispatch"))</f>
        <v>Dispatch</v>
      </c>
      <c r="AC1171" s="64" t="str">
        <f t="shared" si="210"/>
        <v>Supply order dispatched</v>
      </c>
      <c r="AD1171" s="64" t="str">
        <f t="shared" si="201"/>
        <v>Dear  ,
Your order has been dispatched and is in transit. Reply if undelivered.</v>
      </c>
      <c r="AE1171" s="64" t="str">
        <f t="shared" si="202"/>
        <v>mailto:firstname004.lastname004@example.com?subject=Supply%20order%20dispatched&amp;body=Dear%20%20%2C%0A%0AYour%20order%20has%20been%20dispatched%20and%20is%20in%20transit.%20Reply%20if%20undelivered.</v>
      </c>
      <c r="AF1171" s="89" t="str">
        <f t="shared" si="211"/>
        <v>Draft email</v>
      </c>
      <c r="AG1171" s="64">
        <f>IF($C1171="","",IFERROR(INDEX('Staff Directory'!$K$595:$K$599,MATCH($C1171,'Staff Directory'!$B$5:$B$599,0)),$D1171))</f>
        <v>0</v>
      </c>
      <c r="AH1171" t="str">
        <f>IF($C1171="","",IFERROR(INDEX('Staff Directory'!$I$595:$I$599,MATCH($C1171,'Staff Directory'!$B$5:$B$599,0))&amp;" "&amp;INDEX('Staff Directory'!$J$595:$J$599,MATCH($C1171,'Staff Directory'!$B$5:$B$599,0)),$AG1171))</f>
        <v xml:space="preserve"> </v>
      </c>
      <c r="AI1171" s="102"/>
      <c r="AJ1171" s="101">
        <f>IF($F1171="","",SUMIFS($J$5:$J1171,$F$5:$F1171,$F1171))</f>
        <v>16080</v>
      </c>
      <c r="AK1171" s="101">
        <f t="shared" si="203"/>
        <v>16001</v>
      </c>
      <c r="AL1171" s="66" t="str" cm="1">
        <f t="array" ref="AL1171">IF($F1171="","",IFERROR(INDEX('Lot Balance'!$B$5:$B$500,MATCH(1,INDEX(('Lot Balance'!$A$5:$A$500=$F1171)*('Lot Balance'!$K$5:$K$500&lt;$AK1171)*('Lot Balance'!$K$5:$K$500+'Lot Balance'!$D$5:$D$500&gt;=$AK1171),0),0)),""))</f>
        <v>LYSL500290</v>
      </c>
      <c r="AM1171" s="66" t="str" cm="1">
        <f t="array" ref="AM1171">IF($F1171="","",IFERROR(INDEX('Lot Balance'!$B$5:$B$500,MATCH(1,INDEX(('Lot Balance'!$A$5:$A$500=$F1171)*('Lot Balance'!$K$5:$K$500&lt;$AJ1171)*('Lot Balance'!$K$5:$K$500+'Lot Balance'!$D$5:$D$500&gt;=$AJ1171),0),0)),""))</f>
        <v>LYSL500290</v>
      </c>
      <c r="AN1171" s="66" t="str">
        <f>IF($F1171="","",IF($AI1171&lt;&gt;"",IF(COUNTIFS('Lot Balance'!$A$5:$A$500,$F1171,'Lot Balance'!$B$5:$B$500,$AI1171)=0,"⚠ override is not a lot of this item",IF($AI1171=$AL1171,"Override = FEFO","Override - FEFO says "&amp;$AL1171)),IF($AL1171="","⚠ no receipt on file for this item",IF($AM1171&lt;&gt;$AL1171,"FEFO auto - split, also "&amp;$AM1171,"FEFO auto"))))</f>
        <v>FEFO auto</v>
      </c>
      <c r="AO1171" s="114"/>
    </row>
    <row r="1172" spans="1:41" x14ac:dyDescent="0.35">
      <c r="A1172" s="74">
        <v>46183</v>
      </c>
      <c r="B1172" s="18" t="str">
        <f>IF($C1172="","",IFERROR(INDEX('Staff Directory'!$A$5:$A$594,MATCH($C1172,'Staff Directory'!$B$5:$B$594,0)),"⚠ unknown staff"))</f>
        <v>RN-004-A2</v>
      </c>
      <c r="C1172" s="49" t="s">
        <v>920</v>
      </c>
      <c r="D1172" s="19" t="str">
        <f>IF($B1172="","",IFERROR(INDEX('Staff Directory'!$C$5:$C$594,MATCH($B1172,'Staff Directory'!$A$5:$A$594,0)),""))</f>
        <v>RN</v>
      </c>
      <c r="E1172" s="19" t="str">
        <f>IF($B1172="","",IFERROR(INDEX('Staff Directory'!$D$5:$D$594,MATCH($B1172,'Staff Directory'!$A$5:$A$594,0)),""))</f>
        <v>A2</v>
      </c>
      <c r="F1172" s="9" t="s">
        <v>154</v>
      </c>
      <c r="G1172" s="18" t="str">
        <f>IF($F1172="","",IFERROR(INDEX(Items!$B$5:$B$597,MATCH($F1172,Items!$A$5:$A$597,0)),"⚠ not in Items"))</f>
        <v>IPAC</v>
      </c>
      <c r="H1172" s="19" t="str">
        <f>IF($F1172="","",IFERROR(INDEX(Items!$C$5:$C$597,MATCH($F1172,Items!$A$5:$A$597,0)),""))</f>
        <v>Regular</v>
      </c>
      <c r="I1172" s="23">
        <f>IF($F1172="","",IFERROR(INDEX(Items!$E$5:$E$597,MATCH($F1172,Items!$A$5:$A$597,0)),""))</f>
        <v>50</v>
      </c>
      <c r="J1172" s="115">
        <f>IF(tblIssues[[#This Row],[Qty Override]]&lt;&gt;"",tblIssues[[#This Row],[Qty Override]],IF(tblIssues[[#This Row],[Standard Issue]]="","",tblIssues[[#This Row],[Standard Issue]]))</f>
        <v>50</v>
      </c>
      <c r="K1172" s="20">
        <f>IF($F1172="","",IFERROR(INDEX(Items!$D$5:$D$597,MATCH($F1172,Items!$A$5:$A$597,0)),""))</f>
        <v>0.2</v>
      </c>
      <c r="L1172" s="21">
        <f t="shared" si="206"/>
        <v>10</v>
      </c>
      <c r="M1172" s="9" t="str">
        <f t="shared" si="204"/>
        <v/>
      </c>
      <c r="N1172" s="24">
        <f>IF($A1172="","",WORKDAY($A1172,Settings!$C$9,HolidayDates))</f>
        <v>46191</v>
      </c>
      <c r="O1172" s="24">
        <f>IF($N1172="","",WORKDAY($N1172,Settings!$C$10,HolidayDates))</f>
        <v>46231</v>
      </c>
      <c r="P1172" s="10" t="s">
        <v>502</v>
      </c>
      <c r="Q1172" s="52" t="str">
        <f t="shared" si="207"/>
        <v>Collected</v>
      </c>
      <c r="R1172" s="55" t="str">
        <f t="shared" si="208"/>
        <v>2026-06</v>
      </c>
      <c r="S1172" s="55">
        <f>IF(OR($B1172="",$F1172="",$R1172=""),"",SUMIFS(tblIssues[Qty Issued],tblIssues[Staff ID],$B1172,tblIssues[Item Name],$F1172,tblIssues[Month],$R1172))</f>
        <v>50</v>
      </c>
      <c r="T1172" s="56">
        <f>IF($I1172="","",$I1172*Settings!$C$11)</f>
        <v>50</v>
      </c>
      <c r="U1172" s="57" t="str">
        <f t="shared" si="205"/>
        <v>OK</v>
      </c>
      <c r="V1172" s="55" t="str">
        <f t="shared" si="209"/>
        <v/>
      </c>
      <c r="W1172" s="55" t="str">
        <f>IF($V1172="","",IF(COUNTIF($V$5:$V1172,$V1172)=1,1,""))</f>
        <v/>
      </c>
      <c r="X1172" s="58" t="str">
        <f>IF($W1172="","",MAX($X$4:X1171)+1)</f>
        <v/>
      </c>
      <c r="Y1172" s="62"/>
      <c r="Z1172" s="62"/>
      <c r="AA1172" s="64" t="str">
        <f>IF($C1172="","",IFERROR(INDEX('Staff Directory'!$E$5:$E$594,MATCH($C1172,'Staff Directory'!$B$5:$B$594,0)),""))</f>
        <v>firstname004.lastname004@example.com</v>
      </c>
      <c r="AB1172" s="64" t="str">
        <f>IF($C1172="","",IF(ISNUMBER(SEARCH($D1172,Settings!$C$15)),"Pickup","Dispatch"))</f>
        <v>Dispatch</v>
      </c>
      <c r="AC1172" s="64" t="str">
        <f t="shared" si="210"/>
        <v>Supply order dispatched</v>
      </c>
      <c r="AD1172" s="64" t="str">
        <f t="shared" si="201"/>
        <v>Dear  ,
Your order has been dispatched and is in transit. Reply if undelivered.</v>
      </c>
      <c r="AE1172" s="64" t="str">
        <f t="shared" si="202"/>
        <v>mailto:firstname004.lastname004@example.com?subject=Supply%20order%20dispatched&amp;body=Dear%20%20%2C%0A%0AYour%20order%20has%20been%20dispatched%20and%20is%20in%20transit.%20Reply%20if%20undelivered.</v>
      </c>
      <c r="AF1172" s="89" t="str">
        <f t="shared" si="211"/>
        <v>Draft email</v>
      </c>
      <c r="AG1172" s="64">
        <f>IF($C1172="","",IFERROR(INDEX('Staff Directory'!$K$595:$K$599,MATCH($C1172,'Staff Directory'!$B$5:$B$599,0)),$D1172))</f>
        <v>0</v>
      </c>
      <c r="AH1172" t="str">
        <f>IF($C1172="","",IFERROR(INDEX('Staff Directory'!$I$595:$I$599,MATCH($C1172,'Staff Directory'!$B$5:$B$599,0))&amp;" "&amp;INDEX('Staff Directory'!$J$595:$J$599,MATCH($C1172,'Staff Directory'!$B$5:$B$599,0)),$AG1172))</f>
        <v xml:space="preserve"> </v>
      </c>
      <c r="AI1172" s="102"/>
      <c r="AJ1172" s="101">
        <f>IF($F1172="","",SUMIFS($J$5:$J1172,$F$5:$F1172,$F1172))</f>
        <v>1150</v>
      </c>
      <c r="AK1172" s="101">
        <f t="shared" si="203"/>
        <v>1101</v>
      </c>
      <c r="AL1172" s="66" t="str" cm="1">
        <f t="array" ref="AL1172">IF($F1172="","",IFERROR(INDEX('Lot Balance'!$B$5:$B$500,MATCH(1,INDEX(('Lot Balance'!$A$5:$A$500=$F1172)*('Lot Balance'!$K$5:$K$500&lt;$AK1172)*('Lot Balance'!$K$5:$K$500+'Lot Balance'!$D$5:$D$500&gt;=$AK1172),0),0)),""))</f>
        <v/>
      </c>
      <c r="AM1172" s="66" t="str" cm="1">
        <f t="array" ref="AM1172">IF($F1172="","",IFERROR(INDEX('Lot Balance'!$B$5:$B$500,MATCH(1,INDEX(('Lot Balance'!$A$5:$A$500=$F1172)*('Lot Balance'!$K$5:$K$500&lt;$AJ1172)*('Lot Balance'!$K$5:$K$500+'Lot Balance'!$D$5:$D$500&gt;=$AJ1172),0),0)),""))</f>
        <v/>
      </c>
      <c r="AN1172" s="66" t="str">
        <f>IF($F1172="","",IF($AI1172&lt;&gt;"",IF(COUNTIFS('Lot Balance'!$A$5:$A$500,$F1172,'Lot Balance'!$B$5:$B$500,$AI1172)=0,"⚠ override is not a lot of this item",IF($AI1172=$AL1172,"Override = FEFO","Override - FEFO says "&amp;$AL1172)),IF($AL1172="","⚠ no receipt on file for this item",IF($AM1172&lt;&gt;$AL1172,"FEFO auto - split, also "&amp;$AM1172,"FEFO auto"))))</f>
        <v>⚠ no receipt on file for this item</v>
      </c>
      <c r="AO1172" s="114"/>
    </row>
    <row r="1173" spans="1:41" x14ac:dyDescent="0.35">
      <c r="A1173" s="74">
        <v>46183</v>
      </c>
      <c r="B1173" s="18" t="str">
        <f>IF($C1173="","",IFERROR(INDEX('Staff Directory'!$A$5:$A$594,MATCH($C1173,'Staff Directory'!$B$5:$B$594,0)),"⚠ unknown staff"))</f>
        <v>PSW-048-A5</v>
      </c>
      <c r="C1173" s="49" t="s">
        <v>1024</v>
      </c>
      <c r="D1173" s="19" t="str">
        <f>IF($B1173="","",IFERROR(INDEX('Staff Directory'!$C$5:$C$594,MATCH($B1173,'Staff Directory'!$A$5:$A$594,0)),""))</f>
        <v>PSW</v>
      </c>
      <c r="E1173" s="19" t="str">
        <f>IF($B1173="","",IFERROR(INDEX('Staff Directory'!$D$5:$D$594,MATCH($B1173,'Staff Directory'!$A$5:$A$594,0)),""))</f>
        <v>A5</v>
      </c>
      <c r="F1173" s="9" t="s">
        <v>129</v>
      </c>
      <c r="G1173" s="18" t="str">
        <f>IF($F1173="","",IFERROR(INDEX(Items!$B$5:$B$597,MATCH($F1173,Items!$A$5:$A$597,0)),"⚠ not in Items"))</f>
        <v>Gloves</v>
      </c>
      <c r="H1173" s="19" t="str">
        <f>IF($F1173="","",IFERROR(INDEX(Items!$C$5:$C$597,MATCH($F1173,Items!$A$5:$A$597,0)),""))</f>
        <v>Small</v>
      </c>
      <c r="I1173" s="23">
        <f>IF($F1173="","",IFERROR(INDEX(Items!$E$5:$E$597,MATCH($F1173,Items!$A$5:$A$597,0)),""))</f>
        <v>500</v>
      </c>
      <c r="J1173" s="115">
        <f>IF(tblIssues[[#This Row],[Qty Override]]&lt;&gt;"",tblIssues[[#This Row],[Qty Override]],IF(tblIssues[[#This Row],[Standard Issue]]="","",tblIssues[[#This Row],[Standard Issue]]))</f>
        <v>500</v>
      </c>
      <c r="K1173" s="20">
        <f>IF($F1173="","",IFERROR(INDEX(Items!$D$5:$D$597,MATCH($F1173,Items!$A$5:$A$597,0)),""))</f>
        <v>5.5E-2</v>
      </c>
      <c r="L1173" s="21">
        <f t="shared" si="206"/>
        <v>27.5</v>
      </c>
      <c r="M1173" s="9" t="str">
        <f t="shared" si="204"/>
        <v>ZIM504124207-7</v>
      </c>
      <c r="N1173" s="24">
        <f>IF($A1173="","",WORKDAY($A1173,Settings!$C$9,HolidayDates))</f>
        <v>46191</v>
      </c>
      <c r="O1173" s="24">
        <f>IF($N1173="","",WORKDAY($N1173,Settings!$C$10,HolidayDates))</f>
        <v>46231</v>
      </c>
      <c r="P1173" s="10" t="s">
        <v>501</v>
      </c>
      <c r="Q1173" s="52" t="str">
        <f t="shared" si="207"/>
        <v>Collected</v>
      </c>
      <c r="R1173" s="55" t="str">
        <f t="shared" si="208"/>
        <v>2026-06</v>
      </c>
      <c r="S1173" s="55">
        <f>IF(OR($B1173="",$F1173="",$R1173=""),"",SUMIFS(tblIssues[Qty Issued],tblIssues[Staff ID],$B1173,tblIssues[Item Name],$F1173,tblIssues[Month],$R1173))</f>
        <v>500</v>
      </c>
      <c r="T1173" s="56">
        <f>IF($I1173="","",$I1173*Settings!$C$11)</f>
        <v>500</v>
      </c>
      <c r="U1173" s="57" t="str">
        <f t="shared" si="205"/>
        <v>OK</v>
      </c>
      <c r="V1173" s="55" t="str">
        <f t="shared" si="209"/>
        <v/>
      </c>
      <c r="W1173" s="55" t="str">
        <f>IF($V1173="","",IF(COUNTIF($V$5:$V1173,$V1173)=1,1,""))</f>
        <v/>
      </c>
      <c r="X1173" s="58" t="str">
        <f>IF($W1173="","",MAX($X$4:X1172)+1)</f>
        <v/>
      </c>
      <c r="Y1173" s="62"/>
      <c r="Z1173" s="62"/>
      <c r="AA1173" s="64" t="str">
        <f>IF($C1173="","",IFERROR(INDEX('Staff Directory'!$E$5:$E$594,MATCH($C1173,'Staff Directory'!$B$5:$B$594,0)),""))</f>
        <v>firstname108.lastname108@example.com</v>
      </c>
      <c r="AB1173" s="64" t="str">
        <f>IF($C1173="","",IF(ISNUMBER(SEARCH($D1173,Settings!$C$15)),"Pickup","Dispatch"))</f>
        <v>Pickup</v>
      </c>
      <c r="AC1173" s="64" t="str">
        <f t="shared" si="210"/>
        <v>Supply order ready for pickup</v>
      </c>
      <c r="AD1173" s="64" t="str">
        <f t="shared" si="201"/>
        <v>Dear PSW,
Your order is ready for pickup from Sample Branch, Wed-Fri 9am-4pm.</v>
      </c>
      <c r="AE1173" s="64" t="str">
        <f t="shared" si="202"/>
        <v>mailto:firstname108.lastname108@example.com?subject=Supply%20order%20ready%20for%20pickup&amp;body=Dear%20PSW%2C%0A%0AYour%20order%20is%20ready%20for%20pickup%20from%20Sample%20Branch%2C%20Wed-Fri%209am-4pm.</v>
      </c>
      <c r="AF1173" s="89" t="str">
        <f t="shared" si="211"/>
        <v>Draft email</v>
      </c>
      <c r="AG1173" s="64" t="str">
        <f>IF($C1173="","",IFERROR(INDEX('Staff Directory'!$K$595:$K$599,MATCH($C1173,'Staff Directory'!$B$5:$B$599,0)),$D1173))</f>
        <v>PSW</v>
      </c>
      <c r="AH1173" t="str">
        <f>IF($C1173="","",IFERROR(INDEX('Staff Directory'!$I$595:$I$599,MATCH($C1173,'Staff Directory'!$B$5:$B$599,0))&amp;" "&amp;INDEX('Staff Directory'!$J$595:$J$599,MATCH($C1173,'Staff Directory'!$B$5:$B$599,0)),$AG1173))</f>
        <v>PSW</v>
      </c>
      <c r="AI1173" s="102"/>
      <c r="AJ1173" s="101">
        <f>IF($F1173="","",SUMIFS($J$5:$J1173,$F$5:$F1173,$F1173))</f>
        <v>36500</v>
      </c>
      <c r="AK1173" s="101">
        <f t="shared" si="203"/>
        <v>36001</v>
      </c>
      <c r="AL1173" s="66" t="str" cm="1">
        <f t="array" ref="AL1173">IF($F1173="","",IFERROR(INDEX('Lot Balance'!$B$5:$B$500,MATCH(1,INDEX(('Lot Balance'!$A$5:$A$500=$F1173)*('Lot Balance'!$K$5:$K$500&lt;$AK1173)*('Lot Balance'!$K$5:$K$500+'Lot Balance'!$D$5:$D$500&gt;=$AK1173),0),0)),""))</f>
        <v>ZIM504124207-7</v>
      </c>
      <c r="AM1173" s="66" t="str" cm="1">
        <f t="array" ref="AM1173">IF($F1173="","",IFERROR(INDEX('Lot Balance'!$B$5:$B$500,MATCH(1,INDEX(('Lot Balance'!$A$5:$A$500=$F1173)*('Lot Balance'!$K$5:$K$500&lt;$AJ1173)*('Lot Balance'!$K$5:$K$500+'Lot Balance'!$D$5:$D$500&gt;=$AJ1173),0),0)),""))</f>
        <v>ZIM504124207-7</v>
      </c>
      <c r="AN1173" s="66" t="str">
        <f>IF($F1173="","",IF($AI1173&lt;&gt;"",IF(COUNTIFS('Lot Balance'!$A$5:$A$500,$F1173,'Lot Balance'!$B$5:$B$500,$AI1173)=0,"⚠ override is not a lot of this item",IF($AI1173=$AL1173,"Override = FEFO","Override - FEFO says "&amp;$AL1173)),IF($AL1173="","⚠ no receipt on file for this item",IF($AM1173&lt;&gt;$AL1173,"FEFO auto - split, also "&amp;$AM1173,"FEFO auto"))))</f>
        <v>FEFO auto</v>
      </c>
      <c r="AO1173" s="114"/>
    </row>
    <row r="1174" spans="1:41" x14ac:dyDescent="0.35">
      <c r="A1174" s="74">
        <v>46183</v>
      </c>
      <c r="B1174" s="18" t="str">
        <f>IF($C1174="","",IFERROR(INDEX('Staff Directory'!$A$5:$A$594,MATCH($C1174,'Staff Directory'!$B$5:$B$594,0)),"⚠ unknown staff"))</f>
        <v>PSW-048-A5</v>
      </c>
      <c r="C1174" s="49" t="s">
        <v>1024</v>
      </c>
      <c r="D1174" s="19" t="str">
        <f>IF($B1174="","",IFERROR(INDEX('Staff Directory'!$C$5:$C$594,MATCH($B1174,'Staff Directory'!$A$5:$A$594,0)),""))</f>
        <v>PSW</v>
      </c>
      <c r="E1174" s="19" t="str">
        <f>IF($B1174="","",IFERROR(INDEX('Staff Directory'!$D$5:$D$594,MATCH($B1174,'Staff Directory'!$A$5:$A$594,0)),""))</f>
        <v>A5</v>
      </c>
      <c r="F1174" s="9" t="s">
        <v>115</v>
      </c>
      <c r="G1174" s="18" t="str">
        <f>IF($F1174="","",IFERROR(INDEX(Items!$B$5:$B$597,MATCH($F1174,Items!$A$5:$A$597,0)),"⚠ not in Items"))</f>
        <v>Wipes</v>
      </c>
      <c r="H1174" s="19">
        <f>IF($F1174="","",IFERROR(INDEX(Items!$C$5:$C$597,MATCH($F1174,Items!$A$5:$A$597,0)),""))</f>
        <v>80</v>
      </c>
      <c r="I1174" s="23">
        <f>IF($F1174="","",IFERROR(INDEX(Items!$E$5:$E$597,MATCH($F1174,Items!$A$5:$A$597,0)),""))</f>
        <v>80</v>
      </c>
      <c r="J1174" s="115">
        <f>IF(tblIssues[[#This Row],[Qty Override]]&lt;&gt;"",tblIssues[[#This Row],[Qty Override]],IF(tblIssues[[#This Row],[Standard Issue]]="","",tblIssues[[#This Row],[Standard Issue]]))</f>
        <v>80</v>
      </c>
      <c r="K1174" s="20">
        <f>IF($F1174="","",IFERROR(INDEX(Items!$D$5:$D$597,MATCH($F1174,Items!$A$5:$A$597,0)),""))</f>
        <v>0.1</v>
      </c>
      <c r="L1174" s="21">
        <f t="shared" si="206"/>
        <v>8</v>
      </c>
      <c r="M1174" s="9" t="str">
        <f t="shared" si="204"/>
        <v>LYSL500290</v>
      </c>
      <c r="N1174" s="24">
        <f>IF($A1174="","",WORKDAY($A1174,Settings!$C$9,HolidayDates))</f>
        <v>46191</v>
      </c>
      <c r="O1174" s="24">
        <f>IF($N1174="","",WORKDAY($N1174,Settings!$C$10,HolidayDates))</f>
        <v>46231</v>
      </c>
      <c r="P1174" s="10" t="s">
        <v>501</v>
      </c>
      <c r="Q1174" s="52" t="str">
        <f t="shared" si="207"/>
        <v>Collected</v>
      </c>
      <c r="R1174" s="55" t="str">
        <f t="shared" si="208"/>
        <v>2026-06</v>
      </c>
      <c r="S1174" s="55">
        <f>IF(OR($B1174="",$F1174="",$R1174=""),"",SUMIFS(tblIssues[Qty Issued],tblIssues[Staff ID],$B1174,tblIssues[Item Name],$F1174,tblIssues[Month],$R1174))</f>
        <v>80</v>
      </c>
      <c r="T1174" s="56">
        <f>IF($I1174="","",$I1174*Settings!$C$11)</f>
        <v>80</v>
      </c>
      <c r="U1174" s="57" t="str">
        <f t="shared" si="205"/>
        <v>OK</v>
      </c>
      <c r="V1174" s="55" t="str">
        <f t="shared" si="209"/>
        <v/>
      </c>
      <c r="W1174" s="55" t="str">
        <f>IF($V1174="","",IF(COUNTIF($V$5:$V1174,$V1174)=1,1,""))</f>
        <v/>
      </c>
      <c r="X1174" s="58" t="str">
        <f>IF($W1174="","",MAX($X$4:X1173)+1)</f>
        <v/>
      </c>
      <c r="Y1174" s="62"/>
      <c r="Z1174" s="62"/>
      <c r="AA1174" s="64" t="str">
        <f>IF($C1174="","",IFERROR(INDEX('Staff Directory'!$E$5:$E$594,MATCH($C1174,'Staff Directory'!$B$5:$B$594,0)),""))</f>
        <v>firstname108.lastname108@example.com</v>
      </c>
      <c r="AB1174" s="64" t="str">
        <f>IF($C1174="","",IF(ISNUMBER(SEARCH($D1174,Settings!$C$15)),"Pickup","Dispatch"))</f>
        <v>Pickup</v>
      </c>
      <c r="AC1174" s="64" t="str">
        <f t="shared" si="210"/>
        <v>Supply order ready for pickup</v>
      </c>
      <c r="AD1174" s="64" t="str">
        <f t="shared" si="201"/>
        <v>Dear PSW,
Your order is ready for pickup from Sample Branch, Wed-Fri 9am-4pm.</v>
      </c>
      <c r="AE1174" s="64" t="str">
        <f t="shared" si="202"/>
        <v>mailto:firstname108.lastname108@example.com?subject=Supply%20order%20ready%20for%20pickup&amp;body=Dear%20PSW%2C%0A%0AYour%20order%20is%20ready%20for%20pickup%20from%20Sample%20Branch%2C%20Wed-Fri%209am-4pm.</v>
      </c>
      <c r="AF1174" s="89" t="str">
        <f t="shared" si="211"/>
        <v>Draft email</v>
      </c>
      <c r="AG1174" s="64" t="str">
        <f>IF($C1174="","",IFERROR(INDEX('Staff Directory'!$K$595:$K$599,MATCH($C1174,'Staff Directory'!$B$5:$B$599,0)),$D1174))</f>
        <v>PSW</v>
      </c>
      <c r="AH1174" t="str">
        <f>IF($C1174="","",IFERROR(INDEX('Staff Directory'!$I$595:$I$599,MATCH($C1174,'Staff Directory'!$B$5:$B$599,0))&amp;" "&amp;INDEX('Staff Directory'!$J$595:$J$599,MATCH($C1174,'Staff Directory'!$B$5:$B$599,0)),$AG1174))</f>
        <v>PSW</v>
      </c>
      <c r="AI1174" s="102"/>
      <c r="AJ1174" s="101">
        <f>IF($F1174="","",SUMIFS($J$5:$J1174,$F$5:$F1174,$F1174))</f>
        <v>16160</v>
      </c>
      <c r="AK1174" s="101">
        <f t="shared" si="203"/>
        <v>16081</v>
      </c>
      <c r="AL1174" s="66" t="str" cm="1">
        <f t="array" ref="AL1174">IF($F1174="","",IFERROR(INDEX('Lot Balance'!$B$5:$B$500,MATCH(1,INDEX(('Lot Balance'!$A$5:$A$500=$F1174)*('Lot Balance'!$K$5:$K$500&lt;$AK1174)*('Lot Balance'!$K$5:$K$500+'Lot Balance'!$D$5:$D$500&gt;=$AK1174),0),0)),""))</f>
        <v>LYSL500290</v>
      </c>
      <c r="AM1174" s="66" t="str" cm="1">
        <f t="array" ref="AM1174">IF($F1174="","",IFERROR(INDEX('Lot Balance'!$B$5:$B$500,MATCH(1,INDEX(('Lot Balance'!$A$5:$A$500=$F1174)*('Lot Balance'!$K$5:$K$500&lt;$AJ1174)*('Lot Balance'!$K$5:$K$500+'Lot Balance'!$D$5:$D$500&gt;=$AJ1174),0),0)),""))</f>
        <v>LYSL500290</v>
      </c>
      <c r="AN1174" s="66" t="str">
        <f>IF($F1174="","",IF($AI1174&lt;&gt;"",IF(COUNTIFS('Lot Balance'!$A$5:$A$500,$F1174,'Lot Balance'!$B$5:$B$500,$AI1174)=0,"⚠ override is not a lot of this item",IF($AI1174=$AL1174,"Override = FEFO","Override - FEFO says "&amp;$AL1174)),IF($AL1174="","⚠ no receipt on file for this item",IF($AM1174&lt;&gt;$AL1174,"FEFO auto - split, also "&amp;$AM1174,"FEFO auto"))))</f>
        <v>FEFO auto</v>
      </c>
      <c r="AO1174" s="114"/>
    </row>
    <row r="1175" spans="1:41" x14ac:dyDescent="0.35">
      <c r="A1175" s="74">
        <v>46183</v>
      </c>
      <c r="B1175" s="18" t="str">
        <f>IF($C1175="","",IFERROR(INDEX('Staff Directory'!$A$5:$A$594,MATCH($C1175,'Staff Directory'!$B$5:$B$594,0)),"⚠ unknown staff"))</f>
        <v>PSW-048-A5</v>
      </c>
      <c r="C1175" s="49" t="s">
        <v>1024</v>
      </c>
      <c r="D1175" s="19" t="str">
        <f>IF($B1175="","",IFERROR(INDEX('Staff Directory'!$C$5:$C$594,MATCH($B1175,'Staff Directory'!$A$5:$A$594,0)),""))</f>
        <v>PSW</v>
      </c>
      <c r="E1175" s="19" t="str">
        <f>IF($B1175="","",IFERROR(INDEX('Staff Directory'!$D$5:$D$594,MATCH($B1175,'Staff Directory'!$A$5:$A$594,0)),""))</f>
        <v>A5</v>
      </c>
      <c r="F1175" s="9" t="s">
        <v>156</v>
      </c>
      <c r="G1175" s="18" t="str">
        <f>IF($F1175="","",IFERROR(INDEX(Items!$B$5:$B$597,MATCH($F1175,Items!$A$5:$A$597,0)),"⚠ not in Items"))</f>
        <v>Masks</v>
      </c>
      <c r="H1175" s="19" t="str">
        <f>IF($F1175="","",IFERROR(INDEX(Items!$C$5:$C$597,MATCH($F1175,Items!$A$5:$A$597,0)),""))</f>
        <v>One Size</v>
      </c>
      <c r="I1175" s="23">
        <f>IF($F1175="","",IFERROR(INDEX(Items!$E$5:$E$597,MATCH($F1175,Items!$A$5:$A$597,0)),""))</f>
        <v>50</v>
      </c>
      <c r="J1175" s="115">
        <f>IF(tblIssues[[#This Row],[Qty Override]]&lt;&gt;"",tblIssues[[#This Row],[Qty Override]],IF(tblIssues[[#This Row],[Standard Issue]]="","",tblIssues[[#This Row],[Standard Issue]]))</f>
        <v>50</v>
      </c>
      <c r="K1175" s="20">
        <f>IF($F1175="","",IFERROR(INDEX(Items!$D$5:$D$597,MATCH($F1175,Items!$A$5:$A$597,0)),""))</f>
        <v>0.25</v>
      </c>
      <c r="L1175" s="21">
        <f t="shared" si="206"/>
        <v>12.5</v>
      </c>
      <c r="M1175" s="9" t="str">
        <f t="shared" si="204"/>
        <v>102GPC24</v>
      </c>
      <c r="N1175" s="24">
        <f>IF($A1175="","",WORKDAY($A1175,Settings!$C$9,HolidayDates))</f>
        <v>46191</v>
      </c>
      <c r="O1175" s="24">
        <f>IF($N1175="","",WORKDAY($N1175,Settings!$C$10,HolidayDates))</f>
        <v>46231</v>
      </c>
      <c r="P1175" s="10" t="s">
        <v>501</v>
      </c>
      <c r="Q1175" s="52" t="str">
        <f t="shared" si="207"/>
        <v>Collected</v>
      </c>
      <c r="R1175" s="55" t="str">
        <f t="shared" si="208"/>
        <v>2026-06</v>
      </c>
      <c r="S1175" s="55">
        <f>IF(OR($B1175="",$F1175="",$R1175=""),"",SUMIFS(tblIssues[Qty Issued],tblIssues[Staff ID],$B1175,tblIssues[Item Name],$F1175,tblIssues[Month],$R1175))</f>
        <v>50</v>
      </c>
      <c r="T1175" s="56">
        <f>IF($I1175="","",$I1175*Settings!$C$11)</f>
        <v>50</v>
      </c>
      <c r="U1175" s="57" t="str">
        <f t="shared" si="205"/>
        <v>OK</v>
      </c>
      <c r="V1175" s="55" t="str">
        <f t="shared" si="209"/>
        <v/>
      </c>
      <c r="W1175" s="55" t="str">
        <f>IF($V1175="","",IF(COUNTIF($V$5:$V1175,$V1175)=1,1,""))</f>
        <v/>
      </c>
      <c r="X1175" s="58" t="str">
        <f>IF($W1175="","",MAX($X$4:X1174)+1)</f>
        <v/>
      </c>
      <c r="Y1175" s="62"/>
      <c r="Z1175" s="62"/>
      <c r="AA1175" s="64" t="str">
        <f>IF($C1175="","",IFERROR(INDEX('Staff Directory'!$E$5:$E$594,MATCH($C1175,'Staff Directory'!$B$5:$B$594,0)),""))</f>
        <v>firstname108.lastname108@example.com</v>
      </c>
      <c r="AB1175" s="64" t="str">
        <f>IF($C1175="","",IF(ISNUMBER(SEARCH($D1175,Settings!$C$15)),"Pickup","Dispatch"))</f>
        <v>Pickup</v>
      </c>
      <c r="AC1175" s="64" t="str">
        <f t="shared" si="210"/>
        <v>Supply order ready for pickup</v>
      </c>
      <c r="AD1175" s="64" t="str">
        <f t="shared" si="201"/>
        <v>Dear PSW,
Your order is ready for pickup from Sample Branch, Wed-Fri 9am-4pm.</v>
      </c>
      <c r="AE1175" s="64" t="str">
        <f t="shared" si="202"/>
        <v>mailto:firstname108.lastname108@example.com?subject=Supply%20order%20ready%20for%20pickup&amp;body=Dear%20PSW%2C%0A%0AYour%20order%20is%20ready%20for%20pickup%20from%20Sample%20Branch%2C%20Wed-Fri%209am-4pm.</v>
      </c>
      <c r="AF1175" s="89" t="str">
        <f t="shared" si="211"/>
        <v>Draft email</v>
      </c>
      <c r="AG1175" s="64" t="str">
        <f>IF($C1175="","",IFERROR(INDEX('Staff Directory'!$K$595:$K$599,MATCH($C1175,'Staff Directory'!$B$5:$B$599,0)),$D1175))</f>
        <v>PSW</v>
      </c>
      <c r="AH1175" t="str">
        <f>IF($C1175="","",IFERROR(INDEX('Staff Directory'!$I$595:$I$599,MATCH($C1175,'Staff Directory'!$B$5:$B$599,0))&amp;" "&amp;INDEX('Staff Directory'!$J$595:$J$599,MATCH($C1175,'Staff Directory'!$B$5:$B$599,0)),$AG1175))</f>
        <v>PSW</v>
      </c>
      <c r="AI1175" s="102"/>
      <c r="AJ1175" s="101">
        <f>IF($F1175="","",SUMIFS($J$5:$J1175,$F$5:$F1175,$F1175))</f>
        <v>9750</v>
      </c>
      <c r="AK1175" s="101">
        <f t="shared" si="203"/>
        <v>9701</v>
      </c>
      <c r="AL1175" s="66" t="str" cm="1">
        <f t="array" ref="AL1175">IF($F1175="","",IFERROR(INDEX('Lot Balance'!$B$5:$B$500,MATCH(1,INDEX(('Lot Balance'!$A$5:$A$500=$F1175)*('Lot Balance'!$K$5:$K$500&lt;$AK1175)*('Lot Balance'!$K$5:$K$500+'Lot Balance'!$D$5:$D$500&gt;=$AK1175),0),0)),""))</f>
        <v>102GPC24</v>
      </c>
      <c r="AM1175" s="66" t="str" cm="1">
        <f t="array" ref="AM1175">IF($F1175="","",IFERROR(INDEX('Lot Balance'!$B$5:$B$500,MATCH(1,INDEX(('Lot Balance'!$A$5:$A$500=$F1175)*('Lot Balance'!$K$5:$K$500&lt;$AJ1175)*('Lot Balance'!$K$5:$K$500+'Lot Balance'!$D$5:$D$500&gt;=$AJ1175),0),0)),""))</f>
        <v>102GPC24</v>
      </c>
      <c r="AN1175" s="66" t="str">
        <f>IF($F1175="","",IF($AI1175&lt;&gt;"",IF(COUNTIFS('Lot Balance'!$A$5:$A$500,$F1175,'Lot Balance'!$B$5:$B$500,$AI1175)=0,"⚠ override is not a lot of this item",IF($AI1175=$AL1175,"Override = FEFO","Override - FEFO says "&amp;$AL1175)),IF($AL1175="","⚠ no receipt on file for this item",IF($AM1175&lt;&gt;$AL1175,"FEFO auto - split, also "&amp;$AM1175,"FEFO auto"))))</f>
        <v>FEFO auto</v>
      </c>
      <c r="AO1175" s="114"/>
    </row>
    <row r="1176" spans="1:41" x14ac:dyDescent="0.35">
      <c r="A1176" s="74">
        <v>46183</v>
      </c>
      <c r="B1176" s="18" t="str">
        <f>IF($C1176="","",IFERROR(INDEX('Staff Directory'!$A$5:$A$594,MATCH($C1176,'Staff Directory'!$B$5:$B$594,0)),"⚠ unknown staff"))</f>
        <v>PSW-036-A7</v>
      </c>
      <c r="C1176" s="49" t="s">
        <v>1011</v>
      </c>
      <c r="D1176" s="19" t="str">
        <f>IF($B1176="","",IFERROR(INDEX('Staff Directory'!$C$5:$C$594,MATCH($B1176,'Staff Directory'!$A$5:$A$594,0)),""))</f>
        <v>PSW</v>
      </c>
      <c r="E1176" s="19" t="str">
        <f>IF($B1176="","",IFERROR(INDEX('Staff Directory'!$D$5:$D$594,MATCH($B1176,'Staff Directory'!$A$5:$A$594,0)),""))</f>
        <v>A7</v>
      </c>
      <c r="F1176" s="9" t="s">
        <v>127</v>
      </c>
      <c r="G1176" s="18" t="str">
        <f>IF($F1176="","",IFERROR(INDEX(Items!$B$5:$B$597,MATCH($F1176,Items!$A$5:$A$597,0)),"⚠ not in Items"))</f>
        <v>Gloves</v>
      </c>
      <c r="H1176" s="19" t="str">
        <f>IF($F1176="","",IFERROR(INDEX(Items!$C$5:$C$597,MATCH($F1176,Items!$A$5:$A$597,0)),""))</f>
        <v>Medium</v>
      </c>
      <c r="I1176" s="23">
        <f>IF($F1176="","",IFERROR(INDEX(Items!$E$5:$E$597,MATCH($F1176,Items!$A$5:$A$597,0)),""))</f>
        <v>500</v>
      </c>
      <c r="J1176" s="115">
        <f>IF(tblIssues[[#This Row],[Qty Override]]&lt;&gt;"",tblIssues[[#This Row],[Qty Override]],IF(tblIssues[[#This Row],[Standard Issue]]="","",tblIssues[[#This Row],[Standard Issue]]))</f>
        <v>500</v>
      </c>
      <c r="K1176" s="20">
        <f>IF($F1176="","",IFERROR(INDEX(Items!$D$5:$D$597,MATCH($F1176,Items!$A$5:$A$597,0)),""))</f>
        <v>5.5E-2</v>
      </c>
      <c r="L1176" s="21">
        <f t="shared" si="206"/>
        <v>27.5</v>
      </c>
      <c r="M1176" s="9" t="str">
        <f t="shared" si="204"/>
        <v>ZIM510137964</v>
      </c>
      <c r="N1176" s="24">
        <f>IF($A1176="","",WORKDAY($A1176,Settings!$C$9,HolidayDates))</f>
        <v>46191</v>
      </c>
      <c r="O1176" s="24">
        <f>IF($N1176="","",WORKDAY($N1176,Settings!$C$10,HolidayDates))</f>
        <v>46231</v>
      </c>
      <c r="P1176" s="10" t="s">
        <v>501</v>
      </c>
      <c r="Q1176" s="52" t="str">
        <f t="shared" si="207"/>
        <v>Collected</v>
      </c>
      <c r="R1176" s="55" t="str">
        <f t="shared" si="208"/>
        <v>2026-06</v>
      </c>
      <c r="S1176" s="55">
        <f>IF(OR($B1176="",$F1176="",$R1176=""),"",SUMIFS(tblIssues[Qty Issued],tblIssues[Staff ID],$B1176,tblIssues[Item Name],$F1176,tblIssues[Month],$R1176))</f>
        <v>500</v>
      </c>
      <c r="T1176" s="56">
        <f>IF($I1176="","",$I1176*Settings!$C$11)</f>
        <v>500</v>
      </c>
      <c r="U1176" s="57" t="str">
        <f t="shared" si="205"/>
        <v>OK</v>
      </c>
      <c r="V1176" s="55" t="str">
        <f t="shared" si="209"/>
        <v/>
      </c>
      <c r="W1176" s="55" t="str">
        <f>IF($V1176="","",IF(COUNTIF($V$5:$V1176,$V1176)=1,1,""))</f>
        <v/>
      </c>
      <c r="X1176" s="58" t="str">
        <f>IF($W1176="","",MAX($X$4:X1175)+1)</f>
        <v/>
      </c>
      <c r="Y1176" s="62"/>
      <c r="Z1176" s="62"/>
      <c r="AA1176" s="64" t="str">
        <f>IF($C1176="","",IFERROR(INDEX('Staff Directory'!$E$5:$E$594,MATCH($C1176,'Staff Directory'!$B$5:$B$594,0)),""))</f>
        <v>firstname095.lastname095@example.com</v>
      </c>
      <c r="AB1176" s="64" t="str">
        <f>IF($C1176="","",IF(ISNUMBER(SEARCH($D1176,Settings!$C$15)),"Pickup","Dispatch"))</f>
        <v>Pickup</v>
      </c>
      <c r="AC1176" s="64" t="str">
        <f t="shared" si="210"/>
        <v>Supply order ready for pickup</v>
      </c>
      <c r="AD1176" s="64" t="str">
        <f t="shared" si="201"/>
        <v>Dear PSW,
Your order is ready for pickup from Sample Branch, Wed-Fri 9am-4pm.</v>
      </c>
      <c r="AE1176" s="64" t="str">
        <f t="shared" si="202"/>
        <v>mailto:firstname095.lastname095@example.com?subject=Supply%20order%20ready%20for%20pickup&amp;body=Dear%20PSW%2C%0A%0AYour%20order%20is%20ready%20for%20pickup%20from%20Sample%20Branch%2C%20Wed-Fri%209am-4pm.</v>
      </c>
      <c r="AF1176" s="89" t="str">
        <f t="shared" si="211"/>
        <v>Draft email</v>
      </c>
      <c r="AG1176" s="64" t="str">
        <f>IF($C1176="","",IFERROR(INDEX('Staff Directory'!$K$595:$K$599,MATCH($C1176,'Staff Directory'!$B$5:$B$599,0)),$D1176))</f>
        <v>PSW</v>
      </c>
      <c r="AH1176" t="str">
        <f>IF($C1176="","",IFERROR(INDEX('Staff Directory'!$I$595:$I$599,MATCH($C1176,'Staff Directory'!$B$5:$B$599,0))&amp;" "&amp;INDEX('Staff Directory'!$J$595:$J$599,MATCH($C1176,'Staff Directory'!$B$5:$B$599,0)),$AG1176))</f>
        <v>PSW</v>
      </c>
      <c r="AI1176" s="102"/>
      <c r="AJ1176" s="101">
        <f>IF($F1176="","",SUMIFS($J$5:$J1176,$F$5:$F1176,$F1176))</f>
        <v>69000</v>
      </c>
      <c r="AK1176" s="101">
        <f t="shared" si="203"/>
        <v>68501</v>
      </c>
      <c r="AL1176" s="66" t="str" cm="1">
        <f t="array" ref="AL1176">IF($F1176="","",IFERROR(INDEX('Lot Balance'!$B$5:$B$500,MATCH(1,INDEX(('Lot Balance'!$A$5:$A$500=$F1176)*('Lot Balance'!$K$5:$K$500&lt;$AK1176)*('Lot Balance'!$K$5:$K$500+'Lot Balance'!$D$5:$D$500&gt;=$AK1176),0),0)),""))</f>
        <v>ZIM510137964</v>
      </c>
      <c r="AM1176" s="66" t="str" cm="1">
        <f t="array" ref="AM1176">IF($F1176="","",IFERROR(INDEX('Lot Balance'!$B$5:$B$500,MATCH(1,INDEX(('Lot Balance'!$A$5:$A$500=$F1176)*('Lot Balance'!$K$5:$K$500&lt;$AJ1176)*('Lot Balance'!$K$5:$K$500+'Lot Balance'!$D$5:$D$500&gt;=$AJ1176),0),0)),""))</f>
        <v>ZIM510137964</v>
      </c>
      <c r="AN1176" s="66" t="str">
        <f>IF($F1176="","",IF($AI1176&lt;&gt;"",IF(COUNTIFS('Lot Balance'!$A$5:$A$500,$F1176,'Lot Balance'!$B$5:$B$500,$AI1176)=0,"⚠ override is not a lot of this item",IF($AI1176=$AL1176,"Override = FEFO","Override - FEFO says "&amp;$AL1176)),IF($AL1176="","⚠ no receipt on file for this item",IF($AM1176&lt;&gt;$AL1176,"FEFO auto - split, also "&amp;$AM1176,"FEFO auto"))))</f>
        <v>FEFO auto</v>
      </c>
      <c r="AO1176" s="114"/>
    </row>
    <row r="1177" spans="1:41" x14ac:dyDescent="0.35">
      <c r="A1177" s="74">
        <v>46183</v>
      </c>
      <c r="B1177" s="18" t="str">
        <f>IF($C1177="","",IFERROR(INDEX('Staff Directory'!$A$5:$A$594,MATCH($C1177,'Staff Directory'!$B$5:$B$594,0)),"⚠ unknown staff"))</f>
        <v>PSW-036-A7</v>
      </c>
      <c r="C1177" s="49" t="s">
        <v>1011</v>
      </c>
      <c r="D1177" s="19" t="str">
        <f>IF($B1177="","",IFERROR(INDEX('Staff Directory'!$C$5:$C$594,MATCH($B1177,'Staff Directory'!$A$5:$A$594,0)),""))</f>
        <v>PSW</v>
      </c>
      <c r="E1177" s="19" t="str">
        <f>IF($B1177="","",IFERROR(INDEX('Staff Directory'!$D$5:$D$594,MATCH($B1177,'Staff Directory'!$A$5:$A$594,0)),""))</f>
        <v>A7</v>
      </c>
      <c r="F1177" s="9" t="s">
        <v>191</v>
      </c>
      <c r="G1177" s="18" t="str">
        <f>IF($F1177="","",IFERROR(INDEX(Items!$B$5:$B$597,MATCH($F1177,Items!$A$5:$A$597,0)),"⚠ not in Items"))</f>
        <v>Sanitizer</v>
      </c>
      <c r="H1177" s="19" t="str">
        <f>IF($F1177="","",IFERROR(INDEX(Items!$C$5:$C$597,MATCH($F1177,Items!$A$5:$A$597,0)),""))</f>
        <v>236 ML</v>
      </c>
      <c r="I1177" s="23">
        <f>IF($F1177="","",IFERROR(INDEX(Items!$E$5:$E$597,MATCH($F1177,Items!$A$5:$A$597,0)),""))</f>
        <v>1</v>
      </c>
      <c r="J1177" s="115">
        <f>IF(tblIssues[[#This Row],[Qty Override]]&lt;&gt;"",tblIssues[[#This Row],[Qty Override]],IF(tblIssues[[#This Row],[Standard Issue]]="","",tblIssues[[#This Row],[Standard Issue]]))</f>
        <v>1</v>
      </c>
      <c r="K1177" s="20">
        <f>IF($F1177="","",IFERROR(INDEX(Items!$D$5:$D$597,MATCH($F1177,Items!$A$5:$A$597,0)),""))</f>
        <v>1E-4</v>
      </c>
      <c r="L1177" s="21">
        <f t="shared" si="206"/>
        <v>1E-4</v>
      </c>
      <c r="M1177" s="9" t="str">
        <f t="shared" si="204"/>
        <v>20-21734-4</v>
      </c>
      <c r="N1177" s="24">
        <f>IF($A1177="","",WORKDAY($A1177,Settings!$C$9,HolidayDates))</f>
        <v>46191</v>
      </c>
      <c r="O1177" s="24">
        <f>IF($N1177="","",WORKDAY($N1177,Settings!$C$10,HolidayDates))</f>
        <v>46231</v>
      </c>
      <c r="P1177" s="10" t="s">
        <v>501</v>
      </c>
      <c r="Q1177" s="52" t="str">
        <f t="shared" si="207"/>
        <v>Collected</v>
      </c>
      <c r="R1177" s="55" t="str">
        <f t="shared" si="208"/>
        <v>2026-06</v>
      </c>
      <c r="S1177" s="55">
        <f>IF(OR($B1177="",$F1177="",$R1177=""),"",SUMIFS(tblIssues[Qty Issued],tblIssues[Staff ID],$B1177,tblIssues[Item Name],$F1177,tblIssues[Month],$R1177))</f>
        <v>1</v>
      </c>
      <c r="T1177" s="56">
        <f>IF($I1177="","",$I1177*Settings!$C$11)</f>
        <v>1</v>
      </c>
      <c r="U1177" s="57" t="str">
        <f t="shared" si="205"/>
        <v>OK</v>
      </c>
      <c r="V1177" s="55" t="str">
        <f t="shared" si="209"/>
        <v/>
      </c>
      <c r="W1177" s="55" t="str">
        <f>IF($V1177="","",IF(COUNTIF($V$5:$V1177,$V1177)=1,1,""))</f>
        <v/>
      </c>
      <c r="X1177" s="58" t="str">
        <f>IF($W1177="","",MAX($X$4:X1176)+1)</f>
        <v/>
      </c>
      <c r="Y1177" s="62"/>
      <c r="Z1177" s="62"/>
      <c r="AA1177" s="64" t="str">
        <f>IF($C1177="","",IFERROR(INDEX('Staff Directory'!$E$5:$E$594,MATCH($C1177,'Staff Directory'!$B$5:$B$594,0)),""))</f>
        <v>firstname095.lastname095@example.com</v>
      </c>
      <c r="AB1177" s="64" t="str">
        <f>IF($C1177="","",IF(ISNUMBER(SEARCH($D1177,Settings!$C$15)),"Pickup","Dispatch"))</f>
        <v>Pickup</v>
      </c>
      <c r="AC1177" s="64" t="str">
        <f t="shared" si="210"/>
        <v>Supply order ready for pickup</v>
      </c>
      <c r="AD1177" s="64" t="str">
        <f t="shared" si="201"/>
        <v>Dear PSW,
Your order is ready for pickup from Sample Branch, Wed-Fri 9am-4pm.</v>
      </c>
      <c r="AE1177" s="64" t="str">
        <f t="shared" si="202"/>
        <v>mailto:firstname095.lastname095@example.com?subject=Supply%20order%20ready%20for%20pickup&amp;body=Dear%20PSW%2C%0A%0AYour%20order%20is%20ready%20for%20pickup%20from%20Sample%20Branch%2C%20Wed-Fri%209am-4pm.</v>
      </c>
      <c r="AF1177" s="89" t="str">
        <f t="shared" si="211"/>
        <v>Draft email</v>
      </c>
      <c r="AG1177" s="64" t="str">
        <f>IF($C1177="","",IFERROR(INDEX('Staff Directory'!$K$595:$K$599,MATCH($C1177,'Staff Directory'!$B$5:$B$599,0)),$D1177))</f>
        <v>PSW</v>
      </c>
      <c r="AH1177" t="str">
        <f>IF($C1177="","",IFERROR(INDEX('Staff Directory'!$I$595:$I$599,MATCH($C1177,'Staff Directory'!$B$5:$B$599,0))&amp;" "&amp;INDEX('Staff Directory'!$J$595:$J$599,MATCH($C1177,'Staff Directory'!$B$5:$B$599,0)),$AG1177))</f>
        <v>PSW</v>
      </c>
      <c r="AI1177" s="102"/>
      <c r="AJ1177" s="101">
        <f>IF($F1177="","",SUMIFS($J$5:$J1177,$F$5:$F1177,$F1177))</f>
        <v>144</v>
      </c>
      <c r="AK1177" s="101">
        <f t="shared" si="203"/>
        <v>144</v>
      </c>
      <c r="AL1177" s="66" t="str" cm="1">
        <f t="array" ref="AL1177">IF($F1177="","",IFERROR(INDEX('Lot Balance'!$B$5:$B$500,MATCH(1,INDEX(('Lot Balance'!$A$5:$A$500=$F1177)*('Lot Balance'!$K$5:$K$500&lt;$AK1177)*('Lot Balance'!$K$5:$K$500+'Lot Balance'!$D$5:$D$500&gt;=$AK1177),0),0)),""))</f>
        <v>20-21734-4</v>
      </c>
      <c r="AM1177" s="66" t="str" cm="1">
        <f t="array" ref="AM1177">IF($F1177="","",IFERROR(INDEX('Lot Balance'!$B$5:$B$500,MATCH(1,INDEX(('Lot Balance'!$A$5:$A$500=$F1177)*('Lot Balance'!$K$5:$K$500&lt;$AJ1177)*('Lot Balance'!$K$5:$K$500+'Lot Balance'!$D$5:$D$500&gt;=$AJ1177),0),0)),""))</f>
        <v>20-21734-4</v>
      </c>
      <c r="AN1177" s="66" t="str">
        <f>IF($F1177="","",IF($AI1177&lt;&gt;"",IF(COUNTIFS('Lot Balance'!$A$5:$A$500,$F1177,'Lot Balance'!$B$5:$B$500,$AI1177)=0,"⚠ override is not a lot of this item",IF($AI1177=$AL1177,"Override = FEFO","Override - FEFO says "&amp;$AL1177)),IF($AL1177="","⚠ no receipt on file for this item",IF($AM1177&lt;&gt;$AL1177,"FEFO auto - split, also "&amp;$AM1177,"FEFO auto"))))</f>
        <v>FEFO auto</v>
      </c>
      <c r="AO1177" s="114"/>
    </row>
    <row r="1178" spans="1:41" x14ac:dyDescent="0.35">
      <c r="A1178" s="74">
        <v>46183</v>
      </c>
      <c r="B1178" s="18" t="str">
        <f>IF($C1178="","",IFERROR(INDEX('Staff Directory'!$A$5:$A$594,MATCH($C1178,'Staff Directory'!$B$5:$B$594,0)),"⚠ unknown staff"))</f>
        <v>PSW-036-A7</v>
      </c>
      <c r="C1178" s="49" t="s">
        <v>1011</v>
      </c>
      <c r="D1178" s="19" t="str">
        <f>IF($B1178="","",IFERROR(INDEX('Staff Directory'!$C$5:$C$594,MATCH($B1178,'Staff Directory'!$A$5:$A$594,0)),""))</f>
        <v>PSW</v>
      </c>
      <c r="E1178" s="19" t="str">
        <f>IF($B1178="","",IFERROR(INDEX('Staff Directory'!$D$5:$D$594,MATCH($B1178,'Staff Directory'!$A$5:$A$594,0)),""))</f>
        <v>A7</v>
      </c>
      <c r="F1178" s="9" t="s">
        <v>115</v>
      </c>
      <c r="G1178" s="18" t="str">
        <f>IF($F1178="","",IFERROR(INDEX(Items!$B$5:$B$597,MATCH($F1178,Items!$A$5:$A$597,0)),"⚠ not in Items"))</f>
        <v>Wipes</v>
      </c>
      <c r="H1178" s="19">
        <f>IF($F1178="","",IFERROR(INDEX(Items!$C$5:$C$597,MATCH($F1178,Items!$A$5:$A$597,0)),""))</f>
        <v>80</v>
      </c>
      <c r="I1178" s="23">
        <f>IF($F1178="","",IFERROR(INDEX(Items!$E$5:$E$597,MATCH($F1178,Items!$A$5:$A$597,0)),""))</f>
        <v>80</v>
      </c>
      <c r="J1178" s="115">
        <f>IF(tblIssues[[#This Row],[Qty Override]]&lt;&gt;"",tblIssues[[#This Row],[Qty Override]],IF(tblIssues[[#This Row],[Standard Issue]]="","",tblIssues[[#This Row],[Standard Issue]]))</f>
        <v>80</v>
      </c>
      <c r="K1178" s="20">
        <f>IF($F1178="","",IFERROR(INDEX(Items!$D$5:$D$597,MATCH($F1178,Items!$A$5:$A$597,0)),""))</f>
        <v>0.1</v>
      </c>
      <c r="L1178" s="21">
        <f t="shared" si="206"/>
        <v>8</v>
      </c>
      <c r="M1178" s="9" t="str">
        <f t="shared" si="204"/>
        <v>LYSL500290</v>
      </c>
      <c r="N1178" s="24">
        <f>IF($A1178="","",WORKDAY($A1178,Settings!$C$9,HolidayDates))</f>
        <v>46191</v>
      </c>
      <c r="O1178" s="24">
        <f>IF($N1178="","",WORKDAY($N1178,Settings!$C$10,HolidayDates))</f>
        <v>46231</v>
      </c>
      <c r="P1178" s="10" t="s">
        <v>501</v>
      </c>
      <c r="Q1178" s="52" t="str">
        <f t="shared" si="207"/>
        <v>Collected</v>
      </c>
      <c r="R1178" s="55" t="str">
        <f t="shared" si="208"/>
        <v>2026-06</v>
      </c>
      <c r="S1178" s="55">
        <f>IF(OR($B1178="",$F1178="",$R1178=""),"",SUMIFS(tblIssues[Qty Issued],tblIssues[Staff ID],$B1178,tblIssues[Item Name],$F1178,tblIssues[Month],$R1178))</f>
        <v>80</v>
      </c>
      <c r="T1178" s="56">
        <f>IF($I1178="","",$I1178*Settings!$C$11)</f>
        <v>80</v>
      </c>
      <c r="U1178" s="57" t="str">
        <f t="shared" si="205"/>
        <v>OK</v>
      </c>
      <c r="V1178" s="55" t="str">
        <f t="shared" si="209"/>
        <v/>
      </c>
      <c r="W1178" s="55" t="str">
        <f>IF($V1178="","",IF(COUNTIF($V$5:$V1178,$V1178)=1,1,""))</f>
        <v/>
      </c>
      <c r="X1178" s="58" t="str">
        <f>IF($W1178="","",MAX($X$4:X1177)+1)</f>
        <v/>
      </c>
      <c r="Y1178" s="62"/>
      <c r="Z1178" s="62"/>
      <c r="AA1178" s="64" t="str">
        <f>IF($C1178="","",IFERROR(INDEX('Staff Directory'!$E$5:$E$594,MATCH($C1178,'Staff Directory'!$B$5:$B$594,0)),""))</f>
        <v>firstname095.lastname095@example.com</v>
      </c>
      <c r="AB1178" s="64" t="str">
        <f>IF($C1178="","",IF(ISNUMBER(SEARCH($D1178,Settings!$C$15)),"Pickup","Dispatch"))</f>
        <v>Pickup</v>
      </c>
      <c r="AC1178" s="64" t="str">
        <f t="shared" si="210"/>
        <v>Supply order ready for pickup</v>
      </c>
      <c r="AD1178" s="64" t="str">
        <f t="shared" si="201"/>
        <v>Dear PSW,
Your order is ready for pickup from Sample Branch, Wed-Fri 9am-4pm.</v>
      </c>
      <c r="AE1178" s="64" t="str">
        <f t="shared" si="202"/>
        <v>mailto:firstname095.lastname095@example.com?subject=Supply%20order%20ready%20for%20pickup&amp;body=Dear%20PSW%2C%0A%0AYour%20order%20is%20ready%20for%20pickup%20from%20Sample%20Branch%2C%20Wed-Fri%209am-4pm.</v>
      </c>
      <c r="AF1178" s="89" t="str">
        <f t="shared" si="211"/>
        <v>Draft email</v>
      </c>
      <c r="AG1178" s="64" t="str">
        <f>IF($C1178="","",IFERROR(INDEX('Staff Directory'!$K$595:$K$599,MATCH($C1178,'Staff Directory'!$B$5:$B$599,0)),$D1178))</f>
        <v>PSW</v>
      </c>
      <c r="AH1178" t="str">
        <f>IF($C1178="","",IFERROR(INDEX('Staff Directory'!$I$595:$I$599,MATCH($C1178,'Staff Directory'!$B$5:$B$599,0))&amp;" "&amp;INDEX('Staff Directory'!$J$595:$J$599,MATCH($C1178,'Staff Directory'!$B$5:$B$599,0)),$AG1178))</f>
        <v>PSW</v>
      </c>
      <c r="AI1178" s="102"/>
      <c r="AJ1178" s="101">
        <f>IF($F1178="","",SUMIFS($J$5:$J1178,$F$5:$F1178,$F1178))</f>
        <v>16240</v>
      </c>
      <c r="AK1178" s="101">
        <f t="shared" si="203"/>
        <v>16161</v>
      </c>
      <c r="AL1178" s="66" t="str" cm="1">
        <f t="array" ref="AL1178">IF($F1178="","",IFERROR(INDEX('Lot Balance'!$B$5:$B$500,MATCH(1,INDEX(('Lot Balance'!$A$5:$A$500=$F1178)*('Lot Balance'!$K$5:$K$500&lt;$AK1178)*('Lot Balance'!$K$5:$K$500+'Lot Balance'!$D$5:$D$500&gt;=$AK1178),0),0)),""))</f>
        <v>LYSL500290</v>
      </c>
      <c r="AM1178" s="66" t="str" cm="1">
        <f t="array" ref="AM1178">IF($F1178="","",IFERROR(INDEX('Lot Balance'!$B$5:$B$500,MATCH(1,INDEX(('Lot Balance'!$A$5:$A$500=$F1178)*('Lot Balance'!$K$5:$K$500&lt;$AJ1178)*('Lot Balance'!$K$5:$K$500+'Lot Balance'!$D$5:$D$500&gt;=$AJ1178),0),0)),""))</f>
        <v>LYSL500290</v>
      </c>
      <c r="AN1178" s="66" t="str">
        <f>IF($F1178="","",IF($AI1178&lt;&gt;"",IF(COUNTIFS('Lot Balance'!$A$5:$A$500,$F1178,'Lot Balance'!$B$5:$B$500,$AI1178)=0,"⚠ override is not a lot of this item",IF($AI1178=$AL1178,"Override = FEFO","Override - FEFO says "&amp;$AL1178)),IF($AL1178="","⚠ no receipt on file for this item",IF($AM1178&lt;&gt;$AL1178,"FEFO auto - split, also "&amp;$AM1178,"FEFO auto"))))</f>
        <v>FEFO auto</v>
      </c>
      <c r="AO1178" s="114"/>
    </row>
    <row r="1179" spans="1:41" x14ac:dyDescent="0.35">
      <c r="A1179" s="74">
        <v>46183</v>
      </c>
      <c r="B1179" s="18" t="str">
        <f>IF($C1179="","",IFERROR(INDEX('Staff Directory'!$A$5:$A$594,MATCH($C1179,'Staff Directory'!$B$5:$B$594,0)),"⚠ unknown staff"))</f>
        <v>PSW-036-A7</v>
      </c>
      <c r="C1179" s="49" t="s">
        <v>1011</v>
      </c>
      <c r="D1179" s="19" t="str">
        <f>IF($B1179="","",IFERROR(INDEX('Staff Directory'!$C$5:$C$594,MATCH($B1179,'Staff Directory'!$A$5:$A$594,0)),""))</f>
        <v>PSW</v>
      </c>
      <c r="E1179" s="19" t="str">
        <f>IF($B1179="","",IFERROR(INDEX('Staff Directory'!$D$5:$D$594,MATCH($B1179,'Staff Directory'!$A$5:$A$594,0)),""))</f>
        <v>A7</v>
      </c>
      <c r="F1179" s="9" t="s">
        <v>156</v>
      </c>
      <c r="G1179" s="18" t="str">
        <f>IF($F1179="","",IFERROR(INDEX(Items!$B$5:$B$597,MATCH($F1179,Items!$A$5:$A$597,0)),"⚠ not in Items"))</f>
        <v>Masks</v>
      </c>
      <c r="H1179" s="19" t="str">
        <f>IF($F1179="","",IFERROR(INDEX(Items!$C$5:$C$597,MATCH($F1179,Items!$A$5:$A$597,0)),""))</f>
        <v>One Size</v>
      </c>
      <c r="I1179" s="23">
        <f>IF($F1179="","",IFERROR(INDEX(Items!$E$5:$E$597,MATCH($F1179,Items!$A$5:$A$597,0)),""))</f>
        <v>50</v>
      </c>
      <c r="J1179" s="115">
        <f>IF(tblIssues[[#This Row],[Qty Override]]&lt;&gt;"",tblIssues[[#This Row],[Qty Override]],IF(tblIssues[[#This Row],[Standard Issue]]="","",tblIssues[[#This Row],[Standard Issue]]))</f>
        <v>50</v>
      </c>
      <c r="K1179" s="20">
        <f>IF($F1179="","",IFERROR(INDEX(Items!$D$5:$D$597,MATCH($F1179,Items!$A$5:$A$597,0)),""))</f>
        <v>0.25</v>
      </c>
      <c r="L1179" s="21">
        <f t="shared" si="206"/>
        <v>12.5</v>
      </c>
      <c r="M1179" s="9" t="str">
        <f t="shared" si="204"/>
        <v>102GPC24</v>
      </c>
      <c r="N1179" s="24">
        <f>IF($A1179="","",WORKDAY($A1179,Settings!$C$9,HolidayDates))</f>
        <v>46191</v>
      </c>
      <c r="O1179" s="24">
        <f>IF($N1179="","",WORKDAY($N1179,Settings!$C$10,HolidayDates))</f>
        <v>46231</v>
      </c>
      <c r="P1179" s="10" t="s">
        <v>501</v>
      </c>
      <c r="Q1179" s="52" t="str">
        <f t="shared" si="207"/>
        <v>Collected</v>
      </c>
      <c r="R1179" s="55" t="str">
        <f t="shared" si="208"/>
        <v>2026-06</v>
      </c>
      <c r="S1179" s="55">
        <f>IF(OR($B1179="",$F1179="",$R1179=""),"",SUMIFS(tblIssues[Qty Issued],tblIssues[Staff ID],$B1179,tblIssues[Item Name],$F1179,tblIssues[Month],$R1179))</f>
        <v>50</v>
      </c>
      <c r="T1179" s="56">
        <f>IF($I1179="","",$I1179*Settings!$C$11)</f>
        <v>50</v>
      </c>
      <c r="U1179" s="57" t="str">
        <f t="shared" si="205"/>
        <v>OK</v>
      </c>
      <c r="V1179" s="55" t="str">
        <f t="shared" si="209"/>
        <v/>
      </c>
      <c r="W1179" s="55" t="str">
        <f>IF($V1179="","",IF(COUNTIF($V$5:$V1179,$V1179)=1,1,""))</f>
        <v/>
      </c>
      <c r="X1179" s="58" t="str">
        <f>IF($W1179="","",MAX($X$4:X1178)+1)</f>
        <v/>
      </c>
      <c r="Y1179" s="62"/>
      <c r="Z1179" s="62"/>
      <c r="AA1179" s="64" t="str">
        <f>IF($C1179="","",IFERROR(INDEX('Staff Directory'!$E$5:$E$594,MATCH($C1179,'Staff Directory'!$B$5:$B$594,0)),""))</f>
        <v>firstname095.lastname095@example.com</v>
      </c>
      <c r="AB1179" s="64" t="str">
        <f>IF($C1179="","",IF(ISNUMBER(SEARCH($D1179,Settings!$C$15)),"Pickup","Dispatch"))</f>
        <v>Pickup</v>
      </c>
      <c r="AC1179" s="64" t="str">
        <f t="shared" si="210"/>
        <v>Supply order ready for pickup</v>
      </c>
      <c r="AD1179" s="64" t="str">
        <f t="shared" si="201"/>
        <v>Dear PSW,
Your order is ready for pickup from Sample Branch, Wed-Fri 9am-4pm.</v>
      </c>
      <c r="AE1179" s="64" t="str">
        <f t="shared" si="202"/>
        <v>mailto:firstname095.lastname095@example.com?subject=Supply%20order%20ready%20for%20pickup&amp;body=Dear%20PSW%2C%0A%0AYour%20order%20is%20ready%20for%20pickup%20from%20Sample%20Branch%2C%20Wed-Fri%209am-4pm.</v>
      </c>
      <c r="AF1179" s="89" t="str">
        <f t="shared" si="211"/>
        <v>Draft email</v>
      </c>
      <c r="AG1179" s="64" t="str">
        <f>IF($C1179="","",IFERROR(INDEX('Staff Directory'!$K$595:$K$599,MATCH($C1179,'Staff Directory'!$B$5:$B$599,0)),$D1179))</f>
        <v>PSW</v>
      </c>
      <c r="AH1179" t="str">
        <f>IF($C1179="","",IFERROR(INDEX('Staff Directory'!$I$595:$I$599,MATCH($C1179,'Staff Directory'!$B$5:$B$599,0))&amp;" "&amp;INDEX('Staff Directory'!$J$595:$J$599,MATCH($C1179,'Staff Directory'!$B$5:$B$599,0)),$AG1179))</f>
        <v>PSW</v>
      </c>
      <c r="AI1179" s="102"/>
      <c r="AJ1179" s="101">
        <f>IF($F1179="","",SUMIFS($J$5:$J1179,$F$5:$F1179,$F1179))</f>
        <v>9800</v>
      </c>
      <c r="AK1179" s="101">
        <f t="shared" si="203"/>
        <v>9751</v>
      </c>
      <c r="AL1179" s="66" t="str" cm="1">
        <f t="array" ref="AL1179">IF($F1179="","",IFERROR(INDEX('Lot Balance'!$B$5:$B$500,MATCH(1,INDEX(('Lot Balance'!$A$5:$A$500=$F1179)*('Lot Balance'!$K$5:$K$500&lt;$AK1179)*('Lot Balance'!$K$5:$K$500+'Lot Balance'!$D$5:$D$500&gt;=$AK1179),0),0)),""))</f>
        <v>102GPC24</v>
      </c>
      <c r="AM1179" s="66" t="str" cm="1">
        <f t="array" ref="AM1179">IF($F1179="","",IFERROR(INDEX('Lot Balance'!$B$5:$B$500,MATCH(1,INDEX(('Lot Balance'!$A$5:$A$500=$F1179)*('Lot Balance'!$K$5:$K$500&lt;$AJ1179)*('Lot Balance'!$K$5:$K$500+'Lot Balance'!$D$5:$D$500&gt;=$AJ1179),0),0)),""))</f>
        <v>102GPC24</v>
      </c>
      <c r="AN1179" s="66" t="str">
        <f>IF($F1179="","",IF($AI1179&lt;&gt;"",IF(COUNTIFS('Lot Balance'!$A$5:$A$500,$F1179,'Lot Balance'!$B$5:$B$500,$AI1179)=0,"⚠ override is not a lot of this item",IF($AI1179=$AL1179,"Override = FEFO","Override - FEFO says "&amp;$AL1179)),IF($AL1179="","⚠ no receipt on file for this item",IF($AM1179&lt;&gt;$AL1179,"FEFO auto - split, also "&amp;$AM1179,"FEFO auto"))))</f>
        <v>FEFO auto</v>
      </c>
      <c r="AO1179" s="114"/>
    </row>
    <row r="1180" spans="1:41" x14ac:dyDescent="0.35">
      <c r="A1180" s="74">
        <v>46183</v>
      </c>
      <c r="B1180" s="18" t="str">
        <f>IF($C1180="","",IFERROR(INDEX('Staff Directory'!$A$5:$A$594,MATCH($C1180,'Staff Directory'!$B$5:$B$594,0)),"⚠ unknown staff"))</f>
        <v>TL/RPN-002-A9</v>
      </c>
      <c r="C1180" s="49" t="s">
        <v>1065</v>
      </c>
      <c r="D1180" s="19" t="str">
        <f>IF($B1180="","",IFERROR(INDEX('Staff Directory'!$C$5:$C$594,MATCH($B1180,'Staff Directory'!$A$5:$A$594,0)),""))</f>
        <v>TL/RPN</v>
      </c>
      <c r="E1180" s="19" t="str">
        <f>IF($B1180="","",IFERROR(INDEX('Staff Directory'!$D$5:$D$594,MATCH($B1180,'Staff Directory'!$A$5:$A$594,0)),""))</f>
        <v>A9</v>
      </c>
      <c r="F1180" s="9" t="s">
        <v>756</v>
      </c>
      <c r="G1180" s="18" t="str">
        <f>IF($F1180="","",IFERROR(INDEX(Items!$B$5:$B$597,MATCH($F1180,Items!$A$5:$A$597,0)),"⚠ not in Items"))</f>
        <v>Documents</v>
      </c>
      <c r="H1180" s="19" t="str">
        <f>IF($F1180="","",IFERROR(INDEX(Items!$C$5:$C$597,MATCH($F1180,Items!$A$5:$A$597,0)),""))</f>
        <v>Standard</v>
      </c>
      <c r="I1180" s="23">
        <f>IF($F1180="","",IFERROR(INDEX(Items!$E$5:$E$597,MATCH($F1180,Items!$A$5:$A$597,0)),""))</f>
        <v>10</v>
      </c>
      <c r="J1180" s="115">
        <f>IF(tblIssues[[#This Row],[Qty Override]]&lt;&gt;"",tblIssues[[#This Row],[Qty Override]],IF(tblIssues[[#This Row],[Standard Issue]]="","",tblIssues[[#This Row],[Standard Issue]]))</f>
        <v>10</v>
      </c>
      <c r="K1180" s="20">
        <f>IF($F1180="","",IFERROR(INDEX(Items!$D$5:$D$597,MATCH($F1180,Items!$A$5:$A$597,0)),""))</f>
        <v>0</v>
      </c>
      <c r="L1180" s="21">
        <f t="shared" si="206"/>
        <v>0</v>
      </c>
      <c r="M1180" s="9" t="str">
        <f t="shared" si="204"/>
        <v/>
      </c>
      <c r="N1180" s="24">
        <f>IF($A1180="","",WORKDAY($A1180,Settings!$C$9,HolidayDates))</f>
        <v>46191</v>
      </c>
      <c r="O1180" s="24">
        <f>IF($N1180="","",WORKDAY($N1180,Settings!$C$10,HolidayDates))</f>
        <v>46231</v>
      </c>
      <c r="P1180" s="10" t="s">
        <v>751</v>
      </c>
      <c r="Q1180" s="52" t="str">
        <f t="shared" si="207"/>
        <v>Collected</v>
      </c>
      <c r="R1180" s="55" t="str">
        <f t="shared" si="208"/>
        <v>2026-06</v>
      </c>
      <c r="S1180" s="55">
        <f>IF(OR($B1180="",$F1180="",$R1180=""),"",SUMIFS(tblIssues[Qty Issued],tblIssues[Staff ID],$B1180,tblIssues[Item Name],$F1180,tblIssues[Month],$R1180))</f>
        <v>10</v>
      </c>
      <c r="T1180" s="56">
        <f>IF($I1180="","",$I1180*Settings!$C$11)</f>
        <v>10</v>
      </c>
      <c r="U1180" s="57" t="str">
        <f t="shared" si="205"/>
        <v>OK</v>
      </c>
      <c r="V1180" s="55" t="str">
        <f t="shared" si="209"/>
        <v/>
      </c>
      <c r="W1180" s="55" t="str">
        <f>IF($V1180="","",IF(COUNTIF($V$5:$V1180,$V1180)=1,1,""))</f>
        <v/>
      </c>
      <c r="X1180" s="58" t="str">
        <f>IF($W1180="","",MAX($X$4:X1179)+1)</f>
        <v/>
      </c>
      <c r="Y1180" s="62"/>
      <c r="Z1180" s="62"/>
      <c r="AA1180" s="64" t="str">
        <f>IF($C1180="","",IFERROR(INDEX('Staff Directory'!$E$5:$E$594,MATCH($C1180,'Staff Directory'!$B$5:$B$594,0)),""))</f>
        <v>firstname149.lastname149@example.com</v>
      </c>
      <c r="AB1180" s="64" t="str">
        <f>IF($C1180="","",IF(ISNUMBER(SEARCH($D1180,Settings!$C$15)),"Pickup","Dispatch"))</f>
        <v>Dispatch</v>
      </c>
      <c r="AC1180" s="64" t="str">
        <f t="shared" si="210"/>
        <v>Supply order dispatched</v>
      </c>
      <c r="AD1180" s="64" t="str">
        <f t="shared" si="201"/>
        <v>Dear TL/RPN,
Your order has been dispatched and is in transit. Reply if undelivered.</v>
      </c>
      <c r="AE1180" s="64" t="str">
        <f t="shared" si="202"/>
        <v>mailto:firstname149.lastname149@example.com?subject=Supply%20order%20dispatched&amp;body=Dear%20TL%2FRPN%2C%0A%0AYour%20order%20has%20been%20dispatched%20and%20is%20in%20transit.%20Reply%20if%20undelivered.</v>
      </c>
      <c r="AF1180" s="89" t="str">
        <f t="shared" si="211"/>
        <v>Draft email</v>
      </c>
      <c r="AG1180" s="64" t="str">
        <f>IF($C1180="","",IFERROR(INDEX('Staff Directory'!$K$595:$K$599,MATCH($C1180,'Staff Directory'!$B$5:$B$599,0)),$D1180))</f>
        <v>TL/RPN</v>
      </c>
      <c r="AH1180" t="str">
        <f>IF($C1180="","",IFERROR(INDEX('Staff Directory'!$I$595:$I$599,MATCH($C1180,'Staff Directory'!$B$5:$B$599,0))&amp;" "&amp;INDEX('Staff Directory'!$J$595:$J$599,MATCH($C1180,'Staff Directory'!$B$5:$B$599,0)),$AG1180))</f>
        <v>TL/RPN</v>
      </c>
      <c r="AI1180" s="102"/>
      <c r="AJ1180" s="101">
        <f>IF($F1180="","",SUMIFS($J$5:$J1180,$F$5:$F1180,$F1180))</f>
        <v>20</v>
      </c>
      <c r="AK1180" s="101">
        <f t="shared" si="203"/>
        <v>11</v>
      </c>
      <c r="AL1180" s="66" t="str" cm="1">
        <f t="array" ref="AL1180">IF($F1180="","",IFERROR(INDEX('Lot Balance'!$B$5:$B$500,MATCH(1,INDEX(('Lot Balance'!$A$5:$A$500=$F1180)*('Lot Balance'!$K$5:$K$500&lt;$AK1180)*('Lot Balance'!$K$5:$K$500+'Lot Balance'!$D$5:$D$500&gt;=$AK1180),0),0)),""))</f>
        <v/>
      </c>
      <c r="AM1180" s="66" t="str" cm="1">
        <f t="array" ref="AM1180">IF($F1180="","",IFERROR(INDEX('Lot Balance'!$B$5:$B$500,MATCH(1,INDEX(('Lot Balance'!$A$5:$A$500=$F1180)*('Lot Balance'!$K$5:$K$500&lt;$AJ1180)*('Lot Balance'!$K$5:$K$500+'Lot Balance'!$D$5:$D$500&gt;=$AJ1180),0),0)),""))</f>
        <v/>
      </c>
      <c r="AN1180" s="66" t="str">
        <f>IF($F1180="","",IF($AI1180&lt;&gt;"",IF(COUNTIFS('Lot Balance'!$A$5:$A$500,$F1180,'Lot Balance'!$B$5:$B$500,$AI1180)=0,"⚠ override is not a lot of this item",IF($AI1180=$AL1180,"Override = FEFO","Override - FEFO says "&amp;$AL1180)),IF($AL1180="","⚠ no receipt on file for this item",IF($AM1180&lt;&gt;$AL1180,"FEFO auto - split, also "&amp;$AM1180,"FEFO auto"))))</f>
        <v>⚠ no receipt on file for this item</v>
      </c>
      <c r="AO1180" s="114"/>
    </row>
    <row r="1181" spans="1:41" x14ac:dyDescent="0.35">
      <c r="A1181" s="74">
        <v>46185</v>
      </c>
      <c r="B1181" s="18" t="str">
        <f>IF($C1181="","",IFERROR(INDEX('Staff Directory'!$A$5:$A$594,MATCH($C1181,'Staff Directory'!$B$5:$B$594,0)),"⚠ unknown staff"))</f>
        <v>PSW-098-A4</v>
      </c>
      <c r="C1181" s="49" t="s">
        <v>1076</v>
      </c>
      <c r="D1181" s="19" t="str">
        <f>IF($B1181="","",IFERROR(INDEX('Staff Directory'!$C$5:$C$594,MATCH($B1181,'Staff Directory'!$A$5:$A$594,0)),""))</f>
        <v>PSW</v>
      </c>
      <c r="E1181" s="19" t="str">
        <f>IF($B1181="","",IFERROR(INDEX('Staff Directory'!$D$5:$D$594,MATCH($B1181,'Staff Directory'!$A$5:$A$594,0)),""))</f>
        <v>A4</v>
      </c>
      <c r="F1181" s="9" t="s">
        <v>127</v>
      </c>
      <c r="G1181" s="18" t="str">
        <f>IF($F1181="","",IFERROR(INDEX(Items!$B$5:$B$597,MATCH($F1181,Items!$A$5:$A$597,0)),"⚠ not in Items"))</f>
        <v>Gloves</v>
      </c>
      <c r="H1181" s="19" t="str">
        <f>IF($F1181="","",IFERROR(INDEX(Items!$C$5:$C$597,MATCH($F1181,Items!$A$5:$A$597,0)),""))</f>
        <v>Medium</v>
      </c>
      <c r="I1181" s="23">
        <f>IF($F1181="","",IFERROR(INDEX(Items!$E$5:$E$597,MATCH($F1181,Items!$A$5:$A$597,0)),""))</f>
        <v>500</v>
      </c>
      <c r="J1181" s="115">
        <f>IF(tblIssues[[#This Row],[Qty Override]]&lt;&gt;"",tblIssues[[#This Row],[Qty Override]],IF(tblIssues[[#This Row],[Standard Issue]]="","",tblIssues[[#This Row],[Standard Issue]]))</f>
        <v>500</v>
      </c>
      <c r="K1181" s="20">
        <f>IF($F1181="","",IFERROR(INDEX(Items!$D$5:$D$597,MATCH($F1181,Items!$A$5:$A$597,0)),""))</f>
        <v>5.5E-2</v>
      </c>
      <c r="L1181" s="21">
        <f t="shared" si="206"/>
        <v>27.5</v>
      </c>
      <c r="M1181" s="9" t="str">
        <f t="shared" si="204"/>
        <v>ZIM510137964</v>
      </c>
      <c r="N1181" s="24">
        <f>IF($A1181="","",WORKDAY($A1181,Settings!$C$9,HolidayDates))</f>
        <v>46195</v>
      </c>
      <c r="O1181" s="24">
        <f>IF($N1181="","",WORKDAY($N1181,Settings!$C$10,HolidayDates))</f>
        <v>46233</v>
      </c>
      <c r="P1181" s="10" t="s">
        <v>501</v>
      </c>
      <c r="Q1181" s="52" t="str">
        <f t="shared" si="207"/>
        <v>Collected</v>
      </c>
      <c r="R1181" s="55" t="str">
        <f t="shared" si="208"/>
        <v>2026-06</v>
      </c>
      <c r="S1181" s="55">
        <f>IF(OR($B1181="",$F1181="",$R1181=""),"",SUMIFS(tblIssues[Qty Issued],tblIssues[Staff ID],$B1181,tblIssues[Item Name],$F1181,tblIssues[Month],$R1181))</f>
        <v>500</v>
      </c>
      <c r="T1181" s="56">
        <f>IF($I1181="","",$I1181*Settings!$C$11)</f>
        <v>500</v>
      </c>
      <c r="U1181" s="57" t="str">
        <f t="shared" si="205"/>
        <v>OK</v>
      </c>
      <c r="V1181" s="55" t="str">
        <f t="shared" si="209"/>
        <v/>
      </c>
      <c r="W1181" s="55" t="str">
        <f>IF($V1181="","",IF(COUNTIF($V$5:$V1181,$V1181)=1,1,""))</f>
        <v/>
      </c>
      <c r="X1181" s="58" t="str">
        <f>IF($W1181="","",MAX($X$4:X1180)+1)</f>
        <v/>
      </c>
      <c r="Y1181" s="62"/>
      <c r="Z1181" s="62"/>
      <c r="AA1181" s="64" t="str">
        <f>IF($C1181="","",IFERROR(INDEX('Staff Directory'!$E$5:$E$594,MATCH($C1181,'Staff Directory'!$B$5:$B$594,0)),""))</f>
        <v>firstname160.lastname160@example.com</v>
      </c>
      <c r="AB1181" s="64" t="str">
        <f>IF($C1181="","",IF(ISNUMBER(SEARCH($D1181,Settings!$C$15)),"Pickup","Dispatch"))</f>
        <v>Pickup</v>
      </c>
      <c r="AC1181" s="64" t="str">
        <f t="shared" si="210"/>
        <v>Supply order ready for pickup</v>
      </c>
      <c r="AD1181" s="64" t="str">
        <f t="shared" si="201"/>
        <v>Dear PSW,
Your order is ready for pickup from Sample Branch, Wed-Fri 9am-4pm.</v>
      </c>
      <c r="AE1181" s="64" t="str">
        <f t="shared" si="202"/>
        <v>mailto:firstname160.lastname160@example.com?subject=Supply%20order%20ready%20for%20pickup&amp;body=Dear%20PSW%2C%0A%0AYour%20order%20is%20ready%20for%20pickup%20from%20Sample%20Branch%2C%20Wed-Fri%209am-4pm.</v>
      </c>
      <c r="AF1181" s="89" t="str">
        <f t="shared" si="211"/>
        <v>Draft email</v>
      </c>
      <c r="AG1181" s="64" t="str">
        <f>IF($C1181="","",IFERROR(INDEX('Staff Directory'!$K$595:$K$599,MATCH($C1181,'Staff Directory'!$B$5:$B$599,0)),$D1181))</f>
        <v>PSW</v>
      </c>
      <c r="AH1181" t="str">
        <f>IF($C1181="","",IFERROR(INDEX('Staff Directory'!$I$595:$I$599,MATCH($C1181,'Staff Directory'!$B$5:$B$599,0))&amp;" "&amp;INDEX('Staff Directory'!$J$595:$J$599,MATCH($C1181,'Staff Directory'!$B$5:$B$599,0)),$AG1181))</f>
        <v>PSW</v>
      </c>
      <c r="AI1181" s="102"/>
      <c r="AJ1181" s="101">
        <f>IF($F1181="","",SUMIFS($J$5:$J1181,$F$5:$F1181,$F1181))</f>
        <v>69500</v>
      </c>
      <c r="AK1181" s="101">
        <f t="shared" si="203"/>
        <v>69001</v>
      </c>
      <c r="AL1181" s="66" t="str" cm="1">
        <f t="array" ref="AL1181">IF($F1181="","",IFERROR(INDEX('Lot Balance'!$B$5:$B$500,MATCH(1,INDEX(('Lot Balance'!$A$5:$A$500=$F1181)*('Lot Balance'!$K$5:$K$500&lt;$AK1181)*('Lot Balance'!$K$5:$K$500+'Lot Balance'!$D$5:$D$500&gt;=$AK1181),0),0)),""))</f>
        <v>ZIM510137964</v>
      </c>
      <c r="AM1181" s="66" t="str" cm="1">
        <f t="array" ref="AM1181">IF($F1181="","",IFERROR(INDEX('Lot Balance'!$B$5:$B$500,MATCH(1,INDEX(('Lot Balance'!$A$5:$A$500=$F1181)*('Lot Balance'!$K$5:$K$500&lt;$AJ1181)*('Lot Balance'!$K$5:$K$500+'Lot Balance'!$D$5:$D$500&gt;=$AJ1181),0),0)),""))</f>
        <v>ZIM510137964</v>
      </c>
      <c r="AN1181" s="66" t="str">
        <f>IF($F1181="","",IF($AI1181&lt;&gt;"",IF(COUNTIFS('Lot Balance'!$A$5:$A$500,$F1181,'Lot Balance'!$B$5:$B$500,$AI1181)=0,"⚠ override is not a lot of this item",IF($AI1181=$AL1181,"Override = FEFO","Override - FEFO says "&amp;$AL1181)),IF($AL1181="","⚠ no receipt on file for this item",IF($AM1181&lt;&gt;$AL1181,"FEFO auto - split, also "&amp;$AM1181,"FEFO auto"))))</f>
        <v>FEFO auto</v>
      </c>
      <c r="AO1181" s="114"/>
    </row>
    <row r="1182" spans="1:41" x14ac:dyDescent="0.35">
      <c r="A1182" s="74">
        <v>46185</v>
      </c>
      <c r="B1182" s="18" t="str">
        <f>IF($C1182="","",IFERROR(INDEX('Staff Directory'!$A$5:$A$594,MATCH($C1182,'Staff Directory'!$B$5:$B$594,0)),"⚠ unknown staff"))</f>
        <v>PSW-098-A4</v>
      </c>
      <c r="C1182" s="49" t="s">
        <v>1076</v>
      </c>
      <c r="D1182" s="19" t="str">
        <f>IF($B1182="","",IFERROR(INDEX('Staff Directory'!$C$5:$C$594,MATCH($B1182,'Staff Directory'!$A$5:$A$594,0)),""))</f>
        <v>PSW</v>
      </c>
      <c r="E1182" s="19" t="str">
        <f>IF($B1182="","",IFERROR(INDEX('Staff Directory'!$D$5:$D$594,MATCH($B1182,'Staff Directory'!$A$5:$A$594,0)),""))</f>
        <v>A4</v>
      </c>
      <c r="F1182" s="9" t="s">
        <v>191</v>
      </c>
      <c r="G1182" s="18" t="str">
        <f>IF($F1182="","",IFERROR(INDEX(Items!$B$5:$B$597,MATCH($F1182,Items!$A$5:$A$597,0)),"⚠ not in Items"))</f>
        <v>Sanitizer</v>
      </c>
      <c r="H1182" s="19" t="str">
        <f>IF($F1182="","",IFERROR(INDEX(Items!$C$5:$C$597,MATCH($F1182,Items!$A$5:$A$597,0)),""))</f>
        <v>236 ML</v>
      </c>
      <c r="I1182" s="23">
        <f>IF($F1182="","",IFERROR(INDEX(Items!$E$5:$E$597,MATCH($F1182,Items!$A$5:$A$597,0)),""))</f>
        <v>1</v>
      </c>
      <c r="J1182" s="115">
        <f>IF(tblIssues[[#This Row],[Qty Override]]&lt;&gt;"",tblIssues[[#This Row],[Qty Override]],IF(tblIssues[[#This Row],[Standard Issue]]="","",tblIssues[[#This Row],[Standard Issue]]))</f>
        <v>1</v>
      </c>
      <c r="K1182" s="20">
        <f>IF($F1182="","",IFERROR(INDEX(Items!$D$5:$D$597,MATCH($F1182,Items!$A$5:$A$597,0)),""))</f>
        <v>1E-4</v>
      </c>
      <c r="L1182" s="21">
        <f t="shared" si="206"/>
        <v>1E-4</v>
      </c>
      <c r="M1182" s="9" t="str">
        <f t="shared" si="204"/>
        <v>20-21734-4</v>
      </c>
      <c r="N1182" s="24">
        <f>IF($A1182="","",WORKDAY($A1182,Settings!$C$9,HolidayDates))</f>
        <v>46195</v>
      </c>
      <c r="O1182" s="24">
        <f>IF($N1182="","",WORKDAY($N1182,Settings!$C$10,HolidayDates))</f>
        <v>46233</v>
      </c>
      <c r="P1182" s="10" t="s">
        <v>501</v>
      </c>
      <c r="Q1182" s="52" t="str">
        <f t="shared" si="207"/>
        <v>Collected</v>
      </c>
      <c r="R1182" s="55" t="str">
        <f t="shared" si="208"/>
        <v>2026-06</v>
      </c>
      <c r="S1182" s="55">
        <f>IF(OR($B1182="",$F1182="",$R1182=""),"",SUMIFS(tblIssues[Qty Issued],tblIssues[Staff ID],$B1182,tblIssues[Item Name],$F1182,tblIssues[Month],$R1182))</f>
        <v>1</v>
      </c>
      <c r="T1182" s="56">
        <f>IF($I1182="","",$I1182*Settings!$C$11)</f>
        <v>1</v>
      </c>
      <c r="U1182" s="57" t="str">
        <f t="shared" si="205"/>
        <v>OK</v>
      </c>
      <c r="V1182" s="55" t="str">
        <f t="shared" si="209"/>
        <v/>
      </c>
      <c r="W1182" s="55" t="str">
        <f>IF($V1182="","",IF(COUNTIF($V$5:$V1182,$V1182)=1,1,""))</f>
        <v/>
      </c>
      <c r="X1182" s="58" t="str">
        <f>IF($W1182="","",MAX($X$4:X1181)+1)</f>
        <v/>
      </c>
      <c r="Y1182" s="62"/>
      <c r="Z1182" s="62"/>
      <c r="AA1182" s="64" t="str">
        <f>IF($C1182="","",IFERROR(INDEX('Staff Directory'!$E$5:$E$594,MATCH($C1182,'Staff Directory'!$B$5:$B$594,0)),""))</f>
        <v>firstname160.lastname160@example.com</v>
      </c>
      <c r="AB1182" s="64" t="str">
        <f>IF($C1182="","",IF(ISNUMBER(SEARCH($D1182,Settings!$C$15)),"Pickup","Dispatch"))</f>
        <v>Pickup</v>
      </c>
      <c r="AC1182" s="64" t="str">
        <f t="shared" si="210"/>
        <v>Supply order ready for pickup</v>
      </c>
      <c r="AD1182" s="64" t="str">
        <f t="shared" si="201"/>
        <v>Dear PSW,
Your order is ready for pickup from Sample Branch, Wed-Fri 9am-4pm.</v>
      </c>
      <c r="AE1182" s="64" t="str">
        <f t="shared" si="202"/>
        <v>mailto:firstname160.lastname160@example.com?subject=Supply%20order%20ready%20for%20pickup&amp;body=Dear%20PSW%2C%0A%0AYour%20order%20is%20ready%20for%20pickup%20from%20Sample%20Branch%2C%20Wed-Fri%209am-4pm.</v>
      </c>
      <c r="AF1182" s="89" t="str">
        <f t="shared" si="211"/>
        <v>Draft email</v>
      </c>
      <c r="AG1182" s="64" t="str">
        <f>IF($C1182="","",IFERROR(INDEX('Staff Directory'!$K$595:$K$599,MATCH($C1182,'Staff Directory'!$B$5:$B$599,0)),$D1182))</f>
        <v>PSW</v>
      </c>
      <c r="AH1182" t="str">
        <f>IF($C1182="","",IFERROR(INDEX('Staff Directory'!$I$595:$I$599,MATCH($C1182,'Staff Directory'!$B$5:$B$599,0))&amp;" "&amp;INDEX('Staff Directory'!$J$595:$J$599,MATCH($C1182,'Staff Directory'!$B$5:$B$599,0)),$AG1182))</f>
        <v>PSW</v>
      </c>
      <c r="AI1182" s="102"/>
      <c r="AJ1182" s="101">
        <f>IF($F1182="","",SUMIFS($J$5:$J1182,$F$5:$F1182,$F1182))</f>
        <v>145</v>
      </c>
      <c r="AK1182" s="101">
        <f t="shared" si="203"/>
        <v>145</v>
      </c>
      <c r="AL1182" s="66" t="str" cm="1">
        <f t="array" ref="AL1182">IF($F1182="","",IFERROR(INDEX('Lot Balance'!$B$5:$B$500,MATCH(1,INDEX(('Lot Balance'!$A$5:$A$500=$F1182)*('Lot Balance'!$K$5:$K$500&lt;$AK1182)*('Lot Balance'!$K$5:$K$500+'Lot Balance'!$D$5:$D$500&gt;=$AK1182),0),0)),""))</f>
        <v>20-21734-4</v>
      </c>
      <c r="AM1182" s="66" t="str" cm="1">
        <f t="array" ref="AM1182">IF($F1182="","",IFERROR(INDEX('Lot Balance'!$B$5:$B$500,MATCH(1,INDEX(('Lot Balance'!$A$5:$A$500=$F1182)*('Lot Balance'!$K$5:$K$500&lt;$AJ1182)*('Lot Balance'!$K$5:$K$500+'Lot Balance'!$D$5:$D$500&gt;=$AJ1182),0),0)),""))</f>
        <v>20-21734-4</v>
      </c>
      <c r="AN1182" s="66" t="str">
        <f>IF($F1182="","",IF($AI1182&lt;&gt;"",IF(COUNTIFS('Lot Balance'!$A$5:$A$500,$F1182,'Lot Balance'!$B$5:$B$500,$AI1182)=0,"⚠ override is not a lot of this item",IF($AI1182=$AL1182,"Override = FEFO","Override - FEFO says "&amp;$AL1182)),IF($AL1182="","⚠ no receipt on file for this item",IF($AM1182&lt;&gt;$AL1182,"FEFO auto - split, also "&amp;$AM1182,"FEFO auto"))))</f>
        <v>FEFO auto</v>
      </c>
      <c r="AO1182" s="114"/>
    </row>
    <row r="1183" spans="1:41" x14ac:dyDescent="0.35">
      <c r="A1183" s="74">
        <v>46185</v>
      </c>
      <c r="B1183" s="18" t="str">
        <f>IF($C1183="","",IFERROR(INDEX('Staff Directory'!$A$5:$A$594,MATCH($C1183,'Staff Directory'!$B$5:$B$594,0)),"⚠ unknown staff"))</f>
        <v>PSW-098-A4</v>
      </c>
      <c r="C1183" s="49" t="s">
        <v>1076</v>
      </c>
      <c r="D1183" s="19" t="str">
        <f>IF($B1183="","",IFERROR(INDEX('Staff Directory'!$C$5:$C$594,MATCH($B1183,'Staff Directory'!$A$5:$A$594,0)),""))</f>
        <v>PSW</v>
      </c>
      <c r="E1183" s="19" t="str">
        <f>IF($B1183="","",IFERROR(INDEX('Staff Directory'!$D$5:$D$594,MATCH($B1183,'Staff Directory'!$A$5:$A$594,0)),""))</f>
        <v>A4</v>
      </c>
      <c r="F1183" s="9" t="s">
        <v>115</v>
      </c>
      <c r="G1183" s="18" t="str">
        <f>IF($F1183="","",IFERROR(INDEX(Items!$B$5:$B$597,MATCH($F1183,Items!$A$5:$A$597,0)),"⚠ not in Items"))</f>
        <v>Wipes</v>
      </c>
      <c r="H1183" s="19">
        <f>IF($F1183="","",IFERROR(INDEX(Items!$C$5:$C$597,MATCH($F1183,Items!$A$5:$A$597,0)),""))</f>
        <v>80</v>
      </c>
      <c r="I1183" s="23">
        <f>IF($F1183="","",IFERROR(INDEX(Items!$E$5:$E$597,MATCH($F1183,Items!$A$5:$A$597,0)),""))</f>
        <v>80</v>
      </c>
      <c r="J1183" s="115">
        <f>IF(tblIssues[[#This Row],[Qty Override]]&lt;&gt;"",tblIssues[[#This Row],[Qty Override]],IF(tblIssues[[#This Row],[Standard Issue]]="","",tblIssues[[#This Row],[Standard Issue]]))</f>
        <v>80</v>
      </c>
      <c r="K1183" s="20">
        <f>IF($F1183="","",IFERROR(INDEX(Items!$D$5:$D$597,MATCH($F1183,Items!$A$5:$A$597,0)),""))</f>
        <v>0.1</v>
      </c>
      <c r="L1183" s="21">
        <f t="shared" si="206"/>
        <v>8</v>
      </c>
      <c r="M1183" s="9" t="str">
        <f t="shared" si="204"/>
        <v>LYSL500290</v>
      </c>
      <c r="N1183" s="24">
        <f>IF($A1183="","",WORKDAY($A1183,Settings!$C$9,HolidayDates))</f>
        <v>46195</v>
      </c>
      <c r="O1183" s="24">
        <f>IF($N1183="","",WORKDAY($N1183,Settings!$C$10,HolidayDates))</f>
        <v>46233</v>
      </c>
      <c r="P1183" s="10" t="s">
        <v>501</v>
      </c>
      <c r="Q1183" s="52" t="str">
        <f t="shared" si="207"/>
        <v>Collected</v>
      </c>
      <c r="R1183" s="55" t="str">
        <f t="shared" si="208"/>
        <v>2026-06</v>
      </c>
      <c r="S1183" s="55">
        <f>IF(OR($B1183="",$F1183="",$R1183=""),"",SUMIFS(tblIssues[Qty Issued],tblIssues[Staff ID],$B1183,tblIssues[Item Name],$F1183,tblIssues[Month],$R1183))</f>
        <v>80</v>
      </c>
      <c r="T1183" s="56">
        <f>IF($I1183="","",$I1183*Settings!$C$11)</f>
        <v>80</v>
      </c>
      <c r="U1183" s="57" t="str">
        <f t="shared" si="205"/>
        <v>OK</v>
      </c>
      <c r="V1183" s="55" t="str">
        <f t="shared" si="209"/>
        <v/>
      </c>
      <c r="W1183" s="55" t="str">
        <f>IF($V1183="","",IF(COUNTIF($V$5:$V1183,$V1183)=1,1,""))</f>
        <v/>
      </c>
      <c r="X1183" s="58" t="str">
        <f>IF($W1183="","",MAX($X$4:X1182)+1)</f>
        <v/>
      </c>
      <c r="Y1183" s="62"/>
      <c r="Z1183" s="62"/>
      <c r="AA1183" s="64" t="str">
        <f>IF($C1183="","",IFERROR(INDEX('Staff Directory'!$E$5:$E$594,MATCH($C1183,'Staff Directory'!$B$5:$B$594,0)),""))</f>
        <v>firstname160.lastname160@example.com</v>
      </c>
      <c r="AB1183" s="64" t="str">
        <f>IF($C1183="","",IF(ISNUMBER(SEARCH($D1183,Settings!$C$15)),"Pickup","Dispatch"))</f>
        <v>Pickup</v>
      </c>
      <c r="AC1183" s="64" t="str">
        <f t="shared" si="210"/>
        <v>Supply order ready for pickup</v>
      </c>
      <c r="AD1183" s="64" t="str">
        <f t="shared" si="201"/>
        <v>Dear PSW,
Your order is ready for pickup from Sample Branch, Wed-Fri 9am-4pm.</v>
      </c>
      <c r="AE1183" s="64" t="str">
        <f t="shared" si="202"/>
        <v>mailto:firstname160.lastname160@example.com?subject=Supply%20order%20ready%20for%20pickup&amp;body=Dear%20PSW%2C%0A%0AYour%20order%20is%20ready%20for%20pickup%20from%20Sample%20Branch%2C%20Wed-Fri%209am-4pm.</v>
      </c>
      <c r="AF1183" s="89" t="str">
        <f t="shared" si="211"/>
        <v>Draft email</v>
      </c>
      <c r="AG1183" s="64" t="str">
        <f>IF($C1183="","",IFERROR(INDEX('Staff Directory'!$K$595:$K$599,MATCH($C1183,'Staff Directory'!$B$5:$B$599,0)),$D1183))</f>
        <v>PSW</v>
      </c>
      <c r="AH1183" t="str">
        <f>IF($C1183="","",IFERROR(INDEX('Staff Directory'!$I$595:$I$599,MATCH($C1183,'Staff Directory'!$B$5:$B$599,0))&amp;" "&amp;INDEX('Staff Directory'!$J$595:$J$599,MATCH($C1183,'Staff Directory'!$B$5:$B$599,0)),$AG1183))</f>
        <v>PSW</v>
      </c>
      <c r="AI1183" s="102"/>
      <c r="AJ1183" s="101">
        <f>IF($F1183="","",SUMIFS($J$5:$J1183,$F$5:$F1183,$F1183))</f>
        <v>16320</v>
      </c>
      <c r="AK1183" s="101">
        <f t="shared" si="203"/>
        <v>16241</v>
      </c>
      <c r="AL1183" s="66" t="str" cm="1">
        <f t="array" ref="AL1183">IF($F1183="","",IFERROR(INDEX('Lot Balance'!$B$5:$B$500,MATCH(1,INDEX(('Lot Balance'!$A$5:$A$500=$F1183)*('Lot Balance'!$K$5:$K$500&lt;$AK1183)*('Lot Balance'!$K$5:$K$500+'Lot Balance'!$D$5:$D$500&gt;=$AK1183),0),0)),""))</f>
        <v>LYSL500290</v>
      </c>
      <c r="AM1183" s="66" t="str" cm="1">
        <f t="array" ref="AM1183">IF($F1183="","",IFERROR(INDEX('Lot Balance'!$B$5:$B$500,MATCH(1,INDEX(('Lot Balance'!$A$5:$A$500=$F1183)*('Lot Balance'!$K$5:$K$500&lt;$AJ1183)*('Lot Balance'!$K$5:$K$500+'Lot Balance'!$D$5:$D$500&gt;=$AJ1183),0),0)),""))</f>
        <v>LYSL500290</v>
      </c>
      <c r="AN1183" s="66" t="str">
        <f>IF($F1183="","",IF($AI1183&lt;&gt;"",IF(COUNTIFS('Lot Balance'!$A$5:$A$500,$F1183,'Lot Balance'!$B$5:$B$500,$AI1183)=0,"⚠ override is not a lot of this item",IF($AI1183=$AL1183,"Override = FEFO","Override - FEFO says "&amp;$AL1183)),IF($AL1183="","⚠ no receipt on file for this item",IF($AM1183&lt;&gt;$AL1183,"FEFO auto - split, also "&amp;$AM1183,"FEFO auto"))))</f>
        <v>FEFO auto</v>
      </c>
      <c r="AO1183" s="114"/>
    </row>
    <row r="1184" spans="1:41" x14ac:dyDescent="0.35">
      <c r="A1184" s="74">
        <v>46185</v>
      </c>
      <c r="B1184" s="18" t="str">
        <f>IF($C1184="","",IFERROR(INDEX('Staff Directory'!$A$5:$A$594,MATCH($C1184,'Staff Directory'!$B$5:$B$594,0)),"⚠ unknown staff"))</f>
        <v>PSW-043-A5</v>
      </c>
      <c r="C1184" s="49" t="s">
        <v>1018</v>
      </c>
      <c r="D1184" s="19" t="str">
        <f>IF($B1184="","",IFERROR(INDEX('Staff Directory'!$C$5:$C$594,MATCH($B1184,'Staff Directory'!$A$5:$A$594,0)),""))</f>
        <v>PSW</v>
      </c>
      <c r="E1184" s="19" t="str">
        <f>IF($B1184="","",IFERROR(INDEX('Staff Directory'!$D$5:$D$594,MATCH($B1184,'Staff Directory'!$A$5:$A$594,0)),""))</f>
        <v>A5</v>
      </c>
      <c r="F1184" s="9" t="s">
        <v>124</v>
      </c>
      <c r="G1184" s="18" t="str">
        <f>IF($F1184="","",IFERROR(INDEX(Items!$B$5:$B$597,MATCH($F1184,Items!$A$5:$A$597,0)),"⚠ not in Items"))</f>
        <v>Gloves</v>
      </c>
      <c r="H1184" s="19" t="str">
        <f>IF($F1184="","",IFERROR(INDEX(Items!$C$5:$C$597,MATCH($F1184,Items!$A$5:$A$597,0)),""))</f>
        <v>Large</v>
      </c>
      <c r="I1184" s="23">
        <f>IF($F1184="","",IFERROR(INDEX(Items!$E$5:$E$597,MATCH($F1184,Items!$A$5:$A$597,0)),""))</f>
        <v>500</v>
      </c>
      <c r="J1184" s="115">
        <f>IF(tblIssues[[#This Row],[Qty Override]]&lt;&gt;"",tblIssues[[#This Row],[Qty Override]],IF(tblIssues[[#This Row],[Standard Issue]]="","",tblIssues[[#This Row],[Standard Issue]]))</f>
        <v>500</v>
      </c>
      <c r="K1184" s="20">
        <f>IF($F1184="","",IFERROR(INDEX(Items!$D$5:$D$597,MATCH($F1184,Items!$A$5:$A$597,0)),""))</f>
        <v>5.5E-2</v>
      </c>
      <c r="L1184" s="21">
        <f t="shared" si="206"/>
        <v>27.5</v>
      </c>
      <c r="M1184" s="9" t="str">
        <f t="shared" si="204"/>
        <v>ZIM511139904-2</v>
      </c>
      <c r="N1184" s="24">
        <f>IF($A1184="","",WORKDAY($A1184,Settings!$C$9,HolidayDates))</f>
        <v>46195</v>
      </c>
      <c r="O1184" s="24">
        <f>IF($N1184="","",WORKDAY($N1184,Settings!$C$10,HolidayDates))</f>
        <v>46233</v>
      </c>
      <c r="P1184" s="10" t="s">
        <v>501</v>
      </c>
      <c r="Q1184" s="52" t="str">
        <f t="shared" si="207"/>
        <v>Collected</v>
      </c>
      <c r="R1184" s="55" t="str">
        <f t="shared" si="208"/>
        <v>2026-06</v>
      </c>
      <c r="S1184" s="55">
        <f>IF(OR($B1184="",$F1184="",$R1184=""),"",SUMIFS(tblIssues[Qty Issued],tblIssues[Staff ID],$B1184,tblIssues[Item Name],$F1184,tblIssues[Month],$R1184))</f>
        <v>500</v>
      </c>
      <c r="T1184" s="56">
        <f>IF($I1184="","",$I1184*Settings!$C$11)</f>
        <v>500</v>
      </c>
      <c r="U1184" s="57" t="str">
        <f t="shared" si="205"/>
        <v>OK</v>
      </c>
      <c r="V1184" s="55" t="str">
        <f t="shared" si="209"/>
        <v/>
      </c>
      <c r="W1184" s="55" t="str">
        <f>IF($V1184="","",IF(COUNTIF($V$5:$V1184,$V1184)=1,1,""))</f>
        <v/>
      </c>
      <c r="X1184" s="58" t="str">
        <f>IF($W1184="","",MAX($X$4:X1183)+1)</f>
        <v/>
      </c>
      <c r="Y1184" s="62"/>
      <c r="Z1184" s="62"/>
      <c r="AA1184" s="64" t="str">
        <f>IF($C1184="","",IFERROR(INDEX('Staff Directory'!$E$5:$E$594,MATCH($C1184,'Staff Directory'!$B$5:$B$594,0)),""))</f>
        <v>firstname102.lastname102@example.com</v>
      </c>
      <c r="AB1184" s="64" t="str">
        <f>IF($C1184="","",IF(ISNUMBER(SEARCH($D1184,Settings!$C$15)),"Pickup","Dispatch"))</f>
        <v>Pickup</v>
      </c>
      <c r="AC1184" s="64" t="str">
        <f t="shared" si="210"/>
        <v>Supply order ready for pickup</v>
      </c>
      <c r="AD1184" s="64" t="str">
        <f t="shared" si="201"/>
        <v>Dear PSW,
Your order is ready for pickup from Sample Branch, Wed-Fri 9am-4pm.</v>
      </c>
      <c r="AE1184" s="64" t="str">
        <f t="shared" si="202"/>
        <v>mailto:firstname102.lastname102@example.com?subject=Supply%20order%20ready%20for%20pickup&amp;body=Dear%20PSW%2C%0A%0AYour%20order%20is%20ready%20for%20pickup%20from%20Sample%20Branch%2C%20Wed-Fri%209am-4pm.</v>
      </c>
      <c r="AF1184" s="89" t="str">
        <f t="shared" si="211"/>
        <v>Draft email</v>
      </c>
      <c r="AG1184" s="64" t="str">
        <f>IF($C1184="","",IFERROR(INDEX('Staff Directory'!$K$595:$K$599,MATCH($C1184,'Staff Directory'!$B$5:$B$599,0)),$D1184))</f>
        <v>PSW</v>
      </c>
      <c r="AH1184" t="str">
        <f>IF($C1184="","",IFERROR(INDEX('Staff Directory'!$I$595:$I$599,MATCH($C1184,'Staff Directory'!$B$5:$B$599,0))&amp;" "&amp;INDEX('Staff Directory'!$J$595:$J$599,MATCH($C1184,'Staff Directory'!$B$5:$B$599,0)),$AG1184))</f>
        <v>PSW</v>
      </c>
      <c r="AI1184" s="102"/>
      <c r="AJ1184" s="101">
        <f>IF($F1184="","",SUMIFS($J$5:$J1184,$F$5:$F1184,$F1184))</f>
        <v>33500</v>
      </c>
      <c r="AK1184" s="101">
        <f t="shared" si="203"/>
        <v>33001</v>
      </c>
      <c r="AL1184" s="66" t="str" cm="1">
        <f t="array" ref="AL1184">IF($F1184="","",IFERROR(INDEX('Lot Balance'!$B$5:$B$500,MATCH(1,INDEX(('Lot Balance'!$A$5:$A$500=$F1184)*('Lot Balance'!$K$5:$K$500&lt;$AK1184)*('Lot Balance'!$K$5:$K$500+'Lot Balance'!$D$5:$D$500&gt;=$AK1184),0),0)),""))</f>
        <v>ZIM511139904-2</v>
      </c>
      <c r="AM1184" s="66" t="str" cm="1">
        <f t="array" ref="AM1184">IF($F1184="","",IFERROR(INDEX('Lot Balance'!$B$5:$B$500,MATCH(1,INDEX(('Lot Balance'!$A$5:$A$500=$F1184)*('Lot Balance'!$K$5:$K$500&lt;$AJ1184)*('Lot Balance'!$K$5:$K$500+'Lot Balance'!$D$5:$D$500&gt;=$AJ1184),0),0)),""))</f>
        <v>ZIM511139904-2</v>
      </c>
      <c r="AN1184" s="66" t="str">
        <f>IF($F1184="","",IF($AI1184&lt;&gt;"",IF(COUNTIFS('Lot Balance'!$A$5:$A$500,$F1184,'Lot Balance'!$B$5:$B$500,$AI1184)=0,"⚠ override is not a lot of this item",IF($AI1184=$AL1184,"Override = FEFO","Override - FEFO says "&amp;$AL1184)),IF($AL1184="","⚠ no receipt on file for this item",IF($AM1184&lt;&gt;$AL1184,"FEFO auto - split, also "&amp;$AM1184,"FEFO auto"))))</f>
        <v>FEFO auto</v>
      </c>
      <c r="AO1184" s="114"/>
    </row>
    <row r="1185" spans="1:41" x14ac:dyDescent="0.35">
      <c r="A1185" s="74">
        <v>46185</v>
      </c>
      <c r="B1185" s="18" t="str">
        <f>IF($C1185="","",IFERROR(INDEX('Staff Directory'!$A$5:$A$594,MATCH($C1185,'Staff Directory'!$B$5:$B$594,0)),"⚠ unknown staff"))</f>
        <v>PSW-043-A5</v>
      </c>
      <c r="C1185" s="49" t="s">
        <v>1018</v>
      </c>
      <c r="D1185" s="19" t="str">
        <f>IF($B1185="","",IFERROR(INDEX('Staff Directory'!$C$5:$C$594,MATCH($B1185,'Staff Directory'!$A$5:$A$594,0)),""))</f>
        <v>PSW</v>
      </c>
      <c r="E1185" s="19" t="str">
        <f>IF($B1185="","",IFERROR(INDEX('Staff Directory'!$D$5:$D$594,MATCH($B1185,'Staff Directory'!$A$5:$A$594,0)),""))</f>
        <v>A5</v>
      </c>
      <c r="F1185" s="9" t="s">
        <v>191</v>
      </c>
      <c r="G1185" s="18" t="str">
        <f>IF($F1185="","",IFERROR(INDEX(Items!$B$5:$B$597,MATCH($F1185,Items!$A$5:$A$597,0)),"⚠ not in Items"))</f>
        <v>Sanitizer</v>
      </c>
      <c r="H1185" s="19" t="str">
        <f>IF($F1185="","",IFERROR(INDEX(Items!$C$5:$C$597,MATCH($F1185,Items!$A$5:$A$597,0)),""))</f>
        <v>236 ML</v>
      </c>
      <c r="I1185" s="23">
        <f>IF($F1185="","",IFERROR(INDEX(Items!$E$5:$E$597,MATCH($F1185,Items!$A$5:$A$597,0)),""))</f>
        <v>1</v>
      </c>
      <c r="J1185" s="115">
        <f>IF(tblIssues[[#This Row],[Qty Override]]&lt;&gt;"",tblIssues[[#This Row],[Qty Override]],IF(tblIssues[[#This Row],[Standard Issue]]="","",tblIssues[[#This Row],[Standard Issue]]))</f>
        <v>1</v>
      </c>
      <c r="K1185" s="20">
        <f>IF($F1185="","",IFERROR(INDEX(Items!$D$5:$D$597,MATCH($F1185,Items!$A$5:$A$597,0)),""))</f>
        <v>1E-4</v>
      </c>
      <c r="L1185" s="21">
        <f t="shared" si="206"/>
        <v>1E-4</v>
      </c>
      <c r="M1185" s="9" t="str">
        <f t="shared" si="204"/>
        <v>20-21734-4</v>
      </c>
      <c r="N1185" s="24">
        <f>IF($A1185="","",WORKDAY($A1185,Settings!$C$9,HolidayDates))</f>
        <v>46195</v>
      </c>
      <c r="O1185" s="24">
        <f>IF($N1185="","",WORKDAY($N1185,Settings!$C$10,HolidayDates))</f>
        <v>46233</v>
      </c>
      <c r="P1185" s="10" t="s">
        <v>501</v>
      </c>
      <c r="Q1185" s="52" t="str">
        <f t="shared" si="207"/>
        <v>Collected</v>
      </c>
      <c r="R1185" s="55" t="str">
        <f t="shared" si="208"/>
        <v>2026-06</v>
      </c>
      <c r="S1185" s="55">
        <f>IF(OR($B1185="",$F1185="",$R1185=""),"",SUMIFS(tblIssues[Qty Issued],tblIssues[Staff ID],$B1185,tblIssues[Item Name],$F1185,tblIssues[Month],$R1185))</f>
        <v>1</v>
      </c>
      <c r="T1185" s="56">
        <f>IF($I1185="","",$I1185*Settings!$C$11)</f>
        <v>1</v>
      </c>
      <c r="U1185" s="57" t="str">
        <f t="shared" si="205"/>
        <v>OK</v>
      </c>
      <c r="V1185" s="55" t="str">
        <f t="shared" si="209"/>
        <v/>
      </c>
      <c r="W1185" s="55" t="str">
        <f>IF($V1185="","",IF(COUNTIF($V$5:$V1185,$V1185)=1,1,""))</f>
        <v/>
      </c>
      <c r="X1185" s="58" t="str">
        <f>IF($W1185="","",MAX($X$4:X1184)+1)</f>
        <v/>
      </c>
      <c r="Y1185" s="62"/>
      <c r="Z1185" s="62"/>
      <c r="AA1185" s="64" t="str">
        <f>IF($C1185="","",IFERROR(INDEX('Staff Directory'!$E$5:$E$594,MATCH($C1185,'Staff Directory'!$B$5:$B$594,0)),""))</f>
        <v>firstname102.lastname102@example.com</v>
      </c>
      <c r="AB1185" s="64" t="str">
        <f>IF($C1185="","",IF(ISNUMBER(SEARCH($D1185,Settings!$C$15)),"Pickup","Dispatch"))</f>
        <v>Pickup</v>
      </c>
      <c r="AC1185" s="64" t="str">
        <f t="shared" si="210"/>
        <v>Supply order ready for pickup</v>
      </c>
      <c r="AD1185" s="64" t="str">
        <f t="shared" si="201"/>
        <v>Dear PSW,
Your order is ready for pickup from Sample Branch, Wed-Fri 9am-4pm.</v>
      </c>
      <c r="AE1185" s="64" t="str">
        <f t="shared" si="202"/>
        <v>mailto:firstname102.lastname102@example.com?subject=Supply%20order%20ready%20for%20pickup&amp;body=Dear%20PSW%2C%0A%0AYour%20order%20is%20ready%20for%20pickup%20from%20Sample%20Branch%2C%20Wed-Fri%209am-4pm.</v>
      </c>
      <c r="AF1185" s="89" t="str">
        <f t="shared" si="211"/>
        <v>Draft email</v>
      </c>
      <c r="AG1185" s="64" t="str">
        <f>IF($C1185="","",IFERROR(INDEX('Staff Directory'!$K$595:$K$599,MATCH($C1185,'Staff Directory'!$B$5:$B$599,0)),$D1185))</f>
        <v>PSW</v>
      </c>
      <c r="AH1185" t="str">
        <f>IF($C1185="","",IFERROR(INDEX('Staff Directory'!$I$595:$I$599,MATCH($C1185,'Staff Directory'!$B$5:$B$599,0))&amp;" "&amp;INDEX('Staff Directory'!$J$595:$J$599,MATCH($C1185,'Staff Directory'!$B$5:$B$599,0)),$AG1185))</f>
        <v>PSW</v>
      </c>
      <c r="AI1185" s="102"/>
      <c r="AJ1185" s="101">
        <f>IF($F1185="","",SUMIFS($J$5:$J1185,$F$5:$F1185,$F1185))</f>
        <v>146</v>
      </c>
      <c r="AK1185" s="101">
        <f t="shared" si="203"/>
        <v>146</v>
      </c>
      <c r="AL1185" s="66" t="str" cm="1">
        <f t="array" ref="AL1185">IF($F1185="","",IFERROR(INDEX('Lot Balance'!$B$5:$B$500,MATCH(1,INDEX(('Lot Balance'!$A$5:$A$500=$F1185)*('Lot Balance'!$K$5:$K$500&lt;$AK1185)*('Lot Balance'!$K$5:$K$500+'Lot Balance'!$D$5:$D$500&gt;=$AK1185),0),0)),""))</f>
        <v>20-21734-4</v>
      </c>
      <c r="AM1185" s="66" t="str" cm="1">
        <f t="array" ref="AM1185">IF($F1185="","",IFERROR(INDEX('Lot Balance'!$B$5:$B$500,MATCH(1,INDEX(('Lot Balance'!$A$5:$A$500=$F1185)*('Lot Balance'!$K$5:$K$500&lt;$AJ1185)*('Lot Balance'!$K$5:$K$500+'Lot Balance'!$D$5:$D$500&gt;=$AJ1185),0),0)),""))</f>
        <v>20-21734-4</v>
      </c>
      <c r="AN1185" s="66" t="str">
        <f>IF($F1185="","",IF($AI1185&lt;&gt;"",IF(COUNTIFS('Lot Balance'!$A$5:$A$500,$F1185,'Lot Balance'!$B$5:$B$500,$AI1185)=0,"⚠ override is not a lot of this item",IF($AI1185=$AL1185,"Override = FEFO","Override - FEFO says "&amp;$AL1185)),IF($AL1185="","⚠ no receipt on file for this item",IF($AM1185&lt;&gt;$AL1185,"FEFO auto - split, also "&amp;$AM1185,"FEFO auto"))))</f>
        <v>FEFO auto</v>
      </c>
      <c r="AO1185" s="114"/>
    </row>
    <row r="1186" spans="1:41" x14ac:dyDescent="0.35">
      <c r="A1186" s="74">
        <v>46185</v>
      </c>
      <c r="B1186" s="18" t="str">
        <f>IF($C1186="","",IFERROR(INDEX('Staff Directory'!$A$5:$A$594,MATCH($C1186,'Staff Directory'!$B$5:$B$594,0)),"⚠ unknown staff"))</f>
        <v>PSW-043-A5</v>
      </c>
      <c r="C1186" s="49" t="s">
        <v>1018</v>
      </c>
      <c r="D1186" s="19" t="str">
        <f>IF($B1186="","",IFERROR(INDEX('Staff Directory'!$C$5:$C$594,MATCH($B1186,'Staff Directory'!$A$5:$A$594,0)),""))</f>
        <v>PSW</v>
      </c>
      <c r="E1186" s="19" t="str">
        <f>IF($B1186="","",IFERROR(INDEX('Staff Directory'!$D$5:$D$594,MATCH($B1186,'Staff Directory'!$A$5:$A$594,0)),""))</f>
        <v>A5</v>
      </c>
      <c r="F1186" s="9" t="s">
        <v>115</v>
      </c>
      <c r="G1186" s="18" t="str">
        <f>IF($F1186="","",IFERROR(INDEX(Items!$B$5:$B$597,MATCH($F1186,Items!$A$5:$A$597,0)),"⚠ not in Items"))</f>
        <v>Wipes</v>
      </c>
      <c r="H1186" s="19">
        <f>IF($F1186="","",IFERROR(INDEX(Items!$C$5:$C$597,MATCH($F1186,Items!$A$5:$A$597,0)),""))</f>
        <v>80</v>
      </c>
      <c r="I1186" s="23">
        <f>IF($F1186="","",IFERROR(INDEX(Items!$E$5:$E$597,MATCH($F1186,Items!$A$5:$A$597,0)),""))</f>
        <v>80</v>
      </c>
      <c r="J1186" s="115">
        <f>IF(tblIssues[[#This Row],[Qty Override]]&lt;&gt;"",tblIssues[[#This Row],[Qty Override]],IF(tblIssues[[#This Row],[Standard Issue]]="","",tblIssues[[#This Row],[Standard Issue]]))</f>
        <v>80</v>
      </c>
      <c r="K1186" s="20">
        <f>IF($F1186="","",IFERROR(INDEX(Items!$D$5:$D$597,MATCH($F1186,Items!$A$5:$A$597,0)),""))</f>
        <v>0.1</v>
      </c>
      <c r="L1186" s="21">
        <f t="shared" si="206"/>
        <v>8</v>
      </c>
      <c r="M1186" s="9" t="str">
        <f t="shared" si="204"/>
        <v>LYSL500290</v>
      </c>
      <c r="N1186" s="24">
        <f>IF($A1186="","",WORKDAY($A1186,Settings!$C$9,HolidayDates))</f>
        <v>46195</v>
      </c>
      <c r="O1186" s="24">
        <f>IF($N1186="","",WORKDAY($N1186,Settings!$C$10,HolidayDates))</f>
        <v>46233</v>
      </c>
      <c r="P1186" s="10" t="s">
        <v>501</v>
      </c>
      <c r="Q1186" s="52" t="str">
        <f t="shared" si="207"/>
        <v>Collected</v>
      </c>
      <c r="R1186" s="55" t="str">
        <f t="shared" si="208"/>
        <v>2026-06</v>
      </c>
      <c r="S1186" s="55">
        <f>IF(OR($B1186="",$F1186="",$R1186=""),"",SUMIFS(tblIssues[Qty Issued],tblIssues[Staff ID],$B1186,tblIssues[Item Name],$F1186,tblIssues[Month],$R1186))</f>
        <v>80</v>
      </c>
      <c r="T1186" s="56">
        <f>IF($I1186="","",$I1186*Settings!$C$11)</f>
        <v>80</v>
      </c>
      <c r="U1186" s="57" t="str">
        <f t="shared" si="205"/>
        <v>OK</v>
      </c>
      <c r="V1186" s="55" t="str">
        <f t="shared" si="209"/>
        <v/>
      </c>
      <c r="W1186" s="55" t="str">
        <f>IF($V1186="","",IF(COUNTIF($V$5:$V1186,$V1186)=1,1,""))</f>
        <v/>
      </c>
      <c r="X1186" s="58" t="str">
        <f>IF($W1186="","",MAX($X$4:X1185)+1)</f>
        <v/>
      </c>
      <c r="Y1186" s="62"/>
      <c r="Z1186" s="62"/>
      <c r="AA1186" s="64" t="str">
        <f>IF($C1186="","",IFERROR(INDEX('Staff Directory'!$E$5:$E$594,MATCH($C1186,'Staff Directory'!$B$5:$B$594,0)),""))</f>
        <v>firstname102.lastname102@example.com</v>
      </c>
      <c r="AB1186" s="64" t="str">
        <f>IF($C1186="","",IF(ISNUMBER(SEARCH($D1186,Settings!$C$15)),"Pickup","Dispatch"))</f>
        <v>Pickup</v>
      </c>
      <c r="AC1186" s="64" t="str">
        <f t="shared" si="210"/>
        <v>Supply order ready for pickup</v>
      </c>
      <c r="AD1186" s="64" t="str">
        <f t="shared" si="201"/>
        <v>Dear PSW,
Your order is ready for pickup from Sample Branch, Wed-Fri 9am-4pm.</v>
      </c>
      <c r="AE1186" s="64" t="str">
        <f t="shared" si="202"/>
        <v>mailto:firstname102.lastname102@example.com?subject=Supply%20order%20ready%20for%20pickup&amp;body=Dear%20PSW%2C%0A%0AYour%20order%20is%20ready%20for%20pickup%20from%20Sample%20Branch%2C%20Wed-Fri%209am-4pm.</v>
      </c>
      <c r="AF1186" s="89" t="str">
        <f t="shared" si="211"/>
        <v>Draft email</v>
      </c>
      <c r="AG1186" s="64" t="str">
        <f>IF($C1186="","",IFERROR(INDEX('Staff Directory'!$K$595:$K$599,MATCH($C1186,'Staff Directory'!$B$5:$B$599,0)),$D1186))</f>
        <v>PSW</v>
      </c>
      <c r="AH1186" t="str">
        <f>IF($C1186="","",IFERROR(INDEX('Staff Directory'!$I$595:$I$599,MATCH($C1186,'Staff Directory'!$B$5:$B$599,0))&amp;" "&amp;INDEX('Staff Directory'!$J$595:$J$599,MATCH($C1186,'Staff Directory'!$B$5:$B$599,0)),$AG1186))</f>
        <v>PSW</v>
      </c>
      <c r="AI1186" s="102"/>
      <c r="AJ1186" s="101">
        <f>IF($F1186="","",SUMIFS($J$5:$J1186,$F$5:$F1186,$F1186))</f>
        <v>16400</v>
      </c>
      <c r="AK1186" s="101">
        <f t="shared" si="203"/>
        <v>16321</v>
      </c>
      <c r="AL1186" s="66" t="str" cm="1">
        <f t="array" ref="AL1186">IF($F1186="","",IFERROR(INDEX('Lot Balance'!$B$5:$B$500,MATCH(1,INDEX(('Lot Balance'!$A$5:$A$500=$F1186)*('Lot Balance'!$K$5:$K$500&lt;$AK1186)*('Lot Balance'!$K$5:$K$500+'Lot Balance'!$D$5:$D$500&gt;=$AK1186),0),0)),""))</f>
        <v>LYSL500290</v>
      </c>
      <c r="AM1186" s="66" t="str" cm="1">
        <f t="array" ref="AM1186">IF($F1186="","",IFERROR(INDEX('Lot Balance'!$B$5:$B$500,MATCH(1,INDEX(('Lot Balance'!$A$5:$A$500=$F1186)*('Lot Balance'!$K$5:$K$500&lt;$AJ1186)*('Lot Balance'!$K$5:$K$500+'Lot Balance'!$D$5:$D$500&gt;=$AJ1186),0),0)),""))</f>
        <v>LYSL500290</v>
      </c>
      <c r="AN1186" s="66" t="str">
        <f>IF($F1186="","",IF($AI1186&lt;&gt;"",IF(COUNTIFS('Lot Balance'!$A$5:$A$500,$F1186,'Lot Balance'!$B$5:$B$500,$AI1186)=0,"⚠ override is not a lot of this item",IF($AI1186=$AL1186,"Override = FEFO","Override - FEFO says "&amp;$AL1186)),IF($AL1186="","⚠ no receipt on file for this item",IF($AM1186&lt;&gt;$AL1186,"FEFO auto - split, also "&amp;$AM1186,"FEFO auto"))))</f>
        <v>FEFO auto</v>
      </c>
      <c r="AO1186" s="114"/>
    </row>
    <row r="1187" spans="1:41" x14ac:dyDescent="0.35">
      <c r="A1187" s="74">
        <v>46185</v>
      </c>
      <c r="B1187" s="18" t="str">
        <f>IF($C1187="","",IFERROR(INDEX('Staff Directory'!$A$5:$A$594,MATCH($C1187,'Staff Directory'!$B$5:$B$594,0)),"⚠ unknown staff"))</f>
        <v>PSW-043-A5</v>
      </c>
      <c r="C1187" s="49" t="s">
        <v>1018</v>
      </c>
      <c r="D1187" s="19" t="str">
        <f>IF($B1187="","",IFERROR(INDEX('Staff Directory'!$C$5:$C$594,MATCH($B1187,'Staff Directory'!$A$5:$A$594,0)),""))</f>
        <v>PSW</v>
      </c>
      <c r="E1187" s="19" t="str">
        <f>IF($B1187="","",IFERROR(INDEX('Staff Directory'!$D$5:$D$594,MATCH($B1187,'Staff Directory'!$A$5:$A$594,0)),""))</f>
        <v>A5</v>
      </c>
      <c r="F1187" s="9" t="s">
        <v>156</v>
      </c>
      <c r="G1187" s="18" t="str">
        <f>IF($F1187="","",IFERROR(INDEX(Items!$B$5:$B$597,MATCH($F1187,Items!$A$5:$A$597,0)),"⚠ not in Items"))</f>
        <v>Masks</v>
      </c>
      <c r="H1187" s="19" t="str">
        <f>IF($F1187="","",IFERROR(INDEX(Items!$C$5:$C$597,MATCH($F1187,Items!$A$5:$A$597,0)),""))</f>
        <v>One Size</v>
      </c>
      <c r="I1187" s="23">
        <f>IF($F1187="","",IFERROR(INDEX(Items!$E$5:$E$597,MATCH($F1187,Items!$A$5:$A$597,0)),""))</f>
        <v>50</v>
      </c>
      <c r="J1187" s="115">
        <f>IF(tblIssues[[#This Row],[Qty Override]]&lt;&gt;"",tblIssues[[#This Row],[Qty Override]],IF(tblIssues[[#This Row],[Standard Issue]]="","",tblIssues[[#This Row],[Standard Issue]]))</f>
        <v>50</v>
      </c>
      <c r="K1187" s="20">
        <f>IF($F1187="","",IFERROR(INDEX(Items!$D$5:$D$597,MATCH($F1187,Items!$A$5:$A$597,0)),""))</f>
        <v>0.25</v>
      </c>
      <c r="L1187" s="21">
        <f t="shared" si="206"/>
        <v>12.5</v>
      </c>
      <c r="M1187" s="9" t="str">
        <f t="shared" si="204"/>
        <v>102GPC24</v>
      </c>
      <c r="N1187" s="24">
        <f>IF($A1187="","",WORKDAY($A1187,Settings!$C$9,HolidayDates))</f>
        <v>46195</v>
      </c>
      <c r="O1187" s="24">
        <f>IF($N1187="","",WORKDAY($N1187,Settings!$C$10,HolidayDates))</f>
        <v>46233</v>
      </c>
      <c r="P1187" s="10" t="s">
        <v>501</v>
      </c>
      <c r="Q1187" s="52" t="str">
        <f t="shared" si="207"/>
        <v>Collected</v>
      </c>
      <c r="R1187" s="55" t="str">
        <f t="shared" si="208"/>
        <v>2026-06</v>
      </c>
      <c r="S1187" s="55">
        <f>IF(OR($B1187="",$F1187="",$R1187=""),"",SUMIFS(tblIssues[Qty Issued],tblIssues[Staff ID],$B1187,tblIssues[Item Name],$F1187,tblIssues[Month],$R1187))</f>
        <v>50</v>
      </c>
      <c r="T1187" s="56">
        <f>IF($I1187="","",$I1187*Settings!$C$11)</f>
        <v>50</v>
      </c>
      <c r="U1187" s="57" t="str">
        <f t="shared" si="205"/>
        <v>OK</v>
      </c>
      <c r="V1187" s="55" t="str">
        <f t="shared" si="209"/>
        <v/>
      </c>
      <c r="W1187" s="55" t="str">
        <f>IF($V1187="","",IF(COUNTIF($V$5:$V1187,$V1187)=1,1,""))</f>
        <v/>
      </c>
      <c r="X1187" s="58" t="str">
        <f>IF($W1187="","",MAX($X$4:X1186)+1)</f>
        <v/>
      </c>
      <c r="Y1187" s="62"/>
      <c r="Z1187" s="62"/>
      <c r="AA1187" s="64" t="str">
        <f>IF($C1187="","",IFERROR(INDEX('Staff Directory'!$E$5:$E$594,MATCH($C1187,'Staff Directory'!$B$5:$B$594,0)),""))</f>
        <v>firstname102.lastname102@example.com</v>
      </c>
      <c r="AB1187" s="64" t="str">
        <f>IF($C1187="","",IF(ISNUMBER(SEARCH($D1187,Settings!$C$15)),"Pickup","Dispatch"))</f>
        <v>Pickup</v>
      </c>
      <c r="AC1187" s="64" t="str">
        <f t="shared" si="210"/>
        <v>Supply order ready for pickup</v>
      </c>
      <c r="AD1187" s="64" t="str">
        <f t="shared" si="201"/>
        <v>Dear PSW,
Your order is ready for pickup from Sample Branch, Wed-Fri 9am-4pm.</v>
      </c>
      <c r="AE1187" s="64" t="str">
        <f t="shared" si="202"/>
        <v>mailto:firstname102.lastname102@example.com?subject=Supply%20order%20ready%20for%20pickup&amp;body=Dear%20PSW%2C%0A%0AYour%20order%20is%20ready%20for%20pickup%20from%20Sample%20Branch%2C%20Wed-Fri%209am-4pm.</v>
      </c>
      <c r="AF1187" s="89" t="str">
        <f t="shared" si="211"/>
        <v>Draft email</v>
      </c>
      <c r="AG1187" s="64" t="str">
        <f>IF($C1187="","",IFERROR(INDEX('Staff Directory'!$K$595:$K$599,MATCH($C1187,'Staff Directory'!$B$5:$B$599,0)),$D1187))</f>
        <v>PSW</v>
      </c>
      <c r="AH1187" t="str">
        <f>IF($C1187="","",IFERROR(INDEX('Staff Directory'!$I$595:$I$599,MATCH($C1187,'Staff Directory'!$B$5:$B$599,0))&amp;" "&amp;INDEX('Staff Directory'!$J$595:$J$599,MATCH($C1187,'Staff Directory'!$B$5:$B$599,0)),$AG1187))</f>
        <v>PSW</v>
      </c>
      <c r="AI1187" s="102"/>
      <c r="AJ1187" s="101">
        <f>IF($F1187="","",SUMIFS($J$5:$J1187,$F$5:$F1187,$F1187))</f>
        <v>9850</v>
      </c>
      <c r="AK1187" s="101">
        <f t="shared" si="203"/>
        <v>9801</v>
      </c>
      <c r="AL1187" s="66" t="str" cm="1">
        <f t="array" ref="AL1187">IF($F1187="","",IFERROR(INDEX('Lot Balance'!$B$5:$B$500,MATCH(1,INDEX(('Lot Balance'!$A$5:$A$500=$F1187)*('Lot Balance'!$K$5:$K$500&lt;$AK1187)*('Lot Balance'!$K$5:$K$500+'Lot Balance'!$D$5:$D$500&gt;=$AK1187),0),0)),""))</f>
        <v>102GPC24</v>
      </c>
      <c r="AM1187" s="66" t="str" cm="1">
        <f t="array" ref="AM1187">IF($F1187="","",IFERROR(INDEX('Lot Balance'!$B$5:$B$500,MATCH(1,INDEX(('Lot Balance'!$A$5:$A$500=$F1187)*('Lot Balance'!$K$5:$K$500&lt;$AJ1187)*('Lot Balance'!$K$5:$K$500+'Lot Balance'!$D$5:$D$500&gt;=$AJ1187),0),0)),""))</f>
        <v>102GPC24</v>
      </c>
      <c r="AN1187" s="66" t="str">
        <f>IF($F1187="","",IF($AI1187&lt;&gt;"",IF(COUNTIFS('Lot Balance'!$A$5:$A$500,$F1187,'Lot Balance'!$B$5:$B$500,$AI1187)=0,"⚠ override is not a lot of this item",IF($AI1187=$AL1187,"Override = FEFO","Override - FEFO says "&amp;$AL1187)),IF($AL1187="","⚠ no receipt on file for this item",IF($AM1187&lt;&gt;$AL1187,"FEFO auto - split, also "&amp;$AM1187,"FEFO auto"))))</f>
        <v>FEFO auto</v>
      </c>
      <c r="AO1187" s="114"/>
    </row>
    <row r="1188" spans="1:41" x14ac:dyDescent="0.35">
      <c r="A1188" s="74">
        <v>46185</v>
      </c>
      <c r="B1188" s="18" t="str">
        <f>IF($C1188="","",IFERROR(INDEX('Staff Directory'!$A$5:$A$594,MATCH($C1188,'Staff Directory'!$B$5:$B$594,0)),"⚠ unknown staff"))</f>
        <v>PSW-120-A5</v>
      </c>
      <c r="C1188" s="49" t="s">
        <v>1099</v>
      </c>
      <c r="D1188" s="19" t="str">
        <f>IF($B1188="","",IFERROR(INDEX('Staff Directory'!$C$5:$C$594,MATCH($B1188,'Staff Directory'!$A$5:$A$594,0)),""))</f>
        <v>PSW</v>
      </c>
      <c r="E1188" s="19" t="str">
        <f>IF($B1188="","",IFERROR(INDEX('Staff Directory'!$D$5:$D$594,MATCH($B1188,'Staff Directory'!$A$5:$A$594,0)),""))</f>
        <v>A5</v>
      </c>
      <c r="F1188" s="9" t="s">
        <v>127</v>
      </c>
      <c r="G1188" s="18" t="str">
        <f>IF($F1188="","",IFERROR(INDEX(Items!$B$5:$B$597,MATCH($F1188,Items!$A$5:$A$597,0)),"⚠ not in Items"))</f>
        <v>Gloves</v>
      </c>
      <c r="H1188" s="19" t="str">
        <f>IF($F1188="","",IFERROR(INDEX(Items!$C$5:$C$597,MATCH($F1188,Items!$A$5:$A$597,0)),""))</f>
        <v>Medium</v>
      </c>
      <c r="I1188" s="23">
        <f>IF($F1188="","",IFERROR(INDEX(Items!$E$5:$E$597,MATCH($F1188,Items!$A$5:$A$597,0)),""))</f>
        <v>500</v>
      </c>
      <c r="J1188" s="115">
        <f>IF(tblIssues[[#This Row],[Qty Override]]&lt;&gt;"",tblIssues[[#This Row],[Qty Override]],IF(tblIssues[[#This Row],[Standard Issue]]="","",tblIssues[[#This Row],[Standard Issue]]))</f>
        <v>500</v>
      </c>
      <c r="K1188" s="20">
        <f>IF($F1188="","",IFERROR(INDEX(Items!$D$5:$D$597,MATCH($F1188,Items!$A$5:$A$597,0)),""))</f>
        <v>5.5E-2</v>
      </c>
      <c r="L1188" s="21">
        <f t="shared" si="206"/>
        <v>27.5</v>
      </c>
      <c r="M1188" s="9" t="str">
        <f t="shared" si="204"/>
        <v>ZIM510137964</v>
      </c>
      <c r="N1188" s="24">
        <f>IF($A1188="","",WORKDAY($A1188,Settings!$C$9,HolidayDates))</f>
        <v>46195</v>
      </c>
      <c r="O1188" s="24">
        <f>IF($N1188="","",WORKDAY($N1188,Settings!$C$10,HolidayDates))</f>
        <v>46233</v>
      </c>
      <c r="P1188" s="10" t="s">
        <v>501</v>
      </c>
      <c r="Q1188" s="52" t="str">
        <f t="shared" si="207"/>
        <v>Collected</v>
      </c>
      <c r="R1188" s="55" t="str">
        <f t="shared" si="208"/>
        <v>2026-06</v>
      </c>
      <c r="S1188" s="55">
        <f>IF(OR($B1188="",$F1188="",$R1188=""),"",SUMIFS(tblIssues[Qty Issued],tblIssues[Staff ID],$B1188,tblIssues[Item Name],$F1188,tblIssues[Month],$R1188))</f>
        <v>500</v>
      </c>
      <c r="T1188" s="56">
        <f>IF($I1188="","",$I1188*Settings!$C$11)</f>
        <v>500</v>
      </c>
      <c r="U1188" s="57" t="str">
        <f t="shared" si="205"/>
        <v>OK</v>
      </c>
      <c r="V1188" s="55" t="str">
        <f t="shared" si="209"/>
        <v/>
      </c>
      <c r="W1188" s="55" t="str">
        <f>IF($V1188="","",IF(COUNTIF($V$5:$V1188,$V1188)=1,1,""))</f>
        <v/>
      </c>
      <c r="X1188" s="58" t="str">
        <f>IF($W1188="","",MAX($X$4:X1187)+1)</f>
        <v/>
      </c>
      <c r="Y1188" s="62"/>
      <c r="Z1188" s="62"/>
      <c r="AA1188" s="64" t="str">
        <f>IF($C1188="","",IFERROR(INDEX('Staff Directory'!$E$5:$E$594,MATCH($C1188,'Staff Directory'!$B$5:$B$594,0)),""))</f>
        <v>firstname183.lastname183@example.com</v>
      </c>
      <c r="AB1188" s="64" t="str">
        <f>IF($C1188="","",IF(ISNUMBER(SEARCH($D1188,Settings!$C$15)),"Pickup","Dispatch"))</f>
        <v>Pickup</v>
      </c>
      <c r="AC1188" s="64" t="str">
        <f t="shared" si="210"/>
        <v>Supply order ready for pickup</v>
      </c>
      <c r="AD1188" s="64" t="str">
        <f t="shared" si="201"/>
        <v>Dear PSW,
Your order is ready for pickup from Sample Branch, Wed-Fri 9am-4pm.</v>
      </c>
      <c r="AE1188" s="64" t="str">
        <f t="shared" si="202"/>
        <v>mailto:firstname183.lastname183@example.com?subject=Supply%20order%20ready%20for%20pickup&amp;body=Dear%20PSW%2C%0A%0AYour%20order%20is%20ready%20for%20pickup%20from%20Sample%20Branch%2C%20Wed-Fri%209am-4pm.</v>
      </c>
      <c r="AF1188" s="89" t="str">
        <f t="shared" si="211"/>
        <v>Draft email</v>
      </c>
      <c r="AG1188" s="64" t="str">
        <f>IF($C1188="","",IFERROR(INDEX('Staff Directory'!$K$595:$K$599,MATCH($C1188,'Staff Directory'!$B$5:$B$599,0)),$D1188))</f>
        <v>PSW</v>
      </c>
      <c r="AH1188" t="str">
        <f>IF($C1188="","",IFERROR(INDEX('Staff Directory'!$I$595:$I$599,MATCH($C1188,'Staff Directory'!$B$5:$B$599,0))&amp;" "&amp;INDEX('Staff Directory'!$J$595:$J$599,MATCH($C1188,'Staff Directory'!$B$5:$B$599,0)),$AG1188))</f>
        <v>PSW</v>
      </c>
      <c r="AI1188" s="102"/>
      <c r="AJ1188" s="101">
        <f>IF($F1188="","",SUMIFS($J$5:$J1188,$F$5:$F1188,$F1188))</f>
        <v>70000</v>
      </c>
      <c r="AK1188" s="101">
        <f t="shared" si="203"/>
        <v>69501</v>
      </c>
      <c r="AL1188" s="66" t="str" cm="1">
        <f t="array" ref="AL1188">IF($F1188="","",IFERROR(INDEX('Lot Balance'!$B$5:$B$500,MATCH(1,INDEX(('Lot Balance'!$A$5:$A$500=$F1188)*('Lot Balance'!$K$5:$K$500&lt;$AK1188)*('Lot Balance'!$K$5:$K$500+'Lot Balance'!$D$5:$D$500&gt;=$AK1188),0),0)),""))</f>
        <v>ZIM510137964</v>
      </c>
      <c r="AM1188" s="66" t="str" cm="1">
        <f t="array" ref="AM1188">IF($F1188="","",IFERROR(INDEX('Lot Balance'!$B$5:$B$500,MATCH(1,INDEX(('Lot Balance'!$A$5:$A$500=$F1188)*('Lot Balance'!$K$5:$K$500&lt;$AJ1188)*('Lot Balance'!$K$5:$K$500+'Lot Balance'!$D$5:$D$500&gt;=$AJ1188),0),0)),""))</f>
        <v>315JIC25</v>
      </c>
      <c r="AN1188" s="66" t="str">
        <f>IF($F1188="","",IF($AI1188&lt;&gt;"",IF(COUNTIFS('Lot Balance'!$A$5:$A$500,$F1188,'Lot Balance'!$B$5:$B$500,$AI1188)=0,"⚠ override is not a lot of this item",IF($AI1188=$AL1188,"Override = FEFO","Override - FEFO says "&amp;$AL1188)),IF($AL1188="","⚠ no receipt on file for this item",IF($AM1188&lt;&gt;$AL1188,"FEFO auto - split, also "&amp;$AM1188,"FEFO auto"))))</f>
        <v>FEFO auto - split, also 315JIC25</v>
      </c>
      <c r="AO1188" s="114"/>
    </row>
    <row r="1189" spans="1:41" x14ac:dyDescent="0.35">
      <c r="A1189" s="74">
        <v>46185</v>
      </c>
      <c r="B1189" s="18" t="str">
        <f>IF($C1189="","",IFERROR(INDEX('Staff Directory'!$A$5:$A$594,MATCH($C1189,'Staff Directory'!$B$5:$B$594,0)),"⚠ unknown staff"))</f>
        <v>PSW-120-A5</v>
      </c>
      <c r="C1189" s="49" t="s">
        <v>1099</v>
      </c>
      <c r="D1189" s="19" t="str">
        <f>IF($B1189="","",IFERROR(INDEX('Staff Directory'!$C$5:$C$594,MATCH($B1189,'Staff Directory'!$A$5:$A$594,0)),""))</f>
        <v>PSW</v>
      </c>
      <c r="E1189" s="19" t="str">
        <f>IF($B1189="","",IFERROR(INDEX('Staff Directory'!$D$5:$D$594,MATCH($B1189,'Staff Directory'!$A$5:$A$594,0)),""))</f>
        <v>A5</v>
      </c>
      <c r="F1189" s="9" t="s">
        <v>156</v>
      </c>
      <c r="G1189" s="18" t="str">
        <f>IF($F1189="","",IFERROR(INDEX(Items!$B$5:$B$597,MATCH($F1189,Items!$A$5:$A$597,0)),"⚠ not in Items"))</f>
        <v>Masks</v>
      </c>
      <c r="H1189" s="19" t="str">
        <f>IF($F1189="","",IFERROR(INDEX(Items!$C$5:$C$597,MATCH($F1189,Items!$A$5:$A$597,0)),""))</f>
        <v>One Size</v>
      </c>
      <c r="I1189" s="23">
        <f>IF($F1189="","",IFERROR(INDEX(Items!$E$5:$E$597,MATCH($F1189,Items!$A$5:$A$597,0)),""))</f>
        <v>50</v>
      </c>
      <c r="J1189" s="115">
        <f>IF(tblIssues[[#This Row],[Qty Override]]&lt;&gt;"",tblIssues[[#This Row],[Qty Override]],IF(tblIssues[[#This Row],[Standard Issue]]="","",tblIssues[[#This Row],[Standard Issue]]))</f>
        <v>50</v>
      </c>
      <c r="K1189" s="20">
        <f>IF($F1189="","",IFERROR(INDEX(Items!$D$5:$D$597,MATCH($F1189,Items!$A$5:$A$597,0)),""))</f>
        <v>0.25</v>
      </c>
      <c r="L1189" s="21">
        <f t="shared" si="206"/>
        <v>12.5</v>
      </c>
      <c r="M1189" s="9" t="str">
        <f t="shared" si="204"/>
        <v>102GPC24</v>
      </c>
      <c r="N1189" s="24">
        <f>IF($A1189="","",WORKDAY($A1189,Settings!$C$9,HolidayDates))</f>
        <v>46195</v>
      </c>
      <c r="O1189" s="24">
        <f>IF($N1189="","",WORKDAY($N1189,Settings!$C$10,HolidayDates))</f>
        <v>46233</v>
      </c>
      <c r="P1189" s="10" t="s">
        <v>501</v>
      </c>
      <c r="Q1189" s="52" t="str">
        <f t="shared" si="207"/>
        <v>Collected</v>
      </c>
      <c r="R1189" s="55" t="str">
        <f t="shared" si="208"/>
        <v>2026-06</v>
      </c>
      <c r="S1189" s="55">
        <f>IF(OR($B1189="",$F1189="",$R1189=""),"",SUMIFS(tblIssues[Qty Issued],tblIssues[Staff ID],$B1189,tblIssues[Item Name],$F1189,tblIssues[Month],$R1189))</f>
        <v>50</v>
      </c>
      <c r="T1189" s="56">
        <f>IF($I1189="","",$I1189*Settings!$C$11)</f>
        <v>50</v>
      </c>
      <c r="U1189" s="57" t="str">
        <f t="shared" si="205"/>
        <v>OK</v>
      </c>
      <c r="V1189" s="55" t="str">
        <f t="shared" si="209"/>
        <v/>
      </c>
      <c r="W1189" s="55" t="str">
        <f>IF($V1189="","",IF(COUNTIF($V$5:$V1189,$V1189)=1,1,""))</f>
        <v/>
      </c>
      <c r="X1189" s="58" t="str">
        <f>IF($W1189="","",MAX($X$4:X1188)+1)</f>
        <v/>
      </c>
      <c r="Y1189" s="62"/>
      <c r="Z1189" s="62"/>
      <c r="AA1189" s="64" t="str">
        <f>IF($C1189="","",IFERROR(INDEX('Staff Directory'!$E$5:$E$594,MATCH($C1189,'Staff Directory'!$B$5:$B$594,0)),""))</f>
        <v>firstname183.lastname183@example.com</v>
      </c>
      <c r="AB1189" s="64" t="str">
        <f>IF($C1189="","",IF(ISNUMBER(SEARCH($D1189,Settings!$C$15)),"Pickup","Dispatch"))</f>
        <v>Pickup</v>
      </c>
      <c r="AC1189" s="64" t="str">
        <f t="shared" si="210"/>
        <v>Supply order ready for pickup</v>
      </c>
      <c r="AD1189" s="64" t="str">
        <f t="shared" si="201"/>
        <v>Dear PSW,
Your order is ready for pickup from Sample Branch, Wed-Fri 9am-4pm.</v>
      </c>
      <c r="AE1189" s="64" t="str">
        <f t="shared" si="202"/>
        <v>mailto:firstname183.lastname183@example.com?subject=Supply%20order%20ready%20for%20pickup&amp;body=Dear%20PSW%2C%0A%0AYour%20order%20is%20ready%20for%20pickup%20from%20Sample%20Branch%2C%20Wed-Fri%209am-4pm.</v>
      </c>
      <c r="AF1189" s="89" t="str">
        <f t="shared" si="211"/>
        <v>Draft email</v>
      </c>
      <c r="AG1189" s="64" t="str">
        <f>IF($C1189="","",IFERROR(INDEX('Staff Directory'!$K$595:$K$599,MATCH($C1189,'Staff Directory'!$B$5:$B$599,0)),$D1189))</f>
        <v>PSW</v>
      </c>
      <c r="AH1189" t="str">
        <f>IF($C1189="","",IFERROR(INDEX('Staff Directory'!$I$595:$I$599,MATCH($C1189,'Staff Directory'!$B$5:$B$599,0))&amp;" "&amp;INDEX('Staff Directory'!$J$595:$J$599,MATCH($C1189,'Staff Directory'!$B$5:$B$599,0)),$AG1189))</f>
        <v>PSW</v>
      </c>
      <c r="AI1189" s="102"/>
      <c r="AJ1189" s="101">
        <f>IF($F1189="","",SUMIFS($J$5:$J1189,$F$5:$F1189,$F1189))</f>
        <v>9900</v>
      </c>
      <c r="AK1189" s="101">
        <f t="shared" si="203"/>
        <v>9851</v>
      </c>
      <c r="AL1189" s="66" t="str" cm="1">
        <f t="array" ref="AL1189">IF($F1189="","",IFERROR(INDEX('Lot Balance'!$B$5:$B$500,MATCH(1,INDEX(('Lot Balance'!$A$5:$A$500=$F1189)*('Lot Balance'!$K$5:$K$500&lt;$AK1189)*('Lot Balance'!$K$5:$K$500+'Lot Balance'!$D$5:$D$500&gt;=$AK1189),0),0)),""))</f>
        <v>102GPC24</v>
      </c>
      <c r="AM1189" s="66" t="str" cm="1">
        <f t="array" ref="AM1189">IF($F1189="","",IFERROR(INDEX('Lot Balance'!$B$5:$B$500,MATCH(1,INDEX(('Lot Balance'!$A$5:$A$500=$F1189)*('Lot Balance'!$K$5:$K$500&lt;$AJ1189)*('Lot Balance'!$K$5:$K$500+'Lot Balance'!$D$5:$D$500&gt;=$AJ1189),0),0)),""))</f>
        <v>102GPC24</v>
      </c>
      <c r="AN1189" s="66" t="str">
        <f>IF($F1189="","",IF($AI1189&lt;&gt;"",IF(COUNTIFS('Lot Balance'!$A$5:$A$500,$F1189,'Lot Balance'!$B$5:$B$500,$AI1189)=0,"⚠ override is not a lot of this item",IF($AI1189=$AL1189,"Override = FEFO","Override - FEFO says "&amp;$AL1189)),IF($AL1189="","⚠ no receipt on file for this item",IF($AM1189&lt;&gt;$AL1189,"FEFO auto - split, also "&amp;$AM1189,"FEFO auto"))))</f>
        <v>FEFO auto</v>
      </c>
      <c r="AO1189" s="114"/>
    </row>
    <row r="1190" spans="1:41" x14ac:dyDescent="0.35">
      <c r="A1190" s="74">
        <v>46185</v>
      </c>
      <c r="B1190" s="18" t="str">
        <f>IF($C1190="","",IFERROR(INDEX('Staff Directory'!$A$5:$A$594,MATCH($C1190,'Staff Directory'!$B$5:$B$594,0)),"⚠ unknown staff"))</f>
        <v>PSW-169-A6</v>
      </c>
      <c r="C1190" s="49" t="s">
        <v>1148</v>
      </c>
      <c r="D1190" s="19" t="str">
        <f>IF($B1190="","",IFERROR(INDEX('Staff Directory'!$C$5:$C$594,MATCH($B1190,'Staff Directory'!$A$5:$A$594,0)),""))</f>
        <v>PSW</v>
      </c>
      <c r="E1190" s="19" t="str">
        <f>IF($B1190="","",IFERROR(INDEX('Staff Directory'!$D$5:$D$594,MATCH($B1190,'Staff Directory'!$A$5:$A$594,0)),""))</f>
        <v>A6</v>
      </c>
      <c r="F1190" s="9" t="s">
        <v>129</v>
      </c>
      <c r="G1190" s="18" t="str">
        <f>IF($F1190="","",IFERROR(INDEX(Items!$B$5:$B$597,MATCH($F1190,Items!$A$5:$A$597,0)),"⚠ not in Items"))</f>
        <v>Gloves</v>
      </c>
      <c r="H1190" s="19" t="str">
        <f>IF($F1190="","",IFERROR(INDEX(Items!$C$5:$C$597,MATCH($F1190,Items!$A$5:$A$597,0)),""))</f>
        <v>Small</v>
      </c>
      <c r="I1190" s="23">
        <f>IF($F1190="","",IFERROR(INDEX(Items!$E$5:$E$597,MATCH($F1190,Items!$A$5:$A$597,0)),""))</f>
        <v>500</v>
      </c>
      <c r="J1190" s="115">
        <f>IF(tblIssues[[#This Row],[Qty Override]]&lt;&gt;"",tblIssues[[#This Row],[Qty Override]],IF(tblIssues[[#This Row],[Standard Issue]]="","",tblIssues[[#This Row],[Standard Issue]]))</f>
        <v>500</v>
      </c>
      <c r="K1190" s="20">
        <f>IF($F1190="","",IFERROR(INDEX(Items!$D$5:$D$597,MATCH($F1190,Items!$A$5:$A$597,0)),""))</f>
        <v>5.5E-2</v>
      </c>
      <c r="L1190" s="21">
        <f t="shared" si="206"/>
        <v>27.5</v>
      </c>
      <c r="M1190" s="9" t="str">
        <f t="shared" si="204"/>
        <v>ZIM504124207-7</v>
      </c>
      <c r="N1190" s="24">
        <f>IF($A1190="","",WORKDAY($A1190,Settings!$C$9,HolidayDates))</f>
        <v>46195</v>
      </c>
      <c r="O1190" s="24">
        <f>IF($N1190="","",WORKDAY($N1190,Settings!$C$10,HolidayDates))</f>
        <v>46233</v>
      </c>
      <c r="P1190" s="10" t="s">
        <v>501</v>
      </c>
      <c r="Q1190" s="52" t="str">
        <f t="shared" si="207"/>
        <v>Collected</v>
      </c>
      <c r="R1190" s="55" t="str">
        <f t="shared" si="208"/>
        <v>2026-06</v>
      </c>
      <c r="S1190" s="55">
        <f>IF(OR($B1190="",$F1190="",$R1190=""),"",SUMIFS(tblIssues[Qty Issued],tblIssues[Staff ID],$B1190,tblIssues[Item Name],$F1190,tblIssues[Month],$R1190))</f>
        <v>500</v>
      </c>
      <c r="T1190" s="56">
        <f>IF($I1190="","",$I1190*Settings!$C$11)</f>
        <v>500</v>
      </c>
      <c r="U1190" s="57" t="str">
        <f t="shared" si="205"/>
        <v>OK</v>
      </c>
      <c r="V1190" s="55" t="str">
        <f t="shared" si="209"/>
        <v/>
      </c>
      <c r="W1190" s="55" t="str">
        <f>IF($V1190="","",IF(COUNTIF($V$5:$V1190,$V1190)=1,1,""))</f>
        <v/>
      </c>
      <c r="X1190" s="58" t="str">
        <f>IF($W1190="","",MAX($X$4:X1189)+1)</f>
        <v/>
      </c>
      <c r="Y1190" s="62"/>
      <c r="Z1190" s="62"/>
      <c r="AA1190" s="64" t="str">
        <f>IF($C1190="","",IFERROR(INDEX('Staff Directory'!$E$5:$E$594,MATCH($C1190,'Staff Directory'!$B$5:$B$594,0)),""))</f>
        <v>firstname232.lastname232@example.com</v>
      </c>
      <c r="AB1190" s="64" t="str">
        <f>IF($C1190="","",IF(ISNUMBER(SEARCH($D1190,Settings!$C$15)),"Pickup","Dispatch"))</f>
        <v>Pickup</v>
      </c>
      <c r="AC1190" s="64" t="str">
        <f t="shared" si="210"/>
        <v>Supply order ready for pickup</v>
      </c>
      <c r="AD1190" s="64" t="str">
        <f t="shared" si="201"/>
        <v>Dear PSW,
Your order is ready for pickup from Sample Branch, Wed-Fri 9am-4pm.</v>
      </c>
      <c r="AE1190" s="64" t="str">
        <f t="shared" si="202"/>
        <v>mailto:firstname232.lastname232@example.com?subject=Supply%20order%20ready%20for%20pickup&amp;body=Dear%20PSW%2C%0A%0AYour%20order%20is%20ready%20for%20pickup%20from%20Sample%20Branch%2C%20Wed-Fri%209am-4pm.</v>
      </c>
      <c r="AF1190" s="89" t="str">
        <f t="shared" si="211"/>
        <v>Draft email</v>
      </c>
      <c r="AG1190" s="64" t="str">
        <f>IF($C1190="","",IFERROR(INDEX('Staff Directory'!$K$595:$K$599,MATCH($C1190,'Staff Directory'!$B$5:$B$599,0)),$D1190))</f>
        <v>PSW</v>
      </c>
      <c r="AH1190" t="str">
        <f>IF($C1190="","",IFERROR(INDEX('Staff Directory'!$I$595:$I$599,MATCH($C1190,'Staff Directory'!$B$5:$B$599,0))&amp;" "&amp;INDEX('Staff Directory'!$J$595:$J$599,MATCH($C1190,'Staff Directory'!$B$5:$B$599,0)),$AG1190))</f>
        <v>PSW</v>
      </c>
      <c r="AI1190" s="102"/>
      <c r="AJ1190" s="101">
        <f>IF($F1190="","",SUMIFS($J$5:$J1190,$F$5:$F1190,$F1190))</f>
        <v>37000</v>
      </c>
      <c r="AK1190" s="101">
        <f t="shared" si="203"/>
        <v>36501</v>
      </c>
      <c r="AL1190" s="66" t="str" cm="1">
        <f t="array" ref="AL1190">IF($F1190="","",IFERROR(INDEX('Lot Balance'!$B$5:$B$500,MATCH(1,INDEX(('Lot Balance'!$A$5:$A$500=$F1190)*('Lot Balance'!$K$5:$K$500&lt;$AK1190)*('Lot Balance'!$K$5:$K$500+'Lot Balance'!$D$5:$D$500&gt;=$AK1190),0),0)),""))</f>
        <v>ZIM504124207-7</v>
      </c>
      <c r="AM1190" s="66" t="str" cm="1">
        <f t="array" ref="AM1190">IF($F1190="","",IFERROR(INDEX('Lot Balance'!$B$5:$B$500,MATCH(1,INDEX(('Lot Balance'!$A$5:$A$500=$F1190)*('Lot Balance'!$K$5:$K$500&lt;$AJ1190)*('Lot Balance'!$K$5:$K$500+'Lot Balance'!$D$5:$D$500&gt;=$AJ1190),0),0)),""))</f>
        <v>ZIM504124207-7</v>
      </c>
      <c r="AN1190" s="66" t="str">
        <f>IF($F1190="","",IF($AI1190&lt;&gt;"",IF(COUNTIFS('Lot Balance'!$A$5:$A$500,$F1190,'Lot Balance'!$B$5:$B$500,$AI1190)=0,"⚠ override is not a lot of this item",IF($AI1190=$AL1190,"Override = FEFO","Override - FEFO says "&amp;$AL1190)),IF($AL1190="","⚠ no receipt on file for this item",IF($AM1190&lt;&gt;$AL1190,"FEFO auto - split, also "&amp;$AM1190,"FEFO auto"))))</f>
        <v>FEFO auto</v>
      </c>
      <c r="AO1190" s="114"/>
    </row>
    <row r="1191" spans="1:41" x14ac:dyDescent="0.35">
      <c r="A1191" s="74">
        <v>46185</v>
      </c>
      <c r="B1191" s="18" t="str">
        <f>IF($C1191="","",IFERROR(INDEX('Staff Directory'!$A$5:$A$594,MATCH($C1191,'Staff Directory'!$B$5:$B$594,0)),"⚠ unknown staff"))</f>
        <v>PSW-169-A6</v>
      </c>
      <c r="C1191" s="49" t="s">
        <v>1148</v>
      </c>
      <c r="D1191" s="19" t="str">
        <f>IF($B1191="","",IFERROR(INDEX('Staff Directory'!$C$5:$C$594,MATCH($B1191,'Staff Directory'!$A$5:$A$594,0)),""))</f>
        <v>PSW</v>
      </c>
      <c r="E1191" s="19" t="str">
        <f>IF($B1191="","",IFERROR(INDEX('Staff Directory'!$D$5:$D$594,MATCH($B1191,'Staff Directory'!$A$5:$A$594,0)),""))</f>
        <v>A6</v>
      </c>
      <c r="F1191" s="9" t="s">
        <v>191</v>
      </c>
      <c r="G1191" s="18" t="str">
        <f>IF($F1191="","",IFERROR(INDEX(Items!$B$5:$B$597,MATCH($F1191,Items!$A$5:$A$597,0)),"⚠ not in Items"))</f>
        <v>Sanitizer</v>
      </c>
      <c r="H1191" s="19" t="str">
        <f>IF($F1191="","",IFERROR(INDEX(Items!$C$5:$C$597,MATCH($F1191,Items!$A$5:$A$597,0)),""))</f>
        <v>236 ML</v>
      </c>
      <c r="I1191" s="23">
        <f>IF($F1191="","",IFERROR(INDEX(Items!$E$5:$E$597,MATCH($F1191,Items!$A$5:$A$597,0)),""))</f>
        <v>1</v>
      </c>
      <c r="J1191" s="115">
        <f>IF(tblIssues[[#This Row],[Qty Override]]&lt;&gt;"",tblIssues[[#This Row],[Qty Override]],IF(tblIssues[[#This Row],[Standard Issue]]="","",tblIssues[[#This Row],[Standard Issue]]))</f>
        <v>1</v>
      </c>
      <c r="K1191" s="20">
        <f>IF($F1191="","",IFERROR(INDEX(Items!$D$5:$D$597,MATCH($F1191,Items!$A$5:$A$597,0)),""))</f>
        <v>1E-4</v>
      </c>
      <c r="L1191" s="21">
        <f t="shared" si="206"/>
        <v>1E-4</v>
      </c>
      <c r="M1191" s="9" t="str">
        <f t="shared" si="204"/>
        <v>20-21734-4</v>
      </c>
      <c r="N1191" s="24">
        <f>IF($A1191="","",WORKDAY($A1191,Settings!$C$9,HolidayDates))</f>
        <v>46195</v>
      </c>
      <c r="O1191" s="24">
        <f>IF($N1191="","",WORKDAY($N1191,Settings!$C$10,HolidayDates))</f>
        <v>46233</v>
      </c>
      <c r="P1191" s="10" t="s">
        <v>501</v>
      </c>
      <c r="Q1191" s="52" t="str">
        <f t="shared" si="207"/>
        <v>Collected</v>
      </c>
      <c r="R1191" s="55" t="str">
        <f t="shared" si="208"/>
        <v>2026-06</v>
      </c>
      <c r="S1191" s="55">
        <f>IF(OR($B1191="",$F1191="",$R1191=""),"",SUMIFS(tblIssues[Qty Issued],tblIssues[Staff ID],$B1191,tblIssues[Item Name],$F1191,tblIssues[Month],$R1191))</f>
        <v>1</v>
      </c>
      <c r="T1191" s="56">
        <f>IF($I1191="","",$I1191*Settings!$C$11)</f>
        <v>1</v>
      </c>
      <c r="U1191" s="57" t="str">
        <f t="shared" si="205"/>
        <v>OK</v>
      </c>
      <c r="V1191" s="55" t="str">
        <f t="shared" si="209"/>
        <v/>
      </c>
      <c r="W1191" s="55" t="str">
        <f>IF($V1191="","",IF(COUNTIF($V$5:$V1191,$V1191)=1,1,""))</f>
        <v/>
      </c>
      <c r="X1191" s="58" t="str">
        <f>IF($W1191="","",MAX($X$4:X1190)+1)</f>
        <v/>
      </c>
      <c r="Y1191" s="62"/>
      <c r="Z1191" s="62"/>
      <c r="AA1191" s="64" t="str">
        <f>IF($C1191="","",IFERROR(INDEX('Staff Directory'!$E$5:$E$594,MATCH($C1191,'Staff Directory'!$B$5:$B$594,0)),""))</f>
        <v>firstname232.lastname232@example.com</v>
      </c>
      <c r="AB1191" s="64" t="str">
        <f>IF($C1191="","",IF(ISNUMBER(SEARCH($D1191,Settings!$C$15)),"Pickup","Dispatch"))</f>
        <v>Pickup</v>
      </c>
      <c r="AC1191" s="64" t="str">
        <f t="shared" si="210"/>
        <v>Supply order ready for pickup</v>
      </c>
      <c r="AD1191" s="64" t="str">
        <f t="shared" si="201"/>
        <v>Dear PSW,
Your order is ready for pickup from Sample Branch, Wed-Fri 9am-4pm.</v>
      </c>
      <c r="AE1191" s="64" t="str">
        <f t="shared" si="202"/>
        <v>mailto:firstname232.lastname232@example.com?subject=Supply%20order%20ready%20for%20pickup&amp;body=Dear%20PSW%2C%0A%0AYour%20order%20is%20ready%20for%20pickup%20from%20Sample%20Branch%2C%20Wed-Fri%209am-4pm.</v>
      </c>
      <c r="AF1191" s="89" t="str">
        <f t="shared" si="211"/>
        <v>Draft email</v>
      </c>
      <c r="AG1191" s="64" t="str">
        <f>IF($C1191="","",IFERROR(INDEX('Staff Directory'!$K$595:$K$599,MATCH($C1191,'Staff Directory'!$B$5:$B$599,0)),$D1191))</f>
        <v>PSW</v>
      </c>
      <c r="AH1191" t="str">
        <f>IF($C1191="","",IFERROR(INDEX('Staff Directory'!$I$595:$I$599,MATCH($C1191,'Staff Directory'!$B$5:$B$599,0))&amp;" "&amp;INDEX('Staff Directory'!$J$595:$J$599,MATCH($C1191,'Staff Directory'!$B$5:$B$599,0)),$AG1191))</f>
        <v>PSW</v>
      </c>
      <c r="AI1191" s="102"/>
      <c r="AJ1191" s="101">
        <f>IF($F1191="","",SUMIFS($J$5:$J1191,$F$5:$F1191,$F1191))</f>
        <v>147</v>
      </c>
      <c r="AK1191" s="101">
        <f t="shared" si="203"/>
        <v>147</v>
      </c>
      <c r="AL1191" s="66" t="str" cm="1">
        <f t="array" ref="AL1191">IF($F1191="","",IFERROR(INDEX('Lot Balance'!$B$5:$B$500,MATCH(1,INDEX(('Lot Balance'!$A$5:$A$500=$F1191)*('Lot Balance'!$K$5:$K$500&lt;$AK1191)*('Lot Balance'!$K$5:$K$500+'Lot Balance'!$D$5:$D$500&gt;=$AK1191),0),0)),""))</f>
        <v>20-21734-4</v>
      </c>
      <c r="AM1191" s="66" t="str" cm="1">
        <f t="array" ref="AM1191">IF($F1191="","",IFERROR(INDEX('Lot Balance'!$B$5:$B$500,MATCH(1,INDEX(('Lot Balance'!$A$5:$A$500=$F1191)*('Lot Balance'!$K$5:$K$500&lt;$AJ1191)*('Lot Balance'!$K$5:$K$500+'Lot Balance'!$D$5:$D$500&gt;=$AJ1191),0),0)),""))</f>
        <v>20-21734-4</v>
      </c>
      <c r="AN1191" s="66" t="str">
        <f>IF($F1191="","",IF($AI1191&lt;&gt;"",IF(COUNTIFS('Lot Balance'!$A$5:$A$500,$F1191,'Lot Balance'!$B$5:$B$500,$AI1191)=0,"⚠ override is not a lot of this item",IF($AI1191=$AL1191,"Override = FEFO","Override - FEFO says "&amp;$AL1191)),IF($AL1191="","⚠ no receipt on file for this item",IF($AM1191&lt;&gt;$AL1191,"FEFO auto - split, also "&amp;$AM1191,"FEFO auto"))))</f>
        <v>FEFO auto</v>
      </c>
      <c r="AO1191" s="114"/>
    </row>
    <row r="1192" spans="1:41" x14ac:dyDescent="0.35">
      <c r="A1192" s="74">
        <v>46185</v>
      </c>
      <c r="B1192" s="18" t="str">
        <f>IF($C1192="","",IFERROR(INDEX('Staff Directory'!$A$5:$A$594,MATCH($C1192,'Staff Directory'!$B$5:$B$594,0)),"⚠ unknown staff"))</f>
        <v>PSW-169-A6</v>
      </c>
      <c r="C1192" s="49" t="s">
        <v>1148</v>
      </c>
      <c r="D1192" s="19" t="str">
        <f>IF($B1192="","",IFERROR(INDEX('Staff Directory'!$C$5:$C$594,MATCH($B1192,'Staff Directory'!$A$5:$A$594,0)),""))</f>
        <v>PSW</v>
      </c>
      <c r="E1192" s="19" t="str">
        <f>IF($B1192="","",IFERROR(INDEX('Staff Directory'!$D$5:$D$594,MATCH($B1192,'Staff Directory'!$A$5:$A$594,0)),""))</f>
        <v>A6</v>
      </c>
      <c r="F1192" s="9" t="s">
        <v>115</v>
      </c>
      <c r="G1192" s="18" t="str">
        <f>IF($F1192="","",IFERROR(INDEX(Items!$B$5:$B$597,MATCH($F1192,Items!$A$5:$A$597,0)),"⚠ not in Items"))</f>
        <v>Wipes</v>
      </c>
      <c r="H1192" s="19">
        <f>IF($F1192="","",IFERROR(INDEX(Items!$C$5:$C$597,MATCH($F1192,Items!$A$5:$A$597,0)),""))</f>
        <v>80</v>
      </c>
      <c r="I1192" s="23">
        <f>IF($F1192="","",IFERROR(INDEX(Items!$E$5:$E$597,MATCH($F1192,Items!$A$5:$A$597,0)),""))</f>
        <v>80</v>
      </c>
      <c r="J1192" s="115">
        <f>IF(tblIssues[[#This Row],[Qty Override]]&lt;&gt;"",tblIssues[[#This Row],[Qty Override]],IF(tblIssues[[#This Row],[Standard Issue]]="","",tblIssues[[#This Row],[Standard Issue]]))</f>
        <v>80</v>
      </c>
      <c r="K1192" s="20">
        <f>IF($F1192="","",IFERROR(INDEX(Items!$D$5:$D$597,MATCH($F1192,Items!$A$5:$A$597,0)),""))</f>
        <v>0.1</v>
      </c>
      <c r="L1192" s="21">
        <f t="shared" si="206"/>
        <v>8</v>
      </c>
      <c r="M1192" s="9" t="str">
        <f t="shared" si="204"/>
        <v>LYSL500290</v>
      </c>
      <c r="N1192" s="24">
        <f>IF($A1192="","",WORKDAY($A1192,Settings!$C$9,HolidayDates))</f>
        <v>46195</v>
      </c>
      <c r="O1192" s="24">
        <f>IF($N1192="","",WORKDAY($N1192,Settings!$C$10,HolidayDates))</f>
        <v>46233</v>
      </c>
      <c r="P1192" s="10" t="s">
        <v>501</v>
      </c>
      <c r="Q1192" s="52" t="str">
        <f t="shared" si="207"/>
        <v>Collected</v>
      </c>
      <c r="R1192" s="55" t="str">
        <f t="shared" si="208"/>
        <v>2026-06</v>
      </c>
      <c r="S1192" s="55">
        <f>IF(OR($B1192="",$F1192="",$R1192=""),"",SUMIFS(tblIssues[Qty Issued],tblIssues[Staff ID],$B1192,tblIssues[Item Name],$F1192,tblIssues[Month],$R1192))</f>
        <v>80</v>
      </c>
      <c r="T1192" s="56">
        <f>IF($I1192="","",$I1192*Settings!$C$11)</f>
        <v>80</v>
      </c>
      <c r="U1192" s="57" t="str">
        <f t="shared" si="205"/>
        <v>OK</v>
      </c>
      <c r="V1192" s="55" t="str">
        <f t="shared" si="209"/>
        <v/>
      </c>
      <c r="W1192" s="55" t="str">
        <f>IF($V1192="","",IF(COUNTIF($V$5:$V1192,$V1192)=1,1,""))</f>
        <v/>
      </c>
      <c r="X1192" s="58" t="str">
        <f>IF($W1192="","",MAX($X$4:X1191)+1)</f>
        <v/>
      </c>
      <c r="Y1192" s="62"/>
      <c r="Z1192" s="62"/>
      <c r="AA1192" s="64" t="str">
        <f>IF($C1192="","",IFERROR(INDEX('Staff Directory'!$E$5:$E$594,MATCH($C1192,'Staff Directory'!$B$5:$B$594,0)),""))</f>
        <v>firstname232.lastname232@example.com</v>
      </c>
      <c r="AB1192" s="64" t="str">
        <f>IF($C1192="","",IF(ISNUMBER(SEARCH($D1192,Settings!$C$15)),"Pickup","Dispatch"))</f>
        <v>Pickup</v>
      </c>
      <c r="AC1192" s="64" t="str">
        <f t="shared" si="210"/>
        <v>Supply order ready for pickup</v>
      </c>
      <c r="AD1192" s="64" t="str">
        <f t="shared" si="201"/>
        <v>Dear PSW,
Your order is ready for pickup from Sample Branch, Wed-Fri 9am-4pm.</v>
      </c>
      <c r="AE1192" s="64" t="str">
        <f t="shared" si="202"/>
        <v>mailto:firstname232.lastname232@example.com?subject=Supply%20order%20ready%20for%20pickup&amp;body=Dear%20PSW%2C%0A%0AYour%20order%20is%20ready%20for%20pickup%20from%20Sample%20Branch%2C%20Wed-Fri%209am-4pm.</v>
      </c>
      <c r="AF1192" s="89" t="str">
        <f t="shared" si="211"/>
        <v>Draft email</v>
      </c>
      <c r="AG1192" s="64" t="str">
        <f>IF($C1192="","",IFERROR(INDEX('Staff Directory'!$K$595:$K$599,MATCH($C1192,'Staff Directory'!$B$5:$B$599,0)),$D1192))</f>
        <v>PSW</v>
      </c>
      <c r="AH1192" t="str">
        <f>IF($C1192="","",IFERROR(INDEX('Staff Directory'!$I$595:$I$599,MATCH($C1192,'Staff Directory'!$B$5:$B$599,0))&amp;" "&amp;INDEX('Staff Directory'!$J$595:$J$599,MATCH($C1192,'Staff Directory'!$B$5:$B$599,0)),$AG1192))</f>
        <v>PSW</v>
      </c>
      <c r="AI1192" s="102"/>
      <c r="AJ1192" s="101">
        <f>IF($F1192="","",SUMIFS($J$5:$J1192,$F$5:$F1192,$F1192))</f>
        <v>16480</v>
      </c>
      <c r="AK1192" s="101">
        <f t="shared" si="203"/>
        <v>16401</v>
      </c>
      <c r="AL1192" s="66" t="str" cm="1">
        <f t="array" ref="AL1192">IF($F1192="","",IFERROR(INDEX('Lot Balance'!$B$5:$B$500,MATCH(1,INDEX(('Lot Balance'!$A$5:$A$500=$F1192)*('Lot Balance'!$K$5:$K$500&lt;$AK1192)*('Lot Balance'!$K$5:$K$500+'Lot Balance'!$D$5:$D$500&gt;=$AK1192),0),0)),""))</f>
        <v>LYSL500290</v>
      </c>
      <c r="AM1192" s="66" t="str" cm="1">
        <f t="array" ref="AM1192">IF($F1192="","",IFERROR(INDEX('Lot Balance'!$B$5:$B$500,MATCH(1,INDEX(('Lot Balance'!$A$5:$A$500=$F1192)*('Lot Balance'!$K$5:$K$500&lt;$AJ1192)*('Lot Balance'!$K$5:$K$500+'Lot Balance'!$D$5:$D$500&gt;=$AJ1192),0),0)),""))</f>
        <v>LYSL500290</v>
      </c>
      <c r="AN1192" s="66" t="str">
        <f>IF($F1192="","",IF($AI1192&lt;&gt;"",IF(COUNTIFS('Lot Balance'!$A$5:$A$500,$F1192,'Lot Balance'!$B$5:$B$500,$AI1192)=0,"⚠ override is not a lot of this item",IF($AI1192=$AL1192,"Override = FEFO","Override - FEFO says "&amp;$AL1192)),IF($AL1192="","⚠ no receipt on file for this item",IF($AM1192&lt;&gt;$AL1192,"FEFO auto - split, also "&amp;$AM1192,"FEFO auto"))))</f>
        <v>FEFO auto</v>
      </c>
      <c r="AO1192" s="114"/>
    </row>
    <row r="1193" spans="1:41" x14ac:dyDescent="0.35">
      <c r="A1193" s="74">
        <v>46185</v>
      </c>
      <c r="B1193" s="18" t="str">
        <f>IF($C1193="","",IFERROR(INDEX('Staff Directory'!$A$5:$A$594,MATCH($C1193,'Staff Directory'!$B$5:$B$594,0)),"⚠ unknown staff"))</f>
        <v>PSW-169-A6</v>
      </c>
      <c r="C1193" s="49" t="s">
        <v>1148</v>
      </c>
      <c r="D1193" s="19" t="str">
        <f>IF($B1193="","",IFERROR(INDEX('Staff Directory'!$C$5:$C$594,MATCH($B1193,'Staff Directory'!$A$5:$A$594,0)),""))</f>
        <v>PSW</v>
      </c>
      <c r="E1193" s="19" t="str">
        <f>IF($B1193="","",IFERROR(INDEX('Staff Directory'!$D$5:$D$594,MATCH($B1193,'Staff Directory'!$A$5:$A$594,0)),""))</f>
        <v>A6</v>
      </c>
      <c r="F1193" s="9" t="s">
        <v>156</v>
      </c>
      <c r="G1193" s="18" t="str">
        <f>IF($F1193="","",IFERROR(INDEX(Items!$B$5:$B$597,MATCH($F1193,Items!$A$5:$A$597,0)),"⚠ not in Items"))</f>
        <v>Masks</v>
      </c>
      <c r="H1193" s="19" t="str">
        <f>IF($F1193="","",IFERROR(INDEX(Items!$C$5:$C$597,MATCH($F1193,Items!$A$5:$A$597,0)),""))</f>
        <v>One Size</v>
      </c>
      <c r="I1193" s="23">
        <f>IF($F1193="","",IFERROR(INDEX(Items!$E$5:$E$597,MATCH($F1193,Items!$A$5:$A$597,0)),""))</f>
        <v>50</v>
      </c>
      <c r="J1193" s="115">
        <f>IF(tblIssues[[#This Row],[Qty Override]]&lt;&gt;"",tblIssues[[#This Row],[Qty Override]],IF(tblIssues[[#This Row],[Standard Issue]]="","",tblIssues[[#This Row],[Standard Issue]]))</f>
        <v>50</v>
      </c>
      <c r="K1193" s="20">
        <f>IF($F1193="","",IFERROR(INDEX(Items!$D$5:$D$597,MATCH($F1193,Items!$A$5:$A$597,0)),""))</f>
        <v>0.25</v>
      </c>
      <c r="L1193" s="21">
        <f t="shared" si="206"/>
        <v>12.5</v>
      </c>
      <c r="M1193" s="9" t="str">
        <f t="shared" si="204"/>
        <v>102GPC24</v>
      </c>
      <c r="N1193" s="24">
        <f>IF($A1193="","",WORKDAY($A1193,Settings!$C$9,HolidayDates))</f>
        <v>46195</v>
      </c>
      <c r="O1193" s="24">
        <f>IF($N1193="","",WORKDAY($N1193,Settings!$C$10,HolidayDates))</f>
        <v>46233</v>
      </c>
      <c r="P1193" s="10" t="s">
        <v>501</v>
      </c>
      <c r="Q1193" s="52" t="str">
        <f t="shared" si="207"/>
        <v>Collected</v>
      </c>
      <c r="R1193" s="55" t="str">
        <f t="shared" si="208"/>
        <v>2026-06</v>
      </c>
      <c r="S1193" s="55">
        <f>IF(OR($B1193="",$F1193="",$R1193=""),"",SUMIFS(tblIssues[Qty Issued],tblIssues[Staff ID],$B1193,tblIssues[Item Name],$F1193,tblIssues[Month],$R1193))</f>
        <v>50</v>
      </c>
      <c r="T1193" s="56">
        <f>IF($I1193="","",$I1193*Settings!$C$11)</f>
        <v>50</v>
      </c>
      <c r="U1193" s="57" t="str">
        <f t="shared" si="205"/>
        <v>OK</v>
      </c>
      <c r="V1193" s="55" t="str">
        <f t="shared" si="209"/>
        <v/>
      </c>
      <c r="W1193" s="55" t="str">
        <f>IF($V1193="","",IF(COUNTIF($V$5:$V1193,$V1193)=1,1,""))</f>
        <v/>
      </c>
      <c r="X1193" s="58" t="str">
        <f>IF($W1193="","",MAX($X$4:X1192)+1)</f>
        <v/>
      </c>
      <c r="Y1193" s="62"/>
      <c r="Z1193" s="62"/>
      <c r="AA1193" s="64" t="str">
        <f>IF($C1193="","",IFERROR(INDEX('Staff Directory'!$E$5:$E$594,MATCH($C1193,'Staff Directory'!$B$5:$B$594,0)),""))</f>
        <v>firstname232.lastname232@example.com</v>
      </c>
      <c r="AB1193" s="64" t="str">
        <f>IF($C1193="","",IF(ISNUMBER(SEARCH($D1193,Settings!$C$15)),"Pickup","Dispatch"))</f>
        <v>Pickup</v>
      </c>
      <c r="AC1193" s="64" t="str">
        <f t="shared" si="210"/>
        <v>Supply order ready for pickup</v>
      </c>
      <c r="AD1193" s="64" t="str">
        <f t="shared" si="201"/>
        <v>Dear PSW,
Your order is ready for pickup from Sample Branch, Wed-Fri 9am-4pm.</v>
      </c>
      <c r="AE1193" s="64" t="str">
        <f t="shared" si="202"/>
        <v>mailto:firstname232.lastname232@example.com?subject=Supply%20order%20ready%20for%20pickup&amp;body=Dear%20PSW%2C%0A%0AYour%20order%20is%20ready%20for%20pickup%20from%20Sample%20Branch%2C%20Wed-Fri%209am-4pm.</v>
      </c>
      <c r="AF1193" s="89" t="str">
        <f t="shared" si="211"/>
        <v>Draft email</v>
      </c>
      <c r="AG1193" s="64" t="str">
        <f>IF($C1193="","",IFERROR(INDEX('Staff Directory'!$K$595:$K$599,MATCH($C1193,'Staff Directory'!$B$5:$B$599,0)),$D1193))</f>
        <v>PSW</v>
      </c>
      <c r="AH1193" t="str">
        <f>IF($C1193="","",IFERROR(INDEX('Staff Directory'!$I$595:$I$599,MATCH($C1193,'Staff Directory'!$B$5:$B$599,0))&amp;" "&amp;INDEX('Staff Directory'!$J$595:$J$599,MATCH($C1193,'Staff Directory'!$B$5:$B$599,0)),$AG1193))</f>
        <v>PSW</v>
      </c>
      <c r="AI1193" s="102"/>
      <c r="AJ1193" s="101">
        <f>IF($F1193="","",SUMIFS($J$5:$J1193,$F$5:$F1193,$F1193))</f>
        <v>9950</v>
      </c>
      <c r="AK1193" s="101">
        <f t="shared" si="203"/>
        <v>9901</v>
      </c>
      <c r="AL1193" s="66" t="str" cm="1">
        <f t="array" ref="AL1193">IF($F1193="","",IFERROR(INDEX('Lot Balance'!$B$5:$B$500,MATCH(1,INDEX(('Lot Balance'!$A$5:$A$500=$F1193)*('Lot Balance'!$K$5:$K$500&lt;$AK1193)*('Lot Balance'!$K$5:$K$500+'Lot Balance'!$D$5:$D$500&gt;=$AK1193),0),0)),""))</f>
        <v>102GPC24</v>
      </c>
      <c r="AM1193" s="66" t="str" cm="1">
        <f t="array" ref="AM1193">IF($F1193="","",IFERROR(INDEX('Lot Balance'!$B$5:$B$500,MATCH(1,INDEX(('Lot Balance'!$A$5:$A$500=$F1193)*('Lot Balance'!$K$5:$K$500&lt;$AJ1193)*('Lot Balance'!$K$5:$K$500+'Lot Balance'!$D$5:$D$500&gt;=$AJ1193),0),0)),""))</f>
        <v>102GPC24</v>
      </c>
      <c r="AN1193" s="66" t="str">
        <f>IF($F1193="","",IF($AI1193&lt;&gt;"",IF(COUNTIFS('Lot Balance'!$A$5:$A$500,$F1193,'Lot Balance'!$B$5:$B$500,$AI1193)=0,"⚠ override is not a lot of this item",IF($AI1193=$AL1193,"Override = FEFO","Override - FEFO says "&amp;$AL1193)),IF($AL1193="","⚠ no receipt on file for this item",IF($AM1193&lt;&gt;$AL1193,"FEFO auto - split, also "&amp;$AM1193,"FEFO auto"))))</f>
        <v>FEFO auto</v>
      </c>
      <c r="AO1193" s="114"/>
    </row>
    <row r="1194" spans="1:41" x14ac:dyDescent="0.35">
      <c r="A1194" s="74">
        <v>46185</v>
      </c>
      <c r="B1194" s="18" t="str">
        <f>IF($C1194="","",IFERROR(INDEX('Staff Directory'!$A$5:$A$594,MATCH($C1194,'Staff Directory'!$B$5:$B$594,0)),"⚠ unknown staff"))</f>
        <v>PSW-022-A4</v>
      </c>
      <c r="C1194" s="49" t="s">
        <v>998</v>
      </c>
      <c r="D1194" s="19" t="str">
        <f>IF($B1194="","",IFERROR(INDEX('Staff Directory'!$C$5:$C$594,MATCH($B1194,'Staff Directory'!$A$5:$A$594,0)),""))</f>
        <v>PSW</v>
      </c>
      <c r="E1194" s="19" t="str">
        <f>IF($B1194="","",IFERROR(INDEX('Staff Directory'!$D$5:$D$594,MATCH($B1194,'Staff Directory'!$A$5:$A$594,0)),""))</f>
        <v>A4</v>
      </c>
      <c r="F1194" s="9" t="s">
        <v>127</v>
      </c>
      <c r="G1194" s="18" t="str">
        <f>IF($F1194="","",IFERROR(INDEX(Items!$B$5:$B$597,MATCH($F1194,Items!$A$5:$A$597,0)),"⚠ not in Items"))</f>
        <v>Gloves</v>
      </c>
      <c r="H1194" s="19" t="str">
        <f>IF($F1194="","",IFERROR(INDEX(Items!$C$5:$C$597,MATCH($F1194,Items!$A$5:$A$597,0)),""))</f>
        <v>Medium</v>
      </c>
      <c r="I1194" s="23">
        <f>IF($F1194="","",IFERROR(INDEX(Items!$E$5:$E$597,MATCH($F1194,Items!$A$5:$A$597,0)),""))</f>
        <v>500</v>
      </c>
      <c r="J1194" s="115">
        <f>IF(tblIssues[[#This Row],[Qty Override]]&lt;&gt;"",tblIssues[[#This Row],[Qty Override]],IF(tblIssues[[#This Row],[Standard Issue]]="","",tblIssues[[#This Row],[Standard Issue]]))</f>
        <v>500</v>
      </c>
      <c r="K1194" s="20">
        <f>IF($F1194="","",IFERROR(INDEX(Items!$D$5:$D$597,MATCH($F1194,Items!$A$5:$A$597,0)),""))</f>
        <v>5.5E-2</v>
      </c>
      <c r="L1194" s="21">
        <f t="shared" si="206"/>
        <v>27.5</v>
      </c>
      <c r="M1194" s="9" t="str">
        <f t="shared" si="204"/>
        <v>315JIC25</v>
      </c>
      <c r="N1194" s="24">
        <f>IF($A1194="","",WORKDAY($A1194,Settings!$C$9,HolidayDates))</f>
        <v>46195</v>
      </c>
      <c r="O1194" s="24">
        <f>IF($N1194="","",WORKDAY($N1194,Settings!$C$10,HolidayDates))</f>
        <v>46233</v>
      </c>
      <c r="P1194" s="10" t="s">
        <v>501</v>
      </c>
      <c r="Q1194" s="52" t="str">
        <f t="shared" si="207"/>
        <v>Collected</v>
      </c>
      <c r="R1194" s="55" t="str">
        <f t="shared" si="208"/>
        <v>2026-06</v>
      </c>
      <c r="S1194" s="55">
        <f>IF(OR($B1194="",$F1194="",$R1194=""),"",SUMIFS(tblIssues[Qty Issued],tblIssues[Staff ID],$B1194,tblIssues[Item Name],$F1194,tblIssues[Month],$R1194))</f>
        <v>500</v>
      </c>
      <c r="T1194" s="56">
        <f>IF($I1194="","",$I1194*Settings!$C$11)</f>
        <v>500</v>
      </c>
      <c r="U1194" s="57" t="str">
        <f t="shared" si="205"/>
        <v>OK</v>
      </c>
      <c r="V1194" s="55" t="str">
        <f t="shared" si="209"/>
        <v/>
      </c>
      <c r="W1194" s="55" t="str">
        <f>IF($V1194="","",IF(COUNTIF($V$5:$V1194,$V1194)=1,1,""))</f>
        <v/>
      </c>
      <c r="X1194" s="58" t="str">
        <f>IF($W1194="","",MAX($X$4:X1193)+1)</f>
        <v/>
      </c>
      <c r="Y1194" s="62"/>
      <c r="Z1194" s="62"/>
      <c r="AA1194" s="64" t="str">
        <f>IF($C1194="","",IFERROR(INDEX('Staff Directory'!$E$5:$E$594,MATCH($C1194,'Staff Directory'!$B$5:$B$594,0)),""))</f>
        <v>firstname082.lastname082@example.com</v>
      </c>
      <c r="AB1194" s="64" t="str">
        <f>IF($C1194="","",IF(ISNUMBER(SEARCH($D1194,Settings!$C$15)),"Pickup","Dispatch"))</f>
        <v>Pickup</v>
      </c>
      <c r="AC1194" s="64" t="str">
        <f t="shared" si="210"/>
        <v>Supply order ready for pickup</v>
      </c>
      <c r="AD1194" s="64" t="str">
        <f t="shared" si="201"/>
        <v>Dear PSW,
Your order is ready for pickup from Sample Branch, Wed-Fri 9am-4pm.</v>
      </c>
      <c r="AE1194" s="64" t="str">
        <f t="shared" si="202"/>
        <v>mailto:firstname082.lastname082@example.com?subject=Supply%20order%20ready%20for%20pickup&amp;body=Dear%20PSW%2C%0A%0AYour%20order%20is%20ready%20for%20pickup%20from%20Sample%20Branch%2C%20Wed-Fri%209am-4pm.</v>
      </c>
      <c r="AF1194" s="89" t="str">
        <f t="shared" si="211"/>
        <v>Draft email</v>
      </c>
      <c r="AG1194" s="64" t="str">
        <f>IF($C1194="","",IFERROR(INDEX('Staff Directory'!$K$595:$K$599,MATCH($C1194,'Staff Directory'!$B$5:$B$599,0)),$D1194))</f>
        <v>PSW</v>
      </c>
      <c r="AH1194" t="str">
        <f>IF($C1194="","",IFERROR(INDEX('Staff Directory'!$I$595:$I$599,MATCH($C1194,'Staff Directory'!$B$5:$B$599,0))&amp;" "&amp;INDEX('Staff Directory'!$J$595:$J$599,MATCH($C1194,'Staff Directory'!$B$5:$B$599,0)),$AG1194))</f>
        <v>PSW</v>
      </c>
      <c r="AI1194" s="102"/>
      <c r="AJ1194" s="101">
        <f>IF($F1194="","",SUMIFS($J$5:$J1194,$F$5:$F1194,$F1194))</f>
        <v>70500</v>
      </c>
      <c r="AK1194" s="101">
        <f t="shared" si="203"/>
        <v>70001</v>
      </c>
      <c r="AL1194" s="66" t="str" cm="1">
        <f t="array" ref="AL1194">IF($F1194="","",IFERROR(INDEX('Lot Balance'!$B$5:$B$500,MATCH(1,INDEX(('Lot Balance'!$A$5:$A$500=$F1194)*('Lot Balance'!$K$5:$K$500&lt;$AK1194)*('Lot Balance'!$K$5:$K$500+'Lot Balance'!$D$5:$D$500&gt;=$AK1194),0),0)),""))</f>
        <v>315JIC25</v>
      </c>
      <c r="AM1194" s="66" t="str" cm="1">
        <f t="array" ref="AM1194">IF($F1194="","",IFERROR(INDEX('Lot Balance'!$B$5:$B$500,MATCH(1,INDEX(('Lot Balance'!$A$5:$A$500=$F1194)*('Lot Balance'!$K$5:$K$500&lt;$AJ1194)*('Lot Balance'!$K$5:$K$500+'Lot Balance'!$D$5:$D$500&gt;=$AJ1194),0),0)),""))</f>
        <v>315JIC25</v>
      </c>
      <c r="AN1194" s="66" t="str">
        <f>IF($F1194="","",IF($AI1194&lt;&gt;"",IF(COUNTIFS('Lot Balance'!$A$5:$A$500,$F1194,'Lot Balance'!$B$5:$B$500,$AI1194)=0,"⚠ override is not a lot of this item",IF($AI1194=$AL1194,"Override = FEFO","Override - FEFO says "&amp;$AL1194)),IF($AL1194="","⚠ no receipt on file for this item",IF($AM1194&lt;&gt;$AL1194,"FEFO auto - split, also "&amp;$AM1194,"FEFO auto"))))</f>
        <v>FEFO auto</v>
      </c>
      <c r="AO1194" s="114"/>
    </row>
    <row r="1195" spans="1:41" x14ac:dyDescent="0.35">
      <c r="A1195" s="74">
        <v>46185</v>
      </c>
      <c r="B1195" s="18" t="str">
        <f>IF($C1195="","",IFERROR(INDEX('Staff Directory'!$A$5:$A$594,MATCH($C1195,'Staff Directory'!$B$5:$B$594,0)),"⚠ unknown staff"))</f>
        <v>PSW-022-A4</v>
      </c>
      <c r="C1195" s="49" t="s">
        <v>998</v>
      </c>
      <c r="D1195" s="19" t="str">
        <f>IF($B1195="","",IFERROR(INDEX('Staff Directory'!$C$5:$C$594,MATCH($B1195,'Staff Directory'!$A$5:$A$594,0)),""))</f>
        <v>PSW</v>
      </c>
      <c r="E1195" s="19" t="str">
        <f>IF($B1195="","",IFERROR(INDEX('Staff Directory'!$D$5:$D$594,MATCH($B1195,'Staff Directory'!$A$5:$A$594,0)),""))</f>
        <v>A4</v>
      </c>
      <c r="F1195" s="9" t="s">
        <v>156</v>
      </c>
      <c r="G1195" s="18" t="str">
        <f>IF($F1195="","",IFERROR(INDEX(Items!$B$5:$B$597,MATCH($F1195,Items!$A$5:$A$597,0)),"⚠ not in Items"))</f>
        <v>Masks</v>
      </c>
      <c r="H1195" s="19" t="str">
        <f>IF($F1195="","",IFERROR(INDEX(Items!$C$5:$C$597,MATCH($F1195,Items!$A$5:$A$597,0)),""))</f>
        <v>One Size</v>
      </c>
      <c r="I1195" s="23">
        <f>IF($F1195="","",IFERROR(INDEX(Items!$E$5:$E$597,MATCH($F1195,Items!$A$5:$A$597,0)),""))</f>
        <v>50</v>
      </c>
      <c r="J1195" s="115">
        <f>IF(tblIssues[[#This Row],[Qty Override]]&lt;&gt;"",tblIssues[[#This Row],[Qty Override]],IF(tblIssues[[#This Row],[Standard Issue]]="","",tblIssues[[#This Row],[Standard Issue]]))</f>
        <v>50</v>
      </c>
      <c r="K1195" s="20">
        <f>IF($F1195="","",IFERROR(INDEX(Items!$D$5:$D$597,MATCH($F1195,Items!$A$5:$A$597,0)),""))</f>
        <v>0.25</v>
      </c>
      <c r="L1195" s="21">
        <f t="shared" si="206"/>
        <v>12.5</v>
      </c>
      <c r="M1195" s="9" t="str">
        <f t="shared" si="204"/>
        <v>102GPC24</v>
      </c>
      <c r="N1195" s="24">
        <f>IF($A1195="","",WORKDAY($A1195,Settings!$C$9,HolidayDates))</f>
        <v>46195</v>
      </c>
      <c r="O1195" s="24">
        <f>IF($N1195="","",WORKDAY($N1195,Settings!$C$10,HolidayDates))</f>
        <v>46233</v>
      </c>
      <c r="P1195" s="10" t="s">
        <v>501</v>
      </c>
      <c r="Q1195" s="52" t="str">
        <f t="shared" si="207"/>
        <v>Collected</v>
      </c>
      <c r="R1195" s="55" t="str">
        <f t="shared" si="208"/>
        <v>2026-06</v>
      </c>
      <c r="S1195" s="55">
        <f>IF(OR($B1195="",$F1195="",$R1195=""),"",SUMIFS(tblIssues[Qty Issued],tblIssues[Staff ID],$B1195,tblIssues[Item Name],$F1195,tblIssues[Month],$R1195))</f>
        <v>50</v>
      </c>
      <c r="T1195" s="56">
        <f>IF($I1195="","",$I1195*Settings!$C$11)</f>
        <v>50</v>
      </c>
      <c r="U1195" s="57" t="str">
        <f t="shared" si="205"/>
        <v>OK</v>
      </c>
      <c r="V1195" s="55" t="str">
        <f t="shared" si="209"/>
        <v/>
      </c>
      <c r="W1195" s="55" t="str">
        <f>IF($V1195="","",IF(COUNTIF($V$5:$V1195,$V1195)=1,1,""))</f>
        <v/>
      </c>
      <c r="X1195" s="58" t="str">
        <f>IF($W1195="","",MAX($X$4:X1194)+1)</f>
        <v/>
      </c>
      <c r="Y1195" s="62"/>
      <c r="Z1195" s="62"/>
      <c r="AA1195" s="64" t="str">
        <f>IF($C1195="","",IFERROR(INDEX('Staff Directory'!$E$5:$E$594,MATCH($C1195,'Staff Directory'!$B$5:$B$594,0)),""))</f>
        <v>firstname082.lastname082@example.com</v>
      </c>
      <c r="AB1195" s="64" t="str">
        <f>IF($C1195="","",IF(ISNUMBER(SEARCH($D1195,Settings!$C$15)),"Pickup","Dispatch"))</f>
        <v>Pickup</v>
      </c>
      <c r="AC1195" s="64" t="str">
        <f t="shared" si="210"/>
        <v>Supply order ready for pickup</v>
      </c>
      <c r="AD1195" s="64" t="str">
        <f t="shared" si="201"/>
        <v>Dear PSW,
Your order is ready for pickup from Sample Branch, Wed-Fri 9am-4pm.</v>
      </c>
      <c r="AE1195" s="64" t="str">
        <f t="shared" si="202"/>
        <v>mailto:firstname082.lastname082@example.com?subject=Supply%20order%20ready%20for%20pickup&amp;body=Dear%20PSW%2C%0A%0AYour%20order%20is%20ready%20for%20pickup%20from%20Sample%20Branch%2C%20Wed-Fri%209am-4pm.</v>
      </c>
      <c r="AF1195" s="89" t="str">
        <f t="shared" si="211"/>
        <v>Draft email</v>
      </c>
      <c r="AG1195" s="64" t="str">
        <f>IF($C1195="","",IFERROR(INDEX('Staff Directory'!$K$595:$K$599,MATCH($C1195,'Staff Directory'!$B$5:$B$599,0)),$D1195))</f>
        <v>PSW</v>
      </c>
      <c r="AH1195" t="str">
        <f>IF($C1195="","",IFERROR(INDEX('Staff Directory'!$I$595:$I$599,MATCH($C1195,'Staff Directory'!$B$5:$B$599,0))&amp;" "&amp;INDEX('Staff Directory'!$J$595:$J$599,MATCH($C1195,'Staff Directory'!$B$5:$B$599,0)),$AG1195))</f>
        <v>PSW</v>
      </c>
      <c r="AI1195" s="102"/>
      <c r="AJ1195" s="101">
        <f>IF($F1195="","",SUMIFS($J$5:$J1195,$F$5:$F1195,$F1195))</f>
        <v>10000</v>
      </c>
      <c r="AK1195" s="101">
        <f t="shared" si="203"/>
        <v>9951</v>
      </c>
      <c r="AL1195" s="66" t="str" cm="1">
        <f t="array" ref="AL1195">IF($F1195="","",IFERROR(INDEX('Lot Balance'!$B$5:$B$500,MATCH(1,INDEX(('Lot Balance'!$A$5:$A$500=$F1195)*('Lot Balance'!$K$5:$K$500&lt;$AK1195)*('Lot Balance'!$K$5:$K$500+'Lot Balance'!$D$5:$D$500&gt;=$AK1195),0),0)),""))</f>
        <v>102GPC24</v>
      </c>
      <c r="AM1195" s="66" t="str" cm="1">
        <f t="array" ref="AM1195">IF($F1195="","",IFERROR(INDEX('Lot Balance'!$B$5:$B$500,MATCH(1,INDEX(('Lot Balance'!$A$5:$A$500=$F1195)*('Lot Balance'!$K$5:$K$500&lt;$AJ1195)*('Lot Balance'!$K$5:$K$500+'Lot Balance'!$D$5:$D$500&gt;=$AJ1195),0),0)),""))</f>
        <v>102GPC24</v>
      </c>
      <c r="AN1195" s="66" t="str">
        <f>IF($F1195="","",IF($AI1195&lt;&gt;"",IF(COUNTIFS('Lot Balance'!$A$5:$A$500,$F1195,'Lot Balance'!$B$5:$B$500,$AI1195)=0,"⚠ override is not a lot of this item",IF($AI1195=$AL1195,"Override = FEFO","Override - FEFO says "&amp;$AL1195)),IF($AL1195="","⚠ no receipt on file for this item",IF($AM1195&lt;&gt;$AL1195,"FEFO auto - split, also "&amp;$AM1195,"FEFO auto"))))</f>
        <v>FEFO auto</v>
      </c>
      <c r="AO1195" s="114"/>
    </row>
    <row r="1196" spans="1:41" x14ac:dyDescent="0.35">
      <c r="A1196" s="74">
        <v>46185</v>
      </c>
      <c r="B1196" s="18" t="str">
        <f>IF($C1196="","",IFERROR(INDEX('Staff Directory'!$A$5:$A$594,MATCH($C1196,'Staff Directory'!$B$5:$B$594,0)),"⚠ unknown staff"))</f>
        <v>PSW-174-TBD</v>
      </c>
      <c r="C1196" s="49" t="s">
        <v>1153</v>
      </c>
      <c r="D1196" s="19" t="str">
        <f>IF($B1196="","",IFERROR(INDEX('Staff Directory'!$C$5:$C$594,MATCH($B1196,'Staff Directory'!$A$5:$A$594,0)),""))</f>
        <v>PSW</v>
      </c>
      <c r="E1196" s="19">
        <f>IF($B1196="","",IFERROR(INDEX('Staff Directory'!$D$5:$D$594,MATCH($B1196,'Staff Directory'!$A$5:$A$594,0)),""))</f>
        <v>0</v>
      </c>
      <c r="F1196" s="9" t="s">
        <v>129</v>
      </c>
      <c r="G1196" s="18" t="str">
        <f>IF($F1196="","",IFERROR(INDEX(Items!$B$5:$B$597,MATCH($F1196,Items!$A$5:$A$597,0)),"⚠ not in Items"))</f>
        <v>Gloves</v>
      </c>
      <c r="H1196" s="19" t="str">
        <f>IF($F1196="","",IFERROR(INDEX(Items!$C$5:$C$597,MATCH($F1196,Items!$A$5:$A$597,0)),""))</f>
        <v>Small</v>
      </c>
      <c r="I1196" s="23">
        <f>IF($F1196="","",IFERROR(INDEX(Items!$E$5:$E$597,MATCH($F1196,Items!$A$5:$A$597,0)),""))</f>
        <v>500</v>
      </c>
      <c r="J1196" s="115">
        <f>IF(tblIssues[[#This Row],[Qty Override]]&lt;&gt;"",tblIssues[[#This Row],[Qty Override]],IF(tblIssues[[#This Row],[Standard Issue]]="","",tblIssues[[#This Row],[Standard Issue]]))</f>
        <v>500</v>
      </c>
      <c r="K1196" s="20">
        <f>IF($F1196="","",IFERROR(INDEX(Items!$D$5:$D$597,MATCH($F1196,Items!$A$5:$A$597,0)),""))</f>
        <v>5.5E-2</v>
      </c>
      <c r="L1196" s="21">
        <f t="shared" si="206"/>
        <v>27.5</v>
      </c>
      <c r="M1196" s="9" t="str">
        <f t="shared" si="204"/>
        <v>ZIM504124207-7</v>
      </c>
      <c r="N1196" s="24">
        <f>IF($A1196="","",WORKDAY($A1196,Settings!$C$9,HolidayDates))</f>
        <v>46195</v>
      </c>
      <c r="O1196" s="24">
        <f>IF($N1196="","",WORKDAY($N1196,Settings!$C$10,HolidayDates))</f>
        <v>46233</v>
      </c>
      <c r="P1196" s="10" t="s">
        <v>501</v>
      </c>
      <c r="Q1196" s="52" t="str">
        <f t="shared" si="207"/>
        <v>Collected</v>
      </c>
      <c r="R1196" s="55" t="str">
        <f t="shared" si="208"/>
        <v>2026-06</v>
      </c>
      <c r="S1196" s="55">
        <f>IF(OR($B1196="",$F1196="",$R1196=""),"",SUMIFS(tblIssues[Qty Issued],tblIssues[Staff ID],$B1196,tblIssues[Item Name],$F1196,tblIssues[Month],$R1196))</f>
        <v>500</v>
      </c>
      <c r="T1196" s="56">
        <f>IF($I1196="","",$I1196*Settings!$C$11)</f>
        <v>500</v>
      </c>
      <c r="U1196" s="57" t="str">
        <f t="shared" si="205"/>
        <v>OK</v>
      </c>
      <c r="V1196" s="55" t="str">
        <f t="shared" si="209"/>
        <v/>
      </c>
      <c r="W1196" s="55" t="str">
        <f>IF($V1196="","",IF(COUNTIF($V$5:$V1196,$V1196)=1,1,""))</f>
        <v/>
      </c>
      <c r="X1196" s="58" t="str">
        <f>IF($W1196="","",MAX($X$4:X1195)+1)</f>
        <v/>
      </c>
      <c r="Y1196" s="62"/>
      <c r="Z1196" s="62"/>
      <c r="AA1196" s="64" t="str">
        <f>IF($C1196="","",IFERROR(INDEX('Staff Directory'!$E$5:$E$594,MATCH($C1196,'Staff Directory'!$B$5:$B$594,0)),""))</f>
        <v>firstname237.lastname237@example.com</v>
      </c>
      <c r="AB1196" s="64" t="str">
        <f>IF($C1196="","",IF(ISNUMBER(SEARCH($D1196,Settings!$C$15)),"Pickup","Dispatch"))</f>
        <v>Pickup</v>
      </c>
      <c r="AC1196" s="64" t="str">
        <f t="shared" si="210"/>
        <v>Supply order ready for pickup</v>
      </c>
      <c r="AD1196" s="64" t="str">
        <f t="shared" si="201"/>
        <v>Dear PSW,
Your order is ready for pickup from Sample Branch, Wed-Fri 9am-4pm.</v>
      </c>
      <c r="AE1196" s="64" t="str">
        <f t="shared" si="202"/>
        <v>mailto:firstname237.lastname237@example.com?subject=Supply%20order%20ready%20for%20pickup&amp;body=Dear%20PSW%2C%0A%0AYour%20order%20is%20ready%20for%20pickup%20from%20Sample%20Branch%2C%20Wed-Fri%209am-4pm.</v>
      </c>
      <c r="AF1196" s="89" t="str">
        <f t="shared" si="211"/>
        <v>Draft email</v>
      </c>
      <c r="AG1196" s="64" t="str">
        <f>IF($C1196="","",IFERROR(INDEX('Staff Directory'!$K$595:$K$599,MATCH($C1196,'Staff Directory'!$B$5:$B$599,0)),$D1196))</f>
        <v>PSW</v>
      </c>
      <c r="AH1196" t="str">
        <f>IF($C1196="","",IFERROR(INDEX('Staff Directory'!$I$595:$I$599,MATCH($C1196,'Staff Directory'!$B$5:$B$599,0))&amp;" "&amp;INDEX('Staff Directory'!$J$595:$J$599,MATCH($C1196,'Staff Directory'!$B$5:$B$599,0)),$AG1196))</f>
        <v>PSW</v>
      </c>
      <c r="AI1196" s="102"/>
      <c r="AJ1196" s="101">
        <f>IF($F1196="","",SUMIFS($J$5:$J1196,$F$5:$F1196,$F1196))</f>
        <v>37500</v>
      </c>
      <c r="AK1196" s="101">
        <f t="shared" si="203"/>
        <v>37001</v>
      </c>
      <c r="AL1196" s="66" t="str" cm="1">
        <f t="array" ref="AL1196">IF($F1196="","",IFERROR(INDEX('Lot Balance'!$B$5:$B$500,MATCH(1,INDEX(('Lot Balance'!$A$5:$A$500=$F1196)*('Lot Balance'!$K$5:$K$500&lt;$AK1196)*('Lot Balance'!$K$5:$K$500+'Lot Balance'!$D$5:$D$500&gt;=$AK1196),0),0)),""))</f>
        <v>ZIM504124207-7</v>
      </c>
      <c r="AM1196" s="66" t="str" cm="1">
        <f t="array" ref="AM1196">IF($F1196="","",IFERROR(INDEX('Lot Balance'!$B$5:$B$500,MATCH(1,INDEX(('Lot Balance'!$A$5:$A$500=$F1196)*('Lot Balance'!$K$5:$K$500&lt;$AJ1196)*('Lot Balance'!$K$5:$K$500+'Lot Balance'!$D$5:$D$500&gt;=$AJ1196),0),0)),""))</f>
        <v>ZIM504124207-8</v>
      </c>
      <c r="AN1196" s="66" t="str">
        <f>IF($F1196="","",IF($AI1196&lt;&gt;"",IF(COUNTIFS('Lot Balance'!$A$5:$A$500,$F1196,'Lot Balance'!$B$5:$B$500,$AI1196)=0,"⚠ override is not a lot of this item",IF($AI1196=$AL1196,"Override = FEFO","Override - FEFO says "&amp;$AL1196)),IF($AL1196="","⚠ no receipt on file for this item",IF($AM1196&lt;&gt;$AL1196,"FEFO auto - split, also "&amp;$AM1196,"FEFO auto"))))</f>
        <v>FEFO auto - split, also ZIM504124207-8</v>
      </c>
      <c r="AO1196" s="114"/>
    </row>
    <row r="1197" spans="1:41" x14ac:dyDescent="0.35">
      <c r="A1197" s="74">
        <v>46185</v>
      </c>
      <c r="B1197" s="18" t="str">
        <f>IF($C1197="","",IFERROR(INDEX('Staff Directory'!$A$5:$A$594,MATCH($C1197,'Staff Directory'!$B$5:$B$594,0)),"⚠ unknown staff"))</f>
        <v>PSW-174-TBD</v>
      </c>
      <c r="C1197" s="49" t="s">
        <v>1153</v>
      </c>
      <c r="D1197" s="19" t="str">
        <f>IF($B1197="","",IFERROR(INDEX('Staff Directory'!$C$5:$C$594,MATCH($B1197,'Staff Directory'!$A$5:$A$594,0)),""))</f>
        <v>PSW</v>
      </c>
      <c r="E1197" s="19">
        <f>IF($B1197="","",IFERROR(INDEX('Staff Directory'!$D$5:$D$594,MATCH($B1197,'Staff Directory'!$A$5:$A$594,0)),""))</f>
        <v>0</v>
      </c>
      <c r="F1197" s="9" t="s">
        <v>191</v>
      </c>
      <c r="G1197" s="18" t="str">
        <f>IF($F1197="","",IFERROR(INDEX(Items!$B$5:$B$597,MATCH($F1197,Items!$A$5:$A$597,0)),"⚠ not in Items"))</f>
        <v>Sanitizer</v>
      </c>
      <c r="H1197" s="19" t="str">
        <f>IF($F1197="","",IFERROR(INDEX(Items!$C$5:$C$597,MATCH($F1197,Items!$A$5:$A$597,0)),""))</f>
        <v>236 ML</v>
      </c>
      <c r="I1197" s="23">
        <f>IF($F1197="","",IFERROR(INDEX(Items!$E$5:$E$597,MATCH($F1197,Items!$A$5:$A$597,0)),""))</f>
        <v>1</v>
      </c>
      <c r="J1197" s="115">
        <f>IF(tblIssues[[#This Row],[Qty Override]]&lt;&gt;"",tblIssues[[#This Row],[Qty Override]],IF(tblIssues[[#This Row],[Standard Issue]]="","",tblIssues[[#This Row],[Standard Issue]]))</f>
        <v>1</v>
      </c>
      <c r="K1197" s="20">
        <f>IF($F1197="","",IFERROR(INDEX(Items!$D$5:$D$597,MATCH($F1197,Items!$A$5:$A$597,0)),""))</f>
        <v>1E-4</v>
      </c>
      <c r="L1197" s="21">
        <f t="shared" si="206"/>
        <v>1E-4</v>
      </c>
      <c r="M1197" s="9" t="str">
        <f t="shared" si="204"/>
        <v>20-21734-4</v>
      </c>
      <c r="N1197" s="24">
        <f>IF($A1197="","",WORKDAY($A1197,Settings!$C$9,HolidayDates))</f>
        <v>46195</v>
      </c>
      <c r="O1197" s="24">
        <f>IF($N1197="","",WORKDAY($N1197,Settings!$C$10,HolidayDates))</f>
        <v>46233</v>
      </c>
      <c r="P1197" s="10" t="s">
        <v>501</v>
      </c>
      <c r="Q1197" s="52" t="str">
        <f t="shared" si="207"/>
        <v>Collected</v>
      </c>
      <c r="R1197" s="55" t="str">
        <f t="shared" si="208"/>
        <v>2026-06</v>
      </c>
      <c r="S1197" s="55">
        <f>IF(OR($B1197="",$F1197="",$R1197=""),"",SUMIFS(tblIssues[Qty Issued],tblIssues[Staff ID],$B1197,tblIssues[Item Name],$F1197,tblIssues[Month],$R1197))</f>
        <v>1</v>
      </c>
      <c r="T1197" s="56">
        <f>IF($I1197="","",$I1197*Settings!$C$11)</f>
        <v>1</v>
      </c>
      <c r="U1197" s="57" t="str">
        <f t="shared" si="205"/>
        <v>OK</v>
      </c>
      <c r="V1197" s="55" t="str">
        <f t="shared" si="209"/>
        <v/>
      </c>
      <c r="W1197" s="55" t="str">
        <f>IF($V1197="","",IF(COUNTIF($V$5:$V1197,$V1197)=1,1,""))</f>
        <v/>
      </c>
      <c r="X1197" s="58" t="str">
        <f>IF($W1197="","",MAX($X$4:X1196)+1)</f>
        <v/>
      </c>
      <c r="Y1197" s="62"/>
      <c r="Z1197" s="62"/>
      <c r="AA1197" s="64" t="str">
        <f>IF($C1197="","",IFERROR(INDEX('Staff Directory'!$E$5:$E$594,MATCH($C1197,'Staff Directory'!$B$5:$B$594,0)),""))</f>
        <v>firstname237.lastname237@example.com</v>
      </c>
      <c r="AB1197" s="64" t="str">
        <f>IF($C1197="","",IF(ISNUMBER(SEARCH($D1197,Settings!$C$15)),"Pickup","Dispatch"))</f>
        <v>Pickup</v>
      </c>
      <c r="AC1197" s="64" t="str">
        <f t="shared" si="210"/>
        <v>Supply order ready for pickup</v>
      </c>
      <c r="AD1197" s="64" t="str">
        <f t="shared" si="201"/>
        <v>Dear PSW,
Your order is ready for pickup from Sample Branch, Wed-Fri 9am-4pm.</v>
      </c>
      <c r="AE1197" s="64" t="str">
        <f t="shared" si="202"/>
        <v>mailto:firstname237.lastname237@example.com?subject=Supply%20order%20ready%20for%20pickup&amp;body=Dear%20PSW%2C%0A%0AYour%20order%20is%20ready%20for%20pickup%20from%20Sample%20Branch%2C%20Wed-Fri%209am-4pm.</v>
      </c>
      <c r="AF1197" s="89" t="str">
        <f t="shared" si="211"/>
        <v>Draft email</v>
      </c>
      <c r="AG1197" s="64" t="str">
        <f>IF($C1197="","",IFERROR(INDEX('Staff Directory'!$K$595:$K$599,MATCH($C1197,'Staff Directory'!$B$5:$B$599,0)),$D1197))</f>
        <v>PSW</v>
      </c>
      <c r="AH1197" t="str">
        <f>IF($C1197="","",IFERROR(INDEX('Staff Directory'!$I$595:$I$599,MATCH($C1197,'Staff Directory'!$B$5:$B$599,0))&amp;" "&amp;INDEX('Staff Directory'!$J$595:$J$599,MATCH($C1197,'Staff Directory'!$B$5:$B$599,0)),$AG1197))</f>
        <v>PSW</v>
      </c>
      <c r="AI1197" s="102"/>
      <c r="AJ1197" s="101">
        <f>IF($F1197="","",SUMIFS($J$5:$J1197,$F$5:$F1197,$F1197))</f>
        <v>148</v>
      </c>
      <c r="AK1197" s="101">
        <f t="shared" si="203"/>
        <v>148</v>
      </c>
      <c r="AL1197" s="66" t="str" cm="1">
        <f t="array" ref="AL1197">IF($F1197="","",IFERROR(INDEX('Lot Balance'!$B$5:$B$500,MATCH(1,INDEX(('Lot Balance'!$A$5:$A$500=$F1197)*('Lot Balance'!$K$5:$K$500&lt;$AK1197)*('Lot Balance'!$K$5:$K$500+'Lot Balance'!$D$5:$D$500&gt;=$AK1197),0),0)),""))</f>
        <v>20-21734-4</v>
      </c>
      <c r="AM1197" s="66" t="str" cm="1">
        <f t="array" ref="AM1197">IF($F1197="","",IFERROR(INDEX('Lot Balance'!$B$5:$B$500,MATCH(1,INDEX(('Lot Balance'!$A$5:$A$500=$F1197)*('Lot Balance'!$K$5:$K$500&lt;$AJ1197)*('Lot Balance'!$K$5:$K$500+'Lot Balance'!$D$5:$D$500&gt;=$AJ1197),0),0)),""))</f>
        <v>20-21734-4</v>
      </c>
      <c r="AN1197" s="66" t="str">
        <f>IF($F1197="","",IF($AI1197&lt;&gt;"",IF(COUNTIFS('Lot Balance'!$A$5:$A$500,$F1197,'Lot Balance'!$B$5:$B$500,$AI1197)=0,"⚠ override is not a lot of this item",IF($AI1197=$AL1197,"Override = FEFO","Override - FEFO says "&amp;$AL1197)),IF($AL1197="","⚠ no receipt on file for this item",IF($AM1197&lt;&gt;$AL1197,"FEFO auto - split, also "&amp;$AM1197,"FEFO auto"))))</f>
        <v>FEFO auto</v>
      </c>
      <c r="AO1197" s="114"/>
    </row>
    <row r="1198" spans="1:41" x14ac:dyDescent="0.35">
      <c r="A1198" s="74">
        <v>46185</v>
      </c>
      <c r="B1198" s="18" t="str">
        <f>IF($C1198="","",IFERROR(INDEX('Staff Directory'!$A$5:$A$594,MATCH($C1198,'Staff Directory'!$B$5:$B$594,0)),"⚠ unknown staff"))</f>
        <v>PSW-174-TBD</v>
      </c>
      <c r="C1198" s="49" t="s">
        <v>1153</v>
      </c>
      <c r="D1198" s="19" t="str">
        <f>IF($B1198="","",IFERROR(INDEX('Staff Directory'!$C$5:$C$594,MATCH($B1198,'Staff Directory'!$A$5:$A$594,0)),""))</f>
        <v>PSW</v>
      </c>
      <c r="E1198" s="19">
        <f>IF($B1198="","",IFERROR(INDEX('Staff Directory'!$D$5:$D$594,MATCH($B1198,'Staff Directory'!$A$5:$A$594,0)),""))</f>
        <v>0</v>
      </c>
      <c r="F1198" s="9" t="s">
        <v>115</v>
      </c>
      <c r="G1198" s="18" t="str">
        <f>IF($F1198="","",IFERROR(INDEX(Items!$B$5:$B$597,MATCH($F1198,Items!$A$5:$A$597,0)),"⚠ not in Items"))</f>
        <v>Wipes</v>
      </c>
      <c r="H1198" s="19">
        <f>IF($F1198="","",IFERROR(INDEX(Items!$C$5:$C$597,MATCH($F1198,Items!$A$5:$A$597,0)),""))</f>
        <v>80</v>
      </c>
      <c r="I1198" s="23">
        <f>IF($F1198="","",IFERROR(INDEX(Items!$E$5:$E$597,MATCH($F1198,Items!$A$5:$A$597,0)),""))</f>
        <v>80</v>
      </c>
      <c r="J1198" s="115">
        <f>IF(tblIssues[[#This Row],[Qty Override]]&lt;&gt;"",tblIssues[[#This Row],[Qty Override]],IF(tblIssues[[#This Row],[Standard Issue]]="","",tblIssues[[#This Row],[Standard Issue]]))</f>
        <v>80</v>
      </c>
      <c r="K1198" s="20">
        <f>IF($F1198="","",IFERROR(INDEX(Items!$D$5:$D$597,MATCH($F1198,Items!$A$5:$A$597,0)),""))</f>
        <v>0.1</v>
      </c>
      <c r="L1198" s="21">
        <f t="shared" si="206"/>
        <v>8</v>
      </c>
      <c r="M1198" s="9" t="str">
        <f t="shared" si="204"/>
        <v>LYSL500290</v>
      </c>
      <c r="N1198" s="24">
        <f>IF($A1198="","",WORKDAY($A1198,Settings!$C$9,HolidayDates))</f>
        <v>46195</v>
      </c>
      <c r="O1198" s="24">
        <f>IF($N1198="","",WORKDAY($N1198,Settings!$C$10,HolidayDates))</f>
        <v>46233</v>
      </c>
      <c r="P1198" s="10" t="s">
        <v>501</v>
      </c>
      <c r="Q1198" s="52" t="str">
        <f t="shared" si="207"/>
        <v>Collected</v>
      </c>
      <c r="R1198" s="55" t="str">
        <f t="shared" si="208"/>
        <v>2026-06</v>
      </c>
      <c r="S1198" s="55">
        <f>IF(OR($B1198="",$F1198="",$R1198=""),"",SUMIFS(tblIssues[Qty Issued],tblIssues[Staff ID],$B1198,tblIssues[Item Name],$F1198,tblIssues[Month],$R1198))</f>
        <v>80</v>
      </c>
      <c r="T1198" s="56">
        <f>IF($I1198="","",$I1198*Settings!$C$11)</f>
        <v>80</v>
      </c>
      <c r="U1198" s="57" t="str">
        <f t="shared" si="205"/>
        <v>OK</v>
      </c>
      <c r="V1198" s="55" t="str">
        <f t="shared" si="209"/>
        <v/>
      </c>
      <c r="W1198" s="55" t="str">
        <f>IF($V1198="","",IF(COUNTIF($V$5:$V1198,$V1198)=1,1,""))</f>
        <v/>
      </c>
      <c r="X1198" s="58" t="str">
        <f>IF($W1198="","",MAX($X$4:X1197)+1)</f>
        <v/>
      </c>
      <c r="Y1198" s="62"/>
      <c r="Z1198" s="62"/>
      <c r="AA1198" s="64" t="str">
        <f>IF($C1198="","",IFERROR(INDEX('Staff Directory'!$E$5:$E$594,MATCH($C1198,'Staff Directory'!$B$5:$B$594,0)),""))</f>
        <v>firstname237.lastname237@example.com</v>
      </c>
      <c r="AB1198" s="64" t="str">
        <f>IF($C1198="","",IF(ISNUMBER(SEARCH($D1198,Settings!$C$15)),"Pickup","Dispatch"))</f>
        <v>Pickup</v>
      </c>
      <c r="AC1198" s="64" t="str">
        <f t="shared" si="210"/>
        <v>Supply order ready for pickup</v>
      </c>
      <c r="AD1198" s="64" t="str">
        <f t="shared" si="201"/>
        <v>Dear PSW,
Your order is ready for pickup from Sample Branch, Wed-Fri 9am-4pm.</v>
      </c>
      <c r="AE1198" s="64" t="str">
        <f t="shared" si="202"/>
        <v>mailto:firstname237.lastname237@example.com?subject=Supply%20order%20ready%20for%20pickup&amp;body=Dear%20PSW%2C%0A%0AYour%20order%20is%20ready%20for%20pickup%20from%20Sample%20Branch%2C%20Wed-Fri%209am-4pm.</v>
      </c>
      <c r="AF1198" s="89" t="str">
        <f t="shared" si="211"/>
        <v>Draft email</v>
      </c>
      <c r="AG1198" s="64" t="str">
        <f>IF($C1198="","",IFERROR(INDEX('Staff Directory'!$K$595:$K$599,MATCH($C1198,'Staff Directory'!$B$5:$B$599,0)),$D1198))</f>
        <v>PSW</v>
      </c>
      <c r="AH1198" t="str">
        <f>IF($C1198="","",IFERROR(INDEX('Staff Directory'!$I$595:$I$599,MATCH($C1198,'Staff Directory'!$B$5:$B$599,0))&amp;" "&amp;INDEX('Staff Directory'!$J$595:$J$599,MATCH($C1198,'Staff Directory'!$B$5:$B$599,0)),$AG1198))</f>
        <v>PSW</v>
      </c>
      <c r="AI1198" s="102"/>
      <c r="AJ1198" s="101">
        <f>IF($F1198="","",SUMIFS($J$5:$J1198,$F$5:$F1198,$F1198))</f>
        <v>16560</v>
      </c>
      <c r="AK1198" s="101">
        <f t="shared" si="203"/>
        <v>16481</v>
      </c>
      <c r="AL1198" s="66" t="str" cm="1">
        <f t="array" ref="AL1198">IF($F1198="","",IFERROR(INDEX('Lot Balance'!$B$5:$B$500,MATCH(1,INDEX(('Lot Balance'!$A$5:$A$500=$F1198)*('Lot Balance'!$K$5:$K$500&lt;$AK1198)*('Lot Balance'!$K$5:$K$500+'Lot Balance'!$D$5:$D$500&gt;=$AK1198),0),0)),""))</f>
        <v>LYSL500290</v>
      </c>
      <c r="AM1198" s="66" t="str" cm="1">
        <f t="array" ref="AM1198">IF($F1198="","",IFERROR(INDEX('Lot Balance'!$B$5:$B$500,MATCH(1,INDEX(('Lot Balance'!$A$5:$A$500=$F1198)*('Lot Balance'!$K$5:$K$500&lt;$AJ1198)*('Lot Balance'!$K$5:$K$500+'Lot Balance'!$D$5:$D$500&gt;=$AJ1198),0),0)),""))</f>
        <v>LYSL500290</v>
      </c>
      <c r="AN1198" s="66" t="str">
        <f>IF($F1198="","",IF($AI1198&lt;&gt;"",IF(COUNTIFS('Lot Balance'!$A$5:$A$500,$F1198,'Lot Balance'!$B$5:$B$500,$AI1198)=0,"⚠ override is not a lot of this item",IF($AI1198=$AL1198,"Override = FEFO","Override - FEFO says "&amp;$AL1198)),IF($AL1198="","⚠ no receipt on file for this item",IF($AM1198&lt;&gt;$AL1198,"FEFO auto - split, also "&amp;$AM1198,"FEFO auto"))))</f>
        <v>FEFO auto</v>
      </c>
      <c r="AO1198" s="114"/>
    </row>
    <row r="1199" spans="1:41" x14ac:dyDescent="0.35">
      <c r="A1199" s="74">
        <v>46185</v>
      </c>
      <c r="B1199" s="18" t="str">
        <f>IF($C1199="","",IFERROR(INDEX('Staff Directory'!$A$5:$A$594,MATCH($C1199,'Staff Directory'!$B$5:$B$594,0)),"⚠ unknown staff"))</f>
        <v>PSW-046-A4</v>
      </c>
      <c r="C1199" s="49" t="s">
        <v>1022</v>
      </c>
      <c r="D1199" s="19" t="str">
        <f>IF($B1199="","",IFERROR(INDEX('Staff Directory'!$C$5:$C$594,MATCH($B1199,'Staff Directory'!$A$5:$A$594,0)),""))</f>
        <v>PSW</v>
      </c>
      <c r="E1199" s="19" t="str">
        <f>IF($B1199="","",IFERROR(INDEX('Staff Directory'!$D$5:$D$594,MATCH($B1199,'Staff Directory'!$A$5:$A$594,0)),""))</f>
        <v>A4</v>
      </c>
      <c r="F1199" s="9" t="s">
        <v>129</v>
      </c>
      <c r="G1199" s="18" t="str">
        <f>IF($F1199="","",IFERROR(INDEX(Items!$B$5:$B$597,MATCH($F1199,Items!$A$5:$A$597,0)),"⚠ not in Items"))</f>
        <v>Gloves</v>
      </c>
      <c r="H1199" s="19" t="str">
        <f>IF($F1199="","",IFERROR(INDEX(Items!$C$5:$C$597,MATCH($F1199,Items!$A$5:$A$597,0)),""))</f>
        <v>Small</v>
      </c>
      <c r="I1199" s="23">
        <f>IF($F1199="","",IFERROR(INDEX(Items!$E$5:$E$597,MATCH($F1199,Items!$A$5:$A$597,0)),""))</f>
        <v>500</v>
      </c>
      <c r="J1199" s="115">
        <f>IF(tblIssues[[#This Row],[Qty Override]]&lt;&gt;"",tblIssues[[#This Row],[Qty Override]],IF(tblIssues[[#This Row],[Standard Issue]]="","",tblIssues[[#This Row],[Standard Issue]]))</f>
        <v>500</v>
      </c>
      <c r="K1199" s="20">
        <f>IF($F1199="","",IFERROR(INDEX(Items!$D$5:$D$597,MATCH($F1199,Items!$A$5:$A$597,0)),""))</f>
        <v>5.5E-2</v>
      </c>
      <c r="L1199" s="21">
        <f t="shared" si="206"/>
        <v>27.5</v>
      </c>
      <c r="M1199" s="9" t="str">
        <f t="shared" si="204"/>
        <v>ZIM504124207-8</v>
      </c>
      <c r="N1199" s="24">
        <f>IF($A1199="","",WORKDAY($A1199,Settings!$C$9,HolidayDates))</f>
        <v>46195</v>
      </c>
      <c r="O1199" s="24">
        <f>IF($N1199="","",WORKDAY($N1199,Settings!$C$10,HolidayDates))</f>
        <v>46233</v>
      </c>
      <c r="P1199" s="10" t="s">
        <v>501</v>
      </c>
      <c r="Q1199" s="52" t="str">
        <f t="shared" si="207"/>
        <v>Collected</v>
      </c>
      <c r="R1199" s="55" t="str">
        <f t="shared" si="208"/>
        <v>2026-06</v>
      </c>
      <c r="S1199" s="55">
        <f>IF(OR($B1199="",$F1199="",$R1199=""),"",SUMIFS(tblIssues[Qty Issued],tblIssues[Staff ID],$B1199,tblIssues[Item Name],$F1199,tblIssues[Month],$R1199))</f>
        <v>500</v>
      </c>
      <c r="T1199" s="56">
        <f>IF($I1199="","",$I1199*Settings!$C$11)</f>
        <v>500</v>
      </c>
      <c r="U1199" s="57" t="str">
        <f t="shared" si="205"/>
        <v>OK</v>
      </c>
      <c r="V1199" s="55" t="str">
        <f t="shared" si="209"/>
        <v/>
      </c>
      <c r="W1199" s="55" t="str">
        <f>IF($V1199="","",IF(COUNTIF($V$5:$V1199,$V1199)=1,1,""))</f>
        <v/>
      </c>
      <c r="X1199" s="58" t="str">
        <f>IF($W1199="","",MAX($X$4:X1198)+1)</f>
        <v/>
      </c>
      <c r="Y1199" s="62"/>
      <c r="Z1199" s="62"/>
      <c r="AA1199" s="64" t="str">
        <f>IF($C1199="","",IFERROR(INDEX('Staff Directory'!$E$5:$E$594,MATCH($C1199,'Staff Directory'!$B$5:$B$594,0)),""))</f>
        <v>firstname106.lastname106@example.com</v>
      </c>
      <c r="AB1199" s="64" t="str">
        <f>IF($C1199="","",IF(ISNUMBER(SEARCH($D1199,Settings!$C$15)),"Pickup","Dispatch"))</f>
        <v>Pickup</v>
      </c>
      <c r="AC1199" s="64" t="str">
        <f t="shared" si="210"/>
        <v>Supply order ready for pickup</v>
      </c>
      <c r="AD1199" s="64" t="str">
        <f t="shared" si="201"/>
        <v>Dear PSW,
Your order is ready for pickup from Sample Branch, Wed-Fri 9am-4pm.</v>
      </c>
      <c r="AE1199" s="64" t="str">
        <f t="shared" si="202"/>
        <v>mailto:firstname106.lastname106@example.com?subject=Supply%20order%20ready%20for%20pickup&amp;body=Dear%20PSW%2C%0A%0AYour%20order%20is%20ready%20for%20pickup%20from%20Sample%20Branch%2C%20Wed-Fri%209am-4pm.</v>
      </c>
      <c r="AF1199" s="89" t="str">
        <f t="shared" si="211"/>
        <v>Draft email</v>
      </c>
      <c r="AG1199" s="64" t="str">
        <f>IF($C1199="","",IFERROR(INDEX('Staff Directory'!$K$595:$K$599,MATCH($C1199,'Staff Directory'!$B$5:$B$599,0)),$D1199))</f>
        <v>PSW</v>
      </c>
      <c r="AH1199" t="str">
        <f>IF($C1199="","",IFERROR(INDEX('Staff Directory'!$I$595:$I$599,MATCH($C1199,'Staff Directory'!$B$5:$B$599,0))&amp;" "&amp;INDEX('Staff Directory'!$J$595:$J$599,MATCH($C1199,'Staff Directory'!$B$5:$B$599,0)),$AG1199))</f>
        <v>PSW</v>
      </c>
      <c r="AI1199" s="102"/>
      <c r="AJ1199" s="101">
        <f>IF($F1199="","",SUMIFS($J$5:$J1199,$F$5:$F1199,$F1199))</f>
        <v>38000</v>
      </c>
      <c r="AK1199" s="101">
        <f t="shared" si="203"/>
        <v>37501</v>
      </c>
      <c r="AL1199" s="66" t="str" cm="1">
        <f t="array" ref="AL1199">IF($F1199="","",IFERROR(INDEX('Lot Balance'!$B$5:$B$500,MATCH(1,INDEX(('Lot Balance'!$A$5:$A$500=$F1199)*('Lot Balance'!$K$5:$K$500&lt;$AK1199)*('Lot Balance'!$K$5:$K$500+'Lot Balance'!$D$5:$D$500&gt;=$AK1199),0),0)),""))</f>
        <v>ZIM504124207-8</v>
      </c>
      <c r="AM1199" s="66" t="str" cm="1">
        <f t="array" ref="AM1199">IF($F1199="","",IFERROR(INDEX('Lot Balance'!$B$5:$B$500,MATCH(1,INDEX(('Lot Balance'!$A$5:$A$500=$F1199)*('Lot Balance'!$K$5:$K$500&lt;$AJ1199)*('Lot Balance'!$K$5:$K$500+'Lot Balance'!$D$5:$D$500&gt;=$AJ1199),0),0)),""))</f>
        <v>ZIM504124207-8</v>
      </c>
      <c r="AN1199" s="66" t="str">
        <f>IF($F1199="","",IF($AI1199&lt;&gt;"",IF(COUNTIFS('Lot Balance'!$A$5:$A$500,$F1199,'Lot Balance'!$B$5:$B$500,$AI1199)=0,"⚠ override is not a lot of this item",IF($AI1199=$AL1199,"Override = FEFO","Override - FEFO says "&amp;$AL1199)),IF($AL1199="","⚠ no receipt on file for this item",IF($AM1199&lt;&gt;$AL1199,"FEFO auto - split, also "&amp;$AM1199,"FEFO auto"))))</f>
        <v>FEFO auto</v>
      </c>
      <c r="AO1199" s="114"/>
    </row>
    <row r="1200" spans="1:41" x14ac:dyDescent="0.35">
      <c r="A1200" s="74">
        <v>46185</v>
      </c>
      <c r="B1200" s="18" t="str">
        <f>IF($C1200="","",IFERROR(INDEX('Staff Directory'!$A$5:$A$594,MATCH($C1200,'Staff Directory'!$B$5:$B$594,0)),"⚠ unknown staff"))</f>
        <v>PSW-050-A7</v>
      </c>
      <c r="C1200" s="49" t="s">
        <v>1026</v>
      </c>
      <c r="D1200" s="19" t="str">
        <f>IF($B1200="","",IFERROR(INDEX('Staff Directory'!$C$5:$C$594,MATCH($B1200,'Staff Directory'!$A$5:$A$594,0)),""))</f>
        <v>PSW</v>
      </c>
      <c r="E1200" s="19" t="str">
        <f>IF($B1200="","",IFERROR(INDEX('Staff Directory'!$D$5:$D$594,MATCH($B1200,'Staff Directory'!$A$5:$A$594,0)),""))</f>
        <v>A7</v>
      </c>
      <c r="F1200" s="9" t="s">
        <v>127</v>
      </c>
      <c r="G1200" s="18" t="str">
        <f>IF($F1200="","",IFERROR(INDEX(Items!$B$5:$B$597,MATCH($F1200,Items!$A$5:$A$597,0)),"⚠ not in Items"))</f>
        <v>Gloves</v>
      </c>
      <c r="H1200" s="19" t="str">
        <f>IF($F1200="","",IFERROR(INDEX(Items!$C$5:$C$597,MATCH($F1200,Items!$A$5:$A$597,0)),""))</f>
        <v>Medium</v>
      </c>
      <c r="I1200" s="23">
        <f>IF($F1200="","",IFERROR(INDEX(Items!$E$5:$E$597,MATCH($F1200,Items!$A$5:$A$597,0)),""))</f>
        <v>500</v>
      </c>
      <c r="J1200" s="115">
        <f>IF(tblIssues[[#This Row],[Qty Override]]&lt;&gt;"",tblIssues[[#This Row],[Qty Override]],IF(tblIssues[[#This Row],[Standard Issue]]="","",tblIssues[[#This Row],[Standard Issue]]))</f>
        <v>500</v>
      </c>
      <c r="K1200" s="20">
        <f>IF($F1200="","",IFERROR(INDEX(Items!$D$5:$D$597,MATCH($F1200,Items!$A$5:$A$597,0)),""))</f>
        <v>5.5E-2</v>
      </c>
      <c r="L1200" s="21">
        <f t="shared" si="206"/>
        <v>27.5</v>
      </c>
      <c r="M1200" s="9" t="str">
        <f t="shared" si="204"/>
        <v>315JIC25</v>
      </c>
      <c r="N1200" s="24">
        <f>IF($A1200="","",WORKDAY($A1200,Settings!$C$9,HolidayDates))</f>
        <v>46195</v>
      </c>
      <c r="O1200" s="24">
        <f>IF($N1200="","",WORKDAY($N1200,Settings!$C$10,HolidayDates))</f>
        <v>46233</v>
      </c>
      <c r="P1200" s="10" t="s">
        <v>501</v>
      </c>
      <c r="Q1200" s="52" t="str">
        <f t="shared" si="207"/>
        <v>Collected</v>
      </c>
      <c r="R1200" s="55" t="str">
        <f t="shared" si="208"/>
        <v>2026-06</v>
      </c>
      <c r="S1200" s="55">
        <f>IF(OR($B1200="",$F1200="",$R1200=""),"",SUMIFS(tblIssues[Qty Issued],tblIssues[Staff ID],$B1200,tblIssues[Item Name],$F1200,tblIssues[Month],$R1200))</f>
        <v>500</v>
      </c>
      <c r="T1200" s="56">
        <f>IF($I1200="","",$I1200*Settings!$C$11)</f>
        <v>500</v>
      </c>
      <c r="U1200" s="57" t="str">
        <f t="shared" si="205"/>
        <v>OK</v>
      </c>
      <c r="V1200" s="55" t="str">
        <f t="shared" si="209"/>
        <v/>
      </c>
      <c r="W1200" s="55" t="str">
        <f>IF($V1200="","",IF(COUNTIF($V$5:$V1200,$V1200)=1,1,""))</f>
        <v/>
      </c>
      <c r="X1200" s="58" t="str">
        <f>IF($W1200="","",MAX($X$4:X1199)+1)</f>
        <v/>
      </c>
      <c r="Y1200" s="62"/>
      <c r="Z1200" s="62"/>
      <c r="AA1200" s="64" t="str">
        <f>IF($C1200="","",IFERROR(INDEX('Staff Directory'!$E$5:$E$594,MATCH($C1200,'Staff Directory'!$B$5:$B$594,0)),""))</f>
        <v>firstname110.lastname110@example.com</v>
      </c>
      <c r="AB1200" s="64" t="str">
        <f>IF($C1200="","",IF(ISNUMBER(SEARCH($D1200,Settings!$C$15)),"Pickup","Dispatch"))</f>
        <v>Pickup</v>
      </c>
      <c r="AC1200" s="64" t="str">
        <f t="shared" si="210"/>
        <v>Supply order ready for pickup</v>
      </c>
      <c r="AD1200" s="64" t="str">
        <f t="shared" si="201"/>
        <v>Dear PSW,
Your order is ready for pickup from Sample Branch, Wed-Fri 9am-4pm.</v>
      </c>
      <c r="AE1200" s="64" t="str">
        <f t="shared" si="202"/>
        <v>mailto:firstname110.lastname110@example.com?subject=Supply%20order%20ready%20for%20pickup&amp;body=Dear%20PSW%2C%0A%0AYour%20order%20is%20ready%20for%20pickup%20from%20Sample%20Branch%2C%20Wed-Fri%209am-4pm.</v>
      </c>
      <c r="AF1200" s="89" t="str">
        <f t="shared" si="211"/>
        <v>Draft email</v>
      </c>
      <c r="AG1200" s="64" t="str">
        <f>IF($C1200="","",IFERROR(INDEX('Staff Directory'!$K$595:$K$599,MATCH($C1200,'Staff Directory'!$B$5:$B$599,0)),$D1200))</f>
        <v>PSW</v>
      </c>
      <c r="AH1200" t="str">
        <f>IF($C1200="","",IFERROR(INDEX('Staff Directory'!$I$595:$I$599,MATCH($C1200,'Staff Directory'!$B$5:$B$599,0))&amp;" "&amp;INDEX('Staff Directory'!$J$595:$J$599,MATCH($C1200,'Staff Directory'!$B$5:$B$599,0)),$AG1200))</f>
        <v>PSW</v>
      </c>
      <c r="AI1200" s="102"/>
      <c r="AJ1200" s="101">
        <f>IF($F1200="","",SUMIFS($J$5:$J1200,$F$5:$F1200,$F1200))</f>
        <v>71000</v>
      </c>
      <c r="AK1200" s="101">
        <f t="shared" si="203"/>
        <v>70501</v>
      </c>
      <c r="AL1200" s="66" t="str" cm="1">
        <f t="array" ref="AL1200">IF($F1200="","",IFERROR(INDEX('Lot Balance'!$B$5:$B$500,MATCH(1,INDEX(('Lot Balance'!$A$5:$A$500=$F1200)*('Lot Balance'!$K$5:$K$500&lt;$AK1200)*('Lot Balance'!$K$5:$K$500+'Lot Balance'!$D$5:$D$500&gt;=$AK1200),0),0)),""))</f>
        <v>315JIC25</v>
      </c>
      <c r="AM1200" s="66" t="str" cm="1">
        <f t="array" ref="AM1200">IF($F1200="","",IFERROR(INDEX('Lot Balance'!$B$5:$B$500,MATCH(1,INDEX(('Lot Balance'!$A$5:$A$500=$F1200)*('Lot Balance'!$K$5:$K$500&lt;$AJ1200)*('Lot Balance'!$K$5:$K$500+'Lot Balance'!$D$5:$D$500&gt;=$AJ1200),0),0)),""))</f>
        <v>315JIC25</v>
      </c>
      <c r="AN1200" s="66" t="str">
        <f>IF($F1200="","",IF($AI1200&lt;&gt;"",IF(COUNTIFS('Lot Balance'!$A$5:$A$500,$F1200,'Lot Balance'!$B$5:$B$500,$AI1200)=0,"⚠ override is not a lot of this item",IF($AI1200=$AL1200,"Override = FEFO","Override - FEFO says "&amp;$AL1200)),IF($AL1200="","⚠ no receipt on file for this item",IF($AM1200&lt;&gt;$AL1200,"FEFO auto - split, also "&amp;$AM1200,"FEFO auto"))))</f>
        <v>FEFO auto</v>
      </c>
      <c r="AO1200" s="114"/>
    </row>
    <row r="1201" spans="1:41" x14ac:dyDescent="0.35">
      <c r="A1201" s="74">
        <v>46185</v>
      </c>
      <c r="B1201" s="18" t="str">
        <f>IF($C1201="","",IFERROR(INDEX('Staff Directory'!$A$5:$A$594,MATCH($C1201,'Staff Directory'!$B$5:$B$594,0)),"⚠ unknown staff"))</f>
        <v>PSW-050-A7</v>
      </c>
      <c r="C1201" s="49" t="s">
        <v>1026</v>
      </c>
      <c r="D1201" s="19" t="str">
        <f>IF($B1201="","",IFERROR(INDEX('Staff Directory'!$C$5:$C$594,MATCH($B1201,'Staff Directory'!$A$5:$A$594,0)),""))</f>
        <v>PSW</v>
      </c>
      <c r="E1201" s="19" t="str">
        <f>IF($B1201="","",IFERROR(INDEX('Staff Directory'!$D$5:$D$594,MATCH($B1201,'Staff Directory'!$A$5:$A$594,0)),""))</f>
        <v>A7</v>
      </c>
      <c r="F1201" s="9" t="s">
        <v>191</v>
      </c>
      <c r="G1201" s="18" t="str">
        <f>IF($F1201="","",IFERROR(INDEX(Items!$B$5:$B$597,MATCH($F1201,Items!$A$5:$A$597,0)),"⚠ not in Items"))</f>
        <v>Sanitizer</v>
      </c>
      <c r="H1201" s="19" t="str">
        <f>IF($F1201="","",IFERROR(INDEX(Items!$C$5:$C$597,MATCH($F1201,Items!$A$5:$A$597,0)),""))</f>
        <v>236 ML</v>
      </c>
      <c r="I1201" s="23">
        <f>IF($F1201="","",IFERROR(INDEX(Items!$E$5:$E$597,MATCH($F1201,Items!$A$5:$A$597,0)),""))</f>
        <v>1</v>
      </c>
      <c r="J1201" s="115">
        <f>IF(tblIssues[[#This Row],[Qty Override]]&lt;&gt;"",tblIssues[[#This Row],[Qty Override]],IF(tblIssues[[#This Row],[Standard Issue]]="","",tblIssues[[#This Row],[Standard Issue]]))</f>
        <v>1</v>
      </c>
      <c r="K1201" s="20">
        <f>IF($F1201="","",IFERROR(INDEX(Items!$D$5:$D$597,MATCH($F1201,Items!$A$5:$A$597,0)),""))</f>
        <v>1E-4</v>
      </c>
      <c r="L1201" s="21">
        <f t="shared" si="206"/>
        <v>1E-4</v>
      </c>
      <c r="M1201" s="9" t="str">
        <f t="shared" si="204"/>
        <v>20-21734-4</v>
      </c>
      <c r="N1201" s="24">
        <f>IF($A1201="","",WORKDAY($A1201,Settings!$C$9,HolidayDates))</f>
        <v>46195</v>
      </c>
      <c r="O1201" s="24">
        <f>IF($N1201="","",WORKDAY($N1201,Settings!$C$10,HolidayDates))</f>
        <v>46233</v>
      </c>
      <c r="P1201" s="10" t="s">
        <v>501</v>
      </c>
      <c r="Q1201" s="52" t="str">
        <f t="shared" si="207"/>
        <v>Collected</v>
      </c>
      <c r="R1201" s="55" t="str">
        <f t="shared" si="208"/>
        <v>2026-06</v>
      </c>
      <c r="S1201" s="55">
        <f>IF(OR($B1201="",$F1201="",$R1201=""),"",SUMIFS(tblIssues[Qty Issued],tblIssues[Staff ID],$B1201,tblIssues[Item Name],$F1201,tblIssues[Month],$R1201))</f>
        <v>1</v>
      </c>
      <c r="T1201" s="56">
        <f>IF($I1201="","",$I1201*Settings!$C$11)</f>
        <v>1</v>
      </c>
      <c r="U1201" s="57" t="str">
        <f t="shared" si="205"/>
        <v>OK</v>
      </c>
      <c r="V1201" s="55" t="str">
        <f t="shared" si="209"/>
        <v/>
      </c>
      <c r="W1201" s="55" t="str">
        <f>IF($V1201="","",IF(COUNTIF($V$5:$V1201,$V1201)=1,1,""))</f>
        <v/>
      </c>
      <c r="X1201" s="58" t="str">
        <f>IF($W1201="","",MAX($X$4:X1200)+1)</f>
        <v/>
      </c>
      <c r="Y1201" s="62"/>
      <c r="Z1201" s="62"/>
      <c r="AA1201" s="64" t="str">
        <f>IF($C1201="","",IFERROR(INDEX('Staff Directory'!$E$5:$E$594,MATCH($C1201,'Staff Directory'!$B$5:$B$594,0)),""))</f>
        <v>firstname110.lastname110@example.com</v>
      </c>
      <c r="AB1201" s="64" t="str">
        <f>IF($C1201="","",IF(ISNUMBER(SEARCH($D1201,Settings!$C$15)),"Pickup","Dispatch"))</f>
        <v>Pickup</v>
      </c>
      <c r="AC1201" s="64" t="str">
        <f t="shared" si="210"/>
        <v>Supply order ready for pickup</v>
      </c>
      <c r="AD1201" s="64" t="str">
        <f t="shared" si="201"/>
        <v>Dear PSW,
Your order is ready for pickup from Sample Branch, Wed-Fri 9am-4pm.</v>
      </c>
      <c r="AE1201" s="64" t="str">
        <f t="shared" si="202"/>
        <v>mailto:firstname110.lastname110@example.com?subject=Supply%20order%20ready%20for%20pickup&amp;body=Dear%20PSW%2C%0A%0AYour%20order%20is%20ready%20for%20pickup%20from%20Sample%20Branch%2C%20Wed-Fri%209am-4pm.</v>
      </c>
      <c r="AF1201" s="89" t="str">
        <f t="shared" si="211"/>
        <v>Draft email</v>
      </c>
      <c r="AG1201" s="64" t="str">
        <f>IF($C1201="","",IFERROR(INDEX('Staff Directory'!$K$595:$K$599,MATCH($C1201,'Staff Directory'!$B$5:$B$599,0)),$D1201))</f>
        <v>PSW</v>
      </c>
      <c r="AH1201" t="str">
        <f>IF($C1201="","",IFERROR(INDEX('Staff Directory'!$I$595:$I$599,MATCH($C1201,'Staff Directory'!$B$5:$B$599,0))&amp;" "&amp;INDEX('Staff Directory'!$J$595:$J$599,MATCH($C1201,'Staff Directory'!$B$5:$B$599,0)),$AG1201))</f>
        <v>PSW</v>
      </c>
      <c r="AI1201" s="102"/>
      <c r="AJ1201" s="101">
        <f>IF($F1201="","",SUMIFS($J$5:$J1201,$F$5:$F1201,$F1201))</f>
        <v>149</v>
      </c>
      <c r="AK1201" s="101">
        <f t="shared" si="203"/>
        <v>149</v>
      </c>
      <c r="AL1201" s="66" t="str" cm="1">
        <f t="array" ref="AL1201">IF($F1201="","",IFERROR(INDEX('Lot Balance'!$B$5:$B$500,MATCH(1,INDEX(('Lot Balance'!$A$5:$A$500=$F1201)*('Lot Balance'!$K$5:$K$500&lt;$AK1201)*('Lot Balance'!$K$5:$K$500+'Lot Balance'!$D$5:$D$500&gt;=$AK1201),0),0)),""))</f>
        <v>20-21734-4</v>
      </c>
      <c r="AM1201" s="66" t="str" cm="1">
        <f t="array" ref="AM1201">IF($F1201="","",IFERROR(INDEX('Lot Balance'!$B$5:$B$500,MATCH(1,INDEX(('Lot Balance'!$A$5:$A$500=$F1201)*('Lot Balance'!$K$5:$K$500&lt;$AJ1201)*('Lot Balance'!$K$5:$K$500+'Lot Balance'!$D$5:$D$500&gt;=$AJ1201),0),0)),""))</f>
        <v>20-21734-4</v>
      </c>
      <c r="AN1201" s="66" t="str">
        <f>IF($F1201="","",IF($AI1201&lt;&gt;"",IF(COUNTIFS('Lot Balance'!$A$5:$A$500,$F1201,'Lot Balance'!$B$5:$B$500,$AI1201)=0,"⚠ override is not a lot of this item",IF($AI1201=$AL1201,"Override = FEFO","Override - FEFO says "&amp;$AL1201)),IF($AL1201="","⚠ no receipt on file for this item",IF($AM1201&lt;&gt;$AL1201,"FEFO auto - split, also "&amp;$AM1201,"FEFO auto"))))</f>
        <v>FEFO auto</v>
      </c>
      <c r="AO1201" s="114"/>
    </row>
    <row r="1202" spans="1:41" x14ac:dyDescent="0.35">
      <c r="A1202" s="74">
        <v>46185</v>
      </c>
      <c r="B1202" s="18" t="str">
        <f>IF($C1202="","",IFERROR(INDEX('Staff Directory'!$A$5:$A$594,MATCH($C1202,'Staff Directory'!$B$5:$B$594,0)),"⚠ unknown staff"))</f>
        <v>PSW-050-A7</v>
      </c>
      <c r="C1202" s="49" t="s">
        <v>1026</v>
      </c>
      <c r="D1202" s="19" t="str">
        <f>IF($B1202="","",IFERROR(INDEX('Staff Directory'!$C$5:$C$594,MATCH($B1202,'Staff Directory'!$A$5:$A$594,0)),""))</f>
        <v>PSW</v>
      </c>
      <c r="E1202" s="19" t="str">
        <f>IF($B1202="","",IFERROR(INDEX('Staff Directory'!$D$5:$D$594,MATCH($B1202,'Staff Directory'!$A$5:$A$594,0)),""))</f>
        <v>A7</v>
      </c>
      <c r="F1202" s="9" t="s">
        <v>115</v>
      </c>
      <c r="G1202" s="18" t="str">
        <f>IF($F1202="","",IFERROR(INDEX(Items!$B$5:$B$597,MATCH($F1202,Items!$A$5:$A$597,0)),"⚠ not in Items"))</f>
        <v>Wipes</v>
      </c>
      <c r="H1202" s="19">
        <f>IF($F1202="","",IFERROR(INDEX(Items!$C$5:$C$597,MATCH($F1202,Items!$A$5:$A$597,0)),""))</f>
        <v>80</v>
      </c>
      <c r="I1202" s="23">
        <f>IF($F1202="","",IFERROR(INDEX(Items!$E$5:$E$597,MATCH($F1202,Items!$A$5:$A$597,0)),""))</f>
        <v>80</v>
      </c>
      <c r="J1202" s="115">
        <f>IF(tblIssues[[#This Row],[Qty Override]]&lt;&gt;"",tblIssues[[#This Row],[Qty Override]],IF(tblIssues[[#This Row],[Standard Issue]]="","",tblIssues[[#This Row],[Standard Issue]]))</f>
        <v>80</v>
      </c>
      <c r="K1202" s="20">
        <f>IF($F1202="","",IFERROR(INDEX(Items!$D$5:$D$597,MATCH($F1202,Items!$A$5:$A$597,0)),""))</f>
        <v>0.1</v>
      </c>
      <c r="L1202" s="21">
        <f t="shared" si="206"/>
        <v>8</v>
      </c>
      <c r="M1202" s="9" t="str">
        <f t="shared" si="204"/>
        <v>LYSL500290</v>
      </c>
      <c r="N1202" s="24">
        <f>IF($A1202="","",WORKDAY($A1202,Settings!$C$9,HolidayDates))</f>
        <v>46195</v>
      </c>
      <c r="O1202" s="24">
        <f>IF($N1202="","",WORKDAY($N1202,Settings!$C$10,HolidayDates))</f>
        <v>46233</v>
      </c>
      <c r="P1202" s="10" t="s">
        <v>501</v>
      </c>
      <c r="Q1202" s="52" t="str">
        <f t="shared" si="207"/>
        <v>Collected</v>
      </c>
      <c r="R1202" s="55" t="str">
        <f t="shared" si="208"/>
        <v>2026-06</v>
      </c>
      <c r="S1202" s="55">
        <f>IF(OR($B1202="",$F1202="",$R1202=""),"",SUMIFS(tblIssues[Qty Issued],tblIssues[Staff ID],$B1202,tblIssues[Item Name],$F1202,tblIssues[Month],$R1202))</f>
        <v>80</v>
      </c>
      <c r="T1202" s="56">
        <f>IF($I1202="","",$I1202*Settings!$C$11)</f>
        <v>80</v>
      </c>
      <c r="U1202" s="57" t="str">
        <f t="shared" si="205"/>
        <v>OK</v>
      </c>
      <c r="V1202" s="55" t="str">
        <f t="shared" si="209"/>
        <v/>
      </c>
      <c r="W1202" s="55" t="str">
        <f>IF($V1202="","",IF(COUNTIF($V$5:$V1202,$V1202)=1,1,""))</f>
        <v/>
      </c>
      <c r="X1202" s="58" t="str">
        <f>IF($W1202="","",MAX($X$4:X1201)+1)</f>
        <v/>
      </c>
      <c r="Y1202" s="62"/>
      <c r="Z1202" s="62"/>
      <c r="AA1202" s="64" t="str">
        <f>IF($C1202="","",IFERROR(INDEX('Staff Directory'!$E$5:$E$594,MATCH($C1202,'Staff Directory'!$B$5:$B$594,0)),""))</f>
        <v>firstname110.lastname110@example.com</v>
      </c>
      <c r="AB1202" s="64" t="str">
        <f>IF($C1202="","",IF(ISNUMBER(SEARCH($D1202,Settings!$C$15)),"Pickup","Dispatch"))</f>
        <v>Pickup</v>
      </c>
      <c r="AC1202" s="64" t="str">
        <f t="shared" si="210"/>
        <v>Supply order ready for pickup</v>
      </c>
      <c r="AD1202" s="64" t="str">
        <f t="shared" si="201"/>
        <v>Dear PSW,
Your order is ready for pickup from Sample Branch, Wed-Fri 9am-4pm.</v>
      </c>
      <c r="AE1202" s="64" t="str">
        <f t="shared" si="202"/>
        <v>mailto:firstname110.lastname110@example.com?subject=Supply%20order%20ready%20for%20pickup&amp;body=Dear%20PSW%2C%0A%0AYour%20order%20is%20ready%20for%20pickup%20from%20Sample%20Branch%2C%20Wed-Fri%209am-4pm.</v>
      </c>
      <c r="AF1202" s="89" t="str">
        <f t="shared" si="211"/>
        <v>Draft email</v>
      </c>
      <c r="AG1202" s="64" t="str">
        <f>IF($C1202="","",IFERROR(INDEX('Staff Directory'!$K$595:$K$599,MATCH($C1202,'Staff Directory'!$B$5:$B$599,0)),$D1202))</f>
        <v>PSW</v>
      </c>
      <c r="AH1202" t="str">
        <f>IF($C1202="","",IFERROR(INDEX('Staff Directory'!$I$595:$I$599,MATCH($C1202,'Staff Directory'!$B$5:$B$599,0))&amp;" "&amp;INDEX('Staff Directory'!$J$595:$J$599,MATCH($C1202,'Staff Directory'!$B$5:$B$599,0)),$AG1202))</f>
        <v>PSW</v>
      </c>
      <c r="AI1202" s="102"/>
      <c r="AJ1202" s="101">
        <f>IF($F1202="","",SUMIFS($J$5:$J1202,$F$5:$F1202,$F1202))</f>
        <v>16640</v>
      </c>
      <c r="AK1202" s="101">
        <f t="shared" si="203"/>
        <v>16561</v>
      </c>
      <c r="AL1202" s="66" t="str" cm="1">
        <f t="array" ref="AL1202">IF($F1202="","",IFERROR(INDEX('Lot Balance'!$B$5:$B$500,MATCH(1,INDEX(('Lot Balance'!$A$5:$A$500=$F1202)*('Lot Balance'!$K$5:$K$500&lt;$AK1202)*('Lot Balance'!$K$5:$K$500+'Lot Balance'!$D$5:$D$500&gt;=$AK1202),0),0)),""))</f>
        <v>LYSL500290</v>
      </c>
      <c r="AM1202" s="66" t="str" cm="1">
        <f t="array" ref="AM1202">IF($F1202="","",IFERROR(INDEX('Lot Balance'!$B$5:$B$500,MATCH(1,INDEX(('Lot Balance'!$A$5:$A$500=$F1202)*('Lot Balance'!$K$5:$K$500&lt;$AJ1202)*('Lot Balance'!$K$5:$K$500+'Lot Balance'!$D$5:$D$500&gt;=$AJ1202),0),0)),""))</f>
        <v>LYSL500290</v>
      </c>
      <c r="AN1202" s="66" t="str">
        <f>IF($F1202="","",IF($AI1202&lt;&gt;"",IF(COUNTIFS('Lot Balance'!$A$5:$A$500,$F1202,'Lot Balance'!$B$5:$B$500,$AI1202)=0,"⚠ override is not a lot of this item",IF($AI1202=$AL1202,"Override = FEFO","Override - FEFO says "&amp;$AL1202)),IF($AL1202="","⚠ no receipt on file for this item",IF($AM1202&lt;&gt;$AL1202,"FEFO auto - split, also "&amp;$AM1202,"FEFO auto"))))</f>
        <v>FEFO auto</v>
      </c>
      <c r="AO1202" s="114"/>
    </row>
    <row r="1203" spans="1:41" x14ac:dyDescent="0.35">
      <c r="A1203" s="74">
        <v>46185</v>
      </c>
      <c r="B1203" s="18" t="str">
        <f>IF($C1203="","",IFERROR(INDEX('Staff Directory'!$A$5:$A$594,MATCH($C1203,'Staff Directory'!$B$5:$B$594,0)),"⚠ unknown staff"))</f>
        <v>PSW-050-A7</v>
      </c>
      <c r="C1203" s="49" t="s">
        <v>1026</v>
      </c>
      <c r="D1203" s="19" t="str">
        <f>IF($B1203="","",IFERROR(INDEX('Staff Directory'!$C$5:$C$594,MATCH($B1203,'Staff Directory'!$A$5:$A$594,0)),""))</f>
        <v>PSW</v>
      </c>
      <c r="E1203" s="19" t="str">
        <f>IF($B1203="","",IFERROR(INDEX('Staff Directory'!$D$5:$D$594,MATCH($B1203,'Staff Directory'!$A$5:$A$594,0)),""))</f>
        <v>A7</v>
      </c>
      <c r="F1203" s="9" t="s">
        <v>156</v>
      </c>
      <c r="G1203" s="18" t="str">
        <f>IF($F1203="","",IFERROR(INDEX(Items!$B$5:$B$597,MATCH($F1203,Items!$A$5:$A$597,0)),"⚠ not in Items"))</f>
        <v>Masks</v>
      </c>
      <c r="H1203" s="19" t="str">
        <f>IF($F1203="","",IFERROR(INDEX(Items!$C$5:$C$597,MATCH($F1203,Items!$A$5:$A$597,0)),""))</f>
        <v>One Size</v>
      </c>
      <c r="I1203" s="23">
        <f>IF($F1203="","",IFERROR(INDEX(Items!$E$5:$E$597,MATCH($F1203,Items!$A$5:$A$597,0)),""))</f>
        <v>50</v>
      </c>
      <c r="J1203" s="115">
        <f>IF(tblIssues[[#This Row],[Qty Override]]&lt;&gt;"",tblIssues[[#This Row],[Qty Override]],IF(tblIssues[[#This Row],[Standard Issue]]="","",tblIssues[[#This Row],[Standard Issue]]))</f>
        <v>50</v>
      </c>
      <c r="K1203" s="20">
        <f>IF($F1203="","",IFERROR(INDEX(Items!$D$5:$D$597,MATCH($F1203,Items!$A$5:$A$597,0)),""))</f>
        <v>0.25</v>
      </c>
      <c r="L1203" s="21">
        <f t="shared" si="206"/>
        <v>12.5</v>
      </c>
      <c r="M1203" s="9" t="str">
        <f t="shared" si="204"/>
        <v>102GPC24</v>
      </c>
      <c r="N1203" s="24">
        <f>IF($A1203="","",WORKDAY($A1203,Settings!$C$9,HolidayDates))</f>
        <v>46195</v>
      </c>
      <c r="O1203" s="24">
        <f>IF($N1203="","",WORKDAY($N1203,Settings!$C$10,HolidayDates))</f>
        <v>46233</v>
      </c>
      <c r="P1203" s="10" t="s">
        <v>501</v>
      </c>
      <c r="Q1203" s="52" t="str">
        <f t="shared" si="207"/>
        <v>Collected</v>
      </c>
      <c r="R1203" s="55" t="str">
        <f t="shared" si="208"/>
        <v>2026-06</v>
      </c>
      <c r="S1203" s="55">
        <f>IF(OR($B1203="",$F1203="",$R1203=""),"",SUMIFS(tblIssues[Qty Issued],tblIssues[Staff ID],$B1203,tblIssues[Item Name],$F1203,tblIssues[Month],$R1203))</f>
        <v>50</v>
      </c>
      <c r="T1203" s="56">
        <f>IF($I1203="","",$I1203*Settings!$C$11)</f>
        <v>50</v>
      </c>
      <c r="U1203" s="57" t="str">
        <f t="shared" si="205"/>
        <v>OK</v>
      </c>
      <c r="V1203" s="55" t="str">
        <f t="shared" si="209"/>
        <v/>
      </c>
      <c r="W1203" s="55" t="str">
        <f>IF($V1203="","",IF(COUNTIF($V$5:$V1203,$V1203)=1,1,""))</f>
        <v/>
      </c>
      <c r="X1203" s="58" t="str">
        <f>IF($W1203="","",MAX($X$4:X1202)+1)</f>
        <v/>
      </c>
      <c r="Y1203" s="62"/>
      <c r="Z1203" s="62"/>
      <c r="AA1203" s="64" t="str">
        <f>IF($C1203="","",IFERROR(INDEX('Staff Directory'!$E$5:$E$594,MATCH($C1203,'Staff Directory'!$B$5:$B$594,0)),""))</f>
        <v>firstname110.lastname110@example.com</v>
      </c>
      <c r="AB1203" s="64" t="str">
        <f>IF($C1203="","",IF(ISNUMBER(SEARCH($D1203,Settings!$C$15)),"Pickup","Dispatch"))</f>
        <v>Pickup</v>
      </c>
      <c r="AC1203" s="64" t="str">
        <f t="shared" si="210"/>
        <v>Supply order ready for pickup</v>
      </c>
      <c r="AD1203" s="64" t="str">
        <f t="shared" si="201"/>
        <v>Dear PSW,
Your order is ready for pickup from Sample Branch, Wed-Fri 9am-4pm.</v>
      </c>
      <c r="AE1203" s="64" t="str">
        <f t="shared" si="202"/>
        <v>mailto:firstname110.lastname110@example.com?subject=Supply%20order%20ready%20for%20pickup&amp;body=Dear%20PSW%2C%0A%0AYour%20order%20is%20ready%20for%20pickup%20from%20Sample%20Branch%2C%20Wed-Fri%209am-4pm.</v>
      </c>
      <c r="AF1203" s="89" t="str">
        <f t="shared" si="211"/>
        <v>Draft email</v>
      </c>
      <c r="AG1203" s="64" t="str">
        <f>IF($C1203="","",IFERROR(INDEX('Staff Directory'!$K$595:$K$599,MATCH($C1203,'Staff Directory'!$B$5:$B$599,0)),$D1203))</f>
        <v>PSW</v>
      </c>
      <c r="AH1203" t="str">
        <f>IF($C1203="","",IFERROR(INDEX('Staff Directory'!$I$595:$I$599,MATCH($C1203,'Staff Directory'!$B$5:$B$599,0))&amp;" "&amp;INDEX('Staff Directory'!$J$595:$J$599,MATCH($C1203,'Staff Directory'!$B$5:$B$599,0)),$AG1203))</f>
        <v>PSW</v>
      </c>
      <c r="AI1203" s="102"/>
      <c r="AJ1203" s="101">
        <f>IF($F1203="","",SUMIFS($J$5:$J1203,$F$5:$F1203,$F1203))</f>
        <v>10050</v>
      </c>
      <c r="AK1203" s="101">
        <f t="shared" si="203"/>
        <v>10001</v>
      </c>
      <c r="AL1203" s="66" t="str" cm="1">
        <f t="array" ref="AL1203">IF($F1203="","",IFERROR(INDEX('Lot Balance'!$B$5:$B$500,MATCH(1,INDEX(('Lot Balance'!$A$5:$A$500=$F1203)*('Lot Balance'!$K$5:$K$500&lt;$AK1203)*('Lot Balance'!$K$5:$K$500+'Lot Balance'!$D$5:$D$500&gt;=$AK1203),0),0)),""))</f>
        <v>102GPC24</v>
      </c>
      <c r="AM1203" s="66" t="str" cm="1">
        <f t="array" ref="AM1203">IF($F1203="","",IFERROR(INDEX('Lot Balance'!$B$5:$B$500,MATCH(1,INDEX(('Lot Balance'!$A$5:$A$500=$F1203)*('Lot Balance'!$K$5:$K$500&lt;$AJ1203)*('Lot Balance'!$K$5:$K$500+'Lot Balance'!$D$5:$D$500&gt;=$AJ1203),0),0)),""))</f>
        <v>102GPC24</v>
      </c>
      <c r="AN1203" s="66" t="str">
        <f>IF($F1203="","",IF($AI1203&lt;&gt;"",IF(COUNTIFS('Lot Balance'!$A$5:$A$500,$F1203,'Lot Balance'!$B$5:$B$500,$AI1203)=0,"⚠ override is not a lot of this item",IF($AI1203=$AL1203,"Override = FEFO","Override - FEFO says "&amp;$AL1203)),IF($AL1203="","⚠ no receipt on file for this item",IF($AM1203&lt;&gt;$AL1203,"FEFO auto - split, also "&amp;$AM1203,"FEFO auto"))))</f>
        <v>FEFO auto</v>
      </c>
      <c r="AO1203" s="114"/>
    </row>
    <row r="1204" spans="1:41" x14ac:dyDescent="0.35">
      <c r="A1204" s="74">
        <v>46185</v>
      </c>
      <c r="B1204" s="18" t="str">
        <f>IF($C1204="","",IFERROR(INDEX('Staff Directory'!$A$5:$A$594,MATCH($C1204,'Staff Directory'!$B$5:$B$594,0)),"⚠ unknown staff"))</f>
        <v>RN-025-A1</v>
      </c>
      <c r="C1204" s="49" t="s">
        <v>945</v>
      </c>
      <c r="D1204" s="19" t="str">
        <f>IF($B1204="","",IFERROR(INDEX('Staff Directory'!$C$5:$C$594,MATCH($B1204,'Staff Directory'!$A$5:$A$594,0)),""))</f>
        <v>RN</v>
      </c>
      <c r="E1204" s="19" t="str">
        <f>IF($B1204="","",IFERROR(INDEX('Staff Directory'!$D$5:$D$594,MATCH($B1204,'Staff Directory'!$A$5:$A$594,0)),""))</f>
        <v>A1</v>
      </c>
      <c r="F1204" s="9" t="s">
        <v>127</v>
      </c>
      <c r="G1204" s="18" t="str">
        <f>IF($F1204="","",IFERROR(INDEX(Items!$B$5:$B$597,MATCH($F1204,Items!$A$5:$A$597,0)),"⚠ not in Items"))</f>
        <v>Gloves</v>
      </c>
      <c r="H1204" s="19" t="str">
        <f>IF($F1204="","",IFERROR(INDEX(Items!$C$5:$C$597,MATCH($F1204,Items!$A$5:$A$597,0)),""))</f>
        <v>Medium</v>
      </c>
      <c r="I1204" s="23">
        <f>IF($F1204="","",IFERROR(INDEX(Items!$E$5:$E$597,MATCH($F1204,Items!$A$5:$A$597,0)),""))</f>
        <v>500</v>
      </c>
      <c r="J1204" s="115">
        <f>IF(tblIssues[[#This Row],[Qty Override]]&lt;&gt;"",tblIssues[[#This Row],[Qty Override]],IF(tblIssues[[#This Row],[Standard Issue]]="","",tblIssues[[#This Row],[Standard Issue]]))</f>
        <v>500</v>
      </c>
      <c r="K1204" s="20">
        <f>IF($F1204="","",IFERROR(INDEX(Items!$D$5:$D$597,MATCH($F1204,Items!$A$5:$A$597,0)),""))</f>
        <v>5.5E-2</v>
      </c>
      <c r="L1204" s="21">
        <f t="shared" si="206"/>
        <v>27.5</v>
      </c>
      <c r="M1204" s="9" t="str">
        <f t="shared" si="204"/>
        <v>315JIC25</v>
      </c>
      <c r="N1204" s="24">
        <f>IF($A1204="","",WORKDAY($A1204,Settings!$C$9,HolidayDates))</f>
        <v>46195</v>
      </c>
      <c r="O1204" s="24">
        <f>IF($N1204="","",WORKDAY($N1204,Settings!$C$10,HolidayDates))</f>
        <v>46233</v>
      </c>
      <c r="P1204" s="10" t="s">
        <v>502</v>
      </c>
      <c r="Q1204" s="52" t="str">
        <f t="shared" si="207"/>
        <v>Collected</v>
      </c>
      <c r="R1204" s="55" t="str">
        <f t="shared" si="208"/>
        <v>2026-06</v>
      </c>
      <c r="S1204" s="55">
        <f>IF(OR($B1204="",$F1204="",$R1204=""),"",SUMIFS(tblIssues[Qty Issued],tblIssues[Staff ID],$B1204,tblIssues[Item Name],$F1204,tblIssues[Month],$R1204))</f>
        <v>1000</v>
      </c>
      <c r="T1204" s="56">
        <f>IF($I1204="","",$I1204*Settings!$C$11)</f>
        <v>500</v>
      </c>
      <c r="U1204" s="57" t="str">
        <f t="shared" si="205"/>
        <v>⚠ OVER QUOTA</v>
      </c>
      <c r="V1204" s="55" t="str">
        <f t="shared" si="209"/>
        <v>RN-025-A1 | Gloves - Medium | 2026-06</v>
      </c>
      <c r="W1204" s="55">
        <f>IF($V1204="","",IF(COUNTIF($V$5:$V1204,$V1204)=1,1,""))</f>
        <v>1</v>
      </c>
      <c r="X1204" s="58">
        <f>IF($W1204="","",MAX($X$4:X1203)+1)</f>
        <v>34</v>
      </c>
      <c r="Y1204" s="62"/>
      <c r="Z1204" s="62"/>
      <c r="AA1204" s="64" t="str">
        <f>IF($C1204="","",IFERROR(INDEX('Staff Directory'!$E$5:$E$594,MATCH($C1204,'Staff Directory'!$B$5:$B$594,0)),""))</f>
        <v>firstname029.lastname029@example.com</v>
      </c>
      <c r="AB1204" s="64" t="str">
        <f>IF($C1204="","",IF(ISNUMBER(SEARCH($D1204,Settings!$C$15)),"Pickup","Dispatch"))</f>
        <v>Dispatch</v>
      </c>
      <c r="AC1204" s="64" t="str">
        <f t="shared" si="210"/>
        <v>Supply order dispatched</v>
      </c>
      <c r="AD1204" s="64" t="str">
        <f t="shared" si="201"/>
        <v>Dear RN,
Your order has been dispatched and is in transit. Reply if undelivered.</v>
      </c>
      <c r="AE1204" s="64" t="str">
        <f t="shared" si="202"/>
        <v>mailto:firstname029.lastname029@example.com?subject=Supply%20order%20dispatched&amp;body=Dear%20RN%2C%0A%0AYour%20order%20has%20been%20dispatched%20and%20is%20in%20transit.%20Reply%20if%20undelivered.</v>
      </c>
      <c r="AF1204" s="89" t="str">
        <f t="shared" si="211"/>
        <v>Draft email</v>
      </c>
      <c r="AG1204" s="64" t="str">
        <f>IF($C1204="","",IFERROR(INDEX('Staff Directory'!$K$595:$K$599,MATCH($C1204,'Staff Directory'!$B$5:$B$599,0)),$D1204))</f>
        <v>RN</v>
      </c>
      <c r="AH1204" t="str">
        <f>IF($C1204="","",IFERROR(INDEX('Staff Directory'!$I$595:$I$599,MATCH($C1204,'Staff Directory'!$B$5:$B$599,0))&amp;" "&amp;INDEX('Staff Directory'!$J$595:$J$599,MATCH($C1204,'Staff Directory'!$B$5:$B$599,0)),$AG1204))</f>
        <v>RN</v>
      </c>
      <c r="AI1204" s="102"/>
      <c r="AJ1204" s="101">
        <f>IF($F1204="","",SUMIFS($J$5:$J1204,$F$5:$F1204,$F1204))</f>
        <v>71500</v>
      </c>
      <c r="AK1204" s="101">
        <f t="shared" si="203"/>
        <v>71001</v>
      </c>
      <c r="AL1204" s="66" t="str" cm="1">
        <f t="array" ref="AL1204">IF($F1204="","",IFERROR(INDEX('Lot Balance'!$B$5:$B$500,MATCH(1,INDEX(('Lot Balance'!$A$5:$A$500=$F1204)*('Lot Balance'!$K$5:$K$500&lt;$AK1204)*('Lot Balance'!$K$5:$K$500+'Lot Balance'!$D$5:$D$500&gt;=$AK1204),0),0)),""))</f>
        <v>315JIC25</v>
      </c>
      <c r="AM1204" s="66" t="str" cm="1">
        <f t="array" ref="AM1204">IF($F1204="","",IFERROR(INDEX('Lot Balance'!$B$5:$B$500,MATCH(1,INDEX(('Lot Balance'!$A$5:$A$500=$F1204)*('Lot Balance'!$K$5:$K$500&lt;$AJ1204)*('Lot Balance'!$K$5:$K$500+'Lot Balance'!$D$5:$D$500&gt;=$AJ1204),0),0)),""))</f>
        <v>315JIC25</v>
      </c>
      <c r="AN1204" s="66" t="str">
        <f>IF($F1204="","",IF($AI1204&lt;&gt;"",IF(COUNTIFS('Lot Balance'!$A$5:$A$500,$F1204,'Lot Balance'!$B$5:$B$500,$AI1204)=0,"⚠ override is not a lot of this item",IF($AI1204=$AL1204,"Override = FEFO","Override - FEFO says "&amp;$AL1204)),IF($AL1204="","⚠ no receipt on file for this item",IF($AM1204&lt;&gt;$AL1204,"FEFO auto - split, also "&amp;$AM1204,"FEFO auto"))))</f>
        <v>FEFO auto</v>
      </c>
      <c r="AO1204" s="114"/>
    </row>
    <row r="1205" spans="1:41" x14ac:dyDescent="0.35">
      <c r="A1205" s="74">
        <v>46185</v>
      </c>
      <c r="B1205" s="18" t="str">
        <f>IF($C1205="","",IFERROR(INDEX('Staff Directory'!$A$5:$A$594,MATCH($C1205,'Staff Directory'!$B$5:$B$594,0)),"⚠ unknown staff"))</f>
        <v>RN-025-A1</v>
      </c>
      <c r="C1205" s="49" t="s">
        <v>945</v>
      </c>
      <c r="D1205" s="19" t="str">
        <f>IF($B1205="","",IFERROR(INDEX('Staff Directory'!$C$5:$C$594,MATCH($B1205,'Staff Directory'!$A$5:$A$594,0)),""))</f>
        <v>RN</v>
      </c>
      <c r="E1205" s="19" t="str">
        <f>IF($B1205="","",IFERROR(INDEX('Staff Directory'!$D$5:$D$594,MATCH($B1205,'Staff Directory'!$A$5:$A$594,0)),""))</f>
        <v>A1</v>
      </c>
      <c r="F1205" s="9" t="s">
        <v>127</v>
      </c>
      <c r="G1205" s="18" t="str">
        <f>IF($F1205="","",IFERROR(INDEX(Items!$B$5:$B$597,MATCH($F1205,Items!$A$5:$A$597,0)),"⚠ not in Items"))</f>
        <v>Gloves</v>
      </c>
      <c r="H1205" s="19" t="str">
        <f>IF($F1205="","",IFERROR(INDEX(Items!$C$5:$C$597,MATCH($F1205,Items!$A$5:$A$597,0)),""))</f>
        <v>Medium</v>
      </c>
      <c r="I1205" s="23">
        <f>IF($F1205="","",IFERROR(INDEX(Items!$E$5:$E$597,MATCH($F1205,Items!$A$5:$A$597,0)),""))</f>
        <v>500</v>
      </c>
      <c r="J1205" s="115">
        <f>IF(tblIssues[[#This Row],[Qty Override]]&lt;&gt;"",tblIssues[[#This Row],[Qty Override]],IF(tblIssues[[#This Row],[Standard Issue]]="","",tblIssues[[#This Row],[Standard Issue]]))</f>
        <v>500</v>
      </c>
      <c r="K1205" s="20">
        <f>IF($F1205="","",IFERROR(INDEX(Items!$D$5:$D$597,MATCH($F1205,Items!$A$5:$A$597,0)),""))</f>
        <v>5.5E-2</v>
      </c>
      <c r="L1205" s="21">
        <f t="shared" si="206"/>
        <v>27.5</v>
      </c>
      <c r="M1205" s="9" t="str">
        <f t="shared" si="204"/>
        <v>315JIC25</v>
      </c>
      <c r="N1205" s="24">
        <f>IF($A1205="","",WORKDAY($A1205,Settings!$C$9,HolidayDates))</f>
        <v>46195</v>
      </c>
      <c r="O1205" s="24">
        <f>IF($N1205="","",WORKDAY($N1205,Settings!$C$10,HolidayDates))</f>
        <v>46233</v>
      </c>
      <c r="P1205" s="10" t="s">
        <v>502</v>
      </c>
      <c r="Q1205" s="52" t="str">
        <f t="shared" si="207"/>
        <v>Collected</v>
      </c>
      <c r="R1205" s="55" t="str">
        <f t="shared" si="208"/>
        <v>2026-06</v>
      </c>
      <c r="S1205" s="55">
        <f>IF(OR($B1205="",$F1205="",$R1205=""),"",SUMIFS(tblIssues[Qty Issued],tblIssues[Staff ID],$B1205,tblIssues[Item Name],$F1205,tblIssues[Month],$R1205))</f>
        <v>1000</v>
      </c>
      <c r="T1205" s="56">
        <f>IF($I1205="","",$I1205*Settings!$C$11)</f>
        <v>500</v>
      </c>
      <c r="U1205" s="57" t="str">
        <f t="shared" si="205"/>
        <v>⚠ OVER QUOTA</v>
      </c>
      <c r="V1205" s="55" t="str">
        <f t="shared" si="209"/>
        <v>RN-025-A1 | Gloves - Medium | 2026-06</v>
      </c>
      <c r="W1205" s="55" t="str">
        <f>IF($V1205="","",IF(COUNTIF($V$5:$V1205,$V1205)=1,1,""))</f>
        <v/>
      </c>
      <c r="X1205" s="58" t="str">
        <f>IF($W1205="","",MAX($X$4:X1204)+1)</f>
        <v/>
      </c>
      <c r="Y1205" s="62"/>
      <c r="Z1205" s="62"/>
      <c r="AA1205" s="64" t="str">
        <f>IF($C1205="","",IFERROR(INDEX('Staff Directory'!$E$5:$E$594,MATCH($C1205,'Staff Directory'!$B$5:$B$594,0)),""))</f>
        <v>firstname029.lastname029@example.com</v>
      </c>
      <c r="AB1205" s="64" t="str">
        <f>IF($C1205="","",IF(ISNUMBER(SEARCH($D1205,Settings!$C$15)),"Pickup","Dispatch"))</f>
        <v>Dispatch</v>
      </c>
      <c r="AC1205" s="64" t="str">
        <f t="shared" si="210"/>
        <v>Supply order dispatched</v>
      </c>
      <c r="AD1205" s="64" t="str">
        <f t="shared" si="201"/>
        <v>Dear RN,
Your order has been dispatched and is in transit. Reply if undelivered.</v>
      </c>
      <c r="AE1205" s="64" t="str">
        <f t="shared" si="202"/>
        <v>mailto:firstname029.lastname029@example.com?subject=Supply%20order%20dispatched&amp;body=Dear%20RN%2C%0A%0AYour%20order%20has%20been%20dispatched%20and%20is%20in%20transit.%20Reply%20if%20undelivered.</v>
      </c>
      <c r="AF1205" s="89" t="str">
        <f t="shared" si="211"/>
        <v>Draft email</v>
      </c>
      <c r="AG1205" s="64" t="str">
        <f>IF($C1205="","",IFERROR(INDEX('Staff Directory'!$K$595:$K$599,MATCH($C1205,'Staff Directory'!$B$5:$B$599,0)),$D1205))</f>
        <v>RN</v>
      </c>
      <c r="AH1205" t="str">
        <f>IF($C1205="","",IFERROR(INDEX('Staff Directory'!$I$595:$I$599,MATCH($C1205,'Staff Directory'!$B$5:$B$599,0))&amp;" "&amp;INDEX('Staff Directory'!$J$595:$J$599,MATCH($C1205,'Staff Directory'!$B$5:$B$599,0)),$AG1205))</f>
        <v>RN</v>
      </c>
      <c r="AI1205" s="102"/>
      <c r="AJ1205" s="101">
        <f>IF($F1205="","",SUMIFS($J$5:$J1205,$F$5:$F1205,$F1205))</f>
        <v>72000</v>
      </c>
      <c r="AK1205" s="101">
        <f t="shared" si="203"/>
        <v>71501</v>
      </c>
      <c r="AL1205" s="66" t="str" cm="1">
        <f t="array" ref="AL1205">IF($F1205="","",IFERROR(INDEX('Lot Balance'!$B$5:$B$500,MATCH(1,INDEX(('Lot Balance'!$A$5:$A$500=$F1205)*('Lot Balance'!$K$5:$K$500&lt;$AK1205)*('Lot Balance'!$K$5:$K$500+'Lot Balance'!$D$5:$D$500&gt;=$AK1205),0),0)),""))</f>
        <v>315JIC25</v>
      </c>
      <c r="AM1205" s="66" t="str" cm="1">
        <f t="array" ref="AM1205">IF($F1205="","",IFERROR(INDEX('Lot Balance'!$B$5:$B$500,MATCH(1,INDEX(('Lot Balance'!$A$5:$A$500=$F1205)*('Lot Balance'!$K$5:$K$500&lt;$AJ1205)*('Lot Balance'!$K$5:$K$500+'Lot Balance'!$D$5:$D$500&gt;=$AJ1205),0),0)),""))</f>
        <v>315JIC25</v>
      </c>
      <c r="AN1205" s="66" t="str">
        <f>IF($F1205="","",IF($AI1205&lt;&gt;"",IF(COUNTIFS('Lot Balance'!$A$5:$A$500,$F1205,'Lot Balance'!$B$5:$B$500,$AI1205)=0,"⚠ override is not a lot of this item",IF($AI1205=$AL1205,"Override = FEFO","Override - FEFO says "&amp;$AL1205)),IF($AL1205="","⚠ no receipt on file for this item",IF($AM1205&lt;&gt;$AL1205,"FEFO auto - split, also "&amp;$AM1205,"FEFO auto"))))</f>
        <v>FEFO auto</v>
      </c>
      <c r="AO1205" s="114"/>
    </row>
    <row r="1206" spans="1:41" x14ac:dyDescent="0.35">
      <c r="A1206" s="74">
        <v>46185</v>
      </c>
      <c r="B1206" s="18" t="str">
        <f>IF($C1206="","",IFERROR(INDEX('Staff Directory'!$A$5:$A$594,MATCH($C1206,'Staff Directory'!$B$5:$B$594,0)),"⚠ unknown staff"))</f>
        <v>RN-025-A1</v>
      </c>
      <c r="C1206" s="49" t="s">
        <v>945</v>
      </c>
      <c r="D1206" s="19" t="str">
        <f>IF($B1206="","",IFERROR(INDEX('Staff Directory'!$C$5:$C$594,MATCH($B1206,'Staff Directory'!$A$5:$A$594,0)),""))</f>
        <v>RN</v>
      </c>
      <c r="E1206" s="19" t="str">
        <f>IF($B1206="","",IFERROR(INDEX('Staff Directory'!$D$5:$D$594,MATCH($B1206,'Staff Directory'!$A$5:$A$594,0)),""))</f>
        <v>A1</v>
      </c>
      <c r="F1206" s="9" t="s">
        <v>191</v>
      </c>
      <c r="G1206" s="18" t="str">
        <f>IF($F1206="","",IFERROR(INDEX(Items!$B$5:$B$597,MATCH($F1206,Items!$A$5:$A$597,0)),"⚠ not in Items"))</f>
        <v>Sanitizer</v>
      </c>
      <c r="H1206" s="19" t="str">
        <f>IF($F1206="","",IFERROR(INDEX(Items!$C$5:$C$597,MATCH($F1206,Items!$A$5:$A$597,0)),""))</f>
        <v>236 ML</v>
      </c>
      <c r="I1206" s="23">
        <f>IF($F1206="","",IFERROR(INDEX(Items!$E$5:$E$597,MATCH($F1206,Items!$A$5:$A$597,0)),""))</f>
        <v>1</v>
      </c>
      <c r="J1206" s="115">
        <f>IF(tblIssues[[#This Row],[Qty Override]]&lt;&gt;"",tblIssues[[#This Row],[Qty Override]],IF(tblIssues[[#This Row],[Standard Issue]]="","",tblIssues[[#This Row],[Standard Issue]]))</f>
        <v>1</v>
      </c>
      <c r="K1206" s="20">
        <f>IF($F1206="","",IFERROR(INDEX(Items!$D$5:$D$597,MATCH($F1206,Items!$A$5:$A$597,0)),""))</f>
        <v>1E-4</v>
      </c>
      <c r="L1206" s="21">
        <f t="shared" si="206"/>
        <v>1E-4</v>
      </c>
      <c r="M1206" s="9" t="str">
        <f t="shared" si="204"/>
        <v>20-21734-4</v>
      </c>
      <c r="N1206" s="24">
        <f>IF($A1206="","",WORKDAY($A1206,Settings!$C$9,HolidayDates))</f>
        <v>46195</v>
      </c>
      <c r="O1206" s="24">
        <f>IF($N1206="","",WORKDAY($N1206,Settings!$C$10,HolidayDates))</f>
        <v>46233</v>
      </c>
      <c r="P1206" s="10" t="s">
        <v>502</v>
      </c>
      <c r="Q1206" s="52" t="str">
        <f t="shared" si="207"/>
        <v>Collected</v>
      </c>
      <c r="R1206" s="55" t="str">
        <f t="shared" si="208"/>
        <v>2026-06</v>
      </c>
      <c r="S1206" s="55">
        <f>IF(OR($B1206="",$F1206="",$R1206=""),"",SUMIFS(tblIssues[Qty Issued],tblIssues[Staff ID],$B1206,tblIssues[Item Name],$F1206,tblIssues[Month],$R1206))</f>
        <v>1</v>
      </c>
      <c r="T1206" s="56">
        <f>IF($I1206="","",$I1206*Settings!$C$11)</f>
        <v>1</v>
      </c>
      <c r="U1206" s="57" t="str">
        <f t="shared" si="205"/>
        <v>OK</v>
      </c>
      <c r="V1206" s="55" t="str">
        <f t="shared" si="209"/>
        <v/>
      </c>
      <c r="W1206" s="55" t="str">
        <f>IF($V1206="","",IF(COUNTIF($V$5:$V1206,$V1206)=1,1,""))</f>
        <v/>
      </c>
      <c r="X1206" s="58" t="str">
        <f>IF($W1206="","",MAX($X$4:X1205)+1)</f>
        <v/>
      </c>
      <c r="Y1206" s="62"/>
      <c r="Z1206" s="62"/>
      <c r="AA1206" s="64" t="str">
        <f>IF($C1206="","",IFERROR(INDEX('Staff Directory'!$E$5:$E$594,MATCH($C1206,'Staff Directory'!$B$5:$B$594,0)),""))</f>
        <v>firstname029.lastname029@example.com</v>
      </c>
      <c r="AB1206" s="64" t="str">
        <f>IF($C1206="","",IF(ISNUMBER(SEARCH($D1206,Settings!$C$15)),"Pickup","Dispatch"))</f>
        <v>Dispatch</v>
      </c>
      <c r="AC1206" s="64" t="str">
        <f t="shared" si="210"/>
        <v>Supply order dispatched</v>
      </c>
      <c r="AD1206" s="64" t="str">
        <f t="shared" si="201"/>
        <v>Dear RN,
Your order has been dispatched and is in transit. Reply if undelivered.</v>
      </c>
      <c r="AE1206" s="64" t="str">
        <f t="shared" si="202"/>
        <v>mailto:firstname029.lastname029@example.com?subject=Supply%20order%20dispatched&amp;body=Dear%20RN%2C%0A%0AYour%20order%20has%20been%20dispatched%20and%20is%20in%20transit.%20Reply%20if%20undelivered.</v>
      </c>
      <c r="AF1206" s="89" t="str">
        <f t="shared" si="211"/>
        <v>Draft email</v>
      </c>
      <c r="AG1206" s="64" t="str">
        <f>IF($C1206="","",IFERROR(INDEX('Staff Directory'!$K$595:$K$599,MATCH($C1206,'Staff Directory'!$B$5:$B$599,0)),$D1206))</f>
        <v>RN</v>
      </c>
      <c r="AH1206" t="str">
        <f>IF($C1206="","",IFERROR(INDEX('Staff Directory'!$I$595:$I$599,MATCH($C1206,'Staff Directory'!$B$5:$B$599,0))&amp;" "&amp;INDEX('Staff Directory'!$J$595:$J$599,MATCH($C1206,'Staff Directory'!$B$5:$B$599,0)),$AG1206))</f>
        <v>RN</v>
      </c>
      <c r="AI1206" s="102"/>
      <c r="AJ1206" s="101">
        <f>IF($F1206="","",SUMIFS($J$5:$J1206,$F$5:$F1206,$F1206))</f>
        <v>150</v>
      </c>
      <c r="AK1206" s="101">
        <f t="shared" si="203"/>
        <v>150</v>
      </c>
      <c r="AL1206" s="66" t="str" cm="1">
        <f t="array" ref="AL1206">IF($F1206="","",IFERROR(INDEX('Lot Balance'!$B$5:$B$500,MATCH(1,INDEX(('Lot Balance'!$A$5:$A$500=$F1206)*('Lot Balance'!$K$5:$K$500&lt;$AK1206)*('Lot Balance'!$K$5:$K$500+'Lot Balance'!$D$5:$D$500&gt;=$AK1206),0),0)),""))</f>
        <v>20-21734-4</v>
      </c>
      <c r="AM1206" s="66" t="str" cm="1">
        <f t="array" ref="AM1206">IF($F1206="","",IFERROR(INDEX('Lot Balance'!$B$5:$B$500,MATCH(1,INDEX(('Lot Balance'!$A$5:$A$500=$F1206)*('Lot Balance'!$K$5:$K$500&lt;$AJ1206)*('Lot Balance'!$K$5:$K$500+'Lot Balance'!$D$5:$D$500&gt;=$AJ1206),0),0)),""))</f>
        <v>20-21734-4</v>
      </c>
      <c r="AN1206" s="66" t="str">
        <f>IF($F1206="","",IF($AI1206&lt;&gt;"",IF(COUNTIFS('Lot Balance'!$A$5:$A$500,$F1206,'Lot Balance'!$B$5:$B$500,$AI1206)=0,"⚠ override is not a lot of this item",IF($AI1206=$AL1206,"Override = FEFO","Override - FEFO says "&amp;$AL1206)),IF($AL1206="","⚠ no receipt on file for this item",IF($AM1206&lt;&gt;$AL1206,"FEFO auto - split, also "&amp;$AM1206,"FEFO auto"))))</f>
        <v>FEFO auto</v>
      </c>
      <c r="AO1206" s="114"/>
    </row>
    <row r="1207" spans="1:41" x14ac:dyDescent="0.35">
      <c r="A1207" s="74">
        <v>46185</v>
      </c>
      <c r="B1207" s="18" t="str">
        <f>IF($C1207="","",IFERROR(INDEX('Staff Directory'!$A$5:$A$594,MATCH($C1207,'Staff Directory'!$B$5:$B$594,0)),"⚠ unknown staff"))</f>
        <v>RN-025-A1</v>
      </c>
      <c r="C1207" s="49" t="s">
        <v>945</v>
      </c>
      <c r="D1207" s="19" t="str">
        <f>IF($B1207="","",IFERROR(INDEX('Staff Directory'!$C$5:$C$594,MATCH($B1207,'Staff Directory'!$A$5:$A$594,0)),""))</f>
        <v>RN</v>
      </c>
      <c r="E1207" s="19" t="str">
        <f>IF($B1207="","",IFERROR(INDEX('Staff Directory'!$D$5:$D$594,MATCH($B1207,'Staff Directory'!$A$5:$A$594,0)),""))</f>
        <v>A1</v>
      </c>
      <c r="F1207" s="9" t="s">
        <v>156</v>
      </c>
      <c r="G1207" s="18" t="str">
        <f>IF($F1207="","",IFERROR(INDEX(Items!$B$5:$B$597,MATCH($F1207,Items!$A$5:$A$597,0)),"⚠ not in Items"))</f>
        <v>Masks</v>
      </c>
      <c r="H1207" s="19" t="str">
        <f>IF($F1207="","",IFERROR(INDEX(Items!$C$5:$C$597,MATCH($F1207,Items!$A$5:$A$597,0)),""))</f>
        <v>One Size</v>
      </c>
      <c r="I1207" s="23">
        <f>IF($F1207="","",IFERROR(INDEX(Items!$E$5:$E$597,MATCH($F1207,Items!$A$5:$A$597,0)),""))</f>
        <v>50</v>
      </c>
      <c r="J1207" s="115">
        <f>IF(tblIssues[[#This Row],[Qty Override]]&lt;&gt;"",tblIssues[[#This Row],[Qty Override]],IF(tblIssues[[#This Row],[Standard Issue]]="","",tblIssues[[#This Row],[Standard Issue]]))</f>
        <v>50</v>
      </c>
      <c r="K1207" s="20">
        <f>IF($F1207="","",IFERROR(INDEX(Items!$D$5:$D$597,MATCH($F1207,Items!$A$5:$A$597,0)),""))</f>
        <v>0.25</v>
      </c>
      <c r="L1207" s="21">
        <f t="shared" si="206"/>
        <v>12.5</v>
      </c>
      <c r="M1207" s="9" t="str">
        <f t="shared" si="204"/>
        <v>102GPC24</v>
      </c>
      <c r="N1207" s="24">
        <f>IF($A1207="","",WORKDAY($A1207,Settings!$C$9,HolidayDates))</f>
        <v>46195</v>
      </c>
      <c r="O1207" s="24">
        <f>IF($N1207="","",WORKDAY($N1207,Settings!$C$10,HolidayDates))</f>
        <v>46233</v>
      </c>
      <c r="P1207" s="10" t="s">
        <v>502</v>
      </c>
      <c r="Q1207" s="52" t="str">
        <f t="shared" si="207"/>
        <v>Collected</v>
      </c>
      <c r="R1207" s="55" t="str">
        <f t="shared" si="208"/>
        <v>2026-06</v>
      </c>
      <c r="S1207" s="55">
        <f>IF(OR($B1207="",$F1207="",$R1207=""),"",SUMIFS(tblIssues[Qty Issued],tblIssues[Staff ID],$B1207,tblIssues[Item Name],$F1207,tblIssues[Month],$R1207))</f>
        <v>50</v>
      </c>
      <c r="T1207" s="56">
        <f>IF($I1207="","",$I1207*Settings!$C$11)</f>
        <v>50</v>
      </c>
      <c r="U1207" s="57" t="str">
        <f t="shared" si="205"/>
        <v>OK</v>
      </c>
      <c r="V1207" s="55" t="str">
        <f t="shared" si="209"/>
        <v/>
      </c>
      <c r="W1207" s="55" t="str">
        <f>IF($V1207="","",IF(COUNTIF($V$5:$V1207,$V1207)=1,1,""))</f>
        <v/>
      </c>
      <c r="X1207" s="58" t="str">
        <f>IF($W1207="","",MAX($X$4:X1206)+1)</f>
        <v/>
      </c>
      <c r="Y1207" s="62"/>
      <c r="Z1207" s="62"/>
      <c r="AA1207" s="64" t="str">
        <f>IF($C1207="","",IFERROR(INDEX('Staff Directory'!$E$5:$E$594,MATCH($C1207,'Staff Directory'!$B$5:$B$594,0)),""))</f>
        <v>firstname029.lastname029@example.com</v>
      </c>
      <c r="AB1207" s="64" t="str">
        <f>IF($C1207="","",IF(ISNUMBER(SEARCH($D1207,Settings!$C$15)),"Pickup","Dispatch"))</f>
        <v>Dispatch</v>
      </c>
      <c r="AC1207" s="64" t="str">
        <f t="shared" si="210"/>
        <v>Supply order dispatched</v>
      </c>
      <c r="AD1207" s="64" t="str">
        <f t="shared" si="201"/>
        <v>Dear RN,
Your order has been dispatched and is in transit. Reply if undelivered.</v>
      </c>
      <c r="AE1207" s="64" t="str">
        <f t="shared" si="202"/>
        <v>mailto:firstname029.lastname029@example.com?subject=Supply%20order%20dispatched&amp;body=Dear%20RN%2C%0A%0AYour%20order%20has%20been%20dispatched%20and%20is%20in%20transit.%20Reply%20if%20undelivered.</v>
      </c>
      <c r="AF1207" s="89" t="str">
        <f t="shared" si="211"/>
        <v>Draft email</v>
      </c>
      <c r="AG1207" s="64" t="str">
        <f>IF($C1207="","",IFERROR(INDEX('Staff Directory'!$K$595:$K$599,MATCH($C1207,'Staff Directory'!$B$5:$B$599,0)),$D1207))</f>
        <v>RN</v>
      </c>
      <c r="AH1207" t="str">
        <f>IF($C1207="","",IFERROR(INDEX('Staff Directory'!$I$595:$I$599,MATCH($C1207,'Staff Directory'!$B$5:$B$599,0))&amp;" "&amp;INDEX('Staff Directory'!$J$595:$J$599,MATCH($C1207,'Staff Directory'!$B$5:$B$599,0)),$AG1207))</f>
        <v>RN</v>
      </c>
      <c r="AI1207" s="102"/>
      <c r="AJ1207" s="101">
        <f>IF($F1207="","",SUMIFS($J$5:$J1207,$F$5:$F1207,$F1207))</f>
        <v>10100</v>
      </c>
      <c r="AK1207" s="101">
        <f t="shared" si="203"/>
        <v>10051</v>
      </c>
      <c r="AL1207" s="66" t="str" cm="1">
        <f t="array" ref="AL1207">IF($F1207="","",IFERROR(INDEX('Lot Balance'!$B$5:$B$500,MATCH(1,INDEX(('Lot Balance'!$A$5:$A$500=$F1207)*('Lot Balance'!$K$5:$K$500&lt;$AK1207)*('Lot Balance'!$K$5:$K$500+'Lot Balance'!$D$5:$D$500&gt;=$AK1207),0),0)),""))</f>
        <v>102GPC24</v>
      </c>
      <c r="AM1207" s="66" t="str" cm="1">
        <f t="array" ref="AM1207">IF($F1207="","",IFERROR(INDEX('Lot Balance'!$B$5:$B$500,MATCH(1,INDEX(('Lot Balance'!$A$5:$A$500=$F1207)*('Lot Balance'!$K$5:$K$500&lt;$AJ1207)*('Lot Balance'!$K$5:$K$500+'Lot Balance'!$D$5:$D$500&gt;=$AJ1207),0),0)),""))</f>
        <v>102GPC24</v>
      </c>
      <c r="AN1207" s="66" t="str">
        <f>IF($F1207="","",IF($AI1207&lt;&gt;"",IF(COUNTIFS('Lot Balance'!$A$5:$A$500,$F1207,'Lot Balance'!$B$5:$B$500,$AI1207)=0,"⚠ override is not a lot of this item",IF($AI1207=$AL1207,"Override = FEFO","Override - FEFO says "&amp;$AL1207)),IF($AL1207="","⚠ no receipt on file for this item",IF($AM1207&lt;&gt;$AL1207,"FEFO auto - split, also "&amp;$AM1207,"FEFO auto"))))</f>
        <v>FEFO auto</v>
      </c>
      <c r="AO1207" s="114"/>
    </row>
    <row r="1208" spans="1:41" x14ac:dyDescent="0.35">
      <c r="A1208" s="74">
        <v>46185</v>
      </c>
      <c r="B1208" s="18" t="str">
        <f>IF($C1208="","",IFERROR(INDEX('Staff Directory'!$A$5:$A$594,MATCH($C1208,'Staff Directory'!$B$5:$B$594,0)),"⚠ unknown staff"))</f>
        <v>RN-025-A1</v>
      </c>
      <c r="C1208" s="49" t="s">
        <v>945</v>
      </c>
      <c r="D1208" s="19" t="str">
        <f>IF($B1208="","",IFERROR(INDEX('Staff Directory'!$C$5:$C$594,MATCH($B1208,'Staff Directory'!$A$5:$A$594,0)),""))</f>
        <v>RN</v>
      </c>
      <c r="E1208" s="19" t="str">
        <f>IF($B1208="","",IFERROR(INDEX('Staff Directory'!$D$5:$D$594,MATCH($B1208,'Staff Directory'!$A$5:$A$594,0)),""))</f>
        <v>A1</v>
      </c>
      <c r="F1208" s="9" t="s">
        <v>757</v>
      </c>
      <c r="G1208" s="18" t="str">
        <f>IF($F1208="","",IFERROR(INDEX(Items!$B$5:$B$597,MATCH($F1208,Items!$A$5:$A$597,0)),"⚠ not in Items"))</f>
        <v>Documents</v>
      </c>
      <c r="H1208" s="19" t="str">
        <f>IF($F1208="","",IFERROR(INDEX(Items!$C$5:$C$597,MATCH($F1208,Items!$A$5:$A$597,0)),""))</f>
        <v>Standard</v>
      </c>
      <c r="I1208" s="23">
        <f>IF($F1208="","",IFERROR(INDEX(Items!$E$5:$E$597,MATCH($F1208,Items!$A$5:$A$597,0)),""))</f>
        <v>10</v>
      </c>
      <c r="J1208" s="115">
        <f>IF(tblIssues[[#This Row],[Qty Override]]&lt;&gt;"",tblIssues[[#This Row],[Qty Override]],IF(tblIssues[[#This Row],[Standard Issue]]="","",tblIssues[[#This Row],[Standard Issue]]))</f>
        <v>10</v>
      </c>
      <c r="K1208" s="20">
        <f>IF($F1208="","",IFERROR(INDEX(Items!$D$5:$D$597,MATCH($F1208,Items!$A$5:$A$597,0)),""))</f>
        <v>0</v>
      </c>
      <c r="L1208" s="21">
        <f t="shared" si="206"/>
        <v>0</v>
      </c>
      <c r="M1208" s="9" t="str">
        <f t="shared" si="204"/>
        <v/>
      </c>
      <c r="N1208" s="24">
        <f>IF($A1208="","",WORKDAY($A1208,Settings!$C$9,HolidayDates))</f>
        <v>46195</v>
      </c>
      <c r="O1208" s="24">
        <f>IF($N1208="","",WORKDAY($N1208,Settings!$C$10,HolidayDates))</f>
        <v>46233</v>
      </c>
      <c r="P1208" s="10" t="s">
        <v>502</v>
      </c>
      <c r="Q1208" s="52" t="str">
        <f t="shared" si="207"/>
        <v>Collected</v>
      </c>
      <c r="R1208" s="55" t="str">
        <f t="shared" si="208"/>
        <v>2026-06</v>
      </c>
      <c r="S1208" s="55">
        <f>IF(OR($B1208="",$F1208="",$R1208=""),"",SUMIFS(tblIssues[Qty Issued],tblIssues[Staff ID],$B1208,tblIssues[Item Name],$F1208,tblIssues[Month],$R1208))</f>
        <v>10</v>
      </c>
      <c r="T1208" s="56">
        <f>IF($I1208="","",$I1208*Settings!$C$11)</f>
        <v>10</v>
      </c>
      <c r="U1208" s="57" t="str">
        <f t="shared" si="205"/>
        <v>OK</v>
      </c>
      <c r="V1208" s="55" t="str">
        <f t="shared" si="209"/>
        <v/>
      </c>
      <c r="W1208" s="55" t="str">
        <f>IF($V1208="","",IF(COUNTIF($V$5:$V1208,$V1208)=1,1,""))</f>
        <v/>
      </c>
      <c r="X1208" s="58" t="str">
        <f>IF($W1208="","",MAX($X$4:X1207)+1)</f>
        <v/>
      </c>
      <c r="Y1208" s="62"/>
      <c r="Z1208" s="62"/>
      <c r="AA1208" s="64" t="str">
        <f>IF($C1208="","",IFERROR(INDEX('Staff Directory'!$E$5:$E$594,MATCH($C1208,'Staff Directory'!$B$5:$B$594,0)),""))</f>
        <v>firstname029.lastname029@example.com</v>
      </c>
      <c r="AB1208" s="64" t="str">
        <f>IF($C1208="","",IF(ISNUMBER(SEARCH($D1208,Settings!$C$15)),"Pickup","Dispatch"))</f>
        <v>Dispatch</v>
      </c>
      <c r="AC1208" s="64" t="str">
        <f t="shared" si="210"/>
        <v>Supply order dispatched</v>
      </c>
      <c r="AD1208" s="64" t="str">
        <f t="shared" si="201"/>
        <v>Dear RN,
Your order has been dispatched and is in transit. Reply if undelivered.</v>
      </c>
      <c r="AE1208" s="64" t="str">
        <f t="shared" si="202"/>
        <v>mailto:firstname029.lastname029@example.com?subject=Supply%20order%20dispatched&amp;body=Dear%20RN%2C%0A%0AYour%20order%20has%20been%20dispatched%20and%20is%20in%20transit.%20Reply%20if%20undelivered.</v>
      </c>
      <c r="AF1208" s="89" t="str">
        <f t="shared" si="211"/>
        <v>Draft email</v>
      </c>
      <c r="AG1208" s="64" t="str">
        <f>IF($C1208="","",IFERROR(INDEX('Staff Directory'!$K$595:$K$599,MATCH($C1208,'Staff Directory'!$B$5:$B$599,0)),$D1208))</f>
        <v>RN</v>
      </c>
      <c r="AH1208" t="str">
        <f>IF($C1208="","",IFERROR(INDEX('Staff Directory'!$I$595:$I$599,MATCH($C1208,'Staff Directory'!$B$5:$B$599,0))&amp;" "&amp;INDEX('Staff Directory'!$J$595:$J$599,MATCH($C1208,'Staff Directory'!$B$5:$B$599,0)),$AG1208))</f>
        <v>RN</v>
      </c>
      <c r="AI1208" s="102"/>
      <c r="AJ1208" s="101">
        <f>IF($F1208="","",SUMIFS($J$5:$J1208,$F$5:$F1208,$F1208))</f>
        <v>580</v>
      </c>
      <c r="AK1208" s="101">
        <f t="shared" si="203"/>
        <v>571</v>
      </c>
      <c r="AL1208" s="66" t="str" cm="1">
        <f t="array" ref="AL1208">IF($F1208="","",IFERROR(INDEX('Lot Balance'!$B$5:$B$500,MATCH(1,INDEX(('Lot Balance'!$A$5:$A$500=$F1208)*('Lot Balance'!$K$5:$K$500&lt;$AK1208)*('Lot Balance'!$K$5:$K$500+'Lot Balance'!$D$5:$D$500&gt;=$AK1208),0),0)),""))</f>
        <v/>
      </c>
      <c r="AM1208" s="66" t="str" cm="1">
        <f t="array" ref="AM1208">IF($F1208="","",IFERROR(INDEX('Lot Balance'!$B$5:$B$500,MATCH(1,INDEX(('Lot Balance'!$A$5:$A$500=$F1208)*('Lot Balance'!$K$5:$K$500&lt;$AJ1208)*('Lot Balance'!$K$5:$K$500+'Lot Balance'!$D$5:$D$500&gt;=$AJ1208),0),0)),""))</f>
        <v/>
      </c>
      <c r="AN1208" s="66" t="str">
        <f>IF($F1208="","",IF($AI1208&lt;&gt;"",IF(COUNTIFS('Lot Balance'!$A$5:$A$500,$F1208,'Lot Balance'!$B$5:$B$500,$AI1208)=0,"⚠ override is not a lot of this item",IF($AI1208=$AL1208,"Override = FEFO","Override - FEFO says "&amp;$AL1208)),IF($AL1208="","⚠ no receipt on file for this item",IF($AM1208&lt;&gt;$AL1208,"FEFO auto - split, also "&amp;$AM1208,"FEFO auto"))))</f>
        <v>⚠ no receipt on file for this item</v>
      </c>
      <c r="AO1208" s="114"/>
    </row>
    <row r="1209" spans="1:41" x14ac:dyDescent="0.35">
      <c r="A1209" s="74">
        <v>46189</v>
      </c>
      <c r="B1209" s="18" t="str">
        <f>IF($C1209="","",IFERROR(INDEX('Staff Directory'!$A$5:$A$594,MATCH($C1209,'Staff Directory'!$B$5:$B$594,0)),"⚠ unknown staff"))</f>
        <v>PSW-071-TBD</v>
      </c>
      <c r="C1209" s="49" t="s">
        <v>1047</v>
      </c>
      <c r="D1209" s="19" t="str">
        <f>IF($B1209="","",IFERROR(INDEX('Staff Directory'!$C$5:$C$594,MATCH($B1209,'Staff Directory'!$A$5:$A$594,0)),""))</f>
        <v>PSW</v>
      </c>
      <c r="E1209" s="19">
        <f>IF($B1209="","",IFERROR(INDEX('Staff Directory'!$D$5:$D$594,MATCH($B1209,'Staff Directory'!$A$5:$A$594,0)),""))</f>
        <v>0</v>
      </c>
      <c r="F1209" s="9" t="s">
        <v>127</v>
      </c>
      <c r="G1209" s="18" t="str">
        <f>IF($F1209="","",IFERROR(INDEX(Items!$B$5:$B$597,MATCH($F1209,Items!$A$5:$A$597,0)),"⚠ not in Items"))</f>
        <v>Gloves</v>
      </c>
      <c r="H1209" s="19" t="str">
        <f>IF($F1209="","",IFERROR(INDEX(Items!$C$5:$C$597,MATCH($F1209,Items!$A$5:$A$597,0)),""))</f>
        <v>Medium</v>
      </c>
      <c r="I1209" s="23">
        <f>IF($F1209="","",IFERROR(INDEX(Items!$E$5:$E$597,MATCH($F1209,Items!$A$5:$A$597,0)),""))</f>
        <v>500</v>
      </c>
      <c r="J1209" s="115">
        <f>IF(tblIssues[[#This Row],[Qty Override]]&lt;&gt;"",tblIssues[[#This Row],[Qty Override]],IF(tblIssues[[#This Row],[Standard Issue]]="","",tblIssues[[#This Row],[Standard Issue]]))</f>
        <v>500</v>
      </c>
      <c r="K1209" s="20">
        <f>IF($F1209="","",IFERROR(INDEX(Items!$D$5:$D$597,MATCH($F1209,Items!$A$5:$A$597,0)),""))</f>
        <v>5.5E-2</v>
      </c>
      <c r="L1209" s="21">
        <f t="shared" si="206"/>
        <v>27.5</v>
      </c>
      <c r="M1209" s="9" t="str">
        <f t="shared" si="204"/>
        <v>315JIC25</v>
      </c>
      <c r="N1209" s="24">
        <f>IF($A1209="","",WORKDAY($A1209,Settings!$C$9,HolidayDates))</f>
        <v>46197</v>
      </c>
      <c r="O1209" s="24">
        <f>IF($N1209="","",WORKDAY($N1209,Settings!$C$10,HolidayDates))</f>
        <v>46237</v>
      </c>
      <c r="P1209" s="10" t="s">
        <v>501</v>
      </c>
      <c r="Q1209" s="52" t="str">
        <f t="shared" si="207"/>
        <v>Collected</v>
      </c>
      <c r="R1209" s="55" t="str">
        <f t="shared" si="208"/>
        <v>2026-06</v>
      </c>
      <c r="S1209" s="55">
        <f>IF(OR($B1209="",$F1209="",$R1209=""),"",SUMIFS(tblIssues[Qty Issued],tblIssues[Staff ID],$B1209,tblIssues[Item Name],$F1209,tblIssues[Month],$R1209))</f>
        <v>500</v>
      </c>
      <c r="T1209" s="56">
        <f>IF($I1209="","",$I1209*Settings!$C$11)</f>
        <v>500</v>
      </c>
      <c r="U1209" s="57" t="str">
        <f t="shared" si="205"/>
        <v>OK</v>
      </c>
      <c r="V1209" s="55" t="str">
        <f t="shared" si="209"/>
        <v/>
      </c>
      <c r="W1209" s="55" t="str">
        <f>IF($V1209="","",IF(COUNTIF($V$5:$V1209,$V1209)=1,1,""))</f>
        <v/>
      </c>
      <c r="X1209" s="58" t="str">
        <f>IF($W1209="","",MAX($X$4:X1208)+1)</f>
        <v/>
      </c>
      <c r="Y1209" s="62"/>
      <c r="Z1209" s="62"/>
      <c r="AA1209" s="64" t="str">
        <f>IF($C1209="","",IFERROR(INDEX('Staff Directory'!$E$5:$E$594,MATCH($C1209,'Staff Directory'!$B$5:$B$594,0)),""))</f>
        <v>firstname131.lastname131@example.com</v>
      </c>
      <c r="AB1209" s="64" t="str">
        <f>IF($C1209="","",IF(ISNUMBER(SEARCH($D1209,Settings!$C$15)),"Pickup","Dispatch"))</f>
        <v>Pickup</v>
      </c>
      <c r="AC1209" s="64" t="str">
        <f t="shared" si="210"/>
        <v>Supply order ready for pickup</v>
      </c>
      <c r="AD1209" s="64" t="str">
        <f t="shared" si="201"/>
        <v>Dear PSW,
Your order is ready for pickup from Sample Branch, Wed-Fri 9am-4pm.</v>
      </c>
      <c r="AE1209" s="64" t="str">
        <f t="shared" si="202"/>
        <v>mailto:firstname131.lastname131@example.com?subject=Supply%20order%20ready%20for%20pickup&amp;body=Dear%20PSW%2C%0A%0AYour%20order%20is%20ready%20for%20pickup%20from%20Sample%20Branch%2C%20Wed-Fri%209am-4pm.</v>
      </c>
      <c r="AF1209" s="89" t="str">
        <f t="shared" si="211"/>
        <v>Draft email</v>
      </c>
      <c r="AG1209" s="64" t="str">
        <f>IF($C1209="","",IFERROR(INDEX('Staff Directory'!$K$595:$K$599,MATCH($C1209,'Staff Directory'!$B$5:$B$599,0)),$D1209))</f>
        <v>PSW</v>
      </c>
      <c r="AH1209" t="str">
        <f>IF($C1209="","",IFERROR(INDEX('Staff Directory'!$I$595:$I$599,MATCH($C1209,'Staff Directory'!$B$5:$B$599,0))&amp;" "&amp;INDEX('Staff Directory'!$J$595:$J$599,MATCH($C1209,'Staff Directory'!$B$5:$B$599,0)),$AG1209))</f>
        <v>PSW</v>
      </c>
      <c r="AI1209" s="102"/>
      <c r="AJ1209" s="101">
        <f>IF($F1209="","",SUMIFS($J$5:$J1209,$F$5:$F1209,$F1209))</f>
        <v>72500</v>
      </c>
      <c r="AK1209" s="101">
        <f t="shared" si="203"/>
        <v>72001</v>
      </c>
      <c r="AL1209" s="66" t="str" cm="1">
        <f t="array" ref="AL1209">IF($F1209="","",IFERROR(INDEX('Lot Balance'!$B$5:$B$500,MATCH(1,INDEX(('Lot Balance'!$A$5:$A$500=$F1209)*('Lot Balance'!$K$5:$K$500&lt;$AK1209)*('Lot Balance'!$K$5:$K$500+'Lot Balance'!$D$5:$D$500&gt;=$AK1209),0),0)),""))</f>
        <v>315JIC25</v>
      </c>
      <c r="AM1209" s="66" t="str" cm="1">
        <f t="array" ref="AM1209">IF($F1209="","",IFERROR(INDEX('Lot Balance'!$B$5:$B$500,MATCH(1,INDEX(('Lot Balance'!$A$5:$A$500=$F1209)*('Lot Balance'!$K$5:$K$500&lt;$AJ1209)*('Lot Balance'!$K$5:$K$500+'Lot Balance'!$D$5:$D$500&gt;=$AJ1209),0),0)),""))</f>
        <v>O310LIC25</v>
      </c>
      <c r="AN1209" s="66" t="str">
        <f>IF($F1209="","",IF($AI1209&lt;&gt;"",IF(COUNTIFS('Lot Balance'!$A$5:$A$500,$F1209,'Lot Balance'!$B$5:$B$500,$AI1209)=0,"⚠ override is not a lot of this item",IF($AI1209=$AL1209,"Override = FEFO","Override - FEFO says "&amp;$AL1209)),IF($AL1209="","⚠ no receipt on file for this item",IF($AM1209&lt;&gt;$AL1209,"FEFO auto - split, also "&amp;$AM1209,"FEFO auto"))))</f>
        <v>FEFO auto - split, also O310LIC25</v>
      </c>
      <c r="AO1209" s="114"/>
    </row>
    <row r="1210" spans="1:41" x14ac:dyDescent="0.35">
      <c r="A1210" s="74">
        <v>46189</v>
      </c>
      <c r="B1210" s="18" t="str">
        <f>IF($C1210="","",IFERROR(INDEX('Staff Directory'!$A$5:$A$594,MATCH($C1210,'Staff Directory'!$B$5:$B$594,0)),"⚠ unknown staff"))</f>
        <v>PSW-071-TBD</v>
      </c>
      <c r="C1210" s="49" t="s">
        <v>1047</v>
      </c>
      <c r="D1210" s="19" t="str">
        <f>IF($B1210="","",IFERROR(INDEX('Staff Directory'!$C$5:$C$594,MATCH($B1210,'Staff Directory'!$A$5:$A$594,0)),""))</f>
        <v>PSW</v>
      </c>
      <c r="E1210" s="19">
        <f>IF($B1210="","",IFERROR(INDEX('Staff Directory'!$D$5:$D$594,MATCH($B1210,'Staff Directory'!$A$5:$A$594,0)),""))</f>
        <v>0</v>
      </c>
      <c r="F1210" s="9" t="s">
        <v>115</v>
      </c>
      <c r="G1210" s="18" t="str">
        <f>IF($F1210="","",IFERROR(INDEX(Items!$B$5:$B$597,MATCH($F1210,Items!$A$5:$A$597,0)),"⚠ not in Items"))</f>
        <v>Wipes</v>
      </c>
      <c r="H1210" s="19">
        <f>IF($F1210="","",IFERROR(INDEX(Items!$C$5:$C$597,MATCH($F1210,Items!$A$5:$A$597,0)),""))</f>
        <v>80</v>
      </c>
      <c r="I1210" s="23">
        <f>IF($F1210="","",IFERROR(INDEX(Items!$E$5:$E$597,MATCH($F1210,Items!$A$5:$A$597,0)),""))</f>
        <v>80</v>
      </c>
      <c r="J1210" s="115">
        <f>IF(tblIssues[[#This Row],[Qty Override]]&lt;&gt;"",tblIssues[[#This Row],[Qty Override]],IF(tblIssues[[#This Row],[Standard Issue]]="","",tblIssues[[#This Row],[Standard Issue]]))</f>
        <v>80</v>
      </c>
      <c r="K1210" s="20">
        <f>IF($F1210="","",IFERROR(INDEX(Items!$D$5:$D$597,MATCH($F1210,Items!$A$5:$A$597,0)),""))</f>
        <v>0.1</v>
      </c>
      <c r="L1210" s="21">
        <f t="shared" si="206"/>
        <v>8</v>
      </c>
      <c r="M1210" s="9" t="str">
        <f t="shared" si="204"/>
        <v>LYSL500290</v>
      </c>
      <c r="N1210" s="24">
        <f>IF($A1210="","",WORKDAY($A1210,Settings!$C$9,HolidayDates))</f>
        <v>46197</v>
      </c>
      <c r="O1210" s="24">
        <f>IF($N1210="","",WORKDAY($N1210,Settings!$C$10,HolidayDates))</f>
        <v>46237</v>
      </c>
      <c r="P1210" s="10" t="s">
        <v>501</v>
      </c>
      <c r="Q1210" s="52" t="str">
        <f t="shared" si="207"/>
        <v>Collected</v>
      </c>
      <c r="R1210" s="55" t="str">
        <f t="shared" si="208"/>
        <v>2026-06</v>
      </c>
      <c r="S1210" s="55">
        <f>IF(OR($B1210="",$F1210="",$R1210=""),"",SUMIFS(tblIssues[Qty Issued],tblIssues[Staff ID],$B1210,tblIssues[Item Name],$F1210,tblIssues[Month],$R1210))</f>
        <v>80</v>
      </c>
      <c r="T1210" s="56">
        <f>IF($I1210="","",$I1210*Settings!$C$11)</f>
        <v>80</v>
      </c>
      <c r="U1210" s="57" t="str">
        <f t="shared" si="205"/>
        <v>OK</v>
      </c>
      <c r="V1210" s="55" t="str">
        <f t="shared" si="209"/>
        <v/>
      </c>
      <c r="W1210" s="55" t="str">
        <f>IF($V1210="","",IF(COUNTIF($V$5:$V1210,$V1210)=1,1,""))</f>
        <v/>
      </c>
      <c r="X1210" s="58" t="str">
        <f>IF($W1210="","",MAX($X$4:X1209)+1)</f>
        <v/>
      </c>
      <c r="Y1210" s="62"/>
      <c r="Z1210" s="62"/>
      <c r="AA1210" s="64" t="str">
        <f>IF($C1210="","",IFERROR(INDEX('Staff Directory'!$E$5:$E$594,MATCH($C1210,'Staff Directory'!$B$5:$B$594,0)),""))</f>
        <v>firstname131.lastname131@example.com</v>
      </c>
      <c r="AB1210" s="64" t="str">
        <f>IF($C1210="","",IF(ISNUMBER(SEARCH($D1210,Settings!$C$15)),"Pickup","Dispatch"))</f>
        <v>Pickup</v>
      </c>
      <c r="AC1210" s="64" t="str">
        <f t="shared" si="210"/>
        <v>Supply order ready for pickup</v>
      </c>
      <c r="AD1210" s="64" t="str">
        <f t="shared" si="201"/>
        <v>Dear PSW,
Your order is ready for pickup from Sample Branch, Wed-Fri 9am-4pm.</v>
      </c>
      <c r="AE1210" s="64" t="str">
        <f t="shared" si="202"/>
        <v>mailto:firstname131.lastname131@example.com?subject=Supply%20order%20ready%20for%20pickup&amp;body=Dear%20PSW%2C%0A%0AYour%20order%20is%20ready%20for%20pickup%20from%20Sample%20Branch%2C%20Wed-Fri%209am-4pm.</v>
      </c>
      <c r="AF1210" s="89" t="str">
        <f t="shared" si="211"/>
        <v>Draft email</v>
      </c>
      <c r="AG1210" s="64" t="str">
        <f>IF($C1210="","",IFERROR(INDEX('Staff Directory'!$K$595:$K$599,MATCH($C1210,'Staff Directory'!$B$5:$B$599,0)),$D1210))</f>
        <v>PSW</v>
      </c>
      <c r="AH1210" t="str">
        <f>IF($C1210="","",IFERROR(INDEX('Staff Directory'!$I$595:$I$599,MATCH($C1210,'Staff Directory'!$B$5:$B$599,0))&amp;" "&amp;INDEX('Staff Directory'!$J$595:$J$599,MATCH($C1210,'Staff Directory'!$B$5:$B$599,0)),$AG1210))</f>
        <v>PSW</v>
      </c>
      <c r="AI1210" s="102"/>
      <c r="AJ1210" s="101">
        <f>IF($F1210="","",SUMIFS($J$5:$J1210,$F$5:$F1210,$F1210))</f>
        <v>16720</v>
      </c>
      <c r="AK1210" s="101">
        <f t="shared" si="203"/>
        <v>16641</v>
      </c>
      <c r="AL1210" s="66" t="str" cm="1">
        <f t="array" ref="AL1210">IF($F1210="","",IFERROR(INDEX('Lot Balance'!$B$5:$B$500,MATCH(1,INDEX(('Lot Balance'!$A$5:$A$500=$F1210)*('Lot Balance'!$K$5:$K$500&lt;$AK1210)*('Lot Balance'!$K$5:$K$500+'Lot Balance'!$D$5:$D$500&gt;=$AK1210),0),0)),""))</f>
        <v>LYSL500290</v>
      </c>
      <c r="AM1210" s="66" t="str" cm="1">
        <f t="array" ref="AM1210">IF($F1210="","",IFERROR(INDEX('Lot Balance'!$B$5:$B$500,MATCH(1,INDEX(('Lot Balance'!$A$5:$A$500=$F1210)*('Lot Balance'!$K$5:$K$500&lt;$AJ1210)*('Lot Balance'!$K$5:$K$500+'Lot Balance'!$D$5:$D$500&gt;=$AJ1210),0),0)),""))</f>
        <v>LYSL500290</v>
      </c>
      <c r="AN1210" s="66" t="str">
        <f>IF($F1210="","",IF($AI1210&lt;&gt;"",IF(COUNTIFS('Lot Balance'!$A$5:$A$500,$F1210,'Lot Balance'!$B$5:$B$500,$AI1210)=0,"⚠ override is not a lot of this item",IF($AI1210=$AL1210,"Override = FEFO","Override - FEFO says "&amp;$AL1210)),IF($AL1210="","⚠ no receipt on file for this item",IF($AM1210&lt;&gt;$AL1210,"FEFO auto - split, also "&amp;$AM1210,"FEFO auto"))))</f>
        <v>FEFO auto</v>
      </c>
      <c r="AO1210" s="114"/>
    </row>
    <row r="1211" spans="1:41" x14ac:dyDescent="0.35">
      <c r="A1211" s="74">
        <v>46189</v>
      </c>
      <c r="B1211" s="18" t="str">
        <f>IF($C1211="","",IFERROR(INDEX('Staff Directory'!$A$5:$A$594,MATCH($C1211,'Staff Directory'!$B$5:$B$594,0)),"⚠ unknown staff"))</f>
        <v>PSW-071-TBD</v>
      </c>
      <c r="C1211" s="49" t="s">
        <v>1047</v>
      </c>
      <c r="D1211" s="19" t="str">
        <f>IF($B1211="","",IFERROR(INDEX('Staff Directory'!$C$5:$C$594,MATCH($B1211,'Staff Directory'!$A$5:$A$594,0)),""))</f>
        <v>PSW</v>
      </c>
      <c r="E1211" s="19">
        <f>IF($B1211="","",IFERROR(INDEX('Staff Directory'!$D$5:$D$594,MATCH($B1211,'Staff Directory'!$A$5:$A$594,0)),""))</f>
        <v>0</v>
      </c>
      <c r="F1211" s="9" t="s">
        <v>104</v>
      </c>
      <c r="G1211" s="18" t="str">
        <f>IF($F1211="","",IFERROR(INDEX(Items!$B$5:$B$597,MATCH($F1211,Items!$A$5:$A$597,0)),"⚠ not in Items"))</f>
        <v>Masks</v>
      </c>
      <c r="H1211" s="19" t="str">
        <f>IF($F1211="","",IFERROR(INDEX(Items!$C$5:$C$597,MATCH($F1211,Items!$A$5:$A$597,0)),""))</f>
        <v>One Size</v>
      </c>
      <c r="I1211" s="23">
        <f>IF($F1211="","",IFERROR(INDEX(Items!$E$5:$E$597,MATCH($F1211,Items!$A$5:$A$597,0)),""))</f>
        <v>5</v>
      </c>
      <c r="J1211" s="115">
        <f>IF(tblIssues[[#This Row],[Qty Override]]&lt;&gt;"",tblIssues[[#This Row],[Qty Override]],IF(tblIssues[[#This Row],[Standard Issue]]="","",tblIssues[[#This Row],[Standard Issue]]))</f>
        <v>5</v>
      </c>
      <c r="K1211" s="20">
        <f>IF($F1211="","",IFERROR(INDEX(Items!$D$5:$D$597,MATCH($F1211,Items!$A$5:$A$597,0)),""))</f>
        <v>2.0499999999999998</v>
      </c>
      <c r="L1211" s="21">
        <f t="shared" si="206"/>
        <v>10.25</v>
      </c>
      <c r="M1211" s="9" t="str">
        <f t="shared" si="204"/>
        <v>N955003717</v>
      </c>
      <c r="N1211" s="24">
        <f>IF($A1211="","",WORKDAY($A1211,Settings!$C$9,HolidayDates))</f>
        <v>46197</v>
      </c>
      <c r="O1211" s="24">
        <f>IF($N1211="","",WORKDAY($N1211,Settings!$C$10,HolidayDates))</f>
        <v>46237</v>
      </c>
      <c r="P1211" s="10" t="s">
        <v>501</v>
      </c>
      <c r="Q1211" s="52" t="str">
        <f t="shared" si="207"/>
        <v>Collected</v>
      </c>
      <c r="R1211" s="55" t="str">
        <f t="shared" si="208"/>
        <v>2026-06</v>
      </c>
      <c r="S1211" s="55">
        <f>IF(OR($B1211="",$F1211="",$R1211=""),"",SUMIFS(tblIssues[Qty Issued],tblIssues[Staff ID],$B1211,tblIssues[Item Name],$F1211,tblIssues[Month],$R1211))</f>
        <v>5</v>
      </c>
      <c r="T1211" s="56">
        <f>IF($I1211="","",$I1211*Settings!$C$11)</f>
        <v>5</v>
      </c>
      <c r="U1211" s="57" t="str">
        <f t="shared" si="205"/>
        <v>OK</v>
      </c>
      <c r="V1211" s="55" t="str">
        <f t="shared" si="209"/>
        <v/>
      </c>
      <c r="W1211" s="55" t="str">
        <f>IF($V1211="","",IF(COUNTIF($V$5:$V1211,$V1211)=1,1,""))</f>
        <v/>
      </c>
      <c r="X1211" s="58" t="str">
        <f>IF($W1211="","",MAX($X$4:X1210)+1)</f>
        <v/>
      </c>
      <c r="Y1211" s="62"/>
      <c r="Z1211" s="62"/>
      <c r="AA1211" s="64" t="str">
        <f>IF($C1211="","",IFERROR(INDEX('Staff Directory'!$E$5:$E$594,MATCH($C1211,'Staff Directory'!$B$5:$B$594,0)),""))</f>
        <v>firstname131.lastname131@example.com</v>
      </c>
      <c r="AB1211" s="64" t="str">
        <f>IF($C1211="","",IF(ISNUMBER(SEARCH($D1211,Settings!$C$15)),"Pickup","Dispatch"))</f>
        <v>Pickup</v>
      </c>
      <c r="AC1211" s="64" t="str">
        <f t="shared" si="210"/>
        <v>Supply order ready for pickup</v>
      </c>
      <c r="AD1211" s="64" t="str">
        <f t="shared" si="201"/>
        <v>Dear PSW,
Your order is ready for pickup from Sample Branch, Wed-Fri 9am-4pm.</v>
      </c>
      <c r="AE1211" s="64" t="str">
        <f t="shared" si="202"/>
        <v>mailto:firstname131.lastname131@example.com?subject=Supply%20order%20ready%20for%20pickup&amp;body=Dear%20PSW%2C%0A%0AYour%20order%20is%20ready%20for%20pickup%20from%20Sample%20Branch%2C%20Wed-Fri%209am-4pm.</v>
      </c>
      <c r="AF1211" s="89" t="str">
        <f t="shared" si="211"/>
        <v>Draft email</v>
      </c>
      <c r="AG1211" s="64" t="str">
        <f>IF($C1211="","",IFERROR(INDEX('Staff Directory'!$K$595:$K$599,MATCH($C1211,'Staff Directory'!$B$5:$B$599,0)),$D1211))</f>
        <v>PSW</v>
      </c>
      <c r="AH1211" t="str">
        <f>IF($C1211="","",IFERROR(INDEX('Staff Directory'!$I$595:$I$599,MATCH($C1211,'Staff Directory'!$B$5:$B$599,0))&amp;" "&amp;INDEX('Staff Directory'!$J$595:$J$599,MATCH($C1211,'Staff Directory'!$B$5:$B$599,0)),$AG1211))</f>
        <v>PSW</v>
      </c>
      <c r="AI1211" s="102"/>
      <c r="AJ1211" s="101">
        <f>IF($F1211="","",SUMIFS($J$5:$J1211,$F$5:$F1211,$F1211))</f>
        <v>30</v>
      </c>
      <c r="AK1211" s="101">
        <f t="shared" si="203"/>
        <v>26</v>
      </c>
      <c r="AL1211" s="66" t="str" cm="1">
        <f t="array" ref="AL1211">IF($F1211="","",IFERROR(INDEX('Lot Balance'!$B$5:$B$500,MATCH(1,INDEX(('Lot Balance'!$A$5:$A$500=$F1211)*('Lot Balance'!$K$5:$K$500&lt;$AK1211)*('Lot Balance'!$K$5:$K$500+'Lot Balance'!$D$5:$D$500&gt;=$AK1211),0),0)),""))</f>
        <v>N955003717</v>
      </c>
      <c r="AM1211" s="66" t="str" cm="1">
        <f t="array" ref="AM1211">IF($F1211="","",IFERROR(INDEX('Lot Balance'!$B$5:$B$500,MATCH(1,INDEX(('Lot Balance'!$A$5:$A$500=$F1211)*('Lot Balance'!$K$5:$K$500&lt;$AJ1211)*('Lot Balance'!$K$5:$K$500+'Lot Balance'!$D$5:$D$500&gt;=$AJ1211),0),0)),""))</f>
        <v>N955003717</v>
      </c>
      <c r="AN1211" s="66" t="str">
        <f>IF($F1211="","",IF($AI1211&lt;&gt;"",IF(COUNTIFS('Lot Balance'!$A$5:$A$500,$F1211,'Lot Balance'!$B$5:$B$500,$AI1211)=0,"⚠ override is not a lot of this item",IF($AI1211=$AL1211,"Override = FEFO","Override - FEFO says "&amp;$AL1211)),IF($AL1211="","⚠ no receipt on file for this item",IF($AM1211&lt;&gt;$AL1211,"FEFO auto - split, also "&amp;$AM1211,"FEFO auto"))))</f>
        <v>FEFO auto</v>
      </c>
      <c r="AO1211" s="114"/>
    </row>
    <row r="1212" spans="1:41" x14ac:dyDescent="0.35">
      <c r="A1212" s="74">
        <v>46189</v>
      </c>
      <c r="B1212" s="18" t="str">
        <f>IF($C1212="","",IFERROR(INDEX('Staff Directory'!$A$5:$A$594,MATCH($C1212,'Staff Directory'!$B$5:$B$594,0)),"⚠ unknown staff"))</f>
        <v>PSW-071-TBD</v>
      </c>
      <c r="C1212" s="49" t="s">
        <v>1047</v>
      </c>
      <c r="D1212" s="19" t="str">
        <f>IF($B1212="","",IFERROR(INDEX('Staff Directory'!$C$5:$C$594,MATCH($B1212,'Staff Directory'!$A$5:$A$594,0)),""))</f>
        <v>PSW</v>
      </c>
      <c r="E1212" s="19">
        <f>IF($B1212="","",IFERROR(INDEX('Staff Directory'!$D$5:$D$594,MATCH($B1212,'Staff Directory'!$A$5:$A$594,0)),""))</f>
        <v>0</v>
      </c>
      <c r="F1212" s="9" t="s">
        <v>156</v>
      </c>
      <c r="G1212" s="18" t="str">
        <f>IF($F1212="","",IFERROR(INDEX(Items!$B$5:$B$597,MATCH($F1212,Items!$A$5:$A$597,0)),"⚠ not in Items"))</f>
        <v>Masks</v>
      </c>
      <c r="H1212" s="19" t="str">
        <f>IF($F1212="","",IFERROR(INDEX(Items!$C$5:$C$597,MATCH($F1212,Items!$A$5:$A$597,0)),""))</f>
        <v>One Size</v>
      </c>
      <c r="I1212" s="23">
        <f>IF($F1212="","",IFERROR(INDEX(Items!$E$5:$E$597,MATCH($F1212,Items!$A$5:$A$597,0)),""))</f>
        <v>50</v>
      </c>
      <c r="J1212" s="115">
        <f>IF(tblIssues[[#This Row],[Qty Override]]&lt;&gt;"",tblIssues[[#This Row],[Qty Override]],IF(tblIssues[[#This Row],[Standard Issue]]="","",tblIssues[[#This Row],[Standard Issue]]))</f>
        <v>50</v>
      </c>
      <c r="K1212" s="20">
        <f>IF($F1212="","",IFERROR(INDEX(Items!$D$5:$D$597,MATCH($F1212,Items!$A$5:$A$597,0)),""))</f>
        <v>0.25</v>
      </c>
      <c r="L1212" s="21">
        <f t="shared" si="206"/>
        <v>12.5</v>
      </c>
      <c r="M1212" s="9" t="str">
        <f t="shared" si="204"/>
        <v>102GPC24</v>
      </c>
      <c r="N1212" s="24">
        <f>IF($A1212="","",WORKDAY($A1212,Settings!$C$9,HolidayDates))</f>
        <v>46197</v>
      </c>
      <c r="O1212" s="24">
        <f>IF($N1212="","",WORKDAY($N1212,Settings!$C$10,HolidayDates))</f>
        <v>46237</v>
      </c>
      <c r="P1212" s="10" t="s">
        <v>501</v>
      </c>
      <c r="Q1212" s="52" t="str">
        <f t="shared" si="207"/>
        <v>Collected</v>
      </c>
      <c r="R1212" s="55" t="str">
        <f t="shared" si="208"/>
        <v>2026-06</v>
      </c>
      <c r="S1212" s="55">
        <f>IF(OR($B1212="",$F1212="",$R1212=""),"",SUMIFS(tblIssues[Qty Issued],tblIssues[Staff ID],$B1212,tblIssues[Item Name],$F1212,tblIssues[Month],$R1212))</f>
        <v>50</v>
      </c>
      <c r="T1212" s="56">
        <f>IF($I1212="","",$I1212*Settings!$C$11)</f>
        <v>50</v>
      </c>
      <c r="U1212" s="57" t="str">
        <f t="shared" si="205"/>
        <v>OK</v>
      </c>
      <c r="V1212" s="55" t="str">
        <f t="shared" si="209"/>
        <v/>
      </c>
      <c r="W1212" s="55" t="str">
        <f>IF($V1212="","",IF(COUNTIF($V$5:$V1212,$V1212)=1,1,""))</f>
        <v/>
      </c>
      <c r="X1212" s="58" t="str">
        <f>IF($W1212="","",MAX($X$4:X1211)+1)</f>
        <v/>
      </c>
      <c r="Y1212" s="62"/>
      <c r="Z1212" s="62"/>
      <c r="AA1212" s="64" t="str">
        <f>IF($C1212="","",IFERROR(INDEX('Staff Directory'!$E$5:$E$594,MATCH($C1212,'Staff Directory'!$B$5:$B$594,0)),""))</f>
        <v>firstname131.lastname131@example.com</v>
      </c>
      <c r="AB1212" s="64" t="str">
        <f>IF($C1212="","",IF(ISNUMBER(SEARCH($D1212,Settings!$C$15)),"Pickup","Dispatch"))</f>
        <v>Pickup</v>
      </c>
      <c r="AC1212" s="64" t="str">
        <f t="shared" si="210"/>
        <v>Supply order ready for pickup</v>
      </c>
      <c r="AD1212" s="64" t="str">
        <f t="shared" si="201"/>
        <v>Dear PSW,
Your order is ready for pickup from Sample Branch, Wed-Fri 9am-4pm.</v>
      </c>
      <c r="AE1212" s="64" t="str">
        <f t="shared" si="202"/>
        <v>mailto:firstname131.lastname131@example.com?subject=Supply%20order%20ready%20for%20pickup&amp;body=Dear%20PSW%2C%0A%0AYour%20order%20is%20ready%20for%20pickup%20from%20Sample%20Branch%2C%20Wed-Fri%209am-4pm.</v>
      </c>
      <c r="AF1212" s="89" t="str">
        <f t="shared" si="211"/>
        <v>Draft email</v>
      </c>
      <c r="AG1212" s="64" t="str">
        <f>IF($C1212="","",IFERROR(INDEX('Staff Directory'!$K$595:$K$599,MATCH($C1212,'Staff Directory'!$B$5:$B$599,0)),$D1212))</f>
        <v>PSW</v>
      </c>
      <c r="AH1212" t="str">
        <f>IF($C1212="","",IFERROR(INDEX('Staff Directory'!$I$595:$I$599,MATCH($C1212,'Staff Directory'!$B$5:$B$599,0))&amp;" "&amp;INDEX('Staff Directory'!$J$595:$J$599,MATCH($C1212,'Staff Directory'!$B$5:$B$599,0)),$AG1212))</f>
        <v>PSW</v>
      </c>
      <c r="AI1212" s="102"/>
      <c r="AJ1212" s="101">
        <f>IF($F1212="","",SUMIFS($J$5:$J1212,$F$5:$F1212,$F1212))</f>
        <v>10150</v>
      </c>
      <c r="AK1212" s="101">
        <f t="shared" si="203"/>
        <v>10101</v>
      </c>
      <c r="AL1212" s="66" t="str" cm="1">
        <f t="array" ref="AL1212">IF($F1212="","",IFERROR(INDEX('Lot Balance'!$B$5:$B$500,MATCH(1,INDEX(('Lot Balance'!$A$5:$A$500=$F1212)*('Lot Balance'!$K$5:$K$500&lt;$AK1212)*('Lot Balance'!$K$5:$K$500+'Lot Balance'!$D$5:$D$500&gt;=$AK1212),0),0)),""))</f>
        <v>102GPC24</v>
      </c>
      <c r="AM1212" s="66" t="str" cm="1">
        <f t="array" ref="AM1212">IF($F1212="","",IFERROR(INDEX('Lot Balance'!$B$5:$B$500,MATCH(1,INDEX(('Lot Balance'!$A$5:$A$500=$F1212)*('Lot Balance'!$K$5:$K$500&lt;$AJ1212)*('Lot Balance'!$K$5:$K$500+'Lot Balance'!$D$5:$D$500&gt;=$AJ1212),0),0)),""))</f>
        <v>102GPC24</v>
      </c>
      <c r="AN1212" s="66" t="str">
        <f>IF($F1212="","",IF($AI1212&lt;&gt;"",IF(COUNTIFS('Lot Balance'!$A$5:$A$500,$F1212,'Lot Balance'!$B$5:$B$500,$AI1212)=0,"⚠ override is not a lot of this item",IF($AI1212=$AL1212,"Override = FEFO","Override - FEFO says "&amp;$AL1212)),IF($AL1212="","⚠ no receipt on file for this item",IF($AM1212&lt;&gt;$AL1212,"FEFO auto - split, also "&amp;$AM1212,"FEFO auto"))))</f>
        <v>FEFO auto</v>
      </c>
      <c r="AO1212" s="114"/>
    </row>
    <row r="1213" spans="1:41" x14ac:dyDescent="0.35">
      <c r="A1213" s="74">
        <v>46189</v>
      </c>
      <c r="B1213" s="18" t="str">
        <f>IF($C1213="","",IFERROR(INDEX('Staff Directory'!$A$5:$A$594,MATCH($C1213,'Staff Directory'!$B$5:$B$594,0)),"⚠ unknown staff"))</f>
        <v>PSW-140-A7</v>
      </c>
      <c r="C1213" s="49" t="s">
        <v>1119</v>
      </c>
      <c r="D1213" s="19" t="str">
        <f>IF($B1213="","",IFERROR(INDEX('Staff Directory'!$C$5:$C$594,MATCH($B1213,'Staff Directory'!$A$5:$A$594,0)),""))</f>
        <v>PSW</v>
      </c>
      <c r="E1213" s="19" t="str">
        <f>IF($B1213="","",IFERROR(INDEX('Staff Directory'!$D$5:$D$594,MATCH($B1213,'Staff Directory'!$A$5:$A$594,0)),""))</f>
        <v>A7</v>
      </c>
      <c r="F1213" s="9" t="s">
        <v>127</v>
      </c>
      <c r="G1213" s="18" t="str">
        <f>IF($F1213="","",IFERROR(INDEX(Items!$B$5:$B$597,MATCH($F1213,Items!$A$5:$A$597,0)),"⚠ not in Items"))</f>
        <v>Gloves</v>
      </c>
      <c r="H1213" s="19" t="str">
        <f>IF($F1213="","",IFERROR(INDEX(Items!$C$5:$C$597,MATCH($F1213,Items!$A$5:$A$597,0)),""))</f>
        <v>Medium</v>
      </c>
      <c r="I1213" s="23">
        <f>IF($F1213="","",IFERROR(INDEX(Items!$E$5:$E$597,MATCH($F1213,Items!$A$5:$A$597,0)),""))</f>
        <v>500</v>
      </c>
      <c r="J1213" s="115">
        <f>IF(tblIssues[[#This Row],[Qty Override]]&lt;&gt;"",tblIssues[[#This Row],[Qty Override]],IF(tblIssues[[#This Row],[Standard Issue]]="","",tblIssues[[#This Row],[Standard Issue]]))</f>
        <v>500</v>
      </c>
      <c r="K1213" s="20">
        <f>IF($F1213="","",IFERROR(INDEX(Items!$D$5:$D$597,MATCH($F1213,Items!$A$5:$A$597,0)),""))</f>
        <v>5.5E-2</v>
      </c>
      <c r="L1213" s="21">
        <f t="shared" si="206"/>
        <v>27.5</v>
      </c>
      <c r="M1213" s="9" t="str">
        <f t="shared" si="204"/>
        <v>O310LIC25</v>
      </c>
      <c r="N1213" s="24">
        <f>IF($A1213="","",WORKDAY($A1213,Settings!$C$9,HolidayDates))</f>
        <v>46197</v>
      </c>
      <c r="O1213" s="24">
        <f>IF($N1213="","",WORKDAY($N1213,Settings!$C$10,HolidayDates))</f>
        <v>46237</v>
      </c>
      <c r="P1213" s="10" t="s">
        <v>501</v>
      </c>
      <c r="Q1213" s="52" t="str">
        <f t="shared" si="207"/>
        <v>Collected</v>
      </c>
      <c r="R1213" s="55" t="str">
        <f t="shared" si="208"/>
        <v>2026-06</v>
      </c>
      <c r="S1213" s="55">
        <f>IF(OR($B1213="",$F1213="",$R1213=""),"",SUMIFS(tblIssues[Qty Issued],tblIssues[Staff ID],$B1213,tblIssues[Item Name],$F1213,tblIssues[Month],$R1213))</f>
        <v>500</v>
      </c>
      <c r="T1213" s="56">
        <f>IF($I1213="","",$I1213*Settings!$C$11)</f>
        <v>500</v>
      </c>
      <c r="U1213" s="57" t="str">
        <f t="shared" si="205"/>
        <v>OK</v>
      </c>
      <c r="V1213" s="55" t="str">
        <f t="shared" si="209"/>
        <v/>
      </c>
      <c r="W1213" s="55" t="str">
        <f>IF($V1213="","",IF(COUNTIF($V$5:$V1213,$V1213)=1,1,""))</f>
        <v/>
      </c>
      <c r="X1213" s="58" t="str">
        <f>IF($W1213="","",MAX($X$4:X1212)+1)</f>
        <v/>
      </c>
      <c r="Y1213" s="62"/>
      <c r="Z1213" s="62"/>
      <c r="AA1213" s="64" t="str">
        <f>IF($C1213="","",IFERROR(INDEX('Staff Directory'!$E$5:$E$594,MATCH($C1213,'Staff Directory'!$B$5:$B$594,0)),""))</f>
        <v>firstname203.lastname203@example.com</v>
      </c>
      <c r="AB1213" s="64" t="str">
        <f>IF($C1213="","",IF(ISNUMBER(SEARCH($D1213,Settings!$C$15)),"Pickup","Dispatch"))</f>
        <v>Pickup</v>
      </c>
      <c r="AC1213" s="64" t="str">
        <f t="shared" si="210"/>
        <v>Supply order ready for pickup</v>
      </c>
      <c r="AD1213" s="64" t="str">
        <f t="shared" si="201"/>
        <v>Dear PSW,
Your order is ready for pickup from Sample Branch, Wed-Fri 9am-4pm.</v>
      </c>
      <c r="AE1213" s="64" t="str">
        <f t="shared" si="202"/>
        <v>mailto:firstname203.lastname203@example.com?subject=Supply%20order%20ready%20for%20pickup&amp;body=Dear%20PSW%2C%0A%0AYour%20order%20is%20ready%20for%20pickup%20from%20Sample%20Branch%2C%20Wed-Fri%209am-4pm.</v>
      </c>
      <c r="AF1213" s="89" t="str">
        <f t="shared" si="211"/>
        <v>Draft email</v>
      </c>
      <c r="AG1213" s="64" t="str">
        <f>IF($C1213="","",IFERROR(INDEX('Staff Directory'!$K$595:$K$599,MATCH($C1213,'Staff Directory'!$B$5:$B$599,0)),$D1213))</f>
        <v>PSW</v>
      </c>
      <c r="AH1213" t="str">
        <f>IF($C1213="","",IFERROR(INDEX('Staff Directory'!$I$595:$I$599,MATCH($C1213,'Staff Directory'!$B$5:$B$599,0))&amp;" "&amp;INDEX('Staff Directory'!$J$595:$J$599,MATCH($C1213,'Staff Directory'!$B$5:$B$599,0)),$AG1213))</f>
        <v>PSW</v>
      </c>
      <c r="AI1213" s="102"/>
      <c r="AJ1213" s="101">
        <f>IF($F1213="","",SUMIFS($J$5:$J1213,$F$5:$F1213,$F1213))</f>
        <v>73000</v>
      </c>
      <c r="AK1213" s="101">
        <f t="shared" si="203"/>
        <v>72501</v>
      </c>
      <c r="AL1213" s="66" t="str" cm="1">
        <f t="array" ref="AL1213">IF($F1213="","",IFERROR(INDEX('Lot Balance'!$B$5:$B$500,MATCH(1,INDEX(('Lot Balance'!$A$5:$A$500=$F1213)*('Lot Balance'!$K$5:$K$500&lt;$AK1213)*('Lot Balance'!$K$5:$K$500+'Lot Balance'!$D$5:$D$500&gt;=$AK1213),0),0)),""))</f>
        <v>O310LIC25</v>
      </c>
      <c r="AM1213" s="66" t="str" cm="1">
        <f t="array" ref="AM1213">IF($F1213="","",IFERROR(INDEX('Lot Balance'!$B$5:$B$500,MATCH(1,INDEX(('Lot Balance'!$A$5:$A$500=$F1213)*('Lot Balance'!$K$5:$K$500&lt;$AJ1213)*('Lot Balance'!$K$5:$K$500+'Lot Balance'!$D$5:$D$500&gt;=$AJ1213),0),0)),""))</f>
        <v>O310LIC25</v>
      </c>
      <c r="AN1213" s="66" t="str">
        <f>IF($F1213="","",IF($AI1213&lt;&gt;"",IF(COUNTIFS('Lot Balance'!$A$5:$A$500,$F1213,'Lot Balance'!$B$5:$B$500,$AI1213)=0,"⚠ override is not a lot of this item",IF($AI1213=$AL1213,"Override = FEFO","Override - FEFO says "&amp;$AL1213)),IF($AL1213="","⚠ no receipt on file for this item",IF($AM1213&lt;&gt;$AL1213,"FEFO auto - split, also "&amp;$AM1213,"FEFO auto"))))</f>
        <v>FEFO auto</v>
      </c>
      <c r="AO1213" s="114"/>
    </row>
    <row r="1214" spans="1:41" x14ac:dyDescent="0.35">
      <c r="A1214" s="74">
        <v>46189</v>
      </c>
      <c r="B1214" s="18" t="str">
        <f>IF($C1214="","",IFERROR(INDEX('Staff Directory'!$A$5:$A$594,MATCH($C1214,'Staff Directory'!$B$5:$B$594,0)),"⚠ unknown staff"))</f>
        <v>PSW-140-A7</v>
      </c>
      <c r="C1214" s="49" t="s">
        <v>1119</v>
      </c>
      <c r="D1214" s="19" t="str">
        <f>IF($B1214="","",IFERROR(INDEX('Staff Directory'!$C$5:$C$594,MATCH($B1214,'Staff Directory'!$A$5:$A$594,0)),""))</f>
        <v>PSW</v>
      </c>
      <c r="E1214" s="19" t="str">
        <f>IF($B1214="","",IFERROR(INDEX('Staff Directory'!$D$5:$D$594,MATCH($B1214,'Staff Directory'!$A$5:$A$594,0)),""))</f>
        <v>A7</v>
      </c>
      <c r="F1214" s="9" t="s">
        <v>191</v>
      </c>
      <c r="G1214" s="18" t="str">
        <f>IF($F1214="","",IFERROR(INDEX(Items!$B$5:$B$597,MATCH($F1214,Items!$A$5:$A$597,0)),"⚠ not in Items"))</f>
        <v>Sanitizer</v>
      </c>
      <c r="H1214" s="19" t="str">
        <f>IF($F1214="","",IFERROR(INDEX(Items!$C$5:$C$597,MATCH($F1214,Items!$A$5:$A$597,0)),""))</f>
        <v>236 ML</v>
      </c>
      <c r="I1214" s="23">
        <f>IF($F1214="","",IFERROR(INDEX(Items!$E$5:$E$597,MATCH($F1214,Items!$A$5:$A$597,0)),""))</f>
        <v>1</v>
      </c>
      <c r="J1214" s="115">
        <f>IF(tblIssues[[#This Row],[Qty Override]]&lt;&gt;"",tblIssues[[#This Row],[Qty Override]],IF(tblIssues[[#This Row],[Standard Issue]]="","",tblIssues[[#This Row],[Standard Issue]]))</f>
        <v>1</v>
      </c>
      <c r="K1214" s="20">
        <f>IF($F1214="","",IFERROR(INDEX(Items!$D$5:$D$597,MATCH($F1214,Items!$A$5:$A$597,0)),""))</f>
        <v>1E-4</v>
      </c>
      <c r="L1214" s="21">
        <f t="shared" si="206"/>
        <v>1E-4</v>
      </c>
      <c r="M1214" s="9" t="str">
        <f t="shared" si="204"/>
        <v>20-21734-4</v>
      </c>
      <c r="N1214" s="24">
        <f>IF($A1214="","",WORKDAY($A1214,Settings!$C$9,HolidayDates))</f>
        <v>46197</v>
      </c>
      <c r="O1214" s="24">
        <f>IF($N1214="","",WORKDAY($N1214,Settings!$C$10,HolidayDates))</f>
        <v>46237</v>
      </c>
      <c r="P1214" s="10" t="s">
        <v>501</v>
      </c>
      <c r="Q1214" s="52" t="str">
        <f t="shared" si="207"/>
        <v>Collected</v>
      </c>
      <c r="R1214" s="55" t="str">
        <f t="shared" si="208"/>
        <v>2026-06</v>
      </c>
      <c r="S1214" s="55">
        <f>IF(OR($B1214="",$F1214="",$R1214=""),"",SUMIFS(tblIssues[Qty Issued],tblIssues[Staff ID],$B1214,tblIssues[Item Name],$F1214,tblIssues[Month],$R1214))</f>
        <v>1</v>
      </c>
      <c r="T1214" s="56">
        <f>IF($I1214="","",$I1214*Settings!$C$11)</f>
        <v>1</v>
      </c>
      <c r="U1214" s="57" t="str">
        <f t="shared" si="205"/>
        <v>OK</v>
      </c>
      <c r="V1214" s="55" t="str">
        <f t="shared" si="209"/>
        <v/>
      </c>
      <c r="W1214" s="55" t="str">
        <f>IF($V1214="","",IF(COUNTIF($V$5:$V1214,$V1214)=1,1,""))</f>
        <v/>
      </c>
      <c r="X1214" s="58" t="str">
        <f>IF($W1214="","",MAX($X$4:X1213)+1)</f>
        <v/>
      </c>
      <c r="Y1214" s="62"/>
      <c r="Z1214" s="62"/>
      <c r="AA1214" s="64" t="str">
        <f>IF($C1214="","",IFERROR(INDEX('Staff Directory'!$E$5:$E$594,MATCH($C1214,'Staff Directory'!$B$5:$B$594,0)),""))</f>
        <v>firstname203.lastname203@example.com</v>
      </c>
      <c r="AB1214" s="64" t="str">
        <f>IF($C1214="","",IF(ISNUMBER(SEARCH($D1214,Settings!$C$15)),"Pickup","Dispatch"))</f>
        <v>Pickup</v>
      </c>
      <c r="AC1214" s="64" t="str">
        <f t="shared" si="210"/>
        <v>Supply order ready for pickup</v>
      </c>
      <c r="AD1214" s="64" t="str">
        <f t="shared" si="201"/>
        <v>Dear PSW,
Your order is ready for pickup from Sample Branch, Wed-Fri 9am-4pm.</v>
      </c>
      <c r="AE1214" s="64" t="str">
        <f t="shared" si="202"/>
        <v>mailto:firstname203.lastname203@example.com?subject=Supply%20order%20ready%20for%20pickup&amp;body=Dear%20PSW%2C%0A%0AYour%20order%20is%20ready%20for%20pickup%20from%20Sample%20Branch%2C%20Wed-Fri%209am-4pm.</v>
      </c>
      <c r="AF1214" s="89" t="str">
        <f t="shared" si="211"/>
        <v>Draft email</v>
      </c>
      <c r="AG1214" s="64" t="str">
        <f>IF($C1214="","",IFERROR(INDEX('Staff Directory'!$K$595:$K$599,MATCH($C1214,'Staff Directory'!$B$5:$B$599,0)),$D1214))</f>
        <v>PSW</v>
      </c>
      <c r="AH1214" t="str">
        <f>IF($C1214="","",IFERROR(INDEX('Staff Directory'!$I$595:$I$599,MATCH($C1214,'Staff Directory'!$B$5:$B$599,0))&amp;" "&amp;INDEX('Staff Directory'!$J$595:$J$599,MATCH($C1214,'Staff Directory'!$B$5:$B$599,0)),$AG1214))</f>
        <v>PSW</v>
      </c>
      <c r="AI1214" s="102"/>
      <c r="AJ1214" s="101">
        <f>IF($F1214="","",SUMIFS($J$5:$J1214,$F$5:$F1214,$F1214))</f>
        <v>151</v>
      </c>
      <c r="AK1214" s="101">
        <f t="shared" si="203"/>
        <v>151</v>
      </c>
      <c r="AL1214" s="66" t="str" cm="1">
        <f t="array" ref="AL1214">IF($F1214="","",IFERROR(INDEX('Lot Balance'!$B$5:$B$500,MATCH(1,INDEX(('Lot Balance'!$A$5:$A$500=$F1214)*('Lot Balance'!$K$5:$K$500&lt;$AK1214)*('Lot Balance'!$K$5:$K$500+'Lot Balance'!$D$5:$D$500&gt;=$AK1214),0),0)),""))</f>
        <v>20-21734-4</v>
      </c>
      <c r="AM1214" s="66" t="str" cm="1">
        <f t="array" ref="AM1214">IF($F1214="","",IFERROR(INDEX('Lot Balance'!$B$5:$B$500,MATCH(1,INDEX(('Lot Balance'!$A$5:$A$500=$F1214)*('Lot Balance'!$K$5:$K$500&lt;$AJ1214)*('Lot Balance'!$K$5:$K$500+'Lot Balance'!$D$5:$D$500&gt;=$AJ1214),0),0)),""))</f>
        <v>20-21734-4</v>
      </c>
      <c r="AN1214" s="66" t="str">
        <f>IF($F1214="","",IF($AI1214&lt;&gt;"",IF(COUNTIFS('Lot Balance'!$A$5:$A$500,$F1214,'Lot Balance'!$B$5:$B$500,$AI1214)=0,"⚠ override is not a lot of this item",IF($AI1214=$AL1214,"Override = FEFO","Override - FEFO says "&amp;$AL1214)),IF($AL1214="","⚠ no receipt on file for this item",IF($AM1214&lt;&gt;$AL1214,"FEFO auto - split, also "&amp;$AM1214,"FEFO auto"))))</f>
        <v>FEFO auto</v>
      </c>
      <c r="AO1214" s="114"/>
    </row>
    <row r="1215" spans="1:41" x14ac:dyDescent="0.35">
      <c r="A1215" s="74">
        <v>46189</v>
      </c>
      <c r="B1215" s="18" t="str">
        <f>IF($C1215="","",IFERROR(INDEX('Staff Directory'!$A$5:$A$594,MATCH($C1215,'Staff Directory'!$B$5:$B$594,0)),"⚠ unknown staff"))</f>
        <v>PSW-140-A7</v>
      </c>
      <c r="C1215" s="49" t="s">
        <v>1119</v>
      </c>
      <c r="D1215" s="19" t="str">
        <f>IF($B1215="","",IFERROR(INDEX('Staff Directory'!$C$5:$C$594,MATCH($B1215,'Staff Directory'!$A$5:$A$594,0)),""))</f>
        <v>PSW</v>
      </c>
      <c r="E1215" s="19" t="str">
        <f>IF($B1215="","",IFERROR(INDEX('Staff Directory'!$D$5:$D$594,MATCH($B1215,'Staff Directory'!$A$5:$A$594,0)),""))</f>
        <v>A7</v>
      </c>
      <c r="F1215" s="9" t="s">
        <v>115</v>
      </c>
      <c r="G1215" s="18" t="str">
        <f>IF($F1215="","",IFERROR(INDEX(Items!$B$5:$B$597,MATCH($F1215,Items!$A$5:$A$597,0)),"⚠ not in Items"))</f>
        <v>Wipes</v>
      </c>
      <c r="H1215" s="19">
        <f>IF($F1215="","",IFERROR(INDEX(Items!$C$5:$C$597,MATCH($F1215,Items!$A$5:$A$597,0)),""))</f>
        <v>80</v>
      </c>
      <c r="I1215" s="23">
        <f>IF($F1215="","",IFERROR(INDEX(Items!$E$5:$E$597,MATCH($F1215,Items!$A$5:$A$597,0)),""))</f>
        <v>80</v>
      </c>
      <c r="J1215" s="115">
        <f>IF(tblIssues[[#This Row],[Qty Override]]&lt;&gt;"",tblIssues[[#This Row],[Qty Override]],IF(tblIssues[[#This Row],[Standard Issue]]="","",tblIssues[[#This Row],[Standard Issue]]))</f>
        <v>80</v>
      </c>
      <c r="K1215" s="20">
        <f>IF($F1215="","",IFERROR(INDEX(Items!$D$5:$D$597,MATCH($F1215,Items!$A$5:$A$597,0)),""))</f>
        <v>0.1</v>
      </c>
      <c r="L1215" s="21">
        <f t="shared" si="206"/>
        <v>8</v>
      </c>
      <c r="M1215" s="9" t="str">
        <f t="shared" si="204"/>
        <v>LYSL500290</v>
      </c>
      <c r="N1215" s="24">
        <f>IF($A1215="","",WORKDAY($A1215,Settings!$C$9,HolidayDates))</f>
        <v>46197</v>
      </c>
      <c r="O1215" s="24">
        <f>IF($N1215="","",WORKDAY($N1215,Settings!$C$10,HolidayDates))</f>
        <v>46237</v>
      </c>
      <c r="P1215" s="10" t="s">
        <v>501</v>
      </c>
      <c r="Q1215" s="52" t="str">
        <f t="shared" si="207"/>
        <v>Collected</v>
      </c>
      <c r="R1215" s="55" t="str">
        <f t="shared" si="208"/>
        <v>2026-06</v>
      </c>
      <c r="S1215" s="55">
        <f>IF(OR($B1215="",$F1215="",$R1215=""),"",SUMIFS(tblIssues[Qty Issued],tblIssues[Staff ID],$B1215,tblIssues[Item Name],$F1215,tblIssues[Month],$R1215))</f>
        <v>80</v>
      </c>
      <c r="T1215" s="56">
        <f>IF($I1215="","",$I1215*Settings!$C$11)</f>
        <v>80</v>
      </c>
      <c r="U1215" s="57" t="str">
        <f t="shared" si="205"/>
        <v>OK</v>
      </c>
      <c r="V1215" s="55" t="str">
        <f t="shared" si="209"/>
        <v/>
      </c>
      <c r="W1215" s="55" t="str">
        <f>IF($V1215="","",IF(COUNTIF($V$5:$V1215,$V1215)=1,1,""))</f>
        <v/>
      </c>
      <c r="X1215" s="58" t="str">
        <f>IF($W1215="","",MAX($X$4:X1214)+1)</f>
        <v/>
      </c>
      <c r="Y1215" s="62"/>
      <c r="Z1215" s="62"/>
      <c r="AA1215" s="64" t="str">
        <f>IF($C1215="","",IFERROR(INDEX('Staff Directory'!$E$5:$E$594,MATCH($C1215,'Staff Directory'!$B$5:$B$594,0)),""))</f>
        <v>firstname203.lastname203@example.com</v>
      </c>
      <c r="AB1215" s="64" t="str">
        <f>IF($C1215="","",IF(ISNUMBER(SEARCH($D1215,Settings!$C$15)),"Pickup","Dispatch"))</f>
        <v>Pickup</v>
      </c>
      <c r="AC1215" s="64" t="str">
        <f t="shared" si="210"/>
        <v>Supply order ready for pickup</v>
      </c>
      <c r="AD1215" s="64" t="str">
        <f t="shared" si="201"/>
        <v>Dear PSW,
Your order is ready for pickup from Sample Branch, Wed-Fri 9am-4pm.</v>
      </c>
      <c r="AE1215" s="64" t="str">
        <f t="shared" si="202"/>
        <v>mailto:firstname203.lastname203@example.com?subject=Supply%20order%20ready%20for%20pickup&amp;body=Dear%20PSW%2C%0A%0AYour%20order%20is%20ready%20for%20pickup%20from%20Sample%20Branch%2C%20Wed-Fri%209am-4pm.</v>
      </c>
      <c r="AF1215" s="89" t="str">
        <f t="shared" si="211"/>
        <v>Draft email</v>
      </c>
      <c r="AG1215" s="64" t="str">
        <f>IF($C1215="","",IFERROR(INDEX('Staff Directory'!$K$595:$K$599,MATCH($C1215,'Staff Directory'!$B$5:$B$599,0)),$D1215))</f>
        <v>PSW</v>
      </c>
      <c r="AH1215" t="str">
        <f>IF($C1215="","",IFERROR(INDEX('Staff Directory'!$I$595:$I$599,MATCH($C1215,'Staff Directory'!$B$5:$B$599,0))&amp;" "&amp;INDEX('Staff Directory'!$J$595:$J$599,MATCH($C1215,'Staff Directory'!$B$5:$B$599,0)),$AG1215))</f>
        <v>PSW</v>
      </c>
      <c r="AI1215" s="102"/>
      <c r="AJ1215" s="101">
        <f>IF($F1215="","",SUMIFS($J$5:$J1215,$F$5:$F1215,$F1215))</f>
        <v>16800</v>
      </c>
      <c r="AK1215" s="101">
        <f t="shared" si="203"/>
        <v>16721</v>
      </c>
      <c r="AL1215" s="66" t="str" cm="1">
        <f t="array" ref="AL1215">IF($F1215="","",IFERROR(INDEX('Lot Balance'!$B$5:$B$500,MATCH(1,INDEX(('Lot Balance'!$A$5:$A$500=$F1215)*('Lot Balance'!$K$5:$K$500&lt;$AK1215)*('Lot Balance'!$K$5:$K$500+'Lot Balance'!$D$5:$D$500&gt;=$AK1215),0),0)),""))</f>
        <v>LYSL500290</v>
      </c>
      <c r="AM1215" s="66" t="str" cm="1">
        <f t="array" ref="AM1215">IF($F1215="","",IFERROR(INDEX('Lot Balance'!$B$5:$B$500,MATCH(1,INDEX(('Lot Balance'!$A$5:$A$500=$F1215)*('Lot Balance'!$K$5:$K$500&lt;$AJ1215)*('Lot Balance'!$K$5:$K$500+'Lot Balance'!$D$5:$D$500&gt;=$AJ1215),0),0)),""))</f>
        <v>LYSL500290</v>
      </c>
      <c r="AN1215" s="66" t="str">
        <f>IF($F1215="","",IF($AI1215&lt;&gt;"",IF(COUNTIFS('Lot Balance'!$A$5:$A$500,$F1215,'Lot Balance'!$B$5:$B$500,$AI1215)=0,"⚠ override is not a lot of this item",IF($AI1215=$AL1215,"Override = FEFO","Override - FEFO says "&amp;$AL1215)),IF($AL1215="","⚠ no receipt on file for this item",IF($AM1215&lt;&gt;$AL1215,"FEFO auto - split, also "&amp;$AM1215,"FEFO auto"))))</f>
        <v>FEFO auto</v>
      </c>
      <c r="AO1215" s="114"/>
    </row>
    <row r="1216" spans="1:41" x14ac:dyDescent="0.35">
      <c r="A1216" s="74">
        <v>46189</v>
      </c>
      <c r="B1216" s="18" t="str">
        <f>IF($C1216="","",IFERROR(INDEX('Staff Directory'!$A$5:$A$594,MATCH($C1216,'Staff Directory'!$B$5:$B$594,0)),"⚠ unknown staff"))</f>
        <v>PSW-140-A7</v>
      </c>
      <c r="C1216" s="49" t="s">
        <v>1119</v>
      </c>
      <c r="D1216" s="19" t="str">
        <f>IF($B1216="","",IFERROR(INDEX('Staff Directory'!$C$5:$C$594,MATCH($B1216,'Staff Directory'!$A$5:$A$594,0)),""))</f>
        <v>PSW</v>
      </c>
      <c r="E1216" s="19" t="str">
        <f>IF($B1216="","",IFERROR(INDEX('Staff Directory'!$D$5:$D$594,MATCH($B1216,'Staff Directory'!$A$5:$A$594,0)),""))</f>
        <v>A7</v>
      </c>
      <c r="F1216" s="9" t="s">
        <v>156</v>
      </c>
      <c r="G1216" s="18" t="str">
        <f>IF($F1216="","",IFERROR(INDEX(Items!$B$5:$B$597,MATCH($F1216,Items!$A$5:$A$597,0)),"⚠ not in Items"))</f>
        <v>Masks</v>
      </c>
      <c r="H1216" s="19" t="str">
        <f>IF($F1216="","",IFERROR(INDEX(Items!$C$5:$C$597,MATCH($F1216,Items!$A$5:$A$597,0)),""))</f>
        <v>One Size</v>
      </c>
      <c r="I1216" s="23">
        <f>IF($F1216="","",IFERROR(INDEX(Items!$E$5:$E$597,MATCH($F1216,Items!$A$5:$A$597,0)),""))</f>
        <v>50</v>
      </c>
      <c r="J1216" s="115">
        <f>IF(tblIssues[[#This Row],[Qty Override]]&lt;&gt;"",tblIssues[[#This Row],[Qty Override]],IF(tblIssues[[#This Row],[Standard Issue]]="","",tblIssues[[#This Row],[Standard Issue]]))</f>
        <v>50</v>
      </c>
      <c r="K1216" s="20">
        <f>IF($F1216="","",IFERROR(INDEX(Items!$D$5:$D$597,MATCH($F1216,Items!$A$5:$A$597,0)),""))</f>
        <v>0.25</v>
      </c>
      <c r="L1216" s="21">
        <f t="shared" si="206"/>
        <v>12.5</v>
      </c>
      <c r="M1216" s="9" t="str">
        <f t="shared" si="204"/>
        <v>102GPC24</v>
      </c>
      <c r="N1216" s="24">
        <f>IF($A1216="","",WORKDAY($A1216,Settings!$C$9,HolidayDates))</f>
        <v>46197</v>
      </c>
      <c r="O1216" s="24">
        <f>IF($N1216="","",WORKDAY($N1216,Settings!$C$10,HolidayDates))</f>
        <v>46237</v>
      </c>
      <c r="P1216" s="10" t="s">
        <v>501</v>
      </c>
      <c r="Q1216" s="52" t="str">
        <f t="shared" si="207"/>
        <v>Collected</v>
      </c>
      <c r="R1216" s="55" t="str">
        <f t="shared" si="208"/>
        <v>2026-06</v>
      </c>
      <c r="S1216" s="55">
        <f>IF(OR($B1216="",$F1216="",$R1216=""),"",SUMIFS(tblIssues[Qty Issued],tblIssues[Staff ID],$B1216,tblIssues[Item Name],$F1216,tblIssues[Month],$R1216))</f>
        <v>50</v>
      </c>
      <c r="T1216" s="56">
        <f>IF($I1216="","",$I1216*Settings!$C$11)</f>
        <v>50</v>
      </c>
      <c r="U1216" s="57" t="str">
        <f t="shared" si="205"/>
        <v>OK</v>
      </c>
      <c r="V1216" s="55" t="str">
        <f t="shared" si="209"/>
        <v/>
      </c>
      <c r="W1216" s="55" t="str">
        <f>IF($V1216="","",IF(COUNTIF($V$5:$V1216,$V1216)=1,1,""))</f>
        <v/>
      </c>
      <c r="X1216" s="58" t="str">
        <f>IF($W1216="","",MAX($X$4:X1215)+1)</f>
        <v/>
      </c>
      <c r="Y1216" s="62"/>
      <c r="Z1216" s="62"/>
      <c r="AA1216" s="64" t="str">
        <f>IF($C1216="","",IFERROR(INDEX('Staff Directory'!$E$5:$E$594,MATCH($C1216,'Staff Directory'!$B$5:$B$594,0)),""))</f>
        <v>firstname203.lastname203@example.com</v>
      </c>
      <c r="AB1216" s="64" t="str">
        <f>IF($C1216="","",IF(ISNUMBER(SEARCH($D1216,Settings!$C$15)),"Pickup","Dispatch"))</f>
        <v>Pickup</v>
      </c>
      <c r="AC1216" s="64" t="str">
        <f t="shared" si="210"/>
        <v>Supply order ready for pickup</v>
      </c>
      <c r="AD1216" s="64" t="str">
        <f t="shared" si="201"/>
        <v>Dear PSW,
Your order is ready for pickup from Sample Branch, Wed-Fri 9am-4pm.</v>
      </c>
      <c r="AE1216" s="64" t="str">
        <f t="shared" si="202"/>
        <v>mailto:firstname203.lastname203@example.com?subject=Supply%20order%20ready%20for%20pickup&amp;body=Dear%20PSW%2C%0A%0AYour%20order%20is%20ready%20for%20pickup%20from%20Sample%20Branch%2C%20Wed-Fri%209am-4pm.</v>
      </c>
      <c r="AF1216" s="89" t="str">
        <f t="shared" si="211"/>
        <v>Draft email</v>
      </c>
      <c r="AG1216" s="64" t="str">
        <f>IF($C1216="","",IFERROR(INDEX('Staff Directory'!$K$595:$K$599,MATCH($C1216,'Staff Directory'!$B$5:$B$599,0)),$D1216))</f>
        <v>PSW</v>
      </c>
      <c r="AH1216" t="str">
        <f>IF($C1216="","",IFERROR(INDEX('Staff Directory'!$I$595:$I$599,MATCH($C1216,'Staff Directory'!$B$5:$B$599,0))&amp;" "&amp;INDEX('Staff Directory'!$J$595:$J$599,MATCH($C1216,'Staff Directory'!$B$5:$B$599,0)),$AG1216))</f>
        <v>PSW</v>
      </c>
      <c r="AI1216" s="102"/>
      <c r="AJ1216" s="101">
        <f>IF($F1216="","",SUMIFS($J$5:$J1216,$F$5:$F1216,$F1216))</f>
        <v>10200</v>
      </c>
      <c r="AK1216" s="101">
        <f t="shared" si="203"/>
        <v>10151</v>
      </c>
      <c r="AL1216" s="66" t="str" cm="1">
        <f t="array" ref="AL1216">IF($F1216="","",IFERROR(INDEX('Lot Balance'!$B$5:$B$500,MATCH(1,INDEX(('Lot Balance'!$A$5:$A$500=$F1216)*('Lot Balance'!$K$5:$K$500&lt;$AK1216)*('Lot Balance'!$K$5:$K$500+'Lot Balance'!$D$5:$D$500&gt;=$AK1216),0),0)),""))</f>
        <v>102GPC24</v>
      </c>
      <c r="AM1216" s="66" t="str" cm="1">
        <f t="array" ref="AM1216">IF($F1216="","",IFERROR(INDEX('Lot Balance'!$B$5:$B$500,MATCH(1,INDEX(('Lot Balance'!$A$5:$A$500=$F1216)*('Lot Balance'!$K$5:$K$500&lt;$AJ1216)*('Lot Balance'!$K$5:$K$500+'Lot Balance'!$D$5:$D$500&gt;=$AJ1216),0),0)),""))</f>
        <v>102GPC24</v>
      </c>
      <c r="AN1216" s="66" t="str">
        <f>IF($F1216="","",IF($AI1216&lt;&gt;"",IF(COUNTIFS('Lot Balance'!$A$5:$A$500,$F1216,'Lot Balance'!$B$5:$B$500,$AI1216)=0,"⚠ override is not a lot of this item",IF($AI1216=$AL1216,"Override = FEFO","Override - FEFO says "&amp;$AL1216)),IF($AL1216="","⚠ no receipt on file for this item",IF($AM1216&lt;&gt;$AL1216,"FEFO auto - split, also "&amp;$AM1216,"FEFO auto"))))</f>
        <v>FEFO auto</v>
      </c>
      <c r="AO1216" s="114"/>
    </row>
    <row r="1217" spans="1:41" x14ac:dyDescent="0.35">
      <c r="A1217" s="74">
        <v>46189</v>
      </c>
      <c r="B1217" s="18" t="str">
        <f>IF($C1217="","",IFERROR(INDEX('Staff Directory'!$A$5:$A$594,MATCH($C1217,'Staff Directory'!$B$5:$B$594,0)),"⚠ unknown staff"))</f>
        <v>PSW-068-A7</v>
      </c>
      <c r="C1217" s="49" t="s">
        <v>1044</v>
      </c>
      <c r="D1217" s="19" t="str">
        <f>IF($B1217="","",IFERROR(INDEX('Staff Directory'!$C$5:$C$594,MATCH($B1217,'Staff Directory'!$A$5:$A$594,0)),""))</f>
        <v>PSW</v>
      </c>
      <c r="E1217" s="19" t="str">
        <f>IF($B1217="","",IFERROR(INDEX('Staff Directory'!$D$5:$D$594,MATCH($B1217,'Staff Directory'!$A$5:$A$594,0)),""))</f>
        <v>A7</v>
      </c>
      <c r="F1217" s="9" t="s">
        <v>127</v>
      </c>
      <c r="G1217" s="18" t="str">
        <f>IF($F1217="","",IFERROR(INDEX(Items!$B$5:$B$597,MATCH($F1217,Items!$A$5:$A$597,0)),"⚠ not in Items"))</f>
        <v>Gloves</v>
      </c>
      <c r="H1217" s="19" t="str">
        <f>IF($F1217="","",IFERROR(INDEX(Items!$C$5:$C$597,MATCH($F1217,Items!$A$5:$A$597,0)),""))</f>
        <v>Medium</v>
      </c>
      <c r="I1217" s="23">
        <f>IF($F1217="","",IFERROR(INDEX(Items!$E$5:$E$597,MATCH($F1217,Items!$A$5:$A$597,0)),""))</f>
        <v>500</v>
      </c>
      <c r="J1217" s="115">
        <f>IF(tblIssues[[#This Row],[Qty Override]]&lt;&gt;"",tblIssues[[#This Row],[Qty Override]],IF(tblIssues[[#This Row],[Standard Issue]]="","",tblIssues[[#This Row],[Standard Issue]]))</f>
        <v>500</v>
      </c>
      <c r="K1217" s="20">
        <f>IF($F1217="","",IFERROR(INDEX(Items!$D$5:$D$597,MATCH($F1217,Items!$A$5:$A$597,0)),""))</f>
        <v>5.5E-2</v>
      </c>
      <c r="L1217" s="21">
        <f t="shared" si="206"/>
        <v>27.5</v>
      </c>
      <c r="M1217" s="9" t="str">
        <f t="shared" si="204"/>
        <v>O310LIC25</v>
      </c>
      <c r="N1217" s="24">
        <f>IF($A1217="","",WORKDAY($A1217,Settings!$C$9,HolidayDates))</f>
        <v>46197</v>
      </c>
      <c r="O1217" s="24">
        <f>IF($N1217="","",WORKDAY($N1217,Settings!$C$10,HolidayDates))</f>
        <v>46237</v>
      </c>
      <c r="P1217" s="10" t="s">
        <v>501</v>
      </c>
      <c r="Q1217" s="52" t="str">
        <f t="shared" si="207"/>
        <v>Collected</v>
      </c>
      <c r="R1217" s="55" t="str">
        <f t="shared" si="208"/>
        <v>2026-06</v>
      </c>
      <c r="S1217" s="55">
        <f>IF(OR($B1217="",$F1217="",$R1217=""),"",SUMIFS(tblIssues[Qty Issued],tblIssues[Staff ID],$B1217,tblIssues[Item Name],$F1217,tblIssues[Month],$R1217))</f>
        <v>500</v>
      </c>
      <c r="T1217" s="56">
        <f>IF($I1217="","",$I1217*Settings!$C$11)</f>
        <v>500</v>
      </c>
      <c r="U1217" s="57" t="str">
        <f t="shared" si="205"/>
        <v>OK</v>
      </c>
      <c r="V1217" s="55" t="str">
        <f t="shared" si="209"/>
        <v/>
      </c>
      <c r="W1217" s="55" t="str">
        <f>IF($V1217="","",IF(COUNTIF($V$5:$V1217,$V1217)=1,1,""))</f>
        <v/>
      </c>
      <c r="X1217" s="58" t="str">
        <f>IF($W1217="","",MAX($X$4:X1216)+1)</f>
        <v/>
      </c>
      <c r="Y1217" s="62"/>
      <c r="Z1217" s="62"/>
      <c r="AA1217" s="64" t="str">
        <f>IF($C1217="","",IFERROR(INDEX('Staff Directory'!$E$5:$E$594,MATCH($C1217,'Staff Directory'!$B$5:$B$594,0)),""))</f>
        <v>firstname128.lastname128@example.com</v>
      </c>
      <c r="AB1217" s="64" t="str">
        <f>IF($C1217="","",IF(ISNUMBER(SEARCH($D1217,Settings!$C$15)),"Pickup","Dispatch"))</f>
        <v>Pickup</v>
      </c>
      <c r="AC1217" s="64" t="str">
        <f t="shared" si="210"/>
        <v>Supply order ready for pickup</v>
      </c>
      <c r="AD1217" s="64" t="str">
        <f t="shared" si="201"/>
        <v>Dear PSW,
Your order is ready for pickup from Sample Branch, Wed-Fri 9am-4pm.</v>
      </c>
      <c r="AE1217" s="64" t="str">
        <f t="shared" si="202"/>
        <v>mailto:firstname128.lastname128@example.com?subject=Supply%20order%20ready%20for%20pickup&amp;body=Dear%20PSW%2C%0A%0AYour%20order%20is%20ready%20for%20pickup%20from%20Sample%20Branch%2C%20Wed-Fri%209am-4pm.</v>
      </c>
      <c r="AF1217" s="89" t="str">
        <f t="shared" si="211"/>
        <v>Draft email</v>
      </c>
      <c r="AG1217" s="64" t="str">
        <f>IF($C1217="","",IFERROR(INDEX('Staff Directory'!$K$595:$K$599,MATCH($C1217,'Staff Directory'!$B$5:$B$599,0)),$D1217))</f>
        <v>PSW</v>
      </c>
      <c r="AH1217" t="str">
        <f>IF($C1217="","",IFERROR(INDEX('Staff Directory'!$I$595:$I$599,MATCH($C1217,'Staff Directory'!$B$5:$B$599,0))&amp;" "&amp;INDEX('Staff Directory'!$J$595:$J$599,MATCH($C1217,'Staff Directory'!$B$5:$B$599,0)),$AG1217))</f>
        <v>PSW</v>
      </c>
      <c r="AI1217" s="102"/>
      <c r="AJ1217" s="101">
        <f>IF($F1217="","",SUMIFS($J$5:$J1217,$F$5:$F1217,$F1217))</f>
        <v>73500</v>
      </c>
      <c r="AK1217" s="101">
        <f t="shared" si="203"/>
        <v>73001</v>
      </c>
      <c r="AL1217" s="66" t="str" cm="1">
        <f t="array" ref="AL1217">IF($F1217="","",IFERROR(INDEX('Lot Balance'!$B$5:$B$500,MATCH(1,INDEX(('Lot Balance'!$A$5:$A$500=$F1217)*('Lot Balance'!$K$5:$K$500&lt;$AK1217)*('Lot Balance'!$K$5:$K$500+'Lot Balance'!$D$5:$D$500&gt;=$AK1217),0),0)),""))</f>
        <v>O310LIC25</v>
      </c>
      <c r="AM1217" s="66" t="str" cm="1">
        <f t="array" ref="AM1217">IF($F1217="","",IFERROR(INDEX('Lot Balance'!$B$5:$B$500,MATCH(1,INDEX(('Lot Balance'!$A$5:$A$500=$F1217)*('Lot Balance'!$K$5:$K$500&lt;$AJ1217)*('Lot Balance'!$K$5:$K$500+'Lot Balance'!$D$5:$D$500&gt;=$AJ1217),0),0)),""))</f>
        <v>O310LIC25</v>
      </c>
      <c r="AN1217" s="66" t="str">
        <f>IF($F1217="","",IF($AI1217&lt;&gt;"",IF(COUNTIFS('Lot Balance'!$A$5:$A$500,$F1217,'Lot Balance'!$B$5:$B$500,$AI1217)=0,"⚠ override is not a lot of this item",IF($AI1217=$AL1217,"Override = FEFO","Override - FEFO says "&amp;$AL1217)),IF($AL1217="","⚠ no receipt on file for this item",IF($AM1217&lt;&gt;$AL1217,"FEFO auto - split, also "&amp;$AM1217,"FEFO auto"))))</f>
        <v>FEFO auto</v>
      </c>
      <c r="AO1217" s="114"/>
    </row>
    <row r="1218" spans="1:41" x14ac:dyDescent="0.35">
      <c r="A1218" s="74">
        <v>46189</v>
      </c>
      <c r="B1218" s="18" t="str">
        <f>IF($C1218="","",IFERROR(INDEX('Staff Directory'!$A$5:$A$594,MATCH($C1218,'Staff Directory'!$B$5:$B$594,0)),"⚠ unknown staff"))</f>
        <v>PSW-068-A7</v>
      </c>
      <c r="C1218" s="49" t="s">
        <v>1044</v>
      </c>
      <c r="D1218" s="19" t="str">
        <f>IF($B1218="","",IFERROR(INDEX('Staff Directory'!$C$5:$C$594,MATCH($B1218,'Staff Directory'!$A$5:$A$594,0)),""))</f>
        <v>PSW</v>
      </c>
      <c r="E1218" s="19" t="str">
        <f>IF($B1218="","",IFERROR(INDEX('Staff Directory'!$D$5:$D$594,MATCH($B1218,'Staff Directory'!$A$5:$A$594,0)),""))</f>
        <v>A7</v>
      </c>
      <c r="F1218" s="9" t="s">
        <v>191</v>
      </c>
      <c r="G1218" s="18" t="str">
        <f>IF($F1218="","",IFERROR(INDEX(Items!$B$5:$B$597,MATCH($F1218,Items!$A$5:$A$597,0)),"⚠ not in Items"))</f>
        <v>Sanitizer</v>
      </c>
      <c r="H1218" s="19" t="str">
        <f>IF($F1218="","",IFERROR(INDEX(Items!$C$5:$C$597,MATCH($F1218,Items!$A$5:$A$597,0)),""))</f>
        <v>236 ML</v>
      </c>
      <c r="I1218" s="23">
        <f>IF($F1218="","",IFERROR(INDEX(Items!$E$5:$E$597,MATCH($F1218,Items!$A$5:$A$597,0)),""))</f>
        <v>1</v>
      </c>
      <c r="J1218" s="115">
        <f>IF(tblIssues[[#This Row],[Qty Override]]&lt;&gt;"",tblIssues[[#This Row],[Qty Override]],IF(tblIssues[[#This Row],[Standard Issue]]="","",tblIssues[[#This Row],[Standard Issue]]))</f>
        <v>1</v>
      </c>
      <c r="K1218" s="20">
        <f>IF($F1218="","",IFERROR(INDEX(Items!$D$5:$D$597,MATCH($F1218,Items!$A$5:$A$597,0)),""))</f>
        <v>1E-4</v>
      </c>
      <c r="L1218" s="21">
        <f t="shared" si="206"/>
        <v>1E-4</v>
      </c>
      <c r="M1218" s="9" t="str">
        <f t="shared" si="204"/>
        <v>20-21734-4</v>
      </c>
      <c r="N1218" s="24">
        <f>IF($A1218="","",WORKDAY($A1218,Settings!$C$9,HolidayDates))</f>
        <v>46197</v>
      </c>
      <c r="O1218" s="24">
        <f>IF($N1218="","",WORKDAY($N1218,Settings!$C$10,HolidayDates))</f>
        <v>46237</v>
      </c>
      <c r="P1218" s="10" t="s">
        <v>501</v>
      </c>
      <c r="Q1218" s="52" t="str">
        <f t="shared" si="207"/>
        <v>Collected</v>
      </c>
      <c r="R1218" s="55" t="str">
        <f t="shared" si="208"/>
        <v>2026-06</v>
      </c>
      <c r="S1218" s="55">
        <f>IF(OR($B1218="",$F1218="",$R1218=""),"",SUMIFS(tblIssues[Qty Issued],tblIssues[Staff ID],$B1218,tblIssues[Item Name],$F1218,tblIssues[Month],$R1218))</f>
        <v>1</v>
      </c>
      <c r="T1218" s="56">
        <f>IF($I1218="","",$I1218*Settings!$C$11)</f>
        <v>1</v>
      </c>
      <c r="U1218" s="57" t="str">
        <f t="shared" si="205"/>
        <v>OK</v>
      </c>
      <c r="V1218" s="55" t="str">
        <f t="shared" si="209"/>
        <v/>
      </c>
      <c r="W1218" s="55" t="str">
        <f>IF($V1218="","",IF(COUNTIF($V$5:$V1218,$V1218)=1,1,""))</f>
        <v/>
      </c>
      <c r="X1218" s="58" t="str">
        <f>IF($W1218="","",MAX($X$4:X1217)+1)</f>
        <v/>
      </c>
      <c r="Y1218" s="62"/>
      <c r="Z1218" s="62"/>
      <c r="AA1218" s="64" t="str">
        <f>IF($C1218="","",IFERROR(INDEX('Staff Directory'!$E$5:$E$594,MATCH($C1218,'Staff Directory'!$B$5:$B$594,0)),""))</f>
        <v>firstname128.lastname128@example.com</v>
      </c>
      <c r="AB1218" s="64" t="str">
        <f>IF($C1218="","",IF(ISNUMBER(SEARCH($D1218,Settings!$C$15)),"Pickup","Dispatch"))</f>
        <v>Pickup</v>
      </c>
      <c r="AC1218" s="64" t="str">
        <f t="shared" si="210"/>
        <v>Supply order ready for pickup</v>
      </c>
      <c r="AD1218" s="64" t="str">
        <f t="shared" si="201"/>
        <v>Dear PSW,
Your order is ready for pickup from Sample Branch, Wed-Fri 9am-4pm.</v>
      </c>
      <c r="AE1218" s="64" t="str">
        <f t="shared" si="202"/>
        <v>mailto:firstname128.lastname128@example.com?subject=Supply%20order%20ready%20for%20pickup&amp;body=Dear%20PSW%2C%0A%0AYour%20order%20is%20ready%20for%20pickup%20from%20Sample%20Branch%2C%20Wed-Fri%209am-4pm.</v>
      </c>
      <c r="AF1218" s="89" t="str">
        <f t="shared" si="211"/>
        <v>Draft email</v>
      </c>
      <c r="AG1218" s="64" t="str">
        <f>IF($C1218="","",IFERROR(INDEX('Staff Directory'!$K$595:$K$599,MATCH($C1218,'Staff Directory'!$B$5:$B$599,0)),$D1218))</f>
        <v>PSW</v>
      </c>
      <c r="AH1218" t="str">
        <f>IF($C1218="","",IFERROR(INDEX('Staff Directory'!$I$595:$I$599,MATCH($C1218,'Staff Directory'!$B$5:$B$599,0))&amp;" "&amp;INDEX('Staff Directory'!$J$595:$J$599,MATCH($C1218,'Staff Directory'!$B$5:$B$599,0)),$AG1218))</f>
        <v>PSW</v>
      </c>
      <c r="AI1218" s="102"/>
      <c r="AJ1218" s="101">
        <f>IF($F1218="","",SUMIFS($J$5:$J1218,$F$5:$F1218,$F1218))</f>
        <v>152</v>
      </c>
      <c r="AK1218" s="101">
        <f t="shared" si="203"/>
        <v>152</v>
      </c>
      <c r="AL1218" s="66" t="str" cm="1">
        <f t="array" ref="AL1218">IF($F1218="","",IFERROR(INDEX('Lot Balance'!$B$5:$B$500,MATCH(1,INDEX(('Lot Balance'!$A$5:$A$500=$F1218)*('Lot Balance'!$K$5:$K$500&lt;$AK1218)*('Lot Balance'!$K$5:$K$500+'Lot Balance'!$D$5:$D$500&gt;=$AK1218),0),0)),""))</f>
        <v>20-21734-4</v>
      </c>
      <c r="AM1218" s="66" t="str" cm="1">
        <f t="array" ref="AM1218">IF($F1218="","",IFERROR(INDEX('Lot Balance'!$B$5:$B$500,MATCH(1,INDEX(('Lot Balance'!$A$5:$A$500=$F1218)*('Lot Balance'!$K$5:$K$500&lt;$AJ1218)*('Lot Balance'!$K$5:$K$500+'Lot Balance'!$D$5:$D$500&gt;=$AJ1218),0),0)),""))</f>
        <v>20-21734-4</v>
      </c>
      <c r="AN1218" s="66" t="str">
        <f>IF($F1218="","",IF($AI1218&lt;&gt;"",IF(COUNTIFS('Lot Balance'!$A$5:$A$500,$F1218,'Lot Balance'!$B$5:$B$500,$AI1218)=0,"⚠ override is not a lot of this item",IF($AI1218=$AL1218,"Override = FEFO","Override - FEFO says "&amp;$AL1218)),IF($AL1218="","⚠ no receipt on file for this item",IF($AM1218&lt;&gt;$AL1218,"FEFO auto - split, also "&amp;$AM1218,"FEFO auto"))))</f>
        <v>FEFO auto</v>
      </c>
      <c r="AO1218" s="114"/>
    </row>
    <row r="1219" spans="1:41" x14ac:dyDescent="0.35">
      <c r="A1219" s="74">
        <v>46189</v>
      </c>
      <c r="B1219" s="18" t="str">
        <f>IF($C1219="","",IFERROR(INDEX('Staff Directory'!$A$5:$A$594,MATCH($C1219,'Staff Directory'!$B$5:$B$594,0)),"⚠ unknown staff"))</f>
        <v>PSW-068-A7</v>
      </c>
      <c r="C1219" s="49" t="s">
        <v>1044</v>
      </c>
      <c r="D1219" s="19" t="str">
        <f>IF($B1219="","",IFERROR(INDEX('Staff Directory'!$C$5:$C$594,MATCH($B1219,'Staff Directory'!$A$5:$A$594,0)),""))</f>
        <v>PSW</v>
      </c>
      <c r="E1219" s="19" t="str">
        <f>IF($B1219="","",IFERROR(INDEX('Staff Directory'!$D$5:$D$594,MATCH($B1219,'Staff Directory'!$A$5:$A$594,0)),""))</f>
        <v>A7</v>
      </c>
      <c r="F1219" s="9" t="s">
        <v>115</v>
      </c>
      <c r="G1219" s="18" t="str">
        <f>IF($F1219="","",IFERROR(INDEX(Items!$B$5:$B$597,MATCH($F1219,Items!$A$5:$A$597,0)),"⚠ not in Items"))</f>
        <v>Wipes</v>
      </c>
      <c r="H1219" s="19">
        <f>IF($F1219="","",IFERROR(INDEX(Items!$C$5:$C$597,MATCH($F1219,Items!$A$5:$A$597,0)),""))</f>
        <v>80</v>
      </c>
      <c r="I1219" s="23">
        <f>IF($F1219="","",IFERROR(INDEX(Items!$E$5:$E$597,MATCH($F1219,Items!$A$5:$A$597,0)),""))</f>
        <v>80</v>
      </c>
      <c r="J1219" s="115">
        <f>IF(tblIssues[[#This Row],[Qty Override]]&lt;&gt;"",tblIssues[[#This Row],[Qty Override]],IF(tblIssues[[#This Row],[Standard Issue]]="","",tblIssues[[#This Row],[Standard Issue]]))</f>
        <v>80</v>
      </c>
      <c r="K1219" s="20">
        <f>IF($F1219="","",IFERROR(INDEX(Items!$D$5:$D$597,MATCH($F1219,Items!$A$5:$A$597,0)),""))</f>
        <v>0.1</v>
      </c>
      <c r="L1219" s="21">
        <f t="shared" si="206"/>
        <v>8</v>
      </c>
      <c r="M1219" s="9" t="str">
        <f t="shared" si="204"/>
        <v>LYSL500290</v>
      </c>
      <c r="N1219" s="24">
        <f>IF($A1219="","",WORKDAY($A1219,Settings!$C$9,HolidayDates))</f>
        <v>46197</v>
      </c>
      <c r="O1219" s="24">
        <f>IF($N1219="","",WORKDAY($N1219,Settings!$C$10,HolidayDates))</f>
        <v>46237</v>
      </c>
      <c r="P1219" s="10" t="s">
        <v>501</v>
      </c>
      <c r="Q1219" s="52" t="str">
        <f t="shared" si="207"/>
        <v>Collected</v>
      </c>
      <c r="R1219" s="55" t="str">
        <f t="shared" si="208"/>
        <v>2026-06</v>
      </c>
      <c r="S1219" s="55">
        <f>IF(OR($B1219="",$F1219="",$R1219=""),"",SUMIFS(tblIssues[Qty Issued],tblIssues[Staff ID],$B1219,tblIssues[Item Name],$F1219,tblIssues[Month],$R1219))</f>
        <v>80</v>
      </c>
      <c r="T1219" s="56">
        <f>IF($I1219="","",$I1219*Settings!$C$11)</f>
        <v>80</v>
      </c>
      <c r="U1219" s="57" t="str">
        <f t="shared" si="205"/>
        <v>OK</v>
      </c>
      <c r="V1219" s="55" t="str">
        <f t="shared" si="209"/>
        <v/>
      </c>
      <c r="W1219" s="55" t="str">
        <f>IF($V1219="","",IF(COUNTIF($V$5:$V1219,$V1219)=1,1,""))</f>
        <v/>
      </c>
      <c r="X1219" s="58" t="str">
        <f>IF($W1219="","",MAX($X$4:X1218)+1)</f>
        <v/>
      </c>
      <c r="Y1219" s="62"/>
      <c r="Z1219" s="62"/>
      <c r="AA1219" s="64" t="str">
        <f>IF($C1219="","",IFERROR(INDEX('Staff Directory'!$E$5:$E$594,MATCH($C1219,'Staff Directory'!$B$5:$B$594,0)),""))</f>
        <v>firstname128.lastname128@example.com</v>
      </c>
      <c r="AB1219" s="64" t="str">
        <f>IF($C1219="","",IF(ISNUMBER(SEARCH($D1219,Settings!$C$15)),"Pickup","Dispatch"))</f>
        <v>Pickup</v>
      </c>
      <c r="AC1219" s="64" t="str">
        <f t="shared" si="210"/>
        <v>Supply order ready for pickup</v>
      </c>
      <c r="AD1219" s="64" t="str">
        <f t="shared" si="201"/>
        <v>Dear PSW,
Your order is ready for pickup from Sample Branch, Wed-Fri 9am-4pm.</v>
      </c>
      <c r="AE1219" s="64" t="str">
        <f t="shared" si="202"/>
        <v>mailto:firstname128.lastname128@example.com?subject=Supply%20order%20ready%20for%20pickup&amp;body=Dear%20PSW%2C%0A%0AYour%20order%20is%20ready%20for%20pickup%20from%20Sample%20Branch%2C%20Wed-Fri%209am-4pm.</v>
      </c>
      <c r="AF1219" s="89" t="str">
        <f t="shared" si="211"/>
        <v>Draft email</v>
      </c>
      <c r="AG1219" s="64" t="str">
        <f>IF($C1219="","",IFERROR(INDEX('Staff Directory'!$K$595:$K$599,MATCH($C1219,'Staff Directory'!$B$5:$B$599,0)),$D1219))</f>
        <v>PSW</v>
      </c>
      <c r="AH1219" t="str">
        <f>IF($C1219="","",IFERROR(INDEX('Staff Directory'!$I$595:$I$599,MATCH($C1219,'Staff Directory'!$B$5:$B$599,0))&amp;" "&amp;INDEX('Staff Directory'!$J$595:$J$599,MATCH($C1219,'Staff Directory'!$B$5:$B$599,0)),$AG1219))</f>
        <v>PSW</v>
      </c>
      <c r="AI1219" s="102"/>
      <c r="AJ1219" s="101">
        <f>IF($F1219="","",SUMIFS($J$5:$J1219,$F$5:$F1219,$F1219))</f>
        <v>16880</v>
      </c>
      <c r="AK1219" s="101">
        <f t="shared" si="203"/>
        <v>16801</v>
      </c>
      <c r="AL1219" s="66" t="str" cm="1">
        <f t="array" ref="AL1219">IF($F1219="","",IFERROR(INDEX('Lot Balance'!$B$5:$B$500,MATCH(1,INDEX(('Lot Balance'!$A$5:$A$500=$F1219)*('Lot Balance'!$K$5:$K$500&lt;$AK1219)*('Lot Balance'!$K$5:$K$500+'Lot Balance'!$D$5:$D$500&gt;=$AK1219),0),0)),""))</f>
        <v>LYSL500290</v>
      </c>
      <c r="AM1219" s="66" t="str" cm="1">
        <f t="array" ref="AM1219">IF($F1219="","",IFERROR(INDEX('Lot Balance'!$B$5:$B$500,MATCH(1,INDEX(('Lot Balance'!$A$5:$A$500=$F1219)*('Lot Balance'!$K$5:$K$500&lt;$AJ1219)*('Lot Balance'!$K$5:$K$500+'Lot Balance'!$D$5:$D$500&gt;=$AJ1219),0),0)),""))</f>
        <v>LYSL500290</v>
      </c>
      <c r="AN1219" s="66" t="str">
        <f>IF($F1219="","",IF($AI1219&lt;&gt;"",IF(COUNTIFS('Lot Balance'!$A$5:$A$500,$F1219,'Lot Balance'!$B$5:$B$500,$AI1219)=0,"⚠ override is not a lot of this item",IF($AI1219=$AL1219,"Override = FEFO","Override - FEFO says "&amp;$AL1219)),IF($AL1219="","⚠ no receipt on file for this item",IF($AM1219&lt;&gt;$AL1219,"FEFO auto - split, also "&amp;$AM1219,"FEFO auto"))))</f>
        <v>FEFO auto</v>
      </c>
      <c r="AO1219" s="114"/>
    </row>
    <row r="1220" spans="1:41" x14ac:dyDescent="0.35">
      <c r="A1220" s="74">
        <v>46189</v>
      </c>
      <c r="B1220" s="18" t="str">
        <f>IF($C1220="","",IFERROR(INDEX('Staff Directory'!$A$5:$A$594,MATCH($C1220,'Staff Directory'!$B$5:$B$594,0)),"⚠ unknown staff"))</f>
        <v>PSW-068-A7</v>
      </c>
      <c r="C1220" s="49" t="s">
        <v>1044</v>
      </c>
      <c r="D1220" s="19" t="str">
        <f>IF($B1220="","",IFERROR(INDEX('Staff Directory'!$C$5:$C$594,MATCH($B1220,'Staff Directory'!$A$5:$A$594,0)),""))</f>
        <v>PSW</v>
      </c>
      <c r="E1220" s="19" t="str">
        <f>IF($B1220="","",IFERROR(INDEX('Staff Directory'!$D$5:$D$594,MATCH($B1220,'Staff Directory'!$A$5:$A$594,0)),""))</f>
        <v>A7</v>
      </c>
      <c r="F1220" s="9" t="s">
        <v>156</v>
      </c>
      <c r="G1220" s="18" t="str">
        <f>IF($F1220="","",IFERROR(INDEX(Items!$B$5:$B$597,MATCH($F1220,Items!$A$5:$A$597,0)),"⚠ not in Items"))</f>
        <v>Masks</v>
      </c>
      <c r="H1220" s="19" t="str">
        <f>IF($F1220="","",IFERROR(INDEX(Items!$C$5:$C$597,MATCH($F1220,Items!$A$5:$A$597,0)),""))</f>
        <v>One Size</v>
      </c>
      <c r="I1220" s="23">
        <f>IF($F1220="","",IFERROR(INDEX(Items!$E$5:$E$597,MATCH($F1220,Items!$A$5:$A$597,0)),""))</f>
        <v>50</v>
      </c>
      <c r="J1220" s="115">
        <f>IF(tblIssues[[#This Row],[Qty Override]]&lt;&gt;"",tblIssues[[#This Row],[Qty Override]],IF(tblIssues[[#This Row],[Standard Issue]]="","",tblIssues[[#This Row],[Standard Issue]]))</f>
        <v>50</v>
      </c>
      <c r="K1220" s="20">
        <f>IF($F1220="","",IFERROR(INDEX(Items!$D$5:$D$597,MATCH($F1220,Items!$A$5:$A$597,0)),""))</f>
        <v>0.25</v>
      </c>
      <c r="L1220" s="21">
        <f t="shared" si="206"/>
        <v>12.5</v>
      </c>
      <c r="M1220" s="9" t="str">
        <f t="shared" si="204"/>
        <v>102GPC24</v>
      </c>
      <c r="N1220" s="24">
        <f>IF($A1220="","",WORKDAY($A1220,Settings!$C$9,HolidayDates))</f>
        <v>46197</v>
      </c>
      <c r="O1220" s="24">
        <f>IF($N1220="","",WORKDAY($N1220,Settings!$C$10,HolidayDates))</f>
        <v>46237</v>
      </c>
      <c r="P1220" s="10" t="s">
        <v>501</v>
      </c>
      <c r="Q1220" s="52" t="str">
        <f t="shared" si="207"/>
        <v>Collected</v>
      </c>
      <c r="R1220" s="55" t="str">
        <f t="shared" si="208"/>
        <v>2026-06</v>
      </c>
      <c r="S1220" s="55">
        <f>IF(OR($B1220="",$F1220="",$R1220=""),"",SUMIFS(tblIssues[Qty Issued],tblIssues[Staff ID],$B1220,tblIssues[Item Name],$F1220,tblIssues[Month],$R1220))</f>
        <v>50</v>
      </c>
      <c r="T1220" s="56">
        <f>IF($I1220="","",$I1220*Settings!$C$11)</f>
        <v>50</v>
      </c>
      <c r="U1220" s="57" t="str">
        <f t="shared" si="205"/>
        <v>OK</v>
      </c>
      <c r="V1220" s="55" t="str">
        <f t="shared" si="209"/>
        <v/>
      </c>
      <c r="W1220" s="55" t="str">
        <f>IF($V1220="","",IF(COUNTIF($V$5:$V1220,$V1220)=1,1,""))</f>
        <v/>
      </c>
      <c r="X1220" s="58" t="str">
        <f>IF($W1220="","",MAX($X$4:X1219)+1)</f>
        <v/>
      </c>
      <c r="Y1220" s="62"/>
      <c r="Z1220" s="62"/>
      <c r="AA1220" s="64" t="str">
        <f>IF($C1220="","",IFERROR(INDEX('Staff Directory'!$E$5:$E$594,MATCH($C1220,'Staff Directory'!$B$5:$B$594,0)),""))</f>
        <v>firstname128.lastname128@example.com</v>
      </c>
      <c r="AB1220" s="64" t="str">
        <f>IF($C1220="","",IF(ISNUMBER(SEARCH($D1220,Settings!$C$15)),"Pickup","Dispatch"))</f>
        <v>Pickup</v>
      </c>
      <c r="AC1220" s="64" t="str">
        <f t="shared" si="210"/>
        <v>Supply order ready for pickup</v>
      </c>
      <c r="AD1220" s="64" t="str">
        <f t="shared" si="201"/>
        <v>Dear PSW,
Your order is ready for pickup from Sample Branch, Wed-Fri 9am-4pm.</v>
      </c>
      <c r="AE1220" s="64" t="str">
        <f t="shared" si="202"/>
        <v>mailto:firstname128.lastname128@example.com?subject=Supply%20order%20ready%20for%20pickup&amp;body=Dear%20PSW%2C%0A%0AYour%20order%20is%20ready%20for%20pickup%20from%20Sample%20Branch%2C%20Wed-Fri%209am-4pm.</v>
      </c>
      <c r="AF1220" s="89" t="str">
        <f t="shared" si="211"/>
        <v>Draft email</v>
      </c>
      <c r="AG1220" s="64" t="str">
        <f>IF($C1220="","",IFERROR(INDEX('Staff Directory'!$K$595:$K$599,MATCH($C1220,'Staff Directory'!$B$5:$B$599,0)),$D1220))</f>
        <v>PSW</v>
      </c>
      <c r="AH1220" t="str">
        <f>IF($C1220="","",IFERROR(INDEX('Staff Directory'!$I$595:$I$599,MATCH($C1220,'Staff Directory'!$B$5:$B$599,0))&amp;" "&amp;INDEX('Staff Directory'!$J$595:$J$599,MATCH($C1220,'Staff Directory'!$B$5:$B$599,0)),$AG1220))</f>
        <v>PSW</v>
      </c>
      <c r="AI1220" s="102"/>
      <c r="AJ1220" s="101">
        <f>IF($F1220="","",SUMIFS($J$5:$J1220,$F$5:$F1220,$F1220))</f>
        <v>10250</v>
      </c>
      <c r="AK1220" s="101">
        <f t="shared" si="203"/>
        <v>10201</v>
      </c>
      <c r="AL1220" s="66" t="str" cm="1">
        <f t="array" ref="AL1220">IF($F1220="","",IFERROR(INDEX('Lot Balance'!$B$5:$B$500,MATCH(1,INDEX(('Lot Balance'!$A$5:$A$500=$F1220)*('Lot Balance'!$K$5:$K$500&lt;$AK1220)*('Lot Balance'!$K$5:$K$500+'Lot Balance'!$D$5:$D$500&gt;=$AK1220),0),0)),""))</f>
        <v>102GPC24</v>
      </c>
      <c r="AM1220" s="66" t="str" cm="1">
        <f t="array" ref="AM1220">IF($F1220="","",IFERROR(INDEX('Lot Balance'!$B$5:$B$500,MATCH(1,INDEX(('Lot Balance'!$A$5:$A$500=$F1220)*('Lot Balance'!$K$5:$K$500&lt;$AJ1220)*('Lot Balance'!$K$5:$K$500+'Lot Balance'!$D$5:$D$500&gt;=$AJ1220),0),0)),""))</f>
        <v>102GPC24</v>
      </c>
      <c r="AN1220" s="66" t="str">
        <f>IF($F1220="","",IF($AI1220&lt;&gt;"",IF(COUNTIFS('Lot Balance'!$A$5:$A$500,$F1220,'Lot Balance'!$B$5:$B$500,$AI1220)=0,"⚠ override is not a lot of this item",IF($AI1220=$AL1220,"Override = FEFO","Override - FEFO says "&amp;$AL1220)),IF($AL1220="","⚠ no receipt on file for this item",IF($AM1220&lt;&gt;$AL1220,"FEFO auto - split, also "&amp;$AM1220,"FEFO auto"))))</f>
        <v>FEFO auto</v>
      </c>
      <c r="AO1220" s="114"/>
    </row>
    <row r="1221" spans="1:41" x14ac:dyDescent="0.35">
      <c r="A1221" s="74">
        <v>46189</v>
      </c>
      <c r="B1221" s="18" t="str">
        <f>IF($C1221="","",IFERROR(INDEX('Staff Directory'!$A$5:$A$594,MATCH($C1221,'Staff Directory'!$B$5:$B$594,0)),"⚠ unknown staff"))</f>
        <v>PSW-079-A5</v>
      </c>
      <c r="C1221" s="49" t="s">
        <v>1055</v>
      </c>
      <c r="D1221" s="19" t="str">
        <f>IF($B1221="","",IFERROR(INDEX('Staff Directory'!$C$5:$C$594,MATCH($B1221,'Staff Directory'!$A$5:$A$594,0)),""))</f>
        <v>PSW</v>
      </c>
      <c r="E1221" s="19" t="str">
        <f>IF($B1221="","",IFERROR(INDEX('Staff Directory'!$D$5:$D$594,MATCH($B1221,'Staff Directory'!$A$5:$A$594,0)),""))</f>
        <v>A5</v>
      </c>
      <c r="F1221" s="9" t="s">
        <v>127</v>
      </c>
      <c r="G1221" s="18" t="str">
        <f>IF($F1221="","",IFERROR(INDEX(Items!$B$5:$B$597,MATCH($F1221,Items!$A$5:$A$597,0)),"⚠ not in Items"))</f>
        <v>Gloves</v>
      </c>
      <c r="H1221" s="19" t="str">
        <f>IF($F1221="","",IFERROR(INDEX(Items!$C$5:$C$597,MATCH($F1221,Items!$A$5:$A$597,0)),""))</f>
        <v>Medium</v>
      </c>
      <c r="I1221" s="23">
        <f>IF($F1221="","",IFERROR(INDEX(Items!$E$5:$E$597,MATCH($F1221,Items!$A$5:$A$597,0)),""))</f>
        <v>500</v>
      </c>
      <c r="J1221" s="115">
        <f>IF(tblIssues[[#This Row],[Qty Override]]&lt;&gt;"",tblIssues[[#This Row],[Qty Override]],IF(tblIssues[[#This Row],[Standard Issue]]="","",tblIssues[[#This Row],[Standard Issue]]))</f>
        <v>500</v>
      </c>
      <c r="K1221" s="20">
        <f>IF($F1221="","",IFERROR(INDEX(Items!$D$5:$D$597,MATCH($F1221,Items!$A$5:$A$597,0)),""))</f>
        <v>5.5E-2</v>
      </c>
      <c r="L1221" s="21">
        <f t="shared" si="206"/>
        <v>27.5</v>
      </c>
      <c r="M1221" s="9" t="str">
        <f t="shared" si="204"/>
        <v>O310LIC25</v>
      </c>
      <c r="N1221" s="24">
        <f>IF($A1221="","",WORKDAY($A1221,Settings!$C$9,HolidayDates))</f>
        <v>46197</v>
      </c>
      <c r="O1221" s="24">
        <f>IF($N1221="","",WORKDAY($N1221,Settings!$C$10,HolidayDates))</f>
        <v>46237</v>
      </c>
      <c r="P1221" s="10" t="s">
        <v>501</v>
      </c>
      <c r="Q1221" s="52" t="str">
        <f t="shared" si="207"/>
        <v>Collected</v>
      </c>
      <c r="R1221" s="55" t="str">
        <f t="shared" si="208"/>
        <v>2026-06</v>
      </c>
      <c r="S1221" s="55">
        <f>IF(OR($B1221="",$F1221="",$R1221=""),"",SUMIFS(tblIssues[Qty Issued],tblIssues[Staff ID],$B1221,tblIssues[Item Name],$F1221,tblIssues[Month],$R1221))</f>
        <v>500</v>
      </c>
      <c r="T1221" s="56">
        <f>IF($I1221="","",$I1221*Settings!$C$11)</f>
        <v>500</v>
      </c>
      <c r="U1221" s="57" t="str">
        <f t="shared" si="205"/>
        <v>OK</v>
      </c>
      <c r="V1221" s="55" t="str">
        <f t="shared" si="209"/>
        <v/>
      </c>
      <c r="W1221" s="55" t="str">
        <f>IF($V1221="","",IF(COUNTIF($V$5:$V1221,$V1221)=1,1,""))</f>
        <v/>
      </c>
      <c r="X1221" s="58" t="str">
        <f>IF($W1221="","",MAX($X$4:X1220)+1)</f>
        <v/>
      </c>
      <c r="Y1221" s="62"/>
      <c r="Z1221" s="62"/>
      <c r="AA1221" s="64" t="str">
        <f>IF($C1221="","",IFERROR(INDEX('Staff Directory'!$E$5:$E$594,MATCH($C1221,'Staff Directory'!$B$5:$B$594,0)),""))</f>
        <v>firstname139.lastname139@example.com</v>
      </c>
      <c r="AB1221" s="64" t="str">
        <f>IF($C1221="","",IF(ISNUMBER(SEARCH($D1221,Settings!$C$15)),"Pickup","Dispatch"))</f>
        <v>Pickup</v>
      </c>
      <c r="AC1221" s="64" t="str">
        <f t="shared" si="210"/>
        <v>Supply order ready for pickup</v>
      </c>
      <c r="AD1221" s="64" t="str">
        <f t="shared" ref="AD1221:AD1284" si="212">IF($AB1221="Pickup","Dear "&amp;$AH1221&amp;","&amp;CHAR(10)&amp;CHAR(10)&amp;"Your order is ready for pickup from Sample Branch, Wed-Fri 9am-4pm.",IF($AB1221="Dispatch","Dear "&amp;$AH1221&amp;","&amp;CHAR(10)&amp;CHAR(10)&amp;"Your order has been dispatched and is in transit. Reply if undelivered.",""))</f>
        <v>Dear PSW,
Your order is ready for pickup from Sample Branch, Wed-Fri 9am-4pm.</v>
      </c>
      <c r="AE1221" s="64" t="str">
        <f t="shared" ref="AE1221:AE1284" si="213">IF(OR($AA1221="",$AC1221=""),"","mailto:"&amp;$AA1221&amp;"?subject="&amp;_xlfn.ENCODEURL($AC1221)&amp;"&amp;body="&amp;_xlfn.ENCODEURL($AD1221))</f>
        <v>mailto:firstname139.lastname139@example.com?subject=Supply%20order%20ready%20for%20pickup&amp;body=Dear%20PSW%2C%0A%0AYour%20order%20is%20ready%20for%20pickup%20from%20Sample%20Branch%2C%20Wed-Fri%209am-4pm.</v>
      </c>
      <c r="AF1221" s="89" t="str">
        <f t="shared" si="211"/>
        <v>Draft email</v>
      </c>
      <c r="AG1221" s="64" t="str">
        <f>IF($C1221="","",IFERROR(INDEX('Staff Directory'!$K$595:$K$599,MATCH($C1221,'Staff Directory'!$B$5:$B$599,0)),$D1221))</f>
        <v>PSW</v>
      </c>
      <c r="AH1221" t="str">
        <f>IF($C1221="","",IFERROR(INDEX('Staff Directory'!$I$595:$I$599,MATCH($C1221,'Staff Directory'!$B$5:$B$599,0))&amp;" "&amp;INDEX('Staff Directory'!$J$595:$J$599,MATCH($C1221,'Staff Directory'!$B$5:$B$599,0)),$AG1221))</f>
        <v>PSW</v>
      </c>
      <c r="AI1221" s="102"/>
      <c r="AJ1221" s="101">
        <f>IF($F1221="","",SUMIFS($J$5:$J1221,$F$5:$F1221,$F1221))</f>
        <v>74000</v>
      </c>
      <c r="AK1221" s="101">
        <f t="shared" ref="AK1221:AK1284" si="214">IF($F1221="","",MAX(1,$AJ1221-MAX($J1221,0)+1))</f>
        <v>73501</v>
      </c>
      <c r="AL1221" s="66" t="str" cm="1">
        <f t="array" ref="AL1221">IF($F1221="","",IFERROR(INDEX('Lot Balance'!$B$5:$B$500,MATCH(1,INDEX(('Lot Balance'!$A$5:$A$500=$F1221)*('Lot Balance'!$K$5:$K$500&lt;$AK1221)*('Lot Balance'!$K$5:$K$500+'Lot Balance'!$D$5:$D$500&gt;=$AK1221),0),0)),""))</f>
        <v>O310LIC25</v>
      </c>
      <c r="AM1221" s="66" t="str" cm="1">
        <f t="array" ref="AM1221">IF($F1221="","",IFERROR(INDEX('Lot Balance'!$B$5:$B$500,MATCH(1,INDEX(('Lot Balance'!$A$5:$A$500=$F1221)*('Lot Balance'!$K$5:$K$500&lt;$AJ1221)*('Lot Balance'!$K$5:$K$500+'Lot Balance'!$D$5:$D$500&gt;=$AJ1221),0),0)),""))</f>
        <v>O310LIC25</v>
      </c>
      <c r="AN1221" s="66" t="str">
        <f>IF($F1221="","",IF($AI1221&lt;&gt;"",IF(COUNTIFS('Lot Balance'!$A$5:$A$500,$F1221,'Lot Balance'!$B$5:$B$500,$AI1221)=0,"⚠ override is not a lot of this item",IF($AI1221=$AL1221,"Override = FEFO","Override - FEFO says "&amp;$AL1221)),IF($AL1221="","⚠ no receipt on file for this item",IF($AM1221&lt;&gt;$AL1221,"FEFO auto - split, also "&amp;$AM1221,"FEFO auto"))))</f>
        <v>FEFO auto</v>
      </c>
      <c r="AO1221" s="114"/>
    </row>
    <row r="1222" spans="1:41" x14ac:dyDescent="0.35">
      <c r="A1222" s="74">
        <v>46189</v>
      </c>
      <c r="B1222" s="18" t="str">
        <f>IF($C1222="","",IFERROR(INDEX('Staff Directory'!$A$5:$A$594,MATCH($C1222,'Staff Directory'!$B$5:$B$594,0)),"⚠ unknown staff"))</f>
        <v>PSW-079-A5</v>
      </c>
      <c r="C1222" s="49" t="s">
        <v>1055</v>
      </c>
      <c r="D1222" s="19" t="str">
        <f>IF($B1222="","",IFERROR(INDEX('Staff Directory'!$C$5:$C$594,MATCH($B1222,'Staff Directory'!$A$5:$A$594,0)),""))</f>
        <v>PSW</v>
      </c>
      <c r="E1222" s="19" t="str">
        <f>IF($B1222="","",IFERROR(INDEX('Staff Directory'!$D$5:$D$594,MATCH($B1222,'Staff Directory'!$A$5:$A$594,0)),""))</f>
        <v>A5</v>
      </c>
      <c r="F1222" s="9" t="s">
        <v>191</v>
      </c>
      <c r="G1222" s="18" t="str">
        <f>IF($F1222="","",IFERROR(INDEX(Items!$B$5:$B$597,MATCH($F1222,Items!$A$5:$A$597,0)),"⚠ not in Items"))</f>
        <v>Sanitizer</v>
      </c>
      <c r="H1222" s="19" t="str">
        <f>IF($F1222="","",IFERROR(INDEX(Items!$C$5:$C$597,MATCH($F1222,Items!$A$5:$A$597,0)),""))</f>
        <v>236 ML</v>
      </c>
      <c r="I1222" s="23">
        <f>IF($F1222="","",IFERROR(INDEX(Items!$E$5:$E$597,MATCH($F1222,Items!$A$5:$A$597,0)),""))</f>
        <v>1</v>
      </c>
      <c r="J1222" s="115">
        <f>IF(tblIssues[[#This Row],[Qty Override]]&lt;&gt;"",tblIssues[[#This Row],[Qty Override]],IF(tblIssues[[#This Row],[Standard Issue]]="","",tblIssues[[#This Row],[Standard Issue]]))</f>
        <v>1</v>
      </c>
      <c r="K1222" s="20">
        <f>IF($F1222="","",IFERROR(INDEX(Items!$D$5:$D$597,MATCH($F1222,Items!$A$5:$A$597,0)),""))</f>
        <v>1E-4</v>
      </c>
      <c r="L1222" s="21">
        <f t="shared" si="206"/>
        <v>1E-4</v>
      </c>
      <c r="M1222" s="9" t="str">
        <f t="shared" ref="M1222:M1285" si="215">IF($F1222="","",IF($AI1222&lt;&gt;"",$AI1222,$AL1222))</f>
        <v>20-21734-4</v>
      </c>
      <c r="N1222" s="24">
        <f>IF($A1222="","",WORKDAY($A1222,Settings!$C$9,HolidayDates))</f>
        <v>46197</v>
      </c>
      <c r="O1222" s="24">
        <f>IF($N1222="","",WORKDAY($N1222,Settings!$C$10,HolidayDates))</f>
        <v>46237</v>
      </c>
      <c r="P1222" s="10" t="s">
        <v>501</v>
      </c>
      <c r="Q1222" s="52" t="str">
        <f t="shared" si="207"/>
        <v>Collected</v>
      </c>
      <c r="R1222" s="55" t="str">
        <f t="shared" si="208"/>
        <v>2026-06</v>
      </c>
      <c r="S1222" s="55">
        <f>IF(OR($B1222="",$F1222="",$R1222=""),"",SUMIFS(tblIssues[Qty Issued],tblIssues[Staff ID],$B1222,tblIssues[Item Name],$F1222,tblIssues[Month],$R1222))</f>
        <v>1</v>
      </c>
      <c r="T1222" s="56">
        <f>IF($I1222="","",$I1222*Settings!$C$11)</f>
        <v>1</v>
      </c>
      <c r="U1222" s="57" t="str">
        <f t="shared" ref="U1222:U1285" si="216">IF(OR($S1222="",$T1222=""),"",IF($S1222&gt;$T1222,IF($Y1222="Approved","APPROVED BY TL","⚠ OVER QUOTA"),"OK"))</f>
        <v>OK</v>
      </c>
      <c r="V1222" s="55" t="str">
        <f t="shared" si="209"/>
        <v/>
      </c>
      <c r="W1222" s="55" t="str">
        <f>IF($V1222="","",IF(COUNTIF($V$5:$V1222,$V1222)=1,1,""))</f>
        <v/>
      </c>
      <c r="X1222" s="58" t="str">
        <f>IF($W1222="","",MAX($X$4:X1221)+1)</f>
        <v/>
      </c>
      <c r="Y1222" s="62"/>
      <c r="Z1222" s="62"/>
      <c r="AA1222" s="64" t="str">
        <f>IF($C1222="","",IFERROR(INDEX('Staff Directory'!$E$5:$E$594,MATCH($C1222,'Staff Directory'!$B$5:$B$594,0)),""))</f>
        <v>firstname139.lastname139@example.com</v>
      </c>
      <c r="AB1222" s="64" t="str">
        <f>IF($C1222="","",IF(ISNUMBER(SEARCH($D1222,Settings!$C$15)),"Pickup","Dispatch"))</f>
        <v>Pickup</v>
      </c>
      <c r="AC1222" s="64" t="str">
        <f t="shared" si="210"/>
        <v>Supply order ready for pickup</v>
      </c>
      <c r="AD1222" s="64" t="str">
        <f t="shared" si="212"/>
        <v>Dear PSW,
Your order is ready for pickup from Sample Branch, Wed-Fri 9am-4pm.</v>
      </c>
      <c r="AE1222" s="64" t="str">
        <f t="shared" si="213"/>
        <v>mailto:firstname139.lastname139@example.com?subject=Supply%20order%20ready%20for%20pickup&amp;body=Dear%20PSW%2C%0A%0AYour%20order%20is%20ready%20for%20pickup%20from%20Sample%20Branch%2C%20Wed-Fri%209am-4pm.</v>
      </c>
      <c r="AF1222" s="89" t="str">
        <f t="shared" si="211"/>
        <v>Draft email</v>
      </c>
      <c r="AG1222" s="64" t="str">
        <f>IF($C1222="","",IFERROR(INDEX('Staff Directory'!$K$595:$K$599,MATCH($C1222,'Staff Directory'!$B$5:$B$599,0)),$D1222))</f>
        <v>PSW</v>
      </c>
      <c r="AH1222" t="str">
        <f>IF($C1222="","",IFERROR(INDEX('Staff Directory'!$I$595:$I$599,MATCH($C1222,'Staff Directory'!$B$5:$B$599,0))&amp;" "&amp;INDEX('Staff Directory'!$J$595:$J$599,MATCH($C1222,'Staff Directory'!$B$5:$B$599,0)),$AG1222))</f>
        <v>PSW</v>
      </c>
      <c r="AI1222" s="102"/>
      <c r="AJ1222" s="101">
        <f>IF($F1222="","",SUMIFS($J$5:$J1222,$F$5:$F1222,$F1222))</f>
        <v>153</v>
      </c>
      <c r="AK1222" s="101">
        <f t="shared" si="214"/>
        <v>153</v>
      </c>
      <c r="AL1222" s="66" t="str" cm="1">
        <f t="array" ref="AL1222">IF($F1222="","",IFERROR(INDEX('Lot Balance'!$B$5:$B$500,MATCH(1,INDEX(('Lot Balance'!$A$5:$A$500=$F1222)*('Lot Balance'!$K$5:$K$500&lt;$AK1222)*('Lot Balance'!$K$5:$K$500+'Lot Balance'!$D$5:$D$500&gt;=$AK1222),0),0)),""))</f>
        <v>20-21734-4</v>
      </c>
      <c r="AM1222" s="66" t="str" cm="1">
        <f t="array" ref="AM1222">IF($F1222="","",IFERROR(INDEX('Lot Balance'!$B$5:$B$500,MATCH(1,INDEX(('Lot Balance'!$A$5:$A$500=$F1222)*('Lot Balance'!$K$5:$K$500&lt;$AJ1222)*('Lot Balance'!$K$5:$K$500+'Lot Balance'!$D$5:$D$500&gt;=$AJ1222),0),0)),""))</f>
        <v>20-21734-4</v>
      </c>
      <c r="AN1222" s="66" t="str">
        <f>IF($F1222="","",IF($AI1222&lt;&gt;"",IF(COUNTIFS('Lot Balance'!$A$5:$A$500,$F1222,'Lot Balance'!$B$5:$B$500,$AI1222)=0,"⚠ override is not a lot of this item",IF($AI1222=$AL1222,"Override = FEFO","Override - FEFO says "&amp;$AL1222)),IF($AL1222="","⚠ no receipt on file for this item",IF($AM1222&lt;&gt;$AL1222,"FEFO auto - split, also "&amp;$AM1222,"FEFO auto"))))</f>
        <v>FEFO auto</v>
      </c>
      <c r="AO1222" s="114"/>
    </row>
    <row r="1223" spans="1:41" x14ac:dyDescent="0.35">
      <c r="A1223" s="74">
        <v>46189</v>
      </c>
      <c r="B1223" s="18" t="str">
        <f>IF($C1223="","",IFERROR(INDEX('Staff Directory'!$A$5:$A$594,MATCH($C1223,'Staff Directory'!$B$5:$B$594,0)),"⚠ unknown staff"))</f>
        <v>PSW-079-A5</v>
      </c>
      <c r="C1223" s="49" t="s">
        <v>1055</v>
      </c>
      <c r="D1223" s="19" t="str">
        <f>IF($B1223="","",IFERROR(INDEX('Staff Directory'!$C$5:$C$594,MATCH($B1223,'Staff Directory'!$A$5:$A$594,0)),""))</f>
        <v>PSW</v>
      </c>
      <c r="E1223" s="19" t="str">
        <f>IF($B1223="","",IFERROR(INDEX('Staff Directory'!$D$5:$D$594,MATCH($B1223,'Staff Directory'!$A$5:$A$594,0)),""))</f>
        <v>A5</v>
      </c>
      <c r="F1223" s="9" t="s">
        <v>115</v>
      </c>
      <c r="G1223" s="18" t="str">
        <f>IF($F1223="","",IFERROR(INDEX(Items!$B$5:$B$597,MATCH($F1223,Items!$A$5:$A$597,0)),"⚠ not in Items"))</f>
        <v>Wipes</v>
      </c>
      <c r="H1223" s="19">
        <f>IF($F1223="","",IFERROR(INDEX(Items!$C$5:$C$597,MATCH($F1223,Items!$A$5:$A$597,0)),""))</f>
        <v>80</v>
      </c>
      <c r="I1223" s="23">
        <f>IF($F1223="","",IFERROR(INDEX(Items!$E$5:$E$597,MATCH($F1223,Items!$A$5:$A$597,0)),""))</f>
        <v>80</v>
      </c>
      <c r="J1223" s="115">
        <f>IF(tblIssues[[#This Row],[Qty Override]]&lt;&gt;"",tblIssues[[#This Row],[Qty Override]],IF(tblIssues[[#This Row],[Standard Issue]]="","",tblIssues[[#This Row],[Standard Issue]]))</f>
        <v>80</v>
      </c>
      <c r="K1223" s="20">
        <f>IF($F1223="","",IFERROR(INDEX(Items!$D$5:$D$597,MATCH($F1223,Items!$A$5:$A$597,0)),""))</f>
        <v>0.1</v>
      </c>
      <c r="L1223" s="21">
        <f t="shared" si="206"/>
        <v>8</v>
      </c>
      <c r="M1223" s="9" t="str">
        <f t="shared" si="215"/>
        <v>LYSL500290</v>
      </c>
      <c r="N1223" s="24">
        <f>IF($A1223="","",WORKDAY($A1223,Settings!$C$9,HolidayDates))</f>
        <v>46197</v>
      </c>
      <c r="O1223" s="24">
        <f>IF($N1223="","",WORKDAY($N1223,Settings!$C$10,HolidayDates))</f>
        <v>46237</v>
      </c>
      <c r="P1223" s="10" t="s">
        <v>501</v>
      </c>
      <c r="Q1223" s="52" t="str">
        <f t="shared" si="207"/>
        <v>Collected</v>
      </c>
      <c r="R1223" s="55" t="str">
        <f t="shared" si="208"/>
        <v>2026-06</v>
      </c>
      <c r="S1223" s="55">
        <f>IF(OR($B1223="",$F1223="",$R1223=""),"",SUMIFS(tblIssues[Qty Issued],tblIssues[Staff ID],$B1223,tblIssues[Item Name],$F1223,tblIssues[Month],$R1223))</f>
        <v>80</v>
      </c>
      <c r="T1223" s="56">
        <f>IF($I1223="","",$I1223*Settings!$C$11)</f>
        <v>80</v>
      </c>
      <c r="U1223" s="57" t="str">
        <f t="shared" si="216"/>
        <v>OK</v>
      </c>
      <c r="V1223" s="55" t="str">
        <f t="shared" si="209"/>
        <v/>
      </c>
      <c r="W1223" s="55" t="str">
        <f>IF($V1223="","",IF(COUNTIF($V$5:$V1223,$V1223)=1,1,""))</f>
        <v/>
      </c>
      <c r="X1223" s="58" t="str">
        <f>IF($W1223="","",MAX($X$4:X1222)+1)</f>
        <v/>
      </c>
      <c r="Y1223" s="62"/>
      <c r="Z1223" s="62"/>
      <c r="AA1223" s="64" t="str">
        <f>IF($C1223="","",IFERROR(INDEX('Staff Directory'!$E$5:$E$594,MATCH($C1223,'Staff Directory'!$B$5:$B$594,0)),""))</f>
        <v>firstname139.lastname139@example.com</v>
      </c>
      <c r="AB1223" s="64" t="str">
        <f>IF($C1223="","",IF(ISNUMBER(SEARCH($D1223,Settings!$C$15)),"Pickup","Dispatch"))</f>
        <v>Pickup</v>
      </c>
      <c r="AC1223" s="64" t="str">
        <f t="shared" si="210"/>
        <v>Supply order ready for pickup</v>
      </c>
      <c r="AD1223" s="64" t="str">
        <f t="shared" si="212"/>
        <v>Dear PSW,
Your order is ready for pickup from Sample Branch, Wed-Fri 9am-4pm.</v>
      </c>
      <c r="AE1223" s="64" t="str">
        <f t="shared" si="213"/>
        <v>mailto:firstname139.lastname139@example.com?subject=Supply%20order%20ready%20for%20pickup&amp;body=Dear%20PSW%2C%0A%0AYour%20order%20is%20ready%20for%20pickup%20from%20Sample%20Branch%2C%20Wed-Fri%209am-4pm.</v>
      </c>
      <c r="AF1223" s="89" t="str">
        <f t="shared" si="211"/>
        <v>Draft email</v>
      </c>
      <c r="AG1223" s="64" t="str">
        <f>IF($C1223="","",IFERROR(INDEX('Staff Directory'!$K$595:$K$599,MATCH($C1223,'Staff Directory'!$B$5:$B$599,0)),$D1223))</f>
        <v>PSW</v>
      </c>
      <c r="AH1223" t="str">
        <f>IF($C1223="","",IFERROR(INDEX('Staff Directory'!$I$595:$I$599,MATCH($C1223,'Staff Directory'!$B$5:$B$599,0))&amp;" "&amp;INDEX('Staff Directory'!$J$595:$J$599,MATCH($C1223,'Staff Directory'!$B$5:$B$599,0)),$AG1223))</f>
        <v>PSW</v>
      </c>
      <c r="AI1223" s="102"/>
      <c r="AJ1223" s="101">
        <f>IF($F1223="","",SUMIFS($J$5:$J1223,$F$5:$F1223,$F1223))</f>
        <v>16960</v>
      </c>
      <c r="AK1223" s="101">
        <f t="shared" si="214"/>
        <v>16881</v>
      </c>
      <c r="AL1223" s="66" t="str" cm="1">
        <f t="array" ref="AL1223">IF($F1223="","",IFERROR(INDEX('Lot Balance'!$B$5:$B$500,MATCH(1,INDEX(('Lot Balance'!$A$5:$A$500=$F1223)*('Lot Balance'!$K$5:$K$500&lt;$AK1223)*('Lot Balance'!$K$5:$K$500+'Lot Balance'!$D$5:$D$500&gt;=$AK1223),0),0)),""))</f>
        <v>LYSL500290</v>
      </c>
      <c r="AM1223" s="66" t="str" cm="1">
        <f t="array" ref="AM1223">IF($F1223="","",IFERROR(INDEX('Lot Balance'!$B$5:$B$500,MATCH(1,INDEX(('Lot Balance'!$A$5:$A$500=$F1223)*('Lot Balance'!$K$5:$K$500&lt;$AJ1223)*('Lot Balance'!$K$5:$K$500+'Lot Balance'!$D$5:$D$500&gt;=$AJ1223),0),0)),""))</f>
        <v>LYSL500290</v>
      </c>
      <c r="AN1223" s="66" t="str">
        <f>IF($F1223="","",IF($AI1223&lt;&gt;"",IF(COUNTIFS('Lot Balance'!$A$5:$A$500,$F1223,'Lot Balance'!$B$5:$B$500,$AI1223)=0,"⚠ override is not a lot of this item",IF($AI1223=$AL1223,"Override = FEFO","Override - FEFO says "&amp;$AL1223)),IF($AL1223="","⚠ no receipt on file for this item",IF($AM1223&lt;&gt;$AL1223,"FEFO auto - split, also "&amp;$AM1223,"FEFO auto"))))</f>
        <v>FEFO auto</v>
      </c>
      <c r="AO1223" s="114"/>
    </row>
    <row r="1224" spans="1:41" x14ac:dyDescent="0.35">
      <c r="A1224" s="74">
        <v>46189</v>
      </c>
      <c r="B1224" s="18" t="str">
        <f>IF($C1224="","",IFERROR(INDEX('Staff Directory'!$A$5:$A$594,MATCH($C1224,'Staff Directory'!$B$5:$B$594,0)),"⚠ unknown staff"))</f>
        <v>PSW-079-A5</v>
      </c>
      <c r="C1224" s="49" t="s">
        <v>1055</v>
      </c>
      <c r="D1224" s="19" t="str">
        <f>IF($B1224="","",IFERROR(INDEX('Staff Directory'!$C$5:$C$594,MATCH($B1224,'Staff Directory'!$A$5:$A$594,0)),""))</f>
        <v>PSW</v>
      </c>
      <c r="E1224" s="19" t="str">
        <f>IF($B1224="","",IFERROR(INDEX('Staff Directory'!$D$5:$D$594,MATCH($B1224,'Staff Directory'!$A$5:$A$594,0)),""))</f>
        <v>A5</v>
      </c>
      <c r="F1224" s="9" t="s">
        <v>156</v>
      </c>
      <c r="G1224" s="18" t="str">
        <f>IF($F1224="","",IFERROR(INDEX(Items!$B$5:$B$597,MATCH($F1224,Items!$A$5:$A$597,0)),"⚠ not in Items"))</f>
        <v>Masks</v>
      </c>
      <c r="H1224" s="19" t="str">
        <f>IF($F1224="","",IFERROR(INDEX(Items!$C$5:$C$597,MATCH($F1224,Items!$A$5:$A$597,0)),""))</f>
        <v>One Size</v>
      </c>
      <c r="I1224" s="23">
        <f>IF($F1224="","",IFERROR(INDEX(Items!$E$5:$E$597,MATCH($F1224,Items!$A$5:$A$597,0)),""))</f>
        <v>50</v>
      </c>
      <c r="J1224" s="115">
        <f>IF(tblIssues[[#This Row],[Qty Override]]&lt;&gt;"",tblIssues[[#This Row],[Qty Override]],IF(tblIssues[[#This Row],[Standard Issue]]="","",tblIssues[[#This Row],[Standard Issue]]))</f>
        <v>50</v>
      </c>
      <c r="K1224" s="20">
        <f>IF($F1224="","",IFERROR(INDEX(Items!$D$5:$D$597,MATCH($F1224,Items!$A$5:$A$597,0)),""))</f>
        <v>0.25</v>
      </c>
      <c r="L1224" s="21">
        <f t="shared" ref="L1224:L1287" si="217">IF(OR($J1224="",$K1224=""),"",$J1224*$K1224)</f>
        <v>12.5</v>
      </c>
      <c r="M1224" s="9" t="str">
        <f t="shared" si="215"/>
        <v>102GPC24</v>
      </c>
      <c r="N1224" s="24">
        <f>IF($A1224="","",WORKDAY($A1224,Settings!$C$9,HolidayDates))</f>
        <v>46197</v>
      </c>
      <c r="O1224" s="24">
        <f>IF($N1224="","",WORKDAY($N1224,Settings!$C$10,HolidayDates))</f>
        <v>46237</v>
      </c>
      <c r="P1224" s="10" t="s">
        <v>501</v>
      </c>
      <c r="Q1224" s="52" t="str">
        <f t="shared" si="207"/>
        <v>Collected</v>
      </c>
      <c r="R1224" s="55" t="str">
        <f t="shared" si="208"/>
        <v>2026-06</v>
      </c>
      <c r="S1224" s="55">
        <f>IF(OR($B1224="",$F1224="",$R1224=""),"",SUMIFS(tblIssues[Qty Issued],tblIssues[Staff ID],$B1224,tblIssues[Item Name],$F1224,tblIssues[Month],$R1224))</f>
        <v>50</v>
      </c>
      <c r="T1224" s="56">
        <f>IF($I1224="","",$I1224*Settings!$C$11)</f>
        <v>50</v>
      </c>
      <c r="U1224" s="57" t="str">
        <f t="shared" si="216"/>
        <v>OK</v>
      </c>
      <c r="V1224" s="55" t="str">
        <f t="shared" si="209"/>
        <v/>
      </c>
      <c r="W1224" s="55" t="str">
        <f>IF($V1224="","",IF(COUNTIF($V$5:$V1224,$V1224)=1,1,""))</f>
        <v/>
      </c>
      <c r="X1224" s="58" t="str">
        <f>IF($W1224="","",MAX($X$4:X1223)+1)</f>
        <v/>
      </c>
      <c r="Y1224" s="62"/>
      <c r="Z1224" s="62"/>
      <c r="AA1224" s="64" t="str">
        <f>IF($C1224="","",IFERROR(INDEX('Staff Directory'!$E$5:$E$594,MATCH($C1224,'Staff Directory'!$B$5:$B$594,0)),""))</f>
        <v>firstname139.lastname139@example.com</v>
      </c>
      <c r="AB1224" s="64" t="str">
        <f>IF($C1224="","",IF(ISNUMBER(SEARCH($D1224,Settings!$C$15)),"Pickup","Dispatch"))</f>
        <v>Pickup</v>
      </c>
      <c r="AC1224" s="64" t="str">
        <f t="shared" si="210"/>
        <v>Supply order ready for pickup</v>
      </c>
      <c r="AD1224" s="64" t="str">
        <f t="shared" si="212"/>
        <v>Dear PSW,
Your order is ready for pickup from Sample Branch, Wed-Fri 9am-4pm.</v>
      </c>
      <c r="AE1224" s="64" t="str">
        <f t="shared" si="213"/>
        <v>mailto:firstname139.lastname139@example.com?subject=Supply%20order%20ready%20for%20pickup&amp;body=Dear%20PSW%2C%0A%0AYour%20order%20is%20ready%20for%20pickup%20from%20Sample%20Branch%2C%20Wed-Fri%209am-4pm.</v>
      </c>
      <c r="AF1224" s="89" t="str">
        <f t="shared" si="211"/>
        <v>Draft email</v>
      </c>
      <c r="AG1224" s="64" t="str">
        <f>IF($C1224="","",IFERROR(INDEX('Staff Directory'!$K$595:$K$599,MATCH($C1224,'Staff Directory'!$B$5:$B$599,0)),$D1224))</f>
        <v>PSW</v>
      </c>
      <c r="AH1224" t="str">
        <f>IF($C1224="","",IFERROR(INDEX('Staff Directory'!$I$595:$I$599,MATCH($C1224,'Staff Directory'!$B$5:$B$599,0))&amp;" "&amp;INDEX('Staff Directory'!$J$595:$J$599,MATCH($C1224,'Staff Directory'!$B$5:$B$599,0)),$AG1224))</f>
        <v>PSW</v>
      </c>
      <c r="AI1224" s="102"/>
      <c r="AJ1224" s="101">
        <f>IF($F1224="","",SUMIFS($J$5:$J1224,$F$5:$F1224,$F1224))</f>
        <v>10300</v>
      </c>
      <c r="AK1224" s="101">
        <f t="shared" si="214"/>
        <v>10251</v>
      </c>
      <c r="AL1224" s="66" t="str" cm="1">
        <f t="array" ref="AL1224">IF($F1224="","",IFERROR(INDEX('Lot Balance'!$B$5:$B$500,MATCH(1,INDEX(('Lot Balance'!$A$5:$A$500=$F1224)*('Lot Balance'!$K$5:$K$500&lt;$AK1224)*('Lot Balance'!$K$5:$K$500+'Lot Balance'!$D$5:$D$500&gt;=$AK1224),0),0)),""))</f>
        <v>102GPC24</v>
      </c>
      <c r="AM1224" s="66" t="str" cm="1">
        <f t="array" ref="AM1224">IF($F1224="","",IFERROR(INDEX('Lot Balance'!$B$5:$B$500,MATCH(1,INDEX(('Lot Balance'!$A$5:$A$500=$F1224)*('Lot Balance'!$K$5:$K$500&lt;$AJ1224)*('Lot Balance'!$K$5:$K$500+'Lot Balance'!$D$5:$D$500&gt;=$AJ1224),0),0)),""))</f>
        <v>102GPC24</v>
      </c>
      <c r="AN1224" s="66" t="str">
        <f>IF($F1224="","",IF($AI1224&lt;&gt;"",IF(COUNTIFS('Lot Balance'!$A$5:$A$500,$F1224,'Lot Balance'!$B$5:$B$500,$AI1224)=0,"⚠ override is not a lot of this item",IF($AI1224=$AL1224,"Override = FEFO","Override - FEFO says "&amp;$AL1224)),IF($AL1224="","⚠ no receipt on file for this item",IF($AM1224&lt;&gt;$AL1224,"FEFO auto - split, also "&amp;$AM1224,"FEFO auto"))))</f>
        <v>FEFO auto</v>
      </c>
      <c r="AO1224" s="114"/>
    </row>
    <row r="1225" spans="1:41" x14ac:dyDescent="0.35">
      <c r="A1225" s="74">
        <v>46189</v>
      </c>
      <c r="B1225" s="18" t="str">
        <f>IF($C1225="","",IFERROR(INDEX('Staff Directory'!$A$5:$A$594,MATCH($C1225,'Staff Directory'!$B$5:$B$594,0)),"⚠ unknown staff"))</f>
        <v>PSW-137-A6</v>
      </c>
      <c r="C1225" s="49" t="s">
        <v>1116</v>
      </c>
      <c r="D1225" s="19" t="str">
        <f>IF($B1225="","",IFERROR(INDEX('Staff Directory'!$C$5:$C$594,MATCH($B1225,'Staff Directory'!$A$5:$A$594,0)),""))</f>
        <v>PSW</v>
      </c>
      <c r="E1225" s="19" t="str">
        <f>IF($B1225="","",IFERROR(INDEX('Staff Directory'!$D$5:$D$594,MATCH($B1225,'Staff Directory'!$A$5:$A$594,0)),""))</f>
        <v>A6</v>
      </c>
      <c r="F1225" s="9" t="s">
        <v>127</v>
      </c>
      <c r="G1225" s="18" t="str">
        <f>IF($F1225="","",IFERROR(INDEX(Items!$B$5:$B$597,MATCH($F1225,Items!$A$5:$A$597,0)),"⚠ not in Items"))</f>
        <v>Gloves</v>
      </c>
      <c r="H1225" s="19" t="str">
        <f>IF($F1225="","",IFERROR(INDEX(Items!$C$5:$C$597,MATCH($F1225,Items!$A$5:$A$597,0)),""))</f>
        <v>Medium</v>
      </c>
      <c r="I1225" s="23">
        <f>IF($F1225="","",IFERROR(INDEX(Items!$E$5:$E$597,MATCH($F1225,Items!$A$5:$A$597,0)),""))</f>
        <v>500</v>
      </c>
      <c r="J1225" s="115">
        <f>IF(tblIssues[[#This Row],[Qty Override]]&lt;&gt;"",tblIssues[[#This Row],[Qty Override]],IF(tblIssues[[#This Row],[Standard Issue]]="","",tblIssues[[#This Row],[Standard Issue]]))</f>
        <v>500</v>
      </c>
      <c r="K1225" s="20">
        <f>IF($F1225="","",IFERROR(INDEX(Items!$D$5:$D$597,MATCH($F1225,Items!$A$5:$A$597,0)),""))</f>
        <v>5.5E-2</v>
      </c>
      <c r="L1225" s="21">
        <f t="shared" si="217"/>
        <v>27.5</v>
      </c>
      <c r="M1225" s="9" t="str">
        <f t="shared" si="215"/>
        <v>O310LIC25</v>
      </c>
      <c r="N1225" s="24">
        <f>IF($A1225="","",WORKDAY($A1225,Settings!$C$9,HolidayDates))</f>
        <v>46197</v>
      </c>
      <c r="O1225" s="24">
        <f>IF($N1225="","",WORKDAY($N1225,Settings!$C$10,HolidayDates))</f>
        <v>46237</v>
      </c>
      <c r="P1225" s="10" t="s">
        <v>501</v>
      </c>
      <c r="Q1225" s="52" t="str">
        <f t="shared" si="207"/>
        <v>Collected</v>
      </c>
      <c r="R1225" s="55" t="str">
        <f t="shared" si="208"/>
        <v>2026-06</v>
      </c>
      <c r="S1225" s="55">
        <f>IF(OR($B1225="",$F1225="",$R1225=""),"",SUMIFS(tblIssues[Qty Issued],tblIssues[Staff ID],$B1225,tblIssues[Item Name],$F1225,tblIssues[Month],$R1225))</f>
        <v>500</v>
      </c>
      <c r="T1225" s="56">
        <f>IF($I1225="","",$I1225*Settings!$C$11)</f>
        <v>500</v>
      </c>
      <c r="U1225" s="57" t="str">
        <f t="shared" si="216"/>
        <v>OK</v>
      </c>
      <c r="V1225" s="55" t="str">
        <f t="shared" si="209"/>
        <v/>
      </c>
      <c r="W1225" s="55" t="str">
        <f>IF($V1225="","",IF(COUNTIF($V$5:$V1225,$V1225)=1,1,""))</f>
        <v/>
      </c>
      <c r="X1225" s="58" t="str">
        <f>IF($W1225="","",MAX($X$4:X1224)+1)</f>
        <v/>
      </c>
      <c r="Y1225" s="62"/>
      <c r="Z1225" s="62"/>
      <c r="AA1225" s="64" t="str">
        <f>IF($C1225="","",IFERROR(INDEX('Staff Directory'!$E$5:$E$594,MATCH($C1225,'Staff Directory'!$B$5:$B$594,0)),""))</f>
        <v>firstname200.lastname200@example.com</v>
      </c>
      <c r="AB1225" s="64" t="str">
        <f>IF($C1225="","",IF(ISNUMBER(SEARCH($D1225,Settings!$C$15)),"Pickup","Dispatch"))</f>
        <v>Pickup</v>
      </c>
      <c r="AC1225" s="64" t="str">
        <f t="shared" si="210"/>
        <v>Supply order ready for pickup</v>
      </c>
      <c r="AD1225" s="64" t="str">
        <f t="shared" si="212"/>
        <v>Dear PSW,
Your order is ready for pickup from Sample Branch, Wed-Fri 9am-4pm.</v>
      </c>
      <c r="AE1225" s="64" t="str">
        <f t="shared" si="213"/>
        <v>mailto:firstname200.lastname200@example.com?subject=Supply%20order%20ready%20for%20pickup&amp;body=Dear%20PSW%2C%0A%0AYour%20order%20is%20ready%20for%20pickup%20from%20Sample%20Branch%2C%20Wed-Fri%209am-4pm.</v>
      </c>
      <c r="AF1225" s="89" t="str">
        <f t="shared" si="211"/>
        <v>Draft email</v>
      </c>
      <c r="AG1225" s="64" t="str">
        <f>IF($C1225="","",IFERROR(INDEX('Staff Directory'!$K$595:$K$599,MATCH($C1225,'Staff Directory'!$B$5:$B$599,0)),$D1225))</f>
        <v>PSW</v>
      </c>
      <c r="AH1225" t="str">
        <f>IF($C1225="","",IFERROR(INDEX('Staff Directory'!$I$595:$I$599,MATCH($C1225,'Staff Directory'!$B$5:$B$599,0))&amp;" "&amp;INDEX('Staff Directory'!$J$595:$J$599,MATCH($C1225,'Staff Directory'!$B$5:$B$599,0)),$AG1225))</f>
        <v>PSW</v>
      </c>
      <c r="AI1225" s="102"/>
      <c r="AJ1225" s="101">
        <f>IF($F1225="","",SUMIFS($J$5:$J1225,$F$5:$F1225,$F1225))</f>
        <v>74500</v>
      </c>
      <c r="AK1225" s="101">
        <f t="shared" si="214"/>
        <v>74001</v>
      </c>
      <c r="AL1225" s="66" t="str" cm="1">
        <f t="array" ref="AL1225">IF($F1225="","",IFERROR(INDEX('Lot Balance'!$B$5:$B$500,MATCH(1,INDEX(('Lot Balance'!$A$5:$A$500=$F1225)*('Lot Balance'!$K$5:$K$500&lt;$AK1225)*('Lot Balance'!$K$5:$K$500+'Lot Balance'!$D$5:$D$500&gt;=$AK1225),0),0)),""))</f>
        <v>O310LIC25</v>
      </c>
      <c r="AM1225" s="66" t="str" cm="1">
        <f t="array" ref="AM1225">IF($F1225="","",IFERROR(INDEX('Lot Balance'!$B$5:$B$500,MATCH(1,INDEX(('Lot Balance'!$A$5:$A$500=$F1225)*('Lot Balance'!$K$5:$K$500&lt;$AJ1225)*('Lot Balance'!$K$5:$K$500+'Lot Balance'!$D$5:$D$500&gt;=$AJ1225),0),0)),""))</f>
        <v>O310LIC25</v>
      </c>
      <c r="AN1225" s="66" t="str">
        <f>IF($F1225="","",IF($AI1225&lt;&gt;"",IF(COUNTIFS('Lot Balance'!$A$5:$A$500,$F1225,'Lot Balance'!$B$5:$B$500,$AI1225)=0,"⚠ override is not a lot of this item",IF($AI1225=$AL1225,"Override = FEFO","Override - FEFO says "&amp;$AL1225)),IF($AL1225="","⚠ no receipt on file for this item",IF($AM1225&lt;&gt;$AL1225,"FEFO auto - split, also "&amp;$AM1225,"FEFO auto"))))</f>
        <v>FEFO auto</v>
      </c>
      <c r="AO1225" s="114"/>
    </row>
    <row r="1226" spans="1:41" x14ac:dyDescent="0.35">
      <c r="A1226" s="74">
        <v>46189</v>
      </c>
      <c r="B1226" s="18" t="str">
        <f>IF($C1226="","",IFERROR(INDEX('Staff Directory'!$A$5:$A$594,MATCH($C1226,'Staff Directory'!$B$5:$B$594,0)),"⚠ unknown staff"))</f>
        <v>PSW-137-A6</v>
      </c>
      <c r="C1226" s="49" t="s">
        <v>1116</v>
      </c>
      <c r="D1226" s="19" t="str">
        <f>IF($B1226="","",IFERROR(INDEX('Staff Directory'!$C$5:$C$594,MATCH($B1226,'Staff Directory'!$A$5:$A$594,0)),""))</f>
        <v>PSW</v>
      </c>
      <c r="E1226" s="19" t="str">
        <f>IF($B1226="","",IFERROR(INDEX('Staff Directory'!$D$5:$D$594,MATCH($B1226,'Staff Directory'!$A$5:$A$594,0)),""))</f>
        <v>A6</v>
      </c>
      <c r="F1226" s="9" t="s">
        <v>156</v>
      </c>
      <c r="G1226" s="18" t="str">
        <f>IF($F1226="","",IFERROR(INDEX(Items!$B$5:$B$597,MATCH($F1226,Items!$A$5:$A$597,0)),"⚠ not in Items"))</f>
        <v>Masks</v>
      </c>
      <c r="H1226" s="19" t="str">
        <f>IF($F1226="","",IFERROR(INDEX(Items!$C$5:$C$597,MATCH($F1226,Items!$A$5:$A$597,0)),""))</f>
        <v>One Size</v>
      </c>
      <c r="I1226" s="23">
        <f>IF($F1226="","",IFERROR(INDEX(Items!$E$5:$E$597,MATCH($F1226,Items!$A$5:$A$597,0)),""))</f>
        <v>50</v>
      </c>
      <c r="J1226" s="115">
        <f>IF(tblIssues[[#This Row],[Qty Override]]&lt;&gt;"",tblIssues[[#This Row],[Qty Override]],IF(tblIssues[[#This Row],[Standard Issue]]="","",tblIssues[[#This Row],[Standard Issue]]))</f>
        <v>50</v>
      </c>
      <c r="K1226" s="20">
        <f>IF($F1226="","",IFERROR(INDEX(Items!$D$5:$D$597,MATCH($F1226,Items!$A$5:$A$597,0)),""))</f>
        <v>0.25</v>
      </c>
      <c r="L1226" s="21">
        <f t="shared" si="217"/>
        <v>12.5</v>
      </c>
      <c r="M1226" s="9" t="str">
        <f t="shared" si="215"/>
        <v>102GPC24</v>
      </c>
      <c r="N1226" s="24">
        <f>IF($A1226="","",WORKDAY($A1226,Settings!$C$9,HolidayDates))</f>
        <v>46197</v>
      </c>
      <c r="O1226" s="24">
        <f>IF($N1226="","",WORKDAY($N1226,Settings!$C$10,HolidayDates))</f>
        <v>46237</v>
      </c>
      <c r="P1226" s="10" t="s">
        <v>501</v>
      </c>
      <c r="Q1226" s="52" t="str">
        <f t="shared" si="207"/>
        <v>Collected</v>
      </c>
      <c r="R1226" s="55" t="str">
        <f t="shared" si="208"/>
        <v>2026-06</v>
      </c>
      <c r="S1226" s="55">
        <f>IF(OR($B1226="",$F1226="",$R1226=""),"",SUMIFS(tblIssues[Qty Issued],tblIssues[Staff ID],$B1226,tblIssues[Item Name],$F1226,tblIssues[Month],$R1226))</f>
        <v>50</v>
      </c>
      <c r="T1226" s="56">
        <f>IF($I1226="","",$I1226*Settings!$C$11)</f>
        <v>50</v>
      </c>
      <c r="U1226" s="57" t="str">
        <f t="shared" si="216"/>
        <v>OK</v>
      </c>
      <c r="V1226" s="55" t="str">
        <f t="shared" si="209"/>
        <v/>
      </c>
      <c r="W1226" s="55" t="str">
        <f>IF($V1226="","",IF(COUNTIF($V$5:$V1226,$V1226)=1,1,""))</f>
        <v/>
      </c>
      <c r="X1226" s="58" t="str">
        <f>IF($W1226="","",MAX($X$4:X1225)+1)</f>
        <v/>
      </c>
      <c r="Y1226" s="62"/>
      <c r="Z1226" s="62"/>
      <c r="AA1226" s="64" t="str">
        <f>IF($C1226="","",IFERROR(INDEX('Staff Directory'!$E$5:$E$594,MATCH($C1226,'Staff Directory'!$B$5:$B$594,0)),""))</f>
        <v>firstname200.lastname200@example.com</v>
      </c>
      <c r="AB1226" s="64" t="str">
        <f>IF($C1226="","",IF(ISNUMBER(SEARCH($D1226,Settings!$C$15)),"Pickup","Dispatch"))</f>
        <v>Pickup</v>
      </c>
      <c r="AC1226" s="64" t="str">
        <f t="shared" si="210"/>
        <v>Supply order ready for pickup</v>
      </c>
      <c r="AD1226" s="64" t="str">
        <f t="shared" si="212"/>
        <v>Dear PSW,
Your order is ready for pickup from Sample Branch, Wed-Fri 9am-4pm.</v>
      </c>
      <c r="AE1226" s="64" t="str">
        <f t="shared" si="213"/>
        <v>mailto:firstname200.lastname200@example.com?subject=Supply%20order%20ready%20for%20pickup&amp;body=Dear%20PSW%2C%0A%0AYour%20order%20is%20ready%20for%20pickup%20from%20Sample%20Branch%2C%20Wed-Fri%209am-4pm.</v>
      </c>
      <c r="AF1226" s="89" t="str">
        <f t="shared" si="211"/>
        <v>Draft email</v>
      </c>
      <c r="AG1226" s="64" t="str">
        <f>IF($C1226="","",IFERROR(INDEX('Staff Directory'!$K$595:$K$599,MATCH($C1226,'Staff Directory'!$B$5:$B$599,0)),$D1226))</f>
        <v>PSW</v>
      </c>
      <c r="AH1226" t="str">
        <f>IF($C1226="","",IFERROR(INDEX('Staff Directory'!$I$595:$I$599,MATCH($C1226,'Staff Directory'!$B$5:$B$599,0))&amp;" "&amp;INDEX('Staff Directory'!$J$595:$J$599,MATCH($C1226,'Staff Directory'!$B$5:$B$599,0)),$AG1226))</f>
        <v>PSW</v>
      </c>
      <c r="AI1226" s="102"/>
      <c r="AJ1226" s="101">
        <f>IF($F1226="","",SUMIFS($J$5:$J1226,$F$5:$F1226,$F1226))</f>
        <v>10350</v>
      </c>
      <c r="AK1226" s="101">
        <f t="shared" si="214"/>
        <v>10301</v>
      </c>
      <c r="AL1226" s="66" t="str" cm="1">
        <f t="array" ref="AL1226">IF($F1226="","",IFERROR(INDEX('Lot Balance'!$B$5:$B$500,MATCH(1,INDEX(('Lot Balance'!$A$5:$A$500=$F1226)*('Lot Balance'!$K$5:$K$500&lt;$AK1226)*('Lot Balance'!$K$5:$K$500+'Lot Balance'!$D$5:$D$500&gt;=$AK1226),0),0)),""))</f>
        <v>102GPC24</v>
      </c>
      <c r="AM1226" s="66" t="str" cm="1">
        <f t="array" ref="AM1226">IF($F1226="","",IFERROR(INDEX('Lot Balance'!$B$5:$B$500,MATCH(1,INDEX(('Lot Balance'!$A$5:$A$500=$F1226)*('Lot Balance'!$K$5:$K$500&lt;$AJ1226)*('Lot Balance'!$K$5:$K$500+'Lot Balance'!$D$5:$D$500&gt;=$AJ1226),0),0)),""))</f>
        <v>102GPC24</v>
      </c>
      <c r="AN1226" s="66" t="str">
        <f>IF($F1226="","",IF($AI1226&lt;&gt;"",IF(COUNTIFS('Lot Balance'!$A$5:$A$500,$F1226,'Lot Balance'!$B$5:$B$500,$AI1226)=0,"⚠ override is not a lot of this item",IF($AI1226=$AL1226,"Override = FEFO","Override - FEFO says "&amp;$AL1226)),IF($AL1226="","⚠ no receipt on file for this item",IF($AM1226&lt;&gt;$AL1226,"FEFO auto - split, also "&amp;$AM1226,"FEFO auto"))))</f>
        <v>FEFO auto</v>
      </c>
      <c r="AO1226" s="114"/>
    </row>
    <row r="1227" spans="1:41" x14ac:dyDescent="0.35">
      <c r="A1227" s="74">
        <v>46189</v>
      </c>
      <c r="B1227" s="18" t="str">
        <f>IF($C1227="","",IFERROR(INDEX('Staff Directory'!$A$5:$A$594,MATCH($C1227,'Staff Directory'!$B$5:$B$594,0)),"⚠ unknown staff"))</f>
        <v>PSW-041-A4</v>
      </c>
      <c r="C1227" s="49" t="s">
        <v>1016</v>
      </c>
      <c r="D1227" s="19" t="str">
        <f>IF($B1227="","",IFERROR(INDEX('Staff Directory'!$C$5:$C$594,MATCH($B1227,'Staff Directory'!$A$5:$A$594,0)),""))</f>
        <v>PSW</v>
      </c>
      <c r="E1227" s="19" t="str">
        <f>IF($B1227="","",IFERROR(INDEX('Staff Directory'!$D$5:$D$594,MATCH($B1227,'Staff Directory'!$A$5:$A$594,0)),""))</f>
        <v>A4</v>
      </c>
      <c r="F1227" s="9" t="s">
        <v>124</v>
      </c>
      <c r="G1227" s="18" t="str">
        <f>IF($F1227="","",IFERROR(INDEX(Items!$B$5:$B$597,MATCH($F1227,Items!$A$5:$A$597,0)),"⚠ not in Items"))</f>
        <v>Gloves</v>
      </c>
      <c r="H1227" s="19" t="str">
        <f>IF($F1227="","",IFERROR(INDEX(Items!$C$5:$C$597,MATCH($F1227,Items!$A$5:$A$597,0)),""))</f>
        <v>Large</v>
      </c>
      <c r="I1227" s="23">
        <f>IF($F1227="","",IFERROR(INDEX(Items!$E$5:$E$597,MATCH($F1227,Items!$A$5:$A$597,0)),""))</f>
        <v>500</v>
      </c>
      <c r="J1227" s="115">
        <f>IF(tblIssues[[#This Row],[Qty Override]]&lt;&gt;"",tblIssues[[#This Row],[Qty Override]],IF(tblIssues[[#This Row],[Standard Issue]]="","",tblIssues[[#This Row],[Standard Issue]]))</f>
        <v>500</v>
      </c>
      <c r="K1227" s="20">
        <f>IF($F1227="","",IFERROR(INDEX(Items!$D$5:$D$597,MATCH($F1227,Items!$A$5:$A$597,0)),""))</f>
        <v>5.5E-2</v>
      </c>
      <c r="L1227" s="21">
        <f t="shared" si="217"/>
        <v>27.5</v>
      </c>
      <c r="M1227" s="9" t="str">
        <f t="shared" si="215"/>
        <v>ZIM511139904-2</v>
      </c>
      <c r="N1227" s="24">
        <f>IF($A1227="","",WORKDAY($A1227,Settings!$C$9,HolidayDates))</f>
        <v>46197</v>
      </c>
      <c r="O1227" s="24">
        <f>IF($N1227="","",WORKDAY($N1227,Settings!$C$10,HolidayDates))</f>
        <v>46237</v>
      </c>
      <c r="P1227" s="10" t="s">
        <v>501</v>
      </c>
      <c r="Q1227" s="52" t="str">
        <f t="shared" si="207"/>
        <v>Collected</v>
      </c>
      <c r="R1227" s="55" t="str">
        <f t="shared" si="208"/>
        <v>2026-06</v>
      </c>
      <c r="S1227" s="55">
        <f>IF(OR($B1227="",$F1227="",$R1227=""),"",SUMIFS(tblIssues[Qty Issued],tblIssues[Staff ID],$B1227,tblIssues[Item Name],$F1227,tblIssues[Month],$R1227))</f>
        <v>500</v>
      </c>
      <c r="T1227" s="56">
        <f>IF($I1227="","",$I1227*Settings!$C$11)</f>
        <v>500</v>
      </c>
      <c r="U1227" s="57" t="str">
        <f t="shared" si="216"/>
        <v>OK</v>
      </c>
      <c r="V1227" s="55" t="str">
        <f t="shared" si="209"/>
        <v/>
      </c>
      <c r="W1227" s="55" t="str">
        <f>IF($V1227="","",IF(COUNTIF($V$5:$V1227,$V1227)=1,1,""))</f>
        <v/>
      </c>
      <c r="X1227" s="58" t="str">
        <f>IF($W1227="","",MAX($X$4:X1226)+1)</f>
        <v/>
      </c>
      <c r="Y1227" s="62"/>
      <c r="Z1227" s="62"/>
      <c r="AA1227" s="64" t="str">
        <f>IF($C1227="","",IFERROR(INDEX('Staff Directory'!$E$5:$E$594,MATCH($C1227,'Staff Directory'!$B$5:$B$594,0)),""))</f>
        <v>firstname100.lastname100@example.com</v>
      </c>
      <c r="AB1227" s="64" t="str">
        <f>IF($C1227="","",IF(ISNUMBER(SEARCH($D1227,Settings!$C$15)),"Pickup","Dispatch"))</f>
        <v>Pickup</v>
      </c>
      <c r="AC1227" s="64" t="str">
        <f t="shared" si="210"/>
        <v>Supply order ready for pickup</v>
      </c>
      <c r="AD1227" s="64" t="str">
        <f t="shared" si="212"/>
        <v>Dear PSW,
Your order is ready for pickup from Sample Branch, Wed-Fri 9am-4pm.</v>
      </c>
      <c r="AE1227" s="64" t="str">
        <f t="shared" si="213"/>
        <v>mailto:firstname100.lastname100@example.com?subject=Supply%20order%20ready%20for%20pickup&amp;body=Dear%20PSW%2C%0A%0AYour%20order%20is%20ready%20for%20pickup%20from%20Sample%20Branch%2C%20Wed-Fri%209am-4pm.</v>
      </c>
      <c r="AF1227" s="89" t="str">
        <f t="shared" si="211"/>
        <v>Draft email</v>
      </c>
      <c r="AG1227" s="64" t="str">
        <f>IF($C1227="","",IFERROR(INDEX('Staff Directory'!$K$595:$K$599,MATCH($C1227,'Staff Directory'!$B$5:$B$599,0)),$D1227))</f>
        <v>PSW</v>
      </c>
      <c r="AH1227" t="str">
        <f>IF($C1227="","",IFERROR(INDEX('Staff Directory'!$I$595:$I$599,MATCH($C1227,'Staff Directory'!$B$5:$B$599,0))&amp;" "&amp;INDEX('Staff Directory'!$J$595:$J$599,MATCH($C1227,'Staff Directory'!$B$5:$B$599,0)),$AG1227))</f>
        <v>PSW</v>
      </c>
      <c r="AI1227" s="102"/>
      <c r="AJ1227" s="101">
        <f>IF($F1227="","",SUMIFS($J$5:$J1227,$F$5:$F1227,$F1227))</f>
        <v>34000</v>
      </c>
      <c r="AK1227" s="101">
        <f t="shared" si="214"/>
        <v>33501</v>
      </c>
      <c r="AL1227" s="66" t="str" cm="1">
        <f t="array" ref="AL1227">IF($F1227="","",IFERROR(INDEX('Lot Balance'!$B$5:$B$500,MATCH(1,INDEX(('Lot Balance'!$A$5:$A$500=$F1227)*('Lot Balance'!$K$5:$K$500&lt;$AK1227)*('Lot Balance'!$K$5:$K$500+'Lot Balance'!$D$5:$D$500&gt;=$AK1227),0),0)),""))</f>
        <v>ZIM511139904-2</v>
      </c>
      <c r="AM1227" s="66" t="str" cm="1">
        <f t="array" ref="AM1227">IF($F1227="","",IFERROR(INDEX('Lot Balance'!$B$5:$B$500,MATCH(1,INDEX(('Lot Balance'!$A$5:$A$500=$F1227)*('Lot Balance'!$K$5:$K$500&lt;$AJ1227)*('Lot Balance'!$K$5:$K$500+'Lot Balance'!$D$5:$D$500&gt;=$AJ1227),0),0)),""))</f>
        <v>ZIM511139904-2</v>
      </c>
      <c r="AN1227" s="66" t="str">
        <f>IF($F1227="","",IF($AI1227&lt;&gt;"",IF(COUNTIFS('Lot Balance'!$A$5:$A$500,$F1227,'Lot Balance'!$B$5:$B$500,$AI1227)=0,"⚠ override is not a lot of this item",IF($AI1227=$AL1227,"Override = FEFO","Override - FEFO says "&amp;$AL1227)),IF($AL1227="","⚠ no receipt on file for this item",IF($AM1227&lt;&gt;$AL1227,"FEFO auto - split, also "&amp;$AM1227,"FEFO auto"))))</f>
        <v>FEFO auto</v>
      </c>
      <c r="AO1227" s="114"/>
    </row>
    <row r="1228" spans="1:41" x14ac:dyDescent="0.35">
      <c r="A1228" s="74">
        <v>46189</v>
      </c>
      <c r="B1228" s="18" t="str">
        <f>IF($C1228="","",IFERROR(INDEX('Staff Directory'!$A$5:$A$594,MATCH($C1228,'Staff Directory'!$B$5:$B$594,0)),"⚠ unknown staff"))</f>
        <v>PSW-041-A4</v>
      </c>
      <c r="C1228" s="49" t="s">
        <v>1016</v>
      </c>
      <c r="D1228" s="19" t="str">
        <f>IF($B1228="","",IFERROR(INDEX('Staff Directory'!$C$5:$C$594,MATCH($B1228,'Staff Directory'!$A$5:$A$594,0)),""))</f>
        <v>PSW</v>
      </c>
      <c r="E1228" s="19" t="str">
        <f>IF($B1228="","",IFERROR(INDEX('Staff Directory'!$D$5:$D$594,MATCH($B1228,'Staff Directory'!$A$5:$A$594,0)),""))</f>
        <v>A4</v>
      </c>
      <c r="F1228" s="9" t="s">
        <v>191</v>
      </c>
      <c r="G1228" s="18" t="str">
        <f>IF($F1228="","",IFERROR(INDEX(Items!$B$5:$B$597,MATCH($F1228,Items!$A$5:$A$597,0)),"⚠ not in Items"))</f>
        <v>Sanitizer</v>
      </c>
      <c r="H1228" s="19" t="str">
        <f>IF($F1228="","",IFERROR(INDEX(Items!$C$5:$C$597,MATCH($F1228,Items!$A$5:$A$597,0)),""))</f>
        <v>236 ML</v>
      </c>
      <c r="I1228" s="23">
        <f>IF($F1228="","",IFERROR(INDEX(Items!$E$5:$E$597,MATCH($F1228,Items!$A$5:$A$597,0)),""))</f>
        <v>1</v>
      </c>
      <c r="J1228" s="115">
        <f>IF(tblIssues[[#This Row],[Qty Override]]&lt;&gt;"",tblIssues[[#This Row],[Qty Override]],IF(tblIssues[[#This Row],[Standard Issue]]="","",tblIssues[[#This Row],[Standard Issue]]))</f>
        <v>1</v>
      </c>
      <c r="K1228" s="20">
        <f>IF($F1228="","",IFERROR(INDEX(Items!$D$5:$D$597,MATCH($F1228,Items!$A$5:$A$597,0)),""))</f>
        <v>1E-4</v>
      </c>
      <c r="L1228" s="21">
        <f t="shared" si="217"/>
        <v>1E-4</v>
      </c>
      <c r="M1228" s="9" t="str">
        <f t="shared" si="215"/>
        <v>20-21734-4</v>
      </c>
      <c r="N1228" s="24">
        <f>IF($A1228="","",WORKDAY($A1228,Settings!$C$9,HolidayDates))</f>
        <v>46197</v>
      </c>
      <c r="O1228" s="24">
        <f>IF($N1228="","",WORKDAY($N1228,Settings!$C$10,HolidayDates))</f>
        <v>46237</v>
      </c>
      <c r="P1228" s="10" t="s">
        <v>501</v>
      </c>
      <c r="Q1228" s="52" t="str">
        <f t="shared" si="207"/>
        <v>Collected</v>
      </c>
      <c r="R1228" s="55" t="str">
        <f t="shared" si="208"/>
        <v>2026-06</v>
      </c>
      <c r="S1228" s="55">
        <f>IF(OR($B1228="",$F1228="",$R1228=""),"",SUMIFS(tblIssues[Qty Issued],tblIssues[Staff ID],$B1228,tblIssues[Item Name],$F1228,tblIssues[Month],$R1228))</f>
        <v>1</v>
      </c>
      <c r="T1228" s="56">
        <f>IF($I1228="","",$I1228*Settings!$C$11)</f>
        <v>1</v>
      </c>
      <c r="U1228" s="57" t="str">
        <f t="shared" si="216"/>
        <v>OK</v>
      </c>
      <c r="V1228" s="55" t="str">
        <f t="shared" si="209"/>
        <v/>
      </c>
      <c r="W1228" s="55" t="str">
        <f>IF($V1228="","",IF(COUNTIF($V$5:$V1228,$V1228)=1,1,""))</f>
        <v/>
      </c>
      <c r="X1228" s="58" t="str">
        <f>IF($W1228="","",MAX($X$4:X1227)+1)</f>
        <v/>
      </c>
      <c r="Y1228" s="62"/>
      <c r="Z1228" s="62"/>
      <c r="AA1228" s="64" t="str">
        <f>IF($C1228="","",IFERROR(INDEX('Staff Directory'!$E$5:$E$594,MATCH($C1228,'Staff Directory'!$B$5:$B$594,0)),""))</f>
        <v>firstname100.lastname100@example.com</v>
      </c>
      <c r="AB1228" s="64" t="str">
        <f>IF($C1228="","",IF(ISNUMBER(SEARCH($D1228,Settings!$C$15)),"Pickup","Dispatch"))</f>
        <v>Pickup</v>
      </c>
      <c r="AC1228" s="64" t="str">
        <f t="shared" si="210"/>
        <v>Supply order ready for pickup</v>
      </c>
      <c r="AD1228" s="64" t="str">
        <f t="shared" si="212"/>
        <v>Dear PSW,
Your order is ready for pickup from Sample Branch, Wed-Fri 9am-4pm.</v>
      </c>
      <c r="AE1228" s="64" t="str">
        <f t="shared" si="213"/>
        <v>mailto:firstname100.lastname100@example.com?subject=Supply%20order%20ready%20for%20pickup&amp;body=Dear%20PSW%2C%0A%0AYour%20order%20is%20ready%20for%20pickup%20from%20Sample%20Branch%2C%20Wed-Fri%209am-4pm.</v>
      </c>
      <c r="AF1228" s="89" t="str">
        <f t="shared" si="211"/>
        <v>Draft email</v>
      </c>
      <c r="AG1228" s="64" t="str">
        <f>IF($C1228="","",IFERROR(INDEX('Staff Directory'!$K$595:$K$599,MATCH($C1228,'Staff Directory'!$B$5:$B$599,0)),$D1228))</f>
        <v>PSW</v>
      </c>
      <c r="AH1228" t="str">
        <f>IF($C1228="","",IFERROR(INDEX('Staff Directory'!$I$595:$I$599,MATCH($C1228,'Staff Directory'!$B$5:$B$599,0))&amp;" "&amp;INDEX('Staff Directory'!$J$595:$J$599,MATCH($C1228,'Staff Directory'!$B$5:$B$599,0)),$AG1228))</f>
        <v>PSW</v>
      </c>
      <c r="AI1228" s="102"/>
      <c r="AJ1228" s="101">
        <f>IF($F1228="","",SUMIFS($J$5:$J1228,$F$5:$F1228,$F1228))</f>
        <v>154</v>
      </c>
      <c r="AK1228" s="101">
        <f t="shared" si="214"/>
        <v>154</v>
      </c>
      <c r="AL1228" s="66" t="str" cm="1">
        <f t="array" ref="AL1228">IF($F1228="","",IFERROR(INDEX('Lot Balance'!$B$5:$B$500,MATCH(1,INDEX(('Lot Balance'!$A$5:$A$500=$F1228)*('Lot Balance'!$K$5:$K$500&lt;$AK1228)*('Lot Balance'!$K$5:$K$500+'Lot Balance'!$D$5:$D$500&gt;=$AK1228),0),0)),""))</f>
        <v>20-21734-4</v>
      </c>
      <c r="AM1228" s="66" t="str" cm="1">
        <f t="array" ref="AM1228">IF($F1228="","",IFERROR(INDEX('Lot Balance'!$B$5:$B$500,MATCH(1,INDEX(('Lot Balance'!$A$5:$A$500=$F1228)*('Lot Balance'!$K$5:$K$500&lt;$AJ1228)*('Lot Balance'!$K$5:$K$500+'Lot Balance'!$D$5:$D$500&gt;=$AJ1228),0),0)),""))</f>
        <v>20-21734-4</v>
      </c>
      <c r="AN1228" s="66" t="str">
        <f>IF($F1228="","",IF($AI1228&lt;&gt;"",IF(COUNTIFS('Lot Balance'!$A$5:$A$500,$F1228,'Lot Balance'!$B$5:$B$500,$AI1228)=0,"⚠ override is not a lot of this item",IF($AI1228=$AL1228,"Override = FEFO","Override - FEFO says "&amp;$AL1228)),IF($AL1228="","⚠ no receipt on file for this item",IF($AM1228&lt;&gt;$AL1228,"FEFO auto - split, also "&amp;$AM1228,"FEFO auto"))))</f>
        <v>FEFO auto</v>
      </c>
      <c r="AO1228" s="114"/>
    </row>
    <row r="1229" spans="1:41" x14ac:dyDescent="0.35">
      <c r="A1229" s="74">
        <v>46189</v>
      </c>
      <c r="B1229" s="18" t="str">
        <f>IF($C1229="","",IFERROR(INDEX('Staff Directory'!$A$5:$A$594,MATCH($C1229,'Staff Directory'!$B$5:$B$594,0)),"⚠ unknown staff"))</f>
        <v>PSW-041-A4</v>
      </c>
      <c r="C1229" s="49" t="s">
        <v>1016</v>
      </c>
      <c r="D1229" s="19" t="str">
        <f>IF($B1229="","",IFERROR(INDEX('Staff Directory'!$C$5:$C$594,MATCH($B1229,'Staff Directory'!$A$5:$A$594,0)),""))</f>
        <v>PSW</v>
      </c>
      <c r="E1229" s="19" t="str">
        <f>IF($B1229="","",IFERROR(INDEX('Staff Directory'!$D$5:$D$594,MATCH($B1229,'Staff Directory'!$A$5:$A$594,0)),""))</f>
        <v>A4</v>
      </c>
      <c r="F1229" s="9" t="s">
        <v>115</v>
      </c>
      <c r="G1229" s="18" t="str">
        <f>IF($F1229="","",IFERROR(INDEX(Items!$B$5:$B$597,MATCH($F1229,Items!$A$5:$A$597,0)),"⚠ not in Items"))</f>
        <v>Wipes</v>
      </c>
      <c r="H1229" s="19">
        <f>IF($F1229="","",IFERROR(INDEX(Items!$C$5:$C$597,MATCH($F1229,Items!$A$5:$A$597,0)),""))</f>
        <v>80</v>
      </c>
      <c r="I1229" s="23">
        <f>IF($F1229="","",IFERROR(INDEX(Items!$E$5:$E$597,MATCH($F1229,Items!$A$5:$A$597,0)),""))</f>
        <v>80</v>
      </c>
      <c r="J1229" s="115">
        <f>IF(tblIssues[[#This Row],[Qty Override]]&lt;&gt;"",tblIssues[[#This Row],[Qty Override]],IF(tblIssues[[#This Row],[Standard Issue]]="","",tblIssues[[#This Row],[Standard Issue]]))</f>
        <v>80</v>
      </c>
      <c r="K1229" s="20">
        <f>IF($F1229="","",IFERROR(INDEX(Items!$D$5:$D$597,MATCH($F1229,Items!$A$5:$A$597,0)),""))</f>
        <v>0.1</v>
      </c>
      <c r="L1229" s="21">
        <f t="shared" si="217"/>
        <v>8</v>
      </c>
      <c r="M1229" s="9" t="str">
        <f t="shared" si="215"/>
        <v>LYSL500290</v>
      </c>
      <c r="N1229" s="24">
        <f>IF($A1229="","",WORKDAY($A1229,Settings!$C$9,HolidayDates))</f>
        <v>46197</v>
      </c>
      <c r="O1229" s="24">
        <f>IF($N1229="","",WORKDAY($N1229,Settings!$C$10,HolidayDates))</f>
        <v>46237</v>
      </c>
      <c r="P1229" s="10" t="s">
        <v>501</v>
      </c>
      <c r="Q1229" s="52" t="str">
        <f t="shared" si="207"/>
        <v>Collected</v>
      </c>
      <c r="R1229" s="55" t="str">
        <f t="shared" si="208"/>
        <v>2026-06</v>
      </c>
      <c r="S1229" s="55">
        <f>IF(OR($B1229="",$F1229="",$R1229=""),"",SUMIFS(tblIssues[Qty Issued],tblIssues[Staff ID],$B1229,tblIssues[Item Name],$F1229,tblIssues[Month],$R1229))</f>
        <v>80</v>
      </c>
      <c r="T1229" s="56">
        <f>IF($I1229="","",$I1229*Settings!$C$11)</f>
        <v>80</v>
      </c>
      <c r="U1229" s="57" t="str">
        <f t="shared" si="216"/>
        <v>OK</v>
      </c>
      <c r="V1229" s="55" t="str">
        <f t="shared" si="209"/>
        <v/>
      </c>
      <c r="W1229" s="55" t="str">
        <f>IF($V1229="","",IF(COUNTIF($V$5:$V1229,$V1229)=1,1,""))</f>
        <v/>
      </c>
      <c r="X1229" s="58" t="str">
        <f>IF($W1229="","",MAX($X$4:X1228)+1)</f>
        <v/>
      </c>
      <c r="Y1229" s="62"/>
      <c r="Z1229" s="62"/>
      <c r="AA1229" s="64" t="str">
        <f>IF($C1229="","",IFERROR(INDEX('Staff Directory'!$E$5:$E$594,MATCH($C1229,'Staff Directory'!$B$5:$B$594,0)),""))</f>
        <v>firstname100.lastname100@example.com</v>
      </c>
      <c r="AB1229" s="64" t="str">
        <f>IF($C1229="","",IF(ISNUMBER(SEARCH($D1229,Settings!$C$15)),"Pickup","Dispatch"))</f>
        <v>Pickup</v>
      </c>
      <c r="AC1229" s="64" t="str">
        <f t="shared" si="210"/>
        <v>Supply order ready for pickup</v>
      </c>
      <c r="AD1229" s="64" t="str">
        <f t="shared" si="212"/>
        <v>Dear PSW,
Your order is ready for pickup from Sample Branch, Wed-Fri 9am-4pm.</v>
      </c>
      <c r="AE1229" s="64" t="str">
        <f t="shared" si="213"/>
        <v>mailto:firstname100.lastname100@example.com?subject=Supply%20order%20ready%20for%20pickup&amp;body=Dear%20PSW%2C%0A%0AYour%20order%20is%20ready%20for%20pickup%20from%20Sample%20Branch%2C%20Wed-Fri%209am-4pm.</v>
      </c>
      <c r="AF1229" s="89" t="str">
        <f t="shared" si="211"/>
        <v>Draft email</v>
      </c>
      <c r="AG1229" s="64" t="str">
        <f>IF($C1229="","",IFERROR(INDEX('Staff Directory'!$K$595:$K$599,MATCH($C1229,'Staff Directory'!$B$5:$B$599,0)),$D1229))</f>
        <v>PSW</v>
      </c>
      <c r="AH1229" t="str">
        <f>IF($C1229="","",IFERROR(INDEX('Staff Directory'!$I$595:$I$599,MATCH($C1229,'Staff Directory'!$B$5:$B$599,0))&amp;" "&amp;INDEX('Staff Directory'!$J$595:$J$599,MATCH($C1229,'Staff Directory'!$B$5:$B$599,0)),$AG1229))</f>
        <v>PSW</v>
      </c>
      <c r="AI1229" s="102"/>
      <c r="AJ1229" s="101">
        <f>IF($F1229="","",SUMIFS($J$5:$J1229,$F$5:$F1229,$F1229))</f>
        <v>17040</v>
      </c>
      <c r="AK1229" s="101">
        <f t="shared" si="214"/>
        <v>16961</v>
      </c>
      <c r="AL1229" s="66" t="str" cm="1">
        <f t="array" ref="AL1229">IF($F1229="","",IFERROR(INDEX('Lot Balance'!$B$5:$B$500,MATCH(1,INDEX(('Lot Balance'!$A$5:$A$500=$F1229)*('Lot Balance'!$K$5:$K$500&lt;$AK1229)*('Lot Balance'!$K$5:$K$500+'Lot Balance'!$D$5:$D$500&gt;=$AK1229),0),0)),""))</f>
        <v>LYSL500290</v>
      </c>
      <c r="AM1229" s="66" t="str" cm="1">
        <f t="array" ref="AM1229">IF($F1229="","",IFERROR(INDEX('Lot Balance'!$B$5:$B$500,MATCH(1,INDEX(('Lot Balance'!$A$5:$A$500=$F1229)*('Lot Balance'!$K$5:$K$500&lt;$AJ1229)*('Lot Balance'!$K$5:$K$500+'Lot Balance'!$D$5:$D$500&gt;=$AJ1229),0),0)),""))</f>
        <v>LYSL500290</v>
      </c>
      <c r="AN1229" s="66" t="str">
        <f>IF($F1229="","",IF($AI1229&lt;&gt;"",IF(COUNTIFS('Lot Balance'!$A$5:$A$500,$F1229,'Lot Balance'!$B$5:$B$500,$AI1229)=0,"⚠ override is not a lot of this item",IF($AI1229=$AL1229,"Override = FEFO","Override - FEFO says "&amp;$AL1229)),IF($AL1229="","⚠ no receipt on file for this item",IF($AM1229&lt;&gt;$AL1229,"FEFO auto - split, also "&amp;$AM1229,"FEFO auto"))))</f>
        <v>FEFO auto</v>
      </c>
      <c r="AO1229" s="114"/>
    </row>
    <row r="1230" spans="1:41" x14ac:dyDescent="0.35">
      <c r="A1230" s="74">
        <v>46189</v>
      </c>
      <c r="B1230" s="18" t="str">
        <f>IF($C1230="","",IFERROR(INDEX('Staff Directory'!$A$5:$A$594,MATCH($C1230,'Staff Directory'!$B$5:$B$594,0)),"⚠ unknown staff"))</f>
        <v>PSW-041-A4</v>
      </c>
      <c r="C1230" s="49" t="s">
        <v>1016</v>
      </c>
      <c r="D1230" s="19" t="str">
        <f>IF($B1230="","",IFERROR(INDEX('Staff Directory'!$C$5:$C$594,MATCH($B1230,'Staff Directory'!$A$5:$A$594,0)),""))</f>
        <v>PSW</v>
      </c>
      <c r="E1230" s="19" t="str">
        <f>IF($B1230="","",IFERROR(INDEX('Staff Directory'!$D$5:$D$594,MATCH($B1230,'Staff Directory'!$A$5:$A$594,0)),""))</f>
        <v>A4</v>
      </c>
      <c r="F1230" s="9" t="s">
        <v>156</v>
      </c>
      <c r="G1230" s="18" t="str">
        <f>IF($F1230="","",IFERROR(INDEX(Items!$B$5:$B$597,MATCH($F1230,Items!$A$5:$A$597,0)),"⚠ not in Items"))</f>
        <v>Masks</v>
      </c>
      <c r="H1230" s="19" t="str">
        <f>IF($F1230="","",IFERROR(INDEX(Items!$C$5:$C$597,MATCH($F1230,Items!$A$5:$A$597,0)),""))</f>
        <v>One Size</v>
      </c>
      <c r="I1230" s="23">
        <f>IF($F1230="","",IFERROR(INDEX(Items!$E$5:$E$597,MATCH($F1230,Items!$A$5:$A$597,0)),""))</f>
        <v>50</v>
      </c>
      <c r="J1230" s="115">
        <f>IF(tblIssues[[#This Row],[Qty Override]]&lt;&gt;"",tblIssues[[#This Row],[Qty Override]],IF(tblIssues[[#This Row],[Standard Issue]]="","",tblIssues[[#This Row],[Standard Issue]]))</f>
        <v>50</v>
      </c>
      <c r="K1230" s="20">
        <f>IF($F1230="","",IFERROR(INDEX(Items!$D$5:$D$597,MATCH($F1230,Items!$A$5:$A$597,0)),""))</f>
        <v>0.25</v>
      </c>
      <c r="L1230" s="21">
        <f t="shared" si="217"/>
        <v>12.5</v>
      </c>
      <c r="M1230" s="9" t="str">
        <f t="shared" si="215"/>
        <v>102GPC24</v>
      </c>
      <c r="N1230" s="24">
        <f>IF($A1230="","",WORKDAY($A1230,Settings!$C$9,HolidayDates))</f>
        <v>46197</v>
      </c>
      <c r="O1230" s="24">
        <f>IF($N1230="","",WORKDAY($N1230,Settings!$C$10,HolidayDates))</f>
        <v>46237</v>
      </c>
      <c r="P1230" s="10" t="s">
        <v>501</v>
      </c>
      <c r="Q1230" s="52" t="str">
        <f t="shared" ref="Q1230:Q1293" si="218">IF($A1230="","",IF($P1230&lt;&gt;"","Collected","Pending"))</f>
        <v>Collected</v>
      </c>
      <c r="R1230" s="55" t="str">
        <f t="shared" ref="R1230:R1293" si="219">IF($A1230="","",TEXT($A1230,"yyyy-mm"))</f>
        <v>2026-06</v>
      </c>
      <c r="S1230" s="55">
        <f>IF(OR($B1230="",$F1230="",$R1230=""),"",SUMIFS(tblIssues[Qty Issued],tblIssues[Staff ID],$B1230,tblIssues[Item Name],$F1230,tblIssues[Month],$R1230))</f>
        <v>50</v>
      </c>
      <c r="T1230" s="56">
        <f>IF($I1230="","",$I1230*Settings!$C$11)</f>
        <v>50</v>
      </c>
      <c r="U1230" s="57" t="str">
        <f t="shared" si="216"/>
        <v>OK</v>
      </c>
      <c r="V1230" s="55" t="str">
        <f t="shared" ref="V1230:V1293" si="220">IF($U1230="⚠ OVER QUOTA",$B1230&amp;" | "&amp;$F1230&amp;" | "&amp;$R1230,"")</f>
        <v/>
      </c>
      <c r="W1230" s="55" t="str">
        <f>IF($V1230="","",IF(COUNTIF($V$5:$V1230,$V1230)=1,1,""))</f>
        <v/>
      </c>
      <c r="X1230" s="58" t="str">
        <f>IF($W1230="","",MAX($X$4:X1229)+1)</f>
        <v/>
      </c>
      <c r="Y1230" s="62"/>
      <c r="Z1230" s="62"/>
      <c r="AA1230" s="64" t="str">
        <f>IF($C1230="","",IFERROR(INDEX('Staff Directory'!$E$5:$E$594,MATCH($C1230,'Staff Directory'!$B$5:$B$594,0)),""))</f>
        <v>firstname100.lastname100@example.com</v>
      </c>
      <c r="AB1230" s="64" t="str">
        <f>IF($C1230="","",IF(ISNUMBER(SEARCH($D1230,Settings!$C$15)),"Pickup","Dispatch"))</f>
        <v>Pickup</v>
      </c>
      <c r="AC1230" s="64" t="str">
        <f t="shared" ref="AC1230:AC1293" si="221">IF($AB1230="Pickup","Supply order ready for pickup",IF($AB1230="Dispatch","Supply order dispatched",""))</f>
        <v>Supply order ready for pickup</v>
      </c>
      <c r="AD1230" s="64" t="str">
        <f t="shared" si="212"/>
        <v>Dear PSW,
Your order is ready for pickup from Sample Branch, Wed-Fri 9am-4pm.</v>
      </c>
      <c r="AE1230" s="64" t="str">
        <f t="shared" si="213"/>
        <v>mailto:firstname100.lastname100@example.com?subject=Supply%20order%20ready%20for%20pickup&amp;body=Dear%20PSW%2C%0A%0AYour%20order%20is%20ready%20for%20pickup%20from%20Sample%20Branch%2C%20Wed-Fri%209am-4pm.</v>
      </c>
      <c r="AF1230" s="89" t="str">
        <f t="shared" ref="AF1230:AF1293" si="222">IF(AE1230="","",HYPERLINK(AE1230,"Draft email"))</f>
        <v>Draft email</v>
      </c>
      <c r="AG1230" s="64" t="str">
        <f>IF($C1230="","",IFERROR(INDEX('Staff Directory'!$K$595:$K$599,MATCH($C1230,'Staff Directory'!$B$5:$B$599,0)),$D1230))</f>
        <v>PSW</v>
      </c>
      <c r="AH1230" t="str">
        <f>IF($C1230="","",IFERROR(INDEX('Staff Directory'!$I$595:$I$599,MATCH($C1230,'Staff Directory'!$B$5:$B$599,0))&amp;" "&amp;INDEX('Staff Directory'!$J$595:$J$599,MATCH($C1230,'Staff Directory'!$B$5:$B$599,0)),$AG1230))</f>
        <v>PSW</v>
      </c>
      <c r="AI1230" s="102"/>
      <c r="AJ1230" s="101">
        <f>IF($F1230="","",SUMIFS($J$5:$J1230,$F$5:$F1230,$F1230))</f>
        <v>10400</v>
      </c>
      <c r="AK1230" s="101">
        <f t="shared" si="214"/>
        <v>10351</v>
      </c>
      <c r="AL1230" s="66" t="str" cm="1">
        <f t="array" ref="AL1230">IF($F1230="","",IFERROR(INDEX('Lot Balance'!$B$5:$B$500,MATCH(1,INDEX(('Lot Balance'!$A$5:$A$500=$F1230)*('Lot Balance'!$K$5:$K$500&lt;$AK1230)*('Lot Balance'!$K$5:$K$500+'Lot Balance'!$D$5:$D$500&gt;=$AK1230),0),0)),""))</f>
        <v>102GPC24</v>
      </c>
      <c r="AM1230" s="66" t="str" cm="1">
        <f t="array" ref="AM1230">IF($F1230="","",IFERROR(INDEX('Lot Balance'!$B$5:$B$500,MATCH(1,INDEX(('Lot Balance'!$A$5:$A$500=$F1230)*('Lot Balance'!$K$5:$K$500&lt;$AJ1230)*('Lot Balance'!$K$5:$K$500+'Lot Balance'!$D$5:$D$500&gt;=$AJ1230),0),0)),""))</f>
        <v>102GPC24</v>
      </c>
      <c r="AN1230" s="66" t="str">
        <f>IF($F1230="","",IF($AI1230&lt;&gt;"",IF(COUNTIFS('Lot Balance'!$A$5:$A$500,$F1230,'Lot Balance'!$B$5:$B$500,$AI1230)=0,"⚠ override is not a lot of this item",IF($AI1230=$AL1230,"Override = FEFO","Override - FEFO says "&amp;$AL1230)),IF($AL1230="","⚠ no receipt on file for this item",IF($AM1230&lt;&gt;$AL1230,"FEFO auto - split, also "&amp;$AM1230,"FEFO auto"))))</f>
        <v>FEFO auto</v>
      </c>
      <c r="AO1230" s="114"/>
    </row>
    <row r="1231" spans="1:41" x14ac:dyDescent="0.35">
      <c r="A1231" s="74">
        <v>46189</v>
      </c>
      <c r="B1231" s="18" t="str">
        <f>IF($C1231="","",IFERROR(INDEX('Staff Directory'!$A$5:$A$594,MATCH($C1231,'Staff Directory'!$B$5:$B$594,0)),"⚠ unknown staff"))</f>
        <v>PSW-041-A4</v>
      </c>
      <c r="C1231" s="49" t="s">
        <v>1016</v>
      </c>
      <c r="D1231" s="19" t="str">
        <f>IF($B1231="","",IFERROR(INDEX('Staff Directory'!$C$5:$C$594,MATCH($B1231,'Staff Directory'!$A$5:$A$594,0)),""))</f>
        <v>PSW</v>
      </c>
      <c r="E1231" s="19" t="str">
        <f>IF($B1231="","",IFERROR(INDEX('Staff Directory'!$D$5:$D$594,MATCH($B1231,'Staff Directory'!$A$5:$A$594,0)),""))</f>
        <v>A4</v>
      </c>
      <c r="F1231" s="9" t="s">
        <v>147</v>
      </c>
      <c r="G1231" s="18" t="str">
        <f>IF($F1231="","",IFERROR(INDEX(Items!$B$5:$B$597,MATCH($F1231,Items!$A$5:$A$597,0)),"⚠ not in Items"))</f>
        <v>Apparel</v>
      </c>
      <c r="H1231" s="19" t="str">
        <f>IF($F1231="","",IFERROR(INDEX(Items!$C$5:$C$597,MATCH($F1231,Items!$A$5:$A$597,0)),""))</f>
        <v>One Size</v>
      </c>
      <c r="I1231" s="23">
        <f>IF($F1231="","",IFERROR(INDEX(Items!$E$5:$E$597,MATCH($F1231,Items!$A$5:$A$597,0)),""))</f>
        <v>5</v>
      </c>
      <c r="J1231" s="115">
        <f>IF(tblIssues[[#This Row],[Qty Override]]&lt;&gt;"",tblIssues[[#This Row],[Qty Override]],IF(tblIssues[[#This Row],[Standard Issue]]="","",tblIssues[[#This Row],[Standard Issue]]))</f>
        <v>5</v>
      </c>
      <c r="K1231" s="20">
        <f>IF($F1231="","",IFERROR(INDEX(Items!$D$5:$D$597,MATCH($F1231,Items!$A$5:$A$597,0)),""))</f>
        <v>3</v>
      </c>
      <c r="L1231" s="21">
        <f t="shared" si="217"/>
        <v>15</v>
      </c>
      <c r="M1231" s="9" t="str">
        <f t="shared" si="215"/>
        <v>YG500280</v>
      </c>
      <c r="N1231" s="24">
        <f>IF($A1231="","",WORKDAY($A1231,Settings!$C$9,HolidayDates))</f>
        <v>46197</v>
      </c>
      <c r="O1231" s="24">
        <f>IF($N1231="","",WORKDAY($N1231,Settings!$C$10,HolidayDates))</f>
        <v>46237</v>
      </c>
      <c r="P1231" s="10" t="s">
        <v>501</v>
      </c>
      <c r="Q1231" s="52" t="str">
        <f t="shared" si="218"/>
        <v>Collected</v>
      </c>
      <c r="R1231" s="55" t="str">
        <f t="shared" si="219"/>
        <v>2026-06</v>
      </c>
      <c r="S1231" s="55">
        <f>IF(OR($B1231="",$F1231="",$R1231=""),"",SUMIFS(tblIssues[Qty Issued],tblIssues[Staff ID],$B1231,tblIssues[Item Name],$F1231,tblIssues[Month],$R1231))</f>
        <v>5</v>
      </c>
      <c r="T1231" s="56">
        <f>IF($I1231="","",$I1231*Settings!$C$11)</f>
        <v>5</v>
      </c>
      <c r="U1231" s="57" t="str">
        <f t="shared" si="216"/>
        <v>OK</v>
      </c>
      <c r="V1231" s="55" t="str">
        <f t="shared" si="220"/>
        <v/>
      </c>
      <c r="W1231" s="55" t="str">
        <f>IF($V1231="","",IF(COUNTIF($V$5:$V1231,$V1231)=1,1,""))</f>
        <v/>
      </c>
      <c r="X1231" s="58" t="str">
        <f>IF($W1231="","",MAX($X$4:X1230)+1)</f>
        <v/>
      </c>
      <c r="Y1231" s="62"/>
      <c r="Z1231" s="62"/>
      <c r="AA1231" s="64" t="str">
        <f>IF($C1231="","",IFERROR(INDEX('Staff Directory'!$E$5:$E$594,MATCH($C1231,'Staff Directory'!$B$5:$B$594,0)),""))</f>
        <v>firstname100.lastname100@example.com</v>
      </c>
      <c r="AB1231" s="64" t="str">
        <f>IF($C1231="","",IF(ISNUMBER(SEARCH($D1231,Settings!$C$15)),"Pickup","Dispatch"))</f>
        <v>Pickup</v>
      </c>
      <c r="AC1231" s="64" t="str">
        <f t="shared" si="221"/>
        <v>Supply order ready for pickup</v>
      </c>
      <c r="AD1231" s="64" t="str">
        <f t="shared" si="212"/>
        <v>Dear PSW,
Your order is ready for pickup from Sample Branch, Wed-Fri 9am-4pm.</v>
      </c>
      <c r="AE1231" s="64" t="str">
        <f t="shared" si="213"/>
        <v>mailto:firstname100.lastname100@example.com?subject=Supply%20order%20ready%20for%20pickup&amp;body=Dear%20PSW%2C%0A%0AYour%20order%20is%20ready%20for%20pickup%20from%20Sample%20Branch%2C%20Wed-Fri%209am-4pm.</v>
      </c>
      <c r="AF1231" s="89" t="str">
        <f t="shared" si="222"/>
        <v>Draft email</v>
      </c>
      <c r="AG1231" s="64" t="str">
        <f>IF($C1231="","",IFERROR(INDEX('Staff Directory'!$K$595:$K$599,MATCH($C1231,'Staff Directory'!$B$5:$B$599,0)),$D1231))</f>
        <v>PSW</v>
      </c>
      <c r="AH1231" t="str">
        <f>IF($C1231="","",IFERROR(INDEX('Staff Directory'!$I$595:$I$599,MATCH($C1231,'Staff Directory'!$B$5:$B$599,0))&amp;" "&amp;INDEX('Staff Directory'!$J$595:$J$599,MATCH($C1231,'Staff Directory'!$B$5:$B$599,0)),$AG1231))</f>
        <v>PSW</v>
      </c>
      <c r="AI1231" s="102"/>
      <c r="AJ1231" s="101">
        <f>IF($F1231="","",SUMIFS($J$5:$J1231,$F$5:$F1231,$F1231))</f>
        <v>150</v>
      </c>
      <c r="AK1231" s="101">
        <f t="shared" si="214"/>
        <v>146</v>
      </c>
      <c r="AL1231" s="66" t="str" cm="1">
        <f t="array" ref="AL1231">IF($F1231="","",IFERROR(INDEX('Lot Balance'!$B$5:$B$500,MATCH(1,INDEX(('Lot Balance'!$A$5:$A$500=$F1231)*('Lot Balance'!$K$5:$K$500&lt;$AK1231)*('Lot Balance'!$K$5:$K$500+'Lot Balance'!$D$5:$D$500&gt;=$AK1231),0),0)),""))</f>
        <v>YG500280</v>
      </c>
      <c r="AM1231" s="66" t="str" cm="1">
        <f t="array" ref="AM1231">IF($F1231="","",IFERROR(INDEX('Lot Balance'!$B$5:$B$500,MATCH(1,INDEX(('Lot Balance'!$A$5:$A$500=$F1231)*('Lot Balance'!$K$5:$K$500&lt;$AJ1231)*('Lot Balance'!$K$5:$K$500+'Lot Balance'!$D$5:$D$500&gt;=$AJ1231),0),0)),""))</f>
        <v>YG500280</v>
      </c>
      <c r="AN1231" s="66" t="str">
        <f>IF($F1231="","",IF($AI1231&lt;&gt;"",IF(COUNTIFS('Lot Balance'!$A$5:$A$500,$F1231,'Lot Balance'!$B$5:$B$500,$AI1231)=0,"⚠ override is not a lot of this item",IF($AI1231=$AL1231,"Override = FEFO","Override - FEFO says "&amp;$AL1231)),IF($AL1231="","⚠ no receipt on file for this item",IF($AM1231&lt;&gt;$AL1231,"FEFO auto - split, also "&amp;$AM1231,"FEFO auto"))))</f>
        <v>FEFO auto</v>
      </c>
      <c r="AO1231" s="114"/>
    </row>
    <row r="1232" spans="1:41" x14ac:dyDescent="0.35">
      <c r="A1232" s="74">
        <v>46189</v>
      </c>
      <c r="B1232" s="18" t="str">
        <f>IF($C1232="","",IFERROR(INDEX('Staff Directory'!$A$5:$A$594,MATCH($C1232,'Staff Directory'!$B$5:$B$594,0)),"⚠ unknown staff"))</f>
        <v>PSW-157-A5</v>
      </c>
      <c r="C1232" s="49" t="s">
        <v>1136</v>
      </c>
      <c r="D1232" s="19" t="str">
        <f>IF($B1232="","",IFERROR(INDEX('Staff Directory'!$C$5:$C$594,MATCH($B1232,'Staff Directory'!$A$5:$A$594,0)),""))</f>
        <v>PSW</v>
      </c>
      <c r="E1232" s="19" t="str">
        <f>IF($B1232="","",IFERROR(INDEX('Staff Directory'!$D$5:$D$594,MATCH($B1232,'Staff Directory'!$A$5:$A$594,0)),""))</f>
        <v>A5</v>
      </c>
      <c r="F1232" s="9" t="s">
        <v>127</v>
      </c>
      <c r="G1232" s="18" t="str">
        <f>IF($F1232="","",IFERROR(INDEX(Items!$B$5:$B$597,MATCH($F1232,Items!$A$5:$A$597,0)),"⚠ not in Items"))</f>
        <v>Gloves</v>
      </c>
      <c r="H1232" s="19" t="str">
        <f>IF($F1232="","",IFERROR(INDEX(Items!$C$5:$C$597,MATCH($F1232,Items!$A$5:$A$597,0)),""))</f>
        <v>Medium</v>
      </c>
      <c r="I1232" s="23">
        <f>IF($F1232="","",IFERROR(INDEX(Items!$E$5:$E$597,MATCH($F1232,Items!$A$5:$A$597,0)),""))</f>
        <v>500</v>
      </c>
      <c r="J1232" s="115">
        <f>IF(tblIssues[[#This Row],[Qty Override]]&lt;&gt;"",tblIssues[[#This Row],[Qty Override]],IF(tblIssues[[#This Row],[Standard Issue]]="","",tblIssues[[#This Row],[Standard Issue]]))</f>
        <v>500</v>
      </c>
      <c r="K1232" s="20">
        <f>IF($F1232="","",IFERROR(INDEX(Items!$D$5:$D$597,MATCH($F1232,Items!$A$5:$A$597,0)),""))</f>
        <v>5.5E-2</v>
      </c>
      <c r="L1232" s="21">
        <f t="shared" si="217"/>
        <v>27.5</v>
      </c>
      <c r="M1232" s="9" t="str">
        <f t="shared" si="215"/>
        <v>O310LIC25</v>
      </c>
      <c r="N1232" s="24">
        <f>IF($A1232="","",WORKDAY($A1232,Settings!$C$9,HolidayDates))</f>
        <v>46197</v>
      </c>
      <c r="O1232" s="24">
        <f>IF($N1232="","",WORKDAY($N1232,Settings!$C$10,HolidayDates))</f>
        <v>46237</v>
      </c>
      <c r="P1232" s="10" t="s">
        <v>501</v>
      </c>
      <c r="Q1232" s="52" t="str">
        <f t="shared" si="218"/>
        <v>Collected</v>
      </c>
      <c r="R1232" s="55" t="str">
        <f t="shared" si="219"/>
        <v>2026-06</v>
      </c>
      <c r="S1232" s="55">
        <f>IF(OR($B1232="",$F1232="",$R1232=""),"",SUMIFS(tblIssues[Qty Issued],tblIssues[Staff ID],$B1232,tblIssues[Item Name],$F1232,tblIssues[Month],$R1232))</f>
        <v>1000</v>
      </c>
      <c r="T1232" s="56">
        <f>IF($I1232="","",$I1232*Settings!$C$11)</f>
        <v>500</v>
      </c>
      <c r="U1232" s="57" t="str">
        <f t="shared" si="216"/>
        <v>⚠ OVER QUOTA</v>
      </c>
      <c r="V1232" s="55" t="str">
        <f t="shared" si="220"/>
        <v>PSW-157-A5 | Gloves - Medium | 2026-06</v>
      </c>
      <c r="W1232" s="55" t="str">
        <f>IF($V1232="","",IF(COUNTIF($V$5:$V1232,$V1232)=1,1,""))</f>
        <v/>
      </c>
      <c r="X1232" s="58" t="str">
        <f>IF($W1232="","",MAX($X$4:X1231)+1)</f>
        <v/>
      </c>
      <c r="Y1232" s="62"/>
      <c r="Z1232" s="62"/>
      <c r="AA1232" s="64" t="str">
        <f>IF($C1232="","",IFERROR(INDEX('Staff Directory'!$E$5:$E$594,MATCH($C1232,'Staff Directory'!$B$5:$B$594,0)),""))</f>
        <v>firstname220.lastname220@example.com</v>
      </c>
      <c r="AB1232" s="64" t="str">
        <f>IF($C1232="","",IF(ISNUMBER(SEARCH($D1232,Settings!$C$15)),"Pickup","Dispatch"))</f>
        <v>Pickup</v>
      </c>
      <c r="AC1232" s="64" t="str">
        <f t="shared" si="221"/>
        <v>Supply order ready for pickup</v>
      </c>
      <c r="AD1232" s="64" t="str">
        <f t="shared" si="212"/>
        <v>Dear PSW,
Your order is ready for pickup from Sample Branch, Wed-Fri 9am-4pm.</v>
      </c>
      <c r="AE1232" s="64" t="str">
        <f t="shared" si="213"/>
        <v>mailto:firstname220.lastname220@example.com?subject=Supply%20order%20ready%20for%20pickup&amp;body=Dear%20PSW%2C%0A%0AYour%20order%20is%20ready%20for%20pickup%20from%20Sample%20Branch%2C%20Wed-Fri%209am-4pm.</v>
      </c>
      <c r="AF1232" s="89" t="str">
        <f t="shared" si="222"/>
        <v>Draft email</v>
      </c>
      <c r="AG1232" s="64" t="str">
        <f>IF($C1232="","",IFERROR(INDEX('Staff Directory'!$K$595:$K$599,MATCH($C1232,'Staff Directory'!$B$5:$B$599,0)),$D1232))</f>
        <v>PSW</v>
      </c>
      <c r="AH1232" t="str">
        <f>IF($C1232="","",IFERROR(INDEX('Staff Directory'!$I$595:$I$599,MATCH($C1232,'Staff Directory'!$B$5:$B$599,0))&amp;" "&amp;INDEX('Staff Directory'!$J$595:$J$599,MATCH($C1232,'Staff Directory'!$B$5:$B$599,0)),$AG1232))</f>
        <v>PSW</v>
      </c>
      <c r="AI1232" s="102"/>
      <c r="AJ1232" s="101">
        <f>IF($F1232="","",SUMIFS($J$5:$J1232,$F$5:$F1232,$F1232))</f>
        <v>75000</v>
      </c>
      <c r="AK1232" s="101">
        <f t="shared" si="214"/>
        <v>74501</v>
      </c>
      <c r="AL1232" s="66" t="str" cm="1">
        <f t="array" ref="AL1232">IF($F1232="","",IFERROR(INDEX('Lot Balance'!$B$5:$B$500,MATCH(1,INDEX(('Lot Balance'!$A$5:$A$500=$F1232)*('Lot Balance'!$K$5:$K$500&lt;$AK1232)*('Lot Balance'!$K$5:$K$500+'Lot Balance'!$D$5:$D$500&gt;=$AK1232),0),0)),""))</f>
        <v>O310LIC25</v>
      </c>
      <c r="AM1232" s="66" t="str" cm="1">
        <f t="array" ref="AM1232">IF($F1232="","",IFERROR(INDEX('Lot Balance'!$B$5:$B$500,MATCH(1,INDEX(('Lot Balance'!$A$5:$A$500=$F1232)*('Lot Balance'!$K$5:$K$500&lt;$AJ1232)*('Lot Balance'!$K$5:$K$500+'Lot Balance'!$D$5:$D$500&gt;=$AJ1232),0),0)),""))</f>
        <v>O310LIC25</v>
      </c>
      <c r="AN1232" s="66" t="str">
        <f>IF($F1232="","",IF($AI1232&lt;&gt;"",IF(COUNTIFS('Lot Balance'!$A$5:$A$500,$F1232,'Lot Balance'!$B$5:$B$500,$AI1232)=0,"⚠ override is not a lot of this item",IF($AI1232=$AL1232,"Override = FEFO","Override - FEFO says "&amp;$AL1232)),IF($AL1232="","⚠ no receipt on file for this item",IF($AM1232&lt;&gt;$AL1232,"FEFO auto - split, also "&amp;$AM1232,"FEFO auto"))))</f>
        <v>FEFO auto</v>
      </c>
      <c r="AO1232" s="114"/>
    </row>
    <row r="1233" spans="1:41" x14ac:dyDescent="0.35">
      <c r="A1233" s="74">
        <v>46189</v>
      </c>
      <c r="B1233" s="18" t="str">
        <f>IF($C1233="","",IFERROR(INDEX('Staff Directory'!$A$5:$A$594,MATCH($C1233,'Staff Directory'!$B$5:$B$594,0)),"⚠ unknown staff"))</f>
        <v>PSW-157-A5</v>
      </c>
      <c r="C1233" s="49" t="s">
        <v>1136</v>
      </c>
      <c r="D1233" s="19" t="str">
        <f>IF($B1233="","",IFERROR(INDEX('Staff Directory'!$C$5:$C$594,MATCH($B1233,'Staff Directory'!$A$5:$A$594,0)),""))</f>
        <v>PSW</v>
      </c>
      <c r="E1233" s="19" t="str">
        <f>IF($B1233="","",IFERROR(INDEX('Staff Directory'!$D$5:$D$594,MATCH($B1233,'Staff Directory'!$A$5:$A$594,0)),""))</f>
        <v>A5</v>
      </c>
      <c r="F1233" s="9" t="s">
        <v>191</v>
      </c>
      <c r="G1233" s="18" t="str">
        <f>IF($F1233="","",IFERROR(INDEX(Items!$B$5:$B$597,MATCH($F1233,Items!$A$5:$A$597,0)),"⚠ not in Items"))</f>
        <v>Sanitizer</v>
      </c>
      <c r="H1233" s="19" t="str">
        <f>IF($F1233="","",IFERROR(INDEX(Items!$C$5:$C$597,MATCH($F1233,Items!$A$5:$A$597,0)),""))</f>
        <v>236 ML</v>
      </c>
      <c r="I1233" s="23">
        <f>IF($F1233="","",IFERROR(INDEX(Items!$E$5:$E$597,MATCH($F1233,Items!$A$5:$A$597,0)),""))</f>
        <v>1</v>
      </c>
      <c r="J1233" s="115">
        <f>IF(tblIssues[[#This Row],[Qty Override]]&lt;&gt;"",tblIssues[[#This Row],[Qty Override]],IF(tblIssues[[#This Row],[Standard Issue]]="","",tblIssues[[#This Row],[Standard Issue]]))</f>
        <v>1</v>
      </c>
      <c r="K1233" s="20">
        <f>IF($F1233="","",IFERROR(INDEX(Items!$D$5:$D$597,MATCH($F1233,Items!$A$5:$A$597,0)),""))</f>
        <v>1E-4</v>
      </c>
      <c r="L1233" s="21">
        <f t="shared" si="217"/>
        <v>1E-4</v>
      </c>
      <c r="M1233" s="9" t="str">
        <f t="shared" si="215"/>
        <v>20-21734-4</v>
      </c>
      <c r="N1233" s="24">
        <f>IF($A1233="","",WORKDAY($A1233,Settings!$C$9,HolidayDates))</f>
        <v>46197</v>
      </c>
      <c r="O1233" s="24">
        <f>IF($N1233="","",WORKDAY($N1233,Settings!$C$10,HolidayDates))</f>
        <v>46237</v>
      </c>
      <c r="P1233" s="10" t="s">
        <v>501</v>
      </c>
      <c r="Q1233" s="52" t="str">
        <f t="shared" si="218"/>
        <v>Collected</v>
      </c>
      <c r="R1233" s="55" t="str">
        <f t="shared" si="219"/>
        <v>2026-06</v>
      </c>
      <c r="S1233" s="55">
        <f>IF(OR($B1233="",$F1233="",$R1233=""),"",SUMIFS(tblIssues[Qty Issued],tblIssues[Staff ID],$B1233,tblIssues[Item Name],$F1233,tblIssues[Month],$R1233))</f>
        <v>2</v>
      </c>
      <c r="T1233" s="56">
        <f>IF($I1233="","",$I1233*Settings!$C$11)</f>
        <v>1</v>
      </c>
      <c r="U1233" s="57" t="str">
        <f t="shared" si="216"/>
        <v>⚠ OVER QUOTA</v>
      </c>
      <c r="V1233" s="55" t="str">
        <f t="shared" si="220"/>
        <v>PSW-157-A5 | Hand Sanitizer OS | 2026-06</v>
      </c>
      <c r="W1233" s="55" t="str">
        <f>IF($V1233="","",IF(COUNTIF($V$5:$V1233,$V1233)=1,1,""))</f>
        <v/>
      </c>
      <c r="X1233" s="58" t="str">
        <f>IF($W1233="","",MAX($X$4:X1232)+1)</f>
        <v/>
      </c>
      <c r="Y1233" s="62"/>
      <c r="Z1233" s="62"/>
      <c r="AA1233" s="64" t="str">
        <f>IF($C1233="","",IFERROR(INDEX('Staff Directory'!$E$5:$E$594,MATCH($C1233,'Staff Directory'!$B$5:$B$594,0)),""))</f>
        <v>firstname220.lastname220@example.com</v>
      </c>
      <c r="AB1233" s="64" t="str">
        <f>IF($C1233="","",IF(ISNUMBER(SEARCH($D1233,Settings!$C$15)),"Pickup","Dispatch"))</f>
        <v>Pickup</v>
      </c>
      <c r="AC1233" s="64" t="str">
        <f t="shared" si="221"/>
        <v>Supply order ready for pickup</v>
      </c>
      <c r="AD1233" s="64" t="str">
        <f t="shared" si="212"/>
        <v>Dear PSW,
Your order is ready for pickup from Sample Branch, Wed-Fri 9am-4pm.</v>
      </c>
      <c r="AE1233" s="64" t="str">
        <f t="shared" si="213"/>
        <v>mailto:firstname220.lastname220@example.com?subject=Supply%20order%20ready%20for%20pickup&amp;body=Dear%20PSW%2C%0A%0AYour%20order%20is%20ready%20for%20pickup%20from%20Sample%20Branch%2C%20Wed-Fri%209am-4pm.</v>
      </c>
      <c r="AF1233" s="89" t="str">
        <f t="shared" si="222"/>
        <v>Draft email</v>
      </c>
      <c r="AG1233" s="64" t="str">
        <f>IF($C1233="","",IFERROR(INDEX('Staff Directory'!$K$595:$K$599,MATCH($C1233,'Staff Directory'!$B$5:$B$599,0)),$D1233))</f>
        <v>PSW</v>
      </c>
      <c r="AH1233" t="str">
        <f>IF($C1233="","",IFERROR(INDEX('Staff Directory'!$I$595:$I$599,MATCH($C1233,'Staff Directory'!$B$5:$B$599,0))&amp;" "&amp;INDEX('Staff Directory'!$J$595:$J$599,MATCH($C1233,'Staff Directory'!$B$5:$B$599,0)),$AG1233))</f>
        <v>PSW</v>
      </c>
      <c r="AI1233" s="102"/>
      <c r="AJ1233" s="101">
        <f>IF($F1233="","",SUMIFS($J$5:$J1233,$F$5:$F1233,$F1233))</f>
        <v>155</v>
      </c>
      <c r="AK1233" s="101">
        <f t="shared" si="214"/>
        <v>155</v>
      </c>
      <c r="AL1233" s="66" t="str" cm="1">
        <f t="array" ref="AL1233">IF($F1233="","",IFERROR(INDEX('Lot Balance'!$B$5:$B$500,MATCH(1,INDEX(('Lot Balance'!$A$5:$A$500=$F1233)*('Lot Balance'!$K$5:$K$500&lt;$AK1233)*('Lot Balance'!$K$5:$K$500+'Lot Balance'!$D$5:$D$500&gt;=$AK1233),0),0)),""))</f>
        <v>20-21734-4</v>
      </c>
      <c r="AM1233" s="66" t="str" cm="1">
        <f t="array" ref="AM1233">IF($F1233="","",IFERROR(INDEX('Lot Balance'!$B$5:$B$500,MATCH(1,INDEX(('Lot Balance'!$A$5:$A$500=$F1233)*('Lot Balance'!$K$5:$K$500&lt;$AJ1233)*('Lot Balance'!$K$5:$K$500+'Lot Balance'!$D$5:$D$500&gt;=$AJ1233),0),0)),""))</f>
        <v>20-21734-4</v>
      </c>
      <c r="AN1233" s="66" t="str">
        <f>IF($F1233="","",IF($AI1233&lt;&gt;"",IF(COUNTIFS('Lot Balance'!$A$5:$A$500,$F1233,'Lot Balance'!$B$5:$B$500,$AI1233)=0,"⚠ override is not a lot of this item",IF($AI1233=$AL1233,"Override = FEFO","Override - FEFO says "&amp;$AL1233)),IF($AL1233="","⚠ no receipt on file for this item",IF($AM1233&lt;&gt;$AL1233,"FEFO auto - split, also "&amp;$AM1233,"FEFO auto"))))</f>
        <v>FEFO auto</v>
      </c>
      <c r="AO1233" s="114"/>
    </row>
    <row r="1234" spans="1:41" x14ac:dyDescent="0.35">
      <c r="A1234" s="74">
        <v>46189</v>
      </c>
      <c r="B1234" s="18" t="str">
        <f>IF($C1234="","",IFERROR(INDEX('Staff Directory'!$A$5:$A$594,MATCH($C1234,'Staff Directory'!$B$5:$B$594,0)),"⚠ unknown staff"))</f>
        <v>PSW-157-A5</v>
      </c>
      <c r="C1234" s="49" t="s">
        <v>1136</v>
      </c>
      <c r="D1234" s="19" t="str">
        <f>IF($B1234="","",IFERROR(INDEX('Staff Directory'!$C$5:$C$594,MATCH($B1234,'Staff Directory'!$A$5:$A$594,0)),""))</f>
        <v>PSW</v>
      </c>
      <c r="E1234" s="19" t="str">
        <f>IF($B1234="","",IFERROR(INDEX('Staff Directory'!$D$5:$D$594,MATCH($B1234,'Staff Directory'!$A$5:$A$594,0)),""))</f>
        <v>A5</v>
      </c>
      <c r="F1234" s="9" t="s">
        <v>115</v>
      </c>
      <c r="G1234" s="18" t="str">
        <f>IF($F1234="","",IFERROR(INDEX(Items!$B$5:$B$597,MATCH($F1234,Items!$A$5:$A$597,0)),"⚠ not in Items"))</f>
        <v>Wipes</v>
      </c>
      <c r="H1234" s="19">
        <f>IF($F1234="","",IFERROR(INDEX(Items!$C$5:$C$597,MATCH($F1234,Items!$A$5:$A$597,0)),""))</f>
        <v>80</v>
      </c>
      <c r="I1234" s="23">
        <f>IF($F1234="","",IFERROR(INDEX(Items!$E$5:$E$597,MATCH($F1234,Items!$A$5:$A$597,0)),""))</f>
        <v>80</v>
      </c>
      <c r="J1234" s="115">
        <f>IF(tblIssues[[#This Row],[Qty Override]]&lt;&gt;"",tblIssues[[#This Row],[Qty Override]],IF(tblIssues[[#This Row],[Standard Issue]]="","",tblIssues[[#This Row],[Standard Issue]]))</f>
        <v>80</v>
      </c>
      <c r="K1234" s="20">
        <f>IF($F1234="","",IFERROR(INDEX(Items!$D$5:$D$597,MATCH($F1234,Items!$A$5:$A$597,0)),""))</f>
        <v>0.1</v>
      </c>
      <c r="L1234" s="21">
        <f t="shared" si="217"/>
        <v>8</v>
      </c>
      <c r="M1234" s="9" t="str">
        <f t="shared" si="215"/>
        <v>LYSL500290</v>
      </c>
      <c r="N1234" s="24">
        <f>IF($A1234="","",WORKDAY($A1234,Settings!$C$9,HolidayDates))</f>
        <v>46197</v>
      </c>
      <c r="O1234" s="24">
        <f>IF($N1234="","",WORKDAY($N1234,Settings!$C$10,HolidayDates))</f>
        <v>46237</v>
      </c>
      <c r="P1234" s="10" t="s">
        <v>501</v>
      </c>
      <c r="Q1234" s="52" t="str">
        <f t="shared" si="218"/>
        <v>Collected</v>
      </c>
      <c r="R1234" s="55" t="str">
        <f t="shared" si="219"/>
        <v>2026-06</v>
      </c>
      <c r="S1234" s="55">
        <f>IF(OR($B1234="",$F1234="",$R1234=""),"",SUMIFS(tblIssues[Qty Issued],tblIssues[Staff ID],$B1234,tblIssues[Item Name],$F1234,tblIssues[Month],$R1234))</f>
        <v>80</v>
      </c>
      <c r="T1234" s="56">
        <f>IF($I1234="","",$I1234*Settings!$C$11)</f>
        <v>80</v>
      </c>
      <c r="U1234" s="57" t="str">
        <f t="shared" si="216"/>
        <v>OK</v>
      </c>
      <c r="V1234" s="55" t="str">
        <f t="shared" si="220"/>
        <v/>
      </c>
      <c r="W1234" s="55" t="str">
        <f>IF($V1234="","",IF(COUNTIF($V$5:$V1234,$V1234)=1,1,""))</f>
        <v/>
      </c>
      <c r="X1234" s="58" t="str">
        <f>IF($W1234="","",MAX($X$4:X1233)+1)</f>
        <v/>
      </c>
      <c r="Y1234" s="62"/>
      <c r="Z1234" s="62"/>
      <c r="AA1234" s="64" t="str">
        <f>IF($C1234="","",IFERROR(INDEX('Staff Directory'!$E$5:$E$594,MATCH($C1234,'Staff Directory'!$B$5:$B$594,0)),""))</f>
        <v>firstname220.lastname220@example.com</v>
      </c>
      <c r="AB1234" s="64" t="str">
        <f>IF($C1234="","",IF(ISNUMBER(SEARCH($D1234,Settings!$C$15)),"Pickup","Dispatch"))</f>
        <v>Pickup</v>
      </c>
      <c r="AC1234" s="64" t="str">
        <f t="shared" si="221"/>
        <v>Supply order ready for pickup</v>
      </c>
      <c r="AD1234" s="64" t="str">
        <f t="shared" si="212"/>
        <v>Dear PSW,
Your order is ready for pickup from Sample Branch, Wed-Fri 9am-4pm.</v>
      </c>
      <c r="AE1234" s="64" t="str">
        <f t="shared" si="213"/>
        <v>mailto:firstname220.lastname220@example.com?subject=Supply%20order%20ready%20for%20pickup&amp;body=Dear%20PSW%2C%0A%0AYour%20order%20is%20ready%20for%20pickup%20from%20Sample%20Branch%2C%20Wed-Fri%209am-4pm.</v>
      </c>
      <c r="AF1234" s="89" t="str">
        <f t="shared" si="222"/>
        <v>Draft email</v>
      </c>
      <c r="AG1234" s="64" t="str">
        <f>IF($C1234="","",IFERROR(INDEX('Staff Directory'!$K$595:$K$599,MATCH($C1234,'Staff Directory'!$B$5:$B$599,0)),$D1234))</f>
        <v>PSW</v>
      </c>
      <c r="AH1234" t="str">
        <f>IF($C1234="","",IFERROR(INDEX('Staff Directory'!$I$595:$I$599,MATCH($C1234,'Staff Directory'!$B$5:$B$599,0))&amp;" "&amp;INDEX('Staff Directory'!$J$595:$J$599,MATCH($C1234,'Staff Directory'!$B$5:$B$599,0)),$AG1234))</f>
        <v>PSW</v>
      </c>
      <c r="AI1234" s="102"/>
      <c r="AJ1234" s="101">
        <f>IF($F1234="","",SUMIFS($J$5:$J1234,$F$5:$F1234,$F1234))</f>
        <v>17120</v>
      </c>
      <c r="AK1234" s="101">
        <f t="shared" si="214"/>
        <v>17041</v>
      </c>
      <c r="AL1234" s="66" t="str" cm="1">
        <f t="array" ref="AL1234">IF($F1234="","",IFERROR(INDEX('Lot Balance'!$B$5:$B$500,MATCH(1,INDEX(('Lot Balance'!$A$5:$A$500=$F1234)*('Lot Balance'!$K$5:$K$500&lt;$AK1234)*('Lot Balance'!$K$5:$K$500+'Lot Balance'!$D$5:$D$500&gt;=$AK1234),0),0)),""))</f>
        <v>LYSL500290</v>
      </c>
      <c r="AM1234" s="66" t="str" cm="1">
        <f t="array" ref="AM1234">IF($F1234="","",IFERROR(INDEX('Lot Balance'!$B$5:$B$500,MATCH(1,INDEX(('Lot Balance'!$A$5:$A$500=$F1234)*('Lot Balance'!$K$5:$K$500&lt;$AJ1234)*('Lot Balance'!$K$5:$K$500+'Lot Balance'!$D$5:$D$500&gt;=$AJ1234),0),0)),""))</f>
        <v>LYSL500290</v>
      </c>
      <c r="AN1234" s="66" t="str">
        <f>IF($F1234="","",IF($AI1234&lt;&gt;"",IF(COUNTIFS('Lot Balance'!$A$5:$A$500,$F1234,'Lot Balance'!$B$5:$B$500,$AI1234)=0,"⚠ override is not a lot of this item",IF($AI1234=$AL1234,"Override = FEFO","Override - FEFO says "&amp;$AL1234)),IF($AL1234="","⚠ no receipt on file for this item",IF($AM1234&lt;&gt;$AL1234,"FEFO auto - split, also "&amp;$AM1234,"FEFO auto"))))</f>
        <v>FEFO auto</v>
      </c>
      <c r="AO1234" s="114"/>
    </row>
    <row r="1235" spans="1:41" x14ac:dyDescent="0.35">
      <c r="A1235" s="74">
        <v>46189</v>
      </c>
      <c r="B1235" s="18" t="str">
        <f>IF($C1235="","",IFERROR(INDEX('Staff Directory'!$A$5:$A$594,MATCH($C1235,'Staff Directory'!$B$5:$B$594,0)),"⚠ unknown staff"))</f>
        <v>PSW-157-A5</v>
      </c>
      <c r="C1235" s="49" t="s">
        <v>1136</v>
      </c>
      <c r="D1235" s="19" t="str">
        <f>IF($B1235="","",IFERROR(INDEX('Staff Directory'!$C$5:$C$594,MATCH($B1235,'Staff Directory'!$A$5:$A$594,0)),""))</f>
        <v>PSW</v>
      </c>
      <c r="E1235" s="19" t="str">
        <f>IF($B1235="","",IFERROR(INDEX('Staff Directory'!$D$5:$D$594,MATCH($B1235,'Staff Directory'!$A$5:$A$594,0)),""))</f>
        <v>A5</v>
      </c>
      <c r="F1235" s="9" t="s">
        <v>156</v>
      </c>
      <c r="G1235" s="18" t="str">
        <f>IF($F1235="","",IFERROR(INDEX(Items!$B$5:$B$597,MATCH($F1235,Items!$A$5:$A$597,0)),"⚠ not in Items"))</f>
        <v>Masks</v>
      </c>
      <c r="H1235" s="19" t="str">
        <f>IF($F1235="","",IFERROR(INDEX(Items!$C$5:$C$597,MATCH($F1235,Items!$A$5:$A$597,0)),""))</f>
        <v>One Size</v>
      </c>
      <c r="I1235" s="23">
        <f>IF($F1235="","",IFERROR(INDEX(Items!$E$5:$E$597,MATCH($F1235,Items!$A$5:$A$597,0)),""))</f>
        <v>50</v>
      </c>
      <c r="J1235" s="115">
        <f>IF(tblIssues[[#This Row],[Qty Override]]&lt;&gt;"",tblIssues[[#This Row],[Qty Override]],IF(tblIssues[[#This Row],[Standard Issue]]="","",tblIssues[[#This Row],[Standard Issue]]))</f>
        <v>50</v>
      </c>
      <c r="K1235" s="20">
        <f>IF($F1235="","",IFERROR(INDEX(Items!$D$5:$D$597,MATCH($F1235,Items!$A$5:$A$597,0)),""))</f>
        <v>0.25</v>
      </c>
      <c r="L1235" s="21">
        <f t="shared" si="217"/>
        <v>12.5</v>
      </c>
      <c r="M1235" s="9" t="str">
        <f t="shared" si="215"/>
        <v>102GPC24</v>
      </c>
      <c r="N1235" s="24">
        <f>IF($A1235="","",WORKDAY($A1235,Settings!$C$9,HolidayDates))</f>
        <v>46197</v>
      </c>
      <c r="O1235" s="24">
        <f>IF($N1235="","",WORKDAY($N1235,Settings!$C$10,HolidayDates))</f>
        <v>46237</v>
      </c>
      <c r="P1235" s="10" t="s">
        <v>501</v>
      </c>
      <c r="Q1235" s="52" t="str">
        <f t="shared" si="218"/>
        <v>Collected</v>
      </c>
      <c r="R1235" s="55" t="str">
        <f t="shared" si="219"/>
        <v>2026-06</v>
      </c>
      <c r="S1235" s="55">
        <f>IF(OR($B1235="",$F1235="",$R1235=""),"",SUMIFS(tblIssues[Qty Issued],tblIssues[Staff ID],$B1235,tblIssues[Item Name],$F1235,tblIssues[Month],$R1235))</f>
        <v>100</v>
      </c>
      <c r="T1235" s="56">
        <f>IF($I1235="","",$I1235*Settings!$C$11)</f>
        <v>50</v>
      </c>
      <c r="U1235" s="57" t="str">
        <f t="shared" si="216"/>
        <v>⚠ OVER QUOTA</v>
      </c>
      <c r="V1235" s="55" t="str">
        <f t="shared" si="220"/>
        <v>PSW-157-A5 | Surgical Masks | 2026-06</v>
      </c>
      <c r="W1235" s="55" t="str">
        <f>IF($V1235="","",IF(COUNTIF($V$5:$V1235,$V1235)=1,1,""))</f>
        <v/>
      </c>
      <c r="X1235" s="58" t="str">
        <f>IF($W1235="","",MAX($X$4:X1234)+1)</f>
        <v/>
      </c>
      <c r="Y1235" s="62"/>
      <c r="Z1235" s="62"/>
      <c r="AA1235" s="64" t="str">
        <f>IF($C1235="","",IFERROR(INDEX('Staff Directory'!$E$5:$E$594,MATCH($C1235,'Staff Directory'!$B$5:$B$594,0)),""))</f>
        <v>firstname220.lastname220@example.com</v>
      </c>
      <c r="AB1235" s="64" t="str">
        <f>IF($C1235="","",IF(ISNUMBER(SEARCH($D1235,Settings!$C$15)),"Pickup","Dispatch"))</f>
        <v>Pickup</v>
      </c>
      <c r="AC1235" s="64" t="str">
        <f t="shared" si="221"/>
        <v>Supply order ready for pickup</v>
      </c>
      <c r="AD1235" s="64" t="str">
        <f t="shared" si="212"/>
        <v>Dear PSW,
Your order is ready for pickup from Sample Branch, Wed-Fri 9am-4pm.</v>
      </c>
      <c r="AE1235" s="64" t="str">
        <f t="shared" si="213"/>
        <v>mailto:firstname220.lastname220@example.com?subject=Supply%20order%20ready%20for%20pickup&amp;body=Dear%20PSW%2C%0A%0AYour%20order%20is%20ready%20for%20pickup%20from%20Sample%20Branch%2C%20Wed-Fri%209am-4pm.</v>
      </c>
      <c r="AF1235" s="89" t="str">
        <f t="shared" si="222"/>
        <v>Draft email</v>
      </c>
      <c r="AG1235" s="64" t="str">
        <f>IF($C1235="","",IFERROR(INDEX('Staff Directory'!$K$595:$K$599,MATCH($C1235,'Staff Directory'!$B$5:$B$599,0)),$D1235))</f>
        <v>PSW</v>
      </c>
      <c r="AH1235" t="str">
        <f>IF($C1235="","",IFERROR(INDEX('Staff Directory'!$I$595:$I$599,MATCH($C1235,'Staff Directory'!$B$5:$B$599,0))&amp;" "&amp;INDEX('Staff Directory'!$J$595:$J$599,MATCH($C1235,'Staff Directory'!$B$5:$B$599,0)),$AG1235))</f>
        <v>PSW</v>
      </c>
      <c r="AI1235" s="102"/>
      <c r="AJ1235" s="101">
        <f>IF($F1235="","",SUMIFS($J$5:$J1235,$F$5:$F1235,$F1235))</f>
        <v>10450</v>
      </c>
      <c r="AK1235" s="101">
        <f t="shared" si="214"/>
        <v>10401</v>
      </c>
      <c r="AL1235" s="66" t="str" cm="1">
        <f t="array" ref="AL1235">IF($F1235="","",IFERROR(INDEX('Lot Balance'!$B$5:$B$500,MATCH(1,INDEX(('Lot Balance'!$A$5:$A$500=$F1235)*('Lot Balance'!$K$5:$K$500&lt;$AK1235)*('Lot Balance'!$K$5:$K$500+'Lot Balance'!$D$5:$D$500&gt;=$AK1235),0),0)),""))</f>
        <v>102GPC24</v>
      </c>
      <c r="AM1235" s="66" t="str" cm="1">
        <f t="array" ref="AM1235">IF($F1235="","",IFERROR(INDEX('Lot Balance'!$B$5:$B$500,MATCH(1,INDEX(('Lot Balance'!$A$5:$A$500=$F1235)*('Lot Balance'!$K$5:$K$500&lt;$AJ1235)*('Lot Balance'!$K$5:$K$500+'Lot Balance'!$D$5:$D$500&gt;=$AJ1235),0),0)),""))</f>
        <v>102GPC24</v>
      </c>
      <c r="AN1235" s="66" t="str">
        <f>IF($F1235="","",IF($AI1235&lt;&gt;"",IF(COUNTIFS('Lot Balance'!$A$5:$A$500,$F1235,'Lot Balance'!$B$5:$B$500,$AI1235)=0,"⚠ override is not a lot of this item",IF($AI1235=$AL1235,"Override = FEFO","Override - FEFO says "&amp;$AL1235)),IF($AL1235="","⚠ no receipt on file for this item",IF($AM1235&lt;&gt;$AL1235,"FEFO auto - split, also "&amp;$AM1235,"FEFO auto"))))</f>
        <v>FEFO auto</v>
      </c>
      <c r="AO1235" s="114"/>
    </row>
    <row r="1236" spans="1:41" x14ac:dyDescent="0.35">
      <c r="A1236" s="74">
        <v>46189</v>
      </c>
      <c r="B1236" s="18" t="str">
        <f>IF($C1236="","",IFERROR(INDEX('Staff Directory'!$A$5:$A$594,MATCH($C1236,'Staff Directory'!$B$5:$B$594,0)),"⚠ unknown staff"))</f>
        <v>PSW-038-A6</v>
      </c>
      <c r="C1236" s="49" t="s">
        <v>1013</v>
      </c>
      <c r="D1236" s="19" t="str">
        <f>IF($B1236="","",IFERROR(INDEX('Staff Directory'!$C$5:$C$594,MATCH($B1236,'Staff Directory'!$A$5:$A$594,0)),""))</f>
        <v>PSW</v>
      </c>
      <c r="E1236" s="19" t="str">
        <f>IF($B1236="","",IFERROR(INDEX('Staff Directory'!$D$5:$D$594,MATCH($B1236,'Staff Directory'!$A$5:$A$594,0)),""))</f>
        <v>A6</v>
      </c>
      <c r="F1236" s="9" t="s">
        <v>124</v>
      </c>
      <c r="G1236" s="18" t="str">
        <f>IF($F1236="","",IFERROR(INDEX(Items!$B$5:$B$597,MATCH($F1236,Items!$A$5:$A$597,0)),"⚠ not in Items"))</f>
        <v>Gloves</v>
      </c>
      <c r="H1236" s="19" t="str">
        <f>IF($F1236="","",IFERROR(INDEX(Items!$C$5:$C$597,MATCH($F1236,Items!$A$5:$A$597,0)),""))</f>
        <v>Large</v>
      </c>
      <c r="I1236" s="23">
        <f>IF($F1236="","",IFERROR(INDEX(Items!$E$5:$E$597,MATCH($F1236,Items!$A$5:$A$597,0)),""))</f>
        <v>500</v>
      </c>
      <c r="J1236" s="115">
        <f>IF(tblIssues[[#This Row],[Qty Override]]&lt;&gt;"",tblIssues[[#This Row],[Qty Override]],IF(tblIssues[[#This Row],[Standard Issue]]="","",tblIssues[[#This Row],[Standard Issue]]))</f>
        <v>500</v>
      </c>
      <c r="K1236" s="20">
        <f>IF($F1236="","",IFERROR(INDEX(Items!$D$5:$D$597,MATCH($F1236,Items!$A$5:$A$597,0)),""))</f>
        <v>5.5E-2</v>
      </c>
      <c r="L1236" s="21">
        <f t="shared" si="217"/>
        <v>27.5</v>
      </c>
      <c r="M1236" s="9" t="str">
        <f t="shared" si="215"/>
        <v>ZIM511139904-2</v>
      </c>
      <c r="N1236" s="24">
        <f>IF($A1236="","",WORKDAY($A1236,Settings!$C$9,HolidayDates))</f>
        <v>46197</v>
      </c>
      <c r="O1236" s="24">
        <f>IF($N1236="","",WORKDAY($N1236,Settings!$C$10,HolidayDates))</f>
        <v>46237</v>
      </c>
      <c r="P1236" s="10" t="s">
        <v>501</v>
      </c>
      <c r="Q1236" s="52" t="str">
        <f t="shared" si="218"/>
        <v>Collected</v>
      </c>
      <c r="R1236" s="55" t="str">
        <f t="shared" si="219"/>
        <v>2026-06</v>
      </c>
      <c r="S1236" s="55">
        <f>IF(OR($B1236="",$F1236="",$R1236=""),"",SUMIFS(tblIssues[Qty Issued],tblIssues[Staff ID],$B1236,tblIssues[Item Name],$F1236,tblIssues[Month],$R1236))</f>
        <v>500</v>
      </c>
      <c r="T1236" s="56">
        <f>IF($I1236="","",$I1236*Settings!$C$11)</f>
        <v>500</v>
      </c>
      <c r="U1236" s="57" t="str">
        <f t="shared" si="216"/>
        <v>OK</v>
      </c>
      <c r="V1236" s="55" t="str">
        <f t="shared" si="220"/>
        <v/>
      </c>
      <c r="W1236" s="55" t="str">
        <f>IF($V1236="","",IF(COUNTIF($V$5:$V1236,$V1236)=1,1,""))</f>
        <v/>
      </c>
      <c r="X1236" s="58" t="str">
        <f>IF($W1236="","",MAX($X$4:X1235)+1)</f>
        <v/>
      </c>
      <c r="Y1236" s="62"/>
      <c r="Z1236" s="62"/>
      <c r="AA1236" s="64" t="str">
        <f>IF($C1236="","",IFERROR(INDEX('Staff Directory'!$E$5:$E$594,MATCH($C1236,'Staff Directory'!$B$5:$B$594,0)),""))</f>
        <v>firstname097.lastname097@example.com</v>
      </c>
      <c r="AB1236" s="64" t="str">
        <f>IF($C1236="","",IF(ISNUMBER(SEARCH($D1236,Settings!$C$15)),"Pickup","Dispatch"))</f>
        <v>Pickup</v>
      </c>
      <c r="AC1236" s="64" t="str">
        <f t="shared" si="221"/>
        <v>Supply order ready for pickup</v>
      </c>
      <c r="AD1236" s="64" t="str">
        <f t="shared" si="212"/>
        <v>Dear PSW,
Your order is ready for pickup from Sample Branch, Wed-Fri 9am-4pm.</v>
      </c>
      <c r="AE1236" s="64" t="str">
        <f t="shared" si="213"/>
        <v>mailto:firstname097.lastname097@example.com?subject=Supply%20order%20ready%20for%20pickup&amp;body=Dear%20PSW%2C%0A%0AYour%20order%20is%20ready%20for%20pickup%20from%20Sample%20Branch%2C%20Wed-Fri%209am-4pm.</v>
      </c>
      <c r="AF1236" s="89" t="str">
        <f t="shared" si="222"/>
        <v>Draft email</v>
      </c>
      <c r="AG1236" s="64" t="str">
        <f>IF($C1236="","",IFERROR(INDEX('Staff Directory'!$K$595:$K$599,MATCH($C1236,'Staff Directory'!$B$5:$B$599,0)),$D1236))</f>
        <v>PSW</v>
      </c>
      <c r="AH1236" t="str">
        <f>IF($C1236="","",IFERROR(INDEX('Staff Directory'!$I$595:$I$599,MATCH($C1236,'Staff Directory'!$B$5:$B$599,0))&amp;" "&amp;INDEX('Staff Directory'!$J$595:$J$599,MATCH($C1236,'Staff Directory'!$B$5:$B$599,0)),$AG1236))</f>
        <v>PSW</v>
      </c>
      <c r="AI1236" s="102"/>
      <c r="AJ1236" s="101">
        <f>IF($F1236="","",SUMIFS($J$5:$J1236,$F$5:$F1236,$F1236))</f>
        <v>34500</v>
      </c>
      <c r="AK1236" s="101">
        <f t="shared" si="214"/>
        <v>34001</v>
      </c>
      <c r="AL1236" s="66" t="str" cm="1">
        <f t="array" ref="AL1236">IF($F1236="","",IFERROR(INDEX('Lot Balance'!$B$5:$B$500,MATCH(1,INDEX(('Lot Balance'!$A$5:$A$500=$F1236)*('Lot Balance'!$K$5:$K$500&lt;$AK1236)*('Lot Balance'!$K$5:$K$500+'Lot Balance'!$D$5:$D$500&gt;=$AK1236),0),0)),""))</f>
        <v>ZIM511139904-2</v>
      </c>
      <c r="AM1236" s="66" t="str" cm="1">
        <f t="array" ref="AM1236">IF($F1236="","",IFERROR(INDEX('Lot Balance'!$B$5:$B$500,MATCH(1,INDEX(('Lot Balance'!$A$5:$A$500=$F1236)*('Lot Balance'!$K$5:$K$500&lt;$AJ1236)*('Lot Balance'!$K$5:$K$500+'Lot Balance'!$D$5:$D$500&gt;=$AJ1236),0),0)),""))</f>
        <v>ZIM511139904-2</v>
      </c>
      <c r="AN1236" s="66" t="str">
        <f>IF($F1236="","",IF($AI1236&lt;&gt;"",IF(COUNTIFS('Lot Balance'!$A$5:$A$500,$F1236,'Lot Balance'!$B$5:$B$500,$AI1236)=0,"⚠ override is not a lot of this item",IF($AI1236=$AL1236,"Override = FEFO","Override - FEFO says "&amp;$AL1236)),IF($AL1236="","⚠ no receipt on file for this item",IF($AM1236&lt;&gt;$AL1236,"FEFO auto - split, also "&amp;$AM1236,"FEFO auto"))))</f>
        <v>FEFO auto</v>
      </c>
      <c r="AO1236" s="114"/>
    </row>
    <row r="1237" spans="1:41" x14ac:dyDescent="0.35">
      <c r="A1237" s="74">
        <v>46189</v>
      </c>
      <c r="B1237" s="18" t="str">
        <f>IF($C1237="","",IFERROR(INDEX('Staff Directory'!$A$5:$A$594,MATCH($C1237,'Staff Directory'!$B$5:$B$594,0)),"⚠ unknown staff"))</f>
        <v>PSW-038-A6</v>
      </c>
      <c r="C1237" s="49" t="s">
        <v>1013</v>
      </c>
      <c r="D1237" s="19" t="str">
        <f>IF($B1237="","",IFERROR(INDEX('Staff Directory'!$C$5:$C$594,MATCH($B1237,'Staff Directory'!$A$5:$A$594,0)),""))</f>
        <v>PSW</v>
      </c>
      <c r="E1237" s="19" t="str">
        <f>IF($B1237="","",IFERROR(INDEX('Staff Directory'!$D$5:$D$594,MATCH($B1237,'Staff Directory'!$A$5:$A$594,0)),""))</f>
        <v>A6</v>
      </c>
      <c r="F1237" s="9" t="s">
        <v>191</v>
      </c>
      <c r="G1237" s="18" t="str">
        <f>IF($F1237="","",IFERROR(INDEX(Items!$B$5:$B$597,MATCH($F1237,Items!$A$5:$A$597,0)),"⚠ not in Items"))</f>
        <v>Sanitizer</v>
      </c>
      <c r="H1237" s="19" t="str">
        <f>IF($F1237="","",IFERROR(INDEX(Items!$C$5:$C$597,MATCH($F1237,Items!$A$5:$A$597,0)),""))</f>
        <v>236 ML</v>
      </c>
      <c r="I1237" s="23">
        <f>IF($F1237="","",IFERROR(INDEX(Items!$E$5:$E$597,MATCH($F1237,Items!$A$5:$A$597,0)),""))</f>
        <v>1</v>
      </c>
      <c r="J1237" s="115">
        <f>IF(tblIssues[[#This Row],[Qty Override]]&lt;&gt;"",tblIssues[[#This Row],[Qty Override]],IF(tblIssues[[#This Row],[Standard Issue]]="","",tblIssues[[#This Row],[Standard Issue]]))</f>
        <v>1</v>
      </c>
      <c r="K1237" s="20">
        <f>IF($F1237="","",IFERROR(INDEX(Items!$D$5:$D$597,MATCH($F1237,Items!$A$5:$A$597,0)),""))</f>
        <v>1E-4</v>
      </c>
      <c r="L1237" s="21">
        <f t="shared" si="217"/>
        <v>1E-4</v>
      </c>
      <c r="M1237" s="9" t="str">
        <f t="shared" si="215"/>
        <v>20-21734-4</v>
      </c>
      <c r="N1237" s="24">
        <f>IF($A1237="","",WORKDAY($A1237,Settings!$C$9,HolidayDates))</f>
        <v>46197</v>
      </c>
      <c r="O1237" s="24">
        <f>IF($N1237="","",WORKDAY($N1237,Settings!$C$10,HolidayDates))</f>
        <v>46237</v>
      </c>
      <c r="P1237" s="10" t="s">
        <v>501</v>
      </c>
      <c r="Q1237" s="52" t="str">
        <f t="shared" si="218"/>
        <v>Collected</v>
      </c>
      <c r="R1237" s="55" t="str">
        <f t="shared" si="219"/>
        <v>2026-06</v>
      </c>
      <c r="S1237" s="55">
        <f>IF(OR($B1237="",$F1237="",$R1237=""),"",SUMIFS(tblIssues[Qty Issued],tblIssues[Staff ID],$B1237,tblIssues[Item Name],$F1237,tblIssues[Month],$R1237))</f>
        <v>1</v>
      </c>
      <c r="T1237" s="56">
        <f>IF($I1237="","",$I1237*Settings!$C$11)</f>
        <v>1</v>
      </c>
      <c r="U1237" s="57" t="str">
        <f t="shared" si="216"/>
        <v>OK</v>
      </c>
      <c r="V1237" s="55" t="str">
        <f t="shared" si="220"/>
        <v/>
      </c>
      <c r="W1237" s="55" t="str">
        <f>IF($V1237="","",IF(COUNTIF($V$5:$V1237,$V1237)=1,1,""))</f>
        <v/>
      </c>
      <c r="X1237" s="58" t="str">
        <f>IF($W1237="","",MAX($X$4:X1236)+1)</f>
        <v/>
      </c>
      <c r="Y1237" s="62"/>
      <c r="Z1237" s="62"/>
      <c r="AA1237" s="64" t="str">
        <f>IF($C1237="","",IFERROR(INDEX('Staff Directory'!$E$5:$E$594,MATCH($C1237,'Staff Directory'!$B$5:$B$594,0)),""))</f>
        <v>firstname097.lastname097@example.com</v>
      </c>
      <c r="AB1237" s="64" t="str">
        <f>IF($C1237="","",IF(ISNUMBER(SEARCH($D1237,Settings!$C$15)),"Pickup","Dispatch"))</f>
        <v>Pickup</v>
      </c>
      <c r="AC1237" s="64" t="str">
        <f t="shared" si="221"/>
        <v>Supply order ready for pickup</v>
      </c>
      <c r="AD1237" s="64" t="str">
        <f t="shared" si="212"/>
        <v>Dear PSW,
Your order is ready for pickup from Sample Branch, Wed-Fri 9am-4pm.</v>
      </c>
      <c r="AE1237" s="64" t="str">
        <f t="shared" si="213"/>
        <v>mailto:firstname097.lastname097@example.com?subject=Supply%20order%20ready%20for%20pickup&amp;body=Dear%20PSW%2C%0A%0AYour%20order%20is%20ready%20for%20pickup%20from%20Sample%20Branch%2C%20Wed-Fri%209am-4pm.</v>
      </c>
      <c r="AF1237" s="89" t="str">
        <f t="shared" si="222"/>
        <v>Draft email</v>
      </c>
      <c r="AG1237" s="64" t="str">
        <f>IF($C1237="","",IFERROR(INDEX('Staff Directory'!$K$595:$K$599,MATCH($C1237,'Staff Directory'!$B$5:$B$599,0)),$D1237))</f>
        <v>PSW</v>
      </c>
      <c r="AH1237" t="str">
        <f>IF($C1237="","",IFERROR(INDEX('Staff Directory'!$I$595:$I$599,MATCH($C1237,'Staff Directory'!$B$5:$B$599,0))&amp;" "&amp;INDEX('Staff Directory'!$J$595:$J$599,MATCH($C1237,'Staff Directory'!$B$5:$B$599,0)),$AG1237))</f>
        <v>PSW</v>
      </c>
      <c r="AI1237" s="102"/>
      <c r="AJ1237" s="101">
        <f>IF($F1237="","",SUMIFS($J$5:$J1237,$F$5:$F1237,$F1237))</f>
        <v>156</v>
      </c>
      <c r="AK1237" s="101">
        <f t="shared" si="214"/>
        <v>156</v>
      </c>
      <c r="AL1237" s="66" t="str" cm="1">
        <f t="array" ref="AL1237">IF($F1237="","",IFERROR(INDEX('Lot Balance'!$B$5:$B$500,MATCH(1,INDEX(('Lot Balance'!$A$5:$A$500=$F1237)*('Lot Balance'!$K$5:$K$500&lt;$AK1237)*('Lot Balance'!$K$5:$K$500+'Lot Balance'!$D$5:$D$500&gt;=$AK1237),0),0)),""))</f>
        <v>20-21734-4</v>
      </c>
      <c r="AM1237" s="66" t="str" cm="1">
        <f t="array" ref="AM1237">IF($F1237="","",IFERROR(INDEX('Lot Balance'!$B$5:$B$500,MATCH(1,INDEX(('Lot Balance'!$A$5:$A$500=$F1237)*('Lot Balance'!$K$5:$K$500&lt;$AJ1237)*('Lot Balance'!$K$5:$K$500+'Lot Balance'!$D$5:$D$500&gt;=$AJ1237),0),0)),""))</f>
        <v>20-21734-4</v>
      </c>
      <c r="AN1237" s="66" t="str">
        <f>IF($F1237="","",IF($AI1237&lt;&gt;"",IF(COUNTIFS('Lot Balance'!$A$5:$A$500,$F1237,'Lot Balance'!$B$5:$B$500,$AI1237)=0,"⚠ override is not a lot of this item",IF($AI1237=$AL1237,"Override = FEFO","Override - FEFO says "&amp;$AL1237)),IF($AL1237="","⚠ no receipt on file for this item",IF($AM1237&lt;&gt;$AL1237,"FEFO auto - split, also "&amp;$AM1237,"FEFO auto"))))</f>
        <v>FEFO auto</v>
      </c>
      <c r="AO1237" s="114"/>
    </row>
    <row r="1238" spans="1:41" x14ac:dyDescent="0.35">
      <c r="A1238" s="74">
        <v>46189</v>
      </c>
      <c r="B1238" s="18" t="str">
        <f>IF($C1238="","",IFERROR(INDEX('Staff Directory'!$A$5:$A$594,MATCH($C1238,'Staff Directory'!$B$5:$B$594,0)),"⚠ unknown staff"))</f>
        <v>PSW-038-A6</v>
      </c>
      <c r="C1238" s="49" t="s">
        <v>1013</v>
      </c>
      <c r="D1238" s="19" t="str">
        <f>IF($B1238="","",IFERROR(INDEX('Staff Directory'!$C$5:$C$594,MATCH($B1238,'Staff Directory'!$A$5:$A$594,0)),""))</f>
        <v>PSW</v>
      </c>
      <c r="E1238" s="19" t="str">
        <f>IF($B1238="","",IFERROR(INDEX('Staff Directory'!$D$5:$D$594,MATCH($B1238,'Staff Directory'!$A$5:$A$594,0)),""))</f>
        <v>A6</v>
      </c>
      <c r="F1238" s="9" t="s">
        <v>156</v>
      </c>
      <c r="G1238" s="18" t="str">
        <f>IF($F1238="","",IFERROR(INDEX(Items!$B$5:$B$597,MATCH($F1238,Items!$A$5:$A$597,0)),"⚠ not in Items"))</f>
        <v>Masks</v>
      </c>
      <c r="H1238" s="19" t="str">
        <f>IF($F1238="","",IFERROR(INDEX(Items!$C$5:$C$597,MATCH($F1238,Items!$A$5:$A$597,0)),""))</f>
        <v>One Size</v>
      </c>
      <c r="I1238" s="23">
        <f>IF($F1238="","",IFERROR(INDEX(Items!$E$5:$E$597,MATCH($F1238,Items!$A$5:$A$597,0)),""))</f>
        <v>50</v>
      </c>
      <c r="J1238" s="115">
        <f>IF(tblIssues[[#This Row],[Qty Override]]&lt;&gt;"",tblIssues[[#This Row],[Qty Override]],IF(tblIssues[[#This Row],[Standard Issue]]="","",tblIssues[[#This Row],[Standard Issue]]))</f>
        <v>50</v>
      </c>
      <c r="K1238" s="20">
        <f>IF($F1238="","",IFERROR(INDEX(Items!$D$5:$D$597,MATCH($F1238,Items!$A$5:$A$597,0)),""))</f>
        <v>0.25</v>
      </c>
      <c r="L1238" s="21">
        <f t="shared" si="217"/>
        <v>12.5</v>
      </c>
      <c r="M1238" s="9" t="str">
        <f t="shared" si="215"/>
        <v>102GPC24</v>
      </c>
      <c r="N1238" s="24">
        <f>IF($A1238="","",WORKDAY($A1238,Settings!$C$9,HolidayDates))</f>
        <v>46197</v>
      </c>
      <c r="O1238" s="24">
        <f>IF($N1238="","",WORKDAY($N1238,Settings!$C$10,HolidayDates))</f>
        <v>46237</v>
      </c>
      <c r="P1238" s="10" t="s">
        <v>501</v>
      </c>
      <c r="Q1238" s="52" t="str">
        <f t="shared" si="218"/>
        <v>Collected</v>
      </c>
      <c r="R1238" s="55" t="str">
        <f t="shared" si="219"/>
        <v>2026-06</v>
      </c>
      <c r="S1238" s="55">
        <f>IF(OR($B1238="",$F1238="",$R1238=""),"",SUMIFS(tblIssues[Qty Issued],tblIssues[Staff ID],$B1238,tblIssues[Item Name],$F1238,tblIssues[Month],$R1238))</f>
        <v>50</v>
      </c>
      <c r="T1238" s="56">
        <f>IF($I1238="","",$I1238*Settings!$C$11)</f>
        <v>50</v>
      </c>
      <c r="U1238" s="57" t="str">
        <f t="shared" si="216"/>
        <v>OK</v>
      </c>
      <c r="V1238" s="55" t="str">
        <f t="shared" si="220"/>
        <v/>
      </c>
      <c r="W1238" s="55" t="str">
        <f>IF($V1238="","",IF(COUNTIF($V$5:$V1238,$V1238)=1,1,""))</f>
        <v/>
      </c>
      <c r="X1238" s="58" t="str">
        <f>IF($W1238="","",MAX($X$4:X1237)+1)</f>
        <v/>
      </c>
      <c r="Y1238" s="62"/>
      <c r="Z1238" s="62"/>
      <c r="AA1238" s="64" t="str">
        <f>IF($C1238="","",IFERROR(INDEX('Staff Directory'!$E$5:$E$594,MATCH($C1238,'Staff Directory'!$B$5:$B$594,0)),""))</f>
        <v>firstname097.lastname097@example.com</v>
      </c>
      <c r="AB1238" s="64" t="str">
        <f>IF($C1238="","",IF(ISNUMBER(SEARCH($D1238,Settings!$C$15)),"Pickup","Dispatch"))</f>
        <v>Pickup</v>
      </c>
      <c r="AC1238" s="64" t="str">
        <f t="shared" si="221"/>
        <v>Supply order ready for pickup</v>
      </c>
      <c r="AD1238" s="64" t="str">
        <f t="shared" si="212"/>
        <v>Dear PSW,
Your order is ready for pickup from Sample Branch, Wed-Fri 9am-4pm.</v>
      </c>
      <c r="AE1238" s="64" t="str">
        <f t="shared" si="213"/>
        <v>mailto:firstname097.lastname097@example.com?subject=Supply%20order%20ready%20for%20pickup&amp;body=Dear%20PSW%2C%0A%0AYour%20order%20is%20ready%20for%20pickup%20from%20Sample%20Branch%2C%20Wed-Fri%209am-4pm.</v>
      </c>
      <c r="AF1238" s="89" t="str">
        <f t="shared" si="222"/>
        <v>Draft email</v>
      </c>
      <c r="AG1238" s="64" t="str">
        <f>IF($C1238="","",IFERROR(INDEX('Staff Directory'!$K$595:$K$599,MATCH($C1238,'Staff Directory'!$B$5:$B$599,0)),$D1238))</f>
        <v>PSW</v>
      </c>
      <c r="AH1238" t="str">
        <f>IF($C1238="","",IFERROR(INDEX('Staff Directory'!$I$595:$I$599,MATCH($C1238,'Staff Directory'!$B$5:$B$599,0))&amp;" "&amp;INDEX('Staff Directory'!$J$595:$J$599,MATCH($C1238,'Staff Directory'!$B$5:$B$599,0)),$AG1238))</f>
        <v>PSW</v>
      </c>
      <c r="AI1238" s="102"/>
      <c r="AJ1238" s="101">
        <f>IF($F1238="","",SUMIFS($J$5:$J1238,$F$5:$F1238,$F1238))</f>
        <v>10500</v>
      </c>
      <c r="AK1238" s="101">
        <f t="shared" si="214"/>
        <v>10451</v>
      </c>
      <c r="AL1238" s="66" t="str" cm="1">
        <f t="array" ref="AL1238">IF($F1238="","",IFERROR(INDEX('Lot Balance'!$B$5:$B$500,MATCH(1,INDEX(('Lot Balance'!$A$5:$A$500=$F1238)*('Lot Balance'!$K$5:$K$500&lt;$AK1238)*('Lot Balance'!$K$5:$K$500+'Lot Balance'!$D$5:$D$500&gt;=$AK1238),0),0)),""))</f>
        <v>102GPC24</v>
      </c>
      <c r="AM1238" s="66" t="str" cm="1">
        <f t="array" ref="AM1238">IF($F1238="","",IFERROR(INDEX('Lot Balance'!$B$5:$B$500,MATCH(1,INDEX(('Lot Balance'!$A$5:$A$500=$F1238)*('Lot Balance'!$K$5:$K$500&lt;$AJ1238)*('Lot Balance'!$K$5:$K$500+'Lot Balance'!$D$5:$D$500&gt;=$AJ1238),0),0)),""))</f>
        <v>102GPC24</v>
      </c>
      <c r="AN1238" s="66" t="str">
        <f>IF($F1238="","",IF($AI1238&lt;&gt;"",IF(COUNTIFS('Lot Balance'!$A$5:$A$500,$F1238,'Lot Balance'!$B$5:$B$500,$AI1238)=0,"⚠ override is not a lot of this item",IF($AI1238=$AL1238,"Override = FEFO","Override - FEFO says "&amp;$AL1238)),IF($AL1238="","⚠ no receipt on file for this item",IF($AM1238&lt;&gt;$AL1238,"FEFO auto - split, also "&amp;$AM1238,"FEFO auto"))))</f>
        <v>FEFO auto</v>
      </c>
      <c r="AO1238" s="114"/>
    </row>
    <row r="1239" spans="1:41" x14ac:dyDescent="0.35">
      <c r="A1239" s="74">
        <v>46189</v>
      </c>
      <c r="B1239" s="18" t="str">
        <f>IF($C1239="","",IFERROR(INDEX('Staff Directory'!$A$5:$A$594,MATCH($C1239,'Staff Directory'!$B$5:$B$594,0)),"⚠ unknown staff"))</f>
        <v>RN-018-A2</v>
      </c>
      <c r="C1239" s="49" t="s">
        <v>937</v>
      </c>
      <c r="D1239" s="19" t="str">
        <f>IF($B1239="","",IFERROR(INDEX('Staff Directory'!$C$5:$C$594,MATCH($B1239,'Staff Directory'!$A$5:$A$594,0)),""))</f>
        <v>RN</v>
      </c>
      <c r="E1239" s="19" t="str">
        <f>IF($B1239="","",IFERROR(INDEX('Staff Directory'!$D$5:$D$594,MATCH($B1239,'Staff Directory'!$A$5:$A$594,0)),""))</f>
        <v>A2</v>
      </c>
      <c r="F1239" s="9" t="s">
        <v>127</v>
      </c>
      <c r="G1239" s="18" t="str">
        <f>IF($F1239="","",IFERROR(INDEX(Items!$B$5:$B$597,MATCH($F1239,Items!$A$5:$A$597,0)),"⚠ not in Items"))</f>
        <v>Gloves</v>
      </c>
      <c r="H1239" s="19" t="str">
        <f>IF($F1239="","",IFERROR(INDEX(Items!$C$5:$C$597,MATCH($F1239,Items!$A$5:$A$597,0)),""))</f>
        <v>Medium</v>
      </c>
      <c r="I1239" s="23">
        <f>IF($F1239="","",IFERROR(INDEX(Items!$E$5:$E$597,MATCH($F1239,Items!$A$5:$A$597,0)),""))</f>
        <v>500</v>
      </c>
      <c r="J1239" s="115">
        <f>IF(tblIssues[[#This Row],[Qty Override]]&lt;&gt;"",tblIssues[[#This Row],[Qty Override]],IF(tblIssues[[#This Row],[Standard Issue]]="","",tblIssues[[#This Row],[Standard Issue]]))</f>
        <v>500</v>
      </c>
      <c r="K1239" s="20">
        <f>IF($F1239="","",IFERROR(INDEX(Items!$D$5:$D$597,MATCH($F1239,Items!$A$5:$A$597,0)),""))</f>
        <v>5.5E-2</v>
      </c>
      <c r="L1239" s="21">
        <f t="shared" si="217"/>
        <v>27.5</v>
      </c>
      <c r="M1239" s="9" t="str">
        <f t="shared" si="215"/>
        <v>O310LIC25</v>
      </c>
      <c r="N1239" s="24">
        <f>IF($A1239="","",WORKDAY($A1239,Settings!$C$9,HolidayDates))</f>
        <v>46197</v>
      </c>
      <c r="O1239" s="24">
        <f>IF($N1239="","",WORKDAY($N1239,Settings!$C$10,HolidayDates))</f>
        <v>46237</v>
      </c>
      <c r="P1239" s="10" t="s">
        <v>502</v>
      </c>
      <c r="Q1239" s="52" t="str">
        <f t="shared" si="218"/>
        <v>Collected</v>
      </c>
      <c r="R1239" s="55" t="str">
        <f t="shared" si="219"/>
        <v>2026-06</v>
      </c>
      <c r="S1239" s="55">
        <f>IF(OR($B1239="",$F1239="",$R1239=""),"",SUMIFS(tblIssues[Qty Issued],tblIssues[Staff ID],$B1239,tblIssues[Item Name],$F1239,tblIssues[Month],$R1239))</f>
        <v>1000</v>
      </c>
      <c r="T1239" s="56">
        <f>IF($I1239="","",$I1239*Settings!$C$11)</f>
        <v>500</v>
      </c>
      <c r="U1239" s="57" t="str">
        <f t="shared" si="216"/>
        <v>⚠ OVER QUOTA</v>
      </c>
      <c r="V1239" s="55" t="str">
        <f t="shared" si="220"/>
        <v>RN-018-A2 | Gloves - Medium | 2026-06</v>
      </c>
      <c r="W1239" s="55">
        <f>IF($V1239="","",IF(COUNTIF($V$5:$V1239,$V1239)=1,1,""))</f>
        <v>1</v>
      </c>
      <c r="X1239" s="58">
        <f>IF($W1239="","",MAX($X$4:X1238)+1)</f>
        <v>35</v>
      </c>
      <c r="Y1239" s="62"/>
      <c r="Z1239" s="62"/>
      <c r="AA1239" s="64" t="str">
        <f>IF($C1239="","",IFERROR(INDEX('Staff Directory'!$E$5:$E$594,MATCH($C1239,'Staff Directory'!$B$5:$B$594,0)),""))</f>
        <v>firstname021.lastname021@example.com</v>
      </c>
      <c r="AB1239" s="64" t="str">
        <f>IF($C1239="","",IF(ISNUMBER(SEARCH($D1239,Settings!$C$15)),"Pickup","Dispatch"))</f>
        <v>Dispatch</v>
      </c>
      <c r="AC1239" s="64" t="str">
        <f t="shared" si="221"/>
        <v>Supply order dispatched</v>
      </c>
      <c r="AD1239" s="64" t="str">
        <f t="shared" si="212"/>
        <v>Dear RN,
Your order has been dispatched and is in transit. Reply if undelivered.</v>
      </c>
      <c r="AE1239" s="64" t="str">
        <f t="shared" si="213"/>
        <v>mailto:firstname021.lastname021@example.com?subject=Supply%20order%20dispatched&amp;body=Dear%20RN%2C%0A%0AYour%20order%20has%20been%20dispatched%20and%20is%20in%20transit.%20Reply%20if%20undelivered.</v>
      </c>
      <c r="AF1239" s="89" t="str">
        <f t="shared" si="222"/>
        <v>Draft email</v>
      </c>
      <c r="AG1239" s="64" t="str">
        <f>IF($C1239="","",IFERROR(INDEX('Staff Directory'!$K$595:$K$599,MATCH($C1239,'Staff Directory'!$B$5:$B$599,0)),$D1239))</f>
        <v>RN</v>
      </c>
      <c r="AH1239" t="str">
        <f>IF($C1239="","",IFERROR(INDEX('Staff Directory'!$I$595:$I$599,MATCH($C1239,'Staff Directory'!$B$5:$B$599,0))&amp;" "&amp;INDEX('Staff Directory'!$J$595:$J$599,MATCH($C1239,'Staff Directory'!$B$5:$B$599,0)),$AG1239))</f>
        <v>RN</v>
      </c>
      <c r="AI1239" s="102"/>
      <c r="AJ1239" s="101">
        <f>IF($F1239="","",SUMIFS($J$5:$J1239,$F$5:$F1239,$F1239))</f>
        <v>75500</v>
      </c>
      <c r="AK1239" s="101">
        <f t="shared" si="214"/>
        <v>75001</v>
      </c>
      <c r="AL1239" s="66" t="str" cm="1">
        <f t="array" ref="AL1239">IF($F1239="","",IFERROR(INDEX('Lot Balance'!$B$5:$B$500,MATCH(1,INDEX(('Lot Balance'!$A$5:$A$500=$F1239)*('Lot Balance'!$K$5:$K$500&lt;$AK1239)*('Lot Balance'!$K$5:$K$500+'Lot Balance'!$D$5:$D$500&gt;=$AK1239),0),0)),""))</f>
        <v>O310LIC25</v>
      </c>
      <c r="AM1239" s="66" t="str" cm="1">
        <f t="array" ref="AM1239">IF($F1239="","",IFERROR(INDEX('Lot Balance'!$B$5:$B$500,MATCH(1,INDEX(('Lot Balance'!$A$5:$A$500=$F1239)*('Lot Balance'!$K$5:$K$500&lt;$AJ1239)*('Lot Balance'!$K$5:$K$500+'Lot Balance'!$D$5:$D$500&gt;=$AJ1239),0),0)),""))</f>
        <v>O310LIC25</v>
      </c>
      <c r="AN1239" s="66" t="str">
        <f>IF($F1239="","",IF($AI1239&lt;&gt;"",IF(COUNTIFS('Lot Balance'!$A$5:$A$500,$F1239,'Lot Balance'!$B$5:$B$500,$AI1239)=0,"⚠ override is not a lot of this item",IF($AI1239=$AL1239,"Override = FEFO","Override - FEFO says "&amp;$AL1239)),IF($AL1239="","⚠ no receipt on file for this item",IF($AM1239&lt;&gt;$AL1239,"FEFO auto - split, also "&amp;$AM1239,"FEFO auto"))))</f>
        <v>FEFO auto</v>
      </c>
      <c r="AO1239" s="114"/>
    </row>
    <row r="1240" spans="1:41" x14ac:dyDescent="0.35">
      <c r="A1240" s="74">
        <v>46189</v>
      </c>
      <c r="B1240" s="18" t="str">
        <f>IF($C1240="","",IFERROR(INDEX('Staff Directory'!$A$5:$A$594,MATCH($C1240,'Staff Directory'!$B$5:$B$594,0)),"⚠ unknown staff"))</f>
        <v>RN-018-A2</v>
      </c>
      <c r="C1240" s="49" t="s">
        <v>937</v>
      </c>
      <c r="D1240" s="19" t="str">
        <f>IF($B1240="","",IFERROR(INDEX('Staff Directory'!$C$5:$C$594,MATCH($B1240,'Staff Directory'!$A$5:$A$594,0)),""))</f>
        <v>RN</v>
      </c>
      <c r="E1240" s="19" t="str">
        <f>IF($B1240="","",IFERROR(INDEX('Staff Directory'!$D$5:$D$594,MATCH($B1240,'Staff Directory'!$A$5:$A$594,0)),""))</f>
        <v>A2</v>
      </c>
      <c r="F1240" s="9" t="s">
        <v>127</v>
      </c>
      <c r="G1240" s="18" t="str">
        <f>IF($F1240="","",IFERROR(INDEX(Items!$B$5:$B$597,MATCH($F1240,Items!$A$5:$A$597,0)),"⚠ not in Items"))</f>
        <v>Gloves</v>
      </c>
      <c r="H1240" s="19" t="str">
        <f>IF($F1240="","",IFERROR(INDEX(Items!$C$5:$C$597,MATCH($F1240,Items!$A$5:$A$597,0)),""))</f>
        <v>Medium</v>
      </c>
      <c r="I1240" s="23">
        <f>IF($F1240="","",IFERROR(INDEX(Items!$E$5:$E$597,MATCH($F1240,Items!$A$5:$A$597,0)),""))</f>
        <v>500</v>
      </c>
      <c r="J1240" s="115">
        <f>IF(tblIssues[[#This Row],[Qty Override]]&lt;&gt;"",tblIssues[[#This Row],[Qty Override]],IF(tblIssues[[#This Row],[Standard Issue]]="","",tblIssues[[#This Row],[Standard Issue]]))</f>
        <v>500</v>
      </c>
      <c r="K1240" s="20">
        <f>IF($F1240="","",IFERROR(INDEX(Items!$D$5:$D$597,MATCH($F1240,Items!$A$5:$A$597,0)),""))</f>
        <v>5.5E-2</v>
      </c>
      <c r="L1240" s="21">
        <f t="shared" si="217"/>
        <v>27.5</v>
      </c>
      <c r="M1240" s="9" t="str">
        <f t="shared" si="215"/>
        <v>O310LIC25</v>
      </c>
      <c r="N1240" s="24">
        <f>IF($A1240="","",WORKDAY($A1240,Settings!$C$9,HolidayDates))</f>
        <v>46197</v>
      </c>
      <c r="O1240" s="24">
        <f>IF($N1240="","",WORKDAY($N1240,Settings!$C$10,HolidayDates))</f>
        <v>46237</v>
      </c>
      <c r="P1240" s="10" t="s">
        <v>502</v>
      </c>
      <c r="Q1240" s="52" t="str">
        <f t="shared" si="218"/>
        <v>Collected</v>
      </c>
      <c r="R1240" s="55" t="str">
        <f t="shared" si="219"/>
        <v>2026-06</v>
      </c>
      <c r="S1240" s="55">
        <f>IF(OR($B1240="",$F1240="",$R1240=""),"",SUMIFS(tblIssues[Qty Issued],tblIssues[Staff ID],$B1240,tblIssues[Item Name],$F1240,tblIssues[Month],$R1240))</f>
        <v>1000</v>
      </c>
      <c r="T1240" s="56">
        <f>IF($I1240="","",$I1240*Settings!$C$11)</f>
        <v>500</v>
      </c>
      <c r="U1240" s="57" t="str">
        <f t="shared" si="216"/>
        <v>⚠ OVER QUOTA</v>
      </c>
      <c r="V1240" s="55" t="str">
        <f t="shared" si="220"/>
        <v>RN-018-A2 | Gloves - Medium | 2026-06</v>
      </c>
      <c r="W1240" s="55" t="str">
        <f>IF($V1240="","",IF(COUNTIF($V$5:$V1240,$V1240)=1,1,""))</f>
        <v/>
      </c>
      <c r="X1240" s="58" t="str">
        <f>IF($W1240="","",MAX($X$4:X1239)+1)</f>
        <v/>
      </c>
      <c r="Y1240" s="62"/>
      <c r="Z1240" s="62"/>
      <c r="AA1240" s="64" t="str">
        <f>IF($C1240="","",IFERROR(INDEX('Staff Directory'!$E$5:$E$594,MATCH($C1240,'Staff Directory'!$B$5:$B$594,0)),""))</f>
        <v>firstname021.lastname021@example.com</v>
      </c>
      <c r="AB1240" s="64" t="str">
        <f>IF($C1240="","",IF(ISNUMBER(SEARCH($D1240,Settings!$C$15)),"Pickup","Dispatch"))</f>
        <v>Dispatch</v>
      </c>
      <c r="AC1240" s="64" t="str">
        <f t="shared" si="221"/>
        <v>Supply order dispatched</v>
      </c>
      <c r="AD1240" s="64" t="str">
        <f t="shared" si="212"/>
        <v>Dear RN,
Your order has been dispatched and is in transit. Reply if undelivered.</v>
      </c>
      <c r="AE1240" s="64" t="str">
        <f t="shared" si="213"/>
        <v>mailto:firstname021.lastname021@example.com?subject=Supply%20order%20dispatched&amp;body=Dear%20RN%2C%0A%0AYour%20order%20has%20been%20dispatched%20and%20is%20in%20transit.%20Reply%20if%20undelivered.</v>
      </c>
      <c r="AF1240" s="89" t="str">
        <f t="shared" si="222"/>
        <v>Draft email</v>
      </c>
      <c r="AG1240" s="64" t="str">
        <f>IF($C1240="","",IFERROR(INDEX('Staff Directory'!$K$595:$K$599,MATCH($C1240,'Staff Directory'!$B$5:$B$599,0)),$D1240))</f>
        <v>RN</v>
      </c>
      <c r="AH1240" t="str">
        <f>IF($C1240="","",IFERROR(INDEX('Staff Directory'!$I$595:$I$599,MATCH($C1240,'Staff Directory'!$B$5:$B$599,0))&amp;" "&amp;INDEX('Staff Directory'!$J$595:$J$599,MATCH($C1240,'Staff Directory'!$B$5:$B$599,0)),$AG1240))</f>
        <v>RN</v>
      </c>
      <c r="AI1240" s="102"/>
      <c r="AJ1240" s="101">
        <f>IF($F1240="","",SUMIFS($J$5:$J1240,$F$5:$F1240,$F1240))</f>
        <v>76000</v>
      </c>
      <c r="AK1240" s="101">
        <f t="shared" si="214"/>
        <v>75501</v>
      </c>
      <c r="AL1240" s="66" t="str" cm="1">
        <f t="array" ref="AL1240">IF($F1240="","",IFERROR(INDEX('Lot Balance'!$B$5:$B$500,MATCH(1,INDEX(('Lot Balance'!$A$5:$A$500=$F1240)*('Lot Balance'!$K$5:$K$500&lt;$AK1240)*('Lot Balance'!$K$5:$K$500+'Lot Balance'!$D$5:$D$500&gt;=$AK1240),0),0)),""))</f>
        <v>O310LIC25</v>
      </c>
      <c r="AM1240" s="66" t="str" cm="1">
        <f t="array" ref="AM1240">IF($F1240="","",IFERROR(INDEX('Lot Balance'!$B$5:$B$500,MATCH(1,INDEX(('Lot Balance'!$A$5:$A$500=$F1240)*('Lot Balance'!$K$5:$K$500&lt;$AJ1240)*('Lot Balance'!$K$5:$K$500+'Lot Balance'!$D$5:$D$500&gt;=$AJ1240),0),0)),""))</f>
        <v>O310LIC25</v>
      </c>
      <c r="AN1240" s="66" t="str">
        <f>IF($F1240="","",IF($AI1240&lt;&gt;"",IF(COUNTIFS('Lot Balance'!$A$5:$A$500,$F1240,'Lot Balance'!$B$5:$B$500,$AI1240)=0,"⚠ override is not a lot of this item",IF($AI1240=$AL1240,"Override = FEFO","Override - FEFO says "&amp;$AL1240)),IF($AL1240="","⚠ no receipt on file for this item",IF($AM1240&lt;&gt;$AL1240,"FEFO auto - split, also "&amp;$AM1240,"FEFO auto"))))</f>
        <v>FEFO auto</v>
      </c>
      <c r="AO1240" s="114"/>
    </row>
    <row r="1241" spans="1:41" x14ac:dyDescent="0.35">
      <c r="A1241" s="74">
        <v>46189</v>
      </c>
      <c r="B1241" s="18" t="str">
        <f>IF($C1241="","",IFERROR(INDEX('Staff Directory'!$A$5:$A$594,MATCH($C1241,'Staff Directory'!$B$5:$B$594,0)),"⚠ unknown staff"))</f>
        <v>RN-018-A2</v>
      </c>
      <c r="C1241" s="49" t="s">
        <v>937</v>
      </c>
      <c r="D1241" s="19" t="str">
        <f>IF($B1241="","",IFERROR(INDEX('Staff Directory'!$C$5:$C$594,MATCH($B1241,'Staff Directory'!$A$5:$A$594,0)),""))</f>
        <v>RN</v>
      </c>
      <c r="E1241" s="19" t="str">
        <f>IF($B1241="","",IFERROR(INDEX('Staff Directory'!$D$5:$D$594,MATCH($B1241,'Staff Directory'!$A$5:$A$594,0)),""))</f>
        <v>A2</v>
      </c>
      <c r="F1241" s="9" t="s">
        <v>191</v>
      </c>
      <c r="G1241" s="18" t="str">
        <f>IF($F1241="","",IFERROR(INDEX(Items!$B$5:$B$597,MATCH($F1241,Items!$A$5:$A$597,0)),"⚠ not in Items"))</f>
        <v>Sanitizer</v>
      </c>
      <c r="H1241" s="19" t="str">
        <f>IF($F1241="","",IFERROR(INDEX(Items!$C$5:$C$597,MATCH($F1241,Items!$A$5:$A$597,0)),""))</f>
        <v>236 ML</v>
      </c>
      <c r="I1241" s="23">
        <f>IF($F1241="","",IFERROR(INDEX(Items!$E$5:$E$597,MATCH($F1241,Items!$A$5:$A$597,0)),""))</f>
        <v>1</v>
      </c>
      <c r="J1241" s="115">
        <f>IF(tblIssues[[#This Row],[Qty Override]]&lt;&gt;"",tblIssues[[#This Row],[Qty Override]],IF(tblIssues[[#This Row],[Standard Issue]]="","",tblIssues[[#This Row],[Standard Issue]]))</f>
        <v>1</v>
      </c>
      <c r="K1241" s="20">
        <f>IF($F1241="","",IFERROR(INDEX(Items!$D$5:$D$597,MATCH($F1241,Items!$A$5:$A$597,0)),""))</f>
        <v>1E-4</v>
      </c>
      <c r="L1241" s="21">
        <f t="shared" si="217"/>
        <v>1E-4</v>
      </c>
      <c r="M1241" s="9" t="str">
        <f t="shared" si="215"/>
        <v/>
      </c>
      <c r="N1241" s="24">
        <f>IF($A1241="","",WORKDAY($A1241,Settings!$C$9,HolidayDates))</f>
        <v>46197</v>
      </c>
      <c r="O1241" s="24">
        <f>IF($N1241="","",WORKDAY($N1241,Settings!$C$10,HolidayDates))</f>
        <v>46237</v>
      </c>
      <c r="P1241" s="10" t="s">
        <v>502</v>
      </c>
      <c r="Q1241" s="52" t="str">
        <f t="shared" si="218"/>
        <v>Collected</v>
      </c>
      <c r="R1241" s="55" t="str">
        <f t="shared" si="219"/>
        <v>2026-06</v>
      </c>
      <c r="S1241" s="55">
        <f>IF(OR($B1241="",$F1241="",$R1241=""),"",SUMIFS(tblIssues[Qty Issued],tblIssues[Staff ID],$B1241,tblIssues[Item Name],$F1241,tblIssues[Month],$R1241))</f>
        <v>1</v>
      </c>
      <c r="T1241" s="56">
        <f>IF($I1241="","",$I1241*Settings!$C$11)</f>
        <v>1</v>
      </c>
      <c r="U1241" s="57" t="str">
        <f t="shared" si="216"/>
        <v>OK</v>
      </c>
      <c r="V1241" s="55" t="str">
        <f t="shared" si="220"/>
        <v/>
      </c>
      <c r="W1241" s="55" t="str">
        <f>IF($V1241="","",IF(COUNTIF($V$5:$V1241,$V1241)=1,1,""))</f>
        <v/>
      </c>
      <c r="X1241" s="58" t="str">
        <f>IF($W1241="","",MAX($X$4:X1240)+1)</f>
        <v/>
      </c>
      <c r="Y1241" s="62"/>
      <c r="Z1241" s="62"/>
      <c r="AA1241" s="64" t="str">
        <f>IF($C1241="","",IFERROR(INDEX('Staff Directory'!$E$5:$E$594,MATCH($C1241,'Staff Directory'!$B$5:$B$594,0)),""))</f>
        <v>firstname021.lastname021@example.com</v>
      </c>
      <c r="AB1241" s="64" t="str">
        <f>IF($C1241="","",IF(ISNUMBER(SEARCH($D1241,Settings!$C$15)),"Pickup","Dispatch"))</f>
        <v>Dispatch</v>
      </c>
      <c r="AC1241" s="64" t="str">
        <f t="shared" si="221"/>
        <v>Supply order dispatched</v>
      </c>
      <c r="AD1241" s="64" t="str">
        <f t="shared" si="212"/>
        <v>Dear RN,
Your order has been dispatched and is in transit. Reply if undelivered.</v>
      </c>
      <c r="AE1241" s="64" t="str">
        <f t="shared" si="213"/>
        <v>mailto:firstname021.lastname021@example.com?subject=Supply%20order%20dispatched&amp;body=Dear%20RN%2C%0A%0AYour%20order%20has%20been%20dispatched%20and%20is%20in%20transit.%20Reply%20if%20undelivered.</v>
      </c>
      <c r="AF1241" s="89" t="str">
        <f t="shared" si="222"/>
        <v>Draft email</v>
      </c>
      <c r="AG1241" s="64" t="str">
        <f>IF($C1241="","",IFERROR(INDEX('Staff Directory'!$K$595:$K$599,MATCH($C1241,'Staff Directory'!$B$5:$B$599,0)),$D1241))</f>
        <v>RN</v>
      </c>
      <c r="AH1241" t="str">
        <f>IF($C1241="","",IFERROR(INDEX('Staff Directory'!$I$595:$I$599,MATCH($C1241,'Staff Directory'!$B$5:$B$599,0))&amp;" "&amp;INDEX('Staff Directory'!$J$595:$J$599,MATCH($C1241,'Staff Directory'!$B$5:$B$599,0)),$AG1241))</f>
        <v>RN</v>
      </c>
      <c r="AI1241" s="102"/>
      <c r="AJ1241" s="101">
        <f>IF($F1241="","",SUMIFS($J$5:$J1241,$F$5:$F1241,$F1241))</f>
        <v>157</v>
      </c>
      <c r="AK1241" s="101">
        <f t="shared" si="214"/>
        <v>157</v>
      </c>
      <c r="AL1241" s="66" t="str" cm="1">
        <f t="array" ref="AL1241">IF($F1241="","",IFERROR(INDEX('Lot Balance'!$B$5:$B$500,MATCH(1,INDEX(('Lot Balance'!$A$5:$A$500=$F1241)*('Lot Balance'!$K$5:$K$500&lt;$AK1241)*('Lot Balance'!$K$5:$K$500+'Lot Balance'!$D$5:$D$500&gt;=$AK1241),0),0)),""))</f>
        <v/>
      </c>
      <c r="AM1241" s="66" t="str" cm="1">
        <f t="array" ref="AM1241">IF($F1241="","",IFERROR(INDEX('Lot Balance'!$B$5:$B$500,MATCH(1,INDEX(('Lot Balance'!$A$5:$A$500=$F1241)*('Lot Balance'!$K$5:$K$500&lt;$AJ1241)*('Lot Balance'!$K$5:$K$500+'Lot Balance'!$D$5:$D$500&gt;=$AJ1241),0),0)),""))</f>
        <v/>
      </c>
      <c r="AN1241" s="66" t="str">
        <f>IF($F1241="","",IF($AI1241&lt;&gt;"",IF(COUNTIFS('Lot Balance'!$A$5:$A$500,$F1241,'Lot Balance'!$B$5:$B$500,$AI1241)=0,"⚠ override is not a lot of this item",IF($AI1241=$AL1241,"Override = FEFO","Override - FEFO says "&amp;$AL1241)),IF($AL1241="","⚠ no receipt on file for this item",IF($AM1241&lt;&gt;$AL1241,"FEFO auto - split, also "&amp;$AM1241,"FEFO auto"))))</f>
        <v>⚠ no receipt on file for this item</v>
      </c>
      <c r="AO1241" s="114"/>
    </row>
    <row r="1242" spans="1:41" x14ac:dyDescent="0.35">
      <c r="A1242" s="74">
        <v>46189</v>
      </c>
      <c r="B1242" s="18" t="str">
        <f>IF($C1242="","",IFERROR(INDEX('Staff Directory'!$A$5:$A$594,MATCH($C1242,'Staff Directory'!$B$5:$B$594,0)),"⚠ unknown staff"))</f>
        <v>RN-018-A2</v>
      </c>
      <c r="C1242" s="49" t="s">
        <v>937</v>
      </c>
      <c r="D1242" s="19" t="str">
        <f>IF($B1242="","",IFERROR(INDEX('Staff Directory'!$C$5:$C$594,MATCH($B1242,'Staff Directory'!$A$5:$A$594,0)),""))</f>
        <v>RN</v>
      </c>
      <c r="E1242" s="19" t="str">
        <f>IF($B1242="","",IFERROR(INDEX('Staff Directory'!$D$5:$D$594,MATCH($B1242,'Staff Directory'!$A$5:$A$594,0)),""))</f>
        <v>A2</v>
      </c>
      <c r="F1242" s="9" t="s">
        <v>115</v>
      </c>
      <c r="G1242" s="18" t="str">
        <f>IF($F1242="","",IFERROR(INDEX(Items!$B$5:$B$597,MATCH($F1242,Items!$A$5:$A$597,0)),"⚠ not in Items"))</f>
        <v>Wipes</v>
      </c>
      <c r="H1242" s="19">
        <f>IF($F1242="","",IFERROR(INDEX(Items!$C$5:$C$597,MATCH($F1242,Items!$A$5:$A$597,0)),""))</f>
        <v>80</v>
      </c>
      <c r="I1242" s="23">
        <f>IF($F1242="","",IFERROR(INDEX(Items!$E$5:$E$597,MATCH($F1242,Items!$A$5:$A$597,0)),""))</f>
        <v>80</v>
      </c>
      <c r="J1242" s="115">
        <f>IF(tblIssues[[#This Row],[Qty Override]]&lt;&gt;"",tblIssues[[#This Row],[Qty Override]],IF(tblIssues[[#This Row],[Standard Issue]]="","",tblIssues[[#This Row],[Standard Issue]]))</f>
        <v>80</v>
      </c>
      <c r="K1242" s="20">
        <f>IF($F1242="","",IFERROR(INDEX(Items!$D$5:$D$597,MATCH($F1242,Items!$A$5:$A$597,0)),""))</f>
        <v>0.1</v>
      </c>
      <c r="L1242" s="21">
        <f t="shared" si="217"/>
        <v>8</v>
      </c>
      <c r="M1242" s="9" t="str">
        <f t="shared" si="215"/>
        <v>LYSL500290</v>
      </c>
      <c r="N1242" s="24">
        <f>IF($A1242="","",WORKDAY($A1242,Settings!$C$9,HolidayDates))</f>
        <v>46197</v>
      </c>
      <c r="O1242" s="24">
        <f>IF($N1242="","",WORKDAY($N1242,Settings!$C$10,HolidayDates))</f>
        <v>46237</v>
      </c>
      <c r="P1242" s="10" t="s">
        <v>502</v>
      </c>
      <c r="Q1242" s="52" t="str">
        <f t="shared" si="218"/>
        <v>Collected</v>
      </c>
      <c r="R1242" s="55" t="str">
        <f t="shared" si="219"/>
        <v>2026-06</v>
      </c>
      <c r="S1242" s="55">
        <f>IF(OR($B1242="",$F1242="",$R1242=""),"",SUMIFS(tblIssues[Qty Issued],tblIssues[Staff ID],$B1242,tblIssues[Item Name],$F1242,tblIssues[Month],$R1242))</f>
        <v>80</v>
      </c>
      <c r="T1242" s="56">
        <f>IF($I1242="","",$I1242*Settings!$C$11)</f>
        <v>80</v>
      </c>
      <c r="U1242" s="57" t="str">
        <f t="shared" si="216"/>
        <v>OK</v>
      </c>
      <c r="V1242" s="55" t="str">
        <f t="shared" si="220"/>
        <v/>
      </c>
      <c r="W1242" s="55" t="str">
        <f>IF($V1242="","",IF(COUNTIF($V$5:$V1242,$V1242)=1,1,""))</f>
        <v/>
      </c>
      <c r="X1242" s="58" t="str">
        <f>IF($W1242="","",MAX($X$4:X1241)+1)</f>
        <v/>
      </c>
      <c r="Y1242" s="62"/>
      <c r="Z1242" s="62"/>
      <c r="AA1242" s="64" t="str">
        <f>IF($C1242="","",IFERROR(INDEX('Staff Directory'!$E$5:$E$594,MATCH($C1242,'Staff Directory'!$B$5:$B$594,0)),""))</f>
        <v>firstname021.lastname021@example.com</v>
      </c>
      <c r="AB1242" s="64" t="str">
        <f>IF($C1242="","",IF(ISNUMBER(SEARCH($D1242,Settings!$C$15)),"Pickup","Dispatch"))</f>
        <v>Dispatch</v>
      </c>
      <c r="AC1242" s="64" t="str">
        <f t="shared" si="221"/>
        <v>Supply order dispatched</v>
      </c>
      <c r="AD1242" s="64" t="str">
        <f t="shared" si="212"/>
        <v>Dear RN,
Your order has been dispatched and is in transit. Reply if undelivered.</v>
      </c>
      <c r="AE1242" s="64" t="str">
        <f t="shared" si="213"/>
        <v>mailto:firstname021.lastname021@example.com?subject=Supply%20order%20dispatched&amp;body=Dear%20RN%2C%0A%0AYour%20order%20has%20been%20dispatched%20and%20is%20in%20transit.%20Reply%20if%20undelivered.</v>
      </c>
      <c r="AF1242" s="89" t="str">
        <f t="shared" si="222"/>
        <v>Draft email</v>
      </c>
      <c r="AG1242" s="64" t="str">
        <f>IF($C1242="","",IFERROR(INDEX('Staff Directory'!$K$595:$K$599,MATCH($C1242,'Staff Directory'!$B$5:$B$599,0)),$D1242))</f>
        <v>RN</v>
      </c>
      <c r="AH1242" t="str">
        <f>IF($C1242="","",IFERROR(INDEX('Staff Directory'!$I$595:$I$599,MATCH($C1242,'Staff Directory'!$B$5:$B$599,0))&amp;" "&amp;INDEX('Staff Directory'!$J$595:$J$599,MATCH($C1242,'Staff Directory'!$B$5:$B$599,0)),$AG1242))</f>
        <v>RN</v>
      </c>
      <c r="AI1242" s="102"/>
      <c r="AJ1242" s="101">
        <f>IF($F1242="","",SUMIFS($J$5:$J1242,$F$5:$F1242,$F1242))</f>
        <v>17200</v>
      </c>
      <c r="AK1242" s="101">
        <f t="shared" si="214"/>
        <v>17121</v>
      </c>
      <c r="AL1242" s="66" t="str" cm="1">
        <f t="array" ref="AL1242">IF($F1242="","",IFERROR(INDEX('Lot Balance'!$B$5:$B$500,MATCH(1,INDEX(('Lot Balance'!$A$5:$A$500=$F1242)*('Lot Balance'!$K$5:$K$500&lt;$AK1242)*('Lot Balance'!$K$5:$K$500+'Lot Balance'!$D$5:$D$500&gt;=$AK1242),0),0)),""))</f>
        <v>LYSL500290</v>
      </c>
      <c r="AM1242" s="66" t="str" cm="1">
        <f t="array" ref="AM1242">IF($F1242="","",IFERROR(INDEX('Lot Balance'!$B$5:$B$500,MATCH(1,INDEX(('Lot Balance'!$A$5:$A$500=$F1242)*('Lot Balance'!$K$5:$K$500&lt;$AJ1242)*('Lot Balance'!$K$5:$K$500+'Lot Balance'!$D$5:$D$500&gt;=$AJ1242),0),0)),""))</f>
        <v>LYSL500290</v>
      </c>
      <c r="AN1242" s="66" t="str">
        <f>IF($F1242="","",IF($AI1242&lt;&gt;"",IF(COUNTIFS('Lot Balance'!$A$5:$A$500,$F1242,'Lot Balance'!$B$5:$B$500,$AI1242)=0,"⚠ override is not a lot of this item",IF($AI1242=$AL1242,"Override = FEFO","Override - FEFO says "&amp;$AL1242)),IF($AL1242="","⚠ no receipt on file for this item",IF($AM1242&lt;&gt;$AL1242,"FEFO auto - split, also "&amp;$AM1242,"FEFO auto"))))</f>
        <v>FEFO auto</v>
      </c>
      <c r="AO1242" s="114"/>
    </row>
    <row r="1243" spans="1:41" x14ac:dyDescent="0.35">
      <c r="A1243" s="74">
        <v>46189</v>
      </c>
      <c r="B1243" s="18" t="str">
        <f>IF($C1243="","",IFERROR(INDEX('Staff Directory'!$A$5:$A$594,MATCH($C1243,'Staff Directory'!$B$5:$B$594,0)),"⚠ unknown staff"))</f>
        <v>RN-018-A2</v>
      </c>
      <c r="C1243" s="49" t="s">
        <v>937</v>
      </c>
      <c r="D1243" s="19" t="str">
        <f>IF($B1243="","",IFERROR(INDEX('Staff Directory'!$C$5:$C$594,MATCH($B1243,'Staff Directory'!$A$5:$A$594,0)),""))</f>
        <v>RN</v>
      </c>
      <c r="E1243" s="19" t="str">
        <f>IF($B1243="","",IFERROR(INDEX('Staff Directory'!$D$5:$D$594,MATCH($B1243,'Staff Directory'!$A$5:$A$594,0)),""))</f>
        <v>A2</v>
      </c>
      <c r="F1243" s="9" t="s">
        <v>156</v>
      </c>
      <c r="G1243" s="18" t="str">
        <f>IF($F1243="","",IFERROR(INDEX(Items!$B$5:$B$597,MATCH($F1243,Items!$A$5:$A$597,0)),"⚠ not in Items"))</f>
        <v>Masks</v>
      </c>
      <c r="H1243" s="19" t="str">
        <f>IF($F1243="","",IFERROR(INDEX(Items!$C$5:$C$597,MATCH($F1243,Items!$A$5:$A$597,0)),""))</f>
        <v>One Size</v>
      </c>
      <c r="I1243" s="23">
        <f>IF($F1243="","",IFERROR(INDEX(Items!$E$5:$E$597,MATCH($F1243,Items!$A$5:$A$597,0)),""))</f>
        <v>50</v>
      </c>
      <c r="J1243" s="115">
        <f>IF(tblIssues[[#This Row],[Qty Override]]&lt;&gt;"",tblIssues[[#This Row],[Qty Override]],IF(tblIssues[[#This Row],[Standard Issue]]="","",tblIssues[[#This Row],[Standard Issue]]))</f>
        <v>50</v>
      </c>
      <c r="K1243" s="20">
        <f>IF($F1243="","",IFERROR(INDEX(Items!$D$5:$D$597,MATCH($F1243,Items!$A$5:$A$597,0)),""))</f>
        <v>0.25</v>
      </c>
      <c r="L1243" s="21">
        <f t="shared" si="217"/>
        <v>12.5</v>
      </c>
      <c r="M1243" s="9" t="str">
        <f t="shared" si="215"/>
        <v>102GPC24</v>
      </c>
      <c r="N1243" s="24">
        <f>IF($A1243="","",WORKDAY($A1243,Settings!$C$9,HolidayDates))</f>
        <v>46197</v>
      </c>
      <c r="O1243" s="24">
        <f>IF($N1243="","",WORKDAY($N1243,Settings!$C$10,HolidayDates))</f>
        <v>46237</v>
      </c>
      <c r="P1243" s="10" t="s">
        <v>502</v>
      </c>
      <c r="Q1243" s="52" t="str">
        <f t="shared" si="218"/>
        <v>Collected</v>
      </c>
      <c r="R1243" s="55" t="str">
        <f t="shared" si="219"/>
        <v>2026-06</v>
      </c>
      <c r="S1243" s="55">
        <f>IF(OR($B1243="",$F1243="",$R1243=""),"",SUMIFS(tblIssues[Qty Issued],tblIssues[Staff ID],$B1243,tblIssues[Item Name],$F1243,tblIssues[Month],$R1243))</f>
        <v>50</v>
      </c>
      <c r="T1243" s="56">
        <f>IF($I1243="","",$I1243*Settings!$C$11)</f>
        <v>50</v>
      </c>
      <c r="U1243" s="57" t="str">
        <f t="shared" si="216"/>
        <v>OK</v>
      </c>
      <c r="V1243" s="55" t="str">
        <f t="shared" si="220"/>
        <v/>
      </c>
      <c r="W1243" s="55" t="str">
        <f>IF($V1243="","",IF(COUNTIF($V$5:$V1243,$V1243)=1,1,""))</f>
        <v/>
      </c>
      <c r="X1243" s="58" t="str">
        <f>IF($W1243="","",MAX($X$4:X1242)+1)</f>
        <v/>
      </c>
      <c r="Y1243" s="62"/>
      <c r="Z1243" s="62"/>
      <c r="AA1243" s="64" t="str">
        <f>IF($C1243="","",IFERROR(INDEX('Staff Directory'!$E$5:$E$594,MATCH($C1243,'Staff Directory'!$B$5:$B$594,0)),""))</f>
        <v>firstname021.lastname021@example.com</v>
      </c>
      <c r="AB1243" s="64" t="str">
        <f>IF($C1243="","",IF(ISNUMBER(SEARCH($D1243,Settings!$C$15)),"Pickup","Dispatch"))</f>
        <v>Dispatch</v>
      </c>
      <c r="AC1243" s="64" t="str">
        <f t="shared" si="221"/>
        <v>Supply order dispatched</v>
      </c>
      <c r="AD1243" s="64" t="str">
        <f t="shared" si="212"/>
        <v>Dear RN,
Your order has been dispatched and is in transit. Reply if undelivered.</v>
      </c>
      <c r="AE1243" s="64" t="str">
        <f t="shared" si="213"/>
        <v>mailto:firstname021.lastname021@example.com?subject=Supply%20order%20dispatched&amp;body=Dear%20RN%2C%0A%0AYour%20order%20has%20been%20dispatched%20and%20is%20in%20transit.%20Reply%20if%20undelivered.</v>
      </c>
      <c r="AF1243" s="89" t="str">
        <f t="shared" si="222"/>
        <v>Draft email</v>
      </c>
      <c r="AG1243" s="64" t="str">
        <f>IF($C1243="","",IFERROR(INDEX('Staff Directory'!$K$595:$K$599,MATCH($C1243,'Staff Directory'!$B$5:$B$599,0)),$D1243))</f>
        <v>RN</v>
      </c>
      <c r="AH1243" t="str">
        <f>IF($C1243="","",IFERROR(INDEX('Staff Directory'!$I$595:$I$599,MATCH($C1243,'Staff Directory'!$B$5:$B$599,0))&amp;" "&amp;INDEX('Staff Directory'!$J$595:$J$599,MATCH($C1243,'Staff Directory'!$B$5:$B$599,0)),$AG1243))</f>
        <v>RN</v>
      </c>
      <c r="AI1243" s="102"/>
      <c r="AJ1243" s="101">
        <f>IF($F1243="","",SUMIFS($J$5:$J1243,$F$5:$F1243,$F1243))</f>
        <v>10550</v>
      </c>
      <c r="AK1243" s="101">
        <f t="shared" si="214"/>
        <v>10501</v>
      </c>
      <c r="AL1243" s="66" t="str" cm="1">
        <f t="array" ref="AL1243">IF($F1243="","",IFERROR(INDEX('Lot Balance'!$B$5:$B$500,MATCH(1,INDEX(('Lot Balance'!$A$5:$A$500=$F1243)*('Lot Balance'!$K$5:$K$500&lt;$AK1243)*('Lot Balance'!$K$5:$K$500+'Lot Balance'!$D$5:$D$500&gt;=$AK1243),0),0)),""))</f>
        <v>102GPC24</v>
      </c>
      <c r="AM1243" s="66" t="str" cm="1">
        <f t="array" ref="AM1243">IF($F1243="","",IFERROR(INDEX('Lot Balance'!$B$5:$B$500,MATCH(1,INDEX(('Lot Balance'!$A$5:$A$500=$F1243)*('Lot Balance'!$K$5:$K$500&lt;$AJ1243)*('Lot Balance'!$K$5:$K$500+'Lot Balance'!$D$5:$D$500&gt;=$AJ1243),0),0)),""))</f>
        <v>102GPC24</v>
      </c>
      <c r="AN1243" s="66" t="str">
        <f>IF($F1243="","",IF($AI1243&lt;&gt;"",IF(COUNTIFS('Lot Balance'!$A$5:$A$500,$F1243,'Lot Balance'!$B$5:$B$500,$AI1243)=0,"⚠ override is not a lot of this item",IF($AI1243=$AL1243,"Override = FEFO","Override - FEFO says "&amp;$AL1243)),IF($AL1243="","⚠ no receipt on file for this item",IF($AM1243&lt;&gt;$AL1243,"FEFO auto - split, also "&amp;$AM1243,"FEFO auto"))))</f>
        <v>FEFO auto</v>
      </c>
      <c r="AO1243" s="114"/>
    </row>
    <row r="1244" spans="1:41" x14ac:dyDescent="0.35">
      <c r="A1244" s="74">
        <v>46189</v>
      </c>
      <c r="B1244" s="18" t="str">
        <f>IF($C1244="","",IFERROR(INDEX('Staff Directory'!$A$5:$A$594,MATCH($C1244,'Staff Directory'!$B$5:$B$594,0)),"⚠ unknown staff"))</f>
        <v>RN-018-A2</v>
      </c>
      <c r="C1244" s="49" t="s">
        <v>937</v>
      </c>
      <c r="D1244" s="19" t="str">
        <f>IF($B1244="","",IFERROR(INDEX('Staff Directory'!$C$5:$C$594,MATCH($B1244,'Staff Directory'!$A$5:$A$594,0)),""))</f>
        <v>RN</v>
      </c>
      <c r="E1244" s="19" t="str">
        <f>IF($B1244="","",IFERROR(INDEX('Staff Directory'!$D$5:$D$594,MATCH($B1244,'Staff Directory'!$A$5:$A$594,0)),""))</f>
        <v>A2</v>
      </c>
      <c r="F1244" s="9" t="s">
        <v>757</v>
      </c>
      <c r="G1244" s="18" t="str">
        <f>IF($F1244="","",IFERROR(INDEX(Items!$B$5:$B$597,MATCH($F1244,Items!$A$5:$A$597,0)),"⚠ not in Items"))</f>
        <v>Documents</v>
      </c>
      <c r="H1244" s="19" t="str">
        <f>IF($F1244="","",IFERROR(INDEX(Items!$C$5:$C$597,MATCH($F1244,Items!$A$5:$A$597,0)),""))</f>
        <v>Standard</v>
      </c>
      <c r="I1244" s="23">
        <f>IF($F1244="","",IFERROR(INDEX(Items!$E$5:$E$597,MATCH($F1244,Items!$A$5:$A$597,0)),""))</f>
        <v>10</v>
      </c>
      <c r="J1244" s="115">
        <f>IF(tblIssues[[#This Row],[Qty Override]]&lt;&gt;"",tblIssues[[#This Row],[Qty Override]],IF(tblIssues[[#This Row],[Standard Issue]]="","",tblIssues[[#This Row],[Standard Issue]]))</f>
        <v>10</v>
      </c>
      <c r="K1244" s="20">
        <f>IF($F1244="","",IFERROR(INDEX(Items!$D$5:$D$597,MATCH($F1244,Items!$A$5:$A$597,0)),""))</f>
        <v>0</v>
      </c>
      <c r="L1244" s="21">
        <f t="shared" si="217"/>
        <v>0</v>
      </c>
      <c r="M1244" s="9" t="str">
        <f t="shared" si="215"/>
        <v/>
      </c>
      <c r="N1244" s="24">
        <f>IF($A1244="","",WORKDAY($A1244,Settings!$C$9,HolidayDates))</f>
        <v>46197</v>
      </c>
      <c r="O1244" s="24">
        <f>IF($N1244="","",WORKDAY($N1244,Settings!$C$10,HolidayDates))</f>
        <v>46237</v>
      </c>
      <c r="P1244" s="10" t="s">
        <v>502</v>
      </c>
      <c r="Q1244" s="52" t="str">
        <f t="shared" si="218"/>
        <v>Collected</v>
      </c>
      <c r="R1244" s="55" t="str">
        <f t="shared" si="219"/>
        <v>2026-06</v>
      </c>
      <c r="S1244" s="55">
        <f>IF(OR($B1244="",$F1244="",$R1244=""),"",SUMIFS(tblIssues[Qty Issued],tblIssues[Staff ID],$B1244,tblIssues[Item Name],$F1244,tblIssues[Month],$R1244))</f>
        <v>20</v>
      </c>
      <c r="T1244" s="56">
        <f>IF($I1244="","",$I1244*Settings!$C$11)</f>
        <v>10</v>
      </c>
      <c r="U1244" s="57" t="str">
        <f t="shared" si="216"/>
        <v>⚠ OVER QUOTA</v>
      </c>
      <c r="V1244" s="55" t="str">
        <f t="shared" si="220"/>
        <v>RN-018-A2 | Sample Org CONNECT Welcome Package RN | 2026-06</v>
      </c>
      <c r="W1244" s="55">
        <f>IF($V1244="","",IF(COUNTIF($V$5:$V1244,$V1244)=1,1,""))</f>
        <v>1</v>
      </c>
      <c r="X1244" s="58">
        <f>IF($W1244="","",MAX($X$4:X1243)+1)</f>
        <v>36</v>
      </c>
      <c r="Y1244" s="62"/>
      <c r="Z1244" s="62"/>
      <c r="AA1244" s="64" t="str">
        <f>IF($C1244="","",IFERROR(INDEX('Staff Directory'!$E$5:$E$594,MATCH($C1244,'Staff Directory'!$B$5:$B$594,0)),""))</f>
        <v>firstname021.lastname021@example.com</v>
      </c>
      <c r="AB1244" s="64" t="str">
        <f>IF($C1244="","",IF(ISNUMBER(SEARCH($D1244,Settings!$C$15)),"Pickup","Dispatch"))</f>
        <v>Dispatch</v>
      </c>
      <c r="AC1244" s="64" t="str">
        <f t="shared" si="221"/>
        <v>Supply order dispatched</v>
      </c>
      <c r="AD1244" s="64" t="str">
        <f t="shared" si="212"/>
        <v>Dear RN,
Your order has been dispatched and is in transit. Reply if undelivered.</v>
      </c>
      <c r="AE1244" s="64" t="str">
        <f t="shared" si="213"/>
        <v>mailto:firstname021.lastname021@example.com?subject=Supply%20order%20dispatched&amp;body=Dear%20RN%2C%0A%0AYour%20order%20has%20been%20dispatched%20and%20is%20in%20transit.%20Reply%20if%20undelivered.</v>
      </c>
      <c r="AF1244" s="89" t="str">
        <f t="shared" si="222"/>
        <v>Draft email</v>
      </c>
      <c r="AG1244" s="64" t="str">
        <f>IF($C1244="","",IFERROR(INDEX('Staff Directory'!$K$595:$K$599,MATCH($C1244,'Staff Directory'!$B$5:$B$599,0)),$D1244))</f>
        <v>RN</v>
      </c>
      <c r="AH1244" t="str">
        <f>IF($C1244="","",IFERROR(INDEX('Staff Directory'!$I$595:$I$599,MATCH($C1244,'Staff Directory'!$B$5:$B$599,0))&amp;" "&amp;INDEX('Staff Directory'!$J$595:$J$599,MATCH($C1244,'Staff Directory'!$B$5:$B$599,0)),$AG1244))</f>
        <v>RN</v>
      </c>
      <c r="AI1244" s="102"/>
      <c r="AJ1244" s="101">
        <f>IF($F1244="","",SUMIFS($J$5:$J1244,$F$5:$F1244,$F1244))</f>
        <v>590</v>
      </c>
      <c r="AK1244" s="101">
        <f t="shared" si="214"/>
        <v>581</v>
      </c>
      <c r="AL1244" s="66" t="str" cm="1">
        <f t="array" ref="AL1244">IF($F1244="","",IFERROR(INDEX('Lot Balance'!$B$5:$B$500,MATCH(1,INDEX(('Lot Balance'!$A$5:$A$500=$F1244)*('Lot Balance'!$K$5:$K$500&lt;$AK1244)*('Lot Balance'!$K$5:$K$500+'Lot Balance'!$D$5:$D$500&gt;=$AK1244),0),0)),""))</f>
        <v/>
      </c>
      <c r="AM1244" s="66" t="str" cm="1">
        <f t="array" ref="AM1244">IF($F1244="","",IFERROR(INDEX('Lot Balance'!$B$5:$B$500,MATCH(1,INDEX(('Lot Balance'!$A$5:$A$500=$F1244)*('Lot Balance'!$K$5:$K$500&lt;$AJ1244)*('Lot Balance'!$K$5:$K$500+'Lot Balance'!$D$5:$D$500&gt;=$AJ1244),0),0)),""))</f>
        <v/>
      </c>
      <c r="AN1244" s="66" t="str">
        <f>IF($F1244="","",IF($AI1244&lt;&gt;"",IF(COUNTIFS('Lot Balance'!$A$5:$A$500,$F1244,'Lot Balance'!$B$5:$B$500,$AI1244)=0,"⚠ override is not a lot of this item",IF($AI1244=$AL1244,"Override = FEFO","Override - FEFO says "&amp;$AL1244)),IF($AL1244="","⚠ no receipt on file for this item",IF($AM1244&lt;&gt;$AL1244,"FEFO auto - split, also "&amp;$AM1244,"FEFO auto"))))</f>
        <v>⚠ no receipt on file for this item</v>
      </c>
      <c r="AO1244" s="114"/>
    </row>
    <row r="1245" spans="1:41" x14ac:dyDescent="0.35">
      <c r="A1245" s="74">
        <v>46189</v>
      </c>
      <c r="B1245" s="18" t="str">
        <f>IF($C1245="","",IFERROR(INDEX('Staff Directory'!$A$5:$A$594,MATCH($C1245,'Staff Directory'!$B$5:$B$594,0)),"⚠ unknown staff"))</f>
        <v>RN-018-A2</v>
      </c>
      <c r="C1245" s="49" t="s">
        <v>937</v>
      </c>
      <c r="D1245" s="19" t="str">
        <f>IF($B1245="","",IFERROR(INDEX('Staff Directory'!$C$5:$C$594,MATCH($B1245,'Staff Directory'!$A$5:$A$594,0)),""))</f>
        <v>RN</v>
      </c>
      <c r="E1245" s="19" t="str">
        <f>IF($B1245="","",IFERROR(INDEX('Staff Directory'!$D$5:$D$594,MATCH($B1245,'Staff Directory'!$A$5:$A$594,0)),""))</f>
        <v>A2</v>
      </c>
      <c r="F1245" s="9" t="s">
        <v>757</v>
      </c>
      <c r="G1245" s="18" t="str">
        <f>IF($F1245="","",IFERROR(INDEX(Items!$B$5:$B$597,MATCH($F1245,Items!$A$5:$A$597,0)),"⚠ not in Items"))</f>
        <v>Documents</v>
      </c>
      <c r="H1245" s="19" t="str">
        <f>IF($F1245="","",IFERROR(INDEX(Items!$C$5:$C$597,MATCH($F1245,Items!$A$5:$A$597,0)),""))</f>
        <v>Standard</v>
      </c>
      <c r="I1245" s="23">
        <f>IF($F1245="","",IFERROR(INDEX(Items!$E$5:$E$597,MATCH($F1245,Items!$A$5:$A$597,0)),""))</f>
        <v>10</v>
      </c>
      <c r="J1245" s="115">
        <f>IF(tblIssues[[#This Row],[Qty Override]]&lt;&gt;"",tblIssues[[#This Row],[Qty Override]],IF(tblIssues[[#This Row],[Standard Issue]]="","",tblIssues[[#This Row],[Standard Issue]]))</f>
        <v>10</v>
      </c>
      <c r="K1245" s="20">
        <f>IF($F1245="","",IFERROR(INDEX(Items!$D$5:$D$597,MATCH($F1245,Items!$A$5:$A$597,0)),""))</f>
        <v>0</v>
      </c>
      <c r="L1245" s="21">
        <f t="shared" si="217"/>
        <v>0</v>
      </c>
      <c r="M1245" s="9" t="str">
        <f t="shared" si="215"/>
        <v/>
      </c>
      <c r="N1245" s="24">
        <f>IF($A1245="","",WORKDAY($A1245,Settings!$C$9,HolidayDates))</f>
        <v>46197</v>
      </c>
      <c r="O1245" s="24">
        <f>IF($N1245="","",WORKDAY($N1245,Settings!$C$10,HolidayDates))</f>
        <v>46237</v>
      </c>
      <c r="P1245" s="10" t="s">
        <v>502</v>
      </c>
      <c r="Q1245" s="52" t="str">
        <f t="shared" si="218"/>
        <v>Collected</v>
      </c>
      <c r="R1245" s="55" t="str">
        <f t="shared" si="219"/>
        <v>2026-06</v>
      </c>
      <c r="S1245" s="55">
        <f>IF(OR($B1245="",$F1245="",$R1245=""),"",SUMIFS(tblIssues[Qty Issued],tblIssues[Staff ID],$B1245,tblIssues[Item Name],$F1245,tblIssues[Month],$R1245))</f>
        <v>20</v>
      </c>
      <c r="T1245" s="56">
        <f>IF($I1245="","",$I1245*Settings!$C$11)</f>
        <v>10</v>
      </c>
      <c r="U1245" s="57" t="str">
        <f t="shared" si="216"/>
        <v>⚠ OVER QUOTA</v>
      </c>
      <c r="V1245" s="55" t="str">
        <f t="shared" si="220"/>
        <v>RN-018-A2 | Sample Org CONNECT Welcome Package RN | 2026-06</v>
      </c>
      <c r="W1245" s="55" t="str">
        <f>IF($V1245="","",IF(COUNTIF($V$5:$V1245,$V1245)=1,1,""))</f>
        <v/>
      </c>
      <c r="X1245" s="58" t="str">
        <f>IF($W1245="","",MAX($X$4:X1244)+1)</f>
        <v/>
      </c>
      <c r="Y1245" s="62"/>
      <c r="Z1245" s="62"/>
      <c r="AA1245" s="64" t="str">
        <f>IF($C1245="","",IFERROR(INDEX('Staff Directory'!$E$5:$E$594,MATCH($C1245,'Staff Directory'!$B$5:$B$594,0)),""))</f>
        <v>firstname021.lastname021@example.com</v>
      </c>
      <c r="AB1245" s="64" t="str">
        <f>IF($C1245="","",IF(ISNUMBER(SEARCH($D1245,Settings!$C$15)),"Pickup","Dispatch"))</f>
        <v>Dispatch</v>
      </c>
      <c r="AC1245" s="64" t="str">
        <f t="shared" si="221"/>
        <v>Supply order dispatched</v>
      </c>
      <c r="AD1245" s="64" t="str">
        <f t="shared" si="212"/>
        <v>Dear RN,
Your order has been dispatched and is in transit. Reply if undelivered.</v>
      </c>
      <c r="AE1245" s="64" t="str">
        <f t="shared" si="213"/>
        <v>mailto:firstname021.lastname021@example.com?subject=Supply%20order%20dispatched&amp;body=Dear%20RN%2C%0A%0AYour%20order%20has%20been%20dispatched%20and%20is%20in%20transit.%20Reply%20if%20undelivered.</v>
      </c>
      <c r="AF1245" s="89" t="str">
        <f t="shared" si="222"/>
        <v>Draft email</v>
      </c>
      <c r="AG1245" s="64" t="str">
        <f>IF($C1245="","",IFERROR(INDEX('Staff Directory'!$K$595:$K$599,MATCH($C1245,'Staff Directory'!$B$5:$B$599,0)),$D1245))</f>
        <v>RN</v>
      </c>
      <c r="AH1245" t="str">
        <f>IF($C1245="","",IFERROR(INDEX('Staff Directory'!$I$595:$I$599,MATCH($C1245,'Staff Directory'!$B$5:$B$599,0))&amp;" "&amp;INDEX('Staff Directory'!$J$595:$J$599,MATCH($C1245,'Staff Directory'!$B$5:$B$599,0)),$AG1245))</f>
        <v>RN</v>
      </c>
      <c r="AI1245" s="102"/>
      <c r="AJ1245" s="101">
        <f>IF($F1245="","",SUMIFS($J$5:$J1245,$F$5:$F1245,$F1245))</f>
        <v>600</v>
      </c>
      <c r="AK1245" s="101">
        <f t="shared" si="214"/>
        <v>591</v>
      </c>
      <c r="AL1245" s="66" t="str" cm="1">
        <f t="array" ref="AL1245">IF($F1245="","",IFERROR(INDEX('Lot Balance'!$B$5:$B$500,MATCH(1,INDEX(('Lot Balance'!$A$5:$A$500=$F1245)*('Lot Balance'!$K$5:$K$500&lt;$AK1245)*('Lot Balance'!$K$5:$K$500+'Lot Balance'!$D$5:$D$500&gt;=$AK1245),0),0)),""))</f>
        <v/>
      </c>
      <c r="AM1245" s="66" t="str" cm="1">
        <f t="array" ref="AM1245">IF($F1245="","",IFERROR(INDEX('Lot Balance'!$B$5:$B$500,MATCH(1,INDEX(('Lot Balance'!$A$5:$A$500=$F1245)*('Lot Balance'!$K$5:$K$500&lt;$AJ1245)*('Lot Balance'!$K$5:$K$500+'Lot Balance'!$D$5:$D$500&gt;=$AJ1245),0),0)),""))</f>
        <v/>
      </c>
      <c r="AN1245" s="66" t="str">
        <f>IF($F1245="","",IF($AI1245&lt;&gt;"",IF(COUNTIFS('Lot Balance'!$A$5:$A$500,$F1245,'Lot Balance'!$B$5:$B$500,$AI1245)=0,"⚠ override is not a lot of this item",IF($AI1245=$AL1245,"Override = FEFO","Override - FEFO says "&amp;$AL1245)),IF($AL1245="","⚠ no receipt on file for this item",IF($AM1245&lt;&gt;$AL1245,"FEFO auto - split, also "&amp;$AM1245,"FEFO auto"))))</f>
        <v>⚠ no receipt on file for this item</v>
      </c>
      <c r="AO1245" s="114"/>
    </row>
    <row r="1246" spans="1:41" x14ac:dyDescent="0.35">
      <c r="A1246" s="74">
        <v>46189</v>
      </c>
      <c r="B1246" s="18" t="str">
        <f>IF($C1246="","",IFERROR(INDEX('Staff Directory'!$A$5:$A$594,MATCH($C1246,'Staff Directory'!$B$5:$B$594,0)),"⚠ unknown staff"))</f>
        <v>RN-011-A2</v>
      </c>
      <c r="C1246" s="49" t="s">
        <v>927</v>
      </c>
      <c r="D1246" s="19" t="str">
        <f>IF($B1246="","",IFERROR(INDEX('Staff Directory'!$C$5:$C$594,MATCH($B1246,'Staff Directory'!$A$5:$A$594,0)),""))</f>
        <v>RN</v>
      </c>
      <c r="E1246" s="19" t="str">
        <f>IF($B1246="","",IFERROR(INDEX('Staff Directory'!$D$5:$D$594,MATCH($B1246,'Staff Directory'!$A$5:$A$594,0)),""))</f>
        <v>A2</v>
      </c>
      <c r="F1246" s="9" t="s">
        <v>127</v>
      </c>
      <c r="G1246" s="18" t="str">
        <f>IF($F1246="","",IFERROR(INDEX(Items!$B$5:$B$597,MATCH($F1246,Items!$A$5:$A$597,0)),"⚠ not in Items"))</f>
        <v>Gloves</v>
      </c>
      <c r="H1246" s="19" t="str">
        <f>IF($F1246="","",IFERROR(INDEX(Items!$C$5:$C$597,MATCH($F1246,Items!$A$5:$A$597,0)),""))</f>
        <v>Medium</v>
      </c>
      <c r="I1246" s="23">
        <f>IF($F1246="","",IFERROR(INDEX(Items!$E$5:$E$597,MATCH($F1246,Items!$A$5:$A$597,0)),""))</f>
        <v>500</v>
      </c>
      <c r="J1246" s="115">
        <f>IF(tblIssues[[#This Row],[Qty Override]]&lt;&gt;"",tblIssues[[#This Row],[Qty Override]],IF(tblIssues[[#This Row],[Standard Issue]]="","",tblIssues[[#This Row],[Standard Issue]]))</f>
        <v>500</v>
      </c>
      <c r="K1246" s="20">
        <f>IF($F1246="","",IFERROR(INDEX(Items!$D$5:$D$597,MATCH($F1246,Items!$A$5:$A$597,0)),""))</f>
        <v>5.5E-2</v>
      </c>
      <c r="L1246" s="21">
        <f t="shared" si="217"/>
        <v>27.5</v>
      </c>
      <c r="M1246" s="9" t="str">
        <f t="shared" si="215"/>
        <v>O310LIC25</v>
      </c>
      <c r="N1246" s="24">
        <f>IF($A1246="","",WORKDAY($A1246,Settings!$C$9,HolidayDates))</f>
        <v>46197</v>
      </c>
      <c r="O1246" s="24">
        <f>IF($N1246="","",WORKDAY($N1246,Settings!$C$10,HolidayDates))</f>
        <v>46237</v>
      </c>
      <c r="P1246" s="10" t="s">
        <v>502</v>
      </c>
      <c r="Q1246" s="52" t="str">
        <f t="shared" si="218"/>
        <v>Collected</v>
      </c>
      <c r="R1246" s="55" t="str">
        <f t="shared" si="219"/>
        <v>2026-06</v>
      </c>
      <c r="S1246" s="55">
        <f>IF(OR($B1246="",$F1246="",$R1246=""),"",SUMIFS(tblIssues[Qty Issued],tblIssues[Staff ID],$B1246,tblIssues[Item Name],$F1246,tblIssues[Month],$R1246))</f>
        <v>1000</v>
      </c>
      <c r="T1246" s="56">
        <f>IF($I1246="","",$I1246*Settings!$C$11)</f>
        <v>500</v>
      </c>
      <c r="U1246" s="57" t="str">
        <f t="shared" si="216"/>
        <v>⚠ OVER QUOTA</v>
      </c>
      <c r="V1246" s="55" t="str">
        <f t="shared" si="220"/>
        <v>RN-011-A2 | Gloves - Medium | 2026-06</v>
      </c>
      <c r="W1246" s="55">
        <f>IF($V1246="","",IF(COUNTIF($V$5:$V1246,$V1246)=1,1,""))</f>
        <v>1</v>
      </c>
      <c r="X1246" s="58">
        <f>IF($W1246="","",MAX($X$4:X1245)+1)</f>
        <v>37</v>
      </c>
      <c r="Y1246" s="62"/>
      <c r="Z1246" s="62"/>
      <c r="AA1246" s="64" t="str">
        <f>IF($C1246="","",IFERROR(INDEX('Staff Directory'!$E$5:$E$594,MATCH($C1246,'Staff Directory'!$B$5:$B$594,0)),""))</f>
        <v>firstname011.lastname011@example.com</v>
      </c>
      <c r="AB1246" s="64" t="str">
        <f>IF($C1246="","",IF(ISNUMBER(SEARCH($D1246,Settings!$C$15)),"Pickup","Dispatch"))</f>
        <v>Dispatch</v>
      </c>
      <c r="AC1246" s="64" t="str">
        <f t="shared" si="221"/>
        <v>Supply order dispatched</v>
      </c>
      <c r="AD1246" s="64" t="str">
        <f t="shared" si="212"/>
        <v>Dear RN,
Your order has been dispatched and is in transit. Reply if undelivered.</v>
      </c>
      <c r="AE1246" s="64" t="str">
        <f t="shared" si="213"/>
        <v>mailto:firstname011.lastname011@example.com?subject=Supply%20order%20dispatched&amp;body=Dear%20RN%2C%0A%0AYour%20order%20has%20been%20dispatched%20and%20is%20in%20transit.%20Reply%20if%20undelivered.</v>
      </c>
      <c r="AF1246" s="89" t="str">
        <f t="shared" si="222"/>
        <v>Draft email</v>
      </c>
      <c r="AG1246" s="64" t="str">
        <f>IF($C1246="","",IFERROR(INDEX('Staff Directory'!$K$595:$K$599,MATCH($C1246,'Staff Directory'!$B$5:$B$599,0)),$D1246))</f>
        <v>RN</v>
      </c>
      <c r="AH1246" t="str">
        <f>IF($C1246="","",IFERROR(INDEX('Staff Directory'!$I$595:$I$599,MATCH($C1246,'Staff Directory'!$B$5:$B$599,0))&amp;" "&amp;INDEX('Staff Directory'!$J$595:$J$599,MATCH($C1246,'Staff Directory'!$B$5:$B$599,0)),$AG1246))</f>
        <v>RN</v>
      </c>
      <c r="AI1246" s="102"/>
      <c r="AJ1246" s="101">
        <f>IF($F1246="","",SUMIFS($J$5:$J1246,$F$5:$F1246,$F1246))</f>
        <v>76500</v>
      </c>
      <c r="AK1246" s="101">
        <f t="shared" si="214"/>
        <v>76001</v>
      </c>
      <c r="AL1246" s="66" t="str" cm="1">
        <f t="array" ref="AL1246">IF($F1246="","",IFERROR(INDEX('Lot Balance'!$B$5:$B$500,MATCH(1,INDEX(('Lot Balance'!$A$5:$A$500=$F1246)*('Lot Balance'!$K$5:$K$500&lt;$AK1246)*('Lot Balance'!$K$5:$K$500+'Lot Balance'!$D$5:$D$500&gt;=$AK1246),0),0)),""))</f>
        <v>O310LIC25</v>
      </c>
      <c r="AM1246" s="66" t="str" cm="1">
        <f t="array" ref="AM1246">IF($F1246="","",IFERROR(INDEX('Lot Balance'!$B$5:$B$500,MATCH(1,INDEX(('Lot Balance'!$A$5:$A$500=$F1246)*('Lot Balance'!$K$5:$K$500&lt;$AJ1246)*('Lot Balance'!$K$5:$K$500+'Lot Balance'!$D$5:$D$500&gt;=$AJ1246),0),0)),""))</f>
        <v>O310LIC25</v>
      </c>
      <c r="AN1246" s="66" t="str">
        <f>IF($F1246="","",IF($AI1246&lt;&gt;"",IF(COUNTIFS('Lot Balance'!$A$5:$A$500,$F1246,'Lot Balance'!$B$5:$B$500,$AI1246)=0,"⚠ override is not a lot of this item",IF($AI1246=$AL1246,"Override = FEFO","Override - FEFO says "&amp;$AL1246)),IF($AL1246="","⚠ no receipt on file for this item",IF($AM1246&lt;&gt;$AL1246,"FEFO auto - split, also "&amp;$AM1246,"FEFO auto"))))</f>
        <v>FEFO auto</v>
      </c>
      <c r="AO1246" s="114"/>
    </row>
    <row r="1247" spans="1:41" x14ac:dyDescent="0.35">
      <c r="A1247" s="74">
        <v>46189</v>
      </c>
      <c r="B1247" s="18" t="str">
        <f>IF($C1247="","",IFERROR(INDEX('Staff Directory'!$A$5:$A$594,MATCH($C1247,'Staff Directory'!$B$5:$B$594,0)),"⚠ unknown staff"))</f>
        <v>RN-011-A2</v>
      </c>
      <c r="C1247" s="49" t="s">
        <v>927</v>
      </c>
      <c r="D1247" s="19" t="str">
        <f>IF($B1247="","",IFERROR(INDEX('Staff Directory'!$C$5:$C$594,MATCH($B1247,'Staff Directory'!$A$5:$A$594,0)),""))</f>
        <v>RN</v>
      </c>
      <c r="E1247" s="19" t="str">
        <f>IF($B1247="","",IFERROR(INDEX('Staff Directory'!$D$5:$D$594,MATCH($B1247,'Staff Directory'!$A$5:$A$594,0)),""))</f>
        <v>A2</v>
      </c>
      <c r="F1247" s="9" t="s">
        <v>127</v>
      </c>
      <c r="G1247" s="18" t="str">
        <f>IF($F1247="","",IFERROR(INDEX(Items!$B$5:$B$597,MATCH($F1247,Items!$A$5:$A$597,0)),"⚠ not in Items"))</f>
        <v>Gloves</v>
      </c>
      <c r="H1247" s="19" t="str">
        <f>IF($F1247="","",IFERROR(INDEX(Items!$C$5:$C$597,MATCH($F1247,Items!$A$5:$A$597,0)),""))</f>
        <v>Medium</v>
      </c>
      <c r="I1247" s="23">
        <f>IF($F1247="","",IFERROR(INDEX(Items!$E$5:$E$597,MATCH($F1247,Items!$A$5:$A$597,0)),""))</f>
        <v>500</v>
      </c>
      <c r="J1247" s="115">
        <f>IF(tblIssues[[#This Row],[Qty Override]]&lt;&gt;"",tblIssues[[#This Row],[Qty Override]],IF(tblIssues[[#This Row],[Standard Issue]]="","",tblIssues[[#This Row],[Standard Issue]]))</f>
        <v>500</v>
      </c>
      <c r="K1247" s="20">
        <f>IF($F1247="","",IFERROR(INDEX(Items!$D$5:$D$597,MATCH($F1247,Items!$A$5:$A$597,0)),""))</f>
        <v>5.5E-2</v>
      </c>
      <c r="L1247" s="21">
        <f t="shared" si="217"/>
        <v>27.5</v>
      </c>
      <c r="M1247" s="9" t="str">
        <f t="shared" si="215"/>
        <v>O310LIC25</v>
      </c>
      <c r="N1247" s="24">
        <f>IF($A1247="","",WORKDAY($A1247,Settings!$C$9,HolidayDates))</f>
        <v>46197</v>
      </c>
      <c r="O1247" s="24">
        <f>IF($N1247="","",WORKDAY($N1247,Settings!$C$10,HolidayDates))</f>
        <v>46237</v>
      </c>
      <c r="P1247" s="10" t="s">
        <v>502</v>
      </c>
      <c r="Q1247" s="52" t="str">
        <f t="shared" si="218"/>
        <v>Collected</v>
      </c>
      <c r="R1247" s="55" t="str">
        <f t="shared" si="219"/>
        <v>2026-06</v>
      </c>
      <c r="S1247" s="55">
        <f>IF(OR($B1247="",$F1247="",$R1247=""),"",SUMIFS(tblIssues[Qty Issued],tblIssues[Staff ID],$B1247,tblIssues[Item Name],$F1247,tblIssues[Month],$R1247))</f>
        <v>1000</v>
      </c>
      <c r="T1247" s="56">
        <f>IF($I1247="","",$I1247*Settings!$C$11)</f>
        <v>500</v>
      </c>
      <c r="U1247" s="57" t="str">
        <f t="shared" si="216"/>
        <v>⚠ OVER QUOTA</v>
      </c>
      <c r="V1247" s="55" t="str">
        <f t="shared" si="220"/>
        <v>RN-011-A2 | Gloves - Medium | 2026-06</v>
      </c>
      <c r="W1247" s="55" t="str">
        <f>IF($V1247="","",IF(COUNTIF($V$5:$V1247,$V1247)=1,1,""))</f>
        <v/>
      </c>
      <c r="X1247" s="58" t="str">
        <f>IF($W1247="","",MAX($X$4:X1246)+1)</f>
        <v/>
      </c>
      <c r="Y1247" s="62"/>
      <c r="Z1247" s="62"/>
      <c r="AA1247" s="64" t="str">
        <f>IF($C1247="","",IFERROR(INDEX('Staff Directory'!$E$5:$E$594,MATCH($C1247,'Staff Directory'!$B$5:$B$594,0)),""))</f>
        <v>firstname011.lastname011@example.com</v>
      </c>
      <c r="AB1247" s="64" t="str">
        <f>IF($C1247="","",IF(ISNUMBER(SEARCH($D1247,Settings!$C$15)),"Pickup","Dispatch"))</f>
        <v>Dispatch</v>
      </c>
      <c r="AC1247" s="64" t="str">
        <f t="shared" si="221"/>
        <v>Supply order dispatched</v>
      </c>
      <c r="AD1247" s="64" t="str">
        <f t="shared" si="212"/>
        <v>Dear RN,
Your order has been dispatched and is in transit. Reply if undelivered.</v>
      </c>
      <c r="AE1247" s="64" t="str">
        <f t="shared" si="213"/>
        <v>mailto:firstname011.lastname011@example.com?subject=Supply%20order%20dispatched&amp;body=Dear%20RN%2C%0A%0AYour%20order%20has%20been%20dispatched%20and%20is%20in%20transit.%20Reply%20if%20undelivered.</v>
      </c>
      <c r="AF1247" s="89" t="str">
        <f t="shared" si="222"/>
        <v>Draft email</v>
      </c>
      <c r="AG1247" s="64" t="str">
        <f>IF($C1247="","",IFERROR(INDEX('Staff Directory'!$K$595:$K$599,MATCH($C1247,'Staff Directory'!$B$5:$B$599,0)),$D1247))</f>
        <v>RN</v>
      </c>
      <c r="AH1247" t="str">
        <f>IF($C1247="","",IFERROR(INDEX('Staff Directory'!$I$595:$I$599,MATCH($C1247,'Staff Directory'!$B$5:$B$599,0))&amp;" "&amp;INDEX('Staff Directory'!$J$595:$J$599,MATCH($C1247,'Staff Directory'!$B$5:$B$599,0)),$AG1247))</f>
        <v>RN</v>
      </c>
      <c r="AI1247" s="102"/>
      <c r="AJ1247" s="101">
        <f>IF($F1247="","",SUMIFS($J$5:$J1247,$F$5:$F1247,$F1247))</f>
        <v>77000</v>
      </c>
      <c r="AK1247" s="101">
        <f t="shared" si="214"/>
        <v>76501</v>
      </c>
      <c r="AL1247" s="66" t="str" cm="1">
        <f t="array" ref="AL1247">IF($F1247="","",IFERROR(INDEX('Lot Balance'!$B$5:$B$500,MATCH(1,INDEX(('Lot Balance'!$A$5:$A$500=$F1247)*('Lot Balance'!$K$5:$K$500&lt;$AK1247)*('Lot Balance'!$K$5:$K$500+'Lot Balance'!$D$5:$D$500&gt;=$AK1247),0),0)),""))</f>
        <v>O310LIC25</v>
      </c>
      <c r="AM1247" s="66" t="str" cm="1">
        <f t="array" ref="AM1247">IF($F1247="","",IFERROR(INDEX('Lot Balance'!$B$5:$B$500,MATCH(1,INDEX(('Lot Balance'!$A$5:$A$500=$F1247)*('Lot Balance'!$K$5:$K$500&lt;$AJ1247)*('Lot Balance'!$K$5:$K$500+'Lot Balance'!$D$5:$D$500&gt;=$AJ1247),0),0)),""))</f>
        <v>O310LIC25</v>
      </c>
      <c r="AN1247" s="66" t="str">
        <f>IF($F1247="","",IF($AI1247&lt;&gt;"",IF(COUNTIFS('Lot Balance'!$A$5:$A$500,$F1247,'Lot Balance'!$B$5:$B$500,$AI1247)=0,"⚠ override is not a lot of this item",IF($AI1247=$AL1247,"Override = FEFO","Override - FEFO says "&amp;$AL1247)),IF($AL1247="","⚠ no receipt on file for this item",IF($AM1247&lt;&gt;$AL1247,"FEFO auto - split, also "&amp;$AM1247,"FEFO auto"))))</f>
        <v>FEFO auto</v>
      </c>
      <c r="AO1247" s="114"/>
    </row>
    <row r="1248" spans="1:41" x14ac:dyDescent="0.35">
      <c r="A1248" s="74">
        <v>46189</v>
      </c>
      <c r="B1248" s="18" t="str">
        <f>IF($C1248="","",IFERROR(INDEX('Staff Directory'!$A$5:$A$594,MATCH($C1248,'Staff Directory'!$B$5:$B$594,0)),"⚠ unknown staff"))</f>
        <v>RN-011-A2</v>
      </c>
      <c r="C1248" s="49" t="s">
        <v>927</v>
      </c>
      <c r="D1248" s="19" t="str">
        <f>IF($B1248="","",IFERROR(INDEX('Staff Directory'!$C$5:$C$594,MATCH($B1248,'Staff Directory'!$A$5:$A$594,0)),""))</f>
        <v>RN</v>
      </c>
      <c r="E1248" s="19" t="str">
        <f>IF($B1248="","",IFERROR(INDEX('Staff Directory'!$D$5:$D$594,MATCH($B1248,'Staff Directory'!$A$5:$A$594,0)),""))</f>
        <v>A2</v>
      </c>
      <c r="F1248" s="9" t="s">
        <v>191</v>
      </c>
      <c r="G1248" s="18" t="str">
        <f>IF($F1248="","",IFERROR(INDEX(Items!$B$5:$B$597,MATCH($F1248,Items!$A$5:$A$597,0)),"⚠ not in Items"))</f>
        <v>Sanitizer</v>
      </c>
      <c r="H1248" s="19" t="str">
        <f>IF($F1248="","",IFERROR(INDEX(Items!$C$5:$C$597,MATCH($F1248,Items!$A$5:$A$597,0)),""))</f>
        <v>236 ML</v>
      </c>
      <c r="I1248" s="23">
        <f>IF($F1248="","",IFERROR(INDEX(Items!$E$5:$E$597,MATCH($F1248,Items!$A$5:$A$597,0)),""))</f>
        <v>1</v>
      </c>
      <c r="J1248" s="115">
        <f>IF(tblIssues[[#This Row],[Qty Override]]&lt;&gt;"",tblIssues[[#This Row],[Qty Override]],IF(tblIssues[[#This Row],[Standard Issue]]="","",tblIssues[[#This Row],[Standard Issue]]))</f>
        <v>1</v>
      </c>
      <c r="K1248" s="20">
        <f>IF($F1248="","",IFERROR(INDEX(Items!$D$5:$D$597,MATCH($F1248,Items!$A$5:$A$597,0)),""))</f>
        <v>1E-4</v>
      </c>
      <c r="L1248" s="21">
        <f t="shared" si="217"/>
        <v>1E-4</v>
      </c>
      <c r="M1248" s="9" t="str">
        <f t="shared" si="215"/>
        <v/>
      </c>
      <c r="N1248" s="24">
        <f>IF($A1248="","",WORKDAY($A1248,Settings!$C$9,HolidayDates))</f>
        <v>46197</v>
      </c>
      <c r="O1248" s="24">
        <f>IF($N1248="","",WORKDAY($N1248,Settings!$C$10,HolidayDates))</f>
        <v>46237</v>
      </c>
      <c r="P1248" s="10" t="s">
        <v>502</v>
      </c>
      <c r="Q1248" s="52" t="str">
        <f t="shared" si="218"/>
        <v>Collected</v>
      </c>
      <c r="R1248" s="55" t="str">
        <f t="shared" si="219"/>
        <v>2026-06</v>
      </c>
      <c r="S1248" s="55">
        <f>IF(OR($B1248="",$F1248="",$R1248=""),"",SUMIFS(tblIssues[Qty Issued],tblIssues[Staff ID],$B1248,tblIssues[Item Name],$F1248,tblIssues[Month],$R1248))</f>
        <v>1</v>
      </c>
      <c r="T1248" s="56">
        <f>IF($I1248="","",$I1248*Settings!$C$11)</f>
        <v>1</v>
      </c>
      <c r="U1248" s="57" t="str">
        <f t="shared" si="216"/>
        <v>OK</v>
      </c>
      <c r="V1248" s="55" t="str">
        <f t="shared" si="220"/>
        <v/>
      </c>
      <c r="W1248" s="55" t="str">
        <f>IF($V1248="","",IF(COUNTIF($V$5:$V1248,$V1248)=1,1,""))</f>
        <v/>
      </c>
      <c r="X1248" s="58" t="str">
        <f>IF($W1248="","",MAX($X$4:X1247)+1)</f>
        <v/>
      </c>
      <c r="Y1248" s="62"/>
      <c r="Z1248" s="62"/>
      <c r="AA1248" s="64" t="str">
        <f>IF($C1248="","",IFERROR(INDEX('Staff Directory'!$E$5:$E$594,MATCH($C1248,'Staff Directory'!$B$5:$B$594,0)),""))</f>
        <v>firstname011.lastname011@example.com</v>
      </c>
      <c r="AB1248" s="64" t="str">
        <f>IF($C1248="","",IF(ISNUMBER(SEARCH($D1248,Settings!$C$15)),"Pickup","Dispatch"))</f>
        <v>Dispatch</v>
      </c>
      <c r="AC1248" s="64" t="str">
        <f t="shared" si="221"/>
        <v>Supply order dispatched</v>
      </c>
      <c r="AD1248" s="64" t="str">
        <f t="shared" si="212"/>
        <v>Dear RN,
Your order has been dispatched and is in transit. Reply if undelivered.</v>
      </c>
      <c r="AE1248" s="64" t="str">
        <f t="shared" si="213"/>
        <v>mailto:firstname011.lastname011@example.com?subject=Supply%20order%20dispatched&amp;body=Dear%20RN%2C%0A%0AYour%20order%20has%20been%20dispatched%20and%20is%20in%20transit.%20Reply%20if%20undelivered.</v>
      </c>
      <c r="AF1248" s="89" t="str">
        <f t="shared" si="222"/>
        <v>Draft email</v>
      </c>
      <c r="AG1248" s="64" t="str">
        <f>IF($C1248="","",IFERROR(INDEX('Staff Directory'!$K$595:$K$599,MATCH($C1248,'Staff Directory'!$B$5:$B$599,0)),$D1248))</f>
        <v>RN</v>
      </c>
      <c r="AH1248" t="str">
        <f>IF($C1248="","",IFERROR(INDEX('Staff Directory'!$I$595:$I$599,MATCH($C1248,'Staff Directory'!$B$5:$B$599,0))&amp;" "&amp;INDEX('Staff Directory'!$J$595:$J$599,MATCH($C1248,'Staff Directory'!$B$5:$B$599,0)),$AG1248))</f>
        <v>RN</v>
      </c>
      <c r="AI1248" s="102"/>
      <c r="AJ1248" s="101">
        <f>IF($F1248="","",SUMIFS($J$5:$J1248,$F$5:$F1248,$F1248))</f>
        <v>158</v>
      </c>
      <c r="AK1248" s="101">
        <f t="shared" si="214"/>
        <v>158</v>
      </c>
      <c r="AL1248" s="66" t="str" cm="1">
        <f t="array" ref="AL1248">IF($F1248="","",IFERROR(INDEX('Lot Balance'!$B$5:$B$500,MATCH(1,INDEX(('Lot Balance'!$A$5:$A$500=$F1248)*('Lot Balance'!$K$5:$K$500&lt;$AK1248)*('Lot Balance'!$K$5:$K$500+'Lot Balance'!$D$5:$D$500&gt;=$AK1248),0),0)),""))</f>
        <v/>
      </c>
      <c r="AM1248" s="66" t="str" cm="1">
        <f t="array" ref="AM1248">IF($F1248="","",IFERROR(INDEX('Lot Balance'!$B$5:$B$500,MATCH(1,INDEX(('Lot Balance'!$A$5:$A$500=$F1248)*('Lot Balance'!$K$5:$K$500&lt;$AJ1248)*('Lot Balance'!$K$5:$K$500+'Lot Balance'!$D$5:$D$500&gt;=$AJ1248),0),0)),""))</f>
        <v/>
      </c>
      <c r="AN1248" s="66" t="str">
        <f>IF($F1248="","",IF($AI1248&lt;&gt;"",IF(COUNTIFS('Lot Balance'!$A$5:$A$500,$F1248,'Lot Balance'!$B$5:$B$500,$AI1248)=0,"⚠ override is not a lot of this item",IF($AI1248=$AL1248,"Override = FEFO","Override - FEFO says "&amp;$AL1248)),IF($AL1248="","⚠ no receipt on file for this item",IF($AM1248&lt;&gt;$AL1248,"FEFO auto - split, also "&amp;$AM1248,"FEFO auto"))))</f>
        <v>⚠ no receipt on file for this item</v>
      </c>
      <c r="AO1248" s="114"/>
    </row>
    <row r="1249" spans="1:41" x14ac:dyDescent="0.35">
      <c r="A1249" s="74">
        <v>46189</v>
      </c>
      <c r="B1249" s="18" t="str">
        <f>IF($C1249="","",IFERROR(INDEX('Staff Directory'!$A$5:$A$594,MATCH($C1249,'Staff Directory'!$B$5:$B$594,0)),"⚠ unknown staff"))</f>
        <v>RN-011-A2</v>
      </c>
      <c r="C1249" s="49" t="s">
        <v>927</v>
      </c>
      <c r="D1249" s="19" t="str">
        <f>IF($B1249="","",IFERROR(INDEX('Staff Directory'!$C$5:$C$594,MATCH($B1249,'Staff Directory'!$A$5:$A$594,0)),""))</f>
        <v>RN</v>
      </c>
      <c r="E1249" s="19" t="str">
        <f>IF($B1249="","",IFERROR(INDEX('Staff Directory'!$D$5:$D$594,MATCH($B1249,'Staff Directory'!$A$5:$A$594,0)),""))</f>
        <v>A2</v>
      </c>
      <c r="F1249" s="9" t="s">
        <v>115</v>
      </c>
      <c r="G1249" s="18" t="str">
        <f>IF($F1249="","",IFERROR(INDEX(Items!$B$5:$B$597,MATCH($F1249,Items!$A$5:$A$597,0)),"⚠ not in Items"))</f>
        <v>Wipes</v>
      </c>
      <c r="H1249" s="19">
        <f>IF($F1249="","",IFERROR(INDEX(Items!$C$5:$C$597,MATCH($F1249,Items!$A$5:$A$597,0)),""))</f>
        <v>80</v>
      </c>
      <c r="I1249" s="23">
        <f>IF($F1249="","",IFERROR(INDEX(Items!$E$5:$E$597,MATCH($F1249,Items!$A$5:$A$597,0)),""))</f>
        <v>80</v>
      </c>
      <c r="J1249" s="115">
        <f>IF(tblIssues[[#This Row],[Qty Override]]&lt;&gt;"",tblIssues[[#This Row],[Qty Override]],IF(tblIssues[[#This Row],[Standard Issue]]="","",tblIssues[[#This Row],[Standard Issue]]))</f>
        <v>80</v>
      </c>
      <c r="K1249" s="20">
        <f>IF($F1249="","",IFERROR(INDEX(Items!$D$5:$D$597,MATCH($F1249,Items!$A$5:$A$597,0)),""))</f>
        <v>0.1</v>
      </c>
      <c r="L1249" s="21">
        <f t="shared" si="217"/>
        <v>8</v>
      </c>
      <c r="M1249" s="9" t="str">
        <f t="shared" si="215"/>
        <v>LYSL500290</v>
      </c>
      <c r="N1249" s="24">
        <f>IF($A1249="","",WORKDAY($A1249,Settings!$C$9,HolidayDates))</f>
        <v>46197</v>
      </c>
      <c r="O1249" s="24">
        <f>IF($N1249="","",WORKDAY($N1249,Settings!$C$10,HolidayDates))</f>
        <v>46237</v>
      </c>
      <c r="P1249" s="10" t="s">
        <v>502</v>
      </c>
      <c r="Q1249" s="52" t="str">
        <f t="shared" si="218"/>
        <v>Collected</v>
      </c>
      <c r="R1249" s="55" t="str">
        <f t="shared" si="219"/>
        <v>2026-06</v>
      </c>
      <c r="S1249" s="55">
        <f>IF(OR($B1249="",$F1249="",$R1249=""),"",SUMIFS(tblIssues[Qty Issued],tblIssues[Staff ID],$B1249,tblIssues[Item Name],$F1249,tblIssues[Month],$R1249))</f>
        <v>80</v>
      </c>
      <c r="T1249" s="56">
        <f>IF($I1249="","",$I1249*Settings!$C$11)</f>
        <v>80</v>
      </c>
      <c r="U1249" s="57" t="str">
        <f t="shared" si="216"/>
        <v>OK</v>
      </c>
      <c r="V1249" s="55" t="str">
        <f t="shared" si="220"/>
        <v/>
      </c>
      <c r="W1249" s="55" t="str">
        <f>IF($V1249="","",IF(COUNTIF($V$5:$V1249,$V1249)=1,1,""))</f>
        <v/>
      </c>
      <c r="X1249" s="58" t="str">
        <f>IF($W1249="","",MAX($X$4:X1248)+1)</f>
        <v/>
      </c>
      <c r="Y1249" s="62"/>
      <c r="Z1249" s="62"/>
      <c r="AA1249" s="64" t="str">
        <f>IF($C1249="","",IFERROR(INDEX('Staff Directory'!$E$5:$E$594,MATCH($C1249,'Staff Directory'!$B$5:$B$594,0)),""))</f>
        <v>firstname011.lastname011@example.com</v>
      </c>
      <c r="AB1249" s="64" t="str">
        <f>IF($C1249="","",IF(ISNUMBER(SEARCH($D1249,Settings!$C$15)),"Pickup","Dispatch"))</f>
        <v>Dispatch</v>
      </c>
      <c r="AC1249" s="64" t="str">
        <f t="shared" si="221"/>
        <v>Supply order dispatched</v>
      </c>
      <c r="AD1249" s="64" t="str">
        <f t="shared" si="212"/>
        <v>Dear RN,
Your order has been dispatched and is in transit. Reply if undelivered.</v>
      </c>
      <c r="AE1249" s="64" t="str">
        <f t="shared" si="213"/>
        <v>mailto:firstname011.lastname011@example.com?subject=Supply%20order%20dispatched&amp;body=Dear%20RN%2C%0A%0AYour%20order%20has%20been%20dispatched%20and%20is%20in%20transit.%20Reply%20if%20undelivered.</v>
      </c>
      <c r="AF1249" s="89" t="str">
        <f t="shared" si="222"/>
        <v>Draft email</v>
      </c>
      <c r="AG1249" s="64" t="str">
        <f>IF($C1249="","",IFERROR(INDEX('Staff Directory'!$K$595:$K$599,MATCH($C1249,'Staff Directory'!$B$5:$B$599,0)),$D1249))</f>
        <v>RN</v>
      </c>
      <c r="AH1249" t="str">
        <f>IF($C1249="","",IFERROR(INDEX('Staff Directory'!$I$595:$I$599,MATCH($C1249,'Staff Directory'!$B$5:$B$599,0))&amp;" "&amp;INDEX('Staff Directory'!$J$595:$J$599,MATCH($C1249,'Staff Directory'!$B$5:$B$599,0)),$AG1249))</f>
        <v>RN</v>
      </c>
      <c r="AI1249" s="102"/>
      <c r="AJ1249" s="101">
        <f>IF($F1249="","",SUMIFS($J$5:$J1249,$F$5:$F1249,$F1249))</f>
        <v>17280</v>
      </c>
      <c r="AK1249" s="101">
        <f t="shared" si="214"/>
        <v>17201</v>
      </c>
      <c r="AL1249" s="66" t="str" cm="1">
        <f t="array" ref="AL1249">IF($F1249="","",IFERROR(INDEX('Lot Balance'!$B$5:$B$500,MATCH(1,INDEX(('Lot Balance'!$A$5:$A$500=$F1249)*('Lot Balance'!$K$5:$K$500&lt;$AK1249)*('Lot Balance'!$K$5:$K$500+'Lot Balance'!$D$5:$D$500&gt;=$AK1249),0),0)),""))</f>
        <v>LYSL500290</v>
      </c>
      <c r="AM1249" s="66" t="str" cm="1">
        <f t="array" ref="AM1249">IF($F1249="","",IFERROR(INDEX('Lot Balance'!$B$5:$B$500,MATCH(1,INDEX(('Lot Balance'!$A$5:$A$500=$F1249)*('Lot Balance'!$K$5:$K$500&lt;$AJ1249)*('Lot Balance'!$K$5:$K$500+'Lot Balance'!$D$5:$D$500&gt;=$AJ1249),0),0)),""))</f>
        <v>LYSL500290</v>
      </c>
      <c r="AN1249" s="66" t="str">
        <f>IF($F1249="","",IF($AI1249&lt;&gt;"",IF(COUNTIFS('Lot Balance'!$A$5:$A$500,$F1249,'Lot Balance'!$B$5:$B$500,$AI1249)=0,"⚠ override is not a lot of this item",IF($AI1249=$AL1249,"Override = FEFO","Override - FEFO says "&amp;$AL1249)),IF($AL1249="","⚠ no receipt on file for this item",IF($AM1249&lt;&gt;$AL1249,"FEFO auto - split, also "&amp;$AM1249,"FEFO auto"))))</f>
        <v>FEFO auto</v>
      </c>
      <c r="AO1249" s="114"/>
    </row>
    <row r="1250" spans="1:41" x14ac:dyDescent="0.35">
      <c r="A1250" s="74">
        <v>46189</v>
      </c>
      <c r="B1250" s="18" t="str">
        <f>IF($C1250="","",IFERROR(INDEX('Staff Directory'!$A$5:$A$594,MATCH($C1250,'Staff Directory'!$B$5:$B$594,0)),"⚠ unknown staff"))</f>
        <v>RN-011-A2</v>
      </c>
      <c r="C1250" s="49" t="s">
        <v>927</v>
      </c>
      <c r="D1250" s="19" t="str">
        <f>IF($B1250="","",IFERROR(INDEX('Staff Directory'!$C$5:$C$594,MATCH($B1250,'Staff Directory'!$A$5:$A$594,0)),""))</f>
        <v>RN</v>
      </c>
      <c r="E1250" s="19" t="str">
        <f>IF($B1250="","",IFERROR(INDEX('Staff Directory'!$D$5:$D$594,MATCH($B1250,'Staff Directory'!$A$5:$A$594,0)),""))</f>
        <v>A2</v>
      </c>
      <c r="F1250" s="9" t="s">
        <v>156</v>
      </c>
      <c r="G1250" s="18" t="str">
        <f>IF($F1250="","",IFERROR(INDEX(Items!$B$5:$B$597,MATCH($F1250,Items!$A$5:$A$597,0)),"⚠ not in Items"))</f>
        <v>Masks</v>
      </c>
      <c r="H1250" s="19" t="str">
        <f>IF($F1250="","",IFERROR(INDEX(Items!$C$5:$C$597,MATCH($F1250,Items!$A$5:$A$597,0)),""))</f>
        <v>One Size</v>
      </c>
      <c r="I1250" s="23">
        <f>IF($F1250="","",IFERROR(INDEX(Items!$E$5:$E$597,MATCH($F1250,Items!$A$5:$A$597,0)),""))</f>
        <v>50</v>
      </c>
      <c r="J1250" s="115">
        <f>IF(tblIssues[[#This Row],[Qty Override]]&lt;&gt;"",tblIssues[[#This Row],[Qty Override]],IF(tblIssues[[#This Row],[Standard Issue]]="","",tblIssues[[#This Row],[Standard Issue]]))</f>
        <v>50</v>
      </c>
      <c r="K1250" s="20">
        <f>IF($F1250="","",IFERROR(INDEX(Items!$D$5:$D$597,MATCH($F1250,Items!$A$5:$A$597,0)),""))</f>
        <v>0.25</v>
      </c>
      <c r="L1250" s="21">
        <f t="shared" si="217"/>
        <v>12.5</v>
      </c>
      <c r="M1250" s="9" t="str">
        <f t="shared" si="215"/>
        <v>102GPC24</v>
      </c>
      <c r="N1250" s="24">
        <f>IF($A1250="","",WORKDAY($A1250,Settings!$C$9,HolidayDates))</f>
        <v>46197</v>
      </c>
      <c r="O1250" s="24">
        <f>IF($N1250="","",WORKDAY($N1250,Settings!$C$10,HolidayDates))</f>
        <v>46237</v>
      </c>
      <c r="P1250" s="10" t="s">
        <v>502</v>
      </c>
      <c r="Q1250" s="52" t="str">
        <f t="shared" si="218"/>
        <v>Collected</v>
      </c>
      <c r="R1250" s="55" t="str">
        <f t="shared" si="219"/>
        <v>2026-06</v>
      </c>
      <c r="S1250" s="55">
        <f>IF(OR($B1250="",$F1250="",$R1250=""),"",SUMIFS(tblIssues[Qty Issued],tblIssues[Staff ID],$B1250,tblIssues[Item Name],$F1250,tblIssues[Month],$R1250))</f>
        <v>50</v>
      </c>
      <c r="T1250" s="56">
        <f>IF($I1250="","",$I1250*Settings!$C$11)</f>
        <v>50</v>
      </c>
      <c r="U1250" s="57" t="str">
        <f t="shared" si="216"/>
        <v>OK</v>
      </c>
      <c r="V1250" s="55" t="str">
        <f t="shared" si="220"/>
        <v/>
      </c>
      <c r="W1250" s="55" t="str">
        <f>IF($V1250="","",IF(COUNTIF($V$5:$V1250,$V1250)=1,1,""))</f>
        <v/>
      </c>
      <c r="X1250" s="58" t="str">
        <f>IF($W1250="","",MAX($X$4:X1249)+1)</f>
        <v/>
      </c>
      <c r="Y1250" s="62"/>
      <c r="Z1250" s="62"/>
      <c r="AA1250" s="64" t="str">
        <f>IF($C1250="","",IFERROR(INDEX('Staff Directory'!$E$5:$E$594,MATCH($C1250,'Staff Directory'!$B$5:$B$594,0)),""))</f>
        <v>firstname011.lastname011@example.com</v>
      </c>
      <c r="AB1250" s="64" t="str">
        <f>IF($C1250="","",IF(ISNUMBER(SEARCH($D1250,Settings!$C$15)),"Pickup","Dispatch"))</f>
        <v>Dispatch</v>
      </c>
      <c r="AC1250" s="64" t="str">
        <f t="shared" si="221"/>
        <v>Supply order dispatched</v>
      </c>
      <c r="AD1250" s="64" t="str">
        <f t="shared" si="212"/>
        <v>Dear RN,
Your order has been dispatched and is in transit. Reply if undelivered.</v>
      </c>
      <c r="AE1250" s="64" t="str">
        <f t="shared" si="213"/>
        <v>mailto:firstname011.lastname011@example.com?subject=Supply%20order%20dispatched&amp;body=Dear%20RN%2C%0A%0AYour%20order%20has%20been%20dispatched%20and%20is%20in%20transit.%20Reply%20if%20undelivered.</v>
      </c>
      <c r="AF1250" s="89" t="str">
        <f t="shared" si="222"/>
        <v>Draft email</v>
      </c>
      <c r="AG1250" s="64" t="str">
        <f>IF($C1250="","",IFERROR(INDEX('Staff Directory'!$K$595:$K$599,MATCH($C1250,'Staff Directory'!$B$5:$B$599,0)),$D1250))</f>
        <v>RN</v>
      </c>
      <c r="AH1250" t="str">
        <f>IF($C1250="","",IFERROR(INDEX('Staff Directory'!$I$595:$I$599,MATCH($C1250,'Staff Directory'!$B$5:$B$599,0))&amp;" "&amp;INDEX('Staff Directory'!$J$595:$J$599,MATCH($C1250,'Staff Directory'!$B$5:$B$599,0)),$AG1250))</f>
        <v>RN</v>
      </c>
      <c r="AI1250" s="102"/>
      <c r="AJ1250" s="101">
        <f>IF($F1250="","",SUMIFS($J$5:$J1250,$F$5:$F1250,$F1250))</f>
        <v>10600</v>
      </c>
      <c r="AK1250" s="101">
        <f t="shared" si="214"/>
        <v>10551</v>
      </c>
      <c r="AL1250" s="66" t="str" cm="1">
        <f t="array" ref="AL1250">IF($F1250="","",IFERROR(INDEX('Lot Balance'!$B$5:$B$500,MATCH(1,INDEX(('Lot Balance'!$A$5:$A$500=$F1250)*('Lot Balance'!$K$5:$K$500&lt;$AK1250)*('Lot Balance'!$K$5:$K$500+'Lot Balance'!$D$5:$D$500&gt;=$AK1250),0),0)),""))</f>
        <v>102GPC24</v>
      </c>
      <c r="AM1250" s="66" t="str" cm="1">
        <f t="array" ref="AM1250">IF($F1250="","",IFERROR(INDEX('Lot Balance'!$B$5:$B$500,MATCH(1,INDEX(('Lot Balance'!$A$5:$A$500=$F1250)*('Lot Balance'!$K$5:$K$500&lt;$AJ1250)*('Lot Balance'!$K$5:$K$500+'Lot Balance'!$D$5:$D$500&gt;=$AJ1250),0),0)),""))</f>
        <v>102GPC24</v>
      </c>
      <c r="AN1250" s="66" t="str">
        <f>IF($F1250="","",IF($AI1250&lt;&gt;"",IF(COUNTIFS('Lot Balance'!$A$5:$A$500,$F1250,'Lot Balance'!$B$5:$B$500,$AI1250)=0,"⚠ override is not a lot of this item",IF($AI1250=$AL1250,"Override = FEFO","Override - FEFO says "&amp;$AL1250)),IF($AL1250="","⚠ no receipt on file for this item",IF($AM1250&lt;&gt;$AL1250,"FEFO auto - split, also "&amp;$AM1250,"FEFO auto"))))</f>
        <v>FEFO auto</v>
      </c>
      <c r="AO1250" s="114"/>
    </row>
    <row r="1251" spans="1:41" x14ac:dyDescent="0.35">
      <c r="A1251" s="74">
        <v>46189</v>
      </c>
      <c r="B1251" s="18" t="str">
        <f>IF($C1251="","",IFERROR(INDEX('Staff Directory'!$A$5:$A$594,MATCH($C1251,'Staff Directory'!$B$5:$B$594,0)),"⚠ unknown staff"))</f>
        <v>RN-011-A2</v>
      </c>
      <c r="C1251" s="49" t="s">
        <v>927</v>
      </c>
      <c r="D1251" s="19" t="str">
        <f>IF($B1251="","",IFERROR(INDEX('Staff Directory'!$C$5:$C$594,MATCH($B1251,'Staff Directory'!$A$5:$A$594,0)),""))</f>
        <v>RN</v>
      </c>
      <c r="E1251" s="19" t="str">
        <f>IF($B1251="","",IFERROR(INDEX('Staff Directory'!$D$5:$D$594,MATCH($B1251,'Staff Directory'!$A$5:$A$594,0)),""))</f>
        <v>A2</v>
      </c>
      <c r="F1251" s="9" t="s">
        <v>757</v>
      </c>
      <c r="G1251" s="18" t="str">
        <f>IF($F1251="","",IFERROR(INDEX(Items!$B$5:$B$597,MATCH($F1251,Items!$A$5:$A$597,0)),"⚠ not in Items"))</f>
        <v>Documents</v>
      </c>
      <c r="H1251" s="19" t="str">
        <f>IF($F1251="","",IFERROR(INDEX(Items!$C$5:$C$597,MATCH($F1251,Items!$A$5:$A$597,0)),""))</f>
        <v>Standard</v>
      </c>
      <c r="I1251" s="23">
        <f>IF($F1251="","",IFERROR(INDEX(Items!$E$5:$E$597,MATCH($F1251,Items!$A$5:$A$597,0)),""))</f>
        <v>10</v>
      </c>
      <c r="J1251" s="115">
        <f>IF(tblIssues[[#This Row],[Qty Override]]&lt;&gt;"",tblIssues[[#This Row],[Qty Override]],IF(tblIssues[[#This Row],[Standard Issue]]="","",tblIssues[[#This Row],[Standard Issue]]))</f>
        <v>10</v>
      </c>
      <c r="K1251" s="20">
        <f>IF($F1251="","",IFERROR(INDEX(Items!$D$5:$D$597,MATCH($F1251,Items!$A$5:$A$597,0)),""))</f>
        <v>0</v>
      </c>
      <c r="L1251" s="21">
        <f t="shared" si="217"/>
        <v>0</v>
      </c>
      <c r="M1251" s="9" t="str">
        <f t="shared" si="215"/>
        <v/>
      </c>
      <c r="N1251" s="24">
        <f>IF($A1251="","",WORKDAY($A1251,Settings!$C$9,HolidayDates))</f>
        <v>46197</v>
      </c>
      <c r="O1251" s="24">
        <f>IF($N1251="","",WORKDAY($N1251,Settings!$C$10,HolidayDates))</f>
        <v>46237</v>
      </c>
      <c r="P1251" s="10" t="s">
        <v>502</v>
      </c>
      <c r="Q1251" s="52" t="str">
        <f t="shared" si="218"/>
        <v>Collected</v>
      </c>
      <c r="R1251" s="55" t="str">
        <f t="shared" si="219"/>
        <v>2026-06</v>
      </c>
      <c r="S1251" s="55">
        <f>IF(OR($B1251="",$F1251="",$R1251=""),"",SUMIFS(tblIssues[Qty Issued],tblIssues[Staff ID],$B1251,tblIssues[Item Name],$F1251,tblIssues[Month],$R1251))</f>
        <v>20</v>
      </c>
      <c r="T1251" s="56">
        <f>IF($I1251="","",$I1251*Settings!$C$11)</f>
        <v>10</v>
      </c>
      <c r="U1251" s="57" t="str">
        <f t="shared" si="216"/>
        <v>⚠ OVER QUOTA</v>
      </c>
      <c r="V1251" s="55" t="str">
        <f t="shared" si="220"/>
        <v>RN-011-A2 | Sample Org CONNECT Welcome Package RN | 2026-06</v>
      </c>
      <c r="W1251" s="55">
        <f>IF($V1251="","",IF(COUNTIF($V$5:$V1251,$V1251)=1,1,""))</f>
        <v>1</v>
      </c>
      <c r="X1251" s="58">
        <f>IF($W1251="","",MAX($X$4:X1250)+1)</f>
        <v>38</v>
      </c>
      <c r="Y1251" s="62"/>
      <c r="Z1251" s="62"/>
      <c r="AA1251" s="64" t="str">
        <f>IF($C1251="","",IFERROR(INDEX('Staff Directory'!$E$5:$E$594,MATCH($C1251,'Staff Directory'!$B$5:$B$594,0)),""))</f>
        <v>firstname011.lastname011@example.com</v>
      </c>
      <c r="AB1251" s="64" t="str">
        <f>IF($C1251="","",IF(ISNUMBER(SEARCH($D1251,Settings!$C$15)),"Pickup","Dispatch"))</f>
        <v>Dispatch</v>
      </c>
      <c r="AC1251" s="64" t="str">
        <f t="shared" si="221"/>
        <v>Supply order dispatched</v>
      </c>
      <c r="AD1251" s="64" t="str">
        <f t="shared" si="212"/>
        <v>Dear RN,
Your order has been dispatched and is in transit. Reply if undelivered.</v>
      </c>
      <c r="AE1251" s="64" t="str">
        <f t="shared" si="213"/>
        <v>mailto:firstname011.lastname011@example.com?subject=Supply%20order%20dispatched&amp;body=Dear%20RN%2C%0A%0AYour%20order%20has%20been%20dispatched%20and%20is%20in%20transit.%20Reply%20if%20undelivered.</v>
      </c>
      <c r="AF1251" s="89" t="str">
        <f t="shared" si="222"/>
        <v>Draft email</v>
      </c>
      <c r="AG1251" s="64" t="str">
        <f>IF($C1251="","",IFERROR(INDEX('Staff Directory'!$K$595:$K$599,MATCH($C1251,'Staff Directory'!$B$5:$B$599,0)),$D1251))</f>
        <v>RN</v>
      </c>
      <c r="AH1251" t="str">
        <f>IF($C1251="","",IFERROR(INDEX('Staff Directory'!$I$595:$I$599,MATCH($C1251,'Staff Directory'!$B$5:$B$599,0))&amp;" "&amp;INDEX('Staff Directory'!$J$595:$J$599,MATCH($C1251,'Staff Directory'!$B$5:$B$599,0)),$AG1251))</f>
        <v>RN</v>
      </c>
      <c r="AI1251" s="102"/>
      <c r="AJ1251" s="101">
        <f>IF($F1251="","",SUMIFS($J$5:$J1251,$F$5:$F1251,$F1251))</f>
        <v>610</v>
      </c>
      <c r="AK1251" s="101">
        <f t="shared" si="214"/>
        <v>601</v>
      </c>
      <c r="AL1251" s="66" t="str" cm="1">
        <f t="array" ref="AL1251">IF($F1251="","",IFERROR(INDEX('Lot Balance'!$B$5:$B$500,MATCH(1,INDEX(('Lot Balance'!$A$5:$A$500=$F1251)*('Lot Balance'!$K$5:$K$500&lt;$AK1251)*('Lot Balance'!$K$5:$K$500+'Lot Balance'!$D$5:$D$500&gt;=$AK1251),0),0)),""))</f>
        <v/>
      </c>
      <c r="AM1251" s="66" t="str" cm="1">
        <f t="array" ref="AM1251">IF($F1251="","",IFERROR(INDEX('Lot Balance'!$B$5:$B$500,MATCH(1,INDEX(('Lot Balance'!$A$5:$A$500=$F1251)*('Lot Balance'!$K$5:$K$500&lt;$AJ1251)*('Lot Balance'!$K$5:$K$500+'Lot Balance'!$D$5:$D$500&gt;=$AJ1251),0),0)),""))</f>
        <v/>
      </c>
      <c r="AN1251" s="66" t="str">
        <f>IF($F1251="","",IF($AI1251&lt;&gt;"",IF(COUNTIFS('Lot Balance'!$A$5:$A$500,$F1251,'Lot Balance'!$B$5:$B$500,$AI1251)=0,"⚠ override is not a lot of this item",IF($AI1251=$AL1251,"Override = FEFO","Override - FEFO says "&amp;$AL1251)),IF($AL1251="","⚠ no receipt on file for this item",IF($AM1251&lt;&gt;$AL1251,"FEFO auto - split, also "&amp;$AM1251,"FEFO auto"))))</f>
        <v>⚠ no receipt on file for this item</v>
      </c>
      <c r="AO1251" s="114"/>
    </row>
    <row r="1252" spans="1:41" x14ac:dyDescent="0.35">
      <c r="A1252" s="74">
        <v>46189</v>
      </c>
      <c r="B1252" s="18" t="str">
        <f>IF($C1252="","",IFERROR(INDEX('Staff Directory'!$A$5:$A$594,MATCH($C1252,'Staff Directory'!$B$5:$B$594,0)),"⚠ unknown staff"))</f>
        <v>RN-011-A2</v>
      </c>
      <c r="C1252" s="49" t="s">
        <v>927</v>
      </c>
      <c r="D1252" s="19" t="str">
        <f>IF($B1252="","",IFERROR(INDEX('Staff Directory'!$C$5:$C$594,MATCH($B1252,'Staff Directory'!$A$5:$A$594,0)),""))</f>
        <v>RN</v>
      </c>
      <c r="E1252" s="19" t="str">
        <f>IF($B1252="","",IFERROR(INDEX('Staff Directory'!$D$5:$D$594,MATCH($B1252,'Staff Directory'!$A$5:$A$594,0)),""))</f>
        <v>A2</v>
      </c>
      <c r="F1252" s="9" t="s">
        <v>757</v>
      </c>
      <c r="G1252" s="18" t="str">
        <f>IF($F1252="","",IFERROR(INDEX(Items!$B$5:$B$597,MATCH($F1252,Items!$A$5:$A$597,0)),"⚠ not in Items"))</f>
        <v>Documents</v>
      </c>
      <c r="H1252" s="19" t="str">
        <f>IF($F1252="","",IFERROR(INDEX(Items!$C$5:$C$597,MATCH($F1252,Items!$A$5:$A$597,0)),""))</f>
        <v>Standard</v>
      </c>
      <c r="I1252" s="23">
        <f>IF($F1252="","",IFERROR(INDEX(Items!$E$5:$E$597,MATCH($F1252,Items!$A$5:$A$597,0)),""))</f>
        <v>10</v>
      </c>
      <c r="J1252" s="115">
        <f>IF(tblIssues[[#This Row],[Qty Override]]&lt;&gt;"",tblIssues[[#This Row],[Qty Override]],IF(tblIssues[[#This Row],[Standard Issue]]="","",tblIssues[[#This Row],[Standard Issue]]))</f>
        <v>10</v>
      </c>
      <c r="K1252" s="20">
        <f>IF($F1252="","",IFERROR(INDEX(Items!$D$5:$D$597,MATCH($F1252,Items!$A$5:$A$597,0)),""))</f>
        <v>0</v>
      </c>
      <c r="L1252" s="21">
        <f t="shared" si="217"/>
        <v>0</v>
      </c>
      <c r="M1252" s="9" t="str">
        <f t="shared" si="215"/>
        <v/>
      </c>
      <c r="N1252" s="24">
        <f>IF($A1252="","",WORKDAY($A1252,Settings!$C$9,HolidayDates))</f>
        <v>46197</v>
      </c>
      <c r="O1252" s="24">
        <f>IF($N1252="","",WORKDAY($N1252,Settings!$C$10,HolidayDates))</f>
        <v>46237</v>
      </c>
      <c r="P1252" s="10" t="s">
        <v>502</v>
      </c>
      <c r="Q1252" s="52" t="str">
        <f t="shared" si="218"/>
        <v>Collected</v>
      </c>
      <c r="R1252" s="55" t="str">
        <f t="shared" si="219"/>
        <v>2026-06</v>
      </c>
      <c r="S1252" s="55">
        <f>IF(OR($B1252="",$F1252="",$R1252=""),"",SUMIFS(tblIssues[Qty Issued],tblIssues[Staff ID],$B1252,tblIssues[Item Name],$F1252,tblIssues[Month],$R1252))</f>
        <v>20</v>
      </c>
      <c r="T1252" s="56">
        <f>IF($I1252="","",$I1252*Settings!$C$11)</f>
        <v>10</v>
      </c>
      <c r="U1252" s="57" t="str">
        <f t="shared" si="216"/>
        <v>⚠ OVER QUOTA</v>
      </c>
      <c r="V1252" s="55" t="str">
        <f t="shared" si="220"/>
        <v>RN-011-A2 | Sample Org CONNECT Welcome Package RN | 2026-06</v>
      </c>
      <c r="W1252" s="55" t="str">
        <f>IF($V1252="","",IF(COUNTIF($V$5:$V1252,$V1252)=1,1,""))</f>
        <v/>
      </c>
      <c r="X1252" s="58" t="str">
        <f>IF($W1252="","",MAX($X$4:X1251)+1)</f>
        <v/>
      </c>
      <c r="Y1252" s="62"/>
      <c r="Z1252" s="62"/>
      <c r="AA1252" s="64" t="str">
        <f>IF($C1252="","",IFERROR(INDEX('Staff Directory'!$E$5:$E$594,MATCH($C1252,'Staff Directory'!$B$5:$B$594,0)),""))</f>
        <v>firstname011.lastname011@example.com</v>
      </c>
      <c r="AB1252" s="64" t="str">
        <f>IF($C1252="","",IF(ISNUMBER(SEARCH($D1252,Settings!$C$15)),"Pickup","Dispatch"))</f>
        <v>Dispatch</v>
      </c>
      <c r="AC1252" s="64" t="str">
        <f t="shared" si="221"/>
        <v>Supply order dispatched</v>
      </c>
      <c r="AD1252" s="64" t="str">
        <f t="shared" si="212"/>
        <v>Dear RN,
Your order has been dispatched and is in transit. Reply if undelivered.</v>
      </c>
      <c r="AE1252" s="64" t="str">
        <f t="shared" si="213"/>
        <v>mailto:firstname011.lastname011@example.com?subject=Supply%20order%20dispatched&amp;body=Dear%20RN%2C%0A%0AYour%20order%20has%20been%20dispatched%20and%20is%20in%20transit.%20Reply%20if%20undelivered.</v>
      </c>
      <c r="AF1252" s="89" t="str">
        <f t="shared" si="222"/>
        <v>Draft email</v>
      </c>
      <c r="AG1252" s="64" t="str">
        <f>IF($C1252="","",IFERROR(INDEX('Staff Directory'!$K$595:$K$599,MATCH($C1252,'Staff Directory'!$B$5:$B$599,0)),$D1252))</f>
        <v>RN</v>
      </c>
      <c r="AH1252" t="str">
        <f>IF($C1252="","",IFERROR(INDEX('Staff Directory'!$I$595:$I$599,MATCH($C1252,'Staff Directory'!$B$5:$B$599,0))&amp;" "&amp;INDEX('Staff Directory'!$J$595:$J$599,MATCH($C1252,'Staff Directory'!$B$5:$B$599,0)),$AG1252))</f>
        <v>RN</v>
      </c>
      <c r="AI1252" s="102"/>
      <c r="AJ1252" s="101">
        <f>IF($F1252="","",SUMIFS($J$5:$J1252,$F$5:$F1252,$F1252))</f>
        <v>620</v>
      </c>
      <c r="AK1252" s="101">
        <f t="shared" si="214"/>
        <v>611</v>
      </c>
      <c r="AL1252" s="66" t="str" cm="1">
        <f t="array" ref="AL1252">IF($F1252="","",IFERROR(INDEX('Lot Balance'!$B$5:$B$500,MATCH(1,INDEX(('Lot Balance'!$A$5:$A$500=$F1252)*('Lot Balance'!$K$5:$K$500&lt;$AK1252)*('Lot Balance'!$K$5:$K$500+'Lot Balance'!$D$5:$D$500&gt;=$AK1252),0),0)),""))</f>
        <v/>
      </c>
      <c r="AM1252" s="66" t="str" cm="1">
        <f t="array" ref="AM1252">IF($F1252="","",IFERROR(INDEX('Lot Balance'!$B$5:$B$500,MATCH(1,INDEX(('Lot Balance'!$A$5:$A$500=$F1252)*('Lot Balance'!$K$5:$K$500&lt;$AJ1252)*('Lot Balance'!$K$5:$K$500+'Lot Balance'!$D$5:$D$500&gt;=$AJ1252),0),0)),""))</f>
        <v/>
      </c>
      <c r="AN1252" s="66" t="str">
        <f>IF($F1252="","",IF($AI1252&lt;&gt;"",IF(COUNTIFS('Lot Balance'!$A$5:$A$500,$F1252,'Lot Balance'!$B$5:$B$500,$AI1252)=0,"⚠ override is not a lot of this item",IF($AI1252=$AL1252,"Override = FEFO","Override - FEFO says "&amp;$AL1252)),IF($AL1252="","⚠ no receipt on file for this item",IF($AM1252&lt;&gt;$AL1252,"FEFO auto - split, also "&amp;$AM1252,"FEFO auto"))))</f>
        <v>⚠ no receipt on file for this item</v>
      </c>
      <c r="AO1252" s="114"/>
    </row>
    <row r="1253" spans="1:41" x14ac:dyDescent="0.35">
      <c r="A1253" s="74">
        <v>46189</v>
      </c>
      <c r="B1253" s="18" t="str">
        <f>IF($C1253="","",IFERROR(INDEX('Staff Directory'!$A$5:$A$594,MATCH($C1253,'Staff Directory'!$B$5:$B$594,0)),"⚠ unknown staff"))</f>
        <v>RN-002-A1</v>
      </c>
      <c r="C1253" s="49" t="s">
        <v>918</v>
      </c>
      <c r="D1253" s="19" t="str">
        <f>IF($B1253="","",IFERROR(INDEX('Staff Directory'!$C$5:$C$594,MATCH($B1253,'Staff Directory'!$A$5:$A$594,0)),""))</f>
        <v>RN</v>
      </c>
      <c r="E1253" s="19" t="str">
        <f>IF($B1253="","",IFERROR(INDEX('Staff Directory'!$D$5:$D$594,MATCH($B1253,'Staff Directory'!$A$5:$A$594,0)),""))</f>
        <v>A1</v>
      </c>
      <c r="F1253" s="9" t="s">
        <v>127</v>
      </c>
      <c r="G1253" s="18" t="str">
        <f>IF($F1253="","",IFERROR(INDEX(Items!$B$5:$B$597,MATCH($F1253,Items!$A$5:$A$597,0)),"⚠ not in Items"))</f>
        <v>Gloves</v>
      </c>
      <c r="H1253" s="19" t="str">
        <f>IF($F1253="","",IFERROR(INDEX(Items!$C$5:$C$597,MATCH($F1253,Items!$A$5:$A$597,0)),""))</f>
        <v>Medium</v>
      </c>
      <c r="I1253" s="23">
        <f>IF($F1253="","",IFERROR(INDEX(Items!$E$5:$E$597,MATCH($F1253,Items!$A$5:$A$597,0)),""))</f>
        <v>500</v>
      </c>
      <c r="J1253" s="115">
        <f>IF(tblIssues[[#This Row],[Qty Override]]&lt;&gt;"",tblIssues[[#This Row],[Qty Override]],IF(tblIssues[[#This Row],[Standard Issue]]="","",tblIssues[[#This Row],[Standard Issue]]))</f>
        <v>500</v>
      </c>
      <c r="K1253" s="20">
        <f>IF($F1253="","",IFERROR(INDEX(Items!$D$5:$D$597,MATCH($F1253,Items!$A$5:$A$597,0)),""))</f>
        <v>5.5E-2</v>
      </c>
      <c r="L1253" s="21">
        <f t="shared" si="217"/>
        <v>27.5</v>
      </c>
      <c r="M1253" s="9" t="str">
        <f t="shared" si="215"/>
        <v>O310LIC25</v>
      </c>
      <c r="N1253" s="24">
        <f>IF($A1253="","",WORKDAY($A1253,Settings!$C$9,HolidayDates))</f>
        <v>46197</v>
      </c>
      <c r="O1253" s="24">
        <f>IF($N1253="","",WORKDAY($N1253,Settings!$C$10,HolidayDates))</f>
        <v>46237</v>
      </c>
      <c r="P1253" s="10" t="s">
        <v>502</v>
      </c>
      <c r="Q1253" s="52" t="str">
        <f t="shared" si="218"/>
        <v>Collected</v>
      </c>
      <c r="R1253" s="55" t="str">
        <f t="shared" si="219"/>
        <v>2026-06</v>
      </c>
      <c r="S1253" s="55">
        <f>IF(OR($B1253="",$F1253="",$R1253=""),"",SUMIFS(tblIssues[Qty Issued],tblIssues[Staff ID],$B1253,tblIssues[Item Name],$F1253,tblIssues[Month],$R1253))</f>
        <v>500</v>
      </c>
      <c r="T1253" s="56">
        <f>IF($I1253="","",$I1253*Settings!$C$11)</f>
        <v>500</v>
      </c>
      <c r="U1253" s="57" t="str">
        <f t="shared" si="216"/>
        <v>OK</v>
      </c>
      <c r="V1253" s="55" t="str">
        <f t="shared" si="220"/>
        <v/>
      </c>
      <c r="W1253" s="55" t="str">
        <f>IF($V1253="","",IF(COUNTIF($V$5:$V1253,$V1253)=1,1,""))</f>
        <v/>
      </c>
      <c r="X1253" s="58" t="str">
        <f>IF($W1253="","",MAX($X$4:X1252)+1)</f>
        <v/>
      </c>
      <c r="Y1253" s="62"/>
      <c r="Z1253" s="62"/>
      <c r="AA1253" s="64" t="str">
        <f>IF($C1253="","",IFERROR(INDEX('Staff Directory'!$E$5:$E$594,MATCH($C1253,'Staff Directory'!$B$5:$B$594,0)),""))</f>
        <v>firstname002.lastname002@example.com</v>
      </c>
      <c r="AB1253" s="64" t="str">
        <f>IF($C1253="","",IF(ISNUMBER(SEARCH($D1253,Settings!$C$15)),"Pickup","Dispatch"))</f>
        <v>Dispatch</v>
      </c>
      <c r="AC1253" s="64" t="str">
        <f t="shared" si="221"/>
        <v>Supply order dispatched</v>
      </c>
      <c r="AD1253" s="64" t="str">
        <f t="shared" si="212"/>
        <v>Dear  ,
Your order has been dispatched and is in transit. Reply if undelivered.</v>
      </c>
      <c r="AE1253" s="64" t="str">
        <f t="shared" si="213"/>
        <v>mailto:firstname002.lastname002@example.com?subject=Supply%20order%20dispatched&amp;body=Dear%20%20%2C%0A%0AYour%20order%20has%20been%20dispatched%20and%20is%20in%20transit.%20Reply%20if%20undelivered.</v>
      </c>
      <c r="AF1253" s="89" t="str">
        <f t="shared" si="222"/>
        <v>Draft email</v>
      </c>
      <c r="AG1253" s="64">
        <f>IF($C1253="","",IFERROR(INDEX('Staff Directory'!$K$595:$K$599,MATCH($C1253,'Staff Directory'!$B$5:$B$599,0)),$D1253))</f>
        <v>0</v>
      </c>
      <c r="AH1253" t="str">
        <f>IF($C1253="","",IFERROR(INDEX('Staff Directory'!$I$595:$I$599,MATCH($C1253,'Staff Directory'!$B$5:$B$599,0))&amp;" "&amp;INDEX('Staff Directory'!$J$595:$J$599,MATCH($C1253,'Staff Directory'!$B$5:$B$599,0)),$AG1253))</f>
        <v xml:space="preserve"> </v>
      </c>
      <c r="AI1253" s="102"/>
      <c r="AJ1253" s="101">
        <f>IF($F1253="","",SUMIFS($J$5:$J1253,$F$5:$F1253,$F1253))</f>
        <v>77500</v>
      </c>
      <c r="AK1253" s="101">
        <f t="shared" si="214"/>
        <v>77001</v>
      </c>
      <c r="AL1253" s="66" t="str" cm="1">
        <f t="array" ref="AL1253">IF($F1253="","",IFERROR(INDEX('Lot Balance'!$B$5:$B$500,MATCH(1,INDEX(('Lot Balance'!$A$5:$A$500=$F1253)*('Lot Balance'!$K$5:$K$500&lt;$AK1253)*('Lot Balance'!$K$5:$K$500+'Lot Balance'!$D$5:$D$500&gt;=$AK1253),0),0)),""))</f>
        <v>O310LIC25</v>
      </c>
      <c r="AM1253" s="66" t="str" cm="1">
        <f t="array" ref="AM1253">IF($F1253="","",IFERROR(INDEX('Lot Balance'!$B$5:$B$500,MATCH(1,INDEX(('Lot Balance'!$A$5:$A$500=$F1253)*('Lot Balance'!$K$5:$K$500&lt;$AJ1253)*('Lot Balance'!$K$5:$K$500+'Lot Balance'!$D$5:$D$500&gt;=$AJ1253),0),0)),""))</f>
        <v>ZIM510137962-1</v>
      </c>
      <c r="AN1253" s="66" t="str">
        <f>IF($F1253="","",IF($AI1253&lt;&gt;"",IF(COUNTIFS('Lot Balance'!$A$5:$A$500,$F1253,'Lot Balance'!$B$5:$B$500,$AI1253)=0,"⚠ override is not a lot of this item",IF($AI1253=$AL1253,"Override = FEFO","Override - FEFO says "&amp;$AL1253)),IF($AL1253="","⚠ no receipt on file for this item",IF($AM1253&lt;&gt;$AL1253,"FEFO auto - split, also "&amp;$AM1253,"FEFO auto"))))</f>
        <v>FEFO auto - split, also ZIM510137962-1</v>
      </c>
      <c r="AO1253" s="114"/>
    </row>
    <row r="1254" spans="1:41" x14ac:dyDescent="0.35">
      <c r="A1254" s="74">
        <v>46189</v>
      </c>
      <c r="B1254" s="18" t="str">
        <f>IF($C1254="","",IFERROR(INDEX('Staff Directory'!$A$5:$A$594,MATCH($C1254,'Staff Directory'!$B$5:$B$594,0)),"⚠ unknown staff"))</f>
        <v>RN-002-A1</v>
      </c>
      <c r="C1254" s="49" t="s">
        <v>918</v>
      </c>
      <c r="D1254" s="19" t="str">
        <f>IF($B1254="","",IFERROR(INDEX('Staff Directory'!$C$5:$C$594,MATCH($B1254,'Staff Directory'!$A$5:$A$594,0)),""))</f>
        <v>RN</v>
      </c>
      <c r="E1254" s="19" t="str">
        <f>IF($B1254="","",IFERROR(INDEX('Staff Directory'!$D$5:$D$594,MATCH($B1254,'Staff Directory'!$A$5:$A$594,0)),""))</f>
        <v>A1</v>
      </c>
      <c r="F1254" s="9" t="s">
        <v>191</v>
      </c>
      <c r="G1254" s="18" t="str">
        <f>IF($F1254="","",IFERROR(INDEX(Items!$B$5:$B$597,MATCH($F1254,Items!$A$5:$A$597,0)),"⚠ not in Items"))</f>
        <v>Sanitizer</v>
      </c>
      <c r="H1254" s="19" t="str">
        <f>IF($F1254="","",IFERROR(INDEX(Items!$C$5:$C$597,MATCH($F1254,Items!$A$5:$A$597,0)),""))</f>
        <v>236 ML</v>
      </c>
      <c r="I1254" s="23">
        <f>IF($F1254="","",IFERROR(INDEX(Items!$E$5:$E$597,MATCH($F1254,Items!$A$5:$A$597,0)),""))</f>
        <v>1</v>
      </c>
      <c r="J1254" s="115">
        <f>IF(tblIssues[[#This Row],[Qty Override]]&lt;&gt;"",tblIssues[[#This Row],[Qty Override]],IF(tblIssues[[#This Row],[Standard Issue]]="","",tblIssues[[#This Row],[Standard Issue]]))</f>
        <v>1</v>
      </c>
      <c r="K1254" s="20">
        <f>IF($F1254="","",IFERROR(INDEX(Items!$D$5:$D$597,MATCH($F1254,Items!$A$5:$A$597,0)),""))</f>
        <v>1E-4</v>
      </c>
      <c r="L1254" s="21">
        <f t="shared" si="217"/>
        <v>1E-4</v>
      </c>
      <c r="M1254" s="9" t="str">
        <f t="shared" si="215"/>
        <v/>
      </c>
      <c r="N1254" s="24">
        <f>IF($A1254="","",WORKDAY($A1254,Settings!$C$9,HolidayDates))</f>
        <v>46197</v>
      </c>
      <c r="O1254" s="24">
        <f>IF($N1254="","",WORKDAY($N1254,Settings!$C$10,HolidayDates))</f>
        <v>46237</v>
      </c>
      <c r="P1254" s="10" t="s">
        <v>502</v>
      </c>
      <c r="Q1254" s="52" t="str">
        <f t="shared" si="218"/>
        <v>Collected</v>
      </c>
      <c r="R1254" s="55" t="str">
        <f t="shared" si="219"/>
        <v>2026-06</v>
      </c>
      <c r="S1254" s="55">
        <f>IF(OR($B1254="",$F1254="",$R1254=""),"",SUMIFS(tblIssues[Qty Issued],tblIssues[Staff ID],$B1254,tblIssues[Item Name],$F1254,tblIssues[Month],$R1254))</f>
        <v>1</v>
      </c>
      <c r="T1254" s="56">
        <f>IF($I1254="","",$I1254*Settings!$C$11)</f>
        <v>1</v>
      </c>
      <c r="U1254" s="57" t="str">
        <f t="shared" si="216"/>
        <v>OK</v>
      </c>
      <c r="V1254" s="55" t="str">
        <f t="shared" si="220"/>
        <v/>
      </c>
      <c r="W1254" s="55" t="str">
        <f>IF($V1254="","",IF(COUNTIF($V$5:$V1254,$V1254)=1,1,""))</f>
        <v/>
      </c>
      <c r="X1254" s="58" t="str">
        <f>IF($W1254="","",MAX($X$4:X1253)+1)</f>
        <v/>
      </c>
      <c r="Y1254" s="62"/>
      <c r="Z1254" s="62"/>
      <c r="AA1254" s="64" t="str">
        <f>IF($C1254="","",IFERROR(INDEX('Staff Directory'!$E$5:$E$594,MATCH($C1254,'Staff Directory'!$B$5:$B$594,0)),""))</f>
        <v>firstname002.lastname002@example.com</v>
      </c>
      <c r="AB1254" s="64" t="str">
        <f>IF($C1254="","",IF(ISNUMBER(SEARCH($D1254,Settings!$C$15)),"Pickup","Dispatch"))</f>
        <v>Dispatch</v>
      </c>
      <c r="AC1254" s="64" t="str">
        <f t="shared" si="221"/>
        <v>Supply order dispatched</v>
      </c>
      <c r="AD1254" s="64" t="str">
        <f t="shared" si="212"/>
        <v>Dear  ,
Your order has been dispatched and is in transit. Reply if undelivered.</v>
      </c>
      <c r="AE1254" s="64" t="str">
        <f t="shared" si="213"/>
        <v>mailto:firstname002.lastname002@example.com?subject=Supply%20order%20dispatched&amp;body=Dear%20%20%2C%0A%0AYour%20order%20has%20been%20dispatched%20and%20is%20in%20transit.%20Reply%20if%20undelivered.</v>
      </c>
      <c r="AF1254" s="89" t="str">
        <f t="shared" si="222"/>
        <v>Draft email</v>
      </c>
      <c r="AG1254" s="64">
        <f>IF($C1254="","",IFERROR(INDEX('Staff Directory'!$K$595:$K$599,MATCH($C1254,'Staff Directory'!$B$5:$B$599,0)),$D1254))</f>
        <v>0</v>
      </c>
      <c r="AH1254" t="str">
        <f>IF($C1254="","",IFERROR(INDEX('Staff Directory'!$I$595:$I$599,MATCH($C1254,'Staff Directory'!$B$5:$B$599,0))&amp;" "&amp;INDEX('Staff Directory'!$J$595:$J$599,MATCH($C1254,'Staff Directory'!$B$5:$B$599,0)),$AG1254))</f>
        <v xml:space="preserve"> </v>
      </c>
      <c r="AI1254" s="102"/>
      <c r="AJ1254" s="101">
        <f>IF($F1254="","",SUMIFS($J$5:$J1254,$F$5:$F1254,$F1254))</f>
        <v>159</v>
      </c>
      <c r="AK1254" s="101">
        <f t="shared" si="214"/>
        <v>159</v>
      </c>
      <c r="AL1254" s="66" t="str" cm="1">
        <f t="array" ref="AL1254">IF($F1254="","",IFERROR(INDEX('Lot Balance'!$B$5:$B$500,MATCH(1,INDEX(('Lot Balance'!$A$5:$A$500=$F1254)*('Lot Balance'!$K$5:$K$500&lt;$AK1254)*('Lot Balance'!$K$5:$K$500+'Lot Balance'!$D$5:$D$500&gt;=$AK1254),0),0)),""))</f>
        <v/>
      </c>
      <c r="AM1254" s="66" t="str" cm="1">
        <f t="array" ref="AM1254">IF($F1254="","",IFERROR(INDEX('Lot Balance'!$B$5:$B$500,MATCH(1,INDEX(('Lot Balance'!$A$5:$A$500=$F1254)*('Lot Balance'!$K$5:$K$500&lt;$AJ1254)*('Lot Balance'!$K$5:$K$500+'Lot Balance'!$D$5:$D$500&gt;=$AJ1254),0),0)),""))</f>
        <v/>
      </c>
      <c r="AN1254" s="66" t="str">
        <f>IF($F1254="","",IF($AI1254&lt;&gt;"",IF(COUNTIFS('Lot Balance'!$A$5:$A$500,$F1254,'Lot Balance'!$B$5:$B$500,$AI1254)=0,"⚠ override is not a lot of this item",IF($AI1254=$AL1254,"Override = FEFO","Override - FEFO says "&amp;$AL1254)),IF($AL1254="","⚠ no receipt on file for this item",IF($AM1254&lt;&gt;$AL1254,"FEFO auto - split, also "&amp;$AM1254,"FEFO auto"))))</f>
        <v>⚠ no receipt on file for this item</v>
      </c>
      <c r="AO1254" s="114"/>
    </row>
    <row r="1255" spans="1:41" x14ac:dyDescent="0.35">
      <c r="A1255" s="74">
        <v>46189</v>
      </c>
      <c r="B1255" s="18" t="str">
        <f>IF($C1255="","",IFERROR(INDEX('Staff Directory'!$A$5:$A$594,MATCH($C1255,'Staff Directory'!$B$5:$B$594,0)),"⚠ unknown staff"))</f>
        <v>RN-002-A1</v>
      </c>
      <c r="C1255" s="49" t="s">
        <v>918</v>
      </c>
      <c r="D1255" s="19" t="str">
        <f>IF($B1255="","",IFERROR(INDEX('Staff Directory'!$C$5:$C$594,MATCH($B1255,'Staff Directory'!$A$5:$A$594,0)),""))</f>
        <v>RN</v>
      </c>
      <c r="E1255" s="19" t="str">
        <f>IF($B1255="","",IFERROR(INDEX('Staff Directory'!$D$5:$D$594,MATCH($B1255,'Staff Directory'!$A$5:$A$594,0)),""))</f>
        <v>A1</v>
      </c>
      <c r="F1255" s="9" t="s">
        <v>115</v>
      </c>
      <c r="G1255" s="18" t="str">
        <f>IF($F1255="","",IFERROR(INDEX(Items!$B$5:$B$597,MATCH($F1255,Items!$A$5:$A$597,0)),"⚠ not in Items"))</f>
        <v>Wipes</v>
      </c>
      <c r="H1255" s="19">
        <f>IF($F1255="","",IFERROR(INDEX(Items!$C$5:$C$597,MATCH($F1255,Items!$A$5:$A$597,0)),""))</f>
        <v>80</v>
      </c>
      <c r="I1255" s="23">
        <f>IF($F1255="","",IFERROR(INDEX(Items!$E$5:$E$597,MATCH($F1255,Items!$A$5:$A$597,0)),""))</f>
        <v>80</v>
      </c>
      <c r="J1255" s="115">
        <f>IF(tblIssues[[#This Row],[Qty Override]]&lt;&gt;"",tblIssues[[#This Row],[Qty Override]],IF(tblIssues[[#This Row],[Standard Issue]]="","",tblIssues[[#This Row],[Standard Issue]]))</f>
        <v>80</v>
      </c>
      <c r="K1255" s="20">
        <f>IF($F1255="","",IFERROR(INDEX(Items!$D$5:$D$597,MATCH($F1255,Items!$A$5:$A$597,0)),""))</f>
        <v>0.1</v>
      </c>
      <c r="L1255" s="21">
        <f t="shared" si="217"/>
        <v>8</v>
      </c>
      <c r="M1255" s="9" t="str">
        <f t="shared" si="215"/>
        <v>LYSL500290</v>
      </c>
      <c r="N1255" s="24">
        <f>IF($A1255="","",WORKDAY($A1255,Settings!$C$9,HolidayDates))</f>
        <v>46197</v>
      </c>
      <c r="O1255" s="24">
        <f>IF($N1255="","",WORKDAY($N1255,Settings!$C$10,HolidayDates))</f>
        <v>46237</v>
      </c>
      <c r="P1255" s="10" t="s">
        <v>502</v>
      </c>
      <c r="Q1255" s="52" t="str">
        <f t="shared" si="218"/>
        <v>Collected</v>
      </c>
      <c r="R1255" s="55" t="str">
        <f t="shared" si="219"/>
        <v>2026-06</v>
      </c>
      <c r="S1255" s="55">
        <f>IF(OR($B1255="",$F1255="",$R1255=""),"",SUMIFS(tblIssues[Qty Issued],tblIssues[Staff ID],$B1255,tblIssues[Item Name],$F1255,tblIssues[Month],$R1255))</f>
        <v>80</v>
      </c>
      <c r="T1255" s="56">
        <f>IF($I1255="","",$I1255*Settings!$C$11)</f>
        <v>80</v>
      </c>
      <c r="U1255" s="57" t="str">
        <f t="shared" si="216"/>
        <v>OK</v>
      </c>
      <c r="V1255" s="55" t="str">
        <f t="shared" si="220"/>
        <v/>
      </c>
      <c r="W1255" s="55" t="str">
        <f>IF($V1255="","",IF(COUNTIF($V$5:$V1255,$V1255)=1,1,""))</f>
        <v/>
      </c>
      <c r="X1255" s="58" t="str">
        <f>IF($W1255="","",MAX($X$4:X1254)+1)</f>
        <v/>
      </c>
      <c r="Y1255" s="62"/>
      <c r="Z1255" s="62"/>
      <c r="AA1255" s="64" t="str">
        <f>IF($C1255="","",IFERROR(INDEX('Staff Directory'!$E$5:$E$594,MATCH($C1255,'Staff Directory'!$B$5:$B$594,0)),""))</f>
        <v>firstname002.lastname002@example.com</v>
      </c>
      <c r="AB1255" s="64" t="str">
        <f>IF($C1255="","",IF(ISNUMBER(SEARCH($D1255,Settings!$C$15)),"Pickup","Dispatch"))</f>
        <v>Dispatch</v>
      </c>
      <c r="AC1255" s="64" t="str">
        <f t="shared" si="221"/>
        <v>Supply order dispatched</v>
      </c>
      <c r="AD1255" s="64" t="str">
        <f t="shared" si="212"/>
        <v>Dear  ,
Your order has been dispatched and is in transit. Reply if undelivered.</v>
      </c>
      <c r="AE1255" s="64" t="str">
        <f t="shared" si="213"/>
        <v>mailto:firstname002.lastname002@example.com?subject=Supply%20order%20dispatched&amp;body=Dear%20%20%2C%0A%0AYour%20order%20has%20been%20dispatched%20and%20is%20in%20transit.%20Reply%20if%20undelivered.</v>
      </c>
      <c r="AF1255" s="89" t="str">
        <f t="shared" si="222"/>
        <v>Draft email</v>
      </c>
      <c r="AG1255" s="64">
        <f>IF($C1255="","",IFERROR(INDEX('Staff Directory'!$K$595:$K$599,MATCH($C1255,'Staff Directory'!$B$5:$B$599,0)),$D1255))</f>
        <v>0</v>
      </c>
      <c r="AH1255" t="str">
        <f>IF($C1255="","",IFERROR(INDEX('Staff Directory'!$I$595:$I$599,MATCH($C1255,'Staff Directory'!$B$5:$B$599,0))&amp;" "&amp;INDEX('Staff Directory'!$J$595:$J$599,MATCH($C1255,'Staff Directory'!$B$5:$B$599,0)),$AG1255))</f>
        <v xml:space="preserve"> </v>
      </c>
      <c r="AI1255" s="102"/>
      <c r="AJ1255" s="101">
        <f>IF($F1255="","",SUMIFS($J$5:$J1255,$F$5:$F1255,$F1255))</f>
        <v>17360</v>
      </c>
      <c r="AK1255" s="101">
        <f t="shared" si="214"/>
        <v>17281</v>
      </c>
      <c r="AL1255" s="66" t="str" cm="1">
        <f t="array" ref="AL1255">IF($F1255="","",IFERROR(INDEX('Lot Balance'!$B$5:$B$500,MATCH(1,INDEX(('Lot Balance'!$A$5:$A$500=$F1255)*('Lot Balance'!$K$5:$K$500&lt;$AK1255)*('Lot Balance'!$K$5:$K$500+'Lot Balance'!$D$5:$D$500&gt;=$AK1255),0),0)),""))</f>
        <v>LYSL500290</v>
      </c>
      <c r="AM1255" s="66" t="str" cm="1">
        <f t="array" ref="AM1255">IF($F1255="","",IFERROR(INDEX('Lot Balance'!$B$5:$B$500,MATCH(1,INDEX(('Lot Balance'!$A$5:$A$500=$F1255)*('Lot Balance'!$K$5:$K$500&lt;$AJ1255)*('Lot Balance'!$K$5:$K$500+'Lot Balance'!$D$5:$D$500&gt;=$AJ1255),0),0)),""))</f>
        <v>LYSL500290</v>
      </c>
      <c r="AN1255" s="66" t="str">
        <f>IF($F1255="","",IF($AI1255&lt;&gt;"",IF(COUNTIFS('Lot Balance'!$A$5:$A$500,$F1255,'Lot Balance'!$B$5:$B$500,$AI1255)=0,"⚠ override is not a lot of this item",IF($AI1255=$AL1255,"Override = FEFO","Override - FEFO says "&amp;$AL1255)),IF($AL1255="","⚠ no receipt on file for this item",IF($AM1255&lt;&gt;$AL1255,"FEFO auto - split, also "&amp;$AM1255,"FEFO auto"))))</f>
        <v>FEFO auto</v>
      </c>
      <c r="AO1255" s="114"/>
    </row>
    <row r="1256" spans="1:41" x14ac:dyDescent="0.35">
      <c r="A1256" s="74">
        <v>46189</v>
      </c>
      <c r="B1256" s="18" t="str">
        <f>IF($C1256="","",IFERROR(INDEX('Staff Directory'!$A$5:$A$594,MATCH($C1256,'Staff Directory'!$B$5:$B$594,0)),"⚠ unknown staff"))</f>
        <v>RN-002-A1</v>
      </c>
      <c r="C1256" s="49" t="s">
        <v>918</v>
      </c>
      <c r="D1256" s="19" t="str">
        <f>IF($B1256="","",IFERROR(INDEX('Staff Directory'!$C$5:$C$594,MATCH($B1256,'Staff Directory'!$A$5:$A$594,0)),""))</f>
        <v>RN</v>
      </c>
      <c r="E1256" s="19" t="str">
        <f>IF($B1256="","",IFERROR(INDEX('Staff Directory'!$D$5:$D$594,MATCH($B1256,'Staff Directory'!$A$5:$A$594,0)),""))</f>
        <v>A1</v>
      </c>
      <c r="F1256" s="9" t="s">
        <v>156</v>
      </c>
      <c r="G1256" s="18" t="str">
        <f>IF($F1256="","",IFERROR(INDEX(Items!$B$5:$B$597,MATCH($F1256,Items!$A$5:$A$597,0)),"⚠ not in Items"))</f>
        <v>Masks</v>
      </c>
      <c r="H1256" s="19" t="str">
        <f>IF($F1256="","",IFERROR(INDEX(Items!$C$5:$C$597,MATCH($F1256,Items!$A$5:$A$597,0)),""))</f>
        <v>One Size</v>
      </c>
      <c r="I1256" s="23">
        <f>IF($F1256="","",IFERROR(INDEX(Items!$E$5:$E$597,MATCH($F1256,Items!$A$5:$A$597,0)),""))</f>
        <v>50</v>
      </c>
      <c r="J1256" s="115">
        <f>IF(tblIssues[[#This Row],[Qty Override]]&lt;&gt;"",tblIssues[[#This Row],[Qty Override]],IF(tblIssues[[#This Row],[Standard Issue]]="","",tblIssues[[#This Row],[Standard Issue]]))</f>
        <v>50</v>
      </c>
      <c r="K1256" s="20">
        <f>IF($F1256="","",IFERROR(INDEX(Items!$D$5:$D$597,MATCH($F1256,Items!$A$5:$A$597,0)),""))</f>
        <v>0.25</v>
      </c>
      <c r="L1256" s="21">
        <f t="shared" si="217"/>
        <v>12.5</v>
      </c>
      <c r="M1256" s="9" t="str">
        <f t="shared" si="215"/>
        <v>102GPC24</v>
      </c>
      <c r="N1256" s="24">
        <f>IF($A1256="","",WORKDAY($A1256,Settings!$C$9,HolidayDates))</f>
        <v>46197</v>
      </c>
      <c r="O1256" s="24">
        <f>IF($N1256="","",WORKDAY($N1256,Settings!$C$10,HolidayDates))</f>
        <v>46237</v>
      </c>
      <c r="P1256" s="10" t="s">
        <v>502</v>
      </c>
      <c r="Q1256" s="52" t="str">
        <f t="shared" si="218"/>
        <v>Collected</v>
      </c>
      <c r="R1256" s="55" t="str">
        <f t="shared" si="219"/>
        <v>2026-06</v>
      </c>
      <c r="S1256" s="55">
        <f>IF(OR($B1256="",$F1256="",$R1256=""),"",SUMIFS(tblIssues[Qty Issued],tblIssues[Staff ID],$B1256,tblIssues[Item Name],$F1256,tblIssues[Month],$R1256))</f>
        <v>50</v>
      </c>
      <c r="T1256" s="56">
        <f>IF($I1256="","",$I1256*Settings!$C$11)</f>
        <v>50</v>
      </c>
      <c r="U1256" s="57" t="str">
        <f t="shared" si="216"/>
        <v>OK</v>
      </c>
      <c r="V1256" s="55" t="str">
        <f t="shared" si="220"/>
        <v/>
      </c>
      <c r="W1256" s="55" t="str">
        <f>IF($V1256="","",IF(COUNTIF($V$5:$V1256,$V1256)=1,1,""))</f>
        <v/>
      </c>
      <c r="X1256" s="58" t="str">
        <f>IF($W1256="","",MAX($X$4:X1255)+1)</f>
        <v/>
      </c>
      <c r="Y1256" s="62"/>
      <c r="Z1256" s="62"/>
      <c r="AA1256" s="64" t="str">
        <f>IF($C1256="","",IFERROR(INDEX('Staff Directory'!$E$5:$E$594,MATCH($C1256,'Staff Directory'!$B$5:$B$594,0)),""))</f>
        <v>firstname002.lastname002@example.com</v>
      </c>
      <c r="AB1256" s="64" t="str">
        <f>IF($C1256="","",IF(ISNUMBER(SEARCH($D1256,Settings!$C$15)),"Pickup","Dispatch"))</f>
        <v>Dispatch</v>
      </c>
      <c r="AC1256" s="64" t="str">
        <f t="shared" si="221"/>
        <v>Supply order dispatched</v>
      </c>
      <c r="AD1256" s="64" t="str">
        <f t="shared" si="212"/>
        <v>Dear  ,
Your order has been dispatched and is in transit. Reply if undelivered.</v>
      </c>
      <c r="AE1256" s="64" t="str">
        <f t="shared" si="213"/>
        <v>mailto:firstname002.lastname002@example.com?subject=Supply%20order%20dispatched&amp;body=Dear%20%20%2C%0A%0AYour%20order%20has%20been%20dispatched%20and%20is%20in%20transit.%20Reply%20if%20undelivered.</v>
      </c>
      <c r="AF1256" s="89" t="str">
        <f t="shared" si="222"/>
        <v>Draft email</v>
      </c>
      <c r="AG1256" s="64">
        <f>IF($C1256="","",IFERROR(INDEX('Staff Directory'!$K$595:$K$599,MATCH($C1256,'Staff Directory'!$B$5:$B$599,0)),$D1256))</f>
        <v>0</v>
      </c>
      <c r="AH1256" t="str">
        <f>IF($C1256="","",IFERROR(INDEX('Staff Directory'!$I$595:$I$599,MATCH($C1256,'Staff Directory'!$B$5:$B$599,0))&amp;" "&amp;INDEX('Staff Directory'!$J$595:$J$599,MATCH($C1256,'Staff Directory'!$B$5:$B$599,0)),$AG1256))</f>
        <v xml:space="preserve"> </v>
      </c>
      <c r="AI1256" s="102"/>
      <c r="AJ1256" s="101">
        <f>IF($F1256="","",SUMIFS($J$5:$J1256,$F$5:$F1256,$F1256))</f>
        <v>10650</v>
      </c>
      <c r="AK1256" s="101">
        <f t="shared" si="214"/>
        <v>10601</v>
      </c>
      <c r="AL1256" s="66" t="str" cm="1">
        <f t="array" ref="AL1256">IF($F1256="","",IFERROR(INDEX('Lot Balance'!$B$5:$B$500,MATCH(1,INDEX(('Lot Balance'!$A$5:$A$500=$F1256)*('Lot Balance'!$K$5:$K$500&lt;$AK1256)*('Lot Balance'!$K$5:$K$500+'Lot Balance'!$D$5:$D$500&gt;=$AK1256),0),0)),""))</f>
        <v>102GPC24</v>
      </c>
      <c r="AM1256" s="66" t="str" cm="1">
        <f t="array" ref="AM1256">IF($F1256="","",IFERROR(INDEX('Lot Balance'!$B$5:$B$500,MATCH(1,INDEX(('Lot Balance'!$A$5:$A$500=$F1256)*('Lot Balance'!$K$5:$K$500&lt;$AJ1256)*('Lot Balance'!$K$5:$K$500+'Lot Balance'!$D$5:$D$500&gt;=$AJ1256),0),0)),""))</f>
        <v>102GPC24</v>
      </c>
      <c r="AN1256" s="66" t="str">
        <f>IF($F1256="","",IF($AI1256&lt;&gt;"",IF(COUNTIFS('Lot Balance'!$A$5:$A$500,$F1256,'Lot Balance'!$B$5:$B$500,$AI1256)=0,"⚠ override is not a lot of this item",IF($AI1256=$AL1256,"Override = FEFO","Override - FEFO says "&amp;$AL1256)),IF($AL1256="","⚠ no receipt on file for this item",IF($AM1256&lt;&gt;$AL1256,"FEFO auto - split, also "&amp;$AM1256,"FEFO auto"))))</f>
        <v>FEFO auto</v>
      </c>
      <c r="AO1256" s="114"/>
    </row>
    <row r="1257" spans="1:41" x14ac:dyDescent="0.35">
      <c r="A1257" s="74">
        <v>46189</v>
      </c>
      <c r="B1257" s="18" t="str">
        <f>IF($C1257="","",IFERROR(INDEX('Staff Directory'!$A$5:$A$594,MATCH($C1257,'Staff Directory'!$B$5:$B$594,0)),"⚠ unknown staff"))</f>
        <v>RN-002-A1</v>
      </c>
      <c r="C1257" s="49" t="s">
        <v>918</v>
      </c>
      <c r="D1257" s="19" t="str">
        <f>IF($B1257="","",IFERROR(INDEX('Staff Directory'!$C$5:$C$594,MATCH($B1257,'Staff Directory'!$A$5:$A$594,0)),""))</f>
        <v>RN</v>
      </c>
      <c r="E1257" s="19" t="str">
        <f>IF($B1257="","",IFERROR(INDEX('Staff Directory'!$D$5:$D$594,MATCH($B1257,'Staff Directory'!$A$5:$A$594,0)),""))</f>
        <v>A1</v>
      </c>
      <c r="F1257" s="9" t="s">
        <v>154</v>
      </c>
      <c r="G1257" s="18" t="str">
        <f>IF($F1257="","",IFERROR(INDEX(Items!$B$5:$B$597,MATCH($F1257,Items!$A$5:$A$597,0)),"⚠ not in Items"))</f>
        <v>IPAC</v>
      </c>
      <c r="H1257" s="19" t="str">
        <f>IF($F1257="","",IFERROR(INDEX(Items!$C$5:$C$597,MATCH($F1257,Items!$A$5:$A$597,0)),""))</f>
        <v>Regular</v>
      </c>
      <c r="I1257" s="23">
        <f>IF($F1257="","",IFERROR(INDEX(Items!$E$5:$E$597,MATCH($F1257,Items!$A$5:$A$597,0)),""))</f>
        <v>50</v>
      </c>
      <c r="J1257" s="115">
        <f>IF(tblIssues[[#This Row],[Qty Override]]&lt;&gt;"",tblIssues[[#This Row],[Qty Override]],IF(tblIssues[[#This Row],[Standard Issue]]="","",tblIssues[[#This Row],[Standard Issue]]))</f>
        <v>50</v>
      </c>
      <c r="K1257" s="20">
        <f>IF($F1257="","",IFERROR(INDEX(Items!$D$5:$D$597,MATCH($F1257,Items!$A$5:$A$597,0)),""))</f>
        <v>0.2</v>
      </c>
      <c r="L1257" s="21">
        <f t="shared" si="217"/>
        <v>10</v>
      </c>
      <c r="M1257" s="9" t="str">
        <f t="shared" si="215"/>
        <v/>
      </c>
      <c r="N1257" s="24">
        <f>IF($A1257="","",WORKDAY($A1257,Settings!$C$9,HolidayDates))</f>
        <v>46197</v>
      </c>
      <c r="O1257" s="24">
        <f>IF($N1257="","",WORKDAY($N1257,Settings!$C$10,HolidayDates))</f>
        <v>46237</v>
      </c>
      <c r="P1257" s="10" t="s">
        <v>502</v>
      </c>
      <c r="Q1257" s="52" t="str">
        <f t="shared" si="218"/>
        <v>Collected</v>
      </c>
      <c r="R1257" s="55" t="str">
        <f t="shared" si="219"/>
        <v>2026-06</v>
      </c>
      <c r="S1257" s="55">
        <f>IF(OR($B1257="",$F1257="",$R1257=""),"",SUMIFS(tblIssues[Qty Issued],tblIssues[Staff ID],$B1257,tblIssues[Item Name],$F1257,tblIssues[Month],$R1257))</f>
        <v>50</v>
      </c>
      <c r="T1257" s="56">
        <f>IF($I1257="","",$I1257*Settings!$C$11)</f>
        <v>50</v>
      </c>
      <c r="U1257" s="57" t="str">
        <f t="shared" si="216"/>
        <v>OK</v>
      </c>
      <c r="V1257" s="55" t="str">
        <f t="shared" si="220"/>
        <v/>
      </c>
      <c r="W1257" s="55" t="str">
        <f>IF($V1257="","",IF(COUNTIF($V$5:$V1257,$V1257)=1,1,""))</f>
        <v/>
      </c>
      <c r="X1257" s="58" t="str">
        <f>IF($W1257="","",MAX($X$4:X1256)+1)</f>
        <v/>
      </c>
      <c r="Y1257" s="62"/>
      <c r="Z1257" s="62"/>
      <c r="AA1257" s="64" t="str">
        <f>IF($C1257="","",IFERROR(INDEX('Staff Directory'!$E$5:$E$594,MATCH($C1257,'Staff Directory'!$B$5:$B$594,0)),""))</f>
        <v>firstname002.lastname002@example.com</v>
      </c>
      <c r="AB1257" s="64" t="str">
        <f>IF($C1257="","",IF(ISNUMBER(SEARCH($D1257,Settings!$C$15)),"Pickup","Dispatch"))</f>
        <v>Dispatch</v>
      </c>
      <c r="AC1257" s="64" t="str">
        <f t="shared" si="221"/>
        <v>Supply order dispatched</v>
      </c>
      <c r="AD1257" s="64" t="str">
        <f t="shared" si="212"/>
        <v>Dear  ,
Your order has been dispatched and is in transit. Reply if undelivered.</v>
      </c>
      <c r="AE1257" s="64" t="str">
        <f t="shared" si="213"/>
        <v>mailto:firstname002.lastname002@example.com?subject=Supply%20order%20dispatched&amp;body=Dear%20%20%2C%0A%0AYour%20order%20has%20been%20dispatched%20and%20is%20in%20transit.%20Reply%20if%20undelivered.</v>
      </c>
      <c r="AF1257" s="89" t="str">
        <f t="shared" si="222"/>
        <v>Draft email</v>
      </c>
      <c r="AG1257" s="64">
        <f>IF($C1257="","",IFERROR(INDEX('Staff Directory'!$K$595:$K$599,MATCH($C1257,'Staff Directory'!$B$5:$B$599,0)),$D1257))</f>
        <v>0</v>
      </c>
      <c r="AH1257" t="str">
        <f>IF($C1257="","",IFERROR(INDEX('Staff Directory'!$I$595:$I$599,MATCH($C1257,'Staff Directory'!$B$5:$B$599,0))&amp;" "&amp;INDEX('Staff Directory'!$J$595:$J$599,MATCH($C1257,'Staff Directory'!$B$5:$B$599,0)),$AG1257))</f>
        <v xml:space="preserve"> </v>
      </c>
      <c r="AI1257" s="102"/>
      <c r="AJ1257" s="101">
        <f>IF($F1257="","",SUMIFS($J$5:$J1257,$F$5:$F1257,$F1257))</f>
        <v>1200</v>
      </c>
      <c r="AK1257" s="101">
        <f t="shared" si="214"/>
        <v>1151</v>
      </c>
      <c r="AL1257" s="66" t="str" cm="1">
        <f t="array" ref="AL1257">IF($F1257="","",IFERROR(INDEX('Lot Balance'!$B$5:$B$500,MATCH(1,INDEX(('Lot Balance'!$A$5:$A$500=$F1257)*('Lot Balance'!$K$5:$K$500&lt;$AK1257)*('Lot Balance'!$K$5:$K$500+'Lot Balance'!$D$5:$D$500&gt;=$AK1257),0),0)),""))</f>
        <v/>
      </c>
      <c r="AM1257" s="66" t="str" cm="1">
        <f t="array" ref="AM1257">IF($F1257="","",IFERROR(INDEX('Lot Balance'!$B$5:$B$500,MATCH(1,INDEX(('Lot Balance'!$A$5:$A$500=$F1257)*('Lot Balance'!$K$5:$K$500&lt;$AJ1257)*('Lot Balance'!$K$5:$K$500+'Lot Balance'!$D$5:$D$500&gt;=$AJ1257),0),0)),""))</f>
        <v/>
      </c>
      <c r="AN1257" s="66" t="str">
        <f>IF($F1257="","",IF($AI1257&lt;&gt;"",IF(COUNTIFS('Lot Balance'!$A$5:$A$500,$F1257,'Lot Balance'!$B$5:$B$500,$AI1257)=0,"⚠ override is not a lot of this item",IF($AI1257=$AL1257,"Override = FEFO","Override - FEFO says "&amp;$AL1257)),IF($AL1257="","⚠ no receipt on file for this item",IF($AM1257&lt;&gt;$AL1257,"FEFO auto - split, also "&amp;$AM1257,"FEFO auto"))))</f>
        <v>⚠ no receipt on file for this item</v>
      </c>
      <c r="AO1257" s="114"/>
    </row>
    <row r="1258" spans="1:41" x14ac:dyDescent="0.35">
      <c r="A1258" s="74">
        <v>46189</v>
      </c>
      <c r="B1258" s="18" t="str">
        <f>IF($C1258="","",IFERROR(INDEX('Staff Directory'!$A$5:$A$594,MATCH($C1258,'Staff Directory'!$B$5:$B$594,0)),"⚠ unknown staff"))</f>
        <v>RPN-001-A1</v>
      </c>
      <c r="C1258" s="49" t="s">
        <v>928</v>
      </c>
      <c r="D1258" s="19" t="str">
        <f>IF($B1258="","",IFERROR(INDEX('Staff Directory'!$C$5:$C$594,MATCH($B1258,'Staff Directory'!$A$5:$A$594,0)),""))</f>
        <v>RPN</v>
      </c>
      <c r="E1258" s="19" t="str">
        <f>IF($B1258="","",IFERROR(INDEX('Staff Directory'!$D$5:$D$594,MATCH($B1258,'Staff Directory'!$A$5:$A$594,0)),""))</f>
        <v>A1</v>
      </c>
      <c r="F1258" s="9" t="s">
        <v>124</v>
      </c>
      <c r="G1258" s="18" t="str">
        <f>IF($F1258="","",IFERROR(INDEX(Items!$B$5:$B$597,MATCH($F1258,Items!$A$5:$A$597,0)),"⚠ not in Items"))</f>
        <v>Gloves</v>
      </c>
      <c r="H1258" s="19" t="str">
        <f>IF($F1258="","",IFERROR(INDEX(Items!$C$5:$C$597,MATCH($F1258,Items!$A$5:$A$597,0)),""))</f>
        <v>Large</v>
      </c>
      <c r="I1258" s="23">
        <f>IF($F1258="","",IFERROR(INDEX(Items!$E$5:$E$597,MATCH($F1258,Items!$A$5:$A$597,0)),""))</f>
        <v>500</v>
      </c>
      <c r="J1258" s="115">
        <f>IF(tblIssues[[#This Row],[Qty Override]]&lt;&gt;"",tblIssues[[#This Row],[Qty Override]],IF(tblIssues[[#This Row],[Standard Issue]]="","",tblIssues[[#This Row],[Standard Issue]]))</f>
        <v>500</v>
      </c>
      <c r="K1258" s="20">
        <f>IF($F1258="","",IFERROR(INDEX(Items!$D$5:$D$597,MATCH($F1258,Items!$A$5:$A$597,0)),""))</f>
        <v>5.5E-2</v>
      </c>
      <c r="L1258" s="21">
        <f t="shared" si="217"/>
        <v>27.5</v>
      </c>
      <c r="M1258" s="9" t="str">
        <f t="shared" si="215"/>
        <v>ZIM511139904-2</v>
      </c>
      <c r="N1258" s="24">
        <f>IF($A1258="","",WORKDAY($A1258,Settings!$C$9,HolidayDates))</f>
        <v>46197</v>
      </c>
      <c r="O1258" s="24">
        <f>IF($N1258="","",WORKDAY($N1258,Settings!$C$10,HolidayDates))</f>
        <v>46237</v>
      </c>
      <c r="P1258" s="10" t="s">
        <v>502</v>
      </c>
      <c r="Q1258" s="52" t="str">
        <f t="shared" si="218"/>
        <v>Collected</v>
      </c>
      <c r="R1258" s="55" t="str">
        <f t="shared" si="219"/>
        <v>2026-06</v>
      </c>
      <c r="S1258" s="55">
        <f>IF(OR($B1258="",$F1258="",$R1258=""),"",SUMIFS(tblIssues[Qty Issued],tblIssues[Staff ID],$B1258,tblIssues[Item Name],$F1258,tblIssues[Month],$R1258))</f>
        <v>500</v>
      </c>
      <c r="T1258" s="56">
        <f>IF($I1258="","",$I1258*Settings!$C$11)</f>
        <v>500</v>
      </c>
      <c r="U1258" s="57" t="str">
        <f t="shared" si="216"/>
        <v>OK</v>
      </c>
      <c r="V1258" s="55" t="str">
        <f t="shared" si="220"/>
        <v/>
      </c>
      <c r="W1258" s="55" t="str">
        <f>IF($V1258="","",IF(COUNTIF($V$5:$V1258,$V1258)=1,1,""))</f>
        <v/>
      </c>
      <c r="X1258" s="58" t="str">
        <f>IF($W1258="","",MAX($X$4:X1257)+1)</f>
        <v/>
      </c>
      <c r="Y1258" s="62"/>
      <c r="Z1258" s="62"/>
      <c r="AA1258" s="64" t="str">
        <f>IF($C1258="","",IFERROR(INDEX('Staff Directory'!$E$5:$E$594,MATCH($C1258,'Staff Directory'!$B$5:$B$594,0)),""))</f>
        <v>firstname012.lastname012@example.com</v>
      </c>
      <c r="AB1258" s="64" t="str">
        <f>IF($C1258="","",IF(ISNUMBER(SEARCH($D1258,Settings!$C$15)),"Pickup","Dispatch"))</f>
        <v>Dispatch</v>
      </c>
      <c r="AC1258" s="64" t="str">
        <f t="shared" si="221"/>
        <v>Supply order dispatched</v>
      </c>
      <c r="AD1258" s="64" t="str">
        <f t="shared" si="212"/>
        <v>Dear RPN,
Your order has been dispatched and is in transit. Reply if undelivered.</v>
      </c>
      <c r="AE1258" s="64" t="str">
        <f t="shared" si="213"/>
        <v>mailto:firstname012.lastname012@example.com?subject=Supply%20order%20dispatched&amp;body=Dear%20RPN%2C%0A%0AYour%20order%20has%20been%20dispatched%20and%20is%20in%20transit.%20Reply%20if%20undelivered.</v>
      </c>
      <c r="AF1258" s="89" t="str">
        <f t="shared" si="222"/>
        <v>Draft email</v>
      </c>
      <c r="AG1258" s="64" t="str">
        <f>IF($C1258="","",IFERROR(INDEX('Staff Directory'!$K$595:$K$599,MATCH($C1258,'Staff Directory'!$B$5:$B$599,0)),$D1258))</f>
        <v>RPN</v>
      </c>
      <c r="AH1258" t="str">
        <f>IF($C1258="","",IFERROR(INDEX('Staff Directory'!$I$595:$I$599,MATCH($C1258,'Staff Directory'!$B$5:$B$599,0))&amp;" "&amp;INDEX('Staff Directory'!$J$595:$J$599,MATCH($C1258,'Staff Directory'!$B$5:$B$599,0)),$AG1258))</f>
        <v>RPN</v>
      </c>
      <c r="AI1258" s="102"/>
      <c r="AJ1258" s="101">
        <f>IF($F1258="","",SUMIFS($J$5:$J1258,$F$5:$F1258,$F1258))</f>
        <v>35000</v>
      </c>
      <c r="AK1258" s="101">
        <f t="shared" si="214"/>
        <v>34501</v>
      </c>
      <c r="AL1258" s="66" t="str" cm="1">
        <f t="array" ref="AL1258">IF($F1258="","",IFERROR(INDEX('Lot Balance'!$B$5:$B$500,MATCH(1,INDEX(('Lot Balance'!$A$5:$A$500=$F1258)*('Lot Balance'!$K$5:$K$500&lt;$AK1258)*('Lot Balance'!$K$5:$K$500+'Lot Balance'!$D$5:$D$500&gt;=$AK1258),0),0)),""))</f>
        <v>ZIM511139904-2</v>
      </c>
      <c r="AM1258" s="66" t="str" cm="1">
        <f t="array" ref="AM1258">IF($F1258="","",IFERROR(INDEX('Lot Balance'!$B$5:$B$500,MATCH(1,INDEX(('Lot Balance'!$A$5:$A$500=$F1258)*('Lot Balance'!$K$5:$K$500&lt;$AJ1258)*('Lot Balance'!$K$5:$K$500+'Lot Balance'!$D$5:$D$500&gt;=$AJ1258),0),0)),""))</f>
        <v>ZIM511139904-2</v>
      </c>
      <c r="AN1258" s="66" t="str">
        <f>IF($F1258="","",IF($AI1258&lt;&gt;"",IF(COUNTIFS('Lot Balance'!$A$5:$A$500,$F1258,'Lot Balance'!$B$5:$B$500,$AI1258)=0,"⚠ override is not a lot of this item",IF($AI1258=$AL1258,"Override = FEFO","Override - FEFO says "&amp;$AL1258)),IF($AL1258="","⚠ no receipt on file for this item",IF($AM1258&lt;&gt;$AL1258,"FEFO auto - split, also "&amp;$AM1258,"FEFO auto"))))</f>
        <v>FEFO auto</v>
      </c>
      <c r="AO1258" s="114"/>
    </row>
    <row r="1259" spans="1:41" x14ac:dyDescent="0.35">
      <c r="A1259" s="74">
        <v>46189</v>
      </c>
      <c r="B1259" s="18" t="str">
        <f>IF($C1259="","",IFERROR(INDEX('Staff Directory'!$A$5:$A$594,MATCH($C1259,'Staff Directory'!$B$5:$B$594,0)),"⚠ unknown staff"))</f>
        <v>RPN-001-A1</v>
      </c>
      <c r="C1259" s="49" t="s">
        <v>928</v>
      </c>
      <c r="D1259" s="19" t="str">
        <f>IF($B1259="","",IFERROR(INDEX('Staff Directory'!$C$5:$C$594,MATCH($B1259,'Staff Directory'!$A$5:$A$594,0)),""))</f>
        <v>RPN</v>
      </c>
      <c r="E1259" s="19" t="str">
        <f>IF($B1259="","",IFERROR(INDEX('Staff Directory'!$D$5:$D$594,MATCH($B1259,'Staff Directory'!$A$5:$A$594,0)),""))</f>
        <v>A1</v>
      </c>
      <c r="F1259" s="9" t="s">
        <v>115</v>
      </c>
      <c r="G1259" s="18" t="str">
        <f>IF($F1259="","",IFERROR(INDEX(Items!$B$5:$B$597,MATCH($F1259,Items!$A$5:$A$597,0)),"⚠ not in Items"))</f>
        <v>Wipes</v>
      </c>
      <c r="H1259" s="19">
        <f>IF($F1259="","",IFERROR(INDEX(Items!$C$5:$C$597,MATCH($F1259,Items!$A$5:$A$597,0)),""))</f>
        <v>80</v>
      </c>
      <c r="I1259" s="23">
        <f>IF($F1259="","",IFERROR(INDEX(Items!$E$5:$E$597,MATCH($F1259,Items!$A$5:$A$597,0)),""))</f>
        <v>80</v>
      </c>
      <c r="J1259" s="115">
        <f>IF(tblIssues[[#This Row],[Qty Override]]&lt;&gt;"",tblIssues[[#This Row],[Qty Override]],IF(tblIssues[[#This Row],[Standard Issue]]="","",tblIssues[[#This Row],[Standard Issue]]))</f>
        <v>80</v>
      </c>
      <c r="K1259" s="20">
        <f>IF($F1259="","",IFERROR(INDEX(Items!$D$5:$D$597,MATCH($F1259,Items!$A$5:$A$597,0)),""))</f>
        <v>0.1</v>
      </c>
      <c r="L1259" s="21">
        <f t="shared" si="217"/>
        <v>8</v>
      </c>
      <c r="M1259" s="9" t="str">
        <f t="shared" si="215"/>
        <v>LYSL500290</v>
      </c>
      <c r="N1259" s="24">
        <f>IF($A1259="","",WORKDAY($A1259,Settings!$C$9,HolidayDates))</f>
        <v>46197</v>
      </c>
      <c r="O1259" s="24">
        <f>IF($N1259="","",WORKDAY($N1259,Settings!$C$10,HolidayDates))</f>
        <v>46237</v>
      </c>
      <c r="P1259" s="10" t="s">
        <v>502</v>
      </c>
      <c r="Q1259" s="52" t="str">
        <f t="shared" si="218"/>
        <v>Collected</v>
      </c>
      <c r="R1259" s="55" t="str">
        <f t="shared" si="219"/>
        <v>2026-06</v>
      </c>
      <c r="S1259" s="55">
        <f>IF(OR($B1259="",$F1259="",$R1259=""),"",SUMIFS(tblIssues[Qty Issued],tblIssues[Staff ID],$B1259,tblIssues[Item Name],$F1259,tblIssues[Month],$R1259))</f>
        <v>80</v>
      </c>
      <c r="T1259" s="56">
        <f>IF($I1259="","",$I1259*Settings!$C$11)</f>
        <v>80</v>
      </c>
      <c r="U1259" s="57" t="str">
        <f t="shared" si="216"/>
        <v>OK</v>
      </c>
      <c r="V1259" s="55" t="str">
        <f t="shared" si="220"/>
        <v/>
      </c>
      <c r="W1259" s="55" t="str">
        <f>IF($V1259="","",IF(COUNTIF($V$5:$V1259,$V1259)=1,1,""))</f>
        <v/>
      </c>
      <c r="X1259" s="58" t="str">
        <f>IF($W1259="","",MAX($X$4:X1258)+1)</f>
        <v/>
      </c>
      <c r="Y1259" s="62"/>
      <c r="Z1259" s="62"/>
      <c r="AA1259" s="64" t="str">
        <f>IF($C1259="","",IFERROR(INDEX('Staff Directory'!$E$5:$E$594,MATCH($C1259,'Staff Directory'!$B$5:$B$594,0)),""))</f>
        <v>firstname012.lastname012@example.com</v>
      </c>
      <c r="AB1259" s="64" t="str">
        <f>IF($C1259="","",IF(ISNUMBER(SEARCH($D1259,Settings!$C$15)),"Pickup","Dispatch"))</f>
        <v>Dispatch</v>
      </c>
      <c r="AC1259" s="64" t="str">
        <f t="shared" si="221"/>
        <v>Supply order dispatched</v>
      </c>
      <c r="AD1259" s="64" t="str">
        <f t="shared" si="212"/>
        <v>Dear RPN,
Your order has been dispatched and is in transit. Reply if undelivered.</v>
      </c>
      <c r="AE1259" s="64" t="str">
        <f t="shared" si="213"/>
        <v>mailto:firstname012.lastname012@example.com?subject=Supply%20order%20dispatched&amp;body=Dear%20RPN%2C%0A%0AYour%20order%20has%20been%20dispatched%20and%20is%20in%20transit.%20Reply%20if%20undelivered.</v>
      </c>
      <c r="AF1259" s="89" t="str">
        <f t="shared" si="222"/>
        <v>Draft email</v>
      </c>
      <c r="AG1259" s="64" t="str">
        <f>IF($C1259="","",IFERROR(INDEX('Staff Directory'!$K$595:$K$599,MATCH($C1259,'Staff Directory'!$B$5:$B$599,0)),$D1259))</f>
        <v>RPN</v>
      </c>
      <c r="AH1259" t="str">
        <f>IF($C1259="","",IFERROR(INDEX('Staff Directory'!$I$595:$I$599,MATCH($C1259,'Staff Directory'!$B$5:$B$599,0))&amp;" "&amp;INDEX('Staff Directory'!$J$595:$J$599,MATCH($C1259,'Staff Directory'!$B$5:$B$599,0)),$AG1259))</f>
        <v>RPN</v>
      </c>
      <c r="AI1259" s="102"/>
      <c r="AJ1259" s="101">
        <f>IF($F1259="","",SUMIFS($J$5:$J1259,$F$5:$F1259,$F1259))</f>
        <v>17440</v>
      </c>
      <c r="AK1259" s="101">
        <f t="shared" si="214"/>
        <v>17361</v>
      </c>
      <c r="AL1259" s="66" t="str" cm="1">
        <f t="array" ref="AL1259">IF($F1259="","",IFERROR(INDEX('Lot Balance'!$B$5:$B$500,MATCH(1,INDEX(('Lot Balance'!$A$5:$A$500=$F1259)*('Lot Balance'!$K$5:$K$500&lt;$AK1259)*('Lot Balance'!$K$5:$K$500+'Lot Balance'!$D$5:$D$500&gt;=$AK1259),0),0)),""))</f>
        <v>LYSL500290</v>
      </c>
      <c r="AM1259" s="66" t="str" cm="1">
        <f t="array" ref="AM1259">IF($F1259="","",IFERROR(INDEX('Lot Balance'!$B$5:$B$500,MATCH(1,INDEX(('Lot Balance'!$A$5:$A$500=$F1259)*('Lot Balance'!$K$5:$K$500&lt;$AJ1259)*('Lot Balance'!$K$5:$K$500+'Lot Balance'!$D$5:$D$500&gt;=$AJ1259),0),0)),""))</f>
        <v>LYSL500290</v>
      </c>
      <c r="AN1259" s="66" t="str">
        <f>IF($F1259="","",IF($AI1259&lt;&gt;"",IF(COUNTIFS('Lot Balance'!$A$5:$A$500,$F1259,'Lot Balance'!$B$5:$B$500,$AI1259)=0,"⚠ override is not a lot of this item",IF($AI1259=$AL1259,"Override = FEFO","Override - FEFO says "&amp;$AL1259)),IF($AL1259="","⚠ no receipt on file for this item",IF($AM1259&lt;&gt;$AL1259,"FEFO auto - split, also "&amp;$AM1259,"FEFO auto"))))</f>
        <v>FEFO auto</v>
      </c>
      <c r="AO1259" s="114"/>
    </row>
    <row r="1260" spans="1:41" x14ac:dyDescent="0.35">
      <c r="A1260" s="74">
        <v>46189</v>
      </c>
      <c r="B1260" s="18" t="str">
        <f>IF($C1260="","",IFERROR(INDEX('Staff Directory'!$A$5:$A$594,MATCH($C1260,'Staff Directory'!$B$5:$B$594,0)),"⚠ unknown staff"))</f>
        <v>RPN-001-A1</v>
      </c>
      <c r="C1260" s="49" t="s">
        <v>928</v>
      </c>
      <c r="D1260" s="19" t="str">
        <f>IF($B1260="","",IFERROR(INDEX('Staff Directory'!$C$5:$C$594,MATCH($B1260,'Staff Directory'!$A$5:$A$594,0)),""))</f>
        <v>RPN</v>
      </c>
      <c r="E1260" s="19" t="str">
        <f>IF($B1260="","",IFERROR(INDEX('Staff Directory'!$D$5:$D$594,MATCH($B1260,'Staff Directory'!$A$5:$A$594,0)),""))</f>
        <v>A1</v>
      </c>
      <c r="F1260" s="9" t="s">
        <v>156</v>
      </c>
      <c r="G1260" s="18" t="str">
        <f>IF($F1260="","",IFERROR(INDEX(Items!$B$5:$B$597,MATCH($F1260,Items!$A$5:$A$597,0)),"⚠ not in Items"))</f>
        <v>Masks</v>
      </c>
      <c r="H1260" s="19" t="str">
        <f>IF($F1260="","",IFERROR(INDEX(Items!$C$5:$C$597,MATCH($F1260,Items!$A$5:$A$597,0)),""))</f>
        <v>One Size</v>
      </c>
      <c r="I1260" s="23">
        <f>IF($F1260="","",IFERROR(INDEX(Items!$E$5:$E$597,MATCH($F1260,Items!$A$5:$A$597,0)),""))</f>
        <v>50</v>
      </c>
      <c r="J1260" s="115">
        <f>IF(tblIssues[[#This Row],[Qty Override]]&lt;&gt;"",tblIssues[[#This Row],[Qty Override]],IF(tblIssues[[#This Row],[Standard Issue]]="","",tblIssues[[#This Row],[Standard Issue]]))</f>
        <v>50</v>
      </c>
      <c r="K1260" s="20">
        <f>IF($F1260="","",IFERROR(INDEX(Items!$D$5:$D$597,MATCH($F1260,Items!$A$5:$A$597,0)),""))</f>
        <v>0.25</v>
      </c>
      <c r="L1260" s="21">
        <f t="shared" si="217"/>
        <v>12.5</v>
      </c>
      <c r="M1260" s="9" t="str">
        <f t="shared" si="215"/>
        <v>102GPC24</v>
      </c>
      <c r="N1260" s="24">
        <f>IF($A1260="","",WORKDAY($A1260,Settings!$C$9,HolidayDates))</f>
        <v>46197</v>
      </c>
      <c r="O1260" s="24">
        <f>IF($N1260="","",WORKDAY($N1260,Settings!$C$10,HolidayDates))</f>
        <v>46237</v>
      </c>
      <c r="P1260" s="10" t="s">
        <v>502</v>
      </c>
      <c r="Q1260" s="52" t="str">
        <f t="shared" si="218"/>
        <v>Collected</v>
      </c>
      <c r="R1260" s="55" t="str">
        <f t="shared" si="219"/>
        <v>2026-06</v>
      </c>
      <c r="S1260" s="55">
        <f>IF(OR($B1260="",$F1260="",$R1260=""),"",SUMIFS(tblIssues[Qty Issued],tblIssues[Staff ID],$B1260,tblIssues[Item Name],$F1260,tblIssues[Month],$R1260))</f>
        <v>50</v>
      </c>
      <c r="T1260" s="56">
        <f>IF($I1260="","",$I1260*Settings!$C$11)</f>
        <v>50</v>
      </c>
      <c r="U1260" s="57" t="str">
        <f t="shared" si="216"/>
        <v>OK</v>
      </c>
      <c r="V1260" s="55" t="str">
        <f t="shared" si="220"/>
        <v/>
      </c>
      <c r="W1260" s="55" t="str">
        <f>IF($V1260="","",IF(COUNTIF($V$5:$V1260,$V1260)=1,1,""))</f>
        <v/>
      </c>
      <c r="X1260" s="58" t="str">
        <f>IF($W1260="","",MAX($X$4:X1259)+1)</f>
        <v/>
      </c>
      <c r="Y1260" s="62"/>
      <c r="Z1260" s="62"/>
      <c r="AA1260" s="64" t="str">
        <f>IF($C1260="","",IFERROR(INDEX('Staff Directory'!$E$5:$E$594,MATCH($C1260,'Staff Directory'!$B$5:$B$594,0)),""))</f>
        <v>firstname012.lastname012@example.com</v>
      </c>
      <c r="AB1260" s="64" t="str">
        <f>IF($C1260="","",IF(ISNUMBER(SEARCH($D1260,Settings!$C$15)),"Pickup","Dispatch"))</f>
        <v>Dispatch</v>
      </c>
      <c r="AC1260" s="64" t="str">
        <f t="shared" si="221"/>
        <v>Supply order dispatched</v>
      </c>
      <c r="AD1260" s="64" t="str">
        <f t="shared" si="212"/>
        <v>Dear RPN,
Your order has been dispatched and is in transit. Reply if undelivered.</v>
      </c>
      <c r="AE1260" s="64" t="str">
        <f t="shared" si="213"/>
        <v>mailto:firstname012.lastname012@example.com?subject=Supply%20order%20dispatched&amp;body=Dear%20RPN%2C%0A%0AYour%20order%20has%20been%20dispatched%20and%20is%20in%20transit.%20Reply%20if%20undelivered.</v>
      </c>
      <c r="AF1260" s="89" t="str">
        <f t="shared" si="222"/>
        <v>Draft email</v>
      </c>
      <c r="AG1260" s="64" t="str">
        <f>IF($C1260="","",IFERROR(INDEX('Staff Directory'!$K$595:$K$599,MATCH($C1260,'Staff Directory'!$B$5:$B$599,0)),$D1260))</f>
        <v>RPN</v>
      </c>
      <c r="AH1260" t="str">
        <f>IF($C1260="","",IFERROR(INDEX('Staff Directory'!$I$595:$I$599,MATCH($C1260,'Staff Directory'!$B$5:$B$599,0))&amp;" "&amp;INDEX('Staff Directory'!$J$595:$J$599,MATCH($C1260,'Staff Directory'!$B$5:$B$599,0)),$AG1260))</f>
        <v>RPN</v>
      </c>
      <c r="AI1260" s="102"/>
      <c r="AJ1260" s="101">
        <f>IF($F1260="","",SUMIFS($J$5:$J1260,$F$5:$F1260,$F1260))</f>
        <v>10700</v>
      </c>
      <c r="AK1260" s="101">
        <f t="shared" si="214"/>
        <v>10651</v>
      </c>
      <c r="AL1260" s="66" t="str" cm="1">
        <f t="array" ref="AL1260">IF($F1260="","",IFERROR(INDEX('Lot Balance'!$B$5:$B$500,MATCH(1,INDEX(('Lot Balance'!$A$5:$A$500=$F1260)*('Lot Balance'!$K$5:$K$500&lt;$AK1260)*('Lot Balance'!$K$5:$K$500+'Lot Balance'!$D$5:$D$500&gt;=$AK1260),0),0)),""))</f>
        <v>102GPC24</v>
      </c>
      <c r="AM1260" s="66" t="str" cm="1">
        <f t="array" ref="AM1260">IF($F1260="","",IFERROR(INDEX('Lot Balance'!$B$5:$B$500,MATCH(1,INDEX(('Lot Balance'!$A$5:$A$500=$F1260)*('Lot Balance'!$K$5:$K$500&lt;$AJ1260)*('Lot Balance'!$K$5:$K$500+'Lot Balance'!$D$5:$D$500&gt;=$AJ1260),0),0)),""))</f>
        <v>102GPC24</v>
      </c>
      <c r="AN1260" s="66" t="str">
        <f>IF($F1260="","",IF($AI1260&lt;&gt;"",IF(COUNTIFS('Lot Balance'!$A$5:$A$500,$F1260,'Lot Balance'!$B$5:$B$500,$AI1260)=0,"⚠ override is not a lot of this item",IF($AI1260=$AL1260,"Override = FEFO","Override - FEFO says "&amp;$AL1260)),IF($AL1260="","⚠ no receipt on file for this item",IF($AM1260&lt;&gt;$AL1260,"FEFO auto - split, also "&amp;$AM1260,"FEFO auto"))))</f>
        <v>FEFO auto</v>
      </c>
      <c r="AO1260" s="114"/>
    </row>
    <row r="1261" spans="1:41" x14ac:dyDescent="0.35">
      <c r="A1261" s="74">
        <v>46189</v>
      </c>
      <c r="B1261" s="18" t="str">
        <f>IF($C1261="","",IFERROR(INDEX('Staff Directory'!$A$5:$A$594,MATCH($C1261,'Staff Directory'!$B$5:$B$594,0)),"⚠ unknown staff"))</f>
        <v>RPN-001-A1</v>
      </c>
      <c r="C1261" s="49" t="s">
        <v>928</v>
      </c>
      <c r="D1261" s="19" t="str">
        <f>IF($B1261="","",IFERROR(INDEX('Staff Directory'!$C$5:$C$594,MATCH($B1261,'Staff Directory'!$A$5:$A$594,0)),""))</f>
        <v>RPN</v>
      </c>
      <c r="E1261" s="19" t="str">
        <f>IF($B1261="","",IFERROR(INDEX('Staff Directory'!$D$5:$D$594,MATCH($B1261,'Staff Directory'!$A$5:$A$594,0)),""))</f>
        <v>A1</v>
      </c>
      <c r="F1261" s="9" t="s">
        <v>159</v>
      </c>
      <c r="G1261" s="18" t="str">
        <f>IF($F1261="","",IFERROR(INDEX(Items!$B$5:$B$597,MATCH($F1261,Items!$A$5:$A$597,0)),"⚠ not in Items"))</f>
        <v>Documents</v>
      </c>
      <c r="H1261" s="19" t="str">
        <f>IF($F1261="","",IFERROR(INDEX(Items!$C$5:$C$597,MATCH($F1261,Items!$A$5:$A$597,0)),""))</f>
        <v>Standard</v>
      </c>
      <c r="I1261" s="23">
        <f>IF($F1261="","",IFERROR(INDEX(Items!$E$5:$E$597,MATCH($F1261,Items!$A$5:$A$597,0)),""))</f>
        <v>20</v>
      </c>
      <c r="J1261" s="115">
        <f>IF(tblIssues[[#This Row],[Qty Override]]&lt;&gt;"",tblIssues[[#This Row],[Qty Override]],IF(tblIssues[[#This Row],[Standard Issue]]="","",tblIssues[[#This Row],[Standard Issue]]))</f>
        <v>20</v>
      </c>
      <c r="K1261" s="20">
        <f>IF($F1261="","",IFERROR(INDEX(Items!$D$5:$D$597,MATCH($F1261,Items!$A$5:$A$597,0)),""))</f>
        <v>0</v>
      </c>
      <c r="L1261" s="21">
        <f t="shared" si="217"/>
        <v>0</v>
      </c>
      <c r="M1261" s="9" t="str">
        <f t="shared" si="215"/>
        <v/>
      </c>
      <c r="N1261" s="24">
        <f>IF($A1261="","",WORKDAY($A1261,Settings!$C$9,HolidayDates))</f>
        <v>46197</v>
      </c>
      <c r="O1261" s="24">
        <f>IF($N1261="","",WORKDAY($N1261,Settings!$C$10,HolidayDates))</f>
        <v>46237</v>
      </c>
      <c r="P1261" s="10" t="s">
        <v>502</v>
      </c>
      <c r="Q1261" s="52" t="str">
        <f t="shared" si="218"/>
        <v>Collected</v>
      </c>
      <c r="R1261" s="55" t="str">
        <f t="shared" si="219"/>
        <v>2026-06</v>
      </c>
      <c r="S1261" s="55">
        <f>IF(OR($B1261="",$F1261="",$R1261=""),"",SUMIFS(tblIssues[Qty Issued],tblIssues[Staff ID],$B1261,tblIssues[Item Name],$F1261,tblIssues[Month],$R1261))</f>
        <v>20</v>
      </c>
      <c r="T1261" s="56">
        <f>IF($I1261="","",$I1261*Settings!$C$11)</f>
        <v>20</v>
      </c>
      <c r="U1261" s="57" t="str">
        <f t="shared" si="216"/>
        <v>OK</v>
      </c>
      <c r="V1261" s="55" t="str">
        <f t="shared" si="220"/>
        <v/>
      </c>
      <c r="W1261" s="55" t="str">
        <f>IF($V1261="","",IF(COUNTIF($V$5:$V1261,$V1261)=1,1,""))</f>
        <v/>
      </c>
      <c r="X1261" s="58" t="str">
        <f>IF($W1261="","",MAX($X$4:X1260)+1)</f>
        <v/>
      </c>
      <c r="Y1261" s="62"/>
      <c r="Z1261" s="62"/>
      <c r="AA1261" s="64" t="str">
        <f>IF($C1261="","",IFERROR(INDEX('Staff Directory'!$E$5:$E$594,MATCH($C1261,'Staff Directory'!$B$5:$B$594,0)),""))</f>
        <v>firstname012.lastname012@example.com</v>
      </c>
      <c r="AB1261" s="64" t="str">
        <f>IF($C1261="","",IF(ISNUMBER(SEARCH($D1261,Settings!$C$15)),"Pickup","Dispatch"))</f>
        <v>Dispatch</v>
      </c>
      <c r="AC1261" s="64" t="str">
        <f t="shared" si="221"/>
        <v>Supply order dispatched</v>
      </c>
      <c r="AD1261" s="64" t="str">
        <f t="shared" si="212"/>
        <v>Dear RPN,
Your order has been dispatched and is in transit. Reply if undelivered.</v>
      </c>
      <c r="AE1261" s="64" t="str">
        <f t="shared" si="213"/>
        <v>mailto:firstname012.lastname012@example.com?subject=Supply%20order%20dispatched&amp;body=Dear%20RPN%2C%0A%0AYour%20order%20has%20been%20dispatched%20and%20is%20in%20transit.%20Reply%20if%20undelivered.</v>
      </c>
      <c r="AF1261" s="89" t="str">
        <f t="shared" si="222"/>
        <v>Draft email</v>
      </c>
      <c r="AG1261" s="64" t="str">
        <f>IF($C1261="","",IFERROR(INDEX('Staff Directory'!$K$595:$K$599,MATCH($C1261,'Staff Directory'!$B$5:$B$599,0)),$D1261))</f>
        <v>RPN</v>
      </c>
      <c r="AH1261" t="str">
        <f>IF($C1261="","",IFERROR(INDEX('Staff Directory'!$I$595:$I$599,MATCH($C1261,'Staff Directory'!$B$5:$B$599,0))&amp;" "&amp;INDEX('Staff Directory'!$J$595:$J$599,MATCH($C1261,'Staff Directory'!$B$5:$B$599,0)),$AG1261))</f>
        <v>RPN</v>
      </c>
      <c r="AI1261" s="102"/>
      <c r="AJ1261" s="101">
        <f>IF($F1261="","",SUMIFS($J$5:$J1261,$F$5:$F1261,$F1261))</f>
        <v>180</v>
      </c>
      <c r="AK1261" s="101">
        <f t="shared" si="214"/>
        <v>161</v>
      </c>
      <c r="AL1261" s="66" t="str" cm="1">
        <f t="array" ref="AL1261">IF($F1261="","",IFERROR(INDEX('Lot Balance'!$B$5:$B$500,MATCH(1,INDEX(('Lot Balance'!$A$5:$A$500=$F1261)*('Lot Balance'!$K$5:$K$500&lt;$AK1261)*('Lot Balance'!$K$5:$K$500+'Lot Balance'!$D$5:$D$500&gt;=$AK1261),0),0)),""))</f>
        <v/>
      </c>
      <c r="AM1261" s="66" t="str" cm="1">
        <f t="array" ref="AM1261">IF($F1261="","",IFERROR(INDEX('Lot Balance'!$B$5:$B$500,MATCH(1,INDEX(('Lot Balance'!$A$5:$A$500=$F1261)*('Lot Balance'!$K$5:$K$500&lt;$AJ1261)*('Lot Balance'!$K$5:$K$500+'Lot Balance'!$D$5:$D$500&gt;=$AJ1261),0),0)),""))</f>
        <v/>
      </c>
      <c r="AN1261" s="66" t="str">
        <f>IF($F1261="","",IF($AI1261&lt;&gt;"",IF(COUNTIFS('Lot Balance'!$A$5:$A$500,$F1261,'Lot Balance'!$B$5:$B$500,$AI1261)=0,"⚠ override is not a lot of this item",IF($AI1261=$AL1261,"Override = FEFO","Override - FEFO says "&amp;$AL1261)),IF($AL1261="","⚠ no receipt on file for this item",IF($AM1261&lt;&gt;$AL1261,"FEFO auto - split, also "&amp;$AM1261,"FEFO auto"))))</f>
        <v>⚠ no receipt on file for this item</v>
      </c>
      <c r="AO1261" s="114"/>
    </row>
    <row r="1262" spans="1:41" x14ac:dyDescent="0.35">
      <c r="A1262" s="74">
        <v>46189</v>
      </c>
      <c r="B1262" s="18" t="str">
        <f>IF($C1262="","",IFERROR(INDEX('Staff Directory'!$A$5:$A$594,MATCH($C1262,'Staff Directory'!$B$5:$B$594,0)),"⚠ unknown staff"))</f>
        <v>RPN-001-A1</v>
      </c>
      <c r="C1262" s="49" t="s">
        <v>928</v>
      </c>
      <c r="D1262" s="19" t="str">
        <f>IF($B1262="","",IFERROR(INDEX('Staff Directory'!$C$5:$C$594,MATCH($B1262,'Staff Directory'!$A$5:$A$594,0)),""))</f>
        <v>RPN</v>
      </c>
      <c r="E1262" s="19" t="str">
        <f>IF($B1262="","",IFERROR(INDEX('Staff Directory'!$D$5:$D$594,MATCH($B1262,'Staff Directory'!$A$5:$A$594,0)),""))</f>
        <v>A1</v>
      </c>
      <c r="F1262" s="9" t="s">
        <v>757</v>
      </c>
      <c r="G1262" s="18" t="str">
        <f>IF($F1262="","",IFERROR(INDEX(Items!$B$5:$B$597,MATCH($F1262,Items!$A$5:$A$597,0)),"⚠ not in Items"))</f>
        <v>Documents</v>
      </c>
      <c r="H1262" s="19" t="str">
        <f>IF($F1262="","",IFERROR(INDEX(Items!$C$5:$C$597,MATCH($F1262,Items!$A$5:$A$597,0)),""))</f>
        <v>Standard</v>
      </c>
      <c r="I1262" s="23">
        <f>IF($F1262="","",IFERROR(INDEX(Items!$E$5:$E$597,MATCH($F1262,Items!$A$5:$A$597,0)),""))</f>
        <v>10</v>
      </c>
      <c r="J1262" s="115">
        <f>IF(tblIssues[[#This Row],[Qty Override]]&lt;&gt;"",tblIssues[[#This Row],[Qty Override]],IF(tblIssues[[#This Row],[Standard Issue]]="","",tblIssues[[#This Row],[Standard Issue]]))</f>
        <v>10</v>
      </c>
      <c r="K1262" s="20">
        <f>IF($F1262="","",IFERROR(INDEX(Items!$D$5:$D$597,MATCH($F1262,Items!$A$5:$A$597,0)),""))</f>
        <v>0</v>
      </c>
      <c r="L1262" s="21">
        <f t="shared" si="217"/>
        <v>0</v>
      </c>
      <c r="M1262" s="9" t="str">
        <f t="shared" si="215"/>
        <v/>
      </c>
      <c r="N1262" s="24">
        <f>IF($A1262="","",WORKDAY($A1262,Settings!$C$9,HolidayDates))</f>
        <v>46197</v>
      </c>
      <c r="O1262" s="24">
        <f>IF($N1262="","",WORKDAY($N1262,Settings!$C$10,HolidayDates))</f>
        <v>46237</v>
      </c>
      <c r="P1262" s="10" t="s">
        <v>502</v>
      </c>
      <c r="Q1262" s="52" t="str">
        <f t="shared" si="218"/>
        <v>Collected</v>
      </c>
      <c r="R1262" s="55" t="str">
        <f t="shared" si="219"/>
        <v>2026-06</v>
      </c>
      <c r="S1262" s="55">
        <f>IF(OR($B1262="",$F1262="",$R1262=""),"",SUMIFS(tblIssues[Qty Issued],tblIssues[Staff ID],$B1262,tblIssues[Item Name],$F1262,tblIssues[Month],$R1262))</f>
        <v>30</v>
      </c>
      <c r="T1262" s="56">
        <f>IF($I1262="","",$I1262*Settings!$C$11)</f>
        <v>10</v>
      </c>
      <c r="U1262" s="57" t="str">
        <f t="shared" si="216"/>
        <v>⚠ OVER QUOTA</v>
      </c>
      <c r="V1262" s="55" t="str">
        <f t="shared" si="220"/>
        <v>RPN-001-A1 | Sample Org CONNECT Welcome Package RN | 2026-06</v>
      </c>
      <c r="W1262" s="55">
        <f>IF($V1262="","",IF(COUNTIF($V$5:$V1262,$V1262)=1,1,""))</f>
        <v>1</v>
      </c>
      <c r="X1262" s="58">
        <f>IF($W1262="","",MAX($X$4:X1261)+1)</f>
        <v>39</v>
      </c>
      <c r="Y1262" s="62"/>
      <c r="Z1262" s="62"/>
      <c r="AA1262" s="64" t="str">
        <f>IF($C1262="","",IFERROR(INDEX('Staff Directory'!$E$5:$E$594,MATCH($C1262,'Staff Directory'!$B$5:$B$594,0)),""))</f>
        <v>firstname012.lastname012@example.com</v>
      </c>
      <c r="AB1262" s="64" t="str">
        <f>IF($C1262="","",IF(ISNUMBER(SEARCH($D1262,Settings!$C$15)),"Pickup","Dispatch"))</f>
        <v>Dispatch</v>
      </c>
      <c r="AC1262" s="64" t="str">
        <f t="shared" si="221"/>
        <v>Supply order dispatched</v>
      </c>
      <c r="AD1262" s="64" t="str">
        <f t="shared" si="212"/>
        <v>Dear RPN,
Your order has been dispatched and is in transit. Reply if undelivered.</v>
      </c>
      <c r="AE1262" s="64" t="str">
        <f t="shared" si="213"/>
        <v>mailto:firstname012.lastname012@example.com?subject=Supply%20order%20dispatched&amp;body=Dear%20RPN%2C%0A%0AYour%20order%20has%20been%20dispatched%20and%20is%20in%20transit.%20Reply%20if%20undelivered.</v>
      </c>
      <c r="AF1262" s="89" t="str">
        <f t="shared" si="222"/>
        <v>Draft email</v>
      </c>
      <c r="AG1262" s="64" t="str">
        <f>IF($C1262="","",IFERROR(INDEX('Staff Directory'!$K$595:$K$599,MATCH($C1262,'Staff Directory'!$B$5:$B$599,0)),$D1262))</f>
        <v>RPN</v>
      </c>
      <c r="AH1262" t="str">
        <f>IF($C1262="","",IFERROR(INDEX('Staff Directory'!$I$595:$I$599,MATCH($C1262,'Staff Directory'!$B$5:$B$599,0))&amp;" "&amp;INDEX('Staff Directory'!$J$595:$J$599,MATCH($C1262,'Staff Directory'!$B$5:$B$599,0)),$AG1262))</f>
        <v>RPN</v>
      </c>
      <c r="AI1262" s="102"/>
      <c r="AJ1262" s="101">
        <f>IF($F1262="","",SUMIFS($J$5:$J1262,$F$5:$F1262,$F1262))</f>
        <v>630</v>
      </c>
      <c r="AK1262" s="101">
        <f t="shared" si="214"/>
        <v>621</v>
      </c>
      <c r="AL1262" s="66" t="str" cm="1">
        <f t="array" ref="AL1262">IF($F1262="","",IFERROR(INDEX('Lot Balance'!$B$5:$B$500,MATCH(1,INDEX(('Lot Balance'!$A$5:$A$500=$F1262)*('Lot Balance'!$K$5:$K$500&lt;$AK1262)*('Lot Balance'!$K$5:$K$500+'Lot Balance'!$D$5:$D$500&gt;=$AK1262),0),0)),""))</f>
        <v/>
      </c>
      <c r="AM1262" s="66" t="str" cm="1">
        <f t="array" ref="AM1262">IF($F1262="","",IFERROR(INDEX('Lot Balance'!$B$5:$B$500,MATCH(1,INDEX(('Lot Balance'!$A$5:$A$500=$F1262)*('Lot Balance'!$K$5:$K$500&lt;$AJ1262)*('Lot Balance'!$K$5:$K$500+'Lot Balance'!$D$5:$D$500&gt;=$AJ1262),0),0)),""))</f>
        <v/>
      </c>
      <c r="AN1262" s="66" t="str">
        <f>IF($F1262="","",IF($AI1262&lt;&gt;"",IF(COUNTIFS('Lot Balance'!$A$5:$A$500,$F1262,'Lot Balance'!$B$5:$B$500,$AI1262)=0,"⚠ override is not a lot of this item",IF($AI1262=$AL1262,"Override = FEFO","Override - FEFO says "&amp;$AL1262)),IF($AL1262="","⚠ no receipt on file for this item",IF($AM1262&lt;&gt;$AL1262,"FEFO auto - split, also "&amp;$AM1262,"FEFO auto"))))</f>
        <v>⚠ no receipt on file for this item</v>
      </c>
      <c r="AO1262" s="114"/>
    </row>
    <row r="1263" spans="1:41" x14ac:dyDescent="0.35">
      <c r="A1263" s="74">
        <v>46189</v>
      </c>
      <c r="B1263" s="18" t="str">
        <f>IF($C1263="","",IFERROR(INDEX('Staff Directory'!$A$5:$A$594,MATCH($C1263,'Staff Directory'!$B$5:$B$594,0)),"⚠ unknown staff"))</f>
        <v>RPN-001-A1</v>
      </c>
      <c r="C1263" s="49" t="s">
        <v>928</v>
      </c>
      <c r="D1263" s="19" t="str">
        <f>IF($B1263="","",IFERROR(INDEX('Staff Directory'!$C$5:$C$594,MATCH($B1263,'Staff Directory'!$A$5:$A$594,0)),""))</f>
        <v>RPN</v>
      </c>
      <c r="E1263" s="19" t="str">
        <f>IF($B1263="","",IFERROR(INDEX('Staff Directory'!$D$5:$D$594,MATCH($B1263,'Staff Directory'!$A$5:$A$594,0)),""))</f>
        <v>A1</v>
      </c>
      <c r="F1263" s="9" t="s">
        <v>757</v>
      </c>
      <c r="G1263" s="18" t="str">
        <f>IF($F1263="","",IFERROR(INDEX(Items!$B$5:$B$597,MATCH($F1263,Items!$A$5:$A$597,0)),"⚠ not in Items"))</f>
        <v>Documents</v>
      </c>
      <c r="H1263" s="19" t="str">
        <f>IF($F1263="","",IFERROR(INDEX(Items!$C$5:$C$597,MATCH($F1263,Items!$A$5:$A$597,0)),""))</f>
        <v>Standard</v>
      </c>
      <c r="I1263" s="23">
        <f>IF($F1263="","",IFERROR(INDEX(Items!$E$5:$E$597,MATCH($F1263,Items!$A$5:$A$597,0)),""))</f>
        <v>10</v>
      </c>
      <c r="J1263" s="115">
        <f>IF(tblIssues[[#This Row],[Qty Override]]&lt;&gt;"",tblIssues[[#This Row],[Qty Override]],IF(tblIssues[[#This Row],[Standard Issue]]="","",tblIssues[[#This Row],[Standard Issue]]))</f>
        <v>10</v>
      </c>
      <c r="K1263" s="20">
        <f>IF($F1263="","",IFERROR(INDEX(Items!$D$5:$D$597,MATCH($F1263,Items!$A$5:$A$597,0)),""))</f>
        <v>0</v>
      </c>
      <c r="L1263" s="21">
        <f t="shared" si="217"/>
        <v>0</v>
      </c>
      <c r="M1263" s="9" t="str">
        <f t="shared" si="215"/>
        <v/>
      </c>
      <c r="N1263" s="24">
        <f>IF($A1263="","",WORKDAY($A1263,Settings!$C$9,HolidayDates))</f>
        <v>46197</v>
      </c>
      <c r="O1263" s="24">
        <f>IF($N1263="","",WORKDAY($N1263,Settings!$C$10,HolidayDates))</f>
        <v>46237</v>
      </c>
      <c r="P1263" s="10" t="s">
        <v>502</v>
      </c>
      <c r="Q1263" s="52" t="str">
        <f t="shared" si="218"/>
        <v>Collected</v>
      </c>
      <c r="R1263" s="55" t="str">
        <f t="shared" si="219"/>
        <v>2026-06</v>
      </c>
      <c r="S1263" s="55">
        <f>IF(OR($B1263="",$F1263="",$R1263=""),"",SUMIFS(tblIssues[Qty Issued],tblIssues[Staff ID],$B1263,tblIssues[Item Name],$F1263,tblIssues[Month],$R1263))</f>
        <v>30</v>
      </c>
      <c r="T1263" s="56">
        <f>IF($I1263="","",$I1263*Settings!$C$11)</f>
        <v>10</v>
      </c>
      <c r="U1263" s="57" t="str">
        <f t="shared" si="216"/>
        <v>⚠ OVER QUOTA</v>
      </c>
      <c r="V1263" s="55" t="str">
        <f t="shared" si="220"/>
        <v>RPN-001-A1 | Sample Org CONNECT Welcome Package RN | 2026-06</v>
      </c>
      <c r="W1263" s="55" t="str">
        <f>IF($V1263="","",IF(COUNTIF($V$5:$V1263,$V1263)=1,1,""))</f>
        <v/>
      </c>
      <c r="X1263" s="58" t="str">
        <f>IF($W1263="","",MAX($X$4:X1262)+1)</f>
        <v/>
      </c>
      <c r="Y1263" s="62"/>
      <c r="Z1263" s="62"/>
      <c r="AA1263" s="64" t="str">
        <f>IF($C1263="","",IFERROR(INDEX('Staff Directory'!$E$5:$E$594,MATCH($C1263,'Staff Directory'!$B$5:$B$594,0)),""))</f>
        <v>firstname012.lastname012@example.com</v>
      </c>
      <c r="AB1263" s="64" t="str">
        <f>IF($C1263="","",IF(ISNUMBER(SEARCH($D1263,Settings!$C$15)),"Pickup","Dispatch"))</f>
        <v>Dispatch</v>
      </c>
      <c r="AC1263" s="64" t="str">
        <f t="shared" si="221"/>
        <v>Supply order dispatched</v>
      </c>
      <c r="AD1263" s="64" t="str">
        <f t="shared" si="212"/>
        <v>Dear RPN,
Your order has been dispatched and is in transit. Reply if undelivered.</v>
      </c>
      <c r="AE1263" s="64" t="str">
        <f t="shared" si="213"/>
        <v>mailto:firstname012.lastname012@example.com?subject=Supply%20order%20dispatched&amp;body=Dear%20RPN%2C%0A%0AYour%20order%20has%20been%20dispatched%20and%20is%20in%20transit.%20Reply%20if%20undelivered.</v>
      </c>
      <c r="AF1263" s="89" t="str">
        <f t="shared" si="222"/>
        <v>Draft email</v>
      </c>
      <c r="AG1263" s="64" t="str">
        <f>IF($C1263="","",IFERROR(INDEX('Staff Directory'!$K$595:$K$599,MATCH($C1263,'Staff Directory'!$B$5:$B$599,0)),$D1263))</f>
        <v>RPN</v>
      </c>
      <c r="AH1263" t="str">
        <f>IF($C1263="","",IFERROR(INDEX('Staff Directory'!$I$595:$I$599,MATCH($C1263,'Staff Directory'!$B$5:$B$599,0))&amp;" "&amp;INDEX('Staff Directory'!$J$595:$J$599,MATCH($C1263,'Staff Directory'!$B$5:$B$599,0)),$AG1263))</f>
        <v>RPN</v>
      </c>
      <c r="AI1263" s="102"/>
      <c r="AJ1263" s="101">
        <f>IF($F1263="","",SUMIFS($J$5:$J1263,$F$5:$F1263,$F1263))</f>
        <v>640</v>
      </c>
      <c r="AK1263" s="101">
        <f t="shared" si="214"/>
        <v>631</v>
      </c>
      <c r="AL1263" s="66" t="str" cm="1">
        <f t="array" ref="AL1263">IF($F1263="","",IFERROR(INDEX('Lot Balance'!$B$5:$B$500,MATCH(1,INDEX(('Lot Balance'!$A$5:$A$500=$F1263)*('Lot Balance'!$K$5:$K$500&lt;$AK1263)*('Lot Balance'!$K$5:$K$500+'Lot Balance'!$D$5:$D$500&gt;=$AK1263),0),0)),""))</f>
        <v/>
      </c>
      <c r="AM1263" s="66" t="str" cm="1">
        <f t="array" ref="AM1263">IF($F1263="","",IFERROR(INDEX('Lot Balance'!$B$5:$B$500,MATCH(1,INDEX(('Lot Balance'!$A$5:$A$500=$F1263)*('Lot Balance'!$K$5:$K$500&lt;$AJ1263)*('Lot Balance'!$K$5:$K$500+'Lot Balance'!$D$5:$D$500&gt;=$AJ1263),0),0)),""))</f>
        <v/>
      </c>
      <c r="AN1263" s="66" t="str">
        <f>IF($F1263="","",IF($AI1263&lt;&gt;"",IF(COUNTIFS('Lot Balance'!$A$5:$A$500,$F1263,'Lot Balance'!$B$5:$B$500,$AI1263)=0,"⚠ override is not a lot of this item",IF($AI1263=$AL1263,"Override = FEFO","Override - FEFO says "&amp;$AL1263)),IF($AL1263="","⚠ no receipt on file for this item",IF($AM1263&lt;&gt;$AL1263,"FEFO auto - split, also "&amp;$AM1263,"FEFO auto"))))</f>
        <v>⚠ no receipt on file for this item</v>
      </c>
      <c r="AO1263" s="114"/>
    </row>
    <row r="1264" spans="1:41" x14ac:dyDescent="0.35">
      <c r="A1264" s="74">
        <v>46189</v>
      </c>
      <c r="B1264" s="18" t="str">
        <f>IF($C1264="","",IFERROR(INDEX('Staff Directory'!$A$5:$A$594,MATCH($C1264,'Staff Directory'!$B$5:$B$594,0)),"⚠ unknown staff"))</f>
        <v>RPN-001-A1</v>
      </c>
      <c r="C1264" s="49" t="s">
        <v>928</v>
      </c>
      <c r="D1264" s="19" t="str">
        <f>IF($B1264="","",IFERROR(INDEX('Staff Directory'!$C$5:$C$594,MATCH($B1264,'Staff Directory'!$A$5:$A$594,0)),""))</f>
        <v>RPN</v>
      </c>
      <c r="E1264" s="19" t="str">
        <f>IF($B1264="","",IFERROR(INDEX('Staff Directory'!$D$5:$D$594,MATCH($B1264,'Staff Directory'!$A$5:$A$594,0)),""))</f>
        <v>A1</v>
      </c>
      <c r="F1264" s="9" t="s">
        <v>757</v>
      </c>
      <c r="G1264" s="18" t="str">
        <f>IF($F1264="","",IFERROR(INDEX(Items!$B$5:$B$597,MATCH($F1264,Items!$A$5:$A$597,0)),"⚠ not in Items"))</f>
        <v>Documents</v>
      </c>
      <c r="H1264" s="19" t="str">
        <f>IF($F1264="","",IFERROR(INDEX(Items!$C$5:$C$597,MATCH($F1264,Items!$A$5:$A$597,0)),""))</f>
        <v>Standard</v>
      </c>
      <c r="I1264" s="23">
        <f>IF($F1264="","",IFERROR(INDEX(Items!$E$5:$E$597,MATCH($F1264,Items!$A$5:$A$597,0)),""))</f>
        <v>10</v>
      </c>
      <c r="J1264" s="115">
        <f>IF(tblIssues[[#This Row],[Qty Override]]&lt;&gt;"",tblIssues[[#This Row],[Qty Override]],IF(tblIssues[[#This Row],[Standard Issue]]="","",tblIssues[[#This Row],[Standard Issue]]))</f>
        <v>10</v>
      </c>
      <c r="K1264" s="20">
        <f>IF($F1264="","",IFERROR(INDEX(Items!$D$5:$D$597,MATCH($F1264,Items!$A$5:$A$597,0)),""))</f>
        <v>0</v>
      </c>
      <c r="L1264" s="21">
        <f t="shared" si="217"/>
        <v>0</v>
      </c>
      <c r="M1264" s="9" t="str">
        <f t="shared" si="215"/>
        <v/>
      </c>
      <c r="N1264" s="24">
        <f>IF($A1264="","",WORKDAY($A1264,Settings!$C$9,HolidayDates))</f>
        <v>46197</v>
      </c>
      <c r="O1264" s="24">
        <f>IF($N1264="","",WORKDAY($N1264,Settings!$C$10,HolidayDates))</f>
        <v>46237</v>
      </c>
      <c r="P1264" s="10" t="s">
        <v>502</v>
      </c>
      <c r="Q1264" s="52" t="str">
        <f t="shared" si="218"/>
        <v>Collected</v>
      </c>
      <c r="R1264" s="55" t="str">
        <f t="shared" si="219"/>
        <v>2026-06</v>
      </c>
      <c r="S1264" s="55">
        <f>IF(OR($B1264="",$F1264="",$R1264=""),"",SUMIFS(tblIssues[Qty Issued],tblIssues[Staff ID],$B1264,tblIssues[Item Name],$F1264,tblIssues[Month],$R1264))</f>
        <v>30</v>
      </c>
      <c r="T1264" s="56">
        <f>IF($I1264="","",$I1264*Settings!$C$11)</f>
        <v>10</v>
      </c>
      <c r="U1264" s="57" t="str">
        <f t="shared" si="216"/>
        <v>⚠ OVER QUOTA</v>
      </c>
      <c r="V1264" s="55" t="str">
        <f t="shared" si="220"/>
        <v>RPN-001-A1 | Sample Org CONNECT Welcome Package RN | 2026-06</v>
      </c>
      <c r="W1264" s="55" t="str">
        <f>IF($V1264="","",IF(COUNTIF($V$5:$V1264,$V1264)=1,1,""))</f>
        <v/>
      </c>
      <c r="X1264" s="58" t="str">
        <f>IF($W1264="","",MAX($X$4:X1263)+1)</f>
        <v/>
      </c>
      <c r="Y1264" s="62"/>
      <c r="Z1264" s="62"/>
      <c r="AA1264" s="64" t="str">
        <f>IF($C1264="","",IFERROR(INDEX('Staff Directory'!$E$5:$E$594,MATCH($C1264,'Staff Directory'!$B$5:$B$594,0)),""))</f>
        <v>firstname012.lastname012@example.com</v>
      </c>
      <c r="AB1264" s="64" t="str">
        <f>IF($C1264="","",IF(ISNUMBER(SEARCH($D1264,Settings!$C$15)),"Pickup","Dispatch"))</f>
        <v>Dispatch</v>
      </c>
      <c r="AC1264" s="64" t="str">
        <f t="shared" si="221"/>
        <v>Supply order dispatched</v>
      </c>
      <c r="AD1264" s="64" t="str">
        <f t="shared" si="212"/>
        <v>Dear RPN,
Your order has been dispatched and is in transit. Reply if undelivered.</v>
      </c>
      <c r="AE1264" s="64" t="str">
        <f t="shared" si="213"/>
        <v>mailto:firstname012.lastname012@example.com?subject=Supply%20order%20dispatched&amp;body=Dear%20RPN%2C%0A%0AYour%20order%20has%20been%20dispatched%20and%20is%20in%20transit.%20Reply%20if%20undelivered.</v>
      </c>
      <c r="AF1264" s="89" t="str">
        <f t="shared" si="222"/>
        <v>Draft email</v>
      </c>
      <c r="AG1264" s="64" t="str">
        <f>IF($C1264="","",IFERROR(INDEX('Staff Directory'!$K$595:$K$599,MATCH($C1264,'Staff Directory'!$B$5:$B$599,0)),$D1264))</f>
        <v>RPN</v>
      </c>
      <c r="AH1264" t="str">
        <f>IF($C1264="","",IFERROR(INDEX('Staff Directory'!$I$595:$I$599,MATCH($C1264,'Staff Directory'!$B$5:$B$599,0))&amp;" "&amp;INDEX('Staff Directory'!$J$595:$J$599,MATCH($C1264,'Staff Directory'!$B$5:$B$599,0)),$AG1264))</f>
        <v>RPN</v>
      </c>
      <c r="AI1264" s="102"/>
      <c r="AJ1264" s="101">
        <f>IF($F1264="","",SUMIFS($J$5:$J1264,$F$5:$F1264,$F1264))</f>
        <v>650</v>
      </c>
      <c r="AK1264" s="101">
        <f t="shared" si="214"/>
        <v>641</v>
      </c>
      <c r="AL1264" s="66" t="str" cm="1">
        <f t="array" ref="AL1264">IF($F1264="","",IFERROR(INDEX('Lot Balance'!$B$5:$B$500,MATCH(1,INDEX(('Lot Balance'!$A$5:$A$500=$F1264)*('Lot Balance'!$K$5:$K$500&lt;$AK1264)*('Lot Balance'!$K$5:$K$500+'Lot Balance'!$D$5:$D$500&gt;=$AK1264),0),0)),""))</f>
        <v/>
      </c>
      <c r="AM1264" s="66" t="str" cm="1">
        <f t="array" ref="AM1264">IF($F1264="","",IFERROR(INDEX('Lot Balance'!$B$5:$B$500,MATCH(1,INDEX(('Lot Balance'!$A$5:$A$500=$F1264)*('Lot Balance'!$K$5:$K$500&lt;$AJ1264)*('Lot Balance'!$K$5:$K$500+'Lot Balance'!$D$5:$D$500&gt;=$AJ1264),0),0)),""))</f>
        <v/>
      </c>
      <c r="AN1264" s="66" t="str">
        <f>IF($F1264="","",IF($AI1264&lt;&gt;"",IF(COUNTIFS('Lot Balance'!$A$5:$A$500,$F1264,'Lot Balance'!$B$5:$B$500,$AI1264)=0,"⚠ override is not a lot of this item",IF($AI1264=$AL1264,"Override = FEFO","Override - FEFO says "&amp;$AL1264)),IF($AL1264="","⚠ no receipt on file for this item",IF($AM1264&lt;&gt;$AL1264,"FEFO auto - split, also "&amp;$AM1264,"FEFO auto"))))</f>
        <v>⚠ no receipt on file for this item</v>
      </c>
      <c r="AO1264" s="114"/>
    </row>
    <row r="1265" spans="1:41" x14ac:dyDescent="0.35">
      <c r="A1265" s="74">
        <v>46189</v>
      </c>
      <c r="B1265" s="18" t="str">
        <f>IF($C1265="","",IFERROR(INDEX('Staff Directory'!$A$5:$A$594,MATCH($C1265,'Staff Directory'!$B$5:$B$594,0)),"⚠ unknown staff"))</f>
        <v>RPN-001-A1</v>
      </c>
      <c r="C1265" s="49" t="s">
        <v>928</v>
      </c>
      <c r="D1265" s="19" t="str">
        <f>IF($B1265="","",IFERROR(INDEX('Staff Directory'!$C$5:$C$594,MATCH($B1265,'Staff Directory'!$A$5:$A$594,0)),""))</f>
        <v>RPN</v>
      </c>
      <c r="E1265" s="19" t="str">
        <f>IF($B1265="","",IFERROR(INDEX('Staff Directory'!$D$5:$D$594,MATCH($B1265,'Staff Directory'!$A$5:$A$594,0)),""))</f>
        <v>A1</v>
      </c>
      <c r="F1265" s="9" t="s">
        <v>223</v>
      </c>
      <c r="G1265" s="18" t="str">
        <f>IF($F1265="","",IFERROR(INDEX(Items!$B$5:$B$597,MATCH($F1265,Items!$A$5:$A$597,0)),"⚠ not in Items"))</f>
        <v>Stationery</v>
      </c>
      <c r="H1265" s="19" t="str">
        <f>IF($F1265="","",IFERROR(INDEX(Items!$C$5:$C$597,MATCH($F1265,Items!$A$5:$A$597,0)),""))</f>
        <v>A4 Size</v>
      </c>
      <c r="I1265" s="23">
        <f>IF($F1265="","",IFERROR(INDEX(Items!$E$5:$E$597,MATCH($F1265,Items!$A$5:$A$597,0)),""))</f>
        <v>0</v>
      </c>
      <c r="J1265" s="115">
        <f>IF(tblIssues[[#This Row],[Qty Override]]&lt;&gt;"",tblIssues[[#This Row],[Qty Override]],IF(tblIssues[[#This Row],[Standard Issue]]="","",tblIssues[[#This Row],[Standard Issue]]))</f>
        <v>0</v>
      </c>
      <c r="K1265" s="20">
        <f>IF($F1265="","",IFERROR(INDEX(Items!$D$5:$D$597,MATCH($F1265,Items!$A$5:$A$597,0)),""))</f>
        <v>10</v>
      </c>
      <c r="L1265" s="21">
        <f t="shared" si="217"/>
        <v>0</v>
      </c>
      <c r="M1265" s="9" t="str">
        <f t="shared" si="215"/>
        <v/>
      </c>
      <c r="N1265" s="24">
        <f>IF($A1265="","",WORKDAY($A1265,Settings!$C$9,HolidayDates))</f>
        <v>46197</v>
      </c>
      <c r="O1265" s="24">
        <f>IF($N1265="","",WORKDAY($N1265,Settings!$C$10,HolidayDates))</f>
        <v>46237</v>
      </c>
      <c r="P1265" s="10" t="s">
        <v>502</v>
      </c>
      <c r="Q1265" s="52" t="str">
        <f t="shared" si="218"/>
        <v>Collected</v>
      </c>
      <c r="R1265" s="55" t="str">
        <f t="shared" si="219"/>
        <v>2026-06</v>
      </c>
      <c r="S1265" s="55">
        <f>IF(OR($B1265="",$F1265="",$R1265=""),"",SUMIFS(tblIssues[Qty Issued],tblIssues[Staff ID],$B1265,tblIssues[Item Name],$F1265,tblIssues[Month],$R1265))</f>
        <v>0</v>
      </c>
      <c r="T1265" s="56">
        <f>IF($I1265="","",$I1265*Settings!$C$11)</f>
        <v>0</v>
      </c>
      <c r="U1265" s="57" t="str">
        <f t="shared" si="216"/>
        <v>OK</v>
      </c>
      <c r="V1265" s="55" t="str">
        <f t="shared" si="220"/>
        <v/>
      </c>
      <c r="W1265" s="55" t="str">
        <f>IF($V1265="","",IF(COUNTIF($V$5:$V1265,$V1265)=1,1,""))</f>
        <v/>
      </c>
      <c r="X1265" s="58" t="str">
        <f>IF($W1265="","",MAX($X$4:X1264)+1)</f>
        <v/>
      </c>
      <c r="Y1265" s="62"/>
      <c r="Z1265" s="62"/>
      <c r="AA1265" s="64" t="str">
        <f>IF($C1265="","",IFERROR(INDEX('Staff Directory'!$E$5:$E$594,MATCH($C1265,'Staff Directory'!$B$5:$B$594,0)),""))</f>
        <v>firstname012.lastname012@example.com</v>
      </c>
      <c r="AB1265" s="64" t="str">
        <f>IF($C1265="","",IF(ISNUMBER(SEARCH($D1265,Settings!$C$15)),"Pickup","Dispatch"))</f>
        <v>Dispatch</v>
      </c>
      <c r="AC1265" s="64" t="str">
        <f t="shared" si="221"/>
        <v>Supply order dispatched</v>
      </c>
      <c r="AD1265" s="64" t="str">
        <f t="shared" si="212"/>
        <v>Dear RPN,
Your order has been dispatched and is in transit. Reply if undelivered.</v>
      </c>
      <c r="AE1265" s="64" t="str">
        <f t="shared" si="213"/>
        <v>mailto:firstname012.lastname012@example.com?subject=Supply%20order%20dispatched&amp;body=Dear%20RPN%2C%0A%0AYour%20order%20has%20been%20dispatched%20and%20is%20in%20transit.%20Reply%20if%20undelivered.</v>
      </c>
      <c r="AF1265" s="89" t="str">
        <f t="shared" si="222"/>
        <v>Draft email</v>
      </c>
      <c r="AG1265" s="64" t="str">
        <f>IF($C1265="","",IFERROR(INDEX('Staff Directory'!$K$595:$K$599,MATCH($C1265,'Staff Directory'!$B$5:$B$599,0)),$D1265))</f>
        <v>RPN</v>
      </c>
      <c r="AH1265" t="str">
        <f>IF($C1265="","",IFERROR(INDEX('Staff Directory'!$I$595:$I$599,MATCH($C1265,'Staff Directory'!$B$5:$B$599,0))&amp;" "&amp;INDEX('Staff Directory'!$J$595:$J$599,MATCH($C1265,'Staff Directory'!$B$5:$B$599,0)),$AG1265))</f>
        <v>RPN</v>
      </c>
      <c r="AI1265" s="102"/>
      <c r="AJ1265" s="101">
        <f>IF($F1265="","",SUMIFS($J$5:$J1265,$F$5:$F1265,$F1265))</f>
        <v>0</v>
      </c>
      <c r="AK1265" s="101">
        <f t="shared" si="214"/>
        <v>1</v>
      </c>
      <c r="AL1265" s="66" t="str" cm="1">
        <f t="array" ref="AL1265">IF($F1265="","",IFERROR(INDEX('Lot Balance'!$B$5:$B$500,MATCH(1,INDEX(('Lot Balance'!$A$5:$A$500=$F1265)*('Lot Balance'!$K$5:$K$500&lt;$AK1265)*('Lot Balance'!$K$5:$K$500+'Lot Balance'!$D$5:$D$500&gt;=$AK1265),0),0)),""))</f>
        <v/>
      </c>
      <c r="AM1265" s="66" t="str" cm="1">
        <f t="array" ref="AM1265">IF($F1265="","",IFERROR(INDEX('Lot Balance'!$B$5:$B$500,MATCH(1,INDEX(('Lot Balance'!$A$5:$A$500=$F1265)*('Lot Balance'!$K$5:$K$500&lt;$AJ1265)*('Lot Balance'!$K$5:$K$500+'Lot Balance'!$D$5:$D$500&gt;=$AJ1265),0),0)),""))</f>
        <v/>
      </c>
      <c r="AN1265" s="66" t="str">
        <f>IF($F1265="","",IF($AI1265&lt;&gt;"",IF(COUNTIFS('Lot Balance'!$A$5:$A$500,$F1265,'Lot Balance'!$B$5:$B$500,$AI1265)=0,"⚠ override is not a lot of this item",IF($AI1265=$AL1265,"Override = FEFO","Override - FEFO says "&amp;$AL1265)),IF($AL1265="","⚠ no receipt on file for this item",IF($AM1265&lt;&gt;$AL1265,"FEFO auto - split, also "&amp;$AM1265,"FEFO auto"))))</f>
        <v>⚠ no receipt on file for this item</v>
      </c>
      <c r="AO1265" s="114"/>
    </row>
    <row r="1266" spans="1:41" x14ac:dyDescent="0.35">
      <c r="A1266" s="74">
        <v>46189</v>
      </c>
      <c r="B1266" s="18" t="str">
        <f>IF($C1266="","",IFERROR(INDEX('Staff Directory'!$A$5:$A$594,MATCH($C1266,'Staff Directory'!$B$5:$B$594,0)),"⚠ unknown staff"))</f>
        <v>PSW-060-A6</v>
      </c>
      <c r="C1266" s="49" t="s">
        <v>1036</v>
      </c>
      <c r="D1266" s="19" t="str">
        <f>IF($B1266="","",IFERROR(INDEX('Staff Directory'!$C$5:$C$594,MATCH($B1266,'Staff Directory'!$A$5:$A$594,0)),""))</f>
        <v>PSW</v>
      </c>
      <c r="E1266" s="19" t="str">
        <f>IF($B1266="","",IFERROR(INDEX('Staff Directory'!$D$5:$D$594,MATCH($B1266,'Staff Directory'!$A$5:$A$594,0)),""))</f>
        <v>A6</v>
      </c>
      <c r="F1266" s="9" t="s">
        <v>129</v>
      </c>
      <c r="G1266" s="18" t="str">
        <f>IF($F1266="","",IFERROR(INDEX(Items!$B$5:$B$597,MATCH($F1266,Items!$A$5:$A$597,0)),"⚠ not in Items"))</f>
        <v>Gloves</v>
      </c>
      <c r="H1266" s="19" t="str">
        <f>IF($F1266="","",IFERROR(INDEX(Items!$C$5:$C$597,MATCH($F1266,Items!$A$5:$A$597,0)),""))</f>
        <v>Small</v>
      </c>
      <c r="I1266" s="23">
        <f>IF($F1266="","",IFERROR(INDEX(Items!$E$5:$E$597,MATCH($F1266,Items!$A$5:$A$597,0)),""))</f>
        <v>500</v>
      </c>
      <c r="J1266" s="115">
        <f>IF(tblIssues[[#This Row],[Qty Override]]&lt;&gt;"",tblIssues[[#This Row],[Qty Override]],IF(tblIssues[[#This Row],[Standard Issue]]="","",tblIssues[[#This Row],[Standard Issue]]))</f>
        <v>500</v>
      </c>
      <c r="K1266" s="20">
        <f>IF($F1266="","",IFERROR(INDEX(Items!$D$5:$D$597,MATCH($F1266,Items!$A$5:$A$597,0)),""))</f>
        <v>5.5E-2</v>
      </c>
      <c r="L1266" s="21">
        <f t="shared" si="217"/>
        <v>27.5</v>
      </c>
      <c r="M1266" s="9" t="str">
        <f t="shared" si="215"/>
        <v>ZIM504124207-8</v>
      </c>
      <c r="N1266" s="24">
        <f>IF($A1266="","",WORKDAY($A1266,Settings!$C$9,HolidayDates))</f>
        <v>46197</v>
      </c>
      <c r="O1266" s="24">
        <f>IF($N1266="","",WORKDAY($N1266,Settings!$C$10,HolidayDates))</f>
        <v>46237</v>
      </c>
      <c r="P1266" s="10" t="s">
        <v>501</v>
      </c>
      <c r="Q1266" s="52" t="str">
        <f t="shared" si="218"/>
        <v>Collected</v>
      </c>
      <c r="R1266" s="55" t="str">
        <f t="shared" si="219"/>
        <v>2026-06</v>
      </c>
      <c r="S1266" s="55">
        <f>IF(OR($B1266="",$F1266="",$R1266=""),"",SUMIFS(tblIssues[Qty Issued],tblIssues[Staff ID],$B1266,tblIssues[Item Name],$F1266,tblIssues[Month],$R1266))</f>
        <v>500</v>
      </c>
      <c r="T1266" s="56">
        <f>IF($I1266="","",$I1266*Settings!$C$11)</f>
        <v>500</v>
      </c>
      <c r="U1266" s="57" t="str">
        <f t="shared" si="216"/>
        <v>OK</v>
      </c>
      <c r="V1266" s="55" t="str">
        <f t="shared" si="220"/>
        <v/>
      </c>
      <c r="W1266" s="55" t="str">
        <f>IF($V1266="","",IF(COUNTIF($V$5:$V1266,$V1266)=1,1,""))</f>
        <v/>
      </c>
      <c r="X1266" s="58" t="str">
        <f>IF($W1266="","",MAX($X$4:X1265)+1)</f>
        <v/>
      </c>
      <c r="Y1266" s="62"/>
      <c r="Z1266" s="62"/>
      <c r="AA1266" s="64" t="str">
        <f>IF($C1266="","",IFERROR(INDEX('Staff Directory'!$E$5:$E$594,MATCH($C1266,'Staff Directory'!$B$5:$B$594,0)),""))</f>
        <v>firstname120.lastname120@example.com</v>
      </c>
      <c r="AB1266" s="64" t="str">
        <f>IF($C1266="","",IF(ISNUMBER(SEARCH($D1266,Settings!$C$15)),"Pickup","Dispatch"))</f>
        <v>Pickup</v>
      </c>
      <c r="AC1266" s="64" t="str">
        <f t="shared" si="221"/>
        <v>Supply order ready for pickup</v>
      </c>
      <c r="AD1266" s="64" t="str">
        <f t="shared" si="212"/>
        <v>Dear PSW,
Your order is ready for pickup from Sample Branch, Wed-Fri 9am-4pm.</v>
      </c>
      <c r="AE1266" s="64" t="str">
        <f t="shared" si="213"/>
        <v>mailto:firstname120.lastname120@example.com?subject=Supply%20order%20ready%20for%20pickup&amp;body=Dear%20PSW%2C%0A%0AYour%20order%20is%20ready%20for%20pickup%20from%20Sample%20Branch%2C%20Wed-Fri%209am-4pm.</v>
      </c>
      <c r="AF1266" s="89" t="str">
        <f t="shared" si="222"/>
        <v>Draft email</v>
      </c>
      <c r="AG1266" s="64" t="str">
        <f>IF($C1266="","",IFERROR(INDEX('Staff Directory'!$K$595:$K$599,MATCH($C1266,'Staff Directory'!$B$5:$B$599,0)),$D1266))</f>
        <v>PSW</v>
      </c>
      <c r="AH1266" t="str">
        <f>IF($C1266="","",IFERROR(INDEX('Staff Directory'!$I$595:$I$599,MATCH($C1266,'Staff Directory'!$B$5:$B$599,0))&amp;" "&amp;INDEX('Staff Directory'!$J$595:$J$599,MATCH($C1266,'Staff Directory'!$B$5:$B$599,0)),$AG1266))</f>
        <v>PSW</v>
      </c>
      <c r="AI1266" s="102"/>
      <c r="AJ1266" s="101">
        <f>IF($F1266="","",SUMIFS($J$5:$J1266,$F$5:$F1266,$F1266))</f>
        <v>38500</v>
      </c>
      <c r="AK1266" s="101">
        <f t="shared" si="214"/>
        <v>38001</v>
      </c>
      <c r="AL1266" s="66" t="str" cm="1">
        <f t="array" ref="AL1266">IF($F1266="","",IFERROR(INDEX('Lot Balance'!$B$5:$B$500,MATCH(1,INDEX(('Lot Balance'!$A$5:$A$500=$F1266)*('Lot Balance'!$K$5:$K$500&lt;$AK1266)*('Lot Balance'!$K$5:$K$500+'Lot Balance'!$D$5:$D$500&gt;=$AK1266),0),0)),""))</f>
        <v>ZIM504124207-8</v>
      </c>
      <c r="AM1266" s="66" t="str" cm="1">
        <f t="array" ref="AM1266">IF($F1266="","",IFERROR(INDEX('Lot Balance'!$B$5:$B$500,MATCH(1,INDEX(('Lot Balance'!$A$5:$A$500=$F1266)*('Lot Balance'!$K$5:$K$500&lt;$AJ1266)*('Lot Balance'!$K$5:$K$500+'Lot Balance'!$D$5:$D$500&gt;=$AJ1266),0),0)),""))</f>
        <v>ZIM504124207-8</v>
      </c>
      <c r="AN1266" s="66" t="str">
        <f>IF($F1266="","",IF($AI1266&lt;&gt;"",IF(COUNTIFS('Lot Balance'!$A$5:$A$500,$F1266,'Lot Balance'!$B$5:$B$500,$AI1266)=0,"⚠ override is not a lot of this item",IF($AI1266=$AL1266,"Override = FEFO","Override - FEFO says "&amp;$AL1266)),IF($AL1266="","⚠ no receipt on file for this item",IF($AM1266&lt;&gt;$AL1266,"FEFO auto - split, also "&amp;$AM1266,"FEFO auto"))))</f>
        <v>FEFO auto</v>
      </c>
      <c r="AO1266" s="114"/>
    </row>
    <row r="1267" spans="1:41" x14ac:dyDescent="0.35">
      <c r="A1267" s="74">
        <v>46189</v>
      </c>
      <c r="B1267" s="18" t="str">
        <f>IF($C1267="","",IFERROR(INDEX('Staff Directory'!$A$5:$A$594,MATCH($C1267,'Staff Directory'!$B$5:$B$594,0)),"⚠ unknown staff"))</f>
        <v>PSW-060-A6</v>
      </c>
      <c r="C1267" s="49" t="s">
        <v>1036</v>
      </c>
      <c r="D1267" s="19" t="str">
        <f>IF($B1267="","",IFERROR(INDEX('Staff Directory'!$C$5:$C$594,MATCH($B1267,'Staff Directory'!$A$5:$A$594,0)),""))</f>
        <v>PSW</v>
      </c>
      <c r="E1267" s="19" t="str">
        <f>IF($B1267="","",IFERROR(INDEX('Staff Directory'!$D$5:$D$594,MATCH($B1267,'Staff Directory'!$A$5:$A$594,0)),""))</f>
        <v>A6</v>
      </c>
      <c r="F1267" s="9" t="s">
        <v>191</v>
      </c>
      <c r="G1267" s="18" t="str">
        <f>IF($F1267="","",IFERROR(INDEX(Items!$B$5:$B$597,MATCH($F1267,Items!$A$5:$A$597,0)),"⚠ not in Items"))</f>
        <v>Sanitizer</v>
      </c>
      <c r="H1267" s="19" t="str">
        <f>IF($F1267="","",IFERROR(INDEX(Items!$C$5:$C$597,MATCH($F1267,Items!$A$5:$A$597,0)),""))</f>
        <v>236 ML</v>
      </c>
      <c r="I1267" s="23">
        <f>IF($F1267="","",IFERROR(INDEX(Items!$E$5:$E$597,MATCH($F1267,Items!$A$5:$A$597,0)),""))</f>
        <v>1</v>
      </c>
      <c r="J1267" s="115">
        <f>IF(tblIssues[[#This Row],[Qty Override]]&lt;&gt;"",tblIssues[[#This Row],[Qty Override]],IF(tblIssues[[#This Row],[Standard Issue]]="","",tblIssues[[#This Row],[Standard Issue]]))</f>
        <v>1</v>
      </c>
      <c r="K1267" s="20">
        <f>IF($F1267="","",IFERROR(INDEX(Items!$D$5:$D$597,MATCH($F1267,Items!$A$5:$A$597,0)),""))</f>
        <v>1E-4</v>
      </c>
      <c r="L1267" s="21">
        <f t="shared" si="217"/>
        <v>1E-4</v>
      </c>
      <c r="M1267" s="9" t="str">
        <f t="shared" si="215"/>
        <v/>
      </c>
      <c r="N1267" s="24">
        <f>IF($A1267="","",WORKDAY($A1267,Settings!$C$9,HolidayDates))</f>
        <v>46197</v>
      </c>
      <c r="O1267" s="24">
        <f>IF($N1267="","",WORKDAY($N1267,Settings!$C$10,HolidayDates))</f>
        <v>46237</v>
      </c>
      <c r="P1267" s="10" t="s">
        <v>501</v>
      </c>
      <c r="Q1267" s="52" t="str">
        <f t="shared" si="218"/>
        <v>Collected</v>
      </c>
      <c r="R1267" s="55" t="str">
        <f t="shared" si="219"/>
        <v>2026-06</v>
      </c>
      <c r="S1267" s="55">
        <f>IF(OR($B1267="",$F1267="",$R1267=""),"",SUMIFS(tblIssues[Qty Issued],tblIssues[Staff ID],$B1267,tblIssues[Item Name],$F1267,tblIssues[Month],$R1267))</f>
        <v>1</v>
      </c>
      <c r="T1267" s="56">
        <f>IF($I1267="","",$I1267*Settings!$C$11)</f>
        <v>1</v>
      </c>
      <c r="U1267" s="57" t="str">
        <f t="shared" si="216"/>
        <v>OK</v>
      </c>
      <c r="V1267" s="55" t="str">
        <f t="shared" si="220"/>
        <v/>
      </c>
      <c r="W1267" s="55" t="str">
        <f>IF($V1267="","",IF(COUNTIF($V$5:$V1267,$V1267)=1,1,""))</f>
        <v/>
      </c>
      <c r="X1267" s="58" t="str">
        <f>IF($W1267="","",MAX($X$4:X1266)+1)</f>
        <v/>
      </c>
      <c r="Y1267" s="62"/>
      <c r="Z1267" s="62"/>
      <c r="AA1267" s="64" t="str">
        <f>IF($C1267="","",IFERROR(INDEX('Staff Directory'!$E$5:$E$594,MATCH($C1267,'Staff Directory'!$B$5:$B$594,0)),""))</f>
        <v>firstname120.lastname120@example.com</v>
      </c>
      <c r="AB1267" s="64" t="str">
        <f>IF($C1267="","",IF(ISNUMBER(SEARCH($D1267,Settings!$C$15)),"Pickup","Dispatch"))</f>
        <v>Pickup</v>
      </c>
      <c r="AC1267" s="64" t="str">
        <f t="shared" si="221"/>
        <v>Supply order ready for pickup</v>
      </c>
      <c r="AD1267" s="64" t="str">
        <f t="shared" si="212"/>
        <v>Dear PSW,
Your order is ready for pickup from Sample Branch, Wed-Fri 9am-4pm.</v>
      </c>
      <c r="AE1267" s="64" t="str">
        <f t="shared" si="213"/>
        <v>mailto:firstname120.lastname120@example.com?subject=Supply%20order%20ready%20for%20pickup&amp;body=Dear%20PSW%2C%0A%0AYour%20order%20is%20ready%20for%20pickup%20from%20Sample%20Branch%2C%20Wed-Fri%209am-4pm.</v>
      </c>
      <c r="AF1267" s="89" t="str">
        <f t="shared" si="222"/>
        <v>Draft email</v>
      </c>
      <c r="AG1267" s="64" t="str">
        <f>IF($C1267="","",IFERROR(INDEX('Staff Directory'!$K$595:$K$599,MATCH($C1267,'Staff Directory'!$B$5:$B$599,0)),$D1267))</f>
        <v>PSW</v>
      </c>
      <c r="AH1267" t="str">
        <f>IF($C1267="","",IFERROR(INDEX('Staff Directory'!$I$595:$I$599,MATCH($C1267,'Staff Directory'!$B$5:$B$599,0))&amp;" "&amp;INDEX('Staff Directory'!$J$595:$J$599,MATCH($C1267,'Staff Directory'!$B$5:$B$599,0)),$AG1267))</f>
        <v>PSW</v>
      </c>
      <c r="AI1267" s="102"/>
      <c r="AJ1267" s="101">
        <f>IF($F1267="","",SUMIFS($J$5:$J1267,$F$5:$F1267,$F1267))</f>
        <v>160</v>
      </c>
      <c r="AK1267" s="101">
        <f t="shared" si="214"/>
        <v>160</v>
      </c>
      <c r="AL1267" s="66" t="str" cm="1">
        <f t="array" ref="AL1267">IF($F1267="","",IFERROR(INDEX('Lot Balance'!$B$5:$B$500,MATCH(1,INDEX(('Lot Balance'!$A$5:$A$500=$F1267)*('Lot Balance'!$K$5:$K$500&lt;$AK1267)*('Lot Balance'!$K$5:$K$500+'Lot Balance'!$D$5:$D$500&gt;=$AK1267),0),0)),""))</f>
        <v/>
      </c>
      <c r="AM1267" s="66" t="str" cm="1">
        <f t="array" ref="AM1267">IF($F1267="","",IFERROR(INDEX('Lot Balance'!$B$5:$B$500,MATCH(1,INDEX(('Lot Balance'!$A$5:$A$500=$F1267)*('Lot Balance'!$K$5:$K$500&lt;$AJ1267)*('Lot Balance'!$K$5:$K$500+'Lot Balance'!$D$5:$D$500&gt;=$AJ1267),0),0)),""))</f>
        <v/>
      </c>
      <c r="AN1267" s="66" t="str">
        <f>IF($F1267="","",IF($AI1267&lt;&gt;"",IF(COUNTIFS('Lot Balance'!$A$5:$A$500,$F1267,'Lot Balance'!$B$5:$B$500,$AI1267)=0,"⚠ override is not a lot of this item",IF($AI1267=$AL1267,"Override = FEFO","Override - FEFO says "&amp;$AL1267)),IF($AL1267="","⚠ no receipt on file for this item",IF($AM1267&lt;&gt;$AL1267,"FEFO auto - split, also "&amp;$AM1267,"FEFO auto"))))</f>
        <v>⚠ no receipt on file for this item</v>
      </c>
      <c r="AO1267" s="114"/>
    </row>
    <row r="1268" spans="1:41" x14ac:dyDescent="0.35">
      <c r="A1268" s="74">
        <v>46189</v>
      </c>
      <c r="B1268" s="18" t="str">
        <f>IF($C1268="","",IFERROR(INDEX('Staff Directory'!$A$5:$A$594,MATCH($C1268,'Staff Directory'!$B$5:$B$594,0)),"⚠ unknown staff"))</f>
        <v>PSW-060-A6</v>
      </c>
      <c r="C1268" s="49" t="s">
        <v>1036</v>
      </c>
      <c r="D1268" s="19" t="str">
        <f>IF($B1268="","",IFERROR(INDEX('Staff Directory'!$C$5:$C$594,MATCH($B1268,'Staff Directory'!$A$5:$A$594,0)),""))</f>
        <v>PSW</v>
      </c>
      <c r="E1268" s="19" t="str">
        <f>IF($B1268="","",IFERROR(INDEX('Staff Directory'!$D$5:$D$594,MATCH($B1268,'Staff Directory'!$A$5:$A$594,0)),""))</f>
        <v>A6</v>
      </c>
      <c r="F1268" s="9" t="s">
        <v>115</v>
      </c>
      <c r="G1268" s="18" t="str">
        <f>IF($F1268="","",IFERROR(INDEX(Items!$B$5:$B$597,MATCH($F1268,Items!$A$5:$A$597,0)),"⚠ not in Items"))</f>
        <v>Wipes</v>
      </c>
      <c r="H1268" s="19">
        <f>IF($F1268="","",IFERROR(INDEX(Items!$C$5:$C$597,MATCH($F1268,Items!$A$5:$A$597,0)),""))</f>
        <v>80</v>
      </c>
      <c r="I1268" s="23">
        <f>IF($F1268="","",IFERROR(INDEX(Items!$E$5:$E$597,MATCH($F1268,Items!$A$5:$A$597,0)),""))</f>
        <v>80</v>
      </c>
      <c r="J1268" s="115">
        <f>IF(tblIssues[[#This Row],[Qty Override]]&lt;&gt;"",tblIssues[[#This Row],[Qty Override]],IF(tblIssues[[#This Row],[Standard Issue]]="","",tblIssues[[#This Row],[Standard Issue]]))</f>
        <v>80</v>
      </c>
      <c r="K1268" s="20">
        <f>IF($F1268="","",IFERROR(INDEX(Items!$D$5:$D$597,MATCH($F1268,Items!$A$5:$A$597,0)),""))</f>
        <v>0.1</v>
      </c>
      <c r="L1268" s="21">
        <f t="shared" si="217"/>
        <v>8</v>
      </c>
      <c r="M1268" s="9" t="str">
        <f t="shared" si="215"/>
        <v>LYSL500290</v>
      </c>
      <c r="N1268" s="24">
        <f>IF($A1268="","",WORKDAY($A1268,Settings!$C$9,HolidayDates))</f>
        <v>46197</v>
      </c>
      <c r="O1268" s="24">
        <f>IF($N1268="","",WORKDAY($N1268,Settings!$C$10,HolidayDates))</f>
        <v>46237</v>
      </c>
      <c r="P1268" s="10" t="s">
        <v>501</v>
      </c>
      <c r="Q1268" s="52" t="str">
        <f t="shared" si="218"/>
        <v>Collected</v>
      </c>
      <c r="R1268" s="55" t="str">
        <f t="shared" si="219"/>
        <v>2026-06</v>
      </c>
      <c r="S1268" s="55">
        <f>IF(OR($B1268="",$F1268="",$R1268=""),"",SUMIFS(tblIssues[Qty Issued],tblIssues[Staff ID],$B1268,tblIssues[Item Name],$F1268,tblIssues[Month],$R1268))</f>
        <v>80</v>
      </c>
      <c r="T1268" s="56">
        <f>IF($I1268="","",$I1268*Settings!$C$11)</f>
        <v>80</v>
      </c>
      <c r="U1268" s="57" t="str">
        <f t="shared" si="216"/>
        <v>OK</v>
      </c>
      <c r="V1268" s="55" t="str">
        <f t="shared" si="220"/>
        <v/>
      </c>
      <c r="W1268" s="55" t="str">
        <f>IF($V1268="","",IF(COUNTIF($V$5:$V1268,$V1268)=1,1,""))</f>
        <v/>
      </c>
      <c r="X1268" s="58" t="str">
        <f>IF($W1268="","",MAX($X$4:X1267)+1)</f>
        <v/>
      </c>
      <c r="Y1268" s="62"/>
      <c r="Z1268" s="62"/>
      <c r="AA1268" s="64" t="str">
        <f>IF($C1268="","",IFERROR(INDEX('Staff Directory'!$E$5:$E$594,MATCH($C1268,'Staff Directory'!$B$5:$B$594,0)),""))</f>
        <v>firstname120.lastname120@example.com</v>
      </c>
      <c r="AB1268" s="64" t="str">
        <f>IF($C1268="","",IF(ISNUMBER(SEARCH($D1268,Settings!$C$15)),"Pickup","Dispatch"))</f>
        <v>Pickup</v>
      </c>
      <c r="AC1268" s="64" t="str">
        <f t="shared" si="221"/>
        <v>Supply order ready for pickup</v>
      </c>
      <c r="AD1268" s="64" t="str">
        <f t="shared" si="212"/>
        <v>Dear PSW,
Your order is ready for pickup from Sample Branch, Wed-Fri 9am-4pm.</v>
      </c>
      <c r="AE1268" s="64" t="str">
        <f t="shared" si="213"/>
        <v>mailto:firstname120.lastname120@example.com?subject=Supply%20order%20ready%20for%20pickup&amp;body=Dear%20PSW%2C%0A%0AYour%20order%20is%20ready%20for%20pickup%20from%20Sample%20Branch%2C%20Wed-Fri%209am-4pm.</v>
      </c>
      <c r="AF1268" s="89" t="str">
        <f t="shared" si="222"/>
        <v>Draft email</v>
      </c>
      <c r="AG1268" s="64" t="str">
        <f>IF($C1268="","",IFERROR(INDEX('Staff Directory'!$K$595:$K$599,MATCH($C1268,'Staff Directory'!$B$5:$B$599,0)),$D1268))</f>
        <v>PSW</v>
      </c>
      <c r="AH1268" t="str">
        <f>IF($C1268="","",IFERROR(INDEX('Staff Directory'!$I$595:$I$599,MATCH($C1268,'Staff Directory'!$B$5:$B$599,0))&amp;" "&amp;INDEX('Staff Directory'!$J$595:$J$599,MATCH($C1268,'Staff Directory'!$B$5:$B$599,0)),$AG1268))</f>
        <v>PSW</v>
      </c>
      <c r="AI1268" s="102"/>
      <c r="AJ1268" s="101">
        <f>IF($F1268="","",SUMIFS($J$5:$J1268,$F$5:$F1268,$F1268))</f>
        <v>17520</v>
      </c>
      <c r="AK1268" s="101">
        <f t="shared" si="214"/>
        <v>17441</v>
      </c>
      <c r="AL1268" s="66" t="str" cm="1">
        <f t="array" ref="AL1268">IF($F1268="","",IFERROR(INDEX('Lot Balance'!$B$5:$B$500,MATCH(1,INDEX(('Lot Balance'!$A$5:$A$500=$F1268)*('Lot Balance'!$K$5:$K$500&lt;$AK1268)*('Lot Balance'!$K$5:$K$500+'Lot Balance'!$D$5:$D$500&gt;=$AK1268),0),0)),""))</f>
        <v>LYSL500290</v>
      </c>
      <c r="AM1268" s="66" t="str" cm="1">
        <f t="array" ref="AM1268">IF($F1268="","",IFERROR(INDEX('Lot Balance'!$B$5:$B$500,MATCH(1,INDEX(('Lot Balance'!$A$5:$A$500=$F1268)*('Lot Balance'!$K$5:$K$500&lt;$AJ1268)*('Lot Balance'!$K$5:$K$500+'Lot Balance'!$D$5:$D$500&gt;=$AJ1268),0),0)),""))</f>
        <v>LYSL500290</v>
      </c>
      <c r="AN1268" s="66" t="str">
        <f>IF($F1268="","",IF($AI1268&lt;&gt;"",IF(COUNTIFS('Lot Balance'!$A$5:$A$500,$F1268,'Lot Balance'!$B$5:$B$500,$AI1268)=0,"⚠ override is not a lot of this item",IF($AI1268=$AL1268,"Override = FEFO","Override - FEFO says "&amp;$AL1268)),IF($AL1268="","⚠ no receipt on file for this item",IF($AM1268&lt;&gt;$AL1268,"FEFO auto - split, also "&amp;$AM1268,"FEFO auto"))))</f>
        <v>FEFO auto</v>
      </c>
      <c r="AO1268" s="114"/>
    </row>
    <row r="1269" spans="1:41" x14ac:dyDescent="0.35">
      <c r="A1269" s="74">
        <v>46189</v>
      </c>
      <c r="B1269" s="18" t="str">
        <f>IF($C1269="","",IFERROR(INDEX('Staff Directory'!$A$5:$A$594,MATCH($C1269,'Staff Directory'!$B$5:$B$594,0)),"⚠ unknown staff"))</f>
        <v>PSW-095-A5</v>
      </c>
      <c r="C1269" s="49" t="s">
        <v>1073</v>
      </c>
      <c r="D1269" s="19" t="str">
        <f>IF($B1269="","",IFERROR(INDEX('Staff Directory'!$C$5:$C$594,MATCH($B1269,'Staff Directory'!$A$5:$A$594,0)),""))</f>
        <v>PSW</v>
      </c>
      <c r="E1269" s="19" t="str">
        <f>IF($B1269="","",IFERROR(INDEX('Staff Directory'!$D$5:$D$594,MATCH($B1269,'Staff Directory'!$A$5:$A$594,0)),""))</f>
        <v>A5</v>
      </c>
      <c r="F1269" s="9" t="s">
        <v>127</v>
      </c>
      <c r="G1269" s="18" t="str">
        <f>IF($F1269="","",IFERROR(INDEX(Items!$B$5:$B$597,MATCH($F1269,Items!$A$5:$A$597,0)),"⚠ not in Items"))</f>
        <v>Gloves</v>
      </c>
      <c r="H1269" s="19" t="str">
        <f>IF($F1269="","",IFERROR(INDEX(Items!$C$5:$C$597,MATCH($F1269,Items!$A$5:$A$597,0)),""))</f>
        <v>Medium</v>
      </c>
      <c r="I1269" s="23">
        <f>IF($F1269="","",IFERROR(INDEX(Items!$E$5:$E$597,MATCH($F1269,Items!$A$5:$A$597,0)),""))</f>
        <v>500</v>
      </c>
      <c r="J1269" s="115">
        <f>IF(tblIssues[[#This Row],[Qty Override]]&lt;&gt;"",tblIssues[[#This Row],[Qty Override]],IF(tblIssues[[#This Row],[Standard Issue]]="","",tblIssues[[#This Row],[Standard Issue]]))</f>
        <v>500</v>
      </c>
      <c r="K1269" s="20">
        <f>IF($F1269="","",IFERROR(INDEX(Items!$D$5:$D$597,MATCH($F1269,Items!$A$5:$A$597,0)),""))</f>
        <v>5.5E-2</v>
      </c>
      <c r="L1269" s="21">
        <f t="shared" si="217"/>
        <v>27.5</v>
      </c>
      <c r="M1269" s="9" t="str">
        <f t="shared" si="215"/>
        <v>ZIM510137962-1</v>
      </c>
      <c r="N1269" s="24">
        <f>IF($A1269="","",WORKDAY($A1269,Settings!$C$9,HolidayDates))</f>
        <v>46197</v>
      </c>
      <c r="O1269" s="24">
        <f>IF($N1269="","",WORKDAY($N1269,Settings!$C$10,HolidayDates))</f>
        <v>46237</v>
      </c>
      <c r="P1269" s="10" t="s">
        <v>501</v>
      </c>
      <c r="Q1269" s="52" t="str">
        <f t="shared" si="218"/>
        <v>Collected</v>
      </c>
      <c r="R1269" s="55" t="str">
        <f t="shared" si="219"/>
        <v>2026-06</v>
      </c>
      <c r="S1269" s="55">
        <f>IF(OR($B1269="",$F1269="",$R1269=""),"",SUMIFS(tblIssues[Qty Issued],tblIssues[Staff ID],$B1269,tblIssues[Item Name],$F1269,tblIssues[Month],$R1269))</f>
        <v>500</v>
      </c>
      <c r="T1269" s="56">
        <f>IF($I1269="","",$I1269*Settings!$C$11)</f>
        <v>500</v>
      </c>
      <c r="U1269" s="57" t="str">
        <f t="shared" si="216"/>
        <v>OK</v>
      </c>
      <c r="V1269" s="55" t="str">
        <f t="shared" si="220"/>
        <v/>
      </c>
      <c r="W1269" s="55" t="str">
        <f>IF($V1269="","",IF(COUNTIF($V$5:$V1269,$V1269)=1,1,""))</f>
        <v/>
      </c>
      <c r="X1269" s="58" t="str">
        <f>IF($W1269="","",MAX($X$4:X1268)+1)</f>
        <v/>
      </c>
      <c r="Y1269" s="62"/>
      <c r="Z1269" s="62"/>
      <c r="AA1269" s="64" t="str">
        <f>IF($C1269="","",IFERROR(INDEX('Staff Directory'!$E$5:$E$594,MATCH($C1269,'Staff Directory'!$B$5:$B$594,0)),""))</f>
        <v>firstname157.lastname157@example.com</v>
      </c>
      <c r="AB1269" s="64" t="str">
        <f>IF($C1269="","",IF(ISNUMBER(SEARCH($D1269,Settings!$C$15)),"Pickup","Dispatch"))</f>
        <v>Pickup</v>
      </c>
      <c r="AC1269" s="64" t="str">
        <f t="shared" si="221"/>
        <v>Supply order ready for pickup</v>
      </c>
      <c r="AD1269" s="64" t="str">
        <f t="shared" si="212"/>
        <v>Dear PSW,
Your order is ready for pickup from Sample Branch, Wed-Fri 9am-4pm.</v>
      </c>
      <c r="AE1269" s="64" t="str">
        <f t="shared" si="213"/>
        <v>mailto:firstname157.lastname157@example.com?subject=Supply%20order%20ready%20for%20pickup&amp;body=Dear%20PSW%2C%0A%0AYour%20order%20is%20ready%20for%20pickup%20from%20Sample%20Branch%2C%20Wed-Fri%209am-4pm.</v>
      </c>
      <c r="AF1269" s="89" t="str">
        <f t="shared" si="222"/>
        <v>Draft email</v>
      </c>
      <c r="AG1269" s="64" t="str">
        <f>IF($C1269="","",IFERROR(INDEX('Staff Directory'!$K$595:$K$599,MATCH($C1269,'Staff Directory'!$B$5:$B$599,0)),$D1269))</f>
        <v>PSW</v>
      </c>
      <c r="AH1269" t="str">
        <f>IF($C1269="","",IFERROR(INDEX('Staff Directory'!$I$595:$I$599,MATCH($C1269,'Staff Directory'!$B$5:$B$599,0))&amp;" "&amp;INDEX('Staff Directory'!$J$595:$J$599,MATCH($C1269,'Staff Directory'!$B$5:$B$599,0)),$AG1269))</f>
        <v>PSW</v>
      </c>
      <c r="AI1269" s="102"/>
      <c r="AJ1269" s="101">
        <f>IF($F1269="","",SUMIFS($J$5:$J1269,$F$5:$F1269,$F1269))</f>
        <v>78000</v>
      </c>
      <c r="AK1269" s="101">
        <f t="shared" si="214"/>
        <v>77501</v>
      </c>
      <c r="AL1269" s="66" t="str" cm="1">
        <f t="array" ref="AL1269">IF($F1269="","",IFERROR(INDEX('Lot Balance'!$B$5:$B$500,MATCH(1,INDEX(('Lot Balance'!$A$5:$A$500=$F1269)*('Lot Balance'!$K$5:$K$500&lt;$AK1269)*('Lot Balance'!$K$5:$K$500+'Lot Balance'!$D$5:$D$500&gt;=$AK1269),0),0)),""))</f>
        <v>ZIM510137962-1</v>
      </c>
      <c r="AM1269" s="66" t="str" cm="1">
        <f t="array" ref="AM1269">IF($F1269="","",IFERROR(INDEX('Lot Balance'!$B$5:$B$500,MATCH(1,INDEX(('Lot Balance'!$A$5:$A$500=$F1269)*('Lot Balance'!$K$5:$K$500&lt;$AJ1269)*('Lot Balance'!$K$5:$K$500+'Lot Balance'!$D$5:$D$500&gt;=$AJ1269),0),0)),""))</f>
        <v>ZIM510137962-1</v>
      </c>
      <c r="AN1269" s="66" t="str">
        <f>IF($F1269="","",IF($AI1269&lt;&gt;"",IF(COUNTIFS('Lot Balance'!$A$5:$A$500,$F1269,'Lot Balance'!$B$5:$B$500,$AI1269)=0,"⚠ override is not a lot of this item",IF($AI1269=$AL1269,"Override = FEFO","Override - FEFO says "&amp;$AL1269)),IF($AL1269="","⚠ no receipt on file for this item",IF($AM1269&lt;&gt;$AL1269,"FEFO auto - split, also "&amp;$AM1269,"FEFO auto"))))</f>
        <v>FEFO auto</v>
      </c>
      <c r="AO1269" s="114"/>
    </row>
    <row r="1270" spans="1:41" x14ac:dyDescent="0.35">
      <c r="A1270" s="74">
        <v>46189</v>
      </c>
      <c r="B1270" s="18" t="str">
        <f>IF($C1270="","",IFERROR(INDEX('Staff Directory'!$A$5:$A$594,MATCH($C1270,'Staff Directory'!$B$5:$B$594,0)),"⚠ unknown staff"))</f>
        <v>PSW-095-A5</v>
      </c>
      <c r="C1270" s="49" t="s">
        <v>1073</v>
      </c>
      <c r="D1270" s="19" t="str">
        <f>IF($B1270="","",IFERROR(INDEX('Staff Directory'!$C$5:$C$594,MATCH($B1270,'Staff Directory'!$A$5:$A$594,0)),""))</f>
        <v>PSW</v>
      </c>
      <c r="E1270" s="19" t="str">
        <f>IF($B1270="","",IFERROR(INDEX('Staff Directory'!$D$5:$D$594,MATCH($B1270,'Staff Directory'!$A$5:$A$594,0)),""))</f>
        <v>A5</v>
      </c>
      <c r="F1270" s="9" t="s">
        <v>191</v>
      </c>
      <c r="G1270" s="18" t="str">
        <f>IF($F1270="","",IFERROR(INDEX(Items!$B$5:$B$597,MATCH($F1270,Items!$A$5:$A$597,0)),"⚠ not in Items"))</f>
        <v>Sanitizer</v>
      </c>
      <c r="H1270" s="19" t="str">
        <f>IF($F1270="","",IFERROR(INDEX(Items!$C$5:$C$597,MATCH($F1270,Items!$A$5:$A$597,0)),""))</f>
        <v>236 ML</v>
      </c>
      <c r="I1270" s="23">
        <f>IF($F1270="","",IFERROR(INDEX(Items!$E$5:$E$597,MATCH($F1270,Items!$A$5:$A$597,0)),""))</f>
        <v>1</v>
      </c>
      <c r="J1270" s="115">
        <f>IF(tblIssues[[#This Row],[Qty Override]]&lt;&gt;"",tblIssues[[#This Row],[Qty Override]],IF(tblIssues[[#This Row],[Standard Issue]]="","",tblIssues[[#This Row],[Standard Issue]]))</f>
        <v>1</v>
      </c>
      <c r="K1270" s="20">
        <f>IF($F1270="","",IFERROR(INDEX(Items!$D$5:$D$597,MATCH($F1270,Items!$A$5:$A$597,0)),""))</f>
        <v>1E-4</v>
      </c>
      <c r="L1270" s="21">
        <f t="shared" si="217"/>
        <v>1E-4</v>
      </c>
      <c r="M1270" s="9" t="str">
        <f t="shared" si="215"/>
        <v/>
      </c>
      <c r="N1270" s="24">
        <f>IF($A1270="","",WORKDAY($A1270,Settings!$C$9,HolidayDates))</f>
        <v>46197</v>
      </c>
      <c r="O1270" s="24">
        <f>IF($N1270="","",WORKDAY($N1270,Settings!$C$10,HolidayDates))</f>
        <v>46237</v>
      </c>
      <c r="P1270" s="10" t="s">
        <v>501</v>
      </c>
      <c r="Q1270" s="52" t="str">
        <f t="shared" si="218"/>
        <v>Collected</v>
      </c>
      <c r="R1270" s="55" t="str">
        <f t="shared" si="219"/>
        <v>2026-06</v>
      </c>
      <c r="S1270" s="55">
        <f>IF(OR($B1270="",$F1270="",$R1270=""),"",SUMIFS(tblIssues[Qty Issued],tblIssues[Staff ID],$B1270,tblIssues[Item Name],$F1270,tblIssues[Month],$R1270))</f>
        <v>1</v>
      </c>
      <c r="T1270" s="56">
        <f>IF($I1270="","",$I1270*Settings!$C$11)</f>
        <v>1</v>
      </c>
      <c r="U1270" s="57" t="str">
        <f t="shared" si="216"/>
        <v>OK</v>
      </c>
      <c r="V1270" s="55" t="str">
        <f t="shared" si="220"/>
        <v/>
      </c>
      <c r="W1270" s="55" t="str">
        <f>IF($V1270="","",IF(COUNTIF($V$5:$V1270,$V1270)=1,1,""))</f>
        <v/>
      </c>
      <c r="X1270" s="58" t="str">
        <f>IF($W1270="","",MAX($X$4:X1269)+1)</f>
        <v/>
      </c>
      <c r="Y1270" s="62"/>
      <c r="Z1270" s="62"/>
      <c r="AA1270" s="64" t="str">
        <f>IF($C1270="","",IFERROR(INDEX('Staff Directory'!$E$5:$E$594,MATCH($C1270,'Staff Directory'!$B$5:$B$594,0)),""))</f>
        <v>firstname157.lastname157@example.com</v>
      </c>
      <c r="AB1270" s="64" t="str">
        <f>IF($C1270="","",IF(ISNUMBER(SEARCH($D1270,Settings!$C$15)),"Pickup","Dispatch"))</f>
        <v>Pickup</v>
      </c>
      <c r="AC1270" s="64" t="str">
        <f t="shared" si="221"/>
        <v>Supply order ready for pickup</v>
      </c>
      <c r="AD1270" s="64" t="str">
        <f t="shared" si="212"/>
        <v>Dear PSW,
Your order is ready for pickup from Sample Branch, Wed-Fri 9am-4pm.</v>
      </c>
      <c r="AE1270" s="64" t="str">
        <f t="shared" si="213"/>
        <v>mailto:firstname157.lastname157@example.com?subject=Supply%20order%20ready%20for%20pickup&amp;body=Dear%20PSW%2C%0A%0AYour%20order%20is%20ready%20for%20pickup%20from%20Sample%20Branch%2C%20Wed-Fri%209am-4pm.</v>
      </c>
      <c r="AF1270" s="89" t="str">
        <f t="shared" si="222"/>
        <v>Draft email</v>
      </c>
      <c r="AG1270" s="64" t="str">
        <f>IF($C1270="","",IFERROR(INDEX('Staff Directory'!$K$595:$K$599,MATCH($C1270,'Staff Directory'!$B$5:$B$599,0)),$D1270))</f>
        <v>PSW</v>
      </c>
      <c r="AH1270" t="str">
        <f>IF($C1270="","",IFERROR(INDEX('Staff Directory'!$I$595:$I$599,MATCH($C1270,'Staff Directory'!$B$5:$B$599,0))&amp;" "&amp;INDEX('Staff Directory'!$J$595:$J$599,MATCH($C1270,'Staff Directory'!$B$5:$B$599,0)),$AG1270))</f>
        <v>PSW</v>
      </c>
      <c r="AI1270" s="102"/>
      <c r="AJ1270" s="101">
        <f>IF($F1270="","",SUMIFS($J$5:$J1270,$F$5:$F1270,$F1270))</f>
        <v>161</v>
      </c>
      <c r="AK1270" s="101">
        <f t="shared" si="214"/>
        <v>161</v>
      </c>
      <c r="AL1270" s="66" t="str" cm="1">
        <f t="array" ref="AL1270">IF($F1270="","",IFERROR(INDEX('Lot Balance'!$B$5:$B$500,MATCH(1,INDEX(('Lot Balance'!$A$5:$A$500=$F1270)*('Lot Balance'!$K$5:$K$500&lt;$AK1270)*('Lot Balance'!$K$5:$K$500+'Lot Balance'!$D$5:$D$500&gt;=$AK1270),0),0)),""))</f>
        <v/>
      </c>
      <c r="AM1270" s="66" t="str" cm="1">
        <f t="array" ref="AM1270">IF($F1270="","",IFERROR(INDEX('Lot Balance'!$B$5:$B$500,MATCH(1,INDEX(('Lot Balance'!$A$5:$A$500=$F1270)*('Lot Balance'!$K$5:$K$500&lt;$AJ1270)*('Lot Balance'!$K$5:$K$500+'Lot Balance'!$D$5:$D$500&gt;=$AJ1270),0),0)),""))</f>
        <v/>
      </c>
      <c r="AN1270" s="66" t="str">
        <f>IF($F1270="","",IF($AI1270&lt;&gt;"",IF(COUNTIFS('Lot Balance'!$A$5:$A$500,$F1270,'Lot Balance'!$B$5:$B$500,$AI1270)=0,"⚠ override is not a lot of this item",IF($AI1270=$AL1270,"Override = FEFO","Override - FEFO says "&amp;$AL1270)),IF($AL1270="","⚠ no receipt on file for this item",IF($AM1270&lt;&gt;$AL1270,"FEFO auto - split, also "&amp;$AM1270,"FEFO auto"))))</f>
        <v>⚠ no receipt on file for this item</v>
      </c>
      <c r="AO1270" s="114"/>
    </row>
    <row r="1271" spans="1:41" x14ac:dyDescent="0.35">
      <c r="A1271" s="74">
        <v>46189</v>
      </c>
      <c r="B1271" s="18" t="str">
        <f>IF($C1271="","",IFERROR(INDEX('Staff Directory'!$A$5:$A$594,MATCH($C1271,'Staff Directory'!$B$5:$B$594,0)),"⚠ unknown staff"))</f>
        <v>PSW-095-A5</v>
      </c>
      <c r="C1271" s="49" t="s">
        <v>1073</v>
      </c>
      <c r="D1271" s="19" t="str">
        <f>IF($B1271="","",IFERROR(INDEX('Staff Directory'!$C$5:$C$594,MATCH($B1271,'Staff Directory'!$A$5:$A$594,0)),""))</f>
        <v>PSW</v>
      </c>
      <c r="E1271" s="19" t="str">
        <f>IF($B1271="","",IFERROR(INDEX('Staff Directory'!$D$5:$D$594,MATCH($B1271,'Staff Directory'!$A$5:$A$594,0)),""))</f>
        <v>A5</v>
      </c>
      <c r="F1271" s="9" t="s">
        <v>115</v>
      </c>
      <c r="G1271" s="18" t="str">
        <f>IF($F1271="","",IFERROR(INDEX(Items!$B$5:$B$597,MATCH($F1271,Items!$A$5:$A$597,0)),"⚠ not in Items"))</f>
        <v>Wipes</v>
      </c>
      <c r="H1271" s="19">
        <f>IF($F1271="","",IFERROR(INDEX(Items!$C$5:$C$597,MATCH($F1271,Items!$A$5:$A$597,0)),""))</f>
        <v>80</v>
      </c>
      <c r="I1271" s="23">
        <f>IF($F1271="","",IFERROR(INDEX(Items!$E$5:$E$597,MATCH($F1271,Items!$A$5:$A$597,0)),""))</f>
        <v>80</v>
      </c>
      <c r="J1271" s="115">
        <f>IF(tblIssues[[#This Row],[Qty Override]]&lt;&gt;"",tblIssues[[#This Row],[Qty Override]],IF(tblIssues[[#This Row],[Standard Issue]]="","",tblIssues[[#This Row],[Standard Issue]]))</f>
        <v>80</v>
      </c>
      <c r="K1271" s="20">
        <f>IF($F1271="","",IFERROR(INDEX(Items!$D$5:$D$597,MATCH($F1271,Items!$A$5:$A$597,0)),""))</f>
        <v>0.1</v>
      </c>
      <c r="L1271" s="21">
        <f t="shared" si="217"/>
        <v>8</v>
      </c>
      <c r="M1271" s="9" t="str">
        <f t="shared" si="215"/>
        <v>LYSL500290</v>
      </c>
      <c r="N1271" s="24">
        <f>IF($A1271="","",WORKDAY($A1271,Settings!$C$9,HolidayDates))</f>
        <v>46197</v>
      </c>
      <c r="O1271" s="24">
        <f>IF($N1271="","",WORKDAY($N1271,Settings!$C$10,HolidayDates))</f>
        <v>46237</v>
      </c>
      <c r="P1271" s="10" t="s">
        <v>501</v>
      </c>
      <c r="Q1271" s="52" t="str">
        <f t="shared" si="218"/>
        <v>Collected</v>
      </c>
      <c r="R1271" s="55" t="str">
        <f t="shared" si="219"/>
        <v>2026-06</v>
      </c>
      <c r="S1271" s="55">
        <f>IF(OR($B1271="",$F1271="",$R1271=""),"",SUMIFS(tblIssues[Qty Issued],tblIssues[Staff ID],$B1271,tblIssues[Item Name],$F1271,tblIssues[Month],$R1271))</f>
        <v>80</v>
      </c>
      <c r="T1271" s="56">
        <f>IF($I1271="","",$I1271*Settings!$C$11)</f>
        <v>80</v>
      </c>
      <c r="U1271" s="57" t="str">
        <f t="shared" si="216"/>
        <v>OK</v>
      </c>
      <c r="V1271" s="55" t="str">
        <f t="shared" si="220"/>
        <v/>
      </c>
      <c r="W1271" s="55" t="str">
        <f>IF($V1271="","",IF(COUNTIF($V$5:$V1271,$V1271)=1,1,""))</f>
        <v/>
      </c>
      <c r="X1271" s="58" t="str">
        <f>IF($W1271="","",MAX($X$4:X1270)+1)</f>
        <v/>
      </c>
      <c r="Y1271" s="62"/>
      <c r="Z1271" s="62"/>
      <c r="AA1271" s="64" t="str">
        <f>IF($C1271="","",IFERROR(INDEX('Staff Directory'!$E$5:$E$594,MATCH($C1271,'Staff Directory'!$B$5:$B$594,0)),""))</f>
        <v>firstname157.lastname157@example.com</v>
      </c>
      <c r="AB1271" s="64" t="str">
        <f>IF($C1271="","",IF(ISNUMBER(SEARCH($D1271,Settings!$C$15)),"Pickup","Dispatch"))</f>
        <v>Pickup</v>
      </c>
      <c r="AC1271" s="64" t="str">
        <f t="shared" si="221"/>
        <v>Supply order ready for pickup</v>
      </c>
      <c r="AD1271" s="64" t="str">
        <f t="shared" si="212"/>
        <v>Dear PSW,
Your order is ready for pickup from Sample Branch, Wed-Fri 9am-4pm.</v>
      </c>
      <c r="AE1271" s="64" t="str">
        <f t="shared" si="213"/>
        <v>mailto:firstname157.lastname157@example.com?subject=Supply%20order%20ready%20for%20pickup&amp;body=Dear%20PSW%2C%0A%0AYour%20order%20is%20ready%20for%20pickup%20from%20Sample%20Branch%2C%20Wed-Fri%209am-4pm.</v>
      </c>
      <c r="AF1271" s="89" t="str">
        <f t="shared" si="222"/>
        <v>Draft email</v>
      </c>
      <c r="AG1271" s="64" t="str">
        <f>IF($C1271="","",IFERROR(INDEX('Staff Directory'!$K$595:$K$599,MATCH($C1271,'Staff Directory'!$B$5:$B$599,0)),$D1271))</f>
        <v>PSW</v>
      </c>
      <c r="AH1271" t="str">
        <f>IF($C1271="","",IFERROR(INDEX('Staff Directory'!$I$595:$I$599,MATCH($C1271,'Staff Directory'!$B$5:$B$599,0))&amp;" "&amp;INDEX('Staff Directory'!$J$595:$J$599,MATCH($C1271,'Staff Directory'!$B$5:$B$599,0)),$AG1271))</f>
        <v>PSW</v>
      </c>
      <c r="AI1271" s="102"/>
      <c r="AJ1271" s="101">
        <f>IF($F1271="","",SUMIFS($J$5:$J1271,$F$5:$F1271,$F1271))</f>
        <v>17600</v>
      </c>
      <c r="AK1271" s="101">
        <f t="shared" si="214"/>
        <v>17521</v>
      </c>
      <c r="AL1271" s="66" t="str" cm="1">
        <f t="array" ref="AL1271">IF($F1271="","",IFERROR(INDEX('Lot Balance'!$B$5:$B$500,MATCH(1,INDEX(('Lot Balance'!$A$5:$A$500=$F1271)*('Lot Balance'!$K$5:$K$500&lt;$AK1271)*('Lot Balance'!$K$5:$K$500+'Lot Balance'!$D$5:$D$500&gt;=$AK1271),0),0)),""))</f>
        <v>LYSL500290</v>
      </c>
      <c r="AM1271" s="66" t="str" cm="1">
        <f t="array" ref="AM1271">IF($F1271="","",IFERROR(INDEX('Lot Balance'!$B$5:$B$500,MATCH(1,INDEX(('Lot Balance'!$A$5:$A$500=$F1271)*('Lot Balance'!$K$5:$K$500&lt;$AJ1271)*('Lot Balance'!$K$5:$K$500+'Lot Balance'!$D$5:$D$500&gt;=$AJ1271),0),0)),""))</f>
        <v>LYSL500290</v>
      </c>
      <c r="AN1271" s="66" t="str">
        <f>IF($F1271="","",IF($AI1271&lt;&gt;"",IF(COUNTIFS('Lot Balance'!$A$5:$A$500,$F1271,'Lot Balance'!$B$5:$B$500,$AI1271)=0,"⚠ override is not a lot of this item",IF($AI1271=$AL1271,"Override = FEFO","Override - FEFO says "&amp;$AL1271)),IF($AL1271="","⚠ no receipt on file for this item",IF($AM1271&lt;&gt;$AL1271,"FEFO auto - split, also "&amp;$AM1271,"FEFO auto"))))</f>
        <v>FEFO auto</v>
      </c>
      <c r="AO1271" s="114"/>
    </row>
    <row r="1272" spans="1:41" x14ac:dyDescent="0.35">
      <c r="A1272" s="74">
        <v>46189</v>
      </c>
      <c r="B1272" s="18" t="str">
        <f>IF($C1272="","",IFERROR(INDEX('Staff Directory'!$A$5:$A$594,MATCH($C1272,'Staff Directory'!$B$5:$B$594,0)),"⚠ unknown staff"))</f>
        <v>PSW-095-A5</v>
      </c>
      <c r="C1272" s="49" t="s">
        <v>1073</v>
      </c>
      <c r="D1272" s="19" t="str">
        <f>IF($B1272="","",IFERROR(INDEX('Staff Directory'!$C$5:$C$594,MATCH($B1272,'Staff Directory'!$A$5:$A$594,0)),""))</f>
        <v>PSW</v>
      </c>
      <c r="E1272" s="19" t="str">
        <f>IF($B1272="","",IFERROR(INDEX('Staff Directory'!$D$5:$D$594,MATCH($B1272,'Staff Directory'!$A$5:$A$594,0)),""))</f>
        <v>A5</v>
      </c>
      <c r="F1272" s="9" t="s">
        <v>147</v>
      </c>
      <c r="G1272" s="18" t="str">
        <f>IF($F1272="","",IFERROR(INDEX(Items!$B$5:$B$597,MATCH($F1272,Items!$A$5:$A$597,0)),"⚠ not in Items"))</f>
        <v>Apparel</v>
      </c>
      <c r="H1272" s="19" t="str">
        <f>IF($F1272="","",IFERROR(INDEX(Items!$C$5:$C$597,MATCH($F1272,Items!$A$5:$A$597,0)),""))</f>
        <v>One Size</v>
      </c>
      <c r="I1272" s="23">
        <f>IF($F1272="","",IFERROR(INDEX(Items!$E$5:$E$597,MATCH($F1272,Items!$A$5:$A$597,0)),""))</f>
        <v>5</v>
      </c>
      <c r="J1272" s="115">
        <f>IF(tblIssues[[#This Row],[Qty Override]]&lt;&gt;"",tblIssues[[#This Row],[Qty Override]],IF(tblIssues[[#This Row],[Standard Issue]]="","",tblIssues[[#This Row],[Standard Issue]]))</f>
        <v>5</v>
      </c>
      <c r="K1272" s="20">
        <f>IF($F1272="","",IFERROR(INDEX(Items!$D$5:$D$597,MATCH($F1272,Items!$A$5:$A$597,0)),""))</f>
        <v>3</v>
      </c>
      <c r="L1272" s="21">
        <f t="shared" si="217"/>
        <v>15</v>
      </c>
      <c r="M1272" s="9" t="str">
        <f t="shared" si="215"/>
        <v>YG500280</v>
      </c>
      <c r="N1272" s="24">
        <f>IF($A1272="","",WORKDAY($A1272,Settings!$C$9,HolidayDates))</f>
        <v>46197</v>
      </c>
      <c r="O1272" s="24">
        <f>IF($N1272="","",WORKDAY($N1272,Settings!$C$10,HolidayDates))</f>
        <v>46237</v>
      </c>
      <c r="P1272" s="10" t="s">
        <v>501</v>
      </c>
      <c r="Q1272" s="52" t="str">
        <f t="shared" si="218"/>
        <v>Collected</v>
      </c>
      <c r="R1272" s="55" t="str">
        <f t="shared" si="219"/>
        <v>2026-06</v>
      </c>
      <c r="S1272" s="55">
        <f>IF(OR($B1272="",$F1272="",$R1272=""),"",SUMIFS(tblIssues[Qty Issued],tblIssues[Staff ID],$B1272,tblIssues[Item Name],$F1272,tblIssues[Month],$R1272))</f>
        <v>5</v>
      </c>
      <c r="T1272" s="56">
        <f>IF($I1272="","",$I1272*Settings!$C$11)</f>
        <v>5</v>
      </c>
      <c r="U1272" s="57" t="str">
        <f t="shared" si="216"/>
        <v>OK</v>
      </c>
      <c r="V1272" s="55" t="str">
        <f t="shared" si="220"/>
        <v/>
      </c>
      <c r="W1272" s="55" t="str">
        <f>IF($V1272="","",IF(COUNTIF($V$5:$V1272,$V1272)=1,1,""))</f>
        <v/>
      </c>
      <c r="X1272" s="58" t="str">
        <f>IF($W1272="","",MAX($X$4:X1271)+1)</f>
        <v/>
      </c>
      <c r="Y1272" s="62"/>
      <c r="Z1272" s="62"/>
      <c r="AA1272" s="64" t="str">
        <f>IF($C1272="","",IFERROR(INDEX('Staff Directory'!$E$5:$E$594,MATCH($C1272,'Staff Directory'!$B$5:$B$594,0)),""))</f>
        <v>firstname157.lastname157@example.com</v>
      </c>
      <c r="AB1272" s="64" t="str">
        <f>IF($C1272="","",IF(ISNUMBER(SEARCH($D1272,Settings!$C$15)),"Pickup","Dispatch"))</f>
        <v>Pickup</v>
      </c>
      <c r="AC1272" s="64" t="str">
        <f t="shared" si="221"/>
        <v>Supply order ready for pickup</v>
      </c>
      <c r="AD1272" s="64" t="str">
        <f t="shared" si="212"/>
        <v>Dear PSW,
Your order is ready for pickup from Sample Branch, Wed-Fri 9am-4pm.</v>
      </c>
      <c r="AE1272" s="64" t="str">
        <f t="shared" si="213"/>
        <v>mailto:firstname157.lastname157@example.com?subject=Supply%20order%20ready%20for%20pickup&amp;body=Dear%20PSW%2C%0A%0AYour%20order%20is%20ready%20for%20pickup%20from%20Sample%20Branch%2C%20Wed-Fri%209am-4pm.</v>
      </c>
      <c r="AF1272" s="89" t="str">
        <f t="shared" si="222"/>
        <v>Draft email</v>
      </c>
      <c r="AG1272" s="64" t="str">
        <f>IF($C1272="","",IFERROR(INDEX('Staff Directory'!$K$595:$K$599,MATCH($C1272,'Staff Directory'!$B$5:$B$599,0)),$D1272))</f>
        <v>PSW</v>
      </c>
      <c r="AH1272" t="str">
        <f>IF($C1272="","",IFERROR(INDEX('Staff Directory'!$I$595:$I$599,MATCH($C1272,'Staff Directory'!$B$5:$B$599,0))&amp;" "&amp;INDEX('Staff Directory'!$J$595:$J$599,MATCH($C1272,'Staff Directory'!$B$5:$B$599,0)),$AG1272))</f>
        <v>PSW</v>
      </c>
      <c r="AI1272" s="102"/>
      <c r="AJ1272" s="101">
        <f>IF($F1272="","",SUMIFS($J$5:$J1272,$F$5:$F1272,$F1272))</f>
        <v>155</v>
      </c>
      <c r="AK1272" s="101">
        <f t="shared" si="214"/>
        <v>151</v>
      </c>
      <c r="AL1272" s="66" t="str" cm="1">
        <f t="array" ref="AL1272">IF($F1272="","",IFERROR(INDEX('Lot Balance'!$B$5:$B$500,MATCH(1,INDEX(('Lot Balance'!$A$5:$A$500=$F1272)*('Lot Balance'!$K$5:$K$500&lt;$AK1272)*('Lot Balance'!$K$5:$K$500+'Lot Balance'!$D$5:$D$500&gt;=$AK1272),0),0)),""))</f>
        <v>YG500280</v>
      </c>
      <c r="AM1272" s="66" t="str" cm="1">
        <f t="array" ref="AM1272">IF($F1272="","",IFERROR(INDEX('Lot Balance'!$B$5:$B$500,MATCH(1,INDEX(('Lot Balance'!$A$5:$A$500=$F1272)*('Lot Balance'!$K$5:$K$500&lt;$AJ1272)*('Lot Balance'!$K$5:$K$500+'Lot Balance'!$D$5:$D$500&gt;=$AJ1272),0),0)),""))</f>
        <v>YG500280</v>
      </c>
      <c r="AN1272" s="66" t="str">
        <f>IF($F1272="","",IF($AI1272&lt;&gt;"",IF(COUNTIFS('Lot Balance'!$A$5:$A$500,$F1272,'Lot Balance'!$B$5:$B$500,$AI1272)=0,"⚠ override is not a lot of this item",IF($AI1272=$AL1272,"Override = FEFO","Override - FEFO says "&amp;$AL1272)),IF($AL1272="","⚠ no receipt on file for this item",IF($AM1272&lt;&gt;$AL1272,"FEFO auto - split, also "&amp;$AM1272,"FEFO auto"))))</f>
        <v>FEFO auto</v>
      </c>
      <c r="AO1272" s="114"/>
    </row>
    <row r="1273" spans="1:41" x14ac:dyDescent="0.35">
      <c r="A1273" s="74">
        <v>46189</v>
      </c>
      <c r="B1273" s="18" t="str">
        <f>IF($C1273="","",IFERROR(INDEX('Staff Directory'!$A$5:$A$594,MATCH($C1273,'Staff Directory'!$B$5:$B$594,0)),"⚠ unknown staff"))</f>
        <v>PSW-094-A6</v>
      </c>
      <c r="C1273" s="49" t="s">
        <v>1072</v>
      </c>
      <c r="D1273" s="19" t="str">
        <f>IF($B1273="","",IFERROR(INDEX('Staff Directory'!$C$5:$C$594,MATCH($B1273,'Staff Directory'!$A$5:$A$594,0)),""))</f>
        <v>PSW</v>
      </c>
      <c r="E1273" s="19" t="str">
        <f>IF($B1273="","",IFERROR(INDEX('Staff Directory'!$D$5:$D$594,MATCH($B1273,'Staff Directory'!$A$5:$A$594,0)),""))</f>
        <v>A6</v>
      </c>
      <c r="F1273" s="9" t="s">
        <v>124</v>
      </c>
      <c r="G1273" s="18" t="str">
        <f>IF($F1273="","",IFERROR(INDEX(Items!$B$5:$B$597,MATCH($F1273,Items!$A$5:$A$597,0)),"⚠ not in Items"))</f>
        <v>Gloves</v>
      </c>
      <c r="H1273" s="19" t="str">
        <f>IF($F1273="","",IFERROR(INDEX(Items!$C$5:$C$597,MATCH($F1273,Items!$A$5:$A$597,0)),""))</f>
        <v>Large</v>
      </c>
      <c r="I1273" s="23">
        <f>IF($F1273="","",IFERROR(INDEX(Items!$E$5:$E$597,MATCH($F1273,Items!$A$5:$A$597,0)),""))</f>
        <v>500</v>
      </c>
      <c r="J1273" s="115">
        <f>IF(tblIssues[[#This Row],[Qty Override]]&lt;&gt;"",tblIssues[[#This Row],[Qty Override]],IF(tblIssues[[#This Row],[Standard Issue]]="","",tblIssues[[#This Row],[Standard Issue]]))</f>
        <v>500</v>
      </c>
      <c r="K1273" s="20">
        <f>IF($F1273="","",IFERROR(INDEX(Items!$D$5:$D$597,MATCH($F1273,Items!$A$5:$A$597,0)),""))</f>
        <v>5.5E-2</v>
      </c>
      <c r="L1273" s="21">
        <f t="shared" si="217"/>
        <v>27.5</v>
      </c>
      <c r="M1273" s="9" t="str">
        <f t="shared" si="215"/>
        <v>ZIM511139904-2</v>
      </c>
      <c r="N1273" s="24">
        <f>IF($A1273="","",WORKDAY($A1273,Settings!$C$9,HolidayDates))</f>
        <v>46197</v>
      </c>
      <c r="O1273" s="24">
        <f>IF($N1273="","",WORKDAY($N1273,Settings!$C$10,HolidayDates))</f>
        <v>46237</v>
      </c>
      <c r="P1273" s="10" t="s">
        <v>501</v>
      </c>
      <c r="Q1273" s="52" t="str">
        <f t="shared" si="218"/>
        <v>Collected</v>
      </c>
      <c r="R1273" s="55" t="str">
        <f t="shared" si="219"/>
        <v>2026-06</v>
      </c>
      <c r="S1273" s="55">
        <f>IF(OR($B1273="",$F1273="",$R1273=""),"",SUMIFS(tblIssues[Qty Issued],tblIssues[Staff ID],$B1273,tblIssues[Item Name],$F1273,tblIssues[Month],$R1273))</f>
        <v>500</v>
      </c>
      <c r="T1273" s="56">
        <f>IF($I1273="","",$I1273*Settings!$C$11)</f>
        <v>500</v>
      </c>
      <c r="U1273" s="57" t="str">
        <f t="shared" si="216"/>
        <v>OK</v>
      </c>
      <c r="V1273" s="55" t="str">
        <f t="shared" si="220"/>
        <v/>
      </c>
      <c r="W1273" s="55" t="str">
        <f>IF($V1273="","",IF(COUNTIF($V$5:$V1273,$V1273)=1,1,""))</f>
        <v/>
      </c>
      <c r="X1273" s="58" t="str">
        <f>IF($W1273="","",MAX($X$4:X1272)+1)</f>
        <v/>
      </c>
      <c r="Y1273" s="62"/>
      <c r="Z1273" s="62"/>
      <c r="AA1273" s="64" t="str">
        <f>IF($C1273="","",IFERROR(INDEX('Staff Directory'!$E$5:$E$594,MATCH($C1273,'Staff Directory'!$B$5:$B$594,0)),""))</f>
        <v>firstname156.lastname156@example.com</v>
      </c>
      <c r="AB1273" s="64" t="str">
        <f>IF($C1273="","",IF(ISNUMBER(SEARCH($D1273,Settings!$C$15)),"Pickup","Dispatch"))</f>
        <v>Pickup</v>
      </c>
      <c r="AC1273" s="64" t="str">
        <f t="shared" si="221"/>
        <v>Supply order ready for pickup</v>
      </c>
      <c r="AD1273" s="64" t="str">
        <f t="shared" si="212"/>
        <v>Dear PSW,
Your order is ready for pickup from Sample Branch, Wed-Fri 9am-4pm.</v>
      </c>
      <c r="AE1273" s="64" t="str">
        <f t="shared" si="213"/>
        <v>mailto:firstname156.lastname156@example.com?subject=Supply%20order%20ready%20for%20pickup&amp;body=Dear%20PSW%2C%0A%0AYour%20order%20is%20ready%20for%20pickup%20from%20Sample%20Branch%2C%20Wed-Fri%209am-4pm.</v>
      </c>
      <c r="AF1273" s="89" t="str">
        <f t="shared" si="222"/>
        <v>Draft email</v>
      </c>
      <c r="AG1273" s="64" t="str">
        <f>IF($C1273="","",IFERROR(INDEX('Staff Directory'!$K$595:$K$599,MATCH($C1273,'Staff Directory'!$B$5:$B$599,0)),$D1273))</f>
        <v>PSW</v>
      </c>
      <c r="AH1273" t="str">
        <f>IF($C1273="","",IFERROR(INDEX('Staff Directory'!$I$595:$I$599,MATCH($C1273,'Staff Directory'!$B$5:$B$599,0))&amp;" "&amp;INDEX('Staff Directory'!$J$595:$J$599,MATCH($C1273,'Staff Directory'!$B$5:$B$599,0)),$AG1273))</f>
        <v>PSW</v>
      </c>
      <c r="AI1273" s="102"/>
      <c r="AJ1273" s="101">
        <f>IF($F1273="","",SUMIFS($J$5:$J1273,$F$5:$F1273,$F1273))</f>
        <v>35500</v>
      </c>
      <c r="AK1273" s="101">
        <f t="shared" si="214"/>
        <v>35001</v>
      </c>
      <c r="AL1273" s="66" t="str" cm="1">
        <f t="array" ref="AL1273">IF($F1273="","",IFERROR(INDEX('Lot Balance'!$B$5:$B$500,MATCH(1,INDEX(('Lot Balance'!$A$5:$A$500=$F1273)*('Lot Balance'!$K$5:$K$500&lt;$AK1273)*('Lot Balance'!$K$5:$K$500+'Lot Balance'!$D$5:$D$500&gt;=$AK1273),0),0)),""))</f>
        <v>ZIM511139904-2</v>
      </c>
      <c r="AM1273" s="66" t="str" cm="1">
        <f t="array" ref="AM1273">IF($F1273="","",IFERROR(INDEX('Lot Balance'!$B$5:$B$500,MATCH(1,INDEX(('Lot Balance'!$A$5:$A$500=$F1273)*('Lot Balance'!$K$5:$K$500&lt;$AJ1273)*('Lot Balance'!$K$5:$K$500+'Lot Balance'!$D$5:$D$500&gt;=$AJ1273),0),0)),""))</f>
        <v>ZIM511139904-2</v>
      </c>
      <c r="AN1273" s="66" t="str">
        <f>IF($F1273="","",IF($AI1273&lt;&gt;"",IF(COUNTIFS('Lot Balance'!$A$5:$A$500,$F1273,'Lot Balance'!$B$5:$B$500,$AI1273)=0,"⚠ override is not a lot of this item",IF($AI1273=$AL1273,"Override = FEFO","Override - FEFO says "&amp;$AL1273)),IF($AL1273="","⚠ no receipt on file for this item",IF($AM1273&lt;&gt;$AL1273,"FEFO auto - split, also "&amp;$AM1273,"FEFO auto"))))</f>
        <v>FEFO auto</v>
      </c>
      <c r="AO1273" s="114"/>
    </row>
    <row r="1274" spans="1:41" x14ac:dyDescent="0.35">
      <c r="A1274" s="74">
        <v>46189</v>
      </c>
      <c r="B1274" s="18" t="str">
        <f>IF($C1274="","",IFERROR(INDEX('Staff Directory'!$A$5:$A$594,MATCH($C1274,'Staff Directory'!$B$5:$B$594,0)),"⚠ unknown staff"))</f>
        <v>PSW-094-A6</v>
      </c>
      <c r="C1274" s="49" t="s">
        <v>1072</v>
      </c>
      <c r="D1274" s="19" t="str">
        <f>IF($B1274="","",IFERROR(INDEX('Staff Directory'!$C$5:$C$594,MATCH($B1274,'Staff Directory'!$A$5:$A$594,0)),""))</f>
        <v>PSW</v>
      </c>
      <c r="E1274" s="19" t="str">
        <f>IF($B1274="","",IFERROR(INDEX('Staff Directory'!$D$5:$D$594,MATCH($B1274,'Staff Directory'!$A$5:$A$594,0)),""))</f>
        <v>A6</v>
      </c>
      <c r="F1274" s="9" t="s">
        <v>191</v>
      </c>
      <c r="G1274" s="18" t="str">
        <f>IF($F1274="","",IFERROR(INDEX(Items!$B$5:$B$597,MATCH($F1274,Items!$A$5:$A$597,0)),"⚠ not in Items"))</f>
        <v>Sanitizer</v>
      </c>
      <c r="H1274" s="19" t="str">
        <f>IF($F1274="","",IFERROR(INDEX(Items!$C$5:$C$597,MATCH($F1274,Items!$A$5:$A$597,0)),""))</f>
        <v>236 ML</v>
      </c>
      <c r="I1274" s="23">
        <f>IF($F1274="","",IFERROR(INDEX(Items!$E$5:$E$597,MATCH($F1274,Items!$A$5:$A$597,0)),""))</f>
        <v>1</v>
      </c>
      <c r="J1274" s="115">
        <f>IF(tblIssues[[#This Row],[Qty Override]]&lt;&gt;"",tblIssues[[#This Row],[Qty Override]],IF(tblIssues[[#This Row],[Standard Issue]]="","",tblIssues[[#This Row],[Standard Issue]]))</f>
        <v>1</v>
      </c>
      <c r="K1274" s="20">
        <f>IF($F1274="","",IFERROR(INDEX(Items!$D$5:$D$597,MATCH($F1274,Items!$A$5:$A$597,0)),""))</f>
        <v>1E-4</v>
      </c>
      <c r="L1274" s="21">
        <f t="shared" si="217"/>
        <v>1E-4</v>
      </c>
      <c r="M1274" s="9" t="str">
        <f t="shared" si="215"/>
        <v/>
      </c>
      <c r="N1274" s="24">
        <f>IF($A1274="","",WORKDAY($A1274,Settings!$C$9,HolidayDates))</f>
        <v>46197</v>
      </c>
      <c r="O1274" s="24">
        <f>IF($N1274="","",WORKDAY($N1274,Settings!$C$10,HolidayDates))</f>
        <v>46237</v>
      </c>
      <c r="P1274" s="10" t="s">
        <v>501</v>
      </c>
      <c r="Q1274" s="52" t="str">
        <f t="shared" si="218"/>
        <v>Collected</v>
      </c>
      <c r="R1274" s="55" t="str">
        <f t="shared" si="219"/>
        <v>2026-06</v>
      </c>
      <c r="S1274" s="55">
        <f>IF(OR($B1274="",$F1274="",$R1274=""),"",SUMIFS(tblIssues[Qty Issued],tblIssues[Staff ID],$B1274,tblIssues[Item Name],$F1274,tblIssues[Month],$R1274))</f>
        <v>1</v>
      </c>
      <c r="T1274" s="56">
        <f>IF($I1274="","",$I1274*Settings!$C$11)</f>
        <v>1</v>
      </c>
      <c r="U1274" s="57" t="str">
        <f t="shared" si="216"/>
        <v>OK</v>
      </c>
      <c r="V1274" s="55" t="str">
        <f t="shared" si="220"/>
        <v/>
      </c>
      <c r="W1274" s="55" t="str">
        <f>IF($V1274="","",IF(COUNTIF($V$5:$V1274,$V1274)=1,1,""))</f>
        <v/>
      </c>
      <c r="X1274" s="58" t="str">
        <f>IF($W1274="","",MAX($X$4:X1273)+1)</f>
        <v/>
      </c>
      <c r="Y1274" s="62"/>
      <c r="Z1274" s="62"/>
      <c r="AA1274" s="64" t="str">
        <f>IF($C1274="","",IFERROR(INDEX('Staff Directory'!$E$5:$E$594,MATCH($C1274,'Staff Directory'!$B$5:$B$594,0)),""))</f>
        <v>firstname156.lastname156@example.com</v>
      </c>
      <c r="AB1274" s="64" t="str">
        <f>IF($C1274="","",IF(ISNUMBER(SEARCH($D1274,Settings!$C$15)),"Pickup","Dispatch"))</f>
        <v>Pickup</v>
      </c>
      <c r="AC1274" s="64" t="str">
        <f t="shared" si="221"/>
        <v>Supply order ready for pickup</v>
      </c>
      <c r="AD1274" s="64" t="str">
        <f t="shared" si="212"/>
        <v>Dear PSW,
Your order is ready for pickup from Sample Branch, Wed-Fri 9am-4pm.</v>
      </c>
      <c r="AE1274" s="64" t="str">
        <f t="shared" si="213"/>
        <v>mailto:firstname156.lastname156@example.com?subject=Supply%20order%20ready%20for%20pickup&amp;body=Dear%20PSW%2C%0A%0AYour%20order%20is%20ready%20for%20pickup%20from%20Sample%20Branch%2C%20Wed-Fri%209am-4pm.</v>
      </c>
      <c r="AF1274" s="89" t="str">
        <f t="shared" si="222"/>
        <v>Draft email</v>
      </c>
      <c r="AG1274" s="64" t="str">
        <f>IF($C1274="","",IFERROR(INDEX('Staff Directory'!$K$595:$K$599,MATCH($C1274,'Staff Directory'!$B$5:$B$599,0)),$D1274))</f>
        <v>PSW</v>
      </c>
      <c r="AH1274" t="str">
        <f>IF($C1274="","",IFERROR(INDEX('Staff Directory'!$I$595:$I$599,MATCH($C1274,'Staff Directory'!$B$5:$B$599,0))&amp;" "&amp;INDEX('Staff Directory'!$J$595:$J$599,MATCH($C1274,'Staff Directory'!$B$5:$B$599,0)),$AG1274))</f>
        <v>PSW</v>
      </c>
      <c r="AI1274" s="102"/>
      <c r="AJ1274" s="101">
        <f>IF($F1274="","",SUMIFS($J$5:$J1274,$F$5:$F1274,$F1274))</f>
        <v>162</v>
      </c>
      <c r="AK1274" s="101">
        <f t="shared" si="214"/>
        <v>162</v>
      </c>
      <c r="AL1274" s="66" t="str" cm="1">
        <f t="array" ref="AL1274">IF($F1274="","",IFERROR(INDEX('Lot Balance'!$B$5:$B$500,MATCH(1,INDEX(('Lot Balance'!$A$5:$A$500=$F1274)*('Lot Balance'!$K$5:$K$500&lt;$AK1274)*('Lot Balance'!$K$5:$K$500+'Lot Balance'!$D$5:$D$500&gt;=$AK1274),0),0)),""))</f>
        <v/>
      </c>
      <c r="AM1274" s="66" t="str" cm="1">
        <f t="array" ref="AM1274">IF($F1274="","",IFERROR(INDEX('Lot Balance'!$B$5:$B$500,MATCH(1,INDEX(('Lot Balance'!$A$5:$A$500=$F1274)*('Lot Balance'!$K$5:$K$500&lt;$AJ1274)*('Lot Balance'!$K$5:$K$500+'Lot Balance'!$D$5:$D$500&gt;=$AJ1274),0),0)),""))</f>
        <v/>
      </c>
      <c r="AN1274" s="66" t="str">
        <f>IF($F1274="","",IF($AI1274&lt;&gt;"",IF(COUNTIFS('Lot Balance'!$A$5:$A$500,$F1274,'Lot Balance'!$B$5:$B$500,$AI1274)=0,"⚠ override is not a lot of this item",IF($AI1274=$AL1274,"Override = FEFO","Override - FEFO says "&amp;$AL1274)),IF($AL1274="","⚠ no receipt on file for this item",IF($AM1274&lt;&gt;$AL1274,"FEFO auto - split, also "&amp;$AM1274,"FEFO auto"))))</f>
        <v>⚠ no receipt on file for this item</v>
      </c>
      <c r="AO1274" s="114"/>
    </row>
    <row r="1275" spans="1:41" x14ac:dyDescent="0.35">
      <c r="A1275" s="74">
        <v>46189</v>
      </c>
      <c r="B1275" s="18" t="str">
        <f>IF($C1275="","",IFERROR(INDEX('Staff Directory'!$A$5:$A$594,MATCH($C1275,'Staff Directory'!$B$5:$B$594,0)),"⚠ unknown staff"))</f>
        <v>PSW-094-A6</v>
      </c>
      <c r="C1275" s="49" t="s">
        <v>1072</v>
      </c>
      <c r="D1275" s="19" t="str">
        <f>IF($B1275="","",IFERROR(INDEX('Staff Directory'!$C$5:$C$594,MATCH($B1275,'Staff Directory'!$A$5:$A$594,0)),""))</f>
        <v>PSW</v>
      </c>
      <c r="E1275" s="19" t="str">
        <f>IF($B1275="","",IFERROR(INDEX('Staff Directory'!$D$5:$D$594,MATCH($B1275,'Staff Directory'!$A$5:$A$594,0)),""))</f>
        <v>A6</v>
      </c>
      <c r="F1275" s="9" t="s">
        <v>137</v>
      </c>
      <c r="G1275" s="18" t="str">
        <f>IF($F1275="","",IFERROR(INDEX(Items!$B$5:$B$597,MATCH($F1275,Items!$A$5:$A$597,0)),"⚠ not in Items"))</f>
        <v>Sanitizer</v>
      </c>
      <c r="H1275" s="19" t="str">
        <f>IF($F1275="","",IFERROR(INDEX(Items!$C$5:$C$597,MATCH($F1275,Items!$A$5:$A$597,0)),""))</f>
        <v>118 ML</v>
      </c>
      <c r="I1275" s="23">
        <f>IF($F1275="","",IFERROR(INDEX(Items!$E$5:$E$597,MATCH($F1275,Items!$A$5:$A$597,0)),""))</f>
        <v>2</v>
      </c>
      <c r="J1275" s="115">
        <f>IF(tblIssues[[#This Row],[Qty Override]]&lt;&gt;"",tblIssues[[#This Row],[Qty Override]],IF(tblIssues[[#This Row],[Standard Issue]]="","",tblIssues[[#This Row],[Standard Issue]]))</f>
        <v>2</v>
      </c>
      <c r="K1275" s="20">
        <f>IF($F1275="","",IFERROR(INDEX(Items!$D$5:$D$597,MATCH($F1275,Items!$A$5:$A$597,0)),""))</f>
        <v>4.49</v>
      </c>
      <c r="L1275" s="21">
        <f t="shared" si="217"/>
        <v>8.98</v>
      </c>
      <c r="M1275" s="9" t="str">
        <f t="shared" si="215"/>
        <v>563963-7</v>
      </c>
      <c r="N1275" s="24">
        <f>IF($A1275="","",WORKDAY($A1275,Settings!$C$9,HolidayDates))</f>
        <v>46197</v>
      </c>
      <c r="O1275" s="24">
        <f>IF($N1275="","",WORKDAY($N1275,Settings!$C$10,HolidayDates))</f>
        <v>46237</v>
      </c>
      <c r="P1275" s="10" t="s">
        <v>501</v>
      </c>
      <c r="Q1275" s="52" t="str">
        <f t="shared" si="218"/>
        <v>Collected</v>
      </c>
      <c r="R1275" s="55" t="str">
        <f t="shared" si="219"/>
        <v>2026-06</v>
      </c>
      <c r="S1275" s="55">
        <f>IF(OR($B1275="",$F1275="",$R1275=""),"",SUMIFS(tblIssues[Qty Issued],tblIssues[Staff ID],$B1275,tblIssues[Item Name],$F1275,tblIssues[Month],$R1275))</f>
        <v>2</v>
      </c>
      <c r="T1275" s="56">
        <f>IF($I1275="","",$I1275*Settings!$C$11)</f>
        <v>2</v>
      </c>
      <c r="U1275" s="57" t="str">
        <f t="shared" si="216"/>
        <v>OK</v>
      </c>
      <c r="V1275" s="55" t="str">
        <f t="shared" si="220"/>
        <v/>
      </c>
      <c r="W1275" s="55" t="str">
        <f>IF($V1275="","",IF(COUNTIF($V$5:$V1275,$V1275)=1,1,""))</f>
        <v/>
      </c>
      <c r="X1275" s="58" t="str">
        <f>IF($W1275="","",MAX($X$4:X1274)+1)</f>
        <v/>
      </c>
      <c r="Y1275" s="62"/>
      <c r="Z1275" s="62"/>
      <c r="AA1275" s="64" t="str">
        <f>IF($C1275="","",IFERROR(INDEX('Staff Directory'!$E$5:$E$594,MATCH($C1275,'Staff Directory'!$B$5:$B$594,0)),""))</f>
        <v>firstname156.lastname156@example.com</v>
      </c>
      <c r="AB1275" s="64" t="str">
        <f>IF($C1275="","",IF(ISNUMBER(SEARCH($D1275,Settings!$C$15)),"Pickup","Dispatch"))</f>
        <v>Pickup</v>
      </c>
      <c r="AC1275" s="64" t="str">
        <f t="shared" si="221"/>
        <v>Supply order ready for pickup</v>
      </c>
      <c r="AD1275" s="64" t="str">
        <f t="shared" si="212"/>
        <v>Dear PSW,
Your order is ready for pickup from Sample Branch, Wed-Fri 9am-4pm.</v>
      </c>
      <c r="AE1275" s="64" t="str">
        <f t="shared" si="213"/>
        <v>mailto:firstname156.lastname156@example.com?subject=Supply%20order%20ready%20for%20pickup&amp;body=Dear%20PSW%2C%0A%0AYour%20order%20is%20ready%20for%20pickup%20from%20Sample%20Branch%2C%20Wed-Fri%209am-4pm.</v>
      </c>
      <c r="AF1275" s="89" t="str">
        <f t="shared" si="222"/>
        <v>Draft email</v>
      </c>
      <c r="AG1275" s="64" t="str">
        <f>IF($C1275="","",IFERROR(INDEX('Staff Directory'!$K$595:$K$599,MATCH($C1275,'Staff Directory'!$B$5:$B$599,0)),$D1275))</f>
        <v>PSW</v>
      </c>
      <c r="AH1275" t="str">
        <f>IF($C1275="","",IFERROR(INDEX('Staff Directory'!$I$595:$I$599,MATCH($C1275,'Staff Directory'!$B$5:$B$599,0))&amp;" "&amp;INDEX('Staff Directory'!$J$595:$J$599,MATCH($C1275,'Staff Directory'!$B$5:$B$599,0)),$AG1275))</f>
        <v>PSW</v>
      </c>
      <c r="AI1275" s="102"/>
      <c r="AJ1275" s="101">
        <f>IF($F1275="","",SUMIFS($J$5:$J1275,$F$5:$F1275,$F1275))</f>
        <v>114</v>
      </c>
      <c r="AK1275" s="101">
        <f t="shared" si="214"/>
        <v>113</v>
      </c>
      <c r="AL1275" s="66" t="str" cm="1">
        <f t="array" ref="AL1275">IF($F1275="","",IFERROR(INDEX('Lot Balance'!$B$5:$B$500,MATCH(1,INDEX(('Lot Balance'!$A$5:$A$500=$F1275)*('Lot Balance'!$K$5:$K$500&lt;$AK1275)*('Lot Balance'!$K$5:$K$500+'Lot Balance'!$D$5:$D$500&gt;=$AK1275),0),0)),""))</f>
        <v>563963-7</v>
      </c>
      <c r="AM1275" s="66" t="str" cm="1">
        <f t="array" ref="AM1275">IF($F1275="","",IFERROR(INDEX('Lot Balance'!$B$5:$B$500,MATCH(1,INDEX(('Lot Balance'!$A$5:$A$500=$F1275)*('Lot Balance'!$K$5:$K$500&lt;$AJ1275)*('Lot Balance'!$K$5:$K$500+'Lot Balance'!$D$5:$D$500&gt;=$AJ1275),0),0)),""))</f>
        <v>563963-7</v>
      </c>
      <c r="AN1275" s="66" t="str">
        <f>IF($F1275="","",IF($AI1275&lt;&gt;"",IF(COUNTIFS('Lot Balance'!$A$5:$A$500,$F1275,'Lot Balance'!$B$5:$B$500,$AI1275)=0,"⚠ override is not a lot of this item",IF($AI1275=$AL1275,"Override = FEFO","Override - FEFO says "&amp;$AL1275)),IF($AL1275="","⚠ no receipt on file for this item",IF($AM1275&lt;&gt;$AL1275,"FEFO auto - split, also "&amp;$AM1275,"FEFO auto"))))</f>
        <v>FEFO auto</v>
      </c>
      <c r="AO1275" s="114"/>
    </row>
    <row r="1276" spans="1:41" x14ac:dyDescent="0.35">
      <c r="A1276" s="74">
        <v>46189</v>
      </c>
      <c r="B1276" s="18" t="str">
        <f>IF($C1276="","",IFERROR(INDEX('Staff Directory'!$A$5:$A$594,MATCH($C1276,'Staff Directory'!$B$5:$B$594,0)),"⚠ unknown staff"))</f>
        <v>PSW-094-A6</v>
      </c>
      <c r="C1276" s="49" t="s">
        <v>1072</v>
      </c>
      <c r="D1276" s="19" t="str">
        <f>IF($B1276="","",IFERROR(INDEX('Staff Directory'!$C$5:$C$594,MATCH($B1276,'Staff Directory'!$A$5:$A$594,0)),""))</f>
        <v>PSW</v>
      </c>
      <c r="E1276" s="19" t="str">
        <f>IF($B1276="","",IFERROR(INDEX('Staff Directory'!$D$5:$D$594,MATCH($B1276,'Staff Directory'!$A$5:$A$594,0)),""))</f>
        <v>A6</v>
      </c>
      <c r="F1276" s="9" t="s">
        <v>115</v>
      </c>
      <c r="G1276" s="18" t="str">
        <f>IF($F1276="","",IFERROR(INDEX(Items!$B$5:$B$597,MATCH($F1276,Items!$A$5:$A$597,0)),"⚠ not in Items"))</f>
        <v>Wipes</v>
      </c>
      <c r="H1276" s="19">
        <f>IF($F1276="","",IFERROR(INDEX(Items!$C$5:$C$597,MATCH($F1276,Items!$A$5:$A$597,0)),""))</f>
        <v>80</v>
      </c>
      <c r="I1276" s="23">
        <f>IF($F1276="","",IFERROR(INDEX(Items!$E$5:$E$597,MATCH($F1276,Items!$A$5:$A$597,0)),""))</f>
        <v>80</v>
      </c>
      <c r="J1276" s="115">
        <f>IF(tblIssues[[#This Row],[Qty Override]]&lt;&gt;"",tblIssues[[#This Row],[Qty Override]],IF(tblIssues[[#This Row],[Standard Issue]]="","",tblIssues[[#This Row],[Standard Issue]]))</f>
        <v>80</v>
      </c>
      <c r="K1276" s="20">
        <f>IF($F1276="","",IFERROR(INDEX(Items!$D$5:$D$597,MATCH($F1276,Items!$A$5:$A$597,0)),""))</f>
        <v>0.1</v>
      </c>
      <c r="L1276" s="21">
        <f t="shared" si="217"/>
        <v>8</v>
      </c>
      <c r="M1276" s="9" t="str">
        <f t="shared" si="215"/>
        <v>LYSL500290</v>
      </c>
      <c r="N1276" s="24">
        <f>IF($A1276="","",WORKDAY($A1276,Settings!$C$9,HolidayDates))</f>
        <v>46197</v>
      </c>
      <c r="O1276" s="24">
        <f>IF($N1276="","",WORKDAY($N1276,Settings!$C$10,HolidayDates))</f>
        <v>46237</v>
      </c>
      <c r="P1276" s="10" t="s">
        <v>501</v>
      </c>
      <c r="Q1276" s="52" t="str">
        <f t="shared" si="218"/>
        <v>Collected</v>
      </c>
      <c r="R1276" s="55" t="str">
        <f t="shared" si="219"/>
        <v>2026-06</v>
      </c>
      <c r="S1276" s="55">
        <f>IF(OR($B1276="",$F1276="",$R1276=""),"",SUMIFS(tblIssues[Qty Issued],tblIssues[Staff ID],$B1276,tblIssues[Item Name],$F1276,tblIssues[Month],$R1276))</f>
        <v>80</v>
      </c>
      <c r="T1276" s="56">
        <f>IF($I1276="","",$I1276*Settings!$C$11)</f>
        <v>80</v>
      </c>
      <c r="U1276" s="57" t="str">
        <f t="shared" si="216"/>
        <v>OK</v>
      </c>
      <c r="V1276" s="55" t="str">
        <f t="shared" si="220"/>
        <v/>
      </c>
      <c r="W1276" s="55" t="str">
        <f>IF($V1276="","",IF(COUNTIF($V$5:$V1276,$V1276)=1,1,""))</f>
        <v/>
      </c>
      <c r="X1276" s="58" t="str">
        <f>IF($W1276="","",MAX($X$4:X1275)+1)</f>
        <v/>
      </c>
      <c r="Y1276" s="62"/>
      <c r="Z1276" s="62"/>
      <c r="AA1276" s="64" t="str">
        <f>IF($C1276="","",IFERROR(INDEX('Staff Directory'!$E$5:$E$594,MATCH($C1276,'Staff Directory'!$B$5:$B$594,0)),""))</f>
        <v>firstname156.lastname156@example.com</v>
      </c>
      <c r="AB1276" s="64" t="str">
        <f>IF($C1276="","",IF(ISNUMBER(SEARCH($D1276,Settings!$C$15)),"Pickup","Dispatch"))</f>
        <v>Pickup</v>
      </c>
      <c r="AC1276" s="64" t="str">
        <f t="shared" si="221"/>
        <v>Supply order ready for pickup</v>
      </c>
      <c r="AD1276" s="64" t="str">
        <f t="shared" si="212"/>
        <v>Dear PSW,
Your order is ready for pickup from Sample Branch, Wed-Fri 9am-4pm.</v>
      </c>
      <c r="AE1276" s="64" t="str">
        <f t="shared" si="213"/>
        <v>mailto:firstname156.lastname156@example.com?subject=Supply%20order%20ready%20for%20pickup&amp;body=Dear%20PSW%2C%0A%0AYour%20order%20is%20ready%20for%20pickup%20from%20Sample%20Branch%2C%20Wed-Fri%209am-4pm.</v>
      </c>
      <c r="AF1276" s="89" t="str">
        <f t="shared" si="222"/>
        <v>Draft email</v>
      </c>
      <c r="AG1276" s="64" t="str">
        <f>IF($C1276="","",IFERROR(INDEX('Staff Directory'!$K$595:$K$599,MATCH($C1276,'Staff Directory'!$B$5:$B$599,0)),$D1276))</f>
        <v>PSW</v>
      </c>
      <c r="AH1276" t="str">
        <f>IF($C1276="","",IFERROR(INDEX('Staff Directory'!$I$595:$I$599,MATCH($C1276,'Staff Directory'!$B$5:$B$599,0))&amp;" "&amp;INDEX('Staff Directory'!$J$595:$J$599,MATCH($C1276,'Staff Directory'!$B$5:$B$599,0)),$AG1276))</f>
        <v>PSW</v>
      </c>
      <c r="AI1276" s="102"/>
      <c r="AJ1276" s="101">
        <f>IF($F1276="","",SUMIFS($J$5:$J1276,$F$5:$F1276,$F1276))</f>
        <v>17680</v>
      </c>
      <c r="AK1276" s="101">
        <f t="shared" si="214"/>
        <v>17601</v>
      </c>
      <c r="AL1276" s="66" t="str" cm="1">
        <f t="array" ref="AL1276">IF($F1276="","",IFERROR(INDEX('Lot Balance'!$B$5:$B$500,MATCH(1,INDEX(('Lot Balance'!$A$5:$A$500=$F1276)*('Lot Balance'!$K$5:$K$500&lt;$AK1276)*('Lot Balance'!$K$5:$K$500+'Lot Balance'!$D$5:$D$500&gt;=$AK1276),0),0)),""))</f>
        <v>LYSL500290</v>
      </c>
      <c r="AM1276" s="66" t="str" cm="1">
        <f t="array" ref="AM1276">IF($F1276="","",IFERROR(INDEX('Lot Balance'!$B$5:$B$500,MATCH(1,INDEX(('Lot Balance'!$A$5:$A$500=$F1276)*('Lot Balance'!$K$5:$K$500&lt;$AJ1276)*('Lot Balance'!$K$5:$K$500+'Lot Balance'!$D$5:$D$500&gt;=$AJ1276),0),0)),""))</f>
        <v>LYSL500290</v>
      </c>
      <c r="AN1276" s="66" t="str">
        <f>IF($F1276="","",IF($AI1276&lt;&gt;"",IF(COUNTIFS('Lot Balance'!$A$5:$A$500,$F1276,'Lot Balance'!$B$5:$B$500,$AI1276)=0,"⚠ override is not a lot of this item",IF($AI1276=$AL1276,"Override = FEFO","Override - FEFO says "&amp;$AL1276)),IF($AL1276="","⚠ no receipt on file for this item",IF($AM1276&lt;&gt;$AL1276,"FEFO auto - split, also "&amp;$AM1276,"FEFO auto"))))</f>
        <v>FEFO auto</v>
      </c>
      <c r="AO1276" s="114"/>
    </row>
    <row r="1277" spans="1:41" x14ac:dyDescent="0.35">
      <c r="A1277" s="74">
        <v>46189</v>
      </c>
      <c r="B1277" s="18" t="str">
        <f>IF($C1277="","",IFERROR(INDEX('Staff Directory'!$A$5:$A$594,MATCH($C1277,'Staff Directory'!$B$5:$B$594,0)),"⚠ unknown staff"))</f>
        <v>PSW-094-A6</v>
      </c>
      <c r="C1277" s="49" t="s">
        <v>1072</v>
      </c>
      <c r="D1277" s="19" t="str">
        <f>IF($B1277="","",IFERROR(INDEX('Staff Directory'!$C$5:$C$594,MATCH($B1277,'Staff Directory'!$A$5:$A$594,0)),""))</f>
        <v>PSW</v>
      </c>
      <c r="E1277" s="19" t="str">
        <f>IF($B1277="","",IFERROR(INDEX('Staff Directory'!$D$5:$D$594,MATCH($B1277,'Staff Directory'!$A$5:$A$594,0)),""))</f>
        <v>A6</v>
      </c>
      <c r="F1277" s="9" t="s">
        <v>156</v>
      </c>
      <c r="G1277" s="18" t="str">
        <f>IF($F1277="","",IFERROR(INDEX(Items!$B$5:$B$597,MATCH($F1277,Items!$A$5:$A$597,0)),"⚠ not in Items"))</f>
        <v>Masks</v>
      </c>
      <c r="H1277" s="19" t="str">
        <f>IF($F1277="","",IFERROR(INDEX(Items!$C$5:$C$597,MATCH($F1277,Items!$A$5:$A$597,0)),""))</f>
        <v>One Size</v>
      </c>
      <c r="I1277" s="23">
        <f>IF($F1277="","",IFERROR(INDEX(Items!$E$5:$E$597,MATCH($F1277,Items!$A$5:$A$597,0)),""))</f>
        <v>50</v>
      </c>
      <c r="J1277" s="115">
        <f>IF(tblIssues[[#This Row],[Qty Override]]&lt;&gt;"",tblIssues[[#This Row],[Qty Override]],IF(tblIssues[[#This Row],[Standard Issue]]="","",tblIssues[[#This Row],[Standard Issue]]))</f>
        <v>50</v>
      </c>
      <c r="K1277" s="20">
        <f>IF($F1277="","",IFERROR(INDEX(Items!$D$5:$D$597,MATCH($F1277,Items!$A$5:$A$597,0)),""))</f>
        <v>0.25</v>
      </c>
      <c r="L1277" s="21">
        <f t="shared" si="217"/>
        <v>12.5</v>
      </c>
      <c r="M1277" s="9" t="str">
        <f t="shared" si="215"/>
        <v>102GPC24</v>
      </c>
      <c r="N1277" s="24">
        <f>IF($A1277="","",WORKDAY($A1277,Settings!$C$9,HolidayDates))</f>
        <v>46197</v>
      </c>
      <c r="O1277" s="24">
        <f>IF($N1277="","",WORKDAY($N1277,Settings!$C$10,HolidayDates))</f>
        <v>46237</v>
      </c>
      <c r="P1277" s="10" t="s">
        <v>501</v>
      </c>
      <c r="Q1277" s="52" t="str">
        <f t="shared" si="218"/>
        <v>Collected</v>
      </c>
      <c r="R1277" s="55" t="str">
        <f t="shared" si="219"/>
        <v>2026-06</v>
      </c>
      <c r="S1277" s="55">
        <f>IF(OR($B1277="",$F1277="",$R1277=""),"",SUMIFS(tblIssues[Qty Issued],tblIssues[Staff ID],$B1277,tblIssues[Item Name],$F1277,tblIssues[Month],$R1277))</f>
        <v>50</v>
      </c>
      <c r="T1277" s="56">
        <f>IF($I1277="","",$I1277*Settings!$C$11)</f>
        <v>50</v>
      </c>
      <c r="U1277" s="57" t="str">
        <f t="shared" si="216"/>
        <v>OK</v>
      </c>
      <c r="V1277" s="55" t="str">
        <f t="shared" si="220"/>
        <v/>
      </c>
      <c r="W1277" s="55" t="str">
        <f>IF($V1277="","",IF(COUNTIF($V$5:$V1277,$V1277)=1,1,""))</f>
        <v/>
      </c>
      <c r="X1277" s="58" t="str">
        <f>IF($W1277="","",MAX($X$4:X1276)+1)</f>
        <v/>
      </c>
      <c r="Y1277" s="62"/>
      <c r="Z1277" s="62"/>
      <c r="AA1277" s="64" t="str">
        <f>IF($C1277="","",IFERROR(INDEX('Staff Directory'!$E$5:$E$594,MATCH($C1277,'Staff Directory'!$B$5:$B$594,0)),""))</f>
        <v>firstname156.lastname156@example.com</v>
      </c>
      <c r="AB1277" s="64" t="str">
        <f>IF($C1277="","",IF(ISNUMBER(SEARCH($D1277,Settings!$C$15)),"Pickup","Dispatch"))</f>
        <v>Pickup</v>
      </c>
      <c r="AC1277" s="64" t="str">
        <f t="shared" si="221"/>
        <v>Supply order ready for pickup</v>
      </c>
      <c r="AD1277" s="64" t="str">
        <f t="shared" si="212"/>
        <v>Dear PSW,
Your order is ready for pickup from Sample Branch, Wed-Fri 9am-4pm.</v>
      </c>
      <c r="AE1277" s="64" t="str">
        <f t="shared" si="213"/>
        <v>mailto:firstname156.lastname156@example.com?subject=Supply%20order%20ready%20for%20pickup&amp;body=Dear%20PSW%2C%0A%0AYour%20order%20is%20ready%20for%20pickup%20from%20Sample%20Branch%2C%20Wed-Fri%209am-4pm.</v>
      </c>
      <c r="AF1277" s="89" t="str">
        <f t="shared" si="222"/>
        <v>Draft email</v>
      </c>
      <c r="AG1277" s="64" t="str">
        <f>IF($C1277="","",IFERROR(INDEX('Staff Directory'!$K$595:$K$599,MATCH($C1277,'Staff Directory'!$B$5:$B$599,0)),$D1277))</f>
        <v>PSW</v>
      </c>
      <c r="AH1277" t="str">
        <f>IF($C1277="","",IFERROR(INDEX('Staff Directory'!$I$595:$I$599,MATCH($C1277,'Staff Directory'!$B$5:$B$599,0))&amp;" "&amp;INDEX('Staff Directory'!$J$595:$J$599,MATCH($C1277,'Staff Directory'!$B$5:$B$599,0)),$AG1277))</f>
        <v>PSW</v>
      </c>
      <c r="AI1277" s="102"/>
      <c r="AJ1277" s="101">
        <f>IF($F1277="","",SUMIFS($J$5:$J1277,$F$5:$F1277,$F1277))</f>
        <v>10750</v>
      </c>
      <c r="AK1277" s="101">
        <f t="shared" si="214"/>
        <v>10701</v>
      </c>
      <c r="AL1277" s="66" t="str" cm="1">
        <f t="array" ref="AL1277">IF($F1277="","",IFERROR(INDEX('Lot Balance'!$B$5:$B$500,MATCH(1,INDEX(('Lot Balance'!$A$5:$A$500=$F1277)*('Lot Balance'!$K$5:$K$500&lt;$AK1277)*('Lot Balance'!$K$5:$K$500+'Lot Balance'!$D$5:$D$500&gt;=$AK1277),0),0)),""))</f>
        <v>102GPC24</v>
      </c>
      <c r="AM1277" s="66" t="str" cm="1">
        <f t="array" ref="AM1277">IF($F1277="","",IFERROR(INDEX('Lot Balance'!$B$5:$B$500,MATCH(1,INDEX(('Lot Balance'!$A$5:$A$500=$F1277)*('Lot Balance'!$K$5:$K$500&lt;$AJ1277)*('Lot Balance'!$K$5:$K$500+'Lot Balance'!$D$5:$D$500&gt;=$AJ1277),0),0)),""))</f>
        <v>102GPC24</v>
      </c>
      <c r="AN1277" s="66" t="str">
        <f>IF($F1277="","",IF($AI1277&lt;&gt;"",IF(COUNTIFS('Lot Balance'!$A$5:$A$500,$F1277,'Lot Balance'!$B$5:$B$500,$AI1277)=0,"⚠ override is not a lot of this item",IF($AI1277=$AL1277,"Override = FEFO","Override - FEFO says "&amp;$AL1277)),IF($AL1277="","⚠ no receipt on file for this item",IF($AM1277&lt;&gt;$AL1277,"FEFO auto - split, also "&amp;$AM1277,"FEFO auto"))))</f>
        <v>FEFO auto</v>
      </c>
      <c r="AO1277" s="114"/>
    </row>
    <row r="1278" spans="1:41" x14ac:dyDescent="0.35">
      <c r="A1278" s="74">
        <v>46190</v>
      </c>
      <c r="B1278" s="18" t="str">
        <f>IF($C1278="","",IFERROR(INDEX('Staff Directory'!$A$5:$A$594,MATCH($C1278,'Staff Directory'!$B$5:$B$594,0)),"⚠ unknown staff"))</f>
        <v>PSW-113-A4</v>
      </c>
      <c r="C1278" s="49" t="s">
        <v>1091</v>
      </c>
      <c r="D1278" s="19" t="str">
        <f>IF($B1278="","",IFERROR(INDEX('Staff Directory'!$C$5:$C$594,MATCH($B1278,'Staff Directory'!$A$5:$A$594,0)),""))</f>
        <v>PSW</v>
      </c>
      <c r="E1278" s="19" t="str">
        <f>IF($B1278="","",IFERROR(INDEX('Staff Directory'!$D$5:$D$594,MATCH($B1278,'Staff Directory'!$A$5:$A$594,0)),""))</f>
        <v>A4</v>
      </c>
      <c r="F1278" s="9" t="s">
        <v>127</v>
      </c>
      <c r="G1278" s="18" t="str">
        <f>IF($F1278="","",IFERROR(INDEX(Items!$B$5:$B$597,MATCH($F1278,Items!$A$5:$A$597,0)),"⚠ not in Items"))</f>
        <v>Gloves</v>
      </c>
      <c r="H1278" s="19" t="str">
        <f>IF($F1278="","",IFERROR(INDEX(Items!$C$5:$C$597,MATCH($F1278,Items!$A$5:$A$597,0)),""))</f>
        <v>Medium</v>
      </c>
      <c r="I1278" s="23">
        <f>IF($F1278="","",IFERROR(INDEX(Items!$E$5:$E$597,MATCH($F1278,Items!$A$5:$A$597,0)),""))</f>
        <v>500</v>
      </c>
      <c r="J1278" s="115">
        <f>IF(tblIssues[[#This Row],[Qty Override]]&lt;&gt;"",tblIssues[[#This Row],[Qty Override]],IF(tblIssues[[#This Row],[Standard Issue]]="","",tblIssues[[#This Row],[Standard Issue]]))</f>
        <v>500</v>
      </c>
      <c r="K1278" s="20">
        <f>IF($F1278="","",IFERROR(INDEX(Items!$D$5:$D$597,MATCH($F1278,Items!$A$5:$A$597,0)),""))</f>
        <v>5.5E-2</v>
      </c>
      <c r="L1278" s="21">
        <f t="shared" si="217"/>
        <v>27.5</v>
      </c>
      <c r="M1278" s="9" t="str">
        <f t="shared" si="215"/>
        <v>ZIM510137962-1</v>
      </c>
      <c r="N1278" s="24">
        <f>IF($A1278="","",WORKDAY($A1278,Settings!$C$9,HolidayDates))</f>
        <v>46198</v>
      </c>
      <c r="O1278" s="24">
        <f>IF($N1278="","",WORKDAY($N1278,Settings!$C$10,HolidayDates))</f>
        <v>46238</v>
      </c>
      <c r="P1278" s="10" t="s">
        <v>501</v>
      </c>
      <c r="Q1278" s="52" t="str">
        <f t="shared" si="218"/>
        <v>Collected</v>
      </c>
      <c r="R1278" s="55" t="str">
        <f t="shared" si="219"/>
        <v>2026-06</v>
      </c>
      <c r="S1278" s="55">
        <f>IF(OR($B1278="",$F1278="",$R1278=""),"",SUMIFS(tblIssues[Qty Issued],tblIssues[Staff ID],$B1278,tblIssues[Item Name],$F1278,tblIssues[Month],$R1278))</f>
        <v>500</v>
      </c>
      <c r="T1278" s="56">
        <f>IF($I1278="","",$I1278*Settings!$C$11)</f>
        <v>500</v>
      </c>
      <c r="U1278" s="57" t="str">
        <f t="shared" si="216"/>
        <v>OK</v>
      </c>
      <c r="V1278" s="55" t="str">
        <f t="shared" si="220"/>
        <v/>
      </c>
      <c r="W1278" s="55" t="str">
        <f>IF($V1278="","",IF(COUNTIF($V$5:$V1278,$V1278)=1,1,""))</f>
        <v/>
      </c>
      <c r="X1278" s="58" t="str">
        <f>IF($W1278="","",MAX($X$4:X1277)+1)</f>
        <v/>
      </c>
      <c r="Y1278" s="62"/>
      <c r="Z1278" s="62"/>
      <c r="AA1278" s="64" t="str">
        <f>IF($C1278="","",IFERROR(INDEX('Staff Directory'!$E$5:$E$594,MATCH($C1278,'Staff Directory'!$B$5:$B$594,0)),""))</f>
        <v>firstname175.lastname175@example.com</v>
      </c>
      <c r="AB1278" s="64" t="str">
        <f>IF($C1278="","",IF(ISNUMBER(SEARCH($D1278,Settings!$C$15)),"Pickup","Dispatch"))</f>
        <v>Pickup</v>
      </c>
      <c r="AC1278" s="64" t="str">
        <f t="shared" si="221"/>
        <v>Supply order ready for pickup</v>
      </c>
      <c r="AD1278" s="64" t="str">
        <f t="shared" si="212"/>
        <v>Dear PSW,
Your order is ready for pickup from Sample Branch, Wed-Fri 9am-4pm.</v>
      </c>
      <c r="AE1278" s="64" t="str">
        <f t="shared" si="213"/>
        <v>mailto:firstname175.lastname175@example.com?subject=Supply%20order%20ready%20for%20pickup&amp;body=Dear%20PSW%2C%0A%0AYour%20order%20is%20ready%20for%20pickup%20from%20Sample%20Branch%2C%20Wed-Fri%209am-4pm.</v>
      </c>
      <c r="AF1278" s="89" t="str">
        <f t="shared" si="222"/>
        <v>Draft email</v>
      </c>
      <c r="AG1278" s="64" t="str">
        <f>IF($C1278="","",IFERROR(INDEX('Staff Directory'!$K$595:$K$599,MATCH($C1278,'Staff Directory'!$B$5:$B$599,0)),$D1278))</f>
        <v>PSW</v>
      </c>
      <c r="AH1278" t="str">
        <f>IF($C1278="","",IFERROR(INDEX('Staff Directory'!$I$595:$I$599,MATCH($C1278,'Staff Directory'!$B$5:$B$599,0))&amp;" "&amp;INDEX('Staff Directory'!$J$595:$J$599,MATCH($C1278,'Staff Directory'!$B$5:$B$599,0)),$AG1278))</f>
        <v>PSW</v>
      </c>
      <c r="AI1278" s="102"/>
      <c r="AJ1278" s="101">
        <f>IF($F1278="","",SUMIFS($J$5:$J1278,$F$5:$F1278,$F1278))</f>
        <v>78500</v>
      </c>
      <c r="AK1278" s="101">
        <f t="shared" si="214"/>
        <v>78001</v>
      </c>
      <c r="AL1278" s="66" t="str" cm="1">
        <f t="array" ref="AL1278">IF($F1278="","",IFERROR(INDEX('Lot Balance'!$B$5:$B$500,MATCH(1,INDEX(('Lot Balance'!$A$5:$A$500=$F1278)*('Lot Balance'!$K$5:$K$500&lt;$AK1278)*('Lot Balance'!$K$5:$K$500+'Lot Balance'!$D$5:$D$500&gt;=$AK1278),0),0)),""))</f>
        <v>ZIM510137962-1</v>
      </c>
      <c r="AM1278" s="66" t="str" cm="1">
        <f t="array" ref="AM1278">IF($F1278="","",IFERROR(INDEX('Lot Balance'!$B$5:$B$500,MATCH(1,INDEX(('Lot Balance'!$A$5:$A$500=$F1278)*('Lot Balance'!$K$5:$K$500&lt;$AJ1278)*('Lot Balance'!$K$5:$K$500+'Lot Balance'!$D$5:$D$500&gt;=$AJ1278),0),0)),""))</f>
        <v>ZIM510137962-1</v>
      </c>
      <c r="AN1278" s="66" t="str">
        <f>IF($F1278="","",IF($AI1278&lt;&gt;"",IF(COUNTIFS('Lot Balance'!$A$5:$A$500,$F1278,'Lot Balance'!$B$5:$B$500,$AI1278)=0,"⚠ override is not a lot of this item",IF($AI1278=$AL1278,"Override = FEFO","Override - FEFO says "&amp;$AL1278)),IF($AL1278="","⚠ no receipt on file for this item",IF($AM1278&lt;&gt;$AL1278,"FEFO auto - split, also "&amp;$AM1278,"FEFO auto"))))</f>
        <v>FEFO auto</v>
      </c>
      <c r="AO1278" s="114"/>
    </row>
    <row r="1279" spans="1:41" x14ac:dyDescent="0.35">
      <c r="A1279" s="74">
        <v>46190</v>
      </c>
      <c r="B1279" s="18" t="str">
        <f>IF($C1279="","",IFERROR(INDEX('Staff Directory'!$A$5:$A$594,MATCH($C1279,'Staff Directory'!$B$5:$B$594,0)),"⚠ unknown staff"))</f>
        <v>PSW-113-A4</v>
      </c>
      <c r="C1279" s="49" t="s">
        <v>1091</v>
      </c>
      <c r="D1279" s="19" t="str">
        <f>IF($B1279="","",IFERROR(INDEX('Staff Directory'!$C$5:$C$594,MATCH($B1279,'Staff Directory'!$A$5:$A$594,0)),""))</f>
        <v>PSW</v>
      </c>
      <c r="E1279" s="19" t="str">
        <f>IF($B1279="","",IFERROR(INDEX('Staff Directory'!$D$5:$D$594,MATCH($B1279,'Staff Directory'!$A$5:$A$594,0)),""))</f>
        <v>A4</v>
      </c>
      <c r="F1279" s="9" t="s">
        <v>191</v>
      </c>
      <c r="G1279" s="18" t="str">
        <f>IF($F1279="","",IFERROR(INDEX(Items!$B$5:$B$597,MATCH($F1279,Items!$A$5:$A$597,0)),"⚠ not in Items"))</f>
        <v>Sanitizer</v>
      </c>
      <c r="H1279" s="19" t="str">
        <f>IF($F1279="","",IFERROR(INDEX(Items!$C$5:$C$597,MATCH($F1279,Items!$A$5:$A$597,0)),""))</f>
        <v>236 ML</v>
      </c>
      <c r="I1279" s="23">
        <f>IF($F1279="","",IFERROR(INDEX(Items!$E$5:$E$597,MATCH($F1279,Items!$A$5:$A$597,0)),""))</f>
        <v>1</v>
      </c>
      <c r="J1279" s="115">
        <f>IF(tblIssues[[#This Row],[Qty Override]]&lt;&gt;"",tblIssues[[#This Row],[Qty Override]],IF(tblIssues[[#This Row],[Standard Issue]]="","",tblIssues[[#This Row],[Standard Issue]]))</f>
        <v>1</v>
      </c>
      <c r="K1279" s="20">
        <f>IF($F1279="","",IFERROR(INDEX(Items!$D$5:$D$597,MATCH($F1279,Items!$A$5:$A$597,0)),""))</f>
        <v>1E-4</v>
      </c>
      <c r="L1279" s="21">
        <f t="shared" si="217"/>
        <v>1E-4</v>
      </c>
      <c r="M1279" s="9" t="str">
        <f t="shared" si="215"/>
        <v/>
      </c>
      <c r="N1279" s="24">
        <f>IF($A1279="","",WORKDAY($A1279,Settings!$C$9,HolidayDates))</f>
        <v>46198</v>
      </c>
      <c r="O1279" s="24">
        <f>IF($N1279="","",WORKDAY($N1279,Settings!$C$10,HolidayDates))</f>
        <v>46238</v>
      </c>
      <c r="P1279" s="10" t="s">
        <v>501</v>
      </c>
      <c r="Q1279" s="52" t="str">
        <f t="shared" si="218"/>
        <v>Collected</v>
      </c>
      <c r="R1279" s="55" t="str">
        <f t="shared" si="219"/>
        <v>2026-06</v>
      </c>
      <c r="S1279" s="55">
        <f>IF(OR($B1279="",$F1279="",$R1279=""),"",SUMIFS(tblIssues[Qty Issued],tblIssues[Staff ID],$B1279,tblIssues[Item Name],$F1279,tblIssues[Month],$R1279))</f>
        <v>1</v>
      </c>
      <c r="T1279" s="56">
        <f>IF($I1279="","",$I1279*Settings!$C$11)</f>
        <v>1</v>
      </c>
      <c r="U1279" s="57" t="str">
        <f t="shared" si="216"/>
        <v>OK</v>
      </c>
      <c r="V1279" s="55" t="str">
        <f t="shared" si="220"/>
        <v/>
      </c>
      <c r="W1279" s="55" t="str">
        <f>IF($V1279="","",IF(COUNTIF($V$5:$V1279,$V1279)=1,1,""))</f>
        <v/>
      </c>
      <c r="X1279" s="58" t="str">
        <f>IF($W1279="","",MAX($X$4:X1278)+1)</f>
        <v/>
      </c>
      <c r="Y1279" s="62"/>
      <c r="Z1279" s="62"/>
      <c r="AA1279" s="64" t="str">
        <f>IF($C1279="","",IFERROR(INDEX('Staff Directory'!$E$5:$E$594,MATCH($C1279,'Staff Directory'!$B$5:$B$594,0)),""))</f>
        <v>firstname175.lastname175@example.com</v>
      </c>
      <c r="AB1279" s="64" t="str">
        <f>IF($C1279="","",IF(ISNUMBER(SEARCH($D1279,Settings!$C$15)),"Pickup","Dispatch"))</f>
        <v>Pickup</v>
      </c>
      <c r="AC1279" s="64" t="str">
        <f t="shared" si="221"/>
        <v>Supply order ready for pickup</v>
      </c>
      <c r="AD1279" s="64" t="str">
        <f t="shared" si="212"/>
        <v>Dear PSW,
Your order is ready for pickup from Sample Branch, Wed-Fri 9am-4pm.</v>
      </c>
      <c r="AE1279" s="64" t="str">
        <f t="shared" si="213"/>
        <v>mailto:firstname175.lastname175@example.com?subject=Supply%20order%20ready%20for%20pickup&amp;body=Dear%20PSW%2C%0A%0AYour%20order%20is%20ready%20for%20pickup%20from%20Sample%20Branch%2C%20Wed-Fri%209am-4pm.</v>
      </c>
      <c r="AF1279" s="89" t="str">
        <f t="shared" si="222"/>
        <v>Draft email</v>
      </c>
      <c r="AG1279" s="64" t="str">
        <f>IF($C1279="","",IFERROR(INDEX('Staff Directory'!$K$595:$K$599,MATCH($C1279,'Staff Directory'!$B$5:$B$599,0)),$D1279))</f>
        <v>PSW</v>
      </c>
      <c r="AH1279" t="str">
        <f>IF($C1279="","",IFERROR(INDEX('Staff Directory'!$I$595:$I$599,MATCH($C1279,'Staff Directory'!$B$5:$B$599,0))&amp;" "&amp;INDEX('Staff Directory'!$J$595:$J$599,MATCH($C1279,'Staff Directory'!$B$5:$B$599,0)),$AG1279))</f>
        <v>PSW</v>
      </c>
      <c r="AI1279" s="102"/>
      <c r="AJ1279" s="101">
        <f>IF($F1279="","",SUMIFS($J$5:$J1279,$F$5:$F1279,$F1279))</f>
        <v>163</v>
      </c>
      <c r="AK1279" s="101">
        <f t="shared" si="214"/>
        <v>163</v>
      </c>
      <c r="AL1279" s="66" t="str" cm="1">
        <f t="array" ref="AL1279">IF($F1279="","",IFERROR(INDEX('Lot Balance'!$B$5:$B$500,MATCH(1,INDEX(('Lot Balance'!$A$5:$A$500=$F1279)*('Lot Balance'!$K$5:$K$500&lt;$AK1279)*('Lot Balance'!$K$5:$K$500+'Lot Balance'!$D$5:$D$500&gt;=$AK1279),0),0)),""))</f>
        <v/>
      </c>
      <c r="AM1279" s="66" t="str" cm="1">
        <f t="array" ref="AM1279">IF($F1279="","",IFERROR(INDEX('Lot Balance'!$B$5:$B$500,MATCH(1,INDEX(('Lot Balance'!$A$5:$A$500=$F1279)*('Lot Balance'!$K$5:$K$500&lt;$AJ1279)*('Lot Balance'!$K$5:$K$500+'Lot Balance'!$D$5:$D$500&gt;=$AJ1279),0),0)),""))</f>
        <v/>
      </c>
      <c r="AN1279" s="66" t="str">
        <f>IF($F1279="","",IF($AI1279&lt;&gt;"",IF(COUNTIFS('Lot Balance'!$A$5:$A$500,$F1279,'Lot Balance'!$B$5:$B$500,$AI1279)=0,"⚠ override is not a lot of this item",IF($AI1279=$AL1279,"Override = FEFO","Override - FEFO says "&amp;$AL1279)),IF($AL1279="","⚠ no receipt on file for this item",IF($AM1279&lt;&gt;$AL1279,"FEFO auto - split, also "&amp;$AM1279,"FEFO auto"))))</f>
        <v>⚠ no receipt on file for this item</v>
      </c>
      <c r="AO1279" s="114"/>
    </row>
    <row r="1280" spans="1:41" x14ac:dyDescent="0.35">
      <c r="A1280" s="74">
        <v>46190</v>
      </c>
      <c r="B1280" s="18" t="str">
        <f>IF($C1280="","",IFERROR(INDEX('Staff Directory'!$A$5:$A$594,MATCH($C1280,'Staff Directory'!$B$5:$B$594,0)),"⚠ unknown staff"))</f>
        <v>PSW-113-A4</v>
      </c>
      <c r="C1280" s="49" t="s">
        <v>1091</v>
      </c>
      <c r="D1280" s="19" t="str">
        <f>IF($B1280="","",IFERROR(INDEX('Staff Directory'!$C$5:$C$594,MATCH($B1280,'Staff Directory'!$A$5:$A$594,0)),""))</f>
        <v>PSW</v>
      </c>
      <c r="E1280" s="19" t="str">
        <f>IF($B1280="","",IFERROR(INDEX('Staff Directory'!$D$5:$D$594,MATCH($B1280,'Staff Directory'!$A$5:$A$594,0)),""))</f>
        <v>A4</v>
      </c>
      <c r="F1280" s="9" t="s">
        <v>156</v>
      </c>
      <c r="G1280" s="18" t="str">
        <f>IF($F1280="","",IFERROR(INDEX(Items!$B$5:$B$597,MATCH($F1280,Items!$A$5:$A$597,0)),"⚠ not in Items"))</f>
        <v>Masks</v>
      </c>
      <c r="H1280" s="19" t="str">
        <f>IF($F1280="","",IFERROR(INDEX(Items!$C$5:$C$597,MATCH($F1280,Items!$A$5:$A$597,0)),""))</f>
        <v>One Size</v>
      </c>
      <c r="I1280" s="23">
        <f>IF($F1280="","",IFERROR(INDEX(Items!$E$5:$E$597,MATCH($F1280,Items!$A$5:$A$597,0)),""))</f>
        <v>50</v>
      </c>
      <c r="J1280" s="115">
        <f>IF(tblIssues[[#This Row],[Qty Override]]&lt;&gt;"",tblIssues[[#This Row],[Qty Override]],IF(tblIssues[[#This Row],[Standard Issue]]="","",tblIssues[[#This Row],[Standard Issue]]))</f>
        <v>50</v>
      </c>
      <c r="K1280" s="20">
        <f>IF($F1280="","",IFERROR(INDEX(Items!$D$5:$D$597,MATCH($F1280,Items!$A$5:$A$597,0)),""))</f>
        <v>0.25</v>
      </c>
      <c r="L1280" s="21">
        <f t="shared" si="217"/>
        <v>12.5</v>
      </c>
      <c r="M1280" s="9" t="str">
        <f t="shared" si="215"/>
        <v>102GPC24</v>
      </c>
      <c r="N1280" s="24">
        <f>IF($A1280="","",WORKDAY($A1280,Settings!$C$9,HolidayDates))</f>
        <v>46198</v>
      </c>
      <c r="O1280" s="24">
        <f>IF($N1280="","",WORKDAY($N1280,Settings!$C$10,HolidayDates))</f>
        <v>46238</v>
      </c>
      <c r="P1280" s="10" t="s">
        <v>501</v>
      </c>
      <c r="Q1280" s="52" t="str">
        <f t="shared" si="218"/>
        <v>Collected</v>
      </c>
      <c r="R1280" s="55" t="str">
        <f t="shared" si="219"/>
        <v>2026-06</v>
      </c>
      <c r="S1280" s="55">
        <f>IF(OR($B1280="",$F1280="",$R1280=""),"",SUMIFS(tblIssues[Qty Issued],tblIssues[Staff ID],$B1280,tblIssues[Item Name],$F1280,tblIssues[Month],$R1280))</f>
        <v>50</v>
      </c>
      <c r="T1280" s="56">
        <f>IF($I1280="","",$I1280*Settings!$C$11)</f>
        <v>50</v>
      </c>
      <c r="U1280" s="57" t="str">
        <f t="shared" si="216"/>
        <v>OK</v>
      </c>
      <c r="V1280" s="55" t="str">
        <f t="shared" si="220"/>
        <v/>
      </c>
      <c r="W1280" s="55" t="str">
        <f>IF($V1280="","",IF(COUNTIF($V$5:$V1280,$V1280)=1,1,""))</f>
        <v/>
      </c>
      <c r="X1280" s="58" t="str">
        <f>IF($W1280="","",MAX($X$4:X1279)+1)</f>
        <v/>
      </c>
      <c r="Y1280" s="62"/>
      <c r="Z1280" s="62"/>
      <c r="AA1280" s="64" t="str">
        <f>IF($C1280="","",IFERROR(INDEX('Staff Directory'!$E$5:$E$594,MATCH($C1280,'Staff Directory'!$B$5:$B$594,0)),""))</f>
        <v>firstname175.lastname175@example.com</v>
      </c>
      <c r="AB1280" s="64" t="str">
        <f>IF($C1280="","",IF(ISNUMBER(SEARCH($D1280,Settings!$C$15)),"Pickup","Dispatch"))</f>
        <v>Pickup</v>
      </c>
      <c r="AC1280" s="64" t="str">
        <f t="shared" si="221"/>
        <v>Supply order ready for pickup</v>
      </c>
      <c r="AD1280" s="64" t="str">
        <f t="shared" si="212"/>
        <v>Dear PSW,
Your order is ready for pickup from Sample Branch, Wed-Fri 9am-4pm.</v>
      </c>
      <c r="AE1280" s="64" t="str">
        <f t="shared" si="213"/>
        <v>mailto:firstname175.lastname175@example.com?subject=Supply%20order%20ready%20for%20pickup&amp;body=Dear%20PSW%2C%0A%0AYour%20order%20is%20ready%20for%20pickup%20from%20Sample%20Branch%2C%20Wed-Fri%209am-4pm.</v>
      </c>
      <c r="AF1280" s="89" t="str">
        <f t="shared" si="222"/>
        <v>Draft email</v>
      </c>
      <c r="AG1280" s="64" t="str">
        <f>IF($C1280="","",IFERROR(INDEX('Staff Directory'!$K$595:$K$599,MATCH($C1280,'Staff Directory'!$B$5:$B$599,0)),$D1280))</f>
        <v>PSW</v>
      </c>
      <c r="AH1280" t="str">
        <f>IF($C1280="","",IFERROR(INDEX('Staff Directory'!$I$595:$I$599,MATCH($C1280,'Staff Directory'!$B$5:$B$599,0))&amp;" "&amp;INDEX('Staff Directory'!$J$595:$J$599,MATCH($C1280,'Staff Directory'!$B$5:$B$599,0)),$AG1280))</f>
        <v>PSW</v>
      </c>
      <c r="AI1280" s="102"/>
      <c r="AJ1280" s="101">
        <f>IF($F1280="","",SUMIFS($J$5:$J1280,$F$5:$F1280,$F1280))</f>
        <v>10800</v>
      </c>
      <c r="AK1280" s="101">
        <f t="shared" si="214"/>
        <v>10751</v>
      </c>
      <c r="AL1280" s="66" t="str" cm="1">
        <f t="array" ref="AL1280">IF($F1280="","",IFERROR(INDEX('Lot Balance'!$B$5:$B$500,MATCH(1,INDEX(('Lot Balance'!$A$5:$A$500=$F1280)*('Lot Balance'!$K$5:$K$500&lt;$AK1280)*('Lot Balance'!$K$5:$K$500+'Lot Balance'!$D$5:$D$500&gt;=$AK1280),0),0)),""))</f>
        <v>102GPC24</v>
      </c>
      <c r="AM1280" s="66" t="str" cm="1">
        <f t="array" ref="AM1280">IF($F1280="","",IFERROR(INDEX('Lot Balance'!$B$5:$B$500,MATCH(1,INDEX(('Lot Balance'!$A$5:$A$500=$F1280)*('Lot Balance'!$K$5:$K$500&lt;$AJ1280)*('Lot Balance'!$K$5:$K$500+'Lot Balance'!$D$5:$D$500&gt;=$AJ1280),0),0)),""))</f>
        <v>102GPC24</v>
      </c>
      <c r="AN1280" s="66" t="str">
        <f>IF($F1280="","",IF($AI1280&lt;&gt;"",IF(COUNTIFS('Lot Balance'!$A$5:$A$500,$F1280,'Lot Balance'!$B$5:$B$500,$AI1280)=0,"⚠ override is not a lot of this item",IF($AI1280=$AL1280,"Override = FEFO","Override - FEFO says "&amp;$AL1280)),IF($AL1280="","⚠ no receipt on file for this item",IF($AM1280&lt;&gt;$AL1280,"FEFO auto - split, also "&amp;$AM1280,"FEFO auto"))))</f>
        <v>FEFO auto</v>
      </c>
      <c r="AO1280" s="114"/>
    </row>
    <row r="1281" spans="1:41" x14ac:dyDescent="0.35">
      <c r="A1281" s="74">
        <v>46190</v>
      </c>
      <c r="B1281" s="18" t="str">
        <f>IF($C1281="","",IFERROR(INDEX('Staff Directory'!$A$5:$A$594,MATCH($C1281,'Staff Directory'!$B$5:$B$594,0)),"⚠ unknown staff"))</f>
        <v>PSW-159-A6</v>
      </c>
      <c r="C1281" s="49" t="s">
        <v>1138</v>
      </c>
      <c r="D1281" s="19" t="str">
        <f>IF($B1281="","",IFERROR(INDEX('Staff Directory'!$C$5:$C$594,MATCH($B1281,'Staff Directory'!$A$5:$A$594,0)),""))</f>
        <v>PSW</v>
      </c>
      <c r="E1281" s="19" t="str">
        <f>IF($B1281="","",IFERROR(INDEX('Staff Directory'!$D$5:$D$594,MATCH($B1281,'Staff Directory'!$A$5:$A$594,0)),""))</f>
        <v>A6</v>
      </c>
      <c r="F1281" s="9" t="s">
        <v>127</v>
      </c>
      <c r="G1281" s="18" t="str">
        <f>IF($F1281="","",IFERROR(INDEX(Items!$B$5:$B$597,MATCH($F1281,Items!$A$5:$A$597,0)),"⚠ not in Items"))</f>
        <v>Gloves</v>
      </c>
      <c r="H1281" s="19" t="str">
        <f>IF($F1281="","",IFERROR(INDEX(Items!$C$5:$C$597,MATCH($F1281,Items!$A$5:$A$597,0)),""))</f>
        <v>Medium</v>
      </c>
      <c r="I1281" s="23">
        <f>IF($F1281="","",IFERROR(INDEX(Items!$E$5:$E$597,MATCH($F1281,Items!$A$5:$A$597,0)),""))</f>
        <v>500</v>
      </c>
      <c r="J1281" s="115">
        <f>IF(tblIssues[[#This Row],[Qty Override]]&lt;&gt;"",tblIssues[[#This Row],[Qty Override]],IF(tblIssues[[#This Row],[Standard Issue]]="","",tblIssues[[#This Row],[Standard Issue]]))</f>
        <v>500</v>
      </c>
      <c r="K1281" s="20">
        <f>IF($F1281="","",IFERROR(INDEX(Items!$D$5:$D$597,MATCH($F1281,Items!$A$5:$A$597,0)),""))</f>
        <v>5.5E-2</v>
      </c>
      <c r="L1281" s="21">
        <f t="shared" si="217"/>
        <v>27.5</v>
      </c>
      <c r="M1281" s="9" t="str">
        <f t="shared" si="215"/>
        <v>ZIM510137962-1</v>
      </c>
      <c r="N1281" s="24">
        <f>IF($A1281="","",WORKDAY($A1281,Settings!$C$9,HolidayDates))</f>
        <v>46198</v>
      </c>
      <c r="O1281" s="24">
        <f>IF($N1281="","",WORKDAY($N1281,Settings!$C$10,HolidayDates))</f>
        <v>46238</v>
      </c>
      <c r="P1281" s="10" t="s">
        <v>501</v>
      </c>
      <c r="Q1281" s="52" t="str">
        <f t="shared" si="218"/>
        <v>Collected</v>
      </c>
      <c r="R1281" s="55" t="str">
        <f t="shared" si="219"/>
        <v>2026-06</v>
      </c>
      <c r="S1281" s="55">
        <f>IF(OR($B1281="",$F1281="",$R1281=""),"",SUMIFS(tblIssues[Qty Issued],tblIssues[Staff ID],$B1281,tblIssues[Item Name],$F1281,tblIssues[Month],$R1281))</f>
        <v>500</v>
      </c>
      <c r="T1281" s="56">
        <f>IF($I1281="","",$I1281*Settings!$C$11)</f>
        <v>500</v>
      </c>
      <c r="U1281" s="57" t="str">
        <f t="shared" si="216"/>
        <v>OK</v>
      </c>
      <c r="V1281" s="55" t="str">
        <f t="shared" si="220"/>
        <v/>
      </c>
      <c r="W1281" s="55" t="str">
        <f>IF($V1281="","",IF(COUNTIF($V$5:$V1281,$V1281)=1,1,""))</f>
        <v/>
      </c>
      <c r="X1281" s="58" t="str">
        <f>IF($W1281="","",MAX($X$4:X1280)+1)</f>
        <v/>
      </c>
      <c r="Y1281" s="62"/>
      <c r="Z1281" s="62"/>
      <c r="AA1281" s="64" t="str">
        <f>IF($C1281="","",IFERROR(INDEX('Staff Directory'!$E$5:$E$594,MATCH($C1281,'Staff Directory'!$B$5:$B$594,0)),""))</f>
        <v>firstname222.lastname222@example.com</v>
      </c>
      <c r="AB1281" s="64" t="str">
        <f>IF($C1281="","",IF(ISNUMBER(SEARCH($D1281,Settings!$C$15)),"Pickup","Dispatch"))</f>
        <v>Pickup</v>
      </c>
      <c r="AC1281" s="64" t="str">
        <f t="shared" si="221"/>
        <v>Supply order ready for pickup</v>
      </c>
      <c r="AD1281" s="64" t="str">
        <f t="shared" si="212"/>
        <v>Dear PSW,
Your order is ready for pickup from Sample Branch, Wed-Fri 9am-4pm.</v>
      </c>
      <c r="AE1281" s="64" t="str">
        <f t="shared" si="213"/>
        <v>mailto:firstname222.lastname222@example.com?subject=Supply%20order%20ready%20for%20pickup&amp;body=Dear%20PSW%2C%0A%0AYour%20order%20is%20ready%20for%20pickup%20from%20Sample%20Branch%2C%20Wed-Fri%209am-4pm.</v>
      </c>
      <c r="AF1281" s="89" t="str">
        <f t="shared" si="222"/>
        <v>Draft email</v>
      </c>
      <c r="AG1281" s="64" t="str">
        <f>IF($C1281="","",IFERROR(INDEX('Staff Directory'!$K$595:$K$599,MATCH($C1281,'Staff Directory'!$B$5:$B$599,0)),$D1281))</f>
        <v>PSW</v>
      </c>
      <c r="AH1281" t="str">
        <f>IF($C1281="","",IFERROR(INDEX('Staff Directory'!$I$595:$I$599,MATCH($C1281,'Staff Directory'!$B$5:$B$599,0))&amp;" "&amp;INDEX('Staff Directory'!$J$595:$J$599,MATCH($C1281,'Staff Directory'!$B$5:$B$599,0)),$AG1281))</f>
        <v>PSW</v>
      </c>
      <c r="AI1281" s="102"/>
      <c r="AJ1281" s="101">
        <f>IF($F1281="","",SUMIFS($J$5:$J1281,$F$5:$F1281,$F1281))</f>
        <v>79000</v>
      </c>
      <c r="AK1281" s="101">
        <f t="shared" si="214"/>
        <v>78501</v>
      </c>
      <c r="AL1281" s="66" t="str" cm="1">
        <f t="array" ref="AL1281">IF($F1281="","",IFERROR(INDEX('Lot Balance'!$B$5:$B$500,MATCH(1,INDEX(('Lot Balance'!$A$5:$A$500=$F1281)*('Lot Balance'!$K$5:$K$500&lt;$AK1281)*('Lot Balance'!$K$5:$K$500+'Lot Balance'!$D$5:$D$500&gt;=$AK1281),0),0)),""))</f>
        <v>ZIM510137962-1</v>
      </c>
      <c r="AM1281" s="66" t="str" cm="1">
        <f t="array" ref="AM1281">IF($F1281="","",IFERROR(INDEX('Lot Balance'!$B$5:$B$500,MATCH(1,INDEX(('Lot Balance'!$A$5:$A$500=$F1281)*('Lot Balance'!$K$5:$K$500&lt;$AJ1281)*('Lot Balance'!$K$5:$K$500+'Lot Balance'!$D$5:$D$500&gt;=$AJ1281),0),0)),""))</f>
        <v>ZIM510137962-1</v>
      </c>
      <c r="AN1281" s="66" t="str">
        <f>IF($F1281="","",IF($AI1281&lt;&gt;"",IF(COUNTIFS('Lot Balance'!$A$5:$A$500,$F1281,'Lot Balance'!$B$5:$B$500,$AI1281)=0,"⚠ override is not a lot of this item",IF($AI1281=$AL1281,"Override = FEFO","Override - FEFO says "&amp;$AL1281)),IF($AL1281="","⚠ no receipt on file for this item",IF($AM1281&lt;&gt;$AL1281,"FEFO auto - split, also "&amp;$AM1281,"FEFO auto"))))</f>
        <v>FEFO auto</v>
      </c>
      <c r="AO1281" s="114"/>
    </row>
    <row r="1282" spans="1:41" x14ac:dyDescent="0.35">
      <c r="A1282" s="74">
        <v>46190</v>
      </c>
      <c r="B1282" s="18" t="str">
        <f>IF($C1282="","",IFERROR(INDEX('Staff Directory'!$A$5:$A$594,MATCH($C1282,'Staff Directory'!$B$5:$B$594,0)),"⚠ unknown staff"))</f>
        <v>PSW-159-A6</v>
      </c>
      <c r="C1282" s="49" t="s">
        <v>1138</v>
      </c>
      <c r="D1282" s="19" t="str">
        <f>IF($B1282="","",IFERROR(INDEX('Staff Directory'!$C$5:$C$594,MATCH($B1282,'Staff Directory'!$A$5:$A$594,0)),""))</f>
        <v>PSW</v>
      </c>
      <c r="E1282" s="19" t="str">
        <f>IF($B1282="","",IFERROR(INDEX('Staff Directory'!$D$5:$D$594,MATCH($B1282,'Staff Directory'!$A$5:$A$594,0)),""))</f>
        <v>A6</v>
      </c>
      <c r="F1282" s="9" t="s">
        <v>191</v>
      </c>
      <c r="G1282" s="18" t="str">
        <f>IF($F1282="","",IFERROR(INDEX(Items!$B$5:$B$597,MATCH($F1282,Items!$A$5:$A$597,0)),"⚠ not in Items"))</f>
        <v>Sanitizer</v>
      </c>
      <c r="H1282" s="19" t="str">
        <f>IF($F1282="","",IFERROR(INDEX(Items!$C$5:$C$597,MATCH($F1282,Items!$A$5:$A$597,0)),""))</f>
        <v>236 ML</v>
      </c>
      <c r="I1282" s="23">
        <f>IF($F1282="","",IFERROR(INDEX(Items!$E$5:$E$597,MATCH($F1282,Items!$A$5:$A$597,0)),""))</f>
        <v>1</v>
      </c>
      <c r="J1282" s="115">
        <f>IF(tblIssues[[#This Row],[Qty Override]]&lt;&gt;"",tblIssues[[#This Row],[Qty Override]],IF(tblIssues[[#This Row],[Standard Issue]]="","",tblIssues[[#This Row],[Standard Issue]]))</f>
        <v>1</v>
      </c>
      <c r="K1282" s="20">
        <f>IF($F1282="","",IFERROR(INDEX(Items!$D$5:$D$597,MATCH($F1282,Items!$A$5:$A$597,0)),""))</f>
        <v>1E-4</v>
      </c>
      <c r="L1282" s="21">
        <f t="shared" si="217"/>
        <v>1E-4</v>
      </c>
      <c r="M1282" s="9" t="str">
        <f t="shared" si="215"/>
        <v/>
      </c>
      <c r="N1282" s="24">
        <f>IF($A1282="","",WORKDAY($A1282,Settings!$C$9,HolidayDates))</f>
        <v>46198</v>
      </c>
      <c r="O1282" s="24">
        <f>IF($N1282="","",WORKDAY($N1282,Settings!$C$10,HolidayDates))</f>
        <v>46238</v>
      </c>
      <c r="P1282" s="10" t="s">
        <v>501</v>
      </c>
      <c r="Q1282" s="52" t="str">
        <f t="shared" si="218"/>
        <v>Collected</v>
      </c>
      <c r="R1282" s="55" t="str">
        <f t="shared" si="219"/>
        <v>2026-06</v>
      </c>
      <c r="S1282" s="55">
        <f>IF(OR($B1282="",$F1282="",$R1282=""),"",SUMIFS(tblIssues[Qty Issued],tblIssues[Staff ID],$B1282,tblIssues[Item Name],$F1282,tblIssues[Month],$R1282))</f>
        <v>1</v>
      </c>
      <c r="T1282" s="56">
        <f>IF($I1282="","",$I1282*Settings!$C$11)</f>
        <v>1</v>
      </c>
      <c r="U1282" s="57" t="str">
        <f t="shared" si="216"/>
        <v>OK</v>
      </c>
      <c r="V1282" s="55" t="str">
        <f t="shared" si="220"/>
        <v/>
      </c>
      <c r="W1282" s="55" t="str">
        <f>IF($V1282="","",IF(COUNTIF($V$5:$V1282,$V1282)=1,1,""))</f>
        <v/>
      </c>
      <c r="X1282" s="58" t="str">
        <f>IF($W1282="","",MAX($X$4:X1281)+1)</f>
        <v/>
      </c>
      <c r="Y1282" s="62"/>
      <c r="Z1282" s="62"/>
      <c r="AA1282" s="64" t="str">
        <f>IF($C1282="","",IFERROR(INDEX('Staff Directory'!$E$5:$E$594,MATCH($C1282,'Staff Directory'!$B$5:$B$594,0)),""))</f>
        <v>firstname222.lastname222@example.com</v>
      </c>
      <c r="AB1282" s="64" t="str">
        <f>IF($C1282="","",IF(ISNUMBER(SEARCH($D1282,Settings!$C$15)),"Pickup","Dispatch"))</f>
        <v>Pickup</v>
      </c>
      <c r="AC1282" s="64" t="str">
        <f t="shared" si="221"/>
        <v>Supply order ready for pickup</v>
      </c>
      <c r="AD1282" s="64" t="str">
        <f t="shared" si="212"/>
        <v>Dear PSW,
Your order is ready for pickup from Sample Branch, Wed-Fri 9am-4pm.</v>
      </c>
      <c r="AE1282" s="64" t="str">
        <f t="shared" si="213"/>
        <v>mailto:firstname222.lastname222@example.com?subject=Supply%20order%20ready%20for%20pickup&amp;body=Dear%20PSW%2C%0A%0AYour%20order%20is%20ready%20for%20pickup%20from%20Sample%20Branch%2C%20Wed-Fri%209am-4pm.</v>
      </c>
      <c r="AF1282" s="89" t="str">
        <f t="shared" si="222"/>
        <v>Draft email</v>
      </c>
      <c r="AG1282" s="64" t="str">
        <f>IF($C1282="","",IFERROR(INDEX('Staff Directory'!$K$595:$K$599,MATCH($C1282,'Staff Directory'!$B$5:$B$599,0)),$D1282))</f>
        <v>PSW</v>
      </c>
      <c r="AH1282" t="str">
        <f>IF($C1282="","",IFERROR(INDEX('Staff Directory'!$I$595:$I$599,MATCH($C1282,'Staff Directory'!$B$5:$B$599,0))&amp;" "&amp;INDEX('Staff Directory'!$J$595:$J$599,MATCH($C1282,'Staff Directory'!$B$5:$B$599,0)),$AG1282))</f>
        <v>PSW</v>
      </c>
      <c r="AI1282" s="102"/>
      <c r="AJ1282" s="101">
        <f>IF($F1282="","",SUMIFS($J$5:$J1282,$F$5:$F1282,$F1282))</f>
        <v>164</v>
      </c>
      <c r="AK1282" s="101">
        <f t="shared" si="214"/>
        <v>164</v>
      </c>
      <c r="AL1282" s="66" t="str" cm="1">
        <f t="array" ref="AL1282">IF($F1282="","",IFERROR(INDEX('Lot Balance'!$B$5:$B$500,MATCH(1,INDEX(('Lot Balance'!$A$5:$A$500=$F1282)*('Lot Balance'!$K$5:$K$500&lt;$AK1282)*('Lot Balance'!$K$5:$K$500+'Lot Balance'!$D$5:$D$500&gt;=$AK1282),0),0)),""))</f>
        <v/>
      </c>
      <c r="AM1282" s="66" t="str" cm="1">
        <f t="array" ref="AM1282">IF($F1282="","",IFERROR(INDEX('Lot Balance'!$B$5:$B$500,MATCH(1,INDEX(('Lot Balance'!$A$5:$A$500=$F1282)*('Lot Balance'!$K$5:$K$500&lt;$AJ1282)*('Lot Balance'!$K$5:$K$500+'Lot Balance'!$D$5:$D$500&gt;=$AJ1282),0),0)),""))</f>
        <v/>
      </c>
      <c r="AN1282" s="66" t="str">
        <f>IF($F1282="","",IF($AI1282&lt;&gt;"",IF(COUNTIFS('Lot Balance'!$A$5:$A$500,$F1282,'Lot Balance'!$B$5:$B$500,$AI1282)=0,"⚠ override is not a lot of this item",IF($AI1282=$AL1282,"Override = FEFO","Override - FEFO says "&amp;$AL1282)),IF($AL1282="","⚠ no receipt on file for this item",IF($AM1282&lt;&gt;$AL1282,"FEFO auto - split, also "&amp;$AM1282,"FEFO auto"))))</f>
        <v>⚠ no receipt on file for this item</v>
      </c>
      <c r="AO1282" s="114"/>
    </row>
    <row r="1283" spans="1:41" x14ac:dyDescent="0.35">
      <c r="A1283" s="74">
        <v>46190</v>
      </c>
      <c r="B1283" s="18" t="str">
        <f>IF($C1283="","",IFERROR(INDEX('Staff Directory'!$A$5:$A$594,MATCH($C1283,'Staff Directory'!$B$5:$B$594,0)),"⚠ unknown staff"))</f>
        <v>PSW-159-A6</v>
      </c>
      <c r="C1283" s="49" t="s">
        <v>1138</v>
      </c>
      <c r="D1283" s="19" t="str">
        <f>IF($B1283="","",IFERROR(INDEX('Staff Directory'!$C$5:$C$594,MATCH($B1283,'Staff Directory'!$A$5:$A$594,0)),""))</f>
        <v>PSW</v>
      </c>
      <c r="E1283" s="19" t="str">
        <f>IF($B1283="","",IFERROR(INDEX('Staff Directory'!$D$5:$D$594,MATCH($B1283,'Staff Directory'!$A$5:$A$594,0)),""))</f>
        <v>A6</v>
      </c>
      <c r="F1283" s="9" t="s">
        <v>156</v>
      </c>
      <c r="G1283" s="18" t="str">
        <f>IF($F1283="","",IFERROR(INDEX(Items!$B$5:$B$597,MATCH($F1283,Items!$A$5:$A$597,0)),"⚠ not in Items"))</f>
        <v>Masks</v>
      </c>
      <c r="H1283" s="19" t="str">
        <f>IF($F1283="","",IFERROR(INDEX(Items!$C$5:$C$597,MATCH($F1283,Items!$A$5:$A$597,0)),""))</f>
        <v>One Size</v>
      </c>
      <c r="I1283" s="23">
        <f>IF($F1283="","",IFERROR(INDEX(Items!$E$5:$E$597,MATCH($F1283,Items!$A$5:$A$597,0)),""))</f>
        <v>50</v>
      </c>
      <c r="J1283" s="115">
        <f>IF(tblIssues[[#This Row],[Qty Override]]&lt;&gt;"",tblIssues[[#This Row],[Qty Override]],IF(tblIssues[[#This Row],[Standard Issue]]="","",tblIssues[[#This Row],[Standard Issue]]))</f>
        <v>50</v>
      </c>
      <c r="K1283" s="20">
        <f>IF($F1283="","",IFERROR(INDEX(Items!$D$5:$D$597,MATCH($F1283,Items!$A$5:$A$597,0)),""))</f>
        <v>0.25</v>
      </c>
      <c r="L1283" s="21">
        <f t="shared" si="217"/>
        <v>12.5</v>
      </c>
      <c r="M1283" s="9" t="str">
        <f t="shared" si="215"/>
        <v>102GPC24</v>
      </c>
      <c r="N1283" s="24">
        <f>IF($A1283="","",WORKDAY($A1283,Settings!$C$9,HolidayDates))</f>
        <v>46198</v>
      </c>
      <c r="O1283" s="24">
        <f>IF($N1283="","",WORKDAY($N1283,Settings!$C$10,HolidayDates))</f>
        <v>46238</v>
      </c>
      <c r="P1283" s="10" t="s">
        <v>501</v>
      </c>
      <c r="Q1283" s="52" t="str">
        <f t="shared" si="218"/>
        <v>Collected</v>
      </c>
      <c r="R1283" s="55" t="str">
        <f t="shared" si="219"/>
        <v>2026-06</v>
      </c>
      <c r="S1283" s="55">
        <f>IF(OR($B1283="",$F1283="",$R1283=""),"",SUMIFS(tblIssues[Qty Issued],tblIssues[Staff ID],$B1283,tblIssues[Item Name],$F1283,tblIssues[Month],$R1283))</f>
        <v>50</v>
      </c>
      <c r="T1283" s="56">
        <f>IF($I1283="","",$I1283*Settings!$C$11)</f>
        <v>50</v>
      </c>
      <c r="U1283" s="57" t="str">
        <f t="shared" si="216"/>
        <v>OK</v>
      </c>
      <c r="V1283" s="55" t="str">
        <f t="shared" si="220"/>
        <v/>
      </c>
      <c r="W1283" s="55" t="str">
        <f>IF($V1283="","",IF(COUNTIF($V$5:$V1283,$V1283)=1,1,""))</f>
        <v/>
      </c>
      <c r="X1283" s="58" t="str">
        <f>IF($W1283="","",MAX($X$4:X1282)+1)</f>
        <v/>
      </c>
      <c r="Y1283" s="62"/>
      <c r="Z1283" s="62"/>
      <c r="AA1283" s="64" t="str">
        <f>IF($C1283="","",IFERROR(INDEX('Staff Directory'!$E$5:$E$594,MATCH($C1283,'Staff Directory'!$B$5:$B$594,0)),""))</f>
        <v>firstname222.lastname222@example.com</v>
      </c>
      <c r="AB1283" s="64" t="str">
        <f>IF($C1283="","",IF(ISNUMBER(SEARCH($D1283,Settings!$C$15)),"Pickup","Dispatch"))</f>
        <v>Pickup</v>
      </c>
      <c r="AC1283" s="64" t="str">
        <f t="shared" si="221"/>
        <v>Supply order ready for pickup</v>
      </c>
      <c r="AD1283" s="64" t="str">
        <f t="shared" si="212"/>
        <v>Dear PSW,
Your order is ready for pickup from Sample Branch, Wed-Fri 9am-4pm.</v>
      </c>
      <c r="AE1283" s="64" t="str">
        <f t="shared" si="213"/>
        <v>mailto:firstname222.lastname222@example.com?subject=Supply%20order%20ready%20for%20pickup&amp;body=Dear%20PSW%2C%0A%0AYour%20order%20is%20ready%20for%20pickup%20from%20Sample%20Branch%2C%20Wed-Fri%209am-4pm.</v>
      </c>
      <c r="AF1283" s="89" t="str">
        <f t="shared" si="222"/>
        <v>Draft email</v>
      </c>
      <c r="AG1283" s="64" t="str">
        <f>IF($C1283="","",IFERROR(INDEX('Staff Directory'!$K$595:$K$599,MATCH($C1283,'Staff Directory'!$B$5:$B$599,0)),$D1283))</f>
        <v>PSW</v>
      </c>
      <c r="AH1283" t="str">
        <f>IF($C1283="","",IFERROR(INDEX('Staff Directory'!$I$595:$I$599,MATCH($C1283,'Staff Directory'!$B$5:$B$599,0))&amp;" "&amp;INDEX('Staff Directory'!$J$595:$J$599,MATCH($C1283,'Staff Directory'!$B$5:$B$599,0)),$AG1283))</f>
        <v>PSW</v>
      </c>
      <c r="AI1283" s="102"/>
      <c r="AJ1283" s="101">
        <f>IF($F1283="","",SUMIFS($J$5:$J1283,$F$5:$F1283,$F1283))</f>
        <v>10850</v>
      </c>
      <c r="AK1283" s="101">
        <f t="shared" si="214"/>
        <v>10801</v>
      </c>
      <c r="AL1283" s="66" t="str" cm="1">
        <f t="array" ref="AL1283">IF($F1283="","",IFERROR(INDEX('Lot Balance'!$B$5:$B$500,MATCH(1,INDEX(('Lot Balance'!$A$5:$A$500=$F1283)*('Lot Balance'!$K$5:$K$500&lt;$AK1283)*('Lot Balance'!$K$5:$K$500+'Lot Balance'!$D$5:$D$500&gt;=$AK1283),0),0)),""))</f>
        <v>102GPC24</v>
      </c>
      <c r="AM1283" s="66" t="str" cm="1">
        <f t="array" ref="AM1283">IF($F1283="","",IFERROR(INDEX('Lot Balance'!$B$5:$B$500,MATCH(1,INDEX(('Lot Balance'!$A$5:$A$500=$F1283)*('Lot Balance'!$K$5:$K$500&lt;$AJ1283)*('Lot Balance'!$K$5:$K$500+'Lot Balance'!$D$5:$D$500&gt;=$AJ1283),0),0)),""))</f>
        <v>102GPC24</v>
      </c>
      <c r="AN1283" s="66" t="str">
        <f>IF($F1283="","",IF($AI1283&lt;&gt;"",IF(COUNTIFS('Lot Balance'!$A$5:$A$500,$F1283,'Lot Balance'!$B$5:$B$500,$AI1283)=0,"⚠ override is not a lot of this item",IF($AI1283=$AL1283,"Override = FEFO","Override - FEFO says "&amp;$AL1283)),IF($AL1283="","⚠ no receipt on file for this item",IF($AM1283&lt;&gt;$AL1283,"FEFO auto - split, also "&amp;$AM1283,"FEFO auto"))))</f>
        <v>FEFO auto</v>
      </c>
      <c r="AO1283" s="114"/>
    </row>
    <row r="1284" spans="1:41" x14ac:dyDescent="0.35">
      <c r="A1284" s="74">
        <v>46190</v>
      </c>
      <c r="B1284" s="18" t="str">
        <f>IF($C1284="","",IFERROR(INDEX('Staff Directory'!$A$5:$A$594,MATCH($C1284,'Staff Directory'!$B$5:$B$594,0)),"⚠ unknown staff"))</f>
        <v>PSW-023-A6</v>
      </c>
      <c r="C1284" s="49" t="s">
        <v>999</v>
      </c>
      <c r="D1284" s="19" t="str">
        <f>IF($B1284="","",IFERROR(INDEX('Staff Directory'!$C$5:$C$594,MATCH($B1284,'Staff Directory'!$A$5:$A$594,0)),""))</f>
        <v>PSW</v>
      </c>
      <c r="E1284" s="19" t="str">
        <f>IF($B1284="","",IFERROR(INDEX('Staff Directory'!$D$5:$D$594,MATCH($B1284,'Staff Directory'!$A$5:$A$594,0)),""))</f>
        <v>A6</v>
      </c>
      <c r="F1284" s="9" t="s">
        <v>129</v>
      </c>
      <c r="G1284" s="18" t="str">
        <f>IF($F1284="","",IFERROR(INDEX(Items!$B$5:$B$597,MATCH($F1284,Items!$A$5:$A$597,0)),"⚠ not in Items"))</f>
        <v>Gloves</v>
      </c>
      <c r="H1284" s="19" t="str">
        <f>IF($F1284="","",IFERROR(INDEX(Items!$C$5:$C$597,MATCH($F1284,Items!$A$5:$A$597,0)),""))</f>
        <v>Small</v>
      </c>
      <c r="I1284" s="23">
        <f>IF($F1284="","",IFERROR(INDEX(Items!$E$5:$E$597,MATCH($F1284,Items!$A$5:$A$597,0)),""))</f>
        <v>500</v>
      </c>
      <c r="J1284" s="115">
        <f>IF(tblIssues[[#This Row],[Qty Override]]&lt;&gt;"",tblIssues[[#This Row],[Qty Override]],IF(tblIssues[[#This Row],[Standard Issue]]="","",tblIssues[[#This Row],[Standard Issue]]))</f>
        <v>500</v>
      </c>
      <c r="K1284" s="20">
        <f>IF($F1284="","",IFERROR(INDEX(Items!$D$5:$D$597,MATCH($F1284,Items!$A$5:$A$597,0)),""))</f>
        <v>5.5E-2</v>
      </c>
      <c r="L1284" s="21">
        <f t="shared" si="217"/>
        <v>27.5</v>
      </c>
      <c r="M1284" s="9" t="str">
        <f t="shared" si="215"/>
        <v>ZIM504124207-8</v>
      </c>
      <c r="N1284" s="24">
        <f>IF($A1284="","",WORKDAY($A1284,Settings!$C$9,HolidayDates))</f>
        <v>46198</v>
      </c>
      <c r="O1284" s="24">
        <f>IF($N1284="","",WORKDAY($N1284,Settings!$C$10,HolidayDates))</f>
        <v>46238</v>
      </c>
      <c r="P1284" s="10" t="s">
        <v>501</v>
      </c>
      <c r="Q1284" s="52" t="str">
        <f t="shared" si="218"/>
        <v>Collected</v>
      </c>
      <c r="R1284" s="55" t="str">
        <f t="shared" si="219"/>
        <v>2026-06</v>
      </c>
      <c r="S1284" s="55">
        <f>IF(OR($B1284="",$F1284="",$R1284=""),"",SUMIFS(tblIssues[Qty Issued],tblIssues[Staff ID],$B1284,tblIssues[Item Name],$F1284,tblIssues[Month],$R1284))</f>
        <v>1000</v>
      </c>
      <c r="T1284" s="56">
        <f>IF($I1284="","",$I1284*Settings!$C$11)</f>
        <v>500</v>
      </c>
      <c r="U1284" s="57" t="str">
        <f t="shared" si="216"/>
        <v>⚠ OVER QUOTA</v>
      </c>
      <c r="V1284" s="55" t="str">
        <f t="shared" si="220"/>
        <v>PSW-023-A6 | Gloves - Small | 2026-06</v>
      </c>
      <c r="W1284" s="55">
        <f>IF($V1284="","",IF(COUNTIF($V$5:$V1284,$V1284)=1,1,""))</f>
        <v>1</v>
      </c>
      <c r="X1284" s="58">
        <f>IF($W1284="","",MAX($X$4:X1283)+1)</f>
        <v>40</v>
      </c>
      <c r="Y1284" s="62"/>
      <c r="Z1284" s="62"/>
      <c r="AA1284" s="64" t="str">
        <f>IF($C1284="","",IFERROR(INDEX('Staff Directory'!$E$5:$E$594,MATCH($C1284,'Staff Directory'!$B$5:$B$594,0)),""))</f>
        <v>firstname083.lastname083@example.com</v>
      </c>
      <c r="AB1284" s="64" t="str">
        <f>IF($C1284="","",IF(ISNUMBER(SEARCH($D1284,Settings!$C$15)),"Pickup","Dispatch"))</f>
        <v>Pickup</v>
      </c>
      <c r="AC1284" s="64" t="str">
        <f t="shared" si="221"/>
        <v>Supply order ready for pickup</v>
      </c>
      <c r="AD1284" s="64" t="str">
        <f t="shared" si="212"/>
        <v>Dear PSW,
Your order is ready for pickup from Sample Branch, Wed-Fri 9am-4pm.</v>
      </c>
      <c r="AE1284" s="64" t="str">
        <f t="shared" si="213"/>
        <v>mailto:firstname083.lastname083@example.com?subject=Supply%20order%20ready%20for%20pickup&amp;body=Dear%20PSW%2C%0A%0AYour%20order%20is%20ready%20for%20pickup%20from%20Sample%20Branch%2C%20Wed-Fri%209am-4pm.</v>
      </c>
      <c r="AF1284" s="89" t="str">
        <f t="shared" si="222"/>
        <v>Draft email</v>
      </c>
      <c r="AG1284" s="64" t="str">
        <f>IF($C1284="","",IFERROR(INDEX('Staff Directory'!$K$595:$K$599,MATCH($C1284,'Staff Directory'!$B$5:$B$599,0)),$D1284))</f>
        <v>PSW</v>
      </c>
      <c r="AH1284" t="str">
        <f>IF($C1284="","",IFERROR(INDEX('Staff Directory'!$I$595:$I$599,MATCH($C1284,'Staff Directory'!$B$5:$B$599,0))&amp;" "&amp;INDEX('Staff Directory'!$J$595:$J$599,MATCH($C1284,'Staff Directory'!$B$5:$B$599,0)),$AG1284))</f>
        <v>PSW</v>
      </c>
      <c r="AI1284" s="102"/>
      <c r="AJ1284" s="101">
        <f>IF($F1284="","",SUMIFS($J$5:$J1284,$F$5:$F1284,$F1284))</f>
        <v>39000</v>
      </c>
      <c r="AK1284" s="101">
        <f t="shared" si="214"/>
        <v>38501</v>
      </c>
      <c r="AL1284" s="66" t="str" cm="1">
        <f t="array" ref="AL1284">IF($F1284="","",IFERROR(INDEX('Lot Balance'!$B$5:$B$500,MATCH(1,INDEX(('Lot Balance'!$A$5:$A$500=$F1284)*('Lot Balance'!$K$5:$K$500&lt;$AK1284)*('Lot Balance'!$K$5:$K$500+'Lot Balance'!$D$5:$D$500&gt;=$AK1284),0),0)),""))</f>
        <v>ZIM504124207-8</v>
      </c>
      <c r="AM1284" s="66" t="str" cm="1">
        <f t="array" ref="AM1284">IF($F1284="","",IFERROR(INDEX('Lot Balance'!$B$5:$B$500,MATCH(1,INDEX(('Lot Balance'!$A$5:$A$500=$F1284)*('Lot Balance'!$K$5:$K$500&lt;$AJ1284)*('Lot Balance'!$K$5:$K$500+'Lot Balance'!$D$5:$D$500&gt;=$AJ1284),0),0)),""))</f>
        <v>ZIM504124207-8</v>
      </c>
      <c r="AN1284" s="66" t="str">
        <f>IF($F1284="","",IF($AI1284&lt;&gt;"",IF(COUNTIFS('Lot Balance'!$A$5:$A$500,$F1284,'Lot Balance'!$B$5:$B$500,$AI1284)=0,"⚠ override is not a lot of this item",IF($AI1284=$AL1284,"Override = FEFO","Override - FEFO says "&amp;$AL1284)),IF($AL1284="","⚠ no receipt on file for this item",IF($AM1284&lt;&gt;$AL1284,"FEFO auto - split, also "&amp;$AM1284,"FEFO auto"))))</f>
        <v>FEFO auto</v>
      </c>
      <c r="AO1284" s="114"/>
    </row>
    <row r="1285" spans="1:41" x14ac:dyDescent="0.35">
      <c r="A1285" s="74">
        <v>46190</v>
      </c>
      <c r="B1285" s="18" t="str">
        <f>IF($C1285="","",IFERROR(INDEX('Staff Directory'!$A$5:$A$594,MATCH($C1285,'Staff Directory'!$B$5:$B$594,0)),"⚠ unknown staff"))</f>
        <v>PSW-023-A6</v>
      </c>
      <c r="C1285" s="49" t="s">
        <v>999</v>
      </c>
      <c r="D1285" s="19" t="str">
        <f>IF($B1285="","",IFERROR(INDEX('Staff Directory'!$C$5:$C$594,MATCH($B1285,'Staff Directory'!$A$5:$A$594,0)),""))</f>
        <v>PSW</v>
      </c>
      <c r="E1285" s="19" t="str">
        <f>IF($B1285="","",IFERROR(INDEX('Staff Directory'!$D$5:$D$594,MATCH($B1285,'Staff Directory'!$A$5:$A$594,0)),""))</f>
        <v>A6</v>
      </c>
      <c r="F1285" s="9" t="s">
        <v>129</v>
      </c>
      <c r="G1285" s="18" t="str">
        <f>IF($F1285="","",IFERROR(INDEX(Items!$B$5:$B$597,MATCH($F1285,Items!$A$5:$A$597,0)),"⚠ not in Items"))</f>
        <v>Gloves</v>
      </c>
      <c r="H1285" s="19" t="str">
        <f>IF($F1285="","",IFERROR(INDEX(Items!$C$5:$C$597,MATCH($F1285,Items!$A$5:$A$597,0)),""))</f>
        <v>Small</v>
      </c>
      <c r="I1285" s="23">
        <f>IF($F1285="","",IFERROR(INDEX(Items!$E$5:$E$597,MATCH($F1285,Items!$A$5:$A$597,0)),""))</f>
        <v>500</v>
      </c>
      <c r="J1285" s="115">
        <f>IF(tblIssues[[#This Row],[Qty Override]]&lt;&gt;"",tblIssues[[#This Row],[Qty Override]],IF(tblIssues[[#This Row],[Standard Issue]]="","",tblIssues[[#This Row],[Standard Issue]]))</f>
        <v>500</v>
      </c>
      <c r="K1285" s="20">
        <f>IF($F1285="","",IFERROR(INDEX(Items!$D$5:$D$597,MATCH($F1285,Items!$A$5:$A$597,0)),""))</f>
        <v>5.5E-2</v>
      </c>
      <c r="L1285" s="21">
        <f t="shared" si="217"/>
        <v>27.5</v>
      </c>
      <c r="M1285" s="9" t="str">
        <f t="shared" si="215"/>
        <v>ZIM504124207-8</v>
      </c>
      <c r="N1285" s="24">
        <f>IF($A1285="","",WORKDAY($A1285,Settings!$C$9,HolidayDates))</f>
        <v>46198</v>
      </c>
      <c r="O1285" s="24">
        <f>IF($N1285="","",WORKDAY($N1285,Settings!$C$10,HolidayDates))</f>
        <v>46238</v>
      </c>
      <c r="P1285" s="10" t="s">
        <v>501</v>
      </c>
      <c r="Q1285" s="52" t="str">
        <f t="shared" si="218"/>
        <v>Collected</v>
      </c>
      <c r="R1285" s="55" t="str">
        <f t="shared" si="219"/>
        <v>2026-06</v>
      </c>
      <c r="S1285" s="55">
        <f>IF(OR($B1285="",$F1285="",$R1285=""),"",SUMIFS(tblIssues[Qty Issued],tblIssues[Staff ID],$B1285,tblIssues[Item Name],$F1285,tblIssues[Month],$R1285))</f>
        <v>1000</v>
      </c>
      <c r="T1285" s="56">
        <f>IF($I1285="","",$I1285*Settings!$C$11)</f>
        <v>500</v>
      </c>
      <c r="U1285" s="57" t="str">
        <f t="shared" si="216"/>
        <v>⚠ OVER QUOTA</v>
      </c>
      <c r="V1285" s="55" t="str">
        <f t="shared" si="220"/>
        <v>PSW-023-A6 | Gloves - Small | 2026-06</v>
      </c>
      <c r="W1285" s="55" t="str">
        <f>IF($V1285="","",IF(COUNTIF($V$5:$V1285,$V1285)=1,1,""))</f>
        <v/>
      </c>
      <c r="X1285" s="58" t="str">
        <f>IF($W1285="","",MAX($X$4:X1284)+1)</f>
        <v/>
      </c>
      <c r="Y1285" s="62"/>
      <c r="Z1285" s="62"/>
      <c r="AA1285" s="64" t="str">
        <f>IF($C1285="","",IFERROR(INDEX('Staff Directory'!$E$5:$E$594,MATCH($C1285,'Staff Directory'!$B$5:$B$594,0)),""))</f>
        <v>firstname083.lastname083@example.com</v>
      </c>
      <c r="AB1285" s="64" t="str">
        <f>IF($C1285="","",IF(ISNUMBER(SEARCH($D1285,Settings!$C$15)),"Pickup","Dispatch"))</f>
        <v>Pickup</v>
      </c>
      <c r="AC1285" s="64" t="str">
        <f t="shared" si="221"/>
        <v>Supply order ready for pickup</v>
      </c>
      <c r="AD1285" s="64" t="str">
        <f t="shared" ref="AD1285:AD1348" si="223">IF($AB1285="Pickup","Dear "&amp;$AH1285&amp;","&amp;CHAR(10)&amp;CHAR(10)&amp;"Your order is ready for pickup from Sample Branch, Wed-Fri 9am-4pm.",IF($AB1285="Dispatch","Dear "&amp;$AH1285&amp;","&amp;CHAR(10)&amp;CHAR(10)&amp;"Your order has been dispatched and is in transit. Reply if undelivered.",""))</f>
        <v>Dear PSW,
Your order is ready for pickup from Sample Branch, Wed-Fri 9am-4pm.</v>
      </c>
      <c r="AE1285" s="64" t="str">
        <f t="shared" ref="AE1285:AE1348" si="224">IF(OR($AA1285="",$AC1285=""),"","mailto:"&amp;$AA1285&amp;"?subject="&amp;_xlfn.ENCODEURL($AC1285)&amp;"&amp;body="&amp;_xlfn.ENCODEURL($AD1285))</f>
        <v>mailto:firstname083.lastname083@example.com?subject=Supply%20order%20ready%20for%20pickup&amp;body=Dear%20PSW%2C%0A%0AYour%20order%20is%20ready%20for%20pickup%20from%20Sample%20Branch%2C%20Wed-Fri%209am-4pm.</v>
      </c>
      <c r="AF1285" s="89" t="str">
        <f t="shared" si="222"/>
        <v>Draft email</v>
      </c>
      <c r="AG1285" s="64" t="str">
        <f>IF($C1285="","",IFERROR(INDEX('Staff Directory'!$K$595:$K$599,MATCH($C1285,'Staff Directory'!$B$5:$B$599,0)),$D1285))</f>
        <v>PSW</v>
      </c>
      <c r="AH1285" t="str">
        <f>IF($C1285="","",IFERROR(INDEX('Staff Directory'!$I$595:$I$599,MATCH($C1285,'Staff Directory'!$B$5:$B$599,0))&amp;" "&amp;INDEX('Staff Directory'!$J$595:$J$599,MATCH($C1285,'Staff Directory'!$B$5:$B$599,0)),$AG1285))</f>
        <v>PSW</v>
      </c>
      <c r="AI1285" s="102"/>
      <c r="AJ1285" s="101">
        <f>IF($F1285="","",SUMIFS($J$5:$J1285,$F$5:$F1285,$F1285))</f>
        <v>39500</v>
      </c>
      <c r="AK1285" s="101">
        <f t="shared" ref="AK1285:AK1348" si="225">IF($F1285="","",MAX(1,$AJ1285-MAX($J1285,0)+1))</f>
        <v>39001</v>
      </c>
      <c r="AL1285" s="66" t="str" cm="1">
        <f t="array" ref="AL1285">IF($F1285="","",IFERROR(INDEX('Lot Balance'!$B$5:$B$500,MATCH(1,INDEX(('Lot Balance'!$A$5:$A$500=$F1285)*('Lot Balance'!$K$5:$K$500&lt;$AK1285)*('Lot Balance'!$K$5:$K$500+'Lot Balance'!$D$5:$D$500&gt;=$AK1285),0),0)),""))</f>
        <v>ZIM504124207-8</v>
      </c>
      <c r="AM1285" s="66" t="str" cm="1">
        <f t="array" ref="AM1285">IF($F1285="","",IFERROR(INDEX('Lot Balance'!$B$5:$B$500,MATCH(1,INDEX(('Lot Balance'!$A$5:$A$500=$F1285)*('Lot Balance'!$K$5:$K$500&lt;$AJ1285)*('Lot Balance'!$K$5:$K$500+'Lot Balance'!$D$5:$D$500&gt;=$AJ1285),0),0)),""))</f>
        <v>ZIM504124207-8</v>
      </c>
      <c r="AN1285" s="66" t="str">
        <f>IF($F1285="","",IF($AI1285&lt;&gt;"",IF(COUNTIFS('Lot Balance'!$A$5:$A$500,$F1285,'Lot Balance'!$B$5:$B$500,$AI1285)=0,"⚠ override is not a lot of this item",IF($AI1285=$AL1285,"Override = FEFO","Override - FEFO says "&amp;$AL1285)),IF($AL1285="","⚠ no receipt on file for this item",IF($AM1285&lt;&gt;$AL1285,"FEFO auto - split, also "&amp;$AM1285,"FEFO auto"))))</f>
        <v>FEFO auto</v>
      </c>
      <c r="AO1285" s="114"/>
    </row>
    <row r="1286" spans="1:41" x14ac:dyDescent="0.35">
      <c r="A1286" s="74">
        <v>46190</v>
      </c>
      <c r="B1286" s="18" t="str">
        <f>IF($C1286="","",IFERROR(INDEX('Staff Directory'!$A$5:$A$594,MATCH($C1286,'Staff Directory'!$B$5:$B$594,0)),"⚠ unknown staff"))</f>
        <v>PSW-023-A6</v>
      </c>
      <c r="C1286" s="49" t="s">
        <v>999</v>
      </c>
      <c r="D1286" s="19" t="str">
        <f>IF($B1286="","",IFERROR(INDEX('Staff Directory'!$C$5:$C$594,MATCH($B1286,'Staff Directory'!$A$5:$A$594,0)),""))</f>
        <v>PSW</v>
      </c>
      <c r="E1286" s="19" t="str">
        <f>IF($B1286="","",IFERROR(INDEX('Staff Directory'!$D$5:$D$594,MATCH($B1286,'Staff Directory'!$A$5:$A$594,0)),""))</f>
        <v>A6</v>
      </c>
      <c r="F1286" s="9" t="s">
        <v>191</v>
      </c>
      <c r="G1286" s="18" t="str">
        <f>IF($F1286="","",IFERROR(INDEX(Items!$B$5:$B$597,MATCH($F1286,Items!$A$5:$A$597,0)),"⚠ not in Items"))</f>
        <v>Sanitizer</v>
      </c>
      <c r="H1286" s="19" t="str">
        <f>IF($F1286="","",IFERROR(INDEX(Items!$C$5:$C$597,MATCH($F1286,Items!$A$5:$A$597,0)),""))</f>
        <v>236 ML</v>
      </c>
      <c r="I1286" s="23">
        <f>IF($F1286="","",IFERROR(INDEX(Items!$E$5:$E$597,MATCH($F1286,Items!$A$5:$A$597,0)),""))</f>
        <v>1</v>
      </c>
      <c r="J1286" s="115">
        <f>IF(tblIssues[[#This Row],[Qty Override]]&lt;&gt;"",tblIssues[[#This Row],[Qty Override]],IF(tblIssues[[#This Row],[Standard Issue]]="","",tblIssues[[#This Row],[Standard Issue]]))</f>
        <v>1</v>
      </c>
      <c r="K1286" s="20">
        <f>IF($F1286="","",IFERROR(INDEX(Items!$D$5:$D$597,MATCH($F1286,Items!$A$5:$A$597,0)),""))</f>
        <v>1E-4</v>
      </c>
      <c r="L1286" s="21">
        <f t="shared" si="217"/>
        <v>1E-4</v>
      </c>
      <c r="M1286" s="9" t="str">
        <f t="shared" ref="M1286:M1349" si="226">IF($F1286="","",IF($AI1286&lt;&gt;"",$AI1286,$AL1286))</f>
        <v/>
      </c>
      <c r="N1286" s="24">
        <f>IF($A1286="","",WORKDAY($A1286,Settings!$C$9,HolidayDates))</f>
        <v>46198</v>
      </c>
      <c r="O1286" s="24">
        <f>IF($N1286="","",WORKDAY($N1286,Settings!$C$10,HolidayDates))</f>
        <v>46238</v>
      </c>
      <c r="P1286" s="10" t="s">
        <v>501</v>
      </c>
      <c r="Q1286" s="52" t="str">
        <f t="shared" si="218"/>
        <v>Collected</v>
      </c>
      <c r="R1286" s="55" t="str">
        <f t="shared" si="219"/>
        <v>2026-06</v>
      </c>
      <c r="S1286" s="55">
        <f>IF(OR($B1286="",$F1286="",$R1286=""),"",SUMIFS(tblIssues[Qty Issued],tblIssues[Staff ID],$B1286,tblIssues[Item Name],$F1286,tblIssues[Month],$R1286))</f>
        <v>2</v>
      </c>
      <c r="T1286" s="56">
        <f>IF($I1286="","",$I1286*Settings!$C$11)</f>
        <v>1</v>
      </c>
      <c r="U1286" s="57" t="str">
        <f t="shared" ref="U1286:U1349" si="227">IF(OR($S1286="",$T1286=""),"",IF($S1286&gt;$T1286,IF($Y1286="Approved","APPROVED BY TL","⚠ OVER QUOTA"),"OK"))</f>
        <v>⚠ OVER QUOTA</v>
      </c>
      <c r="V1286" s="55" t="str">
        <f t="shared" si="220"/>
        <v>PSW-023-A6 | Hand Sanitizer OS | 2026-06</v>
      </c>
      <c r="W1286" s="55">
        <f>IF($V1286="","",IF(COUNTIF($V$5:$V1286,$V1286)=1,1,""))</f>
        <v>1</v>
      </c>
      <c r="X1286" s="58">
        <f>IF($W1286="","",MAX($X$4:X1285)+1)</f>
        <v>41</v>
      </c>
      <c r="Y1286" s="62"/>
      <c r="Z1286" s="62"/>
      <c r="AA1286" s="64" t="str">
        <f>IF($C1286="","",IFERROR(INDEX('Staff Directory'!$E$5:$E$594,MATCH($C1286,'Staff Directory'!$B$5:$B$594,0)),""))</f>
        <v>firstname083.lastname083@example.com</v>
      </c>
      <c r="AB1286" s="64" t="str">
        <f>IF($C1286="","",IF(ISNUMBER(SEARCH($D1286,Settings!$C$15)),"Pickup","Dispatch"))</f>
        <v>Pickup</v>
      </c>
      <c r="AC1286" s="64" t="str">
        <f t="shared" si="221"/>
        <v>Supply order ready for pickup</v>
      </c>
      <c r="AD1286" s="64" t="str">
        <f t="shared" si="223"/>
        <v>Dear PSW,
Your order is ready for pickup from Sample Branch, Wed-Fri 9am-4pm.</v>
      </c>
      <c r="AE1286" s="64" t="str">
        <f t="shared" si="224"/>
        <v>mailto:firstname083.lastname083@example.com?subject=Supply%20order%20ready%20for%20pickup&amp;body=Dear%20PSW%2C%0A%0AYour%20order%20is%20ready%20for%20pickup%20from%20Sample%20Branch%2C%20Wed-Fri%209am-4pm.</v>
      </c>
      <c r="AF1286" s="89" t="str">
        <f t="shared" si="222"/>
        <v>Draft email</v>
      </c>
      <c r="AG1286" s="64" t="str">
        <f>IF($C1286="","",IFERROR(INDEX('Staff Directory'!$K$595:$K$599,MATCH($C1286,'Staff Directory'!$B$5:$B$599,0)),$D1286))</f>
        <v>PSW</v>
      </c>
      <c r="AH1286" t="str">
        <f>IF($C1286="","",IFERROR(INDEX('Staff Directory'!$I$595:$I$599,MATCH($C1286,'Staff Directory'!$B$5:$B$599,0))&amp;" "&amp;INDEX('Staff Directory'!$J$595:$J$599,MATCH($C1286,'Staff Directory'!$B$5:$B$599,0)),$AG1286))</f>
        <v>PSW</v>
      </c>
      <c r="AI1286" s="102"/>
      <c r="AJ1286" s="101">
        <f>IF($F1286="","",SUMIFS($J$5:$J1286,$F$5:$F1286,$F1286))</f>
        <v>165</v>
      </c>
      <c r="AK1286" s="101">
        <f t="shared" si="225"/>
        <v>165</v>
      </c>
      <c r="AL1286" s="66" t="str" cm="1">
        <f t="array" ref="AL1286">IF($F1286="","",IFERROR(INDEX('Lot Balance'!$B$5:$B$500,MATCH(1,INDEX(('Lot Balance'!$A$5:$A$500=$F1286)*('Lot Balance'!$K$5:$K$500&lt;$AK1286)*('Lot Balance'!$K$5:$K$500+'Lot Balance'!$D$5:$D$500&gt;=$AK1286),0),0)),""))</f>
        <v/>
      </c>
      <c r="AM1286" s="66" t="str" cm="1">
        <f t="array" ref="AM1286">IF($F1286="","",IFERROR(INDEX('Lot Balance'!$B$5:$B$500,MATCH(1,INDEX(('Lot Balance'!$A$5:$A$500=$F1286)*('Lot Balance'!$K$5:$K$500&lt;$AJ1286)*('Lot Balance'!$K$5:$K$500+'Lot Balance'!$D$5:$D$500&gt;=$AJ1286),0),0)),""))</f>
        <v/>
      </c>
      <c r="AN1286" s="66" t="str">
        <f>IF($F1286="","",IF($AI1286&lt;&gt;"",IF(COUNTIFS('Lot Balance'!$A$5:$A$500,$F1286,'Lot Balance'!$B$5:$B$500,$AI1286)=0,"⚠ override is not a lot of this item",IF($AI1286=$AL1286,"Override = FEFO","Override - FEFO says "&amp;$AL1286)),IF($AL1286="","⚠ no receipt on file for this item",IF($AM1286&lt;&gt;$AL1286,"FEFO auto - split, also "&amp;$AM1286,"FEFO auto"))))</f>
        <v>⚠ no receipt on file for this item</v>
      </c>
      <c r="AO1286" s="114"/>
    </row>
    <row r="1287" spans="1:41" x14ac:dyDescent="0.35">
      <c r="A1287" s="74">
        <v>46190</v>
      </c>
      <c r="B1287" s="18" t="str">
        <f>IF($C1287="","",IFERROR(INDEX('Staff Directory'!$A$5:$A$594,MATCH($C1287,'Staff Directory'!$B$5:$B$594,0)),"⚠ unknown staff"))</f>
        <v>PSW-023-A6</v>
      </c>
      <c r="C1287" s="49" t="s">
        <v>999</v>
      </c>
      <c r="D1287" s="19" t="str">
        <f>IF($B1287="","",IFERROR(INDEX('Staff Directory'!$C$5:$C$594,MATCH($B1287,'Staff Directory'!$A$5:$A$594,0)),""))</f>
        <v>PSW</v>
      </c>
      <c r="E1287" s="19" t="str">
        <f>IF($B1287="","",IFERROR(INDEX('Staff Directory'!$D$5:$D$594,MATCH($B1287,'Staff Directory'!$A$5:$A$594,0)),""))</f>
        <v>A6</v>
      </c>
      <c r="F1287" s="9" t="s">
        <v>191</v>
      </c>
      <c r="G1287" s="18" t="str">
        <f>IF($F1287="","",IFERROR(INDEX(Items!$B$5:$B$597,MATCH($F1287,Items!$A$5:$A$597,0)),"⚠ not in Items"))</f>
        <v>Sanitizer</v>
      </c>
      <c r="H1287" s="19" t="str">
        <f>IF($F1287="","",IFERROR(INDEX(Items!$C$5:$C$597,MATCH($F1287,Items!$A$5:$A$597,0)),""))</f>
        <v>236 ML</v>
      </c>
      <c r="I1287" s="23">
        <f>IF($F1287="","",IFERROR(INDEX(Items!$E$5:$E$597,MATCH($F1287,Items!$A$5:$A$597,0)),""))</f>
        <v>1</v>
      </c>
      <c r="J1287" s="115">
        <f>IF(tblIssues[[#This Row],[Qty Override]]&lt;&gt;"",tblIssues[[#This Row],[Qty Override]],IF(tblIssues[[#This Row],[Standard Issue]]="","",tblIssues[[#This Row],[Standard Issue]]))</f>
        <v>1</v>
      </c>
      <c r="K1287" s="20">
        <f>IF($F1287="","",IFERROR(INDEX(Items!$D$5:$D$597,MATCH($F1287,Items!$A$5:$A$597,0)),""))</f>
        <v>1E-4</v>
      </c>
      <c r="L1287" s="21">
        <f t="shared" si="217"/>
        <v>1E-4</v>
      </c>
      <c r="M1287" s="9" t="str">
        <f t="shared" si="226"/>
        <v/>
      </c>
      <c r="N1287" s="24">
        <f>IF($A1287="","",WORKDAY($A1287,Settings!$C$9,HolidayDates))</f>
        <v>46198</v>
      </c>
      <c r="O1287" s="24">
        <f>IF($N1287="","",WORKDAY($N1287,Settings!$C$10,HolidayDates))</f>
        <v>46238</v>
      </c>
      <c r="P1287" s="10" t="s">
        <v>501</v>
      </c>
      <c r="Q1287" s="52" t="str">
        <f t="shared" si="218"/>
        <v>Collected</v>
      </c>
      <c r="R1287" s="55" t="str">
        <f t="shared" si="219"/>
        <v>2026-06</v>
      </c>
      <c r="S1287" s="55">
        <f>IF(OR($B1287="",$F1287="",$R1287=""),"",SUMIFS(tblIssues[Qty Issued],tblIssues[Staff ID],$B1287,tblIssues[Item Name],$F1287,tblIssues[Month],$R1287))</f>
        <v>2</v>
      </c>
      <c r="T1287" s="56">
        <f>IF($I1287="","",$I1287*Settings!$C$11)</f>
        <v>1</v>
      </c>
      <c r="U1287" s="57" t="str">
        <f t="shared" si="227"/>
        <v>⚠ OVER QUOTA</v>
      </c>
      <c r="V1287" s="55" t="str">
        <f t="shared" si="220"/>
        <v>PSW-023-A6 | Hand Sanitizer OS | 2026-06</v>
      </c>
      <c r="W1287" s="55" t="str">
        <f>IF($V1287="","",IF(COUNTIF($V$5:$V1287,$V1287)=1,1,""))</f>
        <v/>
      </c>
      <c r="X1287" s="58" t="str">
        <f>IF($W1287="","",MAX($X$4:X1286)+1)</f>
        <v/>
      </c>
      <c r="Y1287" s="62"/>
      <c r="Z1287" s="62"/>
      <c r="AA1287" s="64" t="str">
        <f>IF($C1287="","",IFERROR(INDEX('Staff Directory'!$E$5:$E$594,MATCH($C1287,'Staff Directory'!$B$5:$B$594,0)),""))</f>
        <v>firstname083.lastname083@example.com</v>
      </c>
      <c r="AB1287" s="64" t="str">
        <f>IF($C1287="","",IF(ISNUMBER(SEARCH($D1287,Settings!$C$15)),"Pickup","Dispatch"))</f>
        <v>Pickup</v>
      </c>
      <c r="AC1287" s="64" t="str">
        <f t="shared" si="221"/>
        <v>Supply order ready for pickup</v>
      </c>
      <c r="AD1287" s="64" t="str">
        <f t="shared" si="223"/>
        <v>Dear PSW,
Your order is ready for pickup from Sample Branch, Wed-Fri 9am-4pm.</v>
      </c>
      <c r="AE1287" s="64" t="str">
        <f t="shared" si="224"/>
        <v>mailto:firstname083.lastname083@example.com?subject=Supply%20order%20ready%20for%20pickup&amp;body=Dear%20PSW%2C%0A%0AYour%20order%20is%20ready%20for%20pickup%20from%20Sample%20Branch%2C%20Wed-Fri%209am-4pm.</v>
      </c>
      <c r="AF1287" s="89" t="str">
        <f t="shared" si="222"/>
        <v>Draft email</v>
      </c>
      <c r="AG1287" s="64" t="str">
        <f>IF($C1287="","",IFERROR(INDEX('Staff Directory'!$K$595:$K$599,MATCH($C1287,'Staff Directory'!$B$5:$B$599,0)),$D1287))</f>
        <v>PSW</v>
      </c>
      <c r="AH1287" t="str">
        <f>IF($C1287="","",IFERROR(INDEX('Staff Directory'!$I$595:$I$599,MATCH($C1287,'Staff Directory'!$B$5:$B$599,0))&amp;" "&amp;INDEX('Staff Directory'!$J$595:$J$599,MATCH($C1287,'Staff Directory'!$B$5:$B$599,0)),$AG1287))</f>
        <v>PSW</v>
      </c>
      <c r="AI1287" s="102"/>
      <c r="AJ1287" s="101">
        <f>IF($F1287="","",SUMIFS($J$5:$J1287,$F$5:$F1287,$F1287))</f>
        <v>166</v>
      </c>
      <c r="AK1287" s="101">
        <f t="shared" si="225"/>
        <v>166</v>
      </c>
      <c r="AL1287" s="66" t="str" cm="1">
        <f t="array" ref="AL1287">IF($F1287="","",IFERROR(INDEX('Lot Balance'!$B$5:$B$500,MATCH(1,INDEX(('Lot Balance'!$A$5:$A$500=$F1287)*('Lot Balance'!$K$5:$K$500&lt;$AK1287)*('Lot Balance'!$K$5:$K$500+'Lot Balance'!$D$5:$D$500&gt;=$AK1287),0),0)),""))</f>
        <v/>
      </c>
      <c r="AM1287" s="66" t="str" cm="1">
        <f t="array" ref="AM1287">IF($F1287="","",IFERROR(INDEX('Lot Balance'!$B$5:$B$500,MATCH(1,INDEX(('Lot Balance'!$A$5:$A$500=$F1287)*('Lot Balance'!$K$5:$K$500&lt;$AJ1287)*('Lot Balance'!$K$5:$K$500+'Lot Balance'!$D$5:$D$500&gt;=$AJ1287),0),0)),""))</f>
        <v/>
      </c>
      <c r="AN1287" s="66" t="str">
        <f>IF($F1287="","",IF($AI1287&lt;&gt;"",IF(COUNTIFS('Lot Balance'!$A$5:$A$500,$F1287,'Lot Balance'!$B$5:$B$500,$AI1287)=0,"⚠ override is not a lot of this item",IF($AI1287=$AL1287,"Override = FEFO","Override - FEFO says "&amp;$AL1287)),IF($AL1287="","⚠ no receipt on file for this item",IF($AM1287&lt;&gt;$AL1287,"FEFO auto - split, also "&amp;$AM1287,"FEFO auto"))))</f>
        <v>⚠ no receipt on file for this item</v>
      </c>
      <c r="AO1287" s="114"/>
    </row>
    <row r="1288" spans="1:41" x14ac:dyDescent="0.35">
      <c r="A1288" s="74">
        <v>46190</v>
      </c>
      <c r="B1288" s="18" t="str">
        <f>IF($C1288="","",IFERROR(INDEX('Staff Directory'!$A$5:$A$594,MATCH($C1288,'Staff Directory'!$B$5:$B$594,0)),"⚠ unknown staff"))</f>
        <v>PSW-023-A6</v>
      </c>
      <c r="C1288" s="49" t="s">
        <v>999</v>
      </c>
      <c r="D1288" s="19" t="str">
        <f>IF($B1288="","",IFERROR(INDEX('Staff Directory'!$C$5:$C$594,MATCH($B1288,'Staff Directory'!$A$5:$A$594,0)),""))</f>
        <v>PSW</v>
      </c>
      <c r="E1288" s="19" t="str">
        <f>IF($B1288="","",IFERROR(INDEX('Staff Directory'!$D$5:$D$594,MATCH($B1288,'Staff Directory'!$A$5:$A$594,0)),""))</f>
        <v>A6</v>
      </c>
      <c r="F1288" s="9" t="s">
        <v>115</v>
      </c>
      <c r="G1288" s="18" t="str">
        <f>IF($F1288="","",IFERROR(INDEX(Items!$B$5:$B$597,MATCH($F1288,Items!$A$5:$A$597,0)),"⚠ not in Items"))</f>
        <v>Wipes</v>
      </c>
      <c r="H1288" s="19">
        <f>IF($F1288="","",IFERROR(INDEX(Items!$C$5:$C$597,MATCH($F1288,Items!$A$5:$A$597,0)),""))</f>
        <v>80</v>
      </c>
      <c r="I1288" s="23">
        <f>IF($F1288="","",IFERROR(INDEX(Items!$E$5:$E$597,MATCH($F1288,Items!$A$5:$A$597,0)),""))</f>
        <v>80</v>
      </c>
      <c r="J1288" s="115">
        <f>IF(tblIssues[[#This Row],[Qty Override]]&lt;&gt;"",tblIssues[[#This Row],[Qty Override]],IF(tblIssues[[#This Row],[Standard Issue]]="","",tblIssues[[#This Row],[Standard Issue]]))</f>
        <v>80</v>
      </c>
      <c r="K1288" s="20">
        <f>IF($F1288="","",IFERROR(INDEX(Items!$D$5:$D$597,MATCH($F1288,Items!$A$5:$A$597,0)),""))</f>
        <v>0.1</v>
      </c>
      <c r="L1288" s="21">
        <f t="shared" ref="L1288:L1351" si="228">IF(OR($J1288="",$K1288=""),"",$J1288*$K1288)</f>
        <v>8</v>
      </c>
      <c r="M1288" s="9" t="str">
        <f t="shared" si="226"/>
        <v>LYSL500290</v>
      </c>
      <c r="N1288" s="24">
        <f>IF($A1288="","",WORKDAY($A1288,Settings!$C$9,HolidayDates))</f>
        <v>46198</v>
      </c>
      <c r="O1288" s="24">
        <f>IF($N1288="","",WORKDAY($N1288,Settings!$C$10,HolidayDates))</f>
        <v>46238</v>
      </c>
      <c r="P1288" s="10" t="s">
        <v>501</v>
      </c>
      <c r="Q1288" s="52" t="str">
        <f t="shared" si="218"/>
        <v>Collected</v>
      </c>
      <c r="R1288" s="55" t="str">
        <f t="shared" si="219"/>
        <v>2026-06</v>
      </c>
      <c r="S1288" s="55">
        <f>IF(OR($B1288="",$F1288="",$R1288=""),"",SUMIFS(tblIssues[Qty Issued],tblIssues[Staff ID],$B1288,tblIssues[Item Name],$F1288,tblIssues[Month],$R1288))</f>
        <v>80</v>
      </c>
      <c r="T1288" s="56">
        <f>IF($I1288="","",$I1288*Settings!$C$11)</f>
        <v>80</v>
      </c>
      <c r="U1288" s="57" t="str">
        <f t="shared" si="227"/>
        <v>OK</v>
      </c>
      <c r="V1288" s="55" t="str">
        <f t="shared" si="220"/>
        <v/>
      </c>
      <c r="W1288" s="55" t="str">
        <f>IF($V1288="","",IF(COUNTIF($V$5:$V1288,$V1288)=1,1,""))</f>
        <v/>
      </c>
      <c r="X1288" s="58" t="str">
        <f>IF($W1288="","",MAX($X$4:X1287)+1)</f>
        <v/>
      </c>
      <c r="Y1288" s="62"/>
      <c r="Z1288" s="62"/>
      <c r="AA1288" s="64" t="str">
        <f>IF($C1288="","",IFERROR(INDEX('Staff Directory'!$E$5:$E$594,MATCH($C1288,'Staff Directory'!$B$5:$B$594,0)),""))</f>
        <v>firstname083.lastname083@example.com</v>
      </c>
      <c r="AB1288" s="64" t="str">
        <f>IF($C1288="","",IF(ISNUMBER(SEARCH($D1288,Settings!$C$15)),"Pickup","Dispatch"))</f>
        <v>Pickup</v>
      </c>
      <c r="AC1288" s="64" t="str">
        <f t="shared" si="221"/>
        <v>Supply order ready for pickup</v>
      </c>
      <c r="AD1288" s="64" t="str">
        <f t="shared" si="223"/>
        <v>Dear PSW,
Your order is ready for pickup from Sample Branch, Wed-Fri 9am-4pm.</v>
      </c>
      <c r="AE1288" s="64" t="str">
        <f t="shared" si="224"/>
        <v>mailto:firstname083.lastname083@example.com?subject=Supply%20order%20ready%20for%20pickup&amp;body=Dear%20PSW%2C%0A%0AYour%20order%20is%20ready%20for%20pickup%20from%20Sample%20Branch%2C%20Wed-Fri%209am-4pm.</v>
      </c>
      <c r="AF1288" s="89" t="str">
        <f t="shared" si="222"/>
        <v>Draft email</v>
      </c>
      <c r="AG1288" s="64" t="str">
        <f>IF($C1288="","",IFERROR(INDEX('Staff Directory'!$K$595:$K$599,MATCH($C1288,'Staff Directory'!$B$5:$B$599,0)),$D1288))</f>
        <v>PSW</v>
      </c>
      <c r="AH1288" t="str">
        <f>IF($C1288="","",IFERROR(INDEX('Staff Directory'!$I$595:$I$599,MATCH($C1288,'Staff Directory'!$B$5:$B$599,0))&amp;" "&amp;INDEX('Staff Directory'!$J$595:$J$599,MATCH($C1288,'Staff Directory'!$B$5:$B$599,0)),$AG1288))</f>
        <v>PSW</v>
      </c>
      <c r="AI1288" s="102"/>
      <c r="AJ1288" s="101">
        <f>IF($F1288="","",SUMIFS($J$5:$J1288,$F$5:$F1288,$F1288))</f>
        <v>17760</v>
      </c>
      <c r="AK1288" s="101">
        <f t="shared" si="225"/>
        <v>17681</v>
      </c>
      <c r="AL1288" s="66" t="str" cm="1">
        <f t="array" ref="AL1288">IF($F1288="","",IFERROR(INDEX('Lot Balance'!$B$5:$B$500,MATCH(1,INDEX(('Lot Balance'!$A$5:$A$500=$F1288)*('Lot Balance'!$K$5:$K$500&lt;$AK1288)*('Lot Balance'!$K$5:$K$500+'Lot Balance'!$D$5:$D$500&gt;=$AK1288),0),0)),""))</f>
        <v>LYSL500290</v>
      </c>
      <c r="AM1288" s="66" t="str" cm="1">
        <f t="array" ref="AM1288">IF($F1288="","",IFERROR(INDEX('Lot Balance'!$B$5:$B$500,MATCH(1,INDEX(('Lot Balance'!$A$5:$A$500=$F1288)*('Lot Balance'!$K$5:$K$500&lt;$AJ1288)*('Lot Balance'!$K$5:$K$500+'Lot Balance'!$D$5:$D$500&gt;=$AJ1288),0),0)),""))</f>
        <v>LYSL500290</v>
      </c>
      <c r="AN1288" s="66" t="str">
        <f>IF($F1288="","",IF($AI1288&lt;&gt;"",IF(COUNTIFS('Lot Balance'!$A$5:$A$500,$F1288,'Lot Balance'!$B$5:$B$500,$AI1288)=0,"⚠ override is not a lot of this item",IF($AI1288=$AL1288,"Override = FEFO","Override - FEFO says "&amp;$AL1288)),IF($AL1288="","⚠ no receipt on file for this item",IF($AM1288&lt;&gt;$AL1288,"FEFO auto - split, also "&amp;$AM1288,"FEFO auto"))))</f>
        <v>FEFO auto</v>
      </c>
      <c r="AO1288" s="114"/>
    </row>
    <row r="1289" spans="1:41" x14ac:dyDescent="0.35">
      <c r="A1289" s="74">
        <v>46190</v>
      </c>
      <c r="B1289" s="18" t="str">
        <f>IF($C1289="","",IFERROR(INDEX('Staff Directory'!$A$5:$A$594,MATCH($C1289,'Staff Directory'!$B$5:$B$594,0)),"⚠ unknown staff"))</f>
        <v>PSW-023-A6</v>
      </c>
      <c r="C1289" s="49" t="s">
        <v>999</v>
      </c>
      <c r="D1289" s="19" t="str">
        <f>IF($B1289="","",IFERROR(INDEX('Staff Directory'!$C$5:$C$594,MATCH($B1289,'Staff Directory'!$A$5:$A$594,0)),""))</f>
        <v>PSW</v>
      </c>
      <c r="E1289" s="19" t="str">
        <f>IF($B1289="","",IFERROR(INDEX('Staff Directory'!$D$5:$D$594,MATCH($B1289,'Staff Directory'!$A$5:$A$594,0)),""))</f>
        <v>A6</v>
      </c>
      <c r="F1289" s="9" t="s">
        <v>147</v>
      </c>
      <c r="G1289" s="18" t="str">
        <f>IF($F1289="","",IFERROR(INDEX(Items!$B$5:$B$597,MATCH($F1289,Items!$A$5:$A$597,0)),"⚠ not in Items"))</f>
        <v>Apparel</v>
      </c>
      <c r="H1289" s="19" t="str">
        <f>IF($F1289="","",IFERROR(INDEX(Items!$C$5:$C$597,MATCH($F1289,Items!$A$5:$A$597,0)),""))</f>
        <v>One Size</v>
      </c>
      <c r="I1289" s="23">
        <f>IF($F1289="","",IFERROR(INDEX(Items!$E$5:$E$597,MATCH($F1289,Items!$A$5:$A$597,0)),""))</f>
        <v>5</v>
      </c>
      <c r="J1289" s="115">
        <f>IF(tblIssues[[#This Row],[Qty Override]]&lt;&gt;"",tblIssues[[#This Row],[Qty Override]],IF(tblIssues[[#This Row],[Standard Issue]]="","",tblIssues[[#This Row],[Standard Issue]]))</f>
        <v>5</v>
      </c>
      <c r="K1289" s="20">
        <f>IF($F1289="","",IFERROR(INDEX(Items!$D$5:$D$597,MATCH($F1289,Items!$A$5:$A$597,0)),""))</f>
        <v>3</v>
      </c>
      <c r="L1289" s="21">
        <f t="shared" si="228"/>
        <v>15</v>
      </c>
      <c r="M1289" s="9" t="str">
        <f t="shared" si="226"/>
        <v>YG500280</v>
      </c>
      <c r="N1289" s="24">
        <f>IF($A1289="","",WORKDAY($A1289,Settings!$C$9,HolidayDates))</f>
        <v>46198</v>
      </c>
      <c r="O1289" s="24">
        <f>IF($N1289="","",WORKDAY($N1289,Settings!$C$10,HolidayDates))</f>
        <v>46238</v>
      </c>
      <c r="P1289" s="10" t="s">
        <v>501</v>
      </c>
      <c r="Q1289" s="52" t="str">
        <f t="shared" si="218"/>
        <v>Collected</v>
      </c>
      <c r="R1289" s="55" t="str">
        <f t="shared" si="219"/>
        <v>2026-06</v>
      </c>
      <c r="S1289" s="55">
        <f>IF(OR($B1289="",$F1289="",$R1289=""),"",SUMIFS(tblIssues[Qty Issued],tblIssues[Staff ID],$B1289,tblIssues[Item Name],$F1289,tblIssues[Month],$R1289))</f>
        <v>5</v>
      </c>
      <c r="T1289" s="56">
        <f>IF($I1289="","",$I1289*Settings!$C$11)</f>
        <v>5</v>
      </c>
      <c r="U1289" s="57" t="str">
        <f t="shared" si="227"/>
        <v>OK</v>
      </c>
      <c r="V1289" s="55" t="str">
        <f t="shared" si="220"/>
        <v/>
      </c>
      <c r="W1289" s="55" t="str">
        <f>IF($V1289="","",IF(COUNTIF($V$5:$V1289,$V1289)=1,1,""))</f>
        <v/>
      </c>
      <c r="X1289" s="58" t="str">
        <f>IF($W1289="","",MAX($X$4:X1288)+1)</f>
        <v/>
      </c>
      <c r="Y1289" s="62"/>
      <c r="Z1289" s="62"/>
      <c r="AA1289" s="64" t="str">
        <f>IF($C1289="","",IFERROR(INDEX('Staff Directory'!$E$5:$E$594,MATCH($C1289,'Staff Directory'!$B$5:$B$594,0)),""))</f>
        <v>firstname083.lastname083@example.com</v>
      </c>
      <c r="AB1289" s="64" t="str">
        <f>IF($C1289="","",IF(ISNUMBER(SEARCH($D1289,Settings!$C$15)),"Pickup","Dispatch"))</f>
        <v>Pickup</v>
      </c>
      <c r="AC1289" s="64" t="str">
        <f t="shared" si="221"/>
        <v>Supply order ready for pickup</v>
      </c>
      <c r="AD1289" s="64" t="str">
        <f t="shared" si="223"/>
        <v>Dear PSW,
Your order is ready for pickup from Sample Branch, Wed-Fri 9am-4pm.</v>
      </c>
      <c r="AE1289" s="64" t="str">
        <f t="shared" si="224"/>
        <v>mailto:firstname083.lastname083@example.com?subject=Supply%20order%20ready%20for%20pickup&amp;body=Dear%20PSW%2C%0A%0AYour%20order%20is%20ready%20for%20pickup%20from%20Sample%20Branch%2C%20Wed-Fri%209am-4pm.</v>
      </c>
      <c r="AF1289" s="89" t="str">
        <f t="shared" si="222"/>
        <v>Draft email</v>
      </c>
      <c r="AG1289" s="64" t="str">
        <f>IF($C1289="","",IFERROR(INDEX('Staff Directory'!$K$595:$K$599,MATCH($C1289,'Staff Directory'!$B$5:$B$599,0)),$D1289))</f>
        <v>PSW</v>
      </c>
      <c r="AH1289" t="str">
        <f>IF($C1289="","",IFERROR(INDEX('Staff Directory'!$I$595:$I$599,MATCH($C1289,'Staff Directory'!$B$5:$B$599,0))&amp;" "&amp;INDEX('Staff Directory'!$J$595:$J$599,MATCH($C1289,'Staff Directory'!$B$5:$B$599,0)),$AG1289))</f>
        <v>PSW</v>
      </c>
      <c r="AI1289" s="102"/>
      <c r="AJ1289" s="101">
        <f>IF($F1289="","",SUMIFS($J$5:$J1289,$F$5:$F1289,$F1289))</f>
        <v>160</v>
      </c>
      <c r="AK1289" s="101">
        <f t="shared" si="225"/>
        <v>156</v>
      </c>
      <c r="AL1289" s="66" t="str" cm="1">
        <f t="array" ref="AL1289">IF($F1289="","",IFERROR(INDEX('Lot Balance'!$B$5:$B$500,MATCH(1,INDEX(('Lot Balance'!$A$5:$A$500=$F1289)*('Lot Balance'!$K$5:$K$500&lt;$AK1289)*('Lot Balance'!$K$5:$K$500+'Lot Balance'!$D$5:$D$500&gt;=$AK1289),0),0)),""))</f>
        <v>YG500280</v>
      </c>
      <c r="AM1289" s="66" t="str" cm="1">
        <f t="array" ref="AM1289">IF($F1289="","",IFERROR(INDEX('Lot Balance'!$B$5:$B$500,MATCH(1,INDEX(('Lot Balance'!$A$5:$A$500=$F1289)*('Lot Balance'!$K$5:$K$500&lt;$AJ1289)*('Lot Balance'!$K$5:$K$500+'Lot Balance'!$D$5:$D$500&gt;=$AJ1289),0),0)),""))</f>
        <v>YG500280</v>
      </c>
      <c r="AN1289" s="66" t="str">
        <f>IF($F1289="","",IF($AI1289&lt;&gt;"",IF(COUNTIFS('Lot Balance'!$A$5:$A$500,$F1289,'Lot Balance'!$B$5:$B$500,$AI1289)=0,"⚠ override is not a lot of this item",IF($AI1289=$AL1289,"Override = FEFO","Override - FEFO says "&amp;$AL1289)),IF($AL1289="","⚠ no receipt on file for this item",IF($AM1289&lt;&gt;$AL1289,"FEFO auto - split, also "&amp;$AM1289,"FEFO auto"))))</f>
        <v>FEFO auto</v>
      </c>
      <c r="AO1289" s="114"/>
    </row>
    <row r="1290" spans="1:41" x14ac:dyDescent="0.35">
      <c r="A1290" s="74">
        <v>46190</v>
      </c>
      <c r="B1290" s="18" t="str">
        <f>IF($C1290="","",IFERROR(INDEX('Staff Directory'!$A$5:$A$594,MATCH($C1290,'Staff Directory'!$B$5:$B$594,0)),"⚠ unknown staff"))</f>
        <v>PSW-023-A6</v>
      </c>
      <c r="C1290" s="49" t="s">
        <v>999</v>
      </c>
      <c r="D1290" s="19" t="str">
        <f>IF($B1290="","",IFERROR(INDEX('Staff Directory'!$C$5:$C$594,MATCH($B1290,'Staff Directory'!$A$5:$A$594,0)),""))</f>
        <v>PSW</v>
      </c>
      <c r="E1290" s="19" t="str">
        <f>IF($B1290="","",IFERROR(INDEX('Staff Directory'!$D$5:$D$594,MATCH($B1290,'Staff Directory'!$A$5:$A$594,0)),""))</f>
        <v>A6</v>
      </c>
      <c r="F1290" s="9" t="s">
        <v>156</v>
      </c>
      <c r="G1290" s="18" t="str">
        <f>IF($F1290="","",IFERROR(INDEX(Items!$B$5:$B$597,MATCH($F1290,Items!$A$5:$A$597,0)),"⚠ not in Items"))</f>
        <v>Masks</v>
      </c>
      <c r="H1290" s="19" t="str">
        <f>IF($F1290="","",IFERROR(INDEX(Items!$C$5:$C$597,MATCH($F1290,Items!$A$5:$A$597,0)),""))</f>
        <v>One Size</v>
      </c>
      <c r="I1290" s="23">
        <f>IF($F1290="","",IFERROR(INDEX(Items!$E$5:$E$597,MATCH($F1290,Items!$A$5:$A$597,0)),""))</f>
        <v>50</v>
      </c>
      <c r="J1290" s="115">
        <f>IF(tblIssues[[#This Row],[Qty Override]]&lt;&gt;"",tblIssues[[#This Row],[Qty Override]],IF(tblIssues[[#This Row],[Standard Issue]]="","",tblIssues[[#This Row],[Standard Issue]]))</f>
        <v>50</v>
      </c>
      <c r="K1290" s="20">
        <f>IF($F1290="","",IFERROR(INDEX(Items!$D$5:$D$597,MATCH($F1290,Items!$A$5:$A$597,0)),""))</f>
        <v>0.25</v>
      </c>
      <c r="L1290" s="21">
        <f t="shared" si="228"/>
        <v>12.5</v>
      </c>
      <c r="M1290" s="9" t="str">
        <f t="shared" si="226"/>
        <v>102GPC24</v>
      </c>
      <c r="N1290" s="24">
        <f>IF($A1290="","",WORKDAY($A1290,Settings!$C$9,HolidayDates))</f>
        <v>46198</v>
      </c>
      <c r="O1290" s="24">
        <f>IF($N1290="","",WORKDAY($N1290,Settings!$C$10,HolidayDates))</f>
        <v>46238</v>
      </c>
      <c r="P1290" s="10" t="s">
        <v>501</v>
      </c>
      <c r="Q1290" s="52" t="str">
        <f t="shared" si="218"/>
        <v>Collected</v>
      </c>
      <c r="R1290" s="55" t="str">
        <f t="shared" si="219"/>
        <v>2026-06</v>
      </c>
      <c r="S1290" s="55">
        <f>IF(OR($B1290="",$F1290="",$R1290=""),"",SUMIFS(tblIssues[Qty Issued],tblIssues[Staff ID],$B1290,tblIssues[Item Name],$F1290,tblIssues[Month],$R1290))</f>
        <v>50</v>
      </c>
      <c r="T1290" s="56">
        <f>IF($I1290="","",$I1290*Settings!$C$11)</f>
        <v>50</v>
      </c>
      <c r="U1290" s="57" t="str">
        <f t="shared" si="227"/>
        <v>OK</v>
      </c>
      <c r="V1290" s="55" t="str">
        <f t="shared" si="220"/>
        <v/>
      </c>
      <c r="W1290" s="55" t="str">
        <f>IF($V1290="","",IF(COUNTIF($V$5:$V1290,$V1290)=1,1,""))</f>
        <v/>
      </c>
      <c r="X1290" s="58" t="str">
        <f>IF($W1290="","",MAX($X$4:X1289)+1)</f>
        <v/>
      </c>
      <c r="Y1290" s="62"/>
      <c r="Z1290" s="62"/>
      <c r="AA1290" s="64" t="str">
        <f>IF($C1290="","",IFERROR(INDEX('Staff Directory'!$E$5:$E$594,MATCH($C1290,'Staff Directory'!$B$5:$B$594,0)),""))</f>
        <v>firstname083.lastname083@example.com</v>
      </c>
      <c r="AB1290" s="64" t="str">
        <f>IF($C1290="","",IF(ISNUMBER(SEARCH($D1290,Settings!$C$15)),"Pickup","Dispatch"))</f>
        <v>Pickup</v>
      </c>
      <c r="AC1290" s="64" t="str">
        <f t="shared" si="221"/>
        <v>Supply order ready for pickup</v>
      </c>
      <c r="AD1290" s="64" t="str">
        <f t="shared" si="223"/>
        <v>Dear PSW,
Your order is ready for pickup from Sample Branch, Wed-Fri 9am-4pm.</v>
      </c>
      <c r="AE1290" s="64" t="str">
        <f t="shared" si="224"/>
        <v>mailto:firstname083.lastname083@example.com?subject=Supply%20order%20ready%20for%20pickup&amp;body=Dear%20PSW%2C%0A%0AYour%20order%20is%20ready%20for%20pickup%20from%20Sample%20Branch%2C%20Wed-Fri%209am-4pm.</v>
      </c>
      <c r="AF1290" s="89" t="str">
        <f t="shared" si="222"/>
        <v>Draft email</v>
      </c>
      <c r="AG1290" s="64" t="str">
        <f>IF($C1290="","",IFERROR(INDEX('Staff Directory'!$K$595:$K$599,MATCH($C1290,'Staff Directory'!$B$5:$B$599,0)),$D1290))</f>
        <v>PSW</v>
      </c>
      <c r="AH1290" t="str">
        <f>IF($C1290="","",IFERROR(INDEX('Staff Directory'!$I$595:$I$599,MATCH($C1290,'Staff Directory'!$B$5:$B$599,0))&amp;" "&amp;INDEX('Staff Directory'!$J$595:$J$599,MATCH($C1290,'Staff Directory'!$B$5:$B$599,0)),$AG1290))</f>
        <v>PSW</v>
      </c>
      <c r="AI1290" s="102"/>
      <c r="AJ1290" s="101">
        <f>IF($F1290="","",SUMIFS($J$5:$J1290,$F$5:$F1290,$F1290))</f>
        <v>10900</v>
      </c>
      <c r="AK1290" s="101">
        <f t="shared" si="225"/>
        <v>10851</v>
      </c>
      <c r="AL1290" s="66" t="str" cm="1">
        <f t="array" ref="AL1290">IF($F1290="","",IFERROR(INDEX('Lot Balance'!$B$5:$B$500,MATCH(1,INDEX(('Lot Balance'!$A$5:$A$500=$F1290)*('Lot Balance'!$K$5:$K$500&lt;$AK1290)*('Lot Balance'!$K$5:$K$500+'Lot Balance'!$D$5:$D$500&gt;=$AK1290),0),0)),""))</f>
        <v>102GPC24</v>
      </c>
      <c r="AM1290" s="66" t="str" cm="1">
        <f t="array" ref="AM1290">IF($F1290="","",IFERROR(INDEX('Lot Balance'!$B$5:$B$500,MATCH(1,INDEX(('Lot Balance'!$A$5:$A$500=$F1290)*('Lot Balance'!$K$5:$K$500&lt;$AJ1290)*('Lot Balance'!$K$5:$K$500+'Lot Balance'!$D$5:$D$500&gt;=$AJ1290),0),0)),""))</f>
        <v>102GPC24</v>
      </c>
      <c r="AN1290" s="66" t="str">
        <f>IF($F1290="","",IF($AI1290&lt;&gt;"",IF(COUNTIFS('Lot Balance'!$A$5:$A$500,$F1290,'Lot Balance'!$B$5:$B$500,$AI1290)=0,"⚠ override is not a lot of this item",IF($AI1290=$AL1290,"Override = FEFO","Override - FEFO says "&amp;$AL1290)),IF($AL1290="","⚠ no receipt on file for this item",IF($AM1290&lt;&gt;$AL1290,"FEFO auto - split, also "&amp;$AM1290,"FEFO auto"))))</f>
        <v>FEFO auto</v>
      </c>
      <c r="AO1290" s="114"/>
    </row>
    <row r="1291" spans="1:41" x14ac:dyDescent="0.35">
      <c r="A1291" s="74">
        <v>46190</v>
      </c>
      <c r="B1291" s="18" t="str">
        <f>IF($C1291="","",IFERROR(INDEX('Staff Directory'!$A$5:$A$594,MATCH($C1291,'Staff Directory'!$B$5:$B$594,0)),"⚠ unknown staff"))</f>
        <v>PSW-030-A4</v>
      </c>
      <c r="C1291" s="49" t="s">
        <v>1005</v>
      </c>
      <c r="D1291" s="19" t="str">
        <f>IF($B1291="","",IFERROR(INDEX('Staff Directory'!$C$5:$C$594,MATCH($B1291,'Staff Directory'!$A$5:$A$594,0)),""))</f>
        <v>PSW</v>
      </c>
      <c r="E1291" s="19" t="str">
        <f>IF($B1291="","",IFERROR(INDEX('Staff Directory'!$D$5:$D$594,MATCH($B1291,'Staff Directory'!$A$5:$A$594,0)),""))</f>
        <v>A4</v>
      </c>
      <c r="F1291" s="9" t="s">
        <v>127</v>
      </c>
      <c r="G1291" s="18" t="str">
        <f>IF($F1291="","",IFERROR(INDEX(Items!$B$5:$B$597,MATCH($F1291,Items!$A$5:$A$597,0)),"⚠ not in Items"))</f>
        <v>Gloves</v>
      </c>
      <c r="H1291" s="19" t="str">
        <f>IF($F1291="","",IFERROR(INDEX(Items!$C$5:$C$597,MATCH($F1291,Items!$A$5:$A$597,0)),""))</f>
        <v>Medium</v>
      </c>
      <c r="I1291" s="23">
        <f>IF($F1291="","",IFERROR(INDEX(Items!$E$5:$E$597,MATCH($F1291,Items!$A$5:$A$597,0)),""))</f>
        <v>500</v>
      </c>
      <c r="J1291" s="115">
        <f>IF(tblIssues[[#This Row],[Qty Override]]&lt;&gt;"",tblIssues[[#This Row],[Qty Override]],IF(tblIssues[[#This Row],[Standard Issue]]="","",tblIssues[[#This Row],[Standard Issue]]))</f>
        <v>500</v>
      </c>
      <c r="K1291" s="20">
        <f>IF($F1291="","",IFERROR(INDEX(Items!$D$5:$D$597,MATCH($F1291,Items!$A$5:$A$597,0)),""))</f>
        <v>5.5E-2</v>
      </c>
      <c r="L1291" s="21">
        <f t="shared" si="228"/>
        <v>27.5</v>
      </c>
      <c r="M1291" s="9" t="str">
        <f t="shared" si="226"/>
        <v>ZIM510137962-1</v>
      </c>
      <c r="N1291" s="24">
        <f>IF($A1291="","",WORKDAY($A1291,Settings!$C$9,HolidayDates))</f>
        <v>46198</v>
      </c>
      <c r="O1291" s="24">
        <f>IF($N1291="","",WORKDAY($N1291,Settings!$C$10,HolidayDates))</f>
        <v>46238</v>
      </c>
      <c r="P1291" s="10" t="s">
        <v>501</v>
      </c>
      <c r="Q1291" s="52" t="str">
        <f t="shared" si="218"/>
        <v>Collected</v>
      </c>
      <c r="R1291" s="55" t="str">
        <f t="shared" si="219"/>
        <v>2026-06</v>
      </c>
      <c r="S1291" s="55">
        <f>IF(OR($B1291="",$F1291="",$R1291=""),"",SUMIFS(tblIssues[Qty Issued],tblIssues[Staff ID],$B1291,tblIssues[Item Name],$F1291,tblIssues[Month],$R1291))</f>
        <v>500</v>
      </c>
      <c r="T1291" s="56">
        <f>IF($I1291="","",$I1291*Settings!$C$11)</f>
        <v>500</v>
      </c>
      <c r="U1291" s="57" t="str">
        <f t="shared" si="227"/>
        <v>OK</v>
      </c>
      <c r="V1291" s="55" t="str">
        <f t="shared" si="220"/>
        <v/>
      </c>
      <c r="W1291" s="55" t="str">
        <f>IF($V1291="","",IF(COUNTIF($V$5:$V1291,$V1291)=1,1,""))</f>
        <v/>
      </c>
      <c r="X1291" s="58" t="str">
        <f>IF($W1291="","",MAX($X$4:X1290)+1)</f>
        <v/>
      </c>
      <c r="Y1291" s="62"/>
      <c r="Z1291" s="62"/>
      <c r="AA1291" s="64" t="str">
        <f>IF($C1291="","",IFERROR(INDEX('Staff Directory'!$E$5:$E$594,MATCH($C1291,'Staff Directory'!$B$5:$B$594,0)),""))</f>
        <v>firstname089.lastname089@example.com</v>
      </c>
      <c r="AB1291" s="64" t="str">
        <f>IF($C1291="","",IF(ISNUMBER(SEARCH($D1291,Settings!$C$15)),"Pickup","Dispatch"))</f>
        <v>Pickup</v>
      </c>
      <c r="AC1291" s="64" t="str">
        <f t="shared" si="221"/>
        <v>Supply order ready for pickup</v>
      </c>
      <c r="AD1291" s="64" t="str">
        <f t="shared" si="223"/>
        <v>Dear PSW,
Your order is ready for pickup from Sample Branch, Wed-Fri 9am-4pm.</v>
      </c>
      <c r="AE1291" s="64" t="str">
        <f t="shared" si="224"/>
        <v>mailto:firstname089.lastname089@example.com?subject=Supply%20order%20ready%20for%20pickup&amp;body=Dear%20PSW%2C%0A%0AYour%20order%20is%20ready%20for%20pickup%20from%20Sample%20Branch%2C%20Wed-Fri%209am-4pm.</v>
      </c>
      <c r="AF1291" s="89" t="str">
        <f t="shared" si="222"/>
        <v>Draft email</v>
      </c>
      <c r="AG1291" s="64" t="str">
        <f>IF($C1291="","",IFERROR(INDEX('Staff Directory'!$K$595:$K$599,MATCH($C1291,'Staff Directory'!$B$5:$B$599,0)),$D1291))</f>
        <v>PSW</v>
      </c>
      <c r="AH1291" t="str">
        <f>IF($C1291="","",IFERROR(INDEX('Staff Directory'!$I$595:$I$599,MATCH($C1291,'Staff Directory'!$B$5:$B$599,0))&amp;" "&amp;INDEX('Staff Directory'!$J$595:$J$599,MATCH($C1291,'Staff Directory'!$B$5:$B$599,0)),$AG1291))</f>
        <v>PSW</v>
      </c>
      <c r="AI1291" s="102"/>
      <c r="AJ1291" s="101">
        <f>IF($F1291="","",SUMIFS($J$5:$J1291,$F$5:$F1291,$F1291))</f>
        <v>79500</v>
      </c>
      <c r="AK1291" s="101">
        <f t="shared" si="225"/>
        <v>79001</v>
      </c>
      <c r="AL1291" s="66" t="str" cm="1">
        <f t="array" ref="AL1291">IF($F1291="","",IFERROR(INDEX('Lot Balance'!$B$5:$B$500,MATCH(1,INDEX(('Lot Balance'!$A$5:$A$500=$F1291)*('Lot Balance'!$K$5:$K$500&lt;$AK1291)*('Lot Balance'!$K$5:$K$500+'Lot Balance'!$D$5:$D$500&gt;=$AK1291),0),0)),""))</f>
        <v>ZIM510137962-1</v>
      </c>
      <c r="AM1291" s="66" t="str" cm="1">
        <f t="array" ref="AM1291">IF($F1291="","",IFERROR(INDEX('Lot Balance'!$B$5:$B$500,MATCH(1,INDEX(('Lot Balance'!$A$5:$A$500=$F1291)*('Lot Balance'!$K$5:$K$500&lt;$AJ1291)*('Lot Balance'!$K$5:$K$500+'Lot Balance'!$D$5:$D$500&gt;=$AJ1291),0),0)),""))</f>
        <v>ZIM510137962-1</v>
      </c>
      <c r="AN1291" s="66" t="str">
        <f>IF($F1291="","",IF($AI1291&lt;&gt;"",IF(COUNTIFS('Lot Balance'!$A$5:$A$500,$F1291,'Lot Balance'!$B$5:$B$500,$AI1291)=0,"⚠ override is not a lot of this item",IF($AI1291=$AL1291,"Override = FEFO","Override - FEFO says "&amp;$AL1291)),IF($AL1291="","⚠ no receipt on file for this item",IF($AM1291&lt;&gt;$AL1291,"FEFO auto - split, also "&amp;$AM1291,"FEFO auto"))))</f>
        <v>FEFO auto</v>
      </c>
      <c r="AO1291" s="114"/>
    </row>
    <row r="1292" spans="1:41" x14ac:dyDescent="0.35">
      <c r="A1292" s="74">
        <v>46190</v>
      </c>
      <c r="B1292" s="18" t="str">
        <f>IF($C1292="","",IFERROR(INDEX('Staff Directory'!$A$5:$A$594,MATCH($C1292,'Staff Directory'!$B$5:$B$594,0)),"⚠ unknown staff"))</f>
        <v>PSW-030-A4</v>
      </c>
      <c r="C1292" s="49" t="s">
        <v>1005</v>
      </c>
      <c r="D1292" s="19" t="str">
        <f>IF($B1292="","",IFERROR(INDEX('Staff Directory'!$C$5:$C$594,MATCH($B1292,'Staff Directory'!$A$5:$A$594,0)),""))</f>
        <v>PSW</v>
      </c>
      <c r="E1292" s="19" t="str">
        <f>IF($B1292="","",IFERROR(INDEX('Staff Directory'!$D$5:$D$594,MATCH($B1292,'Staff Directory'!$A$5:$A$594,0)),""))</f>
        <v>A4</v>
      </c>
      <c r="F1292" s="9" t="s">
        <v>191</v>
      </c>
      <c r="G1292" s="18" t="str">
        <f>IF($F1292="","",IFERROR(INDEX(Items!$B$5:$B$597,MATCH($F1292,Items!$A$5:$A$597,0)),"⚠ not in Items"))</f>
        <v>Sanitizer</v>
      </c>
      <c r="H1292" s="19" t="str">
        <f>IF($F1292="","",IFERROR(INDEX(Items!$C$5:$C$597,MATCH($F1292,Items!$A$5:$A$597,0)),""))</f>
        <v>236 ML</v>
      </c>
      <c r="I1292" s="23">
        <f>IF($F1292="","",IFERROR(INDEX(Items!$E$5:$E$597,MATCH($F1292,Items!$A$5:$A$597,0)),""))</f>
        <v>1</v>
      </c>
      <c r="J1292" s="115">
        <f>IF(tblIssues[[#This Row],[Qty Override]]&lt;&gt;"",tblIssues[[#This Row],[Qty Override]],IF(tblIssues[[#This Row],[Standard Issue]]="","",tblIssues[[#This Row],[Standard Issue]]))</f>
        <v>1</v>
      </c>
      <c r="K1292" s="20">
        <f>IF($F1292="","",IFERROR(INDEX(Items!$D$5:$D$597,MATCH($F1292,Items!$A$5:$A$597,0)),""))</f>
        <v>1E-4</v>
      </c>
      <c r="L1292" s="21">
        <f t="shared" si="228"/>
        <v>1E-4</v>
      </c>
      <c r="M1292" s="9" t="str">
        <f t="shared" si="226"/>
        <v/>
      </c>
      <c r="N1292" s="24">
        <f>IF($A1292="","",WORKDAY($A1292,Settings!$C$9,HolidayDates))</f>
        <v>46198</v>
      </c>
      <c r="O1292" s="24">
        <f>IF($N1292="","",WORKDAY($N1292,Settings!$C$10,HolidayDates))</f>
        <v>46238</v>
      </c>
      <c r="P1292" s="10" t="s">
        <v>501</v>
      </c>
      <c r="Q1292" s="52" t="str">
        <f t="shared" si="218"/>
        <v>Collected</v>
      </c>
      <c r="R1292" s="55" t="str">
        <f t="shared" si="219"/>
        <v>2026-06</v>
      </c>
      <c r="S1292" s="55">
        <f>IF(OR($B1292="",$F1292="",$R1292=""),"",SUMIFS(tblIssues[Qty Issued],tblIssues[Staff ID],$B1292,tblIssues[Item Name],$F1292,tblIssues[Month],$R1292))</f>
        <v>2</v>
      </c>
      <c r="T1292" s="56">
        <f>IF($I1292="","",$I1292*Settings!$C$11)</f>
        <v>1</v>
      </c>
      <c r="U1292" s="57" t="str">
        <f t="shared" si="227"/>
        <v>⚠ OVER QUOTA</v>
      </c>
      <c r="V1292" s="55" t="str">
        <f t="shared" si="220"/>
        <v>PSW-030-A4 | Hand Sanitizer OS | 2026-06</v>
      </c>
      <c r="W1292" s="55">
        <f>IF($V1292="","",IF(COUNTIF($V$5:$V1292,$V1292)=1,1,""))</f>
        <v>1</v>
      </c>
      <c r="X1292" s="58">
        <f>IF($W1292="","",MAX($X$4:X1291)+1)</f>
        <v>42</v>
      </c>
      <c r="Y1292" s="62"/>
      <c r="Z1292" s="62"/>
      <c r="AA1292" s="64" t="str">
        <f>IF($C1292="","",IFERROR(INDEX('Staff Directory'!$E$5:$E$594,MATCH($C1292,'Staff Directory'!$B$5:$B$594,0)),""))</f>
        <v>firstname089.lastname089@example.com</v>
      </c>
      <c r="AB1292" s="64" t="str">
        <f>IF($C1292="","",IF(ISNUMBER(SEARCH($D1292,Settings!$C$15)),"Pickup","Dispatch"))</f>
        <v>Pickup</v>
      </c>
      <c r="AC1292" s="64" t="str">
        <f t="shared" si="221"/>
        <v>Supply order ready for pickup</v>
      </c>
      <c r="AD1292" s="64" t="str">
        <f t="shared" si="223"/>
        <v>Dear PSW,
Your order is ready for pickup from Sample Branch, Wed-Fri 9am-4pm.</v>
      </c>
      <c r="AE1292" s="64" t="str">
        <f t="shared" si="224"/>
        <v>mailto:firstname089.lastname089@example.com?subject=Supply%20order%20ready%20for%20pickup&amp;body=Dear%20PSW%2C%0A%0AYour%20order%20is%20ready%20for%20pickup%20from%20Sample%20Branch%2C%20Wed-Fri%209am-4pm.</v>
      </c>
      <c r="AF1292" s="89" t="str">
        <f t="shared" si="222"/>
        <v>Draft email</v>
      </c>
      <c r="AG1292" s="64" t="str">
        <f>IF($C1292="","",IFERROR(INDEX('Staff Directory'!$K$595:$K$599,MATCH($C1292,'Staff Directory'!$B$5:$B$599,0)),$D1292))</f>
        <v>PSW</v>
      </c>
      <c r="AH1292" t="str">
        <f>IF($C1292="","",IFERROR(INDEX('Staff Directory'!$I$595:$I$599,MATCH($C1292,'Staff Directory'!$B$5:$B$599,0))&amp;" "&amp;INDEX('Staff Directory'!$J$595:$J$599,MATCH($C1292,'Staff Directory'!$B$5:$B$599,0)),$AG1292))</f>
        <v>PSW</v>
      </c>
      <c r="AI1292" s="102"/>
      <c r="AJ1292" s="101">
        <f>IF($F1292="","",SUMIFS($J$5:$J1292,$F$5:$F1292,$F1292))</f>
        <v>167</v>
      </c>
      <c r="AK1292" s="101">
        <f t="shared" si="225"/>
        <v>167</v>
      </c>
      <c r="AL1292" s="66" t="str" cm="1">
        <f t="array" ref="AL1292">IF($F1292="","",IFERROR(INDEX('Lot Balance'!$B$5:$B$500,MATCH(1,INDEX(('Lot Balance'!$A$5:$A$500=$F1292)*('Lot Balance'!$K$5:$K$500&lt;$AK1292)*('Lot Balance'!$K$5:$K$500+'Lot Balance'!$D$5:$D$500&gt;=$AK1292),0),0)),""))</f>
        <v/>
      </c>
      <c r="AM1292" s="66" t="str" cm="1">
        <f t="array" ref="AM1292">IF($F1292="","",IFERROR(INDEX('Lot Balance'!$B$5:$B$500,MATCH(1,INDEX(('Lot Balance'!$A$5:$A$500=$F1292)*('Lot Balance'!$K$5:$K$500&lt;$AJ1292)*('Lot Balance'!$K$5:$K$500+'Lot Balance'!$D$5:$D$500&gt;=$AJ1292),0),0)),""))</f>
        <v/>
      </c>
      <c r="AN1292" s="66" t="str">
        <f>IF($F1292="","",IF($AI1292&lt;&gt;"",IF(COUNTIFS('Lot Balance'!$A$5:$A$500,$F1292,'Lot Balance'!$B$5:$B$500,$AI1292)=0,"⚠ override is not a lot of this item",IF($AI1292=$AL1292,"Override = FEFO","Override - FEFO says "&amp;$AL1292)),IF($AL1292="","⚠ no receipt on file for this item",IF($AM1292&lt;&gt;$AL1292,"FEFO auto - split, also "&amp;$AM1292,"FEFO auto"))))</f>
        <v>⚠ no receipt on file for this item</v>
      </c>
      <c r="AO1292" s="114"/>
    </row>
    <row r="1293" spans="1:41" x14ac:dyDescent="0.35">
      <c r="A1293" s="74">
        <v>46190</v>
      </c>
      <c r="B1293" s="18" t="str">
        <f>IF($C1293="","",IFERROR(INDEX('Staff Directory'!$A$5:$A$594,MATCH($C1293,'Staff Directory'!$B$5:$B$594,0)),"⚠ unknown staff"))</f>
        <v>PSW-030-A4</v>
      </c>
      <c r="C1293" s="49" t="s">
        <v>1005</v>
      </c>
      <c r="D1293" s="19" t="str">
        <f>IF($B1293="","",IFERROR(INDEX('Staff Directory'!$C$5:$C$594,MATCH($B1293,'Staff Directory'!$A$5:$A$594,0)),""))</f>
        <v>PSW</v>
      </c>
      <c r="E1293" s="19" t="str">
        <f>IF($B1293="","",IFERROR(INDEX('Staff Directory'!$D$5:$D$594,MATCH($B1293,'Staff Directory'!$A$5:$A$594,0)),""))</f>
        <v>A4</v>
      </c>
      <c r="F1293" s="9" t="s">
        <v>191</v>
      </c>
      <c r="G1293" s="18" t="str">
        <f>IF($F1293="","",IFERROR(INDEX(Items!$B$5:$B$597,MATCH($F1293,Items!$A$5:$A$597,0)),"⚠ not in Items"))</f>
        <v>Sanitizer</v>
      </c>
      <c r="H1293" s="19" t="str">
        <f>IF($F1293="","",IFERROR(INDEX(Items!$C$5:$C$597,MATCH($F1293,Items!$A$5:$A$597,0)),""))</f>
        <v>236 ML</v>
      </c>
      <c r="I1293" s="23">
        <f>IF($F1293="","",IFERROR(INDEX(Items!$E$5:$E$597,MATCH($F1293,Items!$A$5:$A$597,0)),""))</f>
        <v>1</v>
      </c>
      <c r="J1293" s="115">
        <f>IF(tblIssues[[#This Row],[Qty Override]]&lt;&gt;"",tblIssues[[#This Row],[Qty Override]],IF(tblIssues[[#This Row],[Standard Issue]]="","",tblIssues[[#This Row],[Standard Issue]]))</f>
        <v>1</v>
      </c>
      <c r="K1293" s="20">
        <f>IF($F1293="","",IFERROR(INDEX(Items!$D$5:$D$597,MATCH($F1293,Items!$A$5:$A$597,0)),""))</f>
        <v>1E-4</v>
      </c>
      <c r="L1293" s="21">
        <f t="shared" si="228"/>
        <v>1E-4</v>
      </c>
      <c r="M1293" s="9" t="str">
        <f t="shared" si="226"/>
        <v/>
      </c>
      <c r="N1293" s="24">
        <f>IF($A1293="","",WORKDAY($A1293,Settings!$C$9,HolidayDates))</f>
        <v>46198</v>
      </c>
      <c r="O1293" s="24">
        <f>IF($N1293="","",WORKDAY($N1293,Settings!$C$10,HolidayDates))</f>
        <v>46238</v>
      </c>
      <c r="P1293" s="10" t="s">
        <v>501</v>
      </c>
      <c r="Q1293" s="52" t="str">
        <f t="shared" si="218"/>
        <v>Collected</v>
      </c>
      <c r="R1293" s="55" t="str">
        <f t="shared" si="219"/>
        <v>2026-06</v>
      </c>
      <c r="S1293" s="55">
        <f>IF(OR($B1293="",$F1293="",$R1293=""),"",SUMIFS(tblIssues[Qty Issued],tblIssues[Staff ID],$B1293,tblIssues[Item Name],$F1293,tblIssues[Month],$R1293))</f>
        <v>2</v>
      </c>
      <c r="T1293" s="56">
        <f>IF($I1293="","",$I1293*Settings!$C$11)</f>
        <v>1</v>
      </c>
      <c r="U1293" s="57" t="str">
        <f t="shared" si="227"/>
        <v>⚠ OVER QUOTA</v>
      </c>
      <c r="V1293" s="55" t="str">
        <f t="shared" si="220"/>
        <v>PSW-030-A4 | Hand Sanitizer OS | 2026-06</v>
      </c>
      <c r="W1293" s="55" t="str">
        <f>IF($V1293="","",IF(COUNTIF($V$5:$V1293,$V1293)=1,1,""))</f>
        <v/>
      </c>
      <c r="X1293" s="58" t="str">
        <f>IF($W1293="","",MAX($X$4:X1292)+1)</f>
        <v/>
      </c>
      <c r="Y1293" s="62"/>
      <c r="Z1293" s="62"/>
      <c r="AA1293" s="64" t="str">
        <f>IF($C1293="","",IFERROR(INDEX('Staff Directory'!$E$5:$E$594,MATCH($C1293,'Staff Directory'!$B$5:$B$594,0)),""))</f>
        <v>firstname089.lastname089@example.com</v>
      </c>
      <c r="AB1293" s="64" t="str">
        <f>IF($C1293="","",IF(ISNUMBER(SEARCH($D1293,Settings!$C$15)),"Pickup","Dispatch"))</f>
        <v>Pickup</v>
      </c>
      <c r="AC1293" s="64" t="str">
        <f t="shared" si="221"/>
        <v>Supply order ready for pickup</v>
      </c>
      <c r="AD1293" s="64" t="str">
        <f t="shared" si="223"/>
        <v>Dear PSW,
Your order is ready for pickup from Sample Branch, Wed-Fri 9am-4pm.</v>
      </c>
      <c r="AE1293" s="64" t="str">
        <f t="shared" si="224"/>
        <v>mailto:firstname089.lastname089@example.com?subject=Supply%20order%20ready%20for%20pickup&amp;body=Dear%20PSW%2C%0A%0AYour%20order%20is%20ready%20for%20pickup%20from%20Sample%20Branch%2C%20Wed-Fri%209am-4pm.</v>
      </c>
      <c r="AF1293" s="89" t="str">
        <f t="shared" si="222"/>
        <v>Draft email</v>
      </c>
      <c r="AG1293" s="64" t="str">
        <f>IF($C1293="","",IFERROR(INDEX('Staff Directory'!$K$595:$K$599,MATCH($C1293,'Staff Directory'!$B$5:$B$599,0)),$D1293))</f>
        <v>PSW</v>
      </c>
      <c r="AH1293" t="str">
        <f>IF($C1293="","",IFERROR(INDEX('Staff Directory'!$I$595:$I$599,MATCH($C1293,'Staff Directory'!$B$5:$B$599,0))&amp;" "&amp;INDEX('Staff Directory'!$J$595:$J$599,MATCH($C1293,'Staff Directory'!$B$5:$B$599,0)),$AG1293))</f>
        <v>PSW</v>
      </c>
      <c r="AI1293" s="102"/>
      <c r="AJ1293" s="101">
        <f>IF($F1293="","",SUMIFS($J$5:$J1293,$F$5:$F1293,$F1293))</f>
        <v>168</v>
      </c>
      <c r="AK1293" s="101">
        <f t="shared" si="225"/>
        <v>168</v>
      </c>
      <c r="AL1293" s="66" t="str" cm="1">
        <f t="array" ref="AL1293">IF($F1293="","",IFERROR(INDEX('Lot Balance'!$B$5:$B$500,MATCH(1,INDEX(('Lot Balance'!$A$5:$A$500=$F1293)*('Lot Balance'!$K$5:$K$500&lt;$AK1293)*('Lot Balance'!$K$5:$K$500+'Lot Balance'!$D$5:$D$500&gt;=$AK1293),0),0)),""))</f>
        <v/>
      </c>
      <c r="AM1293" s="66" t="str" cm="1">
        <f t="array" ref="AM1293">IF($F1293="","",IFERROR(INDEX('Lot Balance'!$B$5:$B$500,MATCH(1,INDEX(('Lot Balance'!$A$5:$A$500=$F1293)*('Lot Balance'!$K$5:$K$500&lt;$AJ1293)*('Lot Balance'!$K$5:$K$500+'Lot Balance'!$D$5:$D$500&gt;=$AJ1293),0),0)),""))</f>
        <v/>
      </c>
      <c r="AN1293" s="66" t="str">
        <f>IF($F1293="","",IF($AI1293&lt;&gt;"",IF(COUNTIFS('Lot Balance'!$A$5:$A$500,$F1293,'Lot Balance'!$B$5:$B$500,$AI1293)=0,"⚠ override is not a lot of this item",IF($AI1293=$AL1293,"Override = FEFO","Override - FEFO says "&amp;$AL1293)),IF($AL1293="","⚠ no receipt on file for this item",IF($AM1293&lt;&gt;$AL1293,"FEFO auto - split, also "&amp;$AM1293,"FEFO auto"))))</f>
        <v>⚠ no receipt on file for this item</v>
      </c>
      <c r="AO1293" s="114"/>
    </row>
    <row r="1294" spans="1:41" x14ac:dyDescent="0.35">
      <c r="A1294" s="74">
        <v>46190</v>
      </c>
      <c r="B1294" s="18" t="str">
        <f>IF($C1294="","",IFERROR(INDEX('Staff Directory'!$A$5:$A$594,MATCH($C1294,'Staff Directory'!$B$5:$B$594,0)),"⚠ unknown staff"))</f>
        <v>PSW-030-A4</v>
      </c>
      <c r="C1294" s="49" t="s">
        <v>1005</v>
      </c>
      <c r="D1294" s="19" t="str">
        <f>IF($B1294="","",IFERROR(INDEX('Staff Directory'!$C$5:$C$594,MATCH($B1294,'Staff Directory'!$A$5:$A$594,0)),""))</f>
        <v>PSW</v>
      </c>
      <c r="E1294" s="19" t="str">
        <f>IF($B1294="","",IFERROR(INDEX('Staff Directory'!$D$5:$D$594,MATCH($B1294,'Staff Directory'!$A$5:$A$594,0)),""))</f>
        <v>A4</v>
      </c>
      <c r="F1294" s="9" t="s">
        <v>115</v>
      </c>
      <c r="G1294" s="18" t="str">
        <f>IF($F1294="","",IFERROR(INDEX(Items!$B$5:$B$597,MATCH($F1294,Items!$A$5:$A$597,0)),"⚠ not in Items"))</f>
        <v>Wipes</v>
      </c>
      <c r="H1294" s="19">
        <f>IF($F1294="","",IFERROR(INDEX(Items!$C$5:$C$597,MATCH($F1294,Items!$A$5:$A$597,0)),""))</f>
        <v>80</v>
      </c>
      <c r="I1294" s="23">
        <f>IF($F1294="","",IFERROR(INDEX(Items!$E$5:$E$597,MATCH($F1294,Items!$A$5:$A$597,0)),""))</f>
        <v>80</v>
      </c>
      <c r="J1294" s="115">
        <f>IF(tblIssues[[#This Row],[Qty Override]]&lt;&gt;"",tblIssues[[#This Row],[Qty Override]],IF(tblIssues[[#This Row],[Standard Issue]]="","",tblIssues[[#This Row],[Standard Issue]]))</f>
        <v>80</v>
      </c>
      <c r="K1294" s="20">
        <f>IF($F1294="","",IFERROR(INDEX(Items!$D$5:$D$597,MATCH($F1294,Items!$A$5:$A$597,0)),""))</f>
        <v>0.1</v>
      </c>
      <c r="L1294" s="21">
        <f t="shared" si="228"/>
        <v>8</v>
      </c>
      <c r="M1294" s="9" t="str">
        <f t="shared" si="226"/>
        <v>LYSL500290</v>
      </c>
      <c r="N1294" s="24">
        <f>IF($A1294="","",WORKDAY($A1294,Settings!$C$9,HolidayDates))</f>
        <v>46198</v>
      </c>
      <c r="O1294" s="24">
        <f>IF($N1294="","",WORKDAY($N1294,Settings!$C$10,HolidayDates))</f>
        <v>46238</v>
      </c>
      <c r="P1294" s="10" t="s">
        <v>501</v>
      </c>
      <c r="Q1294" s="52" t="str">
        <f t="shared" ref="Q1294:Q1357" si="229">IF($A1294="","",IF($P1294&lt;&gt;"","Collected","Pending"))</f>
        <v>Collected</v>
      </c>
      <c r="R1294" s="55" t="str">
        <f t="shared" ref="R1294:R1357" si="230">IF($A1294="","",TEXT($A1294,"yyyy-mm"))</f>
        <v>2026-06</v>
      </c>
      <c r="S1294" s="55">
        <f>IF(OR($B1294="",$F1294="",$R1294=""),"",SUMIFS(tblIssues[Qty Issued],tblIssues[Staff ID],$B1294,tblIssues[Item Name],$F1294,tblIssues[Month],$R1294))</f>
        <v>80</v>
      </c>
      <c r="T1294" s="56">
        <f>IF($I1294="","",$I1294*Settings!$C$11)</f>
        <v>80</v>
      </c>
      <c r="U1294" s="57" t="str">
        <f t="shared" si="227"/>
        <v>OK</v>
      </c>
      <c r="V1294" s="55" t="str">
        <f t="shared" ref="V1294:V1357" si="231">IF($U1294="⚠ OVER QUOTA",$B1294&amp;" | "&amp;$F1294&amp;" | "&amp;$R1294,"")</f>
        <v/>
      </c>
      <c r="W1294" s="55" t="str">
        <f>IF($V1294="","",IF(COUNTIF($V$5:$V1294,$V1294)=1,1,""))</f>
        <v/>
      </c>
      <c r="X1294" s="58" t="str">
        <f>IF($W1294="","",MAX($X$4:X1293)+1)</f>
        <v/>
      </c>
      <c r="Y1294" s="62"/>
      <c r="Z1294" s="62"/>
      <c r="AA1294" s="64" t="str">
        <f>IF($C1294="","",IFERROR(INDEX('Staff Directory'!$E$5:$E$594,MATCH($C1294,'Staff Directory'!$B$5:$B$594,0)),""))</f>
        <v>firstname089.lastname089@example.com</v>
      </c>
      <c r="AB1294" s="64" t="str">
        <f>IF($C1294="","",IF(ISNUMBER(SEARCH($D1294,Settings!$C$15)),"Pickup","Dispatch"))</f>
        <v>Pickup</v>
      </c>
      <c r="AC1294" s="64" t="str">
        <f t="shared" ref="AC1294:AC1357" si="232">IF($AB1294="Pickup","Supply order ready for pickup",IF($AB1294="Dispatch","Supply order dispatched",""))</f>
        <v>Supply order ready for pickup</v>
      </c>
      <c r="AD1294" s="64" t="str">
        <f t="shared" si="223"/>
        <v>Dear PSW,
Your order is ready for pickup from Sample Branch, Wed-Fri 9am-4pm.</v>
      </c>
      <c r="AE1294" s="64" t="str">
        <f t="shared" si="224"/>
        <v>mailto:firstname089.lastname089@example.com?subject=Supply%20order%20ready%20for%20pickup&amp;body=Dear%20PSW%2C%0A%0AYour%20order%20is%20ready%20for%20pickup%20from%20Sample%20Branch%2C%20Wed-Fri%209am-4pm.</v>
      </c>
      <c r="AF1294" s="89" t="str">
        <f t="shared" ref="AF1294:AF1357" si="233">IF(AE1294="","",HYPERLINK(AE1294,"Draft email"))</f>
        <v>Draft email</v>
      </c>
      <c r="AG1294" s="64" t="str">
        <f>IF($C1294="","",IFERROR(INDEX('Staff Directory'!$K$595:$K$599,MATCH($C1294,'Staff Directory'!$B$5:$B$599,0)),$D1294))</f>
        <v>PSW</v>
      </c>
      <c r="AH1294" t="str">
        <f>IF($C1294="","",IFERROR(INDEX('Staff Directory'!$I$595:$I$599,MATCH($C1294,'Staff Directory'!$B$5:$B$599,0))&amp;" "&amp;INDEX('Staff Directory'!$J$595:$J$599,MATCH($C1294,'Staff Directory'!$B$5:$B$599,0)),$AG1294))</f>
        <v>PSW</v>
      </c>
      <c r="AI1294" s="102"/>
      <c r="AJ1294" s="101">
        <f>IF($F1294="","",SUMIFS($J$5:$J1294,$F$5:$F1294,$F1294))</f>
        <v>17840</v>
      </c>
      <c r="AK1294" s="101">
        <f t="shared" si="225"/>
        <v>17761</v>
      </c>
      <c r="AL1294" s="66" t="str" cm="1">
        <f t="array" ref="AL1294">IF($F1294="","",IFERROR(INDEX('Lot Balance'!$B$5:$B$500,MATCH(1,INDEX(('Lot Balance'!$A$5:$A$500=$F1294)*('Lot Balance'!$K$5:$K$500&lt;$AK1294)*('Lot Balance'!$K$5:$K$500+'Lot Balance'!$D$5:$D$500&gt;=$AK1294),0),0)),""))</f>
        <v>LYSL500290</v>
      </c>
      <c r="AM1294" s="66" t="str" cm="1">
        <f t="array" ref="AM1294">IF($F1294="","",IFERROR(INDEX('Lot Balance'!$B$5:$B$500,MATCH(1,INDEX(('Lot Balance'!$A$5:$A$500=$F1294)*('Lot Balance'!$K$5:$K$500&lt;$AJ1294)*('Lot Balance'!$K$5:$K$500+'Lot Balance'!$D$5:$D$500&gt;=$AJ1294),0),0)),""))</f>
        <v>LYSL500290</v>
      </c>
      <c r="AN1294" s="66" t="str">
        <f>IF($F1294="","",IF($AI1294&lt;&gt;"",IF(COUNTIFS('Lot Balance'!$A$5:$A$500,$F1294,'Lot Balance'!$B$5:$B$500,$AI1294)=0,"⚠ override is not a lot of this item",IF($AI1294=$AL1294,"Override = FEFO","Override - FEFO says "&amp;$AL1294)),IF($AL1294="","⚠ no receipt on file for this item",IF($AM1294&lt;&gt;$AL1294,"FEFO auto - split, also "&amp;$AM1294,"FEFO auto"))))</f>
        <v>FEFO auto</v>
      </c>
      <c r="AO1294" s="114"/>
    </row>
    <row r="1295" spans="1:41" x14ac:dyDescent="0.35">
      <c r="A1295" s="74">
        <v>46190</v>
      </c>
      <c r="B1295" s="18" t="str">
        <f>IF($C1295="","",IFERROR(INDEX('Staff Directory'!$A$5:$A$594,MATCH($C1295,'Staff Directory'!$B$5:$B$594,0)),"⚠ unknown staff"))</f>
        <v>PSW-030-A4</v>
      </c>
      <c r="C1295" s="49" t="s">
        <v>1005</v>
      </c>
      <c r="D1295" s="19" t="str">
        <f>IF($B1295="","",IFERROR(INDEX('Staff Directory'!$C$5:$C$594,MATCH($B1295,'Staff Directory'!$A$5:$A$594,0)),""))</f>
        <v>PSW</v>
      </c>
      <c r="E1295" s="19" t="str">
        <f>IF($B1295="","",IFERROR(INDEX('Staff Directory'!$D$5:$D$594,MATCH($B1295,'Staff Directory'!$A$5:$A$594,0)),""))</f>
        <v>A4</v>
      </c>
      <c r="F1295" s="9" t="s">
        <v>156</v>
      </c>
      <c r="G1295" s="18" t="str">
        <f>IF($F1295="","",IFERROR(INDEX(Items!$B$5:$B$597,MATCH($F1295,Items!$A$5:$A$597,0)),"⚠ not in Items"))</f>
        <v>Masks</v>
      </c>
      <c r="H1295" s="19" t="str">
        <f>IF($F1295="","",IFERROR(INDEX(Items!$C$5:$C$597,MATCH($F1295,Items!$A$5:$A$597,0)),""))</f>
        <v>One Size</v>
      </c>
      <c r="I1295" s="23">
        <f>IF($F1295="","",IFERROR(INDEX(Items!$E$5:$E$597,MATCH($F1295,Items!$A$5:$A$597,0)),""))</f>
        <v>50</v>
      </c>
      <c r="J1295" s="115">
        <f>IF(tblIssues[[#This Row],[Qty Override]]&lt;&gt;"",tblIssues[[#This Row],[Qty Override]],IF(tblIssues[[#This Row],[Standard Issue]]="","",tblIssues[[#This Row],[Standard Issue]]))</f>
        <v>50</v>
      </c>
      <c r="K1295" s="20">
        <f>IF($F1295="","",IFERROR(INDEX(Items!$D$5:$D$597,MATCH($F1295,Items!$A$5:$A$597,0)),""))</f>
        <v>0.25</v>
      </c>
      <c r="L1295" s="21">
        <f t="shared" si="228"/>
        <v>12.5</v>
      </c>
      <c r="M1295" s="9" t="str">
        <f t="shared" si="226"/>
        <v>102GPC24</v>
      </c>
      <c r="N1295" s="24">
        <f>IF($A1295="","",WORKDAY($A1295,Settings!$C$9,HolidayDates))</f>
        <v>46198</v>
      </c>
      <c r="O1295" s="24">
        <f>IF($N1295="","",WORKDAY($N1295,Settings!$C$10,HolidayDates))</f>
        <v>46238</v>
      </c>
      <c r="P1295" s="10" t="s">
        <v>501</v>
      </c>
      <c r="Q1295" s="52" t="str">
        <f t="shared" si="229"/>
        <v>Collected</v>
      </c>
      <c r="R1295" s="55" t="str">
        <f t="shared" si="230"/>
        <v>2026-06</v>
      </c>
      <c r="S1295" s="55">
        <f>IF(OR($B1295="",$F1295="",$R1295=""),"",SUMIFS(tblIssues[Qty Issued],tblIssues[Staff ID],$B1295,tblIssues[Item Name],$F1295,tblIssues[Month],$R1295))</f>
        <v>50</v>
      </c>
      <c r="T1295" s="56">
        <f>IF($I1295="","",$I1295*Settings!$C$11)</f>
        <v>50</v>
      </c>
      <c r="U1295" s="57" t="str">
        <f t="shared" si="227"/>
        <v>OK</v>
      </c>
      <c r="V1295" s="55" t="str">
        <f t="shared" si="231"/>
        <v/>
      </c>
      <c r="W1295" s="55" t="str">
        <f>IF($V1295="","",IF(COUNTIF($V$5:$V1295,$V1295)=1,1,""))</f>
        <v/>
      </c>
      <c r="X1295" s="58" t="str">
        <f>IF($W1295="","",MAX($X$4:X1294)+1)</f>
        <v/>
      </c>
      <c r="Y1295" s="62"/>
      <c r="Z1295" s="62"/>
      <c r="AA1295" s="64" t="str">
        <f>IF($C1295="","",IFERROR(INDEX('Staff Directory'!$E$5:$E$594,MATCH($C1295,'Staff Directory'!$B$5:$B$594,0)),""))</f>
        <v>firstname089.lastname089@example.com</v>
      </c>
      <c r="AB1295" s="64" t="str">
        <f>IF($C1295="","",IF(ISNUMBER(SEARCH($D1295,Settings!$C$15)),"Pickup","Dispatch"))</f>
        <v>Pickup</v>
      </c>
      <c r="AC1295" s="64" t="str">
        <f t="shared" si="232"/>
        <v>Supply order ready for pickup</v>
      </c>
      <c r="AD1295" s="64" t="str">
        <f t="shared" si="223"/>
        <v>Dear PSW,
Your order is ready for pickup from Sample Branch, Wed-Fri 9am-4pm.</v>
      </c>
      <c r="AE1295" s="64" t="str">
        <f t="shared" si="224"/>
        <v>mailto:firstname089.lastname089@example.com?subject=Supply%20order%20ready%20for%20pickup&amp;body=Dear%20PSW%2C%0A%0AYour%20order%20is%20ready%20for%20pickup%20from%20Sample%20Branch%2C%20Wed-Fri%209am-4pm.</v>
      </c>
      <c r="AF1295" s="89" t="str">
        <f t="shared" si="233"/>
        <v>Draft email</v>
      </c>
      <c r="AG1295" s="64" t="str">
        <f>IF($C1295="","",IFERROR(INDEX('Staff Directory'!$K$595:$K$599,MATCH($C1295,'Staff Directory'!$B$5:$B$599,0)),$D1295))</f>
        <v>PSW</v>
      </c>
      <c r="AH1295" t="str">
        <f>IF($C1295="","",IFERROR(INDEX('Staff Directory'!$I$595:$I$599,MATCH($C1295,'Staff Directory'!$B$5:$B$599,0))&amp;" "&amp;INDEX('Staff Directory'!$J$595:$J$599,MATCH($C1295,'Staff Directory'!$B$5:$B$599,0)),$AG1295))</f>
        <v>PSW</v>
      </c>
      <c r="AI1295" s="102"/>
      <c r="AJ1295" s="101">
        <f>IF($F1295="","",SUMIFS($J$5:$J1295,$F$5:$F1295,$F1295))</f>
        <v>10950</v>
      </c>
      <c r="AK1295" s="101">
        <f t="shared" si="225"/>
        <v>10901</v>
      </c>
      <c r="AL1295" s="66" t="str" cm="1">
        <f t="array" ref="AL1295">IF($F1295="","",IFERROR(INDEX('Lot Balance'!$B$5:$B$500,MATCH(1,INDEX(('Lot Balance'!$A$5:$A$500=$F1295)*('Lot Balance'!$K$5:$K$500&lt;$AK1295)*('Lot Balance'!$K$5:$K$500+'Lot Balance'!$D$5:$D$500&gt;=$AK1295),0),0)),""))</f>
        <v>102GPC24</v>
      </c>
      <c r="AM1295" s="66" t="str" cm="1">
        <f t="array" ref="AM1295">IF($F1295="","",IFERROR(INDEX('Lot Balance'!$B$5:$B$500,MATCH(1,INDEX(('Lot Balance'!$A$5:$A$500=$F1295)*('Lot Balance'!$K$5:$K$500&lt;$AJ1295)*('Lot Balance'!$K$5:$K$500+'Lot Balance'!$D$5:$D$500&gt;=$AJ1295),0),0)),""))</f>
        <v>102GPC24</v>
      </c>
      <c r="AN1295" s="66" t="str">
        <f>IF($F1295="","",IF($AI1295&lt;&gt;"",IF(COUNTIFS('Lot Balance'!$A$5:$A$500,$F1295,'Lot Balance'!$B$5:$B$500,$AI1295)=0,"⚠ override is not a lot of this item",IF($AI1295=$AL1295,"Override = FEFO","Override - FEFO says "&amp;$AL1295)),IF($AL1295="","⚠ no receipt on file for this item",IF($AM1295&lt;&gt;$AL1295,"FEFO auto - split, also "&amp;$AM1295,"FEFO auto"))))</f>
        <v>FEFO auto</v>
      </c>
      <c r="AO1295" s="114"/>
    </row>
    <row r="1296" spans="1:41" x14ac:dyDescent="0.35">
      <c r="A1296" s="74">
        <v>46190</v>
      </c>
      <c r="B1296" s="18" t="str">
        <f>IF($C1296="","",IFERROR(INDEX('Staff Directory'!$A$5:$A$594,MATCH($C1296,'Staff Directory'!$B$5:$B$594,0)),"⚠ unknown staff"))</f>
        <v>RN-040-A2</v>
      </c>
      <c r="C1296" s="49" t="s">
        <v>962</v>
      </c>
      <c r="D1296" s="19" t="str">
        <f>IF($B1296="","",IFERROR(INDEX('Staff Directory'!$C$5:$C$594,MATCH($B1296,'Staff Directory'!$A$5:$A$594,0)),""))</f>
        <v>RN</v>
      </c>
      <c r="E1296" s="19" t="str">
        <f>IF($B1296="","",IFERROR(INDEX('Staff Directory'!$D$5:$D$594,MATCH($B1296,'Staff Directory'!$A$5:$A$594,0)),""))</f>
        <v>A2</v>
      </c>
      <c r="F1296" s="9" t="s">
        <v>127</v>
      </c>
      <c r="G1296" s="18" t="str">
        <f>IF($F1296="","",IFERROR(INDEX(Items!$B$5:$B$597,MATCH($F1296,Items!$A$5:$A$597,0)),"⚠ not in Items"))</f>
        <v>Gloves</v>
      </c>
      <c r="H1296" s="19" t="str">
        <f>IF($F1296="","",IFERROR(INDEX(Items!$C$5:$C$597,MATCH($F1296,Items!$A$5:$A$597,0)),""))</f>
        <v>Medium</v>
      </c>
      <c r="I1296" s="23">
        <f>IF($F1296="","",IFERROR(INDEX(Items!$E$5:$E$597,MATCH($F1296,Items!$A$5:$A$597,0)),""))</f>
        <v>500</v>
      </c>
      <c r="J1296" s="115">
        <f>IF(tblIssues[[#This Row],[Qty Override]]&lt;&gt;"",tblIssues[[#This Row],[Qty Override]],IF(tblIssues[[#This Row],[Standard Issue]]="","",tblIssues[[#This Row],[Standard Issue]]))</f>
        <v>500</v>
      </c>
      <c r="K1296" s="20">
        <f>IF($F1296="","",IFERROR(INDEX(Items!$D$5:$D$597,MATCH($F1296,Items!$A$5:$A$597,0)),""))</f>
        <v>5.5E-2</v>
      </c>
      <c r="L1296" s="21">
        <f t="shared" si="228"/>
        <v>27.5</v>
      </c>
      <c r="M1296" s="9" t="str">
        <f t="shared" si="226"/>
        <v>ZIM510137962-1</v>
      </c>
      <c r="N1296" s="24">
        <f>IF($A1296="","",WORKDAY($A1296,Settings!$C$9,HolidayDates))</f>
        <v>46198</v>
      </c>
      <c r="O1296" s="24">
        <f>IF($N1296="","",WORKDAY($N1296,Settings!$C$10,HolidayDates))</f>
        <v>46238</v>
      </c>
      <c r="P1296" s="10" t="s">
        <v>502</v>
      </c>
      <c r="Q1296" s="52" t="str">
        <f t="shared" si="229"/>
        <v>Collected</v>
      </c>
      <c r="R1296" s="55" t="str">
        <f t="shared" si="230"/>
        <v>2026-06</v>
      </c>
      <c r="S1296" s="55">
        <f>IF(OR($B1296="",$F1296="",$R1296=""),"",SUMIFS(tblIssues[Qty Issued],tblIssues[Staff ID],$B1296,tblIssues[Item Name],$F1296,tblIssues[Month],$R1296))</f>
        <v>500</v>
      </c>
      <c r="T1296" s="56">
        <f>IF($I1296="","",$I1296*Settings!$C$11)</f>
        <v>500</v>
      </c>
      <c r="U1296" s="57" t="str">
        <f t="shared" si="227"/>
        <v>OK</v>
      </c>
      <c r="V1296" s="55" t="str">
        <f t="shared" si="231"/>
        <v/>
      </c>
      <c r="W1296" s="55" t="str">
        <f>IF($V1296="","",IF(COUNTIF($V$5:$V1296,$V1296)=1,1,""))</f>
        <v/>
      </c>
      <c r="X1296" s="58" t="str">
        <f>IF($W1296="","",MAX($X$4:X1295)+1)</f>
        <v/>
      </c>
      <c r="Y1296" s="62"/>
      <c r="Z1296" s="62"/>
      <c r="AA1296" s="64" t="str">
        <f>IF($C1296="","",IFERROR(INDEX('Staff Directory'!$E$5:$E$594,MATCH($C1296,'Staff Directory'!$B$5:$B$594,0)),""))</f>
        <v>firstname046.lastname046@example.com</v>
      </c>
      <c r="AB1296" s="64" t="str">
        <f>IF($C1296="","",IF(ISNUMBER(SEARCH($D1296,Settings!$C$15)),"Pickup","Dispatch"))</f>
        <v>Dispatch</v>
      </c>
      <c r="AC1296" s="64" t="str">
        <f t="shared" si="232"/>
        <v>Supply order dispatched</v>
      </c>
      <c r="AD1296" s="64" t="str">
        <f t="shared" si="223"/>
        <v>Dear RN,
Your order has been dispatched and is in transit. Reply if undelivered.</v>
      </c>
      <c r="AE1296" s="64" t="str">
        <f t="shared" si="224"/>
        <v>mailto:firstname046.lastname046@example.com?subject=Supply%20order%20dispatched&amp;body=Dear%20RN%2C%0A%0AYour%20order%20has%20been%20dispatched%20and%20is%20in%20transit.%20Reply%20if%20undelivered.</v>
      </c>
      <c r="AF1296" s="89" t="str">
        <f t="shared" si="233"/>
        <v>Draft email</v>
      </c>
      <c r="AG1296" s="64" t="str">
        <f>IF($C1296="","",IFERROR(INDEX('Staff Directory'!$K$595:$K$599,MATCH($C1296,'Staff Directory'!$B$5:$B$599,0)),$D1296))</f>
        <v>RN</v>
      </c>
      <c r="AH1296" t="str">
        <f>IF($C1296="","",IFERROR(INDEX('Staff Directory'!$I$595:$I$599,MATCH($C1296,'Staff Directory'!$B$5:$B$599,0))&amp;" "&amp;INDEX('Staff Directory'!$J$595:$J$599,MATCH($C1296,'Staff Directory'!$B$5:$B$599,0)),$AG1296))</f>
        <v>RN</v>
      </c>
      <c r="AI1296" s="102"/>
      <c r="AJ1296" s="101">
        <f>IF($F1296="","",SUMIFS($J$5:$J1296,$F$5:$F1296,$F1296))</f>
        <v>80000</v>
      </c>
      <c r="AK1296" s="101">
        <f t="shared" si="225"/>
        <v>79501</v>
      </c>
      <c r="AL1296" s="66" t="str" cm="1">
        <f t="array" ref="AL1296">IF($F1296="","",IFERROR(INDEX('Lot Balance'!$B$5:$B$500,MATCH(1,INDEX(('Lot Balance'!$A$5:$A$500=$F1296)*('Lot Balance'!$K$5:$K$500&lt;$AK1296)*('Lot Balance'!$K$5:$K$500+'Lot Balance'!$D$5:$D$500&gt;=$AK1296),0),0)),""))</f>
        <v>ZIM510137962-1</v>
      </c>
      <c r="AM1296" s="66" t="str" cm="1">
        <f t="array" ref="AM1296">IF($F1296="","",IFERROR(INDEX('Lot Balance'!$B$5:$B$500,MATCH(1,INDEX(('Lot Balance'!$A$5:$A$500=$F1296)*('Lot Balance'!$K$5:$K$500&lt;$AJ1296)*('Lot Balance'!$K$5:$K$500+'Lot Balance'!$D$5:$D$500&gt;=$AJ1296),0),0)),""))</f>
        <v>ZIM510137962-1</v>
      </c>
      <c r="AN1296" s="66" t="str">
        <f>IF($F1296="","",IF($AI1296&lt;&gt;"",IF(COUNTIFS('Lot Balance'!$A$5:$A$500,$F1296,'Lot Balance'!$B$5:$B$500,$AI1296)=0,"⚠ override is not a lot of this item",IF($AI1296=$AL1296,"Override = FEFO","Override - FEFO says "&amp;$AL1296)),IF($AL1296="","⚠ no receipt on file for this item",IF($AM1296&lt;&gt;$AL1296,"FEFO auto - split, also "&amp;$AM1296,"FEFO auto"))))</f>
        <v>FEFO auto</v>
      </c>
      <c r="AO1296" s="114"/>
    </row>
    <row r="1297" spans="1:41" x14ac:dyDescent="0.35">
      <c r="A1297" s="74">
        <v>46190</v>
      </c>
      <c r="B1297" s="18" t="str">
        <f>IF($C1297="","",IFERROR(INDEX('Staff Directory'!$A$5:$A$594,MATCH($C1297,'Staff Directory'!$B$5:$B$594,0)),"⚠ unknown staff"))</f>
        <v>RN-040-A2</v>
      </c>
      <c r="C1297" s="49" t="s">
        <v>962</v>
      </c>
      <c r="D1297" s="19" t="str">
        <f>IF($B1297="","",IFERROR(INDEX('Staff Directory'!$C$5:$C$594,MATCH($B1297,'Staff Directory'!$A$5:$A$594,0)),""))</f>
        <v>RN</v>
      </c>
      <c r="E1297" s="19" t="str">
        <f>IF($B1297="","",IFERROR(INDEX('Staff Directory'!$D$5:$D$594,MATCH($B1297,'Staff Directory'!$A$5:$A$594,0)),""))</f>
        <v>A2</v>
      </c>
      <c r="F1297" s="9" t="s">
        <v>191</v>
      </c>
      <c r="G1297" s="18" t="str">
        <f>IF($F1297="","",IFERROR(INDEX(Items!$B$5:$B$597,MATCH($F1297,Items!$A$5:$A$597,0)),"⚠ not in Items"))</f>
        <v>Sanitizer</v>
      </c>
      <c r="H1297" s="19" t="str">
        <f>IF($F1297="","",IFERROR(INDEX(Items!$C$5:$C$597,MATCH($F1297,Items!$A$5:$A$597,0)),""))</f>
        <v>236 ML</v>
      </c>
      <c r="I1297" s="23">
        <f>IF($F1297="","",IFERROR(INDEX(Items!$E$5:$E$597,MATCH($F1297,Items!$A$5:$A$597,0)),""))</f>
        <v>1</v>
      </c>
      <c r="J1297" s="115">
        <f>IF(tblIssues[[#This Row],[Qty Override]]&lt;&gt;"",tblIssues[[#This Row],[Qty Override]],IF(tblIssues[[#This Row],[Standard Issue]]="","",tblIssues[[#This Row],[Standard Issue]]))</f>
        <v>1</v>
      </c>
      <c r="K1297" s="20">
        <f>IF($F1297="","",IFERROR(INDEX(Items!$D$5:$D$597,MATCH($F1297,Items!$A$5:$A$597,0)),""))</f>
        <v>1E-4</v>
      </c>
      <c r="L1297" s="21">
        <f t="shared" si="228"/>
        <v>1E-4</v>
      </c>
      <c r="M1297" s="9" t="str">
        <f t="shared" si="226"/>
        <v/>
      </c>
      <c r="N1297" s="24">
        <f>IF($A1297="","",WORKDAY($A1297,Settings!$C$9,HolidayDates))</f>
        <v>46198</v>
      </c>
      <c r="O1297" s="24">
        <f>IF($N1297="","",WORKDAY($N1297,Settings!$C$10,HolidayDates))</f>
        <v>46238</v>
      </c>
      <c r="P1297" s="10" t="s">
        <v>502</v>
      </c>
      <c r="Q1297" s="52" t="str">
        <f t="shared" si="229"/>
        <v>Collected</v>
      </c>
      <c r="R1297" s="55" t="str">
        <f t="shared" si="230"/>
        <v>2026-06</v>
      </c>
      <c r="S1297" s="55">
        <f>IF(OR($B1297="",$F1297="",$R1297=""),"",SUMIFS(tblIssues[Qty Issued],tblIssues[Staff ID],$B1297,tblIssues[Item Name],$F1297,tblIssues[Month],$R1297))</f>
        <v>1</v>
      </c>
      <c r="T1297" s="56">
        <f>IF($I1297="","",$I1297*Settings!$C$11)</f>
        <v>1</v>
      </c>
      <c r="U1297" s="57" t="str">
        <f t="shared" si="227"/>
        <v>OK</v>
      </c>
      <c r="V1297" s="55" t="str">
        <f t="shared" si="231"/>
        <v/>
      </c>
      <c r="W1297" s="55" t="str">
        <f>IF($V1297="","",IF(COUNTIF($V$5:$V1297,$V1297)=1,1,""))</f>
        <v/>
      </c>
      <c r="X1297" s="58" t="str">
        <f>IF($W1297="","",MAX($X$4:X1296)+1)</f>
        <v/>
      </c>
      <c r="Y1297" s="62"/>
      <c r="Z1297" s="62"/>
      <c r="AA1297" s="64" t="str">
        <f>IF($C1297="","",IFERROR(INDEX('Staff Directory'!$E$5:$E$594,MATCH($C1297,'Staff Directory'!$B$5:$B$594,0)),""))</f>
        <v>firstname046.lastname046@example.com</v>
      </c>
      <c r="AB1297" s="64" t="str">
        <f>IF($C1297="","",IF(ISNUMBER(SEARCH($D1297,Settings!$C$15)),"Pickup","Dispatch"))</f>
        <v>Dispatch</v>
      </c>
      <c r="AC1297" s="64" t="str">
        <f t="shared" si="232"/>
        <v>Supply order dispatched</v>
      </c>
      <c r="AD1297" s="64" t="str">
        <f t="shared" si="223"/>
        <v>Dear RN,
Your order has been dispatched and is in transit. Reply if undelivered.</v>
      </c>
      <c r="AE1297" s="64" t="str">
        <f t="shared" si="224"/>
        <v>mailto:firstname046.lastname046@example.com?subject=Supply%20order%20dispatched&amp;body=Dear%20RN%2C%0A%0AYour%20order%20has%20been%20dispatched%20and%20is%20in%20transit.%20Reply%20if%20undelivered.</v>
      </c>
      <c r="AF1297" s="89" t="str">
        <f t="shared" si="233"/>
        <v>Draft email</v>
      </c>
      <c r="AG1297" s="64" t="str">
        <f>IF($C1297="","",IFERROR(INDEX('Staff Directory'!$K$595:$K$599,MATCH($C1297,'Staff Directory'!$B$5:$B$599,0)),$D1297))</f>
        <v>RN</v>
      </c>
      <c r="AH1297" t="str">
        <f>IF($C1297="","",IFERROR(INDEX('Staff Directory'!$I$595:$I$599,MATCH($C1297,'Staff Directory'!$B$5:$B$599,0))&amp;" "&amp;INDEX('Staff Directory'!$J$595:$J$599,MATCH($C1297,'Staff Directory'!$B$5:$B$599,0)),$AG1297))</f>
        <v>RN</v>
      </c>
      <c r="AI1297" s="102"/>
      <c r="AJ1297" s="101">
        <f>IF($F1297="","",SUMIFS($J$5:$J1297,$F$5:$F1297,$F1297))</f>
        <v>169</v>
      </c>
      <c r="AK1297" s="101">
        <f t="shared" si="225"/>
        <v>169</v>
      </c>
      <c r="AL1297" s="66" t="str" cm="1">
        <f t="array" ref="AL1297">IF($F1297="","",IFERROR(INDEX('Lot Balance'!$B$5:$B$500,MATCH(1,INDEX(('Lot Balance'!$A$5:$A$500=$F1297)*('Lot Balance'!$K$5:$K$500&lt;$AK1297)*('Lot Balance'!$K$5:$K$500+'Lot Balance'!$D$5:$D$500&gt;=$AK1297),0),0)),""))</f>
        <v/>
      </c>
      <c r="AM1297" s="66" t="str" cm="1">
        <f t="array" ref="AM1297">IF($F1297="","",IFERROR(INDEX('Lot Balance'!$B$5:$B$500,MATCH(1,INDEX(('Lot Balance'!$A$5:$A$500=$F1297)*('Lot Balance'!$K$5:$K$500&lt;$AJ1297)*('Lot Balance'!$K$5:$K$500+'Lot Balance'!$D$5:$D$500&gt;=$AJ1297),0),0)),""))</f>
        <v/>
      </c>
      <c r="AN1297" s="66" t="str">
        <f>IF($F1297="","",IF($AI1297&lt;&gt;"",IF(COUNTIFS('Lot Balance'!$A$5:$A$500,$F1297,'Lot Balance'!$B$5:$B$500,$AI1297)=0,"⚠ override is not a lot of this item",IF($AI1297=$AL1297,"Override = FEFO","Override - FEFO says "&amp;$AL1297)),IF($AL1297="","⚠ no receipt on file for this item",IF($AM1297&lt;&gt;$AL1297,"FEFO auto - split, also "&amp;$AM1297,"FEFO auto"))))</f>
        <v>⚠ no receipt on file for this item</v>
      </c>
      <c r="AO1297" s="114"/>
    </row>
    <row r="1298" spans="1:41" x14ac:dyDescent="0.35">
      <c r="A1298" s="74">
        <v>46190</v>
      </c>
      <c r="B1298" s="18" t="str">
        <f>IF($C1298="","",IFERROR(INDEX('Staff Directory'!$A$5:$A$594,MATCH($C1298,'Staff Directory'!$B$5:$B$594,0)),"⚠ unknown staff"))</f>
        <v>RN-040-A2</v>
      </c>
      <c r="C1298" s="49" t="s">
        <v>962</v>
      </c>
      <c r="D1298" s="19" t="str">
        <f>IF($B1298="","",IFERROR(INDEX('Staff Directory'!$C$5:$C$594,MATCH($B1298,'Staff Directory'!$A$5:$A$594,0)),""))</f>
        <v>RN</v>
      </c>
      <c r="E1298" s="19" t="str">
        <f>IF($B1298="","",IFERROR(INDEX('Staff Directory'!$D$5:$D$594,MATCH($B1298,'Staff Directory'!$A$5:$A$594,0)),""))</f>
        <v>A2</v>
      </c>
      <c r="F1298" s="9" t="s">
        <v>757</v>
      </c>
      <c r="G1298" s="18" t="str">
        <f>IF($F1298="","",IFERROR(INDEX(Items!$B$5:$B$597,MATCH($F1298,Items!$A$5:$A$597,0)),"⚠ not in Items"))</f>
        <v>Documents</v>
      </c>
      <c r="H1298" s="19" t="str">
        <f>IF($F1298="","",IFERROR(INDEX(Items!$C$5:$C$597,MATCH($F1298,Items!$A$5:$A$597,0)),""))</f>
        <v>Standard</v>
      </c>
      <c r="I1298" s="23">
        <f>IF($F1298="","",IFERROR(INDEX(Items!$E$5:$E$597,MATCH($F1298,Items!$A$5:$A$597,0)),""))</f>
        <v>10</v>
      </c>
      <c r="J1298" s="115">
        <f>IF(tblIssues[[#This Row],[Qty Override]]&lt;&gt;"",tblIssues[[#This Row],[Qty Override]],IF(tblIssues[[#This Row],[Standard Issue]]="","",tblIssues[[#This Row],[Standard Issue]]))</f>
        <v>10</v>
      </c>
      <c r="K1298" s="20">
        <f>IF($F1298="","",IFERROR(INDEX(Items!$D$5:$D$597,MATCH($F1298,Items!$A$5:$A$597,0)),""))</f>
        <v>0</v>
      </c>
      <c r="L1298" s="21">
        <f t="shared" si="228"/>
        <v>0</v>
      </c>
      <c r="M1298" s="9" t="str">
        <f t="shared" si="226"/>
        <v/>
      </c>
      <c r="N1298" s="24">
        <f>IF($A1298="","",WORKDAY($A1298,Settings!$C$9,HolidayDates))</f>
        <v>46198</v>
      </c>
      <c r="O1298" s="24">
        <f>IF($N1298="","",WORKDAY($N1298,Settings!$C$10,HolidayDates))</f>
        <v>46238</v>
      </c>
      <c r="P1298" s="10" t="s">
        <v>502</v>
      </c>
      <c r="Q1298" s="52" t="str">
        <f t="shared" si="229"/>
        <v>Collected</v>
      </c>
      <c r="R1298" s="55" t="str">
        <f t="shared" si="230"/>
        <v>2026-06</v>
      </c>
      <c r="S1298" s="55">
        <f>IF(OR($B1298="",$F1298="",$R1298=""),"",SUMIFS(tblIssues[Qty Issued],tblIssues[Staff ID],$B1298,tblIssues[Item Name],$F1298,tblIssues[Month],$R1298))</f>
        <v>10</v>
      </c>
      <c r="T1298" s="56">
        <f>IF($I1298="","",$I1298*Settings!$C$11)</f>
        <v>10</v>
      </c>
      <c r="U1298" s="57" t="str">
        <f t="shared" si="227"/>
        <v>OK</v>
      </c>
      <c r="V1298" s="55" t="str">
        <f t="shared" si="231"/>
        <v/>
      </c>
      <c r="W1298" s="55" t="str">
        <f>IF($V1298="","",IF(COUNTIF($V$5:$V1298,$V1298)=1,1,""))</f>
        <v/>
      </c>
      <c r="X1298" s="58" t="str">
        <f>IF($W1298="","",MAX($X$4:X1297)+1)</f>
        <v/>
      </c>
      <c r="Y1298" s="62"/>
      <c r="Z1298" s="62"/>
      <c r="AA1298" s="64" t="str">
        <f>IF($C1298="","",IFERROR(INDEX('Staff Directory'!$E$5:$E$594,MATCH($C1298,'Staff Directory'!$B$5:$B$594,0)),""))</f>
        <v>firstname046.lastname046@example.com</v>
      </c>
      <c r="AB1298" s="64" t="str">
        <f>IF($C1298="","",IF(ISNUMBER(SEARCH($D1298,Settings!$C$15)),"Pickup","Dispatch"))</f>
        <v>Dispatch</v>
      </c>
      <c r="AC1298" s="64" t="str">
        <f t="shared" si="232"/>
        <v>Supply order dispatched</v>
      </c>
      <c r="AD1298" s="64" t="str">
        <f t="shared" si="223"/>
        <v>Dear RN,
Your order has been dispatched and is in transit. Reply if undelivered.</v>
      </c>
      <c r="AE1298" s="64" t="str">
        <f t="shared" si="224"/>
        <v>mailto:firstname046.lastname046@example.com?subject=Supply%20order%20dispatched&amp;body=Dear%20RN%2C%0A%0AYour%20order%20has%20been%20dispatched%20and%20is%20in%20transit.%20Reply%20if%20undelivered.</v>
      </c>
      <c r="AF1298" s="89" t="str">
        <f t="shared" si="233"/>
        <v>Draft email</v>
      </c>
      <c r="AG1298" s="64" t="str">
        <f>IF($C1298="","",IFERROR(INDEX('Staff Directory'!$K$595:$K$599,MATCH($C1298,'Staff Directory'!$B$5:$B$599,0)),$D1298))</f>
        <v>RN</v>
      </c>
      <c r="AH1298" t="str">
        <f>IF($C1298="","",IFERROR(INDEX('Staff Directory'!$I$595:$I$599,MATCH($C1298,'Staff Directory'!$B$5:$B$599,0))&amp;" "&amp;INDEX('Staff Directory'!$J$595:$J$599,MATCH($C1298,'Staff Directory'!$B$5:$B$599,0)),$AG1298))</f>
        <v>RN</v>
      </c>
      <c r="AI1298" s="102"/>
      <c r="AJ1298" s="101">
        <f>IF($F1298="","",SUMIFS($J$5:$J1298,$F$5:$F1298,$F1298))</f>
        <v>660</v>
      </c>
      <c r="AK1298" s="101">
        <f t="shared" si="225"/>
        <v>651</v>
      </c>
      <c r="AL1298" s="66" t="str" cm="1">
        <f t="array" ref="AL1298">IF($F1298="","",IFERROR(INDEX('Lot Balance'!$B$5:$B$500,MATCH(1,INDEX(('Lot Balance'!$A$5:$A$500=$F1298)*('Lot Balance'!$K$5:$K$500&lt;$AK1298)*('Lot Balance'!$K$5:$K$500+'Lot Balance'!$D$5:$D$500&gt;=$AK1298),0),0)),""))</f>
        <v/>
      </c>
      <c r="AM1298" s="66" t="str" cm="1">
        <f t="array" ref="AM1298">IF($F1298="","",IFERROR(INDEX('Lot Balance'!$B$5:$B$500,MATCH(1,INDEX(('Lot Balance'!$A$5:$A$500=$F1298)*('Lot Balance'!$K$5:$K$500&lt;$AJ1298)*('Lot Balance'!$K$5:$K$500+'Lot Balance'!$D$5:$D$500&gt;=$AJ1298),0),0)),""))</f>
        <v/>
      </c>
      <c r="AN1298" s="66" t="str">
        <f>IF($F1298="","",IF($AI1298&lt;&gt;"",IF(COUNTIFS('Lot Balance'!$A$5:$A$500,$F1298,'Lot Balance'!$B$5:$B$500,$AI1298)=0,"⚠ override is not a lot of this item",IF($AI1298=$AL1298,"Override = FEFO","Override - FEFO says "&amp;$AL1298)),IF($AL1298="","⚠ no receipt on file for this item",IF($AM1298&lt;&gt;$AL1298,"FEFO auto - split, also "&amp;$AM1298,"FEFO auto"))))</f>
        <v>⚠ no receipt on file for this item</v>
      </c>
      <c r="AO1298" s="114"/>
    </row>
    <row r="1299" spans="1:41" x14ac:dyDescent="0.35">
      <c r="A1299" s="74">
        <v>46190</v>
      </c>
      <c r="B1299" s="18" t="str">
        <f>IF($C1299="","",IFERROR(INDEX('Staff Directory'!$A$5:$A$594,MATCH($C1299,'Staff Directory'!$B$5:$B$594,0)),"⚠ unknown staff"))</f>
        <v>TL/RPN-002-A9</v>
      </c>
      <c r="C1299" s="49" t="s">
        <v>1065</v>
      </c>
      <c r="D1299" s="19" t="str">
        <f>IF($B1299="","",IFERROR(INDEX('Staff Directory'!$C$5:$C$594,MATCH($B1299,'Staff Directory'!$A$5:$A$594,0)),""))</f>
        <v>TL/RPN</v>
      </c>
      <c r="E1299" s="19" t="str">
        <f>IF($B1299="","",IFERROR(INDEX('Staff Directory'!$D$5:$D$594,MATCH($B1299,'Staff Directory'!$A$5:$A$594,0)),""))</f>
        <v>A9</v>
      </c>
      <c r="F1299" s="9" t="s">
        <v>127</v>
      </c>
      <c r="G1299" s="18" t="str">
        <f>IF($F1299="","",IFERROR(INDEX(Items!$B$5:$B$597,MATCH($F1299,Items!$A$5:$A$597,0)),"⚠ not in Items"))</f>
        <v>Gloves</v>
      </c>
      <c r="H1299" s="19" t="str">
        <f>IF($F1299="","",IFERROR(INDEX(Items!$C$5:$C$597,MATCH($F1299,Items!$A$5:$A$597,0)),""))</f>
        <v>Medium</v>
      </c>
      <c r="I1299" s="23">
        <f>IF($F1299="","",IFERROR(INDEX(Items!$E$5:$E$597,MATCH($F1299,Items!$A$5:$A$597,0)),""))</f>
        <v>500</v>
      </c>
      <c r="J1299" s="115">
        <f>IF(tblIssues[[#This Row],[Qty Override]]&lt;&gt;"",tblIssues[[#This Row],[Qty Override]],IF(tblIssues[[#This Row],[Standard Issue]]="","",tblIssues[[#This Row],[Standard Issue]]))</f>
        <v>500</v>
      </c>
      <c r="K1299" s="20">
        <f>IF($F1299="","",IFERROR(INDEX(Items!$D$5:$D$597,MATCH($F1299,Items!$A$5:$A$597,0)),""))</f>
        <v>5.5E-2</v>
      </c>
      <c r="L1299" s="21">
        <f t="shared" si="228"/>
        <v>27.5</v>
      </c>
      <c r="M1299" s="9" t="str">
        <f t="shared" si="226"/>
        <v>ZIM510137962-1</v>
      </c>
      <c r="N1299" s="24">
        <f>IF($A1299="","",WORKDAY($A1299,Settings!$C$9,HolidayDates))</f>
        <v>46198</v>
      </c>
      <c r="O1299" s="24">
        <f>IF($N1299="","",WORKDAY($N1299,Settings!$C$10,HolidayDates))</f>
        <v>46238</v>
      </c>
      <c r="P1299" s="10" t="s">
        <v>501</v>
      </c>
      <c r="Q1299" s="52" t="str">
        <f t="shared" si="229"/>
        <v>Collected</v>
      </c>
      <c r="R1299" s="55" t="str">
        <f t="shared" si="230"/>
        <v>2026-06</v>
      </c>
      <c r="S1299" s="55">
        <f>IF(OR($B1299="",$F1299="",$R1299=""),"",SUMIFS(tblIssues[Qty Issued],tblIssues[Staff ID],$B1299,tblIssues[Item Name],$F1299,tblIssues[Month],$R1299))</f>
        <v>500</v>
      </c>
      <c r="T1299" s="56">
        <f>IF($I1299="","",$I1299*Settings!$C$11)</f>
        <v>500</v>
      </c>
      <c r="U1299" s="57" t="str">
        <f t="shared" si="227"/>
        <v>OK</v>
      </c>
      <c r="V1299" s="55" t="str">
        <f t="shared" si="231"/>
        <v/>
      </c>
      <c r="W1299" s="55" t="str">
        <f>IF($V1299="","",IF(COUNTIF($V$5:$V1299,$V1299)=1,1,""))</f>
        <v/>
      </c>
      <c r="X1299" s="58" t="str">
        <f>IF($W1299="","",MAX($X$4:X1298)+1)</f>
        <v/>
      </c>
      <c r="Y1299" s="62"/>
      <c r="Z1299" s="62"/>
      <c r="AA1299" s="64" t="str">
        <f>IF($C1299="","",IFERROR(INDEX('Staff Directory'!$E$5:$E$594,MATCH($C1299,'Staff Directory'!$B$5:$B$594,0)),""))</f>
        <v>firstname149.lastname149@example.com</v>
      </c>
      <c r="AB1299" s="64" t="str">
        <f>IF($C1299="","",IF(ISNUMBER(SEARCH($D1299,Settings!$C$15)),"Pickup","Dispatch"))</f>
        <v>Dispatch</v>
      </c>
      <c r="AC1299" s="64" t="str">
        <f t="shared" si="232"/>
        <v>Supply order dispatched</v>
      </c>
      <c r="AD1299" s="64" t="str">
        <f t="shared" si="223"/>
        <v>Dear TL/RPN,
Your order has been dispatched and is in transit. Reply if undelivered.</v>
      </c>
      <c r="AE1299" s="64" t="str">
        <f t="shared" si="224"/>
        <v>mailto:firstname149.lastname149@example.com?subject=Supply%20order%20dispatched&amp;body=Dear%20TL%2FRPN%2C%0A%0AYour%20order%20has%20been%20dispatched%20and%20is%20in%20transit.%20Reply%20if%20undelivered.</v>
      </c>
      <c r="AF1299" s="89" t="str">
        <f t="shared" si="233"/>
        <v>Draft email</v>
      </c>
      <c r="AG1299" s="64" t="str">
        <f>IF($C1299="","",IFERROR(INDEX('Staff Directory'!$K$595:$K$599,MATCH($C1299,'Staff Directory'!$B$5:$B$599,0)),$D1299))</f>
        <v>TL/RPN</v>
      </c>
      <c r="AH1299" t="str">
        <f>IF($C1299="","",IFERROR(INDEX('Staff Directory'!$I$595:$I$599,MATCH($C1299,'Staff Directory'!$B$5:$B$599,0))&amp;" "&amp;INDEX('Staff Directory'!$J$595:$J$599,MATCH($C1299,'Staff Directory'!$B$5:$B$599,0)),$AG1299))</f>
        <v>TL/RPN</v>
      </c>
      <c r="AI1299" s="102"/>
      <c r="AJ1299" s="101">
        <f>IF($F1299="","",SUMIFS($J$5:$J1299,$F$5:$F1299,$F1299))</f>
        <v>80500</v>
      </c>
      <c r="AK1299" s="101">
        <f t="shared" si="225"/>
        <v>80001</v>
      </c>
      <c r="AL1299" s="66" t="str" cm="1">
        <f t="array" ref="AL1299">IF($F1299="","",IFERROR(INDEX('Lot Balance'!$B$5:$B$500,MATCH(1,INDEX(('Lot Balance'!$A$5:$A$500=$F1299)*('Lot Balance'!$K$5:$K$500&lt;$AK1299)*('Lot Balance'!$K$5:$K$500+'Lot Balance'!$D$5:$D$500&gt;=$AK1299),0),0)),""))</f>
        <v>ZIM510137962-1</v>
      </c>
      <c r="AM1299" s="66" t="str" cm="1">
        <f t="array" ref="AM1299">IF($F1299="","",IFERROR(INDEX('Lot Balance'!$B$5:$B$500,MATCH(1,INDEX(('Lot Balance'!$A$5:$A$500=$F1299)*('Lot Balance'!$K$5:$K$500&lt;$AJ1299)*('Lot Balance'!$K$5:$K$500+'Lot Balance'!$D$5:$D$500&gt;=$AJ1299),0),0)),""))</f>
        <v>ZIM510137962-1</v>
      </c>
      <c r="AN1299" s="66" t="str">
        <f>IF($F1299="","",IF($AI1299&lt;&gt;"",IF(COUNTIFS('Lot Balance'!$A$5:$A$500,$F1299,'Lot Balance'!$B$5:$B$500,$AI1299)=0,"⚠ override is not a lot of this item",IF($AI1299=$AL1299,"Override = FEFO","Override - FEFO says "&amp;$AL1299)),IF($AL1299="","⚠ no receipt on file for this item",IF($AM1299&lt;&gt;$AL1299,"FEFO auto - split, also "&amp;$AM1299,"FEFO auto"))))</f>
        <v>FEFO auto</v>
      </c>
      <c r="AO1299" s="114"/>
    </row>
    <row r="1300" spans="1:41" x14ac:dyDescent="0.35">
      <c r="A1300" s="74">
        <v>46190</v>
      </c>
      <c r="B1300" s="18" t="str">
        <f>IF($C1300="","",IFERROR(INDEX('Staff Directory'!$A$5:$A$594,MATCH($C1300,'Staff Directory'!$B$5:$B$594,0)),"⚠ unknown staff"))</f>
        <v>TL/RPN-002-A9</v>
      </c>
      <c r="C1300" s="49" t="s">
        <v>1065</v>
      </c>
      <c r="D1300" s="19" t="str">
        <f>IF($B1300="","",IFERROR(INDEX('Staff Directory'!$C$5:$C$594,MATCH($B1300,'Staff Directory'!$A$5:$A$594,0)),""))</f>
        <v>TL/RPN</v>
      </c>
      <c r="E1300" s="19" t="str">
        <f>IF($B1300="","",IFERROR(INDEX('Staff Directory'!$D$5:$D$594,MATCH($B1300,'Staff Directory'!$A$5:$A$594,0)),""))</f>
        <v>A9</v>
      </c>
      <c r="F1300" s="9" t="s">
        <v>124</v>
      </c>
      <c r="G1300" s="18" t="str">
        <f>IF($F1300="","",IFERROR(INDEX(Items!$B$5:$B$597,MATCH($F1300,Items!$A$5:$A$597,0)),"⚠ not in Items"))</f>
        <v>Gloves</v>
      </c>
      <c r="H1300" s="19" t="str">
        <f>IF($F1300="","",IFERROR(INDEX(Items!$C$5:$C$597,MATCH($F1300,Items!$A$5:$A$597,0)),""))</f>
        <v>Large</v>
      </c>
      <c r="I1300" s="23">
        <f>IF($F1300="","",IFERROR(INDEX(Items!$E$5:$E$597,MATCH($F1300,Items!$A$5:$A$597,0)),""))</f>
        <v>500</v>
      </c>
      <c r="J1300" s="115">
        <f>IF(tblIssues[[#This Row],[Qty Override]]&lt;&gt;"",tblIssues[[#This Row],[Qty Override]],IF(tblIssues[[#This Row],[Standard Issue]]="","",tblIssues[[#This Row],[Standard Issue]]))</f>
        <v>500</v>
      </c>
      <c r="K1300" s="20">
        <f>IF($F1300="","",IFERROR(INDEX(Items!$D$5:$D$597,MATCH($F1300,Items!$A$5:$A$597,0)),""))</f>
        <v>5.5E-2</v>
      </c>
      <c r="L1300" s="21">
        <f t="shared" si="228"/>
        <v>27.5</v>
      </c>
      <c r="M1300" s="9" t="str">
        <f t="shared" si="226"/>
        <v>ZIM511139904-2</v>
      </c>
      <c r="N1300" s="24">
        <f>IF($A1300="","",WORKDAY($A1300,Settings!$C$9,HolidayDates))</f>
        <v>46198</v>
      </c>
      <c r="O1300" s="24">
        <f>IF($N1300="","",WORKDAY($N1300,Settings!$C$10,HolidayDates))</f>
        <v>46238</v>
      </c>
      <c r="P1300" s="10" t="s">
        <v>501</v>
      </c>
      <c r="Q1300" s="52" t="str">
        <f t="shared" si="229"/>
        <v>Collected</v>
      </c>
      <c r="R1300" s="55" t="str">
        <f t="shared" si="230"/>
        <v>2026-06</v>
      </c>
      <c r="S1300" s="55">
        <f>IF(OR($B1300="",$F1300="",$R1300=""),"",SUMIFS(tblIssues[Qty Issued],tblIssues[Staff ID],$B1300,tblIssues[Item Name],$F1300,tblIssues[Month],$R1300))</f>
        <v>500</v>
      </c>
      <c r="T1300" s="56">
        <f>IF($I1300="","",$I1300*Settings!$C$11)</f>
        <v>500</v>
      </c>
      <c r="U1300" s="57" t="str">
        <f t="shared" si="227"/>
        <v>OK</v>
      </c>
      <c r="V1300" s="55" t="str">
        <f t="shared" si="231"/>
        <v/>
      </c>
      <c r="W1300" s="55" t="str">
        <f>IF($V1300="","",IF(COUNTIF($V$5:$V1300,$V1300)=1,1,""))</f>
        <v/>
      </c>
      <c r="X1300" s="58" t="str">
        <f>IF($W1300="","",MAX($X$4:X1299)+1)</f>
        <v/>
      </c>
      <c r="Y1300" s="62"/>
      <c r="Z1300" s="62"/>
      <c r="AA1300" s="64" t="str">
        <f>IF($C1300="","",IFERROR(INDEX('Staff Directory'!$E$5:$E$594,MATCH($C1300,'Staff Directory'!$B$5:$B$594,0)),""))</f>
        <v>firstname149.lastname149@example.com</v>
      </c>
      <c r="AB1300" s="64" t="str">
        <f>IF($C1300="","",IF(ISNUMBER(SEARCH($D1300,Settings!$C$15)),"Pickup","Dispatch"))</f>
        <v>Dispatch</v>
      </c>
      <c r="AC1300" s="64" t="str">
        <f t="shared" si="232"/>
        <v>Supply order dispatched</v>
      </c>
      <c r="AD1300" s="64" t="str">
        <f t="shared" si="223"/>
        <v>Dear TL/RPN,
Your order has been dispatched and is in transit. Reply if undelivered.</v>
      </c>
      <c r="AE1300" s="64" t="str">
        <f t="shared" si="224"/>
        <v>mailto:firstname149.lastname149@example.com?subject=Supply%20order%20dispatched&amp;body=Dear%20TL%2FRPN%2C%0A%0AYour%20order%20has%20been%20dispatched%20and%20is%20in%20transit.%20Reply%20if%20undelivered.</v>
      </c>
      <c r="AF1300" s="89" t="str">
        <f t="shared" si="233"/>
        <v>Draft email</v>
      </c>
      <c r="AG1300" s="64" t="str">
        <f>IF($C1300="","",IFERROR(INDEX('Staff Directory'!$K$595:$K$599,MATCH($C1300,'Staff Directory'!$B$5:$B$599,0)),$D1300))</f>
        <v>TL/RPN</v>
      </c>
      <c r="AH1300" t="str">
        <f>IF($C1300="","",IFERROR(INDEX('Staff Directory'!$I$595:$I$599,MATCH($C1300,'Staff Directory'!$B$5:$B$599,0))&amp;" "&amp;INDEX('Staff Directory'!$J$595:$J$599,MATCH($C1300,'Staff Directory'!$B$5:$B$599,0)),$AG1300))</f>
        <v>TL/RPN</v>
      </c>
      <c r="AI1300" s="102"/>
      <c r="AJ1300" s="101">
        <f>IF($F1300="","",SUMIFS($J$5:$J1300,$F$5:$F1300,$F1300))</f>
        <v>36000</v>
      </c>
      <c r="AK1300" s="101">
        <f t="shared" si="225"/>
        <v>35501</v>
      </c>
      <c r="AL1300" s="66" t="str" cm="1">
        <f t="array" ref="AL1300">IF($F1300="","",IFERROR(INDEX('Lot Balance'!$B$5:$B$500,MATCH(1,INDEX(('Lot Balance'!$A$5:$A$500=$F1300)*('Lot Balance'!$K$5:$K$500&lt;$AK1300)*('Lot Balance'!$K$5:$K$500+'Lot Balance'!$D$5:$D$500&gt;=$AK1300),0),0)),""))</f>
        <v>ZIM511139904-2</v>
      </c>
      <c r="AM1300" s="66" t="str" cm="1">
        <f t="array" ref="AM1300">IF($F1300="","",IFERROR(INDEX('Lot Balance'!$B$5:$B$500,MATCH(1,INDEX(('Lot Balance'!$A$5:$A$500=$F1300)*('Lot Balance'!$K$5:$K$500&lt;$AJ1300)*('Lot Balance'!$K$5:$K$500+'Lot Balance'!$D$5:$D$500&gt;=$AJ1300),0),0)),""))</f>
        <v>ZIM511139904-2</v>
      </c>
      <c r="AN1300" s="66" t="str">
        <f>IF($F1300="","",IF($AI1300&lt;&gt;"",IF(COUNTIFS('Lot Balance'!$A$5:$A$500,$F1300,'Lot Balance'!$B$5:$B$500,$AI1300)=0,"⚠ override is not a lot of this item",IF($AI1300=$AL1300,"Override = FEFO","Override - FEFO says "&amp;$AL1300)),IF($AL1300="","⚠ no receipt on file for this item",IF($AM1300&lt;&gt;$AL1300,"FEFO auto - split, also "&amp;$AM1300,"FEFO auto"))))</f>
        <v>FEFO auto</v>
      </c>
      <c r="AO1300" s="114"/>
    </row>
    <row r="1301" spans="1:41" x14ac:dyDescent="0.35">
      <c r="A1301" s="74">
        <v>46190</v>
      </c>
      <c r="B1301" s="18" t="str">
        <f>IF($C1301="","",IFERROR(INDEX('Staff Directory'!$A$5:$A$594,MATCH($C1301,'Staff Directory'!$B$5:$B$594,0)),"⚠ unknown staff"))</f>
        <v>TL/RPN-002-A9</v>
      </c>
      <c r="C1301" s="49" t="s">
        <v>1065</v>
      </c>
      <c r="D1301" s="19" t="str">
        <f>IF($B1301="","",IFERROR(INDEX('Staff Directory'!$C$5:$C$594,MATCH($B1301,'Staff Directory'!$A$5:$A$594,0)),""))</f>
        <v>TL/RPN</v>
      </c>
      <c r="E1301" s="19" t="str">
        <f>IF($B1301="","",IFERROR(INDEX('Staff Directory'!$D$5:$D$594,MATCH($B1301,'Staff Directory'!$A$5:$A$594,0)),""))</f>
        <v>A9</v>
      </c>
      <c r="F1301" s="9" t="s">
        <v>191</v>
      </c>
      <c r="G1301" s="18" t="str">
        <f>IF($F1301="","",IFERROR(INDEX(Items!$B$5:$B$597,MATCH($F1301,Items!$A$5:$A$597,0)),"⚠ not in Items"))</f>
        <v>Sanitizer</v>
      </c>
      <c r="H1301" s="19" t="str">
        <f>IF($F1301="","",IFERROR(INDEX(Items!$C$5:$C$597,MATCH($F1301,Items!$A$5:$A$597,0)),""))</f>
        <v>236 ML</v>
      </c>
      <c r="I1301" s="23">
        <f>IF($F1301="","",IFERROR(INDEX(Items!$E$5:$E$597,MATCH($F1301,Items!$A$5:$A$597,0)),""))</f>
        <v>1</v>
      </c>
      <c r="J1301" s="115">
        <f>IF(tblIssues[[#This Row],[Qty Override]]&lt;&gt;"",tblIssues[[#This Row],[Qty Override]],IF(tblIssues[[#This Row],[Standard Issue]]="","",tblIssues[[#This Row],[Standard Issue]]))</f>
        <v>1</v>
      </c>
      <c r="K1301" s="20">
        <f>IF($F1301="","",IFERROR(INDEX(Items!$D$5:$D$597,MATCH($F1301,Items!$A$5:$A$597,0)),""))</f>
        <v>1E-4</v>
      </c>
      <c r="L1301" s="21">
        <f t="shared" si="228"/>
        <v>1E-4</v>
      </c>
      <c r="M1301" s="9" t="str">
        <f t="shared" si="226"/>
        <v/>
      </c>
      <c r="N1301" s="24">
        <f>IF($A1301="","",WORKDAY($A1301,Settings!$C$9,HolidayDates))</f>
        <v>46198</v>
      </c>
      <c r="O1301" s="24">
        <f>IF($N1301="","",WORKDAY($N1301,Settings!$C$10,HolidayDates))</f>
        <v>46238</v>
      </c>
      <c r="P1301" s="10" t="s">
        <v>501</v>
      </c>
      <c r="Q1301" s="52" t="str">
        <f t="shared" si="229"/>
        <v>Collected</v>
      </c>
      <c r="R1301" s="55" t="str">
        <f t="shared" si="230"/>
        <v>2026-06</v>
      </c>
      <c r="S1301" s="55">
        <f>IF(OR($B1301="",$F1301="",$R1301=""),"",SUMIFS(tblIssues[Qty Issued],tblIssues[Staff ID],$B1301,tblIssues[Item Name],$F1301,tblIssues[Month],$R1301))</f>
        <v>2</v>
      </c>
      <c r="T1301" s="56">
        <f>IF($I1301="","",$I1301*Settings!$C$11)</f>
        <v>1</v>
      </c>
      <c r="U1301" s="57" t="str">
        <f t="shared" si="227"/>
        <v>⚠ OVER QUOTA</v>
      </c>
      <c r="V1301" s="55" t="str">
        <f t="shared" si="231"/>
        <v>TL/RPN-002-A9 | Hand Sanitizer OS | 2026-06</v>
      </c>
      <c r="W1301" s="55">
        <f>IF($V1301="","",IF(COUNTIF($V$5:$V1301,$V1301)=1,1,""))</f>
        <v>1</v>
      </c>
      <c r="X1301" s="58">
        <f>IF($W1301="","",MAX($X$4:X1300)+1)</f>
        <v>43</v>
      </c>
      <c r="Y1301" s="62"/>
      <c r="Z1301" s="62"/>
      <c r="AA1301" s="64" t="str">
        <f>IF($C1301="","",IFERROR(INDEX('Staff Directory'!$E$5:$E$594,MATCH($C1301,'Staff Directory'!$B$5:$B$594,0)),""))</f>
        <v>firstname149.lastname149@example.com</v>
      </c>
      <c r="AB1301" s="64" t="str">
        <f>IF($C1301="","",IF(ISNUMBER(SEARCH($D1301,Settings!$C$15)),"Pickup","Dispatch"))</f>
        <v>Dispatch</v>
      </c>
      <c r="AC1301" s="64" t="str">
        <f t="shared" si="232"/>
        <v>Supply order dispatched</v>
      </c>
      <c r="AD1301" s="64" t="str">
        <f t="shared" si="223"/>
        <v>Dear TL/RPN,
Your order has been dispatched and is in transit. Reply if undelivered.</v>
      </c>
      <c r="AE1301" s="64" t="str">
        <f t="shared" si="224"/>
        <v>mailto:firstname149.lastname149@example.com?subject=Supply%20order%20dispatched&amp;body=Dear%20TL%2FRPN%2C%0A%0AYour%20order%20has%20been%20dispatched%20and%20is%20in%20transit.%20Reply%20if%20undelivered.</v>
      </c>
      <c r="AF1301" s="89" t="str">
        <f t="shared" si="233"/>
        <v>Draft email</v>
      </c>
      <c r="AG1301" s="64" t="str">
        <f>IF($C1301="","",IFERROR(INDEX('Staff Directory'!$K$595:$K$599,MATCH($C1301,'Staff Directory'!$B$5:$B$599,0)),$D1301))</f>
        <v>TL/RPN</v>
      </c>
      <c r="AH1301" t="str">
        <f>IF($C1301="","",IFERROR(INDEX('Staff Directory'!$I$595:$I$599,MATCH($C1301,'Staff Directory'!$B$5:$B$599,0))&amp;" "&amp;INDEX('Staff Directory'!$J$595:$J$599,MATCH($C1301,'Staff Directory'!$B$5:$B$599,0)),$AG1301))</f>
        <v>TL/RPN</v>
      </c>
      <c r="AI1301" s="102"/>
      <c r="AJ1301" s="101">
        <f>IF($F1301="","",SUMIFS($J$5:$J1301,$F$5:$F1301,$F1301))</f>
        <v>170</v>
      </c>
      <c r="AK1301" s="101">
        <f t="shared" si="225"/>
        <v>170</v>
      </c>
      <c r="AL1301" s="66" t="str" cm="1">
        <f t="array" ref="AL1301">IF($F1301="","",IFERROR(INDEX('Lot Balance'!$B$5:$B$500,MATCH(1,INDEX(('Lot Balance'!$A$5:$A$500=$F1301)*('Lot Balance'!$K$5:$K$500&lt;$AK1301)*('Lot Balance'!$K$5:$K$500+'Lot Balance'!$D$5:$D$500&gt;=$AK1301),0),0)),""))</f>
        <v/>
      </c>
      <c r="AM1301" s="66" t="str" cm="1">
        <f t="array" ref="AM1301">IF($F1301="","",IFERROR(INDEX('Lot Balance'!$B$5:$B$500,MATCH(1,INDEX(('Lot Balance'!$A$5:$A$500=$F1301)*('Lot Balance'!$K$5:$K$500&lt;$AJ1301)*('Lot Balance'!$K$5:$K$500+'Lot Balance'!$D$5:$D$500&gt;=$AJ1301),0),0)),""))</f>
        <v/>
      </c>
      <c r="AN1301" s="66" t="str">
        <f>IF($F1301="","",IF($AI1301&lt;&gt;"",IF(COUNTIFS('Lot Balance'!$A$5:$A$500,$F1301,'Lot Balance'!$B$5:$B$500,$AI1301)=0,"⚠ override is not a lot of this item",IF($AI1301=$AL1301,"Override = FEFO","Override - FEFO says "&amp;$AL1301)),IF($AL1301="","⚠ no receipt on file for this item",IF($AM1301&lt;&gt;$AL1301,"FEFO auto - split, also "&amp;$AM1301,"FEFO auto"))))</f>
        <v>⚠ no receipt on file for this item</v>
      </c>
      <c r="AO1301" s="114"/>
    </row>
    <row r="1302" spans="1:41" x14ac:dyDescent="0.35">
      <c r="A1302" s="74">
        <v>46190</v>
      </c>
      <c r="B1302" s="18" t="str">
        <f>IF($C1302="","",IFERROR(INDEX('Staff Directory'!$A$5:$A$594,MATCH($C1302,'Staff Directory'!$B$5:$B$594,0)),"⚠ unknown staff"))</f>
        <v>TL/RPN-002-A9</v>
      </c>
      <c r="C1302" s="49" t="s">
        <v>1065</v>
      </c>
      <c r="D1302" s="19" t="str">
        <f>IF($B1302="","",IFERROR(INDEX('Staff Directory'!$C$5:$C$594,MATCH($B1302,'Staff Directory'!$A$5:$A$594,0)),""))</f>
        <v>TL/RPN</v>
      </c>
      <c r="E1302" s="19" t="str">
        <f>IF($B1302="","",IFERROR(INDEX('Staff Directory'!$D$5:$D$594,MATCH($B1302,'Staff Directory'!$A$5:$A$594,0)),""))</f>
        <v>A9</v>
      </c>
      <c r="F1302" s="9" t="s">
        <v>191</v>
      </c>
      <c r="G1302" s="18" t="str">
        <f>IF($F1302="","",IFERROR(INDEX(Items!$B$5:$B$597,MATCH($F1302,Items!$A$5:$A$597,0)),"⚠ not in Items"))</f>
        <v>Sanitizer</v>
      </c>
      <c r="H1302" s="19" t="str">
        <f>IF($F1302="","",IFERROR(INDEX(Items!$C$5:$C$597,MATCH($F1302,Items!$A$5:$A$597,0)),""))</f>
        <v>236 ML</v>
      </c>
      <c r="I1302" s="23">
        <f>IF($F1302="","",IFERROR(INDEX(Items!$E$5:$E$597,MATCH($F1302,Items!$A$5:$A$597,0)),""))</f>
        <v>1</v>
      </c>
      <c r="J1302" s="115">
        <f>IF(tblIssues[[#This Row],[Qty Override]]&lt;&gt;"",tblIssues[[#This Row],[Qty Override]],IF(tblIssues[[#This Row],[Standard Issue]]="","",tblIssues[[#This Row],[Standard Issue]]))</f>
        <v>1</v>
      </c>
      <c r="K1302" s="20">
        <f>IF($F1302="","",IFERROR(INDEX(Items!$D$5:$D$597,MATCH($F1302,Items!$A$5:$A$597,0)),""))</f>
        <v>1E-4</v>
      </c>
      <c r="L1302" s="21">
        <f t="shared" si="228"/>
        <v>1E-4</v>
      </c>
      <c r="M1302" s="9" t="str">
        <f t="shared" si="226"/>
        <v/>
      </c>
      <c r="N1302" s="24">
        <f>IF($A1302="","",WORKDAY($A1302,Settings!$C$9,HolidayDates))</f>
        <v>46198</v>
      </c>
      <c r="O1302" s="24">
        <f>IF($N1302="","",WORKDAY($N1302,Settings!$C$10,HolidayDates))</f>
        <v>46238</v>
      </c>
      <c r="P1302" s="10" t="s">
        <v>501</v>
      </c>
      <c r="Q1302" s="52" t="str">
        <f t="shared" si="229"/>
        <v>Collected</v>
      </c>
      <c r="R1302" s="55" t="str">
        <f t="shared" si="230"/>
        <v>2026-06</v>
      </c>
      <c r="S1302" s="55">
        <f>IF(OR($B1302="",$F1302="",$R1302=""),"",SUMIFS(tblIssues[Qty Issued],tblIssues[Staff ID],$B1302,tblIssues[Item Name],$F1302,tblIssues[Month],$R1302))</f>
        <v>2</v>
      </c>
      <c r="T1302" s="56">
        <f>IF($I1302="","",$I1302*Settings!$C$11)</f>
        <v>1</v>
      </c>
      <c r="U1302" s="57" t="str">
        <f t="shared" si="227"/>
        <v>⚠ OVER QUOTA</v>
      </c>
      <c r="V1302" s="55" t="str">
        <f t="shared" si="231"/>
        <v>TL/RPN-002-A9 | Hand Sanitizer OS | 2026-06</v>
      </c>
      <c r="W1302" s="55" t="str">
        <f>IF($V1302="","",IF(COUNTIF($V$5:$V1302,$V1302)=1,1,""))</f>
        <v/>
      </c>
      <c r="X1302" s="58" t="str">
        <f>IF($W1302="","",MAX($X$4:X1301)+1)</f>
        <v/>
      </c>
      <c r="Y1302" s="62"/>
      <c r="Z1302" s="62"/>
      <c r="AA1302" s="64" t="str">
        <f>IF($C1302="","",IFERROR(INDEX('Staff Directory'!$E$5:$E$594,MATCH($C1302,'Staff Directory'!$B$5:$B$594,0)),""))</f>
        <v>firstname149.lastname149@example.com</v>
      </c>
      <c r="AB1302" s="64" t="str">
        <f>IF($C1302="","",IF(ISNUMBER(SEARCH($D1302,Settings!$C$15)),"Pickup","Dispatch"))</f>
        <v>Dispatch</v>
      </c>
      <c r="AC1302" s="64" t="str">
        <f t="shared" si="232"/>
        <v>Supply order dispatched</v>
      </c>
      <c r="AD1302" s="64" t="str">
        <f t="shared" si="223"/>
        <v>Dear TL/RPN,
Your order has been dispatched and is in transit. Reply if undelivered.</v>
      </c>
      <c r="AE1302" s="64" t="str">
        <f t="shared" si="224"/>
        <v>mailto:firstname149.lastname149@example.com?subject=Supply%20order%20dispatched&amp;body=Dear%20TL%2FRPN%2C%0A%0AYour%20order%20has%20been%20dispatched%20and%20is%20in%20transit.%20Reply%20if%20undelivered.</v>
      </c>
      <c r="AF1302" s="89" t="str">
        <f t="shared" si="233"/>
        <v>Draft email</v>
      </c>
      <c r="AG1302" s="64" t="str">
        <f>IF($C1302="","",IFERROR(INDEX('Staff Directory'!$K$595:$K$599,MATCH($C1302,'Staff Directory'!$B$5:$B$599,0)),$D1302))</f>
        <v>TL/RPN</v>
      </c>
      <c r="AH1302" t="str">
        <f>IF($C1302="","",IFERROR(INDEX('Staff Directory'!$I$595:$I$599,MATCH($C1302,'Staff Directory'!$B$5:$B$599,0))&amp;" "&amp;INDEX('Staff Directory'!$J$595:$J$599,MATCH($C1302,'Staff Directory'!$B$5:$B$599,0)),$AG1302))</f>
        <v>TL/RPN</v>
      </c>
      <c r="AI1302" s="102"/>
      <c r="AJ1302" s="101">
        <f>IF($F1302="","",SUMIFS($J$5:$J1302,$F$5:$F1302,$F1302))</f>
        <v>171</v>
      </c>
      <c r="AK1302" s="101">
        <f t="shared" si="225"/>
        <v>171</v>
      </c>
      <c r="AL1302" s="66" t="str" cm="1">
        <f t="array" ref="AL1302">IF($F1302="","",IFERROR(INDEX('Lot Balance'!$B$5:$B$500,MATCH(1,INDEX(('Lot Balance'!$A$5:$A$500=$F1302)*('Lot Balance'!$K$5:$K$500&lt;$AK1302)*('Lot Balance'!$K$5:$K$500+'Lot Balance'!$D$5:$D$500&gt;=$AK1302),0),0)),""))</f>
        <v/>
      </c>
      <c r="AM1302" s="66" t="str" cm="1">
        <f t="array" ref="AM1302">IF($F1302="","",IFERROR(INDEX('Lot Balance'!$B$5:$B$500,MATCH(1,INDEX(('Lot Balance'!$A$5:$A$500=$F1302)*('Lot Balance'!$K$5:$K$500&lt;$AJ1302)*('Lot Balance'!$K$5:$K$500+'Lot Balance'!$D$5:$D$500&gt;=$AJ1302),0),0)),""))</f>
        <v/>
      </c>
      <c r="AN1302" s="66" t="str">
        <f>IF($F1302="","",IF($AI1302&lt;&gt;"",IF(COUNTIFS('Lot Balance'!$A$5:$A$500,$F1302,'Lot Balance'!$B$5:$B$500,$AI1302)=0,"⚠ override is not a lot of this item",IF($AI1302=$AL1302,"Override = FEFO","Override - FEFO says "&amp;$AL1302)),IF($AL1302="","⚠ no receipt on file for this item",IF($AM1302&lt;&gt;$AL1302,"FEFO auto - split, also "&amp;$AM1302,"FEFO auto"))))</f>
        <v>⚠ no receipt on file for this item</v>
      </c>
      <c r="AO1302" s="114"/>
    </row>
    <row r="1303" spans="1:41" x14ac:dyDescent="0.35">
      <c r="A1303" s="74">
        <v>46190</v>
      </c>
      <c r="B1303" s="18" t="str">
        <f>IF($C1303="","",IFERROR(INDEX('Staff Directory'!$A$5:$A$594,MATCH($C1303,'Staff Directory'!$B$5:$B$594,0)),"⚠ unknown staff"))</f>
        <v>TL/RPN-002-A9</v>
      </c>
      <c r="C1303" s="49" t="s">
        <v>1065</v>
      </c>
      <c r="D1303" s="19" t="str">
        <f>IF($B1303="","",IFERROR(INDEX('Staff Directory'!$C$5:$C$594,MATCH($B1303,'Staff Directory'!$A$5:$A$594,0)),""))</f>
        <v>TL/RPN</v>
      </c>
      <c r="E1303" s="19" t="str">
        <f>IF($B1303="","",IFERROR(INDEX('Staff Directory'!$D$5:$D$594,MATCH($B1303,'Staff Directory'!$A$5:$A$594,0)),""))</f>
        <v>A9</v>
      </c>
      <c r="F1303" s="9" t="s">
        <v>193</v>
      </c>
      <c r="G1303" s="18" t="str">
        <f>IF($F1303="","",IFERROR(INDEX(Items!$B$5:$B$597,MATCH($F1303,Items!$A$5:$A$597,0)),"⚠ not in Items"))</f>
        <v>Wipes</v>
      </c>
      <c r="H1303" s="19">
        <f>IF($F1303="","",IFERROR(INDEX(Items!$C$5:$C$597,MATCH($F1303,Items!$A$5:$A$597,0)),""))</f>
        <v>160</v>
      </c>
      <c r="I1303" s="23">
        <f>IF($F1303="","",IFERROR(INDEX(Items!$E$5:$E$597,MATCH($F1303,Items!$A$5:$A$597,0)),""))</f>
        <v>160</v>
      </c>
      <c r="J1303" s="115">
        <f>IF(tblIssues[[#This Row],[Qty Override]]&lt;&gt;"",tblIssues[[#This Row],[Qty Override]],IF(tblIssues[[#This Row],[Standard Issue]]="","",tblIssues[[#This Row],[Standard Issue]]))</f>
        <v>1</v>
      </c>
      <c r="K1303" s="20">
        <f>IF($F1303="","",IFERROR(INDEX(Items!$D$5:$D$597,MATCH($F1303,Items!$A$5:$A$597,0)),""))</f>
        <v>0</v>
      </c>
      <c r="L1303" s="21">
        <f t="shared" si="228"/>
        <v>0</v>
      </c>
      <c r="M1303" s="9" t="str">
        <f t="shared" si="226"/>
        <v>22625VXO7</v>
      </c>
      <c r="N1303" s="24">
        <f>IF($A1303="","",WORKDAY($A1303,Settings!$C$9,HolidayDates))</f>
        <v>46198</v>
      </c>
      <c r="O1303" s="24">
        <f>IF($N1303="","",WORKDAY($N1303,Settings!$C$10,HolidayDates))</f>
        <v>46238</v>
      </c>
      <c r="P1303" s="10" t="s">
        <v>501</v>
      </c>
      <c r="Q1303" s="52" t="str">
        <f t="shared" si="229"/>
        <v>Collected</v>
      </c>
      <c r="R1303" s="55" t="str">
        <f t="shared" si="230"/>
        <v>2026-06</v>
      </c>
      <c r="S1303" s="55">
        <f>IF(OR($B1303="",$F1303="",$R1303=""),"",SUMIFS(tblIssues[Qty Issued],tblIssues[Staff ID],$B1303,tblIssues[Item Name],$F1303,tblIssues[Month],$R1303))</f>
        <v>1</v>
      </c>
      <c r="T1303" s="56">
        <f>IF($I1303="","",$I1303*Settings!$C$11)</f>
        <v>160</v>
      </c>
      <c r="U1303" s="57" t="str">
        <f t="shared" si="227"/>
        <v>OK</v>
      </c>
      <c r="V1303" s="55" t="str">
        <f t="shared" si="231"/>
        <v/>
      </c>
      <c r="W1303" s="55" t="str">
        <f>IF($V1303="","",IF(COUNTIF($V$5:$V1303,$V1303)=1,1,""))</f>
        <v/>
      </c>
      <c r="X1303" s="58" t="str">
        <f>IF($W1303="","",MAX($X$4:X1302)+1)</f>
        <v/>
      </c>
      <c r="Y1303" s="62"/>
      <c r="Z1303" s="62"/>
      <c r="AA1303" s="64" t="str">
        <f>IF($C1303="","",IFERROR(INDEX('Staff Directory'!$E$5:$E$594,MATCH($C1303,'Staff Directory'!$B$5:$B$594,0)),""))</f>
        <v>firstname149.lastname149@example.com</v>
      </c>
      <c r="AB1303" s="64" t="str">
        <f>IF($C1303="","",IF(ISNUMBER(SEARCH($D1303,Settings!$C$15)),"Pickup","Dispatch"))</f>
        <v>Dispatch</v>
      </c>
      <c r="AC1303" s="64" t="str">
        <f t="shared" si="232"/>
        <v>Supply order dispatched</v>
      </c>
      <c r="AD1303" s="64" t="str">
        <f t="shared" si="223"/>
        <v>Dear TL/RPN,
Your order has been dispatched and is in transit. Reply if undelivered.</v>
      </c>
      <c r="AE1303" s="64" t="str">
        <f t="shared" si="224"/>
        <v>mailto:firstname149.lastname149@example.com?subject=Supply%20order%20dispatched&amp;body=Dear%20TL%2FRPN%2C%0A%0AYour%20order%20has%20been%20dispatched%20and%20is%20in%20transit.%20Reply%20if%20undelivered.</v>
      </c>
      <c r="AF1303" s="89" t="str">
        <f t="shared" si="233"/>
        <v>Draft email</v>
      </c>
      <c r="AG1303" s="64" t="str">
        <f>IF($C1303="","",IFERROR(INDEX('Staff Directory'!$K$595:$K$599,MATCH($C1303,'Staff Directory'!$B$5:$B$599,0)),$D1303))</f>
        <v>TL/RPN</v>
      </c>
      <c r="AH1303" t="str">
        <f>IF($C1303="","",IFERROR(INDEX('Staff Directory'!$I$595:$I$599,MATCH($C1303,'Staff Directory'!$B$5:$B$599,0))&amp;" "&amp;INDEX('Staff Directory'!$J$595:$J$599,MATCH($C1303,'Staff Directory'!$B$5:$B$599,0)),$AG1303))</f>
        <v>TL/RPN</v>
      </c>
      <c r="AI1303" s="102"/>
      <c r="AJ1303" s="101">
        <f>IF($F1303="","",SUMIFS($J$5:$J1303,$F$5:$F1303,$F1303))</f>
        <v>961</v>
      </c>
      <c r="AK1303" s="101">
        <f t="shared" si="225"/>
        <v>961</v>
      </c>
      <c r="AL1303" s="66" t="str" cm="1">
        <f t="array" ref="AL1303">IF($F1303="","",IFERROR(INDEX('Lot Balance'!$B$5:$B$500,MATCH(1,INDEX(('Lot Balance'!$A$5:$A$500=$F1303)*('Lot Balance'!$K$5:$K$500&lt;$AK1303)*('Lot Balance'!$K$5:$K$500+'Lot Balance'!$D$5:$D$500&gt;=$AK1303),0),0)),""))</f>
        <v>22625VXO7</v>
      </c>
      <c r="AM1303" s="66" t="str" cm="1">
        <f t="array" ref="AM1303">IF($F1303="","",IFERROR(INDEX('Lot Balance'!$B$5:$B$500,MATCH(1,INDEX(('Lot Balance'!$A$5:$A$500=$F1303)*('Lot Balance'!$K$5:$K$500&lt;$AJ1303)*('Lot Balance'!$K$5:$K$500+'Lot Balance'!$D$5:$D$500&gt;=$AJ1303),0),0)),""))</f>
        <v>22625VXO7</v>
      </c>
      <c r="AN1303" s="66" t="str">
        <f>IF($F1303="","",IF($AI1303&lt;&gt;"",IF(COUNTIFS('Lot Balance'!$A$5:$A$500,$F1303,'Lot Balance'!$B$5:$B$500,$AI1303)=0,"⚠ override is not a lot of this item",IF($AI1303=$AL1303,"Override = FEFO","Override - FEFO says "&amp;$AL1303)),IF($AL1303="","⚠ no receipt on file for this item",IF($AM1303&lt;&gt;$AL1303,"FEFO auto - split, also "&amp;$AM1303,"FEFO auto"))))</f>
        <v>FEFO auto</v>
      </c>
      <c r="AO1303" s="114">
        <v>1</v>
      </c>
    </row>
    <row r="1304" spans="1:41" x14ac:dyDescent="0.35">
      <c r="A1304" s="74">
        <v>46190</v>
      </c>
      <c r="B1304" s="18" t="str">
        <f>IF($C1304="","",IFERROR(INDEX('Staff Directory'!$A$5:$A$594,MATCH($C1304,'Staff Directory'!$B$5:$B$594,0)),"⚠ unknown staff"))</f>
        <v>TL/RPN-002-A9</v>
      </c>
      <c r="C1304" s="49" t="s">
        <v>1065</v>
      </c>
      <c r="D1304" s="19" t="str">
        <f>IF($B1304="","",IFERROR(INDEX('Staff Directory'!$C$5:$C$594,MATCH($B1304,'Staff Directory'!$A$5:$A$594,0)),""))</f>
        <v>TL/RPN</v>
      </c>
      <c r="E1304" s="19" t="str">
        <f>IF($B1304="","",IFERROR(INDEX('Staff Directory'!$D$5:$D$594,MATCH($B1304,'Staff Directory'!$A$5:$A$594,0)),""))</f>
        <v>A9</v>
      </c>
      <c r="F1304" s="9" t="s">
        <v>156</v>
      </c>
      <c r="G1304" s="18" t="str">
        <f>IF($F1304="","",IFERROR(INDEX(Items!$B$5:$B$597,MATCH($F1304,Items!$A$5:$A$597,0)),"⚠ not in Items"))</f>
        <v>Masks</v>
      </c>
      <c r="H1304" s="19" t="str">
        <f>IF($F1304="","",IFERROR(INDEX(Items!$C$5:$C$597,MATCH($F1304,Items!$A$5:$A$597,0)),""))</f>
        <v>One Size</v>
      </c>
      <c r="I1304" s="23">
        <f>IF($F1304="","",IFERROR(INDEX(Items!$E$5:$E$597,MATCH($F1304,Items!$A$5:$A$597,0)),""))</f>
        <v>50</v>
      </c>
      <c r="J1304" s="115">
        <f>IF(tblIssues[[#This Row],[Qty Override]]&lt;&gt;"",tblIssues[[#This Row],[Qty Override]],IF(tblIssues[[#This Row],[Standard Issue]]="","",tblIssues[[#This Row],[Standard Issue]]))</f>
        <v>50</v>
      </c>
      <c r="K1304" s="20">
        <f>IF($F1304="","",IFERROR(INDEX(Items!$D$5:$D$597,MATCH($F1304,Items!$A$5:$A$597,0)),""))</f>
        <v>0.25</v>
      </c>
      <c r="L1304" s="21">
        <f t="shared" si="228"/>
        <v>12.5</v>
      </c>
      <c r="M1304" s="9" t="str">
        <f t="shared" si="226"/>
        <v>102GPC24</v>
      </c>
      <c r="N1304" s="24">
        <f>IF($A1304="","",WORKDAY($A1304,Settings!$C$9,HolidayDates))</f>
        <v>46198</v>
      </c>
      <c r="O1304" s="24">
        <f>IF($N1304="","",WORKDAY($N1304,Settings!$C$10,HolidayDates))</f>
        <v>46238</v>
      </c>
      <c r="P1304" s="10" t="s">
        <v>501</v>
      </c>
      <c r="Q1304" s="52" t="str">
        <f t="shared" si="229"/>
        <v>Collected</v>
      </c>
      <c r="R1304" s="55" t="str">
        <f t="shared" si="230"/>
        <v>2026-06</v>
      </c>
      <c r="S1304" s="55">
        <f>IF(OR($B1304="",$F1304="",$R1304=""),"",SUMIFS(tblIssues[Qty Issued],tblIssues[Staff ID],$B1304,tblIssues[Item Name],$F1304,tblIssues[Month],$R1304))</f>
        <v>50</v>
      </c>
      <c r="T1304" s="56">
        <f>IF($I1304="","",$I1304*Settings!$C$11)</f>
        <v>50</v>
      </c>
      <c r="U1304" s="57" t="str">
        <f t="shared" si="227"/>
        <v>OK</v>
      </c>
      <c r="V1304" s="55" t="str">
        <f t="shared" si="231"/>
        <v/>
      </c>
      <c r="W1304" s="55" t="str">
        <f>IF($V1304="","",IF(COUNTIF($V$5:$V1304,$V1304)=1,1,""))</f>
        <v/>
      </c>
      <c r="X1304" s="58" t="str">
        <f>IF($W1304="","",MAX($X$4:X1303)+1)</f>
        <v/>
      </c>
      <c r="Y1304" s="62"/>
      <c r="Z1304" s="62"/>
      <c r="AA1304" s="64" t="str">
        <f>IF($C1304="","",IFERROR(INDEX('Staff Directory'!$E$5:$E$594,MATCH($C1304,'Staff Directory'!$B$5:$B$594,0)),""))</f>
        <v>firstname149.lastname149@example.com</v>
      </c>
      <c r="AB1304" s="64" t="str">
        <f>IF($C1304="","",IF(ISNUMBER(SEARCH($D1304,Settings!$C$15)),"Pickup","Dispatch"))</f>
        <v>Dispatch</v>
      </c>
      <c r="AC1304" s="64" t="str">
        <f t="shared" si="232"/>
        <v>Supply order dispatched</v>
      </c>
      <c r="AD1304" s="64" t="str">
        <f t="shared" si="223"/>
        <v>Dear TL/RPN,
Your order has been dispatched and is in transit. Reply if undelivered.</v>
      </c>
      <c r="AE1304" s="64" t="str">
        <f t="shared" si="224"/>
        <v>mailto:firstname149.lastname149@example.com?subject=Supply%20order%20dispatched&amp;body=Dear%20TL%2FRPN%2C%0A%0AYour%20order%20has%20been%20dispatched%20and%20is%20in%20transit.%20Reply%20if%20undelivered.</v>
      </c>
      <c r="AF1304" s="89" t="str">
        <f t="shared" si="233"/>
        <v>Draft email</v>
      </c>
      <c r="AG1304" s="64" t="str">
        <f>IF($C1304="","",IFERROR(INDEX('Staff Directory'!$K$595:$K$599,MATCH($C1304,'Staff Directory'!$B$5:$B$599,0)),$D1304))</f>
        <v>TL/RPN</v>
      </c>
      <c r="AH1304" t="str">
        <f>IF($C1304="","",IFERROR(INDEX('Staff Directory'!$I$595:$I$599,MATCH($C1304,'Staff Directory'!$B$5:$B$599,0))&amp;" "&amp;INDEX('Staff Directory'!$J$595:$J$599,MATCH($C1304,'Staff Directory'!$B$5:$B$599,0)),$AG1304))</f>
        <v>TL/RPN</v>
      </c>
      <c r="AI1304" s="102"/>
      <c r="AJ1304" s="101">
        <f>IF($F1304="","",SUMIFS($J$5:$J1304,$F$5:$F1304,$F1304))</f>
        <v>11000</v>
      </c>
      <c r="AK1304" s="101">
        <f t="shared" si="225"/>
        <v>10951</v>
      </c>
      <c r="AL1304" s="66" t="str" cm="1">
        <f t="array" ref="AL1304">IF($F1304="","",IFERROR(INDEX('Lot Balance'!$B$5:$B$500,MATCH(1,INDEX(('Lot Balance'!$A$5:$A$500=$F1304)*('Lot Balance'!$K$5:$K$500&lt;$AK1304)*('Lot Balance'!$K$5:$K$500+'Lot Balance'!$D$5:$D$500&gt;=$AK1304),0),0)),""))</f>
        <v>102GPC24</v>
      </c>
      <c r="AM1304" s="66" t="str" cm="1">
        <f t="array" ref="AM1304">IF($F1304="","",IFERROR(INDEX('Lot Balance'!$B$5:$B$500,MATCH(1,INDEX(('Lot Balance'!$A$5:$A$500=$F1304)*('Lot Balance'!$K$5:$K$500&lt;$AJ1304)*('Lot Balance'!$K$5:$K$500+'Lot Balance'!$D$5:$D$500&gt;=$AJ1304),0),0)),""))</f>
        <v>102GPC24</v>
      </c>
      <c r="AN1304" s="66" t="str">
        <f>IF($F1304="","",IF($AI1304&lt;&gt;"",IF(COUNTIFS('Lot Balance'!$A$5:$A$500,$F1304,'Lot Balance'!$B$5:$B$500,$AI1304)=0,"⚠ override is not a lot of this item",IF($AI1304=$AL1304,"Override = FEFO","Override - FEFO says "&amp;$AL1304)),IF($AL1304="","⚠ no receipt on file for this item",IF($AM1304&lt;&gt;$AL1304,"FEFO auto - split, also "&amp;$AM1304,"FEFO auto"))))</f>
        <v>FEFO auto</v>
      </c>
      <c r="AO1304" s="114"/>
    </row>
    <row r="1305" spans="1:41" x14ac:dyDescent="0.35">
      <c r="A1305" s="74">
        <v>46191</v>
      </c>
      <c r="B1305" s="18" t="str">
        <f>IF($C1305="","",IFERROR(INDEX('Staff Directory'!$A$5:$A$594,MATCH($C1305,'Staff Directory'!$B$5:$B$594,0)),"⚠ unknown staff"))</f>
        <v>PSW-128-A6</v>
      </c>
      <c r="C1305" s="49" t="s">
        <v>1107</v>
      </c>
      <c r="D1305" s="19" t="str">
        <f>IF($B1305="","",IFERROR(INDEX('Staff Directory'!$C$5:$C$594,MATCH($B1305,'Staff Directory'!$A$5:$A$594,0)),""))</f>
        <v>PSW</v>
      </c>
      <c r="E1305" s="19" t="str">
        <f>IF($B1305="","",IFERROR(INDEX('Staff Directory'!$D$5:$D$594,MATCH($B1305,'Staff Directory'!$A$5:$A$594,0)),""))</f>
        <v>A6</v>
      </c>
      <c r="F1305" s="9" t="s">
        <v>129</v>
      </c>
      <c r="G1305" s="18" t="str">
        <f>IF($F1305="","",IFERROR(INDEX(Items!$B$5:$B$597,MATCH($F1305,Items!$A$5:$A$597,0)),"⚠ not in Items"))</f>
        <v>Gloves</v>
      </c>
      <c r="H1305" s="19" t="str">
        <f>IF($F1305="","",IFERROR(INDEX(Items!$C$5:$C$597,MATCH($F1305,Items!$A$5:$A$597,0)),""))</f>
        <v>Small</v>
      </c>
      <c r="I1305" s="23">
        <f>IF($F1305="","",IFERROR(INDEX(Items!$E$5:$E$597,MATCH($F1305,Items!$A$5:$A$597,0)),""))</f>
        <v>500</v>
      </c>
      <c r="J1305" s="115">
        <f>IF(tblIssues[[#This Row],[Qty Override]]&lt;&gt;"",tblIssues[[#This Row],[Qty Override]],IF(tblIssues[[#This Row],[Standard Issue]]="","",tblIssues[[#This Row],[Standard Issue]]))</f>
        <v>500</v>
      </c>
      <c r="K1305" s="20">
        <f>IF($F1305="","",IFERROR(INDEX(Items!$D$5:$D$597,MATCH($F1305,Items!$A$5:$A$597,0)),""))</f>
        <v>5.5E-2</v>
      </c>
      <c r="L1305" s="21">
        <f t="shared" si="228"/>
        <v>27.5</v>
      </c>
      <c r="M1305" s="9" t="str">
        <f t="shared" si="226"/>
        <v>ZIM504124207-8</v>
      </c>
      <c r="N1305" s="24">
        <f>IF($A1305="","",WORKDAY($A1305,Settings!$C$9,HolidayDates))</f>
        <v>46199</v>
      </c>
      <c r="O1305" s="24">
        <f>IF($N1305="","",WORKDAY($N1305,Settings!$C$10,HolidayDates))</f>
        <v>46239</v>
      </c>
      <c r="P1305" s="10" t="s">
        <v>501</v>
      </c>
      <c r="Q1305" s="52" t="str">
        <f t="shared" si="229"/>
        <v>Collected</v>
      </c>
      <c r="R1305" s="55" t="str">
        <f t="shared" si="230"/>
        <v>2026-06</v>
      </c>
      <c r="S1305" s="55">
        <f>IF(OR($B1305="",$F1305="",$R1305=""),"",SUMIFS(tblIssues[Qty Issued],tblIssues[Staff ID],$B1305,tblIssues[Item Name],$F1305,tblIssues[Month],$R1305))</f>
        <v>500</v>
      </c>
      <c r="T1305" s="56">
        <f>IF($I1305="","",$I1305*Settings!$C$11)</f>
        <v>500</v>
      </c>
      <c r="U1305" s="57" t="str">
        <f t="shared" si="227"/>
        <v>OK</v>
      </c>
      <c r="V1305" s="55" t="str">
        <f t="shared" si="231"/>
        <v/>
      </c>
      <c r="W1305" s="55" t="str">
        <f>IF($V1305="","",IF(COUNTIF($V$5:$V1305,$V1305)=1,1,""))</f>
        <v/>
      </c>
      <c r="X1305" s="58" t="str">
        <f>IF($W1305="","",MAX($X$4:X1304)+1)</f>
        <v/>
      </c>
      <c r="Y1305" s="62"/>
      <c r="Z1305" s="62"/>
      <c r="AA1305" s="64" t="str">
        <f>IF($C1305="","",IFERROR(INDEX('Staff Directory'!$E$5:$E$594,MATCH($C1305,'Staff Directory'!$B$5:$B$594,0)),""))</f>
        <v>firstname191.lastname191@example.com</v>
      </c>
      <c r="AB1305" s="64" t="str">
        <f>IF($C1305="","",IF(ISNUMBER(SEARCH($D1305,Settings!$C$15)),"Pickup","Dispatch"))</f>
        <v>Pickup</v>
      </c>
      <c r="AC1305" s="64" t="str">
        <f t="shared" si="232"/>
        <v>Supply order ready for pickup</v>
      </c>
      <c r="AD1305" s="64" t="str">
        <f t="shared" si="223"/>
        <v>Dear PSW,
Your order is ready for pickup from Sample Branch, Wed-Fri 9am-4pm.</v>
      </c>
      <c r="AE1305" s="64" t="str">
        <f t="shared" si="224"/>
        <v>mailto:firstname191.lastname191@example.com?subject=Supply%20order%20ready%20for%20pickup&amp;body=Dear%20PSW%2C%0A%0AYour%20order%20is%20ready%20for%20pickup%20from%20Sample%20Branch%2C%20Wed-Fri%209am-4pm.</v>
      </c>
      <c r="AF1305" s="89" t="str">
        <f t="shared" si="233"/>
        <v>Draft email</v>
      </c>
      <c r="AG1305" s="64" t="str">
        <f>IF($C1305="","",IFERROR(INDEX('Staff Directory'!$K$595:$K$599,MATCH($C1305,'Staff Directory'!$B$5:$B$599,0)),$D1305))</f>
        <v>PSW</v>
      </c>
      <c r="AH1305" t="str">
        <f>IF($C1305="","",IFERROR(INDEX('Staff Directory'!$I$595:$I$599,MATCH($C1305,'Staff Directory'!$B$5:$B$599,0))&amp;" "&amp;INDEX('Staff Directory'!$J$595:$J$599,MATCH($C1305,'Staff Directory'!$B$5:$B$599,0)),$AG1305))</f>
        <v>PSW</v>
      </c>
      <c r="AI1305" s="102"/>
      <c r="AJ1305" s="101">
        <f>IF($F1305="","",SUMIFS($J$5:$J1305,$F$5:$F1305,$F1305))</f>
        <v>40000</v>
      </c>
      <c r="AK1305" s="101">
        <f t="shared" si="225"/>
        <v>39501</v>
      </c>
      <c r="AL1305" s="66" t="str" cm="1">
        <f t="array" ref="AL1305">IF($F1305="","",IFERROR(INDEX('Lot Balance'!$B$5:$B$500,MATCH(1,INDEX(('Lot Balance'!$A$5:$A$500=$F1305)*('Lot Balance'!$K$5:$K$500&lt;$AK1305)*('Lot Balance'!$K$5:$K$500+'Lot Balance'!$D$5:$D$500&gt;=$AK1305),0),0)),""))</f>
        <v>ZIM504124207-8</v>
      </c>
      <c r="AM1305" s="66" t="str" cm="1">
        <f t="array" ref="AM1305">IF($F1305="","",IFERROR(INDEX('Lot Balance'!$B$5:$B$500,MATCH(1,INDEX(('Lot Balance'!$A$5:$A$500=$F1305)*('Lot Balance'!$K$5:$K$500&lt;$AJ1305)*('Lot Balance'!$K$5:$K$500+'Lot Balance'!$D$5:$D$500&gt;=$AJ1305),0),0)),""))</f>
        <v>ZIM504124207-8</v>
      </c>
      <c r="AN1305" s="66" t="str">
        <f>IF($F1305="","",IF($AI1305&lt;&gt;"",IF(COUNTIFS('Lot Balance'!$A$5:$A$500,$F1305,'Lot Balance'!$B$5:$B$500,$AI1305)=0,"⚠ override is not a lot of this item",IF($AI1305=$AL1305,"Override = FEFO","Override - FEFO says "&amp;$AL1305)),IF($AL1305="","⚠ no receipt on file for this item",IF($AM1305&lt;&gt;$AL1305,"FEFO auto - split, also "&amp;$AM1305,"FEFO auto"))))</f>
        <v>FEFO auto</v>
      </c>
      <c r="AO1305" s="114"/>
    </row>
    <row r="1306" spans="1:41" x14ac:dyDescent="0.35">
      <c r="A1306" s="74">
        <v>46191</v>
      </c>
      <c r="B1306" s="18" t="str">
        <f>IF($C1306="","",IFERROR(INDEX('Staff Directory'!$A$5:$A$594,MATCH($C1306,'Staff Directory'!$B$5:$B$594,0)),"⚠ unknown staff"))</f>
        <v>PSW-128-A6</v>
      </c>
      <c r="C1306" s="49" t="s">
        <v>1107</v>
      </c>
      <c r="D1306" s="19" t="str">
        <f>IF($B1306="","",IFERROR(INDEX('Staff Directory'!$C$5:$C$594,MATCH($B1306,'Staff Directory'!$A$5:$A$594,0)),""))</f>
        <v>PSW</v>
      </c>
      <c r="E1306" s="19" t="str">
        <f>IF($B1306="","",IFERROR(INDEX('Staff Directory'!$D$5:$D$594,MATCH($B1306,'Staff Directory'!$A$5:$A$594,0)),""))</f>
        <v>A6</v>
      </c>
      <c r="F1306" s="9" t="s">
        <v>115</v>
      </c>
      <c r="G1306" s="18" t="str">
        <f>IF($F1306="","",IFERROR(INDEX(Items!$B$5:$B$597,MATCH($F1306,Items!$A$5:$A$597,0)),"⚠ not in Items"))</f>
        <v>Wipes</v>
      </c>
      <c r="H1306" s="19">
        <f>IF($F1306="","",IFERROR(INDEX(Items!$C$5:$C$597,MATCH($F1306,Items!$A$5:$A$597,0)),""))</f>
        <v>80</v>
      </c>
      <c r="I1306" s="23">
        <f>IF($F1306="","",IFERROR(INDEX(Items!$E$5:$E$597,MATCH($F1306,Items!$A$5:$A$597,0)),""))</f>
        <v>80</v>
      </c>
      <c r="J1306" s="115">
        <f>IF(tblIssues[[#This Row],[Qty Override]]&lt;&gt;"",tblIssues[[#This Row],[Qty Override]],IF(tblIssues[[#This Row],[Standard Issue]]="","",tblIssues[[#This Row],[Standard Issue]]))</f>
        <v>80</v>
      </c>
      <c r="K1306" s="20">
        <f>IF($F1306="","",IFERROR(INDEX(Items!$D$5:$D$597,MATCH($F1306,Items!$A$5:$A$597,0)),""))</f>
        <v>0.1</v>
      </c>
      <c r="L1306" s="21">
        <f t="shared" si="228"/>
        <v>8</v>
      </c>
      <c r="M1306" s="9" t="str">
        <f t="shared" si="226"/>
        <v>LYSL500290</v>
      </c>
      <c r="N1306" s="24">
        <f>IF($A1306="","",WORKDAY($A1306,Settings!$C$9,HolidayDates))</f>
        <v>46199</v>
      </c>
      <c r="O1306" s="24">
        <f>IF($N1306="","",WORKDAY($N1306,Settings!$C$10,HolidayDates))</f>
        <v>46239</v>
      </c>
      <c r="P1306" s="10" t="s">
        <v>501</v>
      </c>
      <c r="Q1306" s="52" t="str">
        <f t="shared" si="229"/>
        <v>Collected</v>
      </c>
      <c r="R1306" s="55" t="str">
        <f t="shared" si="230"/>
        <v>2026-06</v>
      </c>
      <c r="S1306" s="55">
        <f>IF(OR($B1306="",$F1306="",$R1306=""),"",SUMIFS(tblIssues[Qty Issued],tblIssues[Staff ID],$B1306,tblIssues[Item Name],$F1306,tblIssues[Month],$R1306))</f>
        <v>80</v>
      </c>
      <c r="T1306" s="56">
        <f>IF($I1306="","",$I1306*Settings!$C$11)</f>
        <v>80</v>
      </c>
      <c r="U1306" s="57" t="str">
        <f t="shared" si="227"/>
        <v>OK</v>
      </c>
      <c r="V1306" s="55" t="str">
        <f t="shared" si="231"/>
        <v/>
      </c>
      <c r="W1306" s="55" t="str">
        <f>IF($V1306="","",IF(COUNTIF($V$5:$V1306,$V1306)=1,1,""))</f>
        <v/>
      </c>
      <c r="X1306" s="58" t="str">
        <f>IF($W1306="","",MAX($X$4:X1305)+1)</f>
        <v/>
      </c>
      <c r="Y1306" s="62"/>
      <c r="Z1306" s="62"/>
      <c r="AA1306" s="64" t="str">
        <f>IF($C1306="","",IFERROR(INDEX('Staff Directory'!$E$5:$E$594,MATCH($C1306,'Staff Directory'!$B$5:$B$594,0)),""))</f>
        <v>firstname191.lastname191@example.com</v>
      </c>
      <c r="AB1306" s="64" t="str">
        <f>IF($C1306="","",IF(ISNUMBER(SEARCH($D1306,Settings!$C$15)),"Pickup","Dispatch"))</f>
        <v>Pickup</v>
      </c>
      <c r="AC1306" s="64" t="str">
        <f t="shared" si="232"/>
        <v>Supply order ready for pickup</v>
      </c>
      <c r="AD1306" s="64" t="str">
        <f t="shared" si="223"/>
        <v>Dear PSW,
Your order is ready for pickup from Sample Branch, Wed-Fri 9am-4pm.</v>
      </c>
      <c r="AE1306" s="64" t="str">
        <f t="shared" si="224"/>
        <v>mailto:firstname191.lastname191@example.com?subject=Supply%20order%20ready%20for%20pickup&amp;body=Dear%20PSW%2C%0A%0AYour%20order%20is%20ready%20for%20pickup%20from%20Sample%20Branch%2C%20Wed-Fri%209am-4pm.</v>
      </c>
      <c r="AF1306" s="89" t="str">
        <f t="shared" si="233"/>
        <v>Draft email</v>
      </c>
      <c r="AG1306" s="64" t="str">
        <f>IF($C1306="","",IFERROR(INDEX('Staff Directory'!$K$595:$K$599,MATCH($C1306,'Staff Directory'!$B$5:$B$599,0)),$D1306))</f>
        <v>PSW</v>
      </c>
      <c r="AH1306" t="str">
        <f>IF($C1306="","",IFERROR(INDEX('Staff Directory'!$I$595:$I$599,MATCH($C1306,'Staff Directory'!$B$5:$B$599,0))&amp;" "&amp;INDEX('Staff Directory'!$J$595:$J$599,MATCH($C1306,'Staff Directory'!$B$5:$B$599,0)),$AG1306))</f>
        <v>PSW</v>
      </c>
      <c r="AI1306" s="102"/>
      <c r="AJ1306" s="101">
        <f>IF($F1306="","",SUMIFS($J$5:$J1306,$F$5:$F1306,$F1306))</f>
        <v>17920</v>
      </c>
      <c r="AK1306" s="101">
        <f t="shared" si="225"/>
        <v>17841</v>
      </c>
      <c r="AL1306" s="66" t="str" cm="1">
        <f t="array" ref="AL1306">IF($F1306="","",IFERROR(INDEX('Lot Balance'!$B$5:$B$500,MATCH(1,INDEX(('Lot Balance'!$A$5:$A$500=$F1306)*('Lot Balance'!$K$5:$K$500&lt;$AK1306)*('Lot Balance'!$K$5:$K$500+'Lot Balance'!$D$5:$D$500&gt;=$AK1306),0),0)),""))</f>
        <v>LYSL500290</v>
      </c>
      <c r="AM1306" s="66" t="str" cm="1">
        <f t="array" ref="AM1306">IF($F1306="","",IFERROR(INDEX('Lot Balance'!$B$5:$B$500,MATCH(1,INDEX(('Lot Balance'!$A$5:$A$500=$F1306)*('Lot Balance'!$K$5:$K$500&lt;$AJ1306)*('Lot Balance'!$K$5:$K$500+'Lot Balance'!$D$5:$D$500&gt;=$AJ1306),0),0)),""))</f>
        <v>LYSL500290</v>
      </c>
      <c r="AN1306" s="66" t="str">
        <f>IF($F1306="","",IF($AI1306&lt;&gt;"",IF(COUNTIFS('Lot Balance'!$A$5:$A$500,$F1306,'Lot Balance'!$B$5:$B$500,$AI1306)=0,"⚠ override is not a lot of this item",IF($AI1306=$AL1306,"Override = FEFO","Override - FEFO says "&amp;$AL1306)),IF($AL1306="","⚠ no receipt on file for this item",IF($AM1306&lt;&gt;$AL1306,"FEFO auto - split, also "&amp;$AM1306,"FEFO auto"))))</f>
        <v>FEFO auto</v>
      </c>
      <c r="AO1306" s="114"/>
    </row>
    <row r="1307" spans="1:41" x14ac:dyDescent="0.35">
      <c r="A1307" s="74">
        <v>46191</v>
      </c>
      <c r="B1307" s="18" t="str">
        <f>IF($C1307="","",IFERROR(INDEX('Staff Directory'!$A$5:$A$594,MATCH($C1307,'Staff Directory'!$B$5:$B$594,0)),"⚠ unknown staff"))</f>
        <v>PSW-128-A6</v>
      </c>
      <c r="C1307" s="49" t="s">
        <v>1107</v>
      </c>
      <c r="D1307" s="19" t="str">
        <f>IF($B1307="","",IFERROR(INDEX('Staff Directory'!$C$5:$C$594,MATCH($B1307,'Staff Directory'!$A$5:$A$594,0)),""))</f>
        <v>PSW</v>
      </c>
      <c r="E1307" s="19" t="str">
        <f>IF($B1307="","",IFERROR(INDEX('Staff Directory'!$D$5:$D$594,MATCH($B1307,'Staff Directory'!$A$5:$A$594,0)),""))</f>
        <v>A6</v>
      </c>
      <c r="F1307" s="9" t="s">
        <v>156</v>
      </c>
      <c r="G1307" s="18" t="str">
        <f>IF($F1307="","",IFERROR(INDEX(Items!$B$5:$B$597,MATCH($F1307,Items!$A$5:$A$597,0)),"⚠ not in Items"))</f>
        <v>Masks</v>
      </c>
      <c r="H1307" s="19" t="str">
        <f>IF($F1307="","",IFERROR(INDEX(Items!$C$5:$C$597,MATCH($F1307,Items!$A$5:$A$597,0)),""))</f>
        <v>One Size</v>
      </c>
      <c r="I1307" s="23">
        <f>IF($F1307="","",IFERROR(INDEX(Items!$E$5:$E$597,MATCH($F1307,Items!$A$5:$A$597,0)),""))</f>
        <v>50</v>
      </c>
      <c r="J1307" s="115">
        <f>IF(tblIssues[[#This Row],[Qty Override]]&lt;&gt;"",tblIssues[[#This Row],[Qty Override]],IF(tblIssues[[#This Row],[Standard Issue]]="","",tblIssues[[#This Row],[Standard Issue]]))</f>
        <v>50</v>
      </c>
      <c r="K1307" s="20">
        <f>IF($F1307="","",IFERROR(INDEX(Items!$D$5:$D$597,MATCH($F1307,Items!$A$5:$A$597,0)),""))</f>
        <v>0.25</v>
      </c>
      <c r="L1307" s="21">
        <f t="shared" si="228"/>
        <v>12.5</v>
      </c>
      <c r="M1307" s="9" t="str">
        <f t="shared" si="226"/>
        <v>102GPC24</v>
      </c>
      <c r="N1307" s="24">
        <f>IF($A1307="","",WORKDAY($A1307,Settings!$C$9,HolidayDates))</f>
        <v>46199</v>
      </c>
      <c r="O1307" s="24">
        <f>IF($N1307="","",WORKDAY($N1307,Settings!$C$10,HolidayDates))</f>
        <v>46239</v>
      </c>
      <c r="P1307" s="10" t="s">
        <v>501</v>
      </c>
      <c r="Q1307" s="52" t="str">
        <f t="shared" si="229"/>
        <v>Collected</v>
      </c>
      <c r="R1307" s="55" t="str">
        <f t="shared" si="230"/>
        <v>2026-06</v>
      </c>
      <c r="S1307" s="55">
        <f>IF(OR($B1307="",$F1307="",$R1307=""),"",SUMIFS(tblIssues[Qty Issued],tblIssues[Staff ID],$B1307,tblIssues[Item Name],$F1307,tblIssues[Month],$R1307))</f>
        <v>50</v>
      </c>
      <c r="T1307" s="56">
        <f>IF($I1307="","",$I1307*Settings!$C$11)</f>
        <v>50</v>
      </c>
      <c r="U1307" s="57" t="str">
        <f t="shared" si="227"/>
        <v>OK</v>
      </c>
      <c r="V1307" s="55" t="str">
        <f t="shared" si="231"/>
        <v/>
      </c>
      <c r="W1307" s="55" t="str">
        <f>IF($V1307="","",IF(COUNTIF($V$5:$V1307,$V1307)=1,1,""))</f>
        <v/>
      </c>
      <c r="X1307" s="58" t="str">
        <f>IF($W1307="","",MAX($X$4:X1306)+1)</f>
        <v/>
      </c>
      <c r="Y1307" s="62"/>
      <c r="Z1307" s="62"/>
      <c r="AA1307" s="64" t="str">
        <f>IF($C1307="","",IFERROR(INDEX('Staff Directory'!$E$5:$E$594,MATCH($C1307,'Staff Directory'!$B$5:$B$594,0)),""))</f>
        <v>firstname191.lastname191@example.com</v>
      </c>
      <c r="AB1307" s="64" t="str">
        <f>IF($C1307="","",IF(ISNUMBER(SEARCH($D1307,Settings!$C$15)),"Pickup","Dispatch"))</f>
        <v>Pickup</v>
      </c>
      <c r="AC1307" s="64" t="str">
        <f t="shared" si="232"/>
        <v>Supply order ready for pickup</v>
      </c>
      <c r="AD1307" s="64" t="str">
        <f t="shared" si="223"/>
        <v>Dear PSW,
Your order is ready for pickup from Sample Branch, Wed-Fri 9am-4pm.</v>
      </c>
      <c r="AE1307" s="64" t="str">
        <f t="shared" si="224"/>
        <v>mailto:firstname191.lastname191@example.com?subject=Supply%20order%20ready%20for%20pickup&amp;body=Dear%20PSW%2C%0A%0AYour%20order%20is%20ready%20for%20pickup%20from%20Sample%20Branch%2C%20Wed-Fri%209am-4pm.</v>
      </c>
      <c r="AF1307" s="89" t="str">
        <f t="shared" si="233"/>
        <v>Draft email</v>
      </c>
      <c r="AG1307" s="64" t="str">
        <f>IF($C1307="","",IFERROR(INDEX('Staff Directory'!$K$595:$K$599,MATCH($C1307,'Staff Directory'!$B$5:$B$599,0)),$D1307))</f>
        <v>PSW</v>
      </c>
      <c r="AH1307" t="str">
        <f>IF($C1307="","",IFERROR(INDEX('Staff Directory'!$I$595:$I$599,MATCH($C1307,'Staff Directory'!$B$5:$B$599,0))&amp;" "&amp;INDEX('Staff Directory'!$J$595:$J$599,MATCH($C1307,'Staff Directory'!$B$5:$B$599,0)),$AG1307))</f>
        <v>PSW</v>
      </c>
      <c r="AI1307" s="102"/>
      <c r="AJ1307" s="101">
        <f>IF($F1307="","",SUMIFS($J$5:$J1307,$F$5:$F1307,$F1307))</f>
        <v>11050</v>
      </c>
      <c r="AK1307" s="101">
        <f t="shared" si="225"/>
        <v>11001</v>
      </c>
      <c r="AL1307" s="66" t="str" cm="1">
        <f t="array" ref="AL1307">IF($F1307="","",IFERROR(INDEX('Lot Balance'!$B$5:$B$500,MATCH(1,INDEX(('Lot Balance'!$A$5:$A$500=$F1307)*('Lot Balance'!$K$5:$K$500&lt;$AK1307)*('Lot Balance'!$K$5:$K$500+'Lot Balance'!$D$5:$D$500&gt;=$AK1307),0),0)),""))</f>
        <v>102GPC24</v>
      </c>
      <c r="AM1307" s="66" t="str" cm="1">
        <f t="array" ref="AM1307">IF($F1307="","",IFERROR(INDEX('Lot Balance'!$B$5:$B$500,MATCH(1,INDEX(('Lot Balance'!$A$5:$A$500=$F1307)*('Lot Balance'!$K$5:$K$500&lt;$AJ1307)*('Lot Balance'!$K$5:$K$500+'Lot Balance'!$D$5:$D$500&gt;=$AJ1307),0),0)),""))</f>
        <v>102GPC24</v>
      </c>
      <c r="AN1307" s="66" t="str">
        <f>IF($F1307="","",IF($AI1307&lt;&gt;"",IF(COUNTIFS('Lot Balance'!$A$5:$A$500,$F1307,'Lot Balance'!$B$5:$B$500,$AI1307)=0,"⚠ override is not a lot of this item",IF($AI1307=$AL1307,"Override = FEFO","Override - FEFO says "&amp;$AL1307)),IF($AL1307="","⚠ no receipt on file for this item",IF($AM1307&lt;&gt;$AL1307,"FEFO auto - split, also "&amp;$AM1307,"FEFO auto"))))</f>
        <v>FEFO auto</v>
      </c>
      <c r="AO1307" s="114"/>
    </row>
    <row r="1308" spans="1:41" x14ac:dyDescent="0.35">
      <c r="A1308" s="74">
        <v>46191</v>
      </c>
      <c r="B1308" s="18" t="str">
        <f>IF($C1308="","",IFERROR(INDEX('Staff Directory'!$A$5:$A$594,MATCH($C1308,'Staff Directory'!$B$5:$B$594,0)),"⚠ unknown staff"))</f>
        <v>PSW-131-A5</v>
      </c>
      <c r="C1308" s="49" t="s">
        <v>1110</v>
      </c>
      <c r="D1308" s="19" t="str">
        <f>IF($B1308="","",IFERROR(INDEX('Staff Directory'!$C$5:$C$594,MATCH($B1308,'Staff Directory'!$A$5:$A$594,0)),""))</f>
        <v>PSW</v>
      </c>
      <c r="E1308" s="19" t="str">
        <f>IF($B1308="","",IFERROR(INDEX('Staff Directory'!$D$5:$D$594,MATCH($B1308,'Staff Directory'!$A$5:$A$594,0)),""))</f>
        <v>A5</v>
      </c>
      <c r="F1308" s="9" t="s">
        <v>129</v>
      </c>
      <c r="G1308" s="18" t="str">
        <f>IF($F1308="","",IFERROR(INDEX(Items!$B$5:$B$597,MATCH($F1308,Items!$A$5:$A$597,0)),"⚠ not in Items"))</f>
        <v>Gloves</v>
      </c>
      <c r="H1308" s="19" t="str">
        <f>IF($F1308="","",IFERROR(INDEX(Items!$C$5:$C$597,MATCH($F1308,Items!$A$5:$A$597,0)),""))</f>
        <v>Small</v>
      </c>
      <c r="I1308" s="23">
        <f>IF($F1308="","",IFERROR(INDEX(Items!$E$5:$E$597,MATCH($F1308,Items!$A$5:$A$597,0)),""))</f>
        <v>500</v>
      </c>
      <c r="J1308" s="115">
        <f>IF(tblIssues[[#This Row],[Qty Override]]&lt;&gt;"",tblIssues[[#This Row],[Qty Override]],IF(tblIssues[[#This Row],[Standard Issue]]="","",tblIssues[[#This Row],[Standard Issue]]))</f>
        <v>500</v>
      </c>
      <c r="K1308" s="20">
        <f>IF($F1308="","",IFERROR(INDEX(Items!$D$5:$D$597,MATCH($F1308,Items!$A$5:$A$597,0)),""))</f>
        <v>5.5E-2</v>
      </c>
      <c r="L1308" s="21">
        <f t="shared" si="228"/>
        <v>27.5</v>
      </c>
      <c r="M1308" s="9" t="str">
        <f t="shared" si="226"/>
        <v>ZIM504124207-8</v>
      </c>
      <c r="N1308" s="24">
        <f>IF($A1308="","",WORKDAY($A1308,Settings!$C$9,HolidayDates))</f>
        <v>46199</v>
      </c>
      <c r="O1308" s="24">
        <f>IF($N1308="","",WORKDAY($N1308,Settings!$C$10,HolidayDates))</f>
        <v>46239</v>
      </c>
      <c r="P1308" s="10" t="s">
        <v>501</v>
      </c>
      <c r="Q1308" s="52" t="str">
        <f t="shared" si="229"/>
        <v>Collected</v>
      </c>
      <c r="R1308" s="55" t="str">
        <f t="shared" si="230"/>
        <v>2026-06</v>
      </c>
      <c r="S1308" s="55">
        <f>IF(OR($B1308="",$F1308="",$R1308=""),"",SUMIFS(tblIssues[Qty Issued],tblIssues[Staff ID],$B1308,tblIssues[Item Name],$F1308,tblIssues[Month],$R1308))</f>
        <v>500</v>
      </c>
      <c r="T1308" s="56">
        <f>IF($I1308="","",$I1308*Settings!$C$11)</f>
        <v>500</v>
      </c>
      <c r="U1308" s="57" t="str">
        <f t="shared" si="227"/>
        <v>OK</v>
      </c>
      <c r="V1308" s="55" t="str">
        <f t="shared" si="231"/>
        <v/>
      </c>
      <c r="W1308" s="55" t="str">
        <f>IF($V1308="","",IF(COUNTIF($V$5:$V1308,$V1308)=1,1,""))</f>
        <v/>
      </c>
      <c r="X1308" s="58" t="str">
        <f>IF($W1308="","",MAX($X$4:X1307)+1)</f>
        <v/>
      </c>
      <c r="Y1308" s="62"/>
      <c r="Z1308" s="62"/>
      <c r="AA1308" s="64" t="str">
        <f>IF($C1308="","",IFERROR(INDEX('Staff Directory'!$E$5:$E$594,MATCH($C1308,'Staff Directory'!$B$5:$B$594,0)),""))</f>
        <v>firstname194.lastname194@example.com</v>
      </c>
      <c r="AB1308" s="64" t="str">
        <f>IF($C1308="","",IF(ISNUMBER(SEARCH($D1308,Settings!$C$15)),"Pickup","Dispatch"))</f>
        <v>Pickup</v>
      </c>
      <c r="AC1308" s="64" t="str">
        <f t="shared" si="232"/>
        <v>Supply order ready for pickup</v>
      </c>
      <c r="AD1308" s="64" t="str">
        <f t="shared" si="223"/>
        <v>Dear PSW,
Your order is ready for pickup from Sample Branch, Wed-Fri 9am-4pm.</v>
      </c>
      <c r="AE1308" s="64" t="str">
        <f t="shared" si="224"/>
        <v>mailto:firstname194.lastname194@example.com?subject=Supply%20order%20ready%20for%20pickup&amp;body=Dear%20PSW%2C%0A%0AYour%20order%20is%20ready%20for%20pickup%20from%20Sample%20Branch%2C%20Wed-Fri%209am-4pm.</v>
      </c>
      <c r="AF1308" s="89" t="str">
        <f t="shared" si="233"/>
        <v>Draft email</v>
      </c>
      <c r="AG1308" s="64" t="str">
        <f>IF($C1308="","",IFERROR(INDEX('Staff Directory'!$K$595:$K$599,MATCH($C1308,'Staff Directory'!$B$5:$B$599,0)),$D1308))</f>
        <v>PSW</v>
      </c>
      <c r="AH1308" t="str">
        <f>IF($C1308="","",IFERROR(INDEX('Staff Directory'!$I$595:$I$599,MATCH($C1308,'Staff Directory'!$B$5:$B$599,0))&amp;" "&amp;INDEX('Staff Directory'!$J$595:$J$599,MATCH($C1308,'Staff Directory'!$B$5:$B$599,0)),$AG1308))</f>
        <v>PSW</v>
      </c>
      <c r="AI1308" s="102"/>
      <c r="AJ1308" s="101">
        <f>IF($F1308="","",SUMIFS($J$5:$J1308,$F$5:$F1308,$F1308))</f>
        <v>40500</v>
      </c>
      <c r="AK1308" s="101">
        <f t="shared" si="225"/>
        <v>40001</v>
      </c>
      <c r="AL1308" s="66" t="str" cm="1">
        <f t="array" ref="AL1308">IF($F1308="","",IFERROR(INDEX('Lot Balance'!$B$5:$B$500,MATCH(1,INDEX(('Lot Balance'!$A$5:$A$500=$F1308)*('Lot Balance'!$K$5:$K$500&lt;$AK1308)*('Lot Balance'!$K$5:$K$500+'Lot Balance'!$D$5:$D$500&gt;=$AK1308),0),0)),""))</f>
        <v>ZIM504124207-8</v>
      </c>
      <c r="AM1308" s="66" t="str" cm="1">
        <f t="array" ref="AM1308">IF($F1308="","",IFERROR(INDEX('Lot Balance'!$B$5:$B$500,MATCH(1,INDEX(('Lot Balance'!$A$5:$A$500=$F1308)*('Lot Balance'!$K$5:$K$500&lt;$AJ1308)*('Lot Balance'!$K$5:$K$500+'Lot Balance'!$D$5:$D$500&gt;=$AJ1308),0),0)),""))</f>
        <v>ZIM504124207-8</v>
      </c>
      <c r="AN1308" s="66" t="str">
        <f>IF($F1308="","",IF($AI1308&lt;&gt;"",IF(COUNTIFS('Lot Balance'!$A$5:$A$500,$F1308,'Lot Balance'!$B$5:$B$500,$AI1308)=0,"⚠ override is not a lot of this item",IF($AI1308=$AL1308,"Override = FEFO","Override - FEFO says "&amp;$AL1308)),IF($AL1308="","⚠ no receipt on file for this item",IF($AM1308&lt;&gt;$AL1308,"FEFO auto - split, also "&amp;$AM1308,"FEFO auto"))))</f>
        <v>FEFO auto</v>
      </c>
      <c r="AO1308" s="114"/>
    </row>
    <row r="1309" spans="1:41" x14ac:dyDescent="0.35">
      <c r="A1309" s="74">
        <v>46191</v>
      </c>
      <c r="B1309" s="18" t="str">
        <f>IF($C1309="","",IFERROR(INDEX('Staff Directory'!$A$5:$A$594,MATCH($C1309,'Staff Directory'!$B$5:$B$594,0)),"⚠ unknown staff"))</f>
        <v>PSW-131-A5</v>
      </c>
      <c r="C1309" s="49" t="s">
        <v>1110</v>
      </c>
      <c r="D1309" s="19" t="str">
        <f>IF($B1309="","",IFERROR(INDEX('Staff Directory'!$C$5:$C$594,MATCH($B1309,'Staff Directory'!$A$5:$A$594,0)),""))</f>
        <v>PSW</v>
      </c>
      <c r="E1309" s="19" t="str">
        <f>IF($B1309="","",IFERROR(INDEX('Staff Directory'!$D$5:$D$594,MATCH($B1309,'Staff Directory'!$A$5:$A$594,0)),""))</f>
        <v>A5</v>
      </c>
      <c r="F1309" s="9" t="s">
        <v>191</v>
      </c>
      <c r="G1309" s="18" t="str">
        <f>IF($F1309="","",IFERROR(INDEX(Items!$B$5:$B$597,MATCH($F1309,Items!$A$5:$A$597,0)),"⚠ not in Items"))</f>
        <v>Sanitizer</v>
      </c>
      <c r="H1309" s="19" t="str">
        <f>IF($F1309="","",IFERROR(INDEX(Items!$C$5:$C$597,MATCH($F1309,Items!$A$5:$A$597,0)),""))</f>
        <v>236 ML</v>
      </c>
      <c r="I1309" s="23">
        <f>IF($F1309="","",IFERROR(INDEX(Items!$E$5:$E$597,MATCH($F1309,Items!$A$5:$A$597,0)),""))</f>
        <v>1</v>
      </c>
      <c r="J1309" s="115">
        <f>IF(tblIssues[[#This Row],[Qty Override]]&lt;&gt;"",tblIssues[[#This Row],[Qty Override]],IF(tblIssues[[#This Row],[Standard Issue]]="","",tblIssues[[#This Row],[Standard Issue]]))</f>
        <v>1</v>
      </c>
      <c r="K1309" s="20">
        <f>IF($F1309="","",IFERROR(INDEX(Items!$D$5:$D$597,MATCH($F1309,Items!$A$5:$A$597,0)),""))</f>
        <v>1E-4</v>
      </c>
      <c r="L1309" s="21">
        <f t="shared" si="228"/>
        <v>1E-4</v>
      </c>
      <c r="M1309" s="9" t="str">
        <f t="shared" si="226"/>
        <v/>
      </c>
      <c r="N1309" s="24">
        <f>IF($A1309="","",WORKDAY($A1309,Settings!$C$9,HolidayDates))</f>
        <v>46199</v>
      </c>
      <c r="O1309" s="24">
        <f>IF($N1309="","",WORKDAY($N1309,Settings!$C$10,HolidayDates))</f>
        <v>46239</v>
      </c>
      <c r="P1309" s="10" t="s">
        <v>501</v>
      </c>
      <c r="Q1309" s="52" t="str">
        <f t="shared" si="229"/>
        <v>Collected</v>
      </c>
      <c r="R1309" s="55" t="str">
        <f t="shared" si="230"/>
        <v>2026-06</v>
      </c>
      <c r="S1309" s="55">
        <f>IF(OR($B1309="",$F1309="",$R1309=""),"",SUMIFS(tblIssues[Qty Issued],tblIssues[Staff ID],$B1309,tblIssues[Item Name],$F1309,tblIssues[Month],$R1309))</f>
        <v>1</v>
      </c>
      <c r="T1309" s="56">
        <f>IF($I1309="","",$I1309*Settings!$C$11)</f>
        <v>1</v>
      </c>
      <c r="U1309" s="57" t="str">
        <f t="shared" si="227"/>
        <v>OK</v>
      </c>
      <c r="V1309" s="55" t="str">
        <f t="shared" si="231"/>
        <v/>
      </c>
      <c r="W1309" s="55" t="str">
        <f>IF($V1309="","",IF(COUNTIF($V$5:$V1309,$V1309)=1,1,""))</f>
        <v/>
      </c>
      <c r="X1309" s="58" t="str">
        <f>IF($W1309="","",MAX($X$4:X1308)+1)</f>
        <v/>
      </c>
      <c r="Y1309" s="62"/>
      <c r="Z1309" s="62"/>
      <c r="AA1309" s="64" t="str">
        <f>IF($C1309="","",IFERROR(INDEX('Staff Directory'!$E$5:$E$594,MATCH($C1309,'Staff Directory'!$B$5:$B$594,0)),""))</f>
        <v>firstname194.lastname194@example.com</v>
      </c>
      <c r="AB1309" s="64" t="str">
        <f>IF($C1309="","",IF(ISNUMBER(SEARCH($D1309,Settings!$C$15)),"Pickup","Dispatch"))</f>
        <v>Pickup</v>
      </c>
      <c r="AC1309" s="64" t="str">
        <f t="shared" si="232"/>
        <v>Supply order ready for pickup</v>
      </c>
      <c r="AD1309" s="64" t="str">
        <f t="shared" si="223"/>
        <v>Dear PSW,
Your order is ready for pickup from Sample Branch, Wed-Fri 9am-4pm.</v>
      </c>
      <c r="AE1309" s="64" t="str">
        <f t="shared" si="224"/>
        <v>mailto:firstname194.lastname194@example.com?subject=Supply%20order%20ready%20for%20pickup&amp;body=Dear%20PSW%2C%0A%0AYour%20order%20is%20ready%20for%20pickup%20from%20Sample%20Branch%2C%20Wed-Fri%209am-4pm.</v>
      </c>
      <c r="AF1309" s="89" t="str">
        <f t="shared" si="233"/>
        <v>Draft email</v>
      </c>
      <c r="AG1309" s="64" t="str">
        <f>IF($C1309="","",IFERROR(INDEX('Staff Directory'!$K$595:$K$599,MATCH($C1309,'Staff Directory'!$B$5:$B$599,0)),$D1309))</f>
        <v>PSW</v>
      </c>
      <c r="AH1309" t="str">
        <f>IF($C1309="","",IFERROR(INDEX('Staff Directory'!$I$595:$I$599,MATCH($C1309,'Staff Directory'!$B$5:$B$599,0))&amp;" "&amp;INDEX('Staff Directory'!$J$595:$J$599,MATCH($C1309,'Staff Directory'!$B$5:$B$599,0)),$AG1309))</f>
        <v>PSW</v>
      </c>
      <c r="AI1309" s="102"/>
      <c r="AJ1309" s="101">
        <f>IF($F1309="","",SUMIFS($J$5:$J1309,$F$5:$F1309,$F1309))</f>
        <v>172</v>
      </c>
      <c r="AK1309" s="101">
        <f t="shared" si="225"/>
        <v>172</v>
      </c>
      <c r="AL1309" s="66" t="str" cm="1">
        <f t="array" ref="AL1309">IF($F1309="","",IFERROR(INDEX('Lot Balance'!$B$5:$B$500,MATCH(1,INDEX(('Lot Balance'!$A$5:$A$500=$F1309)*('Lot Balance'!$K$5:$K$500&lt;$AK1309)*('Lot Balance'!$K$5:$K$500+'Lot Balance'!$D$5:$D$500&gt;=$AK1309),0),0)),""))</f>
        <v/>
      </c>
      <c r="AM1309" s="66" t="str" cm="1">
        <f t="array" ref="AM1309">IF($F1309="","",IFERROR(INDEX('Lot Balance'!$B$5:$B$500,MATCH(1,INDEX(('Lot Balance'!$A$5:$A$500=$F1309)*('Lot Balance'!$K$5:$K$500&lt;$AJ1309)*('Lot Balance'!$K$5:$K$500+'Lot Balance'!$D$5:$D$500&gt;=$AJ1309),0),0)),""))</f>
        <v/>
      </c>
      <c r="AN1309" s="66" t="str">
        <f>IF($F1309="","",IF($AI1309&lt;&gt;"",IF(COUNTIFS('Lot Balance'!$A$5:$A$500,$F1309,'Lot Balance'!$B$5:$B$500,$AI1309)=0,"⚠ override is not a lot of this item",IF($AI1309=$AL1309,"Override = FEFO","Override - FEFO says "&amp;$AL1309)),IF($AL1309="","⚠ no receipt on file for this item",IF($AM1309&lt;&gt;$AL1309,"FEFO auto - split, also "&amp;$AM1309,"FEFO auto"))))</f>
        <v>⚠ no receipt on file for this item</v>
      </c>
      <c r="AO1309" s="114"/>
    </row>
    <row r="1310" spans="1:41" x14ac:dyDescent="0.35">
      <c r="A1310" s="74">
        <v>46191</v>
      </c>
      <c r="B1310" s="18" t="str">
        <f>IF($C1310="","",IFERROR(INDEX('Staff Directory'!$A$5:$A$594,MATCH($C1310,'Staff Directory'!$B$5:$B$594,0)),"⚠ unknown staff"))</f>
        <v>PSW-131-A5</v>
      </c>
      <c r="C1310" s="49" t="s">
        <v>1110</v>
      </c>
      <c r="D1310" s="19" t="str">
        <f>IF($B1310="","",IFERROR(INDEX('Staff Directory'!$C$5:$C$594,MATCH($B1310,'Staff Directory'!$A$5:$A$594,0)),""))</f>
        <v>PSW</v>
      </c>
      <c r="E1310" s="19" t="str">
        <f>IF($B1310="","",IFERROR(INDEX('Staff Directory'!$D$5:$D$594,MATCH($B1310,'Staff Directory'!$A$5:$A$594,0)),""))</f>
        <v>A5</v>
      </c>
      <c r="F1310" s="9" t="s">
        <v>115</v>
      </c>
      <c r="G1310" s="18" t="str">
        <f>IF($F1310="","",IFERROR(INDEX(Items!$B$5:$B$597,MATCH($F1310,Items!$A$5:$A$597,0)),"⚠ not in Items"))</f>
        <v>Wipes</v>
      </c>
      <c r="H1310" s="19">
        <f>IF($F1310="","",IFERROR(INDEX(Items!$C$5:$C$597,MATCH($F1310,Items!$A$5:$A$597,0)),""))</f>
        <v>80</v>
      </c>
      <c r="I1310" s="23">
        <f>IF($F1310="","",IFERROR(INDEX(Items!$E$5:$E$597,MATCH($F1310,Items!$A$5:$A$597,0)),""))</f>
        <v>80</v>
      </c>
      <c r="J1310" s="115">
        <f>IF(tblIssues[[#This Row],[Qty Override]]&lt;&gt;"",tblIssues[[#This Row],[Qty Override]],IF(tblIssues[[#This Row],[Standard Issue]]="","",tblIssues[[#This Row],[Standard Issue]]))</f>
        <v>80</v>
      </c>
      <c r="K1310" s="20">
        <f>IF($F1310="","",IFERROR(INDEX(Items!$D$5:$D$597,MATCH($F1310,Items!$A$5:$A$597,0)),""))</f>
        <v>0.1</v>
      </c>
      <c r="L1310" s="21">
        <f t="shared" si="228"/>
        <v>8</v>
      </c>
      <c r="M1310" s="9" t="str">
        <f t="shared" si="226"/>
        <v>LYSL500290</v>
      </c>
      <c r="N1310" s="24">
        <f>IF($A1310="","",WORKDAY($A1310,Settings!$C$9,HolidayDates))</f>
        <v>46199</v>
      </c>
      <c r="O1310" s="24">
        <f>IF($N1310="","",WORKDAY($N1310,Settings!$C$10,HolidayDates))</f>
        <v>46239</v>
      </c>
      <c r="P1310" s="10" t="s">
        <v>501</v>
      </c>
      <c r="Q1310" s="52" t="str">
        <f t="shared" si="229"/>
        <v>Collected</v>
      </c>
      <c r="R1310" s="55" t="str">
        <f t="shared" si="230"/>
        <v>2026-06</v>
      </c>
      <c r="S1310" s="55">
        <f>IF(OR($B1310="",$F1310="",$R1310=""),"",SUMIFS(tblIssues[Qty Issued],tblIssues[Staff ID],$B1310,tblIssues[Item Name],$F1310,tblIssues[Month],$R1310))</f>
        <v>80</v>
      </c>
      <c r="T1310" s="56">
        <f>IF($I1310="","",$I1310*Settings!$C$11)</f>
        <v>80</v>
      </c>
      <c r="U1310" s="57" t="str">
        <f t="shared" si="227"/>
        <v>OK</v>
      </c>
      <c r="V1310" s="55" t="str">
        <f t="shared" si="231"/>
        <v/>
      </c>
      <c r="W1310" s="55" t="str">
        <f>IF($V1310="","",IF(COUNTIF($V$5:$V1310,$V1310)=1,1,""))</f>
        <v/>
      </c>
      <c r="X1310" s="58" t="str">
        <f>IF($W1310="","",MAX($X$4:X1309)+1)</f>
        <v/>
      </c>
      <c r="Y1310" s="62"/>
      <c r="Z1310" s="62"/>
      <c r="AA1310" s="64" t="str">
        <f>IF($C1310="","",IFERROR(INDEX('Staff Directory'!$E$5:$E$594,MATCH($C1310,'Staff Directory'!$B$5:$B$594,0)),""))</f>
        <v>firstname194.lastname194@example.com</v>
      </c>
      <c r="AB1310" s="64" t="str">
        <f>IF($C1310="","",IF(ISNUMBER(SEARCH($D1310,Settings!$C$15)),"Pickup","Dispatch"))</f>
        <v>Pickup</v>
      </c>
      <c r="AC1310" s="64" t="str">
        <f t="shared" si="232"/>
        <v>Supply order ready for pickup</v>
      </c>
      <c r="AD1310" s="64" t="str">
        <f t="shared" si="223"/>
        <v>Dear PSW,
Your order is ready for pickup from Sample Branch, Wed-Fri 9am-4pm.</v>
      </c>
      <c r="AE1310" s="64" t="str">
        <f t="shared" si="224"/>
        <v>mailto:firstname194.lastname194@example.com?subject=Supply%20order%20ready%20for%20pickup&amp;body=Dear%20PSW%2C%0A%0AYour%20order%20is%20ready%20for%20pickup%20from%20Sample%20Branch%2C%20Wed-Fri%209am-4pm.</v>
      </c>
      <c r="AF1310" s="89" t="str">
        <f t="shared" si="233"/>
        <v>Draft email</v>
      </c>
      <c r="AG1310" s="64" t="str">
        <f>IF($C1310="","",IFERROR(INDEX('Staff Directory'!$K$595:$K$599,MATCH($C1310,'Staff Directory'!$B$5:$B$599,0)),$D1310))</f>
        <v>PSW</v>
      </c>
      <c r="AH1310" t="str">
        <f>IF($C1310="","",IFERROR(INDEX('Staff Directory'!$I$595:$I$599,MATCH($C1310,'Staff Directory'!$B$5:$B$599,0))&amp;" "&amp;INDEX('Staff Directory'!$J$595:$J$599,MATCH($C1310,'Staff Directory'!$B$5:$B$599,0)),$AG1310))</f>
        <v>PSW</v>
      </c>
      <c r="AI1310" s="102"/>
      <c r="AJ1310" s="101">
        <f>IF($F1310="","",SUMIFS($J$5:$J1310,$F$5:$F1310,$F1310))</f>
        <v>18000</v>
      </c>
      <c r="AK1310" s="101">
        <f t="shared" si="225"/>
        <v>17921</v>
      </c>
      <c r="AL1310" s="66" t="str" cm="1">
        <f t="array" ref="AL1310">IF($F1310="","",IFERROR(INDEX('Lot Balance'!$B$5:$B$500,MATCH(1,INDEX(('Lot Balance'!$A$5:$A$500=$F1310)*('Lot Balance'!$K$5:$K$500&lt;$AK1310)*('Lot Balance'!$K$5:$K$500+'Lot Balance'!$D$5:$D$500&gt;=$AK1310),0),0)),""))</f>
        <v>LYSL500290</v>
      </c>
      <c r="AM1310" s="66" t="str" cm="1">
        <f t="array" ref="AM1310">IF($F1310="","",IFERROR(INDEX('Lot Balance'!$B$5:$B$500,MATCH(1,INDEX(('Lot Balance'!$A$5:$A$500=$F1310)*('Lot Balance'!$K$5:$K$500&lt;$AJ1310)*('Lot Balance'!$K$5:$K$500+'Lot Balance'!$D$5:$D$500&gt;=$AJ1310),0),0)),""))</f>
        <v>LYSL500290</v>
      </c>
      <c r="AN1310" s="66" t="str">
        <f>IF($F1310="","",IF($AI1310&lt;&gt;"",IF(COUNTIFS('Lot Balance'!$A$5:$A$500,$F1310,'Lot Balance'!$B$5:$B$500,$AI1310)=0,"⚠ override is not a lot of this item",IF($AI1310=$AL1310,"Override = FEFO","Override - FEFO says "&amp;$AL1310)),IF($AL1310="","⚠ no receipt on file for this item",IF($AM1310&lt;&gt;$AL1310,"FEFO auto - split, also "&amp;$AM1310,"FEFO auto"))))</f>
        <v>FEFO auto</v>
      </c>
      <c r="AO1310" s="114"/>
    </row>
    <row r="1311" spans="1:41" x14ac:dyDescent="0.35">
      <c r="A1311" s="74">
        <v>46191</v>
      </c>
      <c r="B1311" s="18" t="str">
        <f>IF($C1311="","",IFERROR(INDEX('Staff Directory'!$A$5:$A$594,MATCH($C1311,'Staff Directory'!$B$5:$B$594,0)),"⚠ unknown staff"))</f>
        <v>PSW-131-A5</v>
      </c>
      <c r="C1311" s="49" t="s">
        <v>1110</v>
      </c>
      <c r="D1311" s="19" t="str">
        <f>IF($B1311="","",IFERROR(INDEX('Staff Directory'!$C$5:$C$594,MATCH($B1311,'Staff Directory'!$A$5:$A$594,0)),""))</f>
        <v>PSW</v>
      </c>
      <c r="E1311" s="19" t="str">
        <f>IF($B1311="","",IFERROR(INDEX('Staff Directory'!$D$5:$D$594,MATCH($B1311,'Staff Directory'!$A$5:$A$594,0)),""))</f>
        <v>A5</v>
      </c>
      <c r="F1311" s="9" t="s">
        <v>156</v>
      </c>
      <c r="G1311" s="18" t="str">
        <f>IF($F1311="","",IFERROR(INDEX(Items!$B$5:$B$597,MATCH($F1311,Items!$A$5:$A$597,0)),"⚠ not in Items"))</f>
        <v>Masks</v>
      </c>
      <c r="H1311" s="19" t="str">
        <f>IF($F1311="","",IFERROR(INDEX(Items!$C$5:$C$597,MATCH($F1311,Items!$A$5:$A$597,0)),""))</f>
        <v>One Size</v>
      </c>
      <c r="I1311" s="23">
        <f>IF($F1311="","",IFERROR(INDEX(Items!$E$5:$E$597,MATCH($F1311,Items!$A$5:$A$597,0)),""))</f>
        <v>50</v>
      </c>
      <c r="J1311" s="115">
        <f>IF(tblIssues[[#This Row],[Qty Override]]&lt;&gt;"",tblIssues[[#This Row],[Qty Override]],IF(tblIssues[[#This Row],[Standard Issue]]="","",tblIssues[[#This Row],[Standard Issue]]))</f>
        <v>50</v>
      </c>
      <c r="K1311" s="20">
        <f>IF($F1311="","",IFERROR(INDEX(Items!$D$5:$D$597,MATCH($F1311,Items!$A$5:$A$597,0)),""))</f>
        <v>0.25</v>
      </c>
      <c r="L1311" s="21">
        <f t="shared" si="228"/>
        <v>12.5</v>
      </c>
      <c r="M1311" s="9" t="str">
        <f t="shared" si="226"/>
        <v>102GPC24</v>
      </c>
      <c r="N1311" s="24">
        <f>IF($A1311="","",WORKDAY($A1311,Settings!$C$9,HolidayDates))</f>
        <v>46199</v>
      </c>
      <c r="O1311" s="24">
        <f>IF($N1311="","",WORKDAY($N1311,Settings!$C$10,HolidayDates))</f>
        <v>46239</v>
      </c>
      <c r="P1311" s="10" t="s">
        <v>501</v>
      </c>
      <c r="Q1311" s="52" t="str">
        <f t="shared" si="229"/>
        <v>Collected</v>
      </c>
      <c r="R1311" s="55" t="str">
        <f t="shared" si="230"/>
        <v>2026-06</v>
      </c>
      <c r="S1311" s="55">
        <f>IF(OR($B1311="",$F1311="",$R1311=""),"",SUMIFS(tblIssues[Qty Issued],tblIssues[Staff ID],$B1311,tblIssues[Item Name],$F1311,tblIssues[Month],$R1311))</f>
        <v>50</v>
      </c>
      <c r="T1311" s="56">
        <f>IF($I1311="","",$I1311*Settings!$C$11)</f>
        <v>50</v>
      </c>
      <c r="U1311" s="57" t="str">
        <f t="shared" si="227"/>
        <v>OK</v>
      </c>
      <c r="V1311" s="55" t="str">
        <f t="shared" si="231"/>
        <v/>
      </c>
      <c r="W1311" s="55" t="str">
        <f>IF($V1311="","",IF(COUNTIF($V$5:$V1311,$V1311)=1,1,""))</f>
        <v/>
      </c>
      <c r="X1311" s="58" t="str">
        <f>IF($W1311="","",MAX($X$4:X1310)+1)</f>
        <v/>
      </c>
      <c r="Y1311" s="62"/>
      <c r="Z1311" s="62"/>
      <c r="AA1311" s="64" t="str">
        <f>IF($C1311="","",IFERROR(INDEX('Staff Directory'!$E$5:$E$594,MATCH($C1311,'Staff Directory'!$B$5:$B$594,0)),""))</f>
        <v>firstname194.lastname194@example.com</v>
      </c>
      <c r="AB1311" s="64" t="str">
        <f>IF($C1311="","",IF(ISNUMBER(SEARCH($D1311,Settings!$C$15)),"Pickup","Dispatch"))</f>
        <v>Pickup</v>
      </c>
      <c r="AC1311" s="64" t="str">
        <f t="shared" si="232"/>
        <v>Supply order ready for pickup</v>
      </c>
      <c r="AD1311" s="64" t="str">
        <f t="shared" si="223"/>
        <v>Dear PSW,
Your order is ready for pickup from Sample Branch, Wed-Fri 9am-4pm.</v>
      </c>
      <c r="AE1311" s="64" t="str">
        <f t="shared" si="224"/>
        <v>mailto:firstname194.lastname194@example.com?subject=Supply%20order%20ready%20for%20pickup&amp;body=Dear%20PSW%2C%0A%0AYour%20order%20is%20ready%20for%20pickup%20from%20Sample%20Branch%2C%20Wed-Fri%209am-4pm.</v>
      </c>
      <c r="AF1311" s="89" t="str">
        <f t="shared" si="233"/>
        <v>Draft email</v>
      </c>
      <c r="AG1311" s="64" t="str">
        <f>IF($C1311="","",IFERROR(INDEX('Staff Directory'!$K$595:$K$599,MATCH($C1311,'Staff Directory'!$B$5:$B$599,0)),$D1311))</f>
        <v>PSW</v>
      </c>
      <c r="AH1311" t="str">
        <f>IF($C1311="","",IFERROR(INDEX('Staff Directory'!$I$595:$I$599,MATCH($C1311,'Staff Directory'!$B$5:$B$599,0))&amp;" "&amp;INDEX('Staff Directory'!$J$595:$J$599,MATCH($C1311,'Staff Directory'!$B$5:$B$599,0)),$AG1311))</f>
        <v>PSW</v>
      </c>
      <c r="AI1311" s="102"/>
      <c r="AJ1311" s="101">
        <f>IF($F1311="","",SUMIFS($J$5:$J1311,$F$5:$F1311,$F1311))</f>
        <v>11100</v>
      </c>
      <c r="AK1311" s="101">
        <f t="shared" si="225"/>
        <v>11051</v>
      </c>
      <c r="AL1311" s="66" t="str" cm="1">
        <f t="array" ref="AL1311">IF($F1311="","",IFERROR(INDEX('Lot Balance'!$B$5:$B$500,MATCH(1,INDEX(('Lot Balance'!$A$5:$A$500=$F1311)*('Lot Balance'!$K$5:$K$500&lt;$AK1311)*('Lot Balance'!$K$5:$K$500+'Lot Balance'!$D$5:$D$500&gt;=$AK1311),0),0)),""))</f>
        <v>102GPC24</v>
      </c>
      <c r="AM1311" s="66" t="str" cm="1">
        <f t="array" ref="AM1311">IF($F1311="","",IFERROR(INDEX('Lot Balance'!$B$5:$B$500,MATCH(1,INDEX(('Lot Balance'!$A$5:$A$500=$F1311)*('Lot Balance'!$K$5:$K$500&lt;$AJ1311)*('Lot Balance'!$K$5:$K$500+'Lot Balance'!$D$5:$D$500&gt;=$AJ1311),0),0)),""))</f>
        <v>102GPC24</v>
      </c>
      <c r="AN1311" s="66" t="str">
        <f>IF($F1311="","",IF($AI1311&lt;&gt;"",IF(COUNTIFS('Lot Balance'!$A$5:$A$500,$F1311,'Lot Balance'!$B$5:$B$500,$AI1311)=0,"⚠ override is not a lot of this item",IF($AI1311=$AL1311,"Override = FEFO","Override - FEFO says "&amp;$AL1311)),IF($AL1311="","⚠ no receipt on file for this item",IF($AM1311&lt;&gt;$AL1311,"FEFO auto - split, also "&amp;$AM1311,"FEFO auto"))))</f>
        <v>FEFO auto</v>
      </c>
      <c r="AO1311" s="114"/>
    </row>
    <row r="1312" spans="1:41" x14ac:dyDescent="0.35">
      <c r="A1312" s="74">
        <v>46191</v>
      </c>
      <c r="B1312" s="18" t="str">
        <f>IF($C1312="","",IFERROR(INDEX('Staff Directory'!$A$5:$A$594,MATCH($C1312,'Staff Directory'!$B$5:$B$594,0)),"⚠ unknown staff"))</f>
        <v>PSW-133-A6</v>
      </c>
      <c r="C1312" s="49" t="s">
        <v>1112</v>
      </c>
      <c r="D1312" s="19" t="str">
        <f>IF($B1312="","",IFERROR(INDEX('Staff Directory'!$C$5:$C$594,MATCH($B1312,'Staff Directory'!$A$5:$A$594,0)),""))</f>
        <v>PSW</v>
      </c>
      <c r="E1312" s="19" t="str">
        <f>IF($B1312="","",IFERROR(INDEX('Staff Directory'!$D$5:$D$594,MATCH($B1312,'Staff Directory'!$A$5:$A$594,0)),""))</f>
        <v>A6</v>
      </c>
      <c r="F1312" s="9" t="s">
        <v>124</v>
      </c>
      <c r="G1312" s="18" t="str">
        <f>IF($F1312="","",IFERROR(INDEX(Items!$B$5:$B$597,MATCH($F1312,Items!$A$5:$A$597,0)),"⚠ not in Items"))</f>
        <v>Gloves</v>
      </c>
      <c r="H1312" s="19" t="str">
        <f>IF($F1312="","",IFERROR(INDEX(Items!$C$5:$C$597,MATCH($F1312,Items!$A$5:$A$597,0)),""))</f>
        <v>Large</v>
      </c>
      <c r="I1312" s="23">
        <f>IF($F1312="","",IFERROR(INDEX(Items!$E$5:$E$597,MATCH($F1312,Items!$A$5:$A$597,0)),""))</f>
        <v>500</v>
      </c>
      <c r="J1312" s="115">
        <f>IF(tblIssues[[#This Row],[Qty Override]]&lt;&gt;"",tblIssues[[#This Row],[Qty Override]],IF(tblIssues[[#This Row],[Standard Issue]]="","",tblIssues[[#This Row],[Standard Issue]]))</f>
        <v>500</v>
      </c>
      <c r="K1312" s="20">
        <f>IF($F1312="","",IFERROR(INDEX(Items!$D$5:$D$597,MATCH($F1312,Items!$A$5:$A$597,0)),""))</f>
        <v>5.5E-2</v>
      </c>
      <c r="L1312" s="21">
        <f t="shared" si="228"/>
        <v>27.5</v>
      </c>
      <c r="M1312" s="9" t="str">
        <f t="shared" si="226"/>
        <v>ZIM511139904-2</v>
      </c>
      <c r="N1312" s="24">
        <f>IF($A1312="","",WORKDAY($A1312,Settings!$C$9,HolidayDates))</f>
        <v>46199</v>
      </c>
      <c r="O1312" s="24">
        <f>IF($N1312="","",WORKDAY($N1312,Settings!$C$10,HolidayDates))</f>
        <v>46239</v>
      </c>
      <c r="P1312" s="10" t="s">
        <v>501</v>
      </c>
      <c r="Q1312" s="52" t="str">
        <f t="shared" si="229"/>
        <v>Collected</v>
      </c>
      <c r="R1312" s="55" t="str">
        <f t="shared" si="230"/>
        <v>2026-06</v>
      </c>
      <c r="S1312" s="55">
        <f>IF(OR($B1312="",$F1312="",$R1312=""),"",SUMIFS(tblIssues[Qty Issued],tblIssues[Staff ID],$B1312,tblIssues[Item Name],$F1312,tblIssues[Month],$R1312))</f>
        <v>500</v>
      </c>
      <c r="T1312" s="56">
        <f>IF($I1312="","",$I1312*Settings!$C$11)</f>
        <v>500</v>
      </c>
      <c r="U1312" s="57" t="str">
        <f t="shared" si="227"/>
        <v>OK</v>
      </c>
      <c r="V1312" s="55" t="str">
        <f t="shared" si="231"/>
        <v/>
      </c>
      <c r="W1312" s="55" t="str">
        <f>IF($V1312="","",IF(COUNTIF($V$5:$V1312,$V1312)=1,1,""))</f>
        <v/>
      </c>
      <c r="X1312" s="58" t="str">
        <f>IF($W1312="","",MAX($X$4:X1311)+1)</f>
        <v/>
      </c>
      <c r="Y1312" s="62"/>
      <c r="Z1312" s="62"/>
      <c r="AA1312" s="64" t="str">
        <f>IF($C1312="","",IFERROR(INDEX('Staff Directory'!$E$5:$E$594,MATCH($C1312,'Staff Directory'!$B$5:$B$594,0)),""))</f>
        <v>firstname196.lastname196@example.com</v>
      </c>
      <c r="AB1312" s="64" t="str">
        <f>IF($C1312="","",IF(ISNUMBER(SEARCH($D1312,Settings!$C$15)),"Pickup","Dispatch"))</f>
        <v>Pickup</v>
      </c>
      <c r="AC1312" s="64" t="str">
        <f t="shared" si="232"/>
        <v>Supply order ready for pickup</v>
      </c>
      <c r="AD1312" s="64" t="str">
        <f t="shared" si="223"/>
        <v>Dear PSW,
Your order is ready for pickup from Sample Branch, Wed-Fri 9am-4pm.</v>
      </c>
      <c r="AE1312" s="64" t="str">
        <f t="shared" si="224"/>
        <v>mailto:firstname196.lastname196@example.com?subject=Supply%20order%20ready%20for%20pickup&amp;body=Dear%20PSW%2C%0A%0AYour%20order%20is%20ready%20for%20pickup%20from%20Sample%20Branch%2C%20Wed-Fri%209am-4pm.</v>
      </c>
      <c r="AF1312" s="89" t="str">
        <f t="shared" si="233"/>
        <v>Draft email</v>
      </c>
      <c r="AG1312" s="64" t="str">
        <f>IF($C1312="","",IFERROR(INDEX('Staff Directory'!$K$595:$K$599,MATCH($C1312,'Staff Directory'!$B$5:$B$599,0)),$D1312))</f>
        <v>PSW</v>
      </c>
      <c r="AH1312" t="str">
        <f>IF($C1312="","",IFERROR(INDEX('Staff Directory'!$I$595:$I$599,MATCH($C1312,'Staff Directory'!$B$5:$B$599,0))&amp;" "&amp;INDEX('Staff Directory'!$J$595:$J$599,MATCH($C1312,'Staff Directory'!$B$5:$B$599,0)),$AG1312))</f>
        <v>PSW</v>
      </c>
      <c r="AI1312" s="102"/>
      <c r="AJ1312" s="101">
        <f>IF($F1312="","",SUMIFS($J$5:$J1312,$F$5:$F1312,$F1312))</f>
        <v>36500</v>
      </c>
      <c r="AK1312" s="101">
        <f t="shared" si="225"/>
        <v>36001</v>
      </c>
      <c r="AL1312" s="66" t="str" cm="1">
        <f t="array" ref="AL1312">IF($F1312="","",IFERROR(INDEX('Lot Balance'!$B$5:$B$500,MATCH(1,INDEX(('Lot Balance'!$A$5:$A$500=$F1312)*('Lot Balance'!$K$5:$K$500&lt;$AK1312)*('Lot Balance'!$K$5:$K$500+'Lot Balance'!$D$5:$D$500&gt;=$AK1312),0),0)),""))</f>
        <v>ZIM511139904-2</v>
      </c>
      <c r="AM1312" s="66" t="str" cm="1">
        <f t="array" ref="AM1312">IF($F1312="","",IFERROR(INDEX('Lot Balance'!$B$5:$B$500,MATCH(1,INDEX(('Lot Balance'!$A$5:$A$500=$F1312)*('Lot Balance'!$K$5:$K$500&lt;$AJ1312)*('Lot Balance'!$K$5:$K$500+'Lot Balance'!$D$5:$D$500&gt;=$AJ1312),0),0)),""))</f>
        <v>ZIM511139904-2</v>
      </c>
      <c r="AN1312" s="66" t="str">
        <f>IF($F1312="","",IF($AI1312&lt;&gt;"",IF(COUNTIFS('Lot Balance'!$A$5:$A$500,$F1312,'Lot Balance'!$B$5:$B$500,$AI1312)=0,"⚠ override is not a lot of this item",IF($AI1312=$AL1312,"Override = FEFO","Override - FEFO says "&amp;$AL1312)),IF($AL1312="","⚠ no receipt on file for this item",IF($AM1312&lt;&gt;$AL1312,"FEFO auto - split, also "&amp;$AM1312,"FEFO auto"))))</f>
        <v>FEFO auto</v>
      </c>
      <c r="AO1312" s="114"/>
    </row>
    <row r="1313" spans="1:41" x14ac:dyDescent="0.35">
      <c r="A1313" s="74">
        <v>46191</v>
      </c>
      <c r="B1313" s="18" t="str">
        <f>IF($C1313="","",IFERROR(INDEX('Staff Directory'!$A$5:$A$594,MATCH($C1313,'Staff Directory'!$B$5:$B$594,0)),"⚠ unknown staff"))</f>
        <v>PSW-133-A6</v>
      </c>
      <c r="C1313" s="49" t="s">
        <v>1112</v>
      </c>
      <c r="D1313" s="19" t="str">
        <f>IF($B1313="","",IFERROR(INDEX('Staff Directory'!$C$5:$C$594,MATCH($B1313,'Staff Directory'!$A$5:$A$594,0)),""))</f>
        <v>PSW</v>
      </c>
      <c r="E1313" s="19" t="str">
        <f>IF($B1313="","",IFERROR(INDEX('Staff Directory'!$D$5:$D$594,MATCH($B1313,'Staff Directory'!$A$5:$A$594,0)),""))</f>
        <v>A6</v>
      </c>
      <c r="F1313" s="9" t="s">
        <v>191</v>
      </c>
      <c r="G1313" s="18" t="str">
        <f>IF($F1313="","",IFERROR(INDEX(Items!$B$5:$B$597,MATCH($F1313,Items!$A$5:$A$597,0)),"⚠ not in Items"))</f>
        <v>Sanitizer</v>
      </c>
      <c r="H1313" s="19" t="str">
        <f>IF($F1313="","",IFERROR(INDEX(Items!$C$5:$C$597,MATCH($F1313,Items!$A$5:$A$597,0)),""))</f>
        <v>236 ML</v>
      </c>
      <c r="I1313" s="23">
        <f>IF($F1313="","",IFERROR(INDEX(Items!$E$5:$E$597,MATCH($F1313,Items!$A$5:$A$597,0)),""))</f>
        <v>1</v>
      </c>
      <c r="J1313" s="115">
        <f>IF(tblIssues[[#This Row],[Qty Override]]&lt;&gt;"",tblIssues[[#This Row],[Qty Override]],IF(tblIssues[[#This Row],[Standard Issue]]="","",tblIssues[[#This Row],[Standard Issue]]))</f>
        <v>1</v>
      </c>
      <c r="K1313" s="20">
        <f>IF($F1313="","",IFERROR(INDEX(Items!$D$5:$D$597,MATCH($F1313,Items!$A$5:$A$597,0)),""))</f>
        <v>1E-4</v>
      </c>
      <c r="L1313" s="21">
        <f t="shared" si="228"/>
        <v>1E-4</v>
      </c>
      <c r="M1313" s="9" t="str">
        <f t="shared" si="226"/>
        <v/>
      </c>
      <c r="N1313" s="24">
        <f>IF($A1313="","",WORKDAY($A1313,Settings!$C$9,HolidayDates))</f>
        <v>46199</v>
      </c>
      <c r="O1313" s="24">
        <f>IF($N1313="","",WORKDAY($N1313,Settings!$C$10,HolidayDates))</f>
        <v>46239</v>
      </c>
      <c r="P1313" s="10" t="s">
        <v>501</v>
      </c>
      <c r="Q1313" s="52" t="str">
        <f t="shared" si="229"/>
        <v>Collected</v>
      </c>
      <c r="R1313" s="55" t="str">
        <f t="shared" si="230"/>
        <v>2026-06</v>
      </c>
      <c r="S1313" s="55">
        <f>IF(OR($B1313="",$F1313="",$R1313=""),"",SUMIFS(tblIssues[Qty Issued],tblIssues[Staff ID],$B1313,tblIssues[Item Name],$F1313,tblIssues[Month],$R1313))</f>
        <v>1</v>
      </c>
      <c r="T1313" s="56">
        <f>IF($I1313="","",$I1313*Settings!$C$11)</f>
        <v>1</v>
      </c>
      <c r="U1313" s="57" t="str">
        <f t="shared" si="227"/>
        <v>OK</v>
      </c>
      <c r="V1313" s="55" t="str">
        <f t="shared" si="231"/>
        <v/>
      </c>
      <c r="W1313" s="55" t="str">
        <f>IF($V1313="","",IF(COUNTIF($V$5:$V1313,$V1313)=1,1,""))</f>
        <v/>
      </c>
      <c r="X1313" s="58" t="str">
        <f>IF($W1313="","",MAX($X$4:X1312)+1)</f>
        <v/>
      </c>
      <c r="Y1313" s="62"/>
      <c r="Z1313" s="62"/>
      <c r="AA1313" s="64" t="str">
        <f>IF($C1313="","",IFERROR(INDEX('Staff Directory'!$E$5:$E$594,MATCH($C1313,'Staff Directory'!$B$5:$B$594,0)),""))</f>
        <v>firstname196.lastname196@example.com</v>
      </c>
      <c r="AB1313" s="64" t="str">
        <f>IF($C1313="","",IF(ISNUMBER(SEARCH($D1313,Settings!$C$15)),"Pickup","Dispatch"))</f>
        <v>Pickup</v>
      </c>
      <c r="AC1313" s="64" t="str">
        <f t="shared" si="232"/>
        <v>Supply order ready for pickup</v>
      </c>
      <c r="AD1313" s="64" t="str">
        <f t="shared" si="223"/>
        <v>Dear PSW,
Your order is ready for pickup from Sample Branch, Wed-Fri 9am-4pm.</v>
      </c>
      <c r="AE1313" s="64" t="str">
        <f t="shared" si="224"/>
        <v>mailto:firstname196.lastname196@example.com?subject=Supply%20order%20ready%20for%20pickup&amp;body=Dear%20PSW%2C%0A%0AYour%20order%20is%20ready%20for%20pickup%20from%20Sample%20Branch%2C%20Wed-Fri%209am-4pm.</v>
      </c>
      <c r="AF1313" s="89" t="str">
        <f t="shared" si="233"/>
        <v>Draft email</v>
      </c>
      <c r="AG1313" s="64" t="str">
        <f>IF($C1313="","",IFERROR(INDEX('Staff Directory'!$K$595:$K$599,MATCH($C1313,'Staff Directory'!$B$5:$B$599,0)),$D1313))</f>
        <v>PSW</v>
      </c>
      <c r="AH1313" t="str">
        <f>IF($C1313="","",IFERROR(INDEX('Staff Directory'!$I$595:$I$599,MATCH($C1313,'Staff Directory'!$B$5:$B$599,0))&amp;" "&amp;INDEX('Staff Directory'!$J$595:$J$599,MATCH($C1313,'Staff Directory'!$B$5:$B$599,0)),$AG1313))</f>
        <v>PSW</v>
      </c>
      <c r="AI1313" s="102"/>
      <c r="AJ1313" s="101">
        <f>IF($F1313="","",SUMIFS($J$5:$J1313,$F$5:$F1313,$F1313))</f>
        <v>173</v>
      </c>
      <c r="AK1313" s="101">
        <f t="shared" si="225"/>
        <v>173</v>
      </c>
      <c r="AL1313" s="66" t="str" cm="1">
        <f t="array" ref="AL1313">IF($F1313="","",IFERROR(INDEX('Lot Balance'!$B$5:$B$500,MATCH(1,INDEX(('Lot Balance'!$A$5:$A$500=$F1313)*('Lot Balance'!$K$5:$K$500&lt;$AK1313)*('Lot Balance'!$K$5:$K$500+'Lot Balance'!$D$5:$D$500&gt;=$AK1313),0),0)),""))</f>
        <v/>
      </c>
      <c r="AM1313" s="66" t="str" cm="1">
        <f t="array" ref="AM1313">IF($F1313="","",IFERROR(INDEX('Lot Balance'!$B$5:$B$500,MATCH(1,INDEX(('Lot Balance'!$A$5:$A$500=$F1313)*('Lot Balance'!$K$5:$K$500&lt;$AJ1313)*('Lot Balance'!$K$5:$K$500+'Lot Balance'!$D$5:$D$500&gt;=$AJ1313),0),0)),""))</f>
        <v/>
      </c>
      <c r="AN1313" s="66" t="str">
        <f>IF($F1313="","",IF($AI1313&lt;&gt;"",IF(COUNTIFS('Lot Balance'!$A$5:$A$500,$F1313,'Lot Balance'!$B$5:$B$500,$AI1313)=0,"⚠ override is not a lot of this item",IF($AI1313=$AL1313,"Override = FEFO","Override - FEFO says "&amp;$AL1313)),IF($AL1313="","⚠ no receipt on file for this item",IF($AM1313&lt;&gt;$AL1313,"FEFO auto - split, also "&amp;$AM1313,"FEFO auto"))))</f>
        <v>⚠ no receipt on file for this item</v>
      </c>
      <c r="AO1313" s="114"/>
    </row>
    <row r="1314" spans="1:41" x14ac:dyDescent="0.35">
      <c r="A1314" s="74">
        <v>46191</v>
      </c>
      <c r="B1314" s="18" t="str">
        <f>IF($C1314="","",IFERROR(INDEX('Staff Directory'!$A$5:$A$594,MATCH($C1314,'Staff Directory'!$B$5:$B$594,0)),"⚠ unknown staff"))</f>
        <v>PSW-133-A6</v>
      </c>
      <c r="C1314" s="49" t="s">
        <v>1112</v>
      </c>
      <c r="D1314" s="19" t="str">
        <f>IF($B1314="","",IFERROR(INDEX('Staff Directory'!$C$5:$C$594,MATCH($B1314,'Staff Directory'!$A$5:$A$594,0)),""))</f>
        <v>PSW</v>
      </c>
      <c r="E1314" s="19" t="str">
        <f>IF($B1314="","",IFERROR(INDEX('Staff Directory'!$D$5:$D$594,MATCH($B1314,'Staff Directory'!$A$5:$A$594,0)),""))</f>
        <v>A6</v>
      </c>
      <c r="F1314" s="9" t="s">
        <v>147</v>
      </c>
      <c r="G1314" s="18" t="str">
        <f>IF($F1314="","",IFERROR(INDEX(Items!$B$5:$B$597,MATCH($F1314,Items!$A$5:$A$597,0)),"⚠ not in Items"))</f>
        <v>Apparel</v>
      </c>
      <c r="H1314" s="19" t="str">
        <f>IF($F1314="","",IFERROR(INDEX(Items!$C$5:$C$597,MATCH($F1314,Items!$A$5:$A$597,0)),""))</f>
        <v>One Size</v>
      </c>
      <c r="I1314" s="23">
        <f>IF($F1314="","",IFERROR(INDEX(Items!$E$5:$E$597,MATCH($F1314,Items!$A$5:$A$597,0)),""))</f>
        <v>5</v>
      </c>
      <c r="J1314" s="115">
        <f>IF(tblIssues[[#This Row],[Qty Override]]&lt;&gt;"",tblIssues[[#This Row],[Qty Override]],IF(tblIssues[[#This Row],[Standard Issue]]="","",tblIssues[[#This Row],[Standard Issue]]))</f>
        <v>5</v>
      </c>
      <c r="K1314" s="20">
        <f>IF($F1314="","",IFERROR(INDEX(Items!$D$5:$D$597,MATCH($F1314,Items!$A$5:$A$597,0)),""))</f>
        <v>3</v>
      </c>
      <c r="L1314" s="21">
        <f t="shared" si="228"/>
        <v>15</v>
      </c>
      <c r="M1314" s="9" t="str">
        <f t="shared" si="226"/>
        <v>YG500280</v>
      </c>
      <c r="N1314" s="24">
        <f>IF($A1314="","",WORKDAY($A1314,Settings!$C$9,HolidayDates))</f>
        <v>46199</v>
      </c>
      <c r="O1314" s="24">
        <f>IF($N1314="","",WORKDAY($N1314,Settings!$C$10,HolidayDates))</f>
        <v>46239</v>
      </c>
      <c r="P1314" s="10" t="s">
        <v>501</v>
      </c>
      <c r="Q1314" s="52" t="str">
        <f t="shared" si="229"/>
        <v>Collected</v>
      </c>
      <c r="R1314" s="55" t="str">
        <f t="shared" si="230"/>
        <v>2026-06</v>
      </c>
      <c r="S1314" s="55">
        <f>IF(OR($B1314="",$F1314="",$R1314=""),"",SUMIFS(tblIssues[Qty Issued],tblIssues[Staff ID],$B1314,tblIssues[Item Name],$F1314,tblIssues[Month],$R1314))</f>
        <v>5</v>
      </c>
      <c r="T1314" s="56">
        <f>IF($I1314="","",$I1314*Settings!$C$11)</f>
        <v>5</v>
      </c>
      <c r="U1314" s="57" t="str">
        <f t="shared" si="227"/>
        <v>OK</v>
      </c>
      <c r="V1314" s="55" t="str">
        <f t="shared" si="231"/>
        <v/>
      </c>
      <c r="W1314" s="55" t="str">
        <f>IF($V1314="","",IF(COUNTIF($V$5:$V1314,$V1314)=1,1,""))</f>
        <v/>
      </c>
      <c r="X1314" s="58" t="str">
        <f>IF($W1314="","",MAX($X$4:X1313)+1)</f>
        <v/>
      </c>
      <c r="Y1314" s="62"/>
      <c r="Z1314" s="62"/>
      <c r="AA1314" s="64" t="str">
        <f>IF($C1314="","",IFERROR(INDEX('Staff Directory'!$E$5:$E$594,MATCH($C1314,'Staff Directory'!$B$5:$B$594,0)),""))</f>
        <v>firstname196.lastname196@example.com</v>
      </c>
      <c r="AB1314" s="64" t="str">
        <f>IF($C1314="","",IF(ISNUMBER(SEARCH($D1314,Settings!$C$15)),"Pickup","Dispatch"))</f>
        <v>Pickup</v>
      </c>
      <c r="AC1314" s="64" t="str">
        <f t="shared" si="232"/>
        <v>Supply order ready for pickup</v>
      </c>
      <c r="AD1314" s="64" t="str">
        <f t="shared" si="223"/>
        <v>Dear PSW,
Your order is ready for pickup from Sample Branch, Wed-Fri 9am-4pm.</v>
      </c>
      <c r="AE1314" s="64" t="str">
        <f t="shared" si="224"/>
        <v>mailto:firstname196.lastname196@example.com?subject=Supply%20order%20ready%20for%20pickup&amp;body=Dear%20PSW%2C%0A%0AYour%20order%20is%20ready%20for%20pickup%20from%20Sample%20Branch%2C%20Wed-Fri%209am-4pm.</v>
      </c>
      <c r="AF1314" s="89" t="str">
        <f t="shared" si="233"/>
        <v>Draft email</v>
      </c>
      <c r="AG1314" s="64" t="str">
        <f>IF($C1314="","",IFERROR(INDEX('Staff Directory'!$K$595:$K$599,MATCH($C1314,'Staff Directory'!$B$5:$B$599,0)),$D1314))</f>
        <v>PSW</v>
      </c>
      <c r="AH1314" t="str">
        <f>IF($C1314="","",IFERROR(INDEX('Staff Directory'!$I$595:$I$599,MATCH($C1314,'Staff Directory'!$B$5:$B$599,0))&amp;" "&amp;INDEX('Staff Directory'!$J$595:$J$599,MATCH($C1314,'Staff Directory'!$B$5:$B$599,0)),$AG1314))</f>
        <v>PSW</v>
      </c>
      <c r="AI1314" s="102"/>
      <c r="AJ1314" s="101">
        <f>IF($F1314="","",SUMIFS($J$5:$J1314,$F$5:$F1314,$F1314))</f>
        <v>165</v>
      </c>
      <c r="AK1314" s="101">
        <f t="shared" si="225"/>
        <v>161</v>
      </c>
      <c r="AL1314" s="66" t="str" cm="1">
        <f t="array" ref="AL1314">IF($F1314="","",IFERROR(INDEX('Lot Balance'!$B$5:$B$500,MATCH(1,INDEX(('Lot Balance'!$A$5:$A$500=$F1314)*('Lot Balance'!$K$5:$K$500&lt;$AK1314)*('Lot Balance'!$K$5:$K$500+'Lot Balance'!$D$5:$D$500&gt;=$AK1314),0),0)),""))</f>
        <v>YG500280</v>
      </c>
      <c r="AM1314" s="66" t="str" cm="1">
        <f t="array" ref="AM1314">IF($F1314="","",IFERROR(INDEX('Lot Balance'!$B$5:$B$500,MATCH(1,INDEX(('Lot Balance'!$A$5:$A$500=$F1314)*('Lot Balance'!$K$5:$K$500&lt;$AJ1314)*('Lot Balance'!$K$5:$K$500+'Lot Balance'!$D$5:$D$500&gt;=$AJ1314),0),0)),""))</f>
        <v>YG500280</v>
      </c>
      <c r="AN1314" s="66" t="str">
        <f>IF($F1314="","",IF($AI1314&lt;&gt;"",IF(COUNTIFS('Lot Balance'!$A$5:$A$500,$F1314,'Lot Balance'!$B$5:$B$500,$AI1314)=0,"⚠ override is not a lot of this item",IF($AI1314=$AL1314,"Override = FEFO","Override - FEFO says "&amp;$AL1314)),IF($AL1314="","⚠ no receipt on file for this item",IF($AM1314&lt;&gt;$AL1314,"FEFO auto - split, also "&amp;$AM1314,"FEFO auto"))))</f>
        <v>FEFO auto</v>
      </c>
      <c r="AO1314" s="114"/>
    </row>
    <row r="1315" spans="1:41" x14ac:dyDescent="0.35">
      <c r="A1315" s="74">
        <v>46191</v>
      </c>
      <c r="B1315" s="18" t="str">
        <f>IF($C1315="","",IFERROR(INDEX('Staff Directory'!$A$5:$A$594,MATCH($C1315,'Staff Directory'!$B$5:$B$594,0)),"⚠ unknown staff"))</f>
        <v>PSW-133-A6</v>
      </c>
      <c r="C1315" s="49" t="s">
        <v>1112</v>
      </c>
      <c r="D1315" s="19" t="str">
        <f>IF($B1315="","",IFERROR(INDEX('Staff Directory'!$C$5:$C$594,MATCH($B1315,'Staff Directory'!$A$5:$A$594,0)),""))</f>
        <v>PSW</v>
      </c>
      <c r="E1315" s="19" t="str">
        <f>IF($B1315="","",IFERROR(INDEX('Staff Directory'!$D$5:$D$594,MATCH($B1315,'Staff Directory'!$A$5:$A$594,0)),""))</f>
        <v>A6</v>
      </c>
      <c r="F1315" s="9" t="s">
        <v>156</v>
      </c>
      <c r="G1315" s="18" t="str">
        <f>IF($F1315="","",IFERROR(INDEX(Items!$B$5:$B$597,MATCH($F1315,Items!$A$5:$A$597,0)),"⚠ not in Items"))</f>
        <v>Masks</v>
      </c>
      <c r="H1315" s="19" t="str">
        <f>IF($F1315="","",IFERROR(INDEX(Items!$C$5:$C$597,MATCH($F1315,Items!$A$5:$A$597,0)),""))</f>
        <v>One Size</v>
      </c>
      <c r="I1315" s="23">
        <f>IF($F1315="","",IFERROR(INDEX(Items!$E$5:$E$597,MATCH($F1315,Items!$A$5:$A$597,0)),""))</f>
        <v>50</v>
      </c>
      <c r="J1315" s="115">
        <f>IF(tblIssues[[#This Row],[Qty Override]]&lt;&gt;"",tblIssues[[#This Row],[Qty Override]],IF(tblIssues[[#This Row],[Standard Issue]]="","",tblIssues[[#This Row],[Standard Issue]]))</f>
        <v>50</v>
      </c>
      <c r="K1315" s="20">
        <f>IF($F1315="","",IFERROR(INDEX(Items!$D$5:$D$597,MATCH($F1315,Items!$A$5:$A$597,0)),""))</f>
        <v>0.25</v>
      </c>
      <c r="L1315" s="21">
        <f t="shared" si="228"/>
        <v>12.5</v>
      </c>
      <c r="M1315" s="9" t="str">
        <f t="shared" si="226"/>
        <v>102GPC24</v>
      </c>
      <c r="N1315" s="24">
        <f>IF($A1315="","",WORKDAY($A1315,Settings!$C$9,HolidayDates))</f>
        <v>46199</v>
      </c>
      <c r="O1315" s="24">
        <f>IF($N1315="","",WORKDAY($N1315,Settings!$C$10,HolidayDates))</f>
        <v>46239</v>
      </c>
      <c r="P1315" s="10" t="s">
        <v>501</v>
      </c>
      <c r="Q1315" s="52" t="str">
        <f t="shared" si="229"/>
        <v>Collected</v>
      </c>
      <c r="R1315" s="55" t="str">
        <f t="shared" si="230"/>
        <v>2026-06</v>
      </c>
      <c r="S1315" s="55">
        <f>IF(OR($B1315="",$F1315="",$R1315=""),"",SUMIFS(tblIssues[Qty Issued],tblIssues[Staff ID],$B1315,tblIssues[Item Name],$F1315,tblIssues[Month],$R1315))</f>
        <v>50</v>
      </c>
      <c r="T1315" s="56">
        <f>IF($I1315="","",$I1315*Settings!$C$11)</f>
        <v>50</v>
      </c>
      <c r="U1315" s="57" t="str">
        <f t="shared" si="227"/>
        <v>OK</v>
      </c>
      <c r="V1315" s="55" t="str">
        <f t="shared" si="231"/>
        <v/>
      </c>
      <c r="W1315" s="55" t="str">
        <f>IF($V1315="","",IF(COUNTIF($V$5:$V1315,$V1315)=1,1,""))</f>
        <v/>
      </c>
      <c r="X1315" s="58" t="str">
        <f>IF($W1315="","",MAX($X$4:X1314)+1)</f>
        <v/>
      </c>
      <c r="Y1315" s="62"/>
      <c r="Z1315" s="62"/>
      <c r="AA1315" s="64" t="str">
        <f>IF($C1315="","",IFERROR(INDEX('Staff Directory'!$E$5:$E$594,MATCH($C1315,'Staff Directory'!$B$5:$B$594,0)),""))</f>
        <v>firstname196.lastname196@example.com</v>
      </c>
      <c r="AB1315" s="64" t="str">
        <f>IF($C1315="","",IF(ISNUMBER(SEARCH($D1315,Settings!$C$15)),"Pickup","Dispatch"))</f>
        <v>Pickup</v>
      </c>
      <c r="AC1315" s="64" t="str">
        <f t="shared" si="232"/>
        <v>Supply order ready for pickup</v>
      </c>
      <c r="AD1315" s="64" t="str">
        <f t="shared" si="223"/>
        <v>Dear PSW,
Your order is ready for pickup from Sample Branch, Wed-Fri 9am-4pm.</v>
      </c>
      <c r="AE1315" s="64" t="str">
        <f t="shared" si="224"/>
        <v>mailto:firstname196.lastname196@example.com?subject=Supply%20order%20ready%20for%20pickup&amp;body=Dear%20PSW%2C%0A%0AYour%20order%20is%20ready%20for%20pickup%20from%20Sample%20Branch%2C%20Wed-Fri%209am-4pm.</v>
      </c>
      <c r="AF1315" s="89" t="str">
        <f t="shared" si="233"/>
        <v>Draft email</v>
      </c>
      <c r="AG1315" s="64" t="str">
        <f>IF($C1315="","",IFERROR(INDEX('Staff Directory'!$K$595:$K$599,MATCH($C1315,'Staff Directory'!$B$5:$B$599,0)),$D1315))</f>
        <v>PSW</v>
      </c>
      <c r="AH1315" t="str">
        <f>IF($C1315="","",IFERROR(INDEX('Staff Directory'!$I$595:$I$599,MATCH($C1315,'Staff Directory'!$B$5:$B$599,0))&amp;" "&amp;INDEX('Staff Directory'!$J$595:$J$599,MATCH($C1315,'Staff Directory'!$B$5:$B$599,0)),$AG1315))</f>
        <v>PSW</v>
      </c>
      <c r="AI1315" s="102"/>
      <c r="AJ1315" s="101">
        <f>IF($F1315="","",SUMIFS($J$5:$J1315,$F$5:$F1315,$F1315))</f>
        <v>11150</v>
      </c>
      <c r="AK1315" s="101">
        <f t="shared" si="225"/>
        <v>11101</v>
      </c>
      <c r="AL1315" s="66" t="str" cm="1">
        <f t="array" ref="AL1315">IF($F1315="","",IFERROR(INDEX('Lot Balance'!$B$5:$B$500,MATCH(1,INDEX(('Lot Balance'!$A$5:$A$500=$F1315)*('Lot Balance'!$K$5:$K$500&lt;$AK1315)*('Lot Balance'!$K$5:$K$500+'Lot Balance'!$D$5:$D$500&gt;=$AK1315),0),0)),""))</f>
        <v>102GPC24</v>
      </c>
      <c r="AM1315" s="66" t="str" cm="1">
        <f t="array" ref="AM1315">IF($F1315="","",IFERROR(INDEX('Lot Balance'!$B$5:$B$500,MATCH(1,INDEX(('Lot Balance'!$A$5:$A$500=$F1315)*('Lot Balance'!$K$5:$K$500&lt;$AJ1315)*('Lot Balance'!$K$5:$K$500+'Lot Balance'!$D$5:$D$500&gt;=$AJ1315),0),0)),""))</f>
        <v>102GPC24</v>
      </c>
      <c r="AN1315" s="66" t="str">
        <f>IF($F1315="","",IF($AI1315&lt;&gt;"",IF(COUNTIFS('Lot Balance'!$A$5:$A$500,$F1315,'Lot Balance'!$B$5:$B$500,$AI1315)=0,"⚠ override is not a lot of this item",IF($AI1315=$AL1315,"Override = FEFO","Override - FEFO says "&amp;$AL1315)),IF($AL1315="","⚠ no receipt on file for this item",IF($AM1315&lt;&gt;$AL1315,"FEFO auto - split, also "&amp;$AM1315,"FEFO auto"))))</f>
        <v>FEFO auto</v>
      </c>
      <c r="AO1315" s="114"/>
    </row>
    <row r="1316" spans="1:41" x14ac:dyDescent="0.35">
      <c r="A1316" s="74">
        <v>46191</v>
      </c>
      <c r="B1316" s="18" t="str">
        <f>IF($C1316="","",IFERROR(INDEX('Staff Directory'!$A$5:$A$594,MATCH($C1316,'Staff Directory'!$B$5:$B$594,0)),"⚠ unknown staff"))</f>
        <v>PSW-053-A4</v>
      </c>
      <c r="C1316" s="49" t="s">
        <v>1029</v>
      </c>
      <c r="D1316" s="19" t="str">
        <f>IF($B1316="","",IFERROR(INDEX('Staff Directory'!$C$5:$C$594,MATCH($B1316,'Staff Directory'!$A$5:$A$594,0)),""))</f>
        <v>PSW</v>
      </c>
      <c r="E1316" s="19" t="str">
        <f>IF($B1316="","",IFERROR(INDEX('Staff Directory'!$D$5:$D$594,MATCH($B1316,'Staff Directory'!$A$5:$A$594,0)),""))</f>
        <v>A4</v>
      </c>
      <c r="F1316" s="9" t="s">
        <v>124</v>
      </c>
      <c r="G1316" s="18" t="str">
        <f>IF($F1316="","",IFERROR(INDEX(Items!$B$5:$B$597,MATCH($F1316,Items!$A$5:$A$597,0)),"⚠ not in Items"))</f>
        <v>Gloves</v>
      </c>
      <c r="H1316" s="19" t="str">
        <f>IF($F1316="","",IFERROR(INDEX(Items!$C$5:$C$597,MATCH($F1316,Items!$A$5:$A$597,0)),""))</f>
        <v>Large</v>
      </c>
      <c r="I1316" s="23">
        <f>IF($F1316="","",IFERROR(INDEX(Items!$E$5:$E$597,MATCH($F1316,Items!$A$5:$A$597,0)),""))</f>
        <v>500</v>
      </c>
      <c r="J1316" s="115">
        <f>IF(tblIssues[[#This Row],[Qty Override]]&lt;&gt;"",tblIssues[[#This Row],[Qty Override]],IF(tblIssues[[#This Row],[Standard Issue]]="","",tblIssues[[#This Row],[Standard Issue]]))</f>
        <v>500</v>
      </c>
      <c r="K1316" s="20">
        <f>IF($F1316="","",IFERROR(INDEX(Items!$D$5:$D$597,MATCH($F1316,Items!$A$5:$A$597,0)),""))</f>
        <v>5.5E-2</v>
      </c>
      <c r="L1316" s="21">
        <f t="shared" si="228"/>
        <v>27.5</v>
      </c>
      <c r="M1316" s="9" t="str">
        <f t="shared" si="226"/>
        <v>ZIM511139904-2</v>
      </c>
      <c r="N1316" s="24">
        <f>IF($A1316="","",WORKDAY($A1316,Settings!$C$9,HolidayDates))</f>
        <v>46199</v>
      </c>
      <c r="O1316" s="24">
        <f>IF($N1316="","",WORKDAY($N1316,Settings!$C$10,HolidayDates))</f>
        <v>46239</v>
      </c>
      <c r="P1316" s="10" t="s">
        <v>501</v>
      </c>
      <c r="Q1316" s="52" t="str">
        <f t="shared" si="229"/>
        <v>Collected</v>
      </c>
      <c r="R1316" s="55" t="str">
        <f t="shared" si="230"/>
        <v>2026-06</v>
      </c>
      <c r="S1316" s="55">
        <f>IF(OR($B1316="",$F1316="",$R1316=""),"",SUMIFS(tblIssues[Qty Issued],tblIssues[Staff ID],$B1316,tblIssues[Item Name],$F1316,tblIssues[Month],$R1316))</f>
        <v>500</v>
      </c>
      <c r="T1316" s="56">
        <f>IF($I1316="","",$I1316*Settings!$C$11)</f>
        <v>500</v>
      </c>
      <c r="U1316" s="57" t="str">
        <f t="shared" si="227"/>
        <v>OK</v>
      </c>
      <c r="V1316" s="55" t="str">
        <f t="shared" si="231"/>
        <v/>
      </c>
      <c r="W1316" s="55" t="str">
        <f>IF($V1316="","",IF(COUNTIF($V$5:$V1316,$V1316)=1,1,""))</f>
        <v/>
      </c>
      <c r="X1316" s="58" t="str">
        <f>IF($W1316="","",MAX($X$4:X1315)+1)</f>
        <v/>
      </c>
      <c r="Y1316" s="62"/>
      <c r="Z1316" s="62"/>
      <c r="AA1316" s="64" t="str">
        <f>IF($C1316="","",IFERROR(INDEX('Staff Directory'!$E$5:$E$594,MATCH($C1316,'Staff Directory'!$B$5:$B$594,0)),""))</f>
        <v>firstname113.lastname113@example.com</v>
      </c>
      <c r="AB1316" s="64" t="str">
        <f>IF($C1316="","",IF(ISNUMBER(SEARCH($D1316,Settings!$C$15)),"Pickup","Dispatch"))</f>
        <v>Pickup</v>
      </c>
      <c r="AC1316" s="64" t="str">
        <f t="shared" si="232"/>
        <v>Supply order ready for pickup</v>
      </c>
      <c r="AD1316" s="64" t="str">
        <f t="shared" si="223"/>
        <v>Dear PSW,
Your order is ready for pickup from Sample Branch, Wed-Fri 9am-4pm.</v>
      </c>
      <c r="AE1316" s="64" t="str">
        <f t="shared" si="224"/>
        <v>mailto:firstname113.lastname113@example.com?subject=Supply%20order%20ready%20for%20pickup&amp;body=Dear%20PSW%2C%0A%0AYour%20order%20is%20ready%20for%20pickup%20from%20Sample%20Branch%2C%20Wed-Fri%209am-4pm.</v>
      </c>
      <c r="AF1316" s="89" t="str">
        <f t="shared" si="233"/>
        <v>Draft email</v>
      </c>
      <c r="AG1316" s="64" t="str">
        <f>IF($C1316="","",IFERROR(INDEX('Staff Directory'!$K$595:$K$599,MATCH($C1316,'Staff Directory'!$B$5:$B$599,0)),$D1316))</f>
        <v>PSW</v>
      </c>
      <c r="AH1316" t="str">
        <f>IF($C1316="","",IFERROR(INDEX('Staff Directory'!$I$595:$I$599,MATCH($C1316,'Staff Directory'!$B$5:$B$599,0))&amp;" "&amp;INDEX('Staff Directory'!$J$595:$J$599,MATCH($C1316,'Staff Directory'!$B$5:$B$599,0)),$AG1316))</f>
        <v>PSW</v>
      </c>
      <c r="AI1316" s="102"/>
      <c r="AJ1316" s="101">
        <f>IF($F1316="","",SUMIFS($J$5:$J1316,$F$5:$F1316,$F1316))</f>
        <v>37000</v>
      </c>
      <c r="AK1316" s="101">
        <f t="shared" si="225"/>
        <v>36501</v>
      </c>
      <c r="AL1316" s="66" t="str" cm="1">
        <f t="array" ref="AL1316">IF($F1316="","",IFERROR(INDEX('Lot Balance'!$B$5:$B$500,MATCH(1,INDEX(('Lot Balance'!$A$5:$A$500=$F1316)*('Lot Balance'!$K$5:$K$500&lt;$AK1316)*('Lot Balance'!$K$5:$K$500+'Lot Balance'!$D$5:$D$500&gt;=$AK1316),0),0)),""))</f>
        <v>ZIM511139904-2</v>
      </c>
      <c r="AM1316" s="66" t="str" cm="1">
        <f t="array" ref="AM1316">IF($F1316="","",IFERROR(INDEX('Lot Balance'!$B$5:$B$500,MATCH(1,INDEX(('Lot Balance'!$A$5:$A$500=$F1316)*('Lot Balance'!$K$5:$K$500&lt;$AJ1316)*('Lot Balance'!$K$5:$K$500+'Lot Balance'!$D$5:$D$500&gt;=$AJ1316),0),0)),""))</f>
        <v>ZIM511139904-2</v>
      </c>
      <c r="AN1316" s="66" t="str">
        <f>IF($F1316="","",IF($AI1316&lt;&gt;"",IF(COUNTIFS('Lot Balance'!$A$5:$A$500,$F1316,'Lot Balance'!$B$5:$B$500,$AI1316)=0,"⚠ override is not a lot of this item",IF($AI1316=$AL1316,"Override = FEFO","Override - FEFO says "&amp;$AL1316)),IF($AL1316="","⚠ no receipt on file for this item",IF($AM1316&lt;&gt;$AL1316,"FEFO auto - split, also "&amp;$AM1316,"FEFO auto"))))</f>
        <v>FEFO auto</v>
      </c>
      <c r="AO1316" s="114"/>
    </row>
    <row r="1317" spans="1:41" x14ac:dyDescent="0.35">
      <c r="A1317" s="74">
        <v>46191</v>
      </c>
      <c r="B1317" s="18" t="str">
        <f>IF($C1317="","",IFERROR(INDEX('Staff Directory'!$A$5:$A$594,MATCH($C1317,'Staff Directory'!$B$5:$B$594,0)),"⚠ unknown staff"))</f>
        <v>PSW-053-A4</v>
      </c>
      <c r="C1317" s="49" t="s">
        <v>1029</v>
      </c>
      <c r="D1317" s="19" t="str">
        <f>IF($B1317="","",IFERROR(INDEX('Staff Directory'!$C$5:$C$594,MATCH($B1317,'Staff Directory'!$A$5:$A$594,0)),""))</f>
        <v>PSW</v>
      </c>
      <c r="E1317" s="19" t="str">
        <f>IF($B1317="","",IFERROR(INDEX('Staff Directory'!$D$5:$D$594,MATCH($B1317,'Staff Directory'!$A$5:$A$594,0)),""))</f>
        <v>A4</v>
      </c>
      <c r="F1317" s="9" t="s">
        <v>191</v>
      </c>
      <c r="G1317" s="18" t="str">
        <f>IF($F1317="","",IFERROR(INDEX(Items!$B$5:$B$597,MATCH($F1317,Items!$A$5:$A$597,0)),"⚠ not in Items"))</f>
        <v>Sanitizer</v>
      </c>
      <c r="H1317" s="19" t="str">
        <f>IF($F1317="","",IFERROR(INDEX(Items!$C$5:$C$597,MATCH($F1317,Items!$A$5:$A$597,0)),""))</f>
        <v>236 ML</v>
      </c>
      <c r="I1317" s="23">
        <f>IF($F1317="","",IFERROR(INDEX(Items!$E$5:$E$597,MATCH($F1317,Items!$A$5:$A$597,0)),""))</f>
        <v>1</v>
      </c>
      <c r="J1317" s="115">
        <f>IF(tblIssues[[#This Row],[Qty Override]]&lt;&gt;"",tblIssues[[#This Row],[Qty Override]],IF(tblIssues[[#This Row],[Standard Issue]]="","",tblIssues[[#This Row],[Standard Issue]]))</f>
        <v>1</v>
      </c>
      <c r="K1317" s="20">
        <f>IF($F1317="","",IFERROR(INDEX(Items!$D$5:$D$597,MATCH($F1317,Items!$A$5:$A$597,0)),""))</f>
        <v>1E-4</v>
      </c>
      <c r="L1317" s="21">
        <f t="shared" si="228"/>
        <v>1E-4</v>
      </c>
      <c r="M1317" s="9" t="str">
        <f t="shared" si="226"/>
        <v/>
      </c>
      <c r="N1317" s="24">
        <f>IF($A1317="","",WORKDAY($A1317,Settings!$C$9,HolidayDates))</f>
        <v>46199</v>
      </c>
      <c r="O1317" s="24">
        <f>IF($N1317="","",WORKDAY($N1317,Settings!$C$10,HolidayDates))</f>
        <v>46239</v>
      </c>
      <c r="P1317" s="10" t="s">
        <v>501</v>
      </c>
      <c r="Q1317" s="52" t="str">
        <f t="shared" si="229"/>
        <v>Collected</v>
      </c>
      <c r="R1317" s="55" t="str">
        <f t="shared" si="230"/>
        <v>2026-06</v>
      </c>
      <c r="S1317" s="55">
        <f>IF(OR($B1317="",$F1317="",$R1317=""),"",SUMIFS(tblIssues[Qty Issued],tblIssues[Staff ID],$B1317,tblIssues[Item Name],$F1317,tblIssues[Month],$R1317))</f>
        <v>1</v>
      </c>
      <c r="T1317" s="56">
        <f>IF($I1317="","",$I1317*Settings!$C$11)</f>
        <v>1</v>
      </c>
      <c r="U1317" s="57" t="str">
        <f t="shared" si="227"/>
        <v>OK</v>
      </c>
      <c r="V1317" s="55" t="str">
        <f t="shared" si="231"/>
        <v/>
      </c>
      <c r="W1317" s="55" t="str">
        <f>IF($V1317="","",IF(COUNTIF($V$5:$V1317,$V1317)=1,1,""))</f>
        <v/>
      </c>
      <c r="X1317" s="58" t="str">
        <f>IF($W1317="","",MAX($X$4:X1316)+1)</f>
        <v/>
      </c>
      <c r="Y1317" s="62"/>
      <c r="Z1317" s="62"/>
      <c r="AA1317" s="64" t="str">
        <f>IF($C1317="","",IFERROR(INDEX('Staff Directory'!$E$5:$E$594,MATCH($C1317,'Staff Directory'!$B$5:$B$594,0)),""))</f>
        <v>firstname113.lastname113@example.com</v>
      </c>
      <c r="AB1317" s="64" t="str">
        <f>IF($C1317="","",IF(ISNUMBER(SEARCH($D1317,Settings!$C$15)),"Pickup","Dispatch"))</f>
        <v>Pickup</v>
      </c>
      <c r="AC1317" s="64" t="str">
        <f t="shared" si="232"/>
        <v>Supply order ready for pickup</v>
      </c>
      <c r="AD1317" s="64" t="str">
        <f t="shared" si="223"/>
        <v>Dear PSW,
Your order is ready for pickup from Sample Branch, Wed-Fri 9am-4pm.</v>
      </c>
      <c r="AE1317" s="64" t="str">
        <f t="shared" si="224"/>
        <v>mailto:firstname113.lastname113@example.com?subject=Supply%20order%20ready%20for%20pickup&amp;body=Dear%20PSW%2C%0A%0AYour%20order%20is%20ready%20for%20pickup%20from%20Sample%20Branch%2C%20Wed-Fri%209am-4pm.</v>
      </c>
      <c r="AF1317" s="89" t="str">
        <f t="shared" si="233"/>
        <v>Draft email</v>
      </c>
      <c r="AG1317" s="64" t="str">
        <f>IF($C1317="","",IFERROR(INDEX('Staff Directory'!$K$595:$K$599,MATCH($C1317,'Staff Directory'!$B$5:$B$599,0)),$D1317))</f>
        <v>PSW</v>
      </c>
      <c r="AH1317" t="str">
        <f>IF($C1317="","",IFERROR(INDEX('Staff Directory'!$I$595:$I$599,MATCH($C1317,'Staff Directory'!$B$5:$B$599,0))&amp;" "&amp;INDEX('Staff Directory'!$J$595:$J$599,MATCH($C1317,'Staff Directory'!$B$5:$B$599,0)),$AG1317))</f>
        <v>PSW</v>
      </c>
      <c r="AI1317" s="102"/>
      <c r="AJ1317" s="101">
        <f>IF($F1317="","",SUMIFS($J$5:$J1317,$F$5:$F1317,$F1317))</f>
        <v>174</v>
      </c>
      <c r="AK1317" s="101">
        <f t="shared" si="225"/>
        <v>174</v>
      </c>
      <c r="AL1317" s="66" t="str" cm="1">
        <f t="array" ref="AL1317">IF($F1317="","",IFERROR(INDEX('Lot Balance'!$B$5:$B$500,MATCH(1,INDEX(('Lot Balance'!$A$5:$A$500=$F1317)*('Lot Balance'!$K$5:$K$500&lt;$AK1317)*('Lot Balance'!$K$5:$K$500+'Lot Balance'!$D$5:$D$500&gt;=$AK1317),0),0)),""))</f>
        <v/>
      </c>
      <c r="AM1317" s="66" t="str" cm="1">
        <f t="array" ref="AM1317">IF($F1317="","",IFERROR(INDEX('Lot Balance'!$B$5:$B$500,MATCH(1,INDEX(('Lot Balance'!$A$5:$A$500=$F1317)*('Lot Balance'!$K$5:$K$500&lt;$AJ1317)*('Lot Balance'!$K$5:$K$500+'Lot Balance'!$D$5:$D$500&gt;=$AJ1317),0),0)),""))</f>
        <v/>
      </c>
      <c r="AN1317" s="66" t="str">
        <f>IF($F1317="","",IF($AI1317&lt;&gt;"",IF(COUNTIFS('Lot Balance'!$A$5:$A$500,$F1317,'Lot Balance'!$B$5:$B$500,$AI1317)=0,"⚠ override is not a lot of this item",IF($AI1317=$AL1317,"Override = FEFO","Override - FEFO says "&amp;$AL1317)),IF($AL1317="","⚠ no receipt on file for this item",IF($AM1317&lt;&gt;$AL1317,"FEFO auto - split, also "&amp;$AM1317,"FEFO auto"))))</f>
        <v>⚠ no receipt on file for this item</v>
      </c>
      <c r="AO1317" s="114"/>
    </row>
    <row r="1318" spans="1:41" x14ac:dyDescent="0.35">
      <c r="A1318" s="74">
        <v>46191</v>
      </c>
      <c r="B1318" s="18" t="str">
        <f>IF($C1318="","",IFERROR(INDEX('Staff Directory'!$A$5:$A$594,MATCH($C1318,'Staff Directory'!$B$5:$B$594,0)),"⚠ unknown staff"))</f>
        <v>PSW-053-A4</v>
      </c>
      <c r="C1318" s="49" t="s">
        <v>1029</v>
      </c>
      <c r="D1318" s="19" t="str">
        <f>IF($B1318="","",IFERROR(INDEX('Staff Directory'!$C$5:$C$594,MATCH($B1318,'Staff Directory'!$A$5:$A$594,0)),""))</f>
        <v>PSW</v>
      </c>
      <c r="E1318" s="19" t="str">
        <f>IF($B1318="","",IFERROR(INDEX('Staff Directory'!$D$5:$D$594,MATCH($B1318,'Staff Directory'!$A$5:$A$594,0)),""))</f>
        <v>A4</v>
      </c>
      <c r="F1318" s="9" t="s">
        <v>115</v>
      </c>
      <c r="G1318" s="18" t="str">
        <f>IF($F1318="","",IFERROR(INDEX(Items!$B$5:$B$597,MATCH($F1318,Items!$A$5:$A$597,0)),"⚠ not in Items"))</f>
        <v>Wipes</v>
      </c>
      <c r="H1318" s="19">
        <f>IF($F1318="","",IFERROR(INDEX(Items!$C$5:$C$597,MATCH($F1318,Items!$A$5:$A$597,0)),""))</f>
        <v>80</v>
      </c>
      <c r="I1318" s="23">
        <f>IF($F1318="","",IFERROR(INDEX(Items!$E$5:$E$597,MATCH($F1318,Items!$A$5:$A$597,0)),""))</f>
        <v>80</v>
      </c>
      <c r="J1318" s="115">
        <f>IF(tblIssues[[#This Row],[Qty Override]]&lt;&gt;"",tblIssues[[#This Row],[Qty Override]],IF(tblIssues[[#This Row],[Standard Issue]]="","",tblIssues[[#This Row],[Standard Issue]]))</f>
        <v>80</v>
      </c>
      <c r="K1318" s="20">
        <f>IF($F1318="","",IFERROR(INDEX(Items!$D$5:$D$597,MATCH($F1318,Items!$A$5:$A$597,0)),""))</f>
        <v>0.1</v>
      </c>
      <c r="L1318" s="21">
        <f t="shared" si="228"/>
        <v>8</v>
      </c>
      <c r="M1318" s="9" t="str">
        <f t="shared" si="226"/>
        <v>LYSL500290</v>
      </c>
      <c r="N1318" s="24">
        <f>IF($A1318="","",WORKDAY($A1318,Settings!$C$9,HolidayDates))</f>
        <v>46199</v>
      </c>
      <c r="O1318" s="24">
        <f>IF($N1318="","",WORKDAY($N1318,Settings!$C$10,HolidayDates))</f>
        <v>46239</v>
      </c>
      <c r="P1318" s="10" t="s">
        <v>501</v>
      </c>
      <c r="Q1318" s="52" t="str">
        <f t="shared" si="229"/>
        <v>Collected</v>
      </c>
      <c r="R1318" s="55" t="str">
        <f t="shared" si="230"/>
        <v>2026-06</v>
      </c>
      <c r="S1318" s="55">
        <f>IF(OR($B1318="",$F1318="",$R1318=""),"",SUMIFS(tblIssues[Qty Issued],tblIssues[Staff ID],$B1318,tblIssues[Item Name],$F1318,tblIssues[Month],$R1318))</f>
        <v>80</v>
      </c>
      <c r="T1318" s="56">
        <f>IF($I1318="","",$I1318*Settings!$C$11)</f>
        <v>80</v>
      </c>
      <c r="U1318" s="57" t="str">
        <f t="shared" si="227"/>
        <v>OK</v>
      </c>
      <c r="V1318" s="55" t="str">
        <f t="shared" si="231"/>
        <v/>
      </c>
      <c r="W1318" s="55" t="str">
        <f>IF($V1318="","",IF(COUNTIF($V$5:$V1318,$V1318)=1,1,""))</f>
        <v/>
      </c>
      <c r="X1318" s="58" t="str">
        <f>IF($W1318="","",MAX($X$4:X1317)+1)</f>
        <v/>
      </c>
      <c r="Y1318" s="62"/>
      <c r="Z1318" s="62"/>
      <c r="AA1318" s="64" t="str">
        <f>IF($C1318="","",IFERROR(INDEX('Staff Directory'!$E$5:$E$594,MATCH($C1318,'Staff Directory'!$B$5:$B$594,0)),""))</f>
        <v>firstname113.lastname113@example.com</v>
      </c>
      <c r="AB1318" s="64" t="str">
        <f>IF($C1318="","",IF(ISNUMBER(SEARCH($D1318,Settings!$C$15)),"Pickup","Dispatch"))</f>
        <v>Pickup</v>
      </c>
      <c r="AC1318" s="64" t="str">
        <f t="shared" si="232"/>
        <v>Supply order ready for pickup</v>
      </c>
      <c r="AD1318" s="64" t="str">
        <f t="shared" si="223"/>
        <v>Dear PSW,
Your order is ready for pickup from Sample Branch, Wed-Fri 9am-4pm.</v>
      </c>
      <c r="AE1318" s="64" t="str">
        <f t="shared" si="224"/>
        <v>mailto:firstname113.lastname113@example.com?subject=Supply%20order%20ready%20for%20pickup&amp;body=Dear%20PSW%2C%0A%0AYour%20order%20is%20ready%20for%20pickup%20from%20Sample%20Branch%2C%20Wed-Fri%209am-4pm.</v>
      </c>
      <c r="AF1318" s="89" t="str">
        <f t="shared" si="233"/>
        <v>Draft email</v>
      </c>
      <c r="AG1318" s="64" t="str">
        <f>IF($C1318="","",IFERROR(INDEX('Staff Directory'!$K$595:$K$599,MATCH($C1318,'Staff Directory'!$B$5:$B$599,0)),$D1318))</f>
        <v>PSW</v>
      </c>
      <c r="AH1318" t="str">
        <f>IF($C1318="","",IFERROR(INDEX('Staff Directory'!$I$595:$I$599,MATCH($C1318,'Staff Directory'!$B$5:$B$599,0))&amp;" "&amp;INDEX('Staff Directory'!$J$595:$J$599,MATCH($C1318,'Staff Directory'!$B$5:$B$599,0)),$AG1318))</f>
        <v>PSW</v>
      </c>
      <c r="AI1318" s="102"/>
      <c r="AJ1318" s="101">
        <f>IF($F1318="","",SUMIFS($J$5:$J1318,$F$5:$F1318,$F1318))</f>
        <v>18080</v>
      </c>
      <c r="AK1318" s="101">
        <f t="shared" si="225"/>
        <v>18001</v>
      </c>
      <c r="AL1318" s="66" t="str" cm="1">
        <f t="array" ref="AL1318">IF($F1318="","",IFERROR(INDEX('Lot Balance'!$B$5:$B$500,MATCH(1,INDEX(('Lot Balance'!$A$5:$A$500=$F1318)*('Lot Balance'!$K$5:$K$500&lt;$AK1318)*('Lot Balance'!$K$5:$K$500+'Lot Balance'!$D$5:$D$500&gt;=$AK1318),0),0)),""))</f>
        <v>LYSL500290</v>
      </c>
      <c r="AM1318" s="66" t="str" cm="1">
        <f t="array" ref="AM1318">IF($F1318="","",IFERROR(INDEX('Lot Balance'!$B$5:$B$500,MATCH(1,INDEX(('Lot Balance'!$A$5:$A$500=$F1318)*('Lot Balance'!$K$5:$K$500&lt;$AJ1318)*('Lot Balance'!$K$5:$K$500+'Lot Balance'!$D$5:$D$500&gt;=$AJ1318),0),0)),""))</f>
        <v>LYSL500290</v>
      </c>
      <c r="AN1318" s="66" t="str">
        <f>IF($F1318="","",IF($AI1318&lt;&gt;"",IF(COUNTIFS('Lot Balance'!$A$5:$A$500,$F1318,'Lot Balance'!$B$5:$B$500,$AI1318)=0,"⚠ override is not a lot of this item",IF($AI1318=$AL1318,"Override = FEFO","Override - FEFO says "&amp;$AL1318)),IF($AL1318="","⚠ no receipt on file for this item",IF($AM1318&lt;&gt;$AL1318,"FEFO auto - split, also "&amp;$AM1318,"FEFO auto"))))</f>
        <v>FEFO auto</v>
      </c>
      <c r="AO1318" s="114"/>
    </row>
    <row r="1319" spans="1:41" x14ac:dyDescent="0.35">
      <c r="A1319" s="74">
        <v>46191</v>
      </c>
      <c r="B1319" s="18" t="str">
        <f>IF($C1319="","",IFERROR(INDEX('Staff Directory'!$A$5:$A$594,MATCH($C1319,'Staff Directory'!$B$5:$B$594,0)),"⚠ unknown staff"))</f>
        <v>PSW-053-A4</v>
      </c>
      <c r="C1319" s="49" t="s">
        <v>1029</v>
      </c>
      <c r="D1319" s="19" t="str">
        <f>IF($B1319="","",IFERROR(INDEX('Staff Directory'!$C$5:$C$594,MATCH($B1319,'Staff Directory'!$A$5:$A$594,0)),""))</f>
        <v>PSW</v>
      </c>
      <c r="E1319" s="19" t="str">
        <f>IF($B1319="","",IFERROR(INDEX('Staff Directory'!$D$5:$D$594,MATCH($B1319,'Staff Directory'!$A$5:$A$594,0)),""))</f>
        <v>A4</v>
      </c>
      <c r="F1319" s="9" t="s">
        <v>156</v>
      </c>
      <c r="G1319" s="18" t="str">
        <f>IF($F1319="","",IFERROR(INDEX(Items!$B$5:$B$597,MATCH($F1319,Items!$A$5:$A$597,0)),"⚠ not in Items"))</f>
        <v>Masks</v>
      </c>
      <c r="H1319" s="19" t="str">
        <f>IF($F1319="","",IFERROR(INDEX(Items!$C$5:$C$597,MATCH($F1319,Items!$A$5:$A$597,0)),""))</f>
        <v>One Size</v>
      </c>
      <c r="I1319" s="23">
        <f>IF($F1319="","",IFERROR(INDEX(Items!$E$5:$E$597,MATCH($F1319,Items!$A$5:$A$597,0)),""))</f>
        <v>50</v>
      </c>
      <c r="J1319" s="115">
        <f>IF(tblIssues[[#This Row],[Qty Override]]&lt;&gt;"",tblIssues[[#This Row],[Qty Override]],IF(tblIssues[[#This Row],[Standard Issue]]="","",tblIssues[[#This Row],[Standard Issue]]))</f>
        <v>50</v>
      </c>
      <c r="K1319" s="20">
        <f>IF($F1319="","",IFERROR(INDEX(Items!$D$5:$D$597,MATCH($F1319,Items!$A$5:$A$597,0)),""))</f>
        <v>0.25</v>
      </c>
      <c r="L1319" s="21">
        <f t="shared" si="228"/>
        <v>12.5</v>
      </c>
      <c r="M1319" s="9" t="str">
        <f t="shared" si="226"/>
        <v>102GPC24</v>
      </c>
      <c r="N1319" s="24">
        <f>IF($A1319="","",WORKDAY($A1319,Settings!$C$9,HolidayDates))</f>
        <v>46199</v>
      </c>
      <c r="O1319" s="24">
        <f>IF($N1319="","",WORKDAY($N1319,Settings!$C$10,HolidayDates))</f>
        <v>46239</v>
      </c>
      <c r="P1319" s="10" t="s">
        <v>501</v>
      </c>
      <c r="Q1319" s="52" t="str">
        <f t="shared" si="229"/>
        <v>Collected</v>
      </c>
      <c r="R1319" s="55" t="str">
        <f t="shared" si="230"/>
        <v>2026-06</v>
      </c>
      <c r="S1319" s="55">
        <f>IF(OR($B1319="",$F1319="",$R1319=""),"",SUMIFS(tblIssues[Qty Issued],tblIssues[Staff ID],$B1319,tblIssues[Item Name],$F1319,tblIssues[Month],$R1319))</f>
        <v>50</v>
      </c>
      <c r="T1319" s="56">
        <f>IF($I1319="","",$I1319*Settings!$C$11)</f>
        <v>50</v>
      </c>
      <c r="U1319" s="57" t="str">
        <f t="shared" si="227"/>
        <v>OK</v>
      </c>
      <c r="V1319" s="55" t="str">
        <f t="shared" si="231"/>
        <v/>
      </c>
      <c r="W1319" s="55" t="str">
        <f>IF($V1319="","",IF(COUNTIF($V$5:$V1319,$V1319)=1,1,""))</f>
        <v/>
      </c>
      <c r="X1319" s="58" t="str">
        <f>IF($W1319="","",MAX($X$4:X1318)+1)</f>
        <v/>
      </c>
      <c r="Y1319" s="62"/>
      <c r="Z1319" s="62"/>
      <c r="AA1319" s="64" t="str">
        <f>IF($C1319="","",IFERROR(INDEX('Staff Directory'!$E$5:$E$594,MATCH($C1319,'Staff Directory'!$B$5:$B$594,0)),""))</f>
        <v>firstname113.lastname113@example.com</v>
      </c>
      <c r="AB1319" s="64" t="str">
        <f>IF($C1319="","",IF(ISNUMBER(SEARCH($D1319,Settings!$C$15)),"Pickup","Dispatch"))</f>
        <v>Pickup</v>
      </c>
      <c r="AC1319" s="64" t="str">
        <f t="shared" si="232"/>
        <v>Supply order ready for pickup</v>
      </c>
      <c r="AD1319" s="64" t="str">
        <f t="shared" si="223"/>
        <v>Dear PSW,
Your order is ready for pickup from Sample Branch, Wed-Fri 9am-4pm.</v>
      </c>
      <c r="AE1319" s="64" t="str">
        <f t="shared" si="224"/>
        <v>mailto:firstname113.lastname113@example.com?subject=Supply%20order%20ready%20for%20pickup&amp;body=Dear%20PSW%2C%0A%0AYour%20order%20is%20ready%20for%20pickup%20from%20Sample%20Branch%2C%20Wed-Fri%209am-4pm.</v>
      </c>
      <c r="AF1319" s="89" t="str">
        <f t="shared" si="233"/>
        <v>Draft email</v>
      </c>
      <c r="AG1319" s="64" t="str">
        <f>IF($C1319="","",IFERROR(INDEX('Staff Directory'!$K$595:$K$599,MATCH($C1319,'Staff Directory'!$B$5:$B$599,0)),$D1319))</f>
        <v>PSW</v>
      </c>
      <c r="AH1319" t="str">
        <f>IF($C1319="","",IFERROR(INDEX('Staff Directory'!$I$595:$I$599,MATCH($C1319,'Staff Directory'!$B$5:$B$599,0))&amp;" "&amp;INDEX('Staff Directory'!$J$595:$J$599,MATCH($C1319,'Staff Directory'!$B$5:$B$599,0)),$AG1319))</f>
        <v>PSW</v>
      </c>
      <c r="AI1319" s="102"/>
      <c r="AJ1319" s="101">
        <f>IF($F1319="","",SUMIFS($J$5:$J1319,$F$5:$F1319,$F1319))</f>
        <v>11200</v>
      </c>
      <c r="AK1319" s="101">
        <f t="shared" si="225"/>
        <v>11151</v>
      </c>
      <c r="AL1319" s="66" t="str" cm="1">
        <f t="array" ref="AL1319">IF($F1319="","",IFERROR(INDEX('Lot Balance'!$B$5:$B$500,MATCH(1,INDEX(('Lot Balance'!$A$5:$A$500=$F1319)*('Lot Balance'!$K$5:$K$500&lt;$AK1319)*('Lot Balance'!$K$5:$K$500+'Lot Balance'!$D$5:$D$500&gt;=$AK1319),0),0)),""))</f>
        <v>102GPC24</v>
      </c>
      <c r="AM1319" s="66" t="str" cm="1">
        <f t="array" ref="AM1319">IF($F1319="","",IFERROR(INDEX('Lot Balance'!$B$5:$B$500,MATCH(1,INDEX(('Lot Balance'!$A$5:$A$500=$F1319)*('Lot Balance'!$K$5:$K$500&lt;$AJ1319)*('Lot Balance'!$K$5:$K$500+'Lot Balance'!$D$5:$D$500&gt;=$AJ1319),0),0)),""))</f>
        <v>102GPC24</v>
      </c>
      <c r="AN1319" s="66" t="str">
        <f>IF($F1319="","",IF($AI1319&lt;&gt;"",IF(COUNTIFS('Lot Balance'!$A$5:$A$500,$F1319,'Lot Balance'!$B$5:$B$500,$AI1319)=0,"⚠ override is not a lot of this item",IF($AI1319=$AL1319,"Override = FEFO","Override - FEFO says "&amp;$AL1319)),IF($AL1319="","⚠ no receipt on file for this item",IF($AM1319&lt;&gt;$AL1319,"FEFO auto - split, also "&amp;$AM1319,"FEFO auto"))))</f>
        <v>FEFO auto</v>
      </c>
      <c r="AO1319" s="114"/>
    </row>
    <row r="1320" spans="1:41" x14ac:dyDescent="0.35">
      <c r="A1320" s="74">
        <v>46191</v>
      </c>
      <c r="B1320" s="18" t="str">
        <f>IF($C1320="","",IFERROR(INDEX('Staff Directory'!$A$5:$A$594,MATCH($C1320,'Staff Directory'!$B$5:$B$594,0)),"⚠ unknown staff"))</f>
        <v>PSW-125-A4</v>
      </c>
      <c r="C1320" s="49" t="s">
        <v>1104</v>
      </c>
      <c r="D1320" s="19" t="str">
        <f>IF($B1320="","",IFERROR(INDEX('Staff Directory'!$C$5:$C$594,MATCH($B1320,'Staff Directory'!$A$5:$A$594,0)),""))</f>
        <v>PSW</v>
      </c>
      <c r="E1320" s="19" t="str">
        <f>IF($B1320="","",IFERROR(INDEX('Staff Directory'!$D$5:$D$594,MATCH($B1320,'Staff Directory'!$A$5:$A$594,0)),""))</f>
        <v>A4</v>
      </c>
      <c r="F1320" s="9" t="s">
        <v>127</v>
      </c>
      <c r="G1320" s="18" t="str">
        <f>IF($F1320="","",IFERROR(INDEX(Items!$B$5:$B$597,MATCH($F1320,Items!$A$5:$A$597,0)),"⚠ not in Items"))</f>
        <v>Gloves</v>
      </c>
      <c r="H1320" s="19" t="str">
        <f>IF($F1320="","",IFERROR(INDEX(Items!$C$5:$C$597,MATCH($F1320,Items!$A$5:$A$597,0)),""))</f>
        <v>Medium</v>
      </c>
      <c r="I1320" s="23">
        <f>IF($F1320="","",IFERROR(INDEX(Items!$E$5:$E$597,MATCH($F1320,Items!$A$5:$A$597,0)),""))</f>
        <v>500</v>
      </c>
      <c r="J1320" s="115">
        <f>IF(tblIssues[[#This Row],[Qty Override]]&lt;&gt;"",tblIssues[[#This Row],[Qty Override]],IF(tblIssues[[#This Row],[Standard Issue]]="","",tblIssues[[#This Row],[Standard Issue]]))</f>
        <v>500</v>
      </c>
      <c r="K1320" s="20">
        <f>IF($F1320="","",IFERROR(INDEX(Items!$D$5:$D$597,MATCH($F1320,Items!$A$5:$A$597,0)),""))</f>
        <v>5.5E-2</v>
      </c>
      <c r="L1320" s="21">
        <f t="shared" si="228"/>
        <v>27.5</v>
      </c>
      <c r="M1320" s="9" t="str">
        <f t="shared" si="226"/>
        <v>ZIM510137962-1</v>
      </c>
      <c r="N1320" s="24">
        <f>IF($A1320="","",WORKDAY($A1320,Settings!$C$9,HolidayDates))</f>
        <v>46199</v>
      </c>
      <c r="O1320" s="24">
        <f>IF($N1320="","",WORKDAY($N1320,Settings!$C$10,HolidayDates))</f>
        <v>46239</v>
      </c>
      <c r="P1320" s="10" t="s">
        <v>501</v>
      </c>
      <c r="Q1320" s="52" t="str">
        <f t="shared" si="229"/>
        <v>Collected</v>
      </c>
      <c r="R1320" s="55" t="str">
        <f t="shared" si="230"/>
        <v>2026-06</v>
      </c>
      <c r="S1320" s="55">
        <f>IF(OR($B1320="",$F1320="",$R1320=""),"",SUMIFS(tblIssues[Qty Issued],tblIssues[Staff ID],$B1320,tblIssues[Item Name],$F1320,tblIssues[Month],$R1320))</f>
        <v>500</v>
      </c>
      <c r="T1320" s="56">
        <f>IF($I1320="","",$I1320*Settings!$C$11)</f>
        <v>500</v>
      </c>
      <c r="U1320" s="57" t="str">
        <f t="shared" si="227"/>
        <v>OK</v>
      </c>
      <c r="V1320" s="55" t="str">
        <f t="shared" si="231"/>
        <v/>
      </c>
      <c r="W1320" s="55" t="str">
        <f>IF($V1320="","",IF(COUNTIF($V$5:$V1320,$V1320)=1,1,""))</f>
        <v/>
      </c>
      <c r="X1320" s="58" t="str">
        <f>IF($W1320="","",MAX($X$4:X1319)+1)</f>
        <v/>
      </c>
      <c r="Y1320" s="62"/>
      <c r="Z1320" s="62"/>
      <c r="AA1320" s="64" t="str">
        <f>IF($C1320="","",IFERROR(INDEX('Staff Directory'!$E$5:$E$594,MATCH($C1320,'Staff Directory'!$B$5:$B$594,0)),""))</f>
        <v>firstname188.lastname188@example.com</v>
      </c>
      <c r="AB1320" s="64" t="str">
        <f>IF($C1320="","",IF(ISNUMBER(SEARCH($D1320,Settings!$C$15)),"Pickup","Dispatch"))</f>
        <v>Pickup</v>
      </c>
      <c r="AC1320" s="64" t="str">
        <f t="shared" si="232"/>
        <v>Supply order ready for pickup</v>
      </c>
      <c r="AD1320" s="64" t="str">
        <f t="shared" si="223"/>
        <v>Dear PSW,
Your order is ready for pickup from Sample Branch, Wed-Fri 9am-4pm.</v>
      </c>
      <c r="AE1320" s="64" t="str">
        <f t="shared" si="224"/>
        <v>mailto:firstname188.lastname188@example.com?subject=Supply%20order%20ready%20for%20pickup&amp;body=Dear%20PSW%2C%0A%0AYour%20order%20is%20ready%20for%20pickup%20from%20Sample%20Branch%2C%20Wed-Fri%209am-4pm.</v>
      </c>
      <c r="AF1320" s="89" t="str">
        <f t="shared" si="233"/>
        <v>Draft email</v>
      </c>
      <c r="AG1320" s="64" t="str">
        <f>IF($C1320="","",IFERROR(INDEX('Staff Directory'!$K$595:$K$599,MATCH($C1320,'Staff Directory'!$B$5:$B$599,0)),$D1320))</f>
        <v>PSW</v>
      </c>
      <c r="AH1320" t="str">
        <f>IF($C1320="","",IFERROR(INDEX('Staff Directory'!$I$595:$I$599,MATCH($C1320,'Staff Directory'!$B$5:$B$599,0))&amp;" "&amp;INDEX('Staff Directory'!$J$595:$J$599,MATCH($C1320,'Staff Directory'!$B$5:$B$599,0)),$AG1320))</f>
        <v>PSW</v>
      </c>
      <c r="AI1320" s="102"/>
      <c r="AJ1320" s="101">
        <f>IF($F1320="","",SUMIFS($J$5:$J1320,$F$5:$F1320,$F1320))</f>
        <v>81000</v>
      </c>
      <c r="AK1320" s="101">
        <f t="shared" si="225"/>
        <v>80501</v>
      </c>
      <c r="AL1320" s="66" t="str" cm="1">
        <f t="array" ref="AL1320">IF($F1320="","",IFERROR(INDEX('Lot Balance'!$B$5:$B$500,MATCH(1,INDEX(('Lot Balance'!$A$5:$A$500=$F1320)*('Lot Balance'!$K$5:$K$500&lt;$AK1320)*('Lot Balance'!$K$5:$K$500+'Lot Balance'!$D$5:$D$500&gt;=$AK1320),0),0)),""))</f>
        <v>ZIM510137962-1</v>
      </c>
      <c r="AM1320" s="66" t="str" cm="1">
        <f t="array" ref="AM1320">IF($F1320="","",IFERROR(INDEX('Lot Balance'!$B$5:$B$500,MATCH(1,INDEX(('Lot Balance'!$A$5:$A$500=$F1320)*('Lot Balance'!$K$5:$K$500&lt;$AJ1320)*('Lot Balance'!$K$5:$K$500+'Lot Balance'!$D$5:$D$500&gt;=$AJ1320),0),0)),""))</f>
        <v>ZIM510137962-1</v>
      </c>
      <c r="AN1320" s="66" t="str">
        <f>IF($F1320="","",IF($AI1320&lt;&gt;"",IF(COUNTIFS('Lot Balance'!$A$5:$A$500,$F1320,'Lot Balance'!$B$5:$B$500,$AI1320)=0,"⚠ override is not a lot of this item",IF($AI1320=$AL1320,"Override = FEFO","Override - FEFO says "&amp;$AL1320)),IF($AL1320="","⚠ no receipt on file for this item",IF($AM1320&lt;&gt;$AL1320,"FEFO auto - split, also "&amp;$AM1320,"FEFO auto"))))</f>
        <v>FEFO auto</v>
      </c>
      <c r="AO1320" s="114"/>
    </row>
    <row r="1321" spans="1:41" x14ac:dyDescent="0.35">
      <c r="A1321" s="74">
        <v>46191</v>
      </c>
      <c r="B1321" s="18" t="str">
        <f>IF($C1321="","",IFERROR(INDEX('Staff Directory'!$A$5:$A$594,MATCH($C1321,'Staff Directory'!$B$5:$B$594,0)),"⚠ unknown staff"))</f>
        <v>PSW-125-A4</v>
      </c>
      <c r="C1321" s="49" t="s">
        <v>1104</v>
      </c>
      <c r="D1321" s="19" t="str">
        <f>IF($B1321="","",IFERROR(INDEX('Staff Directory'!$C$5:$C$594,MATCH($B1321,'Staff Directory'!$A$5:$A$594,0)),""))</f>
        <v>PSW</v>
      </c>
      <c r="E1321" s="19" t="str">
        <f>IF($B1321="","",IFERROR(INDEX('Staff Directory'!$D$5:$D$594,MATCH($B1321,'Staff Directory'!$A$5:$A$594,0)),""))</f>
        <v>A4</v>
      </c>
      <c r="F1321" s="9" t="s">
        <v>191</v>
      </c>
      <c r="G1321" s="18" t="str">
        <f>IF($F1321="","",IFERROR(INDEX(Items!$B$5:$B$597,MATCH($F1321,Items!$A$5:$A$597,0)),"⚠ not in Items"))</f>
        <v>Sanitizer</v>
      </c>
      <c r="H1321" s="19" t="str">
        <f>IF($F1321="","",IFERROR(INDEX(Items!$C$5:$C$597,MATCH($F1321,Items!$A$5:$A$597,0)),""))</f>
        <v>236 ML</v>
      </c>
      <c r="I1321" s="23">
        <f>IF($F1321="","",IFERROR(INDEX(Items!$E$5:$E$597,MATCH($F1321,Items!$A$5:$A$597,0)),""))</f>
        <v>1</v>
      </c>
      <c r="J1321" s="115">
        <f>IF(tblIssues[[#This Row],[Qty Override]]&lt;&gt;"",tblIssues[[#This Row],[Qty Override]],IF(tblIssues[[#This Row],[Standard Issue]]="","",tblIssues[[#This Row],[Standard Issue]]))</f>
        <v>1</v>
      </c>
      <c r="K1321" s="20">
        <f>IF($F1321="","",IFERROR(INDEX(Items!$D$5:$D$597,MATCH($F1321,Items!$A$5:$A$597,0)),""))</f>
        <v>1E-4</v>
      </c>
      <c r="L1321" s="21">
        <f t="shared" si="228"/>
        <v>1E-4</v>
      </c>
      <c r="M1321" s="9" t="str">
        <f t="shared" si="226"/>
        <v/>
      </c>
      <c r="N1321" s="24">
        <f>IF($A1321="","",WORKDAY($A1321,Settings!$C$9,HolidayDates))</f>
        <v>46199</v>
      </c>
      <c r="O1321" s="24">
        <f>IF($N1321="","",WORKDAY($N1321,Settings!$C$10,HolidayDates))</f>
        <v>46239</v>
      </c>
      <c r="P1321" s="10" t="s">
        <v>501</v>
      </c>
      <c r="Q1321" s="52" t="str">
        <f t="shared" si="229"/>
        <v>Collected</v>
      </c>
      <c r="R1321" s="55" t="str">
        <f t="shared" si="230"/>
        <v>2026-06</v>
      </c>
      <c r="S1321" s="55">
        <f>IF(OR($B1321="",$F1321="",$R1321=""),"",SUMIFS(tblIssues[Qty Issued],tblIssues[Staff ID],$B1321,tblIssues[Item Name],$F1321,tblIssues[Month],$R1321))</f>
        <v>1</v>
      </c>
      <c r="T1321" s="56">
        <f>IF($I1321="","",$I1321*Settings!$C$11)</f>
        <v>1</v>
      </c>
      <c r="U1321" s="57" t="str">
        <f t="shared" si="227"/>
        <v>OK</v>
      </c>
      <c r="V1321" s="55" t="str">
        <f t="shared" si="231"/>
        <v/>
      </c>
      <c r="W1321" s="55" t="str">
        <f>IF($V1321="","",IF(COUNTIF($V$5:$V1321,$V1321)=1,1,""))</f>
        <v/>
      </c>
      <c r="X1321" s="58" t="str">
        <f>IF($W1321="","",MAX($X$4:X1320)+1)</f>
        <v/>
      </c>
      <c r="Y1321" s="62"/>
      <c r="Z1321" s="62"/>
      <c r="AA1321" s="64" t="str">
        <f>IF($C1321="","",IFERROR(INDEX('Staff Directory'!$E$5:$E$594,MATCH($C1321,'Staff Directory'!$B$5:$B$594,0)),""))</f>
        <v>firstname188.lastname188@example.com</v>
      </c>
      <c r="AB1321" s="64" t="str">
        <f>IF($C1321="","",IF(ISNUMBER(SEARCH($D1321,Settings!$C$15)),"Pickup","Dispatch"))</f>
        <v>Pickup</v>
      </c>
      <c r="AC1321" s="64" t="str">
        <f t="shared" si="232"/>
        <v>Supply order ready for pickup</v>
      </c>
      <c r="AD1321" s="64" t="str">
        <f t="shared" si="223"/>
        <v>Dear PSW,
Your order is ready for pickup from Sample Branch, Wed-Fri 9am-4pm.</v>
      </c>
      <c r="AE1321" s="64" t="str">
        <f t="shared" si="224"/>
        <v>mailto:firstname188.lastname188@example.com?subject=Supply%20order%20ready%20for%20pickup&amp;body=Dear%20PSW%2C%0A%0AYour%20order%20is%20ready%20for%20pickup%20from%20Sample%20Branch%2C%20Wed-Fri%209am-4pm.</v>
      </c>
      <c r="AF1321" s="89" t="str">
        <f t="shared" si="233"/>
        <v>Draft email</v>
      </c>
      <c r="AG1321" s="64" t="str">
        <f>IF($C1321="","",IFERROR(INDEX('Staff Directory'!$K$595:$K$599,MATCH($C1321,'Staff Directory'!$B$5:$B$599,0)),$D1321))</f>
        <v>PSW</v>
      </c>
      <c r="AH1321" t="str">
        <f>IF($C1321="","",IFERROR(INDEX('Staff Directory'!$I$595:$I$599,MATCH($C1321,'Staff Directory'!$B$5:$B$599,0))&amp;" "&amp;INDEX('Staff Directory'!$J$595:$J$599,MATCH($C1321,'Staff Directory'!$B$5:$B$599,0)),$AG1321))</f>
        <v>PSW</v>
      </c>
      <c r="AI1321" s="102"/>
      <c r="AJ1321" s="101">
        <f>IF($F1321="","",SUMIFS($J$5:$J1321,$F$5:$F1321,$F1321))</f>
        <v>175</v>
      </c>
      <c r="AK1321" s="101">
        <f t="shared" si="225"/>
        <v>175</v>
      </c>
      <c r="AL1321" s="66" t="str" cm="1">
        <f t="array" ref="AL1321">IF($F1321="","",IFERROR(INDEX('Lot Balance'!$B$5:$B$500,MATCH(1,INDEX(('Lot Balance'!$A$5:$A$500=$F1321)*('Lot Balance'!$K$5:$K$500&lt;$AK1321)*('Lot Balance'!$K$5:$K$500+'Lot Balance'!$D$5:$D$500&gt;=$AK1321),0),0)),""))</f>
        <v/>
      </c>
      <c r="AM1321" s="66" t="str" cm="1">
        <f t="array" ref="AM1321">IF($F1321="","",IFERROR(INDEX('Lot Balance'!$B$5:$B$500,MATCH(1,INDEX(('Lot Balance'!$A$5:$A$500=$F1321)*('Lot Balance'!$K$5:$K$500&lt;$AJ1321)*('Lot Balance'!$K$5:$K$500+'Lot Balance'!$D$5:$D$500&gt;=$AJ1321),0),0)),""))</f>
        <v/>
      </c>
      <c r="AN1321" s="66" t="str">
        <f>IF($F1321="","",IF($AI1321&lt;&gt;"",IF(COUNTIFS('Lot Balance'!$A$5:$A$500,$F1321,'Lot Balance'!$B$5:$B$500,$AI1321)=0,"⚠ override is not a lot of this item",IF($AI1321=$AL1321,"Override = FEFO","Override - FEFO says "&amp;$AL1321)),IF($AL1321="","⚠ no receipt on file for this item",IF($AM1321&lt;&gt;$AL1321,"FEFO auto - split, also "&amp;$AM1321,"FEFO auto"))))</f>
        <v>⚠ no receipt on file for this item</v>
      </c>
      <c r="AO1321" s="114"/>
    </row>
    <row r="1322" spans="1:41" x14ac:dyDescent="0.35">
      <c r="A1322" s="74">
        <v>46191</v>
      </c>
      <c r="B1322" s="18" t="str">
        <f>IF($C1322="","",IFERROR(INDEX('Staff Directory'!$A$5:$A$594,MATCH($C1322,'Staff Directory'!$B$5:$B$594,0)),"⚠ unknown staff"))</f>
        <v>PSW-125-A4</v>
      </c>
      <c r="C1322" s="49" t="s">
        <v>1104</v>
      </c>
      <c r="D1322" s="19" t="str">
        <f>IF($B1322="","",IFERROR(INDEX('Staff Directory'!$C$5:$C$594,MATCH($B1322,'Staff Directory'!$A$5:$A$594,0)),""))</f>
        <v>PSW</v>
      </c>
      <c r="E1322" s="19" t="str">
        <f>IF($B1322="","",IFERROR(INDEX('Staff Directory'!$D$5:$D$594,MATCH($B1322,'Staff Directory'!$A$5:$A$594,0)),""))</f>
        <v>A4</v>
      </c>
      <c r="F1322" s="9" t="s">
        <v>115</v>
      </c>
      <c r="G1322" s="18" t="str">
        <f>IF($F1322="","",IFERROR(INDEX(Items!$B$5:$B$597,MATCH($F1322,Items!$A$5:$A$597,0)),"⚠ not in Items"))</f>
        <v>Wipes</v>
      </c>
      <c r="H1322" s="19">
        <f>IF($F1322="","",IFERROR(INDEX(Items!$C$5:$C$597,MATCH($F1322,Items!$A$5:$A$597,0)),""))</f>
        <v>80</v>
      </c>
      <c r="I1322" s="23">
        <f>IF($F1322="","",IFERROR(INDEX(Items!$E$5:$E$597,MATCH($F1322,Items!$A$5:$A$597,0)),""))</f>
        <v>80</v>
      </c>
      <c r="J1322" s="115">
        <f>IF(tblIssues[[#This Row],[Qty Override]]&lt;&gt;"",tblIssues[[#This Row],[Qty Override]],IF(tblIssues[[#This Row],[Standard Issue]]="","",tblIssues[[#This Row],[Standard Issue]]))</f>
        <v>80</v>
      </c>
      <c r="K1322" s="20">
        <f>IF($F1322="","",IFERROR(INDEX(Items!$D$5:$D$597,MATCH($F1322,Items!$A$5:$A$597,0)),""))</f>
        <v>0.1</v>
      </c>
      <c r="L1322" s="21">
        <f t="shared" si="228"/>
        <v>8</v>
      </c>
      <c r="M1322" s="9" t="str">
        <f t="shared" si="226"/>
        <v>LYSL500290</v>
      </c>
      <c r="N1322" s="24">
        <f>IF($A1322="","",WORKDAY($A1322,Settings!$C$9,HolidayDates))</f>
        <v>46199</v>
      </c>
      <c r="O1322" s="24">
        <f>IF($N1322="","",WORKDAY($N1322,Settings!$C$10,HolidayDates))</f>
        <v>46239</v>
      </c>
      <c r="P1322" s="10" t="s">
        <v>501</v>
      </c>
      <c r="Q1322" s="52" t="str">
        <f t="shared" si="229"/>
        <v>Collected</v>
      </c>
      <c r="R1322" s="55" t="str">
        <f t="shared" si="230"/>
        <v>2026-06</v>
      </c>
      <c r="S1322" s="55">
        <f>IF(OR($B1322="",$F1322="",$R1322=""),"",SUMIFS(tblIssues[Qty Issued],tblIssues[Staff ID],$B1322,tblIssues[Item Name],$F1322,tblIssues[Month],$R1322))</f>
        <v>80</v>
      </c>
      <c r="T1322" s="56">
        <f>IF($I1322="","",$I1322*Settings!$C$11)</f>
        <v>80</v>
      </c>
      <c r="U1322" s="57" t="str">
        <f t="shared" si="227"/>
        <v>OK</v>
      </c>
      <c r="V1322" s="55" t="str">
        <f t="shared" si="231"/>
        <v/>
      </c>
      <c r="W1322" s="55" t="str">
        <f>IF($V1322="","",IF(COUNTIF($V$5:$V1322,$V1322)=1,1,""))</f>
        <v/>
      </c>
      <c r="X1322" s="58" t="str">
        <f>IF($W1322="","",MAX($X$4:X1321)+1)</f>
        <v/>
      </c>
      <c r="Y1322" s="62"/>
      <c r="Z1322" s="62"/>
      <c r="AA1322" s="64" t="str">
        <f>IF($C1322="","",IFERROR(INDEX('Staff Directory'!$E$5:$E$594,MATCH($C1322,'Staff Directory'!$B$5:$B$594,0)),""))</f>
        <v>firstname188.lastname188@example.com</v>
      </c>
      <c r="AB1322" s="64" t="str">
        <f>IF($C1322="","",IF(ISNUMBER(SEARCH($D1322,Settings!$C$15)),"Pickup","Dispatch"))</f>
        <v>Pickup</v>
      </c>
      <c r="AC1322" s="64" t="str">
        <f t="shared" si="232"/>
        <v>Supply order ready for pickup</v>
      </c>
      <c r="AD1322" s="64" t="str">
        <f t="shared" si="223"/>
        <v>Dear PSW,
Your order is ready for pickup from Sample Branch, Wed-Fri 9am-4pm.</v>
      </c>
      <c r="AE1322" s="64" t="str">
        <f t="shared" si="224"/>
        <v>mailto:firstname188.lastname188@example.com?subject=Supply%20order%20ready%20for%20pickup&amp;body=Dear%20PSW%2C%0A%0AYour%20order%20is%20ready%20for%20pickup%20from%20Sample%20Branch%2C%20Wed-Fri%209am-4pm.</v>
      </c>
      <c r="AF1322" s="89" t="str">
        <f t="shared" si="233"/>
        <v>Draft email</v>
      </c>
      <c r="AG1322" s="64" t="str">
        <f>IF($C1322="","",IFERROR(INDEX('Staff Directory'!$K$595:$K$599,MATCH($C1322,'Staff Directory'!$B$5:$B$599,0)),$D1322))</f>
        <v>PSW</v>
      </c>
      <c r="AH1322" t="str">
        <f>IF($C1322="","",IFERROR(INDEX('Staff Directory'!$I$595:$I$599,MATCH($C1322,'Staff Directory'!$B$5:$B$599,0))&amp;" "&amp;INDEX('Staff Directory'!$J$595:$J$599,MATCH($C1322,'Staff Directory'!$B$5:$B$599,0)),$AG1322))</f>
        <v>PSW</v>
      </c>
      <c r="AI1322" s="102"/>
      <c r="AJ1322" s="101">
        <f>IF($F1322="","",SUMIFS($J$5:$J1322,$F$5:$F1322,$F1322))</f>
        <v>18160</v>
      </c>
      <c r="AK1322" s="101">
        <f t="shared" si="225"/>
        <v>18081</v>
      </c>
      <c r="AL1322" s="66" t="str" cm="1">
        <f t="array" ref="AL1322">IF($F1322="","",IFERROR(INDEX('Lot Balance'!$B$5:$B$500,MATCH(1,INDEX(('Lot Balance'!$A$5:$A$500=$F1322)*('Lot Balance'!$K$5:$K$500&lt;$AK1322)*('Lot Balance'!$K$5:$K$500+'Lot Balance'!$D$5:$D$500&gt;=$AK1322),0),0)),""))</f>
        <v>LYSL500290</v>
      </c>
      <c r="AM1322" s="66" t="str" cm="1">
        <f t="array" ref="AM1322">IF($F1322="","",IFERROR(INDEX('Lot Balance'!$B$5:$B$500,MATCH(1,INDEX(('Lot Balance'!$A$5:$A$500=$F1322)*('Lot Balance'!$K$5:$K$500&lt;$AJ1322)*('Lot Balance'!$K$5:$K$500+'Lot Balance'!$D$5:$D$500&gt;=$AJ1322),0),0)),""))</f>
        <v>LYSL500290</v>
      </c>
      <c r="AN1322" s="66" t="str">
        <f>IF($F1322="","",IF($AI1322&lt;&gt;"",IF(COUNTIFS('Lot Balance'!$A$5:$A$500,$F1322,'Lot Balance'!$B$5:$B$500,$AI1322)=0,"⚠ override is not a lot of this item",IF($AI1322=$AL1322,"Override = FEFO","Override - FEFO says "&amp;$AL1322)),IF($AL1322="","⚠ no receipt on file for this item",IF($AM1322&lt;&gt;$AL1322,"FEFO auto - split, also "&amp;$AM1322,"FEFO auto"))))</f>
        <v>FEFO auto</v>
      </c>
      <c r="AO1322" s="114"/>
    </row>
    <row r="1323" spans="1:41" x14ac:dyDescent="0.35">
      <c r="A1323" s="74">
        <v>46191</v>
      </c>
      <c r="B1323" s="18" t="str">
        <f>IF($C1323="","",IFERROR(INDEX('Staff Directory'!$A$5:$A$594,MATCH($C1323,'Staff Directory'!$B$5:$B$594,0)),"⚠ unknown staff"))</f>
        <v>PSW-125-A4</v>
      </c>
      <c r="C1323" s="49" t="s">
        <v>1104</v>
      </c>
      <c r="D1323" s="19" t="str">
        <f>IF($B1323="","",IFERROR(INDEX('Staff Directory'!$C$5:$C$594,MATCH($B1323,'Staff Directory'!$A$5:$A$594,0)),""))</f>
        <v>PSW</v>
      </c>
      <c r="E1323" s="19" t="str">
        <f>IF($B1323="","",IFERROR(INDEX('Staff Directory'!$D$5:$D$594,MATCH($B1323,'Staff Directory'!$A$5:$A$594,0)),""))</f>
        <v>A4</v>
      </c>
      <c r="F1323" s="9" t="s">
        <v>156</v>
      </c>
      <c r="G1323" s="18" t="str">
        <f>IF($F1323="","",IFERROR(INDEX(Items!$B$5:$B$597,MATCH($F1323,Items!$A$5:$A$597,0)),"⚠ not in Items"))</f>
        <v>Masks</v>
      </c>
      <c r="H1323" s="19" t="str">
        <f>IF($F1323="","",IFERROR(INDEX(Items!$C$5:$C$597,MATCH($F1323,Items!$A$5:$A$597,0)),""))</f>
        <v>One Size</v>
      </c>
      <c r="I1323" s="23">
        <f>IF($F1323="","",IFERROR(INDEX(Items!$E$5:$E$597,MATCH($F1323,Items!$A$5:$A$597,0)),""))</f>
        <v>50</v>
      </c>
      <c r="J1323" s="115">
        <f>IF(tblIssues[[#This Row],[Qty Override]]&lt;&gt;"",tblIssues[[#This Row],[Qty Override]],IF(tblIssues[[#This Row],[Standard Issue]]="","",tblIssues[[#This Row],[Standard Issue]]))</f>
        <v>50</v>
      </c>
      <c r="K1323" s="20">
        <f>IF($F1323="","",IFERROR(INDEX(Items!$D$5:$D$597,MATCH($F1323,Items!$A$5:$A$597,0)),""))</f>
        <v>0.25</v>
      </c>
      <c r="L1323" s="21">
        <f t="shared" si="228"/>
        <v>12.5</v>
      </c>
      <c r="M1323" s="9" t="str">
        <f t="shared" si="226"/>
        <v>24HA2050A7396</v>
      </c>
      <c r="N1323" s="24">
        <f>IF($A1323="","",WORKDAY($A1323,Settings!$C$9,HolidayDates))</f>
        <v>46199</v>
      </c>
      <c r="O1323" s="24">
        <f>IF($N1323="","",WORKDAY($N1323,Settings!$C$10,HolidayDates))</f>
        <v>46239</v>
      </c>
      <c r="P1323" s="10" t="s">
        <v>501</v>
      </c>
      <c r="Q1323" s="52" t="str">
        <f t="shared" si="229"/>
        <v>Collected</v>
      </c>
      <c r="R1323" s="55" t="str">
        <f t="shared" si="230"/>
        <v>2026-06</v>
      </c>
      <c r="S1323" s="55">
        <f>IF(OR($B1323="",$F1323="",$R1323=""),"",SUMIFS(tblIssues[Qty Issued],tblIssues[Staff ID],$B1323,tblIssues[Item Name],$F1323,tblIssues[Month],$R1323))</f>
        <v>50</v>
      </c>
      <c r="T1323" s="56">
        <f>IF($I1323="","",$I1323*Settings!$C$11)</f>
        <v>50</v>
      </c>
      <c r="U1323" s="57" t="str">
        <f t="shared" si="227"/>
        <v>OK</v>
      </c>
      <c r="V1323" s="55" t="str">
        <f t="shared" si="231"/>
        <v/>
      </c>
      <c r="W1323" s="55" t="str">
        <f>IF($V1323="","",IF(COUNTIF($V$5:$V1323,$V1323)=1,1,""))</f>
        <v/>
      </c>
      <c r="X1323" s="58" t="str">
        <f>IF($W1323="","",MAX($X$4:X1322)+1)</f>
        <v/>
      </c>
      <c r="Y1323" s="62"/>
      <c r="Z1323" s="62"/>
      <c r="AA1323" s="64" t="str">
        <f>IF($C1323="","",IFERROR(INDEX('Staff Directory'!$E$5:$E$594,MATCH($C1323,'Staff Directory'!$B$5:$B$594,0)),""))</f>
        <v>firstname188.lastname188@example.com</v>
      </c>
      <c r="AB1323" s="64" t="str">
        <f>IF($C1323="","",IF(ISNUMBER(SEARCH($D1323,Settings!$C$15)),"Pickup","Dispatch"))</f>
        <v>Pickup</v>
      </c>
      <c r="AC1323" s="64" t="str">
        <f t="shared" si="232"/>
        <v>Supply order ready for pickup</v>
      </c>
      <c r="AD1323" s="64" t="str">
        <f t="shared" si="223"/>
        <v>Dear PSW,
Your order is ready for pickup from Sample Branch, Wed-Fri 9am-4pm.</v>
      </c>
      <c r="AE1323" s="64" t="str">
        <f t="shared" si="224"/>
        <v>mailto:firstname188.lastname188@example.com?subject=Supply%20order%20ready%20for%20pickup&amp;body=Dear%20PSW%2C%0A%0AYour%20order%20is%20ready%20for%20pickup%20from%20Sample%20Branch%2C%20Wed-Fri%209am-4pm.</v>
      </c>
      <c r="AF1323" s="89" t="str">
        <f t="shared" si="233"/>
        <v>Draft email</v>
      </c>
      <c r="AG1323" s="64" t="str">
        <f>IF($C1323="","",IFERROR(INDEX('Staff Directory'!$K$595:$K$599,MATCH($C1323,'Staff Directory'!$B$5:$B$599,0)),$D1323))</f>
        <v>PSW</v>
      </c>
      <c r="AH1323" t="str">
        <f>IF($C1323="","",IFERROR(INDEX('Staff Directory'!$I$595:$I$599,MATCH($C1323,'Staff Directory'!$B$5:$B$599,0))&amp;" "&amp;INDEX('Staff Directory'!$J$595:$J$599,MATCH($C1323,'Staff Directory'!$B$5:$B$599,0)),$AG1323))</f>
        <v>PSW</v>
      </c>
      <c r="AI1323" s="102"/>
      <c r="AJ1323" s="101">
        <f>IF($F1323="","",SUMIFS($J$5:$J1323,$F$5:$F1323,$F1323))</f>
        <v>11250</v>
      </c>
      <c r="AK1323" s="101">
        <f t="shared" si="225"/>
        <v>11201</v>
      </c>
      <c r="AL1323" s="66" t="str" cm="1">
        <f t="array" ref="AL1323">IF($F1323="","",IFERROR(INDEX('Lot Balance'!$B$5:$B$500,MATCH(1,INDEX(('Lot Balance'!$A$5:$A$500=$F1323)*('Lot Balance'!$K$5:$K$500&lt;$AK1323)*('Lot Balance'!$K$5:$K$500+'Lot Balance'!$D$5:$D$500&gt;=$AK1323),0),0)),""))</f>
        <v>24HA2050A7396</v>
      </c>
      <c r="AM1323" s="66" t="str" cm="1">
        <f t="array" ref="AM1323">IF($F1323="","",IFERROR(INDEX('Lot Balance'!$B$5:$B$500,MATCH(1,INDEX(('Lot Balance'!$A$5:$A$500=$F1323)*('Lot Balance'!$K$5:$K$500&lt;$AJ1323)*('Lot Balance'!$K$5:$K$500+'Lot Balance'!$D$5:$D$500&gt;=$AJ1323),0),0)),""))</f>
        <v>24HA2050A7396</v>
      </c>
      <c r="AN1323" s="66" t="str">
        <f>IF($F1323="","",IF($AI1323&lt;&gt;"",IF(COUNTIFS('Lot Balance'!$A$5:$A$500,$F1323,'Lot Balance'!$B$5:$B$500,$AI1323)=0,"⚠ override is not a lot of this item",IF($AI1323=$AL1323,"Override = FEFO","Override - FEFO says "&amp;$AL1323)),IF($AL1323="","⚠ no receipt on file for this item",IF($AM1323&lt;&gt;$AL1323,"FEFO auto - split, also "&amp;$AM1323,"FEFO auto"))))</f>
        <v>FEFO auto</v>
      </c>
      <c r="AO1323" s="114"/>
    </row>
    <row r="1324" spans="1:41" x14ac:dyDescent="0.35">
      <c r="A1324" s="74">
        <v>46196</v>
      </c>
      <c r="B1324" s="18" t="str">
        <f>IF($C1324="","",IFERROR(INDEX('Staff Directory'!$A$5:$A$594,MATCH($C1324,'Staff Directory'!$B$5:$B$594,0)),"⚠ unknown staff"))</f>
        <v>RPN-002-A1</v>
      </c>
      <c r="C1324" s="49" t="s">
        <v>933</v>
      </c>
      <c r="D1324" s="19" t="str">
        <f>IF($B1324="","",IFERROR(INDEX('Staff Directory'!$C$5:$C$594,MATCH($B1324,'Staff Directory'!$A$5:$A$594,0)),""))</f>
        <v>RPN</v>
      </c>
      <c r="E1324" s="19" t="str">
        <f>IF($B1324="","",IFERROR(INDEX('Staff Directory'!$D$5:$D$594,MATCH($B1324,'Staff Directory'!$A$5:$A$594,0)),""))</f>
        <v>A1</v>
      </c>
      <c r="F1324" s="9" t="s">
        <v>129</v>
      </c>
      <c r="G1324" s="18" t="str">
        <f>IF($F1324="","",IFERROR(INDEX(Items!$B$5:$B$597,MATCH($F1324,Items!$A$5:$A$597,0)),"⚠ not in Items"))</f>
        <v>Gloves</v>
      </c>
      <c r="H1324" s="19" t="str">
        <f>IF($F1324="","",IFERROR(INDEX(Items!$C$5:$C$597,MATCH($F1324,Items!$A$5:$A$597,0)),""))</f>
        <v>Small</v>
      </c>
      <c r="I1324" s="23">
        <f>IF($F1324="","",IFERROR(INDEX(Items!$E$5:$E$597,MATCH($F1324,Items!$A$5:$A$597,0)),""))</f>
        <v>500</v>
      </c>
      <c r="J1324" s="115">
        <f>IF(tblIssues[[#This Row],[Qty Override]]&lt;&gt;"",tblIssues[[#This Row],[Qty Override]],IF(tblIssues[[#This Row],[Standard Issue]]="","",tblIssues[[#This Row],[Standard Issue]]))</f>
        <v>500</v>
      </c>
      <c r="K1324" s="20">
        <f>IF($F1324="","",IFERROR(INDEX(Items!$D$5:$D$597,MATCH($F1324,Items!$A$5:$A$597,0)),""))</f>
        <v>5.5E-2</v>
      </c>
      <c r="L1324" s="21">
        <f t="shared" si="228"/>
        <v>27.5</v>
      </c>
      <c r="M1324" s="9" t="str">
        <f t="shared" si="226"/>
        <v>ZIM504124207-8</v>
      </c>
      <c r="N1324" s="24">
        <f>IF($A1324="","",WORKDAY($A1324,Settings!$C$9,HolidayDates))</f>
        <v>46204</v>
      </c>
      <c r="O1324" s="24">
        <f>IF($N1324="","",WORKDAY($N1324,Settings!$C$10,HolidayDates))</f>
        <v>46244</v>
      </c>
      <c r="P1324" s="10" t="s">
        <v>502</v>
      </c>
      <c r="Q1324" s="52" t="str">
        <f t="shared" si="229"/>
        <v>Collected</v>
      </c>
      <c r="R1324" s="55" t="str">
        <f t="shared" si="230"/>
        <v>2026-06</v>
      </c>
      <c r="S1324" s="55">
        <f>IF(OR($B1324="",$F1324="",$R1324=""),"",SUMIFS(tblIssues[Qty Issued],tblIssues[Staff ID],$B1324,tblIssues[Item Name],$F1324,tblIssues[Month],$R1324))</f>
        <v>500</v>
      </c>
      <c r="T1324" s="56">
        <f>IF($I1324="","",$I1324*Settings!$C$11)</f>
        <v>500</v>
      </c>
      <c r="U1324" s="57" t="str">
        <f t="shared" si="227"/>
        <v>OK</v>
      </c>
      <c r="V1324" s="55" t="str">
        <f t="shared" si="231"/>
        <v/>
      </c>
      <c r="W1324" s="55" t="str">
        <f>IF($V1324="","",IF(COUNTIF($V$5:$V1324,$V1324)=1,1,""))</f>
        <v/>
      </c>
      <c r="X1324" s="58" t="str">
        <f>IF($W1324="","",MAX($X$4:X1323)+1)</f>
        <v/>
      </c>
      <c r="Y1324" s="62"/>
      <c r="Z1324" s="62"/>
      <c r="AA1324" s="64" t="str">
        <f>IF($C1324="","",IFERROR(INDEX('Staff Directory'!$E$5:$E$594,MATCH($C1324,'Staff Directory'!$B$5:$B$594,0)),""))</f>
        <v>firstname017.lastname017@example.com</v>
      </c>
      <c r="AB1324" s="64" t="str">
        <f>IF($C1324="","",IF(ISNUMBER(SEARCH($D1324,Settings!$C$15)),"Pickup","Dispatch"))</f>
        <v>Dispatch</v>
      </c>
      <c r="AC1324" s="64" t="str">
        <f t="shared" si="232"/>
        <v>Supply order dispatched</v>
      </c>
      <c r="AD1324" s="64" t="str">
        <f t="shared" si="223"/>
        <v>Dear RPN,
Your order has been dispatched and is in transit. Reply if undelivered.</v>
      </c>
      <c r="AE1324" s="64" t="str">
        <f t="shared" si="224"/>
        <v>mailto:firstname017.lastname017@example.com?subject=Supply%20order%20dispatched&amp;body=Dear%20RPN%2C%0A%0AYour%20order%20has%20been%20dispatched%20and%20is%20in%20transit.%20Reply%20if%20undelivered.</v>
      </c>
      <c r="AF1324" s="89" t="str">
        <f t="shared" si="233"/>
        <v>Draft email</v>
      </c>
      <c r="AG1324" s="64" t="str">
        <f>IF($C1324="","",IFERROR(INDEX('Staff Directory'!$K$595:$K$599,MATCH($C1324,'Staff Directory'!$B$5:$B$599,0)),$D1324))</f>
        <v>RPN</v>
      </c>
      <c r="AH1324" t="str">
        <f>IF($C1324="","",IFERROR(INDEX('Staff Directory'!$I$595:$I$599,MATCH($C1324,'Staff Directory'!$B$5:$B$599,0))&amp;" "&amp;INDEX('Staff Directory'!$J$595:$J$599,MATCH($C1324,'Staff Directory'!$B$5:$B$599,0)),$AG1324))</f>
        <v>RPN</v>
      </c>
      <c r="AI1324" s="102"/>
      <c r="AJ1324" s="101">
        <f>IF($F1324="","",SUMIFS($J$5:$J1324,$F$5:$F1324,$F1324))</f>
        <v>41000</v>
      </c>
      <c r="AK1324" s="101">
        <f t="shared" si="225"/>
        <v>40501</v>
      </c>
      <c r="AL1324" s="66" t="str" cm="1">
        <f t="array" ref="AL1324">IF($F1324="","",IFERROR(INDEX('Lot Balance'!$B$5:$B$500,MATCH(1,INDEX(('Lot Balance'!$A$5:$A$500=$F1324)*('Lot Balance'!$K$5:$K$500&lt;$AK1324)*('Lot Balance'!$K$5:$K$500+'Lot Balance'!$D$5:$D$500&gt;=$AK1324),0),0)),""))</f>
        <v>ZIM504124207-8</v>
      </c>
      <c r="AM1324" s="66" t="str" cm="1">
        <f t="array" ref="AM1324">IF($F1324="","",IFERROR(INDEX('Lot Balance'!$B$5:$B$500,MATCH(1,INDEX(('Lot Balance'!$A$5:$A$500=$F1324)*('Lot Balance'!$K$5:$K$500&lt;$AJ1324)*('Lot Balance'!$K$5:$K$500+'Lot Balance'!$D$5:$D$500&gt;=$AJ1324),0),0)),""))</f>
        <v>ZIM504124207-8</v>
      </c>
      <c r="AN1324" s="66" t="str">
        <f>IF($F1324="","",IF($AI1324&lt;&gt;"",IF(COUNTIFS('Lot Balance'!$A$5:$A$500,$F1324,'Lot Balance'!$B$5:$B$500,$AI1324)=0,"⚠ override is not a lot of this item",IF($AI1324=$AL1324,"Override = FEFO","Override - FEFO says "&amp;$AL1324)),IF($AL1324="","⚠ no receipt on file for this item",IF($AM1324&lt;&gt;$AL1324,"FEFO auto - split, also "&amp;$AM1324,"FEFO auto"))))</f>
        <v>FEFO auto</v>
      </c>
      <c r="AO1324" s="114"/>
    </row>
    <row r="1325" spans="1:41" x14ac:dyDescent="0.35">
      <c r="A1325" s="74">
        <v>46196</v>
      </c>
      <c r="B1325" s="18" t="str">
        <f>IF($C1325="","",IFERROR(INDEX('Staff Directory'!$A$5:$A$594,MATCH($C1325,'Staff Directory'!$B$5:$B$594,0)),"⚠ unknown staff"))</f>
        <v>RPN-002-A1</v>
      </c>
      <c r="C1325" s="49" t="s">
        <v>933</v>
      </c>
      <c r="D1325" s="19" t="str">
        <f>IF($B1325="","",IFERROR(INDEX('Staff Directory'!$C$5:$C$594,MATCH($B1325,'Staff Directory'!$A$5:$A$594,0)),""))</f>
        <v>RPN</v>
      </c>
      <c r="E1325" s="19" t="str">
        <f>IF($B1325="","",IFERROR(INDEX('Staff Directory'!$D$5:$D$594,MATCH($B1325,'Staff Directory'!$A$5:$A$594,0)),""))</f>
        <v>A1</v>
      </c>
      <c r="F1325" s="9" t="s">
        <v>191</v>
      </c>
      <c r="G1325" s="18" t="str">
        <f>IF($F1325="","",IFERROR(INDEX(Items!$B$5:$B$597,MATCH($F1325,Items!$A$5:$A$597,0)),"⚠ not in Items"))</f>
        <v>Sanitizer</v>
      </c>
      <c r="H1325" s="19" t="str">
        <f>IF($F1325="","",IFERROR(INDEX(Items!$C$5:$C$597,MATCH($F1325,Items!$A$5:$A$597,0)),""))</f>
        <v>236 ML</v>
      </c>
      <c r="I1325" s="23">
        <f>IF($F1325="","",IFERROR(INDEX(Items!$E$5:$E$597,MATCH($F1325,Items!$A$5:$A$597,0)),""))</f>
        <v>1</v>
      </c>
      <c r="J1325" s="115">
        <f>IF(tblIssues[[#This Row],[Qty Override]]&lt;&gt;"",tblIssues[[#This Row],[Qty Override]],IF(tblIssues[[#This Row],[Standard Issue]]="","",tblIssues[[#This Row],[Standard Issue]]))</f>
        <v>1</v>
      </c>
      <c r="K1325" s="20">
        <f>IF($F1325="","",IFERROR(INDEX(Items!$D$5:$D$597,MATCH($F1325,Items!$A$5:$A$597,0)),""))</f>
        <v>1E-4</v>
      </c>
      <c r="L1325" s="21">
        <f t="shared" si="228"/>
        <v>1E-4</v>
      </c>
      <c r="M1325" s="9" t="str">
        <f t="shared" si="226"/>
        <v/>
      </c>
      <c r="N1325" s="24">
        <f>IF($A1325="","",WORKDAY($A1325,Settings!$C$9,HolidayDates))</f>
        <v>46204</v>
      </c>
      <c r="O1325" s="24">
        <f>IF($N1325="","",WORKDAY($N1325,Settings!$C$10,HolidayDates))</f>
        <v>46244</v>
      </c>
      <c r="P1325" s="10" t="s">
        <v>502</v>
      </c>
      <c r="Q1325" s="52" t="str">
        <f t="shared" si="229"/>
        <v>Collected</v>
      </c>
      <c r="R1325" s="55" t="str">
        <f t="shared" si="230"/>
        <v>2026-06</v>
      </c>
      <c r="S1325" s="55">
        <f>IF(OR($B1325="",$F1325="",$R1325=""),"",SUMIFS(tblIssues[Qty Issued],tblIssues[Staff ID],$B1325,tblIssues[Item Name],$F1325,tblIssues[Month],$R1325))</f>
        <v>2</v>
      </c>
      <c r="T1325" s="56">
        <f>IF($I1325="","",$I1325*Settings!$C$11)</f>
        <v>1</v>
      </c>
      <c r="U1325" s="57" t="str">
        <f t="shared" si="227"/>
        <v>⚠ OVER QUOTA</v>
      </c>
      <c r="V1325" s="55" t="str">
        <f t="shared" si="231"/>
        <v>RPN-002-A1 | Hand Sanitizer OS | 2026-06</v>
      </c>
      <c r="W1325" s="55">
        <f>IF($V1325="","",IF(COUNTIF($V$5:$V1325,$V1325)=1,1,""))</f>
        <v>1</v>
      </c>
      <c r="X1325" s="58">
        <f>IF($W1325="","",MAX($X$4:X1324)+1)</f>
        <v>44</v>
      </c>
      <c r="Y1325" s="62"/>
      <c r="Z1325" s="62"/>
      <c r="AA1325" s="64" t="str">
        <f>IF($C1325="","",IFERROR(INDEX('Staff Directory'!$E$5:$E$594,MATCH($C1325,'Staff Directory'!$B$5:$B$594,0)),""))</f>
        <v>firstname017.lastname017@example.com</v>
      </c>
      <c r="AB1325" s="64" t="str">
        <f>IF($C1325="","",IF(ISNUMBER(SEARCH($D1325,Settings!$C$15)),"Pickup","Dispatch"))</f>
        <v>Dispatch</v>
      </c>
      <c r="AC1325" s="64" t="str">
        <f t="shared" si="232"/>
        <v>Supply order dispatched</v>
      </c>
      <c r="AD1325" s="64" t="str">
        <f t="shared" si="223"/>
        <v>Dear RPN,
Your order has been dispatched and is in transit. Reply if undelivered.</v>
      </c>
      <c r="AE1325" s="64" t="str">
        <f t="shared" si="224"/>
        <v>mailto:firstname017.lastname017@example.com?subject=Supply%20order%20dispatched&amp;body=Dear%20RPN%2C%0A%0AYour%20order%20has%20been%20dispatched%20and%20is%20in%20transit.%20Reply%20if%20undelivered.</v>
      </c>
      <c r="AF1325" s="89" t="str">
        <f t="shared" si="233"/>
        <v>Draft email</v>
      </c>
      <c r="AG1325" s="64" t="str">
        <f>IF($C1325="","",IFERROR(INDEX('Staff Directory'!$K$595:$K$599,MATCH($C1325,'Staff Directory'!$B$5:$B$599,0)),$D1325))</f>
        <v>RPN</v>
      </c>
      <c r="AH1325" t="str">
        <f>IF($C1325="","",IFERROR(INDEX('Staff Directory'!$I$595:$I$599,MATCH($C1325,'Staff Directory'!$B$5:$B$599,0))&amp;" "&amp;INDEX('Staff Directory'!$J$595:$J$599,MATCH($C1325,'Staff Directory'!$B$5:$B$599,0)),$AG1325))</f>
        <v>RPN</v>
      </c>
      <c r="AI1325" s="102"/>
      <c r="AJ1325" s="101">
        <f>IF($F1325="","",SUMIFS($J$5:$J1325,$F$5:$F1325,$F1325))</f>
        <v>176</v>
      </c>
      <c r="AK1325" s="101">
        <f t="shared" si="225"/>
        <v>176</v>
      </c>
      <c r="AL1325" s="66" t="str" cm="1">
        <f t="array" ref="AL1325">IF($F1325="","",IFERROR(INDEX('Lot Balance'!$B$5:$B$500,MATCH(1,INDEX(('Lot Balance'!$A$5:$A$500=$F1325)*('Lot Balance'!$K$5:$K$500&lt;$AK1325)*('Lot Balance'!$K$5:$K$500+'Lot Balance'!$D$5:$D$500&gt;=$AK1325),0),0)),""))</f>
        <v/>
      </c>
      <c r="AM1325" s="66" t="str" cm="1">
        <f t="array" ref="AM1325">IF($F1325="","",IFERROR(INDEX('Lot Balance'!$B$5:$B$500,MATCH(1,INDEX(('Lot Balance'!$A$5:$A$500=$F1325)*('Lot Balance'!$K$5:$K$500&lt;$AJ1325)*('Lot Balance'!$K$5:$K$500+'Lot Balance'!$D$5:$D$500&gt;=$AJ1325),0),0)),""))</f>
        <v/>
      </c>
      <c r="AN1325" s="66" t="str">
        <f>IF($F1325="","",IF($AI1325&lt;&gt;"",IF(COUNTIFS('Lot Balance'!$A$5:$A$500,$F1325,'Lot Balance'!$B$5:$B$500,$AI1325)=0,"⚠ override is not a lot of this item",IF($AI1325=$AL1325,"Override = FEFO","Override - FEFO says "&amp;$AL1325)),IF($AL1325="","⚠ no receipt on file for this item",IF($AM1325&lt;&gt;$AL1325,"FEFO auto - split, also "&amp;$AM1325,"FEFO auto"))))</f>
        <v>⚠ no receipt on file for this item</v>
      </c>
      <c r="AO1325" s="114"/>
    </row>
    <row r="1326" spans="1:41" x14ac:dyDescent="0.35">
      <c r="A1326" s="74">
        <v>46196</v>
      </c>
      <c r="B1326" s="18" t="str">
        <f>IF($C1326="","",IFERROR(INDEX('Staff Directory'!$A$5:$A$594,MATCH($C1326,'Staff Directory'!$B$5:$B$594,0)),"⚠ unknown staff"))</f>
        <v>RPN-002-A1</v>
      </c>
      <c r="C1326" s="49" t="s">
        <v>933</v>
      </c>
      <c r="D1326" s="19" t="str">
        <f>IF($B1326="","",IFERROR(INDEX('Staff Directory'!$C$5:$C$594,MATCH($B1326,'Staff Directory'!$A$5:$A$594,0)),""))</f>
        <v>RPN</v>
      </c>
      <c r="E1326" s="19" t="str">
        <f>IF($B1326="","",IFERROR(INDEX('Staff Directory'!$D$5:$D$594,MATCH($B1326,'Staff Directory'!$A$5:$A$594,0)),""))</f>
        <v>A1</v>
      </c>
      <c r="F1326" s="9" t="s">
        <v>191</v>
      </c>
      <c r="G1326" s="18" t="str">
        <f>IF($F1326="","",IFERROR(INDEX(Items!$B$5:$B$597,MATCH($F1326,Items!$A$5:$A$597,0)),"⚠ not in Items"))</f>
        <v>Sanitizer</v>
      </c>
      <c r="H1326" s="19" t="str">
        <f>IF($F1326="","",IFERROR(INDEX(Items!$C$5:$C$597,MATCH($F1326,Items!$A$5:$A$597,0)),""))</f>
        <v>236 ML</v>
      </c>
      <c r="I1326" s="23">
        <f>IF($F1326="","",IFERROR(INDEX(Items!$E$5:$E$597,MATCH($F1326,Items!$A$5:$A$597,0)),""))</f>
        <v>1</v>
      </c>
      <c r="J1326" s="115">
        <f>IF(tblIssues[[#This Row],[Qty Override]]&lt;&gt;"",tblIssues[[#This Row],[Qty Override]],IF(tblIssues[[#This Row],[Standard Issue]]="","",tblIssues[[#This Row],[Standard Issue]]))</f>
        <v>1</v>
      </c>
      <c r="K1326" s="20">
        <f>IF($F1326="","",IFERROR(INDEX(Items!$D$5:$D$597,MATCH($F1326,Items!$A$5:$A$597,0)),""))</f>
        <v>1E-4</v>
      </c>
      <c r="L1326" s="21">
        <f t="shared" si="228"/>
        <v>1E-4</v>
      </c>
      <c r="M1326" s="9" t="str">
        <f t="shared" si="226"/>
        <v/>
      </c>
      <c r="N1326" s="24">
        <f>IF($A1326="","",WORKDAY($A1326,Settings!$C$9,HolidayDates))</f>
        <v>46204</v>
      </c>
      <c r="O1326" s="24">
        <f>IF($N1326="","",WORKDAY($N1326,Settings!$C$10,HolidayDates))</f>
        <v>46244</v>
      </c>
      <c r="P1326" s="10" t="s">
        <v>502</v>
      </c>
      <c r="Q1326" s="52" t="str">
        <f t="shared" si="229"/>
        <v>Collected</v>
      </c>
      <c r="R1326" s="55" t="str">
        <f t="shared" si="230"/>
        <v>2026-06</v>
      </c>
      <c r="S1326" s="55">
        <f>IF(OR($B1326="",$F1326="",$R1326=""),"",SUMIFS(tblIssues[Qty Issued],tblIssues[Staff ID],$B1326,tblIssues[Item Name],$F1326,tblIssues[Month],$R1326))</f>
        <v>2</v>
      </c>
      <c r="T1326" s="56">
        <f>IF($I1326="","",$I1326*Settings!$C$11)</f>
        <v>1</v>
      </c>
      <c r="U1326" s="57" t="str">
        <f t="shared" si="227"/>
        <v>⚠ OVER QUOTA</v>
      </c>
      <c r="V1326" s="55" t="str">
        <f t="shared" si="231"/>
        <v>RPN-002-A1 | Hand Sanitizer OS | 2026-06</v>
      </c>
      <c r="W1326" s="55" t="str">
        <f>IF($V1326="","",IF(COUNTIF($V$5:$V1326,$V1326)=1,1,""))</f>
        <v/>
      </c>
      <c r="X1326" s="58" t="str">
        <f>IF($W1326="","",MAX($X$4:X1325)+1)</f>
        <v/>
      </c>
      <c r="Y1326" s="62"/>
      <c r="Z1326" s="62"/>
      <c r="AA1326" s="64" t="str">
        <f>IF($C1326="","",IFERROR(INDEX('Staff Directory'!$E$5:$E$594,MATCH($C1326,'Staff Directory'!$B$5:$B$594,0)),""))</f>
        <v>firstname017.lastname017@example.com</v>
      </c>
      <c r="AB1326" s="64" t="str">
        <f>IF($C1326="","",IF(ISNUMBER(SEARCH($D1326,Settings!$C$15)),"Pickup","Dispatch"))</f>
        <v>Dispatch</v>
      </c>
      <c r="AC1326" s="64" t="str">
        <f t="shared" si="232"/>
        <v>Supply order dispatched</v>
      </c>
      <c r="AD1326" s="64" t="str">
        <f t="shared" si="223"/>
        <v>Dear RPN,
Your order has been dispatched and is in transit. Reply if undelivered.</v>
      </c>
      <c r="AE1326" s="64" t="str">
        <f t="shared" si="224"/>
        <v>mailto:firstname017.lastname017@example.com?subject=Supply%20order%20dispatched&amp;body=Dear%20RPN%2C%0A%0AYour%20order%20has%20been%20dispatched%20and%20is%20in%20transit.%20Reply%20if%20undelivered.</v>
      </c>
      <c r="AF1326" s="89" t="str">
        <f t="shared" si="233"/>
        <v>Draft email</v>
      </c>
      <c r="AG1326" s="64" t="str">
        <f>IF($C1326="","",IFERROR(INDEX('Staff Directory'!$K$595:$K$599,MATCH($C1326,'Staff Directory'!$B$5:$B$599,0)),$D1326))</f>
        <v>RPN</v>
      </c>
      <c r="AH1326" t="str">
        <f>IF($C1326="","",IFERROR(INDEX('Staff Directory'!$I$595:$I$599,MATCH($C1326,'Staff Directory'!$B$5:$B$599,0))&amp;" "&amp;INDEX('Staff Directory'!$J$595:$J$599,MATCH($C1326,'Staff Directory'!$B$5:$B$599,0)),$AG1326))</f>
        <v>RPN</v>
      </c>
      <c r="AI1326" s="102"/>
      <c r="AJ1326" s="101">
        <f>IF($F1326="","",SUMIFS($J$5:$J1326,$F$5:$F1326,$F1326))</f>
        <v>177</v>
      </c>
      <c r="AK1326" s="101">
        <f t="shared" si="225"/>
        <v>177</v>
      </c>
      <c r="AL1326" s="66" t="str" cm="1">
        <f t="array" ref="AL1326">IF($F1326="","",IFERROR(INDEX('Lot Balance'!$B$5:$B$500,MATCH(1,INDEX(('Lot Balance'!$A$5:$A$500=$F1326)*('Lot Balance'!$K$5:$K$500&lt;$AK1326)*('Lot Balance'!$K$5:$K$500+'Lot Balance'!$D$5:$D$500&gt;=$AK1326),0),0)),""))</f>
        <v/>
      </c>
      <c r="AM1326" s="66" t="str" cm="1">
        <f t="array" ref="AM1326">IF($F1326="","",IFERROR(INDEX('Lot Balance'!$B$5:$B$500,MATCH(1,INDEX(('Lot Balance'!$A$5:$A$500=$F1326)*('Lot Balance'!$K$5:$K$500&lt;$AJ1326)*('Lot Balance'!$K$5:$K$500+'Lot Balance'!$D$5:$D$500&gt;=$AJ1326),0),0)),""))</f>
        <v/>
      </c>
      <c r="AN1326" s="66" t="str">
        <f>IF($F1326="","",IF($AI1326&lt;&gt;"",IF(COUNTIFS('Lot Balance'!$A$5:$A$500,$F1326,'Lot Balance'!$B$5:$B$500,$AI1326)=0,"⚠ override is not a lot of this item",IF($AI1326=$AL1326,"Override = FEFO","Override - FEFO says "&amp;$AL1326)),IF($AL1326="","⚠ no receipt on file for this item",IF($AM1326&lt;&gt;$AL1326,"FEFO auto - split, also "&amp;$AM1326,"FEFO auto"))))</f>
        <v>⚠ no receipt on file for this item</v>
      </c>
      <c r="AO1326" s="114"/>
    </row>
    <row r="1327" spans="1:41" x14ac:dyDescent="0.35">
      <c r="A1327" s="74">
        <v>46196</v>
      </c>
      <c r="B1327" s="18" t="str">
        <f>IF($C1327="","",IFERROR(INDEX('Staff Directory'!$A$5:$A$594,MATCH($C1327,'Staff Directory'!$B$5:$B$594,0)),"⚠ unknown staff"))</f>
        <v>RPN-002-A1</v>
      </c>
      <c r="C1327" s="49" t="s">
        <v>933</v>
      </c>
      <c r="D1327" s="19" t="str">
        <f>IF($B1327="","",IFERROR(INDEX('Staff Directory'!$C$5:$C$594,MATCH($B1327,'Staff Directory'!$A$5:$A$594,0)),""))</f>
        <v>RPN</v>
      </c>
      <c r="E1327" s="19" t="str">
        <f>IF($B1327="","",IFERROR(INDEX('Staff Directory'!$D$5:$D$594,MATCH($B1327,'Staff Directory'!$A$5:$A$594,0)),""))</f>
        <v>A1</v>
      </c>
      <c r="F1327" s="9" t="s">
        <v>115</v>
      </c>
      <c r="G1327" s="18" t="str">
        <f>IF($F1327="","",IFERROR(INDEX(Items!$B$5:$B$597,MATCH($F1327,Items!$A$5:$A$597,0)),"⚠ not in Items"))</f>
        <v>Wipes</v>
      </c>
      <c r="H1327" s="19">
        <f>IF($F1327="","",IFERROR(INDEX(Items!$C$5:$C$597,MATCH($F1327,Items!$A$5:$A$597,0)),""))</f>
        <v>80</v>
      </c>
      <c r="I1327" s="23">
        <f>IF($F1327="","",IFERROR(INDEX(Items!$E$5:$E$597,MATCH($F1327,Items!$A$5:$A$597,0)),""))</f>
        <v>80</v>
      </c>
      <c r="J1327" s="115">
        <f>IF(tblIssues[[#This Row],[Qty Override]]&lt;&gt;"",tblIssues[[#This Row],[Qty Override]],IF(tblIssues[[#This Row],[Standard Issue]]="","",tblIssues[[#This Row],[Standard Issue]]))</f>
        <v>80</v>
      </c>
      <c r="K1327" s="20">
        <f>IF($F1327="","",IFERROR(INDEX(Items!$D$5:$D$597,MATCH($F1327,Items!$A$5:$A$597,0)),""))</f>
        <v>0.1</v>
      </c>
      <c r="L1327" s="21">
        <f t="shared" si="228"/>
        <v>8</v>
      </c>
      <c r="M1327" s="9" t="str">
        <f t="shared" si="226"/>
        <v>LYSL500290</v>
      </c>
      <c r="N1327" s="24">
        <f>IF($A1327="","",WORKDAY($A1327,Settings!$C$9,HolidayDates))</f>
        <v>46204</v>
      </c>
      <c r="O1327" s="24">
        <f>IF($N1327="","",WORKDAY($N1327,Settings!$C$10,HolidayDates))</f>
        <v>46244</v>
      </c>
      <c r="P1327" s="10" t="s">
        <v>502</v>
      </c>
      <c r="Q1327" s="52" t="str">
        <f t="shared" si="229"/>
        <v>Collected</v>
      </c>
      <c r="R1327" s="55" t="str">
        <f t="shared" si="230"/>
        <v>2026-06</v>
      </c>
      <c r="S1327" s="55">
        <f>IF(OR($B1327="",$F1327="",$R1327=""),"",SUMIFS(tblIssues[Qty Issued],tblIssues[Staff ID],$B1327,tblIssues[Item Name],$F1327,tblIssues[Month],$R1327))</f>
        <v>80</v>
      </c>
      <c r="T1327" s="56">
        <f>IF($I1327="","",$I1327*Settings!$C$11)</f>
        <v>80</v>
      </c>
      <c r="U1327" s="57" t="str">
        <f t="shared" si="227"/>
        <v>OK</v>
      </c>
      <c r="V1327" s="55" t="str">
        <f t="shared" si="231"/>
        <v/>
      </c>
      <c r="W1327" s="55" t="str">
        <f>IF($V1327="","",IF(COUNTIF($V$5:$V1327,$V1327)=1,1,""))</f>
        <v/>
      </c>
      <c r="X1327" s="58" t="str">
        <f>IF($W1327="","",MAX($X$4:X1326)+1)</f>
        <v/>
      </c>
      <c r="Y1327" s="62"/>
      <c r="Z1327" s="62"/>
      <c r="AA1327" s="64" t="str">
        <f>IF($C1327="","",IFERROR(INDEX('Staff Directory'!$E$5:$E$594,MATCH($C1327,'Staff Directory'!$B$5:$B$594,0)),""))</f>
        <v>firstname017.lastname017@example.com</v>
      </c>
      <c r="AB1327" s="64" t="str">
        <f>IF($C1327="","",IF(ISNUMBER(SEARCH($D1327,Settings!$C$15)),"Pickup","Dispatch"))</f>
        <v>Dispatch</v>
      </c>
      <c r="AC1327" s="64" t="str">
        <f t="shared" si="232"/>
        <v>Supply order dispatched</v>
      </c>
      <c r="AD1327" s="64" t="str">
        <f t="shared" si="223"/>
        <v>Dear RPN,
Your order has been dispatched and is in transit. Reply if undelivered.</v>
      </c>
      <c r="AE1327" s="64" t="str">
        <f t="shared" si="224"/>
        <v>mailto:firstname017.lastname017@example.com?subject=Supply%20order%20dispatched&amp;body=Dear%20RPN%2C%0A%0AYour%20order%20has%20been%20dispatched%20and%20is%20in%20transit.%20Reply%20if%20undelivered.</v>
      </c>
      <c r="AF1327" s="89" t="str">
        <f t="shared" si="233"/>
        <v>Draft email</v>
      </c>
      <c r="AG1327" s="64" t="str">
        <f>IF($C1327="","",IFERROR(INDEX('Staff Directory'!$K$595:$K$599,MATCH($C1327,'Staff Directory'!$B$5:$B$599,0)),$D1327))</f>
        <v>RPN</v>
      </c>
      <c r="AH1327" t="str">
        <f>IF($C1327="","",IFERROR(INDEX('Staff Directory'!$I$595:$I$599,MATCH($C1327,'Staff Directory'!$B$5:$B$599,0))&amp;" "&amp;INDEX('Staff Directory'!$J$595:$J$599,MATCH($C1327,'Staff Directory'!$B$5:$B$599,0)),$AG1327))</f>
        <v>RPN</v>
      </c>
      <c r="AI1327" s="102"/>
      <c r="AJ1327" s="101">
        <f>IF($F1327="","",SUMIFS($J$5:$J1327,$F$5:$F1327,$F1327))</f>
        <v>18240</v>
      </c>
      <c r="AK1327" s="101">
        <f t="shared" si="225"/>
        <v>18161</v>
      </c>
      <c r="AL1327" s="66" t="str" cm="1">
        <f t="array" ref="AL1327">IF($F1327="","",IFERROR(INDEX('Lot Balance'!$B$5:$B$500,MATCH(1,INDEX(('Lot Balance'!$A$5:$A$500=$F1327)*('Lot Balance'!$K$5:$K$500&lt;$AK1327)*('Lot Balance'!$K$5:$K$500+'Lot Balance'!$D$5:$D$500&gt;=$AK1327),0),0)),""))</f>
        <v>LYSL500290</v>
      </c>
      <c r="AM1327" s="66" t="str" cm="1">
        <f t="array" ref="AM1327">IF($F1327="","",IFERROR(INDEX('Lot Balance'!$B$5:$B$500,MATCH(1,INDEX(('Lot Balance'!$A$5:$A$500=$F1327)*('Lot Balance'!$K$5:$K$500&lt;$AJ1327)*('Lot Balance'!$K$5:$K$500+'Lot Balance'!$D$5:$D$500&gt;=$AJ1327),0),0)),""))</f>
        <v>LYSL500290</v>
      </c>
      <c r="AN1327" s="66" t="str">
        <f>IF($F1327="","",IF($AI1327&lt;&gt;"",IF(COUNTIFS('Lot Balance'!$A$5:$A$500,$F1327,'Lot Balance'!$B$5:$B$500,$AI1327)=0,"⚠ override is not a lot of this item",IF($AI1327=$AL1327,"Override = FEFO","Override - FEFO says "&amp;$AL1327)),IF($AL1327="","⚠ no receipt on file for this item",IF($AM1327&lt;&gt;$AL1327,"FEFO auto - split, also "&amp;$AM1327,"FEFO auto"))))</f>
        <v>FEFO auto</v>
      </c>
      <c r="AO1327" s="114"/>
    </row>
    <row r="1328" spans="1:41" x14ac:dyDescent="0.35">
      <c r="A1328" s="74">
        <v>46196</v>
      </c>
      <c r="B1328" s="18" t="str">
        <f>IF($C1328="","",IFERROR(INDEX('Staff Directory'!$A$5:$A$594,MATCH($C1328,'Staff Directory'!$B$5:$B$594,0)),"⚠ unknown staff"))</f>
        <v>RPN-002-A1</v>
      </c>
      <c r="C1328" s="49" t="s">
        <v>933</v>
      </c>
      <c r="D1328" s="19" t="str">
        <f>IF($B1328="","",IFERROR(INDEX('Staff Directory'!$C$5:$C$594,MATCH($B1328,'Staff Directory'!$A$5:$A$594,0)),""))</f>
        <v>RPN</v>
      </c>
      <c r="E1328" s="19" t="str">
        <f>IF($B1328="","",IFERROR(INDEX('Staff Directory'!$D$5:$D$594,MATCH($B1328,'Staff Directory'!$A$5:$A$594,0)),""))</f>
        <v>A1</v>
      </c>
      <c r="F1328" s="9" t="s">
        <v>156</v>
      </c>
      <c r="G1328" s="18" t="str">
        <f>IF($F1328="","",IFERROR(INDEX(Items!$B$5:$B$597,MATCH($F1328,Items!$A$5:$A$597,0)),"⚠ not in Items"))</f>
        <v>Masks</v>
      </c>
      <c r="H1328" s="19" t="str">
        <f>IF($F1328="","",IFERROR(INDEX(Items!$C$5:$C$597,MATCH($F1328,Items!$A$5:$A$597,0)),""))</f>
        <v>One Size</v>
      </c>
      <c r="I1328" s="23">
        <f>IF($F1328="","",IFERROR(INDEX(Items!$E$5:$E$597,MATCH($F1328,Items!$A$5:$A$597,0)),""))</f>
        <v>50</v>
      </c>
      <c r="J1328" s="115">
        <f>IF(tblIssues[[#This Row],[Qty Override]]&lt;&gt;"",tblIssues[[#This Row],[Qty Override]],IF(tblIssues[[#This Row],[Standard Issue]]="","",tblIssues[[#This Row],[Standard Issue]]))</f>
        <v>50</v>
      </c>
      <c r="K1328" s="20">
        <f>IF($F1328="","",IFERROR(INDEX(Items!$D$5:$D$597,MATCH($F1328,Items!$A$5:$A$597,0)),""))</f>
        <v>0.25</v>
      </c>
      <c r="L1328" s="21">
        <f t="shared" si="228"/>
        <v>12.5</v>
      </c>
      <c r="M1328" s="9" t="str">
        <f t="shared" si="226"/>
        <v>24HA2050A7396</v>
      </c>
      <c r="N1328" s="24">
        <f>IF($A1328="","",WORKDAY($A1328,Settings!$C$9,HolidayDates))</f>
        <v>46204</v>
      </c>
      <c r="O1328" s="24">
        <f>IF($N1328="","",WORKDAY($N1328,Settings!$C$10,HolidayDates))</f>
        <v>46244</v>
      </c>
      <c r="P1328" s="10" t="s">
        <v>502</v>
      </c>
      <c r="Q1328" s="52" t="str">
        <f t="shared" si="229"/>
        <v>Collected</v>
      </c>
      <c r="R1328" s="55" t="str">
        <f t="shared" si="230"/>
        <v>2026-06</v>
      </c>
      <c r="S1328" s="55">
        <f>IF(OR($B1328="",$F1328="",$R1328=""),"",SUMIFS(tblIssues[Qty Issued],tblIssues[Staff ID],$B1328,tblIssues[Item Name],$F1328,tblIssues[Month],$R1328))</f>
        <v>50</v>
      </c>
      <c r="T1328" s="56">
        <f>IF($I1328="","",$I1328*Settings!$C$11)</f>
        <v>50</v>
      </c>
      <c r="U1328" s="57" t="str">
        <f t="shared" si="227"/>
        <v>OK</v>
      </c>
      <c r="V1328" s="55" t="str">
        <f t="shared" si="231"/>
        <v/>
      </c>
      <c r="W1328" s="55" t="str">
        <f>IF($V1328="","",IF(COUNTIF($V$5:$V1328,$V1328)=1,1,""))</f>
        <v/>
      </c>
      <c r="X1328" s="58" t="str">
        <f>IF($W1328="","",MAX($X$4:X1327)+1)</f>
        <v/>
      </c>
      <c r="Y1328" s="62"/>
      <c r="Z1328" s="62"/>
      <c r="AA1328" s="64" t="str">
        <f>IF($C1328="","",IFERROR(INDEX('Staff Directory'!$E$5:$E$594,MATCH($C1328,'Staff Directory'!$B$5:$B$594,0)),""))</f>
        <v>firstname017.lastname017@example.com</v>
      </c>
      <c r="AB1328" s="64" t="str">
        <f>IF($C1328="","",IF(ISNUMBER(SEARCH($D1328,Settings!$C$15)),"Pickup","Dispatch"))</f>
        <v>Dispatch</v>
      </c>
      <c r="AC1328" s="64" t="str">
        <f t="shared" si="232"/>
        <v>Supply order dispatched</v>
      </c>
      <c r="AD1328" s="64" t="str">
        <f t="shared" si="223"/>
        <v>Dear RPN,
Your order has been dispatched and is in transit. Reply if undelivered.</v>
      </c>
      <c r="AE1328" s="64" t="str">
        <f t="shared" si="224"/>
        <v>mailto:firstname017.lastname017@example.com?subject=Supply%20order%20dispatched&amp;body=Dear%20RPN%2C%0A%0AYour%20order%20has%20been%20dispatched%20and%20is%20in%20transit.%20Reply%20if%20undelivered.</v>
      </c>
      <c r="AF1328" s="89" t="str">
        <f t="shared" si="233"/>
        <v>Draft email</v>
      </c>
      <c r="AG1328" s="64" t="str">
        <f>IF($C1328="","",IFERROR(INDEX('Staff Directory'!$K$595:$K$599,MATCH($C1328,'Staff Directory'!$B$5:$B$599,0)),$D1328))</f>
        <v>RPN</v>
      </c>
      <c r="AH1328" t="str">
        <f>IF($C1328="","",IFERROR(INDEX('Staff Directory'!$I$595:$I$599,MATCH($C1328,'Staff Directory'!$B$5:$B$599,0))&amp;" "&amp;INDEX('Staff Directory'!$J$595:$J$599,MATCH($C1328,'Staff Directory'!$B$5:$B$599,0)),$AG1328))</f>
        <v>RPN</v>
      </c>
      <c r="AI1328" s="102"/>
      <c r="AJ1328" s="101">
        <f>IF($F1328="","",SUMIFS($J$5:$J1328,$F$5:$F1328,$F1328))</f>
        <v>11300</v>
      </c>
      <c r="AK1328" s="101">
        <f t="shared" si="225"/>
        <v>11251</v>
      </c>
      <c r="AL1328" s="66" t="str" cm="1">
        <f t="array" ref="AL1328">IF($F1328="","",IFERROR(INDEX('Lot Balance'!$B$5:$B$500,MATCH(1,INDEX(('Lot Balance'!$A$5:$A$500=$F1328)*('Lot Balance'!$K$5:$K$500&lt;$AK1328)*('Lot Balance'!$K$5:$K$500+'Lot Balance'!$D$5:$D$500&gt;=$AK1328),0),0)),""))</f>
        <v>24HA2050A7396</v>
      </c>
      <c r="AM1328" s="66" t="str" cm="1">
        <f t="array" ref="AM1328">IF($F1328="","",IFERROR(INDEX('Lot Balance'!$B$5:$B$500,MATCH(1,INDEX(('Lot Balance'!$A$5:$A$500=$F1328)*('Lot Balance'!$K$5:$K$500&lt;$AJ1328)*('Lot Balance'!$K$5:$K$500+'Lot Balance'!$D$5:$D$500&gt;=$AJ1328),0),0)),""))</f>
        <v>24HA2050A7396</v>
      </c>
      <c r="AN1328" s="66" t="str">
        <f>IF($F1328="","",IF($AI1328&lt;&gt;"",IF(COUNTIFS('Lot Balance'!$A$5:$A$500,$F1328,'Lot Balance'!$B$5:$B$500,$AI1328)=0,"⚠ override is not a lot of this item",IF($AI1328=$AL1328,"Override = FEFO","Override - FEFO says "&amp;$AL1328)),IF($AL1328="","⚠ no receipt on file for this item",IF($AM1328&lt;&gt;$AL1328,"FEFO auto - split, also "&amp;$AM1328,"FEFO auto"))))</f>
        <v>FEFO auto</v>
      </c>
      <c r="AO1328" s="114"/>
    </row>
    <row r="1329" spans="1:41" x14ac:dyDescent="0.35">
      <c r="A1329" s="74">
        <v>46196</v>
      </c>
      <c r="B1329" s="18" t="str">
        <f>IF($C1329="","",IFERROR(INDEX('Staff Directory'!$A$5:$A$594,MATCH($C1329,'Staff Directory'!$B$5:$B$594,0)),"⚠ unknown staff"))</f>
        <v>RPN-002-A1</v>
      </c>
      <c r="C1329" s="49" t="s">
        <v>933</v>
      </c>
      <c r="D1329" s="19" t="str">
        <f>IF($B1329="","",IFERROR(INDEX('Staff Directory'!$C$5:$C$594,MATCH($B1329,'Staff Directory'!$A$5:$A$594,0)),""))</f>
        <v>RPN</v>
      </c>
      <c r="E1329" s="19" t="str">
        <f>IF($B1329="","",IFERROR(INDEX('Staff Directory'!$D$5:$D$594,MATCH($B1329,'Staff Directory'!$A$5:$A$594,0)),""))</f>
        <v>A1</v>
      </c>
      <c r="F1329" s="9" t="s">
        <v>757</v>
      </c>
      <c r="G1329" s="18" t="str">
        <f>IF($F1329="","",IFERROR(INDEX(Items!$B$5:$B$597,MATCH($F1329,Items!$A$5:$A$597,0)),"⚠ not in Items"))</f>
        <v>Documents</v>
      </c>
      <c r="H1329" s="19" t="str">
        <f>IF($F1329="","",IFERROR(INDEX(Items!$C$5:$C$597,MATCH($F1329,Items!$A$5:$A$597,0)),""))</f>
        <v>Standard</v>
      </c>
      <c r="I1329" s="23">
        <f>IF($F1329="","",IFERROR(INDEX(Items!$E$5:$E$597,MATCH($F1329,Items!$A$5:$A$597,0)),""))</f>
        <v>10</v>
      </c>
      <c r="J1329" s="115">
        <f>IF(tblIssues[[#This Row],[Qty Override]]&lt;&gt;"",tblIssues[[#This Row],[Qty Override]],IF(tblIssues[[#This Row],[Standard Issue]]="","",tblIssues[[#This Row],[Standard Issue]]))</f>
        <v>10</v>
      </c>
      <c r="K1329" s="20">
        <f>IF($F1329="","",IFERROR(INDEX(Items!$D$5:$D$597,MATCH($F1329,Items!$A$5:$A$597,0)),""))</f>
        <v>0</v>
      </c>
      <c r="L1329" s="21">
        <f t="shared" si="228"/>
        <v>0</v>
      </c>
      <c r="M1329" s="9" t="str">
        <f t="shared" si="226"/>
        <v/>
      </c>
      <c r="N1329" s="24">
        <f>IF($A1329="","",WORKDAY($A1329,Settings!$C$9,HolidayDates))</f>
        <v>46204</v>
      </c>
      <c r="O1329" s="24">
        <f>IF($N1329="","",WORKDAY($N1329,Settings!$C$10,HolidayDates))</f>
        <v>46244</v>
      </c>
      <c r="P1329" s="10" t="s">
        <v>502</v>
      </c>
      <c r="Q1329" s="52" t="str">
        <f t="shared" si="229"/>
        <v>Collected</v>
      </c>
      <c r="R1329" s="55" t="str">
        <f t="shared" si="230"/>
        <v>2026-06</v>
      </c>
      <c r="S1329" s="55">
        <f>IF(OR($B1329="",$F1329="",$R1329=""),"",SUMIFS(tblIssues[Qty Issued],tblIssues[Staff ID],$B1329,tblIssues[Item Name],$F1329,tblIssues[Month],$R1329))</f>
        <v>20</v>
      </c>
      <c r="T1329" s="56">
        <f>IF($I1329="","",$I1329*Settings!$C$11)</f>
        <v>10</v>
      </c>
      <c r="U1329" s="57" t="str">
        <f t="shared" si="227"/>
        <v>⚠ OVER QUOTA</v>
      </c>
      <c r="V1329" s="55" t="str">
        <f t="shared" si="231"/>
        <v>RPN-002-A1 | Sample Org CONNECT Welcome Package RN | 2026-06</v>
      </c>
      <c r="W1329" s="55">
        <f>IF($V1329="","",IF(COUNTIF($V$5:$V1329,$V1329)=1,1,""))</f>
        <v>1</v>
      </c>
      <c r="X1329" s="58">
        <f>IF($W1329="","",MAX($X$4:X1328)+1)</f>
        <v>45</v>
      </c>
      <c r="Y1329" s="62"/>
      <c r="Z1329" s="62"/>
      <c r="AA1329" s="64" t="str">
        <f>IF($C1329="","",IFERROR(INDEX('Staff Directory'!$E$5:$E$594,MATCH($C1329,'Staff Directory'!$B$5:$B$594,0)),""))</f>
        <v>firstname017.lastname017@example.com</v>
      </c>
      <c r="AB1329" s="64" t="str">
        <f>IF($C1329="","",IF(ISNUMBER(SEARCH($D1329,Settings!$C$15)),"Pickup","Dispatch"))</f>
        <v>Dispatch</v>
      </c>
      <c r="AC1329" s="64" t="str">
        <f t="shared" si="232"/>
        <v>Supply order dispatched</v>
      </c>
      <c r="AD1329" s="64" t="str">
        <f t="shared" si="223"/>
        <v>Dear RPN,
Your order has been dispatched and is in transit. Reply if undelivered.</v>
      </c>
      <c r="AE1329" s="64" t="str">
        <f t="shared" si="224"/>
        <v>mailto:firstname017.lastname017@example.com?subject=Supply%20order%20dispatched&amp;body=Dear%20RPN%2C%0A%0AYour%20order%20has%20been%20dispatched%20and%20is%20in%20transit.%20Reply%20if%20undelivered.</v>
      </c>
      <c r="AF1329" s="89" t="str">
        <f t="shared" si="233"/>
        <v>Draft email</v>
      </c>
      <c r="AG1329" s="64" t="str">
        <f>IF($C1329="","",IFERROR(INDEX('Staff Directory'!$K$595:$K$599,MATCH($C1329,'Staff Directory'!$B$5:$B$599,0)),$D1329))</f>
        <v>RPN</v>
      </c>
      <c r="AH1329" t="str">
        <f>IF($C1329="","",IFERROR(INDEX('Staff Directory'!$I$595:$I$599,MATCH($C1329,'Staff Directory'!$B$5:$B$599,0))&amp;" "&amp;INDEX('Staff Directory'!$J$595:$J$599,MATCH($C1329,'Staff Directory'!$B$5:$B$599,0)),$AG1329))</f>
        <v>RPN</v>
      </c>
      <c r="AI1329" s="102"/>
      <c r="AJ1329" s="101">
        <f>IF($F1329="","",SUMIFS($J$5:$J1329,$F$5:$F1329,$F1329))</f>
        <v>670</v>
      </c>
      <c r="AK1329" s="101">
        <f t="shared" si="225"/>
        <v>661</v>
      </c>
      <c r="AL1329" s="66" t="str" cm="1">
        <f t="array" ref="AL1329">IF($F1329="","",IFERROR(INDEX('Lot Balance'!$B$5:$B$500,MATCH(1,INDEX(('Lot Balance'!$A$5:$A$500=$F1329)*('Lot Balance'!$K$5:$K$500&lt;$AK1329)*('Lot Balance'!$K$5:$K$500+'Lot Balance'!$D$5:$D$500&gt;=$AK1329),0),0)),""))</f>
        <v/>
      </c>
      <c r="AM1329" s="66" t="str" cm="1">
        <f t="array" ref="AM1329">IF($F1329="","",IFERROR(INDEX('Lot Balance'!$B$5:$B$500,MATCH(1,INDEX(('Lot Balance'!$A$5:$A$500=$F1329)*('Lot Balance'!$K$5:$K$500&lt;$AJ1329)*('Lot Balance'!$K$5:$K$500+'Lot Balance'!$D$5:$D$500&gt;=$AJ1329),0),0)),""))</f>
        <v/>
      </c>
      <c r="AN1329" s="66" t="str">
        <f>IF($F1329="","",IF($AI1329&lt;&gt;"",IF(COUNTIFS('Lot Balance'!$A$5:$A$500,$F1329,'Lot Balance'!$B$5:$B$500,$AI1329)=0,"⚠ override is not a lot of this item",IF($AI1329=$AL1329,"Override = FEFO","Override - FEFO says "&amp;$AL1329)),IF($AL1329="","⚠ no receipt on file for this item",IF($AM1329&lt;&gt;$AL1329,"FEFO auto - split, also "&amp;$AM1329,"FEFO auto"))))</f>
        <v>⚠ no receipt on file for this item</v>
      </c>
      <c r="AO1329" s="114"/>
    </row>
    <row r="1330" spans="1:41" x14ac:dyDescent="0.35">
      <c r="A1330" s="74">
        <v>46196</v>
      </c>
      <c r="B1330" s="18" t="str">
        <f>IF($C1330="","",IFERROR(INDEX('Staff Directory'!$A$5:$A$594,MATCH($C1330,'Staff Directory'!$B$5:$B$594,0)),"⚠ unknown staff"))</f>
        <v>RPN-002-A1</v>
      </c>
      <c r="C1330" s="49" t="s">
        <v>933</v>
      </c>
      <c r="D1330" s="19" t="str">
        <f>IF($B1330="","",IFERROR(INDEX('Staff Directory'!$C$5:$C$594,MATCH($B1330,'Staff Directory'!$A$5:$A$594,0)),""))</f>
        <v>RPN</v>
      </c>
      <c r="E1330" s="19" t="str">
        <f>IF($B1330="","",IFERROR(INDEX('Staff Directory'!$D$5:$D$594,MATCH($B1330,'Staff Directory'!$A$5:$A$594,0)),""))</f>
        <v>A1</v>
      </c>
      <c r="F1330" s="9" t="s">
        <v>757</v>
      </c>
      <c r="G1330" s="18" t="str">
        <f>IF($F1330="","",IFERROR(INDEX(Items!$B$5:$B$597,MATCH($F1330,Items!$A$5:$A$597,0)),"⚠ not in Items"))</f>
        <v>Documents</v>
      </c>
      <c r="H1330" s="19" t="str">
        <f>IF($F1330="","",IFERROR(INDEX(Items!$C$5:$C$597,MATCH($F1330,Items!$A$5:$A$597,0)),""))</f>
        <v>Standard</v>
      </c>
      <c r="I1330" s="23">
        <f>IF($F1330="","",IFERROR(INDEX(Items!$E$5:$E$597,MATCH($F1330,Items!$A$5:$A$597,0)),""))</f>
        <v>10</v>
      </c>
      <c r="J1330" s="115">
        <f>IF(tblIssues[[#This Row],[Qty Override]]&lt;&gt;"",tblIssues[[#This Row],[Qty Override]],IF(tblIssues[[#This Row],[Standard Issue]]="","",tblIssues[[#This Row],[Standard Issue]]))</f>
        <v>10</v>
      </c>
      <c r="K1330" s="20">
        <f>IF($F1330="","",IFERROR(INDEX(Items!$D$5:$D$597,MATCH($F1330,Items!$A$5:$A$597,0)),""))</f>
        <v>0</v>
      </c>
      <c r="L1330" s="21">
        <f t="shared" si="228"/>
        <v>0</v>
      </c>
      <c r="M1330" s="9" t="str">
        <f t="shared" si="226"/>
        <v/>
      </c>
      <c r="N1330" s="24">
        <f>IF($A1330="","",WORKDAY($A1330,Settings!$C$9,HolidayDates))</f>
        <v>46204</v>
      </c>
      <c r="O1330" s="24">
        <f>IF($N1330="","",WORKDAY($N1330,Settings!$C$10,HolidayDates))</f>
        <v>46244</v>
      </c>
      <c r="P1330" s="10" t="s">
        <v>502</v>
      </c>
      <c r="Q1330" s="52" t="str">
        <f t="shared" si="229"/>
        <v>Collected</v>
      </c>
      <c r="R1330" s="55" t="str">
        <f t="shared" si="230"/>
        <v>2026-06</v>
      </c>
      <c r="S1330" s="55">
        <f>IF(OR($B1330="",$F1330="",$R1330=""),"",SUMIFS(tblIssues[Qty Issued],tblIssues[Staff ID],$B1330,tblIssues[Item Name],$F1330,tblIssues[Month],$R1330))</f>
        <v>20</v>
      </c>
      <c r="T1330" s="56">
        <f>IF($I1330="","",$I1330*Settings!$C$11)</f>
        <v>10</v>
      </c>
      <c r="U1330" s="57" t="str">
        <f t="shared" si="227"/>
        <v>⚠ OVER QUOTA</v>
      </c>
      <c r="V1330" s="55" t="str">
        <f t="shared" si="231"/>
        <v>RPN-002-A1 | Sample Org CONNECT Welcome Package RN | 2026-06</v>
      </c>
      <c r="W1330" s="55" t="str">
        <f>IF($V1330="","",IF(COUNTIF($V$5:$V1330,$V1330)=1,1,""))</f>
        <v/>
      </c>
      <c r="X1330" s="58" t="str">
        <f>IF($W1330="","",MAX($X$4:X1329)+1)</f>
        <v/>
      </c>
      <c r="Y1330" s="62"/>
      <c r="Z1330" s="62"/>
      <c r="AA1330" s="64" t="str">
        <f>IF($C1330="","",IFERROR(INDEX('Staff Directory'!$E$5:$E$594,MATCH($C1330,'Staff Directory'!$B$5:$B$594,0)),""))</f>
        <v>firstname017.lastname017@example.com</v>
      </c>
      <c r="AB1330" s="64" t="str">
        <f>IF($C1330="","",IF(ISNUMBER(SEARCH($D1330,Settings!$C$15)),"Pickup","Dispatch"))</f>
        <v>Dispatch</v>
      </c>
      <c r="AC1330" s="64" t="str">
        <f t="shared" si="232"/>
        <v>Supply order dispatched</v>
      </c>
      <c r="AD1330" s="64" t="str">
        <f t="shared" si="223"/>
        <v>Dear RPN,
Your order has been dispatched and is in transit. Reply if undelivered.</v>
      </c>
      <c r="AE1330" s="64" t="str">
        <f t="shared" si="224"/>
        <v>mailto:firstname017.lastname017@example.com?subject=Supply%20order%20dispatched&amp;body=Dear%20RPN%2C%0A%0AYour%20order%20has%20been%20dispatched%20and%20is%20in%20transit.%20Reply%20if%20undelivered.</v>
      </c>
      <c r="AF1330" s="89" t="str">
        <f t="shared" si="233"/>
        <v>Draft email</v>
      </c>
      <c r="AG1330" s="64" t="str">
        <f>IF($C1330="","",IFERROR(INDEX('Staff Directory'!$K$595:$K$599,MATCH($C1330,'Staff Directory'!$B$5:$B$599,0)),$D1330))</f>
        <v>RPN</v>
      </c>
      <c r="AH1330" t="str">
        <f>IF($C1330="","",IFERROR(INDEX('Staff Directory'!$I$595:$I$599,MATCH($C1330,'Staff Directory'!$B$5:$B$599,0))&amp;" "&amp;INDEX('Staff Directory'!$J$595:$J$599,MATCH($C1330,'Staff Directory'!$B$5:$B$599,0)),$AG1330))</f>
        <v>RPN</v>
      </c>
      <c r="AI1330" s="102"/>
      <c r="AJ1330" s="101">
        <f>IF($F1330="","",SUMIFS($J$5:$J1330,$F$5:$F1330,$F1330))</f>
        <v>680</v>
      </c>
      <c r="AK1330" s="101">
        <f t="shared" si="225"/>
        <v>671</v>
      </c>
      <c r="AL1330" s="66" t="str" cm="1">
        <f t="array" ref="AL1330">IF($F1330="","",IFERROR(INDEX('Lot Balance'!$B$5:$B$500,MATCH(1,INDEX(('Lot Balance'!$A$5:$A$500=$F1330)*('Lot Balance'!$K$5:$K$500&lt;$AK1330)*('Lot Balance'!$K$5:$K$500+'Lot Balance'!$D$5:$D$500&gt;=$AK1330),0),0)),""))</f>
        <v/>
      </c>
      <c r="AM1330" s="66" t="str" cm="1">
        <f t="array" ref="AM1330">IF($F1330="","",IFERROR(INDEX('Lot Balance'!$B$5:$B$500,MATCH(1,INDEX(('Lot Balance'!$A$5:$A$500=$F1330)*('Lot Balance'!$K$5:$K$500&lt;$AJ1330)*('Lot Balance'!$K$5:$K$500+'Lot Balance'!$D$5:$D$500&gt;=$AJ1330),0),0)),""))</f>
        <v/>
      </c>
      <c r="AN1330" s="66" t="str">
        <f>IF($F1330="","",IF($AI1330&lt;&gt;"",IF(COUNTIFS('Lot Balance'!$A$5:$A$500,$F1330,'Lot Balance'!$B$5:$B$500,$AI1330)=0,"⚠ override is not a lot of this item",IF($AI1330=$AL1330,"Override = FEFO","Override - FEFO says "&amp;$AL1330)),IF($AL1330="","⚠ no receipt on file for this item",IF($AM1330&lt;&gt;$AL1330,"FEFO auto - split, also "&amp;$AM1330,"FEFO auto"))))</f>
        <v>⚠ no receipt on file for this item</v>
      </c>
      <c r="AO1330" s="114"/>
    </row>
    <row r="1331" spans="1:41" x14ac:dyDescent="0.35">
      <c r="A1331" s="74">
        <v>46196</v>
      </c>
      <c r="B1331" s="18" t="str">
        <f>IF($C1331="","",IFERROR(INDEX('Staff Directory'!$A$5:$A$594,MATCH($C1331,'Staff Directory'!$B$5:$B$594,0)),"⚠ unknown staff"))</f>
        <v>PSW-136-A4</v>
      </c>
      <c r="C1331" s="49" t="s">
        <v>1115</v>
      </c>
      <c r="D1331" s="19" t="str">
        <f>IF($B1331="","",IFERROR(INDEX('Staff Directory'!$C$5:$C$594,MATCH($B1331,'Staff Directory'!$A$5:$A$594,0)),""))</f>
        <v>PSW</v>
      </c>
      <c r="E1331" s="19" t="str">
        <f>IF($B1331="","",IFERROR(INDEX('Staff Directory'!$D$5:$D$594,MATCH($B1331,'Staff Directory'!$A$5:$A$594,0)),""))</f>
        <v>A4</v>
      </c>
      <c r="F1331" s="9" t="s">
        <v>127</v>
      </c>
      <c r="G1331" s="18" t="str">
        <f>IF($F1331="","",IFERROR(INDEX(Items!$B$5:$B$597,MATCH($F1331,Items!$A$5:$A$597,0)),"⚠ not in Items"))</f>
        <v>Gloves</v>
      </c>
      <c r="H1331" s="19" t="str">
        <f>IF($F1331="","",IFERROR(INDEX(Items!$C$5:$C$597,MATCH($F1331,Items!$A$5:$A$597,0)),""))</f>
        <v>Medium</v>
      </c>
      <c r="I1331" s="23">
        <f>IF($F1331="","",IFERROR(INDEX(Items!$E$5:$E$597,MATCH($F1331,Items!$A$5:$A$597,0)),""))</f>
        <v>500</v>
      </c>
      <c r="J1331" s="115">
        <f>IF(tblIssues[[#This Row],[Qty Override]]&lt;&gt;"",tblIssues[[#This Row],[Qty Override]],IF(tblIssues[[#This Row],[Standard Issue]]="","",tblIssues[[#This Row],[Standard Issue]]))</f>
        <v>500</v>
      </c>
      <c r="K1331" s="20">
        <f>IF($F1331="","",IFERROR(INDEX(Items!$D$5:$D$597,MATCH($F1331,Items!$A$5:$A$597,0)),""))</f>
        <v>5.5E-2</v>
      </c>
      <c r="L1331" s="21">
        <f t="shared" si="228"/>
        <v>27.5</v>
      </c>
      <c r="M1331" s="9" t="str">
        <f t="shared" si="226"/>
        <v>ZIM510137962-1</v>
      </c>
      <c r="N1331" s="24">
        <f>IF($A1331="","",WORKDAY($A1331,Settings!$C$9,HolidayDates))</f>
        <v>46204</v>
      </c>
      <c r="O1331" s="24">
        <f>IF($N1331="","",WORKDAY($N1331,Settings!$C$10,HolidayDates))</f>
        <v>46244</v>
      </c>
      <c r="P1331" s="10" t="s">
        <v>501</v>
      </c>
      <c r="Q1331" s="52" t="str">
        <f t="shared" si="229"/>
        <v>Collected</v>
      </c>
      <c r="R1331" s="55" t="str">
        <f t="shared" si="230"/>
        <v>2026-06</v>
      </c>
      <c r="S1331" s="55">
        <f>IF(OR($B1331="",$F1331="",$R1331=""),"",SUMIFS(tblIssues[Qty Issued],tblIssues[Staff ID],$B1331,tblIssues[Item Name],$F1331,tblIssues[Month],$R1331))</f>
        <v>500</v>
      </c>
      <c r="T1331" s="56">
        <f>IF($I1331="","",$I1331*Settings!$C$11)</f>
        <v>500</v>
      </c>
      <c r="U1331" s="57" t="str">
        <f t="shared" si="227"/>
        <v>OK</v>
      </c>
      <c r="V1331" s="55" t="str">
        <f t="shared" si="231"/>
        <v/>
      </c>
      <c r="W1331" s="55" t="str">
        <f>IF($V1331="","",IF(COUNTIF($V$5:$V1331,$V1331)=1,1,""))</f>
        <v/>
      </c>
      <c r="X1331" s="58" t="str">
        <f>IF($W1331="","",MAX($X$4:X1330)+1)</f>
        <v/>
      </c>
      <c r="Y1331" s="62"/>
      <c r="Z1331" s="62"/>
      <c r="AA1331" s="64" t="str">
        <f>IF($C1331="","",IFERROR(INDEX('Staff Directory'!$E$5:$E$594,MATCH($C1331,'Staff Directory'!$B$5:$B$594,0)),""))</f>
        <v>firstname199.lastname199@example.com</v>
      </c>
      <c r="AB1331" s="64" t="str">
        <f>IF($C1331="","",IF(ISNUMBER(SEARCH($D1331,Settings!$C$15)),"Pickup","Dispatch"))</f>
        <v>Pickup</v>
      </c>
      <c r="AC1331" s="64" t="str">
        <f t="shared" si="232"/>
        <v>Supply order ready for pickup</v>
      </c>
      <c r="AD1331" s="64" t="str">
        <f t="shared" si="223"/>
        <v>Dear PSW,
Your order is ready for pickup from Sample Branch, Wed-Fri 9am-4pm.</v>
      </c>
      <c r="AE1331" s="64" t="str">
        <f t="shared" si="224"/>
        <v>mailto:firstname199.lastname199@example.com?subject=Supply%20order%20ready%20for%20pickup&amp;body=Dear%20PSW%2C%0A%0AYour%20order%20is%20ready%20for%20pickup%20from%20Sample%20Branch%2C%20Wed-Fri%209am-4pm.</v>
      </c>
      <c r="AF1331" s="89" t="str">
        <f t="shared" si="233"/>
        <v>Draft email</v>
      </c>
      <c r="AG1331" s="64" t="str">
        <f>IF($C1331="","",IFERROR(INDEX('Staff Directory'!$K$595:$K$599,MATCH($C1331,'Staff Directory'!$B$5:$B$599,0)),$D1331))</f>
        <v>PSW</v>
      </c>
      <c r="AH1331" t="str">
        <f>IF($C1331="","",IFERROR(INDEX('Staff Directory'!$I$595:$I$599,MATCH($C1331,'Staff Directory'!$B$5:$B$599,0))&amp;" "&amp;INDEX('Staff Directory'!$J$595:$J$599,MATCH($C1331,'Staff Directory'!$B$5:$B$599,0)),$AG1331))</f>
        <v>PSW</v>
      </c>
      <c r="AI1331" s="102"/>
      <c r="AJ1331" s="101">
        <f>IF($F1331="","",SUMIFS($J$5:$J1331,$F$5:$F1331,$F1331))</f>
        <v>81500</v>
      </c>
      <c r="AK1331" s="101">
        <f t="shared" si="225"/>
        <v>81001</v>
      </c>
      <c r="AL1331" s="66" t="str" cm="1">
        <f t="array" ref="AL1331">IF($F1331="","",IFERROR(INDEX('Lot Balance'!$B$5:$B$500,MATCH(1,INDEX(('Lot Balance'!$A$5:$A$500=$F1331)*('Lot Balance'!$K$5:$K$500&lt;$AK1331)*('Lot Balance'!$K$5:$K$500+'Lot Balance'!$D$5:$D$500&gt;=$AK1331),0),0)),""))</f>
        <v>ZIM510137962-1</v>
      </c>
      <c r="AM1331" s="66" t="str" cm="1">
        <f t="array" ref="AM1331">IF($F1331="","",IFERROR(INDEX('Lot Balance'!$B$5:$B$500,MATCH(1,INDEX(('Lot Balance'!$A$5:$A$500=$F1331)*('Lot Balance'!$K$5:$K$500&lt;$AJ1331)*('Lot Balance'!$K$5:$K$500+'Lot Balance'!$D$5:$D$500&gt;=$AJ1331),0),0)),""))</f>
        <v>ZIM510137962-1</v>
      </c>
      <c r="AN1331" s="66" t="str">
        <f>IF($F1331="","",IF($AI1331&lt;&gt;"",IF(COUNTIFS('Lot Balance'!$A$5:$A$500,$F1331,'Lot Balance'!$B$5:$B$500,$AI1331)=0,"⚠ override is not a lot of this item",IF($AI1331=$AL1331,"Override = FEFO","Override - FEFO says "&amp;$AL1331)),IF($AL1331="","⚠ no receipt on file for this item",IF($AM1331&lt;&gt;$AL1331,"FEFO auto - split, also "&amp;$AM1331,"FEFO auto"))))</f>
        <v>FEFO auto</v>
      </c>
      <c r="AO1331" s="114"/>
    </row>
    <row r="1332" spans="1:41" x14ac:dyDescent="0.35">
      <c r="A1332" s="74">
        <v>46196</v>
      </c>
      <c r="B1332" s="18" t="str">
        <f>IF($C1332="","",IFERROR(INDEX('Staff Directory'!$A$5:$A$594,MATCH($C1332,'Staff Directory'!$B$5:$B$594,0)),"⚠ unknown staff"))</f>
        <v>PSW-136-A4</v>
      </c>
      <c r="C1332" s="49" t="s">
        <v>1115</v>
      </c>
      <c r="D1332" s="19" t="str">
        <f>IF($B1332="","",IFERROR(INDEX('Staff Directory'!$C$5:$C$594,MATCH($B1332,'Staff Directory'!$A$5:$A$594,0)),""))</f>
        <v>PSW</v>
      </c>
      <c r="E1332" s="19" t="str">
        <f>IF($B1332="","",IFERROR(INDEX('Staff Directory'!$D$5:$D$594,MATCH($B1332,'Staff Directory'!$A$5:$A$594,0)),""))</f>
        <v>A4</v>
      </c>
      <c r="F1332" s="9" t="s">
        <v>115</v>
      </c>
      <c r="G1332" s="18" t="str">
        <f>IF($F1332="","",IFERROR(INDEX(Items!$B$5:$B$597,MATCH($F1332,Items!$A$5:$A$597,0)),"⚠ not in Items"))</f>
        <v>Wipes</v>
      </c>
      <c r="H1332" s="19">
        <f>IF($F1332="","",IFERROR(INDEX(Items!$C$5:$C$597,MATCH($F1332,Items!$A$5:$A$597,0)),""))</f>
        <v>80</v>
      </c>
      <c r="I1332" s="23">
        <f>IF($F1332="","",IFERROR(INDEX(Items!$E$5:$E$597,MATCH($F1332,Items!$A$5:$A$597,0)),""))</f>
        <v>80</v>
      </c>
      <c r="J1332" s="115">
        <f>IF(tblIssues[[#This Row],[Qty Override]]&lt;&gt;"",tblIssues[[#This Row],[Qty Override]],IF(tblIssues[[#This Row],[Standard Issue]]="","",tblIssues[[#This Row],[Standard Issue]]))</f>
        <v>80</v>
      </c>
      <c r="K1332" s="20">
        <f>IF($F1332="","",IFERROR(INDEX(Items!$D$5:$D$597,MATCH($F1332,Items!$A$5:$A$597,0)),""))</f>
        <v>0.1</v>
      </c>
      <c r="L1332" s="21">
        <f t="shared" si="228"/>
        <v>8</v>
      </c>
      <c r="M1332" s="9" t="str">
        <f t="shared" si="226"/>
        <v>LYSL500290</v>
      </c>
      <c r="N1332" s="24">
        <f>IF($A1332="","",WORKDAY($A1332,Settings!$C$9,HolidayDates))</f>
        <v>46204</v>
      </c>
      <c r="O1332" s="24">
        <f>IF($N1332="","",WORKDAY($N1332,Settings!$C$10,HolidayDates))</f>
        <v>46244</v>
      </c>
      <c r="P1332" s="10" t="s">
        <v>501</v>
      </c>
      <c r="Q1332" s="52" t="str">
        <f t="shared" si="229"/>
        <v>Collected</v>
      </c>
      <c r="R1332" s="55" t="str">
        <f t="shared" si="230"/>
        <v>2026-06</v>
      </c>
      <c r="S1332" s="55">
        <f>IF(OR($B1332="",$F1332="",$R1332=""),"",SUMIFS(tblIssues[Qty Issued],tblIssues[Staff ID],$B1332,tblIssues[Item Name],$F1332,tblIssues[Month],$R1332))</f>
        <v>80</v>
      </c>
      <c r="T1332" s="56">
        <f>IF($I1332="","",$I1332*Settings!$C$11)</f>
        <v>80</v>
      </c>
      <c r="U1332" s="57" t="str">
        <f t="shared" si="227"/>
        <v>OK</v>
      </c>
      <c r="V1332" s="55" t="str">
        <f t="shared" si="231"/>
        <v/>
      </c>
      <c r="W1332" s="55" t="str">
        <f>IF($V1332="","",IF(COUNTIF($V$5:$V1332,$V1332)=1,1,""))</f>
        <v/>
      </c>
      <c r="X1332" s="58" t="str">
        <f>IF($W1332="","",MAX($X$4:X1331)+1)</f>
        <v/>
      </c>
      <c r="Y1332" s="62"/>
      <c r="Z1332" s="62"/>
      <c r="AA1332" s="64" t="str">
        <f>IF($C1332="","",IFERROR(INDEX('Staff Directory'!$E$5:$E$594,MATCH($C1332,'Staff Directory'!$B$5:$B$594,0)),""))</f>
        <v>firstname199.lastname199@example.com</v>
      </c>
      <c r="AB1332" s="64" t="str">
        <f>IF($C1332="","",IF(ISNUMBER(SEARCH($D1332,Settings!$C$15)),"Pickup","Dispatch"))</f>
        <v>Pickup</v>
      </c>
      <c r="AC1332" s="64" t="str">
        <f t="shared" si="232"/>
        <v>Supply order ready for pickup</v>
      </c>
      <c r="AD1332" s="64" t="str">
        <f t="shared" si="223"/>
        <v>Dear PSW,
Your order is ready for pickup from Sample Branch, Wed-Fri 9am-4pm.</v>
      </c>
      <c r="AE1332" s="64" t="str">
        <f t="shared" si="224"/>
        <v>mailto:firstname199.lastname199@example.com?subject=Supply%20order%20ready%20for%20pickup&amp;body=Dear%20PSW%2C%0A%0AYour%20order%20is%20ready%20for%20pickup%20from%20Sample%20Branch%2C%20Wed-Fri%209am-4pm.</v>
      </c>
      <c r="AF1332" s="89" t="str">
        <f t="shared" si="233"/>
        <v>Draft email</v>
      </c>
      <c r="AG1332" s="64" t="str">
        <f>IF($C1332="","",IFERROR(INDEX('Staff Directory'!$K$595:$K$599,MATCH($C1332,'Staff Directory'!$B$5:$B$599,0)),$D1332))</f>
        <v>PSW</v>
      </c>
      <c r="AH1332" t="str">
        <f>IF($C1332="","",IFERROR(INDEX('Staff Directory'!$I$595:$I$599,MATCH($C1332,'Staff Directory'!$B$5:$B$599,0))&amp;" "&amp;INDEX('Staff Directory'!$J$595:$J$599,MATCH($C1332,'Staff Directory'!$B$5:$B$599,0)),$AG1332))</f>
        <v>PSW</v>
      </c>
      <c r="AI1332" s="102"/>
      <c r="AJ1332" s="101">
        <f>IF($F1332="","",SUMIFS($J$5:$J1332,$F$5:$F1332,$F1332))</f>
        <v>18320</v>
      </c>
      <c r="AK1332" s="101">
        <f t="shared" si="225"/>
        <v>18241</v>
      </c>
      <c r="AL1332" s="66" t="str" cm="1">
        <f t="array" ref="AL1332">IF($F1332="","",IFERROR(INDEX('Lot Balance'!$B$5:$B$500,MATCH(1,INDEX(('Lot Balance'!$A$5:$A$500=$F1332)*('Lot Balance'!$K$5:$K$500&lt;$AK1332)*('Lot Balance'!$K$5:$K$500+'Lot Balance'!$D$5:$D$500&gt;=$AK1332),0),0)),""))</f>
        <v>LYSL500290</v>
      </c>
      <c r="AM1332" s="66" t="str" cm="1">
        <f t="array" ref="AM1332">IF($F1332="","",IFERROR(INDEX('Lot Balance'!$B$5:$B$500,MATCH(1,INDEX(('Lot Balance'!$A$5:$A$500=$F1332)*('Lot Balance'!$K$5:$K$500&lt;$AJ1332)*('Lot Balance'!$K$5:$K$500+'Lot Balance'!$D$5:$D$500&gt;=$AJ1332),0),0)),""))</f>
        <v>LYSL500290</v>
      </c>
      <c r="AN1332" s="66" t="str">
        <f>IF($F1332="","",IF($AI1332&lt;&gt;"",IF(COUNTIFS('Lot Balance'!$A$5:$A$500,$F1332,'Lot Balance'!$B$5:$B$500,$AI1332)=0,"⚠ override is not a lot of this item",IF($AI1332=$AL1332,"Override = FEFO","Override - FEFO says "&amp;$AL1332)),IF($AL1332="","⚠ no receipt on file for this item",IF($AM1332&lt;&gt;$AL1332,"FEFO auto - split, also "&amp;$AM1332,"FEFO auto"))))</f>
        <v>FEFO auto</v>
      </c>
      <c r="AO1332" s="114"/>
    </row>
    <row r="1333" spans="1:41" x14ac:dyDescent="0.35">
      <c r="A1333" s="74">
        <v>46196</v>
      </c>
      <c r="B1333" s="18" t="str">
        <f>IF($C1333="","",IFERROR(INDEX('Staff Directory'!$A$5:$A$594,MATCH($C1333,'Staff Directory'!$B$5:$B$594,0)),"⚠ unknown staff"))</f>
        <v>PSW-136-A4</v>
      </c>
      <c r="C1333" s="49" t="s">
        <v>1115</v>
      </c>
      <c r="D1333" s="19" t="str">
        <f>IF($B1333="","",IFERROR(INDEX('Staff Directory'!$C$5:$C$594,MATCH($B1333,'Staff Directory'!$A$5:$A$594,0)),""))</f>
        <v>PSW</v>
      </c>
      <c r="E1333" s="19" t="str">
        <f>IF($B1333="","",IFERROR(INDEX('Staff Directory'!$D$5:$D$594,MATCH($B1333,'Staff Directory'!$A$5:$A$594,0)),""))</f>
        <v>A4</v>
      </c>
      <c r="F1333" s="9" t="s">
        <v>156</v>
      </c>
      <c r="G1333" s="18" t="str">
        <f>IF($F1333="","",IFERROR(INDEX(Items!$B$5:$B$597,MATCH($F1333,Items!$A$5:$A$597,0)),"⚠ not in Items"))</f>
        <v>Masks</v>
      </c>
      <c r="H1333" s="19" t="str">
        <f>IF($F1333="","",IFERROR(INDEX(Items!$C$5:$C$597,MATCH($F1333,Items!$A$5:$A$597,0)),""))</f>
        <v>One Size</v>
      </c>
      <c r="I1333" s="23">
        <f>IF($F1333="","",IFERROR(INDEX(Items!$E$5:$E$597,MATCH($F1333,Items!$A$5:$A$597,0)),""))</f>
        <v>50</v>
      </c>
      <c r="J1333" s="115">
        <f>IF(tblIssues[[#This Row],[Qty Override]]&lt;&gt;"",tblIssues[[#This Row],[Qty Override]],IF(tblIssues[[#This Row],[Standard Issue]]="","",tblIssues[[#This Row],[Standard Issue]]))</f>
        <v>50</v>
      </c>
      <c r="K1333" s="20">
        <f>IF($F1333="","",IFERROR(INDEX(Items!$D$5:$D$597,MATCH($F1333,Items!$A$5:$A$597,0)),""))</f>
        <v>0.25</v>
      </c>
      <c r="L1333" s="21">
        <f t="shared" si="228"/>
        <v>12.5</v>
      </c>
      <c r="M1333" s="9" t="str">
        <f t="shared" si="226"/>
        <v>24HA2050A7396</v>
      </c>
      <c r="N1333" s="24">
        <f>IF($A1333="","",WORKDAY($A1333,Settings!$C$9,HolidayDates))</f>
        <v>46204</v>
      </c>
      <c r="O1333" s="24">
        <f>IF($N1333="","",WORKDAY($N1333,Settings!$C$10,HolidayDates))</f>
        <v>46244</v>
      </c>
      <c r="P1333" s="10" t="s">
        <v>501</v>
      </c>
      <c r="Q1333" s="52" t="str">
        <f t="shared" si="229"/>
        <v>Collected</v>
      </c>
      <c r="R1333" s="55" t="str">
        <f t="shared" si="230"/>
        <v>2026-06</v>
      </c>
      <c r="S1333" s="55">
        <f>IF(OR($B1333="",$F1333="",$R1333=""),"",SUMIFS(tblIssues[Qty Issued],tblIssues[Staff ID],$B1333,tblIssues[Item Name],$F1333,tblIssues[Month],$R1333))</f>
        <v>50</v>
      </c>
      <c r="T1333" s="56">
        <f>IF($I1333="","",$I1333*Settings!$C$11)</f>
        <v>50</v>
      </c>
      <c r="U1333" s="57" t="str">
        <f t="shared" si="227"/>
        <v>OK</v>
      </c>
      <c r="V1333" s="55" t="str">
        <f t="shared" si="231"/>
        <v/>
      </c>
      <c r="W1333" s="55" t="str">
        <f>IF($V1333="","",IF(COUNTIF($V$5:$V1333,$V1333)=1,1,""))</f>
        <v/>
      </c>
      <c r="X1333" s="58" t="str">
        <f>IF($W1333="","",MAX($X$4:X1332)+1)</f>
        <v/>
      </c>
      <c r="Y1333" s="62"/>
      <c r="Z1333" s="62"/>
      <c r="AA1333" s="64" t="str">
        <f>IF($C1333="","",IFERROR(INDEX('Staff Directory'!$E$5:$E$594,MATCH($C1333,'Staff Directory'!$B$5:$B$594,0)),""))</f>
        <v>firstname199.lastname199@example.com</v>
      </c>
      <c r="AB1333" s="64" t="str">
        <f>IF($C1333="","",IF(ISNUMBER(SEARCH($D1333,Settings!$C$15)),"Pickup","Dispatch"))</f>
        <v>Pickup</v>
      </c>
      <c r="AC1333" s="64" t="str">
        <f t="shared" si="232"/>
        <v>Supply order ready for pickup</v>
      </c>
      <c r="AD1333" s="64" t="str">
        <f t="shared" si="223"/>
        <v>Dear PSW,
Your order is ready for pickup from Sample Branch, Wed-Fri 9am-4pm.</v>
      </c>
      <c r="AE1333" s="64" t="str">
        <f t="shared" si="224"/>
        <v>mailto:firstname199.lastname199@example.com?subject=Supply%20order%20ready%20for%20pickup&amp;body=Dear%20PSW%2C%0A%0AYour%20order%20is%20ready%20for%20pickup%20from%20Sample%20Branch%2C%20Wed-Fri%209am-4pm.</v>
      </c>
      <c r="AF1333" s="89" t="str">
        <f t="shared" si="233"/>
        <v>Draft email</v>
      </c>
      <c r="AG1333" s="64" t="str">
        <f>IF($C1333="","",IFERROR(INDEX('Staff Directory'!$K$595:$K$599,MATCH($C1333,'Staff Directory'!$B$5:$B$599,0)),$D1333))</f>
        <v>PSW</v>
      </c>
      <c r="AH1333" t="str">
        <f>IF($C1333="","",IFERROR(INDEX('Staff Directory'!$I$595:$I$599,MATCH($C1333,'Staff Directory'!$B$5:$B$599,0))&amp;" "&amp;INDEX('Staff Directory'!$J$595:$J$599,MATCH($C1333,'Staff Directory'!$B$5:$B$599,0)),$AG1333))</f>
        <v>PSW</v>
      </c>
      <c r="AI1333" s="102"/>
      <c r="AJ1333" s="101">
        <f>IF($F1333="","",SUMIFS($J$5:$J1333,$F$5:$F1333,$F1333))</f>
        <v>11350</v>
      </c>
      <c r="AK1333" s="101">
        <f t="shared" si="225"/>
        <v>11301</v>
      </c>
      <c r="AL1333" s="66" t="str" cm="1">
        <f t="array" ref="AL1333">IF($F1333="","",IFERROR(INDEX('Lot Balance'!$B$5:$B$500,MATCH(1,INDEX(('Lot Balance'!$A$5:$A$500=$F1333)*('Lot Balance'!$K$5:$K$500&lt;$AK1333)*('Lot Balance'!$K$5:$K$500+'Lot Balance'!$D$5:$D$500&gt;=$AK1333),0),0)),""))</f>
        <v>24HA2050A7396</v>
      </c>
      <c r="AM1333" s="66" t="str" cm="1">
        <f t="array" ref="AM1333">IF($F1333="","",IFERROR(INDEX('Lot Balance'!$B$5:$B$500,MATCH(1,INDEX(('Lot Balance'!$A$5:$A$500=$F1333)*('Lot Balance'!$K$5:$K$500&lt;$AJ1333)*('Lot Balance'!$K$5:$K$500+'Lot Balance'!$D$5:$D$500&gt;=$AJ1333),0),0)),""))</f>
        <v>24HA2050A7396</v>
      </c>
      <c r="AN1333" s="66" t="str">
        <f>IF($F1333="","",IF($AI1333&lt;&gt;"",IF(COUNTIFS('Lot Balance'!$A$5:$A$500,$F1333,'Lot Balance'!$B$5:$B$500,$AI1333)=0,"⚠ override is not a lot of this item",IF($AI1333=$AL1333,"Override = FEFO","Override - FEFO says "&amp;$AL1333)),IF($AL1333="","⚠ no receipt on file for this item",IF($AM1333&lt;&gt;$AL1333,"FEFO auto - split, also "&amp;$AM1333,"FEFO auto"))))</f>
        <v>FEFO auto</v>
      </c>
      <c r="AO1333" s="114"/>
    </row>
    <row r="1334" spans="1:41" x14ac:dyDescent="0.35">
      <c r="A1334" s="74">
        <v>46196</v>
      </c>
      <c r="B1334" s="18" t="str">
        <f>IF($C1334="","",IFERROR(INDEX('Staff Directory'!$A$5:$A$594,MATCH($C1334,'Staff Directory'!$B$5:$B$594,0)),"⚠ unknown staff"))</f>
        <v>PSW-039-A5</v>
      </c>
      <c r="C1334" s="49" t="s">
        <v>1014</v>
      </c>
      <c r="D1334" s="19" t="str">
        <f>IF($B1334="","",IFERROR(INDEX('Staff Directory'!$C$5:$C$594,MATCH($B1334,'Staff Directory'!$A$5:$A$594,0)),""))</f>
        <v>PSW</v>
      </c>
      <c r="E1334" s="19" t="str">
        <f>IF($B1334="","",IFERROR(INDEX('Staff Directory'!$D$5:$D$594,MATCH($B1334,'Staff Directory'!$A$5:$A$594,0)),""))</f>
        <v>A5</v>
      </c>
      <c r="F1334" s="9" t="s">
        <v>127</v>
      </c>
      <c r="G1334" s="18" t="str">
        <f>IF($F1334="","",IFERROR(INDEX(Items!$B$5:$B$597,MATCH($F1334,Items!$A$5:$A$597,0)),"⚠ not in Items"))</f>
        <v>Gloves</v>
      </c>
      <c r="H1334" s="19" t="str">
        <f>IF($F1334="","",IFERROR(INDEX(Items!$C$5:$C$597,MATCH($F1334,Items!$A$5:$A$597,0)),""))</f>
        <v>Medium</v>
      </c>
      <c r="I1334" s="23">
        <f>IF($F1334="","",IFERROR(INDEX(Items!$E$5:$E$597,MATCH($F1334,Items!$A$5:$A$597,0)),""))</f>
        <v>500</v>
      </c>
      <c r="J1334" s="115">
        <f>IF(tblIssues[[#This Row],[Qty Override]]&lt;&gt;"",tblIssues[[#This Row],[Qty Override]],IF(tblIssues[[#This Row],[Standard Issue]]="","",tblIssues[[#This Row],[Standard Issue]]))</f>
        <v>500</v>
      </c>
      <c r="K1334" s="20">
        <f>IF($F1334="","",IFERROR(INDEX(Items!$D$5:$D$597,MATCH($F1334,Items!$A$5:$A$597,0)),""))</f>
        <v>5.5E-2</v>
      </c>
      <c r="L1334" s="21">
        <f t="shared" si="228"/>
        <v>27.5</v>
      </c>
      <c r="M1334" s="9" t="str">
        <f t="shared" si="226"/>
        <v>ZIM510137962-1</v>
      </c>
      <c r="N1334" s="24">
        <f>IF($A1334="","",WORKDAY($A1334,Settings!$C$9,HolidayDates))</f>
        <v>46204</v>
      </c>
      <c r="O1334" s="24">
        <f>IF($N1334="","",WORKDAY($N1334,Settings!$C$10,HolidayDates))</f>
        <v>46244</v>
      </c>
      <c r="P1334" s="10" t="s">
        <v>501</v>
      </c>
      <c r="Q1334" s="52" t="str">
        <f t="shared" si="229"/>
        <v>Collected</v>
      </c>
      <c r="R1334" s="55" t="str">
        <f t="shared" si="230"/>
        <v>2026-06</v>
      </c>
      <c r="S1334" s="55">
        <f>IF(OR($B1334="",$F1334="",$R1334=""),"",SUMIFS(tblIssues[Qty Issued],tblIssues[Staff ID],$B1334,tblIssues[Item Name],$F1334,tblIssues[Month],$R1334))</f>
        <v>500</v>
      </c>
      <c r="T1334" s="56">
        <f>IF($I1334="","",$I1334*Settings!$C$11)</f>
        <v>500</v>
      </c>
      <c r="U1334" s="57" t="str">
        <f t="shared" si="227"/>
        <v>OK</v>
      </c>
      <c r="V1334" s="55" t="str">
        <f t="shared" si="231"/>
        <v/>
      </c>
      <c r="W1334" s="55" t="str">
        <f>IF($V1334="","",IF(COUNTIF($V$5:$V1334,$V1334)=1,1,""))</f>
        <v/>
      </c>
      <c r="X1334" s="58" t="str">
        <f>IF($W1334="","",MAX($X$4:X1333)+1)</f>
        <v/>
      </c>
      <c r="Y1334" s="62"/>
      <c r="Z1334" s="62"/>
      <c r="AA1334" s="64" t="str">
        <f>IF($C1334="","",IFERROR(INDEX('Staff Directory'!$E$5:$E$594,MATCH($C1334,'Staff Directory'!$B$5:$B$594,0)),""))</f>
        <v>firstname098.lastname098@example.com</v>
      </c>
      <c r="AB1334" s="64" t="str">
        <f>IF($C1334="","",IF(ISNUMBER(SEARCH($D1334,Settings!$C$15)),"Pickup","Dispatch"))</f>
        <v>Pickup</v>
      </c>
      <c r="AC1334" s="64" t="str">
        <f t="shared" si="232"/>
        <v>Supply order ready for pickup</v>
      </c>
      <c r="AD1334" s="64" t="str">
        <f t="shared" si="223"/>
        <v>Dear PSW,
Your order is ready for pickup from Sample Branch, Wed-Fri 9am-4pm.</v>
      </c>
      <c r="AE1334" s="64" t="str">
        <f t="shared" si="224"/>
        <v>mailto:firstname098.lastname098@example.com?subject=Supply%20order%20ready%20for%20pickup&amp;body=Dear%20PSW%2C%0A%0AYour%20order%20is%20ready%20for%20pickup%20from%20Sample%20Branch%2C%20Wed-Fri%209am-4pm.</v>
      </c>
      <c r="AF1334" s="89" t="str">
        <f t="shared" si="233"/>
        <v>Draft email</v>
      </c>
      <c r="AG1334" s="64" t="str">
        <f>IF($C1334="","",IFERROR(INDEX('Staff Directory'!$K$595:$K$599,MATCH($C1334,'Staff Directory'!$B$5:$B$599,0)),$D1334))</f>
        <v>PSW</v>
      </c>
      <c r="AH1334" t="str">
        <f>IF($C1334="","",IFERROR(INDEX('Staff Directory'!$I$595:$I$599,MATCH($C1334,'Staff Directory'!$B$5:$B$599,0))&amp;" "&amp;INDEX('Staff Directory'!$J$595:$J$599,MATCH($C1334,'Staff Directory'!$B$5:$B$599,0)),$AG1334))</f>
        <v>PSW</v>
      </c>
      <c r="AI1334" s="102"/>
      <c r="AJ1334" s="101">
        <f>IF($F1334="","",SUMIFS($J$5:$J1334,$F$5:$F1334,$F1334))</f>
        <v>82000</v>
      </c>
      <c r="AK1334" s="101">
        <f t="shared" si="225"/>
        <v>81501</v>
      </c>
      <c r="AL1334" s="66" t="str" cm="1">
        <f t="array" ref="AL1334">IF($F1334="","",IFERROR(INDEX('Lot Balance'!$B$5:$B$500,MATCH(1,INDEX(('Lot Balance'!$A$5:$A$500=$F1334)*('Lot Balance'!$K$5:$K$500&lt;$AK1334)*('Lot Balance'!$K$5:$K$500+'Lot Balance'!$D$5:$D$500&gt;=$AK1334),0),0)),""))</f>
        <v>ZIM510137962-1</v>
      </c>
      <c r="AM1334" s="66" t="str" cm="1">
        <f t="array" ref="AM1334">IF($F1334="","",IFERROR(INDEX('Lot Balance'!$B$5:$B$500,MATCH(1,INDEX(('Lot Balance'!$A$5:$A$500=$F1334)*('Lot Balance'!$K$5:$K$500&lt;$AJ1334)*('Lot Balance'!$K$5:$K$500+'Lot Balance'!$D$5:$D$500&gt;=$AJ1334),0),0)),""))</f>
        <v>ZIM510137962-1</v>
      </c>
      <c r="AN1334" s="66" t="str">
        <f>IF($F1334="","",IF($AI1334&lt;&gt;"",IF(COUNTIFS('Lot Balance'!$A$5:$A$500,$F1334,'Lot Balance'!$B$5:$B$500,$AI1334)=0,"⚠ override is not a lot of this item",IF($AI1334=$AL1334,"Override = FEFO","Override - FEFO says "&amp;$AL1334)),IF($AL1334="","⚠ no receipt on file for this item",IF($AM1334&lt;&gt;$AL1334,"FEFO auto - split, also "&amp;$AM1334,"FEFO auto"))))</f>
        <v>FEFO auto</v>
      </c>
      <c r="AO1334" s="114"/>
    </row>
    <row r="1335" spans="1:41" x14ac:dyDescent="0.35">
      <c r="A1335" s="74">
        <v>46196</v>
      </c>
      <c r="B1335" s="18" t="str">
        <f>IF($C1335="","",IFERROR(INDEX('Staff Directory'!$A$5:$A$594,MATCH($C1335,'Staff Directory'!$B$5:$B$594,0)),"⚠ unknown staff"))</f>
        <v>PSW-039-A5</v>
      </c>
      <c r="C1335" s="49" t="s">
        <v>1014</v>
      </c>
      <c r="D1335" s="19" t="str">
        <f>IF($B1335="","",IFERROR(INDEX('Staff Directory'!$C$5:$C$594,MATCH($B1335,'Staff Directory'!$A$5:$A$594,0)),""))</f>
        <v>PSW</v>
      </c>
      <c r="E1335" s="19" t="str">
        <f>IF($B1335="","",IFERROR(INDEX('Staff Directory'!$D$5:$D$594,MATCH($B1335,'Staff Directory'!$A$5:$A$594,0)),""))</f>
        <v>A5</v>
      </c>
      <c r="F1335" s="9" t="s">
        <v>191</v>
      </c>
      <c r="G1335" s="18" t="str">
        <f>IF($F1335="","",IFERROR(INDEX(Items!$B$5:$B$597,MATCH($F1335,Items!$A$5:$A$597,0)),"⚠ not in Items"))</f>
        <v>Sanitizer</v>
      </c>
      <c r="H1335" s="19" t="str">
        <f>IF($F1335="","",IFERROR(INDEX(Items!$C$5:$C$597,MATCH($F1335,Items!$A$5:$A$597,0)),""))</f>
        <v>236 ML</v>
      </c>
      <c r="I1335" s="23">
        <f>IF($F1335="","",IFERROR(INDEX(Items!$E$5:$E$597,MATCH($F1335,Items!$A$5:$A$597,0)),""))</f>
        <v>1</v>
      </c>
      <c r="J1335" s="115">
        <f>IF(tblIssues[[#This Row],[Qty Override]]&lt;&gt;"",tblIssues[[#This Row],[Qty Override]],IF(tblIssues[[#This Row],[Standard Issue]]="","",tblIssues[[#This Row],[Standard Issue]]))</f>
        <v>1</v>
      </c>
      <c r="K1335" s="20">
        <f>IF($F1335="","",IFERROR(INDEX(Items!$D$5:$D$597,MATCH($F1335,Items!$A$5:$A$597,0)),""))</f>
        <v>1E-4</v>
      </c>
      <c r="L1335" s="21">
        <f t="shared" si="228"/>
        <v>1E-4</v>
      </c>
      <c r="M1335" s="9" t="str">
        <f t="shared" si="226"/>
        <v/>
      </c>
      <c r="N1335" s="24">
        <f>IF($A1335="","",WORKDAY($A1335,Settings!$C$9,HolidayDates))</f>
        <v>46204</v>
      </c>
      <c r="O1335" s="24">
        <f>IF($N1335="","",WORKDAY($N1335,Settings!$C$10,HolidayDates))</f>
        <v>46244</v>
      </c>
      <c r="P1335" s="10" t="s">
        <v>501</v>
      </c>
      <c r="Q1335" s="52" t="str">
        <f t="shared" si="229"/>
        <v>Collected</v>
      </c>
      <c r="R1335" s="55" t="str">
        <f t="shared" si="230"/>
        <v>2026-06</v>
      </c>
      <c r="S1335" s="55">
        <f>IF(OR($B1335="",$F1335="",$R1335=""),"",SUMIFS(tblIssues[Qty Issued],tblIssues[Staff ID],$B1335,tblIssues[Item Name],$F1335,tblIssues[Month],$R1335))</f>
        <v>1</v>
      </c>
      <c r="T1335" s="56">
        <f>IF($I1335="","",$I1335*Settings!$C$11)</f>
        <v>1</v>
      </c>
      <c r="U1335" s="57" t="str">
        <f t="shared" si="227"/>
        <v>OK</v>
      </c>
      <c r="V1335" s="55" t="str">
        <f t="shared" si="231"/>
        <v/>
      </c>
      <c r="W1335" s="55" t="str">
        <f>IF($V1335="","",IF(COUNTIF($V$5:$V1335,$V1335)=1,1,""))</f>
        <v/>
      </c>
      <c r="X1335" s="58" t="str">
        <f>IF($W1335="","",MAX($X$4:X1334)+1)</f>
        <v/>
      </c>
      <c r="Y1335" s="62"/>
      <c r="Z1335" s="62"/>
      <c r="AA1335" s="64" t="str">
        <f>IF($C1335="","",IFERROR(INDEX('Staff Directory'!$E$5:$E$594,MATCH($C1335,'Staff Directory'!$B$5:$B$594,0)),""))</f>
        <v>firstname098.lastname098@example.com</v>
      </c>
      <c r="AB1335" s="64" t="str">
        <f>IF($C1335="","",IF(ISNUMBER(SEARCH($D1335,Settings!$C$15)),"Pickup","Dispatch"))</f>
        <v>Pickup</v>
      </c>
      <c r="AC1335" s="64" t="str">
        <f t="shared" si="232"/>
        <v>Supply order ready for pickup</v>
      </c>
      <c r="AD1335" s="64" t="str">
        <f t="shared" si="223"/>
        <v>Dear PSW,
Your order is ready for pickup from Sample Branch, Wed-Fri 9am-4pm.</v>
      </c>
      <c r="AE1335" s="64" t="str">
        <f t="shared" si="224"/>
        <v>mailto:firstname098.lastname098@example.com?subject=Supply%20order%20ready%20for%20pickup&amp;body=Dear%20PSW%2C%0A%0AYour%20order%20is%20ready%20for%20pickup%20from%20Sample%20Branch%2C%20Wed-Fri%209am-4pm.</v>
      </c>
      <c r="AF1335" s="89" t="str">
        <f t="shared" si="233"/>
        <v>Draft email</v>
      </c>
      <c r="AG1335" s="64" t="str">
        <f>IF($C1335="","",IFERROR(INDEX('Staff Directory'!$K$595:$K$599,MATCH($C1335,'Staff Directory'!$B$5:$B$599,0)),$D1335))</f>
        <v>PSW</v>
      </c>
      <c r="AH1335" t="str">
        <f>IF($C1335="","",IFERROR(INDEX('Staff Directory'!$I$595:$I$599,MATCH($C1335,'Staff Directory'!$B$5:$B$599,0))&amp;" "&amp;INDEX('Staff Directory'!$J$595:$J$599,MATCH($C1335,'Staff Directory'!$B$5:$B$599,0)),$AG1335))</f>
        <v>PSW</v>
      </c>
      <c r="AI1335" s="102"/>
      <c r="AJ1335" s="101">
        <f>IF($F1335="","",SUMIFS($J$5:$J1335,$F$5:$F1335,$F1335))</f>
        <v>178</v>
      </c>
      <c r="AK1335" s="101">
        <f t="shared" si="225"/>
        <v>178</v>
      </c>
      <c r="AL1335" s="66" t="str" cm="1">
        <f t="array" ref="AL1335">IF($F1335="","",IFERROR(INDEX('Lot Balance'!$B$5:$B$500,MATCH(1,INDEX(('Lot Balance'!$A$5:$A$500=$F1335)*('Lot Balance'!$K$5:$K$500&lt;$AK1335)*('Lot Balance'!$K$5:$K$500+'Lot Balance'!$D$5:$D$500&gt;=$AK1335),0),0)),""))</f>
        <v/>
      </c>
      <c r="AM1335" s="66" t="str" cm="1">
        <f t="array" ref="AM1335">IF($F1335="","",IFERROR(INDEX('Lot Balance'!$B$5:$B$500,MATCH(1,INDEX(('Lot Balance'!$A$5:$A$500=$F1335)*('Lot Balance'!$K$5:$K$500&lt;$AJ1335)*('Lot Balance'!$K$5:$K$500+'Lot Balance'!$D$5:$D$500&gt;=$AJ1335),0),0)),""))</f>
        <v/>
      </c>
      <c r="AN1335" s="66" t="str">
        <f>IF($F1335="","",IF($AI1335&lt;&gt;"",IF(COUNTIFS('Lot Balance'!$A$5:$A$500,$F1335,'Lot Balance'!$B$5:$B$500,$AI1335)=0,"⚠ override is not a lot of this item",IF($AI1335=$AL1335,"Override = FEFO","Override - FEFO says "&amp;$AL1335)),IF($AL1335="","⚠ no receipt on file for this item",IF($AM1335&lt;&gt;$AL1335,"FEFO auto - split, also "&amp;$AM1335,"FEFO auto"))))</f>
        <v>⚠ no receipt on file for this item</v>
      </c>
      <c r="AO1335" s="114"/>
    </row>
    <row r="1336" spans="1:41" x14ac:dyDescent="0.35">
      <c r="A1336" s="74">
        <v>46196</v>
      </c>
      <c r="B1336" s="18" t="str">
        <f>IF($C1336="","",IFERROR(INDEX('Staff Directory'!$A$5:$A$594,MATCH($C1336,'Staff Directory'!$B$5:$B$594,0)),"⚠ unknown staff"))</f>
        <v>PSW-039-A5</v>
      </c>
      <c r="C1336" s="49" t="s">
        <v>1014</v>
      </c>
      <c r="D1336" s="19" t="str">
        <f>IF($B1336="","",IFERROR(INDEX('Staff Directory'!$C$5:$C$594,MATCH($B1336,'Staff Directory'!$A$5:$A$594,0)),""))</f>
        <v>PSW</v>
      </c>
      <c r="E1336" s="19" t="str">
        <f>IF($B1336="","",IFERROR(INDEX('Staff Directory'!$D$5:$D$594,MATCH($B1336,'Staff Directory'!$A$5:$A$594,0)),""))</f>
        <v>A5</v>
      </c>
      <c r="F1336" s="9" t="s">
        <v>115</v>
      </c>
      <c r="G1336" s="18" t="str">
        <f>IF($F1336="","",IFERROR(INDEX(Items!$B$5:$B$597,MATCH($F1336,Items!$A$5:$A$597,0)),"⚠ not in Items"))</f>
        <v>Wipes</v>
      </c>
      <c r="H1336" s="19">
        <f>IF($F1336="","",IFERROR(INDEX(Items!$C$5:$C$597,MATCH($F1336,Items!$A$5:$A$597,0)),""))</f>
        <v>80</v>
      </c>
      <c r="I1336" s="23">
        <f>IF($F1336="","",IFERROR(INDEX(Items!$E$5:$E$597,MATCH($F1336,Items!$A$5:$A$597,0)),""))</f>
        <v>80</v>
      </c>
      <c r="J1336" s="115">
        <f>IF(tblIssues[[#This Row],[Qty Override]]&lt;&gt;"",tblIssues[[#This Row],[Qty Override]],IF(tblIssues[[#This Row],[Standard Issue]]="","",tblIssues[[#This Row],[Standard Issue]]))</f>
        <v>80</v>
      </c>
      <c r="K1336" s="20">
        <f>IF($F1336="","",IFERROR(INDEX(Items!$D$5:$D$597,MATCH($F1336,Items!$A$5:$A$597,0)),""))</f>
        <v>0.1</v>
      </c>
      <c r="L1336" s="21">
        <f t="shared" si="228"/>
        <v>8</v>
      </c>
      <c r="M1336" s="9" t="str">
        <f t="shared" si="226"/>
        <v>LYSL500290</v>
      </c>
      <c r="N1336" s="24">
        <f>IF($A1336="","",WORKDAY($A1336,Settings!$C$9,HolidayDates))</f>
        <v>46204</v>
      </c>
      <c r="O1336" s="24">
        <f>IF($N1336="","",WORKDAY($N1336,Settings!$C$10,HolidayDates))</f>
        <v>46244</v>
      </c>
      <c r="P1336" s="10" t="s">
        <v>501</v>
      </c>
      <c r="Q1336" s="52" t="str">
        <f t="shared" si="229"/>
        <v>Collected</v>
      </c>
      <c r="R1336" s="55" t="str">
        <f t="shared" si="230"/>
        <v>2026-06</v>
      </c>
      <c r="S1336" s="55">
        <f>IF(OR($B1336="",$F1336="",$R1336=""),"",SUMIFS(tblIssues[Qty Issued],tblIssues[Staff ID],$B1336,tblIssues[Item Name],$F1336,tblIssues[Month],$R1336))</f>
        <v>80</v>
      </c>
      <c r="T1336" s="56">
        <f>IF($I1336="","",$I1336*Settings!$C$11)</f>
        <v>80</v>
      </c>
      <c r="U1336" s="57" t="str">
        <f t="shared" si="227"/>
        <v>OK</v>
      </c>
      <c r="V1336" s="55" t="str">
        <f t="shared" si="231"/>
        <v/>
      </c>
      <c r="W1336" s="55" t="str">
        <f>IF($V1336="","",IF(COUNTIF($V$5:$V1336,$V1336)=1,1,""))</f>
        <v/>
      </c>
      <c r="X1336" s="58" t="str">
        <f>IF($W1336="","",MAX($X$4:X1335)+1)</f>
        <v/>
      </c>
      <c r="Y1336" s="62"/>
      <c r="Z1336" s="62"/>
      <c r="AA1336" s="64" t="str">
        <f>IF($C1336="","",IFERROR(INDEX('Staff Directory'!$E$5:$E$594,MATCH($C1336,'Staff Directory'!$B$5:$B$594,0)),""))</f>
        <v>firstname098.lastname098@example.com</v>
      </c>
      <c r="AB1336" s="64" t="str">
        <f>IF($C1336="","",IF(ISNUMBER(SEARCH($D1336,Settings!$C$15)),"Pickup","Dispatch"))</f>
        <v>Pickup</v>
      </c>
      <c r="AC1336" s="64" t="str">
        <f t="shared" si="232"/>
        <v>Supply order ready for pickup</v>
      </c>
      <c r="AD1336" s="64" t="str">
        <f t="shared" si="223"/>
        <v>Dear PSW,
Your order is ready for pickup from Sample Branch, Wed-Fri 9am-4pm.</v>
      </c>
      <c r="AE1336" s="64" t="str">
        <f t="shared" si="224"/>
        <v>mailto:firstname098.lastname098@example.com?subject=Supply%20order%20ready%20for%20pickup&amp;body=Dear%20PSW%2C%0A%0AYour%20order%20is%20ready%20for%20pickup%20from%20Sample%20Branch%2C%20Wed-Fri%209am-4pm.</v>
      </c>
      <c r="AF1336" s="89" t="str">
        <f t="shared" si="233"/>
        <v>Draft email</v>
      </c>
      <c r="AG1336" s="64" t="str">
        <f>IF($C1336="","",IFERROR(INDEX('Staff Directory'!$K$595:$K$599,MATCH($C1336,'Staff Directory'!$B$5:$B$599,0)),$D1336))</f>
        <v>PSW</v>
      </c>
      <c r="AH1336" t="str">
        <f>IF($C1336="","",IFERROR(INDEX('Staff Directory'!$I$595:$I$599,MATCH($C1336,'Staff Directory'!$B$5:$B$599,0))&amp;" "&amp;INDEX('Staff Directory'!$J$595:$J$599,MATCH($C1336,'Staff Directory'!$B$5:$B$599,0)),$AG1336))</f>
        <v>PSW</v>
      </c>
      <c r="AI1336" s="102"/>
      <c r="AJ1336" s="101">
        <f>IF($F1336="","",SUMIFS($J$5:$J1336,$F$5:$F1336,$F1336))</f>
        <v>18400</v>
      </c>
      <c r="AK1336" s="101">
        <f t="shared" si="225"/>
        <v>18321</v>
      </c>
      <c r="AL1336" s="66" t="str" cm="1">
        <f t="array" ref="AL1336">IF($F1336="","",IFERROR(INDEX('Lot Balance'!$B$5:$B$500,MATCH(1,INDEX(('Lot Balance'!$A$5:$A$500=$F1336)*('Lot Balance'!$K$5:$K$500&lt;$AK1336)*('Lot Balance'!$K$5:$K$500+'Lot Balance'!$D$5:$D$500&gt;=$AK1336),0),0)),""))</f>
        <v>LYSL500290</v>
      </c>
      <c r="AM1336" s="66" t="str" cm="1">
        <f t="array" ref="AM1336">IF($F1336="","",IFERROR(INDEX('Lot Balance'!$B$5:$B$500,MATCH(1,INDEX(('Lot Balance'!$A$5:$A$500=$F1336)*('Lot Balance'!$K$5:$K$500&lt;$AJ1336)*('Lot Balance'!$K$5:$K$500+'Lot Balance'!$D$5:$D$500&gt;=$AJ1336),0),0)),""))</f>
        <v>LYSL500290</v>
      </c>
      <c r="AN1336" s="66" t="str">
        <f>IF($F1336="","",IF($AI1336&lt;&gt;"",IF(COUNTIFS('Lot Balance'!$A$5:$A$500,$F1336,'Lot Balance'!$B$5:$B$500,$AI1336)=0,"⚠ override is not a lot of this item",IF($AI1336=$AL1336,"Override = FEFO","Override - FEFO says "&amp;$AL1336)),IF($AL1336="","⚠ no receipt on file for this item",IF($AM1336&lt;&gt;$AL1336,"FEFO auto - split, also "&amp;$AM1336,"FEFO auto"))))</f>
        <v>FEFO auto</v>
      </c>
      <c r="AO1336" s="114"/>
    </row>
    <row r="1337" spans="1:41" x14ac:dyDescent="0.35">
      <c r="A1337" s="74">
        <v>46196</v>
      </c>
      <c r="B1337" s="18" t="str">
        <f>IF($C1337="","",IFERROR(INDEX('Staff Directory'!$A$5:$A$594,MATCH($C1337,'Staff Directory'!$B$5:$B$594,0)),"⚠ unknown staff"))</f>
        <v>PSW-039-A5</v>
      </c>
      <c r="C1337" s="49" t="s">
        <v>1014</v>
      </c>
      <c r="D1337" s="19" t="str">
        <f>IF($B1337="","",IFERROR(INDEX('Staff Directory'!$C$5:$C$594,MATCH($B1337,'Staff Directory'!$A$5:$A$594,0)),""))</f>
        <v>PSW</v>
      </c>
      <c r="E1337" s="19" t="str">
        <f>IF($B1337="","",IFERROR(INDEX('Staff Directory'!$D$5:$D$594,MATCH($B1337,'Staff Directory'!$A$5:$A$594,0)),""))</f>
        <v>A5</v>
      </c>
      <c r="F1337" s="9" t="s">
        <v>156</v>
      </c>
      <c r="G1337" s="18" t="str">
        <f>IF($F1337="","",IFERROR(INDEX(Items!$B$5:$B$597,MATCH($F1337,Items!$A$5:$A$597,0)),"⚠ not in Items"))</f>
        <v>Masks</v>
      </c>
      <c r="H1337" s="19" t="str">
        <f>IF($F1337="","",IFERROR(INDEX(Items!$C$5:$C$597,MATCH($F1337,Items!$A$5:$A$597,0)),""))</f>
        <v>One Size</v>
      </c>
      <c r="I1337" s="23">
        <f>IF($F1337="","",IFERROR(INDEX(Items!$E$5:$E$597,MATCH($F1337,Items!$A$5:$A$597,0)),""))</f>
        <v>50</v>
      </c>
      <c r="J1337" s="115">
        <f>IF(tblIssues[[#This Row],[Qty Override]]&lt;&gt;"",tblIssues[[#This Row],[Qty Override]],IF(tblIssues[[#This Row],[Standard Issue]]="","",tblIssues[[#This Row],[Standard Issue]]))</f>
        <v>50</v>
      </c>
      <c r="K1337" s="20">
        <f>IF($F1337="","",IFERROR(INDEX(Items!$D$5:$D$597,MATCH($F1337,Items!$A$5:$A$597,0)),""))</f>
        <v>0.25</v>
      </c>
      <c r="L1337" s="21">
        <f t="shared" si="228"/>
        <v>12.5</v>
      </c>
      <c r="M1337" s="9" t="str">
        <f t="shared" si="226"/>
        <v>24HA2050A7396</v>
      </c>
      <c r="N1337" s="24">
        <f>IF($A1337="","",WORKDAY($A1337,Settings!$C$9,HolidayDates))</f>
        <v>46204</v>
      </c>
      <c r="O1337" s="24">
        <f>IF($N1337="","",WORKDAY($N1337,Settings!$C$10,HolidayDates))</f>
        <v>46244</v>
      </c>
      <c r="P1337" s="10" t="s">
        <v>501</v>
      </c>
      <c r="Q1337" s="52" t="str">
        <f t="shared" si="229"/>
        <v>Collected</v>
      </c>
      <c r="R1337" s="55" t="str">
        <f t="shared" si="230"/>
        <v>2026-06</v>
      </c>
      <c r="S1337" s="55">
        <f>IF(OR($B1337="",$F1337="",$R1337=""),"",SUMIFS(tblIssues[Qty Issued],tblIssues[Staff ID],$B1337,tblIssues[Item Name],$F1337,tblIssues[Month],$R1337))</f>
        <v>50</v>
      </c>
      <c r="T1337" s="56">
        <f>IF($I1337="","",$I1337*Settings!$C$11)</f>
        <v>50</v>
      </c>
      <c r="U1337" s="57" t="str">
        <f t="shared" si="227"/>
        <v>OK</v>
      </c>
      <c r="V1337" s="55" t="str">
        <f t="shared" si="231"/>
        <v/>
      </c>
      <c r="W1337" s="55" t="str">
        <f>IF($V1337="","",IF(COUNTIF($V$5:$V1337,$V1337)=1,1,""))</f>
        <v/>
      </c>
      <c r="X1337" s="58" t="str">
        <f>IF($W1337="","",MAX($X$4:X1336)+1)</f>
        <v/>
      </c>
      <c r="Y1337" s="62"/>
      <c r="Z1337" s="62"/>
      <c r="AA1337" s="64" t="str">
        <f>IF($C1337="","",IFERROR(INDEX('Staff Directory'!$E$5:$E$594,MATCH($C1337,'Staff Directory'!$B$5:$B$594,0)),""))</f>
        <v>firstname098.lastname098@example.com</v>
      </c>
      <c r="AB1337" s="64" t="str">
        <f>IF($C1337="","",IF(ISNUMBER(SEARCH($D1337,Settings!$C$15)),"Pickup","Dispatch"))</f>
        <v>Pickup</v>
      </c>
      <c r="AC1337" s="64" t="str">
        <f t="shared" si="232"/>
        <v>Supply order ready for pickup</v>
      </c>
      <c r="AD1337" s="64" t="str">
        <f t="shared" si="223"/>
        <v>Dear PSW,
Your order is ready for pickup from Sample Branch, Wed-Fri 9am-4pm.</v>
      </c>
      <c r="AE1337" s="64" t="str">
        <f t="shared" si="224"/>
        <v>mailto:firstname098.lastname098@example.com?subject=Supply%20order%20ready%20for%20pickup&amp;body=Dear%20PSW%2C%0A%0AYour%20order%20is%20ready%20for%20pickup%20from%20Sample%20Branch%2C%20Wed-Fri%209am-4pm.</v>
      </c>
      <c r="AF1337" s="89" t="str">
        <f t="shared" si="233"/>
        <v>Draft email</v>
      </c>
      <c r="AG1337" s="64" t="str">
        <f>IF($C1337="","",IFERROR(INDEX('Staff Directory'!$K$595:$K$599,MATCH($C1337,'Staff Directory'!$B$5:$B$599,0)),$D1337))</f>
        <v>PSW</v>
      </c>
      <c r="AH1337" t="str">
        <f>IF($C1337="","",IFERROR(INDEX('Staff Directory'!$I$595:$I$599,MATCH($C1337,'Staff Directory'!$B$5:$B$599,0))&amp;" "&amp;INDEX('Staff Directory'!$J$595:$J$599,MATCH($C1337,'Staff Directory'!$B$5:$B$599,0)),$AG1337))</f>
        <v>PSW</v>
      </c>
      <c r="AI1337" s="102"/>
      <c r="AJ1337" s="101">
        <f>IF($F1337="","",SUMIFS($J$5:$J1337,$F$5:$F1337,$F1337))</f>
        <v>11400</v>
      </c>
      <c r="AK1337" s="101">
        <f t="shared" si="225"/>
        <v>11351</v>
      </c>
      <c r="AL1337" s="66" t="str" cm="1">
        <f t="array" ref="AL1337">IF($F1337="","",IFERROR(INDEX('Lot Balance'!$B$5:$B$500,MATCH(1,INDEX(('Lot Balance'!$A$5:$A$500=$F1337)*('Lot Balance'!$K$5:$K$500&lt;$AK1337)*('Lot Balance'!$K$5:$K$500+'Lot Balance'!$D$5:$D$500&gt;=$AK1337),0),0)),""))</f>
        <v>24HA2050A7396</v>
      </c>
      <c r="AM1337" s="66" t="str" cm="1">
        <f t="array" ref="AM1337">IF($F1337="","",IFERROR(INDEX('Lot Balance'!$B$5:$B$500,MATCH(1,INDEX(('Lot Balance'!$A$5:$A$500=$F1337)*('Lot Balance'!$K$5:$K$500&lt;$AJ1337)*('Lot Balance'!$K$5:$K$500+'Lot Balance'!$D$5:$D$500&gt;=$AJ1337),0),0)),""))</f>
        <v>24HA2050A7396</v>
      </c>
      <c r="AN1337" s="66" t="str">
        <f>IF($F1337="","",IF($AI1337&lt;&gt;"",IF(COUNTIFS('Lot Balance'!$A$5:$A$500,$F1337,'Lot Balance'!$B$5:$B$500,$AI1337)=0,"⚠ override is not a lot of this item",IF($AI1337=$AL1337,"Override = FEFO","Override - FEFO says "&amp;$AL1337)),IF($AL1337="","⚠ no receipt on file for this item",IF($AM1337&lt;&gt;$AL1337,"FEFO auto - split, also "&amp;$AM1337,"FEFO auto"))))</f>
        <v>FEFO auto</v>
      </c>
      <c r="AO1337" s="114"/>
    </row>
    <row r="1338" spans="1:41" x14ac:dyDescent="0.35">
      <c r="A1338" s="74">
        <v>46196</v>
      </c>
      <c r="B1338" s="18" t="str">
        <f>IF($C1338="","",IFERROR(INDEX('Staff Directory'!$A$5:$A$594,MATCH($C1338,'Staff Directory'!$B$5:$B$594,0)),"⚠ unknown staff"))</f>
        <v>PSW-139-A4</v>
      </c>
      <c r="C1338" s="49" t="s">
        <v>1118</v>
      </c>
      <c r="D1338" s="19" t="str">
        <f>IF($B1338="","",IFERROR(INDEX('Staff Directory'!$C$5:$C$594,MATCH($B1338,'Staff Directory'!$A$5:$A$594,0)),""))</f>
        <v>PSW</v>
      </c>
      <c r="E1338" s="19" t="str">
        <f>IF($B1338="","",IFERROR(INDEX('Staff Directory'!$D$5:$D$594,MATCH($B1338,'Staff Directory'!$A$5:$A$594,0)),""))</f>
        <v>A4</v>
      </c>
      <c r="F1338" s="9" t="s">
        <v>127</v>
      </c>
      <c r="G1338" s="18" t="str">
        <f>IF($F1338="","",IFERROR(INDEX(Items!$B$5:$B$597,MATCH($F1338,Items!$A$5:$A$597,0)),"⚠ not in Items"))</f>
        <v>Gloves</v>
      </c>
      <c r="H1338" s="19" t="str">
        <f>IF($F1338="","",IFERROR(INDEX(Items!$C$5:$C$597,MATCH($F1338,Items!$A$5:$A$597,0)),""))</f>
        <v>Medium</v>
      </c>
      <c r="I1338" s="23">
        <f>IF($F1338="","",IFERROR(INDEX(Items!$E$5:$E$597,MATCH($F1338,Items!$A$5:$A$597,0)),""))</f>
        <v>500</v>
      </c>
      <c r="J1338" s="115">
        <f>IF(tblIssues[[#This Row],[Qty Override]]&lt;&gt;"",tblIssues[[#This Row],[Qty Override]],IF(tblIssues[[#This Row],[Standard Issue]]="","",tblIssues[[#This Row],[Standard Issue]]))</f>
        <v>500</v>
      </c>
      <c r="K1338" s="20">
        <f>IF($F1338="","",IFERROR(INDEX(Items!$D$5:$D$597,MATCH($F1338,Items!$A$5:$A$597,0)),""))</f>
        <v>5.5E-2</v>
      </c>
      <c r="L1338" s="21">
        <f t="shared" si="228"/>
        <v>27.5</v>
      </c>
      <c r="M1338" s="9" t="str">
        <f t="shared" si="226"/>
        <v>ZIM510137962-1</v>
      </c>
      <c r="N1338" s="24">
        <f>IF($A1338="","",WORKDAY($A1338,Settings!$C$9,HolidayDates))</f>
        <v>46204</v>
      </c>
      <c r="O1338" s="24">
        <f>IF($N1338="","",WORKDAY($N1338,Settings!$C$10,HolidayDates))</f>
        <v>46244</v>
      </c>
      <c r="P1338" s="10" t="s">
        <v>501</v>
      </c>
      <c r="Q1338" s="52" t="str">
        <f t="shared" si="229"/>
        <v>Collected</v>
      </c>
      <c r="R1338" s="55" t="str">
        <f t="shared" si="230"/>
        <v>2026-06</v>
      </c>
      <c r="S1338" s="55">
        <f>IF(OR($B1338="",$F1338="",$R1338=""),"",SUMIFS(tblIssues[Qty Issued],tblIssues[Staff ID],$B1338,tblIssues[Item Name],$F1338,tblIssues[Month],$R1338))</f>
        <v>500</v>
      </c>
      <c r="T1338" s="56">
        <f>IF($I1338="","",$I1338*Settings!$C$11)</f>
        <v>500</v>
      </c>
      <c r="U1338" s="57" t="str">
        <f t="shared" si="227"/>
        <v>OK</v>
      </c>
      <c r="V1338" s="55" t="str">
        <f t="shared" si="231"/>
        <v/>
      </c>
      <c r="W1338" s="55" t="str">
        <f>IF($V1338="","",IF(COUNTIF($V$5:$V1338,$V1338)=1,1,""))</f>
        <v/>
      </c>
      <c r="X1338" s="58" t="str">
        <f>IF($W1338="","",MAX($X$4:X1337)+1)</f>
        <v/>
      </c>
      <c r="Y1338" s="62"/>
      <c r="Z1338" s="62"/>
      <c r="AA1338" s="64" t="str">
        <f>IF($C1338="","",IFERROR(INDEX('Staff Directory'!$E$5:$E$594,MATCH($C1338,'Staff Directory'!$B$5:$B$594,0)),""))</f>
        <v>firstname202.lastname202@example.com</v>
      </c>
      <c r="AB1338" s="64" t="str">
        <f>IF($C1338="","",IF(ISNUMBER(SEARCH($D1338,Settings!$C$15)),"Pickup","Dispatch"))</f>
        <v>Pickup</v>
      </c>
      <c r="AC1338" s="64" t="str">
        <f t="shared" si="232"/>
        <v>Supply order ready for pickup</v>
      </c>
      <c r="AD1338" s="64" t="str">
        <f t="shared" si="223"/>
        <v>Dear PSW,
Your order is ready for pickup from Sample Branch, Wed-Fri 9am-4pm.</v>
      </c>
      <c r="AE1338" s="64" t="str">
        <f t="shared" si="224"/>
        <v>mailto:firstname202.lastname202@example.com?subject=Supply%20order%20ready%20for%20pickup&amp;body=Dear%20PSW%2C%0A%0AYour%20order%20is%20ready%20for%20pickup%20from%20Sample%20Branch%2C%20Wed-Fri%209am-4pm.</v>
      </c>
      <c r="AF1338" s="89" t="str">
        <f t="shared" si="233"/>
        <v>Draft email</v>
      </c>
      <c r="AG1338" s="64" t="str">
        <f>IF($C1338="","",IFERROR(INDEX('Staff Directory'!$K$595:$K$599,MATCH($C1338,'Staff Directory'!$B$5:$B$599,0)),$D1338))</f>
        <v>PSW</v>
      </c>
      <c r="AH1338" t="str">
        <f>IF($C1338="","",IFERROR(INDEX('Staff Directory'!$I$595:$I$599,MATCH($C1338,'Staff Directory'!$B$5:$B$599,0))&amp;" "&amp;INDEX('Staff Directory'!$J$595:$J$599,MATCH($C1338,'Staff Directory'!$B$5:$B$599,0)),$AG1338))</f>
        <v>PSW</v>
      </c>
      <c r="AI1338" s="102"/>
      <c r="AJ1338" s="101">
        <f>IF($F1338="","",SUMIFS($J$5:$J1338,$F$5:$F1338,$F1338))</f>
        <v>82500</v>
      </c>
      <c r="AK1338" s="101">
        <f t="shared" si="225"/>
        <v>82001</v>
      </c>
      <c r="AL1338" s="66" t="str" cm="1">
        <f t="array" ref="AL1338">IF($F1338="","",IFERROR(INDEX('Lot Balance'!$B$5:$B$500,MATCH(1,INDEX(('Lot Balance'!$A$5:$A$500=$F1338)*('Lot Balance'!$K$5:$K$500&lt;$AK1338)*('Lot Balance'!$K$5:$K$500+'Lot Balance'!$D$5:$D$500&gt;=$AK1338),0),0)),""))</f>
        <v>ZIM510137962-1</v>
      </c>
      <c r="AM1338" s="66" t="str" cm="1">
        <f t="array" ref="AM1338">IF($F1338="","",IFERROR(INDEX('Lot Balance'!$B$5:$B$500,MATCH(1,INDEX(('Lot Balance'!$A$5:$A$500=$F1338)*('Lot Balance'!$K$5:$K$500&lt;$AJ1338)*('Lot Balance'!$K$5:$K$500+'Lot Balance'!$D$5:$D$500&gt;=$AJ1338),0),0)),""))</f>
        <v>ZIM510137962-1</v>
      </c>
      <c r="AN1338" s="66" t="str">
        <f>IF($F1338="","",IF($AI1338&lt;&gt;"",IF(COUNTIFS('Lot Balance'!$A$5:$A$500,$F1338,'Lot Balance'!$B$5:$B$500,$AI1338)=0,"⚠ override is not a lot of this item",IF($AI1338=$AL1338,"Override = FEFO","Override - FEFO says "&amp;$AL1338)),IF($AL1338="","⚠ no receipt on file for this item",IF($AM1338&lt;&gt;$AL1338,"FEFO auto - split, also "&amp;$AM1338,"FEFO auto"))))</f>
        <v>FEFO auto</v>
      </c>
      <c r="AO1338" s="114"/>
    </row>
    <row r="1339" spans="1:41" x14ac:dyDescent="0.35">
      <c r="A1339" s="74">
        <v>46196</v>
      </c>
      <c r="B1339" s="18" t="str">
        <f>IF($C1339="","",IFERROR(INDEX('Staff Directory'!$A$5:$A$594,MATCH($C1339,'Staff Directory'!$B$5:$B$594,0)),"⚠ unknown staff"))</f>
        <v>PSW-139-A4</v>
      </c>
      <c r="C1339" s="49" t="s">
        <v>1118</v>
      </c>
      <c r="D1339" s="19" t="str">
        <f>IF($B1339="","",IFERROR(INDEX('Staff Directory'!$C$5:$C$594,MATCH($B1339,'Staff Directory'!$A$5:$A$594,0)),""))</f>
        <v>PSW</v>
      </c>
      <c r="E1339" s="19" t="str">
        <f>IF($B1339="","",IFERROR(INDEX('Staff Directory'!$D$5:$D$594,MATCH($B1339,'Staff Directory'!$A$5:$A$594,0)),""))</f>
        <v>A4</v>
      </c>
      <c r="F1339" s="9" t="s">
        <v>191</v>
      </c>
      <c r="G1339" s="18" t="str">
        <f>IF($F1339="","",IFERROR(INDEX(Items!$B$5:$B$597,MATCH($F1339,Items!$A$5:$A$597,0)),"⚠ not in Items"))</f>
        <v>Sanitizer</v>
      </c>
      <c r="H1339" s="19" t="str">
        <f>IF($F1339="","",IFERROR(INDEX(Items!$C$5:$C$597,MATCH($F1339,Items!$A$5:$A$597,0)),""))</f>
        <v>236 ML</v>
      </c>
      <c r="I1339" s="23">
        <f>IF($F1339="","",IFERROR(INDEX(Items!$E$5:$E$597,MATCH($F1339,Items!$A$5:$A$597,0)),""))</f>
        <v>1</v>
      </c>
      <c r="J1339" s="115">
        <f>IF(tblIssues[[#This Row],[Qty Override]]&lt;&gt;"",tblIssues[[#This Row],[Qty Override]],IF(tblIssues[[#This Row],[Standard Issue]]="","",tblIssues[[#This Row],[Standard Issue]]))</f>
        <v>1</v>
      </c>
      <c r="K1339" s="20">
        <f>IF($F1339="","",IFERROR(INDEX(Items!$D$5:$D$597,MATCH($F1339,Items!$A$5:$A$597,0)),""))</f>
        <v>1E-4</v>
      </c>
      <c r="L1339" s="21">
        <f t="shared" si="228"/>
        <v>1E-4</v>
      </c>
      <c r="M1339" s="9" t="str">
        <f t="shared" si="226"/>
        <v/>
      </c>
      <c r="N1339" s="24">
        <f>IF($A1339="","",WORKDAY($A1339,Settings!$C$9,HolidayDates))</f>
        <v>46204</v>
      </c>
      <c r="O1339" s="24">
        <f>IF($N1339="","",WORKDAY($N1339,Settings!$C$10,HolidayDates))</f>
        <v>46244</v>
      </c>
      <c r="P1339" s="10" t="s">
        <v>501</v>
      </c>
      <c r="Q1339" s="52" t="str">
        <f t="shared" si="229"/>
        <v>Collected</v>
      </c>
      <c r="R1339" s="55" t="str">
        <f t="shared" si="230"/>
        <v>2026-06</v>
      </c>
      <c r="S1339" s="55">
        <f>IF(OR($B1339="",$F1339="",$R1339=""),"",SUMIFS(tblIssues[Qty Issued],tblIssues[Staff ID],$B1339,tblIssues[Item Name],$F1339,tblIssues[Month],$R1339))</f>
        <v>2</v>
      </c>
      <c r="T1339" s="56">
        <f>IF($I1339="","",$I1339*Settings!$C$11)</f>
        <v>1</v>
      </c>
      <c r="U1339" s="57" t="str">
        <f t="shared" si="227"/>
        <v>⚠ OVER QUOTA</v>
      </c>
      <c r="V1339" s="55" t="str">
        <f t="shared" si="231"/>
        <v>PSW-139-A4 | Hand Sanitizer OS | 2026-06</v>
      </c>
      <c r="W1339" s="55" t="str">
        <f>IF($V1339="","",IF(COUNTIF($V$5:$V1339,$V1339)=1,1,""))</f>
        <v/>
      </c>
      <c r="X1339" s="58" t="str">
        <f>IF($W1339="","",MAX($X$4:X1338)+1)</f>
        <v/>
      </c>
      <c r="Y1339" s="62"/>
      <c r="Z1339" s="62"/>
      <c r="AA1339" s="64" t="str">
        <f>IF($C1339="","",IFERROR(INDEX('Staff Directory'!$E$5:$E$594,MATCH($C1339,'Staff Directory'!$B$5:$B$594,0)),""))</f>
        <v>firstname202.lastname202@example.com</v>
      </c>
      <c r="AB1339" s="64" t="str">
        <f>IF($C1339="","",IF(ISNUMBER(SEARCH($D1339,Settings!$C$15)),"Pickup","Dispatch"))</f>
        <v>Pickup</v>
      </c>
      <c r="AC1339" s="64" t="str">
        <f t="shared" si="232"/>
        <v>Supply order ready for pickup</v>
      </c>
      <c r="AD1339" s="64" t="str">
        <f t="shared" si="223"/>
        <v>Dear PSW,
Your order is ready for pickup from Sample Branch, Wed-Fri 9am-4pm.</v>
      </c>
      <c r="AE1339" s="64" t="str">
        <f t="shared" si="224"/>
        <v>mailto:firstname202.lastname202@example.com?subject=Supply%20order%20ready%20for%20pickup&amp;body=Dear%20PSW%2C%0A%0AYour%20order%20is%20ready%20for%20pickup%20from%20Sample%20Branch%2C%20Wed-Fri%209am-4pm.</v>
      </c>
      <c r="AF1339" s="89" t="str">
        <f t="shared" si="233"/>
        <v>Draft email</v>
      </c>
      <c r="AG1339" s="64" t="str">
        <f>IF($C1339="","",IFERROR(INDEX('Staff Directory'!$K$595:$K$599,MATCH($C1339,'Staff Directory'!$B$5:$B$599,0)),$D1339))</f>
        <v>PSW</v>
      </c>
      <c r="AH1339" t="str">
        <f>IF($C1339="","",IFERROR(INDEX('Staff Directory'!$I$595:$I$599,MATCH($C1339,'Staff Directory'!$B$5:$B$599,0))&amp;" "&amp;INDEX('Staff Directory'!$J$595:$J$599,MATCH($C1339,'Staff Directory'!$B$5:$B$599,0)),$AG1339))</f>
        <v>PSW</v>
      </c>
      <c r="AI1339" s="102"/>
      <c r="AJ1339" s="101">
        <f>IF($F1339="","",SUMIFS($J$5:$J1339,$F$5:$F1339,$F1339))</f>
        <v>179</v>
      </c>
      <c r="AK1339" s="101">
        <f t="shared" si="225"/>
        <v>179</v>
      </c>
      <c r="AL1339" s="66" t="str" cm="1">
        <f t="array" ref="AL1339">IF($F1339="","",IFERROR(INDEX('Lot Balance'!$B$5:$B$500,MATCH(1,INDEX(('Lot Balance'!$A$5:$A$500=$F1339)*('Lot Balance'!$K$5:$K$500&lt;$AK1339)*('Lot Balance'!$K$5:$K$500+'Lot Balance'!$D$5:$D$500&gt;=$AK1339),0),0)),""))</f>
        <v/>
      </c>
      <c r="AM1339" s="66" t="str" cm="1">
        <f t="array" ref="AM1339">IF($F1339="","",IFERROR(INDEX('Lot Balance'!$B$5:$B$500,MATCH(1,INDEX(('Lot Balance'!$A$5:$A$500=$F1339)*('Lot Balance'!$K$5:$K$500&lt;$AJ1339)*('Lot Balance'!$K$5:$K$500+'Lot Balance'!$D$5:$D$500&gt;=$AJ1339),0),0)),""))</f>
        <v/>
      </c>
      <c r="AN1339" s="66" t="str">
        <f>IF($F1339="","",IF($AI1339&lt;&gt;"",IF(COUNTIFS('Lot Balance'!$A$5:$A$500,$F1339,'Lot Balance'!$B$5:$B$500,$AI1339)=0,"⚠ override is not a lot of this item",IF($AI1339=$AL1339,"Override = FEFO","Override - FEFO says "&amp;$AL1339)),IF($AL1339="","⚠ no receipt on file for this item",IF($AM1339&lt;&gt;$AL1339,"FEFO auto - split, also "&amp;$AM1339,"FEFO auto"))))</f>
        <v>⚠ no receipt on file for this item</v>
      </c>
      <c r="AO1339" s="114"/>
    </row>
    <row r="1340" spans="1:41" x14ac:dyDescent="0.35">
      <c r="A1340" s="74">
        <v>46196</v>
      </c>
      <c r="B1340" s="18" t="str">
        <f>IF($C1340="","",IFERROR(INDEX('Staff Directory'!$A$5:$A$594,MATCH($C1340,'Staff Directory'!$B$5:$B$594,0)),"⚠ unknown staff"))</f>
        <v>PSW-139-A4</v>
      </c>
      <c r="C1340" s="49" t="s">
        <v>1118</v>
      </c>
      <c r="D1340" s="19" t="str">
        <f>IF($B1340="","",IFERROR(INDEX('Staff Directory'!$C$5:$C$594,MATCH($B1340,'Staff Directory'!$A$5:$A$594,0)),""))</f>
        <v>PSW</v>
      </c>
      <c r="E1340" s="19" t="str">
        <f>IF($B1340="","",IFERROR(INDEX('Staff Directory'!$D$5:$D$594,MATCH($B1340,'Staff Directory'!$A$5:$A$594,0)),""))</f>
        <v>A4</v>
      </c>
      <c r="F1340" s="9" t="s">
        <v>115</v>
      </c>
      <c r="G1340" s="18" t="str">
        <f>IF($F1340="","",IFERROR(INDEX(Items!$B$5:$B$597,MATCH($F1340,Items!$A$5:$A$597,0)),"⚠ not in Items"))</f>
        <v>Wipes</v>
      </c>
      <c r="H1340" s="19">
        <f>IF($F1340="","",IFERROR(INDEX(Items!$C$5:$C$597,MATCH($F1340,Items!$A$5:$A$597,0)),""))</f>
        <v>80</v>
      </c>
      <c r="I1340" s="23">
        <f>IF($F1340="","",IFERROR(INDEX(Items!$E$5:$E$597,MATCH($F1340,Items!$A$5:$A$597,0)),""))</f>
        <v>80</v>
      </c>
      <c r="J1340" s="115">
        <f>IF(tblIssues[[#This Row],[Qty Override]]&lt;&gt;"",tblIssues[[#This Row],[Qty Override]],IF(tblIssues[[#This Row],[Standard Issue]]="","",tblIssues[[#This Row],[Standard Issue]]))</f>
        <v>80</v>
      </c>
      <c r="K1340" s="20">
        <f>IF($F1340="","",IFERROR(INDEX(Items!$D$5:$D$597,MATCH($F1340,Items!$A$5:$A$597,0)),""))</f>
        <v>0.1</v>
      </c>
      <c r="L1340" s="21">
        <f t="shared" si="228"/>
        <v>8</v>
      </c>
      <c r="M1340" s="9" t="str">
        <f t="shared" si="226"/>
        <v>LYSL500290</v>
      </c>
      <c r="N1340" s="24">
        <f>IF($A1340="","",WORKDAY($A1340,Settings!$C$9,HolidayDates))</f>
        <v>46204</v>
      </c>
      <c r="O1340" s="24">
        <f>IF($N1340="","",WORKDAY($N1340,Settings!$C$10,HolidayDates))</f>
        <v>46244</v>
      </c>
      <c r="P1340" s="10" t="s">
        <v>501</v>
      </c>
      <c r="Q1340" s="52" t="str">
        <f t="shared" si="229"/>
        <v>Collected</v>
      </c>
      <c r="R1340" s="55" t="str">
        <f t="shared" si="230"/>
        <v>2026-06</v>
      </c>
      <c r="S1340" s="55">
        <f>IF(OR($B1340="",$F1340="",$R1340=""),"",SUMIFS(tblIssues[Qty Issued],tblIssues[Staff ID],$B1340,tblIssues[Item Name],$F1340,tblIssues[Month],$R1340))</f>
        <v>80</v>
      </c>
      <c r="T1340" s="56">
        <f>IF($I1340="","",$I1340*Settings!$C$11)</f>
        <v>80</v>
      </c>
      <c r="U1340" s="57" t="str">
        <f t="shared" si="227"/>
        <v>OK</v>
      </c>
      <c r="V1340" s="55" t="str">
        <f t="shared" si="231"/>
        <v/>
      </c>
      <c r="W1340" s="55" t="str">
        <f>IF($V1340="","",IF(COUNTIF($V$5:$V1340,$V1340)=1,1,""))</f>
        <v/>
      </c>
      <c r="X1340" s="58" t="str">
        <f>IF($W1340="","",MAX($X$4:X1339)+1)</f>
        <v/>
      </c>
      <c r="Y1340" s="62"/>
      <c r="Z1340" s="62"/>
      <c r="AA1340" s="64" t="str">
        <f>IF($C1340="","",IFERROR(INDEX('Staff Directory'!$E$5:$E$594,MATCH($C1340,'Staff Directory'!$B$5:$B$594,0)),""))</f>
        <v>firstname202.lastname202@example.com</v>
      </c>
      <c r="AB1340" s="64" t="str">
        <f>IF($C1340="","",IF(ISNUMBER(SEARCH($D1340,Settings!$C$15)),"Pickup","Dispatch"))</f>
        <v>Pickup</v>
      </c>
      <c r="AC1340" s="64" t="str">
        <f t="shared" si="232"/>
        <v>Supply order ready for pickup</v>
      </c>
      <c r="AD1340" s="64" t="str">
        <f t="shared" si="223"/>
        <v>Dear PSW,
Your order is ready for pickup from Sample Branch, Wed-Fri 9am-4pm.</v>
      </c>
      <c r="AE1340" s="64" t="str">
        <f t="shared" si="224"/>
        <v>mailto:firstname202.lastname202@example.com?subject=Supply%20order%20ready%20for%20pickup&amp;body=Dear%20PSW%2C%0A%0AYour%20order%20is%20ready%20for%20pickup%20from%20Sample%20Branch%2C%20Wed-Fri%209am-4pm.</v>
      </c>
      <c r="AF1340" s="89" t="str">
        <f t="shared" si="233"/>
        <v>Draft email</v>
      </c>
      <c r="AG1340" s="64" t="str">
        <f>IF($C1340="","",IFERROR(INDEX('Staff Directory'!$K$595:$K$599,MATCH($C1340,'Staff Directory'!$B$5:$B$599,0)),$D1340))</f>
        <v>PSW</v>
      </c>
      <c r="AH1340" t="str">
        <f>IF($C1340="","",IFERROR(INDEX('Staff Directory'!$I$595:$I$599,MATCH($C1340,'Staff Directory'!$B$5:$B$599,0))&amp;" "&amp;INDEX('Staff Directory'!$J$595:$J$599,MATCH($C1340,'Staff Directory'!$B$5:$B$599,0)),$AG1340))</f>
        <v>PSW</v>
      </c>
      <c r="AI1340" s="102"/>
      <c r="AJ1340" s="101">
        <f>IF($F1340="","",SUMIFS($J$5:$J1340,$F$5:$F1340,$F1340))</f>
        <v>18480</v>
      </c>
      <c r="AK1340" s="101">
        <f t="shared" si="225"/>
        <v>18401</v>
      </c>
      <c r="AL1340" s="66" t="str" cm="1">
        <f t="array" ref="AL1340">IF($F1340="","",IFERROR(INDEX('Lot Balance'!$B$5:$B$500,MATCH(1,INDEX(('Lot Balance'!$A$5:$A$500=$F1340)*('Lot Balance'!$K$5:$K$500&lt;$AK1340)*('Lot Balance'!$K$5:$K$500+'Lot Balance'!$D$5:$D$500&gt;=$AK1340),0),0)),""))</f>
        <v>LYSL500290</v>
      </c>
      <c r="AM1340" s="66" t="str" cm="1">
        <f t="array" ref="AM1340">IF($F1340="","",IFERROR(INDEX('Lot Balance'!$B$5:$B$500,MATCH(1,INDEX(('Lot Balance'!$A$5:$A$500=$F1340)*('Lot Balance'!$K$5:$K$500&lt;$AJ1340)*('Lot Balance'!$K$5:$K$500+'Lot Balance'!$D$5:$D$500&gt;=$AJ1340),0),0)),""))</f>
        <v>LYSL500290</v>
      </c>
      <c r="AN1340" s="66" t="str">
        <f>IF($F1340="","",IF($AI1340&lt;&gt;"",IF(COUNTIFS('Lot Balance'!$A$5:$A$500,$F1340,'Lot Balance'!$B$5:$B$500,$AI1340)=0,"⚠ override is not a lot of this item",IF($AI1340=$AL1340,"Override = FEFO","Override - FEFO says "&amp;$AL1340)),IF($AL1340="","⚠ no receipt on file for this item",IF($AM1340&lt;&gt;$AL1340,"FEFO auto - split, also "&amp;$AM1340,"FEFO auto"))))</f>
        <v>FEFO auto</v>
      </c>
      <c r="AO1340" s="114"/>
    </row>
    <row r="1341" spans="1:41" x14ac:dyDescent="0.35">
      <c r="A1341" s="74">
        <v>46196</v>
      </c>
      <c r="B1341" s="18" t="str">
        <f>IF($C1341="","",IFERROR(INDEX('Staff Directory'!$A$5:$A$594,MATCH($C1341,'Staff Directory'!$B$5:$B$594,0)),"⚠ unknown staff"))</f>
        <v>PSW-139-A4</v>
      </c>
      <c r="C1341" s="49" t="s">
        <v>1118</v>
      </c>
      <c r="D1341" s="19" t="str">
        <f>IF($B1341="","",IFERROR(INDEX('Staff Directory'!$C$5:$C$594,MATCH($B1341,'Staff Directory'!$A$5:$A$594,0)),""))</f>
        <v>PSW</v>
      </c>
      <c r="E1341" s="19" t="str">
        <f>IF($B1341="","",IFERROR(INDEX('Staff Directory'!$D$5:$D$594,MATCH($B1341,'Staff Directory'!$A$5:$A$594,0)),""))</f>
        <v>A4</v>
      </c>
      <c r="F1341" s="9" t="s">
        <v>156</v>
      </c>
      <c r="G1341" s="18" t="str">
        <f>IF($F1341="","",IFERROR(INDEX(Items!$B$5:$B$597,MATCH($F1341,Items!$A$5:$A$597,0)),"⚠ not in Items"))</f>
        <v>Masks</v>
      </c>
      <c r="H1341" s="19" t="str">
        <f>IF($F1341="","",IFERROR(INDEX(Items!$C$5:$C$597,MATCH($F1341,Items!$A$5:$A$597,0)),""))</f>
        <v>One Size</v>
      </c>
      <c r="I1341" s="23">
        <f>IF($F1341="","",IFERROR(INDEX(Items!$E$5:$E$597,MATCH($F1341,Items!$A$5:$A$597,0)),""))</f>
        <v>50</v>
      </c>
      <c r="J1341" s="115">
        <f>IF(tblIssues[[#This Row],[Qty Override]]&lt;&gt;"",tblIssues[[#This Row],[Qty Override]],IF(tblIssues[[#This Row],[Standard Issue]]="","",tblIssues[[#This Row],[Standard Issue]]))</f>
        <v>50</v>
      </c>
      <c r="K1341" s="20">
        <f>IF($F1341="","",IFERROR(INDEX(Items!$D$5:$D$597,MATCH($F1341,Items!$A$5:$A$597,0)),""))</f>
        <v>0.25</v>
      </c>
      <c r="L1341" s="21">
        <f t="shared" si="228"/>
        <v>12.5</v>
      </c>
      <c r="M1341" s="9" t="str">
        <f t="shared" si="226"/>
        <v>24HA2050A7396</v>
      </c>
      <c r="N1341" s="24">
        <f>IF($A1341="","",WORKDAY($A1341,Settings!$C$9,HolidayDates))</f>
        <v>46204</v>
      </c>
      <c r="O1341" s="24">
        <f>IF($N1341="","",WORKDAY($N1341,Settings!$C$10,HolidayDates))</f>
        <v>46244</v>
      </c>
      <c r="P1341" s="10" t="s">
        <v>501</v>
      </c>
      <c r="Q1341" s="52" t="str">
        <f t="shared" si="229"/>
        <v>Collected</v>
      </c>
      <c r="R1341" s="55" t="str">
        <f t="shared" si="230"/>
        <v>2026-06</v>
      </c>
      <c r="S1341" s="55">
        <f>IF(OR($B1341="",$F1341="",$R1341=""),"",SUMIFS(tblIssues[Qty Issued],tblIssues[Staff ID],$B1341,tblIssues[Item Name],$F1341,tblIssues[Month],$R1341))</f>
        <v>50</v>
      </c>
      <c r="T1341" s="56">
        <f>IF($I1341="","",$I1341*Settings!$C$11)</f>
        <v>50</v>
      </c>
      <c r="U1341" s="57" t="str">
        <f t="shared" si="227"/>
        <v>OK</v>
      </c>
      <c r="V1341" s="55" t="str">
        <f t="shared" si="231"/>
        <v/>
      </c>
      <c r="W1341" s="55" t="str">
        <f>IF($V1341="","",IF(COUNTIF($V$5:$V1341,$V1341)=1,1,""))</f>
        <v/>
      </c>
      <c r="X1341" s="58" t="str">
        <f>IF($W1341="","",MAX($X$4:X1340)+1)</f>
        <v/>
      </c>
      <c r="Y1341" s="62"/>
      <c r="Z1341" s="62"/>
      <c r="AA1341" s="64" t="str">
        <f>IF($C1341="","",IFERROR(INDEX('Staff Directory'!$E$5:$E$594,MATCH($C1341,'Staff Directory'!$B$5:$B$594,0)),""))</f>
        <v>firstname202.lastname202@example.com</v>
      </c>
      <c r="AB1341" s="64" t="str">
        <f>IF($C1341="","",IF(ISNUMBER(SEARCH($D1341,Settings!$C$15)),"Pickup","Dispatch"))</f>
        <v>Pickup</v>
      </c>
      <c r="AC1341" s="64" t="str">
        <f t="shared" si="232"/>
        <v>Supply order ready for pickup</v>
      </c>
      <c r="AD1341" s="64" t="str">
        <f t="shared" si="223"/>
        <v>Dear PSW,
Your order is ready for pickup from Sample Branch, Wed-Fri 9am-4pm.</v>
      </c>
      <c r="AE1341" s="64" t="str">
        <f t="shared" si="224"/>
        <v>mailto:firstname202.lastname202@example.com?subject=Supply%20order%20ready%20for%20pickup&amp;body=Dear%20PSW%2C%0A%0AYour%20order%20is%20ready%20for%20pickup%20from%20Sample%20Branch%2C%20Wed-Fri%209am-4pm.</v>
      </c>
      <c r="AF1341" s="89" t="str">
        <f t="shared" si="233"/>
        <v>Draft email</v>
      </c>
      <c r="AG1341" s="64" t="str">
        <f>IF($C1341="","",IFERROR(INDEX('Staff Directory'!$K$595:$K$599,MATCH($C1341,'Staff Directory'!$B$5:$B$599,0)),$D1341))</f>
        <v>PSW</v>
      </c>
      <c r="AH1341" t="str">
        <f>IF($C1341="","",IFERROR(INDEX('Staff Directory'!$I$595:$I$599,MATCH($C1341,'Staff Directory'!$B$5:$B$599,0))&amp;" "&amp;INDEX('Staff Directory'!$J$595:$J$599,MATCH($C1341,'Staff Directory'!$B$5:$B$599,0)),$AG1341))</f>
        <v>PSW</v>
      </c>
      <c r="AI1341" s="102"/>
      <c r="AJ1341" s="101">
        <f>IF($F1341="","",SUMIFS($J$5:$J1341,$F$5:$F1341,$F1341))</f>
        <v>11450</v>
      </c>
      <c r="AK1341" s="101">
        <f t="shared" si="225"/>
        <v>11401</v>
      </c>
      <c r="AL1341" s="66" t="str" cm="1">
        <f t="array" ref="AL1341">IF($F1341="","",IFERROR(INDEX('Lot Balance'!$B$5:$B$500,MATCH(1,INDEX(('Lot Balance'!$A$5:$A$500=$F1341)*('Lot Balance'!$K$5:$K$500&lt;$AK1341)*('Lot Balance'!$K$5:$K$500+'Lot Balance'!$D$5:$D$500&gt;=$AK1341),0),0)),""))</f>
        <v>24HA2050A7396</v>
      </c>
      <c r="AM1341" s="66" t="str" cm="1">
        <f t="array" ref="AM1341">IF($F1341="","",IFERROR(INDEX('Lot Balance'!$B$5:$B$500,MATCH(1,INDEX(('Lot Balance'!$A$5:$A$500=$F1341)*('Lot Balance'!$K$5:$K$500&lt;$AJ1341)*('Lot Balance'!$K$5:$K$500+'Lot Balance'!$D$5:$D$500&gt;=$AJ1341),0),0)),""))</f>
        <v>24HA2050A7396</v>
      </c>
      <c r="AN1341" s="66" t="str">
        <f>IF($F1341="","",IF($AI1341&lt;&gt;"",IF(COUNTIFS('Lot Balance'!$A$5:$A$500,$F1341,'Lot Balance'!$B$5:$B$500,$AI1341)=0,"⚠ override is not a lot of this item",IF($AI1341=$AL1341,"Override = FEFO","Override - FEFO says "&amp;$AL1341)),IF($AL1341="","⚠ no receipt on file for this item",IF($AM1341&lt;&gt;$AL1341,"FEFO auto - split, also "&amp;$AM1341,"FEFO auto"))))</f>
        <v>FEFO auto</v>
      </c>
      <c r="AO1341" s="114"/>
    </row>
    <row r="1342" spans="1:41" x14ac:dyDescent="0.35">
      <c r="A1342" s="74">
        <v>46196</v>
      </c>
      <c r="B1342" s="18" t="str">
        <f>IF($C1342="","",IFERROR(INDEX('Staff Directory'!$A$5:$A$594,MATCH($C1342,'Staff Directory'!$B$5:$B$594,0)),"⚠ unknown staff"))</f>
        <v>PSW-024-A4</v>
      </c>
      <c r="C1342" s="49" t="s">
        <v>1000</v>
      </c>
      <c r="D1342" s="19" t="str">
        <f>IF($B1342="","",IFERROR(INDEX('Staff Directory'!$C$5:$C$594,MATCH($B1342,'Staff Directory'!$A$5:$A$594,0)),""))</f>
        <v>PSW</v>
      </c>
      <c r="E1342" s="19" t="str">
        <f>IF($B1342="","",IFERROR(INDEX('Staff Directory'!$D$5:$D$594,MATCH($B1342,'Staff Directory'!$A$5:$A$594,0)),""))</f>
        <v>A4</v>
      </c>
      <c r="F1342" s="9" t="s">
        <v>127</v>
      </c>
      <c r="G1342" s="18" t="str">
        <f>IF($F1342="","",IFERROR(INDEX(Items!$B$5:$B$597,MATCH($F1342,Items!$A$5:$A$597,0)),"⚠ not in Items"))</f>
        <v>Gloves</v>
      </c>
      <c r="H1342" s="19" t="str">
        <f>IF($F1342="","",IFERROR(INDEX(Items!$C$5:$C$597,MATCH($F1342,Items!$A$5:$A$597,0)),""))</f>
        <v>Medium</v>
      </c>
      <c r="I1342" s="23">
        <f>IF($F1342="","",IFERROR(INDEX(Items!$E$5:$E$597,MATCH($F1342,Items!$A$5:$A$597,0)),""))</f>
        <v>500</v>
      </c>
      <c r="J1342" s="115">
        <f>IF(tblIssues[[#This Row],[Qty Override]]&lt;&gt;"",tblIssues[[#This Row],[Qty Override]],IF(tblIssues[[#This Row],[Standard Issue]]="","",tblIssues[[#This Row],[Standard Issue]]))</f>
        <v>500</v>
      </c>
      <c r="K1342" s="20">
        <f>IF($F1342="","",IFERROR(INDEX(Items!$D$5:$D$597,MATCH($F1342,Items!$A$5:$A$597,0)),""))</f>
        <v>5.5E-2</v>
      </c>
      <c r="L1342" s="21">
        <f t="shared" si="228"/>
        <v>27.5</v>
      </c>
      <c r="M1342" s="9" t="str">
        <f t="shared" si="226"/>
        <v>ZIM510137962-1</v>
      </c>
      <c r="N1342" s="24">
        <f>IF($A1342="","",WORKDAY($A1342,Settings!$C$9,HolidayDates))</f>
        <v>46204</v>
      </c>
      <c r="O1342" s="24">
        <f>IF($N1342="","",WORKDAY($N1342,Settings!$C$10,HolidayDates))</f>
        <v>46244</v>
      </c>
      <c r="P1342" s="10" t="s">
        <v>501</v>
      </c>
      <c r="Q1342" s="52" t="str">
        <f t="shared" si="229"/>
        <v>Collected</v>
      </c>
      <c r="R1342" s="55" t="str">
        <f t="shared" si="230"/>
        <v>2026-06</v>
      </c>
      <c r="S1342" s="55">
        <f>IF(OR($B1342="",$F1342="",$R1342=""),"",SUMIFS(tblIssues[Qty Issued],tblIssues[Staff ID],$B1342,tblIssues[Item Name],$F1342,tblIssues[Month],$R1342))</f>
        <v>500</v>
      </c>
      <c r="T1342" s="56">
        <f>IF($I1342="","",$I1342*Settings!$C$11)</f>
        <v>500</v>
      </c>
      <c r="U1342" s="57" t="str">
        <f t="shared" si="227"/>
        <v>OK</v>
      </c>
      <c r="V1342" s="55" t="str">
        <f t="shared" si="231"/>
        <v/>
      </c>
      <c r="W1342" s="55" t="str">
        <f>IF($V1342="","",IF(COUNTIF($V$5:$V1342,$V1342)=1,1,""))</f>
        <v/>
      </c>
      <c r="X1342" s="58" t="str">
        <f>IF($W1342="","",MAX($X$4:X1341)+1)</f>
        <v/>
      </c>
      <c r="Y1342" s="62"/>
      <c r="Z1342" s="62"/>
      <c r="AA1342" s="64" t="str">
        <f>IF($C1342="","",IFERROR(INDEX('Staff Directory'!$E$5:$E$594,MATCH($C1342,'Staff Directory'!$B$5:$B$594,0)),""))</f>
        <v>firstname084.lastname084@example.com</v>
      </c>
      <c r="AB1342" s="64" t="str">
        <f>IF($C1342="","",IF(ISNUMBER(SEARCH($D1342,Settings!$C$15)),"Pickup","Dispatch"))</f>
        <v>Pickup</v>
      </c>
      <c r="AC1342" s="64" t="str">
        <f t="shared" si="232"/>
        <v>Supply order ready for pickup</v>
      </c>
      <c r="AD1342" s="64" t="str">
        <f t="shared" si="223"/>
        <v>Dear PSW,
Your order is ready for pickup from Sample Branch, Wed-Fri 9am-4pm.</v>
      </c>
      <c r="AE1342" s="64" t="str">
        <f t="shared" si="224"/>
        <v>mailto:firstname084.lastname084@example.com?subject=Supply%20order%20ready%20for%20pickup&amp;body=Dear%20PSW%2C%0A%0AYour%20order%20is%20ready%20for%20pickup%20from%20Sample%20Branch%2C%20Wed-Fri%209am-4pm.</v>
      </c>
      <c r="AF1342" s="89" t="str">
        <f t="shared" si="233"/>
        <v>Draft email</v>
      </c>
      <c r="AG1342" s="64" t="str">
        <f>IF($C1342="","",IFERROR(INDEX('Staff Directory'!$K$595:$K$599,MATCH($C1342,'Staff Directory'!$B$5:$B$599,0)),$D1342))</f>
        <v>PSW</v>
      </c>
      <c r="AH1342" t="str">
        <f>IF($C1342="","",IFERROR(INDEX('Staff Directory'!$I$595:$I$599,MATCH($C1342,'Staff Directory'!$B$5:$B$599,0))&amp;" "&amp;INDEX('Staff Directory'!$J$595:$J$599,MATCH($C1342,'Staff Directory'!$B$5:$B$599,0)),$AG1342))</f>
        <v>PSW</v>
      </c>
      <c r="AI1342" s="102"/>
      <c r="AJ1342" s="101">
        <f>IF($F1342="","",SUMIFS($J$5:$J1342,$F$5:$F1342,$F1342))</f>
        <v>83000</v>
      </c>
      <c r="AK1342" s="101">
        <f t="shared" si="225"/>
        <v>82501</v>
      </c>
      <c r="AL1342" s="66" t="str" cm="1">
        <f t="array" ref="AL1342">IF($F1342="","",IFERROR(INDEX('Lot Balance'!$B$5:$B$500,MATCH(1,INDEX(('Lot Balance'!$A$5:$A$500=$F1342)*('Lot Balance'!$K$5:$K$500&lt;$AK1342)*('Lot Balance'!$K$5:$K$500+'Lot Balance'!$D$5:$D$500&gt;=$AK1342),0),0)),""))</f>
        <v>ZIM510137962-1</v>
      </c>
      <c r="AM1342" s="66" t="str" cm="1">
        <f t="array" ref="AM1342">IF($F1342="","",IFERROR(INDEX('Lot Balance'!$B$5:$B$500,MATCH(1,INDEX(('Lot Balance'!$A$5:$A$500=$F1342)*('Lot Balance'!$K$5:$K$500&lt;$AJ1342)*('Lot Balance'!$K$5:$K$500+'Lot Balance'!$D$5:$D$500&gt;=$AJ1342),0),0)),""))</f>
        <v>ZIM510137962-1</v>
      </c>
      <c r="AN1342" s="66" t="str">
        <f>IF($F1342="","",IF($AI1342&lt;&gt;"",IF(COUNTIFS('Lot Balance'!$A$5:$A$500,$F1342,'Lot Balance'!$B$5:$B$500,$AI1342)=0,"⚠ override is not a lot of this item",IF($AI1342=$AL1342,"Override = FEFO","Override - FEFO says "&amp;$AL1342)),IF($AL1342="","⚠ no receipt on file for this item",IF($AM1342&lt;&gt;$AL1342,"FEFO auto - split, also "&amp;$AM1342,"FEFO auto"))))</f>
        <v>FEFO auto</v>
      </c>
      <c r="AO1342" s="114"/>
    </row>
    <row r="1343" spans="1:41" x14ac:dyDescent="0.35">
      <c r="A1343" s="74">
        <v>46196</v>
      </c>
      <c r="B1343" s="18" t="str">
        <f>IF($C1343="","",IFERROR(INDEX('Staff Directory'!$A$5:$A$594,MATCH($C1343,'Staff Directory'!$B$5:$B$594,0)),"⚠ unknown staff"))</f>
        <v>PSW-024-A4</v>
      </c>
      <c r="C1343" s="49" t="s">
        <v>1000</v>
      </c>
      <c r="D1343" s="19" t="str">
        <f>IF($B1343="","",IFERROR(INDEX('Staff Directory'!$C$5:$C$594,MATCH($B1343,'Staff Directory'!$A$5:$A$594,0)),""))</f>
        <v>PSW</v>
      </c>
      <c r="E1343" s="19" t="str">
        <f>IF($B1343="","",IFERROR(INDEX('Staff Directory'!$D$5:$D$594,MATCH($B1343,'Staff Directory'!$A$5:$A$594,0)),""))</f>
        <v>A4</v>
      </c>
      <c r="F1343" s="9" t="s">
        <v>191</v>
      </c>
      <c r="G1343" s="18" t="str">
        <f>IF($F1343="","",IFERROR(INDEX(Items!$B$5:$B$597,MATCH($F1343,Items!$A$5:$A$597,0)),"⚠ not in Items"))</f>
        <v>Sanitizer</v>
      </c>
      <c r="H1343" s="19" t="str">
        <f>IF($F1343="","",IFERROR(INDEX(Items!$C$5:$C$597,MATCH($F1343,Items!$A$5:$A$597,0)),""))</f>
        <v>236 ML</v>
      </c>
      <c r="I1343" s="23">
        <f>IF($F1343="","",IFERROR(INDEX(Items!$E$5:$E$597,MATCH($F1343,Items!$A$5:$A$597,0)),""))</f>
        <v>1</v>
      </c>
      <c r="J1343" s="115">
        <f>IF(tblIssues[[#This Row],[Qty Override]]&lt;&gt;"",tblIssues[[#This Row],[Qty Override]],IF(tblIssues[[#This Row],[Standard Issue]]="","",tblIssues[[#This Row],[Standard Issue]]))</f>
        <v>1</v>
      </c>
      <c r="K1343" s="20">
        <f>IF($F1343="","",IFERROR(INDEX(Items!$D$5:$D$597,MATCH($F1343,Items!$A$5:$A$597,0)),""))</f>
        <v>1E-4</v>
      </c>
      <c r="L1343" s="21">
        <f t="shared" si="228"/>
        <v>1E-4</v>
      </c>
      <c r="M1343" s="9" t="str">
        <f t="shared" si="226"/>
        <v/>
      </c>
      <c r="N1343" s="24">
        <f>IF($A1343="","",WORKDAY($A1343,Settings!$C$9,HolidayDates))</f>
        <v>46204</v>
      </c>
      <c r="O1343" s="24">
        <f>IF($N1343="","",WORKDAY($N1343,Settings!$C$10,HolidayDates))</f>
        <v>46244</v>
      </c>
      <c r="P1343" s="10" t="s">
        <v>501</v>
      </c>
      <c r="Q1343" s="52" t="str">
        <f t="shared" si="229"/>
        <v>Collected</v>
      </c>
      <c r="R1343" s="55" t="str">
        <f t="shared" si="230"/>
        <v>2026-06</v>
      </c>
      <c r="S1343" s="55">
        <f>IF(OR($B1343="",$F1343="",$R1343=""),"",SUMIFS(tblIssues[Qty Issued],tblIssues[Staff ID],$B1343,tblIssues[Item Name],$F1343,tblIssues[Month],$R1343))</f>
        <v>1</v>
      </c>
      <c r="T1343" s="56">
        <f>IF($I1343="","",$I1343*Settings!$C$11)</f>
        <v>1</v>
      </c>
      <c r="U1343" s="57" t="str">
        <f t="shared" si="227"/>
        <v>OK</v>
      </c>
      <c r="V1343" s="55" t="str">
        <f t="shared" si="231"/>
        <v/>
      </c>
      <c r="W1343" s="55" t="str">
        <f>IF($V1343="","",IF(COUNTIF($V$5:$V1343,$V1343)=1,1,""))</f>
        <v/>
      </c>
      <c r="X1343" s="58" t="str">
        <f>IF($W1343="","",MAX($X$4:X1342)+1)</f>
        <v/>
      </c>
      <c r="Y1343" s="62"/>
      <c r="Z1343" s="62"/>
      <c r="AA1343" s="64" t="str">
        <f>IF($C1343="","",IFERROR(INDEX('Staff Directory'!$E$5:$E$594,MATCH($C1343,'Staff Directory'!$B$5:$B$594,0)),""))</f>
        <v>firstname084.lastname084@example.com</v>
      </c>
      <c r="AB1343" s="64" t="str">
        <f>IF($C1343="","",IF(ISNUMBER(SEARCH($D1343,Settings!$C$15)),"Pickup","Dispatch"))</f>
        <v>Pickup</v>
      </c>
      <c r="AC1343" s="64" t="str">
        <f t="shared" si="232"/>
        <v>Supply order ready for pickup</v>
      </c>
      <c r="AD1343" s="64" t="str">
        <f t="shared" si="223"/>
        <v>Dear PSW,
Your order is ready for pickup from Sample Branch, Wed-Fri 9am-4pm.</v>
      </c>
      <c r="AE1343" s="64" t="str">
        <f t="shared" si="224"/>
        <v>mailto:firstname084.lastname084@example.com?subject=Supply%20order%20ready%20for%20pickup&amp;body=Dear%20PSW%2C%0A%0AYour%20order%20is%20ready%20for%20pickup%20from%20Sample%20Branch%2C%20Wed-Fri%209am-4pm.</v>
      </c>
      <c r="AF1343" s="89" t="str">
        <f t="shared" si="233"/>
        <v>Draft email</v>
      </c>
      <c r="AG1343" s="64" t="str">
        <f>IF($C1343="","",IFERROR(INDEX('Staff Directory'!$K$595:$K$599,MATCH($C1343,'Staff Directory'!$B$5:$B$599,0)),$D1343))</f>
        <v>PSW</v>
      </c>
      <c r="AH1343" t="str">
        <f>IF($C1343="","",IFERROR(INDEX('Staff Directory'!$I$595:$I$599,MATCH($C1343,'Staff Directory'!$B$5:$B$599,0))&amp;" "&amp;INDEX('Staff Directory'!$J$595:$J$599,MATCH($C1343,'Staff Directory'!$B$5:$B$599,0)),$AG1343))</f>
        <v>PSW</v>
      </c>
      <c r="AI1343" s="102"/>
      <c r="AJ1343" s="101">
        <f>IF($F1343="","",SUMIFS($J$5:$J1343,$F$5:$F1343,$F1343))</f>
        <v>180</v>
      </c>
      <c r="AK1343" s="101">
        <f t="shared" si="225"/>
        <v>180</v>
      </c>
      <c r="AL1343" s="66" t="str" cm="1">
        <f t="array" ref="AL1343">IF($F1343="","",IFERROR(INDEX('Lot Balance'!$B$5:$B$500,MATCH(1,INDEX(('Lot Balance'!$A$5:$A$500=$F1343)*('Lot Balance'!$K$5:$K$500&lt;$AK1343)*('Lot Balance'!$K$5:$K$500+'Lot Balance'!$D$5:$D$500&gt;=$AK1343),0),0)),""))</f>
        <v/>
      </c>
      <c r="AM1343" s="66" t="str" cm="1">
        <f t="array" ref="AM1343">IF($F1343="","",IFERROR(INDEX('Lot Balance'!$B$5:$B$500,MATCH(1,INDEX(('Lot Balance'!$A$5:$A$500=$F1343)*('Lot Balance'!$K$5:$K$500&lt;$AJ1343)*('Lot Balance'!$K$5:$K$500+'Lot Balance'!$D$5:$D$500&gt;=$AJ1343),0),0)),""))</f>
        <v/>
      </c>
      <c r="AN1343" s="66" t="str">
        <f>IF($F1343="","",IF($AI1343&lt;&gt;"",IF(COUNTIFS('Lot Balance'!$A$5:$A$500,$F1343,'Lot Balance'!$B$5:$B$500,$AI1343)=0,"⚠ override is not a lot of this item",IF($AI1343=$AL1343,"Override = FEFO","Override - FEFO says "&amp;$AL1343)),IF($AL1343="","⚠ no receipt on file for this item",IF($AM1343&lt;&gt;$AL1343,"FEFO auto - split, also "&amp;$AM1343,"FEFO auto"))))</f>
        <v>⚠ no receipt on file for this item</v>
      </c>
      <c r="AO1343" s="114"/>
    </row>
    <row r="1344" spans="1:41" x14ac:dyDescent="0.35">
      <c r="A1344" s="74">
        <v>46196</v>
      </c>
      <c r="B1344" s="18" t="str">
        <f>IF($C1344="","",IFERROR(INDEX('Staff Directory'!$A$5:$A$594,MATCH($C1344,'Staff Directory'!$B$5:$B$594,0)),"⚠ unknown staff"))</f>
        <v>PSW-024-A4</v>
      </c>
      <c r="C1344" s="49" t="s">
        <v>1000</v>
      </c>
      <c r="D1344" s="19" t="str">
        <f>IF($B1344="","",IFERROR(INDEX('Staff Directory'!$C$5:$C$594,MATCH($B1344,'Staff Directory'!$A$5:$A$594,0)),""))</f>
        <v>PSW</v>
      </c>
      <c r="E1344" s="19" t="str">
        <f>IF($B1344="","",IFERROR(INDEX('Staff Directory'!$D$5:$D$594,MATCH($B1344,'Staff Directory'!$A$5:$A$594,0)),""))</f>
        <v>A4</v>
      </c>
      <c r="F1344" s="9" t="s">
        <v>115</v>
      </c>
      <c r="G1344" s="18" t="str">
        <f>IF($F1344="","",IFERROR(INDEX(Items!$B$5:$B$597,MATCH($F1344,Items!$A$5:$A$597,0)),"⚠ not in Items"))</f>
        <v>Wipes</v>
      </c>
      <c r="H1344" s="19">
        <f>IF($F1344="","",IFERROR(INDEX(Items!$C$5:$C$597,MATCH($F1344,Items!$A$5:$A$597,0)),""))</f>
        <v>80</v>
      </c>
      <c r="I1344" s="23">
        <f>IF($F1344="","",IFERROR(INDEX(Items!$E$5:$E$597,MATCH($F1344,Items!$A$5:$A$597,0)),""))</f>
        <v>80</v>
      </c>
      <c r="J1344" s="115">
        <f>IF(tblIssues[[#This Row],[Qty Override]]&lt;&gt;"",tblIssues[[#This Row],[Qty Override]],IF(tblIssues[[#This Row],[Standard Issue]]="","",tblIssues[[#This Row],[Standard Issue]]))</f>
        <v>80</v>
      </c>
      <c r="K1344" s="20">
        <f>IF($F1344="","",IFERROR(INDEX(Items!$D$5:$D$597,MATCH($F1344,Items!$A$5:$A$597,0)),""))</f>
        <v>0.1</v>
      </c>
      <c r="L1344" s="21">
        <f t="shared" si="228"/>
        <v>8</v>
      </c>
      <c r="M1344" s="9" t="str">
        <f t="shared" si="226"/>
        <v>LYSL500290</v>
      </c>
      <c r="N1344" s="24">
        <f>IF($A1344="","",WORKDAY($A1344,Settings!$C$9,HolidayDates))</f>
        <v>46204</v>
      </c>
      <c r="O1344" s="24">
        <f>IF($N1344="","",WORKDAY($N1344,Settings!$C$10,HolidayDates))</f>
        <v>46244</v>
      </c>
      <c r="P1344" s="10" t="s">
        <v>501</v>
      </c>
      <c r="Q1344" s="52" t="str">
        <f t="shared" si="229"/>
        <v>Collected</v>
      </c>
      <c r="R1344" s="55" t="str">
        <f t="shared" si="230"/>
        <v>2026-06</v>
      </c>
      <c r="S1344" s="55">
        <f>IF(OR($B1344="",$F1344="",$R1344=""),"",SUMIFS(tblIssues[Qty Issued],tblIssues[Staff ID],$B1344,tblIssues[Item Name],$F1344,tblIssues[Month],$R1344))</f>
        <v>80</v>
      </c>
      <c r="T1344" s="56">
        <f>IF($I1344="","",$I1344*Settings!$C$11)</f>
        <v>80</v>
      </c>
      <c r="U1344" s="57" t="str">
        <f t="shared" si="227"/>
        <v>OK</v>
      </c>
      <c r="V1344" s="55" t="str">
        <f t="shared" si="231"/>
        <v/>
      </c>
      <c r="W1344" s="55" t="str">
        <f>IF($V1344="","",IF(COUNTIF($V$5:$V1344,$V1344)=1,1,""))</f>
        <v/>
      </c>
      <c r="X1344" s="58" t="str">
        <f>IF($W1344="","",MAX($X$4:X1343)+1)</f>
        <v/>
      </c>
      <c r="Y1344" s="62"/>
      <c r="Z1344" s="62"/>
      <c r="AA1344" s="64" t="str">
        <f>IF($C1344="","",IFERROR(INDEX('Staff Directory'!$E$5:$E$594,MATCH($C1344,'Staff Directory'!$B$5:$B$594,0)),""))</f>
        <v>firstname084.lastname084@example.com</v>
      </c>
      <c r="AB1344" s="64" t="str">
        <f>IF($C1344="","",IF(ISNUMBER(SEARCH($D1344,Settings!$C$15)),"Pickup","Dispatch"))</f>
        <v>Pickup</v>
      </c>
      <c r="AC1344" s="64" t="str">
        <f t="shared" si="232"/>
        <v>Supply order ready for pickup</v>
      </c>
      <c r="AD1344" s="64" t="str">
        <f t="shared" si="223"/>
        <v>Dear PSW,
Your order is ready for pickup from Sample Branch, Wed-Fri 9am-4pm.</v>
      </c>
      <c r="AE1344" s="64" t="str">
        <f t="shared" si="224"/>
        <v>mailto:firstname084.lastname084@example.com?subject=Supply%20order%20ready%20for%20pickup&amp;body=Dear%20PSW%2C%0A%0AYour%20order%20is%20ready%20for%20pickup%20from%20Sample%20Branch%2C%20Wed-Fri%209am-4pm.</v>
      </c>
      <c r="AF1344" s="89" t="str">
        <f t="shared" si="233"/>
        <v>Draft email</v>
      </c>
      <c r="AG1344" s="64" t="str">
        <f>IF($C1344="","",IFERROR(INDEX('Staff Directory'!$K$595:$K$599,MATCH($C1344,'Staff Directory'!$B$5:$B$599,0)),$D1344))</f>
        <v>PSW</v>
      </c>
      <c r="AH1344" t="str">
        <f>IF($C1344="","",IFERROR(INDEX('Staff Directory'!$I$595:$I$599,MATCH($C1344,'Staff Directory'!$B$5:$B$599,0))&amp;" "&amp;INDEX('Staff Directory'!$J$595:$J$599,MATCH($C1344,'Staff Directory'!$B$5:$B$599,0)),$AG1344))</f>
        <v>PSW</v>
      </c>
      <c r="AI1344" s="102"/>
      <c r="AJ1344" s="101">
        <f>IF($F1344="","",SUMIFS($J$5:$J1344,$F$5:$F1344,$F1344))</f>
        <v>18560</v>
      </c>
      <c r="AK1344" s="101">
        <f t="shared" si="225"/>
        <v>18481</v>
      </c>
      <c r="AL1344" s="66" t="str" cm="1">
        <f t="array" ref="AL1344">IF($F1344="","",IFERROR(INDEX('Lot Balance'!$B$5:$B$500,MATCH(1,INDEX(('Lot Balance'!$A$5:$A$500=$F1344)*('Lot Balance'!$K$5:$K$500&lt;$AK1344)*('Lot Balance'!$K$5:$K$500+'Lot Balance'!$D$5:$D$500&gt;=$AK1344),0),0)),""))</f>
        <v>LYSL500290</v>
      </c>
      <c r="AM1344" s="66" t="str" cm="1">
        <f t="array" ref="AM1344">IF($F1344="","",IFERROR(INDEX('Lot Balance'!$B$5:$B$500,MATCH(1,INDEX(('Lot Balance'!$A$5:$A$500=$F1344)*('Lot Balance'!$K$5:$K$500&lt;$AJ1344)*('Lot Balance'!$K$5:$K$500+'Lot Balance'!$D$5:$D$500&gt;=$AJ1344),0),0)),""))</f>
        <v>LYSL500290</v>
      </c>
      <c r="AN1344" s="66" t="str">
        <f>IF($F1344="","",IF($AI1344&lt;&gt;"",IF(COUNTIFS('Lot Balance'!$A$5:$A$500,$F1344,'Lot Balance'!$B$5:$B$500,$AI1344)=0,"⚠ override is not a lot of this item",IF($AI1344=$AL1344,"Override = FEFO","Override - FEFO says "&amp;$AL1344)),IF($AL1344="","⚠ no receipt on file for this item",IF($AM1344&lt;&gt;$AL1344,"FEFO auto - split, also "&amp;$AM1344,"FEFO auto"))))</f>
        <v>FEFO auto</v>
      </c>
      <c r="AO1344" s="114"/>
    </row>
    <row r="1345" spans="1:41" x14ac:dyDescent="0.35">
      <c r="A1345" s="74">
        <v>46196</v>
      </c>
      <c r="B1345" s="18" t="str">
        <f>IF($C1345="","",IFERROR(INDEX('Staff Directory'!$A$5:$A$594,MATCH($C1345,'Staff Directory'!$B$5:$B$594,0)),"⚠ unknown staff"))</f>
        <v>PSW-024-A4</v>
      </c>
      <c r="C1345" s="49" t="s">
        <v>1000</v>
      </c>
      <c r="D1345" s="19" t="str">
        <f>IF($B1345="","",IFERROR(INDEX('Staff Directory'!$C$5:$C$594,MATCH($B1345,'Staff Directory'!$A$5:$A$594,0)),""))</f>
        <v>PSW</v>
      </c>
      <c r="E1345" s="19" t="str">
        <f>IF($B1345="","",IFERROR(INDEX('Staff Directory'!$D$5:$D$594,MATCH($B1345,'Staff Directory'!$A$5:$A$594,0)),""))</f>
        <v>A4</v>
      </c>
      <c r="F1345" s="9" t="s">
        <v>156</v>
      </c>
      <c r="G1345" s="18" t="str">
        <f>IF($F1345="","",IFERROR(INDEX(Items!$B$5:$B$597,MATCH($F1345,Items!$A$5:$A$597,0)),"⚠ not in Items"))</f>
        <v>Masks</v>
      </c>
      <c r="H1345" s="19" t="str">
        <f>IF($F1345="","",IFERROR(INDEX(Items!$C$5:$C$597,MATCH($F1345,Items!$A$5:$A$597,0)),""))</f>
        <v>One Size</v>
      </c>
      <c r="I1345" s="23">
        <f>IF($F1345="","",IFERROR(INDEX(Items!$E$5:$E$597,MATCH($F1345,Items!$A$5:$A$597,0)),""))</f>
        <v>50</v>
      </c>
      <c r="J1345" s="115">
        <f>IF(tblIssues[[#This Row],[Qty Override]]&lt;&gt;"",tblIssues[[#This Row],[Qty Override]],IF(tblIssues[[#This Row],[Standard Issue]]="","",tblIssues[[#This Row],[Standard Issue]]))</f>
        <v>50</v>
      </c>
      <c r="K1345" s="20">
        <f>IF($F1345="","",IFERROR(INDEX(Items!$D$5:$D$597,MATCH($F1345,Items!$A$5:$A$597,0)),""))</f>
        <v>0.25</v>
      </c>
      <c r="L1345" s="21">
        <f t="shared" si="228"/>
        <v>12.5</v>
      </c>
      <c r="M1345" s="9" t="str">
        <f t="shared" si="226"/>
        <v>24HA2050A7396</v>
      </c>
      <c r="N1345" s="24">
        <f>IF($A1345="","",WORKDAY($A1345,Settings!$C$9,HolidayDates))</f>
        <v>46204</v>
      </c>
      <c r="O1345" s="24">
        <f>IF($N1345="","",WORKDAY($N1345,Settings!$C$10,HolidayDates))</f>
        <v>46244</v>
      </c>
      <c r="P1345" s="10" t="s">
        <v>501</v>
      </c>
      <c r="Q1345" s="52" t="str">
        <f t="shared" si="229"/>
        <v>Collected</v>
      </c>
      <c r="R1345" s="55" t="str">
        <f t="shared" si="230"/>
        <v>2026-06</v>
      </c>
      <c r="S1345" s="55">
        <f>IF(OR($B1345="",$F1345="",$R1345=""),"",SUMIFS(tblIssues[Qty Issued],tblIssues[Staff ID],$B1345,tblIssues[Item Name],$F1345,tblIssues[Month],$R1345))</f>
        <v>50</v>
      </c>
      <c r="T1345" s="56">
        <f>IF($I1345="","",$I1345*Settings!$C$11)</f>
        <v>50</v>
      </c>
      <c r="U1345" s="57" t="str">
        <f t="shared" si="227"/>
        <v>OK</v>
      </c>
      <c r="V1345" s="55" t="str">
        <f t="shared" si="231"/>
        <v/>
      </c>
      <c r="W1345" s="55" t="str">
        <f>IF($V1345="","",IF(COUNTIF($V$5:$V1345,$V1345)=1,1,""))</f>
        <v/>
      </c>
      <c r="X1345" s="58" t="str">
        <f>IF($W1345="","",MAX($X$4:X1344)+1)</f>
        <v/>
      </c>
      <c r="Y1345" s="62"/>
      <c r="Z1345" s="62"/>
      <c r="AA1345" s="64" t="str">
        <f>IF($C1345="","",IFERROR(INDEX('Staff Directory'!$E$5:$E$594,MATCH($C1345,'Staff Directory'!$B$5:$B$594,0)),""))</f>
        <v>firstname084.lastname084@example.com</v>
      </c>
      <c r="AB1345" s="64" t="str">
        <f>IF($C1345="","",IF(ISNUMBER(SEARCH($D1345,Settings!$C$15)),"Pickup","Dispatch"))</f>
        <v>Pickup</v>
      </c>
      <c r="AC1345" s="64" t="str">
        <f t="shared" si="232"/>
        <v>Supply order ready for pickup</v>
      </c>
      <c r="AD1345" s="64" t="str">
        <f t="shared" si="223"/>
        <v>Dear PSW,
Your order is ready for pickup from Sample Branch, Wed-Fri 9am-4pm.</v>
      </c>
      <c r="AE1345" s="64" t="str">
        <f t="shared" si="224"/>
        <v>mailto:firstname084.lastname084@example.com?subject=Supply%20order%20ready%20for%20pickup&amp;body=Dear%20PSW%2C%0A%0AYour%20order%20is%20ready%20for%20pickup%20from%20Sample%20Branch%2C%20Wed-Fri%209am-4pm.</v>
      </c>
      <c r="AF1345" s="89" t="str">
        <f t="shared" si="233"/>
        <v>Draft email</v>
      </c>
      <c r="AG1345" s="64" t="str">
        <f>IF($C1345="","",IFERROR(INDEX('Staff Directory'!$K$595:$K$599,MATCH($C1345,'Staff Directory'!$B$5:$B$599,0)),$D1345))</f>
        <v>PSW</v>
      </c>
      <c r="AH1345" t="str">
        <f>IF($C1345="","",IFERROR(INDEX('Staff Directory'!$I$595:$I$599,MATCH($C1345,'Staff Directory'!$B$5:$B$599,0))&amp;" "&amp;INDEX('Staff Directory'!$J$595:$J$599,MATCH($C1345,'Staff Directory'!$B$5:$B$599,0)),$AG1345))</f>
        <v>PSW</v>
      </c>
      <c r="AI1345" s="102"/>
      <c r="AJ1345" s="101">
        <f>IF($F1345="","",SUMIFS($J$5:$J1345,$F$5:$F1345,$F1345))</f>
        <v>11500</v>
      </c>
      <c r="AK1345" s="101">
        <f t="shared" si="225"/>
        <v>11451</v>
      </c>
      <c r="AL1345" s="66" t="str" cm="1">
        <f t="array" ref="AL1345">IF($F1345="","",IFERROR(INDEX('Lot Balance'!$B$5:$B$500,MATCH(1,INDEX(('Lot Balance'!$A$5:$A$500=$F1345)*('Lot Balance'!$K$5:$K$500&lt;$AK1345)*('Lot Balance'!$K$5:$K$500+'Lot Balance'!$D$5:$D$500&gt;=$AK1345),0),0)),""))</f>
        <v>24HA2050A7396</v>
      </c>
      <c r="AM1345" s="66" t="str" cm="1">
        <f t="array" ref="AM1345">IF($F1345="","",IFERROR(INDEX('Lot Balance'!$B$5:$B$500,MATCH(1,INDEX(('Lot Balance'!$A$5:$A$500=$F1345)*('Lot Balance'!$K$5:$K$500&lt;$AJ1345)*('Lot Balance'!$K$5:$K$500+'Lot Balance'!$D$5:$D$500&gt;=$AJ1345),0),0)),""))</f>
        <v>24HA2050A7396</v>
      </c>
      <c r="AN1345" s="66" t="str">
        <f>IF($F1345="","",IF($AI1345&lt;&gt;"",IF(COUNTIFS('Lot Balance'!$A$5:$A$500,$F1345,'Lot Balance'!$B$5:$B$500,$AI1345)=0,"⚠ override is not a lot of this item",IF($AI1345=$AL1345,"Override = FEFO","Override - FEFO says "&amp;$AL1345)),IF($AL1345="","⚠ no receipt on file for this item",IF($AM1345&lt;&gt;$AL1345,"FEFO auto - split, also "&amp;$AM1345,"FEFO auto"))))</f>
        <v>FEFO auto</v>
      </c>
      <c r="AO1345" s="114"/>
    </row>
    <row r="1346" spans="1:41" x14ac:dyDescent="0.35">
      <c r="A1346" s="74">
        <v>46196</v>
      </c>
      <c r="B1346" s="18" t="str">
        <f>IF($C1346="","",IFERROR(INDEX('Staff Directory'!$A$5:$A$594,MATCH($C1346,'Staff Directory'!$B$5:$B$594,0)),"⚠ unknown staff"))</f>
        <v>PSW-004-A4</v>
      </c>
      <c r="C1346" s="49" t="s">
        <v>980</v>
      </c>
      <c r="D1346" s="19" t="str">
        <f>IF($B1346="","",IFERROR(INDEX('Staff Directory'!$C$5:$C$594,MATCH($B1346,'Staff Directory'!$A$5:$A$594,0)),""))</f>
        <v>PSW</v>
      </c>
      <c r="E1346" s="19" t="str">
        <f>IF($B1346="","",IFERROR(INDEX('Staff Directory'!$D$5:$D$594,MATCH($B1346,'Staff Directory'!$A$5:$A$594,0)),""))</f>
        <v>A4</v>
      </c>
      <c r="F1346" s="9" t="s">
        <v>115</v>
      </c>
      <c r="G1346" s="18" t="str">
        <f>IF($F1346="","",IFERROR(INDEX(Items!$B$5:$B$597,MATCH($F1346,Items!$A$5:$A$597,0)),"⚠ not in Items"))</f>
        <v>Wipes</v>
      </c>
      <c r="H1346" s="19">
        <f>IF($F1346="","",IFERROR(INDEX(Items!$C$5:$C$597,MATCH($F1346,Items!$A$5:$A$597,0)),""))</f>
        <v>80</v>
      </c>
      <c r="I1346" s="23">
        <f>IF($F1346="","",IFERROR(INDEX(Items!$E$5:$E$597,MATCH($F1346,Items!$A$5:$A$597,0)),""))</f>
        <v>80</v>
      </c>
      <c r="J1346" s="115">
        <f>IF(tblIssues[[#This Row],[Qty Override]]&lt;&gt;"",tblIssues[[#This Row],[Qty Override]],IF(tblIssues[[#This Row],[Standard Issue]]="","",tblIssues[[#This Row],[Standard Issue]]))</f>
        <v>80</v>
      </c>
      <c r="K1346" s="20">
        <f>IF($F1346="","",IFERROR(INDEX(Items!$D$5:$D$597,MATCH($F1346,Items!$A$5:$A$597,0)),""))</f>
        <v>0.1</v>
      </c>
      <c r="L1346" s="21">
        <f t="shared" si="228"/>
        <v>8</v>
      </c>
      <c r="M1346" s="9" t="str">
        <f t="shared" si="226"/>
        <v>LYSL500290</v>
      </c>
      <c r="N1346" s="24">
        <f>IF($A1346="","",WORKDAY($A1346,Settings!$C$9,HolidayDates))</f>
        <v>46204</v>
      </c>
      <c r="O1346" s="24">
        <f>IF($N1346="","",WORKDAY($N1346,Settings!$C$10,HolidayDates))</f>
        <v>46244</v>
      </c>
      <c r="P1346" s="10" t="s">
        <v>501</v>
      </c>
      <c r="Q1346" s="52" t="str">
        <f t="shared" si="229"/>
        <v>Collected</v>
      </c>
      <c r="R1346" s="55" t="str">
        <f t="shared" si="230"/>
        <v>2026-06</v>
      </c>
      <c r="S1346" s="55">
        <f>IF(OR($B1346="",$F1346="",$R1346=""),"",SUMIFS(tblIssues[Qty Issued],tblIssues[Staff ID],$B1346,tblIssues[Item Name],$F1346,tblIssues[Month],$R1346))</f>
        <v>80</v>
      </c>
      <c r="T1346" s="56">
        <f>IF($I1346="","",$I1346*Settings!$C$11)</f>
        <v>80</v>
      </c>
      <c r="U1346" s="57" t="str">
        <f t="shared" si="227"/>
        <v>OK</v>
      </c>
      <c r="V1346" s="55" t="str">
        <f t="shared" si="231"/>
        <v/>
      </c>
      <c r="W1346" s="55" t="str">
        <f>IF($V1346="","",IF(COUNTIF($V$5:$V1346,$V1346)=1,1,""))</f>
        <v/>
      </c>
      <c r="X1346" s="58" t="str">
        <f>IF($W1346="","",MAX($X$4:X1345)+1)</f>
        <v/>
      </c>
      <c r="Y1346" s="62"/>
      <c r="Z1346" s="62"/>
      <c r="AA1346" s="64" t="str">
        <f>IF($C1346="","",IFERROR(INDEX('Staff Directory'!$E$5:$E$594,MATCH($C1346,'Staff Directory'!$B$5:$B$594,0)),""))</f>
        <v>firstname064.lastname064@example.com</v>
      </c>
      <c r="AB1346" s="64" t="str">
        <f>IF($C1346="","",IF(ISNUMBER(SEARCH($D1346,Settings!$C$15)),"Pickup","Dispatch"))</f>
        <v>Pickup</v>
      </c>
      <c r="AC1346" s="64" t="str">
        <f t="shared" si="232"/>
        <v>Supply order ready for pickup</v>
      </c>
      <c r="AD1346" s="64" t="str">
        <f t="shared" si="223"/>
        <v>Dear PSW,
Your order is ready for pickup from Sample Branch, Wed-Fri 9am-4pm.</v>
      </c>
      <c r="AE1346" s="64" t="str">
        <f t="shared" si="224"/>
        <v>mailto:firstname064.lastname064@example.com?subject=Supply%20order%20ready%20for%20pickup&amp;body=Dear%20PSW%2C%0A%0AYour%20order%20is%20ready%20for%20pickup%20from%20Sample%20Branch%2C%20Wed-Fri%209am-4pm.</v>
      </c>
      <c r="AF1346" s="89" t="str">
        <f t="shared" si="233"/>
        <v>Draft email</v>
      </c>
      <c r="AG1346" s="64" t="str">
        <f>IF($C1346="","",IFERROR(INDEX('Staff Directory'!$K$595:$K$599,MATCH($C1346,'Staff Directory'!$B$5:$B$599,0)),$D1346))</f>
        <v>PSW</v>
      </c>
      <c r="AH1346" t="str">
        <f>IF($C1346="","",IFERROR(INDEX('Staff Directory'!$I$595:$I$599,MATCH($C1346,'Staff Directory'!$B$5:$B$599,0))&amp;" "&amp;INDEX('Staff Directory'!$J$595:$J$599,MATCH($C1346,'Staff Directory'!$B$5:$B$599,0)),$AG1346))</f>
        <v>PSW</v>
      </c>
      <c r="AI1346" s="102"/>
      <c r="AJ1346" s="101">
        <f>IF($F1346="","",SUMIFS($J$5:$J1346,$F$5:$F1346,$F1346))</f>
        <v>18640</v>
      </c>
      <c r="AK1346" s="101">
        <f t="shared" si="225"/>
        <v>18561</v>
      </c>
      <c r="AL1346" s="66" t="str" cm="1">
        <f t="array" ref="AL1346">IF($F1346="","",IFERROR(INDEX('Lot Balance'!$B$5:$B$500,MATCH(1,INDEX(('Lot Balance'!$A$5:$A$500=$F1346)*('Lot Balance'!$K$5:$K$500&lt;$AK1346)*('Lot Balance'!$K$5:$K$500+'Lot Balance'!$D$5:$D$500&gt;=$AK1346),0),0)),""))</f>
        <v>LYSL500290</v>
      </c>
      <c r="AM1346" s="66" t="str" cm="1">
        <f t="array" ref="AM1346">IF($F1346="","",IFERROR(INDEX('Lot Balance'!$B$5:$B$500,MATCH(1,INDEX(('Lot Balance'!$A$5:$A$500=$F1346)*('Lot Balance'!$K$5:$K$500&lt;$AJ1346)*('Lot Balance'!$K$5:$K$500+'Lot Balance'!$D$5:$D$500&gt;=$AJ1346),0),0)),""))</f>
        <v>LYSL500290</v>
      </c>
      <c r="AN1346" s="66" t="str">
        <f>IF($F1346="","",IF($AI1346&lt;&gt;"",IF(COUNTIFS('Lot Balance'!$A$5:$A$500,$F1346,'Lot Balance'!$B$5:$B$500,$AI1346)=0,"⚠ override is not a lot of this item",IF($AI1346=$AL1346,"Override = FEFO","Override - FEFO says "&amp;$AL1346)),IF($AL1346="","⚠ no receipt on file for this item",IF($AM1346&lt;&gt;$AL1346,"FEFO auto - split, also "&amp;$AM1346,"FEFO auto"))))</f>
        <v>FEFO auto</v>
      </c>
      <c r="AO1346" s="114"/>
    </row>
    <row r="1347" spans="1:41" x14ac:dyDescent="0.35">
      <c r="A1347" s="74">
        <v>46196</v>
      </c>
      <c r="B1347" s="18" t="str">
        <f>IF($C1347="","",IFERROR(INDEX('Staff Directory'!$A$5:$A$594,MATCH($C1347,'Staff Directory'!$B$5:$B$594,0)),"⚠ unknown staff"))</f>
        <v>PSW-004-A4</v>
      </c>
      <c r="C1347" s="49" t="s">
        <v>980</v>
      </c>
      <c r="D1347" s="19" t="str">
        <f>IF($B1347="","",IFERROR(INDEX('Staff Directory'!$C$5:$C$594,MATCH($B1347,'Staff Directory'!$A$5:$A$594,0)),""))</f>
        <v>PSW</v>
      </c>
      <c r="E1347" s="19" t="str">
        <f>IF($B1347="","",IFERROR(INDEX('Staff Directory'!$D$5:$D$594,MATCH($B1347,'Staff Directory'!$A$5:$A$594,0)),""))</f>
        <v>A4</v>
      </c>
      <c r="F1347" s="9" t="s">
        <v>156</v>
      </c>
      <c r="G1347" s="18" t="str">
        <f>IF($F1347="","",IFERROR(INDEX(Items!$B$5:$B$597,MATCH($F1347,Items!$A$5:$A$597,0)),"⚠ not in Items"))</f>
        <v>Masks</v>
      </c>
      <c r="H1347" s="19" t="str">
        <f>IF($F1347="","",IFERROR(INDEX(Items!$C$5:$C$597,MATCH($F1347,Items!$A$5:$A$597,0)),""))</f>
        <v>One Size</v>
      </c>
      <c r="I1347" s="23">
        <f>IF($F1347="","",IFERROR(INDEX(Items!$E$5:$E$597,MATCH($F1347,Items!$A$5:$A$597,0)),""))</f>
        <v>50</v>
      </c>
      <c r="J1347" s="115">
        <f>IF(tblIssues[[#This Row],[Qty Override]]&lt;&gt;"",tblIssues[[#This Row],[Qty Override]],IF(tblIssues[[#This Row],[Standard Issue]]="","",tblIssues[[#This Row],[Standard Issue]]))</f>
        <v>50</v>
      </c>
      <c r="K1347" s="20">
        <f>IF($F1347="","",IFERROR(INDEX(Items!$D$5:$D$597,MATCH($F1347,Items!$A$5:$A$597,0)),""))</f>
        <v>0.25</v>
      </c>
      <c r="L1347" s="21">
        <f t="shared" si="228"/>
        <v>12.5</v>
      </c>
      <c r="M1347" s="9" t="str">
        <f t="shared" si="226"/>
        <v>24HA2050A7396</v>
      </c>
      <c r="N1347" s="24">
        <f>IF($A1347="","",WORKDAY($A1347,Settings!$C$9,HolidayDates))</f>
        <v>46204</v>
      </c>
      <c r="O1347" s="24">
        <f>IF($N1347="","",WORKDAY($N1347,Settings!$C$10,HolidayDates))</f>
        <v>46244</v>
      </c>
      <c r="P1347" s="10" t="s">
        <v>501</v>
      </c>
      <c r="Q1347" s="52" t="str">
        <f t="shared" si="229"/>
        <v>Collected</v>
      </c>
      <c r="R1347" s="55" t="str">
        <f t="shared" si="230"/>
        <v>2026-06</v>
      </c>
      <c r="S1347" s="55">
        <f>IF(OR($B1347="",$F1347="",$R1347=""),"",SUMIFS(tblIssues[Qty Issued],tblIssues[Staff ID],$B1347,tblIssues[Item Name],$F1347,tblIssues[Month],$R1347))</f>
        <v>50</v>
      </c>
      <c r="T1347" s="56">
        <f>IF($I1347="","",$I1347*Settings!$C$11)</f>
        <v>50</v>
      </c>
      <c r="U1347" s="57" t="str">
        <f t="shared" si="227"/>
        <v>OK</v>
      </c>
      <c r="V1347" s="55" t="str">
        <f t="shared" si="231"/>
        <v/>
      </c>
      <c r="W1347" s="55" t="str">
        <f>IF($V1347="","",IF(COUNTIF($V$5:$V1347,$V1347)=1,1,""))</f>
        <v/>
      </c>
      <c r="X1347" s="58" t="str">
        <f>IF($W1347="","",MAX($X$4:X1346)+1)</f>
        <v/>
      </c>
      <c r="Y1347" s="62"/>
      <c r="Z1347" s="62"/>
      <c r="AA1347" s="64" t="str">
        <f>IF($C1347="","",IFERROR(INDEX('Staff Directory'!$E$5:$E$594,MATCH($C1347,'Staff Directory'!$B$5:$B$594,0)),""))</f>
        <v>firstname064.lastname064@example.com</v>
      </c>
      <c r="AB1347" s="64" t="str">
        <f>IF($C1347="","",IF(ISNUMBER(SEARCH($D1347,Settings!$C$15)),"Pickup","Dispatch"))</f>
        <v>Pickup</v>
      </c>
      <c r="AC1347" s="64" t="str">
        <f t="shared" si="232"/>
        <v>Supply order ready for pickup</v>
      </c>
      <c r="AD1347" s="64" t="str">
        <f t="shared" si="223"/>
        <v>Dear PSW,
Your order is ready for pickup from Sample Branch, Wed-Fri 9am-4pm.</v>
      </c>
      <c r="AE1347" s="64" t="str">
        <f t="shared" si="224"/>
        <v>mailto:firstname064.lastname064@example.com?subject=Supply%20order%20ready%20for%20pickup&amp;body=Dear%20PSW%2C%0A%0AYour%20order%20is%20ready%20for%20pickup%20from%20Sample%20Branch%2C%20Wed-Fri%209am-4pm.</v>
      </c>
      <c r="AF1347" s="89" t="str">
        <f t="shared" si="233"/>
        <v>Draft email</v>
      </c>
      <c r="AG1347" s="64" t="str">
        <f>IF($C1347="","",IFERROR(INDEX('Staff Directory'!$K$595:$K$599,MATCH($C1347,'Staff Directory'!$B$5:$B$599,0)),$D1347))</f>
        <v>PSW</v>
      </c>
      <c r="AH1347" t="str">
        <f>IF($C1347="","",IFERROR(INDEX('Staff Directory'!$I$595:$I$599,MATCH($C1347,'Staff Directory'!$B$5:$B$599,0))&amp;" "&amp;INDEX('Staff Directory'!$J$595:$J$599,MATCH($C1347,'Staff Directory'!$B$5:$B$599,0)),$AG1347))</f>
        <v>PSW</v>
      </c>
      <c r="AI1347" s="102"/>
      <c r="AJ1347" s="101">
        <f>IF($F1347="","",SUMIFS($J$5:$J1347,$F$5:$F1347,$F1347))</f>
        <v>11550</v>
      </c>
      <c r="AK1347" s="101">
        <f t="shared" si="225"/>
        <v>11501</v>
      </c>
      <c r="AL1347" s="66" t="str" cm="1">
        <f t="array" ref="AL1347">IF($F1347="","",IFERROR(INDEX('Lot Balance'!$B$5:$B$500,MATCH(1,INDEX(('Lot Balance'!$A$5:$A$500=$F1347)*('Lot Balance'!$K$5:$K$500&lt;$AK1347)*('Lot Balance'!$K$5:$K$500+'Lot Balance'!$D$5:$D$500&gt;=$AK1347),0),0)),""))</f>
        <v>24HA2050A7396</v>
      </c>
      <c r="AM1347" s="66" t="str" cm="1">
        <f t="array" ref="AM1347">IF($F1347="","",IFERROR(INDEX('Lot Balance'!$B$5:$B$500,MATCH(1,INDEX(('Lot Balance'!$A$5:$A$500=$F1347)*('Lot Balance'!$K$5:$K$500&lt;$AJ1347)*('Lot Balance'!$K$5:$K$500+'Lot Balance'!$D$5:$D$500&gt;=$AJ1347),0),0)),""))</f>
        <v>24HA2050A7396</v>
      </c>
      <c r="AN1347" s="66" t="str">
        <f>IF($F1347="","",IF($AI1347&lt;&gt;"",IF(COUNTIFS('Lot Balance'!$A$5:$A$500,$F1347,'Lot Balance'!$B$5:$B$500,$AI1347)=0,"⚠ override is not a lot of this item",IF($AI1347=$AL1347,"Override = FEFO","Override - FEFO says "&amp;$AL1347)),IF($AL1347="","⚠ no receipt on file for this item",IF($AM1347&lt;&gt;$AL1347,"FEFO auto - split, also "&amp;$AM1347,"FEFO auto"))))</f>
        <v>FEFO auto</v>
      </c>
      <c r="AO1347" s="114"/>
    </row>
    <row r="1348" spans="1:41" x14ac:dyDescent="0.35">
      <c r="A1348" s="74">
        <v>46197</v>
      </c>
      <c r="B1348" s="18" t="str">
        <f>IF($C1348="","",IFERROR(INDEX('Staff Directory'!$A$5:$A$594,MATCH($C1348,'Staff Directory'!$B$5:$B$594,0)),"⚠ unknown staff"))</f>
        <v>RPN-006-A1</v>
      </c>
      <c r="C1348" s="49" t="s">
        <v>958</v>
      </c>
      <c r="D1348" s="19" t="str">
        <f>IF($B1348="","",IFERROR(INDEX('Staff Directory'!$C$5:$C$594,MATCH($B1348,'Staff Directory'!$A$5:$A$594,0)),""))</f>
        <v>RPN</v>
      </c>
      <c r="E1348" s="19" t="str">
        <f>IF($B1348="","",IFERROR(INDEX('Staff Directory'!$D$5:$D$594,MATCH($B1348,'Staff Directory'!$A$5:$A$594,0)),""))</f>
        <v>A1</v>
      </c>
      <c r="F1348" s="9" t="s">
        <v>127</v>
      </c>
      <c r="G1348" s="18" t="str">
        <f>IF($F1348="","",IFERROR(INDEX(Items!$B$5:$B$597,MATCH($F1348,Items!$A$5:$A$597,0)),"⚠ not in Items"))</f>
        <v>Gloves</v>
      </c>
      <c r="H1348" s="19" t="str">
        <f>IF($F1348="","",IFERROR(INDEX(Items!$C$5:$C$597,MATCH($F1348,Items!$A$5:$A$597,0)),""))</f>
        <v>Medium</v>
      </c>
      <c r="I1348" s="23">
        <f>IF($F1348="","",IFERROR(INDEX(Items!$E$5:$E$597,MATCH($F1348,Items!$A$5:$A$597,0)),""))</f>
        <v>500</v>
      </c>
      <c r="J1348" s="115">
        <f>IF(tblIssues[[#This Row],[Qty Override]]&lt;&gt;"",tblIssues[[#This Row],[Qty Override]],IF(tblIssues[[#This Row],[Standard Issue]]="","",tblIssues[[#This Row],[Standard Issue]]))</f>
        <v>500</v>
      </c>
      <c r="K1348" s="20">
        <f>IF($F1348="","",IFERROR(INDEX(Items!$D$5:$D$597,MATCH($F1348,Items!$A$5:$A$597,0)),""))</f>
        <v>5.5E-2</v>
      </c>
      <c r="L1348" s="21">
        <f t="shared" si="228"/>
        <v>27.5</v>
      </c>
      <c r="M1348" s="9" t="str">
        <f t="shared" si="226"/>
        <v>ZIM510137962-1</v>
      </c>
      <c r="N1348" s="24">
        <f>IF($A1348="","",WORKDAY($A1348,Settings!$C$9,HolidayDates))</f>
        <v>46205</v>
      </c>
      <c r="O1348" s="24">
        <f>IF($N1348="","",WORKDAY($N1348,Settings!$C$10,HolidayDates))</f>
        <v>46245</v>
      </c>
      <c r="P1348" s="10" t="s">
        <v>502</v>
      </c>
      <c r="Q1348" s="52" t="str">
        <f t="shared" si="229"/>
        <v>Collected</v>
      </c>
      <c r="R1348" s="55" t="str">
        <f t="shared" si="230"/>
        <v>2026-06</v>
      </c>
      <c r="S1348" s="55">
        <f>IF(OR($B1348="",$F1348="",$R1348=""),"",SUMIFS(tblIssues[Qty Issued],tblIssues[Staff ID],$B1348,tblIssues[Item Name],$F1348,tblIssues[Month],$R1348))</f>
        <v>500</v>
      </c>
      <c r="T1348" s="56">
        <f>IF($I1348="","",$I1348*Settings!$C$11)</f>
        <v>500</v>
      </c>
      <c r="U1348" s="57" t="str">
        <f t="shared" si="227"/>
        <v>OK</v>
      </c>
      <c r="V1348" s="55" t="str">
        <f t="shared" si="231"/>
        <v/>
      </c>
      <c r="W1348" s="55" t="str">
        <f>IF($V1348="","",IF(COUNTIF($V$5:$V1348,$V1348)=1,1,""))</f>
        <v/>
      </c>
      <c r="X1348" s="58" t="str">
        <f>IF($W1348="","",MAX($X$4:X1347)+1)</f>
        <v/>
      </c>
      <c r="Y1348" s="62"/>
      <c r="Z1348" s="62"/>
      <c r="AA1348" s="64" t="str">
        <f>IF($C1348="","",IFERROR(INDEX('Staff Directory'!$E$5:$E$594,MATCH($C1348,'Staff Directory'!$B$5:$B$594,0)),""))</f>
        <v>firstname042.lastname042@example.com</v>
      </c>
      <c r="AB1348" s="64" t="str">
        <f>IF($C1348="","",IF(ISNUMBER(SEARCH($D1348,Settings!$C$15)),"Pickup","Dispatch"))</f>
        <v>Dispatch</v>
      </c>
      <c r="AC1348" s="64" t="str">
        <f t="shared" si="232"/>
        <v>Supply order dispatched</v>
      </c>
      <c r="AD1348" s="64" t="str">
        <f t="shared" si="223"/>
        <v>Dear RPN,
Your order has been dispatched and is in transit. Reply if undelivered.</v>
      </c>
      <c r="AE1348" s="64" t="str">
        <f t="shared" si="224"/>
        <v>mailto:firstname042.lastname042@example.com?subject=Supply%20order%20dispatched&amp;body=Dear%20RPN%2C%0A%0AYour%20order%20has%20been%20dispatched%20and%20is%20in%20transit.%20Reply%20if%20undelivered.</v>
      </c>
      <c r="AF1348" s="89" t="str">
        <f t="shared" si="233"/>
        <v>Draft email</v>
      </c>
      <c r="AG1348" s="64" t="str">
        <f>IF($C1348="","",IFERROR(INDEX('Staff Directory'!$K$595:$K$599,MATCH($C1348,'Staff Directory'!$B$5:$B$599,0)),$D1348))</f>
        <v>RPN</v>
      </c>
      <c r="AH1348" t="str">
        <f>IF($C1348="","",IFERROR(INDEX('Staff Directory'!$I$595:$I$599,MATCH($C1348,'Staff Directory'!$B$5:$B$599,0))&amp;" "&amp;INDEX('Staff Directory'!$J$595:$J$599,MATCH($C1348,'Staff Directory'!$B$5:$B$599,0)),$AG1348))</f>
        <v>RPN</v>
      </c>
      <c r="AI1348" s="102"/>
      <c r="AJ1348" s="101">
        <f>IF($F1348="","",SUMIFS($J$5:$J1348,$F$5:$F1348,$F1348))</f>
        <v>83500</v>
      </c>
      <c r="AK1348" s="101">
        <f t="shared" si="225"/>
        <v>83001</v>
      </c>
      <c r="AL1348" s="66" t="str" cm="1">
        <f t="array" ref="AL1348">IF($F1348="","",IFERROR(INDEX('Lot Balance'!$B$5:$B$500,MATCH(1,INDEX(('Lot Balance'!$A$5:$A$500=$F1348)*('Lot Balance'!$K$5:$K$500&lt;$AK1348)*('Lot Balance'!$K$5:$K$500+'Lot Balance'!$D$5:$D$500&gt;=$AK1348),0),0)),""))</f>
        <v>ZIM510137962-1</v>
      </c>
      <c r="AM1348" s="66" t="str" cm="1">
        <f t="array" ref="AM1348">IF($F1348="","",IFERROR(INDEX('Lot Balance'!$B$5:$B$500,MATCH(1,INDEX(('Lot Balance'!$A$5:$A$500=$F1348)*('Lot Balance'!$K$5:$K$500&lt;$AJ1348)*('Lot Balance'!$K$5:$K$500+'Lot Balance'!$D$5:$D$500&gt;=$AJ1348),0),0)),""))</f>
        <v>ZIM510137962-1</v>
      </c>
      <c r="AN1348" s="66" t="str">
        <f>IF($F1348="","",IF($AI1348&lt;&gt;"",IF(COUNTIFS('Lot Balance'!$A$5:$A$500,$F1348,'Lot Balance'!$B$5:$B$500,$AI1348)=0,"⚠ override is not a lot of this item",IF($AI1348=$AL1348,"Override = FEFO","Override - FEFO says "&amp;$AL1348)),IF($AL1348="","⚠ no receipt on file for this item",IF($AM1348&lt;&gt;$AL1348,"FEFO auto - split, also "&amp;$AM1348,"FEFO auto"))))</f>
        <v>FEFO auto</v>
      </c>
      <c r="AO1348" s="114"/>
    </row>
    <row r="1349" spans="1:41" x14ac:dyDescent="0.35">
      <c r="A1349" s="74">
        <v>46197</v>
      </c>
      <c r="B1349" s="18" t="str">
        <f>IF($C1349="","",IFERROR(INDEX('Staff Directory'!$A$5:$A$594,MATCH($C1349,'Staff Directory'!$B$5:$B$594,0)),"⚠ unknown staff"))</f>
        <v>RPN-006-A1</v>
      </c>
      <c r="C1349" s="49" t="s">
        <v>958</v>
      </c>
      <c r="D1349" s="19" t="str">
        <f>IF($B1349="","",IFERROR(INDEX('Staff Directory'!$C$5:$C$594,MATCH($B1349,'Staff Directory'!$A$5:$A$594,0)),""))</f>
        <v>RPN</v>
      </c>
      <c r="E1349" s="19" t="str">
        <f>IF($B1349="","",IFERROR(INDEX('Staff Directory'!$D$5:$D$594,MATCH($B1349,'Staff Directory'!$A$5:$A$594,0)),""))</f>
        <v>A1</v>
      </c>
      <c r="F1349" s="9" t="s">
        <v>191</v>
      </c>
      <c r="G1349" s="18" t="str">
        <f>IF($F1349="","",IFERROR(INDEX(Items!$B$5:$B$597,MATCH($F1349,Items!$A$5:$A$597,0)),"⚠ not in Items"))</f>
        <v>Sanitizer</v>
      </c>
      <c r="H1349" s="19" t="str">
        <f>IF($F1349="","",IFERROR(INDEX(Items!$C$5:$C$597,MATCH($F1349,Items!$A$5:$A$597,0)),""))</f>
        <v>236 ML</v>
      </c>
      <c r="I1349" s="23">
        <f>IF($F1349="","",IFERROR(INDEX(Items!$E$5:$E$597,MATCH($F1349,Items!$A$5:$A$597,0)),""))</f>
        <v>1</v>
      </c>
      <c r="J1349" s="115">
        <f>IF(tblIssues[[#This Row],[Qty Override]]&lt;&gt;"",tblIssues[[#This Row],[Qty Override]],IF(tblIssues[[#This Row],[Standard Issue]]="","",tblIssues[[#This Row],[Standard Issue]]))</f>
        <v>1</v>
      </c>
      <c r="K1349" s="20">
        <f>IF($F1349="","",IFERROR(INDEX(Items!$D$5:$D$597,MATCH($F1349,Items!$A$5:$A$597,0)),""))</f>
        <v>1E-4</v>
      </c>
      <c r="L1349" s="21">
        <f t="shared" si="228"/>
        <v>1E-4</v>
      </c>
      <c r="M1349" s="9" t="str">
        <f t="shared" si="226"/>
        <v/>
      </c>
      <c r="N1349" s="24">
        <f>IF($A1349="","",WORKDAY($A1349,Settings!$C$9,HolidayDates))</f>
        <v>46205</v>
      </c>
      <c r="O1349" s="24">
        <f>IF($N1349="","",WORKDAY($N1349,Settings!$C$10,HolidayDates))</f>
        <v>46245</v>
      </c>
      <c r="P1349" s="10" t="s">
        <v>502</v>
      </c>
      <c r="Q1349" s="52" t="str">
        <f t="shared" si="229"/>
        <v>Collected</v>
      </c>
      <c r="R1349" s="55" t="str">
        <f t="shared" si="230"/>
        <v>2026-06</v>
      </c>
      <c r="S1349" s="55">
        <f>IF(OR($B1349="",$F1349="",$R1349=""),"",SUMIFS(tblIssues[Qty Issued],tblIssues[Staff ID],$B1349,tblIssues[Item Name],$F1349,tblIssues[Month],$R1349))</f>
        <v>1</v>
      </c>
      <c r="T1349" s="56">
        <f>IF($I1349="","",$I1349*Settings!$C$11)</f>
        <v>1</v>
      </c>
      <c r="U1349" s="57" t="str">
        <f t="shared" si="227"/>
        <v>OK</v>
      </c>
      <c r="V1349" s="55" t="str">
        <f t="shared" si="231"/>
        <v/>
      </c>
      <c r="W1349" s="55" t="str">
        <f>IF($V1349="","",IF(COUNTIF($V$5:$V1349,$V1349)=1,1,""))</f>
        <v/>
      </c>
      <c r="X1349" s="58" t="str">
        <f>IF($W1349="","",MAX($X$4:X1348)+1)</f>
        <v/>
      </c>
      <c r="Y1349" s="62"/>
      <c r="Z1349" s="62"/>
      <c r="AA1349" s="64" t="str">
        <f>IF($C1349="","",IFERROR(INDEX('Staff Directory'!$E$5:$E$594,MATCH($C1349,'Staff Directory'!$B$5:$B$594,0)),""))</f>
        <v>firstname042.lastname042@example.com</v>
      </c>
      <c r="AB1349" s="64" t="str">
        <f>IF($C1349="","",IF(ISNUMBER(SEARCH($D1349,Settings!$C$15)),"Pickup","Dispatch"))</f>
        <v>Dispatch</v>
      </c>
      <c r="AC1349" s="64" t="str">
        <f t="shared" si="232"/>
        <v>Supply order dispatched</v>
      </c>
      <c r="AD1349" s="64" t="str">
        <f t="shared" ref="AD1349:AD1412" si="234">IF($AB1349="Pickup","Dear "&amp;$AH1349&amp;","&amp;CHAR(10)&amp;CHAR(10)&amp;"Your order is ready for pickup from Sample Branch, Wed-Fri 9am-4pm.",IF($AB1349="Dispatch","Dear "&amp;$AH1349&amp;","&amp;CHAR(10)&amp;CHAR(10)&amp;"Your order has been dispatched and is in transit. Reply if undelivered.",""))</f>
        <v>Dear RPN,
Your order has been dispatched and is in transit. Reply if undelivered.</v>
      </c>
      <c r="AE1349" s="64" t="str">
        <f t="shared" ref="AE1349:AE1412" si="235">IF(OR($AA1349="",$AC1349=""),"","mailto:"&amp;$AA1349&amp;"?subject="&amp;_xlfn.ENCODEURL($AC1349)&amp;"&amp;body="&amp;_xlfn.ENCODEURL($AD1349))</f>
        <v>mailto:firstname042.lastname042@example.com?subject=Supply%20order%20dispatched&amp;body=Dear%20RPN%2C%0A%0AYour%20order%20has%20been%20dispatched%20and%20is%20in%20transit.%20Reply%20if%20undelivered.</v>
      </c>
      <c r="AF1349" s="89" t="str">
        <f t="shared" si="233"/>
        <v>Draft email</v>
      </c>
      <c r="AG1349" s="64" t="str">
        <f>IF($C1349="","",IFERROR(INDEX('Staff Directory'!$K$595:$K$599,MATCH($C1349,'Staff Directory'!$B$5:$B$599,0)),$D1349))</f>
        <v>RPN</v>
      </c>
      <c r="AH1349" t="str">
        <f>IF($C1349="","",IFERROR(INDEX('Staff Directory'!$I$595:$I$599,MATCH($C1349,'Staff Directory'!$B$5:$B$599,0))&amp;" "&amp;INDEX('Staff Directory'!$J$595:$J$599,MATCH($C1349,'Staff Directory'!$B$5:$B$599,0)),$AG1349))</f>
        <v>RPN</v>
      </c>
      <c r="AI1349" s="102"/>
      <c r="AJ1349" s="101">
        <f>IF($F1349="","",SUMIFS($J$5:$J1349,$F$5:$F1349,$F1349))</f>
        <v>181</v>
      </c>
      <c r="AK1349" s="101">
        <f t="shared" ref="AK1349:AK1412" si="236">IF($F1349="","",MAX(1,$AJ1349-MAX($J1349,0)+1))</f>
        <v>181</v>
      </c>
      <c r="AL1349" s="66" t="str" cm="1">
        <f t="array" ref="AL1349">IF($F1349="","",IFERROR(INDEX('Lot Balance'!$B$5:$B$500,MATCH(1,INDEX(('Lot Balance'!$A$5:$A$500=$F1349)*('Lot Balance'!$K$5:$K$500&lt;$AK1349)*('Lot Balance'!$K$5:$K$500+'Lot Balance'!$D$5:$D$500&gt;=$AK1349),0),0)),""))</f>
        <v/>
      </c>
      <c r="AM1349" s="66" t="str" cm="1">
        <f t="array" ref="AM1349">IF($F1349="","",IFERROR(INDEX('Lot Balance'!$B$5:$B$500,MATCH(1,INDEX(('Lot Balance'!$A$5:$A$500=$F1349)*('Lot Balance'!$K$5:$K$500&lt;$AJ1349)*('Lot Balance'!$K$5:$K$500+'Lot Balance'!$D$5:$D$500&gt;=$AJ1349),0),0)),""))</f>
        <v/>
      </c>
      <c r="AN1349" s="66" t="str">
        <f>IF($F1349="","",IF($AI1349&lt;&gt;"",IF(COUNTIFS('Lot Balance'!$A$5:$A$500,$F1349,'Lot Balance'!$B$5:$B$500,$AI1349)=0,"⚠ override is not a lot of this item",IF($AI1349=$AL1349,"Override = FEFO","Override - FEFO says "&amp;$AL1349)),IF($AL1349="","⚠ no receipt on file for this item",IF($AM1349&lt;&gt;$AL1349,"FEFO auto - split, also "&amp;$AM1349,"FEFO auto"))))</f>
        <v>⚠ no receipt on file for this item</v>
      </c>
      <c r="AO1349" s="114"/>
    </row>
    <row r="1350" spans="1:41" x14ac:dyDescent="0.35">
      <c r="A1350" s="74">
        <v>46197</v>
      </c>
      <c r="B1350" s="18" t="str">
        <f>IF($C1350="","",IFERROR(INDEX('Staff Directory'!$A$5:$A$594,MATCH($C1350,'Staff Directory'!$B$5:$B$594,0)),"⚠ unknown staff"))</f>
        <v>RPN-006-A1</v>
      </c>
      <c r="C1350" s="49" t="s">
        <v>958</v>
      </c>
      <c r="D1350" s="19" t="str">
        <f>IF($B1350="","",IFERROR(INDEX('Staff Directory'!$C$5:$C$594,MATCH($B1350,'Staff Directory'!$A$5:$A$594,0)),""))</f>
        <v>RPN</v>
      </c>
      <c r="E1350" s="19" t="str">
        <f>IF($B1350="","",IFERROR(INDEX('Staff Directory'!$D$5:$D$594,MATCH($B1350,'Staff Directory'!$A$5:$A$594,0)),""))</f>
        <v>A1</v>
      </c>
      <c r="F1350" s="9" t="s">
        <v>137</v>
      </c>
      <c r="G1350" s="18" t="str">
        <f>IF($F1350="","",IFERROR(INDEX(Items!$B$5:$B$597,MATCH($F1350,Items!$A$5:$A$597,0)),"⚠ not in Items"))</f>
        <v>Sanitizer</v>
      </c>
      <c r="H1350" s="19" t="str">
        <f>IF($F1350="","",IFERROR(INDEX(Items!$C$5:$C$597,MATCH($F1350,Items!$A$5:$A$597,0)),""))</f>
        <v>118 ML</v>
      </c>
      <c r="I1350" s="23">
        <f>IF($F1350="","",IFERROR(INDEX(Items!$E$5:$E$597,MATCH($F1350,Items!$A$5:$A$597,0)),""))</f>
        <v>2</v>
      </c>
      <c r="J1350" s="115">
        <f>IF(tblIssues[[#This Row],[Qty Override]]&lt;&gt;"",tblIssues[[#This Row],[Qty Override]],IF(tblIssues[[#This Row],[Standard Issue]]="","",tblIssues[[#This Row],[Standard Issue]]))</f>
        <v>2</v>
      </c>
      <c r="K1350" s="20">
        <f>IF($F1350="","",IFERROR(INDEX(Items!$D$5:$D$597,MATCH($F1350,Items!$A$5:$A$597,0)),""))</f>
        <v>4.49</v>
      </c>
      <c r="L1350" s="21">
        <f t="shared" si="228"/>
        <v>8.98</v>
      </c>
      <c r="M1350" s="9" t="str">
        <f t="shared" ref="M1350:M1413" si="237">IF($F1350="","",IF($AI1350&lt;&gt;"",$AI1350,$AL1350))</f>
        <v>563963-7</v>
      </c>
      <c r="N1350" s="24">
        <f>IF($A1350="","",WORKDAY($A1350,Settings!$C$9,HolidayDates))</f>
        <v>46205</v>
      </c>
      <c r="O1350" s="24">
        <f>IF($N1350="","",WORKDAY($N1350,Settings!$C$10,HolidayDates))</f>
        <v>46245</v>
      </c>
      <c r="P1350" s="10" t="s">
        <v>502</v>
      </c>
      <c r="Q1350" s="52" t="str">
        <f t="shared" si="229"/>
        <v>Collected</v>
      </c>
      <c r="R1350" s="55" t="str">
        <f t="shared" si="230"/>
        <v>2026-06</v>
      </c>
      <c r="S1350" s="55">
        <f>IF(OR($B1350="",$F1350="",$R1350=""),"",SUMIFS(tblIssues[Qty Issued],tblIssues[Staff ID],$B1350,tblIssues[Item Name],$F1350,tblIssues[Month],$R1350))</f>
        <v>2</v>
      </c>
      <c r="T1350" s="56">
        <f>IF($I1350="","",$I1350*Settings!$C$11)</f>
        <v>2</v>
      </c>
      <c r="U1350" s="57" t="str">
        <f t="shared" ref="U1350:U1413" si="238">IF(OR($S1350="",$T1350=""),"",IF($S1350&gt;$T1350,IF($Y1350="Approved","APPROVED BY TL","⚠ OVER QUOTA"),"OK"))</f>
        <v>OK</v>
      </c>
      <c r="V1350" s="55" t="str">
        <f t="shared" si="231"/>
        <v/>
      </c>
      <c r="W1350" s="55" t="str">
        <f>IF($V1350="","",IF(COUNTIF($V$5:$V1350,$V1350)=1,1,""))</f>
        <v/>
      </c>
      <c r="X1350" s="58" t="str">
        <f>IF($W1350="","",MAX($X$4:X1349)+1)</f>
        <v/>
      </c>
      <c r="Y1350" s="62"/>
      <c r="Z1350" s="62"/>
      <c r="AA1350" s="64" t="str">
        <f>IF($C1350="","",IFERROR(INDEX('Staff Directory'!$E$5:$E$594,MATCH($C1350,'Staff Directory'!$B$5:$B$594,0)),""))</f>
        <v>firstname042.lastname042@example.com</v>
      </c>
      <c r="AB1350" s="64" t="str">
        <f>IF($C1350="","",IF(ISNUMBER(SEARCH($D1350,Settings!$C$15)),"Pickup","Dispatch"))</f>
        <v>Dispatch</v>
      </c>
      <c r="AC1350" s="64" t="str">
        <f t="shared" si="232"/>
        <v>Supply order dispatched</v>
      </c>
      <c r="AD1350" s="64" t="str">
        <f t="shared" si="234"/>
        <v>Dear RPN,
Your order has been dispatched and is in transit. Reply if undelivered.</v>
      </c>
      <c r="AE1350" s="64" t="str">
        <f t="shared" si="235"/>
        <v>mailto:firstname042.lastname042@example.com?subject=Supply%20order%20dispatched&amp;body=Dear%20RPN%2C%0A%0AYour%20order%20has%20been%20dispatched%20and%20is%20in%20transit.%20Reply%20if%20undelivered.</v>
      </c>
      <c r="AF1350" s="89" t="str">
        <f t="shared" si="233"/>
        <v>Draft email</v>
      </c>
      <c r="AG1350" s="64" t="str">
        <f>IF($C1350="","",IFERROR(INDEX('Staff Directory'!$K$595:$K$599,MATCH($C1350,'Staff Directory'!$B$5:$B$599,0)),$D1350))</f>
        <v>RPN</v>
      </c>
      <c r="AH1350" t="str">
        <f>IF($C1350="","",IFERROR(INDEX('Staff Directory'!$I$595:$I$599,MATCH($C1350,'Staff Directory'!$B$5:$B$599,0))&amp;" "&amp;INDEX('Staff Directory'!$J$595:$J$599,MATCH($C1350,'Staff Directory'!$B$5:$B$599,0)),$AG1350))</f>
        <v>RPN</v>
      </c>
      <c r="AI1350" s="102"/>
      <c r="AJ1350" s="101">
        <f>IF($F1350="","",SUMIFS($J$5:$J1350,$F$5:$F1350,$F1350))</f>
        <v>116</v>
      </c>
      <c r="AK1350" s="101">
        <f t="shared" si="236"/>
        <v>115</v>
      </c>
      <c r="AL1350" s="66" t="str" cm="1">
        <f t="array" ref="AL1350">IF($F1350="","",IFERROR(INDEX('Lot Balance'!$B$5:$B$500,MATCH(1,INDEX(('Lot Balance'!$A$5:$A$500=$F1350)*('Lot Balance'!$K$5:$K$500&lt;$AK1350)*('Lot Balance'!$K$5:$K$500+'Lot Balance'!$D$5:$D$500&gt;=$AK1350),0),0)),""))</f>
        <v>563963-7</v>
      </c>
      <c r="AM1350" s="66" t="str" cm="1">
        <f t="array" ref="AM1350">IF($F1350="","",IFERROR(INDEX('Lot Balance'!$B$5:$B$500,MATCH(1,INDEX(('Lot Balance'!$A$5:$A$500=$F1350)*('Lot Balance'!$K$5:$K$500&lt;$AJ1350)*('Lot Balance'!$K$5:$K$500+'Lot Balance'!$D$5:$D$500&gt;=$AJ1350),0),0)),""))</f>
        <v>563963-7</v>
      </c>
      <c r="AN1350" s="66" t="str">
        <f>IF($F1350="","",IF($AI1350&lt;&gt;"",IF(COUNTIFS('Lot Balance'!$A$5:$A$500,$F1350,'Lot Balance'!$B$5:$B$500,$AI1350)=0,"⚠ override is not a lot of this item",IF($AI1350=$AL1350,"Override = FEFO","Override - FEFO says "&amp;$AL1350)),IF($AL1350="","⚠ no receipt on file for this item",IF($AM1350&lt;&gt;$AL1350,"FEFO auto - split, also "&amp;$AM1350,"FEFO auto"))))</f>
        <v>FEFO auto</v>
      </c>
      <c r="AO1350" s="114"/>
    </row>
    <row r="1351" spans="1:41" x14ac:dyDescent="0.35">
      <c r="A1351" s="74">
        <v>46197</v>
      </c>
      <c r="B1351" s="18" t="str">
        <f>IF($C1351="","",IFERROR(INDEX('Staff Directory'!$A$5:$A$594,MATCH($C1351,'Staff Directory'!$B$5:$B$594,0)),"⚠ unknown staff"))</f>
        <v>RPN-006-A1</v>
      </c>
      <c r="C1351" s="49" t="s">
        <v>958</v>
      </c>
      <c r="D1351" s="19" t="str">
        <f>IF($B1351="","",IFERROR(INDEX('Staff Directory'!$C$5:$C$594,MATCH($B1351,'Staff Directory'!$A$5:$A$594,0)),""))</f>
        <v>RPN</v>
      </c>
      <c r="E1351" s="19" t="str">
        <f>IF($B1351="","",IFERROR(INDEX('Staff Directory'!$D$5:$D$594,MATCH($B1351,'Staff Directory'!$A$5:$A$594,0)),""))</f>
        <v>A1</v>
      </c>
      <c r="F1351" s="9" t="s">
        <v>156</v>
      </c>
      <c r="G1351" s="18" t="str">
        <f>IF($F1351="","",IFERROR(INDEX(Items!$B$5:$B$597,MATCH($F1351,Items!$A$5:$A$597,0)),"⚠ not in Items"))</f>
        <v>Masks</v>
      </c>
      <c r="H1351" s="19" t="str">
        <f>IF($F1351="","",IFERROR(INDEX(Items!$C$5:$C$597,MATCH($F1351,Items!$A$5:$A$597,0)),""))</f>
        <v>One Size</v>
      </c>
      <c r="I1351" s="23">
        <f>IF($F1351="","",IFERROR(INDEX(Items!$E$5:$E$597,MATCH($F1351,Items!$A$5:$A$597,0)),""))</f>
        <v>50</v>
      </c>
      <c r="J1351" s="115">
        <f>IF(tblIssues[[#This Row],[Qty Override]]&lt;&gt;"",tblIssues[[#This Row],[Qty Override]],IF(tblIssues[[#This Row],[Standard Issue]]="","",tblIssues[[#This Row],[Standard Issue]]))</f>
        <v>50</v>
      </c>
      <c r="K1351" s="20">
        <f>IF($F1351="","",IFERROR(INDEX(Items!$D$5:$D$597,MATCH($F1351,Items!$A$5:$A$597,0)),""))</f>
        <v>0.25</v>
      </c>
      <c r="L1351" s="21">
        <f t="shared" si="228"/>
        <v>12.5</v>
      </c>
      <c r="M1351" s="9" t="str">
        <f t="shared" si="237"/>
        <v>24HA2050A7396</v>
      </c>
      <c r="N1351" s="24">
        <f>IF($A1351="","",WORKDAY($A1351,Settings!$C$9,HolidayDates))</f>
        <v>46205</v>
      </c>
      <c r="O1351" s="24">
        <f>IF($N1351="","",WORKDAY($N1351,Settings!$C$10,HolidayDates))</f>
        <v>46245</v>
      </c>
      <c r="P1351" s="10" t="s">
        <v>502</v>
      </c>
      <c r="Q1351" s="52" t="str">
        <f t="shared" si="229"/>
        <v>Collected</v>
      </c>
      <c r="R1351" s="55" t="str">
        <f t="shared" si="230"/>
        <v>2026-06</v>
      </c>
      <c r="S1351" s="55">
        <f>IF(OR($B1351="",$F1351="",$R1351=""),"",SUMIFS(tblIssues[Qty Issued],tblIssues[Staff ID],$B1351,tblIssues[Item Name],$F1351,tblIssues[Month],$R1351))</f>
        <v>50</v>
      </c>
      <c r="T1351" s="56">
        <f>IF($I1351="","",$I1351*Settings!$C$11)</f>
        <v>50</v>
      </c>
      <c r="U1351" s="57" t="str">
        <f t="shared" si="238"/>
        <v>OK</v>
      </c>
      <c r="V1351" s="55" t="str">
        <f t="shared" si="231"/>
        <v/>
      </c>
      <c r="W1351" s="55" t="str">
        <f>IF($V1351="","",IF(COUNTIF($V$5:$V1351,$V1351)=1,1,""))</f>
        <v/>
      </c>
      <c r="X1351" s="58" t="str">
        <f>IF($W1351="","",MAX($X$4:X1350)+1)</f>
        <v/>
      </c>
      <c r="Y1351" s="62"/>
      <c r="Z1351" s="62"/>
      <c r="AA1351" s="64" t="str">
        <f>IF($C1351="","",IFERROR(INDEX('Staff Directory'!$E$5:$E$594,MATCH($C1351,'Staff Directory'!$B$5:$B$594,0)),""))</f>
        <v>firstname042.lastname042@example.com</v>
      </c>
      <c r="AB1351" s="64" t="str">
        <f>IF($C1351="","",IF(ISNUMBER(SEARCH($D1351,Settings!$C$15)),"Pickup","Dispatch"))</f>
        <v>Dispatch</v>
      </c>
      <c r="AC1351" s="64" t="str">
        <f t="shared" si="232"/>
        <v>Supply order dispatched</v>
      </c>
      <c r="AD1351" s="64" t="str">
        <f t="shared" si="234"/>
        <v>Dear RPN,
Your order has been dispatched and is in transit. Reply if undelivered.</v>
      </c>
      <c r="AE1351" s="64" t="str">
        <f t="shared" si="235"/>
        <v>mailto:firstname042.lastname042@example.com?subject=Supply%20order%20dispatched&amp;body=Dear%20RPN%2C%0A%0AYour%20order%20has%20been%20dispatched%20and%20is%20in%20transit.%20Reply%20if%20undelivered.</v>
      </c>
      <c r="AF1351" s="89" t="str">
        <f t="shared" si="233"/>
        <v>Draft email</v>
      </c>
      <c r="AG1351" s="64" t="str">
        <f>IF($C1351="","",IFERROR(INDEX('Staff Directory'!$K$595:$K$599,MATCH($C1351,'Staff Directory'!$B$5:$B$599,0)),$D1351))</f>
        <v>RPN</v>
      </c>
      <c r="AH1351" t="str">
        <f>IF($C1351="","",IFERROR(INDEX('Staff Directory'!$I$595:$I$599,MATCH($C1351,'Staff Directory'!$B$5:$B$599,0))&amp;" "&amp;INDEX('Staff Directory'!$J$595:$J$599,MATCH($C1351,'Staff Directory'!$B$5:$B$599,0)),$AG1351))</f>
        <v>RPN</v>
      </c>
      <c r="AI1351" s="102"/>
      <c r="AJ1351" s="101">
        <f>IF($F1351="","",SUMIFS($J$5:$J1351,$F$5:$F1351,$F1351))</f>
        <v>11600</v>
      </c>
      <c r="AK1351" s="101">
        <f t="shared" si="236"/>
        <v>11551</v>
      </c>
      <c r="AL1351" s="66" t="str" cm="1">
        <f t="array" ref="AL1351">IF($F1351="","",IFERROR(INDEX('Lot Balance'!$B$5:$B$500,MATCH(1,INDEX(('Lot Balance'!$A$5:$A$500=$F1351)*('Lot Balance'!$K$5:$K$500&lt;$AK1351)*('Lot Balance'!$K$5:$K$500+'Lot Balance'!$D$5:$D$500&gt;=$AK1351),0),0)),""))</f>
        <v>24HA2050A7396</v>
      </c>
      <c r="AM1351" s="66" t="str" cm="1">
        <f t="array" ref="AM1351">IF($F1351="","",IFERROR(INDEX('Lot Balance'!$B$5:$B$500,MATCH(1,INDEX(('Lot Balance'!$A$5:$A$500=$F1351)*('Lot Balance'!$K$5:$K$500&lt;$AJ1351)*('Lot Balance'!$K$5:$K$500+'Lot Balance'!$D$5:$D$500&gt;=$AJ1351),0),0)),""))</f>
        <v>24HA2050A7396</v>
      </c>
      <c r="AN1351" s="66" t="str">
        <f>IF($F1351="","",IF($AI1351&lt;&gt;"",IF(COUNTIFS('Lot Balance'!$A$5:$A$500,$F1351,'Lot Balance'!$B$5:$B$500,$AI1351)=0,"⚠ override is not a lot of this item",IF($AI1351=$AL1351,"Override = FEFO","Override - FEFO says "&amp;$AL1351)),IF($AL1351="","⚠ no receipt on file for this item",IF($AM1351&lt;&gt;$AL1351,"FEFO auto - split, also "&amp;$AM1351,"FEFO auto"))))</f>
        <v>FEFO auto</v>
      </c>
      <c r="AO1351" s="114"/>
    </row>
    <row r="1352" spans="1:41" x14ac:dyDescent="0.35">
      <c r="A1352" s="74">
        <v>46197</v>
      </c>
      <c r="B1352" s="18" t="str">
        <f>IF($C1352="","",IFERROR(INDEX('Staff Directory'!$A$5:$A$594,MATCH($C1352,'Staff Directory'!$B$5:$B$594,0)),"⚠ unknown staff"))</f>
        <v>RPN-006-A1</v>
      </c>
      <c r="C1352" s="49" t="s">
        <v>958</v>
      </c>
      <c r="D1352" s="19" t="str">
        <f>IF($B1352="","",IFERROR(INDEX('Staff Directory'!$C$5:$C$594,MATCH($B1352,'Staff Directory'!$A$5:$A$594,0)),""))</f>
        <v>RPN</v>
      </c>
      <c r="E1352" s="19" t="str">
        <f>IF($B1352="","",IFERROR(INDEX('Staff Directory'!$D$5:$D$594,MATCH($B1352,'Staff Directory'!$A$5:$A$594,0)),""))</f>
        <v>A1</v>
      </c>
      <c r="F1352" s="9" t="s">
        <v>756</v>
      </c>
      <c r="G1352" s="18" t="str">
        <f>IF($F1352="","",IFERROR(INDEX(Items!$B$5:$B$597,MATCH($F1352,Items!$A$5:$A$597,0)),"⚠ not in Items"))</f>
        <v>Documents</v>
      </c>
      <c r="H1352" s="19" t="str">
        <f>IF($F1352="","",IFERROR(INDEX(Items!$C$5:$C$597,MATCH($F1352,Items!$A$5:$A$597,0)),""))</f>
        <v>Standard</v>
      </c>
      <c r="I1352" s="23">
        <f>IF($F1352="","",IFERROR(INDEX(Items!$E$5:$E$597,MATCH($F1352,Items!$A$5:$A$597,0)),""))</f>
        <v>10</v>
      </c>
      <c r="J1352" s="115">
        <f>IF(tblIssues[[#This Row],[Qty Override]]&lt;&gt;"",tblIssues[[#This Row],[Qty Override]],IF(tblIssues[[#This Row],[Standard Issue]]="","",tblIssues[[#This Row],[Standard Issue]]))</f>
        <v>10</v>
      </c>
      <c r="K1352" s="20">
        <f>IF($F1352="","",IFERROR(INDEX(Items!$D$5:$D$597,MATCH($F1352,Items!$A$5:$A$597,0)),""))</f>
        <v>0</v>
      </c>
      <c r="L1352" s="21">
        <f t="shared" ref="L1352:L1415" si="239">IF(OR($J1352="",$K1352=""),"",$J1352*$K1352)</f>
        <v>0</v>
      </c>
      <c r="M1352" s="9" t="str">
        <f t="shared" si="237"/>
        <v/>
      </c>
      <c r="N1352" s="24">
        <f>IF($A1352="","",WORKDAY($A1352,Settings!$C$9,HolidayDates))</f>
        <v>46205</v>
      </c>
      <c r="O1352" s="24">
        <f>IF($N1352="","",WORKDAY($N1352,Settings!$C$10,HolidayDates))</f>
        <v>46245</v>
      </c>
      <c r="P1352" s="10" t="s">
        <v>502</v>
      </c>
      <c r="Q1352" s="52" t="str">
        <f t="shared" si="229"/>
        <v>Collected</v>
      </c>
      <c r="R1352" s="55" t="str">
        <f t="shared" si="230"/>
        <v>2026-06</v>
      </c>
      <c r="S1352" s="55">
        <f>IF(OR($B1352="",$F1352="",$R1352=""),"",SUMIFS(tblIssues[Qty Issued],tblIssues[Staff ID],$B1352,tblIssues[Item Name],$F1352,tblIssues[Month],$R1352))</f>
        <v>10</v>
      </c>
      <c r="T1352" s="56">
        <f>IF($I1352="","",$I1352*Settings!$C$11)</f>
        <v>10</v>
      </c>
      <c r="U1352" s="57" t="str">
        <f t="shared" si="238"/>
        <v>OK</v>
      </c>
      <c r="V1352" s="55" t="str">
        <f t="shared" si="231"/>
        <v/>
      </c>
      <c r="W1352" s="55" t="str">
        <f>IF($V1352="","",IF(COUNTIF($V$5:$V1352,$V1352)=1,1,""))</f>
        <v/>
      </c>
      <c r="X1352" s="58" t="str">
        <f>IF($W1352="","",MAX($X$4:X1351)+1)</f>
        <v/>
      </c>
      <c r="Y1352" s="62"/>
      <c r="Z1352" s="62"/>
      <c r="AA1352" s="64" t="str">
        <f>IF($C1352="","",IFERROR(INDEX('Staff Directory'!$E$5:$E$594,MATCH($C1352,'Staff Directory'!$B$5:$B$594,0)),""))</f>
        <v>firstname042.lastname042@example.com</v>
      </c>
      <c r="AB1352" s="64" t="str">
        <f>IF($C1352="","",IF(ISNUMBER(SEARCH($D1352,Settings!$C$15)),"Pickup","Dispatch"))</f>
        <v>Dispatch</v>
      </c>
      <c r="AC1352" s="64" t="str">
        <f t="shared" si="232"/>
        <v>Supply order dispatched</v>
      </c>
      <c r="AD1352" s="64" t="str">
        <f t="shared" si="234"/>
        <v>Dear RPN,
Your order has been dispatched and is in transit. Reply if undelivered.</v>
      </c>
      <c r="AE1352" s="64" t="str">
        <f t="shared" si="235"/>
        <v>mailto:firstname042.lastname042@example.com?subject=Supply%20order%20dispatched&amp;body=Dear%20RPN%2C%0A%0AYour%20order%20has%20been%20dispatched%20and%20is%20in%20transit.%20Reply%20if%20undelivered.</v>
      </c>
      <c r="AF1352" s="89" t="str">
        <f t="shared" si="233"/>
        <v>Draft email</v>
      </c>
      <c r="AG1352" s="64" t="str">
        <f>IF($C1352="","",IFERROR(INDEX('Staff Directory'!$K$595:$K$599,MATCH($C1352,'Staff Directory'!$B$5:$B$599,0)),$D1352))</f>
        <v>RPN</v>
      </c>
      <c r="AH1352" t="str">
        <f>IF($C1352="","",IFERROR(INDEX('Staff Directory'!$I$595:$I$599,MATCH($C1352,'Staff Directory'!$B$5:$B$599,0))&amp;" "&amp;INDEX('Staff Directory'!$J$595:$J$599,MATCH($C1352,'Staff Directory'!$B$5:$B$599,0)),$AG1352))</f>
        <v>RPN</v>
      </c>
      <c r="AI1352" s="102"/>
      <c r="AJ1352" s="101">
        <f>IF($F1352="","",SUMIFS($J$5:$J1352,$F$5:$F1352,$F1352))</f>
        <v>30</v>
      </c>
      <c r="AK1352" s="101">
        <f t="shared" si="236"/>
        <v>21</v>
      </c>
      <c r="AL1352" s="66" t="str" cm="1">
        <f t="array" ref="AL1352">IF($F1352="","",IFERROR(INDEX('Lot Balance'!$B$5:$B$500,MATCH(1,INDEX(('Lot Balance'!$A$5:$A$500=$F1352)*('Lot Balance'!$K$5:$K$500&lt;$AK1352)*('Lot Balance'!$K$5:$K$500+'Lot Balance'!$D$5:$D$500&gt;=$AK1352),0),0)),""))</f>
        <v/>
      </c>
      <c r="AM1352" s="66" t="str" cm="1">
        <f t="array" ref="AM1352">IF($F1352="","",IFERROR(INDEX('Lot Balance'!$B$5:$B$500,MATCH(1,INDEX(('Lot Balance'!$A$5:$A$500=$F1352)*('Lot Balance'!$K$5:$K$500&lt;$AJ1352)*('Lot Balance'!$K$5:$K$500+'Lot Balance'!$D$5:$D$500&gt;=$AJ1352),0),0)),""))</f>
        <v/>
      </c>
      <c r="AN1352" s="66" t="str">
        <f>IF($F1352="","",IF($AI1352&lt;&gt;"",IF(COUNTIFS('Lot Balance'!$A$5:$A$500,$F1352,'Lot Balance'!$B$5:$B$500,$AI1352)=0,"⚠ override is not a lot of this item",IF($AI1352=$AL1352,"Override = FEFO","Override - FEFO says "&amp;$AL1352)),IF($AL1352="","⚠ no receipt on file for this item",IF($AM1352&lt;&gt;$AL1352,"FEFO auto - split, also "&amp;$AM1352,"FEFO auto"))))</f>
        <v>⚠ no receipt on file for this item</v>
      </c>
      <c r="AO1352" s="114"/>
    </row>
    <row r="1353" spans="1:41" x14ac:dyDescent="0.35">
      <c r="A1353" s="74">
        <v>46197</v>
      </c>
      <c r="B1353" s="18" t="str">
        <f>IF($C1353="","",IFERROR(INDEX('Staff Directory'!$A$5:$A$594,MATCH($C1353,'Staff Directory'!$B$5:$B$594,0)),"⚠ unknown staff"))</f>
        <v>PSW-134-A6</v>
      </c>
      <c r="C1353" s="49" t="s">
        <v>1113</v>
      </c>
      <c r="D1353" s="19" t="str">
        <f>IF($B1353="","",IFERROR(INDEX('Staff Directory'!$C$5:$C$594,MATCH($B1353,'Staff Directory'!$A$5:$A$594,0)),""))</f>
        <v>PSW</v>
      </c>
      <c r="E1353" s="19" t="str">
        <f>IF($B1353="","",IFERROR(INDEX('Staff Directory'!$D$5:$D$594,MATCH($B1353,'Staff Directory'!$A$5:$A$594,0)),""))</f>
        <v>A6</v>
      </c>
      <c r="F1353" s="9" t="s">
        <v>127</v>
      </c>
      <c r="G1353" s="18" t="str">
        <f>IF($F1353="","",IFERROR(INDEX(Items!$B$5:$B$597,MATCH($F1353,Items!$A$5:$A$597,0)),"⚠ not in Items"))</f>
        <v>Gloves</v>
      </c>
      <c r="H1353" s="19" t="str">
        <f>IF($F1353="","",IFERROR(INDEX(Items!$C$5:$C$597,MATCH($F1353,Items!$A$5:$A$597,0)),""))</f>
        <v>Medium</v>
      </c>
      <c r="I1353" s="23">
        <f>IF($F1353="","",IFERROR(INDEX(Items!$E$5:$E$597,MATCH($F1353,Items!$A$5:$A$597,0)),""))</f>
        <v>500</v>
      </c>
      <c r="J1353" s="115">
        <f>IF(tblIssues[[#This Row],[Qty Override]]&lt;&gt;"",tblIssues[[#This Row],[Qty Override]],IF(tblIssues[[#This Row],[Standard Issue]]="","",tblIssues[[#This Row],[Standard Issue]]))</f>
        <v>500</v>
      </c>
      <c r="K1353" s="20">
        <f>IF($F1353="","",IFERROR(INDEX(Items!$D$5:$D$597,MATCH($F1353,Items!$A$5:$A$597,0)),""))</f>
        <v>5.5E-2</v>
      </c>
      <c r="L1353" s="21">
        <f t="shared" si="239"/>
        <v>27.5</v>
      </c>
      <c r="M1353" s="9" t="str">
        <f t="shared" si="237"/>
        <v>ZIM510137962-1</v>
      </c>
      <c r="N1353" s="24">
        <f>IF($A1353="","",WORKDAY($A1353,Settings!$C$9,HolidayDates))</f>
        <v>46205</v>
      </c>
      <c r="O1353" s="24">
        <f>IF($N1353="","",WORKDAY($N1353,Settings!$C$10,HolidayDates))</f>
        <v>46245</v>
      </c>
      <c r="P1353" s="10" t="s">
        <v>501</v>
      </c>
      <c r="Q1353" s="52" t="str">
        <f t="shared" si="229"/>
        <v>Collected</v>
      </c>
      <c r="R1353" s="55" t="str">
        <f t="shared" si="230"/>
        <v>2026-06</v>
      </c>
      <c r="S1353" s="55">
        <f>IF(OR($B1353="",$F1353="",$R1353=""),"",SUMIFS(tblIssues[Qty Issued],tblIssues[Staff ID],$B1353,tblIssues[Item Name],$F1353,tblIssues[Month],$R1353))</f>
        <v>500</v>
      </c>
      <c r="T1353" s="56">
        <f>IF($I1353="","",$I1353*Settings!$C$11)</f>
        <v>500</v>
      </c>
      <c r="U1353" s="57" t="str">
        <f t="shared" si="238"/>
        <v>OK</v>
      </c>
      <c r="V1353" s="55" t="str">
        <f t="shared" si="231"/>
        <v/>
      </c>
      <c r="W1353" s="55" t="str">
        <f>IF($V1353="","",IF(COUNTIF($V$5:$V1353,$V1353)=1,1,""))</f>
        <v/>
      </c>
      <c r="X1353" s="58" t="str">
        <f>IF($W1353="","",MAX($X$4:X1352)+1)</f>
        <v/>
      </c>
      <c r="Y1353" s="62"/>
      <c r="Z1353" s="62"/>
      <c r="AA1353" s="64" t="str">
        <f>IF($C1353="","",IFERROR(INDEX('Staff Directory'!$E$5:$E$594,MATCH($C1353,'Staff Directory'!$B$5:$B$594,0)),""))</f>
        <v>firstname197.lastname197@example.com</v>
      </c>
      <c r="AB1353" s="64" t="str">
        <f>IF($C1353="","",IF(ISNUMBER(SEARCH($D1353,Settings!$C$15)),"Pickup","Dispatch"))</f>
        <v>Pickup</v>
      </c>
      <c r="AC1353" s="64" t="str">
        <f t="shared" si="232"/>
        <v>Supply order ready for pickup</v>
      </c>
      <c r="AD1353" s="64" t="str">
        <f t="shared" si="234"/>
        <v>Dear PSW,
Your order is ready for pickup from Sample Branch, Wed-Fri 9am-4pm.</v>
      </c>
      <c r="AE1353" s="64" t="str">
        <f t="shared" si="235"/>
        <v>mailto:firstname197.lastname197@example.com?subject=Supply%20order%20ready%20for%20pickup&amp;body=Dear%20PSW%2C%0A%0AYour%20order%20is%20ready%20for%20pickup%20from%20Sample%20Branch%2C%20Wed-Fri%209am-4pm.</v>
      </c>
      <c r="AF1353" s="89" t="str">
        <f t="shared" si="233"/>
        <v>Draft email</v>
      </c>
      <c r="AG1353" s="64" t="str">
        <f>IF($C1353="","",IFERROR(INDEX('Staff Directory'!$K$595:$K$599,MATCH($C1353,'Staff Directory'!$B$5:$B$599,0)),$D1353))</f>
        <v>PSW</v>
      </c>
      <c r="AH1353" t="str">
        <f>IF($C1353="","",IFERROR(INDEX('Staff Directory'!$I$595:$I$599,MATCH($C1353,'Staff Directory'!$B$5:$B$599,0))&amp;" "&amp;INDEX('Staff Directory'!$J$595:$J$599,MATCH($C1353,'Staff Directory'!$B$5:$B$599,0)),$AG1353))</f>
        <v>PSW</v>
      </c>
      <c r="AI1353" s="102"/>
      <c r="AJ1353" s="101">
        <f>IF($F1353="","",SUMIFS($J$5:$J1353,$F$5:$F1353,$F1353))</f>
        <v>84000</v>
      </c>
      <c r="AK1353" s="101">
        <f t="shared" si="236"/>
        <v>83501</v>
      </c>
      <c r="AL1353" s="66" t="str" cm="1">
        <f t="array" ref="AL1353">IF($F1353="","",IFERROR(INDEX('Lot Balance'!$B$5:$B$500,MATCH(1,INDEX(('Lot Balance'!$A$5:$A$500=$F1353)*('Lot Balance'!$K$5:$K$500&lt;$AK1353)*('Lot Balance'!$K$5:$K$500+'Lot Balance'!$D$5:$D$500&gt;=$AK1353),0),0)),""))</f>
        <v>ZIM510137962-1</v>
      </c>
      <c r="AM1353" s="66" t="str" cm="1">
        <f t="array" ref="AM1353">IF($F1353="","",IFERROR(INDEX('Lot Balance'!$B$5:$B$500,MATCH(1,INDEX(('Lot Balance'!$A$5:$A$500=$F1353)*('Lot Balance'!$K$5:$K$500&lt;$AJ1353)*('Lot Balance'!$K$5:$K$500+'Lot Balance'!$D$5:$D$500&gt;=$AJ1353),0),0)),""))</f>
        <v>ZIM510137962-1</v>
      </c>
      <c r="AN1353" s="66" t="str">
        <f>IF($F1353="","",IF($AI1353&lt;&gt;"",IF(COUNTIFS('Lot Balance'!$A$5:$A$500,$F1353,'Lot Balance'!$B$5:$B$500,$AI1353)=0,"⚠ override is not a lot of this item",IF($AI1353=$AL1353,"Override = FEFO","Override - FEFO says "&amp;$AL1353)),IF($AL1353="","⚠ no receipt on file for this item",IF($AM1353&lt;&gt;$AL1353,"FEFO auto - split, also "&amp;$AM1353,"FEFO auto"))))</f>
        <v>FEFO auto</v>
      </c>
      <c r="AO1353" s="114"/>
    </row>
    <row r="1354" spans="1:41" x14ac:dyDescent="0.35">
      <c r="A1354" s="74">
        <v>46197</v>
      </c>
      <c r="B1354" s="18" t="str">
        <f>IF($C1354="","",IFERROR(INDEX('Staff Directory'!$A$5:$A$594,MATCH($C1354,'Staff Directory'!$B$5:$B$594,0)),"⚠ unknown staff"))</f>
        <v>PSW-134-A6</v>
      </c>
      <c r="C1354" s="49" t="s">
        <v>1113</v>
      </c>
      <c r="D1354" s="19" t="str">
        <f>IF($B1354="","",IFERROR(INDEX('Staff Directory'!$C$5:$C$594,MATCH($B1354,'Staff Directory'!$A$5:$A$594,0)),""))</f>
        <v>PSW</v>
      </c>
      <c r="E1354" s="19" t="str">
        <f>IF($B1354="","",IFERROR(INDEX('Staff Directory'!$D$5:$D$594,MATCH($B1354,'Staff Directory'!$A$5:$A$594,0)),""))</f>
        <v>A6</v>
      </c>
      <c r="F1354" s="9" t="s">
        <v>191</v>
      </c>
      <c r="G1354" s="18" t="str">
        <f>IF($F1354="","",IFERROR(INDEX(Items!$B$5:$B$597,MATCH($F1354,Items!$A$5:$A$597,0)),"⚠ not in Items"))</f>
        <v>Sanitizer</v>
      </c>
      <c r="H1354" s="19" t="str">
        <f>IF($F1354="","",IFERROR(INDEX(Items!$C$5:$C$597,MATCH($F1354,Items!$A$5:$A$597,0)),""))</f>
        <v>236 ML</v>
      </c>
      <c r="I1354" s="23">
        <f>IF($F1354="","",IFERROR(INDEX(Items!$E$5:$E$597,MATCH($F1354,Items!$A$5:$A$597,0)),""))</f>
        <v>1</v>
      </c>
      <c r="J1354" s="115">
        <f>IF(tblIssues[[#This Row],[Qty Override]]&lt;&gt;"",tblIssues[[#This Row],[Qty Override]],IF(tblIssues[[#This Row],[Standard Issue]]="","",tblIssues[[#This Row],[Standard Issue]]))</f>
        <v>1</v>
      </c>
      <c r="K1354" s="20">
        <f>IF($F1354="","",IFERROR(INDEX(Items!$D$5:$D$597,MATCH($F1354,Items!$A$5:$A$597,0)),""))</f>
        <v>1E-4</v>
      </c>
      <c r="L1354" s="21">
        <f t="shared" si="239"/>
        <v>1E-4</v>
      </c>
      <c r="M1354" s="9" t="str">
        <f t="shared" si="237"/>
        <v/>
      </c>
      <c r="N1354" s="24">
        <f>IF($A1354="","",WORKDAY($A1354,Settings!$C$9,HolidayDates))</f>
        <v>46205</v>
      </c>
      <c r="O1354" s="24">
        <f>IF($N1354="","",WORKDAY($N1354,Settings!$C$10,HolidayDates))</f>
        <v>46245</v>
      </c>
      <c r="P1354" s="10" t="s">
        <v>501</v>
      </c>
      <c r="Q1354" s="52" t="str">
        <f t="shared" si="229"/>
        <v>Collected</v>
      </c>
      <c r="R1354" s="55" t="str">
        <f t="shared" si="230"/>
        <v>2026-06</v>
      </c>
      <c r="S1354" s="55">
        <f>IF(OR($B1354="",$F1354="",$R1354=""),"",SUMIFS(tblIssues[Qty Issued],tblIssues[Staff ID],$B1354,tblIssues[Item Name],$F1354,tblIssues[Month],$R1354))</f>
        <v>1</v>
      </c>
      <c r="T1354" s="56">
        <f>IF($I1354="","",$I1354*Settings!$C$11)</f>
        <v>1</v>
      </c>
      <c r="U1354" s="57" t="str">
        <f t="shared" si="238"/>
        <v>OK</v>
      </c>
      <c r="V1354" s="55" t="str">
        <f t="shared" si="231"/>
        <v/>
      </c>
      <c r="W1354" s="55" t="str">
        <f>IF($V1354="","",IF(COUNTIF($V$5:$V1354,$V1354)=1,1,""))</f>
        <v/>
      </c>
      <c r="X1354" s="58" t="str">
        <f>IF($W1354="","",MAX($X$4:X1353)+1)</f>
        <v/>
      </c>
      <c r="Y1354" s="62"/>
      <c r="Z1354" s="62"/>
      <c r="AA1354" s="64" t="str">
        <f>IF($C1354="","",IFERROR(INDEX('Staff Directory'!$E$5:$E$594,MATCH($C1354,'Staff Directory'!$B$5:$B$594,0)),""))</f>
        <v>firstname197.lastname197@example.com</v>
      </c>
      <c r="AB1354" s="64" t="str">
        <f>IF($C1354="","",IF(ISNUMBER(SEARCH($D1354,Settings!$C$15)),"Pickup","Dispatch"))</f>
        <v>Pickup</v>
      </c>
      <c r="AC1354" s="64" t="str">
        <f t="shared" si="232"/>
        <v>Supply order ready for pickup</v>
      </c>
      <c r="AD1354" s="64" t="str">
        <f t="shared" si="234"/>
        <v>Dear PSW,
Your order is ready for pickup from Sample Branch, Wed-Fri 9am-4pm.</v>
      </c>
      <c r="AE1354" s="64" t="str">
        <f t="shared" si="235"/>
        <v>mailto:firstname197.lastname197@example.com?subject=Supply%20order%20ready%20for%20pickup&amp;body=Dear%20PSW%2C%0A%0AYour%20order%20is%20ready%20for%20pickup%20from%20Sample%20Branch%2C%20Wed-Fri%209am-4pm.</v>
      </c>
      <c r="AF1354" s="89" t="str">
        <f t="shared" si="233"/>
        <v>Draft email</v>
      </c>
      <c r="AG1354" s="64" t="str">
        <f>IF($C1354="","",IFERROR(INDEX('Staff Directory'!$K$595:$K$599,MATCH($C1354,'Staff Directory'!$B$5:$B$599,0)),$D1354))</f>
        <v>PSW</v>
      </c>
      <c r="AH1354" t="str">
        <f>IF($C1354="","",IFERROR(INDEX('Staff Directory'!$I$595:$I$599,MATCH($C1354,'Staff Directory'!$B$5:$B$599,0))&amp;" "&amp;INDEX('Staff Directory'!$J$595:$J$599,MATCH($C1354,'Staff Directory'!$B$5:$B$599,0)),$AG1354))</f>
        <v>PSW</v>
      </c>
      <c r="AI1354" s="102"/>
      <c r="AJ1354" s="101">
        <f>IF($F1354="","",SUMIFS($J$5:$J1354,$F$5:$F1354,$F1354))</f>
        <v>182</v>
      </c>
      <c r="AK1354" s="101">
        <f t="shared" si="236"/>
        <v>182</v>
      </c>
      <c r="AL1354" s="66" t="str" cm="1">
        <f t="array" ref="AL1354">IF($F1354="","",IFERROR(INDEX('Lot Balance'!$B$5:$B$500,MATCH(1,INDEX(('Lot Balance'!$A$5:$A$500=$F1354)*('Lot Balance'!$K$5:$K$500&lt;$AK1354)*('Lot Balance'!$K$5:$K$500+'Lot Balance'!$D$5:$D$500&gt;=$AK1354),0),0)),""))</f>
        <v/>
      </c>
      <c r="AM1354" s="66" t="str" cm="1">
        <f t="array" ref="AM1354">IF($F1354="","",IFERROR(INDEX('Lot Balance'!$B$5:$B$500,MATCH(1,INDEX(('Lot Balance'!$A$5:$A$500=$F1354)*('Lot Balance'!$K$5:$K$500&lt;$AJ1354)*('Lot Balance'!$K$5:$K$500+'Lot Balance'!$D$5:$D$500&gt;=$AJ1354),0),0)),""))</f>
        <v/>
      </c>
      <c r="AN1354" s="66" t="str">
        <f>IF($F1354="","",IF($AI1354&lt;&gt;"",IF(COUNTIFS('Lot Balance'!$A$5:$A$500,$F1354,'Lot Balance'!$B$5:$B$500,$AI1354)=0,"⚠ override is not a lot of this item",IF($AI1354=$AL1354,"Override = FEFO","Override - FEFO says "&amp;$AL1354)),IF($AL1354="","⚠ no receipt on file for this item",IF($AM1354&lt;&gt;$AL1354,"FEFO auto - split, also "&amp;$AM1354,"FEFO auto"))))</f>
        <v>⚠ no receipt on file for this item</v>
      </c>
      <c r="AO1354" s="114"/>
    </row>
    <row r="1355" spans="1:41" x14ac:dyDescent="0.35">
      <c r="A1355" s="74">
        <v>46197</v>
      </c>
      <c r="B1355" s="18" t="str">
        <f>IF($C1355="","",IFERROR(INDEX('Staff Directory'!$A$5:$A$594,MATCH($C1355,'Staff Directory'!$B$5:$B$594,0)),"⚠ unknown staff"))</f>
        <v>PSW-134-A6</v>
      </c>
      <c r="C1355" s="49" t="s">
        <v>1113</v>
      </c>
      <c r="D1355" s="19" t="str">
        <f>IF($B1355="","",IFERROR(INDEX('Staff Directory'!$C$5:$C$594,MATCH($B1355,'Staff Directory'!$A$5:$A$594,0)),""))</f>
        <v>PSW</v>
      </c>
      <c r="E1355" s="19" t="str">
        <f>IF($B1355="","",IFERROR(INDEX('Staff Directory'!$D$5:$D$594,MATCH($B1355,'Staff Directory'!$A$5:$A$594,0)),""))</f>
        <v>A6</v>
      </c>
      <c r="F1355" s="9" t="s">
        <v>156</v>
      </c>
      <c r="G1355" s="18" t="str">
        <f>IF($F1355="","",IFERROR(INDEX(Items!$B$5:$B$597,MATCH($F1355,Items!$A$5:$A$597,0)),"⚠ not in Items"))</f>
        <v>Masks</v>
      </c>
      <c r="H1355" s="19" t="str">
        <f>IF($F1355="","",IFERROR(INDEX(Items!$C$5:$C$597,MATCH($F1355,Items!$A$5:$A$597,0)),""))</f>
        <v>One Size</v>
      </c>
      <c r="I1355" s="23">
        <f>IF($F1355="","",IFERROR(INDEX(Items!$E$5:$E$597,MATCH($F1355,Items!$A$5:$A$597,0)),""))</f>
        <v>50</v>
      </c>
      <c r="J1355" s="115">
        <f>IF(tblIssues[[#This Row],[Qty Override]]&lt;&gt;"",tblIssues[[#This Row],[Qty Override]],IF(tblIssues[[#This Row],[Standard Issue]]="","",tblIssues[[#This Row],[Standard Issue]]))</f>
        <v>50</v>
      </c>
      <c r="K1355" s="20">
        <f>IF($F1355="","",IFERROR(INDEX(Items!$D$5:$D$597,MATCH($F1355,Items!$A$5:$A$597,0)),""))</f>
        <v>0.25</v>
      </c>
      <c r="L1355" s="21">
        <f t="shared" si="239"/>
        <v>12.5</v>
      </c>
      <c r="M1355" s="9" t="str">
        <f t="shared" si="237"/>
        <v>24HA2050A7396</v>
      </c>
      <c r="N1355" s="24">
        <f>IF($A1355="","",WORKDAY($A1355,Settings!$C$9,HolidayDates))</f>
        <v>46205</v>
      </c>
      <c r="O1355" s="24">
        <f>IF($N1355="","",WORKDAY($N1355,Settings!$C$10,HolidayDates))</f>
        <v>46245</v>
      </c>
      <c r="P1355" s="10" t="s">
        <v>501</v>
      </c>
      <c r="Q1355" s="52" t="str">
        <f t="shared" si="229"/>
        <v>Collected</v>
      </c>
      <c r="R1355" s="55" t="str">
        <f t="shared" si="230"/>
        <v>2026-06</v>
      </c>
      <c r="S1355" s="55">
        <f>IF(OR($B1355="",$F1355="",$R1355=""),"",SUMIFS(tblIssues[Qty Issued],tblIssues[Staff ID],$B1355,tblIssues[Item Name],$F1355,tblIssues[Month],$R1355))</f>
        <v>50</v>
      </c>
      <c r="T1355" s="56">
        <f>IF($I1355="","",$I1355*Settings!$C$11)</f>
        <v>50</v>
      </c>
      <c r="U1355" s="57" t="str">
        <f t="shared" si="238"/>
        <v>OK</v>
      </c>
      <c r="V1355" s="55" t="str">
        <f t="shared" si="231"/>
        <v/>
      </c>
      <c r="W1355" s="55" t="str">
        <f>IF($V1355="","",IF(COUNTIF($V$5:$V1355,$V1355)=1,1,""))</f>
        <v/>
      </c>
      <c r="X1355" s="58" t="str">
        <f>IF($W1355="","",MAX($X$4:X1354)+1)</f>
        <v/>
      </c>
      <c r="Y1355" s="62"/>
      <c r="Z1355" s="62"/>
      <c r="AA1355" s="64" t="str">
        <f>IF($C1355="","",IFERROR(INDEX('Staff Directory'!$E$5:$E$594,MATCH($C1355,'Staff Directory'!$B$5:$B$594,0)),""))</f>
        <v>firstname197.lastname197@example.com</v>
      </c>
      <c r="AB1355" s="64" t="str">
        <f>IF($C1355="","",IF(ISNUMBER(SEARCH($D1355,Settings!$C$15)),"Pickup","Dispatch"))</f>
        <v>Pickup</v>
      </c>
      <c r="AC1355" s="64" t="str">
        <f t="shared" si="232"/>
        <v>Supply order ready for pickup</v>
      </c>
      <c r="AD1355" s="64" t="str">
        <f t="shared" si="234"/>
        <v>Dear PSW,
Your order is ready for pickup from Sample Branch, Wed-Fri 9am-4pm.</v>
      </c>
      <c r="AE1355" s="64" t="str">
        <f t="shared" si="235"/>
        <v>mailto:firstname197.lastname197@example.com?subject=Supply%20order%20ready%20for%20pickup&amp;body=Dear%20PSW%2C%0A%0AYour%20order%20is%20ready%20for%20pickup%20from%20Sample%20Branch%2C%20Wed-Fri%209am-4pm.</v>
      </c>
      <c r="AF1355" s="89" t="str">
        <f t="shared" si="233"/>
        <v>Draft email</v>
      </c>
      <c r="AG1355" s="64" t="str">
        <f>IF($C1355="","",IFERROR(INDEX('Staff Directory'!$K$595:$K$599,MATCH($C1355,'Staff Directory'!$B$5:$B$599,0)),$D1355))</f>
        <v>PSW</v>
      </c>
      <c r="AH1355" t="str">
        <f>IF($C1355="","",IFERROR(INDEX('Staff Directory'!$I$595:$I$599,MATCH($C1355,'Staff Directory'!$B$5:$B$599,0))&amp;" "&amp;INDEX('Staff Directory'!$J$595:$J$599,MATCH($C1355,'Staff Directory'!$B$5:$B$599,0)),$AG1355))</f>
        <v>PSW</v>
      </c>
      <c r="AI1355" s="102"/>
      <c r="AJ1355" s="101">
        <f>IF($F1355="","",SUMIFS($J$5:$J1355,$F$5:$F1355,$F1355))</f>
        <v>11650</v>
      </c>
      <c r="AK1355" s="101">
        <f t="shared" si="236"/>
        <v>11601</v>
      </c>
      <c r="AL1355" s="66" t="str" cm="1">
        <f t="array" ref="AL1355">IF($F1355="","",IFERROR(INDEX('Lot Balance'!$B$5:$B$500,MATCH(1,INDEX(('Lot Balance'!$A$5:$A$500=$F1355)*('Lot Balance'!$K$5:$K$500&lt;$AK1355)*('Lot Balance'!$K$5:$K$500+'Lot Balance'!$D$5:$D$500&gt;=$AK1355),0),0)),""))</f>
        <v>24HA2050A7396</v>
      </c>
      <c r="AM1355" s="66" t="str" cm="1">
        <f t="array" ref="AM1355">IF($F1355="","",IFERROR(INDEX('Lot Balance'!$B$5:$B$500,MATCH(1,INDEX(('Lot Balance'!$A$5:$A$500=$F1355)*('Lot Balance'!$K$5:$K$500&lt;$AJ1355)*('Lot Balance'!$K$5:$K$500+'Lot Balance'!$D$5:$D$500&gt;=$AJ1355),0),0)),""))</f>
        <v>24HA2050A7396</v>
      </c>
      <c r="AN1355" s="66" t="str">
        <f>IF($F1355="","",IF($AI1355&lt;&gt;"",IF(COUNTIFS('Lot Balance'!$A$5:$A$500,$F1355,'Lot Balance'!$B$5:$B$500,$AI1355)=0,"⚠ override is not a lot of this item",IF($AI1355=$AL1355,"Override = FEFO","Override - FEFO says "&amp;$AL1355)),IF($AL1355="","⚠ no receipt on file for this item",IF($AM1355&lt;&gt;$AL1355,"FEFO auto - split, also "&amp;$AM1355,"FEFO auto"))))</f>
        <v>FEFO auto</v>
      </c>
      <c r="AO1355" s="114"/>
    </row>
    <row r="1356" spans="1:41" x14ac:dyDescent="0.35">
      <c r="A1356" s="74">
        <v>46197</v>
      </c>
      <c r="B1356" s="18" t="str">
        <f>IF($C1356="","",IFERROR(INDEX('Staff Directory'!$A$5:$A$594,MATCH($C1356,'Staff Directory'!$B$5:$B$594,0)),"⚠ unknown staff"))</f>
        <v>PSW-078-A4</v>
      </c>
      <c r="C1356" s="49" t="s">
        <v>1054</v>
      </c>
      <c r="D1356" s="19" t="str">
        <f>IF($B1356="","",IFERROR(INDEX('Staff Directory'!$C$5:$C$594,MATCH($B1356,'Staff Directory'!$A$5:$A$594,0)),""))</f>
        <v>PSW</v>
      </c>
      <c r="E1356" s="19" t="str">
        <f>IF($B1356="","",IFERROR(INDEX('Staff Directory'!$D$5:$D$594,MATCH($B1356,'Staff Directory'!$A$5:$A$594,0)),""))</f>
        <v>A4</v>
      </c>
      <c r="F1356" s="9" t="s">
        <v>129</v>
      </c>
      <c r="G1356" s="18" t="str">
        <f>IF($F1356="","",IFERROR(INDEX(Items!$B$5:$B$597,MATCH($F1356,Items!$A$5:$A$597,0)),"⚠ not in Items"))</f>
        <v>Gloves</v>
      </c>
      <c r="H1356" s="19" t="str">
        <f>IF($F1356="","",IFERROR(INDEX(Items!$C$5:$C$597,MATCH($F1356,Items!$A$5:$A$597,0)),""))</f>
        <v>Small</v>
      </c>
      <c r="I1356" s="23">
        <f>IF($F1356="","",IFERROR(INDEX(Items!$E$5:$E$597,MATCH($F1356,Items!$A$5:$A$597,0)),""))</f>
        <v>500</v>
      </c>
      <c r="J1356" s="115">
        <f>IF(tblIssues[[#This Row],[Qty Override]]&lt;&gt;"",tblIssues[[#This Row],[Qty Override]],IF(tblIssues[[#This Row],[Standard Issue]]="","",tblIssues[[#This Row],[Standard Issue]]))</f>
        <v>500</v>
      </c>
      <c r="K1356" s="20">
        <f>IF($F1356="","",IFERROR(INDEX(Items!$D$5:$D$597,MATCH($F1356,Items!$A$5:$A$597,0)),""))</f>
        <v>5.5E-2</v>
      </c>
      <c r="L1356" s="21">
        <f t="shared" si="239"/>
        <v>27.5</v>
      </c>
      <c r="M1356" s="9" t="str">
        <f t="shared" si="237"/>
        <v>ZIM504124207-8</v>
      </c>
      <c r="N1356" s="24">
        <f>IF($A1356="","",WORKDAY($A1356,Settings!$C$9,HolidayDates))</f>
        <v>46205</v>
      </c>
      <c r="O1356" s="24">
        <f>IF($N1356="","",WORKDAY($N1356,Settings!$C$10,HolidayDates))</f>
        <v>46245</v>
      </c>
      <c r="P1356" s="10" t="s">
        <v>501</v>
      </c>
      <c r="Q1356" s="52" t="str">
        <f t="shared" si="229"/>
        <v>Collected</v>
      </c>
      <c r="R1356" s="55" t="str">
        <f t="shared" si="230"/>
        <v>2026-06</v>
      </c>
      <c r="S1356" s="55">
        <f>IF(OR($B1356="",$F1356="",$R1356=""),"",SUMIFS(tblIssues[Qty Issued],tblIssues[Staff ID],$B1356,tblIssues[Item Name],$F1356,tblIssues[Month],$R1356))</f>
        <v>500</v>
      </c>
      <c r="T1356" s="56">
        <f>IF($I1356="","",$I1356*Settings!$C$11)</f>
        <v>500</v>
      </c>
      <c r="U1356" s="57" t="str">
        <f t="shared" si="238"/>
        <v>OK</v>
      </c>
      <c r="V1356" s="55" t="str">
        <f t="shared" si="231"/>
        <v/>
      </c>
      <c r="W1356" s="55" t="str">
        <f>IF($V1356="","",IF(COUNTIF($V$5:$V1356,$V1356)=1,1,""))</f>
        <v/>
      </c>
      <c r="X1356" s="58" t="str">
        <f>IF($W1356="","",MAX($X$4:X1355)+1)</f>
        <v/>
      </c>
      <c r="Y1356" s="62"/>
      <c r="Z1356" s="62"/>
      <c r="AA1356" s="64" t="str">
        <f>IF($C1356="","",IFERROR(INDEX('Staff Directory'!$E$5:$E$594,MATCH($C1356,'Staff Directory'!$B$5:$B$594,0)),""))</f>
        <v>firstname138.lastname138@example.com</v>
      </c>
      <c r="AB1356" s="64" t="str">
        <f>IF($C1356="","",IF(ISNUMBER(SEARCH($D1356,Settings!$C$15)),"Pickup","Dispatch"))</f>
        <v>Pickup</v>
      </c>
      <c r="AC1356" s="64" t="str">
        <f t="shared" si="232"/>
        <v>Supply order ready for pickup</v>
      </c>
      <c r="AD1356" s="64" t="str">
        <f t="shared" si="234"/>
        <v>Dear PSW,
Your order is ready for pickup from Sample Branch, Wed-Fri 9am-4pm.</v>
      </c>
      <c r="AE1356" s="64" t="str">
        <f t="shared" si="235"/>
        <v>mailto:firstname138.lastname138@example.com?subject=Supply%20order%20ready%20for%20pickup&amp;body=Dear%20PSW%2C%0A%0AYour%20order%20is%20ready%20for%20pickup%20from%20Sample%20Branch%2C%20Wed-Fri%209am-4pm.</v>
      </c>
      <c r="AF1356" s="89" t="str">
        <f t="shared" si="233"/>
        <v>Draft email</v>
      </c>
      <c r="AG1356" s="64" t="str">
        <f>IF($C1356="","",IFERROR(INDEX('Staff Directory'!$K$595:$K$599,MATCH($C1356,'Staff Directory'!$B$5:$B$599,0)),$D1356))</f>
        <v>PSW</v>
      </c>
      <c r="AH1356" t="str">
        <f>IF($C1356="","",IFERROR(INDEX('Staff Directory'!$I$595:$I$599,MATCH($C1356,'Staff Directory'!$B$5:$B$599,0))&amp;" "&amp;INDEX('Staff Directory'!$J$595:$J$599,MATCH($C1356,'Staff Directory'!$B$5:$B$599,0)),$AG1356))</f>
        <v>PSW</v>
      </c>
      <c r="AI1356" s="102"/>
      <c r="AJ1356" s="101">
        <f>IF($F1356="","",SUMIFS($J$5:$J1356,$F$5:$F1356,$F1356))</f>
        <v>41500</v>
      </c>
      <c r="AK1356" s="101">
        <f t="shared" si="236"/>
        <v>41001</v>
      </c>
      <c r="AL1356" s="66" t="str" cm="1">
        <f t="array" ref="AL1356">IF($F1356="","",IFERROR(INDEX('Lot Balance'!$B$5:$B$500,MATCH(1,INDEX(('Lot Balance'!$A$5:$A$500=$F1356)*('Lot Balance'!$K$5:$K$500&lt;$AK1356)*('Lot Balance'!$K$5:$K$500+'Lot Balance'!$D$5:$D$500&gt;=$AK1356),0),0)),""))</f>
        <v>ZIM504124207-8</v>
      </c>
      <c r="AM1356" s="66" t="str" cm="1">
        <f t="array" ref="AM1356">IF($F1356="","",IFERROR(INDEX('Lot Balance'!$B$5:$B$500,MATCH(1,INDEX(('Lot Balance'!$A$5:$A$500=$F1356)*('Lot Balance'!$K$5:$K$500&lt;$AJ1356)*('Lot Balance'!$K$5:$K$500+'Lot Balance'!$D$5:$D$500&gt;=$AJ1356),0),0)),""))</f>
        <v>ZIM504124207-8</v>
      </c>
      <c r="AN1356" s="66" t="str">
        <f>IF($F1356="","",IF($AI1356&lt;&gt;"",IF(COUNTIFS('Lot Balance'!$A$5:$A$500,$F1356,'Lot Balance'!$B$5:$B$500,$AI1356)=0,"⚠ override is not a lot of this item",IF($AI1356=$AL1356,"Override = FEFO","Override - FEFO says "&amp;$AL1356)),IF($AL1356="","⚠ no receipt on file for this item",IF($AM1356&lt;&gt;$AL1356,"FEFO auto - split, also "&amp;$AM1356,"FEFO auto"))))</f>
        <v>FEFO auto</v>
      </c>
      <c r="AO1356" s="114"/>
    </row>
    <row r="1357" spans="1:41" x14ac:dyDescent="0.35">
      <c r="A1357" s="74">
        <v>46197</v>
      </c>
      <c r="B1357" s="18" t="str">
        <f>IF($C1357="","",IFERROR(INDEX('Staff Directory'!$A$5:$A$594,MATCH($C1357,'Staff Directory'!$B$5:$B$594,0)),"⚠ unknown staff"))</f>
        <v>PSW-078-A4</v>
      </c>
      <c r="C1357" s="49" t="s">
        <v>1054</v>
      </c>
      <c r="D1357" s="19" t="str">
        <f>IF($B1357="","",IFERROR(INDEX('Staff Directory'!$C$5:$C$594,MATCH($B1357,'Staff Directory'!$A$5:$A$594,0)),""))</f>
        <v>PSW</v>
      </c>
      <c r="E1357" s="19" t="str">
        <f>IF($B1357="","",IFERROR(INDEX('Staff Directory'!$D$5:$D$594,MATCH($B1357,'Staff Directory'!$A$5:$A$594,0)),""))</f>
        <v>A4</v>
      </c>
      <c r="F1357" s="9" t="s">
        <v>156</v>
      </c>
      <c r="G1357" s="18" t="str">
        <f>IF($F1357="","",IFERROR(INDEX(Items!$B$5:$B$597,MATCH($F1357,Items!$A$5:$A$597,0)),"⚠ not in Items"))</f>
        <v>Masks</v>
      </c>
      <c r="H1357" s="19" t="str">
        <f>IF($F1357="","",IFERROR(INDEX(Items!$C$5:$C$597,MATCH($F1357,Items!$A$5:$A$597,0)),""))</f>
        <v>One Size</v>
      </c>
      <c r="I1357" s="23">
        <f>IF($F1357="","",IFERROR(INDEX(Items!$E$5:$E$597,MATCH($F1357,Items!$A$5:$A$597,0)),""))</f>
        <v>50</v>
      </c>
      <c r="J1357" s="115">
        <f>IF(tblIssues[[#This Row],[Qty Override]]&lt;&gt;"",tblIssues[[#This Row],[Qty Override]],IF(tblIssues[[#This Row],[Standard Issue]]="","",tblIssues[[#This Row],[Standard Issue]]))</f>
        <v>50</v>
      </c>
      <c r="K1357" s="20">
        <f>IF($F1357="","",IFERROR(INDEX(Items!$D$5:$D$597,MATCH($F1357,Items!$A$5:$A$597,0)),""))</f>
        <v>0.25</v>
      </c>
      <c r="L1357" s="21">
        <f t="shared" si="239"/>
        <v>12.5</v>
      </c>
      <c r="M1357" s="9" t="str">
        <f t="shared" si="237"/>
        <v>24HA2050A7396</v>
      </c>
      <c r="N1357" s="24">
        <f>IF($A1357="","",WORKDAY($A1357,Settings!$C$9,HolidayDates))</f>
        <v>46205</v>
      </c>
      <c r="O1357" s="24">
        <f>IF($N1357="","",WORKDAY($N1357,Settings!$C$10,HolidayDates))</f>
        <v>46245</v>
      </c>
      <c r="P1357" s="10" t="s">
        <v>501</v>
      </c>
      <c r="Q1357" s="52" t="str">
        <f t="shared" si="229"/>
        <v>Collected</v>
      </c>
      <c r="R1357" s="55" t="str">
        <f t="shared" si="230"/>
        <v>2026-06</v>
      </c>
      <c r="S1357" s="55">
        <f>IF(OR($B1357="",$F1357="",$R1357=""),"",SUMIFS(tblIssues[Qty Issued],tblIssues[Staff ID],$B1357,tblIssues[Item Name],$F1357,tblIssues[Month],$R1357))</f>
        <v>50</v>
      </c>
      <c r="T1357" s="56">
        <f>IF($I1357="","",$I1357*Settings!$C$11)</f>
        <v>50</v>
      </c>
      <c r="U1357" s="57" t="str">
        <f t="shared" si="238"/>
        <v>OK</v>
      </c>
      <c r="V1357" s="55" t="str">
        <f t="shared" si="231"/>
        <v/>
      </c>
      <c r="W1357" s="55" t="str">
        <f>IF($V1357="","",IF(COUNTIF($V$5:$V1357,$V1357)=1,1,""))</f>
        <v/>
      </c>
      <c r="X1357" s="58" t="str">
        <f>IF($W1357="","",MAX($X$4:X1356)+1)</f>
        <v/>
      </c>
      <c r="Y1357" s="62"/>
      <c r="Z1357" s="62"/>
      <c r="AA1357" s="64" t="str">
        <f>IF($C1357="","",IFERROR(INDEX('Staff Directory'!$E$5:$E$594,MATCH($C1357,'Staff Directory'!$B$5:$B$594,0)),""))</f>
        <v>firstname138.lastname138@example.com</v>
      </c>
      <c r="AB1357" s="64" t="str">
        <f>IF($C1357="","",IF(ISNUMBER(SEARCH($D1357,Settings!$C$15)),"Pickup","Dispatch"))</f>
        <v>Pickup</v>
      </c>
      <c r="AC1357" s="64" t="str">
        <f t="shared" si="232"/>
        <v>Supply order ready for pickup</v>
      </c>
      <c r="AD1357" s="64" t="str">
        <f t="shared" si="234"/>
        <v>Dear PSW,
Your order is ready for pickup from Sample Branch, Wed-Fri 9am-4pm.</v>
      </c>
      <c r="AE1357" s="64" t="str">
        <f t="shared" si="235"/>
        <v>mailto:firstname138.lastname138@example.com?subject=Supply%20order%20ready%20for%20pickup&amp;body=Dear%20PSW%2C%0A%0AYour%20order%20is%20ready%20for%20pickup%20from%20Sample%20Branch%2C%20Wed-Fri%209am-4pm.</v>
      </c>
      <c r="AF1357" s="89" t="str">
        <f t="shared" si="233"/>
        <v>Draft email</v>
      </c>
      <c r="AG1357" s="64" t="str">
        <f>IF($C1357="","",IFERROR(INDEX('Staff Directory'!$K$595:$K$599,MATCH($C1357,'Staff Directory'!$B$5:$B$599,0)),$D1357))</f>
        <v>PSW</v>
      </c>
      <c r="AH1357" t="str">
        <f>IF($C1357="","",IFERROR(INDEX('Staff Directory'!$I$595:$I$599,MATCH($C1357,'Staff Directory'!$B$5:$B$599,0))&amp;" "&amp;INDEX('Staff Directory'!$J$595:$J$599,MATCH($C1357,'Staff Directory'!$B$5:$B$599,0)),$AG1357))</f>
        <v>PSW</v>
      </c>
      <c r="AI1357" s="102"/>
      <c r="AJ1357" s="101">
        <f>IF($F1357="","",SUMIFS($J$5:$J1357,$F$5:$F1357,$F1357))</f>
        <v>11700</v>
      </c>
      <c r="AK1357" s="101">
        <f t="shared" si="236"/>
        <v>11651</v>
      </c>
      <c r="AL1357" s="66" t="str" cm="1">
        <f t="array" ref="AL1357">IF($F1357="","",IFERROR(INDEX('Lot Balance'!$B$5:$B$500,MATCH(1,INDEX(('Lot Balance'!$A$5:$A$500=$F1357)*('Lot Balance'!$K$5:$K$500&lt;$AK1357)*('Lot Balance'!$K$5:$K$500+'Lot Balance'!$D$5:$D$500&gt;=$AK1357),0),0)),""))</f>
        <v>24HA2050A7396</v>
      </c>
      <c r="AM1357" s="66" t="str" cm="1">
        <f t="array" ref="AM1357">IF($F1357="","",IFERROR(INDEX('Lot Balance'!$B$5:$B$500,MATCH(1,INDEX(('Lot Balance'!$A$5:$A$500=$F1357)*('Lot Balance'!$K$5:$K$500&lt;$AJ1357)*('Lot Balance'!$K$5:$K$500+'Lot Balance'!$D$5:$D$500&gt;=$AJ1357),0),0)),""))</f>
        <v>24HA2050A7396</v>
      </c>
      <c r="AN1357" s="66" t="str">
        <f>IF($F1357="","",IF($AI1357&lt;&gt;"",IF(COUNTIFS('Lot Balance'!$A$5:$A$500,$F1357,'Lot Balance'!$B$5:$B$500,$AI1357)=0,"⚠ override is not a lot of this item",IF($AI1357=$AL1357,"Override = FEFO","Override - FEFO says "&amp;$AL1357)),IF($AL1357="","⚠ no receipt on file for this item",IF($AM1357&lt;&gt;$AL1357,"FEFO auto - split, also "&amp;$AM1357,"FEFO auto"))))</f>
        <v>FEFO auto</v>
      </c>
      <c r="AO1357" s="114"/>
    </row>
    <row r="1358" spans="1:41" x14ac:dyDescent="0.35">
      <c r="A1358" s="74">
        <v>46205</v>
      </c>
      <c r="B1358" s="18" t="str">
        <f>IF($C1358="","",IFERROR(INDEX('Staff Directory'!$A$5:$A$594,MATCH($C1358,'Staff Directory'!$B$5:$B$594,0)),"⚠ unknown staff"))</f>
        <v>PSW-065-A4</v>
      </c>
      <c r="C1358" s="49" t="s">
        <v>1041</v>
      </c>
      <c r="D1358" s="19" t="str">
        <f>IF($B1358="","",IFERROR(INDEX('Staff Directory'!$C$5:$C$594,MATCH($B1358,'Staff Directory'!$A$5:$A$594,0)),""))</f>
        <v>PSW</v>
      </c>
      <c r="E1358" s="19" t="str">
        <f>IF($B1358="","",IFERROR(INDEX('Staff Directory'!$D$5:$D$594,MATCH($B1358,'Staff Directory'!$A$5:$A$594,0)),""))</f>
        <v>A4</v>
      </c>
      <c r="F1358" s="9" t="s">
        <v>127</v>
      </c>
      <c r="G1358" s="18" t="str">
        <f>IF($F1358="","",IFERROR(INDEX(Items!$B$5:$B$597,MATCH($F1358,Items!$A$5:$A$597,0)),"⚠ not in Items"))</f>
        <v>Gloves</v>
      </c>
      <c r="H1358" s="19" t="str">
        <f>IF($F1358="","",IFERROR(INDEX(Items!$C$5:$C$597,MATCH($F1358,Items!$A$5:$A$597,0)),""))</f>
        <v>Medium</v>
      </c>
      <c r="I1358" s="23">
        <f>IF($F1358="","",IFERROR(INDEX(Items!$E$5:$E$597,MATCH($F1358,Items!$A$5:$A$597,0)),""))</f>
        <v>500</v>
      </c>
      <c r="J1358" s="115">
        <f>IF(tblIssues[[#This Row],[Qty Override]]&lt;&gt;"",tblIssues[[#This Row],[Qty Override]],IF(tblIssues[[#This Row],[Standard Issue]]="","",tblIssues[[#This Row],[Standard Issue]]))</f>
        <v>500</v>
      </c>
      <c r="K1358" s="20">
        <f>IF($F1358="","",IFERROR(INDEX(Items!$D$5:$D$597,MATCH($F1358,Items!$A$5:$A$597,0)),""))</f>
        <v>5.5E-2</v>
      </c>
      <c r="L1358" s="21">
        <f t="shared" si="239"/>
        <v>27.5</v>
      </c>
      <c r="M1358" s="9" t="str">
        <f t="shared" si="237"/>
        <v>ZIM510137962-1</v>
      </c>
      <c r="N1358" s="24">
        <f>IF($A1358="","",WORKDAY($A1358,Settings!$C$9,HolidayDates))</f>
        <v>46213</v>
      </c>
      <c r="O1358" s="24">
        <f>IF($N1358="","",WORKDAY($N1358,Settings!$C$10,HolidayDates))</f>
        <v>46253</v>
      </c>
      <c r="P1358" s="10" t="s">
        <v>501</v>
      </c>
      <c r="Q1358" s="52" t="str">
        <f t="shared" ref="Q1358:Q1421" si="240">IF($A1358="","",IF($P1358&lt;&gt;"","Collected","Pending"))</f>
        <v>Collected</v>
      </c>
      <c r="R1358" s="55" t="str">
        <f t="shared" ref="R1358:R1421" si="241">IF($A1358="","",TEXT($A1358,"yyyy-mm"))</f>
        <v>2026-07</v>
      </c>
      <c r="S1358" s="55">
        <f>IF(OR($B1358="",$F1358="",$R1358=""),"",SUMIFS(tblIssues[Qty Issued],tblIssues[Staff ID],$B1358,tblIssues[Item Name],$F1358,tblIssues[Month],$R1358))</f>
        <v>500</v>
      </c>
      <c r="T1358" s="56">
        <f>IF($I1358="","",$I1358*Settings!$C$11)</f>
        <v>500</v>
      </c>
      <c r="U1358" s="57" t="str">
        <f t="shared" si="238"/>
        <v>OK</v>
      </c>
      <c r="V1358" s="55" t="str">
        <f t="shared" ref="V1358:V1421" si="242">IF($U1358="⚠ OVER QUOTA",$B1358&amp;" | "&amp;$F1358&amp;" | "&amp;$R1358,"")</f>
        <v/>
      </c>
      <c r="W1358" s="55" t="str">
        <f>IF($V1358="","",IF(COUNTIF($V$5:$V1358,$V1358)=1,1,""))</f>
        <v/>
      </c>
      <c r="X1358" s="58" t="str">
        <f>IF($W1358="","",MAX($X$4:X1357)+1)</f>
        <v/>
      </c>
      <c r="Y1358" s="62"/>
      <c r="Z1358" s="62"/>
      <c r="AA1358" s="64" t="str">
        <f>IF($C1358="","",IFERROR(INDEX('Staff Directory'!$E$5:$E$594,MATCH($C1358,'Staff Directory'!$B$5:$B$594,0)),""))</f>
        <v>firstname125.lastname125@example.com</v>
      </c>
      <c r="AB1358" s="64" t="str">
        <f>IF($C1358="","",IF(ISNUMBER(SEARCH($D1358,Settings!$C$15)),"Pickup","Dispatch"))</f>
        <v>Pickup</v>
      </c>
      <c r="AC1358" s="64" t="str">
        <f t="shared" ref="AC1358:AC1421" si="243">IF($AB1358="Pickup","Supply order ready for pickup",IF($AB1358="Dispatch","Supply order dispatched",""))</f>
        <v>Supply order ready for pickup</v>
      </c>
      <c r="AD1358" s="64" t="str">
        <f t="shared" si="234"/>
        <v>Dear PSW,
Your order is ready for pickup from Sample Branch, Wed-Fri 9am-4pm.</v>
      </c>
      <c r="AE1358" s="64" t="str">
        <f t="shared" si="235"/>
        <v>mailto:firstname125.lastname125@example.com?subject=Supply%20order%20ready%20for%20pickup&amp;body=Dear%20PSW%2C%0A%0AYour%20order%20is%20ready%20for%20pickup%20from%20Sample%20Branch%2C%20Wed-Fri%209am-4pm.</v>
      </c>
      <c r="AF1358" s="89" t="str">
        <f t="shared" ref="AF1358:AF1421" si="244">IF(AE1358="","",HYPERLINK(AE1358,"Draft email"))</f>
        <v>Draft email</v>
      </c>
      <c r="AG1358" s="64" t="str">
        <f>IF($C1358="","",IFERROR(INDEX('Staff Directory'!$K$595:$K$599,MATCH($C1358,'Staff Directory'!$B$5:$B$599,0)),$D1358))</f>
        <v>PSW</v>
      </c>
      <c r="AH1358" t="str">
        <f>IF($C1358="","",IFERROR(INDEX('Staff Directory'!$I$595:$I$599,MATCH($C1358,'Staff Directory'!$B$5:$B$599,0))&amp;" "&amp;INDEX('Staff Directory'!$J$595:$J$599,MATCH($C1358,'Staff Directory'!$B$5:$B$599,0)),$AG1358))</f>
        <v>PSW</v>
      </c>
      <c r="AI1358" s="102"/>
      <c r="AJ1358" s="101">
        <f>IF($F1358="","",SUMIFS($J$5:$J1358,$F$5:$F1358,$F1358))</f>
        <v>84500</v>
      </c>
      <c r="AK1358" s="101">
        <f t="shared" si="236"/>
        <v>84001</v>
      </c>
      <c r="AL1358" s="66" t="str" cm="1">
        <f t="array" ref="AL1358">IF($F1358="","",IFERROR(INDEX('Lot Balance'!$B$5:$B$500,MATCH(1,INDEX(('Lot Balance'!$A$5:$A$500=$F1358)*('Lot Balance'!$K$5:$K$500&lt;$AK1358)*('Lot Balance'!$K$5:$K$500+'Lot Balance'!$D$5:$D$500&gt;=$AK1358),0),0)),""))</f>
        <v>ZIM510137962-1</v>
      </c>
      <c r="AM1358" s="66" t="str" cm="1">
        <f t="array" ref="AM1358">IF($F1358="","",IFERROR(INDEX('Lot Balance'!$B$5:$B$500,MATCH(1,INDEX(('Lot Balance'!$A$5:$A$500=$F1358)*('Lot Balance'!$K$5:$K$500&lt;$AJ1358)*('Lot Balance'!$K$5:$K$500+'Lot Balance'!$D$5:$D$500&gt;=$AJ1358),0),0)),""))</f>
        <v>ZIM510137962-1</v>
      </c>
      <c r="AN1358" s="66" t="str">
        <f>IF($F1358="","",IF($AI1358&lt;&gt;"",IF(COUNTIFS('Lot Balance'!$A$5:$A$500,$F1358,'Lot Balance'!$B$5:$B$500,$AI1358)=0,"⚠ override is not a lot of this item",IF($AI1358=$AL1358,"Override = FEFO","Override - FEFO says "&amp;$AL1358)),IF($AL1358="","⚠ no receipt on file for this item",IF($AM1358&lt;&gt;$AL1358,"FEFO auto - split, also "&amp;$AM1358,"FEFO auto"))))</f>
        <v>FEFO auto</v>
      </c>
      <c r="AO1358" s="114"/>
    </row>
    <row r="1359" spans="1:41" x14ac:dyDescent="0.35">
      <c r="A1359" s="74">
        <v>46205</v>
      </c>
      <c r="B1359" s="18" t="str">
        <f>IF($C1359="","",IFERROR(INDEX('Staff Directory'!$A$5:$A$594,MATCH($C1359,'Staff Directory'!$B$5:$B$594,0)),"⚠ unknown staff"))</f>
        <v>PSW-065-A4</v>
      </c>
      <c r="C1359" s="49" t="s">
        <v>1041</v>
      </c>
      <c r="D1359" s="19" t="str">
        <f>IF($B1359="","",IFERROR(INDEX('Staff Directory'!$C$5:$C$594,MATCH($B1359,'Staff Directory'!$A$5:$A$594,0)),""))</f>
        <v>PSW</v>
      </c>
      <c r="E1359" s="19" t="str">
        <f>IF($B1359="","",IFERROR(INDEX('Staff Directory'!$D$5:$D$594,MATCH($B1359,'Staff Directory'!$A$5:$A$594,0)),""))</f>
        <v>A4</v>
      </c>
      <c r="F1359" s="9" t="s">
        <v>191</v>
      </c>
      <c r="G1359" s="18" t="str">
        <f>IF($F1359="","",IFERROR(INDEX(Items!$B$5:$B$597,MATCH($F1359,Items!$A$5:$A$597,0)),"⚠ not in Items"))</f>
        <v>Sanitizer</v>
      </c>
      <c r="H1359" s="19" t="str">
        <f>IF($F1359="","",IFERROR(INDEX(Items!$C$5:$C$597,MATCH($F1359,Items!$A$5:$A$597,0)),""))</f>
        <v>236 ML</v>
      </c>
      <c r="I1359" s="23">
        <f>IF($F1359="","",IFERROR(INDEX(Items!$E$5:$E$597,MATCH($F1359,Items!$A$5:$A$597,0)),""))</f>
        <v>1</v>
      </c>
      <c r="J1359" s="115">
        <f>IF(tblIssues[[#This Row],[Qty Override]]&lt;&gt;"",tblIssues[[#This Row],[Qty Override]],IF(tblIssues[[#This Row],[Standard Issue]]="","",tblIssues[[#This Row],[Standard Issue]]))</f>
        <v>1</v>
      </c>
      <c r="K1359" s="20">
        <f>IF($F1359="","",IFERROR(INDEX(Items!$D$5:$D$597,MATCH($F1359,Items!$A$5:$A$597,0)),""))</f>
        <v>1E-4</v>
      </c>
      <c r="L1359" s="21">
        <f t="shared" si="239"/>
        <v>1E-4</v>
      </c>
      <c r="M1359" s="9" t="str">
        <f t="shared" si="237"/>
        <v/>
      </c>
      <c r="N1359" s="24">
        <f>IF($A1359="","",WORKDAY($A1359,Settings!$C$9,HolidayDates))</f>
        <v>46213</v>
      </c>
      <c r="O1359" s="24">
        <f>IF($N1359="","",WORKDAY($N1359,Settings!$C$10,HolidayDates))</f>
        <v>46253</v>
      </c>
      <c r="P1359" s="10" t="s">
        <v>501</v>
      </c>
      <c r="Q1359" s="52" t="str">
        <f t="shared" si="240"/>
        <v>Collected</v>
      </c>
      <c r="R1359" s="55" t="str">
        <f t="shared" si="241"/>
        <v>2026-07</v>
      </c>
      <c r="S1359" s="55">
        <f>IF(OR($B1359="",$F1359="",$R1359=""),"",SUMIFS(tblIssues[Qty Issued],tblIssues[Staff ID],$B1359,tblIssues[Item Name],$F1359,tblIssues[Month],$R1359))</f>
        <v>1</v>
      </c>
      <c r="T1359" s="56">
        <f>IF($I1359="","",$I1359*Settings!$C$11)</f>
        <v>1</v>
      </c>
      <c r="U1359" s="57" t="str">
        <f t="shared" si="238"/>
        <v>OK</v>
      </c>
      <c r="V1359" s="55" t="str">
        <f t="shared" si="242"/>
        <v/>
      </c>
      <c r="W1359" s="55" t="str">
        <f>IF($V1359="","",IF(COUNTIF($V$5:$V1359,$V1359)=1,1,""))</f>
        <v/>
      </c>
      <c r="X1359" s="58" t="str">
        <f>IF($W1359="","",MAX($X$4:X1358)+1)</f>
        <v/>
      </c>
      <c r="Y1359" s="62"/>
      <c r="Z1359" s="62"/>
      <c r="AA1359" s="64" t="str">
        <f>IF($C1359="","",IFERROR(INDEX('Staff Directory'!$E$5:$E$594,MATCH($C1359,'Staff Directory'!$B$5:$B$594,0)),""))</f>
        <v>firstname125.lastname125@example.com</v>
      </c>
      <c r="AB1359" s="64" t="str">
        <f>IF($C1359="","",IF(ISNUMBER(SEARCH($D1359,Settings!$C$15)),"Pickup","Dispatch"))</f>
        <v>Pickup</v>
      </c>
      <c r="AC1359" s="64" t="str">
        <f t="shared" si="243"/>
        <v>Supply order ready for pickup</v>
      </c>
      <c r="AD1359" s="64" t="str">
        <f t="shared" si="234"/>
        <v>Dear PSW,
Your order is ready for pickup from Sample Branch, Wed-Fri 9am-4pm.</v>
      </c>
      <c r="AE1359" s="64" t="str">
        <f t="shared" si="235"/>
        <v>mailto:firstname125.lastname125@example.com?subject=Supply%20order%20ready%20for%20pickup&amp;body=Dear%20PSW%2C%0A%0AYour%20order%20is%20ready%20for%20pickup%20from%20Sample%20Branch%2C%20Wed-Fri%209am-4pm.</v>
      </c>
      <c r="AF1359" s="89" t="str">
        <f t="shared" si="244"/>
        <v>Draft email</v>
      </c>
      <c r="AG1359" s="64" t="str">
        <f>IF($C1359="","",IFERROR(INDEX('Staff Directory'!$K$595:$K$599,MATCH($C1359,'Staff Directory'!$B$5:$B$599,0)),$D1359))</f>
        <v>PSW</v>
      </c>
      <c r="AH1359" t="str">
        <f>IF($C1359="","",IFERROR(INDEX('Staff Directory'!$I$595:$I$599,MATCH($C1359,'Staff Directory'!$B$5:$B$599,0))&amp;" "&amp;INDEX('Staff Directory'!$J$595:$J$599,MATCH($C1359,'Staff Directory'!$B$5:$B$599,0)),$AG1359))</f>
        <v>PSW</v>
      </c>
      <c r="AI1359" s="102"/>
      <c r="AJ1359" s="101">
        <f>IF($F1359="","",SUMIFS($J$5:$J1359,$F$5:$F1359,$F1359))</f>
        <v>183</v>
      </c>
      <c r="AK1359" s="101">
        <f t="shared" si="236"/>
        <v>183</v>
      </c>
      <c r="AL1359" s="66" t="str" cm="1">
        <f t="array" ref="AL1359">IF($F1359="","",IFERROR(INDEX('Lot Balance'!$B$5:$B$500,MATCH(1,INDEX(('Lot Balance'!$A$5:$A$500=$F1359)*('Lot Balance'!$K$5:$K$500&lt;$AK1359)*('Lot Balance'!$K$5:$K$500+'Lot Balance'!$D$5:$D$500&gt;=$AK1359),0),0)),""))</f>
        <v/>
      </c>
      <c r="AM1359" s="66" t="str" cm="1">
        <f t="array" ref="AM1359">IF($F1359="","",IFERROR(INDEX('Lot Balance'!$B$5:$B$500,MATCH(1,INDEX(('Lot Balance'!$A$5:$A$500=$F1359)*('Lot Balance'!$K$5:$K$500&lt;$AJ1359)*('Lot Balance'!$K$5:$K$500+'Lot Balance'!$D$5:$D$500&gt;=$AJ1359),0),0)),""))</f>
        <v/>
      </c>
      <c r="AN1359" s="66" t="str">
        <f>IF($F1359="","",IF($AI1359&lt;&gt;"",IF(COUNTIFS('Lot Balance'!$A$5:$A$500,$F1359,'Lot Balance'!$B$5:$B$500,$AI1359)=0,"⚠ override is not a lot of this item",IF($AI1359=$AL1359,"Override = FEFO","Override - FEFO says "&amp;$AL1359)),IF($AL1359="","⚠ no receipt on file for this item",IF($AM1359&lt;&gt;$AL1359,"FEFO auto - split, also "&amp;$AM1359,"FEFO auto"))))</f>
        <v>⚠ no receipt on file for this item</v>
      </c>
      <c r="AO1359" s="114"/>
    </row>
    <row r="1360" spans="1:41" x14ac:dyDescent="0.35">
      <c r="A1360" s="74">
        <v>46205</v>
      </c>
      <c r="B1360" s="18" t="str">
        <f>IF($C1360="","",IFERROR(INDEX('Staff Directory'!$A$5:$A$594,MATCH($C1360,'Staff Directory'!$B$5:$B$594,0)),"⚠ unknown staff"))</f>
        <v>PSW-065-A4</v>
      </c>
      <c r="C1360" s="49" t="s">
        <v>1041</v>
      </c>
      <c r="D1360" s="19" t="str">
        <f>IF($B1360="","",IFERROR(INDEX('Staff Directory'!$C$5:$C$594,MATCH($B1360,'Staff Directory'!$A$5:$A$594,0)),""))</f>
        <v>PSW</v>
      </c>
      <c r="E1360" s="19" t="str">
        <f>IF($B1360="","",IFERROR(INDEX('Staff Directory'!$D$5:$D$594,MATCH($B1360,'Staff Directory'!$A$5:$A$594,0)),""))</f>
        <v>A4</v>
      </c>
      <c r="F1360" s="9" t="s">
        <v>115</v>
      </c>
      <c r="G1360" s="18" t="str">
        <f>IF($F1360="","",IFERROR(INDEX(Items!$B$5:$B$597,MATCH($F1360,Items!$A$5:$A$597,0)),"⚠ not in Items"))</f>
        <v>Wipes</v>
      </c>
      <c r="H1360" s="19">
        <f>IF($F1360="","",IFERROR(INDEX(Items!$C$5:$C$597,MATCH($F1360,Items!$A$5:$A$597,0)),""))</f>
        <v>80</v>
      </c>
      <c r="I1360" s="23">
        <f>IF($F1360="","",IFERROR(INDEX(Items!$E$5:$E$597,MATCH($F1360,Items!$A$5:$A$597,0)),""))</f>
        <v>80</v>
      </c>
      <c r="J1360" s="115">
        <f>IF(tblIssues[[#This Row],[Qty Override]]&lt;&gt;"",tblIssues[[#This Row],[Qty Override]],IF(tblIssues[[#This Row],[Standard Issue]]="","",tblIssues[[#This Row],[Standard Issue]]))</f>
        <v>80</v>
      </c>
      <c r="K1360" s="20">
        <f>IF($F1360="","",IFERROR(INDEX(Items!$D$5:$D$597,MATCH($F1360,Items!$A$5:$A$597,0)),""))</f>
        <v>0.1</v>
      </c>
      <c r="L1360" s="21">
        <f t="shared" si="239"/>
        <v>8</v>
      </c>
      <c r="M1360" s="9" t="str">
        <f t="shared" si="237"/>
        <v>LYSL500290</v>
      </c>
      <c r="N1360" s="24">
        <f>IF($A1360="","",WORKDAY($A1360,Settings!$C$9,HolidayDates))</f>
        <v>46213</v>
      </c>
      <c r="O1360" s="24">
        <f>IF($N1360="","",WORKDAY($N1360,Settings!$C$10,HolidayDates))</f>
        <v>46253</v>
      </c>
      <c r="P1360" s="10" t="s">
        <v>501</v>
      </c>
      <c r="Q1360" s="52" t="str">
        <f t="shared" si="240"/>
        <v>Collected</v>
      </c>
      <c r="R1360" s="55" t="str">
        <f t="shared" si="241"/>
        <v>2026-07</v>
      </c>
      <c r="S1360" s="55">
        <f>IF(OR($B1360="",$F1360="",$R1360=""),"",SUMIFS(tblIssues[Qty Issued],tblIssues[Staff ID],$B1360,tblIssues[Item Name],$F1360,tblIssues[Month],$R1360))</f>
        <v>80</v>
      </c>
      <c r="T1360" s="56">
        <f>IF($I1360="","",$I1360*Settings!$C$11)</f>
        <v>80</v>
      </c>
      <c r="U1360" s="57" t="str">
        <f t="shared" si="238"/>
        <v>OK</v>
      </c>
      <c r="V1360" s="55" t="str">
        <f t="shared" si="242"/>
        <v/>
      </c>
      <c r="W1360" s="55" t="str">
        <f>IF($V1360="","",IF(COUNTIF($V$5:$V1360,$V1360)=1,1,""))</f>
        <v/>
      </c>
      <c r="X1360" s="58" t="str">
        <f>IF($W1360="","",MAX($X$4:X1359)+1)</f>
        <v/>
      </c>
      <c r="Y1360" s="62"/>
      <c r="Z1360" s="62"/>
      <c r="AA1360" s="64" t="str">
        <f>IF($C1360="","",IFERROR(INDEX('Staff Directory'!$E$5:$E$594,MATCH($C1360,'Staff Directory'!$B$5:$B$594,0)),""))</f>
        <v>firstname125.lastname125@example.com</v>
      </c>
      <c r="AB1360" s="64" t="str">
        <f>IF($C1360="","",IF(ISNUMBER(SEARCH($D1360,Settings!$C$15)),"Pickup","Dispatch"))</f>
        <v>Pickup</v>
      </c>
      <c r="AC1360" s="64" t="str">
        <f t="shared" si="243"/>
        <v>Supply order ready for pickup</v>
      </c>
      <c r="AD1360" s="64" t="str">
        <f t="shared" si="234"/>
        <v>Dear PSW,
Your order is ready for pickup from Sample Branch, Wed-Fri 9am-4pm.</v>
      </c>
      <c r="AE1360" s="64" t="str">
        <f t="shared" si="235"/>
        <v>mailto:firstname125.lastname125@example.com?subject=Supply%20order%20ready%20for%20pickup&amp;body=Dear%20PSW%2C%0A%0AYour%20order%20is%20ready%20for%20pickup%20from%20Sample%20Branch%2C%20Wed-Fri%209am-4pm.</v>
      </c>
      <c r="AF1360" s="89" t="str">
        <f t="shared" si="244"/>
        <v>Draft email</v>
      </c>
      <c r="AG1360" s="64" t="str">
        <f>IF($C1360="","",IFERROR(INDEX('Staff Directory'!$K$595:$K$599,MATCH($C1360,'Staff Directory'!$B$5:$B$599,0)),$D1360))</f>
        <v>PSW</v>
      </c>
      <c r="AH1360" t="str">
        <f>IF($C1360="","",IFERROR(INDEX('Staff Directory'!$I$595:$I$599,MATCH($C1360,'Staff Directory'!$B$5:$B$599,0))&amp;" "&amp;INDEX('Staff Directory'!$J$595:$J$599,MATCH($C1360,'Staff Directory'!$B$5:$B$599,0)),$AG1360))</f>
        <v>PSW</v>
      </c>
      <c r="AI1360" s="102"/>
      <c r="AJ1360" s="101">
        <f>IF($F1360="","",SUMIFS($J$5:$J1360,$F$5:$F1360,$F1360))</f>
        <v>18720</v>
      </c>
      <c r="AK1360" s="101">
        <f t="shared" si="236"/>
        <v>18641</v>
      </c>
      <c r="AL1360" s="66" t="str" cm="1">
        <f t="array" ref="AL1360">IF($F1360="","",IFERROR(INDEX('Lot Balance'!$B$5:$B$500,MATCH(1,INDEX(('Lot Balance'!$A$5:$A$500=$F1360)*('Lot Balance'!$K$5:$K$500&lt;$AK1360)*('Lot Balance'!$K$5:$K$500+'Lot Balance'!$D$5:$D$500&gt;=$AK1360),0),0)),""))</f>
        <v>LYSL500290</v>
      </c>
      <c r="AM1360" s="66" t="str" cm="1">
        <f t="array" ref="AM1360">IF($F1360="","",IFERROR(INDEX('Lot Balance'!$B$5:$B$500,MATCH(1,INDEX(('Lot Balance'!$A$5:$A$500=$F1360)*('Lot Balance'!$K$5:$K$500&lt;$AJ1360)*('Lot Balance'!$K$5:$K$500+'Lot Balance'!$D$5:$D$500&gt;=$AJ1360),0),0)),""))</f>
        <v>LYSL500290</v>
      </c>
      <c r="AN1360" s="66" t="str">
        <f>IF($F1360="","",IF($AI1360&lt;&gt;"",IF(COUNTIFS('Lot Balance'!$A$5:$A$500,$F1360,'Lot Balance'!$B$5:$B$500,$AI1360)=0,"⚠ override is not a lot of this item",IF($AI1360=$AL1360,"Override = FEFO","Override - FEFO says "&amp;$AL1360)),IF($AL1360="","⚠ no receipt on file for this item",IF($AM1360&lt;&gt;$AL1360,"FEFO auto - split, also "&amp;$AM1360,"FEFO auto"))))</f>
        <v>FEFO auto</v>
      </c>
      <c r="AO1360" s="114"/>
    </row>
    <row r="1361" spans="1:41" x14ac:dyDescent="0.35">
      <c r="A1361" s="74">
        <v>46205</v>
      </c>
      <c r="B1361" s="18" t="str">
        <f>IF($C1361="","",IFERROR(INDEX('Staff Directory'!$A$5:$A$594,MATCH($C1361,'Staff Directory'!$B$5:$B$594,0)),"⚠ unknown staff"))</f>
        <v>PSW-065-A4</v>
      </c>
      <c r="C1361" s="49" t="s">
        <v>1041</v>
      </c>
      <c r="D1361" s="19" t="str">
        <f>IF($B1361="","",IFERROR(INDEX('Staff Directory'!$C$5:$C$594,MATCH($B1361,'Staff Directory'!$A$5:$A$594,0)),""))</f>
        <v>PSW</v>
      </c>
      <c r="E1361" s="19" t="str">
        <f>IF($B1361="","",IFERROR(INDEX('Staff Directory'!$D$5:$D$594,MATCH($B1361,'Staff Directory'!$A$5:$A$594,0)),""))</f>
        <v>A4</v>
      </c>
      <c r="F1361" s="9" t="s">
        <v>156</v>
      </c>
      <c r="G1361" s="18" t="str">
        <f>IF($F1361="","",IFERROR(INDEX(Items!$B$5:$B$597,MATCH($F1361,Items!$A$5:$A$597,0)),"⚠ not in Items"))</f>
        <v>Masks</v>
      </c>
      <c r="H1361" s="19" t="str">
        <f>IF($F1361="","",IFERROR(INDEX(Items!$C$5:$C$597,MATCH($F1361,Items!$A$5:$A$597,0)),""))</f>
        <v>One Size</v>
      </c>
      <c r="I1361" s="23">
        <f>IF($F1361="","",IFERROR(INDEX(Items!$E$5:$E$597,MATCH($F1361,Items!$A$5:$A$597,0)),""))</f>
        <v>50</v>
      </c>
      <c r="J1361" s="115">
        <f>IF(tblIssues[[#This Row],[Qty Override]]&lt;&gt;"",tblIssues[[#This Row],[Qty Override]],IF(tblIssues[[#This Row],[Standard Issue]]="","",tblIssues[[#This Row],[Standard Issue]]))</f>
        <v>50</v>
      </c>
      <c r="K1361" s="20">
        <f>IF($F1361="","",IFERROR(INDEX(Items!$D$5:$D$597,MATCH($F1361,Items!$A$5:$A$597,0)),""))</f>
        <v>0.25</v>
      </c>
      <c r="L1361" s="21">
        <f t="shared" si="239"/>
        <v>12.5</v>
      </c>
      <c r="M1361" s="9" t="str">
        <f t="shared" si="237"/>
        <v>24HA2050A7396</v>
      </c>
      <c r="N1361" s="24">
        <f>IF($A1361="","",WORKDAY($A1361,Settings!$C$9,HolidayDates))</f>
        <v>46213</v>
      </c>
      <c r="O1361" s="24">
        <f>IF($N1361="","",WORKDAY($N1361,Settings!$C$10,HolidayDates))</f>
        <v>46253</v>
      </c>
      <c r="P1361" s="10" t="s">
        <v>501</v>
      </c>
      <c r="Q1361" s="52" t="str">
        <f t="shared" si="240"/>
        <v>Collected</v>
      </c>
      <c r="R1361" s="55" t="str">
        <f t="shared" si="241"/>
        <v>2026-07</v>
      </c>
      <c r="S1361" s="55">
        <f>IF(OR($B1361="",$F1361="",$R1361=""),"",SUMIFS(tblIssues[Qty Issued],tblIssues[Staff ID],$B1361,tblIssues[Item Name],$F1361,tblIssues[Month],$R1361))</f>
        <v>50</v>
      </c>
      <c r="T1361" s="56">
        <f>IF($I1361="","",$I1361*Settings!$C$11)</f>
        <v>50</v>
      </c>
      <c r="U1361" s="57" t="str">
        <f t="shared" si="238"/>
        <v>OK</v>
      </c>
      <c r="V1361" s="55" t="str">
        <f t="shared" si="242"/>
        <v/>
      </c>
      <c r="W1361" s="55" t="str">
        <f>IF($V1361="","",IF(COUNTIF($V$5:$V1361,$V1361)=1,1,""))</f>
        <v/>
      </c>
      <c r="X1361" s="58" t="str">
        <f>IF($W1361="","",MAX($X$4:X1360)+1)</f>
        <v/>
      </c>
      <c r="Y1361" s="62"/>
      <c r="Z1361" s="62"/>
      <c r="AA1361" s="64" t="str">
        <f>IF($C1361="","",IFERROR(INDEX('Staff Directory'!$E$5:$E$594,MATCH($C1361,'Staff Directory'!$B$5:$B$594,0)),""))</f>
        <v>firstname125.lastname125@example.com</v>
      </c>
      <c r="AB1361" s="64" t="str">
        <f>IF($C1361="","",IF(ISNUMBER(SEARCH($D1361,Settings!$C$15)),"Pickup","Dispatch"))</f>
        <v>Pickup</v>
      </c>
      <c r="AC1361" s="64" t="str">
        <f t="shared" si="243"/>
        <v>Supply order ready for pickup</v>
      </c>
      <c r="AD1361" s="64" t="str">
        <f t="shared" si="234"/>
        <v>Dear PSW,
Your order is ready for pickup from Sample Branch, Wed-Fri 9am-4pm.</v>
      </c>
      <c r="AE1361" s="64" t="str">
        <f t="shared" si="235"/>
        <v>mailto:firstname125.lastname125@example.com?subject=Supply%20order%20ready%20for%20pickup&amp;body=Dear%20PSW%2C%0A%0AYour%20order%20is%20ready%20for%20pickup%20from%20Sample%20Branch%2C%20Wed-Fri%209am-4pm.</v>
      </c>
      <c r="AF1361" s="89" t="str">
        <f t="shared" si="244"/>
        <v>Draft email</v>
      </c>
      <c r="AG1361" s="64" t="str">
        <f>IF($C1361="","",IFERROR(INDEX('Staff Directory'!$K$595:$K$599,MATCH($C1361,'Staff Directory'!$B$5:$B$599,0)),$D1361))</f>
        <v>PSW</v>
      </c>
      <c r="AH1361" t="str">
        <f>IF($C1361="","",IFERROR(INDEX('Staff Directory'!$I$595:$I$599,MATCH($C1361,'Staff Directory'!$B$5:$B$599,0))&amp;" "&amp;INDEX('Staff Directory'!$J$595:$J$599,MATCH($C1361,'Staff Directory'!$B$5:$B$599,0)),$AG1361))</f>
        <v>PSW</v>
      </c>
      <c r="AI1361" s="102"/>
      <c r="AJ1361" s="101">
        <f>IF($F1361="","",SUMIFS($J$5:$J1361,$F$5:$F1361,$F1361))</f>
        <v>11750</v>
      </c>
      <c r="AK1361" s="101">
        <f t="shared" si="236"/>
        <v>11701</v>
      </c>
      <c r="AL1361" s="66" t="str" cm="1">
        <f t="array" ref="AL1361">IF($F1361="","",IFERROR(INDEX('Lot Balance'!$B$5:$B$500,MATCH(1,INDEX(('Lot Balance'!$A$5:$A$500=$F1361)*('Lot Balance'!$K$5:$K$500&lt;$AK1361)*('Lot Balance'!$K$5:$K$500+'Lot Balance'!$D$5:$D$500&gt;=$AK1361),0),0)),""))</f>
        <v>24HA2050A7396</v>
      </c>
      <c r="AM1361" s="66" t="str" cm="1">
        <f t="array" ref="AM1361">IF($F1361="","",IFERROR(INDEX('Lot Balance'!$B$5:$B$500,MATCH(1,INDEX(('Lot Balance'!$A$5:$A$500=$F1361)*('Lot Balance'!$K$5:$K$500&lt;$AJ1361)*('Lot Balance'!$K$5:$K$500+'Lot Balance'!$D$5:$D$500&gt;=$AJ1361),0),0)),""))</f>
        <v>24HA2050A7396</v>
      </c>
      <c r="AN1361" s="66" t="str">
        <f>IF($F1361="","",IF($AI1361&lt;&gt;"",IF(COUNTIFS('Lot Balance'!$A$5:$A$500,$F1361,'Lot Balance'!$B$5:$B$500,$AI1361)=0,"⚠ override is not a lot of this item",IF($AI1361=$AL1361,"Override = FEFO","Override - FEFO says "&amp;$AL1361)),IF($AL1361="","⚠ no receipt on file for this item",IF($AM1361&lt;&gt;$AL1361,"FEFO auto - split, also "&amp;$AM1361,"FEFO auto"))))</f>
        <v>FEFO auto</v>
      </c>
      <c r="AO1361" s="114"/>
    </row>
    <row r="1362" spans="1:41" x14ac:dyDescent="0.35">
      <c r="A1362" s="74">
        <v>46197</v>
      </c>
      <c r="B1362" s="18" t="str">
        <f>IF($C1362="","",IFERROR(INDEX('Staff Directory'!$A$5:$A$594,MATCH($C1362,'Staff Directory'!$B$5:$B$594,0)),"⚠ unknown staff"))</f>
        <v>TL/RPN-001-A8</v>
      </c>
      <c r="C1362" s="49" t="s">
        <v>1021</v>
      </c>
      <c r="D1362" s="19" t="str">
        <f>IF($B1362="","",IFERROR(INDEX('Staff Directory'!$C$5:$C$594,MATCH($B1362,'Staff Directory'!$A$5:$A$594,0)),""))</f>
        <v>TL/RPN</v>
      </c>
      <c r="E1362" s="19" t="str">
        <f>IF($B1362="","",IFERROR(INDEX('Staff Directory'!$D$5:$D$594,MATCH($B1362,'Staff Directory'!$A$5:$A$594,0)),""))</f>
        <v>A8</v>
      </c>
      <c r="F1362" s="9" t="s">
        <v>137</v>
      </c>
      <c r="G1362" s="18" t="str">
        <f>IF($F1362="","",IFERROR(INDEX(Items!$B$5:$B$597,MATCH($F1362,Items!$A$5:$A$597,0)),"⚠ not in Items"))</f>
        <v>Sanitizer</v>
      </c>
      <c r="H1362" s="19" t="str">
        <f>IF($F1362="","",IFERROR(INDEX(Items!$C$5:$C$597,MATCH($F1362,Items!$A$5:$A$597,0)),""))</f>
        <v>118 ML</v>
      </c>
      <c r="I1362" s="23">
        <f>IF($F1362="","",IFERROR(INDEX(Items!$E$5:$E$597,MATCH($F1362,Items!$A$5:$A$597,0)),""))</f>
        <v>2</v>
      </c>
      <c r="J1362" s="115">
        <f>IF(tblIssues[[#This Row],[Qty Override]]&lt;&gt;"",tblIssues[[#This Row],[Qty Override]],IF(tblIssues[[#This Row],[Standard Issue]]="","",tblIssues[[#This Row],[Standard Issue]]))</f>
        <v>2</v>
      </c>
      <c r="K1362" s="20">
        <f>IF($F1362="","",IFERROR(INDEX(Items!$D$5:$D$597,MATCH($F1362,Items!$A$5:$A$597,0)),""))</f>
        <v>4.49</v>
      </c>
      <c r="L1362" s="21">
        <f t="shared" si="239"/>
        <v>8.98</v>
      </c>
      <c r="M1362" s="9" t="str">
        <f t="shared" si="237"/>
        <v>563963-7</v>
      </c>
      <c r="N1362" s="24">
        <f>IF($A1362="","",WORKDAY($A1362,Settings!$C$9,HolidayDates))</f>
        <v>46205</v>
      </c>
      <c r="O1362" s="24">
        <f>IF($N1362="","",WORKDAY($N1362,Settings!$C$10,HolidayDates))</f>
        <v>46245</v>
      </c>
      <c r="P1362" s="10" t="s">
        <v>751</v>
      </c>
      <c r="Q1362" s="52" t="str">
        <f t="shared" si="240"/>
        <v>Collected</v>
      </c>
      <c r="R1362" s="55" t="str">
        <f t="shared" si="241"/>
        <v>2026-06</v>
      </c>
      <c r="S1362" s="55">
        <f>IF(OR($B1362="",$F1362="",$R1362=""),"",SUMIFS(tblIssues[Qty Issued],tblIssues[Staff ID],$B1362,tblIssues[Item Name],$F1362,tblIssues[Month],$R1362))</f>
        <v>6</v>
      </c>
      <c r="T1362" s="56">
        <f>IF($I1362="","",$I1362*Settings!$C$11)</f>
        <v>2</v>
      </c>
      <c r="U1362" s="57" t="str">
        <f t="shared" si="238"/>
        <v>⚠ OVER QUOTA</v>
      </c>
      <c r="V1362" s="55" t="str">
        <f t="shared" si="242"/>
        <v>TL/RPN-001-A8 | Hand Sanitizer | 2026-06</v>
      </c>
      <c r="W1362" s="55">
        <f>IF($V1362="","",IF(COUNTIF($V$5:$V1362,$V1362)=1,1,""))</f>
        <v>1</v>
      </c>
      <c r="X1362" s="58">
        <f>IF($W1362="","",MAX($X$4:X1361)+1)</f>
        <v>46</v>
      </c>
      <c r="Y1362" s="62"/>
      <c r="Z1362" s="62"/>
      <c r="AA1362" s="64" t="str">
        <f>IF($C1362="","",IFERROR(INDEX('Staff Directory'!$E$5:$E$594,MATCH($C1362,'Staff Directory'!$B$5:$B$594,0)),""))</f>
        <v>firstname105.lastname105@example.com</v>
      </c>
      <c r="AB1362" s="64" t="str">
        <f>IF($C1362="","",IF(ISNUMBER(SEARCH($D1362,Settings!$C$15)),"Pickup","Dispatch"))</f>
        <v>Dispatch</v>
      </c>
      <c r="AC1362" s="64" t="str">
        <f t="shared" si="243"/>
        <v>Supply order dispatched</v>
      </c>
      <c r="AD1362" s="64" t="str">
        <f t="shared" si="234"/>
        <v>Dear TL/RPN,
Your order has been dispatched and is in transit. Reply if undelivered.</v>
      </c>
      <c r="AE1362" s="64" t="str">
        <f t="shared" si="235"/>
        <v>mailto:firstname105.lastname105@example.com?subject=Supply%20order%20dispatched&amp;body=Dear%20TL%2FRPN%2C%0A%0AYour%20order%20has%20been%20dispatched%20and%20is%20in%20transit.%20Reply%20if%20undelivered.</v>
      </c>
      <c r="AF1362" s="89" t="str">
        <f t="shared" si="244"/>
        <v>Draft email</v>
      </c>
      <c r="AG1362" s="64" t="str">
        <f>IF($C1362="","",IFERROR(INDEX('Staff Directory'!$K$595:$K$599,MATCH($C1362,'Staff Directory'!$B$5:$B$599,0)),$D1362))</f>
        <v>TL/RPN</v>
      </c>
      <c r="AH1362" t="str">
        <f>IF($C1362="","",IFERROR(INDEX('Staff Directory'!$I$595:$I$599,MATCH($C1362,'Staff Directory'!$B$5:$B$599,0))&amp;" "&amp;INDEX('Staff Directory'!$J$595:$J$599,MATCH($C1362,'Staff Directory'!$B$5:$B$599,0)),$AG1362))</f>
        <v>TL/RPN</v>
      </c>
      <c r="AI1362" s="102"/>
      <c r="AJ1362" s="101">
        <f>IF($F1362="","",SUMIFS($J$5:$J1362,$F$5:$F1362,$F1362))</f>
        <v>118</v>
      </c>
      <c r="AK1362" s="101">
        <f t="shared" si="236"/>
        <v>117</v>
      </c>
      <c r="AL1362" s="66" t="str" cm="1">
        <f t="array" ref="AL1362">IF($F1362="","",IFERROR(INDEX('Lot Balance'!$B$5:$B$500,MATCH(1,INDEX(('Lot Balance'!$A$5:$A$500=$F1362)*('Lot Balance'!$K$5:$K$500&lt;$AK1362)*('Lot Balance'!$K$5:$K$500+'Lot Balance'!$D$5:$D$500&gt;=$AK1362),0),0)),""))</f>
        <v>563963-7</v>
      </c>
      <c r="AM1362" s="66" t="str" cm="1">
        <f t="array" ref="AM1362">IF($F1362="","",IFERROR(INDEX('Lot Balance'!$B$5:$B$500,MATCH(1,INDEX(('Lot Balance'!$A$5:$A$500=$F1362)*('Lot Balance'!$K$5:$K$500&lt;$AJ1362)*('Lot Balance'!$K$5:$K$500+'Lot Balance'!$D$5:$D$500&gt;=$AJ1362),0),0)),""))</f>
        <v>563963-7</v>
      </c>
      <c r="AN1362" s="66" t="str">
        <f>IF($F1362="","",IF($AI1362&lt;&gt;"",IF(COUNTIFS('Lot Balance'!$A$5:$A$500,$F1362,'Lot Balance'!$B$5:$B$500,$AI1362)=0,"⚠ override is not a lot of this item",IF($AI1362=$AL1362,"Override = FEFO","Override - FEFO says "&amp;$AL1362)),IF($AL1362="","⚠ no receipt on file for this item",IF($AM1362&lt;&gt;$AL1362,"FEFO auto - split, also "&amp;$AM1362,"FEFO auto"))))</f>
        <v>FEFO auto</v>
      </c>
      <c r="AO1362" s="114"/>
    </row>
    <row r="1363" spans="1:41" x14ac:dyDescent="0.35">
      <c r="A1363" s="74">
        <v>46197</v>
      </c>
      <c r="B1363" s="18" t="str">
        <f>IF($C1363="","",IFERROR(INDEX('Staff Directory'!$A$5:$A$594,MATCH($C1363,'Staff Directory'!$B$5:$B$594,0)),"⚠ unknown staff"))</f>
        <v>TL/RPN-001-A8</v>
      </c>
      <c r="C1363" s="49" t="s">
        <v>1021</v>
      </c>
      <c r="D1363" s="19" t="str">
        <f>IF($B1363="","",IFERROR(INDEX('Staff Directory'!$C$5:$C$594,MATCH($B1363,'Staff Directory'!$A$5:$A$594,0)),""))</f>
        <v>TL/RPN</v>
      </c>
      <c r="E1363" s="19" t="str">
        <f>IF($B1363="","",IFERROR(INDEX('Staff Directory'!$D$5:$D$594,MATCH($B1363,'Staff Directory'!$A$5:$A$594,0)),""))</f>
        <v>A8</v>
      </c>
      <c r="F1363" s="9" t="s">
        <v>137</v>
      </c>
      <c r="G1363" s="18" t="str">
        <f>IF($F1363="","",IFERROR(INDEX(Items!$B$5:$B$597,MATCH($F1363,Items!$A$5:$A$597,0)),"⚠ not in Items"))</f>
        <v>Sanitizer</v>
      </c>
      <c r="H1363" s="19" t="str">
        <f>IF($F1363="","",IFERROR(INDEX(Items!$C$5:$C$597,MATCH($F1363,Items!$A$5:$A$597,0)),""))</f>
        <v>118 ML</v>
      </c>
      <c r="I1363" s="23">
        <f>IF($F1363="","",IFERROR(INDEX(Items!$E$5:$E$597,MATCH($F1363,Items!$A$5:$A$597,0)),""))</f>
        <v>2</v>
      </c>
      <c r="J1363" s="115">
        <f>IF(tblIssues[[#This Row],[Qty Override]]&lt;&gt;"",tblIssues[[#This Row],[Qty Override]],IF(tblIssues[[#This Row],[Standard Issue]]="","",tblIssues[[#This Row],[Standard Issue]]))</f>
        <v>2</v>
      </c>
      <c r="K1363" s="20">
        <f>IF($F1363="","",IFERROR(INDEX(Items!$D$5:$D$597,MATCH($F1363,Items!$A$5:$A$597,0)),""))</f>
        <v>4.49</v>
      </c>
      <c r="L1363" s="21">
        <f t="shared" si="239"/>
        <v>8.98</v>
      </c>
      <c r="M1363" s="9" t="str">
        <f t="shared" si="237"/>
        <v>563963-7</v>
      </c>
      <c r="N1363" s="24">
        <f>IF($A1363="","",WORKDAY($A1363,Settings!$C$9,HolidayDates))</f>
        <v>46205</v>
      </c>
      <c r="O1363" s="24">
        <f>IF($N1363="","",WORKDAY($N1363,Settings!$C$10,HolidayDates))</f>
        <v>46245</v>
      </c>
      <c r="P1363" s="10" t="s">
        <v>751</v>
      </c>
      <c r="Q1363" s="52" t="str">
        <f t="shared" si="240"/>
        <v>Collected</v>
      </c>
      <c r="R1363" s="55" t="str">
        <f t="shared" si="241"/>
        <v>2026-06</v>
      </c>
      <c r="S1363" s="55">
        <f>IF(OR($B1363="",$F1363="",$R1363=""),"",SUMIFS(tblIssues[Qty Issued],tblIssues[Staff ID],$B1363,tblIssues[Item Name],$F1363,tblIssues[Month],$R1363))</f>
        <v>6</v>
      </c>
      <c r="T1363" s="56">
        <f>IF($I1363="","",$I1363*Settings!$C$11)</f>
        <v>2</v>
      </c>
      <c r="U1363" s="57" t="str">
        <f t="shared" si="238"/>
        <v>⚠ OVER QUOTA</v>
      </c>
      <c r="V1363" s="55" t="str">
        <f t="shared" si="242"/>
        <v>TL/RPN-001-A8 | Hand Sanitizer | 2026-06</v>
      </c>
      <c r="W1363" s="55" t="str">
        <f>IF($V1363="","",IF(COUNTIF($V$5:$V1363,$V1363)=1,1,""))</f>
        <v/>
      </c>
      <c r="X1363" s="58" t="str">
        <f>IF($W1363="","",MAX($X$4:X1362)+1)</f>
        <v/>
      </c>
      <c r="Y1363" s="62"/>
      <c r="Z1363" s="62"/>
      <c r="AA1363" s="64" t="str">
        <f>IF($C1363="","",IFERROR(INDEX('Staff Directory'!$E$5:$E$594,MATCH($C1363,'Staff Directory'!$B$5:$B$594,0)),""))</f>
        <v>firstname105.lastname105@example.com</v>
      </c>
      <c r="AB1363" s="64" t="str">
        <f>IF($C1363="","",IF(ISNUMBER(SEARCH($D1363,Settings!$C$15)),"Pickup","Dispatch"))</f>
        <v>Dispatch</v>
      </c>
      <c r="AC1363" s="64" t="str">
        <f t="shared" si="243"/>
        <v>Supply order dispatched</v>
      </c>
      <c r="AD1363" s="64" t="str">
        <f t="shared" si="234"/>
        <v>Dear TL/RPN,
Your order has been dispatched and is in transit. Reply if undelivered.</v>
      </c>
      <c r="AE1363" s="64" t="str">
        <f t="shared" si="235"/>
        <v>mailto:firstname105.lastname105@example.com?subject=Supply%20order%20dispatched&amp;body=Dear%20TL%2FRPN%2C%0A%0AYour%20order%20has%20been%20dispatched%20and%20is%20in%20transit.%20Reply%20if%20undelivered.</v>
      </c>
      <c r="AF1363" s="89" t="str">
        <f t="shared" si="244"/>
        <v>Draft email</v>
      </c>
      <c r="AG1363" s="64" t="str">
        <f>IF($C1363="","",IFERROR(INDEX('Staff Directory'!$K$595:$K$599,MATCH($C1363,'Staff Directory'!$B$5:$B$599,0)),$D1363))</f>
        <v>TL/RPN</v>
      </c>
      <c r="AH1363" t="str">
        <f>IF($C1363="","",IFERROR(INDEX('Staff Directory'!$I$595:$I$599,MATCH($C1363,'Staff Directory'!$B$5:$B$599,0))&amp;" "&amp;INDEX('Staff Directory'!$J$595:$J$599,MATCH($C1363,'Staff Directory'!$B$5:$B$599,0)),$AG1363))</f>
        <v>TL/RPN</v>
      </c>
      <c r="AI1363" s="102"/>
      <c r="AJ1363" s="101">
        <f>IF($F1363="","",SUMIFS($J$5:$J1363,$F$5:$F1363,$F1363))</f>
        <v>120</v>
      </c>
      <c r="AK1363" s="101">
        <f t="shared" si="236"/>
        <v>119</v>
      </c>
      <c r="AL1363" s="66" t="str" cm="1">
        <f t="array" ref="AL1363">IF($F1363="","",IFERROR(INDEX('Lot Balance'!$B$5:$B$500,MATCH(1,INDEX(('Lot Balance'!$A$5:$A$500=$F1363)*('Lot Balance'!$K$5:$K$500&lt;$AK1363)*('Lot Balance'!$K$5:$K$500+'Lot Balance'!$D$5:$D$500&gt;=$AK1363),0),0)),""))</f>
        <v>563963-7</v>
      </c>
      <c r="AM1363" s="66" t="str" cm="1">
        <f t="array" ref="AM1363">IF($F1363="","",IFERROR(INDEX('Lot Balance'!$B$5:$B$500,MATCH(1,INDEX(('Lot Balance'!$A$5:$A$500=$F1363)*('Lot Balance'!$K$5:$K$500&lt;$AJ1363)*('Lot Balance'!$K$5:$K$500+'Lot Balance'!$D$5:$D$500&gt;=$AJ1363),0),0)),""))</f>
        <v>563963-7</v>
      </c>
      <c r="AN1363" s="66" t="str">
        <f>IF($F1363="","",IF($AI1363&lt;&gt;"",IF(COUNTIFS('Lot Balance'!$A$5:$A$500,$F1363,'Lot Balance'!$B$5:$B$500,$AI1363)=0,"⚠ override is not a lot of this item",IF($AI1363=$AL1363,"Override = FEFO","Override - FEFO says "&amp;$AL1363)),IF($AL1363="","⚠ no receipt on file for this item",IF($AM1363&lt;&gt;$AL1363,"FEFO auto - split, also "&amp;$AM1363,"FEFO auto"))))</f>
        <v>FEFO auto</v>
      </c>
      <c r="AO1363" s="114"/>
    </row>
    <row r="1364" spans="1:41" x14ac:dyDescent="0.35">
      <c r="A1364" s="74">
        <v>46197</v>
      </c>
      <c r="B1364" s="18" t="str">
        <f>IF($C1364="","",IFERROR(INDEX('Staff Directory'!$A$5:$A$594,MATCH($C1364,'Staff Directory'!$B$5:$B$594,0)),"⚠ unknown staff"))</f>
        <v>TL/RPN-001-A8</v>
      </c>
      <c r="C1364" s="49" t="s">
        <v>1021</v>
      </c>
      <c r="D1364" s="19" t="str">
        <f>IF($B1364="","",IFERROR(INDEX('Staff Directory'!$C$5:$C$594,MATCH($B1364,'Staff Directory'!$A$5:$A$594,0)),""))</f>
        <v>TL/RPN</v>
      </c>
      <c r="E1364" s="19" t="str">
        <f>IF($B1364="","",IFERROR(INDEX('Staff Directory'!$D$5:$D$594,MATCH($B1364,'Staff Directory'!$A$5:$A$594,0)),""))</f>
        <v>A8</v>
      </c>
      <c r="F1364" s="9" t="s">
        <v>137</v>
      </c>
      <c r="G1364" s="18" t="str">
        <f>IF($F1364="","",IFERROR(INDEX(Items!$B$5:$B$597,MATCH($F1364,Items!$A$5:$A$597,0)),"⚠ not in Items"))</f>
        <v>Sanitizer</v>
      </c>
      <c r="H1364" s="19" t="str">
        <f>IF($F1364="","",IFERROR(INDEX(Items!$C$5:$C$597,MATCH($F1364,Items!$A$5:$A$597,0)),""))</f>
        <v>118 ML</v>
      </c>
      <c r="I1364" s="23">
        <f>IF($F1364="","",IFERROR(INDEX(Items!$E$5:$E$597,MATCH($F1364,Items!$A$5:$A$597,0)),""))</f>
        <v>2</v>
      </c>
      <c r="J1364" s="115">
        <f>IF(tblIssues[[#This Row],[Qty Override]]&lt;&gt;"",tblIssues[[#This Row],[Qty Override]],IF(tblIssues[[#This Row],[Standard Issue]]="","",tblIssues[[#This Row],[Standard Issue]]))</f>
        <v>2</v>
      </c>
      <c r="K1364" s="20">
        <f>IF($F1364="","",IFERROR(INDEX(Items!$D$5:$D$597,MATCH($F1364,Items!$A$5:$A$597,0)),""))</f>
        <v>4.49</v>
      </c>
      <c r="L1364" s="21">
        <f t="shared" si="239"/>
        <v>8.98</v>
      </c>
      <c r="M1364" s="9" t="str">
        <f t="shared" si="237"/>
        <v>563963-7</v>
      </c>
      <c r="N1364" s="24">
        <f>IF($A1364="","",WORKDAY($A1364,Settings!$C$9,HolidayDates))</f>
        <v>46205</v>
      </c>
      <c r="O1364" s="24">
        <f>IF($N1364="","",WORKDAY($N1364,Settings!$C$10,HolidayDates))</f>
        <v>46245</v>
      </c>
      <c r="P1364" s="10" t="s">
        <v>751</v>
      </c>
      <c r="Q1364" s="52" t="str">
        <f t="shared" si="240"/>
        <v>Collected</v>
      </c>
      <c r="R1364" s="55" t="str">
        <f t="shared" si="241"/>
        <v>2026-06</v>
      </c>
      <c r="S1364" s="55">
        <f>IF(OR($B1364="",$F1364="",$R1364=""),"",SUMIFS(tblIssues[Qty Issued],tblIssues[Staff ID],$B1364,tblIssues[Item Name],$F1364,tblIssues[Month],$R1364))</f>
        <v>6</v>
      </c>
      <c r="T1364" s="56">
        <f>IF($I1364="","",$I1364*Settings!$C$11)</f>
        <v>2</v>
      </c>
      <c r="U1364" s="57" t="str">
        <f t="shared" si="238"/>
        <v>⚠ OVER QUOTA</v>
      </c>
      <c r="V1364" s="55" t="str">
        <f t="shared" si="242"/>
        <v>TL/RPN-001-A8 | Hand Sanitizer | 2026-06</v>
      </c>
      <c r="W1364" s="55" t="str">
        <f>IF($V1364="","",IF(COUNTIF($V$5:$V1364,$V1364)=1,1,""))</f>
        <v/>
      </c>
      <c r="X1364" s="58" t="str">
        <f>IF($W1364="","",MAX($X$4:X1363)+1)</f>
        <v/>
      </c>
      <c r="Y1364" s="62"/>
      <c r="Z1364" s="62"/>
      <c r="AA1364" s="64" t="str">
        <f>IF($C1364="","",IFERROR(INDEX('Staff Directory'!$E$5:$E$594,MATCH($C1364,'Staff Directory'!$B$5:$B$594,0)),""))</f>
        <v>firstname105.lastname105@example.com</v>
      </c>
      <c r="AB1364" s="64" t="str">
        <f>IF($C1364="","",IF(ISNUMBER(SEARCH($D1364,Settings!$C$15)),"Pickup","Dispatch"))</f>
        <v>Dispatch</v>
      </c>
      <c r="AC1364" s="64" t="str">
        <f t="shared" si="243"/>
        <v>Supply order dispatched</v>
      </c>
      <c r="AD1364" s="64" t="str">
        <f t="shared" si="234"/>
        <v>Dear TL/RPN,
Your order has been dispatched and is in transit. Reply if undelivered.</v>
      </c>
      <c r="AE1364" s="64" t="str">
        <f t="shared" si="235"/>
        <v>mailto:firstname105.lastname105@example.com?subject=Supply%20order%20dispatched&amp;body=Dear%20TL%2FRPN%2C%0A%0AYour%20order%20has%20been%20dispatched%20and%20is%20in%20transit.%20Reply%20if%20undelivered.</v>
      </c>
      <c r="AF1364" s="89" t="str">
        <f t="shared" si="244"/>
        <v>Draft email</v>
      </c>
      <c r="AG1364" s="64" t="str">
        <f>IF($C1364="","",IFERROR(INDEX('Staff Directory'!$K$595:$K$599,MATCH($C1364,'Staff Directory'!$B$5:$B$599,0)),$D1364))</f>
        <v>TL/RPN</v>
      </c>
      <c r="AH1364" t="str">
        <f>IF($C1364="","",IFERROR(INDEX('Staff Directory'!$I$595:$I$599,MATCH($C1364,'Staff Directory'!$B$5:$B$599,0))&amp;" "&amp;INDEX('Staff Directory'!$J$595:$J$599,MATCH($C1364,'Staff Directory'!$B$5:$B$599,0)),$AG1364))</f>
        <v>TL/RPN</v>
      </c>
      <c r="AI1364" s="102"/>
      <c r="AJ1364" s="101">
        <f>IF($F1364="","",SUMIFS($J$5:$J1364,$F$5:$F1364,$F1364))</f>
        <v>122</v>
      </c>
      <c r="AK1364" s="101">
        <f t="shared" si="236"/>
        <v>121</v>
      </c>
      <c r="AL1364" s="66" t="str" cm="1">
        <f t="array" ref="AL1364">IF($F1364="","",IFERROR(INDEX('Lot Balance'!$B$5:$B$500,MATCH(1,INDEX(('Lot Balance'!$A$5:$A$500=$F1364)*('Lot Balance'!$K$5:$K$500&lt;$AK1364)*('Lot Balance'!$K$5:$K$500+'Lot Balance'!$D$5:$D$500&gt;=$AK1364),0),0)),""))</f>
        <v>563963-7</v>
      </c>
      <c r="AM1364" s="66" t="str" cm="1">
        <f t="array" ref="AM1364">IF($F1364="","",IFERROR(INDEX('Lot Balance'!$B$5:$B$500,MATCH(1,INDEX(('Lot Balance'!$A$5:$A$500=$F1364)*('Lot Balance'!$K$5:$K$500&lt;$AJ1364)*('Lot Balance'!$K$5:$K$500+'Lot Balance'!$D$5:$D$500&gt;=$AJ1364),0),0)),""))</f>
        <v>563963-7</v>
      </c>
      <c r="AN1364" s="66" t="str">
        <f>IF($F1364="","",IF($AI1364&lt;&gt;"",IF(COUNTIFS('Lot Balance'!$A$5:$A$500,$F1364,'Lot Balance'!$B$5:$B$500,$AI1364)=0,"⚠ override is not a lot of this item",IF($AI1364=$AL1364,"Override = FEFO","Override - FEFO says "&amp;$AL1364)),IF($AL1364="","⚠ no receipt on file for this item",IF($AM1364&lt;&gt;$AL1364,"FEFO auto - split, also "&amp;$AM1364,"FEFO auto"))))</f>
        <v>FEFO auto</v>
      </c>
      <c r="AO1364" s="114"/>
    </row>
    <row r="1365" spans="1:41" x14ac:dyDescent="0.35">
      <c r="A1365" s="74">
        <v>46197</v>
      </c>
      <c r="B1365" s="18" t="str">
        <f>IF($C1365="","",IFERROR(INDEX('Staff Directory'!$A$5:$A$594,MATCH($C1365,'Staff Directory'!$B$5:$B$594,0)),"⚠ unknown staff"))</f>
        <v>TL/RPN-001-A8</v>
      </c>
      <c r="C1365" s="49" t="s">
        <v>1021</v>
      </c>
      <c r="D1365" s="19" t="str">
        <f>IF($B1365="","",IFERROR(INDEX('Staff Directory'!$C$5:$C$594,MATCH($B1365,'Staff Directory'!$A$5:$A$594,0)),""))</f>
        <v>TL/RPN</v>
      </c>
      <c r="E1365" s="19" t="str">
        <f>IF($B1365="","",IFERROR(INDEX('Staff Directory'!$D$5:$D$594,MATCH($B1365,'Staff Directory'!$A$5:$A$594,0)),""))</f>
        <v>A8</v>
      </c>
      <c r="F1365" s="9" t="s">
        <v>115</v>
      </c>
      <c r="G1365" s="18" t="str">
        <f>IF($F1365="","",IFERROR(INDEX(Items!$B$5:$B$597,MATCH($F1365,Items!$A$5:$A$597,0)),"⚠ not in Items"))</f>
        <v>Wipes</v>
      </c>
      <c r="H1365" s="19">
        <f>IF($F1365="","",IFERROR(INDEX(Items!$C$5:$C$597,MATCH($F1365,Items!$A$5:$A$597,0)),""))</f>
        <v>80</v>
      </c>
      <c r="I1365" s="23">
        <f>IF($F1365="","",IFERROR(INDEX(Items!$E$5:$E$597,MATCH($F1365,Items!$A$5:$A$597,0)),""))</f>
        <v>80</v>
      </c>
      <c r="J1365" s="115">
        <f>IF(tblIssues[[#This Row],[Qty Override]]&lt;&gt;"",tblIssues[[#This Row],[Qty Override]],IF(tblIssues[[#This Row],[Standard Issue]]="","",tblIssues[[#This Row],[Standard Issue]]))</f>
        <v>80</v>
      </c>
      <c r="K1365" s="20">
        <f>IF($F1365="","",IFERROR(INDEX(Items!$D$5:$D$597,MATCH($F1365,Items!$A$5:$A$597,0)),""))</f>
        <v>0.1</v>
      </c>
      <c r="L1365" s="21">
        <f t="shared" si="239"/>
        <v>8</v>
      </c>
      <c r="M1365" s="9" t="str">
        <f t="shared" si="237"/>
        <v>LYSL500290</v>
      </c>
      <c r="N1365" s="24">
        <f>IF($A1365="","",WORKDAY($A1365,Settings!$C$9,HolidayDates))</f>
        <v>46205</v>
      </c>
      <c r="O1365" s="24">
        <f>IF($N1365="","",WORKDAY($N1365,Settings!$C$10,HolidayDates))</f>
        <v>46245</v>
      </c>
      <c r="P1365" s="10" t="s">
        <v>751</v>
      </c>
      <c r="Q1365" s="52" t="str">
        <f t="shared" si="240"/>
        <v>Collected</v>
      </c>
      <c r="R1365" s="55" t="str">
        <f t="shared" si="241"/>
        <v>2026-06</v>
      </c>
      <c r="S1365" s="55">
        <f>IF(OR($B1365="",$F1365="",$R1365=""),"",SUMIFS(tblIssues[Qty Issued],tblIssues[Staff ID],$B1365,tblIssues[Item Name],$F1365,tblIssues[Month],$R1365))</f>
        <v>160</v>
      </c>
      <c r="T1365" s="56">
        <f>IF($I1365="","",$I1365*Settings!$C$11)</f>
        <v>80</v>
      </c>
      <c r="U1365" s="57" t="str">
        <f t="shared" si="238"/>
        <v>⚠ OVER QUOTA</v>
      </c>
      <c r="V1365" s="55" t="str">
        <f t="shared" si="242"/>
        <v>TL/RPN-001-A8 | Disinfectant Wipes | 2026-06</v>
      </c>
      <c r="W1365" s="55">
        <f>IF($V1365="","",IF(COUNTIF($V$5:$V1365,$V1365)=1,1,""))</f>
        <v>1</v>
      </c>
      <c r="X1365" s="58">
        <f>IF($W1365="","",MAX($X$4:X1364)+1)</f>
        <v>47</v>
      </c>
      <c r="Y1365" s="62"/>
      <c r="Z1365" s="62"/>
      <c r="AA1365" s="64" t="str">
        <f>IF($C1365="","",IFERROR(INDEX('Staff Directory'!$E$5:$E$594,MATCH($C1365,'Staff Directory'!$B$5:$B$594,0)),""))</f>
        <v>firstname105.lastname105@example.com</v>
      </c>
      <c r="AB1365" s="64" t="str">
        <f>IF($C1365="","",IF(ISNUMBER(SEARCH($D1365,Settings!$C$15)),"Pickup","Dispatch"))</f>
        <v>Dispatch</v>
      </c>
      <c r="AC1365" s="64" t="str">
        <f t="shared" si="243"/>
        <v>Supply order dispatched</v>
      </c>
      <c r="AD1365" s="64" t="str">
        <f t="shared" si="234"/>
        <v>Dear TL/RPN,
Your order has been dispatched and is in transit. Reply if undelivered.</v>
      </c>
      <c r="AE1365" s="64" t="str">
        <f t="shared" si="235"/>
        <v>mailto:firstname105.lastname105@example.com?subject=Supply%20order%20dispatched&amp;body=Dear%20TL%2FRPN%2C%0A%0AYour%20order%20has%20been%20dispatched%20and%20is%20in%20transit.%20Reply%20if%20undelivered.</v>
      </c>
      <c r="AF1365" s="89" t="str">
        <f t="shared" si="244"/>
        <v>Draft email</v>
      </c>
      <c r="AG1365" s="64" t="str">
        <f>IF($C1365="","",IFERROR(INDEX('Staff Directory'!$K$595:$K$599,MATCH($C1365,'Staff Directory'!$B$5:$B$599,0)),$D1365))</f>
        <v>TL/RPN</v>
      </c>
      <c r="AH1365" t="str">
        <f>IF($C1365="","",IFERROR(INDEX('Staff Directory'!$I$595:$I$599,MATCH($C1365,'Staff Directory'!$B$5:$B$599,0))&amp;" "&amp;INDEX('Staff Directory'!$J$595:$J$599,MATCH($C1365,'Staff Directory'!$B$5:$B$599,0)),$AG1365))</f>
        <v>TL/RPN</v>
      </c>
      <c r="AI1365" s="102"/>
      <c r="AJ1365" s="101">
        <f>IF($F1365="","",SUMIFS($J$5:$J1365,$F$5:$F1365,$F1365))</f>
        <v>18800</v>
      </c>
      <c r="AK1365" s="101">
        <f t="shared" si="236"/>
        <v>18721</v>
      </c>
      <c r="AL1365" s="66" t="str" cm="1">
        <f t="array" ref="AL1365">IF($F1365="","",IFERROR(INDEX('Lot Balance'!$B$5:$B$500,MATCH(1,INDEX(('Lot Balance'!$A$5:$A$500=$F1365)*('Lot Balance'!$K$5:$K$500&lt;$AK1365)*('Lot Balance'!$K$5:$K$500+'Lot Balance'!$D$5:$D$500&gt;=$AK1365),0),0)),""))</f>
        <v>LYSL500290</v>
      </c>
      <c r="AM1365" s="66" t="str" cm="1">
        <f t="array" ref="AM1365">IF($F1365="","",IFERROR(INDEX('Lot Balance'!$B$5:$B$500,MATCH(1,INDEX(('Lot Balance'!$A$5:$A$500=$F1365)*('Lot Balance'!$K$5:$K$500&lt;$AJ1365)*('Lot Balance'!$K$5:$K$500+'Lot Balance'!$D$5:$D$500&gt;=$AJ1365),0),0)),""))</f>
        <v>LYSL500290</v>
      </c>
      <c r="AN1365" s="66" t="str">
        <f>IF($F1365="","",IF($AI1365&lt;&gt;"",IF(COUNTIFS('Lot Balance'!$A$5:$A$500,$F1365,'Lot Balance'!$B$5:$B$500,$AI1365)=0,"⚠ override is not a lot of this item",IF($AI1365=$AL1365,"Override = FEFO","Override - FEFO says "&amp;$AL1365)),IF($AL1365="","⚠ no receipt on file for this item",IF($AM1365&lt;&gt;$AL1365,"FEFO auto - split, also "&amp;$AM1365,"FEFO auto"))))</f>
        <v>FEFO auto</v>
      </c>
      <c r="AO1365" s="114"/>
    </row>
    <row r="1366" spans="1:41" x14ac:dyDescent="0.35">
      <c r="A1366" s="74">
        <v>46197</v>
      </c>
      <c r="B1366" s="18" t="str">
        <f>IF($C1366="","",IFERROR(INDEX('Staff Directory'!$A$5:$A$594,MATCH($C1366,'Staff Directory'!$B$5:$B$594,0)),"⚠ unknown staff"))</f>
        <v>TL/RPN-001-A8</v>
      </c>
      <c r="C1366" s="49" t="s">
        <v>1021</v>
      </c>
      <c r="D1366" s="19" t="str">
        <f>IF($B1366="","",IFERROR(INDEX('Staff Directory'!$C$5:$C$594,MATCH($B1366,'Staff Directory'!$A$5:$A$594,0)),""))</f>
        <v>TL/RPN</v>
      </c>
      <c r="E1366" s="19" t="str">
        <f>IF($B1366="","",IFERROR(INDEX('Staff Directory'!$D$5:$D$594,MATCH($B1366,'Staff Directory'!$A$5:$A$594,0)),""))</f>
        <v>A8</v>
      </c>
      <c r="F1366" s="9" t="s">
        <v>115</v>
      </c>
      <c r="G1366" s="18" t="str">
        <f>IF($F1366="","",IFERROR(INDEX(Items!$B$5:$B$597,MATCH($F1366,Items!$A$5:$A$597,0)),"⚠ not in Items"))</f>
        <v>Wipes</v>
      </c>
      <c r="H1366" s="19">
        <f>IF($F1366="","",IFERROR(INDEX(Items!$C$5:$C$597,MATCH($F1366,Items!$A$5:$A$597,0)),""))</f>
        <v>80</v>
      </c>
      <c r="I1366" s="23">
        <f>IF($F1366="","",IFERROR(INDEX(Items!$E$5:$E$597,MATCH($F1366,Items!$A$5:$A$597,0)),""))</f>
        <v>80</v>
      </c>
      <c r="J1366" s="115">
        <f>IF(tblIssues[[#This Row],[Qty Override]]&lt;&gt;"",tblIssues[[#This Row],[Qty Override]],IF(tblIssues[[#This Row],[Standard Issue]]="","",tblIssues[[#This Row],[Standard Issue]]))</f>
        <v>80</v>
      </c>
      <c r="K1366" s="20">
        <f>IF($F1366="","",IFERROR(INDEX(Items!$D$5:$D$597,MATCH($F1366,Items!$A$5:$A$597,0)),""))</f>
        <v>0.1</v>
      </c>
      <c r="L1366" s="21">
        <f t="shared" si="239"/>
        <v>8</v>
      </c>
      <c r="M1366" s="9" t="str">
        <f t="shared" si="237"/>
        <v>LYSL500290</v>
      </c>
      <c r="N1366" s="24">
        <f>IF($A1366="","",WORKDAY($A1366,Settings!$C$9,HolidayDates))</f>
        <v>46205</v>
      </c>
      <c r="O1366" s="24">
        <f>IF($N1366="","",WORKDAY($N1366,Settings!$C$10,HolidayDates))</f>
        <v>46245</v>
      </c>
      <c r="P1366" s="10" t="s">
        <v>751</v>
      </c>
      <c r="Q1366" s="52" t="str">
        <f t="shared" si="240"/>
        <v>Collected</v>
      </c>
      <c r="R1366" s="55" t="str">
        <f t="shared" si="241"/>
        <v>2026-06</v>
      </c>
      <c r="S1366" s="55">
        <f>IF(OR($B1366="",$F1366="",$R1366=""),"",SUMIFS(tblIssues[Qty Issued],tblIssues[Staff ID],$B1366,tblIssues[Item Name],$F1366,tblIssues[Month],$R1366))</f>
        <v>160</v>
      </c>
      <c r="T1366" s="56">
        <f>IF($I1366="","",$I1366*Settings!$C$11)</f>
        <v>80</v>
      </c>
      <c r="U1366" s="57" t="str">
        <f t="shared" si="238"/>
        <v>⚠ OVER QUOTA</v>
      </c>
      <c r="V1366" s="55" t="str">
        <f t="shared" si="242"/>
        <v>TL/RPN-001-A8 | Disinfectant Wipes | 2026-06</v>
      </c>
      <c r="W1366" s="55" t="str">
        <f>IF($V1366="","",IF(COUNTIF($V$5:$V1366,$V1366)=1,1,""))</f>
        <v/>
      </c>
      <c r="X1366" s="58" t="str">
        <f>IF($W1366="","",MAX($X$4:X1365)+1)</f>
        <v/>
      </c>
      <c r="Y1366" s="62"/>
      <c r="Z1366" s="62"/>
      <c r="AA1366" s="64" t="str">
        <f>IF($C1366="","",IFERROR(INDEX('Staff Directory'!$E$5:$E$594,MATCH($C1366,'Staff Directory'!$B$5:$B$594,0)),""))</f>
        <v>firstname105.lastname105@example.com</v>
      </c>
      <c r="AB1366" s="64" t="str">
        <f>IF($C1366="","",IF(ISNUMBER(SEARCH($D1366,Settings!$C$15)),"Pickup","Dispatch"))</f>
        <v>Dispatch</v>
      </c>
      <c r="AC1366" s="64" t="str">
        <f t="shared" si="243"/>
        <v>Supply order dispatched</v>
      </c>
      <c r="AD1366" s="64" t="str">
        <f t="shared" si="234"/>
        <v>Dear TL/RPN,
Your order has been dispatched and is in transit. Reply if undelivered.</v>
      </c>
      <c r="AE1366" s="64" t="str">
        <f t="shared" si="235"/>
        <v>mailto:firstname105.lastname105@example.com?subject=Supply%20order%20dispatched&amp;body=Dear%20TL%2FRPN%2C%0A%0AYour%20order%20has%20been%20dispatched%20and%20is%20in%20transit.%20Reply%20if%20undelivered.</v>
      </c>
      <c r="AF1366" s="89" t="str">
        <f t="shared" si="244"/>
        <v>Draft email</v>
      </c>
      <c r="AG1366" s="64" t="str">
        <f>IF($C1366="","",IFERROR(INDEX('Staff Directory'!$K$595:$K$599,MATCH($C1366,'Staff Directory'!$B$5:$B$599,0)),$D1366))</f>
        <v>TL/RPN</v>
      </c>
      <c r="AH1366" t="str">
        <f>IF($C1366="","",IFERROR(INDEX('Staff Directory'!$I$595:$I$599,MATCH($C1366,'Staff Directory'!$B$5:$B$599,0))&amp;" "&amp;INDEX('Staff Directory'!$J$595:$J$599,MATCH($C1366,'Staff Directory'!$B$5:$B$599,0)),$AG1366))</f>
        <v>TL/RPN</v>
      </c>
      <c r="AI1366" s="102"/>
      <c r="AJ1366" s="101">
        <f>IF($F1366="","",SUMIFS($J$5:$J1366,$F$5:$F1366,$F1366))</f>
        <v>18880</v>
      </c>
      <c r="AK1366" s="101">
        <f t="shared" si="236"/>
        <v>18801</v>
      </c>
      <c r="AL1366" s="66" t="str" cm="1">
        <f t="array" ref="AL1366">IF($F1366="","",IFERROR(INDEX('Lot Balance'!$B$5:$B$500,MATCH(1,INDEX(('Lot Balance'!$A$5:$A$500=$F1366)*('Lot Balance'!$K$5:$K$500&lt;$AK1366)*('Lot Balance'!$K$5:$K$500+'Lot Balance'!$D$5:$D$500&gt;=$AK1366),0),0)),""))</f>
        <v>LYSL500290</v>
      </c>
      <c r="AM1366" s="66" t="str" cm="1">
        <f t="array" ref="AM1366">IF($F1366="","",IFERROR(INDEX('Lot Balance'!$B$5:$B$500,MATCH(1,INDEX(('Lot Balance'!$A$5:$A$500=$F1366)*('Lot Balance'!$K$5:$K$500&lt;$AJ1366)*('Lot Balance'!$K$5:$K$500+'Lot Balance'!$D$5:$D$500&gt;=$AJ1366),0),0)),""))</f>
        <v>LYSL500290</v>
      </c>
      <c r="AN1366" s="66" t="str">
        <f>IF($F1366="","",IF($AI1366&lt;&gt;"",IF(COUNTIFS('Lot Balance'!$A$5:$A$500,$F1366,'Lot Balance'!$B$5:$B$500,$AI1366)=0,"⚠ override is not a lot of this item",IF($AI1366=$AL1366,"Override = FEFO","Override - FEFO says "&amp;$AL1366)),IF($AL1366="","⚠ no receipt on file for this item",IF($AM1366&lt;&gt;$AL1366,"FEFO auto - split, also "&amp;$AM1366,"FEFO auto"))))</f>
        <v>FEFO auto</v>
      </c>
      <c r="AO1366" s="114"/>
    </row>
    <row r="1367" spans="1:41" x14ac:dyDescent="0.35">
      <c r="A1367" s="74">
        <v>46197</v>
      </c>
      <c r="B1367" s="18" t="str">
        <f>IF($C1367="","",IFERROR(INDEX('Staff Directory'!$A$5:$A$594,MATCH($C1367,'Staff Directory'!$B$5:$B$594,0)),"⚠ unknown staff"))</f>
        <v>TL/RPN-001-A8</v>
      </c>
      <c r="C1367" s="49" t="s">
        <v>1021</v>
      </c>
      <c r="D1367" s="19" t="str">
        <f>IF($B1367="","",IFERROR(INDEX('Staff Directory'!$C$5:$C$594,MATCH($B1367,'Staff Directory'!$A$5:$A$594,0)),""))</f>
        <v>TL/RPN</v>
      </c>
      <c r="E1367" s="19" t="str">
        <f>IF($B1367="","",IFERROR(INDEX('Staff Directory'!$D$5:$D$594,MATCH($B1367,'Staff Directory'!$A$5:$A$594,0)),""))</f>
        <v>A8</v>
      </c>
      <c r="F1367" s="9" t="s">
        <v>156</v>
      </c>
      <c r="G1367" s="18" t="str">
        <f>IF($F1367="","",IFERROR(INDEX(Items!$B$5:$B$597,MATCH($F1367,Items!$A$5:$A$597,0)),"⚠ not in Items"))</f>
        <v>Masks</v>
      </c>
      <c r="H1367" s="19" t="str">
        <f>IF($F1367="","",IFERROR(INDEX(Items!$C$5:$C$597,MATCH($F1367,Items!$A$5:$A$597,0)),""))</f>
        <v>One Size</v>
      </c>
      <c r="I1367" s="23">
        <f>IF($F1367="","",IFERROR(INDEX(Items!$E$5:$E$597,MATCH($F1367,Items!$A$5:$A$597,0)),""))</f>
        <v>50</v>
      </c>
      <c r="J1367" s="115">
        <f>IF(tblIssues[[#This Row],[Qty Override]]&lt;&gt;"",tblIssues[[#This Row],[Qty Override]],IF(tblIssues[[#This Row],[Standard Issue]]="","",tblIssues[[#This Row],[Standard Issue]]))</f>
        <v>50</v>
      </c>
      <c r="K1367" s="20">
        <f>IF($F1367="","",IFERROR(INDEX(Items!$D$5:$D$597,MATCH($F1367,Items!$A$5:$A$597,0)),""))</f>
        <v>0.25</v>
      </c>
      <c r="L1367" s="21">
        <f t="shared" si="239"/>
        <v>12.5</v>
      </c>
      <c r="M1367" s="9" t="str">
        <f t="shared" si="237"/>
        <v>24HA2050A7396</v>
      </c>
      <c r="N1367" s="24">
        <f>IF($A1367="","",WORKDAY($A1367,Settings!$C$9,HolidayDates))</f>
        <v>46205</v>
      </c>
      <c r="O1367" s="24">
        <f>IF($N1367="","",WORKDAY($N1367,Settings!$C$10,HolidayDates))</f>
        <v>46245</v>
      </c>
      <c r="P1367" s="10" t="s">
        <v>751</v>
      </c>
      <c r="Q1367" s="52" t="str">
        <f t="shared" si="240"/>
        <v>Collected</v>
      </c>
      <c r="R1367" s="55" t="str">
        <f t="shared" si="241"/>
        <v>2026-06</v>
      </c>
      <c r="S1367" s="55">
        <f>IF(OR($B1367="",$F1367="",$R1367=""),"",SUMIFS(tblIssues[Qty Issued],tblIssues[Staff ID],$B1367,tblIssues[Item Name],$F1367,tblIssues[Month],$R1367))</f>
        <v>50</v>
      </c>
      <c r="T1367" s="56">
        <f>IF($I1367="","",$I1367*Settings!$C$11)</f>
        <v>50</v>
      </c>
      <c r="U1367" s="57" t="str">
        <f t="shared" si="238"/>
        <v>OK</v>
      </c>
      <c r="V1367" s="55" t="str">
        <f t="shared" si="242"/>
        <v/>
      </c>
      <c r="W1367" s="55" t="str">
        <f>IF($V1367="","",IF(COUNTIF($V$5:$V1367,$V1367)=1,1,""))</f>
        <v/>
      </c>
      <c r="X1367" s="58" t="str">
        <f>IF($W1367="","",MAX($X$4:X1366)+1)</f>
        <v/>
      </c>
      <c r="Y1367" s="62"/>
      <c r="Z1367" s="62"/>
      <c r="AA1367" s="64" t="str">
        <f>IF($C1367="","",IFERROR(INDEX('Staff Directory'!$E$5:$E$594,MATCH($C1367,'Staff Directory'!$B$5:$B$594,0)),""))</f>
        <v>firstname105.lastname105@example.com</v>
      </c>
      <c r="AB1367" s="64" t="str">
        <f>IF($C1367="","",IF(ISNUMBER(SEARCH($D1367,Settings!$C$15)),"Pickup","Dispatch"))</f>
        <v>Dispatch</v>
      </c>
      <c r="AC1367" s="64" t="str">
        <f t="shared" si="243"/>
        <v>Supply order dispatched</v>
      </c>
      <c r="AD1367" s="64" t="str">
        <f t="shared" si="234"/>
        <v>Dear TL/RPN,
Your order has been dispatched and is in transit. Reply if undelivered.</v>
      </c>
      <c r="AE1367" s="64" t="str">
        <f t="shared" si="235"/>
        <v>mailto:firstname105.lastname105@example.com?subject=Supply%20order%20dispatched&amp;body=Dear%20TL%2FRPN%2C%0A%0AYour%20order%20has%20been%20dispatched%20and%20is%20in%20transit.%20Reply%20if%20undelivered.</v>
      </c>
      <c r="AF1367" s="89" t="str">
        <f t="shared" si="244"/>
        <v>Draft email</v>
      </c>
      <c r="AG1367" s="64" t="str">
        <f>IF($C1367="","",IFERROR(INDEX('Staff Directory'!$K$595:$K$599,MATCH($C1367,'Staff Directory'!$B$5:$B$599,0)),$D1367))</f>
        <v>TL/RPN</v>
      </c>
      <c r="AH1367" t="str">
        <f>IF($C1367="","",IFERROR(INDEX('Staff Directory'!$I$595:$I$599,MATCH($C1367,'Staff Directory'!$B$5:$B$599,0))&amp;" "&amp;INDEX('Staff Directory'!$J$595:$J$599,MATCH($C1367,'Staff Directory'!$B$5:$B$599,0)),$AG1367))</f>
        <v>TL/RPN</v>
      </c>
      <c r="AI1367" s="102"/>
      <c r="AJ1367" s="101">
        <f>IF($F1367="","",SUMIFS($J$5:$J1367,$F$5:$F1367,$F1367))</f>
        <v>11800</v>
      </c>
      <c r="AK1367" s="101">
        <f t="shared" si="236"/>
        <v>11751</v>
      </c>
      <c r="AL1367" s="66" t="str" cm="1">
        <f t="array" ref="AL1367">IF($F1367="","",IFERROR(INDEX('Lot Balance'!$B$5:$B$500,MATCH(1,INDEX(('Lot Balance'!$A$5:$A$500=$F1367)*('Lot Balance'!$K$5:$K$500&lt;$AK1367)*('Lot Balance'!$K$5:$K$500+'Lot Balance'!$D$5:$D$500&gt;=$AK1367),0),0)),""))</f>
        <v>24HA2050A7396</v>
      </c>
      <c r="AM1367" s="66" t="str" cm="1">
        <f t="array" ref="AM1367">IF($F1367="","",IFERROR(INDEX('Lot Balance'!$B$5:$B$500,MATCH(1,INDEX(('Lot Balance'!$A$5:$A$500=$F1367)*('Lot Balance'!$K$5:$K$500&lt;$AJ1367)*('Lot Balance'!$K$5:$K$500+'Lot Balance'!$D$5:$D$500&gt;=$AJ1367),0),0)),""))</f>
        <v>24HA2050A7396</v>
      </c>
      <c r="AN1367" s="66" t="str">
        <f>IF($F1367="","",IF($AI1367&lt;&gt;"",IF(COUNTIFS('Lot Balance'!$A$5:$A$500,$F1367,'Lot Balance'!$B$5:$B$500,$AI1367)=0,"⚠ override is not a lot of this item",IF($AI1367=$AL1367,"Override = FEFO","Override - FEFO says "&amp;$AL1367)),IF($AL1367="","⚠ no receipt on file for this item",IF($AM1367&lt;&gt;$AL1367,"FEFO auto - split, also "&amp;$AM1367,"FEFO auto"))))</f>
        <v>FEFO auto</v>
      </c>
      <c r="AO1367" s="114"/>
    </row>
    <row r="1368" spans="1:41" x14ac:dyDescent="0.35">
      <c r="A1368" s="74">
        <v>46197</v>
      </c>
      <c r="B1368" s="18" t="str">
        <f>IF($C1368="","",IFERROR(INDEX('Staff Directory'!$A$5:$A$594,MATCH($C1368,'Staff Directory'!$B$5:$B$594,0)),"⚠ unknown staff"))</f>
        <v>TL/RPN-001-A8</v>
      </c>
      <c r="C1368" s="49" t="s">
        <v>1021</v>
      </c>
      <c r="D1368" s="19" t="str">
        <f>IF($B1368="","",IFERROR(INDEX('Staff Directory'!$C$5:$C$594,MATCH($B1368,'Staff Directory'!$A$5:$A$594,0)),""))</f>
        <v>TL/RPN</v>
      </c>
      <c r="E1368" s="19" t="str">
        <f>IF($B1368="","",IFERROR(INDEX('Staff Directory'!$D$5:$D$594,MATCH($B1368,'Staff Directory'!$A$5:$A$594,0)),""))</f>
        <v>A8</v>
      </c>
      <c r="F1368" s="9" t="s">
        <v>220</v>
      </c>
      <c r="G1368" s="18" t="str">
        <f>IF($F1368="","",IFERROR(INDEX(Items!$B$5:$B$597,MATCH($F1368,Items!$A$5:$A$597,0)),"⚠ not in Items"))</f>
        <v>Stationery</v>
      </c>
      <c r="H1368" s="19" t="str">
        <f>IF($F1368="","",IFERROR(INDEX(Items!$C$5:$C$597,MATCH($F1368,Items!$A$5:$A$597,0)),""))</f>
        <v>A5, 100 pages</v>
      </c>
      <c r="I1368" s="23">
        <f>IF($F1368="","",IFERROR(INDEX(Items!$E$5:$E$597,MATCH($F1368,Items!$A$5:$A$597,0)),""))</f>
        <v>0</v>
      </c>
      <c r="J1368" s="115">
        <f>IF(tblIssues[[#This Row],[Qty Override]]&lt;&gt;"",tblIssues[[#This Row],[Qty Override]],IF(tblIssues[[#This Row],[Standard Issue]]="","",tblIssues[[#This Row],[Standard Issue]]))</f>
        <v>0</v>
      </c>
      <c r="K1368" s="20">
        <f>IF($F1368="","",IFERROR(INDEX(Items!$D$5:$D$597,MATCH($F1368,Items!$A$5:$A$597,0)),""))</f>
        <v>2.5</v>
      </c>
      <c r="L1368" s="21">
        <f t="shared" si="239"/>
        <v>0</v>
      </c>
      <c r="M1368" s="9" t="str">
        <f t="shared" si="237"/>
        <v/>
      </c>
      <c r="N1368" s="24">
        <f>IF($A1368="","",WORKDAY($A1368,Settings!$C$9,HolidayDates))</f>
        <v>46205</v>
      </c>
      <c r="O1368" s="24">
        <f>IF($N1368="","",WORKDAY($N1368,Settings!$C$10,HolidayDates))</f>
        <v>46245</v>
      </c>
      <c r="P1368" s="10" t="s">
        <v>751</v>
      </c>
      <c r="Q1368" s="52" t="str">
        <f t="shared" si="240"/>
        <v>Collected</v>
      </c>
      <c r="R1368" s="55" t="str">
        <f t="shared" si="241"/>
        <v>2026-06</v>
      </c>
      <c r="S1368" s="55">
        <f>IF(OR($B1368="",$F1368="",$R1368=""),"",SUMIFS(tblIssues[Qty Issued],tblIssues[Staff ID],$B1368,tblIssues[Item Name],$F1368,tblIssues[Month],$R1368))</f>
        <v>0</v>
      </c>
      <c r="T1368" s="56">
        <f>IF($I1368="","",$I1368*Settings!$C$11)</f>
        <v>0</v>
      </c>
      <c r="U1368" s="57" t="str">
        <f t="shared" si="238"/>
        <v>OK</v>
      </c>
      <c r="V1368" s="55" t="str">
        <f t="shared" si="242"/>
        <v/>
      </c>
      <c r="W1368" s="55" t="str">
        <f>IF($V1368="","",IF(COUNTIF($V$5:$V1368,$V1368)=1,1,""))</f>
        <v/>
      </c>
      <c r="X1368" s="58" t="str">
        <f>IF($W1368="","",MAX($X$4:X1367)+1)</f>
        <v/>
      </c>
      <c r="Y1368" s="62"/>
      <c r="Z1368" s="62"/>
      <c r="AA1368" s="64" t="str">
        <f>IF($C1368="","",IFERROR(INDEX('Staff Directory'!$E$5:$E$594,MATCH($C1368,'Staff Directory'!$B$5:$B$594,0)),""))</f>
        <v>firstname105.lastname105@example.com</v>
      </c>
      <c r="AB1368" s="64" t="str">
        <f>IF($C1368="","",IF(ISNUMBER(SEARCH($D1368,Settings!$C$15)),"Pickup","Dispatch"))</f>
        <v>Dispatch</v>
      </c>
      <c r="AC1368" s="64" t="str">
        <f t="shared" si="243"/>
        <v>Supply order dispatched</v>
      </c>
      <c r="AD1368" s="64" t="str">
        <f t="shared" si="234"/>
        <v>Dear TL/RPN,
Your order has been dispatched and is in transit. Reply if undelivered.</v>
      </c>
      <c r="AE1368" s="64" t="str">
        <f t="shared" si="235"/>
        <v>mailto:firstname105.lastname105@example.com?subject=Supply%20order%20dispatched&amp;body=Dear%20TL%2FRPN%2C%0A%0AYour%20order%20has%20been%20dispatched%20and%20is%20in%20transit.%20Reply%20if%20undelivered.</v>
      </c>
      <c r="AF1368" s="89" t="str">
        <f t="shared" si="244"/>
        <v>Draft email</v>
      </c>
      <c r="AG1368" s="64" t="str">
        <f>IF($C1368="","",IFERROR(INDEX('Staff Directory'!$K$595:$K$599,MATCH($C1368,'Staff Directory'!$B$5:$B$599,0)),$D1368))</f>
        <v>TL/RPN</v>
      </c>
      <c r="AH1368" t="str">
        <f>IF($C1368="","",IFERROR(INDEX('Staff Directory'!$I$595:$I$599,MATCH($C1368,'Staff Directory'!$B$5:$B$599,0))&amp;" "&amp;INDEX('Staff Directory'!$J$595:$J$599,MATCH($C1368,'Staff Directory'!$B$5:$B$599,0)),$AG1368))</f>
        <v>TL/RPN</v>
      </c>
      <c r="AI1368" s="102"/>
      <c r="AJ1368" s="101">
        <f>IF($F1368="","",SUMIFS($J$5:$J1368,$F$5:$F1368,$F1368))</f>
        <v>0</v>
      </c>
      <c r="AK1368" s="101">
        <f t="shared" si="236"/>
        <v>1</v>
      </c>
      <c r="AL1368" s="66" t="str" cm="1">
        <f t="array" ref="AL1368">IF($F1368="","",IFERROR(INDEX('Lot Balance'!$B$5:$B$500,MATCH(1,INDEX(('Lot Balance'!$A$5:$A$500=$F1368)*('Lot Balance'!$K$5:$K$500&lt;$AK1368)*('Lot Balance'!$K$5:$K$500+'Lot Balance'!$D$5:$D$500&gt;=$AK1368),0),0)),""))</f>
        <v/>
      </c>
      <c r="AM1368" s="66" t="str" cm="1">
        <f t="array" ref="AM1368">IF($F1368="","",IFERROR(INDEX('Lot Balance'!$B$5:$B$500,MATCH(1,INDEX(('Lot Balance'!$A$5:$A$500=$F1368)*('Lot Balance'!$K$5:$K$500&lt;$AJ1368)*('Lot Balance'!$K$5:$K$500+'Lot Balance'!$D$5:$D$500&gt;=$AJ1368),0),0)),""))</f>
        <v/>
      </c>
      <c r="AN1368" s="66" t="str">
        <f>IF($F1368="","",IF($AI1368&lt;&gt;"",IF(COUNTIFS('Lot Balance'!$A$5:$A$500,$F1368,'Lot Balance'!$B$5:$B$500,$AI1368)=0,"⚠ override is not a lot of this item",IF($AI1368=$AL1368,"Override = FEFO","Override - FEFO says "&amp;$AL1368)),IF($AL1368="","⚠ no receipt on file for this item",IF($AM1368&lt;&gt;$AL1368,"FEFO auto - split, also "&amp;$AM1368,"FEFO auto"))))</f>
        <v>⚠ no receipt on file for this item</v>
      </c>
      <c r="AO1368" s="114"/>
    </row>
    <row r="1369" spans="1:41" x14ac:dyDescent="0.35">
      <c r="A1369" s="74">
        <v>46204</v>
      </c>
      <c r="B1369" s="18" t="str">
        <f>IF($C1369="","",IFERROR(INDEX('Staff Directory'!$A$5:$A$594,MATCH($C1369,'Staff Directory'!$B$5:$B$594,0)),"⚠ unknown staff"))</f>
        <v>PSW-150-A5</v>
      </c>
      <c r="C1369" s="49" t="s">
        <v>1129</v>
      </c>
      <c r="D1369" s="19" t="str">
        <f>IF($B1369="","",IFERROR(INDEX('Staff Directory'!$C$5:$C$594,MATCH($B1369,'Staff Directory'!$A$5:$A$594,0)),""))</f>
        <v>PSW</v>
      </c>
      <c r="E1369" s="19" t="str">
        <f>IF($B1369="","",IFERROR(INDEX('Staff Directory'!$D$5:$D$594,MATCH($B1369,'Staff Directory'!$A$5:$A$594,0)),""))</f>
        <v>A5</v>
      </c>
      <c r="F1369" s="9" t="s">
        <v>124</v>
      </c>
      <c r="G1369" s="18" t="str">
        <f>IF($F1369="","",IFERROR(INDEX(Items!$B$5:$B$597,MATCH($F1369,Items!$A$5:$A$597,0)),"⚠ not in Items"))</f>
        <v>Gloves</v>
      </c>
      <c r="H1369" s="19" t="str">
        <f>IF($F1369="","",IFERROR(INDEX(Items!$C$5:$C$597,MATCH($F1369,Items!$A$5:$A$597,0)),""))</f>
        <v>Large</v>
      </c>
      <c r="I1369" s="23">
        <f>IF($F1369="","",IFERROR(INDEX(Items!$E$5:$E$597,MATCH($F1369,Items!$A$5:$A$597,0)),""))</f>
        <v>500</v>
      </c>
      <c r="J1369" s="115">
        <f>IF(tblIssues[[#This Row],[Qty Override]]&lt;&gt;"",tblIssues[[#This Row],[Qty Override]],IF(tblIssues[[#This Row],[Standard Issue]]="","",tblIssues[[#This Row],[Standard Issue]]))</f>
        <v>500</v>
      </c>
      <c r="K1369" s="20">
        <f>IF($F1369="","",IFERROR(INDEX(Items!$D$5:$D$597,MATCH($F1369,Items!$A$5:$A$597,0)),""))</f>
        <v>5.5E-2</v>
      </c>
      <c r="L1369" s="21">
        <f t="shared" si="239"/>
        <v>27.5</v>
      </c>
      <c r="M1369" s="9" t="str">
        <f t="shared" si="237"/>
        <v>ZIM511139904-2</v>
      </c>
      <c r="N1369" s="24">
        <f>IF($A1369="","",WORKDAY($A1369,Settings!$C$9,HolidayDates))</f>
        <v>46212</v>
      </c>
      <c r="O1369" s="24">
        <f>IF($N1369="","",WORKDAY($N1369,Settings!$C$10,HolidayDates))</f>
        <v>46252</v>
      </c>
      <c r="P1369" s="10" t="s">
        <v>501</v>
      </c>
      <c r="Q1369" s="52" t="str">
        <f t="shared" si="240"/>
        <v>Collected</v>
      </c>
      <c r="R1369" s="55" t="str">
        <f t="shared" si="241"/>
        <v>2026-07</v>
      </c>
      <c r="S1369" s="55">
        <f>IF(OR($B1369="",$F1369="",$R1369=""),"",SUMIFS(tblIssues[Qty Issued],tblIssues[Staff ID],$B1369,tblIssues[Item Name],$F1369,tblIssues[Month],$R1369))</f>
        <v>500</v>
      </c>
      <c r="T1369" s="56">
        <f>IF($I1369="","",$I1369*Settings!$C$11)</f>
        <v>500</v>
      </c>
      <c r="U1369" s="57" t="str">
        <f t="shared" si="238"/>
        <v>OK</v>
      </c>
      <c r="V1369" s="55" t="str">
        <f t="shared" si="242"/>
        <v/>
      </c>
      <c r="W1369" s="55" t="str">
        <f>IF($V1369="","",IF(COUNTIF($V$5:$V1369,$V1369)=1,1,""))</f>
        <v/>
      </c>
      <c r="X1369" s="58" t="str">
        <f>IF($W1369="","",MAX($X$4:X1368)+1)</f>
        <v/>
      </c>
      <c r="Y1369" s="62"/>
      <c r="Z1369" s="62"/>
      <c r="AA1369" s="64" t="str">
        <f>IF($C1369="","",IFERROR(INDEX('Staff Directory'!$E$5:$E$594,MATCH($C1369,'Staff Directory'!$B$5:$B$594,0)),""))</f>
        <v>firstname213.lastname213@example.com</v>
      </c>
      <c r="AB1369" s="64" t="str">
        <f>IF($C1369="","",IF(ISNUMBER(SEARCH($D1369,Settings!$C$15)),"Pickup","Dispatch"))</f>
        <v>Pickup</v>
      </c>
      <c r="AC1369" s="64" t="str">
        <f t="shared" si="243"/>
        <v>Supply order ready for pickup</v>
      </c>
      <c r="AD1369" s="64" t="str">
        <f t="shared" si="234"/>
        <v>Dear PSW,
Your order is ready for pickup from Sample Branch, Wed-Fri 9am-4pm.</v>
      </c>
      <c r="AE1369" s="64" t="str">
        <f t="shared" si="235"/>
        <v>mailto:firstname213.lastname213@example.com?subject=Supply%20order%20ready%20for%20pickup&amp;body=Dear%20PSW%2C%0A%0AYour%20order%20is%20ready%20for%20pickup%20from%20Sample%20Branch%2C%20Wed-Fri%209am-4pm.</v>
      </c>
      <c r="AF1369" s="89" t="str">
        <f t="shared" si="244"/>
        <v>Draft email</v>
      </c>
      <c r="AG1369" s="64" t="str">
        <f>IF($C1369="","",IFERROR(INDEX('Staff Directory'!$K$595:$K$599,MATCH($C1369,'Staff Directory'!$B$5:$B$599,0)),$D1369))</f>
        <v>PSW</v>
      </c>
      <c r="AH1369" t="str">
        <f>IF($C1369="","",IFERROR(INDEX('Staff Directory'!$I$595:$I$599,MATCH($C1369,'Staff Directory'!$B$5:$B$599,0))&amp;" "&amp;INDEX('Staff Directory'!$J$595:$J$599,MATCH($C1369,'Staff Directory'!$B$5:$B$599,0)),$AG1369))</f>
        <v>PSW</v>
      </c>
      <c r="AI1369" s="102"/>
      <c r="AJ1369" s="101">
        <f>IF($F1369="","",SUMIFS($J$5:$J1369,$F$5:$F1369,$F1369))</f>
        <v>37500</v>
      </c>
      <c r="AK1369" s="101">
        <f t="shared" si="236"/>
        <v>37001</v>
      </c>
      <c r="AL1369" s="66" t="str" cm="1">
        <f t="array" ref="AL1369">IF($F1369="","",IFERROR(INDEX('Lot Balance'!$B$5:$B$500,MATCH(1,INDEX(('Lot Balance'!$A$5:$A$500=$F1369)*('Lot Balance'!$K$5:$K$500&lt;$AK1369)*('Lot Balance'!$K$5:$K$500+'Lot Balance'!$D$5:$D$500&gt;=$AK1369),0),0)),""))</f>
        <v>ZIM511139904-2</v>
      </c>
      <c r="AM1369" s="66" t="str" cm="1">
        <f t="array" ref="AM1369">IF($F1369="","",IFERROR(INDEX('Lot Balance'!$B$5:$B$500,MATCH(1,INDEX(('Lot Balance'!$A$5:$A$500=$F1369)*('Lot Balance'!$K$5:$K$500&lt;$AJ1369)*('Lot Balance'!$K$5:$K$500+'Lot Balance'!$D$5:$D$500&gt;=$AJ1369),0),0)),""))</f>
        <v>ZIM511139904-3</v>
      </c>
      <c r="AN1369" s="66" t="str">
        <f>IF($F1369="","",IF($AI1369&lt;&gt;"",IF(COUNTIFS('Lot Balance'!$A$5:$A$500,$F1369,'Lot Balance'!$B$5:$B$500,$AI1369)=0,"⚠ override is not a lot of this item",IF($AI1369=$AL1369,"Override = FEFO","Override - FEFO says "&amp;$AL1369)),IF($AL1369="","⚠ no receipt on file for this item",IF($AM1369&lt;&gt;$AL1369,"FEFO auto - split, also "&amp;$AM1369,"FEFO auto"))))</f>
        <v>FEFO auto - split, also ZIM511139904-3</v>
      </c>
      <c r="AO1369" s="114"/>
    </row>
    <row r="1370" spans="1:41" x14ac:dyDescent="0.35">
      <c r="A1370" s="74">
        <v>46204</v>
      </c>
      <c r="B1370" s="18" t="str">
        <f>IF($C1370="","",IFERROR(INDEX('Staff Directory'!$A$5:$A$594,MATCH($C1370,'Staff Directory'!$B$5:$B$594,0)),"⚠ unknown staff"))</f>
        <v>PSW-150-A5</v>
      </c>
      <c r="C1370" s="49" t="s">
        <v>1129</v>
      </c>
      <c r="D1370" s="19" t="str">
        <f>IF($B1370="","",IFERROR(INDEX('Staff Directory'!$C$5:$C$594,MATCH($B1370,'Staff Directory'!$A$5:$A$594,0)),""))</f>
        <v>PSW</v>
      </c>
      <c r="E1370" s="19" t="str">
        <f>IF($B1370="","",IFERROR(INDEX('Staff Directory'!$D$5:$D$594,MATCH($B1370,'Staff Directory'!$A$5:$A$594,0)),""))</f>
        <v>A5</v>
      </c>
      <c r="F1370" s="9" t="s">
        <v>191</v>
      </c>
      <c r="G1370" s="18" t="str">
        <f>IF($F1370="","",IFERROR(INDEX(Items!$B$5:$B$597,MATCH($F1370,Items!$A$5:$A$597,0)),"⚠ not in Items"))</f>
        <v>Sanitizer</v>
      </c>
      <c r="H1370" s="19" t="str">
        <f>IF($F1370="","",IFERROR(INDEX(Items!$C$5:$C$597,MATCH($F1370,Items!$A$5:$A$597,0)),""))</f>
        <v>236 ML</v>
      </c>
      <c r="I1370" s="23">
        <f>IF($F1370="","",IFERROR(INDEX(Items!$E$5:$E$597,MATCH($F1370,Items!$A$5:$A$597,0)),""))</f>
        <v>1</v>
      </c>
      <c r="J1370" s="115">
        <f>IF(tblIssues[[#This Row],[Qty Override]]&lt;&gt;"",tblIssues[[#This Row],[Qty Override]],IF(tblIssues[[#This Row],[Standard Issue]]="","",tblIssues[[#This Row],[Standard Issue]]))</f>
        <v>1</v>
      </c>
      <c r="K1370" s="20">
        <f>IF($F1370="","",IFERROR(INDEX(Items!$D$5:$D$597,MATCH($F1370,Items!$A$5:$A$597,0)),""))</f>
        <v>1E-4</v>
      </c>
      <c r="L1370" s="21">
        <f t="shared" si="239"/>
        <v>1E-4</v>
      </c>
      <c r="M1370" s="9" t="str">
        <f t="shared" si="237"/>
        <v/>
      </c>
      <c r="N1370" s="24">
        <f>IF($A1370="","",WORKDAY($A1370,Settings!$C$9,HolidayDates))</f>
        <v>46212</v>
      </c>
      <c r="O1370" s="24">
        <f>IF($N1370="","",WORKDAY($N1370,Settings!$C$10,HolidayDates))</f>
        <v>46252</v>
      </c>
      <c r="P1370" s="10" t="s">
        <v>501</v>
      </c>
      <c r="Q1370" s="52" t="str">
        <f t="shared" si="240"/>
        <v>Collected</v>
      </c>
      <c r="R1370" s="55" t="str">
        <f t="shared" si="241"/>
        <v>2026-07</v>
      </c>
      <c r="S1370" s="55">
        <f>IF(OR($B1370="",$F1370="",$R1370=""),"",SUMIFS(tblIssues[Qty Issued],tblIssues[Staff ID],$B1370,tblIssues[Item Name],$F1370,tblIssues[Month],$R1370))</f>
        <v>1</v>
      </c>
      <c r="T1370" s="56">
        <f>IF($I1370="","",$I1370*Settings!$C$11)</f>
        <v>1</v>
      </c>
      <c r="U1370" s="57" t="str">
        <f t="shared" si="238"/>
        <v>OK</v>
      </c>
      <c r="V1370" s="55" t="str">
        <f t="shared" si="242"/>
        <v/>
      </c>
      <c r="W1370" s="55" t="str">
        <f>IF($V1370="","",IF(COUNTIF($V$5:$V1370,$V1370)=1,1,""))</f>
        <v/>
      </c>
      <c r="X1370" s="58" t="str">
        <f>IF($W1370="","",MAX($X$4:X1369)+1)</f>
        <v/>
      </c>
      <c r="Y1370" s="62"/>
      <c r="Z1370" s="62"/>
      <c r="AA1370" s="64" t="str">
        <f>IF($C1370="","",IFERROR(INDEX('Staff Directory'!$E$5:$E$594,MATCH($C1370,'Staff Directory'!$B$5:$B$594,0)),""))</f>
        <v>firstname213.lastname213@example.com</v>
      </c>
      <c r="AB1370" s="64" t="str">
        <f>IF($C1370="","",IF(ISNUMBER(SEARCH($D1370,Settings!$C$15)),"Pickup","Dispatch"))</f>
        <v>Pickup</v>
      </c>
      <c r="AC1370" s="64" t="str">
        <f t="shared" si="243"/>
        <v>Supply order ready for pickup</v>
      </c>
      <c r="AD1370" s="64" t="str">
        <f t="shared" si="234"/>
        <v>Dear PSW,
Your order is ready for pickup from Sample Branch, Wed-Fri 9am-4pm.</v>
      </c>
      <c r="AE1370" s="64" t="str">
        <f t="shared" si="235"/>
        <v>mailto:firstname213.lastname213@example.com?subject=Supply%20order%20ready%20for%20pickup&amp;body=Dear%20PSW%2C%0A%0AYour%20order%20is%20ready%20for%20pickup%20from%20Sample%20Branch%2C%20Wed-Fri%209am-4pm.</v>
      </c>
      <c r="AF1370" s="89" t="str">
        <f t="shared" si="244"/>
        <v>Draft email</v>
      </c>
      <c r="AG1370" s="64" t="str">
        <f>IF($C1370="","",IFERROR(INDEX('Staff Directory'!$K$595:$K$599,MATCH($C1370,'Staff Directory'!$B$5:$B$599,0)),$D1370))</f>
        <v>PSW</v>
      </c>
      <c r="AH1370" t="str">
        <f>IF($C1370="","",IFERROR(INDEX('Staff Directory'!$I$595:$I$599,MATCH($C1370,'Staff Directory'!$B$5:$B$599,0))&amp;" "&amp;INDEX('Staff Directory'!$J$595:$J$599,MATCH($C1370,'Staff Directory'!$B$5:$B$599,0)),$AG1370))</f>
        <v>PSW</v>
      </c>
      <c r="AI1370" s="102"/>
      <c r="AJ1370" s="101">
        <f>IF($F1370="","",SUMIFS($J$5:$J1370,$F$5:$F1370,$F1370))</f>
        <v>184</v>
      </c>
      <c r="AK1370" s="101">
        <f t="shared" si="236"/>
        <v>184</v>
      </c>
      <c r="AL1370" s="66" t="str" cm="1">
        <f t="array" ref="AL1370">IF($F1370="","",IFERROR(INDEX('Lot Balance'!$B$5:$B$500,MATCH(1,INDEX(('Lot Balance'!$A$5:$A$500=$F1370)*('Lot Balance'!$K$5:$K$500&lt;$AK1370)*('Lot Balance'!$K$5:$K$500+'Lot Balance'!$D$5:$D$500&gt;=$AK1370),0),0)),""))</f>
        <v/>
      </c>
      <c r="AM1370" s="66" t="str" cm="1">
        <f t="array" ref="AM1370">IF($F1370="","",IFERROR(INDEX('Lot Balance'!$B$5:$B$500,MATCH(1,INDEX(('Lot Balance'!$A$5:$A$500=$F1370)*('Lot Balance'!$K$5:$K$500&lt;$AJ1370)*('Lot Balance'!$K$5:$K$500+'Lot Balance'!$D$5:$D$500&gt;=$AJ1370),0),0)),""))</f>
        <v/>
      </c>
      <c r="AN1370" s="66" t="str">
        <f>IF($F1370="","",IF($AI1370&lt;&gt;"",IF(COUNTIFS('Lot Balance'!$A$5:$A$500,$F1370,'Lot Balance'!$B$5:$B$500,$AI1370)=0,"⚠ override is not a lot of this item",IF($AI1370=$AL1370,"Override = FEFO","Override - FEFO says "&amp;$AL1370)),IF($AL1370="","⚠ no receipt on file for this item",IF($AM1370&lt;&gt;$AL1370,"FEFO auto - split, also "&amp;$AM1370,"FEFO auto"))))</f>
        <v>⚠ no receipt on file for this item</v>
      </c>
      <c r="AO1370" s="114"/>
    </row>
    <row r="1371" spans="1:41" x14ac:dyDescent="0.35">
      <c r="A1371" s="74">
        <v>46204</v>
      </c>
      <c r="B1371" s="18" t="str">
        <f>IF($C1371="","",IFERROR(INDEX('Staff Directory'!$A$5:$A$594,MATCH($C1371,'Staff Directory'!$B$5:$B$594,0)),"⚠ unknown staff"))</f>
        <v>PSW-150-A5</v>
      </c>
      <c r="C1371" s="49" t="s">
        <v>1129</v>
      </c>
      <c r="D1371" s="19" t="str">
        <f>IF($B1371="","",IFERROR(INDEX('Staff Directory'!$C$5:$C$594,MATCH($B1371,'Staff Directory'!$A$5:$A$594,0)),""))</f>
        <v>PSW</v>
      </c>
      <c r="E1371" s="19" t="str">
        <f>IF($B1371="","",IFERROR(INDEX('Staff Directory'!$D$5:$D$594,MATCH($B1371,'Staff Directory'!$A$5:$A$594,0)),""))</f>
        <v>A5</v>
      </c>
      <c r="F1371" s="9" t="s">
        <v>156</v>
      </c>
      <c r="G1371" s="18" t="str">
        <f>IF($F1371="","",IFERROR(INDEX(Items!$B$5:$B$597,MATCH($F1371,Items!$A$5:$A$597,0)),"⚠ not in Items"))</f>
        <v>Masks</v>
      </c>
      <c r="H1371" s="19" t="str">
        <f>IF($F1371="","",IFERROR(INDEX(Items!$C$5:$C$597,MATCH($F1371,Items!$A$5:$A$597,0)),""))</f>
        <v>One Size</v>
      </c>
      <c r="I1371" s="23">
        <f>IF($F1371="","",IFERROR(INDEX(Items!$E$5:$E$597,MATCH($F1371,Items!$A$5:$A$597,0)),""))</f>
        <v>50</v>
      </c>
      <c r="J1371" s="115">
        <f>IF(tblIssues[[#This Row],[Qty Override]]&lt;&gt;"",tblIssues[[#This Row],[Qty Override]],IF(tblIssues[[#This Row],[Standard Issue]]="","",tblIssues[[#This Row],[Standard Issue]]))</f>
        <v>50</v>
      </c>
      <c r="K1371" s="20">
        <f>IF($F1371="","",IFERROR(INDEX(Items!$D$5:$D$597,MATCH($F1371,Items!$A$5:$A$597,0)),""))</f>
        <v>0.25</v>
      </c>
      <c r="L1371" s="21">
        <f t="shared" si="239"/>
        <v>12.5</v>
      </c>
      <c r="M1371" s="9" t="str">
        <f t="shared" si="237"/>
        <v>24HA2050A7396</v>
      </c>
      <c r="N1371" s="24">
        <f>IF($A1371="","",WORKDAY($A1371,Settings!$C$9,HolidayDates))</f>
        <v>46212</v>
      </c>
      <c r="O1371" s="24">
        <f>IF($N1371="","",WORKDAY($N1371,Settings!$C$10,HolidayDates))</f>
        <v>46252</v>
      </c>
      <c r="P1371" s="10" t="s">
        <v>501</v>
      </c>
      <c r="Q1371" s="52" t="str">
        <f t="shared" si="240"/>
        <v>Collected</v>
      </c>
      <c r="R1371" s="55" t="str">
        <f t="shared" si="241"/>
        <v>2026-07</v>
      </c>
      <c r="S1371" s="55">
        <f>IF(OR($B1371="",$F1371="",$R1371=""),"",SUMIFS(tblIssues[Qty Issued],tblIssues[Staff ID],$B1371,tblIssues[Item Name],$F1371,tblIssues[Month],$R1371))</f>
        <v>50</v>
      </c>
      <c r="T1371" s="56">
        <f>IF($I1371="","",$I1371*Settings!$C$11)</f>
        <v>50</v>
      </c>
      <c r="U1371" s="57" t="str">
        <f t="shared" si="238"/>
        <v>OK</v>
      </c>
      <c r="V1371" s="55" t="str">
        <f t="shared" si="242"/>
        <v/>
      </c>
      <c r="W1371" s="55" t="str">
        <f>IF($V1371="","",IF(COUNTIF($V$5:$V1371,$V1371)=1,1,""))</f>
        <v/>
      </c>
      <c r="X1371" s="58" t="str">
        <f>IF($W1371="","",MAX($X$4:X1370)+1)</f>
        <v/>
      </c>
      <c r="Y1371" s="62"/>
      <c r="Z1371" s="62"/>
      <c r="AA1371" s="64" t="str">
        <f>IF($C1371="","",IFERROR(INDEX('Staff Directory'!$E$5:$E$594,MATCH($C1371,'Staff Directory'!$B$5:$B$594,0)),""))</f>
        <v>firstname213.lastname213@example.com</v>
      </c>
      <c r="AB1371" s="64" t="str">
        <f>IF($C1371="","",IF(ISNUMBER(SEARCH($D1371,Settings!$C$15)),"Pickup","Dispatch"))</f>
        <v>Pickup</v>
      </c>
      <c r="AC1371" s="64" t="str">
        <f t="shared" si="243"/>
        <v>Supply order ready for pickup</v>
      </c>
      <c r="AD1371" s="64" t="str">
        <f t="shared" si="234"/>
        <v>Dear PSW,
Your order is ready for pickup from Sample Branch, Wed-Fri 9am-4pm.</v>
      </c>
      <c r="AE1371" s="64" t="str">
        <f t="shared" si="235"/>
        <v>mailto:firstname213.lastname213@example.com?subject=Supply%20order%20ready%20for%20pickup&amp;body=Dear%20PSW%2C%0A%0AYour%20order%20is%20ready%20for%20pickup%20from%20Sample%20Branch%2C%20Wed-Fri%209am-4pm.</v>
      </c>
      <c r="AF1371" s="89" t="str">
        <f t="shared" si="244"/>
        <v>Draft email</v>
      </c>
      <c r="AG1371" s="64" t="str">
        <f>IF($C1371="","",IFERROR(INDEX('Staff Directory'!$K$595:$K$599,MATCH($C1371,'Staff Directory'!$B$5:$B$599,0)),$D1371))</f>
        <v>PSW</v>
      </c>
      <c r="AH1371" t="str">
        <f>IF($C1371="","",IFERROR(INDEX('Staff Directory'!$I$595:$I$599,MATCH($C1371,'Staff Directory'!$B$5:$B$599,0))&amp;" "&amp;INDEX('Staff Directory'!$J$595:$J$599,MATCH($C1371,'Staff Directory'!$B$5:$B$599,0)),$AG1371))</f>
        <v>PSW</v>
      </c>
      <c r="AI1371" s="102"/>
      <c r="AJ1371" s="101">
        <f>IF($F1371="","",SUMIFS($J$5:$J1371,$F$5:$F1371,$F1371))</f>
        <v>11850</v>
      </c>
      <c r="AK1371" s="101">
        <f t="shared" si="236"/>
        <v>11801</v>
      </c>
      <c r="AL1371" s="66" t="str" cm="1">
        <f t="array" ref="AL1371">IF($F1371="","",IFERROR(INDEX('Lot Balance'!$B$5:$B$500,MATCH(1,INDEX(('Lot Balance'!$A$5:$A$500=$F1371)*('Lot Balance'!$K$5:$K$500&lt;$AK1371)*('Lot Balance'!$K$5:$K$500+'Lot Balance'!$D$5:$D$500&gt;=$AK1371),0),0)),""))</f>
        <v>24HA2050A7396</v>
      </c>
      <c r="AM1371" s="66" t="str" cm="1">
        <f t="array" ref="AM1371">IF($F1371="","",IFERROR(INDEX('Lot Balance'!$B$5:$B$500,MATCH(1,INDEX(('Lot Balance'!$A$5:$A$500=$F1371)*('Lot Balance'!$K$5:$K$500&lt;$AJ1371)*('Lot Balance'!$K$5:$K$500+'Lot Balance'!$D$5:$D$500&gt;=$AJ1371),0),0)),""))</f>
        <v>24HA2050A7396</v>
      </c>
      <c r="AN1371" s="66" t="str">
        <f>IF($F1371="","",IF($AI1371&lt;&gt;"",IF(COUNTIFS('Lot Balance'!$A$5:$A$500,$F1371,'Lot Balance'!$B$5:$B$500,$AI1371)=0,"⚠ override is not a lot of this item",IF($AI1371=$AL1371,"Override = FEFO","Override - FEFO says "&amp;$AL1371)),IF($AL1371="","⚠ no receipt on file for this item",IF($AM1371&lt;&gt;$AL1371,"FEFO auto - split, also "&amp;$AM1371,"FEFO auto"))))</f>
        <v>FEFO auto</v>
      </c>
      <c r="AO1371" s="114"/>
    </row>
    <row r="1372" spans="1:41" x14ac:dyDescent="0.35">
      <c r="A1372" s="74">
        <v>46204</v>
      </c>
      <c r="B1372" s="18" t="str">
        <f>IF($C1372="","",IFERROR(INDEX('Staff Directory'!$A$5:$A$594,MATCH($C1372,'Staff Directory'!$B$5:$B$594,0)),"⚠ unknown staff"))</f>
        <v>PSW-033-A4</v>
      </c>
      <c r="C1372" s="49" t="s">
        <v>1008</v>
      </c>
      <c r="D1372" s="19" t="str">
        <f>IF($B1372="","",IFERROR(INDEX('Staff Directory'!$C$5:$C$594,MATCH($B1372,'Staff Directory'!$A$5:$A$594,0)),""))</f>
        <v>PSW</v>
      </c>
      <c r="E1372" s="19" t="str">
        <f>IF($B1372="","",IFERROR(INDEX('Staff Directory'!$D$5:$D$594,MATCH($B1372,'Staff Directory'!$A$5:$A$594,0)),""))</f>
        <v>A4</v>
      </c>
      <c r="F1372" s="9" t="s">
        <v>129</v>
      </c>
      <c r="G1372" s="18" t="str">
        <f>IF($F1372="","",IFERROR(INDEX(Items!$B$5:$B$597,MATCH($F1372,Items!$A$5:$A$597,0)),"⚠ not in Items"))</f>
        <v>Gloves</v>
      </c>
      <c r="H1372" s="19" t="str">
        <f>IF($F1372="","",IFERROR(INDEX(Items!$C$5:$C$597,MATCH($F1372,Items!$A$5:$A$597,0)),""))</f>
        <v>Small</v>
      </c>
      <c r="I1372" s="23">
        <f>IF($F1372="","",IFERROR(INDEX(Items!$E$5:$E$597,MATCH($F1372,Items!$A$5:$A$597,0)),""))</f>
        <v>500</v>
      </c>
      <c r="J1372" s="115">
        <f>IF(tblIssues[[#This Row],[Qty Override]]&lt;&gt;"",tblIssues[[#This Row],[Qty Override]],IF(tblIssues[[#This Row],[Standard Issue]]="","",tblIssues[[#This Row],[Standard Issue]]))</f>
        <v>500</v>
      </c>
      <c r="K1372" s="20">
        <f>IF($F1372="","",IFERROR(INDEX(Items!$D$5:$D$597,MATCH($F1372,Items!$A$5:$A$597,0)),""))</f>
        <v>5.5E-2</v>
      </c>
      <c r="L1372" s="21">
        <f t="shared" si="239"/>
        <v>27.5</v>
      </c>
      <c r="M1372" s="9" t="str">
        <f t="shared" si="237"/>
        <v>ZIM504124207-8</v>
      </c>
      <c r="N1372" s="24">
        <f>IF($A1372="","",WORKDAY($A1372,Settings!$C$9,HolidayDates))</f>
        <v>46212</v>
      </c>
      <c r="O1372" s="24">
        <f>IF($N1372="","",WORKDAY($N1372,Settings!$C$10,HolidayDates))</f>
        <v>46252</v>
      </c>
      <c r="P1372" s="10" t="s">
        <v>501</v>
      </c>
      <c r="Q1372" s="52" t="str">
        <f t="shared" si="240"/>
        <v>Collected</v>
      </c>
      <c r="R1372" s="55" t="str">
        <f t="shared" si="241"/>
        <v>2026-07</v>
      </c>
      <c r="S1372" s="55">
        <f>IF(OR($B1372="",$F1372="",$R1372=""),"",SUMIFS(tblIssues[Qty Issued],tblIssues[Staff ID],$B1372,tblIssues[Item Name],$F1372,tblIssues[Month],$R1372))</f>
        <v>500</v>
      </c>
      <c r="T1372" s="56">
        <f>IF($I1372="","",$I1372*Settings!$C$11)</f>
        <v>500</v>
      </c>
      <c r="U1372" s="57" t="str">
        <f t="shared" si="238"/>
        <v>OK</v>
      </c>
      <c r="V1372" s="55" t="str">
        <f t="shared" si="242"/>
        <v/>
      </c>
      <c r="W1372" s="55" t="str">
        <f>IF($V1372="","",IF(COUNTIF($V$5:$V1372,$V1372)=1,1,""))</f>
        <v/>
      </c>
      <c r="X1372" s="58" t="str">
        <f>IF($W1372="","",MAX($X$4:X1371)+1)</f>
        <v/>
      </c>
      <c r="Y1372" s="62"/>
      <c r="Z1372" s="62"/>
      <c r="AA1372" s="64" t="str">
        <f>IF($C1372="","",IFERROR(INDEX('Staff Directory'!$E$5:$E$594,MATCH($C1372,'Staff Directory'!$B$5:$B$594,0)),""))</f>
        <v>firstname092.lastname092@example.com</v>
      </c>
      <c r="AB1372" s="64" t="str">
        <f>IF($C1372="","",IF(ISNUMBER(SEARCH($D1372,Settings!$C$15)),"Pickup","Dispatch"))</f>
        <v>Pickup</v>
      </c>
      <c r="AC1372" s="64" t="str">
        <f t="shared" si="243"/>
        <v>Supply order ready for pickup</v>
      </c>
      <c r="AD1372" s="64" t="str">
        <f t="shared" si="234"/>
        <v>Dear PSW,
Your order is ready for pickup from Sample Branch, Wed-Fri 9am-4pm.</v>
      </c>
      <c r="AE1372" s="64" t="str">
        <f t="shared" si="235"/>
        <v>mailto:firstname092.lastname092@example.com?subject=Supply%20order%20ready%20for%20pickup&amp;body=Dear%20PSW%2C%0A%0AYour%20order%20is%20ready%20for%20pickup%20from%20Sample%20Branch%2C%20Wed-Fri%209am-4pm.</v>
      </c>
      <c r="AF1372" s="89" t="str">
        <f t="shared" si="244"/>
        <v>Draft email</v>
      </c>
      <c r="AG1372" s="64" t="str">
        <f>IF($C1372="","",IFERROR(INDEX('Staff Directory'!$K$595:$K$599,MATCH($C1372,'Staff Directory'!$B$5:$B$599,0)),$D1372))</f>
        <v>PSW</v>
      </c>
      <c r="AH1372" t="str">
        <f>IF($C1372="","",IFERROR(INDEX('Staff Directory'!$I$595:$I$599,MATCH($C1372,'Staff Directory'!$B$5:$B$599,0))&amp;" "&amp;INDEX('Staff Directory'!$J$595:$J$599,MATCH($C1372,'Staff Directory'!$B$5:$B$599,0)),$AG1372))</f>
        <v>PSW</v>
      </c>
      <c r="AI1372" s="102"/>
      <c r="AJ1372" s="101">
        <f>IF($F1372="","",SUMIFS($J$5:$J1372,$F$5:$F1372,$F1372))</f>
        <v>42000</v>
      </c>
      <c r="AK1372" s="101">
        <f t="shared" si="236"/>
        <v>41501</v>
      </c>
      <c r="AL1372" s="66" t="str" cm="1">
        <f t="array" ref="AL1372">IF($F1372="","",IFERROR(INDEX('Lot Balance'!$B$5:$B$500,MATCH(1,INDEX(('Lot Balance'!$A$5:$A$500=$F1372)*('Lot Balance'!$K$5:$K$500&lt;$AK1372)*('Lot Balance'!$K$5:$K$500+'Lot Balance'!$D$5:$D$500&gt;=$AK1372),0),0)),""))</f>
        <v>ZIM504124207-8</v>
      </c>
      <c r="AM1372" s="66" t="str" cm="1">
        <f t="array" ref="AM1372">IF($F1372="","",IFERROR(INDEX('Lot Balance'!$B$5:$B$500,MATCH(1,INDEX(('Lot Balance'!$A$5:$A$500=$F1372)*('Lot Balance'!$K$5:$K$500&lt;$AJ1372)*('Lot Balance'!$K$5:$K$500+'Lot Balance'!$D$5:$D$500&gt;=$AJ1372),0),0)),""))</f>
        <v>ZIM504124207-8</v>
      </c>
      <c r="AN1372" s="66" t="str">
        <f>IF($F1372="","",IF($AI1372&lt;&gt;"",IF(COUNTIFS('Lot Balance'!$A$5:$A$500,$F1372,'Lot Balance'!$B$5:$B$500,$AI1372)=0,"⚠ override is not a lot of this item",IF($AI1372=$AL1372,"Override = FEFO","Override - FEFO says "&amp;$AL1372)),IF($AL1372="","⚠ no receipt on file for this item",IF($AM1372&lt;&gt;$AL1372,"FEFO auto - split, also "&amp;$AM1372,"FEFO auto"))))</f>
        <v>FEFO auto</v>
      </c>
      <c r="AO1372" s="114"/>
    </row>
    <row r="1373" spans="1:41" x14ac:dyDescent="0.35">
      <c r="A1373" s="74">
        <v>46204</v>
      </c>
      <c r="B1373" s="18" t="str">
        <f>IF($C1373="","",IFERROR(INDEX('Staff Directory'!$A$5:$A$594,MATCH($C1373,'Staff Directory'!$B$5:$B$594,0)),"⚠ unknown staff"))</f>
        <v>PSW-033-A4</v>
      </c>
      <c r="C1373" s="49" t="s">
        <v>1008</v>
      </c>
      <c r="D1373" s="19" t="str">
        <f>IF($B1373="","",IFERROR(INDEX('Staff Directory'!$C$5:$C$594,MATCH($B1373,'Staff Directory'!$A$5:$A$594,0)),""))</f>
        <v>PSW</v>
      </c>
      <c r="E1373" s="19" t="str">
        <f>IF($B1373="","",IFERROR(INDEX('Staff Directory'!$D$5:$D$594,MATCH($B1373,'Staff Directory'!$A$5:$A$594,0)),""))</f>
        <v>A4</v>
      </c>
      <c r="F1373" s="9" t="s">
        <v>191</v>
      </c>
      <c r="G1373" s="18" t="str">
        <f>IF($F1373="","",IFERROR(INDEX(Items!$B$5:$B$597,MATCH($F1373,Items!$A$5:$A$597,0)),"⚠ not in Items"))</f>
        <v>Sanitizer</v>
      </c>
      <c r="H1373" s="19" t="str">
        <f>IF($F1373="","",IFERROR(INDEX(Items!$C$5:$C$597,MATCH($F1373,Items!$A$5:$A$597,0)),""))</f>
        <v>236 ML</v>
      </c>
      <c r="I1373" s="23">
        <f>IF($F1373="","",IFERROR(INDEX(Items!$E$5:$E$597,MATCH($F1373,Items!$A$5:$A$597,0)),""))</f>
        <v>1</v>
      </c>
      <c r="J1373" s="115">
        <f>IF(tblIssues[[#This Row],[Qty Override]]&lt;&gt;"",tblIssues[[#This Row],[Qty Override]],IF(tblIssues[[#This Row],[Standard Issue]]="","",tblIssues[[#This Row],[Standard Issue]]))</f>
        <v>1</v>
      </c>
      <c r="K1373" s="20">
        <f>IF($F1373="","",IFERROR(INDEX(Items!$D$5:$D$597,MATCH($F1373,Items!$A$5:$A$597,0)),""))</f>
        <v>1E-4</v>
      </c>
      <c r="L1373" s="21">
        <f t="shared" si="239"/>
        <v>1E-4</v>
      </c>
      <c r="M1373" s="9" t="str">
        <f t="shared" si="237"/>
        <v/>
      </c>
      <c r="N1373" s="24">
        <f>IF($A1373="","",WORKDAY($A1373,Settings!$C$9,HolidayDates))</f>
        <v>46212</v>
      </c>
      <c r="O1373" s="24">
        <f>IF($N1373="","",WORKDAY($N1373,Settings!$C$10,HolidayDates))</f>
        <v>46252</v>
      </c>
      <c r="P1373" s="10" t="s">
        <v>501</v>
      </c>
      <c r="Q1373" s="52" t="str">
        <f t="shared" si="240"/>
        <v>Collected</v>
      </c>
      <c r="R1373" s="55" t="str">
        <f t="shared" si="241"/>
        <v>2026-07</v>
      </c>
      <c r="S1373" s="55">
        <f>IF(OR($B1373="",$F1373="",$R1373=""),"",SUMIFS(tblIssues[Qty Issued],tblIssues[Staff ID],$B1373,tblIssues[Item Name],$F1373,tblIssues[Month],$R1373))</f>
        <v>1</v>
      </c>
      <c r="T1373" s="56">
        <f>IF($I1373="","",$I1373*Settings!$C$11)</f>
        <v>1</v>
      </c>
      <c r="U1373" s="57" t="str">
        <f t="shared" si="238"/>
        <v>OK</v>
      </c>
      <c r="V1373" s="55" t="str">
        <f t="shared" si="242"/>
        <v/>
      </c>
      <c r="W1373" s="55" t="str">
        <f>IF($V1373="","",IF(COUNTIF($V$5:$V1373,$V1373)=1,1,""))</f>
        <v/>
      </c>
      <c r="X1373" s="58" t="str">
        <f>IF($W1373="","",MAX($X$4:X1372)+1)</f>
        <v/>
      </c>
      <c r="Y1373" s="62"/>
      <c r="Z1373" s="62"/>
      <c r="AA1373" s="64" t="str">
        <f>IF($C1373="","",IFERROR(INDEX('Staff Directory'!$E$5:$E$594,MATCH($C1373,'Staff Directory'!$B$5:$B$594,0)),""))</f>
        <v>firstname092.lastname092@example.com</v>
      </c>
      <c r="AB1373" s="64" t="str">
        <f>IF($C1373="","",IF(ISNUMBER(SEARCH($D1373,Settings!$C$15)),"Pickup","Dispatch"))</f>
        <v>Pickup</v>
      </c>
      <c r="AC1373" s="64" t="str">
        <f t="shared" si="243"/>
        <v>Supply order ready for pickup</v>
      </c>
      <c r="AD1373" s="64" t="str">
        <f t="shared" si="234"/>
        <v>Dear PSW,
Your order is ready for pickup from Sample Branch, Wed-Fri 9am-4pm.</v>
      </c>
      <c r="AE1373" s="64" t="str">
        <f t="shared" si="235"/>
        <v>mailto:firstname092.lastname092@example.com?subject=Supply%20order%20ready%20for%20pickup&amp;body=Dear%20PSW%2C%0A%0AYour%20order%20is%20ready%20for%20pickup%20from%20Sample%20Branch%2C%20Wed-Fri%209am-4pm.</v>
      </c>
      <c r="AF1373" s="89" t="str">
        <f t="shared" si="244"/>
        <v>Draft email</v>
      </c>
      <c r="AG1373" s="64" t="str">
        <f>IF($C1373="","",IFERROR(INDEX('Staff Directory'!$K$595:$K$599,MATCH($C1373,'Staff Directory'!$B$5:$B$599,0)),$D1373))</f>
        <v>PSW</v>
      </c>
      <c r="AH1373" t="str">
        <f>IF($C1373="","",IFERROR(INDEX('Staff Directory'!$I$595:$I$599,MATCH($C1373,'Staff Directory'!$B$5:$B$599,0))&amp;" "&amp;INDEX('Staff Directory'!$J$595:$J$599,MATCH($C1373,'Staff Directory'!$B$5:$B$599,0)),$AG1373))</f>
        <v>PSW</v>
      </c>
      <c r="AI1373" s="102"/>
      <c r="AJ1373" s="101">
        <f>IF($F1373="","",SUMIFS($J$5:$J1373,$F$5:$F1373,$F1373))</f>
        <v>185</v>
      </c>
      <c r="AK1373" s="101">
        <f t="shared" si="236"/>
        <v>185</v>
      </c>
      <c r="AL1373" s="66" t="str" cm="1">
        <f t="array" ref="AL1373">IF($F1373="","",IFERROR(INDEX('Lot Balance'!$B$5:$B$500,MATCH(1,INDEX(('Lot Balance'!$A$5:$A$500=$F1373)*('Lot Balance'!$K$5:$K$500&lt;$AK1373)*('Lot Balance'!$K$5:$K$500+'Lot Balance'!$D$5:$D$500&gt;=$AK1373),0),0)),""))</f>
        <v/>
      </c>
      <c r="AM1373" s="66" t="str" cm="1">
        <f t="array" ref="AM1373">IF($F1373="","",IFERROR(INDEX('Lot Balance'!$B$5:$B$500,MATCH(1,INDEX(('Lot Balance'!$A$5:$A$500=$F1373)*('Lot Balance'!$K$5:$K$500&lt;$AJ1373)*('Lot Balance'!$K$5:$K$500+'Lot Balance'!$D$5:$D$500&gt;=$AJ1373),0),0)),""))</f>
        <v/>
      </c>
      <c r="AN1373" s="66" t="str">
        <f>IF($F1373="","",IF($AI1373&lt;&gt;"",IF(COUNTIFS('Lot Balance'!$A$5:$A$500,$F1373,'Lot Balance'!$B$5:$B$500,$AI1373)=0,"⚠ override is not a lot of this item",IF($AI1373=$AL1373,"Override = FEFO","Override - FEFO says "&amp;$AL1373)),IF($AL1373="","⚠ no receipt on file for this item",IF($AM1373&lt;&gt;$AL1373,"FEFO auto - split, also "&amp;$AM1373,"FEFO auto"))))</f>
        <v>⚠ no receipt on file for this item</v>
      </c>
      <c r="AO1373" s="114"/>
    </row>
    <row r="1374" spans="1:41" x14ac:dyDescent="0.35">
      <c r="A1374" s="74">
        <v>46204</v>
      </c>
      <c r="B1374" s="18" t="str">
        <f>IF($C1374="","",IFERROR(INDEX('Staff Directory'!$A$5:$A$594,MATCH($C1374,'Staff Directory'!$B$5:$B$594,0)),"⚠ unknown staff"))</f>
        <v>PSW-033-A4</v>
      </c>
      <c r="C1374" s="49" t="s">
        <v>1008</v>
      </c>
      <c r="D1374" s="19" t="str">
        <f>IF($B1374="","",IFERROR(INDEX('Staff Directory'!$C$5:$C$594,MATCH($B1374,'Staff Directory'!$A$5:$A$594,0)),""))</f>
        <v>PSW</v>
      </c>
      <c r="E1374" s="19" t="str">
        <f>IF($B1374="","",IFERROR(INDEX('Staff Directory'!$D$5:$D$594,MATCH($B1374,'Staff Directory'!$A$5:$A$594,0)),""))</f>
        <v>A4</v>
      </c>
      <c r="F1374" s="9" t="s">
        <v>115</v>
      </c>
      <c r="G1374" s="18" t="str">
        <f>IF($F1374="","",IFERROR(INDEX(Items!$B$5:$B$597,MATCH($F1374,Items!$A$5:$A$597,0)),"⚠ not in Items"))</f>
        <v>Wipes</v>
      </c>
      <c r="H1374" s="19">
        <f>IF($F1374="","",IFERROR(INDEX(Items!$C$5:$C$597,MATCH($F1374,Items!$A$5:$A$597,0)),""))</f>
        <v>80</v>
      </c>
      <c r="I1374" s="23">
        <f>IF($F1374="","",IFERROR(INDEX(Items!$E$5:$E$597,MATCH($F1374,Items!$A$5:$A$597,0)),""))</f>
        <v>80</v>
      </c>
      <c r="J1374" s="115">
        <f>IF(tblIssues[[#This Row],[Qty Override]]&lt;&gt;"",tblIssues[[#This Row],[Qty Override]],IF(tblIssues[[#This Row],[Standard Issue]]="","",tblIssues[[#This Row],[Standard Issue]]))</f>
        <v>80</v>
      </c>
      <c r="K1374" s="20">
        <f>IF($F1374="","",IFERROR(INDEX(Items!$D$5:$D$597,MATCH($F1374,Items!$A$5:$A$597,0)),""))</f>
        <v>0.1</v>
      </c>
      <c r="L1374" s="21">
        <f t="shared" si="239"/>
        <v>8</v>
      </c>
      <c r="M1374" s="9" t="str">
        <f t="shared" si="237"/>
        <v>LYSL500290</v>
      </c>
      <c r="N1374" s="24">
        <f>IF($A1374="","",WORKDAY($A1374,Settings!$C$9,HolidayDates))</f>
        <v>46212</v>
      </c>
      <c r="O1374" s="24">
        <f>IF($N1374="","",WORKDAY($N1374,Settings!$C$10,HolidayDates))</f>
        <v>46252</v>
      </c>
      <c r="P1374" s="10" t="s">
        <v>501</v>
      </c>
      <c r="Q1374" s="52" t="str">
        <f t="shared" si="240"/>
        <v>Collected</v>
      </c>
      <c r="R1374" s="55" t="str">
        <f t="shared" si="241"/>
        <v>2026-07</v>
      </c>
      <c r="S1374" s="55">
        <f>IF(OR($B1374="",$F1374="",$R1374=""),"",SUMIFS(tblIssues[Qty Issued],tblIssues[Staff ID],$B1374,tblIssues[Item Name],$F1374,tblIssues[Month],$R1374))</f>
        <v>80</v>
      </c>
      <c r="T1374" s="56">
        <f>IF($I1374="","",$I1374*Settings!$C$11)</f>
        <v>80</v>
      </c>
      <c r="U1374" s="57" t="str">
        <f t="shared" si="238"/>
        <v>OK</v>
      </c>
      <c r="V1374" s="55" t="str">
        <f t="shared" si="242"/>
        <v/>
      </c>
      <c r="W1374" s="55" t="str">
        <f>IF($V1374="","",IF(COUNTIF($V$5:$V1374,$V1374)=1,1,""))</f>
        <v/>
      </c>
      <c r="X1374" s="58" t="str">
        <f>IF($W1374="","",MAX($X$4:X1373)+1)</f>
        <v/>
      </c>
      <c r="Y1374" s="62"/>
      <c r="Z1374" s="62"/>
      <c r="AA1374" s="64" t="str">
        <f>IF($C1374="","",IFERROR(INDEX('Staff Directory'!$E$5:$E$594,MATCH($C1374,'Staff Directory'!$B$5:$B$594,0)),""))</f>
        <v>firstname092.lastname092@example.com</v>
      </c>
      <c r="AB1374" s="64" t="str">
        <f>IF($C1374="","",IF(ISNUMBER(SEARCH($D1374,Settings!$C$15)),"Pickup","Dispatch"))</f>
        <v>Pickup</v>
      </c>
      <c r="AC1374" s="64" t="str">
        <f t="shared" si="243"/>
        <v>Supply order ready for pickup</v>
      </c>
      <c r="AD1374" s="64" t="str">
        <f t="shared" si="234"/>
        <v>Dear PSW,
Your order is ready for pickup from Sample Branch, Wed-Fri 9am-4pm.</v>
      </c>
      <c r="AE1374" s="64" t="str">
        <f t="shared" si="235"/>
        <v>mailto:firstname092.lastname092@example.com?subject=Supply%20order%20ready%20for%20pickup&amp;body=Dear%20PSW%2C%0A%0AYour%20order%20is%20ready%20for%20pickup%20from%20Sample%20Branch%2C%20Wed-Fri%209am-4pm.</v>
      </c>
      <c r="AF1374" s="89" t="str">
        <f t="shared" si="244"/>
        <v>Draft email</v>
      </c>
      <c r="AG1374" s="64" t="str">
        <f>IF($C1374="","",IFERROR(INDEX('Staff Directory'!$K$595:$K$599,MATCH($C1374,'Staff Directory'!$B$5:$B$599,0)),$D1374))</f>
        <v>PSW</v>
      </c>
      <c r="AH1374" t="str">
        <f>IF($C1374="","",IFERROR(INDEX('Staff Directory'!$I$595:$I$599,MATCH($C1374,'Staff Directory'!$B$5:$B$599,0))&amp;" "&amp;INDEX('Staff Directory'!$J$595:$J$599,MATCH($C1374,'Staff Directory'!$B$5:$B$599,0)),$AG1374))</f>
        <v>PSW</v>
      </c>
      <c r="AI1374" s="102"/>
      <c r="AJ1374" s="101">
        <f>IF($F1374="","",SUMIFS($J$5:$J1374,$F$5:$F1374,$F1374))</f>
        <v>18960</v>
      </c>
      <c r="AK1374" s="101">
        <f t="shared" si="236"/>
        <v>18881</v>
      </c>
      <c r="AL1374" s="66" t="str" cm="1">
        <f t="array" ref="AL1374">IF($F1374="","",IFERROR(INDEX('Lot Balance'!$B$5:$B$500,MATCH(1,INDEX(('Lot Balance'!$A$5:$A$500=$F1374)*('Lot Balance'!$K$5:$K$500&lt;$AK1374)*('Lot Balance'!$K$5:$K$500+'Lot Balance'!$D$5:$D$500&gt;=$AK1374),0),0)),""))</f>
        <v>LYSL500290</v>
      </c>
      <c r="AM1374" s="66" t="str" cm="1">
        <f t="array" ref="AM1374">IF($F1374="","",IFERROR(INDEX('Lot Balance'!$B$5:$B$500,MATCH(1,INDEX(('Lot Balance'!$A$5:$A$500=$F1374)*('Lot Balance'!$K$5:$K$500&lt;$AJ1374)*('Lot Balance'!$K$5:$K$500+'Lot Balance'!$D$5:$D$500&gt;=$AJ1374),0),0)),""))</f>
        <v>LYSL500290</v>
      </c>
      <c r="AN1374" s="66" t="str">
        <f>IF($F1374="","",IF($AI1374&lt;&gt;"",IF(COUNTIFS('Lot Balance'!$A$5:$A$500,$F1374,'Lot Balance'!$B$5:$B$500,$AI1374)=0,"⚠ override is not a lot of this item",IF($AI1374=$AL1374,"Override = FEFO","Override - FEFO says "&amp;$AL1374)),IF($AL1374="","⚠ no receipt on file for this item",IF($AM1374&lt;&gt;$AL1374,"FEFO auto - split, also "&amp;$AM1374,"FEFO auto"))))</f>
        <v>FEFO auto</v>
      </c>
      <c r="AO1374" s="114"/>
    </row>
    <row r="1375" spans="1:41" x14ac:dyDescent="0.35">
      <c r="A1375" s="74">
        <v>46204</v>
      </c>
      <c r="B1375" s="18" t="str">
        <f>IF($C1375="","",IFERROR(INDEX('Staff Directory'!$A$5:$A$594,MATCH($C1375,'Staff Directory'!$B$5:$B$594,0)),"⚠ unknown staff"))</f>
        <v>PSW-033-A4</v>
      </c>
      <c r="C1375" s="49" t="s">
        <v>1008</v>
      </c>
      <c r="D1375" s="19" t="str">
        <f>IF($B1375="","",IFERROR(INDEX('Staff Directory'!$C$5:$C$594,MATCH($B1375,'Staff Directory'!$A$5:$A$594,0)),""))</f>
        <v>PSW</v>
      </c>
      <c r="E1375" s="19" t="str">
        <f>IF($B1375="","",IFERROR(INDEX('Staff Directory'!$D$5:$D$594,MATCH($B1375,'Staff Directory'!$A$5:$A$594,0)),""))</f>
        <v>A4</v>
      </c>
      <c r="F1375" s="9" t="s">
        <v>156</v>
      </c>
      <c r="G1375" s="18" t="str">
        <f>IF($F1375="","",IFERROR(INDEX(Items!$B$5:$B$597,MATCH($F1375,Items!$A$5:$A$597,0)),"⚠ not in Items"))</f>
        <v>Masks</v>
      </c>
      <c r="H1375" s="19" t="str">
        <f>IF($F1375="","",IFERROR(INDEX(Items!$C$5:$C$597,MATCH($F1375,Items!$A$5:$A$597,0)),""))</f>
        <v>One Size</v>
      </c>
      <c r="I1375" s="23">
        <f>IF($F1375="","",IFERROR(INDEX(Items!$E$5:$E$597,MATCH($F1375,Items!$A$5:$A$597,0)),""))</f>
        <v>50</v>
      </c>
      <c r="J1375" s="115">
        <f>IF(tblIssues[[#This Row],[Qty Override]]&lt;&gt;"",tblIssues[[#This Row],[Qty Override]],IF(tblIssues[[#This Row],[Standard Issue]]="","",tblIssues[[#This Row],[Standard Issue]]))</f>
        <v>50</v>
      </c>
      <c r="K1375" s="20">
        <f>IF($F1375="","",IFERROR(INDEX(Items!$D$5:$D$597,MATCH($F1375,Items!$A$5:$A$597,0)),""))</f>
        <v>0.25</v>
      </c>
      <c r="L1375" s="21">
        <f t="shared" si="239"/>
        <v>12.5</v>
      </c>
      <c r="M1375" s="9" t="str">
        <f t="shared" si="237"/>
        <v>24HA2050A7396</v>
      </c>
      <c r="N1375" s="24">
        <f>IF($A1375="","",WORKDAY($A1375,Settings!$C$9,HolidayDates))</f>
        <v>46212</v>
      </c>
      <c r="O1375" s="24">
        <f>IF($N1375="","",WORKDAY($N1375,Settings!$C$10,HolidayDates))</f>
        <v>46252</v>
      </c>
      <c r="P1375" s="10" t="s">
        <v>501</v>
      </c>
      <c r="Q1375" s="52" t="str">
        <f t="shared" si="240"/>
        <v>Collected</v>
      </c>
      <c r="R1375" s="55" t="str">
        <f t="shared" si="241"/>
        <v>2026-07</v>
      </c>
      <c r="S1375" s="55">
        <f>IF(OR($B1375="",$F1375="",$R1375=""),"",SUMIFS(tblIssues[Qty Issued],tblIssues[Staff ID],$B1375,tblIssues[Item Name],$F1375,tblIssues[Month],$R1375))</f>
        <v>50</v>
      </c>
      <c r="T1375" s="56">
        <f>IF($I1375="","",$I1375*Settings!$C$11)</f>
        <v>50</v>
      </c>
      <c r="U1375" s="57" t="str">
        <f t="shared" si="238"/>
        <v>OK</v>
      </c>
      <c r="V1375" s="55" t="str">
        <f t="shared" si="242"/>
        <v/>
      </c>
      <c r="W1375" s="55" t="str">
        <f>IF($V1375="","",IF(COUNTIF($V$5:$V1375,$V1375)=1,1,""))</f>
        <v/>
      </c>
      <c r="X1375" s="58" t="str">
        <f>IF($W1375="","",MAX($X$4:X1374)+1)</f>
        <v/>
      </c>
      <c r="Y1375" s="62"/>
      <c r="Z1375" s="62"/>
      <c r="AA1375" s="64" t="str">
        <f>IF($C1375="","",IFERROR(INDEX('Staff Directory'!$E$5:$E$594,MATCH($C1375,'Staff Directory'!$B$5:$B$594,0)),""))</f>
        <v>firstname092.lastname092@example.com</v>
      </c>
      <c r="AB1375" s="64" t="str">
        <f>IF($C1375="","",IF(ISNUMBER(SEARCH($D1375,Settings!$C$15)),"Pickup","Dispatch"))</f>
        <v>Pickup</v>
      </c>
      <c r="AC1375" s="64" t="str">
        <f t="shared" si="243"/>
        <v>Supply order ready for pickup</v>
      </c>
      <c r="AD1375" s="64" t="str">
        <f t="shared" si="234"/>
        <v>Dear PSW,
Your order is ready for pickup from Sample Branch, Wed-Fri 9am-4pm.</v>
      </c>
      <c r="AE1375" s="64" t="str">
        <f t="shared" si="235"/>
        <v>mailto:firstname092.lastname092@example.com?subject=Supply%20order%20ready%20for%20pickup&amp;body=Dear%20PSW%2C%0A%0AYour%20order%20is%20ready%20for%20pickup%20from%20Sample%20Branch%2C%20Wed-Fri%209am-4pm.</v>
      </c>
      <c r="AF1375" s="89" t="str">
        <f t="shared" si="244"/>
        <v>Draft email</v>
      </c>
      <c r="AG1375" s="64" t="str">
        <f>IF($C1375="","",IFERROR(INDEX('Staff Directory'!$K$595:$K$599,MATCH($C1375,'Staff Directory'!$B$5:$B$599,0)),$D1375))</f>
        <v>PSW</v>
      </c>
      <c r="AH1375" t="str">
        <f>IF($C1375="","",IFERROR(INDEX('Staff Directory'!$I$595:$I$599,MATCH($C1375,'Staff Directory'!$B$5:$B$599,0))&amp;" "&amp;INDEX('Staff Directory'!$J$595:$J$599,MATCH($C1375,'Staff Directory'!$B$5:$B$599,0)),$AG1375))</f>
        <v>PSW</v>
      </c>
      <c r="AI1375" s="102"/>
      <c r="AJ1375" s="101">
        <f>IF($F1375="","",SUMIFS($J$5:$J1375,$F$5:$F1375,$F1375))</f>
        <v>11900</v>
      </c>
      <c r="AK1375" s="101">
        <f t="shared" si="236"/>
        <v>11851</v>
      </c>
      <c r="AL1375" s="66" t="str" cm="1">
        <f t="array" ref="AL1375">IF($F1375="","",IFERROR(INDEX('Lot Balance'!$B$5:$B$500,MATCH(1,INDEX(('Lot Balance'!$A$5:$A$500=$F1375)*('Lot Balance'!$K$5:$K$500&lt;$AK1375)*('Lot Balance'!$K$5:$K$500+'Lot Balance'!$D$5:$D$500&gt;=$AK1375),0),0)),""))</f>
        <v>24HA2050A7396</v>
      </c>
      <c r="AM1375" s="66" t="str" cm="1">
        <f t="array" ref="AM1375">IF($F1375="","",IFERROR(INDEX('Lot Balance'!$B$5:$B$500,MATCH(1,INDEX(('Lot Balance'!$A$5:$A$500=$F1375)*('Lot Balance'!$K$5:$K$500&lt;$AJ1375)*('Lot Balance'!$K$5:$K$500+'Lot Balance'!$D$5:$D$500&gt;=$AJ1375),0),0)),""))</f>
        <v>24HA2050A7396</v>
      </c>
      <c r="AN1375" s="66" t="str">
        <f>IF($F1375="","",IF($AI1375&lt;&gt;"",IF(COUNTIFS('Lot Balance'!$A$5:$A$500,$F1375,'Lot Balance'!$B$5:$B$500,$AI1375)=0,"⚠ override is not a lot of this item",IF($AI1375=$AL1375,"Override = FEFO","Override - FEFO says "&amp;$AL1375)),IF($AL1375="","⚠ no receipt on file for this item",IF($AM1375&lt;&gt;$AL1375,"FEFO auto - split, also "&amp;$AM1375,"FEFO auto"))))</f>
        <v>FEFO auto</v>
      </c>
      <c r="AO1375" s="114"/>
    </row>
    <row r="1376" spans="1:41" x14ac:dyDescent="0.35">
      <c r="A1376" s="74">
        <v>46204</v>
      </c>
      <c r="B1376" s="18" t="str">
        <f>IF($C1376="","",IFERROR(INDEX('Staff Directory'!$A$5:$A$594,MATCH($C1376,'Staff Directory'!$B$5:$B$594,0)),"⚠ unknown staff"))</f>
        <v>PSW-033-A4</v>
      </c>
      <c r="C1376" s="49" t="s">
        <v>1008</v>
      </c>
      <c r="D1376" s="19" t="str">
        <f>IF($B1376="","",IFERROR(INDEX('Staff Directory'!$C$5:$C$594,MATCH($B1376,'Staff Directory'!$A$5:$A$594,0)),""))</f>
        <v>PSW</v>
      </c>
      <c r="E1376" s="19" t="str">
        <f>IF($B1376="","",IFERROR(INDEX('Staff Directory'!$D$5:$D$594,MATCH($B1376,'Staff Directory'!$A$5:$A$594,0)),""))</f>
        <v>A4</v>
      </c>
      <c r="F1376" s="9" t="s">
        <v>154</v>
      </c>
      <c r="G1376" s="18" t="str">
        <f>IF($F1376="","",IFERROR(INDEX(Items!$B$5:$B$597,MATCH($F1376,Items!$A$5:$A$597,0)),"⚠ not in Items"))</f>
        <v>IPAC</v>
      </c>
      <c r="H1376" s="19" t="str">
        <f>IF($F1376="","",IFERROR(INDEX(Items!$C$5:$C$597,MATCH($F1376,Items!$A$5:$A$597,0)),""))</f>
        <v>Regular</v>
      </c>
      <c r="I1376" s="23">
        <f>IF($F1376="","",IFERROR(INDEX(Items!$E$5:$E$597,MATCH($F1376,Items!$A$5:$A$597,0)),""))</f>
        <v>50</v>
      </c>
      <c r="J1376" s="115">
        <f>IF(tblIssues[[#This Row],[Qty Override]]&lt;&gt;"",tblIssues[[#This Row],[Qty Override]],IF(tblIssues[[#This Row],[Standard Issue]]="","",tblIssues[[#This Row],[Standard Issue]]))</f>
        <v>50</v>
      </c>
      <c r="K1376" s="20">
        <f>IF($F1376="","",IFERROR(INDEX(Items!$D$5:$D$597,MATCH($F1376,Items!$A$5:$A$597,0)),""))</f>
        <v>0.2</v>
      </c>
      <c r="L1376" s="21">
        <f t="shared" si="239"/>
        <v>10</v>
      </c>
      <c r="M1376" s="9" t="str">
        <f t="shared" si="237"/>
        <v/>
      </c>
      <c r="N1376" s="24">
        <f>IF($A1376="","",WORKDAY($A1376,Settings!$C$9,HolidayDates))</f>
        <v>46212</v>
      </c>
      <c r="O1376" s="24">
        <f>IF($N1376="","",WORKDAY($N1376,Settings!$C$10,HolidayDates))</f>
        <v>46252</v>
      </c>
      <c r="P1376" s="10" t="s">
        <v>501</v>
      </c>
      <c r="Q1376" s="52" t="str">
        <f t="shared" si="240"/>
        <v>Collected</v>
      </c>
      <c r="R1376" s="55" t="str">
        <f t="shared" si="241"/>
        <v>2026-07</v>
      </c>
      <c r="S1376" s="55">
        <f>IF(OR($B1376="",$F1376="",$R1376=""),"",SUMIFS(tblIssues[Qty Issued],tblIssues[Staff ID],$B1376,tblIssues[Item Name],$F1376,tblIssues[Month],$R1376))</f>
        <v>50</v>
      </c>
      <c r="T1376" s="56">
        <f>IF($I1376="","",$I1376*Settings!$C$11)</f>
        <v>50</v>
      </c>
      <c r="U1376" s="57" t="str">
        <f t="shared" si="238"/>
        <v>OK</v>
      </c>
      <c r="V1376" s="55" t="str">
        <f t="shared" si="242"/>
        <v/>
      </c>
      <c r="W1376" s="55" t="str">
        <f>IF($V1376="","",IF(COUNTIF($V$5:$V1376,$V1376)=1,1,""))</f>
        <v/>
      </c>
      <c r="X1376" s="58" t="str">
        <f>IF($W1376="","",MAX($X$4:X1375)+1)</f>
        <v/>
      </c>
      <c r="Y1376" s="62"/>
      <c r="Z1376" s="62"/>
      <c r="AA1376" s="64" t="str">
        <f>IF($C1376="","",IFERROR(INDEX('Staff Directory'!$E$5:$E$594,MATCH($C1376,'Staff Directory'!$B$5:$B$594,0)),""))</f>
        <v>firstname092.lastname092@example.com</v>
      </c>
      <c r="AB1376" s="64" t="str">
        <f>IF($C1376="","",IF(ISNUMBER(SEARCH($D1376,Settings!$C$15)),"Pickup","Dispatch"))</f>
        <v>Pickup</v>
      </c>
      <c r="AC1376" s="64" t="str">
        <f t="shared" si="243"/>
        <v>Supply order ready for pickup</v>
      </c>
      <c r="AD1376" s="64" t="str">
        <f t="shared" si="234"/>
        <v>Dear PSW,
Your order is ready for pickup from Sample Branch, Wed-Fri 9am-4pm.</v>
      </c>
      <c r="AE1376" s="64" t="str">
        <f t="shared" si="235"/>
        <v>mailto:firstname092.lastname092@example.com?subject=Supply%20order%20ready%20for%20pickup&amp;body=Dear%20PSW%2C%0A%0AYour%20order%20is%20ready%20for%20pickup%20from%20Sample%20Branch%2C%20Wed-Fri%209am-4pm.</v>
      </c>
      <c r="AF1376" s="89" t="str">
        <f t="shared" si="244"/>
        <v>Draft email</v>
      </c>
      <c r="AG1376" s="64" t="str">
        <f>IF($C1376="","",IFERROR(INDEX('Staff Directory'!$K$595:$K$599,MATCH($C1376,'Staff Directory'!$B$5:$B$599,0)),$D1376))</f>
        <v>PSW</v>
      </c>
      <c r="AH1376" t="str">
        <f>IF($C1376="","",IFERROR(INDEX('Staff Directory'!$I$595:$I$599,MATCH($C1376,'Staff Directory'!$B$5:$B$599,0))&amp;" "&amp;INDEX('Staff Directory'!$J$595:$J$599,MATCH($C1376,'Staff Directory'!$B$5:$B$599,0)),$AG1376))</f>
        <v>PSW</v>
      </c>
      <c r="AI1376" s="102"/>
      <c r="AJ1376" s="101">
        <f>IF($F1376="","",SUMIFS($J$5:$J1376,$F$5:$F1376,$F1376))</f>
        <v>1250</v>
      </c>
      <c r="AK1376" s="101">
        <f t="shared" si="236"/>
        <v>1201</v>
      </c>
      <c r="AL1376" s="66" t="str" cm="1">
        <f t="array" ref="AL1376">IF($F1376="","",IFERROR(INDEX('Lot Balance'!$B$5:$B$500,MATCH(1,INDEX(('Lot Balance'!$A$5:$A$500=$F1376)*('Lot Balance'!$K$5:$K$500&lt;$AK1376)*('Lot Balance'!$K$5:$K$500+'Lot Balance'!$D$5:$D$500&gt;=$AK1376),0),0)),""))</f>
        <v/>
      </c>
      <c r="AM1376" s="66" t="str" cm="1">
        <f t="array" ref="AM1376">IF($F1376="","",IFERROR(INDEX('Lot Balance'!$B$5:$B$500,MATCH(1,INDEX(('Lot Balance'!$A$5:$A$500=$F1376)*('Lot Balance'!$K$5:$K$500&lt;$AJ1376)*('Lot Balance'!$K$5:$K$500+'Lot Balance'!$D$5:$D$500&gt;=$AJ1376),0),0)),""))</f>
        <v/>
      </c>
      <c r="AN1376" s="66" t="str">
        <f>IF($F1376="","",IF($AI1376&lt;&gt;"",IF(COUNTIFS('Lot Balance'!$A$5:$A$500,$F1376,'Lot Balance'!$B$5:$B$500,$AI1376)=0,"⚠ override is not a lot of this item",IF($AI1376=$AL1376,"Override = FEFO","Override - FEFO says "&amp;$AL1376)),IF($AL1376="","⚠ no receipt on file for this item",IF($AM1376&lt;&gt;$AL1376,"FEFO auto - split, also "&amp;$AM1376,"FEFO auto"))))</f>
        <v>⚠ no receipt on file for this item</v>
      </c>
      <c r="AO1376" s="114"/>
    </row>
    <row r="1377" spans="1:41" x14ac:dyDescent="0.35">
      <c r="A1377" s="74">
        <v>46204</v>
      </c>
      <c r="B1377" s="18" t="str">
        <f>IF($C1377="","",IFERROR(INDEX('Staff Directory'!$A$5:$A$594,MATCH($C1377,'Staff Directory'!$B$5:$B$594,0)),"⚠ unknown staff"))</f>
        <v>PSW-152-A6</v>
      </c>
      <c r="C1377" s="49" t="s">
        <v>1131</v>
      </c>
      <c r="D1377" s="19" t="str">
        <f>IF($B1377="","",IFERROR(INDEX('Staff Directory'!$C$5:$C$594,MATCH($B1377,'Staff Directory'!$A$5:$A$594,0)),""))</f>
        <v>PSW</v>
      </c>
      <c r="E1377" s="19" t="str">
        <f>IF($B1377="","",IFERROR(INDEX('Staff Directory'!$D$5:$D$594,MATCH($B1377,'Staff Directory'!$A$5:$A$594,0)),""))</f>
        <v>A6</v>
      </c>
      <c r="F1377" s="9" t="s">
        <v>127</v>
      </c>
      <c r="G1377" s="18" t="str">
        <f>IF($F1377="","",IFERROR(INDEX(Items!$B$5:$B$597,MATCH($F1377,Items!$A$5:$A$597,0)),"⚠ not in Items"))</f>
        <v>Gloves</v>
      </c>
      <c r="H1377" s="19" t="str">
        <f>IF($F1377="","",IFERROR(INDEX(Items!$C$5:$C$597,MATCH($F1377,Items!$A$5:$A$597,0)),""))</f>
        <v>Medium</v>
      </c>
      <c r="I1377" s="23">
        <f>IF($F1377="","",IFERROR(INDEX(Items!$E$5:$E$597,MATCH($F1377,Items!$A$5:$A$597,0)),""))</f>
        <v>500</v>
      </c>
      <c r="J1377" s="115">
        <f>IF(tblIssues[[#This Row],[Qty Override]]&lt;&gt;"",tblIssues[[#This Row],[Qty Override]],IF(tblIssues[[#This Row],[Standard Issue]]="","",tblIssues[[#This Row],[Standard Issue]]))</f>
        <v>500</v>
      </c>
      <c r="K1377" s="20">
        <f>IF($F1377="","",IFERROR(INDEX(Items!$D$5:$D$597,MATCH($F1377,Items!$A$5:$A$597,0)),""))</f>
        <v>5.5E-2</v>
      </c>
      <c r="L1377" s="21">
        <f t="shared" si="239"/>
        <v>27.5</v>
      </c>
      <c r="M1377" s="9" t="str">
        <f t="shared" si="237"/>
        <v>ZIM510137962-1</v>
      </c>
      <c r="N1377" s="24">
        <f>IF($A1377="","",WORKDAY($A1377,Settings!$C$9,HolidayDates))</f>
        <v>46212</v>
      </c>
      <c r="O1377" s="24">
        <f>IF($N1377="","",WORKDAY($N1377,Settings!$C$10,HolidayDates))</f>
        <v>46252</v>
      </c>
      <c r="P1377" s="10" t="s">
        <v>501</v>
      </c>
      <c r="Q1377" s="52" t="str">
        <f t="shared" si="240"/>
        <v>Collected</v>
      </c>
      <c r="R1377" s="55" t="str">
        <f t="shared" si="241"/>
        <v>2026-07</v>
      </c>
      <c r="S1377" s="55">
        <f>IF(OR($B1377="",$F1377="",$R1377=""),"",SUMIFS(tblIssues[Qty Issued],tblIssues[Staff ID],$B1377,tblIssues[Item Name],$F1377,tblIssues[Month],$R1377))</f>
        <v>1500</v>
      </c>
      <c r="T1377" s="56">
        <f>IF($I1377="","",$I1377*Settings!$C$11)</f>
        <v>500</v>
      </c>
      <c r="U1377" s="57" t="str">
        <f t="shared" si="238"/>
        <v>⚠ OVER QUOTA</v>
      </c>
      <c r="V1377" s="55" t="str">
        <f t="shared" si="242"/>
        <v>PSW-152-A6 | Gloves - Medium | 2026-07</v>
      </c>
      <c r="W1377" s="55">
        <f>IF($V1377="","",IF(COUNTIF($V$5:$V1377,$V1377)=1,1,""))</f>
        <v>1</v>
      </c>
      <c r="X1377" s="58">
        <f>IF($W1377="","",MAX($X$4:X1376)+1)</f>
        <v>48</v>
      </c>
      <c r="Y1377" s="62"/>
      <c r="Z1377" s="62"/>
      <c r="AA1377" s="64" t="str">
        <f>IF($C1377="","",IFERROR(INDEX('Staff Directory'!$E$5:$E$594,MATCH($C1377,'Staff Directory'!$B$5:$B$594,0)),""))</f>
        <v>firstname215.lastname215@example.com</v>
      </c>
      <c r="AB1377" s="64" t="str">
        <f>IF($C1377="","",IF(ISNUMBER(SEARCH($D1377,Settings!$C$15)),"Pickup","Dispatch"))</f>
        <v>Pickup</v>
      </c>
      <c r="AC1377" s="64" t="str">
        <f t="shared" si="243"/>
        <v>Supply order ready for pickup</v>
      </c>
      <c r="AD1377" s="64" t="str">
        <f t="shared" si="234"/>
        <v>Dear PSW,
Your order is ready for pickup from Sample Branch, Wed-Fri 9am-4pm.</v>
      </c>
      <c r="AE1377" s="64" t="str">
        <f t="shared" si="235"/>
        <v>mailto:firstname215.lastname215@example.com?subject=Supply%20order%20ready%20for%20pickup&amp;body=Dear%20PSW%2C%0A%0AYour%20order%20is%20ready%20for%20pickup%20from%20Sample%20Branch%2C%20Wed-Fri%209am-4pm.</v>
      </c>
      <c r="AF1377" s="89" t="str">
        <f t="shared" si="244"/>
        <v>Draft email</v>
      </c>
      <c r="AG1377" s="64" t="str">
        <f>IF($C1377="","",IFERROR(INDEX('Staff Directory'!$K$595:$K$599,MATCH($C1377,'Staff Directory'!$B$5:$B$599,0)),$D1377))</f>
        <v>PSW</v>
      </c>
      <c r="AH1377" t="str">
        <f>IF($C1377="","",IFERROR(INDEX('Staff Directory'!$I$595:$I$599,MATCH($C1377,'Staff Directory'!$B$5:$B$599,0))&amp;" "&amp;INDEX('Staff Directory'!$J$595:$J$599,MATCH($C1377,'Staff Directory'!$B$5:$B$599,0)),$AG1377))</f>
        <v>PSW</v>
      </c>
      <c r="AI1377" s="102"/>
      <c r="AJ1377" s="101">
        <f>IF($F1377="","",SUMIFS($J$5:$J1377,$F$5:$F1377,$F1377))</f>
        <v>85000</v>
      </c>
      <c r="AK1377" s="101">
        <f t="shared" si="236"/>
        <v>84501</v>
      </c>
      <c r="AL1377" s="66" t="str" cm="1">
        <f t="array" ref="AL1377">IF($F1377="","",IFERROR(INDEX('Lot Balance'!$B$5:$B$500,MATCH(1,INDEX(('Lot Balance'!$A$5:$A$500=$F1377)*('Lot Balance'!$K$5:$K$500&lt;$AK1377)*('Lot Balance'!$K$5:$K$500+'Lot Balance'!$D$5:$D$500&gt;=$AK1377),0),0)),""))</f>
        <v>ZIM510137962-1</v>
      </c>
      <c r="AM1377" s="66" t="str" cm="1">
        <f t="array" ref="AM1377">IF($F1377="","",IFERROR(INDEX('Lot Balance'!$B$5:$B$500,MATCH(1,INDEX(('Lot Balance'!$A$5:$A$500=$F1377)*('Lot Balance'!$K$5:$K$500&lt;$AJ1377)*('Lot Balance'!$K$5:$K$500+'Lot Balance'!$D$5:$D$500&gt;=$AJ1377),0),0)),""))</f>
        <v>ZIM510137962-2</v>
      </c>
      <c r="AN1377" s="66" t="str">
        <f>IF($F1377="","",IF($AI1377&lt;&gt;"",IF(COUNTIFS('Lot Balance'!$A$5:$A$500,$F1377,'Lot Balance'!$B$5:$B$500,$AI1377)=0,"⚠ override is not a lot of this item",IF($AI1377=$AL1377,"Override = FEFO","Override - FEFO says "&amp;$AL1377)),IF($AL1377="","⚠ no receipt on file for this item",IF($AM1377&lt;&gt;$AL1377,"FEFO auto - split, also "&amp;$AM1377,"FEFO auto"))))</f>
        <v>FEFO auto - split, also ZIM510137962-2</v>
      </c>
      <c r="AO1377" s="114"/>
    </row>
    <row r="1378" spans="1:41" x14ac:dyDescent="0.35">
      <c r="A1378" s="74">
        <v>46199</v>
      </c>
      <c r="B1378" s="18" t="str">
        <f>IF($C1378="","",IFERROR(INDEX('Staff Directory'!$A$5:$A$594,MATCH($C1378,'Staff Directory'!$B$5:$B$594,0)),"⚠ unknown staff"))</f>
        <v>PSW-103-A4</v>
      </c>
      <c r="C1378" s="49" t="s">
        <v>1081</v>
      </c>
      <c r="D1378" s="19" t="str">
        <f>IF($B1378="","",IFERROR(INDEX('Staff Directory'!$C$5:$C$594,MATCH($B1378,'Staff Directory'!$A$5:$A$594,0)),""))</f>
        <v>PSW</v>
      </c>
      <c r="E1378" s="19" t="str">
        <f>IF($B1378="","",IFERROR(INDEX('Staff Directory'!$D$5:$D$594,MATCH($B1378,'Staff Directory'!$A$5:$A$594,0)),""))</f>
        <v>A4</v>
      </c>
      <c r="F1378" s="9" t="s">
        <v>127</v>
      </c>
      <c r="G1378" s="18" t="str">
        <f>IF($F1378="","",IFERROR(INDEX(Items!$B$5:$B$597,MATCH($F1378,Items!$A$5:$A$597,0)),"⚠ not in Items"))</f>
        <v>Gloves</v>
      </c>
      <c r="H1378" s="19" t="str">
        <f>IF($F1378="","",IFERROR(INDEX(Items!$C$5:$C$597,MATCH($F1378,Items!$A$5:$A$597,0)),""))</f>
        <v>Medium</v>
      </c>
      <c r="I1378" s="23">
        <f>IF($F1378="","",IFERROR(INDEX(Items!$E$5:$E$597,MATCH($F1378,Items!$A$5:$A$597,0)),""))</f>
        <v>500</v>
      </c>
      <c r="J1378" s="115">
        <f>IF(tblIssues[[#This Row],[Qty Override]]&lt;&gt;"",tblIssues[[#This Row],[Qty Override]],IF(tblIssues[[#This Row],[Standard Issue]]="","",tblIssues[[#This Row],[Standard Issue]]))</f>
        <v>500</v>
      </c>
      <c r="K1378" s="20">
        <f>IF($F1378="","",IFERROR(INDEX(Items!$D$5:$D$597,MATCH($F1378,Items!$A$5:$A$597,0)),""))</f>
        <v>5.5E-2</v>
      </c>
      <c r="L1378" s="21">
        <f t="shared" si="239"/>
        <v>27.5</v>
      </c>
      <c r="M1378" s="9" t="str">
        <f t="shared" si="237"/>
        <v>ZIM510137962-2</v>
      </c>
      <c r="N1378" s="24">
        <f>IF($A1378="","",WORKDAY($A1378,Settings!$C$9,HolidayDates))</f>
        <v>46209</v>
      </c>
      <c r="O1378" s="24">
        <f>IF($N1378="","",WORKDAY($N1378,Settings!$C$10,HolidayDates))</f>
        <v>46247</v>
      </c>
      <c r="P1378" s="10" t="s">
        <v>501</v>
      </c>
      <c r="Q1378" s="52" t="str">
        <f t="shared" si="240"/>
        <v>Collected</v>
      </c>
      <c r="R1378" s="55" t="str">
        <f t="shared" si="241"/>
        <v>2026-06</v>
      </c>
      <c r="S1378" s="55">
        <f>IF(OR($B1378="",$F1378="",$R1378=""),"",SUMIFS(tblIssues[Qty Issued],tblIssues[Staff ID],$B1378,tblIssues[Item Name],$F1378,tblIssues[Month],$R1378))</f>
        <v>500</v>
      </c>
      <c r="T1378" s="56">
        <f>IF($I1378="","",$I1378*Settings!$C$11)</f>
        <v>500</v>
      </c>
      <c r="U1378" s="57" t="str">
        <f t="shared" si="238"/>
        <v>OK</v>
      </c>
      <c r="V1378" s="55" t="str">
        <f t="shared" si="242"/>
        <v/>
      </c>
      <c r="W1378" s="55" t="str">
        <f>IF($V1378="","",IF(COUNTIF($V$5:$V1378,$V1378)=1,1,""))</f>
        <v/>
      </c>
      <c r="X1378" s="58" t="str">
        <f>IF($W1378="","",MAX($X$4:X1377)+1)</f>
        <v/>
      </c>
      <c r="Y1378" s="62"/>
      <c r="Z1378" s="62"/>
      <c r="AA1378" s="64" t="str">
        <f>IF($C1378="","",IFERROR(INDEX('Staff Directory'!$E$5:$E$594,MATCH($C1378,'Staff Directory'!$B$5:$B$594,0)),""))</f>
        <v>firstname165.lastname165@example.com</v>
      </c>
      <c r="AB1378" s="64" t="str">
        <f>IF($C1378="","",IF(ISNUMBER(SEARCH($D1378,Settings!$C$15)),"Pickup","Dispatch"))</f>
        <v>Pickup</v>
      </c>
      <c r="AC1378" s="64" t="str">
        <f t="shared" si="243"/>
        <v>Supply order ready for pickup</v>
      </c>
      <c r="AD1378" s="64" t="str">
        <f t="shared" si="234"/>
        <v>Dear PSW,
Your order is ready for pickup from Sample Branch, Wed-Fri 9am-4pm.</v>
      </c>
      <c r="AE1378" s="64" t="str">
        <f t="shared" si="235"/>
        <v>mailto:firstname165.lastname165@example.com?subject=Supply%20order%20ready%20for%20pickup&amp;body=Dear%20PSW%2C%0A%0AYour%20order%20is%20ready%20for%20pickup%20from%20Sample%20Branch%2C%20Wed-Fri%209am-4pm.</v>
      </c>
      <c r="AF1378" s="89" t="str">
        <f t="shared" si="244"/>
        <v>Draft email</v>
      </c>
      <c r="AG1378" s="64" t="str">
        <f>IF($C1378="","",IFERROR(INDEX('Staff Directory'!$K$595:$K$599,MATCH($C1378,'Staff Directory'!$B$5:$B$599,0)),$D1378))</f>
        <v>PSW</v>
      </c>
      <c r="AH1378" t="str">
        <f>IF($C1378="","",IFERROR(INDEX('Staff Directory'!$I$595:$I$599,MATCH($C1378,'Staff Directory'!$B$5:$B$599,0))&amp;" "&amp;INDEX('Staff Directory'!$J$595:$J$599,MATCH($C1378,'Staff Directory'!$B$5:$B$599,0)),$AG1378))</f>
        <v>PSW</v>
      </c>
      <c r="AI1378" s="102"/>
      <c r="AJ1378" s="101">
        <f>IF($F1378="","",SUMIFS($J$5:$J1378,$F$5:$F1378,$F1378))</f>
        <v>85500</v>
      </c>
      <c r="AK1378" s="101">
        <f t="shared" si="236"/>
        <v>85001</v>
      </c>
      <c r="AL1378" s="66" t="str" cm="1">
        <f t="array" ref="AL1378">IF($F1378="","",IFERROR(INDEX('Lot Balance'!$B$5:$B$500,MATCH(1,INDEX(('Lot Balance'!$A$5:$A$500=$F1378)*('Lot Balance'!$K$5:$K$500&lt;$AK1378)*('Lot Balance'!$K$5:$K$500+'Lot Balance'!$D$5:$D$500&gt;=$AK1378),0),0)),""))</f>
        <v>ZIM510137962-2</v>
      </c>
      <c r="AM1378" s="66" t="str" cm="1">
        <f t="array" ref="AM1378">IF($F1378="","",IFERROR(INDEX('Lot Balance'!$B$5:$B$500,MATCH(1,INDEX(('Lot Balance'!$A$5:$A$500=$F1378)*('Lot Balance'!$K$5:$K$500&lt;$AJ1378)*('Lot Balance'!$K$5:$K$500+'Lot Balance'!$D$5:$D$500&gt;=$AJ1378),0),0)),""))</f>
        <v>ZIM510137962-2</v>
      </c>
      <c r="AN1378" s="66" t="str">
        <f>IF($F1378="","",IF($AI1378&lt;&gt;"",IF(COUNTIFS('Lot Balance'!$A$5:$A$500,$F1378,'Lot Balance'!$B$5:$B$500,$AI1378)=0,"⚠ override is not a lot of this item",IF($AI1378=$AL1378,"Override = FEFO","Override - FEFO says "&amp;$AL1378)),IF($AL1378="","⚠ no receipt on file for this item",IF($AM1378&lt;&gt;$AL1378,"FEFO auto - split, also "&amp;$AM1378,"FEFO auto"))))</f>
        <v>FEFO auto</v>
      </c>
      <c r="AO1378" s="114"/>
    </row>
    <row r="1379" spans="1:41" x14ac:dyDescent="0.35">
      <c r="A1379" s="74">
        <v>46199</v>
      </c>
      <c r="B1379" s="18" t="str">
        <f>IF($C1379="","",IFERROR(INDEX('Staff Directory'!$A$5:$A$594,MATCH($C1379,'Staff Directory'!$B$5:$B$594,0)),"⚠ unknown staff"))</f>
        <v>PSW-103-A4</v>
      </c>
      <c r="C1379" s="49" t="s">
        <v>1081</v>
      </c>
      <c r="D1379" s="19" t="str">
        <f>IF($B1379="","",IFERROR(INDEX('Staff Directory'!$C$5:$C$594,MATCH($B1379,'Staff Directory'!$A$5:$A$594,0)),""))</f>
        <v>PSW</v>
      </c>
      <c r="E1379" s="19" t="str">
        <f>IF($B1379="","",IFERROR(INDEX('Staff Directory'!$D$5:$D$594,MATCH($B1379,'Staff Directory'!$A$5:$A$594,0)),""))</f>
        <v>A4</v>
      </c>
      <c r="F1379" s="9" t="s">
        <v>191</v>
      </c>
      <c r="G1379" s="18" t="str">
        <f>IF($F1379="","",IFERROR(INDEX(Items!$B$5:$B$597,MATCH($F1379,Items!$A$5:$A$597,0)),"⚠ not in Items"))</f>
        <v>Sanitizer</v>
      </c>
      <c r="H1379" s="19" t="str">
        <f>IF($F1379="","",IFERROR(INDEX(Items!$C$5:$C$597,MATCH($F1379,Items!$A$5:$A$597,0)),""))</f>
        <v>236 ML</v>
      </c>
      <c r="I1379" s="23">
        <f>IF($F1379="","",IFERROR(INDEX(Items!$E$5:$E$597,MATCH($F1379,Items!$A$5:$A$597,0)),""))</f>
        <v>1</v>
      </c>
      <c r="J1379" s="115">
        <f>IF(tblIssues[[#This Row],[Qty Override]]&lt;&gt;"",tblIssues[[#This Row],[Qty Override]],IF(tblIssues[[#This Row],[Standard Issue]]="","",tblIssues[[#This Row],[Standard Issue]]))</f>
        <v>1</v>
      </c>
      <c r="K1379" s="20">
        <f>IF($F1379="","",IFERROR(INDEX(Items!$D$5:$D$597,MATCH($F1379,Items!$A$5:$A$597,0)),""))</f>
        <v>1E-4</v>
      </c>
      <c r="L1379" s="21">
        <f t="shared" si="239"/>
        <v>1E-4</v>
      </c>
      <c r="M1379" s="9" t="str">
        <f t="shared" si="237"/>
        <v/>
      </c>
      <c r="N1379" s="24">
        <f>IF($A1379="","",WORKDAY($A1379,Settings!$C$9,HolidayDates))</f>
        <v>46209</v>
      </c>
      <c r="O1379" s="24">
        <f>IF($N1379="","",WORKDAY($N1379,Settings!$C$10,HolidayDates))</f>
        <v>46247</v>
      </c>
      <c r="P1379" s="10" t="s">
        <v>501</v>
      </c>
      <c r="Q1379" s="52" t="str">
        <f t="shared" si="240"/>
        <v>Collected</v>
      </c>
      <c r="R1379" s="55" t="str">
        <f t="shared" si="241"/>
        <v>2026-06</v>
      </c>
      <c r="S1379" s="55">
        <f>IF(OR($B1379="",$F1379="",$R1379=""),"",SUMIFS(tblIssues[Qty Issued],tblIssues[Staff ID],$B1379,tblIssues[Item Name],$F1379,tblIssues[Month],$R1379))</f>
        <v>1</v>
      </c>
      <c r="T1379" s="56">
        <f>IF($I1379="","",$I1379*Settings!$C$11)</f>
        <v>1</v>
      </c>
      <c r="U1379" s="57" t="str">
        <f t="shared" si="238"/>
        <v>OK</v>
      </c>
      <c r="V1379" s="55" t="str">
        <f t="shared" si="242"/>
        <v/>
      </c>
      <c r="W1379" s="55" t="str">
        <f>IF($V1379="","",IF(COUNTIF($V$5:$V1379,$V1379)=1,1,""))</f>
        <v/>
      </c>
      <c r="X1379" s="58" t="str">
        <f>IF($W1379="","",MAX($X$4:X1378)+1)</f>
        <v/>
      </c>
      <c r="Y1379" s="62"/>
      <c r="Z1379" s="62"/>
      <c r="AA1379" s="64" t="str">
        <f>IF($C1379="","",IFERROR(INDEX('Staff Directory'!$E$5:$E$594,MATCH($C1379,'Staff Directory'!$B$5:$B$594,0)),""))</f>
        <v>firstname165.lastname165@example.com</v>
      </c>
      <c r="AB1379" s="64" t="str">
        <f>IF($C1379="","",IF(ISNUMBER(SEARCH($D1379,Settings!$C$15)),"Pickup","Dispatch"))</f>
        <v>Pickup</v>
      </c>
      <c r="AC1379" s="64" t="str">
        <f t="shared" si="243"/>
        <v>Supply order ready for pickup</v>
      </c>
      <c r="AD1379" s="64" t="str">
        <f t="shared" si="234"/>
        <v>Dear PSW,
Your order is ready for pickup from Sample Branch, Wed-Fri 9am-4pm.</v>
      </c>
      <c r="AE1379" s="64" t="str">
        <f t="shared" si="235"/>
        <v>mailto:firstname165.lastname165@example.com?subject=Supply%20order%20ready%20for%20pickup&amp;body=Dear%20PSW%2C%0A%0AYour%20order%20is%20ready%20for%20pickup%20from%20Sample%20Branch%2C%20Wed-Fri%209am-4pm.</v>
      </c>
      <c r="AF1379" s="89" t="str">
        <f t="shared" si="244"/>
        <v>Draft email</v>
      </c>
      <c r="AG1379" s="64" t="str">
        <f>IF($C1379="","",IFERROR(INDEX('Staff Directory'!$K$595:$K$599,MATCH($C1379,'Staff Directory'!$B$5:$B$599,0)),$D1379))</f>
        <v>PSW</v>
      </c>
      <c r="AH1379" t="str">
        <f>IF($C1379="","",IFERROR(INDEX('Staff Directory'!$I$595:$I$599,MATCH($C1379,'Staff Directory'!$B$5:$B$599,0))&amp;" "&amp;INDEX('Staff Directory'!$J$595:$J$599,MATCH($C1379,'Staff Directory'!$B$5:$B$599,0)),$AG1379))</f>
        <v>PSW</v>
      </c>
      <c r="AI1379" s="102"/>
      <c r="AJ1379" s="101">
        <f>IF($F1379="","",SUMIFS($J$5:$J1379,$F$5:$F1379,$F1379))</f>
        <v>186</v>
      </c>
      <c r="AK1379" s="101">
        <f t="shared" si="236"/>
        <v>186</v>
      </c>
      <c r="AL1379" s="66" t="str" cm="1">
        <f t="array" ref="AL1379">IF($F1379="","",IFERROR(INDEX('Lot Balance'!$B$5:$B$500,MATCH(1,INDEX(('Lot Balance'!$A$5:$A$500=$F1379)*('Lot Balance'!$K$5:$K$500&lt;$AK1379)*('Lot Balance'!$K$5:$K$500+'Lot Balance'!$D$5:$D$500&gt;=$AK1379),0),0)),""))</f>
        <v/>
      </c>
      <c r="AM1379" s="66" t="str" cm="1">
        <f t="array" ref="AM1379">IF($F1379="","",IFERROR(INDEX('Lot Balance'!$B$5:$B$500,MATCH(1,INDEX(('Lot Balance'!$A$5:$A$500=$F1379)*('Lot Balance'!$K$5:$K$500&lt;$AJ1379)*('Lot Balance'!$K$5:$K$500+'Lot Balance'!$D$5:$D$500&gt;=$AJ1379),0),0)),""))</f>
        <v/>
      </c>
      <c r="AN1379" s="66" t="str">
        <f>IF($F1379="","",IF($AI1379&lt;&gt;"",IF(COUNTIFS('Lot Balance'!$A$5:$A$500,$F1379,'Lot Balance'!$B$5:$B$500,$AI1379)=0,"⚠ override is not a lot of this item",IF($AI1379=$AL1379,"Override = FEFO","Override - FEFO says "&amp;$AL1379)),IF($AL1379="","⚠ no receipt on file for this item",IF($AM1379&lt;&gt;$AL1379,"FEFO auto - split, also "&amp;$AM1379,"FEFO auto"))))</f>
        <v>⚠ no receipt on file for this item</v>
      </c>
      <c r="AO1379" s="114"/>
    </row>
    <row r="1380" spans="1:41" x14ac:dyDescent="0.35">
      <c r="A1380" s="74">
        <v>46199</v>
      </c>
      <c r="B1380" s="18" t="str">
        <f>IF($C1380="","",IFERROR(INDEX('Staff Directory'!$A$5:$A$594,MATCH($C1380,'Staff Directory'!$B$5:$B$594,0)),"⚠ unknown staff"))</f>
        <v>PSW-103-A4</v>
      </c>
      <c r="C1380" s="49" t="s">
        <v>1081</v>
      </c>
      <c r="D1380" s="19" t="str">
        <f>IF($B1380="","",IFERROR(INDEX('Staff Directory'!$C$5:$C$594,MATCH($B1380,'Staff Directory'!$A$5:$A$594,0)),""))</f>
        <v>PSW</v>
      </c>
      <c r="E1380" s="19" t="str">
        <f>IF($B1380="","",IFERROR(INDEX('Staff Directory'!$D$5:$D$594,MATCH($B1380,'Staff Directory'!$A$5:$A$594,0)),""))</f>
        <v>A4</v>
      </c>
      <c r="F1380" s="9" t="s">
        <v>115</v>
      </c>
      <c r="G1380" s="18" t="str">
        <f>IF($F1380="","",IFERROR(INDEX(Items!$B$5:$B$597,MATCH($F1380,Items!$A$5:$A$597,0)),"⚠ not in Items"))</f>
        <v>Wipes</v>
      </c>
      <c r="H1380" s="19">
        <f>IF($F1380="","",IFERROR(INDEX(Items!$C$5:$C$597,MATCH($F1380,Items!$A$5:$A$597,0)),""))</f>
        <v>80</v>
      </c>
      <c r="I1380" s="23">
        <f>IF($F1380="","",IFERROR(INDEX(Items!$E$5:$E$597,MATCH($F1380,Items!$A$5:$A$597,0)),""))</f>
        <v>80</v>
      </c>
      <c r="J1380" s="115">
        <f>IF(tblIssues[[#This Row],[Qty Override]]&lt;&gt;"",tblIssues[[#This Row],[Qty Override]],IF(tblIssues[[#This Row],[Standard Issue]]="","",tblIssues[[#This Row],[Standard Issue]]))</f>
        <v>80</v>
      </c>
      <c r="K1380" s="20">
        <f>IF($F1380="","",IFERROR(INDEX(Items!$D$5:$D$597,MATCH($F1380,Items!$A$5:$A$597,0)),""))</f>
        <v>0.1</v>
      </c>
      <c r="L1380" s="21">
        <f t="shared" si="239"/>
        <v>8</v>
      </c>
      <c r="M1380" s="9" t="str">
        <f t="shared" si="237"/>
        <v>LYSL500290</v>
      </c>
      <c r="N1380" s="24">
        <f>IF($A1380="","",WORKDAY($A1380,Settings!$C$9,HolidayDates))</f>
        <v>46209</v>
      </c>
      <c r="O1380" s="24">
        <f>IF($N1380="","",WORKDAY($N1380,Settings!$C$10,HolidayDates))</f>
        <v>46247</v>
      </c>
      <c r="P1380" s="10" t="s">
        <v>501</v>
      </c>
      <c r="Q1380" s="52" t="str">
        <f t="shared" si="240"/>
        <v>Collected</v>
      </c>
      <c r="R1380" s="55" t="str">
        <f t="shared" si="241"/>
        <v>2026-06</v>
      </c>
      <c r="S1380" s="55">
        <f>IF(OR($B1380="",$F1380="",$R1380=""),"",SUMIFS(tblIssues[Qty Issued],tblIssues[Staff ID],$B1380,tblIssues[Item Name],$F1380,tblIssues[Month],$R1380))</f>
        <v>80</v>
      </c>
      <c r="T1380" s="56">
        <f>IF($I1380="","",$I1380*Settings!$C$11)</f>
        <v>80</v>
      </c>
      <c r="U1380" s="57" t="str">
        <f t="shared" si="238"/>
        <v>OK</v>
      </c>
      <c r="V1380" s="55" t="str">
        <f t="shared" si="242"/>
        <v/>
      </c>
      <c r="W1380" s="55" t="str">
        <f>IF($V1380="","",IF(COUNTIF($V$5:$V1380,$V1380)=1,1,""))</f>
        <v/>
      </c>
      <c r="X1380" s="58" t="str">
        <f>IF($W1380="","",MAX($X$4:X1379)+1)</f>
        <v/>
      </c>
      <c r="Y1380" s="62"/>
      <c r="Z1380" s="62"/>
      <c r="AA1380" s="64" t="str">
        <f>IF($C1380="","",IFERROR(INDEX('Staff Directory'!$E$5:$E$594,MATCH($C1380,'Staff Directory'!$B$5:$B$594,0)),""))</f>
        <v>firstname165.lastname165@example.com</v>
      </c>
      <c r="AB1380" s="64" t="str">
        <f>IF($C1380="","",IF(ISNUMBER(SEARCH($D1380,Settings!$C$15)),"Pickup","Dispatch"))</f>
        <v>Pickup</v>
      </c>
      <c r="AC1380" s="64" t="str">
        <f t="shared" si="243"/>
        <v>Supply order ready for pickup</v>
      </c>
      <c r="AD1380" s="64" t="str">
        <f t="shared" si="234"/>
        <v>Dear PSW,
Your order is ready for pickup from Sample Branch, Wed-Fri 9am-4pm.</v>
      </c>
      <c r="AE1380" s="64" t="str">
        <f t="shared" si="235"/>
        <v>mailto:firstname165.lastname165@example.com?subject=Supply%20order%20ready%20for%20pickup&amp;body=Dear%20PSW%2C%0A%0AYour%20order%20is%20ready%20for%20pickup%20from%20Sample%20Branch%2C%20Wed-Fri%209am-4pm.</v>
      </c>
      <c r="AF1380" s="89" t="str">
        <f t="shared" si="244"/>
        <v>Draft email</v>
      </c>
      <c r="AG1380" s="64" t="str">
        <f>IF($C1380="","",IFERROR(INDEX('Staff Directory'!$K$595:$K$599,MATCH($C1380,'Staff Directory'!$B$5:$B$599,0)),$D1380))</f>
        <v>PSW</v>
      </c>
      <c r="AH1380" t="str">
        <f>IF($C1380="","",IFERROR(INDEX('Staff Directory'!$I$595:$I$599,MATCH($C1380,'Staff Directory'!$B$5:$B$599,0))&amp;" "&amp;INDEX('Staff Directory'!$J$595:$J$599,MATCH($C1380,'Staff Directory'!$B$5:$B$599,0)),$AG1380))</f>
        <v>PSW</v>
      </c>
      <c r="AI1380" s="102"/>
      <c r="AJ1380" s="101">
        <f>IF($F1380="","",SUMIFS($J$5:$J1380,$F$5:$F1380,$F1380))</f>
        <v>19040</v>
      </c>
      <c r="AK1380" s="101">
        <f t="shared" si="236"/>
        <v>18961</v>
      </c>
      <c r="AL1380" s="66" t="str" cm="1">
        <f t="array" ref="AL1380">IF($F1380="","",IFERROR(INDEX('Lot Balance'!$B$5:$B$500,MATCH(1,INDEX(('Lot Balance'!$A$5:$A$500=$F1380)*('Lot Balance'!$K$5:$K$500&lt;$AK1380)*('Lot Balance'!$K$5:$K$500+'Lot Balance'!$D$5:$D$500&gt;=$AK1380),0),0)),""))</f>
        <v>LYSL500290</v>
      </c>
      <c r="AM1380" s="66" t="str" cm="1">
        <f t="array" ref="AM1380">IF($F1380="","",IFERROR(INDEX('Lot Balance'!$B$5:$B$500,MATCH(1,INDEX(('Lot Balance'!$A$5:$A$500=$F1380)*('Lot Balance'!$K$5:$K$500&lt;$AJ1380)*('Lot Balance'!$K$5:$K$500+'Lot Balance'!$D$5:$D$500&gt;=$AJ1380),0),0)),""))</f>
        <v>LYSL500290</v>
      </c>
      <c r="AN1380" s="66" t="str">
        <f>IF($F1380="","",IF($AI1380&lt;&gt;"",IF(COUNTIFS('Lot Balance'!$A$5:$A$500,$F1380,'Lot Balance'!$B$5:$B$500,$AI1380)=0,"⚠ override is not a lot of this item",IF($AI1380=$AL1380,"Override = FEFO","Override - FEFO says "&amp;$AL1380)),IF($AL1380="","⚠ no receipt on file for this item",IF($AM1380&lt;&gt;$AL1380,"FEFO auto - split, also "&amp;$AM1380,"FEFO auto"))))</f>
        <v>FEFO auto</v>
      </c>
      <c r="AO1380" s="114"/>
    </row>
    <row r="1381" spans="1:41" x14ac:dyDescent="0.35">
      <c r="A1381" s="74">
        <v>46199</v>
      </c>
      <c r="B1381" s="18" t="str">
        <f>IF($C1381="","",IFERROR(INDEX('Staff Directory'!$A$5:$A$594,MATCH($C1381,'Staff Directory'!$B$5:$B$594,0)),"⚠ unknown staff"))</f>
        <v>PSW-103-A4</v>
      </c>
      <c r="C1381" s="49" t="s">
        <v>1081</v>
      </c>
      <c r="D1381" s="19" t="str">
        <f>IF($B1381="","",IFERROR(INDEX('Staff Directory'!$C$5:$C$594,MATCH($B1381,'Staff Directory'!$A$5:$A$594,0)),""))</f>
        <v>PSW</v>
      </c>
      <c r="E1381" s="19" t="str">
        <f>IF($B1381="","",IFERROR(INDEX('Staff Directory'!$D$5:$D$594,MATCH($B1381,'Staff Directory'!$A$5:$A$594,0)),""))</f>
        <v>A4</v>
      </c>
      <c r="F1381" s="9" t="s">
        <v>156</v>
      </c>
      <c r="G1381" s="18" t="str">
        <f>IF($F1381="","",IFERROR(INDEX(Items!$B$5:$B$597,MATCH($F1381,Items!$A$5:$A$597,0)),"⚠ not in Items"))</f>
        <v>Masks</v>
      </c>
      <c r="H1381" s="19" t="str">
        <f>IF($F1381="","",IFERROR(INDEX(Items!$C$5:$C$597,MATCH($F1381,Items!$A$5:$A$597,0)),""))</f>
        <v>One Size</v>
      </c>
      <c r="I1381" s="23">
        <f>IF($F1381="","",IFERROR(INDEX(Items!$E$5:$E$597,MATCH($F1381,Items!$A$5:$A$597,0)),""))</f>
        <v>50</v>
      </c>
      <c r="J1381" s="115">
        <f>IF(tblIssues[[#This Row],[Qty Override]]&lt;&gt;"",tblIssues[[#This Row],[Qty Override]],IF(tblIssues[[#This Row],[Standard Issue]]="","",tblIssues[[#This Row],[Standard Issue]]))</f>
        <v>50</v>
      </c>
      <c r="K1381" s="20">
        <f>IF($F1381="","",IFERROR(INDEX(Items!$D$5:$D$597,MATCH($F1381,Items!$A$5:$A$597,0)),""))</f>
        <v>0.25</v>
      </c>
      <c r="L1381" s="21">
        <f t="shared" si="239"/>
        <v>12.5</v>
      </c>
      <c r="M1381" s="9" t="str">
        <f t="shared" si="237"/>
        <v>24HA2050A7396</v>
      </c>
      <c r="N1381" s="24">
        <f>IF($A1381="","",WORKDAY($A1381,Settings!$C$9,HolidayDates))</f>
        <v>46209</v>
      </c>
      <c r="O1381" s="24">
        <f>IF($N1381="","",WORKDAY($N1381,Settings!$C$10,HolidayDates))</f>
        <v>46247</v>
      </c>
      <c r="P1381" s="10" t="s">
        <v>501</v>
      </c>
      <c r="Q1381" s="52" t="str">
        <f t="shared" si="240"/>
        <v>Collected</v>
      </c>
      <c r="R1381" s="55" t="str">
        <f t="shared" si="241"/>
        <v>2026-06</v>
      </c>
      <c r="S1381" s="55">
        <f>IF(OR($B1381="",$F1381="",$R1381=""),"",SUMIFS(tblIssues[Qty Issued],tblIssues[Staff ID],$B1381,tblIssues[Item Name],$F1381,tblIssues[Month],$R1381))</f>
        <v>50</v>
      </c>
      <c r="T1381" s="56">
        <f>IF($I1381="","",$I1381*Settings!$C$11)</f>
        <v>50</v>
      </c>
      <c r="U1381" s="57" t="str">
        <f t="shared" si="238"/>
        <v>OK</v>
      </c>
      <c r="V1381" s="55" t="str">
        <f t="shared" si="242"/>
        <v/>
      </c>
      <c r="W1381" s="55" t="str">
        <f>IF($V1381="","",IF(COUNTIF($V$5:$V1381,$V1381)=1,1,""))</f>
        <v/>
      </c>
      <c r="X1381" s="58" t="str">
        <f>IF($W1381="","",MAX($X$4:X1380)+1)</f>
        <v/>
      </c>
      <c r="Y1381" s="62"/>
      <c r="Z1381" s="62"/>
      <c r="AA1381" s="64" t="str">
        <f>IF($C1381="","",IFERROR(INDEX('Staff Directory'!$E$5:$E$594,MATCH($C1381,'Staff Directory'!$B$5:$B$594,0)),""))</f>
        <v>firstname165.lastname165@example.com</v>
      </c>
      <c r="AB1381" s="64" t="str">
        <f>IF($C1381="","",IF(ISNUMBER(SEARCH($D1381,Settings!$C$15)),"Pickup","Dispatch"))</f>
        <v>Pickup</v>
      </c>
      <c r="AC1381" s="64" t="str">
        <f t="shared" si="243"/>
        <v>Supply order ready for pickup</v>
      </c>
      <c r="AD1381" s="64" t="str">
        <f t="shared" si="234"/>
        <v>Dear PSW,
Your order is ready for pickup from Sample Branch, Wed-Fri 9am-4pm.</v>
      </c>
      <c r="AE1381" s="64" t="str">
        <f t="shared" si="235"/>
        <v>mailto:firstname165.lastname165@example.com?subject=Supply%20order%20ready%20for%20pickup&amp;body=Dear%20PSW%2C%0A%0AYour%20order%20is%20ready%20for%20pickup%20from%20Sample%20Branch%2C%20Wed-Fri%209am-4pm.</v>
      </c>
      <c r="AF1381" s="89" t="str">
        <f t="shared" si="244"/>
        <v>Draft email</v>
      </c>
      <c r="AG1381" s="64" t="str">
        <f>IF($C1381="","",IFERROR(INDEX('Staff Directory'!$K$595:$K$599,MATCH($C1381,'Staff Directory'!$B$5:$B$599,0)),$D1381))</f>
        <v>PSW</v>
      </c>
      <c r="AH1381" t="str">
        <f>IF($C1381="","",IFERROR(INDEX('Staff Directory'!$I$595:$I$599,MATCH($C1381,'Staff Directory'!$B$5:$B$599,0))&amp;" "&amp;INDEX('Staff Directory'!$J$595:$J$599,MATCH($C1381,'Staff Directory'!$B$5:$B$599,0)),$AG1381))</f>
        <v>PSW</v>
      </c>
      <c r="AI1381" s="102"/>
      <c r="AJ1381" s="101">
        <f>IF($F1381="","",SUMIFS($J$5:$J1381,$F$5:$F1381,$F1381))</f>
        <v>11950</v>
      </c>
      <c r="AK1381" s="101">
        <f t="shared" si="236"/>
        <v>11901</v>
      </c>
      <c r="AL1381" s="66" t="str" cm="1">
        <f t="array" ref="AL1381">IF($F1381="","",IFERROR(INDEX('Lot Balance'!$B$5:$B$500,MATCH(1,INDEX(('Lot Balance'!$A$5:$A$500=$F1381)*('Lot Balance'!$K$5:$K$500&lt;$AK1381)*('Lot Balance'!$K$5:$K$500+'Lot Balance'!$D$5:$D$500&gt;=$AK1381),0),0)),""))</f>
        <v>24HA2050A7396</v>
      </c>
      <c r="AM1381" s="66" t="str" cm="1">
        <f t="array" ref="AM1381">IF($F1381="","",IFERROR(INDEX('Lot Balance'!$B$5:$B$500,MATCH(1,INDEX(('Lot Balance'!$A$5:$A$500=$F1381)*('Lot Balance'!$K$5:$K$500&lt;$AJ1381)*('Lot Balance'!$K$5:$K$500+'Lot Balance'!$D$5:$D$500&gt;=$AJ1381),0),0)),""))</f>
        <v>24HA2050A7396</v>
      </c>
      <c r="AN1381" s="66" t="str">
        <f>IF($F1381="","",IF($AI1381&lt;&gt;"",IF(COUNTIFS('Lot Balance'!$A$5:$A$500,$F1381,'Lot Balance'!$B$5:$B$500,$AI1381)=0,"⚠ override is not a lot of this item",IF($AI1381=$AL1381,"Override = FEFO","Override - FEFO says "&amp;$AL1381)),IF($AL1381="","⚠ no receipt on file for this item",IF($AM1381&lt;&gt;$AL1381,"FEFO auto - split, also "&amp;$AM1381,"FEFO auto"))))</f>
        <v>FEFO auto</v>
      </c>
      <c r="AO1381" s="114"/>
    </row>
    <row r="1382" spans="1:41" x14ac:dyDescent="0.35">
      <c r="A1382" s="74">
        <v>46204</v>
      </c>
      <c r="B1382" s="18" t="str">
        <f>IF($C1382="","",IFERROR(INDEX('Staff Directory'!$A$5:$A$594,MATCH($C1382,'Staff Directory'!$B$5:$B$594,0)),"⚠ unknown staff"))</f>
        <v>PSW-047-A5</v>
      </c>
      <c r="C1382" s="49" t="s">
        <v>1023</v>
      </c>
      <c r="D1382" s="19" t="str">
        <f>IF($B1382="","",IFERROR(INDEX('Staff Directory'!$C$5:$C$594,MATCH($B1382,'Staff Directory'!$A$5:$A$594,0)),""))</f>
        <v>PSW</v>
      </c>
      <c r="E1382" s="19" t="str">
        <f>IF($B1382="","",IFERROR(INDEX('Staff Directory'!$D$5:$D$594,MATCH($B1382,'Staff Directory'!$A$5:$A$594,0)),""))</f>
        <v>A5</v>
      </c>
      <c r="F1382" s="9" t="s">
        <v>127</v>
      </c>
      <c r="G1382" s="18" t="str">
        <f>IF($F1382="","",IFERROR(INDEX(Items!$B$5:$B$597,MATCH($F1382,Items!$A$5:$A$597,0)),"⚠ not in Items"))</f>
        <v>Gloves</v>
      </c>
      <c r="H1382" s="19" t="str">
        <f>IF($F1382="","",IFERROR(INDEX(Items!$C$5:$C$597,MATCH($F1382,Items!$A$5:$A$597,0)),""))</f>
        <v>Medium</v>
      </c>
      <c r="I1382" s="23">
        <f>IF($F1382="","",IFERROR(INDEX(Items!$E$5:$E$597,MATCH($F1382,Items!$A$5:$A$597,0)),""))</f>
        <v>500</v>
      </c>
      <c r="J1382" s="115">
        <f>IF(tblIssues[[#This Row],[Qty Override]]&lt;&gt;"",tblIssues[[#This Row],[Qty Override]],IF(tblIssues[[#This Row],[Standard Issue]]="","",tblIssues[[#This Row],[Standard Issue]]))</f>
        <v>500</v>
      </c>
      <c r="K1382" s="20">
        <f>IF($F1382="","",IFERROR(INDEX(Items!$D$5:$D$597,MATCH($F1382,Items!$A$5:$A$597,0)),""))</f>
        <v>5.5E-2</v>
      </c>
      <c r="L1382" s="21">
        <f t="shared" si="239"/>
        <v>27.5</v>
      </c>
      <c r="M1382" s="9" t="str">
        <f t="shared" si="237"/>
        <v>ZIM510137962-2</v>
      </c>
      <c r="N1382" s="24">
        <f>IF($A1382="","",WORKDAY($A1382,Settings!$C$9,HolidayDates))</f>
        <v>46212</v>
      </c>
      <c r="O1382" s="24">
        <f>IF($N1382="","",WORKDAY($N1382,Settings!$C$10,HolidayDates))</f>
        <v>46252</v>
      </c>
      <c r="P1382" s="10" t="s">
        <v>501</v>
      </c>
      <c r="Q1382" s="52" t="str">
        <f t="shared" si="240"/>
        <v>Collected</v>
      </c>
      <c r="R1382" s="55" t="str">
        <f t="shared" si="241"/>
        <v>2026-07</v>
      </c>
      <c r="S1382" s="55">
        <f>IF(OR($B1382="",$F1382="",$R1382=""),"",SUMIFS(tblIssues[Qty Issued],tblIssues[Staff ID],$B1382,tblIssues[Item Name],$F1382,tblIssues[Month],$R1382))</f>
        <v>500</v>
      </c>
      <c r="T1382" s="56">
        <f>IF($I1382="","",$I1382*Settings!$C$11)</f>
        <v>500</v>
      </c>
      <c r="U1382" s="57" t="str">
        <f t="shared" si="238"/>
        <v>OK</v>
      </c>
      <c r="V1382" s="55" t="str">
        <f t="shared" si="242"/>
        <v/>
      </c>
      <c r="W1382" s="55" t="str">
        <f>IF($V1382="","",IF(COUNTIF($V$5:$V1382,$V1382)=1,1,""))</f>
        <v/>
      </c>
      <c r="X1382" s="58" t="str">
        <f>IF($W1382="","",MAX($X$4:X1381)+1)</f>
        <v/>
      </c>
      <c r="Y1382" s="62"/>
      <c r="Z1382" s="62"/>
      <c r="AA1382" s="64" t="str">
        <f>IF($C1382="","",IFERROR(INDEX('Staff Directory'!$E$5:$E$594,MATCH($C1382,'Staff Directory'!$B$5:$B$594,0)),""))</f>
        <v>firstname107.lastname107@example.com</v>
      </c>
      <c r="AB1382" s="64" t="str">
        <f>IF($C1382="","",IF(ISNUMBER(SEARCH($D1382,Settings!$C$15)),"Pickup","Dispatch"))</f>
        <v>Pickup</v>
      </c>
      <c r="AC1382" s="64" t="str">
        <f t="shared" si="243"/>
        <v>Supply order ready for pickup</v>
      </c>
      <c r="AD1382" s="64" t="str">
        <f t="shared" si="234"/>
        <v>Dear PSW,
Your order is ready for pickup from Sample Branch, Wed-Fri 9am-4pm.</v>
      </c>
      <c r="AE1382" s="64" t="str">
        <f t="shared" si="235"/>
        <v>mailto:firstname107.lastname107@example.com?subject=Supply%20order%20ready%20for%20pickup&amp;body=Dear%20PSW%2C%0A%0AYour%20order%20is%20ready%20for%20pickup%20from%20Sample%20Branch%2C%20Wed-Fri%209am-4pm.</v>
      </c>
      <c r="AF1382" s="89" t="str">
        <f t="shared" si="244"/>
        <v>Draft email</v>
      </c>
      <c r="AG1382" s="64" t="str">
        <f>IF($C1382="","",IFERROR(INDEX('Staff Directory'!$K$595:$K$599,MATCH($C1382,'Staff Directory'!$B$5:$B$599,0)),$D1382))</f>
        <v>PSW</v>
      </c>
      <c r="AH1382" t="str">
        <f>IF($C1382="","",IFERROR(INDEX('Staff Directory'!$I$595:$I$599,MATCH($C1382,'Staff Directory'!$B$5:$B$599,0))&amp;" "&amp;INDEX('Staff Directory'!$J$595:$J$599,MATCH($C1382,'Staff Directory'!$B$5:$B$599,0)),$AG1382))</f>
        <v>PSW</v>
      </c>
      <c r="AI1382" s="102"/>
      <c r="AJ1382" s="101">
        <f>IF($F1382="","",SUMIFS($J$5:$J1382,$F$5:$F1382,$F1382))</f>
        <v>86000</v>
      </c>
      <c r="AK1382" s="101">
        <f t="shared" si="236"/>
        <v>85501</v>
      </c>
      <c r="AL1382" s="66" t="str" cm="1">
        <f t="array" ref="AL1382">IF($F1382="","",IFERROR(INDEX('Lot Balance'!$B$5:$B$500,MATCH(1,INDEX(('Lot Balance'!$A$5:$A$500=$F1382)*('Lot Balance'!$K$5:$K$500&lt;$AK1382)*('Lot Balance'!$K$5:$K$500+'Lot Balance'!$D$5:$D$500&gt;=$AK1382),0),0)),""))</f>
        <v>ZIM510137962-2</v>
      </c>
      <c r="AM1382" s="66" t="str" cm="1">
        <f t="array" ref="AM1382">IF($F1382="","",IFERROR(INDEX('Lot Balance'!$B$5:$B$500,MATCH(1,INDEX(('Lot Balance'!$A$5:$A$500=$F1382)*('Lot Balance'!$K$5:$K$500&lt;$AJ1382)*('Lot Balance'!$K$5:$K$500+'Lot Balance'!$D$5:$D$500&gt;=$AJ1382),0),0)),""))</f>
        <v>ZIM510137962-2</v>
      </c>
      <c r="AN1382" s="66" t="str">
        <f>IF($F1382="","",IF($AI1382&lt;&gt;"",IF(COUNTIFS('Lot Balance'!$A$5:$A$500,$F1382,'Lot Balance'!$B$5:$B$500,$AI1382)=0,"⚠ override is not a lot of this item",IF($AI1382=$AL1382,"Override = FEFO","Override - FEFO says "&amp;$AL1382)),IF($AL1382="","⚠ no receipt on file for this item",IF($AM1382&lt;&gt;$AL1382,"FEFO auto - split, also "&amp;$AM1382,"FEFO auto"))))</f>
        <v>FEFO auto</v>
      </c>
      <c r="AO1382" s="114"/>
    </row>
    <row r="1383" spans="1:41" x14ac:dyDescent="0.35">
      <c r="A1383" s="74">
        <v>46204</v>
      </c>
      <c r="B1383" s="18" t="str">
        <f>IF($C1383="","",IFERROR(INDEX('Staff Directory'!$A$5:$A$594,MATCH($C1383,'Staff Directory'!$B$5:$B$594,0)),"⚠ unknown staff"))</f>
        <v>PSW-047-A5</v>
      </c>
      <c r="C1383" s="49" t="s">
        <v>1023</v>
      </c>
      <c r="D1383" s="19" t="str">
        <f>IF($B1383="","",IFERROR(INDEX('Staff Directory'!$C$5:$C$594,MATCH($B1383,'Staff Directory'!$A$5:$A$594,0)),""))</f>
        <v>PSW</v>
      </c>
      <c r="E1383" s="19" t="str">
        <f>IF($B1383="","",IFERROR(INDEX('Staff Directory'!$D$5:$D$594,MATCH($B1383,'Staff Directory'!$A$5:$A$594,0)),""))</f>
        <v>A5</v>
      </c>
      <c r="F1383" s="9" t="s">
        <v>156</v>
      </c>
      <c r="G1383" s="18" t="str">
        <f>IF($F1383="","",IFERROR(INDEX(Items!$B$5:$B$597,MATCH($F1383,Items!$A$5:$A$597,0)),"⚠ not in Items"))</f>
        <v>Masks</v>
      </c>
      <c r="H1383" s="19" t="str">
        <f>IF($F1383="","",IFERROR(INDEX(Items!$C$5:$C$597,MATCH($F1383,Items!$A$5:$A$597,0)),""))</f>
        <v>One Size</v>
      </c>
      <c r="I1383" s="23">
        <f>IF($F1383="","",IFERROR(INDEX(Items!$E$5:$E$597,MATCH($F1383,Items!$A$5:$A$597,0)),""))</f>
        <v>50</v>
      </c>
      <c r="J1383" s="115">
        <f>IF(tblIssues[[#This Row],[Qty Override]]&lt;&gt;"",tblIssues[[#This Row],[Qty Override]],IF(tblIssues[[#This Row],[Standard Issue]]="","",tblIssues[[#This Row],[Standard Issue]]))</f>
        <v>50</v>
      </c>
      <c r="K1383" s="20">
        <f>IF($F1383="","",IFERROR(INDEX(Items!$D$5:$D$597,MATCH($F1383,Items!$A$5:$A$597,0)),""))</f>
        <v>0.25</v>
      </c>
      <c r="L1383" s="21">
        <f t="shared" si="239"/>
        <v>12.5</v>
      </c>
      <c r="M1383" s="9" t="str">
        <f t="shared" si="237"/>
        <v>24HA2050A7396</v>
      </c>
      <c r="N1383" s="24">
        <f>IF($A1383="","",WORKDAY($A1383,Settings!$C$9,HolidayDates))</f>
        <v>46212</v>
      </c>
      <c r="O1383" s="24">
        <f>IF($N1383="","",WORKDAY($N1383,Settings!$C$10,HolidayDates))</f>
        <v>46252</v>
      </c>
      <c r="P1383" s="10" t="s">
        <v>501</v>
      </c>
      <c r="Q1383" s="52" t="str">
        <f t="shared" si="240"/>
        <v>Collected</v>
      </c>
      <c r="R1383" s="55" t="str">
        <f t="shared" si="241"/>
        <v>2026-07</v>
      </c>
      <c r="S1383" s="55">
        <f>IF(OR($B1383="",$F1383="",$R1383=""),"",SUMIFS(tblIssues[Qty Issued],tblIssues[Staff ID],$B1383,tblIssues[Item Name],$F1383,tblIssues[Month],$R1383))</f>
        <v>50</v>
      </c>
      <c r="T1383" s="56">
        <f>IF($I1383="","",$I1383*Settings!$C$11)</f>
        <v>50</v>
      </c>
      <c r="U1383" s="57" t="str">
        <f t="shared" si="238"/>
        <v>OK</v>
      </c>
      <c r="V1383" s="55" t="str">
        <f t="shared" si="242"/>
        <v/>
      </c>
      <c r="W1383" s="55" t="str">
        <f>IF($V1383="","",IF(COUNTIF($V$5:$V1383,$V1383)=1,1,""))</f>
        <v/>
      </c>
      <c r="X1383" s="58" t="str">
        <f>IF($W1383="","",MAX($X$4:X1382)+1)</f>
        <v/>
      </c>
      <c r="Y1383" s="62"/>
      <c r="Z1383" s="62"/>
      <c r="AA1383" s="64" t="str">
        <f>IF($C1383="","",IFERROR(INDEX('Staff Directory'!$E$5:$E$594,MATCH($C1383,'Staff Directory'!$B$5:$B$594,0)),""))</f>
        <v>firstname107.lastname107@example.com</v>
      </c>
      <c r="AB1383" s="64" t="str">
        <f>IF($C1383="","",IF(ISNUMBER(SEARCH($D1383,Settings!$C$15)),"Pickup","Dispatch"))</f>
        <v>Pickup</v>
      </c>
      <c r="AC1383" s="64" t="str">
        <f t="shared" si="243"/>
        <v>Supply order ready for pickup</v>
      </c>
      <c r="AD1383" s="64" t="str">
        <f t="shared" si="234"/>
        <v>Dear PSW,
Your order is ready for pickup from Sample Branch, Wed-Fri 9am-4pm.</v>
      </c>
      <c r="AE1383" s="64" t="str">
        <f t="shared" si="235"/>
        <v>mailto:firstname107.lastname107@example.com?subject=Supply%20order%20ready%20for%20pickup&amp;body=Dear%20PSW%2C%0A%0AYour%20order%20is%20ready%20for%20pickup%20from%20Sample%20Branch%2C%20Wed-Fri%209am-4pm.</v>
      </c>
      <c r="AF1383" s="89" t="str">
        <f t="shared" si="244"/>
        <v>Draft email</v>
      </c>
      <c r="AG1383" s="64" t="str">
        <f>IF($C1383="","",IFERROR(INDEX('Staff Directory'!$K$595:$K$599,MATCH($C1383,'Staff Directory'!$B$5:$B$599,0)),$D1383))</f>
        <v>PSW</v>
      </c>
      <c r="AH1383" t="str">
        <f>IF($C1383="","",IFERROR(INDEX('Staff Directory'!$I$595:$I$599,MATCH($C1383,'Staff Directory'!$B$5:$B$599,0))&amp;" "&amp;INDEX('Staff Directory'!$J$595:$J$599,MATCH($C1383,'Staff Directory'!$B$5:$B$599,0)),$AG1383))</f>
        <v>PSW</v>
      </c>
      <c r="AI1383" s="102"/>
      <c r="AJ1383" s="101">
        <f>IF($F1383="","",SUMIFS($J$5:$J1383,$F$5:$F1383,$F1383))</f>
        <v>12000</v>
      </c>
      <c r="AK1383" s="101">
        <f t="shared" si="236"/>
        <v>11951</v>
      </c>
      <c r="AL1383" s="66" t="str" cm="1">
        <f t="array" ref="AL1383">IF($F1383="","",IFERROR(INDEX('Lot Balance'!$B$5:$B$500,MATCH(1,INDEX(('Lot Balance'!$A$5:$A$500=$F1383)*('Lot Balance'!$K$5:$K$500&lt;$AK1383)*('Lot Balance'!$K$5:$K$500+'Lot Balance'!$D$5:$D$500&gt;=$AK1383),0),0)),""))</f>
        <v>24HA2050A7396</v>
      </c>
      <c r="AM1383" s="66" t="str" cm="1">
        <f t="array" ref="AM1383">IF($F1383="","",IFERROR(INDEX('Lot Balance'!$B$5:$B$500,MATCH(1,INDEX(('Lot Balance'!$A$5:$A$500=$F1383)*('Lot Balance'!$K$5:$K$500&lt;$AJ1383)*('Lot Balance'!$K$5:$K$500+'Lot Balance'!$D$5:$D$500&gt;=$AJ1383),0),0)),""))</f>
        <v>24HA2050A7396</v>
      </c>
      <c r="AN1383" s="66" t="str">
        <f>IF($F1383="","",IF($AI1383&lt;&gt;"",IF(COUNTIFS('Lot Balance'!$A$5:$A$500,$F1383,'Lot Balance'!$B$5:$B$500,$AI1383)=0,"⚠ override is not a lot of this item",IF($AI1383=$AL1383,"Override = FEFO","Override - FEFO says "&amp;$AL1383)),IF($AL1383="","⚠ no receipt on file for this item",IF($AM1383&lt;&gt;$AL1383,"FEFO auto - split, also "&amp;$AM1383,"FEFO auto"))))</f>
        <v>FEFO auto</v>
      </c>
      <c r="AO1383" s="114"/>
    </row>
    <row r="1384" spans="1:41" x14ac:dyDescent="0.35">
      <c r="A1384" s="74">
        <v>46204</v>
      </c>
      <c r="B1384" s="18" t="str">
        <f>IF($C1384="","",IFERROR(INDEX('Staff Directory'!$A$5:$A$594,MATCH($C1384,'Staff Directory'!$B$5:$B$594,0)),"⚠ unknown staff"))</f>
        <v>PSW-074-A5</v>
      </c>
      <c r="C1384" s="49" t="s">
        <v>1050</v>
      </c>
      <c r="D1384" s="19" t="str">
        <f>IF($B1384="","",IFERROR(INDEX('Staff Directory'!$C$5:$C$594,MATCH($B1384,'Staff Directory'!$A$5:$A$594,0)),""))</f>
        <v>PSW</v>
      </c>
      <c r="E1384" s="19" t="str">
        <f>IF($B1384="","",IFERROR(INDEX('Staff Directory'!$D$5:$D$594,MATCH($B1384,'Staff Directory'!$A$5:$A$594,0)),""))</f>
        <v>A5</v>
      </c>
      <c r="F1384" s="9" t="s">
        <v>127</v>
      </c>
      <c r="G1384" s="18" t="str">
        <f>IF($F1384="","",IFERROR(INDEX(Items!$B$5:$B$597,MATCH($F1384,Items!$A$5:$A$597,0)),"⚠ not in Items"))</f>
        <v>Gloves</v>
      </c>
      <c r="H1384" s="19" t="str">
        <f>IF($F1384="","",IFERROR(INDEX(Items!$C$5:$C$597,MATCH($F1384,Items!$A$5:$A$597,0)),""))</f>
        <v>Medium</v>
      </c>
      <c r="I1384" s="23">
        <f>IF($F1384="","",IFERROR(INDEX(Items!$E$5:$E$597,MATCH($F1384,Items!$A$5:$A$597,0)),""))</f>
        <v>500</v>
      </c>
      <c r="J1384" s="115">
        <f>IF(tblIssues[[#This Row],[Qty Override]]&lt;&gt;"",tblIssues[[#This Row],[Qty Override]],IF(tblIssues[[#This Row],[Standard Issue]]="","",tblIssues[[#This Row],[Standard Issue]]))</f>
        <v>500</v>
      </c>
      <c r="K1384" s="20">
        <f>IF($F1384="","",IFERROR(INDEX(Items!$D$5:$D$597,MATCH($F1384,Items!$A$5:$A$597,0)),""))</f>
        <v>5.5E-2</v>
      </c>
      <c r="L1384" s="21">
        <f t="shared" si="239"/>
        <v>27.5</v>
      </c>
      <c r="M1384" s="9" t="str">
        <f t="shared" si="237"/>
        <v>ZIM510137962-2</v>
      </c>
      <c r="N1384" s="24">
        <f>IF($A1384="","",WORKDAY($A1384,Settings!$C$9,HolidayDates))</f>
        <v>46212</v>
      </c>
      <c r="O1384" s="24">
        <f>IF($N1384="","",WORKDAY($N1384,Settings!$C$10,HolidayDates))</f>
        <v>46252</v>
      </c>
      <c r="P1384" s="10" t="s">
        <v>501</v>
      </c>
      <c r="Q1384" s="52" t="str">
        <f t="shared" si="240"/>
        <v>Collected</v>
      </c>
      <c r="R1384" s="55" t="str">
        <f t="shared" si="241"/>
        <v>2026-07</v>
      </c>
      <c r="S1384" s="55">
        <f>IF(OR($B1384="",$F1384="",$R1384=""),"",SUMIFS(tblIssues[Qty Issued],tblIssues[Staff ID],$B1384,tblIssues[Item Name],$F1384,tblIssues[Month],$R1384))</f>
        <v>500</v>
      </c>
      <c r="T1384" s="56">
        <f>IF($I1384="","",$I1384*Settings!$C$11)</f>
        <v>500</v>
      </c>
      <c r="U1384" s="57" t="str">
        <f t="shared" si="238"/>
        <v>OK</v>
      </c>
      <c r="V1384" s="55" t="str">
        <f t="shared" si="242"/>
        <v/>
      </c>
      <c r="W1384" s="55" t="str">
        <f>IF($V1384="","",IF(COUNTIF($V$5:$V1384,$V1384)=1,1,""))</f>
        <v/>
      </c>
      <c r="X1384" s="58" t="str">
        <f>IF($W1384="","",MAX($X$4:X1383)+1)</f>
        <v/>
      </c>
      <c r="Y1384" s="62"/>
      <c r="Z1384" s="62"/>
      <c r="AA1384" s="64" t="str">
        <f>IF($C1384="","",IFERROR(INDEX('Staff Directory'!$E$5:$E$594,MATCH($C1384,'Staff Directory'!$B$5:$B$594,0)),""))</f>
        <v>firstname134.lastname134@example.com</v>
      </c>
      <c r="AB1384" s="64" t="str">
        <f>IF($C1384="","",IF(ISNUMBER(SEARCH($D1384,Settings!$C$15)),"Pickup","Dispatch"))</f>
        <v>Pickup</v>
      </c>
      <c r="AC1384" s="64" t="str">
        <f t="shared" si="243"/>
        <v>Supply order ready for pickup</v>
      </c>
      <c r="AD1384" s="64" t="str">
        <f t="shared" si="234"/>
        <v>Dear PSW,
Your order is ready for pickup from Sample Branch, Wed-Fri 9am-4pm.</v>
      </c>
      <c r="AE1384" s="64" t="str">
        <f t="shared" si="235"/>
        <v>mailto:firstname134.lastname134@example.com?subject=Supply%20order%20ready%20for%20pickup&amp;body=Dear%20PSW%2C%0A%0AYour%20order%20is%20ready%20for%20pickup%20from%20Sample%20Branch%2C%20Wed-Fri%209am-4pm.</v>
      </c>
      <c r="AF1384" s="89" t="str">
        <f t="shared" si="244"/>
        <v>Draft email</v>
      </c>
      <c r="AG1384" s="64" t="str">
        <f>IF($C1384="","",IFERROR(INDEX('Staff Directory'!$K$595:$K$599,MATCH($C1384,'Staff Directory'!$B$5:$B$599,0)),$D1384))</f>
        <v>PSW</v>
      </c>
      <c r="AH1384" t="str">
        <f>IF($C1384="","",IFERROR(INDEX('Staff Directory'!$I$595:$I$599,MATCH($C1384,'Staff Directory'!$B$5:$B$599,0))&amp;" "&amp;INDEX('Staff Directory'!$J$595:$J$599,MATCH($C1384,'Staff Directory'!$B$5:$B$599,0)),$AG1384))</f>
        <v>PSW</v>
      </c>
      <c r="AI1384" s="102"/>
      <c r="AJ1384" s="101">
        <f>IF($F1384="","",SUMIFS($J$5:$J1384,$F$5:$F1384,$F1384))</f>
        <v>86500</v>
      </c>
      <c r="AK1384" s="101">
        <f t="shared" si="236"/>
        <v>86001</v>
      </c>
      <c r="AL1384" s="66" t="str" cm="1">
        <f t="array" ref="AL1384">IF($F1384="","",IFERROR(INDEX('Lot Balance'!$B$5:$B$500,MATCH(1,INDEX(('Lot Balance'!$A$5:$A$500=$F1384)*('Lot Balance'!$K$5:$K$500&lt;$AK1384)*('Lot Balance'!$K$5:$K$500+'Lot Balance'!$D$5:$D$500&gt;=$AK1384),0),0)),""))</f>
        <v>ZIM510137962-2</v>
      </c>
      <c r="AM1384" s="66" t="str" cm="1">
        <f t="array" ref="AM1384">IF($F1384="","",IFERROR(INDEX('Lot Balance'!$B$5:$B$500,MATCH(1,INDEX(('Lot Balance'!$A$5:$A$500=$F1384)*('Lot Balance'!$K$5:$K$500&lt;$AJ1384)*('Lot Balance'!$K$5:$K$500+'Lot Balance'!$D$5:$D$500&gt;=$AJ1384),0),0)),""))</f>
        <v>ZIM510137962-2</v>
      </c>
      <c r="AN1384" s="66" t="str">
        <f>IF($F1384="","",IF($AI1384&lt;&gt;"",IF(COUNTIFS('Lot Balance'!$A$5:$A$500,$F1384,'Lot Balance'!$B$5:$B$500,$AI1384)=0,"⚠ override is not a lot of this item",IF($AI1384=$AL1384,"Override = FEFO","Override - FEFO says "&amp;$AL1384)),IF($AL1384="","⚠ no receipt on file for this item",IF($AM1384&lt;&gt;$AL1384,"FEFO auto - split, also "&amp;$AM1384,"FEFO auto"))))</f>
        <v>FEFO auto</v>
      </c>
      <c r="AO1384" s="114"/>
    </row>
    <row r="1385" spans="1:41" x14ac:dyDescent="0.35">
      <c r="A1385" s="74">
        <v>46204</v>
      </c>
      <c r="B1385" s="18" t="str">
        <f>IF($C1385="","",IFERROR(INDEX('Staff Directory'!$A$5:$A$594,MATCH($C1385,'Staff Directory'!$B$5:$B$594,0)),"⚠ unknown staff"))</f>
        <v>PSW-074-A5</v>
      </c>
      <c r="C1385" s="49" t="s">
        <v>1050</v>
      </c>
      <c r="D1385" s="19" t="str">
        <f>IF($B1385="","",IFERROR(INDEX('Staff Directory'!$C$5:$C$594,MATCH($B1385,'Staff Directory'!$A$5:$A$594,0)),""))</f>
        <v>PSW</v>
      </c>
      <c r="E1385" s="19" t="str">
        <f>IF($B1385="","",IFERROR(INDEX('Staff Directory'!$D$5:$D$594,MATCH($B1385,'Staff Directory'!$A$5:$A$594,0)),""))</f>
        <v>A5</v>
      </c>
      <c r="F1385" s="9" t="s">
        <v>137</v>
      </c>
      <c r="G1385" s="18" t="str">
        <f>IF($F1385="","",IFERROR(INDEX(Items!$B$5:$B$597,MATCH($F1385,Items!$A$5:$A$597,0)),"⚠ not in Items"))</f>
        <v>Sanitizer</v>
      </c>
      <c r="H1385" s="19" t="str">
        <f>IF($F1385="","",IFERROR(INDEX(Items!$C$5:$C$597,MATCH($F1385,Items!$A$5:$A$597,0)),""))</f>
        <v>118 ML</v>
      </c>
      <c r="I1385" s="23">
        <f>IF($F1385="","",IFERROR(INDEX(Items!$E$5:$E$597,MATCH($F1385,Items!$A$5:$A$597,0)),""))</f>
        <v>2</v>
      </c>
      <c r="J1385" s="115">
        <f>IF(tblIssues[[#This Row],[Qty Override]]&lt;&gt;"",tblIssues[[#This Row],[Qty Override]],IF(tblIssues[[#This Row],[Standard Issue]]="","",tblIssues[[#This Row],[Standard Issue]]))</f>
        <v>2</v>
      </c>
      <c r="K1385" s="20">
        <f>IF($F1385="","",IFERROR(INDEX(Items!$D$5:$D$597,MATCH($F1385,Items!$A$5:$A$597,0)),""))</f>
        <v>4.49</v>
      </c>
      <c r="L1385" s="21">
        <f t="shared" si="239"/>
        <v>8.98</v>
      </c>
      <c r="M1385" s="9" t="str">
        <f t="shared" si="237"/>
        <v>563963-7</v>
      </c>
      <c r="N1385" s="24">
        <f>IF($A1385="","",WORKDAY($A1385,Settings!$C$9,HolidayDates))</f>
        <v>46212</v>
      </c>
      <c r="O1385" s="24">
        <f>IF($N1385="","",WORKDAY($N1385,Settings!$C$10,HolidayDates))</f>
        <v>46252</v>
      </c>
      <c r="P1385" s="10" t="s">
        <v>501</v>
      </c>
      <c r="Q1385" s="52" t="str">
        <f t="shared" si="240"/>
        <v>Collected</v>
      </c>
      <c r="R1385" s="55" t="str">
        <f t="shared" si="241"/>
        <v>2026-07</v>
      </c>
      <c r="S1385" s="55">
        <f>IF(OR($B1385="",$F1385="",$R1385=""),"",SUMIFS(tblIssues[Qty Issued],tblIssues[Staff ID],$B1385,tblIssues[Item Name],$F1385,tblIssues[Month],$R1385))</f>
        <v>2</v>
      </c>
      <c r="T1385" s="56">
        <f>IF($I1385="","",$I1385*Settings!$C$11)</f>
        <v>2</v>
      </c>
      <c r="U1385" s="57" t="str">
        <f t="shared" si="238"/>
        <v>OK</v>
      </c>
      <c r="V1385" s="55" t="str">
        <f t="shared" si="242"/>
        <v/>
      </c>
      <c r="W1385" s="55" t="str">
        <f>IF($V1385="","",IF(COUNTIF($V$5:$V1385,$V1385)=1,1,""))</f>
        <v/>
      </c>
      <c r="X1385" s="58" t="str">
        <f>IF($W1385="","",MAX($X$4:X1384)+1)</f>
        <v/>
      </c>
      <c r="Y1385" s="62"/>
      <c r="Z1385" s="62"/>
      <c r="AA1385" s="64" t="str">
        <f>IF($C1385="","",IFERROR(INDEX('Staff Directory'!$E$5:$E$594,MATCH($C1385,'Staff Directory'!$B$5:$B$594,0)),""))</f>
        <v>firstname134.lastname134@example.com</v>
      </c>
      <c r="AB1385" s="64" t="str">
        <f>IF($C1385="","",IF(ISNUMBER(SEARCH($D1385,Settings!$C$15)),"Pickup","Dispatch"))</f>
        <v>Pickup</v>
      </c>
      <c r="AC1385" s="64" t="str">
        <f t="shared" si="243"/>
        <v>Supply order ready for pickup</v>
      </c>
      <c r="AD1385" s="64" t="str">
        <f t="shared" si="234"/>
        <v>Dear PSW,
Your order is ready for pickup from Sample Branch, Wed-Fri 9am-4pm.</v>
      </c>
      <c r="AE1385" s="64" t="str">
        <f t="shared" si="235"/>
        <v>mailto:firstname134.lastname134@example.com?subject=Supply%20order%20ready%20for%20pickup&amp;body=Dear%20PSW%2C%0A%0AYour%20order%20is%20ready%20for%20pickup%20from%20Sample%20Branch%2C%20Wed-Fri%209am-4pm.</v>
      </c>
      <c r="AF1385" s="89" t="str">
        <f t="shared" si="244"/>
        <v>Draft email</v>
      </c>
      <c r="AG1385" s="64" t="str">
        <f>IF($C1385="","",IFERROR(INDEX('Staff Directory'!$K$595:$K$599,MATCH($C1385,'Staff Directory'!$B$5:$B$599,0)),$D1385))</f>
        <v>PSW</v>
      </c>
      <c r="AH1385" t="str">
        <f>IF($C1385="","",IFERROR(INDEX('Staff Directory'!$I$595:$I$599,MATCH($C1385,'Staff Directory'!$B$5:$B$599,0))&amp;" "&amp;INDEX('Staff Directory'!$J$595:$J$599,MATCH($C1385,'Staff Directory'!$B$5:$B$599,0)),$AG1385))</f>
        <v>PSW</v>
      </c>
      <c r="AI1385" s="102"/>
      <c r="AJ1385" s="101">
        <f>IF($F1385="","",SUMIFS($J$5:$J1385,$F$5:$F1385,$F1385))</f>
        <v>124</v>
      </c>
      <c r="AK1385" s="101">
        <f t="shared" si="236"/>
        <v>123</v>
      </c>
      <c r="AL1385" s="66" t="str" cm="1">
        <f t="array" ref="AL1385">IF($F1385="","",IFERROR(INDEX('Lot Balance'!$B$5:$B$500,MATCH(1,INDEX(('Lot Balance'!$A$5:$A$500=$F1385)*('Lot Balance'!$K$5:$K$500&lt;$AK1385)*('Lot Balance'!$K$5:$K$500+'Lot Balance'!$D$5:$D$500&gt;=$AK1385),0),0)),""))</f>
        <v>563963-7</v>
      </c>
      <c r="AM1385" s="66" t="str" cm="1">
        <f t="array" ref="AM1385">IF($F1385="","",IFERROR(INDEX('Lot Balance'!$B$5:$B$500,MATCH(1,INDEX(('Lot Balance'!$A$5:$A$500=$F1385)*('Lot Balance'!$K$5:$K$500&lt;$AJ1385)*('Lot Balance'!$K$5:$K$500+'Lot Balance'!$D$5:$D$500&gt;=$AJ1385),0),0)),""))</f>
        <v>563963-7</v>
      </c>
      <c r="AN1385" s="66" t="str">
        <f>IF($F1385="","",IF($AI1385&lt;&gt;"",IF(COUNTIFS('Lot Balance'!$A$5:$A$500,$F1385,'Lot Balance'!$B$5:$B$500,$AI1385)=0,"⚠ override is not a lot of this item",IF($AI1385=$AL1385,"Override = FEFO","Override - FEFO says "&amp;$AL1385)),IF($AL1385="","⚠ no receipt on file for this item",IF($AM1385&lt;&gt;$AL1385,"FEFO auto - split, also "&amp;$AM1385,"FEFO auto"))))</f>
        <v>FEFO auto</v>
      </c>
      <c r="AO1385" s="114"/>
    </row>
    <row r="1386" spans="1:41" x14ac:dyDescent="0.35">
      <c r="A1386" s="74">
        <v>46204</v>
      </c>
      <c r="B1386" s="18" t="str">
        <f>IF($C1386="","",IFERROR(INDEX('Staff Directory'!$A$5:$A$594,MATCH($C1386,'Staff Directory'!$B$5:$B$594,0)),"⚠ unknown staff"))</f>
        <v>PSW-074-A5</v>
      </c>
      <c r="C1386" s="49" t="s">
        <v>1050</v>
      </c>
      <c r="D1386" s="19" t="str">
        <f>IF($B1386="","",IFERROR(INDEX('Staff Directory'!$C$5:$C$594,MATCH($B1386,'Staff Directory'!$A$5:$A$594,0)),""))</f>
        <v>PSW</v>
      </c>
      <c r="E1386" s="19" t="str">
        <f>IF($B1386="","",IFERROR(INDEX('Staff Directory'!$D$5:$D$594,MATCH($B1386,'Staff Directory'!$A$5:$A$594,0)),""))</f>
        <v>A5</v>
      </c>
      <c r="F1386" s="9" t="s">
        <v>115</v>
      </c>
      <c r="G1386" s="18" t="str">
        <f>IF($F1386="","",IFERROR(INDEX(Items!$B$5:$B$597,MATCH($F1386,Items!$A$5:$A$597,0)),"⚠ not in Items"))</f>
        <v>Wipes</v>
      </c>
      <c r="H1386" s="19">
        <f>IF($F1386="","",IFERROR(INDEX(Items!$C$5:$C$597,MATCH($F1386,Items!$A$5:$A$597,0)),""))</f>
        <v>80</v>
      </c>
      <c r="I1386" s="23">
        <f>IF($F1386="","",IFERROR(INDEX(Items!$E$5:$E$597,MATCH($F1386,Items!$A$5:$A$597,0)),""))</f>
        <v>80</v>
      </c>
      <c r="J1386" s="115">
        <f>IF(tblIssues[[#This Row],[Qty Override]]&lt;&gt;"",tblIssues[[#This Row],[Qty Override]],IF(tblIssues[[#This Row],[Standard Issue]]="","",tblIssues[[#This Row],[Standard Issue]]))</f>
        <v>80</v>
      </c>
      <c r="K1386" s="20">
        <f>IF($F1386="","",IFERROR(INDEX(Items!$D$5:$D$597,MATCH($F1386,Items!$A$5:$A$597,0)),""))</f>
        <v>0.1</v>
      </c>
      <c r="L1386" s="21">
        <f t="shared" si="239"/>
        <v>8</v>
      </c>
      <c r="M1386" s="9" t="str">
        <f t="shared" si="237"/>
        <v>LYSL500290</v>
      </c>
      <c r="N1386" s="24">
        <f>IF($A1386="","",WORKDAY($A1386,Settings!$C$9,HolidayDates))</f>
        <v>46212</v>
      </c>
      <c r="O1386" s="24">
        <f>IF($N1386="","",WORKDAY($N1386,Settings!$C$10,HolidayDates))</f>
        <v>46252</v>
      </c>
      <c r="P1386" s="10" t="s">
        <v>501</v>
      </c>
      <c r="Q1386" s="52" t="str">
        <f t="shared" si="240"/>
        <v>Collected</v>
      </c>
      <c r="R1386" s="55" t="str">
        <f t="shared" si="241"/>
        <v>2026-07</v>
      </c>
      <c r="S1386" s="55">
        <f>IF(OR($B1386="",$F1386="",$R1386=""),"",SUMIFS(tblIssues[Qty Issued],tblIssues[Staff ID],$B1386,tblIssues[Item Name],$F1386,tblIssues[Month],$R1386))</f>
        <v>80</v>
      </c>
      <c r="T1386" s="56">
        <f>IF($I1386="","",$I1386*Settings!$C$11)</f>
        <v>80</v>
      </c>
      <c r="U1386" s="57" t="str">
        <f t="shared" si="238"/>
        <v>OK</v>
      </c>
      <c r="V1386" s="55" t="str">
        <f t="shared" si="242"/>
        <v/>
      </c>
      <c r="W1386" s="55" t="str">
        <f>IF($V1386="","",IF(COUNTIF($V$5:$V1386,$V1386)=1,1,""))</f>
        <v/>
      </c>
      <c r="X1386" s="58" t="str">
        <f>IF($W1386="","",MAX($X$4:X1385)+1)</f>
        <v/>
      </c>
      <c r="Y1386" s="62"/>
      <c r="Z1386" s="62"/>
      <c r="AA1386" s="64" t="str">
        <f>IF($C1386="","",IFERROR(INDEX('Staff Directory'!$E$5:$E$594,MATCH($C1386,'Staff Directory'!$B$5:$B$594,0)),""))</f>
        <v>firstname134.lastname134@example.com</v>
      </c>
      <c r="AB1386" s="64" t="str">
        <f>IF($C1386="","",IF(ISNUMBER(SEARCH($D1386,Settings!$C$15)),"Pickup","Dispatch"))</f>
        <v>Pickup</v>
      </c>
      <c r="AC1386" s="64" t="str">
        <f t="shared" si="243"/>
        <v>Supply order ready for pickup</v>
      </c>
      <c r="AD1386" s="64" t="str">
        <f t="shared" si="234"/>
        <v>Dear PSW,
Your order is ready for pickup from Sample Branch, Wed-Fri 9am-4pm.</v>
      </c>
      <c r="AE1386" s="64" t="str">
        <f t="shared" si="235"/>
        <v>mailto:firstname134.lastname134@example.com?subject=Supply%20order%20ready%20for%20pickup&amp;body=Dear%20PSW%2C%0A%0AYour%20order%20is%20ready%20for%20pickup%20from%20Sample%20Branch%2C%20Wed-Fri%209am-4pm.</v>
      </c>
      <c r="AF1386" s="89" t="str">
        <f t="shared" si="244"/>
        <v>Draft email</v>
      </c>
      <c r="AG1386" s="64" t="str">
        <f>IF($C1386="","",IFERROR(INDEX('Staff Directory'!$K$595:$K$599,MATCH($C1386,'Staff Directory'!$B$5:$B$599,0)),$D1386))</f>
        <v>PSW</v>
      </c>
      <c r="AH1386" t="str">
        <f>IF($C1386="","",IFERROR(INDEX('Staff Directory'!$I$595:$I$599,MATCH($C1386,'Staff Directory'!$B$5:$B$599,0))&amp;" "&amp;INDEX('Staff Directory'!$J$595:$J$599,MATCH($C1386,'Staff Directory'!$B$5:$B$599,0)),$AG1386))</f>
        <v>PSW</v>
      </c>
      <c r="AI1386" s="102"/>
      <c r="AJ1386" s="101">
        <f>IF($F1386="","",SUMIFS($J$5:$J1386,$F$5:$F1386,$F1386))</f>
        <v>19120</v>
      </c>
      <c r="AK1386" s="101">
        <f t="shared" si="236"/>
        <v>19041</v>
      </c>
      <c r="AL1386" s="66" t="str" cm="1">
        <f t="array" ref="AL1386">IF($F1386="","",IFERROR(INDEX('Lot Balance'!$B$5:$B$500,MATCH(1,INDEX(('Lot Balance'!$A$5:$A$500=$F1386)*('Lot Balance'!$K$5:$K$500&lt;$AK1386)*('Lot Balance'!$K$5:$K$500+'Lot Balance'!$D$5:$D$500&gt;=$AK1386),0),0)),""))</f>
        <v>LYSL500290</v>
      </c>
      <c r="AM1386" s="66" t="str" cm="1">
        <f t="array" ref="AM1386">IF($F1386="","",IFERROR(INDEX('Lot Balance'!$B$5:$B$500,MATCH(1,INDEX(('Lot Balance'!$A$5:$A$500=$F1386)*('Lot Balance'!$K$5:$K$500&lt;$AJ1386)*('Lot Balance'!$K$5:$K$500+'Lot Balance'!$D$5:$D$500&gt;=$AJ1386),0),0)),""))</f>
        <v>LYSL500290</v>
      </c>
      <c r="AN1386" s="66" t="str">
        <f>IF($F1386="","",IF($AI1386&lt;&gt;"",IF(COUNTIFS('Lot Balance'!$A$5:$A$500,$F1386,'Lot Balance'!$B$5:$B$500,$AI1386)=0,"⚠ override is not a lot of this item",IF($AI1386=$AL1386,"Override = FEFO","Override - FEFO says "&amp;$AL1386)),IF($AL1386="","⚠ no receipt on file for this item",IF($AM1386&lt;&gt;$AL1386,"FEFO auto - split, also "&amp;$AM1386,"FEFO auto"))))</f>
        <v>FEFO auto</v>
      </c>
      <c r="AO1386" s="114"/>
    </row>
    <row r="1387" spans="1:41" x14ac:dyDescent="0.35">
      <c r="A1387" s="74">
        <v>46204</v>
      </c>
      <c r="B1387" s="18" t="str">
        <f>IF($C1387="","",IFERROR(INDEX('Staff Directory'!$A$5:$A$594,MATCH($C1387,'Staff Directory'!$B$5:$B$594,0)),"⚠ unknown staff"))</f>
        <v>PSW-074-A5</v>
      </c>
      <c r="C1387" s="49" t="s">
        <v>1050</v>
      </c>
      <c r="D1387" s="19" t="str">
        <f>IF($B1387="","",IFERROR(INDEX('Staff Directory'!$C$5:$C$594,MATCH($B1387,'Staff Directory'!$A$5:$A$594,0)),""))</f>
        <v>PSW</v>
      </c>
      <c r="E1387" s="19" t="str">
        <f>IF($B1387="","",IFERROR(INDEX('Staff Directory'!$D$5:$D$594,MATCH($B1387,'Staff Directory'!$A$5:$A$594,0)),""))</f>
        <v>A5</v>
      </c>
      <c r="F1387" s="9" t="s">
        <v>156</v>
      </c>
      <c r="G1387" s="18" t="str">
        <f>IF($F1387="","",IFERROR(INDEX(Items!$B$5:$B$597,MATCH($F1387,Items!$A$5:$A$597,0)),"⚠ not in Items"))</f>
        <v>Masks</v>
      </c>
      <c r="H1387" s="19" t="str">
        <f>IF($F1387="","",IFERROR(INDEX(Items!$C$5:$C$597,MATCH($F1387,Items!$A$5:$A$597,0)),""))</f>
        <v>One Size</v>
      </c>
      <c r="I1387" s="23">
        <f>IF($F1387="","",IFERROR(INDEX(Items!$E$5:$E$597,MATCH($F1387,Items!$A$5:$A$597,0)),""))</f>
        <v>50</v>
      </c>
      <c r="J1387" s="115">
        <f>IF(tblIssues[[#This Row],[Qty Override]]&lt;&gt;"",tblIssues[[#This Row],[Qty Override]],IF(tblIssues[[#This Row],[Standard Issue]]="","",tblIssues[[#This Row],[Standard Issue]]))</f>
        <v>50</v>
      </c>
      <c r="K1387" s="20">
        <f>IF($F1387="","",IFERROR(INDEX(Items!$D$5:$D$597,MATCH($F1387,Items!$A$5:$A$597,0)),""))</f>
        <v>0.25</v>
      </c>
      <c r="L1387" s="21">
        <f t="shared" si="239"/>
        <v>12.5</v>
      </c>
      <c r="M1387" s="9" t="str">
        <f t="shared" si="237"/>
        <v>24HA2050A7396</v>
      </c>
      <c r="N1387" s="24">
        <f>IF($A1387="","",WORKDAY($A1387,Settings!$C$9,HolidayDates))</f>
        <v>46212</v>
      </c>
      <c r="O1387" s="24">
        <f>IF($N1387="","",WORKDAY($N1387,Settings!$C$10,HolidayDates))</f>
        <v>46252</v>
      </c>
      <c r="P1387" s="10" t="s">
        <v>501</v>
      </c>
      <c r="Q1387" s="52" t="str">
        <f t="shared" si="240"/>
        <v>Collected</v>
      </c>
      <c r="R1387" s="55" t="str">
        <f t="shared" si="241"/>
        <v>2026-07</v>
      </c>
      <c r="S1387" s="55">
        <f>IF(OR($B1387="",$F1387="",$R1387=""),"",SUMIFS(tblIssues[Qty Issued],tblIssues[Staff ID],$B1387,tblIssues[Item Name],$F1387,tblIssues[Month],$R1387))</f>
        <v>50</v>
      </c>
      <c r="T1387" s="56">
        <f>IF($I1387="","",$I1387*Settings!$C$11)</f>
        <v>50</v>
      </c>
      <c r="U1387" s="57" t="str">
        <f t="shared" si="238"/>
        <v>OK</v>
      </c>
      <c r="V1387" s="55" t="str">
        <f t="shared" si="242"/>
        <v/>
      </c>
      <c r="W1387" s="55" t="str">
        <f>IF($V1387="","",IF(COUNTIF($V$5:$V1387,$V1387)=1,1,""))</f>
        <v/>
      </c>
      <c r="X1387" s="58" t="str">
        <f>IF($W1387="","",MAX($X$4:X1386)+1)</f>
        <v/>
      </c>
      <c r="Y1387" s="62"/>
      <c r="Z1387" s="62"/>
      <c r="AA1387" s="64" t="str">
        <f>IF($C1387="","",IFERROR(INDEX('Staff Directory'!$E$5:$E$594,MATCH($C1387,'Staff Directory'!$B$5:$B$594,0)),""))</f>
        <v>firstname134.lastname134@example.com</v>
      </c>
      <c r="AB1387" s="64" t="str">
        <f>IF($C1387="","",IF(ISNUMBER(SEARCH($D1387,Settings!$C$15)),"Pickup","Dispatch"))</f>
        <v>Pickup</v>
      </c>
      <c r="AC1387" s="64" t="str">
        <f t="shared" si="243"/>
        <v>Supply order ready for pickup</v>
      </c>
      <c r="AD1387" s="64" t="str">
        <f t="shared" si="234"/>
        <v>Dear PSW,
Your order is ready for pickup from Sample Branch, Wed-Fri 9am-4pm.</v>
      </c>
      <c r="AE1387" s="64" t="str">
        <f t="shared" si="235"/>
        <v>mailto:firstname134.lastname134@example.com?subject=Supply%20order%20ready%20for%20pickup&amp;body=Dear%20PSW%2C%0A%0AYour%20order%20is%20ready%20for%20pickup%20from%20Sample%20Branch%2C%20Wed-Fri%209am-4pm.</v>
      </c>
      <c r="AF1387" s="89" t="str">
        <f t="shared" si="244"/>
        <v>Draft email</v>
      </c>
      <c r="AG1387" s="64" t="str">
        <f>IF($C1387="","",IFERROR(INDEX('Staff Directory'!$K$595:$K$599,MATCH($C1387,'Staff Directory'!$B$5:$B$599,0)),$D1387))</f>
        <v>PSW</v>
      </c>
      <c r="AH1387" t="str">
        <f>IF($C1387="","",IFERROR(INDEX('Staff Directory'!$I$595:$I$599,MATCH($C1387,'Staff Directory'!$B$5:$B$599,0))&amp;" "&amp;INDEX('Staff Directory'!$J$595:$J$599,MATCH($C1387,'Staff Directory'!$B$5:$B$599,0)),$AG1387))</f>
        <v>PSW</v>
      </c>
      <c r="AI1387" s="102"/>
      <c r="AJ1387" s="101">
        <f>IF($F1387="","",SUMIFS($J$5:$J1387,$F$5:$F1387,$F1387))</f>
        <v>12050</v>
      </c>
      <c r="AK1387" s="101">
        <f t="shared" si="236"/>
        <v>12001</v>
      </c>
      <c r="AL1387" s="66" t="str" cm="1">
        <f t="array" ref="AL1387">IF($F1387="","",IFERROR(INDEX('Lot Balance'!$B$5:$B$500,MATCH(1,INDEX(('Lot Balance'!$A$5:$A$500=$F1387)*('Lot Balance'!$K$5:$K$500&lt;$AK1387)*('Lot Balance'!$K$5:$K$500+'Lot Balance'!$D$5:$D$500&gt;=$AK1387),0),0)),""))</f>
        <v>24HA2050A7396</v>
      </c>
      <c r="AM1387" s="66" t="str" cm="1">
        <f t="array" ref="AM1387">IF($F1387="","",IFERROR(INDEX('Lot Balance'!$B$5:$B$500,MATCH(1,INDEX(('Lot Balance'!$A$5:$A$500=$F1387)*('Lot Balance'!$K$5:$K$500&lt;$AJ1387)*('Lot Balance'!$K$5:$K$500+'Lot Balance'!$D$5:$D$500&gt;=$AJ1387),0),0)),""))</f>
        <v>24HA2050A7396</v>
      </c>
      <c r="AN1387" s="66" t="str">
        <f>IF($F1387="","",IF($AI1387&lt;&gt;"",IF(COUNTIFS('Lot Balance'!$A$5:$A$500,$F1387,'Lot Balance'!$B$5:$B$500,$AI1387)=0,"⚠ override is not a lot of this item",IF($AI1387=$AL1387,"Override = FEFO","Override - FEFO says "&amp;$AL1387)),IF($AL1387="","⚠ no receipt on file for this item",IF($AM1387&lt;&gt;$AL1387,"FEFO auto - split, also "&amp;$AM1387,"FEFO auto"))))</f>
        <v>FEFO auto</v>
      </c>
      <c r="AO1387" s="114"/>
    </row>
    <row r="1388" spans="1:41" x14ac:dyDescent="0.35">
      <c r="A1388" s="74">
        <v>46204</v>
      </c>
      <c r="B1388" s="18" t="str">
        <f>IF($C1388="","",IFERROR(INDEX('Staff Directory'!$A$5:$A$594,MATCH($C1388,'Staff Directory'!$B$5:$B$594,0)),"⚠ unknown staff"))</f>
        <v>RN-006-A1</v>
      </c>
      <c r="C1388" s="49" t="s">
        <v>922</v>
      </c>
      <c r="D1388" s="19" t="str">
        <f>IF($B1388="","",IFERROR(INDEX('Staff Directory'!$C$5:$C$594,MATCH($B1388,'Staff Directory'!$A$5:$A$594,0)),""))</f>
        <v>RN</v>
      </c>
      <c r="E1388" s="19" t="str">
        <f>IF($B1388="","",IFERROR(INDEX('Staff Directory'!$D$5:$D$594,MATCH($B1388,'Staff Directory'!$A$5:$A$594,0)),""))</f>
        <v>A1</v>
      </c>
      <c r="F1388" s="9" t="s">
        <v>124</v>
      </c>
      <c r="G1388" s="18" t="str">
        <f>IF($F1388="","",IFERROR(INDEX(Items!$B$5:$B$597,MATCH($F1388,Items!$A$5:$A$597,0)),"⚠ not in Items"))</f>
        <v>Gloves</v>
      </c>
      <c r="H1388" s="19" t="str">
        <f>IF($F1388="","",IFERROR(INDEX(Items!$C$5:$C$597,MATCH($F1388,Items!$A$5:$A$597,0)),""))</f>
        <v>Large</v>
      </c>
      <c r="I1388" s="23">
        <f>IF($F1388="","",IFERROR(INDEX(Items!$E$5:$E$597,MATCH($F1388,Items!$A$5:$A$597,0)),""))</f>
        <v>500</v>
      </c>
      <c r="J1388" s="115">
        <f>IF(tblIssues[[#This Row],[Qty Override]]&lt;&gt;"",tblIssues[[#This Row],[Qty Override]],IF(tblIssues[[#This Row],[Standard Issue]]="","",tblIssues[[#This Row],[Standard Issue]]))</f>
        <v>500</v>
      </c>
      <c r="K1388" s="20">
        <f>IF($F1388="","",IFERROR(INDEX(Items!$D$5:$D$597,MATCH($F1388,Items!$A$5:$A$597,0)),""))</f>
        <v>5.5E-2</v>
      </c>
      <c r="L1388" s="21">
        <f t="shared" si="239"/>
        <v>27.5</v>
      </c>
      <c r="M1388" s="9" t="str">
        <f t="shared" si="237"/>
        <v>ZIM511139904-3</v>
      </c>
      <c r="N1388" s="24">
        <f>IF($A1388="","",WORKDAY($A1388,Settings!$C$9,HolidayDates))</f>
        <v>46212</v>
      </c>
      <c r="O1388" s="24">
        <f>IF($N1388="","",WORKDAY($N1388,Settings!$C$10,HolidayDates))</f>
        <v>46252</v>
      </c>
      <c r="P1388" s="10" t="s">
        <v>502</v>
      </c>
      <c r="Q1388" s="52" t="str">
        <f t="shared" si="240"/>
        <v>Collected</v>
      </c>
      <c r="R1388" s="55" t="str">
        <f t="shared" si="241"/>
        <v>2026-07</v>
      </c>
      <c r="S1388" s="55">
        <f>IF(OR($B1388="",$F1388="",$R1388=""),"",SUMIFS(tblIssues[Qty Issued],tblIssues[Staff ID],$B1388,tblIssues[Item Name],$F1388,tblIssues[Month],$R1388))</f>
        <v>500</v>
      </c>
      <c r="T1388" s="56">
        <f>IF($I1388="","",$I1388*Settings!$C$11)</f>
        <v>500</v>
      </c>
      <c r="U1388" s="57" t="str">
        <f t="shared" si="238"/>
        <v>OK</v>
      </c>
      <c r="V1388" s="55" t="str">
        <f t="shared" si="242"/>
        <v/>
      </c>
      <c r="W1388" s="55" t="str">
        <f>IF($V1388="","",IF(COUNTIF($V$5:$V1388,$V1388)=1,1,""))</f>
        <v/>
      </c>
      <c r="X1388" s="58" t="str">
        <f>IF($W1388="","",MAX($X$4:X1387)+1)</f>
        <v/>
      </c>
      <c r="Y1388" s="62"/>
      <c r="Z1388" s="62"/>
      <c r="AA1388" s="64" t="str">
        <f>IF($C1388="","",IFERROR(INDEX('Staff Directory'!$E$5:$E$594,MATCH($C1388,'Staff Directory'!$B$5:$B$594,0)),""))</f>
        <v>firstname006.lastname006@example.com</v>
      </c>
      <c r="AB1388" s="64" t="str">
        <f>IF($C1388="","",IF(ISNUMBER(SEARCH($D1388,Settings!$C$15)),"Pickup","Dispatch"))</f>
        <v>Dispatch</v>
      </c>
      <c r="AC1388" s="64" t="str">
        <f t="shared" si="243"/>
        <v>Supply order dispatched</v>
      </c>
      <c r="AD1388" s="64" t="str">
        <f t="shared" si="234"/>
        <v>Dear RN,
Your order has been dispatched and is in transit. Reply if undelivered.</v>
      </c>
      <c r="AE1388" s="64" t="str">
        <f t="shared" si="235"/>
        <v>mailto:firstname006.lastname006@example.com?subject=Supply%20order%20dispatched&amp;body=Dear%20RN%2C%0A%0AYour%20order%20has%20been%20dispatched%20and%20is%20in%20transit.%20Reply%20if%20undelivered.</v>
      </c>
      <c r="AF1388" s="89" t="str">
        <f t="shared" si="244"/>
        <v>Draft email</v>
      </c>
      <c r="AG1388" s="64" t="str">
        <f>IF($C1388="","",IFERROR(INDEX('Staff Directory'!$K$595:$K$599,MATCH($C1388,'Staff Directory'!$B$5:$B$599,0)),$D1388))</f>
        <v>RN</v>
      </c>
      <c r="AH1388" t="str">
        <f>IF($C1388="","",IFERROR(INDEX('Staff Directory'!$I$595:$I$599,MATCH($C1388,'Staff Directory'!$B$5:$B$599,0))&amp;" "&amp;INDEX('Staff Directory'!$J$595:$J$599,MATCH($C1388,'Staff Directory'!$B$5:$B$599,0)),$AG1388))</f>
        <v>RN</v>
      </c>
      <c r="AI1388" s="102"/>
      <c r="AJ1388" s="101">
        <f>IF($F1388="","",SUMIFS($J$5:$J1388,$F$5:$F1388,$F1388))</f>
        <v>38000</v>
      </c>
      <c r="AK1388" s="101">
        <f t="shared" si="236"/>
        <v>37501</v>
      </c>
      <c r="AL1388" s="66" t="str" cm="1">
        <f t="array" ref="AL1388">IF($F1388="","",IFERROR(INDEX('Lot Balance'!$B$5:$B$500,MATCH(1,INDEX(('Lot Balance'!$A$5:$A$500=$F1388)*('Lot Balance'!$K$5:$K$500&lt;$AK1388)*('Lot Balance'!$K$5:$K$500+'Lot Balance'!$D$5:$D$500&gt;=$AK1388),0),0)),""))</f>
        <v>ZIM511139904-3</v>
      </c>
      <c r="AM1388" s="66" t="str" cm="1">
        <f t="array" ref="AM1388">IF($F1388="","",IFERROR(INDEX('Lot Balance'!$B$5:$B$500,MATCH(1,INDEX(('Lot Balance'!$A$5:$A$500=$F1388)*('Lot Balance'!$K$5:$K$500&lt;$AJ1388)*('Lot Balance'!$K$5:$K$500+'Lot Balance'!$D$5:$D$500&gt;=$AJ1388),0),0)),""))</f>
        <v>ZIM511139904-3</v>
      </c>
      <c r="AN1388" s="66" t="str">
        <f>IF($F1388="","",IF($AI1388&lt;&gt;"",IF(COUNTIFS('Lot Balance'!$A$5:$A$500,$F1388,'Lot Balance'!$B$5:$B$500,$AI1388)=0,"⚠ override is not a lot of this item",IF($AI1388=$AL1388,"Override = FEFO","Override - FEFO says "&amp;$AL1388)),IF($AL1388="","⚠ no receipt on file for this item",IF($AM1388&lt;&gt;$AL1388,"FEFO auto - split, also "&amp;$AM1388,"FEFO auto"))))</f>
        <v>FEFO auto</v>
      </c>
      <c r="AO1388" s="114"/>
    </row>
    <row r="1389" spans="1:41" x14ac:dyDescent="0.35">
      <c r="A1389" s="74">
        <v>46204</v>
      </c>
      <c r="B1389" s="18" t="str">
        <f>IF($C1389="","",IFERROR(INDEX('Staff Directory'!$A$5:$A$594,MATCH($C1389,'Staff Directory'!$B$5:$B$594,0)),"⚠ unknown staff"))</f>
        <v>RN-006-A1</v>
      </c>
      <c r="C1389" s="49" t="s">
        <v>922</v>
      </c>
      <c r="D1389" s="19" t="str">
        <f>IF($B1389="","",IFERROR(INDEX('Staff Directory'!$C$5:$C$594,MATCH($B1389,'Staff Directory'!$A$5:$A$594,0)),""))</f>
        <v>RN</v>
      </c>
      <c r="E1389" s="19" t="str">
        <f>IF($B1389="","",IFERROR(INDEX('Staff Directory'!$D$5:$D$594,MATCH($B1389,'Staff Directory'!$A$5:$A$594,0)),""))</f>
        <v>A1</v>
      </c>
      <c r="F1389" s="9" t="s">
        <v>137</v>
      </c>
      <c r="G1389" s="18" t="str">
        <f>IF($F1389="","",IFERROR(INDEX(Items!$B$5:$B$597,MATCH($F1389,Items!$A$5:$A$597,0)),"⚠ not in Items"))</f>
        <v>Sanitizer</v>
      </c>
      <c r="H1389" s="19" t="str">
        <f>IF($F1389="","",IFERROR(INDEX(Items!$C$5:$C$597,MATCH($F1389,Items!$A$5:$A$597,0)),""))</f>
        <v>118 ML</v>
      </c>
      <c r="I1389" s="23">
        <f>IF($F1389="","",IFERROR(INDEX(Items!$E$5:$E$597,MATCH($F1389,Items!$A$5:$A$597,0)),""))</f>
        <v>2</v>
      </c>
      <c r="J1389" s="115">
        <f>IF(tblIssues[[#This Row],[Qty Override]]&lt;&gt;"",tblIssues[[#This Row],[Qty Override]],IF(tblIssues[[#This Row],[Standard Issue]]="","",tblIssues[[#This Row],[Standard Issue]]))</f>
        <v>2</v>
      </c>
      <c r="K1389" s="20">
        <f>IF($F1389="","",IFERROR(INDEX(Items!$D$5:$D$597,MATCH($F1389,Items!$A$5:$A$597,0)),""))</f>
        <v>4.49</v>
      </c>
      <c r="L1389" s="21">
        <f t="shared" si="239"/>
        <v>8.98</v>
      </c>
      <c r="M1389" s="9" t="str">
        <f t="shared" si="237"/>
        <v>563963-7</v>
      </c>
      <c r="N1389" s="24">
        <f>IF($A1389="","",WORKDAY($A1389,Settings!$C$9,HolidayDates))</f>
        <v>46212</v>
      </c>
      <c r="O1389" s="24">
        <f>IF($N1389="","",WORKDAY($N1389,Settings!$C$10,HolidayDates))</f>
        <v>46252</v>
      </c>
      <c r="P1389" s="10" t="s">
        <v>502</v>
      </c>
      <c r="Q1389" s="52" t="str">
        <f t="shared" si="240"/>
        <v>Collected</v>
      </c>
      <c r="R1389" s="55" t="str">
        <f t="shared" si="241"/>
        <v>2026-07</v>
      </c>
      <c r="S1389" s="55">
        <f>IF(OR($B1389="",$F1389="",$R1389=""),"",SUMIFS(tblIssues[Qty Issued],tblIssues[Staff ID],$B1389,tblIssues[Item Name],$F1389,tblIssues[Month],$R1389))</f>
        <v>2</v>
      </c>
      <c r="T1389" s="56">
        <f>IF($I1389="","",$I1389*Settings!$C$11)</f>
        <v>2</v>
      </c>
      <c r="U1389" s="57" t="str">
        <f t="shared" si="238"/>
        <v>OK</v>
      </c>
      <c r="V1389" s="55" t="str">
        <f t="shared" si="242"/>
        <v/>
      </c>
      <c r="W1389" s="55" t="str">
        <f>IF($V1389="","",IF(COUNTIF($V$5:$V1389,$V1389)=1,1,""))</f>
        <v/>
      </c>
      <c r="X1389" s="58" t="str">
        <f>IF($W1389="","",MAX($X$4:X1388)+1)</f>
        <v/>
      </c>
      <c r="Y1389" s="62"/>
      <c r="Z1389" s="62"/>
      <c r="AA1389" s="64" t="str">
        <f>IF($C1389="","",IFERROR(INDEX('Staff Directory'!$E$5:$E$594,MATCH($C1389,'Staff Directory'!$B$5:$B$594,0)),""))</f>
        <v>firstname006.lastname006@example.com</v>
      </c>
      <c r="AB1389" s="64" t="str">
        <f>IF($C1389="","",IF(ISNUMBER(SEARCH($D1389,Settings!$C$15)),"Pickup","Dispatch"))</f>
        <v>Dispatch</v>
      </c>
      <c r="AC1389" s="64" t="str">
        <f t="shared" si="243"/>
        <v>Supply order dispatched</v>
      </c>
      <c r="AD1389" s="64" t="str">
        <f t="shared" si="234"/>
        <v>Dear RN,
Your order has been dispatched and is in transit. Reply if undelivered.</v>
      </c>
      <c r="AE1389" s="64" t="str">
        <f t="shared" si="235"/>
        <v>mailto:firstname006.lastname006@example.com?subject=Supply%20order%20dispatched&amp;body=Dear%20RN%2C%0A%0AYour%20order%20has%20been%20dispatched%20and%20is%20in%20transit.%20Reply%20if%20undelivered.</v>
      </c>
      <c r="AF1389" s="89" t="str">
        <f t="shared" si="244"/>
        <v>Draft email</v>
      </c>
      <c r="AG1389" s="64" t="str">
        <f>IF($C1389="","",IFERROR(INDEX('Staff Directory'!$K$595:$K$599,MATCH($C1389,'Staff Directory'!$B$5:$B$599,0)),$D1389))</f>
        <v>RN</v>
      </c>
      <c r="AH1389" t="str">
        <f>IF($C1389="","",IFERROR(INDEX('Staff Directory'!$I$595:$I$599,MATCH($C1389,'Staff Directory'!$B$5:$B$599,0))&amp;" "&amp;INDEX('Staff Directory'!$J$595:$J$599,MATCH($C1389,'Staff Directory'!$B$5:$B$599,0)),$AG1389))</f>
        <v>RN</v>
      </c>
      <c r="AI1389" s="102"/>
      <c r="AJ1389" s="101">
        <f>IF($F1389="","",SUMIFS($J$5:$J1389,$F$5:$F1389,$F1389))</f>
        <v>126</v>
      </c>
      <c r="AK1389" s="101">
        <f t="shared" si="236"/>
        <v>125</v>
      </c>
      <c r="AL1389" s="66" t="str" cm="1">
        <f t="array" ref="AL1389">IF($F1389="","",IFERROR(INDEX('Lot Balance'!$B$5:$B$500,MATCH(1,INDEX(('Lot Balance'!$A$5:$A$500=$F1389)*('Lot Balance'!$K$5:$K$500&lt;$AK1389)*('Lot Balance'!$K$5:$K$500+'Lot Balance'!$D$5:$D$500&gt;=$AK1389),0),0)),""))</f>
        <v>563963-7</v>
      </c>
      <c r="AM1389" s="66" t="str" cm="1">
        <f t="array" ref="AM1389">IF($F1389="","",IFERROR(INDEX('Lot Balance'!$B$5:$B$500,MATCH(1,INDEX(('Lot Balance'!$A$5:$A$500=$F1389)*('Lot Balance'!$K$5:$K$500&lt;$AJ1389)*('Lot Balance'!$K$5:$K$500+'Lot Balance'!$D$5:$D$500&gt;=$AJ1389),0),0)),""))</f>
        <v>563963-7</v>
      </c>
      <c r="AN1389" s="66" t="str">
        <f>IF($F1389="","",IF($AI1389&lt;&gt;"",IF(COUNTIFS('Lot Balance'!$A$5:$A$500,$F1389,'Lot Balance'!$B$5:$B$500,$AI1389)=0,"⚠ override is not a lot of this item",IF($AI1389=$AL1389,"Override = FEFO","Override - FEFO says "&amp;$AL1389)),IF($AL1389="","⚠ no receipt on file for this item",IF($AM1389&lt;&gt;$AL1389,"FEFO auto - split, also "&amp;$AM1389,"FEFO auto"))))</f>
        <v>FEFO auto</v>
      </c>
      <c r="AO1389" s="114"/>
    </row>
    <row r="1390" spans="1:41" x14ac:dyDescent="0.35">
      <c r="A1390" s="74">
        <v>46204</v>
      </c>
      <c r="B1390" s="18" t="str">
        <f>IF($C1390="","",IFERROR(INDEX('Staff Directory'!$A$5:$A$594,MATCH($C1390,'Staff Directory'!$B$5:$B$594,0)),"⚠ unknown staff"))</f>
        <v>RN-006-A1</v>
      </c>
      <c r="C1390" s="49" t="s">
        <v>922</v>
      </c>
      <c r="D1390" s="19" t="str">
        <f>IF($B1390="","",IFERROR(INDEX('Staff Directory'!$C$5:$C$594,MATCH($B1390,'Staff Directory'!$A$5:$A$594,0)),""))</f>
        <v>RN</v>
      </c>
      <c r="E1390" s="19" t="str">
        <f>IF($B1390="","",IFERROR(INDEX('Staff Directory'!$D$5:$D$594,MATCH($B1390,'Staff Directory'!$A$5:$A$594,0)),""))</f>
        <v>A1</v>
      </c>
      <c r="F1390" s="9" t="s">
        <v>115</v>
      </c>
      <c r="G1390" s="18" t="str">
        <f>IF($F1390="","",IFERROR(INDEX(Items!$B$5:$B$597,MATCH($F1390,Items!$A$5:$A$597,0)),"⚠ not in Items"))</f>
        <v>Wipes</v>
      </c>
      <c r="H1390" s="19">
        <f>IF($F1390="","",IFERROR(INDEX(Items!$C$5:$C$597,MATCH($F1390,Items!$A$5:$A$597,0)),""))</f>
        <v>80</v>
      </c>
      <c r="I1390" s="23">
        <f>IF($F1390="","",IFERROR(INDEX(Items!$E$5:$E$597,MATCH($F1390,Items!$A$5:$A$597,0)),""))</f>
        <v>80</v>
      </c>
      <c r="J1390" s="115">
        <f>IF(tblIssues[[#This Row],[Qty Override]]&lt;&gt;"",tblIssues[[#This Row],[Qty Override]],IF(tblIssues[[#This Row],[Standard Issue]]="","",tblIssues[[#This Row],[Standard Issue]]))</f>
        <v>80</v>
      </c>
      <c r="K1390" s="20">
        <f>IF($F1390="","",IFERROR(INDEX(Items!$D$5:$D$597,MATCH($F1390,Items!$A$5:$A$597,0)),""))</f>
        <v>0.1</v>
      </c>
      <c r="L1390" s="21">
        <f t="shared" si="239"/>
        <v>8</v>
      </c>
      <c r="M1390" s="9" t="str">
        <f t="shared" si="237"/>
        <v>LYSL500290</v>
      </c>
      <c r="N1390" s="24">
        <f>IF($A1390="","",WORKDAY($A1390,Settings!$C$9,HolidayDates))</f>
        <v>46212</v>
      </c>
      <c r="O1390" s="24">
        <f>IF($N1390="","",WORKDAY($N1390,Settings!$C$10,HolidayDates))</f>
        <v>46252</v>
      </c>
      <c r="P1390" s="10" t="s">
        <v>502</v>
      </c>
      <c r="Q1390" s="52" t="str">
        <f t="shared" si="240"/>
        <v>Collected</v>
      </c>
      <c r="R1390" s="55" t="str">
        <f t="shared" si="241"/>
        <v>2026-07</v>
      </c>
      <c r="S1390" s="55">
        <f>IF(OR($B1390="",$F1390="",$R1390=""),"",SUMIFS(tblIssues[Qty Issued],tblIssues[Staff ID],$B1390,tblIssues[Item Name],$F1390,tblIssues[Month],$R1390))</f>
        <v>80</v>
      </c>
      <c r="T1390" s="56">
        <f>IF($I1390="","",$I1390*Settings!$C$11)</f>
        <v>80</v>
      </c>
      <c r="U1390" s="57" t="str">
        <f t="shared" si="238"/>
        <v>OK</v>
      </c>
      <c r="V1390" s="55" t="str">
        <f t="shared" si="242"/>
        <v/>
      </c>
      <c r="W1390" s="55" t="str">
        <f>IF($V1390="","",IF(COUNTIF($V$5:$V1390,$V1390)=1,1,""))</f>
        <v/>
      </c>
      <c r="X1390" s="58" t="str">
        <f>IF($W1390="","",MAX($X$4:X1389)+1)</f>
        <v/>
      </c>
      <c r="Y1390" s="62"/>
      <c r="Z1390" s="62"/>
      <c r="AA1390" s="64" t="str">
        <f>IF($C1390="","",IFERROR(INDEX('Staff Directory'!$E$5:$E$594,MATCH($C1390,'Staff Directory'!$B$5:$B$594,0)),""))</f>
        <v>firstname006.lastname006@example.com</v>
      </c>
      <c r="AB1390" s="64" t="str">
        <f>IF($C1390="","",IF(ISNUMBER(SEARCH($D1390,Settings!$C$15)),"Pickup","Dispatch"))</f>
        <v>Dispatch</v>
      </c>
      <c r="AC1390" s="64" t="str">
        <f t="shared" si="243"/>
        <v>Supply order dispatched</v>
      </c>
      <c r="AD1390" s="64" t="str">
        <f t="shared" si="234"/>
        <v>Dear RN,
Your order has been dispatched and is in transit. Reply if undelivered.</v>
      </c>
      <c r="AE1390" s="64" t="str">
        <f t="shared" si="235"/>
        <v>mailto:firstname006.lastname006@example.com?subject=Supply%20order%20dispatched&amp;body=Dear%20RN%2C%0A%0AYour%20order%20has%20been%20dispatched%20and%20is%20in%20transit.%20Reply%20if%20undelivered.</v>
      </c>
      <c r="AF1390" s="89" t="str">
        <f t="shared" si="244"/>
        <v>Draft email</v>
      </c>
      <c r="AG1390" s="64" t="str">
        <f>IF($C1390="","",IFERROR(INDEX('Staff Directory'!$K$595:$K$599,MATCH($C1390,'Staff Directory'!$B$5:$B$599,0)),$D1390))</f>
        <v>RN</v>
      </c>
      <c r="AH1390" t="str">
        <f>IF($C1390="","",IFERROR(INDEX('Staff Directory'!$I$595:$I$599,MATCH($C1390,'Staff Directory'!$B$5:$B$599,0))&amp;" "&amp;INDEX('Staff Directory'!$J$595:$J$599,MATCH($C1390,'Staff Directory'!$B$5:$B$599,0)),$AG1390))</f>
        <v>RN</v>
      </c>
      <c r="AI1390" s="102"/>
      <c r="AJ1390" s="101">
        <f>IF($F1390="","",SUMIFS($J$5:$J1390,$F$5:$F1390,$F1390))</f>
        <v>19200</v>
      </c>
      <c r="AK1390" s="101">
        <f t="shared" si="236"/>
        <v>19121</v>
      </c>
      <c r="AL1390" s="66" t="str" cm="1">
        <f t="array" ref="AL1390">IF($F1390="","",IFERROR(INDEX('Lot Balance'!$B$5:$B$500,MATCH(1,INDEX(('Lot Balance'!$A$5:$A$500=$F1390)*('Lot Balance'!$K$5:$K$500&lt;$AK1390)*('Lot Balance'!$K$5:$K$500+'Lot Balance'!$D$5:$D$500&gt;=$AK1390),0),0)),""))</f>
        <v>LYSL500290</v>
      </c>
      <c r="AM1390" s="66" t="str" cm="1">
        <f t="array" ref="AM1390">IF($F1390="","",IFERROR(INDEX('Lot Balance'!$B$5:$B$500,MATCH(1,INDEX(('Lot Balance'!$A$5:$A$500=$F1390)*('Lot Balance'!$K$5:$K$500&lt;$AJ1390)*('Lot Balance'!$K$5:$K$500+'Lot Balance'!$D$5:$D$500&gt;=$AJ1390),0),0)),""))</f>
        <v>LYSL500290</v>
      </c>
      <c r="AN1390" s="66" t="str">
        <f>IF($F1390="","",IF($AI1390&lt;&gt;"",IF(COUNTIFS('Lot Balance'!$A$5:$A$500,$F1390,'Lot Balance'!$B$5:$B$500,$AI1390)=0,"⚠ override is not a lot of this item",IF($AI1390=$AL1390,"Override = FEFO","Override - FEFO says "&amp;$AL1390)),IF($AL1390="","⚠ no receipt on file for this item",IF($AM1390&lt;&gt;$AL1390,"FEFO auto - split, also "&amp;$AM1390,"FEFO auto"))))</f>
        <v>FEFO auto</v>
      </c>
      <c r="AO1390" s="114"/>
    </row>
    <row r="1391" spans="1:41" x14ac:dyDescent="0.35">
      <c r="A1391" s="74">
        <v>46204</v>
      </c>
      <c r="B1391" s="18" t="str">
        <f>IF($C1391="","",IFERROR(INDEX('Staff Directory'!$A$5:$A$594,MATCH($C1391,'Staff Directory'!$B$5:$B$594,0)),"⚠ unknown staff"))</f>
        <v>RN-006-A1</v>
      </c>
      <c r="C1391" s="49" t="s">
        <v>922</v>
      </c>
      <c r="D1391" s="19" t="str">
        <f>IF($B1391="","",IFERROR(INDEX('Staff Directory'!$C$5:$C$594,MATCH($B1391,'Staff Directory'!$A$5:$A$594,0)),""))</f>
        <v>RN</v>
      </c>
      <c r="E1391" s="19" t="str">
        <f>IF($B1391="","",IFERROR(INDEX('Staff Directory'!$D$5:$D$594,MATCH($B1391,'Staff Directory'!$A$5:$A$594,0)),""))</f>
        <v>A1</v>
      </c>
      <c r="F1391" s="9" t="s">
        <v>156</v>
      </c>
      <c r="G1391" s="18" t="str">
        <f>IF($F1391="","",IFERROR(INDEX(Items!$B$5:$B$597,MATCH($F1391,Items!$A$5:$A$597,0)),"⚠ not in Items"))</f>
        <v>Masks</v>
      </c>
      <c r="H1391" s="19" t="str">
        <f>IF($F1391="","",IFERROR(INDEX(Items!$C$5:$C$597,MATCH($F1391,Items!$A$5:$A$597,0)),""))</f>
        <v>One Size</v>
      </c>
      <c r="I1391" s="23">
        <f>IF($F1391="","",IFERROR(INDEX(Items!$E$5:$E$597,MATCH($F1391,Items!$A$5:$A$597,0)),""))</f>
        <v>50</v>
      </c>
      <c r="J1391" s="115">
        <f>IF(tblIssues[[#This Row],[Qty Override]]&lt;&gt;"",tblIssues[[#This Row],[Qty Override]],IF(tblIssues[[#This Row],[Standard Issue]]="","",tblIssues[[#This Row],[Standard Issue]]))</f>
        <v>50</v>
      </c>
      <c r="K1391" s="20">
        <f>IF($F1391="","",IFERROR(INDEX(Items!$D$5:$D$597,MATCH($F1391,Items!$A$5:$A$597,0)),""))</f>
        <v>0.25</v>
      </c>
      <c r="L1391" s="21">
        <f t="shared" si="239"/>
        <v>12.5</v>
      </c>
      <c r="M1391" s="9" t="str">
        <f t="shared" si="237"/>
        <v>24HA2050A7396</v>
      </c>
      <c r="N1391" s="24">
        <f>IF($A1391="","",WORKDAY($A1391,Settings!$C$9,HolidayDates))</f>
        <v>46212</v>
      </c>
      <c r="O1391" s="24">
        <f>IF($N1391="","",WORKDAY($N1391,Settings!$C$10,HolidayDates))</f>
        <v>46252</v>
      </c>
      <c r="P1391" s="10" t="s">
        <v>502</v>
      </c>
      <c r="Q1391" s="52" t="str">
        <f t="shared" si="240"/>
        <v>Collected</v>
      </c>
      <c r="R1391" s="55" t="str">
        <f t="shared" si="241"/>
        <v>2026-07</v>
      </c>
      <c r="S1391" s="55">
        <f>IF(OR($B1391="",$F1391="",$R1391=""),"",SUMIFS(tblIssues[Qty Issued],tblIssues[Staff ID],$B1391,tblIssues[Item Name],$F1391,tblIssues[Month],$R1391))</f>
        <v>50</v>
      </c>
      <c r="T1391" s="56">
        <f>IF($I1391="","",$I1391*Settings!$C$11)</f>
        <v>50</v>
      </c>
      <c r="U1391" s="57" t="str">
        <f t="shared" si="238"/>
        <v>OK</v>
      </c>
      <c r="V1391" s="55" t="str">
        <f t="shared" si="242"/>
        <v/>
      </c>
      <c r="W1391" s="55" t="str">
        <f>IF($V1391="","",IF(COUNTIF($V$5:$V1391,$V1391)=1,1,""))</f>
        <v/>
      </c>
      <c r="X1391" s="58" t="str">
        <f>IF($W1391="","",MAX($X$4:X1390)+1)</f>
        <v/>
      </c>
      <c r="Y1391" s="62"/>
      <c r="Z1391" s="62"/>
      <c r="AA1391" s="64" t="str">
        <f>IF($C1391="","",IFERROR(INDEX('Staff Directory'!$E$5:$E$594,MATCH($C1391,'Staff Directory'!$B$5:$B$594,0)),""))</f>
        <v>firstname006.lastname006@example.com</v>
      </c>
      <c r="AB1391" s="64" t="str">
        <f>IF($C1391="","",IF(ISNUMBER(SEARCH($D1391,Settings!$C$15)),"Pickup","Dispatch"))</f>
        <v>Dispatch</v>
      </c>
      <c r="AC1391" s="64" t="str">
        <f t="shared" si="243"/>
        <v>Supply order dispatched</v>
      </c>
      <c r="AD1391" s="64" t="str">
        <f t="shared" si="234"/>
        <v>Dear RN,
Your order has been dispatched and is in transit. Reply if undelivered.</v>
      </c>
      <c r="AE1391" s="64" t="str">
        <f t="shared" si="235"/>
        <v>mailto:firstname006.lastname006@example.com?subject=Supply%20order%20dispatched&amp;body=Dear%20RN%2C%0A%0AYour%20order%20has%20been%20dispatched%20and%20is%20in%20transit.%20Reply%20if%20undelivered.</v>
      </c>
      <c r="AF1391" s="89" t="str">
        <f t="shared" si="244"/>
        <v>Draft email</v>
      </c>
      <c r="AG1391" s="64" t="str">
        <f>IF($C1391="","",IFERROR(INDEX('Staff Directory'!$K$595:$K$599,MATCH($C1391,'Staff Directory'!$B$5:$B$599,0)),$D1391))</f>
        <v>RN</v>
      </c>
      <c r="AH1391" t="str">
        <f>IF($C1391="","",IFERROR(INDEX('Staff Directory'!$I$595:$I$599,MATCH($C1391,'Staff Directory'!$B$5:$B$599,0))&amp;" "&amp;INDEX('Staff Directory'!$J$595:$J$599,MATCH($C1391,'Staff Directory'!$B$5:$B$599,0)),$AG1391))</f>
        <v>RN</v>
      </c>
      <c r="AI1391" s="102"/>
      <c r="AJ1391" s="101">
        <f>IF($F1391="","",SUMIFS($J$5:$J1391,$F$5:$F1391,$F1391))</f>
        <v>12100</v>
      </c>
      <c r="AK1391" s="101">
        <f t="shared" si="236"/>
        <v>12051</v>
      </c>
      <c r="AL1391" s="66" t="str" cm="1">
        <f t="array" ref="AL1391">IF($F1391="","",IFERROR(INDEX('Lot Balance'!$B$5:$B$500,MATCH(1,INDEX(('Lot Balance'!$A$5:$A$500=$F1391)*('Lot Balance'!$K$5:$K$500&lt;$AK1391)*('Lot Balance'!$K$5:$K$500+'Lot Balance'!$D$5:$D$500&gt;=$AK1391),0),0)),""))</f>
        <v>24HA2050A7396</v>
      </c>
      <c r="AM1391" s="66" t="str" cm="1">
        <f t="array" ref="AM1391">IF($F1391="","",IFERROR(INDEX('Lot Balance'!$B$5:$B$500,MATCH(1,INDEX(('Lot Balance'!$A$5:$A$500=$F1391)*('Lot Balance'!$K$5:$K$500&lt;$AJ1391)*('Lot Balance'!$K$5:$K$500+'Lot Balance'!$D$5:$D$500&gt;=$AJ1391),0),0)),""))</f>
        <v>24HA2050A7396</v>
      </c>
      <c r="AN1391" s="66" t="str">
        <f>IF($F1391="","",IF($AI1391&lt;&gt;"",IF(COUNTIFS('Lot Balance'!$A$5:$A$500,$F1391,'Lot Balance'!$B$5:$B$500,$AI1391)=0,"⚠ override is not a lot of this item",IF($AI1391=$AL1391,"Override = FEFO","Override - FEFO says "&amp;$AL1391)),IF($AL1391="","⚠ no receipt on file for this item",IF($AM1391&lt;&gt;$AL1391,"FEFO auto - split, also "&amp;$AM1391,"FEFO auto"))))</f>
        <v>FEFO auto</v>
      </c>
      <c r="AO1391" s="114"/>
    </row>
    <row r="1392" spans="1:41" x14ac:dyDescent="0.35">
      <c r="A1392" s="74">
        <v>46204</v>
      </c>
      <c r="B1392" s="18" t="str">
        <f>IF($C1392="","",IFERROR(INDEX('Staff Directory'!$A$5:$A$594,MATCH($C1392,'Staff Directory'!$B$5:$B$594,0)),"⚠ unknown staff"))</f>
        <v>RN-033-A2</v>
      </c>
      <c r="C1392" s="49" t="s">
        <v>954</v>
      </c>
      <c r="D1392" s="19" t="str">
        <f>IF($B1392="","",IFERROR(INDEX('Staff Directory'!$C$5:$C$594,MATCH($B1392,'Staff Directory'!$A$5:$A$594,0)),""))</f>
        <v>RN</v>
      </c>
      <c r="E1392" s="19" t="str">
        <f>IF($B1392="","",IFERROR(INDEX('Staff Directory'!$D$5:$D$594,MATCH($B1392,'Staff Directory'!$A$5:$A$594,0)),""))</f>
        <v>A2</v>
      </c>
      <c r="F1392" s="9" t="s">
        <v>124</v>
      </c>
      <c r="G1392" s="18" t="str">
        <f>IF($F1392="","",IFERROR(INDEX(Items!$B$5:$B$597,MATCH($F1392,Items!$A$5:$A$597,0)),"⚠ not in Items"))</f>
        <v>Gloves</v>
      </c>
      <c r="H1392" s="19" t="str">
        <f>IF($F1392="","",IFERROR(INDEX(Items!$C$5:$C$597,MATCH($F1392,Items!$A$5:$A$597,0)),""))</f>
        <v>Large</v>
      </c>
      <c r="I1392" s="23">
        <f>IF($F1392="","",IFERROR(INDEX(Items!$E$5:$E$597,MATCH($F1392,Items!$A$5:$A$597,0)),""))</f>
        <v>500</v>
      </c>
      <c r="J1392" s="115">
        <f>IF(tblIssues[[#This Row],[Qty Override]]&lt;&gt;"",tblIssues[[#This Row],[Qty Override]],IF(tblIssues[[#This Row],[Standard Issue]]="","",tblIssues[[#This Row],[Standard Issue]]))</f>
        <v>500</v>
      </c>
      <c r="K1392" s="20">
        <f>IF($F1392="","",IFERROR(INDEX(Items!$D$5:$D$597,MATCH($F1392,Items!$A$5:$A$597,0)),""))</f>
        <v>5.5E-2</v>
      </c>
      <c r="L1392" s="21">
        <f t="shared" si="239"/>
        <v>27.5</v>
      </c>
      <c r="M1392" s="9" t="str">
        <f t="shared" si="237"/>
        <v>ZIM511139904-3</v>
      </c>
      <c r="N1392" s="24">
        <f>IF($A1392="","",WORKDAY($A1392,Settings!$C$9,HolidayDates))</f>
        <v>46212</v>
      </c>
      <c r="O1392" s="24">
        <f>IF($N1392="","",WORKDAY($N1392,Settings!$C$10,HolidayDates))</f>
        <v>46252</v>
      </c>
      <c r="P1392" s="10" t="s">
        <v>502</v>
      </c>
      <c r="Q1392" s="52" t="str">
        <f t="shared" si="240"/>
        <v>Collected</v>
      </c>
      <c r="R1392" s="55" t="str">
        <f t="shared" si="241"/>
        <v>2026-07</v>
      </c>
      <c r="S1392" s="55">
        <f>IF(OR($B1392="",$F1392="",$R1392=""),"",SUMIFS(tblIssues[Qty Issued],tblIssues[Staff ID],$B1392,tblIssues[Item Name],$F1392,tblIssues[Month],$R1392))</f>
        <v>500</v>
      </c>
      <c r="T1392" s="56">
        <f>IF($I1392="","",$I1392*Settings!$C$11)</f>
        <v>500</v>
      </c>
      <c r="U1392" s="57" t="str">
        <f t="shared" si="238"/>
        <v>OK</v>
      </c>
      <c r="V1392" s="55" t="str">
        <f t="shared" si="242"/>
        <v/>
      </c>
      <c r="W1392" s="55" t="str">
        <f>IF($V1392="","",IF(COUNTIF($V$5:$V1392,$V1392)=1,1,""))</f>
        <v/>
      </c>
      <c r="X1392" s="58" t="str">
        <f>IF($W1392="","",MAX($X$4:X1391)+1)</f>
        <v/>
      </c>
      <c r="Y1392" s="62"/>
      <c r="Z1392" s="62"/>
      <c r="AA1392" s="64" t="str">
        <f>IF($C1392="","",IFERROR(INDEX('Staff Directory'!$E$5:$E$594,MATCH($C1392,'Staff Directory'!$B$5:$B$594,0)),""))</f>
        <v>firstname038.lastname038@example.com</v>
      </c>
      <c r="AB1392" s="64" t="str">
        <f>IF($C1392="","",IF(ISNUMBER(SEARCH($D1392,Settings!$C$15)),"Pickup","Dispatch"))</f>
        <v>Dispatch</v>
      </c>
      <c r="AC1392" s="64" t="str">
        <f t="shared" si="243"/>
        <v>Supply order dispatched</v>
      </c>
      <c r="AD1392" s="64" t="str">
        <f t="shared" si="234"/>
        <v>Dear RN,
Your order has been dispatched and is in transit. Reply if undelivered.</v>
      </c>
      <c r="AE1392" s="64" t="str">
        <f t="shared" si="235"/>
        <v>mailto:firstname038.lastname038@example.com?subject=Supply%20order%20dispatched&amp;body=Dear%20RN%2C%0A%0AYour%20order%20has%20been%20dispatched%20and%20is%20in%20transit.%20Reply%20if%20undelivered.</v>
      </c>
      <c r="AF1392" s="89" t="str">
        <f t="shared" si="244"/>
        <v>Draft email</v>
      </c>
      <c r="AG1392" s="64" t="str">
        <f>IF($C1392="","",IFERROR(INDEX('Staff Directory'!$K$595:$K$599,MATCH($C1392,'Staff Directory'!$B$5:$B$599,0)),$D1392))</f>
        <v>RN</v>
      </c>
      <c r="AH1392" t="str">
        <f>IF($C1392="","",IFERROR(INDEX('Staff Directory'!$I$595:$I$599,MATCH($C1392,'Staff Directory'!$B$5:$B$599,0))&amp;" "&amp;INDEX('Staff Directory'!$J$595:$J$599,MATCH($C1392,'Staff Directory'!$B$5:$B$599,0)),$AG1392))</f>
        <v>RN</v>
      </c>
      <c r="AI1392" s="102"/>
      <c r="AJ1392" s="101">
        <f>IF($F1392="","",SUMIFS($J$5:$J1392,$F$5:$F1392,$F1392))</f>
        <v>38500</v>
      </c>
      <c r="AK1392" s="101">
        <f t="shared" si="236"/>
        <v>38001</v>
      </c>
      <c r="AL1392" s="66" t="str" cm="1">
        <f t="array" ref="AL1392">IF($F1392="","",IFERROR(INDEX('Lot Balance'!$B$5:$B$500,MATCH(1,INDEX(('Lot Balance'!$A$5:$A$500=$F1392)*('Lot Balance'!$K$5:$K$500&lt;$AK1392)*('Lot Balance'!$K$5:$K$500+'Lot Balance'!$D$5:$D$500&gt;=$AK1392),0),0)),""))</f>
        <v>ZIM511139904-3</v>
      </c>
      <c r="AM1392" s="66" t="str" cm="1">
        <f t="array" ref="AM1392">IF($F1392="","",IFERROR(INDEX('Lot Balance'!$B$5:$B$500,MATCH(1,INDEX(('Lot Balance'!$A$5:$A$500=$F1392)*('Lot Balance'!$K$5:$K$500&lt;$AJ1392)*('Lot Balance'!$K$5:$K$500+'Lot Balance'!$D$5:$D$500&gt;=$AJ1392),0),0)),""))</f>
        <v>ZIM511139904-3</v>
      </c>
      <c r="AN1392" s="66" t="str">
        <f>IF($F1392="","",IF($AI1392&lt;&gt;"",IF(COUNTIFS('Lot Balance'!$A$5:$A$500,$F1392,'Lot Balance'!$B$5:$B$500,$AI1392)=0,"⚠ override is not a lot of this item",IF($AI1392=$AL1392,"Override = FEFO","Override - FEFO says "&amp;$AL1392)),IF($AL1392="","⚠ no receipt on file for this item",IF($AM1392&lt;&gt;$AL1392,"FEFO auto - split, also "&amp;$AM1392,"FEFO auto"))))</f>
        <v>FEFO auto</v>
      </c>
      <c r="AO1392" s="114"/>
    </row>
    <row r="1393" spans="1:41" x14ac:dyDescent="0.35">
      <c r="A1393" s="74">
        <v>46204</v>
      </c>
      <c r="B1393" s="18" t="str">
        <f>IF($C1393="","",IFERROR(INDEX('Staff Directory'!$A$5:$A$594,MATCH($C1393,'Staff Directory'!$B$5:$B$594,0)),"⚠ unknown staff"))</f>
        <v>RN-033-A2</v>
      </c>
      <c r="C1393" s="49" t="s">
        <v>954</v>
      </c>
      <c r="D1393" s="19" t="str">
        <f>IF($B1393="","",IFERROR(INDEX('Staff Directory'!$C$5:$C$594,MATCH($B1393,'Staff Directory'!$A$5:$A$594,0)),""))</f>
        <v>RN</v>
      </c>
      <c r="E1393" s="19" t="str">
        <f>IF($B1393="","",IFERROR(INDEX('Staff Directory'!$D$5:$D$594,MATCH($B1393,'Staff Directory'!$A$5:$A$594,0)),""))</f>
        <v>A2</v>
      </c>
      <c r="F1393" s="9" t="s">
        <v>137</v>
      </c>
      <c r="G1393" s="18" t="str">
        <f>IF($F1393="","",IFERROR(INDEX(Items!$B$5:$B$597,MATCH($F1393,Items!$A$5:$A$597,0)),"⚠ not in Items"))</f>
        <v>Sanitizer</v>
      </c>
      <c r="H1393" s="19" t="str">
        <f>IF($F1393="","",IFERROR(INDEX(Items!$C$5:$C$597,MATCH($F1393,Items!$A$5:$A$597,0)),""))</f>
        <v>118 ML</v>
      </c>
      <c r="I1393" s="23">
        <f>IF($F1393="","",IFERROR(INDEX(Items!$E$5:$E$597,MATCH($F1393,Items!$A$5:$A$597,0)),""))</f>
        <v>2</v>
      </c>
      <c r="J1393" s="115">
        <f>IF(tblIssues[[#This Row],[Qty Override]]&lt;&gt;"",tblIssues[[#This Row],[Qty Override]],IF(tblIssues[[#This Row],[Standard Issue]]="","",tblIssues[[#This Row],[Standard Issue]]))</f>
        <v>2</v>
      </c>
      <c r="K1393" s="20">
        <f>IF($F1393="","",IFERROR(INDEX(Items!$D$5:$D$597,MATCH($F1393,Items!$A$5:$A$597,0)),""))</f>
        <v>4.49</v>
      </c>
      <c r="L1393" s="21">
        <f t="shared" si="239"/>
        <v>8.98</v>
      </c>
      <c r="M1393" s="9" t="str">
        <f t="shared" si="237"/>
        <v>563963-7</v>
      </c>
      <c r="N1393" s="24">
        <f>IF($A1393="","",WORKDAY($A1393,Settings!$C$9,HolidayDates))</f>
        <v>46212</v>
      </c>
      <c r="O1393" s="24">
        <f>IF($N1393="","",WORKDAY($N1393,Settings!$C$10,HolidayDates))</f>
        <v>46252</v>
      </c>
      <c r="P1393" s="10" t="s">
        <v>502</v>
      </c>
      <c r="Q1393" s="52" t="str">
        <f t="shared" si="240"/>
        <v>Collected</v>
      </c>
      <c r="R1393" s="55" t="str">
        <f t="shared" si="241"/>
        <v>2026-07</v>
      </c>
      <c r="S1393" s="55">
        <f>IF(OR($B1393="",$F1393="",$R1393=""),"",SUMIFS(tblIssues[Qty Issued],tblIssues[Staff ID],$B1393,tblIssues[Item Name],$F1393,tblIssues[Month],$R1393))</f>
        <v>2</v>
      </c>
      <c r="T1393" s="56">
        <f>IF($I1393="","",$I1393*Settings!$C$11)</f>
        <v>2</v>
      </c>
      <c r="U1393" s="57" t="str">
        <f t="shared" si="238"/>
        <v>OK</v>
      </c>
      <c r="V1393" s="55" t="str">
        <f t="shared" si="242"/>
        <v/>
      </c>
      <c r="W1393" s="55" t="str">
        <f>IF($V1393="","",IF(COUNTIF($V$5:$V1393,$V1393)=1,1,""))</f>
        <v/>
      </c>
      <c r="X1393" s="58" t="str">
        <f>IF($W1393="","",MAX($X$4:X1392)+1)</f>
        <v/>
      </c>
      <c r="Y1393" s="62"/>
      <c r="Z1393" s="62"/>
      <c r="AA1393" s="64" t="str">
        <f>IF($C1393="","",IFERROR(INDEX('Staff Directory'!$E$5:$E$594,MATCH($C1393,'Staff Directory'!$B$5:$B$594,0)),""))</f>
        <v>firstname038.lastname038@example.com</v>
      </c>
      <c r="AB1393" s="64" t="str">
        <f>IF($C1393="","",IF(ISNUMBER(SEARCH($D1393,Settings!$C$15)),"Pickup","Dispatch"))</f>
        <v>Dispatch</v>
      </c>
      <c r="AC1393" s="64" t="str">
        <f t="shared" si="243"/>
        <v>Supply order dispatched</v>
      </c>
      <c r="AD1393" s="64" t="str">
        <f t="shared" si="234"/>
        <v>Dear RN,
Your order has been dispatched and is in transit. Reply if undelivered.</v>
      </c>
      <c r="AE1393" s="64" t="str">
        <f t="shared" si="235"/>
        <v>mailto:firstname038.lastname038@example.com?subject=Supply%20order%20dispatched&amp;body=Dear%20RN%2C%0A%0AYour%20order%20has%20been%20dispatched%20and%20is%20in%20transit.%20Reply%20if%20undelivered.</v>
      </c>
      <c r="AF1393" s="89" t="str">
        <f t="shared" si="244"/>
        <v>Draft email</v>
      </c>
      <c r="AG1393" s="64" t="str">
        <f>IF($C1393="","",IFERROR(INDEX('Staff Directory'!$K$595:$K$599,MATCH($C1393,'Staff Directory'!$B$5:$B$599,0)),$D1393))</f>
        <v>RN</v>
      </c>
      <c r="AH1393" t="str">
        <f>IF($C1393="","",IFERROR(INDEX('Staff Directory'!$I$595:$I$599,MATCH($C1393,'Staff Directory'!$B$5:$B$599,0))&amp;" "&amp;INDEX('Staff Directory'!$J$595:$J$599,MATCH($C1393,'Staff Directory'!$B$5:$B$599,0)),$AG1393))</f>
        <v>RN</v>
      </c>
      <c r="AI1393" s="102"/>
      <c r="AJ1393" s="101">
        <f>IF($F1393="","",SUMIFS($J$5:$J1393,$F$5:$F1393,$F1393))</f>
        <v>128</v>
      </c>
      <c r="AK1393" s="101">
        <f t="shared" si="236"/>
        <v>127</v>
      </c>
      <c r="AL1393" s="66" t="str" cm="1">
        <f t="array" ref="AL1393">IF($F1393="","",IFERROR(INDEX('Lot Balance'!$B$5:$B$500,MATCH(1,INDEX(('Lot Balance'!$A$5:$A$500=$F1393)*('Lot Balance'!$K$5:$K$500&lt;$AK1393)*('Lot Balance'!$K$5:$K$500+'Lot Balance'!$D$5:$D$500&gt;=$AK1393),0),0)),""))</f>
        <v>563963-7</v>
      </c>
      <c r="AM1393" s="66" t="str" cm="1">
        <f t="array" ref="AM1393">IF($F1393="","",IFERROR(INDEX('Lot Balance'!$B$5:$B$500,MATCH(1,INDEX(('Lot Balance'!$A$5:$A$500=$F1393)*('Lot Balance'!$K$5:$K$500&lt;$AJ1393)*('Lot Balance'!$K$5:$K$500+'Lot Balance'!$D$5:$D$500&gt;=$AJ1393),0),0)),""))</f>
        <v>563963-7</v>
      </c>
      <c r="AN1393" s="66" t="str">
        <f>IF($F1393="","",IF($AI1393&lt;&gt;"",IF(COUNTIFS('Lot Balance'!$A$5:$A$500,$F1393,'Lot Balance'!$B$5:$B$500,$AI1393)=0,"⚠ override is not a lot of this item",IF($AI1393=$AL1393,"Override = FEFO","Override - FEFO says "&amp;$AL1393)),IF($AL1393="","⚠ no receipt on file for this item",IF($AM1393&lt;&gt;$AL1393,"FEFO auto - split, also "&amp;$AM1393,"FEFO auto"))))</f>
        <v>FEFO auto</v>
      </c>
      <c r="AO1393" s="114"/>
    </row>
    <row r="1394" spans="1:41" x14ac:dyDescent="0.35">
      <c r="A1394" s="74">
        <v>46204</v>
      </c>
      <c r="B1394" s="18" t="str">
        <f>IF($C1394="","",IFERROR(INDEX('Staff Directory'!$A$5:$A$594,MATCH($C1394,'Staff Directory'!$B$5:$B$594,0)),"⚠ unknown staff"))</f>
        <v>RN-033-A2</v>
      </c>
      <c r="C1394" s="49" t="s">
        <v>954</v>
      </c>
      <c r="D1394" s="19" t="str">
        <f>IF($B1394="","",IFERROR(INDEX('Staff Directory'!$C$5:$C$594,MATCH($B1394,'Staff Directory'!$A$5:$A$594,0)),""))</f>
        <v>RN</v>
      </c>
      <c r="E1394" s="19" t="str">
        <f>IF($B1394="","",IFERROR(INDEX('Staff Directory'!$D$5:$D$594,MATCH($B1394,'Staff Directory'!$A$5:$A$594,0)),""))</f>
        <v>A2</v>
      </c>
      <c r="F1394" s="9" t="s">
        <v>115</v>
      </c>
      <c r="G1394" s="18" t="str">
        <f>IF($F1394="","",IFERROR(INDEX(Items!$B$5:$B$597,MATCH($F1394,Items!$A$5:$A$597,0)),"⚠ not in Items"))</f>
        <v>Wipes</v>
      </c>
      <c r="H1394" s="19">
        <f>IF($F1394="","",IFERROR(INDEX(Items!$C$5:$C$597,MATCH($F1394,Items!$A$5:$A$597,0)),""))</f>
        <v>80</v>
      </c>
      <c r="I1394" s="23">
        <f>IF($F1394="","",IFERROR(INDEX(Items!$E$5:$E$597,MATCH($F1394,Items!$A$5:$A$597,0)),""))</f>
        <v>80</v>
      </c>
      <c r="J1394" s="115">
        <f>IF(tblIssues[[#This Row],[Qty Override]]&lt;&gt;"",tblIssues[[#This Row],[Qty Override]],IF(tblIssues[[#This Row],[Standard Issue]]="","",tblIssues[[#This Row],[Standard Issue]]))</f>
        <v>80</v>
      </c>
      <c r="K1394" s="20">
        <f>IF($F1394="","",IFERROR(INDEX(Items!$D$5:$D$597,MATCH($F1394,Items!$A$5:$A$597,0)),""))</f>
        <v>0.1</v>
      </c>
      <c r="L1394" s="21">
        <f t="shared" si="239"/>
        <v>8</v>
      </c>
      <c r="M1394" s="9" t="str">
        <f t="shared" si="237"/>
        <v>LYSL500290</v>
      </c>
      <c r="N1394" s="24">
        <f>IF($A1394="","",WORKDAY($A1394,Settings!$C$9,HolidayDates))</f>
        <v>46212</v>
      </c>
      <c r="O1394" s="24">
        <f>IF($N1394="","",WORKDAY($N1394,Settings!$C$10,HolidayDates))</f>
        <v>46252</v>
      </c>
      <c r="P1394" s="10" t="s">
        <v>502</v>
      </c>
      <c r="Q1394" s="52" t="str">
        <f t="shared" si="240"/>
        <v>Collected</v>
      </c>
      <c r="R1394" s="55" t="str">
        <f t="shared" si="241"/>
        <v>2026-07</v>
      </c>
      <c r="S1394" s="55">
        <f>IF(OR($B1394="",$F1394="",$R1394=""),"",SUMIFS(tblIssues[Qty Issued],tblIssues[Staff ID],$B1394,tblIssues[Item Name],$F1394,tblIssues[Month],$R1394))</f>
        <v>80</v>
      </c>
      <c r="T1394" s="56">
        <f>IF($I1394="","",$I1394*Settings!$C$11)</f>
        <v>80</v>
      </c>
      <c r="U1394" s="57" t="str">
        <f t="shared" si="238"/>
        <v>OK</v>
      </c>
      <c r="V1394" s="55" t="str">
        <f t="shared" si="242"/>
        <v/>
      </c>
      <c r="W1394" s="55" t="str">
        <f>IF($V1394="","",IF(COUNTIF($V$5:$V1394,$V1394)=1,1,""))</f>
        <v/>
      </c>
      <c r="X1394" s="58" t="str">
        <f>IF($W1394="","",MAX($X$4:X1393)+1)</f>
        <v/>
      </c>
      <c r="Y1394" s="62"/>
      <c r="Z1394" s="62"/>
      <c r="AA1394" s="64" t="str">
        <f>IF($C1394="","",IFERROR(INDEX('Staff Directory'!$E$5:$E$594,MATCH($C1394,'Staff Directory'!$B$5:$B$594,0)),""))</f>
        <v>firstname038.lastname038@example.com</v>
      </c>
      <c r="AB1394" s="64" t="str">
        <f>IF($C1394="","",IF(ISNUMBER(SEARCH($D1394,Settings!$C$15)),"Pickup","Dispatch"))</f>
        <v>Dispatch</v>
      </c>
      <c r="AC1394" s="64" t="str">
        <f t="shared" si="243"/>
        <v>Supply order dispatched</v>
      </c>
      <c r="AD1394" s="64" t="str">
        <f t="shared" si="234"/>
        <v>Dear RN,
Your order has been dispatched and is in transit. Reply if undelivered.</v>
      </c>
      <c r="AE1394" s="64" t="str">
        <f t="shared" si="235"/>
        <v>mailto:firstname038.lastname038@example.com?subject=Supply%20order%20dispatched&amp;body=Dear%20RN%2C%0A%0AYour%20order%20has%20been%20dispatched%20and%20is%20in%20transit.%20Reply%20if%20undelivered.</v>
      </c>
      <c r="AF1394" s="89" t="str">
        <f t="shared" si="244"/>
        <v>Draft email</v>
      </c>
      <c r="AG1394" s="64" t="str">
        <f>IF($C1394="","",IFERROR(INDEX('Staff Directory'!$K$595:$K$599,MATCH($C1394,'Staff Directory'!$B$5:$B$599,0)),$D1394))</f>
        <v>RN</v>
      </c>
      <c r="AH1394" t="str">
        <f>IF($C1394="","",IFERROR(INDEX('Staff Directory'!$I$595:$I$599,MATCH($C1394,'Staff Directory'!$B$5:$B$599,0))&amp;" "&amp;INDEX('Staff Directory'!$J$595:$J$599,MATCH($C1394,'Staff Directory'!$B$5:$B$599,0)),$AG1394))</f>
        <v>RN</v>
      </c>
      <c r="AI1394" s="102"/>
      <c r="AJ1394" s="101">
        <f>IF($F1394="","",SUMIFS($J$5:$J1394,$F$5:$F1394,$F1394))</f>
        <v>19280</v>
      </c>
      <c r="AK1394" s="101">
        <f t="shared" si="236"/>
        <v>19201</v>
      </c>
      <c r="AL1394" s="66" t="str" cm="1">
        <f t="array" ref="AL1394">IF($F1394="","",IFERROR(INDEX('Lot Balance'!$B$5:$B$500,MATCH(1,INDEX(('Lot Balance'!$A$5:$A$500=$F1394)*('Lot Balance'!$K$5:$K$500&lt;$AK1394)*('Lot Balance'!$K$5:$K$500+'Lot Balance'!$D$5:$D$500&gt;=$AK1394),0),0)),""))</f>
        <v>LYSL500290</v>
      </c>
      <c r="AM1394" s="66" t="str" cm="1">
        <f t="array" ref="AM1394">IF($F1394="","",IFERROR(INDEX('Lot Balance'!$B$5:$B$500,MATCH(1,INDEX(('Lot Balance'!$A$5:$A$500=$F1394)*('Lot Balance'!$K$5:$K$500&lt;$AJ1394)*('Lot Balance'!$K$5:$K$500+'Lot Balance'!$D$5:$D$500&gt;=$AJ1394),0),0)),""))</f>
        <v>LYSL500290</v>
      </c>
      <c r="AN1394" s="66" t="str">
        <f>IF($F1394="","",IF($AI1394&lt;&gt;"",IF(COUNTIFS('Lot Balance'!$A$5:$A$500,$F1394,'Lot Balance'!$B$5:$B$500,$AI1394)=0,"⚠ override is not a lot of this item",IF($AI1394=$AL1394,"Override = FEFO","Override - FEFO says "&amp;$AL1394)),IF($AL1394="","⚠ no receipt on file for this item",IF($AM1394&lt;&gt;$AL1394,"FEFO auto - split, also "&amp;$AM1394,"FEFO auto"))))</f>
        <v>FEFO auto</v>
      </c>
      <c r="AO1394" s="114"/>
    </row>
    <row r="1395" spans="1:41" x14ac:dyDescent="0.35">
      <c r="A1395" s="74">
        <v>46204</v>
      </c>
      <c r="B1395" s="18" t="str">
        <f>IF($C1395="","",IFERROR(INDEX('Staff Directory'!$A$5:$A$594,MATCH($C1395,'Staff Directory'!$B$5:$B$594,0)),"⚠ unknown staff"))</f>
        <v>RN-033-A2</v>
      </c>
      <c r="C1395" s="49" t="s">
        <v>954</v>
      </c>
      <c r="D1395" s="19" t="str">
        <f>IF($B1395="","",IFERROR(INDEX('Staff Directory'!$C$5:$C$594,MATCH($B1395,'Staff Directory'!$A$5:$A$594,0)),""))</f>
        <v>RN</v>
      </c>
      <c r="E1395" s="19" t="str">
        <f>IF($B1395="","",IFERROR(INDEX('Staff Directory'!$D$5:$D$594,MATCH($B1395,'Staff Directory'!$A$5:$A$594,0)),""))</f>
        <v>A2</v>
      </c>
      <c r="F1395" s="9" t="s">
        <v>156</v>
      </c>
      <c r="G1395" s="18" t="str">
        <f>IF($F1395="","",IFERROR(INDEX(Items!$B$5:$B$597,MATCH($F1395,Items!$A$5:$A$597,0)),"⚠ not in Items"))</f>
        <v>Masks</v>
      </c>
      <c r="H1395" s="19" t="str">
        <f>IF($F1395="","",IFERROR(INDEX(Items!$C$5:$C$597,MATCH($F1395,Items!$A$5:$A$597,0)),""))</f>
        <v>One Size</v>
      </c>
      <c r="I1395" s="23">
        <f>IF($F1395="","",IFERROR(INDEX(Items!$E$5:$E$597,MATCH($F1395,Items!$A$5:$A$597,0)),""))</f>
        <v>50</v>
      </c>
      <c r="J1395" s="115">
        <f>IF(tblIssues[[#This Row],[Qty Override]]&lt;&gt;"",tblIssues[[#This Row],[Qty Override]],IF(tblIssues[[#This Row],[Standard Issue]]="","",tblIssues[[#This Row],[Standard Issue]]))</f>
        <v>50</v>
      </c>
      <c r="K1395" s="20">
        <f>IF($F1395="","",IFERROR(INDEX(Items!$D$5:$D$597,MATCH($F1395,Items!$A$5:$A$597,0)),""))</f>
        <v>0.25</v>
      </c>
      <c r="L1395" s="21">
        <f t="shared" si="239"/>
        <v>12.5</v>
      </c>
      <c r="M1395" s="9" t="str">
        <f t="shared" si="237"/>
        <v>24HA2050A7396</v>
      </c>
      <c r="N1395" s="24">
        <f>IF($A1395="","",WORKDAY($A1395,Settings!$C$9,HolidayDates))</f>
        <v>46212</v>
      </c>
      <c r="O1395" s="24">
        <f>IF($N1395="","",WORKDAY($N1395,Settings!$C$10,HolidayDates))</f>
        <v>46252</v>
      </c>
      <c r="P1395" s="10" t="s">
        <v>502</v>
      </c>
      <c r="Q1395" s="52" t="str">
        <f t="shared" si="240"/>
        <v>Collected</v>
      </c>
      <c r="R1395" s="55" t="str">
        <f t="shared" si="241"/>
        <v>2026-07</v>
      </c>
      <c r="S1395" s="55">
        <f>IF(OR($B1395="",$F1395="",$R1395=""),"",SUMIFS(tblIssues[Qty Issued],tblIssues[Staff ID],$B1395,tblIssues[Item Name],$F1395,tblIssues[Month],$R1395))</f>
        <v>50</v>
      </c>
      <c r="T1395" s="56">
        <f>IF($I1395="","",$I1395*Settings!$C$11)</f>
        <v>50</v>
      </c>
      <c r="U1395" s="57" t="str">
        <f t="shared" si="238"/>
        <v>OK</v>
      </c>
      <c r="V1395" s="55" t="str">
        <f t="shared" si="242"/>
        <v/>
      </c>
      <c r="W1395" s="55" t="str">
        <f>IF($V1395="","",IF(COUNTIF($V$5:$V1395,$V1395)=1,1,""))</f>
        <v/>
      </c>
      <c r="X1395" s="58" t="str">
        <f>IF($W1395="","",MAX($X$4:X1394)+1)</f>
        <v/>
      </c>
      <c r="Y1395" s="62"/>
      <c r="Z1395" s="62"/>
      <c r="AA1395" s="64" t="str">
        <f>IF($C1395="","",IFERROR(INDEX('Staff Directory'!$E$5:$E$594,MATCH($C1395,'Staff Directory'!$B$5:$B$594,0)),""))</f>
        <v>firstname038.lastname038@example.com</v>
      </c>
      <c r="AB1395" s="64" t="str">
        <f>IF($C1395="","",IF(ISNUMBER(SEARCH($D1395,Settings!$C$15)),"Pickup","Dispatch"))</f>
        <v>Dispatch</v>
      </c>
      <c r="AC1395" s="64" t="str">
        <f t="shared" si="243"/>
        <v>Supply order dispatched</v>
      </c>
      <c r="AD1395" s="64" t="str">
        <f t="shared" si="234"/>
        <v>Dear RN,
Your order has been dispatched and is in transit. Reply if undelivered.</v>
      </c>
      <c r="AE1395" s="64" t="str">
        <f t="shared" si="235"/>
        <v>mailto:firstname038.lastname038@example.com?subject=Supply%20order%20dispatched&amp;body=Dear%20RN%2C%0A%0AYour%20order%20has%20been%20dispatched%20and%20is%20in%20transit.%20Reply%20if%20undelivered.</v>
      </c>
      <c r="AF1395" s="89" t="str">
        <f t="shared" si="244"/>
        <v>Draft email</v>
      </c>
      <c r="AG1395" s="64" t="str">
        <f>IF($C1395="","",IFERROR(INDEX('Staff Directory'!$K$595:$K$599,MATCH($C1395,'Staff Directory'!$B$5:$B$599,0)),$D1395))</f>
        <v>RN</v>
      </c>
      <c r="AH1395" t="str">
        <f>IF($C1395="","",IFERROR(INDEX('Staff Directory'!$I$595:$I$599,MATCH($C1395,'Staff Directory'!$B$5:$B$599,0))&amp;" "&amp;INDEX('Staff Directory'!$J$595:$J$599,MATCH($C1395,'Staff Directory'!$B$5:$B$599,0)),$AG1395))</f>
        <v>RN</v>
      </c>
      <c r="AI1395" s="102"/>
      <c r="AJ1395" s="101">
        <f>IF($F1395="","",SUMIFS($J$5:$J1395,$F$5:$F1395,$F1395))</f>
        <v>12150</v>
      </c>
      <c r="AK1395" s="101">
        <f t="shared" si="236"/>
        <v>12101</v>
      </c>
      <c r="AL1395" s="66" t="str" cm="1">
        <f t="array" ref="AL1395">IF($F1395="","",IFERROR(INDEX('Lot Balance'!$B$5:$B$500,MATCH(1,INDEX(('Lot Balance'!$A$5:$A$500=$F1395)*('Lot Balance'!$K$5:$K$500&lt;$AK1395)*('Lot Balance'!$K$5:$K$500+'Lot Balance'!$D$5:$D$500&gt;=$AK1395),0),0)),""))</f>
        <v>24HA2050A7396</v>
      </c>
      <c r="AM1395" s="66" t="str" cm="1">
        <f t="array" ref="AM1395">IF($F1395="","",IFERROR(INDEX('Lot Balance'!$B$5:$B$500,MATCH(1,INDEX(('Lot Balance'!$A$5:$A$500=$F1395)*('Lot Balance'!$K$5:$K$500&lt;$AJ1395)*('Lot Balance'!$K$5:$K$500+'Lot Balance'!$D$5:$D$500&gt;=$AJ1395),0),0)),""))</f>
        <v>24HA2050A7396</v>
      </c>
      <c r="AN1395" s="66" t="str">
        <f>IF($F1395="","",IF($AI1395&lt;&gt;"",IF(COUNTIFS('Lot Balance'!$A$5:$A$500,$F1395,'Lot Balance'!$B$5:$B$500,$AI1395)=0,"⚠ override is not a lot of this item",IF($AI1395=$AL1395,"Override = FEFO","Override - FEFO says "&amp;$AL1395)),IF($AL1395="","⚠ no receipt on file for this item",IF($AM1395&lt;&gt;$AL1395,"FEFO auto - split, also "&amp;$AM1395,"FEFO auto"))))</f>
        <v>FEFO auto</v>
      </c>
      <c r="AO1395" s="114"/>
    </row>
    <row r="1396" spans="1:41" x14ac:dyDescent="0.35">
      <c r="A1396" s="74">
        <v>46203</v>
      </c>
      <c r="B1396" s="18" t="str">
        <f>IF($C1396="","",IFERROR(INDEX('Staff Directory'!$A$5:$A$594,MATCH($C1396,'Staff Directory'!$B$5:$B$594,0)),"⚠ unknown staff"))</f>
        <v>RN-045-A1</v>
      </c>
      <c r="C1396" s="49" t="s">
        <v>968</v>
      </c>
      <c r="D1396" s="19" t="str">
        <f>IF($B1396="","",IFERROR(INDEX('Staff Directory'!$C$5:$C$594,MATCH($B1396,'Staff Directory'!$A$5:$A$594,0)),""))</f>
        <v>RN</v>
      </c>
      <c r="E1396" s="19" t="str">
        <f>IF($B1396="","",IFERROR(INDEX('Staff Directory'!$D$5:$D$594,MATCH($B1396,'Staff Directory'!$A$5:$A$594,0)),""))</f>
        <v>A1</v>
      </c>
      <c r="F1396" s="9" t="s">
        <v>127</v>
      </c>
      <c r="G1396" s="18" t="str">
        <f>IF($F1396="","",IFERROR(INDEX(Items!$B$5:$B$597,MATCH($F1396,Items!$A$5:$A$597,0)),"⚠ not in Items"))</f>
        <v>Gloves</v>
      </c>
      <c r="H1396" s="19" t="str">
        <f>IF($F1396="","",IFERROR(INDEX(Items!$C$5:$C$597,MATCH($F1396,Items!$A$5:$A$597,0)),""))</f>
        <v>Medium</v>
      </c>
      <c r="I1396" s="23">
        <f>IF($F1396="","",IFERROR(INDEX(Items!$E$5:$E$597,MATCH($F1396,Items!$A$5:$A$597,0)),""))</f>
        <v>500</v>
      </c>
      <c r="J1396" s="115">
        <f>IF(tblIssues[[#This Row],[Qty Override]]&lt;&gt;"",tblIssues[[#This Row],[Qty Override]],IF(tblIssues[[#This Row],[Standard Issue]]="","",tblIssues[[#This Row],[Standard Issue]]))</f>
        <v>500</v>
      </c>
      <c r="K1396" s="20">
        <f>IF($F1396="","",IFERROR(INDEX(Items!$D$5:$D$597,MATCH($F1396,Items!$A$5:$A$597,0)),""))</f>
        <v>5.5E-2</v>
      </c>
      <c r="L1396" s="21">
        <f t="shared" si="239"/>
        <v>27.5</v>
      </c>
      <c r="M1396" s="9" t="str">
        <f t="shared" si="237"/>
        <v>ZIM510137962-2</v>
      </c>
      <c r="N1396" s="24">
        <f>IF($A1396="","",WORKDAY($A1396,Settings!$C$9,HolidayDates))</f>
        <v>46211</v>
      </c>
      <c r="O1396" s="24">
        <f>IF($N1396="","",WORKDAY($N1396,Settings!$C$10,HolidayDates))</f>
        <v>46251</v>
      </c>
      <c r="P1396" s="10" t="s">
        <v>502</v>
      </c>
      <c r="Q1396" s="52" t="str">
        <f t="shared" si="240"/>
        <v>Collected</v>
      </c>
      <c r="R1396" s="55" t="str">
        <f t="shared" si="241"/>
        <v>2026-06</v>
      </c>
      <c r="S1396" s="55">
        <f>IF(OR($B1396="",$F1396="",$R1396=""),"",SUMIFS(tblIssues[Qty Issued],tblIssues[Staff ID],$B1396,tblIssues[Item Name],$F1396,tblIssues[Month],$R1396))</f>
        <v>1000</v>
      </c>
      <c r="T1396" s="56">
        <f>IF($I1396="","",$I1396*Settings!$C$11)</f>
        <v>500</v>
      </c>
      <c r="U1396" s="57" t="str">
        <f t="shared" si="238"/>
        <v>⚠ OVER QUOTA</v>
      </c>
      <c r="V1396" s="55" t="str">
        <f t="shared" si="242"/>
        <v>RN-045-A1 | Gloves - Medium | 2026-06</v>
      </c>
      <c r="W1396" s="55" t="str">
        <f>IF($V1396="","",IF(COUNTIF($V$5:$V1396,$V1396)=1,1,""))</f>
        <v/>
      </c>
      <c r="X1396" s="58" t="str">
        <f>IF($W1396="","",MAX($X$4:X1395)+1)</f>
        <v/>
      </c>
      <c r="Y1396" s="62"/>
      <c r="Z1396" s="62"/>
      <c r="AA1396" s="64" t="str">
        <f>IF($C1396="","",IFERROR(INDEX('Staff Directory'!$E$5:$E$594,MATCH($C1396,'Staff Directory'!$B$5:$B$594,0)),""))</f>
        <v>firstname052.lastname052@example.com</v>
      </c>
      <c r="AB1396" s="64" t="str">
        <f>IF($C1396="","",IF(ISNUMBER(SEARCH($D1396,Settings!$C$15)),"Pickup","Dispatch"))</f>
        <v>Dispatch</v>
      </c>
      <c r="AC1396" s="64" t="str">
        <f t="shared" si="243"/>
        <v>Supply order dispatched</v>
      </c>
      <c r="AD1396" s="64" t="str">
        <f t="shared" si="234"/>
        <v>Dear RN,
Your order has been dispatched and is in transit. Reply if undelivered.</v>
      </c>
      <c r="AE1396" s="64" t="str">
        <f t="shared" si="235"/>
        <v>mailto:firstname052.lastname052@example.com?subject=Supply%20order%20dispatched&amp;body=Dear%20RN%2C%0A%0AYour%20order%20has%20been%20dispatched%20and%20is%20in%20transit.%20Reply%20if%20undelivered.</v>
      </c>
      <c r="AF1396" s="89" t="str">
        <f t="shared" si="244"/>
        <v>Draft email</v>
      </c>
      <c r="AG1396" s="64" t="str">
        <f>IF($C1396="","",IFERROR(INDEX('Staff Directory'!$K$595:$K$599,MATCH($C1396,'Staff Directory'!$B$5:$B$599,0)),$D1396))</f>
        <v>RN</v>
      </c>
      <c r="AH1396" t="str">
        <f>IF($C1396="","",IFERROR(INDEX('Staff Directory'!$I$595:$I$599,MATCH($C1396,'Staff Directory'!$B$5:$B$599,0))&amp;" "&amp;INDEX('Staff Directory'!$J$595:$J$599,MATCH($C1396,'Staff Directory'!$B$5:$B$599,0)),$AG1396))</f>
        <v>RN</v>
      </c>
      <c r="AI1396" s="102"/>
      <c r="AJ1396" s="101">
        <f>IF($F1396="","",SUMIFS($J$5:$J1396,$F$5:$F1396,$F1396))</f>
        <v>87000</v>
      </c>
      <c r="AK1396" s="101">
        <f t="shared" si="236"/>
        <v>86501</v>
      </c>
      <c r="AL1396" s="66" t="str" cm="1">
        <f t="array" ref="AL1396">IF($F1396="","",IFERROR(INDEX('Lot Balance'!$B$5:$B$500,MATCH(1,INDEX(('Lot Balance'!$A$5:$A$500=$F1396)*('Lot Balance'!$K$5:$K$500&lt;$AK1396)*('Lot Balance'!$K$5:$K$500+'Lot Balance'!$D$5:$D$500&gt;=$AK1396),0),0)),""))</f>
        <v>ZIM510137962-2</v>
      </c>
      <c r="AM1396" s="66" t="str" cm="1">
        <f t="array" ref="AM1396">IF($F1396="","",IFERROR(INDEX('Lot Balance'!$B$5:$B$500,MATCH(1,INDEX(('Lot Balance'!$A$5:$A$500=$F1396)*('Lot Balance'!$K$5:$K$500&lt;$AJ1396)*('Lot Balance'!$K$5:$K$500+'Lot Balance'!$D$5:$D$500&gt;=$AJ1396),0),0)),""))</f>
        <v>ZIM510137962-2</v>
      </c>
      <c r="AN1396" s="66" t="str">
        <f>IF($F1396="","",IF($AI1396&lt;&gt;"",IF(COUNTIFS('Lot Balance'!$A$5:$A$500,$F1396,'Lot Balance'!$B$5:$B$500,$AI1396)=0,"⚠ override is not a lot of this item",IF($AI1396=$AL1396,"Override = FEFO","Override - FEFO says "&amp;$AL1396)),IF($AL1396="","⚠ no receipt on file for this item",IF($AM1396&lt;&gt;$AL1396,"FEFO auto - split, also "&amp;$AM1396,"FEFO auto"))))</f>
        <v>FEFO auto</v>
      </c>
      <c r="AO1396" s="114"/>
    </row>
    <row r="1397" spans="1:41" x14ac:dyDescent="0.35">
      <c r="A1397" s="74">
        <v>46203</v>
      </c>
      <c r="B1397" s="18" t="str">
        <f>IF($C1397="","",IFERROR(INDEX('Staff Directory'!$A$5:$A$594,MATCH($C1397,'Staff Directory'!$B$5:$B$594,0)),"⚠ unknown staff"))</f>
        <v>RN-045-A1</v>
      </c>
      <c r="C1397" s="49" t="s">
        <v>968</v>
      </c>
      <c r="D1397" s="19" t="str">
        <f>IF($B1397="","",IFERROR(INDEX('Staff Directory'!$C$5:$C$594,MATCH($B1397,'Staff Directory'!$A$5:$A$594,0)),""))</f>
        <v>RN</v>
      </c>
      <c r="E1397" s="19" t="str">
        <f>IF($B1397="","",IFERROR(INDEX('Staff Directory'!$D$5:$D$594,MATCH($B1397,'Staff Directory'!$A$5:$A$594,0)),""))</f>
        <v>A1</v>
      </c>
      <c r="F1397" s="9" t="s">
        <v>191</v>
      </c>
      <c r="G1397" s="18" t="str">
        <f>IF($F1397="","",IFERROR(INDEX(Items!$B$5:$B$597,MATCH($F1397,Items!$A$5:$A$597,0)),"⚠ not in Items"))</f>
        <v>Sanitizer</v>
      </c>
      <c r="H1397" s="19" t="str">
        <f>IF($F1397="","",IFERROR(INDEX(Items!$C$5:$C$597,MATCH($F1397,Items!$A$5:$A$597,0)),""))</f>
        <v>236 ML</v>
      </c>
      <c r="I1397" s="23">
        <f>IF($F1397="","",IFERROR(INDEX(Items!$E$5:$E$597,MATCH($F1397,Items!$A$5:$A$597,0)),""))</f>
        <v>1</v>
      </c>
      <c r="J1397" s="115">
        <f>IF(tblIssues[[#This Row],[Qty Override]]&lt;&gt;"",tblIssues[[#This Row],[Qty Override]],IF(tblIssues[[#This Row],[Standard Issue]]="","",tblIssues[[#This Row],[Standard Issue]]))</f>
        <v>1</v>
      </c>
      <c r="K1397" s="20">
        <f>IF($F1397="","",IFERROR(INDEX(Items!$D$5:$D$597,MATCH($F1397,Items!$A$5:$A$597,0)),""))</f>
        <v>1E-4</v>
      </c>
      <c r="L1397" s="21">
        <f t="shared" si="239"/>
        <v>1E-4</v>
      </c>
      <c r="M1397" s="9" t="str">
        <f t="shared" si="237"/>
        <v/>
      </c>
      <c r="N1397" s="24">
        <f>IF($A1397="","",WORKDAY($A1397,Settings!$C$9,HolidayDates))</f>
        <v>46211</v>
      </c>
      <c r="O1397" s="24">
        <f>IF($N1397="","",WORKDAY($N1397,Settings!$C$10,HolidayDates))</f>
        <v>46251</v>
      </c>
      <c r="P1397" s="10" t="s">
        <v>502</v>
      </c>
      <c r="Q1397" s="52" t="str">
        <f t="shared" si="240"/>
        <v>Collected</v>
      </c>
      <c r="R1397" s="55" t="str">
        <f t="shared" si="241"/>
        <v>2026-06</v>
      </c>
      <c r="S1397" s="55">
        <f>IF(OR($B1397="",$F1397="",$R1397=""),"",SUMIFS(tblIssues[Qty Issued],tblIssues[Staff ID],$B1397,tblIssues[Item Name],$F1397,tblIssues[Month],$R1397))</f>
        <v>4</v>
      </c>
      <c r="T1397" s="56">
        <f>IF($I1397="","",$I1397*Settings!$C$11)</f>
        <v>1</v>
      </c>
      <c r="U1397" s="57" t="str">
        <f t="shared" si="238"/>
        <v>⚠ OVER QUOTA</v>
      </c>
      <c r="V1397" s="55" t="str">
        <f t="shared" si="242"/>
        <v>RN-045-A1 | Hand Sanitizer OS | 2026-06</v>
      </c>
      <c r="W1397" s="55" t="str">
        <f>IF($V1397="","",IF(COUNTIF($V$5:$V1397,$V1397)=1,1,""))</f>
        <v/>
      </c>
      <c r="X1397" s="58" t="str">
        <f>IF($W1397="","",MAX($X$4:X1396)+1)</f>
        <v/>
      </c>
      <c r="Y1397" s="62"/>
      <c r="Z1397" s="62"/>
      <c r="AA1397" s="64" t="str">
        <f>IF($C1397="","",IFERROR(INDEX('Staff Directory'!$E$5:$E$594,MATCH($C1397,'Staff Directory'!$B$5:$B$594,0)),""))</f>
        <v>firstname052.lastname052@example.com</v>
      </c>
      <c r="AB1397" s="64" t="str">
        <f>IF($C1397="","",IF(ISNUMBER(SEARCH($D1397,Settings!$C$15)),"Pickup","Dispatch"))</f>
        <v>Dispatch</v>
      </c>
      <c r="AC1397" s="64" t="str">
        <f t="shared" si="243"/>
        <v>Supply order dispatched</v>
      </c>
      <c r="AD1397" s="64" t="str">
        <f t="shared" si="234"/>
        <v>Dear RN,
Your order has been dispatched and is in transit. Reply if undelivered.</v>
      </c>
      <c r="AE1397" s="64" t="str">
        <f t="shared" si="235"/>
        <v>mailto:firstname052.lastname052@example.com?subject=Supply%20order%20dispatched&amp;body=Dear%20RN%2C%0A%0AYour%20order%20has%20been%20dispatched%20and%20is%20in%20transit.%20Reply%20if%20undelivered.</v>
      </c>
      <c r="AF1397" s="89" t="str">
        <f t="shared" si="244"/>
        <v>Draft email</v>
      </c>
      <c r="AG1397" s="64" t="str">
        <f>IF($C1397="","",IFERROR(INDEX('Staff Directory'!$K$595:$K$599,MATCH($C1397,'Staff Directory'!$B$5:$B$599,0)),$D1397))</f>
        <v>RN</v>
      </c>
      <c r="AH1397" t="str">
        <f>IF($C1397="","",IFERROR(INDEX('Staff Directory'!$I$595:$I$599,MATCH($C1397,'Staff Directory'!$B$5:$B$599,0))&amp;" "&amp;INDEX('Staff Directory'!$J$595:$J$599,MATCH($C1397,'Staff Directory'!$B$5:$B$599,0)),$AG1397))</f>
        <v>RN</v>
      </c>
      <c r="AI1397" s="102"/>
      <c r="AJ1397" s="101">
        <f>IF($F1397="","",SUMIFS($J$5:$J1397,$F$5:$F1397,$F1397))</f>
        <v>187</v>
      </c>
      <c r="AK1397" s="101">
        <f t="shared" si="236"/>
        <v>187</v>
      </c>
      <c r="AL1397" s="66" t="str" cm="1">
        <f t="array" ref="AL1397">IF($F1397="","",IFERROR(INDEX('Lot Balance'!$B$5:$B$500,MATCH(1,INDEX(('Lot Balance'!$A$5:$A$500=$F1397)*('Lot Balance'!$K$5:$K$500&lt;$AK1397)*('Lot Balance'!$K$5:$K$500+'Lot Balance'!$D$5:$D$500&gt;=$AK1397),0),0)),""))</f>
        <v/>
      </c>
      <c r="AM1397" s="66" t="str" cm="1">
        <f t="array" ref="AM1397">IF($F1397="","",IFERROR(INDEX('Lot Balance'!$B$5:$B$500,MATCH(1,INDEX(('Lot Balance'!$A$5:$A$500=$F1397)*('Lot Balance'!$K$5:$K$500&lt;$AJ1397)*('Lot Balance'!$K$5:$K$500+'Lot Balance'!$D$5:$D$500&gt;=$AJ1397),0),0)),""))</f>
        <v/>
      </c>
      <c r="AN1397" s="66" t="str">
        <f>IF($F1397="","",IF($AI1397&lt;&gt;"",IF(COUNTIFS('Lot Balance'!$A$5:$A$500,$F1397,'Lot Balance'!$B$5:$B$500,$AI1397)=0,"⚠ override is not a lot of this item",IF($AI1397=$AL1397,"Override = FEFO","Override - FEFO says "&amp;$AL1397)),IF($AL1397="","⚠ no receipt on file for this item",IF($AM1397&lt;&gt;$AL1397,"FEFO auto - split, also "&amp;$AM1397,"FEFO auto"))))</f>
        <v>⚠ no receipt on file for this item</v>
      </c>
      <c r="AO1397" s="114"/>
    </row>
    <row r="1398" spans="1:41" x14ac:dyDescent="0.35">
      <c r="A1398" s="74">
        <v>46203</v>
      </c>
      <c r="B1398" s="18" t="str">
        <f>IF($C1398="","",IFERROR(INDEX('Staff Directory'!$A$5:$A$594,MATCH($C1398,'Staff Directory'!$B$5:$B$594,0)),"⚠ unknown staff"))</f>
        <v>RN-045-A1</v>
      </c>
      <c r="C1398" s="49" t="s">
        <v>968</v>
      </c>
      <c r="D1398" s="19" t="str">
        <f>IF($B1398="","",IFERROR(INDEX('Staff Directory'!$C$5:$C$594,MATCH($B1398,'Staff Directory'!$A$5:$A$594,0)),""))</f>
        <v>RN</v>
      </c>
      <c r="E1398" s="19" t="str">
        <f>IF($B1398="","",IFERROR(INDEX('Staff Directory'!$D$5:$D$594,MATCH($B1398,'Staff Directory'!$A$5:$A$594,0)),""))</f>
        <v>A1</v>
      </c>
      <c r="F1398" s="9" t="s">
        <v>191</v>
      </c>
      <c r="G1398" s="18" t="str">
        <f>IF($F1398="","",IFERROR(INDEX(Items!$B$5:$B$597,MATCH($F1398,Items!$A$5:$A$597,0)),"⚠ not in Items"))</f>
        <v>Sanitizer</v>
      </c>
      <c r="H1398" s="19" t="str">
        <f>IF($F1398="","",IFERROR(INDEX(Items!$C$5:$C$597,MATCH($F1398,Items!$A$5:$A$597,0)),""))</f>
        <v>236 ML</v>
      </c>
      <c r="I1398" s="23">
        <f>IF($F1398="","",IFERROR(INDEX(Items!$E$5:$E$597,MATCH($F1398,Items!$A$5:$A$597,0)),""))</f>
        <v>1</v>
      </c>
      <c r="J1398" s="115">
        <f>IF(tblIssues[[#This Row],[Qty Override]]&lt;&gt;"",tblIssues[[#This Row],[Qty Override]],IF(tblIssues[[#This Row],[Standard Issue]]="","",tblIssues[[#This Row],[Standard Issue]]))</f>
        <v>1</v>
      </c>
      <c r="K1398" s="20">
        <f>IF($F1398="","",IFERROR(INDEX(Items!$D$5:$D$597,MATCH($F1398,Items!$A$5:$A$597,0)),""))</f>
        <v>1E-4</v>
      </c>
      <c r="L1398" s="21">
        <f t="shared" si="239"/>
        <v>1E-4</v>
      </c>
      <c r="M1398" s="9" t="str">
        <f t="shared" si="237"/>
        <v/>
      </c>
      <c r="N1398" s="24">
        <f>IF($A1398="","",WORKDAY($A1398,Settings!$C$9,HolidayDates))</f>
        <v>46211</v>
      </c>
      <c r="O1398" s="24">
        <f>IF($N1398="","",WORKDAY($N1398,Settings!$C$10,HolidayDates))</f>
        <v>46251</v>
      </c>
      <c r="P1398" s="10" t="s">
        <v>502</v>
      </c>
      <c r="Q1398" s="52" t="str">
        <f t="shared" si="240"/>
        <v>Collected</v>
      </c>
      <c r="R1398" s="55" t="str">
        <f t="shared" si="241"/>
        <v>2026-06</v>
      </c>
      <c r="S1398" s="55">
        <f>IF(OR($B1398="",$F1398="",$R1398=""),"",SUMIFS(tblIssues[Qty Issued],tblIssues[Staff ID],$B1398,tblIssues[Item Name],$F1398,tblIssues[Month],$R1398))</f>
        <v>4</v>
      </c>
      <c r="T1398" s="56">
        <f>IF($I1398="","",$I1398*Settings!$C$11)</f>
        <v>1</v>
      </c>
      <c r="U1398" s="57" t="str">
        <f t="shared" si="238"/>
        <v>⚠ OVER QUOTA</v>
      </c>
      <c r="V1398" s="55" t="str">
        <f t="shared" si="242"/>
        <v>RN-045-A1 | Hand Sanitizer OS | 2026-06</v>
      </c>
      <c r="W1398" s="55" t="str">
        <f>IF($V1398="","",IF(COUNTIF($V$5:$V1398,$V1398)=1,1,""))</f>
        <v/>
      </c>
      <c r="X1398" s="58" t="str">
        <f>IF($W1398="","",MAX($X$4:X1397)+1)</f>
        <v/>
      </c>
      <c r="Y1398" s="62"/>
      <c r="Z1398" s="62"/>
      <c r="AA1398" s="64" t="str">
        <f>IF($C1398="","",IFERROR(INDEX('Staff Directory'!$E$5:$E$594,MATCH($C1398,'Staff Directory'!$B$5:$B$594,0)),""))</f>
        <v>firstname052.lastname052@example.com</v>
      </c>
      <c r="AB1398" s="64" t="str">
        <f>IF($C1398="","",IF(ISNUMBER(SEARCH($D1398,Settings!$C$15)),"Pickup","Dispatch"))</f>
        <v>Dispatch</v>
      </c>
      <c r="AC1398" s="64" t="str">
        <f t="shared" si="243"/>
        <v>Supply order dispatched</v>
      </c>
      <c r="AD1398" s="64" t="str">
        <f t="shared" si="234"/>
        <v>Dear RN,
Your order has been dispatched and is in transit. Reply if undelivered.</v>
      </c>
      <c r="AE1398" s="64" t="str">
        <f t="shared" si="235"/>
        <v>mailto:firstname052.lastname052@example.com?subject=Supply%20order%20dispatched&amp;body=Dear%20RN%2C%0A%0AYour%20order%20has%20been%20dispatched%20and%20is%20in%20transit.%20Reply%20if%20undelivered.</v>
      </c>
      <c r="AF1398" s="89" t="str">
        <f t="shared" si="244"/>
        <v>Draft email</v>
      </c>
      <c r="AG1398" s="64" t="str">
        <f>IF($C1398="","",IFERROR(INDEX('Staff Directory'!$K$595:$K$599,MATCH($C1398,'Staff Directory'!$B$5:$B$599,0)),$D1398))</f>
        <v>RN</v>
      </c>
      <c r="AH1398" t="str">
        <f>IF($C1398="","",IFERROR(INDEX('Staff Directory'!$I$595:$I$599,MATCH($C1398,'Staff Directory'!$B$5:$B$599,0))&amp;" "&amp;INDEX('Staff Directory'!$J$595:$J$599,MATCH($C1398,'Staff Directory'!$B$5:$B$599,0)),$AG1398))</f>
        <v>RN</v>
      </c>
      <c r="AI1398" s="102"/>
      <c r="AJ1398" s="101">
        <f>IF($F1398="","",SUMIFS($J$5:$J1398,$F$5:$F1398,$F1398))</f>
        <v>188</v>
      </c>
      <c r="AK1398" s="101">
        <f t="shared" si="236"/>
        <v>188</v>
      </c>
      <c r="AL1398" s="66" t="str" cm="1">
        <f t="array" ref="AL1398">IF($F1398="","",IFERROR(INDEX('Lot Balance'!$B$5:$B$500,MATCH(1,INDEX(('Lot Balance'!$A$5:$A$500=$F1398)*('Lot Balance'!$K$5:$K$500&lt;$AK1398)*('Lot Balance'!$K$5:$K$500+'Lot Balance'!$D$5:$D$500&gt;=$AK1398),0),0)),""))</f>
        <v/>
      </c>
      <c r="AM1398" s="66" t="str" cm="1">
        <f t="array" ref="AM1398">IF($F1398="","",IFERROR(INDEX('Lot Balance'!$B$5:$B$500,MATCH(1,INDEX(('Lot Balance'!$A$5:$A$500=$F1398)*('Lot Balance'!$K$5:$K$500&lt;$AJ1398)*('Lot Balance'!$K$5:$K$500+'Lot Balance'!$D$5:$D$500&gt;=$AJ1398),0),0)),""))</f>
        <v/>
      </c>
      <c r="AN1398" s="66" t="str">
        <f>IF($F1398="","",IF($AI1398&lt;&gt;"",IF(COUNTIFS('Lot Balance'!$A$5:$A$500,$F1398,'Lot Balance'!$B$5:$B$500,$AI1398)=0,"⚠ override is not a lot of this item",IF($AI1398=$AL1398,"Override = FEFO","Override - FEFO says "&amp;$AL1398)),IF($AL1398="","⚠ no receipt on file for this item",IF($AM1398&lt;&gt;$AL1398,"FEFO auto - split, also "&amp;$AM1398,"FEFO auto"))))</f>
        <v>⚠ no receipt on file for this item</v>
      </c>
      <c r="AO1398" s="114"/>
    </row>
    <row r="1399" spans="1:41" x14ac:dyDescent="0.35">
      <c r="A1399" s="74">
        <v>46203</v>
      </c>
      <c r="B1399" s="18" t="str">
        <f>IF($C1399="","",IFERROR(INDEX('Staff Directory'!$A$5:$A$594,MATCH($C1399,'Staff Directory'!$B$5:$B$594,0)),"⚠ unknown staff"))</f>
        <v>RN-045-A1</v>
      </c>
      <c r="C1399" s="49" t="s">
        <v>968</v>
      </c>
      <c r="D1399" s="19" t="str">
        <f>IF($B1399="","",IFERROR(INDEX('Staff Directory'!$C$5:$C$594,MATCH($B1399,'Staff Directory'!$A$5:$A$594,0)),""))</f>
        <v>RN</v>
      </c>
      <c r="E1399" s="19" t="str">
        <f>IF($B1399="","",IFERROR(INDEX('Staff Directory'!$D$5:$D$594,MATCH($B1399,'Staff Directory'!$A$5:$A$594,0)),""))</f>
        <v>A1</v>
      </c>
      <c r="F1399" s="9" t="s">
        <v>156</v>
      </c>
      <c r="G1399" s="18" t="str">
        <f>IF($F1399="","",IFERROR(INDEX(Items!$B$5:$B$597,MATCH($F1399,Items!$A$5:$A$597,0)),"⚠ not in Items"))</f>
        <v>Masks</v>
      </c>
      <c r="H1399" s="19" t="str">
        <f>IF($F1399="","",IFERROR(INDEX(Items!$C$5:$C$597,MATCH($F1399,Items!$A$5:$A$597,0)),""))</f>
        <v>One Size</v>
      </c>
      <c r="I1399" s="23">
        <f>IF($F1399="","",IFERROR(INDEX(Items!$E$5:$E$597,MATCH($F1399,Items!$A$5:$A$597,0)),""))</f>
        <v>50</v>
      </c>
      <c r="J1399" s="115">
        <f>IF(tblIssues[[#This Row],[Qty Override]]&lt;&gt;"",tblIssues[[#This Row],[Qty Override]],IF(tblIssues[[#This Row],[Standard Issue]]="","",tblIssues[[#This Row],[Standard Issue]]))</f>
        <v>50</v>
      </c>
      <c r="K1399" s="20">
        <f>IF($F1399="","",IFERROR(INDEX(Items!$D$5:$D$597,MATCH($F1399,Items!$A$5:$A$597,0)),""))</f>
        <v>0.25</v>
      </c>
      <c r="L1399" s="21">
        <f t="shared" si="239"/>
        <v>12.5</v>
      </c>
      <c r="M1399" s="9" t="str">
        <f t="shared" si="237"/>
        <v>24HA2050A7396</v>
      </c>
      <c r="N1399" s="24">
        <f>IF($A1399="","",WORKDAY($A1399,Settings!$C$9,HolidayDates))</f>
        <v>46211</v>
      </c>
      <c r="O1399" s="24">
        <f>IF($N1399="","",WORKDAY($N1399,Settings!$C$10,HolidayDates))</f>
        <v>46251</v>
      </c>
      <c r="P1399" s="10" t="s">
        <v>502</v>
      </c>
      <c r="Q1399" s="52" t="str">
        <f t="shared" si="240"/>
        <v>Collected</v>
      </c>
      <c r="R1399" s="55" t="str">
        <f t="shared" si="241"/>
        <v>2026-06</v>
      </c>
      <c r="S1399" s="55">
        <f>IF(OR($B1399="",$F1399="",$R1399=""),"",SUMIFS(tblIssues[Qty Issued],tblIssues[Staff ID],$B1399,tblIssues[Item Name],$F1399,tblIssues[Month],$R1399))</f>
        <v>50</v>
      </c>
      <c r="T1399" s="56">
        <f>IF($I1399="","",$I1399*Settings!$C$11)</f>
        <v>50</v>
      </c>
      <c r="U1399" s="57" t="str">
        <f t="shared" si="238"/>
        <v>OK</v>
      </c>
      <c r="V1399" s="55" t="str">
        <f t="shared" si="242"/>
        <v/>
      </c>
      <c r="W1399" s="55" t="str">
        <f>IF($V1399="","",IF(COUNTIF($V$5:$V1399,$V1399)=1,1,""))</f>
        <v/>
      </c>
      <c r="X1399" s="58" t="str">
        <f>IF($W1399="","",MAX($X$4:X1398)+1)</f>
        <v/>
      </c>
      <c r="Y1399" s="62"/>
      <c r="Z1399" s="62"/>
      <c r="AA1399" s="64" t="str">
        <f>IF($C1399="","",IFERROR(INDEX('Staff Directory'!$E$5:$E$594,MATCH($C1399,'Staff Directory'!$B$5:$B$594,0)),""))</f>
        <v>firstname052.lastname052@example.com</v>
      </c>
      <c r="AB1399" s="64" t="str">
        <f>IF($C1399="","",IF(ISNUMBER(SEARCH($D1399,Settings!$C$15)),"Pickup","Dispatch"))</f>
        <v>Dispatch</v>
      </c>
      <c r="AC1399" s="64" t="str">
        <f t="shared" si="243"/>
        <v>Supply order dispatched</v>
      </c>
      <c r="AD1399" s="64" t="str">
        <f t="shared" si="234"/>
        <v>Dear RN,
Your order has been dispatched and is in transit. Reply if undelivered.</v>
      </c>
      <c r="AE1399" s="64" t="str">
        <f t="shared" si="235"/>
        <v>mailto:firstname052.lastname052@example.com?subject=Supply%20order%20dispatched&amp;body=Dear%20RN%2C%0A%0AYour%20order%20has%20been%20dispatched%20and%20is%20in%20transit.%20Reply%20if%20undelivered.</v>
      </c>
      <c r="AF1399" s="89" t="str">
        <f t="shared" si="244"/>
        <v>Draft email</v>
      </c>
      <c r="AG1399" s="64" t="str">
        <f>IF($C1399="","",IFERROR(INDEX('Staff Directory'!$K$595:$K$599,MATCH($C1399,'Staff Directory'!$B$5:$B$599,0)),$D1399))</f>
        <v>RN</v>
      </c>
      <c r="AH1399" t="str">
        <f>IF($C1399="","",IFERROR(INDEX('Staff Directory'!$I$595:$I$599,MATCH($C1399,'Staff Directory'!$B$5:$B$599,0))&amp;" "&amp;INDEX('Staff Directory'!$J$595:$J$599,MATCH($C1399,'Staff Directory'!$B$5:$B$599,0)),$AG1399))</f>
        <v>RN</v>
      </c>
      <c r="AI1399" s="102"/>
      <c r="AJ1399" s="101">
        <f>IF($F1399="","",SUMIFS($J$5:$J1399,$F$5:$F1399,$F1399))</f>
        <v>12200</v>
      </c>
      <c r="AK1399" s="101">
        <f t="shared" si="236"/>
        <v>12151</v>
      </c>
      <c r="AL1399" s="66" t="str" cm="1">
        <f t="array" ref="AL1399">IF($F1399="","",IFERROR(INDEX('Lot Balance'!$B$5:$B$500,MATCH(1,INDEX(('Lot Balance'!$A$5:$A$500=$F1399)*('Lot Balance'!$K$5:$K$500&lt;$AK1399)*('Lot Balance'!$K$5:$K$500+'Lot Balance'!$D$5:$D$500&gt;=$AK1399),0),0)),""))</f>
        <v>24HA2050A7396</v>
      </c>
      <c r="AM1399" s="66" t="str" cm="1">
        <f t="array" ref="AM1399">IF($F1399="","",IFERROR(INDEX('Lot Balance'!$B$5:$B$500,MATCH(1,INDEX(('Lot Balance'!$A$5:$A$500=$F1399)*('Lot Balance'!$K$5:$K$500&lt;$AJ1399)*('Lot Balance'!$K$5:$K$500+'Lot Balance'!$D$5:$D$500&gt;=$AJ1399),0),0)),""))</f>
        <v>24HA2050A7396</v>
      </c>
      <c r="AN1399" s="66" t="str">
        <f>IF($F1399="","",IF($AI1399&lt;&gt;"",IF(COUNTIFS('Lot Balance'!$A$5:$A$500,$F1399,'Lot Balance'!$B$5:$B$500,$AI1399)=0,"⚠ override is not a lot of this item",IF($AI1399=$AL1399,"Override = FEFO","Override - FEFO says "&amp;$AL1399)),IF($AL1399="","⚠ no receipt on file for this item",IF($AM1399&lt;&gt;$AL1399,"FEFO auto - split, also "&amp;$AM1399,"FEFO auto"))))</f>
        <v>FEFO auto</v>
      </c>
      <c r="AO1399" s="114"/>
    </row>
    <row r="1400" spans="1:41" x14ac:dyDescent="0.35">
      <c r="A1400" s="74">
        <v>46203</v>
      </c>
      <c r="B1400" s="18" t="str">
        <f>IF($C1400="","",IFERROR(INDEX('Staff Directory'!$A$5:$A$594,MATCH($C1400,'Staff Directory'!$B$5:$B$594,0)),"⚠ unknown staff"))</f>
        <v>RN-045-A1</v>
      </c>
      <c r="C1400" s="49" t="s">
        <v>968</v>
      </c>
      <c r="D1400" s="19" t="str">
        <f>IF($B1400="","",IFERROR(INDEX('Staff Directory'!$C$5:$C$594,MATCH($B1400,'Staff Directory'!$A$5:$A$594,0)),""))</f>
        <v>RN</v>
      </c>
      <c r="E1400" s="19" t="str">
        <f>IF($B1400="","",IFERROR(INDEX('Staff Directory'!$D$5:$D$594,MATCH($B1400,'Staff Directory'!$A$5:$A$594,0)),""))</f>
        <v>A1</v>
      </c>
      <c r="F1400" s="9" t="s">
        <v>757</v>
      </c>
      <c r="G1400" s="18" t="str">
        <f>IF($F1400="","",IFERROR(INDEX(Items!$B$5:$B$597,MATCH($F1400,Items!$A$5:$A$597,0)),"⚠ not in Items"))</f>
        <v>Documents</v>
      </c>
      <c r="H1400" s="19" t="str">
        <f>IF($F1400="","",IFERROR(INDEX(Items!$C$5:$C$597,MATCH($F1400,Items!$A$5:$A$597,0)),""))</f>
        <v>Standard</v>
      </c>
      <c r="I1400" s="23">
        <f>IF($F1400="","",IFERROR(INDEX(Items!$E$5:$E$597,MATCH($F1400,Items!$A$5:$A$597,0)),""))</f>
        <v>10</v>
      </c>
      <c r="J1400" s="115">
        <f>IF(tblIssues[[#This Row],[Qty Override]]&lt;&gt;"",tblIssues[[#This Row],[Qty Override]],IF(tblIssues[[#This Row],[Standard Issue]]="","",tblIssues[[#This Row],[Standard Issue]]))</f>
        <v>10</v>
      </c>
      <c r="K1400" s="20">
        <f>IF($F1400="","",IFERROR(INDEX(Items!$D$5:$D$597,MATCH($F1400,Items!$A$5:$A$597,0)),""))</f>
        <v>0</v>
      </c>
      <c r="L1400" s="21">
        <f t="shared" si="239"/>
        <v>0</v>
      </c>
      <c r="M1400" s="9" t="str">
        <f t="shared" si="237"/>
        <v/>
      </c>
      <c r="N1400" s="24">
        <f>IF($A1400="","",WORKDAY($A1400,Settings!$C$9,HolidayDates))</f>
        <v>46211</v>
      </c>
      <c r="O1400" s="24">
        <f>IF($N1400="","",WORKDAY($N1400,Settings!$C$10,HolidayDates))</f>
        <v>46251</v>
      </c>
      <c r="P1400" s="10" t="s">
        <v>502</v>
      </c>
      <c r="Q1400" s="52" t="str">
        <f t="shared" si="240"/>
        <v>Collected</v>
      </c>
      <c r="R1400" s="55" t="str">
        <f t="shared" si="241"/>
        <v>2026-06</v>
      </c>
      <c r="S1400" s="55">
        <f>IF(OR($B1400="",$F1400="",$R1400=""),"",SUMIFS(tblIssues[Qty Issued],tblIssues[Staff ID],$B1400,tblIssues[Item Name],$F1400,tblIssues[Month],$R1400))</f>
        <v>10</v>
      </c>
      <c r="T1400" s="56">
        <f>IF($I1400="","",$I1400*Settings!$C$11)</f>
        <v>10</v>
      </c>
      <c r="U1400" s="57" t="str">
        <f t="shared" si="238"/>
        <v>OK</v>
      </c>
      <c r="V1400" s="55" t="str">
        <f t="shared" si="242"/>
        <v/>
      </c>
      <c r="W1400" s="55" t="str">
        <f>IF($V1400="","",IF(COUNTIF($V$5:$V1400,$V1400)=1,1,""))</f>
        <v/>
      </c>
      <c r="X1400" s="58" t="str">
        <f>IF($W1400="","",MAX($X$4:X1399)+1)</f>
        <v/>
      </c>
      <c r="Y1400" s="62"/>
      <c r="Z1400" s="62"/>
      <c r="AA1400" s="64" t="str">
        <f>IF($C1400="","",IFERROR(INDEX('Staff Directory'!$E$5:$E$594,MATCH($C1400,'Staff Directory'!$B$5:$B$594,0)),""))</f>
        <v>firstname052.lastname052@example.com</v>
      </c>
      <c r="AB1400" s="64" t="str">
        <f>IF($C1400="","",IF(ISNUMBER(SEARCH($D1400,Settings!$C$15)),"Pickup","Dispatch"))</f>
        <v>Dispatch</v>
      </c>
      <c r="AC1400" s="64" t="str">
        <f t="shared" si="243"/>
        <v>Supply order dispatched</v>
      </c>
      <c r="AD1400" s="64" t="str">
        <f t="shared" si="234"/>
        <v>Dear RN,
Your order has been dispatched and is in transit. Reply if undelivered.</v>
      </c>
      <c r="AE1400" s="64" t="str">
        <f t="shared" si="235"/>
        <v>mailto:firstname052.lastname052@example.com?subject=Supply%20order%20dispatched&amp;body=Dear%20RN%2C%0A%0AYour%20order%20has%20been%20dispatched%20and%20is%20in%20transit.%20Reply%20if%20undelivered.</v>
      </c>
      <c r="AF1400" s="89" t="str">
        <f t="shared" si="244"/>
        <v>Draft email</v>
      </c>
      <c r="AG1400" s="64" t="str">
        <f>IF($C1400="","",IFERROR(INDEX('Staff Directory'!$K$595:$K$599,MATCH($C1400,'Staff Directory'!$B$5:$B$599,0)),$D1400))</f>
        <v>RN</v>
      </c>
      <c r="AH1400" t="str">
        <f>IF($C1400="","",IFERROR(INDEX('Staff Directory'!$I$595:$I$599,MATCH($C1400,'Staff Directory'!$B$5:$B$599,0))&amp;" "&amp;INDEX('Staff Directory'!$J$595:$J$599,MATCH($C1400,'Staff Directory'!$B$5:$B$599,0)),$AG1400))</f>
        <v>RN</v>
      </c>
      <c r="AI1400" s="102"/>
      <c r="AJ1400" s="101">
        <f>IF($F1400="","",SUMIFS($J$5:$J1400,$F$5:$F1400,$F1400))</f>
        <v>690</v>
      </c>
      <c r="AK1400" s="101">
        <f t="shared" si="236"/>
        <v>681</v>
      </c>
      <c r="AL1400" s="66" t="str" cm="1">
        <f t="array" ref="AL1400">IF($F1400="","",IFERROR(INDEX('Lot Balance'!$B$5:$B$500,MATCH(1,INDEX(('Lot Balance'!$A$5:$A$500=$F1400)*('Lot Balance'!$K$5:$K$500&lt;$AK1400)*('Lot Balance'!$K$5:$K$500+'Lot Balance'!$D$5:$D$500&gt;=$AK1400),0),0)),""))</f>
        <v/>
      </c>
      <c r="AM1400" s="66" t="str" cm="1">
        <f t="array" ref="AM1400">IF($F1400="","",IFERROR(INDEX('Lot Balance'!$B$5:$B$500,MATCH(1,INDEX(('Lot Balance'!$A$5:$A$500=$F1400)*('Lot Balance'!$K$5:$K$500&lt;$AJ1400)*('Lot Balance'!$K$5:$K$500+'Lot Balance'!$D$5:$D$500&gt;=$AJ1400),0),0)),""))</f>
        <v/>
      </c>
      <c r="AN1400" s="66" t="str">
        <f>IF($F1400="","",IF($AI1400&lt;&gt;"",IF(COUNTIFS('Lot Balance'!$A$5:$A$500,$F1400,'Lot Balance'!$B$5:$B$500,$AI1400)=0,"⚠ override is not a lot of this item",IF($AI1400=$AL1400,"Override = FEFO","Override - FEFO says "&amp;$AL1400)),IF($AL1400="","⚠ no receipt on file for this item",IF($AM1400&lt;&gt;$AL1400,"FEFO auto - split, also "&amp;$AM1400,"FEFO auto"))))</f>
        <v>⚠ no receipt on file for this item</v>
      </c>
      <c r="AO1400" s="114"/>
    </row>
    <row r="1401" spans="1:41" x14ac:dyDescent="0.35">
      <c r="A1401" s="74">
        <v>46203</v>
      </c>
      <c r="B1401" s="18" t="str">
        <f>IF($C1401="","",IFERROR(INDEX('Staff Directory'!$A$5:$A$594,MATCH($C1401,'Staff Directory'!$B$5:$B$594,0)),"⚠ unknown staff"))</f>
        <v>PSW-147-A5</v>
      </c>
      <c r="C1401" s="49" t="s">
        <v>1126</v>
      </c>
      <c r="D1401" s="19" t="str">
        <f>IF($B1401="","",IFERROR(INDEX('Staff Directory'!$C$5:$C$594,MATCH($B1401,'Staff Directory'!$A$5:$A$594,0)),""))</f>
        <v>PSW</v>
      </c>
      <c r="E1401" s="19" t="str">
        <f>IF($B1401="","",IFERROR(INDEX('Staff Directory'!$D$5:$D$594,MATCH($B1401,'Staff Directory'!$A$5:$A$594,0)),""))</f>
        <v>A5</v>
      </c>
      <c r="F1401" s="9" t="s">
        <v>758</v>
      </c>
      <c r="G1401" s="18" t="str">
        <f>IF($F1401="","",IFERROR(INDEX(Items!$B$5:$B$597,MATCH($F1401,Items!$A$5:$A$597,0)),"⚠ not in Items"))</f>
        <v>Utility</v>
      </c>
      <c r="H1401" s="19" t="str">
        <f>IF($F1401="","",IFERROR(INDEX(Items!$C$5:$C$597,MATCH($F1401,Items!$A$5:$A$597,0)),""))</f>
        <v>Standard</v>
      </c>
      <c r="I1401" s="23">
        <f>IF($F1401="","",IFERROR(INDEX(Items!$E$5:$E$597,MATCH($F1401,Items!$A$5:$A$597,0)),""))</f>
        <v>1</v>
      </c>
      <c r="J1401" s="115">
        <f>IF(tblIssues[[#This Row],[Qty Override]]&lt;&gt;"",tblIssues[[#This Row],[Qty Override]],IF(tblIssues[[#This Row],[Standard Issue]]="","",tblIssues[[#This Row],[Standard Issue]]))</f>
        <v>1</v>
      </c>
      <c r="K1401" s="20">
        <f>IF($F1401="","",IFERROR(INDEX(Items!$D$5:$D$597,MATCH($F1401,Items!$A$5:$A$597,0)),""))</f>
        <v>0</v>
      </c>
      <c r="L1401" s="21">
        <f t="shared" si="239"/>
        <v>0</v>
      </c>
      <c r="M1401" s="9" t="str">
        <f t="shared" si="237"/>
        <v/>
      </c>
      <c r="N1401" s="24">
        <f>IF($A1401="","",WORKDAY($A1401,Settings!$C$9,HolidayDates))</f>
        <v>46211</v>
      </c>
      <c r="O1401" s="24">
        <f>IF($N1401="","",WORKDAY($N1401,Settings!$C$10,HolidayDates))</f>
        <v>46251</v>
      </c>
      <c r="P1401" s="10" t="s">
        <v>501</v>
      </c>
      <c r="Q1401" s="52" t="str">
        <f t="shared" si="240"/>
        <v>Collected</v>
      </c>
      <c r="R1401" s="55" t="str">
        <f t="shared" si="241"/>
        <v>2026-06</v>
      </c>
      <c r="S1401" s="55">
        <f>IF(OR($B1401="",$F1401="",$R1401=""),"",SUMIFS(tblIssues[Qty Issued],tblIssues[Staff ID],$B1401,tblIssues[Item Name],$F1401,tblIssues[Month],$R1401))</f>
        <v>1</v>
      </c>
      <c r="T1401" s="56">
        <f>IF($I1401="","",$I1401*Settings!$C$11)</f>
        <v>1</v>
      </c>
      <c r="U1401" s="57" t="str">
        <f t="shared" si="238"/>
        <v>OK</v>
      </c>
      <c r="V1401" s="55" t="str">
        <f t="shared" si="242"/>
        <v/>
      </c>
      <c r="W1401" s="55" t="str">
        <f>IF($V1401="","",IF(COUNTIF($V$5:$V1401,$V1401)=1,1,""))</f>
        <v/>
      </c>
      <c r="X1401" s="58" t="str">
        <f>IF($W1401="","",MAX($X$4:X1400)+1)</f>
        <v/>
      </c>
      <c r="Y1401" s="62"/>
      <c r="Z1401" s="62"/>
      <c r="AA1401" s="64" t="str">
        <f>IF($C1401="","",IFERROR(INDEX('Staff Directory'!$E$5:$E$594,MATCH($C1401,'Staff Directory'!$B$5:$B$594,0)),""))</f>
        <v>firstname210.lastname210@example.com</v>
      </c>
      <c r="AB1401" s="64" t="str">
        <f>IF($C1401="","",IF(ISNUMBER(SEARCH($D1401,Settings!$C$15)),"Pickup","Dispatch"))</f>
        <v>Pickup</v>
      </c>
      <c r="AC1401" s="64" t="str">
        <f t="shared" si="243"/>
        <v>Supply order ready for pickup</v>
      </c>
      <c r="AD1401" s="64" t="str">
        <f t="shared" si="234"/>
        <v>Dear PSW,
Your order is ready for pickup from Sample Branch, Wed-Fri 9am-4pm.</v>
      </c>
      <c r="AE1401" s="64" t="str">
        <f t="shared" si="235"/>
        <v>mailto:firstname210.lastname210@example.com?subject=Supply%20order%20ready%20for%20pickup&amp;body=Dear%20PSW%2C%0A%0AYour%20order%20is%20ready%20for%20pickup%20from%20Sample%20Branch%2C%20Wed-Fri%209am-4pm.</v>
      </c>
      <c r="AF1401" s="89" t="str">
        <f t="shared" si="244"/>
        <v>Draft email</v>
      </c>
      <c r="AG1401" s="64" t="str">
        <f>IF($C1401="","",IFERROR(INDEX('Staff Directory'!$K$595:$K$599,MATCH($C1401,'Staff Directory'!$B$5:$B$599,0)),$D1401))</f>
        <v>PSW</v>
      </c>
      <c r="AH1401" t="str">
        <f>IF($C1401="","",IFERROR(INDEX('Staff Directory'!$I$595:$I$599,MATCH($C1401,'Staff Directory'!$B$5:$B$599,0))&amp;" "&amp;INDEX('Staff Directory'!$J$595:$J$599,MATCH($C1401,'Staff Directory'!$B$5:$B$599,0)),$AG1401))</f>
        <v>PSW</v>
      </c>
      <c r="AI1401" s="102"/>
      <c r="AJ1401" s="101">
        <f>IF($F1401="","",SUMIFS($J$5:$J1401,$F$5:$F1401,$F1401))</f>
        <v>12</v>
      </c>
      <c r="AK1401" s="101">
        <f t="shared" si="236"/>
        <v>12</v>
      </c>
      <c r="AL1401" s="66" t="str" cm="1">
        <f t="array" ref="AL1401">IF($F1401="","",IFERROR(INDEX('Lot Balance'!$B$5:$B$500,MATCH(1,INDEX(('Lot Balance'!$A$5:$A$500=$F1401)*('Lot Balance'!$K$5:$K$500&lt;$AK1401)*('Lot Balance'!$K$5:$K$500+'Lot Balance'!$D$5:$D$500&gt;=$AK1401),0),0)),""))</f>
        <v/>
      </c>
      <c r="AM1401" s="66" t="str" cm="1">
        <f t="array" ref="AM1401">IF($F1401="","",IFERROR(INDEX('Lot Balance'!$B$5:$B$500,MATCH(1,INDEX(('Lot Balance'!$A$5:$A$500=$F1401)*('Lot Balance'!$K$5:$K$500&lt;$AJ1401)*('Lot Balance'!$K$5:$K$500+'Lot Balance'!$D$5:$D$500&gt;=$AJ1401),0),0)),""))</f>
        <v/>
      </c>
      <c r="AN1401" s="66" t="str">
        <f>IF($F1401="","",IF($AI1401&lt;&gt;"",IF(COUNTIFS('Lot Balance'!$A$5:$A$500,$F1401,'Lot Balance'!$B$5:$B$500,$AI1401)=0,"⚠ override is not a lot of this item",IF($AI1401=$AL1401,"Override = FEFO","Override - FEFO says "&amp;$AL1401)),IF($AL1401="","⚠ no receipt on file for this item",IF($AM1401&lt;&gt;$AL1401,"FEFO auto - split, also "&amp;$AM1401,"FEFO auto"))))</f>
        <v>⚠ no receipt on file for this item</v>
      </c>
      <c r="AO1401" s="114"/>
    </row>
    <row r="1402" spans="1:41" x14ac:dyDescent="0.35">
      <c r="A1402" s="74">
        <v>46203</v>
      </c>
      <c r="B1402" s="18" t="str">
        <f>IF($C1402="","",IFERROR(INDEX('Staff Directory'!$A$5:$A$594,MATCH($C1402,'Staff Directory'!$B$5:$B$594,0)),"⚠ unknown staff"))</f>
        <v>PSW-038-A6</v>
      </c>
      <c r="C1402" s="49" t="s">
        <v>1013</v>
      </c>
      <c r="D1402" s="19" t="str">
        <f>IF($B1402="","",IFERROR(INDEX('Staff Directory'!$C$5:$C$594,MATCH($B1402,'Staff Directory'!$A$5:$A$594,0)),""))</f>
        <v>PSW</v>
      </c>
      <c r="E1402" s="19" t="str">
        <f>IF($B1402="","",IFERROR(INDEX('Staff Directory'!$D$5:$D$594,MATCH($B1402,'Staff Directory'!$A$5:$A$594,0)),""))</f>
        <v>A6</v>
      </c>
      <c r="F1402" s="9" t="s">
        <v>758</v>
      </c>
      <c r="G1402" s="18" t="str">
        <f>IF($F1402="","",IFERROR(INDEX(Items!$B$5:$B$597,MATCH($F1402,Items!$A$5:$A$597,0)),"⚠ not in Items"))</f>
        <v>Utility</v>
      </c>
      <c r="H1402" s="19" t="str">
        <f>IF($F1402="","",IFERROR(INDEX(Items!$C$5:$C$597,MATCH($F1402,Items!$A$5:$A$597,0)),""))</f>
        <v>Standard</v>
      </c>
      <c r="I1402" s="23">
        <f>IF($F1402="","",IFERROR(INDEX(Items!$E$5:$E$597,MATCH($F1402,Items!$A$5:$A$597,0)),""))</f>
        <v>1</v>
      </c>
      <c r="J1402" s="115">
        <f>IF(tblIssues[[#This Row],[Qty Override]]&lt;&gt;"",tblIssues[[#This Row],[Qty Override]],IF(tblIssues[[#This Row],[Standard Issue]]="","",tblIssues[[#This Row],[Standard Issue]]))</f>
        <v>1</v>
      </c>
      <c r="K1402" s="20">
        <f>IF($F1402="","",IFERROR(INDEX(Items!$D$5:$D$597,MATCH($F1402,Items!$A$5:$A$597,0)),""))</f>
        <v>0</v>
      </c>
      <c r="L1402" s="21">
        <f t="shared" si="239"/>
        <v>0</v>
      </c>
      <c r="M1402" s="9" t="str">
        <f t="shared" si="237"/>
        <v/>
      </c>
      <c r="N1402" s="24">
        <f>IF($A1402="","",WORKDAY($A1402,Settings!$C$9,HolidayDates))</f>
        <v>46211</v>
      </c>
      <c r="O1402" s="24">
        <f>IF($N1402="","",WORKDAY($N1402,Settings!$C$10,HolidayDates))</f>
        <v>46251</v>
      </c>
      <c r="P1402" s="10" t="s">
        <v>501</v>
      </c>
      <c r="Q1402" s="52" t="str">
        <f t="shared" si="240"/>
        <v>Collected</v>
      </c>
      <c r="R1402" s="55" t="str">
        <f t="shared" si="241"/>
        <v>2026-06</v>
      </c>
      <c r="S1402" s="55">
        <f>IF(OR($B1402="",$F1402="",$R1402=""),"",SUMIFS(tblIssues[Qty Issued],tblIssues[Staff ID],$B1402,tblIssues[Item Name],$F1402,tblIssues[Month],$R1402))</f>
        <v>1</v>
      </c>
      <c r="T1402" s="56">
        <f>IF($I1402="","",$I1402*Settings!$C$11)</f>
        <v>1</v>
      </c>
      <c r="U1402" s="57" t="str">
        <f t="shared" si="238"/>
        <v>OK</v>
      </c>
      <c r="V1402" s="55" t="str">
        <f t="shared" si="242"/>
        <v/>
      </c>
      <c r="W1402" s="55" t="str">
        <f>IF($V1402="","",IF(COUNTIF($V$5:$V1402,$V1402)=1,1,""))</f>
        <v/>
      </c>
      <c r="X1402" s="58" t="str">
        <f>IF($W1402="","",MAX($X$4:X1401)+1)</f>
        <v/>
      </c>
      <c r="Y1402" s="62"/>
      <c r="Z1402" s="62"/>
      <c r="AA1402" s="64" t="str">
        <f>IF($C1402="","",IFERROR(INDEX('Staff Directory'!$E$5:$E$594,MATCH($C1402,'Staff Directory'!$B$5:$B$594,0)),""))</f>
        <v>firstname097.lastname097@example.com</v>
      </c>
      <c r="AB1402" s="64" t="str">
        <f>IF($C1402="","",IF(ISNUMBER(SEARCH($D1402,Settings!$C$15)),"Pickup","Dispatch"))</f>
        <v>Pickup</v>
      </c>
      <c r="AC1402" s="64" t="str">
        <f t="shared" si="243"/>
        <v>Supply order ready for pickup</v>
      </c>
      <c r="AD1402" s="64" t="str">
        <f t="shared" si="234"/>
        <v>Dear PSW,
Your order is ready for pickup from Sample Branch, Wed-Fri 9am-4pm.</v>
      </c>
      <c r="AE1402" s="64" t="str">
        <f t="shared" si="235"/>
        <v>mailto:firstname097.lastname097@example.com?subject=Supply%20order%20ready%20for%20pickup&amp;body=Dear%20PSW%2C%0A%0AYour%20order%20is%20ready%20for%20pickup%20from%20Sample%20Branch%2C%20Wed-Fri%209am-4pm.</v>
      </c>
      <c r="AF1402" s="89" t="str">
        <f t="shared" si="244"/>
        <v>Draft email</v>
      </c>
      <c r="AG1402" s="64" t="str">
        <f>IF($C1402="","",IFERROR(INDEX('Staff Directory'!$K$595:$K$599,MATCH($C1402,'Staff Directory'!$B$5:$B$599,0)),$D1402))</f>
        <v>PSW</v>
      </c>
      <c r="AH1402" t="str">
        <f>IF($C1402="","",IFERROR(INDEX('Staff Directory'!$I$595:$I$599,MATCH($C1402,'Staff Directory'!$B$5:$B$599,0))&amp;" "&amp;INDEX('Staff Directory'!$J$595:$J$599,MATCH($C1402,'Staff Directory'!$B$5:$B$599,0)),$AG1402))</f>
        <v>PSW</v>
      </c>
      <c r="AI1402" s="102"/>
      <c r="AJ1402" s="101">
        <f>IF($F1402="","",SUMIFS($J$5:$J1402,$F$5:$F1402,$F1402))</f>
        <v>13</v>
      </c>
      <c r="AK1402" s="101">
        <f t="shared" si="236"/>
        <v>13</v>
      </c>
      <c r="AL1402" s="66" t="str" cm="1">
        <f t="array" ref="AL1402">IF($F1402="","",IFERROR(INDEX('Lot Balance'!$B$5:$B$500,MATCH(1,INDEX(('Lot Balance'!$A$5:$A$500=$F1402)*('Lot Balance'!$K$5:$K$500&lt;$AK1402)*('Lot Balance'!$K$5:$K$500+'Lot Balance'!$D$5:$D$500&gt;=$AK1402),0),0)),""))</f>
        <v/>
      </c>
      <c r="AM1402" s="66" t="str" cm="1">
        <f t="array" ref="AM1402">IF($F1402="","",IFERROR(INDEX('Lot Balance'!$B$5:$B$500,MATCH(1,INDEX(('Lot Balance'!$A$5:$A$500=$F1402)*('Lot Balance'!$K$5:$K$500&lt;$AJ1402)*('Lot Balance'!$K$5:$K$500+'Lot Balance'!$D$5:$D$500&gt;=$AJ1402),0),0)),""))</f>
        <v/>
      </c>
      <c r="AN1402" s="66" t="str">
        <f>IF($F1402="","",IF($AI1402&lt;&gt;"",IF(COUNTIFS('Lot Balance'!$A$5:$A$500,$F1402,'Lot Balance'!$B$5:$B$500,$AI1402)=0,"⚠ override is not a lot of this item",IF($AI1402=$AL1402,"Override = FEFO","Override - FEFO says "&amp;$AL1402)),IF($AL1402="","⚠ no receipt on file for this item",IF($AM1402&lt;&gt;$AL1402,"FEFO auto - split, also "&amp;$AM1402,"FEFO auto"))))</f>
        <v>⚠ no receipt on file for this item</v>
      </c>
      <c r="AO1402" s="114"/>
    </row>
    <row r="1403" spans="1:41" x14ac:dyDescent="0.35">
      <c r="A1403" s="74">
        <v>46203</v>
      </c>
      <c r="B1403" s="18" t="str">
        <f>IF($C1403="","",IFERROR(INDEX('Staff Directory'!$A$5:$A$594,MATCH($C1403,'Staff Directory'!$B$5:$B$594,0)),"⚠ unknown staff"))</f>
        <v>RN-049-A1</v>
      </c>
      <c r="C1403" s="49" t="s">
        <v>974</v>
      </c>
      <c r="D1403" s="19" t="str">
        <f>IF($B1403="","",IFERROR(INDEX('Staff Directory'!$C$5:$C$594,MATCH($B1403,'Staff Directory'!$A$5:$A$594,0)),""))</f>
        <v>RN</v>
      </c>
      <c r="E1403" s="19" t="str">
        <f>IF($B1403="","",IFERROR(INDEX('Staff Directory'!$D$5:$D$594,MATCH($B1403,'Staff Directory'!$A$5:$A$594,0)),""))</f>
        <v>A1</v>
      </c>
      <c r="F1403" s="9" t="s">
        <v>129</v>
      </c>
      <c r="G1403" s="18" t="str">
        <f>IF($F1403="","",IFERROR(INDEX(Items!$B$5:$B$597,MATCH($F1403,Items!$A$5:$A$597,0)),"⚠ not in Items"))</f>
        <v>Gloves</v>
      </c>
      <c r="H1403" s="19" t="str">
        <f>IF($F1403="","",IFERROR(INDEX(Items!$C$5:$C$597,MATCH($F1403,Items!$A$5:$A$597,0)),""))</f>
        <v>Small</v>
      </c>
      <c r="I1403" s="23">
        <f>IF($F1403="","",IFERROR(INDEX(Items!$E$5:$E$597,MATCH($F1403,Items!$A$5:$A$597,0)),""))</f>
        <v>500</v>
      </c>
      <c r="J1403" s="115">
        <f>IF(tblIssues[[#This Row],[Qty Override]]&lt;&gt;"",tblIssues[[#This Row],[Qty Override]],IF(tblIssues[[#This Row],[Standard Issue]]="","",tblIssues[[#This Row],[Standard Issue]]))</f>
        <v>500</v>
      </c>
      <c r="K1403" s="20">
        <f>IF($F1403="","",IFERROR(INDEX(Items!$D$5:$D$597,MATCH($F1403,Items!$A$5:$A$597,0)),""))</f>
        <v>5.5E-2</v>
      </c>
      <c r="L1403" s="21">
        <f t="shared" si="239"/>
        <v>27.5</v>
      </c>
      <c r="M1403" s="9" t="str">
        <f t="shared" si="237"/>
        <v>ZIM504124207-8</v>
      </c>
      <c r="N1403" s="24">
        <f>IF($A1403="","",WORKDAY($A1403,Settings!$C$9,HolidayDates))</f>
        <v>46211</v>
      </c>
      <c r="O1403" s="24">
        <f>IF($N1403="","",WORKDAY($N1403,Settings!$C$10,HolidayDates))</f>
        <v>46251</v>
      </c>
      <c r="P1403" s="10" t="s">
        <v>502</v>
      </c>
      <c r="Q1403" s="52" t="str">
        <f t="shared" si="240"/>
        <v>Collected</v>
      </c>
      <c r="R1403" s="55" t="str">
        <f t="shared" si="241"/>
        <v>2026-06</v>
      </c>
      <c r="S1403" s="55">
        <f>IF(OR($B1403="",$F1403="",$R1403=""),"",SUMIFS(tblIssues[Qty Issued],tblIssues[Staff ID],$B1403,tblIssues[Item Name],$F1403,tblIssues[Month],$R1403))</f>
        <v>500</v>
      </c>
      <c r="T1403" s="56">
        <f>IF($I1403="","",$I1403*Settings!$C$11)</f>
        <v>500</v>
      </c>
      <c r="U1403" s="57" t="str">
        <f t="shared" si="238"/>
        <v>OK</v>
      </c>
      <c r="V1403" s="55" t="str">
        <f t="shared" si="242"/>
        <v/>
      </c>
      <c r="W1403" s="55" t="str">
        <f>IF($V1403="","",IF(COUNTIF($V$5:$V1403,$V1403)=1,1,""))</f>
        <v/>
      </c>
      <c r="X1403" s="58" t="str">
        <f>IF($W1403="","",MAX($X$4:X1402)+1)</f>
        <v/>
      </c>
      <c r="Y1403" s="62"/>
      <c r="Z1403" s="62"/>
      <c r="AA1403" s="64" t="str">
        <f>IF($C1403="","",IFERROR(INDEX('Staff Directory'!$E$5:$E$594,MATCH($C1403,'Staff Directory'!$B$5:$B$594,0)),""))</f>
        <v>firstname058.lastname058@example.com</v>
      </c>
      <c r="AB1403" s="64" t="str">
        <f>IF($C1403="","",IF(ISNUMBER(SEARCH($D1403,Settings!$C$15)),"Pickup","Dispatch"))</f>
        <v>Dispatch</v>
      </c>
      <c r="AC1403" s="64" t="str">
        <f t="shared" si="243"/>
        <v>Supply order dispatched</v>
      </c>
      <c r="AD1403" s="64" t="str">
        <f t="shared" si="234"/>
        <v>Dear RN,
Your order has been dispatched and is in transit. Reply if undelivered.</v>
      </c>
      <c r="AE1403" s="64" t="str">
        <f t="shared" si="235"/>
        <v>mailto:firstname058.lastname058@example.com?subject=Supply%20order%20dispatched&amp;body=Dear%20RN%2C%0A%0AYour%20order%20has%20been%20dispatched%20and%20is%20in%20transit.%20Reply%20if%20undelivered.</v>
      </c>
      <c r="AF1403" s="89" t="str">
        <f t="shared" si="244"/>
        <v>Draft email</v>
      </c>
      <c r="AG1403" s="64" t="str">
        <f>IF($C1403="","",IFERROR(INDEX('Staff Directory'!$K$595:$K$599,MATCH($C1403,'Staff Directory'!$B$5:$B$599,0)),$D1403))</f>
        <v>RN</v>
      </c>
      <c r="AH1403" t="str">
        <f>IF($C1403="","",IFERROR(INDEX('Staff Directory'!$I$595:$I$599,MATCH($C1403,'Staff Directory'!$B$5:$B$599,0))&amp;" "&amp;INDEX('Staff Directory'!$J$595:$J$599,MATCH($C1403,'Staff Directory'!$B$5:$B$599,0)),$AG1403))</f>
        <v>RN</v>
      </c>
      <c r="AI1403" s="102"/>
      <c r="AJ1403" s="101">
        <f>IF($F1403="","",SUMIFS($J$5:$J1403,$F$5:$F1403,$F1403))</f>
        <v>42500</v>
      </c>
      <c r="AK1403" s="101">
        <f t="shared" si="236"/>
        <v>42001</v>
      </c>
      <c r="AL1403" s="66" t="str" cm="1">
        <f t="array" ref="AL1403">IF($F1403="","",IFERROR(INDEX('Lot Balance'!$B$5:$B$500,MATCH(1,INDEX(('Lot Balance'!$A$5:$A$500=$F1403)*('Lot Balance'!$K$5:$K$500&lt;$AK1403)*('Lot Balance'!$K$5:$K$500+'Lot Balance'!$D$5:$D$500&gt;=$AK1403),0),0)),""))</f>
        <v>ZIM504124207-8</v>
      </c>
      <c r="AM1403" s="66" t="str" cm="1">
        <f t="array" ref="AM1403">IF($F1403="","",IFERROR(INDEX('Lot Balance'!$B$5:$B$500,MATCH(1,INDEX(('Lot Balance'!$A$5:$A$500=$F1403)*('Lot Balance'!$K$5:$K$500&lt;$AJ1403)*('Lot Balance'!$K$5:$K$500+'Lot Balance'!$D$5:$D$500&gt;=$AJ1403),0),0)),""))</f>
        <v>ZIM502120291</v>
      </c>
      <c r="AN1403" s="66" t="str">
        <f>IF($F1403="","",IF($AI1403&lt;&gt;"",IF(COUNTIFS('Lot Balance'!$A$5:$A$500,$F1403,'Lot Balance'!$B$5:$B$500,$AI1403)=0,"⚠ override is not a lot of this item",IF($AI1403=$AL1403,"Override = FEFO","Override - FEFO says "&amp;$AL1403)),IF($AL1403="","⚠ no receipt on file for this item",IF($AM1403&lt;&gt;$AL1403,"FEFO auto - split, also "&amp;$AM1403,"FEFO auto"))))</f>
        <v>FEFO auto - split, also ZIM502120291</v>
      </c>
      <c r="AO1403" s="114"/>
    </row>
    <row r="1404" spans="1:41" x14ac:dyDescent="0.35">
      <c r="A1404" s="74">
        <v>46203</v>
      </c>
      <c r="B1404" s="18" t="str">
        <f>IF($C1404="","",IFERROR(INDEX('Staff Directory'!$A$5:$A$594,MATCH($C1404,'Staff Directory'!$B$5:$B$594,0)),"⚠ unknown staff"))</f>
        <v>RN-049-A1</v>
      </c>
      <c r="C1404" s="49" t="s">
        <v>974</v>
      </c>
      <c r="D1404" s="19" t="str">
        <f>IF($B1404="","",IFERROR(INDEX('Staff Directory'!$C$5:$C$594,MATCH($B1404,'Staff Directory'!$A$5:$A$594,0)),""))</f>
        <v>RN</v>
      </c>
      <c r="E1404" s="19" t="str">
        <f>IF($B1404="","",IFERROR(INDEX('Staff Directory'!$D$5:$D$594,MATCH($B1404,'Staff Directory'!$A$5:$A$594,0)),""))</f>
        <v>A1</v>
      </c>
      <c r="F1404" s="9" t="s">
        <v>191</v>
      </c>
      <c r="G1404" s="18" t="str">
        <f>IF($F1404="","",IFERROR(INDEX(Items!$B$5:$B$597,MATCH($F1404,Items!$A$5:$A$597,0)),"⚠ not in Items"))</f>
        <v>Sanitizer</v>
      </c>
      <c r="H1404" s="19" t="str">
        <f>IF($F1404="","",IFERROR(INDEX(Items!$C$5:$C$597,MATCH($F1404,Items!$A$5:$A$597,0)),""))</f>
        <v>236 ML</v>
      </c>
      <c r="I1404" s="23">
        <f>IF($F1404="","",IFERROR(INDEX(Items!$E$5:$E$597,MATCH($F1404,Items!$A$5:$A$597,0)),""))</f>
        <v>1</v>
      </c>
      <c r="J1404" s="115">
        <f>IF(tblIssues[[#This Row],[Qty Override]]&lt;&gt;"",tblIssues[[#This Row],[Qty Override]],IF(tblIssues[[#This Row],[Standard Issue]]="","",tblIssues[[#This Row],[Standard Issue]]))</f>
        <v>1</v>
      </c>
      <c r="K1404" s="20">
        <f>IF($F1404="","",IFERROR(INDEX(Items!$D$5:$D$597,MATCH($F1404,Items!$A$5:$A$597,0)),""))</f>
        <v>1E-4</v>
      </c>
      <c r="L1404" s="21">
        <f t="shared" si="239"/>
        <v>1E-4</v>
      </c>
      <c r="M1404" s="9" t="str">
        <f t="shared" si="237"/>
        <v/>
      </c>
      <c r="N1404" s="24">
        <f>IF($A1404="","",WORKDAY($A1404,Settings!$C$9,HolidayDates))</f>
        <v>46211</v>
      </c>
      <c r="O1404" s="24">
        <f>IF($N1404="","",WORKDAY($N1404,Settings!$C$10,HolidayDates))</f>
        <v>46251</v>
      </c>
      <c r="P1404" s="10" t="s">
        <v>502</v>
      </c>
      <c r="Q1404" s="52" t="str">
        <f t="shared" si="240"/>
        <v>Collected</v>
      </c>
      <c r="R1404" s="55" t="str">
        <f t="shared" si="241"/>
        <v>2026-06</v>
      </c>
      <c r="S1404" s="55">
        <f>IF(OR($B1404="",$F1404="",$R1404=""),"",SUMIFS(tblIssues[Qty Issued],tblIssues[Staff ID],$B1404,tblIssues[Item Name],$F1404,tblIssues[Month],$R1404))</f>
        <v>1</v>
      </c>
      <c r="T1404" s="56">
        <f>IF($I1404="","",$I1404*Settings!$C$11)</f>
        <v>1</v>
      </c>
      <c r="U1404" s="57" t="str">
        <f t="shared" si="238"/>
        <v>OK</v>
      </c>
      <c r="V1404" s="55" t="str">
        <f t="shared" si="242"/>
        <v/>
      </c>
      <c r="W1404" s="55" t="str">
        <f>IF($V1404="","",IF(COUNTIF($V$5:$V1404,$V1404)=1,1,""))</f>
        <v/>
      </c>
      <c r="X1404" s="58" t="str">
        <f>IF($W1404="","",MAX($X$4:X1403)+1)</f>
        <v/>
      </c>
      <c r="Y1404" s="62"/>
      <c r="Z1404" s="62"/>
      <c r="AA1404" s="64" t="str">
        <f>IF($C1404="","",IFERROR(INDEX('Staff Directory'!$E$5:$E$594,MATCH($C1404,'Staff Directory'!$B$5:$B$594,0)),""))</f>
        <v>firstname058.lastname058@example.com</v>
      </c>
      <c r="AB1404" s="64" t="str">
        <f>IF($C1404="","",IF(ISNUMBER(SEARCH($D1404,Settings!$C$15)),"Pickup","Dispatch"))</f>
        <v>Dispatch</v>
      </c>
      <c r="AC1404" s="64" t="str">
        <f t="shared" si="243"/>
        <v>Supply order dispatched</v>
      </c>
      <c r="AD1404" s="64" t="str">
        <f t="shared" si="234"/>
        <v>Dear RN,
Your order has been dispatched and is in transit. Reply if undelivered.</v>
      </c>
      <c r="AE1404" s="64" t="str">
        <f t="shared" si="235"/>
        <v>mailto:firstname058.lastname058@example.com?subject=Supply%20order%20dispatched&amp;body=Dear%20RN%2C%0A%0AYour%20order%20has%20been%20dispatched%20and%20is%20in%20transit.%20Reply%20if%20undelivered.</v>
      </c>
      <c r="AF1404" s="89" t="str">
        <f t="shared" si="244"/>
        <v>Draft email</v>
      </c>
      <c r="AG1404" s="64" t="str">
        <f>IF($C1404="","",IFERROR(INDEX('Staff Directory'!$K$595:$K$599,MATCH($C1404,'Staff Directory'!$B$5:$B$599,0)),$D1404))</f>
        <v>RN</v>
      </c>
      <c r="AH1404" t="str">
        <f>IF($C1404="","",IFERROR(INDEX('Staff Directory'!$I$595:$I$599,MATCH($C1404,'Staff Directory'!$B$5:$B$599,0))&amp;" "&amp;INDEX('Staff Directory'!$J$595:$J$599,MATCH($C1404,'Staff Directory'!$B$5:$B$599,0)),$AG1404))</f>
        <v>RN</v>
      </c>
      <c r="AI1404" s="102"/>
      <c r="AJ1404" s="101">
        <f>IF($F1404="","",SUMIFS($J$5:$J1404,$F$5:$F1404,$F1404))</f>
        <v>189</v>
      </c>
      <c r="AK1404" s="101">
        <f t="shared" si="236"/>
        <v>189</v>
      </c>
      <c r="AL1404" s="66" t="str" cm="1">
        <f t="array" ref="AL1404">IF($F1404="","",IFERROR(INDEX('Lot Balance'!$B$5:$B$500,MATCH(1,INDEX(('Lot Balance'!$A$5:$A$500=$F1404)*('Lot Balance'!$K$5:$K$500&lt;$AK1404)*('Lot Balance'!$K$5:$K$500+'Lot Balance'!$D$5:$D$500&gt;=$AK1404),0),0)),""))</f>
        <v/>
      </c>
      <c r="AM1404" s="66" t="str" cm="1">
        <f t="array" ref="AM1404">IF($F1404="","",IFERROR(INDEX('Lot Balance'!$B$5:$B$500,MATCH(1,INDEX(('Lot Balance'!$A$5:$A$500=$F1404)*('Lot Balance'!$K$5:$K$500&lt;$AJ1404)*('Lot Balance'!$K$5:$K$500+'Lot Balance'!$D$5:$D$500&gt;=$AJ1404),0),0)),""))</f>
        <v/>
      </c>
      <c r="AN1404" s="66" t="str">
        <f>IF($F1404="","",IF($AI1404&lt;&gt;"",IF(COUNTIFS('Lot Balance'!$A$5:$A$500,$F1404,'Lot Balance'!$B$5:$B$500,$AI1404)=0,"⚠ override is not a lot of this item",IF($AI1404=$AL1404,"Override = FEFO","Override - FEFO says "&amp;$AL1404)),IF($AL1404="","⚠ no receipt on file for this item",IF($AM1404&lt;&gt;$AL1404,"FEFO auto - split, also "&amp;$AM1404,"FEFO auto"))))</f>
        <v>⚠ no receipt on file for this item</v>
      </c>
      <c r="AO1404" s="114"/>
    </row>
    <row r="1405" spans="1:41" x14ac:dyDescent="0.35">
      <c r="A1405" s="74">
        <v>46203</v>
      </c>
      <c r="B1405" s="18" t="str">
        <f>IF($C1405="","",IFERROR(INDEX('Staff Directory'!$A$5:$A$594,MATCH($C1405,'Staff Directory'!$B$5:$B$594,0)),"⚠ unknown staff"))</f>
        <v>RN-049-A1</v>
      </c>
      <c r="C1405" s="49" t="s">
        <v>974</v>
      </c>
      <c r="D1405" s="19" t="str">
        <f>IF($B1405="","",IFERROR(INDEX('Staff Directory'!$C$5:$C$594,MATCH($B1405,'Staff Directory'!$A$5:$A$594,0)),""))</f>
        <v>RN</v>
      </c>
      <c r="E1405" s="19" t="str">
        <f>IF($B1405="","",IFERROR(INDEX('Staff Directory'!$D$5:$D$594,MATCH($B1405,'Staff Directory'!$A$5:$A$594,0)),""))</f>
        <v>A1</v>
      </c>
      <c r="F1405" s="9" t="s">
        <v>115</v>
      </c>
      <c r="G1405" s="18" t="str">
        <f>IF($F1405="","",IFERROR(INDEX(Items!$B$5:$B$597,MATCH($F1405,Items!$A$5:$A$597,0)),"⚠ not in Items"))</f>
        <v>Wipes</v>
      </c>
      <c r="H1405" s="19">
        <f>IF($F1405="","",IFERROR(INDEX(Items!$C$5:$C$597,MATCH($F1405,Items!$A$5:$A$597,0)),""))</f>
        <v>80</v>
      </c>
      <c r="I1405" s="23">
        <f>IF($F1405="","",IFERROR(INDEX(Items!$E$5:$E$597,MATCH($F1405,Items!$A$5:$A$597,0)),""))</f>
        <v>80</v>
      </c>
      <c r="J1405" s="115">
        <f>IF(tblIssues[[#This Row],[Qty Override]]&lt;&gt;"",tblIssues[[#This Row],[Qty Override]],IF(tblIssues[[#This Row],[Standard Issue]]="","",tblIssues[[#This Row],[Standard Issue]]))</f>
        <v>80</v>
      </c>
      <c r="K1405" s="20">
        <f>IF($F1405="","",IFERROR(INDEX(Items!$D$5:$D$597,MATCH($F1405,Items!$A$5:$A$597,0)),""))</f>
        <v>0.1</v>
      </c>
      <c r="L1405" s="21">
        <f t="shared" si="239"/>
        <v>8</v>
      </c>
      <c r="M1405" s="9" t="str">
        <f t="shared" si="237"/>
        <v>LYSL500290</v>
      </c>
      <c r="N1405" s="24">
        <f>IF($A1405="","",WORKDAY($A1405,Settings!$C$9,HolidayDates))</f>
        <v>46211</v>
      </c>
      <c r="O1405" s="24">
        <f>IF($N1405="","",WORKDAY($N1405,Settings!$C$10,HolidayDates))</f>
        <v>46251</v>
      </c>
      <c r="P1405" s="10" t="s">
        <v>502</v>
      </c>
      <c r="Q1405" s="52" t="str">
        <f t="shared" si="240"/>
        <v>Collected</v>
      </c>
      <c r="R1405" s="55" t="str">
        <f t="shared" si="241"/>
        <v>2026-06</v>
      </c>
      <c r="S1405" s="55">
        <f>IF(OR($B1405="",$F1405="",$R1405=""),"",SUMIFS(tblIssues[Qty Issued],tblIssues[Staff ID],$B1405,tblIssues[Item Name],$F1405,tblIssues[Month],$R1405))</f>
        <v>80</v>
      </c>
      <c r="T1405" s="56">
        <f>IF($I1405="","",$I1405*Settings!$C$11)</f>
        <v>80</v>
      </c>
      <c r="U1405" s="57" t="str">
        <f t="shared" si="238"/>
        <v>OK</v>
      </c>
      <c r="V1405" s="55" t="str">
        <f t="shared" si="242"/>
        <v/>
      </c>
      <c r="W1405" s="55" t="str">
        <f>IF($V1405="","",IF(COUNTIF($V$5:$V1405,$V1405)=1,1,""))</f>
        <v/>
      </c>
      <c r="X1405" s="58" t="str">
        <f>IF($W1405="","",MAX($X$4:X1404)+1)</f>
        <v/>
      </c>
      <c r="Y1405" s="62"/>
      <c r="Z1405" s="62"/>
      <c r="AA1405" s="64" t="str">
        <f>IF($C1405="","",IFERROR(INDEX('Staff Directory'!$E$5:$E$594,MATCH($C1405,'Staff Directory'!$B$5:$B$594,0)),""))</f>
        <v>firstname058.lastname058@example.com</v>
      </c>
      <c r="AB1405" s="64" t="str">
        <f>IF($C1405="","",IF(ISNUMBER(SEARCH($D1405,Settings!$C$15)),"Pickup","Dispatch"))</f>
        <v>Dispatch</v>
      </c>
      <c r="AC1405" s="64" t="str">
        <f t="shared" si="243"/>
        <v>Supply order dispatched</v>
      </c>
      <c r="AD1405" s="64" t="str">
        <f t="shared" si="234"/>
        <v>Dear RN,
Your order has been dispatched and is in transit. Reply if undelivered.</v>
      </c>
      <c r="AE1405" s="64" t="str">
        <f t="shared" si="235"/>
        <v>mailto:firstname058.lastname058@example.com?subject=Supply%20order%20dispatched&amp;body=Dear%20RN%2C%0A%0AYour%20order%20has%20been%20dispatched%20and%20is%20in%20transit.%20Reply%20if%20undelivered.</v>
      </c>
      <c r="AF1405" s="89" t="str">
        <f t="shared" si="244"/>
        <v>Draft email</v>
      </c>
      <c r="AG1405" s="64" t="str">
        <f>IF($C1405="","",IFERROR(INDEX('Staff Directory'!$K$595:$K$599,MATCH($C1405,'Staff Directory'!$B$5:$B$599,0)),$D1405))</f>
        <v>RN</v>
      </c>
      <c r="AH1405" t="str">
        <f>IF($C1405="","",IFERROR(INDEX('Staff Directory'!$I$595:$I$599,MATCH($C1405,'Staff Directory'!$B$5:$B$599,0))&amp;" "&amp;INDEX('Staff Directory'!$J$595:$J$599,MATCH($C1405,'Staff Directory'!$B$5:$B$599,0)),$AG1405))</f>
        <v>RN</v>
      </c>
      <c r="AI1405" s="102"/>
      <c r="AJ1405" s="101">
        <f>IF($F1405="","",SUMIFS($J$5:$J1405,$F$5:$F1405,$F1405))</f>
        <v>19360</v>
      </c>
      <c r="AK1405" s="101">
        <f t="shared" si="236"/>
        <v>19281</v>
      </c>
      <c r="AL1405" s="66" t="str" cm="1">
        <f t="array" ref="AL1405">IF($F1405="","",IFERROR(INDEX('Lot Balance'!$B$5:$B$500,MATCH(1,INDEX(('Lot Balance'!$A$5:$A$500=$F1405)*('Lot Balance'!$K$5:$K$500&lt;$AK1405)*('Lot Balance'!$K$5:$K$500+'Lot Balance'!$D$5:$D$500&gt;=$AK1405),0),0)),""))</f>
        <v>LYSL500290</v>
      </c>
      <c r="AM1405" s="66" t="str" cm="1">
        <f t="array" ref="AM1405">IF($F1405="","",IFERROR(INDEX('Lot Balance'!$B$5:$B$500,MATCH(1,INDEX(('Lot Balance'!$A$5:$A$500=$F1405)*('Lot Balance'!$K$5:$K$500&lt;$AJ1405)*('Lot Balance'!$K$5:$K$500+'Lot Balance'!$D$5:$D$500&gt;=$AJ1405),0),0)),""))</f>
        <v>LYSL500290</v>
      </c>
      <c r="AN1405" s="66" t="str">
        <f>IF($F1405="","",IF($AI1405&lt;&gt;"",IF(COUNTIFS('Lot Balance'!$A$5:$A$500,$F1405,'Lot Balance'!$B$5:$B$500,$AI1405)=0,"⚠ override is not a lot of this item",IF($AI1405=$AL1405,"Override = FEFO","Override - FEFO says "&amp;$AL1405)),IF($AL1405="","⚠ no receipt on file for this item",IF($AM1405&lt;&gt;$AL1405,"FEFO auto - split, also "&amp;$AM1405,"FEFO auto"))))</f>
        <v>FEFO auto</v>
      </c>
      <c r="AO1405" s="114"/>
    </row>
    <row r="1406" spans="1:41" x14ac:dyDescent="0.35">
      <c r="A1406" s="74">
        <v>46203</v>
      </c>
      <c r="B1406" s="18" t="str">
        <f>IF($C1406="","",IFERROR(INDEX('Staff Directory'!$A$5:$A$594,MATCH($C1406,'Staff Directory'!$B$5:$B$594,0)),"⚠ unknown staff"))</f>
        <v>RN-049-A1</v>
      </c>
      <c r="C1406" s="49" t="s">
        <v>974</v>
      </c>
      <c r="D1406" s="19" t="str">
        <f>IF($B1406="","",IFERROR(INDEX('Staff Directory'!$C$5:$C$594,MATCH($B1406,'Staff Directory'!$A$5:$A$594,0)),""))</f>
        <v>RN</v>
      </c>
      <c r="E1406" s="19" t="str">
        <f>IF($B1406="","",IFERROR(INDEX('Staff Directory'!$D$5:$D$594,MATCH($B1406,'Staff Directory'!$A$5:$A$594,0)),""))</f>
        <v>A1</v>
      </c>
      <c r="F1406" s="9" t="s">
        <v>156</v>
      </c>
      <c r="G1406" s="18" t="str">
        <f>IF($F1406="","",IFERROR(INDEX(Items!$B$5:$B$597,MATCH($F1406,Items!$A$5:$A$597,0)),"⚠ not in Items"))</f>
        <v>Masks</v>
      </c>
      <c r="H1406" s="19" t="str">
        <f>IF($F1406="","",IFERROR(INDEX(Items!$C$5:$C$597,MATCH($F1406,Items!$A$5:$A$597,0)),""))</f>
        <v>One Size</v>
      </c>
      <c r="I1406" s="23">
        <f>IF($F1406="","",IFERROR(INDEX(Items!$E$5:$E$597,MATCH($F1406,Items!$A$5:$A$597,0)),""))</f>
        <v>50</v>
      </c>
      <c r="J1406" s="115">
        <f>IF(tblIssues[[#This Row],[Qty Override]]&lt;&gt;"",tblIssues[[#This Row],[Qty Override]],IF(tblIssues[[#This Row],[Standard Issue]]="","",tblIssues[[#This Row],[Standard Issue]]))</f>
        <v>50</v>
      </c>
      <c r="K1406" s="20">
        <f>IF($F1406="","",IFERROR(INDEX(Items!$D$5:$D$597,MATCH($F1406,Items!$A$5:$A$597,0)),""))</f>
        <v>0.25</v>
      </c>
      <c r="L1406" s="21">
        <f t="shared" si="239"/>
        <v>12.5</v>
      </c>
      <c r="M1406" s="9" t="str">
        <f t="shared" si="237"/>
        <v>24HA2050A7396</v>
      </c>
      <c r="N1406" s="24">
        <f>IF($A1406="","",WORKDAY($A1406,Settings!$C$9,HolidayDates))</f>
        <v>46211</v>
      </c>
      <c r="O1406" s="24">
        <f>IF($N1406="","",WORKDAY($N1406,Settings!$C$10,HolidayDates))</f>
        <v>46251</v>
      </c>
      <c r="P1406" s="10" t="s">
        <v>502</v>
      </c>
      <c r="Q1406" s="52" t="str">
        <f t="shared" si="240"/>
        <v>Collected</v>
      </c>
      <c r="R1406" s="55" t="str">
        <f t="shared" si="241"/>
        <v>2026-06</v>
      </c>
      <c r="S1406" s="55">
        <f>IF(OR($B1406="",$F1406="",$R1406=""),"",SUMIFS(tblIssues[Qty Issued],tblIssues[Staff ID],$B1406,tblIssues[Item Name],$F1406,tblIssues[Month],$R1406))</f>
        <v>50</v>
      </c>
      <c r="T1406" s="56">
        <f>IF($I1406="","",$I1406*Settings!$C$11)</f>
        <v>50</v>
      </c>
      <c r="U1406" s="57" t="str">
        <f t="shared" si="238"/>
        <v>OK</v>
      </c>
      <c r="V1406" s="55" t="str">
        <f t="shared" si="242"/>
        <v/>
      </c>
      <c r="W1406" s="55" t="str">
        <f>IF($V1406="","",IF(COUNTIF($V$5:$V1406,$V1406)=1,1,""))</f>
        <v/>
      </c>
      <c r="X1406" s="58" t="str">
        <f>IF($W1406="","",MAX($X$4:X1405)+1)</f>
        <v/>
      </c>
      <c r="Y1406" s="62"/>
      <c r="Z1406" s="62"/>
      <c r="AA1406" s="64" t="str">
        <f>IF($C1406="","",IFERROR(INDEX('Staff Directory'!$E$5:$E$594,MATCH($C1406,'Staff Directory'!$B$5:$B$594,0)),""))</f>
        <v>firstname058.lastname058@example.com</v>
      </c>
      <c r="AB1406" s="64" t="str">
        <f>IF($C1406="","",IF(ISNUMBER(SEARCH($D1406,Settings!$C$15)),"Pickup","Dispatch"))</f>
        <v>Dispatch</v>
      </c>
      <c r="AC1406" s="64" t="str">
        <f t="shared" si="243"/>
        <v>Supply order dispatched</v>
      </c>
      <c r="AD1406" s="64" t="str">
        <f t="shared" si="234"/>
        <v>Dear RN,
Your order has been dispatched and is in transit. Reply if undelivered.</v>
      </c>
      <c r="AE1406" s="64" t="str">
        <f t="shared" si="235"/>
        <v>mailto:firstname058.lastname058@example.com?subject=Supply%20order%20dispatched&amp;body=Dear%20RN%2C%0A%0AYour%20order%20has%20been%20dispatched%20and%20is%20in%20transit.%20Reply%20if%20undelivered.</v>
      </c>
      <c r="AF1406" s="89" t="str">
        <f t="shared" si="244"/>
        <v>Draft email</v>
      </c>
      <c r="AG1406" s="64" t="str">
        <f>IF($C1406="","",IFERROR(INDEX('Staff Directory'!$K$595:$K$599,MATCH($C1406,'Staff Directory'!$B$5:$B$599,0)),$D1406))</f>
        <v>RN</v>
      </c>
      <c r="AH1406" t="str">
        <f>IF($C1406="","",IFERROR(INDEX('Staff Directory'!$I$595:$I$599,MATCH($C1406,'Staff Directory'!$B$5:$B$599,0))&amp;" "&amp;INDEX('Staff Directory'!$J$595:$J$599,MATCH($C1406,'Staff Directory'!$B$5:$B$599,0)),$AG1406))</f>
        <v>RN</v>
      </c>
      <c r="AI1406" s="102"/>
      <c r="AJ1406" s="101">
        <f>IF($F1406="","",SUMIFS($J$5:$J1406,$F$5:$F1406,$F1406))</f>
        <v>12250</v>
      </c>
      <c r="AK1406" s="101">
        <f t="shared" si="236"/>
        <v>12201</v>
      </c>
      <c r="AL1406" s="66" t="str" cm="1">
        <f t="array" ref="AL1406">IF($F1406="","",IFERROR(INDEX('Lot Balance'!$B$5:$B$500,MATCH(1,INDEX(('Lot Balance'!$A$5:$A$500=$F1406)*('Lot Balance'!$K$5:$K$500&lt;$AK1406)*('Lot Balance'!$K$5:$K$500+'Lot Balance'!$D$5:$D$500&gt;=$AK1406),0),0)),""))</f>
        <v>24HA2050A7396</v>
      </c>
      <c r="AM1406" s="66" t="str" cm="1">
        <f t="array" ref="AM1406">IF($F1406="","",IFERROR(INDEX('Lot Balance'!$B$5:$B$500,MATCH(1,INDEX(('Lot Balance'!$A$5:$A$500=$F1406)*('Lot Balance'!$K$5:$K$500&lt;$AJ1406)*('Lot Balance'!$K$5:$K$500+'Lot Balance'!$D$5:$D$500&gt;=$AJ1406),0),0)),""))</f>
        <v>24HA2050A7396</v>
      </c>
      <c r="AN1406" s="66" t="str">
        <f>IF($F1406="","",IF($AI1406&lt;&gt;"",IF(COUNTIFS('Lot Balance'!$A$5:$A$500,$F1406,'Lot Balance'!$B$5:$B$500,$AI1406)=0,"⚠ override is not a lot of this item",IF($AI1406=$AL1406,"Override = FEFO","Override - FEFO says "&amp;$AL1406)),IF($AL1406="","⚠ no receipt on file for this item",IF($AM1406&lt;&gt;$AL1406,"FEFO auto - split, also "&amp;$AM1406,"FEFO auto"))))</f>
        <v>FEFO auto</v>
      </c>
      <c r="AO1406" s="114"/>
    </row>
    <row r="1407" spans="1:41" x14ac:dyDescent="0.35">
      <c r="A1407" s="74">
        <v>46203</v>
      </c>
      <c r="B1407" s="18" t="str">
        <f>IF($C1407="","",IFERROR(INDEX('Staff Directory'!$A$5:$A$594,MATCH($C1407,'Staff Directory'!$B$5:$B$594,0)),"⚠ unknown staff"))</f>
        <v>RN-049-A1</v>
      </c>
      <c r="C1407" s="49" t="s">
        <v>974</v>
      </c>
      <c r="D1407" s="19" t="str">
        <f>IF($B1407="","",IFERROR(INDEX('Staff Directory'!$C$5:$C$594,MATCH($B1407,'Staff Directory'!$A$5:$A$594,0)),""))</f>
        <v>RN</v>
      </c>
      <c r="E1407" s="19" t="str">
        <f>IF($B1407="","",IFERROR(INDEX('Staff Directory'!$D$5:$D$594,MATCH($B1407,'Staff Directory'!$A$5:$A$594,0)),""))</f>
        <v>A1</v>
      </c>
      <c r="F1407" s="9" t="s">
        <v>743</v>
      </c>
      <c r="G1407" s="18" t="str">
        <f>IF($F1407="","",IFERROR(INDEX(Items!$B$5:$B$597,MATCH($F1407,Items!$A$5:$A$597,0)),"⚠ not in Items"))</f>
        <v>PPE</v>
      </c>
      <c r="H1407" s="19" t="str">
        <f>IF($F1407="","",IFERROR(INDEX(Items!$C$5:$C$597,MATCH($F1407,Items!$A$5:$A$597,0)),""))</f>
        <v>Standard</v>
      </c>
      <c r="I1407" s="23">
        <f>IF($F1407="","",IFERROR(INDEX(Items!$E$5:$E$597,MATCH($F1407,Items!$A$5:$A$597,0)),""))</f>
        <v>1</v>
      </c>
      <c r="J1407" s="115">
        <f>IF(tblIssues[[#This Row],[Qty Override]]&lt;&gt;"",tblIssues[[#This Row],[Qty Override]],IF(tblIssues[[#This Row],[Standard Issue]]="","",tblIssues[[#This Row],[Standard Issue]]))</f>
        <v>1</v>
      </c>
      <c r="K1407" s="20">
        <f>IF($F1407="","",IFERROR(INDEX(Items!$D$5:$D$597,MATCH($F1407,Items!$A$5:$A$597,0)),""))</f>
        <v>0</v>
      </c>
      <c r="L1407" s="21">
        <f t="shared" si="239"/>
        <v>0</v>
      </c>
      <c r="M1407" s="9" t="str">
        <f t="shared" si="237"/>
        <v/>
      </c>
      <c r="N1407" s="24">
        <f>IF($A1407="","",WORKDAY($A1407,Settings!$C$9,HolidayDates))</f>
        <v>46211</v>
      </c>
      <c r="O1407" s="24">
        <f>IF($N1407="","",WORKDAY($N1407,Settings!$C$10,HolidayDates))</f>
        <v>46251</v>
      </c>
      <c r="P1407" s="10" t="s">
        <v>502</v>
      </c>
      <c r="Q1407" s="52" t="str">
        <f t="shared" si="240"/>
        <v>Collected</v>
      </c>
      <c r="R1407" s="55" t="str">
        <f t="shared" si="241"/>
        <v>2026-06</v>
      </c>
      <c r="S1407" s="55">
        <f>IF(OR($B1407="",$F1407="",$R1407=""),"",SUMIFS(tblIssues[Qty Issued],tblIssues[Staff ID],$B1407,tblIssues[Item Name],$F1407,tblIssues[Month],$R1407))</f>
        <v>1</v>
      </c>
      <c r="T1407" s="56">
        <f>IF($I1407="","",$I1407*Settings!$C$11)</f>
        <v>1</v>
      </c>
      <c r="U1407" s="57" t="str">
        <f t="shared" si="238"/>
        <v>OK</v>
      </c>
      <c r="V1407" s="55" t="str">
        <f t="shared" si="242"/>
        <v/>
      </c>
      <c r="W1407" s="55" t="str">
        <f>IF($V1407="","",IF(COUNTIF($V$5:$V1407,$V1407)=1,1,""))</f>
        <v/>
      </c>
      <c r="X1407" s="58" t="str">
        <f>IF($W1407="","",MAX($X$4:X1406)+1)</f>
        <v/>
      </c>
      <c r="Y1407" s="62"/>
      <c r="Z1407" s="62"/>
      <c r="AA1407" s="64" t="str">
        <f>IF($C1407="","",IFERROR(INDEX('Staff Directory'!$E$5:$E$594,MATCH($C1407,'Staff Directory'!$B$5:$B$594,0)),""))</f>
        <v>firstname058.lastname058@example.com</v>
      </c>
      <c r="AB1407" s="64" t="str">
        <f>IF($C1407="","",IF(ISNUMBER(SEARCH($D1407,Settings!$C$15)),"Pickup","Dispatch"))</f>
        <v>Dispatch</v>
      </c>
      <c r="AC1407" s="64" t="str">
        <f t="shared" si="243"/>
        <v>Supply order dispatched</v>
      </c>
      <c r="AD1407" s="64" t="str">
        <f t="shared" si="234"/>
        <v>Dear RN,
Your order has been dispatched and is in transit. Reply if undelivered.</v>
      </c>
      <c r="AE1407" s="64" t="str">
        <f t="shared" si="235"/>
        <v>mailto:firstname058.lastname058@example.com?subject=Supply%20order%20dispatched&amp;body=Dear%20RN%2C%0A%0AYour%20order%20has%20been%20dispatched%20and%20is%20in%20transit.%20Reply%20if%20undelivered.</v>
      </c>
      <c r="AF1407" s="89" t="str">
        <f t="shared" si="244"/>
        <v>Draft email</v>
      </c>
      <c r="AG1407" s="64" t="str">
        <f>IF($C1407="","",IFERROR(INDEX('Staff Directory'!$K$595:$K$599,MATCH($C1407,'Staff Directory'!$B$5:$B$599,0)),$D1407))</f>
        <v>RN</v>
      </c>
      <c r="AH1407" t="str">
        <f>IF($C1407="","",IFERROR(INDEX('Staff Directory'!$I$595:$I$599,MATCH($C1407,'Staff Directory'!$B$5:$B$599,0))&amp;" "&amp;INDEX('Staff Directory'!$J$595:$J$599,MATCH($C1407,'Staff Directory'!$B$5:$B$599,0)),$AG1407))</f>
        <v>RN</v>
      </c>
      <c r="AI1407" s="102"/>
      <c r="AJ1407" s="101">
        <f>IF($F1407="","",SUMIFS($J$5:$J1407,$F$5:$F1407,$F1407))</f>
        <v>1</v>
      </c>
      <c r="AK1407" s="101">
        <f t="shared" si="236"/>
        <v>1</v>
      </c>
      <c r="AL1407" s="66" t="str" cm="1">
        <f t="array" ref="AL1407">IF($F1407="","",IFERROR(INDEX('Lot Balance'!$B$5:$B$500,MATCH(1,INDEX(('Lot Balance'!$A$5:$A$500=$F1407)*('Lot Balance'!$K$5:$K$500&lt;$AK1407)*('Lot Balance'!$K$5:$K$500+'Lot Balance'!$D$5:$D$500&gt;=$AK1407),0),0)),""))</f>
        <v/>
      </c>
      <c r="AM1407" s="66" t="str" cm="1">
        <f t="array" ref="AM1407">IF($F1407="","",IFERROR(INDEX('Lot Balance'!$B$5:$B$500,MATCH(1,INDEX(('Lot Balance'!$A$5:$A$500=$F1407)*('Lot Balance'!$K$5:$K$500&lt;$AJ1407)*('Lot Balance'!$K$5:$K$500+'Lot Balance'!$D$5:$D$500&gt;=$AJ1407),0),0)),""))</f>
        <v/>
      </c>
      <c r="AN1407" s="66" t="str">
        <f>IF($F1407="","",IF($AI1407&lt;&gt;"",IF(COUNTIFS('Lot Balance'!$A$5:$A$500,$F1407,'Lot Balance'!$B$5:$B$500,$AI1407)=0,"⚠ override is not a lot of this item",IF($AI1407=$AL1407,"Override = FEFO","Override - FEFO says "&amp;$AL1407)),IF($AL1407="","⚠ no receipt on file for this item",IF($AM1407&lt;&gt;$AL1407,"FEFO auto - split, also "&amp;$AM1407,"FEFO auto"))))</f>
        <v>⚠ no receipt on file for this item</v>
      </c>
      <c r="AO1407" s="114"/>
    </row>
    <row r="1408" spans="1:41" x14ac:dyDescent="0.35">
      <c r="A1408" s="74">
        <v>46203</v>
      </c>
      <c r="B1408" s="18" t="str">
        <f>IF($C1408="","",IFERROR(INDEX('Staff Directory'!$A$5:$A$594,MATCH($C1408,'Staff Directory'!$B$5:$B$594,0)),"⚠ unknown staff"))</f>
        <v>RN-049-A1</v>
      </c>
      <c r="C1408" s="49" t="s">
        <v>974</v>
      </c>
      <c r="D1408" s="19" t="str">
        <f>IF($B1408="","",IFERROR(INDEX('Staff Directory'!$C$5:$C$594,MATCH($B1408,'Staff Directory'!$A$5:$A$594,0)),""))</f>
        <v>RN</v>
      </c>
      <c r="E1408" s="19" t="str">
        <f>IF($B1408="","",IFERROR(INDEX('Staff Directory'!$D$5:$D$594,MATCH($B1408,'Staff Directory'!$A$5:$A$594,0)),""))</f>
        <v>A1</v>
      </c>
      <c r="F1408" s="9" t="s">
        <v>757</v>
      </c>
      <c r="G1408" s="18" t="str">
        <f>IF($F1408="","",IFERROR(INDEX(Items!$B$5:$B$597,MATCH($F1408,Items!$A$5:$A$597,0)),"⚠ not in Items"))</f>
        <v>Documents</v>
      </c>
      <c r="H1408" s="19" t="str">
        <f>IF($F1408="","",IFERROR(INDEX(Items!$C$5:$C$597,MATCH($F1408,Items!$A$5:$A$597,0)),""))</f>
        <v>Standard</v>
      </c>
      <c r="I1408" s="23">
        <f>IF($F1408="","",IFERROR(INDEX(Items!$E$5:$E$597,MATCH($F1408,Items!$A$5:$A$597,0)),""))</f>
        <v>10</v>
      </c>
      <c r="J1408" s="115">
        <f>IF(tblIssues[[#This Row],[Qty Override]]&lt;&gt;"",tblIssues[[#This Row],[Qty Override]],IF(tblIssues[[#This Row],[Standard Issue]]="","",tblIssues[[#This Row],[Standard Issue]]))</f>
        <v>10</v>
      </c>
      <c r="K1408" s="20">
        <f>IF($F1408="","",IFERROR(INDEX(Items!$D$5:$D$597,MATCH($F1408,Items!$A$5:$A$597,0)),""))</f>
        <v>0</v>
      </c>
      <c r="L1408" s="21">
        <f t="shared" si="239"/>
        <v>0</v>
      </c>
      <c r="M1408" s="9" t="str">
        <f t="shared" si="237"/>
        <v/>
      </c>
      <c r="N1408" s="24">
        <f>IF($A1408="","",WORKDAY($A1408,Settings!$C$9,HolidayDates))</f>
        <v>46211</v>
      </c>
      <c r="O1408" s="24">
        <f>IF($N1408="","",WORKDAY($N1408,Settings!$C$10,HolidayDates))</f>
        <v>46251</v>
      </c>
      <c r="P1408" s="10" t="s">
        <v>502</v>
      </c>
      <c r="Q1408" s="52" t="str">
        <f t="shared" si="240"/>
        <v>Collected</v>
      </c>
      <c r="R1408" s="55" t="str">
        <f t="shared" si="241"/>
        <v>2026-06</v>
      </c>
      <c r="S1408" s="55">
        <f>IF(OR($B1408="",$F1408="",$R1408=""),"",SUMIFS(tblIssues[Qty Issued],tblIssues[Staff ID],$B1408,tblIssues[Item Name],$F1408,tblIssues[Month],$R1408))</f>
        <v>30</v>
      </c>
      <c r="T1408" s="56">
        <f>IF($I1408="","",$I1408*Settings!$C$11)</f>
        <v>10</v>
      </c>
      <c r="U1408" s="57" t="str">
        <f t="shared" si="238"/>
        <v>⚠ OVER QUOTA</v>
      </c>
      <c r="V1408" s="55" t="str">
        <f t="shared" si="242"/>
        <v>RN-049-A1 | Sample Org CONNECT Welcome Package RN | 2026-06</v>
      </c>
      <c r="W1408" s="55" t="str">
        <f>IF($V1408="","",IF(COUNTIF($V$5:$V1408,$V1408)=1,1,""))</f>
        <v/>
      </c>
      <c r="X1408" s="58" t="str">
        <f>IF($W1408="","",MAX($X$4:X1407)+1)</f>
        <v/>
      </c>
      <c r="Y1408" s="62"/>
      <c r="Z1408" s="62"/>
      <c r="AA1408" s="64" t="str">
        <f>IF($C1408="","",IFERROR(INDEX('Staff Directory'!$E$5:$E$594,MATCH($C1408,'Staff Directory'!$B$5:$B$594,0)),""))</f>
        <v>firstname058.lastname058@example.com</v>
      </c>
      <c r="AB1408" s="64" t="str">
        <f>IF($C1408="","",IF(ISNUMBER(SEARCH($D1408,Settings!$C$15)),"Pickup","Dispatch"))</f>
        <v>Dispatch</v>
      </c>
      <c r="AC1408" s="64" t="str">
        <f t="shared" si="243"/>
        <v>Supply order dispatched</v>
      </c>
      <c r="AD1408" s="64" t="str">
        <f t="shared" si="234"/>
        <v>Dear RN,
Your order has been dispatched and is in transit. Reply if undelivered.</v>
      </c>
      <c r="AE1408" s="64" t="str">
        <f t="shared" si="235"/>
        <v>mailto:firstname058.lastname058@example.com?subject=Supply%20order%20dispatched&amp;body=Dear%20RN%2C%0A%0AYour%20order%20has%20been%20dispatched%20and%20is%20in%20transit.%20Reply%20if%20undelivered.</v>
      </c>
      <c r="AF1408" s="89" t="str">
        <f t="shared" si="244"/>
        <v>Draft email</v>
      </c>
      <c r="AG1408" s="64" t="str">
        <f>IF($C1408="","",IFERROR(INDEX('Staff Directory'!$K$595:$K$599,MATCH($C1408,'Staff Directory'!$B$5:$B$599,0)),$D1408))</f>
        <v>RN</v>
      </c>
      <c r="AH1408" t="str">
        <f>IF($C1408="","",IFERROR(INDEX('Staff Directory'!$I$595:$I$599,MATCH($C1408,'Staff Directory'!$B$5:$B$599,0))&amp;" "&amp;INDEX('Staff Directory'!$J$595:$J$599,MATCH($C1408,'Staff Directory'!$B$5:$B$599,0)),$AG1408))</f>
        <v>RN</v>
      </c>
      <c r="AI1408" s="102"/>
      <c r="AJ1408" s="101">
        <f>IF($F1408="","",SUMIFS($J$5:$J1408,$F$5:$F1408,$F1408))</f>
        <v>700</v>
      </c>
      <c r="AK1408" s="101">
        <f t="shared" si="236"/>
        <v>691</v>
      </c>
      <c r="AL1408" s="66" t="str" cm="1">
        <f t="array" ref="AL1408">IF($F1408="","",IFERROR(INDEX('Lot Balance'!$B$5:$B$500,MATCH(1,INDEX(('Lot Balance'!$A$5:$A$500=$F1408)*('Lot Balance'!$K$5:$K$500&lt;$AK1408)*('Lot Balance'!$K$5:$K$500+'Lot Balance'!$D$5:$D$500&gt;=$AK1408),0),0)),""))</f>
        <v/>
      </c>
      <c r="AM1408" s="66" t="str" cm="1">
        <f t="array" ref="AM1408">IF($F1408="","",IFERROR(INDEX('Lot Balance'!$B$5:$B$500,MATCH(1,INDEX(('Lot Balance'!$A$5:$A$500=$F1408)*('Lot Balance'!$K$5:$K$500&lt;$AJ1408)*('Lot Balance'!$K$5:$K$500+'Lot Balance'!$D$5:$D$500&gt;=$AJ1408),0),0)),""))</f>
        <v/>
      </c>
      <c r="AN1408" s="66" t="str">
        <f>IF($F1408="","",IF($AI1408&lt;&gt;"",IF(COUNTIFS('Lot Balance'!$A$5:$A$500,$F1408,'Lot Balance'!$B$5:$B$500,$AI1408)=0,"⚠ override is not a lot of this item",IF($AI1408=$AL1408,"Override = FEFO","Override - FEFO says "&amp;$AL1408)),IF($AL1408="","⚠ no receipt on file for this item",IF($AM1408&lt;&gt;$AL1408,"FEFO auto - split, also "&amp;$AM1408,"FEFO auto"))))</f>
        <v>⚠ no receipt on file for this item</v>
      </c>
      <c r="AO1408" s="114"/>
    </row>
    <row r="1409" spans="1:41" x14ac:dyDescent="0.35">
      <c r="A1409" s="74">
        <v>46203</v>
      </c>
      <c r="B1409" s="18" t="str">
        <f>IF($C1409="","",IFERROR(INDEX('Staff Directory'!$A$5:$A$594,MATCH($C1409,'Staff Directory'!$B$5:$B$594,0)),"⚠ unknown staff"))</f>
        <v>PSW-147-A5</v>
      </c>
      <c r="C1409" s="49" t="s">
        <v>1126</v>
      </c>
      <c r="D1409" s="19" t="str">
        <f>IF($B1409="","",IFERROR(INDEX('Staff Directory'!$C$5:$C$594,MATCH($B1409,'Staff Directory'!$A$5:$A$594,0)),""))</f>
        <v>PSW</v>
      </c>
      <c r="E1409" s="19" t="str">
        <f>IF($B1409="","",IFERROR(INDEX('Staff Directory'!$D$5:$D$594,MATCH($B1409,'Staff Directory'!$A$5:$A$594,0)),""))</f>
        <v>A5</v>
      </c>
      <c r="F1409" s="9" t="s">
        <v>129</v>
      </c>
      <c r="G1409" s="18" t="str">
        <f>IF($F1409="","",IFERROR(INDEX(Items!$B$5:$B$597,MATCH($F1409,Items!$A$5:$A$597,0)),"⚠ not in Items"))</f>
        <v>Gloves</v>
      </c>
      <c r="H1409" s="19" t="str">
        <f>IF($F1409="","",IFERROR(INDEX(Items!$C$5:$C$597,MATCH($F1409,Items!$A$5:$A$597,0)),""))</f>
        <v>Small</v>
      </c>
      <c r="I1409" s="23">
        <f>IF($F1409="","",IFERROR(INDEX(Items!$E$5:$E$597,MATCH($F1409,Items!$A$5:$A$597,0)),""))</f>
        <v>500</v>
      </c>
      <c r="J1409" s="115">
        <f>IF(tblIssues[[#This Row],[Qty Override]]&lt;&gt;"",tblIssues[[#This Row],[Qty Override]],IF(tblIssues[[#This Row],[Standard Issue]]="","",tblIssues[[#This Row],[Standard Issue]]))</f>
        <v>500</v>
      </c>
      <c r="K1409" s="20">
        <f>IF($F1409="","",IFERROR(INDEX(Items!$D$5:$D$597,MATCH($F1409,Items!$A$5:$A$597,0)),""))</f>
        <v>5.5E-2</v>
      </c>
      <c r="L1409" s="21">
        <f t="shared" si="239"/>
        <v>27.5</v>
      </c>
      <c r="M1409" s="9" t="str">
        <f t="shared" si="237"/>
        <v>ZIM502120291</v>
      </c>
      <c r="N1409" s="24">
        <f>IF($A1409="","",WORKDAY($A1409,Settings!$C$9,HolidayDates))</f>
        <v>46211</v>
      </c>
      <c r="O1409" s="24">
        <f>IF($N1409="","",WORKDAY($N1409,Settings!$C$10,HolidayDates))</f>
        <v>46251</v>
      </c>
      <c r="P1409" s="10" t="s">
        <v>501</v>
      </c>
      <c r="Q1409" s="52" t="str">
        <f t="shared" si="240"/>
        <v>Collected</v>
      </c>
      <c r="R1409" s="55" t="str">
        <f t="shared" si="241"/>
        <v>2026-06</v>
      </c>
      <c r="S1409" s="55">
        <f>IF(OR($B1409="",$F1409="",$R1409=""),"",SUMIFS(tblIssues[Qty Issued],tblIssues[Staff ID],$B1409,tblIssues[Item Name],$F1409,tblIssues[Month],$R1409))</f>
        <v>500</v>
      </c>
      <c r="T1409" s="56">
        <f>IF($I1409="","",$I1409*Settings!$C$11)</f>
        <v>500</v>
      </c>
      <c r="U1409" s="57" t="str">
        <f t="shared" si="238"/>
        <v>OK</v>
      </c>
      <c r="V1409" s="55" t="str">
        <f t="shared" si="242"/>
        <v/>
      </c>
      <c r="W1409" s="55" t="str">
        <f>IF($V1409="","",IF(COUNTIF($V$5:$V1409,$V1409)=1,1,""))</f>
        <v/>
      </c>
      <c r="X1409" s="58" t="str">
        <f>IF($W1409="","",MAX($X$4:X1408)+1)</f>
        <v/>
      </c>
      <c r="Y1409" s="62"/>
      <c r="Z1409" s="62"/>
      <c r="AA1409" s="64" t="str">
        <f>IF($C1409="","",IFERROR(INDEX('Staff Directory'!$E$5:$E$594,MATCH($C1409,'Staff Directory'!$B$5:$B$594,0)),""))</f>
        <v>firstname210.lastname210@example.com</v>
      </c>
      <c r="AB1409" s="64" t="str">
        <f>IF($C1409="","",IF(ISNUMBER(SEARCH($D1409,Settings!$C$15)),"Pickup","Dispatch"))</f>
        <v>Pickup</v>
      </c>
      <c r="AC1409" s="64" t="str">
        <f t="shared" si="243"/>
        <v>Supply order ready for pickup</v>
      </c>
      <c r="AD1409" s="64" t="str">
        <f t="shared" si="234"/>
        <v>Dear PSW,
Your order is ready for pickup from Sample Branch, Wed-Fri 9am-4pm.</v>
      </c>
      <c r="AE1409" s="64" t="str">
        <f t="shared" si="235"/>
        <v>mailto:firstname210.lastname210@example.com?subject=Supply%20order%20ready%20for%20pickup&amp;body=Dear%20PSW%2C%0A%0AYour%20order%20is%20ready%20for%20pickup%20from%20Sample%20Branch%2C%20Wed-Fri%209am-4pm.</v>
      </c>
      <c r="AF1409" s="89" t="str">
        <f t="shared" si="244"/>
        <v>Draft email</v>
      </c>
      <c r="AG1409" s="64" t="str">
        <f>IF($C1409="","",IFERROR(INDEX('Staff Directory'!$K$595:$K$599,MATCH($C1409,'Staff Directory'!$B$5:$B$599,0)),$D1409))</f>
        <v>PSW</v>
      </c>
      <c r="AH1409" t="str">
        <f>IF($C1409="","",IFERROR(INDEX('Staff Directory'!$I$595:$I$599,MATCH($C1409,'Staff Directory'!$B$5:$B$599,0))&amp;" "&amp;INDEX('Staff Directory'!$J$595:$J$599,MATCH($C1409,'Staff Directory'!$B$5:$B$599,0)),$AG1409))</f>
        <v>PSW</v>
      </c>
      <c r="AI1409" s="102"/>
      <c r="AJ1409" s="101">
        <f>IF($F1409="","",SUMIFS($J$5:$J1409,$F$5:$F1409,$F1409))</f>
        <v>43000</v>
      </c>
      <c r="AK1409" s="101">
        <f t="shared" si="236"/>
        <v>42501</v>
      </c>
      <c r="AL1409" s="66" t="str" cm="1">
        <f t="array" ref="AL1409">IF($F1409="","",IFERROR(INDEX('Lot Balance'!$B$5:$B$500,MATCH(1,INDEX(('Lot Balance'!$A$5:$A$500=$F1409)*('Lot Balance'!$K$5:$K$500&lt;$AK1409)*('Lot Balance'!$K$5:$K$500+'Lot Balance'!$D$5:$D$500&gt;=$AK1409),0),0)),""))</f>
        <v>ZIM502120291</v>
      </c>
      <c r="AM1409" s="66" t="str" cm="1">
        <f t="array" ref="AM1409">IF($F1409="","",IFERROR(INDEX('Lot Balance'!$B$5:$B$500,MATCH(1,INDEX(('Lot Balance'!$A$5:$A$500=$F1409)*('Lot Balance'!$K$5:$K$500&lt;$AJ1409)*('Lot Balance'!$K$5:$K$500+'Lot Balance'!$D$5:$D$500&gt;=$AJ1409),0),0)),""))</f>
        <v>ZIM502120291</v>
      </c>
      <c r="AN1409" s="66" t="str">
        <f>IF($F1409="","",IF($AI1409&lt;&gt;"",IF(COUNTIFS('Lot Balance'!$A$5:$A$500,$F1409,'Lot Balance'!$B$5:$B$500,$AI1409)=0,"⚠ override is not a lot of this item",IF($AI1409=$AL1409,"Override = FEFO","Override - FEFO says "&amp;$AL1409)),IF($AL1409="","⚠ no receipt on file for this item",IF($AM1409&lt;&gt;$AL1409,"FEFO auto - split, also "&amp;$AM1409,"FEFO auto"))))</f>
        <v>FEFO auto</v>
      </c>
      <c r="AO1409" s="114"/>
    </row>
    <row r="1410" spans="1:41" x14ac:dyDescent="0.35">
      <c r="A1410" s="74">
        <v>46203</v>
      </c>
      <c r="B1410" s="18" t="str">
        <f>IF($C1410="","",IFERROR(INDEX('Staff Directory'!$A$5:$A$594,MATCH($C1410,'Staff Directory'!$B$5:$B$594,0)),"⚠ unknown staff"))</f>
        <v>PSW-147-A5</v>
      </c>
      <c r="C1410" s="49" t="s">
        <v>1126</v>
      </c>
      <c r="D1410" s="19" t="str">
        <f>IF($B1410="","",IFERROR(INDEX('Staff Directory'!$C$5:$C$594,MATCH($B1410,'Staff Directory'!$A$5:$A$594,0)),""))</f>
        <v>PSW</v>
      </c>
      <c r="E1410" s="19" t="str">
        <f>IF($B1410="","",IFERROR(INDEX('Staff Directory'!$D$5:$D$594,MATCH($B1410,'Staff Directory'!$A$5:$A$594,0)),""))</f>
        <v>A5</v>
      </c>
      <c r="F1410" s="9" t="s">
        <v>191</v>
      </c>
      <c r="G1410" s="18" t="str">
        <f>IF($F1410="","",IFERROR(INDEX(Items!$B$5:$B$597,MATCH($F1410,Items!$A$5:$A$597,0)),"⚠ not in Items"))</f>
        <v>Sanitizer</v>
      </c>
      <c r="H1410" s="19" t="str">
        <f>IF($F1410="","",IFERROR(INDEX(Items!$C$5:$C$597,MATCH($F1410,Items!$A$5:$A$597,0)),""))</f>
        <v>236 ML</v>
      </c>
      <c r="I1410" s="23">
        <f>IF($F1410="","",IFERROR(INDEX(Items!$E$5:$E$597,MATCH($F1410,Items!$A$5:$A$597,0)),""))</f>
        <v>1</v>
      </c>
      <c r="J1410" s="115">
        <f>IF(tblIssues[[#This Row],[Qty Override]]&lt;&gt;"",tblIssues[[#This Row],[Qty Override]],IF(tblIssues[[#This Row],[Standard Issue]]="","",tblIssues[[#This Row],[Standard Issue]]))</f>
        <v>1</v>
      </c>
      <c r="K1410" s="20">
        <f>IF($F1410="","",IFERROR(INDEX(Items!$D$5:$D$597,MATCH($F1410,Items!$A$5:$A$597,0)),""))</f>
        <v>1E-4</v>
      </c>
      <c r="L1410" s="21">
        <f t="shared" si="239"/>
        <v>1E-4</v>
      </c>
      <c r="M1410" s="9" t="str">
        <f t="shared" si="237"/>
        <v/>
      </c>
      <c r="N1410" s="24">
        <f>IF($A1410="","",WORKDAY($A1410,Settings!$C$9,HolidayDates))</f>
        <v>46211</v>
      </c>
      <c r="O1410" s="24">
        <f>IF($N1410="","",WORKDAY($N1410,Settings!$C$10,HolidayDates))</f>
        <v>46251</v>
      </c>
      <c r="P1410" s="10" t="s">
        <v>501</v>
      </c>
      <c r="Q1410" s="52" t="str">
        <f t="shared" si="240"/>
        <v>Collected</v>
      </c>
      <c r="R1410" s="55" t="str">
        <f t="shared" si="241"/>
        <v>2026-06</v>
      </c>
      <c r="S1410" s="55">
        <f>IF(OR($B1410="",$F1410="",$R1410=""),"",SUMIFS(tblIssues[Qty Issued],tblIssues[Staff ID],$B1410,tblIssues[Item Name],$F1410,tblIssues[Month],$R1410))</f>
        <v>1</v>
      </c>
      <c r="T1410" s="56">
        <f>IF($I1410="","",$I1410*Settings!$C$11)</f>
        <v>1</v>
      </c>
      <c r="U1410" s="57" t="str">
        <f t="shared" si="238"/>
        <v>OK</v>
      </c>
      <c r="V1410" s="55" t="str">
        <f t="shared" si="242"/>
        <v/>
      </c>
      <c r="W1410" s="55" t="str">
        <f>IF($V1410="","",IF(COUNTIF($V$5:$V1410,$V1410)=1,1,""))</f>
        <v/>
      </c>
      <c r="X1410" s="58" t="str">
        <f>IF($W1410="","",MAX($X$4:X1409)+1)</f>
        <v/>
      </c>
      <c r="Y1410" s="62"/>
      <c r="Z1410" s="62"/>
      <c r="AA1410" s="64" t="str">
        <f>IF($C1410="","",IFERROR(INDEX('Staff Directory'!$E$5:$E$594,MATCH($C1410,'Staff Directory'!$B$5:$B$594,0)),""))</f>
        <v>firstname210.lastname210@example.com</v>
      </c>
      <c r="AB1410" s="64" t="str">
        <f>IF($C1410="","",IF(ISNUMBER(SEARCH($D1410,Settings!$C$15)),"Pickup","Dispatch"))</f>
        <v>Pickup</v>
      </c>
      <c r="AC1410" s="64" t="str">
        <f t="shared" si="243"/>
        <v>Supply order ready for pickup</v>
      </c>
      <c r="AD1410" s="64" t="str">
        <f t="shared" si="234"/>
        <v>Dear PSW,
Your order is ready for pickup from Sample Branch, Wed-Fri 9am-4pm.</v>
      </c>
      <c r="AE1410" s="64" t="str">
        <f t="shared" si="235"/>
        <v>mailto:firstname210.lastname210@example.com?subject=Supply%20order%20ready%20for%20pickup&amp;body=Dear%20PSW%2C%0A%0AYour%20order%20is%20ready%20for%20pickup%20from%20Sample%20Branch%2C%20Wed-Fri%209am-4pm.</v>
      </c>
      <c r="AF1410" s="89" t="str">
        <f t="shared" si="244"/>
        <v>Draft email</v>
      </c>
      <c r="AG1410" s="64" t="str">
        <f>IF($C1410="","",IFERROR(INDEX('Staff Directory'!$K$595:$K$599,MATCH($C1410,'Staff Directory'!$B$5:$B$599,0)),$D1410))</f>
        <v>PSW</v>
      </c>
      <c r="AH1410" t="str">
        <f>IF($C1410="","",IFERROR(INDEX('Staff Directory'!$I$595:$I$599,MATCH($C1410,'Staff Directory'!$B$5:$B$599,0))&amp;" "&amp;INDEX('Staff Directory'!$J$595:$J$599,MATCH($C1410,'Staff Directory'!$B$5:$B$599,0)),$AG1410))</f>
        <v>PSW</v>
      </c>
      <c r="AI1410" s="102"/>
      <c r="AJ1410" s="101">
        <f>IF($F1410="","",SUMIFS($J$5:$J1410,$F$5:$F1410,$F1410))</f>
        <v>190</v>
      </c>
      <c r="AK1410" s="101">
        <f t="shared" si="236"/>
        <v>190</v>
      </c>
      <c r="AL1410" s="66" t="str" cm="1">
        <f t="array" ref="AL1410">IF($F1410="","",IFERROR(INDEX('Lot Balance'!$B$5:$B$500,MATCH(1,INDEX(('Lot Balance'!$A$5:$A$500=$F1410)*('Lot Balance'!$K$5:$K$500&lt;$AK1410)*('Lot Balance'!$K$5:$K$500+'Lot Balance'!$D$5:$D$500&gt;=$AK1410),0),0)),""))</f>
        <v/>
      </c>
      <c r="AM1410" s="66" t="str" cm="1">
        <f t="array" ref="AM1410">IF($F1410="","",IFERROR(INDEX('Lot Balance'!$B$5:$B$500,MATCH(1,INDEX(('Lot Balance'!$A$5:$A$500=$F1410)*('Lot Balance'!$K$5:$K$500&lt;$AJ1410)*('Lot Balance'!$K$5:$K$500+'Lot Balance'!$D$5:$D$500&gt;=$AJ1410),0),0)),""))</f>
        <v/>
      </c>
      <c r="AN1410" s="66" t="str">
        <f>IF($F1410="","",IF($AI1410&lt;&gt;"",IF(COUNTIFS('Lot Balance'!$A$5:$A$500,$F1410,'Lot Balance'!$B$5:$B$500,$AI1410)=0,"⚠ override is not a lot of this item",IF($AI1410=$AL1410,"Override = FEFO","Override - FEFO says "&amp;$AL1410)),IF($AL1410="","⚠ no receipt on file for this item",IF($AM1410&lt;&gt;$AL1410,"FEFO auto - split, also "&amp;$AM1410,"FEFO auto"))))</f>
        <v>⚠ no receipt on file for this item</v>
      </c>
      <c r="AO1410" s="114"/>
    </row>
    <row r="1411" spans="1:41" x14ac:dyDescent="0.35">
      <c r="A1411" s="74">
        <v>46203</v>
      </c>
      <c r="B1411" s="18" t="str">
        <f>IF($C1411="","",IFERROR(INDEX('Staff Directory'!$A$5:$A$594,MATCH($C1411,'Staff Directory'!$B$5:$B$594,0)),"⚠ unknown staff"))</f>
        <v>PSW-147-A5</v>
      </c>
      <c r="C1411" s="49" t="s">
        <v>1126</v>
      </c>
      <c r="D1411" s="19" t="str">
        <f>IF($B1411="","",IFERROR(INDEX('Staff Directory'!$C$5:$C$594,MATCH($B1411,'Staff Directory'!$A$5:$A$594,0)),""))</f>
        <v>PSW</v>
      </c>
      <c r="E1411" s="19" t="str">
        <f>IF($B1411="","",IFERROR(INDEX('Staff Directory'!$D$5:$D$594,MATCH($B1411,'Staff Directory'!$A$5:$A$594,0)),""))</f>
        <v>A5</v>
      </c>
      <c r="F1411" s="9" t="s">
        <v>115</v>
      </c>
      <c r="G1411" s="18" t="str">
        <f>IF($F1411="","",IFERROR(INDEX(Items!$B$5:$B$597,MATCH($F1411,Items!$A$5:$A$597,0)),"⚠ not in Items"))</f>
        <v>Wipes</v>
      </c>
      <c r="H1411" s="19">
        <f>IF($F1411="","",IFERROR(INDEX(Items!$C$5:$C$597,MATCH($F1411,Items!$A$5:$A$597,0)),""))</f>
        <v>80</v>
      </c>
      <c r="I1411" s="23">
        <f>IF($F1411="","",IFERROR(INDEX(Items!$E$5:$E$597,MATCH($F1411,Items!$A$5:$A$597,0)),""))</f>
        <v>80</v>
      </c>
      <c r="J1411" s="115">
        <f>IF(tblIssues[[#This Row],[Qty Override]]&lt;&gt;"",tblIssues[[#This Row],[Qty Override]],IF(tblIssues[[#This Row],[Standard Issue]]="","",tblIssues[[#This Row],[Standard Issue]]))</f>
        <v>80</v>
      </c>
      <c r="K1411" s="20">
        <f>IF($F1411="","",IFERROR(INDEX(Items!$D$5:$D$597,MATCH($F1411,Items!$A$5:$A$597,0)),""))</f>
        <v>0.1</v>
      </c>
      <c r="L1411" s="21">
        <f t="shared" si="239"/>
        <v>8</v>
      </c>
      <c r="M1411" s="9" t="str">
        <f t="shared" si="237"/>
        <v>LYSL500290</v>
      </c>
      <c r="N1411" s="24">
        <f>IF($A1411="","",WORKDAY($A1411,Settings!$C$9,HolidayDates))</f>
        <v>46211</v>
      </c>
      <c r="O1411" s="24">
        <f>IF($N1411="","",WORKDAY($N1411,Settings!$C$10,HolidayDates))</f>
        <v>46251</v>
      </c>
      <c r="P1411" s="10" t="s">
        <v>501</v>
      </c>
      <c r="Q1411" s="52" t="str">
        <f t="shared" si="240"/>
        <v>Collected</v>
      </c>
      <c r="R1411" s="55" t="str">
        <f t="shared" si="241"/>
        <v>2026-06</v>
      </c>
      <c r="S1411" s="55">
        <f>IF(OR($B1411="",$F1411="",$R1411=""),"",SUMIFS(tblIssues[Qty Issued],tblIssues[Staff ID],$B1411,tblIssues[Item Name],$F1411,tblIssues[Month],$R1411))</f>
        <v>80</v>
      </c>
      <c r="T1411" s="56">
        <f>IF($I1411="","",$I1411*Settings!$C$11)</f>
        <v>80</v>
      </c>
      <c r="U1411" s="57" t="str">
        <f t="shared" si="238"/>
        <v>OK</v>
      </c>
      <c r="V1411" s="55" t="str">
        <f t="shared" si="242"/>
        <v/>
      </c>
      <c r="W1411" s="55" t="str">
        <f>IF($V1411="","",IF(COUNTIF($V$5:$V1411,$V1411)=1,1,""))</f>
        <v/>
      </c>
      <c r="X1411" s="58" t="str">
        <f>IF($W1411="","",MAX($X$4:X1410)+1)</f>
        <v/>
      </c>
      <c r="Y1411" s="62"/>
      <c r="Z1411" s="62"/>
      <c r="AA1411" s="64" t="str">
        <f>IF($C1411="","",IFERROR(INDEX('Staff Directory'!$E$5:$E$594,MATCH($C1411,'Staff Directory'!$B$5:$B$594,0)),""))</f>
        <v>firstname210.lastname210@example.com</v>
      </c>
      <c r="AB1411" s="64" t="str">
        <f>IF($C1411="","",IF(ISNUMBER(SEARCH($D1411,Settings!$C$15)),"Pickup","Dispatch"))</f>
        <v>Pickup</v>
      </c>
      <c r="AC1411" s="64" t="str">
        <f t="shared" si="243"/>
        <v>Supply order ready for pickup</v>
      </c>
      <c r="AD1411" s="64" t="str">
        <f t="shared" si="234"/>
        <v>Dear PSW,
Your order is ready for pickup from Sample Branch, Wed-Fri 9am-4pm.</v>
      </c>
      <c r="AE1411" s="64" t="str">
        <f t="shared" si="235"/>
        <v>mailto:firstname210.lastname210@example.com?subject=Supply%20order%20ready%20for%20pickup&amp;body=Dear%20PSW%2C%0A%0AYour%20order%20is%20ready%20for%20pickup%20from%20Sample%20Branch%2C%20Wed-Fri%209am-4pm.</v>
      </c>
      <c r="AF1411" s="89" t="str">
        <f t="shared" si="244"/>
        <v>Draft email</v>
      </c>
      <c r="AG1411" s="64" t="str">
        <f>IF($C1411="","",IFERROR(INDEX('Staff Directory'!$K$595:$K$599,MATCH($C1411,'Staff Directory'!$B$5:$B$599,0)),$D1411))</f>
        <v>PSW</v>
      </c>
      <c r="AH1411" t="str">
        <f>IF($C1411="","",IFERROR(INDEX('Staff Directory'!$I$595:$I$599,MATCH($C1411,'Staff Directory'!$B$5:$B$599,0))&amp;" "&amp;INDEX('Staff Directory'!$J$595:$J$599,MATCH($C1411,'Staff Directory'!$B$5:$B$599,0)),$AG1411))</f>
        <v>PSW</v>
      </c>
      <c r="AI1411" s="102"/>
      <c r="AJ1411" s="101">
        <f>IF($F1411="","",SUMIFS($J$5:$J1411,$F$5:$F1411,$F1411))</f>
        <v>19440</v>
      </c>
      <c r="AK1411" s="101">
        <f t="shared" si="236"/>
        <v>19361</v>
      </c>
      <c r="AL1411" s="66" t="str" cm="1">
        <f t="array" ref="AL1411">IF($F1411="","",IFERROR(INDEX('Lot Balance'!$B$5:$B$500,MATCH(1,INDEX(('Lot Balance'!$A$5:$A$500=$F1411)*('Lot Balance'!$K$5:$K$500&lt;$AK1411)*('Lot Balance'!$K$5:$K$500+'Lot Balance'!$D$5:$D$500&gt;=$AK1411),0),0)),""))</f>
        <v>LYSL500290</v>
      </c>
      <c r="AM1411" s="66" t="str" cm="1">
        <f t="array" ref="AM1411">IF($F1411="","",IFERROR(INDEX('Lot Balance'!$B$5:$B$500,MATCH(1,INDEX(('Lot Balance'!$A$5:$A$500=$F1411)*('Lot Balance'!$K$5:$K$500&lt;$AJ1411)*('Lot Balance'!$K$5:$K$500+'Lot Balance'!$D$5:$D$500&gt;=$AJ1411),0),0)),""))</f>
        <v>LYSL500290</v>
      </c>
      <c r="AN1411" s="66" t="str">
        <f>IF($F1411="","",IF($AI1411&lt;&gt;"",IF(COUNTIFS('Lot Balance'!$A$5:$A$500,$F1411,'Lot Balance'!$B$5:$B$500,$AI1411)=0,"⚠ override is not a lot of this item",IF($AI1411=$AL1411,"Override = FEFO","Override - FEFO says "&amp;$AL1411)),IF($AL1411="","⚠ no receipt on file for this item",IF($AM1411&lt;&gt;$AL1411,"FEFO auto - split, also "&amp;$AM1411,"FEFO auto"))))</f>
        <v>FEFO auto</v>
      </c>
      <c r="AO1411" s="114"/>
    </row>
    <row r="1412" spans="1:41" x14ac:dyDescent="0.35">
      <c r="A1412" s="74">
        <v>46203</v>
      </c>
      <c r="B1412" s="18" t="str">
        <f>IF($C1412="","",IFERROR(INDEX('Staff Directory'!$A$5:$A$594,MATCH($C1412,'Staff Directory'!$B$5:$B$594,0)),"⚠ unknown staff"))</f>
        <v>PSW-147-A5</v>
      </c>
      <c r="C1412" s="49" t="s">
        <v>1126</v>
      </c>
      <c r="D1412" s="19" t="str">
        <f>IF($B1412="","",IFERROR(INDEX('Staff Directory'!$C$5:$C$594,MATCH($B1412,'Staff Directory'!$A$5:$A$594,0)),""))</f>
        <v>PSW</v>
      </c>
      <c r="E1412" s="19" t="str">
        <f>IF($B1412="","",IFERROR(INDEX('Staff Directory'!$D$5:$D$594,MATCH($B1412,'Staff Directory'!$A$5:$A$594,0)),""))</f>
        <v>A5</v>
      </c>
      <c r="F1412" s="9" t="s">
        <v>156</v>
      </c>
      <c r="G1412" s="18" t="str">
        <f>IF($F1412="","",IFERROR(INDEX(Items!$B$5:$B$597,MATCH($F1412,Items!$A$5:$A$597,0)),"⚠ not in Items"))</f>
        <v>Masks</v>
      </c>
      <c r="H1412" s="19" t="str">
        <f>IF($F1412="","",IFERROR(INDEX(Items!$C$5:$C$597,MATCH($F1412,Items!$A$5:$A$597,0)),""))</f>
        <v>One Size</v>
      </c>
      <c r="I1412" s="23">
        <f>IF($F1412="","",IFERROR(INDEX(Items!$E$5:$E$597,MATCH($F1412,Items!$A$5:$A$597,0)),""))</f>
        <v>50</v>
      </c>
      <c r="J1412" s="115">
        <f>IF(tblIssues[[#This Row],[Qty Override]]&lt;&gt;"",tblIssues[[#This Row],[Qty Override]],IF(tblIssues[[#This Row],[Standard Issue]]="","",tblIssues[[#This Row],[Standard Issue]]))</f>
        <v>50</v>
      </c>
      <c r="K1412" s="20">
        <f>IF($F1412="","",IFERROR(INDEX(Items!$D$5:$D$597,MATCH($F1412,Items!$A$5:$A$597,0)),""))</f>
        <v>0.25</v>
      </c>
      <c r="L1412" s="21">
        <f t="shared" si="239"/>
        <v>12.5</v>
      </c>
      <c r="M1412" s="9" t="str">
        <f t="shared" si="237"/>
        <v>24HA2050A7396</v>
      </c>
      <c r="N1412" s="24">
        <f>IF($A1412="","",WORKDAY($A1412,Settings!$C$9,HolidayDates))</f>
        <v>46211</v>
      </c>
      <c r="O1412" s="24">
        <f>IF($N1412="","",WORKDAY($N1412,Settings!$C$10,HolidayDates))</f>
        <v>46251</v>
      </c>
      <c r="P1412" s="10" t="s">
        <v>501</v>
      </c>
      <c r="Q1412" s="52" t="str">
        <f t="shared" si="240"/>
        <v>Collected</v>
      </c>
      <c r="R1412" s="55" t="str">
        <f t="shared" si="241"/>
        <v>2026-06</v>
      </c>
      <c r="S1412" s="55">
        <f>IF(OR($B1412="",$F1412="",$R1412=""),"",SUMIFS(tblIssues[Qty Issued],tblIssues[Staff ID],$B1412,tblIssues[Item Name],$F1412,tblIssues[Month],$R1412))</f>
        <v>50</v>
      </c>
      <c r="T1412" s="56">
        <f>IF($I1412="","",$I1412*Settings!$C$11)</f>
        <v>50</v>
      </c>
      <c r="U1412" s="57" t="str">
        <f t="shared" si="238"/>
        <v>OK</v>
      </c>
      <c r="V1412" s="55" t="str">
        <f t="shared" si="242"/>
        <v/>
      </c>
      <c r="W1412" s="55" t="str">
        <f>IF($V1412="","",IF(COUNTIF($V$5:$V1412,$V1412)=1,1,""))</f>
        <v/>
      </c>
      <c r="X1412" s="58" t="str">
        <f>IF($W1412="","",MAX($X$4:X1411)+1)</f>
        <v/>
      </c>
      <c r="Y1412" s="62"/>
      <c r="Z1412" s="62"/>
      <c r="AA1412" s="64" t="str">
        <f>IF($C1412="","",IFERROR(INDEX('Staff Directory'!$E$5:$E$594,MATCH($C1412,'Staff Directory'!$B$5:$B$594,0)),""))</f>
        <v>firstname210.lastname210@example.com</v>
      </c>
      <c r="AB1412" s="64" t="str">
        <f>IF($C1412="","",IF(ISNUMBER(SEARCH($D1412,Settings!$C$15)),"Pickup","Dispatch"))</f>
        <v>Pickup</v>
      </c>
      <c r="AC1412" s="64" t="str">
        <f t="shared" si="243"/>
        <v>Supply order ready for pickup</v>
      </c>
      <c r="AD1412" s="64" t="str">
        <f t="shared" si="234"/>
        <v>Dear PSW,
Your order is ready for pickup from Sample Branch, Wed-Fri 9am-4pm.</v>
      </c>
      <c r="AE1412" s="64" t="str">
        <f t="shared" si="235"/>
        <v>mailto:firstname210.lastname210@example.com?subject=Supply%20order%20ready%20for%20pickup&amp;body=Dear%20PSW%2C%0A%0AYour%20order%20is%20ready%20for%20pickup%20from%20Sample%20Branch%2C%20Wed-Fri%209am-4pm.</v>
      </c>
      <c r="AF1412" s="89" t="str">
        <f t="shared" si="244"/>
        <v>Draft email</v>
      </c>
      <c r="AG1412" s="64" t="str">
        <f>IF($C1412="","",IFERROR(INDEX('Staff Directory'!$K$595:$K$599,MATCH($C1412,'Staff Directory'!$B$5:$B$599,0)),$D1412))</f>
        <v>PSW</v>
      </c>
      <c r="AH1412" t="str">
        <f>IF($C1412="","",IFERROR(INDEX('Staff Directory'!$I$595:$I$599,MATCH($C1412,'Staff Directory'!$B$5:$B$599,0))&amp;" "&amp;INDEX('Staff Directory'!$J$595:$J$599,MATCH($C1412,'Staff Directory'!$B$5:$B$599,0)),$AG1412))</f>
        <v>PSW</v>
      </c>
      <c r="AI1412" s="102"/>
      <c r="AJ1412" s="101">
        <f>IF($F1412="","",SUMIFS($J$5:$J1412,$F$5:$F1412,$F1412))</f>
        <v>12300</v>
      </c>
      <c r="AK1412" s="101">
        <f t="shared" si="236"/>
        <v>12251</v>
      </c>
      <c r="AL1412" s="66" t="str" cm="1">
        <f t="array" ref="AL1412">IF($F1412="","",IFERROR(INDEX('Lot Balance'!$B$5:$B$500,MATCH(1,INDEX(('Lot Balance'!$A$5:$A$500=$F1412)*('Lot Balance'!$K$5:$K$500&lt;$AK1412)*('Lot Balance'!$K$5:$K$500+'Lot Balance'!$D$5:$D$500&gt;=$AK1412),0),0)),""))</f>
        <v>24HA2050A7396</v>
      </c>
      <c r="AM1412" s="66" t="str" cm="1">
        <f t="array" ref="AM1412">IF($F1412="","",IFERROR(INDEX('Lot Balance'!$B$5:$B$500,MATCH(1,INDEX(('Lot Balance'!$A$5:$A$500=$F1412)*('Lot Balance'!$K$5:$K$500&lt;$AJ1412)*('Lot Balance'!$K$5:$K$500+'Lot Balance'!$D$5:$D$500&gt;=$AJ1412),0),0)),""))</f>
        <v>24HA2050A7396</v>
      </c>
      <c r="AN1412" s="66" t="str">
        <f>IF($F1412="","",IF($AI1412&lt;&gt;"",IF(COUNTIFS('Lot Balance'!$A$5:$A$500,$F1412,'Lot Balance'!$B$5:$B$500,$AI1412)=0,"⚠ override is not a lot of this item",IF($AI1412=$AL1412,"Override = FEFO","Override - FEFO says "&amp;$AL1412)),IF($AL1412="","⚠ no receipt on file for this item",IF($AM1412&lt;&gt;$AL1412,"FEFO auto - split, also "&amp;$AM1412,"FEFO auto"))))</f>
        <v>FEFO auto</v>
      </c>
      <c r="AO1412" s="114"/>
    </row>
    <row r="1413" spans="1:41" x14ac:dyDescent="0.35">
      <c r="A1413" s="74">
        <v>46204</v>
      </c>
      <c r="B1413" s="18" t="str">
        <f>IF($C1413="","",IFERROR(INDEX('Staff Directory'!$A$5:$A$594,MATCH($C1413,'Staff Directory'!$B$5:$B$594,0)),"⚠ unknown staff"))</f>
        <v>PSW-099-A6</v>
      </c>
      <c r="C1413" s="49" t="s">
        <v>1077</v>
      </c>
      <c r="D1413" s="19" t="str">
        <f>IF($B1413="","",IFERROR(INDEX('Staff Directory'!$C$5:$C$594,MATCH($B1413,'Staff Directory'!$A$5:$A$594,0)),""))</f>
        <v>PSW</v>
      </c>
      <c r="E1413" s="19" t="str">
        <f>IF($B1413="","",IFERROR(INDEX('Staff Directory'!$D$5:$D$594,MATCH($B1413,'Staff Directory'!$A$5:$A$594,0)),""))</f>
        <v>A6</v>
      </c>
      <c r="F1413" s="9" t="s">
        <v>127</v>
      </c>
      <c r="G1413" s="18" t="str">
        <f>IF($F1413="","",IFERROR(INDEX(Items!$B$5:$B$597,MATCH($F1413,Items!$A$5:$A$597,0)),"⚠ not in Items"))</f>
        <v>Gloves</v>
      </c>
      <c r="H1413" s="19" t="str">
        <f>IF($F1413="","",IFERROR(INDEX(Items!$C$5:$C$597,MATCH($F1413,Items!$A$5:$A$597,0)),""))</f>
        <v>Medium</v>
      </c>
      <c r="I1413" s="23">
        <f>IF($F1413="","",IFERROR(INDEX(Items!$E$5:$E$597,MATCH($F1413,Items!$A$5:$A$597,0)),""))</f>
        <v>500</v>
      </c>
      <c r="J1413" s="115">
        <f>IF(tblIssues[[#This Row],[Qty Override]]&lt;&gt;"",tblIssues[[#This Row],[Qty Override]],IF(tblIssues[[#This Row],[Standard Issue]]="","",tblIssues[[#This Row],[Standard Issue]]))</f>
        <v>500</v>
      </c>
      <c r="K1413" s="20">
        <f>IF($F1413="","",IFERROR(INDEX(Items!$D$5:$D$597,MATCH($F1413,Items!$A$5:$A$597,0)),""))</f>
        <v>5.5E-2</v>
      </c>
      <c r="L1413" s="21">
        <f t="shared" si="239"/>
        <v>27.5</v>
      </c>
      <c r="M1413" s="9" t="str">
        <f t="shared" si="237"/>
        <v>ZIM510137962-2</v>
      </c>
      <c r="N1413" s="24">
        <f>IF($A1413="","",WORKDAY($A1413,Settings!$C$9,HolidayDates))</f>
        <v>46212</v>
      </c>
      <c r="O1413" s="24">
        <f>IF($N1413="","",WORKDAY($N1413,Settings!$C$10,HolidayDates))</f>
        <v>46252</v>
      </c>
      <c r="P1413" s="10" t="s">
        <v>501</v>
      </c>
      <c r="Q1413" s="52" t="str">
        <f t="shared" si="240"/>
        <v>Collected</v>
      </c>
      <c r="R1413" s="55" t="str">
        <f t="shared" si="241"/>
        <v>2026-07</v>
      </c>
      <c r="S1413" s="55">
        <f>IF(OR($B1413="",$F1413="",$R1413=""),"",SUMIFS(tblIssues[Qty Issued],tblIssues[Staff ID],$B1413,tblIssues[Item Name],$F1413,tblIssues[Month],$R1413))</f>
        <v>500</v>
      </c>
      <c r="T1413" s="56">
        <f>IF($I1413="","",$I1413*Settings!$C$11)</f>
        <v>500</v>
      </c>
      <c r="U1413" s="57" t="str">
        <f t="shared" si="238"/>
        <v>OK</v>
      </c>
      <c r="V1413" s="55" t="str">
        <f t="shared" si="242"/>
        <v/>
      </c>
      <c r="W1413" s="55" t="str">
        <f>IF($V1413="","",IF(COUNTIF($V$5:$V1413,$V1413)=1,1,""))</f>
        <v/>
      </c>
      <c r="X1413" s="58" t="str">
        <f>IF($W1413="","",MAX($X$4:X1412)+1)</f>
        <v/>
      </c>
      <c r="Y1413" s="62"/>
      <c r="Z1413" s="62"/>
      <c r="AA1413" s="64" t="str">
        <f>IF($C1413="","",IFERROR(INDEX('Staff Directory'!$E$5:$E$594,MATCH($C1413,'Staff Directory'!$B$5:$B$594,0)),""))</f>
        <v>firstname161.lastname161@example.com</v>
      </c>
      <c r="AB1413" s="64" t="str">
        <f>IF($C1413="","",IF(ISNUMBER(SEARCH($D1413,Settings!$C$15)),"Pickup","Dispatch"))</f>
        <v>Pickup</v>
      </c>
      <c r="AC1413" s="64" t="str">
        <f t="shared" si="243"/>
        <v>Supply order ready for pickup</v>
      </c>
      <c r="AD1413" s="64" t="str">
        <f t="shared" ref="AD1413:AD1476" si="245">IF($AB1413="Pickup","Dear "&amp;$AH1413&amp;","&amp;CHAR(10)&amp;CHAR(10)&amp;"Your order is ready for pickup from Sample Branch, Wed-Fri 9am-4pm.",IF($AB1413="Dispatch","Dear "&amp;$AH1413&amp;","&amp;CHAR(10)&amp;CHAR(10)&amp;"Your order has been dispatched and is in transit. Reply if undelivered.",""))</f>
        <v>Dear PSW,
Your order is ready for pickup from Sample Branch, Wed-Fri 9am-4pm.</v>
      </c>
      <c r="AE1413" s="64" t="str">
        <f t="shared" ref="AE1413:AE1476" si="246">IF(OR($AA1413="",$AC1413=""),"","mailto:"&amp;$AA1413&amp;"?subject="&amp;_xlfn.ENCODEURL($AC1413)&amp;"&amp;body="&amp;_xlfn.ENCODEURL($AD1413))</f>
        <v>mailto:firstname161.lastname161@example.com?subject=Supply%20order%20ready%20for%20pickup&amp;body=Dear%20PSW%2C%0A%0AYour%20order%20is%20ready%20for%20pickup%20from%20Sample%20Branch%2C%20Wed-Fri%209am-4pm.</v>
      </c>
      <c r="AF1413" s="89" t="str">
        <f t="shared" si="244"/>
        <v>Draft email</v>
      </c>
      <c r="AG1413" s="64" t="str">
        <f>IF($C1413="","",IFERROR(INDEX('Staff Directory'!$K$595:$K$599,MATCH($C1413,'Staff Directory'!$B$5:$B$599,0)),$D1413))</f>
        <v>PSW</v>
      </c>
      <c r="AH1413" t="str">
        <f>IF($C1413="","",IFERROR(INDEX('Staff Directory'!$I$595:$I$599,MATCH($C1413,'Staff Directory'!$B$5:$B$599,0))&amp;" "&amp;INDEX('Staff Directory'!$J$595:$J$599,MATCH($C1413,'Staff Directory'!$B$5:$B$599,0)),$AG1413))</f>
        <v>PSW</v>
      </c>
      <c r="AI1413" s="102"/>
      <c r="AJ1413" s="101">
        <f>IF($F1413="","",SUMIFS($J$5:$J1413,$F$5:$F1413,$F1413))</f>
        <v>87500</v>
      </c>
      <c r="AK1413" s="101">
        <f t="shared" ref="AK1413:AK1476" si="247">IF($F1413="","",MAX(1,$AJ1413-MAX($J1413,0)+1))</f>
        <v>87001</v>
      </c>
      <c r="AL1413" s="66" t="str" cm="1">
        <f t="array" ref="AL1413">IF($F1413="","",IFERROR(INDEX('Lot Balance'!$B$5:$B$500,MATCH(1,INDEX(('Lot Balance'!$A$5:$A$500=$F1413)*('Lot Balance'!$K$5:$K$500&lt;$AK1413)*('Lot Balance'!$K$5:$K$500+'Lot Balance'!$D$5:$D$500&gt;=$AK1413),0),0)),""))</f>
        <v>ZIM510137962-2</v>
      </c>
      <c r="AM1413" s="66" t="str" cm="1">
        <f t="array" ref="AM1413">IF($F1413="","",IFERROR(INDEX('Lot Balance'!$B$5:$B$500,MATCH(1,INDEX(('Lot Balance'!$A$5:$A$500=$F1413)*('Lot Balance'!$K$5:$K$500&lt;$AJ1413)*('Lot Balance'!$K$5:$K$500+'Lot Balance'!$D$5:$D$500&gt;=$AJ1413),0),0)),""))</f>
        <v>ZIM510137962-2</v>
      </c>
      <c r="AN1413" s="66" t="str">
        <f>IF($F1413="","",IF($AI1413&lt;&gt;"",IF(COUNTIFS('Lot Balance'!$A$5:$A$500,$F1413,'Lot Balance'!$B$5:$B$500,$AI1413)=0,"⚠ override is not a lot of this item",IF($AI1413=$AL1413,"Override = FEFO","Override - FEFO says "&amp;$AL1413)),IF($AL1413="","⚠ no receipt on file for this item",IF($AM1413&lt;&gt;$AL1413,"FEFO auto - split, also "&amp;$AM1413,"FEFO auto"))))</f>
        <v>FEFO auto</v>
      </c>
      <c r="AO1413" s="114"/>
    </row>
    <row r="1414" spans="1:41" x14ac:dyDescent="0.35">
      <c r="A1414" s="74">
        <v>46204</v>
      </c>
      <c r="B1414" s="18" t="str">
        <f>IF($C1414="","",IFERROR(INDEX('Staff Directory'!$A$5:$A$594,MATCH($C1414,'Staff Directory'!$B$5:$B$594,0)),"⚠ unknown staff"))</f>
        <v>PSW-099-A6</v>
      </c>
      <c r="C1414" s="49" t="s">
        <v>1077</v>
      </c>
      <c r="D1414" s="19" t="str">
        <f>IF($B1414="","",IFERROR(INDEX('Staff Directory'!$C$5:$C$594,MATCH($B1414,'Staff Directory'!$A$5:$A$594,0)),""))</f>
        <v>PSW</v>
      </c>
      <c r="E1414" s="19" t="str">
        <f>IF($B1414="","",IFERROR(INDEX('Staff Directory'!$D$5:$D$594,MATCH($B1414,'Staff Directory'!$A$5:$A$594,0)),""))</f>
        <v>A6</v>
      </c>
      <c r="F1414" s="9" t="s">
        <v>191</v>
      </c>
      <c r="G1414" s="18" t="str">
        <f>IF($F1414="","",IFERROR(INDEX(Items!$B$5:$B$597,MATCH($F1414,Items!$A$5:$A$597,0)),"⚠ not in Items"))</f>
        <v>Sanitizer</v>
      </c>
      <c r="H1414" s="19" t="str">
        <f>IF($F1414="","",IFERROR(INDEX(Items!$C$5:$C$597,MATCH($F1414,Items!$A$5:$A$597,0)),""))</f>
        <v>236 ML</v>
      </c>
      <c r="I1414" s="23">
        <f>IF($F1414="","",IFERROR(INDEX(Items!$E$5:$E$597,MATCH($F1414,Items!$A$5:$A$597,0)),""))</f>
        <v>1</v>
      </c>
      <c r="J1414" s="115">
        <f>IF(tblIssues[[#This Row],[Qty Override]]&lt;&gt;"",tblIssues[[#This Row],[Qty Override]],IF(tblIssues[[#This Row],[Standard Issue]]="","",tblIssues[[#This Row],[Standard Issue]]))</f>
        <v>1</v>
      </c>
      <c r="K1414" s="20">
        <f>IF($F1414="","",IFERROR(INDEX(Items!$D$5:$D$597,MATCH($F1414,Items!$A$5:$A$597,0)),""))</f>
        <v>1E-4</v>
      </c>
      <c r="L1414" s="21">
        <f t="shared" si="239"/>
        <v>1E-4</v>
      </c>
      <c r="M1414" s="9" t="str">
        <f t="shared" ref="M1414:M1477" si="248">IF($F1414="","",IF($AI1414&lt;&gt;"",$AI1414,$AL1414))</f>
        <v/>
      </c>
      <c r="N1414" s="24">
        <f>IF($A1414="","",WORKDAY($A1414,Settings!$C$9,HolidayDates))</f>
        <v>46212</v>
      </c>
      <c r="O1414" s="24">
        <f>IF($N1414="","",WORKDAY($N1414,Settings!$C$10,HolidayDates))</f>
        <v>46252</v>
      </c>
      <c r="P1414" s="10" t="s">
        <v>501</v>
      </c>
      <c r="Q1414" s="52" t="str">
        <f t="shared" si="240"/>
        <v>Collected</v>
      </c>
      <c r="R1414" s="55" t="str">
        <f t="shared" si="241"/>
        <v>2026-07</v>
      </c>
      <c r="S1414" s="55">
        <f>IF(OR($B1414="",$F1414="",$R1414=""),"",SUMIFS(tblIssues[Qty Issued],tblIssues[Staff ID],$B1414,tblIssues[Item Name],$F1414,tblIssues[Month],$R1414))</f>
        <v>1</v>
      </c>
      <c r="T1414" s="56">
        <f>IF($I1414="","",$I1414*Settings!$C$11)</f>
        <v>1</v>
      </c>
      <c r="U1414" s="57" t="str">
        <f t="shared" ref="U1414:U1477" si="249">IF(OR($S1414="",$T1414=""),"",IF($S1414&gt;$T1414,IF($Y1414="Approved","APPROVED BY TL","⚠ OVER QUOTA"),"OK"))</f>
        <v>OK</v>
      </c>
      <c r="V1414" s="55" t="str">
        <f t="shared" si="242"/>
        <v/>
      </c>
      <c r="W1414" s="55" t="str">
        <f>IF($V1414="","",IF(COUNTIF($V$5:$V1414,$V1414)=1,1,""))</f>
        <v/>
      </c>
      <c r="X1414" s="58" t="str">
        <f>IF($W1414="","",MAX($X$4:X1413)+1)</f>
        <v/>
      </c>
      <c r="Y1414" s="62"/>
      <c r="Z1414" s="62"/>
      <c r="AA1414" s="64" t="str">
        <f>IF($C1414="","",IFERROR(INDEX('Staff Directory'!$E$5:$E$594,MATCH($C1414,'Staff Directory'!$B$5:$B$594,0)),""))</f>
        <v>firstname161.lastname161@example.com</v>
      </c>
      <c r="AB1414" s="64" t="str">
        <f>IF($C1414="","",IF(ISNUMBER(SEARCH($D1414,Settings!$C$15)),"Pickup","Dispatch"))</f>
        <v>Pickup</v>
      </c>
      <c r="AC1414" s="64" t="str">
        <f t="shared" si="243"/>
        <v>Supply order ready for pickup</v>
      </c>
      <c r="AD1414" s="64" t="str">
        <f t="shared" si="245"/>
        <v>Dear PSW,
Your order is ready for pickup from Sample Branch, Wed-Fri 9am-4pm.</v>
      </c>
      <c r="AE1414" s="64" t="str">
        <f t="shared" si="246"/>
        <v>mailto:firstname161.lastname161@example.com?subject=Supply%20order%20ready%20for%20pickup&amp;body=Dear%20PSW%2C%0A%0AYour%20order%20is%20ready%20for%20pickup%20from%20Sample%20Branch%2C%20Wed-Fri%209am-4pm.</v>
      </c>
      <c r="AF1414" s="89" t="str">
        <f t="shared" si="244"/>
        <v>Draft email</v>
      </c>
      <c r="AG1414" s="64" t="str">
        <f>IF($C1414="","",IFERROR(INDEX('Staff Directory'!$K$595:$K$599,MATCH($C1414,'Staff Directory'!$B$5:$B$599,0)),$D1414))</f>
        <v>PSW</v>
      </c>
      <c r="AH1414" t="str">
        <f>IF($C1414="","",IFERROR(INDEX('Staff Directory'!$I$595:$I$599,MATCH($C1414,'Staff Directory'!$B$5:$B$599,0))&amp;" "&amp;INDEX('Staff Directory'!$J$595:$J$599,MATCH($C1414,'Staff Directory'!$B$5:$B$599,0)),$AG1414))</f>
        <v>PSW</v>
      </c>
      <c r="AI1414" s="102"/>
      <c r="AJ1414" s="101">
        <f>IF($F1414="","",SUMIFS($J$5:$J1414,$F$5:$F1414,$F1414))</f>
        <v>191</v>
      </c>
      <c r="AK1414" s="101">
        <f t="shared" si="247"/>
        <v>191</v>
      </c>
      <c r="AL1414" s="66" t="str" cm="1">
        <f t="array" ref="AL1414">IF($F1414="","",IFERROR(INDEX('Lot Balance'!$B$5:$B$500,MATCH(1,INDEX(('Lot Balance'!$A$5:$A$500=$F1414)*('Lot Balance'!$K$5:$K$500&lt;$AK1414)*('Lot Balance'!$K$5:$K$500+'Lot Balance'!$D$5:$D$500&gt;=$AK1414),0),0)),""))</f>
        <v/>
      </c>
      <c r="AM1414" s="66" t="str" cm="1">
        <f t="array" ref="AM1414">IF($F1414="","",IFERROR(INDEX('Lot Balance'!$B$5:$B$500,MATCH(1,INDEX(('Lot Balance'!$A$5:$A$500=$F1414)*('Lot Balance'!$K$5:$K$500&lt;$AJ1414)*('Lot Balance'!$K$5:$K$500+'Lot Balance'!$D$5:$D$500&gt;=$AJ1414),0),0)),""))</f>
        <v/>
      </c>
      <c r="AN1414" s="66" t="str">
        <f>IF($F1414="","",IF($AI1414&lt;&gt;"",IF(COUNTIFS('Lot Balance'!$A$5:$A$500,$F1414,'Lot Balance'!$B$5:$B$500,$AI1414)=0,"⚠ override is not a lot of this item",IF($AI1414=$AL1414,"Override = FEFO","Override - FEFO says "&amp;$AL1414)),IF($AL1414="","⚠ no receipt on file for this item",IF($AM1414&lt;&gt;$AL1414,"FEFO auto - split, also "&amp;$AM1414,"FEFO auto"))))</f>
        <v>⚠ no receipt on file for this item</v>
      </c>
      <c r="AO1414" s="114"/>
    </row>
    <row r="1415" spans="1:41" x14ac:dyDescent="0.35">
      <c r="A1415" s="74">
        <v>46204</v>
      </c>
      <c r="B1415" s="18" t="str">
        <f>IF($C1415="","",IFERROR(INDEX('Staff Directory'!$A$5:$A$594,MATCH($C1415,'Staff Directory'!$B$5:$B$594,0)),"⚠ unknown staff"))</f>
        <v>PSW-099-A6</v>
      </c>
      <c r="C1415" s="49" t="s">
        <v>1077</v>
      </c>
      <c r="D1415" s="19" t="str">
        <f>IF($B1415="","",IFERROR(INDEX('Staff Directory'!$C$5:$C$594,MATCH($B1415,'Staff Directory'!$A$5:$A$594,0)),""))</f>
        <v>PSW</v>
      </c>
      <c r="E1415" s="19" t="str">
        <f>IF($B1415="","",IFERROR(INDEX('Staff Directory'!$D$5:$D$594,MATCH($B1415,'Staff Directory'!$A$5:$A$594,0)),""))</f>
        <v>A6</v>
      </c>
      <c r="F1415" s="9" t="s">
        <v>115</v>
      </c>
      <c r="G1415" s="18" t="str">
        <f>IF($F1415="","",IFERROR(INDEX(Items!$B$5:$B$597,MATCH($F1415,Items!$A$5:$A$597,0)),"⚠ not in Items"))</f>
        <v>Wipes</v>
      </c>
      <c r="H1415" s="19">
        <f>IF($F1415="","",IFERROR(INDEX(Items!$C$5:$C$597,MATCH($F1415,Items!$A$5:$A$597,0)),""))</f>
        <v>80</v>
      </c>
      <c r="I1415" s="23">
        <f>IF($F1415="","",IFERROR(INDEX(Items!$E$5:$E$597,MATCH($F1415,Items!$A$5:$A$597,0)),""))</f>
        <v>80</v>
      </c>
      <c r="J1415" s="115">
        <f>IF(tblIssues[[#This Row],[Qty Override]]&lt;&gt;"",tblIssues[[#This Row],[Qty Override]],IF(tblIssues[[#This Row],[Standard Issue]]="","",tblIssues[[#This Row],[Standard Issue]]))</f>
        <v>80</v>
      </c>
      <c r="K1415" s="20">
        <f>IF($F1415="","",IFERROR(INDEX(Items!$D$5:$D$597,MATCH($F1415,Items!$A$5:$A$597,0)),""))</f>
        <v>0.1</v>
      </c>
      <c r="L1415" s="21">
        <f t="shared" si="239"/>
        <v>8</v>
      </c>
      <c r="M1415" s="9" t="str">
        <f t="shared" si="248"/>
        <v>LYSL500290</v>
      </c>
      <c r="N1415" s="24">
        <f>IF($A1415="","",WORKDAY($A1415,Settings!$C$9,HolidayDates))</f>
        <v>46212</v>
      </c>
      <c r="O1415" s="24">
        <f>IF($N1415="","",WORKDAY($N1415,Settings!$C$10,HolidayDates))</f>
        <v>46252</v>
      </c>
      <c r="P1415" s="10" t="s">
        <v>501</v>
      </c>
      <c r="Q1415" s="52" t="str">
        <f t="shared" si="240"/>
        <v>Collected</v>
      </c>
      <c r="R1415" s="55" t="str">
        <f t="shared" si="241"/>
        <v>2026-07</v>
      </c>
      <c r="S1415" s="55">
        <f>IF(OR($B1415="",$F1415="",$R1415=""),"",SUMIFS(tblIssues[Qty Issued],tblIssues[Staff ID],$B1415,tblIssues[Item Name],$F1415,tblIssues[Month],$R1415))</f>
        <v>80</v>
      </c>
      <c r="T1415" s="56">
        <f>IF($I1415="","",$I1415*Settings!$C$11)</f>
        <v>80</v>
      </c>
      <c r="U1415" s="57" t="str">
        <f t="shared" si="249"/>
        <v>OK</v>
      </c>
      <c r="V1415" s="55" t="str">
        <f t="shared" si="242"/>
        <v/>
      </c>
      <c r="W1415" s="55" t="str">
        <f>IF($V1415="","",IF(COUNTIF($V$5:$V1415,$V1415)=1,1,""))</f>
        <v/>
      </c>
      <c r="X1415" s="58" t="str">
        <f>IF($W1415="","",MAX($X$4:X1414)+1)</f>
        <v/>
      </c>
      <c r="Y1415" s="62"/>
      <c r="Z1415" s="62"/>
      <c r="AA1415" s="64" t="str">
        <f>IF($C1415="","",IFERROR(INDEX('Staff Directory'!$E$5:$E$594,MATCH($C1415,'Staff Directory'!$B$5:$B$594,0)),""))</f>
        <v>firstname161.lastname161@example.com</v>
      </c>
      <c r="AB1415" s="64" t="str">
        <f>IF($C1415="","",IF(ISNUMBER(SEARCH($D1415,Settings!$C$15)),"Pickup","Dispatch"))</f>
        <v>Pickup</v>
      </c>
      <c r="AC1415" s="64" t="str">
        <f t="shared" si="243"/>
        <v>Supply order ready for pickup</v>
      </c>
      <c r="AD1415" s="64" t="str">
        <f t="shared" si="245"/>
        <v>Dear PSW,
Your order is ready for pickup from Sample Branch, Wed-Fri 9am-4pm.</v>
      </c>
      <c r="AE1415" s="64" t="str">
        <f t="shared" si="246"/>
        <v>mailto:firstname161.lastname161@example.com?subject=Supply%20order%20ready%20for%20pickup&amp;body=Dear%20PSW%2C%0A%0AYour%20order%20is%20ready%20for%20pickup%20from%20Sample%20Branch%2C%20Wed-Fri%209am-4pm.</v>
      </c>
      <c r="AF1415" s="89" t="str">
        <f t="shared" si="244"/>
        <v>Draft email</v>
      </c>
      <c r="AG1415" s="64" t="str">
        <f>IF($C1415="","",IFERROR(INDEX('Staff Directory'!$K$595:$K$599,MATCH($C1415,'Staff Directory'!$B$5:$B$599,0)),$D1415))</f>
        <v>PSW</v>
      </c>
      <c r="AH1415" t="str">
        <f>IF($C1415="","",IFERROR(INDEX('Staff Directory'!$I$595:$I$599,MATCH($C1415,'Staff Directory'!$B$5:$B$599,0))&amp;" "&amp;INDEX('Staff Directory'!$J$595:$J$599,MATCH($C1415,'Staff Directory'!$B$5:$B$599,0)),$AG1415))</f>
        <v>PSW</v>
      </c>
      <c r="AI1415" s="102"/>
      <c r="AJ1415" s="101">
        <f>IF($F1415="","",SUMIFS($J$5:$J1415,$F$5:$F1415,$F1415))</f>
        <v>19520</v>
      </c>
      <c r="AK1415" s="101">
        <f t="shared" si="247"/>
        <v>19441</v>
      </c>
      <c r="AL1415" s="66" t="str" cm="1">
        <f t="array" ref="AL1415">IF($F1415="","",IFERROR(INDEX('Lot Balance'!$B$5:$B$500,MATCH(1,INDEX(('Lot Balance'!$A$5:$A$500=$F1415)*('Lot Balance'!$K$5:$K$500&lt;$AK1415)*('Lot Balance'!$K$5:$K$500+'Lot Balance'!$D$5:$D$500&gt;=$AK1415),0),0)),""))</f>
        <v>LYSL500290</v>
      </c>
      <c r="AM1415" s="66" t="str" cm="1">
        <f t="array" ref="AM1415">IF($F1415="","",IFERROR(INDEX('Lot Balance'!$B$5:$B$500,MATCH(1,INDEX(('Lot Balance'!$A$5:$A$500=$F1415)*('Lot Balance'!$K$5:$K$500&lt;$AJ1415)*('Lot Balance'!$K$5:$K$500+'Lot Balance'!$D$5:$D$500&gt;=$AJ1415),0),0)),""))</f>
        <v>LYSL500290</v>
      </c>
      <c r="AN1415" s="66" t="str">
        <f>IF($F1415="","",IF($AI1415&lt;&gt;"",IF(COUNTIFS('Lot Balance'!$A$5:$A$500,$F1415,'Lot Balance'!$B$5:$B$500,$AI1415)=0,"⚠ override is not a lot of this item",IF($AI1415=$AL1415,"Override = FEFO","Override - FEFO says "&amp;$AL1415)),IF($AL1415="","⚠ no receipt on file for this item",IF($AM1415&lt;&gt;$AL1415,"FEFO auto - split, also "&amp;$AM1415,"FEFO auto"))))</f>
        <v>FEFO auto</v>
      </c>
      <c r="AO1415" s="114"/>
    </row>
    <row r="1416" spans="1:41" x14ac:dyDescent="0.35">
      <c r="A1416" s="74">
        <v>46204</v>
      </c>
      <c r="B1416" s="18" t="str">
        <f>IF($C1416="","",IFERROR(INDEX('Staff Directory'!$A$5:$A$594,MATCH($C1416,'Staff Directory'!$B$5:$B$594,0)),"⚠ unknown staff"))</f>
        <v>PSW-099-A6</v>
      </c>
      <c r="C1416" s="49" t="s">
        <v>1077</v>
      </c>
      <c r="D1416" s="19" t="str">
        <f>IF($B1416="","",IFERROR(INDEX('Staff Directory'!$C$5:$C$594,MATCH($B1416,'Staff Directory'!$A$5:$A$594,0)),""))</f>
        <v>PSW</v>
      </c>
      <c r="E1416" s="19" t="str">
        <f>IF($B1416="","",IFERROR(INDEX('Staff Directory'!$D$5:$D$594,MATCH($B1416,'Staff Directory'!$A$5:$A$594,0)),""))</f>
        <v>A6</v>
      </c>
      <c r="F1416" s="9" t="s">
        <v>156</v>
      </c>
      <c r="G1416" s="18" t="str">
        <f>IF($F1416="","",IFERROR(INDEX(Items!$B$5:$B$597,MATCH($F1416,Items!$A$5:$A$597,0)),"⚠ not in Items"))</f>
        <v>Masks</v>
      </c>
      <c r="H1416" s="19" t="str">
        <f>IF($F1416="","",IFERROR(INDEX(Items!$C$5:$C$597,MATCH($F1416,Items!$A$5:$A$597,0)),""))</f>
        <v>One Size</v>
      </c>
      <c r="I1416" s="23">
        <f>IF($F1416="","",IFERROR(INDEX(Items!$E$5:$E$597,MATCH($F1416,Items!$A$5:$A$597,0)),""))</f>
        <v>50</v>
      </c>
      <c r="J1416" s="115">
        <f>IF(tblIssues[[#This Row],[Qty Override]]&lt;&gt;"",tblIssues[[#This Row],[Qty Override]],IF(tblIssues[[#This Row],[Standard Issue]]="","",tblIssues[[#This Row],[Standard Issue]]))</f>
        <v>50</v>
      </c>
      <c r="K1416" s="20">
        <f>IF($F1416="","",IFERROR(INDEX(Items!$D$5:$D$597,MATCH($F1416,Items!$A$5:$A$597,0)),""))</f>
        <v>0.25</v>
      </c>
      <c r="L1416" s="21">
        <f t="shared" ref="L1416:L1479" si="250">IF(OR($J1416="",$K1416=""),"",$J1416*$K1416)</f>
        <v>12.5</v>
      </c>
      <c r="M1416" s="9" t="str">
        <f t="shared" si="248"/>
        <v>24HA2050A7396</v>
      </c>
      <c r="N1416" s="24">
        <f>IF($A1416="","",WORKDAY($A1416,Settings!$C$9,HolidayDates))</f>
        <v>46212</v>
      </c>
      <c r="O1416" s="24">
        <f>IF($N1416="","",WORKDAY($N1416,Settings!$C$10,HolidayDates))</f>
        <v>46252</v>
      </c>
      <c r="P1416" s="10" t="s">
        <v>501</v>
      </c>
      <c r="Q1416" s="52" t="str">
        <f t="shared" si="240"/>
        <v>Collected</v>
      </c>
      <c r="R1416" s="55" t="str">
        <f t="shared" si="241"/>
        <v>2026-07</v>
      </c>
      <c r="S1416" s="55">
        <f>IF(OR($B1416="",$F1416="",$R1416=""),"",SUMIFS(tblIssues[Qty Issued],tblIssues[Staff ID],$B1416,tblIssues[Item Name],$F1416,tblIssues[Month],$R1416))</f>
        <v>50</v>
      </c>
      <c r="T1416" s="56">
        <f>IF($I1416="","",$I1416*Settings!$C$11)</f>
        <v>50</v>
      </c>
      <c r="U1416" s="57" t="str">
        <f t="shared" si="249"/>
        <v>OK</v>
      </c>
      <c r="V1416" s="55" t="str">
        <f t="shared" si="242"/>
        <v/>
      </c>
      <c r="W1416" s="55" t="str">
        <f>IF($V1416="","",IF(COUNTIF($V$5:$V1416,$V1416)=1,1,""))</f>
        <v/>
      </c>
      <c r="X1416" s="58" t="str">
        <f>IF($W1416="","",MAX($X$4:X1415)+1)</f>
        <v/>
      </c>
      <c r="Y1416" s="62"/>
      <c r="Z1416" s="62"/>
      <c r="AA1416" s="64" t="str">
        <f>IF($C1416="","",IFERROR(INDEX('Staff Directory'!$E$5:$E$594,MATCH($C1416,'Staff Directory'!$B$5:$B$594,0)),""))</f>
        <v>firstname161.lastname161@example.com</v>
      </c>
      <c r="AB1416" s="64" t="str">
        <f>IF($C1416="","",IF(ISNUMBER(SEARCH($D1416,Settings!$C$15)),"Pickup","Dispatch"))</f>
        <v>Pickup</v>
      </c>
      <c r="AC1416" s="64" t="str">
        <f t="shared" si="243"/>
        <v>Supply order ready for pickup</v>
      </c>
      <c r="AD1416" s="64" t="str">
        <f t="shared" si="245"/>
        <v>Dear PSW,
Your order is ready for pickup from Sample Branch, Wed-Fri 9am-4pm.</v>
      </c>
      <c r="AE1416" s="64" t="str">
        <f t="shared" si="246"/>
        <v>mailto:firstname161.lastname161@example.com?subject=Supply%20order%20ready%20for%20pickup&amp;body=Dear%20PSW%2C%0A%0AYour%20order%20is%20ready%20for%20pickup%20from%20Sample%20Branch%2C%20Wed-Fri%209am-4pm.</v>
      </c>
      <c r="AF1416" s="89" t="str">
        <f t="shared" si="244"/>
        <v>Draft email</v>
      </c>
      <c r="AG1416" s="64" t="str">
        <f>IF($C1416="","",IFERROR(INDEX('Staff Directory'!$K$595:$K$599,MATCH($C1416,'Staff Directory'!$B$5:$B$599,0)),$D1416))</f>
        <v>PSW</v>
      </c>
      <c r="AH1416" t="str">
        <f>IF($C1416="","",IFERROR(INDEX('Staff Directory'!$I$595:$I$599,MATCH($C1416,'Staff Directory'!$B$5:$B$599,0))&amp;" "&amp;INDEX('Staff Directory'!$J$595:$J$599,MATCH($C1416,'Staff Directory'!$B$5:$B$599,0)),$AG1416))</f>
        <v>PSW</v>
      </c>
      <c r="AI1416" s="102"/>
      <c r="AJ1416" s="101">
        <f>IF($F1416="","",SUMIFS($J$5:$J1416,$F$5:$F1416,$F1416))</f>
        <v>12350</v>
      </c>
      <c r="AK1416" s="101">
        <f t="shared" si="247"/>
        <v>12301</v>
      </c>
      <c r="AL1416" s="66" t="str" cm="1">
        <f t="array" ref="AL1416">IF($F1416="","",IFERROR(INDEX('Lot Balance'!$B$5:$B$500,MATCH(1,INDEX(('Lot Balance'!$A$5:$A$500=$F1416)*('Lot Balance'!$K$5:$K$500&lt;$AK1416)*('Lot Balance'!$K$5:$K$500+'Lot Balance'!$D$5:$D$500&gt;=$AK1416),0),0)),""))</f>
        <v>24HA2050A7396</v>
      </c>
      <c r="AM1416" s="66" t="str" cm="1">
        <f t="array" ref="AM1416">IF($F1416="","",IFERROR(INDEX('Lot Balance'!$B$5:$B$500,MATCH(1,INDEX(('Lot Balance'!$A$5:$A$500=$F1416)*('Lot Balance'!$K$5:$K$500&lt;$AJ1416)*('Lot Balance'!$K$5:$K$500+'Lot Balance'!$D$5:$D$500&gt;=$AJ1416),0),0)),""))</f>
        <v>24HA2050A7396</v>
      </c>
      <c r="AN1416" s="66" t="str">
        <f>IF($F1416="","",IF($AI1416&lt;&gt;"",IF(COUNTIFS('Lot Balance'!$A$5:$A$500,$F1416,'Lot Balance'!$B$5:$B$500,$AI1416)=0,"⚠ override is not a lot of this item",IF($AI1416=$AL1416,"Override = FEFO","Override - FEFO says "&amp;$AL1416)),IF($AL1416="","⚠ no receipt on file for this item",IF($AM1416&lt;&gt;$AL1416,"FEFO auto - split, also "&amp;$AM1416,"FEFO auto"))))</f>
        <v>FEFO auto</v>
      </c>
      <c r="AO1416" s="114"/>
    </row>
    <row r="1417" spans="1:41" x14ac:dyDescent="0.35">
      <c r="A1417" s="74">
        <v>46204</v>
      </c>
      <c r="B1417" s="18" t="str">
        <f>IF($C1417="","",IFERROR(INDEX('Staff Directory'!$A$5:$A$594,MATCH($C1417,'Staff Directory'!$B$5:$B$594,0)),"⚠ unknown staff"))</f>
        <v>PSW-102-A6</v>
      </c>
      <c r="C1417" s="49" t="s">
        <v>1080</v>
      </c>
      <c r="D1417" s="19" t="str">
        <f>IF($B1417="","",IFERROR(INDEX('Staff Directory'!$C$5:$C$594,MATCH($B1417,'Staff Directory'!$A$5:$A$594,0)),""))</f>
        <v>PSW</v>
      </c>
      <c r="E1417" s="19" t="str">
        <f>IF($B1417="","",IFERROR(INDEX('Staff Directory'!$D$5:$D$594,MATCH($B1417,'Staff Directory'!$A$5:$A$594,0)),""))</f>
        <v>A6</v>
      </c>
      <c r="F1417" s="9" t="s">
        <v>127</v>
      </c>
      <c r="G1417" s="18" t="str">
        <f>IF($F1417="","",IFERROR(INDEX(Items!$B$5:$B$597,MATCH($F1417,Items!$A$5:$A$597,0)),"⚠ not in Items"))</f>
        <v>Gloves</v>
      </c>
      <c r="H1417" s="19" t="str">
        <f>IF($F1417="","",IFERROR(INDEX(Items!$C$5:$C$597,MATCH($F1417,Items!$A$5:$A$597,0)),""))</f>
        <v>Medium</v>
      </c>
      <c r="I1417" s="23">
        <f>IF($F1417="","",IFERROR(INDEX(Items!$E$5:$E$597,MATCH($F1417,Items!$A$5:$A$597,0)),""))</f>
        <v>500</v>
      </c>
      <c r="J1417" s="115">
        <f>IF(tblIssues[[#This Row],[Qty Override]]&lt;&gt;"",tblIssues[[#This Row],[Qty Override]],IF(tblIssues[[#This Row],[Standard Issue]]="","",tblIssues[[#This Row],[Standard Issue]]))</f>
        <v>500</v>
      </c>
      <c r="K1417" s="20">
        <f>IF($F1417="","",IFERROR(INDEX(Items!$D$5:$D$597,MATCH($F1417,Items!$A$5:$A$597,0)),""))</f>
        <v>5.5E-2</v>
      </c>
      <c r="L1417" s="21">
        <f t="shared" si="250"/>
        <v>27.5</v>
      </c>
      <c r="M1417" s="9" t="str">
        <f t="shared" si="248"/>
        <v>ZIM510137962-2</v>
      </c>
      <c r="N1417" s="24">
        <f>IF($A1417="","",WORKDAY($A1417,Settings!$C$9,HolidayDates))</f>
        <v>46212</v>
      </c>
      <c r="O1417" s="24">
        <f>IF($N1417="","",WORKDAY($N1417,Settings!$C$10,HolidayDates))</f>
        <v>46252</v>
      </c>
      <c r="P1417" s="10" t="s">
        <v>501</v>
      </c>
      <c r="Q1417" s="52" t="str">
        <f t="shared" si="240"/>
        <v>Collected</v>
      </c>
      <c r="R1417" s="55" t="str">
        <f t="shared" si="241"/>
        <v>2026-07</v>
      </c>
      <c r="S1417" s="55">
        <f>IF(OR($B1417="",$F1417="",$R1417=""),"",SUMIFS(tblIssues[Qty Issued],tblIssues[Staff ID],$B1417,tblIssues[Item Name],$F1417,tblIssues[Month],$R1417))</f>
        <v>500</v>
      </c>
      <c r="T1417" s="56">
        <f>IF($I1417="","",$I1417*Settings!$C$11)</f>
        <v>500</v>
      </c>
      <c r="U1417" s="57" t="str">
        <f t="shared" si="249"/>
        <v>OK</v>
      </c>
      <c r="V1417" s="55" t="str">
        <f t="shared" si="242"/>
        <v/>
      </c>
      <c r="W1417" s="55" t="str">
        <f>IF($V1417="","",IF(COUNTIF($V$5:$V1417,$V1417)=1,1,""))</f>
        <v/>
      </c>
      <c r="X1417" s="58" t="str">
        <f>IF($W1417="","",MAX($X$4:X1416)+1)</f>
        <v/>
      </c>
      <c r="Y1417" s="62"/>
      <c r="Z1417" s="62"/>
      <c r="AA1417" s="64" t="str">
        <f>IF($C1417="","",IFERROR(INDEX('Staff Directory'!$E$5:$E$594,MATCH($C1417,'Staff Directory'!$B$5:$B$594,0)),""))</f>
        <v>firstname164.lastname164@example.com</v>
      </c>
      <c r="AB1417" s="64" t="str">
        <f>IF($C1417="","",IF(ISNUMBER(SEARCH($D1417,Settings!$C$15)),"Pickup","Dispatch"))</f>
        <v>Pickup</v>
      </c>
      <c r="AC1417" s="64" t="str">
        <f t="shared" si="243"/>
        <v>Supply order ready for pickup</v>
      </c>
      <c r="AD1417" s="64" t="str">
        <f t="shared" si="245"/>
        <v>Dear PSW,
Your order is ready for pickup from Sample Branch, Wed-Fri 9am-4pm.</v>
      </c>
      <c r="AE1417" s="64" t="str">
        <f t="shared" si="246"/>
        <v>mailto:firstname164.lastname164@example.com?subject=Supply%20order%20ready%20for%20pickup&amp;body=Dear%20PSW%2C%0A%0AYour%20order%20is%20ready%20for%20pickup%20from%20Sample%20Branch%2C%20Wed-Fri%209am-4pm.</v>
      </c>
      <c r="AF1417" s="89" t="str">
        <f t="shared" si="244"/>
        <v>Draft email</v>
      </c>
      <c r="AG1417" s="64" t="str">
        <f>IF($C1417="","",IFERROR(INDEX('Staff Directory'!$K$595:$K$599,MATCH($C1417,'Staff Directory'!$B$5:$B$599,0)),$D1417))</f>
        <v>PSW</v>
      </c>
      <c r="AH1417" t="str">
        <f>IF($C1417="","",IFERROR(INDEX('Staff Directory'!$I$595:$I$599,MATCH($C1417,'Staff Directory'!$B$5:$B$599,0))&amp;" "&amp;INDEX('Staff Directory'!$J$595:$J$599,MATCH($C1417,'Staff Directory'!$B$5:$B$599,0)),$AG1417))</f>
        <v>PSW</v>
      </c>
      <c r="AI1417" s="102"/>
      <c r="AJ1417" s="101">
        <f>IF($F1417="","",SUMIFS($J$5:$J1417,$F$5:$F1417,$F1417))</f>
        <v>88000</v>
      </c>
      <c r="AK1417" s="101">
        <f t="shared" si="247"/>
        <v>87501</v>
      </c>
      <c r="AL1417" s="66" t="str" cm="1">
        <f t="array" ref="AL1417">IF($F1417="","",IFERROR(INDEX('Lot Balance'!$B$5:$B$500,MATCH(1,INDEX(('Lot Balance'!$A$5:$A$500=$F1417)*('Lot Balance'!$K$5:$K$500&lt;$AK1417)*('Lot Balance'!$K$5:$K$500+'Lot Balance'!$D$5:$D$500&gt;=$AK1417),0),0)),""))</f>
        <v>ZIM510137962-2</v>
      </c>
      <c r="AM1417" s="66" t="str" cm="1">
        <f t="array" ref="AM1417">IF($F1417="","",IFERROR(INDEX('Lot Balance'!$B$5:$B$500,MATCH(1,INDEX(('Lot Balance'!$A$5:$A$500=$F1417)*('Lot Balance'!$K$5:$K$500&lt;$AJ1417)*('Lot Balance'!$K$5:$K$500+'Lot Balance'!$D$5:$D$500&gt;=$AJ1417),0),0)),""))</f>
        <v>ZIM510137962-2</v>
      </c>
      <c r="AN1417" s="66" t="str">
        <f>IF($F1417="","",IF($AI1417&lt;&gt;"",IF(COUNTIFS('Lot Balance'!$A$5:$A$500,$F1417,'Lot Balance'!$B$5:$B$500,$AI1417)=0,"⚠ override is not a lot of this item",IF($AI1417=$AL1417,"Override = FEFO","Override - FEFO says "&amp;$AL1417)),IF($AL1417="","⚠ no receipt on file for this item",IF($AM1417&lt;&gt;$AL1417,"FEFO auto - split, also "&amp;$AM1417,"FEFO auto"))))</f>
        <v>FEFO auto</v>
      </c>
      <c r="AO1417" s="114"/>
    </row>
    <row r="1418" spans="1:41" x14ac:dyDescent="0.35">
      <c r="A1418" s="74">
        <v>46204</v>
      </c>
      <c r="B1418" s="18" t="str">
        <f>IF($C1418="","",IFERROR(INDEX('Staff Directory'!$A$5:$A$594,MATCH($C1418,'Staff Directory'!$B$5:$B$594,0)),"⚠ unknown staff"))</f>
        <v>PSW-102-A6</v>
      </c>
      <c r="C1418" s="49" t="s">
        <v>1080</v>
      </c>
      <c r="D1418" s="19" t="str">
        <f>IF($B1418="","",IFERROR(INDEX('Staff Directory'!$C$5:$C$594,MATCH($B1418,'Staff Directory'!$A$5:$A$594,0)),""))</f>
        <v>PSW</v>
      </c>
      <c r="E1418" s="19" t="str">
        <f>IF($B1418="","",IFERROR(INDEX('Staff Directory'!$D$5:$D$594,MATCH($B1418,'Staff Directory'!$A$5:$A$594,0)),""))</f>
        <v>A6</v>
      </c>
      <c r="F1418" s="9" t="s">
        <v>191</v>
      </c>
      <c r="G1418" s="18" t="str">
        <f>IF($F1418="","",IFERROR(INDEX(Items!$B$5:$B$597,MATCH($F1418,Items!$A$5:$A$597,0)),"⚠ not in Items"))</f>
        <v>Sanitizer</v>
      </c>
      <c r="H1418" s="19" t="str">
        <f>IF($F1418="","",IFERROR(INDEX(Items!$C$5:$C$597,MATCH($F1418,Items!$A$5:$A$597,0)),""))</f>
        <v>236 ML</v>
      </c>
      <c r="I1418" s="23">
        <f>IF($F1418="","",IFERROR(INDEX(Items!$E$5:$E$597,MATCH($F1418,Items!$A$5:$A$597,0)),""))</f>
        <v>1</v>
      </c>
      <c r="J1418" s="115">
        <f>IF(tblIssues[[#This Row],[Qty Override]]&lt;&gt;"",tblIssues[[#This Row],[Qty Override]],IF(tblIssues[[#This Row],[Standard Issue]]="","",tblIssues[[#This Row],[Standard Issue]]))</f>
        <v>1</v>
      </c>
      <c r="K1418" s="20">
        <f>IF($F1418="","",IFERROR(INDEX(Items!$D$5:$D$597,MATCH($F1418,Items!$A$5:$A$597,0)),""))</f>
        <v>1E-4</v>
      </c>
      <c r="L1418" s="21">
        <f t="shared" si="250"/>
        <v>1E-4</v>
      </c>
      <c r="M1418" s="9" t="str">
        <f t="shared" si="248"/>
        <v/>
      </c>
      <c r="N1418" s="24">
        <f>IF($A1418="","",WORKDAY($A1418,Settings!$C$9,HolidayDates))</f>
        <v>46212</v>
      </c>
      <c r="O1418" s="24">
        <f>IF($N1418="","",WORKDAY($N1418,Settings!$C$10,HolidayDates))</f>
        <v>46252</v>
      </c>
      <c r="P1418" s="10" t="s">
        <v>501</v>
      </c>
      <c r="Q1418" s="52" t="str">
        <f t="shared" si="240"/>
        <v>Collected</v>
      </c>
      <c r="R1418" s="55" t="str">
        <f t="shared" si="241"/>
        <v>2026-07</v>
      </c>
      <c r="S1418" s="55">
        <f>IF(OR($B1418="",$F1418="",$R1418=""),"",SUMIFS(tblIssues[Qty Issued],tblIssues[Staff ID],$B1418,tblIssues[Item Name],$F1418,tblIssues[Month],$R1418))</f>
        <v>1</v>
      </c>
      <c r="T1418" s="56">
        <f>IF($I1418="","",$I1418*Settings!$C$11)</f>
        <v>1</v>
      </c>
      <c r="U1418" s="57" t="str">
        <f t="shared" si="249"/>
        <v>OK</v>
      </c>
      <c r="V1418" s="55" t="str">
        <f t="shared" si="242"/>
        <v/>
      </c>
      <c r="W1418" s="55" t="str">
        <f>IF($V1418="","",IF(COUNTIF($V$5:$V1418,$V1418)=1,1,""))</f>
        <v/>
      </c>
      <c r="X1418" s="58" t="str">
        <f>IF($W1418="","",MAX($X$4:X1417)+1)</f>
        <v/>
      </c>
      <c r="Y1418" s="62"/>
      <c r="Z1418" s="62"/>
      <c r="AA1418" s="64" t="str">
        <f>IF($C1418="","",IFERROR(INDEX('Staff Directory'!$E$5:$E$594,MATCH($C1418,'Staff Directory'!$B$5:$B$594,0)),""))</f>
        <v>firstname164.lastname164@example.com</v>
      </c>
      <c r="AB1418" s="64" t="str">
        <f>IF($C1418="","",IF(ISNUMBER(SEARCH($D1418,Settings!$C$15)),"Pickup","Dispatch"))</f>
        <v>Pickup</v>
      </c>
      <c r="AC1418" s="64" t="str">
        <f t="shared" si="243"/>
        <v>Supply order ready for pickup</v>
      </c>
      <c r="AD1418" s="64" t="str">
        <f t="shared" si="245"/>
        <v>Dear PSW,
Your order is ready for pickup from Sample Branch, Wed-Fri 9am-4pm.</v>
      </c>
      <c r="AE1418" s="64" t="str">
        <f t="shared" si="246"/>
        <v>mailto:firstname164.lastname164@example.com?subject=Supply%20order%20ready%20for%20pickup&amp;body=Dear%20PSW%2C%0A%0AYour%20order%20is%20ready%20for%20pickup%20from%20Sample%20Branch%2C%20Wed-Fri%209am-4pm.</v>
      </c>
      <c r="AF1418" s="89" t="str">
        <f t="shared" si="244"/>
        <v>Draft email</v>
      </c>
      <c r="AG1418" s="64" t="str">
        <f>IF($C1418="","",IFERROR(INDEX('Staff Directory'!$K$595:$K$599,MATCH($C1418,'Staff Directory'!$B$5:$B$599,0)),$D1418))</f>
        <v>PSW</v>
      </c>
      <c r="AH1418" t="str">
        <f>IF($C1418="","",IFERROR(INDEX('Staff Directory'!$I$595:$I$599,MATCH($C1418,'Staff Directory'!$B$5:$B$599,0))&amp;" "&amp;INDEX('Staff Directory'!$J$595:$J$599,MATCH($C1418,'Staff Directory'!$B$5:$B$599,0)),$AG1418))</f>
        <v>PSW</v>
      </c>
      <c r="AI1418" s="102"/>
      <c r="AJ1418" s="101">
        <f>IF($F1418="","",SUMIFS($J$5:$J1418,$F$5:$F1418,$F1418))</f>
        <v>192</v>
      </c>
      <c r="AK1418" s="101">
        <f t="shared" si="247"/>
        <v>192</v>
      </c>
      <c r="AL1418" s="66" t="str" cm="1">
        <f t="array" ref="AL1418">IF($F1418="","",IFERROR(INDEX('Lot Balance'!$B$5:$B$500,MATCH(1,INDEX(('Lot Balance'!$A$5:$A$500=$F1418)*('Lot Balance'!$K$5:$K$500&lt;$AK1418)*('Lot Balance'!$K$5:$K$500+'Lot Balance'!$D$5:$D$500&gt;=$AK1418),0),0)),""))</f>
        <v/>
      </c>
      <c r="AM1418" s="66" t="str" cm="1">
        <f t="array" ref="AM1418">IF($F1418="","",IFERROR(INDEX('Lot Balance'!$B$5:$B$500,MATCH(1,INDEX(('Lot Balance'!$A$5:$A$500=$F1418)*('Lot Balance'!$K$5:$K$500&lt;$AJ1418)*('Lot Balance'!$K$5:$K$500+'Lot Balance'!$D$5:$D$500&gt;=$AJ1418),0),0)),""))</f>
        <v/>
      </c>
      <c r="AN1418" s="66" t="str">
        <f>IF($F1418="","",IF($AI1418&lt;&gt;"",IF(COUNTIFS('Lot Balance'!$A$5:$A$500,$F1418,'Lot Balance'!$B$5:$B$500,$AI1418)=0,"⚠ override is not a lot of this item",IF($AI1418=$AL1418,"Override = FEFO","Override - FEFO says "&amp;$AL1418)),IF($AL1418="","⚠ no receipt on file for this item",IF($AM1418&lt;&gt;$AL1418,"FEFO auto - split, also "&amp;$AM1418,"FEFO auto"))))</f>
        <v>⚠ no receipt on file for this item</v>
      </c>
      <c r="AO1418" s="114"/>
    </row>
    <row r="1419" spans="1:41" x14ac:dyDescent="0.35">
      <c r="A1419" s="74">
        <v>46204</v>
      </c>
      <c r="B1419" s="18" t="str">
        <f>IF($C1419="","",IFERROR(INDEX('Staff Directory'!$A$5:$A$594,MATCH($C1419,'Staff Directory'!$B$5:$B$594,0)),"⚠ unknown staff"))</f>
        <v>PSW-102-A6</v>
      </c>
      <c r="C1419" s="49" t="s">
        <v>1080</v>
      </c>
      <c r="D1419" s="19" t="str">
        <f>IF($B1419="","",IFERROR(INDEX('Staff Directory'!$C$5:$C$594,MATCH($B1419,'Staff Directory'!$A$5:$A$594,0)),""))</f>
        <v>PSW</v>
      </c>
      <c r="E1419" s="19" t="str">
        <f>IF($B1419="","",IFERROR(INDEX('Staff Directory'!$D$5:$D$594,MATCH($B1419,'Staff Directory'!$A$5:$A$594,0)),""))</f>
        <v>A6</v>
      </c>
      <c r="F1419" s="9" t="s">
        <v>115</v>
      </c>
      <c r="G1419" s="18" t="str">
        <f>IF($F1419="","",IFERROR(INDEX(Items!$B$5:$B$597,MATCH($F1419,Items!$A$5:$A$597,0)),"⚠ not in Items"))</f>
        <v>Wipes</v>
      </c>
      <c r="H1419" s="19">
        <f>IF($F1419="","",IFERROR(INDEX(Items!$C$5:$C$597,MATCH($F1419,Items!$A$5:$A$597,0)),""))</f>
        <v>80</v>
      </c>
      <c r="I1419" s="23">
        <f>IF($F1419="","",IFERROR(INDEX(Items!$E$5:$E$597,MATCH($F1419,Items!$A$5:$A$597,0)),""))</f>
        <v>80</v>
      </c>
      <c r="J1419" s="115">
        <f>IF(tblIssues[[#This Row],[Qty Override]]&lt;&gt;"",tblIssues[[#This Row],[Qty Override]],IF(tblIssues[[#This Row],[Standard Issue]]="","",tblIssues[[#This Row],[Standard Issue]]))</f>
        <v>80</v>
      </c>
      <c r="K1419" s="20">
        <f>IF($F1419="","",IFERROR(INDEX(Items!$D$5:$D$597,MATCH($F1419,Items!$A$5:$A$597,0)),""))</f>
        <v>0.1</v>
      </c>
      <c r="L1419" s="21">
        <f t="shared" si="250"/>
        <v>8</v>
      </c>
      <c r="M1419" s="9" t="str">
        <f t="shared" si="248"/>
        <v>LYSL500290</v>
      </c>
      <c r="N1419" s="24">
        <f>IF($A1419="","",WORKDAY($A1419,Settings!$C$9,HolidayDates))</f>
        <v>46212</v>
      </c>
      <c r="O1419" s="24">
        <f>IF($N1419="","",WORKDAY($N1419,Settings!$C$10,HolidayDates))</f>
        <v>46252</v>
      </c>
      <c r="P1419" s="10" t="s">
        <v>501</v>
      </c>
      <c r="Q1419" s="52" t="str">
        <f t="shared" si="240"/>
        <v>Collected</v>
      </c>
      <c r="R1419" s="55" t="str">
        <f t="shared" si="241"/>
        <v>2026-07</v>
      </c>
      <c r="S1419" s="55">
        <f>IF(OR($B1419="",$F1419="",$R1419=""),"",SUMIFS(tblIssues[Qty Issued],tblIssues[Staff ID],$B1419,tblIssues[Item Name],$F1419,tblIssues[Month],$R1419))</f>
        <v>80</v>
      </c>
      <c r="T1419" s="56">
        <f>IF($I1419="","",$I1419*Settings!$C$11)</f>
        <v>80</v>
      </c>
      <c r="U1419" s="57" t="str">
        <f t="shared" si="249"/>
        <v>OK</v>
      </c>
      <c r="V1419" s="55" t="str">
        <f t="shared" si="242"/>
        <v/>
      </c>
      <c r="W1419" s="55" t="str">
        <f>IF($V1419="","",IF(COUNTIF($V$5:$V1419,$V1419)=1,1,""))</f>
        <v/>
      </c>
      <c r="X1419" s="58" t="str">
        <f>IF($W1419="","",MAX($X$4:X1418)+1)</f>
        <v/>
      </c>
      <c r="Y1419" s="62"/>
      <c r="Z1419" s="62"/>
      <c r="AA1419" s="64" t="str">
        <f>IF($C1419="","",IFERROR(INDEX('Staff Directory'!$E$5:$E$594,MATCH($C1419,'Staff Directory'!$B$5:$B$594,0)),""))</f>
        <v>firstname164.lastname164@example.com</v>
      </c>
      <c r="AB1419" s="64" t="str">
        <f>IF($C1419="","",IF(ISNUMBER(SEARCH($D1419,Settings!$C$15)),"Pickup","Dispatch"))</f>
        <v>Pickup</v>
      </c>
      <c r="AC1419" s="64" t="str">
        <f t="shared" si="243"/>
        <v>Supply order ready for pickup</v>
      </c>
      <c r="AD1419" s="64" t="str">
        <f t="shared" si="245"/>
        <v>Dear PSW,
Your order is ready for pickup from Sample Branch, Wed-Fri 9am-4pm.</v>
      </c>
      <c r="AE1419" s="64" t="str">
        <f t="shared" si="246"/>
        <v>mailto:firstname164.lastname164@example.com?subject=Supply%20order%20ready%20for%20pickup&amp;body=Dear%20PSW%2C%0A%0AYour%20order%20is%20ready%20for%20pickup%20from%20Sample%20Branch%2C%20Wed-Fri%209am-4pm.</v>
      </c>
      <c r="AF1419" s="89" t="str">
        <f t="shared" si="244"/>
        <v>Draft email</v>
      </c>
      <c r="AG1419" s="64" t="str">
        <f>IF($C1419="","",IFERROR(INDEX('Staff Directory'!$K$595:$K$599,MATCH($C1419,'Staff Directory'!$B$5:$B$599,0)),$D1419))</f>
        <v>PSW</v>
      </c>
      <c r="AH1419" t="str">
        <f>IF($C1419="","",IFERROR(INDEX('Staff Directory'!$I$595:$I$599,MATCH($C1419,'Staff Directory'!$B$5:$B$599,0))&amp;" "&amp;INDEX('Staff Directory'!$J$595:$J$599,MATCH($C1419,'Staff Directory'!$B$5:$B$599,0)),$AG1419))</f>
        <v>PSW</v>
      </c>
      <c r="AI1419" s="102"/>
      <c r="AJ1419" s="101">
        <f>IF($F1419="","",SUMIFS($J$5:$J1419,$F$5:$F1419,$F1419))</f>
        <v>19600</v>
      </c>
      <c r="AK1419" s="101">
        <f t="shared" si="247"/>
        <v>19521</v>
      </c>
      <c r="AL1419" s="66" t="str" cm="1">
        <f t="array" ref="AL1419">IF($F1419="","",IFERROR(INDEX('Lot Balance'!$B$5:$B$500,MATCH(1,INDEX(('Lot Balance'!$A$5:$A$500=$F1419)*('Lot Balance'!$K$5:$K$500&lt;$AK1419)*('Lot Balance'!$K$5:$K$500+'Lot Balance'!$D$5:$D$500&gt;=$AK1419),0),0)),""))</f>
        <v>LYSL500290</v>
      </c>
      <c r="AM1419" s="66" t="str" cm="1">
        <f t="array" ref="AM1419">IF($F1419="","",IFERROR(INDEX('Lot Balance'!$B$5:$B$500,MATCH(1,INDEX(('Lot Balance'!$A$5:$A$500=$F1419)*('Lot Balance'!$K$5:$K$500&lt;$AJ1419)*('Lot Balance'!$K$5:$K$500+'Lot Balance'!$D$5:$D$500&gt;=$AJ1419),0),0)),""))</f>
        <v>LYSL500290</v>
      </c>
      <c r="AN1419" s="66" t="str">
        <f>IF($F1419="","",IF($AI1419&lt;&gt;"",IF(COUNTIFS('Lot Balance'!$A$5:$A$500,$F1419,'Lot Balance'!$B$5:$B$500,$AI1419)=0,"⚠ override is not a lot of this item",IF($AI1419=$AL1419,"Override = FEFO","Override - FEFO says "&amp;$AL1419)),IF($AL1419="","⚠ no receipt on file for this item",IF($AM1419&lt;&gt;$AL1419,"FEFO auto - split, also "&amp;$AM1419,"FEFO auto"))))</f>
        <v>FEFO auto</v>
      </c>
      <c r="AO1419" s="114"/>
    </row>
    <row r="1420" spans="1:41" x14ac:dyDescent="0.35">
      <c r="A1420" s="74">
        <v>46204</v>
      </c>
      <c r="B1420" s="18" t="str">
        <f>IF($C1420="","",IFERROR(INDEX('Staff Directory'!$A$5:$A$594,MATCH($C1420,'Staff Directory'!$B$5:$B$594,0)),"⚠ unknown staff"))</f>
        <v>PSW-102-A6</v>
      </c>
      <c r="C1420" s="49" t="s">
        <v>1080</v>
      </c>
      <c r="D1420" s="19" t="str">
        <f>IF($B1420="","",IFERROR(INDEX('Staff Directory'!$C$5:$C$594,MATCH($B1420,'Staff Directory'!$A$5:$A$594,0)),""))</f>
        <v>PSW</v>
      </c>
      <c r="E1420" s="19" t="str">
        <f>IF($B1420="","",IFERROR(INDEX('Staff Directory'!$D$5:$D$594,MATCH($B1420,'Staff Directory'!$A$5:$A$594,0)),""))</f>
        <v>A6</v>
      </c>
      <c r="F1420" s="9" t="s">
        <v>156</v>
      </c>
      <c r="G1420" s="18" t="str">
        <f>IF($F1420="","",IFERROR(INDEX(Items!$B$5:$B$597,MATCH($F1420,Items!$A$5:$A$597,0)),"⚠ not in Items"))</f>
        <v>Masks</v>
      </c>
      <c r="H1420" s="19" t="str">
        <f>IF($F1420="","",IFERROR(INDEX(Items!$C$5:$C$597,MATCH($F1420,Items!$A$5:$A$597,0)),""))</f>
        <v>One Size</v>
      </c>
      <c r="I1420" s="23">
        <f>IF($F1420="","",IFERROR(INDEX(Items!$E$5:$E$597,MATCH($F1420,Items!$A$5:$A$597,0)),""))</f>
        <v>50</v>
      </c>
      <c r="J1420" s="115">
        <f>IF(tblIssues[[#This Row],[Qty Override]]&lt;&gt;"",tblIssues[[#This Row],[Qty Override]],IF(tblIssues[[#This Row],[Standard Issue]]="","",tblIssues[[#This Row],[Standard Issue]]))</f>
        <v>50</v>
      </c>
      <c r="K1420" s="20">
        <f>IF($F1420="","",IFERROR(INDEX(Items!$D$5:$D$597,MATCH($F1420,Items!$A$5:$A$597,0)),""))</f>
        <v>0.25</v>
      </c>
      <c r="L1420" s="21">
        <f t="shared" si="250"/>
        <v>12.5</v>
      </c>
      <c r="M1420" s="9" t="str">
        <f t="shared" si="248"/>
        <v>24HA2050A7396</v>
      </c>
      <c r="N1420" s="24">
        <f>IF($A1420="","",WORKDAY($A1420,Settings!$C$9,HolidayDates))</f>
        <v>46212</v>
      </c>
      <c r="O1420" s="24">
        <f>IF($N1420="","",WORKDAY($N1420,Settings!$C$10,HolidayDates))</f>
        <v>46252</v>
      </c>
      <c r="P1420" s="10" t="s">
        <v>501</v>
      </c>
      <c r="Q1420" s="52" t="str">
        <f t="shared" si="240"/>
        <v>Collected</v>
      </c>
      <c r="R1420" s="55" t="str">
        <f t="shared" si="241"/>
        <v>2026-07</v>
      </c>
      <c r="S1420" s="55">
        <f>IF(OR($B1420="",$F1420="",$R1420=""),"",SUMIFS(tblIssues[Qty Issued],tblIssues[Staff ID],$B1420,tblIssues[Item Name],$F1420,tblIssues[Month],$R1420))</f>
        <v>50</v>
      </c>
      <c r="T1420" s="56">
        <f>IF($I1420="","",$I1420*Settings!$C$11)</f>
        <v>50</v>
      </c>
      <c r="U1420" s="57" t="str">
        <f t="shared" si="249"/>
        <v>OK</v>
      </c>
      <c r="V1420" s="55" t="str">
        <f t="shared" si="242"/>
        <v/>
      </c>
      <c r="W1420" s="55" t="str">
        <f>IF($V1420="","",IF(COUNTIF($V$5:$V1420,$V1420)=1,1,""))</f>
        <v/>
      </c>
      <c r="X1420" s="58" t="str">
        <f>IF($W1420="","",MAX($X$4:X1419)+1)</f>
        <v/>
      </c>
      <c r="Y1420" s="62"/>
      <c r="Z1420" s="62"/>
      <c r="AA1420" s="64" t="str">
        <f>IF($C1420="","",IFERROR(INDEX('Staff Directory'!$E$5:$E$594,MATCH($C1420,'Staff Directory'!$B$5:$B$594,0)),""))</f>
        <v>firstname164.lastname164@example.com</v>
      </c>
      <c r="AB1420" s="64" t="str">
        <f>IF($C1420="","",IF(ISNUMBER(SEARCH($D1420,Settings!$C$15)),"Pickup","Dispatch"))</f>
        <v>Pickup</v>
      </c>
      <c r="AC1420" s="64" t="str">
        <f t="shared" si="243"/>
        <v>Supply order ready for pickup</v>
      </c>
      <c r="AD1420" s="64" t="str">
        <f t="shared" si="245"/>
        <v>Dear PSW,
Your order is ready for pickup from Sample Branch, Wed-Fri 9am-4pm.</v>
      </c>
      <c r="AE1420" s="64" t="str">
        <f t="shared" si="246"/>
        <v>mailto:firstname164.lastname164@example.com?subject=Supply%20order%20ready%20for%20pickup&amp;body=Dear%20PSW%2C%0A%0AYour%20order%20is%20ready%20for%20pickup%20from%20Sample%20Branch%2C%20Wed-Fri%209am-4pm.</v>
      </c>
      <c r="AF1420" s="89" t="str">
        <f t="shared" si="244"/>
        <v>Draft email</v>
      </c>
      <c r="AG1420" s="64" t="str">
        <f>IF($C1420="","",IFERROR(INDEX('Staff Directory'!$K$595:$K$599,MATCH($C1420,'Staff Directory'!$B$5:$B$599,0)),$D1420))</f>
        <v>PSW</v>
      </c>
      <c r="AH1420" t="str">
        <f>IF($C1420="","",IFERROR(INDEX('Staff Directory'!$I$595:$I$599,MATCH($C1420,'Staff Directory'!$B$5:$B$599,0))&amp;" "&amp;INDEX('Staff Directory'!$J$595:$J$599,MATCH($C1420,'Staff Directory'!$B$5:$B$599,0)),$AG1420))</f>
        <v>PSW</v>
      </c>
      <c r="AI1420" s="102"/>
      <c r="AJ1420" s="101">
        <f>IF($F1420="","",SUMIFS($J$5:$J1420,$F$5:$F1420,$F1420))</f>
        <v>12400</v>
      </c>
      <c r="AK1420" s="101">
        <f t="shared" si="247"/>
        <v>12351</v>
      </c>
      <c r="AL1420" s="66" t="str" cm="1">
        <f t="array" ref="AL1420">IF($F1420="","",IFERROR(INDEX('Lot Balance'!$B$5:$B$500,MATCH(1,INDEX(('Lot Balance'!$A$5:$A$500=$F1420)*('Lot Balance'!$K$5:$K$500&lt;$AK1420)*('Lot Balance'!$K$5:$K$500+'Lot Balance'!$D$5:$D$500&gt;=$AK1420),0),0)),""))</f>
        <v>24HA2050A7396</v>
      </c>
      <c r="AM1420" s="66" t="str" cm="1">
        <f t="array" ref="AM1420">IF($F1420="","",IFERROR(INDEX('Lot Balance'!$B$5:$B$500,MATCH(1,INDEX(('Lot Balance'!$A$5:$A$500=$F1420)*('Lot Balance'!$K$5:$K$500&lt;$AJ1420)*('Lot Balance'!$K$5:$K$500+'Lot Balance'!$D$5:$D$500&gt;=$AJ1420),0),0)),""))</f>
        <v>24HA2050A7396</v>
      </c>
      <c r="AN1420" s="66" t="str">
        <f>IF($F1420="","",IF($AI1420&lt;&gt;"",IF(COUNTIFS('Lot Balance'!$A$5:$A$500,$F1420,'Lot Balance'!$B$5:$B$500,$AI1420)=0,"⚠ override is not a lot of this item",IF($AI1420=$AL1420,"Override = FEFO","Override - FEFO says "&amp;$AL1420)),IF($AL1420="","⚠ no receipt on file for this item",IF($AM1420&lt;&gt;$AL1420,"FEFO auto - split, also "&amp;$AM1420,"FEFO auto"))))</f>
        <v>FEFO auto</v>
      </c>
      <c r="AO1420" s="114"/>
    </row>
    <row r="1421" spans="1:41" x14ac:dyDescent="0.35">
      <c r="A1421" s="74">
        <v>46204</v>
      </c>
      <c r="B1421" s="18" t="str">
        <f>IF($C1421="","",IFERROR(INDEX('Staff Directory'!$A$5:$A$594,MATCH($C1421,'Staff Directory'!$B$5:$B$594,0)),"⚠ unknown staff"))</f>
        <v>PSW-102-A6</v>
      </c>
      <c r="C1421" s="49" t="s">
        <v>1080</v>
      </c>
      <c r="D1421" s="19" t="str">
        <f>IF($B1421="","",IFERROR(INDEX('Staff Directory'!$C$5:$C$594,MATCH($B1421,'Staff Directory'!$A$5:$A$594,0)),""))</f>
        <v>PSW</v>
      </c>
      <c r="E1421" s="19" t="str">
        <f>IF($B1421="","",IFERROR(INDEX('Staff Directory'!$D$5:$D$594,MATCH($B1421,'Staff Directory'!$A$5:$A$594,0)),""))</f>
        <v>A6</v>
      </c>
      <c r="F1421" s="9" t="s">
        <v>758</v>
      </c>
      <c r="G1421" s="18" t="str">
        <f>IF($F1421="","",IFERROR(INDEX(Items!$B$5:$B$597,MATCH($F1421,Items!$A$5:$A$597,0)),"⚠ not in Items"))</f>
        <v>Utility</v>
      </c>
      <c r="H1421" s="19" t="str">
        <f>IF($F1421="","",IFERROR(INDEX(Items!$C$5:$C$597,MATCH($F1421,Items!$A$5:$A$597,0)),""))</f>
        <v>Standard</v>
      </c>
      <c r="I1421" s="23">
        <f>IF($F1421="","",IFERROR(INDEX(Items!$E$5:$E$597,MATCH($F1421,Items!$A$5:$A$597,0)),""))</f>
        <v>1</v>
      </c>
      <c r="J1421" s="115">
        <f>IF(tblIssues[[#This Row],[Qty Override]]&lt;&gt;"",tblIssues[[#This Row],[Qty Override]],IF(tblIssues[[#This Row],[Standard Issue]]="","",tblIssues[[#This Row],[Standard Issue]]))</f>
        <v>1</v>
      </c>
      <c r="K1421" s="20">
        <f>IF($F1421="","",IFERROR(INDEX(Items!$D$5:$D$597,MATCH($F1421,Items!$A$5:$A$597,0)),""))</f>
        <v>0</v>
      </c>
      <c r="L1421" s="21">
        <f t="shared" si="250"/>
        <v>0</v>
      </c>
      <c r="M1421" s="9" t="str">
        <f t="shared" si="248"/>
        <v/>
      </c>
      <c r="N1421" s="24">
        <f>IF($A1421="","",WORKDAY($A1421,Settings!$C$9,HolidayDates))</f>
        <v>46212</v>
      </c>
      <c r="O1421" s="24">
        <f>IF($N1421="","",WORKDAY($N1421,Settings!$C$10,HolidayDates))</f>
        <v>46252</v>
      </c>
      <c r="P1421" s="10" t="s">
        <v>501</v>
      </c>
      <c r="Q1421" s="52" t="str">
        <f t="shared" si="240"/>
        <v>Collected</v>
      </c>
      <c r="R1421" s="55" t="str">
        <f t="shared" si="241"/>
        <v>2026-07</v>
      </c>
      <c r="S1421" s="55">
        <f>IF(OR($B1421="",$F1421="",$R1421=""),"",SUMIFS(tblIssues[Qty Issued],tblIssues[Staff ID],$B1421,tblIssues[Item Name],$F1421,tblIssues[Month],$R1421))</f>
        <v>1</v>
      </c>
      <c r="T1421" s="56">
        <f>IF($I1421="","",$I1421*Settings!$C$11)</f>
        <v>1</v>
      </c>
      <c r="U1421" s="57" t="str">
        <f t="shared" si="249"/>
        <v>OK</v>
      </c>
      <c r="V1421" s="55" t="str">
        <f t="shared" si="242"/>
        <v/>
      </c>
      <c r="W1421" s="55" t="str">
        <f>IF($V1421="","",IF(COUNTIF($V$5:$V1421,$V1421)=1,1,""))</f>
        <v/>
      </c>
      <c r="X1421" s="58" t="str">
        <f>IF($W1421="","",MAX($X$4:X1420)+1)</f>
        <v/>
      </c>
      <c r="Y1421" s="62"/>
      <c r="Z1421" s="62"/>
      <c r="AA1421" s="64" t="str">
        <f>IF($C1421="","",IFERROR(INDEX('Staff Directory'!$E$5:$E$594,MATCH($C1421,'Staff Directory'!$B$5:$B$594,0)),""))</f>
        <v>firstname164.lastname164@example.com</v>
      </c>
      <c r="AB1421" s="64" t="str">
        <f>IF($C1421="","",IF(ISNUMBER(SEARCH($D1421,Settings!$C$15)),"Pickup","Dispatch"))</f>
        <v>Pickup</v>
      </c>
      <c r="AC1421" s="64" t="str">
        <f t="shared" si="243"/>
        <v>Supply order ready for pickup</v>
      </c>
      <c r="AD1421" s="64" t="str">
        <f t="shared" si="245"/>
        <v>Dear PSW,
Your order is ready for pickup from Sample Branch, Wed-Fri 9am-4pm.</v>
      </c>
      <c r="AE1421" s="64" t="str">
        <f t="shared" si="246"/>
        <v>mailto:firstname164.lastname164@example.com?subject=Supply%20order%20ready%20for%20pickup&amp;body=Dear%20PSW%2C%0A%0AYour%20order%20is%20ready%20for%20pickup%20from%20Sample%20Branch%2C%20Wed-Fri%209am-4pm.</v>
      </c>
      <c r="AF1421" s="89" t="str">
        <f t="shared" si="244"/>
        <v>Draft email</v>
      </c>
      <c r="AG1421" s="64" t="str">
        <f>IF($C1421="","",IFERROR(INDEX('Staff Directory'!$K$595:$K$599,MATCH($C1421,'Staff Directory'!$B$5:$B$599,0)),$D1421))</f>
        <v>PSW</v>
      </c>
      <c r="AH1421" t="str">
        <f>IF($C1421="","",IFERROR(INDEX('Staff Directory'!$I$595:$I$599,MATCH($C1421,'Staff Directory'!$B$5:$B$599,0))&amp;" "&amp;INDEX('Staff Directory'!$J$595:$J$599,MATCH($C1421,'Staff Directory'!$B$5:$B$599,0)),$AG1421))</f>
        <v>PSW</v>
      </c>
      <c r="AI1421" s="102"/>
      <c r="AJ1421" s="101">
        <f>IF($F1421="","",SUMIFS($J$5:$J1421,$F$5:$F1421,$F1421))</f>
        <v>14</v>
      </c>
      <c r="AK1421" s="101">
        <f t="shared" si="247"/>
        <v>14</v>
      </c>
      <c r="AL1421" s="66" t="str" cm="1">
        <f t="array" ref="AL1421">IF($F1421="","",IFERROR(INDEX('Lot Balance'!$B$5:$B$500,MATCH(1,INDEX(('Lot Balance'!$A$5:$A$500=$F1421)*('Lot Balance'!$K$5:$K$500&lt;$AK1421)*('Lot Balance'!$K$5:$K$500+'Lot Balance'!$D$5:$D$500&gt;=$AK1421),0),0)),""))</f>
        <v/>
      </c>
      <c r="AM1421" s="66" t="str" cm="1">
        <f t="array" ref="AM1421">IF($F1421="","",IFERROR(INDEX('Lot Balance'!$B$5:$B$500,MATCH(1,INDEX(('Lot Balance'!$A$5:$A$500=$F1421)*('Lot Balance'!$K$5:$K$500&lt;$AJ1421)*('Lot Balance'!$K$5:$K$500+'Lot Balance'!$D$5:$D$500&gt;=$AJ1421),0),0)),""))</f>
        <v/>
      </c>
      <c r="AN1421" s="66" t="str">
        <f>IF($F1421="","",IF($AI1421&lt;&gt;"",IF(COUNTIFS('Lot Balance'!$A$5:$A$500,$F1421,'Lot Balance'!$B$5:$B$500,$AI1421)=0,"⚠ override is not a lot of this item",IF($AI1421=$AL1421,"Override = FEFO","Override - FEFO says "&amp;$AL1421)),IF($AL1421="","⚠ no receipt on file for this item",IF($AM1421&lt;&gt;$AL1421,"FEFO auto - split, also "&amp;$AM1421,"FEFO auto"))))</f>
        <v>⚠ no receipt on file for this item</v>
      </c>
      <c r="AO1421" s="114"/>
    </row>
    <row r="1422" spans="1:41" x14ac:dyDescent="0.35">
      <c r="A1422" s="74">
        <v>46204</v>
      </c>
      <c r="B1422" s="18" t="str">
        <f>IF($C1422="","",IFERROR(INDEX('Staff Directory'!$A$5:$A$594,MATCH($C1422,'Staff Directory'!$B$5:$B$594,0)),"⚠ unknown staff"))</f>
        <v>PSW-031-A4</v>
      </c>
      <c r="C1422" s="49" t="s">
        <v>1006</v>
      </c>
      <c r="D1422" s="19" t="str">
        <f>IF($B1422="","",IFERROR(INDEX('Staff Directory'!$C$5:$C$594,MATCH($B1422,'Staff Directory'!$A$5:$A$594,0)),""))</f>
        <v>PSW</v>
      </c>
      <c r="E1422" s="19" t="str">
        <f>IF($B1422="","",IFERROR(INDEX('Staff Directory'!$D$5:$D$594,MATCH($B1422,'Staff Directory'!$A$5:$A$594,0)),""))</f>
        <v>A4</v>
      </c>
      <c r="F1422" s="9" t="s">
        <v>124</v>
      </c>
      <c r="G1422" s="18" t="str">
        <f>IF($F1422="","",IFERROR(INDEX(Items!$B$5:$B$597,MATCH($F1422,Items!$A$5:$A$597,0)),"⚠ not in Items"))</f>
        <v>Gloves</v>
      </c>
      <c r="H1422" s="19" t="str">
        <f>IF($F1422="","",IFERROR(INDEX(Items!$C$5:$C$597,MATCH($F1422,Items!$A$5:$A$597,0)),""))</f>
        <v>Large</v>
      </c>
      <c r="I1422" s="23">
        <f>IF($F1422="","",IFERROR(INDEX(Items!$E$5:$E$597,MATCH($F1422,Items!$A$5:$A$597,0)),""))</f>
        <v>500</v>
      </c>
      <c r="J1422" s="115">
        <f>IF(tblIssues[[#This Row],[Qty Override]]&lt;&gt;"",tblIssues[[#This Row],[Qty Override]],IF(tblIssues[[#This Row],[Standard Issue]]="","",tblIssues[[#This Row],[Standard Issue]]))</f>
        <v>500</v>
      </c>
      <c r="K1422" s="20">
        <f>IF($F1422="","",IFERROR(INDEX(Items!$D$5:$D$597,MATCH($F1422,Items!$A$5:$A$597,0)),""))</f>
        <v>5.5E-2</v>
      </c>
      <c r="L1422" s="21">
        <f t="shared" si="250"/>
        <v>27.5</v>
      </c>
      <c r="M1422" s="9" t="str">
        <f t="shared" si="248"/>
        <v>ZIM511139904-3</v>
      </c>
      <c r="N1422" s="24">
        <f>IF($A1422="","",WORKDAY($A1422,Settings!$C$9,HolidayDates))</f>
        <v>46212</v>
      </c>
      <c r="O1422" s="24">
        <f>IF($N1422="","",WORKDAY($N1422,Settings!$C$10,HolidayDates))</f>
        <v>46252</v>
      </c>
      <c r="P1422" s="10" t="s">
        <v>501</v>
      </c>
      <c r="Q1422" s="52" t="str">
        <f t="shared" ref="Q1422:Q1485" si="251">IF($A1422="","",IF($P1422&lt;&gt;"","Collected","Pending"))</f>
        <v>Collected</v>
      </c>
      <c r="R1422" s="55" t="str">
        <f t="shared" ref="R1422:R1485" si="252">IF($A1422="","",TEXT($A1422,"yyyy-mm"))</f>
        <v>2026-07</v>
      </c>
      <c r="S1422" s="55">
        <f>IF(OR($B1422="",$F1422="",$R1422=""),"",SUMIFS(tblIssues[Qty Issued],tblIssues[Staff ID],$B1422,tblIssues[Item Name],$F1422,tblIssues[Month],$R1422))</f>
        <v>500</v>
      </c>
      <c r="T1422" s="56">
        <f>IF($I1422="","",$I1422*Settings!$C$11)</f>
        <v>500</v>
      </c>
      <c r="U1422" s="57" t="str">
        <f t="shared" si="249"/>
        <v>OK</v>
      </c>
      <c r="V1422" s="55" t="str">
        <f t="shared" ref="V1422:V1485" si="253">IF($U1422="⚠ OVER QUOTA",$B1422&amp;" | "&amp;$F1422&amp;" | "&amp;$R1422,"")</f>
        <v/>
      </c>
      <c r="W1422" s="55" t="str">
        <f>IF($V1422="","",IF(COUNTIF($V$5:$V1422,$V1422)=1,1,""))</f>
        <v/>
      </c>
      <c r="X1422" s="58" t="str">
        <f>IF($W1422="","",MAX($X$4:X1421)+1)</f>
        <v/>
      </c>
      <c r="Y1422" s="62"/>
      <c r="Z1422" s="62"/>
      <c r="AA1422" s="64" t="str">
        <f>IF($C1422="","",IFERROR(INDEX('Staff Directory'!$E$5:$E$594,MATCH($C1422,'Staff Directory'!$B$5:$B$594,0)),""))</f>
        <v>firstname090.lastname090@example.com</v>
      </c>
      <c r="AB1422" s="64" t="str">
        <f>IF($C1422="","",IF(ISNUMBER(SEARCH($D1422,Settings!$C$15)),"Pickup","Dispatch"))</f>
        <v>Pickup</v>
      </c>
      <c r="AC1422" s="64" t="str">
        <f t="shared" ref="AC1422:AC1485" si="254">IF($AB1422="Pickup","Supply order ready for pickup",IF($AB1422="Dispatch","Supply order dispatched",""))</f>
        <v>Supply order ready for pickup</v>
      </c>
      <c r="AD1422" s="64" t="str">
        <f t="shared" si="245"/>
        <v>Dear PSW,
Your order is ready for pickup from Sample Branch, Wed-Fri 9am-4pm.</v>
      </c>
      <c r="AE1422" s="64" t="str">
        <f t="shared" si="246"/>
        <v>mailto:firstname090.lastname090@example.com?subject=Supply%20order%20ready%20for%20pickup&amp;body=Dear%20PSW%2C%0A%0AYour%20order%20is%20ready%20for%20pickup%20from%20Sample%20Branch%2C%20Wed-Fri%209am-4pm.</v>
      </c>
      <c r="AF1422" s="89" t="str">
        <f t="shared" ref="AF1422:AF1485" si="255">IF(AE1422="","",HYPERLINK(AE1422,"Draft email"))</f>
        <v>Draft email</v>
      </c>
      <c r="AG1422" s="64" t="str">
        <f>IF($C1422="","",IFERROR(INDEX('Staff Directory'!$K$595:$K$599,MATCH($C1422,'Staff Directory'!$B$5:$B$599,0)),$D1422))</f>
        <v>PSW</v>
      </c>
      <c r="AH1422" t="str">
        <f>IF($C1422="","",IFERROR(INDEX('Staff Directory'!$I$595:$I$599,MATCH($C1422,'Staff Directory'!$B$5:$B$599,0))&amp;" "&amp;INDEX('Staff Directory'!$J$595:$J$599,MATCH($C1422,'Staff Directory'!$B$5:$B$599,0)),$AG1422))</f>
        <v>PSW</v>
      </c>
      <c r="AI1422" s="102"/>
      <c r="AJ1422" s="101">
        <f>IF($F1422="","",SUMIFS($J$5:$J1422,$F$5:$F1422,$F1422))</f>
        <v>39000</v>
      </c>
      <c r="AK1422" s="101">
        <f t="shared" si="247"/>
        <v>38501</v>
      </c>
      <c r="AL1422" s="66" t="str" cm="1">
        <f t="array" ref="AL1422">IF($F1422="","",IFERROR(INDEX('Lot Balance'!$B$5:$B$500,MATCH(1,INDEX(('Lot Balance'!$A$5:$A$500=$F1422)*('Lot Balance'!$K$5:$K$500&lt;$AK1422)*('Lot Balance'!$K$5:$K$500+'Lot Balance'!$D$5:$D$500&gt;=$AK1422),0),0)),""))</f>
        <v>ZIM511139904-3</v>
      </c>
      <c r="AM1422" s="66" t="str" cm="1">
        <f t="array" ref="AM1422">IF($F1422="","",IFERROR(INDEX('Lot Balance'!$B$5:$B$500,MATCH(1,INDEX(('Lot Balance'!$A$5:$A$500=$F1422)*('Lot Balance'!$K$5:$K$500&lt;$AJ1422)*('Lot Balance'!$K$5:$K$500+'Lot Balance'!$D$5:$D$500&gt;=$AJ1422),0),0)),""))</f>
        <v>ZIM511139904-3</v>
      </c>
      <c r="AN1422" s="66" t="str">
        <f>IF($F1422="","",IF($AI1422&lt;&gt;"",IF(COUNTIFS('Lot Balance'!$A$5:$A$500,$F1422,'Lot Balance'!$B$5:$B$500,$AI1422)=0,"⚠ override is not a lot of this item",IF($AI1422=$AL1422,"Override = FEFO","Override - FEFO says "&amp;$AL1422)),IF($AL1422="","⚠ no receipt on file for this item",IF($AM1422&lt;&gt;$AL1422,"FEFO auto - split, also "&amp;$AM1422,"FEFO auto"))))</f>
        <v>FEFO auto</v>
      </c>
      <c r="AO1422" s="114"/>
    </row>
    <row r="1423" spans="1:41" x14ac:dyDescent="0.35">
      <c r="A1423" s="74">
        <v>46204</v>
      </c>
      <c r="B1423" s="18" t="str">
        <f>IF($C1423="","",IFERROR(INDEX('Staff Directory'!$A$5:$A$594,MATCH($C1423,'Staff Directory'!$B$5:$B$594,0)),"⚠ unknown staff"))</f>
        <v>PSW-031-A4</v>
      </c>
      <c r="C1423" s="49" t="s">
        <v>1006</v>
      </c>
      <c r="D1423" s="19" t="str">
        <f>IF($B1423="","",IFERROR(INDEX('Staff Directory'!$C$5:$C$594,MATCH($B1423,'Staff Directory'!$A$5:$A$594,0)),""))</f>
        <v>PSW</v>
      </c>
      <c r="E1423" s="19" t="str">
        <f>IF($B1423="","",IFERROR(INDEX('Staff Directory'!$D$5:$D$594,MATCH($B1423,'Staff Directory'!$A$5:$A$594,0)),""))</f>
        <v>A4</v>
      </c>
      <c r="F1423" s="9" t="s">
        <v>191</v>
      </c>
      <c r="G1423" s="18" t="str">
        <f>IF($F1423="","",IFERROR(INDEX(Items!$B$5:$B$597,MATCH($F1423,Items!$A$5:$A$597,0)),"⚠ not in Items"))</f>
        <v>Sanitizer</v>
      </c>
      <c r="H1423" s="19" t="str">
        <f>IF($F1423="","",IFERROR(INDEX(Items!$C$5:$C$597,MATCH($F1423,Items!$A$5:$A$597,0)),""))</f>
        <v>236 ML</v>
      </c>
      <c r="I1423" s="23">
        <f>IF($F1423="","",IFERROR(INDEX(Items!$E$5:$E$597,MATCH($F1423,Items!$A$5:$A$597,0)),""))</f>
        <v>1</v>
      </c>
      <c r="J1423" s="115">
        <f>IF(tblIssues[[#This Row],[Qty Override]]&lt;&gt;"",tblIssues[[#This Row],[Qty Override]],IF(tblIssues[[#This Row],[Standard Issue]]="","",tblIssues[[#This Row],[Standard Issue]]))</f>
        <v>1</v>
      </c>
      <c r="K1423" s="20">
        <f>IF($F1423="","",IFERROR(INDEX(Items!$D$5:$D$597,MATCH($F1423,Items!$A$5:$A$597,0)),""))</f>
        <v>1E-4</v>
      </c>
      <c r="L1423" s="21">
        <f t="shared" si="250"/>
        <v>1E-4</v>
      </c>
      <c r="M1423" s="9" t="str">
        <f t="shared" si="248"/>
        <v/>
      </c>
      <c r="N1423" s="24">
        <f>IF($A1423="","",WORKDAY($A1423,Settings!$C$9,HolidayDates))</f>
        <v>46212</v>
      </c>
      <c r="O1423" s="24">
        <f>IF($N1423="","",WORKDAY($N1423,Settings!$C$10,HolidayDates))</f>
        <v>46252</v>
      </c>
      <c r="P1423" s="10" t="s">
        <v>501</v>
      </c>
      <c r="Q1423" s="52" t="str">
        <f t="shared" si="251"/>
        <v>Collected</v>
      </c>
      <c r="R1423" s="55" t="str">
        <f t="shared" si="252"/>
        <v>2026-07</v>
      </c>
      <c r="S1423" s="55">
        <f>IF(OR($B1423="",$F1423="",$R1423=""),"",SUMIFS(tblIssues[Qty Issued],tblIssues[Staff ID],$B1423,tblIssues[Item Name],$F1423,tblIssues[Month],$R1423))</f>
        <v>1</v>
      </c>
      <c r="T1423" s="56">
        <f>IF($I1423="","",$I1423*Settings!$C$11)</f>
        <v>1</v>
      </c>
      <c r="U1423" s="57" t="str">
        <f t="shared" si="249"/>
        <v>OK</v>
      </c>
      <c r="V1423" s="55" t="str">
        <f t="shared" si="253"/>
        <v/>
      </c>
      <c r="W1423" s="55" t="str">
        <f>IF($V1423="","",IF(COUNTIF($V$5:$V1423,$V1423)=1,1,""))</f>
        <v/>
      </c>
      <c r="X1423" s="58" t="str">
        <f>IF($W1423="","",MAX($X$4:X1422)+1)</f>
        <v/>
      </c>
      <c r="Y1423" s="62"/>
      <c r="Z1423" s="62"/>
      <c r="AA1423" s="64" t="str">
        <f>IF($C1423="","",IFERROR(INDEX('Staff Directory'!$E$5:$E$594,MATCH($C1423,'Staff Directory'!$B$5:$B$594,0)),""))</f>
        <v>firstname090.lastname090@example.com</v>
      </c>
      <c r="AB1423" s="64" t="str">
        <f>IF($C1423="","",IF(ISNUMBER(SEARCH($D1423,Settings!$C$15)),"Pickup","Dispatch"))</f>
        <v>Pickup</v>
      </c>
      <c r="AC1423" s="64" t="str">
        <f t="shared" si="254"/>
        <v>Supply order ready for pickup</v>
      </c>
      <c r="AD1423" s="64" t="str">
        <f t="shared" si="245"/>
        <v>Dear PSW,
Your order is ready for pickup from Sample Branch, Wed-Fri 9am-4pm.</v>
      </c>
      <c r="AE1423" s="64" t="str">
        <f t="shared" si="246"/>
        <v>mailto:firstname090.lastname090@example.com?subject=Supply%20order%20ready%20for%20pickup&amp;body=Dear%20PSW%2C%0A%0AYour%20order%20is%20ready%20for%20pickup%20from%20Sample%20Branch%2C%20Wed-Fri%209am-4pm.</v>
      </c>
      <c r="AF1423" s="89" t="str">
        <f t="shared" si="255"/>
        <v>Draft email</v>
      </c>
      <c r="AG1423" s="64" t="str">
        <f>IF($C1423="","",IFERROR(INDEX('Staff Directory'!$K$595:$K$599,MATCH($C1423,'Staff Directory'!$B$5:$B$599,0)),$D1423))</f>
        <v>PSW</v>
      </c>
      <c r="AH1423" t="str">
        <f>IF($C1423="","",IFERROR(INDEX('Staff Directory'!$I$595:$I$599,MATCH($C1423,'Staff Directory'!$B$5:$B$599,0))&amp;" "&amp;INDEX('Staff Directory'!$J$595:$J$599,MATCH($C1423,'Staff Directory'!$B$5:$B$599,0)),$AG1423))</f>
        <v>PSW</v>
      </c>
      <c r="AI1423" s="102"/>
      <c r="AJ1423" s="101">
        <f>IF($F1423="","",SUMIFS($J$5:$J1423,$F$5:$F1423,$F1423))</f>
        <v>193</v>
      </c>
      <c r="AK1423" s="101">
        <f t="shared" si="247"/>
        <v>193</v>
      </c>
      <c r="AL1423" s="66" t="str" cm="1">
        <f t="array" ref="AL1423">IF($F1423="","",IFERROR(INDEX('Lot Balance'!$B$5:$B$500,MATCH(1,INDEX(('Lot Balance'!$A$5:$A$500=$F1423)*('Lot Balance'!$K$5:$K$500&lt;$AK1423)*('Lot Balance'!$K$5:$K$500+'Lot Balance'!$D$5:$D$500&gt;=$AK1423),0),0)),""))</f>
        <v/>
      </c>
      <c r="AM1423" s="66" t="str" cm="1">
        <f t="array" ref="AM1423">IF($F1423="","",IFERROR(INDEX('Lot Balance'!$B$5:$B$500,MATCH(1,INDEX(('Lot Balance'!$A$5:$A$500=$F1423)*('Lot Balance'!$K$5:$K$500&lt;$AJ1423)*('Lot Balance'!$K$5:$K$500+'Lot Balance'!$D$5:$D$500&gt;=$AJ1423),0),0)),""))</f>
        <v/>
      </c>
      <c r="AN1423" s="66" t="str">
        <f>IF($F1423="","",IF($AI1423&lt;&gt;"",IF(COUNTIFS('Lot Balance'!$A$5:$A$500,$F1423,'Lot Balance'!$B$5:$B$500,$AI1423)=0,"⚠ override is not a lot of this item",IF($AI1423=$AL1423,"Override = FEFO","Override - FEFO says "&amp;$AL1423)),IF($AL1423="","⚠ no receipt on file for this item",IF($AM1423&lt;&gt;$AL1423,"FEFO auto - split, also "&amp;$AM1423,"FEFO auto"))))</f>
        <v>⚠ no receipt on file for this item</v>
      </c>
      <c r="AO1423" s="114"/>
    </row>
    <row r="1424" spans="1:41" x14ac:dyDescent="0.35">
      <c r="A1424" s="74">
        <v>46204</v>
      </c>
      <c r="B1424" s="18" t="str">
        <f>IF($C1424="","",IFERROR(INDEX('Staff Directory'!$A$5:$A$594,MATCH($C1424,'Staff Directory'!$B$5:$B$594,0)),"⚠ unknown staff"))</f>
        <v>PSW-031-A4</v>
      </c>
      <c r="C1424" s="49" t="s">
        <v>1006</v>
      </c>
      <c r="D1424" s="19" t="str">
        <f>IF($B1424="","",IFERROR(INDEX('Staff Directory'!$C$5:$C$594,MATCH($B1424,'Staff Directory'!$A$5:$A$594,0)),""))</f>
        <v>PSW</v>
      </c>
      <c r="E1424" s="19" t="str">
        <f>IF($B1424="","",IFERROR(INDEX('Staff Directory'!$D$5:$D$594,MATCH($B1424,'Staff Directory'!$A$5:$A$594,0)),""))</f>
        <v>A4</v>
      </c>
      <c r="F1424" s="9" t="s">
        <v>137</v>
      </c>
      <c r="G1424" s="18" t="str">
        <f>IF($F1424="","",IFERROR(INDEX(Items!$B$5:$B$597,MATCH($F1424,Items!$A$5:$A$597,0)),"⚠ not in Items"))</f>
        <v>Sanitizer</v>
      </c>
      <c r="H1424" s="19" t="str">
        <f>IF($F1424="","",IFERROR(INDEX(Items!$C$5:$C$597,MATCH($F1424,Items!$A$5:$A$597,0)),""))</f>
        <v>118 ML</v>
      </c>
      <c r="I1424" s="23">
        <f>IF($F1424="","",IFERROR(INDEX(Items!$E$5:$E$597,MATCH($F1424,Items!$A$5:$A$597,0)),""))</f>
        <v>2</v>
      </c>
      <c r="J1424" s="115">
        <f>IF(tblIssues[[#This Row],[Qty Override]]&lt;&gt;"",tblIssues[[#This Row],[Qty Override]],IF(tblIssues[[#This Row],[Standard Issue]]="","",tblIssues[[#This Row],[Standard Issue]]))</f>
        <v>2</v>
      </c>
      <c r="K1424" s="20">
        <f>IF($F1424="","",IFERROR(INDEX(Items!$D$5:$D$597,MATCH($F1424,Items!$A$5:$A$597,0)),""))</f>
        <v>4.49</v>
      </c>
      <c r="L1424" s="21">
        <f t="shared" si="250"/>
        <v>8.98</v>
      </c>
      <c r="M1424" s="9" t="str">
        <f t="shared" si="248"/>
        <v>563963-7</v>
      </c>
      <c r="N1424" s="24">
        <f>IF($A1424="","",WORKDAY($A1424,Settings!$C$9,HolidayDates))</f>
        <v>46212</v>
      </c>
      <c r="O1424" s="24">
        <f>IF($N1424="","",WORKDAY($N1424,Settings!$C$10,HolidayDates))</f>
        <v>46252</v>
      </c>
      <c r="P1424" s="10" t="s">
        <v>501</v>
      </c>
      <c r="Q1424" s="52" t="str">
        <f t="shared" si="251"/>
        <v>Collected</v>
      </c>
      <c r="R1424" s="55" t="str">
        <f t="shared" si="252"/>
        <v>2026-07</v>
      </c>
      <c r="S1424" s="55">
        <f>IF(OR($B1424="",$F1424="",$R1424=""),"",SUMIFS(tblIssues[Qty Issued],tblIssues[Staff ID],$B1424,tblIssues[Item Name],$F1424,tblIssues[Month],$R1424))</f>
        <v>2</v>
      </c>
      <c r="T1424" s="56">
        <f>IF($I1424="","",$I1424*Settings!$C$11)</f>
        <v>2</v>
      </c>
      <c r="U1424" s="57" t="str">
        <f t="shared" si="249"/>
        <v>OK</v>
      </c>
      <c r="V1424" s="55" t="str">
        <f t="shared" si="253"/>
        <v/>
      </c>
      <c r="W1424" s="55" t="str">
        <f>IF($V1424="","",IF(COUNTIF($V$5:$V1424,$V1424)=1,1,""))</f>
        <v/>
      </c>
      <c r="X1424" s="58" t="str">
        <f>IF($W1424="","",MAX($X$4:X1423)+1)</f>
        <v/>
      </c>
      <c r="Y1424" s="62"/>
      <c r="Z1424" s="62"/>
      <c r="AA1424" s="64" t="str">
        <f>IF($C1424="","",IFERROR(INDEX('Staff Directory'!$E$5:$E$594,MATCH($C1424,'Staff Directory'!$B$5:$B$594,0)),""))</f>
        <v>firstname090.lastname090@example.com</v>
      </c>
      <c r="AB1424" s="64" t="str">
        <f>IF($C1424="","",IF(ISNUMBER(SEARCH($D1424,Settings!$C$15)),"Pickup","Dispatch"))</f>
        <v>Pickup</v>
      </c>
      <c r="AC1424" s="64" t="str">
        <f t="shared" si="254"/>
        <v>Supply order ready for pickup</v>
      </c>
      <c r="AD1424" s="64" t="str">
        <f t="shared" si="245"/>
        <v>Dear PSW,
Your order is ready for pickup from Sample Branch, Wed-Fri 9am-4pm.</v>
      </c>
      <c r="AE1424" s="64" t="str">
        <f t="shared" si="246"/>
        <v>mailto:firstname090.lastname090@example.com?subject=Supply%20order%20ready%20for%20pickup&amp;body=Dear%20PSW%2C%0A%0AYour%20order%20is%20ready%20for%20pickup%20from%20Sample%20Branch%2C%20Wed-Fri%209am-4pm.</v>
      </c>
      <c r="AF1424" s="89" t="str">
        <f t="shared" si="255"/>
        <v>Draft email</v>
      </c>
      <c r="AG1424" s="64" t="str">
        <f>IF($C1424="","",IFERROR(INDEX('Staff Directory'!$K$595:$K$599,MATCH($C1424,'Staff Directory'!$B$5:$B$599,0)),$D1424))</f>
        <v>PSW</v>
      </c>
      <c r="AH1424" t="str">
        <f>IF($C1424="","",IFERROR(INDEX('Staff Directory'!$I$595:$I$599,MATCH($C1424,'Staff Directory'!$B$5:$B$599,0))&amp;" "&amp;INDEX('Staff Directory'!$J$595:$J$599,MATCH($C1424,'Staff Directory'!$B$5:$B$599,0)),$AG1424))</f>
        <v>PSW</v>
      </c>
      <c r="AI1424" s="102"/>
      <c r="AJ1424" s="101">
        <f>IF($F1424="","",SUMIFS($J$5:$J1424,$F$5:$F1424,$F1424))</f>
        <v>130</v>
      </c>
      <c r="AK1424" s="101">
        <f t="shared" si="247"/>
        <v>129</v>
      </c>
      <c r="AL1424" s="66" t="str" cm="1">
        <f t="array" ref="AL1424">IF($F1424="","",IFERROR(INDEX('Lot Balance'!$B$5:$B$500,MATCH(1,INDEX(('Lot Balance'!$A$5:$A$500=$F1424)*('Lot Balance'!$K$5:$K$500&lt;$AK1424)*('Lot Balance'!$K$5:$K$500+'Lot Balance'!$D$5:$D$500&gt;=$AK1424),0),0)),""))</f>
        <v>563963-7</v>
      </c>
      <c r="AM1424" s="66" t="str" cm="1">
        <f t="array" ref="AM1424">IF($F1424="","",IFERROR(INDEX('Lot Balance'!$B$5:$B$500,MATCH(1,INDEX(('Lot Balance'!$A$5:$A$500=$F1424)*('Lot Balance'!$K$5:$K$500&lt;$AJ1424)*('Lot Balance'!$K$5:$K$500+'Lot Balance'!$D$5:$D$500&gt;=$AJ1424),0),0)),""))</f>
        <v>563963-7</v>
      </c>
      <c r="AN1424" s="66" t="str">
        <f>IF($F1424="","",IF($AI1424&lt;&gt;"",IF(COUNTIFS('Lot Balance'!$A$5:$A$500,$F1424,'Lot Balance'!$B$5:$B$500,$AI1424)=0,"⚠ override is not a lot of this item",IF($AI1424=$AL1424,"Override = FEFO","Override - FEFO says "&amp;$AL1424)),IF($AL1424="","⚠ no receipt on file for this item",IF($AM1424&lt;&gt;$AL1424,"FEFO auto - split, also "&amp;$AM1424,"FEFO auto"))))</f>
        <v>FEFO auto</v>
      </c>
      <c r="AO1424" s="114"/>
    </row>
    <row r="1425" spans="1:41" x14ac:dyDescent="0.35">
      <c r="A1425" s="74">
        <v>46204</v>
      </c>
      <c r="B1425" s="18" t="str">
        <f>IF($C1425="","",IFERROR(INDEX('Staff Directory'!$A$5:$A$594,MATCH($C1425,'Staff Directory'!$B$5:$B$594,0)),"⚠ unknown staff"))</f>
        <v>PSW-031-A4</v>
      </c>
      <c r="C1425" s="49" t="s">
        <v>1006</v>
      </c>
      <c r="D1425" s="19" t="str">
        <f>IF($B1425="","",IFERROR(INDEX('Staff Directory'!$C$5:$C$594,MATCH($B1425,'Staff Directory'!$A$5:$A$594,0)),""))</f>
        <v>PSW</v>
      </c>
      <c r="E1425" s="19" t="str">
        <f>IF($B1425="","",IFERROR(INDEX('Staff Directory'!$D$5:$D$594,MATCH($B1425,'Staff Directory'!$A$5:$A$594,0)),""))</f>
        <v>A4</v>
      </c>
      <c r="F1425" s="9" t="s">
        <v>115</v>
      </c>
      <c r="G1425" s="18" t="str">
        <f>IF($F1425="","",IFERROR(INDEX(Items!$B$5:$B$597,MATCH($F1425,Items!$A$5:$A$597,0)),"⚠ not in Items"))</f>
        <v>Wipes</v>
      </c>
      <c r="H1425" s="19">
        <f>IF($F1425="","",IFERROR(INDEX(Items!$C$5:$C$597,MATCH($F1425,Items!$A$5:$A$597,0)),""))</f>
        <v>80</v>
      </c>
      <c r="I1425" s="23">
        <f>IF($F1425="","",IFERROR(INDEX(Items!$E$5:$E$597,MATCH($F1425,Items!$A$5:$A$597,0)),""))</f>
        <v>80</v>
      </c>
      <c r="J1425" s="115">
        <f>IF(tblIssues[[#This Row],[Qty Override]]&lt;&gt;"",tblIssues[[#This Row],[Qty Override]],IF(tblIssues[[#This Row],[Standard Issue]]="","",tblIssues[[#This Row],[Standard Issue]]))</f>
        <v>80</v>
      </c>
      <c r="K1425" s="20">
        <f>IF($F1425="","",IFERROR(INDEX(Items!$D$5:$D$597,MATCH($F1425,Items!$A$5:$A$597,0)),""))</f>
        <v>0.1</v>
      </c>
      <c r="L1425" s="21">
        <f t="shared" si="250"/>
        <v>8</v>
      </c>
      <c r="M1425" s="9" t="str">
        <f t="shared" si="248"/>
        <v>LYSL500290</v>
      </c>
      <c r="N1425" s="24">
        <f>IF($A1425="","",WORKDAY($A1425,Settings!$C$9,HolidayDates))</f>
        <v>46212</v>
      </c>
      <c r="O1425" s="24">
        <f>IF($N1425="","",WORKDAY($N1425,Settings!$C$10,HolidayDates))</f>
        <v>46252</v>
      </c>
      <c r="P1425" s="10" t="s">
        <v>501</v>
      </c>
      <c r="Q1425" s="52" t="str">
        <f t="shared" si="251"/>
        <v>Collected</v>
      </c>
      <c r="R1425" s="55" t="str">
        <f t="shared" si="252"/>
        <v>2026-07</v>
      </c>
      <c r="S1425" s="55">
        <f>IF(OR($B1425="",$F1425="",$R1425=""),"",SUMIFS(tblIssues[Qty Issued],tblIssues[Staff ID],$B1425,tblIssues[Item Name],$F1425,tblIssues[Month],$R1425))</f>
        <v>80</v>
      </c>
      <c r="T1425" s="56">
        <f>IF($I1425="","",$I1425*Settings!$C$11)</f>
        <v>80</v>
      </c>
      <c r="U1425" s="57" t="str">
        <f t="shared" si="249"/>
        <v>OK</v>
      </c>
      <c r="V1425" s="55" t="str">
        <f t="shared" si="253"/>
        <v/>
      </c>
      <c r="W1425" s="55" t="str">
        <f>IF($V1425="","",IF(COUNTIF($V$5:$V1425,$V1425)=1,1,""))</f>
        <v/>
      </c>
      <c r="X1425" s="58" t="str">
        <f>IF($W1425="","",MAX($X$4:X1424)+1)</f>
        <v/>
      </c>
      <c r="Y1425" s="62"/>
      <c r="Z1425" s="62"/>
      <c r="AA1425" s="64" t="str">
        <f>IF($C1425="","",IFERROR(INDEX('Staff Directory'!$E$5:$E$594,MATCH($C1425,'Staff Directory'!$B$5:$B$594,0)),""))</f>
        <v>firstname090.lastname090@example.com</v>
      </c>
      <c r="AB1425" s="64" t="str">
        <f>IF($C1425="","",IF(ISNUMBER(SEARCH($D1425,Settings!$C$15)),"Pickup","Dispatch"))</f>
        <v>Pickup</v>
      </c>
      <c r="AC1425" s="64" t="str">
        <f t="shared" si="254"/>
        <v>Supply order ready for pickup</v>
      </c>
      <c r="AD1425" s="64" t="str">
        <f t="shared" si="245"/>
        <v>Dear PSW,
Your order is ready for pickup from Sample Branch, Wed-Fri 9am-4pm.</v>
      </c>
      <c r="AE1425" s="64" t="str">
        <f t="shared" si="246"/>
        <v>mailto:firstname090.lastname090@example.com?subject=Supply%20order%20ready%20for%20pickup&amp;body=Dear%20PSW%2C%0A%0AYour%20order%20is%20ready%20for%20pickup%20from%20Sample%20Branch%2C%20Wed-Fri%209am-4pm.</v>
      </c>
      <c r="AF1425" s="89" t="str">
        <f t="shared" si="255"/>
        <v>Draft email</v>
      </c>
      <c r="AG1425" s="64" t="str">
        <f>IF($C1425="","",IFERROR(INDEX('Staff Directory'!$K$595:$K$599,MATCH($C1425,'Staff Directory'!$B$5:$B$599,0)),$D1425))</f>
        <v>PSW</v>
      </c>
      <c r="AH1425" t="str">
        <f>IF($C1425="","",IFERROR(INDEX('Staff Directory'!$I$595:$I$599,MATCH($C1425,'Staff Directory'!$B$5:$B$599,0))&amp;" "&amp;INDEX('Staff Directory'!$J$595:$J$599,MATCH($C1425,'Staff Directory'!$B$5:$B$599,0)),$AG1425))</f>
        <v>PSW</v>
      </c>
      <c r="AI1425" s="102"/>
      <c r="AJ1425" s="101">
        <f>IF($F1425="","",SUMIFS($J$5:$J1425,$F$5:$F1425,$F1425))</f>
        <v>19680</v>
      </c>
      <c r="AK1425" s="101">
        <f t="shared" si="247"/>
        <v>19601</v>
      </c>
      <c r="AL1425" s="66" t="str" cm="1">
        <f t="array" ref="AL1425">IF($F1425="","",IFERROR(INDEX('Lot Balance'!$B$5:$B$500,MATCH(1,INDEX(('Lot Balance'!$A$5:$A$500=$F1425)*('Lot Balance'!$K$5:$K$500&lt;$AK1425)*('Lot Balance'!$K$5:$K$500+'Lot Balance'!$D$5:$D$500&gt;=$AK1425),0),0)),""))</f>
        <v>LYSL500290</v>
      </c>
      <c r="AM1425" s="66" t="str" cm="1">
        <f t="array" ref="AM1425">IF($F1425="","",IFERROR(INDEX('Lot Balance'!$B$5:$B$500,MATCH(1,INDEX(('Lot Balance'!$A$5:$A$500=$F1425)*('Lot Balance'!$K$5:$K$500&lt;$AJ1425)*('Lot Balance'!$K$5:$K$500+'Lot Balance'!$D$5:$D$500&gt;=$AJ1425),0),0)),""))</f>
        <v>LYSL500290</v>
      </c>
      <c r="AN1425" s="66" t="str">
        <f>IF($F1425="","",IF($AI1425&lt;&gt;"",IF(COUNTIFS('Lot Balance'!$A$5:$A$500,$F1425,'Lot Balance'!$B$5:$B$500,$AI1425)=0,"⚠ override is not a lot of this item",IF($AI1425=$AL1425,"Override = FEFO","Override - FEFO says "&amp;$AL1425)),IF($AL1425="","⚠ no receipt on file for this item",IF($AM1425&lt;&gt;$AL1425,"FEFO auto - split, also "&amp;$AM1425,"FEFO auto"))))</f>
        <v>FEFO auto</v>
      </c>
      <c r="AO1425" s="114"/>
    </row>
    <row r="1426" spans="1:41" x14ac:dyDescent="0.35">
      <c r="A1426" s="74">
        <v>46204</v>
      </c>
      <c r="B1426" s="18" t="str">
        <f>IF($C1426="","",IFERROR(INDEX('Staff Directory'!$A$5:$A$594,MATCH($C1426,'Staff Directory'!$B$5:$B$594,0)),"⚠ unknown staff"))</f>
        <v>PSW-031-A4</v>
      </c>
      <c r="C1426" s="49" t="s">
        <v>1006</v>
      </c>
      <c r="D1426" s="19" t="str">
        <f>IF($B1426="","",IFERROR(INDEX('Staff Directory'!$C$5:$C$594,MATCH($B1426,'Staff Directory'!$A$5:$A$594,0)),""))</f>
        <v>PSW</v>
      </c>
      <c r="E1426" s="19" t="str">
        <f>IF($B1426="","",IFERROR(INDEX('Staff Directory'!$D$5:$D$594,MATCH($B1426,'Staff Directory'!$A$5:$A$594,0)),""))</f>
        <v>A4</v>
      </c>
      <c r="F1426" s="9" t="s">
        <v>156</v>
      </c>
      <c r="G1426" s="18" t="str">
        <f>IF($F1426="","",IFERROR(INDEX(Items!$B$5:$B$597,MATCH($F1426,Items!$A$5:$A$597,0)),"⚠ not in Items"))</f>
        <v>Masks</v>
      </c>
      <c r="H1426" s="19" t="str">
        <f>IF($F1426="","",IFERROR(INDEX(Items!$C$5:$C$597,MATCH($F1426,Items!$A$5:$A$597,0)),""))</f>
        <v>One Size</v>
      </c>
      <c r="I1426" s="23">
        <f>IF($F1426="","",IFERROR(INDEX(Items!$E$5:$E$597,MATCH($F1426,Items!$A$5:$A$597,0)),""))</f>
        <v>50</v>
      </c>
      <c r="J1426" s="115">
        <f>IF(tblIssues[[#This Row],[Qty Override]]&lt;&gt;"",tblIssues[[#This Row],[Qty Override]],IF(tblIssues[[#This Row],[Standard Issue]]="","",tblIssues[[#This Row],[Standard Issue]]))</f>
        <v>50</v>
      </c>
      <c r="K1426" s="20">
        <f>IF($F1426="","",IFERROR(INDEX(Items!$D$5:$D$597,MATCH($F1426,Items!$A$5:$A$597,0)),""))</f>
        <v>0.25</v>
      </c>
      <c r="L1426" s="21">
        <f t="shared" si="250"/>
        <v>12.5</v>
      </c>
      <c r="M1426" s="9" t="str">
        <f t="shared" si="248"/>
        <v>24HA2050A7396</v>
      </c>
      <c r="N1426" s="24">
        <f>IF($A1426="","",WORKDAY($A1426,Settings!$C$9,HolidayDates))</f>
        <v>46212</v>
      </c>
      <c r="O1426" s="24">
        <f>IF($N1426="","",WORKDAY($N1426,Settings!$C$10,HolidayDates))</f>
        <v>46252</v>
      </c>
      <c r="P1426" s="10" t="s">
        <v>501</v>
      </c>
      <c r="Q1426" s="52" t="str">
        <f t="shared" si="251"/>
        <v>Collected</v>
      </c>
      <c r="R1426" s="55" t="str">
        <f t="shared" si="252"/>
        <v>2026-07</v>
      </c>
      <c r="S1426" s="55">
        <f>IF(OR($B1426="",$F1426="",$R1426=""),"",SUMIFS(tblIssues[Qty Issued],tblIssues[Staff ID],$B1426,tblIssues[Item Name],$F1426,tblIssues[Month],$R1426))</f>
        <v>50</v>
      </c>
      <c r="T1426" s="56">
        <f>IF($I1426="","",$I1426*Settings!$C$11)</f>
        <v>50</v>
      </c>
      <c r="U1426" s="57" t="str">
        <f t="shared" si="249"/>
        <v>OK</v>
      </c>
      <c r="V1426" s="55" t="str">
        <f t="shared" si="253"/>
        <v/>
      </c>
      <c r="W1426" s="55" t="str">
        <f>IF($V1426="","",IF(COUNTIF($V$5:$V1426,$V1426)=1,1,""))</f>
        <v/>
      </c>
      <c r="X1426" s="58" t="str">
        <f>IF($W1426="","",MAX($X$4:X1425)+1)</f>
        <v/>
      </c>
      <c r="Y1426" s="62"/>
      <c r="Z1426" s="62"/>
      <c r="AA1426" s="64" t="str">
        <f>IF($C1426="","",IFERROR(INDEX('Staff Directory'!$E$5:$E$594,MATCH($C1426,'Staff Directory'!$B$5:$B$594,0)),""))</f>
        <v>firstname090.lastname090@example.com</v>
      </c>
      <c r="AB1426" s="64" t="str">
        <f>IF($C1426="","",IF(ISNUMBER(SEARCH($D1426,Settings!$C$15)),"Pickup","Dispatch"))</f>
        <v>Pickup</v>
      </c>
      <c r="AC1426" s="64" t="str">
        <f t="shared" si="254"/>
        <v>Supply order ready for pickup</v>
      </c>
      <c r="AD1426" s="64" t="str">
        <f t="shared" si="245"/>
        <v>Dear PSW,
Your order is ready for pickup from Sample Branch, Wed-Fri 9am-4pm.</v>
      </c>
      <c r="AE1426" s="64" t="str">
        <f t="shared" si="246"/>
        <v>mailto:firstname090.lastname090@example.com?subject=Supply%20order%20ready%20for%20pickup&amp;body=Dear%20PSW%2C%0A%0AYour%20order%20is%20ready%20for%20pickup%20from%20Sample%20Branch%2C%20Wed-Fri%209am-4pm.</v>
      </c>
      <c r="AF1426" s="89" t="str">
        <f t="shared" si="255"/>
        <v>Draft email</v>
      </c>
      <c r="AG1426" s="64" t="str">
        <f>IF($C1426="","",IFERROR(INDEX('Staff Directory'!$K$595:$K$599,MATCH($C1426,'Staff Directory'!$B$5:$B$599,0)),$D1426))</f>
        <v>PSW</v>
      </c>
      <c r="AH1426" t="str">
        <f>IF($C1426="","",IFERROR(INDEX('Staff Directory'!$I$595:$I$599,MATCH($C1426,'Staff Directory'!$B$5:$B$599,0))&amp;" "&amp;INDEX('Staff Directory'!$J$595:$J$599,MATCH($C1426,'Staff Directory'!$B$5:$B$599,0)),$AG1426))</f>
        <v>PSW</v>
      </c>
      <c r="AI1426" s="102"/>
      <c r="AJ1426" s="101">
        <f>IF($F1426="","",SUMIFS($J$5:$J1426,$F$5:$F1426,$F1426))</f>
        <v>12450</v>
      </c>
      <c r="AK1426" s="101">
        <f t="shared" si="247"/>
        <v>12401</v>
      </c>
      <c r="AL1426" s="66" t="str" cm="1">
        <f t="array" ref="AL1426">IF($F1426="","",IFERROR(INDEX('Lot Balance'!$B$5:$B$500,MATCH(1,INDEX(('Lot Balance'!$A$5:$A$500=$F1426)*('Lot Balance'!$K$5:$K$500&lt;$AK1426)*('Lot Balance'!$K$5:$K$500+'Lot Balance'!$D$5:$D$500&gt;=$AK1426),0),0)),""))</f>
        <v>24HA2050A7396</v>
      </c>
      <c r="AM1426" s="66" t="str" cm="1">
        <f t="array" ref="AM1426">IF($F1426="","",IFERROR(INDEX('Lot Balance'!$B$5:$B$500,MATCH(1,INDEX(('Lot Balance'!$A$5:$A$500=$F1426)*('Lot Balance'!$K$5:$K$500&lt;$AJ1426)*('Lot Balance'!$K$5:$K$500+'Lot Balance'!$D$5:$D$500&gt;=$AJ1426),0),0)),""))</f>
        <v>24HA2050A7396</v>
      </c>
      <c r="AN1426" s="66" t="str">
        <f>IF($F1426="","",IF($AI1426&lt;&gt;"",IF(COUNTIFS('Lot Balance'!$A$5:$A$500,$F1426,'Lot Balance'!$B$5:$B$500,$AI1426)=0,"⚠ override is not a lot of this item",IF($AI1426=$AL1426,"Override = FEFO","Override - FEFO says "&amp;$AL1426)),IF($AL1426="","⚠ no receipt on file for this item",IF($AM1426&lt;&gt;$AL1426,"FEFO auto - split, also "&amp;$AM1426,"FEFO auto"))))</f>
        <v>FEFO auto</v>
      </c>
      <c r="AO1426" s="114"/>
    </row>
    <row r="1427" spans="1:41" x14ac:dyDescent="0.35">
      <c r="A1427" s="74">
        <v>46204</v>
      </c>
      <c r="B1427" s="18" t="str">
        <f>IF($C1427="","",IFERROR(INDEX('Staff Directory'!$A$5:$A$594,MATCH($C1427,'Staff Directory'!$B$5:$B$594,0)),"⚠ unknown staff"))</f>
        <v>PSW-142-A6</v>
      </c>
      <c r="C1427" s="49" t="s">
        <v>1121</v>
      </c>
      <c r="D1427" s="19" t="str">
        <f>IF($B1427="","",IFERROR(INDEX('Staff Directory'!$C$5:$C$594,MATCH($B1427,'Staff Directory'!$A$5:$A$594,0)),""))</f>
        <v>PSW</v>
      </c>
      <c r="E1427" s="19" t="str">
        <f>IF($B1427="","",IFERROR(INDEX('Staff Directory'!$D$5:$D$594,MATCH($B1427,'Staff Directory'!$A$5:$A$594,0)),""))</f>
        <v>A6</v>
      </c>
      <c r="F1427" s="9" t="s">
        <v>129</v>
      </c>
      <c r="G1427" s="18" t="str">
        <f>IF($F1427="","",IFERROR(INDEX(Items!$B$5:$B$597,MATCH($F1427,Items!$A$5:$A$597,0)),"⚠ not in Items"))</f>
        <v>Gloves</v>
      </c>
      <c r="H1427" s="19" t="str">
        <f>IF($F1427="","",IFERROR(INDEX(Items!$C$5:$C$597,MATCH($F1427,Items!$A$5:$A$597,0)),""))</f>
        <v>Small</v>
      </c>
      <c r="I1427" s="23">
        <f>IF($F1427="","",IFERROR(INDEX(Items!$E$5:$E$597,MATCH($F1427,Items!$A$5:$A$597,0)),""))</f>
        <v>500</v>
      </c>
      <c r="J1427" s="115">
        <f>IF(tblIssues[[#This Row],[Qty Override]]&lt;&gt;"",tblIssues[[#This Row],[Qty Override]],IF(tblIssues[[#This Row],[Standard Issue]]="","",tblIssues[[#This Row],[Standard Issue]]))</f>
        <v>500</v>
      </c>
      <c r="K1427" s="20">
        <f>IF($F1427="","",IFERROR(INDEX(Items!$D$5:$D$597,MATCH($F1427,Items!$A$5:$A$597,0)),""))</f>
        <v>5.5E-2</v>
      </c>
      <c r="L1427" s="21">
        <f t="shared" si="250"/>
        <v>27.5</v>
      </c>
      <c r="M1427" s="9" t="str">
        <f t="shared" si="248"/>
        <v>ZIM502120291</v>
      </c>
      <c r="N1427" s="24">
        <f>IF($A1427="","",WORKDAY($A1427,Settings!$C$9,HolidayDates))</f>
        <v>46212</v>
      </c>
      <c r="O1427" s="24">
        <f>IF($N1427="","",WORKDAY($N1427,Settings!$C$10,HolidayDates))</f>
        <v>46252</v>
      </c>
      <c r="P1427" s="10" t="s">
        <v>501</v>
      </c>
      <c r="Q1427" s="52" t="str">
        <f t="shared" si="251"/>
        <v>Collected</v>
      </c>
      <c r="R1427" s="55" t="str">
        <f t="shared" si="252"/>
        <v>2026-07</v>
      </c>
      <c r="S1427" s="55">
        <f>IF(OR($B1427="",$F1427="",$R1427=""),"",SUMIFS(tblIssues[Qty Issued],tblIssues[Staff ID],$B1427,tblIssues[Item Name],$F1427,tblIssues[Month],$R1427))</f>
        <v>500</v>
      </c>
      <c r="T1427" s="56">
        <f>IF($I1427="","",$I1427*Settings!$C$11)</f>
        <v>500</v>
      </c>
      <c r="U1427" s="57" t="str">
        <f t="shared" si="249"/>
        <v>OK</v>
      </c>
      <c r="V1427" s="55" t="str">
        <f t="shared" si="253"/>
        <v/>
      </c>
      <c r="W1427" s="55" t="str">
        <f>IF($V1427="","",IF(COUNTIF($V$5:$V1427,$V1427)=1,1,""))</f>
        <v/>
      </c>
      <c r="X1427" s="58" t="str">
        <f>IF($W1427="","",MAX($X$4:X1426)+1)</f>
        <v/>
      </c>
      <c r="Y1427" s="62"/>
      <c r="Z1427" s="62"/>
      <c r="AA1427" s="64" t="str">
        <f>IF($C1427="","",IFERROR(INDEX('Staff Directory'!$E$5:$E$594,MATCH($C1427,'Staff Directory'!$B$5:$B$594,0)),""))</f>
        <v>firstname205.lastname205@example.com</v>
      </c>
      <c r="AB1427" s="64" t="str">
        <f>IF($C1427="","",IF(ISNUMBER(SEARCH($D1427,Settings!$C$15)),"Pickup","Dispatch"))</f>
        <v>Pickup</v>
      </c>
      <c r="AC1427" s="64" t="str">
        <f t="shared" si="254"/>
        <v>Supply order ready for pickup</v>
      </c>
      <c r="AD1427" s="64" t="str">
        <f t="shared" si="245"/>
        <v>Dear PSW,
Your order is ready for pickup from Sample Branch, Wed-Fri 9am-4pm.</v>
      </c>
      <c r="AE1427" s="64" t="str">
        <f t="shared" si="246"/>
        <v>mailto:firstname205.lastname205@example.com?subject=Supply%20order%20ready%20for%20pickup&amp;body=Dear%20PSW%2C%0A%0AYour%20order%20is%20ready%20for%20pickup%20from%20Sample%20Branch%2C%20Wed-Fri%209am-4pm.</v>
      </c>
      <c r="AF1427" s="89" t="str">
        <f t="shared" si="255"/>
        <v>Draft email</v>
      </c>
      <c r="AG1427" s="64" t="str">
        <f>IF($C1427="","",IFERROR(INDEX('Staff Directory'!$K$595:$K$599,MATCH($C1427,'Staff Directory'!$B$5:$B$599,0)),$D1427))</f>
        <v>PSW</v>
      </c>
      <c r="AH1427" t="str">
        <f>IF($C1427="","",IFERROR(INDEX('Staff Directory'!$I$595:$I$599,MATCH($C1427,'Staff Directory'!$B$5:$B$599,0))&amp;" "&amp;INDEX('Staff Directory'!$J$595:$J$599,MATCH($C1427,'Staff Directory'!$B$5:$B$599,0)),$AG1427))</f>
        <v>PSW</v>
      </c>
      <c r="AI1427" s="102"/>
      <c r="AJ1427" s="101">
        <f>IF($F1427="","",SUMIFS($J$5:$J1427,$F$5:$F1427,$F1427))</f>
        <v>43500</v>
      </c>
      <c r="AK1427" s="101">
        <f t="shared" si="247"/>
        <v>43001</v>
      </c>
      <c r="AL1427" s="66" t="str" cm="1">
        <f t="array" ref="AL1427">IF($F1427="","",IFERROR(INDEX('Lot Balance'!$B$5:$B$500,MATCH(1,INDEX(('Lot Balance'!$A$5:$A$500=$F1427)*('Lot Balance'!$K$5:$K$500&lt;$AK1427)*('Lot Balance'!$K$5:$K$500+'Lot Balance'!$D$5:$D$500&gt;=$AK1427),0),0)),""))</f>
        <v>ZIM502120291</v>
      </c>
      <c r="AM1427" s="66" t="str" cm="1">
        <f t="array" ref="AM1427">IF($F1427="","",IFERROR(INDEX('Lot Balance'!$B$5:$B$500,MATCH(1,INDEX(('Lot Balance'!$A$5:$A$500=$F1427)*('Lot Balance'!$K$5:$K$500&lt;$AJ1427)*('Lot Balance'!$K$5:$K$500+'Lot Balance'!$D$5:$D$500&gt;=$AJ1427),0),0)),""))</f>
        <v>ZIM502120291</v>
      </c>
      <c r="AN1427" s="66" t="str">
        <f>IF($F1427="","",IF($AI1427&lt;&gt;"",IF(COUNTIFS('Lot Balance'!$A$5:$A$500,$F1427,'Lot Balance'!$B$5:$B$500,$AI1427)=0,"⚠ override is not a lot of this item",IF($AI1427=$AL1427,"Override = FEFO","Override - FEFO says "&amp;$AL1427)),IF($AL1427="","⚠ no receipt on file for this item",IF($AM1427&lt;&gt;$AL1427,"FEFO auto - split, also "&amp;$AM1427,"FEFO auto"))))</f>
        <v>FEFO auto</v>
      </c>
      <c r="AO1427" s="114"/>
    </row>
    <row r="1428" spans="1:41" x14ac:dyDescent="0.35">
      <c r="A1428" s="74">
        <v>46204</v>
      </c>
      <c r="B1428" s="18" t="str">
        <f>IF($C1428="","",IFERROR(INDEX('Staff Directory'!$A$5:$A$594,MATCH($C1428,'Staff Directory'!$B$5:$B$594,0)),"⚠ unknown staff"))</f>
        <v>PSW-142-A6</v>
      </c>
      <c r="C1428" s="49" t="s">
        <v>1121</v>
      </c>
      <c r="D1428" s="19" t="str">
        <f>IF($B1428="","",IFERROR(INDEX('Staff Directory'!$C$5:$C$594,MATCH($B1428,'Staff Directory'!$A$5:$A$594,0)),""))</f>
        <v>PSW</v>
      </c>
      <c r="E1428" s="19" t="str">
        <f>IF($B1428="","",IFERROR(INDEX('Staff Directory'!$D$5:$D$594,MATCH($B1428,'Staff Directory'!$A$5:$A$594,0)),""))</f>
        <v>A6</v>
      </c>
      <c r="F1428" s="9" t="s">
        <v>191</v>
      </c>
      <c r="G1428" s="18" t="str">
        <f>IF($F1428="","",IFERROR(INDEX(Items!$B$5:$B$597,MATCH($F1428,Items!$A$5:$A$597,0)),"⚠ not in Items"))</f>
        <v>Sanitizer</v>
      </c>
      <c r="H1428" s="19" t="str">
        <f>IF($F1428="","",IFERROR(INDEX(Items!$C$5:$C$597,MATCH($F1428,Items!$A$5:$A$597,0)),""))</f>
        <v>236 ML</v>
      </c>
      <c r="I1428" s="23">
        <f>IF($F1428="","",IFERROR(INDEX(Items!$E$5:$E$597,MATCH($F1428,Items!$A$5:$A$597,0)),""))</f>
        <v>1</v>
      </c>
      <c r="J1428" s="115">
        <f>IF(tblIssues[[#This Row],[Qty Override]]&lt;&gt;"",tblIssues[[#This Row],[Qty Override]],IF(tblIssues[[#This Row],[Standard Issue]]="","",tblIssues[[#This Row],[Standard Issue]]))</f>
        <v>1</v>
      </c>
      <c r="K1428" s="20">
        <f>IF($F1428="","",IFERROR(INDEX(Items!$D$5:$D$597,MATCH($F1428,Items!$A$5:$A$597,0)),""))</f>
        <v>1E-4</v>
      </c>
      <c r="L1428" s="21">
        <f t="shared" si="250"/>
        <v>1E-4</v>
      </c>
      <c r="M1428" s="9" t="str">
        <f t="shared" si="248"/>
        <v/>
      </c>
      <c r="N1428" s="24">
        <f>IF($A1428="","",WORKDAY($A1428,Settings!$C$9,HolidayDates))</f>
        <v>46212</v>
      </c>
      <c r="O1428" s="24">
        <f>IF($N1428="","",WORKDAY($N1428,Settings!$C$10,HolidayDates))</f>
        <v>46252</v>
      </c>
      <c r="P1428" s="10" t="s">
        <v>501</v>
      </c>
      <c r="Q1428" s="52" t="str">
        <f t="shared" si="251"/>
        <v>Collected</v>
      </c>
      <c r="R1428" s="55" t="str">
        <f t="shared" si="252"/>
        <v>2026-07</v>
      </c>
      <c r="S1428" s="55">
        <f>IF(OR($B1428="",$F1428="",$R1428=""),"",SUMIFS(tblIssues[Qty Issued],tblIssues[Staff ID],$B1428,tblIssues[Item Name],$F1428,tblIssues[Month],$R1428))</f>
        <v>1</v>
      </c>
      <c r="T1428" s="56">
        <f>IF($I1428="","",$I1428*Settings!$C$11)</f>
        <v>1</v>
      </c>
      <c r="U1428" s="57" t="str">
        <f t="shared" si="249"/>
        <v>OK</v>
      </c>
      <c r="V1428" s="55" t="str">
        <f t="shared" si="253"/>
        <v/>
      </c>
      <c r="W1428" s="55" t="str">
        <f>IF($V1428="","",IF(COUNTIF($V$5:$V1428,$V1428)=1,1,""))</f>
        <v/>
      </c>
      <c r="X1428" s="58" t="str">
        <f>IF($W1428="","",MAX($X$4:X1427)+1)</f>
        <v/>
      </c>
      <c r="Y1428" s="62"/>
      <c r="Z1428" s="62"/>
      <c r="AA1428" s="64" t="str">
        <f>IF($C1428="","",IFERROR(INDEX('Staff Directory'!$E$5:$E$594,MATCH($C1428,'Staff Directory'!$B$5:$B$594,0)),""))</f>
        <v>firstname205.lastname205@example.com</v>
      </c>
      <c r="AB1428" s="64" t="str">
        <f>IF($C1428="","",IF(ISNUMBER(SEARCH($D1428,Settings!$C$15)),"Pickup","Dispatch"))</f>
        <v>Pickup</v>
      </c>
      <c r="AC1428" s="64" t="str">
        <f t="shared" si="254"/>
        <v>Supply order ready for pickup</v>
      </c>
      <c r="AD1428" s="64" t="str">
        <f t="shared" si="245"/>
        <v>Dear PSW,
Your order is ready for pickup from Sample Branch, Wed-Fri 9am-4pm.</v>
      </c>
      <c r="AE1428" s="64" t="str">
        <f t="shared" si="246"/>
        <v>mailto:firstname205.lastname205@example.com?subject=Supply%20order%20ready%20for%20pickup&amp;body=Dear%20PSW%2C%0A%0AYour%20order%20is%20ready%20for%20pickup%20from%20Sample%20Branch%2C%20Wed-Fri%209am-4pm.</v>
      </c>
      <c r="AF1428" s="89" t="str">
        <f t="shared" si="255"/>
        <v>Draft email</v>
      </c>
      <c r="AG1428" s="64" t="str">
        <f>IF($C1428="","",IFERROR(INDEX('Staff Directory'!$K$595:$K$599,MATCH($C1428,'Staff Directory'!$B$5:$B$599,0)),$D1428))</f>
        <v>PSW</v>
      </c>
      <c r="AH1428" t="str">
        <f>IF($C1428="","",IFERROR(INDEX('Staff Directory'!$I$595:$I$599,MATCH($C1428,'Staff Directory'!$B$5:$B$599,0))&amp;" "&amp;INDEX('Staff Directory'!$J$595:$J$599,MATCH($C1428,'Staff Directory'!$B$5:$B$599,0)),$AG1428))</f>
        <v>PSW</v>
      </c>
      <c r="AI1428" s="102"/>
      <c r="AJ1428" s="101">
        <f>IF($F1428="","",SUMIFS($J$5:$J1428,$F$5:$F1428,$F1428))</f>
        <v>194</v>
      </c>
      <c r="AK1428" s="101">
        <f t="shared" si="247"/>
        <v>194</v>
      </c>
      <c r="AL1428" s="66" t="str" cm="1">
        <f t="array" ref="AL1428">IF($F1428="","",IFERROR(INDEX('Lot Balance'!$B$5:$B$500,MATCH(1,INDEX(('Lot Balance'!$A$5:$A$500=$F1428)*('Lot Balance'!$K$5:$K$500&lt;$AK1428)*('Lot Balance'!$K$5:$K$500+'Lot Balance'!$D$5:$D$500&gt;=$AK1428),0),0)),""))</f>
        <v/>
      </c>
      <c r="AM1428" s="66" t="str" cm="1">
        <f t="array" ref="AM1428">IF($F1428="","",IFERROR(INDEX('Lot Balance'!$B$5:$B$500,MATCH(1,INDEX(('Lot Balance'!$A$5:$A$500=$F1428)*('Lot Balance'!$K$5:$K$500&lt;$AJ1428)*('Lot Balance'!$K$5:$K$500+'Lot Balance'!$D$5:$D$500&gt;=$AJ1428),0),0)),""))</f>
        <v/>
      </c>
      <c r="AN1428" s="66" t="str">
        <f>IF($F1428="","",IF($AI1428&lt;&gt;"",IF(COUNTIFS('Lot Balance'!$A$5:$A$500,$F1428,'Lot Balance'!$B$5:$B$500,$AI1428)=0,"⚠ override is not a lot of this item",IF($AI1428=$AL1428,"Override = FEFO","Override - FEFO says "&amp;$AL1428)),IF($AL1428="","⚠ no receipt on file for this item",IF($AM1428&lt;&gt;$AL1428,"FEFO auto - split, also "&amp;$AM1428,"FEFO auto"))))</f>
        <v>⚠ no receipt on file for this item</v>
      </c>
      <c r="AO1428" s="114"/>
    </row>
    <row r="1429" spans="1:41" x14ac:dyDescent="0.35">
      <c r="A1429" s="74">
        <v>46204</v>
      </c>
      <c r="B1429" s="18" t="str">
        <f>IF($C1429="","",IFERROR(INDEX('Staff Directory'!$A$5:$A$594,MATCH($C1429,'Staff Directory'!$B$5:$B$594,0)),"⚠ unknown staff"))</f>
        <v>PSW-142-A6</v>
      </c>
      <c r="C1429" s="49" t="s">
        <v>1121</v>
      </c>
      <c r="D1429" s="19" t="str">
        <f>IF($B1429="","",IFERROR(INDEX('Staff Directory'!$C$5:$C$594,MATCH($B1429,'Staff Directory'!$A$5:$A$594,0)),""))</f>
        <v>PSW</v>
      </c>
      <c r="E1429" s="19" t="str">
        <f>IF($B1429="","",IFERROR(INDEX('Staff Directory'!$D$5:$D$594,MATCH($B1429,'Staff Directory'!$A$5:$A$594,0)),""))</f>
        <v>A6</v>
      </c>
      <c r="F1429" s="9" t="s">
        <v>115</v>
      </c>
      <c r="G1429" s="18" t="str">
        <f>IF($F1429="","",IFERROR(INDEX(Items!$B$5:$B$597,MATCH($F1429,Items!$A$5:$A$597,0)),"⚠ not in Items"))</f>
        <v>Wipes</v>
      </c>
      <c r="H1429" s="19">
        <f>IF($F1429="","",IFERROR(INDEX(Items!$C$5:$C$597,MATCH($F1429,Items!$A$5:$A$597,0)),""))</f>
        <v>80</v>
      </c>
      <c r="I1429" s="23">
        <f>IF($F1429="","",IFERROR(INDEX(Items!$E$5:$E$597,MATCH($F1429,Items!$A$5:$A$597,0)),""))</f>
        <v>80</v>
      </c>
      <c r="J1429" s="115">
        <f>IF(tblIssues[[#This Row],[Qty Override]]&lt;&gt;"",tblIssues[[#This Row],[Qty Override]],IF(tblIssues[[#This Row],[Standard Issue]]="","",tblIssues[[#This Row],[Standard Issue]]))</f>
        <v>80</v>
      </c>
      <c r="K1429" s="20">
        <f>IF($F1429="","",IFERROR(INDEX(Items!$D$5:$D$597,MATCH($F1429,Items!$A$5:$A$597,0)),""))</f>
        <v>0.1</v>
      </c>
      <c r="L1429" s="21">
        <f t="shared" si="250"/>
        <v>8</v>
      </c>
      <c r="M1429" s="9" t="str">
        <f t="shared" si="248"/>
        <v>LYSL500290</v>
      </c>
      <c r="N1429" s="24">
        <f>IF($A1429="","",WORKDAY($A1429,Settings!$C$9,HolidayDates))</f>
        <v>46212</v>
      </c>
      <c r="O1429" s="24">
        <f>IF($N1429="","",WORKDAY($N1429,Settings!$C$10,HolidayDates))</f>
        <v>46252</v>
      </c>
      <c r="P1429" s="10" t="s">
        <v>501</v>
      </c>
      <c r="Q1429" s="52" t="str">
        <f t="shared" si="251"/>
        <v>Collected</v>
      </c>
      <c r="R1429" s="55" t="str">
        <f t="shared" si="252"/>
        <v>2026-07</v>
      </c>
      <c r="S1429" s="55">
        <f>IF(OR($B1429="",$F1429="",$R1429=""),"",SUMIFS(tblIssues[Qty Issued],tblIssues[Staff ID],$B1429,tblIssues[Item Name],$F1429,tblIssues[Month],$R1429))</f>
        <v>80</v>
      </c>
      <c r="T1429" s="56">
        <f>IF($I1429="","",$I1429*Settings!$C$11)</f>
        <v>80</v>
      </c>
      <c r="U1429" s="57" t="str">
        <f t="shared" si="249"/>
        <v>OK</v>
      </c>
      <c r="V1429" s="55" t="str">
        <f t="shared" si="253"/>
        <v/>
      </c>
      <c r="W1429" s="55" t="str">
        <f>IF($V1429="","",IF(COUNTIF($V$5:$V1429,$V1429)=1,1,""))</f>
        <v/>
      </c>
      <c r="X1429" s="58" t="str">
        <f>IF($W1429="","",MAX($X$4:X1428)+1)</f>
        <v/>
      </c>
      <c r="Y1429" s="62"/>
      <c r="Z1429" s="62"/>
      <c r="AA1429" s="64" t="str">
        <f>IF($C1429="","",IFERROR(INDEX('Staff Directory'!$E$5:$E$594,MATCH($C1429,'Staff Directory'!$B$5:$B$594,0)),""))</f>
        <v>firstname205.lastname205@example.com</v>
      </c>
      <c r="AB1429" s="64" t="str">
        <f>IF($C1429="","",IF(ISNUMBER(SEARCH($D1429,Settings!$C$15)),"Pickup","Dispatch"))</f>
        <v>Pickup</v>
      </c>
      <c r="AC1429" s="64" t="str">
        <f t="shared" si="254"/>
        <v>Supply order ready for pickup</v>
      </c>
      <c r="AD1429" s="64" t="str">
        <f t="shared" si="245"/>
        <v>Dear PSW,
Your order is ready for pickup from Sample Branch, Wed-Fri 9am-4pm.</v>
      </c>
      <c r="AE1429" s="64" t="str">
        <f t="shared" si="246"/>
        <v>mailto:firstname205.lastname205@example.com?subject=Supply%20order%20ready%20for%20pickup&amp;body=Dear%20PSW%2C%0A%0AYour%20order%20is%20ready%20for%20pickup%20from%20Sample%20Branch%2C%20Wed-Fri%209am-4pm.</v>
      </c>
      <c r="AF1429" s="89" t="str">
        <f t="shared" si="255"/>
        <v>Draft email</v>
      </c>
      <c r="AG1429" s="64" t="str">
        <f>IF($C1429="","",IFERROR(INDEX('Staff Directory'!$K$595:$K$599,MATCH($C1429,'Staff Directory'!$B$5:$B$599,0)),$D1429))</f>
        <v>PSW</v>
      </c>
      <c r="AH1429" t="str">
        <f>IF($C1429="","",IFERROR(INDEX('Staff Directory'!$I$595:$I$599,MATCH($C1429,'Staff Directory'!$B$5:$B$599,0))&amp;" "&amp;INDEX('Staff Directory'!$J$595:$J$599,MATCH($C1429,'Staff Directory'!$B$5:$B$599,0)),$AG1429))</f>
        <v>PSW</v>
      </c>
      <c r="AI1429" s="102"/>
      <c r="AJ1429" s="101">
        <f>IF($F1429="","",SUMIFS($J$5:$J1429,$F$5:$F1429,$F1429))</f>
        <v>19760</v>
      </c>
      <c r="AK1429" s="101">
        <f t="shared" si="247"/>
        <v>19681</v>
      </c>
      <c r="AL1429" s="66" t="str" cm="1">
        <f t="array" ref="AL1429">IF($F1429="","",IFERROR(INDEX('Lot Balance'!$B$5:$B$500,MATCH(1,INDEX(('Lot Balance'!$A$5:$A$500=$F1429)*('Lot Balance'!$K$5:$K$500&lt;$AK1429)*('Lot Balance'!$K$5:$K$500+'Lot Balance'!$D$5:$D$500&gt;=$AK1429),0),0)),""))</f>
        <v>LYSL500290</v>
      </c>
      <c r="AM1429" s="66" t="str" cm="1">
        <f t="array" ref="AM1429">IF($F1429="","",IFERROR(INDEX('Lot Balance'!$B$5:$B$500,MATCH(1,INDEX(('Lot Balance'!$A$5:$A$500=$F1429)*('Lot Balance'!$K$5:$K$500&lt;$AJ1429)*('Lot Balance'!$K$5:$K$500+'Lot Balance'!$D$5:$D$500&gt;=$AJ1429),0),0)),""))</f>
        <v>LYSL500290</v>
      </c>
      <c r="AN1429" s="66" t="str">
        <f>IF($F1429="","",IF($AI1429&lt;&gt;"",IF(COUNTIFS('Lot Balance'!$A$5:$A$500,$F1429,'Lot Balance'!$B$5:$B$500,$AI1429)=0,"⚠ override is not a lot of this item",IF($AI1429=$AL1429,"Override = FEFO","Override - FEFO says "&amp;$AL1429)),IF($AL1429="","⚠ no receipt on file for this item",IF($AM1429&lt;&gt;$AL1429,"FEFO auto - split, also "&amp;$AM1429,"FEFO auto"))))</f>
        <v>FEFO auto</v>
      </c>
      <c r="AO1429" s="114"/>
    </row>
    <row r="1430" spans="1:41" x14ac:dyDescent="0.35">
      <c r="A1430" s="74">
        <v>46204</v>
      </c>
      <c r="B1430" s="18" t="str">
        <f>IF($C1430="","",IFERROR(INDEX('Staff Directory'!$A$5:$A$594,MATCH($C1430,'Staff Directory'!$B$5:$B$594,0)),"⚠ unknown staff"))</f>
        <v>PSW-142-A6</v>
      </c>
      <c r="C1430" s="49" t="s">
        <v>1121</v>
      </c>
      <c r="D1430" s="19" t="str">
        <f>IF($B1430="","",IFERROR(INDEX('Staff Directory'!$C$5:$C$594,MATCH($B1430,'Staff Directory'!$A$5:$A$594,0)),""))</f>
        <v>PSW</v>
      </c>
      <c r="E1430" s="19" t="str">
        <f>IF($B1430="","",IFERROR(INDEX('Staff Directory'!$D$5:$D$594,MATCH($B1430,'Staff Directory'!$A$5:$A$594,0)),""))</f>
        <v>A6</v>
      </c>
      <c r="F1430" s="9" t="s">
        <v>156</v>
      </c>
      <c r="G1430" s="18" t="str">
        <f>IF($F1430="","",IFERROR(INDEX(Items!$B$5:$B$597,MATCH($F1430,Items!$A$5:$A$597,0)),"⚠ not in Items"))</f>
        <v>Masks</v>
      </c>
      <c r="H1430" s="19" t="str">
        <f>IF($F1430="","",IFERROR(INDEX(Items!$C$5:$C$597,MATCH($F1430,Items!$A$5:$A$597,0)),""))</f>
        <v>One Size</v>
      </c>
      <c r="I1430" s="23">
        <f>IF($F1430="","",IFERROR(INDEX(Items!$E$5:$E$597,MATCH($F1430,Items!$A$5:$A$597,0)),""))</f>
        <v>50</v>
      </c>
      <c r="J1430" s="115">
        <f>IF(tblIssues[[#This Row],[Qty Override]]&lt;&gt;"",tblIssues[[#This Row],[Qty Override]],IF(tblIssues[[#This Row],[Standard Issue]]="","",tblIssues[[#This Row],[Standard Issue]]))</f>
        <v>50</v>
      </c>
      <c r="K1430" s="20">
        <f>IF($F1430="","",IFERROR(INDEX(Items!$D$5:$D$597,MATCH($F1430,Items!$A$5:$A$597,0)),""))</f>
        <v>0.25</v>
      </c>
      <c r="L1430" s="21">
        <f t="shared" si="250"/>
        <v>12.5</v>
      </c>
      <c r="M1430" s="9" t="str">
        <f t="shared" si="248"/>
        <v>24HA2050A7396</v>
      </c>
      <c r="N1430" s="24">
        <f>IF($A1430="","",WORKDAY($A1430,Settings!$C$9,HolidayDates))</f>
        <v>46212</v>
      </c>
      <c r="O1430" s="24">
        <f>IF($N1430="","",WORKDAY($N1430,Settings!$C$10,HolidayDates))</f>
        <v>46252</v>
      </c>
      <c r="P1430" s="10" t="s">
        <v>501</v>
      </c>
      <c r="Q1430" s="52" t="str">
        <f t="shared" si="251"/>
        <v>Collected</v>
      </c>
      <c r="R1430" s="55" t="str">
        <f t="shared" si="252"/>
        <v>2026-07</v>
      </c>
      <c r="S1430" s="55">
        <f>IF(OR($B1430="",$F1430="",$R1430=""),"",SUMIFS(tblIssues[Qty Issued],tblIssues[Staff ID],$B1430,tblIssues[Item Name],$F1430,tblIssues[Month],$R1430))</f>
        <v>50</v>
      </c>
      <c r="T1430" s="56">
        <f>IF($I1430="","",$I1430*Settings!$C$11)</f>
        <v>50</v>
      </c>
      <c r="U1430" s="57" t="str">
        <f t="shared" si="249"/>
        <v>OK</v>
      </c>
      <c r="V1430" s="55" t="str">
        <f t="shared" si="253"/>
        <v/>
      </c>
      <c r="W1430" s="55" t="str">
        <f>IF($V1430="","",IF(COUNTIF($V$5:$V1430,$V1430)=1,1,""))</f>
        <v/>
      </c>
      <c r="X1430" s="58" t="str">
        <f>IF($W1430="","",MAX($X$4:X1429)+1)</f>
        <v/>
      </c>
      <c r="Y1430" s="62"/>
      <c r="Z1430" s="62"/>
      <c r="AA1430" s="64" t="str">
        <f>IF($C1430="","",IFERROR(INDEX('Staff Directory'!$E$5:$E$594,MATCH($C1430,'Staff Directory'!$B$5:$B$594,0)),""))</f>
        <v>firstname205.lastname205@example.com</v>
      </c>
      <c r="AB1430" s="64" t="str">
        <f>IF($C1430="","",IF(ISNUMBER(SEARCH($D1430,Settings!$C$15)),"Pickup","Dispatch"))</f>
        <v>Pickup</v>
      </c>
      <c r="AC1430" s="64" t="str">
        <f t="shared" si="254"/>
        <v>Supply order ready for pickup</v>
      </c>
      <c r="AD1430" s="64" t="str">
        <f t="shared" si="245"/>
        <v>Dear PSW,
Your order is ready for pickup from Sample Branch, Wed-Fri 9am-4pm.</v>
      </c>
      <c r="AE1430" s="64" t="str">
        <f t="shared" si="246"/>
        <v>mailto:firstname205.lastname205@example.com?subject=Supply%20order%20ready%20for%20pickup&amp;body=Dear%20PSW%2C%0A%0AYour%20order%20is%20ready%20for%20pickup%20from%20Sample%20Branch%2C%20Wed-Fri%209am-4pm.</v>
      </c>
      <c r="AF1430" s="89" t="str">
        <f t="shared" si="255"/>
        <v>Draft email</v>
      </c>
      <c r="AG1430" s="64" t="str">
        <f>IF($C1430="","",IFERROR(INDEX('Staff Directory'!$K$595:$K$599,MATCH($C1430,'Staff Directory'!$B$5:$B$599,0)),$D1430))</f>
        <v>PSW</v>
      </c>
      <c r="AH1430" t="str">
        <f>IF($C1430="","",IFERROR(INDEX('Staff Directory'!$I$595:$I$599,MATCH($C1430,'Staff Directory'!$B$5:$B$599,0))&amp;" "&amp;INDEX('Staff Directory'!$J$595:$J$599,MATCH($C1430,'Staff Directory'!$B$5:$B$599,0)),$AG1430))</f>
        <v>PSW</v>
      </c>
      <c r="AI1430" s="102"/>
      <c r="AJ1430" s="101">
        <f>IF($F1430="","",SUMIFS($J$5:$J1430,$F$5:$F1430,$F1430))</f>
        <v>12500</v>
      </c>
      <c r="AK1430" s="101">
        <f t="shared" si="247"/>
        <v>12451</v>
      </c>
      <c r="AL1430" s="66" t="str" cm="1">
        <f t="array" ref="AL1430">IF($F1430="","",IFERROR(INDEX('Lot Balance'!$B$5:$B$500,MATCH(1,INDEX(('Lot Balance'!$A$5:$A$500=$F1430)*('Lot Balance'!$K$5:$K$500&lt;$AK1430)*('Lot Balance'!$K$5:$K$500+'Lot Balance'!$D$5:$D$500&gt;=$AK1430),0),0)),""))</f>
        <v>24HA2050A7396</v>
      </c>
      <c r="AM1430" s="66" t="str" cm="1">
        <f t="array" ref="AM1430">IF($F1430="","",IFERROR(INDEX('Lot Balance'!$B$5:$B$500,MATCH(1,INDEX(('Lot Balance'!$A$5:$A$500=$F1430)*('Lot Balance'!$K$5:$K$500&lt;$AJ1430)*('Lot Balance'!$K$5:$K$500+'Lot Balance'!$D$5:$D$500&gt;=$AJ1430),0),0)),""))</f>
        <v>24HA2050A7396</v>
      </c>
      <c r="AN1430" s="66" t="str">
        <f>IF($F1430="","",IF($AI1430&lt;&gt;"",IF(COUNTIFS('Lot Balance'!$A$5:$A$500,$F1430,'Lot Balance'!$B$5:$B$500,$AI1430)=0,"⚠ override is not a lot of this item",IF($AI1430=$AL1430,"Override = FEFO","Override - FEFO says "&amp;$AL1430)),IF($AL1430="","⚠ no receipt on file for this item",IF($AM1430&lt;&gt;$AL1430,"FEFO auto - split, also "&amp;$AM1430,"FEFO auto"))))</f>
        <v>FEFO auto</v>
      </c>
      <c r="AO1430" s="114"/>
    </row>
    <row r="1431" spans="1:41" x14ac:dyDescent="0.35">
      <c r="A1431" s="74">
        <v>46204</v>
      </c>
      <c r="B1431" s="18" t="str">
        <f>IF($C1431="","",IFERROR(INDEX('Staff Directory'!$A$5:$A$594,MATCH($C1431,'Staff Directory'!$B$5:$B$594,0)),"⚠ unknown staff"))</f>
        <v>PSW-142-A6</v>
      </c>
      <c r="C1431" s="49" t="s">
        <v>1121</v>
      </c>
      <c r="D1431" s="19" t="str">
        <f>IF($B1431="","",IFERROR(INDEX('Staff Directory'!$C$5:$C$594,MATCH($B1431,'Staff Directory'!$A$5:$A$594,0)),""))</f>
        <v>PSW</v>
      </c>
      <c r="E1431" s="19" t="str">
        <f>IF($B1431="","",IFERROR(INDEX('Staff Directory'!$D$5:$D$594,MATCH($B1431,'Staff Directory'!$A$5:$A$594,0)),""))</f>
        <v>A6</v>
      </c>
      <c r="F1431" s="9" t="s">
        <v>758</v>
      </c>
      <c r="G1431" s="18" t="str">
        <f>IF($F1431="","",IFERROR(INDEX(Items!$B$5:$B$597,MATCH($F1431,Items!$A$5:$A$597,0)),"⚠ not in Items"))</f>
        <v>Utility</v>
      </c>
      <c r="H1431" s="19" t="str">
        <f>IF($F1431="","",IFERROR(INDEX(Items!$C$5:$C$597,MATCH($F1431,Items!$A$5:$A$597,0)),""))</f>
        <v>Standard</v>
      </c>
      <c r="I1431" s="23">
        <f>IF($F1431="","",IFERROR(INDEX(Items!$E$5:$E$597,MATCH($F1431,Items!$A$5:$A$597,0)),""))</f>
        <v>1</v>
      </c>
      <c r="J1431" s="115">
        <f>IF(tblIssues[[#This Row],[Qty Override]]&lt;&gt;"",tblIssues[[#This Row],[Qty Override]],IF(tblIssues[[#This Row],[Standard Issue]]="","",tblIssues[[#This Row],[Standard Issue]]))</f>
        <v>1</v>
      </c>
      <c r="K1431" s="20">
        <f>IF($F1431="","",IFERROR(INDEX(Items!$D$5:$D$597,MATCH($F1431,Items!$A$5:$A$597,0)),""))</f>
        <v>0</v>
      </c>
      <c r="L1431" s="21">
        <f t="shared" si="250"/>
        <v>0</v>
      </c>
      <c r="M1431" s="9" t="str">
        <f t="shared" si="248"/>
        <v/>
      </c>
      <c r="N1431" s="24">
        <f>IF($A1431="","",WORKDAY($A1431,Settings!$C$9,HolidayDates))</f>
        <v>46212</v>
      </c>
      <c r="O1431" s="24">
        <f>IF($N1431="","",WORKDAY($N1431,Settings!$C$10,HolidayDates))</f>
        <v>46252</v>
      </c>
      <c r="P1431" s="10" t="s">
        <v>501</v>
      </c>
      <c r="Q1431" s="52" t="str">
        <f t="shared" si="251"/>
        <v>Collected</v>
      </c>
      <c r="R1431" s="55" t="str">
        <f t="shared" si="252"/>
        <v>2026-07</v>
      </c>
      <c r="S1431" s="55">
        <f>IF(OR($B1431="",$F1431="",$R1431=""),"",SUMIFS(tblIssues[Qty Issued],tblIssues[Staff ID],$B1431,tblIssues[Item Name],$F1431,tblIssues[Month],$R1431))</f>
        <v>1</v>
      </c>
      <c r="T1431" s="56">
        <f>IF($I1431="","",$I1431*Settings!$C$11)</f>
        <v>1</v>
      </c>
      <c r="U1431" s="57" t="str">
        <f t="shared" si="249"/>
        <v>OK</v>
      </c>
      <c r="V1431" s="55" t="str">
        <f t="shared" si="253"/>
        <v/>
      </c>
      <c r="W1431" s="55" t="str">
        <f>IF($V1431="","",IF(COUNTIF($V$5:$V1431,$V1431)=1,1,""))</f>
        <v/>
      </c>
      <c r="X1431" s="58" t="str">
        <f>IF($W1431="","",MAX($X$4:X1430)+1)</f>
        <v/>
      </c>
      <c r="Y1431" s="62"/>
      <c r="Z1431" s="62"/>
      <c r="AA1431" s="64" t="str">
        <f>IF($C1431="","",IFERROR(INDEX('Staff Directory'!$E$5:$E$594,MATCH($C1431,'Staff Directory'!$B$5:$B$594,0)),""))</f>
        <v>firstname205.lastname205@example.com</v>
      </c>
      <c r="AB1431" s="64" t="str">
        <f>IF($C1431="","",IF(ISNUMBER(SEARCH($D1431,Settings!$C$15)),"Pickup","Dispatch"))</f>
        <v>Pickup</v>
      </c>
      <c r="AC1431" s="64" t="str">
        <f t="shared" si="254"/>
        <v>Supply order ready for pickup</v>
      </c>
      <c r="AD1431" s="64" t="str">
        <f t="shared" si="245"/>
        <v>Dear PSW,
Your order is ready for pickup from Sample Branch, Wed-Fri 9am-4pm.</v>
      </c>
      <c r="AE1431" s="64" t="str">
        <f t="shared" si="246"/>
        <v>mailto:firstname205.lastname205@example.com?subject=Supply%20order%20ready%20for%20pickup&amp;body=Dear%20PSW%2C%0A%0AYour%20order%20is%20ready%20for%20pickup%20from%20Sample%20Branch%2C%20Wed-Fri%209am-4pm.</v>
      </c>
      <c r="AF1431" s="89" t="str">
        <f t="shared" si="255"/>
        <v>Draft email</v>
      </c>
      <c r="AG1431" s="64" t="str">
        <f>IF($C1431="","",IFERROR(INDEX('Staff Directory'!$K$595:$K$599,MATCH($C1431,'Staff Directory'!$B$5:$B$599,0)),$D1431))</f>
        <v>PSW</v>
      </c>
      <c r="AH1431" t="str">
        <f>IF($C1431="","",IFERROR(INDEX('Staff Directory'!$I$595:$I$599,MATCH($C1431,'Staff Directory'!$B$5:$B$599,0))&amp;" "&amp;INDEX('Staff Directory'!$J$595:$J$599,MATCH($C1431,'Staff Directory'!$B$5:$B$599,0)),$AG1431))</f>
        <v>PSW</v>
      </c>
      <c r="AI1431" s="102"/>
      <c r="AJ1431" s="101">
        <f>IF($F1431="","",SUMIFS($J$5:$J1431,$F$5:$F1431,$F1431))</f>
        <v>15</v>
      </c>
      <c r="AK1431" s="101">
        <f t="shared" si="247"/>
        <v>15</v>
      </c>
      <c r="AL1431" s="66" t="str" cm="1">
        <f t="array" ref="AL1431">IF($F1431="","",IFERROR(INDEX('Lot Balance'!$B$5:$B$500,MATCH(1,INDEX(('Lot Balance'!$A$5:$A$500=$F1431)*('Lot Balance'!$K$5:$K$500&lt;$AK1431)*('Lot Balance'!$K$5:$K$500+'Lot Balance'!$D$5:$D$500&gt;=$AK1431),0),0)),""))</f>
        <v/>
      </c>
      <c r="AM1431" s="66" t="str" cm="1">
        <f t="array" ref="AM1431">IF($F1431="","",IFERROR(INDEX('Lot Balance'!$B$5:$B$500,MATCH(1,INDEX(('Lot Balance'!$A$5:$A$500=$F1431)*('Lot Balance'!$K$5:$K$500&lt;$AJ1431)*('Lot Balance'!$K$5:$K$500+'Lot Balance'!$D$5:$D$500&gt;=$AJ1431),0),0)),""))</f>
        <v/>
      </c>
      <c r="AN1431" s="66" t="str">
        <f>IF($F1431="","",IF($AI1431&lt;&gt;"",IF(COUNTIFS('Lot Balance'!$A$5:$A$500,$F1431,'Lot Balance'!$B$5:$B$500,$AI1431)=0,"⚠ override is not a lot of this item",IF($AI1431=$AL1431,"Override = FEFO","Override - FEFO says "&amp;$AL1431)),IF($AL1431="","⚠ no receipt on file for this item",IF($AM1431&lt;&gt;$AL1431,"FEFO auto - split, also "&amp;$AM1431,"FEFO auto"))))</f>
        <v>⚠ no receipt on file for this item</v>
      </c>
      <c r="AO1431" s="114"/>
    </row>
    <row r="1432" spans="1:41" x14ac:dyDescent="0.35">
      <c r="A1432" s="74">
        <v>46204</v>
      </c>
      <c r="B1432" s="18" t="str">
        <f>IF($C1432="","",IFERROR(INDEX('Staff Directory'!$A$5:$A$594,MATCH($C1432,'Staff Directory'!$B$5:$B$594,0)),"⚠ unknown staff"))</f>
        <v>PSW-138-A4</v>
      </c>
      <c r="C1432" s="49" t="s">
        <v>1117</v>
      </c>
      <c r="D1432" s="19" t="str">
        <f>IF($B1432="","",IFERROR(INDEX('Staff Directory'!$C$5:$C$594,MATCH($B1432,'Staff Directory'!$A$5:$A$594,0)),""))</f>
        <v>PSW</v>
      </c>
      <c r="E1432" s="19" t="str">
        <f>IF($B1432="","",IFERROR(INDEX('Staff Directory'!$D$5:$D$594,MATCH($B1432,'Staff Directory'!$A$5:$A$594,0)),""))</f>
        <v>A4</v>
      </c>
      <c r="F1432" s="9" t="s">
        <v>127</v>
      </c>
      <c r="G1432" s="18" t="str">
        <f>IF($F1432="","",IFERROR(INDEX(Items!$B$5:$B$597,MATCH($F1432,Items!$A$5:$A$597,0)),"⚠ not in Items"))</f>
        <v>Gloves</v>
      </c>
      <c r="H1432" s="19" t="str">
        <f>IF($F1432="","",IFERROR(INDEX(Items!$C$5:$C$597,MATCH($F1432,Items!$A$5:$A$597,0)),""))</f>
        <v>Medium</v>
      </c>
      <c r="I1432" s="23">
        <f>IF($F1432="","",IFERROR(INDEX(Items!$E$5:$E$597,MATCH($F1432,Items!$A$5:$A$597,0)),""))</f>
        <v>500</v>
      </c>
      <c r="J1432" s="115">
        <f>IF(tblIssues[[#This Row],[Qty Override]]&lt;&gt;"",tblIssues[[#This Row],[Qty Override]],IF(tblIssues[[#This Row],[Standard Issue]]="","",tblIssues[[#This Row],[Standard Issue]]))</f>
        <v>500</v>
      </c>
      <c r="K1432" s="20">
        <f>IF($F1432="","",IFERROR(INDEX(Items!$D$5:$D$597,MATCH($F1432,Items!$A$5:$A$597,0)),""))</f>
        <v>5.5E-2</v>
      </c>
      <c r="L1432" s="21">
        <f t="shared" si="250"/>
        <v>27.5</v>
      </c>
      <c r="M1432" s="9" t="str">
        <f t="shared" si="248"/>
        <v>ZIM510137962-2</v>
      </c>
      <c r="N1432" s="24">
        <f>IF($A1432="","",WORKDAY($A1432,Settings!$C$9,HolidayDates))</f>
        <v>46212</v>
      </c>
      <c r="O1432" s="24">
        <f>IF($N1432="","",WORKDAY($N1432,Settings!$C$10,HolidayDates))</f>
        <v>46252</v>
      </c>
      <c r="P1432" s="10" t="s">
        <v>501</v>
      </c>
      <c r="Q1432" s="52" t="str">
        <f t="shared" si="251"/>
        <v>Collected</v>
      </c>
      <c r="R1432" s="55" t="str">
        <f t="shared" si="252"/>
        <v>2026-07</v>
      </c>
      <c r="S1432" s="55">
        <f>IF(OR($B1432="",$F1432="",$R1432=""),"",SUMIFS(tblIssues[Qty Issued],tblIssues[Staff ID],$B1432,tblIssues[Item Name],$F1432,tblIssues[Month],$R1432))</f>
        <v>500</v>
      </c>
      <c r="T1432" s="56">
        <f>IF($I1432="","",$I1432*Settings!$C$11)</f>
        <v>500</v>
      </c>
      <c r="U1432" s="57" t="str">
        <f t="shared" si="249"/>
        <v>OK</v>
      </c>
      <c r="V1432" s="55" t="str">
        <f t="shared" si="253"/>
        <v/>
      </c>
      <c r="W1432" s="55" t="str">
        <f>IF($V1432="","",IF(COUNTIF($V$5:$V1432,$V1432)=1,1,""))</f>
        <v/>
      </c>
      <c r="X1432" s="58" t="str">
        <f>IF($W1432="","",MAX($X$4:X1431)+1)</f>
        <v/>
      </c>
      <c r="Y1432" s="62"/>
      <c r="Z1432" s="62"/>
      <c r="AA1432" s="64" t="str">
        <f>IF($C1432="","",IFERROR(INDEX('Staff Directory'!$E$5:$E$594,MATCH($C1432,'Staff Directory'!$B$5:$B$594,0)),""))</f>
        <v>firstname201.lastname201@example.com</v>
      </c>
      <c r="AB1432" s="64" t="str">
        <f>IF($C1432="","",IF(ISNUMBER(SEARCH($D1432,Settings!$C$15)),"Pickup","Dispatch"))</f>
        <v>Pickup</v>
      </c>
      <c r="AC1432" s="64" t="str">
        <f t="shared" si="254"/>
        <v>Supply order ready for pickup</v>
      </c>
      <c r="AD1432" s="64" t="str">
        <f t="shared" si="245"/>
        <v>Dear PSW,
Your order is ready for pickup from Sample Branch, Wed-Fri 9am-4pm.</v>
      </c>
      <c r="AE1432" s="64" t="str">
        <f t="shared" si="246"/>
        <v>mailto:firstname201.lastname201@example.com?subject=Supply%20order%20ready%20for%20pickup&amp;body=Dear%20PSW%2C%0A%0AYour%20order%20is%20ready%20for%20pickup%20from%20Sample%20Branch%2C%20Wed-Fri%209am-4pm.</v>
      </c>
      <c r="AF1432" s="89" t="str">
        <f t="shared" si="255"/>
        <v>Draft email</v>
      </c>
      <c r="AG1432" s="64" t="str">
        <f>IF($C1432="","",IFERROR(INDEX('Staff Directory'!$K$595:$K$599,MATCH($C1432,'Staff Directory'!$B$5:$B$599,0)),$D1432))</f>
        <v>PSW</v>
      </c>
      <c r="AH1432" t="str">
        <f>IF($C1432="","",IFERROR(INDEX('Staff Directory'!$I$595:$I$599,MATCH($C1432,'Staff Directory'!$B$5:$B$599,0))&amp;" "&amp;INDEX('Staff Directory'!$J$595:$J$599,MATCH($C1432,'Staff Directory'!$B$5:$B$599,0)),$AG1432))</f>
        <v>PSW</v>
      </c>
      <c r="AI1432" s="102"/>
      <c r="AJ1432" s="101">
        <f>IF($F1432="","",SUMIFS($J$5:$J1432,$F$5:$F1432,$F1432))</f>
        <v>88500</v>
      </c>
      <c r="AK1432" s="101">
        <f t="shared" si="247"/>
        <v>88001</v>
      </c>
      <c r="AL1432" s="66" t="str" cm="1">
        <f t="array" ref="AL1432">IF($F1432="","",IFERROR(INDEX('Lot Balance'!$B$5:$B$500,MATCH(1,INDEX(('Lot Balance'!$A$5:$A$500=$F1432)*('Lot Balance'!$K$5:$K$500&lt;$AK1432)*('Lot Balance'!$K$5:$K$500+'Lot Balance'!$D$5:$D$500&gt;=$AK1432),0),0)),""))</f>
        <v>ZIM510137962-2</v>
      </c>
      <c r="AM1432" s="66" t="str" cm="1">
        <f t="array" ref="AM1432">IF($F1432="","",IFERROR(INDEX('Lot Balance'!$B$5:$B$500,MATCH(1,INDEX(('Lot Balance'!$A$5:$A$500=$F1432)*('Lot Balance'!$K$5:$K$500&lt;$AJ1432)*('Lot Balance'!$K$5:$K$500+'Lot Balance'!$D$5:$D$500&gt;=$AJ1432),0),0)),""))</f>
        <v>ZIM510137962-2</v>
      </c>
      <c r="AN1432" s="66" t="str">
        <f>IF($F1432="","",IF($AI1432&lt;&gt;"",IF(COUNTIFS('Lot Balance'!$A$5:$A$500,$F1432,'Lot Balance'!$B$5:$B$500,$AI1432)=0,"⚠ override is not a lot of this item",IF($AI1432=$AL1432,"Override = FEFO","Override - FEFO says "&amp;$AL1432)),IF($AL1432="","⚠ no receipt on file for this item",IF($AM1432&lt;&gt;$AL1432,"FEFO auto - split, also "&amp;$AM1432,"FEFO auto"))))</f>
        <v>FEFO auto</v>
      </c>
      <c r="AO1432" s="114"/>
    </row>
    <row r="1433" spans="1:41" x14ac:dyDescent="0.35">
      <c r="A1433" s="74">
        <v>46204</v>
      </c>
      <c r="B1433" s="18" t="str">
        <f>IF($C1433="","",IFERROR(INDEX('Staff Directory'!$A$5:$A$594,MATCH($C1433,'Staff Directory'!$B$5:$B$594,0)),"⚠ unknown staff"))</f>
        <v>PSW-138-A4</v>
      </c>
      <c r="C1433" s="49" t="s">
        <v>1117</v>
      </c>
      <c r="D1433" s="19" t="str">
        <f>IF($B1433="","",IFERROR(INDEX('Staff Directory'!$C$5:$C$594,MATCH($B1433,'Staff Directory'!$A$5:$A$594,0)),""))</f>
        <v>PSW</v>
      </c>
      <c r="E1433" s="19" t="str">
        <f>IF($B1433="","",IFERROR(INDEX('Staff Directory'!$D$5:$D$594,MATCH($B1433,'Staff Directory'!$A$5:$A$594,0)),""))</f>
        <v>A4</v>
      </c>
      <c r="F1433" s="9" t="s">
        <v>191</v>
      </c>
      <c r="G1433" s="18" t="str">
        <f>IF($F1433="","",IFERROR(INDEX(Items!$B$5:$B$597,MATCH($F1433,Items!$A$5:$A$597,0)),"⚠ not in Items"))</f>
        <v>Sanitizer</v>
      </c>
      <c r="H1433" s="19" t="str">
        <f>IF($F1433="","",IFERROR(INDEX(Items!$C$5:$C$597,MATCH($F1433,Items!$A$5:$A$597,0)),""))</f>
        <v>236 ML</v>
      </c>
      <c r="I1433" s="23">
        <f>IF($F1433="","",IFERROR(INDEX(Items!$E$5:$E$597,MATCH($F1433,Items!$A$5:$A$597,0)),""))</f>
        <v>1</v>
      </c>
      <c r="J1433" s="115">
        <f>IF(tblIssues[[#This Row],[Qty Override]]&lt;&gt;"",tblIssues[[#This Row],[Qty Override]],IF(tblIssues[[#This Row],[Standard Issue]]="","",tblIssues[[#This Row],[Standard Issue]]))</f>
        <v>1</v>
      </c>
      <c r="K1433" s="20">
        <f>IF($F1433="","",IFERROR(INDEX(Items!$D$5:$D$597,MATCH($F1433,Items!$A$5:$A$597,0)),""))</f>
        <v>1E-4</v>
      </c>
      <c r="L1433" s="21">
        <f t="shared" si="250"/>
        <v>1E-4</v>
      </c>
      <c r="M1433" s="9" t="str">
        <f t="shared" si="248"/>
        <v/>
      </c>
      <c r="N1433" s="24">
        <f>IF($A1433="","",WORKDAY($A1433,Settings!$C$9,HolidayDates))</f>
        <v>46212</v>
      </c>
      <c r="O1433" s="24">
        <f>IF($N1433="","",WORKDAY($N1433,Settings!$C$10,HolidayDates))</f>
        <v>46252</v>
      </c>
      <c r="P1433" s="10" t="s">
        <v>501</v>
      </c>
      <c r="Q1433" s="52" t="str">
        <f t="shared" si="251"/>
        <v>Collected</v>
      </c>
      <c r="R1433" s="55" t="str">
        <f t="shared" si="252"/>
        <v>2026-07</v>
      </c>
      <c r="S1433" s="55">
        <f>IF(OR($B1433="",$F1433="",$R1433=""),"",SUMIFS(tblIssues[Qty Issued],tblIssues[Staff ID],$B1433,tblIssues[Item Name],$F1433,tblIssues[Month],$R1433))</f>
        <v>1</v>
      </c>
      <c r="T1433" s="56">
        <f>IF($I1433="","",$I1433*Settings!$C$11)</f>
        <v>1</v>
      </c>
      <c r="U1433" s="57" t="str">
        <f t="shared" si="249"/>
        <v>OK</v>
      </c>
      <c r="V1433" s="55" t="str">
        <f t="shared" si="253"/>
        <v/>
      </c>
      <c r="W1433" s="55" t="str">
        <f>IF($V1433="","",IF(COUNTIF($V$5:$V1433,$V1433)=1,1,""))</f>
        <v/>
      </c>
      <c r="X1433" s="58" t="str">
        <f>IF($W1433="","",MAX($X$4:X1432)+1)</f>
        <v/>
      </c>
      <c r="Y1433" s="62"/>
      <c r="Z1433" s="62"/>
      <c r="AA1433" s="64" t="str">
        <f>IF($C1433="","",IFERROR(INDEX('Staff Directory'!$E$5:$E$594,MATCH($C1433,'Staff Directory'!$B$5:$B$594,0)),""))</f>
        <v>firstname201.lastname201@example.com</v>
      </c>
      <c r="AB1433" s="64" t="str">
        <f>IF($C1433="","",IF(ISNUMBER(SEARCH($D1433,Settings!$C$15)),"Pickup","Dispatch"))</f>
        <v>Pickup</v>
      </c>
      <c r="AC1433" s="64" t="str">
        <f t="shared" si="254"/>
        <v>Supply order ready for pickup</v>
      </c>
      <c r="AD1433" s="64" t="str">
        <f t="shared" si="245"/>
        <v>Dear PSW,
Your order is ready for pickup from Sample Branch, Wed-Fri 9am-4pm.</v>
      </c>
      <c r="AE1433" s="64" t="str">
        <f t="shared" si="246"/>
        <v>mailto:firstname201.lastname201@example.com?subject=Supply%20order%20ready%20for%20pickup&amp;body=Dear%20PSW%2C%0A%0AYour%20order%20is%20ready%20for%20pickup%20from%20Sample%20Branch%2C%20Wed-Fri%209am-4pm.</v>
      </c>
      <c r="AF1433" s="89" t="str">
        <f t="shared" si="255"/>
        <v>Draft email</v>
      </c>
      <c r="AG1433" s="64" t="str">
        <f>IF($C1433="","",IFERROR(INDEX('Staff Directory'!$K$595:$K$599,MATCH($C1433,'Staff Directory'!$B$5:$B$599,0)),$D1433))</f>
        <v>PSW</v>
      </c>
      <c r="AH1433" t="str">
        <f>IF($C1433="","",IFERROR(INDEX('Staff Directory'!$I$595:$I$599,MATCH($C1433,'Staff Directory'!$B$5:$B$599,0))&amp;" "&amp;INDEX('Staff Directory'!$J$595:$J$599,MATCH($C1433,'Staff Directory'!$B$5:$B$599,0)),$AG1433))</f>
        <v>PSW</v>
      </c>
      <c r="AI1433" s="102"/>
      <c r="AJ1433" s="101">
        <f>IF($F1433="","",SUMIFS($J$5:$J1433,$F$5:$F1433,$F1433))</f>
        <v>195</v>
      </c>
      <c r="AK1433" s="101">
        <f t="shared" si="247"/>
        <v>195</v>
      </c>
      <c r="AL1433" s="66" t="str" cm="1">
        <f t="array" ref="AL1433">IF($F1433="","",IFERROR(INDEX('Lot Balance'!$B$5:$B$500,MATCH(1,INDEX(('Lot Balance'!$A$5:$A$500=$F1433)*('Lot Balance'!$K$5:$K$500&lt;$AK1433)*('Lot Balance'!$K$5:$K$500+'Lot Balance'!$D$5:$D$500&gt;=$AK1433),0),0)),""))</f>
        <v/>
      </c>
      <c r="AM1433" s="66" t="str" cm="1">
        <f t="array" ref="AM1433">IF($F1433="","",IFERROR(INDEX('Lot Balance'!$B$5:$B$500,MATCH(1,INDEX(('Lot Balance'!$A$5:$A$500=$F1433)*('Lot Balance'!$K$5:$K$500&lt;$AJ1433)*('Lot Balance'!$K$5:$K$500+'Lot Balance'!$D$5:$D$500&gt;=$AJ1433),0),0)),""))</f>
        <v/>
      </c>
      <c r="AN1433" s="66" t="str">
        <f>IF($F1433="","",IF($AI1433&lt;&gt;"",IF(COUNTIFS('Lot Balance'!$A$5:$A$500,$F1433,'Lot Balance'!$B$5:$B$500,$AI1433)=0,"⚠ override is not a lot of this item",IF($AI1433=$AL1433,"Override = FEFO","Override - FEFO says "&amp;$AL1433)),IF($AL1433="","⚠ no receipt on file for this item",IF($AM1433&lt;&gt;$AL1433,"FEFO auto - split, also "&amp;$AM1433,"FEFO auto"))))</f>
        <v>⚠ no receipt on file for this item</v>
      </c>
      <c r="AO1433" s="114"/>
    </row>
    <row r="1434" spans="1:41" x14ac:dyDescent="0.35">
      <c r="A1434" s="74">
        <v>46204</v>
      </c>
      <c r="B1434" s="18" t="str">
        <f>IF($C1434="","",IFERROR(INDEX('Staff Directory'!$A$5:$A$594,MATCH($C1434,'Staff Directory'!$B$5:$B$594,0)),"⚠ unknown staff"))</f>
        <v>PSW-138-A4</v>
      </c>
      <c r="C1434" s="49" t="s">
        <v>1117</v>
      </c>
      <c r="D1434" s="19" t="str">
        <f>IF($B1434="","",IFERROR(INDEX('Staff Directory'!$C$5:$C$594,MATCH($B1434,'Staff Directory'!$A$5:$A$594,0)),""))</f>
        <v>PSW</v>
      </c>
      <c r="E1434" s="19" t="str">
        <f>IF($B1434="","",IFERROR(INDEX('Staff Directory'!$D$5:$D$594,MATCH($B1434,'Staff Directory'!$A$5:$A$594,0)),""))</f>
        <v>A4</v>
      </c>
      <c r="F1434" s="9" t="s">
        <v>115</v>
      </c>
      <c r="G1434" s="18" t="str">
        <f>IF($F1434="","",IFERROR(INDEX(Items!$B$5:$B$597,MATCH($F1434,Items!$A$5:$A$597,0)),"⚠ not in Items"))</f>
        <v>Wipes</v>
      </c>
      <c r="H1434" s="19">
        <f>IF($F1434="","",IFERROR(INDEX(Items!$C$5:$C$597,MATCH($F1434,Items!$A$5:$A$597,0)),""))</f>
        <v>80</v>
      </c>
      <c r="I1434" s="23">
        <f>IF($F1434="","",IFERROR(INDEX(Items!$E$5:$E$597,MATCH($F1434,Items!$A$5:$A$597,0)),""))</f>
        <v>80</v>
      </c>
      <c r="J1434" s="115">
        <f>IF(tblIssues[[#This Row],[Qty Override]]&lt;&gt;"",tblIssues[[#This Row],[Qty Override]],IF(tblIssues[[#This Row],[Standard Issue]]="","",tblIssues[[#This Row],[Standard Issue]]))</f>
        <v>80</v>
      </c>
      <c r="K1434" s="20">
        <f>IF($F1434="","",IFERROR(INDEX(Items!$D$5:$D$597,MATCH($F1434,Items!$A$5:$A$597,0)),""))</f>
        <v>0.1</v>
      </c>
      <c r="L1434" s="21">
        <f t="shared" si="250"/>
        <v>8</v>
      </c>
      <c r="M1434" s="9" t="str">
        <f t="shared" si="248"/>
        <v>LYSL500290</v>
      </c>
      <c r="N1434" s="24">
        <f>IF($A1434="","",WORKDAY($A1434,Settings!$C$9,HolidayDates))</f>
        <v>46212</v>
      </c>
      <c r="O1434" s="24">
        <f>IF($N1434="","",WORKDAY($N1434,Settings!$C$10,HolidayDates))</f>
        <v>46252</v>
      </c>
      <c r="P1434" s="10" t="s">
        <v>501</v>
      </c>
      <c r="Q1434" s="52" t="str">
        <f t="shared" si="251"/>
        <v>Collected</v>
      </c>
      <c r="R1434" s="55" t="str">
        <f t="shared" si="252"/>
        <v>2026-07</v>
      </c>
      <c r="S1434" s="55">
        <f>IF(OR($B1434="",$F1434="",$R1434=""),"",SUMIFS(tblIssues[Qty Issued],tblIssues[Staff ID],$B1434,tblIssues[Item Name],$F1434,tblIssues[Month],$R1434))</f>
        <v>80</v>
      </c>
      <c r="T1434" s="56">
        <f>IF($I1434="","",$I1434*Settings!$C$11)</f>
        <v>80</v>
      </c>
      <c r="U1434" s="57" t="str">
        <f t="shared" si="249"/>
        <v>OK</v>
      </c>
      <c r="V1434" s="55" t="str">
        <f t="shared" si="253"/>
        <v/>
      </c>
      <c r="W1434" s="55" t="str">
        <f>IF($V1434="","",IF(COUNTIF($V$5:$V1434,$V1434)=1,1,""))</f>
        <v/>
      </c>
      <c r="X1434" s="58" t="str">
        <f>IF($W1434="","",MAX($X$4:X1433)+1)</f>
        <v/>
      </c>
      <c r="Y1434" s="62"/>
      <c r="Z1434" s="62"/>
      <c r="AA1434" s="64" t="str">
        <f>IF($C1434="","",IFERROR(INDEX('Staff Directory'!$E$5:$E$594,MATCH($C1434,'Staff Directory'!$B$5:$B$594,0)),""))</f>
        <v>firstname201.lastname201@example.com</v>
      </c>
      <c r="AB1434" s="64" t="str">
        <f>IF($C1434="","",IF(ISNUMBER(SEARCH($D1434,Settings!$C$15)),"Pickup","Dispatch"))</f>
        <v>Pickup</v>
      </c>
      <c r="AC1434" s="64" t="str">
        <f t="shared" si="254"/>
        <v>Supply order ready for pickup</v>
      </c>
      <c r="AD1434" s="64" t="str">
        <f t="shared" si="245"/>
        <v>Dear PSW,
Your order is ready for pickup from Sample Branch, Wed-Fri 9am-4pm.</v>
      </c>
      <c r="AE1434" s="64" t="str">
        <f t="shared" si="246"/>
        <v>mailto:firstname201.lastname201@example.com?subject=Supply%20order%20ready%20for%20pickup&amp;body=Dear%20PSW%2C%0A%0AYour%20order%20is%20ready%20for%20pickup%20from%20Sample%20Branch%2C%20Wed-Fri%209am-4pm.</v>
      </c>
      <c r="AF1434" s="89" t="str">
        <f t="shared" si="255"/>
        <v>Draft email</v>
      </c>
      <c r="AG1434" s="64" t="str">
        <f>IF($C1434="","",IFERROR(INDEX('Staff Directory'!$K$595:$K$599,MATCH($C1434,'Staff Directory'!$B$5:$B$599,0)),$D1434))</f>
        <v>PSW</v>
      </c>
      <c r="AH1434" t="str">
        <f>IF($C1434="","",IFERROR(INDEX('Staff Directory'!$I$595:$I$599,MATCH($C1434,'Staff Directory'!$B$5:$B$599,0))&amp;" "&amp;INDEX('Staff Directory'!$J$595:$J$599,MATCH($C1434,'Staff Directory'!$B$5:$B$599,0)),$AG1434))</f>
        <v>PSW</v>
      </c>
      <c r="AI1434" s="102"/>
      <c r="AJ1434" s="101">
        <f>IF($F1434="","",SUMIFS($J$5:$J1434,$F$5:$F1434,$F1434))</f>
        <v>19840</v>
      </c>
      <c r="AK1434" s="101">
        <f t="shared" si="247"/>
        <v>19761</v>
      </c>
      <c r="AL1434" s="66" t="str" cm="1">
        <f t="array" ref="AL1434">IF($F1434="","",IFERROR(INDEX('Lot Balance'!$B$5:$B$500,MATCH(1,INDEX(('Lot Balance'!$A$5:$A$500=$F1434)*('Lot Balance'!$K$5:$K$500&lt;$AK1434)*('Lot Balance'!$K$5:$K$500+'Lot Balance'!$D$5:$D$500&gt;=$AK1434),0),0)),""))</f>
        <v>LYSL500290</v>
      </c>
      <c r="AM1434" s="66" t="str" cm="1">
        <f t="array" ref="AM1434">IF($F1434="","",IFERROR(INDEX('Lot Balance'!$B$5:$B$500,MATCH(1,INDEX(('Lot Balance'!$A$5:$A$500=$F1434)*('Lot Balance'!$K$5:$K$500&lt;$AJ1434)*('Lot Balance'!$K$5:$K$500+'Lot Balance'!$D$5:$D$500&gt;=$AJ1434),0),0)),""))</f>
        <v>LYSL500290</v>
      </c>
      <c r="AN1434" s="66" t="str">
        <f>IF($F1434="","",IF($AI1434&lt;&gt;"",IF(COUNTIFS('Lot Balance'!$A$5:$A$500,$F1434,'Lot Balance'!$B$5:$B$500,$AI1434)=0,"⚠ override is not a lot of this item",IF($AI1434=$AL1434,"Override = FEFO","Override - FEFO says "&amp;$AL1434)),IF($AL1434="","⚠ no receipt on file for this item",IF($AM1434&lt;&gt;$AL1434,"FEFO auto - split, also "&amp;$AM1434,"FEFO auto"))))</f>
        <v>FEFO auto</v>
      </c>
      <c r="AO1434" s="114"/>
    </row>
    <row r="1435" spans="1:41" x14ac:dyDescent="0.35">
      <c r="A1435" s="74">
        <v>46204</v>
      </c>
      <c r="B1435" s="18" t="str">
        <f>IF($C1435="","",IFERROR(INDEX('Staff Directory'!$A$5:$A$594,MATCH($C1435,'Staff Directory'!$B$5:$B$594,0)),"⚠ unknown staff"))</f>
        <v>PSW-138-A4</v>
      </c>
      <c r="C1435" s="49" t="s">
        <v>1117</v>
      </c>
      <c r="D1435" s="19" t="str">
        <f>IF($B1435="","",IFERROR(INDEX('Staff Directory'!$C$5:$C$594,MATCH($B1435,'Staff Directory'!$A$5:$A$594,0)),""))</f>
        <v>PSW</v>
      </c>
      <c r="E1435" s="19" t="str">
        <f>IF($B1435="","",IFERROR(INDEX('Staff Directory'!$D$5:$D$594,MATCH($B1435,'Staff Directory'!$A$5:$A$594,0)),""))</f>
        <v>A4</v>
      </c>
      <c r="F1435" s="9" t="s">
        <v>156</v>
      </c>
      <c r="G1435" s="18" t="str">
        <f>IF($F1435="","",IFERROR(INDEX(Items!$B$5:$B$597,MATCH($F1435,Items!$A$5:$A$597,0)),"⚠ not in Items"))</f>
        <v>Masks</v>
      </c>
      <c r="H1435" s="19" t="str">
        <f>IF($F1435="","",IFERROR(INDEX(Items!$C$5:$C$597,MATCH($F1435,Items!$A$5:$A$597,0)),""))</f>
        <v>One Size</v>
      </c>
      <c r="I1435" s="23">
        <f>IF($F1435="","",IFERROR(INDEX(Items!$E$5:$E$597,MATCH($F1435,Items!$A$5:$A$597,0)),""))</f>
        <v>50</v>
      </c>
      <c r="J1435" s="115">
        <f>IF(tblIssues[[#This Row],[Qty Override]]&lt;&gt;"",tblIssues[[#This Row],[Qty Override]],IF(tblIssues[[#This Row],[Standard Issue]]="","",tblIssues[[#This Row],[Standard Issue]]))</f>
        <v>50</v>
      </c>
      <c r="K1435" s="20">
        <f>IF($F1435="","",IFERROR(INDEX(Items!$D$5:$D$597,MATCH($F1435,Items!$A$5:$A$597,0)),""))</f>
        <v>0.25</v>
      </c>
      <c r="L1435" s="21">
        <f t="shared" si="250"/>
        <v>12.5</v>
      </c>
      <c r="M1435" s="9" t="str">
        <f t="shared" si="248"/>
        <v>24HA2050A7396</v>
      </c>
      <c r="N1435" s="24">
        <f>IF($A1435="","",WORKDAY($A1435,Settings!$C$9,HolidayDates))</f>
        <v>46212</v>
      </c>
      <c r="O1435" s="24">
        <f>IF($N1435="","",WORKDAY($N1435,Settings!$C$10,HolidayDates))</f>
        <v>46252</v>
      </c>
      <c r="P1435" s="10" t="s">
        <v>501</v>
      </c>
      <c r="Q1435" s="52" t="str">
        <f t="shared" si="251"/>
        <v>Collected</v>
      </c>
      <c r="R1435" s="55" t="str">
        <f t="shared" si="252"/>
        <v>2026-07</v>
      </c>
      <c r="S1435" s="55">
        <f>IF(OR($B1435="",$F1435="",$R1435=""),"",SUMIFS(tblIssues[Qty Issued],tblIssues[Staff ID],$B1435,tblIssues[Item Name],$F1435,tblIssues[Month],$R1435))</f>
        <v>50</v>
      </c>
      <c r="T1435" s="56">
        <f>IF($I1435="","",$I1435*Settings!$C$11)</f>
        <v>50</v>
      </c>
      <c r="U1435" s="57" t="str">
        <f t="shared" si="249"/>
        <v>OK</v>
      </c>
      <c r="V1435" s="55" t="str">
        <f t="shared" si="253"/>
        <v/>
      </c>
      <c r="W1435" s="55" t="str">
        <f>IF($V1435="","",IF(COUNTIF($V$5:$V1435,$V1435)=1,1,""))</f>
        <v/>
      </c>
      <c r="X1435" s="58" t="str">
        <f>IF($W1435="","",MAX($X$4:X1434)+1)</f>
        <v/>
      </c>
      <c r="Y1435" s="62"/>
      <c r="Z1435" s="62"/>
      <c r="AA1435" s="64" t="str">
        <f>IF($C1435="","",IFERROR(INDEX('Staff Directory'!$E$5:$E$594,MATCH($C1435,'Staff Directory'!$B$5:$B$594,0)),""))</f>
        <v>firstname201.lastname201@example.com</v>
      </c>
      <c r="AB1435" s="64" t="str">
        <f>IF($C1435="","",IF(ISNUMBER(SEARCH($D1435,Settings!$C$15)),"Pickup","Dispatch"))</f>
        <v>Pickup</v>
      </c>
      <c r="AC1435" s="64" t="str">
        <f t="shared" si="254"/>
        <v>Supply order ready for pickup</v>
      </c>
      <c r="AD1435" s="64" t="str">
        <f t="shared" si="245"/>
        <v>Dear PSW,
Your order is ready for pickup from Sample Branch, Wed-Fri 9am-4pm.</v>
      </c>
      <c r="AE1435" s="64" t="str">
        <f t="shared" si="246"/>
        <v>mailto:firstname201.lastname201@example.com?subject=Supply%20order%20ready%20for%20pickup&amp;body=Dear%20PSW%2C%0A%0AYour%20order%20is%20ready%20for%20pickup%20from%20Sample%20Branch%2C%20Wed-Fri%209am-4pm.</v>
      </c>
      <c r="AF1435" s="89" t="str">
        <f t="shared" si="255"/>
        <v>Draft email</v>
      </c>
      <c r="AG1435" s="64" t="str">
        <f>IF($C1435="","",IFERROR(INDEX('Staff Directory'!$K$595:$K$599,MATCH($C1435,'Staff Directory'!$B$5:$B$599,0)),$D1435))</f>
        <v>PSW</v>
      </c>
      <c r="AH1435" t="str">
        <f>IF($C1435="","",IFERROR(INDEX('Staff Directory'!$I$595:$I$599,MATCH($C1435,'Staff Directory'!$B$5:$B$599,0))&amp;" "&amp;INDEX('Staff Directory'!$J$595:$J$599,MATCH($C1435,'Staff Directory'!$B$5:$B$599,0)),$AG1435))</f>
        <v>PSW</v>
      </c>
      <c r="AI1435" s="102"/>
      <c r="AJ1435" s="101">
        <f>IF($F1435="","",SUMIFS($J$5:$J1435,$F$5:$F1435,$F1435))</f>
        <v>12550</v>
      </c>
      <c r="AK1435" s="101">
        <f t="shared" si="247"/>
        <v>12501</v>
      </c>
      <c r="AL1435" s="66" t="str" cm="1">
        <f t="array" ref="AL1435">IF($F1435="","",IFERROR(INDEX('Lot Balance'!$B$5:$B$500,MATCH(1,INDEX(('Lot Balance'!$A$5:$A$500=$F1435)*('Lot Balance'!$K$5:$K$500&lt;$AK1435)*('Lot Balance'!$K$5:$K$500+'Lot Balance'!$D$5:$D$500&gt;=$AK1435),0),0)),""))</f>
        <v>24HA2050A7396</v>
      </c>
      <c r="AM1435" s="66" t="str" cm="1">
        <f t="array" ref="AM1435">IF($F1435="","",IFERROR(INDEX('Lot Balance'!$B$5:$B$500,MATCH(1,INDEX(('Lot Balance'!$A$5:$A$500=$F1435)*('Lot Balance'!$K$5:$K$500&lt;$AJ1435)*('Lot Balance'!$K$5:$K$500+'Lot Balance'!$D$5:$D$500&gt;=$AJ1435),0),0)),""))</f>
        <v>24HA2050A7396</v>
      </c>
      <c r="AN1435" s="66" t="str">
        <f>IF($F1435="","",IF($AI1435&lt;&gt;"",IF(COUNTIFS('Lot Balance'!$A$5:$A$500,$F1435,'Lot Balance'!$B$5:$B$500,$AI1435)=0,"⚠ override is not a lot of this item",IF($AI1435=$AL1435,"Override = FEFO","Override - FEFO says "&amp;$AL1435)),IF($AL1435="","⚠ no receipt on file for this item",IF($AM1435&lt;&gt;$AL1435,"FEFO auto - split, also "&amp;$AM1435,"FEFO auto"))))</f>
        <v>FEFO auto</v>
      </c>
      <c r="AO1435" s="114"/>
    </row>
    <row r="1436" spans="1:41" x14ac:dyDescent="0.35">
      <c r="A1436" s="74">
        <v>46204</v>
      </c>
      <c r="B1436" s="18" t="str">
        <f>IF($C1436="","",IFERROR(INDEX('Staff Directory'!$A$5:$A$594,MATCH($C1436,'Staff Directory'!$B$5:$B$594,0)),"⚠ unknown staff"))</f>
        <v>PSW-138-A4</v>
      </c>
      <c r="C1436" s="49" t="s">
        <v>1117</v>
      </c>
      <c r="D1436" s="19" t="str">
        <f>IF($B1436="","",IFERROR(INDEX('Staff Directory'!$C$5:$C$594,MATCH($B1436,'Staff Directory'!$A$5:$A$594,0)),""))</f>
        <v>PSW</v>
      </c>
      <c r="E1436" s="19" t="str">
        <f>IF($B1436="","",IFERROR(INDEX('Staff Directory'!$D$5:$D$594,MATCH($B1436,'Staff Directory'!$A$5:$A$594,0)),""))</f>
        <v>A4</v>
      </c>
      <c r="F1436" s="9" t="s">
        <v>758</v>
      </c>
      <c r="G1436" s="18" t="str">
        <f>IF($F1436="","",IFERROR(INDEX(Items!$B$5:$B$597,MATCH($F1436,Items!$A$5:$A$597,0)),"⚠ not in Items"))</f>
        <v>Utility</v>
      </c>
      <c r="H1436" s="19" t="str">
        <f>IF($F1436="","",IFERROR(INDEX(Items!$C$5:$C$597,MATCH($F1436,Items!$A$5:$A$597,0)),""))</f>
        <v>Standard</v>
      </c>
      <c r="I1436" s="23">
        <f>IF($F1436="","",IFERROR(INDEX(Items!$E$5:$E$597,MATCH($F1436,Items!$A$5:$A$597,0)),""))</f>
        <v>1</v>
      </c>
      <c r="J1436" s="115">
        <f>IF(tblIssues[[#This Row],[Qty Override]]&lt;&gt;"",tblIssues[[#This Row],[Qty Override]],IF(tblIssues[[#This Row],[Standard Issue]]="","",tblIssues[[#This Row],[Standard Issue]]))</f>
        <v>1</v>
      </c>
      <c r="K1436" s="20">
        <f>IF($F1436="","",IFERROR(INDEX(Items!$D$5:$D$597,MATCH($F1436,Items!$A$5:$A$597,0)),""))</f>
        <v>0</v>
      </c>
      <c r="L1436" s="21">
        <f t="shared" si="250"/>
        <v>0</v>
      </c>
      <c r="M1436" s="9" t="str">
        <f t="shared" si="248"/>
        <v/>
      </c>
      <c r="N1436" s="24">
        <f>IF($A1436="","",WORKDAY($A1436,Settings!$C$9,HolidayDates))</f>
        <v>46212</v>
      </c>
      <c r="O1436" s="24">
        <f>IF($N1436="","",WORKDAY($N1436,Settings!$C$10,HolidayDates))</f>
        <v>46252</v>
      </c>
      <c r="P1436" s="10" t="s">
        <v>501</v>
      </c>
      <c r="Q1436" s="52" t="str">
        <f t="shared" si="251"/>
        <v>Collected</v>
      </c>
      <c r="R1436" s="55" t="str">
        <f t="shared" si="252"/>
        <v>2026-07</v>
      </c>
      <c r="S1436" s="55">
        <f>IF(OR($B1436="",$F1436="",$R1436=""),"",SUMIFS(tblIssues[Qty Issued],tblIssues[Staff ID],$B1436,tblIssues[Item Name],$F1436,tblIssues[Month],$R1436))</f>
        <v>1</v>
      </c>
      <c r="T1436" s="56">
        <f>IF($I1436="","",$I1436*Settings!$C$11)</f>
        <v>1</v>
      </c>
      <c r="U1436" s="57" t="str">
        <f t="shared" si="249"/>
        <v>OK</v>
      </c>
      <c r="V1436" s="55" t="str">
        <f t="shared" si="253"/>
        <v/>
      </c>
      <c r="W1436" s="55" t="str">
        <f>IF($V1436="","",IF(COUNTIF($V$5:$V1436,$V1436)=1,1,""))</f>
        <v/>
      </c>
      <c r="X1436" s="58" t="str">
        <f>IF($W1436="","",MAX($X$4:X1435)+1)</f>
        <v/>
      </c>
      <c r="Y1436" s="62"/>
      <c r="Z1436" s="62"/>
      <c r="AA1436" s="64" t="str">
        <f>IF($C1436="","",IFERROR(INDEX('Staff Directory'!$E$5:$E$594,MATCH($C1436,'Staff Directory'!$B$5:$B$594,0)),""))</f>
        <v>firstname201.lastname201@example.com</v>
      </c>
      <c r="AB1436" s="64" t="str">
        <f>IF($C1436="","",IF(ISNUMBER(SEARCH($D1436,Settings!$C$15)),"Pickup","Dispatch"))</f>
        <v>Pickup</v>
      </c>
      <c r="AC1436" s="64" t="str">
        <f t="shared" si="254"/>
        <v>Supply order ready for pickup</v>
      </c>
      <c r="AD1436" s="64" t="str">
        <f t="shared" si="245"/>
        <v>Dear PSW,
Your order is ready for pickup from Sample Branch, Wed-Fri 9am-4pm.</v>
      </c>
      <c r="AE1436" s="64" t="str">
        <f t="shared" si="246"/>
        <v>mailto:firstname201.lastname201@example.com?subject=Supply%20order%20ready%20for%20pickup&amp;body=Dear%20PSW%2C%0A%0AYour%20order%20is%20ready%20for%20pickup%20from%20Sample%20Branch%2C%20Wed-Fri%209am-4pm.</v>
      </c>
      <c r="AF1436" s="89" t="str">
        <f t="shared" si="255"/>
        <v>Draft email</v>
      </c>
      <c r="AG1436" s="64" t="str">
        <f>IF($C1436="","",IFERROR(INDEX('Staff Directory'!$K$595:$K$599,MATCH($C1436,'Staff Directory'!$B$5:$B$599,0)),$D1436))</f>
        <v>PSW</v>
      </c>
      <c r="AH1436" t="str">
        <f>IF($C1436="","",IFERROR(INDEX('Staff Directory'!$I$595:$I$599,MATCH($C1436,'Staff Directory'!$B$5:$B$599,0))&amp;" "&amp;INDEX('Staff Directory'!$J$595:$J$599,MATCH($C1436,'Staff Directory'!$B$5:$B$599,0)),$AG1436))</f>
        <v>PSW</v>
      </c>
      <c r="AI1436" s="102"/>
      <c r="AJ1436" s="101">
        <f>IF($F1436="","",SUMIFS($J$5:$J1436,$F$5:$F1436,$F1436))</f>
        <v>16</v>
      </c>
      <c r="AK1436" s="101">
        <f t="shared" si="247"/>
        <v>16</v>
      </c>
      <c r="AL1436" s="66" t="str" cm="1">
        <f t="array" ref="AL1436">IF($F1436="","",IFERROR(INDEX('Lot Balance'!$B$5:$B$500,MATCH(1,INDEX(('Lot Balance'!$A$5:$A$500=$F1436)*('Lot Balance'!$K$5:$K$500&lt;$AK1436)*('Lot Balance'!$K$5:$K$500+'Lot Balance'!$D$5:$D$500&gt;=$AK1436),0),0)),""))</f>
        <v/>
      </c>
      <c r="AM1436" s="66" t="str" cm="1">
        <f t="array" ref="AM1436">IF($F1436="","",IFERROR(INDEX('Lot Balance'!$B$5:$B$500,MATCH(1,INDEX(('Lot Balance'!$A$5:$A$500=$F1436)*('Lot Balance'!$K$5:$K$500&lt;$AJ1436)*('Lot Balance'!$K$5:$K$500+'Lot Balance'!$D$5:$D$500&gt;=$AJ1436),0),0)),""))</f>
        <v/>
      </c>
      <c r="AN1436" s="66" t="str">
        <f>IF($F1436="","",IF($AI1436&lt;&gt;"",IF(COUNTIFS('Lot Balance'!$A$5:$A$500,$F1436,'Lot Balance'!$B$5:$B$500,$AI1436)=0,"⚠ override is not a lot of this item",IF($AI1436=$AL1436,"Override = FEFO","Override - FEFO says "&amp;$AL1436)),IF($AL1436="","⚠ no receipt on file for this item",IF($AM1436&lt;&gt;$AL1436,"FEFO auto - split, also "&amp;$AM1436,"FEFO auto"))))</f>
        <v>⚠ no receipt on file for this item</v>
      </c>
      <c r="AO1436" s="114"/>
    </row>
    <row r="1437" spans="1:41" x14ac:dyDescent="0.35">
      <c r="A1437" s="74">
        <v>46204</v>
      </c>
      <c r="B1437" s="18" t="str">
        <f>IF($C1437="","",IFERROR(INDEX('Staff Directory'!$A$5:$A$594,MATCH($C1437,'Staff Directory'!$B$5:$B$594,0)),"⚠ unknown staff"))</f>
        <v>PSW-057-A5</v>
      </c>
      <c r="C1437" s="49" t="s">
        <v>1033</v>
      </c>
      <c r="D1437" s="19" t="str">
        <f>IF($B1437="","",IFERROR(INDEX('Staff Directory'!$C$5:$C$594,MATCH($B1437,'Staff Directory'!$A$5:$A$594,0)),""))</f>
        <v>PSW</v>
      </c>
      <c r="E1437" s="19" t="str">
        <f>IF($B1437="","",IFERROR(INDEX('Staff Directory'!$D$5:$D$594,MATCH($B1437,'Staff Directory'!$A$5:$A$594,0)),""))</f>
        <v>A5</v>
      </c>
      <c r="F1437" s="9" t="s">
        <v>132</v>
      </c>
      <c r="G1437" s="18" t="str">
        <f>IF($F1437="","",IFERROR(INDEX(Items!$B$5:$B$597,MATCH($F1437,Items!$A$5:$A$597,0)),"⚠ not in Items"))</f>
        <v>Gloves</v>
      </c>
      <c r="H1437" s="19" t="str">
        <f>IF($F1437="","",IFERROR(INDEX(Items!$C$5:$C$597,MATCH($F1437,Items!$A$5:$A$597,0)),""))</f>
        <v>X-Large</v>
      </c>
      <c r="I1437" s="23">
        <f>IF($F1437="","",IFERROR(INDEX(Items!$E$5:$E$597,MATCH($F1437,Items!$A$5:$A$597,0)),""))</f>
        <v>500</v>
      </c>
      <c r="J1437" s="115">
        <f>IF(tblIssues[[#This Row],[Qty Override]]&lt;&gt;"",tblIssues[[#This Row],[Qty Override]],IF(tblIssues[[#This Row],[Standard Issue]]="","",tblIssues[[#This Row],[Standard Issue]]))</f>
        <v>500</v>
      </c>
      <c r="K1437" s="20">
        <f>IF($F1437="","",IFERROR(INDEX(Items!$D$5:$D$597,MATCH($F1437,Items!$A$5:$A$597,0)),""))</f>
        <v>5.5E-2</v>
      </c>
      <c r="L1437" s="21">
        <f t="shared" si="250"/>
        <v>27.5</v>
      </c>
      <c r="M1437" s="9" t="str">
        <f t="shared" si="248"/>
        <v>ZIM502120713</v>
      </c>
      <c r="N1437" s="24">
        <f>IF($A1437="","",WORKDAY($A1437,Settings!$C$9,HolidayDates))</f>
        <v>46212</v>
      </c>
      <c r="O1437" s="24">
        <f>IF($N1437="","",WORKDAY($N1437,Settings!$C$10,HolidayDates))</f>
        <v>46252</v>
      </c>
      <c r="P1437" s="10" t="s">
        <v>501</v>
      </c>
      <c r="Q1437" s="52" t="str">
        <f t="shared" si="251"/>
        <v>Collected</v>
      </c>
      <c r="R1437" s="55" t="str">
        <f t="shared" si="252"/>
        <v>2026-07</v>
      </c>
      <c r="S1437" s="55">
        <f>IF(OR($B1437="",$F1437="",$R1437=""),"",SUMIFS(tblIssues[Qty Issued],tblIssues[Staff ID],$B1437,tblIssues[Item Name],$F1437,tblIssues[Month],$R1437))</f>
        <v>500</v>
      </c>
      <c r="T1437" s="56">
        <f>IF($I1437="","",$I1437*Settings!$C$11)</f>
        <v>500</v>
      </c>
      <c r="U1437" s="57" t="str">
        <f t="shared" si="249"/>
        <v>OK</v>
      </c>
      <c r="V1437" s="55" t="str">
        <f t="shared" si="253"/>
        <v/>
      </c>
      <c r="W1437" s="55" t="str">
        <f>IF($V1437="","",IF(COUNTIF($V$5:$V1437,$V1437)=1,1,""))</f>
        <v/>
      </c>
      <c r="X1437" s="58" t="str">
        <f>IF($W1437="","",MAX($X$4:X1436)+1)</f>
        <v/>
      </c>
      <c r="Y1437" s="62"/>
      <c r="Z1437" s="62"/>
      <c r="AA1437" s="64" t="str">
        <f>IF($C1437="","",IFERROR(INDEX('Staff Directory'!$E$5:$E$594,MATCH($C1437,'Staff Directory'!$B$5:$B$594,0)),""))</f>
        <v>firstname117.lastname117@example.com</v>
      </c>
      <c r="AB1437" s="64" t="str">
        <f>IF($C1437="","",IF(ISNUMBER(SEARCH($D1437,Settings!$C$15)),"Pickup","Dispatch"))</f>
        <v>Pickup</v>
      </c>
      <c r="AC1437" s="64" t="str">
        <f t="shared" si="254"/>
        <v>Supply order ready for pickup</v>
      </c>
      <c r="AD1437" s="64" t="str">
        <f t="shared" si="245"/>
        <v>Dear PSW,
Your order is ready for pickup from Sample Branch, Wed-Fri 9am-4pm.</v>
      </c>
      <c r="AE1437" s="64" t="str">
        <f t="shared" si="246"/>
        <v>mailto:firstname117.lastname117@example.com?subject=Supply%20order%20ready%20for%20pickup&amp;body=Dear%20PSW%2C%0A%0AYour%20order%20is%20ready%20for%20pickup%20from%20Sample%20Branch%2C%20Wed-Fri%209am-4pm.</v>
      </c>
      <c r="AF1437" s="89" t="str">
        <f t="shared" si="255"/>
        <v>Draft email</v>
      </c>
      <c r="AG1437" s="64" t="str">
        <f>IF($C1437="","",IFERROR(INDEX('Staff Directory'!$K$595:$K$599,MATCH($C1437,'Staff Directory'!$B$5:$B$599,0)),$D1437))</f>
        <v>PSW</v>
      </c>
      <c r="AH1437" t="str">
        <f>IF($C1437="","",IFERROR(INDEX('Staff Directory'!$I$595:$I$599,MATCH($C1437,'Staff Directory'!$B$5:$B$599,0))&amp;" "&amp;INDEX('Staff Directory'!$J$595:$J$599,MATCH($C1437,'Staff Directory'!$B$5:$B$599,0)),$AG1437))</f>
        <v>PSW</v>
      </c>
      <c r="AI1437" s="102"/>
      <c r="AJ1437" s="101">
        <f>IF($F1437="","",SUMIFS($J$5:$J1437,$F$5:$F1437,$F1437))</f>
        <v>2000</v>
      </c>
      <c r="AK1437" s="101">
        <f t="shared" si="247"/>
        <v>1501</v>
      </c>
      <c r="AL1437" s="66" t="str" cm="1">
        <f t="array" ref="AL1437">IF($F1437="","",IFERROR(INDEX('Lot Balance'!$B$5:$B$500,MATCH(1,INDEX(('Lot Balance'!$A$5:$A$500=$F1437)*('Lot Balance'!$K$5:$K$500&lt;$AK1437)*('Lot Balance'!$K$5:$K$500+'Lot Balance'!$D$5:$D$500&gt;=$AK1437),0),0)),""))</f>
        <v>ZIM502120713</v>
      </c>
      <c r="AM1437" s="66" t="str" cm="1">
        <f t="array" ref="AM1437">IF($F1437="","",IFERROR(INDEX('Lot Balance'!$B$5:$B$500,MATCH(1,INDEX(('Lot Balance'!$A$5:$A$500=$F1437)*('Lot Balance'!$K$5:$K$500&lt;$AJ1437)*('Lot Balance'!$K$5:$K$500+'Lot Balance'!$D$5:$D$500&gt;=$AJ1437),0),0)),""))</f>
        <v>ZIM502120713</v>
      </c>
      <c r="AN1437" s="66" t="str">
        <f>IF($F1437="","",IF($AI1437&lt;&gt;"",IF(COUNTIFS('Lot Balance'!$A$5:$A$500,$F1437,'Lot Balance'!$B$5:$B$500,$AI1437)=0,"⚠ override is not a lot of this item",IF($AI1437=$AL1437,"Override = FEFO","Override - FEFO says "&amp;$AL1437)),IF($AL1437="","⚠ no receipt on file for this item",IF($AM1437&lt;&gt;$AL1437,"FEFO auto - split, also "&amp;$AM1437,"FEFO auto"))))</f>
        <v>FEFO auto</v>
      </c>
      <c r="AO1437" s="114"/>
    </row>
    <row r="1438" spans="1:41" x14ac:dyDescent="0.35">
      <c r="A1438" s="74">
        <v>46204</v>
      </c>
      <c r="B1438" s="18" t="str">
        <f>IF($C1438="","",IFERROR(INDEX('Staff Directory'!$A$5:$A$594,MATCH($C1438,'Staff Directory'!$B$5:$B$594,0)),"⚠ unknown staff"))</f>
        <v>PSW-057-A5</v>
      </c>
      <c r="C1438" s="49" t="s">
        <v>1033</v>
      </c>
      <c r="D1438" s="19" t="str">
        <f>IF($B1438="","",IFERROR(INDEX('Staff Directory'!$C$5:$C$594,MATCH($B1438,'Staff Directory'!$A$5:$A$594,0)),""))</f>
        <v>PSW</v>
      </c>
      <c r="E1438" s="19" t="str">
        <f>IF($B1438="","",IFERROR(INDEX('Staff Directory'!$D$5:$D$594,MATCH($B1438,'Staff Directory'!$A$5:$A$594,0)),""))</f>
        <v>A5</v>
      </c>
      <c r="F1438" s="9" t="s">
        <v>191</v>
      </c>
      <c r="G1438" s="18" t="str">
        <f>IF($F1438="","",IFERROR(INDEX(Items!$B$5:$B$597,MATCH($F1438,Items!$A$5:$A$597,0)),"⚠ not in Items"))</f>
        <v>Sanitizer</v>
      </c>
      <c r="H1438" s="19" t="str">
        <f>IF($F1438="","",IFERROR(INDEX(Items!$C$5:$C$597,MATCH($F1438,Items!$A$5:$A$597,0)),""))</f>
        <v>236 ML</v>
      </c>
      <c r="I1438" s="23">
        <f>IF($F1438="","",IFERROR(INDEX(Items!$E$5:$E$597,MATCH($F1438,Items!$A$5:$A$597,0)),""))</f>
        <v>1</v>
      </c>
      <c r="J1438" s="115">
        <f>IF(tblIssues[[#This Row],[Qty Override]]&lt;&gt;"",tblIssues[[#This Row],[Qty Override]],IF(tblIssues[[#This Row],[Standard Issue]]="","",tblIssues[[#This Row],[Standard Issue]]))</f>
        <v>1</v>
      </c>
      <c r="K1438" s="20">
        <f>IF($F1438="","",IFERROR(INDEX(Items!$D$5:$D$597,MATCH($F1438,Items!$A$5:$A$597,0)),""))</f>
        <v>1E-4</v>
      </c>
      <c r="L1438" s="21">
        <f t="shared" si="250"/>
        <v>1E-4</v>
      </c>
      <c r="M1438" s="9" t="str">
        <f t="shared" si="248"/>
        <v/>
      </c>
      <c r="N1438" s="24">
        <f>IF($A1438="","",WORKDAY($A1438,Settings!$C$9,HolidayDates))</f>
        <v>46212</v>
      </c>
      <c r="O1438" s="24">
        <f>IF($N1438="","",WORKDAY($N1438,Settings!$C$10,HolidayDates))</f>
        <v>46252</v>
      </c>
      <c r="P1438" s="10" t="s">
        <v>501</v>
      </c>
      <c r="Q1438" s="52" t="str">
        <f t="shared" si="251"/>
        <v>Collected</v>
      </c>
      <c r="R1438" s="55" t="str">
        <f t="shared" si="252"/>
        <v>2026-07</v>
      </c>
      <c r="S1438" s="55">
        <f>IF(OR($B1438="",$F1438="",$R1438=""),"",SUMIFS(tblIssues[Qty Issued],tblIssues[Staff ID],$B1438,tblIssues[Item Name],$F1438,tblIssues[Month],$R1438))</f>
        <v>1</v>
      </c>
      <c r="T1438" s="56">
        <f>IF($I1438="","",$I1438*Settings!$C$11)</f>
        <v>1</v>
      </c>
      <c r="U1438" s="57" t="str">
        <f t="shared" si="249"/>
        <v>OK</v>
      </c>
      <c r="V1438" s="55" t="str">
        <f t="shared" si="253"/>
        <v/>
      </c>
      <c r="W1438" s="55" t="str">
        <f>IF($V1438="","",IF(COUNTIF($V$5:$V1438,$V1438)=1,1,""))</f>
        <v/>
      </c>
      <c r="X1438" s="58" t="str">
        <f>IF($W1438="","",MAX($X$4:X1437)+1)</f>
        <v/>
      </c>
      <c r="Y1438" s="62"/>
      <c r="Z1438" s="62"/>
      <c r="AA1438" s="64" t="str">
        <f>IF($C1438="","",IFERROR(INDEX('Staff Directory'!$E$5:$E$594,MATCH($C1438,'Staff Directory'!$B$5:$B$594,0)),""))</f>
        <v>firstname117.lastname117@example.com</v>
      </c>
      <c r="AB1438" s="64" t="str">
        <f>IF($C1438="","",IF(ISNUMBER(SEARCH($D1438,Settings!$C$15)),"Pickup","Dispatch"))</f>
        <v>Pickup</v>
      </c>
      <c r="AC1438" s="64" t="str">
        <f t="shared" si="254"/>
        <v>Supply order ready for pickup</v>
      </c>
      <c r="AD1438" s="64" t="str">
        <f t="shared" si="245"/>
        <v>Dear PSW,
Your order is ready for pickup from Sample Branch, Wed-Fri 9am-4pm.</v>
      </c>
      <c r="AE1438" s="64" t="str">
        <f t="shared" si="246"/>
        <v>mailto:firstname117.lastname117@example.com?subject=Supply%20order%20ready%20for%20pickup&amp;body=Dear%20PSW%2C%0A%0AYour%20order%20is%20ready%20for%20pickup%20from%20Sample%20Branch%2C%20Wed-Fri%209am-4pm.</v>
      </c>
      <c r="AF1438" s="89" t="str">
        <f t="shared" si="255"/>
        <v>Draft email</v>
      </c>
      <c r="AG1438" s="64" t="str">
        <f>IF($C1438="","",IFERROR(INDEX('Staff Directory'!$K$595:$K$599,MATCH($C1438,'Staff Directory'!$B$5:$B$599,0)),$D1438))</f>
        <v>PSW</v>
      </c>
      <c r="AH1438" t="str">
        <f>IF($C1438="","",IFERROR(INDEX('Staff Directory'!$I$595:$I$599,MATCH($C1438,'Staff Directory'!$B$5:$B$599,0))&amp;" "&amp;INDEX('Staff Directory'!$J$595:$J$599,MATCH($C1438,'Staff Directory'!$B$5:$B$599,0)),$AG1438))</f>
        <v>PSW</v>
      </c>
      <c r="AI1438" s="102"/>
      <c r="AJ1438" s="101">
        <f>IF($F1438="","",SUMIFS($J$5:$J1438,$F$5:$F1438,$F1438))</f>
        <v>196</v>
      </c>
      <c r="AK1438" s="101">
        <f t="shared" si="247"/>
        <v>196</v>
      </c>
      <c r="AL1438" s="66" t="str" cm="1">
        <f t="array" ref="AL1438">IF($F1438="","",IFERROR(INDEX('Lot Balance'!$B$5:$B$500,MATCH(1,INDEX(('Lot Balance'!$A$5:$A$500=$F1438)*('Lot Balance'!$K$5:$K$500&lt;$AK1438)*('Lot Balance'!$K$5:$K$500+'Lot Balance'!$D$5:$D$500&gt;=$AK1438),0),0)),""))</f>
        <v/>
      </c>
      <c r="AM1438" s="66" t="str" cm="1">
        <f t="array" ref="AM1438">IF($F1438="","",IFERROR(INDEX('Lot Balance'!$B$5:$B$500,MATCH(1,INDEX(('Lot Balance'!$A$5:$A$500=$F1438)*('Lot Balance'!$K$5:$K$500&lt;$AJ1438)*('Lot Balance'!$K$5:$K$500+'Lot Balance'!$D$5:$D$500&gt;=$AJ1438),0),0)),""))</f>
        <v/>
      </c>
      <c r="AN1438" s="66" t="str">
        <f>IF($F1438="","",IF($AI1438&lt;&gt;"",IF(COUNTIFS('Lot Balance'!$A$5:$A$500,$F1438,'Lot Balance'!$B$5:$B$500,$AI1438)=0,"⚠ override is not a lot of this item",IF($AI1438=$AL1438,"Override = FEFO","Override - FEFO says "&amp;$AL1438)),IF($AL1438="","⚠ no receipt on file for this item",IF($AM1438&lt;&gt;$AL1438,"FEFO auto - split, also "&amp;$AM1438,"FEFO auto"))))</f>
        <v>⚠ no receipt on file for this item</v>
      </c>
      <c r="AO1438" s="114"/>
    </row>
    <row r="1439" spans="1:41" x14ac:dyDescent="0.35">
      <c r="A1439" s="74">
        <v>46204</v>
      </c>
      <c r="B1439" s="18" t="str">
        <f>IF($C1439="","",IFERROR(INDEX('Staff Directory'!$A$5:$A$594,MATCH($C1439,'Staff Directory'!$B$5:$B$594,0)),"⚠ unknown staff"))</f>
        <v>PSW-057-A5</v>
      </c>
      <c r="C1439" s="49" t="s">
        <v>1033</v>
      </c>
      <c r="D1439" s="19" t="str">
        <f>IF($B1439="","",IFERROR(INDEX('Staff Directory'!$C$5:$C$594,MATCH($B1439,'Staff Directory'!$A$5:$A$594,0)),""))</f>
        <v>PSW</v>
      </c>
      <c r="E1439" s="19" t="str">
        <f>IF($B1439="","",IFERROR(INDEX('Staff Directory'!$D$5:$D$594,MATCH($B1439,'Staff Directory'!$A$5:$A$594,0)),""))</f>
        <v>A5</v>
      </c>
      <c r="F1439" s="9" t="s">
        <v>115</v>
      </c>
      <c r="G1439" s="18" t="str">
        <f>IF($F1439="","",IFERROR(INDEX(Items!$B$5:$B$597,MATCH($F1439,Items!$A$5:$A$597,0)),"⚠ not in Items"))</f>
        <v>Wipes</v>
      </c>
      <c r="H1439" s="19">
        <f>IF($F1439="","",IFERROR(INDEX(Items!$C$5:$C$597,MATCH($F1439,Items!$A$5:$A$597,0)),""))</f>
        <v>80</v>
      </c>
      <c r="I1439" s="23">
        <f>IF($F1439="","",IFERROR(INDEX(Items!$E$5:$E$597,MATCH($F1439,Items!$A$5:$A$597,0)),""))</f>
        <v>80</v>
      </c>
      <c r="J1439" s="115">
        <f>IF(tblIssues[[#This Row],[Qty Override]]&lt;&gt;"",tblIssues[[#This Row],[Qty Override]],IF(tblIssues[[#This Row],[Standard Issue]]="","",tblIssues[[#This Row],[Standard Issue]]))</f>
        <v>80</v>
      </c>
      <c r="K1439" s="20">
        <f>IF($F1439="","",IFERROR(INDEX(Items!$D$5:$D$597,MATCH($F1439,Items!$A$5:$A$597,0)),""))</f>
        <v>0.1</v>
      </c>
      <c r="L1439" s="21">
        <f t="shared" si="250"/>
        <v>8</v>
      </c>
      <c r="M1439" s="9" t="str">
        <f t="shared" si="248"/>
        <v>LYSL500290</v>
      </c>
      <c r="N1439" s="24">
        <f>IF($A1439="","",WORKDAY($A1439,Settings!$C$9,HolidayDates))</f>
        <v>46212</v>
      </c>
      <c r="O1439" s="24">
        <f>IF($N1439="","",WORKDAY($N1439,Settings!$C$10,HolidayDates))</f>
        <v>46252</v>
      </c>
      <c r="P1439" s="10" t="s">
        <v>501</v>
      </c>
      <c r="Q1439" s="52" t="str">
        <f t="shared" si="251"/>
        <v>Collected</v>
      </c>
      <c r="R1439" s="55" t="str">
        <f t="shared" si="252"/>
        <v>2026-07</v>
      </c>
      <c r="S1439" s="55">
        <f>IF(OR($B1439="",$F1439="",$R1439=""),"",SUMIFS(tblIssues[Qty Issued],tblIssues[Staff ID],$B1439,tblIssues[Item Name],$F1439,tblIssues[Month],$R1439))</f>
        <v>80</v>
      </c>
      <c r="T1439" s="56">
        <f>IF($I1439="","",$I1439*Settings!$C$11)</f>
        <v>80</v>
      </c>
      <c r="U1439" s="57" t="str">
        <f t="shared" si="249"/>
        <v>OK</v>
      </c>
      <c r="V1439" s="55" t="str">
        <f t="shared" si="253"/>
        <v/>
      </c>
      <c r="W1439" s="55" t="str">
        <f>IF($V1439="","",IF(COUNTIF($V$5:$V1439,$V1439)=1,1,""))</f>
        <v/>
      </c>
      <c r="X1439" s="58" t="str">
        <f>IF($W1439="","",MAX($X$4:X1438)+1)</f>
        <v/>
      </c>
      <c r="Y1439" s="62"/>
      <c r="Z1439" s="62"/>
      <c r="AA1439" s="64" t="str">
        <f>IF($C1439="","",IFERROR(INDEX('Staff Directory'!$E$5:$E$594,MATCH($C1439,'Staff Directory'!$B$5:$B$594,0)),""))</f>
        <v>firstname117.lastname117@example.com</v>
      </c>
      <c r="AB1439" s="64" t="str">
        <f>IF($C1439="","",IF(ISNUMBER(SEARCH($D1439,Settings!$C$15)),"Pickup","Dispatch"))</f>
        <v>Pickup</v>
      </c>
      <c r="AC1439" s="64" t="str">
        <f t="shared" si="254"/>
        <v>Supply order ready for pickup</v>
      </c>
      <c r="AD1439" s="64" t="str">
        <f t="shared" si="245"/>
        <v>Dear PSW,
Your order is ready for pickup from Sample Branch, Wed-Fri 9am-4pm.</v>
      </c>
      <c r="AE1439" s="64" t="str">
        <f t="shared" si="246"/>
        <v>mailto:firstname117.lastname117@example.com?subject=Supply%20order%20ready%20for%20pickup&amp;body=Dear%20PSW%2C%0A%0AYour%20order%20is%20ready%20for%20pickup%20from%20Sample%20Branch%2C%20Wed-Fri%209am-4pm.</v>
      </c>
      <c r="AF1439" s="89" t="str">
        <f t="shared" si="255"/>
        <v>Draft email</v>
      </c>
      <c r="AG1439" s="64" t="str">
        <f>IF($C1439="","",IFERROR(INDEX('Staff Directory'!$K$595:$K$599,MATCH($C1439,'Staff Directory'!$B$5:$B$599,0)),$D1439))</f>
        <v>PSW</v>
      </c>
      <c r="AH1439" t="str">
        <f>IF($C1439="","",IFERROR(INDEX('Staff Directory'!$I$595:$I$599,MATCH($C1439,'Staff Directory'!$B$5:$B$599,0))&amp;" "&amp;INDEX('Staff Directory'!$J$595:$J$599,MATCH($C1439,'Staff Directory'!$B$5:$B$599,0)),$AG1439))</f>
        <v>PSW</v>
      </c>
      <c r="AI1439" s="102"/>
      <c r="AJ1439" s="101">
        <f>IF($F1439="","",SUMIFS($J$5:$J1439,$F$5:$F1439,$F1439))</f>
        <v>19920</v>
      </c>
      <c r="AK1439" s="101">
        <f t="shared" si="247"/>
        <v>19841</v>
      </c>
      <c r="AL1439" s="66" t="str" cm="1">
        <f t="array" ref="AL1439">IF($F1439="","",IFERROR(INDEX('Lot Balance'!$B$5:$B$500,MATCH(1,INDEX(('Lot Balance'!$A$5:$A$500=$F1439)*('Lot Balance'!$K$5:$K$500&lt;$AK1439)*('Lot Balance'!$K$5:$K$500+'Lot Balance'!$D$5:$D$500&gt;=$AK1439),0),0)),""))</f>
        <v>LYSL500290</v>
      </c>
      <c r="AM1439" s="66" t="str" cm="1">
        <f t="array" ref="AM1439">IF($F1439="","",IFERROR(INDEX('Lot Balance'!$B$5:$B$500,MATCH(1,INDEX(('Lot Balance'!$A$5:$A$500=$F1439)*('Lot Balance'!$K$5:$K$500&lt;$AJ1439)*('Lot Balance'!$K$5:$K$500+'Lot Balance'!$D$5:$D$500&gt;=$AJ1439),0),0)),""))</f>
        <v>LYSL500290</v>
      </c>
      <c r="AN1439" s="66" t="str">
        <f>IF($F1439="","",IF($AI1439&lt;&gt;"",IF(COUNTIFS('Lot Balance'!$A$5:$A$500,$F1439,'Lot Balance'!$B$5:$B$500,$AI1439)=0,"⚠ override is not a lot of this item",IF($AI1439=$AL1439,"Override = FEFO","Override - FEFO says "&amp;$AL1439)),IF($AL1439="","⚠ no receipt on file for this item",IF($AM1439&lt;&gt;$AL1439,"FEFO auto - split, also "&amp;$AM1439,"FEFO auto"))))</f>
        <v>FEFO auto</v>
      </c>
      <c r="AO1439" s="114"/>
    </row>
    <row r="1440" spans="1:41" x14ac:dyDescent="0.35">
      <c r="A1440" s="74">
        <v>46204</v>
      </c>
      <c r="B1440" s="18" t="str">
        <f>IF($C1440="","",IFERROR(INDEX('Staff Directory'!$A$5:$A$594,MATCH($C1440,'Staff Directory'!$B$5:$B$594,0)),"⚠ unknown staff"))</f>
        <v>PSW-057-A5</v>
      </c>
      <c r="C1440" s="49" t="s">
        <v>1033</v>
      </c>
      <c r="D1440" s="19" t="str">
        <f>IF($B1440="","",IFERROR(INDEX('Staff Directory'!$C$5:$C$594,MATCH($B1440,'Staff Directory'!$A$5:$A$594,0)),""))</f>
        <v>PSW</v>
      </c>
      <c r="E1440" s="19" t="str">
        <f>IF($B1440="","",IFERROR(INDEX('Staff Directory'!$D$5:$D$594,MATCH($B1440,'Staff Directory'!$A$5:$A$594,0)),""))</f>
        <v>A5</v>
      </c>
      <c r="F1440" s="9" t="s">
        <v>156</v>
      </c>
      <c r="G1440" s="18" t="str">
        <f>IF($F1440="","",IFERROR(INDEX(Items!$B$5:$B$597,MATCH($F1440,Items!$A$5:$A$597,0)),"⚠ not in Items"))</f>
        <v>Masks</v>
      </c>
      <c r="H1440" s="19" t="str">
        <f>IF($F1440="","",IFERROR(INDEX(Items!$C$5:$C$597,MATCH($F1440,Items!$A$5:$A$597,0)),""))</f>
        <v>One Size</v>
      </c>
      <c r="I1440" s="23">
        <f>IF($F1440="","",IFERROR(INDEX(Items!$E$5:$E$597,MATCH($F1440,Items!$A$5:$A$597,0)),""))</f>
        <v>50</v>
      </c>
      <c r="J1440" s="115">
        <f>IF(tblIssues[[#This Row],[Qty Override]]&lt;&gt;"",tblIssues[[#This Row],[Qty Override]],IF(tblIssues[[#This Row],[Standard Issue]]="","",tblIssues[[#This Row],[Standard Issue]]))</f>
        <v>50</v>
      </c>
      <c r="K1440" s="20">
        <f>IF($F1440="","",IFERROR(INDEX(Items!$D$5:$D$597,MATCH($F1440,Items!$A$5:$A$597,0)),""))</f>
        <v>0.25</v>
      </c>
      <c r="L1440" s="21">
        <f t="shared" si="250"/>
        <v>12.5</v>
      </c>
      <c r="M1440" s="9" t="str">
        <f t="shared" si="248"/>
        <v>24HA2050A7396</v>
      </c>
      <c r="N1440" s="24">
        <f>IF($A1440="","",WORKDAY($A1440,Settings!$C$9,HolidayDates))</f>
        <v>46212</v>
      </c>
      <c r="O1440" s="24">
        <f>IF($N1440="","",WORKDAY($N1440,Settings!$C$10,HolidayDates))</f>
        <v>46252</v>
      </c>
      <c r="P1440" s="10" t="s">
        <v>501</v>
      </c>
      <c r="Q1440" s="52" t="str">
        <f t="shared" si="251"/>
        <v>Collected</v>
      </c>
      <c r="R1440" s="55" t="str">
        <f t="shared" si="252"/>
        <v>2026-07</v>
      </c>
      <c r="S1440" s="55">
        <f>IF(OR($B1440="",$F1440="",$R1440=""),"",SUMIFS(tblIssues[Qty Issued],tblIssues[Staff ID],$B1440,tblIssues[Item Name],$F1440,tblIssues[Month],$R1440))</f>
        <v>50</v>
      </c>
      <c r="T1440" s="56">
        <f>IF($I1440="","",$I1440*Settings!$C$11)</f>
        <v>50</v>
      </c>
      <c r="U1440" s="57" t="str">
        <f t="shared" si="249"/>
        <v>OK</v>
      </c>
      <c r="V1440" s="55" t="str">
        <f t="shared" si="253"/>
        <v/>
      </c>
      <c r="W1440" s="55" t="str">
        <f>IF($V1440="","",IF(COUNTIF($V$5:$V1440,$V1440)=1,1,""))</f>
        <v/>
      </c>
      <c r="X1440" s="58" t="str">
        <f>IF($W1440="","",MAX($X$4:X1439)+1)</f>
        <v/>
      </c>
      <c r="Y1440" s="62"/>
      <c r="Z1440" s="62"/>
      <c r="AA1440" s="64" t="str">
        <f>IF($C1440="","",IFERROR(INDEX('Staff Directory'!$E$5:$E$594,MATCH($C1440,'Staff Directory'!$B$5:$B$594,0)),""))</f>
        <v>firstname117.lastname117@example.com</v>
      </c>
      <c r="AB1440" s="64" t="str">
        <f>IF($C1440="","",IF(ISNUMBER(SEARCH($D1440,Settings!$C$15)),"Pickup","Dispatch"))</f>
        <v>Pickup</v>
      </c>
      <c r="AC1440" s="64" t="str">
        <f t="shared" si="254"/>
        <v>Supply order ready for pickup</v>
      </c>
      <c r="AD1440" s="64" t="str">
        <f t="shared" si="245"/>
        <v>Dear PSW,
Your order is ready for pickup from Sample Branch, Wed-Fri 9am-4pm.</v>
      </c>
      <c r="AE1440" s="64" t="str">
        <f t="shared" si="246"/>
        <v>mailto:firstname117.lastname117@example.com?subject=Supply%20order%20ready%20for%20pickup&amp;body=Dear%20PSW%2C%0A%0AYour%20order%20is%20ready%20for%20pickup%20from%20Sample%20Branch%2C%20Wed-Fri%209am-4pm.</v>
      </c>
      <c r="AF1440" s="89" t="str">
        <f t="shared" si="255"/>
        <v>Draft email</v>
      </c>
      <c r="AG1440" s="64" t="str">
        <f>IF($C1440="","",IFERROR(INDEX('Staff Directory'!$K$595:$K$599,MATCH($C1440,'Staff Directory'!$B$5:$B$599,0)),$D1440))</f>
        <v>PSW</v>
      </c>
      <c r="AH1440" t="str">
        <f>IF($C1440="","",IFERROR(INDEX('Staff Directory'!$I$595:$I$599,MATCH($C1440,'Staff Directory'!$B$5:$B$599,0))&amp;" "&amp;INDEX('Staff Directory'!$J$595:$J$599,MATCH($C1440,'Staff Directory'!$B$5:$B$599,0)),$AG1440))</f>
        <v>PSW</v>
      </c>
      <c r="AI1440" s="102"/>
      <c r="AJ1440" s="101">
        <f>IF($F1440="","",SUMIFS($J$5:$J1440,$F$5:$F1440,$F1440))</f>
        <v>12600</v>
      </c>
      <c r="AK1440" s="101">
        <f t="shared" si="247"/>
        <v>12551</v>
      </c>
      <c r="AL1440" s="66" t="str" cm="1">
        <f t="array" ref="AL1440">IF($F1440="","",IFERROR(INDEX('Lot Balance'!$B$5:$B$500,MATCH(1,INDEX(('Lot Balance'!$A$5:$A$500=$F1440)*('Lot Balance'!$K$5:$K$500&lt;$AK1440)*('Lot Balance'!$K$5:$K$500+'Lot Balance'!$D$5:$D$500&gt;=$AK1440),0),0)),""))</f>
        <v>24HA2050A7396</v>
      </c>
      <c r="AM1440" s="66" t="str" cm="1">
        <f t="array" ref="AM1440">IF($F1440="","",IFERROR(INDEX('Lot Balance'!$B$5:$B$500,MATCH(1,INDEX(('Lot Balance'!$A$5:$A$500=$F1440)*('Lot Balance'!$K$5:$K$500&lt;$AJ1440)*('Lot Balance'!$K$5:$K$500+'Lot Balance'!$D$5:$D$500&gt;=$AJ1440),0),0)),""))</f>
        <v>24HA2050A7396</v>
      </c>
      <c r="AN1440" s="66" t="str">
        <f>IF($F1440="","",IF($AI1440&lt;&gt;"",IF(COUNTIFS('Lot Balance'!$A$5:$A$500,$F1440,'Lot Balance'!$B$5:$B$500,$AI1440)=0,"⚠ override is not a lot of this item",IF($AI1440=$AL1440,"Override = FEFO","Override - FEFO says "&amp;$AL1440)),IF($AL1440="","⚠ no receipt on file for this item",IF($AM1440&lt;&gt;$AL1440,"FEFO auto - split, also "&amp;$AM1440,"FEFO auto"))))</f>
        <v>FEFO auto</v>
      </c>
      <c r="AO1440" s="114"/>
    </row>
    <row r="1441" spans="1:41" x14ac:dyDescent="0.35">
      <c r="A1441" s="74">
        <v>46204</v>
      </c>
      <c r="B1441" s="18" t="str">
        <f>IF($C1441="","",IFERROR(INDEX('Staff Directory'!$A$5:$A$594,MATCH($C1441,'Staff Directory'!$B$5:$B$594,0)),"⚠ unknown staff"))</f>
        <v>PSW-057-A5</v>
      </c>
      <c r="C1441" s="49" t="s">
        <v>1033</v>
      </c>
      <c r="D1441" s="19" t="str">
        <f>IF($B1441="","",IFERROR(INDEX('Staff Directory'!$C$5:$C$594,MATCH($B1441,'Staff Directory'!$A$5:$A$594,0)),""))</f>
        <v>PSW</v>
      </c>
      <c r="E1441" s="19" t="str">
        <f>IF($B1441="","",IFERROR(INDEX('Staff Directory'!$D$5:$D$594,MATCH($B1441,'Staff Directory'!$A$5:$A$594,0)),""))</f>
        <v>A5</v>
      </c>
      <c r="F1441" s="9" t="s">
        <v>758</v>
      </c>
      <c r="G1441" s="18" t="str">
        <f>IF($F1441="","",IFERROR(INDEX(Items!$B$5:$B$597,MATCH($F1441,Items!$A$5:$A$597,0)),"⚠ not in Items"))</f>
        <v>Utility</v>
      </c>
      <c r="H1441" s="19" t="str">
        <f>IF($F1441="","",IFERROR(INDEX(Items!$C$5:$C$597,MATCH($F1441,Items!$A$5:$A$597,0)),""))</f>
        <v>Standard</v>
      </c>
      <c r="I1441" s="23">
        <f>IF($F1441="","",IFERROR(INDEX(Items!$E$5:$E$597,MATCH($F1441,Items!$A$5:$A$597,0)),""))</f>
        <v>1</v>
      </c>
      <c r="J1441" s="115">
        <f>IF(tblIssues[[#This Row],[Qty Override]]&lt;&gt;"",tblIssues[[#This Row],[Qty Override]],IF(tblIssues[[#This Row],[Standard Issue]]="","",tblIssues[[#This Row],[Standard Issue]]))</f>
        <v>1</v>
      </c>
      <c r="K1441" s="20">
        <f>IF($F1441="","",IFERROR(INDEX(Items!$D$5:$D$597,MATCH($F1441,Items!$A$5:$A$597,0)),""))</f>
        <v>0</v>
      </c>
      <c r="L1441" s="21">
        <f t="shared" si="250"/>
        <v>0</v>
      </c>
      <c r="M1441" s="9" t="str">
        <f t="shared" si="248"/>
        <v/>
      </c>
      <c r="N1441" s="24">
        <f>IF($A1441="","",WORKDAY($A1441,Settings!$C$9,HolidayDates))</f>
        <v>46212</v>
      </c>
      <c r="O1441" s="24">
        <f>IF($N1441="","",WORKDAY($N1441,Settings!$C$10,HolidayDates))</f>
        <v>46252</v>
      </c>
      <c r="P1441" s="10" t="s">
        <v>501</v>
      </c>
      <c r="Q1441" s="52" t="str">
        <f t="shared" si="251"/>
        <v>Collected</v>
      </c>
      <c r="R1441" s="55" t="str">
        <f t="shared" si="252"/>
        <v>2026-07</v>
      </c>
      <c r="S1441" s="55">
        <f>IF(OR($B1441="",$F1441="",$R1441=""),"",SUMIFS(tblIssues[Qty Issued],tblIssues[Staff ID],$B1441,tblIssues[Item Name],$F1441,tblIssues[Month],$R1441))</f>
        <v>1</v>
      </c>
      <c r="T1441" s="56">
        <f>IF($I1441="","",$I1441*Settings!$C$11)</f>
        <v>1</v>
      </c>
      <c r="U1441" s="57" t="str">
        <f t="shared" si="249"/>
        <v>OK</v>
      </c>
      <c r="V1441" s="55" t="str">
        <f t="shared" si="253"/>
        <v/>
      </c>
      <c r="W1441" s="55" t="str">
        <f>IF($V1441="","",IF(COUNTIF($V$5:$V1441,$V1441)=1,1,""))</f>
        <v/>
      </c>
      <c r="X1441" s="58" t="str">
        <f>IF($W1441="","",MAX($X$4:X1440)+1)</f>
        <v/>
      </c>
      <c r="Y1441" s="62"/>
      <c r="Z1441" s="62"/>
      <c r="AA1441" s="64" t="str">
        <f>IF($C1441="","",IFERROR(INDEX('Staff Directory'!$E$5:$E$594,MATCH($C1441,'Staff Directory'!$B$5:$B$594,0)),""))</f>
        <v>firstname117.lastname117@example.com</v>
      </c>
      <c r="AB1441" s="64" t="str">
        <f>IF($C1441="","",IF(ISNUMBER(SEARCH($D1441,Settings!$C$15)),"Pickup","Dispatch"))</f>
        <v>Pickup</v>
      </c>
      <c r="AC1441" s="64" t="str">
        <f t="shared" si="254"/>
        <v>Supply order ready for pickup</v>
      </c>
      <c r="AD1441" s="64" t="str">
        <f t="shared" si="245"/>
        <v>Dear PSW,
Your order is ready for pickup from Sample Branch, Wed-Fri 9am-4pm.</v>
      </c>
      <c r="AE1441" s="64" t="str">
        <f t="shared" si="246"/>
        <v>mailto:firstname117.lastname117@example.com?subject=Supply%20order%20ready%20for%20pickup&amp;body=Dear%20PSW%2C%0A%0AYour%20order%20is%20ready%20for%20pickup%20from%20Sample%20Branch%2C%20Wed-Fri%209am-4pm.</v>
      </c>
      <c r="AF1441" s="89" t="str">
        <f t="shared" si="255"/>
        <v>Draft email</v>
      </c>
      <c r="AG1441" s="64" t="str">
        <f>IF($C1441="","",IFERROR(INDEX('Staff Directory'!$K$595:$K$599,MATCH($C1441,'Staff Directory'!$B$5:$B$599,0)),$D1441))</f>
        <v>PSW</v>
      </c>
      <c r="AH1441" t="str">
        <f>IF($C1441="","",IFERROR(INDEX('Staff Directory'!$I$595:$I$599,MATCH($C1441,'Staff Directory'!$B$5:$B$599,0))&amp;" "&amp;INDEX('Staff Directory'!$J$595:$J$599,MATCH($C1441,'Staff Directory'!$B$5:$B$599,0)),$AG1441))</f>
        <v>PSW</v>
      </c>
      <c r="AI1441" s="102"/>
      <c r="AJ1441" s="101">
        <f>IF($F1441="","",SUMIFS($J$5:$J1441,$F$5:$F1441,$F1441))</f>
        <v>17</v>
      </c>
      <c r="AK1441" s="101">
        <f t="shared" si="247"/>
        <v>17</v>
      </c>
      <c r="AL1441" s="66" t="str" cm="1">
        <f t="array" ref="AL1441">IF($F1441="","",IFERROR(INDEX('Lot Balance'!$B$5:$B$500,MATCH(1,INDEX(('Lot Balance'!$A$5:$A$500=$F1441)*('Lot Balance'!$K$5:$K$500&lt;$AK1441)*('Lot Balance'!$K$5:$K$500+'Lot Balance'!$D$5:$D$500&gt;=$AK1441),0),0)),""))</f>
        <v/>
      </c>
      <c r="AM1441" s="66" t="str" cm="1">
        <f t="array" ref="AM1441">IF($F1441="","",IFERROR(INDEX('Lot Balance'!$B$5:$B$500,MATCH(1,INDEX(('Lot Balance'!$A$5:$A$500=$F1441)*('Lot Balance'!$K$5:$K$500&lt;$AJ1441)*('Lot Balance'!$K$5:$K$500+'Lot Balance'!$D$5:$D$500&gt;=$AJ1441),0),0)),""))</f>
        <v/>
      </c>
      <c r="AN1441" s="66" t="str">
        <f>IF($F1441="","",IF($AI1441&lt;&gt;"",IF(COUNTIFS('Lot Balance'!$A$5:$A$500,$F1441,'Lot Balance'!$B$5:$B$500,$AI1441)=0,"⚠ override is not a lot of this item",IF($AI1441=$AL1441,"Override = FEFO","Override - FEFO says "&amp;$AL1441)),IF($AL1441="","⚠ no receipt on file for this item",IF($AM1441&lt;&gt;$AL1441,"FEFO auto - split, also "&amp;$AM1441,"FEFO auto"))))</f>
        <v>⚠ no receipt on file for this item</v>
      </c>
      <c r="AO1441" s="114"/>
    </row>
    <row r="1442" spans="1:41" x14ac:dyDescent="0.35">
      <c r="A1442" s="74">
        <v>46204</v>
      </c>
      <c r="B1442" s="18" t="str">
        <f>IF($C1442="","",IFERROR(INDEX('Staff Directory'!$A$5:$A$594,MATCH($C1442,'Staff Directory'!$B$5:$B$594,0)),"⚠ unknown staff"))</f>
        <v>PSW-127-A6</v>
      </c>
      <c r="C1442" s="49" t="s">
        <v>1106</v>
      </c>
      <c r="D1442" s="19" t="str">
        <f>IF($B1442="","",IFERROR(INDEX('Staff Directory'!$C$5:$C$594,MATCH($B1442,'Staff Directory'!$A$5:$A$594,0)),""))</f>
        <v>PSW</v>
      </c>
      <c r="E1442" s="19" t="str">
        <f>IF($B1442="","",IFERROR(INDEX('Staff Directory'!$D$5:$D$594,MATCH($B1442,'Staff Directory'!$A$5:$A$594,0)),""))</f>
        <v>A6</v>
      </c>
      <c r="F1442" s="9" t="s">
        <v>127</v>
      </c>
      <c r="G1442" s="18" t="str">
        <f>IF($F1442="","",IFERROR(INDEX(Items!$B$5:$B$597,MATCH($F1442,Items!$A$5:$A$597,0)),"⚠ not in Items"))</f>
        <v>Gloves</v>
      </c>
      <c r="H1442" s="19" t="str">
        <f>IF($F1442="","",IFERROR(INDEX(Items!$C$5:$C$597,MATCH($F1442,Items!$A$5:$A$597,0)),""))</f>
        <v>Medium</v>
      </c>
      <c r="I1442" s="23">
        <f>IF($F1442="","",IFERROR(INDEX(Items!$E$5:$E$597,MATCH($F1442,Items!$A$5:$A$597,0)),""))</f>
        <v>500</v>
      </c>
      <c r="J1442" s="115">
        <f>IF(tblIssues[[#This Row],[Qty Override]]&lt;&gt;"",tblIssues[[#This Row],[Qty Override]],IF(tblIssues[[#This Row],[Standard Issue]]="","",tblIssues[[#This Row],[Standard Issue]]))</f>
        <v>500</v>
      </c>
      <c r="K1442" s="20">
        <f>IF($F1442="","",IFERROR(INDEX(Items!$D$5:$D$597,MATCH($F1442,Items!$A$5:$A$597,0)),""))</f>
        <v>5.5E-2</v>
      </c>
      <c r="L1442" s="21">
        <f t="shared" si="250"/>
        <v>27.5</v>
      </c>
      <c r="M1442" s="9" t="str">
        <f t="shared" si="248"/>
        <v>ZIM510137962-2</v>
      </c>
      <c r="N1442" s="24">
        <f>IF($A1442="","",WORKDAY($A1442,Settings!$C$9,HolidayDates))</f>
        <v>46212</v>
      </c>
      <c r="O1442" s="24">
        <f>IF($N1442="","",WORKDAY($N1442,Settings!$C$10,HolidayDates))</f>
        <v>46252</v>
      </c>
      <c r="P1442" s="10" t="s">
        <v>501</v>
      </c>
      <c r="Q1442" s="52" t="str">
        <f t="shared" si="251"/>
        <v>Collected</v>
      </c>
      <c r="R1442" s="55" t="str">
        <f t="shared" si="252"/>
        <v>2026-07</v>
      </c>
      <c r="S1442" s="55">
        <f>IF(OR($B1442="",$F1442="",$R1442=""),"",SUMIFS(tblIssues[Qty Issued],tblIssues[Staff ID],$B1442,tblIssues[Item Name],$F1442,tblIssues[Month],$R1442))</f>
        <v>500</v>
      </c>
      <c r="T1442" s="56">
        <f>IF($I1442="","",$I1442*Settings!$C$11)</f>
        <v>500</v>
      </c>
      <c r="U1442" s="57" t="str">
        <f t="shared" si="249"/>
        <v>OK</v>
      </c>
      <c r="V1442" s="55" t="str">
        <f t="shared" si="253"/>
        <v/>
      </c>
      <c r="W1442" s="55" t="str">
        <f>IF($V1442="","",IF(COUNTIF($V$5:$V1442,$V1442)=1,1,""))</f>
        <v/>
      </c>
      <c r="X1442" s="58" t="str">
        <f>IF($W1442="","",MAX($X$4:X1441)+1)</f>
        <v/>
      </c>
      <c r="Y1442" s="62"/>
      <c r="Z1442" s="62"/>
      <c r="AA1442" s="64" t="str">
        <f>IF($C1442="","",IFERROR(INDEX('Staff Directory'!$E$5:$E$594,MATCH($C1442,'Staff Directory'!$B$5:$B$594,0)),""))</f>
        <v>firstname190.lastname190@example.com</v>
      </c>
      <c r="AB1442" s="64" t="str">
        <f>IF($C1442="","",IF(ISNUMBER(SEARCH($D1442,Settings!$C$15)),"Pickup","Dispatch"))</f>
        <v>Pickup</v>
      </c>
      <c r="AC1442" s="64" t="str">
        <f t="shared" si="254"/>
        <v>Supply order ready for pickup</v>
      </c>
      <c r="AD1442" s="64" t="str">
        <f t="shared" si="245"/>
        <v>Dear PSW,
Your order is ready for pickup from Sample Branch, Wed-Fri 9am-4pm.</v>
      </c>
      <c r="AE1442" s="64" t="str">
        <f t="shared" si="246"/>
        <v>mailto:firstname190.lastname190@example.com?subject=Supply%20order%20ready%20for%20pickup&amp;body=Dear%20PSW%2C%0A%0AYour%20order%20is%20ready%20for%20pickup%20from%20Sample%20Branch%2C%20Wed-Fri%209am-4pm.</v>
      </c>
      <c r="AF1442" s="89" t="str">
        <f t="shared" si="255"/>
        <v>Draft email</v>
      </c>
      <c r="AG1442" s="64" t="str">
        <f>IF($C1442="","",IFERROR(INDEX('Staff Directory'!$K$595:$K$599,MATCH($C1442,'Staff Directory'!$B$5:$B$599,0)),$D1442))</f>
        <v>PSW</v>
      </c>
      <c r="AH1442" t="str">
        <f>IF($C1442="","",IFERROR(INDEX('Staff Directory'!$I$595:$I$599,MATCH($C1442,'Staff Directory'!$B$5:$B$599,0))&amp;" "&amp;INDEX('Staff Directory'!$J$595:$J$599,MATCH($C1442,'Staff Directory'!$B$5:$B$599,0)),$AG1442))</f>
        <v>PSW</v>
      </c>
      <c r="AI1442" s="102"/>
      <c r="AJ1442" s="101">
        <f>IF($F1442="","",SUMIFS($J$5:$J1442,$F$5:$F1442,$F1442))</f>
        <v>89000</v>
      </c>
      <c r="AK1442" s="101">
        <f t="shared" si="247"/>
        <v>88501</v>
      </c>
      <c r="AL1442" s="66" t="str" cm="1">
        <f t="array" ref="AL1442">IF($F1442="","",IFERROR(INDEX('Lot Balance'!$B$5:$B$500,MATCH(1,INDEX(('Lot Balance'!$A$5:$A$500=$F1442)*('Lot Balance'!$K$5:$K$500&lt;$AK1442)*('Lot Balance'!$K$5:$K$500+'Lot Balance'!$D$5:$D$500&gt;=$AK1442),0),0)),""))</f>
        <v>ZIM510137962-2</v>
      </c>
      <c r="AM1442" s="66" t="str" cm="1">
        <f t="array" ref="AM1442">IF($F1442="","",IFERROR(INDEX('Lot Balance'!$B$5:$B$500,MATCH(1,INDEX(('Lot Balance'!$A$5:$A$500=$F1442)*('Lot Balance'!$K$5:$K$500&lt;$AJ1442)*('Lot Balance'!$K$5:$K$500+'Lot Balance'!$D$5:$D$500&gt;=$AJ1442),0),0)),""))</f>
        <v>ZIM510137962-2</v>
      </c>
      <c r="AN1442" s="66" t="str">
        <f>IF($F1442="","",IF($AI1442&lt;&gt;"",IF(COUNTIFS('Lot Balance'!$A$5:$A$500,$F1442,'Lot Balance'!$B$5:$B$500,$AI1442)=0,"⚠ override is not a lot of this item",IF($AI1442=$AL1442,"Override = FEFO","Override - FEFO says "&amp;$AL1442)),IF($AL1442="","⚠ no receipt on file for this item",IF($AM1442&lt;&gt;$AL1442,"FEFO auto - split, also "&amp;$AM1442,"FEFO auto"))))</f>
        <v>FEFO auto</v>
      </c>
      <c r="AO1442" s="114"/>
    </row>
    <row r="1443" spans="1:41" x14ac:dyDescent="0.35">
      <c r="A1443" s="74">
        <v>46204</v>
      </c>
      <c r="B1443" s="18" t="str">
        <f>IF($C1443="","",IFERROR(INDEX('Staff Directory'!$A$5:$A$594,MATCH($C1443,'Staff Directory'!$B$5:$B$594,0)),"⚠ unknown staff"))</f>
        <v>PSW-127-A6</v>
      </c>
      <c r="C1443" s="49" t="s">
        <v>1106</v>
      </c>
      <c r="D1443" s="19" t="str">
        <f>IF($B1443="","",IFERROR(INDEX('Staff Directory'!$C$5:$C$594,MATCH($B1443,'Staff Directory'!$A$5:$A$594,0)),""))</f>
        <v>PSW</v>
      </c>
      <c r="E1443" s="19" t="str">
        <f>IF($B1443="","",IFERROR(INDEX('Staff Directory'!$D$5:$D$594,MATCH($B1443,'Staff Directory'!$A$5:$A$594,0)),""))</f>
        <v>A6</v>
      </c>
      <c r="F1443" s="9" t="s">
        <v>191</v>
      </c>
      <c r="G1443" s="18" t="str">
        <f>IF($F1443="","",IFERROR(INDEX(Items!$B$5:$B$597,MATCH($F1443,Items!$A$5:$A$597,0)),"⚠ not in Items"))</f>
        <v>Sanitizer</v>
      </c>
      <c r="H1443" s="19" t="str">
        <f>IF($F1443="","",IFERROR(INDEX(Items!$C$5:$C$597,MATCH($F1443,Items!$A$5:$A$597,0)),""))</f>
        <v>236 ML</v>
      </c>
      <c r="I1443" s="23">
        <f>IF($F1443="","",IFERROR(INDEX(Items!$E$5:$E$597,MATCH($F1443,Items!$A$5:$A$597,0)),""))</f>
        <v>1</v>
      </c>
      <c r="J1443" s="115">
        <f>IF(tblIssues[[#This Row],[Qty Override]]&lt;&gt;"",tblIssues[[#This Row],[Qty Override]],IF(tblIssues[[#This Row],[Standard Issue]]="","",tblIssues[[#This Row],[Standard Issue]]))</f>
        <v>1</v>
      </c>
      <c r="K1443" s="20">
        <f>IF($F1443="","",IFERROR(INDEX(Items!$D$5:$D$597,MATCH($F1443,Items!$A$5:$A$597,0)),""))</f>
        <v>1E-4</v>
      </c>
      <c r="L1443" s="21">
        <f t="shared" si="250"/>
        <v>1E-4</v>
      </c>
      <c r="M1443" s="9" t="str">
        <f t="shared" si="248"/>
        <v/>
      </c>
      <c r="N1443" s="24">
        <f>IF($A1443="","",WORKDAY($A1443,Settings!$C$9,HolidayDates))</f>
        <v>46212</v>
      </c>
      <c r="O1443" s="24">
        <f>IF($N1443="","",WORKDAY($N1443,Settings!$C$10,HolidayDates))</f>
        <v>46252</v>
      </c>
      <c r="P1443" s="10" t="s">
        <v>501</v>
      </c>
      <c r="Q1443" s="52" t="str">
        <f t="shared" si="251"/>
        <v>Collected</v>
      </c>
      <c r="R1443" s="55" t="str">
        <f t="shared" si="252"/>
        <v>2026-07</v>
      </c>
      <c r="S1443" s="55">
        <f>IF(OR($B1443="",$F1443="",$R1443=""),"",SUMIFS(tblIssues[Qty Issued],tblIssues[Staff ID],$B1443,tblIssues[Item Name],$F1443,tblIssues[Month],$R1443))</f>
        <v>1</v>
      </c>
      <c r="T1443" s="56">
        <f>IF($I1443="","",$I1443*Settings!$C$11)</f>
        <v>1</v>
      </c>
      <c r="U1443" s="57" t="str">
        <f t="shared" si="249"/>
        <v>OK</v>
      </c>
      <c r="V1443" s="55" t="str">
        <f t="shared" si="253"/>
        <v/>
      </c>
      <c r="W1443" s="55" t="str">
        <f>IF($V1443="","",IF(COUNTIF($V$5:$V1443,$V1443)=1,1,""))</f>
        <v/>
      </c>
      <c r="X1443" s="58" t="str">
        <f>IF($W1443="","",MAX($X$4:X1442)+1)</f>
        <v/>
      </c>
      <c r="Y1443" s="62"/>
      <c r="Z1443" s="62"/>
      <c r="AA1443" s="64" t="str">
        <f>IF($C1443="","",IFERROR(INDEX('Staff Directory'!$E$5:$E$594,MATCH($C1443,'Staff Directory'!$B$5:$B$594,0)),""))</f>
        <v>firstname190.lastname190@example.com</v>
      </c>
      <c r="AB1443" s="64" t="str">
        <f>IF($C1443="","",IF(ISNUMBER(SEARCH($D1443,Settings!$C$15)),"Pickup","Dispatch"))</f>
        <v>Pickup</v>
      </c>
      <c r="AC1443" s="64" t="str">
        <f t="shared" si="254"/>
        <v>Supply order ready for pickup</v>
      </c>
      <c r="AD1443" s="64" t="str">
        <f t="shared" si="245"/>
        <v>Dear PSW,
Your order is ready for pickup from Sample Branch, Wed-Fri 9am-4pm.</v>
      </c>
      <c r="AE1443" s="64" t="str">
        <f t="shared" si="246"/>
        <v>mailto:firstname190.lastname190@example.com?subject=Supply%20order%20ready%20for%20pickup&amp;body=Dear%20PSW%2C%0A%0AYour%20order%20is%20ready%20for%20pickup%20from%20Sample%20Branch%2C%20Wed-Fri%209am-4pm.</v>
      </c>
      <c r="AF1443" s="89" t="str">
        <f t="shared" si="255"/>
        <v>Draft email</v>
      </c>
      <c r="AG1443" s="64" t="str">
        <f>IF($C1443="","",IFERROR(INDEX('Staff Directory'!$K$595:$K$599,MATCH($C1443,'Staff Directory'!$B$5:$B$599,0)),$D1443))</f>
        <v>PSW</v>
      </c>
      <c r="AH1443" t="str">
        <f>IF($C1443="","",IFERROR(INDEX('Staff Directory'!$I$595:$I$599,MATCH($C1443,'Staff Directory'!$B$5:$B$599,0))&amp;" "&amp;INDEX('Staff Directory'!$J$595:$J$599,MATCH($C1443,'Staff Directory'!$B$5:$B$599,0)),$AG1443))</f>
        <v>PSW</v>
      </c>
      <c r="AI1443" s="102"/>
      <c r="AJ1443" s="101">
        <f>IF($F1443="","",SUMIFS($J$5:$J1443,$F$5:$F1443,$F1443))</f>
        <v>197</v>
      </c>
      <c r="AK1443" s="101">
        <f t="shared" si="247"/>
        <v>197</v>
      </c>
      <c r="AL1443" s="66" t="str" cm="1">
        <f t="array" ref="AL1443">IF($F1443="","",IFERROR(INDEX('Lot Balance'!$B$5:$B$500,MATCH(1,INDEX(('Lot Balance'!$A$5:$A$500=$F1443)*('Lot Balance'!$K$5:$K$500&lt;$AK1443)*('Lot Balance'!$K$5:$K$500+'Lot Balance'!$D$5:$D$500&gt;=$AK1443),0),0)),""))</f>
        <v/>
      </c>
      <c r="AM1443" s="66" t="str" cm="1">
        <f t="array" ref="AM1443">IF($F1443="","",IFERROR(INDEX('Lot Balance'!$B$5:$B$500,MATCH(1,INDEX(('Lot Balance'!$A$5:$A$500=$F1443)*('Lot Balance'!$K$5:$K$500&lt;$AJ1443)*('Lot Balance'!$K$5:$K$500+'Lot Balance'!$D$5:$D$500&gt;=$AJ1443),0),0)),""))</f>
        <v/>
      </c>
      <c r="AN1443" s="66" t="str">
        <f>IF($F1443="","",IF($AI1443&lt;&gt;"",IF(COUNTIFS('Lot Balance'!$A$5:$A$500,$F1443,'Lot Balance'!$B$5:$B$500,$AI1443)=0,"⚠ override is not a lot of this item",IF($AI1443=$AL1443,"Override = FEFO","Override - FEFO says "&amp;$AL1443)),IF($AL1443="","⚠ no receipt on file for this item",IF($AM1443&lt;&gt;$AL1443,"FEFO auto - split, also "&amp;$AM1443,"FEFO auto"))))</f>
        <v>⚠ no receipt on file for this item</v>
      </c>
      <c r="AO1443" s="114"/>
    </row>
    <row r="1444" spans="1:41" x14ac:dyDescent="0.35">
      <c r="A1444" s="74">
        <v>46204</v>
      </c>
      <c r="B1444" s="18" t="str">
        <f>IF($C1444="","",IFERROR(INDEX('Staff Directory'!$A$5:$A$594,MATCH($C1444,'Staff Directory'!$B$5:$B$594,0)),"⚠ unknown staff"))</f>
        <v>PSW-127-A6</v>
      </c>
      <c r="C1444" s="49" t="s">
        <v>1106</v>
      </c>
      <c r="D1444" s="19" t="str">
        <f>IF($B1444="","",IFERROR(INDEX('Staff Directory'!$C$5:$C$594,MATCH($B1444,'Staff Directory'!$A$5:$A$594,0)),""))</f>
        <v>PSW</v>
      </c>
      <c r="E1444" s="19" t="str">
        <f>IF($B1444="","",IFERROR(INDEX('Staff Directory'!$D$5:$D$594,MATCH($B1444,'Staff Directory'!$A$5:$A$594,0)),""))</f>
        <v>A6</v>
      </c>
      <c r="F1444" s="9" t="s">
        <v>115</v>
      </c>
      <c r="G1444" s="18" t="str">
        <f>IF($F1444="","",IFERROR(INDEX(Items!$B$5:$B$597,MATCH($F1444,Items!$A$5:$A$597,0)),"⚠ not in Items"))</f>
        <v>Wipes</v>
      </c>
      <c r="H1444" s="19">
        <f>IF($F1444="","",IFERROR(INDEX(Items!$C$5:$C$597,MATCH($F1444,Items!$A$5:$A$597,0)),""))</f>
        <v>80</v>
      </c>
      <c r="I1444" s="23">
        <f>IF($F1444="","",IFERROR(INDEX(Items!$E$5:$E$597,MATCH($F1444,Items!$A$5:$A$597,0)),""))</f>
        <v>80</v>
      </c>
      <c r="J1444" s="115">
        <f>IF(tblIssues[[#This Row],[Qty Override]]&lt;&gt;"",tblIssues[[#This Row],[Qty Override]],IF(tblIssues[[#This Row],[Standard Issue]]="","",tblIssues[[#This Row],[Standard Issue]]))</f>
        <v>80</v>
      </c>
      <c r="K1444" s="20">
        <f>IF($F1444="","",IFERROR(INDEX(Items!$D$5:$D$597,MATCH($F1444,Items!$A$5:$A$597,0)),""))</f>
        <v>0.1</v>
      </c>
      <c r="L1444" s="21">
        <f t="shared" si="250"/>
        <v>8</v>
      </c>
      <c r="M1444" s="9" t="str">
        <f t="shared" si="248"/>
        <v>LYSL500290</v>
      </c>
      <c r="N1444" s="24">
        <f>IF($A1444="","",WORKDAY($A1444,Settings!$C$9,HolidayDates))</f>
        <v>46212</v>
      </c>
      <c r="O1444" s="24">
        <f>IF($N1444="","",WORKDAY($N1444,Settings!$C$10,HolidayDates))</f>
        <v>46252</v>
      </c>
      <c r="P1444" s="10" t="s">
        <v>501</v>
      </c>
      <c r="Q1444" s="52" t="str">
        <f t="shared" si="251"/>
        <v>Collected</v>
      </c>
      <c r="R1444" s="55" t="str">
        <f t="shared" si="252"/>
        <v>2026-07</v>
      </c>
      <c r="S1444" s="55">
        <f>IF(OR($B1444="",$F1444="",$R1444=""),"",SUMIFS(tblIssues[Qty Issued],tblIssues[Staff ID],$B1444,tblIssues[Item Name],$F1444,tblIssues[Month],$R1444))</f>
        <v>80</v>
      </c>
      <c r="T1444" s="56">
        <f>IF($I1444="","",$I1444*Settings!$C$11)</f>
        <v>80</v>
      </c>
      <c r="U1444" s="57" t="str">
        <f t="shared" si="249"/>
        <v>OK</v>
      </c>
      <c r="V1444" s="55" t="str">
        <f t="shared" si="253"/>
        <v/>
      </c>
      <c r="W1444" s="55" t="str">
        <f>IF($V1444="","",IF(COUNTIF($V$5:$V1444,$V1444)=1,1,""))</f>
        <v/>
      </c>
      <c r="X1444" s="58" t="str">
        <f>IF($W1444="","",MAX($X$4:X1443)+1)</f>
        <v/>
      </c>
      <c r="Y1444" s="62"/>
      <c r="Z1444" s="62"/>
      <c r="AA1444" s="64" t="str">
        <f>IF($C1444="","",IFERROR(INDEX('Staff Directory'!$E$5:$E$594,MATCH($C1444,'Staff Directory'!$B$5:$B$594,0)),""))</f>
        <v>firstname190.lastname190@example.com</v>
      </c>
      <c r="AB1444" s="64" t="str">
        <f>IF($C1444="","",IF(ISNUMBER(SEARCH($D1444,Settings!$C$15)),"Pickup","Dispatch"))</f>
        <v>Pickup</v>
      </c>
      <c r="AC1444" s="64" t="str">
        <f t="shared" si="254"/>
        <v>Supply order ready for pickup</v>
      </c>
      <c r="AD1444" s="64" t="str">
        <f t="shared" si="245"/>
        <v>Dear PSW,
Your order is ready for pickup from Sample Branch, Wed-Fri 9am-4pm.</v>
      </c>
      <c r="AE1444" s="64" t="str">
        <f t="shared" si="246"/>
        <v>mailto:firstname190.lastname190@example.com?subject=Supply%20order%20ready%20for%20pickup&amp;body=Dear%20PSW%2C%0A%0AYour%20order%20is%20ready%20for%20pickup%20from%20Sample%20Branch%2C%20Wed-Fri%209am-4pm.</v>
      </c>
      <c r="AF1444" s="89" t="str">
        <f t="shared" si="255"/>
        <v>Draft email</v>
      </c>
      <c r="AG1444" s="64" t="str">
        <f>IF($C1444="","",IFERROR(INDEX('Staff Directory'!$K$595:$K$599,MATCH($C1444,'Staff Directory'!$B$5:$B$599,0)),$D1444))</f>
        <v>PSW</v>
      </c>
      <c r="AH1444" t="str">
        <f>IF($C1444="","",IFERROR(INDEX('Staff Directory'!$I$595:$I$599,MATCH($C1444,'Staff Directory'!$B$5:$B$599,0))&amp;" "&amp;INDEX('Staff Directory'!$J$595:$J$599,MATCH($C1444,'Staff Directory'!$B$5:$B$599,0)),$AG1444))</f>
        <v>PSW</v>
      </c>
      <c r="AI1444" s="102"/>
      <c r="AJ1444" s="101">
        <f>IF($F1444="","",SUMIFS($J$5:$J1444,$F$5:$F1444,$F1444))</f>
        <v>20000</v>
      </c>
      <c r="AK1444" s="101">
        <f t="shared" si="247"/>
        <v>19921</v>
      </c>
      <c r="AL1444" s="66" t="str" cm="1">
        <f t="array" ref="AL1444">IF($F1444="","",IFERROR(INDEX('Lot Balance'!$B$5:$B$500,MATCH(1,INDEX(('Lot Balance'!$A$5:$A$500=$F1444)*('Lot Balance'!$K$5:$K$500&lt;$AK1444)*('Lot Balance'!$K$5:$K$500+'Lot Balance'!$D$5:$D$500&gt;=$AK1444),0),0)),""))</f>
        <v>LYSL500290</v>
      </c>
      <c r="AM1444" s="66" t="str" cm="1">
        <f t="array" ref="AM1444">IF($F1444="","",IFERROR(INDEX('Lot Balance'!$B$5:$B$500,MATCH(1,INDEX(('Lot Balance'!$A$5:$A$500=$F1444)*('Lot Balance'!$K$5:$K$500&lt;$AJ1444)*('Lot Balance'!$K$5:$K$500+'Lot Balance'!$D$5:$D$500&gt;=$AJ1444),0),0)),""))</f>
        <v>LYSL500290</v>
      </c>
      <c r="AN1444" s="66" t="str">
        <f>IF($F1444="","",IF($AI1444&lt;&gt;"",IF(COUNTIFS('Lot Balance'!$A$5:$A$500,$F1444,'Lot Balance'!$B$5:$B$500,$AI1444)=0,"⚠ override is not a lot of this item",IF($AI1444=$AL1444,"Override = FEFO","Override - FEFO says "&amp;$AL1444)),IF($AL1444="","⚠ no receipt on file for this item",IF($AM1444&lt;&gt;$AL1444,"FEFO auto - split, also "&amp;$AM1444,"FEFO auto"))))</f>
        <v>FEFO auto</v>
      </c>
      <c r="AO1444" s="114"/>
    </row>
    <row r="1445" spans="1:41" x14ac:dyDescent="0.35">
      <c r="A1445" s="74">
        <v>46204</v>
      </c>
      <c r="B1445" s="18" t="str">
        <f>IF($C1445="","",IFERROR(INDEX('Staff Directory'!$A$5:$A$594,MATCH($C1445,'Staff Directory'!$B$5:$B$594,0)),"⚠ unknown staff"))</f>
        <v>PSW-127-A6</v>
      </c>
      <c r="C1445" s="49" t="s">
        <v>1106</v>
      </c>
      <c r="D1445" s="19" t="str">
        <f>IF($B1445="","",IFERROR(INDEX('Staff Directory'!$C$5:$C$594,MATCH($B1445,'Staff Directory'!$A$5:$A$594,0)),""))</f>
        <v>PSW</v>
      </c>
      <c r="E1445" s="19" t="str">
        <f>IF($B1445="","",IFERROR(INDEX('Staff Directory'!$D$5:$D$594,MATCH($B1445,'Staff Directory'!$A$5:$A$594,0)),""))</f>
        <v>A6</v>
      </c>
      <c r="F1445" s="9" t="s">
        <v>156</v>
      </c>
      <c r="G1445" s="18" t="str">
        <f>IF($F1445="","",IFERROR(INDEX(Items!$B$5:$B$597,MATCH($F1445,Items!$A$5:$A$597,0)),"⚠ not in Items"))</f>
        <v>Masks</v>
      </c>
      <c r="H1445" s="19" t="str">
        <f>IF($F1445="","",IFERROR(INDEX(Items!$C$5:$C$597,MATCH($F1445,Items!$A$5:$A$597,0)),""))</f>
        <v>One Size</v>
      </c>
      <c r="I1445" s="23">
        <f>IF($F1445="","",IFERROR(INDEX(Items!$E$5:$E$597,MATCH($F1445,Items!$A$5:$A$597,0)),""))</f>
        <v>50</v>
      </c>
      <c r="J1445" s="115">
        <f>IF(tblIssues[[#This Row],[Qty Override]]&lt;&gt;"",tblIssues[[#This Row],[Qty Override]],IF(tblIssues[[#This Row],[Standard Issue]]="","",tblIssues[[#This Row],[Standard Issue]]))</f>
        <v>50</v>
      </c>
      <c r="K1445" s="20">
        <f>IF($F1445="","",IFERROR(INDEX(Items!$D$5:$D$597,MATCH($F1445,Items!$A$5:$A$597,0)),""))</f>
        <v>0.25</v>
      </c>
      <c r="L1445" s="21">
        <f t="shared" si="250"/>
        <v>12.5</v>
      </c>
      <c r="M1445" s="9" t="str">
        <f t="shared" si="248"/>
        <v>24HA2050A7396</v>
      </c>
      <c r="N1445" s="24">
        <f>IF($A1445="","",WORKDAY($A1445,Settings!$C$9,HolidayDates))</f>
        <v>46212</v>
      </c>
      <c r="O1445" s="24">
        <f>IF($N1445="","",WORKDAY($N1445,Settings!$C$10,HolidayDates))</f>
        <v>46252</v>
      </c>
      <c r="P1445" s="10" t="s">
        <v>501</v>
      </c>
      <c r="Q1445" s="52" t="str">
        <f t="shared" si="251"/>
        <v>Collected</v>
      </c>
      <c r="R1445" s="55" t="str">
        <f t="shared" si="252"/>
        <v>2026-07</v>
      </c>
      <c r="S1445" s="55">
        <f>IF(OR($B1445="",$F1445="",$R1445=""),"",SUMIFS(tblIssues[Qty Issued],tblIssues[Staff ID],$B1445,tblIssues[Item Name],$F1445,tblIssues[Month],$R1445))</f>
        <v>50</v>
      </c>
      <c r="T1445" s="56">
        <f>IF($I1445="","",$I1445*Settings!$C$11)</f>
        <v>50</v>
      </c>
      <c r="U1445" s="57" t="str">
        <f t="shared" si="249"/>
        <v>OK</v>
      </c>
      <c r="V1445" s="55" t="str">
        <f t="shared" si="253"/>
        <v/>
      </c>
      <c r="W1445" s="55" t="str">
        <f>IF($V1445="","",IF(COUNTIF($V$5:$V1445,$V1445)=1,1,""))</f>
        <v/>
      </c>
      <c r="X1445" s="58" t="str">
        <f>IF($W1445="","",MAX($X$4:X1444)+1)</f>
        <v/>
      </c>
      <c r="Y1445" s="62"/>
      <c r="Z1445" s="62"/>
      <c r="AA1445" s="64" t="str">
        <f>IF($C1445="","",IFERROR(INDEX('Staff Directory'!$E$5:$E$594,MATCH($C1445,'Staff Directory'!$B$5:$B$594,0)),""))</f>
        <v>firstname190.lastname190@example.com</v>
      </c>
      <c r="AB1445" s="64" t="str">
        <f>IF($C1445="","",IF(ISNUMBER(SEARCH($D1445,Settings!$C$15)),"Pickup","Dispatch"))</f>
        <v>Pickup</v>
      </c>
      <c r="AC1445" s="64" t="str">
        <f t="shared" si="254"/>
        <v>Supply order ready for pickup</v>
      </c>
      <c r="AD1445" s="64" t="str">
        <f t="shared" si="245"/>
        <v>Dear PSW,
Your order is ready for pickup from Sample Branch, Wed-Fri 9am-4pm.</v>
      </c>
      <c r="AE1445" s="64" t="str">
        <f t="shared" si="246"/>
        <v>mailto:firstname190.lastname190@example.com?subject=Supply%20order%20ready%20for%20pickup&amp;body=Dear%20PSW%2C%0A%0AYour%20order%20is%20ready%20for%20pickup%20from%20Sample%20Branch%2C%20Wed-Fri%209am-4pm.</v>
      </c>
      <c r="AF1445" s="89" t="str">
        <f t="shared" si="255"/>
        <v>Draft email</v>
      </c>
      <c r="AG1445" s="64" t="str">
        <f>IF($C1445="","",IFERROR(INDEX('Staff Directory'!$K$595:$K$599,MATCH($C1445,'Staff Directory'!$B$5:$B$599,0)),$D1445))</f>
        <v>PSW</v>
      </c>
      <c r="AH1445" t="str">
        <f>IF($C1445="","",IFERROR(INDEX('Staff Directory'!$I$595:$I$599,MATCH($C1445,'Staff Directory'!$B$5:$B$599,0))&amp;" "&amp;INDEX('Staff Directory'!$J$595:$J$599,MATCH($C1445,'Staff Directory'!$B$5:$B$599,0)),$AG1445))</f>
        <v>PSW</v>
      </c>
      <c r="AI1445" s="102"/>
      <c r="AJ1445" s="101">
        <f>IF($F1445="","",SUMIFS($J$5:$J1445,$F$5:$F1445,$F1445))</f>
        <v>12650</v>
      </c>
      <c r="AK1445" s="101">
        <f t="shared" si="247"/>
        <v>12601</v>
      </c>
      <c r="AL1445" s="66" t="str" cm="1">
        <f t="array" ref="AL1445">IF($F1445="","",IFERROR(INDEX('Lot Balance'!$B$5:$B$500,MATCH(1,INDEX(('Lot Balance'!$A$5:$A$500=$F1445)*('Lot Balance'!$K$5:$K$500&lt;$AK1445)*('Lot Balance'!$K$5:$K$500+'Lot Balance'!$D$5:$D$500&gt;=$AK1445),0),0)),""))</f>
        <v>24HA2050A7396</v>
      </c>
      <c r="AM1445" s="66" t="str" cm="1">
        <f t="array" ref="AM1445">IF($F1445="","",IFERROR(INDEX('Lot Balance'!$B$5:$B$500,MATCH(1,INDEX(('Lot Balance'!$A$5:$A$500=$F1445)*('Lot Balance'!$K$5:$K$500&lt;$AJ1445)*('Lot Balance'!$K$5:$K$500+'Lot Balance'!$D$5:$D$500&gt;=$AJ1445),0),0)),""))</f>
        <v>24HA2050A7396</v>
      </c>
      <c r="AN1445" s="66" t="str">
        <f>IF($F1445="","",IF($AI1445&lt;&gt;"",IF(COUNTIFS('Lot Balance'!$A$5:$A$500,$F1445,'Lot Balance'!$B$5:$B$500,$AI1445)=0,"⚠ override is not a lot of this item",IF($AI1445=$AL1445,"Override = FEFO","Override - FEFO says "&amp;$AL1445)),IF($AL1445="","⚠ no receipt on file for this item",IF($AM1445&lt;&gt;$AL1445,"FEFO auto - split, also "&amp;$AM1445,"FEFO auto"))))</f>
        <v>FEFO auto</v>
      </c>
      <c r="AO1445" s="114"/>
    </row>
    <row r="1446" spans="1:41" x14ac:dyDescent="0.35">
      <c r="A1446" s="74">
        <v>46204</v>
      </c>
      <c r="B1446" s="18" t="str">
        <f>IF($C1446="","",IFERROR(INDEX('Staff Directory'!$A$5:$A$594,MATCH($C1446,'Staff Directory'!$B$5:$B$594,0)),"⚠ unknown staff"))</f>
        <v>PSW-127-A6</v>
      </c>
      <c r="C1446" s="49" t="s">
        <v>1106</v>
      </c>
      <c r="D1446" s="19" t="str">
        <f>IF($B1446="","",IFERROR(INDEX('Staff Directory'!$C$5:$C$594,MATCH($B1446,'Staff Directory'!$A$5:$A$594,0)),""))</f>
        <v>PSW</v>
      </c>
      <c r="E1446" s="19" t="str">
        <f>IF($B1446="","",IFERROR(INDEX('Staff Directory'!$D$5:$D$594,MATCH($B1446,'Staff Directory'!$A$5:$A$594,0)),""))</f>
        <v>A6</v>
      </c>
      <c r="F1446" s="9" t="s">
        <v>758</v>
      </c>
      <c r="G1446" s="18" t="str">
        <f>IF($F1446="","",IFERROR(INDEX(Items!$B$5:$B$597,MATCH($F1446,Items!$A$5:$A$597,0)),"⚠ not in Items"))</f>
        <v>Utility</v>
      </c>
      <c r="H1446" s="19" t="str">
        <f>IF($F1446="","",IFERROR(INDEX(Items!$C$5:$C$597,MATCH($F1446,Items!$A$5:$A$597,0)),""))</f>
        <v>Standard</v>
      </c>
      <c r="I1446" s="23">
        <f>IF($F1446="","",IFERROR(INDEX(Items!$E$5:$E$597,MATCH($F1446,Items!$A$5:$A$597,0)),""))</f>
        <v>1</v>
      </c>
      <c r="J1446" s="115">
        <f>IF(tblIssues[[#This Row],[Qty Override]]&lt;&gt;"",tblIssues[[#This Row],[Qty Override]],IF(tblIssues[[#This Row],[Standard Issue]]="","",tblIssues[[#This Row],[Standard Issue]]))</f>
        <v>1</v>
      </c>
      <c r="K1446" s="20">
        <f>IF($F1446="","",IFERROR(INDEX(Items!$D$5:$D$597,MATCH($F1446,Items!$A$5:$A$597,0)),""))</f>
        <v>0</v>
      </c>
      <c r="L1446" s="21">
        <f t="shared" si="250"/>
        <v>0</v>
      </c>
      <c r="M1446" s="9" t="str">
        <f t="shared" si="248"/>
        <v/>
      </c>
      <c r="N1446" s="24">
        <f>IF($A1446="","",WORKDAY($A1446,Settings!$C$9,HolidayDates))</f>
        <v>46212</v>
      </c>
      <c r="O1446" s="24">
        <f>IF($N1446="","",WORKDAY($N1446,Settings!$C$10,HolidayDates))</f>
        <v>46252</v>
      </c>
      <c r="P1446" s="10" t="s">
        <v>501</v>
      </c>
      <c r="Q1446" s="52" t="str">
        <f t="shared" si="251"/>
        <v>Collected</v>
      </c>
      <c r="R1446" s="55" t="str">
        <f t="shared" si="252"/>
        <v>2026-07</v>
      </c>
      <c r="S1446" s="55">
        <f>IF(OR($B1446="",$F1446="",$R1446=""),"",SUMIFS(tblIssues[Qty Issued],tblIssues[Staff ID],$B1446,tblIssues[Item Name],$F1446,tblIssues[Month],$R1446))</f>
        <v>1</v>
      </c>
      <c r="T1446" s="56">
        <f>IF($I1446="","",$I1446*Settings!$C$11)</f>
        <v>1</v>
      </c>
      <c r="U1446" s="57" t="str">
        <f t="shared" si="249"/>
        <v>OK</v>
      </c>
      <c r="V1446" s="55" t="str">
        <f t="shared" si="253"/>
        <v/>
      </c>
      <c r="W1446" s="55" t="str">
        <f>IF($V1446="","",IF(COUNTIF($V$5:$V1446,$V1446)=1,1,""))</f>
        <v/>
      </c>
      <c r="X1446" s="58" t="str">
        <f>IF($W1446="","",MAX($X$4:X1445)+1)</f>
        <v/>
      </c>
      <c r="Y1446" s="62"/>
      <c r="Z1446" s="62"/>
      <c r="AA1446" s="64" t="str">
        <f>IF($C1446="","",IFERROR(INDEX('Staff Directory'!$E$5:$E$594,MATCH($C1446,'Staff Directory'!$B$5:$B$594,0)),""))</f>
        <v>firstname190.lastname190@example.com</v>
      </c>
      <c r="AB1446" s="64" t="str">
        <f>IF($C1446="","",IF(ISNUMBER(SEARCH($D1446,Settings!$C$15)),"Pickup","Dispatch"))</f>
        <v>Pickup</v>
      </c>
      <c r="AC1446" s="64" t="str">
        <f t="shared" si="254"/>
        <v>Supply order ready for pickup</v>
      </c>
      <c r="AD1446" s="64" t="str">
        <f t="shared" si="245"/>
        <v>Dear PSW,
Your order is ready for pickup from Sample Branch, Wed-Fri 9am-4pm.</v>
      </c>
      <c r="AE1446" s="64" t="str">
        <f t="shared" si="246"/>
        <v>mailto:firstname190.lastname190@example.com?subject=Supply%20order%20ready%20for%20pickup&amp;body=Dear%20PSW%2C%0A%0AYour%20order%20is%20ready%20for%20pickup%20from%20Sample%20Branch%2C%20Wed-Fri%209am-4pm.</v>
      </c>
      <c r="AF1446" s="89" t="str">
        <f t="shared" si="255"/>
        <v>Draft email</v>
      </c>
      <c r="AG1446" s="64" t="str">
        <f>IF($C1446="","",IFERROR(INDEX('Staff Directory'!$K$595:$K$599,MATCH($C1446,'Staff Directory'!$B$5:$B$599,0)),$D1446))</f>
        <v>PSW</v>
      </c>
      <c r="AH1446" t="str">
        <f>IF($C1446="","",IFERROR(INDEX('Staff Directory'!$I$595:$I$599,MATCH($C1446,'Staff Directory'!$B$5:$B$599,0))&amp;" "&amp;INDEX('Staff Directory'!$J$595:$J$599,MATCH($C1446,'Staff Directory'!$B$5:$B$599,0)),$AG1446))</f>
        <v>PSW</v>
      </c>
      <c r="AI1446" s="102"/>
      <c r="AJ1446" s="101">
        <f>IF($F1446="","",SUMIFS($J$5:$J1446,$F$5:$F1446,$F1446))</f>
        <v>18</v>
      </c>
      <c r="AK1446" s="101">
        <f t="shared" si="247"/>
        <v>18</v>
      </c>
      <c r="AL1446" s="66" t="str" cm="1">
        <f t="array" ref="AL1446">IF($F1446="","",IFERROR(INDEX('Lot Balance'!$B$5:$B$500,MATCH(1,INDEX(('Lot Balance'!$A$5:$A$500=$F1446)*('Lot Balance'!$K$5:$K$500&lt;$AK1446)*('Lot Balance'!$K$5:$K$500+'Lot Balance'!$D$5:$D$500&gt;=$AK1446),0),0)),""))</f>
        <v/>
      </c>
      <c r="AM1446" s="66" t="str" cm="1">
        <f t="array" ref="AM1446">IF($F1446="","",IFERROR(INDEX('Lot Balance'!$B$5:$B$500,MATCH(1,INDEX(('Lot Balance'!$A$5:$A$500=$F1446)*('Lot Balance'!$K$5:$K$500&lt;$AJ1446)*('Lot Balance'!$K$5:$K$500+'Lot Balance'!$D$5:$D$500&gt;=$AJ1446),0),0)),""))</f>
        <v/>
      </c>
      <c r="AN1446" s="66" t="str">
        <f>IF($F1446="","",IF($AI1446&lt;&gt;"",IF(COUNTIFS('Lot Balance'!$A$5:$A$500,$F1446,'Lot Balance'!$B$5:$B$500,$AI1446)=0,"⚠ override is not a lot of this item",IF($AI1446=$AL1446,"Override = FEFO","Override - FEFO says "&amp;$AL1446)),IF($AL1446="","⚠ no receipt on file for this item",IF($AM1446&lt;&gt;$AL1446,"FEFO auto - split, also "&amp;$AM1446,"FEFO auto"))))</f>
        <v>⚠ no receipt on file for this item</v>
      </c>
      <c r="AO1446" s="114"/>
    </row>
    <row r="1447" spans="1:41" x14ac:dyDescent="0.35">
      <c r="A1447" s="74">
        <v>46204</v>
      </c>
      <c r="B1447" s="18" t="str">
        <f>IF($C1447="","",IFERROR(INDEX('Staff Directory'!$A$5:$A$594,MATCH($C1447,'Staff Directory'!$B$5:$B$594,0)),"⚠ unknown staff"))</f>
        <v>PSW-162-A6</v>
      </c>
      <c r="C1447" s="49" t="s">
        <v>1141</v>
      </c>
      <c r="D1447" s="19" t="str">
        <f>IF($B1447="","",IFERROR(INDEX('Staff Directory'!$C$5:$C$594,MATCH($B1447,'Staff Directory'!$A$5:$A$594,0)),""))</f>
        <v>PSW</v>
      </c>
      <c r="E1447" s="19" t="str">
        <f>IF($B1447="","",IFERROR(INDEX('Staff Directory'!$D$5:$D$594,MATCH($B1447,'Staff Directory'!$A$5:$A$594,0)),""))</f>
        <v>A6</v>
      </c>
      <c r="F1447" s="9" t="s">
        <v>129</v>
      </c>
      <c r="G1447" s="18" t="str">
        <f>IF($F1447="","",IFERROR(INDEX(Items!$B$5:$B$597,MATCH($F1447,Items!$A$5:$A$597,0)),"⚠ not in Items"))</f>
        <v>Gloves</v>
      </c>
      <c r="H1447" s="19" t="str">
        <f>IF($F1447="","",IFERROR(INDEX(Items!$C$5:$C$597,MATCH($F1447,Items!$A$5:$A$597,0)),""))</f>
        <v>Small</v>
      </c>
      <c r="I1447" s="23">
        <f>IF($F1447="","",IFERROR(INDEX(Items!$E$5:$E$597,MATCH($F1447,Items!$A$5:$A$597,0)),""))</f>
        <v>500</v>
      </c>
      <c r="J1447" s="115">
        <f>IF(tblIssues[[#This Row],[Qty Override]]&lt;&gt;"",tblIssues[[#This Row],[Qty Override]],IF(tblIssues[[#This Row],[Standard Issue]]="","",tblIssues[[#This Row],[Standard Issue]]))</f>
        <v>500</v>
      </c>
      <c r="K1447" s="20">
        <f>IF($F1447="","",IFERROR(INDEX(Items!$D$5:$D$597,MATCH($F1447,Items!$A$5:$A$597,0)),""))</f>
        <v>5.5E-2</v>
      </c>
      <c r="L1447" s="21">
        <f t="shared" si="250"/>
        <v>27.5</v>
      </c>
      <c r="M1447" s="9" t="str">
        <f t="shared" si="248"/>
        <v>ZIM502120291</v>
      </c>
      <c r="N1447" s="24">
        <f>IF($A1447="","",WORKDAY($A1447,Settings!$C$9,HolidayDates))</f>
        <v>46212</v>
      </c>
      <c r="O1447" s="24">
        <f>IF($N1447="","",WORKDAY($N1447,Settings!$C$10,HolidayDates))</f>
        <v>46252</v>
      </c>
      <c r="P1447" s="10" t="s">
        <v>501</v>
      </c>
      <c r="Q1447" s="52" t="str">
        <f t="shared" si="251"/>
        <v>Collected</v>
      </c>
      <c r="R1447" s="55" t="str">
        <f t="shared" si="252"/>
        <v>2026-07</v>
      </c>
      <c r="S1447" s="55">
        <f>IF(OR($B1447="",$F1447="",$R1447=""),"",SUMIFS(tblIssues[Qty Issued],tblIssues[Staff ID],$B1447,tblIssues[Item Name],$F1447,tblIssues[Month],$R1447))</f>
        <v>500</v>
      </c>
      <c r="T1447" s="56">
        <f>IF($I1447="","",$I1447*Settings!$C$11)</f>
        <v>500</v>
      </c>
      <c r="U1447" s="57" t="str">
        <f t="shared" si="249"/>
        <v>OK</v>
      </c>
      <c r="V1447" s="55" t="str">
        <f t="shared" si="253"/>
        <v/>
      </c>
      <c r="W1447" s="55" t="str">
        <f>IF($V1447="","",IF(COUNTIF($V$5:$V1447,$V1447)=1,1,""))</f>
        <v/>
      </c>
      <c r="X1447" s="58" t="str">
        <f>IF($W1447="","",MAX($X$4:X1446)+1)</f>
        <v/>
      </c>
      <c r="Y1447" s="62"/>
      <c r="Z1447" s="62"/>
      <c r="AA1447" s="64" t="str">
        <f>IF($C1447="","",IFERROR(INDEX('Staff Directory'!$E$5:$E$594,MATCH($C1447,'Staff Directory'!$B$5:$B$594,0)),""))</f>
        <v>firstname225.lastname225@example.com</v>
      </c>
      <c r="AB1447" s="64" t="str">
        <f>IF($C1447="","",IF(ISNUMBER(SEARCH($D1447,Settings!$C$15)),"Pickup","Dispatch"))</f>
        <v>Pickup</v>
      </c>
      <c r="AC1447" s="64" t="str">
        <f t="shared" si="254"/>
        <v>Supply order ready for pickup</v>
      </c>
      <c r="AD1447" s="64" t="str">
        <f t="shared" si="245"/>
        <v>Dear PSW,
Your order is ready for pickup from Sample Branch, Wed-Fri 9am-4pm.</v>
      </c>
      <c r="AE1447" s="64" t="str">
        <f t="shared" si="246"/>
        <v>mailto:firstname225.lastname225@example.com?subject=Supply%20order%20ready%20for%20pickup&amp;body=Dear%20PSW%2C%0A%0AYour%20order%20is%20ready%20for%20pickup%20from%20Sample%20Branch%2C%20Wed-Fri%209am-4pm.</v>
      </c>
      <c r="AF1447" s="89" t="str">
        <f t="shared" si="255"/>
        <v>Draft email</v>
      </c>
      <c r="AG1447" s="64" t="str">
        <f>IF($C1447="","",IFERROR(INDEX('Staff Directory'!$K$595:$K$599,MATCH($C1447,'Staff Directory'!$B$5:$B$599,0)),$D1447))</f>
        <v>PSW</v>
      </c>
      <c r="AH1447" t="str">
        <f>IF($C1447="","",IFERROR(INDEX('Staff Directory'!$I$595:$I$599,MATCH($C1447,'Staff Directory'!$B$5:$B$599,0))&amp;" "&amp;INDEX('Staff Directory'!$J$595:$J$599,MATCH($C1447,'Staff Directory'!$B$5:$B$599,0)),$AG1447))</f>
        <v>PSW</v>
      </c>
      <c r="AI1447" s="102"/>
      <c r="AJ1447" s="101">
        <f>IF($F1447="","",SUMIFS($J$5:$J1447,$F$5:$F1447,$F1447))</f>
        <v>44000</v>
      </c>
      <c r="AK1447" s="101">
        <f t="shared" si="247"/>
        <v>43501</v>
      </c>
      <c r="AL1447" s="66" t="str" cm="1">
        <f t="array" ref="AL1447">IF($F1447="","",IFERROR(INDEX('Lot Balance'!$B$5:$B$500,MATCH(1,INDEX(('Lot Balance'!$A$5:$A$500=$F1447)*('Lot Balance'!$K$5:$K$500&lt;$AK1447)*('Lot Balance'!$K$5:$K$500+'Lot Balance'!$D$5:$D$500&gt;=$AK1447),0),0)),""))</f>
        <v>ZIM502120291</v>
      </c>
      <c r="AM1447" s="66" t="str" cm="1">
        <f t="array" ref="AM1447">IF($F1447="","",IFERROR(INDEX('Lot Balance'!$B$5:$B$500,MATCH(1,INDEX(('Lot Balance'!$A$5:$A$500=$F1447)*('Lot Balance'!$K$5:$K$500&lt;$AJ1447)*('Lot Balance'!$K$5:$K$500+'Lot Balance'!$D$5:$D$500&gt;=$AJ1447),0),0)),""))</f>
        <v>ZIM502120291</v>
      </c>
      <c r="AN1447" s="66" t="str">
        <f>IF($F1447="","",IF($AI1447&lt;&gt;"",IF(COUNTIFS('Lot Balance'!$A$5:$A$500,$F1447,'Lot Balance'!$B$5:$B$500,$AI1447)=0,"⚠ override is not a lot of this item",IF($AI1447=$AL1447,"Override = FEFO","Override - FEFO says "&amp;$AL1447)),IF($AL1447="","⚠ no receipt on file for this item",IF($AM1447&lt;&gt;$AL1447,"FEFO auto - split, also "&amp;$AM1447,"FEFO auto"))))</f>
        <v>FEFO auto</v>
      </c>
      <c r="AO1447" s="114"/>
    </row>
    <row r="1448" spans="1:41" x14ac:dyDescent="0.35">
      <c r="A1448" s="74">
        <v>46204</v>
      </c>
      <c r="B1448" s="18" t="str">
        <f>IF($C1448="","",IFERROR(INDEX('Staff Directory'!$A$5:$A$594,MATCH($C1448,'Staff Directory'!$B$5:$B$594,0)),"⚠ unknown staff"))</f>
        <v>PSW-162-A6</v>
      </c>
      <c r="C1448" s="49" t="s">
        <v>1141</v>
      </c>
      <c r="D1448" s="19" t="str">
        <f>IF($B1448="","",IFERROR(INDEX('Staff Directory'!$C$5:$C$594,MATCH($B1448,'Staff Directory'!$A$5:$A$594,0)),""))</f>
        <v>PSW</v>
      </c>
      <c r="E1448" s="19" t="str">
        <f>IF($B1448="","",IFERROR(INDEX('Staff Directory'!$D$5:$D$594,MATCH($B1448,'Staff Directory'!$A$5:$A$594,0)),""))</f>
        <v>A6</v>
      </c>
      <c r="F1448" s="9" t="s">
        <v>115</v>
      </c>
      <c r="G1448" s="18" t="str">
        <f>IF($F1448="","",IFERROR(INDEX(Items!$B$5:$B$597,MATCH($F1448,Items!$A$5:$A$597,0)),"⚠ not in Items"))</f>
        <v>Wipes</v>
      </c>
      <c r="H1448" s="19">
        <f>IF($F1448="","",IFERROR(INDEX(Items!$C$5:$C$597,MATCH($F1448,Items!$A$5:$A$597,0)),""))</f>
        <v>80</v>
      </c>
      <c r="I1448" s="23">
        <f>IF($F1448="","",IFERROR(INDEX(Items!$E$5:$E$597,MATCH($F1448,Items!$A$5:$A$597,0)),""))</f>
        <v>80</v>
      </c>
      <c r="J1448" s="115">
        <f>IF(tblIssues[[#This Row],[Qty Override]]&lt;&gt;"",tblIssues[[#This Row],[Qty Override]],IF(tblIssues[[#This Row],[Standard Issue]]="","",tblIssues[[#This Row],[Standard Issue]]))</f>
        <v>80</v>
      </c>
      <c r="K1448" s="20">
        <f>IF($F1448="","",IFERROR(INDEX(Items!$D$5:$D$597,MATCH($F1448,Items!$A$5:$A$597,0)),""))</f>
        <v>0.1</v>
      </c>
      <c r="L1448" s="21">
        <f t="shared" si="250"/>
        <v>8</v>
      </c>
      <c r="M1448" s="9" t="str">
        <f t="shared" si="248"/>
        <v>LYSL500290</v>
      </c>
      <c r="N1448" s="24">
        <f>IF($A1448="","",WORKDAY($A1448,Settings!$C$9,HolidayDates))</f>
        <v>46212</v>
      </c>
      <c r="O1448" s="24">
        <f>IF($N1448="","",WORKDAY($N1448,Settings!$C$10,HolidayDates))</f>
        <v>46252</v>
      </c>
      <c r="P1448" s="10" t="s">
        <v>501</v>
      </c>
      <c r="Q1448" s="52" t="str">
        <f t="shared" si="251"/>
        <v>Collected</v>
      </c>
      <c r="R1448" s="55" t="str">
        <f t="shared" si="252"/>
        <v>2026-07</v>
      </c>
      <c r="S1448" s="55">
        <f>IF(OR($B1448="",$F1448="",$R1448=""),"",SUMIFS(tblIssues[Qty Issued],tblIssues[Staff ID],$B1448,tblIssues[Item Name],$F1448,tblIssues[Month],$R1448))</f>
        <v>80</v>
      </c>
      <c r="T1448" s="56">
        <f>IF($I1448="","",$I1448*Settings!$C$11)</f>
        <v>80</v>
      </c>
      <c r="U1448" s="57" t="str">
        <f t="shared" si="249"/>
        <v>OK</v>
      </c>
      <c r="V1448" s="55" t="str">
        <f t="shared" si="253"/>
        <v/>
      </c>
      <c r="W1448" s="55" t="str">
        <f>IF($V1448="","",IF(COUNTIF($V$5:$V1448,$V1448)=1,1,""))</f>
        <v/>
      </c>
      <c r="X1448" s="58" t="str">
        <f>IF($W1448="","",MAX($X$4:X1447)+1)</f>
        <v/>
      </c>
      <c r="Y1448" s="62"/>
      <c r="Z1448" s="62"/>
      <c r="AA1448" s="64" t="str">
        <f>IF($C1448="","",IFERROR(INDEX('Staff Directory'!$E$5:$E$594,MATCH($C1448,'Staff Directory'!$B$5:$B$594,0)),""))</f>
        <v>firstname225.lastname225@example.com</v>
      </c>
      <c r="AB1448" s="64" t="str">
        <f>IF($C1448="","",IF(ISNUMBER(SEARCH($D1448,Settings!$C$15)),"Pickup","Dispatch"))</f>
        <v>Pickup</v>
      </c>
      <c r="AC1448" s="64" t="str">
        <f t="shared" si="254"/>
        <v>Supply order ready for pickup</v>
      </c>
      <c r="AD1448" s="64" t="str">
        <f t="shared" si="245"/>
        <v>Dear PSW,
Your order is ready for pickup from Sample Branch, Wed-Fri 9am-4pm.</v>
      </c>
      <c r="AE1448" s="64" t="str">
        <f t="shared" si="246"/>
        <v>mailto:firstname225.lastname225@example.com?subject=Supply%20order%20ready%20for%20pickup&amp;body=Dear%20PSW%2C%0A%0AYour%20order%20is%20ready%20for%20pickup%20from%20Sample%20Branch%2C%20Wed-Fri%209am-4pm.</v>
      </c>
      <c r="AF1448" s="89" t="str">
        <f t="shared" si="255"/>
        <v>Draft email</v>
      </c>
      <c r="AG1448" s="64" t="str">
        <f>IF($C1448="","",IFERROR(INDEX('Staff Directory'!$K$595:$K$599,MATCH($C1448,'Staff Directory'!$B$5:$B$599,0)),$D1448))</f>
        <v>PSW</v>
      </c>
      <c r="AH1448" t="str">
        <f>IF($C1448="","",IFERROR(INDEX('Staff Directory'!$I$595:$I$599,MATCH($C1448,'Staff Directory'!$B$5:$B$599,0))&amp;" "&amp;INDEX('Staff Directory'!$J$595:$J$599,MATCH($C1448,'Staff Directory'!$B$5:$B$599,0)),$AG1448))</f>
        <v>PSW</v>
      </c>
      <c r="AI1448" s="102"/>
      <c r="AJ1448" s="101">
        <f>IF($F1448="","",SUMIFS($J$5:$J1448,$F$5:$F1448,$F1448))</f>
        <v>20080</v>
      </c>
      <c r="AK1448" s="101">
        <f t="shared" si="247"/>
        <v>20001</v>
      </c>
      <c r="AL1448" s="66" t="str" cm="1">
        <f t="array" ref="AL1448">IF($F1448="","",IFERROR(INDEX('Lot Balance'!$B$5:$B$500,MATCH(1,INDEX(('Lot Balance'!$A$5:$A$500=$F1448)*('Lot Balance'!$K$5:$K$500&lt;$AK1448)*('Lot Balance'!$K$5:$K$500+'Lot Balance'!$D$5:$D$500&gt;=$AK1448),0),0)),""))</f>
        <v>LYSL500290</v>
      </c>
      <c r="AM1448" s="66" t="str" cm="1">
        <f t="array" ref="AM1448">IF($F1448="","",IFERROR(INDEX('Lot Balance'!$B$5:$B$500,MATCH(1,INDEX(('Lot Balance'!$A$5:$A$500=$F1448)*('Lot Balance'!$K$5:$K$500&lt;$AJ1448)*('Lot Balance'!$K$5:$K$500+'Lot Balance'!$D$5:$D$500&gt;=$AJ1448),0),0)),""))</f>
        <v>LYSL500290</v>
      </c>
      <c r="AN1448" s="66" t="str">
        <f>IF($F1448="","",IF($AI1448&lt;&gt;"",IF(COUNTIFS('Lot Balance'!$A$5:$A$500,$F1448,'Lot Balance'!$B$5:$B$500,$AI1448)=0,"⚠ override is not a lot of this item",IF($AI1448=$AL1448,"Override = FEFO","Override - FEFO says "&amp;$AL1448)),IF($AL1448="","⚠ no receipt on file for this item",IF($AM1448&lt;&gt;$AL1448,"FEFO auto - split, also "&amp;$AM1448,"FEFO auto"))))</f>
        <v>FEFO auto</v>
      </c>
      <c r="AO1448" s="114"/>
    </row>
    <row r="1449" spans="1:41" x14ac:dyDescent="0.35">
      <c r="A1449" s="74">
        <v>46204</v>
      </c>
      <c r="B1449" s="18" t="str">
        <f>IF($C1449="","",IFERROR(INDEX('Staff Directory'!$A$5:$A$594,MATCH($C1449,'Staff Directory'!$B$5:$B$594,0)),"⚠ unknown staff"))</f>
        <v>PSW-162-A6</v>
      </c>
      <c r="C1449" s="49" t="s">
        <v>1141</v>
      </c>
      <c r="D1449" s="19" t="str">
        <f>IF($B1449="","",IFERROR(INDEX('Staff Directory'!$C$5:$C$594,MATCH($B1449,'Staff Directory'!$A$5:$A$594,0)),""))</f>
        <v>PSW</v>
      </c>
      <c r="E1449" s="19" t="str">
        <f>IF($B1449="","",IFERROR(INDEX('Staff Directory'!$D$5:$D$594,MATCH($B1449,'Staff Directory'!$A$5:$A$594,0)),""))</f>
        <v>A6</v>
      </c>
      <c r="F1449" s="9" t="s">
        <v>156</v>
      </c>
      <c r="G1449" s="18" t="str">
        <f>IF($F1449="","",IFERROR(INDEX(Items!$B$5:$B$597,MATCH($F1449,Items!$A$5:$A$597,0)),"⚠ not in Items"))</f>
        <v>Masks</v>
      </c>
      <c r="H1449" s="19" t="str">
        <f>IF($F1449="","",IFERROR(INDEX(Items!$C$5:$C$597,MATCH($F1449,Items!$A$5:$A$597,0)),""))</f>
        <v>One Size</v>
      </c>
      <c r="I1449" s="23">
        <f>IF($F1449="","",IFERROR(INDEX(Items!$E$5:$E$597,MATCH($F1449,Items!$A$5:$A$597,0)),""))</f>
        <v>50</v>
      </c>
      <c r="J1449" s="115">
        <f>IF(tblIssues[[#This Row],[Qty Override]]&lt;&gt;"",tblIssues[[#This Row],[Qty Override]],IF(tblIssues[[#This Row],[Standard Issue]]="","",tblIssues[[#This Row],[Standard Issue]]))</f>
        <v>50</v>
      </c>
      <c r="K1449" s="20">
        <f>IF($F1449="","",IFERROR(INDEX(Items!$D$5:$D$597,MATCH($F1449,Items!$A$5:$A$597,0)),""))</f>
        <v>0.25</v>
      </c>
      <c r="L1449" s="21">
        <f t="shared" si="250"/>
        <v>12.5</v>
      </c>
      <c r="M1449" s="9" t="str">
        <f t="shared" si="248"/>
        <v>24HA2050A7396</v>
      </c>
      <c r="N1449" s="24">
        <f>IF($A1449="","",WORKDAY($A1449,Settings!$C$9,HolidayDates))</f>
        <v>46212</v>
      </c>
      <c r="O1449" s="24">
        <f>IF($N1449="","",WORKDAY($N1449,Settings!$C$10,HolidayDates))</f>
        <v>46252</v>
      </c>
      <c r="P1449" s="10" t="s">
        <v>501</v>
      </c>
      <c r="Q1449" s="52" t="str">
        <f t="shared" si="251"/>
        <v>Collected</v>
      </c>
      <c r="R1449" s="55" t="str">
        <f t="shared" si="252"/>
        <v>2026-07</v>
      </c>
      <c r="S1449" s="55">
        <f>IF(OR($B1449="",$F1449="",$R1449=""),"",SUMIFS(tblIssues[Qty Issued],tblIssues[Staff ID],$B1449,tblIssues[Item Name],$F1449,tblIssues[Month],$R1449))</f>
        <v>50</v>
      </c>
      <c r="T1449" s="56">
        <f>IF($I1449="","",$I1449*Settings!$C$11)</f>
        <v>50</v>
      </c>
      <c r="U1449" s="57" t="str">
        <f t="shared" si="249"/>
        <v>OK</v>
      </c>
      <c r="V1449" s="55" t="str">
        <f t="shared" si="253"/>
        <v/>
      </c>
      <c r="W1449" s="55" t="str">
        <f>IF($V1449="","",IF(COUNTIF($V$5:$V1449,$V1449)=1,1,""))</f>
        <v/>
      </c>
      <c r="X1449" s="58" t="str">
        <f>IF($W1449="","",MAX($X$4:X1448)+1)</f>
        <v/>
      </c>
      <c r="Y1449" s="62"/>
      <c r="Z1449" s="62"/>
      <c r="AA1449" s="64" t="str">
        <f>IF($C1449="","",IFERROR(INDEX('Staff Directory'!$E$5:$E$594,MATCH($C1449,'Staff Directory'!$B$5:$B$594,0)),""))</f>
        <v>firstname225.lastname225@example.com</v>
      </c>
      <c r="AB1449" s="64" t="str">
        <f>IF($C1449="","",IF(ISNUMBER(SEARCH($D1449,Settings!$C$15)),"Pickup","Dispatch"))</f>
        <v>Pickup</v>
      </c>
      <c r="AC1449" s="64" t="str">
        <f t="shared" si="254"/>
        <v>Supply order ready for pickup</v>
      </c>
      <c r="AD1449" s="64" t="str">
        <f t="shared" si="245"/>
        <v>Dear PSW,
Your order is ready for pickup from Sample Branch, Wed-Fri 9am-4pm.</v>
      </c>
      <c r="AE1449" s="64" t="str">
        <f t="shared" si="246"/>
        <v>mailto:firstname225.lastname225@example.com?subject=Supply%20order%20ready%20for%20pickup&amp;body=Dear%20PSW%2C%0A%0AYour%20order%20is%20ready%20for%20pickup%20from%20Sample%20Branch%2C%20Wed-Fri%209am-4pm.</v>
      </c>
      <c r="AF1449" s="89" t="str">
        <f t="shared" si="255"/>
        <v>Draft email</v>
      </c>
      <c r="AG1449" s="64" t="str">
        <f>IF($C1449="","",IFERROR(INDEX('Staff Directory'!$K$595:$K$599,MATCH($C1449,'Staff Directory'!$B$5:$B$599,0)),$D1449))</f>
        <v>PSW</v>
      </c>
      <c r="AH1449" t="str">
        <f>IF($C1449="","",IFERROR(INDEX('Staff Directory'!$I$595:$I$599,MATCH($C1449,'Staff Directory'!$B$5:$B$599,0))&amp;" "&amp;INDEX('Staff Directory'!$J$595:$J$599,MATCH($C1449,'Staff Directory'!$B$5:$B$599,0)),$AG1449))</f>
        <v>PSW</v>
      </c>
      <c r="AI1449" s="102"/>
      <c r="AJ1449" s="101">
        <f>IF($F1449="","",SUMIFS($J$5:$J1449,$F$5:$F1449,$F1449))</f>
        <v>12700</v>
      </c>
      <c r="AK1449" s="101">
        <f t="shared" si="247"/>
        <v>12651</v>
      </c>
      <c r="AL1449" s="66" t="str" cm="1">
        <f t="array" ref="AL1449">IF($F1449="","",IFERROR(INDEX('Lot Balance'!$B$5:$B$500,MATCH(1,INDEX(('Lot Balance'!$A$5:$A$500=$F1449)*('Lot Balance'!$K$5:$K$500&lt;$AK1449)*('Lot Balance'!$K$5:$K$500+'Lot Balance'!$D$5:$D$500&gt;=$AK1449),0),0)),""))</f>
        <v>24HA2050A7396</v>
      </c>
      <c r="AM1449" s="66" t="str" cm="1">
        <f t="array" ref="AM1449">IF($F1449="","",IFERROR(INDEX('Lot Balance'!$B$5:$B$500,MATCH(1,INDEX(('Lot Balance'!$A$5:$A$500=$F1449)*('Lot Balance'!$K$5:$K$500&lt;$AJ1449)*('Lot Balance'!$K$5:$K$500+'Lot Balance'!$D$5:$D$500&gt;=$AJ1449),0),0)),""))</f>
        <v>24HA2050A7396</v>
      </c>
      <c r="AN1449" s="66" t="str">
        <f>IF($F1449="","",IF($AI1449&lt;&gt;"",IF(COUNTIFS('Lot Balance'!$A$5:$A$500,$F1449,'Lot Balance'!$B$5:$B$500,$AI1449)=0,"⚠ override is not a lot of this item",IF($AI1449=$AL1449,"Override = FEFO","Override - FEFO says "&amp;$AL1449)),IF($AL1449="","⚠ no receipt on file for this item",IF($AM1449&lt;&gt;$AL1449,"FEFO auto - split, also "&amp;$AM1449,"FEFO auto"))))</f>
        <v>FEFO auto</v>
      </c>
      <c r="AO1449" s="114"/>
    </row>
    <row r="1450" spans="1:41" x14ac:dyDescent="0.35">
      <c r="A1450" s="74">
        <v>46204</v>
      </c>
      <c r="B1450" s="18" t="str">
        <f>IF($C1450="","",IFERROR(INDEX('Staff Directory'!$A$5:$A$594,MATCH($C1450,'Staff Directory'!$B$5:$B$594,0)),"⚠ unknown staff"))</f>
        <v>PSW-162-A6</v>
      </c>
      <c r="C1450" s="49" t="s">
        <v>1141</v>
      </c>
      <c r="D1450" s="19" t="str">
        <f>IF($B1450="","",IFERROR(INDEX('Staff Directory'!$C$5:$C$594,MATCH($B1450,'Staff Directory'!$A$5:$A$594,0)),""))</f>
        <v>PSW</v>
      </c>
      <c r="E1450" s="19" t="str">
        <f>IF($B1450="","",IFERROR(INDEX('Staff Directory'!$D$5:$D$594,MATCH($B1450,'Staff Directory'!$A$5:$A$594,0)),""))</f>
        <v>A6</v>
      </c>
      <c r="F1450" s="9" t="s">
        <v>758</v>
      </c>
      <c r="G1450" s="18" t="str">
        <f>IF($F1450="","",IFERROR(INDEX(Items!$B$5:$B$597,MATCH($F1450,Items!$A$5:$A$597,0)),"⚠ not in Items"))</f>
        <v>Utility</v>
      </c>
      <c r="H1450" s="19" t="str">
        <f>IF($F1450="","",IFERROR(INDEX(Items!$C$5:$C$597,MATCH($F1450,Items!$A$5:$A$597,0)),""))</f>
        <v>Standard</v>
      </c>
      <c r="I1450" s="23">
        <f>IF($F1450="","",IFERROR(INDEX(Items!$E$5:$E$597,MATCH($F1450,Items!$A$5:$A$597,0)),""))</f>
        <v>1</v>
      </c>
      <c r="J1450" s="115">
        <f>IF(tblIssues[[#This Row],[Qty Override]]&lt;&gt;"",tblIssues[[#This Row],[Qty Override]],IF(tblIssues[[#This Row],[Standard Issue]]="","",tblIssues[[#This Row],[Standard Issue]]))</f>
        <v>1</v>
      </c>
      <c r="K1450" s="20">
        <f>IF($F1450="","",IFERROR(INDEX(Items!$D$5:$D$597,MATCH($F1450,Items!$A$5:$A$597,0)),""))</f>
        <v>0</v>
      </c>
      <c r="L1450" s="21">
        <f t="shared" si="250"/>
        <v>0</v>
      </c>
      <c r="M1450" s="9" t="str">
        <f t="shared" si="248"/>
        <v/>
      </c>
      <c r="N1450" s="24">
        <f>IF($A1450="","",WORKDAY($A1450,Settings!$C$9,HolidayDates))</f>
        <v>46212</v>
      </c>
      <c r="O1450" s="24">
        <f>IF($N1450="","",WORKDAY($N1450,Settings!$C$10,HolidayDates))</f>
        <v>46252</v>
      </c>
      <c r="P1450" s="10" t="s">
        <v>501</v>
      </c>
      <c r="Q1450" s="52" t="str">
        <f t="shared" si="251"/>
        <v>Collected</v>
      </c>
      <c r="R1450" s="55" t="str">
        <f t="shared" si="252"/>
        <v>2026-07</v>
      </c>
      <c r="S1450" s="55">
        <f>IF(OR($B1450="",$F1450="",$R1450=""),"",SUMIFS(tblIssues[Qty Issued],tblIssues[Staff ID],$B1450,tblIssues[Item Name],$F1450,tblIssues[Month],$R1450))</f>
        <v>1</v>
      </c>
      <c r="T1450" s="56">
        <f>IF($I1450="","",$I1450*Settings!$C$11)</f>
        <v>1</v>
      </c>
      <c r="U1450" s="57" t="str">
        <f t="shared" si="249"/>
        <v>OK</v>
      </c>
      <c r="V1450" s="55" t="str">
        <f t="shared" si="253"/>
        <v/>
      </c>
      <c r="W1450" s="55" t="str">
        <f>IF($V1450="","",IF(COUNTIF($V$5:$V1450,$V1450)=1,1,""))</f>
        <v/>
      </c>
      <c r="X1450" s="58" t="str">
        <f>IF($W1450="","",MAX($X$4:X1449)+1)</f>
        <v/>
      </c>
      <c r="Y1450" s="62"/>
      <c r="Z1450" s="62"/>
      <c r="AA1450" s="64" t="str">
        <f>IF($C1450="","",IFERROR(INDEX('Staff Directory'!$E$5:$E$594,MATCH($C1450,'Staff Directory'!$B$5:$B$594,0)),""))</f>
        <v>firstname225.lastname225@example.com</v>
      </c>
      <c r="AB1450" s="64" t="str">
        <f>IF($C1450="","",IF(ISNUMBER(SEARCH($D1450,Settings!$C$15)),"Pickup","Dispatch"))</f>
        <v>Pickup</v>
      </c>
      <c r="AC1450" s="64" t="str">
        <f t="shared" si="254"/>
        <v>Supply order ready for pickup</v>
      </c>
      <c r="AD1450" s="64" t="str">
        <f t="shared" si="245"/>
        <v>Dear PSW,
Your order is ready for pickup from Sample Branch, Wed-Fri 9am-4pm.</v>
      </c>
      <c r="AE1450" s="64" t="str">
        <f t="shared" si="246"/>
        <v>mailto:firstname225.lastname225@example.com?subject=Supply%20order%20ready%20for%20pickup&amp;body=Dear%20PSW%2C%0A%0AYour%20order%20is%20ready%20for%20pickup%20from%20Sample%20Branch%2C%20Wed-Fri%209am-4pm.</v>
      </c>
      <c r="AF1450" s="89" t="str">
        <f t="shared" si="255"/>
        <v>Draft email</v>
      </c>
      <c r="AG1450" s="64" t="str">
        <f>IF($C1450="","",IFERROR(INDEX('Staff Directory'!$K$595:$K$599,MATCH($C1450,'Staff Directory'!$B$5:$B$599,0)),$D1450))</f>
        <v>PSW</v>
      </c>
      <c r="AH1450" t="str">
        <f>IF($C1450="","",IFERROR(INDEX('Staff Directory'!$I$595:$I$599,MATCH($C1450,'Staff Directory'!$B$5:$B$599,0))&amp;" "&amp;INDEX('Staff Directory'!$J$595:$J$599,MATCH($C1450,'Staff Directory'!$B$5:$B$599,0)),$AG1450))</f>
        <v>PSW</v>
      </c>
      <c r="AI1450" s="102"/>
      <c r="AJ1450" s="101">
        <f>IF($F1450="","",SUMIFS($J$5:$J1450,$F$5:$F1450,$F1450))</f>
        <v>19</v>
      </c>
      <c r="AK1450" s="101">
        <f t="shared" si="247"/>
        <v>19</v>
      </c>
      <c r="AL1450" s="66" t="str" cm="1">
        <f t="array" ref="AL1450">IF($F1450="","",IFERROR(INDEX('Lot Balance'!$B$5:$B$500,MATCH(1,INDEX(('Lot Balance'!$A$5:$A$500=$F1450)*('Lot Balance'!$K$5:$K$500&lt;$AK1450)*('Lot Balance'!$K$5:$K$500+'Lot Balance'!$D$5:$D$500&gt;=$AK1450),0),0)),""))</f>
        <v/>
      </c>
      <c r="AM1450" s="66" t="str" cm="1">
        <f t="array" ref="AM1450">IF($F1450="","",IFERROR(INDEX('Lot Balance'!$B$5:$B$500,MATCH(1,INDEX(('Lot Balance'!$A$5:$A$500=$F1450)*('Lot Balance'!$K$5:$K$500&lt;$AJ1450)*('Lot Balance'!$K$5:$K$500+'Lot Balance'!$D$5:$D$500&gt;=$AJ1450),0),0)),""))</f>
        <v/>
      </c>
      <c r="AN1450" s="66" t="str">
        <f>IF($F1450="","",IF($AI1450&lt;&gt;"",IF(COUNTIFS('Lot Balance'!$A$5:$A$500,$F1450,'Lot Balance'!$B$5:$B$500,$AI1450)=0,"⚠ override is not a lot of this item",IF($AI1450=$AL1450,"Override = FEFO","Override - FEFO says "&amp;$AL1450)),IF($AL1450="","⚠ no receipt on file for this item",IF($AM1450&lt;&gt;$AL1450,"FEFO auto - split, also "&amp;$AM1450,"FEFO auto"))))</f>
        <v>⚠ no receipt on file for this item</v>
      </c>
      <c r="AO1450" s="114"/>
    </row>
    <row r="1451" spans="1:41" x14ac:dyDescent="0.35">
      <c r="A1451" s="74">
        <v>46204</v>
      </c>
      <c r="B1451" s="18" t="str">
        <f>IF($C1451="","",IFERROR(INDEX('Staff Directory'!$A$5:$A$594,MATCH($C1451,'Staff Directory'!$B$5:$B$594,0)),"⚠ unknown staff"))</f>
        <v>PSW-084-A5</v>
      </c>
      <c r="C1451" s="49" t="s">
        <v>1060</v>
      </c>
      <c r="D1451" s="19" t="str">
        <f>IF($B1451="","",IFERROR(INDEX('Staff Directory'!$C$5:$C$594,MATCH($B1451,'Staff Directory'!$A$5:$A$594,0)),""))</f>
        <v>PSW</v>
      </c>
      <c r="E1451" s="19" t="str">
        <f>IF($B1451="","",IFERROR(INDEX('Staff Directory'!$D$5:$D$594,MATCH($B1451,'Staff Directory'!$A$5:$A$594,0)),""))</f>
        <v>A5</v>
      </c>
      <c r="F1451" s="9" t="s">
        <v>127</v>
      </c>
      <c r="G1451" s="18" t="str">
        <f>IF($F1451="","",IFERROR(INDEX(Items!$B$5:$B$597,MATCH($F1451,Items!$A$5:$A$597,0)),"⚠ not in Items"))</f>
        <v>Gloves</v>
      </c>
      <c r="H1451" s="19" t="str">
        <f>IF($F1451="","",IFERROR(INDEX(Items!$C$5:$C$597,MATCH($F1451,Items!$A$5:$A$597,0)),""))</f>
        <v>Medium</v>
      </c>
      <c r="I1451" s="23">
        <f>IF($F1451="","",IFERROR(INDEX(Items!$E$5:$E$597,MATCH($F1451,Items!$A$5:$A$597,0)),""))</f>
        <v>500</v>
      </c>
      <c r="J1451" s="115">
        <f>IF(tblIssues[[#This Row],[Qty Override]]&lt;&gt;"",tblIssues[[#This Row],[Qty Override]],IF(tblIssues[[#This Row],[Standard Issue]]="","",tblIssues[[#This Row],[Standard Issue]]))</f>
        <v>500</v>
      </c>
      <c r="K1451" s="20">
        <f>IF($F1451="","",IFERROR(INDEX(Items!$D$5:$D$597,MATCH($F1451,Items!$A$5:$A$597,0)),""))</f>
        <v>5.5E-2</v>
      </c>
      <c r="L1451" s="21">
        <f t="shared" si="250"/>
        <v>27.5</v>
      </c>
      <c r="M1451" s="9" t="str">
        <f t="shared" si="248"/>
        <v>ZIM510137962-2</v>
      </c>
      <c r="N1451" s="24">
        <f>IF($A1451="","",WORKDAY($A1451,Settings!$C$9,HolidayDates))</f>
        <v>46212</v>
      </c>
      <c r="O1451" s="24">
        <f>IF($N1451="","",WORKDAY($N1451,Settings!$C$10,HolidayDates))</f>
        <v>46252</v>
      </c>
      <c r="P1451" s="10" t="s">
        <v>501</v>
      </c>
      <c r="Q1451" s="52" t="str">
        <f t="shared" si="251"/>
        <v>Collected</v>
      </c>
      <c r="R1451" s="55" t="str">
        <f t="shared" si="252"/>
        <v>2026-07</v>
      </c>
      <c r="S1451" s="55">
        <f>IF(OR($B1451="",$F1451="",$R1451=""),"",SUMIFS(tblIssues[Qty Issued],tblIssues[Staff ID],$B1451,tblIssues[Item Name],$F1451,tblIssues[Month],$R1451))</f>
        <v>500</v>
      </c>
      <c r="T1451" s="56">
        <f>IF($I1451="","",$I1451*Settings!$C$11)</f>
        <v>500</v>
      </c>
      <c r="U1451" s="57" t="str">
        <f t="shared" si="249"/>
        <v>OK</v>
      </c>
      <c r="V1451" s="55" t="str">
        <f t="shared" si="253"/>
        <v/>
      </c>
      <c r="W1451" s="55" t="str">
        <f>IF($V1451="","",IF(COUNTIF($V$5:$V1451,$V1451)=1,1,""))</f>
        <v/>
      </c>
      <c r="X1451" s="58" t="str">
        <f>IF($W1451="","",MAX($X$4:X1450)+1)</f>
        <v/>
      </c>
      <c r="Y1451" s="62"/>
      <c r="Z1451" s="62"/>
      <c r="AA1451" s="64" t="str">
        <f>IF($C1451="","",IFERROR(INDEX('Staff Directory'!$E$5:$E$594,MATCH($C1451,'Staff Directory'!$B$5:$B$594,0)),""))</f>
        <v>firstname144.lastname144@example.com</v>
      </c>
      <c r="AB1451" s="64" t="str">
        <f>IF($C1451="","",IF(ISNUMBER(SEARCH($D1451,Settings!$C$15)),"Pickup","Dispatch"))</f>
        <v>Pickup</v>
      </c>
      <c r="AC1451" s="64" t="str">
        <f t="shared" si="254"/>
        <v>Supply order ready for pickup</v>
      </c>
      <c r="AD1451" s="64" t="str">
        <f t="shared" si="245"/>
        <v>Dear PSW,
Your order is ready for pickup from Sample Branch, Wed-Fri 9am-4pm.</v>
      </c>
      <c r="AE1451" s="64" t="str">
        <f t="shared" si="246"/>
        <v>mailto:firstname144.lastname144@example.com?subject=Supply%20order%20ready%20for%20pickup&amp;body=Dear%20PSW%2C%0A%0AYour%20order%20is%20ready%20for%20pickup%20from%20Sample%20Branch%2C%20Wed-Fri%209am-4pm.</v>
      </c>
      <c r="AF1451" s="89" t="str">
        <f t="shared" si="255"/>
        <v>Draft email</v>
      </c>
      <c r="AG1451" s="64" t="str">
        <f>IF($C1451="","",IFERROR(INDEX('Staff Directory'!$K$595:$K$599,MATCH($C1451,'Staff Directory'!$B$5:$B$599,0)),$D1451))</f>
        <v>PSW</v>
      </c>
      <c r="AH1451" t="str">
        <f>IF($C1451="","",IFERROR(INDEX('Staff Directory'!$I$595:$I$599,MATCH($C1451,'Staff Directory'!$B$5:$B$599,0))&amp;" "&amp;INDEX('Staff Directory'!$J$595:$J$599,MATCH($C1451,'Staff Directory'!$B$5:$B$599,0)),$AG1451))</f>
        <v>PSW</v>
      </c>
      <c r="AI1451" s="102"/>
      <c r="AJ1451" s="101">
        <f>IF($F1451="","",SUMIFS($J$5:$J1451,$F$5:$F1451,$F1451))</f>
        <v>89500</v>
      </c>
      <c r="AK1451" s="101">
        <f t="shared" si="247"/>
        <v>89001</v>
      </c>
      <c r="AL1451" s="66" t="str" cm="1">
        <f t="array" ref="AL1451">IF($F1451="","",IFERROR(INDEX('Lot Balance'!$B$5:$B$500,MATCH(1,INDEX(('Lot Balance'!$A$5:$A$500=$F1451)*('Lot Balance'!$K$5:$K$500&lt;$AK1451)*('Lot Balance'!$K$5:$K$500+'Lot Balance'!$D$5:$D$500&gt;=$AK1451),0),0)),""))</f>
        <v>ZIM510137962-2</v>
      </c>
      <c r="AM1451" s="66" t="str" cm="1">
        <f t="array" ref="AM1451">IF($F1451="","",IFERROR(INDEX('Lot Balance'!$B$5:$B$500,MATCH(1,INDEX(('Lot Balance'!$A$5:$A$500=$F1451)*('Lot Balance'!$K$5:$K$500&lt;$AJ1451)*('Lot Balance'!$K$5:$K$500+'Lot Balance'!$D$5:$D$500&gt;=$AJ1451),0),0)),""))</f>
        <v>ZIM510137962-2</v>
      </c>
      <c r="AN1451" s="66" t="str">
        <f>IF($F1451="","",IF($AI1451&lt;&gt;"",IF(COUNTIFS('Lot Balance'!$A$5:$A$500,$F1451,'Lot Balance'!$B$5:$B$500,$AI1451)=0,"⚠ override is not a lot of this item",IF($AI1451=$AL1451,"Override = FEFO","Override - FEFO says "&amp;$AL1451)),IF($AL1451="","⚠ no receipt on file for this item",IF($AM1451&lt;&gt;$AL1451,"FEFO auto - split, also "&amp;$AM1451,"FEFO auto"))))</f>
        <v>FEFO auto</v>
      </c>
      <c r="AO1451" s="114"/>
    </row>
    <row r="1452" spans="1:41" x14ac:dyDescent="0.35">
      <c r="A1452" s="74">
        <v>46204</v>
      </c>
      <c r="B1452" s="18" t="str">
        <f>IF($C1452="","",IFERROR(INDEX('Staff Directory'!$A$5:$A$594,MATCH($C1452,'Staff Directory'!$B$5:$B$594,0)),"⚠ unknown staff"))</f>
        <v>PSW-084-A5</v>
      </c>
      <c r="C1452" s="49" t="s">
        <v>1060</v>
      </c>
      <c r="D1452" s="19" t="str">
        <f>IF($B1452="","",IFERROR(INDEX('Staff Directory'!$C$5:$C$594,MATCH($B1452,'Staff Directory'!$A$5:$A$594,0)),""))</f>
        <v>PSW</v>
      </c>
      <c r="E1452" s="19" t="str">
        <f>IF($B1452="","",IFERROR(INDEX('Staff Directory'!$D$5:$D$594,MATCH($B1452,'Staff Directory'!$A$5:$A$594,0)),""))</f>
        <v>A5</v>
      </c>
      <c r="F1452" s="9" t="s">
        <v>156</v>
      </c>
      <c r="G1452" s="18" t="str">
        <f>IF($F1452="","",IFERROR(INDEX(Items!$B$5:$B$597,MATCH($F1452,Items!$A$5:$A$597,0)),"⚠ not in Items"))</f>
        <v>Masks</v>
      </c>
      <c r="H1452" s="19" t="str">
        <f>IF($F1452="","",IFERROR(INDEX(Items!$C$5:$C$597,MATCH($F1452,Items!$A$5:$A$597,0)),""))</f>
        <v>One Size</v>
      </c>
      <c r="I1452" s="23">
        <f>IF($F1452="","",IFERROR(INDEX(Items!$E$5:$E$597,MATCH($F1452,Items!$A$5:$A$597,0)),""))</f>
        <v>50</v>
      </c>
      <c r="J1452" s="115">
        <f>IF(tblIssues[[#This Row],[Qty Override]]&lt;&gt;"",tblIssues[[#This Row],[Qty Override]],IF(tblIssues[[#This Row],[Standard Issue]]="","",tblIssues[[#This Row],[Standard Issue]]))</f>
        <v>50</v>
      </c>
      <c r="K1452" s="20">
        <f>IF($F1452="","",IFERROR(INDEX(Items!$D$5:$D$597,MATCH($F1452,Items!$A$5:$A$597,0)),""))</f>
        <v>0.25</v>
      </c>
      <c r="L1452" s="21">
        <f t="shared" si="250"/>
        <v>12.5</v>
      </c>
      <c r="M1452" s="9" t="str">
        <f t="shared" si="248"/>
        <v>24HA2050A7396</v>
      </c>
      <c r="N1452" s="24">
        <f>IF($A1452="","",WORKDAY($A1452,Settings!$C$9,HolidayDates))</f>
        <v>46212</v>
      </c>
      <c r="O1452" s="24">
        <f>IF($N1452="","",WORKDAY($N1452,Settings!$C$10,HolidayDates))</f>
        <v>46252</v>
      </c>
      <c r="P1452" s="10" t="s">
        <v>501</v>
      </c>
      <c r="Q1452" s="52" t="str">
        <f t="shared" si="251"/>
        <v>Collected</v>
      </c>
      <c r="R1452" s="55" t="str">
        <f t="shared" si="252"/>
        <v>2026-07</v>
      </c>
      <c r="S1452" s="55">
        <f>IF(OR($B1452="",$F1452="",$R1452=""),"",SUMIFS(tblIssues[Qty Issued],tblIssues[Staff ID],$B1452,tblIssues[Item Name],$F1452,tblIssues[Month],$R1452))</f>
        <v>50</v>
      </c>
      <c r="T1452" s="56">
        <f>IF($I1452="","",$I1452*Settings!$C$11)</f>
        <v>50</v>
      </c>
      <c r="U1452" s="57" t="str">
        <f t="shared" si="249"/>
        <v>OK</v>
      </c>
      <c r="V1452" s="55" t="str">
        <f t="shared" si="253"/>
        <v/>
      </c>
      <c r="W1452" s="55" t="str">
        <f>IF($V1452="","",IF(COUNTIF($V$5:$V1452,$V1452)=1,1,""))</f>
        <v/>
      </c>
      <c r="X1452" s="58" t="str">
        <f>IF($W1452="","",MAX($X$4:X1451)+1)</f>
        <v/>
      </c>
      <c r="Y1452" s="62"/>
      <c r="Z1452" s="62"/>
      <c r="AA1452" s="64" t="str">
        <f>IF($C1452="","",IFERROR(INDEX('Staff Directory'!$E$5:$E$594,MATCH($C1452,'Staff Directory'!$B$5:$B$594,0)),""))</f>
        <v>firstname144.lastname144@example.com</v>
      </c>
      <c r="AB1452" s="64" t="str">
        <f>IF($C1452="","",IF(ISNUMBER(SEARCH($D1452,Settings!$C$15)),"Pickup","Dispatch"))</f>
        <v>Pickup</v>
      </c>
      <c r="AC1452" s="64" t="str">
        <f t="shared" si="254"/>
        <v>Supply order ready for pickup</v>
      </c>
      <c r="AD1452" s="64" t="str">
        <f t="shared" si="245"/>
        <v>Dear PSW,
Your order is ready for pickup from Sample Branch, Wed-Fri 9am-4pm.</v>
      </c>
      <c r="AE1452" s="64" t="str">
        <f t="shared" si="246"/>
        <v>mailto:firstname144.lastname144@example.com?subject=Supply%20order%20ready%20for%20pickup&amp;body=Dear%20PSW%2C%0A%0AYour%20order%20is%20ready%20for%20pickup%20from%20Sample%20Branch%2C%20Wed-Fri%209am-4pm.</v>
      </c>
      <c r="AF1452" s="89" t="str">
        <f t="shared" si="255"/>
        <v>Draft email</v>
      </c>
      <c r="AG1452" s="64" t="str">
        <f>IF($C1452="","",IFERROR(INDEX('Staff Directory'!$K$595:$K$599,MATCH($C1452,'Staff Directory'!$B$5:$B$599,0)),$D1452))</f>
        <v>PSW</v>
      </c>
      <c r="AH1452" t="str">
        <f>IF($C1452="","",IFERROR(INDEX('Staff Directory'!$I$595:$I$599,MATCH($C1452,'Staff Directory'!$B$5:$B$599,0))&amp;" "&amp;INDEX('Staff Directory'!$J$595:$J$599,MATCH($C1452,'Staff Directory'!$B$5:$B$599,0)),$AG1452))</f>
        <v>PSW</v>
      </c>
      <c r="AI1452" s="102"/>
      <c r="AJ1452" s="101">
        <f>IF($F1452="","",SUMIFS($J$5:$J1452,$F$5:$F1452,$F1452))</f>
        <v>12750</v>
      </c>
      <c r="AK1452" s="101">
        <f t="shared" si="247"/>
        <v>12701</v>
      </c>
      <c r="AL1452" s="66" t="str" cm="1">
        <f t="array" ref="AL1452">IF($F1452="","",IFERROR(INDEX('Lot Balance'!$B$5:$B$500,MATCH(1,INDEX(('Lot Balance'!$A$5:$A$500=$F1452)*('Lot Balance'!$K$5:$K$500&lt;$AK1452)*('Lot Balance'!$K$5:$K$500+'Lot Balance'!$D$5:$D$500&gt;=$AK1452),0),0)),""))</f>
        <v>24HA2050A7396</v>
      </c>
      <c r="AM1452" s="66" t="str" cm="1">
        <f t="array" ref="AM1452">IF($F1452="","",IFERROR(INDEX('Lot Balance'!$B$5:$B$500,MATCH(1,INDEX(('Lot Balance'!$A$5:$A$500=$F1452)*('Lot Balance'!$K$5:$K$500&lt;$AJ1452)*('Lot Balance'!$K$5:$K$500+'Lot Balance'!$D$5:$D$500&gt;=$AJ1452),0),0)),""))</f>
        <v>24HA2050A7396</v>
      </c>
      <c r="AN1452" s="66" t="str">
        <f>IF($F1452="","",IF($AI1452&lt;&gt;"",IF(COUNTIFS('Lot Balance'!$A$5:$A$500,$F1452,'Lot Balance'!$B$5:$B$500,$AI1452)=0,"⚠ override is not a lot of this item",IF($AI1452=$AL1452,"Override = FEFO","Override - FEFO says "&amp;$AL1452)),IF($AL1452="","⚠ no receipt on file for this item",IF($AM1452&lt;&gt;$AL1452,"FEFO auto - split, also "&amp;$AM1452,"FEFO auto"))))</f>
        <v>FEFO auto</v>
      </c>
      <c r="AO1452" s="114"/>
    </row>
    <row r="1453" spans="1:41" x14ac:dyDescent="0.35">
      <c r="A1453" s="74">
        <v>46204</v>
      </c>
      <c r="B1453" s="18" t="str">
        <f>IF($C1453="","",IFERROR(INDEX('Staff Directory'!$A$5:$A$594,MATCH($C1453,'Staff Directory'!$B$5:$B$594,0)),"⚠ unknown staff"))</f>
        <v>PSW-084-A5</v>
      </c>
      <c r="C1453" s="49" t="s">
        <v>1060</v>
      </c>
      <c r="D1453" s="19" t="str">
        <f>IF($B1453="","",IFERROR(INDEX('Staff Directory'!$C$5:$C$594,MATCH($B1453,'Staff Directory'!$A$5:$A$594,0)),""))</f>
        <v>PSW</v>
      </c>
      <c r="E1453" s="19" t="str">
        <f>IF($B1453="","",IFERROR(INDEX('Staff Directory'!$D$5:$D$594,MATCH($B1453,'Staff Directory'!$A$5:$A$594,0)),""))</f>
        <v>A5</v>
      </c>
      <c r="F1453" s="9" t="s">
        <v>758</v>
      </c>
      <c r="G1453" s="18" t="str">
        <f>IF($F1453="","",IFERROR(INDEX(Items!$B$5:$B$597,MATCH($F1453,Items!$A$5:$A$597,0)),"⚠ not in Items"))</f>
        <v>Utility</v>
      </c>
      <c r="H1453" s="19" t="str">
        <f>IF($F1453="","",IFERROR(INDEX(Items!$C$5:$C$597,MATCH($F1453,Items!$A$5:$A$597,0)),""))</f>
        <v>Standard</v>
      </c>
      <c r="I1453" s="23">
        <f>IF($F1453="","",IFERROR(INDEX(Items!$E$5:$E$597,MATCH($F1453,Items!$A$5:$A$597,0)),""))</f>
        <v>1</v>
      </c>
      <c r="J1453" s="115">
        <f>IF(tblIssues[[#This Row],[Qty Override]]&lt;&gt;"",tblIssues[[#This Row],[Qty Override]],IF(tblIssues[[#This Row],[Standard Issue]]="","",tblIssues[[#This Row],[Standard Issue]]))</f>
        <v>1</v>
      </c>
      <c r="K1453" s="20">
        <f>IF($F1453="","",IFERROR(INDEX(Items!$D$5:$D$597,MATCH($F1453,Items!$A$5:$A$597,0)),""))</f>
        <v>0</v>
      </c>
      <c r="L1453" s="21">
        <f t="shared" si="250"/>
        <v>0</v>
      </c>
      <c r="M1453" s="9" t="str">
        <f t="shared" si="248"/>
        <v/>
      </c>
      <c r="N1453" s="24">
        <f>IF($A1453="","",WORKDAY($A1453,Settings!$C$9,HolidayDates))</f>
        <v>46212</v>
      </c>
      <c r="O1453" s="24">
        <f>IF($N1453="","",WORKDAY($N1453,Settings!$C$10,HolidayDates))</f>
        <v>46252</v>
      </c>
      <c r="P1453" s="10" t="s">
        <v>501</v>
      </c>
      <c r="Q1453" s="52" t="str">
        <f t="shared" si="251"/>
        <v>Collected</v>
      </c>
      <c r="R1453" s="55" t="str">
        <f t="shared" si="252"/>
        <v>2026-07</v>
      </c>
      <c r="S1453" s="55">
        <f>IF(OR($B1453="",$F1453="",$R1453=""),"",SUMIFS(tblIssues[Qty Issued],tblIssues[Staff ID],$B1453,tblIssues[Item Name],$F1453,tblIssues[Month],$R1453))</f>
        <v>1</v>
      </c>
      <c r="T1453" s="56">
        <f>IF($I1453="","",$I1453*Settings!$C$11)</f>
        <v>1</v>
      </c>
      <c r="U1453" s="57" t="str">
        <f t="shared" si="249"/>
        <v>OK</v>
      </c>
      <c r="V1453" s="55" t="str">
        <f t="shared" si="253"/>
        <v/>
      </c>
      <c r="W1453" s="55" t="str">
        <f>IF($V1453="","",IF(COUNTIF($V$5:$V1453,$V1453)=1,1,""))</f>
        <v/>
      </c>
      <c r="X1453" s="58" t="str">
        <f>IF($W1453="","",MAX($X$4:X1452)+1)</f>
        <v/>
      </c>
      <c r="Y1453" s="62"/>
      <c r="Z1453" s="62"/>
      <c r="AA1453" s="64" t="str">
        <f>IF($C1453="","",IFERROR(INDEX('Staff Directory'!$E$5:$E$594,MATCH($C1453,'Staff Directory'!$B$5:$B$594,0)),""))</f>
        <v>firstname144.lastname144@example.com</v>
      </c>
      <c r="AB1453" s="64" t="str">
        <f>IF($C1453="","",IF(ISNUMBER(SEARCH($D1453,Settings!$C$15)),"Pickup","Dispatch"))</f>
        <v>Pickup</v>
      </c>
      <c r="AC1453" s="64" t="str">
        <f t="shared" si="254"/>
        <v>Supply order ready for pickup</v>
      </c>
      <c r="AD1453" s="64" t="str">
        <f t="shared" si="245"/>
        <v>Dear PSW,
Your order is ready for pickup from Sample Branch, Wed-Fri 9am-4pm.</v>
      </c>
      <c r="AE1453" s="64" t="str">
        <f t="shared" si="246"/>
        <v>mailto:firstname144.lastname144@example.com?subject=Supply%20order%20ready%20for%20pickup&amp;body=Dear%20PSW%2C%0A%0AYour%20order%20is%20ready%20for%20pickup%20from%20Sample%20Branch%2C%20Wed-Fri%209am-4pm.</v>
      </c>
      <c r="AF1453" s="89" t="str">
        <f t="shared" si="255"/>
        <v>Draft email</v>
      </c>
      <c r="AG1453" s="64" t="str">
        <f>IF($C1453="","",IFERROR(INDEX('Staff Directory'!$K$595:$K$599,MATCH($C1453,'Staff Directory'!$B$5:$B$599,0)),$D1453))</f>
        <v>PSW</v>
      </c>
      <c r="AH1453" t="str">
        <f>IF($C1453="","",IFERROR(INDEX('Staff Directory'!$I$595:$I$599,MATCH($C1453,'Staff Directory'!$B$5:$B$599,0))&amp;" "&amp;INDEX('Staff Directory'!$J$595:$J$599,MATCH($C1453,'Staff Directory'!$B$5:$B$599,0)),$AG1453))</f>
        <v>PSW</v>
      </c>
      <c r="AI1453" s="102"/>
      <c r="AJ1453" s="101">
        <f>IF($F1453="","",SUMIFS($J$5:$J1453,$F$5:$F1453,$F1453))</f>
        <v>20</v>
      </c>
      <c r="AK1453" s="101">
        <f t="shared" si="247"/>
        <v>20</v>
      </c>
      <c r="AL1453" s="66" t="str" cm="1">
        <f t="array" ref="AL1453">IF($F1453="","",IFERROR(INDEX('Lot Balance'!$B$5:$B$500,MATCH(1,INDEX(('Lot Balance'!$A$5:$A$500=$F1453)*('Lot Balance'!$K$5:$K$500&lt;$AK1453)*('Lot Balance'!$K$5:$K$500+'Lot Balance'!$D$5:$D$500&gt;=$AK1453),0),0)),""))</f>
        <v/>
      </c>
      <c r="AM1453" s="66" t="str" cm="1">
        <f t="array" ref="AM1453">IF($F1453="","",IFERROR(INDEX('Lot Balance'!$B$5:$B$500,MATCH(1,INDEX(('Lot Balance'!$A$5:$A$500=$F1453)*('Lot Balance'!$K$5:$K$500&lt;$AJ1453)*('Lot Balance'!$K$5:$K$500+'Lot Balance'!$D$5:$D$500&gt;=$AJ1453),0),0)),""))</f>
        <v/>
      </c>
      <c r="AN1453" s="66" t="str">
        <f>IF($F1453="","",IF($AI1453&lt;&gt;"",IF(COUNTIFS('Lot Balance'!$A$5:$A$500,$F1453,'Lot Balance'!$B$5:$B$500,$AI1453)=0,"⚠ override is not a lot of this item",IF($AI1453=$AL1453,"Override = FEFO","Override - FEFO says "&amp;$AL1453)),IF($AL1453="","⚠ no receipt on file for this item",IF($AM1453&lt;&gt;$AL1453,"FEFO auto - split, also "&amp;$AM1453,"FEFO auto"))))</f>
        <v>⚠ no receipt on file for this item</v>
      </c>
      <c r="AO1453" s="114"/>
    </row>
    <row r="1454" spans="1:41" x14ac:dyDescent="0.35">
      <c r="A1454" s="74">
        <v>46204</v>
      </c>
      <c r="B1454" s="18" t="str">
        <f>IF($C1454="","",IFERROR(INDEX('Staff Directory'!$A$5:$A$594,MATCH($C1454,'Staff Directory'!$B$5:$B$594,0)),"⚠ unknown staff"))</f>
        <v>PSW-056-A6</v>
      </c>
      <c r="C1454" s="49" t="s">
        <v>1032</v>
      </c>
      <c r="D1454" s="19" t="str">
        <f>IF($B1454="","",IFERROR(INDEX('Staff Directory'!$C$5:$C$594,MATCH($B1454,'Staff Directory'!$A$5:$A$594,0)),""))</f>
        <v>PSW</v>
      </c>
      <c r="E1454" s="19" t="str">
        <f>IF($B1454="","",IFERROR(INDEX('Staff Directory'!$D$5:$D$594,MATCH($B1454,'Staff Directory'!$A$5:$A$594,0)),""))</f>
        <v>A6</v>
      </c>
      <c r="F1454" s="9" t="s">
        <v>129</v>
      </c>
      <c r="G1454" s="18" t="str">
        <f>IF($F1454="","",IFERROR(INDEX(Items!$B$5:$B$597,MATCH($F1454,Items!$A$5:$A$597,0)),"⚠ not in Items"))</f>
        <v>Gloves</v>
      </c>
      <c r="H1454" s="19" t="str">
        <f>IF($F1454="","",IFERROR(INDEX(Items!$C$5:$C$597,MATCH($F1454,Items!$A$5:$A$597,0)),""))</f>
        <v>Small</v>
      </c>
      <c r="I1454" s="23">
        <f>IF($F1454="","",IFERROR(INDEX(Items!$E$5:$E$597,MATCH($F1454,Items!$A$5:$A$597,0)),""))</f>
        <v>500</v>
      </c>
      <c r="J1454" s="115">
        <f>IF(tblIssues[[#This Row],[Qty Override]]&lt;&gt;"",tblIssues[[#This Row],[Qty Override]],IF(tblIssues[[#This Row],[Standard Issue]]="","",tblIssues[[#This Row],[Standard Issue]]))</f>
        <v>500</v>
      </c>
      <c r="K1454" s="20">
        <f>IF($F1454="","",IFERROR(INDEX(Items!$D$5:$D$597,MATCH($F1454,Items!$A$5:$A$597,0)),""))</f>
        <v>5.5E-2</v>
      </c>
      <c r="L1454" s="21">
        <f t="shared" si="250"/>
        <v>27.5</v>
      </c>
      <c r="M1454" s="9" t="str">
        <f t="shared" si="248"/>
        <v>ZIM502120291</v>
      </c>
      <c r="N1454" s="24">
        <f>IF($A1454="","",WORKDAY($A1454,Settings!$C$9,HolidayDates))</f>
        <v>46212</v>
      </c>
      <c r="O1454" s="24">
        <f>IF($N1454="","",WORKDAY($N1454,Settings!$C$10,HolidayDates))</f>
        <v>46252</v>
      </c>
      <c r="P1454" s="10" t="s">
        <v>501</v>
      </c>
      <c r="Q1454" s="52" t="str">
        <f t="shared" si="251"/>
        <v>Collected</v>
      </c>
      <c r="R1454" s="55" t="str">
        <f t="shared" si="252"/>
        <v>2026-07</v>
      </c>
      <c r="S1454" s="55">
        <f>IF(OR($B1454="",$F1454="",$R1454=""),"",SUMIFS(tblIssues[Qty Issued],tblIssues[Staff ID],$B1454,tblIssues[Item Name],$F1454,tblIssues[Month],$R1454))</f>
        <v>500</v>
      </c>
      <c r="T1454" s="56">
        <f>IF($I1454="","",$I1454*Settings!$C$11)</f>
        <v>500</v>
      </c>
      <c r="U1454" s="57" t="str">
        <f t="shared" si="249"/>
        <v>OK</v>
      </c>
      <c r="V1454" s="55" t="str">
        <f t="shared" si="253"/>
        <v/>
      </c>
      <c r="W1454" s="55" t="str">
        <f>IF($V1454="","",IF(COUNTIF($V$5:$V1454,$V1454)=1,1,""))</f>
        <v/>
      </c>
      <c r="X1454" s="58" t="str">
        <f>IF($W1454="","",MAX($X$4:X1453)+1)</f>
        <v/>
      </c>
      <c r="Y1454" s="62"/>
      <c r="Z1454" s="62"/>
      <c r="AA1454" s="64" t="str">
        <f>IF($C1454="","",IFERROR(INDEX('Staff Directory'!$E$5:$E$594,MATCH($C1454,'Staff Directory'!$B$5:$B$594,0)),""))</f>
        <v>firstname116.lastname116@example.com</v>
      </c>
      <c r="AB1454" s="64" t="str">
        <f>IF($C1454="","",IF(ISNUMBER(SEARCH($D1454,Settings!$C$15)),"Pickup","Dispatch"))</f>
        <v>Pickup</v>
      </c>
      <c r="AC1454" s="64" t="str">
        <f t="shared" si="254"/>
        <v>Supply order ready for pickup</v>
      </c>
      <c r="AD1454" s="64" t="str">
        <f t="shared" si="245"/>
        <v>Dear PSW,
Your order is ready for pickup from Sample Branch, Wed-Fri 9am-4pm.</v>
      </c>
      <c r="AE1454" s="64" t="str">
        <f t="shared" si="246"/>
        <v>mailto:firstname116.lastname116@example.com?subject=Supply%20order%20ready%20for%20pickup&amp;body=Dear%20PSW%2C%0A%0AYour%20order%20is%20ready%20for%20pickup%20from%20Sample%20Branch%2C%20Wed-Fri%209am-4pm.</v>
      </c>
      <c r="AF1454" s="89" t="str">
        <f t="shared" si="255"/>
        <v>Draft email</v>
      </c>
      <c r="AG1454" s="64" t="str">
        <f>IF($C1454="","",IFERROR(INDEX('Staff Directory'!$K$595:$K$599,MATCH($C1454,'Staff Directory'!$B$5:$B$599,0)),$D1454))</f>
        <v>PSW</v>
      </c>
      <c r="AH1454" t="str">
        <f>IF($C1454="","",IFERROR(INDEX('Staff Directory'!$I$595:$I$599,MATCH($C1454,'Staff Directory'!$B$5:$B$599,0))&amp;" "&amp;INDEX('Staff Directory'!$J$595:$J$599,MATCH($C1454,'Staff Directory'!$B$5:$B$599,0)),$AG1454))</f>
        <v>PSW</v>
      </c>
      <c r="AI1454" s="102"/>
      <c r="AJ1454" s="101">
        <f>IF($F1454="","",SUMIFS($J$5:$J1454,$F$5:$F1454,$F1454))</f>
        <v>44500</v>
      </c>
      <c r="AK1454" s="101">
        <f t="shared" si="247"/>
        <v>44001</v>
      </c>
      <c r="AL1454" s="66" t="str" cm="1">
        <f t="array" ref="AL1454">IF($F1454="","",IFERROR(INDEX('Lot Balance'!$B$5:$B$500,MATCH(1,INDEX(('Lot Balance'!$A$5:$A$500=$F1454)*('Lot Balance'!$K$5:$K$500&lt;$AK1454)*('Lot Balance'!$K$5:$K$500+'Lot Balance'!$D$5:$D$500&gt;=$AK1454),0),0)),""))</f>
        <v>ZIM502120291</v>
      </c>
      <c r="AM1454" s="66" t="str" cm="1">
        <f t="array" ref="AM1454">IF($F1454="","",IFERROR(INDEX('Lot Balance'!$B$5:$B$500,MATCH(1,INDEX(('Lot Balance'!$A$5:$A$500=$F1454)*('Lot Balance'!$K$5:$K$500&lt;$AJ1454)*('Lot Balance'!$K$5:$K$500+'Lot Balance'!$D$5:$D$500&gt;=$AJ1454),0),0)),""))</f>
        <v>ZIM502120291</v>
      </c>
      <c r="AN1454" s="66" t="str">
        <f>IF($F1454="","",IF($AI1454&lt;&gt;"",IF(COUNTIFS('Lot Balance'!$A$5:$A$500,$F1454,'Lot Balance'!$B$5:$B$500,$AI1454)=0,"⚠ override is not a lot of this item",IF($AI1454=$AL1454,"Override = FEFO","Override - FEFO says "&amp;$AL1454)),IF($AL1454="","⚠ no receipt on file for this item",IF($AM1454&lt;&gt;$AL1454,"FEFO auto - split, also "&amp;$AM1454,"FEFO auto"))))</f>
        <v>FEFO auto</v>
      </c>
      <c r="AO1454" s="114"/>
    </row>
    <row r="1455" spans="1:41" x14ac:dyDescent="0.35">
      <c r="A1455" s="74">
        <v>46204</v>
      </c>
      <c r="B1455" s="18" t="str">
        <f>IF($C1455="","",IFERROR(INDEX('Staff Directory'!$A$5:$A$594,MATCH($C1455,'Staff Directory'!$B$5:$B$594,0)),"⚠ unknown staff"))</f>
        <v>PSW-056-A6</v>
      </c>
      <c r="C1455" s="49" t="s">
        <v>1032</v>
      </c>
      <c r="D1455" s="19" t="str">
        <f>IF($B1455="","",IFERROR(INDEX('Staff Directory'!$C$5:$C$594,MATCH($B1455,'Staff Directory'!$A$5:$A$594,0)),""))</f>
        <v>PSW</v>
      </c>
      <c r="E1455" s="19" t="str">
        <f>IF($B1455="","",IFERROR(INDEX('Staff Directory'!$D$5:$D$594,MATCH($B1455,'Staff Directory'!$A$5:$A$594,0)),""))</f>
        <v>A6</v>
      </c>
      <c r="F1455" s="9" t="s">
        <v>115</v>
      </c>
      <c r="G1455" s="18" t="str">
        <f>IF($F1455="","",IFERROR(INDEX(Items!$B$5:$B$597,MATCH($F1455,Items!$A$5:$A$597,0)),"⚠ not in Items"))</f>
        <v>Wipes</v>
      </c>
      <c r="H1455" s="19">
        <f>IF($F1455="","",IFERROR(INDEX(Items!$C$5:$C$597,MATCH($F1455,Items!$A$5:$A$597,0)),""))</f>
        <v>80</v>
      </c>
      <c r="I1455" s="23">
        <f>IF($F1455="","",IFERROR(INDEX(Items!$E$5:$E$597,MATCH($F1455,Items!$A$5:$A$597,0)),""))</f>
        <v>80</v>
      </c>
      <c r="J1455" s="115">
        <f>IF(tblIssues[[#This Row],[Qty Override]]&lt;&gt;"",tblIssues[[#This Row],[Qty Override]],IF(tblIssues[[#This Row],[Standard Issue]]="","",tblIssues[[#This Row],[Standard Issue]]))</f>
        <v>80</v>
      </c>
      <c r="K1455" s="20">
        <f>IF($F1455="","",IFERROR(INDEX(Items!$D$5:$D$597,MATCH($F1455,Items!$A$5:$A$597,0)),""))</f>
        <v>0.1</v>
      </c>
      <c r="L1455" s="21">
        <f t="shared" si="250"/>
        <v>8</v>
      </c>
      <c r="M1455" s="9" t="str">
        <f t="shared" si="248"/>
        <v>LYSL500290</v>
      </c>
      <c r="N1455" s="24">
        <f>IF($A1455="","",WORKDAY($A1455,Settings!$C$9,HolidayDates))</f>
        <v>46212</v>
      </c>
      <c r="O1455" s="24">
        <f>IF($N1455="","",WORKDAY($N1455,Settings!$C$10,HolidayDates))</f>
        <v>46252</v>
      </c>
      <c r="P1455" s="10" t="s">
        <v>501</v>
      </c>
      <c r="Q1455" s="52" t="str">
        <f t="shared" si="251"/>
        <v>Collected</v>
      </c>
      <c r="R1455" s="55" t="str">
        <f t="shared" si="252"/>
        <v>2026-07</v>
      </c>
      <c r="S1455" s="55">
        <f>IF(OR($B1455="",$F1455="",$R1455=""),"",SUMIFS(tblIssues[Qty Issued],tblIssues[Staff ID],$B1455,tblIssues[Item Name],$F1455,tblIssues[Month],$R1455))</f>
        <v>80</v>
      </c>
      <c r="T1455" s="56">
        <f>IF($I1455="","",$I1455*Settings!$C$11)</f>
        <v>80</v>
      </c>
      <c r="U1455" s="57" t="str">
        <f t="shared" si="249"/>
        <v>OK</v>
      </c>
      <c r="V1455" s="55" t="str">
        <f t="shared" si="253"/>
        <v/>
      </c>
      <c r="W1455" s="55" t="str">
        <f>IF($V1455="","",IF(COUNTIF($V$5:$V1455,$V1455)=1,1,""))</f>
        <v/>
      </c>
      <c r="X1455" s="58" t="str">
        <f>IF($W1455="","",MAX($X$4:X1454)+1)</f>
        <v/>
      </c>
      <c r="Y1455" s="62"/>
      <c r="Z1455" s="62"/>
      <c r="AA1455" s="64" t="str">
        <f>IF($C1455="","",IFERROR(INDEX('Staff Directory'!$E$5:$E$594,MATCH($C1455,'Staff Directory'!$B$5:$B$594,0)),""))</f>
        <v>firstname116.lastname116@example.com</v>
      </c>
      <c r="AB1455" s="64" t="str">
        <f>IF($C1455="","",IF(ISNUMBER(SEARCH($D1455,Settings!$C$15)),"Pickup","Dispatch"))</f>
        <v>Pickup</v>
      </c>
      <c r="AC1455" s="64" t="str">
        <f t="shared" si="254"/>
        <v>Supply order ready for pickup</v>
      </c>
      <c r="AD1455" s="64" t="str">
        <f t="shared" si="245"/>
        <v>Dear PSW,
Your order is ready for pickup from Sample Branch, Wed-Fri 9am-4pm.</v>
      </c>
      <c r="AE1455" s="64" t="str">
        <f t="shared" si="246"/>
        <v>mailto:firstname116.lastname116@example.com?subject=Supply%20order%20ready%20for%20pickup&amp;body=Dear%20PSW%2C%0A%0AYour%20order%20is%20ready%20for%20pickup%20from%20Sample%20Branch%2C%20Wed-Fri%209am-4pm.</v>
      </c>
      <c r="AF1455" s="89" t="str">
        <f t="shared" si="255"/>
        <v>Draft email</v>
      </c>
      <c r="AG1455" s="64" t="str">
        <f>IF($C1455="","",IFERROR(INDEX('Staff Directory'!$K$595:$K$599,MATCH($C1455,'Staff Directory'!$B$5:$B$599,0)),$D1455))</f>
        <v>PSW</v>
      </c>
      <c r="AH1455" t="str">
        <f>IF($C1455="","",IFERROR(INDEX('Staff Directory'!$I$595:$I$599,MATCH($C1455,'Staff Directory'!$B$5:$B$599,0))&amp;" "&amp;INDEX('Staff Directory'!$J$595:$J$599,MATCH($C1455,'Staff Directory'!$B$5:$B$599,0)),$AG1455))</f>
        <v>PSW</v>
      </c>
      <c r="AI1455" s="102"/>
      <c r="AJ1455" s="101">
        <f>IF($F1455="","",SUMIFS($J$5:$J1455,$F$5:$F1455,$F1455))</f>
        <v>20160</v>
      </c>
      <c r="AK1455" s="101">
        <f t="shared" si="247"/>
        <v>20081</v>
      </c>
      <c r="AL1455" s="66" t="str" cm="1">
        <f t="array" ref="AL1455">IF($F1455="","",IFERROR(INDEX('Lot Balance'!$B$5:$B$500,MATCH(1,INDEX(('Lot Balance'!$A$5:$A$500=$F1455)*('Lot Balance'!$K$5:$K$500&lt;$AK1455)*('Lot Balance'!$K$5:$K$500+'Lot Balance'!$D$5:$D$500&gt;=$AK1455),0),0)),""))</f>
        <v>LYSL500290</v>
      </c>
      <c r="AM1455" s="66" t="str" cm="1">
        <f t="array" ref="AM1455">IF($F1455="","",IFERROR(INDEX('Lot Balance'!$B$5:$B$500,MATCH(1,INDEX(('Lot Balance'!$A$5:$A$500=$F1455)*('Lot Balance'!$K$5:$K$500&lt;$AJ1455)*('Lot Balance'!$K$5:$K$500+'Lot Balance'!$D$5:$D$500&gt;=$AJ1455),0),0)),""))</f>
        <v>LYSL500290</v>
      </c>
      <c r="AN1455" s="66" t="str">
        <f>IF($F1455="","",IF($AI1455&lt;&gt;"",IF(COUNTIFS('Lot Balance'!$A$5:$A$500,$F1455,'Lot Balance'!$B$5:$B$500,$AI1455)=0,"⚠ override is not a lot of this item",IF($AI1455=$AL1455,"Override = FEFO","Override - FEFO says "&amp;$AL1455)),IF($AL1455="","⚠ no receipt on file for this item",IF($AM1455&lt;&gt;$AL1455,"FEFO auto - split, also "&amp;$AM1455,"FEFO auto"))))</f>
        <v>FEFO auto</v>
      </c>
      <c r="AO1455" s="114"/>
    </row>
    <row r="1456" spans="1:41" x14ac:dyDescent="0.35">
      <c r="A1456" s="74">
        <v>46204</v>
      </c>
      <c r="B1456" s="18" t="str">
        <f>IF($C1456="","",IFERROR(INDEX('Staff Directory'!$A$5:$A$594,MATCH($C1456,'Staff Directory'!$B$5:$B$594,0)),"⚠ unknown staff"))</f>
        <v>PSW-056-A6</v>
      </c>
      <c r="C1456" s="49" t="s">
        <v>1032</v>
      </c>
      <c r="D1456" s="19" t="str">
        <f>IF($B1456="","",IFERROR(INDEX('Staff Directory'!$C$5:$C$594,MATCH($B1456,'Staff Directory'!$A$5:$A$594,0)),""))</f>
        <v>PSW</v>
      </c>
      <c r="E1456" s="19" t="str">
        <f>IF($B1456="","",IFERROR(INDEX('Staff Directory'!$D$5:$D$594,MATCH($B1456,'Staff Directory'!$A$5:$A$594,0)),""))</f>
        <v>A6</v>
      </c>
      <c r="F1456" s="9" t="s">
        <v>156</v>
      </c>
      <c r="G1456" s="18" t="str">
        <f>IF($F1456="","",IFERROR(INDEX(Items!$B$5:$B$597,MATCH($F1456,Items!$A$5:$A$597,0)),"⚠ not in Items"))</f>
        <v>Masks</v>
      </c>
      <c r="H1456" s="19" t="str">
        <f>IF($F1456="","",IFERROR(INDEX(Items!$C$5:$C$597,MATCH($F1456,Items!$A$5:$A$597,0)),""))</f>
        <v>One Size</v>
      </c>
      <c r="I1456" s="23">
        <f>IF($F1456="","",IFERROR(INDEX(Items!$E$5:$E$597,MATCH($F1456,Items!$A$5:$A$597,0)),""))</f>
        <v>50</v>
      </c>
      <c r="J1456" s="115">
        <f>IF(tblIssues[[#This Row],[Qty Override]]&lt;&gt;"",tblIssues[[#This Row],[Qty Override]],IF(tblIssues[[#This Row],[Standard Issue]]="","",tblIssues[[#This Row],[Standard Issue]]))</f>
        <v>50</v>
      </c>
      <c r="K1456" s="20">
        <f>IF($F1456="","",IFERROR(INDEX(Items!$D$5:$D$597,MATCH($F1456,Items!$A$5:$A$597,0)),""))</f>
        <v>0.25</v>
      </c>
      <c r="L1456" s="21">
        <f t="shared" si="250"/>
        <v>12.5</v>
      </c>
      <c r="M1456" s="9" t="str">
        <f t="shared" si="248"/>
        <v>24HA2050A7396</v>
      </c>
      <c r="N1456" s="24">
        <f>IF($A1456="","",WORKDAY($A1456,Settings!$C$9,HolidayDates))</f>
        <v>46212</v>
      </c>
      <c r="O1456" s="24">
        <f>IF($N1456="","",WORKDAY($N1456,Settings!$C$10,HolidayDates))</f>
        <v>46252</v>
      </c>
      <c r="P1456" s="10" t="s">
        <v>501</v>
      </c>
      <c r="Q1456" s="52" t="str">
        <f t="shared" si="251"/>
        <v>Collected</v>
      </c>
      <c r="R1456" s="55" t="str">
        <f t="shared" si="252"/>
        <v>2026-07</v>
      </c>
      <c r="S1456" s="55">
        <f>IF(OR($B1456="",$F1456="",$R1456=""),"",SUMIFS(tblIssues[Qty Issued],tblIssues[Staff ID],$B1456,tblIssues[Item Name],$F1456,tblIssues[Month],$R1456))</f>
        <v>50</v>
      </c>
      <c r="T1456" s="56">
        <f>IF($I1456="","",$I1456*Settings!$C$11)</f>
        <v>50</v>
      </c>
      <c r="U1456" s="57" t="str">
        <f t="shared" si="249"/>
        <v>OK</v>
      </c>
      <c r="V1456" s="55" t="str">
        <f t="shared" si="253"/>
        <v/>
      </c>
      <c r="W1456" s="55" t="str">
        <f>IF($V1456="","",IF(COUNTIF($V$5:$V1456,$V1456)=1,1,""))</f>
        <v/>
      </c>
      <c r="X1456" s="58" t="str">
        <f>IF($W1456="","",MAX($X$4:X1455)+1)</f>
        <v/>
      </c>
      <c r="Y1456" s="62"/>
      <c r="Z1456" s="62"/>
      <c r="AA1456" s="64" t="str">
        <f>IF($C1456="","",IFERROR(INDEX('Staff Directory'!$E$5:$E$594,MATCH($C1456,'Staff Directory'!$B$5:$B$594,0)),""))</f>
        <v>firstname116.lastname116@example.com</v>
      </c>
      <c r="AB1456" s="64" t="str">
        <f>IF($C1456="","",IF(ISNUMBER(SEARCH($D1456,Settings!$C$15)),"Pickup","Dispatch"))</f>
        <v>Pickup</v>
      </c>
      <c r="AC1456" s="64" t="str">
        <f t="shared" si="254"/>
        <v>Supply order ready for pickup</v>
      </c>
      <c r="AD1456" s="64" t="str">
        <f t="shared" si="245"/>
        <v>Dear PSW,
Your order is ready for pickup from Sample Branch, Wed-Fri 9am-4pm.</v>
      </c>
      <c r="AE1456" s="64" t="str">
        <f t="shared" si="246"/>
        <v>mailto:firstname116.lastname116@example.com?subject=Supply%20order%20ready%20for%20pickup&amp;body=Dear%20PSW%2C%0A%0AYour%20order%20is%20ready%20for%20pickup%20from%20Sample%20Branch%2C%20Wed-Fri%209am-4pm.</v>
      </c>
      <c r="AF1456" s="89" t="str">
        <f t="shared" si="255"/>
        <v>Draft email</v>
      </c>
      <c r="AG1456" s="64" t="str">
        <f>IF($C1456="","",IFERROR(INDEX('Staff Directory'!$K$595:$K$599,MATCH($C1456,'Staff Directory'!$B$5:$B$599,0)),$D1456))</f>
        <v>PSW</v>
      </c>
      <c r="AH1456" t="str">
        <f>IF($C1456="","",IFERROR(INDEX('Staff Directory'!$I$595:$I$599,MATCH($C1456,'Staff Directory'!$B$5:$B$599,0))&amp;" "&amp;INDEX('Staff Directory'!$J$595:$J$599,MATCH($C1456,'Staff Directory'!$B$5:$B$599,0)),$AG1456))</f>
        <v>PSW</v>
      </c>
      <c r="AI1456" s="102"/>
      <c r="AJ1456" s="101">
        <f>IF($F1456="","",SUMIFS($J$5:$J1456,$F$5:$F1456,$F1456))</f>
        <v>12800</v>
      </c>
      <c r="AK1456" s="101">
        <f t="shared" si="247"/>
        <v>12751</v>
      </c>
      <c r="AL1456" s="66" t="str" cm="1">
        <f t="array" ref="AL1456">IF($F1456="","",IFERROR(INDEX('Lot Balance'!$B$5:$B$500,MATCH(1,INDEX(('Lot Balance'!$A$5:$A$500=$F1456)*('Lot Balance'!$K$5:$K$500&lt;$AK1456)*('Lot Balance'!$K$5:$K$500+'Lot Balance'!$D$5:$D$500&gt;=$AK1456),0),0)),""))</f>
        <v>24HA2050A7396</v>
      </c>
      <c r="AM1456" s="66" t="str" cm="1">
        <f t="array" ref="AM1456">IF($F1456="","",IFERROR(INDEX('Lot Balance'!$B$5:$B$500,MATCH(1,INDEX(('Lot Balance'!$A$5:$A$500=$F1456)*('Lot Balance'!$K$5:$K$500&lt;$AJ1456)*('Lot Balance'!$K$5:$K$500+'Lot Balance'!$D$5:$D$500&gt;=$AJ1456),0),0)),""))</f>
        <v>24HA2050A7396</v>
      </c>
      <c r="AN1456" s="66" t="str">
        <f>IF($F1456="","",IF($AI1456&lt;&gt;"",IF(COUNTIFS('Lot Balance'!$A$5:$A$500,$F1456,'Lot Balance'!$B$5:$B$500,$AI1456)=0,"⚠ override is not a lot of this item",IF($AI1456=$AL1456,"Override = FEFO","Override - FEFO says "&amp;$AL1456)),IF($AL1456="","⚠ no receipt on file for this item",IF($AM1456&lt;&gt;$AL1456,"FEFO auto - split, also "&amp;$AM1456,"FEFO auto"))))</f>
        <v>FEFO auto</v>
      </c>
      <c r="AO1456" s="114"/>
    </row>
    <row r="1457" spans="1:41" x14ac:dyDescent="0.35">
      <c r="A1457" s="74">
        <v>46204</v>
      </c>
      <c r="B1457" s="18" t="str">
        <f>IF($C1457="","",IFERROR(INDEX('Staff Directory'!$A$5:$A$594,MATCH($C1457,'Staff Directory'!$B$5:$B$594,0)),"⚠ unknown staff"))</f>
        <v>PSW-056-A6</v>
      </c>
      <c r="C1457" s="49" t="s">
        <v>1032</v>
      </c>
      <c r="D1457" s="19" t="str">
        <f>IF($B1457="","",IFERROR(INDEX('Staff Directory'!$C$5:$C$594,MATCH($B1457,'Staff Directory'!$A$5:$A$594,0)),""))</f>
        <v>PSW</v>
      </c>
      <c r="E1457" s="19" t="str">
        <f>IF($B1457="","",IFERROR(INDEX('Staff Directory'!$D$5:$D$594,MATCH($B1457,'Staff Directory'!$A$5:$A$594,0)),""))</f>
        <v>A6</v>
      </c>
      <c r="F1457" s="9" t="s">
        <v>758</v>
      </c>
      <c r="G1457" s="18" t="str">
        <f>IF($F1457="","",IFERROR(INDEX(Items!$B$5:$B$597,MATCH($F1457,Items!$A$5:$A$597,0)),"⚠ not in Items"))</f>
        <v>Utility</v>
      </c>
      <c r="H1457" s="19" t="str">
        <f>IF($F1457="","",IFERROR(INDEX(Items!$C$5:$C$597,MATCH($F1457,Items!$A$5:$A$597,0)),""))</f>
        <v>Standard</v>
      </c>
      <c r="I1457" s="23">
        <f>IF($F1457="","",IFERROR(INDEX(Items!$E$5:$E$597,MATCH($F1457,Items!$A$5:$A$597,0)),""))</f>
        <v>1</v>
      </c>
      <c r="J1457" s="115">
        <f>IF(tblIssues[[#This Row],[Qty Override]]&lt;&gt;"",tblIssues[[#This Row],[Qty Override]],IF(tblIssues[[#This Row],[Standard Issue]]="","",tblIssues[[#This Row],[Standard Issue]]))</f>
        <v>1</v>
      </c>
      <c r="K1457" s="20">
        <f>IF($F1457="","",IFERROR(INDEX(Items!$D$5:$D$597,MATCH($F1457,Items!$A$5:$A$597,0)),""))</f>
        <v>0</v>
      </c>
      <c r="L1457" s="21">
        <f t="shared" si="250"/>
        <v>0</v>
      </c>
      <c r="M1457" s="9" t="str">
        <f t="shared" si="248"/>
        <v/>
      </c>
      <c r="N1457" s="24">
        <f>IF($A1457="","",WORKDAY($A1457,Settings!$C$9,HolidayDates))</f>
        <v>46212</v>
      </c>
      <c r="O1457" s="24">
        <f>IF($N1457="","",WORKDAY($N1457,Settings!$C$10,HolidayDates))</f>
        <v>46252</v>
      </c>
      <c r="P1457" s="10" t="s">
        <v>501</v>
      </c>
      <c r="Q1457" s="52" t="str">
        <f t="shared" si="251"/>
        <v>Collected</v>
      </c>
      <c r="R1457" s="55" t="str">
        <f t="shared" si="252"/>
        <v>2026-07</v>
      </c>
      <c r="S1457" s="55">
        <f>IF(OR($B1457="",$F1457="",$R1457=""),"",SUMIFS(tblIssues[Qty Issued],tblIssues[Staff ID],$B1457,tblIssues[Item Name],$F1457,tblIssues[Month],$R1457))</f>
        <v>1</v>
      </c>
      <c r="T1457" s="56">
        <f>IF($I1457="","",$I1457*Settings!$C$11)</f>
        <v>1</v>
      </c>
      <c r="U1457" s="57" t="str">
        <f t="shared" si="249"/>
        <v>OK</v>
      </c>
      <c r="V1457" s="55" t="str">
        <f t="shared" si="253"/>
        <v/>
      </c>
      <c r="W1457" s="55" t="str">
        <f>IF($V1457="","",IF(COUNTIF($V$5:$V1457,$V1457)=1,1,""))</f>
        <v/>
      </c>
      <c r="X1457" s="58" t="str">
        <f>IF($W1457="","",MAX($X$4:X1456)+1)</f>
        <v/>
      </c>
      <c r="Y1457" s="62"/>
      <c r="Z1457" s="62"/>
      <c r="AA1457" s="64" t="str">
        <f>IF($C1457="","",IFERROR(INDEX('Staff Directory'!$E$5:$E$594,MATCH($C1457,'Staff Directory'!$B$5:$B$594,0)),""))</f>
        <v>firstname116.lastname116@example.com</v>
      </c>
      <c r="AB1457" s="64" t="str">
        <f>IF($C1457="","",IF(ISNUMBER(SEARCH($D1457,Settings!$C$15)),"Pickup","Dispatch"))</f>
        <v>Pickup</v>
      </c>
      <c r="AC1457" s="64" t="str">
        <f t="shared" si="254"/>
        <v>Supply order ready for pickup</v>
      </c>
      <c r="AD1457" s="64" t="str">
        <f t="shared" si="245"/>
        <v>Dear PSW,
Your order is ready for pickup from Sample Branch, Wed-Fri 9am-4pm.</v>
      </c>
      <c r="AE1457" s="64" t="str">
        <f t="shared" si="246"/>
        <v>mailto:firstname116.lastname116@example.com?subject=Supply%20order%20ready%20for%20pickup&amp;body=Dear%20PSW%2C%0A%0AYour%20order%20is%20ready%20for%20pickup%20from%20Sample%20Branch%2C%20Wed-Fri%209am-4pm.</v>
      </c>
      <c r="AF1457" s="89" t="str">
        <f t="shared" si="255"/>
        <v>Draft email</v>
      </c>
      <c r="AG1457" s="64" t="str">
        <f>IF($C1457="","",IFERROR(INDEX('Staff Directory'!$K$595:$K$599,MATCH($C1457,'Staff Directory'!$B$5:$B$599,0)),$D1457))</f>
        <v>PSW</v>
      </c>
      <c r="AH1457" t="str">
        <f>IF($C1457="","",IFERROR(INDEX('Staff Directory'!$I$595:$I$599,MATCH($C1457,'Staff Directory'!$B$5:$B$599,0))&amp;" "&amp;INDEX('Staff Directory'!$J$595:$J$599,MATCH($C1457,'Staff Directory'!$B$5:$B$599,0)),$AG1457))</f>
        <v>PSW</v>
      </c>
      <c r="AI1457" s="102"/>
      <c r="AJ1457" s="101">
        <f>IF($F1457="","",SUMIFS($J$5:$J1457,$F$5:$F1457,$F1457))</f>
        <v>21</v>
      </c>
      <c r="AK1457" s="101">
        <f t="shared" si="247"/>
        <v>21</v>
      </c>
      <c r="AL1457" s="66" t="str" cm="1">
        <f t="array" ref="AL1457">IF($F1457="","",IFERROR(INDEX('Lot Balance'!$B$5:$B$500,MATCH(1,INDEX(('Lot Balance'!$A$5:$A$500=$F1457)*('Lot Balance'!$K$5:$K$500&lt;$AK1457)*('Lot Balance'!$K$5:$K$500+'Lot Balance'!$D$5:$D$500&gt;=$AK1457),0),0)),""))</f>
        <v/>
      </c>
      <c r="AM1457" s="66" t="str" cm="1">
        <f t="array" ref="AM1457">IF($F1457="","",IFERROR(INDEX('Lot Balance'!$B$5:$B$500,MATCH(1,INDEX(('Lot Balance'!$A$5:$A$500=$F1457)*('Lot Balance'!$K$5:$K$500&lt;$AJ1457)*('Lot Balance'!$K$5:$K$500+'Lot Balance'!$D$5:$D$500&gt;=$AJ1457),0),0)),""))</f>
        <v/>
      </c>
      <c r="AN1457" s="66" t="str">
        <f>IF($F1457="","",IF($AI1457&lt;&gt;"",IF(COUNTIFS('Lot Balance'!$A$5:$A$500,$F1457,'Lot Balance'!$B$5:$B$500,$AI1457)=0,"⚠ override is not a lot of this item",IF($AI1457=$AL1457,"Override = FEFO","Override - FEFO says "&amp;$AL1457)),IF($AL1457="","⚠ no receipt on file for this item",IF($AM1457&lt;&gt;$AL1457,"FEFO auto - split, also "&amp;$AM1457,"FEFO auto"))))</f>
        <v>⚠ no receipt on file for this item</v>
      </c>
      <c r="AO1457" s="114"/>
    </row>
    <row r="1458" spans="1:41" x14ac:dyDescent="0.35">
      <c r="A1458" s="74">
        <v>46204</v>
      </c>
      <c r="B1458" s="18" t="str">
        <f>IF($C1458="","",IFERROR(INDEX('Staff Directory'!$A$5:$A$594,MATCH($C1458,'Staff Directory'!$B$5:$B$594,0)),"⚠ unknown staff"))</f>
        <v>PSW-132-A6</v>
      </c>
      <c r="C1458" s="49" t="s">
        <v>1111</v>
      </c>
      <c r="D1458" s="19" t="str">
        <f>IF($B1458="","",IFERROR(INDEX('Staff Directory'!$C$5:$C$594,MATCH($B1458,'Staff Directory'!$A$5:$A$594,0)),""))</f>
        <v>PSW</v>
      </c>
      <c r="E1458" s="19" t="str">
        <f>IF($B1458="","",IFERROR(INDEX('Staff Directory'!$D$5:$D$594,MATCH($B1458,'Staff Directory'!$A$5:$A$594,0)),""))</f>
        <v>A6</v>
      </c>
      <c r="F1458" s="9" t="s">
        <v>124</v>
      </c>
      <c r="G1458" s="18" t="str">
        <f>IF($F1458="","",IFERROR(INDEX(Items!$B$5:$B$597,MATCH($F1458,Items!$A$5:$A$597,0)),"⚠ not in Items"))</f>
        <v>Gloves</v>
      </c>
      <c r="H1458" s="19" t="str">
        <f>IF($F1458="","",IFERROR(INDEX(Items!$C$5:$C$597,MATCH($F1458,Items!$A$5:$A$597,0)),""))</f>
        <v>Large</v>
      </c>
      <c r="I1458" s="23">
        <f>IF($F1458="","",IFERROR(INDEX(Items!$E$5:$E$597,MATCH($F1458,Items!$A$5:$A$597,0)),""))</f>
        <v>500</v>
      </c>
      <c r="J1458" s="115">
        <f>IF(tblIssues[[#This Row],[Qty Override]]&lt;&gt;"",tblIssues[[#This Row],[Qty Override]],IF(tblIssues[[#This Row],[Standard Issue]]="","",tblIssues[[#This Row],[Standard Issue]]))</f>
        <v>500</v>
      </c>
      <c r="K1458" s="20">
        <f>IF($F1458="","",IFERROR(INDEX(Items!$D$5:$D$597,MATCH($F1458,Items!$A$5:$A$597,0)),""))</f>
        <v>5.5E-2</v>
      </c>
      <c r="L1458" s="21">
        <f t="shared" si="250"/>
        <v>27.5</v>
      </c>
      <c r="M1458" s="9" t="str">
        <f t="shared" si="248"/>
        <v>ZIM511139904-3</v>
      </c>
      <c r="N1458" s="24">
        <f>IF($A1458="","",WORKDAY($A1458,Settings!$C$9,HolidayDates))</f>
        <v>46212</v>
      </c>
      <c r="O1458" s="24">
        <f>IF($N1458="","",WORKDAY($N1458,Settings!$C$10,HolidayDates))</f>
        <v>46252</v>
      </c>
      <c r="P1458" s="10" t="s">
        <v>501</v>
      </c>
      <c r="Q1458" s="52" t="str">
        <f t="shared" si="251"/>
        <v>Collected</v>
      </c>
      <c r="R1458" s="55" t="str">
        <f t="shared" si="252"/>
        <v>2026-07</v>
      </c>
      <c r="S1458" s="55">
        <f>IF(OR($B1458="",$F1458="",$R1458=""),"",SUMIFS(tblIssues[Qty Issued],tblIssues[Staff ID],$B1458,tblIssues[Item Name],$F1458,tblIssues[Month],$R1458))</f>
        <v>500</v>
      </c>
      <c r="T1458" s="56">
        <f>IF($I1458="","",$I1458*Settings!$C$11)</f>
        <v>500</v>
      </c>
      <c r="U1458" s="57" t="str">
        <f t="shared" si="249"/>
        <v>OK</v>
      </c>
      <c r="V1458" s="55" t="str">
        <f t="shared" si="253"/>
        <v/>
      </c>
      <c r="W1458" s="55" t="str">
        <f>IF($V1458="","",IF(COUNTIF($V$5:$V1458,$V1458)=1,1,""))</f>
        <v/>
      </c>
      <c r="X1458" s="58" t="str">
        <f>IF($W1458="","",MAX($X$4:X1457)+1)</f>
        <v/>
      </c>
      <c r="Y1458" s="62"/>
      <c r="Z1458" s="62"/>
      <c r="AA1458" s="64" t="str">
        <f>IF($C1458="","",IFERROR(INDEX('Staff Directory'!$E$5:$E$594,MATCH($C1458,'Staff Directory'!$B$5:$B$594,0)),""))</f>
        <v>firstname195.lastname195@example.com</v>
      </c>
      <c r="AB1458" s="64" t="str">
        <f>IF($C1458="","",IF(ISNUMBER(SEARCH($D1458,Settings!$C$15)),"Pickup","Dispatch"))</f>
        <v>Pickup</v>
      </c>
      <c r="AC1458" s="64" t="str">
        <f t="shared" si="254"/>
        <v>Supply order ready for pickup</v>
      </c>
      <c r="AD1458" s="64" t="str">
        <f t="shared" si="245"/>
        <v>Dear PSW,
Your order is ready for pickup from Sample Branch, Wed-Fri 9am-4pm.</v>
      </c>
      <c r="AE1458" s="64" t="str">
        <f t="shared" si="246"/>
        <v>mailto:firstname195.lastname195@example.com?subject=Supply%20order%20ready%20for%20pickup&amp;body=Dear%20PSW%2C%0A%0AYour%20order%20is%20ready%20for%20pickup%20from%20Sample%20Branch%2C%20Wed-Fri%209am-4pm.</v>
      </c>
      <c r="AF1458" s="89" t="str">
        <f t="shared" si="255"/>
        <v>Draft email</v>
      </c>
      <c r="AG1458" s="64" t="str">
        <f>IF($C1458="","",IFERROR(INDEX('Staff Directory'!$K$595:$K$599,MATCH($C1458,'Staff Directory'!$B$5:$B$599,0)),$D1458))</f>
        <v>PSW</v>
      </c>
      <c r="AH1458" t="str">
        <f>IF($C1458="","",IFERROR(INDEX('Staff Directory'!$I$595:$I$599,MATCH($C1458,'Staff Directory'!$B$5:$B$599,0))&amp;" "&amp;INDEX('Staff Directory'!$J$595:$J$599,MATCH($C1458,'Staff Directory'!$B$5:$B$599,0)),$AG1458))</f>
        <v>PSW</v>
      </c>
      <c r="AI1458" s="102"/>
      <c r="AJ1458" s="101">
        <f>IF($F1458="","",SUMIFS($J$5:$J1458,$F$5:$F1458,$F1458))</f>
        <v>39500</v>
      </c>
      <c r="AK1458" s="101">
        <f t="shared" si="247"/>
        <v>39001</v>
      </c>
      <c r="AL1458" s="66" t="str" cm="1">
        <f t="array" ref="AL1458">IF($F1458="","",IFERROR(INDEX('Lot Balance'!$B$5:$B$500,MATCH(1,INDEX(('Lot Balance'!$A$5:$A$500=$F1458)*('Lot Balance'!$K$5:$K$500&lt;$AK1458)*('Lot Balance'!$K$5:$K$500+'Lot Balance'!$D$5:$D$500&gt;=$AK1458),0),0)),""))</f>
        <v>ZIM511139904-3</v>
      </c>
      <c r="AM1458" s="66" t="str" cm="1">
        <f t="array" ref="AM1458">IF($F1458="","",IFERROR(INDEX('Lot Balance'!$B$5:$B$500,MATCH(1,INDEX(('Lot Balance'!$A$5:$A$500=$F1458)*('Lot Balance'!$K$5:$K$500&lt;$AJ1458)*('Lot Balance'!$K$5:$K$500+'Lot Balance'!$D$5:$D$500&gt;=$AJ1458),0),0)),""))</f>
        <v>ZIM511139904-3</v>
      </c>
      <c r="AN1458" s="66" t="str">
        <f>IF($F1458="","",IF($AI1458&lt;&gt;"",IF(COUNTIFS('Lot Balance'!$A$5:$A$500,$F1458,'Lot Balance'!$B$5:$B$500,$AI1458)=0,"⚠ override is not a lot of this item",IF($AI1458=$AL1458,"Override = FEFO","Override - FEFO says "&amp;$AL1458)),IF($AL1458="","⚠ no receipt on file for this item",IF($AM1458&lt;&gt;$AL1458,"FEFO auto - split, also "&amp;$AM1458,"FEFO auto"))))</f>
        <v>FEFO auto</v>
      </c>
      <c r="AO1458" s="114"/>
    </row>
    <row r="1459" spans="1:41" x14ac:dyDescent="0.35">
      <c r="A1459" s="74">
        <v>46204</v>
      </c>
      <c r="B1459" s="18" t="str">
        <f>IF($C1459="","",IFERROR(INDEX('Staff Directory'!$A$5:$A$594,MATCH($C1459,'Staff Directory'!$B$5:$B$594,0)),"⚠ unknown staff"))</f>
        <v>PSW-132-A6</v>
      </c>
      <c r="C1459" s="49" t="s">
        <v>1111</v>
      </c>
      <c r="D1459" s="19" t="str">
        <f>IF($B1459="","",IFERROR(INDEX('Staff Directory'!$C$5:$C$594,MATCH($B1459,'Staff Directory'!$A$5:$A$594,0)),""))</f>
        <v>PSW</v>
      </c>
      <c r="E1459" s="19" t="str">
        <f>IF($B1459="","",IFERROR(INDEX('Staff Directory'!$D$5:$D$594,MATCH($B1459,'Staff Directory'!$A$5:$A$594,0)),""))</f>
        <v>A6</v>
      </c>
      <c r="F1459" s="9" t="s">
        <v>191</v>
      </c>
      <c r="G1459" s="18" t="str">
        <f>IF($F1459="","",IFERROR(INDEX(Items!$B$5:$B$597,MATCH($F1459,Items!$A$5:$A$597,0)),"⚠ not in Items"))</f>
        <v>Sanitizer</v>
      </c>
      <c r="H1459" s="19" t="str">
        <f>IF($F1459="","",IFERROR(INDEX(Items!$C$5:$C$597,MATCH($F1459,Items!$A$5:$A$597,0)),""))</f>
        <v>236 ML</v>
      </c>
      <c r="I1459" s="23">
        <f>IF($F1459="","",IFERROR(INDEX(Items!$E$5:$E$597,MATCH($F1459,Items!$A$5:$A$597,0)),""))</f>
        <v>1</v>
      </c>
      <c r="J1459" s="115">
        <f>IF(tblIssues[[#This Row],[Qty Override]]&lt;&gt;"",tblIssues[[#This Row],[Qty Override]],IF(tblIssues[[#This Row],[Standard Issue]]="","",tblIssues[[#This Row],[Standard Issue]]))</f>
        <v>1</v>
      </c>
      <c r="K1459" s="20">
        <f>IF($F1459="","",IFERROR(INDEX(Items!$D$5:$D$597,MATCH($F1459,Items!$A$5:$A$597,0)),""))</f>
        <v>1E-4</v>
      </c>
      <c r="L1459" s="21">
        <f t="shared" si="250"/>
        <v>1E-4</v>
      </c>
      <c r="M1459" s="9" t="str">
        <f t="shared" si="248"/>
        <v/>
      </c>
      <c r="N1459" s="24">
        <f>IF($A1459="","",WORKDAY($A1459,Settings!$C$9,HolidayDates))</f>
        <v>46212</v>
      </c>
      <c r="O1459" s="24">
        <f>IF($N1459="","",WORKDAY($N1459,Settings!$C$10,HolidayDates))</f>
        <v>46252</v>
      </c>
      <c r="P1459" s="10" t="s">
        <v>501</v>
      </c>
      <c r="Q1459" s="52" t="str">
        <f t="shared" si="251"/>
        <v>Collected</v>
      </c>
      <c r="R1459" s="55" t="str">
        <f t="shared" si="252"/>
        <v>2026-07</v>
      </c>
      <c r="S1459" s="55">
        <f>IF(OR($B1459="",$F1459="",$R1459=""),"",SUMIFS(tblIssues[Qty Issued],tblIssues[Staff ID],$B1459,tblIssues[Item Name],$F1459,tblIssues[Month],$R1459))</f>
        <v>1</v>
      </c>
      <c r="T1459" s="56">
        <f>IF($I1459="","",$I1459*Settings!$C$11)</f>
        <v>1</v>
      </c>
      <c r="U1459" s="57" t="str">
        <f t="shared" si="249"/>
        <v>OK</v>
      </c>
      <c r="V1459" s="55" t="str">
        <f t="shared" si="253"/>
        <v/>
      </c>
      <c r="W1459" s="55" t="str">
        <f>IF($V1459="","",IF(COUNTIF($V$5:$V1459,$V1459)=1,1,""))</f>
        <v/>
      </c>
      <c r="X1459" s="58" t="str">
        <f>IF($W1459="","",MAX($X$4:X1458)+1)</f>
        <v/>
      </c>
      <c r="Y1459" s="62"/>
      <c r="Z1459" s="62"/>
      <c r="AA1459" s="64" t="str">
        <f>IF($C1459="","",IFERROR(INDEX('Staff Directory'!$E$5:$E$594,MATCH($C1459,'Staff Directory'!$B$5:$B$594,0)),""))</f>
        <v>firstname195.lastname195@example.com</v>
      </c>
      <c r="AB1459" s="64" t="str">
        <f>IF($C1459="","",IF(ISNUMBER(SEARCH($D1459,Settings!$C$15)),"Pickup","Dispatch"))</f>
        <v>Pickup</v>
      </c>
      <c r="AC1459" s="64" t="str">
        <f t="shared" si="254"/>
        <v>Supply order ready for pickup</v>
      </c>
      <c r="AD1459" s="64" t="str">
        <f t="shared" si="245"/>
        <v>Dear PSW,
Your order is ready for pickup from Sample Branch, Wed-Fri 9am-4pm.</v>
      </c>
      <c r="AE1459" s="64" t="str">
        <f t="shared" si="246"/>
        <v>mailto:firstname195.lastname195@example.com?subject=Supply%20order%20ready%20for%20pickup&amp;body=Dear%20PSW%2C%0A%0AYour%20order%20is%20ready%20for%20pickup%20from%20Sample%20Branch%2C%20Wed-Fri%209am-4pm.</v>
      </c>
      <c r="AF1459" s="89" t="str">
        <f t="shared" si="255"/>
        <v>Draft email</v>
      </c>
      <c r="AG1459" s="64" t="str">
        <f>IF($C1459="","",IFERROR(INDEX('Staff Directory'!$K$595:$K$599,MATCH($C1459,'Staff Directory'!$B$5:$B$599,0)),$D1459))</f>
        <v>PSW</v>
      </c>
      <c r="AH1459" t="str">
        <f>IF($C1459="","",IFERROR(INDEX('Staff Directory'!$I$595:$I$599,MATCH($C1459,'Staff Directory'!$B$5:$B$599,0))&amp;" "&amp;INDEX('Staff Directory'!$J$595:$J$599,MATCH($C1459,'Staff Directory'!$B$5:$B$599,0)),$AG1459))</f>
        <v>PSW</v>
      </c>
      <c r="AI1459" s="102"/>
      <c r="AJ1459" s="101">
        <f>IF($F1459="","",SUMIFS($J$5:$J1459,$F$5:$F1459,$F1459))</f>
        <v>198</v>
      </c>
      <c r="AK1459" s="101">
        <f t="shared" si="247"/>
        <v>198</v>
      </c>
      <c r="AL1459" s="66" t="str" cm="1">
        <f t="array" ref="AL1459">IF($F1459="","",IFERROR(INDEX('Lot Balance'!$B$5:$B$500,MATCH(1,INDEX(('Lot Balance'!$A$5:$A$500=$F1459)*('Lot Balance'!$K$5:$K$500&lt;$AK1459)*('Lot Balance'!$K$5:$K$500+'Lot Balance'!$D$5:$D$500&gt;=$AK1459),0),0)),""))</f>
        <v/>
      </c>
      <c r="AM1459" s="66" t="str" cm="1">
        <f t="array" ref="AM1459">IF($F1459="","",IFERROR(INDEX('Lot Balance'!$B$5:$B$500,MATCH(1,INDEX(('Lot Balance'!$A$5:$A$500=$F1459)*('Lot Balance'!$K$5:$K$500&lt;$AJ1459)*('Lot Balance'!$K$5:$K$500+'Lot Balance'!$D$5:$D$500&gt;=$AJ1459),0),0)),""))</f>
        <v/>
      </c>
      <c r="AN1459" s="66" t="str">
        <f>IF($F1459="","",IF($AI1459&lt;&gt;"",IF(COUNTIFS('Lot Balance'!$A$5:$A$500,$F1459,'Lot Balance'!$B$5:$B$500,$AI1459)=0,"⚠ override is not a lot of this item",IF($AI1459=$AL1459,"Override = FEFO","Override - FEFO says "&amp;$AL1459)),IF($AL1459="","⚠ no receipt on file for this item",IF($AM1459&lt;&gt;$AL1459,"FEFO auto - split, also "&amp;$AM1459,"FEFO auto"))))</f>
        <v>⚠ no receipt on file for this item</v>
      </c>
      <c r="AO1459" s="114"/>
    </row>
    <row r="1460" spans="1:41" x14ac:dyDescent="0.35">
      <c r="A1460" s="74">
        <v>46204</v>
      </c>
      <c r="B1460" s="18" t="str">
        <f>IF($C1460="","",IFERROR(INDEX('Staff Directory'!$A$5:$A$594,MATCH($C1460,'Staff Directory'!$B$5:$B$594,0)),"⚠ unknown staff"))</f>
        <v>PSW-132-A6</v>
      </c>
      <c r="C1460" s="49" t="s">
        <v>1111</v>
      </c>
      <c r="D1460" s="19" t="str">
        <f>IF($B1460="","",IFERROR(INDEX('Staff Directory'!$C$5:$C$594,MATCH($B1460,'Staff Directory'!$A$5:$A$594,0)),""))</f>
        <v>PSW</v>
      </c>
      <c r="E1460" s="19" t="str">
        <f>IF($B1460="","",IFERROR(INDEX('Staff Directory'!$D$5:$D$594,MATCH($B1460,'Staff Directory'!$A$5:$A$594,0)),""))</f>
        <v>A6</v>
      </c>
      <c r="F1460" s="9" t="s">
        <v>115</v>
      </c>
      <c r="G1460" s="18" t="str">
        <f>IF($F1460="","",IFERROR(INDEX(Items!$B$5:$B$597,MATCH($F1460,Items!$A$5:$A$597,0)),"⚠ not in Items"))</f>
        <v>Wipes</v>
      </c>
      <c r="H1460" s="19">
        <f>IF($F1460="","",IFERROR(INDEX(Items!$C$5:$C$597,MATCH($F1460,Items!$A$5:$A$597,0)),""))</f>
        <v>80</v>
      </c>
      <c r="I1460" s="23">
        <f>IF($F1460="","",IFERROR(INDEX(Items!$E$5:$E$597,MATCH($F1460,Items!$A$5:$A$597,0)),""))</f>
        <v>80</v>
      </c>
      <c r="J1460" s="115">
        <f>IF(tblIssues[[#This Row],[Qty Override]]&lt;&gt;"",tblIssues[[#This Row],[Qty Override]],IF(tblIssues[[#This Row],[Standard Issue]]="","",tblIssues[[#This Row],[Standard Issue]]))</f>
        <v>80</v>
      </c>
      <c r="K1460" s="20">
        <f>IF($F1460="","",IFERROR(INDEX(Items!$D$5:$D$597,MATCH($F1460,Items!$A$5:$A$597,0)),""))</f>
        <v>0.1</v>
      </c>
      <c r="L1460" s="21">
        <f t="shared" si="250"/>
        <v>8</v>
      </c>
      <c r="M1460" s="9" t="str">
        <f t="shared" si="248"/>
        <v>LYSL500290</v>
      </c>
      <c r="N1460" s="24">
        <f>IF($A1460="","",WORKDAY($A1460,Settings!$C$9,HolidayDates))</f>
        <v>46212</v>
      </c>
      <c r="O1460" s="24">
        <f>IF($N1460="","",WORKDAY($N1460,Settings!$C$10,HolidayDates))</f>
        <v>46252</v>
      </c>
      <c r="P1460" s="10" t="s">
        <v>501</v>
      </c>
      <c r="Q1460" s="52" t="str">
        <f t="shared" si="251"/>
        <v>Collected</v>
      </c>
      <c r="R1460" s="55" t="str">
        <f t="shared" si="252"/>
        <v>2026-07</v>
      </c>
      <c r="S1460" s="55">
        <f>IF(OR($B1460="",$F1460="",$R1460=""),"",SUMIFS(tblIssues[Qty Issued],tblIssues[Staff ID],$B1460,tblIssues[Item Name],$F1460,tblIssues[Month],$R1460))</f>
        <v>80</v>
      </c>
      <c r="T1460" s="56">
        <f>IF($I1460="","",$I1460*Settings!$C$11)</f>
        <v>80</v>
      </c>
      <c r="U1460" s="57" t="str">
        <f t="shared" si="249"/>
        <v>OK</v>
      </c>
      <c r="V1460" s="55" t="str">
        <f t="shared" si="253"/>
        <v/>
      </c>
      <c r="W1460" s="55" t="str">
        <f>IF($V1460="","",IF(COUNTIF($V$5:$V1460,$V1460)=1,1,""))</f>
        <v/>
      </c>
      <c r="X1460" s="58" t="str">
        <f>IF($W1460="","",MAX($X$4:X1459)+1)</f>
        <v/>
      </c>
      <c r="Y1460" s="62"/>
      <c r="Z1460" s="62"/>
      <c r="AA1460" s="64" t="str">
        <f>IF($C1460="","",IFERROR(INDEX('Staff Directory'!$E$5:$E$594,MATCH($C1460,'Staff Directory'!$B$5:$B$594,0)),""))</f>
        <v>firstname195.lastname195@example.com</v>
      </c>
      <c r="AB1460" s="64" t="str">
        <f>IF($C1460="","",IF(ISNUMBER(SEARCH($D1460,Settings!$C$15)),"Pickup","Dispatch"))</f>
        <v>Pickup</v>
      </c>
      <c r="AC1460" s="64" t="str">
        <f t="shared" si="254"/>
        <v>Supply order ready for pickup</v>
      </c>
      <c r="AD1460" s="64" t="str">
        <f t="shared" si="245"/>
        <v>Dear PSW,
Your order is ready for pickup from Sample Branch, Wed-Fri 9am-4pm.</v>
      </c>
      <c r="AE1460" s="64" t="str">
        <f t="shared" si="246"/>
        <v>mailto:firstname195.lastname195@example.com?subject=Supply%20order%20ready%20for%20pickup&amp;body=Dear%20PSW%2C%0A%0AYour%20order%20is%20ready%20for%20pickup%20from%20Sample%20Branch%2C%20Wed-Fri%209am-4pm.</v>
      </c>
      <c r="AF1460" s="89" t="str">
        <f t="shared" si="255"/>
        <v>Draft email</v>
      </c>
      <c r="AG1460" s="64" t="str">
        <f>IF($C1460="","",IFERROR(INDEX('Staff Directory'!$K$595:$K$599,MATCH($C1460,'Staff Directory'!$B$5:$B$599,0)),$D1460))</f>
        <v>PSW</v>
      </c>
      <c r="AH1460" t="str">
        <f>IF($C1460="","",IFERROR(INDEX('Staff Directory'!$I$595:$I$599,MATCH($C1460,'Staff Directory'!$B$5:$B$599,0))&amp;" "&amp;INDEX('Staff Directory'!$J$595:$J$599,MATCH($C1460,'Staff Directory'!$B$5:$B$599,0)),$AG1460))</f>
        <v>PSW</v>
      </c>
      <c r="AI1460" s="102"/>
      <c r="AJ1460" s="101">
        <f>IF($F1460="","",SUMIFS($J$5:$J1460,$F$5:$F1460,$F1460))</f>
        <v>20240</v>
      </c>
      <c r="AK1460" s="101">
        <f t="shared" si="247"/>
        <v>20161</v>
      </c>
      <c r="AL1460" s="66" t="str" cm="1">
        <f t="array" ref="AL1460">IF($F1460="","",IFERROR(INDEX('Lot Balance'!$B$5:$B$500,MATCH(1,INDEX(('Lot Balance'!$A$5:$A$500=$F1460)*('Lot Balance'!$K$5:$K$500&lt;$AK1460)*('Lot Balance'!$K$5:$K$500+'Lot Balance'!$D$5:$D$500&gt;=$AK1460),0),0)),""))</f>
        <v>LYSL500290</v>
      </c>
      <c r="AM1460" s="66" t="str" cm="1">
        <f t="array" ref="AM1460">IF($F1460="","",IFERROR(INDEX('Lot Balance'!$B$5:$B$500,MATCH(1,INDEX(('Lot Balance'!$A$5:$A$500=$F1460)*('Lot Balance'!$K$5:$K$500&lt;$AJ1460)*('Lot Balance'!$K$5:$K$500+'Lot Balance'!$D$5:$D$500&gt;=$AJ1460),0),0)),""))</f>
        <v>LYSL500290</v>
      </c>
      <c r="AN1460" s="66" t="str">
        <f>IF($F1460="","",IF($AI1460&lt;&gt;"",IF(COUNTIFS('Lot Balance'!$A$5:$A$500,$F1460,'Lot Balance'!$B$5:$B$500,$AI1460)=0,"⚠ override is not a lot of this item",IF($AI1460=$AL1460,"Override = FEFO","Override - FEFO says "&amp;$AL1460)),IF($AL1460="","⚠ no receipt on file for this item",IF($AM1460&lt;&gt;$AL1460,"FEFO auto - split, also "&amp;$AM1460,"FEFO auto"))))</f>
        <v>FEFO auto</v>
      </c>
      <c r="AO1460" s="114"/>
    </row>
    <row r="1461" spans="1:41" x14ac:dyDescent="0.35">
      <c r="A1461" s="74">
        <v>46204</v>
      </c>
      <c r="B1461" s="18" t="str">
        <f>IF($C1461="","",IFERROR(INDEX('Staff Directory'!$A$5:$A$594,MATCH($C1461,'Staff Directory'!$B$5:$B$594,0)),"⚠ unknown staff"))</f>
        <v>PSW-132-A6</v>
      </c>
      <c r="C1461" s="49" t="s">
        <v>1111</v>
      </c>
      <c r="D1461" s="19" t="str">
        <f>IF($B1461="","",IFERROR(INDEX('Staff Directory'!$C$5:$C$594,MATCH($B1461,'Staff Directory'!$A$5:$A$594,0)),""))</f>
        <v>PSW</v>
      </c>
      <c r="E1461" s="19" t="str">
        <f>IF($B1461="","",IFERROR(INDEX('Staff Directory'!$D$5:$D$594,MATCH($B1461,'Staff Directory'!$A$5:$A$594,0)),""))</f>
        <v>A6</v>
      </c>
      <c r="F1461" s="9" t="s">
        <v>156</v>
      </c>
      <c r="G1461" s="18" t="str">
        <f>IF($F1461="","",IFERROR(INDEX(Items!$B$5:$B$597,MATCH($F1461,Items!$A$5:$A$597,0)),"⚠ not in Items"))</f>
        <v>Masks</v>
      </c>
      <c r="H1461" s="19" t="str">
        <f>IF($F1461="","",IFERROR(INDEX(Items!$C$5:$C$597,MATCH($F1461,Items!$A$5:$A$597,0)),""))</f>
        <v>One Size</v>
      </c>
      <c r="I1461" s="23">
        <f>IF($F1461="","",IFERROR(INDEX(Items!$E$5:$E$597,MATCH($F1461,Items!$A$5:$A$597,0)),""))</f>
        <v>50</v>
      </c>
      <c r="J1461" s="115">
        <f>IF(tblIssues[[#This Row],[Qty Override]]&lt;&gt;"",tblIssues[[#This Row],[Qty Override]],IF(tblIssues[[#This Row],[Standard Issue]]="","",tblIssues[[#This Row],[Standard Issue]]))</f>
        <v>50</v>
      </c>
      <c r="K1461" s="20">
        <f>IF($F1461="","",IFERROR(INDEX(Items!$D$5:$D$597,MATCH($F1461,Items!$A$5:$A$597,0)),""))</f>
        <v>0.25</v>
      </c>
      <c r="L1461" s="21">
        <f t="shared" si="250"/>
        <v>12.5</v>
      </c>
      <c r="M1461" s="9" t="str">
        <f t="shared" si="248"/>
        <v>24HA2050A7396</v>
      </c>
      <c r="N1461" s="24">
        <f>IF($A1461="","",WORKDAY($A1461,Settings!$C$9,HolidayDates))</f>
        <v>46212</v>
      </c>
      <c r="O1461" s="24">
        <f>IF($N1461="","",WORKDAY($N1461,Settings!$C$10,HolidayDates))</f>
        <v>46252</v>
      </c>
      <c r="P1461" s="10" t="s">
        <v>501</v>
      </c>
      <c r="Q1461" s="52" t="str">
        <f t="shared" si="251"/>
        <v>Collected</v>
      </c>
      <c r="R1461" s="55" t="str">
        <f t="shared" si="252"/>
        <v>2026-07</v>
      </c>
      <c r="S1461" s="55">
        <f>IF(OR($B1461="",$F1461="",$R1461=""),"",SUMIFS(tblIssues[Qty Issued],tblIssues[Staff ID],$B1461,tblIssues[Item Name],$F1461,tblIssues[Month],$R1461))</f>
        <v>50</v>
      </c>
      <c r="T1461" s="56">
        <f>IF($I1461="","",$I1461*Settings!$C$11)</f>
        <v>50</v>
      </c>
      <c r="U1461" s="57" t="str">
        <f t="shared" si="249"/>
        <v>OK</v>
      </c>
      <c r="V1461" s="55" t="str">
        <f t="shared" si="253"/>
        <v/>
      </c>
      <c r="W1461" s="55" t="str">
        <f>IF($V1461="","",IF(COUNTIF($V$5:$V1461,$V1461)=1,1,""))</f>
        <v/>
      </c>
      <c r="X1461" s="58" t="str">
        <f>IF($W1461="","",MAX($X$4:X1460)+1)</f>
        <v/>
      </c>
      <c r="Y1461" s="62"/>
      <c r="Z1461" s="62"/>
      <c r="AA1461" s="64" t="str">
        <f>IF($C1461="","",IFERROR(INDEX('Staff Directory'!$E$5:$E$594,MATCH($C1461,'Staff Directory'!$B$5:$B$594,0)),""))</f>
        <v>firstname195.lastname195@example.com</v>
      </c>
      <c r="AB1461" s="64" t="str">
        <f>IF($C1461="","",IF(ISNUMBER(SEARCH($D1461,Settings!$C$15)),"Pickup","Dispatch"))</f>
        <v>Pickup</v>
      </c>
      <c r="AC1461" s="64" t="str">
        <f t="shared" si="254"/>
        <v>Supply order ready for pickup</v>
      </c>
      <c r="AD1461" s="64" t="str">
        <f t="shared" si="245"/>
        <v>Dear PSW,
Your order is ready for pickup from Sample Branch, Wed-Fri 9am-4pm.</v>
      </c>
      <c r="AE1461" s="64" t="str">
        <f t="shared" si="246"/>
        <v>mailto:firstname195.lastname195@example.com?subject=Supply%20order%20ready%20for%20pickup&amp;body=Dear%20PSW%2C%0A%0AYour%20order%20is%20ready%20for%20pickup%20from%20Sample%20Branch%2C%20Wed-Fri%209am-4pm.</v>
      </c>
      <c r="AF1461" s="89" t="str">
        <f t="shared" si="255"/>
        <v>Draft email</v>
      </c>
      <c r="AG1461" s="64" t="str">
        <f>IF($C1461="","",IFERROR(INDEX('Staff Directory'!$K$595:$K$599,MATCH($C1461,'Staff Directory'!$B$5:$B$599,0)),$D1461))</f>
        <v>PSW</v>
      </c>
      <c r="AH1461" t="str">
        <f>IF($C1461="","",IFERROR(INDEX('Staff Directory'!$I$595:$I$599,MATCH($C1461,'Staff Directory'!$B$5:$B$599,0))&amp;" "&amp;INDEX('Staff Directory'!$J$595:$J$599,MATCH($C1461,'Staff Directory'!$B$5:$B$599,0)),$AG1461))</f>
        <v>PSW</v>
      </c>
      <c r="AI1461" s="102"/>
      <c r="AJ1461" s="101">
        <f>IF($F1461="","",SUMIFS($J$5:$J1461,$F$5:$F1461,$F1461))</f>
        <v>12850</v>
      </c>
      <c r="AK1461" s="101">
        <f t="shared" si="247"/>
        <v>12801</v>
      </c>
      <c r="AL1461" s="66" t="str" cm="1">
        <f t="array" ref="AL1461">IF($F1461="","",IFERROR(INDEX('Lot Balance'!$B$5:$B$500,MATCH(1,INDEX(('Lot Balance'!$A$5:$A$500=$F1461)*('Lot Balance'!$K$5:$K$500&lt;$AK1461)*('Lot Balance'!$K$5:$K$500+'Lot Balance'!$D$5:$D$500&gt;=$AK1461),0),0)),""))</f>
        <v>24HA2050A7396</v>
      </c>
      <c r="AM1461" s="66" t="str" cm="1">
        <f t="array" ref="AM1461">IF($F1461="","",IFERROR(INDEX('Lot Balance'!$B$5:$B$500,MATCH(1,INDEX(('Lot Balance'!$A$5:$A$500=$F1461)*('Lot Balance'!$K$5:$K$500&lt;$AJ1461)*('Lot Balance'!$K$5:$K$500+'Lot Balance'!$D$5:$D$500&gt;=$AJ1461),0),0)),""))</f>
        <v>24HA2050A7396</v>
      </c>
      <c r="AN1461" s="66" t="str">
        <f>IF($F1461="","",IF($AI1461&lt;&gt;"",IF(COUNTIFS('Lot Balance'!$A$5:$A$500,$F1461,'Lot Balance'!$B$5:$B$500,$AI1461)=0,"⚠ override is not a lot of this item",IF($AI1461=$AL1461,"Override = FEFO","Override - FEFO says "&amp;$AL1461)),IF($AL1461="","⚠ no receipt on file for this item",IF($AM1461&lt;&gt;$AL1461,"FEFO auto - split, also "&amp;$AM1461,"FEFO auto"))))</f>
        <v>FEFO auto</v>
      </c>
      <c r="AO1461" s="114"/>
    </row>
    <row r="1462" spans="1:41" x14ac:dyDescent="0.35">
      <c r="A1462" s="74">
        <v>46204</v>
      </c>
      <c r="B1462" s="18" t="str">
        <f>IF($C1462="","",IFERROR(INDEX('Staff Directory'!$A$5:$A$594,MATCH($C1462,'Staff Directory'!$B$5:$B$594,0)),"⚠ unknown staff"))</f>
        <v>PSW-132-A6</v>
      </c>
      <c r="C1462" s="49" t="s">
        <v>1111</v>
      </c>
      <c r="D1462" s="19" t="str">
        <f>IF($B1462="","",IFERROR(INDEX('Staff Directory'!$C$5:$C$594,MATCH($B1462,'Staff Directory'!$A$5:$A$594,0)),""))</f>
        <v>PSW</v>
      </c>
      <c r="E1462" s="19" t="str">
        <f>IF($B1462="","",IFERROR(INDEX('Staff Directory'!$D$5:$D$594,MATCH($B1462,'Staff Directory'!$A$5:$A$594,0)),""))</f>
        <v>A6</v>
      </c>
      <c r="F1462" s="9" t="s">
        <v>758</v>
      </c>
      <c r="G1462" s="18" t="str">
        <f>IF($F1462="","",IFERROR(INDEX(Items!$B$5:$B$597,MATCH($F1462,Items!$A$5:$A$597,0)),"⚠ not in Items"))</f>
        <v>Utility</v>
      </c>
      <c r="H1462" s="19" t="str">
        <f>IF($F1462="","",IFERROR(INDEX(Items!$C$5:$C$597,MATCH($F1462,Items!$A$5:$A$597,0)),""))</f>
        <v>Standard</v>
      </c>
      <c r="I1462" s="23">
        <f>IF($F1462="","",IFERROR(INDEX(Items!$E$5:$E$597,MATCH($F1462,Items!$A$5:$A$597,0)),""))</f>
        <v>1</v>
      </c>
      <c r="J1462" s="115">
        <f>IF(tblIssues[[#This Row],[Qty Override]]&lt;&gt;"",tblIssues[[#This Row],[Qty Override]],IF(tblIssues[[#This Row],[Standard Issue]]="","",tblIssues[[#This Row],[Standard Issue]]))</f>
        <v>1</v>
      </c>
      <c r="K1462" s="20">
        <f>IF($F1462="","",IFERROR(INDEX(Items!$D$5:$D$597,MATCH($F1462,Items!$A$5:$A$597,0)),""))</f>
        <v>0</v>
      </c>
      <c r="L1462" s="21">
        <f t="shared" si="250"/>
        <v>0</v>
      </c>
      <c r="M1462" s="9" t="str">
        <f t="shared" si="248"/>
        <v/>
      </c>
      <c r="N1462" s="24">
        <f>IF($A1462="","",WORKDAY($A1462,Settings!$C$9,HolidayDates))</f>
        <v>46212</v>
      </c>
      <c r="O1462" s="24">
        <f>IF($N1462="","",WORKDAY($N1462,Settings!$C$10,HolidayDates))</f>
        <v>46252</v>
      </c>
      <c r="P1462" s="10" t="s">
        <v>501</v>
      </c>
      <c r="Q1462" s="52" t="str">
        <f t="shared" si="251"/>
        <v>Collected</v>
      </c>
      <c r="R1462" s="55" t="str">
        <f t="shared" si="252"/>
        <v>2026-07</v>
      </c>
      <c r="S1462" s="55">
        <f>IF(OR($B1462="",$F1462="",$R1462=""),"",SUMIFS(tblIssues[Qty Issued],tblIssues[Staff ID],$B1462,tblIssues[Item Name],$F1462,tblIssues[Month],$R1462))</f>
        <v>1</v>
      </c>
      <c r="T1462" s="56">
        <f>IF($I1462="","",$I1462*Settings!$C$11)</f>
        <v>1</v>
      </c>
      <c r="U1462" s="57" t="str">
        <f t="shared" si="249"/>
        <v>OK</v>
      </c>
      <c r="V1462" s="55" t="str">
        <f t="shared" si="253"/>
        <v/>
      </c>
      <c r="W1462" s="55" t="str">
        <f>IF($V1462="","",IF(COUNTIF($V$5:$V1462,$V1462)=1,1,""))</f>
        <v/>
      </c>
      <c r="X1462" s="58" t="str">
        <f>IF($W1462="","",MAX($X$4:X1461)+1)</f>
        <v/>
      </c>
      <c r="Y1462" s="62"/>
      <c r="Z1462" s="62"/>
      <c r="AA1462" s="64" t="str">
        <f>IF($C1462="","",IFERROR(INDEX('Staff Directory'!$E$5:$E$594,MATCH($C1462,'Staff Directory'!$B$5:$B$594,0)),""))</f>
        <v>firstname195.lastname195@example.com</v>
      </c>
      <c r="AB1462" s="64" t="str">
        <f>IF($C1462="","",IF(ISNUMBER(SEARCH($D1462,Settings!$C$15)),"Pickup","Dispatch"))</f>
        <v>Pickup</v>
      </c>
      <c r="AC1462" s="64" t="str">
        <f t="shared" si="254"/>
        <v>Supply order ready for pickup</v>
      </c>
      <c r="AD1462" s="64" t="str">
        <f t="shared" si="245"/>
        <v>Dear PSW,
Your order is ready for pickup from Sample Branch, Wed-Fri 9am-4pm.</v>
      </c>
      <c r="AE1462" s="64" t="str">
        <f t="shared" si="246"/>
        <v>mailto:firstname195.lastname195@example.com?subject=Supply%20order%20ready%20for%20pickup&amp;body=Dear%20PSW%2C%0A%0AYour%20order%20is%20ready%20for%20pickup%20from%20Sample%20Branch%2C%20Wed-Fri%209am-4pm.</v>
      </c>
      <c r="AF1462" s="89" t="str">
        <f t="shared" si="255"/>
        <v>Draft email</v>
      </c>
      <c r="AG1462" s="64" t="str">
        <f>IF($C1462="","",IFERROR(INDEX('Staff Directory'!$K$595:$K$599,MATCH($C1462,'Staff Directory'!$B$5:$B$599,0)),$D1462))</f>
        <v>PSW</v>
      </c>
      <c r="AH1462" t="str">
        <f>IF($C1462="","",IFERROR(INDEX('Staff Directory'!$I$595:$I$599,MATCH($C1462,'Staff Directory'!$B$5:$B$599,0))&amp;" "&amp;INDEX('Staff Directory'!$J$595:$J$599,MATCH($C1462,'Staff Directory'!$B$5:$B$599,0)),$AG1462))</f>
        <v>PSW</v>
      </c>
      <c r="AI1462" s="102"/>
      <c r="AJ1462" s="101">
        <f>IF($F1462="","",SUMIFS($J$5:$J1462,$F$5:$F1462,$F1462))</f>
        <v>22</v>
      </c>
      <c r="AK1462" s="101">
        <f t="shared" si="247"/>
        <v>22</v>
      </c>
      <c r="AL1462" s="66" t="str" cm="1">
        <f t="array" ref="AL1462">IF($F1462="","",IFERROR(INDEX('Lot Balance'!$B$5:$B$500,MATCH(1,INDEX(('Lot Balance'!$A$5:$A$500=$F1462)*('Lot Balance'!$K$5:$K$500&lt;$AK1462)*('Lot Balance'!$K$5:$K$500+'Lot Balance'!$D$5:$D$500&gt;=$AK1462),0),0)),""))</f>
        <v/>
      </c>
      <c r="AM1462" s="66" t="str" cm="1">
        <f t="array" ref="AM1462">IF($F1462="","",IFERROR(INDEX('Lot Balance'!$B$5:$B$500,MATCH(1,INDEX(('Lot Balance'!$A$5:$A$500=$F1462)*('Lot Balance'!$K$5:$K$500&lt;$AJ1462)*('Lot Balance'!$K$5:$K$500+'Lot Balance'!$D$5:$D$500&gt;=$AJ1462),0),0)),""))</f>
        <v/>
      </c>
      <c r="AN1462" s="66" t="str">
        <f>IF($F1462="","",IF($AI1462&lt;&gt;"",IF(COUNTIFS('Lot Balance'!$A$5:$A$500,$F1462,'Lot Balance'!$B$5:$B$500,$AI1462)=0,"⚠ override is not a lot of this item",IF($AI1462=$AL1462,"Override = FEFO","Override - FEFO says "&amp;$AL1462)),IF($AL1462="","⚠ no receipt on file for this item",IF($AM1462&lt;&gt;$AL1462,"FEFO auto - split, also "&amp;$AM1462,"FEFO auto"))))</f>
        <v>⚠ no receipt on file for this item</v>
      </c>
      <c r="AO1462" s="114"/>
    </row>
    <row r="1463" spans="1:41" x14ac:dyDescent="0.35">
      <c r="A1463" s="74">
        <v>46204</v>
      </c>
      <c r="B1463" s="18" t="str">
        <f>IF($C1463="","",IFERROR(INDEX('Staff Directory'!$A$5:$A$594,MATCH($C1463,'Staff Directory'!$B$5:$B$594,0)),"⚠ unknown staff"))</f>
        <v>PSW-167-A4</v>
      </c>
      <c r="C1463" s="49" t="s">
        <v>1146</v>
      </c>
      <c r="D1463" s="19" t="str">
        <f>IF($B1463="","",IFERROR(INDEX('Staff Directory'!$C$5:$C$594,MATCH($B1463,'Staff Directory'!$A$5:$A$594,0)),""))</f>
        <v>PSW</v>
      </c>
      <c r="E1463" s="19" t="str">
        <f>IF($B1463="","",IFERROR(INDEX('Staff Directory'!$D$5:$D$594,MATCH($B1463,'Staff Directory'!$A$5:$A$594,0)),""))</f>
        <v>A4</v>
      </c>
      <c r="F1463" s="9" t="s">
        <v>127</v>
      </c>
      <c r="G1463" s="18" t="str">
        <f>IF($F1463="","",IFERROR(INDEX(Items!$B$5:$B$597,MATCH($F1463,Items!$A$5:$A$597,0)),"⚠ not in Items"))</f>
        <v>Gloves</v>
      </c>
      <c r="H1463" s="19" t="str">
        <f>IF($F1463="","",IFERROR(INDEX(Items!$C$5:$C$597,MATCH($F1463,Items!$A$5:$A$597,0)),""))</f>
        <v>Medium</v>
      </c>
      <c r="I1463" s="23">
        <f>IF($F1463="","",IFERROR(INDEX(Items!$E$5:$E$597,MATCH($F1463,Items!$A$5:$A$597,0)),""))</f>
        <v>500</v>
      </c>
      <c r="J1463" s="115">
        <f>IF(tblIssues[[#This Row],[Qty Override]]&lt;&gt;"",tblIssues[[#This Row],[Qty Override]],IF(tblIssues[[#This Row],[Standard Issue]]="","",tblIssues[[#This Row],[Standard Issue]]))</f>
        <v>500</v>
      </c>
      <c r="K1463" s="20">
        <f>IF($F1463="","",IFERROR(INDEX(Items!$D$5:$D$597,MATCH($F1463,Items!$A$5:$A$597,0)),""))</f>
        <v>5.5E-2</v>
      </c>
      <c r="L1463" s="21">
        <f t="shared" si="250"/>
        <v>27.5</v>
      </c>
      <c r="M1463" s="9" t="str">
        <f t="shared" si="248"/>
        <v>ZIM510137962-2</v>
      </c>
      <c r="N1463" s="24">
        <f>IF($A1463="","",WORKDAY($A1463,Settings!$C$9,HolidayDates))</f>
        <v>46212</v>
      </c>
      <c r="O1463" s="24">
        <f>IF($N1463="","",WORKDAY($N1463,Settings!$C$10,HolidayDates))</f>
        <v>46252</v>
      </c>
      <c r="P1463" s="10" t="s">
        <v>501</v>
      </c>
      <c r="Q1463" s="52" t="str">
        <f t="shared" si="251"/>
        <v>Collected</v>
      </c>
      <c r="R1463" s="55" t="str">
        <f t="shared" si="252"/>
        <v>2026-07</v>
      </c>
      <c r="S1463" s="55">
        <f>IF(OR($B1463="",$F1463="",$R1463=""),"",SUMIFS(tblIssues[Qty Issued],tblIssues[Staff ID],$B1463,tblIssues[Item Name],$F1463,tblIssues[Month],$R1463))</f>
        <v>500</v>
      </c>
      <c r="T1463" s="56">
        <f>IF($I1463="","",$I1463*Settings!$C$11)</f>
        <v>500</v>
      </c>
      <c r="U1463" s="57" t="str">
        <f t="shared" si="249"/>
        <v>OK</v>
      </c>
      <c r="V1463" s="55" t="str">
        <f t="shared" si="253"/>
        <v/>
      </c>
      <c r="W1463" s="55" t="str">
        <f>IF($V1463="","",IF(COUNTIF($V$5:$V1463,$V1463)=1,1,""))</f>
        <v/>
      </c>
      <c r="X1463" s="58" t="str">
        <f>IF($W1463="","",MAX($X$4:X1462)+1)</f>
        <v/>
      </c>
      <c r="Y1463" s="62"/>
      <c r="Z1463" s="62"/>
      <c r="AA1463" s="64" t="str">
        <f>IF($C1463="","",IFERROR(INDEX('Staff Directory'!$E$5:$E$594,MATCH($C1463,'Staff Directory'!$B$5:$B$594,0)),""))</f>
        <v>firstname230.lastname230@example.com</v>
      </c>
      <c r="AB1463" s="64" t="str">
        <f>IF($C1463="","",IF(ISNUMBER(SEARCH($D1463,Settings!$C$15)),"Pickup","Dispatch"))</f>
        <v>Pickup</v>
      </c>
      <c r="AC1463" s="64" t="str">
        <f t="shared" si="254"/>
        <v>Supply order ready for pickup</v>
      </c>
      <c r="AD1463" s="64" t="str">
        <f t="shared" si="245"/>
        <v>Dear PSW,
Your order is ready for pickup from Sample Branch, Wed-Fri 9am-4pm.</v>
      </c>
      <c r="AE1463" s="64" t="str">
        <f t="shared" si="246"/>
        <v>mailto:firstname230.lastname230@example.com?subject=Supply%20order%20ready%20for%20pickup&amp;body=Dear%20PSW%2C%0A%0AYour%20order%20is%20ready%20for%20pickup%20from%20Sample%20Branch%2C%20Wed-Fri%209am-4pm.</v>
      </c>
      <c r="AF1463" s="89" t="str">
        <f t="shared" si="255"/>
        <v>Draft email</v>
      </c>
      <c r="AG1463" s="64" t="str">
        <f>IF($C1463="","",IFERROR(INDEX('Staff Directory'!$K$595:$K$599,MATCH($C1463,'Staff Directory'!$B$5:$B$599,0)),$D1463))</f>
        <v>PSW</v>
      </c>
      <c r="AH1463" t="str">
        <f>IF($C1463="","",IFERROR(INDEX('Staff Directory'!$I$595:$I$599,MATCH($C1463,'Staff Directory'!$B$5:$B$599,0))&amp;" "&amp;INDEX('Staff Directory'!$J$595:$J$599,MATCH($C1463,'Staff Directory'!$B$5:$B$599,0)),$AG1463))</f>
        <v>PSW</v>
      </c>
      <c r="AI1463" s="102"/>
      <c r="AJ1463" s="101">
        <f>IF($F1463="","",SUMIFS($J$5:$J1463,$F$5:$F1463,$F1463))</f>
        <v>90000</v>
      </c>
      <c r="AK1463" s="101">
        <f t="shared" si="247"/>
        <v>89501</v>
      </c>
      <c r="AL1463" s="66" t="str" cm="1">
        <f t="array" ref="AL1463">IF($F1463="","",IFERROR(INDEX('Lot Balance'!$B$5:$B$500,MATCH(1,INDEX(('Lot Balance'!$A$5:$A$500=$F1463)*('Lot Balance'!$K$5:$K$500&lt;$AK1463)*('Lot Balance'!$K$5:$K$500+'Lot Balance'!$D$5:$D$500&gt;=$AK1463),0),0)),""))</f>
        <v>ZIM510137962-2</v>
      </c>
      <c r="AM1463" s="66" t="str" cm="1">
        <f t="array" ref="AM1463">IF($F1463="","",IFERROR(INDEX('Lot Balance'!$B$5:$B$500,MATCH(1,INDEX(('Lot Balance'!$A$5:$A$500=$F1463)*('Lot Balance'!$K$5:$K$500&lt;$AJ1463)*('Lot Balance'!$K$5:$K$500+'Lot Balance'!$D$5:$D$500&gt;=$AJ1463),0),0)),""))</f>
        <v>ZIM510137962-2</v>
      </c>
      <c r="AN1463" s="66" t="str">
        <f>IF($F1463="","",IF($AI1463&lt;&gt;"",IF(COUNTIFS('Lot Balance'!$A$5:$A$500,$F1463,'Lot Balance'!$B$5:$B$500,$AI1463)=0,"⚠ override is not a lot of this item",IF($AI1463=$AL1463,"Override = FEFO","Override - FEFO says "&amp;$AL1463)),IF($AL1463="","⚠ no receipt on file for this item",IF($AM1463&lt;&gt;$AL1463,"FEFO auto - split, also "&amp;$AM1463,"FEFO auto"))))</f>
        <v>FEFO auto</v>
      </c>
      <c r="AO1463" s="114"/>
    </row>
    <row r="1464" spans="1:41" x14ac:dyDescent="0.35">
      <c r="A1464" s="74">
        <v>46204</v>
      </c>
      <c r="B1464" s="18" t="str">
        <f>IF($C1464="","",IFERROR(INDEX('Staff Directory'!$A$5:$A$594,MATCH($C1464,'Staff Directory'!$B$5:$B$594,0)),"⚠ unknown staff"))</f>
        <v>PSW-167-A4</v>
      </c>
      <c r="C1464" s="49" t="s">
        <v>1146</v>
      </c>
      <c r="D1464" s="19" t="str">
        <f>IF($B1464="","",IFERROR(INDEX('Staff Directory'!$C$5:$C$594,MATCH($B1464,'Staff Directory'!$A$5:$A$594,0)),""))</f>
        <v>PSW</v>
      </c>
      <c r="E1464" s="19" t="str">
        <f>IF($B1464="","",IFERROR(INDEX('Staff Directory'!$D$5:$D$594,MATCH($B1464,'Staff Directory'!$A$5:$A$594,0)),""))</f>
        <v>A4</v>
      </c>
      <c r="F1464" s="9" t="s">
        <v>191</v>
      </c>
      <c r="G1464" s="18" t="str">
        <f>IF($F1464="","",IFERROR(INDEX(Items!$B$5:$B$597,MATCH($F1464,Items!$A$5:$A$597,0)),"⚠ not in Items"))</f>
        <v>Sanitizer</v>
      </c>
      <c r="H1464" s="19" t="str">
        <f>IF($F1464="","",IFERROR(INDEX(Items!$C$5:$C$597,MATCH($F1464,Items!$A$5:$A$597,0)),""))</f>
        <v>236 ML</v>
      </c>
      <c r="I1464" s="23">
        <f>IF($F1464="","",IFERROR(INDEX(Items!$E$5:$E$597,MATCH($F1464,Items!$A$5:$A$597,0)),""))</f>
        <v>1</v>
      </c>
      <c r="J1464" s="115">
        <f>IF(tblIssues[[#This Row],[Qty Override]]&lt;&gt;"",tblIssues[[#This Row],[Qty Override]],IF(tblIssues[[#This Row],[Standard Issue]]="","",tblIssues[[#This Row],[Standard Issue]]))</f>
        <v>1</v>
      </c>
      <c r="K1464" s="20">
        <f>IF($F1464="","",IFERROR(INDEX(Items!$D$5:$D$597,MATCH($F1464,Items!$A$5:$A$597,0)),""))</f>
        <v>1E-4</v>
      </c>
      <c r="L1464" s="21">
        <f t="shared" si="250"/>
        <v>1E-4</v>
      </c>
      <c r="M1464" s="9" t="str">
        <f t="shared" si="248"/>
        <v/>
      </c>
      <c r="N1464" s="24">
        <f>IF($A1464="","",WORKDAY($A1464,Settings!$C$9,HolidayDates))</f>
        <v>46212</v>
      </c>
      <c r="O1464" s="24">
        <f>IF($N1464="","",WORKDAY($N1464,Settings!$C$10,HolidayDates))</f>
        <v>46252</v>
      </c>
      <c r="P1464" s="10" t="s">
        <v>501</v>
      </c>
      <c r="Q1464" s="52" t="str">
        <f t="shared" si="251"/>
        <v>Collected</v>
      </c>
      <c r="R1464" s="55" t="str">
        <f t="shared" si="252"/>
        <v>2026-07</v>
      </c>
      <c r="S1464" s="55">
        <f>IF(OR($B1464="",$F1464="",$R1464=""),"",SUMIFS(tblIssues[Qty Issued],tblIssues[Staff ID],$B1464,tblIssues[Item Name],$F1464,tblIssues[Month],$R1464))</f>
        <v>1</v>
      </c>
      <c r="T1464" s="56">
        <f>IF($I1464="","",$I1464*Settings!$C$11)</f>
        <v>1</v>
      </c>
      <c r="U1464" s="57" t="str">
        <f t="shared" si="249"/>
        <v>OK</v>
      </c>
      <c r="V1464" s="55" t="str">
        <f t="shared" si="253"/>
        <v/>
      </c>
      <c r="W1464" s="55" t="str">
        <f>IF($V1464="","",IF(COUNTIF($V$5:$V1464,$V1464)=1,1,""))</f>
        <v/>
      </c>
      <c r="X1464" s="58" t="str">
        <f>IF($W1464="","",MAX($X$4:X1463)+1)</f>
        <v/>
      </c>
      <c r="Y1464" s="62"/>
      <c r="Z1464" s="62"/>
      <c r="AA1464" s="64" t="str">
        <f>IF($C1464="","",IFERROR(INDEX('Staff Directory'!$E$5:$E$594,MATCH($C1464,'Staff Directory'!$B$5:$B$594,0)),""))</f>
        <v>firstname230.lastname230@example.com</v>
      </c>
      <c r="AB1464" s="64" t="str">
        <f>IF($C1464="","",IF(ISNUMBER(SEARCH($D1464,Settings!$C$15)),"Pickup","Dispatch"))</f>
        <v>Pickup</v>
      </c>
      <c r="AC1464" s="64" t="str">
        <f t="shared" si="254"/>
        <v>Supply order ready for pickup</v>
      </c>
      <c r="AD1464" s="64" t="str">
        <f t="shared" si="245"/>
        <v>Dear PSW,
Your order is ready for pickup from Sample Branch, Wed-Fri 9am-4pm.</v>
      </c>
      <c r="AE1464" s="64" t="str">
        <f t="shared" si="246"/>
        <v>mailto:firstname230.lastname230@example.com?subject=Supply%20order%20ready%20for%20pickup&amp;body=Dear%20PSW%2C%0A%0AYour%20order%20is%20ready%20for%20pickup%20from%20Sample%20Branch%2C%20Wed-Fri%209am-4pm.</v>
      </c>
      <c r="AF1464" s="89" t="str">
        <f t="shared" si="255"/>
        <v>Draft email</v>
      </c>
      <c r="AG1464" s="64" t="str">
        <f>IF($C1464="","",IFERROR(INDEX('Staff Directory'!$K$595:$K$599,MATCH($C1464,'Staff Directory'!$B$5:$B$599,0)),$D1464))</f>
        <v>PSW</v>
      </c>
      <c r="AH1464" t="str">
        <f>IF($C1464="","",IFERROR(INDEX('Staff Directory'!$I$595:$I$599,MATCH($C1464,'Staff Directory'!$B$5:$B$599,0))&amp;" "&amp;INDEX('Staff Directory'!$J$595:$J$599,MATCH($C1464,'Staff Directory'!$B$5:$B$599,0)),$AG1464))</f>
        <v>PSW</v>
      </c>
      <c r="AI1464" s="102"/>
      <c r="AJ1464" s="101">
        <f>IF($F1464="","",SUMIFS($J$5:$J1464,$F$5:$F1464,$F1464))</f>
        <v>199</v>
      </c>
      <c r="AK1464" s="101">
        <f t="shared" si="247"/>
        <v>199</v>
      </c>
      <c r="AL1464" s="66" t="str" cm="1">
        <f t="array" ref="AL1464">IF($F1464="","",IFERROR(INDEX('Lot Balance'!$B$5:$B$500,MATCH(1,INDEX(('Lot Balance'!$A$5:$A$500=$F1464)*('Lot Balance'!$K$5:$K$500&lt;$AK1464)*('Lot Balance'!$K$5:$K$500+'Lot Balance'!$D$5:$D$500&gt;=$AK1464),0),0)),""))</f>
        <v/>
      </c>
      <c r="AM1464" s="66" t="str" cm="1">
        <f t="array" ref="AM1464">IF($F1464="","",IFERROR(INDEX('Lot Balance'!$B$5:$B$500,MATCH(1,INDEX(('Lot Balance'!$A$5:$A$500=$F1464)*('Lot Balance'!$K$5:$K$500&lt;$AJ1464)*('Lot Balance'!$K$5:$K$500+'Lot Balance'!$D$5:$D$500&gt;=$AJ1464),0),0)),""))</f>
        <v/>
      </c>
      <c r="AN1464" s="66" t="str">
        <f>IF($F1464="","",IF($AI1464&lt;&gt;"",IF(COUNTIFS('Lot Balance'!$A$5:$A$500,$F1464,'Lot Balance'!$B$5:$B$500,$AI1464)=0,"⚠ override is not a lot of this item",IF($AI1464=$AL1464,"Override = FEFO","Override - FEFO says "&amp;$AL1464)),IF($AL1464="","⚠ no receipt on file for this item",IF($AM1464&lt;&gt;$AL1464,"FEFO auto - split, also "&amp;$AM1464,"FEFO auto"))))</f>
        <v>⚠ no receipt on file for this item</v>
      </c>
      <c r="AO1464" s="114"/>
    </row>
    <row r="1465" spans="1:41" x14ac:dyDescent="0.35">
      <c r="A1465" s="74">
        <v>46204</v>
      </c>
      <c r="B1465" s="18" t="str">
        <f>IF($C1465="","",IFERROR(INDEX('Staff Directory'!$A$5:$A$594,MATCH($C1465,'Staff Directory'!$B$5:$B$594,0)),"⚠ unknown staff"))</f>
        <v>PSW-167-A4</v>
      </c>
      <c r="C1465" s="49" t="s">
        <v>1146</v>
      </c>
      <c r="D1465" s="19" t="str">
        <f>IF($B1465="","",IFERROR(INDEX('Staff Directory'!$C$5:$C$594,MATCH($B1465,'Staff Directory'!$A$5:$A$594,0)),""))</f>
        <v>PSW</v>
      </c>
      <c r="E1465" s="19" t="str">
        <f>IF($B1465="","",IFERROR(INDEX('Staff Directory'!$D$5:$D$594,MATCH($B1465,'Staff Directory'!$A$5:$A$594,0)),""))</f>
        <v>A4</v>
      </c>
      <c r="F1465" s="9" t="s">
        <v>115</v>
      </c>
      <c r="G1465" s="18" t="str">
        <f>IF($F1465="","",IFERROR(INDEX(Items!$B$5:$B$597,MATCH($F1465,Items!$A$5:$A$597,0)),"⚠ not in Items"))</f>
        <v>Wipes</v>
      </c>
      <c r="H1465" s="19">
        <f>IF($F1465="","",IFERROR(INDEX(Items!$C$5:$C$597,MATCH($F1465,Items!$A$5:$A$597,0)),""))</f>
        <v>80</v>
      </c>
      <c r="I1465" s="23">
        <f>IF($F1465="","",IFERROR(INDEX(Items!$E$5:$E$597,MATCH($F1465,Items!$A$5:$A$597,0)),""))</f>
        <v>80</v>
      </c>
      <c r="J1465" s="115">
        <f>IF(tblIssues[[#This Row],[Qty Override]]&lt;&gt;"",tblIssues[[#This Row],[Qty Override]],IF(tblIssues[[#This Row],[Standard Issue]]="","",tblIssues[[#This Row],[Standard Issue]]))</f>
        <v>80</v>
      </c>
      <c r="K1465" s="20">
        <f>IF($F1465="","",IFERROR(INDEX(Items!$D$5:$D$597,MATCH($F1465,Items!$A$5:$A$597,0)),""))</f>
        <v>0.1</v>
      </c>
      <c r="L1465" s="21">
        <f t="shared" si="250"/>
        <v>8</v>
      </c>
      <c r="M1465" s="9" t="str">
        <f t="shared" si="248"/>
        <v>LYSL500290</v>
      </c>
      <c r="N1465" s="24">
        <f>IF($A1465="","",WORKDAY($A1465,Settings!$C$9,HolidayDates))</f>
        <v>46212</v>
      </c>
      <c r="O1465" s="24">
        <f>IF($N1465="","",WORKDAY($N1465,Settings!$C$10,HolidayDates))</f>
        <v>46252</v>
      </c>
      <c r="P1465" s="10" t="s">
        <v>501</v>
      </c>
      <c r="Q1465" s="52" t="str">
        <f t="shared" si="251"/>
        <v>Collected</v>
      </c>
      <c r="R1465" s="55" t="str">
        <f t="shared" si="252"/>
        <v>2026-07</v>
      </c>
      <c r="S1465" s="55">
        <f>IF(OR($B1465="",$F1465="",$R1465=""),"",SUMIFS(tblIssues[Qty Issued],tblIssues[Staff ID],$B1465,tblIssues[Item Name],$F1465,tblIssues[Month],$R1465))</f>
        <v>80</v>
      </c>
      <c r="T1465" s="56">
        <f>IF($I1465="","",$I1465*Settings!$C$11)</f>
        <v>80</v>
      </c>
      <c r="U1465" s="57" t="str">
        <f t="shared" si="249"/>
        <v>OK</v>
      </c>
      <c r="V1465" s="55" t="str">
        <f t="shared" si="253"/>
        <v/>
      </c>
      <c r="W1465" s="55" t="str">
        <f>IF($V1465="","",IF(COUNTIF($V$5:$V1465,$V1465)=1,1,""))</f>
        <v/>
      </c>
      <c r="X1465" s="58" t="str">
        <f>IF($W1465="","",MAX($X$4:X1464)+1)</f>
        <v/>
      </c>
      <c r="Y1465" s="62"/>
      <c r="Z1465" s="62"/>
      <c r="AA1465" s="64" t="str">
        <f>IF($C1465="","",IFERROR(INDEX('Staff Directory'!$E$5:$E$594,MATCH($C1465,'Staff Directory'!$B$5:$B$594,0)),""))</f>
        <v>firstname230.lastname230@example.com</v>
      </c>
      <c r="AB1465" s="64" t="str">
        <f>IF($C1465="","",IF(ISNUMBER(SEARCH($D1465,Settings!$C$15)),"Pickup","Dispatch"))</f>
        <v>Pickup</v>
      </c>
      <c r="AC1465" s="64" t="str">
        <f t="shared" si="254"/>
        <v>Supply order ready for pickup</v>
      </c>
      <c r="AD1465" s="64" t="str">
        <f t="shared" si="245"/>
        <v>Dear PSW,
Your order is ready for pickup from Sample Branch, Wed-Fri 9am-4pm.</v>
      </c>
      <c r="AE1465" s="64" t="str">
        <f t="shared" si="246"/>
        <v>mailto:firstname230.lastname230@example.com?subject=Supply%20order%20ready%20for%20pickup&amp;body=Dear%20PSW%2C%0A%0AYour%20order%20is%20ready%20for%20pickup%20from%20Sample%20Branch%2C%20Wed-Fri%209am-4pm.</v>
      </c>
      <c r="AF1465" s="89" t="str">
        <f t="shared" si="255"/>
        <v>Draft email</v>
      </c>
      <c r="AG1465" s="64" t="str">
        <f>IF($C1465="","",IFERROR(INDEX('Staff Directory'!$K$595:$K$599,MATCH($C1465,'Staff Directory'!$B$5:$B$599,0)),$D1465))</f>
        <v>PSW</v>
      </c>
      <c r="AH1465" t="str">
        <f>IF($C1465="","",IFERROR(INDEX('Staff Directory'!$I$595:$I$599,MATCH($C1465,'Staff Directory'!$B$5:$B$599,0))&amp;" "&amp;INDEX('Staff Directory'!$J$595:$J$599,MATCH($C1465,'Staff Directory'!$B$5:$B$599,0)),$AG1465))</f>
        <v>PSW</v>
      </c>
      <c r="AI1465" s="102"/>
      <c r="AJ1465" s="101">
        <f>IF($F1465="","",SUMIFS($J$5:$J1465,$F$5:$F1465,$F1465))</f>
        <v>20320</v>
      </c>
      <c r="AK1465" s="101">
        <f t="shared" si="247"/>
        <v>20241</v>
      </c>
      <c r="AL1465" s="66" t="str" cm="1">
        <f t="array" ref="AL1465">IF($F1465="","",IFERROR(INDEX('Lot Balance'!$B$5:$B$500,MATCH(1,INDEX(('Lot Balance'!$A$5:$A$500=$F1465)*('Lot Balance'!$K$5:$K$500&lt;$AK1465)*('Lot Balance'!$K$5:$K$500+'Lot Balance'!$D$5:$D$500&gt;=$AK1465),0),0)),""))</f>
        <v>LYSL500290</v>
      </c>
      <c r="AM1465" s="66" t="str" cm="1">
        <f t="array" ref="AM1465">IF($F1465="","",IFERROR(INDEX('Lot Balance'!$B$5:$B$500,MATCH(1,INDEX(('Lot Balance'!$A$5:$A$500=$F1465)*('Lot Balance'!$K$5:$K$500&lt;$AJ1465)*('Lot Balance'!$K$5:$K$500+'Lot Balance'!$D$5:$D$500&gt;=$AJ1465),0),0)),""))</f>
        <v>LYSL500290</v>
      </c>
      <c r="AN1465" s="66" t="str">
        <f>IF($F1465="","",IF($AI1465&lt;&gt;"",IF(COUNTIFS('Lot Balance'!$A$5:$A$500,$F1465,'Lot Balance'!$B$5:$B$500,$AI1465)=0,"⚠ override is not a lot of this item",IF($AI1465=$AL1465,"Override = FEFO","Override - FEFO says "&amp;$AL1465)),IF($AL1465="","⚠ no receipt on file for this item",IF($AM1465&lt;&gt;$AL1465,"FEFO auto - split, also "&amp;$AM1465,"FEFO auto"))))</f>
        <v>FEFO auto</v>
      </c>
      <c r="AO1465" s="114"/>
    </row>
    <row r="1466" spans="1:41" x14ac:dyDescent="0.35">
      <c r="A1466" s="74">
        <v>46204</v>
      </c>
      <c r="B1466" s="18" t="str">
        <f>IF($C1466="","",IFERROR(INDEX('Staff Directory'!$A$5:$A$594,MATCH($C1466,'Staff Directory'!$B$5:$B$594,0)),"⚠ unknown staff"))</f>
        <v>PSW-167-A4</v>
      </c>
      <c r="C1466" s="49" t="s">
        <v>1146</v>
      </c>
      <c r="D1466" s="19" t="str">
        <f>IF($B1466="","",IFERROR(INDEX('Staff Directory'!$C$5:$C$594,MATCH($B1466,'Staff Directory'!$A$5:$A$594,0)),""))</f>
        <v>PSW</v>
      </c>
      <c r="E1466" s="19" t="str">
        <f>IF($B1466="","",IFERROR(INDEX('Staff Directory'!$D$5:$D$594,MATCH($B1466,'Staff Directory'!$A$5:$A$594,0)),""))</f>
        <v>A4</v>
      </c>
      <c r="F1466" s="9" t="s">
        <v>154</v>
      </c>
      <c r="G1466" s="18" t="str">
        <f>IF($F1466="","",IFERROR(INDEX(Items!$B$5:$B$597,MATCH($F1466,Items!$A$5:$A$597,0)),"⚠ not in Items"))</f>
        <v>IPAC</v>
      </c>
      <c r="H1466" s="19" t="str">
        <f>IF($F1466="","",IFERROR(INDEX(Items!$C$5:$C$597,MATCH($F1466,Items!$A$5:$A$597,0)),""))</f>
        <v>Regular</v>
      </c>
      <c r="I1466" s="23">
        <f>IF($F1466="","",IFERROR(INDEX(Items!$E$5:$E$597,MATCH($F1466,Items!$A$5:$A$597,0)),""))</f>
        <v>50</v>
      </c>
      <c r="J1466" s="115">
        <f>IF(tblIssues[[#This Row],[Qty Override]]&lt;&gt;"",tblIssues[[#This Row],[Qty Override]],IF(tblIssues[[#This Row],[Standard Issue]]="","",tblIssues[[#This Row],[Standard Issue]]))</f>
        <v>50</v>
      </c>
      <c r="K1466" s="20">
        <f>IF($F1466="","",IFERROR(INDEX(Items!$D$5:$D$597,MATCH($F1466,Items!$A$5:$A$597,0)),""))</f>
        <v>0.2</v>
      </c>
      <c r="L1466" s="21">
        <f t="shared" si="250"/>
        <v>10</v>
      </c>
      <c r="M1466" s="9" t="str">
        <f t="shared" si="248"/>
        <v/>
      </c>
      <c r="N1466" s="24">
        <f>IF($A1466="","",WORKDAY($A1466,Settings!$C$9,HolidayDates))</f>
        <v>46212</v>
      </c>
      <c r="O1466" s="24">
        <f>IF($N1466="","",WORKDAY($N1466,Settings!$C$10,HolidayDates))</f>
        <v>46252</v>
      </c>
      <c r="P1466" s="10" t="s">
        <v>501</v>
      </c>
      <c r="Q1466" s="52" t="str">
        <f t="shared" si="251"/>
        <v>Collected</v>
      </c>
      <c r="R1466" s="55" t="str">
        <f t="shared" si="252"/>
        <v>2026-07</v>
      </c>
      <c r="S1466" s="55">
        <f>IF(OR($B1466="",$F1466="",$R1466=""),"",SUMIFS(tblIssues[Qty Issued],tblIssues[Staff ID],$B1466,tblIssues[Item Name],$F1466,tblIssues[Month],$R1466))</f>
        <v>50</v>
      </c>
      <c r="T1466" s="56">
        <f>IF($I1466="","",$I1466*Settings!$C$11)</f>
        <v>50</v>
      </c>
      <c r="U1466" s="57" t="str">
        <f t="shared" si="249"/>
        <v>OK</v>
      </c>
      <c r="V1466" s="55" t="str">
        <f t="shared" si="253"/>
        <v/>
      </c>
      <c r="W1466" s="55" t="str">
        <f>IF($V1466="","",IF(COUNTIF($V$5:$V1466,$V1466)=1,1,""))</f>
        <v/>
      </c>
      <c r="X1466" s="58" t="str">
        <f>IF($W1466="","",MAX($X$4:X1465)+1)</f>
        <v/>
      </c>
      <c r="Y1466" s="62"/>
      <c r="Z1466" s="62"/>
      <c r="AA1466" s="64" t="str">
        <f>IF($C1466="","",IFERROR(INDEX('Staff Directory'!$E$5:$E$594,MATCH($C1466,'Staff Directory'!$B$5:$B$594,0)),""))</f>
        <v>firstname230.lastname230@example.com</v>
      </c>
      <c r="AB1466" s="64" t="str">
        <f>IF($C1466="","",IF(ISNUMBER(SEARCH($D1466,Settings!$C$15)),"Pickup","Dispatch"))</f>
        <v>Pickup</v>
      </c>
      <c r="AC1466" s="64" t="str">
        <f t="shared" si="254"/>
        <v>Supply order ready for pickup</v>
      </c>
      <c r="AD1466" s="64" t="str">
        <f t="shared" si="245"/>
        <v>Dear PSW,
Your order is ready for pickup from Sample Branch, Wed-Fri 9am-4pm.</v>
      </c>
      <c r="AE1466" s="64" t="str">
        <f t="shared" si="246"/>
        <v>mailto:firstname230.lastname230@example.com?subject=Supply%20order%20ready%20for%20pickup&amp;body=Dear%20PSW%2C%0A%0AYour%20order%20is%20ready%20for%20pickup%20from%20Sample%20Branch%2C%20Wed-Fri%209am-4pm.</v>
      </c>
      <c r="AF1466" s="89" t="str">
        <f t="shared" si="255"/>
        <v>Draft email</v>
      </c>
      <c r="AG1466" s="64" t="str">
        <f>IF($C1466="","",IFERROR(INDEX('Staff Directory'!$K$595:$K$599,MATCH($C1466,'Staff Directory'!$B$5:$B$599,0)),$D1466))</f>
        <v>PSW</v>
      </c>
      <c r="AH1466" t="str">
        <f>IF($C1466="","",IFERROR(INDEX('Staff Directory'!$I$595:$I$599,MATCH($C1466,'Staff Directory'!$B$5:$B$599,0))&amp;" "&amp;INDEX('Staff Directory'!$J$595:$J$599,MATCH($C1466,'Staff Directory'!$B$5:$B$599,0)),$AG1466))</f>
        <v>PSW</v>
      </c>
      <c r="AI1466" s="102"/>
      <c r="AJ1466" s="101">
        <f>IF($F1466="","",SUMIFS($J$5:$J1466,$F$5:$F1466,$F1466))</f>
        <v>1300</v>
      </c>
      <c r="AK1466" s="101">
        <f t="shared" si="247"/>
        <v>1251</v>
      </c>
      <c r="AL1466" s="66" t="str" cm="1">
        <f t="array" ref="AL1466">IF($F1466="","",IFERROR(INDEX('Lot Balance'!$B$5:$B$500,MATCH(1,INDEX(('Lot Balance'!$A$5:$A$500=$F1466)*('Lot Balance'!$K$5:$K$500&lt;$AK1466)*('Lot Balance'!$K$5:$K$500+'Lot Balance'!$D$5:$D$500&gt;=$AK1466),0),0)),""))</f>
        <v/>
      </c>
      <c r="AM1466" s="66" t="str" cm="1">
        <f t="array" ref="AM1466">IF($F1466="","",IFERROR(INDEX('Lot Balance'!$B$5:$B$500,MATCH(1,INDEX(('Lot Balance'!$A$5:$A$500=$F1466)*('Lot Balance'!$K$5:$K$500&lt;$AJ1466)*('Lot Balance'!$K$5:$K$500+'Lot Balance'!$D$5:$D$500&gt;=$AJ1466),0),0)),""))</f>
        <v/>
      </c>
      <c r="AN1466" s="66" t="str">
        <f>IF($F1466="","",IF($AI1466&lt;&gt;"",IF(COUNTIFS('Lot Balance'!$A$5:$A$500,$F1466,'Lot Balance'!$B$5:$B$500,$AI1466)=0,"⚠ override is not a lot of this item",IF($AI1466=$AL1466,"Override = FEFO","Override - FEFO says "&amp;$AL1466)),IF($AL1466="","⚠ no receipt on file for this item",IF($AM1466&lt;&gt;$AL1466,"FEFO auto - split, also "&amp;$AM1466,"FEFO auto"))))</f>
        <v>⚠ no receipt on file for this item</v>
      </c>
      <c r="AO1466" s="114"/>
    </row>
    <row r="1467" spans="1:41" x14ac:dyDescent="0.35">
      <c r="A1467" s="74">
        <v>46204</v>
      </c>
      <c r="B1467" s="18" t="str">
        <f>IF($C1467="","",IFERROR(INDEX('Staff Directory'!$A$5:$A$594,MATCH($C1467,'Staff Directory'!$B$5:$B$594,0)),"⚠ unknown staff"))</f>
        <v>PSW-167-A4</v>
      </c>
      <c r="C1467" s="49" t="s">
        <v>1146</v>
      </c>
      <c r="D1467" s="19" t="str">
        <f>IF($B1467="","",IFERROR(INDEX('Staff Directory'!$C$5:$C$594,MATCH($B1467,'Staff Directory'!$A$5:$A$594,0)),""))</f>
        <v>PSW</v>
      </c>
      <c r="E1467" s="19" t="str">
        <f>IF($B1467="","",IFERROR(INDEX('Staff Directory'!$D$5:$D$594,MATCH($B1467,'Staff Directory'!$A$5:$A$594,0)),""))</f>
        <v>A4</v>
      </c>
      <c r="F1467" s="9" t="s">
        <v>144</v>
      </c>
      <c r="G1467" s="18" t="str">
        <f>IF($F1467="","",IFERROR(INDEX(Items!$B$5:$B$597,MATCH($F1467,Items!$A$5:$A$597,0)),"⚠ not in Items"))</f>
        <v>IPAC</v>
      </c>
      <c r="H1467" s="19" t="str">
        <f>IF($F1467="","",IFERROR(INDEX(Items!$C$5:$C$597,MATCH($F1467,Items!$A$5:$A$597,0)),""))</f>
        <v>One Size</v>
      </c>
      <c r="I1467" s="23">
        <f>IF($F1467="","",IFERROR(INDEX(Items!$E$5:$E$597,MATCH($F1467,Items!$A$5:$A$597,0)),""))</f>
        <v>4</v>
      </c>
      <c r="J1467" s="115">
        <f>IF(tblIssues[[#This Row],[Qty Override]]&lt;&gt;"",tblIssues[[#This Row],[Qty Override]],IF(tblIssues[[#This Row],[Standard Issue]]="","",tblIssues[[#This Row],[Standard Issue]]))</f>
        <v>4</v>
      </c>
      <c r="K1467" s="20">
        <f>IF($F1467="","",IFERROR(INDEX(Items!$D$5:$D$597,MATCH($F1467,Items!$A$5:$A$597,0)),""))</f>
        <v>145.97999999999999</v>
      </c>
      <c r="L1467" s="21">
        <f t="shared" si="250"/>
        <v>583.91999999999996</v>
      </c>
      <c r="M1467" s="9" t="str">
        <f t="shared" si="248"/>
        <v/>
      </c>
      <c r="N1467" s="24">
        <f>IF($A1467="","",WORKDAY($A1467,Settings!$C$9,HolidayDates))</f>
        <v>46212</v>
      </c>
      <c r="O1467" s="24">
        <f>IF($N1467="","",WORKDAY($N1467,Settings!$C$10,HolidayDates))</f>
        <v>46252</v>
      </c>
      <c r="P1467" s="10" t="s">
        <v>501</v>
      </c>
      <c r="Q1467" s="52" t="str">
        <f t="shared" si="251"/>
        <v>Collected</v>
      </c>
      <c r="R1467" s="55" t="str">
        <f t="shared" si="252"/>
        <v>2026-07</v>
      </c>
      <c r="S1467" s="55">
        <f>IF(OR($B1467="",$F1467="",$R1467=""),"",SUMIFS(tblIssues[Qty Issued],tblIssues[Staff ID],$B1467,tblIssues[Item Name],$F1467,tblIssues[Month],$R1467))</f>
        <v>4</v>
      </c>
      <c r="T1467" s="56">
        <f>IF($I1467="","",$I1467*Settings!$C$11)</f>
        <v>4</v>
      </c>
      <c r="U1467" s="57" t="str">
        <f t="shared" si="249"/>
        <v>OK</v>
      </c>
      <c r="V1467" s="55" t="str">
        <f t="shared" si="253"/>
        <v/>
      </c>
      <c r="W1467" s="55" t="str">
        <f>IF($V1467="","",IF(COUNTIF($V$5:$V1467,$V1467)=1,1,""))</f>
        <v/>
      </c>
      <c r="X1467" s="58" t="str">
        <f>IF($W1467="","",MAX($X$4:X1466)+1)</f>
        <v/>
      </c>
      <c r="Y1467" s="62"/>
      <c r="Z1467" s="62"/>
      <c r="AA1467" s="64" t="str">
        <f>IF($C1467="","",IFERROR(INDEX('Staff Directory'!$E$5:$E$594,MATCH($C1467,'Staff Directory'!$B$5:$B$594,0)),""))</f>
        <v>firstname230.lastname230@example.com</v>
      </c>
      <c r="AB1467" s="64" t="str">
        <f>IF($C1467="","",IF(ISNUMBER(SEARCH($D1467,Settings!$C$15)),"Pickup","Dispatch"))</f>
        <v>Pickup</v>
      </c>
      <c r="AC1467" s="64" t="str">
        <f t="shared" si="254"/>
        <v>Supply order ready for pickup</v>
      </c>
      <c r="AD1467" s="64" t="str">
        <f t="shared" si="245"/>
        <v>Dear PSW,
Your order is ready for pickup from Sample Branch, Wed-Fri 9am-4pm.</v>
      </c>
      <c r="AE1467" s="64" t="str">
        <f t="shared" si="246"/>
        <v>mailto:firstname230.lastname230@example.com?subject=Supply%20order%20ready%20for%20pickup&amp;body=Dear%20PSW%2C%0A%0AYour%20order%20is%20ready%20for%20pickup%20from%20Sample%20Branch%2C%20Wed-Fri%209am-4pm.</v>
      </c>
      <c r="AF1467" s="89" t="str">
        <f t="shared" si="255"/>
        <v>Draft email</v>
      </c>
      <c r="AG1467" s="64" t="str">
        <f>IF($C1467="","",IFERROR(INDEX('Staff Directory'!$K$595:$K$599,MATCH($C1467,'Staff Directory'!$B$5:$B$599,0)),$D1467))</f>
        <v>PSW</v>
      </c>
      <c r="AH1467" t="str">
        <f>IF($C1467="","",IFERROR(INDEX('Staff Directory'!$I$595:$I$599,MATCH($C1467,'Staff Directory'!$B$5:$B$599,0))&amp;" "&amp;INDEX('Staff Directory'!$J$595:$J$599,MATCH($C1467,'Staff Directory'!$B$5:$B$599,0)),$AG1467))</f>
        <v>PSW</v>
      </c>
      <c r="AI1467" s="102"/>
      <c r="AJ1467" s="101">
        <f>IF($F1467="","",SUMIFS($J$5:$J1467,$F$5:$F1467,$F1467))</f>
        <v>56</v>
      </c>
      <c r="AK1467" s="101">
        <f t="shared" si="247"/>
        <v>53</v>
      </c>
      <c r="AL1467" s="66" t="str" cm="1">
        <f t="array" ref="AL1467">IF($F1467="","",IFERROR(INDEX('Lot Balance'!$B$5:$B$500,MATCH(1,INDEX(('Lot Balance'!$A$5:$A$500=$F1467)*('Lot Balance'!$K$5:$K$500&lt;$AK1467)*('Lot Balance'!$K$5:$K$500+'Lot Balance'!$D$5:$D$500&gt;=$AK1467),0),0)),""))</f>
        <v/>
      </c>
      <c r="AM1467" s="66" t="str" cm="1">
        <f t="array" ref="AM1467">IF($F1467="","",IFERROR(INDEX('Lot Balance'!$B$5:$B$500,MATCH(1,INDEX(('Lot Balance'!$A$5:$A$500=$F1467)*('Lot Balance'!$K$5:$K$500&lt;$AJ1467)*('Lot Balance'!$K$5:$K$500+'Lot Balance'!$D$5:$D$500&gt;=$AJ1467),0),0)),""))</f>
        <v/>
      </c>
      <c r="AN1467" s="66" t="str">
        <f>IF($F1467="","",IF($AI1467&lt;&gt;"",IF(COUNTIFS('Lot Balance'!$A$5:$A$500,$F1467,'Lot Balance'!$B$5:$B$500,$AI1467)=0,"⚠ override is not a lot of this item",IF($AI1467=$AL1467,"Override = FEFO","Override - FEFO says "&amp;$AL1467)),IF($AL1467="","⚠ no receipt on file for this item",IF($AM1467&lt;&gt;$AL1467,"FEFO auto - split, also "&amp;$AM1467,"FEFO auto"))))</f>
        <v>⚠ no receipt on file for this item</v>
      </c>
      <c r="AO1467" s="114"/>
    </row>
    <row r="1468" spans="1:41" x14ac:dyDescent="0.35">
      <c r="A1468" s="74">
        <v>46204</v>
      </c>
      <c r="B1468" s="18" t="str">
        <f>IF($C1468="","",IFERROR(INDEX('Staff Directory'!$A$5:$A$594,MATCH($C1468,'Staff Directory'!$B$5:$B$594,0)),"⚠ unknown staff"))</f>
        <v>PSW-167-A4</v>
      </c>
      <c r="C1468" s="49" t="s">
        <v>1146</v>
      </c>
      <c r="D1468" s="19" t="str">
        <f>IF($B1468="","",IFERROR(INDEX('Staff Directory'!$C$5:$C$594,MATCH($B1468,'Staff Directory'!$A$5:$A$594,0)),""))</f>
        <v>PSW</v>
      </c>
      <c r="E1468" s="19" t="str">
        <f>IF($B1468="","",IFERROR(INDEX('Staff Directory'!$D$5:$D$594,MATCH($B1468,'Staff Directory'!$A$5:$A$594,0)),""))</f>
        <v>A4</v>
      </c>
      <c r="F1468" s="9" t="s">
        <v>758</v>
      </c>
      <c r="G1468" s="18" t="str">
        <f>IF($F1468="","",IFERROR(INDEX(Items!$B$5:$B$597,MATCH($F1468,Items!$A$5:$A$597,0)),"⚠ not in Items"))</f>
        <v>Utility</v>
      </c>
      <c r="H1468" s="19" t="str">
        <f>IF($F1468="","",IFERROR(INDEX(Items!$C$5:$C$597,MATCH($F1468,Items!$A$5:$A$597,0)),""))</f>
        <v>Standard</v>
      </c>
      <c r="I1468" s="23">
        <f>IF($F1468="","",IFERROR(INDEX(Items!$E$5:$E$597,MATCH($F1468,Items!$A$5:$A$597,0)),""))</f>
        <v>1</v>
      </c>
      <c r="J1468" s="115">
        <f>IF(tblIssues[[#This Row],[Qty Override]]&lt;&gt;"",tblIssues[[#This Row],[Qty Override]],IF(tblIssues[[#This Row],[Standard Issue]]="","",tblIssues[[#This Row],[Standard Issue]]))</f>
        <v>1</v>
      </c>
      <c r="K1468" s="20">
        <f>IF($F1468="","",IFERROR(INDEX(Items!$D$5:$D$597,MATCH($F1468,Items!$A$5:$A$597,0)),""))</f>
        <v>0</v>
      </c>
      <c r="L1468" s="21">
        <f t="shared" si="250"/>
        <v>0</v>
      </c>
      <c r="M1468" s="9" t="str">
        <f t="shared" si="248"/>
        <v/>
      </c>
      <c r="N1468" s="24">
        <f>IF($A1468="","",WORKDAY($A1468,Settings!$C$9,HolidayDates))</f>
        <v>46212</v>
      </c>
      <c r="O1468" s="24">
        <f>IF($N1468="","",WORKDAY($N1468,Settings!$C$10,HolidayDates))</f>
        <v>46252</v>
      </c>
      <c r="P1468" s="10" t="s">
        <v>501</v>
      </c>
      <c r="Q1468" s="52" t="str">
        <f t="shared" si="251"/>
        <v>Collected</v>
      </c>
      <c r="R1468" s="55" t="str">
        <f t="shared" si="252"/>
        <v>2026-07</v>
      </c>
      <c r="S1468" s="55">
        <f>IF(OR($B1468="",$F1468="",$R1468=""),"",SUMIFS(tblIssues[Qty Issued],tblIssues[Staff ID],$B1468,tblIssues[Item Name],$F1468,tblIssues[Month],$R1468))</f>
        <v>1</v>
      </c>
      <c r="T1468" s="56">
        <f>IF($I1468="","",$I1468*Settings!$C$11)</f>
        <v>1</v>
      </c>
      <c r="U1468" s="57" t="str">
        <f t="shared" si="249"/>
        <v>OK</v>
      </c>
      <c r="V1468" s="55" t="str">
        <f t="shared" si="253"/>
        <v/>
      </c>
      <c r="W1468" s="55" t="str">
        <f>IF($V1468="","",IF(COUNTIF($V$5:$V1468,$V1468)=1,1,""))</f>
        <v/>
      </c>
      <c r="X1468" s="58" t="str">
        <f>IF($W1468="","",MAX($X$4:X1467)+1)</f>
        <v/>
      </c>
      <c r="Y1468" s="62"/>
      <c r="Z1468" s="62"/>
      <c r="AA1468" s="64" t="str">
        <f>IF($C1468="","",IFERROR(INDEX('Staff Directory'!$E$5:$E$594,MATCH($C1468,'Staff Directory'!$B$5:$B$594,0)),""))</f>
        <v>firstname230.lastname230@example.com</v>
      </c>
      <c r="AB1468" s="64" t="str">
        <f>IF($C1468="","",IF(ISNUMBER(SEARCH($D1468,Settings!$C$15)),"Pickup","Dispatch"))</f>
        <v>Pickup</v>
      </c>
      <c r="AC1468" s="64" t="str">
        <f t="shared" si="254"/>
        <v>Supply order ready for pickup</v>
      </c>
      <c r="AD1468" s="64" t="str">
        <f t="shared" si="245"/>
        <v>Dear PSW,
Your order is ready for pickup from Sample Branch, Wed-Fri 9am-4pm.</v>
      </c>
      <c r="AE1468" s="64" t="str">
        <f t="shared" si="246"/>
        <v>mailto:firstname230.lastname230@example.com?subject=Supply%20order%20ready%20for%20pickup&amp;body=Dear%20PSW%2C%0A%0AYour%20order%20is%20ready%20for%20pickup%20from%20Sample%20Branch%2C%20Wed-Fri%209am-4pm.</v>
      </c>
      <c r="AF1468" s="89" t="str">
        <f t="shared" si="255"/>
        <v>Draft email</v>
      </c>
      <c r="AG1468" s="64" t="str">
        <f>IF($C1468="","",IFERROR(INDEX('Staff Directory'!$K$595:$K$599,MATCH($C1468,'Staff Directory'!$B$5:$B$599,0)),$D1468))</f>
        <v>PSW</v>
      </c>
      <c r="AH1468" t="str">
        <f>IF($C1468="","",IFERROR(INDEX('Staff Directory'!$I$595:$I$599,MATCH($C1468,'Staff Directory'!$B$5:$B$599,0))&amp;" "&amp;INDEX('Staff Directory'!$J$595:$J$599,MATCH($C1468,'Staff Directory'!$B$5:$B$599,0)),$AG1468))</f>
        <v>PSW</v>
      </c>
      <c r="AI1468" s="102"/>
      <c r="AJ1468" s="101">
        <f>IF($F1468="","",SUMIFS($J$5:$J1468,$F$5:$F1468,$F1468))</f>
        <v>23</v>
      </c>
      <c r="AK1468" s="101">
        <f t="shared" si="247"/>
        <v>23</v>
      </c>
      <c r="AL1468" s="66" t="str" cm="1">
        <f t="array" ref="AL1468">IF($F1468="","",IFERROR(INDEX('Lot Balance'!$B$5:$B$500,MATCH(1,INDEX(('Lot Balance'!$A$5:$A$500=$F1468)*('Lot Balance'!$K$5:$K$500&lt;$AK1468)*('Lot Balance'!$K$5:$K$500+'Lot Balance'!$D$5:$D$500&gt;=$AK1468),0),0)),""))</f>
        <v/>
      </c>
      <c r="AM1468" s="66" t="str" cm="1">
        <f t="array" ref="AM1468">IF($F1468="","",IFERROR(INDEX('Lot Balance'!$B$5:$B$500,MATCH(1,INDEX(('Lot Balance'!$A$5:$A$500=$F1468)*('Lot Balance'!$K$5:$K$500&lt;$AJ1468)*('Lot Balance'!$K$5:$K$500+'Lot Balance'!$D$5:$D$500&gt;=$AJ1468),0),0)),""))</f>
        <v/>
      </c>
      <c r="AN1468" s="66" t="str">
        <f>IF($F1468="","",IF($AI1468&lt;&gt;"",IF(COUNTIFS('Lot Balance'!$A$5:$A$500,$F1468,'Lot Balance'!$B$5:$B$500,$AI1468)=0,"⚠ override is not a lot of this item",IF($AI1468=$AL1468,"Override = FEFO","Override - FEFO says "&amp;$AL1468)),IF($AL1468="","⚠ no receipt on file for this item",IF($AM1468&lt;&gt;$AL1468,"FEFO auto - split, also "&amp;$AM1468,"FEFO auto"))))</f>
        <v>⚠ no receipt on file for this item</v>
      </c>
      <c r="AO1468" s="114"/>
    </row>
    <row r="1469" spans="1:41" x14ac:dyDescent="0.35">
      <c r="A1469" s="74">
        <v>46204</v>
      </c>
      <c r="B1469" s="18" t="str">
        <f>IF($C1469="","",IFERROR(INDEX('Staff Directory'!$A$5:$A$594,MATCH($C1469,'Staff Directory'!$B$5:$B$594,0)),"⚠ unknown staff"))</f>
        <v>PSW-023-A6</v>
      </c>
      <c r="C1469" s="49" t="s">
        <v>999</v>
      </c>
      <c r="D1469" s="19" t="str">
        <f>IF($B1469="","",IFERROR(INDEX('Staff Directory'!$C$5:$C$594,MATCH($B1469,'Staff Directory'!$A$5:$A$594,0)),""))</f>
        <v>PSW</v>
      </c>
      <c r="E1469" s="19" t="str">
        <f>IF($B1469="","",IFERROR(INDEX('Staff Directory'!$D$5:$D$594,MATCH($B1469,'Staff Directory'!$A$5:$A$594,0)),""))</f>
        <v>A6</v>
      </c>
      <c r="F1469" s="9" t="s">
        <v>758</v>
      </c>
      <c r="G1469" s="18" t="str">
        <f>IF($F1469="","",IFERROR(INDEX(Items!$B$5:$B$597,MATCH($F1469,Items!$A$5:$A$597,0)),"⚠ not in Items"))</f>
        <v>Utility</v>
      </c>
      <c r="H1469" s="19" t="str">
        <f>IF($F1469="","",IFERROR(INDEX(Items!$C$5:$C$597,MATCH($F1469,Items!$A$5:$A$597,0)),""))</f>
        <v>Standard</v>
      </c>
      <c r="I1469" s="23">
        <f>IF($F1469="","",IFERROR(INDEX(Items!$E$5:$E$597,MATCH($F1469,Items!$A$5:$A$597,0)),""))</f>
        <v>1</v>
      </c>
      <c r="J1469" s="115">
        <f>IF(tblIssues[[#This Row],[Qty Override]]&lt;&gt;"",tblIssues[[#This Row],[Qty Override]],IF(tblIssues[[#This Row],[Standard Issue]]="","",tblIssues[[#This Row],[Standard Issue]]))</f>
        <v>1</v>
      </c>
      <c r="K1469" s="20">
        <f>IF($F1469="","",IFERROR(INDEX(Items!$D$5:$D$597,MATCH($F1469,Items!$A$5:$A$597,0)),""))</f>
        <v>0</v>
      </c>
      <c r="L1469" s="21">
        <f t="shared" si="250"/>
        <v>0</v>
      </c>
      <c r="M1469" s="9" t="str">
        <f t="shared" si="248"/>
        <v/>
      </c>
      <c r="N1469" s="24">
        <f>IF($A1469="","",WORKDAY($A1469,Settings!$C$9,HolidayDates))</f>
        <v>46212</v>
      </c>
      <c r="O1469" s="24">
        <f>IF($N1469="","",WORKDAY($N1469,Settings!$C$10,HolidayDates))</f>
        <v>46252</v>
      </c>
      <c r="P1469" s="10" t="s">
        <v>501</v>
      </c>
      <c r="Q1469" s="52" t="str">
        <f t="shared" si="251"/>
        <v>Collected</v>
      </c>
      <c r="R1469" s="55" t="str">
        <f t="shared" si="252"/>
        <v>2026-07</v>
      </c>
      <c r="S1469" s="55">
        <f>IF(OR($B1469="",$F1469="",$R1469=""),"",SUMIFS(tblIssues[Qty Issued],tblIssues[Staff ID],$B1469,tblIssues[Item Name],$F1469,tblIssues[Month],$R1469))</f>
        <v>1</v>
      </c>
      <c r="T1469" s="56">
        <f>IF($I1469="","",$I1469*Settings!$C$11)</f>
        <v>1</v>
      </c>
      <c r="U1469" s="57" t="str">
        <f t="shared" si="249"/>
        <v>OK</v>
      </c>
      <c r="V1469" s="55" t="str">
        <f t="shared" si="253"/>
        <v/>
      </c>
      <c r="W1469" s="55" t="str">
        <f>IF($V1469="","",IF(COUNTIF($V$5:$V1469,$V1469)=1,1,""))</f>
        <v/>
      </c>
      <c r="X1469" s="58" t="str">
        <f>IF($W1469="","",MAX($X$4:X1468)+1)</f>
        <v/>
      </c>
      <c r="Y1469" s="62"/>
      <c r="Z1469" s="62"/>
      <c r="AA1469" s="64" t="str">
        <f>IF($C1469="","",IFERROR(INDEX('Staff Directory'!$E$5:$E$594,MATCH($C1469,'Staff Directory'!$B$5:$B$594,0)),""))</f>
        <v>firstname083.lastname083@example.com</v>
      </c>
      <c r="AB1469" s="64" t="str">
        <f>IF($C1469="","",IF(ISNUMBER(SEARCH($D1469,Settings!$C$15)),"Pickup","Dispatch"))</f>
        <v>Pickup</v>
      </c>
      <c r="AC1469" s="64" t="str">
        <f t="shared" si="254"/>
        <v>Supply order ready for pickup</v>
      </c>
      <c r="AD1469" s="64" t="str">
        <f t="shared" si="245"/>
        <v>Dear PSW,
Your order is ready for pickup from Sample Branch, Wed-Fri 9am-4pm.</v>
      </c>
      <c r="AE1469" s="64" t="str">
        <f t="shared" si="246"/>
        <v>mailto:firstname083.lastname083@example.com?subject=Supply%20order%20ready%20for%20pickup&amp;body=Dear%20PSW%2C%0A%0AYour%20order%20is%20ready%20for%20pickup%20from%20Sample%20Branch%2C%20Wed-Fri%209am-4pm.</v>
      </c>
      <c r="AF1469" s="89" t="str">
        <f t="shared" si="255"/>
        <v>Draft email</v>
      </c>
      <c r="AG1469" s="64" t="str">
        <f>IF($C1469="","",IFERROR(INDEX('Staff Directory'!$K$595:$K$599,MATCH($C1469,'Staff Directory'!$B$5:$B$599,0)),$D1469))</f>
        <v>PSW</v>
      </c>
      <c r="AH1469" t="str">
        <f>IF($C1469="","",IFERROR(INDEX('Staff Directory'!$I$595:$I$599,MATCH($C1469,'Staff Directory'!$B$5:$B$599,0))&amp;" "&amp;INDEX('Staff Directory'!$J$595:$J$599,MATCH($C1469,'Staff Directory'!$B$5:$B$599,0)),$AG1469))</f>
        <v>PSW</v>
      </c>
      <c r="AI1469" s="102"/>
      <c r="AJ1469" s="101">
        <f>IF($F1469="","",SUMIFS($J$5:$J1469,$F$5:$F1469,$F1469))</f>
        <v>24</v>
      </c>
      <c r="AK1469" s="101">
        <f t="shared" si="247"/>
        <v>24</v>
      </c>
      <c r="AL1469" s="66" t="str" cm="1">
        <f t="array" ref="AL1469">IF($F1469="","",IFERROR(INDEX('Lot Balance'!$B$5:$B$500,MATCH(1,INDEX(('Lot Balance'!$A$5:$A$500=$F1469)*('Lot Balance'!$K$5:$K$500&lt;$AK1469)*('Lot Balance'!$K$5:$K$500+'Lot Balance'!$D$5:$D$500&gt;=$AK1469),0),0)),""))</f>
        <v/>
      </c>
      <c r="AM1469" s="66" t="str" cm="1">
        <f t="array" ref="AM1469">IF($F1469="","",IFERROR(INDEX('Lot Balance'!$B$5:$B$500,MATCH(1,INDEX(('Lot Balance'!$A$5:$A$500=$F1469)*('Lot Balance'!$K$5:$K$500&lt;$AJ1469)*('Lot Balance'!$K$5:$K$500+'Lot Balance'!$D$5:$D$500&gt;=$AJ1469),0),0)),""))</f>
        <v/>
      </c>
      <c r="AN1469" s="66" t="str">
        <f>IF($F1469="","",IF($AI1469&lt;&gt;"",IF(COUNTIFS('Lot Balance'!$A$5:$A$500,$F1469,'Lot Balance'!$B$5:$B$500,$AI1469)=0,"⚠ override is not a lot of this item",IF($AI1469=$AL1469,"Override = FEFO","Override - FEFO says "&amp;$AL1469)),IF($AL1469="","⚠ no receipt on file for this item",IF($AM1469&lt;&gt;$AL1469,"FEFO auto - split, also "&amp;$AM1469,"FEFO auto"))))</f>
        <v>⚠ no receipt on file for this item</v>
      </c>
      <c r="AO1469" s="114"/>
    </row>
    <row r="1470" spans="1:41" x14ac:dyDescent="0.35">
      <c r="A1470" s="74">
        <v>46204</v>
      </c>
      <c r="B1470" s="18" t="str">
        <f>IF($C1470="","",IFERROR(INDEX('Staff Directory'!$A$5:$A$594,MATCH($C1470,'Staff Directory'!$B$5:$B$594,0)),"⚠ unknown staff"))</f>
        <v>PSW-030-A4</v>
      </c>
      <c r="C1470" s="49" t="s">
        <v>1005</v>
      </c>
      <c r="D1470" s="19" t="str">
        <f>IF($B1470="","",IFERROR(INDEX('Staff Directory'!$C$5:$C$594,MATCH($B1470,'Staff Directory'!$A$5:$A$594,0)),""))</f>
        <v>PSW</v>
      </c>
      <c r="E1470" s="19" t="str">
        <f>IF($B1470="","",IFERROR(INDEX('Staff Directory'!$D$5:$D$594,MATCH($B1470,'Staff Directory'!$A$5:$A$594,0)),""))</f>
        <v>A4</v>
      </c>
      <c r="F1470" s="9" t="s">
        <v>758</v>
      </c>
      <c r="G1470" s="18" t="str">
        <f>IF($F1470="","",IFERROR(INDEX(Items!$B$5:$B$597,MATCH($F1470,Items!$A$5:$A$597,0)),"⚠ not in Items"))</f>
        <v>Utility</v>
      </c>
      <c r="H1470" s="19" t="str">
        <f>IF($F1470="","",IFERROR(INDEX(Items!$C$5:$C$597,MATCH($F1470,Items!$A$5:$A$597,0)),""))</f>
        <v>Standard</v>
      </c>
      <c r="I1470" s="23">
        <f>IF($F1470="","",IFERROR(INDEX(Items!$E$5:$E$597,MATCH($F1470,Items!$A$5:$A$597,0)),""))</f>
        <v>1</v>
      </c>
      <c r="J1470" s="115">
        <f>IF(tblIssues[[#This Row],[Qty Override]]&lt;&gt;"",tblIssues[[#This Row],[Qty Override]],IF(tblIssues[[#This Row],[Standard Issue]]="","",tblIssues[[#This Row],[Standard Issue]]))</f>
        <v>1</v>
      </c>
      <c r="K1470" s="20">
        <f>IF($F1470="","",IFERROR(INDEX(Items!$D$5:$D$597,MATCH($F1470,Items!$A$5:$A$597,0)),""))</f>
        <v>0</v>
      </c>
      <c r="L1470" s="21">
        <f t="shared" si="250"/>
        <v>0</v>
      </c>
      <c r="M1470" s="9" t="str">
        <f t="shared" si="248"/>
        <v/>
      </c>
      <c r="N1470" s="24">
        <f>IF($A1470="","",WORKDAY($A1470,Settings!$C$9,HolidayDates))</f>
        <v>46212</v>
      </c>
      <c r="O1470" s="24">
        <f>IF($N1470="","",WORKDAY($N1470,Settings!$C$10,HolidayDates))</f>
        <v>46252</v>
      </c>
      <c r="P1470" s="10" t="s">
        <v>501</v>
      </c>
      <c r="Q1470" s="52" t="str">
        <f t="shared" si="251"/>
        <v>Collected</v>
      </c>
      <c r="R1470" s="55" t="str">
        <f t="shared" si="252"/>
        <v>2026-07</v>
      </c>
      <c r="S1470" s="55">
        <f>IF(OR($B1470="",$F1470="",$R1470=""),"",SUMIFS(tblIssues[Qty Issued],tblIssues[Staff ID],$B1470,tblIssues[Item Name],$F1470,tblIssues[Month],$R1470))</f>
        <v>1</v>
      </c>
      <c r="T1470" s="56">
        <f>IF($I1470="","",$I1470*Settings!$C$11)</f>
        <v>1</v>
      </c>
      <c r="U1470" s="57" t="str">
        <f t="shared" si="249"/>
        <v>OK</v>
      </c>
      <c r="V1470" s="55" t="str">
        <f t="shared" si="253"/>
        <v/>
      </c>
      <c r="W1470" s="55" t="str">
        <f>IF($V1470="","",IF(COUNTIF($V$5:$V1470,$V1470)=1,1,""))</f>
        <v/>
      </c>
      <c r="X1470" s="58" t="str">
        <f>IF($W1470="","",MAX($X$4:X1469)+1)</f>
        <v/>
      </c>
      <c r="Y1470" s="62"/>
      <c r="Z1470" s="62"/>
      <c r="AA1470" s="64" t="str">
        <f>IF($C1470="","",IFERROR(INDEX('Staff Directory'!$E$5:$E$594,MATCH($C1470,'Staff Directory'!$B$5:$B$594,0)),""))</f>
        <v>firstname089.lastname089@example.com</v>
      </c>
      <c r="AB1470" s="64" t="str">
        <f>IF($C1470="","",IF(ISNUMBER(SEARCH($D1470,Settings!$C$15)),"Pickup","Dispatch"))</f>
        <v>Pickup</v>
      </c>
      <c r="AC1470" s="64" t="str">
        <f t="shared" si="254"/>
        <v>Supply order ready for pickup</v>
      </c>
      <c r="AD1470" s="64" t="str">
        <f t="shared" si="245"/>
        <v>Dear PSW,
Your order is ready for pickup from Sample Branch, Wed-Fri 9am-4pm.</v>
      </c>
      <c r="AE1470" s="64" t="str">
        <f t="shared" si="246"/>
        <v>mailto:firstname089.lastname089@example.com?subject=Supply%20order%20ready%20for%20pickup&amp;body=Dear%20PSW%2C%0A%0AYour%20order%20is%20ready%20for%20pickup%20from%20Sample%20Branch%2C%20Wed-Fri%209am-4pm.</v>
      </c>
      <c r="AF1470" s="89" t="str">
        <f t="shared" si="255"/>
        <v>Draft email</v>
      </c>
      <c r="AG1470" s="64" t="str">
        <f>IF($C1470="","",IFERROR(INDEX('Staff Directory'!$K$595:$K$599,MATCH($C1470,'Staff Directory'!$B$5:$B$599,0)),$D1470))</f>
        <v>PSW</v>
      </c>
      <c r="AH1470" t="str">
        <f>IF($C1470="","",IFERROR(INDEX('Staff Directory'!$I$595:$I$599,MATCH($C1470,'Staff Directory'!$B$5:$B$599,0))&amp;" "&amp;INDEX('Staff Directory'!$J$595:$J$599,MATCH($C1470,'Staff Directory'!$B$5:$B$599,0)),$AG1470))</f>
        <v>PSW</v>
      </c>
      <c r="AI1470" s="102"/>
      <c r="AJ1470" s="101">
        <f>IF($F1470="","",SUMIFS($J$5:$J1470,$F$5:$F1470,$F1470))</f>
        <v>25</v>
      </c>
      <c r="AK1470" s="101">
        <f t="shared" si="247"/>
        <v>25</v>
      </c>
      <c r="AL1470" s="66" t="str" cm="1">
        <f t="array" ref="AL1470">IF($F1470="","",IFERROR(INDEX('Lot Balance'!$B$5:$B$500,MATCH(1,INDEX(('Lot Balance'!$A$5:$A$500=$F1470)*('Lot Balance'!$K$5:$K$500&lt;$AK1470)*('Lot Balance'!$K$5:$K$500+'Lot Balance'!$D$5:$D$500&gt;=$AK1470),0),0)),""))</f>
        <v/>
      </c>
      <c r="AM1470" s="66" t="str" cm="1">
        <f t="array" ref="AM1470">IF($F1470="","",IFERROR(INDEX('Lot Balance'!$B$5:$B$500,MATCH(1,INDEX(('Lot Balance'!$A$5:$A$500=$F1470)*('Lot Balance'!$K$5:$K$500&lt;$AJ1470)*('Lot Balance'!$K$5:$K$500+'Lot Balance'!$D$5:$D$500&gt;=$AJ1470),0),0)),""))</f>
        <v/>
      </c>
      <c r="AN1470" s="66" t="str">
        <f>IF($F1470="","",IF($AI1470&lt;&gt;"",IF(COUNTIFS('Lot Balance'!$A$5:$A$500,$F1470,'Lot Balance'!$B$5:$B$500,$AI1470)=0,"⚠ override is not a lot of this item",IF($AI1470=$AL1470,"Override = FEFO","Override - FEFO says "&amp;$AL1470)),IF($AL1470="","⚠ no receipt on file for this item",IF($AM1470&lt;&gt;$AL1470,"FEFO auto - split, also "&amp;$AM1470,"FEFO auto"))))</f>
        <v>⚠ no receipt on file for this item</v>
      </c>
      <c r="AO1470" s="114"/>
    </row>
    <row r="1471" spans="1:41" x14ac:dyDescent="0.35">
      <c r="A1471" s="74">
        <v>46206</v>
      </c>
      <c r="B1471" s="18" t="str">
        <f>IF($C1471="","",IFERROR(INDEX('Staff Directory'!$A$5:$A$594,MATCH($C1471,'Staff Directory'!$B$5:$B$594,0)),"⚠ unknown staff"))</f>
        <v>PSW-018-A5</v>
      </c>
      <c r="C1471" s="49" t="s">
        <v>994</v>
      </c>
      <c r="D1471" s="19" t="str">
        <f>IF($B1471="","",IFERROR(INDEX('Staff Directory'!$C$5:$C$594,MATCH($B1471,'Staff Directory'!$A$5:$A$594,0)),""))</f>
        <v>PSW</v>
      </c>
      <c r="E1471" s="19" t="str">
        <f>IF($B1471="","",IFERROR(INDEX('Staff Directory'!$D$5:$D$594,MATCH($B1471,'Staff Directory'!$A$5:$A$594,0)),""))</f>
        <v>A5</v>
      </c>
      <c r="F1471" s="9" t="s">
        <v>127</v>
      </c>
      <c r="G1471" s="18" t="str">
        <f>IF($F1471="","",IFERROR(INDEX(Items!$B$5:$B$597,MATCH($F1471,Items!$A$5:$A$597,0)),"⚠ not in Items"))</f>
        <v>Gloves</v>
      </c>
      <c r="H1471" s="19" t="str">
        <f>IF($F1471="","",IFERROR(INDEX(Items!$C$5:$C$597,MATCH($F1471,Items!$A$5:$A$597,0)),""))</f>
        <v>Medium</v>
      </c>
      <c r="I1471" s="23">
        <f>IF($F1471="","",IFERROR(INDEX(Items!$E$5:$E$597,MATCH($F1471,Items!$A$5:$A$597,0)),""))</f>
        <v>500</v>
      </c>
      <c r="J1471" s="115">
        <f>IF(tblIssues[[#This Row],[Qty Override]]&lt;&gt;"",tblIssues[[#This Row],[Qty Override]],IF(tblIssues[[#This Row],[Standard Issue]]="","",tblIssues[[#This Row],[Standard Issue]]))</f>
        <v>500</v>
      </c>
      <c r="K1471" s="20">
        <f>IF($F1471="","",IFERROR(INDEX(Items!$D$5:$D$597,MATCH($F1471,Items!$A$5:$A$597,0)),""))</f>
        <v>5.5E-2</v>
      </c>
      <c r="L1471" s="21">
        <f t="shared" si="250"/>
        <v>27.5</v>
      </c>
      <c r="M1471" s="9" t="str">
        <f t="shared" si="248"/>
        <v>ZIM510137962-2</v>
      </c>
      <c r="N1471" s="24">
        <f>IF($A1471="","",WORKDAY($A1471,Settings!$C$9,HolidayDates))</f>
        <v>46216</v>
      </c>
      <c r="O1471" s="24">
        <f>IF($N1471="","",WORKDAY($N1471,Settings!$C$10,HolidayDates))</f>
        <v>46254</v>
      </c>
      <c r="P1471" s="10" t="s">
        <v>501</v>
      </c>
      <c r="Q1471" s="52" t="str">
        <f t="shared" si="251"/>
        <v>Collected</v>
      </c>
      <c r="R1471" s="55" t="str">
        <f t="shared" si="252"/>
        <v>2026-07</v>
      </c>
      <c r="S1471" s="55">
        <f>IF(OR($B1471="",$F1471="",$R1471=""),"",SUMIFS(tblIssues[Qty Issued],tblIssues[Staff ID],$B1471,tblIssues[Item Name],$F1471,tblIssues[Month],$R1471))</f>
        <v>500</v>
      </c>
      <c r="T1471" s="56">
        <f>IF($I1471="","",$I1471*Settings!$C$11)</f>
        <v>500</v>
      </c>
      <c r="U1471" s="57" t="str">
        <f t="shared" si="249"/>
        <v>OK</v>
      </c>
      <c r="V1471" s="55" t="str">
        <f t="shared" si="253"/>
        <v/>
      </c>
      <c r="W1471" s="55" t="str">
        <f>IF($V1471="","",IF(COUNTIF($V$5:$V1471,$V1471)=1,1,""))</f>
        <v/>
      </c>
      <c r="X1471" s="58" t="str">
        <f>IF($W1471="","",MAX($X$4:X1470)+1)</f>
        <v/>
      </c>
      <c r="Y1471" s="62"/>
      <c r="Z1471" s="62"/>
      <c r="AA1471" s="64" t="str">
        <f>IF($C1471="","",IFERROR(INDEX('Staff Directory'!$E$5:$E$594,MATCH($C1471,'Staff Directory'!$B$5:$B$594,0)),""))</f>
        <v>firstname078.lastname078@example.com</v>
      </c>
      <c r="AB1471" s="64" t="str">
        <f>IF($C1471="","",IF(ISNUMBER(SEARCH($D1471,Settings!$C$15)),"Pickup","Dispatch"))</f>
        <v>Pickup</v>
      </c>
      <c r="AC1471" s="64" t="str">
        <f t="shared" si="254"/>
        <v>Supply order ready for pickup</v>
      </c>
      <c r="AD1471" s="64" t="str">
        <f t="shared" si="245"/>
        <v>Dear PSW,
Your order is ready for pickup from Sample Branch, Wed-Fri 9am-4pm.</v>
      </c>
      <c r="AE1471" s="64" t="str">
        <f t="shared" si="246"/>
        <v>mailto:firstname078.lastname078@example.com?subject=Supply%20order%20ready%20for%20pickup&amp;body=Dear%20PSW%2C%0A%0AYour%20order%20is%20ready%20for%20pickup%20from%20Sample%20Branch%2C%20Wed-Fri%209am-4pm.</v>
      </c>
      <c r="AF1471" s="89" t="str">
        <f t="shared" si="255"/>
        <v>Draft email</v>
      </c>
      <c r="AG1471" s="64" t="str">
        <f>IF($C1471="","",IFERROR(INDEX('Staff Directory'!$K$595:$K$599,MATCH($C1471,'Staff Directory'!$B$5:$B$599,0)),$D1471))</f>
        <v>PSW</v>
      </c>
      <c r="AH1471" t="str">
        <f>IF($C1471="","",IFERROR(INDEX('Staff Directory'!$I$595:$I$599,MATCH($C1471,'Staff Directory'!$B$5:$B$599,0))&amp;" "&amp;INDEX('Staff Directory'!$J$595:$J$599,MATCH($C1471,'Staff Directory'!$B$5:$B$599,0)),$AG1471))</f>
        <v>PSW</v>
      </c>
      <c r="AI1471" s="102"/>
      <c r="AJ1471" s="101">
        <f>IF($F1471="","",SUMIFS($J$5:$J1471,$F$5:$F1471,$F1471))</f>
        <v>90500</v>
      </c>
      <c r="AK1471" s="101">
        <f t="shared" si="247"/>
        <v>90001</v>
      </c>
      <c r="AL1471" s="66" t="str" cm="1">
        <f t="array" ref="AL1471">IF($F1471="","",IFERROR(INDEX('Lot Balance'!$B$5:$B$500,MATCH(1,INDEX(('Lot Balance'!$A$5:$A$500=$F1471)*('Lot Balance'!$K$5:$K$500&lt;$AK1471)*('Lot Balance'!$K$5:$K$500+'Lot Balance'!$D$5:$D$500&gt;=$AK1471),0),0)),""))</f>
        <v>ZIM510137962-2</v>
      </c>
      <c r="AM1471" s="66" t="str" cm="1">
        <f t="array" ref="AM1471">IF($F1471="","",IFERROR(INDEX('Lot Balance'!$B$5:$B$500,MATCH(1,INDEX(('Lot Balance'!$A$5:$A$500=$F1471)*('Lot Balance'!$K$5:$K$500&lt;$AJ1471)*('Lot Balance'!$K$5:$K$500+'Lot Balance'!$D$5:$D$500&gt;=$AJ1471),0),0)),""))</f>
        <v>ZIM510137962-2</v>
      </c>
      <c r="AN1471" s="66" t="str">
        <f>IF($F1471="","",IF($AI1471&lt;&gt;"",IF(COUNTIFS('Lot Balance'!$A$5:$A$500,$F1471,'Lot Balance'!$B$5:$B$500,$AI1471)=0,"⚠ override is not a lot of this item",IF($AI1471=$AL1471,"Override = FEFO","Override - FEFO says "&amp;$AL1471)),IF($AL1471="","⚠ no receipt on file for this item",IF($AM1471&lt;&gt;$AL1471,"FEFO auto - split, also "&amp;$AM1471,"FEFO auto"))))</f>
        <v>FEFO auto</v>
      </c>
      <c r="AO1471" s="114"/>
    </row>
    <row r="1472" spans="1:41" x14ac:dyDescent="0.35">
      <c r="A1472" s="74">
        <v>46206</v>
      </c>
      <c r="B1472" s="18" t="str">
        <f>IF($C1472="","",IFERROR(INDEX('Staff Directory'!$A$5:$A$594,MATCH($C1472,'Staff Directory'!$B$5:$B$594,0)),"⚠ unknown staff"))</f>
        <v>PSW-018-A5</v>
      </c>
      <c r="C1472" s="49" t="s">
        <v>994</v>
      </c>
      <c r="D1472" s="19" t="str">
        <f>IF($B1472="","",IFERROR(INDEX('Staff Directory'!$C$5:$C$594,MATCH($B1472,'Staff Directory'!$A$5:$A$594,0)),""))</f>
        <v>PSW</v>
      </c>
      <c r="E1472" s="19" t="str">
        <f>IF($B1472="","",IFERROR(INDEX('Staff Directory'!$D$5:$D$594,MATCH($B1472,'Staff Directory'!$A$5:$A$594,0)),""))</f>
        <v>A5</v>
      </c>
      <c r="F1472" s="9" t="s">
        <v>191</v>
      </c>
      <c r="G1472" s="18" t="str">
        <f>IF($F1472="","",IFERROR(INDEX(Items!$B$5:$B$597,MATCH($F1472,Items!$A$5:$A$597,0)),"⚠ not in Items"))</f>
        <v>Sanitizer</v>
      </c>
      <c r="H1472" s="19" t="str">
        <f>IF($F1472="","",IFERROR(INDEX(Items!$C$5:$C$597,MATCH($F1472,Items!$A$5:$A$597,0)),""))</f>
        <v>236 ML</v>
      </c>
      <c r="I1472" s="23">
        <f>IF($F1472="","",IFERROR(INDEX(Items!$E$5:$E$597,MATCH($F1472,Items!$A$5:$A$597,0)),""))</f>
        <v>1</v>
      </c>
      <c r="J1472" s="115">
        <f>IF(tblIssues[[#This Row],[Qty Override]]&lt;&gt;"",tblIssues[[#This Row],[Qty Override]],IF(tblIssues[[#This Row],[Standard Issue]]="","",tblIssues[[#This Row],[Standard Issue]]))</f>
        <v>1</v>
      </c>
      <c r="K1472" s="20">
        <f>IF($F1472="","",IFERROR(INDEX(Items!$D$5:$D$597,MATCH($F1472,Items!$A$5:$A$597,0)),""))</f>
        <v>1E-4</v>
      </c>
      <c r="L1472" s="21">
        <f t="shared" si="250"/>
        <v>1E-4</v>
      </c>
      <c r="M1472" s="9" t="str">
        <f t="shared" si="248"/>
        <v/>
      </c>
      <c r="N1472" s="24">
        <f>IF($A1472="","",WORKDAY($A1472,Settings!$C$9,HolidayDates))</f>
        <v>46216</v>
      </c>
      <c r="O1472" s="24">
        <f>IF($N1472="","",WORKDAY($N1472,Settings!$C$10,HolidayDates))</f>
        <v>46254</v>
      </c>
      <c r="P1472" s="10" t="s">
        <v>501</v>
      </c>
      <c r="Q1472" s="52" t="str">
        <f t="shared" si="251"/>
        <v>Collected</v>
      </c>
      <c r="R1472" s="55" t="str">
        <f t="shared" si="252"/>
        <v>2026-07</v>
      </c>
      <c r="S1472" s="55">
        <f>IF(OR($B1472="",$F1472="",$R1472=""),"",SUMIFS(tblIssues[Qty Issued],tblIssues[Staff ID],$B1472,tblIssues[Item Name],$F1472,tblIssues[Month],$R1472))</f>
        <v>1</v>
      </c>
      <c r="T1472" s="56">
        <f>IF($I1472="","",$I1472*Settings!$C$11)</f>
        <v>1</v>
      </c>
      <c r="U1472" s="57" t="str">
        <f t="shared" si="249"/>
        <v>OK</v>
      </c>
      <c r="V1472" s="55" t="str">
        <f t="shared" si="253"/>
        <v/>
      </c>
      <c r="W1472" s="55" t="str">
        <f>IF($V1472="","",IF(COUNTIF($V$5:$V1472,$V1472)=1,1,""))</f>
        <v/>
      </c>
      <c r="X1472" s="58" t="str">
        <f>IF($W1472="","",MAX($X$4:X1471)+1)</f>
        <v/>
      </c>
      <c r="Y1472" s="62"/>
      <c r="Z1472" s="62"/>
      <c r="AA1472" s="64" t="str">
        <f>IF($C1472="","",IFERROR(INDEX('Staff Directory'!$E$5:$E$594,MATCH($C1472,'Staff Directory'!$B$5:$B$594,0)),""))</f>
        <v>firstname078.lastname078@example.com</v>
      </c>
      <c r="AB1472" s="64" t="str">
        <f>IF($C1472="","",IF(ISNUMBER(SEARCH($D1472,Settings!$C$15)),"Pickup","Dispatch"))</f>
        <v>Pickup</v>
      </c>
      <c r="AC1472" s="64" t="str">
        <f t="shared" si="254"/>
        <v>Supply order ready for pickup</v>
      </c>
      <c r="AD1472" s="64" t="str">
        <f t="shared" si="245"/>
        <v>Dear PSW,
Your order is ready for pickup from Sample Branch, Wed-Fri 9am-4pm.</v>
      </c>
      <c r="AE1472" s="64" t="str">
        <f t="shared" si="246"/>
        <v>mailto:firstname078.lastname078@example.com?subject=Supply%20order%20ready%20for%20pickup&amp;body=Dear%20PSW%2C%0A%0AYour%20order%20is%20ready%20for%20pickup%20from%20Sample%20Branch%2C%20Wed-Fri%209am-4pm.</v>
      </c>
      <c r="AF1472" s="89" t="str">
        <f t="shared" si="255"/>
        <v>Draft email</v>
      </c>
      <c r="AG1472" s="64" t="str">
        <f>IF($C1472="","",IFERROR(INDEX('Staff Directory'!$K$595:$K$599,MATCH($C1472,'Staff Directory'!$B$5:$B$599,0)),$D1472))</f>
        <v>PSW</v>
      </c>
      <c r="AH1472" t="str">
        <f>IF($C1472="","",IFERROR(INDEX('Staff Directory'!$I$595:$I$599,MATCH($C1472,'Staff Directory'!$B$5:$B$599,0))&amp;" "&amp;INDEX('Staff Directory'!$J$595:$J$599,MATCH($C1472,'Staff Directory'!$B$5:$B$599,0)),$AG1472))</f>
        <v>PSW</v>
      </c>
      <c r="AI1472" s="102"/>
      <c r="AJ1472" s="101">
        <f>IF($F1472="","",SUMIFS($J$5:$J1472,$F$5:$F1472,$F1472))</f>
        <v>200</v>
      </c>
      <c r="AK1472" s="101">
        <f t="shared" si="247"/>
        <v>200</v>
      </c>
      <c r="AL1472" s="66" t="str" cm="1">
        <f t="array" ref="AL1472">IF($F1472="","",IFERROR(INDEX('Lot Balance'!$B$5:$B$500,MATCH(1,INDEX(('Lot Balance'!$A$5:$A$500=$F1472)*('Lot Balance'!$K$5:$K$500&lt;$AK1472)*('Lot Balance'!$K$5:$K$500+'Lot Balance'!$D$5:$D$500&gt;=$AK1472),0),0)),""))</f>
        <v/>
      </c>
      <c r="AM1472" s="66" t="str" cm="1">
        <f t="array" ref="AM1472">IF($F1472="","",IFERROR(INDEX('Lot Balance'!$B$5:$B$500,MATCH(1,INDEX(('Lot Balance'!$A$5:$A$500=$F1472)*('Lot Balance'!$K$5:$K$500&lt;$AJ1472)*('Lot Balance'!$K$5:$K$500+'Lot Balance'!$D$5:$D$500&gt;=$AJ1472),0),0)),""))</f>
        <v/>
      </c>
      <c r="AN1472" s="66" t="str">
        <f>IF($F1472="","",IF($AI1472&lt;&gt;"",IF(COUNTIFS('Lot Balance'!$A$5:$A$500,$F1472,'Lot Balance'!$B$5:$B$500,$AI1472)=0,"⚠ override is not a lot of this item",IF($AI1472=$AL1472,"Override = FEFO","Override - FEFO says "&amp;$AL1472)),IF($AL1472="","⚠ no receipt on file for this item",IF($AM1472&lt;&gt;$AL1472,"FEFO auto - split, also "&amp;$AM1472,"FEFO auto"))))</f>
        <v>⚠ no receipt on file for this item</v>
      </c>
      <c r="AO1472" s="114"/>
    </row>
    <row r="1473" spans="1:41" x14ac:dyDescent="0.35">
      <c r="A1473" s="74">
        <v>46206</v>
      </c>
      <c r="B1473" s="18" t="str">
        <f>IF($C1473="","",IFERROR(INDEX('Staff Directory'!$A$5:$A$594,MATCH($C1473,'Staff Directory'!$B$5:$B$594,0)),"⚠ unknown staff"))</f>
        <v>PSW-018-A5</v>
      </c>
      <c r="C1473" s="49" t="s">
        <v>994</v>
      </c>
      <c r="D1473" s="19" t="str">
        <f>IF($B1473="","",IFERROR(INDEX('Staff Directory'!$C$5:$C$594,MATCH($B1473,'Staff Directory'!$A$5:$A$594,0)),""))</f>
        <v>PSW</v>
      </c>
      <c r="E1473" s="19" t="str">
        <f>IF($B1473="","",IFERROR(INDEX('Staff Directory'!$D$5:$D$594,MATCH($B1473,'Staff Directory'!$A$5:$A$594,0)),""))</f>
        <v>A5</v>
      </c>
      <c r="F1473" s="9" t="s">
        <v>137</v>
      </c>
      <c r="G1473" s="18" t="str">
        <f>IF($F1473="","",IFERROR(INDEX(Items!$B$5:$B$597,MATCH($F1473,Items!$A$5:$A$597,0)),"⚠ not in Items"))</f>
        <v>Sanitizer</v>
      </c>
      <c r="H1473" s="19" t="str">
        <f>IF($F1473="","",IFERROR(INDEX(Items!$C$5:$C$597,MATCH($F1473,Items!$A$5:$A$597,0)),""))</f>
        <v>118 ML</v>
      </c>
      <c r="I1473" s="23">
        <f>IF($F1473="","",IFERROR(INDEX(Items!$E$5:$E$597,MATCH($F1473,Items!$A$5:$A$597,0)),""))</f>
        <v>2</v>
      </c>
      <c r="J1473" s="115">
        <f>IF(tblIssues[[#This Row],[Qty Override]]&lt;&gt;"",tblIssues[[#This Row],[Qty Override]],IF(tblIssues[[#This Row],[Standard Issue]]="","",tblIssues[[#This Row],[Standard Issue]]))</f>
        <v>2</v>
      </c>
      <c r="K1473" s="20">
        <f>IF($F1473="","",IFERROR(INDEX(Items!$D$5:$D$597,MATCH($F1473,Items!$A$5:$A$597,0)),""))</f>
        <v>4.49</v>
      </c>
      <c r="L1473" s="21">
        <f t="shared" si="250"/>
        <v>8.98</v>
      </c>
      <c r="M1473" s="9" t="str">
        <f t="shared" si="248"/>
        <v>563963-7</v>
      </c>
      <c r="N1473" s="24">
        <f>IF($A1473="","",WORKDAY($A1473,Settings!$C$9,HolidayDates))</f>
        <v>46216</v>
      </c>
      <c r="O1473" s="24">
        <f>IF($N1473="","",WORKDAY($N1473,Settings!$C$10,HolidayDates))</f>
        <v>46254</v>
      </c>
      <c r="P1473" s="10" t="s">
        <v>501</v>
      </c>
      <c r="Q1473" s="52" t="str">
        <f t="shared" si="251"/>
        <v>Collected</v>
      </c>
      <c r="R1473" s="55" t="str">
        <f t="shared" si="252"/>
        <v>2026-07</v>
      </c>
      <c r="S1473" s="55">
        <f>IF(OR($B1473="",$F1473="",$R1473=""),"",SUMIFS(tblIssues[Qty Issued],tblIssues[Staff ID],$B1473,tblIssues[Item Name],$F1473,tblIssues[Month],$R1473))</f>
        <v>2</v>
      </c>
      <c r="T1473" s="56">
        <f>IF($I1473="","",$I1473*Settings!$C$11)</f>
        <v>2</v>
      </c>
      <c r="U1473" s="57" t="str">
        <f t="shared" si="249"/>
        <v>OK</v>
      </c>
      <c r="V1473" s="55" t="str">
        <f t="shared" si="253"/>
        <v/>
      </c>
      <c r="W1473" s="55" t="str">
        <f>IF($V1473="","",IF(COUNTIF($V$5:$V1473,$V1473)=1,1,""))</f>
        <v/>
      </c>
      <c r="X1473" s="58" t="str">
        <f>IF($W1473="","",MAX($X$4:X1472)+1)</f>
        <v/>
      </c>
      <c r="Y1473" s="62"/>
      <c r="Z1473" s="62"/>
      <c r="AA1473" s="64" t="str">
        <f>IF($C1473="","",IFERROR(INDEX('Staff Directory'!$E$5:$E$594,MATCH($C1473,'Staff Directory'!$B$5:$B$594,0)),""))</f>
        <v>firstname078.lastname078@example.com</v>
      </c>
      <c r="AB1473" s="64" t="str">
        <f>IF($C1473="","",IF(ISNUMBER(SEARCH($D1473,Settings!$C$15)),"Pickup","Dispatch"))</f>
        <v>Pickup</v>
      </c>
      <c r="AC1473" s="64" t="str">
        <f t="shared" si="254"/>
        <v>Supply order ready for pickup</v>
      </c>
      <c r="AD1473" s="64" t="str">
        <f t="shared" si="245"/>
        <v>Dear PSW,
Your order is ready for pickup from Sample Branch, Wed-Fri 9am-4pm.</v>
      </c>
      <c r="AE1473" s="64" t="str">
        <f t="shared" si="246"/>
        <v>mailto:firstname078.lastname078@example.com?subject=Supply%20order%20ready%20for%20pickup&amp;body=Dear%20PSW%2C%0A%0AYour%20order%20is%20ready%20for%20pickup%20from%20Sample%20Branch%2C%20Wed-Fri%209am-4pm.</v>
      </c>
      <c r="AF1473" s="89" t="str">
        <f t="shared" si="255"/>
        <v>Draft email</v>
      </c>
      <c r="AG1473" s="64" t="str">
        <f>IF($C1473="","",IFERROR(INDEX('Staff Directory'!$K$595:$K$599,MATCH($C1473,'Staff Directory'!$B$5:$B$599,0)),$D1473))</f>
        <v>PSW</v>
      </c>
      <c r="AH1473" t="str">
        <f>IF($C1473="","",IFERROR(INDEX('Staff Directory'!$I$595:$I$599,MATCH($C1473,'Staff Directory'!$B$5:$B$599,0))&amp;" "&amp;INDEX('Staff Directory'!$J$595:$J$599,MATCH($C1473,'Staff Directory'!$B$5:$B$599,0)),$AG1473))</f>
        <v>PSW</v>
      </c>
      <c r="AI1473" s="102"/>
      <c r="AJ1473" s="101">
        <f>IF($F1473="","",SUMIFS($J$5:$J1473,$F$5:$F1473,$F1473))</f>
        <v>132</v>
      </c>
      <c r="AK1473" s="101">
        <f t="shared" si="247"/>
        <v>131</v>
      </c>
      <c r="AL1473" s="66" t="str" cm="1">
        <f t="array" ref="AL1473">IF($F1473="","",IFERROR(INDEX('Lot Balance'!$B$5:$B$500,MATCH(1,INDEX(('Lot Balance'!$A$5:$A$500=$F1473)*('Lot Balance'!$K$5:$K$500&lt;$AK1473)*('Lot Balance'!$K$5:$K$500+'Lot Balance'!$D$5:$D$500&gt;=$AK1473),0),0)),""))</f>
        <v>563963-7</v>
      </c>
      <c r="AM1473" s="66" t="str" cm="1">
        <f t="array" ref="AM1473">IF($F1473="","",IFERROR(INDEX('Lot Balance'!$B$5:$B$500,MATCH(1,INDEX(('Lot Balance'!$A$5:$A$500=$F1473)*('Lot Balance'!$K$5:$K$500&lt;$AJ1473)*('Lot Balance'!$K$5:$K$500+'Lot Balance'!$D$5:$D$500&gt;=$AJ1473),0),0)),""))</f>
        <v>563963-7</v>
      </c>
      <c r="AN1473" s="66" t="str">
        <f>IF($F1473="","",IF($AI1473&lt;&gt;"",IF(COUNTIFS('Lot Balance'!$A$5:$A$500,$F1473,'Lot Balance'!$B$5:$B$500,$AI1473)=0,"⚠ override is not a lot of this item",IF($AI1473=$AL1473,"Override = FEFO","Override - FEFO says "&amp;$AL1473)),IF($AL1473="","⚠ no receipt on file for this item",IF($AM1473&lt;&gt;$AL1473,"FEFO auto - split, also "&amp;$AM1473,"FEFO auto"))))</f>
        <v>FEFO auto</v>
      </c>
      <c r="AO1473" s="114"/>
    </row>
    <row r="1474" spans="1:41" x14ac:dyDescent="0.35">
      <c r="A1474" s="74">
        <v>46206</v>
      </c>
      <c r="B1474" s="18" t="str">
        <f>IF($C1474="","",IFERROR(INDEX('Staff Directory'!$A$5:$A$594,MATCH($C1474,'Staff Directory'!$B$5:$B$594,0)),"⚠ unknown staff"))</f>
        <v>PSW-018-A5</v>
      </c>
      <c r="C1474" s="49" t="s">
        <v>994</v>
      </c>
      <c r="D1474" s="19" t="str">
        <f>IF($B1474="","",IFERROR(INDEX('Staff Directory'!$C$5:$C$594,MATCH($B1474,'Staff Directory'!$A$5:$A$594,0)),""))</f>
        <v>PSW</v>
      </c>
      <c r="E1474" s="19" t="str">
        <f>IF($B1474="","",IFERROR(INDEX('Staff Directory'!$D$5:$D$594,MATCH($B1474,'Staff Directory'!$A$5:$A$594,0)),""))</f>
        <v>A5</v>
      </c>
      <c r="F1474" s="9" t="s">
        <v>156</v>
      </c>
      <c r="G1474" s="18" t="str">
        <f>IF($F1474="","",IFERROR(INDEX(Items!$B$5:$B$597,MATCH($F1474,Items!$A$5:$A$597,0)),"⚠ not in Items"))</f>
        <v>Masks</v>
      </c>
      <c r="H1474" s="19" t="str">
        <f>IF($F1474="","",IFERROR(INDEX(Items!$C$5:$C$597,MATCH($F1474,Items!$A$5:$A$597,0)),""))</f>
        <v>One Size</v>
      </c>
      <c r="I1474" s="23">
        <f>IF($F1474="","",IFERROR(INDEX(Items!$E$5:$E$597,MATCH($F1474,Items!$A$5:$A$597,0)),""))</f>
        <v>50</v>
      </c>
      <c r="J1474" s="115">
        <f>IF(tblIssues[[#This Row],[Qty Override]]&lt;&gt;"",tblIssues[[#This Row],[Qty Override]],IF(tblIssues[[#This Row],[Standard Issue]]="","",tblIssues[[#This Row],[Standard Issue]]))</f>
        <v>50</v>
      </c>
      <c r="K1474" s="20">
        <f>IF($F1474="","",IFERROR(INDEX(Items!$D$5:$D$597,MATCH($F1474,Items!$A$5:$A$597,0)),""))</f>
        <v>0.25</v>
      </c>
      <c r="L1474" s="21">
        <f t="shared" si="250"/>
        <v>12.5</v>
      </c>
      <c r="M1474" s="9" t="str">
        <f t="shared" si="248"/>
        <v>24HA2050A7396</v>
      </c>
      <c r="N1474" s="24">
        <f>IF($A1474="","",WORKDAY($A1474,Settings!$C$9,HolidayDates))</f>
        <v>46216</v>
      </c>
      <c r="O1474" s="24">
        <f>IF($N1474="","",WORKDAY($N1474,Settings!$C$10,HolidayDates))</f>
        <v>46254</v>
      </c>
      <c r="P1474" s="10" t="s">
        <v>501</v>
      </c>
      <c r="Q1474" s="52" t="str">
        <f t="shared" si="251"/>
        <v>Collected</v>
      </c>
      <c r="R1474" s="55" t="str">
        <f t="shared" si="252"/>
        <v>2026-07</v>
      </c>
      <c r="S1474" s="55">
        <f>IF(OR($B1474="",$F1474="",$R1474=""),"",SUMIFS(tblIssues[Qty Issued],tblIssues[Staff ID],$B1474,tblIssues[Item Name],$F1474,tblIssues[Month],$R1474))</f>
        <v>50</v>
      </c>
      <c r="T1474" s="56">
        <f>IF($I1474="","",$I1474*Settings!$C$11)</f>
        <v>50</v>
      </c>
      <c r="U1474" s="57" t="str">
        <f t="shared" si="249"/>
        <v>OK</v>
      </c>
      <c r="V1474" s="55" t="str">
        <f t="shared" si="253"/>
        <v/>
      </c>
      <c r="W1474" s="55" t="str">
        <f>IF($V1474="","",IF(COUNTIF($V$5:$V1474,$V1474)=1,1,""))</f>
        <v/>
      </c>
      <c r="X1474" s="58" t="str">
        <f>IF($W1474="","",MAX($X$4:X1473)+1)</f>
        <v/>
      </c>
      <c r="Y1474" s="62"/>
      <c r="Z1474" s="62"/>
      <c r="AA1474" s="64" t="str">
        <f>IF($C1474="","",IFERROR(INDEX('Staff Directory'!$E$5:$E$594,MATCH($C1474,'Staff Directory'!$B$5:$B$594,0)),""))</f>
        <v>firstname078.lastname078@example.com</v>
      </c>
      <c r="AB1474" s="64" t="str">
        <f>IF($C1474="","",IF(ISNUMBER(SEARCH($D1474,Settings!$C$15)),"Pickup","Dispatch"))</f>
        <v>Pickup</v>
      </c>
      <c r="AC1474" s="64" t="str">
        <f t="shared" si="254"/>
        <v>Supply order ready for pickup</v>
      </c>
      <c r="AD1474" s="64" t="str">
        <f t="shared" si="245"/>
        <v>Dear PSW,
Your order is ready for pickup from Sample Branch, Wed-Fri 9am-4pm.</v>
      </c>
      <c r="AE1474" s="64" t="str">
        <f t="shared" si="246"/>
        <v>mailto:firstname078.lastname078@example.com?subject=Supply%20order%20ready%20for%20pickup&amp;body=Dear%20PSW%2C%0A%0AYour%20order%20is%20ready%20for%20pickup%20from%20Sample%20Branch%2C%20Wed-Fri%209am-4pm.</v>
      </c>
      <c r="AF1474" s="89" t="str">
        <f t="shared" si="255"/>
        <v>Draft email</v>
      </c>
      <c r="AG1474" s="64" t="str">
        <f>IF($C1474="","",IFERROR(INDEX('Staff Directory'!$K$595:$K$599,MATCH($C1474,'Staff Directory'!$B$5:$B$599,0)),$D1474))</f>
        <v>PSW</v>
      </c>
      <c r="AH1474" t="str">
        <f>IF($C1474="","",IFERROR(INDEX('Staff Directory'!$I$595:$I$599,MATCH($C1474,'Staff Directory'!$B$5:$B$599,0))&amp;" "&amp;INDEX('Staff Directory'!$J$595:$J$599,MATCH($C1474,'Staff Directory'!$B$5:$B$599,0)),$AG1474))</f>
        <v>PSW</v>
      </c>
      <c r="AI1474" s="102"/>
      <c r="AJ1474" s="101">
        <f>IF($F1474="","",SUMIFS($J$5:$J1474,$F$5:$F1474,$F1474))</f>
        <v>12900</v>
      </c>
      <c r="AK1474" s="101">
        <f t="shared" si="247"/>
        <v>12851</v>
      </c>
      <c r="AL1474" s="66" t="str" cm="1">
        <f t="array" ref="AL1474">IF($F1474="","",IFERROR(INDEX('Lot Balance'!$B$5:$B$500,MATCH(1,INDEX(('Lot Balance'!$A$5:$A$500=$F1474)*('Lot Balance'!$K$5:$K$500&lt;$AK1474)*('Lot Balance'!$K$5:$K$500+'Lot Balance'!$D$5:$D$500&gt;=$AK1474),0),0)),""))</f>
        <v>24HA2050A7396</v>
      </c>
      <c r="AM1474" s="66" t="str" cm="1">
        <f t="array" ref="AM1474">IF($F1474="","",IFERROR(INDEX('Lot Balance'!$B$5:$B$500,MATCH(1,INDEX(('Lot Balance'!$A$5:$A$500=$F1474)*('Lot Balance'!$K$5:$K$500&lt;$AJ1474)*('Lot Balance'!$K$5:$K$500+'Lot Balance'!$D$5:$D$500&gt;=$AJ1474),0),0)),""))</f>
        <v>24HA2050A7396</v>
      </c>
      <c r="AN1474" s="66" t="str">
        <f>IF($F1474="","",IF($AI1474&lt;&gt;"",IF(COUNTIFS('Lot Balance'!$A$5:$A$500,$F1474,'Lot Balance'!$B$5:$B$500,$AI1474)=0,"⚠ override is not a lot of this item",IF($AI1474=$AL1474,"Override = FEFO","Override - FEFO says "&amp;$AL1474)),IF($AL1474="","⚠ no receipt on file for this item",IF($AM1474&lt;&gt;$AL1474,"FEFO auto - split, also "&amp;$AM1474,"FEFO auto"))))</f>
        <v>FEFO auto</v>
      </c>
      <c r="AO1474" s="114"/>
    </row>
    <row r="1475" spans="1:41" x14ac:dyDescent="0.35">
      <c r="A1475" s="74">
        <v>46206</v>
      </c>
      <c r="B1475" s="18" t="str">
        <f>IF($C1475="","",IFERROR(INDEX('Staff Directory'!$A$5:$A$594,MATCH($C1475,'Staff Directory'!$B$5:$B$594,0)),"⚠ unknown staff"))</f>
        <v>PSW-018-A5</v>
      </c>
      <c r="C1475" s="49" t="s">
        <v>994</v>
      </c>
      <c r="D1475" s="19" t="str">
        <f>IF($B1475="","",IFERROR(INDEX('Staff Directory'!$C$5:$C$594,MATCH($B1475,'Staff Directory'!$A$5:$A$594,0)),""))</f>
        <v>PSW</v>
      </c>
      <c r="E1475" s="19" t="str">
        <f>IF($B1475="","",IFERROR(INDEX('Staff Directory'!$D$5:$D$594,MATCH($B1475,'Staff Directory'!$A$5:$A$594,0)),""))</f>
        <v>A5</v>
      </c>
      <c r="F1475" s="9" t="s">
        <v>758</v>
      </c>
      <c r="G1475" s="18" t="str">
        <f>IF($F1475="","",IFERROR(INDEX(Items!$B$5:$B$597,MATCH($F1475,Items!$A$5:$A$597,0)),"⚠ not in Items"))</f>
        <v>Utility</v>
      </c>
      <c r="H1475" s="19" t="str">
        <f>IF($F1475="","",IFERROR(INDEX(Items!$C$5:$C$597,MATCH($F1475,Items!$A$5:$A$597,0)),""))</f>
        <v>Standard</v>
      </c>
      <c r="I1475" s="23">
        <f>IF($F1475="","",IFERROR(INDEX(Items!$E$5:$E$597,MATCH($F1475,Items!$A$5:$A$597,0)),""))</f>
        <v>1</v>
      </c>
      <c r="J1475" s="115">
        <f>IF(tblIssues[[#This Row],[Qty Override]]&lt;&gt;"",tblIssues[[#This Row],[Qty Override]],IF(tblIssues[[#This Row],[Standard Issue]]="","",tblIssues[[#This Row],[Standard Issue]]))</f>
        <v>1</v>
      </c>
      <c r="K1475" s="20">
        <f>IF($F1475="","",IFERROR(INDEX(Items!$D$5:$D$597,MATCH($F1475,Items!$A$5:$A$597,0)),""))</f>
        <v>0</v>
      </c>
      <c r="L1475" s="21">
        <f t="shared" si="250"/>
        <v>0</v>
      </c>
      <c r="M1475" s="9" t="str">
        <f t="shared" si="248"/>
        <v/>
      </c>
      <c r="N1475" s="24">
        <f>IF($A1475="","",WORKDAY($A1475,Settings!$C$9,HolidayDates))</f>
        <v>46216</v>
      </c>
      <c r="O1475" s="24">
        <f>IF($N1475="","",WORKDAY($N1475,Settings!$C$10,HolidayDates))</f>
        <v>46254</v>
      </c>
      <c r="P1475" s="10" t="s">
        <v>501</v>
      </c>
      <c r="Q1475" s="52" t="str">
        <f t="shared" si="251"/>
        <v>Collected</v>
      </c>
      <c r="R1475" s="55" t="str">
        <f t="shared" si="252"/>
        <v>2026-07</v>
      </c>
      <c r="S1475" s="55">
        <f>IF(OR($B1475="",$F1475="",$R1475=""),"",SUMIFS(tblIssues[Qty Issued],tblIssues[Staff ID],$B1475,tblIssues[Item Name],$F1475,tblIssues[Month],$R1475))</f>
        <v>1</v>
      </c>
      <c r="T1475" s="56">
        <f>IF($I1475="","",$I1475*Settings!$C$11)</f>
        <v>1</v>
      </c>
      <c r="U1475" s="57" t="str">
        <f t="shared" si="249"/>
        <v>OK</v>
      </c>
      <c r="V1475" s="55" t="str">
        <f t="shared" si="253"/>
        <v/>
      </c>
      <c r="W1475" s="55" t="str">
        <f>IF($V1475="","",IF(COUNTIF($V$5:$V1475,$V1475)=1,1,""))</f>
        <v/>
      </c>
      <c r="X1475" s="58" t="str">
        <f>IF($W1475="","",MAX($X$4:X1474)+1)</f>
        <v/>
      </c>
      <c r="Y1475" s="62"/>
      <c r="Z1475" s="62"/>
      <c r="AA1475" s="64" t="str">
        <f>IF($C1475="","",IFERROR(INDEX('Staff Directory'!$E$5:$E$594,MATCH($C1475,'Staff Directory'!$B$5:$B$594,0)),""))</f>
        <v>firstname078.lastname078@example.com</v>
      </c>
      <c r="AB1475" s="64" t="str">
        <f>IF($C1475="","",IF(ISNUMBER(SEARCH($D1475,Settings!$C$15)),"Pickup","Dispatch"))</f>
        <v>Pickup</v>
      </c>
      <c r="AC1475" s="64" t="str">
        <f t="shared" si="254"/>
        <v>Supply order ready for pickup</v>
      </c>
      <c r="AD1475" s="64" t="str">
        <f t="shared" si="245"/>
        <v>Dear PSW,
Your order is ready for pickup from Sample Branch, Wed-Fri 9am-4pm.</v>
      </c>
      <c r="AE1475" s="64" t="str">
        <f t="shared" si="246"/>
        <v>mailto:firstname078.lastname078@example.com?subject=Supply%20order%20ready%20for%20pickup&amp;body=Dear%20PSW%2C%0A%0AYour%20order%20is%20ready%20for%20pickup%20from%20Sample%20Branch%2C%20Wed-Fri%209am-4pm.</v>
      </c>
      <c r="AF1475" s="89" t="str">
        <f t="shared" si="255"/>
        <v>Draft email</v>
      </c>
      <c r="AG1475" s="64" t="str">
        <f>IF($C1475="","",IFERROR(INDEX('Staff Directory'!$K$595:$K$599,MATCH($C1475,'Staff Directory'!$B$5:$B$599,0)),$D1475))</f>
        <v>PSW</v>
      </c>
      <c r="AH1475" t="str">
        <f>IF($C1475="","",IFERROR(INDEX('Staff Directory'!$I$595:$I$599,MATCH($C1475,'Staff Directory'!$B$5:$B$599,0))&amp;" "&amp;INDEX('Staff Directory'!$J$595:$J$599,MATCH($C1475,'Staff Directory'!$B$5:$B$599,0)),$AG1475))</f>
        <v>PSW</v>
      </c>
      <c r="AI1475" s="102"/>
      <c r="AJ1475" s="101">
        <f>IF($F1475="","",SUMIFS($J$5:$J1475,$F$5:$F1475,$F1475))</f>
        <v>26</v>
      </c>
      <c r="AK1475" s="101">
        <f t="shared" si="247"/>
        <v>26</v>
      </c>
      <c r="AL1475" s="66" t="str" cm="1">
        <f t="array" ref="AL1475">IF($F1475="","",IFERROR(INDEX('Lot Balance'!$B$5:$B$500,MATCH(1,INDEX(('Lot Balance'!$A$5:$A$500=$F1475)*('Lot Balance'!$K$5:$K$500&lt;$AK1475)*('Lot Balance'!$K$5:$K$500+'Lot Balance'!$D$5:$D$500&gt;=$AK1475),0),0)),""))</f>
        <v/>
      </c>
      <c r="AM1475" s="66" t="str" cm="1">
        <f t="array" ref="AM1475">IF($F1475="","",IFERROR(INDEX('Lot Balance'!$B$5:$B$500,MATCH(1,INDEX(('Lot Balance'!$A$5:$A$500=$F1475)*('Lot Balance'!$K$5:$K$500&lt;$AJ1475)*('Lot Balance'!$K$5:$K$500+'Lot Balance'!$D$5:$D$500&gt;=$AJ1475),0),0)),""))</f>
        <v/>
      </c>
      <c r="AN1475" s="66" t="str">
        <f>IF($F1475="","",IF($AI1475&lt;&gt;"",IF(COUNTIFS('Lot Balance'!$A$5:$A$500,$F1475,'Lot Balance'!$B$5:$B$500,$AI1475)=0,"⚠ override is not a lot of this item",IF($AI1475=$AL1475,"Override = FEFO","Override - FEFO says "&amp;$AL1475)),IF($AL1475="","⚠ no receipt on file for this item",IF($AM1475&lt;&gt;$AL1475,"FEFO auto - split, also "&amp;$AM1475,"FEFO auto"))))</f>
        <v>⚠ no receipt on file for this item</v>
      </c>
      <c r="AO1475" s="114"/>
    </row>
    <row r="1476" spans="1:41" x14ac:dyDescent="0.35">
      <c r="A1476" s="74">
        <v>46206</v>
      </c>
      <c r="B1476" s="18" t="str">
        <f>IF($C1476="","",IFERROR(INDEX('Staff Directory'!$A$5:$A$594,MATCH($C1476,'Staff Directory'!$B$5:$B$594,0)),"⚠ unknown staff"))</f>
        <v>PSW-010-A4</v>
      </c>
      <c r="C1476" s="49" t="s">
        <v>986</v>
      </c>
      <c r="D1476" s="19" t="str">
        <f>IF($B1476="","",IFERROR(INDEX('Staff Directory'!$C$5:$C$594,MATCH($B1476,'Staff Directory'!$A$5:$A$594,0)),""))</f>
        <v>PSW</v>
      </c>
      <c r="E1476" s="19" t="str">
        <f>IF($B1476="","",IFERROR(INDEX('Staff Directory'!$D$5:$D$594,MATCH($B1476,'Staff Directory'!$A$5:$A$594,0)),""))</f>
        <v>A4</v>
      </c>
      <c r="F1476" s="9" t="s">
        <v>129</v>
      </c>
      <c r="G1476" s="18" t="str">
        <f>IF($F1476="","",IFERROR(INDEX(Items!$B$5:$B$597,MATCH($F1476,Items!$A$5:$A$597,0)),"⚠ not in Items"))</f>
        <v>Gloves</v>
      </c>
      <c r="H1476" s="19" t="str">
        <f>IF($F1476="","",IFERROR(INDEX(Items!$C$5:$C$597,MATCH($F1476,Items!$A$5:$A$597,0)),""))</f>
        <v>Small</v>
      </c>
      <c r="I1476" s="23">
        <f>IF($F1476="","",IFERROR(INDEX(Items!$E$5:$E$597,MATCH($F1476,Items!$A$5:$A$597,0)),""))</f>
        <v>500</v>
      </c>
      <c r="J1476" s="115">
        <f>IF(tblIssues[[#This Row],[Qty Override]]&lt;&gt;"",tblIssues[[#This Row],[Qty Override]],IF(tblIssues[[#This Row],[Standard Issue]]="","",tblIssues[[#This Row],[Standard Issue]]))</f>
        <v>500</v>
      </c>
      <c r="K1476" s="20">
        <f>IF($F1476="","",IFERROR(INDEX(Items!$D$5:$D$597,MATCH($F1476,Items!$A$5:$A$597,0)),""))</f>
        <v>5.5E-2</v>
      </c>
      <c r="L1476" s="21">
        <f t="shared" si="250"/>
        <v>27.5</v>
      </c>
      <c r="M1476" s="9" t="str">
        <f t="shared" si="248"/>
        <v>ZIM502120291</v>
      </c>
      <c r="N1476" s="24">
        <f>IF($A1476="","",WORKDAY($A1476,Settings!$C$9,HolidayDates))</f>
        <v>46216</v>
      </c>
      <c r="O1476" s="24">
        <f>IF($N1476="","",WORKDAY($N1476,Settings!$C$10,HolidayDates))</f>
        <v>46254</v>
      </c>
      <c r="P1476" s="10" t="s">
        <v>501</v>
      </c>
      <c r="Q1476" s="52" t="str">
        <f t="shared" si="251"/>
        <v>Collected</v>
      </c>
      <c r="R1476" s="55" t="str">
        <f t="shared" si="252"/>
        <v>2026-07</v>
      </c>
      <c r="S1476" s="55">
        <f>IF(OR($B1476="",$F1476="",$R1476=""),"",SUMIFS(tblIssues[Qty Issued],tblIssues[Staff ID],$B1476,tblIssues[Item Name],$F1476,tblIssues[Month],$R1476))</f>
        <v>500</v>
      </c>
      <c r="T1476" s="56">
        <f>IF($I1476="","",$I1476*Settings!$C$11)</f>
        <v>500</v>
      </c>
      <c r="U1476" s="57" t="str">
        <f t="shared" si="249"/>
        <v>OK</v>
      </c>
      <c r="V1476" s="55" t="str">
        <f t="shared" si="253"/>
        <v/>
      </c>
      <c r="W1476" s="55" t="str">
        <f>IF($V1476="","",IF(COUNTIF($V$5:$V1476,$V1476)=1,1,""))</f>
        <v/>
      </c>
      <c r="X1476" s="58" t="str">
        <f>IF($W1476="","",MAX($X$4:X1475)+1)</f>
        <v/>
      </c>
      <c r="Y1476" s="62"/>
      <c r="Z1476" s="62"/>
      <c r="AA1476" s="64" t="str">
        <f>IF($C1476="","",IFERROR(INDEX('Staff Directory'!$E$5:$E$594,MATCH($C1476,'Staff Directory'!$B$5:$B$594,0)),""))</f>
        <v>firstname070.lastname070@example.com</v>
      </c>
      <c r="AB1476" s="64" t="str">
        <f>IF($C1476="","",IF(ISNUMBER(SEARCH($D1476,Settings!$C$15)),"Pickup","Dispatch"))</f>
        <v>Pickup</v>
      </c>
      <c r="AC1476" s="64" t="str">
        <f t="shared" si="254"/>
        <v>Supply order ready for pickup</v>
      </c>
      <c r="AD1476" s="64" t="str">
        <f t="shared" si="245"/>
        <v>Dear PSW,
Your order is ready for pickup from Sample Branch, Wed-Fri 9am-4pm.</v>
      </c>
      <c r="AE1476" s="64" t="str">
        <f t="shared" si="246"/>
        <v>mailto:firstname070.lastname070@example.com?subject=Supply%20order%20ready%20for%20pickup&amp;body=Dear%20PSW%2C%0A%0AYour%20order%20is%20ready%20for%20pickup%20from%20Sample%20Branch%2C%20Wed-Fri%209am-4pm.</v>
      </c>
      <c r="AF1476" s="89" t="str">
        <f t="shared" si="255"/>
        <v>Draft email</v>
      </c>
      <c r="AG1476" s="64" t="str">
        <f>IF($C1476="","",IFERROR(INDEX('Staff Directory'!$K$595:$K$599,MATCH($C1476,'Staff Directory'!$B$5:$B$599,0)),$D1476))</f>
        <v>PSW</v>
      </c>
      <c r="AH1476" t="str">
        <f>IF($C1476="","",IFERROR(INDEX('Staff Directory'!$I$595:$I$599,MATCH($C1476,'Staff Directory'!$B$5:$B$599,0))&amp;" "&amp;INDEX('Staff Directory'!$J$595:$J$599,MATCH($C1476,'Staff Directory'!$B$5:$B$599,0)),$AG1476))</f>
        <v>PSW</v>
      </c>
      <c r="AI1476" s="102"/>
      <c r="AJ1476" s="101">
        <f>IF($F1476="","",SUMIFS($J$5:$J1476,$F$5:$F1476,$F1476))</f>
        <v>45000</v>
      </c>
      <c r="AK1476" s="101">
        <f t="shared" si="247"/>
        <v>44501</v>
      </c>
      <c r="AL1476" s="66" t="str" cm="1">
        <f t="array" ref="AL1476">IF($F1476="","",IFERROR(INDEX('Lot Balance'!$B$5:$B$500,MATCH(1,INDEX(('Lot Balance'!$A$5:$A$500=$F1476)*('Lot Balance'!$K$5:$K$500&lt;$AK1476)*('Lot Balance'!$K$5:$K$500+'Lot Balance'!$D$5:$D$500&gt;=$AK1476),0),0)),""))</f>
        <v>ZIM502120291</v>
      </c>
      <c r="AM1476" s="66" t="str" cm="1">
        <f t="array" ref="AM1476">IF($F1476="","",IFERROR(INDEX('Lot Balance'!$B$5:$B$500,MATCH(1,INDEX(('Lot Balance'!$A$5:$A$500=$F1476)*('Lot Balance'!$K$5:$K$500&lt;$AJ1476)*('Lot Balance'!$K$5:$K$500+'Lot Balance'!$D$5:$D$500&gt;=$AJ1476),0),0)),""))</f>
        <v>ZIM502120291</v>
      </c>
      <c r="AN1476" s="66" t="str">
        <f>IF($F1476="","",IF($AI1476&lt;&gt;"",IF(COUNTIFS('Lot Balance'!$A$5:$A$500,$F1476,'Lot Balance'!$B$5:$B$500,$AI1476)=0,"⚠ override is not a lot of this item",IF($AI1476=$AL1476,"Override = FEFO","Override - FEFO says "&amp;$AL1476)),IF($AL1476="","⚠ no receipt on file for this item",IF($AM1476&lt;&gt;$AL1476,"FEFO auto - split, also "&amp;$AM1476,"FEFO auto"))))</f>
        <v>FEFO auto</v>
      </c>
      <c r="AO1476" s="114"/>
    </row>
    <row r="1477" spans="1:41" x14ac:dyDescent="0.35">
      <c r="A1477" s="74">
        <v>46206</v>
      </c>
      <c r="B1477" s="18" t="str">
        <f>IF($C1477="","",IFERROR(INDEX('Staff Directory'!$A$5:$A$594,MATCH($C1477,'Staff Directory'!$B$5:$B$594,0)),"⚠ unknown staff"))</f>
        <v>PSW-010-A4</v>
      </c>
      <c r="C1477" s="49" t="s">
        <v>986</v>
      </c>
      <c r="D1477" s="19" t="str">
        <f>IF($B1477="","",IFERROR(INDEX('Staff Directory'!$C$5:$C$594,MATCH($B1477,'Staff Directory'!$A$5:$A$594,0)),""))</f>
        <v>PSW</v>
      </c>
      <c r="E1477" s="19" t="str">
        <f>IF($B1477="","",IFERROR(INDEX('Staff Directory'!$D$5:$D$594,MATCH($B1477,'Staff Directory'!$A$5:$A$594,0)),""))</f>
        <v>A4</v>
      </c>
      <c r="F1477" s="9" t="s">
        <v>758</v>
      </c>
      <c r="G1477" s="18" t="str">
        <f>IF($F1477="","",IFERROR(INDEX(Items!$B$5:$B$597,MATCH($F1477,Items!$A$5:$A$597,0)),"⚠ not in Items"))</f>
        <v>Utility</v>
      </c>
      <c r="H1477" s="19" t="str">
        <f>IF($F1477="","",IFERROR(INDEX(Items!$C$5:$C$597,MATCH($F1477,Items!$A$5:$A$597,0)),""))</f>
        <v>Standard</v>
      </c>
      <c r="I1477" s="23">
        <f>IF($F1477="","",IFERROR(INDEX(Items!$E$5:$E$597,MATCH($F1477,Items!$A$5:$A$597,0)),""))</f>
        <v>1</v>
      </c>
      <c r="J1477" s="115">
        <f>IF(tblIssues[[#This Row],[Qty Override]]&lt;&gt;"",tblIssues[[#This Row],[Qty Override]],IF(tblIssues[[#This Row],[Standard Issue]]="","",tblIssues[[#This Row],[Standard Issue]]))</f>
        <v>1</v>
      </c>
      <c r="K1477" s="20">
        <f>IF($F1477="","",IFERROR(INDEX(Items!$D$5:$D$597,MATCH($F1477,Items!$A$5:$A$597,0)),""))</f>
        <v>0</v>
      </c>
      <c r="L1477" s="21">
        <f t="shared" si="250"/>
        <v>0</v>
      </c>
      <c r="M1477" s="9" t="str">
        <f t="shared" si="248"/>
        <v/>
      </c>
      <c r="N1477" s="24">
        <f>IF($A1477="","",WORKDAY($A1477,Settings!$C$9,HolidayDates))</f>
        <v>46216</v>
      </c>
      <c r="O1477" s="24">
        <f>IF($N1477="","",WORKDAY($N1477,Settings!$C$10,HolidayDates))</f>
        <v>46254</v>
      </c>
      <c r="P1477" s="10" t="s">
        <v>501</v>
      </c>
      <c r="Q1477" s="52" t="str">
        <f t="shared" si="251"/>
        <v>Collected</v>
      </c>
      <c r="R1477" s="55" t="str">
        <f t="shared" si="252"/>
        <v>2026-07</v>
      </c>
      <c r="S1477" s="55">
        <f>IF(OR($B1477="",$F1477="",$R1477=""),"",SUMIFS(tblIssues[Qty Issued],tblIssues[Staff ID],$B1477,tblIssues[Item Name],$F1477,tblIssues[Month],$R1477))</f>
        <v>1</v>
      </c>
      <c r="T1477" s="56">
        <f>IF($I1477="","",$I1477*Settings!$C$11)</f>
        <v>1</v>
      </c>
      <c r="U1477" s="57" t="str">
        <f t="shared" si="249"/>
        <v>OK</v>
      </c>
      <c r="V1477" s="55" t="str">
        <f t="shared" si="253"/>
        <v/>
      </c>
      <c r="W1477" s="55" t="str">
        <f>IF($V1477="","",IF(COUNTIF($V$5:$V1477,$V1477)=1,1,""))</f>
        <v/>
      </c>
      <c r="X1477" s="58" t="str">
        <f>IF($W1477="","",MAX($X$4:X1476)+1)</f>
        <v/>
      </c>
      <c r="Y1477" s="62"/>
      <c r="Z1477" s="62"/>
      <c r="AA1477" s="64" t="str">
        <f>IF($C1477="","",IFERROR(INDEX('Staff Directory'!$E$5:$E$594,MATCH($C1477,'Staff Directory'!$B$5:$B$594,0)),""))</f>
        <v>firstname070.lastname070@example.com</v>
      </c>
      <c r="AB1477" s="64" t="str">
        <f>IF($C1477="","",IF(ISNUMBER(SEARCH($D1477,Settings!$C$15)),"Pickup","Dispatch"))</f>
        <v>Pickup</v>
      </c>
      <c r="AC1477" s="64" t="str">
        <f t="shared" si="254"/>
        <v>Supply order ready for pickup</v>
      </c>
      <c r="AD1477" s="64" t="str">
        <f t="shared" ref="AD1477:AD1540" si="256">IF($AB1477="Pickup","Dear "&amp;$AH1477&amp;","&amp;CHAR(10)&amp;CHAR(10)&amp;"Your order is ready for pickup from Sample Branch, Wed-Fri 9am-4pm.",IF($AB1477="Dispatch","Dear "&amp;$AH1477&amp;","&amp;CHAR(10)&amp;CHAR(10)&amp;"Your order has been dispatched and is in transit. Reply if undelivered.",""))</f>
        <v>Dear PSW,
Your order is ready for pickup from Sample Branch, Wed-Fri 9am-4pm.</v>
      </c>
      <c r="AE1477" s="64" t="str">
        <f t="shared" ref="AE1477:AE1540" si="257">IF(OR($AA1477="",$AC1477=""),"","mailto:"&amp;$AA1477&amp;"?subject="&amp;_xlfn.ENCODEURL($AC1477)&amp;"&amp;body="&amp;_xlfn.ENCODEURL($AD1477))</f>
        <v>mailto:firstname070.lastname070@example.com?subject=Supply%20order%20ready%20for%20pickup&amp;body=Dear%20PSW%2C%0A%0AYour%20order%20is%20ready%20for%20pickup%20from%20Sample%20Branch%2C%20Wed-Fri%209am-4pm.</v>
      </c>
      <c r="AF1477" s="89" t="str">
        <f t="shared" si="255"/>
        <v>Draft email</v>
      </c>
      <c r="AG1477" s="64" t="str">
        <f>IF($C1477="","",IFERROR(INDEX('Staff Directory'!$K$595:$K$599,MATCH($C1477,'Staff Directory'!$B$5:$B$599,0)),$D1477))</f>
        <v>PSW</v>
      </c>
      <c r="AH1477" t="str">
        <f>IF($C1477="","",IFERROR(INDEX('Staff Directory'!$I$595:$I$599,MATCH($C1477,'Staff Directory'!$B$5:$B$599,0))&amp;" "&amp;INDEX('Staff Directory'!$J$595:$J$599,MATCH($C1477,'Staff Directory'!$B$5:$B$599,0)),$AG1477))</f>
        <v>PSW</v>
      </c>
      <c r="AI1477" s="102"/>
      <c r="AJ1477" s="101">
        <f>IF($F1477="","",SUMIFS($J$5:$J1477,$F$5:$F1477,$F1477))</f>
        <v>27</v>
      </c>
      <c r="AK1477" s="101">
        <f t="shared" ref="AK1477:AK1540" si="258">IF($F1477="","",MAX(1,$AJ1477-MAX($J1477,0)+1))</f>
        <v>27</v>
      </c>
      <c r="AL1477" s="66" t="str" cm="1">
        <f t="array" ref="AL1477">IF($F1477="","",IFERROR(INDEX('Lot Balance'!$B$5:$B$500,MATCH(1,INDEX(('Lot Balance'!$A$5:$A$500=$F1477)*('Lot Balance'!$K$5:$K$500&lt;$AK1477)*('Lot Balance'!$K$5:$K$500+'Lot Balance'!$D$5:$D$500&gt;=$AK1477),0),0)),""))</f>
        <v/>
      </c>
      <c r="AM1477" s="66" t="str" cm="1">
        <f t="array" ref="AM1477">IF($F1477="","",IFERROR(INDEX('Lot Balance'!$B$5:$B$500,MATCH(1,INDEX(('Lot Balance'!$A$5:$A$500=$F1477)*('Lot Balance'!$K$5:$K$500&lt;$AJ1477)*('Lot Balance'!$K$5:$K$500+'Lot Balance'!$D$5:$D$500&gt;=$AJ1477),0),0)),""))</f>
        <v/>
      </c>
      <c r="AN1477" s="66" t="str">
        <f>IF($F1477="","",IF($AI1477&lt;&gt;"",IF(COUNTIFS('Lot Balance'!$A$5:$A$500,$F1477,'Lot Balance'!$B$5:$B$500,$AI1477)=0,"⚠ override is not a lot of this item",IF($AI1477=$AL1477,"Override = FEFO","Override - FEFO says "&amp;$AL1477)),IF($AL1477="","⚠ no receipt on file for this item",IF($AM1477&lt;&gt;$AL1477,"FEFO auto - split, also "&amp;$AM1477,"FEFO auto"))))</f>
        <v>⚠ no receipt on file for this item</v>
      </c>
      <c r="AO1477" s="114"/>
    </row>
    <row r="1478" spans="1:41" x14ac:dyDescent="0.35">
      <c r="A1478" s="74">
        <v>46206</v>
      </c>
      <c r="B1478" s="18" t="str">
        <f>IF($C1478="","",IFERROR(INDEX('Staff Directory'!$A$5:$A$594,MATCH($C1478,'Staff Directory'!$B$5:$B$594,0)),"⚠ unknown staff"))</f>
        <v>PSW-126-A6</v>
      </c>
      <c r="C1478" s="49" t="s">
        <v>1105</v>
      </c>
      <c r="D1478" s="19" t="str">
        <f>IF($B1478="","",IFERROR(INDEX('Staff Directory'!$C$5:$C$594,MATCH($B1478,'Staff Directory'!$A$5:$A$594,0)),""))</f>
        <v>PSW</v>
      </c>
      <c r="E1478" s="19" t="str">
        <f>IF($B1478="","",IFERROR(INDEX('Staff Directory'!$D$5:$D$594,MATCH($B1478,'Staff Directory'!$A$5:$A$594,0)),""))</f>
        <v>A6</v>
      </c>
      <c r="F1478" s="9" t="s">
        <v>124</v>
      </c>
      <c r="G1478" s="18" t="str">
        <f>IF($F1478="","",IFERROR(INDEX(Items!$B$5:$B$597,MATCH($F1478,Items!$A$5:$A$597,0)),"⚠ not in Items"))</f>
        <v>Gloves</v>
      </c>
      <c r="H1478" s="19" t="str">
        <f>IF($F1478="","",IFERROR(INDEX(Items!$C$5:$C$597,MATCH($F1478,Items!$A$5:$A$597,0)),""))</f>
        <v>Large</v>
      </c>
      <c r="I1478" s="23">
        <f>IF($F1478="","",IFERROR(INDEX(Items!$E$5:$E$597,MATCH($F1478,Items!$A$5:$A$597,0)),""))</f>
        <v>500</v>
      </c>
      <c r="J1478" s="115">
        <f>IF(tblIssues[[#This Row],[Qty Override]]&lt;&gt;"",tblIssues[[#This Row],[Qty Override]],IF(tblIssues[[#This Row],[Standard Issue]]="","",tblIssues[[#This Row],[Standard Issue]]))</f>
        <v>500</v>
      </c>
      <c r="K1478" s="20">
        <f>IF($F1478="","",IFERROR(INDEX(Items!$D$5:$D$597,MATCH($F1478,Items!$A$5:$A$597,0)),""))</f>
        <v>5.5E-2</v>
      </c>
      <c r="L1478" s="21">
        <f t="shared" si="250"/>
        <v>27.5</v>
      </c>
      <c r="M1478" s="9" t="str">
        <f t="shared" ref="M1478:M1541" si="259">IF($F1478="","",IF($AI1478&lt;&gt;"",$AI1478,$AL1478))</f>
        <v>ZIM511139904-3</v>
      </c>
      <c r="N1478" s="24">
        <f>IF($A1478="","",WORKDAY($A1478,Settings!$C$9,HolidayDates))</f>
        <v>46216</v>
      </c>
      <c r="O1478" s="24">
        <f>IF($N1478="","",WORKDAY($N1478,Settings!$C$10,HolidayDates))</f>
        <v>46254</v>
      </c>
      <c r="P1478" s="10" t="s">
        <v>501</v>
      </c>
      <c r="Q1478" s="52" t="str">
        <f t="shared" si="251"/>
        <v>Collected</v>
      </c>
      <c r="R1478" s="55" t="str">
        <f t="shared" si="252"/>
        <v>2026-07</v>
      </c>
      <c r="S1478" s="55">
        <f>IF(OR($B1478="",$F1478="",$R1478=""),"",SUMIFS(tblIssues[Qty Issued],tblIssues[Staff ID],$B1478,tblIssues[Item Name],$F1478,tblIssues[Month],$R1478))</f>
        <v>1000</v>
      </c>
      <c r="T1478" s="56">
        <f>IF($I1478="","",$I1478*Settings!$C$11)</f>
        <v>500</v>
      </c>
      <c r="U1478" s="57" t="str">
        <f t="shared" ref="U1478:U1541" si="260">IF(OR($S1478="",$T1478=""),"",IF($S1478&gt;$T1478,IF($Y1478="Approved","APPROVED BY TL","⚠ OVER QUOTA"),"OK"))</f>
        <v>⚠ OVER QUOTA</v>
      </c>
      <c r="V1478" s="55" t="str">
        <f t="shared" si="253"/>
        <v>PSW-126-A6 | Gloves - Large | 2026-07</v>
      </c>
      <c r="W1478" s="55">
        <f>IF($V1478="","",IF(COUNTIF($V$5:$V1478,$V1478)=1,1,""))</f>
        <v>1</v>
      </c>
      <c r="X1478" s="58">
        <f>IF($W1478="","",MAX($X$4:X1477)+1)</f>
        <v>49</v>
      </c>
      <c r="Y1478" s="62"/>
      <c r="Z1478" s="62"/>
      <c r="AA1478" s="64" t="str">
        <f>IF($C1478="","",IFERROR(INDEX('Staff Directory'!$E$5:$E$594,MATCH($C1478,'Staff Directory'!$B$5:$B$594,0)),""))</f>
        <v>firstname189.lastname189@example.com</v>
      </c>
      <c r="AB1478" s="64" t="str">
        <f>IF($C1478="","",IF(ISNUMBER(SEARCH($D1478,Settings!$C$15)),"Pickup","Dispatch"))</f>
        <v>Pickup</v>
      </c>
      <c r="AC1478" s="64" t="str">
        <f t="shared" si="254"/>
        <v>Supply order ready for pickup</v>
      </c>
      <c r="AD1478" s="64" t="str">
        <f t="shared" si="256"/>
        <v>Dear PSW,
Your order is ready for pickup from Sample Branch, Wed-Fri 9am-4pm.</v>
      </c>
      <c r="AE1478" s="64" t="str">
        <f t="shared" si="257"/>
        <v>mailto:firstname189.lastname189@example.com?subject=Supply%20order%20ready%20for%20pickup&amp;body=Dear%20PSW%2C%0A%0AYour%20order%20is%20ready%20for%20pickup%20from%20Sample%20Branch%2C%20Wed-Fri%209am-4pm.</v>
      </c>
      <c r="AF1478" s="89" t="str">
        <f t="shared" si="255"/>
        <v>Draft email</v>
      </c>
      <c r="AG1478" s="64" t="str">
        <f>IF($C1478="","",IFERROR(INDEX('Staff Directory'!$K$595:$K$599,MATCH($C1478,'Staff Directory'!$B$5:$B$599,0)),$D1478))</f>
        <v>PSW</v>
      </c>
      <c r="AH1478" t="str">
        <f>IF($C1478="","",IFERROR(INDEX('Staff Directory'!$I$595:$I$599,MATCH($C1478,'Staff Directory'!$B$5:$B$599,0))&amp;" "&amp;INDEX('Staff Directory'!$J$595:$J$599,MATCH($C1478,'Staff Directory'!$B$5:$B$599,0)),$AG1478))</f>
        <v>PSW</v>
      </c>
      <c r="AI1478" s="102"/>
      <c r="AJ1478" s="101">
        <f>IF($F1478="","",SUMIFS($J$5:$J1478,$F$5:$F1478,$F1478))</f>
        <v>40000</v>
      </c>
      <c r="AK1478" s="101">
        <f t="shared" si="258"/>
        <v>39501</v>
      </c>
      <c r="AL1478" s="66" t="str" cm="1">
        <f t="array" ref="AL1478">IF($F1478="","",IFERROR(INDEX('Lot Balance'!$B$5:$B$500,MATCH(1,INDEX(('Lot Balance'!$A$5:$A$500=$F1478)*('Lot Balance'!$K$5:$K$500&lt;$AK1478)*('Lot Balance'!$K$5:$K$500+'Lot Balance'!$D$5:$D$500&gt;=$AK1478),0),0)),""))</f>
        <v>ZIM511139904-3</v>
      </c>
      <c r="AM1478" s="66" t="str" cm="1">
        <f t="array" ref="AM1478">IF($F1478="","",IFERROR(INDEX('Lot Balance'!$B$5:$B$500,MATCH(1,INDEX(('Lot Balance'!$A$5:$A$500=$F1478)*('Lot Balance'!$K$5:$K$500&lt;$AJ1478)*('Lot Balance'!$K$5:$K$500+'Lot Balance'!$D$5:$D$500&gt;=$AJ1478),0),0)),""))</f>
        <v>ZIM511139904-3</v>
      </c>
      <c r="AN1478" s="66" t="str">
        <f>IF($F1478="","",IF($AI1478&lt;&gt;"",IF(COUNTIFS('Lot Balance'!$A$5:$A$500,$F1478,'Lot Balance'!$B$5:$B$500,$AI1478)=0,"⚠ override is not a lot of this item",IF($AI1478=$AL1478,"Override = FEFO","Override - FEFO says "&amp;$AL1478)),IF($AL1478="","⚠ no receipt on file for this item",IF($AM1478&lt;&gt;$AL1478,"FEFO auto - split, also "&amp;$AM1478,"FEFO auto"))))</f>
        <v>FEFO auto</v>
      </c>
      <c r="AO1478" s="114"/>
    </row>
    <row r="1479" spans="1:41" x14ac:dyDescent="0.35">
      <c r="A1479" s="74">
        <v>46206</v>
      </c>
      <c r="B1479" s="18" t="str">
        <f>IF($C1479="","",IFERROR(INDEX('Staff Directory'!$A$5:$A$594,MATCH($C1479,'Staff Directory'!$B$5:$B$594,0)),"⚠ unknown staff"))</f>
        <v>PSW-126-A6</v>
      </c>
      <c r="C1479" s="49" t="s">
        <v>1105</v>
      </c>
      <c r="D1479" s="19" t="str">
        <f>IF($B1479="","",IFERROR(INDEX('Staff Directory'!$C$5:$C$594,MATCH($B1479,'Staff Directory'!$A$5:$A$594,0)),""))</f>
        <v>PSW</v>
      </c>
      <c r="E1479" s="19" t="str">
        <f>IF($B1479="","",IFERROR(INDEX('Staff Directory'!$D$5:$D$594,MATCH($B1479,'Staff Directory'!$A$5:$A$594,0)),""))</f>
        <v>A6</v>
      </c>
      <c r="F1479" s="9" t="s">
        <v>103</v>
      </c>
      <c r="G1479" s="18" t="str">
        <f>IF($F1479="","",IFERROR(INDEX(Items!$B$5:$B$597,MATCH($F1479,Items!$A$5:$A$597,0)),"⚠ not in Items"))</f>
        <v>Masks</v>
      </c>
      <c r="H1479" s="19" t="str">
        <f>IF($F1479="","",IFERROR(INDEX(Items!$C$5:$C$597,MATCH($F1479,Items!$A$5:$A$597,0)),""))</f>
        <v>One Size</v>
      </c>
      <c r="I1479" s="23">
        <f>IF($F1479="","",IFERROR(INDEX(Items!$E$5:$E$597,MATCH($F1479,Items!$A$5:$A$597,0)),""))</f>
        <v>5</v>
      </c>
      <c r="J1479" s="115">
        <f>IF(tblIssues[[#This Row],[Qty Override]]&lt;&gt;"",tblIssues[[#This Row],[Qty Override]],IF(tblIssues[[#This Row],[Standard Issue]]="","",tblIssues[[#This Row],[Standard Issue]]))</f>
        <v>5</v>
      </c>
      <c r="K1479" s="20">
        <f>IF($F1479="","",IFERROR(INDEX(Items!$D$5:$D$597,MATCH($F1479,Items!$A$5:$A$597,0)),""))</f>
        <v>2.0499999999999998</v>
      </c>
      <c r="L1479" s="21">
        <f t="shared" si="250"/>
        <v>10.25</v>
      </c>
      <c r="M1479" s="9" t="str">
        <f t="shared" si="259"/>
        <v>N955003718</v>
      </c>
      <c r="N1479" s="24">
        <f>IF($A1479="","",WORKDAY($A1479,Settings!$C$9,HolidayDates))</f>
        <v>46216</v>
      </c>
      <c r="O1479" s="24">
        <f>IF($N1479="","",WORKDAY($N1479,Settings!$C$10,HolidayDates))</f>
        <v>46254</v>
      </c>
      <c r="P1479" s="10" t="s">
        <v>501</v>
      </c>
      <c r="Q1479" s="52" t="str">
        <f t="shared" si="251"/>
        <v>Collected</v>
      </c>
      <c r="R1479" s="55" t="str">
        <f t="shared" si="252"/>
        <v>2026-07</v>
      </c>
      <c r="S1479" s="55">
        <f>IF(OR($B1479="",$F1479="",$R1479=""),"",SUMIFS(tblIssues[Qty Issued],tblIssues[Staff ID],$B1479,tblIssues[Item Name],$F1479,tblIssues[Month],$R1479))</f>
        <v>5</v>
      </c>
      <c r="T1479" s="56">
        <f>IF($I1479="","",$I1479*Settings!$C$11)</f>
        <v>5</v>
      </c>
      <c r="U1479" s="57" t="str">
        <f t="shared" si="260"/>
        <v>OK</v>
      </c>
      <c r="V1479" s="55" t="str">
        <f t="shared" si="253"/>
        <v/>
      </c>
      <c r="W1479" s="55" t="str">
        <f>IF($V1479="","",IF(COUNTIF($V$5:$V1479,$V1479)=1,1,""))</f>
        <v/>
      </c>
      <c r="X1479" s="58" t="str">
        <f>IF($W1479="","",MAX($X$4:X1478)+1)</f>
        <v/>
      </c>
      <c r="Y1479" s="62"/>
      <c r="Z1479" s="62"/>
      <c r="AA1479" s="64" t="str">
        <f>IF($C1479="","",IFERROR(INDEX('Staff Directory'!$E$5:$E$594,MATCH($C1479,'Staff Directory'!$B$5:$B$594,0)),""))</f>
        <v>firstname189.lastname189@example.com</v>
      </c>
      <c r="AB1479" s="64" t="str">
        <f>IF($C1479="","",IF(ISNUMBER(SEARCH($D1479,Settings!$C$15)),"Pickup","Dispatch"))</f>
        <v>Pickup</v>
      </c>
      <c r="AC1479" s="64" t="str">
        <f t="shared" si="254"/>
        <v>Supply order ready for pickup</v>
      </c>
      <c r="AD1479" s="64" t="str">
        <f t="shared" si="256"/>
        <v>Dear PSW,
Your order is ready for pickup from Sample Branch, Wed-Fri 9am-4pm.</v>
      </c>
      <c r="AE1479" s="64" t="str">
        <f t="shared" si="257"/>
        <v>mailto:firstname189.lastname189@example.com?subject=Supply%20order%20ready%20for%20pickup&amp;body=Dear%20PSW%2C%0A%0AYour%20order%20is%20ready%20for%20pickup%20from%20Sample%20Branch%2C%20Wed-Fri%209am-4pm.</v>
      </c>
      <c r="AF1479" s="89" t="str">
        <f t="shared" si="255"/>
        <v>Draft email</v>
      </c>
      <c r="AG1479" s="64" t="str">
        <f>IF($C1479="","",IFERROR(INDEX('Staff Directory'!$K$595:$K$599,MATCH($C1479,'Staff Directory'!$B$5:$B$599,0)),$D1479))</f>
        <v>PSW</v>
      </c>
      <c r="AH1479" t="str">
        <f>IF($C1479="","",IFERROR(INDEX('Staff Directory'!$I$595:$I$599,MATCH($C1479,'Staff Directory'!$B$5:$B$599,0))&amp;" "&amp;INDEX('Staff Directory'!$J$595:$J$599,MATCH($C1479,'Staff Directory'!$B$5:$B$599,0)),$AG1479))</f>
        <v>PSW</v>
      </c>
      <c r="AI1479" s="102"/>
      <c r="AJ1479" s="101">
        <f>IF($F1479="","",SUMIFS($J$5:$J1479,$F$5:$F1479,$F1479))</f>
        <v>15</v>
      </c>
      <c r="AK1479" s="101">
        <f t="shared" si="258"/>
        <v>11</v>
      </c>
      <c r="AL1479" s="66" t="str" cm="1">
        <f t="array" ref="AL1479">IF($F1479="","",IFERROR(INDEX('Lot Balance'!$B$5:$B$500,MATCH(1,INDEX(('Lot Balance'!$A$5:$A$500=$F1479)*('Lot Balance'!$K$5:$K$500&lt;$AK1479)*('Lot Balance'!$K$5:$K$500+'Lot Balance'!$D$5:$D$500&gt;=$AK1479),0),0)),""))</f>
        <v>N955003718</v>
      </c>
      <c r="AM1479" s="66" t="str" cm="1">
        <f t="array" ref="AM1479">IF($F1479="","",IFERROR(INDEX('Lot Balance'!$B$5:$B$500,MATCH(1,INDEX(('Lot Balance'!$A$5:$A$500=$F1479)*('Lot Balance'!$K$5:$K$500&lt;$AJ1479)*('Lot Balance'!$K$5:$K$500+'Lot Balance'!$D$5:$D$500&gt;=$AJ1479),0),0)),""))</f>
        <v>N955003718</v>
      </c>
      <c r="AN1479" s="66" t="str">
        <f>IF($F1479="","",IF($AI1479&lt;&gt;"",IF(COUNTIFS('Lot Balance'!$A$5:$A$500,$F1479,'Lot Balance'!$B$5:$B$500,$AI1479)=0,"⚠ override is not a lot of this item",IF($AI1479=$AL1479,"Override = FEFO","Override - FEFO says "&amp;$AL1479)),IF($AL1479="","⚠ no receipt on file for this item",IF($AM1479&lt;&gt;$AL1479,"FEFO auto - split, also "&amp;$AM1479,"FEFO auto"))))</f>
        <v>FEFO auto</v>
      </c>
      <c r="AO1479" s="114"/>
    </row>
    <row r="1480" spans="1:41" x14ac:dyDescent="0.35">
      <c r="A1480" s="74">
        <v>46206</v>
      </c>
      <c r="B1480" s="18" t="str">
        <f>IF($C1480="","",IFERROR(INDEX('Staff Directory'!$A$5:$A$594,MATCH($C1480,'Staff Directory'!$B$5:$B$594,0)),"⚠ unknown staff"))</f>
        <v>PSW-126-A6</v>
      </c>
      <c r="C1480" s="49" t="s">
        <v>1105</v>
      </c>
      <c r="D1480" s="19" t="str">
        <f>IF($B1480="","",IFERROR(INDEX('Staff Directory'!$C$5:$C$594,MATCH($B1480,'Staff Directory'!$A$5:$A$594,0)),""))</f>
        <v>PSW</v>
      </c>
      <c r="E1480" s="19" t="str">
        <f>IF($B1480="","",IFERROR(INDEX('Staff Directory'!$D$5:$D$594,MATCH($B1480,'Staff Directory'!$A$5:$A$594,0)),""))</f>
        <v>A6</v>
      </c>
      <c r="F1480" s="9" t="s">
        <v>115</v>
      </c>
      <c r="G1480" s="18" t="str">
        <f>IF($F1480="","",IFERROR(INDEX(Items!$B$5:$B$597,MATCH($F1480,Items!$A$5:$A$597,0)),"⚠ not in Items"))</f>
        <v>Wipes</v>
      </c>
      <c r="H1480" s="19">
        <f>IF($F1480="","",IFERROR(INDEX(Items!$C$5:$C$597,MATCH($F1480,Items!$A$5:$A$597,0)),""))</f>
        <v>80</v>
      </c>
      <c r="I1480" s="23">
        <f>IF($F1480="","",IFERROR(INDEX(Items!$E$5:$E$597,MATCH($F1480,Items!$A$5:$A$597,0)),""))</f>
        <v>80</v>
      </c>
      <c r="J1480" s="115">
        <f>IF(tblIssues[[#This Row],[Qty Override]]&lt;&gt;"",tblIssues[[#This Row],[Qty Override]],IF(tblIssues[[#This Row],[Standard Issue]]="","",tblIssues[[#This Row],[Standard Issue]]))</f>
        <v>80</v>
      </c>
      <c r="K1480" s="20">
        <f>IF($F1480="","",IFERROR(INDEX(Items!$D$5:$D$597,MATCH($F1480,Items!$A$5:$A$597,0)),""))</f>
        <v>0.1</v>
      </c>
      <c r="L1480" s="21">
        <f t="shared" ref="L1480:L1543" si="261">IF(OR($J1480="",$K1480=""),"",$J1480*$K1480)</f>
        <v>8</v>
      </c>
      <c r="M1480" s="9" t="str">
        <f t="shared" si="259"/>
        <v>LYSL500290</v>
      </c>
      <c r="N1480" s="24">
        <f>IF($A1480="","",WORKDAY($A1480,Settings!$C$9,HolidayDates))</f>
        <v>46216</v>
      </c>
      <c r="O1480" s="24">
        <f>IF($N1480="","",WORKDAY($N1480,Settings!$C$10,HolidayDates))</f>
        <v>46254</v>
      </c>
      <c r="P1480" s="10" t="s">
        <v>501</v>
      </c>
      <c r="Q1480" s="52" t="str">
        <f t="shared" si="251"/>
        <v>Collected</v>
      </c>
      <c r="R1480" s="55" t="str">
        <f t="shared" si="252"/>
        <v>2026-07</v>
      </c>
      <c r="S1480" s="55">
        <f>IF(OR($B1480="",$F1480="",$R1480=""),"",SUMIFS(tblIssues[Qty Issued],tblIssues[Staff ID],$B1480,tblIssues[Item Name],$F1480,tblIssues[Month],$R1480))</f>
        <v>80</v>
      </c>
      <c r="T1480" s="56">
        <f>IF($I1480="","",$I1480*Settings!$C$11)</f>
        <v>80</v>
      </c>
      <c r="U1480" s="57" t="str">
        <f t="shared" si="260"/>
        <v>OK</v>
      </c>
      <c r="V1480" s="55" t="str">
        <f t="shared" si="253"/>
        <v/>
      </c>
      <c r="W1480" s="55" t="str">
        <f>IF($V1480="","",IF(COUNTIF($V$5:$V1480,$V1480)=1,1,""))</f>
        <v/>
      </c>
      <c r="X1480" s="58" t="str">
        <f>IF($W1480="","",MAX($X$4:X1479)+1)</f>
        <v/>
      </c>
      <c r="Y1480" s="62"/>
      <c r="Z1480" s="62"/>
      <c r="AA1480" s="64" t="str">
        <f>IF($C1480="","",IFERROR(INDEX('Staff Directory'!$E$5:$E$594,MATCH($C1480,'Staff Directory'!$B$5:$B$594,0)),""))</f>
        <v>firstname189.lastname189@example.com</v>
      </c>
      <c r="AB1480" s="64" t="str">
        <f>IF($C1480="","",IF(ISNUMBER(SEARCH($D1480,Settings!$C$15)),"Pickup","Dispatch"))</f>
        <v>Pickup</v>
      </c>
      <c r="AC1480" s="64" t="str">
        <f t="shared" si="254"/>
        <v>Supply order ready for pickup</v>
      </c>
      <c r="AD1480" s="64" t="str">
        <f t="shared" si="256"/>
        <v>Dear PSW,
Your order is ready for pickup from Sample Branch, Wed-Fri 9am-4pm.</v>
      </c>
      <c r="AE1480" s="64" t="str">
        <f t="shared" si="257"/>
        <v>mailto:firstname189.lastname189@example.com?subject=Supply%20order%20ready%20for%20pickup&amp;body=Dear%20PSW%2C%0A%0AYour%20order%20is%20ready%20for%20pickup%20from%20Sample%20Branch%2C%20Wed-Fri%209am-4pm.</v>
      </c>
      <c r="AF1480" s="89" t="str">
        <f t="shared" si="255"/>
        <v>Draft email</v>
      </c>
      <c r="AG1480" s="64" t="str">
        <f>IF($C1480="","",IFERROR(INDEX('Staff Directory'!$K$595:$K$599,MATCH($C1480,'Staff Directory'!$B$5:$B$599,0)),$D1480))</f>
        <v>PSW</v>
      </c>
      <c r="AH1480" t="str">
        <f>IF($C1480="","",IFERROR(INDEX('Staff Directory'!$I$595:$I$599,MATCH($C1480,'Staff Directory'!$B$5:$B$599,0))&amp;" "&amp;INDEX('Staff Directory'!$J$595:$J$599,MATCH($C1480,'Staff Directory'!$B$5:$B$599,0)),$AG1480))</f>
        <v>PSW</v>
      </c>
      <c r="AI1480" s="102"/>
      <c r="AJ1480" s="101">
        <f>IF($F1480="","",SUMIFS($J$5:$J1480,$F$5:$F1480,$F1480))</f>
        <v>20400</v>
      </c>
      <c r="AK1480" s="101">
        <f t="shared" si="258"/>
        <v>20321</v>
      </c>
      <c r="AL1480" s="66" t="str" cm="1">
        <f t="array" ref="AL1480">IF($F1480="","",IFERROR(INDEX('Lot Balance'!$B$5:$B$500,MATCH(1,INDEX(('Lot Balance'!$A$5:$A$500=$F1480)*('Lot Balance'!$K$5:$K$500&lt;$AK1480)*('Lot Balance'!$K$5:$K$500+'Lot Balance'!$D$5:$D$500&gt;=$AK1480),0),0)),""))</f>
        <v>LYSL500290</v>
      </c>
      <c r="AM1480" s="66" t="str" cm="1">
        <f t="array" ref="AM1480">IF($F1480="","",IFERROR(INDEX('Lot Balance'!$B$5:$B$500,MATCH(1,INDEX(('Lot Balance'!$A$5:$A$500=$F1480)*('Lot Balance'!$K$5:$K$500&lt;$AJ1480)*('Lot Balance'!$K$5:$K$500+'Lot Balance'!$D$5:$D$500&gt;=$AJ1480),0),0)),""))</f>
        <v>LYSL500290</v>
      </c>
      <c r="AN1480" s="66" t="str">
        <f>IF($F1480="","",IF($AI1480&lt;&gt;"",IF(COUNTIFS('Lot Balance'!$A$5:$A$500,$F1480,'Lot Balance'!$B$5:$B$500,$AI1480)=0,"⚠ override is not a lot of this item",IF($AI1480=$AL1480,"Override = FEFO","Override - FEFO says "&amp;$AL1480)),IF($AL1480="","⚠ no receipt on file for this item",IF($AM1480&lt;&gt;$AL1480,"FEFO auto - split, also "&amp;$AM1480,"FEFO auto"))))</f>
        <v>FEFO auto</v>
      </c>
      <c r="AO1480" s="114"/>
    </row>
    <row r="1481" spans="1:41" x14ac:dyDescent="0.35">
      <c r="A1481" s="74">
        <v>46206</v>
      </c>
      <c r="B1481" s="18" t="str">
        <f>IF($C1481="","",IFERROR(INDEX('Staff Directory'!$A$5:$A$594,MATCH($C1481,'Staff Directory'!$B$5:$B$594,0)),"⚠ unknown staff"))</f>
        <v>PSW-126-A6</v>
      </c>
      <c r="C1481" s="49" t="s">
        <v>1105</v>
      </c>
      <c r="D1481" s="19" t="str">
        <f>IF($B1481="","",IFERROR(INDEX('Staff Directory'!$C$5:$C$594,MATCH($B1481,'Staff Directory'!$A$5:$A$594,0)),""))</f>
        <v>PSW</v>
      </c>
      <c r="E1481" s="19" t="str">
        <f>IF($B1481="","",IFERROR(INDEX('Staff Directory'!$D$5:$D$594,MATCH($B1481,'Staff Directory'!$A$5:$A$594,0)),""))</f>
        <v>A6</v>
      </c>
      <c r="F1481" s="9" t="s">
        <v>758</v>
      </c>
      <c r="G1481" s="18" t="str">
        <f>IF($F1481="","",IFERROR(INDEX(Items!$B$5:$B$597,MATCH($F1481,Items!$A$5:$A$597,0)),"⚠ not in Items"))</f>
        <v>Utility</v>
      </c>
      <c r="H1481" s="19" t="str">
        <f>IF($F1481="","",IFERROR(INDEX(Items!$C$5:$C$597,MATCH($F1481,Items!$A$5:$A$597,0)),""))</f>
        <v>Standard</v>
      </c>
      <c r="I1481" s="23">
        <f>IF($F1481="","",IFERROR(INDEX(Items!$E$5:$E$597,MATCH($F1481,Items!$A$5:$A$597,0)),""))</f>
        <v>1</v>
      </c>
      <c r="J1481" s="115">
        <f>IF(tblIssues[[#This Row],[Qty Override]]&lt;&gt;"",tblIssues[[#This Row],[Qty Override]],IF(tblIssues[[#This Row],[Standard Issue]]="","",tblIssues[[#This Row],[Standard Issue]]))</f>
        <v>1</v>
      </c>
      <c r="K1481" s="20">
        <f>IF($F1481="","",IFERROR(INDEX(Items!$D$5:$D$597,MATCH($F1481,Items!$A$5:$A$597,0)),""))</f>
        <v>0</v>
      </c>
      <c r="L1481" s="21">
        <f t="shared" si="261"/>
        <v>0</v>
      </c>
      <c r="M1481" s="9" t="str">
        <f t="shared" si="259"/>
        <v/>
      </c>
      <c r="N1481" s="24">
        <f>IF($A1481="","",WORKDAY($A1481,Settings!$C$9,HolidayDates))</f>
        <v>46216</v>
      </c>
      <c r="O1481" s="24">
        <f>IF($N1481="","",WORKDAY($N1481,Settings!$C$10,HolidayDates))</f>
        <v>46254</v>
      </c>
      <c r="P1481" s="10" t="s">
        <v>501</v>
      </c>
      <c r="Q1481" s="52" t="str">
        <f t="shared" si="251"/>
        <v>Collected</v>
      </c>
      <c r="R1481" s="55" t="str">
        <f t="shared" si="252"/>
        <v>2026-07</v>
      </c>
      <c r="S1481" s="55">
        <f>IF(OR($B1481="",$F1481="",$R1481=""),"",SUMIFS(tblIssues[Qty Issued],tblIssues[Staff ID],$B1481,tblIssues[Item Name],$F1481,tblIssues[Month],$R1481))</f>
        <v>1</v>
      </c>
      <c r="T1481" s="56">
        <f>IF($I1481="","",$I1481*Settings!$C$11)</f>
        <v>1</v>
      </c>
      <c r="U1481" s="57" t="str">
        <f t="shared" si="260"/>
        <v>OK</v>
      </c>
      <c r="V1481" s="55" t="str">
        <f t="shared" si="253"/>
        <v/>
      </c>
      <c r="W1481" s="55" t="str">
        <f>IF($V1481="","",IF(COUNTIF($V$5:$V1481,$V1481)=1,1,""))</f>
        <v/>
      </c>
      <c r="X1481" s="58" t="str">
        <f>IF($W1481="","",MAX($X$4:X1480)+1)</f>
        <v/>
      </c>
      <c r="Y1481" s="62"/>
      <c r="Z1481" s="62"/>
      <c r="AA1481" s="64" t="str">
        <f>IF($C1481="","",IFERROR(INDEX('Staff Directory'!$E$5:$E$594,MATCH($C1481,'Staff Directory'!$B$5:$B$594,0)),""))</f>
        <v>firstname189.lastname189@example.com</v>
      </c>
      <c r="AB1481" s="64" t="str">
        <f>IF($C1481="","",IF(ISNUMBER(SEARCH($D1481,Settings!$C$15)),"Pickup","Dispatch"))</f>
        <v>Pickup</v>
      </c>
      <c r="AC1481" s="64" t="str">
        <f t="shared" si="254"/>
        <v>Supply order ready for pickup</v>
      </c>
      <c r="AD1481" s="64" t="str">
        <f t="shared" si="256"/>
        <v>Dear PSW,
Your order is ready for pickup from Sample Branch, Wed-Fri 9am-4pm.</v>
      </c>
      <c r="AE1481" s="64" t="str">
        <f t="shared" si="257"/>
        <v>mailto:firstname189.lastname189@example.com?subject=Supply%20order%20ready%20for%20pickup&amp;body=Dear%20PSW%2C%0A%0AYour%20order%20is%20ready%20for%20pickup%20from%20Sample%20Branch%2C%20Wed-Fri%209am-4pm.</v>
      </c>
      <c r="AF1481" s="89" t="str">
        <f t="shared" si="255"/>
        <v>Draft email</v>
      </c>
      <c r="AG1481" s="64" t="str">
        <f>IF($C1481="","",IFERROR(INDEX('Staff Directory'!$K$595:$K$599,MATCH($C1481,'Staff Directory'!$B$5:$B$599,0)),$D1481))</f>
        <v>PSW</v>
      </c>
      <c r="AH1481" t="str">
        <f>IF($C1481="","",IFERROR(INDEX('Staff Directory'!$I$595:$I$599,MATCH($C1481,'Staff Directory'!$B$5:$B$599,0))&amp;" "&amp;INDEX('Staff Directory'!$J$595:$J$599,MATCH($C1481,'Staff Directory'!$B$5:$B$599,0)),$AG1481))</f>
        <v>PSW</v>
      </c>
      <c r="AI1481" s="102"/>
      <c r="AJ1481" s="101">
        <f>IF($F1481="","",SUMIFS($J$5:$J1481,$F$5:$F1481,$F1481))</f>
        <v>28</v>
      </c>
      <c r="AK1481" s="101">
        <f t="shared" si="258"/>
        <v>28</v>
      </c>
      <c r="AL1481" s="66" t="str" cm="1">
        <f t="array" ref="AL1481">IF($F1481="","",IFERROR(INDEX('Lot Balance'!$B$5:$B$500,MATCH(1,INDEX(('Lot Balance'!$A$5:$A$500=$F1481)*('Lot Balance'!$K$5:$K$500&lt;$AK1481)*('Lot Balance'!$K$5:$K$500+'Lot Balance'!$D$5:$D$500&gt;=$AK1481),0),0)),""))</f>
        <v/>
      </c>
      <c r="AM1481" s="66" t="str" cm="1">
        <f t="array" ref="AM1481">IF($F1481="","",IFERROR(INDEX('Lot Balance'!$B$5:$B$500,MATCH(1,INDEX(('Lot Balance'!$A$5:$A$500=$F1481)*('Lot Balance'!$K$5:$K$500&lt;$AJ1481)*('Lot Balance'!$K$5:$K$500+'Lot Balance'!$D$5:$D$500&gt;=$AJ1481),0),0)),""))</f>
        <v/>
      </c>
      <c r="AN1481" s="66" t="str">
        <f>IF($F1481="","",IF($AI1481&lt;&gt;"",IF(COUNTIFS('Lot Balance'!$A$5:$A$500,$F1481,'Lot Balance'!$B$5:$B$500,$AI1481)=0,"⚠ override is not a lot of this item",IF($AI1481=$AL1481,"Override = FEFO","Override - FEFO says "&amp;$AL1481)),IF($AL1481="","⚠ no receipt on file for this item",IF($AM1481&lt;&gt;$AL1481,"FEFO auto - split, also "&amp;$AM1481,"FEFO auto"))))</f>
        <v>⚠ no receipt on file for this item</v>
      </c>
      <c r="AO1481" s="114"/>
    </row>
    <row r="1482" spans="1:41" x14ac:dyDescent="0.35">
      <c r="A1482" s="74">
        <v>46206</v>
      </c>
      <c r="B1482" s="18" t="str">
        <f>IF($C1482="","",IFERROR(INDEX('Staff Directory'!$A$5:$A$594,MATCH($C1482,'Staff Directory'!$B$5:$B$594,0)),"⚠ unknown staff"))</f>
        <v>PSW-121-A4</v>
      </c>
      <c r="C1482" s="49" t="s">
        <v>1100</v>
      </c>
      <c r="D1482" s="19" t="str">
        <f>IF($B1482="","",IFERROR(INDEX('Staff Directory'!$C$5:$C$594,MATCH($B1482,'Staff Directory'!$A$5:$A$594,0)),""))</f>
        <v>PSW</v>
      </c>
      <c r="E1482" s="19" t="str">
        <f>IF($B1482="","",IFERROR(INDEX('Staff Directory'!$D$5:$D$594,MATCH($B1482,'Staff Directory'!$A$5:$A$594,0)),""))</f>
        <v>A4</v>
      </c>
      <c r="F1482" s="9" t="s">
        <v>124</v>
      </c>
      <c r="G1482" s="18" t="str">
        <f>IF($F1482="","",IFERROR(INDEX(Items!$B$5:$B$597,MATCH($F1482,Items!$A$5:$A$597,0)),"⚠ not in Items"))</f>
        <v>Gloves</v>
      </c>
      <c r="H1482" s="19" t="str">
        <f>IF($F1482="","",IFERROR(INDEX(Items!$C$5:$C$597,MATCH($F1482,Items!$A$5:$A$597,0)),""))</f>
        <v>Large</v>
      </c>
      <c r="I1482" s="23">
        <f>IF($F1482="","",IFERROR(INDEX(Items!$E$5:$E$597,MATCH($F1482,Items!$A$5:$A$597,0)),""))</f>
        <v>500</v>
      </c>
      <c r="J1482" s="115">
        <f>IF(tblIssues[[#This Row],[Qty Override]]&lt;&gt;"",tblIssues[[#This Row],[Qty Override]],IF(tblIssues[[#This Row],[Standard Issue]]="","",tblIssues[[#This Row],[Standard Issue]]))</f>
        <v>500</v>
      </c>
      <c r="K1482" s="20">
        <f>IF($F1482="","",IFERROR(INDEX(Items!$D$5:$D$597,MATCH($F1482,Items!$A$5:$A$597,0)),""))</f>
        <v>5.5E-2</v>
      </c>
      <c r="L1482" s="21">
        <f t="shared" si="261"/>
        <v>27.5</v>
      </c>
      <c r="M1482" s="9" t="str">
        <f t="shared" si="259"/>
        <v>ZIM511139904-3</v>
      </c>
      <c r="N1482" s="24">
        <f>IF($A1482="","",WORKDAY($A1482,Settings!$C$9,HolidayDates))</f>
        <v>46216</v>
      </c>
      <c r="O1482" s="24">
        <f>IF($N1482="","",WORKDAY($N1482,Settings!$C$10,HolidayDates))</f>
        <v>46254</v>
      </c>
      <c r="P1482" s="10" t="s">
        <v>501</v>
      </c>
      <c r="Q1482" s="52" t="str">
        <f t="shared" si="251"/>
        <v>Collected</v>
      </c>
      <c r="R1482" s="55" t="str">
        <f t="shared" si="252"/>
        <v>2026-07</v>
      </c>
      <c r="S1482" s="55">
        <f>IF(OR($B1482="",$F1482="",$R1482=""),"",SUMIFS(tblIssues[Qty Issued],tblIssues[Staff ID],$B1482,tblIssues[Item Name],$F1482,tblIssues[Month],$R1482))</f>
        <v>500</v>
      </c>
      <c r="T1482" s="56">
        <f>IF($I1482="","",$I1482*Settings!$C$11)</f>
        <v>500</v>
      </c>
      <c r="U1482" s="57" t="str">
        <f t="shared" si="260"/>
        <v>OK</v>
      </c>
      <c r="V1482" s="55" t="str">
        <f t="shared" si="253"/>
        <v/>
      </c>
      <c r="W1482" s="55" t="str">
        <f>IF($V1482="","",IF(COUNTIF($V$5:$V1482,$V1482)=1,1,""))</f>
        <v/>
      </c>
      <c r="X1482" s="58" t="str">
        <f>IF($W1482="","",MAX($X$4:X1481)+1)</f>
        <v/>
      </c>
      <c r="Y1482" s="62"/>
      <c r="Z1482" s="62"/>
      <c r="AA1482" s="64" t="str">
        <f>IF($C1482="","",IFERROR(INDEX('Staff Directory'!$E$5:$E$594,MATCH($C1482,'Staff Directory'!$B$5:$B$594,0)),""))</f>
        <v>firstname184.lastname184@example.com</v>
      </c>
      <c r="AB1482" s="64" t="str">
        <f>IF($C1482="","",IF(ISNUMBER(SEARCH($D1482,Settings!$C$15)),"Pickup","Dispatch"))</f>
        <v>Pickup</v>
      </c>
      <c r="AC1482" s="64" t="str">
        <f t="shared" si="254"/>
        <v>Supply order ready for pickup</v>
      </c>
      <c r="AD1482" s="64" t="str">
        <f t="shared" si="256"/>
        <v>Dear PSW,
Your order is ready for pickup from Sample Branch, Wed-Fri 9am-4pm.</v>
      </c>
      <c r="AE1482" s="64" t="str">
        <f t="shared" si="257"/>
        <v>mailto:firstname184.lastname184@example.com?subject=Supply%20order%20ready%20for%20pickup&amp;body=Dear%20PSW%2C%0A%0AYour%20order%20is%20ready%20for%20pickup%20from%20Sample%20Branch%2C%20Wed-Fri%209am-4pm.</v>
      </c>
      <c r="AF1482" s="89" t="str">
        <f t="shared" si="255"/>
        <v>Draft email</v>
      </c>
      <c r="AG1482" s="64" t="str">
        <f>IF($C1482="","",IFERROR(INDEX('Staff Directory'!$K$595:$K$599,MATCH($C1482,'Staff Directory'!$B$5:$B$599,0)),$D1482))</f>
        <v>PSW</v>
      </c>
      <c r="AH1482" t="str">
        <f>IF($C1482="","",IFERROR(INDEX('Staff Directory'!$I$595:$I$599,MATCH($C1482,'Staff Directory'!$B$5:$B$599,0))&amp;" "&amp;INDEX('Staff Directory'!$J$595:$J$599,MATCH($C1482,'Staff Directory'!$B$5:$B$599,0)),$AG1482))</f>
        <v>PSW</v>
      </c>
      <c r="AI1482" s="102"/>
      <c r="AJ1482" s="101">
        <f>IF($F1482="","",SUMIFS($J$5:$J1482,$F$5:$F1482,$F1482))</f>
        <v>40500</v>
      </c>
      <c r="AK1482" s="101">
        <f t="shared" si="258"/>
        <v>40001</v>
      </c>
      <c r="AL1482" s="66" t="str" cm="1">
        <f t="array" ref="AL1482">IF($F1482="","",IFERROR(INDEX('Lot Balance'!$B$5:$B$500,MATCH(1,INDEX(('Lot Balance'!$A$5:$A$500=$F1482)*('Lot Balance'!$K$5:$K$500&lt;$AK1482)*('Lot Balance'!$K$5:$K$500+'Lot Balance'!$D$5:$D$500&gt;=$AK1482),0),0)),""))</f>
        <v>ZIM511139904-3</v>
      </c>
      <c r="AM1482" s="66" t="str" cm="1">
        <f t="array" ref="AM1482">IF($F1482="","",IFERROR(INDEX('Lot Balance'!$B$5:$B$500,MATCH(1,INDEX(('Lot Balance'!$A$5:$A$500=$F1482)*('Lot Balance'!$K$5:$K$500&lt;$AJ1482)*('Lot Balance'!$K$5:$K$500+'Lot Balance'!$D$5:$D$500&gt;=$AJ1482),0),0)),""))</f>
        <v>ZIM511139904-3</v>
      </c>
      <c r="AN1482" s="66" t="str">
        <f>IF($F1482="","",IF($AI1482&lt;&gt;"",IF(COUNTIFS('Lot Balance'!$A$5:$A$500,$F1482,'Lot Balance'!$B$5:$B$500,$AI1482)=0,"⚠ override is not a lot of this item",IF($AI1482=$AL1482,"Override = FEFO","Override - FEFO says "&amp;$AL1482)),IF($AL1482="","⚠ no receipt on file for this item",IF($AM1482&lt;&gt;$AL1482,"FEFO auto - split, also "&amp;$AM1482,"FEFO auto"))))</f>
        <v>FEFO auto</v>
      </c>
      <c r="AO1482" s="114"/>
    </row>
    <row r="1483" spans="1:41" x14ac:dyDescent="0.35">
      <c r="A1483" s="74">
        <v>46206</v>
      </c>
      <c r="B1483" s="18" t="str">
        <f>IF($C1483="","",IFERROR(INDEX('Staff Directory'!$A$5:$A$594,MATCH($C1483,'Staff Directory'!$B$5:$B$594,0)),"⚠ unknown staff"))</f>
        <v>PSW-121-A4</v>
      </c>
      <c r="C1483" s="49" t="s">
        <v>1100</v>
      </c>
      <c r="D1483" s="19" t="str">
        <f>IF($B1483="","",IFERROR(INDEX('Staff Directory'!$C$5:$C$594,MATCH($B1483,'Staff Directory'!$A$5:$A$594,0)),""))</f>
        <v>PSW</v>
      </c>
      <c r="E1483" s="19" t="str">
        <f>IF($B1483="","",IFERROR(INDEX('Staff Directory'!$D$5:$D$594,MATCH($B1483,'Staff Directory'!$A$5:$A$594,0)),""))</f>
        <v>A4</v>
      </c>
      <c r="F1483" s="9" t="s">
        <v>115</v>
      </c>
      <c r="G1483" s="18" t="str">
        <f>IF($F1483="","",IFERROR(INDEX(Items!$B$5:$B$597,MATCH($F1483,Items!$A$5:$A$597,0)),"⚠ not in Items"))</f>
        <v>Wipes</v>
      </c>
      <c r="H1483" s="19">
        <f>IF($F1483="","",IFERROR(INDEX(Items!$C$5:$C$597,MATCH($F1483,Items!$A$5:$A$597,0)),""))</f>
        <v>80</v>
      </c>
      <c r="I1483" s="23">
        <f>IF($F1483="","",IFERROR(INDEX(Items!$E$5:$E$597,MATCH($F1483,Items!$A$5:$A$597,0)),""))</f>
        <v>80</v>
      </c>
      <c r="J1483" s="115">
        <f>IF(tblIssues[[#This Row],[Qty Override]]&lt;&gt;"",tblIssues[[#This Row],[Qty Override]],IF(tblIssues[[#This Row],[Standard Issue]]="","",tblIssues[[#This Row],[Standard Issue]]))</f>
        <v>80</v>
      </c>
      <c r="K1483" s="20">
        <f>IF($F1483="","",IFERROR(INDEX(Items!$D$5:$D$597,MATCH($F1483,Items!$A$5:$A$597,0)),""))</f>
        <v>0.1</v>
      </c>
      <c r="L1483" s="21">
        <f t="shared" si="261"/>
        <v>8</v>
      </c>
      <c r="M1483" s="9" t="str">
        <f t="shared" si="259"/>
        <v>LYSL500290</v>
      </c>
      <c r="N1483" s="24">
        <f>IF($A1483="","",WORKDAY($A1483,Settings!$C$9,HolidayDates))</f>
        <v>46216</v>
      </c>
      <c r="O1483" s="24">
        <f>IF($N1483="","",WORKDAY($N1483,Settings!$C$10,HolidayDates))</f>
        <v>46254</v>
      </c>
      <c r="P1483" s="10" t="s">
        <v>501</v>
      </c>
      <c r="Q1483" s="52" t="str">
        <f t="shared" si="251"/>
        <v>Collected</v>
      </c>
      <c r="R1483" s="55" t="str">
        <f t="shared" si="252"/>
        <v>2026-07</v>
      </c>
      <c r="S1483" s="55">
        <f>IF(OR($B1483="",$F1483="",$R1483=""),"",SUMIFS(tblIssues[Qty Issued],tblIssues[Staff ID],$B1483,tblIssues[Item Name],$F1483,tblIssues[Month],$R1483))</f>
        <v>80</v>
      </c>
      <c r="T1483" s="56">
        <f>IF($I1483="","",$I1483*Settings!$C$11)</f>
        <v>80</v>
      </c>
      <c r="U1483" s="57" t="str">
        <f t="shared" si="260"/>
        <v>OK</v>
      </c>
      <c r="V1483" s="55" t="str">
        <f t="shared" si="253"/>
        <v/>
      </c>
      <c r="W1483" s="55" t="str">
        <f>IF($V1483="","",IF(COUNTIF($V$5:$V1483,$V1483)=1,1,""))</f>
        <v/>
      </c>
      <c r="X1483" s="58" t="str">
        <f>IF($W1483="","",MAX($X$4:X1482)+1)</f>
        <v/>
      </c>
      <c r="Y1483" s="62"/>
      <c r="Z1483" s="62"/>
      <c r="AA1483" s="64" t="str">
        <f>IF($C1483="","",IFERROR(INDEX('Staff Directory'!$E$5:$E$594,MATCH($C1483,'Staff Directory'!$B$5:$B$594,0)),""))</f>
        <v>firstname184.lastname184@example.com</v>
      </c>
      <c r="AB1483" s="64" t="str">
        <f>IF($C1483="","",IF(ISNUMBER(SEARCH($D1483,Settings!$C$15)),"Pickup","Dispatch"))</f>
        <v>Pickup</v>
      </c>
      <c r="AC1483" s="64" t="str">
        <f t="shared" si="254"/>
        <v>Supply order ready for pickup</v>
      </c>
      <c r="AD1483" s="64" t="str">
        <f t="shared" si="256"/>
        <v>Dear PSW,
Your order is ready for pickup from Sample Branch, Wed-Fri 9am-4pm.</v>
      </c>
      <c r="AE1483" s="64" t="str">
        <f t="shared" si="257"/>
        <v>mailto:firstname184.lastname184@example.com?subject=Supply%20order%20ready%20for%20pickup&amp;body=Dear%20PSW%2C%0A%0AYour%20order%20is%20ready%20for%20pickup%20from%20Sample%20Branch%2C%20Wed-Fri%209am-4pm.</v>
      </c>
      <c r="AF1483" s="89" t="str">
        <f t="shared" si="255"/>
        <v>Draft email</v>
      </c>
      <c r="AG1483" s="64" t="str">
        <f>IF($C1483="","",IFERROR(INDEX('Staff Directory'!$K$595:$K$599,MATCH($C1483,'Staff Directory'!$B$5:$B$599,0)),$D1483))</f>
        <v>PSW</v>
      </c>
      <c r="AH1483" t="str">
        <f>IF($C1483="","",IFERROR(INDEX('Staff Directory'!$I$595:$I$599,MATCH($C1483,'Staff Directory'!$B$5:$B$599,0))&amp;" "&amp;INDEX('Staff Directory'!$J$595:$J$599,MATCH($C1483,'Staff Directory'!$B$5:$B$599,0)),$AG1483))</f>
        <v>PSW</v>
      </c>
      <c r="AI1483" s="102"/>
      <c r="AJ1483" s="101">
        <f>IF($F1483="","",SUMIFS($J$5:$J1483,$F$5:$F1483,$F1483))</f>
        <v>20480</v>
      </c>
      <c r="AK1483" s="101">
        <f t="shared" si="258"/>
        <v>20401</v>
      </c>
      <c r="AL1483" s="66" t="str" cm="1">
        <f t="array" ref="AL1483">IF($F1483="","",IFERROR(INDEX('Lot Balance'!$B$5:$B$500,MATCH(1,INDEX(('Lot Balance'!$A$5:$A$500=$F1483)*('Lot Balance'!$K$5:$K$500&lt;$AK1483)*('Lot Balance'!$K$5:$K$500+'Lot Balance'!$D$5:$D$500&gt;=$AK1483),0),0)),""))</f>
        <v>LYSL500290</v>
      </c>
      <c r="AM1483" s="66" t="str" cm="1">
        <f t="array" ref="AM1483">IF($F1483="","",IFERROR(INDEX('Lot Balance'!$B$5:$B$500,MATCH(1,INDEX(('Lot Balance'!$A$5:$A$500=$F1483)*('Lot Balance'!$K$5:$K$500&lt;$AJ1483)*('Lot Balance'!$K$5:$K$500+'Lot Balance'!$D$5:$D$500&gt;=$AJ1483),0),0)),""))</f>
        <v>LYSL500290</v>
      </c>
      <c r="AN1483" s="66" t="str">
        <f>IF($F1483="","",IF($AI1483&lt;&gt;"",IF(COUNTIFS('Lot Balance'!$A$5:$A$500,$F1483,'Lot Balance'!$B$5:$B$500,$AI1483)=0,"⚠ override is not a lot of this item",IF($AI1483=$AL1483,"Override = FEFO","Override - FEFO says "&amp;$AL1483)),IF($AL1483="","⚠ no receipt on file for this item",IF($AM1483&lt;&gt;$AL1483,"FEFO auto - split, also "&amp;$AM1483,"FEFO auto"))))</f>
        <v>FEFO auto</v>
      </c>
      <c r="AO1483" s="114"/>
    </row>
    <row r="1484" spans="1:41" x14ac:dyDescent="0.35">
      <c r="A1484" s="74">
        <v>46206</v>
      </c>
      <c r="B1484" s="18" t="str">
        <f>IF($C1484="","",IFERROR(INDEX('Staff Directory'!$A$5:$A$594,MATCH($C1484,'Staff Directory'!$B$5:$B$594,0)),"⚠ unknown staff"))</f>
        <v>PSW-121-A4</v>
      </c>
      <c r="C1484" s="49" t="s">
        <v>1100</v>
      </c>
      <c r="D1484" s="19" t="str">
        <f>IF($B1484="","",IFERROR(INDEX('Staff Directory'!$C$5:$C$594,MATCH($B1484,'Staff Directory'!$A$5:$A$594,0)),""))</f>
        <v>PSW</v>
      </c>
      <c r="E1484" s="19" t="str">
        <f>IF($B1484="","",IFERROR(INDEX('Staff Directory'!$D$5:$D$594,MATCH($B1484,'Staff Directory'!$A$5:$A$594,0)),""))</f>
        <v>A4</v>
      </c>
      <c r="F1484" s="9" t="s">
        <v>147</v>
      </c>
      <c r="G1484" s="18" t="str">
        <f>IF($F1484="","",IFERROR(INDEX(Items!$B$5:$B$597,MATCH($F1484,Items!$A$5:$A$597,0)),"⚠ not in Items"))</f>
        <v>Apparel</v>
      </c>
      <c r="H1484" s="19" t="str">
        <f>IF($F1484="","",IFERROR(INDEX(Items!$C$5:$C$597,MATCH($F1484,Items!$A$5:$A$597,0)),""))</f>
        <v>One Size</v>
      </c>
      <c r="I1484" s="23">
        <f>IF($F1484="","",IFERROR(INDEX(Items!$E$5:$E$597,MATCH($F1484,Items!$A$5:$A$597,0)),""))</f>
        <v>5</v>
      </c>
      <c r="J1484" s="115">
        <f>IF(tblIssues[[#This Row],[Qty Override]]&lt;&gt;"",tblIssues[[#This Row],[Qty Override]],IF(tblIssues[[#This Row],[Standard Issue]]="","",tblIssues[[#This Row],[Standard Issue]]))</f>
        <v>5</v>
      </c>
      <c r="K1484" s="20">
        <f>IF($F1484="","",IFERROR(INDEX(Items!$D$5:$D$597,MATCH($F1484,Items!$A$5:$A$597,0)),""))</f>
        <v>3</v>
      </c>
      <c r="L1484" s="21">
        <f t="shared" si="261"/>
        <v>15</v>
      </c>
      <c r="M1484" s="9" t="str">
        <f t="shared" si="259"/>
        <v>YG500280</v>
      </c>
      <c r="N1484" s="24">
        <f>IF($A1484="","",WORKDAY($A1484,Settings!$C$9,HolidayDates))</f>
        <v>46216</v>
      </c>
      <c r="O1484" s="24">
        <f>IF($N1484="","",WORKDAY($N1484,Settings!$C$10,HolidayDates))</f>
        <v>46254</v>
      </c>
      <c r="P1484" s="10" t="s">
        <v>501</v>
      </c>
      <c r="Q1484" s="52" t="str">
        <f t="shared" si="251"/>
        <v>Collected</v>
      </c>
      <c r="R1484" s="55" t="str">
        <f t="shared" si="252"/>
        <v>2026-07</v>
      </c>
      <c r="S1484" s="55">
        <f>IF(OR($B1484="",$F1484="",$R1484=""),"",SUMIFS(tblIssues[Qty Issued],tblIssues[Staff ID],$B1484,tblIssues[Item Name],$F1484,tblIssues[Month],$R1484))</f>
        <v>5</v>
      </c>
      <c r="T1484" s="56">
        <f>IF($I1484="","",$I1484*Settings!$C$11)</f>
        <v>5</v>
      </c>
      <c r="U1484" s="57" t="str">
        <f t="shared" si="260"/>
        <v>OK</v>
      </c>
      <c r="V1484" s="55" t="str">
        <f t="shared" si="253"/>
        <v/>
      </c>
      <c r="W1484" s="55" t="str">
        <f>IF($V1484="","",IF(COUNTIF($V$5:$V1484,$V1484)=1,1,""))</f>
        <v/>
      </c>
      <c r="X1484" s="58" t="str">
        <f>IF($W1484="","",MAX($X$4:X1483)+1)</f>
        <v/>
      </c>
      <c r="Y1484" s="62"/>
      <c r="Z1484" s="62"/>
      <c r="AA1484" s="64" t="str">
        <f>IF($C1484="","",IFERROR(INDEX('Staff Directory'!$E$5:$E$594,MATCH($C1484,'Staff Directory'!$B$5:$B$594,0)),""))</f>
        <v>firstname184.lastname184@example.com</v>
      </c>
      <c r="AB1484" s="64" t="str">
        <f>IF($C1484="","",IF(ISNUMBER(SEARCH($D1484,Settings!$C$15)),"Pickup","Dispatch"))</f>
        <v>Pickup</v>
      </c>
      <c r="AC1484" s="64" t="str">
        <f t="shared" si="254"/>
        <v>Supply order ready for pickup</v>
      </c>
      <c r="AD1484" s="64" t="str">
        <f t="shared" si="256"/>
        <v>Dear PSW,
Your order is ready for pickup from Sample Branch, Wed-Fri 9am-4pm.</v>
      </c>
      <c r="AE1484" s="64" t="str">
        <f t="shared" si="257"/>
        <v>mailto:firstname184.lastname184@example.com?subject=Supply%20order%20ready%20for%20pickup&amp;body=Dear%20PSW%2C%0A%0AYour%20order%20is%20ready%20for%20pickup%20from%20Sample%20Branch%2C%20Wed-Fri%209am-4pm.</v>
      </c>
      <c r="AF1484" s="89" t="str">
        <f t="shared" si="255"/>
        <v>Draft email</v>
      </c>
      <c r="AG1484" s="64" t="str">
        <f>IF($C1484="","",IFERROR(INDEX('Staff Directory'!$K$595:$K$599,MATCH($C1484,'Staff Directory'!$B$5:$B$599,0)),$D1484))</f>
        <v>PSW</v>
      </c>
      <c r="AH1484" t="str">
        <f>IF($C1484="","",IFERROR(INDEX('Staff Directory'!$I$595:$I$599,MATCH($C1484,'Staff Directory'!$B$5:$B$599,0))&amp;" "&amp;INDEX('Staff Directory'!$J$595:$J$599,MATCH($C1484,'Staff Directory'!$B$5:$B$599,0)),$AG1484))</f>
        <v>PSW</v>
      </c>
      <c r="AI1484" s="102"/>
      <c r="AJ1484" s="101">
        <f>IF($F1484="","",SUMIFS($J$5:$J1484,$F$5:$F1484,$F1484))</f>
        <v>170</v>
      </c>
      <c r="AK1484" s="101">
        <f t="shared" si="258"/>
        <v>166</v>
      </c>
      <c r="AL1484" s="66" t="str" cm="1">
        <f t="array" ref="AL1484">IF($F1484="","",IFERROR(INDEX('Lot Balance'!$B$5:$B$500,MATCH(1,INDEX(('Lot Balance'!$A$5:$A$500=$F1484)*('Lot Balance'!$K$5:$K$500&lt;$AK1484)*('Lot Balance'!$K$5:$K$500+'Lot Balance'!$D$5:$D$500&gt;=$AK1484),0),0)),""))</f>
        <v>YG500280</v>
      </c>
      <c r="AM1484" s="66" t="str" cm="1">
        <f t="array" ref="AM1484">IF($F1484="","",IFERROR(INDEX('Lot Balance'!$B$5:$B$500,MATCH(1,INDEX(('Lot Balance'!$A$5:$A$500=$F1484)*('Lot Balance'!$K$5:$K$500&lt;$AJ1484)*('Lot Balance'!$K$5:$K$500+'Lot Balance'!$D$5:$D$500&gt;=$AJ1484),0),0)),""))</f>
        <v>YG500280</v>
      </c>
      <c r="AN1484" s="66" t="str">
        <f>IF($F1484="","",IF($AI1484&lt;&gt;"",IF(COUNTIFS('Lot Balance'!$A$5:$A$500,$F1484,'Lot Balance'!$B$5:$B$500,$AI1484)=0,"⚠ override is not a lot of this item",IF($AI1484=$AL1484,"Override = FEFO","Override - FEFO says "&amp;$AL1484)),IF($AL1484="","⚠ no receipt on file for this item",IF($AM1484&lt;&gt;$AL1484,"FEFO auto - split, also "&amp;$AM1484,"FEFO auto"))))</f>
        <v>FEFO auto</v>
      </c>
      <c r="AO1484" s="114"/>
    </row>
    <row r="1485" spans="1:41" x14ac:dyDescent="0.35">
      <c r="A1485" s="74">
        <v>46206</v>
      </c>
      <c r="B1485" s="18" t="str">
        <f>IF($C1485="","",IFERROR(INDEX('Staff Directory'!$A$5:$A$594,MATCH($C1485,'Staff Directory'!$B$5:$B$594,0)),"⚠ unknown staff"))</f>
        <v>PSW-121-A4</v>
      </c>
      <c r="C1485" s="49" t="s">
        <v>1100</v>
      </c>
      <c r="D1485" s="19" t="str">
        <f>IF($B1485="","",IFERROR(INDEX('Staff Directory'!$C$5:$C$594,MATCH($B1485,'Staff Directory'!$A$5:$A$594,0)),""))</f>
        <v>PSW</v>
      </c>
      <c r="E1485" s="19" t="str">
        <f>IF($B1485="","",IFERROR(INDEX('Staff Directory'!$D$5:$D$594,MATCH($B1485,'Staff Directory'!$A$5:$A$594,0)),""))</f>
        <v>A4</v>
      </c>
      <c r="F1485" s="9" t="s">
        <v>156</v>
      </c>
      <c r="G1485" s="18" t="str">
        <f>IF($F1485="","",IFERROR(INDEX(Items!$B$5:$B$597,MATCH($F1485,Items!$A$5:$A$597,0)),"⚠ not in Items"))</f>
        <v>Masks</v>
      </c>
      <c r="H1485" s="19" t="str">
        <f>IF($F1485="","",IFERROR(INDEX(Items!$C$5:$C$597,MATCH($F1485,Items!$A$5:$A$597,0)),""))</f>
        <v>One Size</v>
      </c>
      <c r="I1485" s="23">
        <f>IF($F1485="","",IFERROR(INDEX(Items!$E$5:$E$597,MATCH($F1485,Items!$A$5:$A$597,0)),""))</f>
        <v>50</v>
      </c>
      <c r="J1485" s="115">
        <f>IF(tblIssues[[#This Row],[Qty Override]]&lt;&gt;"",tblIssues[[#This Row],[Qty Override]],IF(tblIssues[[#This Row],[Standard Issue]]="","",tblIssues[[#This Row],[Standard Issue]]))</f>
        <v>50</v>
      </c>
      <c r="K1485" s="20">
        <f>IF($F1485="","",IFERROR(INDEX(Items!$D$5:$D$597,MATCH($F1485,Items!$A$5:$A$597,0)),""))</f>
        <v>0.25</v>
      </c>
      <c r="L1485" s="21">
        <f t="shared" si="261"/>
        <v>12.5</v>
      </c>
      <c r="M1485" s="9" t="str">
        <f t="shared" si="259"/>
        <v>24HA2050A7396</v>
      </c>
      <c r="N1485" s="24">
        <f>IF($A1485="","",WORKDAY($A1485,Settings!$C$9,HolidayDates))</f>
        <v>46216</v>
      </c>
      <c r="O1485" s="24">
        <f>IF($N1485="","",WORKDAY($N1485,Settings!$C$10,HolidayDates))</f>
        <v>46254</v>
      </c>
      <c r="P1485" s="10" t="s">
        <v>501</v>
      </c>
      <c r="Q1485" s="52" t="str">
        <f t="shared" si="251"/>
        <v>Collected</v>
      </c>
      <c r="R1485" s="55" t="str">
        <f t="shared" si="252"/>
        <v>2026-07</v>
      </c>
      <c r="S1485" s="55">
        <f>IF(OR($B1485="",$F1485="",$R1485=""),"",SUMIFS(tblIssues[Qty Issued],tblIssues[Staff ID],$B1485,tblIssues[Item Name],$F1485,tblIssues[Month],$R1485))</f>
        <v>50</v>
      </c>
      <c r="T1485" s="56">
        <f>IF($I1485="","",$I1485*Settings!$C$11)</f>
        <v>50</v>
      </c>
      <c r="U1485" s="57" t="str">
        <f t="shared" si="260"/>
        <v>OK</v>
      </c>
      <c r="V1485" s="55" t="str">
        <f t="shared" si="253"/>
        <v/>
      </c>
      <c r="W1485" s="55" t="str">
        <f>IF($V1485="","",IF(COUNTIF($V$5:$V1485,$V1485)=1,1,""))</f>
        <v/>
      </c>
      <c r="X1485" s="58" t="str">
        <f>IF($W1485="","",MAX($X$4:X1484)+1)</f>
        <v/>
      </c>
      <c r="Y1485" s="62"/>
      <c r="Z1485" s="62"/>
      <c r="AA1485" s="64" t="str">
        <f>IF($C1485="","",IFERROR(INDEX('Staff Directory'!$E$5:$E$594,MATCH($C1485,'Staff Directory'!$B$5:$B$594,0)),""))</f>
        <v>firstname184.lastname184@example.com</v>
      </c>
      <c r="AB1485" s="64" t="str">
        <f>IF($C1485="","",IF(ISNUMBER(SEARCH($D1485,Settings!$C$15)),"Pickup","Dispatch"))</f>
        <v>Pickup</v>
      </c>
      <c r="AC1485" s="64" t="str">
        <f t="shared" si="254"/>
        <v>Supply order ready for pickup</v>
      </c>
      <c r="AD1485" s="64" t="str">
        <f t="shared" si="256"/>
        <v>Dear PSW,
Your order is ready for pickup from Sample Branch, Wed-Fri 9am-4pm.</v>
      </c>
      <c r="AE1485" s="64" t="str">
        <f t="shared" si="257"/>
        <v>mailto:firstname184.lastname184@example.com?subject=Supply%20order%20ready%20for%20pickup&amp;body=Dear%20PSW%2C%0A%0AYour%20order%20is%20ready%20for%20pickup%20from%20Sample%20Branch%2C%20Wed-Fri%209am-4pm.</v>
      </c>
      <c r="AF1485" s="89" t="str">
        <f t="shared" si="255"/>
        <v>Draft email</v>
      </c>
      <c r="AG1485" s="64" t="str">
        <f>IF($C1485="","",IFERROR(INDEX('Staff Directory'!$K$595:$K$599,MATCH($C1485,'Staff Directory'!$B$5:$B$599,0)),$D1485))</f>
        <v>PSW</v>
      </c>
      <c r="AH1485" t="str">
        <f>IF($C1485="","",IFERROR(INDEX('Staff Directory'!$I$595:$I$599,MATCH($C1485,'Staff Directory'!$B$5:$B$599,0))&amp;" "&amp;INDEX('Staff Directory'!$J$595:$J$599,MATCH($C1485,'Staff Directory'!$B$5:$B$599,0)),$AG1485))</f>
        <v>PSW</v>
      </c>
      <c r="AI1485" s="102"/>
      <c r="AJ1485" s="101">
        <f>IF($F1485="","",SUMIFS($J$5:$J1485,$F$5:$F1485,$F1485))</f>
        <v>12950</v>
      </c>
      <c r="AK1485" s="101">
        <f t="shared" si="258"/>
        <v>12901</v>
      </c>
      <c r="AL1485" s="66" t="str" cm="1">
        <f t="array" ref="AL1485">IF($F1485="","",IFERROR(INDEX('Lot Balance'!$B$5:$B$500,MATCH(1,INDEX(('Lot Balance'!$A$5:$A$500=$F1485)*('Lot Balance'!$K$5:$K$500&lt;$AK1485)*('Lot Balance'!$K$5:$K$500+'Lot Balance'!$D$5:$D$500&gt;=$AK1485),0),0)),""))</f>
        <v>24HA2050A7396</v>
      </c>
      <c r="AM1485" s="66" t="str" cm="1">
        <f t="array" ref="AM1485">IF($F1485="","",IFERROR(INDEX('Lot Balance'!$B$5:$B$500,MATCH(1,INDEX(('Lot Balance'!$A$5:$A$500=$F1485)*('Lot Balance'!$K$5:$K$500&lt;$AJ1485)*('Lot Balance'!$K$5:$K$500+'Lot Balance'!$D$5:$D$500&gt;=$AJ1485),0),0)),""))</f>
        <v>24HA2050A7396</v>
      </c>
      <c r="AN1485" s="66" t="str">
        <f>IF($F1485="","",IF($AI1485&lt;&gt;"",IF(COUNTIFS('Lot Balance'!$A$5:$A$500,$F1485,'Lot Balance'!$B$5:$B$500,$AI1485)=0,"⚠ override is not a lot of this item",IF($AI1485=$AL1485,"Override = FEFO","Override - FEFO says "&amp;$AL1485)),IF($AL1485="","⚠ no receipt on file for this item",IF($AM1485&lt;&gt;$AL1485,"FEFO auto - split, also "&amp;$AM1485,"FEFO auto"))))</f>
        <v>FEFO auto</v>
      </c>
      <c r="AO1485" s="114"/>
    </row>
    <row r="1486" spans="1:41" x14ac:dyDescent="0.35">
      <c r="A1486" s="74">
        <v>46206</v>
      </c>
      <c r="B1486" s="18" t="str">
        <f>IF($C1486="","",IFERROR(INDEX('Staff Directory'!$A$5:$A$594,MATCH($C1486,'Staff Directory'!$B$5:$B$594,0)),"⚠ unknown staff"))</f>
        <v>PSW-161-A6</v>
      </c>
      <c r="C1486" s="49" t="s">
        <v>1140</v>
      </c>
      <c r="D1486" s="19" t="str">
        <f>IF($B1486="","",IFERROR(INDEX('Staff Directory'!$C$5:$C$594,MATCH($B1486,'Staff Directory'!$A$5:$A$594,0)),""))</f>
        <v>PSW</v>
      </c>
      <c r="E1486" s="19" t="str">
        <f>IF($B1486="","",IFERROR(INDEX('Staff Directory'!$D$5:$D$594,MATCH($B1486,'Staff Directory'!$A$5:$A$594,0)),""))</f>
        <v>A6</v>
      </c>
      <c r="F1486" s="9" t="s">
        <v>127</v>
      </c>
      <c r="G1486" s="18" t="str">
        <f>IF($F1486="","",IFERROR(INDEX(Items!$B$5:$B$597,MATCH($F1486,Items!$A$5:$A$597,0)),"⚠ not in Items"))</f>
        <v>Gloves</v>
      </c>
      <c r="H1486" s="19" t="str">
        <f>IF($F1486="","",IFERROR(INDEX(Items!$C$5:$C$597,MATCH($F1486,Items!$A$5:$A$597,0)),""))</f>
        <v>Medium</v>
      </c>
      <c r="I1486" s="23">
        <f>IF($F1486="","",IFERROR(INDEX(Items!$E$5:$E$597,MATCH($F1486,Items!$A$5:$A$597,0)),""))</f>
        <v>500</v>
      </c>
      <c r="J1486" s="115">
        <f>IF(tblIssues[[#This Row],[Qty Override]]&lt;&gt;"",tblIssues[[#This Row],[Qty Override]],IF(tblIssues[[#This Row],[Standard Issue]]="","",tblIssues[[#This Row],[Standard Issue]]))</f>
        <v>500</v>
      </c>
      <c r="K1486" s="20">
        <f>IF($F1486="","",IFERROR(INDEX(Items!$D$5:$D$597,MATCH($F1486,Items!$A$5:$A$597,0)),""))</f>
        <v>5.5E-2</v>
      </c>
      <c r="L1486" s="21">
        <f t="shared" si="261"/>
        <v>27.5</v>
      </c>
      <c r="M1486" s="9" t="str">
        <f t="shared" si="259"/>
        <v>ZIM510137962-2</v>
      </c>
      <c r="N1486" s="24">
        <f>IF($A1486="","",WORKDAY($A1486,Settings!$C$9,HolidayDates))</f>
        <v>46216</v>
      </c>
      <c r="O1486" s="24">
        <f>IF($N1486="","",WORKDAY($N1486,Settings!$C$10,HolidayDates))</f>
        <v>46254</v>
      </c>
      <c r="P1486" s="10" t="s">
        <v>501</v>
      </c>
      <c r="Q1486" s="52" t="str">
        <f t="shared" ref="Q1486:Q1549" si="262">IF($A1486="","",IF($P1486&lt;&gt;"","Collected","Pending"))</f>
        <v>Collected</v>
      </c>
      <c r="R1486" s="55" t="str">
        <f t="shared" ref="R1486:R1549" si="263">IF($A1486="","",TEXT($A1486,"yyyy-mm"))</f>
        <v>2026-07</v>
      </c>
      <c r="S1486" s="55">
        <f>IF(OR($B1486="",$F1486="",$R1486=""),"",SUMIFS(tblIssues[Qty Issued],tblIssues[Staff ID],$B1486,tblIssues[Item Name],$F1486,tblIssues[Month],$R1486))</f>
        <v>500</v>
      </c>
      <c r="T1486" s="56">
        <f>IF($I1486="","",$I1486*Settings!$C$11)</f>
        <v>500</v>
      </c>
      <c r="U1486" s="57" t="str">
        <f t="shared" si="260"/>
        <v>OK</v>
      </c>
      <c r="V1486" s="55" t="str">
        <f t="shared" ref="V1486:V1549" si="264">IF($U1486="⚠ OVER QUOTA",$B1486&amp;" | "&amp;$F1486&amp;" | "&amp;$R1486,"")</f>
        <v/>
      </c>
      <c r="W1486" s="55" t="str">
        <f>IF($V1486="","",IF(COUNTIF($V$5:$V1486,$V1486)=1,1,""))</f>
        <v/>
      </c>
      <c r="X1486" s="58" t="str">
        <f>IF($W1486="","",MAX($X$4:X1485)+1)</f>
        <v/>
      </c>
      <c r="Y1486" s="62"/>
      <c r="Z1486" s="62"/>
      <c r="AA1486" s="64" t="str">
        <f>IF($C1486="","",IFERROR(INDEX('Staff Directory'!$E$5:$E$594,MATCH($C1486,'Staff Directory'!$B$5:$B$594,0)),""))</f>
        <v>firstname224.lastname224@example.com</v>
      </c>
      <c r="AB1486" s="64" t="str">
        <f>IF($C1486="","",IF(ISNUMBER(SEARCH($D1486,Settings!$C$15)),"Pickup","Dispatch"))</f>
        <v>Pickup</v>
      </c>
      <c r="AC1486" s="64" t="str">
        <f t="shared" ref="AC1486:AC1549" si="265">IF($AB1486="Pickup","Supply order ready for pickup",IF($AB1486="Dispatch","Supply order dispatched",""))</f>
        <v>Supply order ready for pickup</v>
      </c>
      <c r="AD1486" s="64" t="str">
        <f t="shared" si="256"/>
        <v>Dear PSW,
Your order is ready for pickup from Sample Branch, Wed-Fri 9am-4pm.</v>
      </c>
      <c r="AE1486" s="64" t="str">
        <f t="shared" si="257"/>
        <v>mailto:firstname224.lastname224@example.com?subject=Supply%20order%20ready%20for%20pickup&amp;body=Dear%20PSW%2C%0A%0AYour%20order%20is%20ready%20for%20pickup%20from%20Sample%20Branch%2C%20Wed-Fri%209am-4pm.</v>
      </c>
      <c r="AF1486" s="89" t="str">
        <f t="shared" ref="AF1486:AF1549" si="266">IF(AE1486="","",HYPERLINK(AE1486,"Draft email"))</f>
        <v>Draft email</v>
      </c>
      <c r="AG1486" s="64" t="str">
        <f>IF($C1486="","",IFERROR(INDEX('Staff Directory'!$K$595:$K$599,MATCH($C1486,'Staff Directory'!$B$5:$B$599,0)),$D1486))</f>
        <v>PSW</v>
      </c>
      <c r="AH1486" t="str">
        <f>IF($C1486="","",IFERROR(INDEX('Staff Directory'!$I$595:$I$599,MATCH($C1486,'Staff Directory'!$B$5:$B$599,0))&amp;" "&amp;INDEX('Staff Directory'!$J$595:$J$599,MATCH($C1486,'Staff Directory'!$B$5:$B$599,0)),$AG1486))</f>
        <v>PSW</v>
      </c>
      <c r="AI1486" s="102"/>
      <c r="AJ1486" s="101">
        <f>IF($F1486="","",SUMIFS($J$5:$J1486,$F$5:$F1486,$F1486))</f>
        <v>91000</v>
      </c>
      <c r="AK1486" s="101">
        <f t="shared" si="258"/>
        <v>90501</v>
      </c>
      <c r="AL1486" s="66" t="str" cm="1">
        <f t="array" ref="AL1486">IF($F1486="","",IFERROR(INDEX('Lot Balance'!$B$5:$B$500,MATCH(1,INDEX(('Lot Balance'!$A$5:$A$500=$F1486)*('Lot Balance'!$K$5:$K$500&lt;$AK1486)*('Lot Balance'!$K$5:$K$500+'Lot Balance'!$D$5:$D$500&gt;=$AK1486),0),0)),""))</f>
        <v>ZIM510137962-2</v>
      </c>
      <c r="AM1486" s="66" t="str" cm="1">
        <f t="array" ref="AM1486">IF($F1486="","",IFERROR(INDEX('Lot Balance'!$B$5:$B$500,MATCH(1,INDEX(('Lot Balance'!$A$5:$A$500=$F1486)*('Lot Balance'!$K$5:$K$500&lt;$AJ1486)*('Lot Balance'!$K$5:$K$500+'Lot Balance'!$D$5:$D$500&gt;=$AJ1486),0),0)),""))</f>
        <v>ZIM510137962-2</v>
      </c>
      <c r="AN1486" s="66" t="str">
        <f>IF($F1486="","",IF($AI1486&lt;&gt;"",IF(COUNTIFS('Lot Balance'!$A$5:$A$500,$F1486,'Lot Balance'!$B$5:$B$500,$AI1486)=0,"⚠ override is not a lot of this item",IF($AI1486=$AL1486,"Override = FEFO","Override - FEFO says "&amp;$AL1486)),IF($AL1486="","⚠ no receipt on file for this item",IF($AM1486&lt;&gt;$AL1486,"FEFO auto - split, also "&amp;$AM1486,"FEFO auto"))))</f>
        <v>FEFO auto</v>
      </c>
      <c r="AO1486" s="114"/>
    </row>
    <row r="1487" spans="1:41" x14ac:dyDescent="0.35">
      <c r="A1487" s="74">
        <v>46206</v>
      </c>
      <c r="B1487" s="18" t="str">
        <f>IF($C1487="","",IFERROR(INDEX('Staff Directory'!$A$5:$A$594,MATCH($C1487,'Staff Directory'!$B$5:$B$594,0)),"⚠ unknown staff"))</f>
        <v>PSW-161-A6</v>
      </c>
      <c r="C1487" s="49" t="s">
        <v>1140</v>
      </c>
      <c r="D1487" s="19" t="str">
        <f>IF($B1487="","",IFERROR(INDEX('Staff Directory'!$C$5:$C$594,MATCH($B1487,'Staff Directory'!$A$5:$A$594,0)),""))</f>
        <v>PSW</v>
      </c>
      <c r="E1487" s="19" t="str">
        <f>IF($B1487="","",IFERROR(INDEX('Staff Directory'!$D$5:$D$594,MATCH($B1487,'Staff Directory'!$A$5:$A$594,0)),""))</f>
        <v>A6</v>
      </c>
      <c r="F1487" s="9" t="s">
        <v>115</v>
      </c>
      <c r="G1487" s="18" t="str">
        <f>IF($F1487="","",IFERROR(INDEX(Items!$B$5:$B$597,MATCH($F1487,Items!$A$5:$A$597,0)),"⚠ not in Items"))</f>
        <v>Wipes</v>
      </c>
      <c r="H1487" s="19">
        <f>IF($F1487="","",IFERROR(INDEX(Items!$C$5:$C$597,MATCH($F1487,Items!$A$5:$A$597,0)),""))</f>
        <v>80</v>
      </c>
      <c r="I1487" s="23">
        <f>IF($F1487="","",IFERROR(INDEX(Items!$E$5:$E$597,MATCH($F1487,Items!$A$5:$A$597,0)),""))</f>
        <v>80</v>
      </c>
      <c r="J1487" s="115">
        <f>IF(tblIssues[[#This Row],[Qty Override]]&lt;&gt;"",tblIssues[[#This Row],[Qty Override]],IF(tblIssues[[#This Row],[Standard Issue]]="","",tblIssues[[#This Row],[Standard Issue]]))</f>
        <v>80</v>
      </c>
      <c r="K1487" s="20">
        <f>IF($F1487="","",IFERROR(INDEX(Items!$D$5:$D$597,MATCH($F1487,Items!$A$5:$A$597,0)),""))</f>
        <v>0.1</v>
      </c>
      <c r="L1487" s="21">
        <f t="shared" si="261"/>
        <v>8</v>
      </c>
      <c r="M1487" s="9" t="str">
        <f t="shared" si="259"/>
        <v>LYSL500290</v>
      </c>
      <c r="N1487" s="24">
        <f>IF($A1487="","",WORKDAY($A1487,Settings!$C$9,HolidayDates))</f>
        <v>46216</v>
      </c>
      <c r="O1487" s="24">
        <f>IF($N1487="","",WORKDAY($N1487,Settings!$C$10,HolidayDates))</f>
        <v>46254</v>
      </c>
      <c r="P1487" s="10" t="s">
        <v>501</v>
      </c>
      <c r="Q1487" s="52" t="str">
        <f t="shared" si="262"/>
        <v>Collected</v>
      </c>
      <c r="R1487" s="55" t="str">
        <f t="shared" si="263"/>
        <v>2026-07</v>
      </c>
      <c r="S1487" s="55">
        <f>IF(OR($B1487="",$F1487="",$R1487=""),"",SUMIFS(tblIssues[Qty Issued],tblIssues[Staff ID],$B1487,tblIssues[Item Name],$F1487,tblIssues[Month],$R1487))</f>
        <v>80</v>
      </c>
      <c r="T1487" s="56">
        <f>IF($I1487="","",$I1487*Settings!$C$11)</f>
        <v>80</v>
      </c>
      <c r="U1487" s="57" t="str">
        <f t="shared" si="260"/>
        <v>OK</v>
      </c>
      <c r="V1487" s="55" t="str">
        <f t="shared" si="264"/>
        <v/>
      </c>
      <c r="W1487" s="55" t="str">
        <f>IF($V1487="","",IF(COUNTIF($V$5:$V1487,$V1487)=1,1,""))</f>
        <v/>
      </c>
      <c r="X1487" s="58" t="str">
        <f>IF($W1487="","",MAX($X$4:X1486)+1)</f>
        <v/>
      </c>
      <c r="Y1487" s="62"/>
      <c r="Z1487" s="62"/>
      <c r="AA1487" s="64" t="str">
        <f>IF($C1487="","",IFERROR(INDEX('Staff Directory'!$E$5:$E$594,MATCH($C1487,'Staff Directory'!$B$5:$B$594,0)),""))</f>
        <v>firstname224.lastname224@example.com</v>
      </c>
      <c r="AB1487" s="64" t="str">
        <f>IF($C1487="","",IF(ISNUMBER(SEARCH($D1487,Settings!$C$15)),"Pickup","Dispatch"))</f>
        <v>Pickup</v>
      </c>
      <c r="AC1487" s="64" t="str">
        <f t="shared" si="265"/>
        <v>Supply order ready for pickup</v>
      </c>
      <c r="AD1487" s="64" t="str">
        <f t="shared" si="256"/>
        <v>Dear PSW,
Your order is ready for pickup from Sample Branch, Wed-Fri 9am-4pm.</v>
      </c>
      <c r="AE1487" s="64" t="str">
        <f t="shared" si="257"/>
        <v>mailto:firstname224.lastname224@example.com?subject=Supply%20order%20ready%20for%20pickup&amp;body=Dear%20PSW%2C%0A%0AYour%20order%20is%20ready%20for%20pickup%20from%20Sample%20Branch%2C%20Wed-Fri%209am-4pm.</v>
      </c>
      <c r="AF1487" s="89" t="str">
        <f t="shared" si="266"/>
        <v>Draft email</v>
      </c>
      <c r="AG1487" s="64" t="str">
        <f>IF($C1487="","",IFERROR(INDEX('Staff Directory'!$K$595:$K$599,MATCH($C1487,'Staff Directory'!$B$5:$B$599,0)),$D1487))</f>
        <v>PSW</v>
      </c>
      <c r="AH1487" t="str">
        <f>IF($C1487="","",IFERROR(INDEX('Staff Directory'!$I$595:$I$599,MATCH($C1487,'Staff Directory'!$B$5:$B$599,0))&amp;" "&amp;INDEX('Staff Directory'!$J$595:$J$599,MATCH($C1487,'Staff Directory'!$B$5:$B$599,0)),$AG1487))</f>
        <v>PSW</v>
      </c>
      <c r="AI1487" s="102"/>
      <c r="AJ1487" s="101">
        <f>IF($F1487="","",SUMIFS($J$5:$J1487,$F$5:$F1487,$F1487))</f>
        <v>20560</v>
      </c>
      <c r="AK1487" s="101">
        <f t="shared" si="258"/>
        <v>20481</v>
      </c>
      <c r="AL1487" s="66" t="str" cm="1">
        <f t="array" ref="AL1487">IF($F1487="","",IFERROR(INDEX('Lot Balance'!$B$5:$B$500,MATCH(1,INDEX(('Lot Balance'!$A$5:$A$500=$F1487)*('Lot Balance'!$K$5:$K$500&lt;$AK1487)*('Lot Balance'!$K$5:$K$500+'Lot Balance'!$D$5:$D$500&gt;=$AK1487),0),0)),""))</f>
        <v>LYSL500290</v>
      </c>
      <c r="AM1487" s="66" t="str" cm="1">
        <f t="array" ref="AM1487">IF($F1487="","",IFERROR(INDEX('Lot Balance'!$B$5:$B$500,MATCH(1,INDEX(('Lot Balance'!$A$5:$A$500=$F1487)*('Lot Balance'!$K$5:$K$500&lt;$AJ1487)*('Lot Balance'!$K$5:$K$500+'Lot Balance'!$D$5:$D$500&gt;=$AJ1487),0),0)),""))</f>
        <v>LYSL500290</v>
      </c>
      <c r="AN1487" s="66" t="str">
        <f>IF($F1487="","",IF($AI1487&lt;&gt;"",IF(COUNTIFS('Lot Balance'!$A$5:$A$500,$F1487,'Lot Balance'!$B$5:$B$500,$AI1487)=0,"⚠ override is not a lot of this item",IF($AI1487=$AL1487,"Override = FEFO","Override - FEFO says "&amp;$AL1487)),IF($AL1487="","⚠ no receipt on file for this item",IF($AM1487&lt;&gt;$AL1487,"FEFO auto - split, also "&amp;$AM1487,"FEFO auto"))))</f>
        <v>FEFO auto</v>
      </c>
      <c r="AO1487" s="114"/>
    </row>
    <row r="1488" spans="1:41" x14ac:dyDescent="0.35">
      <c r="A1488" s="74">
        <v>46206</v>
      </c>
      <c r="B1488" s="18" t="str">
        <f>IF($C1488="","",IFERROR(INDEX('Staff Directory'!$A$5:$A$594,MATCH($C1488,'Staff Directory'!$B$5:$B$594,0)),"⚠ unknown staff"))</f>
        <v>PSW-124-A6</v>
      </c>
      <c r="C1488" s="49" t="s">
        <v>1103</v>
      </c>
      <c r="D1488" s="19" t="str">
        <f>IF($B1488="","",IFERROR(INDEX('Staff Directory'!$C$5:$C$594,MATCH($B1488,'Staff Directory'!$A$5:$A$594,0)),""))</f>
        <v>PSW</v>
      </c>
      <c r="E1488" s="19" t="str">
        <f>IF($B1488="","",IFERROR(INDEX('Staff Directory'!$D$5:$D$594,MATCH($B1488,'Staff Directory'!$A$5:$A$594,0)),""))</f>
        <v>A6</v>
      </c>
      <c r="F1488" s="9" t="s">
        <v>124</v>
      </c>
      <c r="G1488" s="18" t="str">
        <f>IF($F1488="","",IFERROR(INDEX(Items!$B$5:$B$597,MATCH($F1488,Items!$A$5:$A$597,0)),"⚠ not in Items"))</f>
        <v>Gloves</v>
      </c>
      <c r="H1488" s="19" t="str">
        <f>IF($F1488="","",IFERROR(INDEX(Items!$C$5:$C$597,MATCH($F1488,Items!$A$5:$A$597,0)),""))</f>
        <v>Large</v>
      </c>
      <c r="I1488" s="23">
        <f>IF($F1488="","",IFERROR(INDEX(Items!$E$5:$E$597,MATCH($F1488,Items!$A$5:$A$597,0)),""))</f>
        <v>500</v>
      </c>
      <c r="J1488" s="115">
        <f>IF(tblIssues[[#This Row],[Qty Override]]&lt;&gt;"",tblIssues[[#This Row],[Qty Override]],IF(tblIssues[[#This Row],[Standard Issue]]="","",tblIssues[[#This Row],[Standard Issue]]))</f>
        <v>500</v>
      </c>
      <c r="K1488" s="20">
        <f>IF($F1488="","",IFERROR(INDEX(Items!$D$5:$D$597,MATCH($F1488,Items!$A$5:$A$597,0)),""))</f>
        <v>5.5E-2</v>
      </c>
      <c r="L1488" s="21">
        <f t="shared" si="261"/>
        <v>27.5</v>
      </c>
      <c r="M1488" s="9" t="str">
        <f t="shared" si="259"/>
        <v>ZIM511139904-3</v>
      </c>
      <c r="N1488" s="24">
        <f>IF($A1488="","",WORKDAY($A1488,Settings!$C$9,HolidayDates))</f>
        <v>46216</v>
      </c>
      <c r="O1488" s="24">
        <f>IF($N1488="","",WORKDAY($N1488,Settings!$C$10,HolidayDates))</f>
        <v>46254</v>
      </c>
      <c r="P1488" s="10" t="s">
        <v>501</v>
      </c>
      <c r="Q1488" s="52" t="str">
        <f t="shared" si="262"/>
        <v>Collected</v>
      </c>
      <c r="R1488" s="55" t="str">
        <f t="shared" si="263"/>
        <v>2026-07</v>
      </c>
      <c r="S1488" s="55">
        <f>IF(OR($B1488="",$F1488="",$R1488=""),"",SUMIFS(tblIssues[Qty Issued],tblIssues[Staff ID],$B1488,tblIssues[Item Name],$F1488,tblIssues[Month],$R1488))</f>
        <v>500</v>
      </c>
      <c r="T1488" s="56">
        <f>IF($I1488="","",$I1488*Settings!$C$11)</f>
        <v>500</v>
      </c>
      <c r="U1488" s="57" t="str">
        <f t="shared" si="260"/>
        <v>OK</v>
      </c>
      <c r="V1488" s="55" t="str">
        <f t="shared" si="264"/>
        <v/>
      </c>
      <c r="W1488" s="55" t="str">
        <f>IF($V1488="","",IF(COUNTIF($V$5:$V1488,$V1488)=1,1,""))</f>
        <v/>
      </c>
      <c r="X1488" s="58" t="str">
        <f>IF($W1488="","",MAX($X$4:X1487)+1)</f>
        <v/>
      </c>
      <c r="Y1488" s="62"/>
      <c r="Z1488" s="62"/>
      <c r="AA1488" s="64" t="str">
        <f>IF($C1488="","",IFERROR(INDEX('Staff Directory'!$E$5:$E$594,MATCH($C1488,'Staff Directory'!$B$5:$B$594,0)),""))</f>
        <v>firstname187.lastname187@example.com</v>
      </c>
      <c r="AB1488" s="64" t="str">
        <f>IF($C1488="","",IF(ISNUMBER(SEARCH($D1488,Settings!$C$15)),"Pickup","Dispatch"))</f>
        <v>Pickup</v>
      </c>
      <c r="AC1488" s="64" t="str">
        <f t="shared" si="265"/>
        <v>Supply order ready for pickup</v>
      </c>
      <c r="AD1488" s="64" t="str">
        <f t="shared" si="256"/>
        <v>Dear PSW,
Your order is ready for pickup from Sample Branch, Wed-Fri 9am-4pm.</v>
      </c>
      <c r="AE1488" s="64" t="str">
        <f t="shared" si="257"/>
        <v>mailto:firstname187.lastname187@example.com?subject=Supply%20order%20ready%20for%20pickup&amp;body=Dear%20PSW%2C%0A%0AYour%20order%20is%20ready%20for%20pickup%20from%20Sample%20Branch%2C%20Wed-Fri%209am-4pm.</v>
      </c>
      <c r="AF1488" s="89" t="str">
        <f t="shared" si="266"/>
        <v>Draft email</v>
      </c>
      <c r="AG1488" s="64" t="str">
        <f>IF($C1488="","",IFERROR(INDEX('Staff Directory'!$K$595:$K$599,MATCH($C1488,'Staff Directory'!$B$5:$B$599,0)),$D1488))</f>
        <v>PSW</v>
      </c>
      <c r="AH1488" t="str">
        <f>IF($C1488="","",IFERROR(INDEX('Staff Directory'!$I$595:$I$599,MATCH($C1488,'Staff Directory'!$B$5:$B$599,0))&amp;" "&amp;INDEX('Staff Directory'!$J$595:$J$599,MATCH($C1488,'Staff Directory'!$B$5:$B$599,0)),$AG1488))</f>
        <v>PSW</v>
      </c>
      <c r="AI1488" s="102"/>
      <c r="AJ1488" s="101">
        <f>IF($F1488="","",SUMIFS($J$5:$J1488,$F$5:$F1488,$F1488))</f>
        <v>41000</v>
      </c>
      <c r="AK1488" s="101">
        <f t="shared" si="258"/>
        <v>40501</v>
      </c>
      <c r="AL1488" s="66" t="str" cm="1">
        <f t="array" ref="AL1488">IF($F1488="","",IFERROR(INDEX('Lot Balance'!$B$5:$B$500,MATCH(1,INDEX(('Lot Balance'!$A$5:$A$500=$F1488)*('Lot Balance'!$K$5:$K$500&lt;$AK1488)*('Lot Balance'!$K$5:$K$500+'Lot Balance'!$D$5:$D$500&gt;=$AK1488),0),0)),""))</f>
        <v>ZIM511139904-3</v>
      </c>
      <c r="AM1488" s="66" t="str" cm="1">
        <f t="array" ref="AM1488">IF($F1488="","",IFERROR(INDEX('Lot Balance'!$B$5:$B$500,MATCH(1,INDEX(('Lot Balance'!$A$5:$A$500=$F1488)*('Lot Balance'!$K$5:$K$500&lt;$AJ1488)*('Lot Balance'!$K$5:$K$500+'Lot Balance'!$D$5:$D$500&gt;=$AJ1488),0),0)),""))</f>
        <v>ZIM511139904-3</v>
      </c>
      <c r="AN1488" s="66" t="str">
        <f>IF($F1488="","",IF($AI1488&lt;&gt;"",IF(COUNTIFS('Lot Balance'!$A$5:$A$500,$F1488,'Lot Balance'!$B$5:$B$500,$AI1488)=0,"⚠ override is not a lot of this item",IF($AI1488=$AL1488,"Override = FEFO","Override - FEFO says "&amp;$AL1488)),IF($AL1488="","⚠ no receipt on file for this item",IF($AM1488&lt;&gt;$AL1488,"FEFO auto - split, also "&amp;$AM1488,"FEFO auto"))))</f>
        <v>FEFO auto</v>
      </c>
      <c r="AO1488" s="114"/>
    </row>
    <row r="1489" spans="1:41" x14ac:dyDescent="0.35">
      <c r="A1489" s="74">
        <v>46206</v>
      </c>
      <c r="B1489" s="18" t="str">
        <f>IF($C1489="","",IFERROR(INDEX('Staff Directory'!$A$5:$A$594,MATCH($C1489,'Staff Directory'!$B$5:$B$594,0)),"⚠ unknown staff"))</f>
        <v>PSW-124-A6</v>
      </c>
      <c r="C1489" s="49" t="s">
        <v>1103</v>
      </c>
      <c r="D1489" s="19" t="str">
        <f>IF($B1489="","",IFERROR(INDEX('Staff Directory'!$C$5:$C$594,MATCH($B1489,'Staff Directory'!$A$5:$A$594,0)),""))</f>
        <v>PSW</v>
      </c>
      <c r="E1489" s="19" t="str">
        <f>IF($B1489="","",IFERROR(INDEX('Staff Directory'!$D$5:$D$594,MATCH($B1489,'Staff Directory'!$A$5:$A$594,0)),""))</f>
        <v>A6</v>
      </c>
      <c r="F1489" s="9" t="s">
        <v>115</v>
      </c>
      <c r="G1489" s="18" t="str">
        <f>IF($F1489="","",IFERROR(INDEX(Items!$B$5:$B$597,MATCH($F1489,Items!$A$5:$A$597,0)),"⚠ not in Items"))</f>
        <v>Wipes</v>
      </c>
      <c r="H1489" s="19">
        <f>IF($F1489="","",IFERROR(INDEX(Items!$C$5:$C$597,MATCH($F1489,Items!$A$5:$A$597,0)),""))</f>
        <v>80</v>
      </c>
      <c r="I1489" s="23">
        <f>IF($F1489="","",IFERROR(INDEX(Items!$E$5:$E$597,MATCH($F1489,Items!$A$5:$A$597,0)),""))</f>
        <v>80</v>
      </c>
      <c r="J1489" s="115">
        <f>IF(tblIssues[[#This Row],[Qty Override]]&lt;&gt;"",tblIssues[[#This Row],[Qty Override]],IF(tblIssues[[#This Row],[Standard Issue]]="","",tblIssues[[#This Row],[Standard Issue]]))</f>
        <v>80</v>
      </c>
      <c r="K1489" s="20">
        <f>IF($F1489="","",IFERROR(INDEX(Items!$D$5:$D$597,MATCH($F1489,Items!$A$5:$A$597,0)),""))</f>
        <v>0.1</v>
      </c>
      <c r="L1489" s="21">
        <f t="shared" si="261"/>
        <v>8</v>
      </c>
      <c r="M1489" s="9" t="str">
        <f t="shared" si="259"/>
        <v>LYSL500290</v>
      </c>
      <c r="N1489" s="24">
        <f>IF($A1489="","",WORKDAY($A1489,Settings!$C$9,HolidayDates))</f>
        <v>46216</v>
      </c>
      <c r="O1489" s="24">
        <f>IF($N1489="","",WORKDAY($N1489,Settings!$C$10,HolidayDates))</f>
        <v>46254</v>
      </c>
      <c r="P1489" s="10" t="s">
        <v>501</v>
      </c>
      <c r="Q1489" s="52" t="str">
        <f t="shared" si="262"/>
        <v>Collected</v>
      </c>
      <c r="R1489" s="55" t="str">
        <f t="shared" si="263"/>
        <v>2026-07</v>
      </c>
      <c r="S1489" s="55">
        <f>IF(OR($B1489="",$F1489="",$R1489=""),"",SUMIFS(tblIssues[Qty Issued],tblIssues[Staff ID],$B1489,tblIssues[Item Name],$F1489,tblIssues[Month],$R1489))</f>
        <v>80</v>
      </c>
      <c r="T1489" s="56">
        <f>IF($I1489="","",$I1489*Settings!$C$11)</f>
        <v>80</v>
      </c>
      <c r="U1489" s="57" t="str">
        <f t="shared" si="260"/>
        <v>OK</v>
      </c>
      <c r="V1489" s="55" t="str">
        <f t="shared" si="264"/>
        <v/>
      </c>
      <c r="W1489" s="55" t="str">
        <f>IF($V1489="","",IF(COUNTIF($V$5:$V1489,$V1489)=1,1,""))</f>
        <v/>
      </c>
      <c r="X1489" s="58" t="str">
        <f>IF($W1489="","",MAX($X$4:X1488)+1)</f>
        <v/>
      </c>
      <c r="Y1489" s="62"/>
      <c r="Z1489" s="62"/>
      <c r="AA1489" s="64" t="str">
        <f>IF($C1489="","",IFERROR(INDEX('Staff Directory'!$E$5:$E$594,MATCH($C1489,'Staff Directory'!$B$5:$B$594,0)),""))</f>
        <v>firstname187.lastname187@example.com</v>
      </c>
      <c r="AB1489" s="64" t="str">
        <f>IF($C1489="","",IF(ISNUMBER(SEARCH($D1489,Settings!$C$15)),"Pickup","Dispatch"))</f>
        <v>Pickup</v>
      </c>
      <c r="AC1489" s="64" t="str">
        <f t="shared" si="265"/>
        <v>Supply order ready for pickup</v>
      </c>
      <c r="AD1489" s="64" t="str">
        <f t="shared" si="256"/>
        <v>Dear PSW,
Your order is ready for pickup from Sample Branch, Wed-Fri 9am-4pm.</v>
      </c>
      <c r="AE1489" s="64" t="str">
        <f t="shared" si="257"/>
        <v>mailto:firstname187.lastname187@example.com?subject=Supply%20order%20ready%20for%20pickup&amp;body=Dear%20PSW%2C%0A%0AYour%20order%20is%20ready%20for%20pickup%20from%20Sample%20Branch%2C%20Wed-Fri%209am-4pm.</v>
      </c>
      <c r="AF1489" s="89" t="str">
        <f t="shared" si="266"/>
        <v>Draft email</v>
      </c>
      <c r="AG1489" s="64" t="str">
        <f>IF($C1489="","",IFERROR(INDEX('Staff Directory'!$K$595:$K$599,MATCH($C1489,'Staff Directory'!$B$5:$B$599,0)),$D1489))</f>
        <v>PSW</v>
      </c>
      <c r="AH1489" t="str">
        <f>IF($C1489="","",IFERROR(INDEX('Staff Directory'!$I$595:$I$599,MATCH($C1489,'Staff Directory'!$B$5:$B$599,0))&amp;" "&amp;INDEX('Staff Directory'!$J$595:$J$599,MATCH($C1489,'Staff Directory'!$B$5:$B$599,0)),$AG1489))</f>
        <v>PSW</v>
      </c>
      <c r="AI1489" s="102"/>
      <c r="AJ1489" s="101">
        <f>IF($F1489="","",SUMIFS($J$5:$J1489,$F$5:$F1489,$F1489))</f>
        <v>20640</v>
      </c>
      <c r="AK1489" s="101">
        <f t="shared" si="258"/>
        <v>20561</v>
      </c>
      <c r="AL1489" s="66" t="str" cm="1">
        <f t="array" ref="AL1489">IF($F1489="","",IFERROR(INDEX('Lot Balance'!$B$5:$B$500,MATCH(1,INDEX(('Lot Balance'!$A$5:$A$500=$F1489)*('Lot Balance'!$K$5:$K$500&lt;$AK1489)*('Lot Balance'!$K$5:$K$500+'Lot Balance'!$D$5:$D$500&gt;=$AK1489),0),0)),""))</f>
        <v>LYSL500290</v>
      </c>
      <c r="AM1489" s="66" t="str" cm="1">
        <f t="array" ref="AM1489">IF($F1489="","",IFERROR(INDEX('Lot Balance'!$B$5:$B$500,MATCH(1,INDEX(('Lot Balance'!$A$5:$A$500=$F1489)*('Lot Balance'!$K$5:$K$500&lt;$AJ1489)*('Lot Balance'!$K$5:$K$500+'Lot Balance'!$D$5:$D$500&gt;=$AJ1489),0),0)),""))</f>
        <v>LYSL500290</v>
      </c>
      <c r="AN1489" s="66" t="str">
        <f>IF($F1489="","",IF($AI1489&lt;&gt;"",IF(COUNTIFS('Lot Balance'!$A$5:$A$500,$F1489,'Lot Balance'!$B$5:$B$500,$AI1489)=0,"⚠ override is not a lot of this item",IF($AI1489=$AL1489,"Override = FEFO","Override - FEFO says "&amp;$AL1489)),IF($AL1489="","⚠ no receipt on file for this item",IF($AM1489&lt;&gt;$AL1489,"FEFO auto - split, also "&amp;$AM1489,"FEFO auto"))))</f>
        <v>FEFO auto</v>
      </c>
      <c r="AO1489" s="114"/>
    </row>
    <row r="1490" spans="1:41" x14ac:dyDescent="0.35">
      <c r="A1490" s="74">
        <v>46206</v>
      </c>
      <c r="B1490" s="18" t="str">
        <f>IF($C1490="","",IFERROR(INDEX('Staff Directory'!$A$5:$A$594,MATCH($C1490,'Staff Directory'!$B$5:$B$594,0)),"⚠ unknown staff"))</f>
        <v>PSW-124-A6</v>
      </c>
      <c r="C1490" s="49" t="s">
        <v>1103</v>
      </c>
      <c r="D1490" s="19" t="str">
        <f>IF($B1490="","",IFERROR(INDEX('Staff Directory'!$C$5:$C$594,MATCH($B1490,'Staff Directory'!$A$5:$A$594,0)),""))</f>
        <v>PSW</v>
      </c>
      <c r="E1490" s="19" t="str">
        <f>IF($B1490="","",IFERROR(INDEX('Staff Directory'!$D$5:$D$594,MATCH($B1490,'Staff Directory'!$A$5:$A$594,0)),""))</f>
        <v>A6</v>
      </c>
      <c r="F1490" s="9" t="s">
        <v>156</v>
      </c>
      <c r="G1490" s="18" t="str">
        <f>IF($F1490="","",IFERROR(INDEX(Items!$B$5:$B$597,MATCH($F1490,Items!$A$5:$A$597,0)),"⚠ not in Items"))</f>
        <v>Masks</v>
      </c>
      <c r="H1490" s="19" t="str">
        <f>IF($F1490="","",IFERROR(INDEX(Items!$C$5:$C$597,MATCH($F1490,Items!$A$5:$A$597,0)),""))</f>
        <v>One Size</v>
      </c>
      <c r="I1490" s="23">
        <f>IF($F1490="","",IFERROR(INDEX(Items!$E$5:$E$597,MATCH($F1490,Items!$A$5:$A$597,0)),""))</f>
        <v>50</v>
      </c>
      <c r="J1490" s="115">
        <f>IF(tblIssues[[#This Row],[Qty Override]]&lt;&gt;"",tblIssues[[#This Row],[Qty Override]],IF(tblIssues[[#This Row],[Standard Issue]]="","",tblIssues[[#This Row],[Standard Issue]]))</f>
        <v>50</v>
      </c>
      <c r="K1490" s="20">
        <f>IF($F1490="","",IFERROR(INDEX(Items!$D$5:$D$597,MATCH($F1490,Items!$A$5:$A$597,0)),""))</f>
        <v>0.25</v>
      </c>
      <c r="L1490" s="21">
        <f t="shared" si="261"/>
        <v>12.5</v>
      </c>
      <c r="M1490" s="9" t="str">
        <f t="shared" si="259"/>
        <v>24HA2050A7396</v>
      </c>
      <c r="N1490" s="24">
        <f>IF($A1490="","",WORKDAY($A1490,Settings!$C$9,HolidayDates))</f>
        <v>46216</v>
      </c>
      <c r="O1490" s="24">
        <f>IF($N1490="","",WORKDAY($N1490,Settings!$C$10,HolidayDates))</f>
        <v>46254</v>
      </c>
      <c r="P1490" s="10" t="s">
        <v>501</v>
      </c>
      <c r="Q1490" s="52" t="str">
        <f t="shared" si="262"/>
        <v>Collected</v>
      </c>
      <c r="R1490" s="55" t="str">
        <f t="shared" si="263"/>
        <v>2026-07</v>
      </c>
      <c r="S1490" s="55">
        <f>IF(OR($B1490="",$F1490="",$R1490=""),"",SUMIFS(tblIssues[Qty Issued],tblIssues[Staff ID],$B1490,tblIssues[Item Name],$F1490,tblIssues[Month],$R1490))</f>
        <v>50</v>
      </c>
      <c r="T1490" s="56">
        <f>IF($I1490="","",$I1490*Settings!$C$11)</f>
        <v>50</v>
      </c>
      <c r="U1490" s="57" t="str">
        <f t="shared" si="260"/>
        <v>OK</v>
      </c>
      <c r="V1490" s="55" t="str">
        <f t="shared" si="264"/>
        <v/>
      </c>
      <c r="W1490" s="55" t="str">
        <f>IF($V1490="","",IF(COUNTIF($V$5:$V1490,$V1490)=1,1,""))</f>
        <v/>
      </c>
      <c r="X1490" s="58" t="str">
        <f>IF($W1490="","",MAX($X$4:X1489)+1)</f>
        <v/>
      </c>
      <c r="Y1490" s="62"/>
      <c r="Z1490" s="62"/>
      <c r="AA1490" s="64" t="str">
        <f>IF($C1490="","",IFERROR(INDEX('Staff Directory'!$E$5:$E$594,MATCH($C1490,'Staff Directory'!$B$5:$B$594,0)),""))</f>
        <v>firstname187.lastname187@example.com</v>
      </c>
      <c r="AB1490" s="64" t="str">
        <f>IF($C1490="","",IF(ISNUMBER(SEARCH($D1490,Settings!$C$15)),"Pickup","Dispatch"))</f>
        <v>Pickup</v>
      </c>
      <c r="AC1490" s="64" t="str">
        <f t="shared" si="265"/>
        <v>Supply order ready for pickup</v>
      </c>
      <c r="AD1490" s="64" t="str">
        <f t="shared" si="256"/>
        <v>Dear PSW,
Your order is ready for pickup from Sample Branch, Wed-Fri 9am-4pm.</v>
      </c>
      <c r="AE1490" s="64" t="str">
        <f t="shared" si="257"/>
        <v>mailto:firstname187.lastname187@example.com?subject=Supply%20order%20ready%20for%20pickup&amp;body=Dear%20PSW%2C%0A%0AYour%20order%20is%20ready%20for%20pickup%20from%20Sample%20Branch%2C%20Wed-Fri%209am-4pm.</v>
      </c>
      <c r="AF1490" s="89" t="str">
        <f t="shared" si="266"/>
        <v>Draft email</v>
      </c>
      <c r="AG1490" s="64" t="str">
        <f>IF($C1490="","",IFERROR(INDEX('Staff Directory'!$K$595:$K$599,MATCH($C1490,'Staff Directory'!$B$5:$B$599,0)),$D1490))</f>
        <v>PSW</v>
      </c>
      <c r="AH1490" t="str">
        <f>IF($C1490="","",IFERROR(INDEX('Staff Directory'!$I$595:$I$599,MATCH($C1490,'Staff Directory'!$B$5:$B$599,0))&amp;" "&amp;INDEX('Staff Directory'!$J$595:$J$599,MATCH($C1490,'Staff Directory'!$B$5:$B$599,0)),$AG1490))</f>
        <v>PSW</v>
      </c>
      <c r="AI1490" s="102"/>
      <c r="AJ1490" s="101">
        <f>IF($F1490="","",SUMIFS($J$5:$J1490,$F$5:$F1490,$F1490))</f>
        <v>13000</v>
      </c>
      <c r="AK1490" s="101">
        <f t="shared" si="258"/>
        <v>12951</v>
      </c>
      <c r="AL1490" s="66" t="str" cm="1">
        <f t="array" ref="AL1490">IF($F1490="","",IFERROR(INDEX('Lot Balance'!$B$5:$B$500,MATCH(1,INDEX(('Lot Balance'!$A$5:$A$500=$F1490)*('Lot Balance'!$K$5:$K$500&lt;$AK1490)*('Lot Balance'!$K$5:$K$500+'Lot Balance'!$D$5:$D$500&gt;=$AK1490),0),0)),""))</f>
        <v>24HA2050A7396</v>
      </c>
      <c r="AM1490" s="66" t="str" cm="1">
        <f t="array" ref="AM1490">IF($F1490="","",IFERROR(INDEX('Lot Balance'!$B$5:$B$500,MATCH(1,INDEX(('Lot Balance'!$A$5:$A$500=$F1490)*('Lot Balance'!$K$5:$K$500&lt;$AJ1490)*('Lot Balance'!$K$5:$K$500+'Lot Balance'!$D$5:$D$500&gt;=$AJ1490),0),0)),""))</f>
        <v>24HA2050A7396</v>
      </c>
      <c r="AN1490" s="66" t="str">
        <f>IF($F1490="","",IF($AI1490&lt;&gt;"",IF(COUNTIFS('Lot Balance'!$A$5:$A$500,$F1490,'Lot Balance'!$B$5:$B$500,$AI1490)=0,"⚠ override is not a lot of this item",IF($AI1490=$AL1490,"Override = FEFO","Override - FEFO says "&amp;$AL1490)),IF($AL1490="","⚠ no receipt on file for this item",IF($AM1490&lt;&gt;$AL1490,"FEFO auto - split, also "&amp;$AM1490,"FEFO auto"))))</f>
        <v>FEFO auto</v>
      </c>
      <c r="AO1490" s="114"/>
    </row>
    <row r="1491" spans="1:41" x14ac:dyDescent="0.35">
      <c r="A1491" s="74">
        <v>46206</v>
      </c>
      <c r="B1491" s="18" t="str">
        <f>IF($C1491="","",IFERROR(INDEX('Staff Directory'!$A$5:$A$594,MATCH($C1491,'Staff Directory'!$B$5:$B$594,0)),"⚠ unknown staff"))</f>
        <v>PSW-124-A6</v>
      </c>
      <c r="C1491" s="49" t="s">
        <v>1103</v>
      </c>
      <c r="D1491" s="19" t="str">
        <f>IF($B1491="","",IFERROR(INDEX('Staff Directory'!$C$5:$C$594,MATCH($B1491,'Staff Directory'!$A$5:$A$594,0)),""))</f>
        <v>PSW</v>
      </c>
      <c r="E1491" s="19" t="str">
        <f>IF($B1491="","",IFERROR(INDEX('Staff Directory'!$D$5:$D$594,MATCH($B1491,'Staff Directory'!$A$5:$A$594,0)),""))</f>
        <v>A6</v>
      </c>
      <c r="F1491" s="9" t="s">
        <v>758</v>
      </c>
      <c r="G1491" s="18" t="str">
        <f>IF($F1491="","",IFERROR(INDEX(Items!$B$5:$B$597,MATCH($F1491,Items!$A$5:$A$597,0)),"⚠ not in Items"))</f>
        <v>Utility</v>
      </c>
      <c r="H1491" s="19" t="str">
        <f>IF($F1491="","",IFERROR(INDEX(Items!$C$5:$C$597,MATCH($F1491,Items!$A$5:$A$597,0)),""))</f>
        <v>Standard</v>
      </c>
      <c r="I1491" s="23">
        <f>IF($F1491="","",IFERROR(INDEX(Items!$E$5:$E$597,MATCH($F1491,Items!$A$5:$A$597,0)),""))</f>
        <v>1</v>
      </c>
      <c r="J1491" s="115">
        <f>IF(tblIssues[[#This Row],[Qty Override]]&lt;&gt;"",tblIssues[[#This Row],[Qty Override]],IF(tblIssues[[#This Row],[Standard Issue]]="","",tblIssues[[#This Row],[Standard Issue]]))</f>
        <v>1</v>
      </c>
      <c r="K1491" s="20">
        <f>IF($F1491="","",IFERROR(INDEX(Items!$D$5:$D$597,MATCH($F1491,Items!$A$5:$A$597,0)),""))</f>
        <v>0</v>
      </c>
      <c r="L1491" s="21">
        <f t="shared" si="261"/>
        <v>0</v>
      </c>
      <c r="M1491" s="9" t="str">
        <f t="shared" si="259"/>
        <v/>
      </c>
      <c r="N1491" s="24">
        <f>IF($A1491="","",WORKDAY($A1491,Settings!$C$9,HolidayDates))</f>
        <v>46216</v>
      </c>
      <c r="O1491" s="24">
        <f>IF($N1491="","",WORKDAY($N1491,Settings!$C$10,HolidayDates))</f>
        <v>46254</v>
      </c>
      <c r="P1491" s="10" t="s">
        <v>501</v>
      </c>
      <c r="Q1491" s="52" t="str">
        <f t="shared" si="262"/>
        <v>Collected</v>
      </c>
      <c r="R1491" s="55" t="str">
        <f t="shared" si="263"/>
        <v>2026-07</v>
      </c>
      <c r="S1491" s="55">
        <f>IF(OR($B1491="",$F1491="",$R1491=""),"",SUMIFS(tblIssues[Qty Issued],tblIssues[Staff ID],$B1491,tblIssues[Item Name],$F1491,tblIssues[Month],$R1491))</f>
        <v>1</v>
      </c>
      <c r="T1491" s="56">
        <f>IF($I1491="","",$I1491*Settings!$C$11)</f>
        <v>1</v>
      </c>
      <c r="U1491" s="57" t="str">
        <f t="shared" si="260"/>
        <v>OK</v>
      </c>
      <c r="V1491" s="55" t="str">
        <f t="shared" si="264"/>
        <v/>
      </c>
      <c r="W1491" s="55" t="str">
        <f>IF($V1491="","",IF(COUNTIF($V$5:$V1491,$V1491)=1,1,""))</f>
        <v/>
      </c>
      <c r="X1491" s="58" t="str">
        <f>IF($W1491="","",MAX($X$4:X1490)+1)</f>
        <v/>
      </c>
      <c r="Y1491" s="62"/>
      <c r="Z1491" s="62"/>
      <c r="AA1491" s="64" t="str">
        <f>IF($C1491="","",IFERROR(INDEX('Staff Directory'!$E$5:$E$594,MATCH($C1491,'Staff Directory'!$B$5:$B$594,0)),""))</f>
        <v>firstname187.lastname187@example.com</v>
      </c>
      <c r="AB1491" s="64" t="str">
        <f>IF($C1491="","",IF(ISNUMBER(SEARCH($D1491,Settings!$C$15)),"Pickup","Dispatch"))</f>
        <v>Pickup</v>
      </c>
      <c r="AC1491" s="64" t="str">
        <f t="shared" si="265"/>
        <v>Supply order ready for pickup</v>
      </c>
      <c r="AD1491" s="64" t="str">
        <f t="shared" si="256"/>
        <v>Dear PSW,
Your order is ready for pickup from Sample Branch, Wed-Fri 9am-4pm.</v>
      </c>
      <c r="AE1491" s="64" t="str">
        <f t="shared" si="257"/>
        <v>mailto:firstname187.lastname187@example.com?subject=Supply%20order%20ready%20for%20pickup&amp;body=Dear%20PSW%2C%0A%0AYour%20order%20is%20ready%20for%20pickup%20from%20Sample%20Branch%2C%20Wed-Fri%209am-4pm.</v>
      </c>
      <c r="AF1491" s="89" t="str">
        <f t="shared" si="266"/>
        <v>Draft email</v>
      </c>
      <c r="AG1491" s="64" t="str">
        <f>IF($C1491="","",IFERROR(INDEX('Staff Directory'!$K$595:$K$599,MATCH($C1491,'Staff Directory'!$B$5:$B$599,0)),$D1491))</f>
        <v>PSW</v>
      </c>
      <c r="AH1491" t="str">
        <f>IF($C1491="","",IFERROR(INDEX('Staff Directory'!$I$595:$I$599,MATCH($C1491,'Staff Directory'!$B$5:$B$599,0))&amp;" "&amp;INDEX('Staff Directory'!$J$595:$J$599,MATCH($C1491,'Staff Directory'!$B$5:$B$599,0)),$AG1491))</f>
        <v>PSW</v>
      </c>
      <c r="AI1491" s="102"/>
      <c r="AJ1491" s="101">
        <f>IF($F1491="","",SUMIFS($J$5:$J1491,$F$5:$F1491,$F1491))</f>
        <v>29</v>
      </c>
      <c r="AK1491" s="101">
        <f t="shared" si="258"/>
        <v>29</v>
      </c>
      <c r="AL1491" s="66" t="str" cm="1">
        <f t="array" ref="AL1491">IF($F1491="","",IFERROR(INDEX('Lot Balance'!$B$5:$B$500,MATCH(1,INDEX(('Lot Balance'!$A$5:$A$500=$F1491)*('Lot Balance'!$K$5:$K$500&lt;$AK1491)*('Lot Balance'!$K$5:$K$500+'Lot Balance'!$D$5:$D$500&gt;=$AK1491),0),0)),""))</f>
        <v/>
      </c>
      <c r="AM1491" s="66" t="str" cm="1">
        <f t="array" ref="AM1491">IF($F1491="","",IFERROR(INDEX('Lot Balance'!$B$5:$B$500,MATCH(1,INDEX(('Lot Balance'!$A$5:$A$500=$F1491)*('Lot Balance'!$K$5:$K$500&lt;$AJ1491)*('Lot Balance'!$K$5:$K$500+'Lot Balance'!$D$5:$D$500&gt;=$AJ1491),0),0)),""))</f>
        <v/>
      </c>
      <c r="AN1491" s="66" t="str">
        <f>IF($F1491="","",IF($AI1491&lt;&gt;"",IF(COUNTIFS('Lot Balance'!$A$5:$A$500,$F1491,'Lot Balance'!$B$5:$B$500,$AI1491)=0,"⚠ override is not a lot of this item",IF($AI1491=$AL1491,"Override = FEFO","Override - FEFO says "&amp;$AL1491)),IF($AL1491="","⚠ no receipt on file for this item",IF($AM1491&lt;&gt;$AL1491,"FEFO auto - split, also "&amp;$AM1491,"FEFO auto"))))</f>
        <v>⚠ no receipt on file for this item</v>
      </c>
      <c r="AO1491" s="114"/>
    </row>
    <row r="1492" spans="1:41" x14ac:dyDescent="0.35">
      <c r="A1492" s="74">
        <v>46206</v>
      </c>
      <c r="B1492" s="18" t="str">
        <f>IF($C1492="","",IFERROR(INDEX('Staff Directory'!$A$5:$A$594,MATCH($C1492,'Staff Directory'!$B$5:$B$594,0)),"⚠ unknown staff"))</f>
        <v>PSW-098-A4</v>
      </c>
      <c r="C1492" s="49" t="s">
        <v>1076</v>
      </c>
      <c r="D1492" s="19" t="str">
        <f>IF($B1492="","",IFERROR(INDEX('Staff Directory'!$C$5:$C$594,MATCH($B1492,'Staff Directory'!$A$5:$A$594,0)),""))</f>
        <v>PSW</v>
      </c>
      <c r="E1492" s="19" t="str">
        <f>IF($B1492="","",IFERROR(INDEX('Staff Directory'!$D$5:$D$594,MATCH($B1492,'Staff Directory'!$A$5:$A$594,0)),""))</f>
        <v>A4</v>
      </c>
      <c r="F1492" s="9" t="s">
        <v>127</v>
      </c>
      <c r="G1492" s="18" t="str">
        <f>IF($F1492="","",IFERROR(INDEX(Items!$B$5:$B$597,MATCH($F1492,Items!$A$5:$A$597,0)),"⚠ not in Items"))</f>
        <v>Gloves</v>
      </c>
      <c r="H1492" s="19" t="str">
        <f>IF($F1492="","",IFERROR(INDEX(Items!$C$5:$C$597,MATCH($F1492,Items!$A$5:$A$597,0)),""))</f>
        <v>Medium</v>
      </c>
      <c r="I1492" s="23">
        <f>IF($F1492="","",IFERROR(INDEX(Items!$E$5:$E$597,MATCH($F1492,Items!$A$5:$A$597,0)),""))</f>
        <v>500</v>
      </c>
      <c r="J1492" s="115">
        <f>IF(tblIssues[[#This Row],[Qty Override]]&lt;&gt;"",tblIssues[[#This Row],[Qty Override]],IF(tblIssues[[#This Row],[Standard Issue]]="","",tblIssues[[#This Row],[Standard Issue]]))</f>
        <v>500</v>
      </c>
      <c r="K1492" s="20">
        <f>IF($F1492="","",IFERROR(INDEX(Items!$D$5:$D$597,MATCH($F1492,Items!$A$5:$A$597,0)),""))</f>
        <v>5.5E-2</v>
      </c>
      <c r="L1492" s="21">
        <f t="shared" si="261"/>
        <v>27.5</v>
      </c>
      <c r="M1492" s="9" t="str">
        <f t="shared" si="259"/>
        <v>ZIM510137962-2</v>
      </c>
      <c r="N1492" s="24">
        <f>IF($A1492="","",WORKDAY($A1492,Settings!$C$9,HolidayDates))</f>
        <v>46216</v>
      </c>
      <c r="O1492" s="24">
        <f>IF($N1492="","",WORKDAY($N1492,Settings!$C$10,HolidayDates))</f>
        <v>46254</v>
      </c>
      <c r="P1492" s="10" t="s">
        <v>501</v>
      </c>
      <c r="Q1492" s="52" t="str">
        <f t="shared" si="262"/>
        <v>Collected</v>
      </c>
      <c r="R1492" s="55" t="str">
        <f t="shared" si="263"/>
        <v>2026-07</v>
      </c>
      <c r="S1492" s="55">
        <f>IF(OR($B1492="",$F1492="",$R1492=""),"",SUMIFS(tblIssues[Qty Issued],tblIssues[Staff ID],$B1492,tblIssues[Item Name],$F1492,tblIssues[Month],$R1492))</f>
        <v>500</v>
      </c>
      <c r="T1492" s="56">
        <f>IF($I1492="","",$I1492*Settings!$C$11)</f>
        <v>500</v>
      </c>
      <c r="U1492" s="57" t="str">
        <f t="shared" si="260"/>
        <v>OK</v>
      </c>
      <c r="V1492" s="55" t="str">
        <f t="shared" si="264"/>
        <v/>
      </c>
      <c r="W1492" s="55" t="str">
        <f>IF($V1492="","",IF(COUNTIF($V$5:$V1492,$V1492)=1,1,""))</f>
        <v/>
      </c>
      <c r="X1492" s="58" t="str">
        <f>IF($W1492="","",MAX($X$4:X1491)+1)</f>
        <v/>
      </c>
      <c r="Y1492" s="62"/>
      <c r="Z1492" s="62"/>
      <c r="AA1492" s="64" t="str">
        <f>IF($C1492="","",IFERROR(INDEX('Staff Directory'!$E$5:$E$594,MATCH($C1492,'Staff Directory'!$B$5:$B$594,0)),""))</f>
        <v>firstname160.lastname160@example.com</v>
      </c>
      <c r="AB1492" s="64" t="str">
        <f>IF($C1492="","",IF(ISNUMBER(SEARCH($D1492,Settings!$C$15)),"Pickup","Dispatch"))</f>
        <v>Pickup</v>
      </c>
      <c r="AC1492" s="64" t="str">
        <f t="shared" si="265"/>
        <v>Supply order ready for pickup</v>
      </c>
      <c r="AD1492" s="64" t="str">
        <f t="shared" si="256"/>
        <v>Dear PSW,
Your order is ready for pickup from Sample Branch, Wed-Fri 9am-4pm.</v>
      </c>
      <c r="AE1492" s="64" t="str">
        <f t="shared" si="257"/>
        <v>mailto:firstname160.lastname160@example.com?subject=Supply%20order%20ready%20for%20pickup&amp;body=Dear%20PSW%2C%0A%0AYour%20order%20is%20ready%20for%20pickup%20from%20Sample%20Branch%2C%20Wed-Fri%209am-4pm.</v>
      </c>
      <c r="AF1492" s="89" t="str">
        <f t="shared" si="266"/>
        <v>Draft email</v>
      </c>
      <c r="AG1492" s="64" t="str">
        <f>IF($C1492="","",IFERROR(INDEX('Staff Directory'!$K$595:$K$599,MATCH($C1492,'Staff Directory'!$B$5:$B$599,0)),$D1492))</f>
        <v>PSW</v>
      </c>
      <c r="AH1492" t="str">
        <f>IF($C1492="","",IFERROR(INDEX('Staff Directory'!$I$595:$I$599,MATCH($C1492,'Staff Directory'!$B$5:$B$599,0))&amp;" "&amp;INDEX('Staff Directory'!$J$595:$J$599,MATCH($C1492,'Staff Directory'!$B$5:$B$599,0)),$AG1492))</f>
        <v>PSW</v>
      </c>
      <c r="AI1492" s="102"/>
      <c r="AJ1492" s="101">
        <f>IF($F1492="","",SUMIFS($J$5:$J1492,$F$5:$F1492,$F1492))</f>
        <v>91500</v>
      </c>
      <c r="AK1492" s="101">
        <f t="shared" si="258"/>
        <v>91001</v>
      </c>
      <c r="AL1492" s="66" t="str" cm="1">
        <f t="array" ref="AL1492">IF($F1492="","",IFERROR(INDEX('Lot Balance'!$B$5:$B$500,MATCH(1,INDEX(('Lot Balance'!$A$5:$A$500=$F1492)*('Lot Balance'!$K$5:$K$500&lt;$AK1492)*('Lot Balance'!$K$5:$K$500+'Lot Balance'!$D$5:$D$500&gt;=$AK1492),0),0)),""))</f>
        <v>ZIM510137962-2</v>
      </c>
      <c r="AM1492" s="66" t="str" cm="1">
        <f t="array" ref="AM1492">IF($F1492="","",IFERROR(INDEX('Lot Balance'!$B$5:$B$500,MATCH(1,INDEX(('Lot Balance'!$A$5:$A$500=$F1492)*('Lot Balance'!$K$5:$K$500&lt;$AJ1492)*('Lot Balance'!$K$5:$K$500+'Lot Balance'!$D$5:$D$500&gt;=$AJ1492),0),0)),""))</f>
        <v>ZIM510137962-2</v>
      </c>
      <c r="AN1492" s="66" t="str">
        <f>IF($F1492="","",IF($AI1492&lt;&gt;"",IF(COUNTIFS('Lot Balance'!$A$5:$A$500,$F1492,'Lot Balance'!$B$5:$B$500,$AI1492)=0,"⚠ override is not a lot of this item",IF($AI1492=$AL1492,"Override = FEFO","Override - FEFO says "&amp;$AL1492)),IF($AL1492="","⚠ no receipt on file for this item",IF($AM1492&lt;&gt;$AL1492,"FEFO auto - split, also "&amp;$AM1492,"FEFO auto"))))</f>
        <v>FEFO auto</v>
      </c>
      <c r="AO1492" s="114"/>
    </row>
    <row r="1493" spans="1:41" x14ac:dyDescent="0.35">
      <c r="A1493" s="74">
        <v>46206</v>
      </c>
      <c r="B1493" s="18" t="str">
        <f>IF($C1493="","",IFERROR(INDEX('Staff Directory'!$A$5:$A$594,MATCH($C1493,'Staff Directory'!$B$5:$B$594,0)),"⚠ unknown staff"))</f>
        <v>PSW-098-A4</v>
      </c>
      <c r="C1493" s="49" t="s">
        <v>1076</v>
      </c>
      <c r="D1493" s="19" t="str">
        <f>IF($B1493="","",IFERROR(INDEX('Staff Directory'!$C$5:$C$594,MATCH($B1493,'Staff Directory'!$A$5:$A$594,0)),""))</f>
        <v>PSW</v>
      </c>
      <c r="E1493" s="19" t="str">
        <f>IF($B1493="","",IFERROR(INDEX('Staff Directory'!$D$5:$D$594,MATCH($B1493,'Staff Directory'!$A$5:$A$594,0)),""))</f>
        <v>A4</v>
      </c>
      <c r="F1493" s="9" t="s">
        <v>191</v>
      </c>
      <c r="G1493" s="18" t="str">
        <f>IF($F1493="","",IFERROR(INDEX(Items!$B$5:$B$597,MATCH($F1493,Items!$A$5:$A$597,0)),"⚠ not in Items"))</f>
        <v>Sanitizer</v>
      </c>
      <c r="H1493" s="19" t="str">
        <f>IF($F1493="","",IFERROR(INDEX(Items!$C$5:$C$597,MATCH($F1493,Items!$A$5:$A$597,0)),""))</f>
        <v>236 ML</v>
      </c>
      <c r="I1493" s="23">
        <f>IF($F1493="","",IFERROR(INDEX(Items!$E$5:$E$597,MATCH($F1493,Items!$A$5:$A$597,0)),""))</f>
        <v>1</v>
      </c>
      <c r="J1493" s="115">
        <f>IF(tblIssues[[#This Row],[Qty Override]]&lt;&gt;"",tblIssues[[#This Row],[Qty Override]],IF(tblIssues[[#This Row],[Standard Issue]]="","",tblIssues[[#This Row],[Standard Issue]]))</f>
        <v>1</v>
      </c>
      <c r="K1493" s="20">
        <f>IF($F1493="","",IFERROR(INDEX(Items!$D$5:$D$597,MATCH($F1493,Items!$A$5:$A$597,0)),""))</f>
        <v>1E-4</v>
      </c>
      <c r="L1493" s="21">
        <f t="shared" si="261"/>
        <v>1E-4</v>
      </c>
      <c r="M1493" s="9" t="str">
        <f t="shared" si="259"/>
        <v/>
      </c>
      <c r="N1493" s="24">
        <f>IF($A1493="","",WORKDAY($A1493,Settings!$C$9,HolidayDates))</f>
        <v>46216</v>
      </c>
      <c r="O1493" s="24">
        <f>IF($N1493="","",WORKDAY($N1493,Settings!$C$10,HolidayDates))</f>
        <v>46254</v>
      </c>
      <c r="P1493" s="10" t="s">
        <v>501</v>
      </c>
      <c r="Q1493" s="52" t="str">
        <f t="shared" si="262"/>
        <v>Collected</v>
      </c>
      <c r="R1493" s="55" t="str">
        <f t="shared" si="263"/>
        <v>2026-07</v>
      </c>
      <c r="S1493" s="55">
        <f>IF(OR($B1493="",$F1493="",$R1493=""),"",SUMIFS(tblIssues[Qty Issued],tblIssues[Staff ID],$B1493,tblIssues[Item Name],$F1493,tblIssues[Month],$R1493))</f>
        <v>1</v>
      </c>
      <c r="T1493" s="56">
        <f>IF($I1493="","",$I1493*Settings!$C$11)</f>
        <v>1</v>
      </c>
      <c r="U1493" s="57" t="str">
        <f t="shared" si="260"/>
        <v>OK</v>
      </c>
      <c r="V1493" s="55" t="str">
        <f t="shared" si="264"/>
        <v/>
      </c>
      <c r="W1493" s="55" t="str">
        <f>IF($V1493="","",IF(COUNTIF($V$5:$V1493,$V1493)=1,1,""))</f>
        <v/>
      </c>
      <c r="X1493" s="58" t="str">
        <f>IF($W1493="","",MAX($X$4:X1492)+1)</f>
        <v/>
      </c>
      <c r="Y1493" s="62"/>
      <c r="Z1493" s="62"/>
      <c r="AA1493" s="64" t="str">
        <f>IF($C1493="","",IFERROR(INDEX('Staff Directory'!$E$5:$E$594,MATCH($C1493,'Staff Directory'!$B$5:$B$594,0)),""))</f>
        <v>firstname160.lastname160@example.com</v>
      </c>
      <c r="AB1493" s="64" t="str">
        <f>IF($C1493="","",IF(ISNUMBER(SEARCH($D1493,Settings!$C$15)),"Pickup","Dispatch"))</f>
        <v>Pickup</v>
      </c>
      <c r="AC1493" s="64" t="str">
        <f t="shared" si="265"/>
        <v>Supply order ready for pickup</v>
      </c>
      <c r="AD1493" s="64" t="str">
        <f t="shared" si="256"/>
        <v>Dear PSW,
Your order is ready for pickup from Sample Branch, Wed-Fri 9am-4pm.</v>
      </c>
      <c r="AE1493" s="64" t="str">
        <f t="shared" si="257"/>
        <v>mailto:firstname160.lastname160@example.com?subject=Supply%20order%20ready%20for%20pickup&amp;body=Dear%20PSW%2C%0A%0AYour%20order%20is%20ready%20for%20pickup%20from%20Sample%20Branch%2C%20Wed-Fri%209am-4pm.</v>
      </c>
      <c r="AF1493" s="89" t="str">
        <f t="shared" si="266"/>
        <v>Draft email</v>
      </c>
      <c r="AG1493" s="64" t="str">
        <f>IF($C1493="","",IFERROR(INDEX('Staff Directory'!$K$595:$K$599,MATCH($C1493,'Staff Directory'!$B$5:$B$599,0)),$D1493))</f>
        <v>PSW</v>
      </c>
      <c r="AH1493" t="str">
        <f>IF($C1493="","",IFERROR(INDEX('Staff Directory'!$I$595:$I$599,MATCH($C1493,'Staff Directory'!$B$5:$B$599,0))&amp;" "&amp;INDEX('Staff Directory'!$J$595:$J$599,MATCH($C1493,'Staff Directory'!$B$5:$B$599,0)),$AG1493))</f>
        <v>PSW</v>
      </c>
      <c r="AI1493" s="102"/>
      <c r="AJ1493" s="101">
        <f>IF($F1493="","",SUMIFS($J$5:$J1493,$F$5:$F1493,$F1493))</f>
        <v>201</v>
      </c>
      <c r="AK1493" s="101">
        <f t="shared" si="258"/>
        <v>201</v>
      </c>
      <c r="AL1493" s="66" t="str" cm="1">
        <f t="array" ref="AL1493">IF($F1493="","",IFERROR(INDEX('Lot Balance'!$B$5:$B$500,MATCH(1,INDEX(('Lot Balance'!$A$5:$A$500=$F1493)*('Lot Balance'!$K$5:$K$500&lt;$AK1493)*('Lot Balance'!$K$5:$K$500+'Lot Balance'!$D$5:$D$500&gt;=$AK1493),0),0)),""))</f>
        <v/>
      </c>
      <c r="AM1493" s="66" t="str" cm="1">
        <f t="array" ref="AM1493">IF($F1493="","",IFERROR(INDEX('Lot Balance'!$B$5:$B$500,MATCH(1,INDEX(('Lot Balance'!$A$5:$A$500=$F1493)*('Lot Balance'!$K$5:$K$500&lt;$AJ1493)*('Lot Balance'!$K$5:$K$500+'Lot Balance'!$D$5:$D$500&gt;=$AJ1493),0),0)),""))</f>
        <v/>
      </c>
      <c r="AN1493" s="66" t="str">
        <f>IF($F1493="","",IF($AI1493&lt;&gt;"",IF(COUNTIFS('Lot Balance'!$A$5:$A$500,$F1493,'Lot Balance'!$B$5:$B$500,$AI1493)=0,"⚠ override is not a lot of this item",IF($AI1493=$AL1493,"Override = FEFO","Override - FEFO says "&amp;$AL1493)),IF($AL1493="","⚠ no receipt on file for this item",IF($AM1493&lt;&gt;$AL1493,"FEFO auto - split, also "&amp;$AM1493,"FEFO auto"))))</f>
        <v>⚠ no receipt on file for this item</v>
      </c>
      <c r="AO1493" s="114"/>
    </row>
    <row r="1494" spans="1:41" x14ac:dyDescent="0.35">
      <c r="A1494" s="74">
        <v>46206</v>
      </c>
      <c r="B1494" s="18" t="str">
        <f>IF($C1494="","",IFERROR(INDEX('Staff Directory'!$A$5:$A$594,MATCH($C1494,'Staff Directory'!$B$5:$B$594,0)),"⚠ unknown staff"))</f>
        <v>PSW-098-A4</v>
      </c>
      <c r="C1494" s="49" t="s">
        <v>1076</v>
      </c>
      <c r="D1494" s="19" t="str">
        <f>IF($B1494="","",IFERROR(INDEX('Staff Directory'!$C$5:$C$594,MATCH($B1494,'Staff Directory'!$A$5:$A$594,0)),""))</f>
        <v>PSW</v>
      </c>
      <c r="E1494" s="19" t="str">
        <f>IF($B1494="","",IFERROR(INDEX('Staff Directory'!$D$5:$D$594,MATCH($B1494,'Staff Directory'!$A$5:$A$594,0)),""))</f>
        <v>A4</v>
      </c>
      <c r="F1494" s="9" t="s">
        <v>758</v>
      </c>
      <c r="G1494" s="18" t="str">
        <f>IF($F1494="","",IFERROR(INDEX(Items!$B$5:$B$597,MATCH($F1494,Items!$A$5:$A$597,0)),"⚠ not in Items"))</f>
        <v>Utility</v>
      </c>
      <c r="H1494" s="19" t="str">
        <f>IF($F1494="","",IFERROR(INDEX(Items!$C$5:$C$597,MATCH($F1494,Items!$A$5:$A$597,0)),""))</f>
        <v>Standard</v>
      </c>
      <c r="I1494" s="23">
        <f>IF($F1494="","",IFERROR(INDEX(Items!$E$5:$E$597,MATCH($F1494,Items!$A$5:$A$597,0)),""))</f>
        <v>1</v>
      </c>
      <c r="J1494" s="115">
        <f>IF(tblIssues[[#This Row],[Qty Override]]&lt;&gt;"",tblIssues[[#This Row],[Qty Override]],IF(tblIssues[[#This Row],[Standard Issue]]="","",tblIssues[[#This Row],[Standard Issue]]))</f>
        <v>1</v>
      </c>
      <c r="K1494" s="20">
        <f>IF($F1494="","",IFERROR(INDEX(Items!$D$5:$D$597,MATCH($F1494,Items!$A$5:$A$597,0)),""))</f>
        <v>0</v>
      </c>
      <c r="L1494" s="21">
        <f t="shared" si="261"/>
        <v>0</v>
      </c>
      <c r="M1494" s="9" t="str">
        <f t="shared" si="259"/>
        <v/>
      </c>
      <c r="N1494" s="24">
        <f>IF($A1494="","",WORKDAY($A1494,Settings!$C$9,HolidayDates))</f>
        <v>46216</v>
      </c>
      <c r="O1494" s="24">
        <f>IF($N1494="","",WORKDAY($N1494,Settings!$C$10,HolidayDates))</f>
        <v>46254</v>
      </c>
      <c r="P1494" s="10" t="s">
        <v>501</v>
      </c>
      <c r="Q1494" s="52" t="str">
        <f t="shared" si="262"/>
        <v>Collected</v>
      </c>
      <c r="R1494" s="55" t="str">
        <f t="shared" si="263"/>
        <v>2026-07</v>
      </c>
      <c r="S1494" s="55">
        <f>IF(OR($B1494="",$F1494="",$R1494=""),"",SUMIFS(tblIssues[Qty Issued],tblIssues[Staff ID],$B1494,tblIssues[Item Name],$F1494,tblIssues[Month],$R1494))</f>
        <v>1</v>
      </c>
      <c r="T1494" s="56">
        <f>IF($I1494="","",$I1494*Settings!$C$11)</f>
        <v>1</v>
      </c>
      <c r="U1494" s="57" t="str">
        <f t="shared" si="260"/>
        <v>OK</v>
      </c>
      <c r="V1494" s="55" t="str">
        <f t="shared" si="264"/>
        <v/>
      </c>
      <c r="W1494" s="55" t="str">
        <f>IF($V1494="","",IF(COUNTIF($V$5:$V1494,$V1494)=1,1,""))</f>
        <v/>
      </c>
      <c r="X1494" s="58" t="str">
        <f>IF($W1494="","",MAX($X$4:X1493)+1)</f>
        <v/>
      </c>
      <c r="Y1494" s="62"/>
      <c r="Z1494" s="62"/>
      <c r="AA1494" s="64" t="str">
        <f>IF($C1494="","",IFERROR(INDEX('Staff Directory'!$E$5:$E$594,MATCH($C1494,'Staff Directory'!$B$5:$B$594,0)),""))</f>
        <v>firstname160.lastname160@example.com</v>
      </c>
      <c r="AB1494" s="64" t="str">
        <f>IF($C1494="","",IF(ISNUMBER(SEARCH($D1494,Settings!$C$15)),"Pickup","Dispatch"))</f>
        <v>Pickup</v>
      </c>
      <c r="AC1494" s="64" t="str">
        <f t="shared" si="265"/>
        <v>Supply order ready for pickup</v>
      </c>
      <c r="AD1494" s="64" t="str">
        <f t="shared" si="256"/>
        <v>Dear PSW,
Your order is ready for pickup from Sample Branch, Wed-Fri 9am-4pm.</v>
      </c>
      <c r="AE1494" s="64" t="str">
        <f t="shared" si="257"/>
        <v>mailto:firstname160.lastname160@example.com?subject=Supply%20order%20ready%20for%20pickup&amp;body=Dear%20PSW%2C%0A%0AYour%20order%20is%20ready%20for%20pickup%20from%20Sample%20Branch%2C%20Wed-Fri%209am-4pm.</v>
      </c>
      <c r="AF1494" s="89" t="str">
        <f t="shared" si="266"/>
        <v>Draft email</v>
      </c>
      <c r="AG1494" s="64" t="str">
        <f>IF($C1494="","",IFERROR(INDEX('Staff Directory'!$K$595:$K$599,MATCH($C1494,'Staff Directory'!$B$5:$B$599,0)),$D1494))</f>
        <v>PSW</v>
      </c>
      <c r="AH1494" t="str">
        <f>IF($C1494="","",IFERROR(INDEX('Staff Directory'!$I$595:$I$599,MATCH($C1494,'Staff Directory'!$B$5:$B$599,0))&amp;" "&amp;INDEX('Staff Directory'!$J$595:$J$599,MATCH($C1494,'Staff Directory'!$B$5:$B$599,0)),$AG1494))</f>
        <v>PSW</v>
      </c>
      <c r="AI1494" s="102"/>
      <c r="AJ1494" s="101">
        <f>IF($F1494="","",SUMIFS($J$5:$J1494,$F$5:$F1494,$F1494))</f>
        <v>30</v>
      </c>
      <c r="AK1494" s="101">
        <f t="shared" si="258"/>
        <v>30</v>
      </c>
      <c r="AL1494" s="66" t="str" cm="1">
        <f t="array" ref="AL1494">IF($F1494="","",IFERROR(INDEX('Lot Balance'!$B$5:$B$500,MATCH(1,INDEX(('Lot Balance'!$A$5:$A$500=$F1494)*('Lot Balance'!$K$5:$K$500&lt;$AK1494)*('Lot Balance'!$K$5:$K$500+'Lot Balance'!$D$5:$D$500&gt;=$AK1494),0),0)),""))</f>
        <v/>
      </c>
      <c r="AM1494" s="66" t="str" cm="1">
        <f t="array" ref="AM1494">IF($F1494="","",IFERROR(INDEX('Lot Balance'!$B$5:$B$500,MATCH(1,INDEX(('Lot Balance'!$A$5:$A$500=$F1494)*('Lot Balance'!$K$5:$K$500&lt;$AJ1494)*('Lot Balance'!$K$5:$K$500+'Lot Balance'!$D$5:$D$500&gt;=$AJ1494),0),0)),""))</f>
        <v/>
      </c>
      <c r="AN1494" s="66" t="str">
        <f>IF($F1494="","",IF($AI1494&lt;&gt;"",IF(COUNTIFS('Lot Balance'!$A$5:$A$500,$F1494,'Lot Balance'!$B$5:$B$500,$AI1494)=0,"⚠ override is not a lot of this item",IF($AI1494=$AL1494,"Override = FEFO","Override - FEFO says "&amp;$AL1494)),IF($AL1494="","⚠ no receipt on file for this item",IF($AM1494&lt;&gt;$AL1494,"FEFO auto - split, also "&amp;$AM1494,"FEFO auto"))))</f>
        <v>⚠ no receipt on file for this item</v>
      </c>
      <c r="AO1494" s="114"/>
    </row>
    <row r="1495" spans="1:41" x14ac:dyDescent="0.35">
      <c r="A1495" s="74">
        <v>46206</v>
      </c>
      <c r="B1495" s="18" t="str">
        <f>IF($C1495="","",IFERROR(INDEX('Staff Directory'!$A$5:$A$594,MATCH($C1495,'Staff Directory'!$B$5:$B$594,0)),"⚠ unknown staff"))</f>
        <v>PSW-168-A6</v>
      </c>
      <c r="C1495" s="49" t="s">
        <v>1147</v>
      </c>
      <c r="D1495" s="19" t="str">
        <f>IF($B1495="","",IFERROR(INDEX('Staff Directory'!$C$5:$C$594,MATCH($B1495,'Staff Directory'!$A$5:$A$594,0)),""))</f>
        <v>PSW</v>
      </c>
      <c r="E1495" s="19" t="str">
        <f>IF($B1495="","",IFERROR(INDEX('Staff Directory'!$D$5:$D$594,MATCH($B1495,'Staff Directory'!$A$5:$A$594,0)),""))</f>
        <v>A6</v>
      </c>
      <c r="F1495" s="9" t="s">
        <v>127</v>
      </c>
      <c r="G1495" s="18" t="str">
        <f>IF($F1495="","",IFERROR(INDEX(Items!$B$5:$B$597,MATCH($F1495,Items!$A$5:$A$597,0)),"⚠ not in Items"))</f>
        <v>Gloves</v>
      </c>
      <c r="H1495" s="19" t="str">
        <f>IF($F1495="","",IFERROR(INDEX(Items!$C$5:$C$597,MATCH($F1495,Items!$A$5:$A$597,0)),""))</f>
        <v>Medium</v>
      </c>
      <c r="I1495" s="23">
        <f>IF($F1495="","",IFERROR(INDEX(Items!$E$5:$E$597,MATCH($F1495,Items!$A$5:$A$597,0)),""))</f>
        <v>500</v>
      </c>
      <c r="J1495" s="115">
        <f>IF(tblIssues[[#This Row],[Qty Override]]&lt;&gt;"",tblIssues[[#This Row],[Qty Override]],IF(tblIssues[[#This Row],[Standard Issue]]="","",tblIssues[[#This Row],[Standard Issue]]))</f>
        <v>500</v>
      </c>
      <c r="K1495" s="20">
        <f>IF($F1495="","",IFERROR(INDEX(Items!$D$5:$D$597,MATCH($F1495,Items!$A$5:$A$597,0)),""))</f>
        <v>5.5E-2</v>
      </c>
      <c r="L1495" s="21">
        <f t="shared" si="261"/>
        <v>27.5</v>
      </c>
      <c r="M1495" s="9" t="str">
        <f t="shared" si="259"/>
        <v>ZIM510137962-2</v>
      </c>
      <c r="N1495" s="24">
        <f>IF($A1495="","",WORKDAY($A1495,Settings!$C$9,HolidayDates))</f>
        <v>46216</v>
      </c>
      <c r="O1495" s="24">
        <f>IF($N1495="","",WORKDAY($N1495,Settings!$C$10,HolidayDates))</f>
        <v>46254</v>
      </c>
      <c r="P1495" s="10" t="s">
        <v>501</v>
      </c>
      <c r="Q1495" s="52" t="str">
        <f t="shared" si="262"/>
        <v>Collected</v>
      </c>
      <c r="R1495" s="55" t="str">
        <f t="shared" si="263"/>
        <v>2026-07</v>
      </c>
      <c r="S1495" s="55">
        <f>IF(OR($B1495="",$F1495="",$R1495=""),"",SUMIFS(tblIssues[Qty Issued],tblIssues[Staff ID],$B1495,tblIssues[Item Name],$F1495,tblIssues[Month],$R1495))</f>
        <v>1000</v>
      </c>
      <c r="T1495" s="56">
        <f>IF($I1495="","",$I1495*Settings!$C$11)</f>
        <v>500</v>
      </c>
      <c r="U1495" s="57" t="str">
        <f t="shared" si="260"/>
        <v>⚠ OVER QUOTA</v>
      </c>
      <c r="V1495" s="55" t="str">
        <f t="shared" si="264"/>
        <v>PSW-168-A6 | Gloves - Medium | 2026-07</v>
      </c>
      <c r="W1495" s="55">
        <f>IF($V1495="","",IF(COUNTIF($V$5:$V1495,$V1495)=1,1,""))</f>
        <v>1</v>
      </c>
      <c r="X1495" s="58">
        <f>IF($W1495="","",MAX($X$4:X1494)+1)</f>
        <v>50</v>
      </c>
      <c r="Y1495" s="62"/>
      <c r="Z1495" s="62"/>
      <c r="AA1495" s="64" t="str">
        <f>IF($C1495="","",IFERROR(INDEX('Staff Directory'!$E$5:$E$594,MATCH($C1495,'Staff Directory'!$B$5:$B$594,0)),""))</f>
        <v>firstname231.lastname231@example.com</v>
      </c>
      <c r="AB1495" s="64" t="str">
        <f>IF($C1495="","",IF(ISNUMBER(SEARCH($D1495,Settings!$C$15)),"Pickup","Dispatch"))</f>
        <v>Pickup</v>
      </c>
      <c r="AC1495" s="64" t="str">
        <f t="shared" si="265"/>
        <v>Supply order ready for pickup</v>
      </c>
      <c r="AD1495" s="64" t="str">
        <f t="shared" si="256"/>
        <v>Dear PSW,
Your order is ready for pickup from Sample Branch, Wed-Fri 9am-4pm.</v>
      </c>
      <c r="AE1495" s="64" t="str">
        <f t="shared" si="257"/>
        <v>mailto:firstname231.lastname231@example.com?subject=Supply%20order%20ready%20for%20pickup&amp;body=Dear%20PSW%2C%0A%0AYour%20order%20is%20ready%20for%20pickup%20from%20Sample%20Branch%2C%20Wed-Fri%209am-4pm.</v>
      </c>
      <c r="AF1495" s="89" t="str">
        <f t="shared" si="266"/>
        <v>Draft email</v>
      </c>
      <c r="AG1495" s="64" t="str">
        <f>IF($C1495="","",IFERROR(INDEX('Staff Directory'!$K$595:$K$599,MATCH($C1495,'Staff Directory'!$B$5:$B$599,0)),$D1495))</f>
        <v>PSW</v>
      </c>
      <c r="AH1495" t="str">
        <f>IF($C1495="","",IFERROR(INDEX('Staff Directory'!$I$595:$I$599,MATCH($C1495,'Staff Directory'!$B$5:$B$599,0))&amp;" "&amp;INDEX('Staff Directory'!$J$595:$J$599,MATCH($C1495,'Staff Directory'!$B$5:$B$599,0)),$AG1495))</f>
        <v>PSW</v>
      </c>
      <c r="AI1495" s="102"/>
      <c r="AJ1495" s="101">
        <f>IF($F1495="","",SUMIFS($J$5:$J1495,$F$5:$F1495,$F1495))</f>
        <v>92000</v>
      </c>
      <c r="AK1495" s="101">
        <f t="shared" si="258"/>
        <v>91501</v>
      </c>
      <c r="AL1495" s="66" t="str" cm="1">
        <f t="array" ref="AL1495">IF($F1495="","",IFERROR(INDEX('Lot Balance'!$B$5:$B$500,MATCH(1,INDEX(('Lot Balance'!$A$5:$A$500=$F1495)*('Lot Balance'!$K$5:$K$500&lt;$AK1495)*('Lot Balance'!$K$5:$K$500+'Lot Balance'!$D$5:$D$500&gt;=$AK1495),0),0)),""))</f>
        <v>ZIM510137962-2</v>
      </c>
      <c r="AM1495" s="66" t="str" cm="1">
        <f t="array" ref="AM1495">IF($F1495="","",IFERROR(INDEX('Lot Balance'!$B$5:$B$500,MATCH(1,INDEX(('Lot Balance'!$A$5:$A$500=$F1495)*('Lot Balance'!$K$5:$K$500&lt;$AJ1495)*('Lot Balance'!$K$5:$K$500+'Lot Balance'!$D$5:$D$500&gt;=$AJ1495),0),0)),""))</f>
        <v>ZIM510137962-2</v>
      </c>
      <c r="AN1495" s="66" t="str">
        <f>IF($F1495="","",IF($AI1495&lt;&gt;"",IF(COUNTIFS('Lot Balance'!$A$5:$A$500,$F1495,'Lot Balance'!$B$5:$B$500,$AI1495)=0,"⚠ override is not a lot of this item",IF($AI1495=$AL1495,"Override = FEFO","Override - FEFO says "&amp;$AL1495)),IF($AL1495="","⚠ no receipt on file for this item",IF($AM1495&lt;&gt;$AL1495,"FEFO auto - split, also "&amp;$AM1495,"FEFO auto"))))</f>
        <v>FEFO auto</v>
      </c>
      <c r="AO1495" s="114"/>
    </row>
    <row r="1496" spans="1:41" x14ac:dyDescent="0.35">
      <c r="A1496" s="74">
        <v>46206</v>
      </c>
      <c r="B1496" s="18" t="str">
        <f>IF($C1496="","",IFERROR(INDEX('Staff Directory'!$A$5:$A$594,MATCH($C1496,'Staff Directory'!$B$5:$B$594,0)),"⚠ unknown staff"))</f>
        <v>PSW-168-A6</v>
      </c>
      <c r="C1496" s="49" t="s">
        <v>1147</v>
      </c>
      <c r="D1496" s="19" t="str">
        <f>IF($B1496="","",IFERROR(INDEX('Staff Directory'!$C$5:$C$594,MATCH($B1496,'Staff Directory'!$A$5:$A$594,0)),""))</f>
        <v>PSW</v>
      </c>
      <c r="E1496" s="19" t="str">
        <f>IF($B1496="","",IFERROR(INDEX('Staff Directory'!$D$5:$D$594,MATCH($B1496,'Staff Directory'!$A$5:$A$594,0)),""))</f>
        <v>A6</v>
      </c>
      <c r="F1496" s="9" t="s">
        <v>191</v>
      </c>
      <c r="G1496" s="18" t="str">
        <f>IF($F1496="","",IFERROR(INDEX(Items!$B$5:$B$597,MATCH($F1496,Items!$A$5:$A$597,0)),"⚠ not in Items"))</f>
        <v>Sanitizer</v>
      </c>
      <c r="H1496" s="19" t="str">
        <f>IF($F1496="","",IFERROR(INDEX(Items!$C$5:$C$597,MATCH($F1496,Items!$A$5:$A$597,0)),""))</f>
        <v>236 ML</v>
      </c>
      <c r="I1496" s="23">
        <f>IF($F1496="","",IFERROR(INDEX(Items!$E$5:$E$597,MATCH($F1496,Items!$A$5:$A$597,0)),""))</f>
        <v>1</v>
      </c>
      <c r="J1496" s="115">
        <f>IF(tblIssues[[#This Row],[Qty Override]]&lt;&gt;"",tblIssues[[#This Row],[Qty Override]],IF(tblIssues[[#This Row],[Standard Issue]]="","",tblIssues[[#This Row],[Standard Issue]]))</f>
        <v>1</v>
      </c>
      <c r="K1496" s="20">
        <f>IF($F1496="","",IFERROR(INDEX(Items!$D$5:$D$597,MATCH($F1496,Items!$A$5:$A$597,0)),""))</f>
        <v>1E-4</v>
      </c>
      <c r="L1496" s="21">
        <f t="shared" si="261"/>
        <v>1E-4</v>
      </c>
      <c r="M1496" s="9" t="str">
        <f t="shared" si="259"/>
        <v/>
      </c>
      <c r="N1496" s="24">
        <f>IF($A1496="","",WORKDAY($A1496,Settings!$C$9,HolidayDates))</f>
        <v>46216</v>
      </c>
      <c r="O1496" s="24">
        <f>IF($N1496="","",WORKDAY($N1496,Settings!$C$10,HolidayDates))</f>
        <v>46254</v>
      </c>
      <c r="P1496" s="10" t="s">
        <v>501</v>
      </c>
      <c r="Q1496" s="52" t="str">
        <f t="shared" si="262"/>
        <v>Collected</v>
      </c>
      <c r="R1496" s="55" t="str">
        <f t="shared" si="263"/>
        <v>2026-07</v>
      </c>
      <c r="S1496" s="55">
        <f>IF(OR($B1496="",$F1496="",$R1496=""),"",SUMIFS(tblIssues[Qty Issued],tblIssues[Staff ID],$B1496,tblIssues[Item Name],$F1496,tblIssues[Month],$R1496))</f>
        <v>2</v>
      </c>
      <c r="T1496" s="56">
        <f>IF($I1496="","",$I1496*Settings!$C$11)</f>
        <v>1</v>
      </c>
      <c r="U1496" s="57" t="str">
        <f t="shared" si="260"/>
        <v>⚠ OVER QUOTA</v>
      </c>
      <c r="V1496" s="55" t="str">
        <f t="shared" si="264"/>
        <v>PSW-168-A6 | Hand Sanitizer OS | 2026-07</v>
      </c>
      <c r="W1496" s="55">
        <f>IF($V1496="","",IF(COUNTIF($V$5:$V1496,$V1496)=1,1,""))</f>
        <v>1</v>
      </c>
      <c r="X1496" s="58">
        <f>IF($W1496="","",MAX($X$4:X1495)+1)</f>
        <v>51</v>
      </c>
      <c r="Y1496" s="62"/>
      <c r="Z1496" s="62"/>
      <c r="AA1496" s="64" t="str">
        <f>IF($C1496="","",IFERROR(INDEX('Staff Directory'!$E$5:$E$594,MATCH($C1496,'Staff Directory'!$B$5:$B$594,0)),""))</f>
        <v>firstname231.lastname231@example.com</v>
      </c>
      <c r="AB1496" s="64" t="str">
        <f>IF($C1496="","",IF(ISNUMBER(SEARCH($D1496,Settings!$C$15)),"Pickup","Dispatch"))</f>
        <v>Pickup</v>
      </c>
      <c r="AC1496" s="64" t="str">
        <f t="shared" si="265"/>
        <v>Supply order ready for pickup</v>
      </c>
      <c r="AD1496" s="64" t="str">
        <f t="shared" si="256"/>
        <v>Dear PSW,
Your order is ready for pickup from Sample Branch, Wed-Fri 9am-4pm.</v>
      </c>
      <c r="AE1496" s="64" t="str">
        <f t="shared" si="257"/>
        <v>mailto:firstname231.lastname231@example.com?subject=Supply%20order%20ready%20for%20pickup&amp;body=Dear%20PSW%2C%0A%0AYour%20order%20is%20ready%20for%20pickup%20from%20Sample%20Branch%2C%20Wed-Fri%209am-4pm.</v>
      </c>
      <c r="AF1496" s="89" t="str">
        <f t="shared" si="266"/>
        <v>Draft email</v>
      </c>
      <c r="AG1496" s="64" t="str">
        <f>IF($C1496="","",IFERROR(INDEX('Staff Directory'!$K$595:$K$599,MATCH($C1496,'Staff Directory'!$B$5:$B$599,0)),$D1496))</f>
        <v>PSW</v>
      </c>
      <c r="AH1496" t="str">
        <f>IF($C1496="","",IFERROR(INDEX('Staff Directory'!$I$595:$I$599,MATCH($C1496,'Staff Directory'!$B$5:$B$599,0))&amp;" "&amp;INDEX('Staff Directory'!$J$595:$J$599,MATCH($C1496,'Staff Directory'!$B$5:$B$599,0)),$AG1496))</f>
        <v>PSW</v>
      </c>
      <c r="AI1496" s="102"/>
      <c r="AJ1496" s="101">
        <f>IF($F1496="","",SUMIFS($J$5:$J1496,$F$5:$F1496,$F1496))</f>
        <v>202</v>
      </c>
      <c r="AK1496" s="101">
        <f t="shared" si="258"/>
        <v>202</v>
      </c>
      <c r="AL1496" s="66" t="str" cm="1">
        <f t="array" ref="AL1496">IF($F1496="","",IFERROR(INDEX('Lot Balance'!$B$5:$B$500,MATCH(1,INDEX(('Lot Balance'!$A$5:$A$500=$F1496)*('Lot Balance'!$K$5:$K$500&lt;$AK1496)*('Lot Balance'!$K$5:$K$500+'Lot Balance'!$D$5:$D$500&gt;=$AK1496),0),0)),""))</f>
        <v/>
      </c>
      <c r="AM1496" s="66" t="str" cm="1">
        <f t="array" ref="AM1496">IF($F1496="","",IFERROR(INDEX('Lot Balance'!$B$5:$B$500,MATCH(1,INDEX(('Lot Balance'!$A$5:$A$500=$F1496)*('Lot Balance'!$K$5:$K$500&lt;$AJ1496)*('Lot Balance'!$K$5:$K$500+'Lot Balance'!$D$5:$D$500&gt;=$AJ1496),0),0)),""))</f>
        <v/>
      </c>
      <c r="AN1496" s="66" t="str">
        <f>IF($F1496="","",IF($AI1496&lt;&gt;"",IF(COUNTIFS('Lot Balance'!$A$5:$A$500,$F1496,'Lot Balance'!$B$5:$B$500,$AI1496)=0,"⚠ override is not a lot of this item",IF($AI1496=$AL1496,"Override = FEFO","Override - FEFO says "&amp;$AL1496)),IF($AL1496="","⚠ no receipt on file for this item",IF($AM1496&lt;&gt;$AL1496,"FEFO auto - split, also "&amp;$AM1496,"FEFO auto"))))</f>
        <v>⚠ no receipt on file for this item</v>
      </c>
      <c r="AO1496" s="114"/>
    </row>
    <row r="1497" spans="1:41" x14ac:dyDescent="0.35">
      <c r="A1497" s="74">
        <v>46206</v>
      </c>
      <c r="B1497" s="18" t="str">
        <f>IF($C1497="","",IFERROR(INDEX('Staff Directory'!$A$5:$A$594,MATCH($C1497,'Staff Directory'!$B$5:$B$594,0)),"⚠ unknown staff"))</f>
        <v>PSW-168-A6</v>
      </c>
      <c r="C1497" s="49" t="s">
        <v>1147</v>
      </c>
      <c r="D1497" s="19" t="str">
        <f>IF($B1497="","",IFERROR(INDEX('Staff Directory'!$C$5:$C$594,MATCH($B1497,'Staff Directory'!$A$5:$A$594,0)),""))</f>
        <v>PSW</v>
      </c>
      <c r="E1497" s="19" t="str">
        <f>IF($B1497="","",IFERROR(INDEX('Staff Directory'!$D$5:$D$594,MATCH($B1497,'Staff Directory'!$A$5:$A$594,0)),""))</f>
        <v>A6</v>
      </c>
      <c r="F1497" s="9" t="s">
        <v>758</v>
      </c>
      <c r="G1497" s="18" t="str">
        <f>IF($F1497="","",IFERROR(INDEX(Items!$B$5:$B$597,MATCH($F1497,Items!$A$5:$A$597,0)),"⚠ not in Items"))</f>
        <v>Utility</v>
      </c>
      <c r="H1497" s="19" t="str">
        <f>IF($F1497="","",IFERROR(INDEX(Items!$C$5:$C$597,MATCH($F1497,Items!$A$5:$A$597,0)),""))</f>
        <v>Standard</v>
      </c>
      <c r="I1497" s="23">
        <f>IF($F1497="","",IFERROR(INDEX(Items!$E$5:$E$597,MATCH($F1497,Items!$A$5:$A$597,0)),""))</f>
        <v>1</v>
      </c>
      <c r="J1497" s="115">
        <f>IF(tblIssues[[#This Row],[Qty Override]]&lt;&gt;"",tblIssues[[#This Row],[Qty Override]],IF(tblIssues[[#This Row],[Standard Issue]]="","",tblIssues[[#This Row],[Standard Issue]]))</f>
        <v>1</v>
      </c>
      <c r="K1497" s="20">
        <f>IF($F1497="","",IFERROR(INDEX(Items!$D$5:$D$597,MATCH($F1497,Items!$A$5:$A$597,0)),""))</f>
        <v>0</v>
      </c>
      <c r="L1497" s="21">
        <f t="shared" si="261"/>
        <v>0</v>
      </c>
      <c r="M1497" s="9" t="str">
        <f t="shared" si="259"/>
        <v/>
      </c>
      <c r="N1497" s="24">
        <f>IF($A1497="","",WORKDAY($A1497,Settings!$C$9,HolidayDates))</f>
        <v>46216</v>
      </c>
      <c r="O1497" s="24">
        <f>IF($N1497="","",WORKDAY($N1497,Settings!$C$10,HolidayDates))</f>
        <v>46254</v>
      </c>
      <c r="P1497" s="10" t="s">
        <v>501</v>
      </c>
      <c r="Q1497" s="52" t="str">
        <f t="shared" si="262"/>
        <v>Collected</v>
      </c>
      <c r="R1497" s="55" t="str">
        <f t="shared" si="263"/>
        <v>2026-07</v>
      </c>
      <c r="S1497" s="55">
        <f>IF(OR($B1497="",$F1497="",$R1497=""),"",SUMIFS(tblIssues[Qty Issued],tblIssues[Staff ID],$B1497,tblIssues[Item Name],$F1497,tblIssues[Month],$R1497))</f>
        <v>1</v>
      </c>
      <c r="T1497" s="56">
        <f>IF($I1497="","",$I1497*Settings!$C$11)</f>
        <v>1</v>
      </c>
      <c r="U1497" s="57" t="str">
        <f t="shared" si="260"/>
        <v>OK</v>
      </c>
      <c r="V1497" s="55" t="str">
        <f t="shared" si="264"/>
        <v/>
      </c>
      <c r="W1497" s="55" t="str">
        <f>IF($V1497="","",IF(COUNTIF($V$5:$V1497,$V1497)=1,1,""))</f>
        <v/>
      </c>
      <c r="X1497" s="58" t="str">
        <f>IF($W1497="","",MAX($X$4:X1496)+1)</f>
        <v/>
      </c>
      <c r="Y1497" s="62"/>
      <c r="Z1497" s="62"/>
      <c r="AA1497" s="64" t="str">
        <f>IF($C1497="","",IFERROR(INDEX('Staff Directory'!$E$5:$E$594,MATCH($C1497,'Staff Directory'!$B$5:$B$594,0)),""))</f>
        <v>firstname231.lastname231@example.com</v>
      </c>
      <c r="AB1497" s="64" t="str">
        <f>IF($C1497="","",IF(ISNUMBER(SEARCH($D1497,Settings!$C$15)),"Pickup","Dispatch"))</f>
        <v>Pickup</v>
      </c>
      <c r="AC1497" s="64" t="str">
        <f t="shared" si="265"/>
        <v>Supply order ready for pickup</v>
      </c>
      <c r="AD1497" s="64" t="str">
        <f t="shared" si="256"/>
        <v>Dear PSW,
Your order is ready for pickup from Sample Branch, Wed-Fri 9am-4pm.</v>
      </c>
      <c r="AE1497" s="64" t="str">
        <f t="shared" si="257"/>
        <v>mailto:firstname231.lastname231@example.com?subject=Supply%20order%20ready%20for%20pickup&amp;body=Dear%20PSW%2C%0A%0AYour%20order%20is%20ready%20for%20pickup%20from%20Sample%20Branch%2C%20Wed-Fri%209am-4pm.</v>
      </c>
      <c r="AF1497" s="89" t="str">
        <f t="shared" si="266"/>
        <v>Draft email</v>
      </c>
      <c r="AG1497" s="64" t="str">
        <f>IF($C1497="","",IFERROR(INDEX('Staff Directory'!$K$595:$K$599,MATCH($C1497,'Staff Directory'!$B$5:$B$599,0)),$D1497))</f>
        <v>PSW</v>
      </c>
      <c r="AH1497" t="str">
        <f>IF($C1497="","",IFERROR(INDEX('Staff Directory'!$I$595:$I$599,MATCH($C1497,'Staff Directory'!$B$5:$B$599,0))&amp;" "&amp;INDEX('Staff Directory'!$J$595:$J$599,MATCH($C1497,'Staff Directory'!$B$5:$B$599,0)),$AG1497))</f>
        <v>PSW</v>
      </c>
      <c r="AI1497" s="102"/>
      <c r="AJ1497" s="101">
        <f>IF($F1497="","",SUMIFS($J$5:$J1497,$F$5:$F1497,$F1497))</f>
        <v>31</v>
      </c>
      <c r="AK1497" s="101">
        <f t="shared" si="258"/>
        <v>31</v>
      </c>
      <c r="AL1497" s="66" t="str" cm="1">
        <f t="array" ref="AL1497">IF($F1497="","",IFERROR(INDEX('Lot Balance'!$B$5:$B$500,MATCH(1,INDEX(('Lot Balance'!$A$5:$A$500=$F1497)*('Lot Balance'!$K$5:$K$500&lt;$AK1497)*('Lot Balance'!$K$5:$K$500+'Lot Balance'!$D$5:$D$500&gt;=$AK1497),0),0)),""))</f>
        <v/>
      </c>
      <c r="AM1497" s="66" t="str" cm="1">
        <f t="array" ref="AM1497">IF($F1497="","",IFERROR(INDEX('Lot Balance'!$B$5:$B$500,MATCH(1,INDEX(('Lot Balance'!$A$5:$A$500=$F1497)*('Lot Balance'!$K$5:$K$500&lt;$AJ1497)*('Lot Balance'!$K$5:$K$500+'Lot Balance'!$D$5:$D$500&gt;=$AJ1497),0),0)),""))</f>
        <v/>
      </c>
      <c r="AN1497" s="66" t="str">
        <f>IF($F1497="","",IF($AI1497&lt;&gt;"",IF(COUNTIFS('Lot Balance'!$A$5:$A$500,$F1497,'Lot Balance'!$B$5:$B$500,$AI1497)=0,"⚠ override is not a lot of this item",IF($AI1497=$AL1497,"Override = FEFO","Override - FEFO says "&amp;$AL1497)),IF($AL1497="","⚠ no receipt on file for this item",IF($AM1497&lt;&gt;$AL1497,"FEFO auto - split, also "&amp;$AM1497,"FEFO auto"))))</f>
        <v>⚠ no receipt on file for this item</v>
      </c>
      <c r="AO1497" s="114"/>
    </row>
    <row r="1498" spans="1:41" x14ac:dyDescent="0.35">
      <c r="A1498" s="74">
        <v>46206</v>
      </c>
      <c r="B1498" s="18" t="str">
        <f>IF($C1498="","",IFERROR(INDEX('Staff Directory'!$A$5:$A$594,MATCH($C1498,'Staff Directory'!$B$5:$B$594,0)),"⚠ unknown staff"))</f>
        <v>RN-021-A2</v>
      </c>
      <c r="C1498" s="49" t="s">
        <v>941</v>
      </c>
      <c r="D1498" s="19" t="str">
        <f>IF($B1498="","",IFERROR(INDEX('Staff Directory'!$C$5:$C$594,MATCH($B1498,'Staff Directory'!$A$5:$A$594,0)),""))</f>
        <v>RN</v>
      </c>
      <c r="E1498" s="19" t="str">
        <f>IF($B1498="","",IFERROR(INDEX('Staff Directory'!$D$5:$D$594,MATCH($B1498,'Staff Directory'!$A$5:$A$594,0)),""))</f>
        <v>A2</v>
      </c>
      <c r="F1498" s="9" t="s">
        <v>127</v>
      </c>
      <c r="G1498" s="18" t="str">
        <f>IF($F1498="","",IFERROR(INDEX(Items!$B$5:$B$597,MATCH($F1498,Items!$A$5:$A$597,0)),"⚠ not in Items"))</f>
        <v>Gloves</v>
      </c>
      <c r="H1498" s="19" t="str">
        <f>IF($F1498="","",IFERROR(INDEX(Items!$C$5:$C$597,MATCH($F1498,Items!$A$5:$A$597,0)),""))</f>
        <v>Medium</v>
      </c>
      <c r="I1498" s="23">
        <f>IF($F1498="","",IFERROR(INDEX(Items!$E$5:$E$597,MATCH($F1498,Items!$A$5:$A$597,0)),""))</f>
        <v>500</v>
      </c>
      <c r="J1498" s="115">
        <f>IF(tblIssues[[#This Row],[Qty Override]]&lt;&gt;"",tblIssues[[#This Row],[Qty Override]],IF(tblIssues[[#This Row],[Standard Issue]]="","",tblIssues[[#This Row],[Standard Issue]]))</f>
        <v>500</v>
      </c>
      <c r="K1498" s="20">
        <f>IF($F1498="","",IFERROR(INDEX(Items!$D$5:$D$597,MATCH($F1498,Items!$A$5:$A$597,0)),""))</f>
        <v>5.5E-2</v>
      </c>
      <c r="L1498" s="21">
        <f t="shared" si="261"/>
        <v>27.5</v>
      </c>
      <c r="M1498" s="9" t="str">
        <f t="shared" si="259"/>
        <v>ZIM510137962-2</v>
      </c>
      <c r="N1498" s="24">
        <f>IF($A1498="","",WORKDAY($A1498,Settings!$C$9,HolidayDates))</f>
        <v>46216</v>
      </c>
      <c r="O1498" s="24">
        <f>IF($N1498="","",WORKDAY($N1498,Settings!$C$10,HolidayDates))</f>
        <v>46254</v>
      </c>
      <c r="P1498" s="10" t="s">
        <v>502</v>
      </c>
      <c r="Q1498" s="52" t="str">
        <f t="shared" si="262"/>
        <v>Collected</v>
      </c>
      <c r="R1498" s="55" t="str">
        <f t="shared" si="263"/>
        <v>2026-07</v>
      </c>
      <c r="S1498" s="55">
        <f>IF(OR($B1498="",$F1498="",$R1498=""),"",SUMIFS(tblIssues[Qty Issued],tblIssues[Staff ID],$B1498,tblIssues[Item Name],$F1498,tblIssues[Month],$R1498))</f>
        <v>500</v>
      </c>
      <c r="T1498" s="56">
        <f>IF($I1498="","",$I1498*Settings!$C$11)</f>
        <v>500</v>
      </c>
      <c r="U1498" s="57" t="str">
        <f t="shared" si="260"/>
        <v>OK</v>
      </c>
      <c r="V1498" s="55" t="str">
        <f t="shared" si="264"/>
        <v/>
      </c>
      <c r="W1498" s="55" t="str">
        <f>IF($V1498="","",IF(COUNTIF($V$5:$V1498,$V1498)=1,1,""))</f>
        <v/>
      </c>
      <c r="X1498" s="58" t="str">
        <f>IF($W1498="","",MAX($X$4:X1497)+1)</f>
        <v/>
      </c>
      <c r="Y1498" s="62"/>
      <c r="Z1498" s="62"/>
      <c r="AA1498" s="64" t="str">
        <f>IF($C1498="","",IFERROR(INDEX('Staff Directory'!$E$5:$E$594,MATCH($C1498,'Staff Directory'!$B$5:$B$594,0)),""))</f>
        <v>firstname025.lastname025@example.com</v>
      </c>
      <c r="AB1498" s="64" t="str">
        <f>IF($C1498="","",IF(ISNUMBER(SEARCH($D1498,Settings!$C$15)),"Pickup","Dispatch"))</f>
        <v>Dispatch</v>
      </c>
      <c r="AC1498" s="64" t="str">
        <f t="shared" si="265"/>
        <v>Supply order dispatched</v>
      </c>
      <c r="AD1498" s="64" t="str">
        <f t="shared" si="256"/>
        <v>Dear RN,
Your order has been dispatched and is in transit. Reply if undelivered.</v>
      </c>
      <c r="AE1498" s="64" t="str">
        <f t="shared" si="257"/>
        <v>mailto:firstname025.lastname025@example.com?subject=Supply%20order%20dispatched&amp;body=Dear%20RN%2C%0A%0AYour%20order%20has%20been%20dispatched%20and%20is%20in%20transit.%20Reply%20if%20undelivered.</v>
      </c>
      <c r="AF1498" s="89" t="str">
        <f t="shared" si="266"/>
        <v>Draft email</v>
      </c>
      <c r="AG1498" s="64" t="str">
        <f>IF($C1498="","",IFERROR(INDEX('Staff Directory'!$K$595:$K$599,MATCH($C1498,'Staff Directory'!$B$5:$B$599,0)),$D1498))</f>
        <v>RN</v>
      </c>
      <c r="AH1498" t="str">
        <f>IF($C1498="","",IFERROR(INDEX('Staff Directory'!$I$595:$I$599,MATCH($C1498,'Staff Directory'!$B$5:$B$599,0))&amp;" "&amp;INDEX('Staff Directory'!$J$595:$J$599,MATCH($C1498,'Staff Directory'!$B$5:$B$599,0)),$AG1498))</f>
        <v>RN</v>
      </c>
      <c r="AI1498" s="102"/>
      <c r="AJ1498" s="101">
        <f>IF($F1498="","",SUMIFS($J$5:$J1498,$F$5:$F1498,$F1498))</f>
        <v>92500</v>
      </c>
      <c r="AK1498" s="101">
        <f t="shared" si="258"/>
        <v>92001</v>
      </c>
      <c r="AL1498" s="66" t="str" cm="1">
        <f t="array" ref="AL1498">IF($F1498="","",IFERROR(INDEX('Lot Balance'!$B$5:$B$500,MATCH(1,INDEX(('Lot Balance'!$A$5:$A$500=$F1498)*('Lot Balance'!$K$5:$K$500&lt;$AK1498)*('Lot Balance'!$K$5:$K$500+'Lot Balance'!$D$5:$D$500&gt;=$AK1498),0),0)),""))</f>
        <v>ZIM510137962-2</v>
      </c>
      <c r="AM1498" s="66" t="str" cm="1">
        <f t="array" ref="AM1498">IF($F1498="","",IFERROR(INDEX('Lot Balance'!$B$5:$B$500,MATCH(1,INDEX(('Lot Balance'!$A$5:$A$500=$F1498)*('Lot Balance'!$K$5:$K$500&lt;$AJ1498)*('Lot Balance'!$K$5:$K$500+'Lot Balance'!$D$5:$D$500&gt;=$AJ1498),0),0)),""))</f>
        <v>ZIM510137962-2</v>
      </c>
      <c r="AN1498" s="66" t="str">
        <f>IF($F1498="","",IF($AI1498&lt;&gt;"",IF(COUNTIFS('Lot Balance'!$A$5:$A$500,$F1498,'Lot Balance'!$B$5:$B$500,$AI1498)=0,"⚠ override is not a lot of this item",IF($AI1498=$AL1498,"Override = FEFO","Override - FEFO says "&amp;$AL1498)),IF($AL1498="","⚠ no receipt on file for this item",IF($AM1498&lt;&gt;$AL1498,"FEFO auto - split, also "&amp;$AM1498,"FEFO auto"))))</f>
        <v>FEFO auto</v>
      </c>
      <c r="AO1498" s="114"/>
    </row>
    <row r="1499" spans="1:41" x14ac:dyDescent="0.35">
      <c r="A1499" s="74">
        <v>46206</v>
      </c>
      <c r="B1499" s="18" t="str">
        <f>IF($C1499="","",IFERROR(INDEX('Staff Directory'!$A$5:$A$594,MATCH($C1499,'Staff Directory'!$B$5:$B$594,0)),"⚠ unknown staff"))</f>
        <v>RN-021-A2</v>
      </c>
      <c r="C1499" s="49" t="s">
        <v>941</v>
      </c>
      <c r="D1499" s="19" t="str">
        <f>IF($B1499="","",IFERROR(INDEX('Staff Directory'!$C$5:$C$594,MATCH($B1499,'Staff Directory'!$A$5:$A$594,0)),""))</f>
        <v>RN</v>
      </c>
      <c r="E1499" s="19" t="str">
        <f>IF($B1499="","",IFERROR(INDEX('Staff Directory'!$D$5:$D$594,MATCH($B1499,'Staff Directory'!$A$5:$A$594,0)),""))</f>
        <v>A2</v>
      </c>
      <c r="F1499" s="9" t="s">
        <v>757</v>
      </c>
      <c r="G1499" s="18" t="str">
        <f>IF($F1499="","",IFERROR(INDEX(Items!$B$5:$B$597,MATCH($F1499,Items!$A$5:$A$597,0)),"⚠ not in Items"))</f>
        <v>Documents</v>
      </c>
      <c r="H1499" s="19" t="str">
        <f>IF($F1499="","",IFERROR(INDEX(Items!$C$5:$C$597,MATCH($F1499,Items!$A$5:$A$597,0)),""))</f>
        <v>Standard</v>
      </c>
      <c r="I1499" s="23">
        <f>IF($F1499="","",IFERROR(INDEX(Items!$E$5:$E$597,MATCH($F1499,Items!$A$5:$A$597,0)),""))</f>
        <v>10</v>
      </c>
      <c r="J1499" s="115">
        <f>IF(tblIssues[[#This Row],[Qty Override]]&lt;&gt;"",tblIssues[[#This Row],[Qty Override]],IF(tblIssues[[#This Row],[Standard Issue]]="","",tblIssues[[#This Row],[Standard Issue]]))</f>
        <v>10</v>
      </c>
      <c r="K1499" s="20">
        <f>IF($F1499="","",IFERROR(INDEX(Items!$D$5:$D$597,MATCH($F1499,Items!$A$5:$A$597,0)),""))</f>
        <v>0</v>
      </c>
      <c r="L1499" s="21">
        <f t="shared" si="261"/>
        <v>0</v>
      </c>
      <c r="M1499" s="9" t="str">
        <f t="shared" si="259"/>
        <v/>
      </c>
      <c r="N1499" s="24">
        <f>IF($A1499="","",WORKDAY($A1499,Settings!$C$9,HolidayDates))</f>
        <v>46216</v>
      </c>
      <c r="O1499" s="24">
        <f>IF($N1499="","",WORKDAY($N1499,Settings!$C$10,HolidayDates))</f>
        <v>46254</v>
      </c>
      <c r="P1499" s="10" t="s">
        <v>502</v>
      </c>
      <c r="Q1499" s="52" t="str">
        <f t="shared" si="262"/>
        <v>Collected</v>
      </c>
      <c r="R1499" s="55" t="str">
        <f t="shared" si="263"/>
        <v>2026-07</v>
      </c>
      <c r="S1499" s="55">
        <f>IF(OR($B1499="",$F1499="",$R1499=""),"",SUMIFS(tblIssues[Qty Issued],tblIssues[Staff ID],$B1499,tblIssues[Item Name],$F1499,tblIssues[Month],$R1499))</f>
        <v>10</v>
      </c>
      <c r="T1499" s="56">
        <f>IF($I1499="","",$I1499*Settings!$C$11)</f>
        <v>10</v>
      </c>
      <c r="U1499" s="57" t="str">
        <f t="shared" si="260"/>
        <v>OK</v>
      </c>
      <c r="V1499" s="55" t="str">
        <f t="shared" si="264"/>
        <v/>
      </c>
      <c r="W1499" s="55" t="str">
        <f>IF($V1499="","",IF(COUNTIF($V$5:$V1499,$V1499)=1,1,""))</f>
        <v/>
      </c>
      <c r="X1499" s="58" t="str">
        <f>IF($W1499="","",MAX($X$4:X1498)+1)</f>
        <v/>
      </c>
      <c r="Y1499" s="62"/>
      <c r="Z1499" s="62"/>
      <c r="AA1499" s="64" t="str">
        <f>IF($C1499="","",IFERROR(INDEX('Staff Directory'!$E$5:$E$594,MATCH($C1499,'Staff Directory'!$B$5:$B$594,0)),""))</f>
        <v>firstname025.lastname025@example.com</v>
      </c>
      <c r="AB1499" s="64" t="str">
        <f>IF($C1499="","",IF(ISNUMBER(SEARCH($D1499,Settings!$C$15)),"Pickup","Dispatch"))</f>
        <v>Dispatch</v>
      </c>
      <c r="AC1499" s="64" t="str">
        <f t="shared" si="265"/>
        <v>Supply order dispatched</v>
      </c>
      <c r="AD1499" s="64" t="str">
        <f t="shared" si="256"/>
        <v>Dear RN,
Your order has been dispatched and is in transit. Reply if undelivered.</v>
      </c>
      <c r="AE1499" s="64" t="str">
        <f t="shared" si="257"/>
        <v>mailto:firstname025.lastname025@example.com?subject=Supply%20order%20dispatched&amp;body=Dear%20RN%2C%0A%0AYour%20order%20has%20been%20dispatched%20and%20is%20in%20transit.%20Reply%20if%20undelivered.</v>
      </c>
      <c r="AF1499" s="89" t="str">
        <f t="shared" si="266"/>
        <v>Draft email</v>
      </c>
      <c r="AG1499" s="64" t="str">
        <f>IF($C1499="","",IFERROR(INDEX('Staff Directory'!$K$595:$K$599,MATCH($C1499,'Staff Directory'!$B$5:$B$599,0)),$D1499))</f>
        <v>RN</v>
      </c>
      <c r="AH1499" t="str">
        <f>IF($C1499="","",IFERROR(INDEX('Staff Directory'!$I$595:$I$599,MATCH($C1499,'Staff Directory'!$B$5:$B$599,0))&amp;" "&amp;INDEX('Staff Directory'!$J$595:$J$599,MATCH($C1499,'Staff Directory'!$B$5:$B$599,0)),$AG1499))</f>
        <v>RN</v>
      </c>
      <c r="AI1499" s="102"/>
      <c r="AJ1499" s="101">
        <f>IF($F1499="","",SUMIFS($J$5:$J1499,$F$5:$F1499,$F1499))</f>
        <v>710</v>
      </c>
      <c r="AK1499" s="101">
        <f t="shared" si="258"/>
        <v>701</v>
      </c>
      <c r="AL1499" s="66" t="str" cm="1">
        <f t="array" ref="AL1499">IF($F1499="","",IFERROR(INDEX('Lot Balance'!$B$5:$B$500,MATCH(1,INDEX(('Lot Balance'!$A$5:$A$500=$F1499)*('Lot Balance'!$K$5:$K$500&lt;$AK1499)*('Lot Balance'!$K$5:$K$500+'Lot Balance'!$D$5:$D$500&gt;=$AK1499),0),0)),""))</f>
        <v/>
      </c>
      <c r="AM1499" s="66" t="str" cm="1">
        <f t="array" ref="AM1499">IF($F1499="","",IFERROR(INDEX('Lot Balance'!$B$5:$B$500,MATCH(1,INDEX(('Lot Balance'!$A$5:$A$500=$F1499)*('Lot Balance'!$K$5:$K$500&lt;$AJ1499)*('Lot Balance'!$K$5:$K$500+'Lot Balance'!$D$5:$D$500&gt;=$AJ1499),0),0)),""))</f>
        <v/>
      </c>
      <c r="AN1499" s="66" t="str">
        <f>IF($F1499="","",IF($AI1499&lt;&gt;"",IF(COUNTIFS('Lot Balance'!$A$5:$A$500,$F1499,'Lot Balance'!$B$5:$B$500,$AI1499)=0,"⚠ override is not a lot of this item",IF($AI1499=$AL1499,"Override = FEFO","Override - FEFO says "&amp;$AL1499)),IF($AL1499="","⚠ no receipt on file for this item",IF($AM1499&lt;&gt;$AL1499,"FEFO auto - split, also "&amp;$AM1499,"FEFO auto"))))</f>
        <v>⚠ no receipt on file for this item</v>
      </c>
      <c r="AO1499" s="114"/>
    </row>
    <row r="1500" spans="1:41" x14ac:dyDescent="0.35">
      <c r="A1500" s="74">
        <v>46206</v>
      </c>
      <c r="B1500" s="18" t="str">
        <f>IF($C1500="","",IFERROR(INDEX('Staff Directory'!$A$5:$A$594,MATCH($C1500,'Staff Directory'!$B$5:$B$594,0)),"⚠ unknown staff"))</f>
        <v>PSW-086-A4</v>
      </c>
      <c r="C1500" s="49" t="s">
        <v>1062</v>
      </c>
      <c r="D1500" s="19" t="str">
        <f>IF($B1500="","",IFERROR(INDEX('Staff Directory'!$C$5:$C$594,MATCH($B1500,'Staff Directory'!$A$5:$A$594,0)),""))</f>
        <v>PSW</v>
      </c>
      <c r="E1500" s="19" t="str">
        <f>IF($B1500="","",IFERROR(INDEX('Staff Directory'!$D$5:$D$594,MATCH($B1500,'Staff Directory'!$A$5:$A$594,0)),""))</f>
        <v>A4</v>
      </c>
      <c r="F1500" s="9" t="s">
        <v>127</v>
      </c>
      <c r="G1500" s="18" t="str">
        <f>IF($F1500="","",IFERROR(INDEX(Items!$B$5:$B$597,MATCH($F1500,Items!$A$5:$A$597,0)),"⚠ not in Items"))</f>
        <v>Gloves</v>
      </c>
      <c r="H1500" s="19" t="str">
        <f>IF($F1500="","",IFERROR(INDEX(Items!$C$5:$C$597,MATCH($F1500,Items!$A$5:$A$597,0)),""))</f>
        <v>Medium</v>
      </c>
      <c r="I1500" s="23">
        <f>IF($F1500="","",IFERROR(INDEX(Items!$E$5:$E$597,MATCH($F1500,Items!$A$5:$A$597,0)),""))</f>
        <v>500</v>
      </c>
      <c r="J1500" s="115">
        <f>IF(tblIssues[[#This Row],[Qty Override]]&lt;&gt;"",tblIssues[[#This Row],[Qty Override]],IF(tblIssues[[#This Row],[Standard Issue]]="","",tblIssues[[#This Row],[Standard Issue]]))</f>
        <v>500</v>
      </c>
      <c r="K1500" s="20">
        <f>IF($F1500="","",IFERROR(INDEX(Items!$D$5:$D$597,MATCH($F1500,Items!$A$5:$A$597,0)),""))</f>
        <v>5.5E-2</v>
      </c>
      <c r="L1500" s="21">
        <f t="shared" si="261"/>
        <v>27.5</v>
      </c>
      <c r="M1500" s="9" t="str">
        <f t="shared" si="259"/>
        <v>ZIM510137962-2</v>
      </c>
      <c r="N1500" s="24">
        <f>IF($A1500="","",WORKDAY($A1500,Settings!$C$9,HolidayDates))</f>
        <v>46216</v>
      </c>
      <c r="O1500" s="24">
        <f>IF($N1500="","",WORKDAY($N1500,Settings!$C$10,HolidayDates))</f>
        <v>46254</v>
      </c>
      <c r="P1500" s="10" t="s">
        <v>501</v>
      </c>
      <c r="Q1500" s="52" t="str">
        <f t="shared" si="262"/>
        <v>Collected</v>
      </c>
      <c r="R1500" s="55" t="str">
        <f t="shared" si="263"/>
        <v>2026-07</v>
      </c>
      <c r="S1500" s="55">
        <f>IF(OR($B1500="",$F1500="",$R1500=""),"",SUMIFS(tblIssues[Qty Issued],tblIssues[Staff ID],$B1500,tblIssues[Item Name],$F1500,tblIssues[Month],$R1500))</f>
        <v>500</v>
      </c>
      <c r="T1500" s="56">
        <f>IF($I1500="","",$I1500*Settings!$C$11)</f>
        <v>500</v>
      </c>
      <c r="U1500" s="57" t="str">
        <f t="shared" si="260"/>
        <v>OK</v>
      </c>
      <c r="V1500" s="55" t="str">
        <f t="shared" si="264"/>
        <v/>
      </c>
      <c r="W1500" s="55" t="str">
        <f>IF($V1500="","",IF(COUNTIF($V$5:$V1500,$V1500)=1,1,""))</f>
        <v/>
      </c>
      <c r="X1500" s="58" t="str">
        <f>IF($W1500="","",MAX($X$4:X1499)+1)</f>
        <v/>
      </c>
      <c r="Y1500" s="62"/>
      <c r="Z1500" s="62"/>
      <c r="AA1500" s="64" t="str">
        <f>IF($C1500="","",IFERROR(INDEX('Staff Directory'!$E$5:$E$594,MATCH($C1500,'Staff Directory'!$B$5:$B$594,0)),""))</f>
        <v>firstname146.lastname146@example.com</v>
      </c>
      <c r="AB1500" s="64" t="str">
        <f>IF($C1500="","",IF(ISNUMBER(SEARCH($D1500,Settings!$C$15)),"Pickup","Dispatch"))</f>
        <v>Pickup</v>
      </c>
      <c r="AC1500" s="64" t="str">
        <f t="shared" si="265"/>
        <v>Supply order ready for pickup</v>
      </c>
      <c r="AD1500" s="64" t="str">
        <f t="shared" si="256"/>
        <v>Dear PSW,
Your order is ready for pickup from Sample Branch, Wed-Fri 9am-4pm.</v>
      </c>
      <c r="AE1500" s="64" t="str">
        <f t="shared" si="257"/>
        <v>mailto:firstname146.lastname146@example.com?subject=Supply%20order%20ready%20for%20pickup&amp;body=Dear%20PSW%2C%0A%0AYour%20order%20is%20ready%20for%20pickup%20from%20Sample%20Branch%2C%20Wed-Fri%209am-4pm.</v>
      </c>
      <c r="AF1500" s="89" t="str">
        <f t="shared" si="266"/>
        <v>Draft email</v>
      </c>
      <c r="AG1500" s="64" t="str">
        <f>IF($C1500="","",IFERROR(INDEX('Staff Directory'!$K$595:$K$599,MATCH($C1500,'Staff Directory'!$B$5:$B$599,0)),$D1500))</f>
        <v>PSW</v>
      </c>
      <c r="AH1500" t="str">
        <f>IF($C1500="","",IFERROR(INDEX('Staff Directory'!$I$595:$I$599,MATCH($C1500,'Staff Directory'!$B$5:$B$599,0))&amp;" "&amp;INDEX('Staff Directory'!$J$595:$J$599,MATCH($C1500,'Staff Directory'!$B$5:$B$599,0)),$AG1500))</f>
        <v>PSW</v>
      </c>
      <c r="AI1500" s="102"/>
      <c r="AJ1500" s="101">
        <f>IF($F1500="","",SUMIFS($J$5:$J1500,$F$5:$F1500,$F1500))</f>
        <v>93000</v>
      </c>
      <c r="AK1500" s="101">
        <f t="shared" si="258"/>
        <v>92501</v>
      </c>
      <c r="AL1500" s="66" t="str" cm="1">
        <f t="array" ref="AL1500">IF($F1500="","",IFERROR(INDEX('Lot Balance'!$B$5:$B$500,MATCH(1,INDEX(('Lot Balance'!$A$5:$A$500=$F1500)*('Lot Balance'!$K$5:$K$500&lt;$AK1500)*('Lot Balance'!$K$5:$K$500+'Lot Balance'!$D$5:$D$500&gt;=$AK1500),0),0)),""))</f>
        <v>ZIM510137962-2</v>
      </c>
      <c r="AM1500" s="66" t="str" cm="1">
        <f t="array" ref="AM1500">IF($F1500="","",IFERROR(INDEX('Lot Balance'!$B$5:$B$500,MATCH(1,INDEX(('Lot Balance'!$A$5:$A$500=$F1500)*('Lot Balance'!$K$5:$K$500&lt;$AJ1500)*('Lot Balance'!$K$5:$K$500+'Lot Balance'!$D$5:$D$500&gt;=$AJ1500),0),0)),""))</f>
        <v>ZIM510137962-2</v>
      </c>
      <c r="AN1500" s="66" t="str">
        <f>IF($F1500="","",IF($AI1500&lt;&gt;"",IF(COUNTIFS('Lot Balance'!$A$5:$A$500,$F1500,'Lot Balance'!$B$5:$B$500,$AI1500)=0,"⚠ override is not a lot of this item",IF($AI1500=$AL1500,"Override = FEFO","Override - FEFO says "&amp;$AL1500)),IF($AL1500="","⚠ no receipt on file for this item",IF($AM1500&lt;&gt;$AL1500,"FEFO auto - split, also "&amp;$AM1500,"FEFO auto"))))</f>
        <v>FEFO auto</v>
      </c>
      <c r="AO1500" s="114"/>
    </row>
    <row r="1501" spans="1:41" x14ac:dyDescent="0.35">
      <c r="A1501" s="74">
        <v>46206</v>
      </c>
      <c r="B1501" s="18" t="str">
        <f>IF($C1501="","",IFERROR(INDEX('Staff Directory'!$A$5:$A$594,MATCH($C1501,'Staff Directory'!$B$5:$B$594,0)),"⚠ unknown staff"))</f>
        <v>PSW-086-A4</v>
      </c>
      <c r="C1501" s="49" t="s">
        <v>1062</v>
      </c>
      <c r="D1501" s="19" t="str">
        <f>IF($B1501="","",IFERROR(INDEX('Staff Directory'!$C$5:$C$594,MATCH($B1501,'Staff Directory'!$A$5:$A$594,0)),""))</f>
        <v>PSW</v>
      </c>
      <c r="E1501" s="19" t="str">
        <f>IF($B1501="","",IFERROR(INDEX('Staff Directory'!$D$5:$D$594,MATCH($B1501,'Staff Directory'!$A$5:$A$594,0)),""))</f>
        <v>A4</v>
      </c>
      <c r="F1501" s="9" t="s">
        <v>115</v>
      </c>
      <c r="G1501" s="18" t="str">
        <f>IF($F1501="","",IFERROR(INDEX(Items!$B$5:$B$597,MATCH($F1501,Items!$A$5:$A$597,0)),"⚠ not in Items"))</f>
        <v>Wipes</v>
      </c>
      <c r="H1501" s="19">
        <f>IF($F1501="","",IFERROR(INDEX(Items!$C$5:$C$597,MATCH($F1501,Items!$A$5:$A$597,0)),""))</f>
        <v>80</v>
      </c>
      <c r="I1501" s="23">
        <f>IF($F1501="","",IFERROR(INDEX(Items!$E$5:$E$597,MATCH($F1501,Items!$A$5:$A$597,0)),""))</f>
        <v>80</v>
      </c>
      <c r="J1501" s="115">
        <f>IF(tblIssues[[#This Row],[Qty Override]]&lt;&gt;"",tblIssues[[#This Row],[Qty Override]],IF(tblIssues[[#This Row],[Standard Issue]]="","",tblIssues[[#This Row],[Standard Issue]]))</f>
        <v>80</v>
      </c>
      <c r="K1501" s="20">
        <f>IF($F1501="","",IFERROR(INDEX(Items!$D$5:$D$597,MATCH($F1501,Items!$A$5:$A$597,0)),""))</f>
        <v>0.1</v>
      </c>
      <c r="L1501" s="21">
        <f t="shared" si="261"/>
        <v>8</v>
      </c>
      <c r="M1501" s="9" t="str">
        <f t="shared" si="259"/>
        <v>LYSL500290</v>
      </c>
      <c r="N1501" s="24">
        <f>IF($A1501="","",WORKDAY($A1501,Settings!$C$9,HolidayDates))</f>
        <v>46216</v>
      </c>
      <c r="O1501" s="24">
        <f>IF($N1501="","",WORKDAY($N1501,Settings!$C$10,HolidayDates))</f>
        <v>46254</v>
      </c>
      <c r="P1501" s="10" t="s">
        <v>501</v>
      </c>
      <c r="Q1501" s="52" t="str">
        <f t="shared" si="262"/>
        <v>Collected</v>
      </c>
      <c r="R1501" s="55" t="str">
        <f t="shared" si="263"/>
        <v>2026-07</v>
      </c>
      <c r="S1501" s="55">
        <f>IF(OR($B1501="",$F1501="",$R1501=""),"",SUMIFS(tblIssues[Qty Issued],tblIssues[Staff ID],$B1501,tblIssues[Item Name],$F1501,tblIssues[Month],$R1501))</f>
        <v>80</v>
      </c>
      <c r="T1501" s="56">
        <f>IF($I1501="","",$I1501*Settings!$C$11)</f>
        <v>80</v>
      </c>
      <c r="U1501" s="57" t="str">
        <f t="shared" si="260"/>
        <v>OK</v>
      </c>
      <c r="V1501" s="55" t="str">
        <f t="shared" si="264"/>
        <v/>
      </c>
      <c r="W1501" s="55" t="str">
        <f>IF($V1501="","",IF(COUNTIF($V$5:$V1501,$V1501)=1,1,""))</f>
        <v/>
      </c>
      <c r="X1501" s="58" t="str">
        <f>IF($W1501="","",MAX($X$4:X1500)+1)</f>
        <v/>
      </c>
      <c r="Y1501" s="62"/>
      <c r="Z1501" s="62"/>
      <c r="AA1501" s="64" t="str">
        <f>IF($C1501="","",IFERROR(INDEX('Staff Directory'!$E$5:$E$594,MATCH($C1501,'Staff Directory'!$B$5:$B$594,0)),""))</f>
        <v>firstname146.lastname146@example.com</v>
      </c>
      <c r="AB1501" s="64" t="str">
        <f>IF($C1501="","",IF(ISNUMBER(SEARCH($D1501,Settings!$C$15)),"Pickup","Dispatch"))</f>
        <v>Pickup</v>
      </c>
      <c r="AC1501" s="64" t="str">
        <f t="shared" si="265"/>
        <v>Supply order ready for pickup</v>
      </c>
      <c r="AD1501" s="64" t="str">
        <f t="shared" si="256"/>
        <v>Dear PSW,
Your order is ready for pickup from Sample Branch, Wed-Fri 9am-4pm.</v>
      </c>
      <c r="AE1501" s="64" t="str">
        <f t="shared" si="257"/>
        <v>mailto:firstname146.lastname146@example.com?subject=Supply%20order%20ready%20for%20pickup&amp;body=Dear%20PSW%2C%0A%0AYour%20order%20is%20ready%20for%20pickup%20from%20Sample%20Branch%2C%20Wed-Fri%209am-4pm.</v>
      </c>
      <c r="AF1501" s="89" t="str">
        <f t="shared" si="266"/>
        <v>Draft email</v>
      </c>
      <c r="AG1501" s="64" t="str">
        <f>IF($C1501="","",IFERROR(INDEX('Staff Directory'!$K$595:$K$599,MATCH($C1501,'Staff Directory'!$B$5:$B$599,0)),$D1501))</f>
        <v>PSW</v>
      </c>
      <c r="AH1501" t="str">
        <f>IF($C1501="","",IFERROR(INDEX('Staff Directory'!$I$595:$I$599,MATCH($C1501,'Staff Directory'!$B$5:$B$599,0))&amp;" "&amp;INDEX('Staff Directory'!$J$595:$J$599,MATCH($C1501,'Staff Directory'!$B$5:$B$599,0)),$AG1501))</f>
        <v>PSW</v>
      </c>
      <c r="AI1501" s="102"/>
      <c r="AJ1501" s="101">
        <f>IF($F1501="","",SUMIFS($J$5:$J1501,$F$5:$F1501,$F1501))</f>
        <v>20720</v>
      </c>
      <c r="AK1501" s="101">
        <f t="shared" si="258"/>
        <v>20641</v>
      </c>
      <c r="AL1501" s="66" t="str" cm="1">
        <f t="array" ref="AL1501">IF($F1501="","",IFERROR(INDEX('Lot Balance'!$B$5:$B$500,MATCH(1,INDEX(('Lot Balance'!$A$5:$A$500=$F1501)*('Lot Balance'!$K$5:$K$500&lt;$AK1501)*('Lot Balance'!$K$5:$K$500+'Lot Balance'!$D$5:$D$500&gt;=$AK1501),0),0)),""))</f>
        <v>LYSL500290</v>
      </c>
      <c r="AM1501" s="66" t="str" cm="1">
        <f t="array" ref="AM1501">IF($F1501="","",IFERROR(INDEX('Lot Balance'!$B$5:$B$500,MATCH(1,INDEX(('Lot Balance'!$A$5:$A$500=$F1501)*('Lot Balance'!$K$5:$K$500&lt;$AJ1501)*('Lot Balance'!$K$5:$K$500+'Lot Balance'!$D$5:$D$500&gt;=$AJ1501),0),0)),""))</f>
        <v>LYSL500290</v>
      </c>
      <c r="AN1501" s="66" t="str">
        <f>IF($F1501="","",IF($AI1501&lt;&gt;"",IF(COUNTIFS('Lot Balance'!$A$5:$A$500,$F1501,'Lot Balance'!$B$5:$B$500,$AI1501)=0,"⚠ override is not a lot of this item",IF($AI1501=$AL1501,"Override = FEFO","Override - FEFO says "&amp;$AL1501)),IF($AL1501="","⚠ no receipt on file for this item",IF($AM1501&lt;&gt;$AL1501,"FEFO auto - split, also "&amp;$AM1501,"FEFO auto"))))</f>
        <v>FEFO auto</v>
      </c>
      <c r="AO1501" s="114"/>
    </row>
    <row r="1502" spans="1:41" x14ac:dyDescent="0.35">
      <c r="A1502" s="74">
        <v>46206</v>
      </c>
      <c r="B1502" s="18" t="str">
        <f>IF($C1502="","",IFERROR(INDEX('Staff Directory'!$A$5:$A$594,MATCH($C1502,'Staff Directory'!$B$5:$B$594,0)),"⚠ unknown staff"))</f>
        <v>PSW-086-A4</v>
      </c>
      <c r="C1502" s="49" t="s">
        <v>1062</v>
      </c>
      <c r="D1502" s="19" t="str">
        <f>IF($B1502="","",IFERROR(INDEX('Staff Directory'!$C$5:$C$594,MATCH($B1502,'Staff Directory'!$A$5:$A$594,0)),""))</f>
        <v>PSW</v>
      </c>
      <c r="E1502" s="19" t="str">
        <f>IF($B1502="","",IFERROR(INDEX('Staff Directory'!$D$5:$D$594,MATCH($B1502,'Staff Directory'!$A$5:$A$594,0)),""))</f>
        <v>A4</v>
      </c>
      <c r="F1502" s="9" t="s">
        <v>758</v>
      </c>
      <c r="G1502" s="18" t="str">
        <f>IF($F1502="","",IFERROR(INDEX(Items!$B$5:$B$597,MATCH($F1502,Items!$A$5:$A$597,0)),"⚠ not in Items"))</f>
        <v>Utility</v>
      </c>
      <c r="H1502" s="19" t="str">
        <f>IF($F1502="","",IFERROR(INDEX(Items!$C$5:$C$597,MATCH($F1502,Items!$A$5:$A$597,0)),""))</f>
        <v>Standard</v>
      </c>
      <c r="I1502" s="23">
        <f>IF($F1502="","",IFERROR(INDEX(Items!$E$5:$E$597,MATCH($F1502,Items!$A$5:$A$597,0)),""))</f>
        <v>1</v>
      </c>
      <c r="J1502" s="115">
        <f>IF(tblIssues[[#This Row],[Qty Override]]&lt;&gt;"",tblIssues[[#This Row],[Qty Override]],IF(tblIssues[[#This Row],[Standard Issue]]="","",tblIssues[[#This Row],[Standard Issue]]))</f>
        <v>1</v>
      </c>
      <c r="K1502" s="20">
        <f>IF($F1502="","",IFERROR(INDEX(Items!$D$5:$D$597,MATCH($F1502,Items!$A$5:$A$597,0)),""))</f>
        <v>0</v>
      </c>
      <c r="L1502" s="21">
        <f t="shared" si="261"/>
        <v>0</v>
      </c>
      <c r="M1502" s="9" t="str">
        <f t="shared" si="259"/>
        <v/>
      </c>
      <c r="N1502" s="24">
        <f>IF($A1502="","",WORKDAY($A1502,Settings!$C$9,HolidayDates))</f>
        <v>46216</v>
      </c>
      <c r="O1502" s="24">
        <f>IF($N1502="","",WORKDAY($N1502,Settings!$C$10,HolidayDates))</f>
        <v>46254</v>
      </c>
      <c r="P1502" s="10" t="s">
        <v>501</v>
      </c>
      <c r="Q1502" s="52" t="str">
        <f t="shared" si="262"/>
        <v>Collected</v>
      </c>
      <c r="R1502" s="55" t="str">
        <f t="shared" si="263"/>
        <v>2026-07</v>
      </c>
      <c r="S1502" s="55">
        <f>IF(OR($B1502="",$F1502="",$R1502=""),"",SUMIFS(tblIssues[Qty Issued],tblIssues[Staff ID],$B1502,tblIssues[Item Name],$F1502,tblIssues[Month],$R1502))</f>
        <v>1</v>
      </c>
      <c r="T1502" s="56">
        <f>IF($I1502="","",$I1502*Settings!$C$11)</f>
        <v>1</v>
      </c>
      <c r="U1502" s="57" t="str">
        <f t="shared" si="260"/>
        <v>OK</v>
      </c>
      <c r="V1502" s="55" t="str">
        <f t="shared" si="264"/>
        <v/>
      </c>
      <c r="W1502" s="55" t="str">
        <f>IF($V1502="","",IF(COUNTIF($V$5:$V1502,$V1502)=1,1,""))</f>
        <v/>
      </c>
      <c r="X1502" s="58" t="str">
        <f>IF($W1502="","",MAX($X$4:X1501)+1)</f>
        <v/>
      </c>
      <c r="Y1502" s="62"/>
      <c r="Z1502" s="62"/>
      <c r="AA1502" s="64" t="str">
        <f>IF($C1502="","",IFERROR(INDEX('Staff Directory'!$E$5:$E$594,MATCH($C1502,'Staff Directory'!$B$5:$B$594,0)),""))</f>
        <v>firstname146.lastname146@example.com</v>
      </c>
      <c r="AB1502" s="64" t="str">
        <f>IF($C1502="","",IF(ISNUMBER(SEARCH($D1502,Settings!$C$15)),"Pickup","Dispatch"))</f>
        <v>Pickup</v>
      </c>
      <c r="AC1502" s="64" t="str">
        <f t="shared" si="265"/>
        <v>Supply order ready for pickup</v>
      </c>
      <c r="AD1502" s="64" t="str">
        <f t="shared" si="256"/>
        <v>Dear PSW,
Your order is ready for pickup from Sample Branch, Wed-Fri 9am-4pm.</v>
      </c>
      <c r="AE1502" s="64" t="str">
        <f t="shared" si="257"/>
        <v>mailto:firstname146.lastname146@example.com?subject=Supply%20order%20ready%20for%20pickup&amp;body=Dear%20PSW%2C%0A%0AYour%20order%20is%20ready%20for%20pickup%20from%20Sample%20Branch%2C%20Wed-Fri%209am-4pm.</v>
      </c>
      <c r="AF1502" s="89" t="str">
        <f t="shared" si="266"/>
        <v>Draft email</v>
      </c>
      <c r="AG1502" s="64" t="str">
        <f>IF($C1502="","",IFERROR(INDEX('Staff Directory'!$K$595:$K$599,MATCH($C1502,'Staff Directory'!$B$5:$B$599,0)),$D1502))</f>
        <v>PSW</v>
      </c>
      <c r="AH1502" t="str">
        <f>IF($C1502="","",IFERROR(INDEX('Staff Directory'!$I$595:$I$599,MATCH($C1502,'Staff Directory'!$B$5:$B$599,0))&amp;" "&amp;INDEX('Staff Directory'!$J$595:$J$599,MATCH($C1502,'Staff Directory'!$B$5:$B$599,0)),$AG1502))</f>
        <v>PSW</v>
      </c>
      <c r="AI1502" s="102"/>
      <c r="AJ1502" s="101">
        <f>IF($F1502="","",SUMIFS($J$5:$J1502,$F$5:$F1502,$F1502))</f>
        <v>32</v>
      </c>
      <c r="AK1502" s="101">
        <f t="shared" si="258"/>
        <v>32</v>
      </c>
      <c r="AL1502" s="66" t="str" cm="1">
        <f t="array" ref="AL1502">IF($F1502="","",IFERROR(INDEX('Lot Balance'!$B$5:$B$500,MATCH(1,INDEX(('Lot Balance'!$A$5:$A$500=$F1502)*('Lot Balance'!$K$5:$K$500&lt;$AK1502)*('Lot Balance'!$K$5:$K$500+'Lot Balance'!$D$5:$D$500&gt;=$AK1502),0),0)),""))</f>
        <v/>
      </c>
      <c r="AM1502" s="66" t="str" cm="1">
        <f t="array" ref="AM1502">IF($F1502="","",IFERROR(INDEX('Lot Balance'!$B$5:$B$500,MATCH(1,INDEX(('Lot Balance'!$A$5:$A$500=$F1502)*('Lot Balance'!$K$5:$K$500&lt;$AJ1502)*('Lot Balance'!$K$5:$K$500+'Lot Balance'!$D$5:$D$500&gt;=$AJ1502),0),0)),""))</f>
        <v/>
      </c>
      <c r="AN1502" s="66" t="str">
        <f>IF($F1502="","",IF($AI1502&lt;&gt;"",IF(COUNTIFS('Lot Balance'!$A$5:$A$500,$F1502,'Lot Balance'!$B$5:$B$500,$AI1502)=0,"⚠ override is not a lot of this item",IF($AI1502=$AL1502,"Override = FEFO","Override - FEFO says "&amp;$AL1502)),IF($AL1502="","⚠ no receipt on file for this item",IF($AM1502&lt;&gt;$AL1502,"FEFO auto - split, also "&amp;$AM1502,"FEFO auto"))))</f>
        <v>⚠ no receipt on file for this item</v>
      </c>
      <c r="AO1502" s="114"/>
    </row>
    <row r="1503" spans="1:41" x14ac:dyDescent="0.35">
      <c r="A1503" s="74">
        <v>46206</v>
      </c>
      <c r="B1503" s="18" t="str">
        <f>IF($C1503="","",IFERROR(INDEX('Staff Directory'!$A$5:$A$594,MATCH($C1503,'Staff Directory'!$B$5:$B$594,0)),"⚠ unknown staff"))</f>
        <v>PSW-118-A5</v>
      </c>
      <c r="C1503" s="49" t="s">
        <v>1097</v>
      </c>
      <c r="D1503" s="19" t="str">
        <f>IF($B1503="","",IFERROR(INDEX('Staff Directory'!$C$5:$C$594,MATCH($B1503,'Staff Directory'!$A$5:$A$594,0)),""))</f>
        <v>PSW</v>
      </c>
      <c r="E1503" s="19" t="str">
        <f>IF($B1503="","",IFERROR(INDEX('Staff Directory'!$D$5:$D$594,MATCH($B1503,'Staff Directory'!$A$5:$A$594,0)),""))</f>
        <v>A5</v>
      </c>
      <c r="F1503" s="9" t="s">
        <v>127</v>
      </c>
      <c r="G1503" s="18" t="str">
        <f>IF($F1503="","",IFERROR(INDEX(Items!$B$5:$B$597,MATCH($F1503,Items!$A$5:$A$597,0)),"⚠ not in Items"))</f>
        <v>Gloves</v>
      </c>
      <c r="H1503" s="19" t="str">
        <f>IF($F1503="","",IFERROR(INDEX(Items!$C$5:$C$597,MATCH($F1503,Items!$A$5:$A$597,0)),""))</f>
        <v>Medium</v>
      </c>
      <c r="I1503" s="23">
        <f>IF($F1503="","",IFERROR(INDEX(Items!$E$5:$E$597,MATCH($F1503,Items!$A$5:$A$597,0)),""))</f>
        <v>500</v>
      </c>
      <c r="J1503" s="115">
        <f>IF(tblIssues[[#This Row],[Qty Override]]&lt;&gt;"",tblIssues[[#This Row],[Qty Override]],IF(tblIssues[[#This Row],[Standard Issue]]="","",tblIssues[[#This Row],[Standard Issue]]))</f>
        <v>500</v>
      </c>
      <c r="K1503" s="20">
        <f>IF($F1503="","",IFERROR(INDEX(Items!$D$5:$D$597,MATCH($F1503,Items!$A$5:$A$597,0)),""))</f>
        <v>5.5E-2</v>
      </c>
      <c r="L1503" s="21">
        <f t="shared" si="261"/>
        <v>27.5</v>
      </c>
      <c r="M1503" s="9" t="str">
        <f t="shared" si="259"/>
        <v>ZIM510137962-2</v>
      </c>
      <c r="N1503" s="24">
        <f>IF($A1503="","",WORKDAY($A1503,Settings!$C$9,HolidayDates))</f>
        <v>46216</v>
      </c>
      <c r="O1503" s="24">
        <f>IF($N1503="","",WORKDAY($N1503,Settings!$C$10,HolidayDates))</f>
        <v>46254</v>
      </c>
      <c r="P1503" s="10" t="s">
        <v>501</v>
      </c>
      <c r="Q1503" s="52" t="str">
        <f t="shared" si="262"/>
        <v>Collected</v>
      </c>
      <c r="R1503" s="55" t="str">
        <f t="shared" si="263"/>
        <v>2026-07</v>
      </c>
      <c r="S1503" s="55">
        <f>IF(OR($B1503="",$F1503="",$R1503=""),"",SUMIFS(tblIssues[Qty Issued],tblIssues[Staff ID],$B1503,tblIssues[Item Name],$F1503,tblIssues[Month],$R1503))</f>
        <v>500</v>
      </c>
      <c r="T1503" s="56">
        <f>IF($I1503="","",$I1503*Settings!$C$11)</f>
        <v>500</v>
      </c>
      <c r="U1503" s="57" t="str">
        <f t="shared" si="260"/>
        <v>OK</v>
      </c>
      <c r="V1503" s="55" t="str">
        <f t="shared" si="264"/>
        <v/>
      </c>
      <c r="W1503" s="55" t="str">
        <f>IF($V1503="","",IF(COUNTIF($V$5:$V1503,$V1503)=1,1,""))</f>
        <v/>
      </c>
      <c r="X1503" s="58" t="str">
        <f>IF($W1503="","",MAX($X$4:X1502)+1)</f>
        <v/>
      </c>
      <c r="Y1503" s="62"/>
      <c r="Z1503" s="62"/>
      <c r="AA1503" s="64" t="str">
        <f>IF($C1503="","",IFERROR(INDEX('Staff Directory'!$E$5:$E$594,MATCH($C1503,'Staff Directory'!$B$5:$B$594,0)),""))</f>
        <v>firstname181.lastname181@example.com</v>
      </c>
      <c r="AB1503" s="64" t="str">
        <f>IF($C1503="","",IF(ISNUMBER(SEARCH($D1503,Settings!$C$15)),"Pickup","Dispatch"))</f>
        <v>Pickup</v>
      </c>
      <c r="AC1503" s="64" t="str">
        <f t="shared" si="265"/>
        <v>Supply order ready for pickup</v>
      </c>
      <c r="AD1503" s="64" t="str">
        <f t="shared" si="256"/>
        <v>Dear PSW,
Your order is ready for pickup from Sample Branch, Wed-Fri 9am-4pm.</v>
      </c>
      <c r="AE1503" s="64" t="str">
        <f t="shared" si="257"/>
        <v>mailto:firstname181.lastname181@example.com?subject=Supply%20order%20ready%20for%20pickup&amp;body=Dear%20PSW%2C%0A%0AYour%20order%20is%20ready%20for%20pickup%20from%20Sample%20Branch%2C%20Wed-Fri%209am-4pm.</v>
      </c>
      <c r="AF1503" s="89" t="str">
        <f t="shared" si="266"/>
        <v>Draft email</v>
      </c>
      <c r="AG1503" s="64" t="str">
        <f>IF($C1503="","",IFERROR(INDEX('Staff Directory'!$K$595:$K$599,MATCH($C1503,'Staff Directory'!$B$5:$B$599,0)),$D1503))</f>
        <v>PSW</v>
      </c>
      <c r="AH1503" t="str">
        <f>IF($C1503="","",IFERROR(INDEX('Staff Directory'!$I$595:$I$599,MATCH($C1503,'Staff Directory'!$B$5:$B$599,0))&amp;" "&amp;INDEX('Staff Directory'!$J$595:$J$599,MATCH($C1503,'Staff Directory'!$B$5:$B$599,0)),$AG1503))</f>
        <v>PSW</v>
      </c>
      <c r="AI1503" s="102"/>
      <c r="AJ1503" s="101">
        <f>IF($F1503="","",SUMIFS($J$5:$J1503,$F$5:$F1503,$F1503))</f>
        <v>93500</v>
      </c>
      <c r="AK1503" s="101">
        <f t="shared" si="258"/>
        <v>93001</v>
      </c>
      <c r="AL1503" s="66" t="str" cm="1">
        <f t="array" ref="AL1503">IF($F1503="","",IFERROR(INDEX('Lot Balance'!$B$5:$B$500,MATCH(1,INDEX(('Lot Balance'!$A$5:$A$500=$F1503)*('Lot Balance'!$K$5:$K$500&lt;$AK1503)*('Lot Balance'!$K$5:$K$500+'Lot Balance'!$D$5:$D$500&gt;=$AK1503),0),0)),""))</f>
        <v>ZIM510137962-2</v>
      </c>
      <c r="AM1503" s="66" t="str" cm="1">
        <f t="array" ref="AM1503">IF($F1503="","",IFERROR(INDEX('Lot Balance'!$B$5:$B$500,MATCH(1,INDEX(('Lot Balance'!$A$5:$A$500=$F1503)*('Lot Balance'!$K$5:$K$500&lt;$AJ1503)*('Lot Balance'!$K$5:$K$500+'Lot Balance'!$D$5:$D$500&gt;=$AJ1503),0),0)),""))</f>
        <v>ZIM510137962-2</v>
      </c>
      <c r="AN1503" s="66" t="str">
        <f>IF($F1503="","",IF($AI1503&lt;&gt;"",IF(COUNTIFS('Lot Balance'!$A$5:$A$500,$F1503,'Lot Balance'!$B$5:$B$500,$AI1503)=0,"⚠ override is not a lot of this item",IF($AI1503=$AL1503,"Override = FEFO","Override - FEFO says "&amp;$AL1503)),IF($AL1503="","⚠ no receipt on file for this item",IF($AM1503&lt;&gt;$AL1503,"FEFO auto - split, also "&amp;$AM1503,"FEFO auto"))))</f>
        <v>FEFO auto</v>
      </c>
      <c r="AO1503" s="114"/>
    </row>
    <row r="1504" spans="1:41" x14ac:dyDescent="0.35">
      <c r="A1504" s="74">
        <v>46206</v>
      </c>
      <c r="B1504" s="18" t="str">
        <f>IF($C1504="","",IFERROR(INDEX('Staff Directory'!$A$5:$A$594,MATCH($C1504,'Staff Directory'!$B$5:$B$594,0)),"⚠ unknown staff"))</f>
        <v>PSW-118-A5</v>
      </c>
      <c r="C1504" s="49" t="s">
        <v>1097</v>
      </c>
      <c r="D1504" s="19" t="str">
        <f>IF($B1504="","",IFERROR(INDEX('Staff Directory'!$C$5:$C$594,MATCH($B1504,'Staff Directory'!$A$5:$A$594,0)),""))</f>
        <v>PSW</v>
      </c>
      <c r="E1504" s="19" t="str">
        <f>IF($B1504="","",IFERROR(INDEX('Staff Directory'!$D$5:$D$594,MATCH($B1504,'Staff Directory'!$A$5:$A$594,0)),""))</f>
        <v>A5</v>
      </c>
      <c r="F1504" s="9" t="s">
        <v>191</v>
      </c>
      <c r="G1504" s="18" t="str">
        <f>IF($F1504="","",IFERROR(INDEX(Items!$B$5:$B$597,MATCH($F1504,Items!$A$5:$A$597,0)),"⚠ not in Items"))</f>
        <v>Sanitizer</v>
      </c>
      <c r="H1504" s="19" t="str">
        <f>IF($F1504="","",IFERROR(INDEX(Items!$C$5:$C$597,MATCH($F1504,Items!$A$5:$A$597,0)),""))</f>
        <v>236 ML</v>
      </c>
      <c r="I1504" s="23">
        <f>IF($F1504="","",IFERROR(INDEX(Items!$E$5:$E$597,MATCH($F1504,Items!$A$5:$A$597,0)),""))</f>
        <v>1</v>
      </c>
      <c r="J1504" s="115">
        <f>IF(tblIssues[[#This Row],[Qty Override]]&lt;&gt;"",tblIssues[[#This Row],[Qty Override]],IF(tblIssues[[#This Row],[Standard Issue]]="","",tblIssues[[#This Row],[Standard Issue]]))</f>
        <v>1</v>
      </c>
      <c r="K1504" s="20">
        <f>IF($F1504="","",IFERROR(INDEX(Items!$D$5:$D$597,MATCH($F1504,Items!$A$5:$A$597,0)),""))</f>
        <v>1E-4</v>
      </c>
      <c r="L1504" s="21">
        <f t="shared" si="261"/>
        <v>1E-4</v>
      </c>
      <c r="M1504" s="9" t="str">
        <f t="shared" si="259"/>
        <v/>
      </c>
      <c r="N1504" s="24">
        <f>IF($A1504="","",WORKDAY($A1504,Settings!$C$9,HolidayDates))</f>
        <v>46216</v>
      </c>
      <c r="O1504" s="24">
        <f>IF($N1504="","",WORKDAY($N1504,Settings!$C$10,HolidayDates))</f>
        <v>46254</v>
      </c>
      <c r="P1504" s="10" t="s">
        <v>501</v>
      </c>
      <c r="Q1504" s="52" t="str">
        <f t="shared" si="262"/>
        <v>Collected</v>
      </c>
      <c r="R1504" s="55" t="str">
        <f t="shared" si="263"/>
        <v>2026-07</v>
      </c>
      <c r="S1504" s="55">
        <f>IF(OR($B1504="",$F1504="",$R1504=""),"",SUMIFS(tblIssues[Qty Issued],tblIssues[Staff ID],$B1504,tblIssues[Item Name],$F1504,tblIssues[Month],$R1504))</f>
        <v>1</v>
      </c>
      <c r="T1504" s="56">
        <f>IF($I1504="","",$I1504*Settings!$C$11)</f>
        <v>1</v>
      </c>
      <c r="U1504" s="57" t="str">
        <f t="shared" si="260"/>
        <v>OK</v>
      </c>
      <c r="V1504" s="55" t="str">
        <f t="shared" si="264"/>
        <v/>
      </c>
      <c r="W1504" s="55" t="str">
        <f>IF($V1504="","",IF(COUNTIF($V$5:$V1504,$V1504)=1,1,""))</f>
        <v/>
      </c>
      <c r="X1504" s="58" t="str">
        <f>IF($W1504="","",MAX($X$4:X1503)+1)</f>
        <v/>
      </c>
      <c r="Y1504" s="62"/>
      <c r="Z1504" s="62"/>
      <c r="AA1504" s="64" t="str">
        <f>IF($C1504="","",IFERROR(INDEX('Staff Directory'!$E$5:$E$594,MATCH($C1504,'Staff Directory'!$B$5:$B$594,0)),""))</f>
        <v>firstname181.lastname181@example.com</v>
      </c>
      <c r="AB1504" s="64" t="str">
        <f>IF($C1504="","",IF(ISNUMBER(SEARCH($D1504,Settings!$C$15)),"Pickup","Dispatch"))</f>
        <v>Pickup</v>
      </c>
      <c r="AC1504" s="64" t="str">
        <f t="shared" si="265"/>
        <v>Supply order ready for pickup</v>
      </c>
      <c r="AD1504" s="64" t="str">
        <f t="shared" si="256"/>
        <v>Dear PSW,
Your order is ready for pickup from Sample Branch, Wed-Fri 9am-4pm.</v>
      </c>
      <c r="AE1504" s="64" t="str">
        <f t="shared" si="257"/>
        <v>mailto:firstname181.lastname181@example.com?subject=Supply%20order%20ready%20for%20pickup&amp;body=Dear%20PSW%2C%0A%0AYour%20order%20is%20ready%20for%20pickup%20from%20Sample%20Branch%2C%20Wed-Fri%209am-4pm.</v>
      </c>
      <c r="AF1504" s="89" t="str">
        <f t="shared" si="266"/>
        <v>Draft email</v>
      </c>
      <c r="AG1504" s="64" t="str">
        <f>IF($C1504="","",IFERROR(INDEX('Staff Directory'!$K$595:$K$599,MATCH($C1504,'Staff Directory'!$B$5:$B$599,0)),$D1504))</f>
        <v>PSW</v>
      </c>
      <c r="AH1504" t="str">
        <f>IF($C1504="","",IFERROR(INDEX('Staff Directory'!$I$595:$I$599,MATCH($C1504,'Staff Directory'!$B$5:$B$599,0))&amp;" "&amp;INDEX('Staff Directory'!$J$595:$J$599,MATCH($C1504,'Staff Directory'!$B$5:$B$599,0)),$AG1504))</f>
        <v>PSW</v>
      </c>
      <c r="AI1504" s="102"/>
      <c r="AJ1504" s="101">
        <f>IF($F1504="","",SUMIFS($J$5:$J1504,$F$5:$F1504,$F1504))</f>
        <v>203</v>
      </c>
      <c r="AK1504" s="101">
        <f t="shared" si="258"/>
        <v>203</v>
      </c>
      <c r="AL1504" s="66" t="str" cm="1">
        <f t="array" ref="AL1504">IF($F1504="","",IFERROR(INDEX('Lot Balance'!$B$5:$B$500,MATCH(1,INDEX(('Lot Balance'!$A$5:$A$500=$F1504)*('Lot Balance'!$K$5:$K$500&lt;$AK1504)*('Lot Balance'!$K$5:$K$500+'Lot Balance'!$D$5:$D$500&gt;=$AK1504),0),0)),""))</f>
        <v/>
      </c>
      <c r="AM1504" s="66" t="str" cm="1">
        <f t="array" ref="AM1504">IF($F1504="","",IFERROR(INDEX('Lot Balance'!$B$5:$B$500,MATCH(1,INDEX(('Lot Balance'!$A$5:$A$500=$F1504)*('Lot Balance'!$K$5:$K$500&lt;$AJ1504)*('Lot Balance'!$K$5:$K$500+'Lot Balance'!$D$5:$D$500&gt;=$AJ1504),0),0)),""))</f>
        <v/>
      </c>
      <c r="AN1504" s="66" t="str">
        <f>IF($F1504="","",IF($AI1504&lt;&gt;"",IF(COUNTIFS('Lot Balance'!$A$5:$A$500,$F1504,'Lot Balance'!$B$5:$B$500,$AI1504)=0,"⚠ override is not a lot of this item",IF($AI1504=$AL1504,"Override = FEFO","Override - FEFO says "&amp;$AL1504)),IF($AL1504="","⚠ no receipt on file for this item",IF($AM1504&lt;&gt;$AL1504,"FEFO auto - split, also "&amp;$AM1504,"FEFO auto"))))</f>
        <v>⚠ no receipt on file for this item</v>
      </c>
      <c r="AO1504" s="114"/>
    </row>
    <row r="1505" spans="1:41" x14ac:dyDescent="0.35">
      <c r="A1505" s="74">
        <v>46206</v>
      </c>
      <c r="B1505" s="18" t="str">
        <f>IF($C1505="","",IFERROR(INDEX('Staff Directory'!$A$5:$A$594,MATCH($C1505,'Staff Directory'!$B$5:$B$594,0)),"⚠ unknown staff"))</f>
        <v>PSW-118-A5</v>
      </c>
      <c r="C1505" s="49" t="s">
        <v>1097</v>
      </c>
      <c r="D1505" s="19" t="str">
        <f>IF($B1505="","",IFERROR(INDEX('Staff Directory'!$C$5:$C$594,MATCH($B1505,'Staff Directory'!$A$5:$A$594,0)),""))</f>
        <v>PSW</v>
      </c>
      <c r="E1505" s="19" t="str">
        <f>IF($B1505="","",IFERROR(INDEX('Staff Directory'!$D$5:$D$594,MATCH($B1505,'Staff Directory'!$A$5:$A$594,0)),""))</f>
        <v>A5</v>
      </c>
      <c r="F1505" s="9" t="s">
        <v>156</v>
      </c>
      <c r="G1505" s="18" t="str">
        <f>IF($F1505="","",IFERROR(INDEX(Items!$B$5:$B$597,MATCH($F1505,Items!$A$5:$A$597,0)),"⚠ not in Items"))</f>
        <v>Masks</v>
      </c>
      <c r="H1505" s="19" t="str">
        <f>IF($F1505="","",IFERROR(INDEX(Items!$C$5:$C$597,MATCH($F1505,Items!$A$5:$A$597,0)),""))</f>
        <v>One Size</v>
      </c>
      <c r="I1505" s="23">
        <f>IF($F1505="","",IFERROR(INDEX(Items!$E$5:$E$597,MATCH($F1505,Items!$A$5:$A$597,0)),""))</f>
        <v>50</v>
      </c>
      <c r="J1505" s="115">
        <f>IF(tblIssues[[#This Row],[Qty Override]]&lt;&gt;"",tblIssues[[#This Row],[Qty Override]],IF(tblIssues[[#This Row],[Standard Issue]]="","",tblIssues[[#This Row],[Standard Issue]]))</f>
        <v>50</v>
      </c>
      <c r="K1505" s="20">
        <f>IF($F1505="","",IFERROR(INDEX(Items!$D$5:$D$597,MATCH($F1505,Items!$A$5:$A$597,0)),""))</f>
        <v>0.25</v>
      </c>
      <c r="L1505" s="21">
        <f t="shared" si="261"/>
        <v>12.5</v>
      </c>
      <c r="M1505" s="9" t="str">
        <f t="shared" si="259"/>
        <v>24HA2050A7396</v>
      </c>
      <c r="N1505" s="24">
        <f>IF($A1505="","",WORKDAY($A1505,Settings!$C$9,HolidayDates))</f>
        <v>46216</v>
      </c>
      <c r="O1505" s="24">
        <f>IF($N1505="","",WORKDAY($N1505,Settings!$C$10,HolidayDates))</f>
        <v>46254</v>
      </c>
      <c r="P1505" s="10" t="s">
        <v>501</v>
      </c>
      <c r="Q1505" s="52" t="str">
        <f t="shared" si="262"/>
        <v>Collected</v>
      </c>
      <c r="R1505" s="55" t="str">
        <f t="shared" si="263"/>
        <v>2026-07</v>
      </c>
      <c r="S1505" s="55">
        <f>IF(OR($B1505="",$F1505="",$R1505=""),"",SUMIFS(tblIssues[Qty Issued],tblIssues[Staff ID],$B1505,tblIssues[Item Name],$F1505,tblIssues[Month],$R1505))</f>
        <v>50</v>
      </c>
      <c r="T1505" s="56">
        <f>IF($I1505="","",$I1505*Settings!$C$11)</f>
        <v>50</v>
      </c>
      <c r="U1505" s="57" t="str">
        <f t="shared" si="260"/>
        <v>OK</v>
      </c>
      <c r="V1505" s="55" t="str">
        <f t="shared" si="264"/>
        <v/>
      </c>
      <c r="W1505" s="55" t="str">
        <f>IF($V1505="","",IF(COUNTIF($V$5:$V1505,$V1505)=1,1,""))</f>
        <v/>
      </c>
      <c r="X1505" s="58" t="str">
        <f>IF($W1505="","",MAX($X$4:X1504)+1)</f>
        <v/>
      </c>
      <c r="Y1505" s="62"/>
      <c r="Z1505" s="62"/>
      <c r="AA1505" s="64" t="str">
        <f>IF($C1505="","",IFERROR(INDEX('Staff Directory'!$E$5:$E$594,MATCH($C1505,'Staff Directory'!$B$5:$B$594,0)),""))</f>
        <v>firstname181.lastname181@example.com</v>
      </c>
      <c r="AB1505" s="64" t="str">
        <f>IF($C1505="","",IF(ISNUMBER(SEARCH($D1505,Settings!$C$15)),"Pickup","Dispatch"))</f>
        <v>Pickup</v>
      </c>
      <c r="AC1505" s="64" t="str">
        <f t="shared" si="265"/>
        <v>Supply order ready for pickup</v>
      </c>
      <c r="AD1505" s="64" t="str">
        <f t="shared" si="256"/>
        <v>Dear PSW,
Your order is ready for pickup from Sample Branch, Wed-Fri 9am-4pm.</v>
      </c>
      <c r="AE1505" s="64" t="str">
        <f t="shared" si="257"/>
        <v>mailto:firstname181.lastname181@example.com?subject=Supply%20order%20ready%20for%20pickup&amp;body=Dear%20PSW%2C%0A%0AYour%20order%20is%20ready%20for%20pickup%20from%20Sample%20Branch%2C%20Wed-Fri%209am-4pm.</v>
      </c>
      <c r="AF1505" s="89" t="str">
        <f t="shared" si="266"/>
        <v>Draft email</v>
      </c>
      <c r="AG1505" s="64" t="str">
        <f>IF($C1505="","",IFERROR(INDEX('Staff Directory'!$K$595:$K$599,MATCH($C1505,'Staff Directory'!$B$5:$B$599,0)),$D1505))</f>
        <v>PSW</v>
      </c>
      <c r="AH1505" t="str">
        <f>IF($C1505="","",IFERROR(INDEX('Staff Directory'!$I$595:$I$599,MATCH($C1505,'Staff Directory'!$B$5:$B$599,0))&amp;" "&amp;INDEX('Staff Directory'!$J$595:$J$599,MATCH($C1505,'Staff Directory'!$B$5:$B$599,0)),$AG1505))</f>
        <v>PSW</v>
      </c>
      <c r="AI1505" s="102"/>
      <c r="AJ1505" s="101">
        <f>IF($F1505="","",SUMIFS($J$5:$J1505,$F$5:$F1505,$F1505))</f>
        <v>13050</v>
      </c>
      <c r="AK1505" s="101">
        <f t="shared" si="258"/>
        <v>13001</v>
      </c>
      <c r="AL1505" s="66" t="str" cm="1">
        <f t="array" ref="AL1505">IF($F1505="","",IFERROR(INDEX('Lot Balance'!$B$5:$B$500,MATCH(1,INDEX(('Lot Balance'!$A$5:$A$500=$F1505)*('Lot Balance'!$K$5:$K$500&lt;$AK1505)*('Lot Balance'!$K$5:$K$500+'Lot Balance'!$D$5:$D$500&gt;=$AK1505),0),0)),""))</f>
        <v>24HA2050A7396</v>
      </c>
      <c r="AM1505" s="66" t="str" cm="1">
        <f t="array" ref="AM1505">IF($F1505="","",IFERROR(INDEX('Lot Balance'!$B$5:$B$500,MATCH(1,INDEX(('Lot Balance'!$A$5:$A$500=$F1505)*('Lot Balance'!$K$5:$K$500&lt;$AJ1505)*('Lot Balance'!$K$5:$K$500+'Lot Balance'!$D$5:$D$500&gt;=$AJ1505),0),0)),""))</f>
        <v>24HA2050A7396</v>
      </c>
      <c r="AN1505" s="66" t="str">
        <f>IF($F1505="","",IF($AI1505&lt;&gt;"",IF(COUNTIFS('Lot Balance'!$A$5:$A$500,$F1505,'Lot Balance'!$B$5:$B$500,$AI1505)=0,"⚠ override is not a lot of this item",IF($AI1505=$AL1505,"Override = FEFO","Override - FEFO says "&amp;$AL1505)),IF($AL1505="","⚠ no receipt on file for this item",IF($AM1505&lt;&gt;$AL1505,"FEFO auto - split, also "&amp;$AM1505,"FEFO auto"))))</f>
        <v>FEFO auto</v>
      </c>
      <c r="AO1505" s="114"/>
    </row>
    <row r="1506" spans="1:41" x14ac:dyDescent="0.35">
      <c r="A1506" s="74">
        <v>46206</v>
      </c>
      <c r="B1506" s="18" t="str">
        <f>IF($C1506="","",IFERROR(INDEX('Staff Directory'!$A$5:$A$594,MATCH($C1506,'Staff Directory'!$B$5:$B$594,0)),"⚠ unknown staff"))</f>
        <v>PSW-087-A4</v>
      </c>
      <c r="C1506" s="49" t="s">
        <v>1063</v>
      </c>
      <c r="D1506" s="19" t="str">
        <f>IF($B1506="","",IFERROR(INDEX('Staff Directory'!$C$5:$C$594,MATCH($B1506,'Staff Directory'!$A$5:$A$594,0)),""))</f>
        <v>PSW</v>
      </c>
      <c r="E1506" s="19" t="str">
        <f>IF($B1506="","",IFERROR(INDEX('Staff Directory'!$D$5:$D$594,MATCH($B1506,'Staff Directory'!$A$5:$A$594,0)),""))</f>
        <v>A4</v>
      </c>
      <c r="F1506" s="9" t="s">
        <v>129</v>
      </c>
      <c r="G1506" s="18" t="str">
        <f>IF($F1506="","",IFERROR(INDEX(Items!$B$5:$B$597,MATCH($F1506,Items!$A$5:$A$597,0)),"⚠ not in Items"))</f>
        <v>Gloves</v>
      </c>
      <c r="H1506" s="19" t="str">
        <f>IF($F1506="","",IFERROR(INDEX(Items!$C$5:$C$597,MATCH($F1506,Items!$A$5:$A$597,0)),""))</f>
        <v>Small</v>
      </c>
      <c r="I1506" s="23">
        <f>IF($F1506="","",IFERROR(INDEX(Items!$E$5:$E$597,MATCH($F1506,Items!$A$5:$A$597,0)),""))</f>
        <v>500</v>
      </c>
      <c r="J1506" s="115">
        <f>IF(tblIssues[[#This Row],[Qty Override]]&lt;&gt;"",tblIssues[[#This Row],[Qty Override]],IF(tblIssues[[#This Row],[Standard Issue]]="","",tblIssues[[#This Row],[Standard Issue]]))</f>
        <v>500</v>
      </c>
      <c r="K1506" s="20">
        <f>IF($F1506="","",IFERROR(INDEX(Items!$D$5:$D$597,MATCH($F1506,Items!$A$5:$A$597,0)),""))</f>
        <v>5.5E-2</v>
      </c>
      <c r="L1506" s="21">
        <f t="shared" si="261"/>
        <v>27.5</v>
      </c>
      <c r="M1506" s="9" t="str">
        <f t="shared" si="259"/>
        <v>ZIM502120291</v>
      </c>
      <c r="N1506" s="24">
        <f>IF($A1506="","",WORKDAY($A1506,Settings!$C$9,HolidayDates))</f>
        <v>46216</v>
      </c>
      <c r="O1506" s="24">
        <f>IF($N1506="","",WORKDAY($N1506,Settings!$C$10,HolidayDates))</f>
        <v>46254</v>
      </c>
      <c r="P1506" s="10" t="s">
        <v>501</v>
      </c>
      <c r="Q1506" s="52" t="str">
        <f t="shared" si="262"/>
        <v>Collected</v>
      </c>
      <c r="R1506" s="55" t="str">
        <f t="shared" si="263"/>
        <v>2026-07</v>
      </c>
      <c r="S1506" s="55">
        <f>IF(OR($B1506="",$F1506="",$R1506=""),"",SUMIFS(tblIssues[Qty Issued],tblIssues[Staff ID],$B1506,tblIssues[Item Name],$F1506,tblIssues[Month],$R1506))</f>
        <v>500</v>
      </c>
      <c r="T1506" s="56">
        <f>IF($I1506="","",$I1506*Settings!$C$11)</f>
        <v>500</v>
      </c>
      <c r="U1506" s="57" t="str">
        <f t="shared" si="260"/>
        <v>OK</v>
      </c>
      <c r="V1506" s="55" t="str">
        <f t="shared" si="264"/>
        <v/>
      </c>
      <c r="W1506" s="55" t="str">
        <f>IF($V1506="","",IF(COUNTIF($V$5:$V1506,$V1506)=1,1,""))</f>
        <v/>
      </c>
      <c r="X1506" s="58" t="str">
        <f>IF($W1506="","",MAX($X$4:X1505)+1)</f>
        <v/>
      </c>
      <c r="Y1506" s="62"/>
      <c r="Z1506" s="62"/>
      <c r="AA1506" s="64" t="str">
        <f>IF($C1506="","",IFERROR(INDEX('Staff Directory'!$E$5:$E$594,MATCH($C1506,'Staff Directory'!$B$5:$B$594,0)),""))</f>
        <v>firstname147.lastname147@example.com</v>
      </c>
      <c r="AB1506" s="64" t="str">
        <f>IF($C1506="","",IF(ISNUMBER(SEARCH($D1506,Settings!$C$15)),"Pickup","Dispatch"))</f>
        <v>Pickup</v>
      </c>
      <c r="AC1506" s="64" t="str">
        <f t="shared" si="265"/>
        <v>Supply order ready for pickup</v>
      </c>
      <c r="AD1506" s="64" t="str">
        <f t="shared" si="256"/>
        <v>Dear PSW,
Your order is ready for pickup from Sample Branch, Wed-Fri 9am-4pm.</v>
      </c>
      <c r="AE1506" s="64" t="str">
        <f t="shared" si="257"/>
        <v>mailto:firstname147.lastname147@example.com?subject=Supply%20order%20ready%20for%20pickup&amp;body=Dear%20PSW%2C%0A%0AYour%20order%20is%20ready%20for%20pickup%20from%20Sample%20Branch%2C%20Wed-Fri%209am-4pm.</v>
      </c>
      <c r="AF1506" s="89" t="str">
        <f t="shared" si="266"/>
        <v>Draft email</v>
      </c>
      <c r="AG1506" s="64" t="str">
        <f>IF($C1506="","",IFERROR(INDEX('Staff Directory'!$K$595:$K$599,MATCH($C1506,'Staff Directory'!$B$5:$B$599,0)),$D1506))</f>
        <v>PSW</v>
      </c>
      <c r="AH1506" t="str">
        <f>IF($C1506="","",IFERROR(INDEX('Staff Directory'!$I$595:$I$599,MATCH($C1506,'Staff Directory'!$B$5:$B$599,0))&amp;" "&amp;INDEX('Staff Directory'!$J$595:$J$599,MATCH($C1506,'Staff Directory'!$B$5:$B$599,0)),$AG1506))</f>
        <v>PSW</v>
      </c>
      <c r="AI1506" s="102"/>
      <c r="AJ1506" s="101">
        <f>IF($F1506="","",SUMIFS($J$5:$J1506,$F$5:$F1506,$F1506))</f>
        <v>45500</v>
      </c>
      <c r="AK1506" s="101">
        <f t="shared" si="258"/>
        <v>45001</v>
      </c>
      <c r="AL1506" s="66" t="str" cm="1">
        <f t="array" ref="AL1506">IF($F1506="","",IFERROR(INDEX('Lot Balance'!$B$5:$B$500,MATCH(1,INDEX(('Lot Balance'!$A$5:$A$500=$F1506)*('Lot Balance'!$K$5:$K$500&lt;$AK1506)*('Lot Balance'!$K$5:$K$500+'Lot Balance'!$D$5:$D$500&gt;=$AK1506),0),0)),""))</f>
        <v>ZIM502120291</v>
      </c>
      <c r="AM1506" s="66" t="str" cm="1">
        <f t="array" ref="AM1506">IF($F1506="","",IFERROR(INDEX('Lot Balance'!$B$5:$B$500,MATCH(1,INDEX(('Lot Balance'!$A$5:$A$500=$F1506)*('Lot Balance'!$K$5:$K$500&lt;$AJ1506)*('Lot Balance'!$K$5:$K$500+'Lot Balance'!$D$5:$D$500&gt;=$AJ1506),0),0)),""))</f>
        <v>ZIM502120291</v>
      </c>
      <c r="AN1506" s="66" t="str">
        <f>IF($F1506="","",IF($AI1506&lt;&gt;"",IF(COUNTIFS('Lot Balance'!$A$5:$A$500,$F1506,'Lot Balance'!$B$5:$B$500,$AI1506)=0,"⚠ override is not a lot of this item",IF($AI1506=$AL1506,"Override = FEFO","Override - FEFO says "&amp;$AL1506)),IF($AL1506="","⚠ no receipt on file for this item",IF($AM1506&lt;&gt;$AL1506,"FEFO auto - split, also "&amp;$AM1506,"FEFO auto"))))</f>
        <v>FEFO auto</v>
      </c>
      <c r="AO1506" s="114"/>
    </row>
    <row r="1507" spans="1:41" x14ac:dyDescent="0.35">
      <c r="A1507" s="74">
        <v>46206</v>
      </c>
      <c r="B1507" s="18" t="str">
        <f>IF($C1507="","",IFERROR(INDEX('Staff Directory'!$A$5:$A$594,MATCH($C1507,'Staff Directory'!$B$5:$B$594,0)),"⚠ unknown staff"))</f>
        <v>PSW-087-A4</v>
      </c>
      <c r="C1507" s="49" t="s">
        <v>1063</v>
      </c>
      <c r="D1507" s="19" t="str">
        <f>IF($B1507="","",IFERROR(INDEX('Staff Directory'!$C$5:$C$594,MATCH($B1507,'Staff Directory'!$A$5:$A$594,0)),""))</f>
        <v>PSW</v>
      </c>
      <c r="E1507" s="19" t="str">
        <f>IF($B1507="","",IFERROR(INDEX('Staff Directory'!$D$5:$D$594,MATCH($B1507,'Staff Directory'!$A$5:$A$594,0)),""))</f>
        <v>A4</v>
      </c>
      <c r="F1507" s="9" t="s">
        <v>115</v>
      </c>
      <c r="G1507" s="18" t="str">
        <f>IF($F1507="","",IFERROR(INDEX(Items!$B$5:$B$597,MATCH($F1507,Items!$A$5:$A$597,0)),"⚠ not in Items"))</f>
        <v>Wipes</v>
      </c>
      <c r="H1507" s="19">
        <f>IF($F1507="","",IFERROR(INDEX(Items!$C$5:$C$597,MATCH($F1507,Items!$A$5:$A$597,0)),""))</f>
        <v>80</v>
      </c>
      <c r="I1507" s="23">
        <f>IF($F1507="","",IFERROR(INDEX(Items!$E$5:$E$597,MATCH($F1507,Items!$A$5:$A$597,0)),""))</f>
        <v>80</v>
      </c>
      <c r="J1507" s="115">
        <f>IF(tblIssues[[#This Row],[Qty Override]]&lt;&gt;"",tblIssues[[#This Row],[Qty Override]],IF(tblIssues[[#This Row],[Standard Issue]]="","",tblIssues[[#This Row],[Standard Issue]]))</f>
        <v>80</v>
      </c>
      <c r="K1507" s="20">
        <f>IF($F1507="","",IFERROR(INDEX(Items!$D$5:$D$597,MATCH($F1507,Items!$A$5:$A$597,0)),""))</f>
        <v>0.1</v>
      </c>
      <c r="L1507" s="21">
        <f t="shared" si="261"/>
        <v>8</v>
      </c>
      <c r="M1507" s="9" t="str">
        <f t="shared" si="259"/>
        <v>LYSL500290</v>
      </c>
      <c r="N1507" s="24">
        <f>IF($A1507="","",WORKDAY($A1507,Settings!$C$9,HolidayDates))</f>
        <v>46216</v>
      </c>
      <c r="O1507" s="24">
        <f>IF($N1507="","",WORKDAY($N1507,Settings!$C$10,HolidayDates))</f>
        <v>46254</v>
      </c>
      <c r="P1507" s="10" t="s">
        <v>501</v>
      </c>
      <c r="Q1507" s="52" t="str">
        <f t="shared" si="262"/>
        <v>Collected</v>
      </c>
      <c r="R1507" s="55" t="str">
        <f t="shared" si="263"/>
        <v>2026-07</v>
      </c>
      <c r="S1507" s="55">
        <f>IF(OR($B1507="",$F1507="",$R1507=""),"",SUMIFS(tblIssues[Qty Issued],tblIssues[Staff ID],$B1507,tblIssues[Item Name],$F1507,tblIssues[Month],$R1507))</f>
        <v>80</v>
      </c>
      <c r="T1507" s="56">
        <f>IF($I1507="","",$I1507*Settings!$C$11)</f>
        <v>80</v>
      </c>
      <c r="U1507" s="57" t="str">
        <f t="shared" si="260"/>
        <v>OK</v>
      </c>
      <c r="V1507" s="55" t="str">
        <f t="shared" si="264"/>
        <v/>
      </c>
      <c r="W1507" s="55" t="str">
        <f>IF($V1507="","",IF(COUNTIF($V$5:$V1507,$V1507)=1,1,""))</f>
        <v/>
      </c>
      <c r="X1507" s="58" t="str">
        <f>IF($W1507="","",MAX($X$4:X1506)+1)</f>
        <v/>
      </c>
      <c r="Y1507" s="62"/>
      <c r="Z1507" s="62"/>
      <c r="AA1507" s="64" t="str">
        <f>IF($C1507="","",IFERROR(INDEX('Staff Directory'!$E$5:$E$594,MATCH($C1507,'Staff Directory'!$B$5:$B$594,0)),""))</f>
        <v>firstname147.lastname147@example.com</v>
      </c>
      <c r="AB1507" s="64" t="str">
        <f>IF($C1507="","",IF(ISNUMBER(SEARCH($D1507,Settings!$C$15)),"Pickup","Dispatch"))</f>
        <v>Pickup</v>
      </c>
      <c r="AC1507" s="64" t="str">
        <f t="shared" si="265"/>
        <v>Supply order ready for pickup</v>
      </c>
      <c r="AD1507" s="64" t="str">
        <f t="shared" si="256"/>
        <v>Dear PSW,
Your order is ready for pickup from Sample Branch, Wed-Fri 9am-4pm.</v>
      </c>
      <c r="AE1507" s="64" t="str">
        <f t="shared" si="257"/>
        <v>mailto:firstname147.lastname147@example.com?subject=Supply%20order%20ready%20for%20pickup&amp;body=Dear%20PSW%2C%0A%0AYour%20order%20is%20ready%20for%20pickup%20from%20Sample%20Branch%2C%20Wed-Fri%209am-4pm.</v>
      </c>
      <c r="AF1507" s="89" t="str">
        <f t="shared" si="266"/>
        <v>Draft email</v>
      </c>
      <c r="AG1507" s="64" t="str">
        <f>IF($C1507="","",IFERROR(INDEX('Staff Directory'!$K$595:$K$599,MATCH($C1507,'Staff Directory'!$B$5:$B$599,0)),$D1507))</f>
        <v>PSW</v>
      </c>
      <c r="AH1507" t="str">
        <f>IF($C1507="","",IFERROR(INDEX('Staff Directory'!$I$595:$I$599,MATCH($C1507,'Staff Directory'!$B$5:$B$599,0))&amp;" "&amp;INDEX('Staff Directory'!$J$595:$J$599,MATCH($C1507,'Staff Directory'!$B$5:$B$599,0)),$AG1507))</f>
        <v>PSW</v>
      </c>
      <c r="AI1507" s="102"/>
      <c r="AJ1507" s="101">
        <f>IF($F1507="","",SUMIFS($J$5:$J1507,$F$5:$F1507,$F1507))</f>
        <v>20800</v>
      </c>
      <c r="AK1507" s="101">
        <f t="shared" si="258"/>
        <v>20721</v>
      </c>
      <c r="AL1507" s="66" t="str" cm="1">
        <f t="array" ref="AL1507">IF($F1507="","",IFERROR(INDEX('Lot Balance'!$B$5:$B$500,MATCH(1,INDEX(('Lot Balance'!$A$5:$A$500=$F1507)*('Lot Balance'!$K$5:$K$500&lt;$AK1507)*('Lot Balance'!$K$5:$K$500+'Lot Balance'!$D$5:$D$500&gt;=$AK1507),0),0)),""))</f>
        <v>LYSL500290</v>
      </c>
      <c r="AM1507" s="66" t="str" cm="1">
        <f t="array" ref="AM1507">IF($F1507="","",IFERROR(INDEX('Lot Balance'!$B$5:$B$500,MATCH(1,INDEX(('Lot Balance'!$A$5:$A$500=$F1507)*('Lot Balance'!$K$5:$K$500&lt;$AJ1507)*('Lot Balance'!$K$5:$K$500+'Lot Balance'!$D$5:$D$500&gt;=$AJ1507),0),0)),""))</f>
        <v>LYSL500290</v>
      </c>
      <c r="AN1507" s="66" t="str">
        <f>IF($F1507="","",IF($AI1507&lt;&gt;"",IF(COUNTIFS('Lot Balance'!$A$5:$A$500,$F1507,'Lot Balance'!$B$5:$B$500,$AI1507)=0,"⚠ override is not a lot of this item",IF($AI1507=$AL1507,"Override = FEFO","Override - FEFO says "&amp;$AL1507)),IF($AL1507="","⚠ no receipt on file for this item",IF($AM1507&lt;&gt;$AL1507,"FEFO auto - split, also "&amp;$AM1507,"FEFO auto"))))</f>
        <v>FEFO auto</v>
      </c>
      <c r="AO1507" s="114"/>
    </row>
    <row r="1508" spans="1:41" x14ac:dyDescent="0.35">
      <c r="A1508" s="74">
        <v>46206</v>
      </c>
      <c r="B1508" s="18" t="str">
        <f>IF($C1508="","",IFERROR(INDEX('Staff Directory'!$A$5:$A$594,MATCH($C1508,'Staff Directory'!$B$5:$B$594,0)),"⚠ unknown staff"))</f>
        <v>PSW-087-A4</v>
      </c>
      <c r="C1508" s="49" t="s">
        <v>1063</v>
      </c>
      <c r="D1508" s="19" t="str">
        <f>IF($B1508="","",IFERROR(INDEX('Staff Directory'!$C$5:$C$594,MATCH($B1508,'Staff Directory'!$A$5:$A$594,0)),""))</f>
        <v>PSW</v>
      </c>
      <c r="E1508" s="19" t="str">
        <f>IF($B1508="","",IFERROR(INDEX('Staff Directory'!$D$5:$D$594,MATCH($B1508,'Staff Directory'!$A$5:$A$594,0)),""))</f>
        <v>A4</v>
      </c>
      <c r="F1508" s="9" t="s">
        <v>758</v>
      </c>
      <c r="G1508" s="18" t="str">
        <f>IF($F1508="","",IFERROR(INDEX(Items!$B$5:$B$597,MATCH($F1508,Items!$A$5:$A$597,0)),"⚠ not in Items"))</f>
        <v>Utility</v>
      </c>
      <c r="H1508" s="19" t="str">
        <f>IF($F1508="","",IFERROR(INDEX(Items!$C$5:$C$597,MATCH($F1508,Items!$A$5:$A$597,0)),""))</f>
        <v>Standard</v>
      </c>
      <c r="I1508" s="23">
        <f>IF($F1508="","",IFERROR(INDEX(Items!$E$5:$E$597,MATCH($F1508,Items!$A$5:$A$597,0)),""))</f>
        <v>1</v>
      </c>
      <c r="J1508" s="115">
        <f>IF(tblIssues[[#This Row],[Qty Override]]&lt;&gt;"",tblIssues[[#This Row],[Qty Override]],IF(tblIssues[[#This Row],[Standard Issue]]="","",tblIssues[[#This Row],[Standard Issue]]))</f>
        <v>1</v>
      </c>
      <c r="K1508" s="20">
        <f>IF($F1508="","",IFERROR(INDEX(Items!$D$5:$D$597,MATCH($F1508,Items!$A$5:$A$597,0)),""))</f>
        <v>0</v>
      </c>
      <c r="L1508" s="21">
        <f t="shared" si="261"/>
        <v>0</v>
      </c>
      <c r="M1508" s="9" t="str">
        <f t="shared" si="259"/>
        <v/>
      </c>
      <c r="N1508" s="24">
        <f>IF($A1508="","",WORKDAY($A1508,Settings!$C$9,HolidayDates))</f>
        <v>46216</v>
      </c>
      <c r="O1508" s="24">
        <f>IF($N1508="","",WORKDAY($N1508,Settings!$C$10,HolidayDates))</f>
        <v>46254</v>
      </c>
      <c r="P1508" s="10" t="s">
        <v>501</v>
      </c>
      <c r="Q1508" s="52" t="str">
        <f t="shared" si="262"/>
        <v>Collected</v>
      </c>
      <c r="R1508" s="55" t="str">
        <f t="shared" si="263"/>
        <v>2026-07</v>
      </c>
      <c r="S1508" s="55">
        <f>IF(OR($B1508="",$F1508="",$R1508=""),"",SUMIFS(tblIssues[Qty Issued],tblIssues[Staff ID],$B1508,tblIssues[Item Name],$F1508,tblIssues[Month],$R1508))</f>
        <v>1</v>
      </c>
      <c r="T1508" s="56">
        <f>IF($I1508="","",$I1508*Settings!$C$11)</f>
        <v>1</v>
      </c>
      <c r="U1508" s="57" t="str">
        <f t="shared" si="260"/>
        <v>OK</v>
      </c>
      <c r="V1508" s="55" t="str">
        <f t="shared" si="264"/>
        <v/>
      </c>
      <c r="W1508" s="55" t="str">
        <f>IF($V1508="","",IF(COUNTIF($V$5:$V1508,$V1508)=1,1,""))</f>
        <v/>
      </c>
      <c r="X1508" s="58" t="str">
        <f>IF($W1508="","",MAX($X$4:X1507)+1)</f>
        <v/>
      </c>
      <c r="Y1508" s="62"/>
      <c r="Z1508" s="62"/>
      <c r="AA1508" s="64" t="str">
        <f>IF($C1508="","",IFERROR(INDEX('Staff Directory'!$E$5:$E$594,MATCH($C1508,'Staff Directory'!$B$5:$B$594,0)),""))</f>
        <v>firstname147.lastname147@example.com</v>
      </c>
      <c r="AB1508" s="64" t="str">
        <f>IF($C1508="","",IF(ISNUMBER(SEARCH($D1508,Settings!$C$15)),"Pickup","Dispatch"))</f>
        <v>Pickup</v>
      </c>
      <c r="AC1508" s="64" t="str">
        <f t="shared" si="265"/>
        <v>Supply order ready for pickup</v>
      </c>
      <c r="AD1508" s="64" t="str">
        <f t="shared" si="256"/>
        <v>Dear PSW,
Your order is ready for pickup from Sample Branch, Wed-Fri 9am-4pm.</v>
      </c>
      <c r="AE1508" s="64" t="str">
        <f t="shared" si="257"/>
        <v>mailto:firstname147.lastname147@example.com?subject=Supply%20order%20ready%20for%20pickup&amp;body=Dear%20PSW%2C%0A%0AYour%20order%20is%20ready%20for%20pickup%20from%20Sample%20Branch%2C%20Wed-Fri%209am-4pm.</v>
      </c>
      <c r="AF1508" s="89" t="str">
        <f t="shared" si="266"/>
        <v>Draft email</v>
      </c>
      <c r="AG1508" s="64" t="str">
        <f>IF($C1508="","",IFERROR(INDEX('Staff Directory'!$K$595:$K$599,MATCH($C1508,'Staff Directory'!$B$5:$B$599,0)),$D1508))</f>
        <v>PSW</v>
      </c>
      <c r="AH1508" t="str">
        <f>IF($C1508="","",IFERROR(INDEX('Staff Directory'!$I$595:$I$599,MATCH($C1508,'Staff Directory'!$B$5:$B$599,0))&amp;" "&amp;INDEX('Staff Directory'!$J$595:$J$599,MATCH($C1508,'Staff Directory'!$B$5:$B$599,0)),$AG1508))</f>
        <v>PSW</v>
      </c>
      <c r="AI1508" s="102"/>
      <c r="AJ1508" s="101">
        <f>IF($F1508="","",SUMIFS($J$5:$J1508,$F$5:$F1508,$F1508))</f>
        <v>33</v>
      </c>
      <c r="AK1508" s="101">
        <f t="shared" si="258"/>
        <v>33</v>
      </c>
      <c r="AL1508" s="66" t="str" cm="1">
        <f t="array" ref="AL1508">IF($F1508="","",IFERROR(INDEX('Lot Balance'!$B$5:$B$500,MATCH(1,INDEX(('Lot Balance'!$A$5:$A$500=$F1508)*('Lot Balance'!$K$5:$K$500&lt;$AK1508)*('Lot Balance'!$K$5:$K$500+'Lot Balance'!$D$5:$D$500&gt;=$AK1508),0),0)),""))</f>
        <v/>
      </c>
      <c r="AM1508" s="66" t="str" cm="1">
        <f t="array" ref="AM1508">IF($F1508="","",IFERROR(INDEX('Lot Balance'!$B$5:$B$500,MATCH(1,INDEX(('Lot Balance'!$A$5:$A$500=$F1508)*('Lot Balance'!$K$5:$K$500&lt;$AJ1508)*('Lot Balance'!$K$5:$K$500+'Lot Balance'!$D$5:$D$500&gt;=$AJ1508),0),0)),""))</f>
        <v/>
      </c>
      <c r="AN1508" s="66" t="str">
        <f>IF($F1508="","",IF($AI1508&lt;&gt;"",IF(COUNTIFS('Lot Balance'!$A$5:$A$500,$F1508,'Lot Balance'!$B$5:$B$500,$AI1508)=0,"⚠ override is not a lot of this item",IF($AI1508=$AL1508,"Override = FEFO","Override - FEFO says "&amp;$AL1508)),IF($AL1508="","⚠ no receipt on file for this item",IF($AM1508&lt;&gt;$AL1508,"FEFO auto - split, also "&amp;$AM1508,"FEFO auto"))))</f>
        <v>⚠ no receipt on file for this item</v>
      </c>
      <c r="AO1508" s="114"/>
    </row>
    <row r="1509" spans="1:41" x14ac:dyDescent="0.35">
      <c r="A1509" s="74">
        <v>46206</v>
      </c>
      <c r="B1509" s="18" t="str">
        <f>IF($C1509="","",IFERROR(INDEX('Staff Directory'!$A$5:$A$594,MATCH($C1509,'Staff Directory'!$B$5:$B$594,0)),"⚠ unknown staff"))</f>
        <v>PSW-055-A4</v>
      </c>
      <c r="C1509" s="49" t="s">
        <v>1031</v>
      </c>
      <c r="D1509" s="19" t="str">
        <f>IF($B1509="","",IFERROR(INDEX('Staff Directory'!$C$5:$C$594,MATCH($B1509,'Staff Directory'!$A$5:$A$594,0)),""))</f>
        <v>PSW</v>
      </c>
      <c r="E1509" s="19" t="str">
        <f>IF($B1509="","",IFERROR(INDEX('Staff Directory'!$D$5:$D$594,MATCH($B1509,'Staff Directory'!$A$5:$A$594,0)),""))</f>
        <v>A4</v>
      </c>
      <c r="F1509" s="9" t="s">
        <v>124</v>
      </c>
      <c r="G1509" s="18" t="str">
        <f>IF($F1509="","",IFERROR(INDEX(Items!$B$5:$B$597,MATCH($F1509,Items!$A$5:$A$597,0)),"⚠ not in Items"))</f>
        <v>Gloves</v>
      </c>
      <c r="H1509" s="19" t="str">
        <f>IF($F1509="","",IFERROR(INDEX(Items!$C$5:$C$597,MATCH($F1509,Items!$A$5:$A$597,0)),""))</f>
        <v>Large</v>
      </c>
      <c r="I1509" s="23">
        <f>IF($F1509="","",IFERROR(INDEX(Items!$E$5:$E$597,MATCH($F1509,Items!$A$5:$A$597,0)),""))</f>
        <v>500</v>
      </c>
      <c r="J1509" s="115">
        <f>IF(tblIssues[[#This Row],[Qty Override]]&lt;&gt;"",tblIssues[[#This Row],[Qty Override]],IF(tblIssues[[#This Row],[Standard Issue]]="","",tblIssues[[#This Row],[Standard Issue]]))</f>
        <v>500</v>
      </c>
      <c r="K1509" s="20">
        <f>IF($F1509="","",IFERROR(INDEX(Items!$D$5:$D$597,MATCH($F1509,Items!$A$5:$A$597,0)),""))</f>
        <v>5.5E-2</v>
      </c>
      <c r="L1509" s="21">
        <f t="shared" si="261"/>
        <v>27.5</v>
      </c>
      <c r="M1509" s="9" t="str">
        <f t="shared" si="259"/>
        <v>ZIM511139904-3</v>
      </c>
      <c r="N1509" s="24">
        <f>IF($A1509="","",WORKDAY($A1509,Settings!$C$9,HolidayDates))</f>
        <v>46216</v>
      </c>
      <c r="O1509" s="24">
        <f>IF($N1509="","",WORKDAY($N1509,Settings!$C$10,HolidayDates))</f>
        <v>46254</v>
      </c>
      <c r="P1509" s="10" t="s">
        <v>501</v>
      </c>
      <c r="Q1509" s="52" t="str">
        <f t="shared" si="262"/>
        <v>Collected</v>
      </c>
      <c r="R1509" s="55" t="str">
        <f t="shared" si="263"/>
        <v>2026-07</v>
      </c>
      <c r="S1509" s="55">
        <f>IF(OR($B1509="",$F1509="",$R1509=""),"",SUMIFS(tblIssues[Qty Issued],tblIssues[Staff ID],$B1509,tblIssues[Item Name],$F1509,tblIssues[Month],$R1509))</f>
        <v>500</v>
      </c>
      <c r="T1509" s="56">
        <f>IF($I1509="","",$I1509*Settings!$C$11)</f>
        <v>500</v>
      </c>
      <c r="U1509" s="57" t="str">
        <f t="shared" si="260"/>
        <v>OK</v>
      </c>
      <c r="V1509" s="55" t="str">
        <f t="shared" si="264"/>
        <v/>
      </c>
      <c r="W1509" s="55" t="str">
        <f>IF($V1509="","",IF(COUNTIF($V$5:$V1509,$V1509)=1,1,""))</f>
        <v/>
      </c>
      <c r="X1509" s="58" t="str">
        <f>IF($W1509="","",MAX($X$4:X1508)+1)</f>
        <v/>
      </c>
      <c r="Y1509" s="62"/>
      <c r="Z1509" s="62"/>
      <c r="AA1509" s="64" t="str">
        <f>IF($C1509="","",IFERROR(INDEX('Staff Directory'!$E$5:$E$594,MATCH($C1509,'Staff Directory'!$B$5:$B$594,0)),""))</f>
        <v>firstname115.lastname115@example.com</v>
      </c>
      <c r="AB1509" s="64" t="str">
        <f>IF($C1509="","",IF(ISNUMBER(SEARCH($D1509,Settings!$C$15)),"Pickup","Dispatch"))</f>
        <v>Pickup</v>
      </c>
      <c r="AC1509" s="64" t="str">
        <f t="shared" si="265"/>
        <v>Supply order ready for pickup</v>
      </c>
      <c r="AD1509" s="64" t="str">
        <f t="shared" si="256"/>
        <v>Dear PSW,
Your order is ready for pickup from Sample Branch, Wed-Fri 9am-4pm.</v>
      </c>
      <c r="AE1509" s="64" t="str">
        <f t="shared" si="257"/>
        <v>mailto:firstname115.lastname115@example.com?subject=Supply%20order%20ready%20for%20pickup&amp;body=Dear%20PSW%2C%0A%0AYour%20order%20is%20ready%20for%20pickup%20from%20Sample%20Branch%2C%20Wed-Fri%209am-4pm.</v>
      </c>
      <c r="AF1509" s="89" t="str">
        <f t="shared" si="266"/>
        <v>Draft email</v>
      </c>
      <c r="AG1509" s="64" t="str">
        <f>IF($C1509="","",IFERROR(INDEX('Staff Directory'!$K$595:$K$599,MATCH($C1509,'Staff Directory'!$B$5:$B$599,0)),$D1509))</f>
        <v>PSW</v>
      </c>
      <c r="AH1509" t="str">
        <f>IF($C1509="","",IFERROR(INDEX('Staff Directory'!$I$595:$I$599,MATCH($C1509,'Staff Directory'!$B$5:$B$599,0))&amp;" "&amp;INDEX('Staff Directory'!$J$595:$J$599,MATCH($C1509,'Staff Directory'!$B$5:$B$599,0)),$AG1509))</f>
        <v>PSW</v>
      </c>
      <c r="AI1509" s="102"/>
      <c r="AJ1509" s="101">
        <f>IF($F1509="","",SUMIFS($J$5:$J1509,$F$5:$F1509,$F1509))</f>
        <v>41500</v>
      </c>
      <c r="AK1509" s="101">
        <f t="shared" si="258"/>
        <v>41001</v>
      </c>
      <c r="AL1509" s="66" t="str" cm="1">
        <f t="array" ref="AL1509">IF($F1509="","",IFERROR(INDEX('Lot Balance'!$B$5:$B$500,MATCH(1,INDEX(('Lot Balance'!$A$5:$A$500=$F1509)*('Lot Balance'!$K$5:$K$500&lt;$AK1509)*('Lot Balance'!$K$5:$K$500+'Lot Balance'!$D$5:$D$500&gt;=$AK1509),0),0)),""))</f>
        <v>ZIM511139904-3</v>
      </c>
      <c r="AM1509" s="66" t="str" cm="1">
        <f t="array" ref="AM1509">IF($F1509="","",IFERROR(INDEX('Lot Balance'!$B$5:$B$500,MATCH(1,INDEX(('Lot Balance'!$A$5:$A$500=$F1509)*('Lot Balance'!$K$5:$K$500&lt;$AJ1509)*('Lot Balance'!$K$5:$K$500+'Lot Balance'!$D$5:$D$500&gt;=$AJ1509),0),0)),""))</f>
        <v>ZIM511139904-3</v>
      </c>
      <c r="AN1509" s="66" t="str">
        <f>IF($F1509="","",IF($AI1509&lt;&gt;"",IF(COUNTIFS('Lot Balance'!$A$5:$A$500,$F1509,'Lot Balance'!$B$5:$B$500,$AI1509)=0,"⚠ override is not a lot of this item",IF($AI1509=$AL1509,"Override = FEFO","Override - FEFO says "&amp;$AL1509)),IF($AL1509="","⚠ no receipt on file for this item",IF($AM1509&lt;&gt;$AL1509,"FEFO auto - split, also "&amp;$AM1509,"FEFO auto"))))</f>
        <v>FEFO auto</v>
      </c>
      <c r="AO1509" s="114"/>
    </row>
    <row r="1510" spans="1:41" x14ac:dyDescent="0.35">
      <c r="A1510" s="74">
        <v>46206</v>
      </c>
      <c r="B1510" s="18" t="str">
        <f>IF($C1510="","",IFERROR(INDEX('Staff Directory'!$A$5:$A$594,MATCH($C1510,'Staff Directory'!$B$5:$B$594,0)),"⚠ unknown staff"))</f>
        <v>PSW-055-A4</v>
      </c>
      <c r="C1510" s="49" t="s">
        <v>1031</v>
      </c>
      <c r="D1510" s="19" t="str">
        <f>IF($B1510="","",IFERROR(INDEX('Staff Directory'!$C$5:$C$594,MATCH($B1510,'Staff Directory'!$A$5:$A$594,0)),""))</f>
        <v>PSW</v>
      </c>
      <c r="E1510" s="19" t="str">
        <f>IF($B1510="","",IFERROR(INDEX('Staff Directory'!$D$5:$D$594,MATCH($B1510,'Staff Directory'!$A$5:$A$594,0)),""))</f>
        <v>A4</v>
      </c>
      <c r="F1510" s="9" t="s">
        <v>191</v>
      </c>
      <c r="G1510" s="18" t="str">
        <f>IF($F1510="","",IFERROR(INDEX(Items!$B$5:$B$597,MATCH($F1510,Items!$A$5:$A$597,0)),"⚠ not in Items"))</f>
        <v>Sanitizer</v>
      </c>
      <c r="H1510" s="19" t="str">
        <f>IF($F1510="","",IFERROR(INDEX(Items!$C$5:$C$597,MATCH($F1510,Items!$A$5:$A$597,0)),""))</f>
        <v>236 ML</v>
      </c>
      <c r="I1510" s="23">
        <f>IF($F1510="","",IFERROR(INDEX(Items!$E$5:$E$597,MATCH($F1510,Items!$A$5:$A$597,0)),""))</f>
        <v>1</v>
      </c>
      <c r="J1510" s="115">
        <f>IF(tblIssues[[#This Row],[Qty Override]]&lt;&gt;"",tblIssues[[#This Row],[Qty Override]],IF(tblIssues[[#This Row],[Standard Issue]]="","",tblIssues[[#This Row],[Standard Issue]]))</f>
        <v>1</v>
      </c>
      <c r="K1510" s="20">
        <f>IF($F1510="","",IFERROR(INDEX(Items!$D$5:$D$597,MATCH($F1510,Items!$A$5:$A$597,0)),""))</f>
        <v>1E-4</v>
      </c>
      <c r="L1510" s="21">
        <f t="shared" si="261"/>
        <v>1E-4</v>
      </c>
      <c r="M1510" s="9" t="str">
        <f t="shared" si="259"/>
        <v/>
      </c>
      <c r="N1510" s="24">
        <f>IF($A1510="","",WORKDAY($A1510,Settings!$C$9,HolidayDates))</f>
        <v>46216</v>
      </c>
      <c r="O1510" s="24">
        <f>IF($N1510="","",WORKDAY($N1510,Settings!$C$10,HolidayDates))</f>
        <v>46254</v>
      </c>
      <c r="P1510" s="10" t="s">
        <v>501</v>
      </c>
      <c r="Q1510" s="52" t="str">
        <f t="shared" si="262"/>
        <v>Collected</v>
      </c>
      <c r="R1510" s="55" t="str">
        <f t="shared" si="263"/>
        <v>2026-07</v>
      </c>
      <c r="S1510" s="55">
        <f>IF(OR($B1510="",$F1510="",$R1510=""),"",SUMIFS(tblIssues[Qty Issued],tblIssues[Staff ID],$B1510,tblIssues[Item Name],$F1510,tblIssues[Month],$R1510))</f>
        <v>1</v>
      </c>
      <c r="T1510" s="56">
        <f>IF($I1510="","",$I1510*Settings!$C$11)</f>
        <v>1</v>
      </c>
      <c r="U1510" s="57" t="str">
        <f t="shared" si="260"/>
        <v>OK</v>
      </c>
      <c r="V1510" s="55" t="str">
        <f t="shared" si="264"/>
        <v/>
      </c>
      <c r="W1510" s="55" t="str">
        <f>IF($V1510="","",IF(COUNTIF($V$5:$V1510,$V1510)=1,1,""))</f>
        <v/>
      </c>
      <c r="X1510" s="58" t="str">
        <f>IF($W1510="","",MAX($X$4:X1509)+1)</f>
        <v/>
      </c>
      <c r="Y1510" s="62"/>
      <c r="Z1510" s="62"/>
      <c r="AA1510" s="64" t="str">
        <f>IF($C1510="","",IFERROR(INDEX('Staff Directory'!$E$5:$E$594,MATCH($C1510,'Staff Directory'!$B$5:$B$594,0)),""))</f>
        <v>firstname115.lastname115@example.com</v>
      </c>
      <c r="AB1510" s="64" t="str">
        <f>IF($C1510="","",IF(ISNUMBER(SEARCH($D1510,Settings!$C$15)),"Pickup","Dispatch"))</f>
        <v>Pickup</v>
      </c>
      <c r="AC1510" s="64" t="str">
        <f t="shared" si="265"/>
        <v>Supply order ready for pickup</v>
      </c>
      <c r="AD1510" s="64" t="str">
        <f t="shared" si="256"/>
        <v>Dear PSW,
Your order is ready for pickup from Sample Branch, Wed-Fri 9am-4pm.</v>
      </c>
      <c r="AE1510" s="64" t="str">
        <f t="shared" si="257"/>
        <v>mailto:firstname115.lastname115@example.com?subject=Supply%20order%20ready%20for%20pickup&amp;body=Dear%20PSW%2C%0A%0AYour%20order%20is%20ready%20for%20pickup%20from%20Sample%20Branch%2C%20Wed-Fri%209am-4pm.</v>
      </c>
      <c r="AF1510" s="89" t="str">
        <f t="shared" si="266"/>
        <v>Draft email</v>
      </c>
      <c r="AG1510" s="64" t="str">
        <f>IF($C1510="","",IFERROR(INDEX('Staff Directory'!$K$595:$K$599,MATCH($C1510,'Staff Directory'!$B$5:$B$599,0)),$D1510))</f>
        <v>PSW</v>
      </c>
      <c r="AH1510" t="str">
        <f>IF($C1510="","",IFERROR(INDEX('Staff Directory'!$I$595:$I$599,MATCH($C1510,'Staff Directory'!$B$5:$B$599,0))&amp;" "&amp;INDEX('Staff Directory'!$J$595:$J$599,MATCH($C1510,'Staff Directory'!$B$5:$B$599,0)),$AG1510))</f>
        <v>PSW</v>
      </c>
      <c r="AI1510" s="102"/>
      <c r="AJ1510" s="101">
        <f>IF($F1510="","",SUMIFS($J$5:$J1510,$F$5:$F1510,$F1510))</f>
        <v>204</v>
      </c>
      <c r="AK1510" s="101">
        <f t="shared" si="258"/>
        <v>204</v>
      </c>
      <c r="AL1510" s="66" t="str" cm="1">
        <f t="array" ref="AL1510">IF($F1510="","",IFERROR(INDEX('Lot Balance'!$B$5:$B$500,MATCH(1,INDEX(('Lot Balance'!$A$5:$A$500=$F1510)*('Lot Balance'!$K$5:$K$500&lt;$AK1510)*('Lot Balance'!$K$5:$K$500+'Lot Balance'!$D$5:$D$500&gt;=$AK1510),0),0)),""))</f>
        <v/>
      </c>
      <c r="AM1510" s="66" t="str" cm="1">
        <f t="array" ref="AM1510">IF($F1510="","",IFERROR(INDEX('Lot Balance'!$B$5:$B$500,MATCH(1,INDEX(('Lot Balance'!$A$5:$A$500=$F1510)*('Lot Balance'!$K$5:$K$500&lt;$AJ1510)*('Lot Balance'!$K$5:$K$500+'Lot Balance'!$D$5:$D$500&gt;=$AJ1510),0),0)),""))</f>
        <v/>
      </c>
      <c r="AN1510" s="66" t="str">
        <f>IF($F1510="","",IF($AI1510&lt;&gt;"",IF(COUNTIFS('Lot Balance'!$A$5:$A$500,$F1510,'Lot Balance'!$B$5:$B$500,$AI1510)=0,"⚠ override is not a lot of this item",IF($AI1510=$AL1510,"Override = FEFO","Override - FEFO says "&amp;$AL1510)),IF($AL1510="","⚠ no receipt on file for this item",IF($AM1510&lt;&gt;$AL1510,"FEFO auto - split, also "&amp;$AM1510,"FEFO auto"))))</f>
        <v>⚠ no receipt on file for this item</v>
      </c>
      <c r="AO1510" s="114"/>
    </row>
    <row r="1511" spans="1:41" x14ac:dyDescent="0.35">
      <c r="A1511" s="74">
        <v>46206</v>
      </c>
      <c r="B1511" s="18" t="str">
        <f>IF($C1511="","",IFERROR(INDEX('Staff Directory'!$A$5:$A$594,MATCH($C1511,'Staff Directory'!$B$5:$B$594,0)),"⚠ unknown staff"))</f>
        <v>PSW-055-A4</v>
      </c>
      <c r="C1511" s="49" t="s">
        <v>1031</v>
      </c>
      <c r="D1511" s="19" t="str">
        <f>IF($B1511="","",IFERROR(INDEX('Staff Directory'!$C$5:$C$594,MATCH($B1511,'Staff Directory'!$A$5:$A$594,0)),""))</f>
        <v>PSW</v>
      </c>
      <c r="E1511" s="19" t="str">
        <f>IF($B1511="","",IFERROR(INDEX('Staff Directory'!$D$5:$D$594,MATCH($B1511,'Staff Directory'!$A$5:$A$594,0)),""))</f>
        <v>A4</v>
      </c>
      <c r="F1511" s="9" t="s">
        <v>115</v>
      </c>
      <c r="G1511" s="18" t="str">
        <f>IF($F1511="","",IFERROR(INDEX(Items!$B$5:$B$597,MATCH($F1511,Items!$A$5:$A$597,0)),"⚠ not in Items"))</f>
        <v>Wipes</v>
      </c>
      <c r="H1511" s="19">
        <f>IF($F1511="","",IFERROR(INDEX(Items!$C$5:$C$597,MATCH($F1511,Items!$A$5:$A$597,0)),""))</f>
        <v>80</v>
      </c>
      <c r="I1511" s="23">
        <f>IF($F1511="","",IFERROR(INDEX(Items!$E$5:$E$597,MATCH($F1511,Items!$A$5:$A$597,0)),""))</f>
        <v>80</v>
      </c>
      <c r="J1511" s="115">
        <f>IF(tblIssues[[#This Row],[Qty Override]]&lt;&gt;"",tblIssues[[#This Row],[Qty Override]],IF(tblIssues[[#This Row],[Standard Issue]]="","",tblIssues[[#This Row],[Standard Issue]]))</f>
        <v>80</v>
      </c>
      <c r="K1511" s="20">
        <f>IF($F1511="","",IFERROR(INDEX(Items!$D$5:$D$597,MATCH($F1511,Items!$A$5:$A$597,0)),""))</f>
        <v>0.1</v>
      </c>
      <c r="L1511" s="21">
        <f t="shared" si="261"/>
        <v>8</v>
      </c>
      <c r="M1511" s="9" t="str">
        <f t="shared" si="259"/>
        <v>LYSL500290</v>
      </c>
      <c r="N1511" s="24">
        <f>IF($A1511="","",WORKDAY($A1511,Settings!$C$9,HolidayDates))</f>
        <v>46216</v>
      </c>
      <c r="O1511" s="24">
        <f>IF($N1511="","",WORKDAY($N1511,Settings!$C$10,HolidayDates))</f>
        <v>46254</v>
      </c>
      <c r="P1511" s="10" t="s">
        <v>501</v>
      </c>
      <c r="Q1511" s="52" t="str">
        <f t="shared" si="262"/>
        <v>Collected</v>
      </c>
      <c r="R1511" s="55" t="str">
        <f t="shared" si="263"/>
        <v>2026-07</v>
      </c>
      <c r="S1511" s="55">
        <f>IF(OR($B1511="",$F1511="",$R1511=""),"",SUMIFS(tblIssues[Qty Issued],tblIssues[Staff ID],$B1511,tblIssues[Item Name],$F1511,tblIssues[Month],$R1511))</f>
        <v>80</v>
      </c>
      <c r="T1511" s="56">
        <f>IF($I1511="","",$I1511*Settings!$C$11)</f>
        <v>80</v>
      </c>
      <c r="U1511" s="57" t="str">
        <f t="shared" si="260"/>
        <v>OK</v>
      </c>
      <c r="V1511" s="55" t="str">
        <f t="shared" si="264"/>
        <v/>
      </c>
      <c r="W1511" s="55" t="str">
        <f>IF($V1511="","",IF(COUNTIF($V$5:$V1511,$V1511)=1,1,""))</f>
        <v/>
      </c>
      <c r="X1511" s="58" t="str">
        <f>IF($W1511="","",MAX($X$4:X1510)+1)</f>
        <v/>
      </c>
      <c r="Y1511" s="62"/>
      <c r="Z1511" s="62"/>
      <c r="AA1511" s="64" t="str">
        <f>IF($C1511="","",IFERROR(INDEX('Staff Directory'!$E$5:$E$594,MATCH($C1511,'Staff Directory'!$B$5:$B$594,0)),""))</f>
        <v>firstname115.lastname115@example.com</v>
      </c>
      <c r="AB1511" s="64" t="str">
        <f>IF($C1511="","",IF(ISNUMBER(SEARCH($D1511,Settings!$C$15)),"Pickup","Dispatch"))</f>
        <v>Pickup</v>
      </c>
      <c r="AC1511" s="64" t="str">
        <f t="shared" si="265"/>
        <v>Supply order ready for pickup</v>
      </c>
      <c r="AD1511" s="64" t="str">
        <f t="shared" si="256"/>
        <v>Dear PSW,
Your order is ready for pickup from Sample Branch, Wed-Fri 9am-4pm.</v>
      </c>
      <c r="AE1511" s="64" t="str">
        <f t="shared" si="257"/>
        <v>mailto:firstname115.lastname115@example.com?subject=Supply%20order%20ready%20for%20pickup&amp;body=Dear%20PSW%2C%0A%0AYour%20order%20is%20ready%20for%20pickup%20from%20Sample%20Branch%2C%20Wed-Fri%209am-4pm.</v>
      </c>
      <c r="AF1511" s="89" t="str">
        <f t="shared" si="266"/>
        <v>Draft email</v>
      </c>
      <c r="AG1511" s="64" t="str">
        <f>IF($C1511="","",IFERROR(INDEX('Staff Directory'!$K$595:$K$599,MATCH($C1511,'Staff Directory'!$B$5:$B$599,0)),$D1511))</f>
        <v>PSW</v>
      </c>
      <c r="AH1511" t="str">
        <f>IF($C1511="","",IFERROR(INDEX('Staff Directory'!$I$595:$I$599,MATCH($C1511,'Staff Directory'!$B$5:$B$599,0))&amp;" "&amp;INDEX('Staff Directory'!$J$595:$J$599,MATCH($C1511,'Staff Directory'!$B$5:$B$599,0)),$AG1511))</f>
        <v>PSW</v>
      </c>
      <c r="AI1511" s="102"/>
      <c r="AJ1511" s="101">
        <f>IF($F1511="","",SUMIFS($J$5:$J1511,$F$5:$F1511,$F1511))</f>
        <v>20880</v>
      </c>
      <c r="AK1511" s="101">
        <f t="shared" si="258"/>
        <v>20801</v>
      </c>
      <c r="AL1511" s="66" t="str" cm="1">
        <f t="array" ref="AL1511">IF($F1511="","",IFERROR(INDEX('Lot Balance'!$B$5:$B$500,MATCH(1,INDEX(('Lot Balance'!$A$5:$A$500=$F1511)*('Lot Balance'!$K$5:$K$500&lt;$AK1511)*('Lot Balance'!$K$5:$K$500+'Lot Balance'!$D$5:$D$500&gt;=$AK1511),0),0)),""))</f>
        <v>LYSL500290</v>
      </c>
      <c r="AM1511" s="66" t="str" cm="1">
        <f t="array" ref="AM1511">IF($F1511="","",IFERROR(INDEX('Lot Balance'!$B$5:$B$500,MATCH(1,INDEX(('Lot Balance'!$A$5:$A$500=$F1511)*('Lot Balance'!$K$5:$K$500&lt;$AJ1511)*('Lot Balance'!$K$5:$K$500+'Lot Balance'!$D$5:$D$500&gt;=$AJ1511),0),0)),""))</f>
        <v>LYSL500290</v>
      </c>
      <c r="AN1511" s="66" t="str">
        <f>IF($F1511="","",IF($AI1511&lt;&gt;"",IF(COUNTIFS('Lot Balance'!$A$5:$A$500,$F1511,'Lot Balance'!$B$5:$B$500,$AI1511)=0,"⚠ override is not a lot of this item",IF($AI1511=$AL1511,"Override = FEFO","Override - FEFO says "&amp;$AL1511)),IF($AL1511="","⚠ no receipt on file for this item",IF($AM1511&lt;&gt;$AL1511,"FEFO auto - split, also "&amp;$AM1511,"FEFO auto"))))</f>
        <v>FEFO auto</v>
      </c>
      <c r="AO1511" s="114"/>
    </row>
    <row r="1512" spans="1:41" x14ac:dyDescent="0.35">
      <c r="A1512" s="74">
        <v>46206</v>
      </c>
      <c r="B1512" s="18" t="str">
        <f>IF($C1512="","",IFERROR(INDEX('Staff Directory'!$A$5:$A$594,MATCH($C1512,'Staff Directory'!$B$5:$B$594,0)),"⚠ unknown staff"))</f>
        <v>PSW-055-A4</v>
      </c>
      <c r="C1512" s="49" t="s">
        <v>1031</v>
      </c>
      <c r="D1512" s="19" t="str">
        <f>IF($B1512="","",IFERROR(INDEX('Staff Directory'!$C$5:$C$594,MATCH($B1512,'Staff Directory'!$A$5:$A$594,0)),""))</f>
        <v>PSW</v>
      </c>
      <c r="E1512" s="19" t="str">
        <f>IF($B1512="","",IFERROR(INDEX('Staff Directory'!$D$5:$D$594,MATCH($B1512,'Staff Directory'!$A$5:$A$594,0)),""))</f>
        <v>A4</v>
      </c>
      <c r="F1512" s="9" t="s">
        <v>156</v>
      </c>
      <c r="G1512" s="18" t="str">
        <f>IF($F1512="","",IFERROR(INDEX(Items!$B$5:$B$597,MATCH($F1512,Items!$A$5:$A$597,0)),"⚠ not in Items"))</f>
        <v>Masks</v>
      </c>
      <c r="H1512" s="19" t="str">
        <f>IF($F1512="","",IFERROR(INDEX(Items!$C$5:$C$597,MATCH($F1512,Items!$A$5:$A$597,0)),""))</f>
        <v>One Size</v>
      </c>
      <c r="I1512" s="23">
        <f>IF($F1512="","",IFERROR(INDEX(Items!$E$5:$E$597,MATCH($F1512,Items!$A$5:$A$597,0)),""))</f>
        <v>50</v>
      </c>
      <c r="J1512" s="115">
        <f>IF(tblIssues[[#This Row],[Qty Override]]&lt;&gt;"",tblIssues[[#This Row],[Qty Override]],IF(tblIssues[[#This Row],[Standard Issue]]="","",tblIssues[[#This Row],[Standard Issue]]))</f>
        <v>50</v>
      </c>
      <c r="K1512" s="20">
        <f>IF($F1512="","",IFERROR(INDEX(Items!$D$5:$D$597,MATCH($F1512,Items!$A$5:$A$597,0)),""))</f>
        <v>0.25</v>
      </c>
      <c r="L1512" s="21">
        <f t="shared" si="261"/>
        <v>12.5</v>
      </c>
      <c r="M1512" s="9" t="str">
        <f t="shared" si="259"/>
        <v>24HA2050A7396</v>
      </c>
      <c r="N1512" s="24">
        <f>IF($A1512="","",WORKDAY($A1512,Settings!$C$9,HolidayDates))</f>
        <v>46216</v>
      </c>
      <c r="O1512" s="24">
        <f>IF($N1512="","",WORKDAY($N1512,Settings!$C$10,HolidayDates))</f>
        <v>46254</v>
      </c>
      <c r="P1512" s="10" t="s">
        <v>501</v>
      </c>
      <c r="Q1512" s="52" t="str">
        <f t="shared" si="262"/>
        <v>Collected</v>
      </c>
      <c r="R1512" s="55" t="str">
        <f t="shared" si="263"/>
        <v>2026-07</v>
      </c>
      <c r="S1512" s="55">
        <f>IF(OR($B1512="",$F1512="",$R1512=""),"",SUMIFS(tblIssues[Qty Issued],tblIssues[Staff ID],$B1512,tblIssues[Item Name],$F1512,tblIssues[Month],$R1512))</f>
        <v>50</v>
      </c>
      <c r="T1512" s="56">
        <f>IF($I1512="","",$I1512*Settings!$C$11)</f>
        <v>50</v>
      </c>
      <c r="U1512" s="57" t="str">
        <f t="shared" si="260"/>
        <v>OK</v>
      </c>
      <c r="V1512" s="55" t="str">
        <f t="shared" si="264"/>
        <v/>
      </c>
      <c r="W1512" s="55" t="str">
        <f>IF($V1512="","",IF(COUNTIF($V$5:$V1512,$V1512)=1,1,""))</f>
        <v/>
      </c>
      <c r="X1512" s="58" t="str">
        <f>IF($W1512="","",MAX($X$4:X1511)+1)</f>
        <v/>
      </c>
      <c r="Y1512" s="62"/>
      <c r="Z1512" s="62"/>
      <c r="AA1512" s="64" t="str">
        <f>IF($C1512="","",IFERROR(INDEX('Staff Directory'!$E$5:$E$594,MATCH($C1512,'Staff Directory'!$B$5:$B$594,0)),""))</f>
        <v>firstname115.lastname115@example.com</v>
      </c>
      <c r="AB1512" s="64" t="str">
        <f>IF($C1512="","",IF(ISNUMBER(SEARCH($D1512,Settings!$C$15)),"Pickup","Dispatch"))</f>
        <v>Pickup</v>
      </c>
      <c r="AC1512" s="64" t="str">
        <f t="shared" si="265"/>
        <v>Supply order ready for pickup</v>
      </c>
      <c r="AD1512" s="64" t="str">
        <f t="shared" si="256"/>
        <v>Dear PSW,
Your order is ready for pickup from Sample Branch, Wed-Fri 9am-4pm.</v>
      </c>
      <c r="AE1512" s="64" t="str">
        <f t="shared" si="257"/>
        <v>mailto:firstname115.lastname115@example.com?subject=Supply%20order%20ready%20for%20pickup&amp;body=Dear%20PSW%2C%0A%0AYour%20order%20is%20ready%20for%20pickup%20from%20Sample%20Branch%2C%20Wed-Fri%209am-4pm.</v>
      </c>
      <c r="AF1512" s="89" t="str">
        <f t="shared" si="266"/>
        <v>Draft email</v>
      </c>
      <c r="AG1512" s="64" t="str">
        <f>IF($C1512="","",IFERROR(INDEX('Staff Directory'!$K$595:$K$599,MATCH($C1512,'Staff Directory'!$B$5:$B$599,0)),$D1512))</f>
        <v>PSW</v>
      </c>
      <c r="AH1512" t="str">
        <f>IF($C1512="","",IFERROR(INDEX('Staff Directory'!$I$595:$I$599,MATCH($C1512,'Staff Directory'!$B$5:$B$599,0))&amp;" "&amp;INDEX('Staff Directory'!$J$595:$J$599,MATCH($C1512,'Staff Directory'!$B$5:$B$599,0)),$AG1512))</f>
        <v>PSW</v>
      </c>
      <c r="AI1512" s="102"/>
      <c r="AJ1512" s="101">
        <f>IF($F1512="","",SUMIFS($J$5:$J1512,$F$5:$F1512,$F1512))</f>
        <v>13100</v>
      </c>
      <c r="AK1512" s="101">
        <f t="shared" si="258"/>
        <v>13051</v>
      </c>
      <c r="AL1512" s="66" t="str" cm="1">
        <f t="array" ref="AL1512">IF($F1512="","",IFERROR(INDEX('Lot Balance'!$B$5:$B$500,MATCH(1,INDEX(('Lot Balance'!$A$5:$A$500=$F1512)*('Lot Balance'!$K$5:$K$500&lt;$AK1512)*('Lot Balance'!$K$5:$K$500+'Lot Balance'!$D$5:$D$500&gt;=$AK1512),0),0)),""))</f>
        <v>24HA2050A7396</v>
      </c>
      <c r="AM1512" s="66" t="str" cm="1">
        <f t="array" ref="AM1512">IF($F1512="","",IFERROR(INDEX('Lot Balance'!$B$5:$B$500,MATCH(1,INDEX(('Lot Balance'!$A$5:$A$500=$F1512)*('Lot Balance'!$K$5:$K$500&lt;$AJ1512)*('Lot Balance'!$K$5:$K$500+'Lot Balance'!$D$5:$D$500&gt;=$AJ1512),0),0)),""))</f>
        <v>24HA2050A7396</v>
      </c>
      <c r="AN1512" s="66" t="str">
        <f>IF($F1512="","",IF($AI1512&lt;&gt;"",IF(COUNTIFS('Lot Balance'!$A$5:$A$500,$F1512,'Lot Balance'!$B$5:$B$500,$AI1512)=0,"⚠ override is not a lot of this item",IF($AI1512=$AL1512,"Override = FEFO","Override - FEFO says "&amp;$AL1512)),IF($AL1512="","⚠ no receipt on file for this item",IF($AM1512&lt;&gt;$AL1512,"FEFO auto - split, also "&amp;$AM1512,"FEFO auto"))))</f>
        <v>FEFO auto</v>
      </c>
      <c r="AO1512" s="114"/>
    </row>
    <row r="1513" spans="1:41" x14ac:dyDescent="0.35">
      <c r="A1513" s="74">
        <v>46206</v>
      </c>
      <c r="B1513" s="18" t="str">
        <f>IF($C1513="","",IFERROR(INDEX('Staff Directory'!$A$5:$A$594,MATCH($C1513,'Staff Directory'!$B$5:$B$594,0)),"⚠ unknown staff"))</f>
        <v>PSW-055-A4</v>
      </c>
      <c r="C1513" s="49" t="s">
        <v>1031</v>
      </c>
      <c r="D1513" s="19" t="str">
        <f>IF($B1513="","",IFERROR(INDEX('Staff Directory'!$C$5:$C$594,MATCH($B1513,'Staff Directory'!$A$5:$A$594,0)),""))</f>
        <v>PSW</v>
      </c>
      <c r="E1513" s="19" t="str">
        <f>IF($B1513="","",IFERROR(INDEX('Staff Directory'!$D$5:$D$594,MATCH($B1513,'Staff Directory'!$A$5:$A$594,0)),""))</f>
        <v>A4</v>
      </c>
      <c r="F1513" s="9" t="s">
        <v>147</v>
      </c>
      <c r="G1513" s="18" t="str">
        <f>IF($F1513="","",IFERROR(INDEX(Items!$B$5:$B$597,MATCH($F1513,Items!$A$5:$A$597,0)),"⚠ not in Items"))</f>
        <v>Apparel</v>
      </c>
      <c r="H1513" s="19" t="str">
        <f>IF($F1513="","",IFERROR(INDEX(Items!$C$5:$C$597,MATCH($F1513,Items!$A$5:$A$597,0)),""))</f>
        <v>One Size</v>
      </c>
      <c r="I1513" s="23">
        <f>IF($F1513="","",IFERROR(INDEX(Items!$E$5:$E$597,MATCH($F1513,Items!$A$5:$A$597,0)),""))</f>
        <v>5</v>
      </c>
      <c r="J1513" s="115">
        <f>IF(tblIssues[[#This Row],[Qty Override]]&lt;&gt;"",tblIssues[[#This Row],[Qty Override]],IF(tblIssues[[#This Row],[Standard Issue]]="","",tblIssues[[#This Row],[Standard Issue]]))</f>
        <v>5</v>
      </c>
      <c r="K1513" s="20">
        <f>IF($F1513="","",IFERROR(INDEX(Items!$D$5:$D$597,MATCH($F1513,Items!$A$5:$A$597,0)),""))</f>
        <v>3</v>
      </c>
      <c r="L1513" s="21">
        <f t="shared" si="261"/>
        <v>15</v>
      </c>
      <c r="M1513" s="9" t="str">
        <f t="shared" si="259"/>
        <v>YG500280</v>
      </c>
      <c r="N1513" s="24">
        <f>IF($A1513="","",WORKDAY($A1513,Settings!$C$9,HolidayDates))</f>
        <v>46216</v>
      </c>
      <c r="O1513" s="24">
        <f>IF($N1513="","",WORKDAY($N1513,Settings!$C$10,HolidayDates))</f>
        <v>46254</v>
      </c>
      <c r="P1513" s="10" t="s">
        <v>501</v>
      </c>
      <c r="Q1513" s="52" t="str">
        <f t="shared" si="262"/>
        <v>Collected</v>
      </c>
      <c r="R1513" s="55" t="str">
        <f t="shared" si="263"/>
        <v>2026-07</v>
      </c>
      <c r="S1513" s="55">
        <f>IF(OR($B1513="",$F1513="",$R1513=""),"",SUMIFS(tblIssues[Qty Issued],tblIssues[Staff ID],$B1513,tblIssues[Item Name],$F1513,tblIssues[Month],$R1513))</f>
        <v>5</v>
      </c>
      <c r="T1513" s="56">
        <f>IF($I1513="","",$I1513*Settings!$C$11)</f>
        <v>5</v>
      </c>
      <c r="U1513" s="57" t="str">
        <f t="shared" si="260"/>
        <v>OK</v>
      </c>
      <c r="V1513" s="55" t="str">
        <f t="shared" si="264"/>
        <v/>
      </c>
      <c r="W1513" s="55" t="str">
        <f>IF($V1513="","",IF(COUNTIF($V$5:$V1513,$V1513)=1,1,""))</f>
        <v/>
      </c>
      <c r="X1513" s="58" t="str">
        <f>IF($W1513="","",MAX($X$4:X1512)+1)</f>
        <v/>
      </c>
      <c r="Y1513" s="62"/>
      <c r="Z1513" s="62"/>
      <c r="AA1513" s="64" t="str">
        <f>IF($C1513="","",IFERROR(INDEX('Staff Directory'!$E$5:$E$594,MATCH($C1513,'Staff Directory'!$B$5:$B$594,0)),""))</f>
        <v>firstname115.lastname115@example.com</v>
      </c>
      <c r="AB1513" s="64" t="str">
        <f>IF($C1513="","",IF(ISNUMBER(SEARCH($D1513,Settings!$C$15)),"Pickup","Dispatch"))</f>
        <v>Pickup</v>
      </c>
      <c r="AC1513" s="64" t="str">
        <f t="shared" si="265"/>
        <v>Supply order ready for pickup</v>
      </c>
      <c r="AD1513" s="64" t="str">
        <f t="shared" si="256"/>
        <v>Dear PSW,
Your order is ready for pickup from Sample Branch, Wed-Fri 9am-4pm.</v>
      </c>
      <c r="AE1513" s="64" t="str">
        <f t="shared" si="257"/>
        <v>mailto:firstname115.lastname115@example.com?subject=Supply%20order%20ready%20for%20pickup&amp;body=Dear%20PSW%2C%0A%0AYour%20order%20is%20ready%20for%20pickup%20from%20Sample%20Branch%2C%20Wed-Fri%209am-4pm.</v>
      </c>
      <c r="AF1513" s="89" t="str">
        <f t="shared" si="266"/>
        <v>Draft email</v>
      </c>
      <c r="AG1513" s="64" t="str">
        <f>IF($C1513="","",IFERROR(INDEX('Staff Directory'!$K$595:$K$599,MATCH($C1513,'Staff Directory'!$B$5:$B$599,0)),$D1513))</f>
        <v>PSW</v>
      </c>
      <c r="AH1513" t="str">
        <f>IF($C1513="","",IFERROR(INDEX('Staff Directory'!$I$595:$I$599,MATCH($C1513,'Staff Directory'!$B$5:$B$599,0))&amp;" "&amp;INDEX('Staff Directory'!$J$595:$J$599,MATCH($C1513,'Staff Directory'!$B$5:$B$599,0)),$AG1513))</f>
        <v>PSW</v>
      </c>
      <c r="AI1513" s="102"/>
      <c r="AJ1513" s="101">
        <f>IF($F1513="","",SUMIFS($J$5:$J1513,$F$5:$F1513,$F1513))</f>
        <v>175</v>
      </c>
      <c r="AK1513" s="101">
        <f t="shared" si="258"/>
        <v>171</v>
      </c>
      <c r="AL1513" s="66" t="str" cm="1">
        <f t="array" ref="AL1513">IF($F1513="","",IFERROR(INDEX('Lot Balance'!$B$5:$B$500,MATCH(1,INDEX(('Lot Balance'!$A$5:$A$500=$F1513)*('Lot Balance'!$K$5:$K$500&lt;$AK1513)*('Lot Balance'!$K$5:$K$500+'Lot Balance'!$D$5:$D$500&gt;=$AK1513),0),0)),""))</f>
        <v>YG500280</v>
      </c>
      <c r="AM1513" s="66" t="str" cm="1">
        <f t="array" ref="AM1513">IF($F1513="","",IFERROR(INDEX('Lot Balance'!$B$5:$B$500,MATCH(1,INDEX(('Lot Balance'!$A$5:$A$500=$F1513)*('Lot Balance'!$K$5:$K$500&lt;$AJ1513)*('Lot Balance'!$K$5:$K$500+'Lot Balance'!$D$5:$D$500&gt;=$AJ1513),0),0)),""))</f>
        <v>YG500280</v>
      </c>
      <c r="AN1513" s="66" t="str">
        <f>IF($F1513="","",IF($AI1513&lt;&gt;"",IF(COUNTIFS('Lot Balance'!$A$5:$A$500,$F1513,'Lot Balance'!$B$5:$B$500,$AI1513)=0,"⚠ override is not a lot of this item",IF($AI1513=$AL1513,"Override = FEFO","Override - FEFO says "&amp;$AL1513)),IF($AL1513="","⚠ no receipt on file for this item",IF($AM1513&lt;&gt;$AL1513,"FEFO auto - split, also "&amp;$AM1513,"FEFO auto"))))</f>
        <v>FEFO auto</v>
      </c>
      <c r="AO1513" s="114"/>
    </row>
    <row r="1514" spans="1:41" x14ac:dyDescent="0.35">
      <c r="A1514" s="74">
        <v>46206</v>
      </c>
      <c r="B1514" s="18" t="str">
        <f>IF($C1514="","",IFERROR(INDEX('Staff Directory'!$A$5:$A$594,MATCH($C1514,'Staff Directory'!$B$5:$B$594,0)),"⚠ unknown staff"))</f>
        <v>PSW-055-A4</v>
      </c>
      <c r="C1514" s="49" t="s">
        <v>1031</v>
      </c>
      <c r="D1514" s="19" t="str">
        <f>IF($B1514="","",IFERROR(INDEX('Staff Directory'!$C$5:$C$594,MATCH($B1514,'Staff Directory'!$A$5:$A$594,0)),""))</f>
        <v>PSW</v>
      </c>
      <c r="E1514" s="19" t="str">
        <f>IF($B1514="","",IFERROR(INDEX('Staff Directory'!$D$5:$D$594,MATCH($B1514,'Staff Directory'!$A$5:$A$594,0)),""))</f>
        <v>A4</v>
      </c>
      <c r="F1514" s="9" t="s">
        <v>758</v>
      </c>
      <c r="G1514" s="18" t="str">
        <f>IF($F1514="","",IFERROR(INDEX(Items!$B$5:$B$597,MATCH($F1514,Items!$A$5:$A$597,0)),"⚠ not in Items"))</f>
        <v>Utility</v>
      </c>
      <c r="H1514" s="19" t="str">
        <f>IF($F1514="","",IFERROR(INDEX(Items!$C$5:$C$597,MATCH($F1514,Items!$A$5:$A$597,0)),""))</f>
        <v>Standard</v>
      </c>
      <c r="I1514" s="23">
        <f>IF($F1514="","",IFERROR(INDEX(Items!$E$5:$E$597,MATCH($F1514,Items!$A$5:$A$597,0)),""))</f>
        <v>1</v>
      </c>
      <c r="J1514" s="115">
        <f>IF(tblIssues[[#This Row],[Qty Override]]&lt;&gt;"",tblIssues[[#This Row],[Qty Override]],IF(tblIssues[[#This Row],[Standard Issue]]="","",tblIssues[[#This Row],[Standard Issue]]))</f>
        <v>1</v>
      </c>
      <c r="K1514" s="20">
        <f>IF($F1514="","",IFERROR(INDEX(Items!$D$5:$D$597,MATCH($F1514,Items!$A$5:$A$597,0)),""))</f>
        <v>0</v>
      </c>
      <c r="L1514" s="21">
        <f t="shared" si="261"/>
        <v>0</v>
      </c>
      <c r="M1514" s="9" t="str">
        <f t="shared" si="259"/>
        <v/>
      </c>
      <c r="N1514" s="24">
        <f>IF($A1514="","",WORKDAY($A1514,Settings!$C$9,HolidayDates))</f>
        <v>46216</v>
      </c>
      <c r="O1514" s="24">
        <f>IF($N1514="","",WORKDAY($N1514,Settings!$C$10,HolidayDates))</f>
        <v>46254</v>
      </c>
      <c r="P1514" s="10" t="s">
        <v>501</v>
      </c>
      <c r="Q1514" s="52" t="str">
        <f t="shared" si="262"/>
        <v>Collected</v>
      </c>
      <c r="R1514" s="55" t="str">
        <f t="shared" si="263"/>
        <v>2026-07</v>
      </c>
      <c r="S1514" s="55">
        <f>IF(OR($B1514="",$F1514="",$R1514=""),"",SUMIFS(tblIssues[Qty Issued],tblIssues[Staff ID],$B1514,tblIssues[Item Name],$F1514,tblIssues[Month],$R1514))</f>
        <v>1</v>
      </c>
      <c r="T1514" s="56">
        <f>IF($I1514="","",$I1514*Settings!$C$11)</f>
        <v>1</v>
      </c>
      <c r="U1514" s="57" t="str">
        <f t="shared" si="260"/>
        <v>OK</v>
      </c>
      <c r="V1514" s="55" t="str">
        <f t="shared" si="264"/>
        <v/>
      </c>
      <c r="W1514" s="55" t="str">
        <f>IF($V1514="","",IF(COUNTIF($V$5:$V1514,$V1514)=1,1,""))</f>
        <v/>
      </c>
      <c r="X1514" s="58" t="str">
        <f>IF($W1514="","",MAX($X$4:X1513)+1)</f>
        <v/>
      </c>
      <c r="Y1514" s="62"/>
      <c r="Z1514" s="62"/>
      <c r="AA1514" s="64" t="str">
        <f>IF($C1514="","",IFERROR(INDEX('Staff Directory'!$E$5:$E$594,MATCH($C1514,'Staff Directory'!$B$5:$B$594,0)),""))</f>
        <v>firstname115.lastname115@example.com</v>
      </c>
      <c r="AB1514" s="64" t="str">
        <f>IF($C1514="","",IF(ISNUMBER(SEARCH($D1514,Settings!$C$15)),"Pickup","Dispatch"))</f>
        <v>Pickup</v>
      </c>
      <c r="AC1514" s="64" t="str">
        <f t="shared" si="265"/>
        <v>Supply order ready for pickup</v>
      </c>
      <c r="AD1514" s="64" t="str">
        <f t="shared" si="256"/>
        <v>Dear PSW,
Your order is ready for pickup from Sample Branch, Wed-Fri 9am-4pm.</v>
      </c>
      <c r="AE1514" s="64" t="str">
        <f t="shared" si="257"/>
        <v>mailto:firstname115.lastname115@example.com?subject=Supply%20order%20ready%20for%20pickup&amp;body=Dear%20PSW%2C%0A%0AYour%20order%20is%20ready%20for%20pickup%20from%20Sample%20Branch%2C%20Wed-Fri%209am-4pm.</v>
      </c>
      <c r="AF1514" s="89" t="str">
        <f t="shared" si="266"/>
        <v>Draft email</v>
      </c>
      <c r="AG1514" s="64" t="str">
        <f>IF($C1514="","",IFERROR(INDEX('Staff Directory'!$K$595:$K$599,MATCH($C1514,'Staff Directory'!$B$5:$B$599,0)),$D1514))</f>
        <v>PSW</v>
      </c>
      <c r="AH1514" t="str">
        <f>IF($C1514="","",IFERROR(INDEX('Staff Directory'!$I$595:$I$599,MATCH($C1514,'Staff Directory'!$B$5:$B$599,0))&amp;" "&amp;INDEX('Staff Directory'!$J$595:$J$599,MATCH($C1514,'Staff Directory'!$B$5:$B$599,0)),$AG1514))</f>
        <v>PSW</v>
      </c>
      <c r="AI1514" s="102"/>
      <c r="AJ1514" s="101">
        <f>IF($F1514="","",SUMIFS($J$5:$J1514,$F$5:$F1514,$F1514))</f>
        <v>34</v>
      </c>
      <c r="AK1514" s="101">
        <f t="shared" si="258"/>
        <v>34</v>
      </c>
      <c r="AL1514" s="66" t="str" cm="1">
        <f t="array" ref="AL1514">IF($F1514="","",IFERROR(INDEX('Lot Balance'!$B$5:$B$500,MATCH(1,INDEX(('Lot Balance'!$A$5:$A$500=$F1514)*('Lot Balance'!$K$5:$K$500&lt;$AK1514)*('Lot Balance'!$K$5:$K$500+'Lot Balance'!$D$5:$D$500&gt;=$AK1514),0),0)),""))</f>
        <v/>
      </c>
      <c r="AM1514" s="66" t="str" cm="1">
        <f t="array" ref="AM1514">IF($F1514="","",IFERROR(INDEX('Lot Balance'!$B$5:$B$500,MATCH(1,INDEX(('Lot Balance'!$A$5:$A$500=$F1514)*('Lot Balance'!$K$5:$K$500&lt;$AJ1514)*('Lot Balance'!$K$5:$K$500+'Lot Balance'!$D$5:$D$500&gt;=$AJ1514),0),0)),""))</f>
        <v/>
      </c>
      <c r="AN1514" s="66" t="str">
        <f>IF($F1514="","",IF($AI1514&lt;&gt;"",IF(COUNTIFS('Lot Balance'!$A$5:$A$500,$F1514,'Lot Balance'!$B$5:$B$500,$AI1514)=0,"⚠ override is not a lot of this item",IF($AI1514=$AL1514,"Override = FEFO","Override - FEFO says "&amp;$AL1514)),IF($AL1514="","⚠ no receipt on file for this item",IF($AM1514&lt;&gt;$AL1514,"FEFO auto - split, also "&amp;$AM1514,"FEFO auto"))))</f>
        <v>⚠ no receipt on file for this item</v>
      </c>
      <c r="AO1514" s="114"/>
    </row>
    <row r="1515" spans="1:41" x14ac:dyDescent="0.35">
      <c r="A1515" s="74">
        <v>46209</v>
      </c>
      <c r="B1515" s="18" t="str">
        <f>IF($C1515="","",IFERROR(INDEX('Staff Directory'!$A$5:$A$594,MATCH($C1515,'Staff Directory'!$B$5:$B$594,0)),"⚠ unknown staff"))</f>
        <v>PSW-186-TBD</v>
      </c>
      <c r="C1515" s="49" t="s">
        <v>1165</v>
      </c>
      <c r="D1515" s="19" t="str">
        <f>IF($B1515="","",IFERROR(INDEX('Staff Directory'!$C$5:$C$594,MATCH($B1515,'Staff Directory'!$A$5:$A$594,0)),""))</f>
        <v>PSW</v>
      </c>
      <c r="E1515" s="19">
        <f>IF($B1515="","",IFERROR(INDEX('Staff Directory'!$D$5:$D$594,MATCH($B1515,'Staff Directory'!$A$5:$A$594,0)),""))</f>
        <v>0</v>
      </c>
      <c r="F1515" s="9" t="s">
        <v>127</v>
      </c>
      <c r="G1515" s="18" t="str">
        <f>IF($F1515="","",IFERROR(INDEX(Items!$B$5:$B$597,MATCH($F1515,Items!$A$5:$A$597,0)),"⚠ not in Items"))</f>
        <v>Gloves</v>
      </c>
      <c r="H1515" s="19" t="str">
        <f>IF($F1515="","",IFERROR(INDEX(Items!$C$5:$C$597,MATCH($F1515,Items!$A$5:$A$597,0)),""))</f>
        <v>Medium</v>
      </c>
      <c r="I1515" s="23">
        <f>IF($F1515="","",IFERROR(INDEX(Items!$E$5:$E$597,MATCH($F1515,Items!$A$5:$A$597,0)),""))</f>
        <v>500</v>
      </c>
      <c r="J1515" s="115">
        <f>IF(tblIssues[[#This Row],[Qty Override]]&lt;&gt;"",tblIssues[[#This Row],[Qty Override]],IF(tblIssues[[#This Row],[Standard Issue]]="","",tblIssues[[#This Row],[Standard Issue]]))</f>
        <v>500</v>
      </c>
      <c r="K1515" s="20">
        <f>IF($F1515="","",IFERROR(INDEX(Items!$D$5:$D$597,MATCH($F1515,Items!$A$5:$A$597,0)),""))</f>
        <v>5.5E-2</v>
      </c>
      <c r="L1515" s="21">
        <f t="shared" si="261"/>
        <v>27.5</v>
      </c>
      <c r="M1515" s="9" t="str">
        <f t="shared" si="259"/>
        <v>ZIM510137962-2</v>
      </c>
      <c r="N1515" s="24">
        <f>IF($A1515="","",WORKDAY($A1515,Settings!$C$9,HolidayDates))</f>
        <v>46217</v>
      </c>
      <c r="O1515" s="24">
        <f>IF($N1515="","",WORKDAY($N1515,Settings!$C$10,HolidayDates))</f>
        <v>46255</v>
      </c>
      <c r="P1515" s="10" t="s">
        <v>501</v>
      </c>
      <c r="Q1515" s="52" t="str">
        <f t="shared" si="262"/>
        <v>Collected</v>
      </c>
      <c r="R1515" s="55" t="str">
        <f t="shared" si="263"/>
        <v>2026-07</v>
      </c>
      <c r="S1515" s="55">
        <f>IF(OR($B1515="",$F1515="",$R1515=""),"",SUMIFS(tblIssues[Qty Issued],tblIssues[Staff ID],$B1515,tblIssues[Item Name],$F1515,tblIssues[Month],$R1515))</f>
        <v>500</v>
      </c>
      <c r="T1515" s="56">
        <f>IF($I1515="","",$I1515*Settings!$C$11)</f>
        <v>500</v>
      </c>
      <c r="U1515" s="57" t="str">
        <f t="shared" si="260"/>
        <v>OK</v>
      </c>
      <c r="V1515" s="55" t="str">
        <f t="shared" si="264"/>
        <v/>
      </c>
      <c r="W1515" s="55" t="str">
        <f>IF($V1515="","",IF(COUNTIF($V$5:$V1515,$V1515)=1,1,""))</f>
        <v/>
      </c>
      <c r="X1515" s="58" t="str">
        <f>IF($W1515="","",MAX($X$4:X1514)+1)</f>
        <v/>
      </c>
      <c r="Y1515" s="62"/>
      <c r="Z1515" s="62"/>
      <c r="AA1515" s="64" t="str">
        <f>IF($C1515="","",IFERROR(INDEX('Staff Directory'!$E$5:$E$594,MATCH($C1515,'Staff Directory'!$B$5:$B$594,0)),""))</f>
        <v>firstname249.lastname249@example.com</v>
      </c>
      <c r="AB1515" s="64" t="str">
        <f>IF($C1515="","",IF(ISNUMBER(SEARCH($D1515,Settings!$C$15)),"Pickup","Dispatch"))</f>
        <v>Pickup</v>
      </c>
      <c r="AC1515" s="64" t="str">
        <f t="shared" si="265"/>
        <v>Supply order ready for pickup</v>
      </c>
      <c r="AD1515" s="64" t="str">
        <f t="shared" si="256"/>
        <v>Dear PSW,
Your order is ready for pickup from Sample Branch, Wed-Fri 9am-4pm.</v>
      </c>
      <c r="AE1515" s="64" t="str">
        <f t="shared" si="257"/>
        <v>mailto:firstname249.lastname249@example.com?subject=Supply%20order%20ready%20for%20pickup&amp;body=Dear%20PSW%2C%0A%0AYour%20order%20is%20ready%20for%20pickup%20from%20Sample%20Branch%2C%20Wed-Fri%209am-4pm.</v>
      </c>
      <c r="AF1515" s="89" t="str">
        <f t="shared" si="266"/>
        <v>Draft email</v>
      </c>
      <c r="AG1515" s="64" t="str">
        <f>IF($C1515="","",IFERROR(INDEX('Staff Directory'!$K$595:$K$599,MATCH($C1515,'Staff Directory'!$B$5:$B$599,0)),$D1515))</f>
        <v>PSW</v>
      </c>
      <c r="AH1515" t="str">
        <f>IF($C1515="","",IFERROR(INDEX('Staff Directory'!$I$595:$I$599,MATCH($C1515,'Staff Directory'!$B$5:$B$599,0))&amp;" "&amp;INDEX('Staff Directory'!$J$595:$J$599,MATCH($C1515,'Staff Directory'!$B$5:$B$599,0)),$AG1515))</f>
        <v>PSW</v>
      </c>
      <c r="AI1515" s="102"/>
      <c r="AJ1515" s="101">
        <f>IF($F1515="","",SUMIFS($J$5:$J1515,$F$5:$F1515,$F1515))</f>
        <v>94000</v>
      </c>
      <c r="AK1515" s="101">
        <f t="shared" si="258"/>
        <v>93501</v>
      </c>
      <c r="AL1515" s="66" t="str" cm="1">
        <f t="array" ref="AL1515">IF($F1515="","",IFERROR(INDEX('Lot Balance'!$B$5:$B$500,MATCH(1,INDEX(('Lot Balance'!$A$5:$A$500=$F1515)*('Lot Balance'!$K$5:$K$500&lt;$AK1515)*('Lot Balance'!$K$5:$K$500+'Lot Balance'!$D$5:$D$500&gt;=$AK1515),0),0)),""))</f>
        <v>ZIM510137962-2</v>
      </c>
      <c r="AM1515" s="66" t="str" cm="1">
        <f t="array" ref="AM1515">IF($F1515="","",IFERROR(INDEX('Lot Balance'!$B$5:$B$500,MATCH(1,INDEX(('Lot Balance'!$A$5:$A$500=$F1515)*('Lot Balance'!$K$5:$K$500&lt;$AJ1515)*('Lot Balance'!$K$5:$K$500+'Lot Balance'!$D$5:$D$500&gt;=$AJ1515),0),0)),""))</f>
        <v>ZIM510137962-2</v>
      </c>
      <c r="AN1515" s="66" t="str">
        <f>IF($F1515="","",IF($AI1515&lt;&gt;"",IF(COUNTIFS('Lot Balance'!$A$5:$A$500,$F1515,'Lot Balance'!$B$5:$B$500,$AI1515)=0,"⚠ override is not a lot of this item",IF($AI1515=$AL1515,"Override = FEFO","Override - FEFO says "&amp;$AL1515)),IF($AL1515="","⚠ no receipt on file for this item",IF($AM1515&lt;&gt;$AL1515,"FEFO auto - split, also "&amp;$AM1515,"FEFO auto"))))</f>
        <v>FEFO auto</v>
      </c>
      <c r="AO1515" s="114"/>
    </row>
    <row r="1516" spans="1:41" x14ac:dyDescent="0.35">
      <c r="A1516" s="74">
        <v>46209</v>
      </c>
      <c r="B1516" s="18" t="str">
        <f>IF($C1516="","",IFERROR(INDEX('Staff Directory'!$A$5:$A$594,MATCH($C1516,'Staff Directory'!$B$5:$B$594,0)),"⚠ unknown staff"))</f>
        <v>PSW-186-TBD</v>
      </c>
      <c r="C1516" s="49" t="s">
        <v>1165</v>
      </c>
      <c r="D1516" s="19" t="str">
        <f>IF($B1516="","",IFERROR(INDEX('Staff Directory'!$C$5:$C$594,MATCH($B1516,'Staff Directory'!$A$5:$A$594,0)),""))</f>
        <v>PSW</v>
      </c>
      <c r="E1516" s="19">
        <f>IF($B1516="","",IFERROR(INDEX('Staff Directory'!$D$5:$D$594,MATCH($B1516,'Staff Directory'!$A$5:$A$594,0)),""))</f>
        <v>0</v>
      </c>
      <c r="F1516" s="9" t="s">
        <v>115</v>
      </c>
      <c r="G1516" s="18" t="str">
        <f>IF($F1516="","",IFERROR(INDEX(Items!$B$5:$B$597,MATCH($F1516,Items!$A$5:$A$597,0)),"⚠ not in Items"))</f>
        <v>Wipes</v>
      </c>
      <c r="H1516" s="19">
        <f>IF($F1516="","",IFERROR(INDEX(Items!$C$5:$C$597,MATCH($F1516,Items!$A$5:$A$597,0)),""))</f>
        <v>80</v>
      </c>
      <c r="I1516" s="23">
        <f>IF($F1516="","",IFERROR(INDEX(Items!$E$5:$E$597,MATCH($F1516,Items!$A$5:$A$597,0)),""))</f>
        <v>80</v>
      </c>
      <c r="J1516" s="115">
        <f>IF(tblIssues[[#This Row],[Qty Override]]&lt;&gt;"",tblIssues[[#This Row],[Qty Override]],IF(tblIssues[[#This Row],[Standard Issue]]="","",tblIssues[[#This Row],[Standard Issue]]))</f>
        <v>80</v>
      </c>
      <c r="K1516" s="20">
        <f>IF($F1516="","",IFERROR(INDEX(Items!$D$5:$D$597,MATCH($F1516,Items!$A$5:$A$597,0)),""))</f>
        <v>0.1</v>
      </c>
      <c r="L1516" s="21">
        <f t="shared" si="261"/>
        <v>8</v>
      </c>
      <c r="M1516" s="9" t="str">
        <f t="shared" si="259"/>
        <v>LYSL500290</v>
      </c>
      <c r="N1516" s="24">
        <f>IF($A1516="","",WORKDAY($A1516,Settings!$C$9,HolidayDates))</f>
        <v>46217</v>
      </c>
      <c r="O1516" s="24">
        <f>IF($N1516="","",WORKDAY($N1516,Settings!$C$10,HolidayDates))</f>
        <v>46255</v>
      </c>
      <c r="P1516" s="10" t="s">
        <v>501</v>
      </c>
      <c r="Q1516" s="52" t="str">
        <f t="shared" si="262"/>
        <v>Collected</v>
      </c>
      <c r="R1516" s="55" t="str">
        <f t="shared" si="263"/>
        <v>2026-07</v>
      </c>
      <c r="S1516" s="55">
        <f>IF(OR($B1516="",$F1516="",$R1516=""),"",SUMIFS(tblIssues[Qty Issued],tblIssues[Staff ID],$B1516,tblIssues[Item Name],$F1516,tblIssues[Month],$R1516))</f>
        <v>80</v>
      </c>
      <c r="T1516" s="56">
        <f>IF($I1516="","",$I1516*Settings!$C$11)</f>
        <v>80</v>
      </c>
      <c r="U1516" s="57" t="str">
        <f t="shared" si="260"/>
        <v>OK</v>
      </c>
      <c r="V1516" s="55" t="str">
        <f t="shared" si="264"/>
        <v/>
      </c>
      <c r="W1516" s="55" t="str">
        <f>IF($V1516="","",IF(COUNTIF($V$5:$V1516,$V1516)=1,1,""))</f>
        <v/>
      </c>
      <c r="X1516" s="58" t="str">
        <f>IF($W1516="","",MAX($X$4:X1515)+1)</f>
        <v/>
      </c>
      <c r="Y1516" s="62"/>
      <c r="Z1516" s="62"/>
      <c r="AA1516" s="64" t="str">
        <f>IF($C1516="","",IFERROR(INDEX('Staff Directory'!$E$5:$E$594,MATCH($C1516,'Staff Directory'!$B$5:$B$594,0)),""))</f>
        <v>firstname249.lastname249@example.com</v>
      </c>
      <c r="AB1516" s="64" t="str">
        <f>IF($C1516="","",IF(ISNUMBER(SEARCH($D1516,Settings!$C$15)),"Pickup","Dispatch"))</f>
        <v>Pickup</v>
      </c>
      <c r="AC1516" s="64" t="str">
        <f t="shared" si="265"/>
        <v>Supply order ready for pickup</v>
      </c>
      <c r="AD1516" s="64" t="str">
        <f t="shared" si="256"/>
        <v>Dear PSW,
Your order is ready for pickup from Sample Branch, Wed-Fri 9am-4pm.</v>
      </c>
      <c r="AE1516" s="64" t="str">
        <f t="shared" si="257"/>
        <v>mailto:firstname249.lastname249@example.com?subject=Supply%20order%20ready%20for%20pickup&amp;body=Dear%20PSW%2C%0A%0AYour%20order%20is%20ready%20for%20pickup%20from%20Sample%20Branch%2C%20Wed-Fri%209am-4pm.</v>
      </c>
      <c r="AF1516" s="89" t="str">
        <f t="shared" si="266"/>
        <v>Draft email</v>
      </c>
      <c r="AG1516" s="64" t="str">
        <f>IF($C1516="","",IFERROR(INDEX('Staff Directory'!$K$595:$K$599,MATCH($C1516,'Staff Directory'!$B$5:$B$599,0)),$D1516))</f>
        <v>PSW</v>
      </c>
      <c r="AH1516" t="str">
        <f>IF($C1516="","",IFERROR(INDEX('Staff Directory'!$I$595:$I$599,MATCH($C1516,'Staff Directory'!$B$5:$B$599,0))&amp;" "&amp;INDEX('Staff Directory'!$J$595:$J$599,MATCH($C1516,'Staff Directory'!$B$5:$B$599,0)),$AG1516))</f>
        <v>PSW</v>
      </c>
      <c r="AI1516" s="102"/>
      <c r="AJ1516" s="101">
        <f>IF($F1516="","",SUMIFS($J$5:$J1516,$F$5:$F1516,$F1516))</f>
        <v>20960</v>
      </c>
      <c r="AK1516" s="101">
        <f t="shared" si="258"/>
        <v>20881</v>
      </c>
      <c r="AL1516" s="66" t="str" cm="1">
        <f t="array" ref="AL1516">IF($F1516="","",IFERROR(INDEX('Lot Balance'!$B$5:$B$500,MATCH(1,INDEX(('Lot Balance'!$A$5:$A$500=$F1516)*('Lot Balance'!$K$5:$K$500&lt;$AK1516)*('Lot Balance'!$K$5:$K$500+'Lot Balance'!$D$5:$D$500&gt;=$AK1516),0),0)),""))</f>
        <v>LYSL500290</v>
      </c>
      <c r="AM1516" s="66" t="str" cm="1">
        <f t="array" ref="AM1516">IF($F1516="","",IFERROR(INDEX('Lot Balance'!$B$5:$B$500,MATCH(1,INDEX(('Lot Balance'!$A$5:$A$500=$F1516)*('Lot Balance'!$K$5:$K$500&lt;$AJ1516)*('Lot Balance'!$K$5:$K$500+'Lot Balance'!$D$5:$D$500&gt;=$AJ1516),0),0)),""))</f>
        <v>LYSL500290</v>
      </c>
      <c r="AN1516" s="66" t="str">
        <f>IF($F1516="","",IF($AI1516&lt;&gt;"",IF(COUNTIFS('Lot Balance'!$A$5:$A$500,$F1516,'Lot Balance'!$B$5:$B$500,$AI1516)=0,"⚠ override is not a lot of this item",IF($AI1516=$AL1516,"Override = FEFO","Override - FEFO says "&amp;$AL1516)),IF($AL1516="","⚠ no receipt on file for this item",IF($AM1516&lt;&gt;$AL1516,"FEFO auto - split, also "&amp;$AM1516,"FEFO auto"))))</f>
        <v>FEFO auto</v>
      </c>
      <c r="AO1516" s="114"/>
    </row>
    <row r="1517" spans="1:41" x14ac:dyDescent="0.35">
      <c r="A1517" s="74">
        <v>46209</v>
      </c>
      <c r="B1517" s="18" t="str">
        <f>IF($C1517="","",IFERROR(INDEX('Staff Directory'!$A$5:$A$594,MATCH($C1517,'Staff Directory'!$B$5:$B$594,0)),"⚠ unknown staff"))</f>
        <v>PSW-186-TBD</v>
      </c>
      <c r="C1517" s="49" t="s">
        <v>1165</v>
      </c>
      <c r="D1517" s="19" t="str">
        <f>IF($B1517="","",IFERROR(INDEX('Staff Directory'!$C$5:$C$594,MATCH($B1517,'Staff Directory'!$A$5:$A$594,0)),""))</f>
        <v>PSW</v>
      </c>
      <c r="E1517" s="19">
        <f>IF($B1517="","",IFERROR(INDEX('Staff Directory'!$D$5:$D$594,MATCH($B1517,'Staff Directory'!$A$5:$A$594,0)),""))</f>
        <v>0</v>
      </c>
      <c r="F1517" s="9" t="s">
        <v>106</v>
      </c>
      <c r="G1517" s="18" t="str">
        <f>IF($F1517="","",IFERROR(INDEX(Items!$B$5:$B$597,MATCH($F1517,Items!$A$5:$A$597,0)),"⚠ not in Items"))</f>
        <v>Masks</v>
      </c>
      <c r="H1517" s="19" t="str">
        <f>IF($F1517="","",IFERROR(INDEX(Items!$C$5:$C$597,MATCH($F1517,Items!$A$5:$A$597,0)),""))</f>
        <v>One Size</v>
      </c>
      <c r="I1517" s="23">
        <f>IF($F1517="","",IFERROR(INDEX(Items!$E$5:$E$597,MATCH($F1517,Items!$A$5:$A$597,0)),""))</f>
        <v>5</v>
      </c>
      <c r="J1517" s="115">
        <f>IF(tblIssues[[#This Row],[Qty Override]]&lt;&gt;"",tblIssues[[#This Row],[Qty Override]],IF(tblIssues[[#This Row],[Standard Issue]]="","",tblIssues[[#This Row],[Standard Issue]]))</f>
        <v>5</v>
      </c>
      <c r="K1517" s="20">
        <f>IF($F1517="","",IFERROR(INDEX(Items!$D$5:$D$597,MATCH($F1517,Items!$A$5:$A$597,0)),""))</f>
        <v>1.45</v>
      </c>
      <c r="L1517" s="21">
        <f t="shared" si="261"/>
        <v>7.25</v>
      </c>
      <c r="M1517" s="9" t="str">
        <f t="shared" si="259"/>
        <v>N955003714</v>
      </c>
      <c r="N1517" s="24">
        <f>IF($A1517="","",WORKDAY($A1517,Settings!$C$9,HolidayDates))</f>
        <v>46217</v>
      </c>
      <c r="O1517" s="24">
        <f>IF($N1517="","",WORKDAY($N1517,Settings!$C$10,HolidayDates))</f>
        <v>46255</v>
      </c>
      <c r="P1517" s="10" t="s">
        <v>501</v>
      </c>
      <c r="Q1517" s="52" t="str">
        <f t="shared" si="262"/>
        <v>Collected</v>
      </c>
      <c r="R1517" s="55" t="str">
        <f t="shared" si="263"/>
        <v>2026-07</v>
      </c>
      <c r="S1517" s="55">
        <f>IF(OR($B1517="",$F1517="",$R1517=""),"",SUMIFS(tblIssues[Qty Issued],tblIssues[Staff ID],$B1517,tblIssues[Item Name],$F1517,tblIssues[Month],$R1517))</f>
        <v>5</v>
      </c>
      <c r="T1517" s="56">
        <f>IF($I1517="","",$I1517*Settings!$C$11)</f>
        <v>5</v>
      </c>
      <c r="U1517" s="57" t="str">
        <f t="shared" si="260"/>
        <v>OK</v>
      </c>
      <c r="V1517" s="55" t="str">
        <f t="shared" si="264"/>
        <v/>
      </c>
      <c r="W1517" s="55" t="str">
        <f>IF($V1517="","",IF(COUNTIF($V$5:$V1517,$V1517)=1,1,""))</f>
        <v/>
      </c>
      <c r="X1517" s="58" t="str">
        <f>IF($W1517="","",MAX($X$4:X1516)+1)</f>
        <v/>
      </c>
      <c r="Y1517" s="62"/>
      <c r="Z1517" s="62"/>
      <c r="AA1517" s="64" t="str">
        <f>IF($C1517="","",IFERROR(INDEX('Staff Directory'!$E$5:$E$594,MATCH($C1517,'Staff Directory'!$B$5:$B$594,0)),""))</f>
        <v>firstname249.lastname249@example.com</v>
      </c>
      <c r="AB1517" s="64" t="str">
        <f>IF($C1517="","",IF(ISNUMBER(SEARCH($D1517,Settings!$C$15)),"Pickup","Dispatch"))</f>
        <v>Pickup</v>
      </c>
      <c r="AC1517" s="64" t="str">
        <f t="shared" si="265"/>
        <v>Supply order ready for pickup</v>
      </c>
      <c r="AD1517" s="64" t="str">
        <f t="shared" si="256"/>
        <v>Dear PSW,
Your order is ready for pickup from Sample Branch, Wed-Fri 9am-4pm.</v>
      </c>
      <c r="AE1517" s="64" t="str">
        <f t="shared" si="257"/>
        <v>mailto:firstname249.lastname249@example.com?subject=Supply%20order%20ready%20for%20pickup&amp;body=Dear%20PSW%2C%0A%0AYour%20order%20is%20ready%20for%20pickup%20from%20Sample%20Branch%2C%20Wed-Fri%209am-4pm.</v>
      </c>
      <c r="AF1517" s="89" t="str">
        <f t="shared" si="266"/>
        <v>Draft email</v>
      </c>
      <c r="AG1517" s="64" t="str">
        <f>IF($C1517="","",IFERROR(INDEX('Staff Directory'!$K$595:$K$599,MATCH($C1517,'Staff Directory'!$B$5:$B$599,0)),$D1517))</f>
        <v>PSW</v>
      </c>
      <c r="AH1517" t="str">
        <f>IF($C1517="","",IFERROR(INDEX('Staff Directory'!$I$595:$I$599,MATCH($C1517,'Staff Directory'!$B$5:$B$599,0))&amp;" "&amp;INDEX('Staff Directory'!$J$595:$J$599,MATCH($C1517,'Staff Directory'!$B$5:$B$599,0)),$AG1517))</f>
        <v>PSW</v>
      </c>
      <c r="AI1517" s="102"/>
      <c r="AJ1517" s="101">
        <f>IF($F1517="","",SUMIFS($J$5:$J1517,$F$5:$F1517,$F1517))</f>
        <v>20</v>
      </c>
      <c r="AK1517" s="101">
        <f t="shared" si="258"/>
        <v>16</v>
      </c>
      <c r="AL1517" s="66" t="str" cm="1">
        <f t="array" ref="AL1517">IF($F1517="","",IFERROR(INDEX('Lot Balance'!$B$5:$B$500,MATCH(1,INDEX(('Lot Balance'!$A$5:$A$500=$F1517)*('Lot Balance'!$K$5:$K$500&lt;$AK1517)*('Lot Balance'!$K$5:$K$500+'Lot Balance'!$D$5:$D$500&gt;=$AK1517),0),0)),""))</f>
        <v>N955003714</v>
      </c>
      <c r="AM1517" s="66" t="str" cm="1">
        <f t="array" ref="AM1517">IF($F1517="","",IFERROR(INDEX('Lot Balance'!$B$5:$B$500,MATCH(1,INDEX(('Lot Balance'!$A$5:$A$500=$F1517)*('Lot Balance'!$K$5:$K$500&lt;$AJ1517)*('Lot Balance'!$K$5:$K$500+'Lot Balance'!$D$5:$D$500&gt;=$AJ1517),0),0)),""))</f>
        <v>N955003714</v>
      </c>
      <c r="AN1517" s="66" t="str">
        <f>IF($F1517="","",IF($AI1517&lt;&gt;"",IF(COUNTIFS('Lot Balance'!$A$5:$A$500,$F1517,'Lot Balance'!$B$5:$B$500,$AI1517)=0,"⚠ override is not a lot of this item",IF($AI1517=$AL1517,"Override = FEFO","Override - FEFO says "&amp;$AL1517)),IF($AL1517="","⚠ no receipt on file for this item",IF($AM1517&lt;&gt;$AL1517,"FEFO auto - split, also "&amp;$AM1517,"FEFO auto"))))</f>
        <v>FEFO auto</v>
      </c>
      <c r="AO1517" s="114"/>
    </row>
    <row r="1518" spans="1:41" x14ac:dyDescent="0.35">
      <c r="A1518" s="74">
        <v>46209</v>
      </c>
      <c r="B1518" s="18" t="str">
        <f>IF($C1518="","",IFERROR(INDEX('Staff Directory'!$A$5:$A$594,MATCH($C1518,'Staff Directory'!$B$5:$B$594,0)),"⚠ unknown staff"))</f>
        <v>PSW-186-TBD</v>
      </c>
      <c r="C1518" s="49" t="s">
        <v>1165</v>
      </c>
      <c r="D1518" s="19" t="str">
        <f>IF($B1518="","",IFERROR(INDEX('Staff Directory'!$C$5:$C$594,MATCH($B1518,'Staff Directory'!$A$5:$A$594,0)),""))</f>
        <v>PSW</v>
      </c>
      <c r="E1518" s="19">
        <f>IF($B1518="","",IFERROR(INDEX('Staff Directory'!$D$5:$D$594,MATCH($B1518,'Staff Directory'!$A$5:$A$594,0)),""))</f>
        <v>0</v>
      </c>
      <c r="F1518" s="9" t="s">
        <v>137</v>
      </c>
      <c r="G1518" s="18" t="str">
        <f>IF($F1518="","",IFERROR(INDEX(Items!$B$5:$B$597,MATCH($F1518,Items!$A$5:$A$597,0)),"⚠ not in Items"))</f>
        <v>Sanitizer</v>
      </c>
      <c r="H1518" s="19" t="str">
        <f>IF($F1518="","",IFERROR(INDEX(Items!$C$5:$C$597,MATCH($F1518,Items!$A$5:$A$597,0)),""))</f>
        <v>118 ML</v>
      </c>
      <c r="I1518" s="23">
        <f>IF($F1518="","",IFERROR(INDEX(Items!$E$5:$E$597,MATCH($F1518,Items!$A$5:$A$597,0)),""))</f>
        <v>2</v>
      </c>
      <c r="J1518" s="115">
        <f>IF(tblIssues[[#This Row],[Qty Override]]&lt;&gt;"",tblIssues[[#This Row],[Qty Override]],IF(tblIssues[[#This Row],[Standard Issue]]="","",tblIssues[[#This Row],[Standard Issue]]))</f>
        <v>2</v>
      </c>
      <c r="K1518" s="20">
        <f>IF($F1518="","",IFERROR(INDEX(Items!$D$5:$D$597,MATCH($F1518,Items!$A$5:$A$597,0)),""))</f>
        <v>4.49</v>
      </c>
      <c r="L1518" s="21">
        <f t="shared" si="261"/>
        <v>8.98</v>
      </c>
      <c r="M1518" s="9" t="str">
        <f t="shared" si="259"/>
        <v>563963-7</v>
      </c>
      <c r="N1518" s="24">
        <f>IF($A1518="","",WORKDAY($A1518,Settings!$C$9,HolidayDates))</f>
        <v>46217</v>
      </c>
      <c r="O1518" s="24">
        <f>IF($N1518="","",WORKDAY($N1518,Settings!$C$10,HolidayDates))</f>
        <v>46255</v>
      </c>
      <c r="P1518" s="10" t="s">
        <v>501</v>
      </c>
      <c r="Q1518" s="52" t="str">
        <f t="shared" si="262"/>
        <v>Collected</v>
      </c>
      <c r="R1518" s="55" t="str">
        <f t="shared" si="263"/>
        <v>2026-07</v>
      </c>
      <c r="S1518" s="55">
        <f>IF(OR($B1518="",$F1518="",$R1518=""),"",SUMIFS(tblIssues[Qty Issued],tblIssues[Staff ID],$B1518,tblIssues[Item Name],$F1518,tblIssues[Month],$R1518))</f>
        <v>2</v>
      </c>
      <c r="T1518" s="56">
        <f>IF($I1518="","",$I1518*Settings!$C$11)</f>
        <v>2</v>
      </c>
      <c r="U1518" s="57" t="str">
        <f t="shared" si="260"/>
        <v>OK</v>
      </c>
      <c r="V1518" s="55" t="str">
        <f t="shared" si="264"/>
        <v/>
      </c>
      <c r="W1518" s="55" t="str">
        <f>IF($V1518="","",IF(COUNTIF($V$5:$V1518,$V1518)=1,1,""))</f>
        <v/>
      </c>
      <c r="X1518" s="58" t="str">
        <f>IF($W1518="","",MAX($X$4:X1517)+1)</f>
        <v/>
      </c>
      <c r="Y1518" s="62"/>
      <c r="Z1518" s="62"/>
      <c r="AA1518" s="64" t="str">
        <f>IF($C1518="","",IFERROR(INDEX('Staff Directory'!$E$5:$E$594,MATCH($C1518,'Staff Directory'!$B$5:$B$594,0)),""))</f>
        <v>firstname249.lastname249@example.com</v>
      </c>
      <c r="AB1518" s="64" t="str">
        <f>IF($C1518="","",IF(ISNUMBER(SEARCH($D1518,Settings!$C$15)),"Pickup","Dispatch"))</f>
        <v>Pickup</v>
      </c>
      <c r="AC1518" s="64" t="str">
        <f t="shared" si="265"/>
        <v>Supply order ready for pickup</v>
      </c>
      <c r="AD1518" s="64" t="str">
        <f t="shared" si="256"/>
        <v>Dear PSW,
Your order is ready for pickup from Sample Branch, Wed-Fri 9am-4pm.</v>
      </c>
      <c r="AE1518" s="64" t="str">
        <f t="shared" si="257"/>
        <v>mailto:firstname249.lastname249@example.com?subject=Supply%20order%20ready%20for%20pickup&amp;body=Dear%20PSW%2C%0A%0AYour%20order%20is%20ready%20for%20pickup%20from%20Sample%20Branch%2C%20Wed-Fri%209am-4pm.</v>
      </c>
      <c r="AF1518" s="89" t="str">
        <f t="shared" si="266"/>
        <v>Draft email</v>
      </c>
      <c r="AG1518" s="64" t="str">
        <f>IF($C1518="","",IFERROR(INDEX('Staff Directory'!$K$595:$K$599,MATCH($C1518,'Staff Directory'!$B$5:$B$599,0)),$D1518))</f>
        <v>PSW</v>
      </c>
      <c r="AH1518" t="str">
        <f>IF($C1518="","",IFERROR(INDEX('Staff Directory'!$I$595:$I$599,MATCH($C1518,'Staff Directory'!$B$5:$B$599,0))&amp;" "&amp;INDEX('Staff Directory'!$J$595:$J$599,MATCH($C1518,'Staff Directory'!$B$5:$B$599,0)),$AG1518))</f>
        <v>PSW</v>
      </c>
      <c r="AI1518" s="102"/>
      <c r="AJ1518" s="101">
        <f>IF($F1518="","",SUMIFS($J$5:$J1518,$F$5:$F1518,$F1518))</f>
        <v>134</v>
      </c>
      <c r="AK1518" s="101">
        <f t="shared" si="258"/>
        <v>133</v>
      </c>
      <c r="AL1518" s="66" t="str" cm="1">
        <f t="array" ref="AL1518">IF($F1518="","",IFERROR(INDEX('Lot Balance'!$B$5:$B$500,MATCH(1,INDEX(('Lot Balance'!$A$5:$A$500=$F1518)*('Lot Balance'!$K$5:$K$500&lt;$AK1518)*('Lot Balance'!$K$5:$K$500+'Lot Balance'!$D$5:$D$500&gt;=$AK1518),0),0)),""))</f>
        <v>563963-7</v>
      </c>
      <c r="AM1518" s="66" t="str" cm="1">
        <f t="array" ref="AM1518">IF($F1518="","",IFERROR(INDEX('Lot Balance'!$B$5:$B$500,MATCH(1,INDEX(('Lot Balance'!$A$5:$A$500=$F1518)*('Lot Balance'!$K$5:$K$500&lt;$AJ1518)*('Lot Balance'!$K$5:$K$500+'Lot Balance'!$D$5:$D$500&gt;=$AJ1518),0),0)),""))</f>
        <v>563963-7</v>
      </c>
      <c r="AN1518" s="66" t="str">
        <f>IF($F1518="","",IF($AI1518&lt;&gt;"",IF(COUNTIFS('Lot Balance'!$A$5:$A$500,$F1518,'Lot Balance'!$B$5:$B$500,$AI1518)=0,"⚠ override is not a lot of this item",IF($AI1518=$AL1518,"Override = FEFO","Override - FEFO says "&amp;$AL1518)),IF($AL1518="","⚠ no receipt on file for this item",IF($AM1518&lt;&gt;$AL1518,"FEFO auto - split, also "&amp;$AM1518,"FEFO auto"))))</f>
        <v>FEFO auto</v>
      </c>
      <c r="AO1518" s="114"/>
    </row>
    <row r="1519" spans="1:41" x14ac:dyDescent="0.35">
      <c r="A1519" s="74">
        <v>46209</v>
      </c>
      <c r="B1519" s="18" t="str">
        <f>IF($C1519="","",IFERROR(INDEX('Staff Directory'!$A$5:$A$594,MATCH($C1519,'Staff Directory'!$B$5:$B$594,0)),"⚠ unknown staff"))</f>
        <v>PSW-186-TBD</v>
      </c>
      <c r="C1519" s="49" t="s">
        <v>1165</v>
      </c>
      <c r="D1519" s="19" t="str">
        <f>IF($B1519="","",IFERROR(INDEX('Staff Directory'!$C$5:$C$594,MATCH($B1519,'Staff Directory'!$A$5:$A$594,0)),""))</f>
        <v>PSW</v>
      </c>
      <c r="E1519" s="19">
        <f>IF($B1519="","",IFERROR(INDEX('Staff Directory'!$D$5:$D$594,MATCH($B1519,'Staff Directory'!$A$5:$A$594,0)),""))</f>
        <v>0</v>
      </c>
      <c r="F1519" s="9" t="s">
        <v>147</v>
      </c>
      <c r="G1519" s="18" t="str">
        <f>IF($F1519="","",IFERROR(INDEX(Items!$B$5:$B$597,MATCH($F1519,Items!$A$5:$A$597,0)),"⚠ not in Items"))</f>
        <v>Apparel</v>
      </c>
      <c r="H1519" s="19" t="str">
        <f>IF($F1519="","",IFERROR(INDEX(Items!$C$5:$C$597,MATCH($F1519,Items!$A$5:$A$597,0)),""))</f>
        <v>One Size</v>
      </c>
      <c r="I1519" s="23">
        <f>IF($F1519="","",IFERROR(INDEX(Items!$E$5:$E$597,MATCH($F1519,Items!$A$5:$A$597,0)),""))</f>
        <v>5</v>
      </c>
      <c r="J1519" s="115">
        <f>IF(tblIssues[[#This Row],[Qty Override]]&lt;&gt;"",tblIssues[[#This Row],[Qty Override]],IF(tblIssues[[#This Row],[Standard Issue]]="","",tblIssues[[#This Row],[Standard Issue]]))</f>
        <v>5</v>
      </c>
      <c r="K1519" s="20">
        <f>IF($F1519="","",IFERROR(INDEX(Items!$D$5:$D$597,MATCH($F1519,Items!$A$5:$A$597,0)),""))</f>
        <v>3</v>
      </c>
      <c r="L1519" s="21">
        <f t="shared" si="261"/>
        <v>15</v>
      </c>
      <c r="M1519" s="9" t="str">
        <f t="shared" si="259"/>
        <v>YG500280</v>
      </c>
      <c r="N1519" s="24">
        <f>IF($A1519="","",WORKDAY($A1519,Settings!$C$9,HolidayDates))</f>
        <v>46217</v>
      </c>
      <c r="O1519" s="24">
        <f>IF($N1519="","",WORKDAY($N1519,Settings!$C$10,HolidayDates))</f>
        <v>46255</v>
      </c>
      <c r="P1519" s="10" t="s">
        <v>501</v>
      </c>
      <c r="Q1519" s="52" t="str">
        <f t="shared" si="262"/>
        <v>Collected</v>
      </c>
      <c r="R1519" s="55" t="str">
        <f t="shared" si="263"/>
        <v>2026-07</v>
      </c>
      <c r="S1519" s="55">
        <f>IF(OR($B1519="",$F1519="",$R1519=""),"",SUMIFS(tblIssues[Qty Issued],tblIssues[Staff ID],$B1519,tblIssues[Item Name],$F1519,tblIssues[Month],$R1519))</f>
        <v>5</v>
      </c>
      <c r="T1519" s="56">
        <f>IF($I1519="","",$I1519*Settings!$C$11)</f>
        <v>5</v>
      </c>
      <c r="U1519" s="57" t="str">
        <f t="shared" si="260"/>
        <v>OK</v>
      </c>
      <c r="V1519" s="55" t="str">
        <f t="shared" si="264"/>
        <v/>
      </c>
      <c r="W1519" s="55" t="str">
        <f>IF($V1519="","",IF(COUNTIF($V$5:$V1519,$V1519)=1,1,""))</f>
        <v/>
      </c>
      <c r="X1519" s="58" t="str">
        <f>IF($W1519="","",MAX($X$4:X1518)+1)</f>
        <v/>
      </c>
      <c r="Y1519" s="62"/>
      <c r="Z1519" s="62"/>
      <c r="AA1519" s="64" t="str">
        <f>IF($C1519="","",IFERROR(INDEX('Staff Directory'!$E$5:$E$594,MATCH($C1519,'Staff Directory'!$B$5:$B$594,0)),""))</f>
        <v>firstname249.lastname249@example.com</v>
      </c>
      <c r="AB1519" s="64" t="str">
        <f>IF($C1519="","",IF(ISNUMBER(SEARCH($D1519,Settings!$C$15)),"Pickup","Dispatch"))</f>
        <v>Pickup</v>
      </c>
      <c r="AC1519" s="64" t="str">
        <f t="shared" si="265"/>
        <v>Supply order ready for pickup</v>
      </c>
      <c r="AD1519" s="64" t="str">
        <f t="shared" si="256"/>
        <v>Dear PSW,
Your order is ready for pickup from Sample Branch, Wed-Fri 9am-4pm.</v>
      </c>
      <c r="AE1519" s="64" t="str">
        <f t="shared" si="257"/>
        <v>mailto:firstname249.lastname249@example.com?subject=Supply%20order%20ready%20for%20pickup&amp;body=Dear%20PSW%2C%0A%0AYour%20order%20is%20ready%20for%20pickup%20from%20Sample%20Branch%2C%20Wed-Fri%209am-4pm.</v>
      </c>
      <c r="AF1519" s="89" t="str">
        <f t="shared" si="266"/>
        <v>Draft email</v>
      </c>
      <c r="AG1519" s="64" t="str">
        <f>IF($C1519="","",IFERROR(INDEX('Staff Directory'!$K$595:$K$599,MATCH($C1519,'Staff Directory'!$B$5:$B$599,0)),$D1519))</f>
        <v>PSW</v>
      </c>
      <c r="AH1519" t="str">
        <f>IF($C1519="","",IFERROR(INDEX('Staff Directory'!$I$595:$I$599,MATCH($C1519,'Staff Directory'!$B$5:$B$599,0))&amp;" "&amp;INDEX('Staff Directory'!$J$595:$J$599,MATCH($C1519,'Staff Directory'!$B$5:$B$599,0)),$AG1519))</f>
        <v>PSW</v>
      </c>
      <c r="AI1519" s="102"/>
      <c r="AJ1519" s="101">
        <f>IF($F1519="","",SUMIFS($J$5:$J1519,$F$5:$F1519,$F1519))</f>
        <v>180</v>
      </c>
      <c r="AK1519" s="101">
        <f t="shared" si="258"/>
        <v>176</v>
      </c>
      <c r="AL1519" s="66" t="str" cm="1">
        <f t="array" ref="AL1519">IF($F1519="","",IFERROR(INDEX('Lot Balance'!$B$5:$B$500,MATCH(1,INDEX(('Lot Balance'!$A$5:$A$500=$F1519)*('Lot Balance'!$K$5:$K$500&lt;$AK1519)*('Lot Balance'!$K$5:$K$500+'Lot Balance'!$D$5:$D$500&gt;=$AK1519),0),0)),""))</f>
        <v>YG500280</v>
      </c>
      <c r="AM1519" s="66" t="str" cm="1">
        <f t="array" ref="AM1519">IF($F1519="","",IFERROR(INDEX('Lot Balance'!$B$5:$B$500,MATCH(1,INDEX(('Lot Balance'!$A$5:$A$500=$F1519)*('Lot Balance'!$K$5:$K$500&lt;$AJ1519)*('Lot Balance'!$K$5:$K$500+'Lot Balance'!$D$5:$D$500&gt;=$AJ1519),0),0)),""))</f>
        <v>YG500280</v>
      </c>
      <c r="AN1519" s="66" t="str">
        <f>IF($F1519="","",IF($AI1519&lt;&gt;"",IF(COUNTIFS('Lot Balance'!$A$5:$A$500,$F1519,'Lot Balance'!$B$5:$B$500,$AI1519)=0,"⚠ override is not a lot of this item",IF($AI1519=$AL1519,"Override = FEFO","Override - FEFO says "&amp;$AL1519)),IF($AL1519="","⚠ no receipt on file for this item",IF($AM1519&lt;&gt;$AL1519,"FEFO auto - split, also "&amp;$AM1519,"FEFO auto"))))</f>
        <v>FEFO auto</v>
      </c>
      <c r="AO1519" s="114"/>
    </row>
    <row r="1520" spans="1:41" x14ac:dyDescent="0.35">
      <c r="A1520" s="74">
        <v>46209</v>
      </c>
      <c r="B1520" s="18" t="str">
        <f>IF($C1520="","",IFERROR(INDEX('Staff Directory'!$A$5:$A$594,MATCH($C1520,'Staff Directory'!$B$5:$B$594,0)),"⚠ unknown staff"))</f>
        <v>PSW-186-TBD</v>
      </c>
      <c r="C1520" s="49" t="s">
        <v>1165</v>
      </c>
      <c r="D1520" s="19" t="str">
        <f>IF($B1520="","",IFERROR(INDEX('Staff Directory'!$C$5:$C$594,MATCH($B1520,'Staff Directory'!$A$5:$A$594,0)),""))</f>
        <v>PSW</v>
      </c>
      <c r="E1520" s="19">
        <f>IF($B1520="","",IFERROR(INDEX('Staff Directory'!$D$5:$D$594,MATCH($B1520,'Staff Directory'!$A$5:$A$594,0)),""))</f>
        <v>0</v>
      </c>
      <c r="F1520" s="9" t="s">
        <v>145</v>
      </c>
      <c r="G1520" s="18" t="str">
        <f>IF($F1520="","",IFERROR(INDEX(Items!$B$5:$B$597,MATCH($F1520,Items!$A$5:$A$597,0)),"⚠ not in Items"))</f>
        <v>Apparel</v>
      </c>
      <c r="H1520" s="19" t="str">
        <f>IF($F1520="","",IFERROR(INDEX(Items!$C$5:$C$597,MATCH($F1520,Items!$A$5:$A$597,0)),""))</f>
        <v>One Size</v>
      </c>
      <c r="I1520" s="23">
        <f>IF($F1520="","",IFERROR(INDEX(Items!$E$5:$E$597,MATCH($F1520,Items!$A$5:$A$597,0)),""))</f>
        <v>5</v>
      </c>
      <c r="J1520" s="115">
        <f>IF(tblIssues[[#This Row],[Qty Override]]&lt;&gt;"",tblIssues[[#This Row],[Qty Override]],IF(tblIssues[[#This Row],[Standard Issue]]="","",tblIssues[[#This Row],[Standard Issue]]))</f>
        <v>5</v>
      </c>
      <c r="K1520" s="20">
        <f>IF($F1520="","",IFERROR(INDEX(Items!$D$5:$D$597,MATCH($F1520,Items!$A$5:$A$597,0)),""))</f>
        <v>3</v>
      </c>
      <c r="L1520" s="21">
        <f t="shared" si="261"/>
        <v>15</v>
      </c>
      <c r="M1520" s="9" t="str">
        <f t="shared" si="259"/>
        <v>WRB500270</v>
      </c>
      <c r="N1520" s="24">
        <f>IF($A1520="","",WORKDAY($A1520,Settings!$C$9,HolidayDates))</f>
        <v>46217</v>
      </c>
      <c r="O1520" s="24">
        <f>IF($N1520="","",WORKDAY($N1520,Settings!$C$10,HolidayDates))</f>
        <v>46255</v>
      </c>
      <c r="P1520" s="10" t="s">
        <v>501</v>
      </c>
      <c r="Q1520" s="52" t="str">
        <f t="shared" si="262"/>
        <v>Collected</v>
      </c>
      <c r="R1520" s="55" t="str">
        <f t="shared" si="263"/>
        <v>2026-07</v>
      </c>
      <c r="S1520" s="55">
        <f>IF(OR($B1520="",$F1520="",$R1520=""),"",SUMIFS(tblIssues[Qty Issued],tblIssues[Staff ID],$B1520,tblIssues[Item Name],$F1520,tblIssues[Month],$R1520))</f>
        <v>5</v>
      </c>
      <c r="T1520" s="56">
        <f>IF($I1520="","",$I1520*Settings!$C$11)</f>
        <v>5</v>
      </c>
      <c r="U1520" s="57" t="str">
        <f t="shared" si="260"/>
        <v>OK</v>
      </c>
      <c r="V1520" s="55" t="str">
        <f t="shared" si="264"/>
        <v/>
      </c>
      <c r="W1520" s="55" t="str">
        <f>IF($V1520="","",IF(COUNTIF($V$5:$V1520,$V1520)=1,1,""))</f>
        <v/>
      </c>
      <c r="X1520" s="58" t="str">
        <f>IF($W1520="","",MAX($X$4:X1519)+1)</f>
        <v/>
      </c>
      <c r="Y1520" s="62"/>
      <c r="Z1520" s="62"/>
      <c r="AA1520" s="64" t="str">
        <f>IF($C1520="","",IFERROR(INDEX('Staff Directory'!$E$5:$E$594,MATCH($C1520,'Staff Directory'!$B$5:$B$594,0)),""))</f>
        <v>firstname249.lastname249@example.com</v>
      </c>
      <c r="AB1520" s="64" t="str">
        <f>IF($C1520="","",IF(ISNUMBER(SEARCH($D1520,Settings!$C$15)),"Pickup","Dispatch"))</f>
        <v>Pickup</v>
      </c>
      <c r="AC1520" s="64" t="str">
        <f t="shared" si="265"/>
        <v>Supply order ready for pickup</v>
      </c>
      <c r="AD1520" s="64" t="str">
        <f t="shared" si="256"/>
        <v>Dear PSW,
Your order is ready for pickup from Sample Branch, Wed-Fri 9am-4pm.</v>
      </c>
      <c r="AE1520" s="64" t="str">
        <f t="shared" si="257"/>
        <v>mailto:firstname249.lastname249@example.com?subject=Supply%20order%20ready%20for%20pickup&amp;body=Dear%20PSW%2C%0A%0AYour%20order%20is%20ready%20for%20pickup%20from%20Sample%20Branch%2C%20Wed-Fri%209am-4pm.</v>
      </c>
      <c r="AF1520" s="89" t="str">
        <f t="shared" si="266"/>
        <v>Draft email</v>
      </c>
      <c r="AG1520" s="64" t="str">
        <f>IF($C1520="","",IFERROR(INDEX('Staff Directory'!$K$595:$K$599,MATCH($C1520,'Staff Directory'!$B$5:$B$599,0)),$D1520))</f>
        <v>PSW</v>
      </c>
      <c r="AH1520" t="str">
        <f>IF($C1520="","",IFERROR(INDEX('Staff Directory'!$I$595:$I$599,MATCH($C1520,'Staff Directory'!$B$5:$B$599,0))&amp;" "&amp;INDEX('Staff Directory'!$J$595:$J$599,MATCH($C1520,'Staff Directory'!$B$5:$B$599,0)),$AG1520))</f>
        <v>PSW</v>
      </c>
      <c r="AI1520" s="102"/>
      <c r="AJ1520" s="101">
        <f>IF($F1520="","",SUMIFS($J$5:$J1520,$F$5:$F1520,$F1520))</f>
        <v>55</v>
      </c>
      <c r="AK1520" s="101">
        <f t="shared" si="258"/>
        <v>51</v>
      </c>
      <c r="AL1520" s="66" t="str" cm="1">
        <f t="array" ref="AL1520">IF($F1520="","",IFERROR(INDEX('Lot Balance'!$B$5:$B$500,MATCH(1,INDEX(('Lot Balance'!$A$5:$A$500=$F1520)*('Lot Balance'!$K$5:$K$500&lt;$AK1520)*('Lot Balance'!$K$5:$K$500+'Lot Balance'!$D$5:$D$500&gt;=$AK1520),0),0)),""))</f>
        <v>WRB500270</v>
      </c>
      <c r="AM1520" s="66" t="str" cm="1">
        <f t="array" ref="AM1520">IF($F1520="","",IFERROR(INDEX('Lot Balance'!$B$5:$B$500,MATCH(1,INDEX(('Lot Balance'!$A$5:$A$500=$F1520)*('Lot Balance'!$K$5:$K$500&lt;$AJ1520)*('Lot Balance'!$K$5:$K$500+'Lot Balance'!$D$5:$D$500&gt;=$AJ1520),0),0)),""))</f>
        <v>WRB500270</v>
      </c>
      <c r="AN1520" s="66" t="str">
        <f>IF($F1520="","",IF($AI1520&lt;&gt;"",IF(COUNTIFS('Lot Balance'!$A$5:$A$500,$F1520,'Lot Balance'!$B$5:$B$500,$AI1520)=0,"⚠ override is not a lot of this item",IF($AI1520=$AL1520,"Override = FEFO","Override - FEFO says "&amp;$AL1520)),IF($AL1520="","⚠ no receipt on file for this item",IF($AM1520&lt;&gt;$AL1520,"FEFO auto - split, also "&amp;$AM1520,"FEFO auto"))))</f>
        <v>FEFO auto</v>
      </c>
      <c r="AO1520" s="114"/>
    </row>
    <row r="1521" spans="1:41" x14ac:dyDescent="0.35">
      <c r="A1521" s="74">
        <v>46209</v>
      </c>
      <c r="B1521" s="18" t="str">
        <f>IF($C1521="","",IFERROR(INDEX('Staff Directory'!$A$5:$A$594,MATCH($C1521,'Staff Directory'!$B$5:$B$594,0)),"⚠ unknown staff"))</f>
        <v>PSW-186-TBD</v>
      </c>
      <c r="C1521" s="49" t="s">
        <v>1165</v>
      </c>
      <c r="D1521" s="19" t="str">
        <f>IF($B1521="","",IFERROR(INDEX('Staff Directory'!$C$5:$C$594,MATCH($B1521,'Staff Directory'!$A$5:$A$594,0)),""))</f>
        <v>PSW</v>
      </c>
      <c r="E1521" s="19">
        <f>IF($B1521="","",IFERROR(INDEX('Staff Directory'!$D$5:$D$594,MATCH($B1521,'Staff Directory'!$A$5:$A$594,0)),""))</f>
        <v>0</v>
      </c>
      <c r="F1521" s="9" t="s">
        <v>144</v>
      </c>
      <c r="G1521" s="18" t="str">
        <f>IF($F1521="","",IFERROR(INDEX(Items!$B$5:$B$597,MATCH($F1521,Items!$A$5:$A$597,0)),"⚠ not in Items"))</f>
        <v>IPAC</v>
      </c>
      <c r="H1521" s="19" t="str">
        <f>IF($F1521="","",IFERROR(INDEX(Items!$C$5:$C$597,MATCH($F1521,Items!$A$5:$A$597,0)),""))</f>
        <v>One Size</v>
      </c>
      <c r="I1521" s="23">
        <f>IF($F1521="","",IFERROR(INDEX(Items!$E$5:$E$597,MATCH($F1521,Items!$A$5:$A$597,0)),""))</f>
        <v>4</v>
      </c>
      <c r="J1521" s="115">
        <f>IF(tblIssues[[#This Row],[Qty Override]]&lt;&gt;"",tblIssues[[#This Row],[Qty Override]],IF(tblIssues[[#This Row],[Standard Issue]]="","",tblIssues[[#This Row],[Standard Issue]]))</f>
        <v>4</v>
      </c>
      <c r="K1521" s="20">
        <f>IF($F1521="","",IFERROR(INDEX(Items!$D$5:$D$597,MATCH($F1521,Items!$A$5:$A$597,0)),""))</f>
        <v>145.97999999999999</v>
      </c>
      <c r="L1521" s="21">
        <f t="shared" si="261"/>
        <v>583.91999999999996</v>
      </c>
      <c r="M1521" s="9" t="str">
        <f t="shared" si="259"/>
        <v/>
      </c>
      <c r="N1521" s="24">
        <f>IF($A1521="","",WORKDAY($A1521,Settings!$C$9,HolidayDates))</f>
        <v>46217</v>
      </c>
      <c r="O1521" s="24">
        <f>IF($N1521="","",WORKDAY($N1521,Settings!$C$10,HolidayDates))</f>
        <v>46255</v>
      </c>
      <c r="P1521" s="10" t="s">
        <v>501</v>
      </c>
      <c r="Q1521" s="52" t="str">
        <f t="shared" si="262"/>
        <v>Collected</v>
      </c>
      <c r="R1521" s="55" t="str">
        <f t="shared" si="263"/>
        <v>2026-07</v>
      </c>
      <c r="S1521" s="55">
        <f>IF(OR($B1521="",$F1521="",$R1521=""),"",SUMIFS(tblIssues[Qty Issued],tblIssues[Staff ID],$B1521,tblIssues[Item Name],$F1521,tblIssues[Month],$R1521))</f>
        <v>4</v>
      </c>
      <c r="T1521" s="56">
        <f>IF($I1521="","",$I1521*Settings!$C$11)</f>
        <v>4</v>
      </c>
      <c r="U1521" s="57" t="str">
        <f t="shared" si="260"/>
        <v>OK</v>
      </c>
      <c r="V1521" s="55" t="str">
        <f t="shared" si="264"/>
        <v/>
      </c>
      <c r="W1521" s="55" t="str">
        <f>IF($V1521="","",IF(COUNTIF($V$5:$V1521,$V1521)=1,1,""))</f>
        <v/>
      </c>
      <c r="X1521" s="58" t="str">
        <f>IF($W1521="","",MAX($X$4:X1520)+1)</f>
        <v/>
      </c>
      <c r="Y1521" s="62"/>
      <c r="Z1521" s="62"/>
      <c r="AA1521" s="64" t="str">
        <f>IF($C1521="","",IFERROR(INDEX('Staff Directory'!$E$5:$E$594,MATCH($C1521,'Staff Directory'!$B$5:$B$594,0)),""))</f>
        <v>firstname249.lastname249@example.com</v>
      </c>
      <c r="AB1521" s="64" t="str">
        <f>IF($C1521="","",IF(ISNUMBER(SEARCH($D1521,Settings!$C$15)),"Pickup","Dispatch"))</f>
        <v>Pickup</v>
      </c>
      <c r="AC1521" s="64" t="str">
        <f t="shared" si="265"/>
        <v>Supply order ready for pickup</v>
      </c>
      <c r="AD1521" s="64" t="str">
        <f t="shared" si="256"/>
        <v>Dear PSW,
Your order is ready for pickup from Sample Branch, Wed-Fri 9am-4pm.</v>
      </c>
      <c r="AE1521" s="64" t="str">
        <f t="shared" si="257"/>
        <v>mailto:firstname249.lastname249@example.com?subject=Supply%20order%20ready%20for%20pickup&amp;body=Dear%20PSW%2C%0A%0AYour%20order%20is%20ready%20for%20pickup%20from%20Sample%20Branch%2C%20Wed-Fri%209am-4pm.</v>
      </c>
      <c r="AF1521" s="89" t="str">
        <f t="shared" si="266"/>
        <v>Draft email</v>
      </c>
      <c r="AG1521" s="64" t="str">
        <f>IF($C1521="","",IFERROR(INDEX('Staff Directory'!$K$595:$K$599,MATCH($C1521,'Staff Directory'!$B$5:$B$599,0)),$D1521))</f>
        <v>PSW</v>
      </c>
      <c r="AH1521" t="str">
        <f>IF($C1521="","",IFERROR(INDEX('Staff Directory'!$I$595:$I$599,MATCH($C1521,'Staff Directory'!$B$5:$B$599,0))&amp;" "&amp;INDEX('Staff Directory'!$J$595:$J$599,MATCH($C1521,'Staff Directory'!$B$5:$B$599,0)),$AG1521))</f>
        <v>PSW</v>
      </c>
      <c r="AI1521" s="102"/>
      <c r="AJ1521" s="101">
        <f>IF($F1521="","",SUMIFS($J$5:$J1521,$F$5:$F1521,$F1521))</f>
        <v>60</v>
      </c>
      <c r="AK1521" s="101">
        <f t="shared" si="258"/>
        <v>57</v>
      </c>
      <c r="AL1521" s="66" t="str" cm="1">
        <f t="array" ref="AL1521">IF($F1521="","",IFERROR(INDEX('Lot Balance'!$B$5:$B$500,MATCH(1,INDEX(('Lot Balance'!$A$5:$A$500=$F1521)*('Lot Balance'!$K$5:$K$500&lt;$AK1521)*('Lot Balance'!$K$5:$K$500+'Lot Balance'!$D$5:$D$500&gt;=$AK1521),0),0)),""))</f>
        <v/>
      </c>
      <c r="AM1521" s="66" t="str" cm="1">
        <f t="array" ref="AM1521">IF($F1521="","",IFERROR(INDEX('Lot Balance'!$B$5:$B$500,MATCH(1,INDEX(('Lot Balance'!$A$5:$A$500=$F1521)*('Lot Balance'!$K$5:$K$500&lt;$AJ1521)*('Lot Balance'!$K$5:$K$500+'Lot Balance'!$D$5:$D$500&gt;=$AJ1521),0),0)),""))</f>
        <v/>
      </c>
      <c r="AN1521" s="66" t="str">
        <f>IF($F1521="","",IF($AI1521&lt;&gt;"",IF(COUNTIFS('Lot Balance'!$A$5:$A$500,$F1521,'Lot Balance'!$B$5:$B$500,$AI1521)=0,"⚠ override is not a lot of this item",IF($AI1521=$AL1521,"Override = FEFO","Override - FEFO says "&amp;$AL1521)),IF($AL1521="","⚠ no receipt on file for this item",IF($AM1521&lt;&gt;$AL1521,"FEFO auto - split, also "&amp;$AM1521,"FEFO auto"))))</f>
        <v>⚠ no receipt on file for this item</v>
      </c>
      <c r="AO1521" s="114"/>
    </row>
    <row r="1522" spans="1:41" x14ac:dyDescent="0.35">
      <c r="A1522" s="74">
        <v>46209</v>
      </c>
      <c r="B1522" s="18" t="str">
        <f>IF($C1522="","",IFERROR(INDEX('Staff Directory'!$A$5:$A$594,MATCH($C1522,'Staff Directory'!$B$5:$B$594,0)),"⚠ unknown staff"))</f>
        <v>PSW-186-TBD</v>
      </c>
      <c r="C1522" s="49" t="s">
        <v>1165</v>
      </c>
      <c r="D1522" s="19" t="str">
        <f>IF($B1522="","",IFERROR(INDEX('Staff Directory'!$C$5:$C$594,MATCH($B1522,'Staff Directory'!$A$5:$A$594,0)),""))</f>
        <v>PSW</v>
      </c>
      <c r="E1522" s="19">
        <f>IF($B1522="","",IFERROR(INDEX('Staff Directory'!$D$5:$D$594,MATCH($B1522,'Staff Directory'!$A$5:$A$594,0)),""))</f>
        <v>0</v>
      </c>
      <c r="F1522" s="9" t="s">
        <v>154</v>
      </c>
      <c r="G1522" s="18" t="str">
        <f>IF($F1522="","",IFERROR(INDEX(Items!$B$5:$B$597,MATCH($F1522,Items!$A$5:$A$597,0)),"⚠ not in Items"))</f>
        <v>IPAC</v>
      </c>
      <c r="H1522" s="19" t="str">
        <f>IF($F1522="","",IFERROR(INDEX(Items!$C$5:$C$597,MATCH($F1522,Items!$A$5:$A$597,0)),""))</f>
        <v>Regular</v>
      </c>
      <c r="I1522" s="23">
        <f>IF($F1522="","",IFERROR(INDEX(Items!$E$5:$E$597,MATCH($F1522,Items!$A$5:$A$597,0)),""))</f>
        <v>50</v>
      </c>
      <c r="J1522" s="115">
        <f>IF(tblIssues[[#This Row],[Qty Override]]&lt;&gt;"",tblIssues[[#This Row],[Qty Override]],IF(tblIssues[[#This Row],[Standard Issue]]="","",tblIssues[[#This Row],[Standard Issue]]))</f>
        <v>50</v>
      </c>
      <c r="K1522" s="20">
        <f>IF($F1522="","",IFERROR(INDEX(Items!$D$5:$D$597,MATCH($F1522,Items!$A$5:$A$597,0)),""))</f>
        <v>0.2</v>
      </c>
      <c r="L1522" s="21">
        <f t="shared" si="261"/>
        <v>10</v>
      </c>
      <c r="M1522" s="9" t="str">
        <f t="shared" si="259"/>
        <v/>
      </c>
      <c r="N1522" s="24">
        <f>IF($A1522="","",WORKDAY($A1522,Settings!$C$9,HolidayDates))</f>
        <v>46217</v>
      </c>
      <c r="O1522" s="24">
        <f>IF($N1522="","",WORKDAY($N1522,Settings!$C$10,HolidayDates))</f>
        <v>46255</v>
      </c>
      <c r="P1522" s="10" t="s">
        <v>501</v>
      </c>
      <c r="Q1522" s="52" t="str">
        <f t="shared" si="262"/>
        <v>Collected</v>
      </c>
      <c r="R1522" s="55" t="str">
        <f t="shared" si="263"/>
        <v>2026-07</v>
      </c>
      <c r="S1522" s="55">
        <f>IF(OR($B1522="",$F1522="",$R1522=""),"",SUMIFS(tblIssues[Qty Issued],tblIssues[Staff ID],$B1522,tblIssues[Item Name],$F1522,tblIssues[Month],$R1522))</f>
        <v>50</v>
      </c>
      <c r="T1522" s="56">
        <f>IF($I1522="","",$I1522*Settings!$C$11)</f>
        <v>50</v>
      </c>
      <c r="U1522" s="57" t="str">
        <f t="shared" si="260"/>
        <v>OK</v>
      </c>
      <c r="V1522" s="55" t="str">
        <f t="shared" si="264"/>
        <v/>
      </c>
      <c r="W1522" s="55" t="str">
        <f>IF($V1522="","",IF(COUNTIF($V$5:$V1522,$V1522)=1,1,""))</f>
        <v/>
      </c>
      <c r="X1522" s="58" t="str">
        <f>IF($W1522="","",MAX($X$4:X1521)+1)</f>
        <v/>
      </c>
      <c r="Y1522" s="62"/>
      <c r="Z1522" s="62"/>
      <c r="AA1522" s="64" t="str">
        <f>IF($C1522="","",IFERROR(INDEX('Staff Directory'!$E$5:$E$594,MATCH($C1522,'Staff Directory'!$B$5:$B$594,0)),""))</f>
        <v>firstname249.lastname249@example.com</v>
      </c>
      <c r="AB1522" s="64" t="str">
        <f>IF($C1522="","",IF(ISNUMBER(SEARCH($D1522,Settings!$C$15)),"Pickup","Dispatch"))</f>
        <v>Pickup</v>
      </c>
      <c r="AC1522" s="64" t="str">
        <f t="shared" si="265"/>
        <v>Supply order ready for pickup</v>
      </c>
      <c r="AD1522" s="64" t="str">
        <f t="shared" si="256"/>
        <v>Dear PSW,
Your order is ready for pickup from Sample Branch, Wed-Fri 9am-4pm.</v>
      </c>
      <c r="AE1522" s="64" t="str">
        <f t="shared" si="257"/>
        <v>mailto:firstname249.lastname249@example.com?subject=Supply%20order%20ready%20for%20pickup&amp;body=Dear%20PSW%2C%0A%0AYour%20order%20is%20ready%20for%20pickup%20from%20Sample%20Branch%2C%20Wed-Fri%209am-4pm.</v>
      </c>
      <c r="AF1522" s="89" t="str">
        <f t="shared" si="266"/>
        <v>Draft email</v>
      </c>
      <c r="AG1522" s="64" t="str">
        <f>IF($C1522="","",IFERROR(INDEX('Staff Directory'!$K$595:$K$599,MATCH($C1522,'Staff Directory'!$B$5:$B$599,0)),$D1522))</f>
        <v>PSW</v>
      </c>
      <c r="AH1522" t="str">
        <f>IF($C1522="","",IFERROR(INDEX('Staff Directory'!$I$595:$I$599,MATCH($C1522,'Staff Directory'!$B$5:$B$599,0))&amp;" "&amp;INDEX('Staff Directory'!$J$595:$J$599,MATCH($C1522,'Staff Directory'!$B$5:$B$599,0)),$AG1522))</f>
        <v>PSW</v>
      </c>
      <c r="AI1522" s="102"/>
      <c r="AJ1522" s="101">
        <f>IF($F1522="","",SUMIFS($J$5:$J1522,$F$5:$F1522,$F1522))</f>
        <v>1350</v>
      </c>
      <c r="AK1522" s="101">
        <f t="shared" si="258"/>
        <v>1301</v>
      </c>
      <c r="AL1522" s="66" t="str" cm="1">
        <f t="array" ref="AL1522">IF($F1522="","",IFERROR(INDEX('Lot Balance'!$B$5:$B$500,MATCH(1,INDEX(('Lot Balance'!$A$5:$A$500=$F1522)*('Lot Balance'!$K$5:$K$500&lt;$AK1522)*('Lot Balance'!$K$5:$K$500+'Lot Balance'!$D$5:$D$500&gt;=$AK1522),0),0)),""))</f>
        <v/>
      </c>
      <c r="AM1522" s="66" t="str" cm="1">
        <f t="array" ref="AM1522">IF($F1522="","",IFERROR(INDEX('Lot Balance'!$B$5:$B$500,MATCH(1,INDEX(('Lot Balance'!$A$5:$A$500=$F1522)*('Lot Balance'!$K$5:$K$500&lt;$AJ1522)*('Lot Balance'!$K$5:$K$500+'Lot Balance'!$D$5:$D$500&gt;=$AJ1522),0),0)),""))</f>
        <v/>
      </c>
      <c r="AN1522" s="66" t="str">
        <f>IF($F1522="","",IF($AI1522&lt;&gt;"",IF(COUNTIFS('Lot Balance'!$A$5:$A$500,$F1522,'Lot Balance'!$B$5:$B$500,$AI1522)=0,"⚠ override is not a lot of this item",IF($AI1522=$AL1522,"Override = FEFO","Override - FEFO says "&amp;$AL1522)),IF($AL1522="","⚠ no receipt on file for this item",IF($AM1522&lt;&gt;$AL1522,"FEFO auto - split, also "&amp;$AM1522,"FEFO auto"))))</f>
        <v>⚠ no receipt on file for this item</v>
      </c>
      <c r="AO1522" s="114"/>
    </row>
    <row r="1523" spans="1:41" x14ac:dyDescent="0.35">
      <c r="A1523" s="74">
        <v>46209</v>
      </c>
      <c r="B1523" s="18" t="str">
        <f>IF($C1523="","",IFERROR(INDEX('Staff Directory'!$A$5:$A$594,MATCH($C1523,'Staff Directory'!$B$5:$B$594,0)),"⚠ unknown staff"))</f>
        <v>PSW-186-TBD</v>
      </c>
      <c r="C1523" s="49" t="s">
        <v>1165</v>
      </c>
      <c r="D1523" s="19" t="str">
        <f>IF($B1523="","",IFERROR(INDEX('Staff Directory'!$C$5:$C$594,MATCH($B1523,'Staff Directory'!$A$5:$A$594,0)),""))</f>
        <v>PSW</v>
      </c>
      <c r="E1523" s="19">
        <f>IF($B1523="","",IFERROR(INDEX('Staff Directory'!$D$5:$D$594,MATCH($B1523,'Staff Directory'!$A$5:$A$594,0)),""))</f>
        <v>0</v>
      </c>
      <c r="F1523" s="9" t="s">
        <v>136</v>
      </c>
      <c r="G1523" s="18" t="str">
        <f>IF($F1523="","",IFERROR(INDEX(Items!$B$5:$B$597,MATCH($F1523,Items!$A$5:$A$597,0)),"⚠ not in Items"))</f>
        <v>Eye Protection</v>
      </c>
      <c r="H1523" s="19" t="str">
        <f>IF($F1523="","",IFERROR(INDEX(Items!$C$5:$C$597,MATCH($F1523,Items!$A$5:$A$597,0)),""))</f>
        <v>One Size</v>
      </c>
      <c r="I1523" s="23">
        <f>IF($F1523="","",IFERROR(INDEX(Items!$E$5:$E$597,MATCH($F1523,Items!$A$5:$A$597,0)),""))</f>
        <v>1</v>
      </c>
      <c r="J1523" s="115">
        <f>IF(tblIssues[[#This Row],[Qty Override]]&lt;&gt;"",tblIssues[[#This Row],[Qty Override]],IF(tblIssues[[#This Row],[Standard Issue]]="","",tblIssues[[#This Row],[Standard Issue]]))</f>
        <v>1</v>
      </c>
      <c r="K1523" s="20">
        <f>IF($F1523="","",IFERROR(INDEX(Items!$D$5:$D$597,MATCH($F1523,Items!$A$5:$A$597,0)),""))</f>
        <v>10</v>
      </c>
      <c r="L1523" s="21">
        <f t="shared" si="261"/>
        <v>10</v>
      </c>
      <c r="M1523" s="9" t="str">
        <f t="shared" si="259"/>
        <v>GGL5003700</v>
      </c>
      <c r="N1523" s="24">
        <f>IF($A1523="","",WORKDAY($A1523,Settings!$C$9,HolidayDates))</f>
        <v>46217</v>
      </c>
      <c r="O1523" s="24">
        <f>IF($N1523="","",WORKDAY($N1523,Settings!$C$10,HolidayDates))</f>
        <v>46255</v>
      </c>
      <c r="P1523" s="10" t="s">
        <v>501</v>
      </c>
      <c r="Q1523" s="52" t="str">
        <f t="shared" si="262"/>
        <v>Collected</v>
      </c>
      <c r="R1523" s="55" t="str">
        <f t="shared" si="263"/>
        <v>2026-07</v>
      </c>
      <c r="S1523" s="55">
        <f>IF(OR($B1523="",$F1523="",$R1523=""),"",SUMIFS(tblIssues[Qty Issued],tblIssues[Staff ID],$B1523,tblIssues[Item Name],$F1523,tblIssues[Month],$R1523))</f>
        <v>1</v>
      </c>
      <c r="T1523" s="56">
        <f>IF($I1523="","",$I1523*Settings!$C$11)</f>
        <v>1</v>
      </c>
      <c r="U1523" s="57" t="str">
        <f t="shared" si="260"/>
        <v>OK</v>
      </c>
      <c r="V1523" s="55" t="str">
        <f t="shared" si="264"/>
        <v/>
      </c>
      <c r="W1523" s="55" t="str">
        <f>IF($V1523="","",IF(COUNTIF($V$5:$V1523,$V1523)=1,1,""))</f>
        <v/>
      </c>
      <c r="X1523" s="58" t="str">
        <f>IF($W1523="","",MAX($X$4:X1522)+1)</f>
        <v/>
      </c>
      <c r="Y1523" s="62"/>
      <c r="Z1523" s="62"/>
      <c r="AA1523" s="64" t="str">
        <f>IF($C1523="","",IFERROR(INDEX('Staff Directory'!$E$5:$E$594,MATCH($C1523,'Staff Directory'!$B$5:$B$594,0)),""))</f>
        <v>firstname249.lastname249@example.com</v>
      </c>
      <c r="AB1523" s="64" t="str">
        <f>IF($C1523="","",IF(ISNUMBER(SEARCH($D1523,Settings!$C$15)),"Pickup","Dispatch"))</f>
        <v>Pickup</v>
      </c>
      <c r="AC1523" s="64" t="str">
        <f t="shared" si="265"/>
        <v>Supply order ready for pickup</v>
      </c>
      <c r="AD1523" s="64" t="str">
        <f t="shared" si="256"/>
        <v>Dear PSW,
Your order is ready for pickup from Sample Branch, Wed-Fri 9am-4pm.</v>
      </c>
      <c r="AE1523" s="64" t="str">
        <f t="shared" si="257"/>
        <v>mailto:firstname249.lastname249@example.com?subject=Supply%20order%20ready%20for%20pickup&amp;body=Dear%20PSW%2C%0A%0AYour%20order%20is%20ready%20for%20pickup%20from%20Sample%20Branch%2C%20Wed-Fri%209am-4pm.</v>
      </c>
      <c r="AF1523" s="89" t="str">
        <f t="shared" si="266"/>
        <v>Draft email</v>
      </c>
      <c r="AG1523" s="64" t="str">
        <f>IF($C1523="","",IFERROR(INDEX('Staff Directory'!$K$595:$K$599,MATCH($C1523,'Staff Directory'!$B$5:$B$599,0)),$D1523))</f>
        <v>PSW</v>
      </c>
      <c r="AH1523" t="str">
        <f>IF($C1523="","",IFERROR(INDEX('Staff Directory'!$I$595:$I$599,MATCH($C1523,'Staff Directory'!$B$5:$B$599,0))&amp;" "&amp;INDEX('Staff Directory'!$J$595:$J$599,MATCH($C1523,'Staff Directory'!$B$5:$B$599,0)),$AG1523))</f>
        <v>PSW</v>
      </c>
      <c r="AI1523" s="102"/>
      <c r="AJ1523" s="101">
        <f>IF($F1523="","",SUMIFS($J$5:$J1523,$F$5:$F1523,$F1523))</f>
        <v>11</v>
      </c>
      <c r="AK1523" s="101">
        <f t="shared" si="258"/>
        <v>11</v>
      </c>
      <c r="AL1523" s="66" t="str" cm="1">
        <f t="array" ref="AL1523">IF($F1523="","",IFERROR(INDEX('Lot Balance'!$B$5:$B$500,MATCH(1,INDEX(('Lot Balance'!$A$5:$A$500=$F1523)*('Lot Balance'!$K$5:$K$500&lt;$AK1523)*('Lot Balance'!$K$5:$K$500+'Lot Balance'!$D$5:$D$500&gt;=$AK1523),0),0)),""))</f>
        <v>GGL5003700</v>
      </c>
      <c r="AM1523" s="66" t="str" cm="1">
        <f t="array" ref="AM1523">IF($F1523="","",IFERROR(INDEX('Lot Balance'!$B$5:$B$500,MATCH(1,INDEX(('Lot Balance'!$A$5:$A$500=$F1523)*('Lot Balance'!$K$5:$K$500&lt;$AJ1523)*('Lot Balance'!$K$5:$K$500+'Lot Balance'!$D$5:$D$500&gt;=$AJ1523),0),0)),""))</f>
        <v>GGL5003700</v>
      </c>
      <c r="AN1523" s="66" t="str">
        <f>IF($F1523="","",IF($AI1523&lt;&gt;"",IF(COUNTIFS('Lot Balance'!$A$5:$A$500,$F1523,'Lot Balance'!$B$5:$B$500,$AI1523)=0,"⚠ override is not a lot of this item",IF($AI1523=$AL1523,"Override = FEFO","Override - FEFO says "&amp;$AL1523)),IF($AL1523="","⚠ no receipt on file for this item",IF($AM1523&lt;&gt;$AL1523,"FEFO auto - split, also "&amp;$AM1523,"FEFO auto"))))</f>
        <v>FEFO auto</v>
      </c>
      <c r="AO1523" s="114"/>
    </row>
    <row r="1524" spans="1:41" x14ac:dyDescent="0.35">
      <c r="A1524" s="74">
        <v>46209</v>
      </c>
      <c r="B1524" s="18" t="str">
        <f>IF($C1524="","",IFERROR(INDEX('Staff Directory'!$A$5:$A$594,MATCH($C1524,'Staff Directory'!$B$5:$B$594,0)),"⚠ unknown staff"))</f>
        <v>PSW-186-TBD</v>
      </c>
      <c r="C1524" s="49" t="s">
        <v>1165</v>
      </c>
      <c r="D1524" s="19" t="str">
        <f>IF($B1524="","",IFERROR(INDEX('Staff Directory'!$C$5:$C$594,MATCH($B1524,'Staff Directory'!$A$5:$A$594,0)),""))</f>
        <v>PSW</v>
      </c>
      <c r="E1524" s="19">
        <f>IF($B1524="","",IFERROR(INDEX('Staff Directory'!$D$5:$D$594,MATCH($B1524,'Staff Directory'!$A$5:$A$594,0)),""))</f>
        <v>0</v>
      </c>
      <c r="F1524" s="9" t="s">
        <v>122</v>
      </c>
      <c r="G1524" s="18" t="str">
        <f>IF($F1524="","",IFERROR(INDEX(Items!$B$5:$B$597,MATCH($F1524,Items!$A$5:$A$597,0)),"⚠ not in Items"))</f>
        <v>Eye Protection</v>
      </c>
      <c r="H1524" s="19" t="str">
        <f>IF($F1524="","",IFERROR(INDEX(Items!$C$5:$C$597,MATCH($F1524,Items!$A$5:$A$597,0)),""))</f>
        <v>One Size</v>
      </c>
      <c r="I1524" s="23">
        <f>IF($F1524="","",IFERROR(INDEX(Items!$E$5:$E$597,MATCH($F1524,Items!$A$5:$A$597,0)),""))</f>
        <v>1</v>
      </c>
      <c r="J1524" s="115">
        <f>IF(tblIssues[[#This Row],[Qty Override]]&lt;&gt;"",tblIssues[[#This Row],[Qty Override]],IF(tblIssues[[#This Row],[Standard Issue]]="","",tblIssues[[#This Row],[Standard Issue]]))</f>
        <v>1</v>
      </c>
      <c r="K1524" s="20">
        <f>IF($F1524="","",IFERROR(INDEX(Items!$D$5:$D$597,MATCH($F1524,Items!$A$5:$A$597,0)),""))</f>
        <v>7</v>
      </c>
      <c r="L1524" s="21">
        <f t="shared" si="261"/>
        <v>7</v>
      </c>
      <c r="M1524" s="9" t="str">
        <f t="shared" si="259"/>
        <v/>
      </c>
      <c r="N1524" s="24">
        <f>IF($A1524="","",WORKDAY($A1524,Settings!$C$9,HolidayDates))</f>
        <v>46217</v>
      </c>
      <c r="O1524" s="24">
        <f>IF($N1524="","",WORKDAY($N1524,Settings!$C$10,HolidayDates))</f>
        <v>46255</v>
      </c>
      <c r="P1524" s="10" t="s">
        <v>501</v>
      </c>
      <c r="Q1524" s="52" t="str">
        <f t="shared" si="262"/>
        <v>Collected</v>
      </c>
      <c r="R1524" s="55" t="str">
        <f t="shared" si="263"/>
        <v>2026-07</v>
      </c>
      <c r="S1524" s="55">
        <f>IF(OR($B1524="",$F1524="",$R1524=""),"",SUMIFS(tblIssues[Qty Issued],tblIssues[Staff ID],$B1524,tblIssues[Item Name],$F1524,tblIssues[Month],$R1524))</f>
        <v>1</v>
      </c>
      <c r="T1524" s="56">
        <f>IF($I1524="","",$I1524*Settings!$C$11)</f>
        <v>1</v>
      </c>
      <c r="U1524" s="57" t="str">
        <f t="shared" si="260"/>
        <v>OK</v>
      </c>
      <c r="V1524" s="55" t="str">
        <f t="shared" si="264"/>
        <v/>
      </c>
      <c r="W1524" s="55" t="str">
        <f>IF($V1524="","",IF(COUNTIF($V$5:$V1524,$V1524)=1,1,""))</f>
        <v/>
      </c>
      <c r="X1524" s="58" t="str">
        <f>IF($W1524="","",MAX($X$4:X1523)+1)</f>
        <v/>
      </c>
      <c r="Y1524" s="62"/>
      <c r="Z1524" s="62"/>
      <c r="AA1524" s="64" t="str">
        <f>IF($C1524="","",IFERROR(INDEX('Staff Directory'!$E$5:$E$594,MATCH($C1524,'Staff Directory'!$B$5:$B$594,0)),""))</f>
        <v>firstname249.lastname249@example.com</v>
      </c>
      <c r="AB1524" s="64" t="str">
        <f>IF($C1524="","",IF(ISNUMBER(SEARCH($D1524,Settings!$C$15)),"Pickup","Dispatch"))</f>
        <v>Pickup</v>
      </c>
      <c r="AC1524" s="64" t="str">
        <f t="shared" si="265"/>
        <v>Supply order ready for pickup</v>
      </c>
      <c r="AD1524" s="64" t="str">
        <f t="shared" si="256"/>
        <v>Dear PSW,
Your order is ready for pickup from Sample Branch, Wed-Fri 9am-4pm.</v>
      </c>
      <c r="AE1524" s="64" t="str">
        <f t="shared" si="257"/>
        <v>mailto:firstname249.lastname249@example.com?subject=Supply%20order%20ready%20for%20pickup&amp;body=Dear%20PSW%2C%0A%0AYour%20order%20is%20ready%20for%20pickup%20from%20Sample%20Branch%2C%20Wed-Fri%209am-4pm.</v>
      </c>
      <c r="AF1524" s="89" t="str">
        <f t="shared" si="266"/>
        <v>Draft email</v>
      </c>
      <c r="AG1524" s="64" t="str">
        <f>IF($C1524="","",IFERROR(INDEX('Staff Directory'!$K$595:$K$599,MATCH($C1524,'Staff Directory'!$B$5:$B$599,0)),$D1524))</f>
        <v>PSW</v>
      </c>
      <c r="AH1524" t="str">
        <f>IF($C1524="","",IFERROR(INDEX('Staff Directory'!$I$595:$I$599,MATCH($C1524,'Staff Directory'!$B$5:$B$599,0))&amp;" "&amp;INDEX('Staff Directory'!$J$595:$J$599,MATCH($C1524,'Staff Directory'!$B$5:$B$599,0)),$AG1524))</f>
        <v>PSW</v>
      </c>
      <c r="AI1524" s="102"/>
      <c r="AJ1524" s="101">
        <f>IF($F1524="","",SUMIFS($J$5:$J1524,$F$5:$F1524,$F1524))</f>
        <v>12</v>
      </c>
      <c r="AK1524" s="101">
        <f t="shared" si="258"/>
        <v>12</v>
      </c>
      <c r="AL1524" s="66" t="str" cm="1">
        <f t="array" ref="AL1524">IF($F1524="","",IFERROR(INDEX('Lot Balance'!$B$5:$B$500,MATCH(1,INDEX(('Lot Balance'!$A$5:$A$500=$F1524)*('Lot Balance'!$K$5:$K$500&lt;$AK1524)*('Lot Balance'!$K$5:$K$500+'Lot Balance'!$D$5:$D$500&gt;=$AK1524),0),0)),""))</f>
        <v/>
      </c>
      <c r="AM1524" s="66" t="str" cm="1">
        <f t="array" ref="AM1524">IF($F1524="","",IFERROR(INDEX('Lot Balance'!$B$5:$B$500,MATCH(1,INDEX(('Lot Balance'!$A$5:$A$500=$F1524)*('Lot Balance'!$K$5:$K$500&lt;$AJ1524)*('Lot Balance'!$K$5:$K$500+'Lot Balance'!$D$5:$D$500&gt;=$AJ1524),0),0)),""))</f>
        <v/>
      </c>
      <c r="AN1524" s="66" t="str">
        <f>IF($F1524="","",IF($AI1524&lt;&gt;"",IF(COUNTIFS('Lot Balance'!$A$5:$A$500,$F1524,'Lot Balance'!$B$5:$B$500,$AI1524)=0,"⚠ override is not a lot of this item",IF($AI1524=$AL1524,"Override = FEFO","Override - FEFO says "&amp;$AL1524)),IF($AL1524="","⚠ no receipt on file for this item",IF($AM1524&lt;&gt;$AL1524,"FEFO auto - split, also "&amp;$AM1524,"FEFO auto"))))</f>
        <v>⚠ no receipt on file for this item</v>
      </c>
      <c r="AO1524" s="114"/>
    </row>
    <row r="1525" spans="1:41" x14ac:dyDescent="0.35">
      <c r="A1525" s="74">
        <v>46209</v>
      </c>
      <c r="B1525" s="18" t="str">
        <f>IF($C1525="","",IFERROR(INDEX('Staff Directory'!$A$5:$A$594,MATCH($C1525,'Staff Directory'!$B$5:$B$594,0)),"⚠ unknown staff"))</f>
        <v>PSW-186-TBD</v>
      </c>
      <c r="C1525" s="49" t="s">
        <v>1165</v>
      </c>
      <c r="D1525" s="19" t="str">
        <f>IF($B1525="","",IFERROR(INDEX('Staff Directory'!$C$5:$C$594,MATCH($B1525,'Staff Directory'!$A$5:$A$594,0)),""))</f>
        <v>PSW</v>
      </c>
      <c r="E1525" s="19">
        <f>IF($B1525="","",IFERROR(INDEX('Staff Directory'!$D$5:$D$594,MATCH($B1525,'Staff Directory'!$A$5:$A$594,0)),""))</f>
        <v>0</v>
      </c>
      <c r="F1525" s="9" t="s">
        <v>150</v>
      </c>
      <c r="G1525" s="18" t="str">
        <f>IF($F1525="","",IFERROR(INDEX(Items!$B$5:$B$597,MATCH($F1525,Items!$A$5:$A$597,0)),"⚠ not in Items"))</f>
        <v>Documents</v>
      </c>
      <c r="H1525" s="19" t="str">
        <f>IF($F1525="","",IFERROR(INDEX(Items!$C$5:$C$597,MATCH($F1525,Items!$A$5:$A$597,0)),""))</f>
        <v>Standard</v>
      </c>
      <c r="I1525" s="23">
        <f>IF($F1525="","",IFERROR(INDEX(Items!$E$5:$E$597,MATCH($F1525,Items!$A$5:$A$597,0)),""))</f>
        <v>1</v>
      </c>
      <c r="J1525" s="115">
        <f>IF(tblIssues[[#This Row],[Qty Override]]&lt;&gt;"",tblIssues[[#This Row],[Qty Override]],IF(tblIssues[[#This Row],[Standard Issue]]="","",tblIssues[[#This Row],[Standard Issue]]))</f>
        <v>1</v>
      </c>
      <c r="K1525" s="20">
        <f>IF($F1525="","",IFERROR(INDEX(Items!$D$5:$D$597,MATCH($F1525,Items!$A$5:$A$597,0)),""))</f>
        <v>0</v>
      </c>
      <c r="L1525" s="21">
        <f t="shared" si="261"/>
        <v>0</v>
      </c>
      <c r="M1525" s="9" t="str">
        <f t="shared" si="259"/>
        <v/>
      </c>
      <c r="N1525" s="24">
        <f>IF($A1525="","",WORKDAY($A1525,Settings!$C$9,HolidayDates))</f>
        <v>46217</v>
      </c>
      <c r="O1525" s="24">
        <f>IF($N1525="","",WORKDAY($N1525,Settings!$C$10,HolidayDates))</f>
        <v>46255</v>
      </c>
      <c r="P1525" s="10" t="s">
        <v>501</v>
      </c>
      <c r="Q1525" s="52" t="str">
        <f t="shared" si="262"/>
        <v>Collected</v>
      </c>
      <c r="R1525" s="55" t="str">
        <f t="shared" si="263"/>
        <v>2026-07</v>
      </c>
      <c r="S1525" s="55">
        <f>IF(OR($B1525="",$F1525="",$R1525=""),"",SUMIFS(tblIssues[Qty Issued],tblIssues[Staff ID],$B1525,tblIssues[Item Name],$F1525,tblIssues[Month],$R1525))</f>
        <v>1</v>
      </c>
      <c r="T1525" s="56">
        <f>IF($I1525="","",$I1525*Settings!$C$11)</f>
        <v>1</v>
      </c>
      <c r="U1525" s="57" t="str">
        <f t="shared" si="260"/>
        <v>OK</v>
      </c>
      <c r="V1525" s="55" t="str">
        <f t="shared" si="264"/>
        <v/>
      </c>
      <c r="W1525" s="55" t="str">
        <f>IF($V1525="","",IF(COUNTIF($V$5:$V1525,$V1525)=1,1,""))</f>
        <v/>
      </c>
      <c r="X1525" s="58" t="str">
        <f>IF($W1525="","",MAX($X$4:X1524)+1)</f>
        <v/>
      </c>
      <c r="Y1525" s="62"/>
      <c r="Z1525" s="62"/>
      <c r="AA1525" s="64" t="str">
        <f>IF($C1525="","",IFERROR(INDEX('Staff Directory'!$E$5:$E$594,MATCH($C1525,'Staff Directory'!$B$5:$B$594,0)),""))</f>
        <v>firstname249.lastname249@example.com</v>
      </c>
      <c r="AB1525" s="64" t="str">
        <f>IF($C1525="","",IF(ISNUMBER(SEARCH($D1525,Settings!$C$15)),"Pickup","Dispatch"))</f>
        <v>Pickup</v>
      </c>
      <c r="AC1525" s="64" t="str">
        <f t="shared" si="265"/>
        <v>Supply order ready for pickup</v>
      </c>
      <c r="AD1525" s="64" t="str">
        <f t="shared" si="256"/>
        <v>Dear PSW,
Your order is ready for pickup from Sample Branch, Wed-Fri 9am-4pm.</v>
      </c>
      <c r="AE1525" s="64" t="str">
        <f t="shared" si="257"/>
        <v>mailto:firstname249.lastname249@example.com?subject=Supply%20order%20ready%20for%20pickup&amp;body=Dear%20PSW%2C%0A%0AYour%20order%20is%20ready%20for%20pickup%20from%20Sample%20Branch%2C%20Wed-Fri%209am-4pm.</v>
      </c>
      <c r="AF1525" s="89" t="str">
        <f t="shared" si="266"/>
        <v>Draft email</v>
      </c>
      <c r="AG1525" s="64" t="str">
        <f>IF($C1525="","",IFERROR(INDEX('Staff Directory'!$K$595:$K$599,MATCH($C1525,'Staff Directory'!$B$5:$B$599,0)),$D1525))</f>
        <v>PSW</v>
      </c>
      <c r="AH1525" t="str">
        <f>IF($C1525="","",IFERROR(INDEX('Staff Directory'!$I$595:$I$599,MATCH($C1525,'Staff Directory'!$B$5:$B$599,0))&amp;" "&amp;INDEX('Staff Directory'!$J$595:$J$599,MATCH($C1525,'Staff Directory'!$B$5:$B$599,0)),$AG1525))</f>
        <v>PSW</v>
      </c>
      <c r="AI1525" s="102"/>
      <c r="AJ1525" s="101">
        <f>IF($F1525="","",SUMIFS($J$5:$J1525,$F$5:$F1525,$F1525))</f>
        <v>12</v>
      </c>
      <c r="AK1525" s="101">
        <f t="shared" si="258"/>
        <v>12</v>
      </c>
      <c r="AL1525" s="66" t="str" cm="1">
        <f t="array" ref="AL1525">IF($F1525="","",IFERROR(INDEX('Lot Balance'!$B$5:$B$500,MATCH(1,INDEX(('Lot Balance'!$A$5:$A$500=$F1525)*('Lot Balance'!$K$5:$K$500&lt;$AK1525)*('Lot Balance'!$K$5:$K$500+'Lot Balance'!$D$5:$D$500&gt;=$AK1525),0),0)),""))</f>
        <v/>
      </c>
      <c r="AM1525" s="66" t="str" cm="1">
        <f t="array" ref="AM1525">IF($F1525="","",IFERROR(INDEX('Lot Balance'!$B$5:$B$500,MATCH(1,INDEX(('Lot Balance'!$A$5:$A$500=$F1525)*('Lot Balance'!$K$5:$K$500&lt;$AJ1525)*('Lot Balance'!$K$5:$K$500+'Lot Balance'!$D$5:$D$500&gt;=$AJ1525),0),0)),""))</f>
        <v/>
      </c>
      <c r="AN1525" s="66" t="str">
        <f>IF($F1525="","",IF($AI1525&lt;&gt;"",IF(COUNTIFS('Lot Balance'!$A$5:$A$500,$F1525,'Lot Balance'!$B$5:$B$500,$AI1525)=0,"⚠ override is not a lot of this item",IF($AI1525=$AL1525,"Override = FEFO","Override - FEFO says "&amp;$AL1525)),IF($AL1525="","⚠ no receipt on file for this item",IF($AM1525&lt;&gt;$AL1525,"FEFO auto - split, also "&amp;$AM1525,"FEFO auto"))))</f>
        <v>⚠ no receipt on file for this item</v>
      </c>
      <c r="AO1525" s="114"/>
    </row>
    <row r="1526" spans="1:41" x14ac:dyDescent="0.35">
      <c r="A1526" s="74">
        <v>46209</v>
      </c>
      <c r="B1526" s="18" t="str">
        <f>IF($C1526="","",IFERROR(INDEX('Staff Directory'!$A$5:$A$594,MATCH($C1526,'Staff Directory'!$B$5:$B$594,0)),"⚠ unknown staff"))</f>
        <v>PSW-186-TBD</v>
      </c>
      <c r="C1526" s="49" t="s">
        <v>1165</v>
      </c>
      <c r="D1526" s="19" t="str">
        <f>IF($B1526="","",IFERROR(INDEX('Staff Directory'!$C$5:$C$594,MATCH($B1526,'Staff Directory'!$A$5:$A$594,0)),""))</f>
        <v>PSW</v>
      </c>
      <c r="E1526" s="19">
        <f>IF($B1526="","",IFERROR(INDEX('Staff Directory'!$D$5:$D$594,MATCH($B1526,'Staff Directory'!$A$5:$A$594,0)),""))</f>
        <v>0</v>
      </c>
      <c r="F1526" s="9" t="s">
        <v>755</v>
      </c>
      <c r="G1526" s="18" t="str">
        <f>IF($F1526="","",IFERROR(INDEX(Items!$B$5:$B$597,MATCH($F1526,Items!$A$5:$A$597,0)),"⚠ not in Items"))</f>
        <v>Documents</v>
      </c>
      <c r="H1526" s="19" t="str">
        <f>IF($F1526="","",IFERROR(INDEX(Items!$C$5:$C$597,MATCH($F1526,Items!$A$5:$A$597,0)),""))</f>
        <v>Standard</v>
      </c>
      <c r="I1526" s="23">
        <f>IF($F1526="","",IFERROR(INDEX(Items!$E$5:$E$597,MATCH($F1526,Items!$A$5:$A$597,0)),""))</f>
        <v>2</v>
      </c>
      <c r="J1526" s="115">
        <f>IF(tblIssues[[#This Row],[Qty Override]]&lt;&gt;"",tblIssues[[#This Row],[Qty Override]],IF(tblIssues[[#This Row],[Standard Issue]]="","",tblIssues[[#This Row],[Standard Issue]]))</f>
        <v>2</v>
      </c>
      <c r="K1526" s="20">
        <f>IF($F1526="","",IFERROR(INDEX(Items!$D$5:$D$597,MATCH($F1526,Items!$A$5:$A$597,0)),""))</f>
        <v>0</v>
      </c>
      <c r="L1526" s="21">
        <f t="shared" si="261"/>
        <v>0</v>
      </c>
      <c r="M1526" s="9" t="str">
        <f t="shared" si="259"/>
        <v/>
      </c>
      <c r="N1526" s="24">
        <f>IF($A1526="","",WORKDAY($A1526,Settings!$C$9,HolidayDates))</f>
        <v>46217</v>
      </c>
      <c r="O1526" s="24">
        <f>IF($N1526="","",WORKDAY($N1526,Settings!$C$10,HolidayDates))</f>
        <v>46255</v>
      </c>
      <c r="P1526" s="10" t="s">
        <v>501</v>
      </c>
      <c r="Q1526" s="52" t="str">
        <f t="shared" si="262"/>
        <v>Collected</v>
      </c>
      <c r="R1526" s="55" t="str">
        <f t="shared" si="263"/>
        <v>2026-07</v>
      </c>
      <c r="S1526" s="55">
        <f>IF(OR($B1526="",$F1526="",$R1526=""),"",SUMIFS(tblIssues[Qty Issued],tblIssues[Staff ID],$B1526,tblIssues[Item Name],$F1526,tblIssues[Month],$R1526))</f>
        <v>2</v>
      </c>
      <c r="T1526" s="56">
        <f>IF($I1526="","",$I1526*Settings!$C$11)</f>
        <v>2</v>
      </c>
      <c r="U1526" s="57" t="str">
        <f t="shared" si="260"/>
        <v>OK</v>
      </c>
      <c r="V1526" s="55" t="str">
        <f t="shared" si="264"/>
        <v/>
      </c>
      <c r="W1526" s="55" t="str">
        <f>IF($V1526="","",IF(COUNTIF($V$5:$V1526,$V1526)=1,1,""))</f>
        <v/>
      </c>
      <c r="X1526" s="58" t="str">
        <f>IF($W1526="","",MAX($X$4:X1525)+1)</f>
        <v/>
      </c>
      <c r="Y1526" s="62"/>
      <c r="Z1526" s="62"/>
      <c r="AA1526" s="64" t="str">
        <f>IF($C1526="","",IFERROR(INDEX('Staff Directory'!$E$5:$E$594,MATCH($C1526,'Staff Directory'!$B$5:$B$594,0)),""))</f>
        <v>firstname249.lastname249@example.com</v>
      </c>
      <c r="AB1526" s="64" t="str">
        <f>IF($C1526="","",IF(ISNUMBER(SEARCH($D1526,Settings!$C$15)),"Pickup","Dispatch"))</f>
        <v>Pickup</v>
      </c>
      <c r="AC1526" s="64" t="str">
        <f t="shared" si="265"/>
        <v>Supply order ready for pickup</v>
      </c>
      <c r="AD1526" s="64" t="str">
        <f t="shared" si="256"/>
        <v>Dear PSW,
Your order is ready for pickup from Sample Branch, Wed-Fri 9am-4pm.</v>
      </c>
      <c r="AE1526" s="64" t="str">
        <f t="shared" si="257"/>
        <v>mailto:firstname249.lastname249@example.com?subject=Supply%20order%20ready%20for%20pickup&amp;body=Dear%20PSW%2C%0A%0AYour%20order%20is%20ready%20for%20pickup%20from%20Sample%20Branch%2C%20Wed-Fri%209am-4pm.</v>
      </c>
      <c r="AF1526" s="89" t="str">
        <f t="shared" si="266"/>
        <v>Draft email</v>
      </c>
      <c r="AG1526" s="64" t="str">
        <f>IF($C1526="","",IFERROR(INDEX('Staff Directory'!$K$595:$K$599,MATCH($C1526,'Staff Directory'!$B$5:$B$599,0)),$D1526))</f>
        <v>PSW</v>
      </c>
      <c r="AH1526" t="str">
        <f>IF($C1526="","",IFERROR(INDEX('Staff Directory'!$I$595:$I$599,MATCH($C1526,'Staff Directory'!$B$5:$B$599,0))&amp;" "&amp;INDEX('Staff Directory'!$J$595:$J$599,MATCH($C1526,'Staff Directory'!$B$5:$B$599,0)),$AG1526))</f>
        <v>PSW</v>
      </c>
      <c r="AI1526" s="102"/>
      <c r="AJ1526" s="101">
        <f>IF($F1526="","",SUMIFS($J$5:$J1526,$F$5:$F1526,$F1526))</f>
        <v>136</v>
      </c>
      <c r="AK1526" s="101">
        <f t="shared" si="258"/>
        <v>135</v>
      </c>
      <c r="AL1526" s="66" t="str" cm="1">
        <f t="array" ref="AL1526">IF($F1526="","",IFERROR(INDEX('Lot Balance'!$B$5:$B$500,MATCH(1,INDEX(('Lot Balance'!$A$5:$A$500=$F1526)*('Lot Balance'!$K$5:$K$500&lt;$AK1526)*('Lot Balance'!$K$5:$K$500+'Lot Balance'!$D$5:$D$500&gt;=$AK1526),0),0)),""))</f>
        <v/>
      </c>
      <c r="AM1526" s="66" t="str" cm="1">
        <f t="array" ref="AM1526">IF($F1526="","",IFERROR(INDEX('Lot Balance'!$B$5:$B$500,MATCH(1,INDEX(('Lot Balance'!$A$5:$A$500=$F1526)*('Lot Balance'!$K$5:$K$500&lt;$AJ1526)*('Lot Balance'!$K$5:$K$500+'Lot Balance'!$D$5:$D$500&gt;=$AJ1526),0),0)),""))</f>
        <v/>
      </c>
      <c r="AN1526" s="66" t="str">
        <f>IF($F1526="","",IF($AI1526&lt;&gt;"",IF(COUNTIFS('Lot Balance'!$A$5:$A$500,$F1526,'Lot Balance'!$B$5:$B$500,$AI1526)=0,"⚠ override is not a lot of this item",IF($AI1526=$AL1526,"Override = FEFO","Override - FEFO says "&amp;$AL1526)),IF($AL1526="","⚠ no receipt on file for this item",IF($AM1526&lt;&gt;$AL1526,"FEFO auto - split, also "&amp;$AM1526,"FEFO auto"))))</f>
        <v>⚠ no receipt on file for this item</v>
      </c>
      <c r="AO1526" s="114"/>
    </row>
    <row r="1527" spans="1:41" x14ac:dyDescent="0.35">
      <c r="A1527" s="74">
        <v>46209</v>
      </c>
      <c r="B1527" s="18" t="str">
        <f>IF($C1527="","",IFERROR(INDEX('Staff Directory'!$A$5:$A$594,MATCH($C1527,'Staff Directory'!$B$5:$B$594,0)),"⚠ unknown staff"))</f>
        <v>PSW-187-TBD</v>
      </c>
      <c r="C1527" s="49" t="s">
        <v>1166</v>
      </c>
      <c r="D1527" s="19" t="str">
        <f>IF($B1527="","",IFERROR(INDEX('Staff Directory'!$C$5:$C$594,MATCH($B1527,'Staff Directory'!$A$5:$A$594,0)),""))</f>
        <v>PSW</v>
      </c>
      <c r="E1527" s="19">
        <f>IF($B1527="","",IFERROR(INDEX('Staff Directory'!$D$5:$D$594,MATCH($B1527,'Staff Directory'!$A$5:$A$594,0)),""))</f>
        <v>0</v>
      </c>
      <c r="F1527" s="9" t="s">
        <v>127</v>
      </c>
      <c r="G1527" s="18" t="str">
        <f>IF($F1527="","",IFERROR(INDEX(Items!$B$5:$B$597,MATCH($F1527,Items!$A$5:$A$597,0)),"⚠ not in Items"))</f>
        <v>Gloves</v>
      </c>
      <c r="H1527" s="19" t="str">
        <f>IF($F1527="","",IFERROR(INDEX(Items!$C$5:$C$597,MATCH($F1527,Items!$A$5:$A$597,0)),""))</f>
        <v>Medium</v>
      </c>
      <c r="I1527" s="23">
        <f>IF($F1527="","",IFERROR(INDEX(Items!$E$5:$E$597,MATCH($F1527,Items!$A$5:$A$597,0)),""))</f>
        <v>500</v>
      </c>
      <c r="J1527" s="115">
        <f>IF(tblIssues[[#This Row],[Qty Override]]&lt;&gt;"",tblIssues[[#This Row],[Qty Override]],IF(tblIssues[[#This Row],[Standard Issue]]="","",tblIssues[[#This Row],[Standard Issue]]))</f>
        <v>500</v>
      </c>
      <c r="K1527" s="20">
        <f>IF($F1527="","",IFERROR(INDEX(Items!$D$5:$D$597,MATCH($F1527,Items!$A$5:$A$597,0)),""))</f>
        <v>5.5E-2</v>
      </c>
      <c r="L1527" s="21">
        <f t="shared" si="261"/>
        <v>27.5</v>
      </c>
      <c r="M1527" s="9" t="str">
        <f t="shared" si="259"/>
        <v>ZIM510137962-2</v>
      </c>
      <c r="N1527" s="24">
        <f>IF($A1527="","",WORKDAY($A1527,Settings!$C$9,HolidayDates))</f>
        <v>46217</v>
      </c>
      <c r="O1527" s="24">
        <f>IF($N1527="","",WORKDAY($N1527,Settings!$C$10,HolidayDates))</f>
        <v>46255</v>
      </c>
      <c r="P1527" s="10" t="s">
        <v>501</v>
      </c>
      <c r="Q1527" s="52" t="str">
        <f t="shared" si="262"/>
        <v>Collected</v>
      </c>
      <c r="R1527" s="55" t="str">
        <f t="shared" si="263"/>
        <v>2026-07</v>
      </c>
      <c r="S1527" s="55">
        <f>IF(OR($B1527="",$F1527="",$R1527=""),"",SUMIFS(tblIssues[Qty Issued],tblIssues[Staff ID],$B1527,tblIssues[Item Name],$F1527,tblIssues[Month],$R1527))</f>
        <v>500</v>
      </c>
      <c r="T1527" s="56">
        <f>IF($I1527="","",$I1527*Settings!$C$11)</f>
        <v>500</v>
      </c>
      <c r="U1527" s="57" t="str">
        <f t="shared" si="260"/>
        <v>OK</v>
      </c>
      <c r="V1527" s="55" t="str">
        <f t="shared" si="264"/>
        <v/>
      </c>
      <c r="W1527" s="55" t="str">
        <f>IF($V1527="","",IF(COUNTIF($V$5:$V1527,$V1527)=1,1,""))</f>
        <v/>
      </c>
      <c r="X1527" s="58" t="str">
        <f>IF($W1527="","",MAX($X$4:X1526)+1)</f>
        <v/>
      </c>
      <c r="Y1527" s="62"/>
      <c r="Z1527" s="62"/>
      <c r="AA1527" s="64" t="str">
        <f>IF($C1527="","",IFERROR(INDEX('Staff Directory'!$E$5:$E$594,MATCH($C1527,'Staff Directory'!$B$5:$B$594,0)),""))</f>
        <v>firstname250.lastname250@example.com</v>
      </c>
      <c r="AB1527" s="64" t="str">
        <f>IF($C1527="","",IF(ISNUMBER(SEARCH($D1527,Settings!$C$15)),"Pickup","Dispatch"))</f>
        <v>Pickup</v>
      </c>
      <c r="AC1527" s="64" t="str">
        <f t="shared" si="265"/>
        <v>Supply order ready for pickup</v>
      </c>
      <c r="AD1527" s="64" t="str">
        <f t="shared" si="256"/>
        <v>Dear PSW,
Your order is ready for pickup from Sample Branch, Wed-Fri 9am-4pm.</v>
      </c>
      <c r="AE1527" s="64" t="str">
        <f t="shared" si="257"/>
        <v>mailto:firstname250.lastname250@example.com?subject=Supply%20order%20ready%20for%20pickup&amp;body=Dear%20PSW%2C%0A%0AYour%20order%20is%20ready%20for%20pickup%20from%20Sample%20Branch%2C%20Wed-Fri%209am-4pm.</v>
      </c>
      <c r="AF1527" s="89" t="str">
        <f t="shared" si="266"/>
        <v>Draft email</v>
      </c>
      <c r="AG1527" s="64" t="str">
        <f>IF($C1527="","",IFERROR(INDEX('Staff Directory'!$K$595:$K$599,MATCH($C1527,'Staff Directory'!$B$5:$B$599,0)),$D1527))</f>
        <v>PSW</v>
      </c>
      <c r="AH1527" t="str">
        <f>IF($C1527="","",IFERROR(INDEX('Staff Directory'!$I$595:$I$599,MATCH($C1527,'Staff Directory'!$B$5:$B$599,0))&amp;" "&amp;INDEX('Staff Directory'!$J$595:$J$599,MATCH($C1527,'Staff Directory'!$B$5:$B$599,0)),$AG1527))</f>
        <v>PSW</v>
      </c>
      <c r="AI1527" s="102"/>
      <c r="AJ1527" s="101">
        <f>IF($F1527="","",SUMIFS($J$5:$J1527,$F$5:$F1527,$F1527))</f>
        <v>94500</v>
      </c>
      <c r="AK1527" s="101">
        <f t="shared" si="258"/>
        <v>94001</v>
      </c>
      <c r="AL1527" s="66" t="str" cm="1">
        <f t="array" ref="AL1527">IF($F1527="","",IFERROR(INDEX('Lot Balance'!$B$5:$B$500,MATCH(1,INDEX(('Lot Balance'!$A$5:$A$500=$F1527)*('Lot Balance'!$K$5:$K$500&lt;$AK1527)*('Lot Balance'!$K$5:$K$500+'Lot Balance'!$D$5:$D$500&gt;=$AK1527),0),0)),""))</f>
        <v>ZIM510137962-2</v>
      </c>
      <c r="AM1527" s="66" t="str" cm="1">
        <f t="array" ref="AM1527">IF($F1527="","",IFERROR(INDEX('Lot Balance'!$B$5:$B$500,MATCH(1,INDEX(('Lot Balance'!$A$5:$A$500=$F1527)*('Lot Balance'!$K$5:$K$500&lt;$AJ1527)*('Lot Balance'!$K$5:$K$500+'Lot Balance'!$D$5:$D$500&gt;=$AJ1527),0),0)),""))</f>
        <v>ZIM510137962-2</v>
      </c>
      <c r="AN1527" s="66" t="str">
        <f>IF($F1527="","",IF($AI1527&lt;&gt;"",IF(COUNTIFS('Lot Balance'!$A$5:$A$500,$F1527,'Lot Balance'!$B$5:$B$500,$AI1527)=0,"⚠ override is not a lot of this item",IF($AI1527=$AL1527,"Override = FEFO","Override - FEFO says "&amp;$AL1527)),IF($AL1527="","⚠ no receipt on file for this item",IF($AM1527&lt;&gt;$AL1527,"FEFO auto - split, also "&amp;$AM1527,"FEFO auto"))))</f>
        <v>FEFO auto</v>
      </c>
      <c r="AO1527" s="114"/>
    </row>
    <row r="1528" spans="1:41" x14ac:dyDescent="0.35">
      <c r="A1528" s="74">
        <v>46209</v>
      </c>
      <c r="B1528" s="18" t="str">
        <f>IF($C1528="","",IFERROR(INDEX('Staff Directory'!$A$5:$A$594,MATCH($C1528,'Staff Directory'!$B$5:$B$594,0)),"⚠ unknown staff"))</f>
        <v>PSW-187-TBD</v>
      </c>
      <c r="C1528" s="49" t="s">
        <v>1166</v>
      </c>
      <c r="D1528" s="19" t="str">
        <f>IF($B1528="","",IFERROR(INDEX('Staff Directory'!$C$5:$C$594,MATCH($B1528,'Staff Directory'!$A$5:$A$594,0)),""))</f>
        <v>PSW</v>
      </c>
      <c r="E1528" s="19">
        <f>IF($B1528="","",IFERROR(INDEX('Staff Directory'!$D$5:$D$594,MATCH($B1528,'Staff Directory'!$A$5:$A$594,0)),""))</f>
        <v>0</v>
      </c>
      <c r="F1528" s="9" t="s">
        <v>115</v>
      </c>
      <c r="G1528" s="18" t="str">
        <f>IF($F1528="","",IFERROR(INDEX(Items!$B$5:$B$597,MATCH($F1528,Items!$A$5:$A$597,0)),"⚠ not in Items"))</f>
        <v>Wipes</v>
      </c>
      <c r="H1528" s="19">
        <f>IF($F1528="","",IFERROR(INDEX(Items!$C$5:$C$597,MATCH($F1528,Items!$A$5:$A$597,0)),""))</f>
        <v>80</v>
      </c>
      <c r="I1528" s="23">
        <f>IF($F1528="","",IFERROR(INDEX(Items!$E$5:$E$597,MATCH($F1528,Items!$A$5:$A$597,0)),""))</f>
        <v>80</v>
      </c>
      <c r="J1528" s="115">
        <f>IF(tblIssues[[#This Row],[Qty Override]]&lt;&gt;"",tblIssues[[#This Row],[Qty Override]],IF(tblIssues[[#This Row],[Standard Issue]]="","",tblIssues[[#This Row],[Standard Issue]]))</f>
        <v>80</v>
      </c>
      <c r="K1528" s="20">
        <f>IF($F1528="","",IFERROR(INDEX(Items!$D$5:$D$597,MATCH($F1528,Items!$A$5:$A$597,0)),""))</f>
        <v>0.1</v>
      </c>
      <c r="L1528" s="21">
        <f t="shared" si="261"/>
        <v>8</v>
      </c>
      <c r="M1528" s="9" t="str">
        <f t="shared" si="259"/>
        <v>LYSL500290</v>
      </c>
      <c r="N1528" s="24">
        <f>IF($A1528="","",WORKDAY($A1528,Settings!$C$9,HolidayDates))</f>
        <v>46217</v>
      </c>
      <c r="O1528" s="24">
        <f>IF($N1528="","",WORKDAY($N1528,Settings!$C$10,HolidayDates))</f>
        <v>46255</v>
      </c>
      <c r="P1528" s="10" t="s">
        <v>501</v>
      </c>
      <c r="Q1528" s="52" t="str">
        <f t="shared" si="262"/>
        <v>Collected</v>
      </c>
      <c r="R1528" s="55" t="str">
        <f t="shared" si="263"/>
        <v>2026-07</v>
      </c>
      <c r="S1528" s="55">
        <f>IF(OR($B1528="",$F1528="",$R1528=""),"",SUMIFS(tblIssues[Qty Issued],tblIssues[Staff ID],$B1528,tblIssues[Item Name],$F1528,tblIssues[Month],$R1528))</f>
        <v>80</v>
      </c>
      <c r="T1528" s="56">
        <f>IF($I1528="","",$I1528*Settings!$C$11)</f>
        <v>80</v>
      </c>
      <c r="U1528" s="57" t="str">
        <f t="shared" si="260"/>
        <v>OK</v>
      </c>
      <c r="V1528" s="55" t="str">
        <f t="shared" si="264"/>
        <v/>
      </c>
      <c r="W1528" s="55" t="str">
        <f>IF($V1528="","",IF(COUNTIF($V$5:$V1528,$V1528)=1,1,""))</f>
        <v/>
      </c>
      <c r="X1528" s="58" t="str">
        <f>IF($W1528="","",MAX($X$4:X1527)+1)</f>
        <v/>
      </c>
      <c r="Y1528" s="62"/>
      <c r="Z1528" s="62"/>
      <c r="AA1528" s="64" t="str">
        <f>IF($C1528="","",IFERROR(INDEX('Staff Directory'!$E$5:$E$594,MATCH($C1528,'Staff Directory'!$B$5:$B$594,0)),""))</f>
        <v>firstname250.lastname250@example.com</v>
      </c>
      <c r="AB1528" s="64" t="str">
        <f>IF($C1528="","",IF(ISNUMBER(SEARCH($D1528,Settings!$C$15)),"Pickup","Dispatch"))</f>
        <v>Pickup</v>
      </c>
      <c r="AC1528" s="64" t="str">
        <f t="shared" si="265"/>
        <v>Supply order ready for pickup</v>
      </c>
      <c r="AD1528" s="64" t="str">
        <f t="shared" si="256"/>
        <v>Dear PSW,
Your order is ready for pickup from Sample Branch, Wed-Fri 9am-4pm.</v>
      </c>
      <c r="AE1528" s="64" t="str">
        <f t="shared" si="257"/>
        <v>mailto:firstname250.lastname250@example.com?subject=Supply%20order%20ready%20for%20pickup&amp;body=Dear%20PSW%2C%0A%0AYour%20order%20is%20ready%20for%20pickup%20from%20Sample%20Branch%2C%20Wed-Fri%209am-4pm.</v>
      </c>
      <c r="AF1528" s="89" t="str">
        <f t="shared" si="266"/>
        <v>Draft email</v>
      </c>
      <c r="AG1528" s="64" t="str">
        <f>IF($C1528="","",IFERROR(INDEX('Staff Directory'!$K$595:$K$599,MATCH($C1528,'Staff Directory'!$B$5:$B$599,0)),$D1528))</f>
        <v>PSW</v>
      </c>
      <c r="AH1528" t="str">
        <f>IF($C1528="","",IFERROR(INDEX('Staff Directory'!$I$595:$I$599,MATCH($C1528,'Staff Directory'!$B$5:$B$599,0))&amp;" "&amp;INDEX('Staff Directory'!$J$595:$J$599,MATCH($C1528,'Staff Directory'!$B$5:$B$599,0)),$AG1528))</f>
        <v>PSW</v>
      </c>
      <c r="AI1528" s="102"/>
      <c r="AJ1528" s="101">
        <f>IF($F1528="","",SUMIFS($J$5:$J1528,$F$5:$F1528,$F1528))</f>
        <v>21040</v>
      </c>
      <c r="AK1528" s="101">
        <f t="shared" si="258"/>
        <v>20961</v>
      </c>
      <c r="AL1528" s="66" t="str" cm="1">
        <f t="array" ref="AL1528">IF($F1528="","",IFERROR(INDEX('Lot Balance'!$B$5:$B$500,MATCH(1,INDEX(('Lot Balance'!$A$5:$A$500=$F1528)*('Lot Balance'!$K$5:$K$500&lt;$AK1528)*('Lot Balance'!$K$5:$K$500+'Lot Balance'!$D$5:$D$500&gt;=$AK1528),0),0)),""))</f>
        <v>LYSL500290</v>
      </c>
      <c r="AM1528" s="66" t="str" cm="1">
        <f t="array" ref="AM1528">IF($F1528="","",IFERROR(INDEX('Lot Balance'!$B$5:$B$500,MATCH(1,INDEX(('Lot Balance'!$A$5:$A$500=$F1528)*('Lot Balance'!$K$5:$K$500&lt;$AJ1528)*('Lot Balance'!$K$5:$K$500+'Lot Balance'!$D$5:$D$500&gt;=$AJ1528),0),0)),""))</f>
        <v>LYSL500290</v>
      </c>
      <c r="AN1528" s="66" t="str">
        <f>IF($F1528="","",IF($AI1528&lt;&gt;"",IF(COUNTIFS('Lot Balance'!$A$5:$A$500,$F1528,'Lot Balance'!$B$5:$B$500,$AI1528)=0,"⚠ override is not a lot of this item",IF($AI1528=$AL1528,"Override = FEFO","Override - FEFO says "&amp;$AL1528)),IF($AL1528="","⚠ no receipt on file for this item",IF($AM1528&lt;&gt;$AL1528,"FEFO auto - split, also "&amp;$AM1528,"FEFO auto"))))</f>
        <v>FEFO auto</v>
      </c>
      <c r="AO1528" s="114"/>
    </row>
    <row r="1529" spans="1:41" x14ac:dyDescent="0.35">
      <c r="A1529" s="74">
        <v>46209</v>
      </c>
      <c r="B1529" s="18" t="str">
        <f>IF($C1529="","",IFERROR(INDEX('Staff Directory'!$A$5:$A$594,MATCH($C1529,'Staff Directory'!$B$5:$B$594,0)),"⚠ unknown staff"))</f>
        <v>PSW-187-TBD</v>
      </c>
      <c r="C1529" s="49" t="s">
        <v>1166</v>
      </c>
      <c r="D1529" s="19" t="str">
        <f>IF($B1529="","",IFERROR(INDEX('Staff Directory'!$C$5:$C$594,MATCH($B1529,'Staff Directory'!$A$5:$A$594,0)),""))</f>
        <v>PSW</v>
      </c>
      <c r="E1529" s="19">
        <f>IF($B1529="","",IFERROR(INDEX('Staff Directory'!$D$5:$D$594,MATCH($B1529,'Staff Directory'!$A$5:$A$594,0)),""))</f>
        <v>0</v>
      </c>
      <c r="F1529" s="9" t="s">
        <v>106</v>
      </c>
      <c r="G1529" s="18" t="str">
        <f>IF($F1529="","",IFERROR(INDEX(Items!$B$5:$B$597,MATCH($F1529,Items!$A$5:$A$597,0)),"⚠ not in Items"))</f>
        <v>Masks</v>
      </c>
      <c r="H1529" s="19" t="str">
        <f>IF($F1529="","",IFERROR(INDEX(Items!$C$5:$C$597,MATCH($F1529,Items!$A$5:$A$597,0)),""))</f>
        <v>One Size</v>
      </c>
      <c r="I1529" s="23">
        <f>IF($F1529="","",IFERROR(INDEX(Items!$E$5:$E$597,MATCH($F1529,Items!$A$5:$A$597,0)),""))</f>
        <v>5</v>
      </c>
      <c r="J1529" s="115">
        <f>IF(tblIssues[[#This Row],[Qty Override]]&lt;&gt;"",tblIssues[[#This Row],[Qty Override]],IF(tblIssues[[#This Row],[Standard Issue]]="","",tblIssues[[#This Row],[Standard Issue]]))</f>
        <v>5</v>
      </c>
      <c r="K1529" s="20">
        <f>IF($F1529="","",IFERROR(INDEX(Items!$D$5:$D$597,MATCH($F1529,Items!$A$5:$A$597,0)),""))</f>
        <v>1.45</v>
      </c>
      <c r="L1529" s="21">
        <f t="shared" si="261"/>
        <v>7.25</v>
      </c>
      <c r="M1529" s="9" t="str">
        <f t="shared" si="259"/>
        <v>N955003714</v>
      </c>
      <c r="N1529" s="24">
        <f>IF($A1529="","",WORKDAY($A1529,Settings!$C$9,HolidayDates))</f>
        <v>46217</v>
      </c>
      <c r="O1529" s="24">
        <f>IF($N1529="","",WORKDAY($N1529,Settings!$C$10,HolidayDates))</f>
        <v>46255</v>
      </c>
      <c r="P1529" s="10" t="s">
        <v>501</v>
      </c>
      <c r="Q1529" s="52" t="str">
        <f t="shared" si="262"/>
        <v>Collected</v>
      </c>
      <c r="R1529" s="55" t="str">
        <f t="shared" si="263"/>
        <v>2026-07</v>
      </c>
      <c r="S1529" s="55">
        <f>IF(OR($B1529="",$F1529="",$R1529=""),"",SUMIFS(tblIssues[Qty Issued],tblIssues[Staff ID],$B1529,tblIssues[Item Name],$F1529,tblIssues[Month],$R1529))</f>
        <v>5</v>
      </c>
      <c r="T1529" s="56">
        <f>IF($I1529="","",$I1529*Settings!$C$11)</f>
        <v>5</v>
      </c>
      <c r="U1529" s="57" t="str">
        <f t="shared" si="260"/>
        <v>OK</v>
      </c>
      <c r="V1529" s="55" t="str">
        <f t="shared" si="264"/>
        <v/>
      </c>
      <c r="W1529" s="55" t="str">
        <f>IF($V1529="","",IF(COUNTIF($V$5:$V1529,$V1529)=1,1,""))</f>
        <v/>
      </c>
      <c r="X1529" s="58" t="str">
        <f>IF($W1529="","",MAX($X$4:X1528)+1)</f>
        <v/>
      </c>
      <c r="Y1529" s="62"/>
      <c r="Z1529" s="62"/>
      <c r="AA1529" s="64" t="str">
        <f>IF($C1529="","",IFERROR(INDEX('Staff Directory'!$E$5:$E$594,MATCH($C1529,'Staff Directory'!$B$5:$B$594,0)),""))</f>
        <v>firstname250.lastname250@example.com</v>
      </c>
      <c r="AB1529" s="64" t="str">
        <f>IF($C1529="","",IF(ISNUMBER(SEARCH($D1529,Settings!$C$15)),"Pickup","Dispatch"))</f>
        <v>Pickup</v>
      </c>
      <c r="AC1529" s="64" t="str">
        <f t="shared" si="265"/>
        <v>Supply order ready for pickup</v>
      </c>
      <c r="AD1529" s="64" t="str">
        <f t="shared" si="256"/>
        <v>Dear PSW,
Your order is ready for pickup from Sample Branch, Wed-Fri 9am-4pm.</v>
      </c>
      <c r="AE1529" s="64" t="str">
        <f t="shared" si="257"/>
        <v>mailto:firstname250.lastname250@example.com?subject=Supply%20order%20ready%20for%20pickup&amp;body=Dear%20PSW%2C%0A%0AYour%20order%20is%20ready%20for%20pickup%20from%20Sample%20Branch%2C%20Wed-Fri%209am-4pm.</v>
      </c>
      <c r="AF1529" s="89" t="str">
        <f t="shared" si="266"/>
        <v>Draft email</v>
      </c>
      <c r="AG1529" s="64" t="str">
        <f>IF($C1529="","",IFERROR(INDEX('Staff Directory'!$K$595:$K$599,MATCH($C1529,'Staff Directory'!$B$5:$B$599,0)),$D1529))</f>
        <v>PSW</v>
      </c>
      <c r="AH1529" t="str">
        <f>IF($C1529="","",IFERROR(INDEX('Staff Directory'!$I$595:$I$599,MATCH($C1529,'Staff Directory'!$B$5:$B$599,0))&amp;" "&amp;INDEX('Staff Directory'!$J$595:$J$599,MATCH($C1529,'Staff Directory'!$B$5:$B$599,0)),$AG1529))</f>
        <v>PSW</v>
      </c>
      <c r="AI1529" s="102"/>
      <c r="AJ1529" s="101">
        <f>IF($F1529="","",SUMIFS($J$5:$J1529,$F$5:$F1529,$F1529))</f>
        <v>25</v>
      </c>
      <c r="AK1529" s="101">
        <f t="shared" si="258"/>
        <v>21</v>
      </c>
      <c r="AL1529" s="66" t="str" cm="1">
        <f t="array" ref="AL1529">IF($F1529="","",IFERROR(INDEX('Lot Balance'!$B$5:$B$500,MATCH(1,INDEX(('Lot Balance'!$A$5:$A$500=$F1529)*('Lot Balance'!$K$5:$K$500&lt;$AK1529)*('Lot Balance'!$K$5:$K$500+'Lot Balance'!$D$5:$D$500&gt;=$AK1529),0),0)),""))</f>
        <v>N955003714</v>
      </c>
      <c r="AM1529" s="66" t="str" cm="1">
        <f t="array" ref="AM1529">IF($F1529="","",IFERROR(INDEX('Lot Balance'!$B$5:$B$500,MATCH(1,INDEX(('Lot Balance'!$A$5:$A$500=$F1529)*('Lot Balance'!$K$5:$K$500&lt;$AJ1529)*('Lot Balance'!$K$5:$K$500+'Lot Balance'!$D$5:$D$500&gt;=$AJ1529),0),0)),""))</f>
        <v>N955003714</v>
      </c>
      <c r="AN1529" s="66" t="str">
        <f>IF($F1529="","",IF($AI1529&lt;&gt;"",IF(COUNTIFS('Lot Balance'!$A$5:$A$500,$F1529,'Lot Balance'!$B$5:$B$500,$AI1529)=0,"⚠ override is not a lot of this item",IF($AI1529=$AL1529,"Override = FEFO","Override - FEFO says "&amp;$AL1529)),IF($AL1529="","⚠ no receipt on file for this item",IF($AM1529&lt;&gt;$AL1529,"FEFO auto - split, also "&amp;$AM1529,"FEFO auto"))))</f>
        <v>FEFO auto</v>
      </c>
      <c r="AO1529" s="114"/>
    </row>
    <row r="1530" spans="1:41" x14ac:dyDescent="0.35">
      <c r="A1530" s="74">
        <v>46209</v>
      </c>
      <c r="B1530" s="18" t="str">
        <f>IF($C1530="","",IFERROR(INDEX('Staff Directory'!$A$5:$A$594,MATCH($C1530,'Staff Directory'!$B$5:$B$594,0)),"⚠ unknown staff"))</f>
        <v>PSW-187-TBD</v>
      </c>
      <c r="C1530" s="49" t="s">
        <v>1166</v>
      </c>
      <c r="D1530" s="19" t="str">
        <f>IF($B1530="","",IFERROR(INDEX('Staff Directory'!$C$5:$C$594,MATCH($B1530,'Staff Directory'!$A$5:$A$594,0)),""))</f>
        <v>PSW</v>
      </c>
      <c r="E1530" s="19">
        <f>IF($B1530="","",IFERROR(INDEX('Staff Directory'!$D$5:$D$594,MATCH($B1530,'Staff Directory'!$A$5:$A$594,0)),""))</f>
        <v>0</v>
      </c>
      <c r="F1530" s="9" t="s">
        <v>137</v>
      </c>
      <c r="G1530" s="18" t="str">
        <f>IF($F1530="","",IFERROR(INDEX(Items!$B$5:$B$597,MATCH($F1530,Items!$A$5:$A$597,0)),"⚠ not in Items"))</f>
        <v>Sanitizer</v>
      </c>
      <c r="H1530" s="19" t="str">
        <f>IF($F1530="","",IFERROR(INDEX(Items!$C$5:$C$597,MATCH($F1530,Items!$A$5:$A$597,0)),""))</f>
        <v>118 ML</v>
      </c>
      <c r="I1530" s="23">
        <f>IF($F1530="","",IFERROR(INDEX(Items!$E$5:$E$597,MATCH($F1530,Items!$A$5:$A$597,0)),""))</f>
        <v>2</v>
      </c>
      <c r="J1530" s="115">
        <f>IF(tblIssues[[#This Row],[Qty Override]]&lt;&gt;"",tblIssues[[#This Row],[Qty Override]],IF(tblIssues[[#This Row],[Standard Issue]]="","",tblIssues[[#This Row],[Standard Issue]]))</f>
        <v>2</v>
      </c>
      <c r="K1530" s="20">
        <f>IF($F1530="","",IFERROR(INDEX(Items!$D$5:$D$597,MATCH($F1530,Items!$A$5:$A$597,0)),""))</f>
        <v>4.49</v>
      </c>
      <c r="L1530" s="21">
        <f t="shared" si="261"/>
        <v>8.98</v>
      </c>
      <c r="M1530" s="9" t="str">
        <f t="shared" si="259"/>
        <v>563963-7</v>
      </c>
      <c r="N1530" s="24">
        <f>IF($A1530="","",WORKDAY($A1530,Settings!$C$9,HolidayDates))</f>
        <v>46217</v>
      </c>
      <c r="O1530" s="24">
        <f>IF($N1530="","",WORKDAY($N1530,Settings!$C$10,HolidayDates))</f>
        <v>46255</v>
      </c>
      <c r="P1530" s="10" t="s">
        <v>501</v>
      </c>
      <c r="Q1530" s="52" t="str">
        <f t="shared" si="262"/>
        <v>Collected</v>
      </c>
      <c r="R1530" s="55" t="str">
        <f t="shared" si="263"/>
        <v>2026-07</v>
      </c>
      <c r="S1530" s="55">
        <f>IF(OR($B1530="",$F1530="",$R1530=""),"",SUMIFS(tblIssues[Qty Issued],tblIssues[Staff ID],$B1530,tblIssues[Item Name],$F1530,tblIssues[Month],$R1530))</f>
        <v>2</v>
      </c>
      <c r="T1530" s="56">
        <f>IF($I1530="","",$I1530*Settings!$C$11)</f>
        <v>2</v>
      </c>
      <c r="U1530" s="57" t="str">
        <f t="shared" si="260"/>
        <v>OK</v>
      </c>
      <c r="V1530" s="55" t="str">
        <f t="shared" si="264"/>
        <v/>
      </c>
      <c r="W1530" s="55" t="str">
        <f>IF($V1530="","",IF(COUNTIF($V$5:$V1530,$V1530)=1,1,""))</f>
        <v/>
      </c>
      <c r="X1530" s="58" t="str">
        <f>IF($W1530="","",MAX($X$4:X1529)+1)</f>
        <v/>
      </c>
      <c r="Y1530" s="62"/>
      <c r="Z1530" s="62"/>
      <c r="AA1530" s="64" t="str">
        <f>IF($C1530="","",IFERROR(INDEX('Staff Directory'!$E$5:$E$594,MATCH($C1530,'Staff Directory'!$B$5:$B$594,0)),""))</f>
        <v>firstname250.lastname250@example.com</v>
      </c>
      <c r="AB1530" s="64" t="str">
        <f>IF($C1530="","",IF(ISNUMBER(SEARCH($D1530,Settings!$C$15)),"Pickup","Dispatch"))</f>
        <v>Pickup</v>
      </c>
      <c r="AC1530" s="64" t="str">
        <f t="shared" si="265"/>
        <v>Supply order ready for pickup</v>
      </c>
      <c r="AD1530" s="64" t="str">
        <f t="shared" si="256"/>
        <v>Dear PSW,
Your order is ready for pickup from Sample Branch, Wed-Fri 9am-4pm.</v>
      </c>
      <c r="AE1530" s="64" t="str">
        <f t="shared" si="257"/>
        <v>mailto:firstname250.lastname250@example.com?subject=Supply%20order%20ready%20for%20pickup&amp;body=Dear%20PSW%2C%0A%0AYour%20order%20is%20ready%20for%20pickup%20from%20Sample%20Branch%2C%20Wed-Fri%209am-4pm.</v>
      </c>
      <c r="AF1530" s="89" t="str">
        <f t="shared" si="266"/>
        <v>Draft email</v>
      </c>
      <c r="AG1530" s="64" t="str">
        <f>IF($C1530="","",IFERROR(INDEX('Staff Directory'!$K$595:$K$599,MATCH($C1530,'Staff Directory'!$B$5:$B$599,0)),$D1530))</f>
        <v>PSW</v>
      </c>
      <c r="AH1530" t="str">
        <f>IF($C1530="","",IFERROR(INDEX('Staff Directory'!$I$595:$I$599,MATCH($C1530,'Staff Directory'!$B$5:$B$599,0))&amp;" "&amp;INDEX('Staff Directory'!$J$595:$J$599,MATCH($C1530,'Staff Directory'!$B$5:$B$599,0)),$AG1530))</f>
        <v>PSW</v>
      </c>
      <c r="AI1530" s="102"/>
      <c r="AJ1530" s="101">
        <f>IF($F1530="","",SUMIFS($J$5:$J1530,$F$5:$F1530,$F1530))</f>
        <v>136</v>
      </c>
      <c r="AK1530" s="101">
        <f t="shared" si="258"/>
        <v>135</v>
      </c>
      <c r="AL1530" s="66" t="str" cm="1">
        <f t="array" ref="AL1530">IF($F1530="","",IFERROR(INDEX('Lot Balance'!$B$5:$B$500,MATCH(1,INDEX(('Lot Balance'!$A$5:$A$500=$F1530)*('Lot Balance'!$K$5:$K$500&lt;$AK1530)*('Lot Balance'!$K$5:$K$500+'Lot Balance'!$D$5:$D$500&gt;=$AK1530),0),0)),""))</f>
        <v>563963-7</v>
      </c>
      <c r="AM1530" s="66" t="str" cm="1">
        <f t="array" ref="AM1530">IF($F1530="","",IFERROR(INDEX('Lot Balance'!$B$5:$B$500,MATCH(1,INDEX(('Lot Balance'!$A$5:$A$500=$F1530)*('Lot Balance'!$K$5:$K$500&lt;$AJ1530)*('Lot Balance'!$K$5:$K$500+'Lot Balance'!$D$5:$D$500&gt;=$AJ1530),0),0)),""))</f>
        <v>563963-7</v>
      </c>
      <c r="AN1530" s="66" t="str">
        <f>IF($F1530="","",IF($AI1530&lt;&gt;"",IF(COUNTIFS('Lot Balance'!$A$5:$A$500,$F1530,'Lot Balance'!$B$5:$B$500,$AI1530)=0,"⚠ override is not a lot of this item",IF($AI1530=$AL1530,"Override = FEFO","Override - FEFO says "&amp;$AL1530)),IF($AL1530="","⚠ no receipt on file for this item",IF($AM1530&lt;&gt;$AL1530,"FEFO auto - split, also "&amp;$AM1530,"FEFO auto"))))</f>
        <v>FEFO auto</v>
      </c>
      <c r="AO1530" s="114"/>
    </row>
    <row r="1531" spans="1:41" x14ac:dyDescent="0.35">
      <c r="A1531" s="74">
        <v>46209</v>
      </c>
      <c r="B1531" s="18" t="str">
        <f>IF($C1531="","",IFERROR(INDEX('Staff Directory'!$A$5:$A$594,MATCH($C1531,'Staff Directory'!$B$5:$B$594,0)),"⚠ unknown staff"))</f>
        <v>PSW-187-TBD</v>
      </c>
      <c r="C1531" s="49" t="s">
        <v>1166</v>
      </c>
      <c r="D1531" s="19" t="str">
        <f>IF($B1531="","",IFERROR(INDEX('Staff Directory'!$C$5:$C$594,MATCH($B1531,'Staff Directory'!$A$5:$A$594,0)),""))</f>
        <v>PSW</v>
      </c>
      <c r="E1531" s="19">
        <f>IF($B1531="","",IFERROR(INDEX('Staff Directory'!$D$5:$D$594,MATCH($B1531,'Staff Directory'!$A$5:$A$594,0)),""))</f>
        <v>0</v>
      </c>
      <c r="F1531" s="9" t="s">
        <v>147</v>
      </c>
      <c r="G1531" s="18" t="str">
        <f>IF($F1531="","",IFERROR(INDEX(Items!$B$5:$B$597,MATCH($F1531,Items!$A$5:$A$597,0)),"⚠ not in Items"))</f>
        <v>Apparel</v>
      </c>
      <c r="H1531" s="19" t="str">
        <f>IF($F1531="","",IFERROR(INDEX(Items!$C$5:$C$597,MATCH($F1531,Items!$A$5:$A$597,0)),""))</f>
        <v>One Size</v>
      </c>
      <c r="I1531" s="23">
        <f>IF($F1531="","",IFERROR(INDEX(Items!$E$5:$E$597,MATCH($F1531,Items!$A$5:$A$597,0)),""))</f>
        <v>5</v>
      </c>
      <c r="J1531" s="115">
        <f>IF(tblIssues[[#This Row],[Qty Override]]&lt;&gt;"",tblIssues[[#This Row],[Qty Override]],IF(tblIssues[[#This Row],[Standard Issue]]="","",tblIssues[[#This Row],[Standard Issue]]))</f>
        <v>5</v>
      </c>
      <c r="K1531" s="20">
        <f>IF($F1531="","",IFERROR(INDEX(Items!$D$5:$D$597,MATCH($F1531,Items!$A$5:$A$597,0)),""))</f>
        <v>3</v>
      </c>
      <c r="L1531" s="21">
        <f t="shared" si="261"/>
        <v>15</v>
      </c>
      <c r="M1531" s="9" t="str">
        <f t="shared" si="259"/>
        <v>YG500280</v>
      </c>
      <c r="N1531" s="24">
        <f>IF($A1531="","",WORKDAY($A1531,Settings!$C$9,HolidayDates))</f>
        <v>46217</v>
      </c>
      <c r="O1531" s="24">
        <f>IF($N1531="","",WORKDAY($N1531,Settings!$C$10,HolidayDates))</f>
        <v>46255</v>
      </c>
      <c r="P1531" s="10" t="s">
        <v>501</v>
      </c>
      <c r="Q1531" s="52" t="str">
        <f t="shared" si="262"/>
        <v>Collected</v>
      </c>
      <c r="R1531" s="55" t="str">
        <f t="shared" si="263"/>
        <v>2026-07</v>
      </c>
      <c r="S1531" s="55">
        <f>IF(OR($B1531="",$F1531="",$R1531=""),"",SUMIFS(tblIssues[Qty Issued],tblIssues[Staff ID],$B1531,tblIssues[Item Name],$F1531,tblIssues[Month],$R1531))</f>
        <v>5</v>
      </c>
      <c r="T1531" s="56">
        <f>IF($I1531="","",$I1531*Settings!$C$11)</f>
        <v>5</v>
      </c>
      <c r="U1531" s="57" t="str">
        <f t="shared" si="260"/>
        <v>OK</v>
      </c>
      <c r="V1531" s="55" t="str">
        <f t="shared" si="264"/>
        <v/>
      </c>
      <c r="W1531" s="55" t="str">
        <f>IF($V1531="","",IF(COUNTIF($V$5:$V1531,$V1531)=1,1,""))</f>
        <v/>
      </c>
      <c r="X1531" s="58" t="str">
        <f>IF($W1531="","",MAX($X$4:X1530)+1)</f>
        <v/>
      </c>
      <c r="Y1531" s="62"/>
      <c r="Z1531" s="62"/>
      <c r="AA1531" s="64" t="str">
        <f>IF($C1531="","",IFERROR(INDEX('Staff Directory'!$E$5:$E$594,MATCH($C1531,'Staff Directory'!$B$5:$B$594,0)),""))</f>
        <v>firstname250.lastname250@example.com</v>
      </c>
      <c r="AB1531" s="64" t="str">
        <f>IF($C1531="","",IF(ISNUMBER(SEARCH($D1531,Settings!$C$15)),"Pickup","Dispatch"))</f>
        <v>Pickup</v>
      </c>
      <c r="AC1531" s="64" t="str">
        <f t="shared" si="265"/>
        <v>Supply order ready for pickup</v>
      </c>
      <c r="AD1531" s="64" t="str">
        <f t="shared" si="256"/>
        <v>Dear PSW,
Your order is ready for pickup from Sample Branch, Wed-Fri 9am-4pm.</v>
      </c>
      <c r="AE1531" s="64" t="str">
        <f t="shared" si="257"/>
        <v>mailto:firstname250.lastname250@example.com?subject=Supply%20order%20ready%20for%20pickup&amp;body=Dear%20PSW%2C%0A%0AYour%20order%20is%20ready%20for%20pickup%20from%20Sample%20Branch%2C%20Wed-Fri%209am-4pm.</v>
      </c>
      <c r="AF1531" s="89" t="str">
        <f t="shared" si="266"/>
        <v>Draft email</v>
      </c>
      <c r="AG1531" s="64" t="str">
        <f>IF($C1531="","",IFERROR(INDEX('Staff Directory'!$K$595:$K$599,MATCH($C1531,'Staff Directory'!$B$5:$B$599,0)),$D1531))</f>
        <v>PSW</v>
      </c>
      <c r="AH1531" t="str">
        <f>IF($C1531="","",IFERROR(INDEX('Staff Directory'!$I$595:$I$599,MATCH($C1531,'Staff Directory'!$B$5:$B$599,0))&amp;" "&amp;INDEX('Staff Directory'!$J$595:$J$599,MATCH($C1531,'Staff Directory'!$B$5:$B$599,0)),$AG1531))</f>
        <v>PSW</v>
      </c>
      <c r="AI1531" s="102"/>
      <c r="AJ1531" s="101">
        <f>IF($F1531="","",SUMIFS($J$5:$J1531,$F$5:$F1531,$F1531))</f>
        <v>185</v>
      </c>
      <c r="AK1531" s="101">
        <f t="shared" si="258"/>
        <v>181</v>
      </c>
      <c r="AL1531" s="66" t="str" cm="1">
        <f t="array" ref="AL1531">IF($F1531="","",IFERROR(INDEX('Lot Balance'!$B$5:$B$500,MATCH(1,INDEX(('Lot Balance'!$A$5:$A$500=$F1531)*('Lot Balance'!$K$5:$K$500&lt;$AK1531)*('Lot Balance'!$K$5:$K$500+'Lot Balance'!$D$5:$D$500&gt;=$AK1531),0),0)),""))</f>
        <v>YG500280</v>
      </c>
      <c r="AM1531" s="66" t="str" cm="1">
        <f t="array" ref="AM1531">IF($F1531="","",IFERROR(INDEX('Lot Balance'!$B$5:$B$500,MATCH(1,INDEX(('Lot Balance'!$A$5:$A$500=$F1531)*('Lot Balance'!$K$5:$K$500&lt;$AJ1531)*('Lot Balance'!$K$5:$K$500+'Lot Balance'!$D$5:$D$500&gt;=$AJ1531),0),0)),""))</f>
        <v>YG500280</v>
      </c>
      <c r="AN1531" s="66" t="str">
        <f>IF($F1531="","",IF($AI1531&lt;&gt;"",IF(COUNTIFS('Lot Balance'!$A$5:$A$500,$F1531,'Lot Balance'!$B$5:$B$500,$AI1531)=0,"⚠ override is not a lot of this item",IF($AI1531=$AL1531,"Override = FEFO","Override - FEFO says "&amp;$AL1531)),IF($AL1531="","⚠ no receipt on file for this item",IF($AM1531&lt;&gt;$AL1531,"FEFO auto - split, also "&amp;$AM1531,"FEFO auto"))))</f>
        <v>FEFO auto</v>
      </c>
      <c r="AO1531" s="114"/>
    </row>
    <row r="1532" spans="1:41" x14ac:dyDescent="0.35">
      <c r="A1532" s="74">
        <v>46209</v>
      </c>
      <c r="B1532" s="18" t="str">
        <f>IF($C1532="","",IFERROR(INDEX('Staff Directory'!$A$5:$A$594,MATCH($C1532,'Staff Directory'!$B$5:$B$594,0)),"⚠ unknown staff"))</f>
        <v>PSW-187-TBD</v>
      </c>
      <c r="C1532" s="49" t="s">
        <v>1166</v>
      </c>
      <c r="D1532" s="19" t="str">
        <f>IF($B1532="","",IFERROR(INDEX('Staff Directory'!$C$5:$C$594,MATCH($B1532,'Staff Directory'!$A$5:$A$594,0)),""))</f>
        <v>PSW</v>
      </c>
      <c r="E1532" s="19">
        <f>IF($B1532="","",IFERROR(INDEX('Staff Directory'!$D$5:$D$594,MATCH($B1532,'Staff Directory'!$A$5:$A$594,0)),""))</f>
        <v>0</v>
      </c>
      <c r="F1532" s="9" t="s">
        <v>145</v>
      </c>
      <c r="G1532" s="18" t="str">
        <f>IF($F1532="","",IFERROR(INDEX(Items!$B$5:$B$597,MATCH($F1532,Items!$A$5:$A$597,0)),"⚠ not in Items"))</f>
        <v>Apparel</v>
      </c>
      <c r="H1532" s="19" t="str">
        <f>IF($F1532="","",IFERROR(INDEX(Items!$C$5:$C$597,MATCH($F1532,Items!$A$5:$A$597,0)),""))</f>
        <v>One Size</v>
      </c>
      <c r="I1532" s="23">
        <f>IF($F1532="","",IFERROR(INDEX(Items!$E$5:$E$597,MATCH($F1532,Items!$A$5:$A$597,0)),""))</f>
        <v>5</v>
      </c>
      <c r="J1532" s="115">
        <f>IF(tblIssues[[#This Row],[Qty Override]]&lt;&gt;"",tblIssues[[#This Row],[Qty Override]],IF(tblIssues[[#This Row],[Standard Issue]]="","",tblIssues[[#This Row],[Standard Issue]]))</f>
        <v>5</v>
      </c>
      <c r="K1532" s="20">
        <f>IF($F1532="","",IFERROR(INDEX(Items!$D$5:$D$597,MATCH($F1532,Items!$A$5:$A$597,0)),""))</f>
        <v>3</v>
      </c>
      <c r="L1532" s="21">
        <f t="shared" si="261"/>
        <v>15</v>
      </c>
      <c r="M1532" s="9" t="str">
        <f t="shared" si="259"/>
        <v>WRB500270</v>
      </c>
      <c r="N1532" s="24">
        <f>IF($A1532="","",WORKDAY($A1532,Settings!$C$9,HolidayDates))</f>
        <v>46217</v>
      </c>
      <c r="O1532" s="24">
        <f>IF($N1532="","",WORKDAY($N1532,Settings!$C$10,HolidayDates))</f>
        <v>46255</v>
      </c>
      <c r="P1532" s="10" t="s">
        <v>501</v>
      </c>
      <c r="Q1532" s="52" t="str">
        <f t="shared" si="262"/>
        <v>Collected</v>
      </c>
      <c r="R1532" s="55" t="str">
        <f t="shared" si="263"/>
        <v>2026-07</v>
      </c>
      <c r="S1532" s="55">
        <f>IF(OR($B1532="",$F1532="",$R1532=""),"",SUMIFS(tblIssues[Qty Issued],tblIssues[Staff ID],$B1532,tblIssues[Item Name],$F1532,tblIssues[Month],$R1532))</f>
        <v>5</v>
      </c>
      <c r="T1532" s="56">
        <f>IF($I1532="","",$I1532*Settings!$C$11)</f>
        <v>5</v>
      </c>
      <c r="U1532" s="57" t="str">
        <f t="shared" si="260"/>
        <v>OK</v>
      </c>
      <c r="V1532" s="55" t="str">
        <f t="shared" si="264"/>
        <v/>
      </c>
      <c r="W1532" s="55" t="str">
        <f>IF($V1532="","",IF(COUNTIF($V$5:$V1532,$V1532)=1,1,""))</f>
        <v/>
      </c>
      <c r="X1532" s="58" t="str">
        <f>IF($W1532="","",MAX($X$4:X1531)+1)</f>
        <v/>
      </c>
      <c r="Y1532" s="62"/>
      <c r="Z1532" s="62"/>
      <c r="AA1532" s="64" t="str">
        <f>IF($C1532="","",IFERROR(INDEX('Staff Directory'!$E$5:$E$594,MATCH($C1532,'Staff Directory'!$B$5:$B$594,0)),""))</f>
        <v>firstname250.lastname250@example.com</v>
      </c>
      <c r="AB1532" s="64" t="str">
        <f>IF($C1532="","",IF(ISNUMBER(SEARCH($D1532,Settings!$C$15)),"Pickup","Dispatch"))</f>
        <v>Pickup</v>
      </c>
      <c r="AC1532" s="64" t="str">
        <f t="shared" si="265"/>
        <v>Supply order ready for pickup</v>
      </c>
      <c r="AD1532" s="64" t="str">
        <f t="shared" si="256"/>
        <v>Dear PSW,
Your order is ready for pickup from Sample Branch, Wed-Fri 9am-4pm.</v>
      </c>
      <c r="AE1532" s="64" t="str">
        <f t="shared" si="257"/>
        <v>mailto:firstname250.lastname250@example.com?subject=Supply%20order%20ready%20for%20pickup&amp;body=Dear%20PSW%2C%0A%0AYour%20order%20is%20ready%20for%20pickup%20from%20Sample%20Branch%2C%20Wed-Fri%209am-4pm.</v>
      </c>
      <c r="AF1532" s="89" t="str">
        <f t="shared" si="266"/>
        <v>Draft email</v>
      </c>
      <c r="AG1532" s="64" t="str">
        <f>IF($C1532="","",IFERROR(INDEX('Staff Directory'!$K$595:$K$599,MATCH($C1532,'Staff Directory'!$B$5:$B$599,0)),$D1532))</f>
        <v>PSW</v>
      </c>
      <c r="AH1532" t="str">
        <f>IF($C1532="","",IFERROR(INDEX('Staff Directory'!$I$595:$I$599,MATCH($C1532,'Staff Directory'!$B$5:$B$599,0))&amp;" "&amp;INDEX('Staff Directory'!$J$595:$J$599,MATCH($C1532,'Staff Directory'!$B$5:$B$599,0)),$AG1532))</f>
        <v>PSW</v>
      </c>
      <c r="AI1532" s="102"/>
      <c r="AJ1532" s="101">
        <f>IF($F1532="","",SUMIFS($J$5:$J1532,$F$5:$F1532,$F1532))</f>
        <v>60</v>
      </c>
      <c r="AK1532" s="101">
        <f t="shared" si="258"/>
        <v>56</v>
      </c>
      <c r="AL1532" s="66" t="str" cm="1">
        <f t="array" ref="AL1532">IF($F1532="","",IFERROR(INDEX('Lot Balance'!$B$5:$B$500,MATCH(1,INDEX(('Lot Balance'!$A$5:$A$500=$F1532)*('Lot Balance'!$K$5:$K$500&lt;$AK1532)*('Lot Balance'!$K$5:$K$500+'Lot Balance'!$D$5:$D$500&gt;=$AK1532),0),0)),""))</f>
        <v>WRB500270</v>
      </c>
      <c r="AM1532" s="66" t="str" cm="1">
        <f t="array" ref="AM1532">IF($F1532="","",IFERROR(INDEX('Lot Balance'!$B$5:$B$500,MATCH(1,INDEX(('Lot Balance'!$A$5:$A$500=$F1532)*('Lot Balance'!$K$5:$K$500&lt;$AJ1532)*('Lot Balance'!$K$5:$K$500+'Lot Balance'!$D$5:$D$500&gt;=$AJ1532),0),0)),""))</f>
        <v>WRB500270</v>
      </c>
      <c r="AN1532" s="66" t="str">
        <f>IF($F1532="","",IF($AI1532&lt;&gt;"",IF(COUNTIFS('Lot Balance'!$A$5:$A$500,$F1532,'Lot Balance'!$B$5:$B$500,$AI1532)=0,"⚠ override is not a lot of this item",IF($AI1532=$AL1532,"Override = FEFO","Override - FEFO says "&amp;$AL1532)),IF($AL1532="","⚠ no receipt on file for this item",IF($AM1532&lt;&gt;$AL1532,"FEFO auto - split, also "&amp;$AM1532,"FEFO auto"))))</f>
        <v>FEFO auto</v>
      </c>
      <c r="AO1532" s="114"/>
    </row>
    <row r="1533" spans="1:41" x14ac:dyDescent="0.35">
      <c r="A1533" s="74">
        <v>46209</v>
      </c>
      <c r="B1533" s="18" t="str">
        <f>IF($C1533="","",IFERROR(INDEX('Staff Directory'!$A$5:$A$594,MATCH($C1533,'Staff Directory'!$B$5:$B$594,0)),"⚠ unknown staff"))</f>
        <v>PSW-187-TBD</v>
      </c>
      <c r="C1533" s="49" t="s">
        <v>1166</v>
      </c>
      <c r="D1533" s="19" t="str">
        <f>IF($B1533="","",IFERROR(INDEX('Staff Directory'!$C$5:$C$594,MATCH($B1533,'Staff Directory'!$A$5:$A$594,0)),""))</f>
        <v>PSW</v>
      </c>
      <c r="E1533" s="19">
        <f>IF($B1533="","",IFERROR(INDEX('Staff Directory'!$D$5:$D$594,MATCH($B1533,'Staff Directory'!$A$5:$A$594,0)),""))</f>
        <v>0</v>
      </c>
      <c r="F1533" s="9" t="s">
        <v>144</v>
      </c>
      <c r="G1533" s="18" t="str">
        <f>IF($F1533="","",IFERROR(INDEX(Items!$B$5:$B$597,MATCH($F1533,Items!$A$5:$A$597,0)),"⚠ not in Items"))</f>
        <v>IPAC</v>
      </c>
      <c r="H1533" s="19" t="str">
        <f>IF($F1533="","",IFERROR(INDEX(Items!$C$5:$C$597,MATCH($F1533,Items!$A$5:$A$597,0)),""))</f>
        <v>One Size</v>
      </c>
      <c r="I1533" s="23">
        <f>IF($F1533="","",IFERROR(INDEX(Items!$E$5:$E$597,MATCH($F1533,Items!$A$5:$A$597,0)),""))</f>
        <v>4</v>
      </c>
      <c r="J1533" s="115">
        <f>IF(tblIssues[[#This Row],[Qty Override]]&lt;&gt;"",tblIssues[[#This Row],[Qty Override]],IF(tblIssues[[#This Row],[Standard Issue]]="","",tblIssues[[#This Row],[Standard Issue]]))</f>
        <v>4</v>
      </c>
      <c r="K1533" s="20">
        <f>IF($F1533="","",IFERROR(INDEX(Items!$D$5:$D$597,MATCH($F1533,Items!$A$5:$A$597,0)),""))</f>
        <v>145.97999999999999</v>
      </c>
      <c r="L1533" s="21">
        <f t="shared" si="261"/>
        <v>583.91999999999996</v>
      </c>
      <c r="M1533" s="9" t="str">
        <f t="shared" si="259"/>
        <v/>
      </c>
      <c r="N1533" s="24">
        <f>IF($A1533="","",WORKDAY($A1533,Settings!$C$9,HolidayDates))</f>
        <v>46217</v>
      </c>
      <c r="O1533" s="24">
        <f>IF($N1533="","",WORKDAY($N1533,Settings!$C$10,HolidayDates))</f>
        <v>46255</v>
      </c>
      <c r="P1533" s="10" t="s">
        <v>501</v>
      </c>
      <c r="Q1533" s="52" t="str">
        <f t="shared" si="262"/>
        <v>Collected</v>
      </c>
      <c r="R1533" s="55" t="str">
        <f t="shared" si="263"/>
        <v>2026-07</v>
      </c>
      <c r="S1533" s="55">
        <f>IF(OR($B1533="",$F1533="",$R1533=""),"",SUMIFS(tblIssues[Qty Issued],tblIssues[Staff ID],$B1533,tblIssues[Item Name],$F1533,tblIssues[Month],$R1533))</f>
        <v>4</v>
      </c>
      <c r="T1533" s="56">
        <f>IF($I1533="","",$I1533*Settings!$C$11)</f>
        <v>4</v>
      </c>
      <c r="U1533" s="57" t="str">
        <f t="shared" si="260"/>
        <v>OK</v>
      </c>
      <c r="V1533" s="55" t="str">
        <f t="shared" si="264"/>
        <v/>
      </c>
      <c r="W1533" s="55" t="str">
        <f>IF($V1533="","",IF(COUNTIF($V$5:$V1533,$V1533)=1,1,""))</f>
        <v/>
      </c>
      <c r="X1533" s="58" t="str">
        <f>IF($W1533="","",MAX($X$4:X1532)+1)</f>
        <v/>
      </c>
      <c r="Y1533" s="62"/>
      <c r="Z1533" s="62"/>
      <c r="AA1533" s="64" t="str">
        <f>IF($C1533="","",IFERROR(INDEX('Staff Directory'!$E$5:$E$594,MATCH($C1533,'Staff Directory'!$B$5:$B$594,0)),""))</f>
        <v>firstname250.lastname250@example.com</v>
      </c>
      <c r="AB1533" s="64" t="str">
        <f>IF($C1533="","",IF(ISNUMBER(SEARCH($D1533,Settings!$C$15)),"Pickup","Dispatch"))</f>
        <v>Pickup</v>
      </c>
      <c r="AC1533" s="64" t="str">
        <f t="shared" si="265"/>
        <v>Supply order ready for pickup</v>
      </c>
      <c r="AD1533" s="64" t="str">
        <f t="shared" si="256"/>
        <v>Dear PSW,
Your order is ready for pickup from Sample Branch, Wed-Fri 9am-4pm.</v>
      </c>
      <c r="AE1533" s="64" t="str">
        <f t="shared" si="257"/>
        <v>mailto:firstname250.lastname250@example.com?subject=Supply%20order%20ready%20for%20pickup&amp;body=Dear%20PSW%2C%0A%0AYour%20order%20is%20ready%20for%20pickup%20from%20Sample%20Branch%2C%20Wed-Fri%209am-4pm.</v>
      </c>
      <c r="AF1533" s="89" t="str">
        <f t="shared" si="266"/>
        <v>Draft email</v>
      </c>
      <c r="AG1533" s="64" t="str">
        <f>IF($C1533="","",IFERROR(INDEX('Staff Directory'!$K$595:$K$599,MATCH($C1533,'Staff Directory'!$B$5:$B$599,0)),$D1533))</f>
        <v>PSW</v>
      </c>
      <c r="AH1533" t="str">
        <f>IF($C1533="","",IFERROR(INDEX('Staff Directory'!$I$595:$I$599,MATCH($C1533,'Staff Directory'!$B$5:$B$599,0))&amp;" "&amp;INDEX('Staff Directory'!$J$595:$J$599,MATCH($C1533,'Staff Directory'!$B$5:$B$599,0)),$AG1533))</f>
        <v>PSW</v>
      </c>
      <c r="AI1533" s="102"/>
      <c r="AJ1533" s="101">
        <f>IF($F1533="","",SUMIFS($J$5:$J1533,$F$5:$F1533,$F1533))</f>
        <v>64</v>
      </c>
      <c r="AK1533" s="101">
        <f t="shared" si="258"/>
        <v>61</v>
      </c>
      <c r="AL1533" s="66" t="str" cm="1">
        <f t="array" ref="AL1533">IF($F1533="","",IFERROR(INDEX('Lot Balance'!$B$5:$B$500,MATCH(1,INDEX(('Lot Balance'!$A$5:$A$500=$F1533)*('Lot Balance'!$K$5:$K$500&lt;$AK1533)*('Lot Balance'!$K$5:$K$500+'Lot Balance'!$D$5:$D$500&gt;=$AK1533),0),0)),""))</f>
        <v/>
      </c>
      <c r="AM1533" s="66" t="str" cm="1">
        <f t="array" ref="AM1533">IF($F1533="","",IFERROR(INDEX('Lot Balance'!$B$5:$B$500,MATCH(1,INDEX(('Lot Balance'!$A$5:$A$500=$F1533)*('Lot Balance'!$K$5:$K$500&lt;$AJ1533)*('Lot Balance'!$K$5:$K$500+'Lot Balance'!$D$5:$D$500&gt;=$AJ1533),0),0)),""))</f>
        <v/>
      </c>
      <c r="AN1533" s="66" t="str">
        <f>IF($F1533="","",IF($AI1533&lt;&gt;"",IF(COUNTIFS('Lot Balance'!$A$5:$A$500,$F1533,'Lot Balance'!$B$5:$B$500,$AI1533)=0,"⚠ override is not a lot of this item",IF($AI1533=$AL1533,"Override = FEFO","Override - FEFO says "&amp;$AL1533)),IF($AL1533="","⚠ no receipt on file for this item",IF($AM1533&lt;&gt;$AL1533,"FEFO auto - split, also "&amp;$AM1533,"FEFO auto"))))</f>
        <v>⚠ no receipt on file for this item</v>
      </c>
      <c r="AO1533" s="114"/>
    </row>
    <row r="1534" spans="1:41" x14ac:dyDescent="0.35">
      <c r="A1534" s="74">
        <v>46209</v>
      </c>
      <c r="B1534" s="18" t="str">
        <f>IF($C1534="","",IFERROR(INDEX('Staff Directory'!$A$5:$A$594,MATCH($C1534,'Staff Directory'!$B$5:$B$594,0)),"⚠ unknown staff"))</f>
        <v>PSW-187-TBD</v>
      </c>
      <c r="C1534" s="49" t="s">
        <v>1166</v>
      </c>
      <c r="D1534" s="19" t="str">
        <f>IF($B1534="","",IFERROR(INDEX('Staff Directory'!$C$5:$C$594,MATCH($B1534,'Staff Directory'!$A$5:$A$594,0)),""))</f>
        <v>PSW</v>
      </c>
      <c r="E1534" s="19">
        <f>IF($B1534="","",IFERROR(INDEX('Staff Directory'!$D$5:$D$594,MATCH($B1534,'Staff Directory'!$A$5:$A$594,0)),""))</f>
        <v>0</v>
      </c>
      <c r="F1534" s="9" t="s">
        <v>154</v>
      </c>
      <c r="G1534" s="18" t="str">
        <f>IF($F1534="","",IFERROR(INDEX(Items!$B$5:$B$597,MATCH($F1534,Items!$A$5:$A$597,0)),"⚠ not in Items"))</f>
        <v>IPAC</v>
      </c>
      <c r="H1534" s="19" t="str">
        <f>IF($F1534="","",IFERROR(INDEX(Items!$C$5:$C$597,MATCH($F1534,Items!$A$5:$A$597,0)),""))</f>
        <v>Regular</v>
      </c>
      <c r="I1534" s="23">
        <f>IF($F1534="","",IFERROR(INDEX(Items!$E$5:$E$597,MATCH($F1534,Items!$A$5:$A$597,0)),""))</f>
        <v>50</v>
      </c>
      <c r="J1534" s="115">
        <f>IF(tblIssues[[#This Row],[Qty Override]]&lt;&gt;"",tblIssues[[#This Row],[Qty Override]],IF(tblIssues[[#This Row],[Standard Issue]]="","",tblIssues[[#This Row],[Standard Issue]]))</f>
        <v>50</v>
      </c>
      <c r="K1534" s="20">
        <f>IF($F1534="","",IFERROR(INDEX(Items!$D$5:$D$597,MATCH($F1534,Items!$A$5:$A$597,0)),""))</f>
        <v>0.2</v>
      </c>
      <c r="L1534" s="21">
        <f t="shared" si="261"/>
        <v>10</v>
      </c>
      <c r="M1534" s="9" t="str">
        <f t="shared" si="259"/>
        <v/>
      </c>
      <c r="N1534" s="24">
        <f>IF($A1534="","",WORKDAY($A1534,Settings!$C$9,HolidayDates))</f>
        <v>46217</v>
      </c>
      <c r="O1534" s="24">
        <f>IF($N1534="","",WORKDAY($N1534,Settings!$C$10,HolidayDates))</f>
        <v>46255</v>
      </c>
      <c r="P1534" s="10" t="s">
        <v>501</v>
      </c>
      <c r="Q1534" s="52" t="str">
        <f t="shared" si="262"/>
        <v>Collected</v>
      </c>
      <c r="R1534" s="55" t="str">
        <f t="shared" si="263"/>
        <v>2026-07</v>
      </c>
      <c r="S1534" s="55">
        <f>IF(OR($B1534="",$F1534="",$R1534=""),"",SUMIFS(tblIssues[Qty Issued],tblIssues[Staff ID],$B1534,tblIssues[Item Name],$F1534,tblIssues[Month],$R1534))</f>
        <v>50</v>
      </c>
      <c r="T1534" s="56">
        <f>IF($I1534="","",$I1534*Settings!$C$11)</f>
        <v>50</v>
      </c>
      <c r="U1534" s="57" t="str">
        <f t="shared" si="260"/>
        <v>OK</v>
      </c>
      <c r="V1534" s="55" t="str">
        <f t="shared" si="264"/>
        <v/>
      </c>
      <c r="W1534" s="55" t="str">
        <f>IF($V1534="","",IF(COUNTIF($V$5:$V1534,$V1534)=1,1,""))</f>
        <v/>
      </c>
      <c r="X1534" s="58" t="str">
        <f>IF($W1534="","",MAX($X$4:X1533)+1)</f>
        <v/>
      </c>
      <c r="Y1534" s="62"/>
      <c r="Z1534" s="62"/>
      <c r="AA1534" s="64" t="str">
        <f>IF($C1534="","",IFERROR(INDEX('Staff Directory'!$E$5:$E$594,MATCH($C1534,'Staff Directory'!$B$5:$B$594,0)),""))</f>
        <v>firstname250.lastname250@example.com</v>
      </c>
      <c r="AB1534" s="64" t="str">
        <f>IF($C1534="","",IF(ISNUMBER(SEARCH($D1534,Settings!$C$15)),"Pickup","Dispatch"))</f>
        <v>Pickup</v>
      </c>
      <c r="AC1534" s="64" t="str">
        <f t="shared" si="265"/>
        <v>Supply order ready for pickup</v>
      </c>
      <c r="AD1534" s="64" t="str">
        <f t="shared" si="256"/>
        <v>Dear PSW,
Your order is ready for pickup from Sample Branch, Wed-Fri 9am-4pm.</v>
      </c>
      <c r="AE1534" s="64" t="str">
        <f t="shared" si="257"/>
        <v>mailto:firstname250.lastname250@example.com?subject=Supply%20order%20ready%20for%20pickup&amp;body=Dear%20PSW%2C%0A%0AYour%20order%20is%20ready%20for%20pickup%20from%20Sample%20Branch%2C%20Wed-Fri%209am-4pm.</v>
      </c>
      <c r="AF1534" s="89" t="str">
        <f t="shared" si="266"/>
        <v>Draft email</v>
      </c>
      <c r="AG1534" s="64" t="str">
        <f>IF($C1534="","",IFERROR(INDEX('Staff Directory'!$K$595:$K$599,MATCH($C1534,'Staff Directory'!$B$5:$B$599,0)),$D1534))</f>
        <v>PSW</v>
      </c>
      <c r="AH1534" t="str">
        <f>IF($C1534="","",IFERROR(INDEX('Staff Directory'!$I$595:$I$599,MATCH($C1534,'Staff Directory'!$B$5:$B$599,0))&amp;" "&amp;INDEX('Staff Directory'!$J$595:$J$599,MATCH($C1534,'Staff Directory'!$B$5:$B$599,0)),$AG1534))</f>
        <v>PSW</v>
      </c>
      <c r="AI1534" s="102"/>
      <c r="AJ1534" s="101">
        <f>IF($F1534="","",SUMIFS($J$5:$J1534,$F$5:$F1534,$F1534))</f>
        <v>1400</v>
      </c>
      <c r="AK1534" s="101">
        <f t="shared" si="258"/>
        <v>1351</v>
      </c>
      <c r="AL1534" s="66" t="str" cm="1">
        <f t="array" ref="AL1534">IF($F1534="","",IFERROR(INDEX('Lot Balance'!$B$5:$B$500,MATCH(1,INDEX(('Lot Balance'!$A$5:$A$500=$F1534)*('Lot Balance'!$K$5:$K$500&lt;$AK1534)*('Lot Balance'!$K$5:$K$500+'Lot Balance'!$D$5:$D$500&gt;=$AK1534),0),0)),""))</f>
        <v/>
      </c>
      <c r="AM1534" s="66" t="str" cm="1">
        <f t="array" ref="AM1534">IF($F1534="","",IFERROR(INDEX('Lot Balance'!$B$5:$B$500,MATCH(1,INDEX(('Lot Balance'!$A$5:$A$500=$F1534)*('Lot Balance'!$K$5:$K$500&lt;$AJ1534)*('Lot Balance'!$K$5:$K$500+'Lot Balance'!$D$5:$D$500&gt;=$AJ1534),0),0)),""))</f>
        <v/>
      </c>
      <c r="AN1534" s="66" t="str">
        <f>IF($F1534="","",IF($AI1534&lt;&gt;"",IF(COUNTIFS('Lot Balance'!$A$5:$A$500,$F1534,'Lot Balance'!$B$5:$B$500,$AI1534)=0,"⚠ override is not a lot of this item",IF($AI1534=$AL1534,"Override = FEFO","Override - FEFO says "&amp;$AL1534)),IF($AL1534="","⚠ no receipt on file for this item",IF($AM1534&lt;&gt;$AL1534,"FEFO auto - split, also "&amp;$AM1534,"FEFO auto"))))</f>
        <v>⚠ no receipt on file for this item</v>
      </c>
      <c r="AO1534" s="114"/>
    </row>
    <row r="1535" spans="1:41" x14ac:dyDescent="0.35">
      <c r="A1535" s="74">
        <v>46209</v>
      </c>
      <c r="B1535" s="18" t="str">
        <f>IF($C1535="","",IFERROR(INDEX('Staff Directory'!$A$5:$A$594,MATCH($C1535,'Staff Directory'!$B$5:$B$594,0)),"⚠ unknown staff"))</f>
        <v>PSW-187-TBD</v>
      </c>
      <c r="C1535" s="49" t="s">
        <v>1166</v>
      </c>
      <c r="D1535" s="19" t="str">
        <f>IF($B1535="","",IFERROR(INDEX('Staff Directory'!$C$5:$C$594,MATCH($B1535,'Staff Directory'!$A$5:$A$594,0)),""))</f>
        <v>PSW</v>
      </c>
      <c r="E1535" s="19">
        <f>IF($B1535="","",IFERROR(INDEX('Staff Directory'!$D$5:$D$594,MATCH($B1535,'Staff Directory'!$A$5:$A$594,0)),""))</f>
        <v>0</v>
      </c>
      <c r="F1535" s="9" t="s">
        <v>136</v>
      </c>
      <c r="G1535" s="18" t="str">
        <f>IF($F1535="","",IFERROR(INDEX(Items!$B$5:$B$597,MATCH($F1535,Items!$A$5:$A$597,0)),"⚠ not in Items"))</f>
        <v>Eye Protection</v>
      </c>
      <c r="H1535" s="19" t="str">
        <f>IF($F1535="","",IFERROR(INDEX(Items!$C$5:$C$597,MATCH($F1535,Items!$A$5:$A$597,0)),""))</f>
        <v>One Size</v>
      </c>
      <c r="I1535" s="23">
        <f>IF($F1535="","",IFERROR(INDEX(Items!$E$5:$E$597,MATCH($F1535,Items!$A$5:$A$597,0)),""))</f>
        <v>1</v>
      </c>
      <c r="J1535" s="115">
        <f>IF(tblIssues[[#This Row],[Qty Override]]&lt;&gt;"",tblIssues[[#This Row],[Qty Override]],IF(tblIssues[[#This Row],[Standard Issue]]="","",tblIssues[[#This Row],[Standard Issue]]))</f>
        <v>1</v>
      </c>
      <c r="K1535" s="20">
        <f>IF($F1535="","",IFERROR(INDEX(Items!$D$5:$D$597,MATCH($F1535,Items!$A$5:$A$597,0)),""))</f>
        <v>10</v>
      </c>
      <c r="L1535" s="21">
        <f t="shared" si="261"/>
        <v>10</v>
      </c>
      <c r="M1535" s="9" t="str">
        <f t="shared" si="259"/>
        <v>GGL5003700</v>
      </c>
      <c r="N1535" s="24">
        <f>IF($A1535="","",WORKDAY($A1535,Settings!$C$9,HolidayDates))</f>
        <v>46217</v>
      </c>
      <c r="O1535" s="24">
        <f>IF($N1535="","",WORKDAY($N1535,Settings!$C$10,HolidayDates))</f>
        <v>46255</v>
      </c>
      <c r="P1535" s="10" t="s">
        <v>501</v>
      </c>
      <c r="Q1535" s="52" t="str">
        <f t="shared" si="262"/>
        <v>Collected</v>
      </c>
      <c r="R1535" s="55" t="str">
        <f t="shared" si="263"/>
        <v>2026-07</v>
      </c>
      <c r="S1535" s="55">
        <f>IF(OR($B1535="",$F1535="",$R1535=""),"",SUMIFS(tblIssues[Qty Issued],tblIssues[Staff ID],$B1535,tblIssues[Item Name],$F1535,tblIssues[Month],$R1535))</f>
        <v>1</v>
      </c>
      <c r="T1535" s="56">
        <f>IF($I1535="","",$I1535*Settings!$C$11)</f>
        <v>1</v>
      </c>
      <c r="U1535" s="57" t="str">
        <f t="shared" si="260"/>
        <v>OK</v>
      </c>
      <c r="V1535" s="55" t="str">
        <f t="shared" si="264"/>
        <v/>
      </c>
      <c r="W1535" s="55" t="str">
        <f>IF($V1535="","",IF(COUNTIF($V$5:$V1535,$V1535)=1,1,""))</f>
        <v/>
      </c>
      <c r="X1535" s="58" t="str">
        <f>IF($W1535="","",MAX($X$4:X1534)+1)</f>
        <v/>
      </c>
      <c r="Y1535" s="62"/>
      <c r="Z1535" s="62"/>
      <c r="AA1535" s="64" t="str">
        <f>IF($C1535="","",IFERROR(INDEX('Staff Directory'!$E$5:$E$594,MATCH($C1535,'Staff Directory'!$B$5:$B$594,0)),""))</f>
        <v>firstname250.lastname250@example.com</v>
      </c>
      <c r="AB1535" s="64" t="str">
        <f>IF($C1535="","",IF(ISNUMBER(SEARCH($D1535,Settings!$C$15)),"Pickup","Dispatch"))</f>
        <v>Pickup</v>
      </c>
      <c r="AC1535" s="64" t="str">
        <f t="shared" si="265"/>
        <v>Supply order ready for pickup</v>
      </c>
      <c r="AD1535" s="64" t="str">
        <f t="shared" si="256"/>
        <v>Dear PSW,
Your order is ready for pickup from Sample Branch, Wed-Fri 9am-4pm.</v>
      </c>
      <c r="AE1535" s="64" t="str">
        <f t="shared" si="257"/>
        <v>mailto:firstname250.lastname250@example.com?subject=Supply%20order%20ready%20for%20pickup&amp;body=Dear%20PSW%2C%0A%0AYour%20order%20is%20ready%20for%20pickup%20from%20Sample%20Branch%2C%20Wed-Fri%209am-4pm.</v>
      </c>
      <c r="AF1535" s="89" t="str">
        <f t="shared" si="266"/>
        <v>Draft email</v>
      </c>
      <c r="AG1535" s="64" t="str">
        <f>IF($C1535="","",IFERROR(INDEX('Staff Directory'!$K$595:$K$599,MATCH($C1535,'Staff Directory'!$B$5:$B$599,0)),$D1535))</f>
        <v>PSW</v>
      </c>
      <c r="AH1535" t="str">
        <f>IF($C1535="","",IFERROR(INDEX('Staff Directory'!$I$595:$I$599,MATCH($C1535,'Staff Directory'!$B$5:$B$599,0))&amp;" "&amp;INDEX('Staff Directory'!$J$595:$J$599,MATCH($C1535,'Staff Directory'!$B$5:$B$599,0)),$AG1535))</f>
        <v>PSW</v>
      </c>
      <c r="AI1535" s="102"/>
      <c r="AJ1535" s="101">
        <f>IF($F1535="","",SUMIFS($J$5:$J1535,$F$5:$F1535,$F1535))</f>
        <v>12</v>
      </c>
      <c r="AK1535" s="101">
        <f t="shared" si="258"/>
        <v>12</v>
      </c>
      <c r="AL1535" s="66" t="str" cm="1">
        <f t="array" ref="AL1535">IF($F1535="","",IFERROR(INDEX('Lot Balance'!$B$5:$B$500,MATCH(1,INDEX(('Lot Balance'!$A$5:$A$500=$F1535)*('Lot Balance'!$K$5:$K$500&lt;$AK1535)*('Lot Balance'!$K$5:$K$500+'Lot Balance'!$D$5:$D$500&gt;=$AK1535),0),0)),""))</f>
        <v>GGL5003700</v>
      </c>
      <c r="AM1535" s="66" t="str" cm="1">
        <f t="array" ref="AM1535">IF($F1535="","",IFERROR(INDEX('Lot Balance'!$B$5:$B$500,MATCH(1,INDEX(('Lot Balance'!$A$5:$A$500=$F1535)*('Lot Balance'!$K$5:$K$500&lt;$AJ1535)*('Lot Balance'!$K$5:$K$500+'Lot Balance'!$D$5:$D$500&gt;=$AJ1535),0),0)),""))</f>
        <v>GGL5003700</v>
      </c>
      <c r="AN1535" s="66" t="str">
        <f>IF($F1535="","",IF($AI1535&lt;&gt;"",IF(COUNTIFS('Lot Balance'!$A$5:$A$500,$F1535,'Lot Balance'!$B$5:$B$500,$AI1535)=0,"⚠ override is not a lot of this item",IF($AI1535=$AL1535,"Override = FEFO","Override - FEFO says "&amp;$AL1535)),IF($AL1535="","⚠ no receipt on file for this item",IF($AM1535&lt;&gt;$AL1535,"FEFO auto - split, also "&amp;$AM1535,"FEFO auto"))))</f>
        <v>FEFO auto</v>
      </c>
      <c r="AO1535" s="114"/>
    </row>
    <row r="1536" spans="1:41" x14ac:dyDescent="0.35">
      <c r="A1536" s="74">
        <v>46209</v>
      </c>
      <c r="B1536" s="18" t="str">
        <f>IF($C1536="","",IFERROR(INDEX('Staff Directory'!$A$5:$A$594,MATCH($C1536,'Staff Directory'!$B$5:$B$594,0)),"⚠ unknown staff"))</f>
        <v>PSW-187-TBD</v>
      </c>
      <c r="C1536" s="49" t="s">
        <v>1166</v>
      </c>
      <c r="D1536" s="19" t="str">
        <f>IF($B1536="","",IFERROR(INDEX('Staff Directory'!$C$5:$C$594,MATCH($B1536,'Staff Directory'!$A$5:$A$594,0)),""))</f>
        <v>PSW</v>
      </c>
      <c r="E1536" s="19">
        <f>IF($B1536="","",IFERROR(INDEX('Staff Directory'!$D$5:$D$594,MATCH($B1536,'Staff Directory'!$A$5:$A$594,0)),""))</f>
        <v>0</v>
      </c>
      <c r="F1536" s="9" t="s">
        <v>122</v>
      </c>
      <c r="G1536" s="18" t="str">
        <f>IF($F1536="","",IFERROR(INDEX(Items!$B$5:$B$597,MATCH($F1536,Items!$A$5:$A$597,0)),"⚠ not in Items"))</f>
        <v>Eye Protection</v>
      </c>
      <c r="H1536" s="19" t="str">
        <f>IF($F1536="","",IFERROR(INDEX(Items!$C$5:$C$597,MATCH($F1536,Items!$A$5:$A$597,0)),""))</f>
        <v>One Size</v>
      </c>
      <c r="I1536" s="23">
        <f>IF($F1536="","",IFERROR(INDEX(Items!$E$5:$E$597,MATCH($F1536,Items!$A$5:$A$597,0)),""))</f>
        <v>1</v>
      </c>
      <c r="J1536" s="115">
        <f>IF(tblIssues[[#This Row],[Qty Override]]&lt;&gt;"",tblIssues[[#This Row],[Qty Override]],IF(tblIssues[[#This Row],[Standard Issue]]="","",tblIssues[[#This Row],[Standard Issue]]))</f>
        <v>1</v>
      </c>
      <c r="K1536" s="20">
        <f>IF($F1536="","",IFERROR(INDEX(Items!$D$5:$D$597,MATCH($F1536,Items!$A$5:$A$597,0)),""))</f>
        <v>7</v>
      </c>
      <c r="L1536" s="21">
        <f t="shared" si="261"/>
        <v>7</v>
      </c>
      <c r="M1536" s="9" t="str">
        <f t="shared" si="259"/>
        <v/>
      </c>
      <c r="N1536" s="24">
        <f>IF($A1536="","",WORKDAY($A1536,Settings!$C$9,HolidayDates))</f>
        <v>46217</v>
      </c>
      <c r="O1536" s="24">
        <f>IF($N1536="","",WORKDAY($N1536,Settings!$C$10,HolidayDates))</f>
        <v>46255</v>
      </c>
      <c r="P1536" s="10" t="s">
        <v>501</v>
      </c>
      <c r="Q1536" s="52" t="str">
        <f t="shared" si="262"/>
        <v>Collected</v>
      </c>
      <c r="R1536" s="55" t="str">
        <f t="shared" si="263"/>
        <v>2026-07</v>
      </c>
      <c r="S1536" s="55">
        <f>IF(OR($B1536="",$F1536="",$R1536=""),"",SUMIFS(tblIssues[Qty Issued],tblIssues[Staff ID],$B1536,tblIssues[Item Name],$F1536,tblIssues[Month],$R1536))</f>
        <v>1</v>
      </c>
      <c r="T1536" s="56">
        <f>IF($I1536="","",$I1536*Settings!$C$11)</f>
        <v>1</v>
      </c>
      <c r="U1536" s="57" t="str">
        <f t="shared" si="260"/>
        <v>OK</v>
      </c>
      <c r="V1536" s="55" t="str">
        <f t="shared" si="264"/>
        <v/>
      </c>
      <c r="W1536" s="55" t="str">
        <f>IF($V1536="","",IF(COUNTIF($V$5:$V1536,$V1536)=1,1,""))</f>
        <v/>
      </c>
      <c r="X1536" s="58" t="str">
        <f>IF($W1536="","",MAX($X$4:X1535)+1)</f>
        <v/>
      </c>
      <c r="Y1536" s="62"/>
      <c r="Z1536" s="62"/>
      <c r="AA1536" s="64" t="str">
        <f>IF($C1536="","",IFERROR(INDEX('Staff Directory'!$E$5:$E$594,MATCH($C1536,'Staff Directory'!$B$5:$B$594,0)),""))</f>
        <v>firstname250.lastname250@example.com</v>
      </c>
      <c r="AB1536" s="64" t="str">
        <f>IF($C1536="","",IF(ISNUMBER(SEARCH($D1536,Settings!$C$15)),"Pickup","Dispatch"))</f>
        <v>Pickup</v>
      </c>
      <c r="AC1536" s="64" t="str">
        <f t="shared" si="265"/>
        <v>Supply order ready for pickup</v>
      </c>
      <c r="AD1536" s="64" t="str">
        <f t="shared" si="256"/>
        <v>Dear PSW,
Your order is ready for pickup from Sample Branch, Wed-Fri 9am-4pm.</v>
      </c>
      <c r="AE1536" s="64" t="str">
        <f t="shared" si="257"/>
        <v>mailto:firstname250.lastname250@example.com?subject=Supply%20order%20ready%20for%20pickup&amp;body=Dear%20PSW%2C%0A%0AYour%20order%20is%20ready%20for%20pickup%20from%20Sample%20Branch%2C%20Wed-Fri%209am-4pm.</v>
      </c>
      <c r="AF1536" s="89" t="str">
        <f t="shared" si="266"/>
        <v>Draft email</v>
      </c>
      <c r="AG1536" s="64" t="str">
        <f>IF($C1536="","",IFERROR(INDEX('Staff Directory'!$K$595:$K$599,MATCH($C1536,'Staff Directory'!$B$5:$B$599,0)),$D1536))</f>
        <v>PSW</v>
      </c>
      <c r="AH1536" t="str">
        <f>IF($C1536="","",IFERROR(INDEX('Staff Directory'!$I$595:$I$599,MATCH($C1536,'Staff Directory'!$B$5:$B$599,0))&amp;" "&amp;INDEX('Staff Directory'!$J$595:$J$599,MATCH($C1536,'Staff Directory'!$B$5:$B$599,0)),$AG1536))</f>
        <v>PSW</v>
      </c>
      <c r="AI1536" s="102"/>
      <c r="AJ1536" s="101">
        <f>IF($F1536="","",SUMIFS($J$5:$J1536,$F$5:$F1536,$F1536))</f>
        <v>13</v>
      </c>
      <c r="AK1536" s="101">
        <f t="shared" si="258"/>
        <v>13</v>
      </c>
      <c r="AL1536" s="66" t="str" cm="1">
        <f t="array" ref="AL1536">IF($F1536="","",IFERROR(INDEX('Lot Balance'!$B$5:$B$500,MATCH(1,INDEX(('Lot Balance'!$A$5:$A$500=$F1536)*('Lot Balance'!$K$5:$K$500&lt;$AK1536)*('Lot Balance'!$K$5:$K$500+'Lot Balance'!$D$5:$D$500&gt;=$AK1536),0),0)),""))</f>
        <v/>
      </c>
      <c r="AM1536" s="66" t="str" cm="1">
        <f t="array" ref="AM1536">IF($F1536="","",IFERROR(INDEX('Lot Balance'!$B$5:$B$500,MATCH(1,INDEX(('Lot Balance'!$A$5:$A$500=$F1536)*('Lot Balance'!$K$5:$K$500&lt;$AJ1536)*('Lot Balance'!$K$5:$K$500+'Lot Balance'!$D$5:$D$500&gt;=$AJ1536),0),0)),""))</f>
        <v/>
      </c>
      <c r="AN1536" s="66" t="str">
        <f>IF($F1536="","",IF($AI1536&lt;&gt;"",IF(COUNTIFS('Lot Balance'!$A$5:$A$500,$F1536,'Lot Balance'!$B$5:$B$500,$AI1536)=0,"⚠ override is not a lot of this item",IF($AI1536=$AL1536,"Override = FEFO","Override - FEFO says "&amp;$AL1536)),IF($AL1536="","⚠ no receipt on file for this item",IF($AM1536&lt;&gt;$AL1536,"FEFO auto - split, also "&amp;$AM1536,"FEFO auto"))))</f>
        <v>⚠ no receipt on file for this item</v>
      </c>
      <c r="AO1536" s="114"/>
    </row>
    <row r="1537" spans="1:41" x14ac:dyDescent="0.35">
      <c r="A1537" s="74">
        <v>46209</v>
      </c>
      <c r="B1537" s="18" t="str">
        <f>IF($C1537="","",IFERROR(INDEX('Staff Directory'!$A$5:$A$594,MATCH($C1537,'Staff Directory'!$B$5:$B$594,0)),"⚠ unknown staff"))</f>
        <v>PSW-187-TBD</v>
      </c>
      <c r="C1537" s="49" t="s">
        <v>1166</v>
      </c>
      <c r="D1537" s="19" t="str">
        <f>IF($B1537="","",IFERROR(INDEX('Staff Directory'!$C$5:$C$594,MATCH($B1537,'Staff Directory'!$A$5:$A$594,0)),""))</f>
        <v>PSW</v>
      </c>
      <c r="E1537" s="19">
        <f>IF($B1537="","",IFERROR(INDEX('Staff Directory'!$D$5:$D$594,MATCH($B1537,'Staff Directory'!$A$5:$A$594,0)),""))</f>
        <v>0</v>
      </c>
      <c r="F1537" s="9" t="s">
        <v>150</v>
      </c>
      <c r="G1537" s="18" t="str">
        <f>IF($F1537="","",IFERROR(INDEX(Items!$B$5:$B$597,MATCH($F1537,Items!$A$5:$A$597,0)),"⚠ not in Items"))</f>
        <v>Documents</v>
      </c>
      <c r="H1537" s="19" t="str">
        <f>IF($F1537="","",IFERROR(INDEX(Items!$C$5:$C$597,MATCH($F1537,Items!$A$5:$A$597,0)),""))</f>
        <v>Standard</v>
      </c>
      <c r="I1537" s="23">
        <f>IF($F1537="","",IFERROR(INDEX(Items!$E$5:$E$597,MATCH($F1537,Items!$A$5:$A$597,0)),""))</f>
        <v>1</v>
      </c>
      <c r="J1537" s="115">
        <f>IF(tblIssues[[#This Row],[Qty Override]]&lt;&gt;"",tblIssues[[#This Row],[Qty Override]],IF(tblIssues[[#This Row],[Standard Issue]]="","",tblIssues[[#This Row],[Standard Issue]]))</f>
        <v>1</v>
      </c>
      <c r="K1537" s="20">
        <f>IF($F1537="","",IFERROR(INDEX(Items!$D$5:$D$597,MATCH($F1537,Items!$A$5:$A$597,0)),""))</f>
        <v>0</v>
      </c>
      <c r="L1537" s="21">
        <f t="shared" si="261"/>
        <v>0</v>
      </c>
      <c r="M1537" s="9" t="str">
        <f t="shared" si="259"/>
        <v/>
      </c>
      <c r="N1537" s="24">
        <f>IF($A1537="","",WORKDAY($A1537,Settings!$C$9,HolidayDates))</f>
        <v>46217</v>
      </c>
      <c r="O1537" s="24">
        <f>IF($N1537="","",WORKDAY($N1537,Settings!$C$10,HolidayDates))</f>
        <v>46255</v>
      </c>
      <c r="P1537" s="10" t="s">
        <v>501</v>
      </c>
      <c r="Q1537" s="52" t="str">
        <f t="shared" si="262"/>
        <v>Collected</v>
      </c>
      <c r="R1537" s="55" t="str">
        <f t="shared" si="263"/>
        <v>2026-07</v>
      </c>
      <c r="S1537" s="55">
        <f>IF(OR($B1537="",$F1537="",$R1537=""),"",SUMIFS(tblIssues[Qty Issued],tblIssues[Staff ID],$B1537,tblIssues[Item Name],$F1537,tblIssues[Month],$R1537))</f>
        <v>1</v>
      </c>
      <c r="T1537" s="56">
        <f>IF($I1537="","",$I1537*Settings!$C$11)</f>
        <v>1</v>
      </c>
      <c r="U1537" s="57" t="str">
        <f t="shared" si="260"/>
        <v>OK</v>
      </c>
      <c r="V1537" s="55" t="str">
        <f t="shared" si="264"/>
        <v/>
      </c>
      <c r="W1537" s="55" t="str">
        <f>IF($V1537="","",IF(COUNTIF($V$5:$V1537,$V1537)=1,1,""))</f>
        <v/>
      </c>
      <c r="X1537" s="58" t="str">
        <f>IF($W1537="","",MAX($X$4:X1536)+1)</f>
        <v/>
      </c>
      <c r="Y1537" s="62"/>
      <c r="Z1537" s="62"/>
      <c r="AA1537" s="64" t="str">
        <f>IF($C1537="","",IFERROR(INDEX('Staff Directory'!$E$5:$E$594,MATCH($C1537,'Staff Directory'!$B$5:$B$594,0)),""))</f>
        <v>firstname250.lastname250@example.com</v>
      </c>
      <c r="AB1537" s="64" t="str">
        <f>IF($C1537="","",IF(ISNUMBER(SEARCH($D1537,Settings!$C$15)),"Pickup","Dispatch"))</f>
        <v>Pickup</v>
      </c>
      <c r="AC1537" s="64" t="str">
        <f t="shared" si="265"/>
        <v>Supply order ready for pickup</v>
      </c>
      <c r="AD1537" s="64" t="str">
        <f t="shared" si="256"/>
        <v>Dear PSW,
Your order is ready for pickup from Sample Branch, Wed-Fri 9am-4pm.</v>
      </c>
      <c r="AE1537" s="64" t="str">
        <f t="shared" si="257"/>
        <v>mailto:firstname250.lastname250@example.com?subject=Supply%20order%20ready%20for%20pickup&amp;body=Dear%20PSW%2C%0A%0AYour%20order%20is%20ready%20for%20pickup%20from%20Sample%20Branch%2C%20Wed-Fri%209am-4pm.</v>
      </c>
      <c r="AF1537" s="89" t="str">
        <f t="shared" si="266"/>
        <v>Draft email</v>
      </c>
      <c r="AG1537" s="64" t="str">
        <f>IF($C1537="","",IFERROR(INDEX('Staff Directory'!$K$595:$K$599,MATCH($C1537,'Staff Directory'!$B$5:$B$599,0)),$D1537))</f>
        <v>PSW</v>
      </c>
      <c r="AH1537" t="str">
        <f>IF($C1537="","",IFERROR(INDEX('Staff Directory'!$I$595:$I$599,MATCH($C1537,'Staff Directory'!$B$5:$B$599,0))&amp;" "&amp;INDEX('Staff Directory'!$J$595:$J$599,MATCH($C1537,'Staff Directory'!$B$5:$B$599,0)),$AG1537))</f>
        <v>PSW</v>
      </c>
      <c r="AI1537" s="102"/>
      <c r="AJ1537" s="101">
        <f>IF($F1537="","",SUMIFS($J$5:$J1537,$F$5:$F1537,$F1537))</f>
        <v>13</v>
      </c>
      <c r="AK1537" s="101">
        <f t="shared" si="258"/>
        <v>13</v>
      </c>
      <c r="AL1537" s="66" t="str" cm="1">
        <f t="array" ref="AL1537">IF($F1537="","",IFERROR(INDEX('Lot Balance'!$B$5:$B$500,MATCH(1,INDEX(('Lot Balance'!$A$5:$A$500=$F1537)*('Lot Balance'!$K$5:$K$500&lt;$AK1537)*('Lot Balance'!$K$5:$K$500+'Lot Balance'!$D$5:$D$500&gt;=$AK1537),0),0)),""))</f>
        <v/>
      </c>
      <c r="AM1537" s="66" t="str" cm="1">
        <f t="array" ref="AM1537">IF($F1537="","",IFERROR(INDEX('Lot Balance'!$B$5:$B$500,MATCH(1,INDEX(('Lot Balance'!$A$5:$A$500=$F1537)*('Lot Balance'!$K$5:$K$500&lt;$AJ1537)*('Lot Balance'!$K$5:$K$500+'Lot Balance'!$D$5:$D$500&gt;=$AJ1537),0),0)),""))</f>
        <v/>
      </c>
      <c r="AN1537" s="66" t="str">
        <f>IF($F1537="","",IF($AI1537&lt;&gt;"",IF(COUNTIFS('Lot Balance'!$A$5:$A$500,$F1537,'Lot Balance'!$B$5:$B$500,$AI1537)=0,"⚠ override is not a lot of this item",IF($AI1537=$AL1537,"Override = FEFO","Override - FEFO says "&amp;$AL1537)),IF($AL1537="","⚠ no receipt on file for this item",IF($AM1537&lt;&gt;$AL1537,"FEFO auto - split, also "&amp;$AM1537,"FEFO auto"))))</f>
        <v>⚠ no receipt on file for this item</v>
      </c>
      <c r="AO1537" s="114"/>
    </row>
    <row r="1538" spans="1:41" x14ac:dyDescent="0.35">
      <c r="A1538" s="74">
        <v>46209</v>
      </c>
      <c r="B1538" s="18" t="str">
        <f>IF($C1538="","",IFERROR(INDEX('Staff Directory'!$A$5:$A$594,MATCH($C1538,'Staff Directory'!$B$5:$B$594,0)),"⚠ unknown staff"))</f>
        <v>PSW-187-TBD</v>
      </c>
      <c r="C1538" s="49" t="s">
        <v>1166</v>
      </c>
      <c r="D1538" s="19" t="str">
        <f>IF($B1538="","",IFERROR(INDEX('Staff Directory'!$C$5:$C$594,MATCH($B1538,'Staff Directory'!$A$5:$A$594,0)),""))</f>
        <v>PSW</v>
      </c>
      <c r="E1538" s="19">
        <f>IF($B1538="","",IFERROR(INDEX('Staff Directory'!$D$5:$D$594,MATCH($B1538,'Staff Directory'!$A$5:$A$594,0)),""))</f>
        <v>0</v>
      </c>
      <c r="F1538" s="9" t="s">
        <v>755</v>
      </c>
      <c r="G1538" s="18" t="str">
        <f>IF($F1538="","",IFERROR(INDEX(Items!$B$5:$B$597,MATCH($F1538,Items!$A$5:$A$597,0)),"⚠ not in Items"))</f>
        <v>Documents</v>
      </c>
      <c r="H1538" s="19" t="str">
        <f>IF($F1538="","",IFERROR(INDEX(Items!$C$5:$C$597,MATCH($F1538,Items!$A$5:$A$597,0)),""))</f>
        <v>Standard</v>
      </c>
      <c r="I1538" s="23">
        <f>IF($F1538="","",IFERROR(INDEX(Items!$E$5:$E$597,MATCH($F1538,Items!$A$5:$A$597,0)),""))</f>
        <v>2</v>
      </c>
      <c r="J1538" s="115">
        <f>IF(tblIssues[[#This Row],[Qty Override]]&lt;&gt;"",tblIssues[[#This Row],[Qty Override]],IF(tblIssues[[#This Row],[Standard Issue]]="","",tblIssues[[#This Row],[Standard Issue]]))</f>
        <v>2</v>
      </c>
      <c r="K1538" s="20">
        <f>IF($F1538="","",IFERROR(INDEX(Items!$D$5:$D$597,MATCH($F1538,Items!$A$5:$A$597,0)),""))</f>
        <v>0</v>
      </c>
      <c r="L1538" s="21">
        <f t="shared" si="261"/>
        <v>0</v>
      </c>
      <c r="M1538" s="9" t="str">
        <f t="shared" si="259"/>
        <v/>
      </c>
      <c r="N1538" s="24">
        <f>IF($A1538="","",WORKDAY($A1538,Settings!$C$9,HolidayDates))</f>
        <v>46217</v>
      </c>
      <c r="O1538" s="24">
        <f>IF($N1538="","",WORKDAY($N1538,Settings!$C$10,HolidayDates))</f>
        <v>46255</v>
      </c>
      <c r="P1538" s="10" t="s">
        <v>501</v>
      </c>
      <c r="Q1538" s="52" t="str">
        <f t="shared" si="262"/>
        <v>Collected</v>
      </c>
      <c r="R1538" s="55" t="str">
        <f t="shared" si="263"/>
        <v>2026-07</v>
      </c>
      <c r="S1538" s="55">
        <f>IF(OR($B1538="",$F1538="",$R1538=""),"",SUMIFS(tblIssues[Qty Issued],tblIssues[Staff ID],$B1538,tblIssues[Item Name],$F1538,tblIssues[Month],$R1538))</f>
        <v>2</v>
      </c>
      <c r="T1538" s="56">
        <f>IF($I1538="","",$I1538*Settings!$C$11)</f>
        <v>2</v>
      </c>
      <c r="U1538" s="57" t="str">
        <f t="shared" si="260"/>
        <v>OK</v>
      </c>
      <c r="V1538" s="55" t="str">
        <f t="shared" si="264"/>
        <v/>
      </c>
      <c r="W1538" s="55" t="str">
        <f>IF($V1538="","",IF(COUNTIF($V$5:$V1538,$V1538)=1,1,""))</f>
        <v/>
      </c>
      <c r="X1538" s="58" t="str">
        <f>IF($W1538="","",MAX($X$4:X1537)+1)</f>
        <v/>
      </c>
      <c r="Y1538" s="62"/>
      <c r="Z1538" s="62"/>
      <c r="AA1538" s="64" t="str">
        <f>IF($C1538="","",IFERROR(INDEX('Staff Directory'!$E$5:$E$594,MATCH($C1538,'Staff Directory'!$B$5:$B$594,0)),""))</f>
        <v>firstname250.lastname250@example.com</v>
      </c>
      <c r="AB1538" s="64" t="str">
        <f>IF($C1538="","",IF(ISNUMBER(SEARCH($D1538,Settings!$C$15)),"Pickup","Dispatch"))</f>
        <v>Pickup</v>
      </c>
      <c r="AC1538" s="64" t="str">
        <f t="shared" si="265"/>
        <v>Supply order ready for pickup</v>
      </c>
      <c r="AD1538" s="64" t="str">
        <f t="shared" si="256"/>
        <v>Dear PSW,
Your order is ready for pickup from Sample Branch, Wed-Fri 9am-4pm.</v>
      </c>
      <c r="AE1538" s="64" t="str">
        <f t="shared" si="257"/>
        <v>mailto:firstname250.lastname250@example.com?subject=Supply%20order%20ready%20for%20pickup&amp;body=Dear%20PSW%2C%0A%0AYour%20order%20is%20ready%20for%20pickup%20from%20Sample%20Branch%2C%20Wed-Fri%209am-4pm.</v>
      </c>
      <c r="AF1538" s="89" t="str">
        <f t="shared" si="266"/>
        <v>Draft email</v>
      </c>
      <c r="AG1538" s="64" t="str">
        <f>IF($C1538="","",IFERROR(INDEX('Staff Directory'!$K$595:$K$599,MATCH($C1538,'Staff Directory'!$B$5:$B$599,0)),$D1538))</f>
        <v>PSW</v>
      </c>
      <c r="AH1538" t="str">
        <f>IF($C1538="","",IFERROR(INDEX('Staff Directory'!$I$595:$I$599,MATCH($C1538,'Staff Directory'!$B$5:$B$599,0))&amp;" "&amp;INDEX('Staff Directory'!$J$595:$J$599,MATCH($C1538,'Staff Directory'!$B$5:$B$599,0)),$AG1538))</f>
        <v>PSW</v>
      </c>
      <c r="AI1538" s="102"/>
      <c r="AJ1538" s="101">
        <f>IF($F1538="","",SUMIFS($J$5:$J1538,$F$5:$F1538,$F1538))</f>
        <v>138</v>
      </c>
      <c r="AK1538" s="101">
        <f t="shared" si="258"/>
        <v>137</v>
      </c>
      <c r="AL1538" s="66" t="str" cm="1">
        <f t="array" ref="AL1538">IF($F1538="","",IFERROR(INDEX('Lot Balance'!$B$5:$B$500,MATCH(1,INDEX(('Lot Balance'!$A$5:$A$500=$F1538)*('Lot Balance'!$K$5:$K$500&lt;$AK1538)*('Lot Balance'!$K$5:$K$500+'Lot Balance'!$D$5:$D$500&gt;=$AK1538),0),0)),""))</f>
        <v/>
      </c>
      <c r="AM1538" s="66" t="str" cm="1">
        <f t="array" ref="AM1538">IF($F1538="","",IFERROR(INDEX('Lot Balance'!$B$5:$B$500,MATCH(1,INDEX(('Lot Balance'!$A$5:$A$500=$F1538)*('Lot Balance'!$K$5:$K$500&lt;$AJ1538)*('Lot Balance'!$K$5:$K$500+'Lot Balance'!$D$5:$D$500&gt;=$AJ1538),0),0)),""))</f>
        <v/>
      </c>
      <c r="AN1538" s="66" t="str">
        <f>IF($F1538="","",IF($AI1538&lt;&gt;"",IF(COUNTIFS('Lot Balance'!$A$5:$A$500,$F1538,'Lot Balance'!$B$5:$B$500,$AI1538)=0,"⚠ override is not a lot of this item",IF($AI1538=$AL1538,"Override = FEFO","Override - FEFO says "&amp;$AL1538)),IF($AL1538="","⚠ no receipt on file for this item",IF($AM1538&lt;&gt;$AL1538,"FEFO auto - split, also "&amp;$AM1538,"FEFO auto"))))</f>
        <v>⚠ no receipt on file for this item</v>
      </c>
      <c r="AO1538" s="114"/>
    </row>
    <row r="1539" spans="1:41" x14ac:dyDescent="0.35">
      <c r="A1539" s="74">
        <v>46209</v>
      </c>
      <c r="B1539" s="18" t="str">
        <f>IF($C1539="","",IFERROR(INDEX('Staff Directory'!$A$5:$A$594,MATCH($C1539,'Staff Directory'!$B$5:$B$594,0)),"⚠ unknown staff"))</f>
        <v>PSW-188-TBD</v>
      </c>
      <c r="C1539" s="49" t="s">
        <v>1167</v>
      </c>
      <c r="D1539" s="19" t="str">
        <f>IF($B1539="","",IFERROR(INDEX('Staff Directory'!$C$5:$C$594,MATCH($B1539,'Staff Directory'!$A$5:$A$594,0)),""))</f>
        <v>PSW</v>
      </c>
      <c r="E1539" s="19">
        <f>IF($B1539="","",IFERROR(INDEX('Staff Directory'!$D$5:$D$594,MATCH($B1539,'Staff Directory'!$A$5:$A$594,0)),""))</f>
        <v>0</v>
      </c>
      <c r="F1539" s="9" t="s">
        <v>124</v>
      </c>
      <c r="G1539" s="18" t="str">
        <f>IF($F1539="","",IFERROR(INDEX(Items!$B$5:$B$597,MATCH($F1539,Items!$A$5:$A$597,0)),"⚠ not in Items"))</f>
        <v>Gloves</v>
      </c>
      <c r="H1539" s="19" t="str">
        <f>IF($F1539="","",IFERROR(INDEX(Items!$C$5:$C$597,MATCH($F1539,Items!$A$5:$A$597,0)),""))</f>
        <v>Large</v>
      </c>
      <c r="I1539" s="23">
        <f>IF($F1539="","",IFERROR(INDEX(Items!$E$5:$E$597,MATCH($F1539,Items!$A$5:$A$597,0)),""))</f>
        <v>500</v>
      </c>
      <c r="J1539" s="115">
        <f>IF(tblIssues[[#This Row],[Qty Override]]&lt;&gt;"",tblIssues[[#This Row],[Qty Override]],IF(tblIssues[[#This Row],[Standard Issue]]="","",tblIssues[[#This Row],[Standard Issue]]))</f>
        <v>500</v>
      </c>
      <c r="K1539" s="20">
        <f>IF($F1539="","",IFERROR(INDEX(Items!$D$5:$D$597,MATCH($F1539,Items!$A$5:$A$597,0)),""))</f>
        <v>5.5E-2</v>
      </c>
      <c r="L1539" s="21">
        <f t="shared" si="261"/>
        <v>27.5</v>
      </c>
      <c r="M1539" s="9" t="str">
        <f t="shared" si="259"/>
        <v>ZIM511139904-3</v>
      </c>
      <c r="N1539" s="24">
        <f>IF($A1539="","",WORKDAY($A1539,Settings!$C$9,HolidayDates))</f>
        <v>46217</v>
      </c>
      <c r="O1539" s="24">
        <f>IF($N1539="","",WORKDAY($N1539,Settings!$C$10,HolidayDates))</f>
        <v>46255</v>
      </c>
      <c r="P1539" s="10" t="s">
        <v>501</v>
      </c>
      <c r="Q1539" s="52" t="str">
        <f t="shared" si="262"/>
        <v>Collected</v>
      </c>
      <c r="R1539" s="55" t="str">
        <f t="shared" si="263"/>
        <v>2026-07</v>
      </c>
      <c r="S1539" s="55">
        <f>IF(OR($B1539="",$F1539="",$R1539=""),"",SUMIFS(tblIssues[Qty Issued],tblIssues[Staff ID],$B1539,tblIssues[Item Name],$F1539,tblIssues[Month],$R1539))</f>
        <v>500</v>
      </c>
      <c r="T1539" s="56">
        <f>IF($I1539="","",$I1539*Settings!$C$11)</f>
        <v>500</v>
      </c>
      <c r="U1539" s="57" t="str">
        <f t="shared" si="260"/>
        <v>OK</v>
      </c>
      <c r="V1539" s="55" t="str">
        <f t="shared" si="264"/>
        <v/>
      </c>
      <c r="W1539" s="55" t="str">
        <f>IF($V1539="","",IF(COUNTIF($V$5:$V1539,$V1539)=1,1,""))</f>
        <v/>
      </c>
      <c r="X1539" s="58" t="str">
        <f>IF($W1539="","",MAX($X$4:X1538)+1)</f>
        <v/>
      </c>
      <c r="Y1539" s="62"/>
      <c r="Z1539" s="62"/>
      <c r="AA1539" s="64" t="str">
        <f>IF($C1539="","",IFERROR(INDEX('Staff Directory'!$E$5:$E$594,MATCH($C1539,'Staff Directory'!$B$5:$B$594,0)),""))</f>
        <v>firstname251.lastname251@example.com</v>
      </c>
      <c r="AB1539" s="64" t="str">
        <f>IF($C1539="","",IF(ISNUMBER(SEARCH($D1539,Settings!$C$15)),"Pickup","Dispatch"))</f>
        <v>Pickup</v>
      </c>
      <c r="AC1539" s="64" t="str">
        <f t="shared" si="265"/>
        <v>Supply order ready for pickup</v>
      </c>
      <c r="AD1539" s="64" t="str">
        <f t="shared" si="256"/>
        <v>Dear PSW,
Your order is ready for pickup from Sample Branch, Wed-Fri 9am-4pm.</v>
      </c>
      <c r="AE1539" s="64" t="str">
        <f t="shared" si="257"/>
        <v>mailto:firstname251.lastname251@example.com?subject=Supply%20order%20ready%20for%20pickup&amp;body=Dear%20PSW%2C%0A%0AYour%20order%20is%20ready%20for%20pickup%20from%20Sample%20Branch%2C%20Wed-Fri%209am-4pm.</v>
      </c>
      <c r="AF1539" s="89" t="str">
        <f t="shared" si="266"/>
        <v>Draft email</v>
      </c>
      <c r="AG1539" s="64" t="str">
        <f>IF($C1539="","",IFERROR(INDEX('Staff Directory'!$K$595:$K$599,MATCH($C1539,'Staff Directory'!$B$5:$B$599,0)),$D1539))</f>
        <v>PSW</v>
      </c>
      <c r="AH1539" t="str">
        <f>IF($C1539="","",IFERROR(INDEX('Staff Directory'!$I$595:$I$599,MATCH($C1539,'Staff Directory'!$B$5:$B$599,0))&amp;" "&amp;INDEX('Staff Directory'!$J$595:$J$599,MATCH($C1539,'Staff Directory'!$B$5:$B$599,0)),$AG1539))</f>
        <v>PSW</v>
      </c>
      <c r="AI1539" s="102"/>
      <c r="AJ1539" s="101">
        <f>IF($F1539="","",SUMIFS($J$5:$J1539,$F$5:$F1539,$F1539))</f>
        <v>42000</v>
      </c>
      <c r="AK1539" s="101">
        <f t="shared" si="258"/>
        <v>41501</v>
      </c>
      <c r="AL1539" s="66" t="str" cm="1">
        <f t="array" ref="AL1539">IF($F1539="","",IFERROR(INDEX('Lot Balance'!$B$5:$B$500,MATCH(1,INDEX(('Lot Balance'!$A$5:$A$500=$F1539)*('Lot Balance'!$K$5:$K$500&lt;$AK1539)*('Lot Balance'!$K$5:$K$500+'Lot Balance'!$D$5:$D$500&gt;=$AK1539),0),0)),""))</f>
        <v>ZIM511139904-3</v>
      </c>
      <c r="AM1539" s="66" t="str" cm="1">
        <f t="array" ref="AM1539">IF($F1539="","",IFERROR(INDEX('Lot Balance'!$B$5:$B$500,MATCH(1,INDEX(('Lot Balance'!$A$5:$A$500=$F1539)*('Lot Balance'!$K$5:$K$500&lt;$AJ1539)*('Lot Balance'!$K$5:$K$500+'Lot Balance'!$D$5:$D$500&gt;=$AJ1539),0),0)),""))</f>
        <v>ZIM511139904-3</v>
      </c>
      <c r="AN1539" s="66" t="str">
        <f>IF($F1539="","",IF($AI1539&lt;&gt;"",IF(COUNTIFS('Lot Balance'!$A$5:$A$500,$F1539,'Lot Balance'!$B$5:$B$500,$AI1539)=0,"⚠ override is not a lot of this item",IF($AI1539=$AL1539,"Override = FEFO","Override - FEFO says "&amp;$AL1539)),IF($AL1539="","⚠ no receipt on file for this item",IF($AM1539&lt;&gt;$AL1539,"FEFO auto - split, also "&amp;$AM1539,"FEFO auto"))))</f>
        <v>FEFO auto</v>
      </c>
      <c r="AO1539" s="114"/>
    </row>
    <row r="1540" spans="1:41" x14ac:dyDescent="0.35">
      <c r="A1540" s="74">
        <v>46209</v>
      </c>
      <c r="B1540" s="18" t="str">
        <f>IF($C1540="","",IFERROR(INDEX('Staff Directory'!$A$5:$A$594,MATCH($C1540,'Staff Directory'!$B$5:$B$594,0)),"⚠ unknown staff"))</f>
        <v>PSW-188-TBD</v>
      </c>
      <c r="C1540" s="49" t="s">
        <v>1167</v>
      </c>
      <c r="D1540" s="19" t="str">
        <f>IF($B1540="","",IFERROR(INDEX('Staff Directory'!$C$5:$C$594,MATCH($B1540,'Staff Directory'!$A$5:$A$594,0)),""))</f>
        <v>PSW</v>
      </c>
      <c r="E1540" s="19">
        <f>IF($B1540="","",IFERROR(INDEX('Staff Directory'!$D$5:$D$594,MATCH($B1540,'Staff Directory'!$A$5:$A$594,0)),""))</f>
        <v>0</v>
      </c>
      <c r="F1540" s="9" t="s">
        <v>115</v>
      </c>
      <c r="G1540" s="18" t="str">
        <f>IF($F1540="","",IFERROR(INDEX(Items!$B$5:$B$597,MATCH($F1540,Items!$A$5:$A$597,0)),"⚠ not in Items"))</f>
        <v>Wipes</v>
      </c>
      <c r="H1540" s="19">
        <f>IF($F1540="","",IFERROR(INDEX(Items!$C$5:$C$597,MATCH($F1540,Items!$A$5:$A$597,0)),""))</f>
        <v>80</v>
      </c>
      <c r="I1540" s="23">
        <f>IF($F1540="","",IFERROR(INDEX(Items!$E$5:$E$597,MATCH($F1540,Items!$A$5:$A$597,0)),""))</f>
        <v>80</v>
      </c>
      <c r="J1540" s="115">
        <f>IF(tblIssues[[#This Row],[Qty Override]]&lt;&gt;"",tblIssues[[#This Row],[Qty Override]],IF(tblIssues[[#This Row],[Standard Issue]]="","",tblIssues[[#This Row],[Standard Issue]]))</f>
        <v>80</v>
      </c>
      <c r="K1540" s="20">
        <f>IF($F1540="","",IFERROR(INDEX(Items!$D$5:$D$597,MATCH($F1540,Items!$A$5:$A$597,0)),""))</f>
        <v>0.1</v>
      </c>
      <c r="L1540" s="21">
        <f t="shared" si="261"/>
        <v>8</v>
      </c>
      <c r="M1540" s="9" t="str">
        <f t="shared" si="259"/>
        <v>LYSL500290</v>
      </c>
      <c r="N1540" s="24">
        <f>IF($A1540="","",WORKDAY($A1540,Settings!$C$9,HolidayDates))</f>
        <v>46217</v>
      </c>
      <c r="O1540" s="24">
        <f>IF($N1540="","",WORKDAY($N1540,Settings!$C$10,HolidayDates))</f>
        <v>46255</v>
      </c>
      <c r="P1540" s="10" t="s">
        <v>501</v>
      </c>
      <c r="Q1540" s="52" t="str">
        <f t="shared" si="262"/>
        <v>Collected</v>
      </c>
      <c r="R1540" s="55" t="str">
        <f t="shared" si="263"/>
        <v>2026-07</v>
      </c>
      <c r="S1540" s="55">
        <f>IF(OR($B1540="",$F1540="",$R1540=""),"",SUMIFS(tblIssues[Qty Issued],tblIssues[Staff ID],$B1540,tblIssues[Item Name],$F1540,tblIssues[Month],$R1540))</f>
        <v>80</v>
      </c>
      <c r="T1540" s="56">
        <f>IF($I1540="","",$I1540*Settings!$C$11)</f>
        <v>80</v>
      </c>
      <c r="U1540" s="57" t="str">
        <f t="shared" si="260"/>
        <v>OK</v>
      </c>
      <c r="V1540" s="55" t="str">
        <f t="shared" si="264"/>
        <v/>
      </c>
      <c r="W1540" s="55" t="str">
        <f>IF($V1540="","",IF(COUNTIF($V$5:$V1540,$V1540)=1,1,""))</f>
        <v/>
      </c>
      <c r="X1540" s="58" t="str">
        <f>IF($W1540="","",MAX($X$4:X1539)+1)</f>
        <v/>
      </c>
      <c r="Y1540" s="62"/>
      <c r="Z1540" s="62"/>
      <c r="AA1540" s="64" t="str">
        <f>IF($C1540="","",IFERROR(INDEX('Staff Directory'!$E$5:$E$594,MATCH($C1540,'Staff Directory'!$B$5:$B$594,0)),""))</f>
        <v>firstname251.lastname251@example.com</v>
      </c>
      <c r="AB1540" s="64" t="str">
        <f>IF($C1540="","",IF(ISNUMBER(SEARCH($D1540,Settings!$C$15)),"Pickup","Dispatch"))</f>
        <v>Pickup</v>
      </c>
      <c r="AC1540" s="64" t="str">
        <f t="shared" si="265"/>
        <v>Supply order ready for pickup</v>
      </c>
      <c r="AD1540" s="64" t="str">
        <f t="shared" si="256"/>
        <v>Dear PSW,
Your order is ready for pickup from Sample Branch, Wed-Fri 9am-4pm.</v>
      </c>
      <c r="AE1540" s="64" t="str">
        <f t="shared" si="257"/>
        <v>mailto:firstname251.lastname251@example.com?subject=Supply%20order%20ready%20for%20pickup&amp;body=Dear%20PSW%2C%0A%0AYour%20order%20is%20ready%20for%20pickup%20from%20Sample%20Branch%2C%20Wed-Fri%209am-4pm.</v>
      </c>
      <c r="AF1540" s="89" t="str">
        <f t="shared" si="266"/>
        <v>Draft email</v>
      </c>
      <c r="AG1540" s="64" t="str">
        <f>IF($C1540="","",IFERROR(INDEX('Staff Directory'!$K$595:$K$599,MATCH($C1540,'Staff Directory'!$B$5:$B$599,0)),$D1540))</f>
        <v>PSW</v>
      </c>
      <c r="AH1540" t="str">
        <f>IF($C1540="","",IFERROR(INDEX('Staff Directory'!$I$595:$I$599,MATCH($C1540,'Staff Directory'!$B$5:$B$599,0))&amp;" "&amp;INDEX('Staff Directory'!$J$595:$J$599,MATCH($C1540,'Staff Directory'!$B$5:$B$599,0)),$AG1540))</f>
        <v>PSW</v>
      </c>
      <c r="AI1540" s="102"/>
      <c r="AJ1540" s="101">
        <f>IF($F1540="","",SUMIFS($J$5:$J1540,$F$5:$F1540,$F1540))</f>
        <v>21120</v>
      </c>
      <c r="AK1540" s="101">
        <f t="shared" si="258"/>
        <v>21041</v>
      </c>
      <c r="AL1540" s="66" t="str" cm="1">
        <f t="array" ref="AL1540">IF($F1540="","",IFERROR(INDEX('Lot Balance'!$B$5:$B$500,MATCH(1,INDEX(('Lot Balance'!$A$5:$A$500=$F1540)*('Lot Balance'!$K$5:$K$500&lt;$AK1540)*('Lot Balance'!$K$5:$K$500+'Lot Balance'!$D$5:$D$500&gt;=$AK1540),0),0)),""))</f>
        <v>LYSL500290</v>
      </c>
      <c r="AM1540" s="66" t="str" cm="1">
        <f t="array" ref="AM1540">IF($F1540="","",IFERROR(INDEX('Lot Balance'!$B$5:$B$500,MATCH(1,INDEX(('Lot Balance'!$A$5:$A$500=$F1540)*('Lot Balance'!$K$5:$K$500&lt;$AJ1540)*('Lot Balance'!$K$5:$K$500+'Lot Balance'!$D$5:$D$500&gt;=$AJ1540),0),0)),""))</f>
        <v>LYSL500290</v>
      </c>
      <c r="AN1540" s="66" t="str">
        <f>IF($F1540="","",IF($AI1540&lt;&gt;"",IF(COUNTIFS('Lot Balance'!$A$5:$A$500,$F1540,'Lot Balance'!$B$5:$B$500,$AI1540)=0,"⚠ override is not a lot of this item",IF($AI1540=$AL1540,"Override = FEFO","Override - FEFO says "&amp;$AL1540)),IF($AL1540="","⚠ no receipt on file for this item",IF($AM1540&lt;&gt;$AL1540,"FEFO auto - split, also "&amp;$AM1540,"FEFO auto"))))</f>
        <v>FEFO auto</v>
      </c>
      <c r="AO1540" s="114"/>
    </row>
    <row r="1541" spans="1:41" x14ac:dyDescent="0.35">
      <c r="A1541" s="74">
        <v>46209</v>
      </c>
      <c r="B1541" s="18" t="str">
        <f>IF($C1541="","",IFERROR(INDEX('Staff Directory'!$A$5:$A$594,MATCH($C1541,'Staff Directory'!$B$5:$B$594,0)),"⚠ unknown staff"))</f>
        <v>PSW-188-TBD</v>
      </c>
      <c r="C1541" s="49" t="s">
        <v>1167</v>
      </c>
      <c r="D1541" s="19" t="str">
        <f>IF($B1541="","",IFERROR(INDEX('Staff Directory'!$C$5:$C$594,MATCH($B1541,'Staff Directory'!$A$5:$A$594,0)),""))</f>
        <v>PSW</v>
      </c>
      <c r="E1541" s="19">
        <f>IF($B1541="","",IFERROR(INDEX('Staff Directory'!$D$5:$D$594,MATCH($B1541,'Staff Directory'!$A$5:$A$594,0)),""))</f>
        <v>0</v>
      </c>
      <c r="F1541" s="9" t="s">
        <v>104</v>
      </c>
      <c r="G1541" s="18" t="str">
        <f>IF($F1541="","",IFERROR(INDEX(Items!$B$5:$B$597,MATCH($F1541,Items!$A$5:$A$597,0)),"⚠ not in Items"))</f>
        <v>Masks</v>
      </c>
      <c r="H1541" s="19" t="str">
        <f>IF($F1541="","",IFERROR(INDEX(Items!$C$5:$C$597,MATCH($F1541,Items!$A$5:$A$597,0)),""))</f>
        <v>One Size</v>
      </c>
      <c r="I1541" s="23">
        <f>IF($F1541="","",IFERROR(INDEX(Items!$E$5:$E$597,MATCH($F1541,Items!$A$5:$A$597,0)),""))</f>
        <v>5</v>
      </c>
      <c r="J1541" s="115">
        <f>IF(tblIssues[[#This Row],[Qty Override]]&lt;&gt;"",tblIssues[[#This Row],[Qty Override]],IF(tblIssues[[#This Row],[Standard Issue]]="","",tblIssues[[#This Row],[Standard Issue]]))</f>
        <v>5</v>
      </c>
      <c r="K1541" s="20">
        <f>IF($F1541="","",IFERROR(INDEX(Items!$D$5:$D$597,MATCH($F1541,Items!$A$5:$A$597,0)),""))</f>
        <v>2.0499999999999998</v>
      </c>
      <c r="L1541" s="21">
        <f t="shared" si="261"/>
        <v>10.25</v>
      </c>
      <c r="M1541" s="9" t="str">
        <f t="shared" si="259"/>
        <v>N955003717</v>
      </c>
      <c r="N1541" s="24">
        <f>IF($A1541="","",WORKDAY($A1541,Settings!$C$9,HolidayDates))</f>
        <v>46217</v>
      </c>
      <c r="O1541" s="24">
        <f>IF($N1541="","",WORKDAY($N1541,Settings!$C$10,HolidayDates))</f>
        <v>46255</v>
      </c>
      <c r="P1541" s="10" t="s">
        <v>501</v>
      </c>
      <c r="Q1541" s="52" t="str">
        <f t="shared" si="262"/>
        <v>Collected</v>
      </c>
      <c r="R1541" s="55" t="str">
        <f t="shared" si="263"/>
        <v>2026-07</v>
      </c>
      <c r="S1541" s="55">
        <f>IF(OR($B1541="",$F1541="",$R1541=""),"",SUMIFS(tblIssues[Qty Issued],tblIssues[Staff ID],$B1541,tblIssues[Item Name],$F1541,tblIssues[Month],$R1541))</f>
        <v>5</v>
      </c>
      <c r="T1541" s="56">
        <f>IF($I1541="","",$I1541*Settings!$C$11)</f>
        <v>5</v>
      </c>
      <c r="U1541" s="57" t="str">
        <f t="shared" si="260"/>
        <v>OK</v>
      </c>
      <c r="V1541" s="55" t="str">
        <f t="shared" si="264"/>
        <v/>
      </c>
      <c r="W1541" s="55" t="str">
        <f>IF($V1541="","",IF(COUNTIF($V$5:$V1541,$V1541)=1,1,""))</f>
        <v/>
      </c>
      <c r="X1541" s="58" t="str">
        <f>IF($W1541="","",MAX($X$4:X1540)+1)</f>
        <v/>
      </c>
      <c r="Y1541" s="62"/>
      <c r="Z1541" s="62"/>
      <c r="AA1541" s="64" t="str">
        <f>IF($C1541="","",IFERROR(INDEX('Staff Directory'!$E$5:$E$594,MATCH($C1541,'Staff Directory'!$B$5:$B$594,0)),""))</f>
        <v>firstname251.lastname251@example.com</v>
      </c>
      <c r="AB1541" s="64" t="str">
        <f>IF($C1541="","",IF(ISNUMBER(SEARCH($D1541,Settings!$C$15)),"Pickup","Dispatch"))</f>
        <v>Pickup</v>
      </c>
      <c r="AC1541" s="64" t="str">
        <f t="shared" si="265"/>
        <v>Supply order ready for pickup</v>
      </c>
      <c r="AD1541" s="64" t="str">
        <f t="shared" ref="AD1541:AD1604" si="267">IF($AB1541="Pickup","Dear "&amp;$AH1541&amp;","&amp;CHAR(10)&amp;CHAR(10)&amp;"Your order is ready for pickup from Sample Branch, Wed-Fri 9am-4pm.",IF($AB1541="Dispatch","Dear "&amp;$AH1541&amp;","&amp;CHAR(10)&amp;CHAR(10)&amp;"Your order has been dispatched and is in transit. Reply if undelivered.",""))</f>
        <v>Dear PSW,
Your order is ready for pickup from Sample Branch, Wed-Fri 9am-4pm.</v>
      </c>
      <c r="AE1541" s="64" t="str">
        <f t="shared" ref="AE1541:AE1604" si="268">IF(OR($AA1541="",$AC1541=""),"","mailto:"&amp;$AA1541&amp;"?subject="&amp;_xlfn.ENCODEURL($AC1541)&amp;"&amp;body="&amp;_xlfn.ENCODEURL($AD1541))</f>
        <v>mailto:firstname251.lastname251@example.com?subject=Supply%20order%20ready%20for%20pickup&amp;body=Dear%20PSW%2C%0A%0AYour%20order%20is%20ready%20for%20pickup%20from%20Sample%20Branch%2C%20Wed-Fri%209am-4pm.</v>
      </c>
      <c r="AF1541" s="89" t="str">
        <f t="shared" si="266"/>
        <v>Draft email</v>
      </c>
      <c r="AG1541" s="64" t="str">
        <f>IF($C1541="","",IFERROR(INDEX('Staff Directory'!$K$595:$K$599,MATCH($C1541,'Staff Directory'!$B$5:$B$599,0)),$D1541))</f>
        <v>PSW</v>
      </c>
      <c r="AH1541" t="str">
        <f>IF($C1541="","",IFERROR(INDEX('Staff Directory'!$I$595:$I$599,MATCH($C1541,'Staff Directory'!$B$5:$B$599,0))&amp;" "&amp;INDEX('Staff Directory'!$J$595:$J$599,MATCH($C1541,'Staff Directory'!$B$5:$B$599,0)),$AG1541))</f>
        <v>PSW</v>
      </c>
      <c r="AI1541" s="102"/>
      <c r="AJ1541" s="101">
        <f>IF($F1541="","",SUMIFS($J$5:$J1541,$F$5:$F1541,$F1541))</f>
        <v>35</v>
      </c>
      <c r="AK1541" s="101">
        <f t="shared" ref="AK1541:AK1604" si="269">IF($F1541="","",MAX(1,$AJ1541-MAX($J1541,0)+1))</f>
        <v>31</v>
      </c>
      <c r="AL1541" s="66" t="str" cm="1">
        <f t="array" ref="AL1541">IF($F1541="","",IFERROR(INDEX('Lot Balance'!$B$5:$B$500,MATCH(1,INDEX(('Lot Balance'!$A$5:$A$500=$F1541)*('Lot Balance'!$K$5:$K$500&lt;$AK1541)*('Lot Balance'!$K$5:$K$500+'Lot Balance'!$D$5:$D$500&gt;=$AK1541),0),0)),""))</f>
        <v>N955003717</v>
      </c>
      <c r="AM1541" s="66" t="str" cm="1">
        <f t="array" ref="AM1541">IF($F1541="","",IFERROR(INDEX('Lot Balance'!$B$5:$B$500,MATCH(1,INDEX(('Lot Balance'!$A$5:$A$500=$F1541)*('Lot Balance'!$K$5:$K$500&lt;$AJ1541)*('Lot Balance'!$K$5:$K$500+'Lot Balance'!$D$5:$D$500&gt;=$AJ1541),0),0)),""))</f>
        <v>N955003717</v>
      </c>
      <c r="AN1541" s="66" t="str">
        <f>IF($F1541="","",IF($AI1541&lt;&gt;"",IF(COUNTIFS('Lot Balance'!$A$5:$A$500,$F1541,'Lot Balance'!$B$5:$B$500,$AI1541)=0,"⚠ override is not a lot of this item",IF($AI1541=$AL1541,"Override = FEFO","Override - FEFO says "&amp;$AL1541)),IF($AL1541="","⚠ no receipt on file for this item",IF($AM1541&lt;&gt;$AL1541,"FEFO auto - split, also "&amp;$AM1541,"FEFO auto"))))</f>
        <v>FEFO auto</v>
      </c>
      <c r="AO1541" s="114"/>
    </row>
    <row r="1542" spans="1:41" x14ac:dyDescent="0.35">
      <c r="A1542" s="74">
        <v>46209</v>
      </c>
      <c r="B1542" s="18" t="str">
        <f>IF($C1542="","",IFERROR(INDEX('Staff Directory'!$A$5:$A$594,MATCH($C1542,'Staff Directory'!$B$5:$B$594,0)),"⚠ unknown staff"))</f>
        <v>PSW-188-TBD</v>
      </c>
      <c r="C1542" s="49" t="s">
        <v>1167</v>
      </c>
      <c r="D1542" s="19" t="str">
        <f>IF($B1542="","",IFERROR(INDEX('Staff Directory'!$C$5:$C$594,MATCH($B1542,'Staff Directory'!$A$5:$A$594,0)),""))</f>
        <v>PSW</v>
      </c>
      <c r="E1542" s="19">
        <f>IF($B1542="","",IFERROR(INDEX('Staff Directory'!$D$5:$D$594,MATCH($B1542,'Staff Directory'!$A$5:$A$594,0)),""))</f>
        <v>0</v>
      </c>
      <c r="F1542" s="9" t="s">
        <v>137</v>
      </c>
      <c r="G1542" s="18" t="str">
        <f>IF($F1542="","",IFERROR(INDEX(Items!$B$5:$B$597,MATCH($F1542,Items!$A$5:$A$597,0)),"⚠ not in Items"))</f>
        <v>Sanitizer</v>
      </c>
      <c r="H1542" s="19" t="str">
        <f>IF($F1542="","",IFERROR(INDEX(Items!$C$5:$C$597,MATCH($F1542,Items!$A$5:$A$597,0)),""))</f>
        <v>118 ML</v>
      </c>
      <c r="I1542" s="23">
        <f>IF($F1542="","",IFERROR(INDEX(Items!$E$5:$E$597,MATCH($F1542,Items!$A$5:$A$597,0)),""))</f>
        <v>2</v>
      </c>
      <c r="J1542" s="115">
        <f>IF(tblIssues[[#This Row],[Qty Override]]&lt;&gt;"",tblIssues[[#This Row],[Qty Override]],IF(tblIssues[[#This Row],[Standard Issue]]="","",tblIssues[[#This Row],[Standard Issue]]))</f>
        <v>2</v>
      </c>
      <c r="K1542" s="20">
        <f>IF($F1542="","",IFERROR(INDEX(Items!$D$5:$D$597,MATCH($F1542,Items!$A$5:$A$597,0)),""))</f>
        <v>4.49</v>
      </c>
      <c r="L1542" s="21">
        <f t="shared" si="261"/>
        <v>8.98</v>
      </c>
      <c r="M1542" s="9" t="str">
        <f t="shared" ref="M1542:M1605" si="270">IF($F1542="","",IF($AI1542&lt;&gt;"",$AI1542,$AL1542))</f>
        <v>563963-7</v>
      </c>
      <c r="N1542" s="24">
        <f>IF($A1542="","",WORKDAY($A1542,Settings!$C$9,HolidayDates))</f>
        <v>46217</v>
      </c>
      <c r="O1542" s="24">
        <f>IF($N1542="","",WORKDAY($N1542,Settings!$C$10,HolidayDates))</f>
        <v>46255</v>
      </c>
      <c r="P1542" s="10" t="s">
        <v>501</v>
      </c>
      <c r="Q1542" s="52" t="str">
        <f t="shared" si="262"/>
        <v>Collected</v>
      </c>
      <c r="R1542" s="55" t="str">
        <f t="shared" si="263"/>
        <v>2026-07</v>
      </c>
      <c r="S1542" s="55">
        <f>IF(OR($B1542="",$F1542="",$R1542=""),"",SUMIFS(tblIssues[Qty Issued],tblIssues[Staff ID],$B1542,tblIssues[Item Name],$F1542,tblIssues[Month],$R1542))</f>
        <v>2</v>
      </c>
      <c r="T1542" s="56">
        <f>IF($I1542="","",$I1542*Settings!$C$11)</f>
        <v>2</v>
      </c>
      <c r="U1542" s="57" t="str">
        <f t="shared" ref="U1542:U1605" si="271">IF(OR($S1542="",$T1542=""),"",IF($S1542&gt;$T1542,IF($Y1542="Approved","APPROVED BY TL","⚠ OVER QUOTA"),"OK"))</f>
        <v>OK</v>
      </c>
      <c r="V1542" s="55" t="str">
        <f t="shared" si="264"/>
        <v/>
      </c>
      <c r="W1542" s="55" t="str">
        <f>IF($V1542="","",IF(COUNTIF($V$5:$V1542,$V1542)=1,1,""))</f>
        <v/>
      </c>
      <c r="X1542" s="58" t="str">
        <f>IF($W1542="","",MAX($X$4:X1541)+1)</f>
        <v/>
      </c>
      <c r="Y1542" s="62"/>
      <c r="Z1542" s="62"/>
      <c r="AA1542" s="64" t="str">
        <f>IF($C1542="","",IFERROR(INDEX('Staff Directory'!$E$5:$E$594,MATCH($C1542,'Staff Directory'!$B$5:$B$594,0)),""))</f>
        <v>firstname251.lastname251@example.com</v>
      </c>
      <c r="AB1542" s="64" t="str">
        <f>IF($C1542="","",IF(ISNUMBER(SEARCH($D1542,Settings!$C$15)),"Pickup","Dispatch"))</f>
        <v>Pickup</v>
      </c>
      <c r="AC1542" s="64" t="str">
        <f t="shared" si="265"/>
        <v>Supply order ready for pickup</v>
      </c>
      <c r="AD1542" s="64" t="str">
        <f t="shared" si="267"/>
        <v>Dear PSW,
Your order is ready for pickup from Sample Branch, Wed-Fri 9am-4pm.</v>
      </c>
      <c r="AE1542" s="64" t="str">
        <f t="shared" si="268"/>
        <v>mailto:firstname251.lastname251@example.com?subject=Supply%20order%20ready%20for%20pickup&amp;body=Dear%20PSW%2C%0A%0AYour%20order%20is%20ready%20for%20pickup%20from%20Sample%20Branch%2C%20Wed-Fri%209am-4pm.</v>
      </c>
      <c r="AF1542" s="89" t="str">
        <f t="shared" si="266"/>
        <v>Draft email</v>
      </c>
      <c r="AG1542" s="64" t="str">
        <f>IF($C1542="","",IFERROR(INDEX('Staff Directory'!$K$595:$K$599,MATCH($C1542,'Staff Directory'!$B$5:$B$599,0)),$D1542))</f>
        <v>PSW</v>
      </c>
      <c r="AH1542" t="str">
        <f>IF($C1542="","",IFERROR(INDEX('Staff Directory'!$I$595:$I$599,MATCH($C1542,'Staff Directory'!$B$5:$B$599,0))&amp;" "&amp;INDEX('Staff Directory'!$J$595:$J$599,MATCH($C1542,'Staff Directory'!$B$5:$B$599,0)),$AG1542))</f>
        <v>PSW</v>
      </c>
      <c r="AI1542" s="102"/>
      <c r="AJ1542" s="101">
        <f>IF($F1542="","",SUMIFS($J$5:$J1542,$F$5:$F1542,$F1542))</f>
        <v>138</v>
      </c>
      <c r="AK1542" s="101">
        <f t="shared" si="269"/>
        <v>137</v>
      </c>
      <c r="AL1542" s="66" t="str" cm="1">
        <f t="array" ref="AL1542">IF($F1542="","",IFERROR(INDEX('Lot Balance'!$B$5:$B$500,MATCH(1,INDEX(('Lot Balance'!$A$5:$A$500=$F1542)*('Lot Balance'!$K$5:$K$500&lt;$AK1542)*('Lot Balance'!$K$5:$K$500+'Lot Balance'!$D$5:$D$500&gt;=$AK1542),0),0)),""))</f>
        <v>563963-7</v>
      </c>
      <c r="AM1542" s="66" t="str" cm="1">
        <f t="array" ref="AM1542">IF($F1542="","",IFERROR(INDEX('Lot Balance'!$B$5:$B$500,MATCH(1,INDEX(('Lot Balance'!$A$5:$A$500=$F1542)*('Lot Balance'!$K$5:$K$500&lt;$AJ1542)*('Lot Balance'!$K$5:$K$500+'Lot Balance'!$D$5:$D$500&gt;=$AJ1542),0),0)),""))</f>
        <v>563963-7</v>
      </c>
      <c r="AN1542" s="66" t="str">
        <f>IF($F1542="","",IF($AI1542&lt;&gt;"",IF(COUNTIFS('Lot Balance'!$A$5:$A$500,$F1542,'Lot Balance'!$B$5:$B$500,$AI1542)=0,"⚠ override is not a lot of this item",IF($AI1542=$AL1542,"Override = FEFO","Override - FEFO says "&amp;$AL1542)),IF($AL1542="","⚠ no receipt on file for this item",IF($AM1542&lt;&gt;$AL1542,"FEFO auto - split, also "&amp;$AM1542,"FEFO auto"))))</f>
        <v>FEFO auto</v>
      </c>
      <c r="AO1542" s="114"/>
    </row>
    <row r="1543" spans="1:41" x14ac:dyDescent="0.35">
      <c r="A1543" s="74">
        <v>46209</v>
      </c>
      <c r="B1543" s="18" t="str">
        <f>IF($C1543="","",IFERROR(INDEX('Staff Directory'!$A$5:$A$594,MATCH($C1543,'Staff Directory'!$B$5:$B$594,0)),"⚠ unknown staff"))</f>
        <v>PSW-188-TBD</v>
      </c>
      <c r="C1543" s="49" t="s">
        <v>1167</v>
      </c>
      <c r="D1543" s="19" t="str">
        <f>IF($B1543="","",IFERROR(INDEX('Staff Directory'!$C$5:$C$594,MATCH($B1543,'Staff Directory'!$A$5:$A$594,0)),""))</f>
        <v>PSW</v>
      </c>
      <c r="E1543" s="19">
        <f>IF($B1543="","",IFERROR(INDEX('Staff Directory'!$D$5:$D$594,MATCH($B1543,'Staff Directory'!$A$5:$A$594,0)),""))</f>
        <v>0</v>
      </c>
      <c r="F1543" s="9" t="s">
        <v>147</v>
      </c>
      <c r="G1543" s="18" t="str">
        <f>IF($F1543="","",IFERROR(INDEX(Items!$B$5:$B$597,MATCH($F1543,Items!$A$5:$A$597,0)),"⚠ not in Items"))</f>
        <v>Apparel</v>
      </c>
      <c r="H1543" s="19" t="str">
        <f>IF($F1543="","",IFERROR(INDEX(Items!$C$5:$C$597,MATCH($F1543,Items!$A$5:$A$597,0)),""))</f>
        <v>One Size</v>
      </c>
      <c r="I1543" s="23">
        <f>IF($F1543="","",IFERROR(INDEX(Items!$E$5:$E$597,MATCH($F1543,Items!$A$5:$A$597,0)),""))</f>
        <v>5</v>
      </c>
      <c r="J1543" s="115">
        <f>IF(tblIssues[[#This Row],[Qty Override]]&lt;&gt;"",tblIssues[[#This Row],[Qty Override]],IF(tblIssues[[#This Row],[Standard Issue]]="","",tblIssues[[#This Row],[Standard Issue]]))</f>
        <v>5</v>
      </c>
      <c r="K1543" s="20">
        <f>IF($F1543="","",IFERROR(INDEX(Items!$D$5:$D$597,MATCH($F1543,Items!$A$5:$A$597,0)),""))</f>
        <v>3</v>
      </c>
      <c r="L1543" s="21">
        <f t="shared" si="261"/>
        <v>15</v>
      </c>
      <c r="M1543" s="9" t="str">
        <f t="shared" si="270"/>
        <v>YG500280</v>
      </c>
      <c r="N1543" s="24">
        <f>IF($A1543="","",WORKDAY($A1543,Settings!$C$9,HolidayDates))</f>
        <v>46217</v>
      </c>
      <c r="O1543" s="24">
        <f>IF($N1543="","",WORKDAY($N1543,Settings!$C$10,HolidayDates))</f>
        <v>46255</v>
      </c>
      <c r="P1543" s="10" t="s">
        <v>501</v>
      </c>
      <c r="Q1543" s="52" t="str">
        <f t="shared" si="262"/>
        <v>Collected</v>
      </c>
      <c r="R1543" s="55" t="str">
        <f t="shared" si="263"/>
        <v>2026-07</v>
      </c>
      <c r="S1543" s="55">
        <f>IF(OR($B1543="",$F1543="",$R1543=""),"",SUMIFS(tblIssues[Qty Issued],tblIssues[Staff ID],$B1543,tblIssues[Item Name],$F1543,tblIssues[Month],$R1543))</f>
        <v>5</v>
      </c>
      <c r="T1543" s="56">
        <f>IF($I1543="","",$I1543*Settings!$C$11)</f>
        <v>5</v>
      </c>
      <c r="U1543" s="57" t="str">
        <f t="shared" si="271"/>
        <v>OK</v>
      </c>
      <c r="V1543" s="55" t="str">
        <f t="shared" si="264"/>
        <v/>
      </c>
      <c r="W1543" s="55" t="str">
        <f>IF($V1543="","",IF(COUNTIF($V$5:$V1543,$V1543)=1,1,""))</f>
        <v/>
      </c>
      <c r="X1543" s="58" t="str">
        <f>IF($W1543="","",MAX($X$4:X1542)+1)</f>
        <v/>
      </c>
      <c r="Y1543" s="62"/>
      <c r="Z1543" s="62"/>
      <c r="AA1543" s="64" t="str">
        <f>IF($C1543="","",IFERROR(INDEX('Staff Directory'!$E$5:$E$594,MATCH($C1543,'Staff Directory'!$B$5:$B$594,0)),""))</f>
        <v>firstname251.lastname251@example.com</v>
      </c>
      <c r="AB1543" s="64" t="str">
        <f>IF($C1543="","",IF(ISNUMBER(SEARCH($D1543,Settings!$C$15)),"Pickup","Dispatch"))</f>
        <v>Pickup</v>
      </c>
      <c r="AC1543" s="64" t="str">
        <f t="shared" si="265"/>
        <v>Supply order ready for pickup</v>
      </c>
      <c r="AD1543" s="64" t="str">
        <f t="shared" si="267"/>
        <v>Dear PSW,
Your order is ready for pickup from Sample Branch, Wed-Fri 9am-4pm.</v>
      </c>
      <c r="AE1543" s="64" t="str">
        <f t="shared" si="268"/>
        <v>mailto:firstname251.lastname251@example.com?subject=Supply%20order%20ready%20for%20pickup&amp;body=Dear%20PSW%2C%0A%0AYour%20order%20is%20ready%20for%20pickup%20from%20Sample%20Branch%2C%20Wed-Fri%209am-4pm.</v>
      </c>
      <c r="AF1543" s="89" t="str">
        <f t="shared" si="266"/>
        <v>Draft email</v>
      </c>
      <c r="AG1543" s="64" t="str">
        <f>IF($C1543="","",IFERROR(INDEX('Staff Directory'!$K$595:$K$599,MATCH($C1543,'Staff Directory'!$B$5:$B$599,0)),$D1543))</f>
        <v>PSW</v>
      </c>
      <c r="AH1543" t="str">
        <f>IF($C1543="","",IFERROR(INDEX('Staff Directory'!$I$595:$I$599,MATCH($C1543,'Staff Directory'!$B$5:$B$599,0))&amp;" "&amp;INDEX('Staff Directory'!$J$595:$J$599,MATCH($C1543,'Staff Directory'!$B$5:$B$599,0)),$AG1543))</f>
        <v>PSW</v>
      </c>
      <c r="AI1543" s="102"/>
      <c r="AJ1543" s="101">
        <f>IF($F1543="","",SUMIFS($J$5:$J1543,$F$5:$F1543,$F1543))</f>
        <v>190</v>
      </c>
      <c r="AK1543" s="101">
        <f t="shared" si="269"/>
        <v>186</v>
      </c>
      <c r="AL1543" s="66" t="str" cm="1">
        <f t="array" ref="AL1543">IF($F1543="","",IFERROR(INDEX('Lot Balance'!$B$5:$B$500,MATCH(1,INDEX(('Lot Balance'!$A$5:$A$500=$F1543)*('Lot Balance'!$K$5:$K$500&lt;$AK1543)*('Lot Balance'!$K$5:$K$500+'Lot Balance'!$D$5:$D$500&gt;=$AK1543),0),0)),""))</f>
        <v>YG500280</v>
      </c>
      <c r="AM1543" s="66" t="str" cm="1">
        <f t="array" ref="AM1543">IF($F1543="","",IFERROR(INDEX('Lot Balance'!$B$5:$B$500,MATCH(1,INDEX(('Lot Balance'!$A$5:$A$500=$F1543)*('Lot Balance'!$K$5:$K$500&lt;$AJ1543)*('Lot Balance'!$K$5:$K$500+'Lot Balance'!$D$5:$D$500&gt;=$AJ1543),0),0)),""))</f>
        <v>YG500280</v>
      </c>
      <c r="AN1543" s="66" t="str">
        <f>IF($F1543="","",IF($AI1543&lt;&gt;"",IF(COUNTIFS('Lot Balance'!$A$5:$A$500,$F1543,'Lot Balance'!$B$5:$B$500,$AI1543)=0,"⚠ override is not a lot of this item",IF($AI1543=$AL1543,"Override = FEFO","Override - FEFO says "&amp;$AL1543)),IF($AL1543="","⚠ no receipt on file for this item",IF($AM1543&lt;&gt;$AL1543,"FEFO auto - split, also "&amp;$AM1543,"FEFO auto"))))</f>
        <v>FEFO auto</v>
      </c>
      <c r="AO1543" s="114"/>
    </row>
    <row r="1544" spans="1:41" x14ac:dyDescent="0.35">
      <c r="A1544" s="74">
        <v>46209</v>
      </c>
      <c r="B1544" s="18" t="str">
        <f>IF($C1544="","",IFERROR(INDEX('Staff Directory'!$A$5:$A$594,MATCH($C1544,'Staff Directory'!$B$5:$B$594,0)),"⚠ unknown staff"))</f>
        <v>PSW-188-TBD</v>
      </c>
      <c r="C1544" s="49" t="s">
        <v>1167</v>
      </c>
      <c r="D1544" s="19" t="str">
        <f>IF($B1544="","",IFERROR(INDEX('Staff Directory'!$C$5:$C$594,MATCH($B1544,'Staff Directory'!$A$5:$A$594,0)),""))</f>
        <v>PSW</v>
      </c>
      <c r="E1544" s="19">
        <f>IF($B1544="","",IFERROR(INDEX('Staff Directory'!$D$5:$D$594,MATCH($B1544,'Staff Directory'!$A$5:$A$594,0)),""))</f>
        <v>0</v>
      </c>
      <c r="F1544" s="9" t="s">
        <v>145</v>
      </c>
      <c r="G1544" s="18" t="str">
        <f>IF($F1544="","",IFERROR(INDEX(Items!$B$5:$B$597,MATCH($F1544,Items!$A$5:$A$597,0)),"⚠ not in Items"))</f>
        <v>Apparel</v>
      </c>
      <c r="H1544" s="19" t="str">
        <f>IF($F1544="","",IFERROR(INDEX(Items!$C$5:$C$597,MATCH($F1544,Items!$A$5:$A$597,0)),""))</f>
        <v>One Size</v>
      </c>
      <c r="I1544" s="23">
        <f>IF($F1544="","",IFERROR(INDEX(Items!$E$5:$E$597,MATCH($F1544,Items!$A$5:$A$597,0)),""))</f>
        <v>5</v>
      </c>
      <c r="J1544" s="115">
        <f>IF(tblIssues[[#This Row],[Qty Override]]&lt;&gt;"",tblIssues[[#This Row],[Qty Override]],IF(tblIssues[[#This Row],[Standard Issue]]="","",tblIssues[[#This Row],[Standard Issue]]))</f>
        <v>5</v>
      </c>
      <c r="K1544" s="20">
        <f>IF($F1544="","",IFERROR(INDEX(Items!$D$5:$D$597,MATCH($F1544,Items!$A$5:$A$597,0)),""))</f>
        <v>3</v>
      </c>
      <c r="L1544" s="21">
        <f t="shared" ref="L1544:L1607" si="272">IF(OR($J1544="",$K1544=""),"",$J1544*$K1544)</f>
        <v>15</v>
      </c>
      <c r="M1544" s="9" t="str">
        <f t="shared" si="270"/>
        <v>WRB500270</v>
      </c>
      <c r="N1544" s="24">
        <f>IF($A1544="","",WORKDAY($A1544,Settings!$C$9,HolidayDates))</f>
        <v>46217</v>
      </c>
      <c r="O1544" s="24">
        <f>IF($N1544="","",WORKDAY($N1544,Settings!$C$10,HolidayDates))</f>
        <v>46255</v>
      </c>
      <c r="P1544" s="10" t="s">
        <v>501</v>
      </c>
      <c r="Q1544" s="52" t="str">
        <f t="shared" si="262"/>
        <v>Collected</v>
      </c>
      <c r="R1544" s="55" t="str">
        <f t="shared" si="263"/>
        <v>2026-07</v>
      </c>
      <c r="S1544" s="55">
        <f>IF(OR($B1544="",$F1544="",$R1544=""),"",SUMIFS(tblIssues[Qty Issued],tblIssues[Staff ID],$B1544,tblIssues[Item Name],$F1544,tblIssues[Month],$R1544))</f>
        <v>5</v>
      </c>
      <c r="T1544" s="56">
        <f>IF($I1544="","",$I1544*Settings!$C$11)</f>
        <v>5</v>
      </c>
      <c r="U1544" s="57" t="str">
        <f t="shared" si="271"/>
        <v>OK</v>
      </c>
      <c r="V1544" s="55" t="str">
        <f t="shared" si="264"/>
        <v/>
      </c>
      <c r="W1544" s="55" t="str">
        <f>IF($V1544="","",IF(COUNTIF($V$5:$V1544,$V1544)=1,1,""))</f>
        <v/>
      </c>
      <c r="X1544" s="58" t="str">
        <f>IF($W1544="","",MAX($X$4:X1543)+1)</f>
        <v/>
      </c>
      <c r="Y1544" s="62"/>
      <c r="Z1544" s="62"/>
      <c r="AA1544" s="64" t="str">
        <f>IF($C1544="","",IFERROR(INDEX('Staff Directory'!$E$5:$E$594,MATCH($C1544,'Staff Directory'!$B$5:$B$594,0)),""))</f>
        <v>firstname251.lastname251@example.com</v>
      </c>
      <c r="AB1544" s="64" t="str">
        <f>IF($C1544="","",IF(ISNUMBER(SEARCH($D1544,Settings!$C$15)),"Pickup","Dispatch"))</f>
        <v>Pickup</v>
      </c>
      <c r="AC1544" s="64" t="str">
        <f t="shared" si="265"/>
        <v>Supply order ready for pickup</v>
      </c>
      <c r="AD1544" s="64" t="str">
        <f t="shared" si="267"/>
        <v>Dear PSW,
Your order is ready for pickup from Sample Branch, Wed-Fri 9am-4pm.</v>
      </c>
      <c r="AE1544" s="64" t="str">
        <f t="shared" si="268"/>
        <v>mailto:firstname251.lastname251@example.com?subject=Supply%20order%20ready%20for%20pickup&amp;body=Dear%20PSW%2C%0A%0AYour%20order%20is%20ready%20for%20pickup%20from%20Sample%20Branch%2C%20Wed-Fri%209am-4pm.</v>
      </c>
      <c r="AF1544" s="89" t="str">
        <f t="shared" si="266"/>
        <v>Draft email</v>
      </c>
      <c r="AG1544" s="64" t="str">
        <f>IF($C1544="","",IFERROR(INDEX('Staff Directory'!$K$595:$K$599,MATCH($C1544,'Staff Directory'!$B$5:$B$599,0)),$D1544))</f>
        <v>PSW</v>
      </c>
      <c r="AH1544" t="str">
        <f>IF($C1544="","",IFERROR(INDEX('Staff Directory'!$I$595:$I$599,MATCH($C1544,'Staff Directory'!$B$5:$B$599,0))&amp;" "&amp;INDEX('Staff Directory'!$J$595:$J$599,MATCH($C1544,'Staff Directory'!$B$5:$B$599,0)),$AG1544))</f>
        <v>PSW</v>
      </c>
      <c r="AI1544" s="102"/>
      <c r="AJ1544" s="101">
        <f>IF($F1544="","",SUMIFS($J$5:$J1544,$F$5:$F1544,$F1544))</f>
        <v>65</v>
      </c>
      <c r="AK1544" s="101">
        <f t="shared" si="269"/>
        <v>61</v>
      </c>
      <c r="AL1544" s="66" t="str" cm="1">
        <f t="array" ref="AL1544">IF($F1544="","",IFERROR(INDEX('Lot Balance'!$B$5:$B$500,MATCH(1,INDEX(('Lot Balance'!$A$5:$A$500=$F1544)*('Lot Balance'!$K$5:$K$500&lt;$AK1544)*('Lot Balance'!$K$5:$K$500+'Lot Balance'!$D$5:$D$500&gt;=$AK1544),0),0)),""))</f>
        <v>WRB500270</v>
      </c>
      <c r="AM1544" s="66" t="str" cm="1">
        <f t="array" ref="AM1544">IF($F1544="","",IFERROR(INDEX('Lot Balance'!$B$5:$B$500,MATCH(1,INDEX(('Lot Balance'!$A$5:$A$500=$F1544)*('Lot Balance'!$K$5:$K$500&lt;$AJ1544)*('Lot Balance'!$K$5:$K$500+'Lot Balance'!$D$5:$D$500&gt;=$AJ1544),0),0)),""))</f>
        <v>WRB500270</v>
      </c>
      <c r="AN1544" s="66" t="str">
        <f>IF($F1544="","",IF($AI1544&lt;&gt;"",IF(COUNTIFS('Lot Balance'!$A$5:$A$500,$F1544,'Lot Balance'!$B$5:$B$500,$AI1544)=0,"⚠ override is not a lot of this item",IF($AI1544=$AL1544,"Override = FEFO","Override - FEFO says "&amp;$AL1544)),IF($AL1544="","⚠ no receipt on file for this item",IF($AM1544&lt;&gt;$AL1544,"FEFO auto - split, also "&amp;$AM1544,"FEFO auto"))))</f>
        <v>FEFO auto</v>
      </c>
      <c r="AO1544" s="114"/>
    </row>
    <row r="1545" spans="1:41" x14ac:dyDescent="0.35">
      <c r="A1545" s="74">
        <v>46209</v>
      </c>
      <c r="B1545" s="18" t="str">
        <f>IF($C1545="","",IFERROR(INDEX('Staff Directory'!$A$5:$A$594,MATCH($C1545,'Staff Directory'!$B$5:$B$594,0)),"⚠ unknown staff"))</f>
        <v>PSW-188-TBD</v>
      </c>
      <c r="C1545" s="49" t="s">
        <v>1167</v>
      </c>
      <c r="D1545" s="19" t="str">
        <f>IF($B1545="","",IFERROR(INDEX('Staff Directory'!$C$5:$C$594,MATCH($B1545,'Staff Directory'!$A$5:$A$594,0)),""))</f>
        <v>PSW</v>
      </c>
      <c r="E1545" s="19">
        <f>IF($B1545="","",IFERROR(INDEX('Staff Directory'!$D$5:$D$594,MATCH($B1545,'Staff Directory'!$A$5:$A$594,0)),""))</f>
        <v>0</v>
      </c>
      <c r="F1545" s="9" t="s">
        <v>144</v>
      </c>
      <c r="G1545" s="18" t="str">
        <f>IF($F1545="","",IFERROR(INDEX(Items!$B$5:$B$597,MATCH($F1545,Items!$A$5:$A$597,0)),"⚠ not in Items"))</f>
        <v>IPAC</v>
      </c>
      <c r="H1545" s="19" t="str">
        <f>IF($F1545="","",IFERROR(INDEX(Items!$C$5:$C$597,MATCH($F1545,Items!$A$5:$A$597,0)),""))</f>
        <v>One Size</v>
      </c>
      <c r="I1545" s="23">
        <f>IF($F1545="","",IFERROR(INDEX(Items!$E$5:$E$597,MATCH($F1545,Items!$A$5:$A$597,0)),""))</f>
        <v>4</v>
      </c>
      <c r="J1545" s="115">
        <f>IF(tblIssues[[#This Row],[Qty Override]]&lt;&gt;"",tblIssues[[#This Row],[Qty Override]],IF(tblIssues[[#This Row],[Standard Issue]]="","",tblIssues[[#This Row],[Standard Issue]]))</f>
        <v>4</v>
      </c>
      <c r="K1545" s="20">
        <f>IF($F1545="","",IFERROR(INDEX(Items!$D$5:$D$597,MATCH($F1545,Items!$A$5:$A$597,0)),""))</f>
        <v>145.97999999999999</v>
      </c>
      <c r="L1545" s="21">
        <f t="shared" si="272"/>
        <v>583.91999999999996</v>
      </c>
      <c r="M1545" s="9" t="str">
        <f t="shared" si="270"/>
        <v/>
      </c>
      <c r="N1545" s="24">
        <f>IF($A1545="","",WORKDAY($A1545,Settings!$C$9,HolidayDates))</f>
        <v>46217</v>
      </c>
      <c r="O1545" s="24">
        <f>IF($N1545="","",WORKDAY($N1545,Settings!$C$10,HolidayDates))</f>
        <v>46255</v>
      </c>
      <c r="P1545" s="10" t="s">
        <v>501</v>
      </c>
      <c r="Q1545" s="52" t="str">
        <f t="shared" si="262"/>
        <v>Collected</v>
      </c>
      <c r="R1545" s="55" t="str">
        <f t="shared" si="263"/>
        <v>2026-07</v>
      </c>
      <c r="S1545" s="55">
        <f>IF(OR($B1545="",$F1545="",$R1545=""),"",SUMIFS(tblIssues[Qty Issued],tblIssues[Staff ID],$B1545,tblIssues[Item Name],$F1545,tblIssues[Month],$R1545))</f>
        <v>4</v>
      </c>
      <c r="T1545" s="56">
        <f>IF($I1545="","",$I1545*Settings!$C$11)</f>
        <v>4</v>
      </c>
      <c r="U1545" s="57" t="str">
        <f t="shared" si="271"/>
        <v>OK</v>
      </c>
      <c r="V1545" s="55" t="str">
        <f t="shared" si="264"/>
        <v/>
      </c>
      <c r="W1545" s="55" t="str">
        <f>IF($V1545="","",IF(COUNTIF($V$5:$V1545,$V1545)=1,1,""))</f>
        <v/>
      </c>
      <c r="X1545" s="58" t="str">
        <f>IF($W1545="","",MAX($X$4:X1544)+1)</f>
        <v/>
      </c>
      <c r="Y1545" s="62"/>
      <c r="Z1545" s="62"/>
      <c r="AA1545" s="64" t="str">
        <f>IF($C1545="","",IFERROR(INDEX('Staff Directory'!$E$5:$E$594,MATCH($C1545,'Staff Directory'!$B$5:$B$594,0)),""))</f>
        <v>firstname251.lastname251@example.com</v>
      </c>
      <c r="AB1545" s="64" t="str">
        <f>IF($C1545="","",IF(ISNUMBER(SEARCH($D1545,Settings!$C$15)),"Pickup","Dispatch"))</f>
        <v>Pickup</v>
      </c>
      <c r="AC1545" s="64" t="str">
        <f t="shared" si="265"/>
        <v>Supply order ready for pickup</v>
      </c>
      <c r="AD1545" s="64" t="str">
        <f t="shared" si="267"/>
        <v>Dear PSW,
Your order is ready for pickup from Sample Branch, Wed-Fri 9am-4pm.</v>
      </c>
      <c r="AE1545" s="64" t="str">
        <f t="shared" si="268"/>
        <v>mailto:firstname251.lastname251@example.com?subject=Supply%20order%20ready%20for%20pickup&amp;body=Dear%20PSW%2C%0A%0AYour%20order%20is%20ready%20for%20pickup%20from%20Sample%20Branch%2C%20Wed-Fri%209am-4pm.</v>
      </c>
      <c r="AF1545" s="89" t="str">
        <f t="shared" si="266"/>
        <v>Draft email</v>
      </c>
      <c r="AG1545" s="64" t="str">
        <f>IF($C1545="","",IFERROR(INDEX('Staff Directory'!$K$595:$K$599,MATCH($C1545,'Staff Directory'!$B$5:$B$599,0)),$D1545))</f>
        <v>PSW</v>
      </c>
      <c r="AH1545" t="str">
        <f>IF($C1545="","",IFERROR(INDEX('Staff Directory'!$I$595:$I$599,MATCH($C1545,'Staff Directory'!$B$5:$B$599,0))&amp;" "&amp;INDEX('Staff Directory'!$J$595:$J$599,MATCH($C1545,'Staff Directory'!$B$5:$B$599,0)),$AG1545))</f>
        <v>PSW</v>
      </c>
      <c r="AI1545" s="102"/>
      <c r="AJ1545" s="101">
        <f>IF($F1545="","",SUMIFS($J$5:$J1545,$F$5:$F1545,$F1545))</f>
        <v>68</v>
      </c>
      <c r="AK1545" s="101">
        <f t="shared" si="269"/>
        <v>65</v>
      </c>
      <c r="AL1545" s="66" t="str" cm="1">
        <f t="array" ref="AL1545">IF($F1545="","",IFERROR(INDEX('Lot Balance'!$B$5:$B$500,MATCH(1,INDEX(('Lot Balance'!$A$5:$A$500=$F1545)*('Lot Balance'!$K$5:$K$500&lt;$AK1545)*('Lot Balance'!$K$5:$K$500+'Lot Balance'!$D$5:$D$500&gt;=$AK1545),0),0)),""))</f>
        <v/>
      </c>
      <c r="AM1545" s="66" t="str" cm="1">
        <f t="array" ref="AM1545">IF($F1545="","",IFERROR(INDEX('Lot Balance'!$B$5:$B$500,MATCH(1,INDEX(('Lot Balance'!$A$5:$A$500=$F1545)*('Lot Balance'!$K$5:$K$500&lt;$AJ1545)*('Lot Balance'!$K$5:$K$500+'Lot Balance'!$D$5:$D$500&gt;=$AJ1545),0),0)),""))</f>
        <v/>
      </c>
      <c r="AN1545" s="66" t="str">
        <f>IF($F1545="","",IF($AI1545&lt;&gt;"",IF(COUNTIFS('Lot Balance'!$A$5:$A$500,$F1545,'Lot Balance'!$B$5:$B$500,$AI1545)=0,"⚠ override is not a lot of this item",IF($AI1545=$AL1545,"Override = FEFO","Override - FEFO says "&amp;$AL1545)),IF($AL1545="","⚠ no receipt on file for this item",IF($AM1545&lt;&gt;$AL1545,"FEFO auto - split, also "&amp;$AM1545,"FEFO auto"))))</f>
        <v>⚠ no receipt on file for this item</v>
      </c>
      <c r="AO1545" s="114"/>
    </row>
    <row r="1546" spans="1:41" x14ac:dyDescent="0.35">
      <c r="A1546" s="74">
        <v>46209</v>
      </c>
      <c r="B1546" s="18" t="str">
        <f>IF($C1546="","",IFERROR(INDEX('Staff Directory'!$A$5:$A$594,MATCH($C1546,'Staff Directory'!$B$5:$B$594,0)),"⚠ unknown staff"))</f>
        <v>PSW-188-TBD</v>
      </c>
      <c r="C1546" s="49" t="s">
        <v>1167</v>
      </c>
      <c r="D1546" s="19" t="str">
        <f>IF($B1546="","",IFERROR(INDEX('Staff Directory'!$C$5:$C$594,MATCH($B1546,'Staff Directory'!$A$5:$A$594,0)),""))</f>
        <v>PSW</v>
      </c>
      <c r="E1546" s="19">
        <f>IF($B1546="","",IFERROR(INDEX('Staff Directory'!$D$5:$D$594,MATCH($B1546,'Staff Directory'!$A$5:$A$594,0)),""))</f>
        <v>0</v>
      </c>
      <c r="F1546" s="9" t="s">
        <v>154</v>
      </c>
      <c r="G1546" s="18" t="str">
        <f>IF($F1546="","",IFERROR(INDEX(Items!$B$5:$B$597,MATCH($F1546,Items!$A$5:$A$597,0)),"⚠ not in Items"))</f>
        <v>IPAC</v>
      </c>
      <c r="H1546" s="19" t="str">
        <f>IF($F1546="","",IFERROR(INDEX(Items!$C$5:$C$597,MATCH($F1546,Items!$A$5:$A$597,0)),""))</f>
        <v>Regular</v>
      </c>
      <c r="I1546" s="23">
        <f>IF($F1546="","",IFERROR(INDEX(Items!$E$5:$E$597,MATCH($F1546,Items!$A$5:$A$597,0)),""))</f>
        <v>50</v>
      </c>
      <c r="J1546" s="115">
        <f>IF(tblIssues[[#This Row],[Qty Override]]&lt;&gt;"",tblIssues[[#This Row],[Qty Override]],IF(tblIssues[[#This Row],[Standard Issue]]="","",tblIssues[[#This Row],[Standard Issue]]))</f>
        <v>50</v>
      </c>
      <c r="K1546" s="20">
        <f>IF($F1546="","",IFERROR(INDEX(Items!$D$5:$D$597,MATCH($F1546,Items!$A$5:$A$597,0)),""))</f>
        <v>0.2</v>
      </c>
      <c r="L1546" s="21">
        <f t="shared" si="272"/>
        <v>10</v>
      </c>
      <c r="M1546" s="9" t="str">
        <f t="shared" si="270"/>
        <v/>
      </c>
      <c r="N1546" s="24">
        <f>IF($A1546="","",WORKDAY($A1546,Settings!$C$9,HolidayDates))</f>
        <v>46217</v>
      </c>
      <c r="O1546" s="24">
        <f>IF($N1546="","",WORKDAY($N1546,Settings!$C$10,HolidayDates))</f>
        <v>46255</v>
      </c>
      <c r="P1546" s="10" t="s">
        <v>501</v>
      </c>
      <c r="Q1546" s="52" t="str">
        <f t="shared" si="262"/>
        <v>Collected</v>
      </c>
      <c r="R1546" s="55" t="str">
        <f t="shared" si="263"/>
        <v>2026-07</v>
      </c>
      <c r="S1546" s="55">
        <f>IF(OR($B1546="",$F1546="",$R1546=""),"",SUMIFS(tblIssues[Qty Issued],tblIssues[Staff ID],$B1546,tblIssues[Item Name],$F1546,tblIssues[Month],$R1546))</f>
        <v>50</v>
      </c>
      <c r="T1546" s="56">
        <f>IF($I1546="","",$I1546*Settings!$C$11)</f>
        <v>50</v>
      </c>
      <c r="U1546" s="57" t="str">
        <f t="shared" si="271"/>
        <v>OK</v>
      </c>
      <c r="V1546" s="55" t="str">
        <f t="shared" si="264"/>
        <v/>
      </c>
      <c r="W1546" s="55" t="str">
        <f>IF($V1546="","",IF(COUNTIF($V$5:$V1546,$V1546)=1,1,""))</f>
        <v/>
      </c>
      <c r="X1546" s="58" t="str">
        <f>IF($W1546="","",MAX($X$4:X1545)+1)</f>
        <v/>
      </c>
      <c r="Y1546" s="62"/>
      <c r="Z1546" s="62"/>
      <c r="AA1546" s="64" t="str">
        <f>IF($C1546="","",IFERROR(INDEX('Staff Directory'!$E$5:$E$594,MATCH($C1546,'Staff Directory'!$B$5:$B$594,0)),""))</f>
        <v>firstname251.lastname251@example.com</v>
      </c>
      <c r="AB1546" s="64" t="str">
        <f>IF($C1546="","",IF(ISNUMBER(SEARCH($D1546,Settings!$C$15)),"Pickup","Dispatch"))</f>
        <v>Pickup</v>
      </c>
      <c r="AC1546" s="64" t="str">
        <f t="shared" si="265"/>
        <v>Supply order ready for pickup</v>
      </c>
      <c r="AD1546" s="64" t="str">
        <f t="shared" si="267"/>
        <v>Dear PSW,
Your order is ready for pickup from Sample Branch, Wed-Fri 9am-4pm.</v>
      </c>
      <c r="AE1546" s="64" t="str">
        <f t="shared" si="268"/>
        <v>mailto:firstname251.lastname251@example.com?subject=Supply%20order%20ready%20for%20pickup&amp;body=Dear%20PSW%2C%0A%0AYour%20order%20is%20ready%20for%20pickup%20from%20Sample%20Branch%2C%20Wed-Fri%209am-4pm.</v>
      </c>
      <c r="AF1546" s="89" t="str">
        <f t="shared" si="266"/>
        <v>Draft email</v>
      </c>
      <c r="AG1546" s="64" t="str">
        <f>IF($C1546="","",IFERROR(INDEX('Staff Directory'!$K$595:$K$599,MATCH($C1546,'Staff Directory'!$B$5:$B$599,0)),$D1546))</f>
        <v>PSW</v>
      </c>
      <c r="AH1546" t="str">
        <f>IF($C1546="","",IFERROR(INDEX('Staff Directory'!$I$595:$I$599,MATCH($C1546,'Staff Directory'!$B$5:$B$599,0))&amp;" "&amp;INDEX('Staff Directory'!$J$595:$J$599,MATCH($C1546,'Staff Directory'!$B$5:$B$599,0)),$AG1546))</f>
        <v>PSW</v>
      </c>
      <c r="AI1546" s="102"/>
      <c r="AJ1546" s="101">
        <f>IF($F1546="","",SUMIFS($J$5:$J1546,$F$5:$F1546,$F1546))</f>
        <v>1450</v>
      </c>
      <c r="AK1546" s="101">
        <f t="shared" si="269"/>
        <v>1401</v>
      </c>
      <c r="AL1546" s="66" t="str" cm="1">
        <f t="array" ref="AL1546">IF($F1546="","",IFERROR(INDEX('Lot Balance'!$B$5:$B$500,MATCH(1,INDEX(('Lot Balance'!$A$5:$A$500=$F1546)*('Lot Balance'!$K$5:$K$500&lt;$AK1546)*('Lot Balance'!$K$5:$K$500+'Lot Balance'!$D$5:$D$500&gt;=$AK1546),0),0)),""))</f>
        <v/>
      </c>
      <c r="AM1546" s="66" t="str" cm="1">
        <f t="array" ref="AM1546">IF($F1546="","",IFERROR(INDEX('Lot Balance'!$B$5:$B$500,MATCH(1,INDEX(('Lot Balance'!$A$5:$A$500=$F1546)*('Lot Balance'!$K$5:$K$500&lt;$AJ1546)*('Lot Balance'!$K$5:$K$500+'Lot Balance'!$D$5:$D$500&gt;=$AJ1546),0),0)),""))</f>
        <v/>
      </c>
      <c r="AN1546" s="66" t="str">
        <f>IF($F1546="","",IF($AI1546&lt;&gt;"",IF(COUNTIFS('Lot Balance'!$A$5:$A$500,$F1546,'Lot Balance'!$B$5:$B$500,$AI1546)=0,"⚠ override is not a lot of this item",IF($AI1546=$AL1546,"Override = FEFO","Override - FEFO says "&amp;$AL1546)),IF($AL1546="","⚠ no receipt on file for this item",IF($AM1546&lt;&gt;$AL1546,"FEFO auto - split, also "&amp;$AM1546,"FEFO auto"))))</f>
        <v>⚠ no receipt on file for this item</v>
      </c>
      <c r="AO1546" s="114"/>
    </row>
    <row r="1547" spans="1:41" x14ac:dyDescent="0.35">
      <c r="A1547" s="74">
        <v>46209</v>
      </c>
      <c r="B1547" s="18" t="str">
        <f>IF($C1547="","",IFERROR(INDEX('Staff Directory'!$A$5:$A$594,MATCH($C1547,'Staff Directory'!$B$5:$B$594,0)),"⚠ unknown staff"))</f>
        <v>PSW-188-TBD</v>
      </c>
      <c r="C1547" s="49" t="s">
        <v>1167</v>
      </c>
      <c r="D1547" s="19" t="str">
        <f>IF($B1547="","",IFERROR(INDEX('Staff Directory'!$C$5:$C$594,MATCH($B1547,'Staff Directory'!$A$5:$A$594,0)),""))</f>
        <v>PSW</v>
      </c>
      <c r="E1547" s="19">
        <f>IF($B1547="","",IFERROR(INDEX('Staff Directory'!$D$5:$D$594,MATCH($B1547,'Staff Directory'!$A$5:$A$594,0)),""))</f>
        <v>0</v>
      </c>
      <c r="F1547" s="9" t="s">
        <v>136</v>
      </c>
      <c r="G1547" s="18" t="str">
        <f>IF($F1547="","",IFERROR(INDEX(Items!$B$5:$B$597,MATCH($F1547,Items!$A$5:$A$597,0)),"⚠ not in Items"))</f>
        <v>Eye Protection</v>
      </c>
      <c r="H1547" s="19" t="str">
        <f>IF($F1547="","",IFERROR(INDEX(Items!$C$5:$C$597,MATCH($F1547,Items!$A$5:$A$597,0)),""))</f>
        <v>One Size</v>
      </c>
      <c r="I1547" s="23">
        <f>IF($F1547="","",IFERROR(INDEX(Items!$E$5:$E$597,MATCH($F1547,Items!$A$5:$A$597,0)),""))</f>
        <v>1</v>
      </c>
      <c r="J1547" s="115">
        <f>IF(tblIssues[[#This Row],[Qty Override]]&lt;&gt;"",tblIssues[[#This Row],[Qty Override]],IF(tblIssues[[#This Row],[Standard Issue]]="","",tblIssues[[#This Row],[Standard Issue]]))</f>
        <v>1</v>
      </c>
      <c r="K1547" s="20">
        <f>IF($F1547="","",IFERROR(INDEX(Items!$D$5:$D$597,MATCH($F1547,Items!$A$5:$A$597,0)),""))</f>
        <v>10</v>
      </c>
      <c r="L1547" s="21">
        <f t="shared" si="272"/>
        <v>10</v>
      </c>
      <c r="M1547" s="9" t="str">
        <f t="shared" si="270"/>
        <v>GGL5003700</v>
      </c>
      <c r="N1547" s="24">
        <f>IF($A1547="","",WORKDAY($A1547,Settings!$C$9,HolidayDates))</f>
        <v>46217</v>
      </c>
      <c r="O1547" s="24">
        <f>IF($N1547="","",WORKDAY($N1547,Settings!$C$10,HolidayDates))</f>
        <v>46255</v>
      </c>
      <c r="P1547" s="10" t="s">
        <v>501</v>
      </c>
      <c r="Q1547" s="52" t="str">
        <f t="shared" si="262"/>
        <v>Collected</v>
      </c>
      <c r="R1547" s="55" t="str">
        <f t="shared" si="263"/>
        <v>2026-07</v>
      </c>
      <c r="S1547" s="55">
        <f>IF(OR($B1547="",$F1547="",$R1547=""),"",SUMIFS(tblIssues[Qty Issued],tblIssues[Staff ID],$B1547,tblIssues[Item Name],$F1547,tblIssues[Month],$R1547))</f>
        <v>1</v>
      </c>
      <c r="T1547" s="56">
        <f>IF($I1547="","",$I1547*Settings!$C$11)</f>
        <v>1</v>
      </c>
      <c r="U1547" s="57" t="str">
        <f t="shared" si="271"/>
        <v>OK</v>
      </c>
      <c r="V1547" s="55" t="str">
        <f t="shared" si="264"/>
        <v/>
      </c>
      <c r="W1547" s="55" t="str">
        <f>IF($V1547="","",IF(COUNTIF($V$5:$V1547,$V1547)=1,1,""))</f>
        <v/>
      </c>
      <c r="X1547" s="58" t="str">
        <f>IF($W1547="","",MAX($X$4:X1546)+1)</f>
        <v/>
      </c>
      <c r="Y1547" s="62"/>
      <c r="Z1547" s="62"/>
      <c r="AA1547" s="64" t="str">
        <f>IF($C1547="","",IFERROR(INDEX('Staff Directory'!$E$5:$E$594,MATCH($C1547,'Staff Directory'!$B$5:$B$594,0)),""))</f>
        <v>firstname251.lastname251@example.com</v>
      </c>
      <c r="AB1547" s="64" t="str">
        <f>IF($C1547="","",IF(ISNUMBER(SEARCH($D1547,Settings!$C$15)),"Pickup","Dispatch"))</f>
        <v>Pickup</v>
      </c>
      <c r="AC1547" s="64" t="str">
        <f t="shared" si="265"/>
        <v>Supply order ready for pickup</v>
      </c>
      <c r="AD1547" s="64" t="str">
        <f t="shared" si="267"/>
        <v>Dear PSW,
Your order is ready for pickup from Sample Branch, Wed-Fri 9am-4pm.</v>
      </c>
      <c r="AE1547" s="64" t="str">
        <f t="shared" si="268"/>
        <v>mailto:firstname251.lastname251@example.com?subject=Supply%20order%20ready%20for%20pickup&amp;body=Dear%20PSW%2C%0A%0AYour%20order%20is%20ready%20for%20pickup%20from%20Sample%20Branch%2C%20Wed-Fri%209am-4pm.</v>
      </c>
      <c r="AF1547" s="89" t="str">
        <f t="shared" si="266"/>
        <v>Draft email</v>
      </c>
      <c r="AG1547" s="64" t="str">
        <f>IF($C1547="","",IFERROR(INDEX('Staff Directory'!$K$595:$K$599,MATCH($C1547,'Staff Directory'!$B$5:$B$599,0)),$D1547))</f>
        <v>PSW</v>
      </c>
      <c r="AH1547" t="str">
        <f>IF($C1547="","",IFERROR(INDEX('Staff Directory'!$I$595:$I$599,MATCH($C1547,'Staff Directory'!$B$5:$B$599,0))&amp;" "&amp;INDEX('Staff Directory'!$J$595:$J$599,MATCH($C1547,'Staff Directory'!$B$5:$B$599,0)),$AG1547))</f>
        <v>PSW</v>
      </c>
      <c r="AI1547" s="102"/>
      <c r="AJ1547" s="101">
        <f>IF($F1547="","",SUMIFS($J$5:$J1547,$F$5:$F1547,$F1547))</f>
        <v>13</v>
      </c>
      <c r="AK1547" s="101">
        <f t="shared" si="269"/>
        <v>13</v>
      </c>
      <c r="AL1547" s="66" t="str" cm="1">
        <f t="array" ref="AL1547">IF($F1547="","",IFERROR(INDEX('Lot Balance'!$B$5:$B$500,MATCH(1,INDEX(('Lot Balance'!$A$5:$A$500=$F1547)*('Lot Balance'!$K$5:$K$500&lt;$AK1547)*('Lot Balance'!$K$5:$K$500+'Lot Balance'!$D$5:$D$500&gt;=$AK1547),0),0)),""))</f>
        <v>GGL5003700</v>
      </c>
      <c r="AM1547" s="66" t="str" cm="1">
        <f t="array" ref="AM1547">IF($F1547="","",IFERROR(INDEX('Lot Balance'!$B$5:$B$500,MATCH(1,INDEX(('Lot Balance'!$A$5:$A$500=$F1547)*('Lot Balance'!$K$5:$K$500&lt;$AJ1547)*('Lot Balance'!$K$5:$K$500+'Lot Balance'!$D$5:$D$500&gt;=$AJ1547),0),0)),""))</f>
        <v>GGL5003700</v>
      </c>
      <c r="AN1547" s="66" t="str">
        <f>IF($F1547="","",IF($AI1547&lt;&gt;"",IF(COUNTIFS('Lot Balance'!$A$5:$A$500,$F1547,'Lot Balance'!$B$5:$B$500,$AI1547)=0,"⚠ override is not a lot of this item",IF($AI1547=$AL1547,"Override = FEFO","Override - FEFO says "&amp;$AL1547)),IF($AL1547="","⚠ no receipt on file for this item",IF($AM1547&lt;&gt;$AL1547,"FEFO auto - split, also "&amp;$AM1547,"FEFO auto"))))</f>
        <v>FEFO auto</v>
      </c>
      <c r="AO1547" s="114"/>
    </row>
    <row r="1548" spans="1:41" x14ac:dyDescent="0.35">
      <c r="A1548" s="74">
        <v>46209</v>
      </c>
      <c r="B1548" s="18" t="str">
        <f>IF($C1548="","",IFERROR(INDEX('Staff Directory'!$A$5:$A$594,MATCH($C1548,'Staff Directory'!$B$5:$B$594,0)),"⚠ unknown staff"))</f>
        <v>PSW-188-TBD</v>
      </c>
      <c r="C1548" s="49" t="s">
        <v>1167</v>
      </c>
      <c r="D1548" s="19" t="str">
        <f>IF($B1548="","",IFERROR(INDEX('Staff Directory'!$C$5:$C$594,MATCH($B1548,'Staff Directory'!$A$5:$A$594,0)),""))</f>
        <v>PSW</v>
      </c>
      <c r="E1548" s="19">
        <f>IF($B1548="","",IFERROR(INDEX('Staff Directory'!$D$5:$D$594,MATCH($B1548,'Staff Directory'!$A$5:$A$594,0)),""))</f>
        <v>0</v>
      </c>
      <c r="F1548" s="9" t="s">
        <v>122</v>
      </c>
      <c r="G1548" s="18" t="str">
        <f>IF($F1548="","",IFERROR(INDEX(Items!$B$5:$B$597,MATCH($F1548,Items!$A$5:$A$597,0)),"⚠ not in Items"))</f>
        <v>Eye Protection</v>
      </c>
      <c r="H1548" s="19" t="str">
        <f>IF($F1548="","",IFERROR(INDEX(Items!$C$5:$C$597,MATCH($F1548,Items!$A$5:$A$597,0)),""))</f>
        <v>One Size</v>
      </c>
      <c r="I1548" s="23">
        <f>IF($F1548="","",IFERROR(INDEX(Items!$E$5:$E$597,MATCH($F1548,Items!$A$5:$A$597,0)),""))</f>
        <v>1</v>
      </c>
      <c r="J1548" s="115">
        <f>IF(tblIssues[[#This Row],[Qty Override]]&lt;&gt;"",tblIssues[[#This Row],[Qty Override]],IF(tblIssues[[#This Row],[Standard Issue]]="","",tblIssues[[#This Row],[Standard Issue]]))</f>
        <v>1</v>
      </c>
      <c r="K1548" s="20">
        <f>IF($F1548="","",IFERROR(INDEX(Items!$D$5:$D$597,MATCH($F1548,Items!$A$5:$A$597,0)),""))</f>
        <v>7</v>
      </c>
      <c r="L1548" s="21">
        <f t="shared" si="272"/>
        <v>7</v>
      </c>
      <c r="M1548" s="9" t="str">
        <f t="shared" si="270"/>
        <v/>
      </c>
      <c r="N1548" s="24">
        <f>IF($A1548="","",WORKDAY($A1548,Settings!$C$9,HolidayDates))</f>
        <v>46217</v>
      </c>
      <c r="O1548" s="24">
        <f>IF($N1548="","",WORKDAY($N1548,Settings!$C$10,HolidayDates))</f>
        <v>46255</v>
      </c>
      <c r="P1548" s="10" t="s">
        <v>501</v>
      </c>
      <c r="Q1548" s="52" t="str">
        <f t="shared" si="262"/>
        <v>Collected</v>
      </c>
      <c r="R1548" s="55" t="str">
        <f t="shared" si="263"/>
        <v>2026-07</v>
      </c>
      <c r="S1548" s="55">
        <f>IF(OR($B1548="",$F1548="",$R1548=""),"",SUMIFS(tblIssues[Qty Issued],tblIssues[Staff ID],$B1548,tblIssues[Item Name],$F1548,tblIssues[Month],$R1548))</f>
        <v>1</v>
      </c>
      <c r="T1548" s="56">
        <f>IF($I1548="","",$I1548*Settings!$C$11)</f>
        <v>1</v>
      </c>
      <c r="U1548" s="57" t="str">
        <f t="shared" si="271"/>
        <v>OK</v>
      </c>
      <c r="V1548" s="55" t="str">
        <f t="shared" si="264"/>
        <v/>
      </c>
      <c r="W1548" s="55" t="str">
        <f>IF($V1548="","",IF(COUNTIF($V$5:$V1548,$V1548)=1,1,""))</f>
        <v/>
      </c>
      <c r="X1548" s="58" t="str">
        <f>IF($W1548="","",MAX($X$4:X1547)+1)</f>
        <v/>
      </c>
      <c r="Y1548" s="62"/>
      <c r="Z1548" s="62"/>
      <c r="AA1548" s="64" t="str">
        <f>IF($C1548="","",IFERROR(INDEX('Staff Directory'!$E$5:$E$594,MATCH($C1548,'Staff Directory'!$B$5:$B$594,0)),""))</f>
        <v>firstname251.lastname251@example.com</v>
      </c>
      <c r="AB1548" s="64" t="str">
        <f>IF($C1548="","",IF(ISNUMBER(SEARCH($D1548,Settings!$C$15)),"Pickup","Dispatch"))</f>
        <v>Pickup</v>
      </c>
      <c r="AC1548" s="64" t="str">
        <f t="shared" si="265"/>
        <v>Supply order ready for pickup</v>
      </c>
      <c r="AD1548" s="64" t="str">
        <f t="shared" si="267"/>
        <v>Dear PSW,
Your order is ready for pickup from Sample Branch, Wed-Fri 9am-4pm.</v>
      </c>
      <c r="AE1548" s="64" t="str">
        <f t="shared" si="268"/>
        <v>mailto:firstname251.lastname251@example.com?subject=Supply%20order%20ready%20for%20pickup&amp;body=Dear%20PSW%2C%0A%0AYour%20order%20is%20ready%20for%20pickup%20from%20Sample%20Branch%2C%20Wed-Fri%209am-4pm.</v>
      </c>
      <c r="AF1548" s="89" t="str">
        <f t="shared" si="266"/>
        <v>Draft email</v>
      </c>
      <c r="AG1548" s="64" t="str">
        <f>IF($C1548="","",IFERROR(INDEX('Staff Directory'!$K$595:$K$599,MATCH($C1548,'Staff Directory'!$B$5:$B$599,0)),$D1548))</f>
        <v>PSW</v>
      </c>
      <c r="AH1548" t="str">
        <f>IF($C1548="","",IFERROR(INDEX('Staff Directory'!$I$595:$I$599,MATCH($C1548,'Staff Directory'!$B$5:$B$599,0))&amp;" "&amp;INDEX('Staff Directory'!$J$595:$J$599,MATCH($C1548,'Staff Directory'!$B$5:$B$599,0)),$AG1548))</f>
        <v>PSW</v>
      </c>
      <c r="AI1548" s="102"/>
      <c r="AJ1548" s="101">
        <f>IF($F1548="","",SUMIFS($J$5:$J1548,$F$5:$F1548,$F1548))</f>
        <v>14</v>
      </c>
      <c r="AK1548" s="101">
        <f t="shared" si="269"/>
        <v>14</v>
      </c>
      <c r="AL1548" s="66" t="str" cm="1">
        <f t="array" ref="AL1548">IF($F1548="","",IFERROR(INDEX('Lot Balance'!$B$5:$B$500,MATCH(1,INDEX(('Lot Balance'!$A$5:$A$500=$F1548)*('Lot Balance'!$K$5:$K$500&lt;$AK1548)*('Lot Balance'!$K$5:$K$500+'Lot Balance'!$D$5:$D$500&gt;=$AK1548),0),0)),""))</f>
        <v/>
      </c>
      <c r="AM1548" s="66" t="str" cm="1">
        <f t="array" ref="AM1548">IF($F1548="","",IFERROR(INDEX('Lot Balance'!$B$5:$B$500,MATCH(1,INDEX(('Lot Balance'!$A$5:$A$500=$F1548)*('Lot Balance'!$K$5:$K$500&lt;$AJ1548)*('Lot Balance'!$K$5:$K$500+'Lot Balance'!$D$5:$D$500&gt;=$AJ1548),0),0)),""))</f>
        <v/>
      </c>
      <c r="AN1548" s="66" t="str">
        <f>IF($F1548="","",IF($AI1548&lt;&gt;"",IF(COUNTIFS('Lot Balance'!$A$5:$A$500,$F1548,'Lot Balance'!$B$5:$B$500,$AI1548)=0,"⚠ override is not a lot of this item",IF($AI1548=$AL1548,"Override = FEFO","Override - FEFO says "&amp;$AL1548)),IF($AL1548="","⚠ no receipt on file for this item",IF($AM1548&lt;&gt;$AL1548,"FEFO auto - split, also "&amp;$AM1548,"FEFO auto"))))</f>
        <v>⚠ no receipt on file for this item</v>
      </c>
      <c r="AO1548" s="114"/>
    </row>
    <row r="1549" spans="1:41" x14ac:dyDescent="0.35">
      <c r="A1549" s="74">
        <v>46209</v>
      </c>
      <c r="B1549" s="18" t="str">
        <f>IF($C1549="","",IFERROR(INDEX('Staff Directory'!$A$5:$A$594,MATCH($C1549,'Staff Directory'!$B$5:$B$594,0)),"⚠ unknown staff"))</f>
        <v>PSW-188-TBD</v>
      </c>
      <c r="C1549" s="49" t="s">
        <v>1167</v>
      </c>
      <c r="D1549" s="19" t="str">
        <f>IF($B1549="","",IFERROR(INDEX('Staff Directory'!$C$5:$C$594,MATCH($B1549,'Staff Directory'!$A$5:$A$594,0)),""))</f>
        <v>PSW</v>
      </c>
      <c r="E1549" s="19">
        <f>IF($B1549="","",IFERROR(INDEX('Staff Directory'!$D$5:$D$594,MATCH($B1549,'Staff Directory'!$A$5:$A$594,0)),""))</f>
        <v>0</v>
      </c>
      <c r="F1549" s="9" t="s">
        <v>150</v>
      </c>
      <c r="G1549" s="18" t="str">
        <f>IF($F1549="","",IFERROR(INDEX(Items!$B$5:$B$597,MATCH($F1549,Items!$A$5:$A$597,0)),"⚠ not in Items"))</f>
        <v>Documents</v>
      </c>
      <c r="H1549" s="19" t="str">
        <f>IF($F1549="","",IFERROR(INDEX(Items!$C$5:$C$597,MATCH($F1549,Items!$A$5:$A$597,0)),""))</f>
        <v>Standard</v>
      </c>
      <c r="I1549" s="23">
        <f>IF($F1549="","",IFERROR(INDEX(Items!$E$5:$E$597,MATCH($F1549,Items!$A$5:$A$597,0)),""))</f>
        <v>1</v>
      </c>
      <c r="J1549" s="115">
        <f>IF(tblIssues[[#This Row],[Qty Override]]&lt;&gt;"",tblIssues[[#This Row],[Qty Override]],IF(tblIssues[[#This Row],[Standard Issue]]="","",tblIssues[[#This Row],[Standard Issue]]))</f>
        <v>1</v>
      </c>
      <c r="K1549" s="20">
        <f>IF($F1549="","",IFERROR(INDEX(Items!$D$5:$D$597,MATCH($F1549,Items!$A$5:$A$597,0)),""))</f>
        <v>0</v>
      </c>
      <c r="L1549" s="21">
        <f t="shared" si="272"/>
        <v>0</v>
      </c>
      <c r="M1549" s="9" t="str">
        <f t="shared" si="270"/>
        <v/>
      </c>
      <c r="N1549" s="24">
        <f>IF($A1549="","",WORKDAY($A1549,Settings!$C$9,HolidayDates))</f>
        <v>46217</v>
      </c>
      <c r="O1549" s="24">
        <f>IF($N1549="","",WORKDAY($N1549,Settings!$C$10,HolidayDates))</f>
        <v>46255</v>
      </c>
      <c r="P1549" s="10" t="s">
        <v>501</v>
      </c>
      <c r="Q1549" s="52" t="str">
        <f t="shared" si="262"/>
        <v>Collected</v>
      </c>
      <c r="R1549" s="55" t="str">
        <f t="shared" si="263"/>
        <v>2026-07</v>
      </c>
      <c r="S1549" s="55">
        <f>IF(OR($B1549="",$F1549="",$R1549=""),"",SUMIFS(tblIssues[Qty Issued],tblIssues[Staff ID],$B1549,tblIssues[Item Name],$F1549,tblIssues[Month],$R1549))</f>
        <v>1</v>
      </c>
      <c r="T1549" s="56">
        <f>IF($I1549="","",$I1549*Settings!$C$11)</f>
        <v>1</v>
      </c>
      <c r="U1549" s="57" t="str">
        <f t="shared" si="271"/>
        <v>OK</v>
      </c>
      <c r="V1549" s="55" t="str">
        <f t="shared" si="264"/>
        <v/>
      </c>
      <c r="W1549" s="55" t="str">
        <f>IF($V1549="","",IF(COUNTIF($V$5:$V1549,$V1549)=1,1,""))</f>
        <v/>
      </c>
      <c r="X1549" s="58" t="str">
        <f>IF($W1549="","",MAX($X$4:X1548)+1)</f>
        <v/>
      </c>
      <c r="Y1549" s="62"/>
      <c r="Z1549" s="62"/>
      <c r="AA1549" s="64" t="str">
        <f>IF($C1549="","",IFERROR(INDEX('Staff Directory'!$E$5:$E$594,MATCH($C1549,'Staff Directory'!$B$5:$B$594,0)),""))</f>
        <v>firstname251.lastname251@example.com</v>
      </c>
      <c r="AB1549" s="64" t="str">
        <f>IF($C1549="","",IF(ISNUMBER(SEARCH($D1549,Settings!$C$15)),"Pickup","Dispatch"))</f>
        <v>Pickup</v>
      </c>
      <c r="AC1549" s="64" t="str">
        <f t="shared" si="265"/>
        <v>Supply order ready for pickup</v>
      </c>
      <c r="AD1549" s="64" t="str">
        <f t="shared" si="267"/>
        <v>Dear PSW,
Your order is ready for pickup from Sample Branch, Wed-Fri 9am-4pm.</v>
      </c>
      <c r="AE1549" s="64" t="str">
        <f t="shared" si="268"/>
        <v>mailto:firstname251.lastname251@example.com?subject=Supply%20order%20ready%20for%20pickup&amp;body=Dear%20PSW%2C%0A%0AYour%20order%20is%20ready%20for%20pickup%20from%20Sample%20Branch%2C%20Wed-Fri%209am-4pm.</v>
      </c>
      <c r="AF1549" s="89" t="str">
        <f t="shared" si="266"/>
        <v>Draft email</v>
      </c>
      <c r="AG1549" s="64" t="str">
        <f>IF($C1549="","",IFERROR(INDEX('Staff Directory'!$K$595:$K$599,MATCH($C1549,'Staff Directory'!$B$5:$B$599,0)),$D1549))</f>
        <v>PSW</v>
      </c>
      <c r="AH1549" t="str">
        <f>IF($C1549="","",IFERROR(INDEX('Staff Directory'!$I$595:$I$599,MATCH($C1549,'Staff Directory'!$B$5:$B$599,0))&amp;" "&amp;INDEX('Staff Directory'!$J$595:$J$599,MATCH($C1549,'Staff Directory'!$B$5:$B$599,0)),$AG1549))</f>
        <v>PSW</v>
      </c>
      <c r="AI1549" s="102"/>
      <c r="AJ1549" s="101">
        <f>IF($F1549="","",SUMIFS($J$5:$J1549,$F$5:$F1549,$F1549))</f>
        <v>14</v>
      </c>
      <c r="AK1549" s="101">
        <f t="shared" si="269"/>
        <v>14</v>
      </c>
      <c r="AL1549" s="66" t="str" cm="1">
        <f t="array" ref="AL1549">IF($F1549="","",IFERROR(INDEX('Lot Balance'!$B$5:$B$500,MATCH(1,INDEX(('Lot Balance'!$A$5:$A$500=$F1549)*('Lot Balance'!$K$5:$K$500&lt;$AK1549)*('Lot Balance'!$K$5:$K$500+'Lot Balance'!$D$5:$D$500&gt;=$AK1549),0),0)),""))</f>
        <v/>
      </c>
      <c r="AM1549" s="66" t="str" cm="1">
        <f t="array" ref="AM1549">IF($F1549="","",IFERROR(INDEX('Lot Balance'!$B$5:$B$500,MATCH(1,INDEX(('Lot Balance'!$A$5:$A$500=$F1549)*('Lot Balance'!$K$5:$K$500&lt;$AJ1549)*('Lot Balance'!$K$5:$K$500+'Lot Balance'!$D$5:$D$500&gt;=$AJ1549),0),0)),""))</f>
        <v/>
      </c>
      <c r="AN1549" s="66" t="str">
        <f>IF($F1549="","",IF($AI1549&lt;&gt;"",IF(COUNTIFS('Lot Balance'!$A$5:$A$500,$F1549,'Lot Balance'!$B$5:$B$500,$AI1549)=0,"⚠ override is not a lot of this item",IF($AI1549=$AL1549,"Override = FEFO","Override - FEFO says "&amp;$AL1549)),IF($AL1549="","⚠ no receipt on file for this item",IF($AM1549&lt;&gt;$AL1549,"FEFO auto - split, also "&amp;$AM1549,"FEFO auto"))))</f>
        <v>⚠ no receipt on file for this item</v>
      </c>
      <c r="AO1549" s="114"/>
    </row>
    <row r="1550" spans="1:41" x14ac:dyDescent="0.35">
      <c r="A1550" s="74">
        <v>46209</v>
      </c>
      <c r="B1550" s="18" t="str">
        <f>IF($C1550="","",IFERROR(INDEX('Staff Directory'!$A$5:$A$594,MATCH($C1550,'Staff Directory'!$B$5:$B$594,0)),"⚠ unknown staff"))</f>
        <v>PSW-188-TBD</v>
      </c>
      <c r="C1550" s="49" t="s">
        <v>1167</v>
      </c>
      <c r="D1550" s="19" t="str">
        <f>IF($B1550="","",IFERROR(INDEX('Staff Directory'!$C$5:$C$594,MATCH($B1550,'Staff Directory'!$A$5:$A$594,0)),""))</f>
        <v>PSW</v>
      </c>
      <c r="E1550" s="19">
        <f>IF($B1550="","",IFERROR(INDEX('Staff Directory'!$D$5:$D$594,MATCH($B1550,'Staff Directory'!$A$5:$A$594,0)),""))</f>
        <v>0</v>
      </c>
      <c r="F1550" s="9" t="s">
        <v>755</v>
      </c>
      <c r="G1550" s="18" t="str">
        <f>IF($F1550="","",IFERROR(INDEX(Items!$B$5:$B$597,MATCH($F1550,Items!$A$5:$A$597,0)),"⚠ not in Items"))</f>
        <v>Documents</v>
      </c>
      <c r="H1550" s="19" t="str">
        <f>IF($F1550="","",IFERROR(INDEX(Items!$C$5:$C$597,MATCH($F1550,Items!$A$5:$A$597,0)),""))</f>
        <v>Standard</v>
      </c>
      <c r="I1550" s="23">
        <f>IF($F1550="","",IFERROR(INDEX(Items!$E$5:$E$597,MATCH($F1550,Items!$A$5:$A$597,0)),""))</f>
        <v>2</v>
      </c>
      <c r="J1550" s="115">
        <f>IF(tblIssues[[#This Row],[Qty Override]]&lt;&gt;"",tblIssues[[#This Row],[Qty Override]],IF(tblIssues[[#This Row],[Standard Issue]]="","",tblIssues[[#This Row],[Standard Issue]]))</f>
        <v>2</v>
      </c>
      <c r="K1550" s="20">
        <f>IF($F1550="","",IFERROR(INDEX(Items!$D$5:$D$597,MATCH($F1550,Items!$A$5:$A$597,0)),""))</f>
        <v>0</v>
      </c>
      <c r="L1550" s="21">
        <f t="shared" si="272"/>
        <v>0</v>
      </c>
      <c r="M1550" s="9" t="str">
        <f t="shared" si="270"/>
        <v/>
      </c>
      <c r="N1550" s="24">
        <f>IF($A1550="","",WORKDAY($A1550,Settings!$C$9,HolidayDates))</f>
        <v>46217</v>
      </c>
      <c r="O1550" s="24">
        <f>IF($N1550="","",WORKDAY($N1550,Settings!$C$10,HolidayDates))</f>
        <v>46255</v>
      </c>
      <c r="P1550" s="10" t="s">
        <v>501</v>
      </c>
      <c r="Q1550" s="52" t="str">
        <f t="shared" ref="Q1550:Q1613" si="273">IF($A1550="","",IF($P1550&lt;&gt;"","Collected","Pending"))</f>
        <v>Collected</v>
      </c>
      <c r="R1550" s="55" t="str">
        <f t="shared" ref="R1550:R1613" si="274">IF($A1550="","",TEXT($A1550,"yyyy-mm"))</f>
        <v>2026-07</v>
      </c>
      <c r="S1550" s="55">
        <f>IF(OR($B1550="",$F1550="",$R1550=""),"",SUMIFS(tblIssues[Qty Issued],tblIssues[Staff ID],$B1550,tblIssues[Item Name],$F1550,tblIssues[Month],$R1550))</f>
        <v>2</v>
      </c>
      <c r="T1550" s="56">
        <f>IF($I1550="","",$I1550*Settings!$C$11)</f>
        <v>2</v>
      </c>
      <c r="U1550" s="57" t="str">
        <f t="shared" si="271"/>
        <v>OK</v>
      </c>
      <c r="V1550" s="55" t="str">
        <f t="shared" ref="V1550:V1613" si="275">IF($U1550="⚠ OVER QUOTA",$B1550&amp;" | "&amp;$F1550&amp;" | "&amp;$R1550,"")</f>
        <v/>
      </c>
      <c r="W1550" s="55" t="str">
        <f>IF($V1550="","",IF(COUNTIF($V$5:$V1550,$V1550)=1,1,""))</f>
        <v/>
      </c>
      <c r="X1550" s="58" t="str">
        <f>IF($W1550="","",MAX($X$4:X1549)+1)</f>
        <v/>
      </c>
      <c r="Y1550" s="62"/>
      <c r="Z1550" s="62"/>
      <c r="AA1550" s="64" t="str">
        <f>IF($C1550="","",IFERROR(INDEX('Staff Directory'!$E$5:$E$594,MATCH($C1550,'Staff Directory'!$B$5:$B$594,0)),""))</f>
        <v>firstname251.lastname251@example.com</v>
      </c>
      <c r="AB1550" s="64" t="str">
        <f>IF($C1550="","",IF(ISNUMBER(SEARCH($D1550,Settings!$C$15)),"Pickup","Dispatch"))</f>
        <v>Pickup</v>
      </c>
      <c r="AC1550" s="64" t="str">
        <f t="shared" ref="AC1550:AC1613" si="276">IF($AB1550="Pickup","Supply order ready for pickup",IF($AB1550="Dispatch","Supply order dispatched",""))</f>
        <v>Supply order ready for pickup</v>
      </c>
      <c r="AD1550" s="64" t="str">
        <f t="shared" si="267"/>
        <v>Dear PSW,
Your order is ready for pickup from Sample Branch, Wed-Fri 9am-4pm.</v>
      </c>
      <c r="AE1550" s="64" t="str">
        <f t="shared" si="268"/>
        <v>mailto:firstname251.lastname251@example.com?subject=Supply%20order%20ready%20for%20pickup&amp;body=Dear%20PSW%2C%0A%0AYour%20order%20is%20ready%20for%20pickup%20from%20Sample%20Branch%2C%20Wed-Fri%209am-4pm.</v>
      </c>
      <c r="AF1550" s="89" t="str">
        <f t="shared" ref="AF1550:AF1613" si="277">IF(AE1550="","",HYPERLINK(AE1550,"Draft email"))</f>
        <v>Draft email</v>
      </c>
      <c r="AG1550" s="64" t="str">
        <f>IF($C1550="","",IFERROR(INDEX('Staff Directory'!$K$595:$K$599,MATCH($C1550,'Staff Directory'!$B$5:$B$599,0)),$D1550))</f>
        <v>PSW</v>
      </c>
      <c r="AH1550" t="str">
        <f>IF($C1550="","",IFERROR(INDEX('Staff Directory'!$I$595:$I$599,MATCH($C1550,'Staff Directory'!$B$5:$B$599,0))&amp;" "&amp;INDEX('Staff Directory'!$J$595:$J$599,MATCH($C1550,'Staff Directory'!$B$5:$B$599,0)),$AG1550))</f>
        <v>PSW</v>
      </c>
      <c r="AI1550" s="102"/>
      <c r="AJ1550" s="101">
        <f>IF($F1550="","",SUMIFS($J$5:$J1550,$F$5:$F1550,$F1550))</f>
        <v>140</v>
      </c>
      <c r="AK1550" s="101">
        <f t="shared" si="269"/>
        <v>139</v>
      </c>
      <c r="AL1550" s="66" t="str" cm="1">
        <f t="array" ref="AL1550">IF($F1550="","",IFERROR(INDEX('Lot Balance'!$B$5:$B$500,MATCH(1,INDEX(('Lot Balance'!$A$5:$A$500=$F1550)*('Lot Balance'!$K$5:$K$500&lt;$AK1550)*('Lot Balance'!$K$5:$K$500+'Lot Balance'!$D$5:$D$500&gt;=$AK1550),0),0)),""))</f>
        <v/>
      </c>
      <c r="AM1550" s="66" t="str" cm="1">
        <f t="array" ref="AM1550">IF($F1550="","",IFERROR(INDEX('Lot Balance'!$B$5:$B$500,MATCH(1,INDEX(('Lot Balance'!$A$5:$A$500=$F1550)*('Lot Balance'!$K$5:$K$500&lt;$AJ1550)*('Lot Balance'!$K$5:$K$500+'Lot Balance'!$D$5:$D$500&gt;=$AJ1550),0),0)),""))</f>
        <v/>
      </c>
      <c r="AN1550" s="66" t="str">
        <f>IF($F1550="","",IF($AI1550&lt;&gt;"",IF(COUNTIFS('Lot Balance'!$A$5:$A$500,$F1550,'Lot Balance'!$B$5:$B$500,$AI1550)=0,"⚠ override is not a lot of this item",IF($AI1550=$AL1550,"Override = FEFO","Override - FEFO says "&amp;$AL1550)),IF($AL1550="","⚠ no receipt on file for this item",IF($AM1550&lt;&gt;$AL1550,"FEFO auto - split, also "&amp;$AM1550,"FEFO auto"))))</f>
        <v>⚠ no receipt on file for this item</v>
      </c>
      <c r="AO1550" s="114"/>
    </row>
    <row r="1551" spans="1:41" x14ac:dyDescent="0.35">
      <c r="A1551" s="74">
        <v>46209</v>
      </c>
      <c r="B1551" s="18" t="str">
        <f>IF($C1551="","",IFERROR(INDEX('Staff Directory'!$A$5:$A$594,MATCH($C1551,'Staff Directory'!$B$5:$B$594,0)),"⚠ unknown staff"))</f>
        <v>PSW-189-TBD</v>
      </c>
      <c r="C1551" s="49" t="s">
        <v>1168</v>
      </c>
      <c r="D1551" s="19" t="str">
        <f>IF($B1551="","",IFERROR(INDEX('Staff Directory'!$C$5:$C$594,MATCH($B1551,'Staff Directory'!$A$5:$A$594,0)),""))</f>
        <v>PSW</v>
      </c>
      <c r="E1551" s="19">
        <f>IF($B1551="","",IFERROR(INDEX('Staff Directory'!$D$5:$D$594,MATCH($B1551,'Staff Directory'!$A$5:$A$594,0)),""))</f>
        <v>0</v>
      </c>
      <c r="F1551" s="9" t="s">
        <v>124</v>
      </c>
      <c r="G1551" s="18" t="str">
        <f>IF($F1551="","",IFERROR(INDEX(Items!$B$5:$B$597,MATCH($F1551,Items!$A$5:$A$597,0)),"⚠ not in Items"))</f>
        <v>Gloves</v>
      </c>
      <c r="H1551" s="19" t="str">
        <f>IF($F1551="","",IFERROR(INDEX(Items!$C$5:$C$597,MATCH($F1551,Items!$A$5:$A$597,0)),""))</f>
        <v>Large</v>
      </c>
      <c r="I1551" s="23">
        <f>IF($F1551="","",IFERROR(INDEX(Items!$E$5:$E$597,MATCH($F1551,Items!$A$5:$A$597,0)),""))</f>
        <v>500</v>
      </c>
      <c r="J1551" s="115">
        <f>IF(tblIssues[[#This Row],[Qty Override]]&lt;&gt;"",tblIssues[[#This Row],[Qty Override]],IF(tblIssues[[#This Row],[Standard Issue]]="","",tblIssues[[#This Row],[Standard Issue]]))</f>
        <v>500</v>
      </c>
      <c r="K1551" s="20">
        <f>IF($F1551="","",IFERROR(INDEX(Items!$D$5:$D$597,MATCH($F1551,Items!$A$5:$A$597,0)),""))</f>
        <v>5.5E-2</v>
      </c>
      <c r="L1551" s="21">
        <f t="shared" si="272"/>
        <v>27.5</v>
      </c>
      <c r="M1551" s="9" t="str">
        <f t="shared" si="270"/>
        <v>ZIM511139904-3</v>
      </c>
      <c r="N1551" s="24">
        <f>IF($A1551="","",WORKDAY($A1551,Settings!$C$9,HolidayDates))</f>
        <v>46217</v>
      </c>
      <c r="O1551" s="24">
        <f>IF($N1551="","",WORKDAY($N1551,Settings!$C$10,HolidayDates))</f>
        <v>46255</v>
      </c>
      <c r="P1551" s="10" t="s">
        <v>501</v>
      </c>
      <c r="Q1551" s="52" t="str">
        <f t="shared" si="273"/>
        <v>Collected</v>
      </c>
      <c r="R1551" s="55" t="str">
        <f t="shared" si="274"/>
        <v>2026-07</v>
      </c>
      <c r="S1551" s="55">
        <f>IF(OR($B1551="",$F1551="",$R1551=""),"",SUMIFS(tblIssues[Qty Issued],tblIssues[Staff ID],$B1551,tblIssues[Item Name],$F1551,tblIssues[Month],$R1551))</f>
        <v>500</v>
      </c>
      <c r="T1551" s="56">
        <f>IF($I1551="","",$I1551*Settings!$C$11)</f>
        <v>500</v>
      </c>
      <c r="U1551" s="57" t="str">
        <f t="shared" si="271"/>
        <v>OK</v>
      </c>
      <c r="V1551" s="55" t="str">
        <f t="shared" si="275"/>
        <v/>
      </c>
      <c r="W1551" s="55" t="str">
        <f>IF($V1551="","",IF(COUNTIF($V$5:$V1551,$V1551)=1,1,""))</f>
        <v/>
      </c>
      <c r="X1551" s="58" t="str">
        <f>IF($W1551="","",MAX($X$4:X1550)+1)</f>
        <v/>
      </c>
      <c r="Y1551" s="62"/>
      <c r="Z1551" s="62"/>
      <c r="AA1551" s="64" t="str">
        <f>IF($C1551="","",IFERROR(INDEX('Staff Directory'!$E$5:$E$594,MATCH($C1551,'Staff Directory'!$B$5:$B$594,0)),""))</f>
        <v>firstname252.lastname252@example.com</v>
      </c>
      <c r="AB1551" s="64" t="str">
        <f>IF($C1551="","",IF(ISNUMBER(SEARCH($D1551,Settings!$C$15)),"Pickup","Dispatch"))</f>
        <v>Pickup</v>
      </c>
      <c r="AC1551" s="64" t="str">
        <f t="shared" si="276"/>
        <v>Supply order ready for pickup</v>
      </c>
      <c r="AD1551" s="64" t="str">
        <f t="shared" si="267"/>
        <v>Dear PSW,
Your order is ready for pickup from Sample Branch, Wed-Fri 9am-4pm.</v>
      </c>
      <c r="AE1551" s="64" t="str">
        <f t="shared" si="268"/>
        <v>mailto:firstname252.lastname252@example.com?subject=Supply%20order%20ready%20for%20pickup&amp;body=Dear%20PSW%2C%0A%0AYour%20order%20is%20ready%20for%20pickup%20from%20Sample%20Branch%2C%20Wed-Fri%209am-4pm.</v>
      </c>
      <c r="AF1551" s="89" t="str">
        <f t="shared" si="277"/>
        <v>Draft email</v>
      </c>
      <c r="AG1551" s="64" t="str">
        <f>IF($C1551="","",IFERROR(INDEX('Staff Directory'!$K$595:$K$599,MATCH($C1551,'Staff Directory'!$B$5:$B$599,0)),$D1551))</f>
        <v>PSW</v>
      </c>
      <c r="AH1551" t="str">
        <f>IF($C1551="","",IFERROR(INDEX('Staff Directory'!$I$595:$I$599,MATCH($C1551,'Staff Directory'!$B$5:$B$599,0))&amp;" "&amp;INDEX('Staff Directory'!$J$595:$J$599,MATCH($C1551,'Staff Directory'!$B$5:$B$599,0)),$AG1551))</f>
        <v>PSW</v>
      </c>
      <c r="AI1551" s="102"/>
      <c r="AJ1551" s="101">
        <f>IF($F1551="","",SUMIFS($J$5:$J1551,$F$5:$F1551,$F1551))</f>
        <v>42500</v>
      </c>
      <c r="AK1551" s="101">
        <f t="shared" si="269"/>
        <v>42001</v>
      </c>
      <c r="AL1551" s="66" t="str" cm="1">
        <f t="array" ref="AL1551">IF($F1551="","",IFERROR(INDEX('Lot Balance'!$B$5:$B$500,MATCH(1,INDEX(('Lot Balance'!$A$5:$A$500=$F1551)*('Lot Balance'!$K$5:$K$500&lt;$AK1551)*('Lot Balance'!$K$5:$K$500+'Lot Balance'!$D$5:$D$500&gt;=$AK1551),0),0)),""))</f>
        <v>ZIM511139904-3</v>
      </c>
      <c r="AM1551" s="66" t="str" cm="1">
        <f t="array" ref="AM1551">IF($F1551="","",IFERROR(INDEX('Lot Balance'!$B$5:$B$500,MATCH(1,INDEX(('Lot Balance'!$A$5:$A$500=$F1551)*('Lot Balance'!$K$5:$K$500&lt;$AJ1551)*('Lot Balance'!$K$5:$K$500+'Lot Balance'!$D$5:$D$500&gt;=$AJ1551),0),0)),""))</f>
        <v>ZIM511139904-3</v>
      </c>
      <c r="AN1551" s="66" t="str">
        <f>IF($F1551="","",IF($AI1551&lt;&gt;"",IF(COUNTIFS('Lot Balance'!$A$5:$A$500,$F1551,'Lot Balance'!$B$5:$B$500,$AI1551)=0,"⚠ override is not a lot of this item",IF($AI1551=$AL1551,"Override = FEFO","Override - FEFO says "&amp;$AL1551)),IF($AL1551="","⚠ no receipt on file for this item",IF($AM1551&lt;&gt;$AL1551,"FEFO auto - split, also "&amp;$AM1551,"FEFO auto"))))</f>
        <v>FEFO auto</v>
      </c>
      <c r="AO1551" s="114"/>
    </row>
    <row r="1552" spans="1:41" x14ac:dyDescent="0.35">
      <c r="A1552" s="74">
        <v>46209</v>
      </c>
      <c r="B1552" s="18" t="str">
        <f>IF($C1552="","",IFERROR(INDEX('Staff Directory'!$A$5:$A$594,MATCH($C1552,'Staff Directory'!$B$5:$B$594,0)),"⚠ unknown staff"))</f>
        <v>PSW-189-TBD</v>
      </c>
      <c r="C1552" s="49" t="s">
        <v>1168</v>
      </c>
      <c r="D1552" s="19" t="str">
        <f>IF($B1552="","",IFERROR(INDEX('Staff Directory'!$C$5:$C$594,MATCH($B1552,'Staff Directory'!$A$5:$A$594,0)),""))</f>
        <v>PSW</v>
      </c>
      <c r="E1552" s="19">
        <f>IF($B1552="","",IFERROR(INDEX('Staff Directory'!$D$5:$D$594,MATCH($B1552,'Staff Directory'!$A$5:$A$594,0)),""))</f>
        <v>0</v>
      </c>
      <c r="F1552" s="9" t="s">
        <v>115</v>
      </c>
      <c r="G1552" s="18" t="str">
        <f>IF($F1552="","",IFERROR(INDEX(Items!$B$5:$B$597,MATCH($F1552,Items!$A$5:$A$597,0)),"⚠ not in Items"))</f>
        <v>Wipes</v>
      </c>
      <c r="H1552" s="19">
        <f>IF($F1552="","",IFERROR(INDEX(Items!$C$5:$C$597,MATCH($F1552,Items!$A$5:$A$597,0)),""))</f>
        <v>80</v>
      </c>
      <c r="I1552" s="23">
        <f>IF($F1552="","",IFERROR(INDEX(Items!$E$5:$E$597,MATCH($F1552,Items!$A$5:$A$597,0)),""))</f>
        <v>80</v>
      </c>
      <c r="J1552" s="115">
        <f>IF(tblIssues[[#This Row],[Qty Override]]&lt;&gt;"",tblIssues[[#This Row],[Qty Override]],IF(tblIssues[[#This Row],[Standard Issue]]="","",tblIssues[[#This Row],[Standard Issue]]))</f>
        <v>80</v>
      </c>
      <c r="K1552" s="20">
        <f>IF($F1552="","",IFERROR(INDEX(Items!$D$5:$D$597,MATCH($F1552,Items!$A$5:$A$597,0)),""))</f>
        <v>0.1</v>
      </c>
      <c r="L1552" s="21">
        <f t="shared" si="272"/>
        <v>8</v>
      </c>
      <c r="M1552" s="9" t="str">
        <f t="shared" si="270"/>
        <v>LYSL500290</v>
      </c>
      <c r="N1552" s="24">
        <f>IF($A1552="","",WORKDAY($A1552,Settings!$C$9,HolidayDates))</f>
        <v>46217</v>
      </c>
      <c r="O1552" s="24">
        <f>IF($N1552="","",WORKDAY($N1552,Settings!$C$10,HolidayDates))</f>
        <v>46255</v>
      </c>
      <c r="P1552" s="10" t="s">
        <v>501</v>
      </c>
      <c r="Q1552" s="52" t="str">
        <f t="shared" si="273"/>
        <v>Collected</v>
      </c>
      <c r="R1552" s="55" t="str">
        <f t="shared" si="274"/>
        <v>2026-07</v>
      </c>
      <c r="S1552" s="55">
        <f>IF(OR($B1552="",$F1552="",$R1552=""),"",SUMIFS(tblIssues[Qty Issued],tblIssues[Staff ID],$B1552,tblIssues[Item Name],$F1552,tblIssues[Month],$R1552))</f>
        <v>80</v>
      </c>
      <c r="T1552" s="56">
        <f>IF($I1552="","",$I1552*Settings!$C$11)</f>
        <v>80</v>
      </c>
      <c r="U1552" s="57" t="str">
        <f t="shared" si="271"/>
        <v>OK</v>
      </c>
      <c r="V1552" s="55" t="str">
        <f t="shared" si="275"/>
        <v/>
      </c>
      <c r="W1552" s="55" t="str">
        <f>IF($V1552="","",IF(COUNTIF($V$5:$V1552,$V1552)=1,1,""))</f>
        <v/>
      </c>
      <c r="X1552" s="58" t="str">
        <f>IF($W1552="","",MAX($X$4:X1551)+1)</f>
        <v/>
      </c>
      <c r="Y1552" s="62"/>
      <c r="Z1552" s="62"/>
      <c r="AA1552" s="64" t="str">
        <f>IF($C1552="","",IFERROR(INDEX('Staff Directory'!$E$5:$E$594,MATCH($C1552,'Staff Directory'!$B$5:$B$594,0)),""))</f>
        <v>firstname252.lastname252@example.com</v>
      </c>
      <c r="AB1552" s="64" t="str">
        <f>IF($C1552="","",IF(ISNUMBER(SEARCH($D1552,Settings!$C$15)),"Pickup","Dispatch"))</f>
        <v>Pickup</v>
      </c>
      <c r="AC1552" s="64" t="str">
        <f t="shared" si="276"/>
        <v>Supply order ready for pickup</v>
      </c>
      <c r="AD1552" s="64" t="str">
        <f t="shared" si="267"/>
        <v>Dear PSW,
Your order is ready for pickup from Sample Branch, Wed-Fri 9am-4pm.</v>
      </c>
      <c r="AE1552" s="64" t="str">
        <f t="shared" si="268"/>
        <v>mailto:firstname252.lastname252@example.com?subject=Supply%20order%20ready%20for%20pickup&amp;body=Dear%20PSW%2C%0A%0AYour%20order%20is%20ready%20for%20pickup%20from%20Sample%20Branch%2C%20Wed-Fri%209am-4pm.</v>
      </c>
      <c r="AF1552" s="89" t="str">
        <f t="shared" si="277"/>
        <v>Draft email</v>
      </c>
      <c r="AG1552" s="64" t="str">
        <f>IF($C1552="","",IFERROR(INDEX('Staff Directory'!$K$595:$K$599,MATCH($C1552,'Staff Directory'!$B$5:$B$599,0)),$D1552))</f>
        <v>PSW</v>
      </c>
      <c r="AH1552" t="str">
        <f>IF($C1552="","",IFERROR(INDEX('Staff Directory'!$I$595:$I$599,MATCH($C1552,'Staff Directory'!$B$5:$B$599,0))&amp;" "&amp;INDEX('Staff Directory'!$J$595:$J$599,MATCH($C1552,'Staff Directory'!$B$5:$B$599,0)),$AG1552))</f>
        <v>PSW</v>
      </c>
      <c r="AI1552" s="102"/>
      <c r="AJ1552" s="101">
        <f>IF($F1552="","",SUMIFS($J$5:$J1552,$F$5:$F1552,$F1552))</f>
        <v>21200</v>
      </c>
      <c r="AK1552" s="101">
        <f t="shared" si="269"/>
        <v>21121</v>
      </c>
      <c r="AL1552" s="66" t="str" cm="1">
        <f t="array" ref="AL1552">IF($F1552="","",IFERROR(INDEX('Lot Balance'!$B$5:$B$500,MATCH(1,INDEX(('Lot Balance'!$A$5:$A$500=$F1552)*('Lot Balance'!$K$5:$K$500&lt;$AK1552)*('Lot Balance'!$K$5:$K$500+'Lot Balance'!$D$5:$D$500&gt;=$AK1552),0),0)),""))</f>
        <v>LYSL500290</v>
      </c>
      <c r="AM1552" s="66" t="str" cm="1">
        <f t="array" ref="AM1552">IF($F1552="","",IFERROR(INDEX('Lot Balance'!$B$5:$B$500,MATCH(1,INDEX(('Lot Balance'!$A$5:$A$500=$F1552)*('Lot Balance'!$K$5:$K$500&lt;$AJ1552)*('Lot Balance'!$K$5:$K$500+'Lot Balance'!$D$5:$D$500&gt;=$AJ1552),0),0)),""))</f>
        <v>LYSL500290</v>
      </c>
      <c r="AN1552" s="66" t="str">
        <f>IF($F1552="","",IF($AI1552&lt;&gt;"",IF(COUNTIFS('Lot Balance'!$A$5:$A$500,$F1552,'Lot Balance'!$B$5:$B$500,$AI1552)=0,"⚠ override is not a lot of this item",IF($AI1552=$AL1552,"Override = FEFO","Override - FEFO says "&amp;$AL1552)),IF($AL1552="","⚠ no receipt on file for this item",IF($AM1552&lt;&gt;$AL1552,"FEFO auto - split, also "&amp;$AM1552,"FEFO auto"))))</f>
        <v>FEFO auto</v>
      </c>
      <c r="AO1552" s="114"/>
    </row>
    <row r="1553" spans="1:41" x14ac:dyDescent="0.35">
      <c r="A1553" s="74">
        <v>46209</v>
      </c>
      <c r="B1553" s="18" t="str">
        <f>IF($C1553="","",IFERROR(INDEX('Staff Directory'!$A$5:$A$594,MATCH($C1553,'Staff Directory'!$B$5:$B$594,0)),"⚠ unknown staff"))</f>
        <v>PSW-189-TBD</v>
      </c>
      <c r="C1553" s="49" t="s">
        <v>1168</v>
      </c>
      <c r="D1553" s="19" t="str">
        <f>IF($B1553="","",IFERROR(INDEX('Staff Directory'!$C$5:$C$594,MATCH($B1553,'Staff Directory'!$A$5:$A$594,0)),""))</f>
        <v>PSW</v>
      </c>
      <c r="E1553" s="19">
        <f>IF($B1553="","",IFERROR(INDEX('Staff Directory'!$D$5:$D$594,MATCH($B1553,'Staff Directory'!$A$5:$A$594,0)),""))</f>
        <v>0</v>
      </c>
      <c r="F1553" s="9" t="s">
        <v>104</v>
      </c>
      <c r="G1553" s="18" t="str">
        <f>IF($F1553="","",IFERROR(INDEX(Items!$B$5:$B$597,MATCH($F1553,Items!$A$5:$A$597,0)),"⚠ not in Items"))</f>
        <v>Masks</v>
      </c>
      <c r="H1553" s="19" t="str">
        <f>IF($F1553="","",IFERROR(INDEX(Items!$C$5:$C$597,MATCH($F1553,Items!$A$5:$A$597,0)),""))</f>
        <v>One Size</v>
      </c>
      <c r="I1553" s="23">
        <f>IF($F1553="","",IFERROR(INDEX(Items!$E$5:$E$597,MATCH($F1553,Items!$A$5:$A$597,0)),""))</f>
        <v>5</v>
      </c>
      <c r="J1553" s="115">
        <f>IF(tblIssues[[#This Row],[Qty Override]]&lt;&gt;"",tblIssues[[#This Row],[Qty Override]],IF(tblIssues[[#This Row],[Standard Issue]]="","",tblIssues[[#This Row],[Standard Issue]]))</f>
        <v>5</v>
      </c>
      <c r="K1553" s="20">
        <f>IF($F1553="","",IFERROR(INDEX(Items!$D$5:$D$597,MATCH($F1553,Items!$A$5:$A$597,0)),""))</f>
        <v>2.0499999999999998</v>
      </c>
      <c r="L1553" s="21">
        <f t="shared" si="272"/>
        <v>10.25</v>
      </c>
      <c r="M1553" s="9" t="str">
        <f t="shared" si="270"/>
        <v>N955003717</v>
      </c>
      <c r="N1553" s="24">
        <f>IF($A1553="","",WORKDAY($A1553,Settings!$C$9,HolidayDates))</f>
        <v>46217</v>
      </c>
      <c r="O1553" s="24">
        <f>IF($N1553="","",WORKDAY($N1553,Settings!$C$10,HolidayDates))</f>
        <v>46255</v>
      </c>
      <c r="P1553" s="10" t="s">
        <v>501</v>
      </c>
      <c r="Q1553" s="52" t="str">
        <f t="shared" si="273"/>
        <v>Collected</v>
      </c>
      <c r="R1553" s="55" t="str">
        <f t="shared" si="274"/>
        <v>2026-07</v>
      </c>
      <c r="S1553" s="55">
        <f>IF(OR($B1553="",$F1553="",$R1553=""),"",SUMIFS(tblIssues[Qty Issued],tblIssues[Staff ID],$B1553,tblIssues[Item Name],$F1553,tblIssues[Month],$R1553))</f>
        <v>5</v>
      </c>
      <c r="T1553" s="56">
        <f>IF($I1553="","",$I1553*Settings!$C$11)</f>
        <v>5</v>
      </c>
      <c r="U1553" s="57" t="str">
        <f t="shared" si="271"/>
        <v>OK</v>
      </c>
      <c r="V1553" s="55" t="str">
        <f t="shared" si="275"/>
        <v/>
      </c>
      <c r="W1553" s="55" t="str">
        <f>IF($V1553="","",IF(COUNTIF($V$5:$V1553,$V1553)=1,1,""))</f>
        <v/>
      </c>
      <c r="X1553" s="58" t="str">
        <f>IF($W1553="","",MAX($X$4:X1552)+1)</f>
        <v/>
      </c>
      <c r="Y1553" s="62"/>
      <c r="Z1553" s="62"/>
      <c r="AA1553" s="64" t="str">
        <f>IF($C1553="","",IFERROR(INDEX('Staff Directory'!$E$5:$E$594,MATCH($C1553,'Staff Directory'!$B$5:$B$594,0)),""))</f>
        <v>firstname252.lastname252@example.com</v>
      </c>
      <c r="AB1553" s="64" t="str">
        <f>IF($C1553="","",IF(ISNUMBER(SEARCH($D1553,Settings!$C$15)),"Pickup","Dispatch"))</f>
        <v>Pickup</v>
      </c>
      <c r="AC1553" s="64" t="str">
        <f t="shared" si="276"/>
        <v>Supply order ready for pickup</v>
      </c>
      <c r="AD1553" s="64" t="str">
        <f t="shared" si="267"/>
        <v>Dear PSW,
Your order is ready for pickup from Sample Branch, Wed-Fri 9am-4pm.</v>
      </c>
      <c r="AE1553" s="64" t="str">
        <f t="shared" si="268"/>
        <v>mailto:firstname252.lastname252@example.com?subject=Supply%20order%20ready%20for%20pickup&amp;body=Dear%20PSW%2C%0A%0AYour%20order%20is%20ready%20for%20pickup%20from%20Sample%20Branch%2C%20Wed-Fri%209am-4pm.</v>
      </c>
      <c r="AF1553" s="89" t="str">
        <f t="shared" si="277"/>
        <v>Draft email</v>
      </c>
      <c r="AG1553" s="64" t="str">
        <f>IF($C1553="","",IFERROR(INDEX('Staff Directory'!$K$595:$K$599,MATCH($C1553,'Staff Directory'!$B$5:$B$599,0)),$D1553))</f>
        <v>PSW</v>
      </c>
      <c r="AH1553" t="str">
        <f>IF($C1553="","",IFERROR(INDEX('Staff Directory'!$I$595:$I$599,MATCH($C1553,'Staff Directory'!$B$5:$B$599,0))&amp;" "&amp;INDEX('Staff Directory'!$J$595:$J$599,MATCH($C1553,'Staff Directory'!$B$5:$B$599,0)),$AG1553))</f>
        <v>PSW</v>
      </c>
      <c r="AI1553" s="102"/>
      <c r="AJ1553" s="101">
        <f>IF($F1553="","",SUMIFS($J$5:$J1553,$F$5:$F1553,$F1553))</f>
        <v>40</v>
      </c>
      <c r="AK1553" s="101">
        <f t="shared" si="269"/>
        <v>36</v>
      </c>
      <c r="AL1553" s="66" t="str" cm="1">
        <f t="array" ref="AL1553">IF($F1553="","",IFERROR(INDEX('Lot Balance'!$B$5:$B$500,MATCH(1,INDEX(('Lot Balance'!$A$5:$A$500=$F1553)*('Lot Balance'!$K$5:$K$500&lt;$AK1553)*('Lot Balance'!$K$5:$K$500+'Lot Balance'!$D$5:$D$500&gt;=$AK1553),0),0)),""))</f>
        <v>N955003717</v>
      </c>
      <c r="AM1553" s="66" t="str" cm="1">
        <f t="array" ref="AM1553">IF($F1553="","",IFERROR(INDEX('Lot Balance'!$B$5:$B$500,MATCH(1,INDEX(('Lot Balance'!$A$5:$A$500=$F1553)*('Lot Balance'!$K$5:$K$500&lt;$AJ1553)*('Lot Balance'!$K$5:$K$500+'Lot Balance'!$D$5:$D$500&gt;=$AJ1553),0),0)),""))</f>
        <v>N955003717</v>
      </c>
      <c r="AN1553" s="66" t="str">
        <f>IF($F1553="","",IF($AI1553&lt;&gt;"",IF(COUNTIFS('Lot Balance'!$A$5:$A$500,$F1553,'Lot Balance'!$B$5:$B$500,$AI1553)=0,"⚠ override is not a lot of this item",IF($AI1553=$AL1553,"Override = FEFO","Override - FEFO says "&amp;$AL1553)),IF($AL1553="","⚠ no receipt on file for this item",IF($AM1553&lt;&gt;$AL1553,"FEFO auto - split, also "&amp;$AM1553,"FEFO auto"))))</f>
        <v>FEFO auto</v>
      </c>
      <c r="AO1553" s="114"/>
    </row>
    <row r="1554" spans="1:41" x14ac:dyDescent="0.35">
      <c r="A1554" s="74">
        <v>46209</v>
      </c>
      <c r="B1554" s="18" t="str">
        <f>IF($C1554="","",IFERROR(INDEX('Staff Directory'!$A$5:$A$594,MATCH($C1554,'Staff Directory'!$B$5:$B$594,0)),"⚠ unknown staff"))</f>
        <v>PSW-189-TBD</v>
      </c>
      <c r="C1554" s="49" t="s">
        <v>1168</v>
      </c>
      <c r="D1554" s="19" t="str">
        <f>IF($B1554="","",IFERROR(INDEX('Staff Directory'!$C$5:$C$594,MATCH($B1554,'Staff Directory'!$A$5:$A$594,0)),""))</f>
        <v>PSW</v>
      </c>
      <c r="E1554" s="19">
        <f>IF($B1554="","",IFERROR(INDEX('Staff Directory'!$D$5:$D$594,MATCH($B1554,'Staff Directory'!$A$5:$A$594,0)),""))</f>
        <v>0</v>
      </c>
      <c r="F1554" s="9" t="s">
        <v>137</v>
      </c>
      <c r="G1554" s="18" t="str">
        <f>IF($F1554="","",IFERROR(INDEX(Items!$B$5:$B$597,MATCH($F1554,Items!$A$5:$A$597,0)),"⚠ not in Items"))</f>
        <v>Sanitizer</v>
      </c>
      <c r="H1554" s="19" t="str">
        <f>IF($F1554="","",IFERROR(INDEX(Items!$C$5:$C$597,MATCH($F1554,Items!$A$5:$A$597,0)),""))</f>
        <v>118 ML</v>
      </c>
      <c r="I1554" s="23">
        <f>IF($F1554="","",IFERROR(INDEX(Items!$E$5:$E$597,MATCH($F1554,Items!$A$5:$A$597,0)),""))</f>
        <v>2</v>
      </c>
      <c r="J1554" s="115">
        <f>IF(tblIssues[[#This Row],[Qty Override]]&lt;&gt;"",tblIssues[[#This Row],[Qty Override]],IF(tblIssues[[#This Row],[Standard Issue]]="","",tblIssues[[#This Row],[Standard Issue]]))</f>
        <v>2</v>
      </c>
      <c r="K1554" s="20">
        <f>IF($F1554="","",IFERROR(INDEX(Items!$D$5:$D$597,MATCH($F1554,Items!$A$5:$A$597,0)),""))</f>
        <v>4.49</v>
      </c>
      <c r="L1554" s="21">
        <f t="shared" si="272"/>
        <v>8.98</v>
      </c>
      <c r="M1554" s="9" t="str">
        <f t="shared" si="270"/>
        <v>563963-7</v>
      </c>
      <c r="N1554" s="24">
        <f>IF($A1554="","",WORKDAY($A1554,Settings!$C$9,HolidayDates))</f>
        <v>46217</v>
      </c>
      <c r="O1554" s="24">
        <f>IF($N1554="","",WORKDAY($N1554,Settings!$C$10,HolidayDates))</f>
        <v>46255</v>
      </c>
      <c r="P1554" s="10" t="s">
        <v>501</v>
      </c>
      <c r="Q1554" s="52" t="str">
        <f t="shared" si="273"/>
        <v>Collected</v>
      </c>
      <c r="R1554" s="55" t="str">
        <f t="shared" si="274"/>
        <v>2026-07</v>
      </c>
      <c r="S1554" s="55">
        <f>IF(OR($B1554="",$F1554="",$R1554=""),"",SUMIFS(tblIssues[Qty Issued],tblIssues[Staff ID],$B1554,tblIssues[Item Name],$F1554,tblIssues[Month],$R1554))</f>
        <v>2</v>
      </c>
      <c r="T1554" s="56">
        <f>IF($I1554="","",$I1554*Settings!$C$11)</f>
        <v>2</v>
      </c>
      <c r="U1554" s="57" t="str">
        <f t="shared" si="271"/>
        <v>OK</v>
      </c>
      <c r="V1554" s="55" t="str">
        <f t="shared" si="275"/>
        <v/>
      </c>
      <c r="W1554" s="55" t="str">
        <f>IF($V1554="","",IF(COUNTIF($V$5:$V1554,$V1554)=1,1,""))</f>
        <v/>
      </c>
      <c r="X1554" s="58" t="str">
        <f>IF($W1554="","",MAX($X$4:X1553)+1)</f>
        <v/>
      </c>
      <c r="Y1554" s="62"/>
      <c r="Z1554" s="62"/>
      <c r="AA1554" s="64" t="str">
        <f>IF($C1554="","",IFERROR(INDEX('Staff Directory'!$E$5:$E$594,MATCH($C1554,'Staff Directory'!$B$5:$B$594,0)),""))</f>
        <v>firstname252.lastname252@example.com</v>
      </c>
      <c r="AB1554" s="64" t="str">
        <f>IF($C1554="","",IF(ISNUMBER(SEARCH($D1554,Settings!$C$15)),"Pickup","Dispatch"))</f>
        <v>Pickup</v>
      </c>
      <c r="AC1554" s="64" t="str">
        <f t="shared" si="276"/>
        <v>Supply order ready for pickup</v>
      </c>
      <c r="AD1554" s="64" t="str">
        <f t="shared" si="267"/>
        <v>Dear PSW,
Your order is ready for pickup from Sample Branch, Wed-Fri 9am-4pm.</v>
      </c>
      <c r="AE1554" s="64" t="str">
        <f t="shared" si="268"/>
        <v>mailto:firstname252.lastname252@example.com?subject=Supply%20order%20ready%20for%20pickup&amp;body=Dear%20PSW%2C%0A%0AYour%20order%20is%20ready%20for%20pickup%20from%20Sample%20Branch%2C%20Wed-Fri%209am-4pm.</v>
      </c>
      <c r="AF1554" s="89" t="str">
        <f t="shared" si="277"/>
        <v>Draft email</v>
      </c>
      <c r="AG1554" s="64" t="str">
        <f>IF($C1554="","",IFERROR(INDEX('Staff Directory'!$K$595:$K$599,MATCH($C1554,'Staff Directory'!$B$5:$B$599,0)),$D1554))</f>
        <v>PSW</v>
      </c>
      <c r="AH1554" t="str">
        <f>IF($C1554="","",IFERROR(INDEX('Staff Directory'!$I$595:$I$599,MATCH($C1554,'Staff Directory'!$B$5:$B$599,0))&amp;" "&amp;INDEX('Staff Directory'!$J$595:$J$599,MATCH($C1554,'Staff Directory'!$B$5:$B$599,0)),$AG1554))</f>
        <v>PSW</v>
      </c>
      <c r="AI1554" s="102"/>
      <c r="AJ1554" s="101">
        <f>IF($F1554="","",SUMIFS($J$5:$J1554,$F$5:$F1554,$F1554))</f>
        <v>140</v>
      </c>
      <c r="AK1554" s="101">
        <f t="shared" si="269"/>
        <v>139</v>
      </c>
      <c r="AL1554" s="66" t="str" cm="1">
        <f t="array" ref="AL1554">IF($F1554="","",IFERROR(INDEX('Lot Balance'!$B$5:$B$500,MATCH(1,INDEX(('Lot Balance'!$A$5:$A$500=$F1554)*('Lot Balance'!$K$5:$K$500&lt;$AK1554)*('Lot Balance'!$K$5:$K$500+'Lot Balance'!$D$5:$D$500&gt;=$AK1554),0),0)),""))</f>
        <v>563963-7</v>
      </c>
      <c r="AM1554" s="66" t="str" cm="1">
        <f t="array" ref="AM1554">IF($F1554="","",IFERROR(INDEX('Lot Balance'!$B$5:$B$500,MATCH(1,INDEX(('Lot Balance'!$A$5:$A$500=$F1554)*('Lot Balance'!$K$5:$K$500&lt;$AJ1554)*('Lot Balance'!$K$5:$K$500+'Lot Balance'!$D$5:$D$500&gt;=$AJ1554),0),0)),""))</f>
        <v>563963-7</v>
      </c>
      <c r="AN1554" s="66" t="str">
        <f>IF($F1554="","",IF($AI1554&lt;&gt;"",IF(COUNTIFS('Lot Balance'!$A$5:$A$500,$F1554,'Lot Balance'!$B$5:$B$500,$AI1554)=0,"⚠ override is not a lot of this item",IF($AI1554=$AL1554,"Override = FEFO","Override - FEFO says "&amp;$AL1554)),IF($AL1554="","⚠ no receipt on file for this item",IF($AM1554&lt;&gt;$AL1554,"FEFO auto - split, also "&amp;$AM1554,"FEFO auto"))))</f>
        <v>FEFO auto</v>
      </c>
      <c r="AO1554" s="114"/>
    </row>
    <row r="1555" spans="1:41" x14ac:dyDescent="0.35">
      <c r="A1555" s="74">
        <v>46209</v>
      </c>
      <c r="B1555" s="18" t="str">
        <f>IF($C1555="","",IFERROR(INDEX('Staff Directory'!$A$5:$A$594,MATCH($C1555,'Staff Directory'!$B$5:$B$594,0)),"⚠ unknown staff"))</f>
        <v>PSW-189-TBD</v>
      </c>
      <c r="C1555" s="49" t="s">
        <v>1168</v>
      </c>
      <c r="D1555" s="19" t="str">
        <f>IF($B1555="","",IFERROR(INDEX('Staff Directory'!$C$5:$C$594,MATCH($B1555,'Staff Directory'!$A$5:$A$594,0)),""))</f>
        <v>PSW</v>
      </c>
      <c r="E1555" s="19">
        <f>IF($B1555="","",IFERROR(INDEX('Staff Directory'!$D$5:$D$594,MATCH($B1555,'Staff Directory'!$A$5:$A$594,0)),""))</f>
        <v>0</v>
      </c>
      <c r="F1555" s="9" t="s">
        <v>147</v>
      </c>
      <c r="G1555" s="18" t="str">
        <f>IF($F1555="","",IFERROR(INDEX(Items!$B$5:$B$597,MATCH($F1555,Items!$A$5:$A$597,0)),"⚠ not in Items"))</f>
        <v>Apparel</v>
      </c>
      <c r="H1555" s="19" t="str">
        <f>IF($F1555="","",IFERROR(INDEX(Items!$C$5:$C$597,MATCH($F1555,Items!$A$5:$A$597,0)),""))</f>
        <v>One Size</v>
      </c>
      <c r="I1555" s="23">
        <f>IF($F1555="","",IFERROR(INDEX(Items!$E$5:$E$597,MATCH($F1555,Items!$A$5:$A$597,0)),""))</f>
        <v>5</v>
      </c>
      <c r="J1555" s="115">
        <f>IF(tblIssues[[#This Row],[Qty Override]]&lt;&gt;"",tblIssues[[#This Row],[Qty Override]],IF(tblIssues[[#This Row],[Standard Issue]]="","",tblIssues[[#This Row],[Standard Issue]]))</f>
        <v>5</v>
      </c>
      <c r="K1555" s="20">
        <f>IF($F1555="","",IFERROR(INDEX(Items!$D$5:$D$597,MATCH($F1555,Items!$A$5:$A$597,0)),""))</f>
        <v>3</v>
      </c>
      <c r="L1555" s="21">
        <f t="shared" si="272"/>
        <v>15</v>
      </c>
      <c r="M1555" s="9" t="str">
        <f t="shared" si="270"/>
        <v>YG500280</v>
      </c>
      <c r="N1555" s="24">
        <f>IF($A1555="","",WORKDAY($A1555,Settings!$C$9,HolidayDates))</f>
        <v>46217</v>
      </c>
      <c r="O1555" s="24">
        <f>IF($N1555="","",WORKDAY($N1555,Settings!$C$10,HolidayDates))</f>
        <v>46255</v>
      </c>
      <c r="P1555" s="10" t="s">
        <v>501</v>
      </c>
      <c r="Q1555" s="52" t="str">
        <f t="shared" si="273"/>
        <v>Collected</v>
      </c>
      <c r="R1555" s="55" t="str">
        <f t="shared" si="274"/>
        <v>2026-07</v>
      </c>
      <c r="S1555" s="55">
        <f>IF(OR($B1555="",$F1555="",$R1555=""),"",SUMIFS(tblIssues[Qty Issued],tblIssues[Staff ID],$B1555,tblIssues[Item Name],$F1555,tblIssues[Month],$R1555))</f>
        <v>5</v>
      </c>
      <c r="T1555" s="56">
        <f>IF($I1555="","",$I1555*Settings!$C$11)</f>
        <v>5</v>
      </c>
      <c r="U1555" s="57" t="str">
        <f t="shared" si="271"/>
        <v>OK</v>
      </c>
      <c r="V1555" s="55" t="str">
        <f t="shared" si="275"/>
        <v/>
      </c>
      <c r="W1555" s="55" t="str">
        <f>IF($V1555="","",IF(COUNTIF($V$5:$V1555,$V1555)=1,1,""))</f>
        <v/>
      </c>
      <c r="X1555" s="58" t="str">
        <f>IF($W1555="","",MAX($X$4:X1554)+1)</f>
        <v/>
      </c>
      <c r="Y1555" s="62"/>
      <c r="Z1555" s="62"/>
      <c r="AA1555" s="64" t="str">
        <f>IF($C1555="","",IFERROR(INDEX('Staff Directory'!$E$5:$E$594,MATCH($C1555,'Staff Directory'!$B$5:$B$594,0)),""))</f>
        <v>firstname252.lastname252@example.com</v>
      </c>
      <c r="AB1555" s="64" t="str">
        <f>IF($C1555="","",IF(ISNUMBER(SEARCH($D1555,Settings!$C$15)),"Pickup","Dispatch"))</f>
        <v>Pickup</v>
      </c>
      <c r="AC1555" s="64" t="str">
        <f t="shared" si="276"/>
        <v>Supply order ready for pickup</v>
      </c>
      <c r="AD1555" s="64" t="str">
        <f t="shared" si="267"/>
        <v>Dear PSW,
Your order is ready for pickup from Sample Branch, Wed-Fri 9am-4pm.</v>
      </c>
      <c r="AE1555" s="64" t="str">
        <f t="shared" si="268"/>
        <v>mailto:firstname252.lastname252@example.com?subject=Supply%20order%20ready%20for%20pickup&amp;body=Dear%20PSW%2C%0A%0AYour%20order%20is%20ready%20for%20pickup%20from%20Sample%20Branch%2C%20Wed-Fri%209am-4pm.</v>
      </c>
      <c r="AF1555" s="89" t="str">
        <f t="shared" si="277"/>
        <v>Draft email</v>
      </c>
      <c r="AG1555" s="64" t="str">
        <f>IF($C1555="","",IFERROR(INDEX('Staff Directory'!$K$595:$K$599,MATCH($C1555,'Staff Directory'!$B$5:$B$599,0)),$D1555))</f>
        <v>PSW</v>
      </c>
      <c r="AH1555" t="str">
        <f>IF($C1555="","",IFERROR(INDEX('Staff Directory'!$I$595:$I$599,MATCH($C1555,'Staff Directory'!$B$5:$B$599,0))&amp;" "&amp;INDEX('Staff Directory'!$J$595:$J$599,MATCH($C1555,'Staff Directory'!$B$5:$B$599,0)),$AG1555))</f>
        <v>PSW</v>
      </c>
      <c r="AI1555" s="102"/>
      <c r="AJ1555" s="101">
        <f>IF($F1555="","",SUMIFS($J$5:$J1555,$F$5:$F1555,$F1555))</f>
        <v>195</v>
      </c>
      <c r="AK1555" s="101">
        <f t="shared" si="269"/>
        <v>191</v>
      </c>
      <c r="AL1555" s="66" t="str" cm="1">
        <f t="array" ref="AL1555">IF($F1555="","",IFERROR(INDEX('Lot Balance'!$B$5:$B$500,MATCH(1,INDEX(('Lot Balance'!$A$5:$A$500=$F1555)*('Lot Balance'!$K$5:$K$500&lt;$AK1555)*('Lot Balance'!$K$5:$K$500+'Lot Balance'!$D$5:$D$500&gt;=$AK1555),0),0)),""))</f>
        <v>YG500280</v>
      </c>
      <c r="AM1555" s="66" t="str" cm="1">
        <f t="array" ref="AM1555">IF($F1555="","",IFERROR(INDEX('Lot Balance'!$B$5:$B$500,MATCH(1,INDEX(('Lot Balance'!$A$5:$A$500=$F1555)*('Lot Balance'!$K$5:$K$500&lt;$AJ1555)*('Lot Balance'!$K$5:$K$500+'Lot Balance'!$D$5:$D$500&gt;=$AJ1555),0),0)),""))</f>
        <v>YG500280</v>
      </c>
      <c r="AN1555" s="66" t="str">
        <f>IF($F1555="","",IF($AI1555&lt;&gt;"",IF(COUNTIFS('Lot Balance'!$A$5:$A$500,$F1555,'Lot Balance'!$B$5:$B$500,$AI1555)=0,"⚠ override is not a lot of this item",IF($AI1555=$AL1555,"Override = FEFO","Override - FEFO says "&amp;$AL1555)),IF($AL1555="","⚠ no receipt on file for this item",IF($AM1555&lt;&gt;$AL1555,"FEFO auto - split, also "&amp;$AM1555,"FEFO auto"))))</f>
        <v>FEFO auto</v>
      </c>
      <c r="AO1555" s="114"/>
    </row>
    <row r="1556" spans="1:41" x14ac:dyDescent="0.35">
      <c r="A1556" s="74">
        <v>46209</v>
      </c>
      <c r="B1556" s="18" t="str">
        <f>IF($C1556="","",IFERROR(INDEX('Staff Directory'!$A$5:$A$594,MATCH($C1556,'Staff Directory'!$B$5:$B$594,0)),"⚠ unknown staff"))</f>
        <v>PSW-189-TBD</v>
      </c>
      <c r="C1556" s="49" t="s">
        <v>1168</v>
      </c>
      <c r="D1556" s="19" t="str">
        <f>IF($B1556="","",IFERROR(INDEX('Staff Directory'!$C$5:$C$594,MATCH($B1556,'Staff Directory'!$A$5:$A$594,0)),""))</f>
        <v>PSW</v>
      </c>
      <c r="E1556" s="19">
        <f>IF($B1556="","",IFERROR(INDEX('Staff Directory'!$D$5:$D$594,MATCH($B1556,'Staff Directory'!$A$5:$A$594,0)),""))</f>
        <v>0</v>
      </c>
      <c r="F1556" s="9" t="s">
        <v>145</v>
      </c>
      <c r="G1556" s="18" t="str">
        <f>IF($F1556="","",IFERROR(INDEX(Items!$B$5:$B$597,MATCH($F1556,Items!$A$5:$A$597,0)),"⚠ not in Items"))</f>
        <v>Apparel</v>
      </c>
      <c r="H1556" s="19" t="str">
        <f>IF($F1556="","",IFERROR(INDEX(Items!$C$5:$C$597,MATCH($F1556,Items!$A$5:$A$597,0)),""))</f>
        <v>One Size</v>
      </c>
      <c r="I1556" s="23">
        <f>IF($F1556="","",IFERROR(INDEX(Items!$E$5:$E$597,MATCH($F1556,Items!$A$5:$A$597,0)),""))</f>
        <v>5</v>
      </c>
      <c r="J1556" s="115">
        <f>IF(tblIssues[[#This Row],[Qty Override]]&lt;&gt;"",tblIssues[[#This Row],[Qty Override]],IF(tblIssues[[#This Row],[Standard Issue]]="","",tblIssues[[#This Row],[Standard Issue]]))</f>
        <v>5</v>
      </c>
      <c r="K1556" s="20">
        <f>IF($F1556="","",IFERROR(INDEX(Items!$D$5:$D$597,MATCH($F1556,Items!$A$5:$A$597,0)),""))</f>
        <v>3</v>
      </c>
      <c r="L1556" s="21">
        <f t="shared" si="272"/>
        <v>15</v>
      </c>
      <c r="M1556" s="9" t="str">
        <f t="shared" si="270"/>
        <v>WRB500270</v>
      </c>
      <c r="N1556" s="24">
        <f>IF($A1556="","",WORKDAY($A1556,Settings!$C$9,HolidayDates))</f>
        <v>46217</v>
      </c>
      <c r="O1556" s="24">
        <f>IF($N1556="","",WORKDAY($N1556,Settings!$C$10,HolidayDates))</f>
        <v>46255</v>
      </c>
      <c r="P1556" s="10" t="s">
        <v>501</v>
      </c>
      <c r="Q1556" s="52" t="str">
        <f t="shared" si="273"/>
        <v>Collected</v>
      </c>
      <c r="R1556" s="55" t="str">
        <f t="shared" si="274"/>
        <v>2026-07</v>
      </c>
      <c r="S1556" s="55">
        <f>IF(OR($B1556="",$F1556="",$R1556=""),"",SUMIFS(tblIssues[Qty Issued],tblIssues[Staff ID],$B1556,tblIssues[Item Name],$F1556,tblIssues[Month],$R1556))</f>
        <v>5</v>
      </c>
      <c r="T1556" s="56">
        <f>IF($I1556="","",$I1556*Settings!$C$11)</f>
        <v>5</v>
      </c>
      <c r="U1556" s="57" t="str">
        <f t="shared" si="271"/>
        <v>OK</v>
      </c>
      <c r="V1556" s="55" t="str">
        <f t="shared" si="275"/>
        <v/>
      </c>
      <c r="W1556" s="55" t="str">
        <f>IF($V1556="","",IF(COUNTIF($V$5:$V1556,$V1556)=1,1,""))</f>
        <v/>
      </c>
      <c r="X1556" s="58" t="str">
        <f>IF($W1556="","",MAX($X$4:X1555)+1)</f>
        <v/>
      </c>
      <c r="Y1556" s="62"/>
      <c r="Z1556" s="62"/>
      <c r="AA1556" s="64" t="str">
        <f>IF($C1556="","",IFERROR(INDEX('Staff Directory'!$E$5:$E$594,MATCH($C1556,'Staff Directory'!$B$5:$B$594,0)),""))</f>
        <v>firstname252.lastname252@example.com</v>
      </c>
      <c r="AB1556" s="64" t="str">
        <f>IF($C1556="","",IF(ISNUMBER(SEARCH($D1556,Settings!$C$15)),"Pickup","Dispatch"))</f>
        <v>Pickup</v>
      </c>
      <c r="AC1556" s="64" t="str">
        <f t="shared" si="276"/>
        <v>Supply order ready for pickup</v>
      </c>
      <c r="AD1556" s="64" t="str">
        <f t="shared" si="267"/>
        <v>Dear PSW,
Your order is ready for pickup from Sample Branch, Wed-Fri 9am-4pm.</v>
      </c>
      <c r="AE1556" s="64" t="str">
        <f t="shared" si="268"/>
        <v>mailto:firstname252.lastname252@example.com?subject=Supply%20order%20ready%20for%20pickup&amp;body=Dear%20PSW%2C%0A%0AYour%20order%20is%20ready%20for%20pickup%20from%20Sample%20Branch%2C%20Wed-Fri%209am-4pm.</v>
      </c>
      <c r="AF1556" s="89" t="str">
        <f t="shared" si="277"/>
        <v>Draft email</v>
      </c>
      <c r="AG1556" s="64" t="str">
        <f>IF($C1556="","",IFERROR(INDEX('Staff Directory'!$K$595:$K$599,MATCH($C1556,'Staff Directory'!$B$5:$B$599,0)),$D1556))</f>
        <v>PSW</v>
      </c>
      <c r="AH1556" t="str">
        <f>IF($C1556="","",IFERROR(INDEX('Staff Directory'!$I$595:$I$599,MATCH($C1556,'Staff Directory'!$B$5:$B$599,0))&amp;" "&amp;INDEX('Staff Directory'!$J$595:$J$599,MATCH($C1556,'Staff Directory'!$B$5:$B$599,0)),$AG1556))</f>
        <v>PSW</v>
      </c>
      <c r="AI1556" s="102"/>
      <c r="AJ1556" s="101">
        <f>IF($F1556="","",SUMIFS($J$5:$J1556,$F$5:$F1556,$F1556))</f>
        <v>70</v>
      </c>
      <c r="AK1556" s="101">
        <f t="shared" si="269"/>
        <v>66</v>
      </c>
      <c r="AL1556" s="66" t="str" cm="1">
        <f t="array" ref="AL1556">IF($F1556="","",IFERROR(INDEX('Lot Balance'!$B$5:$B$500,MATCH(1,INDEX(('Lot Balance'!$A$5:$A$500=$F1556)*('Lot Balance'!$K$5:$K$500&lt;$AK1556)*('Lot Balance'!$K$5:$K$500+'Lot Balance'!$D$5:$D$500&gt;=$AK1556),0),0)),""))</f>
        <v>WRB500270</v>
      </c>
      <c r="AM1556" s="66" t="str" cm="1">
        <f t="array" ref="AM1556">IF($F1556="","",IFERROR(INDEX('Lot Balance'!$B$5:$B$500,MATCH(1,INDEX(('Lot Balance'!$A$5:$A$500=$F1556)*('Lot Balance'!$K$5:$K$500&lt;$AJ1556)*('Lot Balance'!$K$5:$K$500+'Lot Balance'!$D$5:$D$500&gt;=$AJ1556),0),0)),""))</f>
        <v>WRB500270</v>
      </c>
      <c r="AN1556" s="66" t="str">
        <f>IF($F1556="","",IF($AI1556&lt;&gt;"",IF(COUNTIFS('Lot Balance'!$A$5:$A$500,$F1556,'Lot Balance'!$B$5:$B$500,$AI1556)=0,"⚠ override is not a lot of this item",IF($AI1556=$AL1556,"Override = FEFO","Override - FEFO says "&amp;$AL1556)),IF($AL1556="","⚠ no receipt on file for this item",IF($AM1556&lt;&gt;$AL1556,"FEFO auto - split, also "&amp;$AM1556,"FEFO auto"))))</f>
        <v>FEFO auto</v>
      </c>
      <c r="AO1556" s="114"/>
    </row>
    <row r="1557" spans="1:41" x14ac:dyDescent="0.35">
      <c r="A1557" s="74">
        <v>46209</v>
      </c>
      <c r="B1557" s="18" t="str">
        <f>IF($C1557="","",IFERROR(INDEX('Staff Directory'!$A$5:$A$594,MATCH($C1557,'Staff Directory'!$B$5:$B$594,0)),"⚠ unknown staff"))</f>
        <v>PSW-189-TBD</v>
      </c>
      <c r="C1557" s="49" t="s">
        <v>1168</v>
      </c>
      <c r="D1557" s="19" t="str">
        <f>IF($B1557="","",IFERROR(INDEX('Staff Directory'!$C$5:$C$594,MATCH($B1557,'Staff Directory'!$A$5:$A$594,0)),""))</f>
        <v>PSW</v>
      </c>
      <c r="E1557" s="19">
        <f>IF($B1557="","",IFERROR(INDEX('Staff Directory'!$D$5:$D$594,MATCH($B1557,'Staff Directory'!$A$5:$A$594,0)),""))</f>
        <v>0</v>
      </c>
      <c r="F1557" s="9" t="s">
        <v>144</v>
      </c>
      <c r="G1557" s="18" t="str">
        <f>IF($F1557="","",IFERROR(INDEX(Items!$B$5:$B$597,MATCH($F1557,Items!$A$5:$A$597,0)),"⚠ not in Items"))</f>
        <v>IPAC</v>
      </c>
      <c r="H1557" s="19" t="str">
        <f>IF($F1557="","",IFERROR(INDEX(Items!$C$5:$C$597,MATCH($F1557,Items!$A$5:$A$597,0)),""))</f>
        <v>One Size</v>
      </c>
      <c r="I1557" s="23">
        <f>IF($F1557="","",IFERROR(INDEX(Items!$E$5:$E$597,MATCH($F1557,Items!$A$5:$A$597,0)),""))</f>
        <v>4</v>
      </c>
      <c r="J1557" s="115">
        <f>IF(tblIssues[[#This Row],[Qty Override]]&lt;&gt;"",tblIssues[[#This Row],[Qty Override]],IF(tblIssues[[#This Row],[Standard Issue]]="","",tblIssues[[#This Row],[Standard Issue]]))</f>
        <v>4</v>
      </c>
      <c r="K1557" s="20">
        <f>IF($F1557="","",IFERROR(INDEX(Items!$D$5:$D$597,MATCH($F1557,Items!$A$5:$A$597,0)),""))</f>
        <v>145.97999999999999</v>
      </c>
      <c r="L1557" s="21">
        <f t="shared" si="272"/>
        <v>583.91999999999996</v>
      </c>
      <c r="M1557" s="9" t="str">
        <f t="shared" si="270"/>
        <v/>
      </c>
      <c r="N1557" s="24">
        <f>IF($A1557="","",WORKDAY($A1557,Settings!$C$9,HolidayDates))</f>
        <v>46217</v>
      </c>
      <c r="O1557" s="24">
        <f>IF($N1557="","",WORKDAY($N1557,Settings!$C$10,HolidayDates))</f>
        <v>46255</v>
      </c>
      <c r="P1557" s="10" t="s">
        <v>501</v>
      </c>
      <c r="Q1557" s="52" t="str">
        <f t="shared" si="273"/>
        <v>Collected</v>
      </c>
      <c r="R1557" s="55" t="str">
        <f t="shared" si="274"/>
        <v>2026-07</v>
      </c>
      <c r="S1557" s="55">
        <f>IF(OR($B1557="",$F1557="",$R1557=""),"",SUMIFS(tblIssues[Qty Issued],tblIssues[Staff ID],$B1557,tblIssues[Item Name],$F1557,tblIssues[Month],$R1557))</f>
        <v>4</v>
      </c>
      <c r="T1557" s="56">
        <f>IF($I1557="","",$I1557*Settings!$C$11)</f>
        <v>4</v>
      </c>
      <c r="U1557" s="57" t="str">
        <f t="shared" si="271"/>
        <v>OK</v>
      </c>
      <c r="V1557" s="55" t="str">
        <f t="shared" si="275"/>
        <v/>
      </c>
      <c r="W1557" s="55" t="str">
        <f>IF($V1557="","",IF(COUNTIF($V$5:$V1557,$V1557)=1,1,""))</f>
        <v/>
      </c>
      <c r="X1557" s="58" t="str">
        <f>IF($W1557="","",MAX($X$4:X1556)+1)</f>
        <v/>
      </c>
      <c r="Y1557" s="62"/>
      <c r="Z1557" s="62"/>
      <c r="AA1557" s="64" t="str">
        <f>IF($C1557="","",IFERROR(INDEX('Staff Directory'!$E$5:$E$594,MATCH($C1557,'Staff Directory'!$B$5:$B$594,0)),""))</f>
        <v>firstname252.lastname252@example.com</v>
      </c>
      <c r="AB1557" s="64" t="str">
        <f>IF($C1557="","",IF(ISNUMBER(SEARCH($D1557,Settings!$C$15)),"Pickup","Dispatch"))</f>
        <v>Pickup</v>
      </c>
      <c r="AC1557" s="64" t="str">
        <f t="shared" si="276"/>
        <v>Supply order ready for pickup</v>
      </c>
      <c r="AD1557" s="64" t="str">
        <f t="shared" si="267"/>
        <v>Dear PSW,
Your order is ready for pickup from Sample Branch, Wed-Fri 9am-4pm.</v>
      </c>
      <c r="AE1557" s="64" t="str">
        <f t="shared" si="268"/>
        <v>mailto:firstname252.lastname252@example.com?subject=Supply%20order%20ready%20for%20pickup&amp;body=Dear%20PSW%2C%0A%0AYour%20order%20is%20ready%20for%20pickup%20from%20Sample%20Branch%2C%20Wed-Fri%209am-4pm.</v>
      </c>
      <c r="AF1557" s="89" t="str">
        <f t="shared" si="277"/>
        <v>Draft email</v>
      </c>
      <c r="AG1557" s="64" t="str">
        <f>IF($C1557="","",IFERROR(INDEX('Staff Directory'!$K$595:$K$599,MATCH($C1557,'Staff Directory'!$B$5:$B$599,0)),$D1557))</f>
        <v>PSW</v>
      </c>
      <c r="AH1557" t="str">
        <f>IF($C1557="","",IFERROR(INDEX('Staff Directory'!$I$595:$I$599,MATCH($C1557,'Staff Directory'!$B$5:$B$599,0))&amp;" "&amp;INDEX('Staff Directory'!$J$595:$J$599,MATCH($C1557,'Staff Directory'!$B$5:$B$599,0)),$AG1557))</f>
        <v>PSW</v>
      </c>
      <c r="AI1557" s="102"/>
      <c r="AJ1557" s="101">
        <f>IF($F1557="","",SUMIFS($J$5:$J1557,$F$5:$F1557,$F1557))</f>
        <v>72</v>
      </c>
      <c r="AK1557" s="101">
        <f t="shared" si="269"/>
        <v>69</v>
      </c>
      <c r="AL1557" s="66" t="str" cm="1">
        <f t="array" ref="AL1557">IF($F1557="","",IFERROR(INDEX('Lot Balance'!$B$5:$B$500,MATCH(1,INDEX(('Lot Balance'!$A$5:$A$500=$F1557)*('Lot Balance'!$K$5:$K$500&lt;$AK1557)*('Lot Balance'!$K$5:$K$500+'Lot Balance'!$D$5:$D$500&gt;=$AK1557),0),0)),""))</f>
        <v/>
      </c>
      <c r="AM1557" s="66" t="str" cm="1">
        <f t="array" ref="AM1557">IF($F1557="","",IFERROR(INDEX('Lot Balance'!$B$5:$B$500,MATCH(1,INDEX(('Lot Balance'!$A$5:$A$500=$F1557)*('Lot Balance'!$K$5:$K$500&lt;$AJ1557)*('Lot Balance'!$K$5:$K$500+'Lot Balance'!$D$5:$D$500&gt;=$AJ1557),0),0)),""))</f>
        <v/>
      </c>
      <c r="AN1557" s="66" t="str">
        <f>IF($F1557="","",IF($AI1557&lt;&gt;"",IF(COUNTIFS('Lot Balance'!$A$5:$A$500,$F1557,'Lot Balance'!$B$5:$B$500,$AI1557)=0,"⚠ override is not a lot of this item",IF($AI1557=$AL1557,"Override = FEFO","Override - FEFO says "&amp;$AL1557)),IF($AL1557="","⚠ no receipt on file for this item",IF($AM1557&lt;&gt;$AL1557,"FEFO auto - split, also "&amp;$AM1557,"FEFO auto"))))</f>
        <v>⚠ no receipt on file for this item</v>
      </c>
      <c r="AO1557" s="114"/>
    </row>
    <row r="1558" spans="1:41" x14ac:dyDescent="0.35">
      <c r="A1558" s="74">
        <v>46209</v>
      </c>
      <c r="B1558" s="18" t="str">
        <f>IF($C1558="","",IFERROR(INDEX('Staff Directory'!$A$5:$A$594,MATCH($C1558,'Staff Directory'!$B$5:$B$594,0)),"⚠ unknown staff"))</f>
        <v>PSW-189-TBD</v>
      </c>
      <c r="C1558" s="49" t="s">
        <v>1168</v>
      </c>
      <c r="D1558" s="19" t="str">
        <f>IF($B1558="","",IFERROR(INDEX('Staff Directory'!$C$5:$C$594,MATCH($B1558,'Staff Directory'!$A$5:$A$594,0)),""))</f>
        <v>PSW</v>
      </c>
      <c r="E1558" s="19">
        <f>IF($B1558="","",IFERROR(INDEX('Staff Directory'!$D$5:$D$594,MATCH($B1558,'Staff Directory'!$A$5:$A$594,0)),""))</f>
        <v>0</v>
      </c>
      <c r="F1558" s="9" t="s">
        <v>154</v>
      </c>
      <c r="G1558" s="18" t="str">
        <f>IF($F1558="","",IFERROR(INDEX(Items!$B$5:$B$597,MATCH($F1558,Items!$A$5:$A$597,0)),"⚠ not in Items"))</f>
        <v>IPAC</v>
      </c>
      <c r="H1558" s="19" t="str">
        <f>IF($F1558="","",IFERROR(INDEX(Items!$C$5:$C$597,MATCH($F1558,Items!$A$5:$A$597,0)),""))</f>
        <v>Regular</v>
      </c>
      <c r="I1558" s="23">
        <f>IF($F1558="","",IFERROR(INDEX(Items!$E$5:$E$597,MATCH($F1558,Items!$A$5:$A$597,0)),""))</f>
        <v>50</v>
      </c>
      <c r="J1558" s="115">
        <f>IF(tblIssues[[#This Row],[Qty Override]]&lt;&gt;"",tblIssues[[#This Row],[Qty Override]],IF(tblIssues[[#This Row],[Standard Issue]]="","",tblIssues[[#This Row],[Standard Issue]]))</f>
        <v>50</v>
      </c>
      <c r="K1558" s="20">
        <f>IF($F1558="","",IFERROR(INDEX(Items!$D$5:$D$597,MATCH($F1558,Items!$A$5:$A$597,0)),""))</f>
        <v>0.2</v>
      </c>
      <c r="L1558" s="21">
        <f t="shared" si="272"/>
        <v>10</v>
      </c>
      <c r="M1558" s="9" t="str">
        <f t="shared" si="270"/>
        <v/>
      </c>
      <c r="N1558" s="24">
        <f>IF($A1558="","",WORKDAY($A1558,Settings!$C$9,HolidayDates))</f>
        <v>46217</v>
      </c>
      <c r="O1558" s="24">
        <f>IF($N1558="","",WORKDAY($N1558,Settings!$C$10,HolidayDates))</f>
        <v>46255</v>
      </c>
      <c r="P1558" s="10" t="s">
        <v>501</v>
      </c>
      <c r="Q1558" s="52" t="str">
        <f t="shared" si="273"/>
        <v>Collected</v>
      </c>
      <c r="R1558" s="55" t="str">
        <f t="shared" si="274"/>
        <v>2026-07</v>
      </c>
      <c r="S1558" s="55">
        <f>IF(OR($B1558="",$F1558="",$R1558=""),"",SUMIFS(tblIssues[Qty Issued],tblIssues[Staff ID],$B1558,tblIssues[Item Name],$F1558,tblIssues[Month],$R1558))</f>
        <v>50</v>
      </c>
      <c r="T1558" s="56">
        <f>IF($I1558="","",$I1558*Settings!$C$11)</f>
        <v>50</v>
      </c>
      <c r="U1558" s="57" t="str">
        <f t="shared" si="271"/>
        <v>OK</v>
      </c>
      <c r="V1558" s="55" t="str">
        <f t="shared" si="275"/>
        <v/>
      </c>
      <c r="W1558" s="55" t="str">
        <f>IF($V1558="","",IF(COUNTIF($V$5:$V1558,$V1558)=1,1,""))</f>
        <v/>
      </c>
      <c r="X1558" s="58" t="str">
        <f>IF($W1558="","",MAX($X$4:X1557)+1)</f>
        <v/>
      </c>
      <c r="Y1558" s="62"/>
      <c r="Z1558" s="62"/>
      <c r="AA1558" s="64" t="str">
        <f>IF($C1558="","",IFERROR(INDEX('Staff Directory'!$E$5:$E$594,MATCH($C1558,'Staff Directory'!$B$5:$B$594,0)),""))</f>
        <v>firstname252.lastname252@example.com</v>
      </c>
      <c r="AB1558" s="64" t="str">
        <f>IF($C1558="","",IF(ISNUMBER(SEARCH($D1558,Settings!$C$15)),"Pickup","Dispatch"))</f>
        <v>Pickup</v>
      </c>
      <c r="AC1558" s="64" t="str">
        <f t="shared" si="276"/>
        <v>Supply order ready for pickup</v>
      </c>
      <c r="AD1558" s="64" t="str">
        <f t="shared" si="267"/>
        <v>Dear PSW,
Your order is ready for pickup from Sample Branch, Wed-Fri 9am-4pm.</v>
      </c>
      <c r="AE1558" s="64" t="str">
        <f t="shared" si="268"/>
        <v>mailto:firstname252.lastname252@example.com?subject=Supply%20order%20ready%20for%20pickup&amp;body=Dear%20PSW%2C%0A%0AYour%20order%20is%20ready%20for%20pickup%20from%20Sample%20Branch%2C%20Wed-Fri%209am-4pm.</v>
      </c>
      <c r="AF1558" s="89" t="str">
        <f t="shared" si="277"/>
        <v>Draft email</v>
      </c>
      <c r="AG1558" s="64" t="str">
        <f>IF($C1558="","",IFERROR(INDEX('Staff Directory'!$K$595:$K$599,MATCH($C1558,'Staff Directory'!$B$5:$B$599,0)),$D1558))</f>
        <v>PSW</v>
      </c>
      <c r="AH1558" t="str">
        <f>IF($C1558="","",IFERROR(INDEX('Staff Directory'!$I$595:$I$599,MATCH($C1558,'Staff Directory'!$B$5:$B$599,0))&amp;" "&amp;INDEX('Staff Directory'!$J$595:$J$599,MATCH($C1558,'Staff Directory'!$B$5:$B$599,0)),$AG1558))</f>
        <v>PSW</v>
      </c>
      <c r="AI1558" s="102"/>
      <c r="AJ1558" s="101">
        <f>IF($F1558="","",SUMIFS($J$5:$J1558,$F$5:$F1558,$F1558))</f>
        <v>1500</v>
      </c>
      <c r="AK1558" s="101">
        <f t="shared" si="269"/>
        <v>1451</v>
      </c>
      <c r="AL1558" s="66" t="str" cm="1">
        <f t="array" ref="AL1558">IF($F1558="","",IFERROR(INDEX('Lot Balance'!$B$5:$B$500,MATCH(1,INDEX(('Lot Balance'!$A$5:$A$500=$F1558)*('Lot Balance'!$K$5:$K$500&lt;$AK1558)*('Lot Balance'!$K$5:$K$500+'Lot Balance'!$D$5:$D$500&gt;=$AK1558),0),0)),""))</f>
        <v/>
      </c>
      <c r="AM1558" s="66" t="str" cm="1">
        <f t="array" ref="AM1558">IF($F1558="","",IFERROR(INDEX('Lot Balance'!$B$5:$B$500,MATCH(1,INDEX(('Lot Balance'!$A$5:$A$500=$F1558)*('Lot Balance'!$K$5:$K$500&lt;$AJ1558)*('Lot Balance'!$K$5:$K$500+'Lot Balance'!$D$5:$D$500&gt;=$AJ1558),0),0)),""))</f>
        <v/>
      </c>
      <c r="AN1558" s="66" t="str">
        <f>IF($F1558="","",IF($AI1558&lt;&gt;"",IF(COUNTIFS('Lot Balance'!$A$5:$A$500,$F1558,'Lot Balance'!$B$5:$B$500,$AI1558)=0,"⚠ override is not a lot of this item",IF($AI1558=$AL1558,"Override = FEFO","Override - FEFO says "&amp;$AL1558)),IF($AL1558="","⚠ no receipt on file for this item",IF($AM1558&lt;&gt;$AL1558,"FEFO auto - split, also "&amp;$AM1558,"FEFO auto"))))</f>
        <v>⚠ no receipt on file for this item</v>
      </c>
      <c r="AO1558" s="114"/>
    </row>
    <row r="1559" spans="1:41" x14ac:dyDescent="0.35">
      <c r="A1559" s="74">
        <v>46209</v>
      </c>
      <c r="B1559" s="18" t="str">
        <f>IF($C1559="","",IFERROR(INDEX('Staff Directory'!$A$5:$A$594,MATCH($C1559,'Staff Directory'!$B$5:$B$594,0)),"⚠ unknown staff"))</f>
        <v>PSW-189-TBD</v>
      </c>
      <c r="C1559" s="49" t="s">
        <v>1168</v>
      </c>
      <c r="D1559" s="19" t="str">
        <f>IF($B1559="","",IFERROR(INDEX('Staff Directory'!$C$5:$C$594,MATCH($B1559,'Staff Directory'!$A$5:$A$594,0)),""))</f>
        <v>PSW</v>
      </c>
      <c r="E1559" s="19">
        <f>IF($B1559="","",IFERROR(INDEX('Staff Directory'!$D$5:$D$594,MATCH($B1559,'Staff Directory'!$A$5:$A$594,0)),""))</f>
        <v>0</v>
      </c>
      <c r="F1559" s="9" t="s">
        <v>136</v>
      </c>
      <c r="G1559" s="18" t="str">
        <f>IF($F1559="","",IFERROR(INDEX(Items!$B$5:$B$597,MATCH($F1559,Items!$A$5:$A$597,0)),"⚠ not in Items"))</f>
        <v>Eye Protection</v>
      </c>
      <c r="H1559" s="19" t="str">
        <f>IF($F1559="","",IFERROR(INDEX(Items!$C$5:$C$597,MATCH($F1559,Items!$A$5:$A$597,0)),""))</f>
        <v>One Size</v>
      </c>
      <c r="I1559" s="23">
        <f>IF($F1559="","",IFERROR(INDEX(Items!$E$5:$E$597,MATCH($F1559,Items!$A$5:$A$597,0)),""))</f>
        <v>1</v>
      </c>
      <c r="J1559" s="115">
        <f>IF(tblIssues[[#This Row],[Qty Override]]&lt;&gt;"",tblIssues[[#This Row],[Qty Override]],IF(tblIssues[[#This Row],[Standard Issue]]="","",tblIssues[[#This Row],[Standard Issue]]))</f>
        <v>1</v>
      </c>
      <c r="K1559" s="20">
        <f>IF($F1559="","",IFERROR(INDEX(Items!$D$5:$D$597,MATCH($F1559,Items!$A$5:$A$597,0)),""))</f>
        <v>10</v>
      </c>
      <c r="L1559" s="21">
        <f t="shared" si="272"/>
        <v>10</v>
      </c>
      <c r="M1559" s="9" t="str">
        <f t="shared" si="270"/>
        <v>GGL5003700</v>
      </c>
      <c r="N1559" s="24">
        <f>IF($A1559="","",WORKDAY($A1559,Settings!$C$9,HolidayDates))</f>
        <v>46217</v>
      </c>
      <c r="O1559" s="24">
        <f>IF($N1559="","",WORKDAY($N1559,Settings!$C$10,HolidayDates))</f>
        <v>46255</v>
      </c>
      <c r="P1559" s="10" t="s">
        <v>501</v>
      </c>
      <c r="Q1559" s="52" t="str">
        <f t="shared" si="273"/>
        <v>Collected</v>
      </c>
      <c r="R1559" s="55" t="str">
        <f t="shared" si="274"/>
        <v>2026-07</v>
      </c>
      <c r="S1559" s="55">
        <f>IF(OR($B1559="",$F1559="",$R1559=""),"",SUMIFS(tblIssues[Qty Issued],tblIssues[Staff ID],$B1559,tblIssues[Item Name],$F1559,tblIssues[Month],$R1559))</f>
        <v>1</v>
      </c>
      <c r="T1559" s="56">
        <f>IF($I1559="","",$I1559*Settings!$C$11)</f>
        <v>1</v>
      </c>
      <c r="U1559" s="57" t="str">
        <f t="shared" si="271"/>
        <v>OK</v>
      </c>
      <c r="V1559" s="55" t="str">
        <f t="shared" si="275"/>
        <v/>
      </c>
      <c r="W1559" s="55" t="str">
        <f>IF($V1559="","",IF(COUNTIF($V$5:$V1559,$V1559)=1,1,""))</f>
        <v/>
      </c>
      <c r="X1559" s="58" t="str">
        <f>IF($W1559="","",MAX($X$4:X1558)+1)</f>
        <v/>
      </c>
      <c r="Y1559" s="62"/>
      <c r="Z1559" s="62"/>
      <c r="AA1559" s="64" t="str">
        <f>IF($C1559="","",IFERROR(INDEX('Staff Directory'!$E$5:$E$594,MATCH($C1559,'Staff Directory'!$B$5:$B$594,0)),""))</f>
        <v>firstname252.lastname252@example.com</v>
      </c>
      <c r="AB1559" s="64" t="str">
        <f>IF($C1559="","",IF(ISNUMBER(SEARCH($D1559,Settings!$C$15)),"Pickup","Dispatch"))</f>
        <v>Pickup</v>
      </c>
      <c r="AC1559" s="64" t="str">
        <f t="shared" si="276"/>
        <v>Supply order ready for pickup</v>
      </c>
      <c r="AD1559" s="64" t="str">
        <f t="shared" si="267"/>
        <v>Dear PSW,
Your order is ready for pickup from Sample Branch, Wed-Fri 9am-4pm.</v>
      </c>
      <c r="AE1559" s="64" t="str">
        <f t="shared" si="268"/>
        <v>mailto:firstname252.lastname252@example.com?subject=Supply%20order%20ready%20for%20pickup&amp;body=Dear%20PSW%2C%0A%0AYour%20order%20is%20ready%20for%20pickup%20from%20Sample%20Branch%2C%20Wed-Fri%209am-4pm.</v>
      </c>
      <c r="AF1559" s="89" t="str">
        <f t="shared" si="277"/>
        <v>Draft email</v>
      </c>
      <c r="AG1559" s="64" t="str">
        <f>IF($C1559="","",IFERROR(INDEX('Staff Directory'!$K$595:$K$599,MATCH($C1559,'Staff Directory'!$B$5:$B$599,0)),$D1559))</f>
        <v>PSW</v>
      </c>
      <c r="AH1559" t="str">
        <f>IF($C1559="","",IFERROR(INDEX('Staff Directory'!$I$595:$I$599,MATCH($C1559,'Staff Directory'!$B$5:$B$599,0))&amp;" "&amp;INDEX('Staff Directory'!$J$595:$J$599,MATCH($C1559,'Staff Directory'!$B$5:$B$599,0)),$AG1559))</f>
        <v>PSW</v>
      </c>
      <c r="AI1559" s="102"/>
      <c r="AJ1559" s="101">
        <f>IF($F1559="","",SUMIFS($J$5:$J1559,$F$5:$F1559,$F1559))</f>
        <v>14</v>
      </c>
      <c r="AK1559" s="101">
        <f t="shared" si="269"/>
        <v>14</v>
      </c>
      <c r="AL1559" s="66" t="str" cm="1">
        <f t="array" ref="AL1559">IF($F1559="","",IFERROR(INDEX('Lot Balance'!$B$5:$B$500,MATCH(1,INDEX(('Lot Balance'!$A$5:$A$500=$F1559)*('Lot Balance'!$K$5:$K$500&lt;$AK1559)*('Lot Balance'!$K$5:$K$500+'Lot Balance'!$D$5:$D$500&gt;=$AK1559),0),0)),""))</f>
        <v>GGL5003700</v>
      </c>
      <c r="AM1559" s="66" t="str" cm="1">
        <f t="array" ref="AM1559">IF($F1559="","",IFERROR(INDEX('Lot Balance'!$B$5:$B$500,MATCH(1,INDEX(('Lot Balance'!$A$5:$A$500=$F1559)*('Lot Balance'!$K$5:$K$500&lt;$AJ1559)*('Lot Balance'!$K$5:$K$500+'Lot Balance'!$D$5:$D$500&gt;=$AJ1559),0),0)),""))</f>
        <v>GGL5003700</v>
      </c>
      <c r="AN1559" s="66" t="str">
        <f>IF($F1559="","",IF($AI1559&lt;&gt;"",IF(COUNTIFS('Lot Balance'!$A$5:$A$500,$F1559,'Lot Balance'!$B$5:$B$500,$AI1559)=0,"⚠ override is not a lot of this item",IF($AI1559=$AL1559,"Override = FEFO","Override - FEFO says "&amp;$AL1559)),IF($AL1559="","⚠ no receipt on file for this item",IF($AM1559&lt;&gt;$AL1559,"FEFO auto - split, also "&amp;$AM1559,"FEFO auto"))))</f>
        <v>FEFO auto</v>
      </c>
      <c r="AO1559" s="114"/>
    </row>
    <row r="1560" spans="1:41" x14ac:dyDescent="0.35">
      <c r="A1560" s="74">
        <v>46209</v>
      </c>
      <c r="B1560" s="18" t="str">
        <f>IF($C1560="","",IFERROR(INDEX('Staff Directory'!$A$5:$A$594,MATCH($C1560,'Staff Directory'!$B$5:$B$594,0)),"⚠ unknown staff"))</f>
        <v>PSW-189-TBD</v>
      </c>
      <c r="C1560" s="49" t="s">
        <v>1168</v>
      </c>
      <c r="D1560" s="19" t="str">
        <f>IF($B1560="","",IFERROR(INDEX('Staff Directory'!$C$5:$C$594,MATCH($B1560,'Staff Directory'!$A$5:$A$594,0)),""))</f>
        <v>PSW</v>
      </c>
      <c r="E1560" s="19">
        <f>IF($B1560="","",IFERROR(INDEX('Staff Directory'!$D$5:$D$594,MATCH($B1560,'Staff Directory'!$A$5:$A$594,0)),""))</f>
        <v>0</v>
      </c>
      <c r="F1560" s="9" t="s">
        <v>122</v>
      </c>
      <c r="G1560" s="18" t="str">
        <f>IF($F1560="","",IFERROR(INDEX(Items!$B$5:$B$597,MATCH($F1560,Items!$A$5:$A$597,0)),"⚠ not in Items"))</f>
        <v>Eye Protection</v>
      </c>
      <c r="H1560" s="19" t="str">
        <f>IF($F1560="","",IFERROR(INDEX(Items!$C$5:$C$597,MATCH($F1560,Items!$A$5:$A$597,0)),""))</f>
        <v>One Size</v>
      </c>
      <c r="I1560" s="23">
        <f>IF($F1560="","",IFERROR(INDEX(Items!$E$5:$E$597,MATCH($F1560,Items!$A$5:$A$597,0)),""))</f>
        <v>1</v>
      </c>
      <c r="J1560" s="115">
        <f>IF(tblIssues[[#This Row],[Qty Override]]&lt;&gt;"",tblIssues[[#This Row],[Qty Override]],IF(tblIssues[[#This Row],[Standard Issue]]="","",tblIssues[[#This Row],[Standard Issue]]))</f>
        <v>1</v>
      </c>
      <c r="K1560" s="20">
        <f>IF($F1560="","",IFERROR(INDEX(Items!$D$5:$D$597,MATCH($F1560,Items!$A$5:$A$597,0)),""))</f>
        <v>7</v>
      </c>
      <c r="L1560" s="21">
        <f t="shared" si="272"/>
        <v>7</v>
      </c>
      <c r="M1560" s="9" t="str">
        <f t="shared" si="270"/>
        <v/>
      </c>
      <c r="N1560" s="24">
        <f>IF($A1560="","",WORKDAY($A1560,Settings!$C$9,HolidayDates))</f>
        <v>46217</v>
      </c>
      <c r="O1560" s="24">
        <f>IF($N1560="","",WORKDAY($N1560,Settings!$C$10,HolidayDates))</f>
        <v>46255</v>
      </c>
      <c r="P1560" s="10" t="s">
        <v>501</v>
      </c>
      <c r="Q1560" s="52" t="str">
        <f t="shared" si="273"/>
        <v>Collected</v>
      </c>
      <c r="R1560" s="55" t="str">
        <f t="shared" si="274"/>
        <v>2026-07</v>
      </c>
      <c r="S1560" s="55">
        <f>IF(OR($B1560="",$F1560="",$R1560=""),"",SUMIFS(tblIssues[Qty Issued],tblIssues[Staff ID],$B1560,tblIssues[Item Name],$F1560,tblIssues[Month],$R1560))</f>
        <v>1</v>
      </c>
      <c r="T1560" s="56">
        <f>IF($I1560="","",$I1560*Settings!$C$11)</f>
        <v>1</v>
      </c>
      <c r="U1560" s="57" t="str">
        <f t="shared" si="271"/>
        <v>OK</v>
      </c>
      <c r="V1560" s="55" t="str">
        <f t="shared" si="275"/>
        <v/>
      </c>
      <c r="W1560" s="55" t="str">
        <f>IF($V1560="","",IF(COUNTIF($V$5:$V1560,$V1560)=1,1,""))</f>
        <v/>
      </c>
      <c r="X1560" s="58" t="str">
        <f>IF($W1560="","",MAX($X$4:X1559)+1)</f>
        <v/>
      </c>
      <c r="Y1560" s="62"/>
      <c r="Z1560" s="62"/>
      <c r="AA1560" s="64" t="str">
        <f>IF($C1560="","",IFERROR(INDEX('Staff Directory'!$E$5:$E$594,MATCH($C1560,'Staff Directory'!$B$5:$B$594,0)),""))</f>
        <v>firstname252.lastname252@example.com</v>
      </c>
      <c r="AB1560" s="64" t="str">
        <f>IF($C1560="","",IF(ISNUMBER(SEARCH($D1560,Settings!$C$15)),"Pickup","Dispatch"))</f>
        <v>Pickup</v>
      </c>
      <c r="AC1560" s="64" t="str">
        <f t="shared" si="276"/>
        <v>Supply order ready for pickup</v>
      </c>
      <c r="AD1560" s="64" t="str">
        <f t="shared" si="267"/>
        <v>Dear PSW,
Your order is ready for pickup from Sample Branch, Wed-Fri 9am-4pm.</v>
      </c>
      <c r="AE1560" s="64" t="str">
        <f t="shared" si="268"/>
        <v>mailto:firstname252.lastname252@example.com?subject=Supply%20order%20ready%20for%20pickup&amp;body=Dear%20PSW%2C%0A%0AYour%20order%20is%20ready%20for%20pickup%20from%20Sample%20Branch%2C%20Wed-Fri%209am-4pm.</v>
      </c>
      <c r="AF1560" s="89" t="str">
        <f t="shared" si="277"/>
        <v>Draft email</v>
      </c>
      <c r="AG1560" s="64" t="str">
        <f>IF($C1560="","",IFERROR(INDEX('Staff Directory'!$K$595:$K$599,MATCH($C1560,'Staff Directory'!$B$5:$B$599,0)),$D1560))</f>
        <v>PSW</v>
      </c>
      <c r="AH1560" t="str">
        <f>IF($C1560="","",IFERROR(INDEX('Staff Directory'!$I$595:$I$599,MATCH($C1560,'Staff Directory'!$B$5:$B$599,0))&amp;" "&amp;INDEX('Staff Directory'!$J$595:$J$599,MATCH($C1560,'Staff Directory'!$B$5:$B$599,0)),$AG1560))</f>
        <v>PSW</v>
      </c>
      <c r="AI1560" s="102"/>
      <c r="AJ1560" s="101">
        <f>IF($F1560="","",SUMIFS($J$5:$J1560,$F$5:$F1560,$F1560))</f>
        <v>15</v>
      </c>
      <c r="AK1560" s="101">
        <f t="shared" si="269"/>
        <v>15</v>
      </c>
      <c r="AL1560" s="66" t="str" cm="1">
        <f t="array" ref="AL1560">IF($F1560="","",IFERROR(INDEX('Lot Balance'!$B$5:$B$500,MATCH(1,INDEX(('Lot Balance'!$A$5:$A$500=$F1560)*('Lot Balance'!$K$5:$K$500&lt;$AK1560)*('Lot Balance'!$K$5:$K$500+'Lot Balance'!$D$5:$D$500&gt;=$AK1560),0),0)),""))</f>
        <v/>
      </c>
      <c r="AM1560" s="66" t="str" cm="1">
        <f t="array" ref="AM1560">IF($F1560="","",IFERROR(INDEX('Lot Balance'!$B$5:$B$500,MATCH(1,INDEX(('Lot Balance'!$A$5:$A$500=$F1560)*('Lot Balance'!$K$5:$K$500&lt;$AJ1560)*('Lot Balance'!$K$5:$K$500+'Lot Balance'!$D$5:$D$500&gt;=$AJ1560),0),0)),""))</f>
        <v/>
      </c>
      <c r="AN1560" s="66" t="str">
        <f>IF($F1560="","",IF($AI1560&lt;&gt;"",IF(COUNTIFS('Lot Balance'!$A$5:$A$500,$F1560,'Lot Balance'!$B$5:$B$500,$AI1560)=0,"⚠ override is not a lot of this item",IF($AI1560=$AL1560,"Override = FEFO","Override - FEFO says "&amp;$AL1560)),IF($AL1560="","⚠ no receipt on file for this item",IF($AM1560&lt;&gt;$AL1560,"FEFO auto - split, also "&amp;$AM1560,"FEFO auto"))))</f>
        <v>⚠ no receipt on file for this item</v>
      </c>
      <c r="AO1560" s="114"/>
    </row>
    <row r="1561" spans="1:41" x14ac:dyDescent="0.35">
      <c r="A1561" s="74">
        <v>46209</v>
      </c>
      <c r="B1561" s="18" t="str">
        <f>IF($C1561="","",IFERROR(INDEX('Staff Directory'!$A$5:$A$594,MATCH($C1561,'Staff Directory'!$B$5:$B$594,0)),"⚠ unknown staff"))</f>
        <v>PSW-189-TBD</v>
      </c>
      <c r="C1561" s="49" t="s">
        <v>1168</v>
      </c>
      <c r="D1561" s="19" t="str">
        <f>IF($B1561="","",IFERROR(INDEX('Staff Directory'!$C$5:$C$594,MATCH($B1561,'Staff Directory'!$A$5:$A$594,0)),""))</f>
        <v>PSW</v>
      </c>
      <c r="E1561" s="19">
        <f>IF($B1561="","",IFERROR(INDEX('Staff Directory'!$D$5:$D$594,MATCH($B1561,'Staff Directory'!$A$5:$A$594,0)),""))</f>
        <v>0</v>
      </c>
      <c r="F1561" s="9" t="s">
        <v>150</v>
      </c>
      <c r="G1561" s="18" t="str">
        <f>IF($F1561="","",IFERROR(INDEX(Items!$B$5:$B$597,MATCH($F1561,Items!$A$5:$A$597,0)),"⚠ not in Items"))</f>
        <v>Documents</v>
      </c>
      <c r="H1561" s="19" t="str">
        <f>IF($F1561="","",IFERROR(INDEX(Items!$C$5:$C$597,MATCH($F1561,Items!$A$5:$A$597,0)),""))</f>
        <v>Standard</v>
      </c>
      <c r="I1561" s="23">
        <f>IF($F1561="","",IFERROR(INDEX(Items!$E$5:$E$597,MATCH($F1561,Items!$A$5:$A$597,0)),""))</f>
        <v>1</v>
      </c>
      <c r="J1561" s="115">
        <f>IF(tblIssues[[#This Row],[Qty Override]]&lt;&gt;"",tblIssues[[#This Row],[Qty Override]],IF(tblIssues[[#This Row],[Standard Issue]]="","",tblIssues[[#This Row],[Standard Issue]]))</f>
        <v>1</v>
      </c>
      <c r="K1561" s="20">
        <f>IF($F1561="","",IFERROR(INDEX(Items!$D$5:$D$597,MATCH($F1561,Items!$A$5:$A$597,0)),""))</f>
        <v>0</v>
      </c>
      <c r="L1561" s="21">
        <f t="shared" si="272"/>
        <v>0</v>
      </c>
      <c r="M1561" s="9" t="str">
        <f t="shared" si="270"/>
        <v/>
      </c>
      <c r="N1561" s="24">
        <f>IF($A1561="","",WORKDAY($A1561,Settings!$C$9,HolidayDates))</f>
        <v>46217</v>
      </c>
      <c r="O1561" s="24">
        <f>IF($N1561="","",WORKDAY($N1561,Settings!$C$10,HolidayDates))</f>
        <v>46255</v>
      </c>
      <c r="P1561" s="10" t="s">
        <v>501</v>
      </c>
      <c r="Q1561" s="52" t="str">
        <f t="shared" si="273"/>
        <v>Collected</v>
      </c>
      <c r="R1561" s="55" t="str">
        <f t="shared" si="274"/>
        <v>2026-07</v>
      </c>
      <c r="S1561" s="55">
        <f>IF(OR($B1561="",$F1561="",$R1561=""),"",SUMIFS(tblIssues[Qty Issued],tblIssues[Staff ID],$B1561,tblIssues[Item Name],$F1561,tblIssues[Month],$R1561))</f>
        <v>1</v>
      </c>
      <c r="T1561" s="56">
        <f>IF($I1561="","",$I1561*Settings!$C$11)</f>
        <v>1</v>
      </c>
      <c r="U1561" s="57" t="str">
        <f t="shared" si="271"/>
        <v>OK</v>
      </c>
      <c r="V1561" s="55" t="str">
        <f t="shared" si="275"/>
        <v/>
      </c>
      <c r="W1561" s="55" t="str">
        <f>IF($V1561="","",IF(COUNTIF($V$5:$V1561,$V1561)=1,1,""))</f>
        <v/>
      </c>
      <c r="X1561" s="58" t="str">
        <f>IF($W1561="","",MAX($X$4:X1560)+1)</f>
        <v/>
      </c>
      <c r="Y1561" s="62"/>
      <c r="Z1561" s="62"/>
      <c r="AA1561" s="64" t="str">
        <f>IF($C1561="","",IFERROR(INDEX('Staff Directory'!$E$5:$E$594,MATCH($C1561,'Staff Directory'!$B$5:$B$594,0)),""))</f>
        <v>firstname252.lastname252@example.com</v>
      </c>
      <c r="AB1561" s="64" t="str">
        <f>IF($C1561="","",IF(ISNUMBER(SEARCH($D1561,Settings!$C$15)),"Pickup","Dispatch"))</f>
        <v>Pickup</v>
      </c>
      <c r="AC1561" s="64" t="str">
        <f t="shared" si="276"/>
        <v>Supply order ready for pickup</v>
      </c>
      <c r="AD1561" s="64" t="str">
        <f t="shared" si="267"/>
        <v>Dear PSW,
Your order is ready for pickup from Sample Branch, Wed-Fri 9am-4pm.</v>
      </c>
      <c r="AE1561" s="64" t="str">
        <f t="shared" si="268"/>
        <v>mailto:firstname252.lastname252@example.com?subject=Supply%20order%20ready%20for%20pickup&amp;body=Dear%20PSW%2C%0A%0AYour%20order%20is%20ready%20for%20pickup%20from%20Sample%20Branch%2C%20Wed-Fri%209am-4pm.</v>
      </c>
      <c r="AF1561" s="89" t="str">
        <f t="shared" si="277"/>
        <v>Draft email</v>
      </c>
      <c r="AG1561" s="64" t="str">
        <f>IF($C1561="","",IFERROR(INDEX('Staff Directory'!$K$595:$K$599,MATCH($C1561,'Staff Directory'!$B$5:$B$599,0)),$D1561))</f>
        <v>PSW</v>
      </c>
      <c r="AH1561" t="str">
        <f>IF($C1561="","",IFERROR(INDEX('Staff Directory'!$I$595:$I$599,MATCH($C1561,'Staff Directory'!$B$5:$B$599,0))&amp;" "&amp;INDEX('Staff Directory'!$J$595:$J$599,MATCH($C1561,'Staff Directory'!$B$5:$B$599,0)),$AG1561))</f>
        <v>PSW</v>
      </c>
      <c r="AI1561" s="102"/>
      <c r="AJ1561" s="101">
        <f>IF($F1561="","",SUMIFS($J$5:$J1561,$F$5:$F1561,$F1561))</f>
        <v>15</v>
      </c>
      <c r="AK1561" s="101">
        <f t="shared" si="269"/>
        <v>15</v>
      </c>
      <c r="AL1561" s="66" t="str" cm="1">
        <f t="array" ref="AL1561">IF($F1561="","",IFERROR(INDEX('Lot Balance'!$B$5:$B$500,MATCH(1,INDEX(('Lot Balance'!$A$5:$A$500=$F1561)*('Lot Balance'!$K$5:$K$500&lt;$AK1561)*('Lot Balance'!$K$5:$K$500+'Lot Balance'!$D$5:$D$500&gt;=$AK1561),0),0)),""))</f>
        <v/>
      </c>
      <c r="AM1561" s="66" t="str" cm="1">
        <f t="array" ref="AM1561">IF($F1561="","",IFERROR(INDEX('Lot Balance'!$B$5:$B$500,MATCH(1,INDEX(('Lot Balance'!$A$5:$A$500=$F1561)*('Lot Balance'!$K$5:$K$500&lt;$AJ1561)*('Lot Balance'!$K$5:$K$500+'Lot Balance'!$D$5:$D$500&gt;=$AJ1561),0),0)),""))</f>
        <v/>
      </c>
      <c r="AN1561" s="66" t="str">
        <f>IF($F1561="","",IF($AI1561&lt;&gt;"",IF(COUNTIFS('Lot Balance'!$A$5:$A$500,$F1561,'Lot Balance'!$B$5:$B$500,$AI1561)=0,"⚠ override is not a lot of this item",IF($AI1561=$AL1561,"Override = FEFO","Override - FEFO says "&amp;$AL1561)),IF($AL1561="","⚠ no receipt on file for this item",IF($AM1561&lt;&gt;$AL1561,"FEFO auto - split, also "&amp;$AM1561,"FEFO auto"))))</f>
        <v>⚠ no receipt on file for this item</v>
      </c>
      <c r="AO1561" s="114"/>
    </row>
    <row r="1562" spans="1:41" x14ac:dyDescent="0.35">
      <c r="A1562" s="74">
        <v>46209</v>
      </c>
      <c r="B1562" s="18" t="str">
        <f>IF($C1562="","",IFERROR(INDEX('Staff Directory'!$A$5:$A$594,MATCH($C1562,'Staff Directory'!$B$5:$B$594,0)),"⚠ unknown staff"))</f>
        <v>PSW-189-TBD</v>
      </c>
      <c r="C1562" s="49" t="s">
        <v>1168</v>
      </c>
      <c r="D1562" s="19" t="str">
        <f>IF($B1562="","",IFERROR(INDEX('Staff Directory'!$C$5:$C$594,MATCH($B1562,'Staff Directory'!$A$5:$A$594,0)),""))</f>
        <v>PSW</v>
      </c>
      <c r="E1562" s="19">
        <f>IF($B1562="","",IFERROR(INDEX('Staff Directory'!$D$5:$D$594,MATCH($B1562,'Staff Directory'!$A$5:$A$594,0)),""))</f>
        <v>0</v>
      </c>
      <c r="F1562" s="9" t="s">
        <v>755</v>
      </c>
      <c r="G1562" s="18" t="str">
        <f>IF($F1562="","",IFERROR(INDEX(Items!$B$5:$B$597,MATCH($F1562,Items!$A$5:$A$597,0)),"⚠ not in Items"))</f>
        <v>Documents</v>
      </c>
      <c r="H1562" s="19" t="str">
        <f>IF($F1562="","",IFERROR(INDEX(Items!$C$5:$C$597,MATCH($F1562,Items!$A$5:$A$597,0)),""))</f>
        <v>Standard</v>
      </c>
      <c r="I1562" s="23">
        <f>IF($F1562="","",IFERROR(INDEX(Items!$E$5:$E$597,MATCH($F1562,Items!$A$5:$A$597,0)),""))</f>
        <v>2</v>
      </c>
      <c r="J1562" s="115">
        <f>IF(tblIssues[[#This Row],[Qty Override]]&lt;&gt;"",tblIssues[[#This Row],[Qty Override]],IF(tblIssues[[#This Row],[Standard Issue]]="","",tblIssues[[#This Row],[Standard Issue]]))</f>
        <v>2</v>
      </c>
      <c r="K1562" s="20">
        <f>IF($F1562="","",IFERROR(INDEX(Items!$D$5:$D$597,MATCH($F1562,Items!$A$5:$A$597,0)),""))</f>
        <v>0</v>
      </c>
      <c r="L1562" s="21">
        <f t="shared" si="272"/>
        <v>0</v>
      </c>
      <c r="M1562" s="9" t="str">
        <f t="shared" si="270"/>
        <v/>
      </c>
      <c r="N1562" s="24">
        <f>IF($A1562="","",WORKDAY($A1562,Settings!$C$9,HolidayDates))</f>
        <v>46217</v>
      </c>
      <c r="O1562" s="24">
        <f>IF($N1562="","",WORKDAY($N1562,Settings!$C$10,HolidayDates))</f>
        <v>46255</v>
      </c>
      <c r="P1562" s="10" t="s">
        <v>501</v>
      </c>
      <c r="Q1562" s="52" t="str">
        <f t="shared" si="273"/>
        <v>Collected</v>
      </c>
      <c r="R1562" s="55" t="str">
        <f t="shared" si="274"/>
        <v>2026-07</v>
      </c>
      <c r="S1562" s="55">
        <f>IF(OR($B1562="",$F1562="",$R1562=""),"",SUMIFS(tblIssues[Qty Issued],tblIssues[Staff ID],$B1562,tblIssues[Item Name],$F1562,tblIssues[Month],$R1562))</f>
        <v>2</v>
      </c>
      <c r="T1562" s="56">
        <f>IF($I1562="","",$I1562*Settings!$C$11)</f>
        <v>2</v>
      </c>
      <c r="U1562" s="57" t="str">
        <f t="shared" si="271"/>
        <v>OK</v>
      </c>
      <c r="V1562" s="55" t="str">
        <f t="shared" si="275"/>
        <v/>
      </c>
      <c r="W1562" s="55" t="str">
        <f>IF($V1562="","",IF(COUNTIF($V$5:$V1562,$V1562)=1,1,""))</f>
        <v/>
      </c>
      <c r="X1562" s="58" t="str">
        <f>IF($W1562="","",MAX($X$4:X1561)+1)</f>
        <v/>
      </c>
      <c r="Y1562" s="62"/>
      <c r="Z1562" s="62"/>
      <c r="AA1562" s="64" t="str">
        <f>IF($C1562="","",IFERROR(INDEX('Staff Directory'!$E$5:$E$594,MATCH($C1562,'Staff Directory'!$B$5:$B$594,0)),""))</f>
        <v>firstname252.lastname252@example.com</v>
      </c>
      <c r="AB1562" s="64" t="str">
        <f>IF($C1562="","",IF(ISNUMBER(SEARCH($D1562,Settings!$C$15)),"Pickup","Dispatch"))</f>
        <v>Pickup</v>
      </c>
      <c r="AC1562" s="64" t="str">
        <f t="shared" si="276"/>
        <v>Supply order ready for pickup</v>
      </c>
      <c r="AD1562" s="64" t="str">
        <f t="shared" si="267"/>
        <v>Dear PSW,
Your order is ready for pickup from Sample Branch, Wed-Fri 9am-4pm.</v>
      </c>
      <c r="AE1562" s="64" t="str">
        <f t="shared" si="268"/>
        <v>mailto:firstname252.lastname252@example.com?subject=Supply%20order%20ready%20for%20pickup&amp;body=Dear%20PSW%2C%0A%0AYour%20order%20is%20ready%20for%20pickup%20from%20Sample%20Branch%2C%20Wed-Fri%209am-4pm.</v>
      </c>
      <c r="AF1562" s="89" t="str">
        <f t="shared" si="277"/>
        <v>Draft email</v>
      </c>
      <c r="AG1562" s="64" t="str">
        <f>IF($C1562="","",IFERROR(INDEX('Staff Directory'!$K$595:$K$599,MATCH($C1562,'Staff Directory'!$B$5:$B$599,0)),$D1562))</f>
        <v>PSW</v>
      </c>
      <c r="AH1562" t="str">
        <f>IF($C1562="","",IFERROR(INDEX('Staff Directory'!$I$595:$I$599,MATCH($C1562,'Staff Directory'!$B$5:$B$599,0))&amp;" "&amp;INDEX('Staff Directory'!$J$595:$J$599,MATCH($C1562,'Staff Directory'!$B$5:$B$599,0)),$AG1562))</f>
        <v>PSW</v>
      </c>
      <c r="AI1562" s="102"/>
      <c r="AJ1562" s="101">
        <f>IF($F1562="","",SUMIFS($J$5:$J1562,$F$5:$F1562,$F1562))</f>
        <v>142</v>
      </c>
      <c r="AK1562" s="101">
        <f t="shared" si="269"/>
        <v>141</v>
      </c>
      <c r="AL1562" s="66" t="str" cm="1">
        <f t="array" ref="AL1562">IF($F1562="","",IFERROR(INDEX('Lot Balance'!$B$5:$B$500,MATCH(1,INDEX(('Lot Balance'!$A$5:$A$500=$F1562)*('Lot Balance'!$K$5:$K$500&lt;$AK1562)*('Lot Balance'!$K$5:$K$500+'Lot Balance'!$D$5:$D$500&gt;=$AK1562),0),0)),""))</f>
        <v/>
      </c>
      <c r="AM1562" s="66" t="str" cm="1">
        <f t="array" ref="AM1562">IF($F1562="","",IFERROR(INDEX('Lot Balance'!$B$5:$B$500,MATCH(1,INDEX(('Lot Balance'!$A$5:$A$500=$F1562)*('Lot Balance'!$K$5:$K$500&lt;$AJ1562)*('Lot Balance'!$K$5:$K$500+'Lot Balance'!$D$5:$D$500&gt;=$AJ1562),0),0)),""))</f>
        <v/>
      </c>
      <c r="AN1562" s="66" t="str">
        <f>IF($F1562="","",IF($AI1562&lt;&gt;"",IF(COUNTIFS('Lot Balance'!$A$5:$A$500,$F1562,'Lot Balance'!$B$5:$B$500,$AI1562)=0,"⚠ override is not a lot of this item",IF($AI1562=$AL1562,"Override = FEFO","Override - FEFO says "&amp;$AL1562)),IF($AL1562="","⚠ no receipt on file for this item",IF($AM1562&lt;&gt;$AL1562,"FEFO auto - split, also "&amp;$AM1562,"FEFO auto"))))</f>
        <v>⚠ no receipt on file for this item</v>
      </c>
      <c r="AO1562" s="114"/>
    </row>
    <row r="1563" spans="1:41" x14ac:dyDescent="0.35">
      <c r="A1563" s="74">
        <v>46209</v>
      </c>
      <c r="B1563" s="18" t="str">
        <f>IF($C1563="","",IFERROR(INDEX('Staff Directory'!$A$5:$A$594,MATCH($C1563,'Staff Directory'!$B$5:$B$594,0)),"⚠ unknown staff"))</f>
        <v>PSW-190-TBD</v>
      </c>
      <c r="C1563" s="49" t="s">
        <v>1169</v>
      </c>
      <c r="D1563" s="19" t="str">
        <f>IF($B1563="","",IFERROR(INDEX('Staff Directory'!$C$5:$C$594,MATCH($B1563,'Staff Directory'!$A$5:$A$594,0)),""))</f>
        <v>PSW</v>
      </c>
      <c r="E1563" s="19">
        <f>IF($B1563="","",IFERROR(INDEX('Staff Directory'!$D$5:$D$594,MATCH($B1563,'Staff Directory'!$A$5:$A$594,0)),""))</f>
        <v>0</v>
      </c>
      <c r="F1563" s="9" t="s">
        <v>127</v>
      </c>
      <c r="G1563" s="18" t="str">
        <f>IF($F1563="","",IFERROR(INDEX(Items!$B$5:$B$597,MATCH($F1563,Items!$A$5:$A$597,0)),"⚠ not in Items"))</f>
        <v>Gloves</v>
      </c>
      <c r="H1563" s="19" t="str">
        <f>IF($F1563="","",IFERROR(INDEX(Items!$C$5:$C$597,MATCH($F1563,Items!$A$5:$A$597,0)),""))</f>
        <v>Medium</v>
      </c>
      <c r="I1563" s="23">
        <f>IF($F1563="","",IFERROR(INDEX(Items!$E$5:$E$597,MATCH($F1563,Items!$A$5:$A$597,0)),""))</f>
        <v>500</v>
      </c>
      <c r="J1563" s="115">
        <f>IF(tblIssues[[#This Row],[Qty Override]]&lt;&gt;"",tblIssues[[#This Row],[Qty Override]],IF(tblIssues[[#This Row],[Standard Issue]]="","",tblIssues[[#This Row],[Standard Issue]]))</f>
        <v>500</v>
      </c>
      <c r="K1563" s="20">
        <f>IF($F1563="","",IFERROR(INDEX(Items!$D$5:$D$597,MATCH($F1563,Items!$A$5:$A$597,0)),""))</f>
        <v>5.5E-2</v>
      </c>
      <c r="L1563" s="21">
        <f t="shared" si="272"/>
        <v>27.5</v>
      </c>
      <c r="M1563" s="9" t="str">
        <f t="shared" si="270"/>
        <v>ZIM510137962-2</v>
      </c>
      <c r="N1563" s="24">
        <f>IF($A1563="","",WORKDAY($A1563,Settings!$C$9,HolidayDates))</f>
        <v>46217</v>
      </c>
      <c r="O1563" s="24">
        <f>IF($N1563="","",WORKDAY($N1563,Settings!$C$10,HolidayDates))</f>
        <v>46255</v>
      </c>
      <c r="P1563" s="10" t="s">
        <v>501</v>
      </c>
      <c r="Q1563" s="52" t="str">
        <f t="shared" si="273"/>
        <v>Collected</v>
      </c>
      <c r="R1563" s="55" t="str">
        <f t="shared" si="274"/>
        <v>2026-07</v>
      </c>
      <c r="S1563" s="55">
        <f>IF(OR($B1563="",$F1563="",$R1563=""),"",SUMIFS(tblIssues[Qty Issued],tblIssues[Staff ID],$B1563,tblIssues[Item Name],$F1563,tblIssues[Month],$R1563))</f>
        <v>500</v>
      </c>
      <c r="T1563" s="56">
        <f>IF($I1563="","",$I1563*Settings!$C$11)</f>
        <v>500</v>
      </c>
      <c r="U1563" s="57" t="str">
        <f t="shared" si="271"/>
        <v>OK</v>
      </c>
      <c r="V1563" s="55" t="str">
        <f t="shared" si="275"/>
        <v/>
      </c>
      <c r="W1563" s="55" t="str">
        <f>IF($V1563="","",IF(COUNTIF($V$5:$V1563,$V1563)=1,1,""))</f>
        <v/>
      </c>
      <c r="X1563" s="58" t="str">
        <f>IF($W1563="","",MAX($X$4:X1562)+1)</f>
        <v/>
      </c>
      <c r="Y1563" s="62"/>
      <c r="Z1563" s="62"/>
      <c r="AA1563" s="64" t="str">
        <f>IF($C1563="","",IFERROR(INDEX('Staff Directory'!$E$5:$E$594,MATCH($C1563,'Staff Directory'!$B$5:$B$594,0)),""))</f>
        <v>firstname253.lastname253@example.com</v>
      </c>
      <c r="AB1563" s="64" t="str">
        <f>IF($C1563="","",IF(ISNUMBER(SEARCH($D1563,Settings!$C$15)),"Pickup","Dispatch"))</f>
        <v>Pickup</v>
      </c>
      <c r="AC1563" s="64" t="str">
        <f t="shared" si="276"/>
        <v>Supply order ready for pickup</v>
      </c>
      <c r="AD1563" s="64" t="str">
        <f t="shared" si="267"/>
        <v>Dear PSW,
Your order is ready for pickup from Sample Branch, Wed-Fri 9am-4pm.</v>
      </c>
      <c r="AE1563" s="64" t="str">
        <f t="shared" si="268"/>
        <v>mailto:firstname253.lastname253@example.com?subject=Supply%20order%20ready%20for%20pickup&amp;body=Dear%20PSW%2C%0A%0AYour%20order%20is%20ready%20for%20pickup%20from%20Sample%20Branch%2C%20Wed-Fri%209am-4pm.</v>
      </c>
      <c r="AF1563" s="89" t="str">
        <f t="shared" si="277"/>
        <v>Draft email</v>
      </c>
      <c r="AG1563" s="64" t="str">
        <f>IF($C1563="","",IFERROR(INDEX('Staff Directory'!$K$595:$K$599,MATCH($C1563,'Staff Directory'!$B$5:$B$599,0)),$D1563))</f>
        <v>PSW</v>
      </c>
      <c r="AH1563" t="str">
        <f>IF($C1563="","",IFERROR(INDEX('Staff Directory'!$I$595:$I$599,MATCH($C1563,'Staff Directory'!$B$5:$B$599,0))&amp;" "&amp;INDEX('Staff Directory'!$J$595:$J$599,MATCH($C1563,'Staff Directory'!$B$5:$B$599,0)),$AG1563))</f>
        <v>PSW</v>
      </c>
      <c r="AI1563" s="102"/>
      <c r="AJ1563" s="101">
        <f>IF($F1563="","",SUMIFS($J$5:$J1563,$F$5:$F1563,$F1563))</f>
        <v>95000</v>
      </c>
      <c r="AK1563" s="101">
        <f t="shared" si="269"/>
        <v>94501</v>
      </c>
      <c r="AL1563" s="66" t="str" cm="1">
        <f t="array" ref="AL1563">IF($F1563="","",IFERROR(INDEX('Lot Balance'!$B$5:$B$500,MATCH(1,INDEX(('Lot Balance'!$A$5:$A$500=$F1563)*('Lot Balance'!$K$5:$K$500&lt;$AK1563)*('Lot Balance'!$K$5:$K$500+'Lot Balance'!$D$5:$D$500&gt;=$AK1563),0),0)),""))</f>
        <v>ZIM510137962-2</v>
      </c>
      <c r="AM1563" s="66" t="str" cm="1">
        <f t="array" ref="AM1563">IF($F1563="","",IFERROR(INDEX('Lot Balance'!$B$5:$B$500,MATCH(1,INDEX(('Lot Balance'!$A$5:$A$500=$F1563)*('Lot Balance'!$K$5:$K$500&lt;$AJ1563)*('Lot Balance'!$K$5:$K$500+'Lot Balance'!$D$5:$D$500&gt;=$AJ1563),0),0)),""))</f>
        <v>ZIM510137962-2</v>
      </c>
      <c r="AN1563" s="66" t="str">
        <f>IF($F1563="","",IF($AI1563&lt;&gt;"",IF(COUNTIFS('Lot Balance'!$A$5:$A$500,$F1563,'Lot Balance'!$B$5:$B$500,$AI1563)=0,"⚠ override is not a lot of this item",IF($AI1563=$AL1563,"Override = FEFO","Override - FEFO says "&amp;$AL1563)),IF($AL1563="","⚠ no receipt on file for this item",IF($AM1563&lt;&gt;$AL1563,"FEFO auto - split, also "&amp;$AM1563,"FEFO auto"))))</f>
        <v>FEFO auto</v>
      </c>
      <c r="AO1563" s="114"/>
    </row>
    <row r="1564" spans="1:41" x14ac:dyDescent="0.35">
      <c r="A1564" s="74">
        <v>46209</v>
      </c>
      <c r="B1564" s="18" t="str">
        <f>IF($C1564="","",IFERROR(INDEX('Staff Directory'!$A$5:$A$594,MATCH($C1564,'Staff Directory'!$B$5:$B$594,0)),"⚠ unknown staff"))</f>
        <v>PSW-190-TBD</v>
      </c>
      <c r="C1564" s="49" t="s">
        <v>1169</v>
      </c>
      <c r="D1564" s="19" t="str">
        <f>IF($B1564="","",IFERROR(INDEX('Staff Directory'!$C$5:$C$594,MATCH($B1564,'Staff Directory'!$A$5:$A$594,0)),""))</f>
        <v>PSW</v>
      </c>
      <c r="E1564" s="19">
        <f>IF($B1564="","",IFERROR(INDEX('Staff Directory'!$D$5:$D$594,MATCH($B1564,'Staff Directory'!$A$5:$A$594,0)),""))</f>
        <v>0</v>
      </c>
      <c r="F1564" s="9" t="s">
        <v>115</v>
      </c>
      <c r="G1564" s="18" t="str">
        <f>IF($F1564="","",IFERROR(INDEX(Items!$B$5:$B$597,MATCH($F1564,Items!$A$5:$A$597,0)),"⚠ not in Items"))</f>
        <v>Wipes</v>
      </c>
      <c r="H1564" s="19">
        <f>IF($F1564="","",IFERROR(INDEX(Items!$C$5:$C$597,MATCH($F1564,Items!$A$5:$A$597,0)),""))</f>
        <v>80</v>
      </c>
      <c r="I1564" s="23">
        <f>IF($F1564="","",IFERROR(INDEX(Items!$E$5:$E$597,MATCH($F1564,Items!$A$5:$A$597,0)),""))</f>
        <v>80</v>
      </c>
      <c r="J1564" s="115">
        <f>IF(tblIssues[[#This Row],[Qty Override]]&lt;&gt;"",tblIssues[[#This Row],[Qty Override]],IF(tblIssues[[#This Row],[Standard Issue]]="","",tblIssues[[#This Row],[Standard Issue]]))</f>
        <v>80</v>
      </c>
      <c r="K1564" s="20">
        <f>IF($F1564="","",IFERROR(INDEX(Items!$D$5:$D$597,MATCH($F1564,Items!$A$5:$A$597,0)),""))</f>
        <v>0.1</v>
      </c>
      <c r="L1564" s="21">
        <f t="shared" si="272"/>
        <v>8</v>
      </c>
      <c r="M1564" s="9" t="str">
        <f t="shared" si="270"/>
        <v>LYSL500290</v>
      </c>
      <c r="N1564" s="24">
        <f>IF($A1564="","",WORKDAY($A1564,Settings!$C$9,HolidayDates))</f>
        <v>46217</v>
      </c>
      <c r="O1564" s="24">
        <f>IF($N1564="","",WORKDAY($N1564,Settings!$C$10,HolidayDates))</f>
        <v>46255</v>
      </c>
      <c r="P1564" s="10" t="s">
        <v>501</v>
      </c>
      <c r="Q1564" s="52" t="str">
        <f t="shared" si="273"/>
        <v>Collected</v>
      </c>
      <c r="R1564" s="55" t="str">
        <f t="shared" si="274"/>
        <v>2026-07</v>
      </c>
      <c r="S1564" s="55">
        <f>IF(OR($B1564="",$F1564="",$R1564=""),"",SUMIFS(tblIssues[Qty Issued],tblIssues[Staff ID],$B1564,tblIssues[Item Name],$F1564,tblIssues[Month],$R1564))</f>
        <v>80</v>
      </c>
      <c r="T1564" s="56">
        <f>IF($I1564="","",$I1564*Settings!$C$11)</f>
        <v>80</v>
      </c>
      <c r="U1564" s="57" t="str">
        <f t="shared" si="271"/>
        <v>OK</v>
      </c>
      <c r="V1564" s="55" t="str">
        <f t="shared" si="275"/>
        <v/>
      </c>
      <c r="W1564" s="55" t="str">
        <f>IF($V1564="","",IF(COUNTIF($V$5:$V1564,$V1564)=1,1,""))</f>
        <v/>
      </c>
      <c r="X1564" s="58" t="str">
        <f>IF($W1564="","",MAX($X$4:X1563)+1)</f>
        <v/>
      </c>
      <c r="Y1564" s="62"/>
      <c r="Z1564" s="62"/>
      <c r="AA1564" s="64" t="str">
        <f>IF($C1564="","",IFERROR(INDEX('Staff Directory'!$E$5:$E$594,MATCH($C1564,'Staff Directory'!$B$5:$B$594,0)),""))</f>
        <v>firstname253.lastname253@example.com</v>
      </c>
      <c r="AB1564" s="64" t="str">
        <f>IF($C1564="","",IF(ISNUMBER(SEARCH($D1564,Settings!$C$15)),"Pickup","Dispatch"))</f>
        <v>Pickup</v>
      </c>
      <c r="AC1564" s="64" t="str">
        <f t="shared" si="276"/>
        <v>Supply order ready for pickup</v>
      </c>
      <c r="AD1564" s="64" t="str">
        <f t="shared" si="267"/>
        <v>Dear PSW,
Your order is ready for pickup from Sample Branch, Wed-Fri 9am-4pm.</v>
      </c>
      <c r="AE1564" s="64" t="str">
        <f t="shared" si="268"/>
        <v>mailto:firstname253.lastname253@example.com?subject=Supply%20order%20ready%20for%20pickup&amp;body=Dear%20PSW%2C%0A%0AYour%20order%20is%20ready%20for%20pickup%20from%20Sample%20Branch%2C%20Wed-Fri%209am-4pm.</v>
      </c>
      <c r="AF1564" s="89" t="str">
        <f t="shared" si="277"/>
        <v>Draft email</v>
      </c>
      <c r="AG1564" s="64" t="str">
        <f>IF($C1564="","",IFERROR(INDEX('Staff Directory'!$K$595:$K$599,MATCH($C1564,'Staff Directory'!$B$5:$B$599,0)),$D1564))</f>
        <v>PSW</v>
      </c>
      <c r="AH1564" t="str">
        <f>IF($C1564="","",IFERROR(INDEX('Staff Directory'!$I$595:$I$599,MATCH($C1564,'Staff Directory'!$B$5:$B$599,0))&amp;" "&amp;INDEX('Staff Directory'!$J$595:$J$599,MATCH($C1564,'Staff Directory'!$B$5:$B$599,0)),$AG1564))</f>
        <v>PSW</v>
      </c>
      <c r="AI1564" s="102"/>
      <c r="AJ1564" s="101">
        <f>IF($F1564="","",SUMIFS($J$5:$J1564,$F$5:$F1564,$F1564))</f>
        <v>21280</v>
      </c>
      <c r="AK1564" s="101">
        <f t="shared" si="269"/>
        <v>21201</v>
      </c>
      <c r="AL1564" s="66" t="str" cm="1">
        <f t="array" ref="AL1564">IF($F1564="","",IFERROR(INDEX('Lot Balance'!$B$5:$B$500,MATCH(1,INDEX(('Lot Balance'!$A$5:$A$500=$F1564)*('Lot Balance'!$K$5:$K$500&lt;$AK1564)*('Lot Balance'!$K$5:$K$500+'Lot Balance'!$D$5:$D$500&gt;=$AK1564),0),0)),""))</f>
        <v>LYSL500290</v>
      </c>
      <c r="AM1564" s="66" t="str" cm="1">
        <f t="array" ref="AM1564">IF($F1564="","",IFERROR(INDEX('Lot Balance'!$B$5:$B$500,MATCH(1,INDEX(('Lot Balance'!$A$5:$A$500=$F1564)*('Lot Balance'!$K$5:$K$500&lt;$AJ1564)*('Lot Balance'!$K$5:$K$500+'Lot Balance'!$D$5:$D$500&gt;=$AJ1564),0),0)),""))</f>
        <v>LYSL500290</v>
      </c>
      <c r="AN1564" s="66" t="str">
        <f>IF($F1564="","",IF($AI1564&lt;&gt;"",IF(COUNTIFS('Lot Balance'!$A$5:$A$500,$F1564,'Lot Balance'!$B$5:$B$500,$AI1564)=0,"⚠ override is not a lot of this item",IF($AI1564=$AL1564,"Override = FEFO","Override - FEFO says "&amp;$AL1564)),IF($AL1564="","⚠ no receipt on file for this item",IF($AM1564&lt;&gt;$AL1564,"FEFO auto - split, also "&amp;$AM1564,"FEFO auto"))))</f>
        <v>FEFO auto</v>
      </c>
      <c r="AO1564" s="114"/>
    </row>
    <row r="1565" spans="1:41" x14ac:dyDescent="0.35">
      <c r="A1565" s="74">
        <v>46209</v>
      </c>
      <c r="B1565" s="18" t="str">
        <f>IF($C1565="","",IFERROR(INDEX('Staff Directory'!$A$5:$A$594,MATCH($C1565,'Staff Directory'!$B$5:$B$594,0)),"⚠ unknown staff"))</f>
        <v>PSW-190-TBD</v>
      </c>
      <c r="C1565" s="49" t="s">
        <v>1169</v>
      </c>
      <c r="D1565" s="19" t="str">
        <f>IF($B1565="","",IFERROR(INDEX('Staff Directory'!$C$5:$C$594,MATCH($B1565,'Staff Directory'!$A$5:$A$594,0)),""))</f>
        <v>PSW</v>
      </c>
      <c r="E1565" s="19">
        <f>IF($B1565="","",IFERROR(INDEX('Staff Directory'!$D$5:$D$594,MATCH($B1565,'Staff Directory'!$A$5:$A$594,0)),""))</f>
        <v>0</v>
      </c>
      <c r="F1565" s="9" t="s">
        <v>104</v>
      </c>
      <c r="G1565" s="18" t="str">
        <f>IF($F1565="","",IFERROR(INDEX(Items!$B$5:$B$597,MATCH($F1565,Items!$A$5:$A$597,0)),"⚠ not in Items"))</f>
        <v>Masks</v>
      </c>
      <c r="H1565" s="19" t="str">
        <f>IF($F1565="","",IFERROR(INDEX(Items!$C$5:$C$597,MATCH($F1565,Items!$A$5:$A$597,0)),""))</f>
        <v>One Size</v>
      </c>
      <c r="I1565" s="23">
        <f>IF($F1565="","",IFERROR(INDEX(Items!$E$5:$E$597,MATCH($F1565,Items!$A$5:$A$597,0)),""))</f>
        <v>5</v>
      </c>
      <c r="J1565" s="115">
        <f>IF(tblIssues[[#This Row],[Qty Override]]&lt;&gt;"",tblIssues[[#This Row],[Qty Override]],IF(tblIssues[[#This Row],[Standard Issue]]="","",tblIssues[[#This Row],[Standard Issue]]))</f>
        <v>5</v>
      </c>
      <c r="K1565" s="20">
        <f>IF($F1565="","",IFERROR(INDEX(Items!$D$5:$D$597,MATCH($F1565,Items!$A$5:$A$597,0)),""))</f>
        <v>2.0499999999999998</v>
      </c>
      <c r="L1565" s="21">
        <f t="shared" si="272"/>
        <v>10.25</v>
      </c>
      <c r="M1565" s="9" t="str">
        <f t="shared" si="270"/>
        <v>N955003717</v>
      </c>
      <c r="N1565" s="24">
        <f>IF($A1565="","",WORKDAY($A1565,Settings!$C$9,HolidayDates))</f>
        <v>46217</v>
      </c>
      <c r="O1565" s="24">
        <f>IF($N1565="","",WORKDAY($N1565,Settings!$C$10,HolidayDates))</f>
        <v>46255</v>
      </c>
      <c r="P1565" s="10" t="s">
        <v>501</v>
      </c>
      <c r="Q1565" s="52" t="str">
        <f t="shared" si="273"/>
        <v>Collected</v>
      </c>
      <c r="R1565" s="55" t="str">
        <f t="shared" si="274"/>
        <v>2026-07</v>
      </c>
      <c r="S1565" s="55">
        <f>IF(OR($B1565="",$F1565="",$R1565=""),"",SUMIFS(tblIssues[Qty Issued],tblIssues[Staff ID],$B1565,tblIssues[Item Name],$F1565,tblIssues[Month],$R1565))</f>
        <v>5</v>
      </c>
      <c r="T1565" s="56">
        <f>IF($I1565="","",$I1565*Settings!$C$11)</f>
        <v>5</v>
      </c>
      <c r="U1565" s="57" t="str">
        <f t="shared" si="271"/>
        <v>OK</v>
      </c>
      <c r="V1565" s="55" t="str">
        <f t="shared" si="275"/>
        <v/>
      </c>
      <c r="W1565" s="55" t="str">
        <f>IF($V1565="","",IF(COUNTIF($V$5:$V1565,$V1565)=1,1,""))</f>
        <v/>
      </c>
      <c r="X1565" s="58" t="str">
        <f>IF($W1565="","",MAX($X$4:X1564)+1)</f>
        <v/>
      </c>
      <c r="Y1565" s="62"/>
      <c r="Z1565" s="62"/>
      <c r="AA1565" s="64" t="str">
        <f>IF($C1565="","",IFERROR(INDEX('Staff Directory'!$E$5:$E$594,MATCH($C1565,'Staff Directory'!$B$5:$B$594,0)),""))</f>
        <v>firstname253.lastname253@example.com</v>
      </c>
      <c r="AB1565" s="64" t="str">
        <f>IF($C1565="","",IF(ISNUMBER(SEARCH($D1565,Settings!$C$15)),"Pickup","Dispatch"))</f>
        <v>Pickup</v>
      </c>
      <c r="AC1565" s="64" t="str">
        <f t="shared" si="276"/>
        <v>Supply order ready for pickup</v>
      </c>
      <c r="AD1565" s="64" t="str">
        <f t="shared" si="267"/>
        <v>Dear PSW,
Your order is ready for pickup from Sample Branch, Wed-Fri 9am-4pm.</v>
      </c>
      <c r="AE1565" s="64" t="str">
        <f t="shared" si="268"/>
        <v>mailto:firstname253.lastname253@example.com?subject=Supply%20order%20ready%20for%20pickup&amp;body=Dear%20PSW%2C%0A%0AYour%20order%20is%20ready%20for%20pickup%20from%20Sample%20Branch%2C%20Wed-Fri%209am-4pm.</v>
      </c>
      <c r="AF1565" s="89" t="str">
        <f t="shared" si="277"/>
        <v>Draft email</v>
      </c>
      <c r="AG1565" s="64" t="str">
        <f>IF($C1565="","",IFERROR(INDEX('Staff Directory'!$K$595:$K$599,MATCH($C1565,'Staff Directory'!$B$5:$B$599,0)),$D1565))</f>
        <v>PSW</v>
      </c>
      <c r="AH1565" t="str">
        <f>IF($C1565="","",IFERROR(INDEX('Staff Directory'!$I$595:$I$599,MATCH($C1565,'Staff Directory'!$B$5:$B$599,0))&amp;" "&amp;INDEX('Staff Directory'!$J$595:$J$599,MATCH($C1565,'Staff Directory'!$B$5:$B$599,0)),$AG1565))</f>
        <v>PSW</v>
      </c>
      <c r="AI1565" s="102"/>
      <c r="AJ1565" s="101">
        <f>IF($F1565="","",SUMIFS($J$5:$J1565,$F$5:$F1565,$F1565))</f>
        <v>45</v>
      </c>
      <c r="AK1565" s="101">
        <f t="shared" si="269"/>
        <v>41</v>
      </c>
      <c r="AL1565" s="66" t="str" cm="1">
        <f t="array" ref="AL1565">IF($F1565="","",IFERROR(INDEX('Lot Balance'!$B$5:$B$500,MATCH(1,INDEX(('Lot Balance'!$A$5:$A$500=$F1565)*('Lot Balance'!$K$5:$K$500&lt;$AK1565)*('Lot Balance'!$K$5:$K$500+'Lot Balance'!$D$5:$D$500&gt;=$AK1565),0),0)),""))</f>
        <v>N955003717</v>
      </c>
      <c r="AM1565" s="66" t="str" cm="1">
        <f t="array" ref="AM1565">IF($F1565="","",IFERROR(INDEX('Lot Balance'!$B$5:$B$500,MATCH(1,INDEX(('Lot Balance'!$A$5:$A$500=$F1565)*('Lot Balance'!$K$5:$K$500&lt;$AJ1565)*('Lot Balance'!$K$5:$K$500+'Lot Balance'!$D$5:$D$500&gt;=$AJ1565),0),0)),""))</f>
        <v>N955003717</v>
      </c>
      <c r="AN1565" s="66" t="str">
        <f>IF($F1565="","",IF($AI1565&lt;&gt;"",IF(COUNTIFS('Lot Balance'!$A$5:$A$500,$F1565,'Lot Balance'!$B$5:$B$500,$AI1565)=0,"⚠ override is not a lot of this item",IF($AI1565=$AL1565,"Override = FEFO","Override - FEFO says "&amp;$AL1565)),IF($AL1565="","⚠ no receipt on file for this item",IF($AM1565&lt;&gt;$AL1565,"FEFO auto - split, also "&amp;$AM1565,"FEFO auto"))))</f>
        <v>FEFO auto</v>
      </c>
      <c r="AO1565" s="114"/>
    </row>
    <row r="1566" spans="1:41" x14ac:dyDescent="0.35">
      <c r="A1566" s="74">
        <v>46209</v>
      </c>
      <c r="B1566" s="18" t="str">
        <f>IF($C1566="","",IFERROR(INDEX('Staff Directory'!$A$5:$A$594,MATCH($C1566,'Staff Directory'!$B$5:$B$594,0)),"⚠ unknown staff"))</f>
        <v>PSW-190-TBD</v>
      </c>
      <c r="C1566" s="49" t="s">
        <v>1169</v>
      </c>
      <c r="D1566" s="19" t="str">
        <f>IF($B1566="","",IFERROR(INDEX('Staff Directory'!$C$5:$C$594,MATCH($B1566,'Staff Directory'!$A$5:$A$594,0)),""))</f>
        <v>PSW</v>
      </c>
      <c r="E1566" s="19">
        <f>IF($B1566="","",IFERROR(INDEX('Staff Directory'!$D$5:$D$594,MATCH($B1566,'Staff Directory'!$A$5:$A$594,0)),""))</f>
        <v>0</v>
      </c>
      <c r="F1566" s="9" t="s">
        <v>137</v>
      </c>
      <c r="G1566" s="18" t="str">
        <f>IF($F1566="","",IFERROR(INDEX(Items!$B$5:$B$597,MATCH($F1566,Items!$A$5:$A$597,0)),"⚠ not in Items"))</f>
        <v>Sanitizer</v>
      </c>
      <c r="H1566" s="19" t="str">
        <f>IF($F1566="","",IFERROR(INDEX(Items!$C$5:$C$597,MATCH($F1566,Items!$A$5:$A$597,0)),""))</f>
        <v>118 ML</v>
      </c>
      <c r="I1566" s="23">
        <f>IF($F1566="","",IFERROR(INDEX(Items!$E$5:$E$597,MATCH($F1566,Items!$A$5:$A$597,0)),""))</f>
        <v>2</v>
      </c>
      <c r="J1566" s="115">
        <f>IF(tblIssues[[#This Row],[Qty Override]]&lt;&gt;"",tblIssues[[#This Row],[Qty Override]],IF(tblIssues[[#This Row],[Standard Issue]]="","",tblIssues[[#This Row],[Standard Issue]]))</f>
        <v>2</v>
      </c>
      <c r="K1566" s="20">
        <f>IF($F1566="","",IFERROR(INDEX(Items!$D$5:$D$597,MATCH($F1566,Items!$A$5:$A$597,0)),""))</f>
        <v>4.49</v>
      </c>
      <c r="L1566" s="21">
        <f t="shared" si="272"/>
        <v>8.98</v>
      </c>
      <c r="M1566" s="9" t="str">
        <f t="shared" si="270"/>
        <v>563963-7</v>
      </c>
      <c r="N1566" s="24">
        <f>IF($A1566="","",WORKDAY($A1566,Settings!$C$9,HolidayDates))</f>
        <v>46217</v>
      </c>
      <c r="O1566" s="24">
        <f>IF($N1566="","",WORKDAY($N1566,Settings!$C$10,HolidayDates))</f>
        <v>46255</v>
      </c>
      <c r="P1566" s="10" t="s">
        <v>501</v>
      </c>
      <c r="Q1566" s="52" t="str">
        <f t="shared" si="273"/>
        <v>Collected</v>
      </c>
      <c r="R1566" s="55" t="str">
        <f t="shared" si="274"/>
        <v>2026-07</v>
      </c>
      <c r="S1566" s="55">
        <f>IF(OR($B1566="",$F1566="",$R1566=""),"",SUMIFS(tblIssues[Qty Issued],tblIssues[Staff ID],$B1566,tblIssues[Item Name],$F1566,tblIssues[Month],$R1566))</f>
        <v>2</v>
      </c>
      <c r="T1566" s="56">
        <f>IF($I1566="","",$I1566*Settings!$C$11)</f>
        <v>2</v>
      </c>
      <c r="U1566" s="57" t="str">
        <f t="shared" si="271"/>
        <v>OK</v>
      </c>
      <c r="V1566" s="55" t="str">
        <f t="shared" si="275"/>
        <v/>
      </c>
      <c r="W1566" s="55" t="str">
        <f>IF($V1566="","",IF(COUNTIF($V$5:$V1566,$V1566)=1,1,""))</f>
        <v/>
      </c>
      <c r="X1566" s="58" t="str">
        <f>IF($W1566="","",MAX($X$4:X1565)+1)</f>
        <v/>
      </c>
      <c r="Y1566" s="62"/>
      <c r="Z1566" s="62"/>
      <c r="AA1566" s="64" t="str">
        <f>IF($C1566="","",IFERROR(INDEX('Staff Directory'!$E$5:$E$594,MATCH($C1566,'Staff Directory'!$B$5:$B$594,0)),""))</f>
        <v>firstname253.lastname253@example.com</v>
      </c>
      <c r="AB1566" s="64" t="str">
        <f>IF($C1566="","",IF(ISNUMBER(SEARCH($D1566,Settings!$C$15)),"Pickup","Dispatch"))</f>
        <v>Pickup</v>
      </c>
      <c r="AC1566" s="64" t="str">
        <f t="shared" si="276"/>
        <v>Supply order ready for pickup</v>
      </c>
      <c r="AD1566" s="64" t="str">
        <f t="shared" si="267"/>
        <v>Dear PSW,
Your order is ready for pickup from Sample Branch, Wed-Fri 9am-4pm.</v>
      </c>
      <c r="AE1566" s="64" t="str">
        <f t="shared" si="268"/>
        <v>mailto:firstname253.lastname253@example.com?subject=Supply%20order%20ready%20for%20pickup&amp;body=Dear%20PSW%2C%0A%0AYour%20order%20is%20ready%20for%20pickup%20from%20Sample%20Branch%2C%20Wed-Fri%209am-4pm.</v>
      </c>
      <c r="AF1566" s="89" t="str">
        <f t="shared" si="277"/>
        <v>Draft email</v>
      </c>
      <c r="AG1566" s="64" t="str">
        <f>IF($C1566="","",IFERROR(INDEX('Staff Directory'!$K$595:$K$599,MATCH($C1566,'Staff Directory'!$B$5:$B$599,0)),$D1566))</f>
        <v>PSW</v>
      </c>
      <c r="AH1566" t="str">
        <f>IF($C1566="","",IFERROR(INDEX('Staff Directory'!$I$595:$I$599,MATCH($C1566,'Staff Directory'!$B$5:$B$599,0))&amp;" "&amp;INDEX('Staff Directory'!$J$595:$J$599,MATCH($C1566,'Staff Directory'!$B$5:$B$599,0)),$AG1566))</f>
        <v>PSW</v>
      </c>
      <c r="AI1566" s="102"/>
      <c r="AJ1566" s="101">
        <f>IF($F1566="","",SUMIFS($J$5:$J1566,$F$5:$F1566,$F1566))</f>
        <v>142</v>
      </c>
      <c r="AK1566" s="101">
        <f t="shared" si="269"/>
        <v>141</v>
      </c>
      <c r="AL1566" s="66" t="str" cm="1">
        <f t="array" ref="AL1566">IF($F1566="","",IFERROR(INDEX('Lot Balance'!$B$5:$B$500,MATCH(1,INDEX(('Lot Balance'!$A$5:$A$500=$F1566)*('Lot Balance'!$K$5:$K$500&lt;$AK1566)*('Lot Balance'!$K$5:$K$500+'Lot Balance'!$D$5:$D$500&gt;=$AK1566),0),0)),""))</f>
        <v>563963-7</v>
      </c>
      <c r="AM1566" s="66" t="str" cm="1">
        <f t="array" ref="AM1566">IF($F1566="","",IFERROR(INDEX('Lot Balance'!$B$5:$B$500,MATCH(1,INDEX(('Lot Balance'!$A$5:$A$500=$F1566)*('Lot Balance'!$K$5:$K$500&lt;$AJ1566)*('Lot Balance'!$K$5:$K$500+'Lot Balance'!$D$5:$D$500&gt;=$AJ1566),0),0)),""))</f>
        <v>563963-7</v>
      </c>
      <c r="AN1566" s="66" t="str">
        <f>IF($F1566="","",IF($AI1566&lt;&gt;"",IF(COUNTIFS('Lot Balance'!$A$5:$A$500,$F1566,'Lot Balance'!$B$5:$B$500,$AI1566)=0,"⚠ override is not a lot of this item",IF($AI1566=$AL1566,"Override = FEFO","Override - FEFO says "&amp;$AL1566)),IF($AL1566="","⚠ no receipt on file for this item",IF($AM1566&lt;&gt;$AL1566,"FEFO auto - split, also "&amp;$AM1566,"FEFO auto"))))</f>
        <v>FEFO auto</v>
      </c>
      <c r="AO1566" s="114"/>
    </row>
    <row r="1567" spans="1:41" x14ac:dyDescent="0.35">
      <c r="A1567" s="74">
        <v>46209</v>
      </c>
      <c r="B1567" s="18" t="str">
        <f>IF($C1567="","",IFERROR(INDEX('Staff Directory'!$A$5:$A$594,MATCH($C1567,'Staff Directory'!$B$5:$B$594,0)),"⚠ unknown staff"))</f>
        <v>PSW-190-TBD</v>
      </c>
      <c r="C1567" s="49" t="s">
        <v>1169</v>
      </c>
      <c r="D1567" s="19" t="str">
        <f>IF($B1567="","",IFERROR(INDEX('Staff Directory'!$C$5:$C$594,MATCH($B1567,'Staff Directory'!$A$5:$A$594,0)),""))</f>
        <v>PSW</v>
      </c>
      <c r="E1567" s="19">
        <f>IF($B1567="","",IFERROR(INDEX('Staff Directory'!$D$5:$D$594,MATCH($B1567,'Staff Directory'!$A$5:$A$594,0)),""))</f>
        <v>0</v>
      </c>
      <c r="F1567" s="9" t="s">
        <v>147</v>
      </c>
      <c r="G1567" s="18" t="str">
        <f>IF($F1567="","",IFERROR(INDEX(Items!$B$5:$B$597,MATCH($F1567,Items!$A$5:$A$597,0)),"⚠ not in Items"))</f>
        <v>Apparel</v>
      </c>
      <c r="H1567" s="19" t="str">
        <f>IF($F1567="","",IFERROR(INDEX(Items!$C$5:$C$597,MATCH($F1567,Items!$A$5:$A$597,0)),""))</f>
        <v>One Size</v>
      </c>
      <c r="I1567" s="23">
        <f>IF($F1567="","",IFERROR(INDEX(Items!$E$5:$E$597,MATCH($F1567,Items!$A$5:$A$597,0)),""))</f>
        <v>5</v>
      </c>
      <c r="J1567" s="115">
        <f>IF(tblIssues[[#This Row],[Qty Override]]&lt;&gt;"",tblIssues[[#This Row],[Qty Override]],IF(tblIssues[[#This Row],[Standard Issue]]="","",tblIssues[[#This Row],[Standard Issue]]))</f>
        <v>5</v>
      </c>
      <c r="K1567" s="20">
        <f>IF($F1567="","",IFERROR(INDEX(Items!$D$5:$D$597,MATCH($F1567,Items!$A$5:$A$597,0)),""))</f>
        <v>3</v>
      </c>
      <c r="L1567" s="21">
        <f t="shared" si="272"/>
        <v>15</v>
      </c>
      <c r="M1567" s="9" t="str">
        <f t="shared" si="270"/>
        <v>YG500280</v>
      </c>
      <c r="N1567" s="24">
        <f>IF($A1567="","",WORKDAY($A1567,Settings!$C$9,HolidayDates))</f>
        <v>46217</v>
      </c>
      <c r="O1567" s="24">
        <f>IF($N1567="","",WORKDAY($N1567,Settings!$C$10,HolidayDates))</f>
        <v>46255</v>
      </c>
      <c r="P1567" s="10" t="s">
        <v>501</v>
      </c>
      <c r="Q1567" s="52" t="str">
        <f t="shared" si="273"/>
        <v>Collected</v>
      </c>
      <c r="R1567" s="55" t="str">
        <f t="shared" si="274"/>
        <v>2026-07</v>
      </c>
      <c r="S1567" s="55">
        <f>IF(OR($B1567="",$F1567="",$R1567=""),"",SUMIFS(tblIssues[Qty Issued],tblIssues[Staff ID],$B1567,tblIssues[Item Name],$F1567,tblIssues[Month],$R1567))</f>
        <v>5</v>
      </c>
      <c r="T1567" s="56">
        <f>IF($I1567="","",$I1567*Settings!$C$11)</f>
        <v>5</v>
      </c>
      <c r="U1567" s="57" t="str">
        <f t="shared" si="271"/>
        <v>OK</v>
      </c>
      <c r="V1567" s="55" t="str">
        <f t="shared" si="275"/>
        <v/>
      </c>
      <c r="W1567" s="55" t="str">
        <f>IF($V1567="","",IF(COUNTIF($V$5:$V1567,$V1567)=1,1,""))</f>
        <v/>
      </c>
      <c r="X1567" s="58" t="str">
        <f>IF($W1567="","",MAX($X$4:X1566)+1)</f>
        <v/>
      </c>
      <c r="Y1567" s="62"/>
      <c r="Z1567" s="62"/>
      <c r="AA1567" s="64" t="str">
        <f>IF($C1567="","",IFERROR(INDEX('Staff Directory'!$E$5:$E$594,MATCH($C1567,'Staff Directory'!$B$5:$B$594,0)),""))</f>
        <v>firstname253.lastname253@example.com</v>
      </c>
      <c r="AB1567" s="64" t="str">
        <f>IF($C1567="","",IF(ISNUMBER(SEARCH($D1567,Settings!$C$15)),"Pickup","Dispatch"))</f>
        <v>Pickup</v>
      </c>
      <c r="AC1567" s="64" t="str">
        <f t="shared" si="276"/>
        <v>Supply order ready for pickup</v>
      </c>
      <c r="AD1567" s="64" t="str">
        <f t="shared" si="267"/>
        <v>Dear PSW,
Your order is ready for pickup from Sample Branch, Wed-Fri 9am-4pm.</v>
      </c>
      <c r="AE1567" s="64" t="str">
        <f t="shared" si="268"/>
        <v>mailto:firstname253.lastname253@example.com?subject=Supply%20order%20ready%20for%20pickup&amp;body=Dear%20PSW%2C%0A%0AYour%20order%20is%20ready%20for%20pickup%20from%20Sample%20Branch%2C%20Wed-Fri%209am-4pm.</v>
      </c>
      <c r="AF1567" s="89" t="str">
        <f t="shared" si="277"/>
        <v>Draft email</v>
      </c>
      <c r="AG1567" s="64" t="str">
        <f>IF($C1567="","",IFERROR(INDEX('Staff Directory'!$K$595:$K$599,MATCH($C1567,'Staff Directory'!$B$5:$B$599,0)),$D1567))</f>
        <v>PSW</v>
      </c>
      <c r="AH1567" t="str">
        <f>IF($C1567="","",IFERROR(INDEX('Staff Directory'!$I$595:$I$599,MATCH($C1567,'Staff Directory'!$B$5:$B$599,0))&amp;" "&amp;INDEX('Staff Directory'!$J$595:$J$599,MATCH($C1567,'Staff Directory'!$B$5:$B$599,0)),$AG1567))</f>
        <v>PSW</v>
      </c>
      <c r="AI1567" s="102"/>
      <c r="AJ1567" s="101">
        <f>IF($F1567="","",SUMIFS($J$5:$J1567,$F$5:$F1567,$F1567))</f>
        <v>200</v>
      </c>
      <c r="AK1567" s="101">
        <f t="shared" si="269"/>
        <v>196</v>
      </c>
      <c r="AL1567" s="66" t="str" cm="1">
        <f t="array" ref="AL1567">IF($F1567="","",IFERROR(INDEX('Lot Balance'!$B$5:$B$500,MATCH(1,INDEX(('Lot Balance'!$A$5:$A$500=$F1567)*('Lot Balance'!$K$5:$K$500&lt;$AK1567)*('Lot Balance'!$K$5:$K$500+'Lot Balance'!$D$5:$D$500&gt;=$AK1567),0),0)),""))</f>
        <v>YG500280</v>
      </c>
      <c r="AM1567" s="66" t="str" cm="1">
        <f t="array" ref="AM1567">IF($F1567="","",IFERROR(INDEX('Lot Balance'!$B$5:$B$500,MATCH(1,INDEX(('Lot Balance'!$A$5:$A$500=$F1567)*('Lot Balance'!$K$5:$K$500&lt;$AJ1567)*('Lot Balance'!$K$5:$K$500+'Lot Balance'!$D$5:$D$500&gt;=$AJ1567),0),0)),""))</f>
        <v>YG500280</v>
      </c>
      <c r="AN1567" s="66" t="str">
        <f>IF($F1567="","",IF($AI1567&lt;&gt;"",IF(COUNTIFS('Lot Balance'!$A$5:$A$500,$F1567,'Lot Balance'!$B$5:$B$500,$AI1567)=0,"⚠ override is not a lot of this item",IF($AI1567=$AL1567,"Override = FEFO","Override - FEFO says "&amp;$AL1567)),IF($AL1567="","⚠ no receipt on file for this item",IF($AM1567&lt;&gt;$AL1567,"FEFO auto - split, also "&amp;$AM1567,"FEFO auto"))))</f>
        <v>FEFO auto</v>
      </c>
      <c r="AO1567" s="114"/>
    </row>
    <row r="1568" spans="1:41" x14ac:dyDescent="0.35">
      <c r="A1568" s="74">
        <v>46209</v>
      </c>
      <c r="B1568" s="18" t="str">
        <f>IF($C1568="","",IFERROR(INDEX('Staff Directory'!$A$5:$A$594,MATCH($C1568,'Staff Directory'!$B$5:$B$594,0)),"⚠ unknown staff"))</f>
        <v>PSW-190-TBD</v>
      </c>
      <c r="C1568" s="49" t="s">
        <v>1169</v>
      </c>
      <c r="D1568" s="19" t="str">
        <f>IF($B1568="","",IFERROR(INDEX('Staff Directory'!$C$5:$C$594,MATCH($B1568,'Staff Directory'!$A$5:$A$594,0)),""))</f>
        <v>PSW</v>
      </c>
      <c r="E1568" s="19">
        <f>IF($B1568="","",IFERROR(INDEX('Staff Directory'!$D$5:$D$594,MATCH($B1568,'Staff Directory'!$A$5:$A$594,0)),""))</f>
        <v>0</v>
      </c>
      <c r="F1568" s="9" t="s">
        <v>145</v>
      </c>
      <c r="G1568" s="18" t="str">
        <f>IF($F1568="","",IFERROR(INDEX(Items!$B$5:$B$597,MATCH($F1568,Items!$A$5:$A$597,0)),"⚠ not in Items"))</f>
        <v>Apparel</v>
      </c>
      <c r="H1568" s="19" t="str">
        <f>IF($F1568="","",IFERROR(INDEX(Items!$C$5:$C$597,MATCH($F1568,Items!$A$5:$A$597,0)),""))</f>
        <v>One Size</v>
      </c>
      <c r="I1568" s="23">
        <f>IF($F1568="","",IFERROR(INDEX(Items!$E$5:$E$597,MATCH($F1568,Items!$A$5:$A$597,0)),""))</f>
        <v>5</v>
      </c>
      <c r="J1568" s="115">
        <f>IF(tblIssues[[#This Row],[Qty Override]]&lt;&gt;"",tblIssues[[#This Row],[Qty Override]],IF(tblIssues[[#This Row],[Standard Issue]]="","",tblIssues[[#This Row],[Standard Issue]]))</f>
        <v>5</v>
      </c>
      <c r="K1568" s="20">
        <f>IF($F1568="","",IFERROR(INDEX(Items!$D$5:$D$597,MATCH($F1568,Items!$A$5:$A$597,0)),""))</f>
        <v>3</v>
      </c>
      <c r="L1568" s="21">
        <f t="shared" si="272"/>
        <v>15</v>
      </c>
      <c r="M1568" s="9" t="str">
        <f t="shared" si="270"/>
        <v>WRB500270</v>
      </c>
      <c r="N1568" s="24">
        <f>IF($A1568="","",WORKDAY($A1568,Settings!$C$9,HolidayDates))</f>
        <v>46217</v>
      </c>
      <c r="O1568" s="24">
        <f>IF($N1568="","",WORKDAY($N1568,Settings!$C$10,HolidayDates))</f>
        <v>46255</v>
      </c>
      <c r="P1568" s="10" t="s">
        <v>501</v>
      </c>
      <c r="Q1568" s="52" t="str">
        <f t="shared" si="273"/>
        <v>Collected</v>
      </c>
      <c r="R1568" s="55" t="str">
        <f t="shared" si="274"/>
        <v>2026-07</v>
      </c>
      <c r="S1568" s="55">
        <f>IF(OR($B1568="",$F1568="",$R1568=""),"",SUMIFS(tblIssues[Qty Issued],tblIssues[Staff ID],$B1568,tblIssues[Item Name],$F1568,tblIssues[Month],$R1568))</f>
        <v>5</v>
      </c>
      <c r="T1568" s="56">
        <f>IF($I1568="","",$I1568*Settings!$C$11)</f>
        <v>5</v>
      </c>
      <c r="U1568" s="57" t="str">
        <f t="shared" si="271"/>
        <v>OK</v>
      </c>
      <c r="V1568" s="55" t="str">
        <f t="shared" si="275"/>
        <v/>
      </c>
      <c r="W1568" s="55" t="str">
        <f>IF($V1568="","",IF(COUNTIF($V$5:$V1568,$V1568)=1,1,""))</f>
        <v/>
      </c>
      <c r="X1568" s="58" t="str">
        <f>IF($W1568="","",MAX($X$4:X1567)+1)</f>
        <v/>
      </c>
      <c r="Y1568" s="62"/>
      <c r="Z1568" s="62"/>
      <c r="AA1568" s="64" t="str">
        <f>IF($C1568="","",IFERROR(INDEX('Staff Directory'!$E$5:$E$594,MATCH($C1568,'Staff Directory'!$B$5:$B$594,0)),""))</f>
        <v>firstname253.lastname253@example.com</v>
      </c>
      <c r="AB1568" s="64" t="str">
        <f>IF($C1568="","",IF(ISNUMBER(SEARCH($D1568,Settings!$C$15)),"Pickup","Dispatch"))</f>
        <v>Pickup</v>
      </c>
      <c r="AC1568" s="64" t="str">
        <f t="shared" si="276"/>
        <v>Supply order ready for pickup</v>
      </c>
      <c r="AD1568" s="64" t="str">
        <f t="shared" si="267"/>
        <v>Dear PSW,
Your order is ready for pickup from Sample Branch, Wed-Fri 9am-4pm.</v>
      </c>
      <c r="AE1568" s="64" t="str">
        <f t="shared" si="268"/>
        <v>mailto:firstname253.lastname253@example.com?subject=Supply%20order%20ready%20for%20pickup&amp;body=Dear%20PSW%2C%0A%0AYour%20order%20is%20ready%20for%20pickup%20from%20Sample%20Branch%2C%20Wed-Fri%209am-4pm.</v>
      </c>
      <c r="AF1568" s="89" t="str">
        <f t="shared" si="277"/>
        <v>Draft email</v>
      </c>
      <c r="AG1568" s="64" t="str">
        <f>IF($C1568="","",IFERROR(INDEX('Staff Directory'!$K$595:$K$599,MATCH($C1568,'Staff Directory'!$B$5:$B$599,0)),$D1568))</f>
        <v>PSW</v>
      </c>
      <c r="AH1568" t="str">
        <f>IF($C1568="","",IFERROR(INDEX('Staff Directory'!$I$595:$I$599,MATCH($C1568,'Staff Directory'!$B$5:$B$599,0))&amp;" "&amp;INDEX('Staff Directory'!$J$595:$J$599,MATCH($C1568,'Staff Directory'!$B$5:$B$599,0)),$AG1568))</f>
        <v>PSW</v>
      </c>
      <c r="AI1568" s="102"/>
      <c r="AJ1568" s="101">
        <f>IF($F1568="","",SUMIFS($J$5:$J1568,$F$5:$F1568,$F1568))</f>
        <v>75</v>
      </c>
      <c r="AK1568" s="101">
        <f t="shared" si="269"/>
        <v>71</v>
      </c>
      <c r="AL1568" s="66" t="str" cm="1">
        <f t="array" ref="AL1568">IF($F1568="","",IFERROR(INDEX('Lot Balance'!$B$5:$B$500,MATCH(1,INDEX(('Lot Balance'!$A$5:$A$500=$F1568)*('Lot Balance'!$K$5:$K$500&lt;$AK1568)*('Lot Balance'!$K$5:$K$500+'Lot Balance'!$D$5:$D$500&gt;=$AK1568),0),0)),""))</f>
        <v>WRB500270</v>
      </c>
      <c r="AM1568" s="66" t="str" cm="1">
        <f t="array" ref="AM1568">IF($F1568="","",IFERROR(INDEX('Lot Balance'!$B$5:$B$500,MATCH(1,INDEX(('Lot Balance'!$A$5:$A$500=$F1568)*('Lot Balance'!$K$5:$K$500&lt;$AJ1568)*('Lot Balance'!$K$5:$K$500+'Lot Balance'!$D$5:$D$500&gt;=$AJ1568),0),0)),""))</f>
        <v>WRB500270</v>
      </c>
      <c r="AN1568" s="66" t="str">
        <f>IF($F1568="","",IF($AI1568&lt;&gt;"",IF(COUNTIFS('Lot Balance'!$A$5:$A$500,$F1568,'Lot Balance'!$B$5:$B$500,$AI1568)=0,"⚠ override is not a lot of this item",IF($AI1568=$AL1568,"Override = FEFO","Override - FEFO says "&amp;$AL1568)),IF($AL1568="","⚠ no receipt on file for this item",IF($AM1568&lt;&gt;$AL1568,"FEFO auto - split, also "&amp;$AM1568,"FEFO auto"))))</f>
        <v>FEFO auto</v>
      </c>
      <c r="AO1568" s="114"/>
    </row>
    <row r="1569" spans="1:41" x14ac:dyDescent="0.35">
      <c r="A1569" s="74">
        <v>46209</v>
      </c>
      <c r="B1569" s="18" t="str">
        <f>IF($C1569="","",IFERROR(INDEX('Staff Directory'!$A$5:$A$594,MATCH($C1569,'Staff Directory'!$B$5:$B$594,0)),"⚠ unknown staff"))</f>
        <v>PSW-190-TBD</v>
      </c>
      <c r="C1569" s="49" t="s">
        <v>1169</v>
      </c>
      <c r="D1569" s="19" t="str">
        <f>IF($B1569="","",IFERROR(INDEX('Staff Directory'!$C$5:$C$594,MATCH($B1569,'Staff Directory'!$A$5:$A$594,0)),""))</f>
        <v>PSW</v>
      </c>
      <c r="E1569" s="19">
        <f>IF($B1569="","",IFERROR(INDEX('Staff Directory'!$D$5:$D$594,MATCH($B1569,'Staff Directory'!$A$5:$A$594,0)),""))</f>
        <v>0</v>
      </c>
      <c r="F1569" s="9" t="s">
        <v>144</v>
      </c>
      <c r="G1569" s="18" t="str">
        <f>IF($F1569="","",IFERROR(INDEX(Items!$B$5:$B$597,MATCH($F1569,Items!$A$5:$A$597,0)),"⚠ not in Items"))</f>
        <v>IPAC</v>
      </c>
      <c r="H1569" s="19" t="str">
        <f>IF($F1569="","",IFERROR(INDEX(Items!$C$5:$C$597,MATCH($F1569,Items!$A$5:$A$597,0)),""))</f>
        <v>One Size</v>
      </c>
      <c r="I1569" s="23">
        <f>IF($F1569="","",IFERROR(INDEX(Items!$E$5:$E$597,MATCH($F1569,Items!$A$5:$A$597,0)),""))</f>
        <v>4</v>
      </c>
      <c r="J1569" s="115">
        <f>IF(tblIssues[[#This Row],[Qty Override]]&lt;&gt;"",tblIssues[[#This Row],[Qty Override]],IF(tblIssues[[#This Row],[Standard Issue]]="","",tblIssues[[#This Row],[Standard Issue]]))</f>
        <v>4</v>
      </c>
      <c r="K1569" s="20">
        <f>IF($F1569="","",IFERROR(INDEX(Items!$D$5:$D$597,MATCH($F1569,Items!$A$5:$A$597,0)),""))</f>
        <v>145.97999999999999</v>
      </c>
      <c r="L1569" s="21">
        <f t="shared" si="272"/>
        <v>583.91999999999996</v>
      </c>
      <c r="M1569" s="9" t="str">
        <f t="shared" si="270"/>
        <v/>
      </c>
      <c r="N1569" s="24">
        <f>IF($A1569="","",WORKDAY($A1569,Settings!$C$9,HolidayDates))</f>
        <v>46217</v>
      </c>
      <c r="O1569" s="24">
        <f>IF($N1569="","",WORKDAY($N1569,Settings!$C$10,HolidayDates))</f>
        <v>46255</v>
      </c>
      <c r="P1569" s="10" t="s">
        <v>501</v>
      </c>
      <c r="Q1569" s="52" t="str">
        <f t="shared" si="273"/>
        <v>Collected</v>
      </c>
      <c r="R1569" s="55" t="str">
        <f t="shared" si="274"/>
        <v>2026-07</v>
      </c>
      <c r="S1569" s="55">
        <f>IF(OR($B1569="",$F1569="",$R1569=""),"",SUMIFS(tblIssues[Qty Issued],tblIssues[Staff ID],$B1569,tblIssues[Item Name],$F1569,tblIssues[Month],$R1569))</f>
        <v>4</v>
      </c>
      <c r="T1569" s="56">
        <f>IF($I1569="","",$I1569*Settings!$C$11)</f>
        <v>4</v>
      </c>
      <c r="U1569" s="57" t="str">
        <f t="shared" si="271"/>
        <v>OK</v>
      </c>
      <c r="V1569" s="55" t="str">
        <f t="shared" si="275"/>
        <v/>
      </c>
      <c r="W1569" s="55" t="str">
        <f>IF($V1569="","",IF(COUNTIF($V$5:$V1569,$V1569)=1,1,""))</f>
        <v/>
      </c>
      <c r="X1569" s="58" t="str">
        <f>IF($W1569="","",MAX($X$4:X1568)+1)</f>
        <v/>
      </c>
      <c r="Y1569" s="62"/>
      <c r="Z1569" s="62"/>
      <c r="AA1569" s="64" t="str">
        <f>IF($C1569="","",IFERROR(INDEX('Staff Directory'!$E$5:$E$594,MATCH($C1569,'Staff Directory'!$B$5:$B$594,0)),""))</f>
        <v>firstname253.lastname253@example.com</v>
      </c>
      <c r="AB1569" s="64" t="str">
        <f>IF($C1569="","",IF(ISNUMBER(SEARCH($D1569,Settings!$C$15)),"Pickup","Dispatch"))</f>
        <v>Pickup</v>
      </c>
      <c r="AC1569" s="64" t="str">
        <f t="shared" si="276"/>
        <v>Supply order ready for pickup</v>
      </c>
      <c r="AD1569" s="64" t="str">
        <f t="shared" si="267"/>
        <v>Dear PSW,
Your order is ready for pickup from Sample Branch, Wed-Fri 9am-4pm.</v>
      </c>
      <c r="AE1569" s="64" t="str">
        <f t="shared" si="268"/>
        <v>mailto:firstname253.lastname253@example.com?subject=Supply%20order%20ready%20for%20pickup&amp;body=Dear%20PSW%2C%0A%0AYour%20order%20is%20ready%20for%20pickup%20from%20Sample%20Branch%2C%20Wed-Fri%209am-4pm.</v>
      </c>
      <c r="AF1569" s="89" t="str">
        <f t="shared" si="277"/>
        <v>Draft email</v>
      </c>
      <c r="AG1569" s="64" t="str">
        <f>IF($C1569="","",IFERROR(INDEX('Staff Directory'!$K$595:$K$599,MATCH($C1569,'Staff Directory'!$B$5:$B$599,0)),$D1569))</f>
        <v>PSW</v>
      </c>
      <c r="AH1569" t="str">
        <f>IF($C1569="","",IFERROR(INDEX('Staff Directory'!$I$595:$I$599,MATCH($C1569,'Staff Directory'!$B$5:$B$599,0))&amp;" "&amp;INDEX('Staff Directory'!$J$595:$J$599,MATCH($C1569,'Staff Directory'!$B$5:$B$599,0)),$AG1569))</f>
        <v>PSW</v>
      </c>
      <c r="AI1569" s="102"/>
      <c r="AJ1569" s="101">
        <f>IF($F1569="","",SUMIFS($J$5:$J1569,$F$5:$F1569,$F1569))</f>
        <v>76</v>
      </c>
      <c r="AK1569" s="101">
        <f t="shared" si="269"/>
        <v>73</v>
      </c>
      <c r="AL1569" s="66" t="str" cm="1">
        <f t="array" ref="AL1569">IF($F1569="","",IFERROR(INDEX('Lot Balance'!$B$5:$B$500,MATCH(1,INDEX(('Lot Balance'!$A$5:$A$500=$F1569)*('Lot Balance'!$K$5:$K$500&lt;$AK1569)*('Lot Balance'!$K$5:$K$500+'Lot Balance'!$D$5:$D$500&gt;=$AK1569),0),0)),""))</f>
        <v/>
      </c>
      <c r="AM1569" s="66" t="str" cm="1">
        <f t="array" ref="AM1569">IF($F1569="","",IFERROR(INDEX('Lot Balance'!$B$5:$B$500,MATCH(1,INDEX(('Lot Balance'!$A$5:$A$500=$F1569)*('Lot Balance'!$K$5:$K$500&lt;$AJ1569)*('Lot Balance'!$K$5:$K$500+'Lot Balance'!$D$5:$D$500&gt;=$AJ1569),0),0)),""))</f>
        <v/>
      </c>
      <c r="AN1569" s="66" t="str">
        <f>IF($F1569="","",IF($AI1569&lt;&gt;"",IF(COUNTIFS('Lot Balance'!$A$5:$A$500,$F1569,'Lot Balance'!$B$5:$B$500,$AI1569)=0,"⚠ override is not a lot of this item",IF($AI1569=$AL1569,"Override = FEFO","Override - FEFO says "&amp;$AL1569)),IF($AL1569="","⚠ no receipt on file for this item",IF($AM1569&lt;&gt;$AL1569,"FEFO auto - split, also "&amp;$AM1569,"FEFO auto"))))</f>
        <v>⚠ no receipt on file for this item</v>
      </c>
      <c r="AO1569" s="114"/>
    </row>
    <row r="1570" spans="1:41" x14ac:dyDescent="0.35">
      <c r="A1570" s="74">
        <v>46209</v>
      </c>
      <c r="B1570" s="18" t="str">
        <f>IF($C1570="","",IFERROR(INDEX('Staff Directory'!$A$5:$A$594,MATCH($C1570,'Staff Directory'!$B$5:$B$594,0)),"⚠ unknown staff"))</f>
        <v>PSW-190-TBD</v>
      </c>
      <c r="C1570" s="49" t="s">
        <v>1169</v>
      </c>
      <c r="D1570" s="19" t="str">
        <f>IF($B1570="","",IFERROR(INDEX('Staff Directory'!$C$5:$C$594,MATCH($B1570,'Staff Directory'!$A$5:$A$594,0)),""))</f>
        <v>PSW</v>
      </c>
      <c r="E1570" s="19">
        <f>IF($B1570="","",IFERROR(INDEX('Staff Directory'!$D$5:$D$594,MATCH($B1570,'Staff Directory'!$A$5:$A$594,0)),""))</f>
        <v>0</v>
      </c>
      <c r="F1570" s="9" t="s">
        <v>154</v>
      </c>
      <c r="G1570" s="18" t="str">
        <f>IF($F1570="","",IFERROR(INDEX(Items!$B$5:$B$597,MATCH($F1570,Items!$A$5:$A$597,0)),"⚠ not in Items"))</f>
        <v>IPAC</v>
      </c>
      <c r="H1570" s="19" t="str">
        <f>IF($F1570="","",IFERROR(INDEX(Items!$C$5:$C$597,MATCH($F1570,Items!$A$5:$A$597,0)),""))</f>
        <v>Regular</v>
      </c>
      <c r="I1570" s="23">
        <f>IF($F1570="","",IFERROR(INDEX(Items!$E$5:$E$597,MATCH($F1570,Items!$A$5:$A$597,0)),""))</f>
        <v>50</v>
      </c>
      <c r="J1570" s="115">
        <f>IF(tblIssues[[#This Row],[Qty Override]]&lt;&gt;"",tblIssues[[#This Row],[Qty Override]],IF(tblIssues[[#This Row],[Standard Issue]]="","",tblIssues[[#This Row],[Standard Issue]]))</f>
        <v>50</v>
      </c>
      <c r="K1570" s="20">
        <f>IF($F1570="","",IFERROR(INDEX(Items!$D$5:$D$597,MATCH($F1570,Items!$A$5:$A$597,0)),""))</f>
        <v>0.2</v>
      </c>
      <c r="L1570" s="21">
        <f t="shared" si="272"/>
        <v>10</v>
      </c>
      <c r="M1570" s="9" t="str">
        <f t="shared" si="270"/>
        <v/>
      </c>
      <c r="N1570" s="24">
        <f>IF($A1570="","",WORKDAY($A1570,Settings!$C$9,HolidayDates))</f>
        <v>46217</v>
      </c>
      <c r="O1570" s="24">
        <f>IF($N1570="","",WORKDAY($N1570,Settings!$C$10,HolidayDates))</f>
        <v>46255</v>
      </c>
      <c r="P1570" s="10" t="s">
        <v>501</v>
      </c>
      <c r="Q1570" s="52" t="str">
        <f t="shared" si="273"/>
        <v>Collected</v>
      </c>
      <c r="R1570" s="55" t="str">
        <f t="shared" si="274"/>
        <v>2026-07</v>
      </c>
      <c r="S1570" s="55">
        <f>IF(OR($B1570="",$F1570="",$R1570=""),"",SUMIFS(tblIssues[Qty Issued],tblIssues[Staff ID],$B1570,tblIssues[Item Name],$F1570,tblIssues[Month],$R1570))</f>
        <v>50</v>
      </c>
      <c r="T1570" s="56">
        <f>IF($I1570="","",$I1570*Settings!$C$11)</f>
        <v>50</v>
      </c>
      <c r="U1570" s="57" t="str">
        <f t="shared" si="271"/>
        <v>OK</v>
      </c>
      <c r="V1570" s="55" t="str">
        <f t="shared" si="275"/>
        <v/>
      </c>
      <c r="W1570" s="55" t="str">
        <f>IF($V1570="","",IF(COUNTIF($V$5:$V1570,$V1570)=1,1,""))</f>
        <v/>
      </c>
      <c r="X1570" s="58" t="str">
        <f>IF($W1570="","",MAX($X$4:X1569)+1)</f>
        <v/>
      </c>
      <c r="Y1570" s="62"/>
      <c r="Z1570" s="62"/>
      <c r="AA1570" s="64" t="str">
        <f>IF($C1570="","",IFERROR(INDEX('Staff Directory'!$E$5:$E$594,MATCH($C1570,'Staff Directory'!$B$5:$B$594,0)),""))</f>
        <v>firstname253.lastname253@example.com</v>
      </c>
      <c r="AB1570" s="64" t="str">
        <f>IF($C1570="","",IF(ISNUMBER(SEARCH($D1570,Settings!$C$15)),"Pickup","Dispatch"))</f>
        <v>Pickup</v>
      </c>
      <c r="AC1570" s="64" t="str">
        <f t="shared" si="276"/>
        <v>Supply order ready for pickup</v>
      </c>
      <c r="AD1570" s="64" t="str">
        <f t="shared" si="267"/>
        <v>Dear PSW,
Your order is ready for pickup from Sample Branch, Wed-Fri 9am-4pm.</v>
      </c>
      <c r="AE1570" s="64" t="str">
        <f t="shared" si="268"/>
        <v>mailto:firstname253.lastname253@example.com?subject=Supply%20order%20ready%20for%20pickup&amp;body=Dear%20PSW%2C%0A%0AYour%20order%20is%20ready%20for%20pickup%20from%20Sample%20Branch%2C%20Wed-Fri%209am-4pm.</v>
      </c>
      <c r="AF1570" s="89" t="str">
        <f t="shared" si="277"/>
        <v>Draft email</v>
      </c>
      <c r="AG1570" s="64" t="str">
        <f>IF($C1570="","",IFERROR(INDEX('Staff Directory'!$K$595:$K$599,MATCH($C1570,'Staff Directory'!$B$5:$B$599,0)),$D1570))</f>
        <v>PSW</v>
      </c>
      <c r="AH1570" t="str">
        <f>IF($C1570="","",IFERROR(INDEX('Staff Directory'!$I$595:$I$599,MATCH($C1570,'Staff Directory'!$B$5:$B$599,0))&amp;" "&amp;INDEX('Staff Directory'!$J$595:$J$599,MATCH($C1570,'Staff Directory'!$B$5:$B$599,0)),$AG1570))</f>
        <v>PSW</v>
      </c>
      <c r="AI1570" s="102"/>
      <c r="AJ1570" s="101">
        <f>IF($F1570="","",SUMIFS($J$5:$J1570,$F$5:$F1570,$F1570))</f>
        <v>1550</v>
      </c>
      <c r="AK1570" s="101">
        <f t="shared" si="269"/>
        <v>1501</v>
      </c>
      <c r="AL1570" s="66" t="str" cm="1">
        <f t="array" ref="AL1570">IF($F1570="","",IFERROR(INDEX('Lot Balance'!$B$5:$B$500,MATCH(1,INDEX(('Lot Balance'!$A$5:$A$500=$F1570)*('Lot Balance'!$K$5:$K$500&lt;$AK1570)*('Lot Balance'!$K$5:$K$500+'Lot Balance'!$D$5:$D$500&gt;=$AK1570),0),0)),""))</f>
        <v/>
      </c>
      <c r="AM1570" s="66" t="str" cm="1">
        <f t="array" ref="AM1570">IF($F1570="","",IFERROR(INDEX('Lot Balance'!$B$5:$B$500,MATCH(1,INDEX(('Lot Balance'!$A$5:$A$500=$F1570)*('Lot Balance'!$K$5:$K$500&lt;$AJ1570)*('Lot Balance'!$K$5:$K$500+'Lot Balance'!$D$5:$D$500&gt;=$AJ1570),0),0)),""))</f>
        <v/>
      </c>
      <c r="AN1570" s="66" t="str">
        <f>IF($F1570="","",IF($AI1570&lt;&gt;"",IF(COUNTIFS('Lot Balance'!$A$5:$A$500,$F1570,'Lot Balance'!$B$5:$B$500,$AI1570)=0,"⚠ override is not a lot of this item",IF($AI1570=$AL1570,"Override = FEFO","Override - FEFO says "&amp;$AL1570)),IF($AL1570="","⚠ no receipt on file for this item",IF($AM1570&lt;&gt;$AL1570,"FEFO auto - split, also "&amp;$AM1570,"FEFO auto"))))</f>
        <v>⚠ no receipt on file for this item</v>
      </c>
      <c r="AO1570" s="114"/>
    </row>
    <row r="1571" spans="1:41" x14ac:dyDescent="0.35">
      <c r="A1571" s="74">
        <v>46209</v>
      </c>
      <c r="B1571" s="18" t="str">
        <f>IF($C1571="","",IFERROR(INDEX('Staff Directory'!$A$5:$A$594,MATCH($C1571,'Staff Directory'!$B$5:$B$594,0)),"⚠ unknown staff"))</f>
        <v>PSW-190-TBD</v>
      </c>
      <c r="C1571" s="49" t="s">
        <v>1169</v>
      </c>
      <c r="D1571" s="19" t="str">
        <f>IF($B1571="","",IFERROR(INDEX('Staff Directory'!$C$5:$C$594,MATCH($B1571,'Staff Directory'!$A$5:$A$594,0)),""))</f>
        <v>PSW</v>
      </c>
      <c r="E1571" s="19">
        <f>IF($B1571="","",IFERROR(INDEX('Staff Directory'!$D$5:$D$594,MATCH($B1571,'Staff Directory'!$A$5:$A$594,0)),""))</f>
        <v>0</v>
      </c>
      <c r="F1571" s="9" t="s">
        <v>136</v>
      </c>
      <c r="G1571" s="18" t="str">
        <f>IF($F1571="","",IFERROR(INDEX(Items!$B$5:$B$597,MATCH($F1571,Items!$A$5:$A$597,0)),"⚠ not in Items"))</f>
        <v>Eye Protection</v>
      </c>
      <c r="H1571" s="19" t="str">
        <f>IF($F1571="","",IFERROR(INDEX(Items!$C$5:$C$597,MATCH($F1571,Items!$A$5:$A$597,0)),""))</f>
        <v>One Size</v>
      </c>
      <c r="I1571" s="23">
        <f>IF($F1571="","",IFERROR(INDEX(Items!$E$5:$E$597,MATCH($F1571,Items!$A$5:$A$597,0)),""))</f>
        <v>1</v>
      </c>
      <c r="J1571" s="115">
        <f>IF(tblIssues[[#This Row],[Qty Override]]&lt;&gt;"",tblIssues[[#This Row],[Qty Override]],IF(tblIssues[[#This Row],[Standard Issue]]="","",tblIssues[[#This Row],[Standard Issue]]))</f>
        <v>1</v>
      </c>
      <c r="K1571" s="20">
        <f>IF($F1571="","",IFERROR(INDEX(Items!$D$5:$D$597,MATCH($F1571,Items!$A$5:$A$597,0)),""))</f>
        <v>10</v>
      </c>
      <c r="L1571" s="21">
        <f t="shared" si="272"/>
        <v>10</v>
      </c>
      <c r="M1571" s="9" t="str">
        <f t="shared" si="270"/>
        <v>GGL5003700</v>
      </c>
      <c r="N1571" s="24">
        <f>IF($A1571="","",WORKDAY($A1571,Settings!$C$9,HolidayDates))</f>
        <v>46217</v>
      </c>
      <c r="O1571" s="24">
        <f>IF($N1571="","",WORKDAY($N1571,Settings!$C$10,HolidayDates))</f>
        <v>46255</v>
      </c>
      <c r="P1571" s="10" t="s">
        <v>501</v>
      </c>
      <c r="Q1571" s="52" t="str">
        <f t="shared" si="273"/>
        <v>Collected</v>
      </c>
      <c r="R1571" s="55" t="str">
        <f t="shared" si="274"/>
        <v>2026-07</v>
      </c>
      <c r="S1571" s="55">
        <f>IF(OR($B1571="",$F1571="",$R1571=""),"",SUMIFS(tblIssues[Qty Issued],tblIssues[Staff ID],$B1571,tblIssues[Item Name],$F1571,tblIssues[Month],$R1571))</f>
        <v>1</v>
      </c>
      <c r="T1571" s="56">
        <f>IF($I1571="","",$I1571*Settings!$C$11)</f>
        <v>1</v>
      </c>
      <c r="U1571" s="57" t="str">
        <f t="shared" si="271"/>
        <v>OK</v>
      </c>
      <c r="V1571" s="55" t="str">
        <f t="shared" si="275"/>
        <v/>
      </c>
      <c r="W1571" s="55" t="str">
        <f>IF($V1571="","",IF(COUNTIF($V$5:$V1571,$V1571)=1,1,""))</f>
        <v/>
      </c>
      <c r="X1571" s="58" t="str">
        <f>IF($W1571="","",MAX($X$4:X1570)+1)</f>
        <v/>
      </c>
      <c r="Y1571" s="62"/>
      <c r="Z1571" s="62"/>
      <c r="AA1571" s="64" t="str">
        <f>IF($C1571="","",IFERROR(INDEX('Staff Directory'!$E$5:$E$594,MATCH($C1571,'Staff Directory'!$B$5:$B$594,0)),""))</f>
        <v>firstname253.lastname253@example.com</v>
      </c>
      <c r="AB1571" s="64" t="str">
        <f>IF($C1571="","",IF(ISNUMBER(SEARCH($D1571,Settings!$C$15)),"Pickup","Dispatch"))</f>
        <v>Pickup</v>
      </c>
      <c r="AC1571" s="64" t="str">
        <f t="shared" si="276"/>
        <v>Supply order ready for pickup</v>
      </c>
      <c r="AD1571" s="64" t="str">
        <f t="shared" si="267"/>
        <v>Dear PSW,
Your order is ready for pickup from Sample Branch, Wed-Fri 9am-4pm.</v>
      </c>
      <c r="AE1571" s="64" t="str">
        <f t="shared" si="268"/>
        <v>mailto:firstname253.lastname253@example.com?subject=Supply%20order%20ready%20for%20pickup&amp;body=Dear%20PSW%2C%0A%0AYour%20order%20is%20ready%20for%20pickup%20from%20Sample%20Branch%2C%20Wed-Fri%209am-4pm.</v>
      </c>
      <c r="AF1571" s="89" t="str">
        <f t="shared" si="277"/>
        <v>Draft email</v>
      </c>
      <c r="AG1571" s="64" t="str">
        <f>IF($C1571="","",IFERROR(INDEX('Staff Directory'!$K$595:$K$599,MATCH($C1571,'Staff Directory'!$B$5:$B$599,0)),$D1571))</f>
        <v>PSW</v>
      </c>
      <c r="AH1571" t="str">
        <f>IF($C1571="","",IFERROR(INDEX('Staff Directory'!$I$595:$I$599,MATCH($C1571,'Staff Directory'!$B$5:$B$599,0))&amp;" "&amp;INDEX('Staff Directory'!$J$595:$J$599,MATCH($C1571,'Staff Directory'!$B$5:$B$599,0)),$AG1571))</f>
        <v>PSW</v>
      </c>
      <c r="AI1571" s="102"/>
      <c r="AJ1571" s="101">
        <f>IF($F1571="","",SUMIFS($J$5:$J1571,$F$5:$F1571,$F1571))</f>
        <v>15</v>
      </c>
      <c r="AK1571" s="101">
        <f t="shared" si="269"/>
        <v>15</v>
      </c>
      <c r="AL1571" s="66" t="str" cm="1">
        <f t="array" ref="AL1571">IF($F1571="","",IFERROR(INDEX('Lot Balance'!$B$5:$B$500,MATCH(1,INDEX(('Lot Balance'!$A$5:$A$500=$F1571)*('Lot Balance'!$K$5:$K$500&lt;$AK1571)*('Lot Balance'!$K$5:$K$500+'Lot Balance'!$D$5:$D$500&gt;=$AK1571),0),0)),""))</f>
        <v>GGL5003700</v>
      </c>
      <c r="AM1571" s="66" t="str" cm="1">
        <f t="array" ref="AM1571">IF($F1571="","",IFERROR(INDEX('Lot Balance'!$B$5:$B$500,MATCH(1,INDEX(('Lot Balance'!$A$5:$A$500=$F1571)*('Lot Balance'!$K$5:$K$500&lt;$AJ1571)*('Lot Balance'!$K$5:$K$500+'Lot Balance'!$D$5:$D$500&gt;=$AJ1571),0),0)),""))</f>
        <v>GGL5003700</v>
      </c>
      <c r="AN1571" s="66" t="str">
        <f>IF($F1571="","",IF($AI1571&lt;&gt;"",IF(COUNTIFS('Lot Balance'!$A$5:$A$500,$F1571,'Lot Balance'!$B$5:$B$500,$AI1571)=0,"⚠ override is not a lot of this item",IF($AI1571=$AL1571,"Override = FEFO","Override - FEFO says "&amp;$AL1571)),IF($AL1571="","⚠ no receipt on file for this item",IF($AM1571&lt;&gt;$AL1571,"FEFO auto - split, also "&amp;$AM1571,"FEFO auto"))))</f>
        <v>FEFO auto</v>
      </c>
      <c r="AO1571" s="114"/>
    </row>
    <row r="1572" spans="1:41" x14ac:dyDescent="0.35">
      <c r="A1572" s="74">
        <v>46209</v>
      </c>
      <c r="B1572" s="18" t="str">
        <f>IF($C1572="","",IFERROR(INDEX('Staff Directory'!$A$5:$A$594,MATCH($C1572,'Staff Directory'!$B$5:$B$594,0)),"⚠ unknown staff"))</f>
        <v>PSW-190-TBD</v>
      </c>
      <c r="C1572" s="49" t="s">
        <v>1169</v>
      </c>
      <c r="D1572" s="19" t="str">
        <f>IF($B1572="","",IFERROR(INDEX('Staff Directory'!$C$5:$C$594,MATCH($B1572,'Staff Directory'!$A$5:$A$594,0)),""))</f>
        <v>PSW</v>
      </c>
      <c r="E1572" s="19">
        <f>IF($B1572="","",IFERROR(INDEX('Staff Directory'!$D$5:$D$594,MATCH($B1572,'Staff Directory'!$A$5:$A$594,0)),""))</f>
        <v>0</v>
      </c>
      <c r="F1572" s="9" t="s">
        <v>122</v>
      </c>
      <c r="G1572" s="18" t="str">
        <f>IF($F1572="","",IFERROR(INDEX(Items!$B$5:$B$597,MATCH($F1572,Items!$A$5:$A$597,0)),"⚠ not in Items"))</f>
        <v>Eye Protection</v>
      </c>
      <c r="H1572" s="19" t="str">
        <f>IF($F1572="","",IFERROR(INDEX(Items!$C$5:$C$597,MATCH($F1572,Items!$A$5:$A$597,0)),""))</f>
        <v>One Size</v>
      </c>
      <c r="I1572" s="23">
        <f>IF($F1572="","",IFERROR(INDEX(Items!$E$5:$E$597,MATCH($F1572,Items!$A$5:$A$597,0)),""))</f>
        <v>1</v>
      </c>
      <c r="J1572" s="115">
        <f>IF(tblIssues[[#This Row],[Qty Override]]&lt;&gt;"",tblIssues[[#This Row],[Qty Override]],IF(tblIssues[[#This Row],[Standard Issue]]="","",tblIssues[[#This Row],[Standard Issue]]))</f>
        <v>1</v>
      </c>
      <c r="K1572" s="20">
        <f>IF($F1572="","",IFERROR(INDEX(Items!$D$5:$D$597,MATCH($F1572,Items!$A$5:$A$597,0)),""))</f>
        <v>7</v>
      </c>
      <c r="L1572" s="21">
        <f t="shared" si="272"/>
        <v>7</v>
      </c>
      <c r="M1572" s="9" t="str">
        <f t="shared" si="270"/>
        <v/>
      </c>
      <c r="N1572" s="24">
        <f>IF($A1572="","",WORKDAY($A1572,Settings!$C$9,HolidayDates))</f>
        <v>46217</v>
      </c>
      <c r="O1572" s="24">
        <f>IF($N1572="","",WORKDAY($N1572,Settings!$C$10,HolidayDates))</f>
        <v>46255</v>
      </c>
      <c r="P1572" s="10" t="s">
        <v>501</v>
      </c>
      <c r="Q1572" s="52" t="str">
        <f t="shared" si="273"/>
        <v>Collected</v>
      </c>
      <c r="R1572" s="55" t="str">
        <f t="shared" si="274"/>
        <v>2026-07</v>
      </c>
      <c r="S1572" s="55">
        <f>IF(OR($B1572="",$F1572="",$R1572=""),"",SUMIFS(tblIssues[Qty Issued],tblIssues[Staff ID],$B1572,tblIssues[Item Name],$F1572,tblIssues[Month],$R1572))</f>
        <v>1</v>
      </c>
      <c r="T1572" s="56">
        <f>IF($I1572="","",$I1572*Settings!$C$11)</f>
        <v>1</v>
      </c>
      <c r="U1572" s="57" t="str">
        <f t="shared" si="271"/>
        <v>OK</v>
      </c>
      <c r="V1572" s="55" t="str">
        <f t="shared" si="275"/>
        <v/>
      </c>
      <c r="W1572" s="55" t="str">
        <f>IF($V1572="","",IF(COUNTIF($V$5:$V1572,$V1572)=1,1,""))</f>
        <v/>
      </c>
      <c r="X1572" s="58" t="str">
        <f>IF($W1572="","",MAX($X$4:X1571)+1)</f>
        <v/>
      </c>
      <c r="Y1572" s="62"/>
      <c r="Z1572" s="62"/>
      <c r="AA1572" s="64" t="str">
        <f>IF($C1572="","",IFERROR(INDEX('Staff Directory'!$E$5:$E$594,MATCH($C1572,'Staff Directory'!$B$5:$B$594,0)),""))</f>
        <v>firstname253.lastname253@example.com</v>
      </c>
      <c r="AB1572" s="64" t="str">
        <f>IF($C1572="","",IF(ISNUMBER(SEARCH($D1572,Settings!$C$15)),"Pickup","Dispatch"))</f>
        <v>Pickup</v>
      </c>
      <c r="AC1572" s="64" t="str">
        <f t="shared" si="276"/>
        <v>Supply order ready for pickup</v>
      </c>
      <c r="AD1572" s="64" t="str">
        <f t="shared" si="267"/>
        <v>Dear PSW,
Your order is ready for pickup from Sample Branch, Wed-Fri 9am-4pm.</v>
      </c>
      <c r="AE1572" s="64" t="str">
        <f t="shared" si="268"/>
        <v>mailto:firstname253.lastname253@example.com?subject=Supply%20order%20ready%20for%20pickup&amp;body=Dear%20PSW%2C%0A%0AYour%20order%20is%20ready%20for%20pickup%20from%20Sample%20Branch%2C%20Wed-Fri%209am-4pm.</v>
      </c>
      <c r="AF1572" s="89" t="str">
        <f t="shared" si="277"/>
        <v>Draft email</v>
      </c>
      <c r="AG1572" s="64" t="str">
        <f>IF($C1572="","",IFERROR(INDEX('Staff Directory'!$K$595:$K$599,MATCH($C1572,'Staff Directory'!$B$5:$B$599,0)),$D1572))</f>
        <v>PSW</v>
      </c>
      <c r="AH1572" t="str">
        <f>IF($C1572="","",IFERROR(INDEX('Staff Directory'!$I$595:$I$599,MATCH($C1572,'Staff Directory'!$B$5:$B$599,0))&amp;" "&amp;INDEX('Staff Directory'!$J$595:$J$599,MATCH($C1572,'Staff Directory'!$B$5:$B$599,0)),$AG1572))</f>
        <v>PSW</v>
      </c>
      <c r="AI1572" s="102"/>
      <c r="AJ1572" s="101">
        <f>IF($F1572="","",SUMIFS($J$5:$J1572,$F$5:$F1572,$F1572))</f>
        <v>16</v>
      </c>
      <c r="AK1572" s="101">
        <f t="shared" si="269"/>
        <v>16</v>
      </c>
      <c r="AL1572" s="66" t="str" cm="1">
        <f t="array" ref="AL1572">IF($F1572="","",IFERROR(INDEX('Lot Balance'!$B$5:$B$500,MATCH(1,INDEX(('Lot Balance'!$A$5:$A$500=$F1572)*('Lot Balance'!$K$5:$K$500&lt;$AK1572)*('Lot Balance'!$K$5:$K$500+'Lot Balance'!$D$5:$D$500&gt;=$AK1572),0),0)),""))</f>
        <v/>
      </c>
      <c r="AM1572" s="66" t="str" cm="1">
        <f t="array" ref="AM1572">IF($F1572="","",IFERROR(INDEX('Lot Balance'!$B$5:$B$500,MATCH(1,INDEX(('Lot Balance'!$A$5:$A$500=$F1572)*('Lot Balance'!$K$5:$K$500&lt;$AJ1572)*('Lot Balance'!$K$5:$K$500+'Lot Balance'!$D$5:$D$500&gt;=$AJ1572),0),0)),""))</f>
        <v/>
      </c>
      <c r="AN1572" s="66" t="str">
        <f>IF($F1572="","",IF($AI1572&lt;&gt;"",IF(COUNTIFS('Lot Balance'!$A$5:$A$500,$F1572,'Lot Balance'!$B$5:$B$500,$AI1572)=0,"⚠ override is not a lot of this item",IF($AI1572=$AL1572,"Override = FEFO","Override - FEFO says "&amp;$AL1572)),IF($AL1572="","⚠ no receipt on file for this item",IF($AM1572&lt;&gt;$AL1572,"FEFO auto - split, also "&amp;$AM1572,"FEFO auto"))))</f>
        <v>⚠ no receipt on file for this item</v>
      </c>
      <c r="AO1572" s="114"/>
    </row>
    <row r="1573" spans="1:41" x14ac:dyDescent="0.35">
      <c r="A1573" s="74">
        <v>46209</v>
      </c>
      <c r="B1573" s="18" t="str">
        <f>IF($C1573="","",IFERROR(INDEX('Staff Directory'!$A$5:$A$594,MATCH($C1573,'Staff Directory'!$B$5:$B$594,0)),"⚠ unknown staff"))</f>
        <v>PSW-190-TBD</v>
      </c>
      <c r="C1573" s="49" t="s">
        <v>1169</v>
      </c>
      <c r="D1573" s="19" t="str">
        <f>IF($B1573="","",IFERROR(INDEX('Staff Directory'!$C$5:$C$594,MATCH($B1573,'Staff Directory'!$A$5:$A$594,0)),""))</f>
        <v>PSW</v>
      </c>
      <c r="E1573" s="19">
        <f>IF($B1573="","",IFERROR(INDEX('Staff Directory'!$D$5:$D$594,MATCH($B1573,'Staff Directory'!$A$5:$A$594,0)),""))</f>
        <v>0</v>
      </c>
      <c r="F1573" s="9" t="s">
        <v>150</v>
      </c>
      <c r="G1573" s="18" t="str">
        <f>IF($F1573="","",IFERROR(INDEX(Items!$B$5:$B$597,MATCH($F1573,Items!$A$5:$A$597,0)),"⚠ not in Items"))</f>
        <v>Documents</v>
      </c>
      <c r="H1573" s="19" t="str">
        <f>IF($F1573="","",IFERROR(INDEX(Items!$C$5:$C$597,MATCH($F1573,Items!$A$5:$A$597,0)),""))</f>
        <v>Standard</v>
      </c>
      <c r="I1573" s="23">
        <f>IF($F1573="","",IFERROR(INDEX(Items!$E$5:$E$597,MATCH($F1573,Items!$A$5:$A$597,0)),""))</f>
        <v>1</v>
      </c>
      <c r="J1573" s="115">
        <f>IF(tblIssues[[#This Row],[Qty Override]]&lt;&gt;"",tblIssues[[#This Row],[Qty Override]],IF(tblIssues[[#This Row],[Standard Issue]]="","",tblIssues[[#This Row],[Standard Issue]]))</f>
        <v>1</v>
      </c>
      <c r="K1573" s="20">
        <f>IF($F1573="","",IFERROR(INDEX(Items!$D$5:$D$597,MATCH($F1573,Items!$A$5:$A$597,0)),""))</f>
        <v>0</v>
      </c>
      <c r="L1573" s="21">
        <f t="shared" si="272"/>
        <v>0</v>
      </c>
      <c r="M1573" s="9" t="str">
        <f t="shared" si="270"/>
        <v/>
      </c>
      <c r="N1573" s="24">
        <f>IF($A1573="","",WORKDAY($A1573,Settings!$C$9,HolidayDates))</f>
        <v>46217</v>
      </c>
      <c r="O1573" s="24">
        <f>IF($N1573="","",WORKDAY($N1573,Settings!$C$10,HolidayDates))</f>
        <v>46255</v>
      </c>
      <c r="P1573" s="10" t="s">
        <v>501</v>
      </c>
      <c r="Q1573" s="52" t="str">
        <f t="shared" si="273"/>
        <v>Collected</v>
      </c>
      <c r="R1573" s="55" t="str">
        <f t="shared" si="274"/>
        <v>2026-07</v>
      </c>
      <c r="S1573" s="55">
        <f>IF(OR($B1573="",$F1573="",$R1573=""),"",SUMIFS(tblIssues[Qty Issued],tblIssues[Staff ID],$B1573,tblIssues[Item Name],$F1573,tblIssues[Month],$R1573))</f>
        <v>1</v>
      </c>
      <c r="T1573" s="56">
        <f>IF($I1573="","",$I1573*Settings!$C$11)</f>
        <v>1</v>
      </c>
      <c r="U1573" s="57" t="str">
        <f t="shared" si="271"/>
        <v>OK</v>
      </c>
      <c r="V1573" s="55" t="str">
        <f t="shared" si="275"/>
        <v/>
      </c>
      <c r="W1573" s="55" t="str">
        <f>IF($V1573="","",IF(COUNTIF($V$5:$V1573,$V1573)=1,1,""))</f>
        <v/>
      </c>
      <c r="X1573" s="58" t="str">
        <f>IF($W1573="","",MAX($X$4:X1572)+1)</f>
        <v/>
      </c>
      <c r="Y1573" s="62"/>
      <c r="Z1573" s="62"/>
      <c r="AA1573" s="64" t="str">
        <f>IF($C1573="","",IFERROR(INDEX('Staff Directory'!$E$5:$E$594,MATCH($C1573,'Staff Directory'!$B$5:$B$594,0)),""))</f>
        <v>firstname253.lastname253@example.com</v>
      </c>
      <c r="AB1573" s="64" t="str">
        <f>IF($C1573="","",IF(ISNUMBER(SEARCH($D1573,Settings!$C$15)),"Pickup","Dispatch"))</f>
        <v>Pickup</v>
      </c>
      <c r="AC1573" s="64" t="str">
        <f t="shared" si="276"/>
        <v>Supply order ready for pickup</v>
      </c>
      <c r="AD1573" s="64" t="str">
        <f t="shared" si="267"/>
        <v>Dear PSW,
Your order is ready for pickup from Sample Branch, Wed-Fri 9am-4pm.</v>
      </c>
      <c r="AE1573" s="64" t="str">
        <f t="shared" si="268"/>
        <v>mailto:firstname253.lastname253@example.com?subject=Supply%20order%20ready%20for%20pickup&amp;body=Dear%20PSW%2C%0A%0AYour%20order%20is%20ready%20for%20pickup%20from%20Sample%20Branch%2C%20Wed-Fri%209am-4pm.</v>
      </c>
      <c r="AF1573" s="89" t="str">
        <f t="shared" si="277"/>
        <v>Draft email</v>
      </c>
      <c r="AG1573" s="64" t="str">
        <f>IF($C1573="","",IFERROR(INDEX('Staff Directory'!$K$595:$K$599,MATCH($C1573,'Staff Directory'!$B$5:$B$599,0)),$D1573))</f>
        <v>PSW</v>
      </c>
      <c r="AH1573" t="str">
        <f>IF($C1573="","",IFERROR(INDEX('Staff Directory'!$I$595:$I$599,MATCH($C1573,'Staff Directory'!$B$5:$B$599,0))&amp;" "&amp;INDEX('Staff Directory'!$J$595:$J$599,MATCH($C1573,'Staff Directory'!$B$5:$B$599,0)),$AG1573))</f>
        <v>PSW</v>
      </c>
      <c r="AI1573" s="102"/>
      <c r="AJ1573" s="101">
        <f>IF($F1573="","",SUMIFS($J$5:$J1573,$F$5:$F1573,$F1573))</f>
        <v>16</v>
      </c>
      <c r="AK1573" s="101">
        <f t="shared" si="269"/>
        <v>16</v>
      </c>
      <c r="AL1573" s="66" t="str" cm="1">
        <f t="array" ref="AL1573">IF($F1573="","",IFERROR(INDEX('Lot Balance'!$B$5:$B$500,MATCH(1,INDEX(('Lot Balance'!$A$5:$A$500=$F1573)*('Lot Balance'!$K$5:$K$500&lt;$AK1573)*('Lot Balance'!$K$5:$K$500+'Lot Balance'!$D$5:$D$500&gt;=$AK1573),0),0)),""))</f>
        <v/>
      </c>
      <c r="AM1573" s="66" t="str" cm="1">
        <f t="array" ref="AM1573">IF($F1573="","",IFERROR(INDEX('Lot Balance'!$B$5:$B$500,MATCH(1,INDEX(('Lot Balance'!$A$5:$A$500=$F1573)*('Lot Balance'!$K$5:$K$500&lt;$AJ1573)*('Lot Balance'!$K$5:$K$500+'Lot Balance'!$D$5:$D$500&gt;=$AJ1573),0),0)),""))</f>
        <v/>
      </c>
      <c r="AN1573" s="66" t="str">
        <f>IF($F1573="","",IF($AI1573&lt;&gt;"",IF(COUNTIFS('Lot Balance'!$A$5:$A$500,$F1573,'Lot Balance'!$B$5:$B$500,$AI1573)=0,"⚠ override is not a lot of this item",IF($AI1573=$AL1573,"Override = FEFO","Override - FEFO says "&amp;$AL1573)),IF($AL1573="","⚠ no receipt on file for this item",IF($AM1573&lt;&gt;$AL1573,"FEFO auto - split, also "&amp;$AM1573,"FEFO auto"))))</f>
        <v>⚠ no receipt on file for this item</v>
      </c>
      <c r="AO1573" s="114"/>
    </row>
    <row r="1574" spans="1:41" x14ac:dyDescent="0.35">
      <c r="A1574" s="74">
        <v>46209</v>
      </c>
      <c r="B1574" s="18" t="str">
        <f>IF($C1574="","",IFERROR(INDEX('Staff Directory'!$A$5:$A$594,MATCH($C1574,'Staff Directory'!$B$5:$B$594,0)),"⚠ unknown staff"))</f>
        <v>PSW-190-TBD</v>
      </c>
      <c r="C1574" s="49" t="s">
        <v>1169</v>
      </c>
      <c r="D1574" s="19" t="str">
        <f>IF($B1574="","",IFERROR(INDEX('Staff Directory'!$C$5:$C$594,MATCH($B1574,'Staff Directory'!$A$5:$A$594,0)),""))</f>
        <v>PSW</v>
      </c>
      <c r="E1574" s="19">
        <f>IF($B1574="","",IFERROR(INDEX('Staff Directory'!$D$5:$D$594,MATCH($B1574,'Staff Directory'!$A$5:$A$594,0)),""))</f>
        <v>0</v>
      </c>
      <c r="F1574" s="9" t="s">
        <v>755</v>
      </c>
      <c r="G1574" s="18" t="str">
        <f>IF($F1574="","",IFERROR(INDEX(Items!$B$5:$B$597,MATCH($F1574,Items!$A$5:$A$597,0)),"⚠ not in Items"))</f>
        <v>Documents</v>
      </c>
      <c r="H1574" s="19" t="str">
        <f>IF($F1574="","",IFERROR(INDEX(Items!$C$5:$C$597,MATCH($F1574,Items!$A$5:$A$597,0)),""))</f>
        <v>Standard</v>
      </c>
      <c r="I1574" s="23">
        <f>IF($F1574="","",IFERROR(INDEX(Items!$E$5:$E$597,MATCH($F1574,Items!$A$5:$A$597,0)),""))</f>
        <v>2</v>
      </c>
      <c r="J1574" s="115">
        <f>IF(tblIssues[[#This Row],[Qty Override]]&lt;&gt;"",tblIssues[[#This Row],[Qty Override]],IF(tblIssues[[#This Row],[Standard Issue]]="","",tblIssues[[#This Row],[Standard Issue]]))</f>
        <v>2</v>
      </c>
      <c r="K1574" s="20">
        <f>IF($F1574="","",IFERROR(INDEX(Items!$D$5:$D$597,MATCH($F1574,Items!$A$5:$A$597,0)),""))</f>
        <v>0</v>
      </c>
      <c r="L1574" s="21">
        <f t="shared" si="272"/>
        <v>0</v>
      </c>
      <c r="M1574" s="9" t="str">
        <f t="shared" si="270"/>
        <v/>
      </c>
      <c r="N1574" s="24">
        <f>IF($A1574="","",WORKDAY($A1574,Settings!$C$9,HolidayDates))</f>
        <v>46217</v>
      </c>
      <c r="O1574" s="24">
        <f>IF($N1574="","",WORKDAY($N1574,Settings!$C$10,HolidayDates))</f>
        <v>46255</v>
      </c>
      <c r="P1574" s="10" t="s">
        <v>501</v>
      </c>
      <c r="Q1574" s="52" t="str">
        <f t="shared" si="273"/>
        <v>Collected</v>
      </c>
      <c r="R1574" s="55" t="str">
        <f t="shared" si="274"/>
        <v>2026-07</v>
      </c>
      <c r="S1574" s="55">
        <f>IF(OR($B1574="",$F1574="",$R1574=""),"",SUMIFS(tblIssues[Qty Issued],tblIssues[Staff ID],$B1574,tblIssues[Item Name],$F1574,tblIssues[Month],$R1574))</f>
        <v>2</v>
      </c>
      <c r="T1574" s="56">
        <f>IF($I1574="","",$I1574*Settings!$C$11)</f>
        <v>2</v>
      </c>
      <c r="U1574" s="57" t="str">
        <f t="shared" si="271"/>
        <v>OK</v>
      </c>
      <c r="V1574" s="55" t="str">
        <f t="shared" si="275"/>
        <v/>
      </c>
      <c r="W1574" s="55" t="str">
        <f>IF($V1574="","",IF(COUNTIF($V$5:$V1574,$V1574)=1,1,""))</f>
        <v/>
      </c>
      <c r="X1574" s="58" t="str">
        <f>IF($W1574="","",MAX($X$4:X1573)+1)</f>
        <v/>
      </c>
      <c r="Y1574" s="62"/>
      <c r="Z1574" s="62"/>
      <c r="AA1574" s="64" t="str">
        <f>IF($C1574="","",IFERROR(INDEX('Staff Directory'!$E$5:$E$594,MATCH($C1574,'Staff Directory'!$B$5:$B$594,0)),""))</f>
        <v>firstname253.lastname253@example.com</v>
      </c>
      <c r="AB1574" s="64" t="str">
        <f>IF($C1574="","",IF(ISNUMBER(SEARCH($D1574,Settings!$C$15)),"Pickup","Dispatch"))</f>
        <v>Pickup</v>
      </c>
      <c r="AC1574" s="64" t="str">
        <f t="shared" si="276"/>
        <v>Supply order ready for pickup</v>
      </c>
      <c r="AD1574" s="64" t="str">
        <f t="shared" si="267"/>
        <v>Dear PSW,
Your order is ready for pickup from Sample Branch, Wed-Fri 9am-4pm.</v>
      </c>
      <c r="AE1574" s="64" t="str">
        <f t="shared" si="268"/>
        <v>mailto:firstname253.lastname253@example.com?subject=Supply%20order%20ready%20for%20pickup&amp;body=Dear%20PSW%2C%0A%0AYour%20order%20is%20ready%20for%20pickup%20from%20Sample%20Branch%2C%20Wed-Fri%209am-4pm.</v>
      </c>
      <c r="AF1574" s="89" t="str">
        <f t="shared" si="277"/>
        <v>Draft email</v>
      </c>
      <c r="AG1574" s="64" t="str">
        <f>IF($C1574="","",IFERROR(INDEX('Staff Directory'!$K$595:$K$599,MATCH($C1574,'Staff Directory'!$B$5:$B$599,0)),$D1574))</f>
        <v>PSW</v>
      </c>
      <c r="AH1574" t="str">
        <f>IF($C1574="","",IFERROR(INDEX('Staff Directory'!$I$595:$I$599,MATCH($C1574,'Staff Directory'!$B$5:$B$599,0))&amp;" "&amp;INDEX('Staff Directory'!$J$595:$J$599,MATCH($C1574,'Staff Directory'!$B$5:$B$599,0)),$AG1574))</f>
        <v>PSW</v>
      </c>
      <c r="AI1574" s="102"/>
      <c r="AJ1574" s="101">
        <f>IF($F1574="","",SUMIFS($J$5:$J1574,$F$5:$F1574,$F1574))</f>
        <v>144</v>
      </c>
      <c r="AK1574" s="101">
        <f t="shared" si="269"/>
        <v>143</v>
      </c>
      <c r="AL1574" s="66" t="str" cm="1">
        <f t="array" ref="AL1574">IF($F1574="","",IFERROR(INDEX('Lot Balance'!$B$5:$B$500,MATCH(1,INDEX(('Lot Balance'!$A$5:$A$500=$F1574)*('Lot Balance'!$K$5:$K$500&lt;$AK1574)*('Lot Balance'!$K$5:$K$500+'Lot Balance'!$D$5:$D$500&gt;=$AK1574),0),0)),""))</f>
        <v/>
      </c>
      <c r="AM1574" s="66" t="str" cm="1">
        <f t="array" ref="AM1574">IF($F1574="","",IFERROR(INDEX('Lot Balance'!$B$5:$B$500,MATCH(1,INDEX(('Lot Balance'!$A$5:$A$500=$F1574)*('Lot Balance'!$K$5:$K$500&lt;$AJ1574)*('Lot Balance'!$K$5:$K$500+'Lot Balance'!$D$5:$D$500&gt;=$AJ1574),0),0)),""))</f>
        <v/>
      </c>
      <c r="AN1574" s="66" t="str">
        <f>IF($F1574="","",IF($AI1574&lt;&gt;"",IF(COUNTIFS('Lot Balance'!$A$5:$A$500,$F1574,'Lot Balance'!$B$5:$B$500,$AI1574)=0,"⚠ override is not a lot of this item",IF($AI1574=$AL1574,"Override = FEFO","Override - FEFO says "&amp;$AL1574)),IF($AL1574="","⚠ no receipt on file for this item",IF($AM1574&lt;&gt;$AL1574,"FEFO auto - split, also "&amp;$AM1574,"FEFO auto"))))</f>
        <v>⚠ no receipt on file for this item</v>
      </c>
      <c r="AO1574" s="114"/>
    </row>
    <row r="1575" spans="1:41" x14ac:dyDescent="0.35">
      <c r="A1575" s="74">
        <v>46209</v>
      </c>
      <c r="B1575" s="18" t="str">
        <f>IF($C1575="","",IFERROR(INDEX('Staff Directory'!$A$5:$A$594,MATCH($C1575,'Staff Directory'!$B$5:$B$594,0)),"⚠ unknown staff"))</f>
        <v>PSW-191-TBD</v>
      </c>
      <c r="C1575" s="49" t="s">
        <v>1170</v>
      </c>
      <c r="D1575" s="19" t="str">
        <f>IF($B1575="","",IFERROR(INDEX('Staff Directory'!$C$5:$C$594,MATCH($B1575,'Staff Directory'!$A$5:$A$594,0)),""))</f>
        <v>PSW</v>
      </c>
      <c r="E1575" s="19">
        <f>IF($B1575="","",IFERROR(INDEX('Staff Directory'!$D$5:$D$594,MATCH($B1575,'Staff Directory'!$A$5:$A$594,0)),""))</f>
        <v>0</v>
      </c>
      <c r="F1575" s="9" t="s">
        <v>127</v>
      </c>
      <c r="G1575" s="18" t="str">
        <f>IF($F1575="","",IFERROR(INDEX(Items!$B$5:$B$597,MATCH($F1575,Items!$A$5:$A$597,0)),"⚠ not in Items"))</f>
        <v>Gloves</v>
      </c>
      <c r="H1575" s="19" t="str">
        <f>IF($F1575="","",IFERROR(INDEX(Items!$C$5:$C$597,MATCH($F1575,Items!$A$5:$A$597,0)),""))</f>
        <v>Medium</v>
      </c>
      <c r="I1575" s="23">
        <f>IF($F1575="","",IFERROR(INDEX(Items!$E$5:$E$597,MATCH($F1575,Items!$A$5:$A$597,0)),""))</f>
        <v>500</v>
      </c>
      <c r="J1575" s="115">
        <f>IF(tblIssues[[#This Row],[Qty Override]]&lt;&gt;"",tblIssues[[#This Row],[Qty Override]],IF(tblIssues[[#This Row],[Standard Issue]]="","",tblIssues[[#This Row],[Standard Issue]]))</f>
        <v>500</v>
      </c>
      <c r="K1575" s="20">
        <f>IF($F1575="","",IFERROR(INDEX(Items!$D$5:$D$597,MATCH($F1575,Items!$A$5:$A$597,0)),""))</f>
        <v>5.5E-2</v>
      </c>
      <c r="L1575" s="21">
        <f t="shared" si="272"/>
        <v>27.5</v>
      </c>
      <c r="M1575" s="9" t="str">
        <f t="shared" si="270"/>
        <v>ZIM510137962-2</v>
      </c>
      <c r="N1575" s="24">
        <f>IF($A1575="","",WORKDAY($A1575,Settings!$C$9,HolidayDates))</f>
        <v>46217</v>
      </c>
      <c r="O1575" s="24">
        <f>IF($N1575="","",WORKDAY($N1575,Settings!$C$10,HolidayDates))</f>
        <v>46255</v>
      </c>
      <c r="P1575" s="10" t="s">
        <v>501</v>
      </c>
      <c r="Q1575" s="52" t="str">
        <f t="shared" si="273"/>
        <v>Collected</v>
      </c>
      <c r="R1575" s="55" t="str">
        <f t="shared" si="274"/>
        <v>2026-07</v>
      </c>
      <c r="S1575" s="55">
        <f>IF(OR($B1575="",$F1575="",$R1575=""),"",SUMIFS(tblIssues[Qty Issued],tblIssues[Staff ID],$B1575,tblIssues[Item Name],$F1575,tblIssues[Month],$R1575))</f>
        <v>500</v>
      </c>
      <c r="T1575" s="56">
        <f>IF($I1575="","",$I1575*Settings!$C$11)</f>
        <v>500</v>
      </c>
      <c r="U1575" s="57" t="str">
        <f t="shared" si="271"/>
        <v>OK</v>
      </c>
      <c r="V1575" s="55" t="str">
        <f t="shared" si="275"/>
        <v/>
      </c>
      <c r="W1575" s="55" t="str">
        <f>IF($V1575="","",IF(COUNTIF($V$5:$V1575,$V1575)=1,1,""))</f>
        <v/>
      </c>
      <c r="X1575" s="58" t="str">
        <f>IF($W1575="","",MAX($X$4:X1574)+1)</f>
        <v/>
      </c>
      <c r="Y1575" s="62"/>
      <c r="Z1575" s="62"/>
      <c r="AA1575" s="64" t="str">
        <f>IF($C1575="","",IFERROR(INDEX('Staff Directory'!$E$5:$E$594,MATCH($C1575,'Staff Directory'!$B$5:$B$594,0)),""))</f>
        <v>firstname254.lastname254@example.com</v>
      </c>
      <c r="AB1575" s="64" t="str">
        <f>IF($C1575="","",IF(ISNUMBER(SEARCH($D1575,Settings!$C$15)),"Pickup","Dispatch"))</f>
        <v>Pickup</v>
      </c>
      <c r="AC1575" s="64" t="str">
        <f t="shared" si="276"/>
        <v>Supply order ready for pickup</v>
      </c>
      <c r="AD1575" s="64" t="str">
        <f t="shared" si="267"/>
        <v>Dear PSW,
Your order is ready for pickup from Sample Branch, Wed-Fri 9am-4pm.</v>
      </c>
      <c r="AE1575" s="64" t="str">
        <f t="shared" si="268"/>
        <v>mailto:firstname254.lastname254@example.com?subject=Supply%20order%20ready%20for%20pickup&amp;body=Dear%20PSW%2C%0A%0AYour%20order%20is%20ready%20for%20pickup%20from%20Sample%20Branch%2C%20Wed-Fri%209am-4pm.</v>
      </c>
      <c r="AF1575" s="89" t="str">
        <f t="shared" si="277"/>
        <v>Draft email</v>
      </c>
      <c r="AG1575" s="64" t="str">
        <f>IF($C1575="","",IFERROR(INDEX('Staff Directory'!$K$595:$K$599,MATCH($C1575,'Staff Directory'!$B$5:$B$599,0)),$D1575))</f>
        <v>PSW</v>
      </c>
      <c r="AH1575" t="str">
        <f>IF($C1575="","",IFERROR(INDEX('Staff Directory'!$I$595:$I$599,MATCH($C1575,'Staff Directory'!$B$5:$B$599,0))&amp;" "&amp;INDEX('Staff Directory'!$J$595:$J$599,MATCH($C1575,'Staff Directory'!$B$5:$B$599,0)),$AG1575))</f>
        <v>PSW</v>
      </c>
      <c r="AI1575" s="102"/>
      <c r="AJ1575" s="101">
        <f>IF($F1575="","",SUMIFS($J$5:$J1575,$F$5:$F1575,$F1575))</f>
        <v>95500</v>
      </c>
      <c r="AK1575" s="101">
        <f t="shared" si="269"/>
        <v>95001</v>
      </c>
      <c r="AL1575" s="66" t="str" cm="1">
        <f t="array" ref="AL1575">IF($F1575="","",IFERROR(INDEX('Lot Balance'!$B$5:$B$500,MATCH(1,INDEX(('Lot Balance'!$A$5:$A$500=$F1575)*('Lot Balance'!$K$5:$K$500&lt;$AK1575)*('Lot Balance'!$K$5:$K$500+'Lot Balance'!$D$5:$D$500&gt;=$AK1575),0),0)),""))</f>
        <v>ZIM510137962-2</v>
      </c>
      <c r="AM1575" s="66" t="str" cm="1">
        <f t="array" ref="AM1575">IF($F1575="","",IFERROR(INDEX('Lot Balance'!$B$5:$B$500,MATCH(1,INDEX(('Lot Balance'!$A$5:$A$500=$F1575)*('Lot Balance'!$K$5:$K$500&lt;$AJ1575)*('Lot Balance'!$K$5:$K$500+'Lot Balance'!$D$5:$D$500&gt;=$AJ1575),0),0)),""))</f>
        <v>ZIM510137962-2</v>
      </c>
      <c r="AN1575" s="66" t="str">
        <f>IF($F1575="","",IF($AI1575&lt;&gt;"",IF(COUNTIFS('Lot Balance'!$A$5:$A$500,$F1575,'Lot Balance'!$B$5:$B$500,$AI1575)=0,"⚠ override is not a lot of this item",IF($AI1575=$AL1575,"Override = FEFO","Override - FEFO says "&amp;$AL1575)),IF($AL1575="","⚠ no receipt on file for this item",IF($AM1575&lt;&gt;$AL1575,"FEFO auto - split, also "&amp;$AM1575,"FEFO auto"))))</f>
        <v>FEFO auto</v>
      </c>
      <c r="AO1575" s="114"/>
    </row>
    <row r="1576" spans="1:41" x14ac:dyDescent="0.35">
      <c r="A1576" s="74">
        <v>46209</v>
      </c>
      <c r="B1576" s="18" t="str">
        <f>IF($C1576="","",IFERROR(INDEX('Staff Directory'!$A$5:$A$594,MATCH($C1576,'Staff Directory'!$B$5:$B$594,0)),"⚠ unknown staff"))</f>
        <v>PSW-191-TBD</v>
      </c>
      <c r="C1576" s="49" t="s">
        <v>1170</v>
      </c>
      <c r="D1576" s="19" t="str">
        <f>IF($B1576="","",IFERROR(INDEX('Staff Directory'!$C$5:$C$594,MATCH($B1576,'Staff Directory'!$A$5:$A$594,0)),""))</f>
        <v>PSW</v>
      </c>
      <c r="E1576" s="19">
        <f>IF($B1576="","",IFERROR(INDEX('Staff Directory'!$D$5:$D$594,MATCH($B1576,'Staff Directory'!$A$5:$A$594,0)),""))</f>
        <v>0</v>
      </c>
      <c r="F1576" s="9" t="s">
        <v>115</v>
      </c>
      <c r="G1576" s="18" t="str">
        <f>IF($F1576="","",IFERROR(INDEX(Items!$B$5:$B$597,MATCH($F1576,Items!$A$5:$A$597,0)),"⚠ not in Items"))</f>
        <v>Wipes</v>
      </c>
      <c r="H1576" s="19">
        <f>IF($F1576="","",IFERROR(INDEX(Items!$C$5:$C$597,MATCH($F1576,Items!$A$5:$A$597,0)),""))</f>
        <v>80</v>
      </c>
      <c r="I1576" s="23">
        <f>IF($F1576="","",IFERROR(INDEX(Items!$E$5:$E$597,MATCH($F1576,Items!$A$5:$A$597,0)),""))</f>
        <v>80</v>
      </c>
      <c r="J1576" s="115">
        <f>IF(tblIssues[[#This Row],[Qty Override]]&lt;&gt;"",tblIssues[[#This Row],[Qty Override]],IF(tblIssues[[#This Row],[Standard Issue]]="","",tblIssues[[#This Row],[Standard Issue]]))</f>
        <v>80</v>
      </c>
      <c r="K1576" s="20">
        <f>IF($F1576="","",IFERROR(INDEX(Items!$D$5:$D$597,MATCH($F1576,Items!$A$5:$A$597,0)),""))</f>
        <v>0.1</v>
      </c>
      <c r="L1576" s="21">
        <f t="shared" si="272"/>
        <v>8</v>
      </c>
      <c r="M1576" s="9" t="str">
        <f t="shared" si="270"/>
        <v>LYSL500290</v>
      </c>
      <c r="N1576" s="24">
        <f>IF($A1576="","",WORKDAY($A1576,Settings!$C$9,HolidayDates))</f>
        <v>46217</v>
      </c>
      <c r="O1576" s="24">
        <f>IF($N1576="","",WORKDAY($N1576,Settings!$C$10,HolidayDates))</f>
        <v>46255</v>
      </c>
      <c r="P1576" s="10" t="s">
        <v>501</v>
      </c>
      <c r="Q1576" s="52" t="str">
        <f t="shared" si="273"/>
        <v>Collected</v>
      </c>
      <c r="R1576" s="55" t="str">
        <f t="shared" si="274"/>
        <v>2026-07</v>
      </c>
      <c r="S1576" s="55">
        <f>IF(OR($B1576="",$F1576="",$R1576=""),"",SUMIFS(tblIssues[Qty Issued],tblIssues[Staff ID],$B1576,tblIssues[Item Name],$F1576,tblIssues[Month],$R1576))</f>
        <v>80</v>
      </c>
      <c r="T1576" s="56">
        <f>IF($I1576="","",$I1576*Settings!$C$11)</f>
        <v>80</v>
      </c>
      <c r="U1576" s="57" t="str">
        <f t="shared" si="271"/>
        <v>OK</v>
      </c>
      <c r="V1576" s="55" t="str">
        <f t="shared" si="275"/>
        <v/>
      </c>
      <c r="W1576" s="55" t="str">
        <f>IF($V1576="","",IF(COUNTIF($V$5:$V1576,$V1576)=1,1,""))</f>
        <v/>
      </c>
      <c r="X1576" s="58" t="str">
        <f>IF($W1576="","",MAX($X$4:X1575)+1)</f>
        <v/>
      </c>
      <c r="Y1576" s="62"/>
      <c r="Z1576" s="62"/>
      <c r="AA1576" s="64" t="str">
        <f>IF($C1576="","",IFERROR(INDEX('Staff Directory'!$E$5:$E$594,MATCH($C1576,'Staff Directory'!$B$5:$B$594,0)),""))</f>
        <v>firstname254.lastname254@example.com</v>
      </c>
      <c r="AB1576" s="64" t="str">
        <f>IF($C1576="","",IF(ISNUMBER(SEARCH($D1576,Settings!$C$15)),"Pickup","Dispatch"))</f>
        <v>Pickup</v>
      </c>
      <c r="AC1576" s="64" t="str">
        <f t="shared" si="276"/>
        <v>Supply order ready for pickup</v>
      </c>
      <c r="AD1576" s="64" t="str">
        <f t="shared" si="267"/>
        <v>Dear PSW,
Your order is ready for pickup from Sample Branch, Wed-Fri 9am-4pm.</v>
      </c>
      <c r="AE1576" s="64" t="str">
        <f t="shared" si="268"/>
        <v>mailto:firstname254.lastname254@example.com?subject=Supply%20order%20ready%20for%20pickup&amp;body=Dear%20PSW%2C%0A%0AYour%20order%20is%20ready%20for%20pickup%20from%20Sample%20Branch%2C%20Wed-Fri%209am-4pm.</v>
      </c>
      <c r="AF1576" s="89" t="str">
        <f t="shared" si="277"/>
        <v>Draft email</v>
      </c>
      <c r="AG1576" s="64" t="str">
        <f>IF($C1576="","",IFERROR(INDEX('Staff Directory'!$K$595:$K$599,MATCH($C1576,'Staff Directory'!$B$5:$B$599,0)),$D1576))</f>
        <v>PSW</v>
      </c>
      <c r="AH1576" t="str">
        <f>IF($C1576="","",IFERROR(INDEX('Staff Directory'!$I$595:$I$599,MATCH($C1576,'Staff Directory'!$B$5:$B$599,0))&amp;" "&amp;INDEX('Staff Directory'!$J$595:$J$599,MATCH($C1576,'Staff Directory'!$B$5:$B$599,0)),$AG1576))</f>
        <v>PSW</v>
      </c>
      <c r="AI1576" s="102"/>
      <c r="AJ1576" s="101">
        <f>IF($F1576="","",SUMIFS($J$5:$J1576,$F$5:$F1576,$F1576))</f>
        <v>21360</v>
      </c>
      <c r="AK1576" s="101">
        <f t="shared" si="269"/>
        <v>21281</v>
      </c>
      <c r="AL1576" s="66" t="str" cm="1">
        <f t="array" ref="AL1576">IF($F1576="","",IFERROR(INDEX('Lot Balance'!$B$5:$B$500,MATCH(1,INDEX(('Lot Balance'!$A$5:$A$500=$F1576)*('Lot Balance'!$K$5:$K$500&lt;$AK1576)*('Lot Balance'!$K$5:$K$500+'Lot Balance'!$D$5:$D$500&gt;=$AK1576),0),0)),""))</f>
        <v>LYSL500290</v>
      </c>
      <c r="AM1576" s="66" t="str" cm="1">
        <f t="array" ref="AM1576">IF($F1576="","",IFERROR(INDEX('Lot Balance'!$B$5:$B$500,MATCH(1,INDEX(('Lot Balance'!$A$5:$A$500=$F1576)*('Lot Balance'!$K$5:$K$500&lt;$AJ1576)*('Lot Balance'!$K$5:$K$500+'Lot Balance'!$D$5:$D$500&gt;=$AJ1576),0),0)),""))</f>
        <v>LYSL500290</v>
      </c>
      <c r="AN1576" s="66" t="str">
        <f>IF($F1576="","",IF($AI1576&lt;&gt;"",IF(COUNTIFS('Lot Balance'!$A$5:$A$500,$F1576,'Lot Balance'!$B$5:$B$500,$AI1576)=0,"⚠ override is not a lot of this item",IF($AI1576=$AL1576,"Override = FEFO","Override - FEFO says "&amp;$AL1576)),IF($AL1576="","⚠ no receipt on file for this item",IF($AM1576&lt;&gt;$AL1576,"FEFO auto - split, also "&amp;$AM1576,"FEFO auto"))))</f>
        <v>FEFO auto</v>
      </c>
      <c r="AO1576" s="114"/>
    </row>
    <row r="1577" spans="1:41" x14ac:dyDescent="0.35">
      <c r="A1577" s="74">
        <v>46209</v>
      </c>
      <c r="B1577" s="18" t="str">
        <f>IF($C1577="","",IFERROR(INDEX('Staff Directory'!$A$5:$A$594,MATCH($C1577,'Staff Directory'!$B$5:$B$594,0)),"⚠ unknown staff"))</f>
        <v>PSW-191-TBD</v>
      </c>
      <c r="C1577" s="49" t="s">
        <v>1170</v>
      </c>
      <c r="D1577" s="19" t="str">
        <f>IF($B1577="","",IFERROR(INDEX('Staff Directory'!$C$5:$C$594,MATCH($B1577,'Staff Directory'!$A$5:$A$594,0)),""))</f>
        <v>PSW</v>
      </c>
      <c r="E1577" s="19">
        <f>IF($B1577="","",IFERROR(INDEX('Staff Directory'!$D$5:$D$594,MATCH($B1577,'Staff Directory'!$A$5:$A$594,0)),""))</f>
        <v>0</v>
      </c>
      <c r="F1577" s="9" t="s">
        <v>104</v>
      </c>
      <c r="G1577" s="18" t="str">
        <f>IF($F1577="","",IFERROR(INDEX(Items!$B$5:$B$597,MATCH($F1577,Items!$A$5:$A$597,0)),"⚠ not in Items"))</f>
        <v>Masks</v>
      </c>
      <c r="H1577" s="19" t="str">
        <f>IF($F1577="","",IFERROR(INDEX(Items!$C$5:$C$597,MATCH($F1577,Items!$A$5:$A$597,0)),""))</f>
        <v>One Size</v>
      </c>
      <c r="I1577" s="23">
        <f>IF($F1577="","",IFERROR(INDEX(Items!$E$5:$E$597,MATCH($F1577,Items!$A$5:$A$597,0)),""))</f>
        <v>5</v>
      </c>
      <c r="J1577" s="115">
        <f>IF(tblIssues[[#This Row],[Qty Override]]&lt;&gt;"",tblIssues[[#This Row],[Qty Override]],IF(tblIssues[[#This Row],[Standard Issue]]="","",tblIssues[[#This Row],[Standard Issue]]))</f>
        <v>5</v>
      </c>
      <c r="K1577" s="20">
        <f>IF($F1577="","",IFERROR(INDEX(Items!$D$5:$D$597,MATCH($F1577,Items!$A$5:$A$597,0)),""))</f>
        <v>2.0499999999999998</v>
      </c>
      <c r="L1577" s="21">
        <f t="shared" si="272"/>
        <v>10.25</v>
      </c>
      <c r="M1577" s="9" t="str">
        <f t="shared" si="270"/>
        <v>N955003717</v>
      </c>
      <c r="N1577" s="24">
        <f>IF($A1577="","",WORKDAY($A1577,Settings!$C$9,HolidayDates))</f>
        <v>46217</v>
      </c>
      <c r="O1577" s="24">
        <f>IF($N1577="","",WORKDAY($N1577,Settings!$C$10,HolidayDates))</f>
        <v>46255</v>
      </c>
      <c r="P1577" s="10" t="s">
        <v>501</v>
      </c>
      <c r="Q1577" s="52" t="str">
        <f t="shared" si="273"/>
        <v>Collected</v>
      </c>
      <c r="R1577" s="55" t="str">
        <f t="shared" si="274"/>
        <v>2026-07</v>
      </c>
      <c r="S1577" s="55">
        <f>IF(OR($B1577="",$F1577="",$R1577=""),"",SUMIFS(tblIssues[Qty Issued],tblIssues[Staff ID],$B1577,tblIssues[Item Name],$F1577,tblIssues[Month],$R1577))</f>
        <v>5</v>
      </c>
      <c r="T1577" s="56">
        <f>IF($I1577="","",$I1577*Settings!$C$11)</f>
        <v>5</v>
      </c>
      <c r="U1577" s="57" t="str">
        <f t="shared" si="271"/>
        <v>OK</v>
      </c>
      <c r="V1577" s="55" t="str">
        <f t="shared" si="275"/>
        <v/>
      </c>
      <c r="W1577" s="55" t="str">
        <f>IF($V1577="","",IF(COUNTIF($V$5:$V1577,$V1577)=1,1,""))</f>
        <v/>
      </c>
      <c r="X1577" s="58" t="str">
        <f>IF($W1577="","",MAX($X$4:X1576)+1)</f>
        <v/>
      </c>
      <c r="Y1577" s="62"/>
      <c r="Z1577" s="62"/>
      <c r="AA1577" s="64" t="str">
        <f>IF($C1577="","",IFERROR(INDEX('Staff Directory'!$E$5:$E$594,MATCH($C1577,'Staff Directory'!$B$5:$B$594,0)),""))</f>
        <v>firstname254.lastname254@example.com</v>
      </c>
      <c r="AB1577" s="64" t="str">
        <f>IF($C1577="","",IF(ISNUMBER(SEARCH($D1577,Settings!$C$15)),"Pickup","Dispatch"))</f>
        <v>Pickup</v>
      </c>
      <c r="AC1577" s="64" t="str">
        <f t="shared" si="276"/>
        <v>Supply order ready for pickup</v>
      </c>
      <c r="AD1577" s="64" t="str">
        <f t="shared" si="267"/>
        <v>Dear PSW,
Your order is ready for pickup from Sample Branch, Wed-Fri 9am-4pm.</v>
      </c>
      <c r="AE1577" s="64" t="str">
        <f t="shared" si="268"/>
        <v>mailto:firstname254.lastname254@example.com?subject=Supply%20order%20ready%20for%20pickup&amp;body=Dear%20PSW%2C%0A%0AYour%20order%20is%20ready%20for%20pickup%20from%20Sample%20Branch%2C%20Wed-Fri%209am-4pm.</v>
      </c>
      <c r="AF1577" s="89" t="str">
        <f t="shared" si="277"/>
        <v>Draft email</v>
      </c>
      <c r="AG1577" s="64" t="str">
        <f>IF($C1577="","",IFERROR(INDEX('Staff Directory'!$K$595:$K$599,MATCH($C1577,'Staff Directory'!$B$5:$B$599,0)),$D1577))</f>
        <v>PSW</v>
      </c>
      <c r="AH1577" t="str">
        <f>IF($C1577="","",IFERROR(INDEX('Staff Directory'!$I$595:$I$599,MATCH($C1577,'Staff Directory'!$B$5:$B$599,0))&amp;" "&amp;INDEX('Staff Directory'!$J$595:$J$599,MATCH($C1577,'Staff Directory'!$B$5:$B$599,0)),$AG1577))</f>
        <v>PSW</v>
      </c>
      <c r="AI1577" s="102"/>
      <c r="AJ1577" s="101">
        <f>IF($F1577="","",SUMIFS($J$5:$J1577,$F$5:$F1577,$F1577))</f>
        <v>50</v>
      </c>
      <c r="AK1577" s="101">
        <f t="shared" si="269"/>
        <v>46</v>
      </c>
      <c r="AL1577" s="66" t="str" cm="1">
        <f t="array" ref="AL1577">IF($F1577="","",IFERROR(INDEX('Lot Balance'!$B$5:$B$500,MATCH(1,INDEX(('Lot Balance'!$A$5:$A$500=$F1577)*('Lot Balance'!$K$5:$K$500&lt;$AK1577)*('Lot Balance'!$K$5:$K$500+'Lot Balance'!$D$5:$D$500&gt;=$AK1577),0),0)),""))</f>
        <v>N955003717</v>
      </c>
      <c r="AM1577" s="66" t="str" cm="1">
        <f t="array" ref="AM1577">IF($F1577="","",IFERROR(INDEX('Lot Balance'!$B$5:$B$500,MATCH(1,INDEX(('Lot Balance'!$A$5:$A$500=$F1577)*('Lot Balance'!$K$5:$K$500&lt;$AJ1577)*('Lot Balance'!$K$5:$K$500+'Lot Balance'!$D$5:$D$500&gt;=$AJ1577),0),0)),""))</f>
        <v>N955003717</v>
      </c>
      <c r="AN1577" s="66" t="str">
        <f>IF($F1577="","",IF($AI1577&lt;&gt;"",IF(COUNTIFS('Lot Balance'!$A$5:$A$500,$F1577,'Lot Balance'!$B$5:$B$500,$AI1577)=0,"⚠ override is not a lot of this item",IF($AI1577=$AL1577,"Override = FEFO","Override - FEFO says "&amp;$AL1577)),IF($AL1577="","⚠ no receipt on file for this item",IF($AM1577&lt;&gt;$AL1577,"FEFO auto - split, also "&amp;$AM1577,"FEFO auto"))))</f>
        <v>FEFO auto</v>
      </c>
      <c r="AO1577" s="114"/>
    </row>
    <row r="1578" spans="1:41" x14ac:dyDescent="0.35">
      <c r="A1578" s="74">
        <v>46209</v>
      </c>
      <c r="B1578" s="18" t="str">
        <f>IF($C1578="","",IFERROR(INDEX('Staff Directory'!$A$5:$A$594,MATCH($C1578,'Staff Directory'!$B$5:$B$594,0)),"⚠ unknown staff"))</f>
        <v>PSW-191-TBD</v>
      </c>
      <c r="C1578" s="49" t="s">
        <v>1170</v>
      </c>
      <c r="D1578" s="19" t="str">
        <f>IF($B1578="","",IFERROR(INDEX('Staff Directory'!$C$5:$C$594,MATCH($B1578,'Staff Directory'!$A$5:$A$594,0)),""))</f>
        <v>PSW</v>
      </c>
      <c r="E1578" s="19">
        <f>IF($B1578="","",IFERROR(INDEX('Staff Directory'!$D$5:$D$594,MATCH($B1578,'Staff Directory'!$A$5:$A$594,0)),""))</f>
        <v>0</v>
      </c>
      <c r="F1578" s="9" t="s">
        <v>137</v>
      </c>
      <c r="G1578" s="18" t="str">
        <f>IF($F1578="","",IFERROR(INDEX(Items!$B$5:$B$597,MATCH($F1578,Items!$A$5:$A$597,0)),"⚠ not in Items"))</f>
        <v>Sanitizer</v>
      </c>
      <c r="H1578" s="19" t="str">
        <f>IF($F1578="","",IFERROR(INDEX(Items!$C$5:$C$597,MATCH($F1578,Items!$A$5:$A$597,0)),""))</f>
        <v>118 ML</v>
      </c>
      <c r="I1578" s="23">
        <f>IF($F1578="","",IFERROR(INDEX(Items!$E$5:$E$597,MATCH($F1578,Items!$A$5:$A$597,0)),""))</f>
        <v>2</v>
      </c>
      <c r="J1578" s="115">
        <f>IF(tblIssues[[#This Row],[Qty Override]]&lt;&gt;"",tblIssues[[#This Row],[Qty Override]],IF(tblIssues[[#This Row],[Standard Issue]]="","",tblIssues[[#This Row],[Standard Issue]]))</f>
        <v>2</v>
      </c>
      <c r="K1578" s="20">
        <f>IF($F1578="","",IFERROR(INDEX(Items!$D$5:$D$597,MATCH($F1578,Items!$A$5:$A$597,0)),""))</f>
        <v>4.49</v>
      </c>
      <c r="L1578" s="21">
        <f t="shared" si="272"/>
        <v>8.98</v>
      </c>
      <c r="M1578" s="9" t="str">
        <f t="shared" si="270"/>
        <v>563963-7</v>
      </c>
      <c r="N1578" s="24">
        <f>IF($A1578="","",WORKDAY($A1578,Settings!$C$9,HolidayDates))</f>
        <v>46217</v>
      </c>
      <c r="O1578" s="24">
        <f>IF($N1578="","",WORKDAY($N1578,Settings!$C$10,HolidayDates))</f>
        <v>46255</v>
      </c>
      <c r="P1578" s="10" t="s">
        <v>501</v>
      </c>
      <c r="Q1578" s="52" t="str">
        <f t="shared" si="273"/>
        <v>Collected</v>
      </c>
      <c r="R1578" s="55" t="str">
        <f t="shared" si="274"/>
        <v>2026-07</v>
      </c>
      <c r="S1578" s="55">
        <f>IF(OR($B1578="",$F1578="",$R1578=""),"",SUMIFS(tblIssues[Qty Issued],tblIssues[Staff ID],$B1578,tblIssues[Item Name],$F1578,tblIssues[Month],$R1578))</f>
        <v>2</v>
      </c>
      <c r="T1578" s="56">
        <f>IF($I1578="","",$I1578*Settings!$C$11)</f>
        <v>2</v>
      </c>
      <c r="U1578" s="57" t="str">
        <f t="shared" si="271"/>
        <v>OK</v>
      </c>
      <c r="V1578" s="55" t="str">
        <f t="shared" si="275"/>
        <v/>
      </c>
      <c r="W1578" s="55" t="str">
        <f>IF($V1578="","",IF(COUNTIF($V$5:$V1578,$V1578)=1,1,""))</f>
        <v/>
      </c>
      <c r="X1578" s="58" t="str">
        <f>IF($W1578="","",MAX($X$4:X1577)+1)</f>
        <v/>
      </c>
      <c r="Y1578" s="62"/>
      <c r="Z1578" s="62"/>
      <c r="AA1578" s="64" t="str">
        <f>IF($C1578="","",IFERROR(INDEX('Staff Directory'!$E$5:$E$594,MATCH($C1578,'Staff Directory'!$B$5:$B$594,0)),""))</f>
        <v>firstname254.lastname254@example.com</v>
      </c>
      <c r="AB1578" s="64" t="str">
        <f>IF($C1578="","",IF(ISNUMBER(SEARCH($D1578,Settings!$C$15)),"Pickup","Dispatch"))</f>
        <v>Pickup</v>
      </c>
      <c r="AC1578" s="64" t="str">
        <f t="shared" si="276"/>
        <v>Supply order ready for pickup</v>
      </c>
      <c r="AD1578" s="64" t="str">
        <f t="shared" si="267"/>
        <v>Dear PSW,
Your order is ready for pickup from Sample Branch, Wed-Fri 9am-4pm.</v>
      </c>
      <c r="AE1578" s="64" t="str">
        <f t="shared" si="268"/>
        <v>mailto:firstname254.lastname254@example.com?subject=Supply%20order%20ready%20for%20pickup&amp;body=Dear%20PSW%2C%0A%0AYour%20order%20is%20ready%20for%20pickup%20from%20Sample%20Branch%2C%20Wed-Fri%209am-4pm.</v>
      </c>
      <c r="AF1578" s="89" t="str">
        <f t="shared" si="277"/>
        <v>Draft email</v>
      </c>
      <c r="AG1578" s="64" t="str">
        <f>IF($C1578="","",IFERROR(INDEX('Staff Directory'!$K$595:$K$599,MATCH($C1578,'Staff Directory'!$B$5:$B$599,0)),$D1578))</f>
        <v>PSW</v>
      </c>
      <c r="AH1578" t="str">
        <f>IF($C1578="","",IFERROR(INDEX('Staff Directory'!$I$595:$I$599,MATCH($C1578,'Staff Directory'!$B$5:$B$599,0))&amp;" "&amp;INDEX('Staff Directory'!$J$595:$J$599,MATCH($C1578,'Staff Directory'!$B$5:$B$599,0)),$AG1578))</f>
        <v>PSW</v>
      </c>
      <c r="AI1578" s="102"/>
      <c r="AJ1578" s="101">
        <f>IF($F1578="","",SUMIFS($J$5:$J1578,$F$5:$F1578,$F1578))</f>
        <v>144</v>
      </c>
      <c r="AK1578" s="101">
        <f t="shared" si="269"/>
        <v>143</v>
      </c>
      <c r="AL1578" s="66" t="str" cm="1">
        <f t="array" ref="AL1578">IF($F1578="","",IFERROR(INDEX('Lot Balance'!$B$5:$B$500,MATCH(1,INDEX(('Lot Balance'!$A$5:$A$500=$F1578)*('Lot Balance'!$K$5:$K$500&lt;$AK1578)*('Lot Balance'!$K$5:$K$500+'Lot Balance'!$D$5:$D$500&gt;=$AK1578),0),0)),""))</f>
        <v>563963-7</v>
      </c>
      <c r="AM1578" s="66" t="str" cm="1">
        <f t="array" ref="AM1578">IF($F1578="","",IFERROR(INDEX('Lot Balance'!$B$5:$B$500,MATCH(1,INDEX(('Lot Balance'!$A$5:$A$500=$F1578)*('Lot Balance'!$K$5:$K$500&lt;$AJ1578)*('Lot Balance'!$K$5:$K$500+'Lot Balance'!$D$5:$D$500&gt;=$AJ1578),0),0)),""))</f>
        <v>563963-7</v>
      </c>
      <c r="AN1578" s="66" t="str">
        <f>IF($F1578="","",IF($AI1578&lt;&gt;"",IF(COUNTIFS('Lot Balance'!$A$5:$A$500,$F1578,'Lot Balance'!$B$5:$B$500,$AI1578)=0,"⚠ override is not a lot of this item",IF($AI1578=$AL1578,"Override = FEFO","Override - FEFO says "&amp;$AL1578)),IF($AL1578="","⚠ no receipt on file for this item",IF($AM1578&lt;&gt;$AL1578,"FEFO auto - split, also "&amp;$AM1578,"FEFO auto"))))</f>
        <v>FEFO auto</v>
      </c>
      <c r="AO1578" s="114"/>
    </row>
    <row r="1579" spans="1:41" x14ac:dyDescent="0.35">
      <c r="A1579" s="74">
        <v>46209</v>
      </c>
      <c r="B1579" s="18" t="str">
        <f>IF($C1579="","",IFERROR(INDEX('Staff Directory'!$A$5:$A$594,MATCH($C1579,'Staff Directory'!$B$5:$B$594,0)),"⚠ unknown staff"))</f>
        <v>PSW-191-TBD</v>
      </c>
      <c r="C1579" s="49" t="s">
        <v>1170</v>
      </c>
      <c r="D1579" s="19" t="str">
        <f>IF($B1579="","",IFERROR(INDEX('Staff Directory'!$C$5:$C$594,MATCH($B1579,'Staff Directory'!$A$5:$A$594,0)),""))</f>
        <v>PSW</v>
      </c>
      <c r="E1579" s="19">
        <f>IF($B1579="","",IFERROR(INDEX('Staff Directory'!$D$5:$D$594,MATCH($B1579,'Staff Directory'!$A$5:$A$594,0)),""))</f>
        <v>0</v>
      </c>
      <c r="F1579" s="9" t="s">
        <v>147</v>
      </c>
      <c r="G1579" s="18" t="str">
        <f>IF($F1579="","",IFERROR(INDEX(Items!$B$5:$B$597,MATCH($F1579,Items!$A$5:$A$597,0)),"⚠ not in Items"))</f>
        <v>Apparel</v>
      </c>
      <c r="H1579" s="19" t="str">
        <f>IF($F1579="","",IFERROR(INDEX(Items!$C$5:$C$597,MATCH($F1579,Items!$A$5:$A$597,0)),""))</f>
        <v>One Size</v>
      </c>
      <c r="I1579" s="23">
        <f>IF($F1579="","",IFERROR(INDEX(Items!$E$5:$E$597,MATCH($F1579,Items!$A$5:$A$597,0)),""))</f>
        <v>5</v>
      </c>
      <c r="J1579" s="115">
        <f>IF(tblIssues[[#This Row],[Qty Override]]&lt;&gt;"",tblIssues[[#This Row],[Qty Override]],IF(tblIssues[[#This Row],[Standard Issue]]="","",tblIssues[[#This Row],[Standard Issue]]))</f>
        <v>5</v>
      </c>
      <c r="K1579" s="20">
        <f>IF($F1579="","",IFERROR(INDEX(Items!$D$5:$D$597,MATCH($F1579,Items!$A$5:$A$597,0)),""))</f>
        <v>3</v>
      </c>
      <c r="L1579" s="21">
        <f t="shared" si="272"/>
        <v>15</v>
      </c>
      <c r="M1579" s="9" t="str">
        <f t="shared" si="270"/>
        <v>YG500280</v>
      </c>
      <c r="N1579" s="24">
        <f>IF($A1579="","",WORKDAY($A1579,Settings!$C$9,HolidayDates))</f>
        <v>46217</v>
      </c>
      <c r="O1579" s="24">
        <f>IF($N1579="","",WORKDAY($N1579,Settings!$C$10,HolidayDates))</f>
        <v>46255</v>
      </c>
      <c r="P1579" s="10" t="s">
        <v>501</v>
      </c>
      <c r="Q1579" s="52" t="str">
        <f t="shared" si="273"/>
        <v>Collected</v>
      </c>
      <c r="R1579" s="55" t="str">
        <f t="shared" si="274"/>
        <v>2026-07</v>
      </c>
      <c r="S1579" s="55">
        <f>IF(OR($B1579="",$F1579="",$R1579=""),"",SUMIFS(tblIssues[Qty Issued],tblIssues[Staff ID],$B1579,tblIssues[Item Name],$F1579,tblIssues[Month],$R1579))</f>
        <v>5</v>
      </c>
      <c r="T1579" s="56">
        <f>IF($I1579="","",$I1579*Settings!$C$11)</f>
        <v>5</v>
      </c>
      <c r="U1579" s="57" t="str">
        <f t="shared" si="271"/>
        <v>OK</v>
      </c>
      <c r="V1579" s="55" t="str">
        <f t="shared" si="275"/>
        <v/>
      </c>
      <c r="W1579" s="55" t="str">
        <f>IF($V1579="","",IF(COUNTIF($V$5:$V1579,$V1579)=1,1,""))</f>
        <v/>
      </c>
      <c r="X1579" s="58" t="str">
        <f>IF($W1579="","",MAX($X$4:X1578)+1)</f>
        <v/>
      </c>
      <c r="Y1579" s="62"/>
      <c r="Z1579" s="62"/>
      <c r="AA1579" s="64" t="str">
        <f>IF($C1579="","",IFERROR(INDEX('Staff Directory'!$E$5:$E$594,MATCH($C1579,'Staff Directory'!$B$5:$B$594,0)),""))</f>
        <v>firstname254.lastname254@example.com</v>
      </c>
      <c r="AB1579" s="64" t="str">
        <f>IF($C1579="","",IF(ISNUMBER(SEARCH($D1579,Settings!$C$15)),"Pickup","Dispatch"))</f>
        <v>Pickup</v>
      </c>
      <c r="AC1579" s="64" t="str">
        <f t="shared" si="276"/>
        <v>Supply order ready for pickup</v>
      </c>
      <c r="AD1579" s="64" t="str">
        <f t="shared" si="267"/>
        <v>Dear PSW,
Your order is ready for pickup from Sample Branch, Wed-Fri 9am-4pm.</v>
      </c>
      <c r="AE1579" s="64" t="str">
        <f t="shared" si="268"/>
        <v>mailto:firstname254.lastname254@example.com?subject=Supply%20order%20ready%20for%20pickup&amp;body=Dear%20PSW%2C%0A%0AYour%20order%20is%20ready%20for%20pickup%20from%20Sample%20Branch%2C%20Wed-Fri%209am-4pm.</v>
      </c>
      <c r="AF1579" s="89" t="str">
        <f t="shared" si="277"/>
        <v>Draft email</v>
      </c>
      <c r="AG1579" s="64" t="str">
        <f>IF($C1579="","",IFERROR(INDEX('Staff Directory'!$K$595:$K$599,MATCH($C1579,'Staff Directory'!$B$5:$B$599,0)),$D1579))</f>
        <v>PSW</v>
      </c>
      <c r="AH1579" t="str">
        <f>IF($C1579="","",IFERROR(INDEX('Staff Directory'!$I$595:$I$599,MATCH($C1579,'Staff Directory'!$B$5:$B$599,0))&amp;" "&amp;INDEX('Staff Directory'!$J$595:$J$599,MATCH($C1579,'Staff Directory'!$B$5:$B$599,0)),$AG1579))</f>
        <v>PSW</v>
      </c>
      <c r="AI1579" s="102"/>
      <c r="AJ1579" s="101">
        <f>IF($F1579="","",SUMIFS($J$5:$J1579,$F$5:$F1579,$F1579))</f>
        <v>205</v>
      </c>
      <c r="AK1579" s="101">
        <f t="shared" si="269"/>
        <v>201</v>
      </c>
      <c r="AL1579" s="66" t="str" cm="1">
        <f t="array" ref="AL1579">IF($F1579="","",IFERROR(INDEX('Lot Balance'!$B$5:$B$500,MATCH(1,INDEX(('Lot Balance'!$A$5:$A$500=$F1579)*('Lot Balance'!$K$5:$K$500&lt;$AK1579)*('Lot Balance'!$K$5:$K$500+'Lot Balance'!$D$5:$D$500&gt;=$AK1579),0),0)),""))</f>
        <v>YG500280</v>
      </c>
      <c r="AM1579" s="66" t="str" cm="1">
        <f t="array" ref="AM1579">IF($F1579="","",IFERROR(INDEX('Lot Balance'!$B$5:$B$500,MATCH(1,INDEX(('Lot Balance'!$A$5:$A$500=$F1579)*('Lot Balance'!$K$5:$K$500&lt;$AJ1579)*('Lot Balance'!$K$5:$K$500+'Lot Balance'!$D$5:$D$500&gt;=$AJ1579),0),0)),""))</f>
        <v>YG500280</v>
      </c>
      <c r="AN1579" s="66" t="str">
        <f>IF($F1579="","",IF($AI1579&lt;&gt;"",IF(COUNTIFS('Lot Balance'!$A$5:$A$500,$F1579,'Lot Balance'!$B$5:$B$500,$AI1579)=0,"⚠ override is not a lot of this item",IF($AI1579=$AL1579,"Override = FEFO","Override - FEFO says "&amp;$AL1579)),IF($AL1579="","⚠ no receipt on file for this item",IF($AM1579&lt;&gt;$AL1579,"FEFO auto - split, also "&amp;$AM1579,"FEFO auto"))))</f>
        <v>FEFO auto</v>
      </c>
      <c r="AO1579" s="114"/>
    </row>
    <row r="1580" spans="1:41" x14ac:dyDescent="0.35">
      <c r="A1580" s="74">
        <v>46209</v>
      </c>
      <c r="B1580" s="18" t="str">
        <f>IF($C1580="","",IFERROR(INDEX('Staff Directory'!$A$5:$A$594,MATCH($C1580,'Staff Directory'!$B$5:$B$594,0)),"⚠ unknown staff"))</f>
        <v>PSW-191-TBD</v>
      </c>
      <c r="C1580" s="49" t="s">
        <v>1170</v>
      </c>
      <c r="D1580" s="19" t="str">
        <f>IF($B1580="","",IFERROR(INDEX('Staff Directory'!$C$5:$C$594,MATCH($B1580,'Staff Directory'!$A$5:$A$594,0)),""))</f>
        <v>PSW</v>
      </c>
      <c r="E1580" s="19">
        <f>IF($B1580="","",IFERROR(INDEX('Staff Directory'!$D$5:$D$594,MATCH($B1580,'Staff Directory'!$A$5:$A$594,0)),""))</f>
        <v>0</v>
      </c>
      <c r="F1580" s="9" t="s">
        <v>145</v>
      </c>
      <c r="G1580" s="18" t="str">
        <f>IF($F1580="","",IFERROR(INDEX(Items!$B$5:$B$597,MATCH($F1580,Items!$A$5:$A$597,0)),"⚠ not in Items"))</f>
        <v>Apparel</v>
      </c>
      <c r="H1580" s="19" t="str">
        <f>IF($F1580="","",IFERROR(INDEX(Items!$C$5:$C$597,MATCH($F1580,Items!$A$5:$A$597,0)),""))</f>
        <v>One Size</v>
      </c>
      <c r="I1580" s="23">
        <f>IF($F1580="","",IFERROR(INDEX(Items!$E$5:$E$597,MATCH($F1580,Items!$A$5:$A$597,0)),""))</f>
        <v>5</v>
      </c>
      <c r="J1580" s="115">
        <f>IF(tblIssues[[#This Row],[Qty Override]]&lt;&gt;"",tblIssues[[#This Row],[Qty Override]],IF(tblIssues[[#This Row],[Standard Issue]]="","",tblIssues[[#This Row],[Standard Issue]]))</f>
        <v>5</v>
      </c>
      <c r="K1580" s="20">
        <f>IF($F1580="","",IFERROR(INDEX(Items!$D$5:$D$597,MATCH($F1580,Items!$A$5:$A$597,0)),""))</f>
        <v>3</v>
      </c>
      <c r="L1580" s="21">
        <f t="shared" si="272"/>
        <v>15</v>
      </c>
      <c r="M1580" s="9" t="str">
        <f t="shared" si="270"/>
        <v>WRB500270</v>
      </c>
      <c r="N1580" s="24">
        <f>IF($A1580="","",WORKDAY($A1580,Settings!$C$9,HolidayDates))</f>
        <v>46217</v>
      </c>
      <c r="O1580" s="24">
        <f>IF($N1580="","",WORKDAY($N1580,Settings!$C$10,HolidayDates))</f>
        <v>46255</v>
      </c>
      <c r="P1580" s="10" t="s">
        <v>501</v>
      </c>
      <c r="Q1580" s="52" t="str">
        <f t="shared" si="273"/>
        <v>Collected</v>
      </c>
      <c r="R1580" s="55" t="str">
        <f t="shared" si="274"/>
        <v>2026-07</v>
      </c>
      <c r="S1580" s="55">
        <f>IF(OR($B1580="",$F1580="",$R1580=""),"",SUMIFS(tblIssues[Qty Issued],tblIssues[Staff ID],$B1580,tblIssues[Item Name],$F1580,tblIssues[Month],$R1580))</f>
        <v>5</v>
      </c>
      <c r="T1580" s="56">
        <f>IF($I1580="","",$I1580*Settings!$C$11)</f>
        <v>5</v>
      </c>
      <c r="U1580" s="57" t="str">
        <f t="shared" si="271"/>
        <v>OK</v>
      </c>
      <c r="V1580" s="55" t="str">
        <f t="shared" si="275"/>
        <v/>
      </c>
      <c r="W1580" s="55" t="str">
        <f>IF($V1580="","",IF(COUNTIF($V$5:$V1580,$V1580)=1,1,""))</f>
        <v/>
      </c>
      <c r="X1580" s="58" t="str">
        <f>IF($W1580="","",MAX($X$4:X1579)+1)</f>
        <v/>
      </c>
      <c r="Y1580" s="62"/>
      <c r="Z1580" s="62"/>
      <c r="AA1580" s="64" t="str">
        <f>IF($C1580="","",IFERROR(INDEX('Staff Directory'!$E$5:$E$594,MATCH($C1580,'Staff Directory'!$B$5:$B$594,0)),""))</f>
        <v>firstname254.lastname254@example.com</v>
      </c>
      <c r="AB1580" s="64" t="str">
        <f>IF($C1580="","",IF(ISNUMBER(SEARCH($D1580,Settings!$C$15)),"Pickup","Dispatch"))</f>
        <v>Pickup</v>
      </c>
      <c r="AC1580" s="64" t="str">
        <f t="shared" si="276"/>
        <v>Supply order ready for pickup</v>
      </c>
      <c r="AD1580" s="64" t="str">
        <f t="shared" si="267"/>
        <v>Dear PSW,
Your order is ready for pickup from Sample Branch, Wed-Fri 9am-4pm.</v>
      </c>
      <c r="AE1580" s="64" t="str">
        <f t="shared" si="268"/>
        <v>mailto:firstname254.lastname254@example.com?subject=Supply%20order%20ready%20for%20pickup&amp;body=Dear%20PSW%2C%0A%0AYour%20order%20is%20ready%20for%20pickup%20from%20Sample%20Branch%2C%20Wed-Fri%209am-4pm.</v>
      </c>
      <c r="AF1580" s="89" t="str">
        <f t="shared" si="277"/>
        <v>Draft email</v>
      </c>
      <c r="AG1580" s="64" t="str">
        <f>IF($C1580="","",IFERROR(INDEX('Staff Directory'!$K$595:$K$599,MATCH($C1580,'Staff Directory'!$B$5:$B$599,0)),$D1580))</f>
        <v>PSW</v>
      </c>
      <c r="AH1580" t="str">
        <f>IF($C1580="","",IFERROR(INDEX('Staff Directory'!$I$595:$I$599,MATCH($C1580,'Staff Directory'!$B$5:$B$599,0))&amp;" "&amp;INDEX('Staff Directory'!$J$595:$J$599,MATCH($C1580,'Staff Directory'!$B$5:$B$599,0)),$AG1580))</f>
        <v>PSW</v>
      </c>
      <c r="AI1580" s="102"/>
      <c r="AJ1580" s="101">
        <f>IF($F1580="","",SUMIFS($J$5:$J1580,$F$5:$F1580,$F1580))</f>
        <v>80</v>
      </c>
      <c r="AK1580" s="101">
        <f t="shared" si="269"/>
        <v>76</v>
      </c>
      <c r="AL1580" s="66" t="str" cm="1">
        <f t="array" ref="AL1580">IF($F1580="","",IFERROR(INDEX('Lot Balance'!$B$5:$B$500,MATCH(1,INDEX(('Lot Balance'!$A$5:$A$500=$F1580)*('Lot Balance'!$K$5:$K$500&lt;$AK1580)*('Lot Balance'!$K$5:$K$500+'Lot Balance'!$D$5:$D$500&gt;=$AK1580),0),0)),""))</f>
        <v>WRB500270</v>
      </c>
      <c r="AM1580" s="66" t="str" cm="1">
        <f t="array" ref="AM1580">IF($F1580="","",IFERROR(INDEX('Lot Balance'!$B$5:$B$500,MATCH(1,INDEX(('Lot Balance'!$A$5:$A$500=$F1580)*('Lot Balance'!$K$5:$K$500&lt;$AJ1580)*('Lot Balance'!$K$5:$K$500+'Lot Balance'!$D$5:$D$500&gt;=$AJ1580),0),0)),""))</f>
        <v>WRB500270</v>
      </c>
      <c r="AN1580" s="66" t="str">
        <f>IF($F1580="","",IF($AI1580&lt;&gt;"",IF(COUNTIFS('Lot Balance'!$A$5:$A$500,$F1580,'Lot Balance'!$B$5:$B$500,$AI1580)=0,"⚠ override is not a lot of this item",IF($AI1580=$AL1580,"Override = FEFO","Override - FEFO says "&amp;$AL1580)),IF($AL1580="","⚠ no receipt on file for this item",IF($AM1580&lt;&gt;$AL1580,"FEFO auto - split, also "&amp;$AM1580,"FEFO auto"))))</f>
        <v>FEFO auto</v>
      </c>
      <c r="AO1580" s="114"/>
    </row>
    <row r="1581" spans="1:41" x14ac:dyDescent="0.35">
      <c r="A1581" s="74">
        <v>46209</v>
      </c>
      <c r="B1581" s="18" t="str">
        <f>IF($C1581="","",IFERROR(INDEX('Staff Directory'!$A$5:$A$594,MATCH($C1581,'Staff Directory'!$B$5:$B$594,0)),"⚠ unknown staff"))</f>
        <v>PSW-191-TBD</v>
      </c>
      <c r="C1581" s="49" t="s">
        <v>1170</v>
      </c>
      <c r="D1581" s="19" t="str">
        <f>IF($B1581="","",IFERROR(INDEX('Staff Directory'!$C$5:$C$594,MATCH($B1581,'Staff Directory'!$A$5:$A$594,0)),""))</f>
        <v>PSW</v>
      </c>
      <c r="E1581" s="19">
        <f>IF($B1581="","",IFERROR(INDEX('Staff Directory'!$D$5:$D$594,MATCH($B1581,'Staff Directory'!$A$5:$A$594,0)),""))</f>
        <v>0</v>
      </c>
      <c r="F1581" s="9" t="s">
        <v>144</v>
      </c>
      <c r="G1581" s="18" t="str">
        <f>IF($F1581="","",IFERROR(INDEX(Items!$B$5:$B$597,MATCH($F1581,Items!$A$5:$A$597,0)),"⚠ not in Items"))</f>
        <v>IPAC</v>
      </c>
      <c r="H1581" s="19" t="str">
        <f>IF($F1581="","",IFERROR(INDEX(Items!$C$5:$C$597,MATCH($F1581,Items!$A$5:$A$597,0)),""))</f>
        <v>One Size</v>
      </c>
      <c r="I1581" s="23">
        <f>IF($F1581="","",IFERROR(INDEX(Items!$E$5:$E$597,MATCH($F1581,Items!$A$5:$A$597,0)),""))</f>
        <v>4</v>
      </c>
      <c r="J1581" s="115">
        <f>IF(tblIssues[[#This Row],[Qty Override]]&lt;&gt;"",tblIssues[[#This Row],[Qty Override]],IF(tblIssues[[#This Row],[Standard Issue]]="","",tblIssues[[#This Row],[Standard Issue]]))</f>
        <v>4</v>
      </c>
      <c r="K1581" s="20">
        <f>IF($F1581="","",IFERROR(INDEX(Items!$D$5:$D$597,MATCH($F1581,Items!$A$5:$A$597,0)),""))</f>
        <v>145.97999999999999</v>
      </c>
      <c r="L1581" s="21">
        <f t="shared" si="272"/>
        <v>583.91999999999996</v>
      </c>
      <c r="M1581" s="9" t="str">
        <f t="shared" si="270"/>
        <v/>
      </c>
      <c r="N1581" s="24">
        <f>IF($A1581="","",WORKDAY($A1581,Settings!$C$9,HolidayDates))</f>
        <v>46217</v>
      </c>
      <c r="O1581" s="24">
        <f>IF($N1581="","",WORKDAY($N1581,Settings!$C$10,HolidayDates))</f>
        <v>46255</v>
      </c>
      <c r="P1581" s="10" t="s">
        <v>501</v>
      </c>
      <c r="Q1581" s="52" t="str">
        <f t="shared" si="273"/>
        <v>Collected</v>
      </c>
      <c r="R1581" s="55" t="str">
        <f t="shared" si="274"/>
        <v>2026-07</v>
      </c>
      <c r="S1581" s="55">
        <f>IF(OR($B1581="",$F1581="",$R1581=""),"",SUMIFS(tblIssues[Qty Issued],tblIssues[Staff ID],$B1581,tblIssues[Item Name],$F1581,tblIssues[Month],$R1581))</f>
        <v>4</v>
      </c>
      <c r="T1581" s="56">
        <f>IF($I1581="","",$I1581*Settings!$C$11)</f>
        <v>4</v>
      </c>
      <c r="U1581" s="57" t="str">
        <f t="shared" si="271"/>
        <v>OK</v>
      </c>
      <c r="V1581" s="55" t="str">
        <f t="shared" si="275"/>
        <v/>
      </c>
      <c r="W1581" s="55" t="str">
        <f>IF($V1581="","",IF(COUNTIF($V$5:$V1581,$V1581)=1,1,""))</f>
        <v/>
      </c>
      <c r="X1581" s="58" t="str">
        <f>IF($W1581="","",MAX($X$4:X1580)+1)</f>
        <v/>
      </c>
      <c r="Y1581" s="62"/>
      <c r="Z1581" s="62"/>
      <c r="AA1581" s="64" t="str">
        <f>IF($C1581="","",IFERROR(INDEX('Staff Directory'!$E$5:$E$594,MATCH($C1581,'Staff Directory'!$B$5:$B$594,0)),""))</f>
        <v>firstname254.lastname254@example.com</v>
      </c>
      <c r="AB1581" s="64" t="str">
        <f>IF($C1581="","",IF(ISNUMBER(SEARCH($D1581,Settings!$C$15)),"Pickup","Dispatch"))</f>
        <v>Pickup</v>
      </c>
      <c r="AC1581" s="64" t="str">
        <f t="shared" si="276"/>
        <v>Supply order ready for pickup</v>
      </c>
      <c r="AD1581" s="64" t="str">
        <f t="shared" si="267"/>
        <v>Dear PSW,
Your order is ready for pickup from Sample Branch, Wed-Fri 9am-4pm.</v>
      </c>
      <c r="AE1581" s="64" t="str">
        <f t="shared" si="268"/>
        <v>mailto:firstname254.lastname254@example.com?subject=Supply%20order%20ready%20for%20pickup&amp;body=Dear%20PSW%2C%0A%0AYour%20order%20is%20ready%20for%20pickup%20from%20Sample%20Branch%2C%20Wed-Fri%209am-4pm.</v>
      </c>
      <c r="AF1581" s="89" t="str">
        <f t="shared" si="277"/>
        <v>Draft email</v>
      </c>
      <c r="AG1581" s="64" t="str">
        <f>IF($C1581="","",IFERROR(INDEX('Staff Directory'!$K$595:$K$599,MATCH($C1581,'Staff Directory'!$B$5:$B$599,0)),$D1581))</f>
        <v>PSW</v>
      </c>
      <c r="AH1581" t="str">
        <f>IF($C1581="","",IFERROR(INDEX('Staff Directory'!$I$595:$I$599,MATCH($C1581,'Staff Directory'!$B$5:$B$599,0))&amp;" "&amp;INDEX('Staff Directory'!$J$595:$J$599,MATCH($C1581,'Staff Directory'!$B$5:$B$599,0)),$AG1581))</f>
        <v>PSW</v>
      </c>
      <c r="AI1581" s="102"/>
      <c r="AJ1581" s="101">
        <f>IF($F1581="","",SUMIFS($J$5:$J1581,$F$5:$F1581,$F1581))</f>
        <v>80</v>
      </c>
      <c r="AK1581" s="101">
        <f t="shared" si="269"/>
        <v>77</v>
      </c>
      <c r="AL1581" s="66" t="str" cm="1">
        <f t="array" ref="AL1581">IF($F1581="","",IFERROR(INDEX('Lot Balance'!$B$5:$B$500,MATCH(1,INDEX(('Lot Balance'!$A$5:$A$500=$F1581)*('Lot Balance'!$K$5:$K$500&lt;$AK1581)*('Lot Balance'!$K$5:$K$500+'Lot Balance'!$D$5:$D$500&gt;=$AK1581),0),0)),""))</f>
        <v/>
      </c>
      <c r="AM1581" s="66" t="str" cm="1">
        <f t="array" ref="AM1581">IF($F1581="","",IFERROR(INDEX('Lot Balance'!$B$5:$B$500,MATCH(1,INDEX(('Lot Balance'!$A$5:$A$500=$F1581)*('Lot Balance'!$K$5:$K$500&lt;$AJ1581)*('Lot Balance'!$K$5:$K$500+'Lot Balance'!$D$5:$D$500&gt;=$AJ1581),0),0)),""))</f>
        <v/>
      </c>
      <c r="AN1581" s="66" t="str">
        <f>IF($F1581="","",IF($AI1581&lt;&gt;"",IF(COUNTIFS('Lot Balance'!$A$5:$A$500,$F1581,'Lot Balance'!$B$5:$B$500,$AI1581)=0,"⚠ override is not a lot of this item",IF($AI1581=$AL1581,"Override = FEFO","Override - FEFO says "&amp;$AL1581)),IF($AL1581="","⚠ no receipt on file for this item",IF($AM1581&lt;&gt;$AL1581,"FEFO auto - split, also "&amp;$AM1581,"FEFO auto"))))</f>
        <v>⚠ no receipt on file for this item</v>
      </c>
      <c r="AO1581" s="114"/>
    </row>
    <row r="1582" spans="1:41" x14ac:dyDescent="0.35">
      <c r="A1582" s="74">
        <v>46209</v>
      </c>
      <c r="B1582" s="18" t="str">
        <f>IF($C1582="","",IFERROR(INDEX('Staff Directory'!$A$5:$A$594,MATCH($C1582,'Staff Directory'!$B$5:$B$594,0)),"⚠ unknown staff"))</f>
        <v>PSW-191-TBD</v>
      </c>
      <c r="C1582" s="49" t="s">
        <v>1170</v>
      </c>
      <c r="D1582" s="19" t="str">
        <f>IF($B1582="","",IFERROR(INDEX('Staff Directory'!$C$5:$C$594,MATCH($B1582,'Staff Directory'!$A$5:$A$594,0)),""))</f>
        <v>PSW</v>
      </c>
      <c r="E1582" s="19">
        <f>IF($B1582="","",IFERROR(INDEX('Staff Directory'!$D$5:$D$594,MATCH($B1582,'Staff Directory'!$A$5:$A$594,0)),""))</f>
        <v>0</v>
      </c>
      <c r="F1582" s="9" t="s">
        <v>154</v>
      </c>
      <c r="G1582" s="18" t="str">
        <f>IF($F1582="","",IFERROR(INDEX(Items!$B$5:$B$597,MATCH($F1582,Items!$A$5:$A$597,0)),"⚠ not in Items"))</f>
        <v>IPAC</v>
      </c>
      <c r="H1582" s="19" t="str">
        <f>IF($F1582="","",IFERROR(INDEX(Items!$C$5:$C$597,MATCH($F1582,Items!$A$5:$A$597,0)),""))</f>
        <v>Regular</v>
      </c>
      <c r="I1582" s="23">
        <f>IF($F1582="","",IFERROR(INDEX(Items!$E$5:$E$597,MATCH($F1582,Items!$A$5:$A$597,0)),""))</f>
        <v>50</v>
      </c>
      <c r="J1582" s="115">
        <f>IF(tblIssues[[#This Row],[Qty Override]]&lt;&gt;"",tblIssues[[#This Row],[Qty Override]],IF(tblIssues[[#This Row],[Standard Issue]]="","",tblIssues[[#This Row],[Standard Issue]]))</f>
        <v>50</v>
      </c>
      <c r="K1582" s="20">
        <f>IF($F1582="","",IFERROR(INDEX(Items!$D$5:$D$597,MATCH($F1582,Items!$A$5:$A$597,0)),""))</f>
        <v>0.2</v>
      </c>
      <c r="L1582" s="21">
        <f t="shared" si="272"/>
        <v>10</v>
      </c>
      <c r="M1582" s="9" t="str">
        <f t="shared" si="270"/>
        <v/>
      </c>
      <c r="N1582" s="24">
        <f>IF($A1582="","",WORKDAY($A1582,Settings!$C$9,HolidayDates))</f>
        <v>46217</v>
      </c>
      <c r="O1582" s="24">
        <f>IF($N1582="","",WORKDAY($N1582,Settings!$C$10,HolidayDates))</f>
        <v>46255</v>
      </c>
      <c r="P1582" s="10" t="s">
        <v>501</v>
      </c>
      <c r="Q1582" s="52" t="str">
        <f t="shared" si="273"/>
        <v>Collected</v>
      </c>
      <c r="R1582" s="55" t="str">
        <f t="shared" si="274"/>
        <v>2026-07</v>
      </c>
      <c r="S1582" s="55">
        <f>IF(OR($B1582="",$F1582="",$R1582=""),"",SUMIFS(tblIssues[Qty Issued],tblIssues[Staff ID],$B1582,tblIssues[Item Name],$F1582,tblIssues[Month],$R1582))</f>
        <v>50</v>
      </c>
      <c r="T1582" s="56">
        <f>IF($I1582="","",$I1582*Settings!$C$11)</f>
        <v>50</v>
      </c>
      <c r="U1582" s="57" t="str">
        <f t="shared" si="271"/>
        <v>OK</v>
      </c>
      <c r="V1582" s="55" t="str">
        <f t="shared" si="275"/>
        <v/>
      </c>
      <c r="W1582" s="55" t="str">
        <f>IF($V1582="","",IF(COUNTIF($V$5:$V1582,$V1582)=1,1,""))</f>
        <v/>
      </c>
      <c r="X1582" s="58" t="str">
        <f>IF($W1582="","",MAX($X$4:X1581)+1)</f>
        <v/>
      </c>
      <c r="Y1582" s="62"/>
      <c r="Z1582" s="62"/>
      <c r="AA1582" s="64" t="str">
        <f>IF($C1582="","",IFERROR(INDEX('Staff Directory'!$E$5:$E$594,MATCH($C1582,'Staff Directory'!$B$5:$B$594,0)),""))</f>
        <v>firstname254.lastname254@example.com</v>
      </c>
      <c r="AB1582" s="64" t="str">
        <f>IF($C1582="","",IF(ISNUMBER(SEARCH($D1582,Settings!$C$15)),"Pickup","Dispatch"))</f>
        <v>Pickup</v>
      </c>
      <c r="AC1582" s="64" t="str">
        <f t="shared" si="276"/>
        <v>Supply order ready for pickup</v>
      </c>
      <c r="AD1582" s="64" t="str">
        <f t="shared" si="267"/>
        <v>Dear PSW,
Your order is ready for pickup from Sample Branch, Wed-Fri 9am-4pm.</v>
      </c>
      <c r="AE1582" s="64" t="str">
        <f t="shared" si="268"/>
        <v>mailto:firstname254.lastname254@example.com?subject=Supply%20order%20ready%20for%20pickup&amp;body=Dear%20PSW%2C%0A%0AYour%20order%20is%20ready%20for%20pickup%20from%20Sample%20Branch%2C%20Wed-Fri%209am-4pm.</v>
      </c>
      <c r="AF1582" s="89" t="str">
        <f t="shared" si="277"/>
        <v>Draft email</v>
      </c>
      <c r="AG1582" s="64" t="str">
        <f>IF($C1582="","",IFERROR(INDEX('Staff Directory'!$K$595:$K$599,MATCH($C1582,'Staff Directory'!$B$5:$B$599,0)),$D1582))</f>
        <v>PSW</v>
      </c>
      <c r="AH1582" t="str">
        <f>IF($C1582="","",IFERROR(INDEX('Staff Directory'!$I$595:$I$599,MATCH($C1582,'Staff Directory'!$B$5:$B$599,0))&amp;" "&amp;INDEX('Staff Directory'!$J$595:$J$599,MATCH($C1582,'Staff Directory'!$B$5:$B$599,0)),$AG1582))</f>
        <v>PSW</v>
      </c>
      <c r="AI1582" s="102"/>
      <c r="AJ1582" s="101">
        <f>IF($F1582="","",SUMIFS($J$5:$J1582,$F$5:$F1582,$F1582))</f>
        <v>1600</v>
      </c>
      <c r="AK1582" s="101">
        <f t="shared" si="269"/>
        <v>1551</v>
      </c>
      <c r="AL1582" s="66" t="str" cm="1">
        <f t="array" ref="AL1582">IF($F1582="","",IFERROR(INDEX('Lot Balance'!$B$5:$B$500,MATCH(1,INDEX(('Lot Balance'!$A$5:$A$500=$F1582)*('Lot Balance'!$K$5:$K$500&lt;$AK1582)*('Lot Balance'!$K$5:$K$500+'Lot Balance'!$D$5:$D$500&gt;=$AK1582),0),0)),""))</f>
        <v/>
      </c>
      <c r="AM1582" s="66" t="str" cm="1">
        <f t="array" ref="AM1582">IF($F1582="","",IFERROR(INDEX('Lot Balance'!$B$5:$B$500,MATCH(1,INDEX(('Lot Balance'!$A$5:$A$500=$F1582)*('Lot Balance'!$K$5:$K$500&lt;$AJ1582)*('Lot Balance'!$K$5:$K$500+'Lot Balance'!$D$5:$D$500&gt;=$AJ1582),0),0)),""))</f>
        <v/>
      </c>
      <c r="AN1582" s="66" t="str">
        <f>IF($F1582="","",IF($AI1582&lt;&gt;"",IF(COUNTIFS('Lot Balance'!$A$5:$A$500,$F1582,'Lot Balance'!$B$5:$B$500,$AI1582)=0,"⚠ override is not a lot of this item",IF($AI1582=$AL1582,"Override = FEFO","Override - FEFO says "&amp;$AL1582)),IF($AL1582="","⚠ no receipt on file for this item",IF($AM1582&lt;&gt;$AL1582,"FEFO auto - split, also "&amp;$AM1582,"FEFO auto"))))</f>
        <v>⚠ no receipt on file for this item</v>
      </c>
      <c r="AO1582" s="114"/>
    </row>
    <row r="1583" spans="1:41" x14ac:dyDescent="0.35">
      <c r="A1583" s="74">
        <v>46209</v>
      </c>
      <c r="B1583" s="18" t="str">
        <f>IF($C1583="","",IFERROR(INDEX('Staff Directory'!$A$5:$A$594,MATCH($C1583,'Staff Directory'!$B$5:$B$594,0)),"⚠ unknown staff"))</f>
        <v>PSW-191-TBD</v>
      </c>
      <c r="C1583" s="49" t="s">
        <v>1170</v>
      </c>
      <c r="D1583" s="19" t="str">
        <f>IF($B1583="","",IFERROR(INDEX('Staff Directory'!$C$5:$C$594,MATCH($B1583,'Staff Directory'!$A$5:$A$594,0)),""))</f>
        <v>PSW</v>
      </c>
      <c r="E1583" s="19">
        <f>IF($B1583="","",IFERROR(INDEX('Staff Directory'!$D$5:$D$594,MATCH($B1583,'Staff Directory'!$A$5:$A$594,0)),""))</f>
        <v>0</v>
      </c>
      <c r="F1583" s="9" t="s">
        <v>136</v>
      </c>
      <c r="G1583" s="18" t="str">
        <f>IF($F1583="","",IFERROR(INDEX(Items!$B$5:$B$597,MATCH($F1583,Items!$A$5:$A$597,0)),"⚠ not in Items"))</f>
        <v>Eye Protection</v>
      </c>
      <c r="H1583" s="19" t="str">
        <f>IF($F1583="","",IFERROR(INDEX(Items!$C$5:$C$597,MATCH($F1583,Items!$A$5:$A$597,0)),""))</f>
        <v>One Size</v>
      </c>
      <c r="I1583" s="23">
        <f>IF($F1583="","",IFERROR(INDEX(Items!$E$5:$E$597,MATCH($F1583,Items!$A$5:$A$597,0)),""))</f>
        <v>1</v>
      </c>
      <c r="J1583" s="115">
        <f>IF(tblIssues[[#This Row],[Qty Override]]&lt;&gt;"",tblIssues[[#This Row],[Qty Override]],IF(tblIssues[[#This Row],[Standard Issue]]="","",tblIssues[[#This Row],[Standard Issue]]))</f>
        <v>1</v>
      </c>
      <c r="K1583" s="20">
        <f>IF($F1583="","",IFERROR(INDEX(Items!$D$5:$D$597,MATCH($F1583,Items!$A$5:$A$597,0)),""))</f>
        <v>10</v>
      </c>
      <c r="L1583" s="21">
        <f t="shared" si="272"/>
        <v>10</v>
      </c>
      <c r="M1583" s="9" t="str">
        <f t="shared" si="270"/>
        <v>GGL5003700</v>
      </c>
      <c r="N1583" s="24">
        <f>IF($A1583="","",WORKDAY($A1583,Settings!$C$9,HolidayDates))</f>
        <v>46217</v>
      </c>
      <c r="O1583" s="24">
        <f>IF($N1583="","",WORKDAY($N1583,Settings!$C$10,HolidayDates))</f>
        <v>46255</v>
      </c>
      <c r="P1583" s="10" t="s">
        <v>501</v>
      </c>
      <c r="Q1583" s="52" t="str">
        <f t="shared" si="273"/>
        <v>Collected</v>
      </c>
      <c r="R1583" s="55" t="str">
        <f t="shared" si="274"/>
        <v>2026-07</v>
      </c>
      <c r="S1583" s="55">
        <f>IF(OR($B1583="",$F1583="",$R1583=""),"",SUMIFS(tblIssues[Qty Issued],tblIssues[Staff ID],$B1583,tblIssues[Item Name],$F1583,tblIssues[Month],$R1583))</f>
        <v>1</v>
      </c>
      <c r="T1583" s="56">
        <f>IF($I1583="","",$I1583*Settings!$C$11)</f>
        <v>1</v>
      </c>
      <c r="U1583" s="57" t="str">
        <f t="shared" si="271"/>
        <v>OK</v>
      </c>
      <c r="V1583" s="55" t="str">
        <f t="shared" si="275"/>
        <v/>
      </c>
      <c r="W1583" s="55" t="str">
        <f>IF($V1583="","",IF(COUNTIF($V$5:$V1583,$V1583)=1,1,""))</f>
        <v/>
      </c>
      <c r="X1583" s="58" t="str">
        <f>IF($W1583="","",MAX($X$4:X1582)+1)</f>
        <v/>
      </c>
      <c r="Y1583" s="62"/>
      <c r="Z1583" s="62"/>
      <c r="AA1583" s="64" t="str">
        <f>IF($C1583="","",IFERROR(INDEX('Staff Directory'!$E$5:$E$594,MATCH($C1583,'Staff Directory'!$B$5:$B$594,0)),""))</f>
        <v>firstname254.lastname254@example.com</v>
      </c>
      <c r="AB1583" s="64" t="str">
        <f>IF($C1583="","",IF(ISNUMBER(SEARCH($D1583,Settings!$C$15)),"Pickup","Dispatch"))</f>
        <v>Pickup</v>
      </c>
      <c r="AC1583" s="64" t="str">
        <f t="shared" si="276"/>
        <v>Supply order ready for pickup</v>
      </c>
      <c r="AD1583" s="64" t="str">
        <f t="shared" si="267"/>
        <v>Dear PSW,
Your order is ready for pickup from Sample Branch, Wed-Fri 9am-4pm.</v>
      </c>
      <c r="AE1583" s="64" t="str">
        <f t="shared" si="268"/>
        <v>mailto:firstname254.lastname254@example.com?subject=Supply%20order%20ready%20for%20pickup&amp;body=Dear%20PSW%2C%0A%0AYour%20order%20is%20ready%20for%20pickup%20from%20Sample%20Branch%2C%20Wed-Fri%209am-4pm.</v>
      </c>
      <c r="AF1583" s="89" t="str">
        <f t="shared" si="277"/>
        <v>Draft email</v>
      </c>
      <c r="AG1583" s="64" t="str">
        <f>IF($C1583="","",IFERROR(INDEX('Staff Directory'!$K$595:$K$599,MATCH($C1583,'Staff Directory'!$B$5:$B$599,0)),$D1583))</f>
        <v>PSW</v>
      </c>
      <c r="AH1583" t="str">
        <f>IF($C1583="","",IFERROR(INDEX('Staff Directory'!$I$595:$I$599,MATCH($C1583,'Staff Directory'!$B$5:$B$599,0))&amp;" "&amp;INDEX('Staff Directory'!$J$595:$J$599,MATCH($C1583,'Staff Directory'!$B$5:$B$599,0)),$AG1583))</f>
        <v>PSW</v>
      </c>
      <c r="AI1583" s="102"/>
      <c r="AJ1583" s="101">
        <f>IF($F1583="","",SUMIFS($J$5:$J1583,$F$5:$F1583,$F1583))</f>
        <v>16</v>
      </c>
      <c r="AK1583" s="101">
        <f t="shared" si="269"/>
        <v>16</v>
      </c>
      <c r="AL1583" s="66" t="str" cm="1">
        <f t="array" ref="AL1583">IF($F1583="","",IFERROR(INDEX('Lot Balance'!$B$5:$B$500,MATCH(1,INDEX(('Lot Balance'!$A$5:$A$500=$F1583)*('Lot Balance'!$K$5:$K$500&lt;$AK1583)*('Lot Balance'!$K$5:$K$500+'Lot Balance'!$D$5:$D$500&gt;=$AK1583),0),0)),""))</f>
        <v>GGL5003700</v>
      </c>
      <c r="AM1583" s="66" t="str" cm="1">
        <f t="array" ref="AM1583">IF($F1583="","",IFERROR(INDEX('Lot Balance'!$B$5:$B$500,MATCH(1,INDEX(('Lot Balance'!$A$5:$A$500=$F1583)*('Lot Balance'!$K$5:$K$500&lt;$AJ1583)*('Lot Balance'!$K$5:$K$500+'Lot Balance'!$D$5:$D$500&gt;=$AJ1583),0),0)),""))</f>
        <v>GGL5003700</v>
      </c>
      <c r="AN1583" s="66" t="str">
        <f>IF($F1583="","",IF($AI1583&lt;&gt;"",IF(COUNTIFS('Lot Balance'!$A$5:$A$500,$F1583,'Lot Balance'!$B$5:$B$500,$AI1583)=0,"⚠ override is not a lot of this item",IF($AI1583=$AL1583,"Override = FEFO","Override - FEFO says "&amp;$AL1583)),IF($AL1583="","⚠ no receipt on file for this item",IF($AM1583&lt;&gt;$AL1583,"FEFO auto - split, also "&amp;$AM1583,"FEFO auto"))))</f>
        <v>FEFO auto</v>
      </c>
      <c r="AO1583" s="114"/>
    </row>
    <row r="1584" spans="1:41" x14ac:dyDescent="0.35">
      <c r="A1584" s="74">
        <v>46209</v>
      </c>
      <c r="B1584" s="18" t="str">
        <f>IF($C1584="","",IFERROR(INDEX('Staff Directory'!$A$5:$A$594,MATCH($C1584,'Staff Directory'!$B$5:$B$594,0)),"⚠ unknown staff"))</f>
        <v>PSW-191-TBD</v>
      </c>
      <c r="C1584" s="49" t="s">
        <v>1170</v>
      </c>
      <c r="D1584" s="19" t="str">
        <f>IF($B1584="","",IFERROR(INDEX('Staff Directory'!$C$5:$C$594,MATCH($B1584,'Staff Directory'!$A$5:$A$594,0)),""))</f>
        <v>PSW</v>
      </c>
      <c r="E1584" s="19">
        <f>IF($B1584="","",IFERROR(INDEX('Staff Directory'!$D$5:$D$594,MATCH($B1584,'Staff Directory'!$A$5:$A$594,0)),""))</f>
        <v>0</v>
      </c>
      <c r="F1584" s="9" t="s">
        <v>122</v>
      </c>
      <c r="G1584" s="18" t="str">
        <f>IF($F1584="","",IFERROR(INDEX(Items!$B$5:$B$597,MATCH($F1584,Items!$A$5:$A$597,0)),"⚠ not in Items"))</f>
        <v>Eye Protection</v>
      </c>
      <c r="H1584" s="19" t="str">
        <f>IF($F1584="","",IFERROR(INDEX(Items!$C$5:$C$597,MATCH($F1584,Items!$A$5:$A$597,0)),""))</f>
        <v>One Size</v>
      </c>
      <c r="I1584" s="23">
        <f>IF($F1584="","",IFERROR(INDEX(Items!$E$5:$E$597,MATCH($F1584,Items!$A$5:$A$597,0)),""))</f>
        <v>1</v>
      </c>
      <c r="J1584" s="115">
        <f>IF(tblIssues[[#This Row],[Qty Override]]&lt;&gt;"",tblIssues[[#This Row],[Qty Override]],IF(tblIssues[[#This Row],[Standard Issue]]="","",tblIssues[[#This Row],[Standard Issue]]))</f>
        <v>1</v>
      </c>
      <c r="K1584" s="20">
        <f>IF($F1584="","",IFERROR(INDEX(Items!$D$5:$D$597,MATCH($F1584,Items!$A$5:$A$597,0)),""))</f>
        <v>7</v>
      </c>
      <c r="L1584" s="21">
        <f t="shared" si="272"/>
        <v>7</v>
      </c>
      <c r="M1584" s="9" t="str">
        <f t="shared" si="270"/>
        <v/>
      </c>
      <c r="N1584" s="24">
        <f>IF($A1584="","",WORKDAY($A1584,Settings!$C$9,HolidayDates))</f>
        <v>46217</v>
      </c>
      <c r="O1584" s="24">
        <f>IF($N1584="","",WORKDAY($N1584,Settings!$C$10,HolidayDates))</f>
        <v>46255</v>
      </c>
      <c r="P1584" s="10" t="s">
        <v>501</v>
      </c>
      <c r="Q1584" s="52" t="str">
        <f t="shared" si="273"/>
        <v>Collected</v>
      </c>
      <c r="R1584" s="55" t="str">
        <f t="shared" si="274"/>
        <v>2026-07</v>
      </c>
      <c r="S1584" s="55">
        <f>IF(OR($B1584="",$F1584="",$R1584=""),"",SUMIFS(tblIssues[Qty Issued],tblIssues[Staff ID],$B1584,tblIssues[Item Name],$F1584,tblIssues[Month],$R1584))</f>
        <v>1</v>
      </c>
      <c r="T1584" s="56">
        <f>IF($I1584="","",$I1584*Settings!$C$11)</f>
        <v>1</v>
      </c>
      <c r="U1584" s="57" t="str">
        <f t="shared" si="271"/>
        <v>OK</v>
      </c>
      <c r="V1584" s="55" t="str">
        <f t="shared" si="275"/>
        <v/>
      </c>
      <c r="W1584" s="55" t="str">
        <f>IF($V1584="","",IF(COUNTIF($V$5:$V1584,$V1584)=1,1,""))</f>
        <v/>
      </c>
      <c r="X1584" s="58" t="str">
        <f>IF($W1584="","",MAX($X$4:X1583)+1)</f>
        <v/>
      </c>
      <c r="Y1584" s="62"/>
      <c r="Z1584" s="62"/>
      <c r="AA1584" s="64" t="str">
        <f>IF($C1584="","",IFERROR(INDEX('Staff Directory'!$E$5:$E$594,MATCH($C1584,'Staff Directory'!$B$5:$B$594,0)),""))</f>
        <v>firstname254.lastname254@example.com</v>
      </c>
      <c r="AB1584" s="64" t="str">
        <f>IF($C1584="","",IF(ISNUMBER(SEARCH($D1584,Settings!$C$15)),"Pickup","Dispatch"))</f>
        <v>Pickup</v>
      </c>
      <c r="AC1584" s="64" t="str">
        <f t="shared" si="276"/>
        <v>Supply order ready for pickup</v>
      </c>
      <c r="AD1584" s="64" t="str">
        <f t="shared" si="267"/>
        <v>Dear PSW,
Your order is ready for pickup from Sample Branch, Wed-Fri 9am-4pm.</v>
      </c>
      <c r="AE1584" s="64" t="str">
        <f t="shared" si="268"/>
        <v>mailto:firstname254.lastname254@example.com?subject=Supply%20order%20ready%20for%20pickup&amp;body=Dear%20PSW%2C%0A%0AYour%20order%20is%20ready%20for%20pickup%20from%20Sample%20Branch%2C%20Wed-Fri%209am-4pm.</v>
      </c>
      <c r="AF1584" s="89" t="str">
        <f t="shared" si="277"/>
        <v>Draft email</v>
      </c>
      <c r="AG1584" s="64" t="str">
        <f>IF($C1584="","",IFERROR(INDEX('Staff Directory'!$K$595:$K$599,MATCH($C1584,'Staff Directory'!$B$5:$B$599,0)),$D1584))</f>
        <v>PSW</v>
      </c>
      <c r="AH1584" t="str">
        <f>IF($C1584="","",IFERROR(INDEX('Staff Directory'!$I$595:$I$599,MATCH($C1584,'Staff Directory'!$B$5:$B$599,0))&amp;" "&amp;INDEX('Staff Directory'!$J$595:$J$599,MATCH($C1584,'Staff Directory'!$B$5:$B$599,0)),$AG1584))</f>
        <v>PSW</v>
      </c>
      <c r="AI1584" s="102"/>
      <c r="AJ1584" s="101">
        <f>IF($F1584="","",SUMIFS($J$5:$J1584,$F$5:$F1584,$F1584))</f>
        <v>17</v>
      </c>
      <c r="AK1584" s="101">
        <f t="shared" si="269"/>
        <v>17</v>
      </c>
      <c r="AL1584" s="66" t="str" cm="1">
        <f t="array" ref="AL1584">IF($F1584="","",IFERROR(INDEX('Lot Balance'!$B$5:$B$500,MATCH(1,INDEX(('Lot Balance'!$A$5:$A$500=$F1584)*('Lot Balance'!$K$5:$K$500&lt;$AK1584)*('Lot Balance'!$K$5:$K$500+'Lot Balance'!$D$5:$D$500&gt;=$AK1584),0),0)),""))</f>
        <v/>
      </c>
      <c r="AM1584" s="66" t="str" cm="1">
        <f t="array" ref="AM1584">IF($F1584="","",IFERROR(INDEX('Lot Balance'!$B$5:$B$500,MATCH(1,INDEX(('Lot Balance'!$A$5:$A$500=$F1584)*('Lot Balance'!$K$5:$K$500&lt;$AJ1584)*('Lot Balance'!$K$5:$K$500+'Lot Balance'!$D$5:$D$500&gt;=$AJ1584),0),0)),""))</f>
        <v/>
      </c>
      <c r="AN1584" s="66" t="str">
        <f>IF($F1584="","",IF($AI1584&lt;&gt;"",IF(COUNTIFS('Lot Balance'!$A$5:$A$500,$F1584,'Lot Balance'!$B$5:$B$500,$AI1584)=0,"⚠ override is not a lot of this item",IF($AI1584=$AL1584,"Override = FEFO","Override - FEFO says "&amp;$AL1584)),IF($AL1584="","⚠ no receipt on file for this item",IF($AM1584&lt;&gt;$AL1584,"FEFO auto - split, also "&amp;$AM1584,"FEFO auto"))))</f>
        <v>⚠ no receipt on file for this item</v>
      </c>
      <c r="AO1584" s="114"/>
    </row>
    <row r="1585" spans="1:41" x14ac:dyDescent="0.35">
      <c r="A1585" s="74">
        <v>46209</v>
      </c>
      <c r="B1585" s="18" t="str">
        <f>IF($C1585="","",IFERROR(INDEX('Staff Directory'!$A$5:$A$594,MATCH($C1585,'Staff Directory'!$B$5:$B$594,0)),"⚠ unknown staff"))</f>
        <v>PSW-191-TBD</v>
      </c>
      <c r="C1585" s="49" t="s">
        <v>1170</v>
      </c>
      <c r="D1585" s="19" t="str">
        <f>IF($B1585="","",IFERROR(INDEX('Staff Directory'!$C$5:$C$594,MATCH($B1585,'Staff Directory'!$A$5:$A$594,0)),""))</f>
        <v>PSW</v>
      </c>
      <c r="E1585" s="19">
        <f>IF($B1585="","",IFERROR(INDEX('Staff Directory'!$D$5:$D$594,MATCH($B1585,'Staff Directory'!$A$5:$A$594,0)),""))</f>
        <v>0</v>
      </c>
      <c r="F1585" s="9" t="s">
        <v>150</v>
      </c>
      <c r="G1585" s="18" t="str">
        <f>IF($F1585="","",IFERROR(INDEX(Items!$B$5:$B$597,MATCH($F1585,Items!$A$5:$A$597,0)),"⚠ not in Items"))</f>
        <v>Documents</v>
      </c>
      <c r="H1585" s="19" t="str">
        <f>IF($F1585="","",IFERROR(INDEX(Items!$C$5:$C$597,MATCH($F1585,Items!$A$5:$A$597,0)),""))</f>
        <v>Standard</v>
      </c>
      <c r="I1585" s="23">
        <f>IF($F1585="","",IFERROR(INDEX(Items!$E$5:$E$597,MATCH($F1585,Items!$A$5:$A$597,0)),""))</f>
        <v>1</v>
      </c>
      <c r="J1585" s="115">
        <f>IF(tblIssues[[#This Row],[Qty Override]]&lt;&gt;"",tblIssues[[#This Row],[Qty Override]],IF(tblIssues[[#This Row],[Standard Issue]]="","",tblIssues[[#This Row],[Standard Issue]]))</f>
        <v>1</v>
      </c>
      <c r="K1585" s="20">
        <f>IF($F1585="","",IFERROR(INDEX(Items!$D$5:$D$597,MATCH($F1585,Items!$A$5:$A$597,0)),""))</f>
        <v>0</v>
      </c>
      <c r="L1585" s="21">
        <f t="shared" si="272"/>
        <v>0</v>
      </c>
      <c r="M1585" s="9" t="str">
        <f t="shared" si="270"/>
        <v/>
      </c>
      <c r="N1585" s="24">
        <f>IF($A1585="","",WORKDAY($A1585,Settings!$C$9,HolidayDates))</f>
        <v>46217</v>
      </c>
      <c r="O1585" s="24">
        <f>IF($N1585="","",WORKDAY($N1585,Settings!$C$10,HolidayDates))</f>
        <v>46255</v>
      </c>
      <c r="P1585" s="10" t="s">
        <v>501</v>
      </c>
      <c r="Q1585" s="52" t="str">
        <f t="shared" si="273"/>
        <v>Collected</v>
      </c>
      <c r="R1585" s="55" t="str">
        <f t="shared" si="274"/>
        <v>2026-07</v>
      </c>
      <c r="S1585" s="55">
        <f>IF(OR($B1585="",$F1585="",$R1585=""),"",SUMIFS(tblIssues[Qty Issued],tblIssues[Staff ID],$B1585,tblIssues[Item Name],$F1585,tblIssues[Month],$R1585))</f>
        <v>1</v>
      </c>
      <c r="T1585" s="56">
        <f>IF($I1585="","",$I1585*Settings!$C$11)</f>
        <v>1</v>
      </c>
      <c r="U1585" s="57" t="str">
        <f t="shared" si="271"/>
        <v>OK</v>
      </c>
      <c r="V1585" s="55" t="str">
        <f t="shared" si="275"/>
        <v/>
      </c>
      <c r="W1585" s="55" t="str">
        <f>IF($V1585="","",IF(COUNTIF($V$5:$V1585,$V1585)=1,1,""))</f>
        <v/>
      </c>
      <c r="X1585" s="58" t="str">
        <f>IF($W1585="","",MAX($X$4:X1584)+1)</f>
        <v/>
      </c>
      <c r="Y1585" s="62"/>
      <c r="Z1585" s="62"/>
      <c r="AA1585" s="64" t="str">
        <f>IF($C1585="","",IFERROR(INDEX('Staff Directory'!$E$5:$E$594,MATCH($C1585,'Staff Directory'!$B$5:$B$594,0)),""))</f>
        <v>firstname254.lastname254@example.com</v>
      </c>
      <c r="AB1585" s="64" t="str">
        <f>IF($C1585="","",IF(ISNUMBER(SEARCH($D1585,Settings!$C$15)),"Pickup","Dispatch"))</f>
        <v>Pickup</v>
      </c>
      <c r="AC1585" s="64" t="str">
        <f t="shared" si="276"/>
        <v>Supply order ready for pickup</v>
      </c>
      <c r="AD1585" s="64" t="str">
        <f t="shared" si="267"/>
        <v>Dear PSW,
Your order is ready for pickup from Sample Branch, Wed-Fri 9am-4pm.</v>
      </c>
      <c r="AE1585" s="64" t="str">
        <f t="shared" si="268"/>
        <v>mailto:firstname254.lastname254@example.com?subject=Supply%20order%20ready%20for%20pickup&amp;body=Dear%20PSW%2C%0A%0AYour%20order%20is%20ready%20for%20pickup%20from%20Sample%20Branch%2C%20Wed-Fri%209am-4pm.</v>
      </c>
      <c r="AF1585" s="89" t="str">
        <f t="shared" si="277"/>
        <v>Draft email</v>
      </c>
      <c r="AG1585" s="64" t="str">
        <f>IF($C1585="","",IFERROR(INDEX('Staff Directory'!$K$595:$K$599,MATCH($C1585,'Staff Directory'!$B$5:$B$599,0)),$D1585))</f>
        <v>PSW</v>
      </c>
      <c r="AH1585" t="str">
        <f>IF($C1585="","",IFERROR(INDEX('Staff Directory'!$I$595:$I$599,MATCH($C1585,'Staff Directory'!$B$5:$B$599,0))&amp;" "&amp;INDEX('Staff Directory'!$J$595:$J$599,MATCH($C1585,'Staff Directory'!$B$5:$B$599,0)),$AG1585))</f>
        <v>PSW</v>
      </c>
      <c r="AI1585" s="102"/>
      <c r="AJ1585" s="101">
        <f>IF($F1585="","",SUMIFS($J$5:$J1585,$F$5:$F1585,$F1585))</f>
        <v>17</v>
      </c>
      <c r="AK1585" s="101">
        <f t="shared" si="269"/>
        <v>17</v>
      </c>
      <c r="AL1585" s="66" t="str" cm="1">
        <f t="array" ref="AL1585">IF($F1585="","",IFERROR(INDEX('Lot Balance'!$B$5:$B$500,MATCH(1,INDEX(('Lot Balance'!$A$5:$A$500=$F1585)*('Lot Balance'!$K$5:$K$500&lt;$AK1585)*('Lot Balance'!$K$5:$K$500+'Lot Balance'!$D$5:$D$500&gt;=$AK1585),0),0)),""))</f>
        <v/>
      </c>
      <c r="AM1585" s="66" t="str" cm="1">
        <f t="array" ref="AM1585">IF($F1585="","",IFERROR(INDEX('Lot Balance'!$B$5:$B$500,MATCH(1,INDEX(('Lot Balance'!$A$5:$A$500=$F1585)*('Lot Balance'!$K$5:$K$500&lt;$AJ1585)*('Lot Balance'!$K$5:$K$500+'Lot Balance'!$D$5:$D$500&gt;=$AJ1585),0),0)),""))</f>
        <v/>
      </c>
      <c r="AN1585" s="66" t="str">
        <f>IF($F1585="","",IF($AI1585&lt;&gt;"",IF(COUNTIFS('Lot Balance'!$A$5:$A$500,$F1585,'Lot Balance'!$B$5:$B$500,$AI1585)=0,"⚠ override is not a lot of this item",IF($AI1585=$AL1585,"Override = FEFO","Override - FEFO says "&amp;$AL1585)),IF($AL1585="","⚠ no receipt on file for this item",IF($AM1585&lt;&gt;$AL1585,"FEFO auto - split, also "&amp;$AM1585,"FEFO auto"))))</f>
        <v>⚠ no receipt on file for this item</v>
      </c>
      <c r="AO1585" s="114"/>
    </row>
    <row r="1586" spans="1:41" x14ac:dyDescent="0.35">
      <c r="A1586" s="74">
        <v>46209</v>
      </c>
      <c r="B1586" s="18" t="str">
        <f>IF($C1586="","",IFERROR(INDEX('Staff Directory'!$A$5:$A$594,MATCH($C1586,'Staff Directory'!$B$5:$B$594,0)),"⚠ unknown staff"))</f>
        <v>PSW-191-TBD</v>
      </c>
      <c r="C1586" s="49" t="s">
        <v>1170</v>
      </c>
      <c r="D1586" s="19" t="str">
        <f>IF($B1586="","",IFERROR(INDEX('Staff Directory'!$C$5:$C$594,MATCH($B1586,'Staff Directory'!$A$5:$A$594,0)),""))</f>
        <v>PSW</v>
      </c>
      <c r="E1586" s="19">
        <f>IF($B1586="","",IFERROR(INDEX('Staff Directory'!$D$5:$D$594,MATCH($B1586,'Staff Directory'!$A$5:$A$594,0)),""))</f>
        <v>0</v>
      </c>
      <c r="F1586" s="9" t="s">
        <v>755</v>
      </c>
      <c r="G1586" s="18" t="str">
        <f>IF($F1586="","",IFERROR(INDEX(Items!$B$5:$B$597,MATCH($F1586,Items!$A$5:$A$597,0)),"⚠ not in Items"))</f>
        <v>Documents</v>
      </c>
      <c r="H1586" s="19" t="str">
        <f>IF($F1586="","",IFERROR(INDEX(Items!$C$5:$C$597,MATCH($F1586,Items!$A$5:$A$597,0)),""))</f>
        <v>Standard</v>
      </c>
      <c r="I1586" s="23">
        <f>IF($F1586="","",IFERROR(INDEX(Items!$E$5:$E$597,MATCH($F1586,Items!$A$5:$A$597,0)),""))</f>
        <v>2</v>
      </c>
      <c r="J1586" s="115">
        <f>IF(tblIssues[[#This Row],[Qty Override]]&lt;&gt;"",tblIssues[[#This Row],[Qty Override]],IF(tblIssues[[#This Row],[Standard Issue]]="","",tblIssues[[#This Row],[Standard Issue]]))</f>
        <v>2</v>
      </c>
      <c r="K1586" s="20">
        <f>IF($F1586="","",IFERROR(INDEX(Items!$D$5:$D$597,MATCH($F1586,Items!$A$5:$A$597,0)),""))</f>
        <v>0</v>
      </c>
      <c r="L1586" s="21">
        <f t="shared" si="272"/>
        <v>0</v>
      </c>
      <c r="M1586" s="9" t="str">
        <f t="shared" si="270"/>
        <v/>
      </c>
      <c r="N1586" s="24">
        <f>IF($A1586="","",WORKDAY($A1586,Settings!$C$9,HolidayDates))</f>
        <v>46217</v>
      </c>
      <c r="O1586" s="24">
        <f>IF($N1586="","",WORKDAY($N1586,Settings!$C$10,HolidayDates))</f>
        <v>46255</v>
      </c>
      <c r="P1586" s="10" t="s">
        <v>501</v>
      </c>
      <c r="Q1586" s="52" t="str">
        <f t="shared" si="273"/>
        <v>Collected</v>
      </c>
      <c r="R1586" s="55" t="str">
        <f t="shared" si="274"/>
        <v>2026-07</v>
      </c>
      <c r="S1586" s="55">
        <f>IF(OR($B1586="",$F1586="",$R1586=""),"",SUMIFS(tblIssues[Qty Issued],tblIssues[Staff ID],$B1586,tblIssues[Item Name],$F1586,tblIssues[Month],$R1586))</f>
        <v>2</v>
      </c>
      <c r="T1586" s="56">
        <f>IF($I1586="","",$I1586*Settings!$C$11)</f>
        <v>2</v>
      </c>
      <c r="U1586" s="57" t="str">
        <f t="shared" si="271"/>
        <v>OK</v>
      </c>
      <c r="V1586" s="55" t="str">
        <f t="shared" si="275"/>
        <v/>
      </c>
      <c r="W1586" s="55" t="str">
        <f>IF($V1586="","",IF(COUNTIF($V$5:$V1586,$V1586)=1,1,""))</f>
        <v/>
      </c>
      <c r="X1586" s="58" t="str">
        <f>IF($W1586="","",MAX($X$4:X1585)+1)</f>
        <v/>
      </c>
      <c r="Y1586" s="62"/>
      <c r="Z1586" s="62"/>
      <c r="AA1586" s="64" t="str">
        <f>IF($C1586="","",IFERROR(INDEX('Staff Directory'!$E$5:$E$594,MATCH($C1586,'Staff Directory'!$B$5:$B$594,0)),""))</f>
        <v>firstname254.lastname254@example.com</v>
      </c>
      <c r="AB1586" s="64" t="str">
        <f>IF($C1586="","",IF(ISNUMBER(SEARCH($D1586,Settings!$C$15)),"Pickup","Dispatch"))</f>
        <v>Pickup</v>
      </c>
      <c r="AC1586" s="64" t="str">
        <f t="shared" si="276"/>
        <v>Supply order ready for pickup</v>
      </c>
      <c r="AD1586" s="64" t="str">
        <f t="shared" si="267"/>
        <v>Dear PSW,
Your order is ready for pickup from Sample Branch, Wed-Fri 9am-4pm.</v>
      </c>
      <c r="AE1586" s="64" t="str">
        <f t="shared" si="268"/>
        <v>mailto:firstname254.lastname254@example.com?subject=Supply%20order%20ready%20for%20pickup&amp;body=Dear%20PSW%2C%0A%0AYour%20order%20is%20ready%20for%20pickup%20from%20Sample%20Branch%2C%20Wed-Fri%209am-4pm.</v>
      </c>
      <c r="AF1586" s="89" t="str">
        <f t="shared" si="277"/>
        <v>Draft email</v>
      </c>
      <c r="AG1586" s="64" t="str">
        <f>IF($C1586="","",IFERROR(INDEX('Staff Directory'!$K$595:$K$599,MATCH($C1586,'Staff Directory'!$B$5:$B$599,0)),$D1586))</f>
        <v>PSW</v>
      </c>
      <c r="AH1586" t="str">
        <f>IF($C1586="","",IFERROR(INDEX('Staff Directory'!$I$595:$I$599,MATCH($C1586,'Staff Directory'!$B$5:$B$599,0))&amp;" "&amp;INDEX('Staff Directory'!$J$595:$J$599,MATCH($C1586,'Staff Directory'!$B$5:$B$599,0)),$AG1586))</f>
        <v>PSW</v>
      </c>
      <c r="AI1586" s="102"/>
      <c r="AJ1586" s="101">
        <f>IF($F1586="","",SUMIFS($J$5:$J1586,$F$5:$F1586,$F1586))</f>
        <v>146</v>
      </c>
      <c r="AK1586" s="101">
        <f t="shared" si="269"/>
        <v>145</v>
      </c>
      <c r="AL1586" s="66" t="str" cm="1">
        <f t="array" ref="AL1586">IF($F1586="","",IFERROR(INDEX('Lot Balance'!$B$5:$B$500,MATCH(1,INDEX(('Lot Balance'!$A$5:$A$500=$F1586)*('Lot Balance'!$K$5:$K$500&lt;$AK1586)*('Lot Balance'!$K$5:$K$500+'Lot Balance'!$D$5:$D$500&gt;=$AK1586),0),0)),""))</f>
        <v/>
      </c>
      <c r="AM1586" s="66" t="str" cm="1">
        <f t="array" ref="AM1586">IF($F1586="","",IFERROR(INDEX('Lot Balance'!$B$5:$B$500,MATCH(1,INDEX(('Lot Balance'!$A$5:$A$500=$F1586)*('Lot Balance'!$K$5:$K$500&lt;$AJ1586)*('Lot Balance'!$K$5:$K$500+'Lot Balance'!$D$5:$D$500&gt;=$AJ1586),0),0)),""))</f>
        <v/>
      </c>
      <c r="AN1586" s="66" t="str">
        <f>IF($F1586="","",IF($AI1586&lt;&gt;"",IF(COUNTIFS('Lot Balance'!$A$5:$A$500,$F1586,'Lot Balance'!$B$5:$B$500,$AI1586)=0,"⚠ override is not a lot of this item",IF($AI1586=$AL1586,"Override = FEFO","Override - FEFO says "&amp;$AL1586)),IF($AL1586="","⚠ no receipt on file for this item",IF($AM1586&lt;&gt;$AL1586,"FEFO auto - split, also "&amp;$AM1586,"FEFO auto"))))</f>
        <v>⚠ no receipt on file for this item</v>
      </c>
      <c r="AO1586" s="114"/>
    </row>
    <row r="1587" spans="1:41" x14ac:dyDescent="0.35">
      <c r="A1587" s="74">
        <v>46209</v>
      </c>
      <c r="B1587" s="18" t="str">
        <f>IF($C1587="","",IFERROR(INDEX('Staff Directory'!$A$5:$A$594,MATCH($C1587,'Staff Directory'!$B$5:$B$594,0)),"⚠ unknown staff"))</f>
        <v>PSW-192-TBD</v>
      </c>
      <c r="C1587" s="49" t="s">
        <v>1171</v>
      </c>
      <c r="D1587" s="19" t="str">
        <f>IF($B1587="","",IFERROR(INDEX('Staff Directory'!$C$5:$C$594,MATCH($B1587,'Staff Directory'!$A$5:$A$594,0)),""))</f>
        <v>PSW</v>
      </c>
      <c r="E1587" s="19">
        <f>IF($B1587="","",IFERROR(INDEX('Staff Directory'!$D$5:$D$594,MATCH($B1587,'Staff Directory'!$A$5:$A$594,0)),""))</f>
        <v>0</v>
      </c>
      <c r="F1587" s="9" t="s">
        <v>129</v>
      </c>
      <c r="G1587" s="18" t="str">
        <f>IF($F1587="","",IFERROR(INDEX(Items!$B$5:$B$597,MATCH($F1587,Items!$A$5:$A$597,0)),"⚠ not in Items"))</f>
        <v>Gloves</v>
      </c>
      <c r="H1587" s="19" t="str">
        <f>IF($F1587="","",IFERROR(INDEX(Items!$C$5:$C$597,MATCH($F1587,Items!$A$5:$A$597,0)),""))</f>
        <v>Small</v>
      </c>
      <c r="I1587" s="23">
        <f>IF($F1587="","",IFERROR(INDEX(Items!$E$5:$E$597,MATCH($F1587,Items!$A$5:$A$597,0)),""))</f>
        <v>500</v>
      </c>
      <c r="J1587" s="115">
        <f>IF(tblIssues[[#This Row],[Qty Override]]&lt;&gt;"",tblIssues[[#This Row],[Qty Override]],IF(tblIssues[[#This Row],[Standard Issue]]="","",tblIssues[[#This Row],[Standard Issue]]))</f>
        <v>500</v>
      </c>
      <c r="K1587" s="20">
        <f>IF($F1587="","",IFERROR(INDEX(Items!$D$5:$D$597,MATCH($F1587,Items!$A$5:$A$597,0)),""))</f>
        <v>5.5E-2</v>
      </c>
      <c r="L1587" s="21">
        <f t="shared" si="272"/>
        <v>27.5</v>
      </c>
      <c r="M1587" s="9" t="str">
        <f t="shared" si="270"/>
        <v>ZIM502120291</v>
      </c>
      <c r="N1587" s="24">
        <f>IF($A1587="","",WORKDAY($A1587,Settings!$C$9,HolidayDates))</f>
        <v>46217</v>
      </c>
      <c r="O1587" s="24">
        <f>IF($N1587="","",WORKDAY($N1587,Settings!$C$10,HolidayDates))</f>
        <v>46255</v>
      </c>
      <c r="P1587" s="10" t="s">
        <v>501</v>
      </c>
      <c r="Q1587" s="52" t="str">
        <f t="shared" si="273"/>
        <v>Collected</v>
      </c>
      <c r="R1587" s="55" t="str">
        <f t="shared" si="274"/>
        <v>2026-07</v>
      </c>
      <c r="S1587" s="55">
        <f>IF(OR($B1587="",$F1587="",$R1587=""),"",SUMIFS(tblIssues[Qty Issued],tblIssues[Staff ID],$B1587,tblIssues[Item Name],$F1587,tblIssues[Month],$R1587))</f>
        <v>500</v>
      </c>
      <c r="T1587" s="56">
        <f>IF($I1587="","",$I1587*Settings!$C$11)</f>
        <v>500</v>
      </c>
      <c r="U1587" s="57" t="str">
        <f t="shared" si="271"/>
        <v>OK</v>
      </c>
      <c r="V1587" s="55" t="str">
        <f t="shared" si="275"/>
        <v/>
      </c>
      <c r="W1587" s="55" t="str">
        <f>IF($V1587="","",IF(COUNTIF($V$5:$V1587,$V1587)=1,1,""))</f>
        <v/>
      </c>
      <c r="X1587" s="58" t="str">
        <f>IF($W1587="","",MAX($X$4:X1586)+1)</f>
        <v/>
      </c>
      <c r="Y1587" s="62"/>
      <c r="Z1587" s="62"/>
      <c r="AA1587" s="64" t="str">
        <f>IF($C1587="","",IFERROR(INDEX('Staff Directory'!$E$5:$E$594,MATCH($C1587,'Staff Directory'!$B$5:$B$594,0)),""))</f>
        <v>firstname255.lastname255@example.com</v>
      </c>
      <c r="AB1587" s="64" t="str">
        <f>IF($C1587="","",IF(ISNUMBER(SEARCH($D1587,Settings!$C$15)),"Pickup","Dispatch"))</f>
        <v>Pickup</v>
      </c>
      <c r="AC1587" s="64" t="str">
        <f t="shared" si="276"/>
        <v>Supply order ready for pickup</v>
      </c>
      <c r="AD1587" s="64" t="str">
        <f t="shared" si="267"/>
        <v>Dear PSW,
Your order is ready for pickup from Sample Branch, Wed-Fri 9am-4pm.</v>
      </c>
      <c r="AE1587" s="64" t="str">
        <f t="shared" si="268"/>
        <v>mailto:firstname255.lastname255@example.com?subject=Supply%20order%20ready%20for%20pickup&amp;body=Dear%20PSW%2C%0A%0AYour%20order%20is%20ready%20for%20pickup%20from%20Sample%20Branch%2C%20Wed-Fri%209am-4pm.</v>
      </c>
      <c r="AF1587" s="89" t="str">
        <f t="shared" si="277"/>
        <v>Draft email</v>
      </c>
      <c r="AG1587" s="64" t="str">
        <f>IF($C1587="","",IFERROR(INDEX('Staff Directory'!$K$595:$K$599,MATCH($C1587,'Staff Directory'!$B$5:$B$599,0)),$D1587))</f>
        <v>PSW</v>
      </c>
      <c r="AH1587" t="str">
        <f>IF($C1587="","",IFERROR(INDEX('Staff Directory'!$I$595:$I$599,MATCH($C1587,'Staff Directory'!$B$5:$B$599,0))&amp;" "&amp;INDEX('Staff Directory'!$J$595:$J$599,MATCH($C1587,'Staff Directory'!$B$5:$B$599,0)),$AG1587))</f>
        <v>PSW</v>
      </c>
      <c r="AI1587" s="102"/>
      <c r="AJ1587" s="101">
        <f>IF($F1587="","",SUMIFS($J$5:$J1587,$F$5:$F1587,$F1587))</f>
        <v>46000</v>
      </c>
      <c r="AK1587" s="101">
        <f t="shared" si="269"/>
        <v>45501</v>
      </c>
      <c r="AL1587" s="66" t="str" cm="1">
        <f t="array" ref="AL1587">IF($F1587="","",IFERROR(INDEX('Lot Balance'!$B$5:$B$500,MATCH(1,INDEX(('Lot Balance'!$A$5:$A$500=$F1587)*('Lot Balance'!$K$5:$K$500&lt;$AK1587)*('Lot Balance'!$K$5:$K$500+'Lot Balance'!$D$5:$D$500&gt;=$AK1587),0),0)),""))</f>
        <v>ZIM502120291</v>
      </c>
      <c r="AM1587" s="66" t="str" cm="1">
        <f t="array" ref="AM1587">IF($F1587="","",IFERROR(INDEX('Lot Balance'!$B$5:$B$500,MATCH(1,INDEX(('Lot Balance'!$A$5:$A$500=$F1587)*('Lot Balance'!$K$5:$K$500&lt;$AJ1587)*('Lot Balance'!$K$5:$K$500+'Lot Balance'!$D$5:$D$500&gt;=$AJ1587),0),0)),""))</f>
        <v>ZIM502120291</v>
      </c>
      <c r="AN1587" s="66" t="str">
        <f>IF($F1587="","",IF($AI1587&lt;&gt;"",IF(COUNTIFS('Lot Balance'!$A$5:$A$500,$F1587,'Lot Balance'!$B$5:$B$500,$AI1587)=0,"⚠ override is not a lot of this item",IF($AI1587=$AL1587,"Override = FEFO","Override - FEFO says "&amp;$AL1587)),IF($AL1587="","⚠ no receipt on file for this item",IF($AM1587&lt;&gt;$AL1587,"FEFO auto - split, also "&amp;$AM1587,"FEFO auto"))))</f>
        <v>FEFO auto</v>
      </c>
      <c r="AO1587" s="114"/>
    </row>
    <row r="1588" spans="1:41" x14ac:dyDescent="0.35">
      <c r="A1588" s="74">
        <v>46209</v>
      </c>
      <c r="B1588" s="18" t="str">
        <f>IF($C1588="","",IFERROR(INDEX('Staff Directory'!$A$5:$A$594,MATCH($C1588,'Staff Directory'!$B$5:$B$594,0)),"⚠ unknown staff"))</f>
        <v>PSW-192-TBD</v>
      </c>
      <c r="C1588" s="49" t="s">
        <v>1171</v>
      </c>
      <c r="D1588" s="19" t="str">
        <f>IF($B1588="","",IFERROR(INDEX('Staff Directory'!$C$5:$C$594,MATCH($B1588,'Staff Directory'!$A$5:$A$594,0)),""))</f>
        <v>PSW</v>
      </c>
      <c r="E1588" s="19">
        <f>IF($B1588="","",IFERROR(INDEX('Staff Directory'!$D$5:$D$594,MATCH($B1588,'Staff Directory'!$A$5:$A$594,0)),""))</f>
        <v>0</v>
      </c>
      <c r="F1588" s="9" t="s">
        <v>115</v>
      </c>
      <c r="G1588" s="18" t="str">
        <f>IF($F1588="","",IFERROR(INDEX(Items!$B$5:$B$597,MATCH($F1588,Items!$A$5:$A$597,0)),"⚠ not in Items"))</f>
        <v>Wipes</v>
      </c>
      <c r="H1588" s="19">
        <f>IF($F1588="","",IFERROR(INDEX(Items!$C$5:$C$597,MATCH($F1588,Items!$A$5:$A$597,0)),""))</f>
        <v>80</v>
      </c>
      <c r="I1588" s="23">
        <f>IF($F1588="","",IFERROR(INDEX(Items!$E$5:$E$597,MATCH($F1588,Items!$A$5:$A$597,0)),""))</f>
        <v>80</v>
      </c>
      <c r="J1588" s="115">
        <f>IF(tblIssues[[#This Row],[Qty Override]]&lt;&gt;"",tblIssues[[#This Row],[Qty Override]],IF(tblIssues[[#This Row],[Standard Issue]]="","",tblIssues[[#This Row],[Standard Issue]]))</f>
        <v>80</v>
      </c>
      <c r="K1588" s="20">
        <f>IF($F1588="","",IFERROR(INDEX(Items!$D$5:$D$597,MATCH($F1588,Items!$A$5:$A$597,0)),""))</f>
        <v>0.1</v>
      </c>
      <c r="L1588" s="21">
        <f t="shared" si="272"/>
        <v>8</v>
      </c>
      <c r="M1588" s="9" t="str">
        <f t="shared" si="270"/>
        <v>LYSL500290</v>
      </c>
      <c r="N1588" s="24">
        <f>IF($A1588="","",WORKDAY($A1588,Settings!$C$9,HolidayDates))</f>
        <v>46217</v>
      </c>
      <c r="O1588" s="24">
        <f>IF($N1588="","",WORKDAY($N1588,Settings!$C$10,HolidayDates))</f>
        <v>46255</v>
      </c>
      <c r="P1588" s="10" t="s">
        <v>501</v>
      </c>
      <c r="Q1588" s="52" t="str">
        <f t="shared" si="273"/>
        <v>Collected</v>
      </c>
      <c r="R1588" s="55" t="str">
        <f t="shared" si="274"/>
        <v>2026-07</v>
      </c>
      <c r="S1588" s="55">
        <f>IF(OR($B1588="",$F1588="",$R1588=""),"",SUMIFS(tblIssues[Qty Issued],tblIssues[Staff ID],$B1588,tblIssues[Item Name],$F1588,tblIssues[Month],$R1588))</f>
        <v>80</v>
      </c>
      <c r="T1588" s="56">
        <f>IF($I1588="","",$I1588*Settings!$C$11)</f>
        <v>80</v>
      </c>
      <c r="U1588" s="57" t="str">
        <f t="shared" si="271"/>
        <v>OK</v>
      </c>
      <c r="V1588" s="55" t="str">
        <f t="shared" si="275"/>
        <v/>
      </c>
      <c r="W1588" s="55" t="str">
        <f>IF($V1588="","",IF(COUNTIF($V$5:$V1588,$V1588)=1,1,""))</f>
        <v/>
      </c>
      <c r="X1588" s="58" t="str">
        <f>IF($W1588="","",MAX($X$4:X1587)+1)</f>
        <v/>
      </c>
      <c r="Y1588" s="62"/>
      <c r="Z1588" s="62"/>
      <c r="AA1588" s="64" t="str">
        <f>IF($C1588="","",IFERROR(INDEX('Staff Directory'!$E$5:$E$594,MATCH($C1588,'Staff Directory'!$B$5:$B$594,0)),""))</f>
        <v>firstname255.lastname255@example.com</v>
      </c>
      <c r="AB1588" s="64" t="str">
        <f>IF($C1588="","",IF(ISNUMBER(SEARCH($D1588,Settings!$C$15)),"Pickup","Dispatch"))</f>
        <v>Pickup</v>
      </c>
      <c r="AC1588" s="64" t="str">
        <f t="shared" si="276"/>
        <v>Supply order ready for pickup</v>
      </c>
      <c r="AD1588" s="64" t="str">
        <f t="shared" si="267"/>
        <v>Dear PSW,
Your order is ready for pickup from Sample Branch, Wed-Fri 9am-4pm.</v>
      </c>
      <c r="AE1588" s="64" t="str">
        <f t="shared" si="268"/>
        <v>mailto:firstname255.lastname255@example.com?subject=Supply%20order%20ready%20for%20pickup&amp;body=Dear%20PSW%2C%0A%0AYour%20order%20is%20ready%20for%20pickup%20from%20Sample%20Branch%2C%20Wed-Fri%209am-4pm.</v>
      </c>
      <c r="AF1588" s="89" t="str">
        <f t="shared" si="277"/>
        <v>Draft email</v>
      </c>
      <c r="AG1588" s="64" t="str">
        <f>IF($C1588="","",IFERROR(INDEX('Staff Directory'!$K$595:$K$599,MATCH($C1588,'Staff Directory'!$B$5:$B$599,0)),$D1588))</f>
        <v>PSW</v>
      </c>
      <c r="AH1588" t="str">
        <f>IF($C1588="","",IFERROR(INDEX('Staff Directory'!$I$595:$I$599,MATCH($C1588,'Staff Directory'!$B$5:$B$599,0))&amp;" "&amp;INDEX('Staff Directory'!$J$595:$J$599,MATCH($C1588,'Staff Directory'!$B$5:$B$599,0)),$AG1588))</f>
        <v>PSW</v>
      </c>
      <c r="AI1588" s="102"/>
      <c r="AJ1588" s="101">
        <f>IF($F1588="","",SUMIFS($J$5:$J1588,$F$5:$F1588,$F1588))</f>
        <v>21440</v>
      </c>
      <c r="AK1588" s="101">
        <f t="shared" si="269"/>
        <v>21361</v>
      </c>
      <c r="AL1588" s="66" t="str" cm="1">
        <f t="array" ref="AL1588">IF($F1588="","",IFERROR(INDEX('Lot Balance'!$B$5:$B$500,MATCH(1,INDEX(('Lot Balance'!$A$5:$A$500=$F1588)*('Lot Balance'!$K$5:$K$500&lt;$AK1588)*('Lot Balance'!$K$5:$K$500+'Lot Balance'!$D$5:$D$500&gt;=$AK1588),0),0)),""))</f>
        <v>LYSL500290</v>
      </c>
      <c r="AM1588" s="66" t="str" cm="1">
        <f t="array" ref="AM1588">IF($F1588="","",IFERROR(INDEX('Lot Balance'!$B$5:$B$500,MATCH(1,INDEX(('Lot Balance'!$A$5:$A$500=$F1588)*('Lot Balance'!$K$5:$K$500&lt;$AJ1588)*('Lot Balance'!$K$5:$K$500+'Lot Balance'!$D$5:$D$500&gt;=$AJ1588),0),0)),""))</f>
        <v>LYSL500290</v>
      </c>
      <c r="AN1588" s="66" t="str">
        <f>IF($F1588="","",IF($AI1588&lt;&gt;"",IF(COUNTIFS('Lot Balance'!$A$5:$A$500,$F1588,'Lot Balance'!$B$5:$B$500,$AI1588)=0,"⚠ override is not a lot of this item",IF($AI1588=$AL1588,"Override = FEFO","Override - FEFO says "&amp;$AL1588)),IF($AL1588="","⚠ no receipt on file for this item",IF($AM1588&lt;&gt;$AL1588,"FEFO auto - split, also "&amp;$AM1588,"FEFO auto"))))</f>
        <v>FEFO auto</v>
      </c>
      <c r="AO1588" s="114"/>
    </row>
    <row r="1589" spans="1:41" x14ac:dyDescent="0.35">
      <c r="A1589" s="74">
        <v>46209</v>
      </c>
      <c r="B1589" s="18" t="str">
        <f>IF($C1589="","",IFERROR(INDEX('Staff Directory'!$A$5:$A$594,MATCH($C1589,'Staff Directory'!$B$5:$B$594,0)),"⚠ unknown staff"))</f>
        <v>PSW-192-TBD</v>
      </c>
      <c r="C1589" s="49" t="s">
        <v>1171</v>
      </c>
      <c r="D1589" s="19" t="str">
        <f>IF($B1589="","",IFERROR(INDEX('Staff Directory'!$C$5:$C$594,MATCH($B1589,'Staff Directory'!$A$5:$A$594,0)),""))</f>
        <v>PSW</v>
      </c>
      <c r="E1589" s="19">
        <f>IF($B1589="","",IFERROR(INDEX('Staff Directory'!$D$5:$D$594,MATCH($B1589,'Staff Directory'!$A$5:$A$594,0)),""))</f>
        <v>0</v>
      </c>
      <c r="F1589" s="9" t="s">
        <v>104</v>
      </c>
      <c r="G1589" s="18" t="str">
        <f>IF($F1589="","",IFERROR(INDEX(Items!$B$5:$B$597,MATCH($F1589,Items!$A$5:$A$597,0)),"⚠ not in Items"))</f>
        <v>Masks</v>
      </c>
      <c r="H1589" s="19" t="str">
        <f>IF($F1589="","",IFERROR(INDEX(Items!$C$5:$C$597,MATCH($F1589,Items!$A$5:$A$597,0)),""))</f>
        <v>One Size</v>
      </c>
      <c r="I1589" s="23">
        <f>IF($F1589="","",IFERROR(INDEX(Items!$E$5:$E$597,MATCH($F1589,Items!$A$5:$A$597,0)),""))</f>
        <v>5</v>
      </c>
      <c r="J1589" s="115">
        <f>IF(tblIssues[[#This Row],[Qty Override]]&lt;&gt;"",tblIssues[[#This Row],[Qty Override]],IF(tblIssues[[#This Row],[Standard Issue]]="","",tblIssues[[#This Row],[Standard Issue]]))</f>
        <v>5</v>
      </c>
      <c r="K1589" s="20">
        <f>IF($F1589="","",IFERROR(INDEX(Items!$D$5:$D$597,MATCH($F1589,Items!$A$5:$A$597,0)),""))</f>
        <v>2.0499999999999998</v>
      </c>
      <c r="L1589" s="21">
        <f t="shared" si="272"/>
        <v>10.25</v>
      </c>
      <c r="M1589" s="9" t="str">
        <f t="shared" si="270"/>
        <v>N955003717</v>
      </c>
      <c r="N1589" s="24">
        <f>IF($A1589="","",WORKDAY($A1589,Settings!$C$9,HolidayDates))</f>
        <v>46217</v>
      </c>
      <c r="O1589" s="24">
        <f>IF($N1589="","",WORKDAY($N1589,Settings!$C$10,HolidayDates))</f>
        <v>46255</v>
      </c>
      <c r="P1589" s="10" t="s">
        <v>501</v>
      </c>
      <c r="Q1589" s="52" t="str">
        <f t="shared" si="273"/>
        <v>Collected</v>
      </c>
      <c r="R1589" s="55" t="str">
        <f t="shared" si="274"/>
        <v>2026-07</v>
      </c>
      <c r="S1589" s="55">
        <f>IF(OR($B1589="",$F1589="",$R1589=""),"",SUMIFS(tblIssues[Qty Issued],tblIssues[Staff ID],$B1589,tblIssues[Item Name],$F1589,tblIssues[Month],$R1589))</f>
        <v>5</v>
      </c>
      <c r="T1589" s="56">
        <f>IF($I1589="","",$I1589*Settings!$C$11)</f>
        <v>5</v>
      </c>
      <c r="U1589" s="57" t="str">
        <f t="shared" si="271"/>
        <v>OK</v>
      </c>
      <c r="V1589" s="55" t="str">
        <f t="shared" si="275"/>
        <v/>
      </c>
      <c r="W1589" s="55" t="str">
        <f>IF($V1589="","",IF(COUNTIF($V$5:$V1589,$V1589)=1,1,""))</f>
        <v/>
      </c>
      <c r="X1589" s="58" t="str">
        <f>IF($W1589="","",MAX($X$4:X1588)+1)</f>
        <v/>
      </c>
      <c r="Y1589" s="62"/>
      <c r="Z1589" s="62"/>
      <c r="AA1589" s="64" t="str">
        <f>IF($C1589="","",IFERROR(INDEX('Staff Directory'!$E$5:$E$594,MATCH($C1589,'Staff Directory'!$B$5:$B$594,0)),""))</f>
        <v>firstname255.lastname255@example.com</v>
      </c>
      <c r="AB1589" s="64" t="str">
        <f>IF($C1589="","",IF(ISNUMBER(SEARCH($D1589,Settings!$C$15)),"Pickup","Dispatch"))</f>
        <v>Pickup</v>
      </c>
      <c r="AC1589" s="64" t="str">
        <f t="shared" si="276"/>
        <v>Supply order ready for pickup</v>
      </c>
      <c r="AD1589" s="64" t="str">
        <f t="shared" si="267"/>
        <v>Dear PSW,
Your order is ready for pickup from Sample Branch, Wed-Fri 9am-4pm.</v>
      </c>
      <c r="AE1589" s="64" t="str">
        <f t="shared" si="268"/>
        <v>mailto:firstname255.lastname255@example.com?subject=Supply%20order%20ready%20for%20pickup&amp;body=Dear%20PSW%2C%0A%0AYour%20order%20is%20ready%20for%20pickup%20from%20Sample%20Branch%2C%20Wed-Fri%209am-4pm.</v>
      </c>
      <c r="AF1589" s="89" t="str">
        <f t="shared" si="277"/>
        <v>Draft email</v>
      </c>
      <c r="AG1589" s="64" t="str">
        <f>IF($C1589="","",IFERROR(INDEX('Staff Directory'!$K$595:$K$599,MATCH($C1589,'Staff Directory'!$B$5:$B$599,0)),$D1589))</f>
        <v>PSW</v>
      </c>
      <c r="AH1589" t="str">
        <f>IF($C1589="","",IFERROR(INDEX('Staff Directory'!$I$595:$I$599,MATCH($C1589,'Staff Directory'!$B$5:$B$599,0))&amp;" "&amp;INDEX('Staff Directory'!$J$595:$J$599,MATCH($C1589,'Staff Directory'!$B$5:$B$599,0)),$AG1589))</f>
        <v>PSW</v>
      </c>
      <c r="AI1589" s="102"/>
      <c r="AJ1589" s="101">
        <f>IF($F1589="","",SUMIFS($J$5:$J1589,$F$5:$F1589,$F1589))</f>
        <v>55</v>
      </c>
      <c r="AK1589" s="101">
        <f t="shared" si="269"/>
        <v>51</v>
      </c>
      <c r="AL1589" s="66" t="str" cm="1">
        <f t="array" ref="AL1589">IF($F1589="","",IFERROR(INDEX('Lot Balance'!$B$5:$B$500,MATCH(1,INDEX(('Lot Balance'!$A$5:$A$500=$F1589)*('Lot Balance'!$K$5:$K$500&lt;$AK1589)*('Lot Balance'!$K$5:$K$500+'Lot Balance'!$D$5:$D$500&gt;=$AK1589),0),0)),""))</f>
        <v>N955003717</v>
      </c>
      <c r="AM1589" s="66" t="str" cm="1">
        <f t="array" ref="AM1589">IF($F1589="","",IFERROR(INDEX('Lot Balance'!$B$5:$B$500,MATCH(1,INDEX(('Lot Balance'!$A$5:$A$500=$F1589)*('Lot Balance'!$K$5:$K$500&lt;$AJ1589)*('Lot Balance'!$K$5:$K$500+'Lot Balance'!$D$5:$D$500&gt;=$AJ1589),0),0)),""))</f>
        <v>N955003717</v>
      </c>
      <c r="AN1589" s="66" t="str">
        <f>IF($F1589="","",IF($AI1589&lt;&gt;"",IF(COUNTIFS('Lot Balance'!$A$5:$A$500,$F1589,'Lot Balance'!$B$5:$B$500,$AI1589)=0,"⚠ override is not a lot of this item",IF($AI1589=$AL1589,"Override = FEFO","Override - FEFO says "&amp;$AL1589)),IF($AL1589="","⚠ no receipt on file for this item",IF($AM1589&lt;&gt;$AL1589,"FEFO auto - split, also "&amp;$AM1589,"FEFO auto"))))</f>
        <v>FEFO auto</v>
      </c>
      <c r="AO1589" s="114"/>
    </row>
    <row r="1590" spans="1:41" x14ac:dyDescent="0.35">
      <c r="A1590" s="74">
        <v>46209</v>
      </c>
      <c r="B1590" s="18" t="str">
        <f>IF($C1590="","",IFERROR(INDEX('Staff Directory'!$A$5:$A$594,MATCH($C1590,'Staff Directory'!$B$5:$B$594,0)),"⚠ unknown staff"))</f>
        <v>PSW-192-TBD</v>
      </c>
      <c r="C1590" s="49" t="s">
        <v>1171</v>
      </c>
      <c r="D1590" s="19" t="str">
        <f>IF($B1590="","",IFERROR(INDEX('Staff Directory'!$C$5:$C$594,MATCH($B1590,'Staff Directory'!$A$5:$A$594,0)),""))</f>
        <v>PSW</v>
      </c>
      <c r="E1590" s="19">
        <f>IF($B1590="","",IFERROR(INDEX('Staff Directory'!$D$5:$D$594,MATCH($B1590,'Staff Directory'!$A$5:$A$594,0)),""))</f>
        <v>0</v>
      </c>
      <c r="F1590" s="9" t="s">
        <v>137</v>
      </c>
      <c r="G1590" s="18" t="str">
        <f>IF($F1590="","",IFERROR(INDEX(Items!$B$5:$B$597,MATCH($F1590,Items!$A$5:$A$597,0)),"⚠ not in Items"))</f>
        <v>Sanitizer</v>
      </c>
      <c r="H1590" s="19" t="str">
        <f>IF($F1590="","",IFERROR(INDEX(Items!$C$5:$C$597,MATCH($F1590,Items!$A$5:$A$597,0)),""))</f>
        <v>118 ML</v>
      </c>
      <c r="I1590" s="23">
        <f>IF($F1590="","",IFERROR(INDEX(Items!$E$5:$E$597,MATCH($F1590,Items!$A$5:$A$597,0)),""))</f>
        <v>2</v>
      </c>
      <c r="J1590" s="115">
        <f>IF(tblIssues[[#This Row],[Qty Override]]&lt;&gt;"",tblIssues[[#This Row],[Qty Override]],IF(tblIssues[[#This Row],[Standard Issue]]="","",tblIssues[[#This Row],[Standard Issue]]))</f>
        <v>2</v>
      </c>
      <c r="K1590" s="20">
        <f>IF($F1590="","",IFERROR(INDEX(Items!$D$5:$D$597,MATCH($F1590,Items!$A$5:$A$597,0)),""))</f>
        <v>4.49</v>
      </c>
      <c r="L1590" s="21">
        <f t="shared" si="272"/>
        <v>8.98</v>
      </c>
      <c r="M1590" s="9" t="str">
        <f t="shared" si="270"/>
        <v>563963-7</v>
      </c>
      <c r="N1590" s="24">
        <f>IF($A1590="","",WORKDAY($A1590,Settings!$C$9,HolidayDates))</f>
        <v>46217</v>
      </c>
      <c r="O1590" s="24">
        <f>IF($N1590="","",WORKDAY($N1590,Settings!$C$10,HolidayDates))</f>
        <v>46255</v>
      </c>
      <c r="P1590" s="10" t="s">
        <v>501</v>
      </c>
      <c r="Q1590" s="52" t="str">
        <f t="shared" si="273"/>
        <v>Collected</v>
      </c>
      <c r="R1590" s="55" t="str">
        <f t="shared" si="274"/>
        <v>2026-07</v>
      </c>
      <c r="S1590" s="55">
        <f>IF(OR($B1590="",$F1590="",$R1590=""),"",SUMIFS(tblIssues[Qty Issued],tblIssues[Staff ID],$B1590,tblIssues[Item Name],$F1590,tblIssues[Month],$R1590))</f>
        <v>2</v>
      </c>
      <c r="T1590" s="56">
        <f>IF($I1590="","",$I1590*Settings!$C$11)</f>
        <v>2</v>
      </c>
      <c r="U1590" s="57" t="str">
        <f t="shared" si="271"/>
        <v>OK</v>
      </c>
      <c r="V1590" s="55" t="str">
        <f t="shared" si="275"/>
        <v/>
      </c>
      <c r="W1590" s="55" t="str">
        <f>IF($V1590="","",IF(COUNTIF($V$5:$V1590,$V1590)=1,1,""))</f>
        <v/>
      </c>
      <c r="X1590" s="58" t="str">
        <f>IF($W1590="","",MAX($X$4:X1589)+1)</f>
        <v/>
      </c>
      <c r="Y1590" s="62"/>
      <c r="Z1590" s="62"/>
      <c r="AA1590" s="64" t="str">
        <f>IF($C1590="","",IFERROR(INDEX('Staff Directory'!$E$5:$E$594,MATCH($C1590,'Staff Directory'!$B$5:$B$594,0)),""))</f>
        <v>firstname255.lastname255@example.com</v>
      </c>
      <c r="AB1590" s="64" t="str">
        <f>IF($C1590="","",IF(ISNUMBER(SEARCH($D1590,Settings!$C$15)),"Pickup","Dispatch"))</f>
        <v>Pickup</v>
      </c>
      <c r="AC1590" s="64" t="str">
        <f t="shared" si="276"/>
        <v>Supply order ready for pickup</v>
      </c>
      <c r="AD1590" s="64" t="str">
        <f t="shared" si="267"/>
        <v>Dear PSW,
Your order is ready for pickup from Sample Branch, Wed-Fri 9am-4pm.</v>
      </c>
      <c r="AE1590" s="64" t="str">
        <f t="shared" si="268"/>
        <v>mailto:firstname255.lastname255@example.com?subject=Supply%20order%20ready%20for%20pickup&amp;body=Dear%20PSW%2C%0A%0AYour%20order%20is%20ready%20for%20pickup%20from%20Sample%20Branch%2C%20Wed-Fri%209am-4pm.</v>
      </c>
      <c r="AF1590" s="89" t="str">
        <f t="shared" si="277"/>
        <v>Draft email</v>
      </c>
      <c r="AG1590" s="64" t="str">
        <f>IF($C1590="","",IFERROR(INDEX('Staff Directory'!$K$595:$K$599,MATCH($C1590,'Staff Directory'!$B$5:$B$599,0)),$D1590))</f>
        <v>PSW</v>
      </c>
      <c r="AH1590" t="str">
        <f>IF($C1590="","",IFERROR(INDEX('Staff Directory'!$I$595:$I$599,MATCH($C1590,'Staff Directory'!$B$5:$B$599,0))&amp;" "&amp;INDEX('Staff Directory'!$J$595:$J$599,MATCH($C1590,'Staff Directory'!$B$5:$B$599,0)),$AG1590))</f>
        <v>PSW</v>
      </c>
      <c r="AI1590" s="102"/>
      <c r="AJ1590" s="101">
        <f>IF($F1590="","",SUMIFS($J$5:$J1590,$F$5:$F1590,$F1590))</f>
        <v>146</v>
      </c>
      <c r="AK1590" s="101">
        <f t="shared" si="269"/>
        <v>145</v>
      </c>
      <c r="AL1590" s="66" t="str" cm="1">
        <f t="array" ref="AL1590">IF($F1590="","",IFERROR(INDEX('Lot Balance'!$B$5:$B$500,MATCH(1,INDEX(('Lot Balance'!$A$5:$A$500=$F1590)*('Lot Balance'!$K$5:$K$500&lt;$AK1590)*('Lot Balance'!$K$5:$K$500+'Lot Balance'!$D$5:$D$500&gt;=$AK1590),0),0)),""))</f>
        <v>563963-7</v>
      </c>
      <c r="AM1590" s="66" t="str" cm="1">
        <f t="array" ref="AM1590">IF($F1590="","",IFERROR(INDEX('Lot Balance'!$B$5:$B$500,MATCH(1,INDEX(('Lot Balance'!$A$5:$A$500=$F1590)*('Lot Balance'!$K$5:$K$500&lt;$AJ1590)*('Lot Balance'!$K$5:$K$500+'Lot Balance'!$D$5:$D$500&gt;=$AJ1590),0),0)),""))</f>
        <v>563963-7</v>
      </c>
      <c r="AN1590" s="66" t="str">
        <f>IF($F1590="","",IF($AI1590&lt;&gt;"",IF(COUNTIFS('Lot Balance'!$A$5:$A$500,$F1590,'Lot Balance'!$B$5:$B$500,$AI1590)=0,"⚠ override is not a lot of this item",IF($AI1590=$AL1590,"Override = FEFO","Override - FEFO says "&amp;$AL1590)),IF($AL1590="","⚠ no receipt on file for this item",IF($AM1590&lt;&gt;$AL1590,"FEFO auto - split, also "&amp;$AM1590,"FEFO auto"))))</f>
        <v>FEFO auto</v>
      </c>
      <c r="AO1590" s="114"/>
    </row>
    <row r="1591" spans="1:41" x14ac:dyDescent="0.35">
      <c r="A1591" s="74">
        <v>46209</v>
      </c>
      <c r="B1591" s="18" t="str">
        <f>IF($C1591="","",IFERROR(INDEX('Staff Directory'!$A$5:$A$594,MATCH($C1591,'Staff Directory'!$B$5:$B$594,0)),"⚠ unknown staff"))</f>
        <v>PSW-192-TBD</v>
      </c>
      <c r="C1591" s="49" t="s">
        <v>1171</v>
      </c>
      <c r="D1591" s="19" t="str">
        <f>IF($B1591="","",IFERROR(INDEX('Staff Directory'!$C$5:$C$594,MATCH($B1591,'Staff Directory'!$A$5:$A$594,0)),""))</f>
        <v>PSW</v>
      </c>
      <c r="E1591" s="19">
        <f>IF($B1591="","",IFERROR(INDEX('Staff Directory'!$D$5:$D$594,MATCH($B1591,'Staff Directory'!$A$5:$A$594,0)),""))</f>
        <v>0</v>
      </c>
      <c r="F1591" s="9" t="s">
        <v>147</v>
      </c>
      <c r="G1591" s="18" t="str">
        <f>IF($F1591="","",IFERROR(INDEX(Items!$B$5:$B$597,MATCH($F1591,Items!$A$5:$A$597,0)),"⚠ not in Items"))</f>
        <v>Apparel</v>
      </c>
      <c r="H1591" s="19" t="str">
        <f>IF($F1591="","",IFERROR(INDEX(Items!$C$5:$C$597,MATCH($F1591,Items!$A$5:$A$597,0)),""))</f>
        <v>One Size</v>
      </c>
      <c r="I1591" s="23">
        <f>IF($F1591="","",IFERROR(INDEX(Items!$E$5:$E$597,MATCH($F1591,Items!$A$5:$A$597,0)),""))</f>
        <v>5</v>
      </c>
      <c r="J1591" s="115">
        <f>IF(tblIssues[[#This Row],[Qty Override]]&lt;&gt;"",tblIssues[[#This Row],[Qty Override]],IF(tblIssues[[#This Row],[Standard Issue]]="","",tblIssues[[#This Row],[Standard Issue]]))</f>
        <v>5</v>
      </c>
      <c r="K1591" s="20">
        <f>IF($F1591="","",IFERROR(INDEX(Items!$D$5:$D$597,MATCH($F1591,Items!$A$5:$A$597,0)),""))</f>
        <v>3</v>
      </c>
      <c r="L1591" s="21">
        <f t="shared" si="272"/>
        <v>15</v>
      </c>
      <c r="M1591" s="9" t="str">
        <f t="shared" si="270"/>
        <v>YG500280</v>
      </c>
      <c r="N1591" s="24">
        <f>IF($A1591="","",WORKDAY($A1591,Settings!$C$9,HolidayDates))</f>
        <v>46217</v>
      </c>
      <c r="O1591" s="24">
        <f>IF($N1591="","",WORKDAY($N1591,Settings!$C$10,HolidayDates))</f>
        <v>46255</v>
      </c>
      <c r="P1591" s="10" t="s">
        <v>501</v>
      </c>
      <c r="Q1591" s="52" t="str">
        <f t="shared" si="273"/>
        <v>Collected</v>
      </c>
      <c r="R1591" s="55" t="str">
        <f t="shared" si="274"/>
        <v>2026-07</v>
      </c>
      <c r="S1591" s="55">
        <f>IF(OR($B1591="",$F1591="",$R1591=""),"",SUMIFS(tblIssues[Qty Issued],tblIssues[Staff ID],$B1591,tblIssues[Item Name],$F1591,tblIssues[Month],$R1591))</f>
        <v>5</v>
      </c>
      <c r="T1591" s="56">
        <f>IF($I1591="","",$I1591*Settings!$C$11)</f>
        <v>5</v>
      </c>
      <c r="U1591" s="57" t="str">
        <f t="shared" si="271"/>
        <v>OK</v>
      </c>
      <c r="V1591" s="55" t="str">
        <f t="shared" si="275"/>
        <v/>
      </c>
      <c r="W1591" s="55" t="str">
        <f>IF($V1591="","",IF(COUNTIF($V$5:$V1591,$V1591)=1,1,""))</f>
        <v/>
      </c>
      <c r="X1591" s="58" t="str">
        <f>IF($W1591="","",MAX($X$4:X1590)+1)</f>
        <v/>
      </c>
      <c r="Y1591" s="62"/>
      <c r="Z1591" s="62"/>
      <c r="AA1591" s="64" t="str">
        <f>IF($C1591="","",IFERROR(INDEX('Staff Directory'!$E$5:$E$594,MATCH($C1591,'Staff Directory'!$B$5:$B$594,0)),""))</f>
        <v>firstname255.lastname255@example.com</v>
      </c>
      <c r="AB1591" s="64" t="str">
        <f>IF($C1591="","",IF(ISNUMBER(SEARCH($D1591,Settings!$C$15)),"Pickup","Dispatch"))</f>
        <v>Pickup</v>
      </c>
      <c r="AC1591" s="64" t="str">
        <f t="shared" si="276"/>
        <v>Supply order ready for pickup</v>
      </c>
      <c r="AD1591" s="64" t="str">
        <f t="shared" si="267"/>
        <v>Dear PSW,
Your order is ready for pickup from Sample Branch, Wed-Fri 9am-4pm.</v>
      </c>
      <c r="AE1591" s="64" t="str">
        <f t="shared" si="268"/>
        <v>mailto:firstname255.lastname255@example.com?subject=Supply%20order%20ready%20for%20pickup&amp;body=Dear%20PSW%2C%0A%0AYour%20order%20is%20ready%20for%20pickup%20from%20Sample%20Branch%2C%20Wed-Fri%209am-4pm.</v>
      </c>
      <c r="AF1591" s="89" t="str">
        <f t="shared" si="277"/>
        <v>Draft email</v>
      </c>
      <c r="AG1591" s="64" t="str">
        <f>IF($C1591="","",IFERROR(INDEX('Staff Directory'!$K$595:$K$599,MATCH($C1591,'Staff Directory'!$B$5:$B$599,0)),$D1591))</f>
        <v>PSW</v>
      </c>
      <c r="AH1591" t="str">
        <f>IF($C1591="","",IFERROR(INDEX('Staff Directory'!$I$595:$I$599,MATCH($C1591,'Staff Directory'!$B$5:$B$599,0))&amp;" "&amp;INDEX('Staff Directory'!$J$595:$J$599,MATCH($C1591,'Staff Directory'!$B$5:$B$599,0)),$AG1591))</f>
        <v>PSW</v>
      </c>
      <c r="AI1591" s="102"/>
      <c r="AJ1591" s="101">
        <f>IF($F1591="","",SUMIFS($J$5:$J1591,$F$5:$F1591,$F1591))</f>
        <v>210</v>
      </c>
      <c r="AK1591" s="101">
        <f t="shared" si="269"/>
        <v>206</v>
      </c>
      <c r="AL1591" s="66" t="str" cm="1">
        <f t="array" ref="AL1591">IF($F1591="","",IFERROR(INDEX('Lot Balance'!$B$5:$B$500,MATCH(1,INDEX(('Lot Balance'!$A$5:$A$500=$F1591)*('Lot Balance'!$K$5:$K$500&lt;$AK1591)*('Lot Balance'!$K$5:$K$500+'Lot Balance'!$D$5:$D$500&gt;=$AK1591),0),0)),""))</f>
        <v>YG500280</v>
      </c>
      <c r="AM1591" s="66" t="str" cm="1">
        <f t="array" ref="AM1591">IF($F1591="","",IFERROR(INDEX('Lot Balance'!$B$5:$B$500,MATCH(1,INDEX(('Lot Balance'!$A$5:$A$500=$F1591)*('Lot Balance'!$K$5:$K$500&lt;$AJ1591)*('Lot Balance'!$K$5:$K$500+'Lot Balance'!$D$5:$D$500&gt;=$AJ1591),0),0)),""))</f>
        <v>YG500280</v>
      </c>
      <c r="AN1591" s="66" t="str">
        <f>IF($F1591="","",IF($AI1591&lt;&gt;"",IF(COUNTIFS('Lot Balance'!$A$5:$A$500,$F1591,'Lot Balance'!$B$5:$B$500,$AI1591)=0,"⚠ override is not a lot of this item",IF($AI1591=$AL1591,"Override = FEFO","Override - FEFO says "&amp;$AL1591)),IF($AL1591="","⚠ no receipt on file for this item",IF($AM1591&lt;&gt;$AL1591,"FEFO auto - split, also "&amp;$AM1591,"FEFO auto"))))</f>
        <v>FEFO auto</v>
      </c>
      <c r="AO1591" s="114"/>
    </row>
    <row r="1592" spans="1:41" x14ac:dyDescent="0.35">
      <c r="A1592" s="74">
        <v>46209</v>
      </c>
      <c r="B1592" s="18" t="str">
        <f>IF($C1592="","",IFERROR(INDEX('Staff Directory'!$A$5:$A$594,MATCH($C1592,'Staff Directory'!$B$5:$B$594,0)),"⚠ unknown staff"))</f>
        <v>PSW-192-TBD</v>
      </c>
      <c r="C1592" s="49" t="s">
        <v>1171</v>
      </c>
      <c r="D1592" s="19" t="str">
        <f>IF($B1592="","",IFERROR(INDEX('Staff Directory'!$C$5:$C$594,MATCH($B1592,'Staff Directory'!$A$5:$A$594,0)),""))</f>
        <v>PSW</v>
      </c>
      <c r="E1592" s="19">
        <f>IF($B1592="","",IFERROR(INDEX('Staff Directory'!$D$5:$D$594,MATCH($B1592,'Staff Directory'!$A$5:$A$594,0)),""))</f>
        <v>0</v>
      </c>
      <c r="F1592" s="9" t="s">
        <v>145</v>
      </c>
      <c r="G1592" s="18" t="str">
        <f>IF($F1592="","",IFERROR(INDEX(Items!$B$5:$B$597,MATCH($F1592,Items!$A$5:$A$597,0)),"⚠ not in Items"))</f>
        <v>Apparel</v>
      </c>
      <c r="H1592" s="19" t="str">
        <f>IF($F1592="","",IFERROR(INDEX(Items!$C$5:$C$597,MATCH($F1592,Items!$A$5:$A$597,0)),""))</f>
        <v>One Size</v>
      </c>
      <c r="I1592" s="23">
        <f>IF($F1592="","",IFERROR(INDEX(Items!$E$5:$E$597,MATCH($F1592,Items!$A$5:$A$597,0)),""))</f>
        <v>5</v>
      </c>
      <c r="J1592" s="115">
        <f>IF(tblIssues[[#This Row],[Qty Override]]&lt;&gt;"",tblIssues[[#This Row],[Qty Override]],IF(tblIssues[[#This Row],[Standard Issue]]="","",tblIssues[[#This Row],[Standard Issue]]))</f>
        <v>5</v>
      </c>
      <c r="K1592" s="20">
        <f>IF($F1592="","",IFERROR(INDEX(Items!$D$5:$D$597,MATCH($F1592,Items!$A$5:$A$597,0)),""))</f>
        <v>3</v>
      </c>
      <c r="L1592" s="21">
        <f t="shared" si="272"/>
        <v>15</v>
      </c>
      <c r="M1592" s="9" t="str">
        <f t="shared" si="270"/>
        <v>WRB500270</v>
      </c>
      <c r="N1592" s="24">
        <f>IF($A1592="","",WORKDAY($A1592,Settings!$C$9,HolidayDates))</f>
        <v>46217</v>
      </c>
      <c r="O1592" s="24">
        <f>IF($N1592="","",WORKDAY($N1592,Settings!$C$10,HolidayDates))</f>
        <v>46255</v>
      </c>
      <c r="P1592" s="10" t="s">
        <v>501</v>
      </c>
      <c r="Q1592" s="52" t="str">
        <f t="shared" si="273"/>
        <v>Collected</v>
      </c>
      <c r="R1592" s="55" t="str">
        <f t="shared" si="274"/>
        <v>2026-07</v>
      </c>
      <c r="S1592" s="55">
        <f>IF(OR($B1592="",$F1592="",$R1592=""),"",SUMIFS(tblIssues[Qty Issued],tblIssues[Staff ID],$B1592,tblIssues[Item Name],$F1592,tblIssues[Month],$R1592))</f>
        <v>5</v>
      </c>
      <c r="T1592" s="56">
        <f>IF($I1592="","",$I1592*Settings!$C$11)</f>
        <v>5</v>
      </c>
      <c r="U1592" s="57" t="str">
        <f t="shared" si="271"/>
        <v>OK</v>
      </c>
      <c r="V1592" s="55" t="str">
        <f t="shared" si="275"/>
        <v/>
      </c>
      <c r="W1592" s="55" t="str">
        <f>IF($V1592="","",IF(COUNTIF($V$5:$V1592,$V1592)=1,1,""))</f>
        <v/>
      </c>
      <c r="X1592" s="58" t="str">
        <f>IF($W1592="","",MAX($X$4:X1591)+1)</f>
        <v/>
      </c>
      <c r="Y1592" s="62"/>
      <c r="Z1592" s="62"/>
      <c r="AA1592" s="64" t="str">
        <f>IF($C1592="","",IFERROR(INDEX('Staff Directory'!$E$5:$E$594,MATCH($C1592,'Staff Directory'!$B$5:$B$594,0)),""))</f>
        <v>firstname255.lastname255@example.com</v>
      </c>
      <c r="AB1592" s="64" t="str">
        <f>IF($C1592="","",IF(ISNUMBER(SEARCH($D1592,Settings!$C$15)),"Pickup","Dispatch"))</f>
        <v>Pickup</v>
      </c>
      <c r="AC1592" s="64" t="str">
        <f t="shared" si="276"/>
        <v>Supply order ready for pickup</v>
      </c>
      <c r="AD1592" s="64" t="str">
        <f t="shared" si="267"/>
        <v>Dear PSW,
Your order is ready for pickup from Sample Branch, Wed-Fri 9am-4pm.</v>
      </c>
      <c r="AE1592" s="64" t="str">
        <f t="shared" si="268"/>
        <v>mailto:firstname255.lastname255@example.com?subject=Supply%20order%20ready%20for%20pickup&amp;body=Dear%20PSW%2C%0A%0AYour%20order%20is%20ready%20for%20pickup%20from%20Sample%20Branch%2C%20Wed-Fri%209am-4pm.</v>
      </c>
      <c r="AF1592" s="89" t="str">
        <f t="shared" si="277"/>
        <v>Draft email</v>
      </c>
      <c r="AG1592" s="64" t="str">
        <f>IF($C1592="","",IFERROR(INDEX('Staff Directory'!$K$595:$K$599,MATCH($C1592,'Staff Directory'!$B$5:$B$599,0)),$D1592))</f>
        <v>PSW</v>
      </c>
      <c r="AH1592" t="str">
        <f>IF($C1592="","",IFERROR(INDEX('Staff Directory'!$I$595:$I$599,MATCH($C1592,'Staff Directory'!$B$5:$B$599,0))&amp;" "&amp;INDEX('Staff Directory'!$J$595:$J$599,MATCH($C1592,'Staff Directory'!$B$5:$B$599,0)),$AG1592))</f>
        <v>PSW</v>
      </c>
      <c r="AI1592" s="102"/>
      <c r="AJ1592" s="101">
        <f>IF($F1592="","",SUMIFS($J$5:$J1592,$F$5:$F1592,$F1592))</f>
        <v>85</v>
      </c>
      <c r="AK1592" s="101">
        <f t="shared" si="269"/>
        <v>81</v>
      </c>
      <c r="AL1592" s="66" t="str" cm="1">
        <f t="array" ref="AL1592">IF($F1592="","",IFERROR(INDEX('Lot Balance'!$B$5:$B$500,MATCH(1,INDEX(('Lot Balance'!$A$5:$A$500=$F1592)*('Lot Balance'!$K$5:$K$500&lt;$AK1592)*('Lot Balance'!$K$5:$K$500+'Lot Balance'!$D$5:$D$500&gt;=$AK1592),0),0)),""))</f>
        <v>WRB500270</v>
      </c>
      <c r="AM1592" s="66" t="str" cm="1">
        <f t="array" ref="AM1592">IF($F1592="","",IFERROR(INDEX('Lot Balance'!$B$5:$B$500,MATCH(1,INDEX(('Lot Balance'!$A$5:$A$500=$F1592)*('Lot Balance'!$K$5:$K$500&lt;$AJ1592)*('Lot Balance'!$K$5:$K$500+'Lot Balance'!$D$5:$D$500&gt;=$AJ1592),0),0)),""))</f>
        <v>WRB500270</v>
      </c>
      <c r="AN1592" s="66" t="str">
        <f>IF($F1592="","",IF($AI1592&lt;&gt;"",IF(COUNTIFS('Lot Balance'!$A$5:$A$500,$F1592,'Lot Balance'!$B$5:$B$500,$AI1592)=0,"⚠ override is not a lot of this item",IF($AI1592=$AL1592,"Override = FEFO","Override - FEFO says "&amp;$AL1592)),IF($AL1592="","⚠ no receipt on file for this item",IF($AM1592&lt;&gt;$AL1592,"FEFO auto - split, also "&amp;$AM1592,"FEFO auto"))))</f>
        <v>FEFO auto</v>
      </c>
      <c r="AO1592" s="114"/>
    </row>
    <row r="1593" spans="1:41" x14ac:dyDescent="0.35">
      <c r="A1593" s="74">
        <v>46209</v>
      </c>
      <c r="B1593" s="18" t="str">
        <f>IF($C1593="","",IFERROR(INDEX('Staff Directory'!$A$5:$A$594,MATCH($C1593,'Staff Directory'!$B$5:$B$594,0)),"⚠ unknown staff"))</f>
        <v>PSW-192-TBD</v>
      </c>
      <c r="C1593" s="49" t="s">
        <v>1171</v>
      </c>
      <c r="D1593" s="19" t="str">
        <f>IF($B1593="","",IFERROR(INDEX('Staff Directory'!$C$5:$C$594,MATCH($B1593,'Staff Directory'!$A$5:$A$594,0)),""))</f>
        <v>PSW</v>
      </c>
      <c r="E1593" s="19">
        <f>IF($B1593="","",IFERROR(INDEX('Staff Directory'!$D$5:$D$594,MATCH($B1593,'Staff Directory'!$A$5:$A$594,0)),""))</f>
        <v>0</v>
      </c>
      <c r="F1593" s="9" t="s">
        <v>144</v>
      </c>
      <c r="G1593" s="18" t="str">
        <f>IF($F1593="","",IFERROR(INDEX(Items!$B$5:$B$597,MATCH($F1593,Items!$A$5:$A$597,0)),"⚠ not in Items"))</f>
        <v>IPAC</v>
      </c>
      <c r="H1593" s="19" t="str">
        <f>IF($F1593="","",IFERROR(INDEX(Items!$C$5:$C$597,MATCH($F1593,Items!$A$5:$A$597,0)),""))</f>
        <v>One Size</v>
      </c>
      <c r="I1593" s="23">
        <f>IF($F1593="","",IFERROR(INDEX(Items!$E$5:$E$597,MATCH($F1593,Items!$A$5:$A$597,0)),""))</f>
        <v>4</v>
      </c>
      <c r="J1593" s="115">
        <f>IF(tblIssues[[#This Row],[Qty Override]]&lt;&gt;"",tblIssues[[#This Row],[Qty Override]],IF(tblIssues[[#This Row],[Standard Issue]]="","",tblIssues[[#This Row],[Standard Issue]]))</f>
        <v>4</v>
      </c>
      <c r="K1593" s="20">
        <f>IF($F1593="","",IFERROR(INDEX(Items!$D$5:$D$597,MATCH($F1593,Items!$A$5:$A$597,0)),""))</f>
        <v>145.97999999999999</v>
      </c>
      <c r="L1593" s="21">
        <f t="shared" si="272"/>
        <v>583.91999999999996</v>
      </c>
      <c r="M1593" s="9" t="str">
        <f t="shared" si="270"/>
        <v/>
      </c>
      <c r="N1593" s="24">
        <f>IF($A1593="","",WORKDAY($A1593,Settings!$C$9,HolidayDates))</f>
        <v>46217</v>
      </c>
      <c r="O1593" s="24">
        <f>IF($N1593="","",WORKDAY($N1593,Settings!$C$10,HolidayDates))</f>
        <v>46255</v>
      </c>
      <c r="P1593" s="10" t="s">
        <v>501</v>
      </c>
      <c r="Q1593" s="52" t="str">
        <f t="shared" si="273"/>
        <v>Collected</v>
      </c>
      <c r="R1593" s="55" t="str">
        <f t="shared" si="274"/>
        <v>2026-07</v>
      </c>
      <c r="S1593" s="55">
        <f>IF(OR($B1593="",$F1593="",$R1593=""),"",SUMIFS(tblIssues[Qty Issued],tblIssues[Staff ID],$B1593,tblIssues[Item Name],$F1593,tblIssues[Month],$R1593))</f>
        <v>4</v>
      </c>
      <c r="T1593" s="56">
        <f>IF($I1593="","",$I1593*Settings!$C$11)</f>
        <v>4</v>
      </c>
      <c r="U1593" s="57" t="str">
        <f t="shared" si="271"/>
        <v>OK</v>
      </c>
      <c r="V1593" s="55" t="str">
        <f t="shared" si="275"/>
        <v/>
      </c>
      <c r="W1593" s="55" t="str">
        <f>IF($V1593="","",IF(COUNTIF($V$5:$V1593,$V1593)=1,1,""))</f>
        <v/>
      </c>
      <c r="X1593" s="58" t="str">
        <f>IF($W1593="","",MAX($X$4:X1592)+1)</f>
        <v/>
      </c>
      <c r="Y1593" s="62"/>
      <c r="Z1593" s="62"/>
      <c r="AA1593" s="64" t="str">
        <f>IF($C1593="","",IFERROR(INDEX('Staff Directory'!$E$5:$E$594,MATCH($C1593,'Staff Directory'!$B$5:$B$594,0)),""))</f>
        <v>firstname255.lastname255@example.com</v>
      </c>
      <c r="AB1593" s="64" t="str">
        <f>IF($C1593="","",IF(ISNUMBER(SEARCH($D1593,Settings!$C$15)),"Pickup","Dispatch"))</f>
        <v>Pickup</v>
      </c>
      <c r="AC1593" s="64" t="str">
        <f t="shared" si="276"/>
        <v>Supply order ready for pickup</v>
      </c>
      <c r="AD1593" s="64" t="str">
        <f t="shared" si="267"/>
        <v>Dear PSW,
Your order is ready for pickup from Sample Branch, Wed-Fri 9am-4pm.</v>
      </c>
      <c r="AE1593" s="64" t="str">
        <f t="shared" si="268"/>
        <v>mailto:firstname255.lastname255@example.com?subject=Supply%20order%20ready%20for%20pickup&amp;body=Dear%20PSW%2C%0A%0AYour%20order%20is%20ready%20for%20pickup%20from%20Sample%20Branch%2C%20Wed-Fri%209am-4pm.</v>
      </c>
      <c r="AF1593" s="89" t="str">
        <f t="shared" si="277"/>
        <v>Draft email</v>
      </c>
      <c r="AG1593" s="64" t="str">
        <f>IF($C1593="","",IFERROR(INDEX('Staff Directory'!$K$595:$K$599,MATCH($C1593,'Staff Directory'!$B$5:$B$599,0)),$D1593))</f>
        <v>PSW</v>
      </c>
      <c r="AH1593" t="str">
        <f>IF($C1593="","",IFERROR(INDEX('Staff Directory'!$I$595:$I$599,MATCH($C1593,'Staff Directory'!$B$5:$B$599,0))&amp;" "&amp;INDEX('Staff Directory'!$J$595:$J$599,MATCH($C1593,'Staff Directory'!$B$5:$B$599,0)),$AG1593))</f>
        <v>PSW</v>
      </c>
      <c r="AI1593" s="102"/>
      <c r="AJ1593" s="101">
        <f>IF($F1593="","",SUMIFS($J$5:$J1593,$F$5:$F1593,$F1593))</f>
        <v>84</v>
      </c>
      <c r="AK1593" s="101">
        <f t="shared" si="269"/>
        <v>81</v>
      </c>
      <c r="AL1593" s="66" t="str" cm="1">
        <f t="array" ref="AL1593">IF($F1593="","",IFERROR(INDEX('Lot Balance'!$B$5:$B$500,MATCH(1,INDEX(('Lot Balance'!$A$5:$A$500=$F1593)*('Lot Balance'!$K$5:$K$500&lt;$AK1593)*('Lot Balance'!$K$5:$K$500+'Lot Balance'!$D$5:$D$500&gt;=$AK1593),0),0)),""))</f>
        <v/>
      </c>
      <c r="AM1593" s="66" t="str" cm="1">
        <f t="array" ref="AM1593">IF($F1593="","",IFERROR(INDEX('Lot Balance'!$B$5:$B$500,MATCH(1,INDEX(('Lot Balance'!$A$5:$A$500=$F1593)*('Lot Balance'!$K$5:$K$500&lt;$AJ1593)*('Lot Balance'!$K$5:$K$500+'Lot Balance'!$D$5:$D$500&gt;=$AJ1593),0),0)),""))</f>
        <v/>
      </c>
      <c r="AN1593" s="66" t="str">
        <f>IF($F1593="","",IF($AI1593&lt;&gt;"",IF(COUNTIFS('Lot Balance'!$A$5:$A$500,$F1593,'Lot Balance'!$B$5:$B$500,$AI1593)=0,"⚠ override is not a lot of this item",IF($AI1593=$AL1593,"Override = FEFO","Override - FEFO says "&amp;$AL1593)),IF($AL1593="","⚠ no receipt on file for this item",IF($AM1593&lt;&gt;$AL1593,"FEFO auto - split, also "&amp;$AM1593,"FEFO auto"))))</f>
        <v>⚠ no receipt on file for this item</v>
      </c>
      <c r="AO1593" s="114"/>
    </row>
    <row r="1594" spans="1:41" x14ac:dyDescent="0.35">
      <c r="A1594" s="74">
        <v>46209</v>
      </c>
      <c r="B1594" s="18" t="str">
        <f>IF($C1594="","",IFERROR(INDEX('Staff Directory'!$A$5:$A$594,MATCH($C1594,'Staff Directory'!$B$5:$B$594,0)),"⚠ unknown staff"))</f>
        <v>PSW-192-TBD</v>
      </c>
      <c r="C1594" s="49" t="s">
        <v>1171</v>
      </c>
      <c r="D1594" s="19" t="str">
        <f>IF($B1594="","",IFERROR(INDEX('Staff Directory'!$C$5:$C$594,MATCH($B1594,'Staff Directory'!$A$5:$A$594,0)),""))</f>
        <v>PSW</v>
      </c>
      <c r="E1594" s="19">
        <f>IF($B1594="","",IFERROR(INDEX('Staff Directory'!$D$5:$D$594,MATCH($B1594,'Staff Directory'!$A$5:$A$594,0)),""))</f>
        <v>0</v>
      </c>
      <c r="F1594" s="9" t="s">
        <v>154</v>
      </c>
      <c r="G1594" s="18" t="str">
        <f>IF($F1594="","",IFERROR(INDEX(Items!$B$5:$B$597,MATCH($F1594,Items!$A$5:$A$597,0)),"⚠ not in Items"))</f>
        <v>IPAC</v>
      </c>
      <c r="H1594" s="19" t="str">
        <f>IF($F1594="","",IFERROR(INDEX(Items!$C$5:$C$597,MATCH($F1594,Items!$A$5:$A$597,0)),""))</f>
        <v>Regular</v>
      </c>
      <c r="I1594" s="23">
        <f>IF($F1594="","",IFERROR(INDEX(Items!$E$5:$E$597,MATCH($F1594,Items!$A$5:$A$597,0)),""))</f>
        <v>50</v>
      </c>
      <c r="J1594" s="115">
        <f>IF(tblIssues[[#This Row],[Qty Override]]&lt;&gt;"",tblIssues[[#This Row],[Qty Override]],IF(tblIssues[[#This Row],[Standard Issue]]="","",tblIssues[[#This Row],[Standard Issue]]))</f>
        <v>50</v>
      </c>
      <c r="K1594" s="20">
        <f>IF($F1594="","",IFERROR(INDEX(Items!$D$5:$D$597,MATCH($F1594,Items!$A$5:$A$597,0)),""))</f>
        <v>0.2</v>
      </c>
      <c r="L1594" s="21">
        <f t="shared" si="272"/>
        <v>10</v>
      </c>
      <c r="M1594" s="9" t="str">
        <f t="shared" si="270"/>
        <v/>
      </c>
      <c r="N1594" s="24">
        <f>IF($A1594="","",WORKDAY($A1594,Settings!$C$9,HolidayDates))</f>
        <v>46217</v>
      </c>
      <c r="O1594" s="24">
        <f>IF($N1594="","",WORKDAY($N1594,Settings!$C$10,HolidayDates))</f>
        <v>46255</v>
      </c>
      <c r="P1594" s="10" t="s">
        <v>501</v>
      </c>
      <c r="Q1594" s="52" t="str">
        <f t="shared" si="273"/>
        <v>Collected</v>
      </c>
      <c r="R1594" s="55" t="str">
        <f t="shared" si="274"/>
        <v>2026-07</v>
      </c>
      <c r="S1594" s="55">
        <f>IF(OR($B1594="",$F1594="",$R1594=""),"",SUMIFS(tblIssues[Qty Issued],tblIssues[Staff ID],$B1594,tblIssues[Item Name],$F1594,tblIssues[Month],$R1594))</f>
        <v>50</v>
      </c>
      <c r="T1594" s="56">
        <f>IF($I1594="","",$I1594*Settings!$C$11)</f>
        <v>50</v>
      </c>
      <c r="U1594" s="57" t="str">
        <f t="shared" si="271"/>
        <v>OK</v>
      </c>
      <c r="V1594" s="55" t="str">
        <f t="shared" si="275"/>
        <v/>
      </c>
      <c r="W1594" s="55" t="str">
        <f>IF($V1594="","",IF(COUNTIF($V$5:$V1594,$V1594)=1,1,""))</f>
        <v/>
      </c>
      <c r="X1594" s="58" t="str">
        <f>IF($W1594="","",MAX($X$4:X1593)+1)</f>
        <v/>
      </c>
      <c r="Y1594" s="62"/>
      <c r="Z1594" s="62"/>
      <c r="AA1594" s="64" t="str">
        <f>IF($C1594="","",IFERROR(INDEX('Staff Directory'!$E$5:$E$594,MATCH($C1594,'Staff Directory'!$B$5:$B$594,0)),""))</f>
        <v>firstname255.lastname255@example.com</v>
      </c>
      <c r="AB1594" s="64" t="str">
        <f>IF($C1594="","",IF(ISNUMBER(SEARCH($D1594,Settings!$C$15)),"Pickup","Dispatch"))</f>
        <v>Pickup</v>
      </c>
      <c r="AC1594" s="64" t="str">
        <f t="shared" si="276"/>
        <v>Supply order ready for pickup</v>
      </c>
      <c r="AD1594" s="64" t="str">
        <f t="shared" si="267"/>
        <v>Dear PSW,
Your order is ready for pickup from Sample Branch, Wed-Fri 9am-4pm.</v>
      </c>
      <c r="AE1594" s="64" t="str">
        <f t="shared" si="268"/>
        <v>mailto:firstname255.lastname255@example.com?subject=Supply%20order%20ready%20for%20pickup&amp;body=Dear%20PSW%2C%0A%0AYour%20order%20is%20ready%20for%20pickup%20from%20Sample%20Branch%2C%20Wed-Fri%209am-4pm.</v>
      </c>
      <c r="AF1594" s="89" t="str">
        <f t="shared" si="277"/>
        <v>Draft email</v>
      </c>
      <c r="AG1594" s="64" t="str">
        <f>IF($C1594="","",IFERROR(INDEX('Staff Directory'!$K$595:$K$599,MATCH($C1594,'Staff Directory'!$B$5:$B$599,0)),$D1594))</f>
        <v>PSW</v>
      </c>
      <c r="AH1594" t="str">
        <f>IF($C1594="","",IFERROR(INDEX('Staff Directory'!$I$595:$I$599,MATCH($C1594,'Staff Directory'!$B$5:$B$599,0))&amp;" "&amp;INDEX('Staff Directory'!$J$595:$J$599,MATCH($C1594,'Staff Directory'!$B$5:$B$599,0)),$AG1594))</f>
        <v>PSW</v>
      </c>
      <c r="AI1594" s="102"/>
      <c r="AJ1594" s="101">
        <f>IF($F1594="","",SUMIFS($J$5:$J1594,$F$5:$F1594,$F1594))</f>
        <v>1650</v>
      </c>
      <c r="AK1594" s="101">
        <f t="shared" si="269"/>
        <v>1601</v>
      </c>
      <c r="AL1594" s="66" t="str" cm="1">
        <f t="array" ref="AL1594">IF($F1594="","",IFERROR(INDEX('Lot Balance'!$B$5:$B$500,MATCH(1,INDEX(('Lot Balance'!$A$5:$A$500=$F1594)*('Lot Balance'!$K$5:$K$500&lt;$AK1594)*('Lot Balance'!$K$5:$K$500+'Lot Balance'!$D$5:$D$500&gt;=$AK1594),0),0)),""))</f>
        <v/>
      </c>
      <c r="AM1594" s="66" t="str" cm="1">
        <f t="array" ref="AM1594">IF($F1594="","",IFERROR(INDEX('Lot Balance'!$B$5:$B$500,MATCH(1,INDEX(('Lot Balance'!$A$5:$A$500=$F1594)*('Lot Balance'!$K$5:$K$500&lt;$AJ1594)*('Lot Balance'!$K$5:$K$500+'Lot Balance'!$D$5:$D$500&gt;=$AJ1594),0),0)),""))</f>
        <v/>
      </c>
      <c r="AN1594" s="66" t="str">
        <f>IF($F1594="","",IF($AI1594&lt;&gt;"",IF(COUNTIFS('Lot Balance'!$A$5:$A$500,$F1594,'Lot Balance'!$B$5:$B$500,$AI1594)=0,"⚠ override is not a lot of this item",IF($AI1594=$AL1594,"Override = FEFO","Override - FEFO says "&amp;$AL1594)),IF($AL1594="","⚠ no receipt on file for this item",IF($AM1594&lt;&gt;$AL1594,"FEFO auto - split, also "&amp;$AM1594,"FEFO auto"))))</f>
        <v>⚠ no receipt on file for this item</v>
      </c>
      <c r="AO1594" s="114"/>
    </row>
    <row r="1595" spans="1:41" x14ac:dyDescent="0.35">
      <c r="A1595" s="74">
        <v>46209</v>
      </c>
      <c r="B1595" s="18" t="str">
        <f>IF($C1595="","",IFERROR(INDEX('Staff Directory'!$A$5:$A$594,MATCH($C1595,'Staff Directory'!$B$5:$B$594,0)),"⚠ unknown staff"))</f>
        <v>PSW-192-TBD</v>
      </c>
      <c r="C1595" s="49" t="s">
        <v>1171</v>
      </c>
      <c r="D1595" s="19" t="str">
        <f>IF($B1595="","",IFERROR(INDEX('Staff Directory'!$C$5:$C$594,MATCH($B1595,'Staff Directory'!$A$5:$A$594,0)),""))</f>
        <v>PSW</v>
      </c>
      <c r="E1595" s="19">
        <f>IF($B1595="","",IFERROR(INDEX('Staff Directory'!$D$5:$D$594,MATCH($B1595,'Staff Directory'!$A$5:$A$594,0)),""))</f>
        <v>0</v>
      </c>
      <c r="F1595" s="9" t="s">
        <v>136</v>
      </c>
      <c r="G1595" s="18" t="str">
        <f>IF($F1595="","",IFERROR(INDEX(Items!$B$5:$B$597,MATCH($F1595,Items!$A$5:$A$597,0)),"⚠ not in Items"))</f>
        <v>Eye Protection</v>
      </c>
      <c r="H1595" s="19" t="str">
        <f>IF($F1595="","",IFERROR(INDEX(Items!$C$5:$C$597,MATCH($F1595,Items!$A$5:$A$597,0)),""))</f>
        <v>One Size</v>
      </c>
      <c r="I1595" s="23">
        <f>IF($F1595="","",IFERROR(INDEX(Items!$E$5:$E$597,MATCH($F1595,Items!$A$5:$A$597,0)),""))</f>
        <v>1</v>
      </c>
      <c r="J1595" s="115">
        <f>IF(tblIssues[[#This Row],[Qty Override]]&lt;&gt;"",tblIssues[[#This Row],[Qty Override]],IF(tblIssues[[#This Row],[Standard Issue]]="","",tblIssues[[#This Row],[Standard Issue]]))</f>
        <v>1</v>
      </c>
      <c r="K1595" s="20">
        <f>IF($F1595="","",IFERROR(INDEX(Items!$D$5:$D$597,MATCH($F1595,Items!$A$5:$A$597,0)),""))</f>
        <v>10</v>
      </c>
      <c r="L1595" s="21">
        <f t="shared" si="272"/>
        <v>10</v>
      </c>
      <c r="M1595" s="9" t="str">
        <f t="shared" si="270"/>
        <v>GGL5003700</v>
      </c>
      <c r="N1595" s="24">
        <f>IF($A1595="","",WORKDAY($A1595,Settings!$C$9,HolidayDates))</f>
        <v>46217</v>
      </c>
      <c r="O1595" s="24">
        <f>IF($N1595="","",WORKDAY($N1595,Settings!$C$10,HolidayDates))</f>
        <v>46255</v>
      </c>
      <c r="P1595" s="10" t="s">
        <v>501</v>
      </c>
      <c r="Q1595" s="52" t="str">
        <f t="shared" si="273"/>
        <v>Collected</v>
      </c>
      <c r="R1595" s="55" t="str">
        <f t="shared" si="274"/>
        <v>2026-07</v>
      </c>
      <c r="S1595" s="55">
        <f>IF(OR($B1595="",$F1595="",$R1595=""),"",SUMIFS(tblIssues[Qty Issued],tblIssues[Staff ID],$B1595,tblIssues[Item Name],$F1595,tblIssues[Month],$R1595))</f>
        <v>1</v>
      </c>
      <c r="T1595" s="56">
        <f>IF($I1595="","",$I1595*Settings!$C$11)</f>
        <v>1</v>
      </c>
      <c r="U1595" s="57" t="str">
        <f t="shared" si="271"/>
        <v>OK</v>
      </c>
      <c r="V1595" s="55" t="str">
        <f t="shared" si="275"/>
        <v/>
      </c>
      <c r="W1595" s="55" t="str">
        <f>IF($V1595="","",IF(COUNTIF($V$5:$V1595,$V1595)=1,1,""))</f>
        <v/>
      </c>
      <c r="X1595" s="58" t="str">
        <f>IF($W1595="","",MAX($X$4:X1594)+1)</f>
        <v/>
      </c>
      <c r="Y1595" s="62"/>
      <c r="Z1595" s="62"/>
      <c r="AA1595" s="64" t="str">
        <f>IF($C1595="","",IFERROR(INDEX('Staff Directory'!$E$5:$E$594,MATCH($C1595,'Staff Directory'!$B$5:$B$594,0)),""))</f>
        <v>firstname255.lastname255@example.com</v>
      </c>
      <c r="AB1595" s="64" t="str">
        <f>IF($C1595="","",IF(ISNUMBER(SEARCH($D1595,Settings!$C$15)),"Pickup","Dispatch"))</f>
        <v>Pickup</v>
      </c>
      <c r="AC1595" s="64" t="str">
        <f t="shared" si="276"/>
        <v>Supply order ready for pickup</v>
      </c>
      <c r="AD1595" s="64" t="str">
        <f t="shared" si="267"/>
        <v>Dear PSW,
Your order is ready for pickup from Sample Branch, Wed-Fri 9am-4pm.</v>
      </c>
      <c r="AE1595" s="64" t="str">
        <f t="shared" si="268"/>
        <v>mailto:firstname255.lastname255@example.com?subject=Supply%20order%20ready%20for%20pickup&amp;body=Dear%20PSW%2C%0A%0AYour%20order%20is%20ready%20for%20pickup%20from%20Sample%20Branch%2C%20Wed-Fri%209am-4pm.</v>
      </c>
      <c r="AF1595" s="89" t="str">
        <f t="shared" si="277"/>
        <v>Draft email</v>
      </c>
      <c r="AG1595" s="64" t="str">
        <f>IF($C1595="","",IFERROR(INDEX('Staff Directory'!$K$595:$K$599,MATCH($C1595,'Staff Directory'!$B$5:$B$599,0)),$D1595))</f>
        <v>PSW</v>
      </c>
      <c r="AH1595" t="str">
        <f>IF($C1595="","",IFERROR(INDEX('Staff Directory'!$I$595:$I$599,MATCH($C1595,'Staff Directory'!$B$5:$B$599,0))&amp;" "&amp;INDEX('Staff Directory'!$J$595:$J$599,MATCH($C1595,'Staff Directory'!$B$5:$B$599,0)),$AG1595))</f>
        <v>PSW</v>
      </c>
      <c r="AI1595" s="102"/>
      <c r="AJ1595" s="101">
        <f>IF($F1595="","",SUMIFS($J$5:$J1595,$F$5:$F1595,$F1595))</f>
        <v>17</v>
      </c>
      <c r="AK1595" s="101">
        <f t="shared" si="269"/>
        <v>17</v>
      </c>
      <c r="AL1595" s="66" t="str" cm="1">
        <f t="array" ref="AL1595">IF($F1595="","",IFERROR(INDEX('Lot Balance'!$B$5:$B$500,MATCH(1,INDEX(('Lot Balance'!$A$5:$A$500=$F1595)*('Lot Balance'!$K$5:$K$500&lt;$AK1595)*('Lot Balance'!$K$5:$K$500+'Lot Balance'!$D$5:$D$500&gt;=$AK1595),0),0)),""))</f>
        <v>GGL5003700</v>
      </c>
      <c r="AM1595" s="66" t="str" cm="1">
        <f t="array" ref="AM1595">IF($F1595="","",IFERROR(INDEX('Lot Balance'!$B$5:$B$500,MATCH(1,INDEX(('Lot Balance'!$A$5:$A$500=$F1595)*('Lot Balance'!$K$5:$K$500&lt;$AJ1595)*('Lot Balance'!$K$5:$K$500+'Lot Balance'!$D$5:$D$500&gt;=$AJ1595),0),0)),""))</f>
        <v>GGL5003700</v>
      </c>
      <c r="AN1595" s="66" t="str">
        <f>IF($F1595="","",IF($AI1595&lt;&gt;"",IF(COUNTIFS('Lot Balance'!$A$5:$A$500,$F1595,'Lot Balance'!$B$5:$B$500,$AI1595)=0,"⚠ override is not a lot of this item",IF($AI1595=$AL1595,"Override = FEFO","Override - FEFO says "&amp;$AL1595)),IF($AL1595="","⚠ no receipt on file for this item",IF($AM1595&lt;&gt;$AL1595,"FEFO auto - split, also "&amp;$AM1595,"FEFO auto"))))</f>
        <v>FEFO auto</v>
      </c>
      <c r="AO1595" s="114"/>
    </row>
    <row r="1596" spans="1:41" x14ac:dyDescent="0.35">
      <c r="A1596" s="74">
        <v>46209</v>
      </c>
      <c r="B1596" s="18" t="str">
        <f>IF($C1596="","",IFERROR(INDEX('Staff Directory'!$A$5:$A$594,MATCH($C1596,'Staff Directory'!$B$5:$B$594,0)),"⚠ unknown staff"))</f>
        <v>PSW-192-TBD</v>
      </c>
      <c r="C1596" s="49" t="s">
        <v>1171</v>
      </c>
      <c r="D1596" s="19" t="str">
        <f>IF($B1596="","",IFERROR(INDEX('Staff Directory'!$C$5:$C$594,MATCH($B1596,'Staff Directory'!$A$5:$A$594,0)),""))</f>
        <v>PSW</v>
      </c>
      <c r="E1596" s="19">
        <f>IF($B1596="","",IFERROR(INDEX('Staff Directory'!$D$5:$D$594,MATCH($B1596,'Staff Directory'!$A$5:$A$594,0)),""))</f>
        <v>0</v>
      </c>
      <c r="F1596" s="9" t="s">
        <v>122</v>
      </c>
      <c r="G1596" s="18" t="str">
        <f>IF($F1596="","",IFERROR(INDEX(Items!$B$5:$B$597,MATCH($F1596,Items!$A$5:$A$597,0)),"⚠ not in Items"))</f>
        <v>Eye Protection</v>
      </c>
      <c r="H1596" s="19" t="str">
        <f>IF($F1596="","",IFERROR(INDEX(Items!$C$5:$C$597,MATCH($F1596,Items!$A$5:$A$597,0)),""))</f>
        <v>One Size</v>
      </c>
      <c r="I1596" s="23">
        <f>IF($F1596="","",IFERROR(INDEX(Items!$E$5:$E$597,MATCH($F1596,Items!$A$5:$A$597,0)),""))</f>
        <v>1</v>
      </c>
      <c r="J1596" s="115">
        <f>IF(tblIssues[[#This Row],[Qty Override]]&lt;&gt;"",tblIssues[[#This Row],[Qty Override]],IF(tblIssues[[#This Row],[Standard Issue]]="","",tblIssues[[#This Row],[Standard Issue]]))</f>
        <v>1</v>
      </c>
      <c r="K1596" s="20">
        <f>IF($F1596="","",IFERROR(INDEX(Items!$D$5:$D$597,MATCH($F1596,Items!$A$5:$A$597,0)),""))</f>
        <v>7</v>
      </c>
      <c r="L1596" s="21">
        <f t="shared" si="272"/>
        <v>7</v>
      </c>
      <c r="M1596" s="9" t="str">
        <f t="shared" si="270"/>
        <v/>
      </c>
      <c r="N1596" s="24">
        <f>IF($A1596="","",WORKDAY($A1596,Settings!$C$9,HolidayDates))</f>
        <v>46217</v>
      </c>
      <c r="O1596" s="24">
        <f>IF($N1596="","",WORKDAY($N1596,Settings!$C$10,HolidayDates))</f>
        <v>46255</v>
      </c>
      <c r="P1596" s="10" t="s">
        <v>501</v>
      </c>
      <c r="Q1596" s="52" t="str">
        <f t="shared" si="273"/>
        <v>Collected</v>
      </c>
      <c r="R1596" s="55" t="str">
        <f t="shared" si="274"/>
        <v>2026-07</v>
      </c>
      <c r="S1596" s="55">
        <f>IF(OR($B1596="",$F1596="",$R1596=""),"",SUMIFS(tblIssues[Qty Issued],tblIssues[Staff ID],$B1596,tblIssues[Item Name],$F1596,tblIssues[Month],$R1596))</f>
        <v>1</v>
      </c>
      <c r="T1596" s="56">
        <f>IF($I1596="","",$I1596*Settings!$C$11)</f>
        <v>1</v>
      </c>
      <c r="U1596" s="57" t="str">
        <f t="shared" si="271"/>
        <v>OK</v>
      </c>
      <c r="V1596" s="55" t="str">
        <f t="shared" si="275"/>
        <v/>
      </c>
      <c r="W1596" s="55" t="str">
        <f>IF($V1596="","",IF(COUNTIF($V$5:$V1596,$V1596)=1,1,""))</f>
        <v/>
      </c>
      <c r="X1596" s="58" t="str">
        <f>IF($W1596="","",MAX($X$4:X1595)+1)</f>
        <v/>
      </c>
      <c r="Y1596" s="62"/>
      <c r="Z1596" s="62"/>
      <c r="AA1596" s="64" t="str">
        <f>IF($C1596="","",IFERROR(INDEX('Staff Directory'!$E$5:$E$594,MATCH($C1596,'Staff Directory'!$B$5:$B$594,0)),""))</f>
        <v>firstname255.lastname255@example.com</v>
      </c>
      <c r="AB1596" s="64" t="str">
        <f>IF($C1596="","",IF(ISNUMBER(SEARCH($D1596,Settings!$C$15)),"Pickup","Dispatch"))</f>
        <v>Pickup</v>
      </c>
      <c r="AC1596" s="64" t="str">
        <f t="shared" si="276"/>
        <v>Supply order ready for pickup</v>
      </c>
      <c r="AD1596" s="64" t="str">
        <f t="shared" si="267"/>
        <v>Dear PSW,
Your order is ready for pickup from Sample Branch, Wed-Fri 9am-4pm.</v>
      </c>
      <c r="AE1596" s="64" t="str">
        <f t="shared" si="268"/>
        <v>mailto:firstname255.lastname255@example.com?subject=Supply%20order%20ready%20for%20pickup&amp;body=Dear%20PSW%2C%0A%0AYour%20order%20is%20ready%20for%20pickup%20from%20Sample%20Branch%2C%20Wed-Fri%209am-4pm.</v>
      </c>
      <c r="AF1596" s="89" t="str">
        <f t="shared" si="277"/>
        <v>Draft email</v>
      </c>
      <c r="AG1596" s="64" t="str">
        <f>IF($C1596="","",IFERROR(INDEX('Staff Directory'!$K$595:$K$599,MATCH($C1596,'Staff Directory'!$B$5:$B$599,0)),$D1596))</f>
        <v>PSW</v>
      </c>
      <c r="AH1596" t="str">
        <f>IF($C1596="","",IFERROR(INDEX('Staff Directory'!$I$595:$I$599,MATCH($C1596,'Staff Directory'!$B$5:$B$599,0))&amp;" "&amp;INDEX('Staff Directory'!$J$595:$J$599,MATCH($C1596,'Staff Directory'!$B$5:$B$599,0)),$AG1596))</f>
        <v>PSW</v>
      </c>
      <c r="AI1596" s="102"/>
      <c r="AJ1596" s="101">
        <f>IF($F1596="","",SUMIFS($J$5:$J1596,$F$5:$F1596,$F1596))</f>
        <v>18</v>
      </c>
      <c r="AK1596" s="101">
        <f t="shared" si="269"/>
        <v>18</v>
      </c>
      <c r="AL1596" s="66" t="str" cm="1">
        <f t="array" ref="AL1596">IF($F1596="","",IFERROR(INDEX('Lot Balance'!$B$5:$B$500,MATCH(1,INDEX(('Lot Balance'!$A$5:$A$500=$F1596)*('Lot Balance'!$K$5:$K$500&lt;$AK1596)*('Lot Balance'!$K$5:$K$500+'Lot Balance'!$D$5:$D$500&gt;=$AK1596),0),0)),""))</f>
        <v/>
      </c>
      <c r="AM1596" s="66" t="str" cm="1">
        <f t="array" ref="AM1596">IF($F1596="","",IFERROR(INDEX('Lot Balance'!$B$5:$B$500,MATCH(1,INDEX(('Lot Balance'!$A$5:$A$500=$F1596)*('Lot Balance'!$K$5:$K$500&lt;$AJ1596)*('Lot Balance'!$K$5:$K$500+'Lot Balance'!$D$5:$D$500&gt;=$AJ1596),0),0)),""))</f>
        <v/>
      </c>
      <c r="AN1596" s="66" t="str">
        <f>IF($F1596="","",IF($AI1596&lt;&gt;"",IF(COUNTIFS('Lot Balance'!$A$5:$A$500,$F1596,'Lot Balance'!$B$5:$B$500,$AI1596)=0,"⚠ override is not a lot of this item",IF($AI1596=$AL1596,"Override = FEFO","Override - FEFO says "&amp;$AL1596)),IF($AL1596="","⚠ no receipt on file for this item",IF($AM1596&lt;&gt;$AL1596,"FEFO auto - split, also "&amp;$AM1596,"FEFO auto"))))</f>
        <v>⚠ no receipt on file for this item</v>
      </c>
      <c r="AO1596" s="114"/>
    </row>
    <row r="1597" spans="1:41" x14ac:dyDescent="0.35">
      <c r="A1597" s="74">
        <v>46209</v>
      </c>
      <c r="B1597" s="18" t="str">
        <f>IF($C1597="","",IFERROR(INDEX('Staff Directory'!$A$5:$A$594,MATCH($C1597,'Staff Directory'!$B$5:$B$594,0)),"⚠ unknown staff"))</f>
        <v>PSW-192-TBD</v>
      </c>
      <c r="C1597" s="49" t="s">
        <v>1171</v>
      </c>
      <c r="D1597" s="19" t="str">
        <f>IF($B1597="","",IFERROR(INDEX('Staff Directory'!$C$5:$C$594,MATCH($B1597,'Staff Directory'!$A$5:$A$594,0)),""))</f>
        <v>PSW</v>
      </c>
      <c r="E1597" s="19">
        <f>IF($B1597="","",IFERROR(INDEX('Staff Directory'!$D$5:$D$594,MATCH($B1597,'Staff Directory'!$A$5:$A$594,0)),""))</f>
        <v>0</v>
      </c>
      <c r="F1597" s="9" t="s">
        <v>150</v>
      </c>
      <c r="G1597" s="18" t="str">
        <f>IF($F1597="","",IFERROR(INDEX(Items!$B$5:$B$597,MATCH($F1597,Items!$A$5:$A$597,0)),"⚠ not in Items"))</f>
        <v>Documents</v>
      </c>
      <c r="H1597" s="19" t="str">
        <f>IF($F1597="","",IFERROR(INDEX(Items!$C$5:$C$597,MATCH($F1597,Items!$A$5:$A$597,0)),""))</f>
        <v>Standard</v>
      </c>
      <c r="I1597" s="23">
        <f>IF($F1597="","",IFERROR(INDEX(Items!$E$5:$E$597,MATCH($F1597,Items!$A$5:$A$597,0)),""))</f>
        <v>1</v>
      </c>
      <c r="J1597" s="115">
        <f>IF(tblIssues[[#This Row],[Qty Override]]&lt;&gt;"",tblIssues[[#This Row],[Qty Override]],IF(tblIssues[[#This Row],[Standard Issue]]="","",tblIssues[[#This Row],[Standard Issue]]))</f>
        <v>1</v>
      </c>
      <c r="K1597" s="20">
        <f>IF($F1597="","",IFERROR(INDEX(Items!$D$5:$D$597,MATCH($F1597,Items!$A$5:$A$597,0)),""))</f>
        <v>0</v>
      </c>
      <c r="L1597" s="21">
        <f t="shared" si="272"/>
        <v>0</v>
      </c>
      <c r="M1597" s="9" t="str">
        <f t="shared" si="270"/>
        <v/>
      </c>
      <c r="N1597" s="24">
        <f>IF($A1597="","",WORKDAY($A1597,Settings!$C$9,HolidayDates))</f>
        <v>46217</v>
      </c>
      <c r="O1597" s="24">
        <f>IF($N1597="","",WORKDAY($N1597,Settings!$C$10,HolidayDates))</f>
        <v>46255</v>
      </c>
      <c r="P1597" s="10" t="s">
        <v>501</v>
      </c>
      <c r="Q1597" s="52" t="str">
        <f t="shared" si="273"/>
        <v>Collected</v>
      </c>
      <c r="R1597" s="55" t="str">
        <f t="shared" si="274"/>
        <v>2026-07</v>
      </c>
      <c r="S1597" s="55">
        <f>IF(OR($B1597="",$F1597="",$R1597=""),"",SUMIFS(tblIssues[Qty Issued],tblIssues[Staff ID],$B1597,tblIssues[Item Name],$F1597,tblIssues[Month],$R1597))</f>
        <v>1</v>
      </c>
      <c r="T1597" s="56">
        <f>IF($I1597="","",$I1597*Settings!$C$11)</f>
        <v>1</v>
      </c>
      <c r="U1597" s="57" t="str">
        <f t="shared" si="271"/>
        <v>OK</v>
      </c>
      <c r="V1597" s="55" t="str">
        <f t="shared" si="275"/>
        <v/>
      </c>
      <c r="W1597" s="55" t="str">
        <f>IF($V1597="","",IF(COUNTIF($V$5:$V1597,$V1597)=1,1,""))</f>
        <v/>
      </c>
      <c r="X1597" s="58" t="str">
        <f>IF($W1597="","",MAX($X$4:X1596)+1)</f>
        <v/>
      </c>
      <c r="Y1597" s="62"/>
      <c r="Z1597" s="62"/>
      <c r="AA1597" s="64" t="str">
        <f>IF($C1597="","",IFERROR(INDEX('Staff Directory'!$E$5:$E$594,MATCH($C1597,'Staff Directory'!$B$5:$B$594,0)),""))</f>
        <v>firstname255.lastname255@example.com</v>
      </c>
      <c r="AB1597" s="64" t="str">
        <f>IF($C1597="","",IF(ISNUMBER(SEARCH($D1597,Settings!$C$15)),"Pickup","Dispatch"))</f>
        <v>Pickup</v>
      </c>
      <c r="AC1597" s="64" t="str">
        <f t="shared" si="276"/>
        <v>Supply order ready for pickup</v>
      </c>
      <c r="AD1597" s="64" t="str">
        <f t="shared" si="267"/>
        <v>Dear PSW,
Your order is ready for pickup from Sample Branch, Wed-Fri 9am-4pm.</v>
      </c>
      <c r="AE1597" s="64" t="str">
        <f t="shared" si="268"/>
        <v>mailto:firstname255.lastname255@example.com?subject=Supply%20order%20ready%20for%20pickup&amp;body=Dear%20PSW%2C%0A%0AYour%20order%20is%20ready%20for%20pickup%20from%20Sample%20Branch%2C%20Wed-Fri%209am-4pm.</v>
      </c>
      <c r="AF1597" s="89" t="str">
        <f t="shared" si="277"/>
        <v>Draft email</v>
      </c>
      <c r="AG1597" s="64" t="str">
        <f>IF($C1597="","",IFERROR(INDEX('Staff Directory'!$K$595:$K$599,MATCH($C1597,'Staff Directory'!$B$5:$B$599,0)),$D1597))</f>
        <v>PSW</v>
      </c>
      <c r="AH1597" t="str">
        <f>IF($C1597="","",IFERROR(INDEX('Staff Directory'!$I$595:$I$599,MATCH($C1597,'Staff Directory'!$B$5:$B$599,0))&amp;" "&amp;INDEX('Staff Directory'!$J$595:$J$599,MATCH($C1597,'Staff Directory'!$B$5:$B$599,0)),$AG1597))</f>
        <v>PSW</v>
      </c>
      <c r="AI1597" s="102"/>
      <c r="AJ1597" s="101">
        <f>IF($F1597="","",SUMIFS($J$5:$J1597,$F$5:$F1597,$F1597))</f>
        <v>18</v>
      </c>
      <c r="AK1597" s="101">
        <f t="shared" si="269"/>
        <v>18</v>
      </c>
      <c r="AL1597" s="66" t="str" cm="1">
        <f t="array" ref="AL1597">IF($F1597="","",IFERROR(INDEX('Lot Balance'!$B$5:$B$500,MATCH(1,INDEX(('Lot Balance'!$A$5:$A$500=$F1597)*('Lot Balance'!$K$5:$K$500&lt;$AK1597)*('Lot Balance'!$K$5:$K$500+'Lot Balance'!$D$5:$D$500&gt;=$AK1597),0),0)),""))</f>
        <v/>
      </c>
      <c r="AM1597" s="66" t="str" cm="1">
        <f t="array" ref="AM1597">IF($F1597="","",IFERROR(INDEX('Lot Balance'!$B$5:$B$500,MATCH(1,INDEX(('Lot Balance'!$A$5:$A$500=$F1597)*('Lot Balance'!$K$5:$K$500&lt;$AJ1597)*('Lot Balance'!$K$5:$K$500+'Lot Balance'!$D$5:$D$500&gt;=$AJ1597),0),0)),""))</f>
        <v/>
      </c>
      <c r="AN1597" s="66" t="str">
        <f>IF($F1597="","",IF($AI1597&lt;&gt;"",IF(COUNTIFS('Lot Balance'!$A$5:$A$500,$F1597,'Lot Balance'!$B$5:$B$500,$AI1597)=0,"⚠ override is not a lot of this item",IF($AI1597=$AL1597,"Override = FEFO","Override - FEFO says "&amp;$AL1597)),IF($AL1597="","⚠ no receipt on file for this item",IF($AM1597&lt;&gt;$AL1597,"FEFO auto - split, also "&amp;$AM1597,"FEFO auto"))))</f>
        <v>⚠ no receipt on file for this item</v>
      </c>
      <c r="AO1597" s="114"/>
    </row>
    <row r="1598" spans="1:41" x14ac:dyDescent="0.35">
      <c r="A1598" s="74">
        <v>46209</v>
      </c>
      <c r="B1598" s="18" t="str">
        <f>IF($C1598="","",IFERROR(INDEX('Staff Directory'!$A$5:$A$594,MATCH($C1598,'Staff Directory'!$B$5:$B$594,0)),"⚠ unknown staff"))</f>
        <v>PSW-192-TBD</v>
      </c>
      <c r="C1598" s="49" t="s">
        <v>1171</v>
      </c>
      <c r="D1598" s="19" t="str">
        <f>IF($B1598="","",IFERROR(INDEX('Staff Directory'!$C$5:$C$594,MATCH($B1598,'Staff Directory'!$A$5:$A$594,0)),""))</f>
        <v>PSW</v>
      </c>
      <c r="E1598" s="19">
        <f>IF($B1598="","",IFERROR(INDEX('Staff Directory'!$D$5:$D$594,MATCH($B1598,'Staff Directory'!$A$5:$A$594,0)),""))</f>
        <v>0</v>
      </c>
      <c r="F1598" s="9" t="s">
        <v>755</v>
      </c>
      <c r="G1598" s="18" t="str">
        <f>IF($F1598="","",IFERROR(INDEX(Items!$B$5:$B$597,MATCH($F1598,Items!$A$5:$A$597,0)),"⚠ not in Items"))</f>
        <v>Documents</v>
      </c>
      <c r="H1598" s="19" t="str">
        <f>IF($F1598="","",IFERROR(INDEX(Items!$C$5:$C$597,MATCH($F1598,Items!$A$5:$A$597,0)),""))</f>
        <v>Standard</v>
      </c>
      <c r="I1598" s="23">
        <f>IF($F1598="","",IFERROR(INDEX(Items!$E$5:$E$597,MATCH($F1598,Items!$A$5:$A$597,0)),""))</f>
        <v>2</v>
      </c>
      <c r="J1598" s="115">
        <f>IF(tblIssues[[#This Row],[Qty Override]]&lt;&gt;"",tblIssues[[#This Row],[Qty Override]],IF(tblIssues[[#This Row],[Standard Issue]]="","",tblIssues[[#This Row],[Standard Issue]]))</f>
        <v>2</v>
      </c>
      <c r="K1598" s="20">
        <f>IF($F1598="","",IFERROR(INDEX(Items!$D$5:$D$597,MATCH($F1598,Items!$A$5:$A$597,0)),""))</f>
        <v>0</v>
      </c>
      <c r="L1598" s="21">
        <f t="shared" si="272"/>
        <v>0</v>
      </c>
      <c r="M1598" s="9" t="str">
        <f t="shared" si="270"/>
        <v/>
      </c>
      <c r="N1598" s="24">
        <f>IF($A1598="","",WORKDAY($A1598,Settings!$C$9,HolidayDates))</f>
        <v>46217</v>
      </c>
      <c r="O1598" s="24">
        <f>IF($N1598="","",WORKDAY($N1598,Settings!$C$10,HolidayDates))</f>
        <v>46255</v>
      </c>
      <c r="P1598" s="10" t="s">
        <v>501</v>
      </c>
      <c r="Q1598" s="52" t="str">
        <f t="shared" si="273"/>
        <v>Collected</v>
      </c>
      <c r="R1598" s="55" t="str">
        <f t="shared" si="274"/>
        <v>2026-07</v>
      </c>
      <c r="S1598" s="55">
        <f>IF(OR($B1598="",$F1598="",$R1598=""),"",SUMIFS(tblIssues[Qty Issued],tblIssues[Staff ID],$B1598,tblIssues[Item Name],$F1598,tblIssues[Month],$R1598))</f>
        <v>2</v>
      </c>
      <c r="T1598" s="56">
        <f>IF($I1598="","",$I1598*Settings!$C$11)</f>
        <v>2</v>
      </c>
      <c r="U1598" s="57" t="str">
        <f t="shared" si="271"/>
        <v>OK</v>
      </c>
      <c r="V1598" s="55" t="str">
        <f t="shared" si="275"/>
        <v/>
      </c>
      <c r="W1598" s="55" t="str">
        <f>IF($V1598="","",IF(COUNTIF($V$5:$V1598,$V1598)=1,1,""))</f>
        <v/>
      </c>
      <c r="X1598" s="58" t="str">
        <f>IF($W1598="","",MAX($X$4:X1597)+1)</f>
        <v/>
      </c>
      <c r="Y1598" s="62"/>
      <c r="Z1598" s="62"/>
      <c r="AA1598" s="64" t="str">
        <f>IF($C1598="","",IFERROR(INDEX('Staff Directory'!$E$5:$E$594,MATCH($C1598,'Staff Directory'!$B$5:$B$594,0)),""))</f>
        <v>firstname255.lastname255@example.com</v>
      </c>
      <c r="AB1598" s="64" t="str">
        <f>IF($C1598="","",IF(ISNUMBER(SEARCH($D1598,Settings!$C$15)),"Pickup","Dispatch"))</f>
        <v>Pickup</v>
      </c>
      <c r="AC1598" s="64" t="str">
        <f t="shared" si="276"/>
        <v>Supply order ready for pickup</v>
      </c>
      <c r="AD1598" s="64" t="str">
        <f t="shared" si="267"/>
        <v>Dear PSW,
Your order is ready for pickup from Sample Branch, Wed-Fri 9am-4pm.</v>
      </c>
      <c r="AE1598" s="64" t="str">
        <f t="shared" si="268"/>
        <v>mailto:firstname255.lastname255@example.com?subject=Supply%20order%20ready%20for%20pickup&amp;body=Dear%20PSW%2C%0A%0AYour%20order%20is%20ready%20for%20pickup%20from%20Sample%20Branch%2C%20Wed-Fri%209am-4pm.</v>
      </c>
      <c r="AF1598" s="89" t="str">
        <f t="shared" si="277"/>
        <v>Draft email</v>
      </c>
      <c r="AG1598" s="64" t="str">
        <f>IF($C1598="","",IFERROR(INDEX('Staff Directory'!$K$595:$K$599,MATCH($C1598,'Staff Directory'!$B$5:$B$599,0)),$D1598))</f>
        <v>PSW</v>
      </c>
      <c r="AH1598" t="str">
        <f>IF($C1598="","",IFERROR(INDEX('Staff Directory'!$I$595:$I$599,MATCH($C1598,'Staff Directory'!$B$5:$B$599,0))&amp;" "&amp;INDEX('Staff Directory'!$J$595:$J$599,MATCH($C1598,'Staff Directory'!$B$5:$B$599,0)),$AG1598))</f>
        <v>PSW</v>
      </c>
      <c r="AI1598" s="102"/>
      <c r="AJ1598" s="101">
        <f>IF($F1598="","",SUMIFS($J$5:$J1598,$F$5:$F1598,$F1598))</f>
        <v>148</v>
      </c>
      <c r="AK1598" s="101">
        <f t="shared" si="269"/>
        <v>147</v>
      </c>
      <c r="AL1598" s="66" t="str" cm="1">
        <f t="array" ref="AL1598">IF($F1598="","",IFERROR(INDEX('Lot Balance'!$B$5:$B$500,MATCH(1,INDEX(('Lot Balance'!$A$5:$A$500=$F1598)*('Lot Balance'!$K$5:$K$500&lt;$AK1598)*('Lot Balance'!$K$5:$K$500+'Lot Balance'!$D$5:$D$500&gt;=$AK1598),0),0)),""))</f>
        <v/>
      </c>
      <c r="AM1598" s="66" t="str" cm="1">
        <f t="array" ref="AM1598">IF($F1598="","",IFERROR(INDEX('Lot Balance'!$B$5:$B$500,MATCH(1,INDEX(('Lot Balance'!$A$5:$A$500=$F1598)*('Lot Balance'!$K$5:$K$500&lt;$AJ1598)*('Lot Balance'!$K$5:$K$500+'Lot Balance'!$D$5:$D$500&gt;=$AJ1598),0),0)),""))</f>
        <v/>
      </c>
      <c r="AN1598" s="66" t="str">
        <f>IF($F1598="","",IF($AI1598&lt;&gt;"",IF(COUNTIFS('Lot Balance'!$A$5:$A$500,$F1598,'Lot Balance'!$B$5:$B$500,$AI1598)=0,"⚠ override is not a lot of this item",IF($AI1598=$AL1598,"Override = FEFO","Override - FEFO says "&amp;$AL1598)),IF($AL1598="","⚠ no receipt on file for this item",IF($AM1598&lt;&gt;$AL1598,"FEFO auto - split, also "&amp;$AM1598,"FEFO auto"))))</f>
        <v>⚠ no receipt on file for this item</v>
      </c>
      <c r="AO1598" s="114"/>
    </row>
    <row r="1599" spans="1:41" x14ac:dyDescent="0.35">
      <c r="A1599" s="74">
        <v>46209</v>
      </c>
      <c r="B1599" s="18" t="str">
        <f>IF($C1599="","",IFERROR(INDEX('Staff Directory'!$A$5:$A$594,MATCH($C1599,'Staff Directory'!$B$5:$B$594,0)),"⚠ unknown staff"))</f>
        <v>PSW-193-TBD</v>
      </c>
      <c r="C1599" s="49" t="s">
        <v>1172</v>
      </c>
      <c r="D1599" s="19" t="str">
        <f>IF($B1599="","",IFERROR(INDEX('Staff Directory'!$C$5:$C$594,MATCH($B1599,'Staff Directory'!$A$5:$A$594,0)),""))</f>
        <v>PSW</v>
      </c>
      <c r="E1599" s="19">
        <f>IF($B1599="","",IFERROR(INDEX('Staff Directory'!$D$5:$D$594,MATCH($B1599,'Staff Directory'!$A$5:$A$594,0)),""))</f>
        <v>0</v>
      </c>
      <c r="F1599" s="9" t="s">
        <v>129</v>
      </c>
      <c r="G1599" s="18" t="str">
        <f>IF($F1599="","",IFERROR(INDEX(Items!$B$5:$B$597,MATCH($F1599,Items!$A$5:$A$597,0)),"⚠ not in Items"))</f>
        <v>Gloves</v>
      </c>
      <c r="H1599" s="19" t="str">
        <f>IF($F1599="","",IFERROR(INDEX(Items!$C$5:$C$597,MATCH($F1599,Items!$A$5:$A$597,0)),""))</f>
        <v>Small</v>
      </c>
      <c r="I1599" s="23">
        <f>IF($F1599="","",IFERROR(INDEX(Items!$E$5:$E$597,MATCH($F1599,Items!$A$5:$A$597,0)),""))</f>
        <v>500</v>
      </c>
      <c r="J1599" s="115">
        <f>IF(tblIssues[[#This Row],[Qty Override]]&lt;&gt;"",tblIssues[[#This Row],[Qty Override]],IF(tblIssues[[#This Row],[Standard Issue]]="","",tblIssues[[#This Row],[Standard Issue]]))</f>
        <v>500</v>
      </c>
      <c r="K1599" s="20">
        <f>IF($F1599="","",IFERROR(INDEX(Items!$D$5:$D$597,MATCH($F1599,Items!$A$5:$A$597,0)),""))</f>
        <v>5.5E-2</v>
      </c>
      <c r="L1599" s="21">
        <f t="shared" si="272"/>
        <v>27.5</v>
      </c>
      <c r="M1599" s="9" t="str">
        <f t="shared" si="270"/>
        <v>ZIM502120291</v>
      </c>
      <c r="N1599" s="24">
        <f>IF($A1599="","",WORKDAY($A1599,Settings!$C$9,HolidayDates))</f>
        <v>46217</v>
      </c>
      <c r="O1599" s="24">
        <f>IF($N1599="","",WORKDAY($N1599,Settings!$C$10,HolidayDates))</f>
        <v>46255</v>
      </c>
      <c r="P1599" s="10" t="s">
        <v>501</v>
      </c>
      <c r="Q1599" s="52" t="str">
        <f t="shared" si="273"/>
        <v>Collected</v>
      </c>
      <c r="R1599" s="55" t="str">
        <f t="shared" si="274"/>
        <v>2026-07</v>
      </c>
      <c r="S1599" s="55">
        <f>IF(OR($B1599="",$F1599="",$R1599=""),"",SUMIFS(tblIssues[Qty Issued],tblIssues[Staff ID],$B1599,tblIssues[Item Name],$F1599,tblIssues[Month],$R1599))</f>
        <v>500</v>
      </c>
      <c r="T1599" s="56">
        <f>IF($I1599="","",$I1599*Settings!$C$11)</f>
        <v>500</v>
      </c>
      <c r="U1599" s="57" t="str">
        <f t="shared" si="271"/>
        <v>OK</v>
      </c>
      <c r="V1599" s="55" t="str">
        <f t="shared" si="275"/>
        <v/>
      </c>
      <c r="W1599" s="55" t="str">
        <f>IF($V1599="","",IF(COUNTIF($V$5:$V1599,$V1599)=1,1,""))</f>
        <v/>
      </c>
      <c r="X1599" s="58" t="str">
        <f>IF($W1599="","",MAX($X$4:X1598)+1)</f>
        <v/>
      </c>
      <c r="Y1599" s="62"/>
      <c r="Z1599" s="62"/>
      <c r="AA1599" s="64" t="str">
        <f>IF($C1599="","",IFERROR(INDEX('Staff Directory'!$E$5:$E$594,MATCH($C1599,'Staff Directory'!$B$5:$B$594,0)),""))</f>
        <v>firstname256.lastname256@example.com</v>
      </c>
      <c r="AB1599" s="64" t="str">
        <f>IF($C1599="","",IF(ISNUMBER(SEARCH($D1599,Settings!$C$15)),"Pickup","Dispatch"))</f>
        <v>Pickup</v>
      </c>
      <c r="AC1599" s="64" t="str">
        <f t="shared" si="276"/>
        <v>Supply order ready for pickup</v>
      </c>
      <c r="AD1599" s="64" t="str">
        <f t="shared" si="267"/>
        <v>Dear PSW,
Your order is ready for pickup from Sample Branch, Wed-Fri 9am-4pm.</v>
      </c>
      <c r="AE1599" s="64" t="str">
        <f t="shared" si="268"/>
        <v>mailto:firstname256.lastname256@example.com?subject=Supply%20order%20ready%20for%20pickup&amp;body=Dear%20PSW%2C%0A%0AYour%20order%20is%20ready%20for%20pickup%20from%20Sample%20Branch%2C%20Wed-Fri%209am-4pm.</v>
      </c>
      <c r="AF1599" s="89" t="str">
        <f t="shared" si="277"/>
        <v>Draft email</v>
      </c>
      <c r="AG1599" s="64" t="str">
        <f>IF($C1599="","",IFERROR(INDEX('Staff Directory'!$K$595:$K$599,MATCH($C1599,'Staff Directory'!$B$5:$B$599,0)),$D1599))</f>
        <v>PSW</v>
      </c>
      <c r="AH1599" t="str">
        <f>IF($C1599="","",IFERROR(INDEX('Staff Directory'!$I$595:$I$599,MATCH($C1599,'Staff Directory'!$B$5:$B$599,0))&amp;" "&amp;INDEX('Staff Directory'!$J$595:$J$599,MATCH($C1599,'Staff Directory'!$B$5:$B$599,0)),$AG1599))</f>
        <v>PSW</v>
      </c>
      <c r="AI1599" s="102"/>
      <c r="AJ1599" s="101">
        <f>IF($F1599="","",SUMIFS($J$5:$J1599,$F$5:$F1599,$F1599))</f>
        <v>46500</v>
      </c>
      <c r="AK1599" s="101">
        <f t="shared" si="269"/>
        <v>46001</v>
      </c>
      <c r="AL1599" s="66" t="str" cm="1">
        <f t="array" ref="AL1599">IF($F1599="","",IFERROR(INDEX('Lot Balance'!$B$5:$B$500,MATCH(1,INDEX(('Lot Balance'!$A$5:$A$500=$F1599)*('Lot Balance'!$K$5:$K$500&lt;$AK1599)*('Lot Balance'!$K$5:$K$500+'Lot Balance'!$D$5:$D$500&gt;=$AK1599),0),0)),""))</f>
        <v>ZIM502120291</v>
      </c>
      <c r="AM1599" s="66" t="str" cm="1">
        <f t="array" ref="AM1599">IF($F1599="","",IFERROR(INDEX('Lot Balance'!$B$5:$B$500,MATCH(1,INDEX(('Lot Balance'!$A$5:$A$500=$F1599)*('Lot Balance'!$K$5:$K$500&lt;$AJ1599)*('Lot Balance'!$K$5:$K$500+'Lot Balance'!$D$5:$D$500&gt;=$AJ1599),0),0)),""))</f>
        <v>ZIM502120291</v>
      </c>
      <c r="AN1599" s="66" t="str">
        <f>IF($F1599="","",IF($AI1599&lt;&gt;"",IF(COUNTIFS('Lot Balance'!$A$5:$A$500,$F1599,'Lot Balance'!$B$5:$B$500,$AI1599)=0,"⚠ override is not a lot of this item",IF($AI1599=$AL1599,"Override = FEFO","Override - FEFO says "&amp;$AL1599)),IF($AL1599="","⚠ no receipt on file for this item",IF($AM1599&lt;&gt;$AL1599,"FEFO auto - split, also "&amp;$AM1599,"FEFO auto"))))</f>
        <v>FEFO auto</v>
      </c>
      <c r="AO1599" s="114"/>
    </row>
    <row r="1600" spans="1:41" x14ac:dyDescent="0.35">
      <c r="A1600" s="74">
        <v>46209</v>
      </c>
      <c r="B1600" s="18" t="str">
        <f>IF($C1600="","",IFERROR(INDEX('Staff Directory'!$A$5:$A$594,MATCH($C1600,'Staff Directory'!$B$5:$B$594,0)),"⚠ unknown staff"))</f>
        <v>PSW-193-TBD</v>
      </c>
      <c r="C1600" s="49" t="s">
        <v>1172</v>
      </c>
      <c r="D1600" s="19" t="str">
        <f>IF($B1600="","",IFERROR(INDEX('Staff Directory'!$C$5:$C$594,MATCH($B1600,'Staff Directory'!$A$5:$A$594,0)),""))</f>
        <v>PSW</v>
      </c>
      <c r="E1600" s="19">
        <f>IF($B1600="","",IFERROR(INDEX('Staff Directory'!$D$5:$D$594,MATCH($B1600,'Staff Directory'!$A$5:$A$594,0)),""))</f>
        <v>0</v>
      </c>
      <c r="F1600" s="9" t="s">
        <v>115</v>
      </c>
      <c r="G1600" s="18" t="str">
        <f>IF($F1600="","",IFERROR(INDEX(Items!$B$5:$B$597,MATCH($F1600,Items!$A$5:$A$597,0)),"⚠ not in Items"))</f>
        <v>Wipes</v>
      </c>
      <c r="H1600" s="19">
        <f>IF($F1600="","",IFERROR(INDEX(Items!$C$5:$C$597,MATCH($F1600,Items!$A$5:$A$597,0)),""))</f>
        <v>80</v>
      </c>
      <c r="I1600" s="23">
        <f>IF($F1600="","",IFERROR(INDEX(Items!$E$5:$E$597,MATCH($F1600,Items!$A$5:$A$597,0)),""))</f>
        <v>80</v>
      </c>
      <c r="J1600" s="115">
        <f>IF(tblIssues[[#This Row],[Qty Override]]&lt;&gt;"",tblIssues[[#This Row],[Qty Override]],IF(tblIssues[[#This Row],[Standard Issue]]="","",tblIssues[[#This Row],[Standard Issue]]))</f>
        <v>80</v>
      </c>
      <c r="K1600" s="20">
        <f>IF($F1600="","",IFERROR(INDEX(Items!$D$5:$D$597,MATCH($F1600,Items!$A$5:$A$597,0)),""))</f>
        <v>0.1</v>
      </c>
      <c r="L1600" s="21">
        <f t="shared" si="272"/>
        <v>8</v>
      </c>
      <c r="M1600" s="9" t="str">
        <f t="shared" si="270"/>
        <v>LYSL500290</v>
      </c>
      <c r="N1600" s="24">
        <f>IF($A1600="","",WORKDAY($A1600,Settings!$C$9,HolidayDates))</f>
        <v>46217</v>
      </c>
      <c r="O1600" s="24">
        <f>IF($N1600="","",WORKDAY($N1600,Settings!$C$10,HolidayDates))</f>
        <v>46255</v>
      </c>
      <c r="P1600" s="10" t="s">
        <v>501</v>
      </c>
      <c r="Q1600" s="52" t="str">
        <f t="shared" si="273"/>
        <v>Collected</v>
      </c>
      <c r="R1600" s="55" t="str">
        <f t="shared" si="274"/>
        <v>2026-07</v>
      </c>
      <c r="S1600" s="55">
        <f>IF(OR($B1600="",$F1600="",$R1600=""),"",SUMIFS(tblIssues[Qty Issued],tblIssues[Staff ID],$B1600,tblIssues[Item Name],$F1600,tblIssues[Month],$R1600))</f>
        <v>80</v>
      </c>
      <c r="T1600" s="56">
        <f>IF($I1600="","",$I1600*Settings!$C$11)</f>
        <v>80</v>
      </c>
      <c r="U1600" s="57" t="str">
        <f t="shared" si="271"/>
        <v>OK</v>
      </c>
      <c r="V1600" s="55" t="str">
        <f t="shared" si="275"/>
        <v/>
      </c>
      <c r="W1600" s="55" t="str">
        <f>IF($V1600="","",IF(COUNTIF($V$5:$V1600,$V1600)=1,1,""))</f>
        <v/>
      </c>
      <c r="X1600" s="58" t="str">
        <f>IF($W1600="","",MAX($X$4:X1599)+1)</f>
        <v/>
      </c>
      <c r="Y1600" s="62"/>
      <c r="Z1600" s="62"/>
      <c r="AA1600" s="64" t="str">
        <f>IF($C1600="","",IFERROR(INDEX('Staff Directory'!$E$5:$E$594,MATCH($C1600,'Staff Directory'!$B$5:$B$594,0)),""))</f>
        <v>firstname256.lastname256@example.com</v>
      </c>
      <c r="AB1600" s="64" t="str">
        <f>IF($C1600="","",IF(ISNUMBER(SEARCH($D1600,Settings!$C$15)),"Pickup","Dispatch"))</f>
        <v>Pickup</v>
      </c>
      <c r="AC1600" s="64" t="str">
        <f t="shared" si="276"/>
        <v>Supply order ready for pickup</v>
      </c>
      <c r="AD1600" s="64" t="str">
        <f t="shared" si="267"/>
        <v>Dear PSW,
Your order is ready for pickup from Sample Branch, Wed-Fri 9am-4pm.</v>
      </c>
      <c r="AE1600" s="64" t="str">
        <f t="shared" si="268"/>
        <v>mailto:firstname256.lastname256@example.com?subject=Supply%20order%20ready%20for%20pickup&amp;body=Dear%20PSW%2C%0A%0AYour%20order%20is%20ready%20for%20pickup%20from%20Sample%20Branch%2C%20Wed-Fri%209am-4pm.</v>
      </c>
      <c r="AF1600" s="89" t="str">
        <f t="shared" si="277"/>
        <v>Draft email</v>
      </c>
      <c r="AG1600" s="64" t="str">
        <f>IF($C1600="","",IFERROR(INDEX('Staff Directory'!$K$595:$K$599,MATCH($C1600,'Staff Directory'!$B$5:$B$599,0)),$D1600))</f>
        <v>PSW</v>
      </c>
      <c r="AH1600" t="str">
        <f>IF($C1600="","",IFERROR(INDEX('Staff Directory'!$I$595:$I$599,MATCH($C1600,'Staff Directory'!$B$5:$B$599,0))&amp;" "&amp;INDEX('Staff Directory'!$J$595:$J$599,MATCH($C1600,'Staff Directory'!$B$5:$B$599,0)),$AG1600))</f>
        <v>PSW</v>
      </c>
      <c r="AI1600" s="102"/>
      <c r="AJ1600" s="101">
        <f>IF($F1600="","",SUMIFS($J$5:$J1600,$F$5:$F1600,$F1600))</f>
        <v>21520</v>
      </c>
      <c r="AK1600" s="101">
        <f t="shared" si="269"/>
        <v>21441</v>
      </c>
      <c r="AL1600" s="66" t="str" cm="1">
        <f t="array" ref="AL1600">IF($F1600="","",IFERROR(INDEX('Lot Balance'!$B$5:$B$500,MATCH(1,INDEX(('Lot Balance'!$A$5:$A$500=$F1600)*('Lot Balance'!$K$5:$K$500&lt;$AK1600)*('Lot Balance'!$K$5:$K$500+'Lot Balance'!$D$5:$D$500&gt;=$AK1600),0),0)),""))</f>
        <v>LYSL500290</v>
      </c>
      <c r="AM1600" s="66" t="str" cm="1">
        <f t="array" ref="AM1600">IF($F1600="","",IFERROR(INDEX('Lot Balance'!$B$5:$B$500,MATCH(1,INDEX(('Lot Balance'!$A$5:$A$500=$F1600)*('Lot Balance'!$K$5:$K$500&lt;$AJ1600)*('Lot Balance'!$K$5:$K$500+'Lot Balance'!$D$5:$D$500&gt;=$AJ1600),0),0)),""))</f>
        <v>LYSL500290</v>
      </c>
      <c r="AN1600" s="66" t="str">
        <f>IF($F1600="","",IF($AI1600&lt;&gt;"",IF(COUNTIFS('Lot Balance'!$A$5:$A$500,$F1600,'Lot Balance'!$B$5:$B$500,$AI1600)=0,"⚠ override is not a lot of this item",IF($AI1600=$AL1600,"Override = FEFO","Override - FEFO says "&amp;$AL1600)),IF($AL1600="","⚠ no receipt on file for this item",IF($AM1600&lt;&gt;$AL1600,"FEFO auto - split, also "&amp;$AM1600,"FEFO auto"))))</f>
        <v>FEFO auto</v>
      </c>
      <c r="AO1600" s="114"/>
    </row>
    <row r="1601" spans="1:41" x14ac:dyDescent="0.35">
      <c r="A1601" s="74">
        <v>46209</v>
      </c>
      <c r="B1601" s="18" t="str">
        <f>IF($C1601="","",IFERROR(INDEX('Staff Directory'!$A$5:$A$594,MATCH($C1601,'Staff Directory'!$B$5:$B$594,0)),"⚠ unknown staff"))</f>
        <v>PSW-193-TBD</v>
      </c>
      <c r="C1601" s="49" t="s">
        <v>1172</v>
      </c>
      <c r="D1601" s="19" t="str">
        <f>IF($B1601="","",IFERROR(INDEX('Staff Directory'!$C$5:$C$594,MATCH($B1601,'Staff Directory'!$A$5:$A$594,0)),""))</f>
        <v>PSW</v>
      </c>
      <c r="E1601" s="19">
        <f>IF($B1601="","",IFERROR(INDEX('Staff Directory'!$D$5:$D$594,MATCH($B1601,'Staff Directory'!$A$5:$A$594,0)),""))</f>
        <v>0</v>
      </c>
      <c r="F1601" s="9" t="s">
        <v>102</v>
      </c>
      <c r="G1601" s="18" t="str">
        <f>IF($F1601="","",IFERROR(INDEX(Items!$B$5:$B$597,MATCH($F1601,Items!$A$5:$A$597,0)),"⚠ not in Items"))</f>
        <v>Masks</v>
      </c>
      <c r="H1601" s="19" t="str">
        <f>IF($F1601="","",IFERROR(INDEX(Items!$C$5:$C$597,MATCH($F1601,Items!$A$5:$A$597,0)),""))</f>
        <v>One Size</v>
      </c>
      <c r="I1601" s="23">
        <f>IF($F1601="","",IFERROR(INDEX(Items!$E$5:$E$597,MATCH($F1601,Items!$A$5:$A$597,0)),""))</f>
        <v>5</v>
      </c>
      <c r="J1601" s="115">
        <f>IF(tblIssues[[#This Row],[Qty Override]]&lt;&gt;"",tblIssues[[#This Row],[Qty Override]],IF(tblIssues[[#This Row],[Standard Issue]]="","",tblIssues[[#This Row],[Standard Issue]]))</f>
        <v>5</v>
      </c>
      <c r="K1601" s="20">
        <f>IF($F1601="","",IFERROR(INDEX(Items!$D$5:$D$597,MATCH($F1601,Items!$A$5:$A$597,0)),""))</f>
        <v>2.0499999999999998</v>
      </c>
      <c r="L1601" s="21">
        <f t="shared" si="272"/>
        <v>10.25</v>
      </c>
      <c r="M1601" s="9" t="str">
        <f t="shared" si="270"/>
        <v>N955003715</v>
      </c>
      <c r="N1601" s="24">
        <f>IF($A1601="","",WORKDAY($A1601,Settings!$C$9,HolidayDates))</f>
        <v>46217</v>
      </c>
      <c r="O1601" s="24">
        <f>IF($N1601="","",WORKDAY($N1601,Settings!$C$10,HolidayDates))</f>
        <v>46255</v>
      </c>
      <c r="P1601" s="10" t="s">
        <v>501</v>
      </c>
      <c r="Q1601" s="52" t="str">
        <f t="shared" si="273"/>
        <v>Collected</v>
      </c>
      <c r="R1601" s="55" t="str">
        <f t="shared" si="274"/>
        <v>2026-07</v>
      </c>
      <c r="S1601" s="55">
        <f>IF(OR($B1601="",$F1601="",$R1601=""),"",SUMIFS(tblIssues[Qty Issued],tblIssues[Staff ID],$B1601,tblIssues[Item Name],$F1601,tblIssues[Month],$R1601))</f>
        <v>5</v>
      </c>
      <c r="T1601" s="56">
        <f>IF($I1601="","",$I1601*Settings!$C$11)</f>
        <v>5</v>
      </c>
      <c r="U1601" s="57" t="str">
        <f t="shared" si="271"/>
        <v>OK</v>
      </c>
      <c r="V1601" s="55" t="str">
        <f t="shared" si="275"/>
        <v/>
      </c>
      <c r="W1601" s="55" t="str">
        <f>IF($V1601="","",IF(COUNTIF($V$5:$V1601,$V1601)=1,1,""))</f>
        <v/>
      </c>
      <c r="X1601" s="58" t="str">
        <f>IF($W1601="","",MAX($X$4:X1600)+1)</f>
        <v/>
      </c>
      <c r="Y1601" s="62"/>
      <c r="Z1601" s="62"/>
      <c r="AA1601" s="64" t="str">
        <f>IF($C1601="","",IFERROR(INDEX('Staff Directory'!$E$5:$E$594,MATCH($C1601,'Staff Directory'!$B$5:$B$594,0)),""))</f>
        <v>firstname256.lastname256@example.com</v>
      </c>
      <c r="AB1601" s="64" t="str">
        <f>IF($C1601="","",IF(ISNUMBER(SEARCH($D1601,Settings!$C$15)),"Pickup","Dispatch"))</f>
        <v>Pickup</v>
      </c>
      <c r="AC1601" s="64" t="str">
        <f t="shared" si="276"/>
        <v>Supply order ready for pickup</v>
      </c>
      <c r="AD1601" s="64" t="str">
        <f t="shared" si="267"/>
        <v>Dear PSW,
Your order is ready for pickup from Sample Branch, Wed-Fri 9am-4pm.</v>
      </c>
      <c r="AE1601" s="64" t="str">
        <f t="shared" si="268"/>
        <v>mailto:firstname256.lastname256@example.com?subject=Supply%20order%20ready%20for%20pickup&amp;body=Dear%20PSW%2C%0A%0AYour%20order%20is%20ready%20for%20pickup%20from%20Sample%20Branch%2C%20Wed-Fri%209am-4pm.</v>
      </c>
      <c r="AF1601" s="89" t="str">
        <f t="shared" si="277"/>
        <v>Draft email</v>
      </c>
      <c r="AG1601" s="64" t="str">
        <f>IF($C1601="","",IFERROR(INDEX('Staff Directory'!$K$595:$K$599,MATCH($C1601,'Staff Directory'!$B$5:$B$599,0)),$D1601))</f>
        <v>PSW</v>
      </c>
      <c r="AH1601" t="str">
        <f>IF($C1601="","",IFERROR(INDEX('Staff Directory'!$I$595:$I$599,MATCH($C1601,'Staff Directory'!$B$5:$B$599,0))&amp;" "&amp;INDEX('Staff Directory'!$J$595:$J$599,MATCH($C1601,'Staff Directory'!$B$5:$B$599,0)),$AG1601))</f>
        <v>PSW</v>
      </c>
      <c r="AI1601" s="102"/>
      <c r="AJ1601" s="101">
        <f>IF($F1601="","",SUMIFS($J$5:$J1601,$F$5:$F1601,$F1601))</f>
        <v>20</v>
      </c>
      <c r="AK1601" s="101">
        <f t="shared" si="269"/>
        <v>16</v>
      </c>
      <c r="AL1601" s="66" t="str" cm="1">
        <f t="array" ref="AL1601">IF($F1601="","",IFERROR(INDEX('Lot Balance'!$B$5:$B$500,MATCH(1,INDEX(('Lot Balance'!$A$5:$A$500=$F1601)*('Lot Balance'!$K$5:$K$500&lt;$AK1601)*('Lot Balance'!$K$5:$K$500+'Lot Balance'!$D$5:$D$500&gt;=$AK1601),0),0)),""))</f>
        <v>N955003715</v>
      </c>
      <c r="AM1601" s="66" t="str" cm="1">
        <f t="array" ref="AM1601">IF($F1601="","",IFERROR(INDEX('Lot Balance'!$B$5:$B$500,MATCH(1,INDEX(('Lot Balance'!$A$5:$A$500=$F1601)*('Lot Balance'!$K$5:$K$500&lt;$AJ1601)*('Lot Balance'!$K$5:$K$500+'Lot Balance'!$D$5:$D$500&gt;=$AJ1601),0),0)),""))</f>
        <v>N955003715</v>
      </c>
      <c r="AN1601" s="66" t="str">
        <f>IF($F1601="","",IF($AI1601&lt;&gt;"",IF(COUNTIFS('Lot Balance'!$A$5:$A$500,$F1601,'Lot Balance'!$B$5:$B$500,$AI1601)=0,"⚠ override is not a lot of this item",IF($AI1601=$AL1601,"Override = FEFO","Override - FEFO says "&amp;$AL1601)),IF($AL1601="","⚠ no receipt on file for this item",IF($AM1601&lt;&gt;$AL1601,"FEFO auto - split, also "&amp;$AM1601,"FEFO auto"))))</f>
        <v>FEFO auto</v>
      </c>
      <c r="AO1601" s="114"/>
    </row>
    <row r="1602" spans="1:41" x14ac:dyDescent="0.35">
      <c r="A1602" s="74">
        <v>46209</v>
      </c>
      <c r="B1602" s="18" t="str">
        <f>IF($C1602="","",IFERROR(INDEX('Staff Directory'!$A$5:$A$594,MATCH($C1602,'Staff Directory'!$B$5:$B$594,0)),"⚠ unknown staff"))</f>
        <v>PSW-193-TBD</v>
      </c>
      <c r="C1602" s="49" t="s">
        <v>1172</v>
      </c>
      <c r="D1602" s="19" t="str">
        <f>IF($B1602="","",IFERROR(INDEX('Staff Directory'!$C$5:$C$594,MATCH($B1602,'Staff Directory'!$A$5:$A$594,0)),""))</f>
        <v>PSW</v>
      </c>
      <c r="E1602" s="19">
        <f>IF($B1602="","",IFERROR(INDEX('Staff Directory'!$D$5:$D$594,MATCH($B1602,'Staff Directory'!$A$5:$A$594,0)),""))</f>
        <v>0</v>
      </c>
      <c r="F1602" s="9" t="s">
        <v>137</v>
      </c>
      <c r="G1602" s="18" t="str">
        <f>IF($F1602="","",IFERROR(INDEX(Items!$B$5:$B$597,MATCH($F1602,Items!$A$5:$A$597,0)),"⚠ not in Items"))</f>
        <v>Sanitizer</v>
      </c>
      <c r="H1602" s="19" t="str">
        <f>IF($F1602="","",IFERROR(INDEX(Items!$C$5:$C$597,MATCH($F1602,Items!$A$5:$A$597,0)),""))</f>
        <v>118 ML</v>
      </c>
      <c r="I1602" s="23">
        <f>IF($F1602="","",IFERROR(INDEX(Items!$E$5:$E$597,MATCH($F1602,Items!$A$5:$A$597,0)),""))</f>
        <v>2</v>
      </c>
      <c r="J1602" s="115">
        <f>IF(tblIssues[[#This Row],[Qty Override]]&lt;&gt;"",tblIssues[[#This Row],[Qty Override]],IF(tblIssues[[#This Row],[Standard Issue]]="","",tblIssues[[#This Row],[Standard Issue]]))</f>
        <v>2</v>
      </c>
      <c r="K1602" s="20">
        <f>IF($F1602="","",IFERROR(INDEX(Items!$D$5:$D$597,MATCH($F1602,Items!$A$5:$A$597,0)),""))</f>
        <v>4.49</v>
      </c>
      <c r="L1602" s="21">
        <f t="shared" si="272"/>
        <v>8.98</v>
      </c>
      <c r="M1602" s="9" t="str">
        <f t="shared" si="270"/>
        <v>563963-7</v>
      </c>
      <c r="N1602" s="24">
        <f>IF($A1602="","",WORKDAY($A1602,Settings!$C$9,HolidayDates))</f>
        <v>46217</v>
      </c>
      <c r="O1602" s="24">
        <f>IF($N1602="","",WORKDAY($N1602,Settings!$C$10,HolidayDates))</f>
        <v>46255</v>
      </c>
      <c r="P1602" s="10" t="s">
        <v>501</v>
      </c>
      <c r="Q1602" s="52" t="str">
        <f t="shared" si="273"/>
        <v>Collected</v>
      </c>
      <c r="R1602" s="55" t="str">
        <f t="shared" si="274"/>
        <v>2026-07</v>
      </c>
      <c r="S1602" s="55">
        <f>IF(OR($B1602="",$F1602="",$R1602=""),"",SUMIFS(tblIssues[Qty Issued],tblIssues[Staff ID],$B1602,tblIssues[Item Name],$F1602,tblIssues[Month],$R1602))</f>
        <v>2</v>
      </c>
      <c r="T1602" s="56">
        <f>IF($I1602="","",$I1602*Settings!$C$11)</f>
        <v>2</v>
      </c>
      <c r="U1602" s="57" t="str">
        <f t="shared" si="271"/>
        <v>OK</v>
      </c>
      <c r="V1602" s="55" t="str">
        <f t="shared" si="275"/>
        <v/>
      </c>
      <c r="W1602" s="55" t="str">
        <f>IF($V1602="","",IF(COUNTIF($V$5:$V1602,$V1602)=1,1,""))</f>
        <v/>
      </c>
      <c r="X1602" s="58" t="str">
        <f>IF($W1602="","",MAX($X$4:X1601)+1)</f>
        <v/>
      </c>
      <c r="Y1602" s="62"/>
      <c r="Z1602" s="62"/>
      <c r="AA1602" s="64" t="str">
        <f>IF($C1602="","",IFERROR(INDEX('Staff Directory'!$E$5:$E$594,MATCH($C1602,'Staff Directory'!$B$5:$B$594,0)),""))</f>
        <v>firstname256.lastname256@example.com</v>
      </c>
      <c r="AB1602" s="64" t="str">
        <f>IF($C1602="","",IF(ISNUMBER(SEARCH($D1602,Settings!$C$15)),"Pickup","Dispatch"))</f>
        <v>Pickup</v>
      </c>
      <c r="AC1602" s="64" t="str">
        <f t="shared" si="276"/>
        <v>Supply order ready for pickup</v>
      </c>
      <c r="AD1602" s="64" t="str">
        <f t="shared" si="267"/>
        <v>Dear PSW,
Your order is ready for pickup from Sample Branch, Wed-Fri 9am-4pm.</v>
      </c>
      <c r="AE1602" s="64" t="str">
        <f t="shared" si="268"/>
        <v>mailto:firstname256.lastname256@example.com?subject=Supply%20order%20ready%20for%20pickup&amp;body=Dear%20PSW%2C%0A%0AYour%20order%20is%20ready%20for%20pickup%20from%20Sample%20Branch%2C%20Wed-Fri%209am-4pm.</v>
      </c>
      <c r="AF1602" s="89" t="str">
        <f t="shared" si="277"/>
        <v>Draft email</v>
      </c>
      <c r="AG1602" s="64" t="str">
        <f>IF($C1602="","",IFERROR(INDEX('Staff Directory'!$K$595:$K$599,MATCH($C1602,'Staff Directory'!$B$5:$B$599,0)),$D1602))</f>
        <v>PSW</v>
      </c>
      <c r="AH1602" t="str">
        <f>IF($C1602="","",IFERROR(INDEX('Staff Directory'!$I$595:$I$599,MATCH($C1602,'Staff Directory'!$B$5:$B$599,0))&amp;" "&amp;INDEX('Staff Directory'!$J$595:$J$599,MATCH($C1602,'Staff Directory'!$B$5:$B$599,0)),$AG1602))</f>
        <v>PSW</v>
      </c>
      <c r="AI1602" s="102"/>
      <c r="AJ1602" s="101">
        <f>IF($F1602="","",SUMIFS($J$5:$J1602,$F$5:$F1602,$F1602))</f>
        <v>148</v>
      </c>
      <c r="AK1602" s="101">
        <f t="shared" si="269"/>
        <v>147</v>
      </c>
      <c r="AL1602" s="66" t="str" cm="1">
        <f t="array" ref="AL1602">IF($F1602="","",IFERROR(INDEX('Lot Balance'!$B$5:$B$500,MATCH(1,INDEX(('Lot Balance'!$A$5:$A$500=$F1602)*('Lot Balance'!$K$5:$K$500&lt;$AK1602)*('Lot Balance'!$K$5:$K$500+'Lot Balance'!$D$5:$D$500&gt;=$AK1602),0),0)),""))</f>
        <v>563963-7</v>
      </c>
      <c r="AM1602" s="66" t="str" cm="1">
        <f t="array" ref="AM1602">IF($F1602="","",IFERROR(INDEX('Lot Balance'!$B$5:$B$500,MATCH(1,INDEX(('Lot Balance'!$A$5:$A$500=$F1602)*('Lot Balance'!$K$5:$K$500&lt;$AJ1602)*('Lot Balance'!$K$5:$K$500+'Lot Balance'!$D$5:$D$500&gt;=$AJ1602),0),0)),""))</f>
        <v>563963-7</v>
      </c>
      <c r="AN1602" s="66" t="str">
        <f>IF($F1602="","",IF($AI1602&lt;&gt;"",IF(COUNTIFS('Lot Balance'!$A$5:$A$500,$F1602,'Lot Balance'!$B$5:$B$500,$AI1602)=0,"⚠ override is not a lot of this item",IF($AI1602=$AL1602,"Override = FEFO","Override - FEFO says "&amp;$AL1602)),IF($AL1602="","⚠ no receipt on file for this item",IF($AM1602&lt;&gt;$AL1602,"FEFO auto - split, also "&amp;$AM1602,"FEFO auto"))))</f>
        <v>FEFO auto</v>
      </c>
      <c r="AO1602" s="114"/>
    </row>
    <row r="1603" spans="1:41" x14ac:dyDescent="0.35">
      <c r="A1603" s="74">
        <v>46209</v>
      </c>
      <c r="B1603" s="18" t="str">
        <f>IF($C1603="","",IFERROR(INDEX('Staff Directory'!$A$5:$A$594,MATCH($C1603,'Staff Directory'!$B$5:$B$594,0)),"⚠ unknown staff"))</f>
        <v>PSW-193-TBD</v>
      </c>
      <c r="C1603" s="49" t="s">
        <v>1172</v>
      </c>
      <c r="D1603" s="19" t="str">
        <f>IF($B1603="","",IFERROR(INDEX('Staff Directory'!$C$5:$C$594,MATCH($B1603,'Staff Directory'!$A$5:$A$594,0)),""))</f>
        <v>PSW</v>
      </c>
      <c r="E1603" s="19">
        <f>IF($B1603="","",IFERROR(INDEX('Staff Directory'!$D$5:$D$594,MATCH($B1603,'Staff Directory'!$A$5:$A$594,0)),""))</f>
        <v>0</v>
      </c>
      <c r="F1603" s="9" t="s">
        <v>147</v>
      </c>
      <c r="G1603" s="18" t="str">
        <f>IF($F1603="","",IFERROR(INDEX(Items!$B$5:$B$597,MATCH($F1603,Items!$A$5:$A$597,0)),"⚠ not in Items"))</f>
        <v>Apparel</v>
      </c>
      <c r="H1603" s="19" t="str">
        <f>IF($F1603="","",IFERROR(INDEX(Items!$C$5:$C$597,MATCH($F1603,Items!$A$5:$A$597,0)),""))</f>
        <v>One Size</v>
      </c>
      <c r="I1603" s="23">
        <f>IF($F1603="","",IFERROR(INDEX(Items!$E$5:$E$597,MATCH($F1603,Items!$A$5:$A$597,0)),""))</f>
        <v>5</v>
      </c>
      <c r="J1603" s="115">
        <f>IF(tblIssues[[#This Row],[Qty Override]]&lt;&gt;"",tblIssues[[#This Row],[Qty Override]],IF(tblIssues[[#This Row],[Standard Issue]]="","",tblIssues[[#This Row],[Standard Issue]]))</f>
        <v>5</v>
      </c>
      <c r="K1603" s="20">
        <f>IF($F1603="","",IFERROR(INDEX(Items!$D$5:$D$597,MATCH($F1603,Items!$A$5:$A$597,0)),""))</f>
        <v>3</v>
      </c>
      <c r="L1603" s="21">
        <f t="shared" si="272"/>
        <v>15</v>
      </c>
      <c r="M1603" s="9" t="str">
        <f t="shared" si="270"/>
        <v>YG500280</v>
      </c>
      <c r="N1603" s="24">
        <f>IF($A1603="","",WORKDAY($A1603,Settings!$C$9,HolidayDates))</f>
        <v>46217</v>
      </c>
      <c r="O1603" s="24">
        <f>IF($N1603="","",WORKDAY($N1603,Settings!$C$10,HolidayDates))</f>
        <v>46255</v>
      </c>
      <c r="P1603" s="10" t="s">
        <v>501</v>
      </c>
      <c r="Q1603" s="52" t="str">
        <f t="shared" si="273"/>
        <v>Collected</v>
      </c>
      <c r="R1603" s="55" t="str">
        <f t="shared" si="274"/>
        <v>2026-07</v>
      </c>
      <c r="S1603" s="55">
        <f>IF(OR($B1603="",$F1603="",$R1603=""),"",SUMIFS(tblIssues[Qty Issued],tblIssues[Staff ID],$B1603,tblIssues[Item Name],$F1603,tblIssues[Month],$R1603))</f>
        <v>5</v>
      </c>
      <c r="T1603" s="56">
        <f>IF($I1603="","",$I1603*Settings!$C$11)</f>
        <v>5</v>
      </c>
      <c r="U1603" s="57" t="str">
        <f t="shared" si="271"/>
        <v>OK</v>
      </c>
      <c r="V1603" s="55" t="str">
        <f t="shared" si="275"/>
        <v/>
      </c>
      <c r="W1603" s="55" t="str">
        <f>IF($V1603="","",IF(COUNTIF($V$5:$V1603,$V1603)=1,1,""))</f>
        <v/>
      </c>
      <c r="X1603" s="58" t="str">
        <f>IF($W1603="","",MAX($X$4:X1602)+1)</f>
        <v/>
      </c>
      <c r="Y1603" s="62"/>
      <c r="Z1603" s="62"/>
      <c r="AA1603" s="64" t="str">
        <f>IF($C1603="","",IFERROR(INDEX('Staff Directory'!$E$5:$E$594,MATCH($C1603,'Staff Directory'!$B$5:$B$594,0)),""))</f>
        <v>firstname256.lastname256@example.com</v>
      </c>
      <c r="AB1603" s="64" t="str">
        <f>IF($C1603="","",IF(ISNUMBER(SEARCH($D1603,Settings!$C$15)),"Pickup","Dispatch"))</f>
        <v>Pickup</v>
      </c>
      <c r="AC1603" s="64" t="str">
        <f t="shared" si="276"/>
        <v>Supply order ready for pickup</v>
      </c>
      <c r="AD1603" s="64" t="str">
        <f t="shared" si="267"/>
        <v>Dear PSW,
Your order is ready for pickup from Sample Branch, Wed-Fri 9am-4pm.</v>
      </c>
      <c r="AE1603" s="64" t="str">
        <f t="shared" si="268"/>
        <v>mailto:firstname256.lastname256@example.com?subject=Supply%20order%20ready%20for%20pickup&amp;body=Dear%20PSW%2C%0A%0AYour%20order%20is%20ready%20for%20pickup%20from%20Sample%20Branch%2C%20Wed-Fri%209am-4pm.</v>
      </c>
      <c r="AF1603" s="89" t="str">
        <f t="shared" si="277"/>
        <v>Draft email</v>
      </c>
      <c r="AG1603" s="64" t="str">
        <f>IF($C1603="","",IFERROR(INDEX('Staff Directory'!$K$595:$K$599,MATCH($C1603,'Staff Directory'!$B$5:$B$599,0)),$D1603))</f>
        <v>PSW</v>
      </c>
      <c r="AH1603" t="str">
        <f>IF($C1603="","",IFERROR(INDEX('Staff Directory'!$I$595:$I$599,MATCH($C1603,'Staff Directory'!$B$5:$B$599,0))&amp;" "&amp;INDEX('Staff Directory'!$J$595:$J$599,MATCH($C1603,'Staff Directory'!$B$5:$B$599,0)),$AG1603))</f>
        <v>PSW</v>
      </c>
      <c r="AI1603" s="102"/>
      <c r="AJ1603" s="101">
        <f>IF($F1603="","",SUMIFS($J$5:$J1603,$F$5:$F1603,$F1603))</f>
        <v>215</v>
      </c>
      <c r="AK1603" s="101">
        <f t="shared" si="269"/>
        <v>211</v>
      </c>
      <c r="AL1603" s="66" t="str" cm="1">
        <f t="array" ref="AL1603">IF($F1603="","",IFERROR(INDEX('Lot Balance'!$B$5:$B$500,MATCH(1,INDEX(('Lot Balance'!$A$5:$A$500=$F1603)*('Lot Balance'!$K$5:$K$500&lt;$AK1603)*('Lot Balance'!$K$5:$K$500+'Lot Balance'!$D$5:$D$500&gt;=$AK1603),0),0)),""))</f>
        <v>YG500280</v>
      </c>
      <c r="AM1603" s="66" t="str" cm="1">
        <f t="array" ref="AM1603">IF($F1603="","",IFERROR(INDEX('Lot Balance'!$B$5:$B$500,MATCH(1,INDEX(('Lot Balance'!$A$5:$A$500=$F1603)*('Lot Balance'!$K$5:$K$500&lt;$AJ1603)*('Lot Balance'!$K$5:$K$500+'Lot Balance'!$D$5:$D$500&gt;=$AJ1603),0),0)),""))</f>
        <v>YG500280</v>
      </c>
      <c r="AN1603" s="66" t="str">
        <f>IF($F1603="","",IF($AI1603&lt;&gt;"",IF(COUNTIFS('Lot Balance'!$A$5:$A$500,$F1603,'Lot Balance'!$B$5:$B$500,$AI1603)=0,"⚠ override is not a lot of this item",IF($AI1603=$AL1603,"Override = FEFO","Override - FEFO says "&amp;$AL1603)),IF($AL1603="","⚠ no receipt on file for this item",IF($AM1603&lt;&gt;$AL1603,"FEFO auto - split, also "&amp;$AM1603,"FEFO auto"))))</f>
        <v>FEFO auto</v>
      </c>
      <c r="AO1603" s="114"/>
    </row>
    <row r="1604" spans="1:41" x14ac:dyDescent="0.35">
      <c r="A1604" s="74">
        <v>46209</v>
      </c>
      <c r="B1604" s="18" t="str">
        <f>IF($C1604="","",IFERROR(INDEX('Staff Directory'!$A$5:$A$594,MATCH($C1604,'Staff Directory'!$B$5:$B$594,0)),"⚠ unknown staff"))</f>
        <v>PSW-193-TBD</v>
      </c>
      <c r="C1604" s="49" t="s">
        <v>1172</v>
      </c>
      <c r="D1604" s="19" t="str">
        <f>IF($B1604="","",IFERROR(INDEX('Staff Directory'!$C$5:$C$594,MATCH($B1604,'Staff Directory'!$A$5:$A$594,0)),""))</f>
        <v>PSW</v>
      </c>
      <c r="E1604" s="19">
        <f>IF($B1604="","",IFERROR(INDEX('Staff Directory'!$D$5:$D$594,MATCH($B1604,'Staff Directory'!$A$5:$A$594,0)),""))</f>
        <v>0</v>
      </c>
      <c r="F1604" s="9" t="s">
        <v>145</v>
      </c>
      <c r="G1604" s="18" t="str">
        <f>IF($F1604="","",IFERROR(INDEX(Items!$B$5:$B$597,MATCH($F1604,Items!$A$5:$A$597,0)),"⚠ not in Items"))</f>
        <v>Apparel</v>
      </c>
      <c r="H1604" s="19" t="str">
        <f>IF($F1604="","",IFERROR(INDEX(Items!$C$5:$C$597,MATCH($F1604,Items!$A$5:$A$597,0)),""))</f>
        <v>One Size</v>
      </c>
      <c r="I1604" s="23">
        <f>IF($F1604="","",IFERROR(INDEX(Items!$E$5:$E$597,MATCH($F1604,Items!$A$5:$A$597,0)),""))</f>
        <v>5</v>
      </c>
      <c r="J1604" s="115">
        <f>IF(tblIssues[[#This Row],[Qty Override]]&lt;&gt;"",tblIssues[[#This Row],[Qty Override]],IF(tblIssues[[#This Row],[Standard Issue]]="","",tblIssues[[#This Row],[Standard Issue]]))</f>
        <v>5</v>
      </c>
      <c r="K1604" s="20">
        <f>IF($F1604="","",IFERROR(INDEX(Items!$D$5:$D$597,MATCH($F1604,Items!$A$5:$A$597,0)),""))</f>
        <v>3</v>
      </c>
      <c r="L1604" s="21">
        <f t="shared" si="272"/>
        <v>15</v>
      </c>
      <c r="M1604" s="9" t="str">
        <f t="shared" si="270"/>
        <v>WRB500270</v>
      </c>
      <c r="N1604" s="24">
        <f>IF($A1604="","",WORKDAY($A1604,Settings!$C$9,HolidayDates))</f>
        <v>46217</v>
      </c>
      <c r="O1604" s="24">
        <f>IF($N1604="","",WORKDAY($N1604,Settings!$C$10,HolidayDates))</f>
        <v>46255</v>
      </c>
      <c r="P1604" s="10" t="s">
        <v>501</v>
      </c>
      <c r="Q1604" s="52" t="str">
        <f t="shared" si="273"/>
        <v>Collected</v>
      </c>
      <c r="R1604" s="55" t="str">
        <f t="shared" si="274"/>
        <v>2026-07</v>
      </c>
      <c r="S1604" s="55">
        <f>IF(OR($B1604="",$F1604="",$R1604=""),"",SUMIFS(tblIssues[Qty Issued],tblIssues[Staff ID],$B1604,tblIssues[Item Name],$F1604,tblIssues[Month],$R1604))</f>
        <v>5</v>
      </c>
      <c r="T1604" s="56">
        <f>IF($I1604="","",$I1604*Settings!$C$11)</f>
        <v>5</v>
      </c>
      <c r="U1604" s="57" t="str">
        <f t="shared" si="271"/>
        <v>OK</v>
      </c>
      <c r="V1604" s="55" t="str">
        <f t="shared" si="275"/>
        <v/>
      </c>
      <c r="W1604" s="55" t="str">
        <f>IF($V1604="","",IF(COUNTIF($V$5:$V1604,$V1604)=1,1,""))</f>
        <v/>
      </c>
      <c r="X1604" s="58" t="str">
        <f>IF($W1604="","",MAX($X$4:X1603)+1)</f>
        <v/>
      </c>
      <c r="Y1604" s="62"/>
      <c r="Z1604" s="62"/>
      <c r="AA1604" s="64" t="str">
        <f>IF($C1604="","",IFERROR(INDEX('Staff Directory'!$E$5:$E$594,MATCH($C1604,'Staff Directory'!$B$5:$B$594,0)),""))</f>
        <v>firstname256.lastname256@example.com</v>
      </c>
      <c r="AB1604" s="64" t="str">
        <f>IF($C1604="","",IF(ISNUMBER(SEARCH($D1604,Settings!$C$15)),"Pickup","Dispatch"))</f>
        <v>Pickup</v>
      </c>
      <c r="AC1604" s="64" t="str">
        <f t="shared" si="276"/>
        <v>Supply order ready for pickup</v>
      </c>
      <c r="AD1604" s="64" t="str">
        <f t="shared" si="267"/>
        <v>Dear PSW,
Your order is ready for pickup from Sample Branch, Wed-Fri 9am-4pm.</v>
      </c>
      <c r="AE1604" s="64" t="str">
        <f t="shared" si="268"/>
        <v>mailto:firstname256.lastname256@example.com?subject=Supply%20order%20ready%20for%20pickup&amp;body=Dear%20PSW%2C%0A%0AYour%20order%20is%20ready%20for%20pickup%20from%20Sample%20Branch%2C%20Wed-Fri%209am-4pm.</v>
      </c>
      <c r="AF1604" s="89" t="str">
        <f t="shared" si="277"/>
        <v>Draft email</v>
      </c>
      <c r="AG1604" s="64" t="str">
        <f>IF($C1604="","",IFERROR(INDEX('Staff Directory'!$K$595:$K$599,MATCH($C1604,'Staff Directory'!$B$5:$B$599,0)),$D1604))</f>
        <v>PSW</v>
      </c>
      <c r="AH1604" t="str">
        <f>IF($C1604="","",IFERROR(INDEX('Staff Directory'!$I$595:$I$599,MATCH($C1604,'Staff Directory'!$B$5:$B$599,0))&amp;" "&amp;INDEX('Staff Directory'!$J$595:$J$599,MATCH($C1604,'Staff Directory'!$B$5:$B$599,0)),$AG1604))</f>
        <v>PSW</v>
      </c>
      <c r="AI1604" s="102"/>
      <c r="AJ1604" s="101">
        <f>IF($F1604="","",SUMIFS($J$5:$J1604,$F$5:$F1604,$F1604))</f>
        <v>90</v>
      </c>
      <c r="AK1604" s="101">
        <f t="shared" si="269"/>
        <v>86</v>
      </c>
      <c r="AL1604" s="66" t="str" cm="1">
        <f t="array" ref="AL1604">IF($F1604="","",IFERROR(INDEX('Lot Balance'!$B$5:$B$500,MATCH(1,INDEX(('Lot Balance'!$A$5:$A$500=$F1604)*('Lot Balance'!$K$5:$K$500&lt;$AK1604)*('Lot Balance'!$K$5:$K$500+'Lot Balance'!$D$5:$D$500&gt;=$AK1604),0),0)),""))</f>
        <v>WRB500270</v>
      </c>
      <c r="AM1604" s="66" t="str" cm="1">
        <f t="array" ref="AM1604">IF($F1604="","",IFERROR(INDEX('Lot Balance'!$B$5:$B$500,MATCH(1,INDEX(('Lot Balance'!$A$5:$A$500=$F1604)*('Lot Balance'!$K$5:$K$500&lt;$AJ1604)*('Lot Balance'!$K$5:$K$500+'Lot Balance'!$D$5:$D$500&gt;=$AJ1604),0),0)),""))</f>
        <v>WRB500270</v>
      </c>
      <c r="AN1604" s="66" t="str">
        <f>IF($F1604="","",IF($AI1604&lt;&gt;"",IF(COUNTIFS('Lot Balance'!$A$5:$A$500,$F1604,'Lot Balance'!$B$5:$B$500,$AI1604)=0,"⚠ override is not a lot of this item",IF($AI1604=$AL1604,"Override = FEFO","Override - FEFO says "&amp;$AL1604)),IF($AL1604="","⚠ no receipt on file for this item",IF($AM1604&lt;&gt;$AL1604,"FEFO auto - split, also "&amp;$AM1604,"FEFO auto"))))</f>
        <v>FEFO auto</v>
      </c>
      <c r="AO1604" s="114"/>
    </row>
    <row r="1605" spans="1:41" x14ac:dyDescent="0.35">
      <c r="A1605" s="74">
        <v>46209</v>
      </c>
      <c r="B1605" s="18" t="str">
        <f>IF($C1605="","",IFERROR(INDEX('Staff Directory'!$A$5:$A$594,MATCH($C1605,'Staff Directory'!$B$5:$B$594,0)),"⚠ unknown staff"))</f>
        <v>PSW-193-TBD</v>
      </c>
      <c r="C1605" s="49" t="s">
        <v>1172</v>
      </c>
      <c r="D1605" s="19" t="str">
        <f>IF($B1605="","",IFERROR(INDEX('Staff Directory'!$C$5:$C$594,MATCH($B1605,'Staff Directory'!$A$5:$A$594,0)),""))</f>
        <v>PSW</v>
      </c>
      <c r="E1605" s="19">
        <f>IF($B1605="","",IFERROR(INDEX('Staff Directory'!$D$5:$D$594,MATCH($B1605,'Staff Directory'!$A$5:$A$594,0)),""))</f>
        <v>0</v>
      </c>
      <c r="F1605" s="9" t="s">
        <v>144</v>
      </c>
      <c r="G1605" s="18" t="str">
        <f>IF($F1605="","",IFERROR(INDEX(Items!$B$5:$B$597,MATCH($F1605,Items!$A$5:$A$597,0)),"⚠ not in Items"))</f>
        <v>IPAC</v>
      </c>
      <c r="H1605" s="19" t="str">
        <f>IF($F1605="","",IFERROR(INDEX(Items!$C$5:$C$597,MATCH($F1605,Items!$A$5:$A$597,0)),""))</f>
        <v>One Size</v>
      </c>
      <c r="I1605" s="23">
        <f>IF($F1605="","",IFERROR(INDEX(Items!$E$5:$E$597,MATCH($F1605,Items!$A$5:$A$597,0)),""))</f>
        <v>4</v>
      </c>
      <c r="J1605" s="115">
        <f>IF(tblIssues[[#This Row],[Qty Override]]&lt;&gt;"",tblIssues[[#This Row],[Qty Override]],IF(tblIssues[[#This Row],[Standard Issue]]="","",tblIssues[[#This Row],[Standard Issue]]))</f>
        <v>4</v>
      </c>
      <c r="K1605" s="20">
        <f>IF($F1605="","",IFERROR(INDEX(Items!$D$5:$D$597,MATCH($F1605,Items!$A$5:$A$597,0)),""))</f>
        <v>145.97999999999999</v>
      </c>
      <c r="L1605" s="21">
        <f t="shared" si="272"/>
        <v>583.91999999999996</v>
      </c>
      <c r="M1605" s="9" t="str">
        <f t="shared" si="270"/>
        <v/>
      </c>
      <c r="N1605" s="24">
        <f>IF($A1605="","",WORKDAY($A1605,Settings!$C$9,HolidayDates))</f>
        <v>46217</v>
      </c>
      <c r="O1605" s="24">
        <f>IF($N1605="","",WORKDAY($N1605,Settings!$C$10,HolidayDates))</f>
        <v>46255</v>
      </c>
      <c r="P1605" s="10" t="s">
        <v>501</v>
      </c>
      <c r="Q1605" s="52" t="str">
        <f t="shared" si="273"/>
        <v>Collected</v>
      </c>
      <c r="R1605" s="55" t="str">
        <f t="shared" si="274"/>
        <v>2026-07</v>
      </c>
      <c r="S1605" s="55">
        <f>IF(OR($B1605="",$F1605="",$R1605=""),"",SUMIFS(tblIssues[Qty Issued],tblIssues[Staff ID],$B1605,tblIssues[Item Name],$F1605,tblIssues[Month],$R1605))</f>
        <v>4</v>
      </c>
      <c r="T1605" s="56">
        <f>IF($I1605="","",$I1605*Settings!$C$11)</f>
        <v>4</v>
      </c>
      <c r="U1605" s="57" t="str">
        <f t="shared" si="271"/>
        <v>OK</v>
      </c>
      <c r="V1605" s="55" t="str">
        <f t="shared" si="275"/>
        <v/>
      </c>
      <c r="W1605" s="55" t="str">
        <f>IF($V1605="","",IF(COUNTIF($V$5:$V1605,$V1605)=1,1,""))</f>
        <v/>
      </c>
      <c r="X1605" s="58" t="str">
        <f>IF($W1605="","",MAX($X$4:X1604)+1)</f>
        <v/>
      </c>
      <c r="Y1605" s="62"/>
      <c r="Z1605" s="62"/>
      <c r="AA1605" s="64" t="str">
        <f>IF($C1605="","",IFERROR(INDEX('Staff Directory'!$E$5:$E$594,MATCH($C1605,'Staff Directory'!$B$5:$B$594,0)),""))</f>
        <v>firstname256.lastname256@example.com</v>
      </c>
      <c r="AB1605" s="64" t="str">
        <f>IF($C1605="","",IF(ISNUMBER(SEARCH($D1605,Settings!$C$15)),"Pickup","Dispatch"))</f>
        <v>Pickup</v>
      </c>
      <c r="AC1605" s="64" t="str">
        <f t="shared" si="276"/>
        <v>Supply order ready for pickup</v>
      </c>
      <c r="AD1605" s="64" t="str">
        <f t="shared" ref="AD1605:AD1668" si="278">IF($AB1605="Pickup","Dear "&amp;$AH1605&amp;","&amp;CHAR(10)&amp;CHAR(10)&amp;"Your order is ready for pickup from Sample Branch, Wed-Fri 9am-4pm.",IF($AB1605="Dispatch","Dear "&amp;$AH1605&amp;","&amp;CHAR(10)&amp;CHAR(10)&amp;"Your order has been dispatched and is in transit. Reply if undelivered.",""))</f>
        <v>Dear PSW,
Your order is ready for pickup from Sample Branch, Wed-Fri 9am-4pm.</v>
      </c>
      <c r="AE1605" s="64" t="str">
        <f t="shared" ref="AE1605:AE1668" si="279">IF(OR($AA1605="",$AC1605=""),"","mailto:"&amp;$AA1605&amp;"?subject="&amp;_xlfn.ENCODEURL($AC1605)&amp;"&amp;body="&amp;_xlfn.ENCODEURL($AD1605))</f>
        <v>mailto:firstname256.lastname256@example.com?subject=Supply%20order%20ready%20for%20pickup&amp;body=Dear%20PSW%2C%0A%0AYour%20order%20is%20ready%20for%20pickup%20from%20Sample%20Branch%2C%20Wed-Fri%209am-4pm.</v>
      </c>
      <c r="AF1605" s="89" t="str">
        <f t="shared" si="277"/>
        <v>Draft email</v>
      </c>
      <c r="AG1605" s="64" t="str">
        <f>IF($C1605="","",IFERROR(INDEX('Staff Directory'!$K$595:$K$599,MATCH($C1605,'Staff Directory'!$B$5:$B$599,0)),$D1605))</f>
        <v>PSW</v>
      </c>
      <c r="AH1605" t="str">
        <f>IF($C1605="","",IFERROR(INDEX('Staff Directory'!$I$595:$I$599,MATCH($C1605,'Staff Directory'!$B$5:$B$599,0))&amp;" "&amp;INDEX('Staff Directory'!$J$595:$J$599,MATCH($C1605,'Staff Directory'!$B$5:$B$599,0)),$AG1605))</f>
        <v>PSW</v>
      </c>
      <c r="AI1605" s="102"/>
      <c r="AJ1605" s="101">
        <f>IF($F1605="","",SUMIFS($J$5:$J1605,$F$5:$F1605,$F1605))</f>
        <v>88</v>
      </c>
      <c r="AK1605" s="101">
        <f t="shared" ref="AK1605:AK1668" si="280">IF($F1605="","",MAX(1,$AJ1605-MAX($J1605,0)+1))</f>
        <v>85</v>
      </c>
      <c r="AL1605" s="66" t="str" cm="1">
        <f t="array" ref="AL1605">IF($F1605="","",IFERROR(INDEX('Lot Balance'!$B$5:$B$500,MATCH(1,INDEX(('Lot Balance'!$A$5:$A$500=$F1605)*('Lot Balance'!$K$5:$K$500&lt;$AK1605)*('Lot Balance'!$K$5:$K$500+'Lot Balance'!$D$5:$D$500&gt;=$AK1605),0),0)),""))</f>
        <v/>
      </c>
      <c r="AM1605" s="66" t="str" cm="1">
        <f t="array" ref="AM1605">IF($F1605="","",IFERROR(INDEX('Lot Balance'!$B$5:$B$500,MATCH(1,INDEX(('Lot Balance'!$A$5:$A$500=$F1605)*('Lot Balance'!$K$5:$K$500&lt;$AJ1605)*('Lot Balance'!$K$5:$K$500+'Lot Balance'!$D$5:$D$500&gt;=$AJ1605),0),0)),""))</f>
        <v/>
      </c>
      <c r="AN1605" s="66" t="str">
        <f>IF($F1605="","",IF($AI1605&lt;&gt;"",IF(COUNTIFS('Lot Balance'!$A$5:$A$500,$F1605,'Lot Balance'!$B$5:$B$500,$AI1605)=0,"⚠ override is not a lot of this item",IF($AI1605=$AL1605,"Override = FEFO","Override - FEFO says "&amp;$AL1605)),IF($AL1605="","⚠ no receipt on file for this item",IF($AM1605&lt;&gt;$AL1605,"FEFO auto - split, also "&amp;$AM1605,"FEFO auto"))))</f>
        <v>⚠ no receipt on file for this item</v>
      </c>
      <c r="AO1605" s="114"/>
    </row>
    <row r="1606" spans="1:41" x14ac:dyDescent="0.35">
      <c r="A1606" s="74">
        <v>46209</v>
      </c>
      <c r="B1606" s="18" t="str">
        <f>IF($C1606="","",IFERROR(INDEX('Staff Directory'!$A$5:$A$594,MATCH($C1606,'Staff Directory'!$B$5:$B$594,0)),"⚠ unknown staff"))</f>
        <v>PSW-193-TBD</v>
      </c>
      <c r="C1606" s="49" t="s">
        <v>1172</v>
      </c>
      <c r="D1606" s="19" t="str">
        <f>IF($B1606="","",IFERROR(INDEX('Staff Directory'!$C$5:$C$594,MATCH($B1606,'Staff Directory'!$A$5:$A$594,0)),""))</f>
        <v>PSW</v>
      </c>
      <c r="E1606" s="19">
        <f>IF($B1606="","",IFERROR(INDEX('Staff Directory'!$D$5:$D$594,MATCH($B1606,'Staff Directory'!$A$5:$A$594,0)),""))</f>
        <v>0</v>
      </c>
      <c r="F1606" s="9" t="s">
        <v>154</v>
      </c>
      <c r="G1606" s="18" t="str">
        <f>IF($F1606="","",IFERROR(INDEX(Items!$B$5:$B$597,MATCH($F1606,Items!$A$5:$A$597,0)),"⚠ not in Items"))</f>
        <v>IPAC</v>
      </c>
      <c r="H1606" s="19" t="str">
        <f>IF($F1606="","",IFERROR(INDEX(Items!$C$5:$C$597,MATCH($F1606,Items!$A$5:$A$597,0)),""))</f>
        <v>Regular</v>
      </c>
      <c r="I1606" s="23">
        <f>IF($F1606="","",IFERROR(INDEX(Items!$E$5:$E$597,MATCH($F1606,Items!$A$5:$A$597,0)),""))</f>
        <v>50</v>
      </c>
      <c r="J1606" s="115">
        <f>IF(tblIssues[[#This Row],[Qty Override]]&lt;&gt;"",tblIssues[[#This Row],[Qty Override]],IF(tblIssues[[#This Row],[Standard Issue]]="","",tblIssues[[#This Row],[Standard Issue]]))</f>
        <v>50</v>
      </c>
      <c r="K1606" s="20">
        <f>IF($F1606="","",IFERROR(INDEX(Items!$D$5:$D$597,MATCH($F1606,Items!$A$5:$A$597,0)),""))</f>
        <v>0.2</v>
      </c>
      <c r="L1606" s="21">
        <f t="shared" si="272"/>
        <v>10</v>
      </c>
      <c r="M1606" s="9" t="str">
        <f t="shared" ref="M1606:M1669" si="281">IF($F1606="","",IF($AI1606&lt;&gt;"",$AI1606,$AL1606))</f>
        <v/>
      </c>
      <c r="N1606" s="24">
        <f>IF($A1606="","",WORKDAY($A1606,Settings!$C$9,HolidayDates))</f>
        <v>46217</v>
      </c>
      <c r="O1606" s="24">
        <f>IF($N1606="","",WORKDAY($N1606,Settings!$C$10,HolidayDates))</f>
        <v>46255</v>
      </c>
      <c r="P1606" s="10" t="s">
        <v>501</v>
      </c>
      <c r="Q1606" s="52" t="str">
        <f t="shared" si="273"/>
        <v>Collected</v>
      </c>
      <c r="R1606" s="55" t="str">
        <f t="shared" si="274"/>
        <v>2026-07</v>
      </c>
      <c r="S1606" s="55">
        <f>IF(OR($B1606="",$F1606="",$R1606=""),"",SUMIFS(tblIssues[Qty Issued],tblIssues[Staff ID],$B1606,tblIssues[Item Name],$F1606,tblIssues[Month],$R1606))</f>
        <v>50</v>
      </c>
      <c r="T1606" s="56">
        <f>IF($I1606="","",$I1606*Settings!$C$11)</f>
        <v>50</v>
      </c>
      <c r="U1606" s="57" t="str">
        <f t="shared" ref="U1606:U1669" si="282">IF(OR($S1606="",$T1606=""),"",IF($S1606&gt;$T1606,IF($Y1606="Approved","APPROVED BY TL","⚠ OVER QUOTA"),"OK"))</f>
        <v>OK</v>
      </c>
      <c r="V1606" s="55" t="str">
        <f t="shared" si="275"/>
        <v/>
      </c>
      <c r="W1606" s="55" t="str">
        <f>IF($V1606="","",IF(COUNTIF($V$5:$V1606,$V1606)=1,1,""))</f>
        <v/>
      </c>
      <c r="X1606" s="58" t="str">
        <f>IF($W1606="","",MAX($X$4:X1605)+1)</f>
        <v/>
      </c>
      <c r="Y1606" s="62"/>
      <c r="Z1606" s="62"/>
      <c r="AA1606" s="64" t="str">
        <f>IF($C1606="","",IFERROR(INDEX('Staff Directory'!$E$5:$E$594,MATCH($C1606,'Staff Directory'!$B$5:$B$594,0)),""))</f>
        <v>firstname256.lastname256@example.com</v>
      </c>
      <c r="AB1606" s="64" t="str">
        <f>IF($C1606="","",IF(ISNUMBER(SEARCH($D1606,Settings!$C$15)),"Pickup","Dispatch"))</f>
        <v>Pickup</v>
      </c>
      <c r="AC1606" s="64" t="str">
        <f t="shared" si="276"/>
        <v>Supply order ready for pickup</v>
      </c>
      <c r="AD1606" s="64" t="str">
        <f t="shared" si="278"/>
        <v>Dear PSW,
Your order is ready for pickup from Sample Branch, Wed-Fri 9am-4pm.</v>
      </c>
      <c r="AE1606" s="64" t="str">
        <f t="shared" si="279"/>
        <v>mailto:firstname256.lastname256@example.com?subject=Supply%20order%20ready%20for%20pickup&amp;body=Dear%20PSW%2C%0A%0AYour%20order%20is%20ready%20for%20pickup%20from%20Sample%20Branch%2C%20Wed-Fri%209am-4pm.</v>
      </c>
      <c r="AF1606" s="89" t="str">
        <f t="shared" si="277"/>
        <v>Draft email</v>
      </c>
      <c r="AG1606" s="64" t="str">
        <f>IF($C1606="","",IFERROR(INDEX('Staff Directory'!$K$595:$K$599,MATCH($C1606,'Staff Directory'!$B$5:$B$599,0)),$D1606))</f>
        <v>PSW</v>
      </c>
      <c r="AH1606" t="str">
        <f>IF($C1606="","",IFERROR(INDEX('Staff Directory'!$I$595:$I$599,MATCH($C1606,'Staff Directory'!$B$5:$B$599,0))&amp;" "&amp;INDEX('Staff Directory'!$J$595:$J$599,MATCH($C1606,'Staff Directory'!$B$5:$B$599,0)),$AG1606))</f>
        <v>PSW</v>
      </c>
      <c r="AI1606" s="102"/>
      <c r="AJ1606" s="101">
        <f>IF($F1606="","",SUMIFS($J$5:$J1606,$F$5:$F1606,$F1606))</f>
        <v>1700</v>
      </c>
      <c r="AK1606" s="101">
        <f t="shared" si="280"/>
        <v>1651</v>
      </c>
      <c r="AL1606" s="66" t="str" cm="1">
        <f t="array" ref="AL1606">IF($F1606="","",IFERROR(INDEX('Lot Balance'!$B$5:$B$500,MATCH(1,INDEX(('Lot Balance'!$A$5:$A$500=$F1606)*('Lot Balance'!$K$5:$K$500&lt;$AK1606)*('Lot Balance'!$K$5:$K$500+'Lot Balance'!$D$5:$D$500&gt;=$AK1606),0),0)),""))</f>
        <v/>
      </c>
      <c r="AM1606" s="66" t="str" cm="1">
        <f t="array" ref="AM1606">IF($F1606="","",IFERROR(INDEX('Lot Balance'!$B$5:$B$500,MATCH(1,INDEX(('Lot Balance'!$A$5:$A$500=$F1606)*('Lot Balance'!$K$5:$K$500&lt;$AJ1606)*('Lot Balance'!$K$5:$K$500+'Lot Balance'!$D$5:$D$500&gt;=$AJ1606),0),0)),""))</f>
        <v/>
      </c>
      <c r="AN1606" s="66" t="str">
        <f>IF($F1606="","",IF($AI1606&lt;&gt;"",IF(COUNTIFS('Lot Balance'!$A$5:$A$500,$F1606,'Lot Balance'!$B$5:$B$500,$AI1606)=0,"⚠ override is not a lot of this item",IF($AI1606=$AL1606,"Override = FEFO","Override - FEFO says "&amp;$AL1606)),IF($AL1606="","⚠ no receipt on file for this item",IF($AM1606&lt;&gt;$AL1606,"FEFO auto - split, also "&amp;$AM1606,"FEFO auto"))))</f>
        <v>⚠ no receipt on file for this item</v>
      </c>
      <c r="AO1606" s="114"/>
    </row>
    <row r="1607" spans="1:41" x14ac:dyDescent="0.35">
      <c r="A1607" s="74">
        <v>46209</v>
      </c>
      <c r="B1607" s="18" t="str">
        <f>IF($C1607="","",IFERROR(INDEX('Staff Directory'!$A$5:$A$594,MATCH($C1607,'Staff Directory'!$B$5:$B$594,0)),"⚠ unknown staff"))</f>
        <v>PSW-193-TBD</v>
      </c>
      <c r="C1607" s="49" t="s">
        <v>1172</v>
      </c>
      <c r="D1607" s="19" t="str">
        <f>IF($B1607="","",IFERROR(INDEX('Staff Directory'!$C$5:$C$594,MATCH($B1607,'Staff Directory'!$A$5:$A$594,0)),""))</f>
        <v>PSW</v>
      </c>
      <c r="E1607" s="19">
        <f>IF($B1607="","",IFERROR(INDEX('Staff Directory'!$D$5:$D$594,MATCH($B1607,'Staff Directory'!$A$5:$A$594,0)),""))</f>
        <v>0</v>
      </c>
      <c r="F1607" s="9" t="s">
        <v>136</v>
      </c>
      <c r="G1607" s="18" t="str">
        <f>IF($F1607="","",IFERROR(INDEX(Items!$B$5:$B$597,MATCH($F1607,Items!$A$5:$A$597,0)),"⚠ not in Items"))</f>
        <v>Eye Protection</v>
      </c>
      <c r="H1607" s="19" t="str">
        <f>IF($F1607="","",IFERROR(INDEX(Items!$C$5:$C$597,MATCH($F1607,Items!$A$5:$A$597,0)),""))</f>
        <v>One Size</v>
      </c>
      <c r="I1607" s="23">
        <f>IF($F1607="","",IFERROR(INDEX(Items!$E$5:$E$597,MATCH($F1607,Items!$A$5:$A$597,0)),""))</f>
        <v>1</v>
      </c>
      <c r="J1607" s="115">
        <f>IF(tblIssues[[#This Row],[Qty Override]]&lt;&gt;"",tblIssues[[#This Row],[Qty Override]],IF(tblIssues[[#This Row],[Standard Issue]]="","",tblIssues[[#This Row],[Standard Issue]]))</f>
        <v>1</v>
      </c>
      <c r="K1607" s="20">
        <f>IF($F1607="","",IFERROR(INDEX(Items!$D$5:$D$597,MATCH($F1607,Items!$A$5:$A$597,0)),""))</f>
        <v>10</v>
      </c>
      <c r="L1607" s="21">
        <f t="shared" si="272"/>
        <v>10</v>
      </c>
      <c r="M1607" s="9" t="str">
        <f t="shared" si="281"/>
        <v>GGL5003700</v>
      </c>
      <c r="N1607" s="24">
        <f>IF($A1607="","",WORKDAY($A1607,Settings!$C$9,HolidayDates))</f>
        <v>46217</v>
      </c>
      <c r="O1607" s="24">
        <f>IF($N1607="","",WORKDAY($N1607,Settings!$C$10,HolidayDates))</f>
        <v>46255</v>
      </c>
      <c r="P1607" s="10" t="s">
        <v>501</v>
      </c>
      <c r="Q1607" s="52" t="str">
        <f t="shared" si="273"/>
        <v>Collected</v>
      </c>
      <c r="R1607" s="55" t="str">
        <f t="shared" si="274"/>
        <v>2026-07</v>
      </c>
      <c r="S1607" s="55">
        <f>IF(OR($B1607="",$F1607="",$R1607=""),"",SUMIFS(tblIssues[Qty Issued],tblIssues[Staff ID],$B1607,tblIssues[Item Name],$F1607,tblIssues[Month],$R1607))</f>
        <v>1</v>
      </c>
      <c r="T1607" s="56">
        <f>IF($I1607="","",$I1607*Settings!$C$11)</f>
        <v>1</v>
      </c>
      <c r="U1607" s="57" t="str">
        <f t="shared" si="282"/>
        <v>OK</v>
      </c>
      <c r="V1607" s="55" t="str">
        <f t="shared" si="275"/>
        <v/>
      </c>
      <c r="W1607" s="55" t="str">
        <f>IF($V1607="","",IF(COUNTIF($V$5:$V1607,$V1607)=1,1,""))</f>
        <v/>
      </c>
      <c r="X1607" s="58" t="str">
        <f>IF($W1607="","",MAX($X$4:X1606)+1)</f>
        <v/>
      </c>
      <c r="Y1607" s="62"/>
      <c r="Z1607" s="62"/>
      <c r="AA1607" s="64" t="str">
        <f>IF($C1607="","",IFERROR(INDEX('Staff Directory'!$E$5:$E$594,MATCH($C1607,'Staff Directory'!$B$5:$B$594,0)),""))</f>
        <v>firstname256.lastname256@example.com</v>
      </c>
      <c r="AB1607" s="64" t="str">
        <f>IF($C1607="","",IF(ISNUMBER(SEARCH($D1607,Settings!$C$15)),"Pickup","Dispatch"))</f>
        <v>Pickup</v>
      </c>
      <c r="AC1607" s="64" t="str">
        <f t="shared" si="276"/>
        <v>Supply order ready for pickup</v>
      </c>
      <c r="AD1607" s="64" t="str">
        <f t="shared" si="278"/>
        <v>Dear PSW,
Your order is ready for pickup from Sample Branch, Wed-Fri 9am-4pm.</v>
      </c>
      <c r="AE1607" s="64" t="str">
        <f t="shared" si="279"/>
        <v>mailto:firstname256.lastname256@example.com?subject=Supply%20order%20ready%20for%20pickup&amp;body=Dear%20PSW%2C%0A%0AYour%20order%20is%20ready%20for%20pickup%20from%20Sample%20Branch%2C%20Wed-Fri%209am-4pm.</v>
      </c>
      <c r="AF1607" s="89" t="str">
        <f t="shared" si="277"/>
        <v>Draft email</v>
      </c>
      <c r="AG1607" s="64" t="str">
        <f>IF($C1607="","",IFERROR(INDEX('Staff Directory'!$K$595:$K$599,MATCH($C1607,'Staff Directory'!$B$5:$B$599,0)),$D1607))</f>
        <v>PSW</v>
      </c>
      <c r="AH1607" t="str">
        <f>IF($C1607="","",IFERROR(INDEX('Staff Directory'!$I$595:$I$599,MATCH($C1607,'Staff Directory'!$B$5:$B$599,0))&amp;" "&amp;INDEX('Staff Directory'!$J$595:$J$599,MATCH($C1607,'Staff Directory'!$B$5:$B$599,0)),$AG1607))</f>
        <v>PSW</v>
      </c>
      <c r="AI1607" s="102"/>
      <c r="AJ1607" s="101">
        <f>IF($F1607="","",SUMIFS($J$5:$J1607,$F$5:$F1607,$F1607))</f>
        <v>18</v>
      </c>
      <c r="AK1607" s="101">
        <f t="shared" si="280"/>
        <v>18</v>
      </c>
      <c r="AL1607" s="66" t="str" cm="1">
        <f t="array" ref="AL1607">IF($F1607="","",IFERROR(INDEX('Lot Balance'!$B$5:$B$500,MATCH(1,INDEX(('Lot Balance'!$A$5:$A$500=$F1607)*('Lot Balance'!$K$5:$K$500&lt;$AK1607)*('Lot Balance'!$K$5:$K$500+'Lot Balance'!$D$5:$D$500&gt;=$AK1607),0),0)),""))</f>
        <v>GGL5003700</v>
      </c>
      <c r="AM1607" s="66" t="str" cm="1">
        <f t="array" ref="AM1607">IF($F1607="","",IFERROR(INDEX('Lot Balance'!$B$5:$B$500,MATCH(1,INDEX(('Lot Balance'!$A$5:$A$500=$F1607)*('Lot Balance'!$K$5:$K$500&lt;$AJ1607)*('Lot Balance'!$K$5:$K$500+'Lot Balance'!$D$5:$D$500&gt;=$AJ1607),0),0)),""))</f>
        <v>GGL5003700</v>
      </c>
      <c r="AN1607" s="66" t="str">
        <f>IF($F1607="","",IF($AI1607&lt;&gt;"",IF(COUNTIFS('Lot Balance'!$A$5:$A$500,$F1607,'Lot Balance'!$B$5:$B$500,$AI1607)=0,"⚠ override is not a lot of this item",IF($AI1607=$AL1607,"Override = FEFO","Override - FEFO says "&amp;$AL1607)),IF($AL1607="","⚠ no receipt on file for this item",IF($AM1607&lt;&gt;$AL1607,"FEFO auto - split, also "&amp;$AM1607,"FEFO auto"))))</f>
        <v>FEFO auto</v>
      </c>
      <c r="AO1607" s="114"/>
    </row>
    <row r="1608" spans="1:41" x14ac:dyDescent="0.35">
      <c r="A1608" s="74">
        <v>46209</v>
      </c>
      <c r="B1608" s="18" t="str">
        <f>IF($C1608="","",IFERROR(INDEX('Staff Directory'!$A$5:$A$594,MATCH($C1608,'Staff Directory'!$B$5:$B$594,0)),"⚠ unknown staff"))</f>
        <v>PSW-193-TBD</v>
      </c>
      <c r="C1608" s="49" t="s">
        <v>1172</v>
      </c>
      <c r="D1608" s="19" t="str">
        <f>IF($B1608="","",IFERROR(INDEX('Staff Directory'!$C$5:$C$594,MATCH($B1608,'Staff Directory'!$A$5:$A$594,0)),""))</f>
        <v>PSW</v>
      </c>
      <c r="E1608" s="19">
        <f>IF($B1608="","",IFERROR(INDEX('Staff Directory'!$D$5:$D$594,MATCH($B1608,'Staff Directory'!$A$5:$A$594,0)),""))</f>
        <v>0</v>
      </c>
      <c r="F1608" s="9" t="s">
        <v>122</v>
      </c>
      <c r="G1608" s="18" t="str">
        <f>IF($F1608="","",IFERROR(INDEX(Items!$B$5:$B$597,MATCH($F1608,Items!$A$5:$A$597,0)),"⚠ not in Items"))</f>
        <v>Eye Protection</v>
      </c>
      <c r="H1608" s="19" t="str">
        <f>IF($F1608="","",IFERROR(INDEX(Items!$C$5:$C$597,MATCH($F1608,Items!$A$5:$A$597,0)),""))</f>
        <v>One Size</v>
      </c>
      <c r="I1608" s="23">
        <f>IF($F1608="","",IFERROR(INDEX(Items!$E$5:$E$597,MATCH($F1608,Items!$A$5:$A$597,0)),""))</f>
        <v>1</v>
      </c>
      <c r="J1608" s="115">
        <f>IF(tblIssues[[#This Row],[Qty Override]]&lt;&gt;"",tblIssues[[#This Row],[Qty Override]],IF(tblIssues[[#This Row],[Standard Issue]]="","",tblIssues[[#This Row],[Standard Issue]]))</f>
        <v>1</v>
      </c>
      <c r="K1608" s="20">
        <f>IF($F1608="","",IFERROR(INDEX(Items!$D$5:$D$597,MATCH($F1608,Items!$A$5:$A$597,0)),""))</f>
        <v>7</v>
      </c>
      <c r="L1608" s="21">
        <f t="shared" ref="L1608:L1671" si="283">IF(OR($J1608="",$K1608=""),"",$J1608*$K1608)</f>
        <v>7</v>
      </c>
      <c r="M1608" s="9" t="str">
        <f t="shared" si="281"/>
        <v/>
      </c>
      <c r="N1608" s="24">
        <f>IF($A1608="","",WORKDAY($A1608,Settings!$C$9,HolidayDates))</f>
        <v>46217</v>
      </c>
      <c r="O1608" s="24">
        <f>IF($N1608="","",WORKDAY($N1608,Settings!$C$10,HolidayDates))</f>
        <v>46255</v>
      </c>
      <c r="P1608" s="10" t="s">
        <v>501</v>
      </c>
      <c r="Q1608" s="52" t="str">
        <f t="shared" si="273"/>
        <v>Collected</v>
      </c>
      <c r="R1608" s="55" t="str">
        <f t="shared" si="274"/>
        <v>2026-07</v>
      </c>
      <c r="S1608" s="55">
        <f>IF(OR($B1608="",$F1608="",$R1608=""),"",SUMIFS(tblIssues[Qty Issued],tblIssues[Staff ID],$B1608,tblIssues[Item Name],$F1608,tblIssues[Month],$R1608))</f>
        <v>1</v>
      </c>
      <c r="T1608" s="56">
        <f>IF($I1608="","",$I1608*Settings!$C$11)</f>
        <v>1</v>
      </c>
      <c r="U1608" s="57" t="str">
        <f t="shared" si="282"/>
        <v>OK</v>
      </c>
      <c r="V1608" s="55" t="str">
        <f t="shared" si="275"/>
        <v/>
      </c>
      <c r="W1608" s="55" t="str">
        <f>IF($V1608="","",IF(COUNTIF($V$5:$V1608,$V1608)=1,1,""))</f>
        <v/>
      </c>
      <c r="X1608" s="58" t="str">
        <f>IF($W1608="","",MAX($X$4:X1607)+1)</f>
        <v/>
      </c>
      <c r="Y1608" s="62"/>
      <c r="Z1608" s="62"/>
      <c r="AA1608" s="64" t="str">
        <f>IF($C1608="","",IFERROR(INDEX('Staff Directory'!$E$5:$E$594,MATCH($C1608,'Staff Directory'!$B$5:$B$594,0)),""))</f>
        <v>firstname256.lastname256@example.com</v>
      </c>
      <c r="AB1608" s="64" t="str">
        <f>IF($C1608="","",IF(ISNUMBER(SEARCH($D1608,Settings!$C$15)),"Pickup","Dispatch"))</f>
        <v>Pickup</v>
      </c>
      <c r="AC1608" s="64" t="str">
        <f t="shared" si="276"/>
        <v>Supply order ready for pickup</v>
      </c>
      <c r="AD1608" s="64" t="str">
        <f t="shared" si="278"/>
        <v>Dear PSW,
Your order is ready for pickup from Sample Branch, Wed-Fri 9am-4pm.</v>
      </c>
      <c r="AE1608" s="64" t="str">
        <f t="shared" si="279"/>
        <v>mailto:firstname256.lastname256@example.com?subject=Supply%20order%20ready%20for%20pickup&amp;body=Dear%20PSW%2C%0A%0AYour%20order%20is%20ready%20for%20pickup%20from%20Sample%20Branch%2C%20Wed-Fri%209am-4pm.</v>
      </c>
      <c r="AF1608" s="89" t="str">
        <f t="shared" si="277"/>
        <v>Draft email</v>
      </c>
      <c r="AG1608" s="64" t="str">
        <f>IF($C1608="","",IFERROR(INDEX('Staff Directory'!$K$595:$K$599,MATCH($C1608,'Staff Directory'!$B$5:$B$599,0)),$D1608))</f>
        <v>PSW</v>
      </c>
      <c r="AH1608" t="str">
        <f>IF($C1608="","",IFERROR(INDEX('Staff Directory'!$I$595:$I$599,MATCH($C1608,'Staff Directory'!$B$5:$B$599,0))&amp;" "&amp;INDEX('Staff Directory'!$J$595:$J$599,MATCH($C1608,'Staff Directory'!$B$5:$B$599,0)),$AG1608))</f>
        <v>PSW</v>
      </c>
      <c r="AI1608" s="102"/>
      <c r="AJ1608" s="101">
        <f>IF($F1608="","",SUMIFS($J$5:$J1608,$F$5:$F1608,$F1608))</f>
        <v>19</v>
      </c>
      <c r="AK1608" s="101">
        <f t="shared" si="280"/>
        <v>19</v>
      </c>
      <c r="AL1608" s="66" t="str" cm="1">
        <f t="array" ref="AL1608">IF($F1608="","",IFERROR(INDEX('Lot Balance'!$B$5:$B$500,MATCH(1,INDEX(('Lot Balance'!$A$5:$A$500=$F1608)*('Lot Balance'!$K$5:$K$500&lt;$AK1608)*('Lot Balance'!$K$5:$K$500+'Lot Balance'!$D$5:$D$500&gt;=$AK1608),0),0)),""))</f>
        <v/>
      </c>
      <c r="AM1608" s="66" t="str" cm="1">
        <f t="array" ref="AM1608">IF($F1608="","",IFERROR(INDEX('Lot Balance'!$B$5:$B$500,MATCH(1,INDEX(('Lot Balance'!$A$5:$A$500=$F1608)*('Lot Balance'!$K$5:$K$500&lt;$AJ1608)*('Lot Balance'!$K$5:$K$500+'Lot Balance'!$D$5:$D$500&gt;=$AJ1608),0),0)),""))</f>
        <v/>
      </c>
      <c r="AN1608" s="66" t="str">
        <f>IF($F1608="","",IF($AI1608&lt;&gt;"",IF(COUNTIFS('Lot Balance'!$A$5:$A$500,$F1608,'Lot Balance'!$B$5:$B$500,$AI1608)=0,"⚠ override is not a lot of this item",IF($AI1608=$AL1608,"Override = FEFO","Override - FEFO says "&amp;$AL1608)),IF($AL1608="","⚠ no receipt on file for this item",IF($AM1608&lt;&gt;$AL1608,"FEFO auto - split, also "&amp;$AM1608,"FEFO auto"))))</f>
        <v>⚠ no receipt on file for this item</v>
      </c>
      <c r="AO1608" s="114"/>
    </row>
    <row r="1609" spans="1:41" x14ac:dyDescent="0.35">
      <c r="A1609" s="74">
        <v>46209</v>
      </c>
      <c r="B1609" s="18" t="str">
        <f>IF($C1609="","",IFERROR(INDEX('Staff Directory'!$A$5:$A$594,MATCH($C1609,'Staff Directory'!$B$5:$B$594,0)),"⚠ unknown staff"))</f>
        <v>PSW-193-TBD</v>
      </c>
      <c r="C1609" s="49" t="s">
        <v>1172</v>
      </c>
      <c r="D1609" s="19" t="str">
        <f>IF($B1609="","",IFERROR(INDEX('Staff Directory'!$C$5:$C$594,MATCH($B1609,'Staff Directory'!$A$5:$A$594,0)),""))</f>
        <v>PSW</v>
      </c>
      <c r="E1609" s="19">
        <f>IF($B1609="","",IFERROR(INDEX('Staff Directory'!$D$5:$D$594,MATCH($B1609,'Staff Directory'!$A$5:$A$594,0)),""))</f>
        <v>0</v>
      </c>
      <c r="F1609" s="9" t="s">
        <v>150</v>
      </c>
      <c r="G1609" s="18" t="str">
        <f>IF($F1609="","",IFERROR(INDEX(Items!$B$5:$B$597,MATCH($F1609,Items!$A$5:$A$597,0)),"⚠ not in Items"))</f>
        <v>Documents</v>
      </c>
      <c r="H1609" s="19" t="str">
        <f>IF($F1609="","",IFERROR(INDEX(Items!$C$5:$C$597,MATCH($F1609,Items!$A$5:$A$597,0)),""))</f>
        <v>Standard</v>
      </c>
      <c r="I1609" s="23">
        <f>IF($F1609="","",IFERROR(INDEX(Items!$E$5:$E$597,MATCH($F1609,Items!$A$5:$A$597,0)),""))</f>
        <v>1</v>
      </c>
      <c r="J1609" s="115">
        <f>IF(tblIssues[[#This Row],[Qty Override]]&lt;&gt;"",tblIssues[[#This Row],[Qty Override]],IF(tblIssues[[#This Row],[Standard Issue]]="","",tblIssues[[#This Row],[Standard Issue]]))</f>
        <v>1</v>
      </c>
      <c r="K1609" s="20">
        <f>IF($F1609="","",IFERROR(INDEX(Items!$D$5:$D$597,MATCH($F1609,Items!$A$5:$A$597,0)),""))</f>
        <v>0</v>
      </c>
      <c r="L1609" s="21">
        <f t="shared" si="283"/>
        <v>0</v>
      </c>
      <c r="M1609" s="9" t="str">
        <f t="shared" si="281"/>
        <v/>
      </c>
      <c r="N1609" s="24">
        <f>IF($A1609="","",WORKDAY($A1609,Settings!$C$9,HolidayDates))</f>
        <v>46217</v>
      </c>
      <c r="O1609" s="24">
        <f>IF($N1609="","",WORKDAY($N1609,Settings!$C$10,HolidayDates))</f>
        <v>46255</v>
      </c>
      <c r="P1609" s="10" t="s">
        <v>501</v>
      </c>
      <c r="Q1609" s="52" t="str">
        <f t="shared" si="273"/>
        <v>Collected</v>
      </c>
      <c r="R1609" s="55" t="str">
        <f t="shared" si="274"/>
        <v>2026-07</v>
      </c>
      <c r="S1609" s="55">
        <f>IF(OR($B1609="",$F1609="",$R1609=""),"",SUMIFS(tblIssues[Qty Issued],tblIssues[Staff ID],$B1609,tblIssues[Item Name],$F1609,tblIssues[Month],$R1609))</f>
        <v>1</v>
      </c>
      <c r="T1609" s="56">
        <f>IF($I1609="","",$I1609*Settings!$C$11)</f>
        <v>1</v>
      </c>
      <c r="U1609" s="57" t="str">
        <f t="shared" si="282"/>
        <v>OK</v>
      </c>
      <c r="V1609" s="55" t="str">
        <f t="shared" si="275"/>
        <v/>
      </c>
      <c r="W1609" s="55" t="str">
        <f>IF($V1609="","",IF(COUNTIF($V$5:$V1609,$V1609)=1,1,""))</f>
        <v/>
      </c>
      <c r="X1609" s="58" t="str">
        <f>IF($W1609="","",MAX($X$4:X1608)+1)</f>
        <v/>
      </c>
      <c r="Y1609" s="62"/>
      <c r="Z1609" s="62"/>
      <c r="AA1609" s="64" t="str">
        <f>IF($C1609="","",IFERROR(INDEX('Staff Directory'!$E$5:$E$594,MATCH($C1609,'Staff Directory'!$B$5:$B$594,0)),""))</f>
        <v>firstname256.lastname256@example.com</v>
      </c>
      <c r="AB1609" s="64" t="str">
        <f>IF($C1609="","",IF(ISNUMBER(SEARCH($D1609,Settings!$C$15)),"Pickup","Dispatch"))</f>
        <v>Pickup</v>
      </c>
      <c r="AC1609" s="64" t="str">
        <f t="shared" si="276"/>
        <v>Supply order ready for pickup</v>
      </c>
      <c r="AD1609" s="64" t="str">
        <f t="shared" si="278"/>
        <v>Dear PSW,
Your order is ready for pickup from Sample Branch, Wed-Fri 9am-4pm.</v>
      </c>
      <c r="AE1609" s="64" t="str">
        <f t="shared" si="279"/>
        <v>mailto:firstname256.lastname256@example.com?subject=Supply%20order%20ready%20for%20pickup&amp;body=Dear%20PSW%2C%0A%0AYour%20order%20is%20ready%20for%20pickup%20from%20Sample%20Branch%2C%20Wed-Fri%209am-4pm.</v>
      </c>
      <c r="AF1609" s="89" t="str">
        <f t="shared" si="277"/>
        <v>Draft email</v>
      </c>
      <c r="AG1609" s="64" t="str">
        <f>IF($C1609="","",IFERROR(INDEX('Staff Directory'!$K$595:$K$599,MATCH($C1609,'Staff Directory'!$B$5:$B$599,0)),$D1609))</f>
        <v>PSW</v>
      </c>
      <c r="AH1609" t="str">
        <f>IF($C1609="","",IFERROR(INDEX('Staff Directory'!$I$595:$I$599,MATCH($C1609,'Staff Directory'!$B$5:$B$599,0))&amp;" "&amp;INDEX('Staff Directory'!$J$595:$J$599,MATCH($C1609,'Staff Directory'!$B$5:$B$599,0)),$AG1609))</f>
        <v>PSW</v>
      </c>
      <c r="AI1609" s="102"/>
      <c r="AJ1609" s="101">
        <f>IF($F1609="","",SUMIFS($J$5:$J1609,$F$5:$F1609,$F1609))</f>
        <v>19</v>
      </c>
      <c r="AK1609" s="101">
        <f t="shared" si="280"/>
        <v>19</v>
      </c>
      <c r="AL1609" s="66" t="str" cm="1">
        <f t="array" ref="AL1609">IF($F1609="","",IFERROR(INDEX('Lot Balance'!$B$5:$B$500,MATCH(1,INDEX(('Lot Balance'!$A$5:$A$500=$F1609)*('Lot Balance'!$K$5:$K$500&lt;$AK1609)*('Lot Balance'!$K$5:$K$500+'Lot Balance'!$D$5:$D$500&gt;=$AK1609),0),0)),""))</f>
        <v/>
      </c>
      <c r="AM1609" s="66" t="str" cm="1">
        <f t="array" ref="AM1609">IF($F1609="","",IFERROR(INDEX('Lot Balance'!$B$5:$B$500,MATCH(1,INDEX(('Lot Balance'!$A$5:$A$500=$F1609)*('Lot Balance'!$K$5:$K$500&lt;$AJ1609)*('Lot Balance'!$K$5:$K$500+'Lot Balance'!$D$5:$D$500&gt;=$AJ1609),0),0)),""))</f>
        <v/>
      </c>
      <c r="AN1609" s="66" t="str">
        <f>IF($F1609="","",IF($AI1609&lt;&gt;"",IF(COUNTIFS('Lot Balance'!$A$5:$A$500,$F1609,'Lot Balance'!$B$5:$B$500,$AI1609)=0,"⚠ override is not a lot of this item",IF($AI1609=$AL1609,"Override = FEFO","Override - FEFO says "&amp;$AL1609)),IF($AL1609="","⚠ no receipt on file for this item",IF($AM1609&lt;&gt;$AL1609,"FEFO auto - split, also "&amp;$AM1609,"FEFO auto"))))</f>
        <v>⚠ no receipt on file for this item</v>
      </c>
      <c r="AO1609" s="114"/>
    </row>
    <row r="1610" spans="1:41" x14ac:dyDescent="0.35">
      <c r="A1610" s="74">
        <v>46209</v>
      </c>
      <c r="B1610" s="18" t="str">
        <f>IF($C1610="","",IFERROR(INDEX('Staff Directory'!$A$5:$A$594,MATCH($C1610,'Staff Directory'!$B$5:$B$594,0)),"⚠ unknown staff"))</f>
        <v>PSW-193-TBD</v>
      </c>
      <c r="C1610" s="49" t="s">
        <v>1172</v>
      </c>
      <c r="D1610" s="19" t="str">
        <f>IF($B1610="","",IFERROR(INDEX('Staff Directory'!$C$5:$C$594,MATCH($B1610,'Staff Directory'!$A$5:$A$594,0)),""))</f>
        <v>PSW</v>
      </c>
      <c r="E1610" s="19">
        <f>IF($B1610="","",IFERROR(INDEX('Staff Directory'!$D$5:$D$594,MATCH($B1610,'Staff Directory'!$A$5:$A$594,0)),""))</f>
        <v>0</v>
      </c>
      <c r="F1610" s="9" t="s">
        <v>755</v>
      </c>
      <c r="G1610" s="18" t="str">
        <f>IF($F1610="","",IFERROR(INDEX(Items!$B$5:$B$597,MATCH($F1610,Items!$A$5:$A$597,0)),"⚠ not in Items"))</f>
        <v>Documents</v>
      </c>
      <c r="H1610" s="19" t="str">
        <f>IF($F1610="","",IFERROR(INDEX(Items!$C$5:$C$597,MATCH($F1610,Items!$A$5:$A$597,0)),""))</f>
        <v>Standard</v>
      </c>
      <c r="I1610" s="23">
        <f>IF($F1610="","",IFERROR(INDEX(Items!$E$5:$E$597,MATCH($F1610,Items!$A$5:$A$597,0)),""))</f>
        <v>2</v>
      </c>
      <c r="J1610" s="115">
        <f>IF(tblIssues[[#This Row],[Qty Override]]&lt;&gt;"",tblIssues[[#This Row],[Qty Override]],IF(tblIssues[[#This Row],[Standard Issue]]="","",tblIssues[[#This Row],[Standard Issue]]))</f>
        <v>2</v>
      </c>
      <c r="K1610" s="20">
        <f>IF($F1610="","",IFERROR(INDEX(Items!$D$5:$D$597,MATCH($F1610,Items!$A$5:$A$597,0)),""))</f>
        <v>0</v>
      </c>
      <c r="L1610" s="21">
        <f t="shared" si="283"/>
        <v>0</v>
      </c>
      <c r="M1610" s="9" t="str">
        <f t="shared" si="281"/>
        <v/>
      </c>
      <c r="N1610" s="24">
        <f>IF($A1610="","",WORKDAY($A1610,Settings!$C$9,HolidayDates))</f>
        <v>46217</v>
      </c>
      <c r="O1610" s="24">
        <f>IF($N1610="","",WORKDAY($N1610,Settings!$C$10,HolidayDates))</f>
        <v>46255</v>
      </c>
      <c r="P1610" s="10" t="s">
        <v>501</v>
      </c>
      <c r="Q1610" s="52" t="str">
        <f t="shared" si="273"/>
        <v>Collected</v>
      </c>
      <c r="R1610" s="55" t="str">
        <f t="shared" si="274"/>
        <v>2026-07</v>
      </c>
      <c r="S1610" s="55">
        <f>IF(OR($B1610="",$F1610="",$R1610=""),"",SUMIFS(tblIssues[Qty Issued],tblIssues[Staff ID],$B1610,tblIssues[Item Name],$F1610,tblIssues[Month],$R1610))</f>
        <v>2</v>
      </c>
      <c r="T1610" s="56">
        <f>IF($I1610="","",$I1610*Settings!$C$11)</f>
        <v>2</v>
      </c>
      <c r="U1610" s="57" t="str">
        <f t="shared" si="282"/>
        <v>OK</v>
      </c>
      <c r="V1610" s="55" t="str">
        <f t="shared" si="275"/>
        <v/>
      </c>
      <c r="W1610" s="55" t="str">
        <f>IF($V1610="","",IF(COUNTIF($V$5:$V1610,$V1610)=1,1,""))</f>
        <v/>
      </c>
      <c r="X1610" s="58" t="str">
        <f>IF($W1610="","",MAX($X$4:X1609)+1)</f>
        <v/>
      </c>
      <c r="Y1610" s="62"/>
      <c r="Z1610" s="62"/>
      <c r="AA1610" s="64" t="str">
        <f>IF($C1610="","",IFERROR(INDEX('Staff Directory'!$E$5:$E$594,MATCH($C1610,'Staff Directory'!$B$5:$B$594,0)),""))</f>
        <v>firstname256.lastname256@example.com</v>
      </c>
      <c r="AB1610" s="64" t="str">
        <f>IF($C1610="","",IF(ISNUMBER(SEARCH($D1610,Settings!$C$15)),"Pickup","Dispatch"))</f>
        <v>Pickup</v>
      </c>
      <c r="AC1610" s="64" t="str">
        <f t="shared" si="276"/>
        <v>Supply order ready for pickup</v>
      </c>
      <c r="AD1610" s="64" t="str">
        <f t="shared" si="278"/>
        <v>Dear PSW,
Your order is ready for pickup from Sample Branch, Wed-Fri 9am-4pm.</v>
      </c>
      <c r="AE1610" s="64" t="str">
        <f t="shared" si="279"/>
        <v>mailto:firstname256.lastname256@example.com?subject=Supply%20order%20ready%20for%20pickup&amp;body=Dear%20PSW%2C%0A%0AYour%20order%20is%20ready%20for%20pickup%20from%20Sample%20Branch%2C%20Wed-Fri%209am-4pm.</v>
      </c>
      <c r="AF1610" s="89" t="str">
        <f t="shared" si="277"/>
        <v>Draft email</v>
      </c>
      <c r="AG1610" s="64" t="str">
        <f>IF($C1610="","",IFERROR(INDEX('Staff Directory'!$K$595:$K$599,MATCH($C1610,'Staff Directory'!$B$5:$B$599,0)),$D1610))</f>
        <v>PSW</v>
      </c>
      <c r="AH1610" t="str">
        <f>IF($C1610="","",IFERROR(INDEX('Staff Directory'!$I$595:$I$599,MATCH($C1610,'Staff Directory'!$B$5:$B$599,0))&amp;" "&amp;INDEX('Staff Directory'!$J$595:$J$599,MATCH($C1610,'Staff Directory'!$B$5:$B$599,0)),$AG1610))</f>
        <v>PSW</v>
      </c>
      <c r="AI1610" s="102"/>
      <c r="AJ1610" s="101">
        <f>IF($F1610="","",SUMIFS($J$5:$J1610,$F$5:$F1610,$F1610))</f>
        <v>150</v>
      </c>
      <c r="AK1610" s="101">
        <f t="shared" si="280"/>
        <v>149</v>
      </c>
      <c r="AL1610" s="66" t="str" cm="1">
        <f t="array" ref="AL1610">IF($F1610="","",IFERROR(INDEX('Lot Balance'!$B$5:$B$500,MATCH(1,INDEX(('Lot Balance'!$A$5:$A$500=$F1610)*('Lot Balance'!$K$5:$K$500&lt;$AK1610)*('Lot Balance'!$K$5:$K$500+'Lot Balance'!$D$5:$D$500&gt;=$AK1610),0),0)),""))</f>
        <v/>
      </c>
      <c r="AM1610" s="66" t="str" cm="1">
        <f t="array" ref="AM1610">IF($F1610="","",IFERROR(INDEX('Lot Balance'!$B$5:$B$500,MATCH(1,INDEX(('Lot Balance'!$A$5:$A$500=$F1610)*('Lot Balance'!$K$5:$K$500&lt;$AJ1610)*('Lot Balance'!$K$5:$K$500+'Lot Balance'!$D$5:$D$500&gt;=$AJ1610),0),0)),""))</f>
        <v/>
      </c>
      <c r="AN1610" s="66" t="str">
        <f>IF($F1610="","",IF($AI1610&lt;&gt;"",IF(COUNTIFS('Lot Balance'!$A$5:$A$500,$F1610,'Lot Balance'!$B$5:$B$500,$AI1610)=0,"⚠ override is not a lot of this item",IF($AI1610=$AL1610,"Override = FEFO","Override - FEFO says "&amp;$AL1610)),IF($AL1610="","⚠ no receipt on file for this item",IF($AM1610&lt;&gt;$AL1610,"FEFO auto - split, also "&amp;$AM1610,"FEFO auto"))))</f>
        <v>⚠ no receipt on file for this item</v>
      </c>
      <c r="AO1610" s="114"/>
    </row>
    <row r="1611" spans="1:41" x14ac:dyDescent="0.35">
      <c r="A1611" s="74">
        <v>46209</v>
      </c>
      <c r="B1611" s="18" t="str">
        <f>IF($C1611="","",IFERROR(INDEX('Staff Directory'!$A$5:$A$594,MATCH($C1611,'Staff Directory'!$B$5:$B$594,0)),"⚠ unknown staff"))</f>
        <v>PSW-013-A5</v>
      </c>
      <c r="C1611" s="49" t="s">
        <v>989</v>
      </c>
      <c r="D1611" s="19" t="str">
        <f>IF($B1611="","",IFERROR(INDEX('Staff Directory'!$C$5:$C$594,MATCH($B1611,'Staff Directory'!$A$5:$A$594,0)),""))</f>
        <v>PSW</v>
      </c>
      <c r="E1611" s="19" t="str">
        <f>IF($B1611="","",IFERROR(INDEX('Staff Directory'!$D$5:$D$594,MATCH($B1611,'Staff Directory'!$A$5:$A$594,0)),""))</f>
        <v>A5</v>
      </c>
      <c r="F1611" s="9" t="s">
        <v>129</v>
      </c>
      <c r="G1611" s="18" t="str">
        <f>IF($F1611="","",IFERROR(INDEX(Items!$B$5:$B$597,MATCH($F1611,Items!$A$5:$A$597,0)),"⚠ not in Items"))</f>
        <v>Gloves</v>
      </c>
      <c r="H1611" s="19" t="str">
        <f>IF($F1611="","",IFERROR(INDEX(Items!$C$5:$C$597,MATCH($F1611,Items!$A$5:$A$597,0)),""))</f>
        <v>Small</v>
      </c>
      <c r="I1611" s="23">
        <f>IF($F1611="","",IFERROR(INDEX(Items!$E$5:$E$597,MATCH($F1611,Items!$A$5:$A$597,0)),""))</f>
        <v>500</v>
      </c>
      <c r="J1611" s="115">
        <f>IF(tblIssues[[#This Row],[Qty Override]]&lt;&gt;"",tblIssues[[#This Row],[Qty Override]],IF(tblIssues[[#This Row],[Standard Issue]]="","",tblIssues[[#This Row],[Standard Issue]]))</f>
        <v>500</v>
      </c>
      <c r="K1611" s="20">
        <f>IF($F1611="","",IFERROR(INDEX(Items!$D$5:$D$597,MATCH($F1611,Items!$A$5:$A$597,0)),""))</f>
        <v>5.5E-2</v>
      </c>
      <c r="L1611" s="21">
        <f t="shared" si="283"/>
        <v>27.5</v>
      </c>
      <c r="M1611" s="9" t="str">
        <f t="shared" si="281"/>
        <v>ZIM502120291</v>
      </c>
      <c r="N1611" s="24">
        <f>IF($A1611="","",WORKDAY($A1611,Settings!$C$9,HolidayDates))</f>
        <v>46217</v>
      </c>
      <c r="O1611" s="24">
        <f>IF($N1611="","",WORKDAY($N1611,Settings!$C$10,HolidayDates))</f>
        <v>46255</v>
      </c>
      <c r="P1611" s="10" t="s">
        <v>501</v>
      </c>
      <c r="Q1611" s="52" t="str">
        <f t="shared" si="273"/>
        <v>Collected</v>
      </c>
      <c r="R1611" s="55" t="str">
        <f t="shared" si="274"/>
        <v>2026-07</v>
      </c>
      <c r="S1611" s="55">
        <f>IF(OR($B1611="",$F1611="",$R1611=""),"",SUMIFS(tblIssues[Qty Issued],tblIssues[Staff ID],$B1611,tblIssues[Item Name],$F1611,tblIssues[Month],$R1611))</f>
        <v>500</v>
      </c>
      <c r="T1611" s="56">
        <f>IF($I1611="","",$I1611*Settings!$C$11)</f>
        <v>500</v>
      </c>
      <c r="U1611" s="57" t="str">
        <f t="shared" si="282"/>
        <v>OK</v>
      </c>
      <c r="V1611" s="55" t="str">
        <f t="shared" si="275"/>
        <v/>
      </c>
      <c r="W1611" s="55" t="str">
        <f>IF($V1611="","",IF(COUNTIF($V$5:$V1611,$V1611)=1,1,""))</f>
        <v/>
      </c>
      <c r="X1611" s="58" t="str">
        <f>IF($W1611="","",MAX($X$4:X1610)+1)</f>
        <v/>
      </c>
      <c r="Y1611" s="62"/>
      <c r="Z1611" s="62"/>
      <c r="AA1611" s="64" t="str">
        <f>IF($C1611="","",IFERROR(INDEX('Staff Directory'!$E$5:$E$594,MATCH($C1611,'Staff Directory'!$B$5:$B$594,0)),""))</f>
        <v>firstname073.lastname073@example.com</v>
      </c>
      <c r="AB1611" s="64" t="str">
        <f>IF($C1611="","",IF(ISNUMBER(SEARCH($D1611,Settings!$C$15)),"Pickup","Dispatch"))</f>
        <v>Pickup</v>
      </c>
      <c r="AC1611" s="64" t="str">
        <f t="shared" si="276"/>
        <v>Supply order ready for pickup</v>
      </c>
      <c r="AD1611" s="64" t="str">
        <f t="shared" si="278"/>
        <v>Dear PSW,
Your order is ready for pickup from Sample Branch, Wed-Fri 9am-4pm.</v>
      </c>
      <c r="AE1611" s="64" t="str">
        <f t="shared" si="279"/>
        <v>mailto:firstname073.lastname073@example.com?subject=Supply%20order%20ready%20for%20pickup&amp;body=Dear%20PSW%2C%0A%0AYour%20order%20is%20ready%20for%20pickup%20from%20Sample%20Branch%2C%20Wed-Fri%209am-4pm.</v>
      </c>
      <c r="AF1611" s="89" t="str">
        <f t="shared" si="277"/>
        <v>Draft email</v>
      </c>
      <c r="AG1611" s="64" t="str">
        <f>IF($C1611="","",IFERROR(INDEX('Staff Directory'!$K$595:$K$599,MATCH($C1611,'Staff Directory'!$B$5:$B$599,0)),$D1611))</f>
        <v>PSW</v>
      </c>
      <c r="AH1611" t="str">
        <f>IF($C1611="","",IFERROR(INDEX('Staff Directory'!$I$595:$I$599,MATCH($C1611,'Staff Directory'!$B$5:$B$599,0))&amp;" "&amp;INDEX('Staff Directory'!$J$595:$J$599,MATCH($C1611,'Staff Directory'!$B$5:$B$599,0)),$AG1611))</f>
        <v>PSW</v>
      </c>
      <c r="AI1611" s="102"/>
      <c r="AJ1611" s="101">
        <f>IF($F1611="","",SUMIFS($J$5:$J1611,$F$5:$F1611,$F1611))</f>
        <v>47000</v>
      </c>
      <c r="AK1611" s="101">
        <f t="shared" si="280"/>
        <v>46501</v>
      </c>
      <c r="AL1611" s="66" t="str" cm="1">
        <f t="array" ref="AL1611">IF($F1611="","",IFERROR(INDEX('Lot Balance'!$B$5:$B$500,MATCH(1,INDEX(('Lot Balance'!$A$5:$A$500=$F1611)*('Lot Balance'!$K$5:$K$500&lt;$AK1611)*('Lot Balance'!$K$5:$K$500+'Lot Balance'!$D$5:$D$500&gt;=$AK1611),0),0)),""))</f>
        <v>ZIM502120291</v>
      </c>
      <c r="AM1611" s="66" t="str" cm="1">
        <f t="array" ref="AM1611">IF($F1611="","",IFERROR(INDEX('Lot Balance'!$B$5:$B$500,MATCH(1,INDEX(('Lot Balance'!$A$5:$A$500=$F1611)*('Lot Balance'!$K$5:$K$500&lt;$AJ1611)*('Lot Balance'!$K$5:$K$500+'Lot Balance'!$D$5:$D$500&gt;=$AJ1611),0),0)),""))</f>
        <v>ZIM502120291</v>
      </c>
      <c r="AN1611" s="66" t="str">
        <f>IF($F1611="","",IF($AI1611&lt;&gt;"",IF(COUNTIFS('Lot Balance'!$A$5:$A$500,$F1611,'Lot Balance'!$B$5:$B$500,$AI1611)=0,"⚠ override is not a lot of this item",IF($AI1611=$AL1611,"Override = FEFO","Override - FEFO says "&amp;$AL1611)),IF($AL1611="","⚠ no receipt on file for this item",IF($AM1611&lt;&gt;$AL1611,"FEFO auto - split, also "&amp;$AM1611,"FEFO auto"))))</f>
        <v>FEFO auto</v>
      </c>
      <c r="AO1611" s="114"/>
    </row>
    <row r="1612" spans="1:41" x14ac:dyDescent="0.35">
      <c r="A1612" s="74">
        <v>46209</v>
      </c>
      <c r="B1612" s="18" t="str">
        <f>IF($C1612="","",IFERROR(INDEX('Staff Directory'!$A$5:$A$594,MATCH($C1612,'Staff Directory'!$B$5:$B$594,0)),"⚠ unknown staff"))</f>
        <v>PSW-013-A5</v>
      </c>
      <c r="C1612" s="49" t="s">
        <v>989</v>
      </c>
      <c r="D1612" s="19" t="str">
        <f>IF($B1612="","",IFERROR(INDEX('Staff Directory'!$C$5:$C$594,MATCH($B1612,'Staff Directory'!$A$5:$A$594,0)),""))</f>
        <v>PSW</v>
      </c>
      <c r="E1612" s="19" t="str">
        <f>IF($B1612="","",IFERROR(INDEX('Staff Directory'!$D$5:$D$594,MATCH($B1612,'Staff Directory'!$A$5:$A$594,0)),""))</f>
        <v>A5</v>
      </c>
      <c r="F1612" s="9" t="s">
        <v>191</v>
      </c>
      <c r="G1612" s="18" t="str">
        <f>IF($F1612="","",IFERROR(INDEX(Items!$B$5:$B$597,MATCH($F1612,Items!$A$5:$A$597,0)),"⚠ not in Items"))</f>
        <v>Sanitizer</v>
      </c>
      <c r="H1612" s="19" t="str">
        <f>IF($F1612="","",IFERROR(INDEX(Items!$C$5:$C$597,MATCH($F1612,Items!$A$5:$A$597,0)),""))</f>
        <v>236 ML</v>
      </c>
      <c r="I1612" s="23">
        <f>IF($F1612="","",IFERROR(INDEX(Items!$E$5:$E$597,MATCH($F1612,Items!$A$5:$A$597,0)),""))</f>
        <v>1</v>
      </c>
      <c r="J1612" s="115">
        <f>IF(tblIssues[[#This Row],[Qty Override]]&lt;&gt;"",tblIssues[[#This Row],[Qty Override]],IF(tblIssues[[#This Row],[Standard Issue]]="","",tblIssues[[#This Row],[Standard Issue]]))</f>
        <v>1</v>
      </c>
      <c r="K1612" s="20">
        <f>IF($F1612="","",IFERROR(INDEX(Items!$D$5:$D$597,MATCH($F1612,Items!$A$5:$A$597,0)),""))</f>
        <v>1E-4</v>
      </c>
      <c r="L1612" s="21">
        <f t="shared" si="283"/>
        <v>1E-4</v>
      </c>
      <c r="M1612" s="9" t="str">
        <f t="shared" si="281"/>
        <v/>
      </c>
      <c r="N1612" s="24">
        <f>IF($A1612="","",WORKDAY($A1612,Settings!$C$9,HolidayDates))</f>
        <v>46217</v>
      </c>
      <c r="O1612" s="24">
        <f>IF($N1612="","",WORKDAY($N1612,Settings!$C$10,HolidayDates))</f>
        <v>46255</v>
      </c>
      <c r="P1612" s="10" t="s">
        <v>501</v>
      </c>
      <c r="Q1612" s="52" t="str">
        <f t="shared" si="273"/>
        <v>Collected</v>
      </c>
      <c r="R1612" s="55" t="str">
        <f t="shared" si="274"/>
        <v>2026-07</v>
      </c>
      <c r="S1612" s="55">
        <f>IF(OR($B1612="",$F1612="",$R1612=""),"",SUMIFS(tblIssues[Qty Issued],tblIssues[Staff ID],$B1612,tblIssues[Item Name],$F1612,tblIssues[Month],$R1612))</f>
        <v>1</v>
      </c>
      <c r="T1612" s="56">
        <f>IF($I1612="","",$I1612*Settings!$C$11)</f>
        <v>1</v>
      </c>
      <c r="U1612" s="57" t="str">
        <f t="shared" si="282"/>
        <v>OK</v>
      </c>
      <c r="V1612" s="55" t="str">
        <f t="shared" si="275"/>
        <v/>
      </c>
      <c r="W1612" s="55" t="str">
        <f>IF($V1612="","",IF(COUNTIF($V$5:$V1612,$V1612)=1,1,""))</f>
        <v/>
      </c>
      <c r="X1612" s="58" t="str">
        <f>IF($W1612="","",MAX($X$4:X1611)+1)</f>
        <v/>
      </c>
      <c r="Y1612" s="62"/>
      <c r="Z1612" s="62"/>
      <c r="AA1612" s="64" t="str">
        <f>IF($C1612="","",IFERROR(INDEX('Staff Directory'!$E$5:$E$594,MATCH($C1612,'Staff Directory'!$B$5:$B$594,0)),""))</f>
        <v>firstname073.lastname073@example.com</v>
      </c>
      <c r="AB1612" s="64" t="str">
        <f>IF($C1612="","",IF(ISNUMBER(SEARCH($D1612,Settings!$C$15)),"Pickup","Dispatch"))</f>
        <v>Pickup</v>
      </c>
      <c r="AC1612" s="64" t="str">
        <f t="shared" si="276"/>
        <v>Supply order ready for pickup</v>
      </c>
      <c r="AD1612" s="64" t="str">
        <f t="shared" si="278"/>
        <v>Dear PSW,
Your order is ready for pickup from Sample Branch, Wed-Fri 9am-4pm.</v>
      </c>
      <c r="AE1612" s="64" t="str">
        <f t="shared" si="279"/>
        <v>mailto:firstname073.lastname073@example.com?subject=Supply%20order%20ready%20for%20pickup&amp;body=Dear%20PSW%2C%0A%0AYour%20order%20is%20ready%20for%20pickup%20from%20Sample%20Branch%2C%20Wed-Fri%209am-4pm.</v>
      </c>
      <c r="AF1612" s="89" t="str">
        <f t="shared" si="277"/>
        <v>Draft email</v>
      </c>
      <c r="AG1612" s="64" t="str">
        <f>IF($C1612="","",IFERROR(INDEX('Staff Directory'!$K$595:$K$599,MATCH($C1612,'Staff Directory'!$B$5:$B$599,0)),$D1612))</f>
        <v>PSW</v>
      </c>
      <c r="AH1612" t="str">
        <f>IF($C1612="","",IFERROR(INDEX('Staff Directory'!$I$595:$I$599,MATCH($C1612,'Staff Directory'!$B$5:$B$599,0))&amp;" "&amp;INDEX('Staff Directory'!$J$595:$J$599,MATCH($C1612,'Staff Directory'!$B$5:$B$599,0)),$AG1612))</f>
        <v>PSW</v>
      </c>
      <c r="AI1612" s="102"/>
      <c r="AJ1612" s="101">
        <f>IF($F1612="","",SUMIFS($J$5:$J1612,$F$5:$F1612,$F1612))</f>
        <v>205</v>
      </c>
      <c r="AK1612" s="101">
        <f t="shared" si="280"/>
        <v>205</v>
      </c>
      <c r="AL1612" s="66" t="str" cm="1">
        <f t="array" ref="AL1612">IF($F1612="","",IFERROR(INDEX('Lot Balance'!$B$5:$B$500,MATCH(1,INDEX(('Lot Balance'!$A$5:$A$500=$F1612)*('Lot Balance'!$K$5:$K$500&lt;$AK1612)*('Lot Balance'!$K$5:$K$500+'Lot Balance'!$D$5:$D$500&gt;=$AK1612),0),0)),""))</f>
        <v/>
      </c>
      <c r="AM1612" s="66" t="str" cm="1">
        <f t="array" ref="AM1612">IF($F1612="","",IFERROR(INDEX('Lot Balance'!$B$5:$B$500,MATCH(1,INDEX(('Lot Balance'!$A$5:$A$500=$F1612)*('Lot Balance'!$K$5:$K$500&lt;$AJ1612)*('Lot Balance'!$K$5:$K$500+'Lot Balance'!$D$5:$D$500&gt;=$AJ1612),0),0)),""))</f>
        <v/>
      </c>
      <c r="AN1612" s="66" t="str">
        <f>IF($F1612="","",IF($AI1612&lt;&gt;"",IF(COUNTIFS('Lot Balance'!$A$5:$A$500,$F1612,'Lot Balance'!$B$5:$B$500,$AI1612)=0,"⚠ override is not a lot of this item",IF($AI1612=$AL1612,"Override = FEFO","Override - FEFO says "&amp;$AL1612)),IF($AL1612="","⚠ no receipt on file for this item",IF($AM1612&lt;&gt;$AL1612,"FEFO auto - split, also "&amp;$AM1612,"FEFO auto"))))</f>
        <v>⚠ no receipt on file for this item</v>
      </c>
      <c r="AO1612" s="114"/>
    </row>
    <row r="1613" spans="1:41" x14ac:dyDescent="0.35">
      <c r="A1613" s="74">
        <v>46209</v>
      </c>
      <c r="B1613" s="18" t="str">
        <f>IF($C1613="","",IFERROR(INDEX('Staff Directory'!$A$5:$A$594,MATCH($C1613,'Staff Directory'!$B$5:$B$594,0)),"⚠ unknown staff"))</f>
        <v>PSW-013-A5</v>
      </c>
      <c r="C1613" s="49" t="s">
        <v>989</v>
      </c>
      <c r="D1613" s="19" t="str">
        <f>IF($B1613="","",IFERROR(INDEX('Staff Directory'!$C$5:$C$594,MATCH($B1613,'Staff Directory'!$A$5:$A$594,0)),""))</f>
        <v>PSW</v>
      </c>
      <c r="E1613" s="19" t="str">
        <f>IF($B1613="","",IFERROR(INDEX('Staff Directory'!$D$5:$D$594,MATCH($B1613,'Staff Directory'!$A$5:$A$594,0)),""))</f>
        <v>A5</v>
      </c>
      <c r="F1613" s="9" t="s">
        <v>115</v>
      </c>
      <c r="G1613" s="18" t="str">
        <f>IF($F1613="","",IFERROR(INDEX(Items!$B$5:$B$597,MATCH($F1613,Items!$A$5:$A$597,0)),"⚠ not in Items"))</f>
        <v>Wipes</v>
      </c>
      <c r="H1613" s="19">
        <f>IF($F1613="","",IFERROR(INDEX(Items!$C$5:$C$597,MATCH($F1613,Items!$A$5:$A$597,0)),""))</f>
        <v>80</v>
      </c>
      <c r="I1613" s="23">
        <f>IF($F1613="","",IFERROR(INDEX(Items!$E$5:$E$597,MATCH($F1613,Items!$A$5:$A$597,0)),""))</f>
        <v>80</v>
      </c>
      <c r="J1613" s="115">
        <f>IF(tblIssues[[#This Row],[Qty Override]]&lt;&gt;"",tblIssues[[#This Row],[Qty Override]],IF(tblIssues[[#This Row],[Standard Issue]]="","",tblIssues[[#This Row],[Standard Issue]]))</f>
        <v>80</v>
      </c>
      <c r="K1613" s="20">
        <f>IF($F1613="","",IFERROR(INDEX(Items!$D$5:$D$597,MATCH($F1613,Items!$A$5:$A$597,0)),""))</f>
        <v>0.1</v>
      </c>
      <c r="L1613" s="21">
        <f t="shared" si="283"/>
        <v>8</v>
      </c>
      <c r="M1613" s="9" t="str">
        <f t="shared" si="281"/>
        <v>LYSL500290</v>
      </c>
      <c r="N1613" s="24">
        <f>IF($A1613="","",WORKDAY($A1613,Settings!$C$9,HolidayDates))</f>
        <v>46217</v>
      </c>
      <c r="O1613" s="24">
        <f>IF($N1613="","",WORKDAY($N1613,Settings!$C$10,HolidayDates))</f>
        <v>46255</v>
      </c>
      <c r="P1613" s="10" t="s">
        <v>501</v>
      </c>
      <c r="Q1613" s="52" t="str">
        <f t="shared" si="273"/>
        <v>Collected</v>
      </c>
      <c r="R1613" s="55" t="str">
        <f t="shared" si="274"/>
        <v>2026-07</v>
      </c>
      <c r="S1613" s="55">
        <f>IF(OR($B1613="",$F1613="",$R1613=""),"",SUMIFS(tblIssues[Qty Issued],tblIssues[Staff ID],$B1613,tblIssues[Item Name],$F1613,tblIssues[Month],$R1613))</f>
        <v>80</v>
      </c>
      <c r="T1613" s="56">
        <f>IF($I1613="","",$I1613*Settings!$C$11)</f>
        <v>80</v>
      </c>
      <c r="U1613" s="57" t="str">
        <f t="shared" si="282"/>
        <v>OK</v>
      </c>
      <c r="V1613" s="55" t="str">
        <f t="shared" si="275"/>
        <v/>
      </c>
      <c r="W1613" s="55" t="str">
        <f>IF($V1613="","",IF(COUNTIF($V$5:$V1613,$V1613)=1,1,""))</f>
        <v/>
      </c>
      <c r="X1613" s="58" t="str">
        <f>IF($W1613="","",MAX($X$4:X1612)+1)</f>
        <v/>
      </c>
      <c r="Y1613" s="62"/>
      <c r="Z1613" s="62"/>
      <c r="AA1613" s="64" t="str">
        <f>IF($C1613="","",IFERROR(INDEX('Staff Directory'!$E$5:$E$594,MATCH($C1613,'Staff Directory'!$B$5:$B$594,0)),""))</f>
        <v>firstname073.lastname073@example.com</v>
      </c>
      <c r="AB1613" s="64" t="str">
        <f>IF($C1613="","",IF(ISNUMBER(SEARCH($D1613,Settings!$C$15)),"Pickup","Dispatch"))</f>
        <v>Pickup</v>
      </c>
      <c r="AC1613" s="64" t="str">
        <f t="shared" si="276"/>
        <v>Supply order ready for pickup</v>
      </c>
      <c r="AD1613" s="64" t="str">
        <f t="shared" si="278"/>
        <v>Dear PSW,
Your order is ready for pickup from Sample Branch, Wed-Fri 9am-4pm.</v>
      </c>
      <c r="AE1613" s="64" t="str">
        <f t="shared" si="279"/>
        <v>mailto:firstname073.lastname073@example.com?subject=Supply%20order%20ready%20for%20pickup&amp;body=Dear%20PSW%2C%0A%0AYour%20order%20is%20ready%20for%20pickup%20from%20Sample%20Branch%2C%20Wed-Fri%209am-4pm.</v>
      </c>
      <c r="AF1613" s="89" t="str">
        <f t="shared" si="277"/>
        <v>Draft email</v>
      </c>
      <c r="AG1613" s="64" t="str">
        <f>IF($C1613="","",IFERROR(INDEX('Staff Directory'!$K$595:$K$599,MATCH($C1613,'Staff Directory'!$B$5:$B$599,0)),$D1613))</f>
        <v>PSW</v>
      </c>
      <c r="AH1613" t="str">
        <f>IF($C1613="","",IFERROR(INDEX('Staff Directory'!$I$595:$I$599,MATCH($C1613,'Staff Directory'!$B$5:$B$599,0))&amp;" "&amp;INDEX('Staff Directory'!$J$595:$J$599,MATCH($C1613,'Staff Directory'!$B$5:$B$599,0)),$AG1613))</f>
        <v>PSW</v>
      </c>
      <c r="AI1613" s="102"/>
      <c r="AJ1613" s="101">
        <f>IF($F1613="","",SUMIFS($J$5:$J1613,$F$5:$F1613,$F1613))</f>
        <v>21600</v>
      </c>
      <c r="AK1613" s="101">
        <f t="shared" si="280"/>
        <v>21521</v>
      </c>
      <c r="AL1613" s="66" t="str" cm="1">
        <f t="array" ref="AL1613">IF($F1613="","",IFERROR(INDEX('Lot Balance'!$B$5:$B$500,MATCH(1,INDEX(('Lot Balance'!$A$5:$A$500=$F1613)*('Lot Balance'!$K$5:$K$500&lt;$AK1613)*('Lot Balance'!$K$5:$K$500+'Lot Balance'!$D$5:$D$500&gt;=$AK1613),0),0)),""))</f>
        <v>LYSL500290</v>
      </c>
      <c r="AM1613" s="66" t="str" cm="1">
        <f t="array" ref="AM1613">IF($F1613="","",IFERROR(INDEX('Lot Balance'!$B$5:$B$500,MATCH(1,INDEX(('Lot Balance'!$A$5:$A$500=$F1613)*('Lot Balance'!$K$5:$K$500&lt;$AJ1613)*('Lot Balance'!$K$5:$K$500+'Lot Balance'!$D$5:$D$500&gt;=$AJ1613),0),0)),""))</f>
        <v>LYSL500290</v>
      </c>
      <c r="AN1613" s="66" t="str">
        <f>IF($F1613="","",IF($AI1613&lt;&gt;"",IF(COUNTIFS('Lot Balance'!$A$5:$A$500,$F1613,'Lot Balance'!$B$5:$B$500,$AI1613)=0,"⚠ override is not a lot of this item",IF($AI1613=$AL1613,"Override = FEFO","Override - FEFO says "&amp;$AL1613)),IF($AL1613="","⚠ no receipt on file for this item",IF($AM1613&lt;&gt;$AL1613,"FEFO auto - split, also "&amp;$AM1613,"FEFO auto"))))</f>
        <v>FEFO auto</v>
      </c>
      <c r="AO1613" s="114"/>
    </row>
    <row r="1614" spans="1:41" x14ac:dyDescent="0.35">
      <c r="A1614" s="74">
        <v>46209</v>
      </c>
      <c r="B1614" s="18" t="str">
        <f>IF($C1614="","",IFERROR(INDEX('Staff Directory'!$A$5:$A$594,MATCH($C1614,'Staff Directory'!$B$5:$B$594,0)),"⚠ unknown staff"))</f>
        <v>PSW-013-A5</v>
      </c>
      <c r="C1614" s="49" t="s">
        <v>989</v>
      </c>
      <c r="D1614" s="19" t="str">
        <f>IF($B1614="","",IFERROR(INDEX('Staff Directory'!$C$5:$C$594,MATCH($B1614,'Staff Directory'!$A$5:$A$594,0)),""))</f>
        <v>PSW</v>
      </c>
      <c r="E1614" s="19" t="str">
        <f>IF($B1614="","",IFERROR(INDEX('Staff Directory'!$D$5:$D$594,MATCH($B1614,'Staff Directory'!$A$5:$A$594,0)),""))</f>
        <v>A5</v>
      </c>
      <c r="F1614" s="9" t="s">
        <v>156</v>
      </c>
      <c r="G1614" s="18" t="str">
        <f>IF($F1614="","",IFERROR(INDEX(Items!$B$5:$B$597,MATCH($F1614,Items!$A$5:$A$597,0)),"⚠ not in Items"))</f>
        <v>Masks</v>
      </c>
      <c r="H1614" s="19" t="str">
        <f>IF($F1614="","",IFERROR(INDEX(Items!$C$5:$C$597,MATCH($F1614,Items!$A$5:$A$597,0)),""))</f>
        <v>One Size</v>
      </c>
      <c r="I1614" s="23">
        <f>IF($F1614="","",IFERROR(INDEX(Items!$E$5:$E$597,MATCH($F1614,Items!$A$5:$A$597,0)),""))</f>
        <v>50</v>
      </c>
      <c r="J1614" s="115">
        <f>IF(tblIssues[[#This Row],[Qty Override]]&lt;&gt;"",tblIssues[[#This Row],[Qty Override]],IF(tblIssues[[#This Row],[Standard Issue]]="","",tblIssues[[#This Row],[Standard Issue]]))</f>
        <v>50</v>
      </c>
      <c r="K1614" s="20">
        <f>IF($F1614="","",IFERROR(INDEX(Items!$D$5:$D$597,MATCH($F1614,Items!$A$5:$A$597,0)),""))</f>
        <v>0.25</v>
      </c>
      <c r="L1614" s="21">
        <f t="shared" si="283"/>
        <v>12.5</v>
      </c>
      <c r="M1614" s="9" t="str">
        <f t="shared" si="281"/>
        <v>24HA2050A7396</v>
      </c>
      <c r="N1614" s="24">
        <f>IF($A1614="","",WORKDAY($A1614,Settings!$C$9,HolidayDates))</f>
        <v>46217</v>
      </c>
      <c r="O1614" s="24">
        <f>IF($N1614="","",WORKDAY($N1614,Settings!$C$10,HolidayDates))</f>
        <v>46255</v>
      </c>
      <c r="P1614" s="10" t="s">
        <v>501</v>
      </c>
      <c r="Q1614" s="52" t="str">
        <f t="shared" ref="Q1614:Q1677" si="284">IF($A1614="","",IF($P1614&lt;&gt;"","Collected","Pending"))</f>
        <v>Collected</v>
      </c>
      <c r="R1614" s="55" t="str">
        <f t="shared" ref="R1614:R1677" si="285">IF($A1614="","",TEXT($A1614,"yyyy-mm"))</f>
        <v>2026-07</v>
      </c>
      <c r="S1614" s="55">
        <f>IF(OR($B1614="",$F1614="",$R1614=""),"",SUMIFS(tblIssues[Qty Issued],tblIssues[Staff ID],$B1614,tblIssues[Item Name],$F1614,tblIssues[Month],$R1614))</f>
        <v>50</v>
      </c>
      <c r="T1614" s="56">
        <f>IF($I1614="","",$I1614*Settings!$C$11)</f>
        <v>50</v>
      </c>
      <c r="U1614" s="57" t="str">
        <f t="shared" si="282"/>
        <v>OK</v>
      </c>
      <c r="V1614" s="55" t="str">
        <f t="shared" ref="V1614:V1677" si="286">IF($U1614="⚠ OVER QUOTA",$B1614&amp;" | "&amp;$F1614&amp;" | "&amp;$R1614,"")</f>
        <v/>
      </c>
      <c r="W1614" s="55" t="str">
        <f>IF($V1614="","",IF(COUNTIF($V$5:$V1614,$V1614)=1,1,""))</f>
        <v/>
      </c>
      <c r="X1614" s="58" t="str">
        <f>IF($W1614="","",MAX($X$4:X1613)+1)</f>
        <v/>
      </c>
      <c r="Y1614" s="62"/>
      <c r="Z1614" s="62"/>
      <c r="AA1614" s="64" t="str">
        <f>IF($C1614="","",IFERROR(INDEX('Staff Directory'!$E$5:$E$594,MATCH($C1614,'Staff Directory'!$B$5:$B$594,0)),""))</f>
        <v>firstname073.lastname073@example.com</v>
      </c>
      <c r="AB1614" s="64" t="str">
        <f>IF($C1614="","",IF(ISNUMBER(SEARCH($D1614,Settings!$C$15)),"Pickup","Dispatch"))</f>
        <v>Pickup</v>
      </c>
      <c r="AC1614" s="64" t="str">
        <f t="shared" ref="AC1614:AC1677" si="287">IF($AB1614="Pickup","Supply order ready for pickup",IF($AB1614="Dispatch","Supply order dispatched",""))</f>
        <v>Supply order ready for pickup</v>
      </c>
      <c r="AD1614" s="64" t="str">
        <f t="shared" si="278"/>
        <v>Dear PSW,
Your order is ready for pickup from Sample Branch, Wed-Fri 9am-4pm.</v>
      </c>
      <c r="AE1614" s="64" t="str">
        <f t="shared" si="279"/>
        <v>mailto:firstname073.lastname073@example.com?subject=Supply%20order%20ready%20for%20pickup&amp;body=Dear%20PSW%2C%0A%0AYour%20order%20is%20ready%20for%20pickup%20from%20Sample%20Branch%2C%20Wed-Fri%209am-4pm.</v>
      </c>
      <c r="AF1614" s="89" t="str">
        <f t="shared" ref="AF1614:AF1677" si="288">IF(AE1614="","",HYPERLINK(AE1614,"Draft email"))</f>
        <v>Draft email</v>
      </c>
      <c r="AG1614" s="64" t="str">
        <f>IF($C1614="","",IFERROR(INDEX('Staff Directory'!$K$595:$K$599,MATCH($C1614,'Staff Directory'!$B$5:$B$599,0)),$D1614))</f>
        <v>PSW</v>
      </c>
      <c r="AH1614" t="str">
        <f>IF($C1614="","",IFERROR(INDEX('Staff Directory'!$I$595:$I$599,MATCH($C1614,'Staff Directory'!$B$5:$B$599,0))&amp;" "&amp;INDEX('Staff Directory'!$J$595:$J$599,MATCH($C1614,'Staff Directory'!$B$5:$B$599,0)),$AG1614))</f>
        <v>PSW</v>
      </c>
      <c r="AI1614" s="102"/>
      <c r="AJ1614" s="101">
        <f>IF($F1614="","",SUMIFS($J$5:$J1614,$F$5:$F1614,$F1614))</f>
        <v>13150</v>
      </c>
      <c r="AK1614" s="101">
        <f t="shared" si="280"/>
        <v>13101</v>
      </c>
      <c r="AL1614" s="66" t="str" cm="1">
        <f t="array" ref="AL1614">IF($F1614="","",IFERROR(INDEX('Lot Balance'!$B$5:$B$500,MATCH(1,INDEX(('Lot Balance'!$A$5:$A$500=$F1614)*('Lot Balance'!$K$5:$K$500&lt;$AK1614)*('Lot Balance'!$K$5:$K$500+'Lot Balance'!$D$5:$D$500&gt;=$AK1614),0),0)),""))</f>
        <v>24HA2050A7396</v>
      </c>
      <c r="AM1614" s="66" t="str" cm="1">
        <f t="array" ref="AM1614">IF($F1614="","",IFERROR(INDEX('Lot Balance'!$B$5:$B$500,MATCH(1,INDEX(('Lot Balance'!$A$5:$A$500=$F1614)*('Lot Balance'!$K$5:$K$500&lt;$AJ1614)*('Lot Balance'!$K$5:$K$500+'Lot Balance'!$D$5:$D$500&gt;=$AJ1614),0),0)),""))</f>
        <v>24HA2050A7396</v>
      </c>
      <c r="AN1614" s="66" t="str">
        <f>IF($F1614="","",IF($AI1614&lt;&gt;"",IF(COUNTIFS('Lot Balance'!$A$5:$A$500,$F1614,'Lot Balance'!$B$5:$B$500,$AI1614)=0,"⚠ override is not a lot of this item",IF($AI1614=$AL1614,"Override = FEFO","Override - FEFO says "&amp;$AL1614)),IF($AL1614="","⚠ no receipt on file for this item",IF($AM1614&lt;&gt;$AL1614,"FEFO auto - split, also "&amp;$AM1614,"FEFO auto"))))</f>
        <v>FEFO auto</v>
      </c>
      <c r="AO1614" s="114"/>
    </row>
    <row r="1615" spans="1:41" x14ac:dyDescent="0.35">
      <c r="A1615" s="74">
        <v>46209</v>
      </c>
      <c r="B1615" s="18" t="str">
        <f>IF($C1615="","",IFERROR(INDEX('Staff Directory'!$A$5:$A$594,MATCH($C1615,'Staff Directory'!$B$5:$B$594,0)),"⚠ unknown staff"))</f>
        <v>PSW-013-A5</v>
      </c>
      <c r="C1615" s="49" t="s">
        <v>989</v>
      </c>
      <c r="D1615" s="19" t="str">
        <f>IF($B1615="","",IFERROR(INDEX('Staff Directory'!$C$5:$C$594,MATCH($B1615,'Staff Directory'!$A$5:$A$594,0)),""))</f>
        <v>PSW</v>
      </c>
      <c r="E1615" s="19" t="str">
        <f>IF($B1615="","",IFERROR(INDEX('Staff Directory'!$D$5:$D$594,MATCH($B1615,'Staff Directory'!$A$5:$A$594,0)),""))</f>
        <v>A5</v>
      </c>
      <c r="F1615" s="9" t="s">
        <v>758</v>
      </c>
      <c r="G1615" s="18" t="str">
        <f>IF($F1615="","",IFERROR(INDEX(Items!$B$5:$B$597,MATCH($F1615,Items!$A$5:$A$597,0)),"⚠ not in Items"))</f>
        <v>Utility</v>
      </c>
      <c r="H1615" s="19" t="str">
        <f>IF($F1615="","",IFERROR(INDEX(Items!$C$5:$C$597,MATCH($F1615,Items!$A$5:$A$597,0)),""))</f>
        <v>Standard</v>
      </c>
      <c r="I1615" s="23">
        <f>IF($F1615="","",IFERROR(INDEX(Items!$E$5:$E$597,MATCH($F1615,Items!$A$5:$A$597,0)),""))</f>
        <v>1</v>
      </c>
      <c r="J1615" s="115">
        <f>IF(tblIssues[[#This Row],[Qty Override]]&lt;&gt;"",tblIssues[[#This Row],[Qty Override]],IF(tblIssues[[#This Row],[Standard Issue]]="","",tblIssues[[#This Row],[Standard Issue]]))</f>
        <v>1</v>
      </c>
      <c r="K1615" s="20">
        <f>IF($F1615="","",IFERROR(INDEX(Items!$D$5:$D$597,MATCH($F1615,Items!$A$5:$A$597,0)),""))</f>
        <v>0</v>
      </c>
      <c r="L1615" s="21">
        <f t="shared" si="283"/>
        <v>0</v>
      </c>
      <c r="M1615" s="9" t="str">
        <f t="shared" si="281"/>
        <v/>
      </c>
      <c r="N1615" s="24">
        <f>IF($A1615="","",WORKDAY($A1615,Settings!$C$9,HolidayDates))</f>
        <v>46217</v>
      </c>
      <c r="O1615" s="24">
        <f>IF($N1615="","",WORKDAY($N1615,Settings!$C$10,HolidayDates))</f>
        <v>46255</v>
      </c>
      <c r="P1615" s="10" t="s">
        <v>501</v>
      </c>
      <c r="Q1615" s="52" t="str">
        <f t="shared" si="284"/>
        <v>Collected</v>
      </c>
      <c r="R1615" s="55" t="str">
        <f t="shared" si="285"/>
        <v>2026-07</v>
      </c>
      <c r="S1615" s="55">
        <f>IF(OR($B1615="",$F1615="",$R1615=""),"",SUMIFS(tblIssues[Qty Issued],tblIssues[Staff ID],$B1615,tblIssues[Item Name],$F1615,tblIssues[Month],$R1615))</f>
        <v>1</v>
      </c>
      <c r="T1615" s="56">
        <f>IF($I1615="","",$I1615*Settings!$C$11)</f>
        <v>1</v>
      </c>
      <c r="U1615" s="57" t="str">
        <f t="shared" si="282"/>
        <v>OK</v>
      </c>
      <c r="V1615" s="55" t="str">
        <f t="shared" si="286"/>
        <v/>
      </c>
      <c r="W1615" s="55" t="str">
        <f>IF($V1615="","",IF(COUNTIF($V$5:$V1615,$V1615)=1,1,""))</f>
        <v/>
      </c>
      <c r="X1615" s="58" t="str">
        <f>IF($W1615="","",MAX($X$4:X1614)+1)</f>
        <v/>
      </c>
      <c r="Y1615" s="62"/>
      <c r="Z1615" s="62"/>
      <c r="AA1615" s="64" t="str">
        <f>IF($C1615="","",IFERROR(INDEX('Staff Directory'!$E$5:$E$594,MATCH($C1615,'Staff Directory'!$B$5:$B$594,0)),""))</f>
        <v>firstname073.lastname073@example.com</v>
      </c>
      <c r="AB1615" s="64" t="str">
        <f>IF($C1615="","",IF(ISNUMBER(SEARCH($D1615,Settings!$C$15)),"Pickup","Dispatch"))</f>
        <v>Pickup</v>
      </c>
      <c r="AC1615" s="64" t="str">
        <f t="shared" si="287"/>
        <v>Supply order ready for pickup</v>
      </c>
      <c r="AD1615" s="64" t="str">
        <f t="shared" si="278"/>
        <v>Dear PSW,
Your order is ready for pickup from Sample Branch, Wed-Fri 9am-4pm.</v>
      </c>
      <c r="AE1615" s="64" t="str">
        <f t="shared" si="279"/>
        <v>mailto:firstname073.lastname073@example.com?subject=Supply%20order%20ready%20for%20pickup&amp;body=Dear%20PSW%2C%0A%0AYour%20order%20is%20ready%20for%20pickup%20from%20Sample%20Branch%2C%20Wed-Fri%209am-4pm.</v>
      </c>
      <c r="AF1615" s="89" t="str">
        <f t="shared" si="288"/>
        <v>Draft email</v>
      </c>
      <c r="AG1615" s="64" t="str">
        <f>IF($C1615="","",IFERROR(INDEX('Staff Directory'!$K$595:$K$599,MATCH($C1615,'Staff Directory'!$B$5:$B$599,0)),$D1615))</f>
        <v>PSW</v>
      </c>
      <c r="AH1615" t="str">
        <f>IF($C1615="","",IFERROR(INDEX('Staff Directory'!$I$595:$I$599,MATCH($C1615,'Staff Directory'!$B$5:$B$599,0))&amp;" "&amp;INDEX('Staff Directory'!$J$595:$J$599,MATCH($C1615,'Staff Directory'!$B$5:$B$599,0)),$AG1615))</f>
        <v>PSW</v>
      </c>
      <c r="AI1615" s="102"/>
      <c r="AJ1615" s="101">
        <f>IF($F1615="","",SUMIFS($J$5:$J1615,$F$5:$F1615,$F1615))</f>
        <v>35</v>
      </c>
      <c r="AK1615" s="101">
        <f t="shared" si="280"/>
        <v>35</v>
      </c>
      <c r="AL1615" s="66" t="str" cm="1">
        <f t="array" ref="AL1615">IF($F1615="","",IFERROR(INDEX('Lot Balance'!$B$5:$B$500,MATCH(1,INDEX(('Lot Balance'!$A$5:$A$500=$F1615)*('Lot Balance'!$K$5:$K$500&lt;$AK1615)*('Lot Balance'!$K$5:$K$500+'Lot Balance'!$D$5:$D$500&gt;=$AK1615),0),0)),""))</f>
        <v/>
      </c>
      <c r="AM1615" s="66" t="str" cm="1">
        <f t="array" ref="AM1615">IF($F1615="","",IFERROR(INDEX('Lot Balance'!$B$5:$B$500,MATCH(1,INDEX(('Lot Balance'!$A$5:$A$500=$F1615)*('Lot Balance'!$K$5:$K$500&lt;$AJ1615)*('Lot Balance'!$K$5:$K$500+'Lot Balance'!$D$5:$D$500&gt;=$AJ1615),0),0)),""))</f>
        <v/>
      </c>
      <c r="AN1615" s="66" t="str">
        <f>IF($F1615="","",IF($AI1615&lt;&gt;"",IF(COUNTIFS('Lot Balance'!$A$5:$A$500,$F1615,'Lot Balance'!$B$5:$B$500,$AI1615)=0,"⚠ override is not a lot of this item",IF($AI1615=$AL1615,"Override = FEFO","Override - FEFO says "&amp;$AL1615)),IF($AL1615="","⚠ no receipt on file for this item",IF($AM1615&lt;&gt;$AL1615,"FEFO auto - split, also "&amp;$AM1615,"FEFO auto"))))</f>
        <v>⚠ no receipt on file for this item</v>
      </c>
      <c r="AO1615" s="114"/>
    </row>
    <row r="1616" spans="1:41" x14ac:dyDescent="0.35">
      <c r="A1616" s="74">
        <v>46209</v>
      </c>
      <c r="B1616" s="18" t="str">
        <f>IF($C1616="","",IFERROR(INDEX('Staff Directory'!$A$5:$A$594,MATCH($C1616,'Staff Directory'!$B$5:$B$594,0)),"⚠ unknown staff"))</f>
        <v>PSW-063-A6</v>
      </c>
      <c r="C1616" s="49" t="s">
        <v>1039</v>
      </c>
      <c r="D1616" s="19" t="str">
        <f>IF($B1616="","",IFERROR(INDEX('Staff Directory'!$C$5:$C$594,MATCH($B1616,'Staff Directory'!$A$5:$A$594,0)),""))</f>
        <v>PSW</v>
      </c>
      <c r="E1616" s="19" t="str">
        <f>IF($B1616="","",IFERROR(INDEX('Staff Directory'!$D$5:$D$594,MATCH($B1616,'Staff Directory'!$A$5:$A$594,0)),""))</f>
        <v>A6</v>
      </c>
      <c r="F1616" s="9" t="s">
        <v>129</v>
      </c>
      <c r="G1616" s="18" t="str">
        <f>IF($F1616="","",IFERROR(INDEX(Items!$B$5:$B$597,MATCH($F1616,Items!$A$5:$A$597,0)),"⚠ not in Items"))</f>
        <v>Gloves</v>
      </c>
      <c r="H1616" s="19" t="str">
        <f>IF($F1616="","",IFERROR(INDEX(Items!$C$5:$C$597,MATCH($F1616,Items!$A$5:$A$597,0)),""))</f>
        <v>Small</v>
      </c>
      <c r="I1616" s="23">
        <f>IF($F1616="","",IFERROR(INDEX(Items!$E$5:$E$597,MATCH($F1616,Items!$A$5:$A$597,0)),""))</f>
        <v>500</v>
      </c>
      <c r="J1616" s="115">
        <f>IF(tblIssues[[#This Row],[Qty Override]]&lt;&gt;"",tblIssues[[#This Row],[Qty Override]],IF(tblIssues[[#This Row],[Standard Issue]]="","",tblIssues[[#This Row],[Standard Issue]]))</f>
        <v>500</v>
      </c>
      <c r="K1616" s="20">
        <f>IF($F1616="","",IFERROR(INDEX(Items!$D$5:$D$597,MATCH($F1616,Items!$A$5:$A$597,0)),""))</f>
        <v>5.5E-2</v>
      </c>
      <c r="L1616" s="21">
        <f t="shared" si="283"/>
        <v>27.5</v>
      </c>
      <c r="M1616" s="9" t="str">
        <f t="shared" si="281"/>
        <v>ZIM502120291</v>
      </c>
      <c r="N1616" s="24">
        <f>IF($A1616="","",WORKDAY($A1616,Settings!$C$9,HolidayDates))</f>
        <v>46217</v>
      </c>
      <c r="O1616" s="24">
        <f>IF($N1616="","",WORKDAY($N1616,Settings!$C$10,HolidayDates))</f>
        <v>46255</v>
      </c>
      <c r="P1616" s="10" t="s">
        <v>501</v>
      </c>
      <c r="Q1616" s="52" t="str">
        <f t="shared" si="284"/>
        <v>Collected</v>
      </c>
      <c r="R1616" s="55" t="str">
        <f t="shared" si="285"/>
        <v>2026-07</v>
      </c>
      <c r="S1616" s="55">
        <f>IF(OR($B1616="",$F1616="",$R1616=""),"",SUMIFS(tblIssues[Qty Issued],tblIssues[Staff ID],$B1616,tblIssues[Item Name],$F1616,tblIssues[Month],$R1616))</f>
        <v>500</v>
      </c>
      <c r="T1616" s="56">
        <f>IF($I1616="","",$I1616*Settings!$C$11)</f>
        <v>500</v>
      </c>
      <c r="U1616" s="57" t="str">
        <f t="shared" si="282"/>
        <v>OK</v>
      </c>
      <c r="V1616" s="55" t="str">
        <f t="shared" si="286"/>
        <v/>
      </c>
      <c r="W1616" s="55" t="str">
        <f>IF($V1616="","",IF(COUNTIF($V$5:$V1616,$V1616)=1,1,""))</f>
        <v/>
      </c>
      <c r="X1616" s="58" t="str">
        <f>IF($W1616="","",MAX($X$4:X1615)+1)</f>
        <v/>
      </c>
      <c r="Y1616" s="62"/>
      <c r="Z1616" s="62"/>
      <c r="AA1616" s="64" t="str">
        <f>IF($C1616="","",IFERROR(INDEX('Staff Directory'!$E$5:$E$594,MATCH($C1616,'Staff Directory'!$B$5:$B$594,0)),""))</f>
        <v>firstname123.lastname123@example.com</v>
      </c>
      <c r="AB1616" s="64" t="str">
        <f>IF($C1616="","",IF(ISNUMBER(SEARCH($D1616,Settings!$C$15)),"Pickup","Dispatch"))</f>
        <v>Pickup</v>
      </c>
      <c r="AC1616" s="64" t="str">
        <f t="shared" si="287"/>
        <v>Supply order ready for pickup</v>
      </c>
      <c r="AD1616" s="64" t="str">
        <f t="shared" si="278"/>
        <v>Dear PSW,
Your order is ready for pickup from Sample Branch, Wed-Fri 9am-4pm.</v>
      </c>
      <c r="AE1616" s="64" t="str">
        <f t="shared" si="279"/>
        <v>mailto:firstname123.lastname123@example.com?subject=Supply%20order%20ready%20for%20pickup&amp;body=Dear%20PSW%2C%0A%0AYour%20order%20is%20ready%20for%20pickup%20from%20Sample%20Branch%2C%20Wed-Fri%209am-4pm.</v>
      </c>
      <c r="AF1616" s="89" t="str">
        <f t="shared" si="288"/>
        <v>Draft email</v>
      </c>
      <c r="AG1616" s="64" t="str">
        <f>IF($C1616="","",IFERROR(INDEX('Staff Directory'!$K$595:$K$599,MATCH($C1616,'Staff Directory'!$B$5:$B$599,0)),$D1616))</f>
        <v>PSW</v>
      </c>
      <c r="AH1616" t="str">
        <f>IF($C1616="","",IFERROR(INDEX('Staff Directory'!$I$595:$I$599,MATCH($C1616,'Staff Directory'!$B$5:$B$599,0))&amp;" "&amp;INDEX('Staff Directory'!$J$595:$J$599,MATCH($C1616,'Staff Directory'!$B$5:$B$599,0)),$AG1616))</f>
        <v>PSW</v>
      </c>
      <c r="AI1616" s="102"/>
      <c r="AJ1616" s="101">
        <f>IF($F1616="","",SUMIFS($J$5:$J1616,$F$5:$F1616,$F1616))</f>
        <v>47500</v>
      </c>
      <c r="AK1616" s="101">
        <f t="shared" si="280"/>
        <v>47001</v>
      </c>
      <c r="AL1616" s="66" t="str" cm="1">
        <f t="array" ref="AL1616">IF($F1616="","",IFERROR(INDEX('Lot Balance'!$B$5:$B$500,MATCH(1,INDEX(('Lot Balance'!$A$5:$A$500=$F1616)*('Lot Balance'!$K$5:$K$500&lt;$AK1616)*('Lot Balance'!$K$5:$K$500+'Lot Balance'!$D$5:$D$500&gt;=$AK1616),0),0)),""))</f>
        <v>ZIM502120291</v>
      </c>
      <c r="AM1616" s="66" t="str" cm="1">
        <f t="array" ref="AM1616">IF($F1616="","",IFERROR(INDEX('Lot Balance'!$B$5:$B$500,MATCH(1,INDEX(('Lot Balance'!$A$5:$A$500=$F1616)*('Lot Balance'!$K$5:$K$500&lt;$AJ1616)*('Lot Balance'!$K$5:$K$500+'Lot Balance'!$D$5:$D$500&gt;=$AJ1616),0),0)),""))</f>
        <v>ZIM510137942</v>
      </c>
      <c r="AN1616" s="66" t="str">
        <f>IF($F1616="","",IF($AI1616&lt;&gt;"",IF(COUNTIFS('Lot Balance'!$A$5:$A$500,$F1616,'Lot Balance'!$B$5:$B$500,$AI1616)=0,"⚠ override is not a lot of this item",IF($AI1616=$AL1616,"Override = FEFO","Override - FEFO says "&amp;$AL1616)),IF($AL1616="","⚠ no receipt on file for this item",IF($AM1616&lt;&gt;$AL1616,"FEFO auto - split, also "&amp;$AM1616,"FEFO auto"))))</f>
        <v>FEFO auto - split, also ZIM510137942</v>
      </c>
      <c r="AO1616" s="114"/>
    </row>
    <row r="1617" spans="1:41" x14ac:dyDescent="0.35">
      <c r="A1617" s="74">
        <v>46209</v>
      </c>
      <c r="B1617" s="18" t="str">
        <f>IF($C1617="","",IFERROR(INDEX('Staff Directory'!$A$5:$A$594,MATCH($C1617,'Staff Directory'!$B$5:$B$594,0)),"⚠ unknown staff"))</f>
        <v>PSW-063-A6</v>
      </c>
      <c r="C1617" s="49" t="s">
        <v>1039</v>
      </c>
      <c r="D1617" s="19" t="str">
        <f>IF($B1617="","",IFERROR(INDEX('Staff Directory'!$C$5:$C$594,MATCH($B1617,'Staff Directory'!$A$5:$A$594,0)),""))</f>
        <v>PSW</v>
      </c>
      <c r="E1617" s="19" t="str">
        <f>IF($B1617="","",IFERROR(INDEX('Staff Directory'!$D$5:$D$594,MATCH($B1617,'Staff Directory'!$A$5:$A$594,0)),""))</f>
        <v>A6</v>
      </c>
      <c r="F1617" s="9" t="s">
        <v>191</v>
      </c>
      <c r="G1617" s="18" t="str">
        <f>IF($F1617="","",IFERROR(INDEX(Items!$B$5:$B$597,MATCH($F1617,Items!$A$5:$A$597,0)),"⚠ not in Items"))</f>
        <v>Sanitizer</v>
      </c>
      <c r="H1617" s="19" t="str">
        <f>IF($F1617="","",IFERROR(INDEX(Items!$C$5:$C$597,MATCH($F1617,Items!$A$5:$A$597,0)),""))</f>
        <v>236 ML</v>
      </c>
      <c r="I1617" s="23">
        <f>IF($F1617="","",IFERROR(INDEX(Items!$E$5:$E$597,MATCH($F1617,Items!$A$5:$A$597,0)),""))</f>
        <v>1</v>
      </c>
      <c r="J1617" s="115">
        <f>IF(tblIssues[[#This Row],[Qty Override]]&lt;&gt;"",tblIssues[[#This Row],[Qty Override]],IF(tblIssues[[#This Row],[Standard Issue]]="","",tblIssues[[#This Row],[Standard Issue]]))</f>
        <v>1</v>
      </c>
      <c r="K1617" s="20">
        <f>IF($F1617="","",IFERROR(INDEX(Items!$D$5:$D$597,MATCH($F1617,Items!$A$5:$A$597,0)),""))</f>
        <v>1E-4</v>
      </c>
      <c r="L1617" s="21">
        <f t="shared" si="283"/>
        <v>1E-4</v>
      </c>
      <c r="M1617" s="9" t="str">
        <f t="shared" si="281"/>
        <v/>
      </c>
      <c r="N1617" s="24">
        <f>IF($A1617="","",WORKDAY($A1617,Settings!$C$9,HolidayDates))</f>
        <v>46217</v>
      </c>
      <c r="O1617" s="24">
        <f>IF($N1617="","",WORKDAY($N1617,Settings!$C$10,HolidayDates))</f>
        <v>46255</v>
      </c>
      <c r="P1617" s="10" t="s">
        <v>501</v>
      </c>
      <c r="Q1617" s="52" t="str">
        <f t="shared" si="284"/>
        <v>Collected</v>
      </c>
      <c r="R1617" s="55" t="str">
        <f t="shared" si="285"/>
        <v>2026-07</v>
      </c>
      <c r="S1617" s="55">
        <f>IF(OR($B1617="",$F1617="",$R1617=""),"",SUMIFS(tblIssues[Qty Issued],tblIssues[Staff ID],$B1617,tblIssues[Item Name],$F1617,tblIssues[Month],$R1617))</f>
        <v>1</v>
      </c>
      <c r="T1617" s="56">
        <f>IF($I1617="","",$I1617*Settings!$C$11)</f>
        <v>1</v>
      </c>
      <c r="U1617" s="57" t="str">
        <f t="shared" si="282"/>
        <v>OK</v>
      </c>
      <c r="V1617" s="55" t="str">
        <f t="shared" si="286"/>
        <v/>
      </c>
      <c r="W1617" s="55" t="str">
        <f>IF($V1617="","",IF(COUNTIF($V$5:$V1617,$V1617)=1,1,""))</f>
        <v/>
      </c>
      <c r="X1617" s="58" t="str">
        <f>IF($W1617="","",MAX($X$4:X1616)+1)</f>
        <v/>
      </c>
      <c r="Y1617" s="62"/>
      <c r="Z1617" s="62"/>
      <c r="AA1617" s="64" t="str">
        <f>IF($C1617="","",IFERROR(INDEX('Staff Directory'!$E$5:$E$594,MATCH($C1617,'Staff Directory'!$B$5:$B$594,0)),""))</f>
        <v>firstname123.lastname123@example.com</v>
      </c>
      <c r="AB1617" s="64" t="str">
        <f>IF($C1617="","",IF(ISNUMBER(SEARCH($D1617,Settings!$C$15)),"Pickup","Dispatch"))</f>
        <v>Pickup</v>
      </c>
      <c r="AC1617" s="64" t="str">
        <f t="shared" si="287"/>
        <v>Supply order ready for pickup</v>
      </c>
      <c r="AD1617" s="64" t="str">
        <f t="shared" si="278"/>
        <v>Dear PSW,
Your order is ready for pickup from Sample Branch, Wed-Fri 9am-4pm.</v>
      </c>
      <c r="AE1617" s="64" t="str">
        <f t="shared" si="279"/>
        <v>mailto:firstname123.lastname123@example.com?subject=Supply%20order%20ready%20for%20pickup&amp;body=Dear%20PSW%2C%0A%0AYour%20order%20is%20ready%20for%20pickup%20from%20Sample%20Branch%2C%20Wed-Fri%209am-4pm.</v>
      </c>
      <c r="AF1617" s="89" t="str">
        <f t="shared" si="288"/>
        <v>Draft email</v>
      </c>
      <c r="AG1617" s="64" t="str">
        <f>IF($C1617="","",IFERROR(INDEX('Staff Directory'!$K$595:$K$599,MATCH($C1617,'Staff Directory'!$B$5:$B$599,0)),$D1617))</f>
        <v>PSW</v>
      </c>
      <c r="AH1617" t="str">
        <f>IF($C1617="","",IFERROR(INDEX('Staff Directory'!$I$595:$I$599,MATCH($C1617,'Staff Directory'!$B$5:$B$599,0))&amp;" "&amp;INDEX('Staff Directory'!$J$595:$J$599,MATCH($C1617,'Staff Directory'!$B$5:$B$599,0)),$AG1617))</f>
        <v>PSW</v>
      </c>
      <c r="AI1617" s="102"/>
      <c r="AJ1617" s="101">
        <f>IF($F1617="","",SUMIFS($J$5:$J1617,$F$5:$F1617,$F1617))</f>
        <v>206</v>
      </c>
      <c r="AK1617" s="101">
        <f t="shared" si="280"/>
        <v>206</v>
      </c>
      <c r="AL1617" s="66" t="str" cm="1">
        <f t="array" ref="AL1617">IF($F1617="","",IFERROR(INDEX('Lot Balance'!$B$5:$B$500,MATCH(1,INDEX(('Lot Balance'!$A$5:$A$500=$F1617)*('Lot Balance'!$K$5:$K$500&lt;$AK1617)*('Lot Balance'!$K$5:$K$500+'Lot Balance'!$D$5:$D$500&gt;=$AK1617),0),0)),""))</f>
        <v/>
      </c>
      <c r="AM1617" s="66" t="str" cm="1">
        <f t="array" ref="AM1617">IF($F1617="","",IFERROR(INDEX('Lot Balance'!$B$5:$B$500,MATCH(1,INDEX(('Lot Balance'!$A$5:$A$500=$F1617)*('Lot Balance'!$K$5:$K$500&lt;$AJ1617)*('Lot Balance'!$K$5:$K$500+'Lot Balance'!$D$5:$D$500&gt;=$AJ1617),0),0)),""))</f>
        <v/>
      </c>
      <c r="AN1617" s="66" t="str">
        <f>IF($F1617="","",IF($AI1617&lt;&gt;"",IF(COUNTIFS('Lot Balance'!$A$5:$A$500,$F1617,'Lot Balance'!$B$5:$B$500,$AI1617)=0,"⚠ override is not a lot of this item",IF($AI1617=$AL1617,"Override = FEFO","Override - FEFO says "&amp;$AL1617)),IF($AL1617="","⚠ no receipt on file for this item",IF($AM1617&lt;&gt;$AL1617,"FEFO auto - split, also "&amp;$AM1617,"FEFO auto"))))</f>
        <v>⚠ no receipt on file for this item</v>
      </c>
      <c r="AO1617" s="114"/>
    </row>
    <row r="1618" spans="1:41" x14ac:dyDescent="0.35">
      <c r="A1618" s="74">
        <v>46209</v>
      </c>
      <c r="B1618" s="18" t="str">
        <f>IF($C1618="","",IFERROR(INDEX('Staff Directory'!$A$5:$A$594,MATCH($C1618,'Staff Directory'!$B$5:$B$594,0)),"⚠ unknown staff"))</f>
        <v>PSW-063-A6</v>
      </c>
      <c r="C1618" s="49" t="s">
        <v>1039</v>
      </c>
      <c r="D1618" s="19" t="str">
        <f>IF($B1618="","",IFERROR(INDEX('Staff Directory'!$C$5:$C$594,MATCH($B1618,'Staff Directory'!$A$5:$A$594,0)),""))</f>
        <v>PSW</v>
      </c>
      <c r="E1618" s="19" t="str">
        <f>IF($B1618="","",IFERROR(INDEX('Staff Directory'!$D$5:$D$594,MATCH($B1618,'Staff Directory'!$A$5:$A$594,0)),""))</f>
        <v>A6</v>
      </c>
      <c r="F1618" s="9" t="s">
        <v>115</v>
      </c>
      <c r="G1618" s="18" t="str">
        <f>IF($F1618="","",IFERROR(INDEX(Items!$B$5:$B$597,MATCH($F1618,Items!$A$5:$A$597,0)),"⚠ not in Items"))</f>
        <v>Wipes</v>
      </c>
      <c r="H1618" s="19">
        <f>IF($F1618="","",IFERROR(INDEX(Items!$C$5:$C$597,MATCH($F1618,Items!$A$5:$A$597,0)),""))</f>
        <v>80</v>
      </c>
      <c r="I1618" s="23">
        <f>IF($F1618="","",IFERROR(INDEX(Items!$E$5:$E$597,MATCH($F1618,Items!$A$5:$A$597,0)),""))</f>
        <v>80</v>
      </c>
      <c r="J1618" s="115">
        <f>IF(tblIssues[[#This Row],[Qty Override]]&lt;&gt;"",tblIssues[[#This Row],[Qty Override]],IF(tblIssues[[#This Row],[Standard Issue]]="","",tblIssues[[#This Row],[Standard Issue]]))</f>
        <v>80</v>
      </c>
      <c r="K1618" s="20">
        <f>IF($F1618="","",IFERROR(INDEX(Items!$D$5:$D$597,MATCH($F1618,Items!$A$5:$A$597,0)),""))</f>
        <v>0.1</v>
      </c>
      <c r="L1618" s="21">
        <f t="shared" si="283"/>
        <v>8</v>
      </c>
      <c r="M1618" s="9" t="str">
        <f t="shared" si="281"/>
        <v>LYSL500290</v>
      </c>
      <c r="N1618" s="24">
        <f>IF($A1618="","",WORKDAY($A1618,Settings!$C$9,HolidayDates))</f>
        <v>46217</v>
      </c>
      <c r="O1618" s="24">
        <f>IF($N1618="","",WORKDAY($N1618,Settings!$C$10,HolidayDates))</f>
        <v>46255</v>
      </c>
      <c r="P1618" s="10" t="s">
        <v>501</v>
      </c>
      <c r="Q1618" s="52" t="str">
        <f t="shared" si="284"/>
        <v>Collected</v>
      </c>
      <c r="R1618" s="55" t="str">
        <f t="shared" si="285"/>
        <v>2026-07</v>
      </c>
      <c r="S1618" s="55">
        <f>IF(OR($B1618="",$F1618="",$R1618=""),"",SUMIFS(tblIssues[Qty Issued],tblIssues[Staff ID],$B1618,tblIssues[Item Name],$F1618,tblIssues[Month],$R1618))</f>
        <v>80</v>
      </c>
      <c r="T1618" s="56">
        <f>IF($I1618="","",$I1618*Settings!$C$11)</f>
        <v>80</v>
      </c>
      <c r="U1618" s="57" t="str">
        <f t="shared" si="282"/>
        <v>OK</v>
      </c>
      <c r="V1618" s="55" t="str">
        <f t="shared" si="286"/>
        <v/>
      </c>
      <c r="W1618" s="55" t="str">
        <f>IF($V1618="","",IF(COUNTIF($V$5:$V1618,$V1618)=1,1,""))</f>
        <v/>
      </c>
      <c r="X1618" s="58" t="str">
        <f>IF($W1618="","",MAX($X$4:X1617)+1)</f>
        <v/>
      </c>
      <c r="Y1618" s="62"/>
      <c r="Z1618" s="62"/>
      <c r="AA1618" s="64" t="str">
        <f>IF($C1618="","",IFERROR(INDEX('Staff Directory'!$E$5:$E$594,MATCH($C1618,'Staff Directory'!$B$5:$B$594,0)),""))</f>
        <v>firstname123.lastname123@example.com</v>
      </c>
      <c r="AB1618" s="64" t="str">
        <f>IF($C1618="","",IF(ISNUMBER(SEARCH($D1618,Settings!$C$15)),"Pickup","Dispatch"))</f>
        <v>Pickup</v>
      </c>
      <c r="AC1618" s="64" t="str">
        <f t="shared" si="287"/>
        <v>Supply order ready for pickup</v>
      </c>
      <c r="AD1618" s="64" t="str">
        <f t="shared" si="278"/>
        <v>Dear PSW,
Your order is ready for pickup from Sample Branch, Wed-Fri 9am-4pm.</v>
      </c>
      <c r="AE1618" s="64" t="str">
        <f t="shared" si="279"/>
        <v>mailto:firstname123.lastname123@example.com?subject=Supply%20order%20ready%20for%20pickup&amp;body=Dear%20PSW%2C%0A%0AYour%20order%20is%20ready%20for%20pickup%20from%20Sample%20Branch%2C%20Wed-Fri%209am-4pm.</v>
      </c>
      <c r="AF1618" s="89" t="str">
        <f t="shared" si="288"/>
        <v>Draft email</v>
      </c>
      <c r="AG1618" s="64" t="str">
        <f>IF($C1618="","",IFERROR(INDEX('Staff Directory'!$K$595:$K$599,MATCH($C1618,'Staff Directory'!$B$5:$B$599,0)),$D1618))</f>
        <v>PSW</v>
      </c>
      <c r="AH1618" t="str">
        <f>IF($C1618="","",IFERROR(INDEX('Staff Directory'!$I$595:$I$599,MATCH($C1618,'Staff Directory'!$B$5:$B$599,0))&amp;" "&amp;INDEX('Staff Directory'!$J$595:$J$599,MATCH($C1618,'Staff Directory'!$B$5:$B$599,0)),$AG1618))</f>
        <v>PSW</v>
      </c>
      <c r="AI1618" s="102"/>
      <c r="AJ1618" s="101">
        <f>IF($F1618="","",SUMIFS($J$5:$J1618,$F$5:$F1618,$F1618))</f>
        <v>21680</v>
      </c>
      <c r="AK1618" s="101">
        <f t="shared" si="280"/>
        <v>21601</v>
      </c>
      <c r="AL1618" s="66" t="str" cm="1">
        <f t="array" ref="AL1618">IF($F1618="","",IFERROR(INDEX('Lot Balance'!$B$5:$B$500,MATCH(1,INDEX(('Lot Balance'!$A$5:$A$500=$F1618)*('Lot Balance'!$K$5:$K$500&lt;$AK1618)*('Lot Balance'!$K$5:$K$500+'Lot Balance'!$D$5:$D$500&gt;=$AK1618),0),0)),""))</f>
        <v>LYSL500290</v>
      </c>
      <c r="AM1618" s="66" t="str" cm="1">
        <f t="array" ref="AM1618">IF($F1618="","",IFERROR(INDEX('Lot Balance'!$B$5:$B$500,MATCH(1,INDEX(('Lot Balance'!$A$5:$A$500=$F1618)*('Lot Balance'!$K$5:$K$500&lt;$AJ1618)*('Lot Balance'!$K$5:$K$500+'Lot Balance'!$D$5:$D$500&gt;=$AJ1618),0),0)),""))</f>
        <v>LYSL500290</v>
      </c>
      <c r="AN1618" s="66" t="str">
        <f>IF($F1618="","",IF($AI1618&lt;&gt;"",IF(COUNTIFS('Lot Balance'!$A$5:$A$500,$F1618,'Lot Balance'!$B$5:$B$500,$AI1618)=0,"⚠ override is not a lot of this item",IF($AI1618=$AL1618,"Override = FEFO","Override - FEFO says "&amp;$AL1618)),IF($AL1618="","⚠ no receipt on file for this item",IF($AM1618&lt;&gt;$AL1618,"FEFO auto - split, also "&amp;$AM1618,"FEFO auto"))))</f>
        <v>FEFO auto</v>
      </c>
      <c r="AO1618" s="114"/>
    </row>
    <row r="1619" spans="1:41" x14ac:dyDescent="0.35">
      <c r="A1619" s="74">
        <v>46209</v>
      </c>
      <c r="B1619" s="18" t="str">
        <f>IF($C1619="","",IFERROR(INDEX('Staff Directory'!$A$5:$A$594,MATCH($C1619,'Staff Directory'!$B$5:$B$594,0)),"⚠ unknown staff"))</f>
        <v>PSW-063-A6</v>
      </c>
      <c r="C1619" s="49" t="s">
        <v>1039</v>
      </c>
      <c r="D1619" s="19" t="str">
        <f>IF($B1619="","",IFERROR(INDEX('Staff Directory'!$C$5:$C$594,MATCH($B1619,'Staff Directory'!$A$5:$A$594,0)),""))</f>
        <v>PSW</v>
      </c>
      <c r="E1619" s="19" t="str">
        <f>IF($B1619="","",IFERROR(INDEX('Staff Directory'!$D$5:$D$594,MATCH($B1619,'Staff Directory'!$A$5:$A$594,0)),""))</f>
        <v>A6</v>
      </c>
      <c r="F1619" s="9" t="s">
        <v>156</v>
      </c>
      <c r="G1619" s="18" t="str">
        <f>IF($F1619="","",IFERROR(INDEX(Items!$B$5:$B$597,MATCH($F1619,Items!$A$5:$A$597,0)),"⚠ not in Items"))</f>
        <v>Masks</v>
      </c>
      <c r="H1619" s="19" t="str">
        <f>IF($F1619="","",IFERROR(INDEX(Items!$C$5:$C$597,MATCH($F1619,Items!$A$5:$A$597,0)),""))</f>
        <v>One Size</v>
      </c>
      <c r="I1619" s="23">
        <f>IF($F1619="","",IFERROR(INDEX(Items!$E$5:$E$597,MATCH($F1619,Items!$A$5:$A$597,0)),""))</f>
        <v>50</v>
      </c>
      <c r="J1619" s="115">
        <f>IF(tblIssues[[#This Row],[Qty Override]]&lt;&gt;"",tblIssues[[#This Row],[Qty Override]],IF(tblIssues[[#This Row],[Standard Issue]]="","",tblIssues[[#This Row],[Standard Issue]]))</f>
        <v>50</v>
      </c>
      <c r="K1619" s="20">
        <f>IF($F1619="","",IFERROR(INDEX(Items!$D$5:$D$597,MATCH($F1619,Items!$A$5:$A$597,0)),""))</f>
        <v>0.25</v>
      </c>
      <c r="L1619" s="21">
        <f t="shared" si="283"/>
        <v>12.5</v>
      </c>
      <c r="M1619" s="9" t="str">
        <f t="shared" si="281"/>
        <v>24HA2050A7396</v>
      </c>
      <c r="N1619" s="24">
        <f>IF($A1619="","",WORKDAY($A1619,Settings!$C$9,HolidayDates))</f>
        <v>46217</v>
      </c>
      <c r="O1619" s="24">
        <f>IF($N1619="","",WORKDAY($N1619,Settings!$C$10,HolidayDates))</f>
        <v>46255</v>
      </c>
      <c r="P1619" s="10" t="s">
        <v>501</v>
      </c>
      <c r="Q1619" s="52" t="str">
        <f t="shared" si="284"/>
        <v>Collected</v>
      </c>
      <c r="R1619" s="55" t="str">
        <f t="shared" si="285"/>
        <v>2026-07</v>
      </c>
      <c r="S1619" s="55">
        <f>IF(OR($B1619="",$F1619="",$R1619=""),"",SUMIFS(tblIssues[Qty Issued],tblIssues[Staff ID],$B1619,tblIssues[Item Name],$F1619,tblIssues[Month],$R1619))</f>
        <v>50</v>
      </c>
      <c r="T1619" s="56">
        <f>IF($I1619="","",$I1619*Settings!$C$11)</f>
        <v>50</v>
      </c>
      <c r="U1619" s="57" t="str">
        <f t="shared" si="282"/>
        <v>OK</v>
      </c>
      <c r="V1619" s="55" t="str">
        <f t="shared" si="286"/>
        <v/>
      </c>
      <c r="W1619" s="55" t="str">
        <f>IF($V1619="","",IF(COUNTIF($V$5:$V1619,$V1619)=1,1,""))</f>
        <v/>
      </c>
      <c r="X1619" s="58" t="str">
        <f>IF($W1619="","",MAX($X$4:X1618)+1)</f>
        <v/>
      </c>
      <c r="Y1619" s="62"/>
      <c r="Z1619" s="62"/>
      <c r="AA1619" s="64" t="str">
        <f>IF($C1619="","",IFERROR(INDEX('Staff Directory'!$E$5:$E$594,MATCH($C1619,'Staff Directory'!$B$5:$B$594,0)),""))</f>
        <v>firstname123.lastname123@example.com</v>
      </c>
      <c r="AB1619" s="64" t="str">
        <f>IF($C1619="","",IF(ISNUMBER(SEARCH($D1619,Settings!$C$15)),"Pickup","Dispatch"))</f>
        <v>Pickup</v>
      </c>
      <c r="AC1619" s="64" t="str">
        <f t="shared" si="287"/>
        <v>Supply order ready for pickup</v>
      </c>
      <c r="AD1619" s="64" t="str">
        <f t="shared" si="278"/>
        <v>Dear PSW,
Your order is ready for pickup from Sample Branch, Wed-Fri 9am-4pm.</v>
      </c>
      <c r="AE1619" s="64" t="str">
        <f t="shared" si="279"/>
        <v>mailto:firstname123.lastname123@example.com?subject=Supply%20order%20ready%20for%20pickup&amp;body=Dear%20PSW%2C%0A%0AYour%20order%20is%20ready%20for%20pickup%20from%20Sample%20Branch%2C%20Wed-Fri%209am-4pm.</v>
      </c>
      <c r="AF1619" s="89" t="str">
        <f t="shared" si="288"/>
        <v>Draft email</v>
      </c>
      <c r="AG1619" s="64" t="str">
        <f>IF($C1619="","",IFERROR(INDEX('Staff Directory'!$K$595:$K$599,MATCH($C1619,'Staff Directory'!$B$5:$B$599,0)),$D1619))</f>
        <v>PSW</v>
      </c>
      <c r="AH1619" t="str">
        <f>IF($C1619="","",IFERROR(INDEX('Staff Directory'!$I$595:$I$599,MATCH($C1619,'Staff Directory'!$B$5:$B$599,0))&amp;" "&amp;INDEX('Staff Directory'!$J$595:$J$599,MATCH($C1619,'Staff Directory'!$B$5:$B$599,0)),$AG1619))</f>
        <v>PSW</v>
      </c>
      <c r="AI1619" s="102"/>
      <c r="AJ1619" s="101">
        <f>IF($F1619="","",SUMIFS($J$5:$J1619,$F$5:$F1619,$F1619))</f>
        <v>13200</v>
      </c>
      <c r="AK1619" s="101">
        <f t="shared" si="280"/>
        <v>13151</v>
      </c>
      <c r="AL1619" s="66" t="str" cm="1">
        <f t="array" ref="AL1619">IF($F1619="","",IFERROR(INDEX('Lot Balance'!$B$5:$B$500,MATCH(1,INDEX(('Lot Balance'!$A$5:$A$500=$F1619)*('Lot Balance'!$K$5:$K$500&lt;$AK1619)*('Lot Balance'!$K$5:$K$500+'Lot Balance'!$D$5:$D$500&gt;=$AK1619),0),0)),""))</f>
        <v>24HA2050A7396</v>
      </c>
      <c r="AM1619" s="66" t="str" cm="1">
        <f t="array" ref="AM1619">IF($F1619="","",IFERROR(INDEX('Lot Balance'!$B$5:$B$500,MATCH(1,INDEX(('Lot Balance'!$A$5:$A$500=$F1619)*('Lot Balance'!$K$5:$K$500&lt;$AJ1619)*('Lot Balance'!$K$5:$K$500+'Lot Balance'!$D$5:$D$500&gt;=$AJ1619),0),0)),""))</f>
        <v>24HA2050A7396</v>
      </c>
      <c r="AN1619" s="66" t="str">
        <f>IF($F1619="","",IF($AI1619&lt;&gt;"",IF(COUNTIFS('Lot Balance'!$A$5:$A$500,$F1619,'Lot Balance'!$B$5:$B$500,$AI1619)=0,"⚠ override is not a lot of this item",IF($AI1619=$AL1619,"Override = FEFO","Override - FEFO says "&amp;$AL1619)),IF($AL1619="","⚠ no receipt on file for this item",IF($AM1619&lt;&gt;$AL1619,"FEFO auto - split, also "&amp;$AM1619,"FEFO auto"))))</f>
        <v>FEFO auto</v>
      </c>
      <c r="AO1619" s="114"/>
    </row>
    <row r="1620" spans="1:41" x14ac:dyDescent="0.35">
      <c r="A1620" s="74">
        <v>46209</v>
      </c>
      <c r="B1620" s="18" t="str">
        <f>IF($C1620="","",IFERROR(INDEX('Staff Directory'!$A$5:$A$594,MATCH($C1620,'Staff Directory'!$B$5:$B$594,0)),"⚠ unknown staff"))</f>
        <v>PSW-063-A6</v>
      </c>
      <c r="C1620" s="49" t="s">
        <v>1039</v>
      </c>
      <c r="D1620" s="19" t="str">
        <f>IF($B1620="","",IFERROR(INDEX('Staff Directory'!$C$5:$C$594,MATCH($B1620,'Staff Directory'!$A$5:$A$594,0)),""))</f>
        <v>PSW</v>
      </c>
      <c r="E1620" s="19" t="str">
        <f>IF($B1620="","",IFERROR(INDEX('Staff Directory'!$D$5:$D$594,MATCH($B1620,'Staff Directory'!$A$5:$A$594,0)),""))</f>
        <v>A6</v>
      </c>
      <c r="F1620" s="9" t="s">
        <v>758</v>
      </c>
      <c r="G1620" s="18" t="str">
        <f>IF($F1620="","",IFERROR(INDEX(Items!$B$5:$B$597,MATCH($F1620,Items!$A$5:$A$597,0)),"⚠ not in Items"))</f>
        <v>Utility</v>
      </c>
      <c r="H1620" s="19" t="str">
        <f>IF($F1620="","",IFERROR(INDEX(Items!$C$5:$C$597,MATCH($F1620,Items!$A$5:$A$597,0)),""))</f>
        <v>Standard</v>
      </c>
      <c r="I1620" s="23">
        <f>IF($F1620="","",IFERROR(INDEX(Items!$E$5:$E$597,MATCH($F1620,Items!$A$5:$A$597,0)),""))</f>
        <v>1</v>
      </c>
      <c r="J1620" s="115">
        <f>IF(tblIssues[[#This Row],[Qty Override]]&lt;&gt;"",tblIssues[[#This Row],[Qty Override]],IF(tblIssues[[#This Row],[Standard Issue]]="","",tblIssues[[#This Row],[Standard Issue]]))</f>
        <v>1</v>
      </c>
      <c r="K1620" s="20">
        <f>IF($F1620="","",IFERROR(INDEX(Items!$D$5:$D$597,MATCH($F1620,Items!$A$5:$A$597,0)),""))</f>
        <v>0</v>
      </c>
      <c r="L1620" s="21">
        <f t="shared" si="283"/>
        <v>0</v>
      </c>
      <c r="M1620" s="9" t="str">
        <f t="shared" si="281"/>
        <v/>
      </c>
      <c r="N1620" s="24">
        <f>IF($A1620="","",WORKDAY($A1620,Settings!$C$9,HolidayDates))</f>
        <v>46217</v>
      </c>
      <c r="O1620" s="24">
        <f>IF($N1620="","",WORKDAY($N1620,Settings!$C$10,HolidayDates))</f>
        <v>46255</v>
      </c>
      <c r="P1620" s="10" t="s">
        <v>501</v>
      </c>
      <c r="Q1620" s="52" t="str">
        <f t="shared" si="284"/>
        <v>Collected</v>
      </c>
      <c r="R1620" s="55" t="str">
        <f t="shared" si="285"/>
        <v>2026-07</v>
      </c>
      <c r="S1620" s="55">
        <f>IF(OR($B1620="",$F1620="",$R1620=""),"",SUMIFS(tblIssues[Qty Issued],tblIssues[Staff ID],$B1620,tblIssues[Item Name],$F1620,tblIssues[Month],$R1620))</f>
        <v>1</v>
      </c>
      <c r="T1620" s="56">
        <f>IF($I1620="","",$I1620*Settings!$C$11)</f>
        <v>1</v>
      </c>
      <c r="U1620" s="57" t="str">
        <f t="shared" si="282"/>
        <v>OK</v>
      </c>
      <c r="V1620" s="55" t="str">
        <f t="shared" si="286"/>
        <v/>
      </c>
      <c r="W1620" s="55" t="str">
        <f>IF($V1620="","",IF(COUNTIF($V$5:$V1620,$V1620)=1,1,""))</f>
        <v/>
      </c>
      <c r="X1620" s="58" t="str">
        <f>IF($W1620="","",MAX($X$4:X1619)+1)</f>
        <v/>
      </c>
      <c r="Y1620" s="62"/>
      <c r="Z1620" s="62"/>
      <c r="AA1620" s="64" t="str">
        <f>IF($C1620="","",IFERROR(INDEX('Staff Directory'!$E$5:$E$594,MATCH($C1620,'Staff Directory'!$B$5:$B$594,0)),""))</f>
        <v>firstname123.lastname123@example.com</v>
      </c>
      <c r="AB1620" s="64" t="str">
        <f>IF($C1620="","",IF(ISNUMBER(SEARCH($D1620,Settings!$C$15)),"Pickup","Dispatch"))</f>
        <v>Pickup</v>
      </c>
      <c r="AC1620" s="64" t="str">
        <f t="shared" si="287"/>
        <v>Supply order ready for pickup</v>
      </c>
      <c r="AD1620" s="64" t="str">
        <f t="shared" si="278"/>
        <v>Dear PSW,
Your order is ready for pickup from Sample Branch, Wed-Fri 9am-4pm.</v>
      </c>
      <c r="AE1620" s="64" t="str">
        <f t="shared" si="279"/>
        <v>mailto:firstname123.lastname123@example.com?subject=Supply%20order%20ready%20for%20pickup&amp;body=Dear%20PSW%2C%0A%0AYour%20order%20is%20ready%20for%20pickup%20from%20Sample%20Branch%2C%20Wed-Fri%209am-4pm.</v>
      </c>
      <c r="AF1620" s="89" t="str">
        <f t="shared" si="288"/>
        <v>Draft email</v>
      </c>
      <c r="AG1620" s="64" t="str">
        <f>IF($C1620="","",IFERROR(INDEX('Staff Directory'!$K$595:$K$599,MATCH($C1620,'Staff Directory'!$B$5:$B$599,0)),$D1620))</f>
        <v>PSW</v>
      </c>
      <c r="AH1620" t="str">
        <f>IF($C1620="","",IFERROR(INDEX('Staff Directory'!$I$595:$I$599,MATCH($C1620,'Staff Directory'!$B$5:$B$599,0))&amp;" "&amp;INDEX('Staff Directory'!$J$595:$J$599,MATCH($C1620,'Staff Directory'!$B$5:$B$599,0)),$AG1620))</f>
        <v>PSW</v>
      </c>
      <c r="AI1620" s="102"/>
      <c r="AJ1620" s="101">
        <f>IF($F1620="","",SUMIFS($J$5:$J1620,$F$5:$F1620,$F1620))</f>
        <v>36</v>
      </c>
      <c r="AK1620" s="101">
        <f t="shared" si="280"/>
        <v>36</v>
      </c>
      <c r="AL1620" s="66" t="str" cm="1">
        <f t="array" ref="AL1620">IF($F1620="","",IFERROR(INDEX('Lot Balance'!$B$5:$B$500,MATCH(1,INDEX(('Lot Balance'!$A$5:$A$500=$F1620)*('Lot Balance'!$K$5:$K$500&lt;$AK1620)*('Lot Balance'!$K$5:$K$500+'Lot Balance'!$D$5:$D$500&gt;=$AK1620),0),0)),""))</f>
        <v/>
      </c>
      <c r="AM1620" s="66" t="str" cm="1">
        <f t="array" ref="AM1620">IF($F1620="","",IFERROR(INDEX('Lot Balance'!$B$5:$B$500,MATCH(1,INDEX(('Lot Balance'!$A$5:$A$500=$F1620)*('Lot Balance'!$K$5:$K$500&lt;$AJ1620)*('Lot Balance'!$K$5:$K$500+'Lot Balance'!$D$5:$D$500&gt;=$AJ1620),0),0)),""))</f>
        <v/>
      </c>
      <c r="AN1620" s="66" t="str">
        <f>IF($F1620="","",IF($AI1620&lt;&gt;"",IF(COUNTIFS('Lot Balance'!$A$5:$A$500,$F1620,'Lot Balance'!$B$5:$B$500,$AI1620)=0,"⚠ override is not a lot of this item",IF($AI1620=$AL1620,"Override = FEFO","Override - FEFO says "&amp;$AL1620)),IF($AL1620="","⚠ no receipt on file for this item",IF($AM1620&lt;&gt;$AL1620,"FEFO auto - split, also "&amp;$AM1620,"FEFO auto"))))</f>
        <v>⚠ no receipt on file for this item</v>
      </c>
      <c r="AO1620" s="114"/>
    </row>
    <row r="1621" spans="1:41" x14ac:dyDescent="0.35">
      <c r="A1621" s="74">
        <v>46209</v>
      </c>
      <c r="B1621" s="18" t="str">
        <f>IF($C1621="","",IFERROR(INDEX('Staff Directory'!$A$5:$A$594,MATCH($C1621,'Staff Directory'!$B$5:$B$594,0)),"⚠ unknown staff"))</f>
        <v>PSW-105-A5</v>
      </c>
      <c r="C1621" s="49" t="s">
        <v>1083</v>
      </c>
      <c r="D1621" s="19" t="str">
        <f>IF($B1621="","",IFERROR(INDEX('Staff Directory'!$C$5:$C$594,MATCH($B1621,'Staff Directory'!$A$5:$A$594,0)),""))</f>
        <v>PSW</v>
      </c>
      <c r="E1621" s="19" t="str">
        <f>IF($B1621="","",IFERROR(INDEX('Staff Directory'!$D$5:$D$594,MATCH($B1621,'Staff Directory'!$A$5:$A$594,0)),""))</f>
        <v>A5</v>
      </c>
      <c r="F1621" s="9" t="s">
        <v>127</v>
      </c>
      <c r="G1621" s="18" t="str">
        <f>IF($F1621="","",IFERROR(INDEX(Items!$B$5:$B$597,MATCH($F1621,Items!$A$5:$A$597,0)),"⚠ not in Items"))</f>
        <v>Gloves</v>
      </c>
      <c r="H1621" s="19" t="str">
        <f>IF($F1621="","",IFERROR(INDEX(Items!$C$5:$C$597,MATCH($F1621,Items!$A$5:$A$597,0)),""))</f>
        <v>Medium</v>
      </c>
      <c r="I1621" s="23">
        <f>IF($F1621="","",IFERROR(INDEX(Items!$E$5:$E$597,MATCH($F1621,Items!$A$5:$A$597,0)),""))</f>
        <v>500</v>
      </c>
      <c r="J1621" s="115">
        <f>IF(tblIssues[[#This Row],[Qty Override]]&lt;&gt;"",tblIssues[[#This Row],[Qty Override]],IF(tblIssues[[#This Row],[Standard Issue]]="","",tblIssues[[#This Row],[Standard Issue]]))</f>
        <v>500</v>
      </c>
      <c r="K1621" s="20">
        <f>IF($F1621="","",IFERROR(INDEX(Items!$D$5:$D$597,MATCH($F1621,Items!$A$5:$A$597,0)),""))</f>
        <v>5.5E-2</v>
      </c>
      <c r="L1621" s="21">
        <f t="shared" si="283"/>
        <v>27.5</v>
      </c>
      <c r="M1621" s="9" t="str">
        <f t="shared" si="281"/>
        <v>ZIM510137962-2</v>
      </c>
      <c r="N1621" s="24">
        <f>IF($A1621="","",WORKDAY($A1621,Settings!$C$9,HolidayDates))</f>
        <v>46217</v>
      </c>
      <c r="O1621" s="24">
        <f>IF($N1621="","",WORKDAY($N1621,Settings!$C$10,HolidayDates))</f>
        <v>46255</v>
      </c>
      <c r="P1621" s="10" t="s">
        <v>501</v>
      </c>
      <c r="Q1621" s="52" t="str">
        <f t="shared" si="284"/>
        <v>Collected</v>
      </c>
      <c r="R1621" s="55" t="str">
        <f t="shared" si="285"/>
        <v>2026-07</v>
      </c>
      <c r="S1621" s="55">
        <f>IF(OR($B1621="",$F1621="",$R1621=""),"",SUMIFS(tblIssues[Qty Issued],tblIssues[Staff ID],$B1621,tblIssues[Item Name],$F1621,tblIssues[Month],$R1621))</f>
        <v>500</v>
      </c>
      <c r="T1621" s="56">
        <f>IF($I1621="","",$I1621*Settings!$C$11)</f>
        <v>500</v>
      </c>
      <c r="U1621" s="57" t="str">
        <f t="shared" si="282"/>
        <v>OK</v>
      </c>
      <c r="V1621" s="55" t="str">
        <f t="shared" si="286"/>
        <v/>
      </c>
      <c r="W1621" s="55" t="str">
        <f>IF($V1621="","",IF(COUNTIF($V$5:$V1621,$V1621)=1,1,""))</f>
        <v/>
      </c>
      <c r="X1621" s="58" t="str">
        <f>IF($W1621="","",MAX($X$4:X1620)+1)</f>
        <v/>
      </c>
      <c r="Y1621" s="62"/>
      <c r="Z1621" s="62"/>
      <c r="AA1621" s="64" t="str">
        <f>IF($C1621="","",IFERROR(INDEX('Staff Directory'!$E$5:$E$594,MATCH($C1621,'Staff Directory'!$B$5:$B$594,0)),""))</f>
        <v>firstname167.lastname167@example.com</v>
      </c>
      <c r="AB1621" s="64" t="str">
        <f>IF($C1621="","",IF(ISNUMBER(SEARCH($D1621,Settings!$C$15)),"Pickup","Dispatch"))</f>
        <v>Pickup</v>
      </c>
      <c r="AC1621" s="64" t="str">
        <f t="shared" si="287"/>
        <v>Supply order ready for pickup</v>
      </c>
      <c r="AD1621" s="64" t="str">
        <f t="shared" si="278"/>
        <v>Dear PSW,
Your order is ready for pickup from Sample Branch, Wed-Fri 9am-4pm.</v>
      </c>
      <c r="AE1621" s="64" t="str">
        <f t="shared" si="279"/>
        <v>mailto:firstname167.lastname167@example.com?subject=Supply%20order%20ready%20for%20pickup&amp;body=Dear%20PSW%2C%0A%0AYour%20order%20is%20ready%20for%20pickup%20from%20Sample%20Branch%2C%20Wed-Fri%209am-4pm.</v>
      </c>
      <c r="AF1621" s="89" t="str">
        <f t="shared" si="288"/>
        <v>Draft email</v>
      </c>
      <c r="AG1621" s="64" t="str">
        <f>IF($C1621="","",IFERROR(INDEX('Staff Directory'!$K$595:$K$599,MATCH($C1621,'Staff Directory'!$B$5:$B$599,0)),$D1621))</f>
        <v>PSW</v>
      </c>
      <c r="AH1621" t="str">
        <f>IF($C1621="","",IFERROR(INDEX('Staff Directory'!$I$595:$I$599,MATCH($C1621,'Staff Directory'!$B$5:$B$599,0))&amp;" "&amp;INDEX('Staff Directory'!$J$595:$J$599,MATCH($C1621,'Staff Directory'!$B$5:$B$599,0)),$AG1621))</f>
        <v>PSW</v>
      </c>
      <c r="AI1621" s="102"/>
      <c r="AJ1621" s="101">
        <f>IF($F1621="","",SUMIFS($J$5:$J1621,$F$5:$F1621,$F1621))</f>
        <v>96000</v>
      </c>
      <c r="AK1621" s="101">
        <f t="shared" si="280"/>
        <v>95501</v>
      </c>
      <c r="AL1621" s="66" t="str" cm="1">
        <f t="array" ref="AL1621">IF($F1621="","",IFERROR(INDEX('Lot Balance'!$B$5:$B$500,MATCH(1,INDEX(('Lot Balance'!$A$5:$A$500=$F1621)*('Lot Balance'!$K$5:$K$500&lt;$AK1621)*('Lot Balance'!$K$5:$K$500+'Lot Balance'!$D$5:$D$500&gt;=$AK1621),0),0)),""))</f>
        <v>ZIM510137962-2</v>
      </c>
      <c r="AM1621" s="66" t="str" cm="1">
        <f t="array" ref="AM1621">IF($F1621="","",IFERROR(INDEX('Lot Balance'!$B$5:$B$500,MATCH(1,INDEX(('Lot Balance'!$A$5:$A$500=$F1621)*('Lot Balance'!$K$5:$K$500&lt;$AJ1621)*('Lot Balance'!$K$5:$K$500+'Lot Balance'!$D$5:$D$500&gt;=$AJ1621),0),0)),""))</f>
        <v>ZIM510137962-2</v>
      </c>
      <c r="AN1621" s="66" t="str">
        <f>IF($F1621="","",IF($AI1621&lt;&gt;"",IF(COUNTIFS('Lot Balance'!$A$5:$A$500,$F1621,'Lot Balance'!$B$5:$B$500,$AI1621)=0,"⚠ override is not a lot of this item",IF($AI1621=$AL1621,"Override = FEFO","Override - FEFO says "&amp;$AL1621)),IF($AL1621="","⚠ no receipt on file for this item",IF($AM1621&lt;&gt;$AL1621,"FEFO auto - split, also "&amp;$AM1621,"FEFO auto"))))</f>
        <v>FEFO auto</v>
      </c>
      <c r="AO1621" s="114"/>
    </row>
    <row r="1622" spans="1:41" x14ac:dyDescent="0.35">
      <c r="A1622" s="74">
        <v>46209</v>
      </c>
      <c r="B1622" s="18" t="str">
        <f>IF($C1622="","",IFERROR(INDEX('Staff Directory'!$A$5:$A$594,MATCH($C1622,'Staff Directory'!$B$5:$B$594,0)),"⚠ unknown staff"))</f>
        <v>PSW-105-A5</v>
      </c>
      <c r="C1622" s="49" t="s">
        <v>1083</v>
      </c>
      <c r="D1622" s="19" t="str">
        <f>IF($B1622="","",IFERROR(INDEX('Staff Directory'!$C$5:$C$594,MATCH($B1622,'Staff Directory'!$A$5:$A$594,0)),""))</f>
        <v>PSW</v>
      </c>
      <c r="E1622" s="19" t="str">
        <f>IF($B1622="","",IFERROR(INDEX('Staff Directory'!$D$5:$D$594,MATCH($B1622,'Staff Directory'!$A$5:$A$594,0)),""))</f>
        <v>A5</v>
      </c>
      <c r="F1622" s="9" t="s">
        <v>191</v>
      </c>
      <c r="G1622" s="18" t="str">
        <f>IF($F1622="","",IFERROR(INDEX(Items!$B$5:$B$597,MATCH($F1622,Items!$A$5:$A$597,0)),"⚠ not in Items"))</f>
        <v>Sanitizer</v>
      </c>
      <c r="H1622" s="19" t="str">
        <f>IF($F1622="","",IFERROR(INDEX(Items!$C$5:$C$597,MATCH($F1622,Items!$A$5:$A$597,0)),""))</f>
        <v>236 ML</v>
      </c>
      <c r="I1622" s="23">
        <f>IF($F1622="","",IFERROR(INDEX(Items!$E$5:$E$597,MATCH($F1622,Items!$A$5:$A$597,0)),""))</f>
        <v>1</v>
      </c>
      <c r="J1622" s="115">
        <f>IF(tblIssues[[#This Row],[Qty Override]]&lt;&gt;"",tblIssues[[#This Row],[Qty Override]],IF(tblIssues[[#This Row],[Standard Issue]]="","",tblIssues[[#This Row],[Standard Issue]]))</f>
        <v>1</v>
      </c>
      <c r="K1622" s="20">
        <f>IF($F1622="","",IFERROR(INDEX(Items!$D$5:$D$597,MATCH($F1622,Items!$A$5:$A$597,0)),""))</f>
        <v>1E-4</v>
      </c>
      <c r="L1622" s="21">
        <f t="shared" si="283"/>
        <v>1E-4</v>
      </c>
      <c r="M1622" s="9" t="str">
        <f t="shared" si="281"/>
        <v/>
      </c>
      <c r="N1622" s="24">
        <f>IF($A1622="","",WORKDAY($A1622,Settings!$C$9,HolidayDates))</f>
        <v>46217</v>
      </c>
      <c r="O1622" s="24">
        <f>IF($N1622="","",WORKDAY($N1622,Settings!$C$10,HolidayDates))</f>
        <v>46255</v>
      </c>
      <c r="P1622" s="10" t="s">
        <v>501</v>
      </c>
      <c r="Q1622" s="52" t="str">
        <f t="shared" si="284"/>
        <v>Collected</v>
      </c>
      <c r="R1622" s="55" t="str">
        <f t="shared" si="285"/>
        <v>2026-07</v>
      </c>
      <c r="S1622" s="55">
        <f>IF(OR($B1622="",$F1622="",$R1622=""),"",SUMIFS(tblIssues[Qty Issued],tblIssues[Staff ID],$B1622,tblIssues[Item Name],$F1622,tblIssues[Month],$R1622))</f>
        <v>1</v>
      </c>
      <c r="T1622" s="56">
        <f>IF($I1622="","",$I1622*Settings!$C$11)</f>
        <v>1</v>
      </c>
      <c r="U1622" s="57" t="str">
        <f t="shared" si="282"/>
        <v>OK</v>
      </c>
      <c r="V1622" s="55" t="str">
        <f t="shared" si="286"/>
        <v/>
      </c>
      <c r="W1622" s="55" t="str">
        <f>IF($V1622="","",IF(COUNTIF($V$5:$V1622,$V1622)=1,1,""))</f>
        <v/>
      </c>
      <c r="X1622" s="58" t="str">
        <f>IF($W1622="","",MAX($X$4:X1621)+1)</f>
        <v/>
      </c>
      <c r="Y1622" s="62"/>
      <c r="Z1622" s="62"/>
      <c r="AA1622" s="64" t="str">
        <f>IF($C1622="","",IFERROR(INDEX('Staff Directory'!$E$5:$E$594,MATCH($C1622,'Staff Directory'!$B$5:$B$594,0)),""))</f>
        <v>firstname167.lastname167@example.com</v>
      </c>
      <c r="AB1622" s="64" t="str">
        <f>IF($C1622="","",IF(ISNUMBER(SEARCH($D1622,Settings!$C$15)),"Pickup","Dispatch"))</f>
        <v>Pickup</v>
      </c>
      <c r="AC1622" s="64" t="str">
        <f t="shared" si="287"/>
        <v>Supply order ready for pickup</v>
      </c>
      <c r="AD1622" s="64" t="str">
        <f t="shared" si="278"/>
        <v>Dear PSW,
Your order is ready for pickup from Sample Branch, Wed-Fri 9am-4pm.</v>
      </c>
      <c r="AE1622" s="64" t="str">
        <f t="shared" si="279"/>
        <v>mailto:firstname167.lastname167@example.com?subject=Supply%20order%20ready%20for%20pickup&amp;body=Dear%20PSW%2C%0A%0AYour%20order%20is%20ready%20for%20pickup%20from%20Sample%20Branch%2C%20Wed-Fri%209am-4pm.</v>
      </c>
      <c r="AF1622" s="89" t="str">
        <f t="shared" si="288"/>
        <v>Draft email</v>
      </c>
      <c r="AG1622" s="64" t="str">
        <f>IF($C1622="","",IFERROR(INDEX('Staff Directory'!$K$595:$K$599,MATCH($C1622,'Staff Directory'!$B$5:$B$599,0)),$D1622))</f>
        <v>PSW</v>
      </c>
      <c r="AH1622" t="str">
        <f>IF($C1622="","",IFERROR(INDEX('Staff Directory'!$I$595:$I$599,MATCH($C1622,'Staff Directory'!$B$5:$B$599,0))&amp;" "&amp;INDEX('Staff Directory'!$J$595:$J$599,MATCH($C1622,'Staff Directory'!$B$5:$B$599,0)),$AG1622))</f>
        <v>PSW</v>
      </c>
      <c r="AI1622" s="102"/>
      <c r="AJ1622" s="101">
        <f>IF($F1622="","",SUMIFS($J$5:$J1622,$F$5:$F1622,$F1622))</f>
        <v>207</v>
      </c>
      <c r="AK1622" s="101">
        <f t="shared" si="280"/>
        <v>207</v>
      </c>
      <c r="AL1622" s="66" t="str" cm="1">
        <f t="array" ref="AL1622">IF($F1622="","",IFERROR(INDEX('Lot Balance'!$B$5:$B$500,MATCH(1,INDEX(('Lot Balance'!$A$5:$A$500=$F1622)*('Lot Balance'!$K$5:$K$500&lt;$AK1622)*('Lot Balance'!$K$5:$K$500+'Lot Balance'!$D$5:$D$500&gt;=$AK1622),0),0)),""))</f>
        <v/>
      </c>
      <c r="AM1622" s="66" t="str" cm="1">
        <f t="array" ref="AM1622">IF($F1622="","",IFERROR(INDEX('Lot Balance'!$B$5:$B$500,MATCH(1,INDEX(('Lot Balance'!$A$5:$A$500=$F1622)*('Lot Balance'!$K$5:$K$500&lt;$AJ1622)*('Lot Balance'!$K$5:$K$500+'Lot Balance'!$D$5:$D$500&gt;=$AJ1622),0),0)),""))</f>
        <v/>
      </c>
      <c r="AN1622" s="66" t="str">
        <f>IF($F1622="","",IF($AI1622&lt;&gt;"",IF(COUNTIFS('Lot Balance'!$A$5:$A$500,$F1622,'Lot Balance'!$B$5:$B$500,$AI1622)=0,"⚠ override is not a lot of this item",IF($AI1622=$AL1622,"Override = FEFO","Override - FEFO says "&amp;$AL1622)),IF($AL1622="","⚠ no receipt on file for this item",IF($AM1622&lt;&gt;$AL1622,"FEFO auto - split, also "&amp;$AM1622,"FEFO auto"))))</f>
        <v>⚠ no receipt on file for this item</v>
      </c>
      <c r="AO1622" s="114"/>
    </row>
    <row r="1623" spans="1:41" x14ac:dyDescent="0.35">
      <c r="A1623" s="74">
        <v>46209</v>
      </c>
      <c r="B1623" s="18" t="str">
        <f>IF($C1623="","",IFERROR(INDEX('Staff Directory'!$A$5:$A$594,MATCH($C1623,'Staff Directory'!$B$5:$B$594,0)),"⚠ unknown staff"))</f>
        <v>PSW-105-A5</v>
      </c>
      <c r="C1623" s="49" t="s">
        <v>1083</v>
      </c>
      <c r="D1623" s="19" t="str">
        <f>IF($B1623="","",IFERROR(INDEX('Staff Directory'!$C$5:$C$594,MATCH($B1623,'Staff Directory'!$A$5:$A$594,0)),""))</f>
        <v>PSW</v>
      </c>
      <c r="E1623" s="19" t="str">
        <f>IF($B1623="","",IFERROR(INDEX('Staff Directory'!$D$5:$D$594,MATCH($B1623,'Staff Directory'!$A$5:$A$594,0)),""))</f>
        <v>A5</v>
      </c>
      <c r="F1623" s="9" t="s">
        <v>115</v>
      </c>
      <c r="G1623" s="18" t="str">
        <f>IF($F1623="","",IFERROR(INDEX(Items!$B$5:$B$597,MATCH($F1623,Items!$A$5:$A$597,0)),"⚠ not in Items"))</f>
        <v>Wipes</v>
      </c>
      <c r="H1623" s="19">
        <f>IF($F1623="","",IFERROR(INDEX(Items!$C$5:$C$597,MATCH($F1623,Items!$A$5:$A$597,0)),""))</f>
        <v>80</v>
      </c>
      <c r="I1623" s="23">
        <f>IF($F1623="","",IFERROR(INDEX(Items!$E$5:$E$597,MATCH($F1623,Items!$A$5:$A$597,0)),""))</f>
        <v>80</v>
      </c>
      <c r="J1623" s="115">
        <f>IF(tblIssues[[#This Row],[Qty Override]]&lt;&gt;"",tblIssues[[#This Row],[Qty Override]],IF(tblIssues[[#This Row],[Standard Issue]]="","",tblIssues[[#This Row],[Standard Issue]]))</f>
        <v>80</v>
      </c>
      <c r="K1623" s="20">
        <f>IF($F1623="","",IFERROR(INDEX(Items!$D$5:$D$597,MATCH($F1623,Items!$A$5:$A$597,0)),""))</f>
        <v>0.1</v>
      </c>
      <c r="L1623" s="21">
        <f t="shared" si="283"/>
        <v>8</v>
      </c>
      <c r="M1623" s="9" t="str">
        <f t="shared" si="281"/>
        <v>LYSL500290</v>
      </c>
      <c r="N1623" s="24">
        <f>IF($A1623="","",WORKDAY($A1623,Settings!$C$9,HolidayDates))</f>
        <v>46217</v>
      </c>
      <c r="O1623" s="24">
        <f>IF($N1623="","",WORKDAY($N1623,Settings!$C$10,HolidayDates))</f>
        <v>46255</v>
      </c>
      <c r="P1623" s="10" t="s">
        <v>501</v>
      </c>
      <c r="Q1623" s="52" t="str">
        <f t="shared" si="284"/>
        <v>Collected</v>
      </c>
      <c r="R1623" s="55" t="str">
        <f t="shared" si="285"/>
        <v>2026-07</v>
      </c>
      <c r="S1623" s="55">
        <f>IF(OR($B1623="",$F1623="",$R1623=""),"",SUMIFS(tblIssues[Qty Issued],tblIssues[Staff ID],$B1623,tblIssues[Item Name],$F1623,tblIssues[Month],$R1623))</f>
        <v>80</v>
      </c>
      <c r="T1623" s="56">
        <f>IF($I1623="","",$I1623*Settings!$C$11)</f>
        <v>80</v>
      </c>
      <c r="U1623" s="57" t="str">
        <f t="shared" si="282"/>
        <v>OK</v>
      </c>
      <c r="V1623" s="55" t="str">
        <f t="shared" si="286"/>
        <v/>
      </c>
      <c r="W1623" s="55" t="str">
        <f>IF($V1623="","",IF(COUNTIF($V$5:$V1623,$V1623)=1,1,""))</f>
        <v/>
      </c>
      <c r="X1623" s="58" t="str">
        <f>IF($W1623="","",MAX($X$4:X1622)+1)</f>
        <v/>
      </c>
      <c r="Y1623" s="62"/>
      <c r="Z1623" s="62"/>
      <c r="AA1623" s="64" t="str">
        <f>IF($C1623="","",IFERROR(INDEX('Staff Directory'!$E$5:$E$594,MATCH($C1623,'Staff Directory'!$B$5:$B$594,0)),""))</f>
        <v>firstname167.lastname167@example.com</v>
      </c>
      <c r="AB1623" s="64" t="str">
        <f>IF($C1623="","",IF(ISNUMBER(SEARCH($D1623,Settings!$C$15)),"Pickup","Dispatch"))</f>
        <v>Pickup</v>
      </c>
      <c r="AC1623" s="64" t="str">
        <f t="shared" si="287"/>
        <v>Supply order ready for pickup</v>
      </c>
      <c r="AD1623" s="64" t="str">
        <f t="shared" si="278"/>
        <v>Dear PSW,
Your order is ready for pickup from Sample Branch, Wed-Fri 9am-4pm.</v>
      </c>
      <c r="AE1623" s="64" t="str">
        <f t="shared" si="279"/>
        <v>mailto:firstname167.lastname167@example.com?subject=Supply%20order%20ready%20for%20pickup&amp;body=Dear%20PSW%2C%0A%0AYour%20order%20is%20ready%20for%20pickup%20from%20Sample%20Branch%2C%20Wed-Fri%209am-4pm.</v>
      </c>
      <c r="AF1623" s="89" t="str">
        <f t="shared" si="288"/>
        <v>Draft email</v>
      </c>
      <c r="AG1623" s="64" t="str">
        <f>IF($C1623="","",IFERROR(INDEX('Staff Directory'!$K$595:$K$599,MATCH($C1623,'Staff Directory'!$B$5:$B$599,0)),$D1623))</f>
        <v>PSW</v>
      </c>
      <c r="AH1623" t="str">
        <f>IF($C1623="","",IFERROR(INDEX('Staff Directory'!$I$595:$I$599,MATCH($C1623,'Staff Directory'!$B$5:$B$599,0))&amp;" "&amp;INDEX('Staff Directory'!$J$595:$J$599,MATCH($C1623,'Staff Directory'!$B$5:$B$599,0)),$AG1623))</f>
        <v>PSW</v>
      </c>
      <c r="AI1623" s="102"/>
      <c r="AJ1623" s="101">
        <f>IF($F1623="","",SUMIFS($J$5:$J1623,$F$5:$F1623,$F1623))</f>
        <v>21760</v>
      </c>
      <c r="AK1623" s="101">
        <f t="shared" si="280"/>
        <v>21681</v>
      </c>
      <c r="AL1623" s="66" t="str" cm="1">
        <f t="array" ref="AL1623">IF($F1623="","",IFERROR(INDEX('Lot Balance'!$B$5:$B$500,MATCH(1,INDEX(('Lot Balance'!$A$5:$A$500=$F1623)*('Lot Balance'!$K$5:$K$500&lt;$AK1623)*('Lot Balance'!$K$5:$K$500+'Lot Balance'!$D$5:$D$500&gt;=$AK1623),0),0)),""))</f>
        <v>LYSL500290</v>
      </c>
      <c r="AM1623" s="66" t="str" cm="1">
        <f t="array" ref="AM1623">IF($F1623="","",IFERROR(INDEX('Lot Balance'!$B$5:$B$500,MATCH(1,INDEX(('Lot Balance'!$A$5:$A$500=$F1623)*('Lot Balance'!$K$5:$K$500&lt;$AJ1623)*('Lot Balance'!$K$5:$K$500+'Lot Balance'!$D$5:$D$500&gt;=$AJ1623),0),0)),""))</f>
        <v>LYSL500290</v>
      </c>
      <c r="AN1623" s="66" t="str">
        <f>IF($F1623="","",IF($AI1623&lt;&gt;"",IF(COUNTIFS('Lot Balance'!$A$5:$A$500,$F1623,'Lot Balance'!$B$5:$B$500,$AI1623)=0,"⚠ override is not a lot of this item",IF($AI1623=$AL1623,"Override = FEFO","Override - FEFO says "&amp;$AL1623)),IF($AL1623="","⚠ no receipt on file for this item",IF($AM1623&lt;&gt;$AL1623,"FEFO auto - split, also "&amp;$AM1623,"FEFO auto"))))</f>
        <v>FEFO auto</v>
      </c>
      <c r="AO1623" s="114"/>
    </row>
    <row r="1624" spans="1:41" x14ac:dyDescent="0.35">
      <c r="A1624" s="74">
        <v>46209</v>
      </c>
      <c r="B1624" s="18" t="str">
        <f>IF($C1624="","",IFERROR(INDEX('Staff Directory'!$A$5:$A$594,MATCH($C1624,'Staff Directory'!$B$5:$B$594,0)),"⚠ unknown staff"))</f>
        <v>PSW-105-A5</v>
      </c>
      <c r="C1624" s="49" t="s">
        <v>1083</v>
      </c>
      <c r="D1624" s="19" t="str">
        <f>IF($B1624="","",IFERROR(INDEX('Staff Directory'!$C$5:$C$594,MATCH($B1624,'Staff Directory'!$A$5:$A$594,0)),""))</f>
        <v>PSW</v>
      </c>
      <c r="E1624" s="19" t="str">
        <f>IF($B1624="","",IFERROR(INDEX('Staff Directory'!$D$5:$D$594,MATCH($B1624,'Staff Directory'!$A$5:$A$594,0)),""))</f>
        <v>A5</v>
      </c>
      <c r="F1624" s="9" t="s">
        <v>156</v>
      </c>
      <c r="G1624" s="18" t="str">
        <f>IF($F1624="","",IFERROR(INDEX(Items!$B$5:$B$597,MATCH($F1624,Items!$A$5:$A$597,0)),"⚠ not in Items"))</f>
        <v>Masks</v>
      </c>
      <c r="H1624" s="19" t="str">
        <f>IF($F1624="","",IFERROR(INDEX(Items!$C$5:$C$597,MATCH($F1624,Items!$A$5:$A$597,0)),""))</f>
        <v>One Size</v>
      </c>
      <c r="I1624" s="23">
        <f>IF($F1624="","",IFERROR(INDEX(Items!$E$5:$E$597,MATCH($F1624,Items!$A$5:$A$597,0)),""))</f>
        <v>50</v>
      </c>
      <c r="J1624" s="115">
        <f>IF(tblIssues[[#This Row],[Qty Override]]&lt;&gt;"",tblIssues[[#This Row],[Qty Override]],IF(tblIssues[[#This Row],[Standard Issue]]="","",tblIssues[[#This Row],[Standard Issue]]))</f>
        <v>50</v>
      </c>
      <c r="K1624" s="20">
        <f>IF($F1624="","",IFERROR(INDEX(Items!$D$5:$D$597,MATCH($F1624,Items!$A$5:$A$597,0)),""))</f>
        <v>0.25</v>
      </c>
      <c r="L1624" s="21">
        <f t="shared" si="283"/>
        <v>12.5</v>
      </c>
      <c r="M1624" s="9" t="str">
        <f t="shared" si="281"/>
        <v>24HA2050A7396</v>
      </c>
      <c r="N1624" s="24">
        <f>IF($A1624="","",WORKDAY($A1624,Settings!$C$9,HolidayDates))</f>
        <v>46217</v>
      </c>
      <c r="O1624" s="24">
        <f>IF($N1624="","",WORKDAY($N1624,Settings!$C$10,HolidayDates))</f>
        <v>46255</v>
      </c>
      <c r="P1624" s="10" t="s">
        <v>501</v>
      </c>
      <c r="Q1624" s="52" t="str">
        <f t="shared" si="284"/>
        <v>Collected</v>
      </c>
      <c r="R1624" s="55" t="str">
        <f t="shared" si="285"/>
        <v>2026-07</v>
      </c>
      <c r="S1624" s="55">
        <f>IF(OR($B1624="",$F1624="",$R1624=""),"",SUMIFS(tblIssues[Qty Issued],tblIssues[Staff ID],$B1624,tblIssues[Item Name],$F1624,tblIssues[Month],$R1624))</f>
        <v>50</v>
      </c>
      <c r="T1624" s="56">
        <f>IF($I1624="","",$I1624*Settings!$C$11)</f>
        <v>50</v>
      </c>
      <c r="U1624" s="57" t="str">
        <f t="shared" si="282"/>
        <v>OK</v>
      </c>
      <c r="V1624" s="55" t="str">
        <f t="shared" si="286"/>
        <v/>
      </c>
      <c r="W1624" s="55" t="str">
        <f>IF($V1624="","",IF(COUNTIF($V$5:$V1624,$V1624)=1,1,""))</f>
        <v/>
      </c>
      <c r="X1624" s="58" t="str">
        <f>IF($W1624="","",MAX($X$4:X1623)+1)</f>
        <v/>
      </c>
      <c r="Y1624" s="62"/>
      <c r="Z1624" s="62"/>
      <c r="AA1624" s="64" t="str">
        <f>IF($C1624="","",IFERROR(INDEX('Staff Directory'!$E$5:$E$594,MATCH($C1624,'Staff Directory'!$B$5:$B$594,0)),""))</f>
        <v>firstname167.lastname167@example.com</v>
      </c>
      <c r="AB1624" s="64" t="str">
        <f>IF($C1624="","",IF(ISNUMBER(SEARCH($D1624,Settings!$C$15)),"Pickup","Dispatch"))</f>
        <v>Pickup</v>
      </c>
      <c r="AC1624" s="64" t="str">
        <f t="shared" si="287"/>
        <v>Supply order ready for pickup</v>
      </c>
      <c r="AD1624" s="64" t="str">
        <f t="shared" si="278"/>
        <v>Dear PSW,
Your order is ready for pickup from Sample Branch, Wed-Fri 9am-4pm.</v>
      </c>
      <c r="AE1624" s="64" t="str">
        <f t="shared" si="279"/>
        <v>mailto:firstname167.lastname167@example.com?subject=Supply%20order%20ready%20for%20pickup&amp;body=Dear%20PSW%2C%0A%0AYour%20order%20is%20ready%20for%20pickup%20from%20Sample%20Branch%2C%20Wed-Fri%209am-4pm.</v>
      </c>
      <c r="AF1624" s="89" t="str">
        <f t="shared" si="288"/>
        <v>Draft email</v>
      </c>
      <c r="AG1624" s="64" t="str">
        <f>IF($C1624="","",IFERROR(INDEX('Staff Directory'!$K$595:$K$599,MATCH($C1624,'Staff Directory'!$B$5:$B$599,0)),$D1624))</f>
        <v>PSW</v>
      </c>
      <c r="AH1624" t="str">
        <f>IF($C1624="","",IFERROR(INDEX('Staff Directory'!$I$595:$I$599,MATCH($C1624,'Staff Directory'!$B$5:$B$599,0))&amp;" "&amp;INDEX('Staff Directory'!$J$595:$J$599,MATCH($C1624,'Staff Directory'!$B$5:$B$599,0)),$AG1624))</f>
        <v>PSW</v>
      </c>
      <c r="AI1624" s="102"/>
      <c r="AJ1624" s="101">
        <f>IF($F1624="","",SUMIFS($J$5:$J1624,$F$5:$F1624,$F1624))</f>
        <v>13250</v>
      </c>
      <c r="AK1624" s="101">
        <f t="shared" si="280"/>
        <v>13201</v>
      </c>
      <c r="AL1624" s="66" t="str" cm="1">
        <f t="array" ref="AL1624">IF($F1624="","",IFERROR(INDEX('Lot Balance'!$B$5:$B$500,MATCH(1,INDEX(('Lot Balance'!$A$5:$A$500=$F1624)*('Lot Balance'!$K$5:$K$500&lt;$AK1624)*('Lot Balance'!$K$5:$K$500+'Lot Balance'!$D$5:$D$500&gt;=$AK1624),0),0)),""))</f>
        <v>24HA2050A7396</v>
      </c>
      <c r="AM1624" s="66" t="str" cm="1">
        <f t="array" ref="AM1624">IF($F1624="","",IFERROR(INDEX('Lot Balance'!$B$5:$B$500,MATCH(1,INDEX(('Lot Balance'!$A$5:$A$500=$F1624)*('Lot Balance'!$K$5:$K$500&lt;$AJ1624)*('Lot Balance'!$K$5:$K$500+'Lot Balance'!$D$5:$D$500&gt;=$AJ1624),0),0)),""))</f>
        <v>24HA2050A7396</v>
      </c>
      <c r="AN1624" s="66" t="str">
        <f>IF($F1624="","",IF($AI1624&lt;&gt;"",IF(COUNTIFS('Lot Balance'!$A$5:$A$500,$F1624,'Lot Balance'!$B$5:$B$500,$AI1624)=0,"⚠ override is not a lot of this item",IF($AI1624=$AL1624,"Override = FEFO","Override - FEFO says "&amp;$AL1624)),IF($AL1624="","⚠ no receipt on file for this item",IF($AM1624&lt;&gt;$AL1624,"FEFO auto - split, also "&amp;$AM1624,"FEFO auto"))))</f>
        <v>FEFO auto</v>
      </c>
      <c r="AO1624" s="114"/>
    </row>
    <row r="1625" spans="1:41" x14ac:dyDescent="0.35">
      <c r="A1625" s="74">
        <v>46209</v>
      </c>
      <c r="B1625" s="18" t="str">
        <f>IF($C1625="","",IFERROR(INDEX('Staff Directory'!$A$5:$A$594,MATCH($C1625,'Staff Directory'!$B$5:$B$594,0)),"⚠ unknown staff"))</f>
        <v>PSW-105-A5</v>
      </c>
      <c r="C1625" s="49" t="s">
        <v>1083</v>
      </c>
      <c r="D1625" s="19" t="str">
        <f>IF($B1625="","",IFERROR(INDEX('Staff Directory'!$C$5:$C$594,MATCH($B1625,'Staff Directory'!$A$5:$A$594,0)),""))</f>
        <v>PSW</v>
      </c>
      <c r="E1625" s="19" t="str">
        <f>IF($B1625="","",IFERROR(INDEX('Staff Directory'!$D$5:$D$594,MATCH($B1625,'Staff Directory'!$A$5:$A$594,0)),""))</f>
        <v>A5</v>
      </c>
      <c r="F1625" s="9" t="s">
        <v>758</v>
      </c>
      <c r="G1625" s="18" t="str">
        <f>IF($F1625="","",IFERROR(INDEX(Items!$B$5:$B$597,MATCH($F1625,Items!$A$5:$A$597,0)),"⚠ not in Items"))</f>
        <v>Utility</v>
      </c>
      <c r="H1625" s="19" t="str">
        <f>IF($F1625="","",IFERROR(INDEX(Items!$C$5:$C$597,MATCH($F1625,Items!$A$5:$A$597,0)),""))</f>
        <v>Standard</v>
      </c>
      <c r="I1625" s="23">
        <f>IF($F1625="","",IFERROR(INDEX(Items!$E$5:$E$597,MATCH($F1625,Items!$A$5:$A$597,0)),""))</f>
        <v>1</v>
      </c>
      <c r="J1625" s="115">
        <f>IF(tblIssues[[#This Row],[Qty Override]]&lt;&gt;"",tblIssues[[#This Row],[Qty Override]],IF(tblIssues[[#This Row],[Standard Issue]]="","",tblIssues[[#This Row],[Standard Issue]]))</f>
        <v>1</v>
      </c>
      <c r="K1625" s="20">
        <f>IF($F1625="","",IFERROR(INDEX(Items!$D$5:$D$597,MATCH($F1625,Items!$A$5:$A$597,0)),""))</f>
        <v>0</v>
      </c>
      <c r="L1625" s="21">
        <f t="shared" si="283"/>
        <v>0</v>
      </c>
      <c r="M1625" s="9" t="str">
        <f t="shared" si="281"/>
        <v/>
      </c>
      <c r="N1625" s="24">
        <f>IF($A1625="","",WORKDAY($A1625,Settings!$C$9,HolidayDates))</f>
        <v>46217</v>
      </c>
      <c r="O1625" s="24">
        <f>IF($N1625="","",WORKDAY($N1625,Settings!$C$10,HolidayDates))</f>
        <v>46255</v>
      </c>
      <c r="P1625" s="10" t="s">
        <v>501</v>
      </c>
      <c r="Q1625" s="52" t="str">
        <f t="shared" si="284"/>
        <v>Collected</v>
      </c>
      <c r="R1625" s="55" t="str">
        <f t="shared" si="285"/>
        <v>2026-07</v>
      </c>
      <c r="S1625" s="55">
        <f>IF(OR($B1625="",$F1625="",$R1625=""),"",SUMIFS(tblIssues[Qty Issued],tblIssues[Staff ID],$B1625,tblIssues[Item Name],$F1625,tblIssues[Month],$R1625))</f>
        <v>1</v>
      </c>
      <c r="T1625" s="56">
        <f>IF($I1625="","",$I1625*Settings!$C$11)</f>
        <v>1</v>
      </c>
      <c r="U1625" s="57" t="str">
        <f t="shared" si="282"/>
        <v>OK</v>
      </c>
      <c r="V1625" s="55" t="str">
        <f t="shared" si="286"/>
        <v/>
      </c>
      <c r="W1625" s="55" t="str">
        <f>IF($V1625="","",IF(COUNTIF($V$5:$V1625,$V1625)=1,1,""))</f>
        <v/>
      </c>
      <c r="X1625" s="58" t="str">
        <f>IF($W1625="","",MAX($X$4:X1624)+1)</f>
        <v/>
      </c>
      <c r="Y1625" s="62"/>
      <c r="Z1625" s="62"/>
      <c r="AA1625" s="64" t="str">
        <f>IF($C1625="","",IFERROR(INDEX('Staff Directory'!$E$5:$E$594,MATCH($C1625,'Staff Directory'!$B$5:$B$594,0)),""))</f>
        <v>firstname167.lastname167@example.com</v>
      </c>
      <c r="AB1625" s="64" t="str">
        <f>IF($C1625="","",IF(ISNUMBER(SEARCH($D1625,Settings!$C$15)),"Pickup","Dispatch"))</f>
        <v>Pickup</v>
      </c>
      <c r="AC1625" s="64" t="str">
        <f t="shared" si="287"/>
        <v>Supply order ready for pickup</v>
      </c>
      <c r="AD1625" s="64" t="str">
        <f t="shared" si="278"/>
        <v>Dear PSW,
Your order is ready for pickup from Sample Branch, Wed-Fri 9am-4pm.</v>
      </c>
      <c r="AE1625" s="64" t="str">
        <f t="shared" si="279"/>
        <v>mailto:firstname167.lastname167@example.com?subject=Supply%20order%20ready%20for%20pickup&amp;body=Dear%20PSW%2C%0A%0AYour%20order%20is%20ready%20for%20pickup%20from%20Sample%20Branch%2C%20Wed-Fri%209am-4pm.</v>
      </c>
      <c r="AF1625" s="89" t="str">
        <f t="shared" si="288"/>
        <v>Draft email</v>
      </c>
      <c r="AG1625" s="64" t="str">
        <f>IF($C1625="","",IFERROR(INDEX('Staff Directory'!$K$595:$K$599,MATCH($C1625,'Staff Directory'!$B$5:$B$599,0)),$D1625))</f>
        <v>PSW</v>
      </c>
      <c r="AH1625" t="str">
        <f>IF($C1625="","",IFERROR(INDEX('Staff Directory'!$I$595:$I$599,MATCH($C1625,'Staff Directory'!$B$5:$B$599,0))&amp;" "&amp;INDEX('Staff Directory'!$J$595:$J$599,MATCH($C1625,'Staff Directory'!$B$5:$B$599,0)),$AG1625))</f>
        <v>PSW</v>
      </c>
      <c r="AI1625" s="102"/>
      <c r="AJ1625" s="101">
        <f>IF($F1625="","",SUMIFS($J$5:$J1625,$F$5:$F1625,$F1625))</f>
        <v>37</v>
      </c>
      <c r="AK1625" s="101">
        <f t="shared" si="280"/>
        <v>37</v>
      </c>
      <c r="AL1625" s="66" t="str" cm="1">
        <f t="array" ref="AL1625">IF($F1625="","",IFERROR(INDEX('Lot Balance'!$B$5:$B$500,MATCH(1,INDEX(('Lot Balance'!$A$5:$A$500=$F1625)*('Lot Balance'!$K$5:$K$500&lt;$AK1625)*('Lot Balance'!$K$5:$K$500+'Lot Balance'!$D$5:$D$500&gt;=$AK1625),0),0)),""))</f>
        <v/>
      </c>
      <c r="AM1625" s="66" t="str" cm="1">
        <f t="array" ref="AM1625">IF($F1625="","",IFERROR(INDEX('Lot Balance'!$B$5:$B$500,MATCH(1,INDEX(('Lot Balance'!$A$5:$A$500=$F1625)*('Lot Balance'!$K$5:$K$500&lt;$AJ1625)*('Lot Balance'!$K$5:$K$500+'Lot Balance'!$D$5:$D$500&gt;=$AJ1625),0),0)),""))</f>
        <v/>
      </c>
      <c r="AN1625" s="66" t="str">
        <f>IF($F1625="","",IF($AI1625&lt;&gt;"",IF(COUNTIFS('Lot Balance'!$A$5:$A$500,$F1625,'Lot Balance'!$B$5:$B$500,$AI1625)=0,"⚠ override is not a lot of this item",IF($AI1625=$AL1625,"Override = FEFO","Override - FEFO says "&amp;$AL1625)),IF($AL1625="","⚠ no receipt on file for this item",IF($AM1625&lt;&gt;$AL1625,"FEFO auto - split, also "&amp;$AM1625,"FEFO auto"))))</f>
        <v>⚠ no receipt on file for this item</v>
      </c>
      <c r="AO1625" s="114"/>
    </row>
    <row r="1626" spans="1:41" x14ac:dyDescent="0.35">
      <c r="A1626" s="74">
        <v>46209</v>
      </c>
      <c r="B1626" s="18" t="str">
        <f>IF($C1626="","",IFERROR(INDEX('Staff Directory'!$A$5:$A$594,MATCH($C1626,'Staff Directory'!$B$5:$B$594,0)),"⚠ unknown staff"))</f>
        <v>PSW-040-A6</v>
      </c>
      <c r="C1626" s="49" t="s">
        <v>1015</v>
      </c>
      <c r="D1626" s="19" t="str">
        <f>IF($B1626="","",IFERROR(INDEX('Staff Directory'!$C$5:$C$594,MATCH($B1626,'Staff Directory'!$A$5:$A$594,0)),""))</f>
        <v>PSW</v>
      </c>
      <c r="E1626" s="19" t="str">
        <f>IF($B1626="","",IFERROR(INDEX('Staff Directory'!$D$5:$D$594,MATCH($B1626,'Staff Directory'!$A$5:$A$594,0)),""))</f>
        <v>A6</v>
      </c>
      <c r="F1626" s="9" t="s">
        <v>129</v>
      </c>
      <c r="G1626" s="18" t="str">
        <f>IF($F1626="","",IFERROR(INDEX(Items!$B$5:$B$597,MATCH($F1626,Items!$A$5:$A$597,0)),"⚠ not in Items"))</f>
        <v>Gloves</v>
      </c>
      <c r="H1626" s="19" t="str">
        <f>IF($F1626="","",IFERROR(INDEX(Items!$C$5:$C$597,MATCH($F1626,Items!$A$5:$A$597,0)),""))</f>
        <v>Small</v>
      </c>
      <c r="I1626" s="23">
        <f>IF($F1626="","",IFERROR(INDEX(Items!$E$5:$E$597,MATCH($F1626,Items!$A$5:$A$597,0)),""))</f>
        <v>500</v>
      </c>
      <c r="J1626" s="115">
        <f>IF(tblIssues[[#This Row],[Qty Override]]&lt;&gt;"",tblIssues[[#This Row],[Qty Override]],IF(tblIssues[[#This Row],[Standard Issue]]="","",tblIssues[[#This Row],[Standard Issue]]))</f>
        <v>500</v>
      </c>
      <c r="K1626" s="20">
        <f>IF($F1626="","",IFERROR(INDEX(Items!$D$5:$D$597,MATCH($F1626,Items!$A$5:$A$597,0)),""))</f>
        <v>5.5E-2</v>
      </c>
      <c r="L1626" s="21">
        <f t="shared" si="283"/>
        <v>27.5</v>
      </c>
      <c r="M1626" s="9" t="str">
        <f t="shared" si="281"/>
        <v>ZIM510137942</v>
      </c>
      <c r="N1626" s="24">
        <f>IF($A1626="","",WORKDAY($A1626,Settings!$C$9,HolidayDates))</f>
        <v>46217</v>
      </c>
      <c r="O1626" s="24">
        <f>IF($N1626="","",WORKDAY($N1626,Settings!$C$10,HolidayDates))</f>
        <v>46255</v>
      </c>
      <c r="P1626" s="10" t="s">
        <v>501</v>
      </c>
      <c r="Q1626" s="52" t="str">
        <f t="shared" si="284"/>
        <v>Collected</v>
      </c>
      <c r="R1626" s="55" t="str">
        <f t="shared" si="285"/>
        <v>2026-07</v>
      </c>
      <c r="S1626" s="55">
        <f>IF(OR($B1626="",$F1626="",$R1626=""),"",SUMIFS(tblIssues[Qty Issued],tblIssues[Staff ID],$B1626,tblIssues[Item Name],$F1626,tblIssues[Month],$R1626))</f>
        <v>500</v>
      </c>
      <c r="T1626" s="56">
        <f>IF($I1626="","",$I1626*Settings!$C$11)</f>
        <v>500</v>
      </c>
      <c r="U1626" s="57" t="str">
        <f t="shared" si="282"/>
        <v>OK</v>
      </c>
      <c r="V1626" s="55" t="str">
        <f t="shared" si="286"/>
        <v/>
      </c>
      <c r="W1626" s="55" t="str">
        <f>IF($V1626="","",IF(COUNTIF($V$5:$V1626,$V1626)=1,1,""))</f>
        <v/>
      </c>
      <c r="X1626" s="58" t="str">
        <f>IF($W1626="","",MAX($X$4:X1625)+1)</f>
        <v/>
      </c>
      <c r="Y1626" s="62"/>
      <c r="Z1626" s="62"/>
      <c r="AA1626" s="64" t="str">
        <f>IF($C1626="","",IFERROR(INDEX('Staff Directory'!$E$5:$E$594,MATCH($C1626,'Staff Directory'!$B$5:$B$594,0)),""))</f>
        <v>firstname099.lastname099@example.com</v>
      </c>
      <c r="AB1626" s="64" t="str">
        <f>IF($C1626="","",IF(ISNUMBER(SEARCH($D1626,Settings!$C$15)),"Pickup","Dispatch"))</f>
        <v>Pickup</v>
      </c>
      <c r="AC1626" s="64" t="str">
        <f t="shared" si="287"/>
        <v>Supply order ready for pickup</v>
      </c>
      <c r="AD1626" s="64" t="str">
        <f t="shared" si="278"/>
        <v>Dear PSW,
Your order is ready for pickup from Sample Branch, Wed-Fri 9am-4pm.</v>
      </c>
      <c r="AE1626" s="64" t="str">
        <f t="shared" si="279"/>
        <v>mailto:firstname099.lastname099@example.com?subject=Supply%20order%20ready%20for%20pickup&amp;body=Dear%20PSW%2C%0A%0AYour%20order%20is%20ready%20for%20pickup%20from%20Sample%20Branch%2C%20Wed-Fri%209am-4pm.</v>
      </c>
      <c r="AF1626" s="89" t="str">
        <f t="shared" si="288"/>
        <v>Draft email</v>
      </c>
      <c r="AG1626" s="64" t="str">
        <f>IF($C1626="","",IFERROR(INDEX('Staff Directory'!$K$595:$K$599,MATCH($C1626,'Staff Directory'!$B$5:$B$599,0)),$D1626))</f>
        <v>PSW</v>
      </c>
      <c r="AH1626" t="str">
        <f>IF($C1626="","",IFERROR(INDEX('Staff Directory'!$I$595:$I$599,MATCH($C1626,'Staff Directory'!$B$5:$B$599,0))&amp;" "&amp;INDEX('Staff Directory'!$J$595:$J$599,MATCH($C1626,'Staff Directory'!$B$5:$B$599,0)),$AG1626))</f>
        <v>PSW</v>
      </c>
      <c r="AI1626" s="102"/>
      <c r="AJ1626" s="101">
        <f>IF($F1626="","",SUMIFS($J$5:$J1626,$F$5:$F1626,$F1626))</f>
        <v>48000</v>
      </c>
      <c r="AK1626" s="101">
        <f t="shared" si="280"/>
        <v>47501</v>
      </c>
      <c r="AL1626" s="66" t="str" cm="1">
        <f t="array" ref="AL1626">IF($F1626="","",IFERROR(INDEX('Lot Balance'!$B$5:$B$500,MATCH(1,INDEX(('Lot Balance'!$A$5:$A$500=$F1626)*('Lot Balance'!$K$5:$K$500&lt;$AK1626)*('Lot Balance'!$K$5:$K$500+'Lot Balance'!$D$5:$D$500&gt;=$AK1626),0),0)),""))</f>
        <v>ZIM510137942</v>
      </c>
      <c r="AM1626" s="66" t="str" cm="1">
        <f t="array" ref="AM1626">IF($F1626="","",IFERROR(INDEX('Lot Balance'!$B$5:$B$500,MATCH(1,INDEX(('Lot Balance'!$A$5:$A$500=$F1626)*('Lot Balance'!$K$5:$K$500&lt;$AJ1626)*('Lot Balance'!$K$5:$K$500+'Lot Balance'!$D$5:$D$500&gt;=$AJ1626),0),0)),""))</f>
        <v>ZIM510137942</v>
      </c>
      <c r="AN1626" s="66" t="str">
        <f>IF($F1626="","",IF($AI1626&lt;&gt;"",IF(COUNTIFS('Lot Balance'!$A$5:$A$500,$F1626,'Lot Balance'!$B$5:$B$500,$AI1626)=0,"⚠ override is not a lot of this item",IF($AI1626=$AL1626,"Override = FEFO","Override - FEFO says "&amp;$AL1626)),IF($AL1626="","⚠ no receipt on file for this item",IF($AM1626&lt;&gt;$AL1626,"FEFO auto - split, also "&amp;$AM1626,"FEFO auto"))))</f>
        <v>FEFO auto</v>
      </c>
      <c r="AO1626" s="114"/>
    </row>
    <row r="1627" spans="1:41" x14ac:dyDescent="0.35">
      <c r="A1627" s="74">
        <v>46209</v>
      </c>
      <c r="B1627" s="18" t="str">
        <f>IF($C1627="","",IFERROR(INDEX('Staff Directory'!$A$5:$A$594,MATCH($C1627,'Staff Directory'!$B$5:$B$594,0)),"⚠ unknown staff"))</f>
        <v>PSW-040-A6</v>
      </c>
      <c r="C1627" s="49" t="s">
        <v>1015</v>
      </c>
      <c r="D1627" s="19" t="str">
        <f>IF($B1627="","",IFERROR(INDEX('Staff Directory'!$C$5:$C$594,MATCH($B1627,'Staff Directory'!$A$5:$A$594,0)),""))</f>
        <v>PSW</v>
      </c>
      <c r="E1627" s="19" t="str">
        <f>IF($B1627="","",IFERROR(INDEX('Staff Directory'!$D$5:$D$594,MATCH($B1627,'Staff Directory'!$A$5:$A$594,0)),""))</f>
        <v>A6</v>
      </c>
      <c r="F1627" s="9" t="s">
        <v>115</v>
      </c>
      <c r="G1627" s="18" t="str">
        <f>IF($F1627="","",IFERROR(INDEX(Items!$B$5:$B$597,MATCH($F1627,Items!$A$5:$A$597,0)),"⚠ not in Items"))</f>
        <v>Wipes</v>
      </c>
      <c r="H1627" s="19">
        <f>IF($F1627="","",IFERROR(INDEX(Items!$C$5:$C$597,MATCH($F1627,Items!$A$5:$A$597,0)),""))</f>
        <v>80</v>
      </c>
      <c r="I1627" s="23">
        <f>IF($F1627="","",IFERROR(INDEX(Items!$E$5:$E$597,MATCH($F1627,Items!$A$5:$A$597,0)),""))</f>
        <v>80</v>
      </c>
      <c r="J1627" s="115">
        <f>IF(tblIssues[[#This Row],[Qty Override]]&lt;&gt;"",tblIssues[[#This Row],[Qty Override]],IF(tblIssues[[#This Row],[Standard Issue]]="","",tblIssues[[#This Row],[Standard Issue]]))</f>
        <v>80</v>
      </c>
      <c r="K1627" s="20">
        <f>IF($F1627="","",IFERROR(INDEX(Items!$D$5:$D$597,MATCH($F1627,Items!$A$5:$A$597,0)),""))</f>
        <v>0.1</v>
      </c>
      <c r="L1627" s="21">
        <f t="shared" si="283"/>
        <v>8</v>
      </c>
      <c r="M1627" s="9" t="str">
        <f t="shared" si="281"/>
        <v>LYSL500290</v>
      </c>
      <c r="N1627" s="24">
        <f>IF($A1627="","",WORKDAY($A1627,Settings!$C$9,HolidayDates))</f>
        <v>46217</v>
      </c>
      <c r="O1627" s="24">
        <f>IF($N1627="","",WORKDAY($N1627,Settings!$C$10,HolidayDates))</f>
        <v>46255</v>
      </c>
      <c r="P1627" s="10" t="s">
        <v>501</v>
      </c>
      <c r="Q1627" s="52" t="str">
        <f t="shared" si="284"/>
        <v>Collected</v>
      </c>
      <c r="R1627" s="55" t="str">
        <f t="shared" si="285"/>
        <v>2026-07</v>
      </c>
      <c r="S1627" s="55">
        <f>IF(OR($B1627="",$F1627="",$R1627=""),"",SUMIFS(tblIssues[Qty Issued],tblIssues[Staff ID],$B1627,tblIssues[Item Name],$F1627,tblIssues[Month],$R1627))</f>
        <v>80</v>
      </c>
      <c r="T1627" s="56">
        <f>IF($I1627="","",$I1627*Settings!$C$11)</f>
        <v>80</v>
      </c>
      <c r="U1627" s="57" t="str">
        <f t="shared" si="282"/>
        <v>OK</v>
      </c>
      <c r="V1627" s="55" t="str">
        <f t="shared" si="286"/>
        <v/>
      </c>
      <c r="W1627" s="55" t="str">
        <f>IF($V1627="","",IF(COUNTIF($V$5:$V1627,$V1627)=1,1,""))</f>
        <v/>
      </c>
      <c r="X1627" s="58" t="str">
        <f>IF($W1627="","",MAX($X$4:X1626)+1)</f>
        <v/>
      </c>
      <c r="Y1627" s="62"/>
      <c r="Z1627" s="62"/>
      <c r="AA1627" s="64" t="str">
        <f>IF($C1627="","",IFERROR(INDEX('Staff Directory'!$E$5:$E$594,MATCH($C1627,'Staff Directory'!$B$5:$B$594,0)),""))</f>
        <v>firstname099.lastname099@example.com</v>
      </c>
      <c r="AB1627" s="64" t="str">
        <f>IF($C1627="","",IF(ISNUMBER(SEARCH($D1627,Settings!$C$15)),"Pickup","Dispatch"))</f>
        <v>Pickup</v>
      </c>
      <c r="AC1627" s="64" t="str">
        <f t="shared" si="287"/>
        <v>Supply order ready for pickup</v>
      </c>
      <c r="AD1627" s="64" t="str">
        <f t="shared" si="278"/>
        <v>Dear PSW,
Your order is ready for pickup from Sample Branch, Wed-Fri 9am-4pm.</v>
      </c>
      <c r="AE1627" s="64" t="str">
        <f t="shared" si="279"/>
        <v>mailto:firstname099.lastname099@example.com?subject=Supply%20order%20ready%20for%20pickup&amp;body=Dear%20PSW%2C%0A%0AYour%20order%20is%20ready%20for%20pickup%20from%20Sample%20Branch%2C%20Wed-Fri%209am-4pm.</v>
      </c>
      <c r="AF1627" s="89" t="str">
        <f t="shared" si="288"/>
        <v>Draft email</v>
      </c>
      <c r="AG1627" s="64" t="str">
        <f>IF($C1627="","",IFERROR(INDEX('Staff Directory'!$K$595:$K$599,MATCH($C1627,'Staff Directory'!$B$5:$B$599,0)),$D1627))</f>
        <v>PSW</v>
      </c>
      <c r="AH1627" t="str">
        <f>IF($C1627="","",IFERROR(INDEX('Staff Directory'!$I$595:$I$599,MATCH($C1627,'Staff Directory'!$B$5:$B$599,0))&amp;" "&amp;INDEX('Staff Directory'!$J$595:$J$599,MATCH($C1627,'Staff Directory'!$B$5:$B$599,0)),$AG1627))</f>
        <v>PSW</v>
      </c>
      <c r="AI1627" s="102"/>
      <c r="AJ1627" s="101">
        <f>IF($F1627="","",SUMIFS($J$5:$J1627,$F$5:$F1627,$F1627))</f>
        <v>21840</v>
      </c>
      <c r="AK1627" s="101">
        <f t="shared" si="280"/>
        <v>21761</v>
      </c>
      <c r="AL1627" s="66" t="str" cm="1">
        <f t="array" ref="AL1627">IF($F1627="","",IFERROR(INDEX('Lot Balance'!$B$5:$B$500,MATCH(1,INDEX(('Lot Balance'!$A$5:$A$500=$F1627)*('Lot Balance'!$K$5:$K$500&lt;$AK1627)*('Lot Balance'!$K$5:$K$500+'Lot Balance'!$D$5:$D$500&gt;=$AK1627),0),0)),""))</f>
        <v>LYSL500290</v>
      </c>
      <c r="AM1627" s="66" t="str" cm="1">
        <f t="array" ref="AM1627">IF($F1627="","",IFERROR(INDEX('Lot Balance'!$B$5:$B$500,MATCH(1,INDEX(('Lot Balance'!$A$5:$A$500=$F1627)*('Lot Balance'!$K$5:$K$500&lt;$AJ1627)*('Lot Balance'!$K$5:$K$500+'Lot Balance'!$D$5:$D$500&gt;=$AJ1627),0),0)),""))</f>
        <v>LYSL500290</v>
      </c>
      <c r="AN1627" s="66" t="str">
        <f>IF($F1627="","",IF($AI1627&lt;&gt;"",IF(COUNTIFS('Lot Balance'!$A$5:$A$500,$F1627,'Lot Balance'!$B$5:$B$500,$AI1627)=0,"⚠ override is not a lot of this item",IF($AI1627=$AL1627,"Override = FEFO","Override - FEFO says "&amp;$AL1627)),IF($AL1627="","⚠ no receipt on file for this item",IF($AM1627&lt;&gt;$AL1627,"FEFO auto - split, also "&amp;$AM1627,"FEFO auto"))))</f>
        <v>FEFO auto</v>
      </c>
      <c r="AO1627" s="114"/>
    </row>
    <row r="1628" spans="1:41" x14ac:dyDescent="0.35">
      <c r="A1628" s="74">
        <v>46209</v>
      </c>
      <c r="B1628" s="18" t="str">
        <f>IF($C1628="","",IFERROR(INDEX('Staff Directory'!$A$5:$A$594,MATCH($C1628,'Staff Directory'!$B$5:$B$594,0)),"⚠ unknown staff"))</f>
        <v>PSW-040-A6</v>
      </c>
      <c r="C1628" s="49" t="s">
        <v>1015</v>
      </c>
      <c r="D1628" s="19" t="str">
        <f>IF($B1628="","",IFERROR(INDEX('Staff Directory'!$C$5:$C$594,MATCH($B1628,'Staff Directory'!$A$5:$A$594,0)),""))</f>
        <v>PSW</v>
      </c>
      <c r="E1628" s="19" t="str">
        <f>IF($B1628="","",IFERROR(INDEX('Staff Directory'!$D$5:$D$594,MATCH($B1628,'Staff Directory'!$A$5:$A$594,0)),""))</f>
        <v>A6</v>
      </c>
      <c r="F1628" s="9" t="s">
        <v>758</v>
      </c>
      <c r="G1628" s="18" t="str">
        <f>IF($F1628="","",IFERROR(INDEX(Items!$B$5:$B$597,MATCH($F1628,Items!$A$5:$A$597,0)),"⚠ not in Items"))</f>
        <v>Utility</v>
      </c>
      <c r="H1628" s="19" t="str">
        <f>IF($F1628="","",IFERROR(INDEX(Items!$C$5:$C$597,MATCH($F1628,Items!$A$5:$A$597,0)),""))</f>
        <v>Standard</v>
      </c>
      <c r="I1628" s="23">
        <f>IF($F1628="","",IFERROR(INDEX(Items!$E$5:$E$597,MATCH($F1628,Items!$A$5:$A$597,0)),""))</f>
        <v>1</v>
      </c>
      <c r="J1628" s="115">
        <f>IF(tblIssues[[#This Row],[Qty Override]]&lt;&gt;"",tblIssues[[#This Row],[Qty Override]],IF(tblIssues[[#This Row],[Standard Issue]]="","",tblIssues[[#This Row],[Standard Issue]]))</f>
        <v>1</v>
      </c>
      <c r="K1628" s="20">
        <f>IF($F1628="","",IFERROR(INDEX(Items!$D$5:$D$597,MATCH($F1628,Items!$A$5:$A$597,0)),""))</f>
        <v>0</v>
      </c>
      <c r="L1628" s="21">
        <f t="shared" si="283"/>
        <v>0</v>
      </c>
      <c r="M1628" s="9" t="str">
        <f t="shared" si="281"/>
        <v/>
      </c>
      <c r="N1628" s="24">
        <f>IF($A1628="","",WORKDAY($A1628,Settings!$C$9,HolidayDates))</f>
        <v>46217</v>
      </c>
      <c r="O1628" s="24">
        <f>IF($N1628="","",WORKDAY($N1628,Settings!$C$10,HolidayDates))</f>
        <v>46255</v>
      </c>
      <c r="P1628" s="10" t="s">
        <v>501</v>
      </c>
      <c r="Q1628" s="52" t="str">
        <f t="shared" si="284"/>
        <v>Collected</v>
      </c>
      <c r="R1628" s="55" t="str">
        <f t="shared" si="285"/>
        <v>2026-07</v>
      </c>
      <c r="S1628" s="55">
        <f>IF(OR($B1628="",$F1628="",$R1628=""),"",SUMIFS(tblIssues[Qty Issued],tblIssues[Staff ID],$B1628,tblIssues[Item Name],$F1628,tblIssues[Month],$R1628))</f>
        <v>1</v>
      </c>
      <c r="T1628" s="56">
        <f>IF($I1628="","",$I1628*Settings!$C$11)</f>
        <v>1</v>
      </c>
      <c r="U1628" s="57" t="str">
        <f t="shared" si="282"/>
        <v>OK</v>
      </c>
      <c r="V1628" s="55" t="str">
        <f t="shared" si="286"/>
        <v/>
      </c>
      <c r="W1628" s="55" t="str">
        <f>IF($V1628="","",IF(COUNTIF($V$5:$V1628,$V1628)=1,1,""))</f>
        <v/>
      </c>
      <c r="X1628" s="58" t="str">
        <f>IF($W1628="","",MAX($X$4:X1627)+1)</f>
        <v/>
      </c>
      <c r="Y1628" s="62"/>
      <c r="Z1628" s="62"/>
      <c r="AA1628" s="64" t="str">
        <f>IF($C1628="","",IFERROR(INDEX('Staff Directory'!$E$5:$E$594,MATCH($C1628,'Staff Directory'!$B$5:$B$594,0)),""))</f>
        <v>firstname099.lastname099@example.com</v>
      </c>
      <c r="AB1628" s="64" t="str">
        <f>IF($C1628="","",IF(ISNUMBER(SEARCH($D1628,Settings!$C$15)),"Pickup","Dispatch"))</f>
        <v>Pickup</v>
      </c>
      <c r="AC1628" s="64" t="str">
        <f t="shared" si="287"/>
        <v>Supply order ready for pickup</v>
      </c>
      <c r="AD1628" s="64" t="str">
        <f t="shared" si="278"/>
        <v>Dear PSW,
Your order is ready for pickup from Sample Branch, Wed-Fri 9am-4pm.</v>
      </c>
      <c r="AE1628" s="64" t="str">
        <f t="shared" si="279"/>
        <v>mailto:firstname099.lastname099@example.com?subject=Supply%20order%20ready%20for%20pickup&amp;body=Dear%20PSW%2C%0A%0AYour%20order%20is%20ready%20for%20pickup%20from%20Sample%20Branch%2C%20Wed-Fri%209am-4pm.</v>
      </c>
      <c r="AF1628" s="89" t="str">
        <f t="shared" si="288"/>
        <v>Draft email</v>
      </c>
      <c r="AG1628" s="64" t="str">
        <f>IF($C1628="","",IFERROR(INDEX('Staff Directory'!$K$595:$K$599,MATCH($C1628,'Staff Directory'!$B$5:$B$599,0)),$D1628))</f>
        <v>PSW</v>
      </c>
      <c r="AH1628" t="str">
        <f>IF($C1628="","",IFERROR(INDEX('Staff Directory'!$I$595:$I$599,MATCH($C1628,'Staff Directory'!$B$5:$B$599,0))&amp;" "&amp;INDEX('Staff Directory'!$J$595:$J$599,MATCH($C1628,'Staff Directory'!$B$5:$B$599,0)),$AG1628))</f>
        <v>PSW</v>
      </c>
      <c r="AI1628" s="102"/>
      <c r="AJ1628" s="101">
        <f>IF($F1628="","",SUMIFS($J$5:$J1628,$F$5:$F1628,$F1628))</f>
        <v>38</v>
      </c>
      <c r="AK1628" s="101">
        <f t="shared" si="280"/>
        <v>38</v>
      </c>
      <c r="AL1628" s="66" t="str" cm="1">
        <f t="array" ref="AL1628">IF($F1628="","",IFERROR(INDEX('Lot Balance'!$B$5:$B$500,MATCH(1,INDEX(('Lot Balance'!$A$5:$A$500=$F1628)*('Lot Balance'!$K$5:$K$500&lt;$AK1628)*('Lot Balance'!$K$5:$K$500+'Lot Balance'!$D$5:$D$500&gt;=$AK1628),0),0)),""))</f>
        <v/>
      </c>
      <c r="AM1628" s="66" t="str" cm="1">
        <f t="array" ref="AM1628">IF($F1628="","",IFERROR(INDEX('Lot Balance'!$B$5:$B$500,MATCH(1,INDEX(('Lot Balance'!$A$5:$A$500=$F1628)*('Lot Balance'!$K$5:$K$500&lt;$AJ1628)*('Lot Balance'!$K$5:$K$500+'Lot Balance'!$D$5:$D$500&gt;=$AJ1628),0),0)),""))</f>
        <v/>
      </c>
      <c r="AN1628" s="66" t="str">
        <f>IF($F1628="","",IF($AI1628&lt;&gt;"",IF(COUNTIFS('Lot Balance'!$A$5:$A$500,$F1628,'Lot Balance'!$B$5:$B$500,$AI1628)=0,"⚠ override is not a lot of this item",IF($AI1628=$AL1628,"Override = FEFO","Override - FEFO says "&amp;$AL1628)),IF($AL1628="","⚠ no receipt on file for this item",IF($AM1628&lt;&gt;$AL1628,"FEFO auto - split, also "&amp;$AM1628,"FEFO auto"))))</f>
        <v>⚠ no receipt on file for this item</v>
      </c>
      <c r="AO1628" s="114"/>
    </row>
    <row r="1629" spans="1:41" x14ac:dyDescent="0.35">
      <c r="A1629" s="74">
        <v>46209</v>
      </c>
      <c r="B1629" s="18" t="str">
        <f>IF($C1629="","",IFERROR(INDEX('Staff Directory'!$A$5:$A$594,MATCH($C1629,'Staff Directory'!$B$5:$B$594,0)),"⚠ unknown staff"))</f>
        <v>PSW-089-A5</v>
      </c>
      <c r="C1629" s="49" t="s">
        <v>1066</v>
      </c>
      <c r="D1629" s="19" t="str">
        <f>IF($B1629="","",IFERROR(INDEX('Staff Directory'!$C$5:$C$594,MATCH($B1629,'Staff Directory'!$A$5:$A$594,0)),""))</f>
        <v>PSW</v>
      </c>
      <c r="E1629" s="19" t="str">
        <f>IF($B1629="","",IFERROR(INDEX('Staff Directory'!$D$5:$D$594,MATCH($B1629,'Staff Directory'!$A$5:$A$594,0)),""))</f>
        <v>A5</v>
      </c>
      <c r="F1629" s="9" t="s">
        <v>124</v>
      </c>
      <c r="G1629" s="18" t="str">
        <f>IF($F1629="","",IFERROR(INDEX(Items!$B$5:$B$597,MATCH($F1629,Items!$A$5:$A$597,0)),"⚠ not in Items"))</f>
        <v>Gloves</v>
      </c>
      <c r="H1629" s="19" t="str">
        <f>IF($F1629="","",IFERROR(INDEX(Items!$C$5:$C$597,MATCH($F1629,Items!$A$5:$A$597,0)),""))</f>
        <v>Large</v>
      </c>
      <c r="I1629" s="23">
        <f>IF($F1629="","",IFERROR(INDEX(Items!$E$5:$E$597,MATCH($F1629,Items!$A$5:$A$597,0)),""))</f>
        <v>500</v>
      </c>
      <c r="J1629" s="115">
        <f>IF(tblIssues[[#This Row],[Qty Override]]&lt;&gt;"",tblIssues[[#This Row],[Qty Override]],IF(tblIssues[[#This Row],[Standard Issue]]="","",tblIssues[[#This Row],[Standard Issue]]))</f>
        <v>500</v>
      </c>
      <c r="K1629" s="20">
        <f>IF($F1629="","",IFERROR(INDEX(Items!$D$5:$D$597,MATCH($F1629,Items!$A$5:$A$597,0)),""))</f>
        <v>5.5E-2</v>
      </c>
      <c r="L1629" s="21">
        <f t="shared" si="283"/>
        <v>27.5</v>
      </c>
      <c r="M1629" s="9" t="str">
        <f t="shared" si="281"/>
        <v>ZIM511139904-3</v>
      </c>
      <c r="N1629" s="24">
        <f>IF($A1629="","",WORKDAY($A1629,Settings!$C$9,HolidayDates))</f>
        <v>46217</v>
      </c>
      <c r="O1629" s="24">
        <f>IF($N1629="","",WORKDAY($N1629,Settings!$C$10,HolidayDates))</f>
        <v>46255</v>
      </c>
      <c r="P1629" s="10" t="s">
        <v>501</v>
      </c>
      <c r="Q1629" s="52" t="str">
        <f t="shared" si="284"/>
        <v>Collected</v>
      </c>
      <c r="R1629" s="55" t="str">
        <f t="shared" si="285"/>
        <v>2026-07</v>
      </c>
      <c r="S1629" s="55">
        <f>IF(OR($B1629="",$F1629="",$R1629=""),"",SUMIFS(tblIssues[Qty Issued],tblIssues[Staff ID],$B1629,tblIssues[Item Name],$F1629,tblIssues[Month],$R1629))</f>
        <v>500</v>
      </c>
      <c r="T1629" s="56">
        <f>IF($I1629="","",$I1629*Settings!$C$11)</f>
        <v>500</v>
      </c>
      <c r="U1629" s="57" t="str">
        <f t="shared" si="282"/>
        <v>OK</v>
      </c>
      <c r="V1629" s="55" t="str">
        <f t="shared" si="286"/>
        <v/>
      </c>
      <c r="W1629" s="55" t="str">
        <f>IF($V1629="","",IF(COUNTIF($V$5:$V1629,$V1629)=1,1,""))</f>
        <v/>
      </c>
      <c r="X1629" s="58" t="str">
        <f>IF($W1629="","",MAX($X$4:X1628)+1)</f>
        <v/>
      </c>
      <c r="Y1629" s="62"/>
      <c r="Z1629" s="62"/>
      <c r="AA1629" s="64" t="str">
        <f>IF($C1629="","",IFERROR(INDEX('Staff Directory'!$E$5:$E$594,MATCH($C1629,'Staff Directory'!$B$5:$B$594,0)),""))</f>
        <v>firstname150.lastname150@example.com</v>
      </c>
      <c r="AB1629" s="64" t="str">
        <f>IF($C1629="","",IF(ISNUMBER(SEARCH($D1629,Settings!$C$15)),"Pickup","Dispatch"))</f>
        <v>Pickup</v>
      </c>
      <c r="AC1629" s="64" t="str">
        <f t="shared" si="287"/>
        <v>Supply order ready for pickup</v>
      </c>
      <c r="AD1629" s="64" t="str">
        <f t="shared" si="278"/>
        <v>Dear PSW,
Your order is ready for pickup from Sample Branch, Wed-Fri 9am-4pm.</v>
      </c>
      <c r="AE1629" s="64" t="str">
        <f t="shared" si="279"/>
        <v>mailto:firstname150.lastname150@example.com?subject=Supply%20order%20ready%20for%20pickup&amp;body=Dear%20PSW%2C%0A%0AYour%20order%20is%20ready%20for%20pickup%20from%20Sample%20Branch%2C%20Wed-Fri%209am-4pm.</v>
      </c>
      <c r="AF1629" s="89" t="str">
        <f t="shared" si="288"/>
        <v>Draft email</v>
      </c>
      <c r="AG1629" s="64" t="str">
        <f>IF($C1629="","",IFERROR(INDEX('Staff Directory'!$K$595:$K$599,MATCH($C1629,'Staff Directory'!$B$5:$B$599,0)),$D1629))</f>
        <v>PSW</v>
      </c>
      <c r="AH1629" t="str">
        <f>IF($C1629="","",IFERROR(INDEX('Staff Directory'!$I$595:$I$599,MATCH($C1629,'Staff Directory'!$B$5:$B$599,0))&amp;" "&amp;INDEX('Staff Directory'!$J$595:$J$599,MATCH($C1629,'Staff Directory'!$B$5:$B$599,0)),$AG1629))</f>
        <v>PSW</v>
      </c>
      <c r="AI1629" s="102"/>
      <c r="AJ1629" s="101">
        <f>IF($F1629="","",SUMIFS($J$5:$J1629,$F$5:$F1629,$F1629))</f>
        <v>43000</v>
      </c>
      <c r="AK1629" s="101">
        <f t="shared" si="280"/>
        <v>42501</v>
      </c>
      <c r="AL1629" s="66" t="str" cm="1">
        <f t="array" ref="AL1629">IF($F1629="","",IFERROR(INDEX('Lot Balance'!$B$5:$B$500,MATCH(1,INDEX(('Lot Balance'!$A$5:$A$500=$F1629)*('Lot Balance'!$K$5:$K$500&lt;$AK1629)*('Lot Balance'!$K$5:$K$500+'Lot Balance'!$D$5:$D$500&gt;=$AK1629),0),0)),""))</f>
        <v>ZIM511139904-3</v>
      </c>
      <c r="AM1629" s="66" t="str" cm="1">
        <f t="array" ref="AM1629">IF($F1629="","",IFERROR(INDEX('Lot Balance'!$B$5:$B$500,MATCH(1,INDEX(('Lot Balance'!$A$5:$A$500=$F1629)*('Lot Balance'!$K$5:$K$500&lt;$AJ1629)*('Lot Balance'!$K$5:$K$500+'Lot Balance'!$D$5:$D$500&gt;=$AJ1629),0),0)),""))</f>
        <v>ZIM511139904-3</v>
      </c>
      <c r="AN1629" s="66" t="str">
        <f>IF($F1629="","",IF($AI1629&lt;&gt;"",IF(COUNTIFS('Lot Balance'!$A$5:$A$500,$F1629,'Lot Balance'!$B$5:$B$500,$AI1629)=0,"⚠ override is not a lot of this item",IF($AI1629=$AL1629,"Override = FEFO","Override - FEFO says "&amp;$AL1629)),IF($AL1629="","⚠ no receipt on file for this item",IF($AM1629&lt;&gt;$AL1629,"FEFO auto - split, also "&amp;$AM1629,"FEFO auto"))))</f>
        <v>FEFO auto</v>
      </c>
      <c r="AO1629" s="114"/>
    </row>
    <row r="1630" spans="1:41" x14ac:dyDescent="0.35">
      <c r="A1630" s="74">
        <v>46209</v>
      </c>
      <c r="B1630" s="18" t="str">
        <f>IF($C1630="","",IFERROR(INDEX('Staff Directory'!$A$5:$A$594,MATCH($C1630,'Staff Directory'!$B$5:$B$594,0)),"⚠ unknown staff"))</f>
        <v>PSW-089-A5</v>
      </c>
      <c r="C1630" s="49" t="s">
        <v>1066</v>
      </c>
      <c r="D1630" s="19" t="str">
        <f>IF($B1630="","",IFERROR(INDEX('Staff Directory'!$C$5:$C$594,MATCH($B1630,'Staff Directory'!$A$5:$A$594,0)),""))</f>
        <v>PSW</v>
      </c>
      <c r="E1630" s="19" t="str">
        <f>IF($B1630="","",IFERROR(INDEX('Staff Directory'!$D$5:$D$594,MATCH($B1630,'Staff Directory'!$A$5:$A$594,0)),""))</f>
        <v>A5</v>
      </c>
      <c r="F1630" s="9" t="s">
        <v>191</v>
      </c>
      <c r="G1630" s="18" t="str">
        <f>IF($F1630="","",IFERROR(INDEX(Items!$B$5:$B$597,MATCH($F1630,Items!$A$5:$A$597,0)),"⚠ not in Items"))</f>
        <v>Sanitizer</v>
      </c>
      <c r="H1630" s="19" t="str">
        <f>IF($F1630="","",IFERROR(INDEX(Items!$C$5:$C$597,MATCH($F1630,Items!$A$5:$A$597,0)),""))</f>
        <v>236 ML</v>
      </c>
      <c r="I1630" s="23">
        <f>IF($F1630="","",IFERROR(INDEX(Items!$E$5:$E$597,MATCH($F1630,Items!$A$5:$A$597,0)),""))</f>
        <v>1</v>
      </c>
      <c r="J1630" s="115">
        <f>IF(tblIssues[[#This Row],[Qty Override]]&lt;&gt;"",tblIssues[[#This Row],[Qty Override]],IF(tblIssues[[#This Row],[Standard Issue]]="","",tblIssues[[#This Row],[Standard Issue]]))</f>
        <v>1</v>
      </c>
      <c r="K1630" s="20">
        <f>IF($F1630="","",IFERROR(INDEX(Items!$D$5:$D$597,MATCH($F1630,Items!$A$5:$A$597,0)),""))</f>
        <v>1E-4</v>
      </c>
      <c r="L1630" s="21">
        <f t="shared" si="283"/>
        <v>1E-4</v>
      </c>
      <c r="M1630" s="9" t="str">
        <f t="shared" si="281"/>
        <v/>
      </c>
      <c r="N1630" s="24">
        <f>IF($A1630="","",WORKDAY($A1630,Settings!$C$9,HolidayDates))</f>
        <v>46217</v>
      </c>
      <c r="O1630" s="24">
        <f>IF($N1630="","",WORKDAY($N1630,Settings!$C$10,HolidayDates))</f>
        <v>46255</v>
      </c>
      <c r="P1630" s="10" t="s">
        <v>501</v>
      </c>
      <c r="Q1630" s="52" t="str">
        <f t="shared" si="284"/>
        <v>Collected</v>
      </c>
      <c r="R1630" s="55" t="str">
        <f t="shared" si="285"/>
        <v>2026-07</v>
      </c>
      <c r="S1630" s="55">
        <f>IF(OR($B1630="",$F1630="",$R1630=""),"",SUMIFS(tblIssues[Qty Issued],tblIssues[Staff ID],$B1630,tblIssues[Item Name],$F1630,tblIssues[Month],$R1630))</f>
        <v>1</v>
      </c>
      <c r="T1630" s="56">
        <f>IF($I1630="","",$I1630*Settings!$C$11)</f>
        <v>1</v>
      </c>
      <c r="U1630" s="57" t="str">
        <f t="shared" si="282"/>
        <v>OK</v>
      </c>
      <c r="V1630" s="55" t="str">
        <f t="shared" si="286"/>
        <v/>
      </c>
      <c r="W1630" s="55" t="str">
        <f>IF($V1630="","",IF(COUNTIF($V$5:$V1630,$V1630)=1,1,""))</f>
        <v/>
      </c>
      <c r="X1630" s="58" t="str">
        <f>IF($W1630="","",MAX($X$4:X1629)+1)</f>
        <v/>
      </c>
      <c r="Y1630" s="62"/>
      <c r="Z1630" s="62"/>
      <c r="AA1630" s="64" t="str">
        <f>IF($C1630="","",IFERROR(INDEX('Staff Directory'!$E$5:$E$594,MATCH($C1630,'Staff Directory'!$B$5:$B$594,0)),""))</f>
        <v>firstname150.lastname150@example.com</v>
      </c>
      <c r="AB1630" s="64" t="str">
        <f>IF($C1630="","",IF(ISNUMBER(SEARCH($D1630,Settings!$C$15)),"Pickup","Dispatch"))</f>
        <v>Pickup</v>
      </c>
      <c r="AC1630" s="64" t="str">
        <f t="shared" si="287"/>
        <v>Supply order ready for pickup</v>
      </c>
      <c r="AD1630" s="64" t="str">
        <f t="shared" si="278"/>
        <v>Dear PSW,
Your order is ready for pickup from Sample Branch, Wed-Fri 9am-4pm.</v>
      </c>
      <c r="AE1630" s="64" t="str">
        <f t="shared" si="279"/>
        <v>mailto:firstname150.lastname150@example.com?subject=Supply%20order%20ready%20for%20pickup&amp;body=Dear%20PSW%2C%0A%0AYour%20order%20is%20ready%20for%20pickup%20from%20Sample%20Branch%2C%20Wed-Fri%209am-4pm.</v>
      </c>
      <c r="AF1630" s="89" t="str">
        <f t="shared" si="288"/>
        <v>Draft email</v>
      </c>
      <c r="AG1630" s="64" t="str">
        <f>IF($C1630="","",IFERROR(INDEX('Staff Directory'!$K$595:$K$599,MATCH($C1630,'Staff Directory'!$B$5:$B$599,0)),$D1630))</f>
        <v>PSW</v>
      </c>
      <c r="AH1630" t="str">
        <f>IF($C1630="","",IFERROR(INDEX('Staff Directory'!$I$595:$I$599,MATCH($C1630,'Staff Directory'!$B$5:$B$599,0))&amp;" "&amp;INDEX('Staff Directory'!$J$595:$J$599,MATCH($C1630,'Staff Directory'!$B$5:$B$599,0)),$AG1630))</f>
        <v>PSW</v>
      </c>
      <c r="AI1630" s="102"/>
      <c r="AJ1630" s="101">
        <f>IF($F1630="","",SUMIFS($J$5:$J1630,$F$5:$F1630,$F1630))</f>
        <v>208</v>
      </c>
      <c r="AK1630" s="101">
        <f t="shared" si="280"/>
        <v>208</v>
      </c>
      <c r="AL1630" s="66" t="str" cm="1">
        <f t="array" ref="AL1630">IF($F1630="","",IFERROR(INDEX('Lot Balance'!$B$5:$B$500,MATCH(1,INDEX(('Lot Balance'!$A$5:$A$500=$F1630)*('Lot Balance'!$K$5:$K$500&lt;$AK1630)*('Lot Balance'!$K$5:$K$500+'Lot Balance'!$D$5:$D$500&gt;=$AK1630),0),0)),""))</f>
        <v/>
      </c>
      <c r="AM1630" s="66" t="str" cm="1">
        <f t="array" ref="AM1630">IF($F1630="","",IFERROR(INDEX('Lot Balance'!$B$5:$B$500,MATCH(1,INDEX(('Lot Balance'!$A$5:$A$500=$F1630)*('Lot Balance'!$K$5:$K$500&lt;$AJ1630)*('Lot Balance'!$K$5:$K$500+'Lot Balance'!$D$5:$D$500&gt;=$AJ1630),0),0)),""))</f>
        <v/>
      </c>
      <c r="AN1630" s="66" t="str">
        <f>IF($F1630="","",IF($AI1630&lt;&gt;"",IF(COUNTIFS('Lot Balance'!$A$5:$A$500,$F1630,'Lot Balance'!$B$5:$B$500,$AI1630)=0,"⚠ override is not a lot of this item",IF($AI1630=$AL1630,"Override = FEFO","Override - FEFO says "&amp;$AL1630)),IF($AL1630="","⚠ no receipt on file for this item",IF($AM1630&lt;&gt;$AL1630,"FEFO auto - split, also "&amp;$AM1630,"FEFO auto"))))</f>
        <v>⚠ no receipt on file for this item</v>
      </c>
      <c r="AO1630" s="114"/>
    </row>
    <row r="1631" spans="1:41" x14ac:dyDescent="0.35">
      <c r="A1631" s="74">
        <v>46209</v>
      </c>
      <c r="B1631" s="18" t="str">
        <f>IF($C1631="","",IFERROR(INDEX('Staff Directory'!$A$5:$A$594,MATCH($C1631,'Staff Directory'!$B$5:$B$594,0)),"⚠ unknown staff"))</f>
        <v>PSW-089-A5</v>
      </c>
      <c r="C1631" s="49" t="s">
        <v>1066</v>
      </c>
      <c r="D1631" s="19" t="str">
        <f>IF($B1631="","",IFERROR(INDEX('Staff Directory'!$C$5:$C$594,MATCH($B1631,'Staff Directory'!$A$5:$A$594,0)),""))</f>
        <v>PSW</v>
      </c>
      <c r="E1631" s="19" t="str">
        <f>IF($B1631="","",IFERROR(INDEX('Staff Directory'!$D$5:$D$594,MATCH($B1631,'Staff Directory'!$A$5:$A$594,0)),""))</f>
        <v>A5</v>
      </c>
      <c r="F1631" s="9" t="s">
        <v>156</v>
      </c>
      <c r="G1631" s="18" t="str">
        <f>IF($F1631="","",IFERROR(INDEX(Items!$B$5:$B$597,MATCH($F1631,Items!$A$5:$A$597,0)),"⚠ not in Items"))</f>
        <v>Masks</v>
      </c>
      <c r="H1631" s="19" t="str">
        <f>IF($F1631="","",IFERROR(INDEX(Items!$C$5:$C$597,MATCH($F1631,Items!$A$5:$A$597,0)),""))</f>
        <v>One Size</v>
      </c>
      <c r="I1631" s="23">
        <f>IF($F1631="","",IFERROR(INDEX(Items!$E$5:$E$597,MATCH($F1631,Items!$A$5:$A$597,0)),""))</f>
        <v>50</v>
      </c>
      <c r="J1631" s="115">
        <f>IF(tblIssues[[#This Row],[Qty Override]]&lt;&gt;"",tblIssues[[#This Row],[Qty Override]],IF(tblIssues[[#This Row],[Standard Issue]]="","",tblIssues[[#This Row],[Standard Issue]]))</f>
        <v>50</v>
      </c>
      <c r="K1631" s="20">
        <f>IF($F1631="","",IFERROR(INDEX(Items!$D$5:$D$597,MATCH($F1631,Items!$A$5:$A$597,0)),""))</f>
        <v>0.25</v>
      </c>
      <c r="L1631" s="21">
        <f t="shared" si="283"/>
        <v>12.5</v>
      </c>
      <c r="M1631" s="9" t="str">
        <f t="shared" si="281"/>
        <v>24HA2050A7396</v>
      </c>
      <c r="N1631" s="24">
        <f>IF($A1631="","",WORKDAY($A1631,Settings!$C$9,HolidayDates))</f>
        <v>46217</v>
      </c>
      <c r="O1631" s="24">
        <f>IF($N1631="","",WORKDAY($N1631,Settings!$C$10,HolidayDates))</f>
        <v>46255</v>
      </c>
      <c r="P1631" s="10" t="s">
        <v>501</v>
      </c>
      <c r="Q1631" s="52" t="str">
        <f t="shared" si="284"/>
        <v>Collected</v>
      </c>
      <c r="R1631" s="55" t="str">
        <f t="shared" si="285"/>
        <v>2026-07</v>
      </c>
      <c r="S1631" s="55">
        <f>IF(OR($B1631="",$F1631="",$R1631=""),"",SUMIFS(tblIssues[Qty Issued],tblIssues[Staff ID],$B1631,tblIssues[Item Name],$F1631,tblIssues[Month],$R1631))</f>
        <v>50</v>
      </c>
      <c r="T1631" s="56">
        <f>IF($I1631="","",$I1631*Settings!$C$11)</f>
        <v>50</v>
      </c>
      <c r="U1631" s="57" t="str">
        <f t="shared" si="282"/>
        <v>OK</v>
      </c>
      <c r="V1631" s="55" t="str">
        <f t="shared" si="286"/>
        <v/>
      </c>
      <c r="W1631" s="55" t="str">
        <f>IF($V1631="","",IF(COUNTIF($V$5:$V1631,$V1631)=1,1,""))</f>
        <v/>
      </c>
      <c r="X1631" s="58" t="str">
        <f>IF($W1631="","",MAX($X$4:X1630)+1)</f>
        <v/>
      </c>
      <c r="Y1631" s="62"/>
      <c r="Z1631" s="62"/>
      <c r="AA1631" s="64" t="str">
        <f>IF($C1631="","",IFERROR(INDEX('Staff Directory'!$E$5:$E$594,MATCH($C1631,'Staff Directory'!$B$5:$B$594,0)),""))</f>
        <v>firstname150.lastname150@example.com</v>
      </c>
      <c r="AB1631" s="64" t="str">
        <f>IF($C1631="","",IF(ISNUMBER(SEARCH($D1631,Settings!$C$15)),"Pickup","Dispatch"))</f>
        <v>Pickup</v>
      </c>
      <c r="AC1631" s="64" t="str">
        <f t="shared" si="287"/>
        <v>Supply order ready for pickup</v>
      </c>
      <c r="AD1631" s="64" t="str">
        <f t="shared" si="278"/>
        <v>Dear PSW,
Your order is ready for pickup from Sample Branch, Wed-Fri 9am-4pm.</v>
      </c>
      <c r="AE1631" s="64" t="str">
        <f t="shared" si="279"/>
        <v>mailto:firstname150.lastname150@example.com?subject=Supply%20order%20ready%20for%20pickup&amp;body=Dear%20PSW%2C%0A%0AYour%20order%20is%20ready%20for%20pickup%20from%20Sample%20Branch%2C%20Wed-Fri%209am-4pm.</v>
      </c>
      <c r="AF1631" s="89" t="str">
        <f t="shared" si="288"/>
        <v>Draft email</v>
      </c>
      <c r="AG1631" s="64" t="str">
        <f>IF($C1631="","",IFERROR(INDEX('Staff Directory'!$K$595:$K$599,MATCH($C1631,'Staff Directory'!$B$5:$B$599,0)),$D1631))</f>
        <v>PSW</v>
      </c>
      <c r="AH1631" t="str">
        <f>IF($C1631="","",IFERROR(INDEX('Staff Directory'!$I$595:$I$599,MATCH($C1631,'Staff Directory'!$B$5:$B$599,0))&amp;" "&amp;INDEX('Staff Directory'!$J$595:$J$599,MATCH($C1631,'Staff Directory'!$B$5:$B$599,0)),$AG1631))</f>
        <v>PSW</v>
      </c>
      <c r="AI1631" s="102"/>
      <c r="AJ1631" s="101">
        <f>IF($F1631="","",SUMIFS($J$5:$J1631,$F$5:$F1631,$F1631))</f>
        <v>13300</v>
      </c>
      <c r="AK1631" s="101">
        <f t="shared" si="280"/>
        <v>13251</v>
      </c>
      <c r="AL1631" s="66" t="str" cm="1">
        <f t="array" ref="AL1631">IF($F1631="","",IFERROR(INDEX('Lot Balance'!$B$5:$B$500,MATCH(1,INDEX(('Lot Balance'!$A$5:$A$500=$F1631)*('Lot Balance'!$K$5:$K$500&lt;$AK1631)*('Lot Balance'!$K$5:$K$500+'Lot Balance'!$D$5:$D$500&gt;=$AK1631),0),0)),""))</f>
        <v>24HA2050A7396</v>
      </c>
      <c r="AM1631" s="66" t="str" cm="1">
        <f t="array" ref="AM1631">IF($F1631="","",IFERROR(INDEX('Lot Balance'!$B$5:$B$500,MATCH(1,INDEX(('Lot Balance'!$A$5:$A$500=$F1631)*('Lot Balance'!$K$5:$K$500&lt;$AJ1631)*('Lot Balance'!$K$5:$K$500+'Lot Balance'!$D$5:$D$500&gt;=$AJ1631),0),0)),""))</f>
        <v>24HA2050A7396</v>
      </c>
      <c r="AN1631" s="66" t="str">
        <f>IF($F1631="","",IF($AI1631&lt;&gt;"",IF(COUNTIFS('Lot Balance'!$A$5:$A$500,$F1631,'Lot Balance'!$B$5:$B$500,$AI1631)=0,"⚠ override is not a lot of this item",IF($AI1631=$AL1631,"Override = FEFO","Override - FEFO says "&amp;$AL1631)),IF($AL1631="","⚠ no receipt on file for this item",IF($AM1631&lt;&gt;$AL1631,"FEFO auto - split, also "&amp;$AM1631,"FEFO auto"))))</f>
        <v>FEFO auto</v>
      </c>
      <c r="AO1631" s="114"/>
    </row>
    <row r="1632" spans="1:41" x14ac:dyDescent="0.35">
      <c r="A1632" s="74">
        <v>46209</v>
      </c>
      <c r="B1632" s="18" t="str">
        <f>IF($C1632="","",IFERROR(INDEX('Staff Directory'!$A$5:$A$594,MATCH($C1632,'Staff Directory'!$B$5:$B$594,0)),"⚠ unknown staff"))</f>
        <v>PSW-179-TBD</v>
      </c>
      <c r="C1632" s="49" t="s">
        <v>1158</v>
      </c>
      <c r="D1632" s="19" t="str">
        <f>IF($B1632="","",IFERROR(INDEX('Staff Directory'!$C$5:$C$594,MATCH($B1632,'Staff Directory'!$A$5:$A$594,0)),""))</f>
        <v>PSW</v>
      </c>
      <c r="E1632" s="19">
        <f>IF($B1632="","",IFERROR(INDEX('Staff Directory'!$D$5:$D$594,MATCH($B1632,'Staff Directory'!$A$5:$A$594,0)),""))</f>
        <v>0</v>
      </c>
      <c r="F1632" s="9" t="s">
        <v>124</v>
      </c>
      <c r="G1632" s="18" t="str">
        <f>IF($F1632="","",IFERROR(INDEX(Items!$B$5:$B$597,MATCH($F1632,Items!$A$5:$A$597,0)),"⚠ not in Items"))</f>
        <v>Gloves</v>
      </c>
      <c r="H1632" s="19" t="str">
        <f>IF($F1632="","",IFERROR(INDEX(Items!$C$5:$C$597,MATCH($F1632,Items!$A$5:$A$597,0)),""))</f>
        <v>Large</v>
      </c>
      <c r="I1632" s="23">
        <f>IF($F1632="","",IFERROR(INDEX(Items!$E$5:$E$597,MATCH($F1632,Items!$A$5:$A$597,0)),""))</f>
        <v>500</v>
      </c>
      <c r="J1632" s="115">
        <f>IF(tblIssues[[#This Row],[Qty Override]]&lt;&gt;"",tblIssues[[#This Row],[Qty Override]],IF(tblIssues[[#This Row],[Standard Issue]]="","",tblIssues[[#This Row],[Standard Issue]]))</f>
        <v>500</v>
      </c>
      <c r="K1632" s="20">
        <f>IF($F1632="","",IFERROR(INDEX(Items!$D$5:$D$597,MATCH($F1632,Items!$A$5:$A$597,0)),""))</f>
        <v>5.5E-2</v>
      </c>
      <c r="L1632" s="21">
        <f t="shared" si="283"/>
        <v>27.5</v>
      </c>
      <c r="M1632" s="9" t="str">
        <f t="shared" si="281"/>
        <v>ZIM511139904-3</v>
      </c>
      <c r="N1632" s="24">
        <f>IF($A1632="","",WORKDAY($A1632,Settings!$C$9,HolidayDates))</f>
        <v>46217</v>
      </c>
      <c r="O1632" s="24">
        <f>IF($N1632="","",WORKDAY($N1632,Settings!$C$10,HolidayDates))</f>
        <v>46255</v>
      </c>
      <c r="P1632" s="10" t="s">
        <v>501</v>
      </c>
      <c r="Q1632" s="52" t="str">
        <f t="shared" si="284"/>
        <v>Collected</v>
      </c>
      <c r="R1632" s="55" t="str">
        <f t="shared" si="285"/>
        <v>2026-07</v>
      </c>
      <c r="S1632" s="55">
        <f>IF(OR($B1632="",$F1632="",$R1632=""),"",SUMIFS(tblIssues[Qty Issued],tblIssues[Staff ID],$B1632,tblIssues[Item Name],$F1632,tblIssues[Month],$R1632))</f>
        <v>500</v>
      </c>
      <c r="T1632" s="56">
        <f>IF($I1632="","",$I1632*Settings!$C$11)</f>
        <v>500</v>
      </c>
      <c r="U1632" s="57" t="str">
        <f t="shared" si="282"/>
        <v>OK</v>
      </c>
      <c r="V1632" s="55" t="str">
        <f t="shared" si="286"/>
        <v/>
      </c>
      <c r="W1632" s="55" t="str">
        <f>IF($V1632="","",IF(COUNTIF($V$5:$V1632,$V1632)=1,1,""))</f>
        <v/>
      </c>
      <c r="X1632" s="58" t="str">
        <f>IF($W1632="","",MAX($X$4:X1631)+1)</f>
        <v/>
      </c>
      <c r="Y1632" s="62"/>
      <c r="Z1632" s="62"/>
      <c r="AA1632" s="64" t="str">
        <f>IF($C1632="","",IFERROR(INDEX('Staff Directory'!$E$5:$E$594,MATCH($C1632,'Staff Directory'!$B$5:$B$594,0)),""))</f>
        <v>firstname242.lastname242@example.com</v>
      </c>
      <c r="AB1632" s="64" t="str">
        <f>IF($C1632="","",IF(ISNUMBER(SEARCH($D1632,Settings!$C$15)),"Pickup","Dispatch"))</f>
        <v>Pickup</v>
      </c>
      <c r="AC1632" s="64" t="str">
        <f t="shared" si="287"/>
        <v>Supply order ready for pickup</v>
      </c>
      <c r="AD1632" s="64" t="str">
        <f t="shared" si="278"/>
        <v>Dear PSW,
Your order is ready for pickup from Sample Branch, Wed-Fri 9am-4pm.</v>
      </c>
      <c r="AE1632" s="64" t="str">
        <f t="shared" si="279"/>
        <v>mailto:firstname242.lastname242@example.com?subject=Supply%20order%20ready%20for%20pickup&amp;body=Dear%20PSW%2C%0A%0AYour%20order%20is%20ready%20for%20pickup%20from%20Sample%20Branch%2C%20Wed-Fri%209am-4pm.</v>
      </c>
      <c r="AF1632" s="89" t="str">
        <f t="shared" si="288"/>
        <v>Draft email</v>
      </c>
      <c r="AG1632" s="64" t="str">
        <f>IF($C1632="","",IFERROR(INDEX('Staff Directory'!$K$595:$K$599,MATCH($C1632,'Staff Directory'!$B$5:$B$599,0)),$D1632))</f>
        <v>PSW</v>
      </c>
      <c r="AH1632" t="str">
        <f>IF($C1632="","",IFERROR(INDEX('Staff Directory'!$I$595:$I$599,MATCH($C1632,'Staff Directory'!$B$5:$B$599,0))&amp;" "&amp;INDEX('Staff Directory'!$J$595:$J$599,MATCH($C1632,'Staff Directory'!$B$5:$B$599,0)),$AG1632))</f>
        <v>PSW</v>
      </c>
      <c r="AI1632" s="102"/>
      <c r="AJ1632" s="101">
        <f>IF($F1632="","",SUMIFS($J$5:$J1632,$F$5:$F1632,$F1632))</f>
        <v>43500</v>
      </c>
      <c r="AK1632" s="101">
        <f t="shared" si="280"/>
        <v>43001</v>
      </c>
      <c r="AL1632" s="66" t="str" cm="1">
        <f t="array" ref="AL1632">IF($F1632="","",IFERROR(INDEX('Lot Balance'!$B$5:$B$500,MATCH(1,INDEX(('Lot Balance'!$A$5:$A$500=$F1632)*('Lot Balance'!$K$5:$K$500&lt;$AK1632)*('Lot Balance'!$K$5:$K$500+'Lot Balance'!$D$5:$D$500&gt;=$AK1632),0),0)),""))</f>
        <v>ZIM511139904-3</v>
      </c>
      <c r="AM1632" s="66" t="str" cm="1">
        <f t="array" ref="AM1632">IF($F1632="","",IFERROR(INDEX('Lot Balance'!$B$5:$B$500,MATCH(1,INDEX(('Lot Balance'!$A$5:$A$500=$F1632)*('Lot Balance'!$K$5:$K$500&lt;$AJ1632)*('Lot Balance'!$K$5:$K$500+'Lot Balance'!$D$5:$D$500&gt;=$AJ1632),0),0)),""))</f>
        <v>ZIM511139904-3</v>
      </c>
      <c r="AN1632" s="66" t="str">
        <f>IF($F1632="","",IF($AI1632&lt;&gt;"",IF(COUNTIFS('Lot Balance'!$A$5:$A$500,$F1632,'Lot Balance'!$B$5:$B$500,$AI1632)=0,"⚠ override is not a lot of this item",IF($AI1632=$AL1632,"Override = FEFO","Override - FEFO says "&amp;$AL1632)),IF($AL1632="","⚠ no receipt on file for this item",IF($AM1632&lt;&gt;$AL1632,"FEFO auto - split, also "&amp;$AM1632,"FEFO auto"))))</f>
        <v>FEFO auto</v>
      </c>
      <c r="AO1632" s="114"/>
    </row>
    <row r="1633" spans="1:41" x14ac:dyDescent="0.35">
      <c r="A1633" s="74">
        <v>46209</v>
      </c>
      <c r="B1633" s="18" t="str">
        <f>IF($C1633="","",IFERROR(INDEX('Staff Directory'!$A$5:$A$594,MATCH($C1633,'Staff Directory'!$B$5:$B$594,0)),"⚠ unknown staff"))</f>
        <v>PSW-179-TBD</v>
      </c>
      <c r="C1633" s="49" t="s">
        <v>1158</v>
      </c>
      <c r="D1633" s="19" t="str">
        <f>IF($B1633="","",IFERROR(INDEX('Staff Directory'!$C$5:$C$594,MATCH($B1633,'Staff Directory'!$A$5:$A$594,0)),""))</f>
        <v>PSW</v>
      </c>
      <c r="E1633" s="19">
        <f>IF($B1633="","",IFERROR(INDEX('Staff Directory'!$D$5:$D$594,MATCH($B1633,'Staff Directory'!$A$5:$A$594,0)),""))</f>
        <v>0</v>
      </c>
      <c r="F1633" s="9" t="s">
        <v>758</v>
      </c>
      <c r="G1633" s="18" t="str">
        <f>IF($F1633="","",IFERROR(INDEX(Items!$B$5:$B$597,MATCH($F1633,Items!$A$5:$A$597,0)),"⚠ not in Items"))</f>
        <v>Utility</v>
      </c>
      <c r="H1633" s="19" t="str">
        <f>IF($F1633="","",IFERROR(INDEX(Items!$C$5:$C$597,MATCH($F1633,Items!$A$5:$A$597,0)),""))</f>
        <v>Standard</v>
      </c>
      <c r="I1633" s="23">
        <f>IF($F1633="","",IFERROR(INDEX(Items!$E$5:$E$597,MATCH($F1633,Items!$A$5:$A$597,0)),""))</f>
        <v>1</v>
      </c>
      <c r="J1633" s="115">
        <f>IF(tblIssues[[#This Row],[Qty Override]]&lt;&gt;"",tblIssues[[#This Row],[Qty Override]],IF(tblIssues[[#This Row],[Standard Issue]]="","",tblIssues[[#This Row],[Standard Issue]]))</f>
        <v>1</v>
      </c>
      <c r="K1633" s="20">
        <f>IF($F1633="","",IFERROR(INDEX(Items!$D$5:$D$597,MATCH($F1633,Items!$A$5:$A$597,0)),""))</f>
        <v>0</v>
      </c>
      <c r="L1633" s="21">
        <f t="shared" si="283"/>
        <v>0</v>
      </c>
      <c r="M1633" s="9" t="str">
        <f t="shared" si="281"/>
        <v/>
      </c>
      <c r="N1633" s="24">
        <f>IF($A1633="","",WORKDAY($A1633,Settings!$C$9,HolidayDates))</f>
        <v>46217</v>
      </c>
      <c r="O1633" s="24">
        <f>IF($N1633="","",WORKDAY($N1633,Settings!$C$10,HolidayDates))</f>
        <v>46255</v>
      </c>
      <c r="P1633" s="10" t="s">
        <v>501</v>
      </c>
      <c r="Q1633" s="52" t="str">
        <f t="shared" si="284"/>
        <v>Collected</v>
      </c>
      <c r="R1633" s="55" t="str">
        <f t="shared" si="285"/>
        <v>2026-07</v>
      </c>
      <c r="S1633" s="55">
        <f>IF(OR($B1633="",$F1633="",$R1633=""),"",SUMIFS(tblIssues[Qty Issued],tblIssues[Staff ID],$B1633,tblIssues[Item Name],$F1633,tblIssues[Month],$R1633))</f>
        <v>1</v>
      </c>
      <c r="T1633" s="56">
        <f>IF($I1633="","",$I1633*Settings!$C$11)</f>
        <v>1</v>
      </c>
      <c r="U1633" s="57" t="str">
        <f t="shared" si="282"/>
        <v>OK</v>
      </c>
      <c r="V1633" s="55" t="str">
        <f t="shared" si="286"/>
        <v/>
      </c>
      <c r="W1633" s="55" t="str">
        <f>IF($V1633="","",IF(COUNTIF($V$5:$V1633,$V1633)=1,1,""))</f>
        <v/>
      </c>
      <c r="X1633" s="58" t="str">
        <f>IF($W1633="","",MAX($X$4:X1632)+1)</f>
        <v/>
      </c>
      <c r="Y1633" s="62"/>
      <c r="Z1633" s="62"/>
      <c r="AA1633" s="64" t="str">
        <f>IF($C1633="","",IFERROR(INDEX('Staff Directory'!$E$5:$E$594,MATCH($C1633,'Staff Directory'!$B$5:$B$594,0)),""))</f>
        <v>firstname242.lastname242@example.com</v>
      </c>
      <c r="AB1633" s="64" t="str">
        <f>IF($C1633="","",IF(ISNUMBER(SEARCH($D1633,Settings!$C$15)),"Pickup","Dispatch"))</f>
        <v>Pickup</v>
      </c>
      <c r="AC1633" s="64" t="str">
        <f t="shared" si="287"/>
        <v>Supply order ready for pickup</v>
      </c>
      <c r="AD1633" s="64" t="str">
        <f t="shared" si="278"/>
        <v>Dear PSW,
Your order is ready for pickup from Sample Branch, Wed-Fri 9am-4pm.</v>
      </c>
      <c r="AE1633" s="64" t="str">
        <f t="shared" si="279"/>
        <v>mailto:firstname242.lastname242@example.com?subject=Supply%20order%20ready%20for%20pickup&amp;body=Dear%20PSW%2C%0A%0AYour%20order%20is%20ready%20for%20pickup%20from%20Sample%20Branch%2C%20Wed-Fri%209am-4pm.</v>
      </c>
      <c r="AF1633" s="89" t="str">
        <f t="shared" si="288"/>
        <v>Draft email</v>
      </c>
      <c r="AG1633" s="64" t="str">
        <f>IF($C1633="","",IFERROR(INDEX('Staff Directory'!$K$595:$K$599,MATCH($C1633,'Staff Directory'!$B$5:$B$599,0)),$D1633))</f>
        <v>PSW</v>
      </c>
      <c r="AH1633" t="str">
        <f>IF($C1633="","",IFERROR(INDEX('Staff Directory'!$I$595:$I$599,MATCH($C1633,'Staff Directory'!$B$5:$B$599,0))&amp;" "&amp;INDEX('Staff Directory'!$J$595:$J$599,MATCH($C1633,'Staff Directory'!$B$5:$B$599,0)),$AG1633))</f>
        <v>PSW</v>
      </c>
      <c r="AI1633" s="102"/>
      <c r="AJ1633" s="101">
        <f>IF($F1633="","",SUMIFS($J$5:$J1633,$F$5:$F1633,$F1633))</f>
        <v>39</v>
      </c>
      <c r="AK1633" s="101">
        <f t="shared" si="280"/>
        <v>39</v>
      </c>
      <c r="AL1633" s="66" t="str" cm="1">
        <f t="array" ref="AL1633">IF($F1633="","",IFERROR(INDEX('Lot Balance'!$B$5:$B$500,MATCH(1,INDEX(('Lot Balance'!$A$5:$A$500=$F1633)*('Lot Balance'!$K$5:$K$500&lt;$AK1633)*('Lot Balance'!$K$5:$K$500+'Lot Balance'!$D$5:$D$500&gt;=$AK1633),0),0)),""))</f>
        <v/>
      </c>
      <c r="AM1633" s="66" t="str" cm="1">
        <f t="array" ref="AM1633">IF($F1633="","",IFERROR(INDEX('Lot Balance'!$B$5:$B$500,MATCH(1,INDEX(('Lot Balance'!$A$5:$A$500=$F1633)*('Lot Balance'!$K$5:$K$500&lt;$AJ1633)*('Lot Balance'!$K$5:$K$500+'Lot Balance'!$D$5:$D$500&gt;=$AJ1633),0),0)),""))</f>
        <v/>
      </c>
      <c r="AN1633" s="66" t="str">
        <f>IF($F1633="","",IF($AI1633&lt;&gt;"",IF(COUNTIFS('Lot Balance'!$A$5:$A$500,$F1633,'Lot Balance'!$B$5:$B$500,$AI1633)=0,"⚠ override is not a lot of this item",IF($AI1633=$AL1633,"Override = FEFO","Override - FEFO says "&amp;$AL1633)),IF($AL1633="","⚠ no receipt on file for this item",IF($AM1633&lt;&gt;$AL1633,"FEFO auto - split, also "&amp;$AM1633,"FEFO auto"))))</f>
        <v>⚠ no receipt on file for this item</v>
      </c>
      <c r="AO1633" s="114"/>
    </row>
    <row r="1634" spans="1:41" x14ac:dyDescent="0.35">
      <c r="A1634" s="74">
        <v>46209</v>
      </c>
      <c r="B1634" s="18" t="str">
        <f>IF($C1634="","",IFERROR(INDEX('Staff Directory'!$A$5:$A$594,MATCH($C1634,'Staff Directory'!$B$5:$B$594,0)),"⚠ unknown staff"))</f>
        <v>PSW-066-A5</v>
      </c>
      <c r="C1634" s="49" t="s">
        <v>1042</v>
      </c>
      <c r="D1634" s="19" t="str">
        <f>IF($B1634="","",IFERROR(INDEX('Staff Directory'!$C$5:$C$594,MATCH($B1634,'Staff Directory'!$A$5:$A$594,0)),""))</f>
        <v>PSW</v>
      </c>
      <c r="E1634" s="19" t="str">
        <f>IF($B1634="","",IFERROR(INDEX('Staff Directory'!$D$5:$D$594,MATCH($B1634,'Staff Directory'!$A$5:$A$594,0)),""))</f>
        <v>A5</v>
      </c>
      <c r="F1634" s="9" t="s">
        <v>129</v>
      </c>
      <c r="G1634" s="18" t="str">
        <f>IF($F1634="","",IFERROR(INDEX(Items!$B$5:$B$597,MATCH($F1634,Items!$A$5:$A$597,0)),"⚠ not in Items"))</f>
        <v>Gloves</v>
      </c>
      <c r="H1634" s="19" t="str">
        <f>IF($F1634="","",IFERROR(INDEX(Items!$C$5:$C$597,MATCH($F1634,Items!$A$5:$A$597,0)),""))</f>
        <v>Small</v>
      </c>
      <c r="I1634" s="23">
        <f>IF($F1634="","",IFERROR(INDEX(Items!$E$5:$E$597,MATCH($F1634,Items!$A$5:$A$597,0)),""))</f>
        <v>500</v>
      </c>
      <c r="J1634" s="115">
        <f>IF(tblIssues[[#This Row],[Qty Override]]&lt;&gt;"",tblIssues[[#This Row],[Qty Override]],IF(tblIssues[[#This Row],[Standard Issue]]="","",tblIssues[[#This Row],[Standard Issue]]))</f>
        <v>500</v>
      </c>
      <c r="K1634" s="20">
        <f>IF($F1634="","",IFERROR(INDEX(Items!$D$5:$D$597,MATCH($F1634,Items!$A$5:$A$597,0)),""))</f>
        <v>5.5E-2</v>
      </c>
      <c r="L1634" s="21">
        <f t="shared" si="283"/>
        <v>27.5</v>
      </c>
      <c r="M1634" s="9" t="str">
        <f t="shared" si="281"/>
        <v>ZIM510137942</v>
      </c>
      <c r="N1634" s="24">
        <f>IF($A1634="","",WORKDAY($A1634,Settings!$C$9,HolidayDates))</f>
        <v>46217</v>
      </c>
      <c r="O1634" s="24">
        <f>IF($N1634="","",WORKDAY($N1634,Settings!$C$10,HolidayDates))</f>
        <v>46255</v>
      </c>
      <c r="P1634" s="10" t="s">
        <v>501</v>
      </c>
      <c r="Q1634" s="52" t="str">
        <f t="shared" si="284"/>
        <v>Collected</v>
      </c>
      <c r="R1634" s="55" t="str">
        <f t="shared" si="285"/>
        <v>2026-07</v>
      </c>
      <c r="S1634" s="55">
        <f>IF(OR($B1634="",$F1634="",$R1634=""),"",SUMIFS(tblIssues[Qty Issued],tblIssues[Staff ID],$B1634,tblIssues[Item Name],$F1634,tblIssues[Month],$R1634))</f>
        <v>500</v>
      </c>
      <c r="T1634" s="56">
        <f>IF($I1634="","",$I1634*Settings!$C$11)</f>
        <v>500</v>
      </c>
      <c r="U1634" s="57" t="str">
        <f t="shared" si="282"/>
        <v>OK</v>
      </c>
      <c r="V1634" s="55" t="str">
        <f t="shared" si="286"/>
        <v/>
      </c>
      <c r="W1634" s="55" t="str">
        <f>IF($V1634="","",IF(COUNTIF($V$5:$V1634,$V1634)=1,1,""))</f>
        <v/>
      </c>
      <c r="X1634" s="58" t="str">
        <f>IF($W1634="","",MAX($X$4:X1633)+1)</f>
        <v/>
      </c>
      <c r="Y1634" s="62"/>
      <c r="Z1634" s="62"/>
      <c r="AA1634" s="64" t="str">
        <f>IF($C1634="","",IFERROR(INDEX('Staff Directory'!$E$5:$E$594,MATCH($C1634,'Staff Directory'!$B$5:$B$594,0)),""))</f>
        <v>firstname126.lastname126@example.com</v>
      </c>
      <c r="AB1634" s="64" t="str">
        <f>IF($C1634="","",IF(ISNUMBER(SEARCH($D1634,Settings!$C$15)),"Pickup","Dispatch"))</f>
        <v>Pickup</v>
      </c>
      <c r="AC1634" s="64" t="str">
        <f t="shared" si="287"/>
        <v>Supply order ready for pickup</v>
      </c>
      <c r="AD1634" s="64" t="str">
        <f t="shared" si="278"/>
        <v>Dear PSW,
Your order is ready for pickup from Sample Branch, Wed-Fri 9am-4pm.</v>
      </c>
      <c r="AE1634" s="64" t="str">
        <f t="shared" si="279"/>
        <v>mailto:firstname126.lastname126@example.com?subject=Supply%20order%20ready%20for%20pickup&amp;body=Dear%20PSW%2C%0A%0AYour%20order%20is%20ready%20for%20pickup%20from%20Sample%20Branch%2C%20Wed-Fri%209am-4pm.</v>
      </c>
      <c r="AF1634" s="89" t="str">
        <f t="shared" si="288"/>
        <v>Draft email</v>
      </c>
      <c r="AG1634" s="64" t="str">
        <f>IF($C1634="","",IFERROR(INDEX('Staff Directory'!$K$595:$K$599,MATCH($C1634,'Staff Directory'!$B$5:$B$599,0)),$D1634))</f>
        <v>PSW</v>
      </c>
      <c r="AH1634" t="str">
        <f>IF($C1634="","",IFERROR(INDEX('Staff Directory'!$I$595:$I$599,MATCH($C1634,'Staff Directory'!$B$5:$B$599,0))&amp;" "&amp;INDEX('Staff Directory'!$J$595:$J$599,MATCH($C1634,'Staff Directory'!$B$5:$B$599,0)),$AG1634))</f>
        <v>PSW</v>
      </c>
      <c r="AI1634" s="102"/>
      <c r="AJ1634" s="101">
        <f>IF($F1634="","",SUMIFS($J$5:$J1634,$F$5:$F1634,$F1634))</f>
        <v>48500</v>
      </c>
      <c r="AK1634" s="101">
        <f t="shared" si="280"/>
        <v>48001</v>
      </c>
      <c r="AL1634" s="66" t="str" cm="1">
        <f t="array" ref="AL1634">IF($F1634="","",IFERROR(INDEX('Lot Balance'!$B$5:$B$500,MATCH(1,INDEX(('Lot Balance'!$A$5:$A$500=$F1634)*('Lot Balance'!$K$5:$K$500&lt;$AK1634)*('Lot Balance'!$K$5:$K$500+'Lot Balance'!$D$5:$D$500&gt;=$AK1634),0),0)),""))</f>
        <v>ZIM510137942</v>
      </c>
      <c r="AM1634" s="66" t="str" cm="1">
        <f t="array" ref="AM1634">IF($F1634="","",IFERROR(INDEX('Lot Balance'!$B$5:$B$500,MATCH(1,INDEX(('Lot Balance'!$A$5:$A$500=$F1634)*('Lot Balance'!$K$5:$K$500&lt;$AJ1634)*('Lot Balance'!$K$5:$K$500+'Lot Balance'!$D$5:$D$500&gt;=$AJ1634),0),0)),""))</f>
        <v>ZIM510137942</v>
      </c>
      <c r="AN1634" s="66" t="str">
        <f>IF($F1634="","",IF($AI1634&lt;&gt;"",IF(COUNTIFS('Lot Balance'!$A$5:$A$500,$F1634,'Lot Balance'!$B$5:$B$500,$AI1634)=0,"⚠ override is not a lot of this item",IF($AI1634=$AL1634,"Override = FEFO","Override - FEFO says "&amp;$AL1634)),IF($AL1634="","⚠ no receipt on file for this item",IF($AM1634&lt;&gt;$AL1634,"FEFO auto - split, also "&amp;$AM1634,"FEFO auto"))))</f>
        <v>FEFO auto</v>
      </c>
      <c r="AO1634" s="114"/>
    </row>
    <row r="1635" spans="1:41" x14ac:dyDescent="0.35">
      <c r="A1635" s="74">
        <v>46209</v>
      </c>
      <c r="B1635" s="18" t="str">
        <f>IF($C1635="","",IFERROR(INDEX('Staff Directory'!$A$5:$A$594,MATCH($C1635,'Staff Directory'!$B$5:$B$594,0)),"⚠ unknown staff"))</f>
        <v>PSW-066-A5</v>
      </c>
      <c r="C1635" s="49" t="s">
        <v>1042</v>
      </c>
      <c r="D1635" s="19" t="str">
        <f>IF($B1635="","",IFERROR(INDEX('Staff Directory'!$C$5:$C$594,MATCH($B1635,'Staff Directory'!$A$5:$A$594,0)),""))</f>
        <v>PSW</v>
      </c>
      <c r="E1635" s="19" t="str">
        <f>IF($B1635="","",IFERROR(INDEX('Staff Directory'!$D$5:$D$594,MATCH($B1635,'Staff Directory'!$A$5:$A$594,0)),""))</f>
        <v>A5</v>
      </c>
      <c r="F1635" s="9" t="s">
        <v>758</v>
      </c>
      <c r="G1635" s="18" t="str">
        <f>IF($F1635="","",IFERROR(INDEX(Items!$B$5:$B$597,MATCH($F1635,Items!$A$5:$A$597,0)),"⚠ not in Items"))</f>
        <v>Utility</v>
      </c>
      <c r="H1635" s="19" t="str">
        <f>IF($F1635="","",IFERROR(INDEX(Items!$C$5:$C$597,MATCH($F1635,Items!$A$5:$A$597,0)),""))</f>
        <v>Standard</v>
      </c>
      <c r="I1635" s="23">
        <f>IF($F1635="","",IFERROR(INDEX(Items!$E$5:$E$597,MATCH($F1635,Items!$A$5:$A$597,0)),""))</f>
        <v>1</v>
      </c>
      <c r="J1635" s="115">
        <f>IF(tblIssues[[#This Row],[Qty Override]]&lt;&gt;"",tblIssues[[#This Row],[Qty Override]],IF(tblIssues[[#This Row],[Standard Issue]]="","",tblIssues[[#This Row],[Standard Issue]]))</f>
        <v>1</v>
      </c>
      <c r="K1635" s="20">
        <f>IF($F1635="","",IFERROR(INDEX(Items!$D$5:$D$597,MATCH($F1635,Items!$A$5:$A$597,0)),""))</f>
        <v>0</v>
      </c>
      <c r="L1635" s="21">
        <f t="shared" si="283"/>
        <v>0</v>
      </c>
      <c r="M1635" s="9" t="str">
        <f t="shared" si="281"/>
        <v/>
      </c>
      <c r="N1635" s="24">
        <f>IF($A1635="","",WORKDAY($A1635,Settings!$C$9,HolidayDates))</f>
        <v>46217</v>
      </c>
      <c r="O1635" s="24">
        <f>IF($N1635="","",WORKDAY($N1635,Settings!$C$10,HolidayDates))</f>
        <v>46255</v>
      </c>
      <c r="P1635" s="10" t="s">
        <v>501</v>
      </c>
      <c r="Q1635" s="52" t="str">
        <f t="shared" si="284"/>
        <v>Collected</v>
      </c>
      <c r="R1635" s="55" t="str">
        <f t="shared" si="285"/>
        <v>2026-07</v>
      </c>
      <c r="S1635" s="55">
        <f>IF(OR($B1635="",$F1635="",$R1635=""),"",SUMIFS(tblIssues[Qty Issued],tblIssues[Staff ID],$B1635,tblIssues[Item Name],$F1635,tblIssues[Month],$R1635))</f>
        <v>1</v>
      </c>
      <c r="T1635" s="56">
        <f>IF($I1635="","",$I1635*Settings!$C$11)</f>
        <v>1</v>
      </c>
      <c r="U1635" s="57" t="str">
        <f t="shared" si="282"/>
        <v>OK</v>
      </c>
      <c r="V1635" s="55" t="str">
        <f t="shared" si="286"/>
        <v/>
      </c>
      <c r="W1635" s="55" t="str">
        <f>IF($V1635="","",IF(COUNTIF($V$5:$V1635,$V1635)=1,1,""))</f>
        <v/>
      </c>
      <c r="X1635" s="58" t="str">
        <f>IF($W1635="","",MAX($X$4:X1634)+1)</f>
        <v/>
      </c>
      <c r="Y1635" s="62"/>
      <c r="Z1635" s="62"/>
      <c r="AA1635" s="64" t="str">
        <f>IF($C1635="","",IFERROR(INDEX('Staff Directory'!$E$5:$E$594,MATCH($C1635,'Staff Directory'!$B$5:$B$594,0)),""))</f>
        <v>firstname126.lastname126@example.com</v>
      </c>
      <c r="AB1635" s="64" t="str">
        <f>IF($C1635="","",IF(ISNUMBER(SEARCH($D1635,Settings!$C$15)),"Pickup","Dispatch"))</f>
        <v>Pickup</v>
      </c>
      <c r="AC1635" s="64" t="str">
        <f t="shared" si="287"/>
        <v>Supply order ready for pickup</v>
      </c>
      <c r="AD1635" s="64" t="str">
        <f t="shared" si="278"/>
        <v>Dear PSW,
Your order is ready for pickup from Sample Branch, Wed-Fri 9am-4pm.</v>
      </c>
      <c r="AE1635" s="64" t="str">
        <f t="shared" si="279"/>
        <v>mailto:firstname126.lastname126@example.com?subject=Supply%20order%20ready%20for%20pickup&amp;body=Dear%20PSW%2C%0A%0AYour%20order%20is%20ready%20for%20pickup%20from%20Sample%20Branch%2C%20Wed-Fri%209am-4pm.</v>
      </c>
      <c r="AF1635" s="89" t="str">
        <f t="shared" si="288"/>
        <v>Draft email</v>
      </c>
      <c r="AG1635" s="64" t="str">
        <f>IF($C1635="","",IFERROR(INDEX('Staff Directory'!$K$595:$K$599,MATCH($C1635,'Staff Directory'!$B$5:$B$599,0)),$D1635))</f>
        <v>PSW</v>
      </c>
      <c r="AH1635" t="str">
        <f>IF($C1635="","",IFERROR(INDEX('Staff Directory'!$I$595:$I$599,MATCH($C1635,'Staff Directory'!$B$5:$B$599,0))&amp;" "&amp;INDEX('Staff Directory'!$J$595:$J$599,MATCH($C1635,'Staff Directory'!$B$5:$B$599,0)),$AG1635))</f>
        <v>PSW</v>
      </c>
      <c r="AI1635" s="102"/>
      <c r="AJ1635" s="101">
        <f>IF($F1635="","",SUMIFS($J$5:$J1635,$F$5:$F1635,$F1635))</f>
        <v>40</v>
      </c>
      <c r="AK1635" s="101">
        <f t="shared" si="280"/>
        <v>40</v>
      </c>
      <c r="AL1635" s="66" t="str" cm="1">
        <f t="array" ref="AL1635">IF($F1635="","",IFERROR(INDEX('Lot Balance'!$B$5:$B$500,MATCH(1,INDEX(('Lot Balance'!$A$5:$A$500=$F1635)*('Lot Balance'!$K$5:$K$500&lt;$AK1635)*('Lot Balance'!$K$5:$K$500+'Lot Balance'!$D$5:$D$500&gt;=$AK1635),0),0)),""))</f>
        <v/>
      </c>
      <c r="AM1635" s="66" t="str" cm="1">
        <f t="array" ref="AM1635">IF($F1635="","",IFERROR(INDEX('Lot Balance'!$B$5:$B$500,MATCH(1,INDEX(('Lot Balance'!$A$5:$A$500=$F1635)*('Lot Balance'!$K$5:$K$500&lt;$AJ1635)*('Lot Balance'!$K$5:$K$500+'Lot Balance'!$D$5:$D$500&gt;=$AJ1635),0),0)),""))</f>
        <v/>
      </c>
      <c r="AN1635" s="66" t="str">
        <f>IF($F1635="","",IF($AI1635&lt;&gt;"",IF(COUNTIFS('Lot Balance'!$A$5:$A$500,$F1635,'Lot Balance'!$B$5:$B$500,$AI1635)=0,"⚠ override is not a lot of this item",IF($AI1635=$AL1635,"Override = FEFO","Override - FEFO says "&amp;$AL1635)),IF($AL1635="","⚠ no receipt on file for this item",IF($AM1635&lt;&gt;$AL1635,"FEFO auto - split, also "&amp;$AM1635,"FEFO auto"))))</f>
        <v>⚠ no receipt on file for this item</v>
      </c>
      <c r="AO1635" s="114"/>
    </row>
    <row r="1636" spans="1:41" x14ac:dyDescent="0.35">
      <c r="A1636" s="74">
        <v>46209</v>
      </c>
      <c r="B1636" s="18" t="str">
        <f>IF($C1636="","",IFERROR(INDEX('Staff Directory'!$A$5:$A$594,MATCH($C1636,'Staff Directory'!$B$5:$B$594,0)),"⚠ unknown staff"))</f>
        <v>PSW-177-TBD</v>
      </c>
      <c r="C1636" s="49" t="s">
        <v>1156</v>
      </c>
      <c r="D1636" s="19" t="str">
        <f>IF($B1636="","",IFERROR(INDEX('Staff Directory'!$C$5:$C$594,MATCH($B1636,'Staff Directory'!$A$5:$A$594,0)),""))</f>
        <v>PSW</v>
      </c>
      <c r="E1636" s="19">
        <f>IF($B1636="","",IFERROR(INDEX('Staff Directory'!$D$5:$D$594,MATCH($B1636,'Staff Directory'!$A$5:$A$594,0)),""))</f>
        <v>0</v>
      </c>
      <c r="F1636" s="9" t="s">
        <v>127</v>
      </c>
      <c r="G1636" s="18" t="str">
        <f>IF($F1636="","",IFERROR(INDEX(Items!$B$5:$B$597,MATCH($F1636,Items!$A$5:$A$597,0)),"⚠ not in Items"))</f>
        <v>Gloves</v>
      </c>
      <c r="H1636" s="19" t="str">
        <f>IF($F1636="","",IFERROR(INDEX(Items!$C$5:$C$597,MATCH($F1636,Items!$A$5:$A$597,0)),""))</f>
        <v>Medium</v>
      </c>
      <c r="I1636" s="23">
        <f>IF($F1636="","",IFERROR(INDEX(Items!$E$5:$E$597,MATCH($F1636,Items!$A$5:$A$597,0)),""))</f>
        <v>500</v>
      </c>
      <c r="J1636" s="115">
        <f>IF(tblIssues[[#This Row],[Qty Override]]&lt;&gt;"",tblIssues[[#This Row],[Qty Override]],IF(tblIssues[[#This Row],[Standard Issue]]="","",tblIssues[[#This Row],[Standard Issue]]))</f>
        <v>500</v>
      </c>
      <c r="K1636" s="20">
        <f>IF($F1636="","",IFERROR(INDEX(Items!$D$5:$D$597,MATCH($F1636,Items!$A$5:$A$597,0)),""))</f>
        <v>5.5E-2</v>
      </c>
      <c r="L1636" s="21">
        <f t="shared" si="283"/>
        <v>27.5</v>
      </c>
      <c r="M1636" s="9" t="str">
        <f t="shared" si="281"/>
        <v>ZIM510137962-2</v>
      </c>
      <c r="N1636" s="24">
        <f>IF($A1636="","",WORKDAY($A1636,Settings!$C$9,HolidayDates))</f>
        <v>46217</v>
      </c>
      <c r="O1636" s="24">
        <f>IF($N1636="","",WORKDAY($N1636,Settings!$C$10,HolidayDates))</f>
        <v>46255</v>
      </c>
      <c r="P1636" s="10" t="s">
        <v>501</v>
      </c>
      <c r="Q1636" s="52" t="str">
        <f t="shared" si="284"/>
        <v>Collected</v>
      </c>
      <c r="R1636" s="55" t="str">
        <f t="shared" si="285"/>
        <v>2026-07</v>
      </c>
      <c r="S1636" s="55">
        <f>IF(OR($B1636="",$F1636="",$R1636=""),"",SUMIFS(tblIssues[Qty Issued],tblIssues[Staff ID],$B1636,tblIssues[Item Name],$F1636,tblIssues[Month],$R1636))</f>
        <v>500</v>
      </c>
      <c r="T1636" s="56">
        <f>IF($I1636="","",$I1636*Settings!$C$11)</f>
        <v>500</v>
      </c>
      <c r="U1636" s="57" t="str">
        <f t="shared" si="282"/>
        <v>OK</v>
      </c>
      <c r="V1636" s="55" t="str">
        <f t="shared" si="286"/>
        <v/>
      </c>
      <c r="W1636" s="55" t="str">
        <f>IF($V1636="","",IF(COUNTIF($V$5:$V1636,$V1636)=1,1,""))</f>
        <v/>
      </c>
      <c r="X1636" s="58" t="str">
        <f>IF($W1636="","",MAX($X$4:X1635)+1)</f>
        <v/>
      </c>
      <c r="Y1636" s="62"/>
      <c r="Z1636" s="62"/>
      <c r="AA1636" s="64" t="str">
        <f>IF($C1636="","",IFERROR(INDEX('Staff Directory'!$E$5:$E$594,MATCH($C1636,'Staff Directory'!$B$5:$B$594,0)),""))</f>
        <v>firstname240.lastname240@example.com</v>
      </c>
      <c r="AB1636" s="64" t="str">
        <f>IF($C1636="","",IF(ISNUMBER(SEARCH($D1636,Settings!$C$15)),"Pickup","Dispatch"))</f>
        <v>Pickup</v>
      </c>
      <c r="AC1636" s="64" t="str">
        <f t="shared" si="287"/>
        <v>Supply order ready for pickup</v>
      </c>
      <c r="AD1636" s="64" t="str">
        <f t="shared" si="278"/>
        <v>Dear PSW,
Your order is ready for pickup from Sample Branch, Wed-Fri 9am-4pm.</v>
      </c>
      <c r="AE1636" s="64" t="str">
        <f t="shared" si="279"/>
        <v>mailto:firstname240.lastname240@example.com?subject=Supply%20order%20ready%20for%20pickup&amp;body=Dear%20PSW%2C%0A%0AYour%20order%20is%20ready%20for%20pickup%20from%20Sample%20Branch%2C%20Wed-Fri%209am-4pm.</v>
      </c>
      <c r="AF1636" s="89" t="str">
        <f t="shared" si="288"/>
        <v>Draft email</v>
      </c>
      <c r="AG1636" s="64" t="str">
        <f>IF($C1636="","",IFERROR(INDEX('Staff Directory'!$K$595:$K$599,MATCH($C1636,'Staff Directory'!$B$5:$B$599,0)),$D1636))</f>
        <v>PSW</v>
      </c>
      <c r="AH1636" t="str">
        <f>IF($C1636="","",IFERROR(INDEX('Staff Directory'!$I$595:$I$599,MATCH($C1636,'Staff Directory'!$B$5:$B$599,0))&amp;" "&amp;INDEX('Staff Directory'!$J$595:$J$599,MATCH($C1636,'Staff Directory'!$B$5:$B$599,0)),$AG1636))</f>
        <v>PSW</v>
      </c>
      <c r="AI1636" s="102"/>
      <c r="AJ1636" s="101">
        <f>IF($F1636="","",SUMIFS($J$5:$J1636,$F$5:$F1636,$F1636))</f>
        <v>96500</v>
      </c>
      <c r="AK1636" s="101">
        <f t="shared" si="280"/>
        <v>96001</v>
      </c>
      <c r="AL1636" s="66" t="str" cm="1">
        <f t="array" ref="AL1636">IF($F1636="","",IFERROR(INDEX('Lot Balance'!$B$5:$B$500,MATCH(1,INDEX(('Lot Balance'!$A$5:$A$500=$F1636)*('Lot Balance'!$K$5:$K$500&lt;$AK1636)*('Lot Balance'!$K$5:$K$500+'Lot Balance'!$D$5:$D$500&gt;=$AK1636),0),0)),""))</f>
        <v>ZIM510137962-2</v>
      </c>
      <c r="AM1636" s="66" t="str" cm="1">
        <f t="array" ref="AM1636">IF($F1636="","",IFERROR(INDEX('Lot Balance'!$B$5:$B$500,MATCH(1,INDEX(('Lot Balance'!$A$5:$A$500=$F1636)*('Lot Balance'!$K$5:$K$500&lt;$AJ1636)*('Lot Balance'!$K$5:$K$500+'Lot Balance'!$D$5:$D$500&gt;=$AJ1636),0),0)),""))</f>
        <v>ZIM510137962-2</v>
      </c>
      <c r="AN1636" s="66" t="str">
        <f>IF($F1636="","",IF($AI1636&lt;&gt;"",IF(COUNTIFS('Lot Balance'!$A$5:$A$500,$F1636,'Lot Balance'!$B$5:$B$500,$AI1636)=0,"⚠ override is not a lot of this item",IF($AI1636=$AL1636,"Override = FEFO","Override - FEFO says "&amp;$AL1636)),IF($AL1636="","⚠ no receipt on file for this item",IF($AM1636&lt;&gt;$AL1636,"FEFO auto - split, also "&amp;$AM1636,"FEFO auto"))))</f>
        <v>FEFO auto</v>
      </c>
      <c r="AO1636" s="114"/>
    </row>
    <row r="1637" spans="1:41" x14ac:dyDescent="0.35">
      <c r="A1637" s="74">
        <v>46209</v>
      </c>
      <c r="B1637" s="18" t="str">
        <f>IF($C1637="","",IFERROR(INDEX('Staff Directory'!$A$5:$A$594,MATCH($C1637,'Staff Directory'!$B$5:$B$594,0)),"⚠ unknown staff"))</f>
        <v>PSW-177-TBD</v>
      </c>
      <c r="C1637" s="49" t="s">
        <v>1156</v>
      </c>
      <c r="D1637" s="19" t="str">
        <f>IF($B1637="","",IFERROR(INDEX('Staff Directory'!$C$5:$C$594,MATCH($B1637,'Staff Directory'!$A$5:$A$594,0)),""))</f>
        <v>PSW</v>
      </c>
      <c r="E1637" s="19">
        <f>IF($B1637="","",IFERROR(INDEX('Staff Directory'!$D$5:$D$594,MATCH($B1637,'Staff Directory'!$A$5:$A$594,0)),""))</f>
        <v>0</v>
      </c>
      <c r="F1637" s="9" t="s">
        <v>115</v>
      </c>
      <c r="G1637" s="18" t="str">
        <f>IF($F1637="","",IFERROR(INDEX(Items!$B$5:$B$597,MATCH($F1637,Items!$A$5:$A$597,0)),"⚠ not in Items"))</f>
        <v>Wipes</v>
      </c>
      <c r="H1637" s="19">
        <f>IF($F1637="","",IFERROR(INDEX(Items!$C$5:$C$597,MATCH($F1637,Items!$A$5:$A$597,0)),""))</f>
        <v>80</v>
      </c>
      <c r="I1637" s="23">
        <f>IF($F1637="","",IFERROR(INDEX(Items!$E$5:$E$597,MATCH($F1637,Items!$A$5:$A$597,0)),""))</f>
        <v>80</v>
      </c>
      <c r="J1637" s="115">
        <f>IF(tblIssues[[#This Row],[Qty Override]]&lt;&gt;"",tblIssues[[#This Row],[Qty Override]],IF(tblIssues[[#This Row],[Standard Issue]]="","",tblIssues[[#This Row],[Standard Issue]]))</f>
        <v>80</v>
      </c>
      <c r="K1637" s="20">
        <f>IF($F1637="","",IFERROR(INDEX(Items!$D$5:$D$597,MATCH($F1637,Items!$A$5:$A$597,0)),""))</f>
        <v>0.1</v>
      </c>
      <c r="L1637" s="21">
        <f t="shared" si="283"/>
        <v>8</v>
      </c>
      <c r="M1637" s="9" t="str">
        <f t="shared" si="281"/>
        <v>LYSL500290</v>
      </c>
      <c r="N1637" s="24">
        <f>IF($A1637="","",WORKDAY($A1637,Settings!$C$9,HolidayDates))</f>
        <v>46217</v>
      </c>
      <c r="O1637" s="24">
        <f>IF($N1637="","",WORKDAY($N1637,Settings!$C$10,HolidayDates))</f>
        <v>46255</v>
      </c>
      <c r="P1637" s="10" t="s">
        <v>501</v>
      </c>
      <c r="Q1637" s="52" t="str">
        <f t="shared" si="284"/>
        <v>Collected</v>
      </c>
      <c r="R1637" s="55" t="str">
        <f t="shared" si="285"/>
        <v>2026-07</v>
      </c>
      <c r="S1637" s="55">
        <f>IF(OR($B1637="",$F1637="",$R1637=""),"",SUMIFS(tblIssues[Qty Issued],tblIssues[Staff ID],$B1637,tblIssues[Item Name],$F1637,tblIssues[Month],$R1637))</f>
        <v>80</v>
      </c>
      <c r="T1637" s="56">
        <f>IF($I1637="","",$I1637*Settings!$C$11)</f>
        <v>80</v>
      </c>
      <c r="U1637" s="57" t="str">
        <f t="shared" si="282"/>
        <v>OK</v>
      </c>
      <c r="V1637" s="55" t="str">
        <f t="shared" si="286"/>
        <v/>
      </c>
      <c r="W1637" s="55" t="str">
        <f>IF($V1637="","",IF(COUNTIF($V$5:$V1637,$V1637)=1,1,""))</f>
        <v/>
      </c>
      <c r="X1637" s="58" t="str">
        <f>IF($W1637="","",MAX($X$4:X1636)+1)</f>
        <v/>
      </c>
      <c r="Y1637" s="62"/>
      <c r="Z1637" s="62"/>
      <c r="AA1637" s="64" t="str">
        <f>IF($C1637="","",IFERROR(INDEX('Staff Directory'!$E$5:$E$594,MATCH($C1637,'Staff Directory'!$B$5:$B$594,0)),""))</f>
        <v>firstname240.lastname240@example.com</v>
      </c>
      <c r="AB1637" s="64" t="str">
        <f>IF($C1637="","",IF(ISNUMBER(SEARCH($D1637,Settings!$C$15)),"Pickup","Dispatch"))</f>
        <v>Pickup</v>
      </c>
      <c r="AC1637" s="64" t="str">
        <f t="shared" si="287"/>
        <v>Supply order ready for pickup</v>
      </c>
      <c r="AD1637" s="64" t="str">
        <f t="shared" si="278"/>
        <v>Dear PSW,
Your order is ready for pickup from Sample Branch, Wed-Fri 9am-4pm.</v>
      </c>
      <c r="AE1637" s="64" t="str">
        <f t="shared" si="279"/>
        <v>mailto:firstname240.lastname240@example.com?subject=Supply%20order%20ready%20for%20pickup&amp;body=Dear%20PSW%2C%0A%0AYour%20order%20is%20ready%20for%20pickup%20from%20Sample%20Branch%2C%20Wed-Fri%209am-4pm.</v>
      </c>
      <c r="AF1637" s="89" t="str">
        <f t="shared" si="288"/>
        <v>Draft email</v>
      </c>
      <c r="AG1637" s="64" t="str">
        <f>IF($C1637="","",IFERROR(INDEX('Staff Directory'!$K$595:$K$599,MATCH($C1637,'Staff Directory'!$B$5:$B$599,0)),$D1637))</f>
        <v>PSW</v>
      </c>
      <c r="AH1637" t="str">
        <f>IF($C1637="","",IFERROR(INDEX('Staff Directory'!$I$595:$I$599,MATCH($C1637,'Staff Directory'!$B$5:$B$599,0))&amp;" "&amp;INDEX('Staff Directory'!$J$595:$J$599,MATCH($C1637,'Staff Directory'!$B$5:$B$599,0)),$AG1637))</f>
        <v>PSW</v>
      </c>
      <c r="AI1637" s="102"/>
      <c r="AJ1637" s="101">
        <f>IF($F1637="","",SUMIFS($J$5:$J1637,$F$5:$F1637,$F1637))</f>
        <v>21920</v>
      </c>
      <c r="AK1637" s="101">
        <f t="shared" si="280"/>
        <v>21841</v>
      </c>
      <c r="AL1637" s="66" t="str" cm="1">
        <f t="array" ref="AL1637">IF($F1637="","",IFERROR(INDEX('Lot Balance'!$B$5:$B$500,MATCH(1,INDEX(('Lot Balance'!$A$5:$A$500=$F1637)*('Lot Balance'!$K$5:$K$500&lt;$AK1637)*('Lot Balance'!$K$5:$K$500+'Lot Balance'!$D$5:$D$500&gt;=$AK1637),0),0)),""))</f>
        <v>LYSL500290</v>
      </c>
      <c r="AM1637" s="66" t="str" cm="1">
        <f t="array" ref="AM1637">IF($F1637="","",IFERROR(INDEX('Lot Balance'!$B$5:$B$500,MATCH(1,INDEX(('Lot Balance'!$A$5:$A$500=$F1637)*('Lot Balance'!$K$5:$K$500&lt;$AJ1637)*('Lot Balance'!$K$5:$K$500+'Lot Balance'!$D$5:$D$500&gt;=$AJ1637),0),0)),""))</f>
        <v>LYSL500290</v>
      </c>
      <c r="AN1637" s="66" t="str">
        <f>IF($F1637="","",IF($AI1637&lt;&gt;"",IF(COUNTIFS('Lot Balance'!$A$5:$A$500,$F1637,'Lot Balance'!$B$5:$B$500,$AI1637)=0,"⚠ override is not a lot of this item",IF($AI1637=$AL1637,"Override = FEFO","Override - FEFO says "&amp;$AL1637)),IF($AL1637="","⚠ no receipt on file for this item",IF($AM1637&lt;&gt;$AL1637,"FEFO auto - split, also "&amp;$AM1637,"FEFO auto"))))</f>
        <v>FEFO auto</v>
      </c>
      <c r="AO1637" s="114"/>
    </row>
    <row r="1638" spans="1:41" x14ac:dyDescent="0.35">
      <c r="A1638" s="74">
        <v>46209</v>
      </c>
      <c r="B1638" s="18" t="str">
        <f>IF($C1638="","",IFERROR(INDEX('Staff Directory'!$A$5:$A$594,MATCH($C1638,'Staff Directory'!$B$5:$B$594,0)),"⚠ unknown staff"))</f>
        <v>PSW-177-TBD</v>
      </c>
      <c r="C1638" s="49" t="s">
        <v>1156</v>
      </c>
      <c r="D1638" s="19" t="str">
        <f>IF($B1638="","",IFERROR(INDEX('Staff Directory'!$C$5:$C$594,MATCH($B1638,'Staff Directory'!$A$5:$A$594,0)),""))</f>
        <v>PSW</v>
      </c>
      <c r="E1638" s="19">
        <f>IF($B1638="","",IFERROR(INDEX('Staff Directory'!$D$5:$D$594,MATCH($B1638,'Staff Directory'!$A$5:$A$594,0)),""))</f>
        <v>0</v>
      </c>
      <c r="F1638" s="9" t="s">
        <v>156</v>
      </c>
      <c r="G1638" s="18" t="str">
        <f>IF($F1638="","",IFERROR(INDEX(Items!$B$5:$B$597,MATCH($F1638,Items!$A$5:$A$597,0)),"⚠ not in Items"))</f>
        <v>Masks</v>
      </c>
      <c r="H1638" s="19" t="str">
        <f>IF($F1638="","",IFERROR(INDEX(Items!$C$5:$C$597,MATCH($F1638,Items!$A$5:$A$597,0)),""))</f>
        <v>One Size</v>
      </c>
      <c r="I1638" s="23">
        <f>IF($F1638="","",IFERROR(INDEX(Items!$E$5:$E$597,MATCH($F1638,Items!$A$5:$A$597,0)),""))</f>
        <v>50</v>
      </c>
      <c r="J1638" s="115">
        <f>IF(tblIssues[[#This Row],[Qty Override]]&lt;&gt;"",tblIssues[[#This Row],[Qty Override]],IF(tblIssues[[#This Row],[Standard Issue]]="","",tblIssues[[#This Row],[Standard Issue]]))</f>
        <v>50</v>
      </c>
      <c r="K1638" s="20">
        <f>IF($F1638="","",IFERROR(INDEX(Items!$D$5:$D$597,MATCH($F1638,Items!$A$5:$A$597,0)),""))</f>
        <v>0.25</v>
      </c>
      <c r="L1638" s="21">
        <f t="shared" si="283"/>
        <v>12.5</v>
      </c>
      <c r="M1638" s="9" t="str">
        <f t="shared" si="281"/>
        <v>24HA2050A7396</v>
      </c>
      <c r="N1638" s="24">
        <f>IF($A1638="","",WORKDAY($A1638,Settings!$C$9,HolidayDates))</f>
        <v>46217</v>
      </c>
      <c r="O1638" s="24">
        <f>IF($N1638="","",WORKDAY($N1638,Settings!$C$10,HolidayDates))</f>
        <v>46255</v>
      </c>
      <c r="P1638" s="10" t="s">
        <v>501</v>
      </c>
      <c r="Q1638" s="52" t="str">
        <f t="shared" si="284"/>
        <v>Collected</v>
      </c>
      <c r="R1638" s="55" t="str">
        <f t="shared" si="285"/>
        <v>2026-07</v>
      </c>
      <c r="S1638" s="55">
        <f>IF(OR($B1638="",$F1638="",$R1638=""),"",SUMIFS(tblIssues[Qty Issued],tblIssues[Staff ID],$B1638,tblIssues[Item Name],$F1638,tblIssues[Month],$R1638))</f>
        <v>50</v>
      </c>
      <c r="T1638" s="56">
        <f>IF($I1638="","",$I1638*Settings!$C$11)</f>
        <v>50</v>
      </c>
      <c r="U1638" s="57" t="str">
        <f t="shared" si="282"/>
        <v>OK</v>
      </c>
      <c r="V1638" s="55" t="str">
        <f t="shared" si="286"/>
        <v/>
      </c>
      <c r="W1638" s="55" t="str">
        <f>IF($V1638="","",IF(COUNTIF($V$5:$V1638,$V1638)=1,1,""))</f>
        <v/>
      </c>
      <c r="X1638" s="58" t="str">
        <f>IF($W1638="","",MAX($X$4:X1637)+1)</f>
        <v/>
      </c>
      <c r="Y1638" s="62"/>
      <c r="Z1638" s="62"/>
      <c r="AA1638" s="64" t="str">
        <f>IF($C1638="","",IFERROR(INDEX('Staff Directory'!$E$5:$E$594,MATCH($C1638,'Staff Directory'!$B$5:$B$594,0)),""))</f>
        <v>firstname240.lastname240@example.com</v>
      </c>
      <c r="AB1638" s="64" t="str">
        <f>IF($C1638="","",IF(ISNUMBER(SEARCH($D1638,Settings!$C$15)),"Pickup","Dispatch"))</f>
        <v>Pickup</v>
      </c>
      <c r="AC1638" s="64" t="str">
        <f t="shared" si="287"/>
        <v>Supply order ready for pickup</v>
      </c>
      <c r="AD1638" s="64" t="str">
        <f t="shared" si="278"/>
        <v>Dear PSW,
Your order is ready for pickup from Sample Branch, Wed-Fri 9am-4pm.</v>
      </c>
      <c r="AE1638" s="64" t="str">
        <f t="shared" si="279"/>
        <v>mailto:firstname240.lastname240@example.com?subject=Supply%20order%20ready%20for%20pickup&amp;body=Dear%20PSW%2C%0A%0AYour%20order%20is%20ready%20for%20pickup%20from%20Sample%20Branch%2C%20Wed-Fri%209am-4pm.</v>
      </c>
      <c r="AF1638" s="89" t="str">
        <f t="shared" si="288"/>
        <v>Draft email</v>
      </c>
      <c r="AG1638" s="64" t="str">
        <f>IF($C1638="","",IFERROR(INDEX('Staff Directory'!$K$595:$K$599,MATCH($C1638,'Staff Directory'!$B$5:$B$599,0)),$D1638))</f>
        <v>PSW</v>
      </c>
      <c r="AH1638" t="str">
        <f>IF($C1638="","",IFERROR(INDEX('Staff Directory'!$I$595:$I$599,MATCH($C1638,'Staff Directory'!$B$5:$B$599,0))&amp;" "&amp;INDEX('Staff Directory'!$J$595:$J$599,MATCH($C1638,'Staff Directory'!$B$5:$B$599,0)),$AG1638))</f>
        <v>PSW</v>
      </c>
      <c r="AI1638" s="102"/>
      <c r="AJ1638" s="101">
        <f>IF($F1638="","",SUMIFS($J$5:$J1638,$F$5:$F1638,$F1638))</f>
        <v>13350</v>
      </c>
      <c r="AK1638" s="101">
        <f t="shared" si="280"/>
        <v>13301</v>
      </c>
      <c r="AL1638" s="66" t="str" cm="1">
        <f t="array" ref="AL1638">IF($F1638="","",IFERROR(INDEX('Lot Balance'!$B$5:$B$500,MATCH(1,INDEX(('Lot Balance'!$A$5:$A$500=$F1638)*('Lot Balance'!$K$5:$K$500&lt;$AK1638)*('Lot Balance'!$K$5:$K$500+'Lot Balance'!$D$5:$D$500&gt;=$AK1638),0),0)),""))</f>
        <v>24HA2050A7396</v>
      </c>
      <c r="AM1638" s="66" t="str" cm="1">
        <f t="array" ref="AM1638">IF($F1638="","",IFERROR(INDEX('Lot Balance'!$B$5:$B$500,MATCH(1,INDEX(('Lot Balance'!$A$5:$A$500=$F1638)*('Lot Balance'!$K$5:$K$500&lt;$AJ1638)*('Lot Balance'!$K$5:$K$500+'Lot Balance'!$D$5:$D$500&gt;=$AJ1638),0),0)),""))</f>
        <v>24HA2050A7396</v>
      </c>
      <c r="AN1638" s="66" t="str">
        <f>IF($F1638="","",IF($AI1638&lt;&gt;"",IF(COUNTIFS('Lot Balance'!$A$5:$A$500,$F1638,'Lot Balance'!$B$5:$B$500,$AI1638)=0,"⚠ override is not a lot of this item",IF($AI1638=$AL1638,"Override = FEFO","Override - FEFO says "&amp;$AL1638)),IF($AL1638="","⚠ no receipt on file for this item",IF($AM1638&lt;&gt;$AL1638,"FEFO auto - split, also "&amp;$AM1638,"FEFO auto"))))</f>
        <v>FEFO auto</v>
      </c>
      <c r="AO1638" s="114"/>
    </row>
    <row r="1639" spans="1:41" x14ac:dyDescent="0.35">
      <c r="A1639" s="74">
        <v>46209</v>
      </c>
      <c r="B1639" s="18" t="str">
        <f>IF($C1639="","",IFERROR(INDEX('Staff Directory'!$A$5:$A$594,MATCH($C1639,'Staff Directory'!$B$5:$B$594,0)),"⚠ unknown staff"))</f>
        <v>PSW-177-TBD</v>
      </c>
      <c r="C1639" s="49" t="s">
        <v>1156</v>
      </c>
      <c r="D1639" s="19" t="str">
        <f>IF($B1639="","",IFERROR(INDEX('Staff Directory'!$C$5:$C$594,MATCH($B1639,'Staff Directory'!$A$5:$A$594,0)),""))</f>
        <v>PSW</v>
      </c>
      <c r="E1639" s="19">
        <f>IF($B1639="","",IFERROR(INDEX('Staff Directory'!$D$5:$D$594,MATCH($B1639,'Staff Directory'!$A$5:$A$594,0)),""))</f>
        <v>0</v>
      </c>
      <c r="F1639" s="9" t="s">
        <v>758</v>
      </c>
      <c r="G1639" s="18" t="str">
        <f>IF($F1639="","",IFERROR(INDEX(Items!$B$5:$B$597,MATCH($F1639,Items!$A$5:$A$597,0)),"⚠ not in Items"))</f>
        <v>Utility</v>
      </c>
      <c r="H1639" s="19" t="str">
        <f>IF($F1639="","",IFERROR(INDEX(Items!$C$5:$C$597,MATCH($F1639,Items!$A$5:$A$597,0)),""))</f>
        <v>Standard</v>
      </c>
      <c r="I1639" s="23">
        <f>IF($F1639="","",IFERROR(INDEX(Items!$E$5:$E$597,MATCH($F1639,Items!$A$5:$A$597,0)),""))</f>
        <v>1</v>
      </c>
      <c r="J1639" s="115">
        <f>IF(tblIssues[[#This Row],[Qty Override]]&lt;&gt;"",tblIssues[[#This Row],[Qty Override]],IF(tblIssues[[#This Row],[Standard Issue]]="","",tblIssues[[#This Row],[Standard Issue]]))</f>
        <v>1</v>
      </c>
      <c r="K1639" s="20">
        <f>IF($F1639="","",IFERROR(INDEX(Items!$D$5:$D$597,MATCH($F1639,Items!$A$5:$A$597,0)),""))</f>
        <v>0</v>
      </c>
      <c r="L1639" s="21">
        <f t="shared" si="283"/>
        <v>0</v>
      </c>
      <c r="M1639" s="9" t="str">
        <f t="shared" si="281"/>
        <v/>
      </c>
      <c r="N1639" s="24">
        <f>IF($A1639="","",WORKDAY($A1639,Settings!$C$9,HolidayDates))</f>
        <v>46217</v>
      </c>
      <c r="O1639" s="24">
        <f>IF($N1639="","",WORKDAY($N1639,Settings!$C$10,HolidayDates))</f>
        <v>46255</v>
      </c>
      <c r="P1639" s="10" t="s">
        <v>501</v>
      </c>
      <c r="Q1639" s="52" t="str">
        <f t="shared" si="284"/>
        <v>Collected</v>
      </c>
      <c r="R1639" s="55" t="str">
        <f t="shared" si="285"/>
        <v>2026-07</v>
      </c>
      <c r="S1639" s="55">
        <f>IF(OR($B1639="",$F1639="",$R1639=""),"",SUMIFS(tblIssues[Qty Issued],tblIssues[Staff ID],$B1639,tblIssues[Item Name],$F1639,tblIssues[Month],$R1639))</f>
        <v>1</v>
      </c>
      <c r="T1639" s="56">
        <f>IF($I1639="","",$I1639*Settings!$C$11)</f>
        <v>1</v>
      </c>
      <c r="U1639" s="57" t="str">
        <f t="shared" si="282"/>
        <v>OK</v>
      </c>
      <c r="V1639" s="55" t="str">
        <f t="shared" si="286"/>
        <v/>
      </c>
      <c r="W1639" s="55" t="str">
        <f>IF($V1639="","",IF(COUNTIF($V$5:$V1639,$V1639)=1,1,""))</f>
        <v/>
      </c>
      <c r="X1639" s="58" t="str">
        <f>IF($W1639="","",MAX($X$4:X1638)+1)</f>
        <v/>
      </c>
      <c r="Y1639" s="62"/>
      <c r="Z1639" s="62"/>
      <c r="AA1639" s="64" t="str">
        <f>IF($C1639="","",IFERROR(INDEX('Staff Directory'!$E$5:$E$594,MATCH($C1639,'Staff Directory'!$B$5:$B$594,0)),""))</f>
        <v>firstname240.lastname240@example.com</v>
      </c>
      <c r="AB1639" s="64" t="str">
        <f>IF($C1639="","",IF(ISNUMBER(SEARCH($D1639,Settings!$C$15)),"Pickup","Dispatch"))</f>
        <v>Pickup</v>
      </c>
      <c r="AC1639" s="64" t="str">
        <f t="shared" si="287"/>
        <v>Supply order ready for pickup</v>
      </c>
      <c r="AD1639" s="64" t="str">
        <f t="shared" si="278"/>
        <v>Dear PSW,
Your order is ready for pickup from Sample Branch, Wed-Fri 9am-4pm.</v>
      </c>
      <c r="AE1639" s="64" t="str">
        <f t="shared" si="279"/>
        <v>mailto:firstname240.lastname240@example.com?subject=Supply%20order%20ready%20for%20pickup&amp;body=Dear%20PSW%2C%0A%0AYour%20order%20is%20ready%20for%20pickup%20from%20Sample%20Branch%2C%20Wed-Fri%209am-4pm.</v>
      </c>
      <c r="AF1639" s="89" t="str">
        <f t="shared" si="288"/>
        <v>Draft email</v>
      </c>
      <c r="AG1639" s="64" t="str">
        <f>IF($C1639="","",IFERROR(INDEX('Staff Directory'!$K$595:$K$599,MATCH($C1639,'Staff Directory'!$B$5:$B$599,0)),$D1639))</f>
        <v>PSW</v>
      </c>
      <c r="AH1639" t="str">
        <f>IF($C1639="","",IFERROR(INDEX('Staff Directory'!$I$595:$I$599,MATCH($C1639,'Staff Directory'!$B$5:$B$599,0))&amp;" "&amp;INDEX('Staff Directory'!$J$595:$J$599,MATCH($C1639,'Staff Directory'!$B$5:$B$599,0)),$AG1639))</f>
        <v>PSW</v>
      </c>
      <c r="AI1639" s="102"/>
      <c r="AJ1639" s="101">
        <f>IF($F1639="","",SUMIFS($J$5:$J1639,$F$5:$F1639,$F1639))</f>
        <v>41</v>
      </c>
      <c r="AK1639" s="101">
        <f t="shared" si="280"/>
        <v>41</v>
      </c>
      <c r="AL1639" s="66" t="str" cm="1">
        <f t="array" ref="AL1639">IF($F1639="","",IFERROR(INDEX('Lot Balance'!$B$5:$B$500,MATCH(1,INDEX(('Lot Balance'!$A$5:$A$500=$F1639)*('Lot Balance'!$K$5:$K$500&lt;$AK1639)*('Lot Balance'!$K$5:$K$500+'Lot Balance'!$D$5:$D$500&gt;=$AK1639),0),0)),""))</f>
        <v/>
      </c>
      <c r="AM1639" s="66" t="str" cm="1">
        <f t="array" ref="AM1639">IF($F1639="","",IFERROR(INDEX('Lot Balance'!$B$5:$B$500,MATCH(1,INDEX(('Lot Balance'!$A$5:$A$500=$F1639)*('Lot Balance'!$K$5:$K$500&lt;$AJ1639)*('Lot Balance'!$K$5:$K$500+'Lot Balance'!$D$5:$D$500&gt;=$AJ1639),0),0)),""))</f>
        <v/>
      </c>
      <c r="AN1639" s="66" t="str">
        <f>IF($F1639="","",IF($AI1639&lt;&gt;"",IF(COUNTIFS('Lot Balance'!$A$5:$A$500,$F1639,'Lot Balance'!$B$5:$B$500,$AI1639)=0,"⚠ override is not a lot of this item",IF($AI1639=$AL1639,"Override = FEFO","Override - FEFO says "&amp;$AL1639)),IF($AL1639="","⚠ no receipt on file for this item",IF($AM1639&lt;&gt;$AL1639,"FEFO auto - split, also "&amp;$AM1639,"FEFO auto"))))</f>
        <v>⚠ no receipt on file for this item</v>
      </c>
      <c r="AO1639" s="114"/>
    </row>
    <row r="1640" spans="1:41" x14ac:dyDescent="0.35">
      <c r="A1640" s="74">
        <v>46209</v>
      </c>
      <c r="B1640" s="18" t="str">
        <f>IF($C1640="","",IFERROR(INDEX('Staff Directory'!$A$5:$A$594,MATCH($C1640,'Staff Directory'!$B$5:$B$594,0)),"⚠ unknown staff"))</f>
        <v>PSW-144-A6</v>
      </c>
      <c r="C1640" s="49" t="s">
        <v>1123</v>
      </c>
      <c r="D1640" s="19" t="str">
        <f>IF($B1640="","",IFERROR(INDEX('Staff Directory'!$C$5:$C$594,MATCH($B1640,'Staff Directory'!$A$5:$A$594,0)),""))</f>
        <v>PSW</v>
      </c>
      <c r="E1640" s="19" t="str">
        <f>IF($B1640="","",IFERROR(INDEX('Staff Directory'!$D$5:$D$594,MATCH($B1640,'Staff Directory'!$A$5:$A$594,0)),""))</f>
        <v>A6</v>
      </c>
      <c r="F1640" s="9" t="s">
        <v>129</v>
      </c>
      <c r="G1640" s="18" t="str">
        <f>IF($F1640="","",IFERROR(INDEX(Items!$B$5:$B$597,MATCH($F1640,Items!$A$5:$A$597,0)),"⚠ not in Items"))</f>
        <v>Gloves</v>
      </c>
      <c r="H1640" s="19" t="str">
        <f>IF($F1640="","",IFERROR(INDEX(Items!$C$5:$C$597,MATCH($F1640,Items!$A$5:$A$597,0)),""))</f>
        <v>Small</v>
      </c>
      <c r="I1640" s="23">
        <f>IF($F1640="","",IFERROR(INDEX(Items!$E$5:$E$597,MATCH($F1640,Items!$A$5:$A$597,0)),""))</f>
        <v>500</v>
      </c>
      <c r="J1640" s="115">
        <f>IF(tblIssues[[#This Row],[Qty Override]]&lt;&gt;"",tblIssues[[#This Row],[Qty Override]],IF(tblIssues[[#This Row],[Standard Issue]]="","",tblIssues[[#This Row],[Standard Issue]]))</f>
        <v>500</v>
      </c>
      <c r="K1640" s="20">
        <f>IF($F1640="","",IFERROR(INDEX(Items!$D$5:$D$597,MATCH($F1640,Items!$A$5:$A$597,0)),""))</f>
        <v>5.5E-2</v>
      </c>
      <c r="L1640" s="21">
        <f t="shared" si="283"/>
        <v>27.5</v>
      </c>
      <c r="M1640" s="9" t="str">
        <f t="shared" si="281"/>
        <v>ZIM510137942</v>
      </c>
      <c r="N1640" s="24">
        <f>IF($A1640="","",WORKDAY($A1640,Settings!$C$9,HolidayDates))</f>
        <v>46217</v>
      </c>
      <c r="O1640" s="24">
        <f>IF($N1640="","",WORKDAY($N1640,Settings!$C$10,HolidayDates))</f>
        <v>46255</v>
      </c>
      <c r="P1640" s="10" t="s">
        <v>501</v>
      </c>
      <c r="Q1640" s="52" t="str">
        <f t="shared" si="284"/>
        <v>Collected</v>
      </c>
      <c r="R1640" s="55" t="str">
        <f t="shared" si="285"/>
        <v>2026-07</v>
      </c>
      <c r="S1640" s="55">
        <f>IF(OR($B1640="",$F1640="",$R1640=""),"",SUMIFS(tblIssues[Qty Issued],tblIssues[Staff ID],$B1640,tblIssues[Item Name],$F1640,tblIssues[Month],$R1640))</f>
        <v>500</v>
      </c>
      <c r="T1640" s="56">
        <f>IF($I1640="","",$I1640*Settings!$C$11)</f>
        <v>500</v>
      </c>
      <c r="U1640" s="57" t="str">
        <f t="shared" si="282"/>
        <v>OK</v>
      </c>
      <c r="V1640" s="55" t="str">
        <f t="shared" si="286"/>
        <v/>
      </c>
      <c r="W1640" s="55" t="str">
        <f>IF($V1640="","",IF(COUNTIF($V$5:$V1640,$V1640)=1,1,""))</f>
        <v/>
      </c>
      <c r="X1640" s="58" t="str">
        <f>IF($W1640="","",MAX($X$4:X1639)+1)</f>
        <v/>
      </c>
      <c r="Y1640" s="62"/>
      <c r="Z1640" s="62"/>
      <c r="AA1640" s="64" t="str">
        <f>IF($C1640="","",IFERROR(INDEX('Staff Directory'!$E$5:$E$594,MATCH($C1640,'Staff Directory'!$B$5:$B$594,0)),""))</f>
        <v>firstname207.lastname207@example.com</v>
      </c>
      <c r="AB1640" s="64" t="str">
        <f>IF($C1640="","",IF(ISNUMBER(SEARCH($D1640,Settings!$C$15)),"Pickup","Dispatch"))</f>
        <v>Pickup</v>
      </c>
      <c r="AC1640" s="64" t="str">
        <f t="shared" si="287"/>
        <v>Supply order ready for pickup</v>
      </c>
      <c r="AD1640" s="64" t="str">
        <f t="shared" si="278"/>
        <v>Dear PSW,
Your order is ready for pickup from Sample Branch, Wed-Fri 9am-4pm.</v>
      </c>
      <c r="AE1640" s="64" t="str">
        <f t="shared" si="279"/>
        <v>mailto:firstname207.lastname207@example.com?subject=Supply%20order%20ready%20for%20pickup&amp;body=Dear%20PSW%2C%0A%0AYour%20order%20is%20ready%20for%20pickup%20from%20Sample%20Branch%2C%20Wed-Fri%209am-4pm.</v>
      </c>
      <c r="AF1640" s="89" t="str">
        <f t="shared" si="288"/>
        <v>Draft email</v>
      </c>
      <c r="AG1640" s="64" t="str">
        <f>IF($C1640="","",IFERROR(INDEX('Staff Directory'!$K$595:$K$599,MATCH($C1640,'Staff Directory'!$B$5:$B$599,0)),$D1640))</f>
        <v>PSW</v>
      </c>
      <c r="AH1640" t="str">
        <f>IF($C1640="","",IFERROR(INDEX('Staff Directory'!$I$595:$I$599,MATCH($C1640,'Staff Directory'!$B$5:$B$599,0))&amp;" "&amp;INDEX('Staff Directory'!$J$595:$J$599,MATCH($C1640,'Staff Directory'!$B$5:$B$599,0)),$AG1640))</f>
        <v>PSW</v>
      </c>
      <c r="AI1640" s="102"/>
      <c r="AJ1640" s="101">
        <f>IF($F1640="","",SUMIFS($J$5:$J1640,$F$5:$F1640,$F1640))</f>
        <v>49000</v>
      </c>
      <c r="AK1640" s="101">
        <f t="shared" si="280"/>
        <v>48501</v>
      </c>
      <c r="AL1640" s="66" t="str" cm="1">
        <f t="array" ref="AL1640">IF($F1640="","",IFERROR(INDEX('Lot Balance'!$B$5:$B$500,MATCH(1,INDEX(('Lot Balance'!$A$5:$A$500=$F1640)*('Lot Balance'!$K$5:$K$500&lt;$AK1640)*('Lot Balance'!$K$5:$K$500+'Lot Balance'!$D$5:$D$500&gt;=$AK1640),0),0)),""))</f>
        <v>ZIM510137942</v>
      </c>
      <c r="AM1640" s="66" t="str" cm="1">
        <f t="array" ref="AM1640">IF($F1640="","",IFERROR(INDEX('Lot Balance'!$B$5:$B$500,MATCH(1,INDEX(('Lot Balance'!$A$5:$A$500=$F1640)*('Lot Balance'!$K$5:$K$500&lt;$AJ1640)*('Lot Balance'!$K$5:$K$500+'Lot Balance'!$D$5:$D$500&gt;=$AJ1640),0),0)),""))</f>
        <v>ZIM510137942</v>
      </c>
      <c r="AN1640" s="66" t="str">
        <f>IF($F1640="","",IF($AI1640&lt;&gt;"",IF(COUNTIFS('Lot Balance'!$A$5:$A$500,$F1640,'Lot Balance'!$B$5:$B$500,$AI1640)=0,"⚠ override is not a lot of this item",IF($AI1640=$AL1640,"Override = FEFO","Override - FEFO says "&amp;$AL1640)),IF($AL1640="","⚠ no receipt on file for this item",IF($AM1640&lt;&gt;$AL1640,"FEFO auto - split, also "&amp;$AM1640,"FEFO auto"))))</f>
        <v>FEFO auto</v>
      </c>
      <c r="AO1640" s="114"/>
    </row>
    <row r="1641" spans="1:41" x14ac:dyDescent="0.35">
      <c r="A1641" s="74">
        <v>46209</v>
      </c>
      <c r="B1641" s="18" t="str">
        <f>IF($C1641="","",IFERROR(INDEX('Staff Directory'!$A$5:$A$594,MATCH($C1641,'Staff Directory'!$B$5:$B$594,0)),"⚠ unknown staff"))</f>
        <v>PSW-144-A6</v>
      </c>
      <c r="C1641" s="49" t="s">
        <v>1123</v>
      </c>
      <c r="D1641" s="19" t="str">
        <f>IF($B1641="","",IFERROR(INDEX('Staff Directory'!$C$5:$C$594,MATCH($B1641,'Staff Directory'!$A$5:$A$594,0)),""))</f>
        <v>PSW</v>
      </c>
      <c r="E1641" s="19" t="str">
        <f>IF($B1641="","",IFERROR(INDEX('Staff Directory'!$D$5:$D$594,MATCH($B1641,'Staff Directory'!$A$5:$A$594,0)),""))</f>
        <v>A6</v>
      </c>
      <c r="F1641" s="9" t="s">
        <v>115</v>
      </c>
      <c r="G1641" s="18" t="str">
        <f>IF($F1641="","",IFERROR(INDEX(Items!$B$5:$B$597,MATCH($F1641,Items!$A$5:$A$597,0)),"⚠ not in Items"))</f>
        <v>Wipes</v>
      </c>
      <c r="H1641" s="19">
        <f>IF($F1641="","",IFERROR(INDEX(Items!$C$5:$C$597,MATCH($F1641,Items!$A$5:$A$597,0)),""))</f>
        <v>80</v>
      </c>
      <c r="I1641" s="23">
        <f>IF($F1641="","",IFERROR(INDEX(Items!$E$5:$E$597,MATCH($F1641,Items!$A$5:$A$597,0)),""))</f>
        <v>80</v>
      </c>
      <c r="J1641" s="115">
        <f>IF(tblIssues[[#This Row],[Qty Override]]&lt;&gt;"",tblIssues[[#This Row],[Qty Override]],IF(tblIssues[[#This Row],[Standard Issue]]="","",tblIssues[[#This Row],[Standard Issue]]))</f>
        <v>80</v>
      </c>
      <c r="K1641" s="20">
        <f>IF($F1641="","",IFERROR(INDEX(Items!$D$5:$D$597,MATCH($F1641,Items!$A$5:$A$597,0)),""))</f>
        <v>0.1</v>
      </c>
      <c r="L1641" s="21">
        <f t="shared" si="283"/>
        <v>8</v>
      </c>
      <c r="M1641" s="9" t="str">
        <f t="shared" si="281"/>
        <v>LYSL500290</v>
      </c>
      <c r="N1641" s="24">
        <f>IF($A1641="","",WORKDAY($A1641,Settings!$C$9,HolidayDates))</f>
        <v>46217</v>
      </c>
      <c r="O1641" s="24">
        <f>IF($N1641="","",WORKDAY($N1641,Settings!$C$10,HolidayDates))</f>
        <v>46255</v>
      </c>
      <c r="P1641" s="10" t="s">
        <v>501</v>
      </c>
      <c r="Q1641" s="52" t="str">
        <f t="shared" si="284"/>
        <v>Collected</v>
      </c>
      <c r="R1641" s="55" t="str">
        <f t="shared" si="285"/>
        <v>2026-07</v>
      </c>
      <c r="S1641" s="55">
        <f>IF(OR($B1641="",$F1641="",$R1641=""),"",SUMIFS(tblIssues[Qty Issued],tblIssues[Staff ID],$B1641,tblIssues[Item Name],$F1641,tblIssues[Month],$R1641))</f>
        <v>80</v>
      </c>
      <c r="T1641" s="56">
        <f>IF($I1641="","",$I1641*Settings!$C$11)</f>
        <v>80</v>
      </c>
      <c r="U1641" s="57" t="str">
        <f t="shared" si="282"/>
        <v>OK</v>
      </c>
      <c r="V1641" s="55" t="str">
        <f t="shared" si="286"/>
        <v/>
      </c>
      <c r="W1641" s="55" t="str">
        <f>IF($V1641="","",IF(COUNTIF($V$5:$V1641,$V1641)=1,1,""))</f>
        <v/>
      </c>
      <c r="X1641" s="58" t="str">
        <f>IF($W1641="","",MAX($X$4:X1640)+1)</f>
        <v/>
      </c>
      <c r="Y1641" s="62"/>
      <c r="Z1641" s="62"/>
      <c r="AA1641" s="64" t="str">
        <f>IF($C1641="","",IFERROR(INDEX('Staff Directory'!$E$5:$E$594,MATCH($C1641,'Staff Directory'!$B$5:$B$594,0)),""))</f>
        <v>firstname207.lastname207@example.com</v>
      </c>
      <c r="AB1641" s="64" t="str">
        <f>IF($C1641="","",IF(ISNUMBER(SEARCH($D1641,Settings!$C$15)),"Pickup","Dispatch"))</f>
        <v>Pickup</v>
      </c>
      <c r="AC1641" s="64" t="str">
        <f t="shared" si="287"/>
        <v>Supply order ready for pickup</v>
      </c>
      <c r="AD1641" s="64" t="str">
        <f t="shared" si="278"/>
        <v>Dear PSW,
Your order is ready for pickup from Sample Branch, Wed-Fri 9am-4pm.</v>
      </c>
      <c r="AE1641" s="64" t="str">
        <f t="shared" si="279"/>
        <v>mailto:firstname207.lastname207@example.com?subject=Supply%20order%20ready%20for%20pickup&amp;body=Dear%20PSW%2C%0A%0AYour%20order%20is%20ready%20for%20pickup%20from%20Sample%20Branch%2C%20Wed-Fri%209am-4pm.</v>
      </c>
      <c r="AF1641" s="89" t="str">
        <f t="shared" si="288"/>
        <v>Draft email</v>
      </c>
      <c r="AG1641" s="64" t="str">
        <f>IF($C1641="","",IFERROR(INDEX('Staff Directory'!$K$595:$K$599,MATCH($C1641,'Staff Directory'!$B$5:$B$599,0)),$D1641))</f>
        <v>PSW</v>
      </c>
      <c r="AH1641" t="str">
        <f>IF($C1641="","",IFERROR(INDEX('Staff Directory'!$I$595:$I$599,MATCH($C1641,'Staff Directory'!$B$5:$B$599,0))&amp;" "&amp;INDEX('Staff Directory'!$J$595:$J$599,MATCH($C1641,'Staff Directory'!$B$5:$B$599,0)),$AG1641))</f>
        <v>PSW</v>
      </c>
      <c r="AI1641" s="102"/>
      <c r="AJ1641" s="101">
        <f>IF($F1641="","",SUMIFS($J$5:$J1641,$F$5:$F1641,$F1641))</f>
        <v>22000</v>
      </c>
      <c r="AK1641" s="101">
        <f t="shared" si="280"/>
        <v>21921</v>
      </c>
      <c r="AL1641" s="66" t="str" cm="1">
        <f t="array" ref="AL1641">IF($F1641="","",IFERROR(INDEX('Lot Balance'!$B$5:$B$500,MATCH(1,INDEX(('Lot Balance'!$A$5:$A$500=$F1641)*('Lot Balance'!$K$5:$K$500&lt;$AK1641)*('Lot Balance'!$K$5:$K$500+'Lot Balance'!$D$5:$D$500&gt;=$AK1641),0),0)),""))</f>
        <v>LYSL500290</v>
      </c>
      <c r="AM1641" s="66" t="str" cm="1">
        <f t="array" ref="AM1641">IF($F1641="","",IFERROR(INDEX('Lot Balance'!$B$5:$B$500,MATCH(1,INDEX(('Lot Balance'!$A$5:$A$500=$F1641)*('Lot Balance'!$K$5:$K$500&lt;$AJ1641)*('Lot Balance'!$K$5:$K$500+'Lot Balance'!$D$5:$D$500&gt;=$AJ1641),0),0)),""))</f>
        <v>LYSL500290</v>
      </c>
      <c r="AN1641" s="66" t="str">
        <f>IF($F1641="","",IF($AI1641&lt;&gt;"",IF(COUNTIFS('Lot Balance'!$A$5:$A$500,$F1641,'Lot Balance'!$B$5:$B$500,$AI1641)=0,"⚠ override is not a lot of this item",IF($AI1641=$AL1641,"Override = FEFO","Override - FEFO says "&amp;$AL1641)),IF($AL1641="","⚠ no receipt on file for this item",IF($AM1641&lt;&gt;$AL1641,"FEFO auto - split, also "&amp;$AM1641,"FEFO auto"))))</f>
        <v>FEFO auto</v>
      </c>
      <c r="AO1641" s="114"/>
    </row>
    <row r="1642" spans="1:41" x14ac:dyDescent="0.35">
      <c r="A1642" s="74">
        <v>46209</v>
      </c>
      <c r="B1642" s="18" t="str">
        <f>IF($C1642="","",IFERROR(INDEX('Staff Directory'!$A$5:$A$594,MATCH($C1642,'Staff Directory'!$B$5:$B$594,0)),"⚠ unknown staff"))</f>
        <v>PSW-154-A6</v>
      </c>
      <c r="C1642" s="49" t="s">
        <v>1133</v>
      </c>
      <c r="D1642" s="19" t="str">
        <f>IF($B1642="","",IFERROR(INDEX('Staff Directory'!$C$5:$C$594,MATCH($B1642,'Staff Directory'!$A$5:$A$594,0)),""))</f>
        <v>PSW</v>
      </c>
      <c r="E1642" s="19" t="str">
        <f>IF($B1642="","",IFERROR(INDEX('Staff Directory'!$D$5:$D$594,MATCH($B1642,'Staff Directory'!$A$5:$A$594,0)),""))</f>
        <v>A6</v>
      </c>
      <c r="F1642" s="9" t="s">
        <v>129</v>
      </c>
      <c r="G1642" s="18" t="str">
        <f>IF($F1642="","",IFERROR(INDEX(Items!$B$5:$B$597,MATCH($F1642,Items!$A$5:$A$597,0)),"⚠ not in Items"))</f>
        <v>Gloves</v>
      </c>
      <c r="H1642" s="19" t="str">
        <f>IF($F1642="","",IFERROR(INDEX(Items!$C$5:$C$597,MATCH($F1642,Items!$A$5:$A$597,0)),""))</f>
        <v>Small</v>
      </c>
      <c r="I1642" s="23">
        <f>IF($F1642="","",IFERROR(INDEX(Items!$E$5:$E$597,MATCH($F1642,Items!$A$5:$A$597,0)),""))</f>
        <v>500</v>
      </c>
      <c r="J1642" s="115">
        <f>IF(tblIssues[[#This Row],[Qty Override]]&lt;&gt;"",tblIssues[[#This Row],[Qty Override]],IF(tblIssues[[#This Row],[Standard Issue]]="","",tblIssues[[#This Row],[Standard Issue]]))</f>
        <v>500</v>
      </c>
      <c r="K1642" s="20">
        <f>IF($F1642="","",IFERROR(INDEX(Items!$D$5:$D$597,MATCH($F1642,Items!$A$5:$A$597,0)),""))</f>
        <v>5.5E-2</v>
      </c>
      <c r="L1642" s="21">
        <f t="shared" si="283"/>
        <v>27.5</v>
      </c>
      <c r="M1642" s="9" t="str">
        <f t="shared" si="281"/>
        <v>ZIM510137942</v>
      </c>
      <c r="N1642" s="24">
        <f>IF($A1642="","",WORKDAY($A1642,Settings!$C$9,HolidayDates))</f>
        <v>46217</v>
      </c>
      <c r="O1642" s="24">
        <f>IF($N1642="","",WORKDAY($N1642,Settings!$C$10,HolidayDates))</f>
        <v>46255</v>
      </c>
      <c r="P1642" s="10" t="s">
        <v>501</v>
      </c>
      <c r="Q1642" s="52" t="str">
        <f t="shared" si="284"/>
        <v>Collected</v>
      </c>
      <c r="R1642" s="55" t="str">
        <f t="shared" si="285"/>
        <v>2026-07</v>
      </c>
      <c r="S1642" s="55">
        <f>IF(OR($B1642="",$F1642="",$R1642=""),"",SUMIFS(tblIssues[Qty Issued],tblIssues[Staff ID],$B1642,tblIssues[Item Name],$F1642,tblIssues[Month],$R1642))</f>
        <v>500</v>
      </c>
      <c r="T1642" s="56">
        <f>IF($I1642="","",$I1642*Settings!$C$11)</f>
        <v>500</v>
      </c>
      <c r="U1642" s="57" t="str">
        <f t="shared" si="282"/>
        <v>OK</v>
      </c>
      <c r="V1642" s="55" t="str">
        <f t="shared" si="286"/>
        <v/>
      </c>
      <c r="W1642" s="55" t="str">
        <f>IF($V1642="","",IF(COUNTIF($V$5:$V1642,$V1642)=1,1,""))</f>
        <v/>
      </c>
      <c r="X1642" s="58" t="str">
        <f>IF($W1642="","",MAX($X$4:X1641)+1)</f>
        <v/>
      </c>
      <c r="Y1642" s="62"/>
      <c r="Z1642" s="62"/>
      <c r="AA1642" s="64" t="str">
        <f>IF($C1642="","",IFERROR(INDEX('Staff Directory'!$E$5:$E$594,MATCH($C1642,'Staff Directory'!$B$5:$B$594,0)),""))</f>
        <v>firstname217.lastname217@example.com</v>
      </c>
      <c r="AB1642" s="64" t="str">
        <f>IF($C1642="","",IF(ISNUMBER(SEARCH($D1642,Settings!$C$15)),"Pickup","Dispatch"))</f>
        <v>Pickup</v>
      </c>
      <c r="AC1642" s="64" t="str">
        <f t="shared" si="287"/>
        <v>Supply order ready for pickup</v>
      </c>
      <c r="AD1642" s="64" t="str">
        <f t="shared" si="278"/>
        <v>Dear PSW,
Your order is ready for pickup from Sample Branch, Wed-Fri 9am-4pm.</v>
      </c>
      <c r="AE1642" s="64" t="str">
        <f t="shared" si="279"/>
        <v>mailto:firstname217.lastname217@example.com?subject=Supply%20order%20ready%20for%20pickup&amp;body=Dear%20PSW%2C%0A%0AYour%20order%20is%20ready%20for%20pickup%20from%20Sample%20Branch%2C%20Wed-Fri%209am-4pm.</v>
      </c>
      <c r="AF1642" s="89" t="str">
        <f t="shared" si="288"/>
        <v>Draft email</v>
      </c>
      <c r="AG1642" s="64" t="str">
        <f>IF($C1642="","",IFERROR(INDEX('Staff Directory'!$K$595:$K$599,MATCH($C1642,'Staff Directory'!$B$5:$B$599,0)),$D1642))</f>
        <v>PSW</v>
      </c>
      <c r="AH1642" t="str">
        <f>IF($C1642="","",IFERROR(INDEX('Staff Directory'!$I$595:$I$599,MATCH($C1642,'Staff Directory'!$B$5:$B$599,0))&amp;" "&amp;INDEX('Staff Directory'!$J$595:$J$599,MATCH($C1642,'Staff Directory'!$B$5:$B$599,0)),$AG1642))</f>
        <v>PSW</v>
      </c>
      <c r="AI1642" s="102"/>
      <c r="AJ1642" s="101">
        <f>IF($F1642="","",SUMIFS($J$5:$J1642,$F$5:$F1642,$F1642))</f>
        <v>49500</v>
      </c>
      <c r="AK1642" s="101">
        <f t="shared" si="280"/>
        <v>49001</v>
      </c>
      <c r="AL1642" s="66" t="str" cm="1">
        <f t="array" ref="AL1642">IF($F1642="","",IFERROR(INDEX('Lot Balance'!$B$5:$B$500,MATCH(1,INDEX(('Lot Balance'!$A$5:$A$500=$F1642)*('Lot Balance'!$K$5:$K$500&lt;$AK1642)*('Lot Balance'!$K$5:$K$500+'Lot Balance'!$D$5:$D$500&gt;=$AK1642),0),0)),""))</f>
        <v>ZIM510137942</v>
      </c>
      <c r="AM1642" s="66" t="str" cm="1">
        <f t="array" ref="AM1642">IF($F1642="","",IFERROR(INDEX('Lot Balance'!$B$5:$B$500,MATCH(1,INDEX(('Lot Balance'!$A$5:$A$500=$F1642)*('Lot Balance'!$K$5:$K$500&lt;$AJ1642)*('Lot Balance'!$K$5:$K$500+'Lot Balance'!$D$5:$D$500&gt;=$AJ1642),0),0)),""))</f>
        <v>ZIM510137942</v>
      </c>
      <c r="AN1642" s="66" t="str">
        <f>IF($F1642="","",IF($AI1642&lt;&gt;"",IF(COUNTIFS('Lot Balance'!$A$5:$A$500,$F1642,'Lot Balance'!$B$5:$B$500,$AI1642)=0,"⚠ override is not a lot of this item",IF($AI1642=$AL1642,"Override = FEFO","Override - FEFO says "&amp;$AL1642)),IF($AL1642="","⚠ no receipt on file for this item",IF($AM1642&lt;&gt;$AL1642,"FEFO auto - split, also "&amp;$AM1642,"FEFO auto"))))</f>
        <v>FEFO auto</v>
      </c>
      <c r="AO1642" s="114"/>
    </row>
    <row r="1643" spans="1:41" x14ac:dyDescent="0.35">
      <c r="A1643" s="74">
        <v>46209</v>
      </c>
      <c r="B1643" s="18" t="str">
        <f>IF($C1643="","",IFERROR(INDEX('Staff Directory'!$A$5:$A$594,MATCH($C1643,'Staff Directory'!$B$5:$B$594,0)),"⚠ unknown staff"))</f>
        <v>PSW-154-A6</v>
      </c>
      <c r="C1643" s="49" t="s">
        <v>1133</v>
      </c>
      <c r="D1643" s="19" t="str">
        <f>IF($B1643="","",IFERROR(INDEX('Staff Directory'!$C$5:$C$594,MATCH($B1643,'Staff Directory'!$A$5:$A$594,0)),""))</f>
        <v>PSW</v>
      </c>
      <c r="E1643" s="19" t="str">
        <f>IF($B1643="","",IFERROR(INDEX('Staff Directory'!$D$5:$D$594,MATCH($B1643,'Staff Directory'!$A$5:$A$594,0)),""))</f>
        <v>A6</v>
      </c>
      <c r="F1643" s="9" t="s">
        <v>758</v>
      </c>
      <c r="G1643" s="18" t="str">
        <f>IF($F1643="","",IFERROR(INDEX(Items!$B$5:$B$597,MATCH($F1643,Items!$A$5:$A$597,0)),"⚠ not in Items"))</f>
        <v>Utility</v>
      </c>
      <c r="H1643" s="19" t="str">
        <f>IF($F1643="","",IFERROR(INDEX(Items!$C$5:$C$597,MATCH($F1643,Items!$A$5:$A$597,0)),""))</f>
        <v>Standard</v>
      </c>
      <c r="I1643" s="23">
        <f>IF($F1643="","",IFERROR(INDEX(Items!$E$5:$E$597,MATCH($F1643,Items!$A$5:$A$597,0)),""))</f>
        <v>1</v>
      </c>
      <c r="J1643" s="115">
        <f>IF(tblIssues[[#This Row],[Qty Override]]&lt;&gt;"",tblIssues[[#This Row],[Qty Override]],IF(tblIssues[[#This Row],[Standard Issue]]="","",tblIssues[[#This Row],[Standard Issue]]))</f>
        <v>1</v>
      </c>
      <c r="K1643" s="20">
        <f>IF($F1643="","",IFERROR(INDEX(Items!$D$5:$D$597,MATCH($F1643,Items!$A$5:$A$597,0)),""))</f>
        <v>0</v>
      </c>
      <c r="L1643" s="21">
        <f t="shared" si="283"/>
        <v>0</v>
      </c>
      <c r="M1643" s="9" t="str">
        <f t="shared" si="281"/>
        <v/>
      </c>
      <c r="N1643" s="24">
        <f>IF($A1643="","",WORKDAY($A1643,Settings!$C$9,HolidayDates))</f>
        <v>46217</v>
      </c>
      <c r="O1643" s="24">
        <f>IF($N1643="","",WORKDAY($N1643,Settings!$C$10,HolidayDates))</f>
        <v>46255</v>
      </c>
      <c r="P1643" s="10" t="s">
        <v>501</v>
      </c>
      <c r="Q1643" s="52" t="str">
        <f t="shared" si="284"/>
        <v>Collected</v>
      </c>
      <c r="R1643" s="55" t="str">
        <f t="shared" si="285"/>
        <v>2026-07</v>
      </c>
      <c r="S1643" s="55">
        <f>IF(OR($B1643="",$F1643="",$R1643=""),"",SUMIFS(tblIssues[Qty Issued],tblIssues[Staff ID],$B1643,tblIssues[Item Name],$F1643,tblIssues[Month],$R1643))</f>
        <v>1</v>
      </c>
      <c r="T1643" s="56">
        <f>IF($I1643="","",$I1643*Settings!$C$11)</f>
        <v>1</v>
      </c>
      <c r="U1643" s="57" t="str">
        <f t="shared" si="282"/>
        <v>OK</v>
      </c>
      <c r="V1643" s="55" t="str">
        <f t="shared" si="286"/>
        <v/>
      </c>
      <c r="W1643" s="55" t="str">
        <f>IF($V1643="","",IF(COUNTIF($V$5:$V1643,$V1643)=1,1,""))</f>
        <v/>
      </c>
      <c r="X1643" s="58" t="str">
        <f>IF($W1643="","",MAX($X$4:X1642)+1)</f>
        <v/>
      </c>
      <c r="Y1643" s="62"/>
      <c r="Z1643" s="62"/>
      <c r="AA1643" s="64" t="str">
        <f>IF($C1643="","",IFERROR(INDEX('Staff Directory'!$E$5:$E$594,MATCH($C1643,'Staff Directory'!$B$5:$B$594,0)),""))</f>
        <v>firstname217.lastname217@example.com</v>
      </c>
      <c r="AB1643" s="64" t="str">
        <f>IF($C1643="","",IF(ISNUMBER(SEARCH($D1643,Settings!$C$15)),"Pickup","Dispatch"))</f>
        <v>Pickup</v>
      </c>
      <c r="AC1643" s="64" t="str">
        <f t="shared" si="287"/>
        <v>Supply order ready for pickup</v>
      </c>
      <c r="AD1643" s="64" t="str">
        <f t="shared" si="278"/>
        <v>Dear PSW,
Your order is ready for pickup from Sample Branch, Wed-Fri 9am-4pm.</v>
      </c>
      <c r="AE1643" s="64" t="str">
        <f t="shared" si="279"/>
        <v>mailto:firstname217.lastname217@example.com?subject=Supply%20order%20ready%20for%20pickup&amp;body=Dear%20PSW%2C%0A%0AYour%20order%20is%20ready%20for%20pickup%20from%20Sample%20Branch%2C%20Wed-Fri%209am-4pm.</v>
      </c>
      <c r="AF1643" s="89" t="str">
        <f t="shared" si="288"/>
        <v>Draft email</v>
      </c>
      <c r="AG1643" s="64" t="str">
        <f>IF($C1643="","",IFERROR(INDEX('Staff Directory'!$K$595:$K$599,MATCH($C1643,'Staff Directory'!$B$5:$B$599,0)),$D1643))</f>
        <v>PSW</v>
      </c>
      <c r="AH1643" t="str">
        <f>IF($C1643="","",IFERROR(INDEX('Staff Directory'!$I$595:$I$599,MATCH($C1643,'Staff Directory'!$B$5:$B$599,0))&amp;" "&amp;INDEX('Staff Directory'!$J$595:$J$599,MATCH($C1643,'Staff Directory'!$B$5:$B$599,0)),$AG1643))</f>
        <v>PSW</v>
      </c>
      <c r="AI1643" s="102"/>
      <c r="AJ1643" s="101">
        <f>IF($F1643="","",SUMIFS($J$5:$J1643,$F$5:$F1643,$F1643))</f>
        <v>42</v>
      </c>
      <c r="AK1643" s="101">
        <f t="shared" si="280"/>
        <v>42</v>
      </c>
      <c r="AL1643" s="66" t="str" cm="1">
        <f t="array" ref="AL1643">IF($F1643="","",IFERROR(INDEX('Lot Balance'!$B$5:$B$500,MATCH(1,INDEX(('Lot Balance'!$A$5:$A$500=$F1643)*('Lot Balance'!$K$5:$K$500&lt;$AK1643)*('Lot Balance'!$K$5:$K$500+'Lot Balance'!$D$5:$D$500&gt;=$AK1643),0),0)),""))</f>
        <v/>
      </c>
      <c r="AM1643" s="66" t="str" cm="1">
        <f t="array" ref="AM1643">IF($F1643="","",IFERROR(INDEX('Lot Balance'!$B$5:$B$500,MATCH(1,INDEX(('Lot Balance'!$A$5:$A$500=$F1643)*('Lot Balance'!$K$5:$K$500&lt;$AJ1643)*('Lot Balance'!$K$5:$K$500+'Lot Balance'!$D$5:$D$500&gt;=$AJ1643),0),0)),""))</f>
        <v/>
      </c>
      <c r="AN1643" s="66" t="str">
        <f>IF($F1643="","",IF($AI1643&lt;&gt;"",IF(COUNTIFS('Lot Balance'!$A$5:$A$500,$F1643,'Lot Balance'!$B$5:$B$500,$AI1643)=0,"⚠ override is not a lot of this item",IF($AI1643=$AL1643,"Override = FEFO","Override - FEFO says "&amp;$AL1643)),IF($AL1643="","⚠ no receipt on file for this item",IF($AM1643&lt;&gt;$AL1643,"FEFO auto - split, also "&amp;$AM1643,"FEFO auto"))))</f>
        <v>⚠ no receipt on file for this item</v>
      </c>
      <c r="AO1643" s="114"/>
    </row>
    <row r="1644" spans="1:41" x14ac:dyDescent="0.35">
      <c r="A1644" s="74">
        <v>46209</v>
      </c>
      <c r="B1644" s="18" t="str">
        <f>IF($C1644="","",IFERROR(INDEX('Staff Directory'!$A$5:$A$594,MATCH($C1644,'Staff Directory'!$B$5:$B$594,0)),"⚠ unknown staff"))</f>
        <v>PSW-115-A5</v>
      </c>
      <c r="C1644" s="49" t="s">
        <v>1093</v>
      </c>
      <c r="D1644" s="19" t="str">
        <f>IF($B1644="","",IFERROR(INDEX('Staff Directory'!$C$5:$C$594,MATCH($B1644,'Staff Directory'!$A$5:$A$594,0)),""))</f>
        <v>PSW</v>
      </c>
      <c r="E1644" s="19" t="str">
        <f>IF($B1644="","",IFERROR(INDEX('Staff Directory'!$D$5:$D$594,MATCH($B1644,'Staff Directory'!$A$5:$A$594,0)),""))</f>
        <v>A5</v>
      </c>
      <c r="F1644" s="9" t="s">
        <v>127</v>
      </c>
      <c r="G1644" s="18" t="str">
        <f>IF($F1644="","",IFERROR(INDEX(Items!$B$5:$B$597,MATCH($F1644,Items!$A$5:$A$597,0)),"⚠ not in Items"))</f>
        <v>Gloves</v>
      </c>
      <c r="H1644" s="19" t="str">
        <f>IF($F1644="","",IFERROR(INDEX(Items!$C$5:$C$597,MATCH($F1644,Items!$A$5:$A$597,0)),""))</f>
        <v>Medium</v>
      </c>
      <c r="I1644" s="23">
        <f>IF($F1644="","",IFERROR(INDEX(Items!$E$5:$E$597,MATCH($F1644,Items!$A$5:$A$597,0)),""))</f>
        <v>500</v>
      </c>
      <c r="J1644" s="115">
        <f>IF(tblIssues[[#This Row],[Qty Override]]&lt;&gt;"",tblIssues[[#This Row],[Qty Override]],IF(tblIssues[[#This Row],[Standard Issue]]="","",tblIssues[[#This Row],[Standard Issue]]))</f>
        <v>500</v>
      </c>
      <c r="K1644" s="20">
        <f>IF($F1644="","",IFERROR(INDEX(Items!$D$5:$D$597,MATCH($F1644,Items!$A$5:$A$597,0)),""))</f>
        <v>5.5E-2</v>
      </c>
      <c r="L1644" s="21">
        <f t="shared" si="283"/>
        <v>27.5</v>
      </c>
      <c r="M1644" s="9" t="str">
        <f t="shared" si="281"/>
        <v>ZIM510137962-2</v>
      </c>
      <c r="N1644" s="24">
        <f>IF($A1644="","",WORKDAY($A1644,Settings!$C$9,HolidayDates))</f>
        <v>46217</v>
      </c>
      <c r="O1644" s="24">
        <f>IF($N1644="","",WORKDAY($N1644,Settings!$C$10,HolidayDates))</f>
        <v>46255</v>
      </c>
      <c r="P1644" s="10" t="s">
        <v>501</v>
      </c>
      <c r="Q1644" s="52" t="str">
        <f t="shared" si="284"/>
        <v>Collected</v>
      </c>
      <c r="R1644" s="55" t="str">
        <f t="shared" si="285"/>
        <v>2026-07</v>
      </c>
      <c r="S1644" s="55">
        <f>IF(OR($B1644="",$F1644="",$R1644=""),"",SUMIFS(tblIssues[Qty Issued],tblIssues[Staff ID],$B1644,tblIssues[Item Name],$F1644,tblIssues[Month],$R1644))</f>
        <v>500</v>
      </c>
      <c r="T1644" s="56">
        <f>IF($I1644="","",$I1644*Settings!$C$11)</f>
        <v>500</v>
      </c>
      <c r="U1644" s="57" t="str">
        <f t="shared" si="282"/>
        <v>OK</v>
      </c>
      <c r="V1644" s="55" t="str">
        <f t="shared" si="286"/>
        <v/>
      </c>
      <c r="W1644" s="55" t="str">
        <f>IF($V1644="","",IF(COUNTIF($V$5:$V1644,$V1644)=1,1,""))</f>
        <v/>
      </c>
      <c r="X1644" s="58" t="str">
        <f>IF($W1644="","",MAX($X$4:X1643)+1)</f>
        <v/>
      </c>
      <c r="Y1644" s="62"/>
      <c r="Z1644" s="62"/>
      <c r="AA1644" s="64" t="str">
        <f>IF($C1644="","",IFERROR(INDEX('Staff Directory'!$E$5:$E$594,MATCH($C1644,'Staff Directory'!$B$5:$B$594,0)),""))</f>
        <v>firstname177.lastname177@example.com</v>
      </c>
      <c r="AB1644" s="64" t="str">
        <f>IF($C1644="","",IF(ISNUMBER(SEARCH($D1644,Settings!$C$15)),"Pickup","Dispatch"))</f>
        <v>Pickup</v>
      </c>
      <c r="AC1644" s="64" t="str">
        <f t="shared" si="287"/>
        <v>Supply order ready for pickup</v>
      </c>
      <c r="AD1644" s="64" t="str">
        <f t="shared" si="278"/>
        <v>Dear PSW,
Your order is ready for pickup from Sample Branch, Wed-Fri 9am-4pm.</v>
      </c>
      <c r="AE1644" s="64" t="str">
        <f t="shared" si="279"/>
        <v>mailto:firstname177.lastname177@example.com?subject=Supply%20order%20ready%20for%20pickup&amp;body=Dear%20PSW%2C%0A%0AYour%20order%20is%20ready%20for%20pickup%20from%20Sample%20Branch%2C%20Wed-Fri%209am-4pm.</v>
      </c>
      <c r="AF1644" s="89" t="str">
        <f t="shared" si="288"/>
        <v>Draft email</v>
      </c>
      <c r="AG1644" s="64" t="str">
        <f>IF($C1644="","",IFERROR(INDEX('Staff Directory'!$K$595:$K$599,MATCH($C1644,'Staff Directory'!$B$5:$B$599,0)),$D1644))</f>
        <v>PSW</v>
      </c>
      <c r="AH1644" t="str">
        <f>IF($C1644="","",IFERROR(INDEX('Staff Directory'!$I$595:$I$599,MATCH($C1644,'Staff Directory'!$B$5:$B$599,0))&amp;" "&amp;INDEX('Staff Directory'!$J$595:$J$599,MATCH($C1644,'Staff Directory'!$B$5:$B$599,0)),$AG1644))</f>
        <v>PSW</v>
      </c>
      <c r="AI1644" s="102"/>
      <c r="AJ1644" s="101">
        <f>IF($F1644="","",SUMIFS($J$5:$J1644,$F$5:$F1644,$F1644))</f>
        <v>97000</v>
      </c>
      <c r="AK1644" s="101">
        <f t="shared" si="280"/>
        <v>96501</v>
      </c>
      <c r="AL1644" s="66" t="str" cm="1">
        <f t="array" ref="AL1644">IF($F1644="","",IFERROR(INDEX('Lot Balance'!$B$5:$B$500,MATCH(1,INDEX(('Lot Balance'!$A$5:$A$500=$F1644)*('Lot Balance'!$K$5:$K$500&lt;$AK1644)*('Lot Balance'!$K$5:$K$500+'Lot Balance'!$D$5:$D$500&gt;=$AK1644),0),0)),""))</f>
        <v>ZIM510137962-2</v>
      </c>
      <c r="AM1644" s="66" t="str" cm="1">
        <f t="array" ref="AM1644">IF($F1644="","",IFERROR(INDEX('Lot Balance'!$B$5:$B$500,MATCH(1,INDEX(('Lot Balance'!$A$5:$A$500=$F1644)*('Lot Balance'!$K$5:$K$500&lt;$AJ1644)*('Lot Balance'!$K$5:$K$500+'Lot Balance'!$D$5:$D$500&gt;=$AJ1644),0),0)),""))</f>
        <v>ZIM510137962-2</v>
      </c>
      <c r="AN1644" s="66" t="str">
        <f>IF($F1644="","",IF($AI1644&lt;&gt;"",IF(COUNTIFS('Lot Balance'!$A$5:$A$500,$F1644,'Lot Balance'!$B$5:$B$500,$AI1644)=0,"⚠ override is not a lot of this item",IF($AI1644=$AL1644,"Override = FEFO","Override - FEFO says "&amp;$AL1644)),IF($AL1644="","⚠ no receipt on file for this item",IF($AM1644&lt;&gt;$AL1644,"FEFO auto - split, also "&amp;$AM1644,"FEFO auto"))))</f>
        <v>FEFO auto</v>
      </c>
      <c r="AO1644" s="114"/>
    </row>
    <row r="1645" spans="1:41" x14ac:dyDescent="0.35">
      <c r="A1645" s="74">
        <v>46209</v>
      </c>
      <c r="B1645" s="18" t="str">
        <f>IF($C1645="","",IFERROR(INDEX('Staff Directory'!$A$5:$A$594,MATCH($C1645,'Staff Directory'!$B$5:$B$594,0)),"⚠ unknown staff"))</f>
        <v>PSW-115-A5</v>
      </c>
      <c r="C1645" s="49" t="s">
        <v>1093</v>
      </c>
      <c r="D1645" s="19" t="str">
        <f>IF($B1645="","",IFERROR(INDEX('Staff Directory'!$C$5:$C$594,MATCH($B1645,'Staff Directory'!$A$5:$A$594,0)),""))</f>
        <v>PSW</v>
      </c>
      <c r="E1645" s="19" t="str">
        <f>IF($B1645="","",IFERROR(INDEX('Staff Directory'!$D$5:$D$594,MATCH($B1645,'Staff Directory'!$A$5:$A$594,0)),""))</f>
        <v>A5</v>
      </c>
      <c r="F1645" s="9" t="s">
        <v>115</v>
      </c>
      <c r="G1645" s="18" t="str">
        <f>IF($F1645="","",IFERROR(INDEX(Items!$B$5:$B$597,MATCH($F1645,Items!$A$5:$A$597,0)),"⚠ not in Items"))</f>
        <v>Wipes</v>
      </c>
      <c r="H1645" s="19">
        <f>IF($F1645="","",IFERROR(INDEX(Items!$C$5:$C$597,MATCH($F1645,Items!$A$5:$A$597,0)),""))</f>
        <v>80</v>
      </c>
      <c r="I1645" s="23">
        <f>IF($F1645="","",IFERROR(INDEX(Items!$E$5:$E$597,MATCH($F1645,Items!$A$5:$A$597,0)),""))</f>
        <v>80</v>
      </c>
      <c r="J1645" s="115">
        <f>IF(tblIssues[[#This Row],[Qty Override]]&lt;&gt;"",tblIssues[[#This Row],[Qty Override]],IF(tblIssues[[#This Row],[Standard Issue]]="","",tblIssues[[#This Row],[Standard Issue]]))</f>
        <v>80</v>
      </c>
      <c r="K1645" s="20">
        <f>IF($F1645="","",IFERROR(INDEX(Items!$D$5:$D$597,MATCH($F1645,Items!$A$5:$A$597,0)),""))</f>
        <v>0.1</v>
      </c>
      <c r="L1645" s="21">
        <f t="shared" si="283"/>
        <v>8</v>
      </c>
      <c r="M1645" s="9" t="str">
        <f t="shared" si="281"/>
        <v>LYSL500290</v>
      </c>
      <c r="N1645" s="24">
        <f>IF($A1645="","",WORKDAY($A1645,Settings!$C$9,HolidayDates))</f>
        <v>46217</v>
      </c>
      <c r="O1645" s="24">
        <f>IF($N1645="","",WORKDAY($N1645,Settings!$C$10,HolidayDates))</f>
        <v>46255</v>
      </c>
      <c r="P1645" s="10" t="s">
        <v>501</v>
      </c>
      <c r="Q1645" s="52" t="str">
        <f t="shared" si="284"/>
        <v>Collected</v>
      </c>
      <c r="R1645" s="55" t="str">
        <f t="shared" si="285"/>
        <v>2026-07</v>
      </c>
      <c r="S1645" s="55">
        <f>IF(OR($B1645="",$F1645="",$R1645=""),"",SUMIFS(tblIssues[Qty Issued],tblIssues[Staff ID],$B1645,tblIssues[Item Name],$F1645,tblIssues[Month],$R1645))</f>
        <v>80</v>
      </c>
      <c r="T1645" s="56">
        <f>IF($I1645="","",$I1645*Settings!$C$11)</f>
        <v>80</v>
      </c>
      <c r="U1645" s="57" t="str">
        <f t="shared" si="282"/>
        <v>OK</v>
      </c>
      <c r="V1645" s="55" t="str">
        <f t="shared" si="286"/>
        <v/>
      </c>
      <c r="W1645" s="55" t="str">
        <f>IF($V1645="","",IF(COUNTIF($V$5:$V1645,$V1645)=1,1,""))</f>
        <v/>
      </c>
      <c r="X1645" s="58" t="str">
        <f>IF($W1645="","",MAX($X$4:X1644)+1)</f>
        <v/>
      </c>
      <c r="Y1645" s="62"/>
      <c r="Z1645" s="62"/>
      <c r="AA1645" s="64" t="str">
        <f>IF($C1645="","",IFERROR(INDEX('Staff Directory'!$E$5:$E$594,MATCH($C1645,'Staff Directory'!$B$5:$B$594,0)),""))</f>
        <v>firstname177.lastname177@example.com</v>
      </c>
      <c r="AB1645" s="64" t="str">
        <f>IF($C1645="","",IF(ISNUMBER(SEARCH($D1645,Settings!$C$15)),"Pickup","Dispatch"))</f>
        <v>Pickup</v>
      </c>
      <c r="AC1645" s="64" t="str">
        <f t="shared" si="287"/>
        <v>Supply order ready for pickup</v>
      </c>
      <c r="AD1645" s="64" t="str">
        <f t="shared" si="278"/>
        <v>Dear PSW,
Your order is ready for pickup from Sample Branch, Wed-Fri 9am-4pm.</v>
      </c>
      <c r="AE1645" s="64" t="str">
        <f t="shared" si="279"/>
        <v>mailto:firstname177.lastname177@example.com?subject=Supply%20order%20ready%20for%20pickup&amp;body=Dear%20PSW%2C%0A%0AYour%20order%20is%20ready%20for%20pickup%20from%20Sample%20Branch%2C%20Wed-Fri%209am-4pm.</v>
      </c>
      <c r="AF1645" s="89" t="str">
        <f t="shared" si="288"/>
        <v>Draft email</v>
      </c>
      <c r="AG1645" s="64" t="str">
        <f>IF($C1645="","",IFERROR(INDEX('Staff Directory'!$K$595:$K$599,MATCH($C1645,'Staff Directory'!$B$5:$B$599,0)),$D1645))</f>
        <v>PSW</v>
      </c>
      <c r="AH1645" t="str">
        <f>IF($C1645="","",IFERROR(INDEX('Staff Directory'!$I$595:$I$599,MATCH($C1645,'Staff Directory'!$B$5:$B$599,0))&amp;" "&amp;INDEX('Staff Directory'!$J$595:$J$599,MATCH($C1645,'Staff Directory'!$B$5:$B$599,0)),$AG1645))</f>
        <v>PSW</v>
      </c>
      <c r="AI1645" s="102"/>
      <c r="AJ1645" s="101">
        <f>IF($F1645="","",SUMIFS($J$5:$J1645,$F$5:$F1645,$F1645))</f>
        <v>22080</v>
      </c>
      <c r="AK1645" s="101">
        <f t="shared" si="280"/>
        <v>22001</v>
      </c>
      <c r="AL1645" s="66" t="str" cm="1">
        <f t="array" ref="AL1645">IF($F1645="","",IFERROR(INDEX('Lot Balance'!$B$5:$B$500,MATCH(1,INDEX(('Lot Balance'!$A$5:$A$500=$F1645)*('Lot Balance'!$K$5:$K$500&lt;$AK1645)*('Lot Balance'!$K$5:$K$500+'Lot Balance'!$D$5:$D$500&gt;=$AK1645),0),0)),""))</f>
        <v>LYSL500290</v>
      </c>
      <c r="AM1645" s="66" t="str" cm="1">
        <f t="array" ref="AM1645">IF($F1645="","",IFERROR(INDEX('Lot Balance'!$B$5:$B$500,MATCH(1,INDEX(('Lot Balance'!$A$5:$A$500=$F1645)*('Lot Balance'!$K$5:$K$500&lt;$AJ1645)*('Lot Balance'!$K$5:$K$500+'Lot Balance'!$D$5:$D$500&gt;=$AJ1645),0),0)),""))</f>
        <v>LYSL500290</v>
      </c>
      <c r="AN1645" s="66" t="str">
        <f>IF($F1645="","",IF($AI1645&lt;&gt;"",IF(COUNTIFS('Lot Balance'!$A$5:$A$500,$F1645,'Lot Balance'!$B$5:$B$500,$AI1645)=0,"⚠ override is not a lot of this item",IF($AI1645=$AL1645,"Override = FEFO","Override - FEFO says "&amp;$AL1645)),IF($AL1645="","⚠ no receipt on file for this item",IF($AM1645&lt;&gt;$AL1645,"FEFO auto - split, also "&amp;$AM1645,"FEFO auto"))))</f>
        <v>FEFO auto</v>
      </c>
      <c r="AO1645" s="114"/>
    </row>
    <row r="1646" spans="1:41" x14ac:dyDescent="0.35">
      <c r="A1646" s="74">
        <v>46209</v>
      </c>
      <c r="B1646" s="18" t="str">
        <f>IF($C1646="","",IFERROR(INDEX('Staff Directory'!$A$5:$A$594,MATCH($C1646,'Staff Directory'!$B$5:$B$594,0)),"⚠ unknown staff"))</f>
        <v>PSW-115-A5</v>
      </c>
      <c r="C1646" s="49" t="s">
        <v>1093</v>
      </c>
      <c r="D1646" s="19" t="str">
        <f>IF($B1646="","",IFERROR(INDEX('Staff Directory'!$C$5:$C$594,MATCH($B1646,'Staff Directory'!$A$5:$A$594,0)),""))</f>
        <v>PSW</v>
      </c>
      <c r="E1646" s="19" t="str">
        <f>IF($B1646="","",IFERROR(INDEX('Staff Directory'!$D$5:$D$594,MATCH($B1646,'Staff Directory'!$A$5:$A$594,0)),""))</f>
        <v>A5</v>
      </c>
      <c r="F1646" s="9" t="s">
        <v>156</v>
      </c>
      <c r="G1646" s="18" t="str">
        <f>IF($F1646="","",IFERROR(INDEX(Items!$B$5:$B$597,MATCH($F1646,Items!$A$5:$A$597,0)),"⚠ not in Items"))</f>
        <v>Masks</v>
      </c>
      <c r="H1646" s="19" t="str">
        <f>IF($F1646="","",IFERROR(INDEX(Items!$C$5:$C$597,MATCH($F1646,Items!$A$5:$A$597,0)),""))</f>
        <v>One Size</v>
      </c>
      <c r="I1646" s="23">
        <f>IF($F1646="","",IFERROR(INDEX(Items!$E$5:$E$597,MATCH($F1646,Items!$A$5:$A$597,0)),""))</f>
        <v>50</v>
      </c>
      <c r="J1646" s="115">
        <f>IF(tblIssues[[#This Row],[Qty Override]]&lt;&gt;"",tblIssues[[#This Row],[Qty Override]],IF(tblIssues[[#This Row],[Standard Issue]]="","",tblIssues[[#This Row],[Standard Issue]]))</f>
        <v>50</v>
      </c>
      <c r="K1646" s="20">
        <f>IF($F1646="","",IFERROR(INDEX(Items!$D$5:$D$597,MATCH($F1646,Items!$A$5:$A$597,0)),""))</f>
        <v>0.25</v>
      </c>
      <c r="L1646" s="21">
        <f t="shared" si="283"/>
        <v>12.5</v>
      </c>
      <c r="M1646" s="9" t="str">
        <f t="shared" si="281"/>
        <v>24HA2050A7396</v>
      </c>
      <c r="N1646" s="24">
        <f>IF($A1646="","",WORKDAY($A1646,Settings!$C$9,HolidayDates))</f>
        <v>46217</v>
      </c>
      <c r="O1646" s="24">
        <f>IF($N1646="","",WORKDAY($N1646,Settings!$C$10,HolidayDates))</f>
        <v>46255</v>
      </c>
      <c r="P1646" s="10" t="s">
        <v>501</v>
      </c>
      <c r="Q1646" s="52" t="str">
        <f t="shared" si="284"/>
        <v>Collected</v>
      </c>
      <c r="R1646" s="55" t="str">
        <f t="shared" si="285"/>
        <v>2026-07</v>
      </c>
      <c r="S1646" s="55">
        <f>IF(OR($B1646="",$F1646="",$R1646=""),"",SUMIFS(tblIssues[Qty Issued],tblIssues[Staff ID],$B1646,tblIssues[Item Name],$F1646,tblIssues[Month],$R1646))</f>
        <v>50</v>
      </c>
      <c r="T1646" s="56">
        <f>IF($I1646="","",$I1646*Settings!$C$11)</f>
        <v>50</v>
      </c>
      <c r="U1646" s="57" t="str">
        <f t="shared" si="282"/>
        <v>OK</v>
      </c>
      <c r="V1646" s="55" t="str">
        <f t="shared" si="286"/>
        <v/>
      </c>
      <c r="W1646" s="55" t="str">
        <f>IF($V1646="","",IF(COUNTIF($V$5:$V1646,$V1646)=1,1,""))</f>
        <v/>
      </c>
      <c r="X1646" s="58" t="str">
        <f>IF($W1646="","",MAX($X$4:X1645)+1)</f>
        <v/>
      </c>
      <c r="Y1646" s="62"/>
      <c r="Z1646" s="62"/>
      <c r="AA1646" s="64" t="str">
        <f>IF($C1646="","",IFERROR(INDEX('Staff Directory'!$E$5:$E$594,MATCH($C1646,'Staff Directory'!$B$5:$B$594,0)),""))</f>
        <v>firstname177.lastname177@example.com</v>
      </c>
      <c r="AB1646" s="64" t="str">
        <f>IF($C1646="","",IF(ISNUMBER(SEARCH($D1646,Settings!$C$15)),"Pickup","Dispatch"))</f>
        <v>Pickup</v>
      </c>
      <c r="AC1646" s="64" t="str">
        <f t="shared" si="287"/>
        <v>Supply order ready for pickup</v>
      </c>
      <c r="AD1646" s="64" t="str">
        <f t="shared" si="278"/>
        <v>Dear PSW,
Your order is ready for pickup from Sample Branch, Wed-Fri 9am-4pm.</v>
      </c>
      <c r="AE1646" s="64" t="str">
        <f t="shared" si="279"/>
        <v>mailto:firstname177.lastname177@example.com?subject=Supply%20order%20ready%20for%20pickup&amp;body=Dear%20PSW%2C%0A%0AYour%20order%20is%20ready%20for%20pickup%20from%20Sample%20Branch%2C%20Wed-Fri%209am-4pm.</v>
      </c>
      <c r="AF1646" s="89" t="str">
        <f t="shared" si="288"/>
        <v>Draft email</v>
      </c>
      <c r="AG1646" s="64" t="str">
        <f>IF($C1646="","",IFERROR(INDEX('Staff Directory'!$K$595:$K$599,MATCH($C1646,'Staff Directory'!$B$5:$B$599,0)),$D1646))</f>
        <v>PSW</v>
      </c>
      <c r="AH1646" t="str">
        <f>IF($C1646="","",IFERROR(INDEX('Staff Directory'!$I$595:$I$599,MATCH($C1646,'Staff Directory'!$B$5:$B$599,0))&amp;" "&amp;INDEX('Staff Directory'!$J$595:$J$599,MATCH($C1646,'Staff Directory'!$B$5:$B$599,0)),$AG1646))</f>
        <v>PSW</v>
      </c>
      <c r="AI1646" s="102"/>
      <c r="AJ1646" s="101">
        <f>IF($F1646="","",SUMIFS($J$5:$J1646,$F$5:$F1646,$F1646))</f>
        <v>13400</v>
      </c>
      <c r="AK1646" s="101">
        <f t="shared" si="280"/>
        <v>13351</v>
      </c>
      <c r="AL1646" s="66" t="str" cm="1">
        <f t="array" ref="AL1646">IF($F1646="","",IFERROR(INDEX('Lot Balance'!$B$5:$B$500,MATCH(1,INDEX(('Lot Balance'!$A$5:$A$500=$F1646)*('Lot Balance'!$K$5:$K$500&lt;$AK1646)*('Lot Balance'!$K$5:$K$500+'Lot Balance'!$D$5:$D$500&gt;=$AK1646),0),0)),""))</f>
        <v>24HA2050A7396</v>
      </c>
      <c r="AM1646" s="66" t="str" cm="1">
        <f t="array" ref="AM1646">IF($F1646="","",IFERROR(INDEX('Lot Balance'!$B$5:$B$500,MATCH(1,INDEX(('Lot Balance'!$A$5:$A$500=$F1646)*('Lot Balance'!$K$5:$K$500&lt;$AJ1646)*('Lot Balance'!$K$5:$K$500+'Lot Balance'!$D$5:$D$500&gt;=$AJ1646),0),0)),""))</f>
        <v>24HA2050A7396</v>
      </c>
      <c r="AN1646" s="66" t="str">
        <f>IF($F1646="","",IF($AI1646&lt;&gt;"",IF(COUNTIFS('Lot Balance'!$A$5:$A$500,$F1646,'Lot Balance'!$B$5:$B$500,$AI1646)=0,"⚠ override is not a lot of this item",IF($AI1646=$AL1646,"Override = FEFO","Override - FEFO says "&amp;$AL1646)),IF($AL1646="","⚠ no receipt on file for this item",IF($AM1646&lt;&gt;$AL1646,"FEFO auto - split, also "&amp;$AM1646,"FEFO auto"))))</f>
        <v>FEFO auto</v>
      </c>
      <c r="AO1646" s="114"/>
    </row>
    <row r="1647" spans="1:41" x14ac:dyDescent="0.35">
      <c r="A1647" s="74">
        <v>46209</v>
      </c>
      <c r="B1647" s="18" t="str">
        <f>IF($C1647="","",IFERROR(INDEX('Staff Directory'!$A$5:$A$594,MATCH($C1647,'Staff Directory'!$B$5:$B$594,0)),"⚠ unknown staff"))</f>
        <v>PSW-115-A5</v>
      </c>
      <c r="C1647" s="49" t="s">
        <v>1093</v>
      </c>
      <c r="D1647" s="19" t="str">
        <f>IF($B1647="","",IFERROR(INDEX('Staff Directory'!$C$5:$C$594,MATCH($B1647,'Staff Directory'!$A$5:$A$594,0)),""))</f>
        <v>PSW</v>
      </c>
      <c r="E1647" s="19" t="str">
        <f>IF($B1647="","",IFERROR(INDEX('Staff Directory'!$D$5:$D$594,MATCH($B1647,'Staff Directory'!$A$5:$A$594,0)),""))</f>
        <v>A5</v>
      </c>
      <c r="F1647" s="9" t="s">
        <v>758</v>
      </c>
      <c r="G1647" s="18" t="str">
        <f>IF($F1647="","",IFERROR(INDEX(Items!$B$5:$B$597,MATCH($F1647,Items!$A$5:$A$597,0)),"⚠ not in Items"))</f>
        <v>Utility</v>
      </c>
      <c r="H1647" s="19" t="str">
        <f>IF($F1647="","",IFERROR(INDEX(Items!$C$5:$C$597,MATCH($F1647,Items!$A$5:$A$597,0)),""))</f>
        <v>Standard</v>
      </c>
      <c r="I1647" s="23">
        <f>IF($F1647="","",IFERROR(INDEX(Items!$E$5:$E$597,MATCH($F1647,Items!$A$5:$A$597,0)),""))</f>
        <v>1</v>
      </c>
      <c r="J1647" s="115">
        <f>IF(tblIssues[[#This Row],[Qty Override]]&lt;&gt;"",tblIssues[[#This Row],[Qty Override]],IF(tblIssues[[#This Row],[Standard Issue]]="","",tblIssues[[#This Row],[Standard Issue]]))</f>
        <v>1</v>
      </c>
      <c r="K1647" s="20">
        <f>IF($F1647="","",IFERROR(INDEX(Items!$D$5:$D$597,MATCH($F1647,Items!$A$5:$A$597,0)),""))</f>
        <v>0</v>
      </c>
      <c r="L1647" s="21">
        <f t="shared" si="283"/>
        <v>0</v>
      </c>
      <c r="M1647" s="9" t="str">
        <f t="shared" si="281"/>
        <v/>
      </c>
      <c r="N1647" s="24">
        <f>IF($A1647="","",WORKDAY($A1647,Settings!$C$9,HolidayDates))</f>
        <v>46217</v>
      </c>
      <c r="O1647" s="24">
        <f>IF($N1647="","",WORKDAY($N1647,Settings!$C$10,HolidayDates))</f>
        <v>46255</v>
      </c>
      <c r="P1647" s="10" t="s">
        <v>501</v>
      </c>
      <c r="Q1647" s="52" t="str">
        <f t="shared" si="284"/>
        <v>Collected</v>
      </c>
      <c r="R1647" s="55" t="str">
        <f t="shared" si="285"/>
        <v>2026-07</v>
      </c>
      <c r="S1647" s="55">
        <f>IF(OR($B1647="",$F1647="",$R1647=""),"",SUMIFS(tblIssues[Qty Issued],tblIssues[Staff ID],$B1647,tblIssues[Item Name],$F1647,tblIssues[Month],$R1647))</f>
        <v>1</v>
      </c>
      <c r="T1647" s="56">
        <f>IF($I1647="","",$I1647*Settings!$C$11)</f>
        <v>1</v>
      </c>
      <c r="U1647" s="57" t="str">
        <f t="shared" si="282"/>
        <v>OK</v>
      </c>
      <c r="V1647" s="55" t="str">
        <f t="shared" si="286"/>
        <v/>
      </c>
      <c r="W1647" s="55" t="str">
        <f>IF($V1647="","",IF(COUNTIF($V$5:$V1647,$V1647)=1,1,""))</f>
        <v/>
      </c>
      <c r="X1647" s="58" t="str">
        <f>IF($W1647="","",MAX($X$4:X1646)+1)</f>
        <v/>
      </c>
      <c r="Y1647" s="62"/>
      <c r="Z1647" s="62"/>
      <c r="AA1647" s="64" t="str">
        <f>IF($C1647="","",IFERROR(INDEX('Staff Directory'!$E$5:$E$594,MATCH($C1647,'Staff Directory'!$B$5:$B$594,0)),""))</f>
        <v>firstname177.lastname177@example.com</v>
      </c>
      <c r="AB1647" s="64" t="str">
        <f>IF($C1647="","",IF(ISNUMBER(SEARCH($D1647,Settings!$C$15)),"Pickup","Dispatch"))</f>
        <v>Pickup</v>
      </c>
      <c r="AC1647" s="64" t="str">
        <f t="shared" si="287"/>
        <v>Supply order ready for pickup</v>
      </c>
      <c r="AD1647" s="64" t="str">
        <f t="shared" si="278"/>
        <v>Dear PSW,
Your order is ready for pickup from Sample Branch, Wed-Fri 9am-4pm.</v>
      </c>
      <c r="AE1647" s="64" t="str">
        <f t="shared" si="279"/>
        <v>mailto:firstname177.lastname177@example.com?subject=Supply%20order%20ready%20for%20pickup&amp;body=Dear%20PSW%2C%0A%0AYour%20order%20is%20ready%20for%20pickup%20from%20Sample%20Branch%2C%20Wed-Fri%209am-4pm.</v>
      </c>
      <c r="AF1647" s="89" t="str">
        <f t="shared" si="288"/>
        <v>Draft email</v>
      </c>
      <c r="AG1647" s="64" t="str">
        <f>IF($C1647="","",IFERROR(INDEX('Staff Directory'!$K$595:$K$599,MATCH($C1647,'Staff Directory'!$B$5:$B$599,0)),$D1647))</f>
        <v>PSW</v>
      </c>
      <c r="AH1647" t="str">
        <f>IF($C1647="","",IFERROR(INDEX('Staff Directory'!$I$595:$I$599,MATCH($C1647,'Staff Directory'!$B$5:$B$599,0))&amp;" "&amp;INDEX('Staff Directory'!$J$595:$J$599,MATCH($C1647,'Staff Directory'!$B$5:$B$599,0)),$AG1647))</f>
        <v>PSW</v>
      </c>
      <c r="AI1647" s="102"/>
      <c r="AJ1647" s="101">
        <f>IF($F1647="","",SUMIFS($J$5:$J1647,$F$5:$F1647,$F1647))</f>
        <v>43</v>
      </c>
      <c r="AK1647" s="101">
        <f t="shared" si="280"/>
        <v>43</v>
      </c>
      <c r="AL1647" s="66" t="str" cm="1">
        <f t="array" ref="AL1647">IF($F1647="","",IFERROR(INDEX('Lot Balance'!$B$5:$B$500,MATCH(1,INDEX(('Lot Balance'!$A$5:$A$500=$F1647)*('Lot Balance'!$K$5:$K$500&lt;$AK1647)*('Lot Balance'!$K$5:$K$500+'Lot Balance'!$D$5:$D$500&gt;=$AK1647),0),0)),""))</f>
        <v/>
      </c>
      <c r="AM1647" s="66" t="str" cm="1">
        <f t="array" ref="AM1647">IF($F1647="","",IFERROR(INDEX('Lot Balance'!$B$5:$B$500,MATCH(1,INDEX(('Lot Balance'!$A$5:$A$500=$F1647)*('Lot Balance'!$K$5:$K$500&lt;$AJ1647)*('Lot Balance'!$K$5:$K$500+'Lot Balance'!$D$5:$D$500&gt;=$AJ1647),0),0)),""))</f>
        <v/>
      </c>
      <c r="AN1647" s="66" t="str">
        <f>IF($F1647="","",IF($AI1647&lt;&gt;"",IF(COUNTIFS('Lot Balance'!$A$5:$A$500,$F1647,'Lot Balance'!$B$5:$B$500,$AI1647)=0,"⚠ override is not a lot of this item",IF($AI1647=$AL1647,"Override = FEFO","Override - FEFO says "&amp;$AL1647)),IF($AL1647="","⚠ no receipt on file for this item",IF($AM1647&lt;&gt;$AL1647,"FEFO auto - split, also "&amp;$AM1647,"FEFO auto"))))</f>
        <v>⚠ no receipt on file for this item</v>
      </c>
      <c r="AO1647" s="114"/>
    </row>
    <row r="1648" spans="1:41" x14ac:dyDescent="0.35">
      <c r="A1648" s="74">
        <v>46209</v>
      </c>
      <c r="B1648" s="18" t="str">
        <f>IF($C1648="","",IFERROR(INDEX('Staff Directory'!$A$5:$A$594,MATCH($C1648,'Staff Directory'!$B$5:$B$594,0)),"⚠ unknown staff"))</f>
        <v>PSW-051-A4</v>
      </c>
      <c r="C1648" s="49" t="s">
        <v>1027</v>
      </c>
      <c r="D1648" s="19" t="str">
        <f>IF($B1648="","",IFERROR(INDEX('Staff Directory'!$C$5:$C$594,MATCH($B1648,'Staff Directory'!$A$5:$A$594,0)),""))</f>
        <v>PSW</v>
      </c>
      <c r="E1648" s="19" t="str">
        <f>IF($B1648="","",IFERROR(INDEX('Staff Directory'!$D$5:$D$594,MATCH($B1648,'Staff Directory'!$A$5:$A$594,0)),""))</f>
        <v>A4</v>
      </c>
      <c r="F1648" s="9" t="s">
        <v>127</v>
      </c>
      <c r="G1648" s="18" t="str">
        <f>IF($F1648="","",IFERROR(INDEX(Items!$B$5:$B$597,MATCH($F1648,Items!$A$5:$A$597,0)),"⚠ not in Items"))</f>
        <v>Gloves</v>
      </c>
      <c r="H1648" s="19" t="str">
        <f>IF($F1648="","",IFERROR(INDEX(Items!$C$5:$C$597,MATCH($F1648,Items!$A$5:$A$597,0)),""))</f>
        <v>Medium</v>
      </c>
      <c r="I1648" s="23">
        <f>IF($F1648="","",IFERROR(INDEX(Items!$E$5:$E$597,MATCH($F1648,Items!$A$5:$A$597,0)),""))</f>
        <v>500</v>
      </c>
      <c r="J1648" s="115">
        <f>IF(tblIssues[[#This Row],[Qty Override]]&lt;&gt;"",tblIssues[[#This Row],[Qty Override]],IF(tblIssues[[#This Row],[Standard Issue]]="","",tblIssues[[#This Row],[Standard Issue]]))</f>
        <v>500</v>
      </c>
      <c r="K1648" s="20">
        <f>IF($F1648="","",IFERROR(INDEX(Items!$D$5:$D$597,MATCH($F1648,Items!$A$5:$A$597,0)),""))</f>
        <v>5.5E-2</v>
      </c>
      <c r="L1648" s="21">
        <f t="shared" si="283"/>
        <v>27.5</v>
      </c>
      <c r="M1648" s="9" t="str">
        <f t="shared" si="281"/>
        <v>ZIM510137962-2</v>
      </c>
      <c r="N1648" s="24">
        <f>IF($A1648="","",WORKDAY($A1648,Settings!$C$9,HolidayDates))</f>
        <v>46217</v>
      </c>
      <c r="O1648" s="24">
        <f>IF($N1648="","",WORKDAY($N1648,Settings!$C$10,HolidayDates))</f>
        <v>46255</v>
      </c>
      <c r="P1648" s="10" t="s">
        <v>501</v>
      </c>
      <c r="Q1648" s="52" t="str">
        <f t="shared" si="284"/>
        <v>Collected</v>
      </c>
      <c r="R1648" s="55" t="str">
        <f t="shared" si="285"/>
        <v>2026-07</v>
      </c>
      <c r="S1648" s="55">
        <f>IF(OR($B1648="",$F1648="",$R1648=""),"",SUMIFS(tblIssues[Qty Issued],tblIssues[Staff ID],$B1648,tblIssues[Item Name],$F1648,tblIssues[Month],$R1648))</f>
        <v>500</v>
      </c>
      <c r="T1648" s="56">
        <f>IF($I1648="","",$I1648*Settings!$C$11)</f>
        <v>500</v>
      </c>
      <c r="U1648" s="57" t="str">
        <f t="shared" si="282"/>
        <v>OK</v>
      </c>
      <c r="V1648" s="55" t="str">
        <f t="shared" si="286"/>
        <v/>
      </c>
      <c r="W1648" s="55" t="str">
        <f>IF($V1648="","",IF(COUNTIF($V$5:$V1648,$V1648)=1,1,""))</f>
        <v/>
      </c>
      <c r="X1648" s="58" t="str">
        <f>IF($W1648="","",MAX($X$4:X1647)+1)</f>
        <v/>
      </c>
      <c r="Y1648" s="62"/>
      <c r="Z1648" s="62"/>
      <c r="AA1648" s="64" t="str">
        <f>IF($C1648="","",IFERROR(INDEX('Staff Directory'!$E$5:$E$594,MATCH($C1648,'Staff Directory'!$B$5:$B$594,0)),""))</f>
        <v>firstname111.lastname111@example.com</v>
      </c>
      <c r="AB1648" s="64" t="str">
        <f>IF($C1648="","",IF(ISNUMBER(SEARCH($D1648,Settings!$C$15)),"Pickup","Dispatch"))</f>
        <v>Pickup</v>
      </c>
      <c r="AC1648" s="64" t="str">
        <f t="shared" si="287"/>
        <v>Supply order ready for pickup</v>
      </c>
      <c r="AD1648" s="64" t="str">
        <f t="shared" si="278"/>
        <v>Dear PSW,
Your order is ready for pickup from Sample Branch, Wed-Fri 9am-4pm.</v>
      </c>
      <c r="AE1648" s="64" t="str">
        <f t="shared" si="279"/>
        <v>mailto:firstname111.lastname111@example.com?subject=Supply%20order%20ready%20for%20pickup&amp;body=Dear%20PSW%2C%0A%0AYour%20order%20is%20ready%20for%20pickup%20from%20Sample%20Branch%2C%20Wed-Fri%209am-4pm.</v>
      </c>
      <c r="AF1648" s="89" t="str">
        <f t="shared" si="288"/>
        <v>Draft email</v>
      </c>
      <c r="AG1648" s="64" t="str">
        <f>IF($C1648="","",IFERROR(INDEX('Staff Directory'!$K$595:$K$599,MATCH($C1648,'Staff Directory'!$B$5:$B$599,0)),$D1648))</f>
        <v>PSW</v>
      </c>
      <c r="AH1648" t="str">
        <f>IF($C1648="","",IFERROR(INDEX('Staff Directory'!$I$595:$I$599,MATCH($C1648,'Staff Directory'!$B$5:$B$599,0))&amp;" "&amp;INDEX('Staff Directory'!$J$595:$J$599,MATCH($C1648,'Staff Directory'!$B$5:$B$599,0)),$AG1648))</f>
        <v>PSW</v>
      </c>
      <c r="AI1648" s="102"/>
      <c r="AJ1648" s="101">
        <f>IF($F1648="","",SUMIFS($J$5:$J1648,$F$5:$F1648,$F1648))</f>
        <v>97500</v>
      </c>
      <c r="AK1648" s="101">
        <f t="shared" si="280"/>
        <v>97001</v>
      </c>
      <c r="AL1648" s="66" t="str" cm="1">
        <f t="array" ref="AL1648">IF($F1648="","",IFERROR(INDEX('Lot Balance'!$B$5:$B$500,MATCH(1,INDEX(('Lot Balance'!$A$5:$A$500=$F1648)*('Lot Balance'!$K$5:$K$500&lt;$AK1648)*('Lot Balance'!$K$5:$K$500+'Lot Balance'!$D$5:$D$500&gt;=$AK1648),0),0)),""))</f>
        <v>ZIM510137962-2</v>
      </c>
      <c r="AM1648" s="66" t="str" cm="1">
        <f t="array" ref="AM1648">IF($F1648="","",IFERROR(INDEX('Lot Balance'!$B$5:$B$500,MATCH(1,INDEX(('Lot Balance'!$A$5:$A$500=$F1648)*('Lot Balance'!$K$5:$K$500&lt;$AJ1648)*('Lot Balance'!$K$5:$K$500+'Lot Balance'!$D$5:$D$500&gt;=$AJ1648),0),0)),""))</f>
        <v>ZIM604151579</v>
      </c>
      <c r="AN1648" s="66" t="str">
        <f>IF($F1648="","",IF($AI1648&lt;&gt;"",IF(COUNTIFS('Lot Balance'!$A$5:$A$500,$F1648,'Lot Balance'!$B$5:$B$500,$AI1648)=0,"⚠ override is not a lot of this item",IF($AI1648=$AL1648,"Override = FEFO","Override - FEFO says "&amp;$AL1648)),IF($AL1648="","⚠ no receipt on file for this item",IF($AM1648&lt;&gt;$AL1648,"FEFO auto - split, also "&amp;$AM1648,"FEFO auto"))))</f>
        <v>FEFO auto - split, also ZIM604151579</v>
      </c>
      <c r="AO1648" s="114"/>
    </row>
    <row r="1649" spans="1:41" x14ac:dyDescent="0.35">
      <c r="A1649" s="74">
        <v>46209</v>
      </c>
      <c r="B1649" s="18" t="str">
        <f>IF($C1649="","",IFERROR(INDEX('Staff Directory'!$A$5:$A$594,MATCH($C1649,'Staff Directory'!$B$5:$B$594,0)),"⚠ unknown staff"))</f>
        <v>PSW-051-A4</v>
      </c>
      <c r="C1649" s="49" t="s">
        <v>1027</v>
      </c>
      <c r="D1649" s="19" t="str">
        <f>IF($B1649="","",IFERROR(INDEX('Staff Directory'!$C$5:$C$594,MATCH($B1649,'Staff Directory'!$A$5:$A$594,0)),""))</f>
        <v>PSW</v>
      </c>
      <c r="E1649" s="19" t="str">
        <f>IF($B1649="","",IFERROR(INDEX('Staff Directory'!$D$5:$D$594,MATCH($B1649,'Staff Directory'!$A$5:$A$594,0)),""))</f>
        <v>A4</v>
      </c>
      <c r="F1649" s="9" t="s">
        <v>191</v>
      </c>
      <c r="G1649" s="18" t="str">
        <f>IF($F1649="","",IFERROR(INDEX(Items!$B$5:$B$597,MATCH($F1649,Items!$A$5:$A$597,0)),"⚠ not in Items"))</f>
        <v>Sanitizer</v>
      </c>
      <c r="H1649" s="19" t="str">
        <f>IF($F1649="","",IFERROR(INDEX(Items!$C$5:$C$597,MATCH($F1649,Items!$A$5:$A$597,0)),""))</f>
        <v>236 ML</v>
      </c>
      <c r="I1649" s="23">
        <f>IF($F1649="","",IFERROR(INDEX(Items!$E$5:$E$597,MATCH($F1649,Items!$A$5:$A$597,0)),""))</f>
        <v>1</v>
      </c>
      <c r="J1649" s="115">
        <f>IF(tblIssues[[#This Row],[Qty Override]]&lt;&gt;"",tblIssues[[#This Row],[Qty Override]],IF(tblIssues[[#This Row],[Standard Issue]]="","",tblIssues[[#This Row],[Standard Issue]]))</f>
        <v>1</v>
      </c>
      <c r="K1649" s="20">
        <f>IF($F1649="","",IFERROR(INDEX(Items!$D$5:$D$597,MATCH($F1649,Items!$A$5:$A$597,0)),""))</f>
        <v>1E-4</v>
      </c>
      <c r="L1649" s="21">
        <f t="shared" si="283"/>
        <v>1E-4</v>
      </c>
      <c r="M1649" s="9" t="str">
        <f t="shared" si="281"/>
        <v/>
      </c>
      <c r="N1649" s="24">
        <f>IF($A1649="","",WORKDAY($A1649,Settings!$C$9,HolidayDates))</f>
        <v>46217</v>
      </c>
      <c r="O1649" s="24">
        <f>IF($N1649="","",WORKDAY($N1649,Settings!$C$10,HolidayDates))</f>
        <v>46255</v>
      </c>
      <c r="P1649" s="10" t="s">
        <v>501</v>
      </c>
      <c r="Q1649" s="52" t="str">
        <f t="shared" si="284"/>
        <v>Collected</v>
      </c>
      <c r="R1649" s="55" t="str">
        <f t="shared" si="285"/>
        <v>2026-07</v>
      </c>
      <c r="S1649" s="55">
        <f>IF(OR($B1649="",$F1649="",$R1649=""),"",SUMIFS(tblIssues[Qty Issued],tblIssues[Staff ID],$B1649,tblIssues[Item Name],$F1649,tblIssues[Month],$R1649))</f>
        <v>1</v>
      </c>
      <c r="T1649" s="56">
        <f>IF($I1649="","",$I1649*Settings!$C$11)</f>
        <v>1</v>
      </c>
      <c r="U1649" s="57" t="str">
        <f t="shared" si="282"/>
        <v>OK</v>
      </c>
      <c r="V1649" s="55" t="str">
        <f t="shared" si="286"/>
        <v/>
      </c>
      <c r="W1649" s="55" t="str">
        <f>IF($V1649="","",IF(COUNTIF($V$5:$V1649,$V1649)=1,1,""))</f>
        <v/>
      </c>
      <c r="X1649" s="58" t="str">
        <f>IF($W1649="","",MAX($X$4:X1648)+1)</f>
        <v/>
      </c>
      <c r="Y1649" s="62"/>
      <c r="Z1649" s="62"/>
      <c r="AA1649" s="64" t="str">
        <f>IF($C1649="","",IFERROR(INDEX('Staff Directory'!$E$5:$E$594,MATCH($C1649,'Staff Directory'!$B$5:$B$594,0)),""))</f>
        <v>firstname111.lastname111@example.com</v>
      </c>
      <c r="AB1649" s="64" t="str">
        <f>IF($C1649="","",IF(ISNUMBER(SEARCH($D1649,Settings!$C$15)),"Pickup","Dispatch"))</f>
        <v>Pickup</v>
      </c>
      <c r="AC1649" s="64" t="str">
        <f t="shared" si="287"/>
        <v>Supply order ready for pickup</v>
      </c>
      <c r="AD1649" s="64" t="str">
        <f t="shared" si="278"/>
        <v>Dear PSW,
Your order is ready for pickup from Sample Branch, Wed-Fri 9am-4pm.</v>
      </c>
      <c r="AE1649" s="64" t="str">
        <f t="shared" si="279"/>
        <v>mailto:firstname111.lastname111@example.com?subject=Supply%20order%20ready%20for%20pickup&amp;body=Dear%20PSW%2C%0A%0AYour%20order%20is%20ready%20for%20pickup%20from%20Sample%20Branch%2C%20Wed-Fri%209am-4pm.</v>
      </c>
      <c r="AF1649" s="89" t="str">
        <f t="shared" si="288"/>
        <v>Draft email</v>
      </c>
      <c r="AG1649" s="64" t="str">
        <f>IF($C1649="","",IFERROR(INDEX('Staff Directory'!$K$595:$K$599,MATCH($C1649,'Staff Directory'!$B$5:$B$599,0)),$D1649))</f>
        <v>PSW</v>
      </c>
      <c r="AH1649" t="str">
        <f>IF($C1649="","",IFERROR(INDEX('Staff Directory'!$I$595:$I$599,MATCH($C1649,'Staff Directory'!$B$5:$B$599,0))&amp;" "&amp;INDEX('Staff Directory'!$J$595:$J$599,MATCH($C1649,'Staff Directory'!$B$5:$B$599,0)),$AG1649))</f>
        <v>PSW</v>
      </c>
      <c r="AI1649" s="102"/>
      <c r="AJ1649" s="101">
        <f>IF($F1649="","",SUMIFS($J$5:$J1649,$F$5:$F1649,$F1649))</f>
        <v>209</v>
      </c>
      <c r="AK1649" s="101">
        <f t="shared" si="280"/>
        <v>209</v>
      </c>
      <c r="AL1649" s="66" t="str" cm="1">
        <f t="array" ref="AL1649">IF($F1649="","",IFERROR(INDEX('Lot Balance'!$B$5:$B$500,MATCH(1,INDEX(('Lot Balance'!$A$5:$A$500=$F1649)*('Lot Balance'!$K$5:$K$500&lt;$AK1649)*('Lot Balance'!$K$5:$K$500+'Lot Balance'!$D$5:$D$500&gt;=$AK1649),0),0)),""))</f>
        <v/>
      </c>
      <c r="AM1649" s="66" t="str" cm="1">
        <f t="array" ref="AM1649">IF($F1649="","",IFERROR(INDEX('Lot Balance'!$B$5:$B$500,MATCH(1,INDEX(('Lot Balance'!$A$5:$A$500=$F1649)*('Lot Balance'!$K$5:$K$500&lt;$AJ1649)*('Lot Balance'!$K$5:$K$500+'Lot Balance'!$D$5:$D$500&gt;=$AJ1649),0),0)),""))</f>
        <v/>
      </c>
      <c r="AN1649" s="66" t="str">
        <f>IF($F1649="","",IF($AI1649&lt;&gt;"",IF(COUNTIFS('Lot Balance'!$A$5:$A$500,$F1649,'Lot Balance'!$B$5:$B$500,$AI1649)=0,"⚠ override is not a lot of this item",IF($AI1649=$AL1649,"Override = FEFO","Override - FEFO says "&amp;$AL1649)),IF($AL1649="","⚠ no receipt on file for this item",IF($AM1649&lt;&gt;$AL1649,"FEFO auto - split, also "&amp;$AM1649,"FEFO auto"))))</f>
        <v>⚠ no receipt on file for this item</v>
      </c>
      <c r="AO1649" s="114"/>
    </row>
    <row r="1650" spans="1:41" x14ac:dyDescent="0.35">
      <c r="A1650" s="74">
        <v>46209</v>
      </c>
      <c r="B1650" s="18" t="str">
        <f>IF($C1650="","",IFERROR(INDEX('Staff Directory'!$A$5:$A$594,MATCH($C1650,'Staff Directory'!$B$5:$B$594,0)),"⚠ unknown staff"))</f>
        <v>PSW-051-A4</v>
      </c>
      <c r="C1650" s="49" t="s">
        <v>1027</v>
      </c>
      <c r="D1650" s="19" t="str">
        <f>IF($B1650="","",IFERROR(INDEX('Staff Directory'!$C$5:$C$594,MATCH($B1650,'Staff Directory'!$A$5:$A$594,0)),""))</f>
        <v>PSW</v>
      </c>
      <c r="E1650" s="19" t="str">
        <f>IF($B1650="","",IFERROR(INDEX('Staff Directory'!$D$5:$D$594,MATCH($B1650,'Staff Directory'!$A$5:$A$594,0)),""))</f>
        <v>A4</v>
      </c>
      <c r="F1650" s="9" t="s">
        <v>115</v>
      </c>
      <c r="G1650" s="18" t="str">
        <f>IF($F1650="","",IFERROR(INDEX(Items!$B$5:$B$597,MATCH($F1650,Items!$A$5:$A$597,0)),"⚠ not in Items"))</f>
        <v>Wipes</v>
      </c>
      <c r="H1650" s="19">
        <f>IF($F1650="","",IFERROR(INDEX(Items!$C$5:$C$597,MATCH($F1650,Items!$A$5:$A$597,0)),""))</f>
        <v>80</v>
      </c>
      <c r="I1650" s="23">
        <f>IF($F1650="","",IFERROR(INDEX(Items!$E$5:$E$597,MATCH($F1650,Items!$A$5:$A$597,0)),""))</f>
        <v>80</v>
      </c>
      <c r="J1650" s="115">
        <f>IF(tblIssues[[#This Row],[Qty Override]]&lt;&gt;"",tblIssues[[#This Row],[Qty Override]],IF(tblIssues[[#This Row],[Standard Issue]]="","",tblIssues[[#This Row],[Standard Issue]]))</f>
        <v>80</v>
      </c>
      <c r="K1650" s="20">
        <f>IF($F1650="","",IFERROR(INDEX(Items!$D$5:$D$597,MATCH($F1650,Items!$A$5:$A$597,0)),""))</f>
        <v>0.1</v>
      </c>
      <c r="L1650" s="21">
        <f t="shared" si="283"/>
        <v>8</v>
      </c>
      <c r="M1650" s="9" t="str">
        <f t="shared" si="281"/>
        <v>LYSL500290</v>
      </c>
      <c r="N1650" s="24">
        <f>IF($A1650="","",WORKDAY($A1650,Settings!$C$9,HolidayDates))</f>
        <v>46217</v>
      </c>
      <c r="O1650" s="24">
        <f>IF($N1650="","",WORKDAY($N1650,Settings!$C$10,HolidayDates))</f>
        <v>46255</v>
      </c>
      <c r="P1650" s="10" t="s">
        <v>501</v>
      </c>
      <c r="Q1650" s="52" t="str">
        <f t="shared" si="284"/>
        <v>Collected</v>
      </c>
      <c r="R1650" s="55" t="str">
        <f t="shared" si="285"/>
        <v>2026-07</v>
      </c>
      <c r="S1650" s="55">
        <f>IF(OR($B1650="",$F1650="",$R1650=""),"",SUMIFS(tblIssues[Qty Issued],tblIssues[Staff ID],$B1650,tblIssues[Item Name],$F1650,tblIssues[Month],$R1650))</f>
        <v>80</v>
      </c>
      <c r="T1650" s="56">
        <f>IF($I1650="","",$I1650*Settings!$C$11)</f>
        <v>80</v>
      </c>
      <c r="U1650" s="57" t="str">
        <f t="shared" si="282"/>
        <v>OK</v>
      </c>
      <c r="V1650" s="55" t="str">
        <f t="shared" si="286"/>
        <v/>
      </c>
      <c r="W1650" s="55" t="str">
        <f>IF($V1650="","",IF(COUNTIF($V$5:$V1650,$V1650)=1,1,""))</f>
        <v/>
      </c>
      <c r="X1650" s="58" t="str">
        <f>IF($W1650="","",MAX($X$4:X1649)+1)</f>
        <v/>
      </c>
      <c r="Y1650" s="62"/>
      <c r="Z1650" s="62"/>
      <c r="AA1650" s="64" t="str">
        <f>IF($C1650="","",IFERROR(INDEX('Staff Directory'!$E$5:$E$594,MATCH($C1650,'Staff Directory'!$B$5:$B$594,0)),""))</f>
        <v>firstname111.lastname111@example.com</v>
      </c>
      <c r="AB1650" s="64" t="str">
        <f>IF($C1650="","",IF(ISNUMBER(SEARCH($D1650,Settings!$C$15)),"Pickup","Dispatch"))</f>
        <v>Pickup</v>
      </c>
      <c r="AC1650" s="64" t="str">
        <f t="shared" si="287"/>
        <v>Supply order ready for pickup</v>
      </c>
      <c r="AD1650" s="64" t="str">
        <f t="shared" si="278"/>
        <v>Dear PSW,
Your order is ready for pickup from Sample Branch, Wed-Fri 9am-4pm.</v>
      </c>
      <c r="AE1650" s="64" t="str">
        <f t="shared" si="279"/>
        <v>mailto:firstname111.lastname111@example.com?subject=Supply%20order%20ready%20for%20pickup&amp;body=Dear%20PSW%2C%0A%0AYour%20order%20is%20ready%20for%20pickup%20from%20Sample%20Branch%2C%20Wed-Fri%209am-4pm.</v>
      </c>
      <c r="AF1650" s="89" t="str">
        <f t="shared" si="288"/>
        <v>Draft email</v>
      </c>
      <c r="AG1650" s="64" t="str">
        <f>IF($C1650="","",IFERROR(INDEX('Staff Directory'!$K$595:$K$599,MATCH($C1650,'Staff Directory'!$B$5:$B$599,0)),$D1650))</f>
        <v>PSW</v>
      </c>
      <c r="AH1650" t="str">
        <f>IF($C1650="","",IFERROR(INDEX('Staff Directory'!$I$595:$I$599,MATCH($C1650,'Staff Directory'!$B$5:$B$599,0))&amp;" "&amp;INDEX('Staff Directory'!$J$595:$J$599,MATCH($C1650,'Staff Directory'!$B$5:$B$599,0)),$AG1650))</f>
        <v>PSW</v>
      </c>
      <c r="AI1650" s="102"/>
      <c r="AJ1650" s="101">
        <f>IF($F1650="","",SUMIFS($J$5:$J1650,$F$5:$F1650,$F1650))</f>
        <v>22160</v>
      </c>
      <c r="AK1650" s="101">
        <f t="shared" si="280"/>
        <v>22081</v>
      </c>
      <c r="AL1650" s="66" t="str" cm="1">
        <f t="array" ref="AL1650">IF($F1650="","",IFERROR(INDEX('Lot Balance'!$B$5:$B$500,MATCH(1,INDEX(('Lot Balance'!$A$5:$A$500=$F1650)*('Lot Balance'!$K$5:$K$500&lt;$AK1650)*('Lot Balance'!$K$5:$K$500+'Lot Balance'!$D$5:$D$500&gt;=$AK1650),0),0)),""))</f>
        <v>LYSL500290</v>
      </c>
      <c r="AM1650" s="66" t="str" cm="1">
        <f t="array" ref="AM1650">IF($F1650="","",IFERROR(INDEX('Lot Balance'!$B$5:$B$500,MATCH(1,INDEX(('Lot Balance'!$A$5:$A$500=$F1650)*('Lot Balance'!$K$5:$K$500&lt;$AJ1650)*('Lot Balance'!$K$5:$K$500+'Lot Balance'!$D$5:$D$500&gt;=$AJ1650),0),0)),""))</f>
        <v>LYSL500290</v>
      </c>
      <c r="AN1650" s="66" t="str">
        <f>IF($F1650="","",IF($AI1650&lt;&gt;"",IF(COUNTIFS('Lot Balance'!$A$5:$A$500,$F1650,'Lot Balance'!$B$5:$B$500,$AI1650)=0,"⚠ override is not a lot of this item",IF($AI1650=$AL1650,"Override = FEFO","Override - FEFO says "&amp;$AL1650)),IF($AL1650="","⚠ no receipt on file for this item",IF($AM1650&lt;&gt;$AL1650,"FEFO auto - split, also "&amp;$AM1650,"FEFO auto"))))</f>
        <v>FEFO auto</v>
      </c>
      <c r="AO1650" s="114"/>
    </row>
    <row r="1651" spans="1:41" x14ac:dyDescent="0.35">
      <c r="A1651" s="74">
        <v>46209</v>
      </c>
      <c r="B1651" s="18" t="str">
        <f>IF($C1651="","",IFERROR(INDEX('Staff Directory'!$A$5:$A$594,MATCH($C1651,'Staff Directory'!$B$5:$B$594,0)),"⚠ unknown staff"))</f>
        <v>PSW-051-A4</v>
      </c>
      <c r="C1651" s="49" t="s">
        <v>1027</v>
      </c>
      <c r="D1651" s="19" t="str">
        <f>IF($B1651="","",IFERROR(INDEX('Staff Directory'!$C$5:$C$594,MATCH($B1651,'Staff Directory'!$A$5:$A$594,0)),""))</f>
        <v>PSW</v>
      </c>
      <c r="E1651" s="19" t="str">
        <f>IF($B1651="","",IFERROR(INDEX('Staff Directory'!$D$5:$D$594,MATCH($B1651,'Staff Directory'!$A$5:$A$594,0)),""))</f>
        <v>A4</v>
      </c>
      <c r="F1651" s="9" t="s">
        <v>156</v>
      </c>
      <c r="G1651" s="18" t="str">
        <f>IF($F1651="","",IFERROR(INDEX(Items!$B$5:$B$597,MATCH($F1651,Items!$A$5:$A$597,0)),"⚠ not in Items"))</f>
        <v>Masks</v>
      </c>
      <c r="H1651" s="19" t="str">
        <f>IF($F1651="","",IFERROR(INDEX(Items!$C$5:$C$597,MATCH($F1651,Items!$A$5:$A$597,0)),""))</f>
        <v>One Size</v>
      </c>
      <c r="I1651" s="23">
        <f>IF($F1651="","",IFERROR(INDEX(Items!$E$5:$E$597,MATCH($F1651,Items!$A$5:$A$597,0)),""))</f>
        <v>50</v>
      </c>
      <c r="J1651" s="115">
        <f>IF(tblIssues[[#This Row],[Qty Override]]&lt;&gt;"",tblIssues[[#This Row],[Qty Override]],IF(tblIssues[[#This Row],[Standard Issue]]="","",tblIssues[[#This Row],[Standard Issue]]))</f>
        <v>50</v>
      </c>
      <c r="K1651" s="20">
        <f>IF($F1651="","",IFERROR(INDEX(Items!$D$5:$D$597,MATCH($F1651,Items!$A$5:$A$597,0)),""))</f>
        <v>0.25</v>
      </c>
      <c r="L1651" s="21">
        <f t="shared" si="283"/>
        <v>12.5</v>
      </c>
      <c r="M1651" s="9" t="str">
        <f t="shared" si="281"/>
        <v>24HA2050A7396</v>
      </c>
      <c r="N1651" s="24">
        <f>IF($A1651="","",WORKDAY($A1651,Settings!$C$9,HolidayDates))</f>
        <v>46217</v>
      </c>
      <c r="O1651" s="24">
        <f>IF($N1651="","",WORKDAY($N1651,Settings!$C$10,HolidayDates))</f>
        <v>46255</v>
      </c>
      <c r="P1651" s="10" t="s">
        <v>501</v>
      </c>
      <c r="Q1651" s="52" t="str">
        <f t="shared" si="284"/>
        <v>Collected</v>
      </c>
      <c r="R1651" s="55" t="str">
        <f t="shared" si="285"/>
        <v>2026-07</v>
      </c>
      <c r="S1651" s="55">
        <f>IF(OR($B1651="",$F1651="",$R1651=""),"",SUMIFS(tblIssues[Qty Issued],tblIssues[Staff ID],$B1651,tblIssues[Item Name],$F1651,tblIssues[Month],$R1651))</f>
        <v>50</v>
      </c>
      <c r="T1651" s="56">
        <f>IF($I1651="","",$I1651*Settings!$C$11)</f>
        <v>50</v>
      </c>
      <c r="U1651" s="57" t="str">
        <f t="shared" si="282"/>
        <v>OK</v>
      </c>
      <c r="V1651" s="55" t="str">
        <f t="shared" si="286"/>
        <v/>
      </c>
      <c r="W1651" s="55" t="str">
        <f>IF($V1651="","",IF(COUNTIF($V$5:$V1651,$V1651)=1,1,""))</f>
        <v/>
      </c>
      <c r="X1651" s="58" t="str">
        <f>IF($W1651="","",MAX($X$4:X1650)+1)</f>
        <v/>
      </c>
      <c r="Y1651" s="62"/>
      <c r="Z1651" s="62"/>
      <c r="AA1651" s="64" t="str">
        <f>IF($C1651="","",IFERROR(INDEX('Staff Directory'!$E$5:$E$594,MATCH($C1651,'Staff Directory'!$B$5:$B$594,0)),""))</f>
        <v>firstname111.lastname111@example.com</v>
      </c>
      <c r="AB1651" s="64" t="str">
        <f>IF($C1651="","",IF(ISNUMBER(SEARCH($D1651,Settings!$C$15)),"Pickup","Dispatch"))</f>
        <v>Pickup</v>
      </c>
      <c r="AC1651" s="64" t="str">
        <f t="shared" si="287"/>
        <v>Supply order ready for pickup</v>
      </c>
      <c r="AD1651" s="64" t="str">
        <f t="shared" si="278"/>
        <v>Dear PSW,
Your order is ready for pickup from Sample Branch, Wed-Fri 9am-4pm.</v>
      </c>
      <c r="AE1651" s="64" t="str">
        <f t="shared" si="279"/>
        <v>mailto:firstname111.lastname111@example.com?subject=Supply%20order%20ready%20for%20pickup&amp;body=Dear%20PSW%2C%0A%0AYour%20order%20is%20ready%20for%20pickup%20from%20Sample%20Branch%2C%20Wed-Fri%209am-4pm.</v>
      </c>
      <c r="AF1651" s="89" t="str">
        <f t="shared" si="288"/>
        <v>Draft email</v>
      </c>
      <c r="AG1651" s="64" t="str">
        <f>IF($C1651="","",IFERROR(INDEX('Staff Directory'!$K$595:$K$599,MATCH($C1651,'Staff Directory'!$B$5:$B$599,0)),$D1651))</f>
        <v>PSW</v>
      </c>
      <c r="AH1651" t="str">
        <f>IF($C1651="","",IFERROR(INDEX('Staff Directory'!$I$595:$I$599,MATCH($C1651,'Staff Directory'!$B$5:$B$599,0))&amp;" "&amp;INDEX('Staff Directory'!$J$595:$J$599,MATCH($C1651,'Staff Directory'!$B$5:$B$599,0)),$AG1651))</f>
        <v>PSW</v>
      </c>
      <c r="AI1651" s="102"/>
      <c r="AJ1651" s="101">
        <f>IF($F1651="","",SUMIFS($J$5:$J1651,$F$5:$F1651,$F1651))</f>
        <v>13450</v>
      </c>
      <c r="AK1651" s="101">
        <f t="shared" si="280"/>
        <v>13401</v>
      </c>
      <c r="AL1651" s="66" t="str" cm="1">
        <f t="array" ref="AL1651">IF($F1651="","",IFERROR(INDEX('Lot Balance'!$B$5:$B$500,MATCH(1,INDEX(('Lot Balance'!$A$5:$A$500=$F1651)*('Lot Balance'!$K$5:$K$500&lt;$AK1651)*('Lot Balance'!$K$5:$K$500+'Lot Balance'!$D$5:$D$500&gt;=$AK1651),0),0)),""))</f>
        <v>24HA2050A7396</v>
      </c>
      <c r="AM1651" s="66" t="str" cm="1">
        <f t="array" ref="AM1651">IF($F1651="","",IFERROR(INDEX('Lot Balance'!$B$5:$B$500,MATCH(1,INDEX(('Lot Balance'!$A$5:$A$500=$F1651)*('Lot Balance'!$K$5:$K$500&lt;$AJ1651)*('Lot Balance'!$K$5:$K$500+'Lot Balance'!$D$5:$D$500&gt;=$AJ1651),0),0)),""))</f>
        <v>24HA2050A7396</v>
      </c>
      <c r="AN1651" s="66" t="str">
        <f>IF($F1651="","",IF($AI1651&lt;&gt;"",IF(COUNTIFS('Lot Balance'!$A$5:$A$500,$F1651,'Lot Balance'!$B$5:$B$500,$AI1651)=0,"⚠ override is not a lot of this item",IF($AI1651=$AL1651,"Override = FEFO","Override - FEFO says "&amp;$AL1651)),IF($AL1651="","⚠ no receipt on file for this item",IF($AM1651&lt;&gt;$AL1651,"FEFO auto - split, also "&amp;$AM1651,"FEFO auto"))))</f>
        <v>FEFO auto</v>
      </c>
      <c r="AO1651" s="114"/>
    </row>
    <row r="1652" spans="1:41" x14ac:dyDescent="0.35">
      <c r="A1652" s="74">
        <v>46209</v>
      </c>
      <c r="B1652" s="18" t="str">
        <f>IF($C1652="","",IFERROR(INDEX('Staff Directory'!$A$5:$A$594,MATCH($C1652,'Staff Directory'!$B$5:$B$594,0)),"⚠ unknown staff"))</f>
        <v>PSW-051-A4</v>
      </c>
      <c r="C1652" s="49" t="s">
        <v>1027</v>
      </c>
      <c r="D1652" s="19" t="str">
        <f>IF($B1652="","",IFERROR(INDEX('Staff Directory'!$C$5:$C$594,MATCH($B1652,'Staff Directory'!$A$5:$A$594,0)),""))</f>
        <v>PSW</v>
      </c>
      <c r="E1652" s="19" t="str">
        <f>IF($B1652="","",IFERROR(INDEX('Staff Directory'!$D$5:$D$594,MATCH($B1652,'Staff Directory'!$A$5:$A$594,0)),""))</f>
        <v>A4</v>
      </c>
      <c r="F1652" s="9" t="s">
        <v>758</v>
      </c>
      <c r="G1652" s="18" t="str">
        <f>IF($F1652="","",IFERROR(INDEX(Items!$B$5:$B$597,MATCH($F1652,Items!$A$5:$A$597,0)),"⚠ not in Items"))</f>
        <v>Utility</v>
      </c>
      <c r="H1652" s="19" t="str">
        <f>IF($F1652="","",IFERROR(INDEX(Items!$C$5:$C$597,MATCH($F1652,Items!$A$5:$A$597,0)),""))</f>
        <v>Standard</v>
      </c>
      <c r="I1652" s="23">
        <f>IF($F1652="","",IFERROR(INDEX(Items!$E$5:$E$597,MATCH($F1652,Items!$A$5:$A$597,0)),""))</f>
        <v>1</v>
      </c>
      <c r="J1652" s="115">
        <f>IF(tblIssues[[#This Row],[Qty Override]]&lt;&gt;"",tblIssues[[#This Row],[Qty Override]],IF(tblIssues[[#This Row],[Standard Issue]]="","",tblIssues[[#This Row],[Standard Issue]]))</f>
        <v>1</v>
      </c>
      <c r="K1652" s="20">
        <f>IF($F1652="","",IFERROR(INDEX(Items!$D$5:$D$597,MATCH($F1652,Items!$A$5:$A$597,0)),""))</f>
        <v>0</v>
      </c>
      <c r="L1652" s="21">
        <f t="shared" si="283"/>
        <v>0</v>
      </c>
      <c r="M1652" s="9" t="str">
        <f t="shared" si="281"/>
        <v/>
      </c>
      <c r="N1652" s="24">
        <f>IF($A1652="","",WORKDAY($A1652,Settings!$C$9,HolidayDates))</f>
        <v>46217</v>
      </c>
      <c r="O1652" s="24">
        <f>IF($N1652="","",WORKDAY($N1652,Settings!$C$10,HolidayDates))</f>
        <v>46255</v>
      </c>
      <c r="P1652" s="10" t="s">
        <v>501</v>
      </c>
      <c r="Q1652" s="52" t="str">
        <f t="shared" si="284"/>
        <v>Collected</v>
      </c>
      <c r="R1652" s="55" t="str">
        <f t="shared" si="285"/>
        <v>2026-07</v>
      </c>
      <c r="S1652" s="55">
        <f>IF(OR($B1652="",$F1652="",$R1652=""),"",SUMIFS(tblIssues[Qty Issued],tblIssues[Staff ID],$B1652,tblIssues[Item Name],$F1652,tblIssues[Month],$R1652))</f>
        <v>1</v>
      </c>
      <c r="T1652" s="56">
        <f>IF($I1652="","",$I1652*Settings!$C$11)</f>
        <v>1</v>
      </c>
      <c r="U1652" s="57" t="str">
        <f t="shared" si="282"/>
        <v>OK</v>
      </c>
      <c r="V1652" s="55" t="str">
        <f t="shared" si="286"/>
        <v/>
      </c>
      <c r="W1652" s="55" t="str">
        <f>IF($V1652="","",IF(COUNTIF($V$5:$V1652,$V1652)=1,1,""))</f>
        <v/>
      </c>
      <c r="X1652" s="58" t="str">
        <f>IF($W1652="","",MAX($X$4:X1651)+1)</f>
        <v/>
      </c>
      <c r="Y1652" s="62"/>
      <c r="Z1652" s="62"/>
      <c r="AA1652" s="64" t="str">
        <f>IF($C1652="","",IFERROR(INDEX('Staff Directory'!$E$5:$E$594,MATCH($C1652,'Staff Directory'!$B$5:$B$594,0)),""))</f>
        <v>firstname111.lastname111@example.com</v>
      </c>
      <c r="AB1652" s="64" t="str">
        <f>IF($C1652="","",IF(ISNUMBER(SEARCH($D1652,Settings!$C$15)),"Pickup","Dispatch"))</f>
        <v>Pickup</v>
      </c>
      <c r="AC1652" s="64" t="str">
        <f t="shared" si="287"/>
        <v>Supply order ready for pickup</v>
      </c>
      <c r="AD1652" s="64" t="str">
        <f t="shared" si="278"/>
        <v>Dear PSW,
Your order is ready for pickup from Sample Branch, Wed-Fri 9am-4pm.</v>
      </c>
      <c r="AE1652" s="64" t="str">
        <f t="shared" si="279"/>
        <v>mailto:firstname111.lastname111@example.com?subject=Supply%20order%20ready%20for%20pickup&amp;body=Dear%20PSW%2C%0A%0AYour%20order%20is%20ready%20for%20pickup%20from%20Sample%20Branch%2C%20Wed-Fri%209am-4pm.</v>
      </c>
      <c r="AF1652" s="89" t="str">
        <f t="shared" si="288"/>
        <v>Draft email</v>
      </c>
      <c r="AG1652" s="64" t="str">
        <f>IF($C1652="","",IFERROR(INDEX('Staff Directory'!$K$595:$K$599,MATCH($C1652,'Staff Directory'!$B$5:$B$599,0)),$D1652))</f>
        <v>PSW</v>
      </c>
      <c r="AH1652" t="str">
        <f>IF($C1652="","",IFERROR(INDEX('Staff Directory'!$I$595:$I$599,MATCH($C1652,'Staff Directory'!$B$5:$B$599,0))&amp;" "&amp;INDEX('Staff Directory'!$J$595:$J$599,MATCH($C1652,'Staff Directory'!$B$5:$B$599,0)),$AG1652))</f>
        <v>PSW</v>
      </c>
      <c r="AI1652" s="102"/>
      <c r="AJ1652" s="101">
        <f>IF($F1652="","",SUMIFS($J$5:$J1652,$F$5:$F1652,$F1652))</f>
        <v>44</v>
      </c>
      <c r="AK1652" s="101">
        <f t="shared" si="280"/>
        <v>44</v>
      </c>
      <c r="AL1652" s="66" t="str" cm="1">
        <f t="array" ref="AL1652">IF($F1652="","",IFERROR(INDEX('Lot Balance'!$B$5:$B$500,MATCH(1,INDEX(('Lot Balance'!$A$5:$A$500=$F1652)*('Lot Balance'!$K$5:$K$500&lt;$AK1652)*('Lot Balance'!$K$5:$K$500+'Lot Balance'!$D$5:$D$500&gt;=$AK1652),0),0)),""))</f>
        <v/>
      </c>
      <c r="AM1652" s="66" t="str" cm="1">
        <f t="array" ref="AM1652">IF($F1652="","",IFERROR(INDEX('Lot Balance'!$B$5:$B$500,MATCH(1,INDEX(('Lot Balance'!$A$5:$A$500=$F1652)*('Lot Balance'!$K$5:$K$500&lt;$AJ1652)*('Lot Balance'!$K$5:$K$500+'Lot Balance'!$D$5:$D$500&gt;=$AJ1652),0),0)),""))</f>
        <v/>
      </c>
      <c r="AN1652" s="66" t="str">
        <f>IF($F1652="","",IF($AI1652&lt;&gt;"",IF(COUNTIFS('Lot Balance'!$A$5:$A$500,$F1652,'Lot Balance'!$B$5:$B$500,$AI1652)=0,"⚠ override is not a lot of this item",IF($AI1652=$AL1652,"Override = FEFO","Override - FEFO says "&amp;$AL1652)),IF($AL1652="","⚠ no receipt on file for this item",IF($AM1652&lt;&gt;$AL1652,"FEFO auto - split, also "&amp;$AM1652,"FEFO auto"))))</f>
        <v>⚠ no receipt on file for this item</v>
      </c>
      <c r="AO1652" s="114"/>
    </row>
    <row r="1653" spans="1:41" x14ac:dyDescent="0.35">
      <c r="A1653" s="74">
        <v>46209</v>
      </c>
      <c r="B1653" s="18" t="str">
        <f>IF($C1653="","",IFERROR(INDEX('Staff Directory'!$A$5:$A$594,MATCH($C1653,'Staff Directory'!$B$5:$B$594,0)),"⚠ unknown staff"))</f>
        <v>RN-038-A1</v>
      </c>
      <c r="C1653" s="49" t="s">
        <v>960</v>
      </c>
      <c r="D1653" s="19" t="str">
        <f>IF($B1653="","",IFERROR(INDEX('Staff Directory'!$C$5:$C$594,MATCH($B1653,'Staff Directory'!$A$5:$A$594,0)),""))</f>
        <v>RN</v>
      </c>
      <c r="E1653" s="19" t="str">
        <f>IF($B1653="","",IFERROR(INDEX('Staff Directory'!$D$5:$D$594,MATCH($B1653,'Staff Directory'!$A$5:$A$594,0)),""))</f>
        <v>A1</v>
      </c>
      <c r="F1653" s="9" t="s">
        <v>127</v>
      </c>
      <c r="G1653" s="18" t="str">
        <f>IF($F1653="","",IFERROR(INDEX(Items!$B$5:$B$597,MATCH($F1653,Items!$A$5:$A$597,0)),"⚠ not in Items"))</f>
        <v>Gloves</v>
      </c>
      <c r="H1653" s="19" t="str">
        <f>IF($F1653="","",IFERROR(INDEX(Items!$C$5:$C$597,MATCH($F1653,Items!$A$5:$A$597,0)),""))</f>
        <v>Medium</v>
      </c>
      <c r="I1653" s="23">
        <f>IF($F1653="","",IFERROR(INDEX(Items!$E$5:$E$597,MATCH($F1653,Items!$A$5:$A$597,0)),""))</f>
        <v>500</v>
      </c>
      <c r="J1653" s="115">
        <f>IF(tblIssues[[#This Row],[Qty Override]]&lt;&gt;"",tblIssues[[#This Row],[Qty Override]],IF(tblIssues[[#This Row],[Standard Issue]]="","",tblIssues[[#This Row],[Standard Issue]]))</f>
        <v>500</v>
      </c>
      <c r="K1653" s="20">
        <f>IF($F1653="","",IFERROR(INDEX(Items!$D$5:$D$597,MATCH($F1653,Items!$A$5:$A$597,0)),""))</f>
        <v>5.5E-2</v>
      </c>
      <c r="L1653" s="21">
        <f t="shared" si="283"/>
        <v>27.5</v>
      </c>
      <c r="M1653" s="9" t="str">
        <f t="shared" si="281"/>
        <v>ZIM604151579</v>
      </c>
      <c r="N1653" s="24">
        <f>IF($A1653="","",WORKDAY($A1653,Settings!$C$9,HolidayDates))</f>
        <v>46217</v>
      </c>
      <c r="O1653" s="24">
        <f>IF($N1653="","",WORKDAY($N1653,Settings!$C$10,HolidayDates))</f>
        <v>46255</v>
      </c>
      <c r="P1653" s="10" t="s">
        <v>502</v>
      </c>
      <c r="Q1653" s="52" t="str">
        <f t="shared" si="284"/>
        <v>Collected</v>
      </c>
      <c r="R1653" s="55" t="str">
        <f t="shared" si="285"/>
        <v>2026-07</v>
      </c>
      <c r="S1653" s="55">
        <f>IF(OR($B1653="",$F1653="",$R1653=""),"",SUMIFS(tblIssues[Qty Issued],tblIssues[Staff ID],$B1653,tblIssues[Item Name],$F1653,tblIssues[Month],$R1653))</f>
        <v>500</v>
      </c>
      <c r="T1653" s="56">
        <f>IF($I1653="","",$I1653*Settings!$C$11)</f>
        <v>500</v>
      </c>
      <c r="U1653" s="57" t="str">
        <f t="shared" si="282"/>
        <v>OK</v>
      </c>
      <c r="V1653" s="55" t="str">
        <f t="shared" si="286"/>
        <v/>
      </c>
      <c r="W1653" s="55" t="str">
        <f>IF($V1653="","",IF(COUNTIF($V$5:$V1653,$V1653)=1,1,""))</f>
        <v/>
      </c>
      <c r="X1653" s="58" t="str">
        <f>IF($W1653="","",MAX($X$4:X1652)+1)</f>
        <v/>
      </c>
      <c r="Y1653" s="62"/>
      <c r="Z1653" s="62"/>
      <c r="AA1653" s="64" t="str">
        <f>IF($C1653="","",IFERROR(INDEX('Staff Directory'!$E$5:$E$594,MATCH($C1653,'Staff Directory'!$B$5:$B$594,0)),""))</f>
        <v>firstname044.lastname044@example.com</v>
      </c>
      <c r="AB1653" s="64" t="str">
        <f>IF($C1653="","",IF(ISNUMBER(SEARCH($D1653,Settings!$C$15)),"Pickup","Dispatch"))</f>
        <v>Dispatch</v>
      </c>
      <c r="AC1653" s="64" t="str">
        <f t="shared" si="287"/>
        <v>Supply order dispatched</v>
      </c>
      <c r="AD1653" s="64" t="str">
        <f t="shared" si="278"/>
        <v>Dear RN,
Your order has been dispatched and is in transit. Reply if undelivered.</v>
      </c>
      <c r="AE1653" s="64" t="str">
        <f t="shared" si="279"/>
        <v>mailto:firstname044.lastname044@example.com?subject=Supply%20order%20dispatched&amp;body=Dear%20RN%2C%0A%0AYour%20order%20has%20been%20dispatched%20and%20is%20in%20transit.%20Reply%20if%20undelivered.</v>
      </c>
      <c r="AF1653" s="89" t="str">
        <f t="shared" si="288"/>
        <v>Draft email</v>
      </c>
      <c r="AG1653" s="64" t="str">
        <f>IF($C1653="","",IFERROR(INDEX('Staff Directory'!$K$595:$K$599,MATCH($C1653,'Staff Directory'!$B$5:$B$599,0)),$D1653))</f>
        <v>RN</v>
      </c>
      <c r="AH1653" t="str">
        <f>IF($C1653="","",IFERROR(INDEX('Staff Directory'!$I$595:$I$599,MATCH($C1653,'Staff Directory'!$B$5:$B$599,0))&amp;" "&amp;INDEX('Staff Directory'!$J$595:$J$599,MATCH($C1653,'Staff Directory'!$B$5:$B$599,0)),$AG1653))</f>
        <v>RN</v>
      </c>
      <c r="AI1653" s="102"/>
      <c r="AJ1653" s="101">
        <f>IF($F1653="","",SUMIFS($J$5:$J1653,$F$5:$F1653,$F1653))</f>
        <v>98000</v>
      </c>
      <c r="AK1653" s="101">
        <f t="shared" si="280"/>
        <v>97501</v>
      </c>
      <c r="AL1653" s="66" t="str" cm="1">
        <f t="array" ref="AL1653">IF($F1653="","",IFERROR(INDEX('Lot Balance'!$B$5:$B$500,MATCH(1,INDEX(('Lot Balance'!$A$5:$A$500=$F1653)*('Lot Balance'!$K$5:$K$500&lt;$AK1653)*('Lot Balance'!$K$5:$K$500+'Lot Balance'!$D$5:$D$500&gt;=$AK1653),0),0)),""))</f>
        <v>ZIM604151579</v>
      </c>
      <c r="AM1653" s="66" t="str" cm="1">
        <f t="array" ref="AM1653">IF($F1653="","",IFERROR(INDEX('Lot Balance'!$B$5:$B$500,MATCH(1,INDEX(('Lot Balance'!$A$5:$A$500=$F1653)*('Lot Balance'!$K$5:$K$500&lt;$AJ1653)*('Lot Balance'!$K$5:$K$500+'Lot Balance'!$D$5:$D$500&gt;=$AJ1653),0),0)),""))</f>
        <v>ZIM604151579</v>
      </c>
      <c r="AN1653" s="66" t="str">
        <f>IF($F1653="","",IF($AI1653&lt;&gt;"",IF(COUNTIFS('Lot Balance'!$A$5:$A$500,$F1653,'Lot Balance'!$B$5:$B$500,$AI1653)=0,"⚠ override is not a lot of this item",IF($AI1653=$AL1653,"Override = FEFO","Override - FEFO says "&amp;$AL1653)),IF($AL1653="","⚠ no receipt on file for this item",IF($AM1653&lt;&gt;$AL1653,"FEFO auto - split, also "&amp;$AM1653,"FEFO auto"))))</f>
        <v>FEFO auto</v>
      </c>
      <c r="AO1653" s="114"/>
    </row>
    <row r="1654" spans="1:41" x14ac:dyDescent="0.35">
      <c r="A1654" s="74">
        <v>46209</v>
      </c>
      <c r="B1654" s="18" t="str">
        <f>IF($C1654="","",IFERROR(INDEX('Staff Directory'!$A$5:$A$594,MATCH($C1654,'Staff Directory'!$B$5:$B$594,0)),"⚠ unknown staff"))</f>
        <v>RN-038-A1</v>
      </c>
      <c r="C1654" s="49" t="s">
        <v>960</v>
      </c>
      <c r="D1654" s="19" t="str">
        <f>IF($B1654="","",IFERROR(INDEX('Staff Directory'!$C$5:$C$594,MATCH($B1654,'Staff Directory'!$A$5:$A$594,0)),""))</f>
        <v>RN</v>
      </c>
      <c r="E1654" s="19" t="str">
        <f>IF($B1654="","",IFERROR(INDEX('Staff Directory'!$D$5:$D$594,MATCH($B1654,'Staff Directory'!$A$5:$A$594,0)),""))</f>
        <v>A1</v>
      </c>
      <c r="F1654" s="9" t="s">
        <v>191</v>
      </c>
      <c r="G1654" s="18" t="str">
        <f>IF($F1654="","",IFERROR(INDEX(Items!$B$5:$B$597,MATCH($F1654,Items!$A$5:$A$597,0)),"⚠ not in Items"))</f>
        <v>Sanitizer</v>
      </c>
      <c r="H1654" s="19" t="str">
        <f>IF($F1654="","",IFERROR(INDEX(Items!$C$5:$C$597,MATCH($F1654,Items!$A$5:$A$597,0)),""))</f>
        <v>236 ML</v>
      </c>
      <c r="I1654" s="23">
        <f>IF($F1654="","",IFERROR(INDEX(Items!$E$5:$E$597,MATCH($F1654,Items!$A$5:$A$597,0)),""))</f>
        <v>1</v>
      </c>
      <c r="J1654" s="115">
        <f>IF(tblIssues[[#This Row],[Qty Override]]&lt;&gt;"",tblIssues[[#This Row],[Qty Override]],IF(tblIssues[[#This Row],[Standard Issue]]="","",tblIssues[[#This Row],[Standard Issue]]))</f>
        <v>1</v>
      </c>
      <c r="K1654" s="20">
        <f>IF($F1654="","",IFERROR(INDEX(Items!$D$5:$D$597,MATCH($F1654,Items!$A$5:$A$597,0)),""))</f>
        <v>1E-4</v>
      </c>
      <c r="L1654" s="21">
        <f t="shared" si="283"/>
        <v>1E-4</v>
      </c>
      <c r="M1654" s="9" t="str">
        <f t="shared" si="281"/>
        <v/>
      </c>
      <c r="N1654" s="24">
        <f>IF($A1654="","",WORKDAY($A1654,Settings!$C$9,HolidayDates))</f>
        <v>46217</v>
      </c>
      <c r="O1654" s="24">
        <f>IF($N1654="","",WORKDAY($N1654,Settings!$C$10,HolidayDates))</f>
        <v>46255</v>
      </c>
      <c r="P1654" s="10" t="s">
        <v>502</v>
      </c>
      <c r="Q1654" s="52" t="str">
        <f t="shared" si="284"/>
        <v>Collected</v>
      </c>
      <c r="R1654" s="55" t="str">
        <f t="shared" si="285"/>
        <v>2026-07</v>
      </c>
      <c r="S1654" s="55">
        <f>IF(OR($B1654="",$F1654="",$R1654=""),"",SUMIFS(tblIssues[Qty Issued],tblIssues[Staff ID],$B1654,tblIssues[Item Name],$F1654,tblIssues[Month],$R1654))</f>
        <v>2</v>
      </c>
      <c r="T1654" s="56">
        <f>IF($I1654="","",$I1654*Settings!$C$11)</f>
        <v>1</v>
      </c>
      <c r="U1654" s="57" t="str">
        <f t="shared" si="282"/>
        <v>⚠ OVER QUOTA</v>
      </c>
      <c r="V1654" s="55" t="str">
        <f t="shared" si="286"/>
        <v>RN-038-A1 | Hand Sanitizer OS | 2026-07</v>
      </c>
      <c r="W1654" s="55">
        <f>IF($V1654="","",IF(COUNTIF($V$5:$V1654,$V1654)=1,1,""))</f>
        <v>1</v>
      </c>
      <c r="X1654" s="58">
        <f>IF($W1654="","",MAX($X$4:X1653)+1)</f>
        <v>52</v>
      </c>
      <c r="Y1654" s="62"/>
      <c r="Z1654" s="62"/>
      <c r="AA1654" s="64" t="str">
        <f>IF($C1654="","",IFERROR(INDEX('Staff Directory'!$E$5:$E$594,MATCH($C1654,'Staff Directory'!$B$5:$B$594,0)),""))</f>
        <v>firstname044.lastname044@example.com</v>
      </c>
      <c r="AB1654" s="64" t="str">
        <f>IF($C1654="","",IF(ISNUMBER(SEARCH($D1654,Settings!$C$15)),"Pickup","Dispatch"))</f>
        <v>Dispatch</v>
      </c>
      <c r="AC1654" s="64" t="str">
        <f t="shared" si="287"/>
        <v>Supply order dispatched</v>
      </c>
      <c r="AD1654" s="64" t="str">
        <f t="shared" si="278"/>
        <v>Dear RN,
Your order has been dispatched and is in transit. Reply if undelivered.</v>
      </c>
      <c r="AE1654" s="64" t="str">
        <f t="shared" si="279"/>
        <v>mailto:firstname044.lastname044@example.com?subject=Supply%20order%20dispatched&amp;body=Dear%20RN%2C%0A%0AYour%20order%20has%20been%20dispatched%20and%20is%20in%20transit.%20Reply%20if%20undelivered.</v>
      </c>
      <c r="AF1654" s="89" t="str">
        <f t="shared" si="288"/>
        <v>Draft email</v>
      </c>
      <c r="AG1654" s="64" t="str">
        <f>IF($C1654="","",IFERROR(INDEX('Staff Directory'!$K$595:$K$599,MATCH($C1654,'Staff Directory'!$B$5:$B$599,0)),$D1654))</f>
        <v>RN</v>
      </c>
      <c r="AH1654" t="str">
        <f>IF($C1654="","",IFERROR(INDEX('Staff Directory'!$I$595:$I$599,MATCH($C1654,'Staff Directory'!$B$5:$B$599,0))&amp;" "&amp;INDEX('Staff Directory'!$J$595:$J$599,MATCH($C1654,'Staff Directory'!$B$5:$B$599,0)),$AG1654))</f>
        <v>RN</v>
      </c>
      <c r="AI1654" s="102"/>
      <c r="AJ1654" s="101">
        <f>IF($F1654="","",SUMIFS($J$5:$J1654,$F$5:$F1654,$F1654))</f>
        <v>210</v>
      </c>
      <c r="AK1654" s="101">
        <f t="shared" si="280"/>
        <v>210</v>
      </c>
      <c r="AL1654" s="66" t="str" cm="1">
        <f t="array" ref="AL1654">IF($F1654="","",IFERROR(INDEX('Lot Balance'!$B$5:$B$500,MATCH(1,INDEX(('Lot Balance'!$A$5:$A$500=$F1654)*('Lot Balance'!$K$5:$K$500&lt;$AK1654)*('Lot Balance'!$K$5:$K$500+'Lot Balance'!$D$5:$D$500&gt;=$AK1654),0),0)),""))</f>
        <v/>
      </c>
      <c r="AM1654" s="66" t="str" cm="1">
        <f t="array" ref="AM1654">IF($F1654="","",IFERROR(INDEX('Lot Balance'!$B$5:$B$500,MATCH(1,INDEX(('Lot Balance'!$A$5:$A$500=$F1654)*('Lot Balance'!$K$5:$K$500&lt;$AJ1654)*('Lot Balance'!$K$5:$K$500+'Lot Balance'!$D$5:$D$500&gt;=$AJ1654),0),0)),""))</f>
        <v/>
      </c>
      <c r="AN1654" s="66" t="str">
        <f>IF($F1654="","",IF($AI1654&lt;&gt;"",IF(COUNTIFS('Lot Balance'!$A$5:$A$500,$F1654,'Lot Balance'!$B$5:$B$500,$AI1654)=0,"⚠ override is not a lot of this item",IF($AI1654=$AL1654,"Override = FEFO","Override - FEFO says "&amp;$AL1654)),IF($AL1654="","⚠ no receipt on file for this item",IF($AM1654&lt;&gt;$AL1654,"FEFO auto - split, also "&amp;$AM1654,"FEFO auto"))))</f>
        <v>⚠ no receipt on file for this item</v>
      </c>
      <c r="AO1654" s="114"/>
    </row>
    <row r="1655" spans="1:41" x14ac:dyDescent="0.35">
      <c r="A1655" s="74">
        <v>46209</v>
      </c>
      <c r="B1655" s="18" t="str">
        <f>IF($C1655="","",IFERROR(INDEX('Staff Directory'!$A$5:$A$594,MATCH($C1655,'Staff Directory'!$B$5:$B$594,0)),"⚠ unknown staff"))</f>
        <v>RN-038-A1</v>
      </c>
      <c r="C1655" s="49" t="s">
        <v>960</v>
      </c>
      <c r="D1655" s="19" t="str">
        <f>IF($B1655="","",IFERROR(INDEX('Staff Directory'!$C$5:$C$594,MATCH($B1655,'Staff Directory'!$A$5:$A$594,0)),""))</f>
        <v>RN</v>
      </c>
      <c r="E1655" s="19" t="str">
        <f>IF($B1655="","",IFERROR(INDEX('Staff Directory'!$D$5:$D$594,MATCH($B1655,'Staff Directory'!$A$5:$A$594,0)),""))</f>
        <v>A1</v>
      </c>
      <c r="F1655" s="9" t="s">
        <v>191</v>
      </c>
      <c r="G1655" s="18" t="str">
        <f>IF($F1655="","",IFERROR(INDEX(Items!$B$5:$B$597,MATCH($F1655,Items!$A$5:$A$597,0)),"⚠ not in Items"))</f>
        <v>Sanitizer</v>
      </c>
      <c r="H1655" s="19" t="str">
        <f>IF($F1655="","",IFERROR(INDEX(Items!$C$5:$C$597,MATCH($F1655,Items!$A$5:$A$597,0)),""))</f>
        <v>236 ML</v>
      </c>
      <c r="I1655" s="23">
        <f>IF($F1655="","",IFERROR(INDEX(Items!$E$5:$E$597,MATCH($F1655,Items!$A$5:$A$597,0)),""))</f>
        <v>1</v>
      </c>
      <c r="J1655" s="115">
        <f>IF(tblIssues[[#This Row],[Qty Override]]&lt;&gt;"",tblIssues[[#This Row],[Qty Override]],IF(tblIssues[[#This Row],[Standard Issue]]="","",tblIssues[[#This Row],[Standard Issue]]))</f>
        <v>1</v>
      </c>
      <c r="K1655" s="20">
        <f>IF($F1655="","",IFERROR(INDEX(Items!$D$5:$D$597,MATCH($F1655,Items!$A$5:$A$597,0)),""))</f>
        <v>1E-4</v>
      </c>
      <c r="L1655" s="21">
        <f t="shared" si="283"/>
        <v>1E-4</v>
      </c>
      <c r="M1655" s="9" t="str">
        <f t="shared" si="281"/>
        <v/>
      </c>
      <c r="N1655" s="24">
        <f>IF($A1655="","",WORKDAY($A1655,Settings!$C$9,HolidayDates))</f>
        <v>46217</v>
      </c>
      <c r="O1655" s="24">
        <f>IF($N1655="","",WORKDAY($N1655,Settings!$C$10,HolidayDates))</f>
        <v>46255</v>
      </c>
      <c r="P1655" s="10" t="s">
        <v>502</v>
      </c>
      <c r="Q1655" s="52" t="str">
        <f t="shared" si="284"/>
        <v>Collected</v>
      </c>
      <c r="R1655" s="55" t="str">
        <f t="shared" si="285"/>
        <v>2026-07</v>
      </c>
      <c r="S1655" s="55">
        <f>IF(OR($B1655="",$F1655="",$R1655=""),"",SUMIFS(tblIssues[Qty Issued],tblIssues[Staff ID],$B1655,tblIssues[Item Name],$F1655,tblIssues[Month],$R1655))</f>
        <v>2</v>
      </c>
      <c r="T1655" s="56">
        <f>IF($I1655="","",$I1655*Settings!$C$11)</f>
        <v>1</v>
      </c>
      <c r="U1655" s="57" t="str">
        <f t="shared" si="282"/>
        <v>⚠ OVER QUOTA</v>
      </c>
      <c r="V1655" s="55" t="str">
        <f t="shared" si="286"/>
        <v>RN-038-A1 | Hand Sanitizer OS | 2026-07</v>
      </c>
      <c r="W1655" s="55" t="str">
        <f>IF($V1655="","",IF(COUNTIF($V$5:$V1655,$V1655)=1,1,""))</f>
        <v/>
      </c>
      <c r="X1655" s="58" t="str">
        <f>IF($W1655="","",MAX($X$4:X1654)+1)</f>
        <v/>
      </c>
      <c r="Y1655" s="62"/>
      <c r="Z1655" s="62"/>
      <c r="AA1655" s="64" t="str">
        <f>IF($C1655="","",IFERROR(INDEX('Staff Directory'!$E$5:$E$594,MATCH($C1655,'Staff Directory'!$B$5:$B$594,0)),""))</f>
        <v>firstname044.lastname044@example.com</v>
      </c>
      <c r="AB1655" s="64" t="str">
        <f>IF($C1655="","",IF(ISNUMBER(SEARCH($D1655,Settings!$C$15)),"Pickup","Dispatch"))</f>
        <v>Dispatch</v>
      </c>
      <c r="AC1655" s="64" t="str">
        <f t="shared" si="287"/>
        <v>Supply order dispatched</v>
      </c>
      <c r="AD1655" s="64" t="str">
        <f t="shared" si="278"/>
        <v>Dear RN,
Your order has been dispatched and is in transit. Reply if undelivered.</v>
      </c>
      <c r="AE1655" s="64" t="str">
        <f t="shared" si="279"/>
        <v>mailto:firstname044.lastname044@example.com?subject=Supply%20order%20dispatched&amp;body=Dear%20RN%2C%0A%0AYour%20order%20has%20been%20dispatched%20and%20is%20in%20transit.%20Reply%20if%20undelivered.</v>
      </c>
      <c r="AF1655" s="89" t="str">
        <f t="shared" si="288"/>
        <v>Draft email</v>
      </c>
      <c r="AG1655" s="64" t="str">
        <f>IF($C1655="","",IFERROR(INDEX('Staff Directory'!$K$595:$K$599,MATCH($C1655,'Staff Directory'!$B$5:$B$599,0)),$D1655))</f>
        <v>RN</v>
      </c>
      <c r="AH1655" t="str">
        <f>IF($C1655="","",IFERROR(INDEX('Staff Directory'!$I$595:$I$599,MATCH($C1655,'Staff Directory'!$B$5:$B$599,0))&amp;" "&amp;INDEX('Staff Directory'!$J$595:$J$599,MATCH($C1655,'Staff Directory'!$B$5:$B$599,0)),$AG1655))</f>
        <v>RN</v>
      </c>
      <c r="AI1655" s="102"/>
      <c r="AJ1655" s="101">
        <f>IF($F1655="","",SUMIFS($J$5:$J1655,$F$5:$F1655,$F1655))</f>
        <v>211</v>
      </c>
      <c r="AK1655" s="101">
        <f t="shared" si="280"/>
        <v>211</v>
      </c>
      <c r="AL1655" s="66" t="str" cm="1">
        <f t="array" ref="AL1655">IF($F1655="","",IFERROR(INDEX('Lot Balance'!$B$5:$B$500,MATCH(1,INDEX(('Lot Balance'!$A$5:$A$500=$F1655)*('Lot Balance'!$K$5:$K$500&lt;$AK1655)*('Lot Balance'!$K$5:$K$500+'Lot Balance'!$D$5:$D$500&gt;=$AK1655),0),0)),""))</f>
        <v/>
      </c>
      <c r="AM1655" s="66" t="str" cm="1">
        <f t="array" ref="AM1655">IF($F1655="","",IFERROR(INDEX('Lot Balance'!$B$5:$B$500,MATCH(1,INDEX(('Lot Balance'!$A$5:$A$500=$F1655)*('Lot Balance'!$K$5:$K$500&lt;$AJ1655)*('Lot Balance'!$K$5:$K$500+'Lot Balance'!$D$5:$D$500&gt;=$AJ1655),0),0)),""))</f>
        <v/>
      </c>
      <c r="AN1655" s="66" t="str">
        <f>IF($F1655="","",IF($AI1655&lt;&gt;"",IF(COUNTIFS('Lot Balance'!$A$5:$A$500,$F1655,'Lot Balance'!$B$5:$B$500,$AI1655)=0,"⚠ override is not a lot of this item",IF($AI1655=$AL1655,"Override = FEFO","Override - FEFO says "&amp;$AL1655)),IF($AL1655="","⚠ no receipt on file for this item",IF($AM1655&lt;&gt;$AL1655,"FEFO auto - split, also "&amp;$AM1655,"FEFO auto"))))</f>
        <v>⚠ no receipt on file for this item</v>
      </c>
      <c r="AO1655" s="114"/>
    </row>
    <row r="1656" spans="1:41" x14ac:dyDescent="0.35">
      <c r="A1656" s="74">
        <v>46210</v>
      </c>
      <c r="B1656" s="18" t="str">
        <f>IF($C1656="","",IFERROR(INDEX('Staff Directory'!$A$5:$A$594,MATCH($C1656,'Staff Directory'!$B$5:$B$594,0)),"⚠ unknown staff"))</f>
        <v>PSW-163-A5</v>
      </c>
      <c r="C1656" s="49" t="s">
        <v>1142</v>
      </c>
      <c r="D1656" s="19" t="str">
        <f>IF($B1656="","",IFERROR(INDEX('Staff Directory'!$C$5:$C$594,MATCH($B1656,'Staff Directory'!$A$5:$A$594,0)),""))</f>
        <v>PSW</v>
      </c>
      <c r="E1656" s="19" t="str">
        <f>IF($B1656="","",IFERROR(INDEX('Staff Directory'!$D$5:$D$594,MATCH($B1656,'Staff Directory'!$A$5:$A$594,0)),""))</f>
        <v>A5</v>
      </c>
      <c r="F1656" s="9" t="s">
        <v>127</v>
      </c>
      <c r="G1656" s="18" t="str">
        <f>IF($F1656="","",IFERROR(INDEX(Items!$B$5:$B$597,MATCH($F1656,Items!$A$5:$A$597,0)),"⚠ not in Items"))</f>
        <v>Gloves</v>
      </c>
      <c r="H1656" s="19" t="str">
        <f>IF($F1656="","",IFERROR(INDEX(Items!$C$5:$C$597,MATCH($F1656,Items!$A$5:$A$597,0)),""))</f>
        <v>Medium</v>
      </c>
      <c r="I1656" s="23">
        <f>IF($F1656="","",IFERROR(INDEX(Items!$E$5:$E$597,MATCH($F1656,Items!$A$5:$A$597,0)),""))</f>
        <v>500</v>
      </c>
      <c r="J1656" s="115">
        <f>IF(tblIssues[[#This Row],[Qty Override]]&lt;&gt;"",tblIssues[[#This Row],[Qty Override]],IF(tblIssues[[#This Row],[Standard Issue]]="","",tblIssues[[#This Row],[Standard Issue]]))</f>
        <v>500</v>
      </c>
      <c r="K1656" s="20">
        <f>IF($F1656="","",IFERROR(INDEX(Items!$D$5:$D$597,MATCH($F1656,Items!$A$5:$A$597,0)),""))</f>
        <v>5.5E-2</v>
      </c>
      <c r="L1656" s="21">
        <f t="shared" si="283"/>
        <v>27.5</v>
      </c>
      <c r="M1656" s="9" t="str">
        <f t="shared" si="281"/>
        <v>ZIM604151579</v>
      </c>
      <c r="N1656" s="24">
        <f>IF($A1656="","",WORKDAY($A1656,Settings!$C$9,HolidayDates))</f>
        <v>46218</v>
      </c>
      <c r="O1656" s="24">
        <f>IF($N1656="","",WORKDAY($N1656,Settings!$C$10,HolidayDates))</f>
        <v>46258</v>
      </c>
      <c r="P1656" s="10" t="s">
        <v>501</v>
      </c>
      <c r="Q1656" s="52" t="str">
        <f t="shared" si="284"/>
        <v>Collected</v>
      </c>
      <c r="R1656" s="55" t="str">
        <f t="shared" si="285"/>
        <v>2026-07</v>
      </c>
      <c r="S1656" s="55">
        <f>IF(OR($B1656="",$F1656="",$R1656=""),"",SUMIFS(tblIssues[Qty Issued],tblIssues[Staff ID],$B1656,tblIssues[Item Name],$F1656,tblIssues[Month],$R1656))</f>
        <v>500</v>
      </c>
      <c r="T1656" s="56">
        <f>IF($I1656="","",$I1656*Settings!$C$11)</f>
        <v>500</v>
      </c>
      <c r="U1656" s="57" t="str">
        <f t="shared" si="282"/>
        <v>OK</v>
      </c>
      <c r="V1656" s="55" t="str">
        <f t="shared" si="286"/>
        <v/>
      </c>
      <c r="W1656" s="55" t="str">
        <f>IF($V1656="","",IF(COUNTIF($V$5:$V1656,$V1656)=1,1,""))</f>
        <v/>
      </c>
      <c r="X1656" s="58" t="str">
        <f>IF($W1656="","",MAX($X$4:X1655)+1)</f>
        <v/>
      </c>
      <c r="Y1656" s="62"/>
      <c r="Z1656" s="62"/>
      <c r="AA1656" s="64" t="str">
        <f>IF($C1656="","",IFERROR(INDEX('Staff Directory'!$E$5:$E$594,MATCH($C1656,'Staff Directory'!$B$5:$B$594,0)),""))</f>
        <v>firstname226.lastname226@example.com</v>
      </c>
      <c r="AB1656" s="64" t="str">
        <f>IF($C1656="","",IF(ISNUMBER(SEARCH($D1656,Settings!$C$15)),"Pickup","Dispatch"))</f>
        <v>Pickup</v>
      </c>
      <c r="AC1656" s="64" t="str">
        <f t="shared" si="287"/>
        <v>Supply order ready for pickup</v>
      </c>
      <c r="AD1656" s="64" t="str">
        <f t="shared" si="278"/>
        <v>Dear PSW,
Your order is ready for pickup from Sample Branch, Wed-Fri 9am-4pm.</v>
      </c>
      <c r="AE1656" s="64" t="str">
        <f t="shared" si="279"/>
        <v>mailto:firstname226.lastname226@example.com?subject=Supply%20order%20ready%20for%20pickup&amp;body=Dear%20PSW%2C%0A%0AYour%20order%20is%20ready%20for%20pickup%20from%20Sample%20Branch%2C%20Wed-Fri%209am-4pm.</v>
      </c>
      <c r="AF1656" s="89" t="str">
        <f t="shared" si="288"/>
        <v>Draft email</v>
      </c>
      <c r="AG1656" s="64" t="str">
        <f>IF($C1656="","",IFERROR(INDEX('Staff Directory'!$K$595:$K$599,MATCH($C1656,'Staff Directory'!$B$5:$B$599,0)),$D1656))</f>
        <v>PSW</v>
      </c>
      <c r="AH1656" t="str">
        <f>IF($C1656="","",IFERROR(INDEX('Staff Directory'!$I$595:$I$599,MATCH($C1656,'Staff Directory'!$B$5:$B$599,0))&amp;" "&amp;INDEX('Staff Directory'!$J$595:$J$599,MATCH($C1656,'Staff Directory'!$B$5:$B$599,0)),$AG1656))</f>
        <v>PSW</v>
      </c>
      <c r="AI1656" s="102"/>
      <c r="AJ1656" s="101">
        <f>IF($F1656="","",SUMIFS($J$5:$J1656,$F$5:$F1656,$F1656))</f>
        <v>98500</v>
      </c>
      <c r="AK1656" s="101">
        <f t="shared" si="280"/>
        <v>98001</v>
      </c>
      <c r="AL1656" s="66" t="str" cm="1">
        <f t="array" ref="AL1656">IF($F1656="","",IFERROR(INDEX('Lot Balance'!$B$5:$B$500,MATCH(1,INDEX(('Lot Balance'!$A$5:$A$500=$F1656)*('Lot Balance'!$K$5:$K$500&lt;$AK1656)*('Lot Balance'!$K$5:$K$500+'Lot Balance'!$D$5:$D$500&gt;=$AK1656),0),0)),""))</f>
        <v>ZIM604151579</v>
      </c>
      <c r="AM1656" s="66" t="str" cm="1">
        <f t="array" ref="AM1656">IF($F1656="","",IFERROR(INDEX('Lot Balance'!$B$5:$B$500,MATCH(1,INDEX(('Lot Balance'!$A$5:$A$500=$F1656)*('Lot Balance'!$K$5:$K$500&lt;$AJ1656)*('Lot Balance'!$K$5:$K$500+'Lot Balance'!$D$5:$D$500&gt;=$AJ1656),0),0)),""))</f>
        <v>ZIM604151579</v>
      </c>
      <c r="AN1656" s="66" t="str">
        <f>IF($F1656="","",IF($AI1656&lt;&gt;"",IF(COUNTIFS('Lot Balance'!$A$5:$A$500,$F1656,'Lot Balance'!$B$5:$B$500,$AI1656)=0,"⚠ override is not a lot of this item",IF($AI1656=$AL1656,"Override = FEFO","Override - FEFO says "&amp;$AL1656)),IF($AL1656="","⚠ no receipt on file for this item",IF($AM1656&lt;&gt;$AL1656,"FEFO auto - split, also "&amp;$AM1656,"FEFO auto"))))</f>
        <v>FEFO auto</v>
      </c>
      <c r="AO1656" s="114"/>
    </row>
    <row r="1657" spans="1:41" x14ac:dyDescent="0.35">
      <c r="A1657" s="74">
        <v>46210</v>
      </c>
      <c r="B1657" s="18" t="str">
        <f>IF($C1657="","",IFERROR(INDEX('Staff Directory'!$A$5:$A$594,MATCH($C1657,'Staff Directory'!$B$5:$B$594,0)),"⚠ unknown staff"))</f>
        <v>PSW-163-A5</v>
      </c>
      <c r="C1657" s="49" t="s">
        <v>1142</v>
      </c>
      <c r="D1657" s="19" t="str">
        <f>IF($B1657="","",IFERROR(INDEX('Staff Directory'!$C$5:$C$594,MATCH($B1657,'Staff Directory'!$A$5:$A$594,0)),""))</f>
        <v>PSW</v>
      </c>
      <c r="E1657" s="19" t="str">
        <f>IF($B1657="","",IFERROR(INDEX('Staff Directory'!$D$5:$D$594,MATCH($B1657,'Staff Directory'!$A$5:$A$594,0)),""))</f>
        <v>A5</v>
      </c>
      <c r="F1657" s="9" t="s">
        <v>191</v>
      </c>
      <c r="G1657" s="18" t="str">
        <f>IF($F1657="","",IFERROR(INDEX(Items!$B$5:$B$597,MATCH($F1657,Items!$A$5:$A$597,0)),"⚠ not in Items"))</f>
        <v>Sanitizer</v>
      </c>
      <c r="H1657" s="19" t="str">
        <f>IF($F1657="","",IFERROR(INDEX(Items!$C$5:$C$597,MATCH($F1657,Items!$A$5:$A$597,0)),""))</f>
        <v>236 ML</v>
      </c>
      <c r="I1657" s="23">
        <f>IF($F1657="","",IFERROR(INDEX(Items!$E$5:$E$597,MATCH($F1657,Items!$A$5:$A$597,0)),""))</f>
        <v>1</v>
      </c>
      <c r="J1657" s="115">
        <f>IF(tblIssues[[#This Row],[Qty Override]]&lt;&gt;"",tblIssues[[#This Row],[Qty Override]],IF(tblIssues[[#This Row],[Standard Issue]]="","",tblIssues[[#This Row],[Standard Issue]]))</f>
        <v>1</v>
      </c>
      <c r="K1657" s="20">
        <f>IF($F1657="","",IFERROR(INDEX(Items!$D$5:$D$597,MATCH($F1657,Items!$A$5:$A$597,0)),""))</f>
        <v>1E-4</v>
      </c>
      <c r="L1657" s="21">
        <f t="shared" si="283"/>
        <v>1E-4</v>
      </c>
      <c r="M1657" s="9" t="str">
        <f t="shared" si="281"/>
        <v/>
      </c>
      <c r="N1657" s="24">
        <f>IF($A1657="","",WORKDAY($A1657,Settings!$C$9,HolidayDates))</f>
        <v>46218</v>
      </c>
      <c r="O1657" s="24">
        <f>IF($N1657="","",WORKDAY($N1657,Settings!$C$10,HolidayDates))</f>
        <v>46258</v>
      </c>
      <c r="P1657" s="10" t="s">
        <v>501</v>
      </c>
      <c r="Q1657" s="52" t="str">
        <f t="shared" si="284"/>
        <v>Collected</v>
      </c>
      <c r="R1657" s="55" t="str">
        <f t="shared" si="285"/>
        <v>2026-07</v>
      </c>
      <c r="S1657" s="55">
        <f>IF(OR($B1657="",$F1657="",$R1657=""),"",SUMIFS(tblIssues[Qty Issued],tblIssues[Staff ID],$B1657,tblIssues[Item Name],$F1657,tblIssues[Month],$R1657))</f>
        <v>1</v>
      </c>
      <c r="T1657" s="56">
        <f>IF($I1657="","",$I1657*Settings!$C$11)</f>
        <v>1</v>
      </c>
      <c r="U1657" s="57" t="str">
        <f t="shared" si="282"/>
        <v>OK</v>
      </c>
      <c r="V1657" s="55" t="str">
        <f t="shared" si="286"/>
        <v/>
      </c>
      <c r="W1657" s="55" t="str">
        <f>IF($V1657="","",IF(COUNTIF($V$5:$V1657,$V1657)=1,1,""))</f>
        <v/>
      </c>
      <c r="X1657" s="58" t="str">
        <f>IF($W1657="","",MAX($X$4:X1656)+1)</f>
        <v/>
      </c>
      <c r="Y1657" s="62"/>
      <c r="Z1657" s="62"/>
      <c r="AA1657" s="64" t="str">
        <f>IF($C1657="","",IFERROR(INDEX('Staff Directory'!$E$5:$E$594,MATCH($C1657,'Staff Directory'!$B$5:$B$594,0)),""))</f>
        <v>firstname226.lastname226@example.com</v>
      </c>
      <c r="AB1657" s="64" t="str">
        <f>IF($C1657="","",IF(ISNUMBER(SEARCH($D1657,Settings!$C$15)),"Pickup","Dispatch"))</f>
        <v>Pickup</v>
      </c>
      <c r="AC1657" s="64" t="str">
        <f t="shared" si="287"/>
        <v>Supply order ready for pickup</v>
      </c>
      <c r="AD1657" s="64" t="str">
        <f t="shared" si="278"/>
        <v>Dear PSW,
Your order is ready for pickup from Sample Branch, Wed-Fri 9am-4pm.</v>
      </c>
      <c r="AE1657" s="64" t="str">
        <f t="shared" si="279"/>
        <v>mailto:firstname226.lastname226@example.com?subject=Supply%20order%20ready%20for%20pickup&amp;body=Dear%20PSW%2C%0A%0AYour%20order%20is%20ready%20for%20pickup%20from%20Sample%20Branch%2C%20Wed-Fri%209am-4pm.</v>
      </c>
      <c r="AF1657" s="89" t="str">
        <f t="shared" si="288"/>
        <v>Draft email</v>
      </c>
      <c r="AG1657" s="64" t="str">
        <f>IF($C1657="","",IFERROR(INDEX('Staff Directory'!$K$595:$K$599,MATCH($C1657,'Staff Directory'!$B$5:$B$599,0)),$D1657))</f>
        <v>PSW</v>
      </c>
      <c r="AH1657" t="str">
        <f>IF($C1657="","",IFERROR(INDEX('Staff Directory'!$I$595:$I$599,MATCH($C1657,'Staff Directory'!$B$5:$B$599,0))&amp;" "&amp;INDEX('Staff Directory'!$J$595:$J$599,MATCH($C1657,'Staff Directory'!$B$5:$B$599,0)),$AG1657))</f>
        <v>PSW</v>
      </c>
      <c r="AI1657" s="102"/>
      <c r="AJ1657" s="101">
        <f>IF($F1657="","",SUMIFS($J$5:$J1657,$F$5:$F1657,$F1657))</f>
        <v>212</v>
      </c>
      <c r="AK1657" s="101">
        <f t="shared" si="280"/>
        <v>212</v>
      </c>
      <c r="AL1657" s="66" t="str" cm="1">
        <f t="array" ref="AL1657">IF($F1657="","",IFERROR(INDEX('Lot Balance'!$B$5:$B$500,MATCH(1,INDEX(('Lot Balance'!$A$5:$A$500=$F1657)*('Lot Balance'!$K$5:$K$500&lt;$AK1657)*('Lot Balance'!$K$5:$K$500+'Lot Balance'!$D$5:$D$500&gt;=$AK1657),0),0)),""))</f>
        <v/>
      </c>
      <c r="AM1657" s="66" t="str" cm="1">
        <f t="array" ref="AM1657">IF($F1657="","",IFERROR(INDEX('Lot Balance'!$B$5:$B$500,MATCH(1,INDEX(('Lot Balance'!$A$5:$A$500=$F1657)*('Lot Balance'!$K$5:$K$500&lt;$AJ1657)*('Lot Balance'!$K$5:$K$500+'Lot Balance'!$D$5:$D$500&gt;=$AJ1657),0),0)),""))</f>
        <v/>
      </c>
      <c r="AN1657" s="66" t="str">
        <f>IF($F1657="","",IF($AI1657&lt;&gt;"",IF(COUNTIFS('Lot Balance'!$A$5:$A$500,$F1657,'Lot Balance'!$B$5:$B$500,$AI1657)=0,"⚠ override is not a lot of this item",IF($AI1657=$AL1657,"Override = FEFO","Override - FEFO says "&amp;$AL1657)),IF($AL1657="","⚠ no receipt on file for this item",IF($AM1657&lt;&gt;$AL1657,"FEFO auto - split, also "&amp;$AM1657,"FEFO auto"))))</f>
        <v>⚠ no receipt on file for this item</v>
      </c>
      <c r="AO1657" s="114"/>
    </row>
    <row r="1658" spans="1:41" x14ac:dyDescent="0.35">
      <c r="A1658" s="74">
        <v>46210</v>
      </c>
      <c r="B1658" s="18" t="str">
        <f>IF($C1658="","",IFERROR(INDEX('Staff Directory'!$A$5:$A$594,MATCH($C1658,'Staff Directory'!$B$5:$B$594,0)),"⚠ unknown staff"))</f>
        <v>PSW-163-A5</v>
      </c>
      <c r="C1658" s="49" t="s">
        <v>1142</v>
      </c>
      <c r="D1658" s="19" t="str">
        <f>IF($B1658="","",IFERROR(INDEX('Staff Directory'!$C$5:$C$594,MATCH($B1658,'Staff Directory'!$A$5:$A$594,0)),""))</f>
        <v>PSW</v>
      </c>
      <c r="E1658" s="19" t="str">
        <f>IF($B1658="","",IFERROR(INDEX('Staff Directory'!$D$5:$D$594,MATCH($B1658,'Staff Directory'!$A$5:$A$594,0)),""))</f>
        <v>A5</v>
      </c>
      <c r="F1658" s="9" t="s">
        <v>758</v>
      </c>
      <c r="G1658" s="18" t="str">
        <f>IF($F1658="","",IFERROR(INDEX(Items!$B$5:$B$597,MATCH($F1658,Items!$A$5:$A$597,0)),"⚠ not in Items"))</f>
        <v>Utility</v>
      </c>
      <c r="H1658" s="19" t="str">
        <f>IF($F1658="","",IFERROR(INDEX(Items!$C$5:$C$597,MATCH($F1658,Items!$A$5:$A$597,0)),""))</f>
        <v>Standard</v>
      </c>
      <c r="I1658" s="23">
        <f>IF($F1658="","",IFERROR(INDEX(Items!$E$5:$E$597,MATCH($F1658,Items!$A$5:$A$597,0)),""))</f>
        <v>1</v>
      </c>
      <c r="J1658" s="115">
        <f>IF(tblIssues[[#This Row],[Qty Override]]&lt;&gt;"",tblIssues[[#This Row],[Qty Override]],IF(tblIssues[[#This Row],[Standard Issue]]="","",tblIssues[[#This Row],[Standard Issue]]))</f>
        <v>1</v>
      </c>
      <c r="K1658" s="20">
        <f>IF($F1658="","",IFERROR(INDEX(Items!$D$5:$D$597,MATCH($F1658,Items!$A$5:$A$597,0)),""))</f>
        <v>0</v>
      </c>
      <c r="L1658" s="21">
        <f t="shared" si="283"/>
        <v>0</v>
      </c>
      <c r="M1658" s="9" t="str">
        <f t="shared" si="281"/>
        <v/>
      </c>
      <c r="N1658" s="24">
        <f>IF($A1658="","",WORKDAY($A1658,Settings!$C$9,HolidayDates))</f>
        <v>46218</v>
      </c>
      <c r="O1658" s="24">
        <f>IF($N1658="","",WORKDAY($N1658,Settings!$C$10,HolidayDates))</f>
        <v>46258</v>
      </c>
      <c r="P1658" s="10" t="s">
        <v>501</v>
      </c>
      <c r="Q1658" s="52" t="str">
        <f t="shared" si="284"/>
        <v>Collected</v>
      </c>
      <c r="R1658" s="55" t="str">
        <f t="shared" si="285"/>
        <v>2026-07</v>
      </c>
      <c r="S1658" s="55">
        <f>IF(OR($B1658="",$F1658="",$R1658=""),"",SUMIFS(tblIssues[Qty Issued],tblIssues[Staff ID],$B1658,tblIssues[Item Name],$F1658,tblIssues[Month],$R1658))</f>
        <v>1</v>
      </c>
      <c r="T1658" s="56">
        <f>IF($I1658="","",$I1658*Settings!$C$11)</f>
        <v>1</v>
      </c>
      <c r="U1658" s="57" t="str">
        <f t="shared" si="282"/>
        <v>OK</v>
      </c>
      <c r="V1658" s="55" t="str">
        <f t="shared" si="286"/>
        <v/>
      </c>
      <c r="W1658" s="55" t="str">
        <f>IF($V1658="","",IF(COUNTIF($V$5:$V1658,$V1658)=1,1,""))</f>
        <v/>
      </c>
      <c r="X1658" s="58" t="str">
        <f>IF($W1658="","",MAX($X$4:X1657)+1)</f>
        <v/>
      </c>
      <c r="Y1658" s="62"/>
      <c r="Z1658" s="62"/>
      <c r="AA1658" s="64" t="str">
        <f>IF($C1658="","",IFERROR(INDEX('Staff Directory'!$E$5:$E$594,MATCH($C1658,'Staff Directory'!$B$5:$B$594,0)),""))</f>
        <v>firstname226.lastname226@example.com</v>
      </c>
      <c r="AB1658" s="64" t="str">
        <f>IF($C1658="","",IF(ISNUMBER(SEARCH($D1658,Settings!$C$15)),"Pickup","Dispatch"))</f>
        <v>Pickup</v>
      </c>
      <c r="AC1658" s="64" t="str">
        <f t="shared" si="287"/>
        <v>Supply order ready for pickup</v>
      </c>
      <c r="AD1658" s="64" t="str">
        <f t="shared" si="278"/>
        <v>Dear PSW,
Your order is ready for pickup from Sample Branch, Wed-Fri 9am-4pm.</v>
      </c>
      <c r="AE1658" s="64" t="str">
        <f t="shared" si="279"/>
        <v>mailto:firstname226.lastname226@example.com?subject=Supply%20order%20ready%20for%20pickup&amp;body=Dear%20PSW%2C%0A%0AYour%20order%20is%20ready%20for%20pickup%20from%20Sample%20Branch%2C%20Wed-Fri%209am-4pm.</v>
      </c>
      <c r="AF1658" s="89" t="str">
        <f t="shared" si="288"/>
        <v>Draft email</v>
      </c>
      <c r="AG1658" s="64" t="str">
        <f>IF($C1658="","",IFERROR(INDEX('Staff Directory'!$K$595:$K$599,MATCH($C1658,'Staff Directory'!$B$5:$B$599,0)),$D1658))</f>
        <v>PSW</v>
      </c>
      <c r="AH1658" t="str">
        <f>IF($C1658="","",IFERROR(INDEX('Staff Directory'!$I$595:$I$599,MATCH($C1658,'Staff Directory'!$B$5:$B$599,0))&amp;" "&amp;INDEX('Staff Directory'!$J$595:$J$599,MATCH($C1658,'Staff Directory'!$B$5:$B$599,0)),$AG1658))</f>
        <v>PSW</v>
      </c>
      <c r="AI1658" s="102"/>
      <c r="AJ1658" s="101">
        <f>IF($F1658="","",SUMIFS($J$5:$J1658,$F$5:$F1658,$F1658))</f>
        <v>45</v>
      </c>
      <c r="AK1658" s="101">
        <f t="shared" si="280"/>
        <v>45</v>
      </c>
      <c r="AL1658" s="66" t="str" cm="1">
        <f t="array" ref="AL1658">IF($F1658="","",IFERROR(INDEX('Lot Balance'!$B$5:$B$500,MATCH(1,INDEX(('Lot Balance'!$A$5:$A$500=$F1658)*('Lot Balance'!$K$5:$K$500&lt;$AK1658)*('Lot Balance'!$K$5:$K$500+'Lot Balance'!$D$5:$D$500&gt;=$AK1658),0),0)),""))</f>
        <v/>
      </c>
      <c r="AM1658" s="66" t="str" cm="1">
        <f t="array" ref="AM1658">IF($F1658="","",IFERROR(INDEX('Lot Balance'!$B$5:$B$500,MATCH(1,INDEX(('Lot Balance'!$A$5:$A$500=$F1658)*('Lot Balance'!$K$5:$K$500&lt;$AJ1658)*('Lot Balance'!$K$5:$K$500+'Lot Balance'!$D$5:$D$500&gt;=$AJ1658),0),0)),""))</f>
        <v/>
      </c>
      <c r="AN1658" s="66" t="str">
        <f>IF($F1658="","",IF($AI1658&lt;&gt;"",IF(COUNTIFS('Lot Balance'!$A$5:$A$500,$F1658,'Lot Balance'!$B$5:$B$500,$AI1658)=0,"⚠ override is not a lot of this item",IF($AI1658=$AL1658,"Override = FEFO","Override - FEFO says "&amp;$AL1658)),IF($AL1658="","⚠ no receipt on file for this item",IF($AM1658&lt;&gt;$AL1658,"FEFO auto - split, also "&amp;$AM1658,"FEFO auto"))))</f>
        <v>⚠ no receipt on file for this item</v>
      </c>
      <c r="AO1658" s="114"/>
    </row>
    <row r="1659" spans="1:41" x14ac:dyDescent="0.35">
      <c r="A1659" s="74">
        <v>46210</v>
      </c>
      <c r="B1659" s="18" t="str">
        <f>IF($C1659="","",IFERROR(INDEX('Staff Directory'!$A$5:$A$594,MATCH($C1659,'Staff Directory'!$B$5:$B$594,0)),"⚠ unknown staff"))</f>
        <v>PSW-048-A5</v>
      </c>
      <c r="C1659" s="49" t="s">
        <v>1024</v>
      </c>
      <c r="D1659" s="19" t="str">
        <f>IF($B1659="","",IFERROR(INDEX('Staff Directory'!$C$5:$C$594,MATCH($B1659,'Staff Directory'!$A$5:$A$594,0)),""))</f>
        <v>PSW</v>
      </c>
      <c r="E1659" s="19" t="str">
        <f>IF($B1659="","",IFERROR(INDEX('Staff Directory'!$D$5:$D$594,MATCH($B1659,'Staff Directory'!$A$5:$A$594,0)),""))</f>
        <v>A5</v>
      </c>
      <c r="F1659" s="9" t="s">
        <v>129</v>
      </c>
      <c r="G1659" s="18" t="str">
        <f>IF($F1659="","",IFERROR(INDEX(Items!$B$5:$B$597,MATCH($F1659,Items!$A$5:$A$597,0)),"⚠ not in Items"))</f>
        <v>Gloves</v>
      </c>
      <c r="H1659" s="19" t="str">
        <f>IF($F1659="","",IFERROR(INDEX(Items!$C$5:$C$597,MATCH($F1659,Items!$A$5:$A$597,0)),""))</f>
        <v>Small</v>
      </c>
      <c r="I1659" s="23">
        <f>IF($F1659="","",IFERROR(INDEX(Items!$E$5:$E$597,MATCH($F1659,Items!$A$5:$A$597,0)),""))</f>
        <v>500</v>
      </c>
      <c r="J1659" s="115">
        <f>IF(tblIssues[[#This Row],[Qty Override]]&lt;&gt;"",tblIssues[[#This Row],[Qty Override]],IF(tblIssues[[#This Row],[Standard Issue]]="","",tblIssues[[#This Row],[Standard Issue]]))</f>
        <v>500</v>
      </c>
      <c r="K1659" s="20">
        <f>IF($F1659="","",IFERROR(INDEX(Items!$D$5:$D$597,MATCH($F1659,Items!$A$5:$A$597,0)),""))</f>
        <v>5.5E-2</v>
      </c>
      <c r="L1659" s="21">
        <f t="shared" si="283"/>
        <v>27.5</v>
      </c>
      <c r="M1659" s="9" t="str">
        <f t="shared" si="281"/>
        <v>ZIM510137942</v>
      </c>
      <c r="N1659" s="24">
        <f>IF($A1659="","",WORKDAY($A1659,Settings!$C$9,HolidayDates))</f>
        <v>46218</v>
      </c>
      <c r="O1659" s="24">
        <f>IF($N1659="","",WORKDAY($N1659,Settings!$C$10,HolidayDates))</f>
        <v>46258</v>
      </c>
      <c r="P1659" s="10" t="s">
        <v>501</v>
      </c>
      <c r="Q1659" s="52" t="str">
        <f t="shared" si="284"/>
        <v>Collected</v>
      </c>
      <c r="R1659" s="55" t="str">
        <f t="shared" si="285"/>
        <v>2026-07</v>
      </c>
      <c r="S1659" s="55">
        <f>IF(OR($B1659="",$F1659="",$R1659=""),"",SUMIFS(tblIssues[Qty Issued],tblIssues[Staff ID],$B1659,tblIssues[Item Name],$F1659,tblIssues[Month],$R1659))</f>
        <v>1000</v>
      </c>
      <c r="T1659" s="56">
        <f>IF($I1659="","",$I1659*Settings!$C$11)</f>
        <v>500</v>
      </c>
      <c r="U1659" s="57" t="str">
        <f t="shared" si="282"/>
        <v>⚠ OVER QUOTA</v>
      </c>
      <c r="V1659" s="55" t="str">
        <f t="shared" si="286"/>
        <v>PSW-048-A5 | Gloves - Small | 2026-07</v>
      </c>
      <c r="W1659" s="55">
        <f>IF($V1659="","",IF(COUNTIF($V$5:$V1659,$V1659)=1,1,""))</f>
        <v>1</v>
      </c>
      <c r="X1659" s="58">
        <f>IF($W1659="","",MAX($X$4:X1658)+1)</f>
        <v>53</v>
      </c>
      <c r="Y1659" s="62"/>
      <c r="Z1659" s="62"/>
      <c r="AA1659" s="64" t="str">
        <f>IF($C1659="","",IFERROR(INDEX('Staff Directory'!$E$5:$E$594,MATCH($C1659,'Staff Directory'!$B$5:$B$594,0)),""))</f>
        <v>firstname108.lastname108@example.com</v>
      </c>
      <c r="AB1659" s="64" t="str">
        <f>IF($C1659="","",IF(ISNUMBER(SEARCH($D1659,Settings!$C$15)),"Pickup","Dispatch"))</f>
        <v>Pickup</v>
      </c>
      <c r="AC1659" s="64" t="str">
        <f t="shared" si="287"/>
        <v>Supply order ready for pickup</v>
      </c>
      <c r="AD1659" s="64" t="str">
        <f t="shared" si="278"/>
        <v>Dear PSW,
Your order is ready for pickup from Sample Branch, Wed-Fri 9am-4pm.</v>
      </c>
      <c r="AE1659" s="64" t="str">
        <f t="shared" si="279"/>
        <v>mailto:firstname108.lastname108@example.com?subject=Supply%20order%20ready%20for%20pickup&amp;body=Dear%20PSW%2C%0A%0AYour%20order%20is%20ready%20for%20pickup%20from%20Sample%20Branch%2C%20Wed-Fri%209am-4pm.</v>
      </c>
      <c r="AF1659" s="89" t="str">
        <f t="shared" si="288"/>
        <v>Draft email</v>
      </c>
      <c r="AG1659" s="64" t="str">
        <f>IF($C1659="","",IFERROR(INDEX('Staff Directory'!$K$595:$K$599,MATCH($C1659,'Staff Directory'!$B$5:$B$599,0)),$D1659))</f>
        <v>PSW</v>
      </c>
      <c r="AH1659" t="str">
        <f>IF($C1659="","",IFERROR(INDEX('Staff Directory'!$I$595:$I$599,MATCH($C1659,'Staff Directory'!$B$5:$B$599,0))&amp;" "&amp;INDEX('Staff Directory'!$J$595:$J$599,MATCH($C1659,'Staff Directory'!$B$5:$B$599,0)),$AG1659))</f>
        <v>PSW</v>
      </c>
      <c r="AI1659" s="102"/>
      <c r="AJ1659" s="101">
        <f>IF($F1659="","",SUMIFS($J$5:$J1659,$F$5:$F1659,$F1659))</f>
        <v>50000</v>
      </c>
      <c r="AK1659" s="101">
        <f t="shared" si="280"/>
        <v>49501</v>
      </c>
      <c r="AL1659" s="66" t="str" cm="1">
        <f t="array" ref="AL1659">IF($F1659="","",IFERROR(INDEX('Lot Balance'!$B$5:$B$500,MATCH(1,INDEX(('Lot Balance'!$A$5:$A$500=$F1659)*('Lot Balance'!$K$5:$K$500&lt;$AK1659)*('Lot Balance'!$K$5:$K$500+'Lot Balance'!$D$5:$D$500&gt;=$AK1659),0),0)),""))</f>
        <v>ZIM510137942</v>
      </c>
      <c r="AM1659" s="66" t="str" cm="1">
        <f t="array" ref="AM1659">IF($F1659="","",IFERROR(INDEX('Lot Balance'!$B$5:$B$500,MATCH(1,INDEX(('Lot Balance'!$A$5:$A$500=$F1659)*('Lot Balance'!$K$5:$K$500&lt;$AJ1659)*('Lot Balance'!$K$5:$K$500+'Lot Balance'!$D$5:$D$500&gt;=$AJ1659),0),0)),""))</f>
        <v>ZIM601144366-0</v>
      </c>
      <c r="AN1659" s="66" t="str">
        <f>IF($F1659="","",IF($AI1659&lt;&gt;"",IF(COUNTIFS('Lot Balance'!$A$5:$A$500,$F1659,'Lot Balance'!$B$5:$B$500,$AI1659)=0,"⚠ override is not a lot of this item",IF($AI1659=$AL1659,"Override = FEFO","Override - FEFO says "&amp;$AL1659)),IF($AL1659="","⚠ no receipt on file for this item",IF($AM1659&lt;&gt;$AL1659,"FEFO auto - split, also "&amp;$AM1659,"FEFO auto"))))</f>
        <v>FEFO auto - split, also ZIM601144366-0</v>
      </c>
      <c r="AO1659" s="114"/>
    </row>
    <row r="1660" spans="1:41" x14ac:dyDescent="0.35">
      <c r="A1660" s="74">
        <v>46210</v>
      </c>
      <c r="B1660" s="18" t="str">
        <f>IF($C1660="","",IFERROR(INDEX('Staff Directory'!$A$5:$A$594,MATCH($C1660,'Staff Directory'!$B$5:$B$594,0)),"⚠ unknown staff"))</f>
        <v>PSW-048-A5</v>
      </c>
      <c r="C1660" s="49" t="s">
        <v>1024</v>
      </c>
      <c r="D1660" s="19" t="str">
        <f>IF($B1660="","",IFERROR(INDEX('Staff Directory'!$C$5:$C$594,MATCH($B1660,'Staff Directory'!$A$5:$A$594,0)),""))</f>
        <v>PSW</v>
      </c>
      <c r="E1660" s="19" t="str">
        <f>IF($B1660="","",IFERROR(INDEX('Staff Directory'!$D$5:$D$594,MATCH($B1660,'Staff Directory'!$A$5:$A$594,0)),""))</f>
        <v>A5</v>
      </c>
      <c r="F1660" s="9" t="s">
        <v>129</v>
      </c>
      <c r="G1660" s="18" t="str">
        <f>IF($F1660="","",IFERROR(INDEX(Items!$B$5:$B$597,MATCH($F1660,Items!$A$5:$A$597,0)),"⚠ not in Items"))</f>
        <v>Gloves</v>
      </c>
      <c r="H1660" s="19" t="str">
        <f>IF($F1660="","",IFERROR(INDEX(Items!$C$5:$C$597,MATCH($F1660,Items!$A$5:$A$597,0)),""))</f>
        <v>Small</v>
      </c>
      <c r="I1660" s="23">
        <f>IF($F1660="","",IFERROR(INDEX(Items!$E$5:$E$597,MATCH($F1660,Items!$A$5:$A$597,0)),""))</f>
        <v>500</v>
      </c>
      <c r="J1660" s="115">
        <f>IF(tblIssues[[#This Row],[Qty Override]]&lt;&gt;"",tblIssues[[#This Row],[Qty Override]],IF(tblIssues[[#This Row],[Standard Issue]]="","",tblIssues[[#This Row],[Standard Issue]]))</f>
        <v>500</v>
      </c>
      <c r="K1660" s="20">
        <f>IF($F1660="","",IFERROR(INDEX(Items!$D$5:$D$597,MATCH($F1660,Items!$A$5:$A$597,0)),""))</f>
        <v>5.5E-2</v>
      </c>
      <c r="L1660" s="21">
        <f t="shared" si="283"/>
        <v>27.5</v>
      </c>
      <c r="M1660" s="9" t="str">
        <f t="shared" si="281"/>
        <v>ZIM601144366-0</v>
      </c>
      <c r="N1660" s="24">
        <f>IF($A1660="","",WORKDAY($A1660,Settings!$C$9,HolidayDates))</f>
        <v>46218</v>
      </c>
      <c r="O1660" s="24">
        <f>IF($N1660="","",WORKDAY($N1660,Settings!$C$10,HolidayDates))</f>
        <v>46258</v>
      </c>
      <c r="P1660" s="10" t="s">
        <v>501</v>
      </c>
      <c r="Q1660" s="52" t="str">
        <f t="shared" si="284"/>
        <v>Collected</v>
      </c>
      <c r="R1660" s="55" t="str">
        <f t="shared" si="285"/>
        <v>2026-07</v>
      </c>
      <c r="S1660" s="55">
        <f>IF(OR($B1660="",$F1660="",$R1660=""),"",SUMIFS(tblIssues[Qty Issued],tblIssues[Staff ID],$B1660,tblIssues[Item Name],$F1660,tblIssues[Month],$R1660))</f>
        <v>1000</v>
      </c>
      <c r="T1660" s="56">
        <f>IF($I1660="","",$I1660*Settings!$C$11)</f>
        <v>500</v>
      </c>
      <c r="U1660" s="57" t="str">
        <f t="shared" si="282"/>
        <v>⚠ OVER QUOTA</v>
      </c>
      <c r="V1660" s="55" t="str">
        <f t="shared" si="286"/>
        <v>PSW-048-A5 | Gloves - Small | 2026-07</v>
      </c>
      <c r="W1660" s="55" t="str">
        <f>IF($V1660="","",IF(COUNTIF($V$5:$V1660,$V1660)=1,1,""))</f>
        <v/>
      </c>
      <c r="X1660" s="58" t="str">
        <f>IF($W1660="","",MAX($X$4:X1659)+1)</f>
        <v/>
      </c>
      <c r="Y1660" s="62"/>
      <c r="Z1660" s="62"/>
      <c r="AA1660" s="64" t="str">
        <f>IF($C1660="","",IFERROR(INDEX('Staff Directory'!$E$5:$E$594,MATCH($C1660,'Staff Directory'!$B$5:$B$594,0)),""))</f>
        <v>firstname108.lastname108@example.com</v>
      </c>
      <c r="AB1660" s="64" t="str">
        <f>IF($C1660="","",IF(ISNUMBER(SEARCH($D1660,Settings!$C$15)),"Pickup","Dispatch"))</f>
        <v>Pickup</v>
      </c>
      <c r="AC1660" s="64" t="str">
        <f t="shared" si="287"/>
        <v>Supply order ready for pickup</v>
      </c>
      <c r="AD1660" s="64" t="str">
        <f t="shared" si="278"/>
        <v>Dear PSW,
Your order is ready for pickup from Sample Branch, Wed-Fri 9am-4pm.</v>
      </c>
      <c r="AE1660" s="64" t="str">
        <f t="shared" si="279"/>
        <v>mailto:firstname108.lastname108@example.com?subject=Supply%20order%20ready%20for%20pickup&amp;body=Dear%20PSW%2C%0A%0AYour%20order%20is%20ready%20for%20pickup%20from%20Sample%20Branch%2C%20Wed-Fri%209am-4pm.</v>
      </c>
      <c r="AF1660" s="89" t="str">
        <f t="shared" si="288"/>
        <v>Draft email</v>
      </c>
      <c r="AG1660" s="64" t="str">
        <f>IF($C1660="","",IFERROR(INDEX('Staff Directory'!$K$595:$K$599,MATCH($C1660,'Staff Directory'!$B$5:$B$599,0)),$D1660))</f>
        <v>PSW</v>
      </c>
      <c r="AH1660" t="str">
        <f>IF($C1660="","",IFERROR(INDEX('Staff Directory'!$I$595:$I$599,MATCH($C1660,'Staff Directory'!$B$5:$B$599,0))&amp;" "&amp;INDEX('Staff Directory'!$J$595:$J$599,MATCH($C1660,'Staff Directory'!$B$5:$B$599,0)),$AG1660))</f>
        <v>PSW</v>
      </c>
      <c r="AI1660" s="102"/>
      <c r="AJ1660" s="101">
        <f>IF($F1660="","",SUMIFS($J$5:$J1660,$F$5:$F1660,$F1660))</f>
        <v>50500</v>
      </c>
      <c r="AK1660" s="101">
        <f t="shared" si="280"/>
        <v>50001</v>
      </c>
      <c r="AL1660" s="66" t="str" cm="1">
        <f t="array" ref="AL1660">IF($F1660="","",IFERROR(INDEX('Lot Balance'!$B$5:$B$500,MATCH(1,INDEX(('Lot Balance'!$A$5:$A$500=$F1660)*('Lot Balance'!$K$5:$K$500&lt;$AK1660)*('Lot Balance'!$K$5:$K$500+'Lot Balance'!$D$5:$D$500&gt;=$AK1660),0),0)),""))</f>
        <v>ZIM601144366-0</v>
      </c>
      <c r="AM1660" s="66" t="str" cm="1">
        <f t="array" ref="AM1660">IF($F1660="","",IFERROR(INDEX('Lot Balance'!$B$5:$B$500,MATCH(1,INDEX(('Lot Balance'!$A$5:$A$500=$F1660)*('Lot Balance'!$K$5:$K$500&lt;$AJ1660)*('Lot Balance'!$K$5:$K$500+'Lot Balance'!$D$5:$D$500&gt;=$AJ1660),0),0)),""))</f>
        <v>ZIM601144366-0</v>
      </c>
      <c r="AN1660" s="66" t="str">
        <f>IF($F1660="","",IF($AI1660&lt;&gt;"",IF(COUNTIFS('Lot Balance'!$A$5:$A$500,$F1660,'Lot Balance'!$B$5:$B$500,$AI1660)=0,"⚠ override is not a lot of this item",IF($AI1660=$AL1660,"Override = FEFO","Override - FEFO says "&amp;$AL1660)),IF($AL1660="","⚠ no receipt on file for this item",IF($AM1660&lt;&gt;$AL1660,"FEFO auto - split, also "&amp;$AM1660,"FEFO auto"))))</f>
        <v>FEFO auto</v>
      </c>
      <c r="AO1660" s="114"/>
    </row>
    <row r="1661" spans="1:41" x14ac:dyDescent="0.35">
      <c r="A1661" s="74">
        <v>46210</v>
      </c>
      <c r="B1661" s="18" t="str">
        <f>IF($C1661="","",IFERROR(INDEX('Staff Directory'!$A$5:$A$594,MATCH($C1661,'Staff Directory'!$B$5:$B$594,0)),"⚠ unknown staff"))</f>
        <v>PSW-048-A5</v>
      </c>
      <c r="C1661" s="49" t="s">
        <v>1024</v>
      </c>
      <c r="D1661" s="19" t="str">
        <f>IF($B1661="","",IFERROR(INDEX('Staff Directory'!$C$5:$C$594,MATCH($B1661,'Staff Directory'!$A$5:$A$594,0)),""))</f>
        <v>PSW</v>
      </c>
      <c r="E1661" s="19" t="str">
        <f>IF($B1661="","",IFERROR(INDEX('Staff Directory'!$D$5:$D$594,MATCH($B1661,'Staff Directory'!$A$5:$A$594,0)),""))</f>
        <v>A5</v>
      </c>
      <c r="F1661" s="9" t="s">
        <v>115</v>
      </c>
      <c r="G1661" s="18" t="str">
        <f>IF($F1661="","",IFERROR(INDEX(Items!$B$5:$B$597,MATCH($F1661,Items!$A$5:$A$597,0)),"⚠ not in Items"))</f>
        <v>Wipes</v>
      </c>
      <c r="H1661" s="19">
        <f>IF($F1661="","",IFERROR(INDEX(Items!$C$5:$C$597,MATCH($F1661,Items!$A$5:$A$597,0)),""))</f>
        <v>80</v>
      </c>
      <c r="I1661" s="23">
        <f>IF($F1661="","",IFERROR(INDEX(Items!$E$5:$E$597,MATCH($F1661,Items!$A$5:$A$597,0)),""))</f>
        <v>80</v>
      </c>
      <c r="J1661" s="115">
        <f>IF(tblIssues[[#This Row],[Qty Override]]&lt;&gt;"",tblIssues[[#This Row],[Qty Override]],IF(tblIssues[[#This Row],[Standard Issue]]="","",tblIssues[[#This Row],[Standard Issue]]))</f>
        <v>80</v>
      </c>
      <c r="K1661" s="20">
        <f>IF($F1661="","",IFERROR(INDEX(Items!$D$5:$D$597,MATCH($F1661,Items!$A$5:$A$597,0)),""))</f>
        <v>0.1</v>
      </c>
      <c r="L1661" s="21">
        <f t="shared" si="283"/>
        <v>8</v>
      </c>
      <c r="M1661" s="9" t="str">
        <f t="shared" si="281"/>
        <v>LYSL500290</v>
      </c>
      <c r="N1661" s="24">
        <f>IF($A1661="","",WORKDAY($A1661,Settings!$C$9,HolidayDates))</f>
        <v>46218</v>
      </c>
      <c r="O1661" s="24">
        <f>IF($N1661="","",WORKDAY($N1661,Settings!$C$10,HolidayDates))</f>
        <v>46258</v>
      </c>
      <c r="P1661" s="10" t="s">
        <v>501</v>
      </c>
      <c r="Q1661" s="52" t="str">
        <f t="shared" si="284"/>
        <v>Collected</v>
      </c>
      <c r="R1661" s="55" t="str">
        <f t="shared" si="285"/>
        <v>2026-07</v>
      </c>
      <c r="S1661" s="55">
        <f>IF(OR($B1661="",$F1661="",$R1661=""),"",SUMIFS(tblIssues[Qty Issued],tblIssues[Staff ID],$B1661,tblIssues[Item Name],$F1661,tblIssues[Month],$R1661))</f>
        <v>80</v>
      </c>
      <c r="T1661" s="56">
        <f>IF($I1661="","",$I1661*Settings!$C$11)</f>
        <v>80</v>
      </c>
      <c r="U1661" s="57" t="str">
        <f t="shared" si="282"/>
        <v>OK</v>
      </c>
      <c r="V1661" s="55" t="str">
        <f t="shared" si="286"/>
        <v/>
      </c>
      <c r="W1661" s="55" t="str">
        <f>IF($V1661="","",IF(COUNTIF($V$5:$V1661,$V1661)=1,1,""))</f>
        <v/>
      </c>
      <c r="X1661" s="58" t="str">
        <f>IF($W1661="","",MAX($X$4:X1660)+1)</f>
        <v/>
      </c>
      <c r="Y1661" s="62"/>
      <c r="Z1661" s="62"/>
      <c r="AA1661" s="64" t="str">
        <f>IF($C1661="","",IFERROR(INDEX('Staff Directory'!$E$5:$E$594,MATCH($C1661,'Staff Directory'!$B$5:$B$594,0)),""))</f>
        <v>firstname108.lastname108@example.com</v>
      </c>
      <c r="AB1661" s="64" t="str">
        <f>IF($C1661="","",IF(ISNUMBER(SEARCH($D1661,Settings!$C$15)),"Pickup","Dispatch"))</f>
        <v>Pickup</v>
      </c>
      <c r="AC1661" s="64" t="str">
        <f t="shared" si="287"/>
        <v>Supply order ready for pickup</v>
      </c>
      <c r="AD1661" s="64" t="str">
        <f t="shared" si="278"/>
        <v>Dear PSW,
Your order is ready for pickup from Sample Branch, Wed-Fri 9am-4pm.</v>
      </c>
      <c r="AE1661" s="64" t="str">
        <f t="shared" si="279"/>
        <v>mailto:firstname108.lastname108@example.com?subject=Supply%20order%20ready%20for%20pickup&amp;body=Dear%20PSW%2C%0A%0AYour%20order%20is%20ready%20for%20pickup%20from%20Sample%20Branch%2C%20Wed-Fri%209am-4pm.</v>
      </c>
      <c r="AF1661" s="89" t="str">
        <f t="shared" si="288"/>
        <v>Draft email</v>
      </c>
      <c r="AG1661" s="64" t="str">
        <f>IF($C1661="","",IFERROR(INDEX('Staff Directory'!$K$595:$K$599,MATCH($C1661,'Staff Directory'!$B$5:$B$599,0)),$D1661))</f>
        <v>PSW</v>
      </c>
      <c r="AH1661" t="str">
        <f>IF($C1661="","",IFERROR(INDEX('Staff Directory'!$I$595:$I$599,MATCH($C1661,'Staff Directory'!$B$5:$B$599,0))&amp;" "&amp;INDEX('Staff Directory'!$J$595:$J$599,MATCH($C1661,'Staff Directory'!$B$5:$B$599,0)),$AG1661))</f>
        <v>PSW</v>
      </c>
      <c r="AI1661" s="102"/>
      <c r="AJ1661" s="101">
        <f>IF($F1661="","",SUMIFS($J$5:$J1661,$F$5:$F1661,$F1661))</f>
        <v>22240</v>
      </c>
      <c r="AK1661" s="101">
        <f t="shared" si="280"/>
        <v>22161</v>
      </c>
      <c r="AL1661" s="66" t="str" cm="1">
        <f t="array" ref="AL1661">IF($F1661="","",IFERROR(INDEX('Lot Balance'!$B$5:$B$500,MATCH(1,INDEX(('Lot Balance'!$A$5:$A$500=$F1661)*('Lot Balance'!$K$5:$K$500&lt;$AK1661)*('Lot Balance'!$K$5:$K$500+'Lot Balance'!$D$5:$D$500&gt;=$AK1661),0),0)),""))</f>
        <v>LYSL500290</v>
      </c>
      <c r="AM1661" s="66" t="str" cm="1">
        <f t="array" ref="AM1661">IF($F1661="","",IFERROR(INDEX('Lot Balance'!$B$5:$B$500,MATCH(1,INDEX(('Lot Balance'!$A$5:$A$500=$F1661)*('Lot Balance'!$K$5:$K$500&lt;$AJ1661)*('Lot Balance'!$K$5:$K$500+'Lot Balance'!$D$5:$D$500&gt;=$AJ1661),0),0)),""))</f>
        <v>LYSL500290</v>
      </c>
      <c r="AN1661" s="66" t="str">
        <f>IF($F1661="","",IF($AI1661&lt;&gt;"",IF(COUNTIFS('Lot Balance'!$A$5:$A$500,$F1661,'Lot Balance'!$B$5:$B$500,$AI1661)=0,"⚠ override is not a lot of this item",IF($AI1661=$AL1661,"Override = FEFO","Override - FEFO says "&amp;$AL1661)),IF($AL1661="","⚠ no receipt on file for this item",IF($AM1661&lt;&gt;$AL1661,"FEFO auto - split, also "&amp;$AM1661,"FEFO auto"))))</f>
        <v>FEFO auto</v>
      </c>
      <c r="AO1661" s="114"/>
    </row>
    <row r="1662" spans="1:41" x14ac:dyDescent="0.35">
      <c r="A1662" s="74">
        <v>46210</v>
      </c>
      <c r="B1662" s="18" t="str">
        <f>IF($C1662="","",IFERROR(INDEX('Staff Directory'!$A$5:$A$594,MATCH($C1662,'Staff Directory'!$B$5:$B$594,0)),"⚠ unknown staff"))</f>
        <v>PSW-048-A5</v>
      </c>
      <c r="C1662" s="49" t="s">
        <v>1024</v>
      </c>
      <c r="D1662" s="19" t="str">
        <f>IF($B1662="","",IFERROR(INDEX('Staff Directory'!$C$5:$C$594,MATCH($B1662,'Staff Directory'!$A$5:$A$594,0)),""))</f>
        <v>PSW</v>
      </c>
      <c r="E1662" s="19" t="str">
        <f>IF($B1662="","",IFERROR(INDEX('Staff Directory'!$D$5:$D$594,MATCH($B1662,'Staff Directory'!$A$5:$A$594,0)),""))</f>
        <v>A5</v>
      </c>
      <c r="F1662" s="9" t="s">
        <v>156</v>
      </c>
      <c r="G1662" s="18" t="str">
        <f>IF($F1662="","",IFERROR(INDEX(Items!$B$5:$B$597,MATCH($F1662,Items!$A$5:$A$597,0)),"⚠ not in Items"))</f>
        <v>Masks</v>
      </c>
      <c r="H1662" s="19" t="str">
        <f>IF($F1662="","",IFERROR(INDEX(Items!$C$5:$C$597,MATCH($F1662,Items!$A$5:$A$597,0)),""))</f>
        <v>One Size</v>
      </c>
      <c r="I1662" s="23">
        <f>IF($F1662="","",IFERROR(INDEX(Items!$E$5:$E$597,MATCH($F1662,Items!$A$5:$A$597,0)),""))</f>
        <v>50</v>
      </c>
      <c r="J1662" s="115">
        <f>IF(tblIssues[[#This Row],[Qty Override]]&lt;&gt;"",tblIssues[[#This Row],[Qty Override]],IF(tblIssues[[#This Row],[Standard Issue]]="","",tblIssues[[#This Row],[Standard Issue]]))</f>
        <v>50</v>
      </c>
      <c r="K1662" s="20">
        <f>IF($F1662="","",IFERROR(INDEX(Items!$D$5:$D$597,MATCH($F1662,Items!$A$5:$A$597,0)),""))</f>
        <v>0.25</v>
      </c>
      <c r="L1662" s="21">
        <f t="shared" si="283"/>
        <v>12.5</v>
      </c>
      <c r="M1662" s="9" t="str">
        <f t="shared" si="281"/>
        <v>24HA2050A7396</v>
      </c>
      <c r="N1662" s="24">
        <f>IF($A1662="","",WORKDAY($A1662,Settings!$C$9,HolidayDates))</f>
        <v>46218</v>
      </c>
      <c r="O1662" s="24">
        <f>IF($N1662="","",WORKDAY($N1662,Settings!$C$10,HolidayDates))</f>
        <v>46258</v>
      </c>
      <c r="P1662" s="10" t="s">
        <v>501</v>
      </c>
      <c r="Q1662" s="52" t="str">
        <f t="shared" si="284"/>
        <v>Collected</v>
      </c>
      <c r="R1662" s="55" t="str">
        <f t="shared" si="285"/>
        <v>2026-07</v>
      </c>
      <c r="S1662" s="55">
        <f>IF(OR($B1662="",$F1662="",$R1662=""),"",SUMIFS(tblIssues[Qty Issued],tblIssues[Staff ID],$B1662,tblIssues[Item Name],$F1662,tblIssues[Month],$R1662))</f>
        <v>50</v>
      </c>
      <c r="T1662" s="56">
        <f>IF($I1662="","",$I1662*Settings!$C$11)</f>
        <v>50</v>
      </c>
      <c r="U1662" s="57" t="str">
        <f t="shared" si="282"/>
        <v>OK</v>
      </c>
      <c r="V1662" s="55" t="str">
        <f t="shared" si="286"/>
        <v/>
      </c>
      <c r="W1662" s="55" t="str">
        <f>IF($V1662="","",IF(COUNTIF($V$5:$V1662,$V1662)=1,1,""))</f>
        <v/>
      </c>
      <c r="X1662" s="58" t="str">
        <f>IF($W1662="","",MAX($X$4:X1661)+1)</f>
        <v/>
      </c>
      <c r="Y1662" s="62"/>
      <c r="Z1662" s="62"/>
      <c r="AA1662" s="64" t="str">
        <f>IF($C1662="","",IFERROR(INDEX('Staff Directory'!$E$5:$E$594,MATCH($C1662,'Staff Directory'!$B$5:$B$594,0)),""))</f>
        <v>firstname108.lastname108@example.com</v>
      </c>
      <c r="AB1662" s="64" t="str">
        <f>IF($C1662="","",IF(ISNUMBER(SEARCH($D1662,Settings!$C$15)),"Pickup","Dispatch"))</f>
        <v>Pickup</v>
      </c>
      <c r="AC1662" s="64" t="str">
        <f t="shared" si="287"/>
        <v>Supply order ready for pickup</v>
      </c>
      <c r="AD1662" s="64" t="str">
        <f t="shared" si="278"/>
        <v>Dear PSW,
Your order is ready for pickup from Sample Branch, Wed-Fri 9am-4pm.</v>
      </c>
      <c r="AE1662" s="64" t="str">
        <f t="shared" si="279"/>
        <v>mailto:firstname108.lastname108@example.com?subject=Supply%20order%20ready%20for%20pickup&amp;body=Dear%20PSW%2C%0A%0AYour%20order%20is%20ready%20for%20pickup%20from%20Sample%20Branch%2C%20Wed-Fri%209am-4pm.</v>
      </c>
      <c r="AF1662" s="89" t="str">
        <f t="shared" si="288"/>
        <v>Draft email</v>
      </c>
      <c r="AG1662" s="64" t="str">
        <f>IF($C1662="","",IFERROR(INDEX('Staff Directory'!$K$595:$K$599,MATCH($C1662,'Staff Directory'!$B$5:$B$599,0)),$D1662))</f>
        <v>PSW</v>
      </c>
      <c r="AH1662" t="str">
        <f>IF($C1662="","",IFERROR(INDEX('Staff Directory'!$I$595:$I$599,MATCH($C1662,'Staff Directory'!$B$5:$B$599,0))&amp;" "&amp;INDEX('Staff Directory'!$J$595:$J$599,MATCH($C1662,'Staff Directory'!$B$5:$B$599,0)),$AG1662))</f>
        <v>PSW</v>
      </c>
      <c r="AI1662" s="102"/>
      <c r="AJ1662" s="101">
        <f>IF($F1662="","",SUMIFS($J$5:$J1662,$F$5:$F1662,$F1662))</f>
        <v>13500</v>
      </c>
      <c r="AK1662" s="101">
        <f t="shared" si="280"/>
        <v>13451</v>
      </c>
      <c r="AL1662" s="66" t="str" cm="1">
        <f t="array" ref="AL1662">IF($F1662="","",IFERROR(INDEX('Lot Balance'!$B$5:$B$500,MATCH(1,INDEX(('Lot Balance'!$A$5:$A$500=$F1662)*('Lot Balance'!$K$5:$K$500&lt;$AK1662)*('Lot Balance'!$K$5:$K$500+'Lot Balance'!$D$5:$D$500&gt;=$AK1662),0),0)),""))</f>
        <v>24HA2050A7396</v>
      </c>
      <c r="AM1662" s="66" t="str" cm="1">
        <f t="array" ref="AM1662">IF($F1662="","",IFERROR(INDEX('Lot Balance'!$B$5:$B$500,MATCH(1,INDEX(('Lot Balance'!$A$5:$A$500=$F1662)*('Lot Balance'!$K$5:$K$500&lt;$AJ1662)*('Lot Balance'!$K$5:$K$500+'Lot Balance'!$D$5:$D$500&gt;=$AJ1662),0),0)),""))</f>
        <v>24HA2050A7396</v>
      </c>
      <c r="AN1662" s="66" t="str">
        <f>IF($F1662="","",IF($AI1662&lt;&gt;"",IF(COUNTIFS('Lot Balance'!$A$5:$A$500,$F1662,'Lot Balance'!$B$5:$B$500,$AI1662)=0,"⚠ override is not a lot of this item",IF($AI1662=$AL1662,"Override = FEFO","Override - FEFO says "&amp;$AL1662)),IF($AL1662="","⚠ no receipt on file for this item",IF($AM1662&lt;&gt;$AL1662,"FEFO auto - split, also "&amp;$AM1662,"FEFO auto"))))</f>
        <v>FEFO auto</v>
      </c>
      <c r="AO1662" s="114"/>
    </row>
    <row r="1663" spans="1:41" x14ac:dyDescent="0.35">
      <c r="A1663" s="74">
        <v>46210</v>
      </c>
      <c r="B1663" s="18" t="str">
        <f>IF($C1663="","",IFERROR(INDEX('Staff Directory'!$A$5:$A$594,MATCH($C1663,'Staff Directory'!$B$5:$B$594,0)),"⚠ unknown staff"))</f>
        <v>PSW-048-A5</v>
      </c>
      <c r="C1663" s="49" t="s">
        <v>1024</v>
      </c>
      <c r="D1663" s="19" t="str">
        <f>IF($B1663="","",IFERROR(INDEX('Staff Directory'!$C$5:$C$594,MATCH($B1663,'Staff Directory'!$A$5:$A$594,0)),""))</f>
        <v>PSW</v>
      </c>
      <c r="E1663" s="19" t="str">
        <f>IF($B1663="","",IFERROR(INDEX('Staff Directory'!$D$5:$D$594,MATCH($B1663,'Staff Directory'!$A$5:$A$594,0)),""))</f>
        <v>A5</v>
      </c>
      <c r="F1663" s="9" t="s">
        <v>758</v>
      </c>
      <c r="G1663" s="18" t="str">
        <f>IF($F1663="","",IFERROR(INDEX(Items!$B$5:$B$597,MATCH($F1663,Items!$A$5:$A$597,0)),"⚠ not in Items"))</f>
        <v>Utility</v>
      </c>
      <c r="H1663" s="19" t="str">
        <f>IF($F1663="","",IFERROR(INDEX(Items!$C$5:$C$597,MATCH($F1663,Items!$A$5:$A$597,0)),""))</f>
        <v>Standard</v>
      </c>
      <c r="I1663" s="23">
        <f>IF($F1663="","",IFERROR(INDEX(Items!$E$5:$E$597,MATCH($F1663,Items!$A$5:$A$597,0)),""))</f>
        <v>1</v>
      </c>
      <c r="J1663" s="115">
        <f>IF(tblIssues[[#This Row],[Qty Override]]&lt;&gt;"",tblIssues[[#This Row],[Qty Override]],IF(tblIssues[[#This Row],[Standard Issue]]="","",tblIssues[[#This Row],[Standard Issue]]))</f>
        <v>1</v>
      </c>
      <c r="K1663" s="20">
        <f>IF($F1663="","",IFERROR(INDEX(Items!$D$5:$D$597,MATCH($F1663,Items!$A$5:$A$597,0)),""))</f>
        <v>0</v>
      </c>
      <c r="L1663" s="21">
        <f t="shared" si="283"/>
        <v>0</v>
      </c>
      <c r="M1663" s="9" t="str">
        <f t="shared" si="281"/>
        <v/>
      </c>
      <c r="N1663" s="24">
        <f>IF($A1663="","",WORKDAY($A1663,Settings!$C$9,HolidayDates))</f>
        <v>46218</v>
      </c>
      <c r="O1663" s="24">
        <f>IF($N1663="","",WORKDAY($N1663,Settings!$C$10,HolidayDates))</f>
        <v>46258</v>
      </c>
      <c r="P1663" s="10" t="s">
        <v>501</v>
      </c>
      <c r="Q1663" s="52" t="str">
        <f t="shared" si="284"/>
        <v>Collected</v>
      </c>
      <c r="R1663" s="55" t="str">
        <f t="shared" si="285"/>
        <v>2026-07</v>
      </c>
      <c r="S1663" s="55">
        <f>IF(OR($B1663="",$F1663="",$R1663=""),"",SUMIFS(tblIssues[Qty Issued],tblIssues[Staff ID],$B1663,tblIssues[Item Name],$F1663,tblIssues[Month],$R1663))</f>
        <v>1</v>
      </c>
      <c r="T1663" s="56">
        <f>IF($I1663="","",$I1663*Settings!$C$11)</f>
        <v>1</v>
      </c>
      <c r="U1663" s="57" t="str">
        <f t="shared" si="282"/>
        <v>OK</v>
      </c>
      <c r="V1663" s="55" t="str">
        <f t="shared" si="286"/>
        <v/>
      </c>
      <c r="W1663" s="55" t="str">
        <f>IF($V1663="","",IF(COUNTIF($V$5:$V1663,$V1663)=1,1,""))</f>
        <v/>
      </c>
      <c r="X1663" s="58" t="str">
        <f>IF($W1663="","",MAX($X$4:X1662)+1)</f>
        <v/>
      </c>
      <c r="Y1663" s="62"/>
      <c r="Z1663" s="62"/>
      <c r="AA1663" s="64" t="str">
        <f>IF($C1663="","",IFERROR(INDEX('Staff Directory'!$E$5:$E$594,MATCH($C1663,'Staff Directory'!$B$5:$B$594,0)),""))</f>
        <v>firstname108.lastname108@example.com</v>
      </c>
      <c r="AB1663" s="64" t="str">
        <f>IF($C1663="","",IF(ISNUMBER(SEARCH($D1663,Settings!$C$15)),"Pickup","Dispatch"))</f>
        <v>Pickup</v>
      </c>
      <c r="AC1663" s="64" t="str">
        <f t="shared" si="287"/>
        <v>Supply order ready for pickup</v>
      </c>
      <c r="AD1663" s="64" t="str">
        <f t="shared" si="278"/>
        <v>Dear PSW,
Your order is ready for pickup from Sample Branch, Wed-Fri 9am-4pm.</v>
      </c>
      <c r="AE1663" s="64" t="str">
        <f t="shared" si="279"/>
        <v>mailto:firstname108.lastname108@example.com?subject=Supply%20order%20ready%20for%20pickup&amp;body=Dear%20PSW%2C%0A%0AYour%20order%20is%20ready%20for%20pickup%20from%20Sample%20Branch%2C%20Wed-Fri%209am-4pm.</v>
      </c>
      <c r="AF1663" s="89" t="str">
        <f t="shared" si="288"/>
        <v>Draft email</v>
      </c>
      <c r="AG1663" s="64" t="str">
        <f>IF($C1663="","",IFERROR(INDEX('Staff Directory'!$K$595:$K$599,MATCH($C1663,'Staff Directory'!$B$5:$B$599,0)),$D1663))</f>
        <v>PSW</v>
      </c>
      <c r="AH1663" t="str">
        <f>IF($C1663="","",IFERROR(INDEX('Staff Directory'!$I$595:$I$599,MATCH($C1663,'Staff Directory'!$B$5:$B$599,0))&amp;" "&amp;INDEX('Staff Directory'!$J$595:$J$599,MATCH($C1663,'Staff Directory'!$B$5:$B$599,0)),$AG1663))</f>
        <v>PSW</v>
      </c>
      <c r="AI1663" s="102"/>
      <c r="AJ1663" s="101">
        <f>IF($F1663="","",SUMIFS($J$5:$J1663,$F$5:$F1663,$F1663))</f>
        <v>46</v>
      </c>
      <c r="AK1663" s="101">
        <f t="shared" si="280"/>
        <v>46</v>
      </c>
      <c r="AL1663" s="66" t="str" cm="1">
        <f t="array" ref="AL1663">IF($F1663="","",IFERROR(INDEX('Lot Balance'!$B$5:$B$500,MATCH(1,INDEX(('Lot Balance'!$A$5:$A$500=$F1663)*('Lot Balance'!$K$5:$K$500&lt;$AK1663)*('Lot Balance'!$K$5:$K$500+'Lot Balance'!$D$5:$D$500&gt;=$AK1663),0),0)),""))</f>
        <v/>
      </c>
      <c r="AM1663" s="66" t="str" cm="1">
        <f t="array" ref="AM1663">IF($F1663="","",IFERROR(INDEX('Lot Balance'!$B$5:$B$500,MATCH(1,INDEX(('Lot Balance'!$A$5:$A$500=$F1663)*('Lot Balance'!$K$5:$K$500&lt;$AJ1663)*('Lot Balance'!$K$5:$K$500+'Lot Balance'!$D$5:$D$500&gt;=$AJ1663),0),0)),""))</f>
        <v/>
      </c>
      <c r="AN1663" s="66" t="str">
        <f>IF($F1663="","",IF($AI1663&lt;&gt;"",IF(COUNTIFS('Lot Balance'!$A$5:$A$500,$F1663,'Lot Balance'!$B$5:$B$500,$AI1663)=0,"⚠ override is not a lot of this item",IF($AI1663=$AL1663,"Override = FEFO","Override - FEFO says "&amp;$AL1663)),IF($AL1663="","⚠ no receipt on file for this item",IF($AM1663&lt;&gt;$AL1663,"FEFO auto - split, also "&amp;$AM1663,"FEFO auto"))))</f>
        <v>⚠ no receipt on file for this item</v>
      </c>
      <c r="AO1663" s="114"/>
    </row>
    <row r="1664" spans="1:41" x14ac:dyDescent="0.35">
      <c r="A1664" s="74">
        <v>46210</v>
      </c>
      <c r="B1664" s="18" t="str">
        <f>IF($C1664="","",IFERROR(INDEX('Staff Directory'!$A$5:$A$594,MATCH($C1664,'Staff Directory'!$B$5:$B$594,0)),"⚠ unknown staff"))</f>
        <v>PSW-089-A5</v>
      </c>
      <c r="C1664" s="49" t="s">
        <v>1066</v>
      </c>
      <c r="D1664" s="19" t="str">
        <f>IF($B1664="","",IFERROR(INDEX('Staff Directory'!$C$5:$C$594,MATCH($B1664,'Staff Directory'!$A$5:$A$594,0)),""))</f>
        <v>PSW</v>
      </c>
      <c r="E1664" s="19" t="str">
        <f>IF($B1664="","",IFERROR(INDEX('Staff Directory'!$D$5:$D$594,MATCH($B1664,'Staff Directory'!$A$5:$A$594,0)),""))</f>
        <v>A5</v>
      </c>
      <c r="F1664" s="9" t="s">
        <v>758</v>
      </c>
      <c r="G1664" s="18" t="str">
        <f>IF($F1664="","",IFERROR(INDEX(Items!$B$5:$B$597,MATCH($F1664,Items!$A$5:$A$597,0)),"⚠ not in Items"))</f>
        <v>Utility</v>
      </c>
      <c r="H1664" s="19" t="str">
        <f>IF($F1664="","",IFERROR(INDEX(Items!$C$5:$C$597,MATCH($F1664,Items!$A$5:$A$597,0)),""))</f>
        <v>Standard</v>
      </c>
      <c r="I1664" s="23">
        <f>IF($F1664="","",IFERROR(INDEX(Items!$E$5:$E$597,MATCH($F1664,Items!$A$5:$A$597,0)),""))</f>
        <v>1</v>
      </c>
      <c r="J1664" s="115">
        <f>IF(tblIssues[[#This Row],[Qty Override]]&lt;&gt;"",tblIssues[[#This Row],[Qty Override]],IF(tblIssues[[#This Row],[Standard Issue]]="","",tblIssues[[#This Row],[Standard Issue]]))</f>
        <v>1</v>
      </c>
      <c r="K1664" s="20">
        <f>IF($F1664="","",IFERROR(INDEX(Items!$D$5:$D$597,MATCH($F1664,Items!$A$5:$A$597,0)),""))</f>
        <v>0</v>
      </c>
      <c r="L1664" s="21">
        <f t="shared" si="283"/>
        <v>0</v>
      </c>
      <c r="M1664" s="9" t="str">
        <f t="shared" si="281"/>
        <v/>
      </c>
      <c r="N1664" s="24">
        <f>IF($A1664="","",WORKDAY($A1664,Settings!$C$9,HolidayDates))</f>
        <v>46218</v>
      </c>
      <c r="O1664" s="24">
        <f>IF($N1664="","",WORKDAY($N1664,Settings!$C$10,HolidayDates))</f>
        <v>46258</v>
      </c>
      <c r="P1664" s="10" t="s">
        <v>501</v>
      </c>
      <c r="Q1664" s="52" t="str">
        <f t="shared" si="284"/>
        <v>Collected</v>
      </c>
      <c r="R1664" s="55" t="str">
        <f t="shared" si="285"/>
        <v>2026-07</v>
      </c>
      <c r="S1664" s="55">
        <f>IF(OR($B1664="",$F1664="",$R1664=""),"",SUMIFS(tblIssues[Qty Issued],tblIssues[Staff ID],$B1664,tblIssues[Item Name],$F1664,tblIssues[Month],$R1664))</f>
        <v>1</v>
      </c>
      <c r="T1664" s="56">
        <f>IF($I1664="","",$I1664*Settings!$C$11)</f>
        <v>1</v>
      </c>
      <c r="U1664" s="57" t="str">
        <f t="shared" si="282"/>
        <v>OK</v>
      </c>
      <c r="V1664" s="55" t="str">
        <f t="shared" si="286"/>
        <v/>
      </c>
      <c r="W1664" s="55" t="str">
        <f>IF($V1664="","",IF(COUNTIF($V$5:$V1664,$V1664)=1,1,""))</f>
        <v/>
      </c>
      <c r="X1664" s="58" t="str">
        <f>IF($W1664="","",MAX($X$4:X1663)+1)</f>
        <v/>
      </c>
      <c r="Y1664" s="62"/>
      <c r="Z1664" s="62"/>
      <c r="AA1664" s="64" t="str">
        <f>IF($C1664="","",IFERROR(INDEX('Staff Directory'!$E$5:$E$594,MATCH($C1664,'Staff Directory'!$B$5:$B$594,0)),""))</f>
        <v>firstname150.lastname150@example.com</v>
      </c>
      <c r="AB1664" s="64" t="str">
        <f>IF($C1664="","",IF(ISNUMBER(SEARCH($D1664,Settings!$C$15)),"Pickup","Dispatch"))</f>
        <v>Pickup</v>
      </c>
      <c r="AC1664" s="64" t="str">
        <f t="shared" si="287"/>
        <v>Supply order ready for pickup</v>
      </c>
      <c r="AD1664" s="64" t="str">
        <f t="shared" si="278"/>
        <v>Dear PSW,
Your order is ready for pickup from Sample Branch, Wed-Fri 9am-4pm.</v>
      </c>
      <c r="AE1664" s="64" t="str">
        <f t="shared" si="279"/>
        <v>mailto:firstname150.lastname150@example.com?subject=Supply%20order%20ready%20for%20pickup&amp;body=Dear%20PSW%2C%0A%0AYour%20order%20is%20ready%20for%20pickup%20from%20Sample%20Branch%2C%20Wed-Fri%209am-4pm.</v>
      </c>
      <c r="AF1664" s="89" t="str">
        <f t="shared" si="288"/>
        <v>Draft email</v>
      </c>
      <c r="AG1664" s="64" t="str">
        <f>IF($C1664="","",IFERROR(INDEX('Staff Directory'!$K$595:$K$599,MATCH($C1664,'Staff Directory'!$B$5:$B$599,0)),$D1664))</f>
        <v>PSW</v>
      </c>
      <c r="AH1664" t="str">
        <f>IF($C1664="","",IFERROR(INDEX('Staff Directory'!$I$595:$I$599,MATCH($C1664,'Staff Directory'!$B$5:$B$599,0))&amp;" "&amp;INDEX('Staff Directory'!$J$595:$J$599,MATCH($C1664,'Staff Directory'!$B$5:$B$599,0)),$AG1664))</f>
        <v>PSW</v>
      </c>
      <c r="AI1664" s="102"/>
      <c r="AJ1664" s="101">
        <f>IF($F1664="","",SUMIFS($J$5:$J1664,$F$5:$F1664,$F1664))</f>
        <v>47</v>
      </c>
      <c r="AK1664" s="101">
        <f t="shared" si="280"/>
        <v>47</v>
      </c>
      <c r="AL1664" s="66" t="str" cm="1">
        <f t="array" ref="AL1664">IF($F1664="","",IFERROR(INDEX('Lot Balance'!$B$5:$B$500,MATCH(1,INDEX(('Lot Balance'!$A$5:$A$500=$F1664)*('Lot Balance'!$K$5:$K$500&lt;$AK1664)*('Lot Balance'!$K$5:$K$500+'Lot Balance'!$D$5:$D$500&gt;=$AK1664),0),0)),""))</f>
        <v/>
      </c>
      <c r="AM1664" s="66" t="str" cm="1">
        <f t="array" ref="AM1664">IF($F1664="","",IFERROR(INDEX('Lot Balance'!$B$5:$B$500,MATCH(1,INDEX(('Lot Balance'!$A$5:$A$500=$F1664)*('Lot Balance'!$K$5:$K$500&lt;$AJ1664)*('Lot Balance'!$K$5:$K$500+'Lot Balance'!$D$5:$D$500&gt;=$AJ1664),0),0)),""))</f>
        <v/>
      </c>
      <c r="AN1664" s="66" t="str">
        <f>IF($F1664="","",IF($AI1664&lt;&gt;"",IF(COUNTIFS('Lot Balance'!$A$5:$A$500,$F1664,'Lot Balance'!$B$5:$B$500,$AI1664)=0,"⚠ override is not a lot of this item",IF($AI1664=$AL1664,"Override = FEFO","Override - FEFO says "&amp;$AL1664)),IF($AL1664="","⚠ no receipt on file for this item",IF($AM1664&lt;&gt;$AL1664,"FEFO auto - split, also "&amp;$AM1664,"FEFO auto"))))</f>
        <v>⚠ no receipt on file for this item</v>
      </c>
      <c r="AO1664" s="114"/>
    </row>
    <row r="1665" spans="1:41" x14ac:dyDescent="0.35">
      <c r="A1665" s="74">
        <v>46211</v>
      </c>
      <c r="B1665" s="18" t="str">
        <f>IF($C1665="","",IFERROR(INDEX('Staff Directory'!$A$5:$A$594,MATCH($C1665,'Staff Directory'!$B$5:$B$594,0)),"⚠ unknown staff"))</f>
        <v>PSW-058-A5</v>
      </c>
      <c r="C1665" s="49" t="s">
        <v>1034</v>
      </c>
      <c r="D1665" s="19" t="str">
        <f>IF($B1665="","",IFERROR(INDEX('Staff Directory'!$C$5:$C$594,MATCH($B1665,'Staff Directory'!$A$5:$A$594,0)),""))</f>
        <v>PSW</v>
      </c>
      <c r="E1665" s="19" t="str">
        <f>IF($B1665="","",IFERROR(INDEX('Staff Directory'!$D$5:$D$594,MATCH($B1665,'Staff Directory'!$A$5:$A$594,0)),""))</f>
        <v>A5</v>
      </c>
      <c r="F1665" s="9" t="s">
        <v>127</v>
      </c>
      <c r="G1665" s="18" t="str">
        <f>IF($F1665="","",IFERROR(INDEX(Items!$B$5:$B$597,MATCH($F1665,Items!$A$5:$A$597,0)),"⚠ not in Items"))</f>
        <v>Gloves</v>
      </c>
      <c r="H1665" s="19" t="str">
        <f>IF($F1665="","",IFERROR(INDEX(Items!$C$5:$C$597,MATCH($F1665,Items!$A$5:$A$597,0)),""))</f>
        <v>Medium</v>
      </c>
      <c r="I1665" s="23">
        <f>IF($F1665="","",IFERROR(INDEX(Items!$E$5:$E$597,MATCH($F1665,Items!$A$5:$A$597,0)),""))</f>
        <v>500</v>
      </c>
      <c r="J1665" s="115">
        <f>IF(tblIssues[[#This Row],[Qty Override]]&lt;&gt;"",tblIssues[[#This Row],[Qty Override]],IF(tblIssues[[#This Row],[Standard Issue]]="","",tblIssues[[#This Row],[Standard Issue]]))</f>
        <v>500</v>
      </c>
      <c r="K1665" s="20">
        <f>IF($F1665="","",IFERROR(INDEX(Items!$D$5:$D$597,MATCH($F1665,Items!$A$5:$A$597,0)),""))</f>
        <v>5.5E-2</v>
      </c>
      <c r="L1665" s="21">
        <f t="shared" si="283"/>
        <v>27.5</v>
      </c>
      <c r="M1665" s="9" t="str">
        <f t="shared" si="281"/>
        <v>ZIM604151579</v>
      </c>
      <c r="N1665" s="24">
        <f>IF($A1665="","",WORKDAY($A1665,Settings!$C$9,HolidayDates))</f>
        <v>46219</v>
      </c>
      <c r="O1665" s="24">
        <f>IF($N1665="","",WORKDAY($N1665,Settings!$C$10,HolidayDates))</f>
        <v>46259</v>
      </c>
      <c r="P1665" s="10" t="s">
        <v>501</v>
      </c>
      <c r="Q1665" s="52" t="str">
        <f t="shared" si="284"/>
        <v>Collected</v>
      </c>
      <c r="R1665" s="55" t="str">
        <f t="shared" si="285"/>
        <v>2026-07</v>
      </c>
      <c r="S1665" s="55">
        <f>IF(OR($B1665="",$F1665="",$R1665=""),"",SUMIFS(tblIssues[Qty Issued],tblIssues[Staff ID],$B1665,tblIssues[Item Name],$F1665,tblIssues[Month],$R1665))</f>
        <v>500</v>
      </c>
      <c r="T1665" s="56">
        <f>IF($I1665="","",$I1665*Settings!$C$11)</f>
        <v>500</v>
      </c>
      <c r="U1665" s="57" t="str">
        <f t="shared" si="282"/>
        <v>OK</v>
      </c>
      <c r="V1665" s="55" t="str">
        <f t="shared" si="286"/>
        <v/>
      </c>
      <c r="W1665" s="55" t="str">
        <f>IF($V1665="","",IF(COUNTIF($V$5:$V1665,$V1665)=1,1,""))</f>
        <v/>
      </c>
      <c r="X1665" s="58" t="str">
        <f>IF($W1665="","",MAX($X$4:X1664)+1)</f>
        <v/>
      </c>
      <c r="Y1665" s="62"/>
      <c r="Z1665" s="62"/>
      <c r="AA1665" s="64" t="str">
        <f>IF($C1665="","",IFERROR(INDEX('Staff Directory'!$E$5:$E$594,MATCH($C1665,'Staff Directory'!$B$5:$B$594,0)),""))</f>
        <v>firstname118.lastname118@example.com</v>
      </c>
      <c r="AB1665" s="64" t="str">
        <f>IF($C1665="","",IF(ISNUMBER(SEARCH($D1665,Settings!$C$15)),"Pickup","Dispatch"))</f>
        <v>Pickup</v>
      </c>
      <c r="AC1665" s="64" t="str">
        <f t="shared" si="287"/>
        <v>Supply order ready for pickup</v>
      </c>
      <c r="AD1665" s="64" t="str">
        <f t="shared" si="278"/>
        <v>Dear PSW,
Your order is ready for pickup from Sample Branch, Wed-Fri 9am-4pm.</v>
      </c>
      <c r="AE1665" s="64" t="str">
        <f t="shared" si="279"/>
        <v>mailto:firstname118.lastname118@example.com?subject=Supply%20order%20ready%20for%20pickup&amp;body=Dear%20PSW%2C%0A%0AYour%20order%20is%20ready%20for%20pickup%20from%20Sample%20Branch%2C%20Wed-Fri%209am-4pm.</v>
      </c>
      <c r="AF1665" s="89" t="str">
        <f t="shared" si="288"/>
        <v>Draft email</v>
      </c>
      <c r="AG1665" s="64" t="str">
        <f>IF($C1665="","",IFERROR(INDEX('Staff Directory'!$K$595:$K$599,MATCH($C1665,'Staff Directory'!$B$5:$B$599,0)),$D1665))</f>
        <v>PSW</v>
      </c>
      <c r="AH1665" t="str">
        <f>IF($C1665="","",IFERROR(INDEX('Staff Directory'!$I$595:$I$599,MATCH($C1665,'Staff Directory'!$B$5:$B$599,0))&amp;" "&amp;INDEX('Staff Directory'!$J$595:$J$599,MATCH($C1665,'Staff Directory'!$B$5:$B$599,0)),$AG1665))</f>
        <v>PSW</v>
      </c>
      <c r="AI1665" s="102"/>
      <c r="AJ1665" s="101">
        <f>IF($F1665="","",SUMIFS($J$5:$J1665,$F$5:$F1665,$F1665))</f>
        <v>99000</v>
      </c>
      <c r="AK1665" s="101">
        <f t="shared" si="280"/>
        <v>98501</v>
      </c>
      <c r="AL1665" s="66" t="str" cm="1">
        <f t="array" ref="AL1665">IF($F1665="","",IFERROR(INDEX('Lot Balance'!$B$5:$B$500,MATCH(1,INDEX(('Lot Balance'!$A$5:$A$500=$F1665)*('Lot Balance'!$K$5:$K$500&lt;$AK1665)*('Lot Balance'!$K$5:$K$500+'Lot Balance'!$D$5:$D$500&gt;=$AK1665),0),0)),""))</f>
        <v>ZIM604151579</v>
      </c>
      <c r="AM1665" s="66" t="str" cm="1">
        <f t="array" ref="AM1665">IF($F1665="","",IFERROR(INDEX('Lot Balance'!$B$5:$B$500,MATCH(1,INDEX(('Lot Balance'!$A$5:$A$500=$F1665)*('Lot Balance'!$K$5:$K$500&lt;$AJ1665)*('Lot Balance'!$K$5:$K$500+'Lot Balance'!$D$5:$D$500&gt;=$AJ1665),0),0)),""))</f>
        <v>ZIM604151579</v>
      </c>
      <c r="AN1665" s="66" t="str">
        <f>IF($F1665="","",IF($AI1665&lt;&gt;"",IF(COUNTIFS('Lot Balance'!$A$5:$A$500,$F1665,'Lot Balance'!$B$5:$B$500,$AI1665)=0,"⚠ override is not a lot of this item",IF($AI1665=$AL1665,"Override = FEFO","Override - FEFO says "&amp;$AL1665)),IF($AL1665="","⚠ no receipt on file for this item",IF($AM1665&lt;&gt;$AL1665,"FEFO auto - split, also "&amp;$AM1665,"FEFO auto"))))</f>
        <v>FEFO auto</v>
      </c>
      <c r="AO1665" s="114"/>
    </row>
    <row r="1666" spans="1:41" x14ac:dyDescent="0.35">
      <c r="A1666" s="74">
        <v>46211</v>
      </c>
      <c r="B1666" s="18" t="str">
        <f>IF($C1666="","",IFERROR(INDEX('Staff Directory'!$A$5:$A$594,MATCH($C1666,'Staff Directory'!$B$5:$B$594,0)),"⚠ unknown staff"))</f>
        <v>PSW-058-A5</v>
      </c>
      <c r="C1666" s="49" t="s">
        <v>1034</v>
      </c>
      <c r="D1666" s="19" t="str">
        <f>IF($B1666="","",IFERROR(INDEX('Staff Directory'!$C$5:$C$594,MATCH($B1666,'Staff Directory'!$A$5:$A$594,0)),""))</f>
        <v>PSW</v>
      </c>
      <c r="E1666" s="19" t="str">
        <f>IF($B1666="","",IFERROR(INDEX('Staff Directory'!$D$5:$D$594,MATCH($B1666,'Staff Directory'!$A$5:$A$594,0)),""))</f>
        <v>A5</v>
      </c>
      <c r="F1666" s="9" t="s">
        <v>115</v>
      </c>
      <c r="G1666" s="18" t="str">
        <f>IF($F1666="","",IFERROR(INDEX(Items!$B$5:$B$597,MATCH($F1666,Items!$A$5:$A$597,0)),"⚠ not in Items"))</f>
        <v>Wipes</v>
      </c>
      <c r="H1666" s="19">
        <f>IF($F1666="","",IFERROR(INDEX(Items!$C$5:$C$597,MATCH($F1666,Items!$A$5:$A$597,0)),""))</f>
        <v>80</v>
      </c>
      <c r="I1666" s="23">
        <f>IF($F1666="","",IFERROR(INDEX(Items!$E$5:$E$597,MATCH($F1666,Items!$A$5:$A$597,0)),""))</f>
        <v>80</v>
      </c>
      <c r="J1666" s="115">
        <f>IF(tblIssues[[#This Row],[Qty Override]]&lt;&gt;"",tblIssues[[#This Row],[Qty Override]],IF(tblIssues[[#This Row],[Standard Issue]]="","",tblIssues[[#This Row],[Standard Issue]]))</f>
        <v>80</v>
      </c>
      <c r="K1666" s="20">
        <f>IF($F1666="","",IFERROR(INDEX(Items!$D$5:$D$597,MATCH($F1666,Items!$A$5:$A$597,0)),""))</f>
        <v>0.1</v>
      </c>
      <c r="L1666" s="21">
        <f t="shared" si="283"/>
        <v>8</v>
      </c>
      <c r="M1666" s="9" t="str">
        <f t="shared" si="281"/>
        <v>LYSL500290</v>
      </c>
      <c r="N1666" s="24">
        <f>IF($A1666="","",WORKDAY($A1666,Settings!$C$9,HolidayDates))</f>
        <v>46219</v>
      </c>
      <c r="O1666" s="24">
        <f>IF($N1666="","",WORKDAY($N1666,Settings!$C$10,HolidayDates))</f>
        <v>46259</v>
      </c>
      <c r="P1666" s="10" t="s">
        <v>501</v>
      </c>
      <c r="Q1666" s="52" t="str">
        <f t="shared" si="284"/>
        <v>Collected</v>
      </c>
      <c r="R1666" s="55" t="str">
        <f t="shared" si="285"/>
        <v>2026-07</v>
      </c>
      <c r="S1666" s="55">
        <f>IF(OR($B1666="",$F1666="",$R1666=""),"",SUMIFS(tblIssues[Qty Issued],tblIssues[Staff ID],$B1666,tblIssues[Item Name],$F1666,tblIssues[Month],$R1666))</f>
        <v>80</v>
      </c>
      <c r="T1666" s="56">
        <f>IF($I1666="","",$I1666*Settings!$C$11)</f>
        <v>80</v>
      </c>
      <c r="U1666" s="57" t="str">
        <f t="shared" si="282"/>
        <v>OK</v>
      </c>
      <c r="V1666" s="55" t="str">
        <f t="shared" si="286"/>
        <v/>
      </c>
      <c r="W1666" s="55" t="str">
        <f>IF($V1666="","",IF(COUNTIF($V$5:$V1666,$V1666)=1,1,""))</f>
        <v/>
      </c>
      <c r="X1666" s="58" t="str">
        <f>IF($W1666="","",MAX($X$4:X1665)+1)</f>
        <v/>
      </c>
      <c r="Y1666" s="62"/>
      <c r="Z1666" s="62"/>
      <c r="AA1666" s="64" t="str">
        <f>IF($C1666="","",IFERROR(INDEX('Staff Directory'!$E$5:$E$594,MATCH($C1666,'Staff Directory'!$B$5:$B$594,0)),""))</f>
        <v>firstname118.lastname118@example.com</v>
      </c>
      <c r="AB1666" s="64" t="str">
        <f>IF($C1666="","",IF(ISNUMBER(SEARCH($D1666,Settings!$C$15)),"Pickup","Dispatch"))</f>
        <v>Pickup</v>
      </c>
      <c r="AC1666" s="64" t="str">
        <f t="shared" si="287"/>
        <v>Supply order ready for pickup</v>
      </c>
      <c r="AD1666" s="64" t="str">
        <f t="shared" si="278"/>
        <v>Dear PSW,
Your order is ready for pickup from Sample Branch, Wed-Fri 9am-4pm.</v>
      </c>
      <c r="AE1666" s="64" t="str">
        <f t="shared" si="279"/>
        <v>mailto:firstname118.lastname118@example.com?subject=Supply%20order%20ready%20for%20pickup&amp;body=Dear%20PSW%2C%0A%0AYour%20order%20is%20ready%20for%20pickup%20from%20Sample%20Branch%2C%20Wed-Fri%209am-4pm.</v>
      </c>
      <c r="AF1666" s="89" t="str">
        <f t="shared" si="288"/>
        <v>Draft email</v>
      </c>
      <c r="AG1666" s="64" t="str">
        <f>IF($C1666="","",IFERROR(INDEX('Staff Directory'!$K$595:$K$599,MATCH($C1666,'Staff Directory'!$B$5:$B$599,0)),$D1666))</f>
        <v>PSW</v>
      </c>
      <c r="AH1666" t="str">
        <f>IF($C1666="","",IFERROR(INDEX('Staff Directory'!$I$595:$I$599,MATCH($C1666,'Staff Directory'!$B$5:$B$599,0))&amp;" "&amp;INDEX('Staff Directory'!$J$595:$J$599,MATCH($C1666,'Staff Directory'!$B$5:$B$599,0)),$AG1666))</f>
        <v>PSW</v>
      </c>
      <c r="AI1666" s="102"/>
      <c r="AJ1666" s="101">
        <f>IF($F1666="","",SUMIFS($J$5:$J1666,$F$5:$F1666,$F1666))</f>
        <v>22320</v>
      </c>
      <c r="AK1666" s="101">
        <f t="shared" si="280"/>
        <v>22241</v>
      </c>
      <c r="AL1666" s="66" t="str" cm="1">
        <f t="array" ref="AL1666">IF($F1666="","",IFERROR(INDEX('Lot Balance'!$B$5:$B$500,MATCH(1,INDEX(('Lot Balance'!$A$5:$A$500=$F1666)*('Lot Balance'!$K$5:$K$500&lt;$AK1666)*('Lot Balance'!$K$5:$K$500+'Lot Balance'!$D$5:$D$500&gt;=$AK1666),0),0)),""))</f>
        <v>LYSL500290</v>
      </c>
      <c r="AM1666" s="66" t="str" cm="1">
        <f t="array" ref="AM1666">IF($F1666="","",IFERROR(INDEX('Lot Balance'!$B$5:$B$500,MATCH(1,INDEX(('Lot Balance'!$A$5:$A$500=$F1666)*('Lot Balance'!$K$5:$K$500&lt;$AJ1666)*('Lot Balance'!$K$5:$K$500+'Lot Balance'!$D$5:$D$500&gt;=$AJ1666),0),0)),""))</f>
        <v>LYSL500290</v>
      </c>
      <c r="AN1666" s="66" t="str">
        <f>IF($F1666="","",IF($AI1666&lt;&gt;"",IF(COUNTIFS('Lot Balance'!$A$5:$A$500,$F1666,'Lot Balance'!$B$5:$B$500,$AI1666)=0,"⚠ override is not a lot of this item",IF($AI1666=$AL1666,"Override = FEFO","Override - FEFO says "&amp;$AL1666)),IF($AL1666="","⚠ no receipt on file for this item",IF($AM1666&lt;&gt;$AL1666,"FEFO auto - split, also "&amp;$AM1666,"FEFO auto"))))</f>
        <v>FEFO auto</v>
      </c>
      <c r="AO1666" s="114"/>
    </row>
    <row r="1667" spans="1:41" x14ac:dyDescent="0.35">
      <c r="A1667" s="74">
        <v>46211</v>
      </c>
      <c r="B1667" s="18" t="str">
        <f>IF($C1667="","",IFERROR(INDEX('Staff Directory'!$A$5:$A$594,MATCH($C1667,'Staff Directory'!$B$5:$B$594,0)),"⚠ unknown staff"))</f>
        <v>PSW-058-A5</v>
      </c>
      <c r="C1667" s="49" t="s">
        <v>1034</v>
      </c>
      <c r="D1667" s="19" t="str">
        <f>IF($B1667="","",IFERROR(INDEX('Staff Directory'!$C$5:$C$594,MATCH($B1667,'Staff Directory'!$A$5:$A$594,0)),""))</f>
        <v>PSW</v>
      </c>
      <c r="E1667" s="19" t="str">
        <f>IF($B1667="","",IFERROR(INDEX('Staff Directory'!$D$5:$D$594,MATCH($B1667,'Staff Directory'!$A$5:$A$594,0)),""))</f>
        <v>A5</v>
      </c>
      <c r="F1667" s="9" t="s">
        <v>156</v>
      </c>
      <c r="G1667" s="18" t="str">
        <f>IF($F1667="","",IFERROR(INDEX(Items!$B$5:$B$597,MATCH($F1667,Items!$A$5:$A$597,0)),"⚠ not in Items"))</f>
        <v>Masks</v>
      </c>
      <c r="H1667" s="19" t="str">
        <f>IF($F1667="","",IFERROR(INDEX(Items!$C$5:$C$597,MATCH($F1667,Items!$A$5:$A$597,0)),""))</f>
        <v>One Size</v>
      </c>
      <c r="I1667" s="23">
        <f>IF($F1667="","",IFERROR(INDEX(Items!$E$5:$E$597,MATCH($F1667,Items!$A$5:$A$597,0)),""))</f>
        <v>50</v>
      </c>
      <c r="J1667" s="115">
        <f>IF(tblIssues[[#This Row],[Qty Override]]&lt;&gt;"",tblIssues[[#This Row],[Qty Override]],IF(tblIssues[[#This Row],[Standard Issue]]="","",tblIssues[[#This Row],[Standard Issue]]))</f>
        <v>50</v>
      </c>
      <c r="K1667" s="20">
        <f>IF($F1667="","",IFERROR(INDEX(Items!$D$5:$D$597,MATCH($F1667,Items!$A$5:$A$597,0)),""))</f>
        <v>0.25</v>
      </c>
      <c r="L1667" s="21">
        <f t="shared" si="283"/>
        <v>12.5</v>
      </c>
      <c r="M1667" s="9" t="str">
        <f t="shared" si="281"/>
        <v>24HA2050A7396</v>
      </c>
      <c r="N1667" s="24">
        <f>IF($A1667="","",WORKDAY($A1667,Settings!$C$9,HolidayDates))</f>
        <v>46219</v>
      </c>
      <c r="O1667" s="24">
        <f>IF($N1667="","",WORKDAY($N1667,Settings!$C$10,HolidayDates))</f>
        <v>46259</v>
      </c>
      <c r="P1667" s="10" t="s">
        <v>501</v>
      </c>
      <c r="Q1667" s="52" t="str">
        <f t="shared" si="284"/>
        <v>Collected</v>
      </c>
      <c r="R1667" s="55" t="str">
        <f t="shared" si="285"/>
        <v>2026-07</v>
      </c>
      <c r="S1667" s="55">
        <f>IF(OR($B1667="",$F1667="",$R1667=""),"",SUMIFS(tblIssues[Qty Issued],tblIssues[Staff ID],$B1667,tblIssues[Item Name],$F1667,tblIssues[Month],$R1667))</f>
        <v>50</v>
      </c>
      <c r="T1667" s="56">
        <f>IF($I1667="","",$I1667*Settings!$C$11)</f>
        <v>50</v>
      </c>
      <c r="U1667" s="57" t="str">
        <f t="shared" si="282"/>
        <v>OK</v>
      </c>
      <c r="V1667" s="55" t="str">
        <f t="shared" si="286"/>
        <v/>
      </c>
      <c r="W1667" s="55" t="str">
        <f>IF($V1667="","",IF(COUNTIF($V$5:$V1667,$V1667)=1,1,""))</f>
        <v/>
      </c>
      <c r="X1667" s="58" t="str">
        <f>IF($W1667="","",MAX($X$4:X1666)+1)</f>
        <v/>
      </c>
      <c r="Y1667" s="62"/>
      <c r="Z1667" s="62"/>
      <c r="AA1667" s="64" t="str">
        <f>IF($C1667="","",IFERROR(INDEX('Staff Directory'!$E$5:$E$594,MATCH($C1667,'Staff Directory'!$B$5:$B$594,0)),""))</f>
        <v>firstname118.lastname118@example.com</v>
      </c>
      <c r="AB1667" s="64" t="str">
        <f>IF($C1667="","",IF(ISNUMBER(SEARCH($D1667,Settings!$C$15)),"Pickup","Dispatch"))</f>
        <v>Pickup</v>
      </c>
      <c r="AC1667" s="64" t="str">
        <f t="shared" si="287"/>
        <v>Supply order ready for pickup</v>
      </c>
      <c r="AD1667" s="64" t="str">
        <f t="shared" si="278"/>
        <v>Dear PSW,
Your order is ready for pickup from Sample Branch, Wed-Fri 9am-4pm.</v>
      </c>
      <c r="AE1667" s="64" t="str">
        <f t="shared" si="279"/>
        <v>mailto:firstname118.lastname118@example.com?subject=Supply%20order%20ready%20for%20pickup&amp;body=Dear%20PSW%2C%0A%0AYour%20order%20is%20ready%20for%20pickup%20from%20Sample%20Branch%2C%20Wed-Fri%209am-4pm.</v>
      </c>
      <c r="AF1667" s="89" t="str">
        <f t="shared" si="288"/>
        <v>Draft email</v>
      </c>
      <c r="AG1667" s="64" t="str">
        <f>IF($C1667="","",IFERROR(INDEX('Staff Directory'!$K$595:$K$599,MATCH($C1667,'Staff Directory'!$B$5:$B$599,0)),$D1667))</f>
        <v>PSW</v>
      </c>
      <c r="AH1667" t="str">
        <f>IF($C1667="","",IFERROR(INDEX('Staff Directory'!$I$595:$I$599,MATCH($C1667,'Staff Directory'!$B$5:$B$599,0))&amp;" "&amp;INDEX('Staff Directory'!$J$595:$J$599,MATCH($C1667,'Staff Directory'!$B$5:$B$599,0)),$AG1667))</f>
        <v>PSW</v>
      </c>
      <c r="AI1667" s="102"/>
      <c r="AJ1667" s="101">
        <f>IF($F1667="","",SUMIFS($J$5:$J1667,$F$5:$F1667,$F1667))</f>
        <v>13550</v>
      </c>
      <c r="AK1667" s="101">
        <f t="shared" si="280"/>
        <v>13501</v>
      </c>
      <c r="AL1667" s="66" t="str" cm="1">
        <f t="array" ref="AL1667">IF($F1667="","",IFERROR(INDEX('Lot Balance'!$B$5:$B$500,MATCH(1,INDEX(('Lot Balance'!$A$5:$A$500=$F1667)*('Lot Balance'!$K$5:$K$500&lt;$AK1667)*('Lot Balance'!$K$5:$K$500+'Lot Balance'!$D$5:$D$500&gt;=$AK1667),0),0)),""))</f>
        <v>24HA2050A7396</v>
      </c>
      <c r="AM1667" s="66" t="str" cm="1">
        <f t="array" ref="AM1667">IF($F1667="","",IFERROR(INDEX('Lot Balance'!$B$5:$B$500,MATCH(1,INDEX(('Lot Balance'!$A$5:$A$500=$F1667)*('Lot Balance'!$K$5:$K$500&lt;$AJ1667)*('Lot Balance'!$K$5:$K$500+'Lot Balance'!$D$5:$D$500&gt;=$AJ1667),0),0)),""))</f>
        <v>24HA2050A7396</v>
      </c>
      <c r="AN1667" s="66" t="str">
        <f>IF($F1667="","",IF($AI1667&lt;&gt;"",IF(COUNTIFS('Lot Balance'!$A$5:$A$500,$F1667,'Lot Balance'!$B$5:$B$500,$AI1667)=0,"⚠ override is not a lot of this item",IF($AI1667=$AL1667,"Override = FEFO","Override - FEFO says "&amp;$AL1667)),IF($AL1667="","⚠ no receipt on file for this item",IF($AM1667&lt;&gt;$AL1667,"FEFO auto - split, also "&amp;$AM1667,"FEFO auto"))))</f>
        <v>FEFO auto</v>
      </c>
      <c r="AO1667" s="114"/>
    </row>
    <row r="1668" spans="1:41" x14ac:dyDescent="0.35">
      <c r="A1668" s="74">
        <v>46211</v>
      </c>
      <c r="B1668" s="18" t="str">
        <f>IF($C1668="","",IFERROR(INDEX('Staff Directory'!$A$5:$A$594,MATCH($C1668,'Staff Directory'!$B$5:$B$594,0)),"⚠ unknown staff"))</f>
        <v>PSW-058-A5</v>
      </c>
      <c r="C1668" s="49" t="s">
        <v>1034</v>
      </c>
      <c r="D1668" s="19" t="str">
        <f>IF($B1668="","",IFERROR(INDEX('Staff Directory'!$C$5:$C$594,MATCH($B1668,'Staff Directory'!$A$5:$A$594,0)),""))</f>
        <v>PSW</v>
      </c>
      <c r="E1668" s="19" t="str">
        <f>IF($B1668="","",IFERROR(INDEX('Staff Directory'!$D$5:$D$594,MATCH($B1668,'Staff Directory'!$A$5:$A$594,0)),""))</f>
        <v>A5</v>
      </c>
      <c r="F1668" s="9" t="s">
        <v>758</v>
      </c>
      <c r="G1668" s="18" t="str">
        <f>IF($F1668="","",IFERROR(INDEX(Items!$B$5:$B$597,MATCH($F1668,Items!$A$5:$A$597,0)),"⚠ not in Items"))</f>
        <v>Utility</v>
      </c>
      <c r="H1668" s="19" t="str">
        <f>IF($F1668="","",IFERROR(INDEX(Items!$C$5:$C$597,MATCH($F1668,Items!$A$5:$A$597,0)),""))</f>
        <v>Standard</v>
      </c>
      <c r="I1668" s="23">
        <f>IF($F1668="","",IFERROR(INDEX(Items!$E$5:$E$597,MATCH($F1668,Items!$A$5:$A$597,0)),""))</f>
        <v>1</v>
      </c>
      <c r="J1668" s="115">
        <f>IF(tblIssues[[#This Row],[Qty Override]]&lt;&gt;"",tblIssues[[#This Row],[Qty Override]],IF(tblIssues[[#This Row],[Standard Issue]]="","",tblIssues[[#This Row],[Standard Issue]]))</f>
        <v>1</v>
      </c>
      <c r="K1668" s="20">
        <f>IF($F1668="","",IFERROR(INDEX(Items!$D$5:$D$597,MATCH($F1668,Items!$A$5:$A$597,0)),""))</f>
        <v>0</v>
      </c>
      <c r="L1668" s="21">
        <f t="shared" si="283"/>
        <v>0</v>
      </c>
      <c r="M1668" s="9" t="str">
        <f t="shared" si="281"/>
        <v/>
      </c>
      <c r="N1668" s="24">
        <f>IF($A1668="","",WORKDAY($A1668,Settings!$C$9,HolidayDates))</f>
        <v>46219</v>
      </c>
      <c r="O1668" s="24">
        <f>IF($N1668="","",WORKDAY($N1668,Settings!$C$10,HolidayDates))</f>
        <v>46259</v>
      </c>
      <c r="P1668" s="10" t="s">
        <v>501</v>
      </c>
      <c r="Q1668" s="52" t="str">
        <f t="shared" si="284"/>
        <v>Collected</v>
      </c>
      <c r="R1668" s="55" t="str">
        <f t="shared" si="285"/>
        <v>2026-07</v>
      </c>
      <c r="S1668" s="55">
        <f>IF(OR($B1668="",$F1668="",$R1668=""),"",SUMIFS(tblIssues[Qty Issued],tblIssues[Staff ID],$B1668,tblIssues[Item Name],$F1668,tblIssues[Month],$R1668))</f>
        <v>1</v>
      </c>
      <c r="T1668" s="56">
        <f>IF($I1668="","",$I1668*Settings!$C$11)</f>
        <v>1</v>
      </c>
      <c r="U1668" s="57" t="str">
        <f t="shared" si="282"/>
        <v>OK</v>
      </c>
      <c r="V1668" s="55" t="str">
        <f t="shared" si="286"/>
        <v/>
      </c>
      <c r="W1668" s="55" t="str">
        <f>IF($V1668="","",IF(COUNTIF($V$5:$V1668,$V1668)=1,1,""))</f>
        <v/>
      </c>
      <c r="X1668" s="58" t="str">
        <f>IF($W1668="","",MAX($X$4:X1667)+1)</f>
        <v/>
      </c>
      <c r="Y1668" s="62"/>
      <c r="Z1668" s="62"/>
      <c r="AA1668" s="64" t="str">
        <f>IF($C1668="","",IFERROR(INDEX('Staff Directory'!$E$5:$E$594,MATCH($C1668,'Staff Directory'!$B$5:$B$594,0)),""))</f>
        <v>firstname118.lastname118@example.com</v>
      </c>
      <c r="AB1668" s="64" t="str">
        <f>IF($C1668="","",IF(ISNUMBER(SEARCH($D1668,Settings!$C$15)),"Pickup","Dispatch"))</f>
        <v>Pickup</v>
      </c>
      <c r="AC1668" s="64" t="str">
        <f t="shared" si="287"/>
        <v>Supply order ready for pickup</v>
      </c>
      <c r="AD1668" s="64" t="str">
        <f t="shared" si="278"/>
        <v>Dear PSW,
Your order is ready for pickup from Sample Branch, Wed-Fri 9am-4pm.</v>
      </c>
      <c r="AE1668" s="64" t="str">
        <f t="shared" si="279"/>
        <v>mailto:firstname118.lastname118@example.com?subject=Supply%20order%20ready%20for%20pickup&amp;body=Dear%20PSW%2C%0A%0AYour%20order%20is%20ready%20for%20pickup%20from%20Sample%20Branch%2C%20Wed-Fri%209am-4pm.</v>
      </c>
      <c r="AF1668" s="89" t="str">
        <f t="shared" si="288"/>
        <v>Draft email</v>
      </c>
      <c r="AG1668" s="64" t="str">
        <f>IF($C1668="","",IFERROR(INDEX('Staff Directory'!$K$595:$K$599,MATCH($C1668,'Staff Directory'!$B$5:$B$599,0)),$D1668))</f>
        <v>PSW</v>
      </c>
      <c r="AH1668" t="str">
        <f>IF($C1668="","",IFERROR(INDEX('Staff Directory'!$I$595:$I$599,MATCH($C1668,'Staff Directory'!$B$5:$B$599,0))&amp;" "&amp;INDEX('Staff Directory'!$J$595:$J$599,MATCH($C1668,'Staff Directory'!$B$5:$B$599,0)),$AG1668))</f>
        <v>PSW</v>
      </c>
      <c r="AI1668" s="102"/>
      <c r="AJ1668" s="101">
        <f>IF($F1668="","",SUMIFS($J$5:$J1668,$F$5:$F1668,$F1668))</f>
        <v>48</v>
      </c>
      <c r="AK1668" s="101">
        <f t="shared" si="280"/>
        <v>48</v>
      </c>
      <c r="AL1668" s="66" t="str" cm="1">
        <f t="array" ref="AL1668">IF($F1668="","",IFERROR(INDEX('Lot Balance'!$B$5:$B$500,MATCH(1,INDEX(('Lot Balance'!$A$5:$A$500=$F1668)*('Lot Balance'!$K$5:$K$500&lt;$AK1668)*('Lot Balance'!$K$5:$K$500+'Lot Balance'!$D$5:$D$500&gt;=$AK1668),0),0)),""))</f>
        <v/>
      </c>
      <c r="AM1668" s="66" t="str" cm="1">
        <f t="array" ref="AM1668">IF($F1668="","",IFERROR(INDEX('Lot Balance'!$B$5:$B$500,MATCH(1,INDEX(('Lot Balance'!$A$5:$A$500=$F1668)*('Lot Balance'!$K$5:$K$500&lt;$AJ1668)*('Lot Balance'!$K$5:$K$500+'Lot Balance'!$D$5:$D$500&gt;=$AJ1668),0),0)),""))</f>
        <v/>
      </c>
      <c r="AN1668" s="66" t="str">
        <f>IF($F1668="","",IF($AI1668&lt;&gt;"",IF(COUNTIFS('Lot Balance'!$A$5:$A$500,$F1668,'Lot Balance'!$B$5:$B$500,$AI1668)=0,"⚠ override is not a lot of this item",IF($AI1668=$AL1668,"Override = FEFO","Override - FEFO says "&amp;$AL1668)),IF($AL1668="","⚠ no receipt on file for this item",IF($AM1668&lt;&gt;$AL1668,"FEFO auto - split, also "&amp;$AM1668,"FEFO auto"))))</f>
        <v>⚠ no receipt on file for this item</v>
      </c>
      <c r="AO1668" s="114"/>
    </row>
    <row r="1669" spans="1:41" x14ac:dyDescent="0.35">
      <c r="A1669" s="74">
        <v>46211</v>
      </c>
      <c r="B1669" s="18" t="str">
        <f>IF($C1669="","",IFERROR(INDEX('Staff Directory'!$A$5:$A$594,MATCH($C1669,'Staff Directory'!$B$5:$B$594,0)),"⚠ unknown staff"))</f>
        <v>PSW-160-A7</v>
      </c>
      <c r="C1669" s="49" t="s">
        <v>1139</v>
      </c>
      <c r="D1669" s="19" t="str">
        <f>IF($B1669="","",IFERROR(INDEX('Staff Directory'!$C$5:$C$594,MATCH($B1669,'Staff Directory'!$A$5:$A$594,0)),""))</f>
        <v>PSW</v>
      </c>
      <c r="E1669" s="19" t="str">
        <f>IF($B1669="","",IFERROR(INDEX('Staff Directory'!$D$5:$D$594,MATCH($B1669,'Staff Directory'!$A$5:$A$594,0)),""))</f>
        <v>A7</v>
      </c>
      <c r="F1669" s="9" t="s">
        <v>129</v>
      </c>
      <c r="G1669" s="18" t="str">
        <f>IF($F1669="","",IFERROR(INDEX(Items!$B$5:$B$597,MATCH($F1669,Items!$A$5:$A$597,0)),"⚠ not in Items"))</f>
        <v>Gloves</v>
      </c>
      <c r="H1669" s="19" t="str">
        <f>IF($F1669="","",IFERROR(INDEX(Items!$C$5:$C$597,MATCH($F1669,Items!$A$5:$A$597,0)),""))</f>
        <v>Small</v>
      </c>
      <c r="I1669" s="23">
        <f>IF($F1669="","",IFERROR(INDEX(Items!$E$5:$E$597,MATCH($F1669,Items!$A$5:$A$597,0)),""))</f>
        <v>500</v>
      </c>
      <c r="J1669" s="115">
        <f>IF(tblIssues[[#This Row],[Qty Override]]&lt;&gt;"",tblIssues[[#This Row],[Qty Override]],IF(tblIssues[[#This Row],[Standard Issue]]="","",tblIssues[[#This Row],[Standard Issue]]))</f>
        <v>500</v>
      </c>
      <c r="K1669" s="20">
        <f>IF($F1669="","",IFERROR(INDEX(Items!$D$5:$D$597,MATCH($F1669,Items!$A$5:$A$597,0)),""))</f>
        <v>5.5E-2</v>
      </c>
      <c r="L1669" s="21">
        <f t="shared" si="283"/>
        <v>27.5</v>
      </c>
      <c r="M1669" s="9" t="str">
        <f t="shared" si="281"/>
        <v>ZIM601144366-0</v>
      </c>
      <c r="N1669" s="24">
        <f>IF($A1669="","",WORKDAY($A1669,Settings!$C$9,HolidayDates))</f>
        <v>46219</v>
      </c>
      <c r="O1669" s="24">
        <f>IF($N1669="","",WORKDAY($N1669,Settings!$C$10,HolidayDates))</f>
        <v>46259</v>
      </c>
      <c r="P1669" s="10" t="s">
        <v>501</v>
      </c>
      <c r="Q1669" s="52" t="str">
        <f t="shared" si="284"/>
        <v>Collected</v>
      </c>
      <c r="R1669" s="55" t="str">
        <f t="shared" si="285"/>
        <v>2026-07</v>
      </c>
      <c r="S1669" s="55">
        <f>IF(OR($B1669="",$F1669="",$R1669=""),"",SUMIFS(tblIssues[Qty Issued],tblIssues[Staff ID],$B1669,tblIssues[Item Name],$F1669,tblIssues[Month],$R1669))</f>
        <v>500</v>
      </c>
      <c r="T1669" s="56">
        <f>IF($I1669="","",$I1669*Settings!$C$11)</f>
        <v>500</v>
      </c>
      <c r="U1669" s="57" t="str">
        <f t="shared" si="282"/>
        <v>OK</v>
      </c>
      <c r="V1669" s="55" t="str">
        <f t="shared" si="286"/>
        <v/>
      </c>
      <c r="W1669" s="55" t="str">
        <f>IF($V1669="","",IF(COUNTIF($V$5:$V1669,$V1669)=1,1,""))</f>
        <v/>
      </c>
      <c r="X1669" s="58" t="str">
        <f>IF($W1669="","",MAX($X$4:X1668)+1)</f>
        <v/>
      </c>
      <c r="Y1669" s="62"/>
      <c r="Z1669" s="62"/>
      <c r="AA1669" s="64" t="str">
        <f>IF($C1669="","",IFERROR(INDEX('Staff Directory'!$E$5:$E$594,MATCH($C1669,'Staff Directory'!$B$5:$B$594,0)),""))</f>
        <v>firstname223.lastname223@example.com</v>
      </c>
      <c r="AB1669" s="64" t="str">
        <f>IF($C1669="","",IF(ISNUMBER(SEARCH($D1669,Settings!$C$15)),"Pickup","Dispatch"))</f>
        <v>Pickup</v>
      </c>
      <c r="AC1669" s="64" t="str">
        <f t="shared" si="287"/>
        <v>Supply order ready for pickup</v>
      </c>
      <c r="AD1669" s="64" t="str">
        <f t="shared" ref="AD1669:AD1732" si="289">IF($AB1669="Pickup","Dear "&amp;$AH1669&amp;","&amp;CHAR(10)&amp;CHAR(10)&amp;"Your order is ready for pickup from Sample Branch, Wed-Fri 9am-4pm.",IF($AB1669="Dispatch","Dear "&amp;$AH1669&amp;","&amp;CHAR(10)&amp;CHAR(10)&amp;"Your order has been dispatched and is in transit. Reply if undelivered.",""))</f>
        <v>Dear PSW,
Your order is ready for pickup from Sample Branch, Wed-Fri 9am-4pm.</v>
      </c>
      <c r="AE1669" s="64" t="str">
        <f t="shared" ref="AE1669:AE1732" si="290">IF(OR($AA1669="",$AC1669=""),"","mailto:"&amp;$AA1669&amp;"?subject="&amp;_xlfn.ENCODEURL($AC1669)&amp;"&amp;body="&amp;_xlfn.ENCODEURL($AD1669))</f>
        <v>mailto:firstname223.lastname223@example.com?subject=Supply%20order%20ready%20for%20pickup&amp;body=Dear%20PSW%2C%0A%0AYour%20order%20is%20ready%20for%20pickup%20from%20Sample%20Branch%2C%20Wed-Fri%209am-4pm.</v>
      </c>
      <c r="AF1669" s="89" t="str">
        <f t="shared" si="288"/>
        <v>Draft email</v>
      </c>
      <c r="AG1669" s="64" t="str">
        <f>IF($C1669="","",IFERROR(INDEX('Staff Directory'!$K$595:$K$599,MATCH($C1669,'Staff Directory'!$B$5:$B$599,0)),$D1669))</f>
        <v>PSW</v>
      </c>
      <c r="AH1669" t="str">
        <f>IF($C1669="","",IFERROR(INDEX('Staff Directory'!$I$595:$I$599,MATCH($C1669,'Staff Directory'!$B$5:$B$599,0))&amp;" "&amp;INDEX('Staff Directory'!$J$595:$J$599,MATCH($C1669,'Staff Directory'!$B$5:$B$599,0)),$AG1669))</f>
        <v>PSW</v>
      </c>
      <c r="AI1669" s="102"/>
      <c r="AJ1669" s="101">
        <f>IF($F1669="","",SUMIFS($J$5:$J1669,$F$5:$F1669,$F1669))</f>
        <v>51000</v>
      </c>
      <c r="AK1669" s="101">
        <f t="shared" ref="AK1669:AK1732" si="291">IF($F1669="","",MAX(1,$AJ1669-MAX($J1669,0)+1))</f>
        <v>50501</v>
      </c>
      <c r="AL1669" s="66" t="str" cm="1">
        <f t="array" ref="AL1669">IF($F1669="","",IFERROR(INDEX('Lot Balance'!$B$5:$B$500,MATCH(1,INDEX(('Lot Balance'!$A$5:$A$500=$F1669)*('Lot Balance'!$K$5:$K$500&lt;$AK1669)*('Lot Balance'!$K$5:$K$500+'Lot Balance'!$D$5:$D$500&gt;=$AK1669),0),0)),""))</f>
        <v>ZIM601144366-0</v>
      </c>
      <c r="AM1669" s="66" t="str" cm="1">
        <f t="array" ref="AM1669">IF($F1669="","",IFERROR(INDEX('Lot Balance'!$B$5:$B$500,MATCH(1,INDEX(('Lot Balance'!$A$5:$A$500=$F1669)*('Lot Balance'!$K$5:$K$500&lt;$AJ1669)*('Lot Balance'!$K$5:$K$500+'Lot Balance'!$D$5:$D$500&gt;=$AJ1669),0),0)),""))</f>
        <v>ZIM601144366-0</v>
      </c>
      <c r="AN1669" s="66" t="str">
        <f>IF($F1669="","",IF($AI1669&lt;&gt;"",IF(COUNTIFS('Lot Balance'!$A$5:$A$500,$F1669,'Lot Balance'!$B$5:$B$500,$AI1669)=0,"⚠ override is not a lot of this item",IF($AI1669=$AL1669,"Override = FEFO","Override - FEFO says "&amp;$AL1669)),IF($AL1669="","⚠ no receipt on file for this item",IF($AM1669&lt;&gt;$AL1669,"FEFO auto - split, also "&amp;$AM1669,"FEFO auto"))))</f>
        <v>FEFO auto</v>
      </c>
      <c r="AO1669" s="114"/>
    </row>
    <row r="1670" spans="1:41" x14ac:dyDescent="0.35">
      <c r="A1670" s="74">
        <v>46211</v>
      </c>
      <c r="B1670" s="18" t="str">
        <f>IF($C1670="","",IFERROR(INDEX('Staff Directory'!$A$5:$A$594,MATCH($C1670,'Staff Directory'!$B$5:$B$594,0)),"⚠ unknown staff"))</f>
        <v>PSW-160-A7</v>
      </c>
      <c r="C1670" s="49" t="s">
        <v>1139</v>
      </c>
      <c r="D1670" s="19" t="str">
        <f>IF($B1670="","",IFERROR(INDEX('Staff Directory'!$C$5:$C$594,MATCH($B1670,'Staff Directory'!$A$5:$A$594,0)),""))</f>
        <v>PSW</v>
      </c>
      <c r="E1670" s="19" t="str">
        <f>IF($B1670="","",IFERROR(INDEX('Staff Directory'!$D$5:$D$594,MATCH($B1670,'Staff Directory'!$A$5:$A$594,0)),""))</f>
        <v>A7</v>
      </c>
      <c r="F1670" s="9" t="s">
        <v>191</v>
      </c>
      <c r="G1670" s="18" t="str">
        <f>IF($F1670="","",IFERROR(INDEX(Items!$B$5:$B$597,MATCH($F1670,Items!$A$5:$A$597,0)),"⚠ not in Items"))</f>
        <v>Sanitizer</v>
      </c>
      <c r="H1670" s="19" t="str">
        <f>IF($F1670="","",IFERROR(INDEX(Items!$C$5:$C$597,MATCH($F1670,Items!$A$5:$A$597,0)),""))</f>
        <v>236 ML</v>
      </c>
      <c r="I1670" s="23">
        <f>IF($F1670="","",IFERROR(INDEX(Items!$E$5:$E$597,MATCH($F1670,Items!$A$5:$A$597,0)),""))</f>
        <v>1</v>
      </c>
      <c r="J1670" s="115">
        <f>IF(tblIssues[[#This Row],[Qty Override]]&lt;&gt;"",tblIssues[[#This Row],[Qty Override]],IF(tblIssues[[#This Row],[Standard Issue]]="","",tblIssues[[#This Row],[Standard Issue]]))</f>
        <v>1</v>
      </c>
      <c r="K1670" s="20">
        <f>IF($F1670="","",IFERROR(INDEX(Items!$D$5:$D$597,MATCH($F1670,Items!$A$5:$A$597,0)),""))</f>
        <v>1E-4</v>
      </c>
      <c r="L1670" s="21">
        <f t="shared" si="283"/>
        <v>1E-4</v>
      </c>
      <c r="M1670" s="9" t="str">
        <f t="shared" ref="M1670:M1733" si="292">IF($F1670="","",IF($AI1670&lt;&gt;"",$AI1670,$AL1670))</f>
        <v/>
      </c>
      <c r="N1670" s="24">
        <f>IF($A1670="","",WORKDAY($A1670,Settings!$C$9,HolidayDates))</f>
        <v>46219</v>
      </c>
      <c r="O1670" s="24">
        <f>IF($N1670="","",WORKDAY($N1670,Settings!$C$10,HolidayDates))</f>
        <v>46259</v>
      </c>
      <c r="P1670" s="10" t="s">
        <v>501</v>
      </c>
      <c r="Q1670" s="52" t="str">
        <f t="shared" si="284"/>
        <v>Collected</v>
      </c>
      <c r="R1670" s="55" t="str">
        <f t="shared" si="285"/>
        <v>2026-07</v>
      </c>
      <c r="S1670" s="55">
        <f>IF(OR($B1670="",$F1670="",$R1670=""),"",SUMIFS(tblIssues[Qty Issued],tblIssues[Staff ID],$B1670,tblIssues[Item Name],$F1670,tblIssues[Month],$R1670))</f>
        <v>1</v>
      </c>
      <c r="T1670" s="56">
        <f>IF($I1670="","",$I1670*Settings!$C$11)</f>
        <v>1</v>
      </c>
      <c r="U1670" s="57" t="str">
        <f t="shared" ref="U1670:U1733" si="293">IF(OR($S1670="",$T1670=""),"",IF($S1670&gt;$T1670,IF($Y1670="Approved","APPROVED BY TL","⚠ OVER QUOTA"),"OK"))</f>
        <v>OK</v>
      </c>
      <c r="V1670" s="55" t="str">
        <f t="shared" si="286"/>
        <v/>
      </c>
      <c r="W1670" s="55" t="str">
        <f>IF($V1670="","",IF(COUNTIF($V$5:$V1670,$V1670)=1,1,""))</f>
        <v/>
      </c>
      <c r="X1670" s="58" t="str">
        <f>IF($W1670="","",MAX($X$4:X1669)+1)</f>
        <v/>
      </c>
      <c r="Y1670" s="62"/>
      <c r="Z1670" s="62"/>
      <c r="AA1670" s="64" t="str">
        <f>IF($C1670="","",IFERROR(INDEX('Staff Directory'!$E$5:$E$594,MATCH($C1670,'Staff Directory'!$B$5:$B$594,0)),""))</f>
        <v>firstname223.lastname223@example.com</v>
      </c>
      <c r="AB1670" s="64" t="str">
        <f>IF($C1670="","",IF(ISNUMBER(SEARCH($D1670,Settings!$C$15)),"Pickup","Dispatch"))</f>
        <v>Pickup</v>
      </c>
      <c r="AC1670" s="64" t="str">
        <f t="shared" si="287"/>
        <v>Supply order ready for pickup</v>
      </c>
      <c r="AD1670" s="64" t="str">
        <f t="shared" si="289"/>
        <v>Dear PSW,
Your order is ready for pickup from Sample Branch, Wed-Fri 9am-4pm.</v>
      </c>
      <c r="AE1670" s="64" t="str">
        <f t="shared" si="290"/>
        <v>mailto:firstname223.lastname223@example.com?subject=Supply%20order%20ready%20for%20pickup&amp;body=Dear%20PSW%2C%0A%0AYour%20order%20is%20ready%20for%20pickup%20from%20Sample%20Branch%2C%20Wed-Fri%209am-4pm.</v>
      </c>
      <c r="AF1670" s="89" t="str">
        <f t="shared" si="288"/>
        <v>Draft email</v>
      </c>
      <c r="AG1670" s="64" t="str">
        <f>IF($C1670="","",IFERROR(INDEX('Staff Directory'!$K$595:$K$599,MATCH($C1670,'Staff Directory'!$B$5:$B$599,0)),$D1670))</f>
        <v>PSW</v>
      </c>
      <c r="AH1670" t="str">
        <f>IF($C1670="","",IFERROR(INDEX('Staff Directory'!$I$595:$I$599,MATCH($C1670,'Staff Directory'!$B$5:$B$599,0))&amp;" "&amp;INDEX('Staff Directory'!$J$595:$J$599,MATCH($C1670,'Staff Directory'!$B$5:$B$599,0)),$AG1670))</f>
        <v>PSW</v>
      </c>
      <c r="AI1670" s="102"/>
      <c r="AJ1670" s="101">
        <f>IF($F1670="","",SUMIFS($J$5:$J1670,$F$5:$F1670,$F1670))</f>
        <v>213</v>
      </c>
      <c r="AK1670" s="101">
        <f t="shared" si="291"/>
        <v>213</v>
      </c>
      <c r="AL1670" s="66" t="str" cm="1">
        <f t="array" ref="AL1670">IF($F1670="","",IFERROR(INDEX('Lot Balance'!$B$5:$B$500,MATCH(1,INDEX(('Lot Balance'!$A$5:$A$500=$F1670)*('Lot Balance'!$K$5:$K$500&lt;$AK1670)*('Lot Balance'!$K$5:$K$500+'Lot Balance'!$D$5:$D$500&gt;=$AK1670),0),0)),""))</f>
        <v/>
      </c>
      <c r="AM1670" s="66" t="str" cm="1">
        <f t="array" ref="AM1670">IF($F1670="","",IFERROR(INDEX('Lot Balance'!$B$5:$B$500,MATCH(1,INDEX(('Lot Balance'!$A$5:$A$500=$F1670)*('Lot Balance'!$K$5:$K$500&lt;$AJ1670)*('Lot Balance'!$K$5:$K$500+'Lot Balance'!$D$5:$D$500&gt;=$AJ1670),0),0)),""))</f>
        <v/>
      </c>
      <c r="AN1670" s="66" t="str">
        <f>IF($F1670="","",IF($AI1670&lt;&gt;"",IF(COUNTIFS('Lot Balance'!$A$5:$A$500,$F1670,'Lot Balance'!$B$5:$B$500,$AI1670)=0,"⚠ override is not a lot of this item",IF($AI1670=$AL1670,"Override = FEFO","Override - FEFO says "&amp;$AL1670)),IF($AL1670="","⚠ no receipt on file for this item",IF($AM1670&lt;&gt;$AL1670,"FEFO auto - split, also "&amp;$AM1670,"FEFO auto"))))</f>
        <v>⚠ no receipt on file for this item</v>
      </c>
      <c r="AO1670" s="114"/>
    </row>
    <row r="1671" spans="1:41" x14ac:dyDescent="0.35">
      <c r="A1671" s="74">
        <v>46211</v>
      </c>
      <c r="B1671" s="18" t="str">
        <f>IF($C1671="","",IFERROR(INDEX('Staff Directory'!$A$5:$A$594,MATCH($C1671,'Staff Directory'!$B$5:$B$594,0)),"⚠ unknown staff"))</f>
        <v>PSW-160-A7</v>
      </c>
      <c r="C1671" s="49" t="s">
        <v>1139</v>
      </c>
      <c r="D1671" s="19" t="str">
        <f>IF($B1671="","",IFERROR(INDEX('Staff Directory'!$C$5:$C$594,MATCH($B1671,'Staff Directory'!$A$5:$A$594,0)),""))</f>
        <v>PSW</v>
      </c>
      <c r="E1671" s="19" t="str">
        <f>IF($B1671="","",IFERROR(INDEX('Staff Directory'!$D$5:$D$594,MATCH($B1671,'Staff Directory'!$A$5:$A$594,0)),""))</f>
        <v>A7</v>
      </c>
      <c r="F1671" s="9" t="s">
        <v>156</v>
      </c>
      <c r="G1671" s="18" t="str">
        <f>IF($F1671="","",IFERROR(INDEX(Items!$B$5:$B$597,MATCH($F1671,Items!$A$5:$A$597,0)),"⚠ not in Items"))</f>
        <v>Masks</v>
      </c>
      <c r="H1671" s="19" t="str">
        <f>IF($F1671="","",IFERROR(INDEX(Items!$C$5:$C$597,MATCH($F1671,Items!$A$5:$A$597,0)),""))</f>
        <v>One Size</v>
      </c>
      <c r="I1671" s="23">
        <f>IF($F1671="","",IFERROR(INDEX(Items!$E$5:$E$597,MATCH($F1671,Items!$A$5:$A$597,0)),""))</f>
        <v>50</v>
      </c>
      <c r="J1671" s="115">
        <f>IF(tblIssues[[#This Row],[Qty Override]]&lt;&gt;"",tblIssues[[#This Row],[Qty Override]],IF(tblIssues[[#This Row],[Standard Issue]]="","",tblIssues[[#This Row],[Standard Issue]]))</f>
        <v>50</v>
      </c>
      <c r="K1671" s="20">
        <f>IF($F1671="","",IFERROR(INDEX(Items!$D$5:$D$597,MATCH($F1671,Items!$A$5:$A$597,0)),""))</f>
        <v>0.25</v>
      </c>
      <c r="L1671" s="21">
        <f t="shared" si="283"/>
        <v>12.5</v>
      </c>
      <c r="M1671" s="9" t="str">
        <f t="shared" si="292"/>
        <v>24HA2050A7396</v>
      </c>
      <c r="N1671" s="24">
        <f>IF($A1671="","",WORKDAY($A1671,Settings!$C$9,HolidayDates))</f>
        <v>46219</v>
      </c>
      <c r="O1671" s="24">
        <f>IF($N1671="","",WORKDAY($N1671,Settings!$C$10,HolidayDates))</f>
        <v>46259</v>
      </c>
      <c r="P1671" s="10" t="s">
        <v>501</v>
      </c>
      <c r="Q1671" s="52" t="str">
        <f t="shared" si="284"/>
        <v>Collected</v>
      </c>
      <c r="R1671" s="55" t="str">
        <f t="shared" si="285"/>
        <v>2026-07</v>
      </c>
      <c r="S1671" s="55">
        <f>IF(OR($B1671="",$F1671="",$R1671=""),"",SUMIFS(tblIssues[Qty Issued],tblIssues[Staff ID],$B1671,tblIssues[Item Name],$F1671,tblIssues[Month],$R1671))</f>
        <v>50</v>
      </c>
      <c r="T1671" s="56">
        <f>IF($I1671="","",$I1671*Settings!$C$11)</f>
        <v>50</v>
      </c>
      <c r="U1671" s="57" t="str">
        <f t="shared" si="293"/>
        <v>OK</v>
      </c>
      <c r="V1671" s="55" t="str">
        <f t="shared" si="286"/>
        <v/>
      </c>
      <c r="W1671" s="55" t="str">
        <f>IF($V1671="","",IF(COUNTIF($V$5:$V1671,$V1671)=1,1,""))</f>
        <v/>
      </c>
      <c r="X1671" s="58" t="str">
        <f>IF($W1671="","",MAX($X$4:X1670)+1)</f>
        <v/>
      </c>
      <c r="Y1671" s="62"/>
      <c r="Z1671" s="62"/>
      <c r="AA1671" s="64" t="str">
        <f>IF($C1671="","",IFERROR(INDEX('Staff Directory'!$E$5:$E$594,MATCH($C1671,'Staff Directory'!$B$5:$B$594,0)),""))</f>
        <v>firstname223.lastname223@example.com</v>
      </c>
      <c r="AB1671" s="64" t="str">
        <f>IF($C1671="","",IF(ISNUMBER(SEARCH($D1671,Settings!$C$15)),"Pickup","Dispatch"))</f>
        <v>Pickup</v>
      </c>
      <c r="AC1671" s="64" t="str">
        <f t="shared" si="287"/>
        <v>Supply order ready for pickup</v>
      </c>
      <c r="AD1671" s="64" t="str">
        <f t="shared" si="289"/>
        <v>Dear PSW,
Your order is ready for pickup from Sample Branch, Wed-Fri 9am-4pm.</v>
      </c>
      <c r="AE1671" s="64" t="str">
        <f t="shared" si="290"/>
        <v>mailto:firstname223.lastname223@example.com?subject=Supply%20order%20ready%20for%20pickup&amp;body=Dear%20PSW%2C%0A%0AYour%20order%20is%20ready%20for%20pickup%20from%20Sample%20Branch%2C%20Wed-Fri%209am-4pm.</v>
      </c>
      <c r="AF1671" s="89" t="str">
        <f t="shared" si="288"/>
        <v>Draft email</v>
      </c>
      <c r="AG1671" s="64" t="str">
        <f>IF($C1671="","",IFERROR(INDEX('Staff Directory'!$K$595:$K$599,MATCH($C1671,'Staff Directory'!$B$5:$B$599,0)),$D1671))</f>
        <v>PSW</v>
      </c>
      <c r="AH1671" t="str">
        <f>IF($C1671="","",IFERROR(INDEX('Staff Directory'!$I$595:$I$599,MATCH($C1671,'Staff Directory'!$B$5:$B$599,0))&amp;" "&amp;INDEX('Staff Directory'!$J$595:$J$599,MATCH($C1671,'Staff Directory'!$B$5:$B$599,0)),$AG1671))</f>
        <v>PSW</v>
      </c>
      <c r="AI1671" s="102"/>
      <c r="AJ1671" s="101">
        <f>IF($F1671="","",SUMIFS($J$5:$J1671,$F$5:$F1671,$F1671))</f>
        <v>13600</v>
      </c>
      <c r="AK1671" s="101">
        <f t="shared" si="291"/>
        <v>13551</v>
      </c>
      <c r="AL1671" s="66" t="str" cm="1">
        <f t="array" ref="AL1671">IF($F1671="","",IFERROR(INDEX('Lot Balance'!$B$5:$B$500,MATCH(1,INDEX(('Lot Balance'!$A$5:$A$500=$F1671)*('Lot Balance'!$K$5:$K$500&lt;$AK1671)*('Lot Balance'!$K$5:$K$500+'Lot Balance'!$D$5:$D$500&gt;=$AK1671),0),0)),""))</f>
        <v>24HA2050A7396</v>
      </c>
      <c r="AM1671" s="66" t="str" cm="1">
        <f t="array" ref="AM1671">IF($F1671="","",IFERROR(INDEX('Lot Balance'!$B$5:$B$500,MATCH(1,INDEX(('Lot Balance'!$A$5:$A$500=$F1671)*('Lot Balance'!$K$5:$K$500&lt;$AJ1671)*('Lot Balance'!$K$5:$K$500+'Lot Balance'!$D$5:$D$500&gt;=$AJ1671),0),0)),""))</f>
        <v>24HA2050A7396</v>
      </c>
      <c r="AN1671" s="66" t="str">
        <f>IF($F1671="","",IF($AI1671&lt;&gt;"",IF(COUNTIFS('Lot Balance'!$A$5:$A$500,$F1671,'Lot Balance'!$B$5:$B$500,$AI1671)=0,"⚠ override is not a lot of this item",IF($AI1671=$AL1671,"Override = FEFO","Override - FEFO says "&amp;$AL1671)),IF($AL1671="","⚠ no receipt on file for this item",IF($AM1671&lt;&gt;$AL1671,"FEFO auto - split, also "&amp;$AM1671,"FEFO auto"))))</f>
        <v>FEFO auto</v>
      </c>
      <c r="AO1671" s="114"/>
    </row>
    <row r="1672" spans="1:41" x14ac:dyDescent="0.35">
      <c r="A1672" s="74">
        <v>46211</v>
      </c>
      <c r="B1672" s="18" t="str">
        <f>IF($C1672="","",IFERROR(INDEX('Staff Directory'!$A$5:$A$594,MATCH($C1672,'Staff Directory'!$B$5:$B$594,0)),"⚠ unknown staff"))</f>
        <v>PSW-160-A7</v>
      </c>
      <c r="C1672" s="49" t="s">
        <v>1139</v>
      </c>
      <c r="D1672" s="19" t="str">
        <f>IF($B1672="","",IFERROR(INDEX('Staff Directory'!$C$5:$C$594,MATCH($B1672,'Staff Directory'!$A$5:$A$594,0)),""))</f>
        <v>PSW</v>
      </c>
      <c r="E1672" s="19" t="str">
        <f>IF($B1672="","",IFERROR(INDEX('Staff Directory'!$D$5:$D$594,MATCH($B1672,'Staff Directory'!$A$5:$A$594,0)),""))</f>
        <v>A7</v>
      </c>
      <c r="F1672" s="9" t="s">
        <v>758</v>
      </c>
      <c r="G1672" s="18" t="str">
        <f>IF($F1672="","",IFERROR(INDEX(Items!$B$5:$B$597,MATCH($F1672,Items!$A$5:$A$597,0)),"⚠ not in Items"))</f>
        <v>Utility</v>
      </c>
      <c r="H1672" s="19" t="str">
        <f>IF($F1672="","",IFERROR(INDEX(Items!$C$5:$C$597,MATCH($F1672,Items!$A$5:$A$597,0)),""))</f>
        <v>Standard</v>
      </c>
      <c r="I1672" s="23">
        <f>IF($F1672="","",IFERROR(INDEX(Items!$E$5:$E$597,MATCH($F1672,Items!$A$5:$A$597,0)),""))</f>
        <v>1</v>
      </c>
      <c r="J1672" s="115">
        <f>IF(tblIssues[[#This Row],[Qty Override]]&lt;&gt;"",tblIssues[[#This Row],[Qty Override]],IF(tblIssues[[#This Row],[Standard Issue]]="","",tblIssues[[#This Row],[Standard Issue]]))</f>
        <v>1</v>
      </c>
      <c r="K1672" s="20">
        <f>IF($F1672="","",IFERROR(INDEX(Items!$D$5:$D$597,MATCH($F1672,Items!$A$5:$A$597,0)),""))</f>
        <v>0</v>
      </c>
      <c r="L1672" s="21">
        <f t="shared" ref="L1672:L1735" si="294">IF(OR($J1672="",$K1672=""),"",$J1672*$K1672)</f>
        <v>0</v>
      </c>
      <c r="M1672" s="9" t="str">
        <f t="shared" si="292"/>
        <v/>
      </c>
      <c r="N1672" s="24">
        <f>IF($A1672="","",WORKDAY($A1672,Settings!$C$9,HolidayDates))</f>
        <v>46219</v>
      </c>
      <c r="O1672" s="24">
        <f>IF($N1672="","",WORKDAY($N1672,Settings!$C$10,HolidayDates))</f>
        <v>46259</v>
      </c>
      <c r="P1672" s="10" t="s">
        <v>501</v>
      </c>
      <c r="Q1672" s="52" t="str">
        <f t="shared" si="284"/>
        <v>Collected</v>
      </c>
      <c r="R1672" s="55" t="str">
        <f t="shared" si="285"/>
        <v>2026-07</v>
      </c>
      <c r="S1672" s="55">
        <f>IF(OR($B1672="",$F1672="",$R1672=""),"",SUMIFS(tblIssues[Qty Issued],tblIssues[Staff ID],$B1672,tblIssues[Item Name],$F1672,tblIssues[Month],$R1672))</f>
        <v>1</v>
      </c>
      <c r="T1672" s="56">
        <f>IF($I1672="","",$I1672*Settings!$C$11)</f>
        <v>1</v>
      </c>
      <c r="U1672" s="57" t="str">
        <f t="shared" si="293"/>
        <v>OK</v>
      </c>
      <c r="V1672" s="55" t="str">
        <f t="shared" si="286"/>
        <v/>
      </c>
      <c r="W1672" s="55" t="str">
        <f>IF($V1672="","",IF(COUNTIF($V$5:$V1672,$V1672)=1,1,""))</f>
        <v/>
      </c>
      <c r="X1672" s="58" t="str">
        <f>IF($W1672="","",MAX($X$4:X1671)+1)</f>
        <v/>
      </c>
      <c r="Y1672" s="62"/>
      <c r="Z1672" s="62"/>
      <c r="AA1672" s="64" t="str">
        <f>IF($C1672="","",IFERROR(INDEX('Staff Directory'!$E$5:$E$594,MATCH($C1672,'Staff Directory'!$B$5:$B$594,0)),""))</f>
        <v>firstname223.lastname223@example.com</v>
      </c>
      <c r="AB1672" s="64" t="str">
        <f>IF($C1672="","",IF(ISNUMBER(SEARCH($D1672,Settings!$C$15)),"Pickup","Dispatch"))</f>
        <v>Pickup</v>
      </c>
      <c r="AC1672" s="64" t="str">
        <f t="shared" si="287"/>
        <v>Supply order ready for pickup</v>
      </c>
      <c r="AD1672" s="64" t="str">
        <f t="shared" si="289"/>
        <v>Dear PSW,
Your order is ready for pickup from Sample Branch, Wed-Fri 9am-4pm.</v>
      </c>
      <c r="AE1672" s="64" t="str">
        <f t="shared" si="290"/>
        <v>mailto:firstname223.lastname223@example.com?subject=Supply%20order%20ready%20for%20pickup&amp;body=Dear%20PSW%2C%0A%0AYour%20order%20is%20ready%20for%20pickup%20from%20Sample%20Branch%2C%20Wed-Fri%209am-4pm.</v>
      </c>
      <c r="AF1672" s="89" t="str">
        <f t="shared" si="288"/>
        <v>Draft email</v>
      </c>
      <c r="AG1672" s="64" t="str">
        <f>IF($C1672="","",IFERROR(INDEX('Staff Directory'!$K$595:$K$599,MATCH($C1672,'Staff Directory'!$B$5:$B$599,0)),$D1672))</f>
        <v>PSW</v>
      </c>
      <c r="AH1672" t="str">
        <f>IF($C1672="","",IFERROR(INDEX('Staff Directory'!$I$595:$I$599,MATCH($C1672,'Staff Directory'!$B$5:$B$599,0))&amp;" "&amp;INDEX('Staff Directory'!$J$595:$J$599,MATCH($C1672,'Staff Directory'!$B$5:$B$599,0)),$AG1672))</f>
        <v>PSW</v>
      </c>
      <c r="AI1672" s="102"/>
      <c r="AJ1672" s="101">
        <f>IF($F1672="","",SUMIFS($J$5:$J1672,$F$5:$F1672,$F1672))</f>
        <v>49</v>
      </c>
      <c r="AK1672" s="101">
        <f t="shared" si="291"/>
        <v>49</v>
      </c>
      <c r="AL1672" s="66" t="str" cm="1">
        <f t="array" ref="AL1672">IF($F1672="","",IFERROR(INDEX('Lot Balance'!$B$5:$B$500,MATCH(1,INDEX(('Lot Balance'!$A$5:$A$500=$F1672)*('Lot Balance'!$K$5:$K$500&lt;$AK1672)*('Lot Balance'!$K$5:$K$500+'Lot Balance'!$D$5:$D$500&gt;=$AK1672),0),0)),""))</f>
        <v/>
      </c>
      <c r="AM1672" s="66" t="str" cm="1">
        <f t="array" ref="AM1672">IF($F1672="","",IFERROR(INDEX('Lot Balance'!$B$5:$B$500,MATCH(1,INDEX(('Lot Balance'!$A$5:$A$500=$F1672)*('Lot Balance'!$K$5:$K$500&lt;$AJ1672)*('Lot Balance'!$K$5:$K$500+'Lot Balance'!$D$5:$D$500&gt;=$AJ1672),0),0)),""))</f>
        <v/>
      </c>
      <c r="AN1672" s="66" t="str">
        <f>IF($F1672="","",IF($AI1672&lt;&gt;"",IF(COUNTIFS('Lot Balance'!$A$5:$A$500,$F1672,'Lot Balance'!$B$5:$B$500,$AI1672)=0,"⚠ override is not a lot of this item",IF($AI1672=$AL1672,"Override = FEFO","Override - FEFO says "&amp;$AL1672)),IF($AL1672="","⚠ no receipt on file for this item",IF($AM1672&lt;&gt;$AL1672,"FEFO auto - split, also "&amp;$AM1672,"FEFO auto"))))</f>
        <v>⚠ no receipt on file for this item</v>
      </c>
      <c r="AO1672" s="114"/>
    </row>
    <row r="1673" spans="1:41" x14ac:dyDescent="0.35">
      <c r="A1673" s="74">
        <v>46211</v>
      </c>
      <c r="B1673" s="18" t="str">
        <f>IF($C1673="","",IFERROR(INDEX('Staff Directory'!$A$5:$A$594,MATCH($C1673,'Staff Directory'!$B$5:$B$594,0)),"⚠ unknown staff"))</f>
        <v>PSW-172-TBD</v>
      </c>
      <c r="C1673" s="49" t="s">
        <v>1151</v>
      </c>
      <c r="D1673" s="19" t="str">
        <f>IF($B1673="","",IFERROR(INDEX('Staff Directory'!$C$5:$C$594,MATCH($B1673,'Staff Directory'!$A$5:$A$594,0)),""))</f>
        <v>PSW</v>
      </c>
      <c r="E1673" s="19">
        <f>IF($B1673="","",IFERROR(INDEX('Staff Directory'!$D$5:$D$594,MATCH($B1673,'Staff Directory'!$A$5:$A$594,0)),""))</f>
        <v>0</v>
      </c>
      <c r="F1673" s="9" t="s">
        <v>127</v>
      </c>
      <c r="G1673" s="18" t="str">
        <f>IF($F1673="","",IFERROR(INDEX(Items!$B$5:$B$597,MATCH($F1673,Items!$A$5:$A$597,0)),"⚠ not in Items"))</f>
        <v>Gloves</v>
      </c>
      <c r="H1673" s="19" t="str">
        <f>IF($F1673="","",IFERROR(INDEX(Items!$C$5:$C$597,MATCH($F1673,Items!$A$5:$A$597,0)),""))</f>
        <v>Medium</v>
      </c>
      <c r="I1673" s="23">
        <f>IF($F1673="","",IFERROR(INDEX(Items!$E$5:$E$597,MATCH($F1673,Items!$A$5:$A$597,0)),""))</f>
        <v>500</v>
      </c>
      <c r="J1673" s="115">
        <f>IF(tblIssues[[#This Row],[Qty Override]]&lt;&gt;"",tblIssues[[#This Row],[Qty Override]],IF(tblIssues[[#This Row],[Standard Issue]]="","",tblIssues[[#This Row],[Standard Issue]]))</f>
        <v>500</v>
      </c>
      <c r="K1673" s="20">
        <f>IF($F1673="","",IFERROR(INDEX(Items!$D$5:$D$597,MATCH($F1673,Items!$A$5:$A$597,0)),""))</f>
        <v>5.5E-2</v>
      </c>
      <c r="L1673" s="21">
        <f t="shared" si="294"/>
        <v>27.5</v>
      </c>
      <c r="M1673" s="9" t="str">
        <f t="shared" si="292"/>
        <v>ZIM604151579</v>
      </c>
      <c r="N1673" s="24">
        <f>IF($A1673="","",WORKDAY($A1673,Settings!$C$9,HolidayDates))</f>
        <v>46219</v>
      </c>
      <c r="O1673" s="24">
        <f>IF($N1673="","",WORKDAY($N1673,Settings!$C$10,HolidayDates))</f>
        <v>46259</v>
      </c>
      <c r="P1673" s="10" t="s">
        <v>501</v>
      </c>
      <c r="Q1673" s="52" t="str">
        <f t="shared" si="284"/>
        <v>Collected</v>
      </c>
      <c r="R1673" s="55" t="str">
        <f t="shared" si="285"/>
        <v>2026-07</v>
      </c>
      <c r="S1673" s="55">
        <f>IF(OR($B1673="",$F1673="",$R1673=""),"",SUMIFS(tblIssues[Qty Issued],tblIssues[Staff ID],$B1673,tblIssues[Item Name],$F1673,tblIssues[Month],$R1673))</f>
        <v>500</v>
      </c>
      <c r="T1673" s="56">
        <f>IF($I1673="","",$I1673*Settings!$C$11)</f>
        <v>500</v>
      </c>
      <c r="U1673" s="57" t="str">
        <f t="shared" si="293"/>
        <v>OK</v>
      </c>
      <c r="V1673" s="55" t="str">
        <f t="shared" si="286"/>
        <v/>
      </c>
      <c r="W1673" s="55" t="str">
        <f>IF($V1673="","",IF(COUNTIF($V$5:$V1673,$V1673)=1,1,""))</f>
        <v/>
      </c>
      <c r="X1673" s="58" t="str">
        <f>IF($W1673="","",MAX($X$4:X1672)+1)</f>
        <v/>
      </c>
      <c r="Y1673" s="62"/>
      <c r="Z1673" s="62"/>
      <c r="AA1673" s="64" t="str">
        <f>IF($C1673="","",IFERROR(INDEX('Staff Directory'!$E$5:$E$594,MATCH($C1673,'Staff Directory'!$B$5:$B$594,0)),""))</f>
        <v>firstname235.lastname235@example.com</v>
      </c>
      <c r="AB1673" s="64" t="str">
        <f>IF($C1673="","",IF(ISNUMBER(SEARCH($D1673,Settings!$C$15)),"Pickup","Dispatch"))</f>
        <v>Pickup</v>
      </c>
      <c r="AC1673" s="64" t="str">
        <f t="shared" si="287"/>
        <v>Supply order ready for pickup</v>
      </c>
      <c r="AD1673" s="64" t="str">
        <f t="shared" si="289"/>
        <v>Dear PSW,
Your order is ready for pickup from Sample Branch, Wed-Fri 9am-4pm.</v>
      </c>
      <c r="AE1673" s="64" t="str">
        <f t="shared" si="290"/>
        <v>mailto:firstname235.lastname235@example.com?subject=Supply%20order%20ready%20for%20pickup&amp;body=Dear%20PSW%2C%0A%0AYour%20order%20is%20ready%20for%20pickup%20from%20Sample%20Branch%2C%20Wed-Fri%209am-4pm.</v>
      </c>
      <c r="AF1673" s="89" t="str">
        <f t="shared" si="288"/>
        <v>Draft email</v>
      </c>
      <c r="AG1673" s="64" t="str">
        <f>IF($C1673="","",IFERROR(INDEX('Staff Directory'!$K$595:$K$599,MATCH($C1673,'Staff Directory'!$B$5:$B$599,0)),$D1673))</f>
        <v>PSW</v>
      </c>
      <c r="AH1673" t="str">
        <f>IF($C1673="","",IFERROR(INDEX('Staff Directory'!$I$595:$I$599,MATCH($C1673,'Staff Directory'!$B$5:$B$599,0))&amp;" "&amp;INDEX('Staff Directory'!$J$595:$J$599,MATCH($C1673,'Staff Directory'!$B$5:$B$599,0)),$AG1673))</f>
        <v>PSW</v>
      </c>
      <c r="AI1673" s="102"/>
      <c r="AJ1673" s="101">
        <f>IF($F1673="","",SUMIFS($J$5:$J1673,$F$5:$F1673,$F1673))</f>
        <v>99500</v>
      </c>
      <c r="AK1673" s="101">
        <f t="shared" si="291"/>
        <v>99001</v>
      </c>
      <c r="AL1673" s="66" t="str" cm="1">
        <f t="array" ref="AL1673">IF($F1673="","",IFERROR(INDEX('Lot Balance'!$B$5:$B$500,MATCH(1,INDEX(('Lot Balance'!$A$5:$A$500=$F1673)*('Lot Balance'!$K$5:$K$500&lt;$AK1673)*('Lot Balance'!$K$5:$K$500+'Lot Balance'!$D$5:$D$500&gt;=$AK1673),0),0)),""))</f>
        <v>ZIM604151579</v>
      </c>
      <c r="AM1673" s="66" t="str" cm="1">
        <f t="array" ref="AM1673">IF($F1673="","",IFERROR(INDEX('Lot Balance'!$B$5:$B$500,MATCH(1,INDEX(('Lot Balance'!$A$5:$A$500=$F1673)*('Lot Balance'!$K$5:$K$500&lt;$AJ1673)*('Lot Balance'!$K$5:$K$500+'Lot Balance'!$D$5:$D$500&gt;=$AJ1673),0),0)),""))</f>
        <v>ZIM604151579</v>
      </c>
      <c r="AN1673" s="66" t="str">
        <f>IF($F1673="","",IF($AI1673&lt;&gt;"",IF(COUNTIFS('Lot Balance'!$A$5:$A$500,$F1673,'Lot Balance'!$B$5:$B$500,$AI1673)=0,"⚠ override is not a lot of this item",IF($AI1673=$AL1673,"Override = FEFO","Override - FEFO says "&amp;$AL1673)),IF($AL1673="","⚠ no receipt on file for this item",IF($AM1673&lt;&gt;$AL1673,"FEFO auto - split, also "&amp;$AM1673,"FEFO auto"))))</f>
        <v>FEFO auto</v>
      </c>
      <c r="AO1673" s="114"/>
    </row>
    <row r="1674" spans="1:41" x14ac:dyDescent="0.35">
      <c r="A1674" s="74">
        <v>46211</v>
      </c>
      <c r="B1674" s="18" t="str">
        <f>IF($C1674="","",IFERROR(INDEX('Staff Directory'!$A$5:$A$594,MATCH($C1674,'Staff Directory'!$B$5:$B$594,0)),"⚠ unknown staff"))</f>
        <v>PSW-172-TBD</v>
      </c>
      <c r="C1674" s="49" t="s">
        <v>1151</v>
      </c>
      <c r="D1674" s="19" t="str">
        <f>IF($B1674="","",IFERROR(INDEX('Staff Directory'!$C$5:$C$594,MATCH($B1674,'Staff Directory'!$A$5:$A$594,0)),""))</f>
        <v>PSW</v>
      </c>
      <c r="E1674" s="19">
        <f>IF($B1674="","",IFERROR(INDEX('Staff Directory'!$D$5:$D$594,MATCH($B1674,'Staff Directory'!$A$5:$A$594,0)),""))</f>
        <v>0</v>
      </c>
      <c r="F1674" s="9" t="s">
        <v>156</v>
      </c>
      <c r="G1674" s="18" t="str">
        <f>IF($F1674="","",IFERROR(INDEX(Items!$B$5:$B$597,MATCH($F1674,Items!$A$5:$A$597,0)),"⚠ not in Items"))</f>
        <v>Masks</v>
      </c>
      <c r="H1674" s="19" t="str">
        <f>IF($F1674="","",IFERROR(INDEX(Items!$C$5:$C$597,MATCH($F1674,Items!$A$5:$A$597,0)),""))</f>
        <v>One Size</v>
      </c>
      <c r="I1674" s="23">
        <f>IF($F1674="","",IFERROR(INDEX(Items!$E$5:$E$597,MATCH($F1674,Items!$A$5:$A$597,0)),""))</f>
        <v>50</v>
      </c>
      <c r="J1674" s="115">
        <f>IF(tblIssues[[#This Row],[Qty Override]]&lt;&gt;"",tblIssues[[#This Row],[Qty Override]],IF(tblIssues[[#This Row],[Standard Issue]]="","",tblIssues[[#This Row],[Standard Issue]]))</f>
        <v>50</v>
      </c>
      <c r="K1674" s="20">
        <f>IF($F1674="","",IFERROR(INDEX(Items!$D$5:$D$597,MATCH($F1674,Items!$A$5:$A$597,0)),""))</f>
        <v>0.25</v>
      </c>
      <c r="L1674" s="21">
        <f t="shared" si="294"/>
        <v>12.5</v>
      </c>
      <c r="M1674" s="9" t="str">
        <f t="shared" si="292"/>
        <v>24HA2050A7396</v>
      </c>
      <c r="N1674" s="24">
        <f>IF($A1674="","",WORKDAY($A1674,Settings!$C$9,HolidayDates))</f>
        <v>46219</v>
      </c>
      <c r="O1674" s="24">
        <f>IF($N1674="","",WORKDAY($N1674,Settings!$C$10,HolidayDates))</f>
        <v>46259</v>
      </c>
      <c r="P1674" s="10" t="s">
        <v>501</v>
      </c>
      <c r="Q1674" s="52" t="str">
        <f t="shared" si="284"/>
        <v>Collected</v>
      </c>
      <c r="R1674" s="55" t="str">
        <f t="shared" si="285"/>
        <v>2026-07</v>
      </c>
      <c r="S1674" s="55">
        <f>IF(OR($B1674="",$F1674="",$R1674=""),"",SUMIFS(tblIssues[Qty Issued],tblIssues[Staff ID],$B1674,tblIssues[Item Name],$F1674,tblIssues[Month],$R1674))</f>
        <v>50</v>
      </c>
      <c r="T1674" s="56">
        <f>IF($I1674="","",$I1674*Settings!$C$11)</f>
        <v>50</v>
      </c>
      <c r="U1674" s="57" t="str">
        <f t="shared" si="293"/>
        <v>OK</v>
      </c>
      <c r="V1674" s="55" t="str">
        <f t="shared" si="286"/>
        <v/>
      </c>
      <c r="W1674" s="55" t="str">
        <f>IF($V1674="","",IF(COUNTIF($V$5:$V1674,$V1674)=1,1,""))</f>
        <v/>
      </c>
      <c r="X1674" s="58" t="str">
        <f>IF($W1674="","",MAX($X$4:X1673)+1)</f>
        <v/>
      </c>
      <c r="Y1674" s="62"/>
      <c r="Z1674" s="62"/>
      <c r="AA1674" s="64" t="str">
        <f>IF($C1674="","",IFERROR(INDEX('Staff Directory'!$E$5:$E$594,MATCH($C1674,'Staff Directory'!$B$5:$B$594,0)),""))</f>
        <v>firstname235.lastname235@example.com</v>
      </c>
      <c r="AB1674" s="64" t="str">
        <f>IF($C1674="","",IF(ISNUMBER(SEARCH($D1674,Settings!$C$15)),"Pickup","Dispatch"))</f>
        <v>Pickup</v>
      </c>
      <c r="AC1674" s="64" t="str">
        <f t="shared" si="287"/>
        <v>Supply order ready for pickup</v>
      </c>
      <c r="AD1674" s="64" t="str">
        <f t="shared" si="289"/>
        <v>Dear PSW,
Your order is ready for pickup from Sample Branch, Wed-Fri 9am-4pm.</v>
      </c>
      <c r="AE1674" s="64" t="str">
        <f t="shared" si="290"/>
        <v>mailto:firstname235.lastname235@example.com?subject=Supply%20order%20ready%20for%20pickup&amp;body=Dear%20PSW%2C%0A%0AYour%20order%20is%20ready%20for%20pickup%20from%20Sample%20Branch%2C%20Wed-Fri%209am-4pm.</v>
      </c>
      <c r="AF1674" s="89" t="str">
        <f t="shared" si="288"/>
        <v>Draft email</v>
      </c>
      <c r="AG1674" s="64" t="str">
        <f>IF($C1674="","",IFERROR(INDEX('Staff Directory'!$K$595:$K$599,MATCH($C1674,'Staff Directory'!$B$5:$B$599,0)),$D1674))</f>
        <v>PSW</v>
      </c>
      <c r="AH1674" t="str">
        <f>IF($C1674="","",IFERROR(INDEX('Staff Directory'!$I$595:$I$599,MATCH($C1674,'Staff Directory'!$B$5:$B$599,0))&amp;" "&amp;INDEX('Staff Directory'!$J$595:$J$599,MATCH($C1674,'Staff Directory'!$B$5:$B$599,0)),$AG1674))</f>
        <v>PSW</v>
      </c>
      <c r="AI1674" s="102"/>
      <c r="AJ1674" s="101">
        <f>IF($F1674="","",SUMIFS($J$5:$J1674,$F$5:$F1674,$F1674))</f>
        <v>13650</v>
      </c>
      <c r="AK1674" s="101">
        <f t="shared" si="291"/>
        <v>13601</v>
      </c>
      <c r="AL1674" s="66" t="str" cm="1">
        <f t="array" ref="AL1674">IF($F1674="","",IFERROR(INDEX('Lot Balance'!$B$5:$B$500,MATCH(1,INDEX(('Lot Balance'!$A$5:$A$500=$F1674)*('Lot Balance'!$K$5:$K$500&lt;$AK1674)*('Lot Balance'!$K$5:$K$500+'Lot Balance'!$D$5:$D$500&gt;=$AK1674),0),0)),""))</f>
        <v>24HA2050A7396</v>
      </c>
      <c r="AM1674" s="66" t="str" cm="1">
        <f t="array" ref="AM1674">IF($F1674="","",IFERROR(INDEX('Lot Balance'!$B$5:$B$500,MATCH(1,INDEX(('Lot Balance'!$A$5:$A$500=$F1674)*('Lot Balance'!$K$5:$K$500&lt;$AJ1674)*('Lot Balance'!$K$5:$K$500+'Lot Balance'!$D$5:$D$500&gt;=$AJ1674),0),0)),""))</f>
        <v>24HA2050A7396</v>
      </c>
      <c r="AN1674" s="66" t="str">
        <f>IF($F1674="","",IF($AI1674&lt;&gt;"",IF(COUNTIFS('Lot Balance'!$A$5:$A$500,$F1674,'Lot Balance'!$B$5:$B$500,$AI1674)=0,"⚠ override is not a lot of this item",IF($AI1674=$AL1674,"Override = FEFO","Override - FEFO says "&amp;$AL1674)),IF($AL1674="","⚠ no receipt on file for this item",IF($AM1674&lt;&gt;$AL1674,"FEFO auto - split, also "&amp;$AM1674,"FEFO auto"))))</f>
        <v>FEFO auto</v>
      </c>
      <c r="AO1674" s="114"/>
    </row>
    <row r="1675" spans="1:41" x14ac:dyDescent="0.35">
      <c r="A1675" s="74">
        <v>46211</v>
      </c>
      <c r="B1675" s="18" t="str">
        <f>IF($C1675="","",IFERROR(INDEX('Staff Directory'!$A$5:$A$594,MATCH($C1675,'Staff Directory'!$B$5:$B$594,0)),"⚠ unknown staff"))</f>
        <v>PSW-172-TBD</v>
      </c>
      <c r="C1675" s="49" t="s">
        <v>1151</v>
      </c>
      <c r="D1675" s="19" t="str">
        <f>IF($B1675="","",IFERROR(INDEX('Staff Directory'!$C$5:$C$594,MATCH($B1675,'Staff Directory'!$A$5:$A$594,0)),""))</f>
        <v>PSW</v>
      </c>
      <c r="E1675" s="19">
        <f>IF($B1675="","",IFERROR(INDEX('Staff Directory'!$D$5:$D$594,MATCH($B1675,'Staff Directory'!$A$5:$A$594,0)),""))</f>
        <v>0</v>
      </c>
      <c r="F1675" s="9" t="s">
        <v>758</v>
      </c>
      <c r="G1675" s="18" t="str">
        <f>IF($F1675="","",IFERROR(INDEX(Items!$B$5:$B$597,MATCH($F1675,Items!$A$5:$A$597,0)),"⚠ not in Items"))</f>
        <v>Utility</v>
      </c>
      <c r="H1675" s="19" t="str">
        <f>IF($F1675="","",IFERROR(INDEX(Items!$C$5:$C$597,MATCH($F1675,Items!$A$5:$A$597,0)),""))</f>
        <v>Standard</v>
      </c>
      <c r="I1675" s="23">
        <f>IF($F1675="","",IFERROR(INDEX(Items!$E$5:$E$597,MATCH($F1675,Items!$A$5:$A$597,0)),""))</f>
        <v>1</v>
      </c>
      <c r="J1675" s="115">
        <f>IF(tblIssues[[#This Row],[Qty Override]]&lt;&gt;"",tblIssues[[#This Row],[Qty Override]],IF(tblIssues[[#This Row],[Standard Issue]]="","",tblIssues[[#This Row],[Standard Issue]]))</f>
        <v>1</v>
      </c>
      <c r="K1675" s="20">
        <f>IF($F1675="","",IFERROR(INDEX(Items!$D$5:$D$597,MATCH($F1675,Items!$A$5:$A$597,0)),""))</f>
        <v>0</v>
      </c>
      <c r="L1675" s="21">
        <f t="shared" si="294"/>
        <v>0</v>
      </c>
      <c r="M1675" s="9" t="str">
        <f t="shared" si="292"/>
        <v/>
      </c>
      <c r="N1675" s="24">
        <f>IF($A1675="","",WORKDAY($A1675,Settings!$C$9,HolidayDates))</f>
        <v>46219</v>
      </c>
      <c r="O1675" s="24">
        <f>IF($N1675="","",WORKDAY($N1675,Settings!$C$10,HolidayDates))</f>
        <v>46259</v>
      </c>
      <c r="P1675" s="10" t="s">
        <v>501</v>
      </c>
      <c r="Q1675" s="52" t="str">
        <f t="shared" si="284"/>
        <v>Collected</v>
      </c>
      <c r="R1675" s="55" t="str">
        <f t="shared" si="285"/>
        <v>2026-07</v>
      </c>
      <c r="S1675" s="55">
        <f>IF(OR($B1675="",$F1675="",$R1675=""),"",SUMIFS(tblIssues[Qty Issued],tblIssues[Staff ID],$B1675,tblIssues[Item Name],$F1675,tblIssues[Month],$R1675))</f>
        <v>1</v>
      </c>
      <c r="T1675" s="56">
        <f>IF($I1675="","",$I1675*Settings!$C$11)</f>
        <v>1</v>
      </c>
      <c r="U1675" s="57" t="str">
        <f t="shared" si="293"/>
        <v>OK</v>
      </c>
      <c r="V1675" s="55" t="str">
        <f t="shared" si="286"/>
        <v/>
      </c>
      <c r="W1675" s="55" t="str">
        <f>IF($V1675="","",IF(COUNTIF($V$5:$V1675,$V1675)=1,1,""))</f>
        <v/>
      </c>
      <c r="X1675" s="58" t="str">
        <f>IF($W1675="","",MAX($X$4:X1674)+1)</f>
        <v/>
      </c>
      <c r="Y1675" s="62"/>
      <c r="Z1675" s="62"/>
      <c r="AA1675" s="64" t="str">
        <f>IF($C1675="","",IFERROR(INDEX('Staff Directory'!$E$5:$E$594,MATCH($C1675,'Staff Directory'!$B$5:$B$594,0)),""))</f>
        <v>firstname235.lastname235@example.com</v>
      </c>
      <c r="AB1675" s="64" t="str">
        <f>IF($C1675="","",IF(ISNUMBER(SEARCH($D1675,Settings!$C$15)),"Pickup","Dispatch"))</f>
        <v>Pickup</v>
      </c>
      <c r="AC1675" s="64" t="str">
        <f t="shared" si="287"/>
        <v>Supply order ready for pickup</v>
      </c>
      <c r="AD1675" s="64" t="str">
        <f t="shared" si="289"/>
        <v>Dear PSW,
Your order is ready for pickup from Sample Branch, Wed-Fri 9am-4pm.</v>
      </c>
      <c r="AE1675" s="64" t="str">
        <f t="shared" si="290"/>
        <v>mailto:firstname235.lastname235@example.com?subject=Supply%20order%20ready%20for%20pickup&amp;body=Dear%20PSW%2C%0A%0AYour%20order%20is%20ready%20for%20pickup%20from%20Sample%20Branch%2C%20Wed-Fri%209am-4pm.</v>
      </c>
      <c r="AF1675" s="89" t="str">
        <f t="shared" si="288"/>
        <v>Draft email</v>
      </c>
      <c r="AG1675" s="64" t="str">
        <f>IF($C1675="","",IFERROR(INDEX('Staff Directory'!$K$595:$K$599,MATCH($C1675,'Staff Directory'!$B$5:$B$599,0)),$D1675))</f>
        <v>PSW</v>
      </c>
      <c r="AH1675" t="str">
        <f>IF($C1675="","",IFERROR(INDEX('Staff Directory'!$I$595:$I$599,MATCH($C1675,'Staff Directory'!$B$5:$B$599,0))&amp;" "&amp;INDEX('Staff Directory'!$J$595:$J$599,MATCH($C1675,'Staff Directory'!$B$5:$B$599,0)),$AG1675))</f>
        <v>PSW</v>
      </c>
      <c r="AI1675" s="102"/>
      <c r="AJ1675" s="101">
        <f>IF($F1675="","",SUMIFS($J$5:$J1675,$F$5:$F1675,$F1675))</f>
        <v>50</v>
      </c>
      <c r="AK1675" s="101">
        <f t="shared" si="291"/>
        <v>50</v>
      </c>
      <c r="AL1675" s="66" t="str" cm="1">
        <f t="array" ref="AL1675">IF($F1675="","",IFERROR(INDEX('Lot Balance'!$B$5:$B$500,MATCH(1,INDEX(('Lot Balance'!$A$5:$A$500=$F1675)*('Lot Balance'!$K$5:$K$500&lt;$AK1675)*('Lot Balance'!$K$5:$K$500+'Lot Balance'!$D$5:$D$500&gt;=$AK1675),0),0)),""))</f>
        <v/>
      </c>
      <c r="AM1675" s="66" t="str" cm="1">
        <f t="array" ref="AM1675">IF($F1675="","",IFERROR(INDEX('Lot Balance'!$B$5:$B$500,MATCH(1,INDEX(('Lot Balance'!$A$5:$A$500=$F1675)*('Lot Balance'!$K$5:$K$500&lt;$AJ1675)*('Lot Balance'!$K$5:$K$500+'Lot Balance'!$D$5:$D$500&gt;=$AJ1675),0),0)),""))</f>
        <v/>
      </c>
      <c r="AN1675" s="66" t="str">
        <f>IF($F1675="","",IF($AI1675&lt;&gt;"",IF(COUNTIFS('Lot Balance'!$A$5:$A$500,$F1675,'Lot Balance'!$B$5:$B$500,$AI1675)=0,"⚠ override is not a lot of this item",IF($AI1675=$AL1675,"Override = FEFO","Override - FEFO says "&amp;$AL1675)),IF($AL1675="","⚠ no receipt on file for this item",IF($AM1675&lt;&gt;$AL1675,"FEFO auto - split, also "&amp;$AM1675,"FEFO auto"))))</f>
        <v>⚠ no receipt on file for this item</v>
      </c>
      <c r="AO1675" s="114"/>
    </row>
    <row r="1676" spans="1:41" x14ac:dyDescent="0.35">
      <c r="A1676" s="74">
        <v>46211</v>
      </c>
      <c r="B1676" s="18" t="str">
        <f>IF($C1676="","",IFERROR(INDEX('Staff Directory'!$A$5:$A$594,MATCH($C1676,'Staff Directory'!$B$5:$B$594,0)),"⚠ unknown staff"))</f>
        <v>PSW-130-A6</v>
      </c>
      <c r="C1676" s="49" t="s">
        <v>1109</v>
      </c>
      <c r="D1676" s="19" t="str">
        <f>IF($B1676="","",IFERROR(INDEX('Staff Directory'!$C$5:$C$594,MATCH($B1676,'Staff Directory'!$A$5:$A$594,0)),""))</f>
        <v>PSW</v>
      </c>
      <c r="E1676" s="19" t="str">
        <f>IF($B1676="","",IFERROR(INDEX('Staff Directory'!$D$5:$D$594,MATCH($B1676,'Staff Directory'!$A$5:$A$594,0)),""))</f>
        <v>A6</v>
      </c>
      <c r="F1676" s="9" t="s">
        <v>127</v>
      </c>
      <c r="G1676" s="18" t="str">
        <f>IF($F1676="","",IFERROR(INDEX(Items!$B$5:$B$597,MATCH($F1676,Items!$A$5:$A$597,0)),"⚠ not in Items"))</f>
        <v>Gloves</v>
      </c>
      <c r="H1676" s="19" t="str">
        <f>IF($F1676="","",IFERROR(INDEX(Items!$C$5:$C$597,MATCH($F1676,Items!$A$5:$A$597,0)),""))</f>
        <v>Medium</v>
      </c>
      <c r="I1676" s="23">
        <f>IF($F1676="","",IFERROR(INDEX(Items!$E$5:$E$597,MATCH($F1676,Items!$A$5:$A$597,0)),""))</f>
        <v>500</v>
      </c>
      <c r="J1676" s="115">
        <f>IF(tblIssues[[#This Row],[Qty Override]]&lt;&gt;"",tblIssues[[#This Row],[Qty Override]],IF(tblIssues[[#This Row],[Standard Issue]]="","",tblIssues[[#This Row],[Standard Issue]]))</f>
        <v>500</v>
      </c>
      <c r="K1676" s="20">
        <f>IF($F1676="","",IFERROR(INDEX(Items!$D$5:$D$597,MATCH($F1676,Items!$A$5:$A$597,0)),""))</f>
        <v>5.5E-2</v>
      </c>
      <c r="L1676" s="21">
        <f t="shared" si="294"/>
        <v>27.5</v>
      </c>
      <c r="M1676" s="9" t="str">
        <f t="shared" si="292"/>
        <v>ZIM604151579</v>
      </c>
      <c r="N1676" s="24">
        <f>IF($A1676="","",WORKDAY($A1676,Settings!$C$9,HolidayDates))</f>
        <v>46219</v>
      </c>
      <c r="O1676" s="24">
        <f>IF($N1676="","",WORKDAY($N1676,Settings!$C$10,HolidayDates))</f>
        <v>46259</v>
      </c>
      <c r="P1676" s="10" t="s">
        <v>501</v>
      </c>
      <c r="Q1676" s="52" t="str">
        <f t="shared" si="284"/>
        <v>Collected</v>
      </c>
      <c r="R1676" s="55" t="str">
        <f t="shared" si="285"/>
        <v>2026-07</v>
      </c>
      <c r="S1676" s="55">
        <f>IF(OR($B1676="",$F1676="",$R1676=""),"",SUMIFS(tblIssues[Qty Issued],tblIssues[Staff ID],$B1676,tblIssues[Item Name],$F1676,tblIssues[Month],$R1676))</f>
        <v>500</v>
      </c>
      <c r="T1676" s="56">
        <f>IF($I1676="","",$I1676*Settings!$C$11)</f>
        <v>500</v>
      </c>
      <c r="U1676" s="57" t="str">
        <f t="shared" si="293"/>
        <v>OK</v>
      </c>
      <c r="V1676" s="55" t="str">
        <f t="shared" si="286"/>
        <v/>
      </c>
      <c r="W1676" s="55" t="str">
        <f>IF($V1676="","",IF(COUNTIF($V$5:$V1676,$V1676)=1,1,""))</f>
        <v/>
      </c>
      <c r="X1676" s="58" t="str">
        <f>IF($W1676="","",MAX($X$4:X1675)+1)</f>
        <v/>
      </c>
      <c r="Y1676" s="62"/>
      <c r="Z1676" s="62"/>
      <c r="AA1676" s="64" t="str">
        <f>IF($C1676="","",IFERROR(INDEX('Staff Directory'!$E$5:$E$594,MATCH($C1676,'Staff Directory'!$B$5:$B$594,0)),""))</f>
        <v>firstname193.lastname193@example.com</v>
      </c>
      <c r="AB1676" s="64" t="str">
        <f>IF($C1676="","",IF(ISNUMBER(SEARCH($D1676,Settings!$C$15)),"Pickup","Dispatch"))</f>
        <v>Pickup</v>
      </c>
      <c r="AC1676" s="64" t="str">
        <f t="shared" si="287"/>
        <v>Supply order ready for pickup</v>
      </c>
      <c r="AD1676" s="64" t="str">
        <f t="shared" si="289"/>
        <v>Dear PSW,
Your order is ready for pickup from Sample Branch, Wed-Fri 9am-4pm.</v>
      </c>
      <c r="AE1676" s="64" t="str">
        <f t="shared" si="290"/>
        <v>mailto:firstname193.lastname193@example.com?subject=Supply%20order%20ready%20for%20pickup&amp;body=Dear%20PSW%2C%0A%0AYour%20order%20is%20ready%20for%20pickup%20from%20Sample%20Branch%2C%20Wed-Fri%209am-4pm.</v>
      </c>
      <c r="AF1676" s="89" t="str">
        <f t="shared" si="288"/>
        <v>Draft email</v>
      </c>
      <c r="AG1676" s="64" t="str">
        <f>IF($C1676="","",IFERROR(INDEX('Staff Directory'!$K$595:$K$599,MATCH($C1676,'Staff Directory'!$B$5:$B$599,0)),$D1676))</f>
        <v>PSW</v>
      </c>
      <c r="AH1676" t="str">
        <f>IF($C1676="","",IFERROR(INDEX('Staff Directory'!$I$595:$I$599,MATCH($C1676,'Staff Directory'!$B$5:$B$599,0))&amp;" "&amp;INDEX('Staff Directory'!$J$595:$J$599,MATCH($C1676,'Staff Directory'!$B$5:$B$599,0)),$AG1676))</f>
        <v>PSW</v>
      </c>
      <c r="AI1676" s="102"/>
      <c r="AJ1676" s="101">
        <f>IF($F1676="","",SUMIFS($J$5:$J1676,$F$5:$F1676,$F1676))</f>
        <v>100000</v>
      </c>
      <c r="AK1676" s="101">
        <f t="shared" si="291"/>
        <v>99501</v>
      </c>
      <c r="AL1676" s="66" t="str" cm="1">
        <f t="array" ref="AL1676">IF($F1676="","",IFERROR(INDEX('Lot Balance'!$B$5:$B$500,MATCH(1,INDEX(('Lot Balance'!$A$5:$A$500=$F1676)*('Lot Balance'!$K$5:$K$500&lt;$AK1676)*('Lot Balance'!$K$5:$K$500+'Lot Balance'!$D$5:$D$500&gt;=$AK1676),0),0)),""))</f>
        <v>ZIM604151579</v>
      </c>
      <c r="AM1676" s="66" t="str" cm="1">
        <f t="array" ref="AM1676">IF($F1676="","",IFERROR(INDEX('Lot Balance'!$B$5:$B$500,MATCH(1,INDEX(('Lot Balance'!$A$5:$A$500=$F1676)*('Lot Balance'!$K$5:$K$500&lt;$AJ1676)*('Lot Balance'!$K$5:$K$500+'Lot Balance'!$D$5:$D$500&gt;=$AJ1676),0),0)),""))</f>
        <v>ZIM604151579</v>
      </c>
      <c r="AN1676" s="66" t="str">
        <f>IF($F1676="","",IF($AI1676&lt;&gt;"",IF(COUNTIFS('Lot Balance'!$A$5:$A$500,$F1676,'Lot Balance'!$B$5:$B$500,$AI1676)=0,"⚠ override is not a lot of this item",IF($AI1676=$AL1676,"Override = FEFO","Override - FEFO says "&amp;$AL1676)),IF($AL1676="","⚠ no receipt on file for this item",IF($AM1676&lt;&gt;$AL1676,"FEFO auto - split, also "&amp;$AM1676,"FEFO auto"))))</f>
        <v>FEFO auto</v>
      </c>
      <c r="AO1676" s="114"/>
    </row>
    <row r="1677" spans="1:41" x14ac:dyDescent="0.35">
      <c r="A1677" s="74">
        <v>46211</v>
      </c>
      <c r="B1677" s="18" t="str">
        <f>IF($C1677="","",IFERROR(INDEX('Staff Directory'!$A$5:$A$594,MATCH($C1677,'Staff Directory'!$B$5:$B$594,0)),"⚠ unknown staff"))</f>
        <v>PSW-130-A6</v>
      </c>
      <c r="C1677" s="49" t="s">
        <v>1109</v>
      </c>
      <c r="D1677" s="19" t="str">
        <f>IF($B1677="","",IFERROR(INDEX('Staff Directory'!$C$5:$C$594,MATCH($B1677,'Staff Directory'!$A$5:$A$594,0)),""))</f>
        <v>PSW</v>
      </c>
      <c r="E1677" s="19" t="str">
        <f>IF($B1677="","",IFERROR(INDEX('Staff Directory'!$D$5:$D$594,MATCH($B1677,'Staff Directory'!$A$5:$A$594,0)),""))</f>
        <v>A6</v>
      </c>
      <c r="F1677" s="9" t="s">
        <v>191</v>
      </c>
      <c r="G1677" s="18" t="str">
        <f>IF($F1677="","",IFERROR(INDEX(Items!$B$5:$B$597,MATCH($F1677,Items!$A$5:$A$597,0)),"⚠ not in Items"))</f>
        <v>Sanitizer</v>
      </c>
      <c r="H1677" s="19" t="str">
        <f>IF($F1677="","",IFERROR(INDEX(Items!$C$5:$C$597,MATCH($F1677,Items!$A$5:$A$597,0)),""))</f>
        <v>236 ML</v>
      </c>
      <c r="I1677" s="23">
        <f>IF($F1677="","",IFERROR(INDEX(Items!$E$5:$E$597,MATCH($F1677,Items!$A$5:$A$597,0)),""))</f>
        <v>1</v>
      </c>
      <c r="J1677" s="115">
        <f>IF(tblIssues[[#This Row],[Qty Override]]&lt;&gt;"",tblIssues[[#This Row],[Qty Override]],IF(tblIssues[[#This Row],[Standard Issue]]="","",tblIssues[[#This Row],[Standard Issue]]))</f>
        <v>1</v>
      </c>
      <c r="K1677" s="20">
        <f>IF($F1677="","",IFERROR(INDEX(Items!$D$5:$D$597,MATCH($F1677,Items!$A$5:$A$597,0)),""))</f>
        <v>1E-4</v>
      </c>
      <c r="L1677" s="21">
        <f t="shared" si="294"/>
        <v>1E-4</v>
      </c>
      <c r="M1677" s="9" t="str">
        <f t="shared" si="292"/>
        <v/>
      </c>
      <c r="N1677" s="24">
        <f>IF($A1677="","",WORKDAY($A1677,Settings!$C$9,HolidayDates))</f>
        <v>46219</v>
      </c>
      <c r="O1677" s="24">
        <f>IF($N1677="","",WORKDAY($N1677,Settings!$C$10,HolidayDates))</f>
        <v>46259</v>
      </c>
      <c r="P1677" s="10" t="s">
        <v>501</v>
      </c>
      <c r="Q1677" s="52" t="str">
        <f t="shared" si="284"/>
        <v>Collected</v>
      </c>
      <c r="R1677" s="55" t="str">
        <f t="shared" si="285"/>
        <v>2026-07</v>
      </c>
      <c r="S1677" s="55">
        <f>IF(OR($B1677="",$F1677="",$R1677=""),"",SUMIFS(tblIssues[Qty Issued],tblIssues[Staff ID],$B1677,tblIssues[Item Name],$F1677,tblIssues[Month],$R1677))</f>
        <v>1</v>
      </c>
      <c r="T1677" s="56">
        <f>IF($I1677="","",$I1677*Settings!$C$11)</f>
        <v>1</v>
      </c>
      <c r="U1677" s="57" t="str">
        <f t="shared" si="293"/>
        <v>OK</v>
      </c>
      <c r="V1677" s="55" t="str">
        <f t="shared" si="286"/>
        <v/>
      </c>
      <c r="W1677" s="55" t="str">
        <f>IF($V1677="","",IF(COUNTIF($V$5:$V1677,$V1677)=1,1,""))</f>
        <v/>
      </c>
      <c r="X1677" s="58" t="str">
        <f>IF($W1677="","",MAX($X$4:X1676)+1)</f>
        <v/>
      </c>
      <c r="Y1677" s="62"/>
      <c r="Z1677" s="62"/>
      <c r="AA1677" s="64" t="str">
        <f>IF($C1677="","",IFERROR(INDEX('Staff Directory'!$E$5:$E$594,MATCH($C1677,'Staff Directory'!$B$5:$B$594,0)),""))</f>
        <v>firstname193.lastname193@example.com</v>
      </c>
      <c r="AB1677" s="64" t="str">
        <f>IF($C1677="","",IF(ISNUMBER(SEARCH($D1677,Settings!$C$15)),"Pickup","Dispatch"))</f>
        <v>Pickup</v>
      </c>
      <c r="AC1677" s="64" t="str">
        <f t="shared" si="287"/>
        <v>Supply order ready for pickup</v>
      </c>
      <c r="AD1677" s="64" t="str">
        <f t="shared" si="289"/>
        <v>Dear PSW,
Your order is ready for pickup from Sample Branch, Wed-Fri 9am-4pm.</v>
      </c>
      <c r="AE1677" s="64" t="str">
        <f t="shared" si="290"/>
        <v>mailto:firstname193.lastname193@example.com?subject=Supply%20order%20ready%20for%20pickup&amp;body=Dear%20PSW%2C%0A%0AYour%20order%20is%20ready%20for%20pickup%20from%20Sample%20Branch%2C%20Wed-Fri%209am-4pm.</v>
      </c>
      <c r="AF1677" s="89" t="str">
        <f t="shared" si="288"/>
        <v>Draft email</v>
      </c>
      <c r="AG1677" s="64" t="str">
        <f>IF($C1677="","",IFERROR(INDEX('Staff Directory'!$K$595:$K$599,MATCH($C1677,'Staff Directory'!$B$5:$B$599,0)),$D1677))</f>
        <v>PSW</v>
      </c>
      <c r="AH1677" t="str">
        <f>IF($C1677="","",IFERROR(INDEX('Staff Directory'!$I$595:$I$599,MATCH($C1677,'Staff Directory'!$B$5:$B$599,0))&amp;" "&amp;INDEX('Staff Directory'!$J$595:$J$599,MATCH($C1677,'Staff Directory'!$B$5:$B$599,0)),$AG1677))</f>
        <v>PSW</v>
      </c>
      <c r="AI1677" s="102"/>
      <c r="AJ1677" s="101">
        <f>IF($F1677="","",SUMIFS($J$5:$J1677,$F$5:$F1677,$F1677))</f>
        <v>214</v>
      </c>
      <c r="AK1677" s="101">
        <f t="shared" si="291"/>
        <v>214</v>
      </c>
      <c r="AL1677" s="66" t="str" cm="1">
        <f t="array" ref="AL1677">IF($F1677="","",IFERROR(INDEX('Lot Balance'!$B$5:$B$500,MATCH(1,INDEX(('Lot Balance'!$A$5:$A$500=$F1677)*('Lot Balance'!$K$5:$K$500&lt;$AK1677)*('Lot Balance'!$K$5:$K$500+'Lot Balance'!$D$5:$D$500&gt;=$AK1677),0),0)),""))</f>
        <v/>
      </c>
      <c r="AM1677" s="66" t="str" cm="1">
        <f t="array" ref="AM1677">IF($F1677="","",IFERROR(INDEX('Lot Balance'!$B$5:$B$500,MATCH(1,INDEX(('Lot Balance'!$A$5:$A$500=$F1677)*('Lot Balance'!$K$5:$K$500&lt;$AJ1677)*('Lot Balance'!$K$5:$K$500+'Lot Balance'!$D$5:$D$500&gt;=$AJ1677),0),0)),""))</f>
        <v/>
      </c>
      <c r="AN1677" s="66" t="str">
        <f>IF($F1677="","",IF($AI1677&lt;&gt;"",IF(COUNTIFS('Lot Balance'!$A$5:$A$500,$F1677,'Lot Balance'!$B$5:$B$500,$AI1677)=0,"⚠ override is not a lot of this item",IF($AI1677=$AL1677,"Override = FEFO","Override - FEFO says "&amp;$AL1677)),IF($AL1677="","⚠ no receipt on file for this item",IF($AM1677&lt;&gt;$AL1677,"FEFO auto - split, also "&amp;$AM1677,"FEFO auto"))))</f>
        <v>⚠ no receipt on file for this item</v>
      </c>
      <c r="AO1677" s="114"/>
    </row>
    <row r="1678" spans="1:41" x14ac:dyDescent="0.35">
      <c r="A1678" s="74">
        <v>46211</v>
      </c>
      <c r="B1678" s="18" t="str">
        <f>IF($C1678="","",IFERROR(INDEX('Staff Directory'!$A$5:$A$594,MATCH($C1678,'Staff Directory'!$B$5:$B$594,0)),"⚠ unknown staff"))</f>
        <v>PSW-130-A6</v>
      </c>
      <c r="C1678" s="49" t="s">
        <v>1109</v>
      </c>
      <c r="D1678" s="19" t="str">
        <f>IF($B1678="","",IFERROR(INDEX('Staff Directory'!$C$5:$C$594,MATCH($B1678,'Staff Directory'!$A$5:$A$594,0)),""))</f>
        <v>PSW</v>
      </c>
      <c r="E1678" s="19" t="str">
        <f>IF($B1678="","",IFERROR(INDEX('Staff Directory'!$D$5:$D$594,MATCH($B1678,'Staff Directory'!$A$5:$A$594,0)),""))</f>
        <v>A6</v>
      </c>
      <c r="F1678" s="9" t="s">
        <v>758</v>
      </c>
      <c r="G1678" s="18" t="str">
        <f>IF($F1678="","",IFERROR(INDEX(Items!$B$5:$B$597,MATCH($F1678,Items!$A$5:$A$597,0)),"⚠ not in Items"))</f>
        <v>Utility</v>
      </c>
      <c r="H1678" s="19" t="str">
        <f>IF($F1678="","",IFERROR(INDEX(Items!$C$5:$C$597,MATCH($F1678,Items!$A$5:$A$597,0)),""))</f>
        <v>Standard</v>
      </c>
      <c r="I1678" s="23">
        <f>IF($F1678="","",IFERROR(INDEX(Items!$E$5:$E$597,MATCH($F1678,Items!$A$5:$A$597,0)),""))</f>
        <v>1</v>
      </c>
      <c r="J1678" s="115">
        <f>IF(tblIssues[[#This Row],[Qty Override]]&lt;&gt;"",tblIssues[[#This Row],[Qty Override]],IF(tblIssues[[#This Row],[Standard Issue]]="","",tblIssues[[#This Row],[Standard Issue]]))</f>
        <v>1</v>
      </c>
      <c r="K1678" s="20">
        <f>IF($F1678="","",IFERROR(INDEX(Items!$D$5:$D$597,MATCH($F1678,Items!$A$5:$A$597,0)),""))</f>
        <v>0</v>
      </c>
      <c r="L1678" s="21">
        <f t="shared" si="294"/>
        <v>0</v>
      </c>
      <c r="M1678" s="9" t="str">
        <f t="shared" si="292"/>
        <v/>
      </c>
      <c r="N1678" s="24">
        <f>IF($A1678="","",WORKDAY($A1678,Settings!$C$9,HolidayDates))</f>
        <v>46219</v>
      </c>
      <c r="O1678" s="24">
        <f>IF($N1678="","",WORKDAY($N1678,Settings!$C$10,HolidayDates))</f>
        <v>46259</v>
      </c>
      <c r="P1678" s="10" t="s">
        <v>501</v>
      </c>
      <c r="Q1678" s="52" t="str">
        <f t="shared" ref="Q1678:Q1741" si="295">IF($A1678="","",IF($P1678&lt;&gt;"","Collected","Pending"))</f>
        <v>Collected</v>
      </c>
      <c r="R1678" s="55" t="str">
        <f t="shared" ref="R1678:R1741" si="296">IF($A1678="","",TEXT($A1678,"yyyy-mm"))</f>
        <v>2026-07</v>
      </c>
      <c r="S1678" s="55">
        <f>IF(OR($B1678="",$F1678="",$R1678=""),"",SUMIFS(tblIssues[Qty Issued],tblIssues[Staff ID],$B1678,tblIssues[Item Name],$F1678,tblIssues[Month],$R1678))</f>
        <v>1</v>
      </c>
      <c r="T1678" s="56">
        <f>IF($I1678="","",$I1678*Settings!$C$11)</f>
        <v>1</v>
      </c>
      <c r="U1678" s="57" t="str">
        <f t="shared" si="293"/>
        <v>OK</v>
      </c>
      <c r="V1678" s="55" t="str">
        <f t="shared" ref="V1678:V1741" si="297">IF($U1678="⚠ OVER QUOTA",$B1678&amp;" | "&amp;$F1678&amp;" | "&amp;$R1678,"")</f>
        <v/>
      </c>
      <c r="W1678" s="55" t="str">
        <f>IF($V1678="","",IF(COUNTIF($V$5:$V1678,$V1678)=1,1,""))</f>
        <v/>
      </c>
      <c r="X1678" s="58" t="str">
        <f>IF($W1678="","",MAX($X$4:X1677)+1)</f>
        <v/>
      </c>
      <c r="Y1678" s="62"/>
      <c r="Z1678" s="62"/>
      <c r="AA1678" s="64" t="str">
        <f>IF($C1678="","",IFERROR(INDEX('Staff Directory'!$E$5:$E$594,MATCH($C1678,'Staff Directory'!$B$5:$B$594,0)),""))</f>
        <v>firstname193.lastname193@example.com</v>
      </c>
      <c r="AB1678" s="64" t="str">
        <f>IF($C1678="","",IF(ISNUMBER(SEARCH($D1678,Settings!$C$15)),"Pickup","Dispatch"))</f>
        <v>Pickup</v>
      </c>
      <c r="AC1678" s="64" t="str">
        <f t="shared" ref="AC1678:AC1741" si="298">IF($AB1678="Pickup","Supply order ready for pickup",IF($AB1678="Dispatch","Supply order dispatched",""))</f>
        <v>Supply order ready for pickup</v>
      </c>
      <c r="AD1678" s="64" t="str">
        <f t="shared" si="289"/>
        <v>Dear PSW,
Your order is ready for pickup from Sample Branch, Wed-Fri 9am-4pm.</v>
      </c>
      <c r="AE1678" s="64" t="str">
        <f t="shared" si="290"/>
        <v>mailto:firstname193.lastname193@example.com?subject=Supply%20order%20ready%20for%20pickup&amp;body=Dear%20PSW%2C%0A%0AYour%20order%20is%20ready%20for%20pickup%20from%20Sample%20Branch%2C%20Wed-Fri%209am-4pm.</v>
      </c>
      <c r="AF1678" s="89" t="str">
        <f t="shared" ref="AF1678:AF1741" si="299">IF(AE1678="","",HYPERLINK(AE1678,"Draft email"))</f>
        <v>Draft email</v>
      </c>
      <c r="AG1678" s="64" t="str">
        <f>IF($C1678="","",IFERROR(INDEX('Staff Directory'!$K$595:$K$599,MATCH($C1678,'Staff Directory'!$B$5:$B$599,0)),$D1678))</f>
        <v>PSW</v>
      </c>
      <c r="AH1678" t="str">
        <f>IF($C1678="","",IFERROR(INDEX('Staff Directory'!$I$595:$I$599,MATCH($C1678,'Staff Directory'!$B$5:$B$599,0))&amp;" "&amp;INDEX('Staff Directory'!$J$595:$J$599,MATCH($C1678,'Staff Directory'!$B$5:$B$599,0)),$AG1678))</f>
        <v>PSW</v>
      </c>
      <c r="AI1678" s="102"/>
      <c r="AJ1678" s="101">
        <f>IF($F1678="","",SUMIFS($J$5:$J1678,$F$5:$F1678,$F1678))</f>
        <v>51</v>
      </c>
      <c r="AK1678" s="101">
        <f t="shared" si="291"/>
        <v>51</v>
      </c>
      <c r="AL1678" s="66" t="str" cm="1">
        <f t="array" ref="AL1678">IF($F1678="","",IFERROR(INDEX('Lot Balance'!$B$5:$B$500,MATCH(1,INDEX(('Lot Balance'!$A$5:$A$500=$F1678)*('Lot Balance'!$K$5:$K$500&lt;$AK1678)*('Lot Balance'!$K$5:$K$500+'Lot Balance'!$D$5:$D$500&gt;=$AK1678),0),0)),""))</f>
        <v/>
      </c>
      <c r="AM1678" s="66" t="str" cm="1">
        <f t="array" ref="AM1678">IF($F1678="","",IFERROR(INDEX('Lot Balance'!$B$5:$B$500,MATCH(1,INDEX(('Lot Balance'!$A$5:$A$500=$F1678)*('Lot Balance'!$K$5:$K$500&lt;$AJ1678)*('Lot Balance'!$K$5:$K$500+'Lot Balance'!$D$5:$D$500&gt;=$AJ1678),0),0)),""))</f>
        <v/>
      </c>
      <c r="AN1678" s="66" t="str">
        <f>IF($F1678="","",IF($AI1678&lt;&gt;"",IF(COUNTIFS('Lot Balance'!$A$5:$A$500,$F1678,'Lot Balance'!$B$5:$B$500,$AI1678)=0,"⚠ override is not a lot of this item",IF($AI1678=$AL1678,"Override = FEFO","Override - FEFO says "&amp;$AL1678)),IF($AL1678="","⚠ no receipt on file for this item",IF($AM1678&lt;&gt;$AL1678,"FEFO auto - split, also "&amp;$AM1678,"FEFO auto"))))</f>
        <v>⚠ no receipt on file for this item</v>
      </c>
      <c r="AO1678" s="114"/>
    </row>
    <row r="1679" spans="1:41" x14ac:dyDescent="0.35">
      <c r="A1679" s="74">
        <v>46211</v>
      </c>
      <c r="B1679" s="18" t="str">
        <f>IF($C1679="","",IFERROR(INDEX('Staff Directory'!$A$5:$A$594,MATCH($C1679,'Staff Directory'!$B$5:$B$594,0)),"⚠ unknown staff"))</f>
        <v>PSW-104-A6</v>
      </c>
      <c r="C1679" s="49" t="s">
        <v>1082</v>
      </c>
      <c r="D1679" s="19" t="str">
        <f>IF($B1679="","",IFERROR(INDEX('Staff Directory'!$C$5:$C$594,MATCH($B1679,'Staff Directory'!$A$5:$A$594,0)),""))</f>
        <v>PSW</v>
      </c>
      <c r="E1679" s="19" t="str">
        <f>IF($B1679="","",IFERROR(INDEX('Staff Directory'!$D$5:$D$594,MATCH($B1679,'Staff Directory'!$A$5:$A$594,0)),""))</f>
        <v>A6</v>
      </c>
      <c r="F1679" s="9" t="s">
        <v>127</v>
      </c>
      <c r="G1679" s="18" t="str">
        <f>IF($F1679="","",IFERROR(INDEX(Items!$B$5:$B$597,MATCH($F1679,Items!$A$5:$A$597,0)),"⚠ not in Items"))</f>
        <v>Gloves</v>
      </c>
      <c r="H1679" s="19" t="str">
        <f>IF($F1679="","",IFERROR(INDEX(Items!$C$5:$C$597,MATCH($F1679,Items!$A$5:$A$597,0)),""))</f>
        <v>Medium</v>
      </c>
      <c r="I1679" s="23">
        <f>IF($F1679="","",IFERROR(INDEX(Items!$E$5:$E$597,MATCH($F1679,Items!$A$5:$A$597,0)),""))</f>
        <v>500</v>
      </c>
      <c r="J1679" s="115">
        <f>IF(tblIssues[[#This Row],[Qty Override]]&lt;&gt;"",tblIssues[[#This Row],[Qty Override]],IF(tblIssues[[#This Row],[Standard Issue]]="","",tblIssues[[#This Row],[Standard Issue]]))</f>
        <v>500</v>
      </c>
      <c r="K1679" s="20">
        <f>IF($F1679="","",IFERROR(INDEX(Items!$D$5:$D$597,MATCH($F1679,Items!$A$5:$A$597,0)),""))</f>
        <v>5.5E-2</v>
      </c>
      <c r="L1679" s="21">
        <f t="shared" si="294"/>
        <v>27.5</v>
      </c>
      <c r="M1679" s="9" t="str">
        <f t="shared" si="292"/>
        <v>ZIM604151579</v>
      </c>
      <c r="N1679" s="24">
        <f>IF($A1679="","",WORKDAY($A1679,Settings!$C$9,HolidayDates))</f>
        <v>46219</v>
      </c>
      <c r="O1679" s="24">
        <f>IF($N1679="","",WORKDAY($N1679,Settings!$C$10,HolidayDates))</f>
        <v>46259</v>
      </c>
      <c r="P1679" s="10" t="s">
        <v>501</v>
      </c>
      <c r="Q1679" s="52" t="str">
        <f t="shared" si="295"/>
        <v>Collected</v>
      </c>
      <c r="R1679" s="55" t="str">
        <f t="shared" si="296"/>
        <v>2026-07</v>
      </c>
      <c r="S1679" s="55">
        <f>IF(OR($B1679="",$F1679="",$R1679=""),"",SUMIFS(tblIssues[Qty Issued],tblIssues[Staff ID],$B1679,tblIssues[Item Name],$F1679,tblIssues[Month],$R1679))</f>
        <v>500</v>
      </c>
      <c r="T1679" s="56">
        <f>IF($I1679="","",$I1679*Settings!$C$11)</f>
        <v>500</v>
      </c>
      <c r="U1679" s="57" t="str">
        <f t="shared" si="293"/>
        <v>OK</v>
      </c>
      <c r="V1679" s="55" t="str">
        <f t="shared" si="297"/>
        <v/>
      </c>
      <c r="W1679" s="55" t="str">
        <f>IF($V1679="","",IF(COUNTIF($V$5:$V1679,$V1679)=1,1,""))</f>
        <v/>
      </c>
      <c r="X1679" s="58" t="str">
        <f>IF($W1679="","",MAX($X$4:X1678)+1)</f>
        <v/>
      </c>
      <c r="Y1679" s="62"/>
      <c r="Z1679" s="62"/>
      <c r="AA1679" s="64" t="str">
        <f>IF($C1679="","",IFERROR(INDEX('Staff Directory'!$E$5:$E$594,MATCH($C1679,'Staff Directory'!$B$5:$B$594,0)),""))</f>
        <v>firstname166.lastname166@example.com</v>
      </c>
      <c r="AB1679" s="64" t="str">
        <f>IF($C1679="","",IF(ISNUMBER(SEARCH($D1679,Settings!$C$15)),"Pickup","Dispatch"))</f>
        <v>Pickup</v>
      </c>
      <c r="AC1679" s="64" t="str">
        <f t="shared" si="298"/>
        <v>Supply order ready for pickup</v>
      </c>
      <c r="AD1679" s="64" t="str">
        <f t="shared" si="289"/>
        <v>Dear PSW,
Your order is ready for pickup from Sample Branch, Wed-Fri 9am-4pm.</v>
      </c>
      <c r="AE1679" s="64" t="str">
        <f t="shared" si="290"/>
        <v>mailto:firstname166.lastname166@example.com?subject=Supply%20order%20ready%20for%20pickup&amp;body=Dear%20PSW%2C%0A%0AYour%20order%20is%20ready%20for%20pickup%20from%20Sample%20Branch%2C%20Wed-Fri%209am-4pm.</v>
      </c>
      <c r="AF1679" s="89" t="str">
        <f t="shared" si="299"/>
        <v>Draft email</v>
      </c>
      <c r="AG1679" s="64" t="str">
        <f>IF($C1679="","",IFERROR(INDEX('Staff Directory'!$K$595:$K$599,MATCH($C1679,'Staff Directory'!$B$5:$B$599,0)),$D1679))</f>
        <v>PSW</v>
      </c>
      <c r="AH1679" t="str">
        <f>IF($C1679="","",IFERROR(INDEX('Staff Directory'!$I$595:$I$599,MATCH($C1679,'Staff Directory'!$B$5:$B$599,0))&amp;" "&amp;INDEX('Staff Directory'!$J$595:$J$599,MATCH($C1679,'Staff Directory'!$B$5:$B$599,0)),$AG1679))</f>
        <v>PSW</v>
      </c>
      <c r="AI1679" s="102"/>
      <c r="AJ1679" s="101">
        <f>IF($F1679="","",SUMIFS($J$5:$J1679,$F$5:$F1679,$F1679))</f>
        <v>100500</v>
      </c>
      <c r="AK1679" s="101">
        <f t="shared" si="291"/>
        <v>100001</v>
      </c>
      <c r="AL1679" s="66" t="str" cm="1">
        <f t="array" ref="AL1679">IF($F1679="","",IFERROR(INDEX('Lot Balance'!$B$5:$B$500,MATCH(1,INDEX(('Lot Balance'!$A$5:$A$500=$F1679)*('Lot Balance'!$K$5:$K$500&lt;$AK1679)*('Lot Balance'!$K$5:$K$500+'Lot Balance'!$D$5:$D$500&gt;=$AK1679),0),0)),""))</f>
        <v>ZIM604151579</v>
      </c>
      <c r="AM1679" s="66" t="str" cm="1">
        <f t="array" ref="AM1679">IF($F1679="","",IFERROR(INDEX('Lot Balance'!$B$5:$B$500,MATCH(1,INDEX(('Lot Balance'!$A$5:$A$500=$F1679)*('Lot Balance'!$K$5:$K$500&lt;$AJ1679)*('Lot Balance'!$K$5:$K$500+'Lot Balance'!$D$5:$D$500&gt;=$AJ1679),0),0)),""))</f>
        <v>ZIM604151579</v>
      </c>
      <c r="AN1679" s="66" t="str">
        <f>IF($F1679="","",IF($AI1679&lt;&gt;"",IF(COUNTIFS('Lot Balance'!$A$5:$A$500,$F1679,'Lot Balance'!$B$5:$B$500,$AI1679)=0,"⚠ override is not a lot of this item",IF($AI1679=$AL1679,"Override = FEFO","Override - FEFO says "&amp;$AL1679)),IF($AL1679="","⚠ no receipt on file for this item",IF($AM1679&lt;&gt;$AL1679,"FEFO auto - split, also "&amp;$AM1679,"FEFO auto"))))</f>
        <v>FEFO auto</v>
      </c>
      <c r="AO1679" s="114"/>
    </row>
    <row r="1680" spans="1:41" x14ac:dyDescent="0.35">
      <c r="A1680" s="74">
        <v>46211</v>
      </c>
      <c r="B1680" s="18" t="str">
        <f>IF($C1680="","",IFERROR(INDEX('Staff Directory'!$A$5:$A$594,MATCH($C1680,'Staff Directory'!$B$5:$B$594,0)),"⚠ unknown staff"))</f>
        <v>PSW-104-A6</v>
      </c>
      <c r="C1680" s="49" t="s">
        <v>1082</v>
      </c>
      <c r="D1680" s="19" t="str">
        <f>IF($B1680="","",IFERROR(INDEX('Staff Directory'!$C$5:$C$594,MATCH($B1680,'Staff Directory'!$A$5:$A$594,0)),""))</f>
        <v>PSW</v>
      </c>
      <c r="E1680" s="19" t="str">
        <f>IF($B1680="","",IFERROR(INDEX('Staff Directory'!$D$5:$D$594,MATCH($B1680,'Staff Directory'!$A$5:$A$594,0)),""))</f>
        <v>A6</v>
      </c>
      <c r="F1680" s="9" t="s">
        <v>191</v>
      </c>
      <c r="G1680" s="18" t="str">
        <f>IF($F1680="","",IFERROR(INDEX(Items!$B$5:$B$597,MATCH($F1680,Items!$A$5:$A$597,0)),"⚠ not in Items"))</f>
        <v>Sanitizer</v>
      </c>
      <c r="H1680" s="19" t="str">
        <f>IF($F1680="","",IFERROR(INDEX(Items!$C$5:$C$597,MATCH($F1680,Items!$A$5:$A$597,0)),""))</f>
        <v>236 ML</v>
      </c>
      <c r="I1680" s="23">
        <f>IF($F1680="","",IFERROR(INDEX(Items!$E$5:$E$597,MATCH($F1680,Items!$A$5:$A$597,0)),""))</f>
        <v>1</v>
      </c>
      <c r="J1680" s="115">
        <f>IF(tblIssues[[#This Row],[Qty Override]]&lt;&gt;"",tblIssues[[#This Row],[Qty Override]],IF(tblIssues[[#This Row],[Standard Issue]]="","",tblIssues[[#This Row],[Standard Issue]]))</f>
        <v>1</v>
      </c>
      <c r="K1680" s="20">
        <f>IF($F1680="","",IFERROR(INDEX(Items!$D$5:$D$597,MATCH($F1680,Items!$A$5:$A$597,0)),""))</f>
        <v>1E-4</v>
      </c>
      <c r="L1680" s="21">
        <f t="shared" si="294"/>
        <v>1E-4</v>
      </c>
      <c r="M1680" s="9" t="str">
        <f t="shared" si="292"/>
        <v/>
      </c>
      <c r="N1680" s="24">
        <f>IF($A1680="","",WORKDAY($A1680,Settings!$C$9,HolidayDates))</f>
        <v>46219</v>
      </c>
      <c r="O1680" s="24">
        <f>IF($N1680="","",WORKDAY($N1680,Settings!$C$10,HolidayDates))</f>
        <v>46259</v>
      </c>
      <c r="P1680" s="10" t="s">
        <v>501</v>
      </c>
      <c r="Q1680" s="52" t="str">
        <f t="shared" si="295"/>
        <v>Collected</v>
      </c>
      <c r="R1680" s="55" t="str">
        <f t="shared" si="296"/>
        <v>2026-07</v>
      </c>
      <c r="S1680" s="55">
        <f>IF(OR($B1680="",$F1680="",$R1680=""),"",SUMIFS(tblIssues[Qty Issued],tblIssues[Staff ID],$B1680,tblIssues[Item Name],$F1680,tblIssues[Month],$R1680))</f>
        <v>1</v>
      </c>
      <c r="T1680" s="56">
        <f>IF($I1680="","",$I1680*Settings!$C$11)</f>
        <v>1</v>
      </c>
      <c r="U1680" s="57" t="str">
        <f t="shared" si="293"/>
        <v>OK</v>
      </c>
      <c r="V1680" s="55" t="str">
        <f t="shared" si="297"/>
        <v/>
      </c>
      <c r="W1680" s="55" t="str">
        <f>IF($V1680="","",IF(COUNTIF($V$5:$V1680,$V1680)=1,1,""))</f>
        <v/>
      </c>
      <c r="X1680" s="58" t="str">
        <f>IF($W1680="","",MAX($X$4:X1679)+1)</f>
        <v/>
      </c>
      <c r="Y1680" s="62"/>
      <c r="Z1680" s="62"/>
      <c r="AA1680" s="64" t="str">
        <f>IF($C1680="","",IFERROR(INDEX('Staff Directory'!$E$5:$E$594,MATCH($C1680,'Staff Directory'!$B$5:$B$594,0)),""))</f>
        <v>firstname166.lastname166@example.com</v>
      </c>
      <c r="AB1680" s="64" t="str">
        <f>IF($C1680="","",IF(ISNUMBER(SEARCH($D1680,Settings!$C$15)),"Pickup","Dispatch"))</f>
        <v>Pickup</v>
      </c>
      <c r="AC1680" s="64" t="str">
        <f t="shared" si="298"/>
        <v>Supply order ready for pickup</v>
      </c>
      <c r="AD1680" s="64" t="str">
        <f t="shared" si="289"/>
        <v>Dear PSW,
Your order is ready for pickup from Sample Branch, Wed-Fri 9am-4pm.</v>
      </c>
      <c r="AE1680" s="64" t="str">
        <f t="shared" si="290"/>
        <v>mailto:firstname166.lastname166@example.com?subject=Supply%20order%20ready%20for%20pickup&amp;body=Dear%20PSW%2C%0A%0AYour%20order%20is%20ready%20for%20pickup%20from%20Sample%20Branch%2C%20Wed-Fri%209am-4pm.</v>
      </c>
      <c r="AF1680" s="89" t="str">
        <f t="shared" si="299"/>
        <v>Draft email</v>
      </c>
      <c r="AG1680" s="64" t="str">
        <f>IF($C1680="","",IFERROR(INDEX('Staff Directory'!$K$595:$K$599,MATCH($C1680,'Staff Directory'!$B$5:$B$599,0)),$D1680))</f>
        <v>PSW</v>
      </c>
      <c r="AH1680" t="str">
        <f>IF($C1680="","",IFERROR(INDEX('Staff Directory'!$I$595:$I$599,MATCH($C1680,'Staff Directory'!$B$5:$B$599,0))&amp;" "&amp;INDEX('Staff Directory'!$J$595:$J$599,MATCH($C1680,'Staff Directory'!$B$5:$B$599,0)),$AG1680))</f>
        <v>PSW</v>
      </c>
      <c r="AI1680" s="102"/>
      <c r="AJ1680" s="101">
        <f>IF($F1680="","",SUMIFS($J$5:$J1680,$F$5:$F1680,$F1680))</f>
        <v>215</v>
      </c>
      <c r="AK1680" s="101">
        <f t="shared" si="291"/>
        <v>215</v>
      </c>
      <c r="AL1680" s="66" t="str" cm="1">
        <f t="array" ref="AL1680">IF($F1680="","",IFERROR(INDEX('Lot Balance'!$B$5:$B$500,MATCH(1,INDEX(('Lot Balance'!$A$5:$A$500=$F1680)*('Lot Balance'!$K$5:$K$500&lt;$AK1680)*('Lot Balance'!$K$5:$K$500+'Lot Balance'!$D$5:$D$500&gt;=$AK1680),0),0)),""))</f>
        <v/>
      </c>
      <c r="AM1680" s="66" t="str" cm="1">
        <f t="array" ref="AM1680">IF($F1680="","",IFERROR(INDEX('Lot Balance'!$B$5:$B$500,MATCH(1,INDEX(('Lot Balance'!$A$5:$A$500=$F1680)*('Lot Balance'!$K$5:$K$500&lt;$AJ1680)*('Lot Balance'!$K$5:$K$500+'Lot Balance'!$D$5:$D$500&gt;=$AJ1680),0),0)),""))</f>
        <v/>
      </c>
      <c r="AN1680" s="66" t="str">
        <f>IF($F1680="","",IF($AI1680&lt;&gt;"",IF(COUNTIFS('Lot Balance'!$A$5:$A$500,$F1680,'Lot Balance'!$B$5:$B$500,$AI1680)=0,"⚠ override is not a lot of this item",IF($AI1680=$AL1680,"Override = FEFO","Override - FEFO says "&amp;$AL1680)),IF($AL1680="","⚠ no receipt on file for this item",IF($AM1680&lt;&gt;$AL1680,"FEFO auto - split, also "&amp;$AM1680,"FEFO auto"))))</f>
        <v>⚠ no receipt on file for this item</v>
      </c>
      <c r="AO1680" s="114"/>
    </row>
    <row r="1681" spans="1:41" x14ac:dyDescent="0.35">
      <c r="A1681" s="74">
        <v>46211</v>
      </c>
      <c r="B1681" s="18" t="str">
        <f>IF($C1681="","",IFERROR(INDEX('Staff Directory'!$A$5:$A$594,MATCH($C1681,'Staff Directory'!$B$5:$B$594,0)),"⚠ unknown staff"))</f>
        <v>PSW-104-A6</v>
      </c>
      <c r="C1681" s="49" t="s">
        <v>1082</v>
      </c>
      <c r="D1681" s="19" t="str">
        <f>IF($B1681="","",IFERROR(INDEX('Staff Directory'!$C$5:$C$594,MATCH($B1681,'Staff Directory'!$A$5:$A$594,0)),""))</f>
        <v>PSW</v>
      </c>
      <c r="E1681" s="19" t="str">
        <f>IF($B1681="","",IFERROR(INDEX('Staff Directory'!$D$5:$D$594,MATCH($B1681,'Staff Directory'!$A$5:$A$594,0)),""))</f>
        <v>A6</v>
      </c>
      <c r="F1681" s="9" t="s">
        <v>115</v>
      </c>
      <c r="G1681" s="18" t="str">
        <f>IF($F1681="","",IFERROR(INDEX(Items!$B$5:$B$597,MATCH($F1681,Items!$A$5:$A$597,0)),"⚠ not in Items"))</f>
        <v>Wipes</v>
      </c>
      <c r="H1681" s="19">
        <f>IF($F1681="","",IFERROR(INDEX(Items!$C$5:$C$597,MATCH($F1681,Items!$A$5:$A$597,0)),""))</f>
        <v>80</v>
      </c>
      <c r="I1681" s="23">
        <f>IF($F1681="","",IFERROR(INDEX(Items!$E$5:$E$597,MATCH($F1681,Items!$A$5:$A$597,0)),""))</f>
        <v>80</v>
      </c>
      <c r="J1681" s="115">
        <f>IF(tblIssues[[#This Row],[Qty Override]]&lt;&gt;"",tblIssues[[#This Row],[Qty Override]],IF(tblIssues[[#This Row],[Standard Issue]]="","",tblIssues[[#This Row],[Standard Issue]]))</f>
        <v>80</v>
      </c>
      <c r="K1681" s="20">
        <f>IF($F1681="","",IFERROR(INDEX(Items!$D$5:$D$597,MATCH($F1681,Items!$A$5:$A$597,0)),""))</f>
        <v>0.1</v>
      </c>
      <c r="L1681" s="21">
        <f t="shared" si="294"/>
        <v>8</v>
      </c>
      <c r="M1681" s="9" t="str">
        <f t="shared" si="292"/>
        <v>LYSL500290</v>
      </c>
      <c r="N1681" s="24">
        <f>IF($A1681="","",WORKDAY($A1681,Settings!$C$9,HolidayDates))</f>
        <v>46219</v>
      </c>
      <c r="O1681" s="24">
        <f>IF($N1681="","",WORKDAY($N1681,Settings!$C$10,HolidayDates))</f>
        <v>46259</v>
      </c>
      <c r="P1681" s="10" t="s">
        <v>501</v>
      </c>
      <c r="Q1681" s="52" t="str">
        <f t="shared" si="295"/>
        <v>Collected</v>
      </c>
      <c r="R1681" s="55" t="str">
        <f t="shared" si="296"/>
        <v>2026-07</v>
      </c>
      <c r="S1681" s="55">
        <f>IF(OR($B1681="",$F1681="",$R1681=""),"",SUMIFS(tblIssues[Qty Issued],tblIssues[Staff ID],$B1681,tblIssues[Item Name],$F1681,tblIssues[Month],$R1681))</f>
        <v>80</v>
      </c>
      <c r="T1681" s="56">
        <f>IF($I1681="","",$I1681*Settings!$C$11)</f>
        <v>80</v>
      </c>
      <c r="U1681" s="57" t="str">
        <f t="shared" si="293"/>
        <v>OK</v>
      </c>
      <c r="V1681" s="55" t="str">
        <f t="shared" si="297"/>
        <v/>
      </c>
      <c r="W1681" s="55" t="str">
        <f>IF($V1681="","",IF(COUNTIF($V$5:$V1681,$V1681)=1,1,""))</f>
        <v/>
      </c>
      <c r="X1681" s="58" t="str">
        <f>IF($W1681="","",MAX($X$4:X1680)+1)</f>
        <v/>
      </c>
      <c r="Y1681" s="62"/>
      <c r="Z1681" s="62"/>
      <c r="AA1681" s="64" t="str">
        <f>IF($C1681="","",IFERROR(INDEX('Staff Directory'!$E$5:$E$594,MATCH($C1681,'Staff Directory'!$B$5:$B$594,0)),""))</f>
        <v>firstname166.lastname166@example.com</v>
      </c>
      <c r="AB1681" s="64" t="str">
        <f>IF($C1681="","",IF(ISNUMBER(SEARCH($D1681,Settings!$C$15)),"Pickup","Dispatch"))</f>
        <v>Pickup</v>
      </c>
      <c r="AC1681" s="64" t="str">
        <f t="shared" si="298"/>
        <v>Supply order ready for pickup</v>
      </c>
      <c r="AD1681" s="64" t="str">
        <f t="shared" si="289"/>
        <v>Dear PSW,
Your order is ready for pickup from Sample Branch, Wed-Fri 9am-4pm.</v>
      </c>
      <c r="AE1681" s="64" t="str">
        <f t="shared" si="290"/>
        <v>mailto:firstname166.lastname166@example.com?subject=Supply%20order%20ready%20for%20pickup&amp;body=Dear%20PSW%2C%0A%0AYour%20order%20is%20ready%20for%20pickup%20from%20Sample%20Branch%2C%20Wed-Fri%209am-4pm.</v>
      </c>
      <c r="AF1681" s="89" t="str">
        <f t="shared" si="299"/>
        <v>Draft email</v>
      </c>
      <c r="AG1681" s="64" t="str">
        <f>IF($C1681="","",IFERROR(INDEX('Staff Directory'!$K$595:$K$599,MATCH($C1681,'Staff Directory'!$B$5:$B$599,0)),$D1681))</f>
        <v>PSW</v>
      </c>
      <c r="AH1681" t="str">
        <f>IF($C1681="","",IFERROR(INDEX('Staff Directory'!$I$595:$I$599,MATCH($C1681,'Staff Directory'!$B$5:$B$599,0))&amp;" "&amp;INDEX('Staff Directory'!$J$595:$J$599,MATCH($C1681,'Staff Directory'!$B$5:$B$599,0)),$AG1681))</f>
        <v>PSW</v>
      </c>
      <c r="AI1681" s="102"/>
      <c r="AJ1681" s="101">
        <f>IF($F1681="","",SUMIFS($J$5:$J1681,$F$5:$F1681,$F1681))</f>
        <v>22400</v>
      </c>
      <c r="AK1681" s="101">
        <f t="shared" si="291"/>
        <v>22321</v>
      </c>
      <c r="AL1681" s="66" t="str" cm="1">
        <f t="array" ref="AL1681">IF($F1681="","",IFERROR(INDEX('Lot Balance'!$B$5:$B$500,MATCH(1,INDEX(('Lot Balance'!$A$5:$A$500=$F1681)*('Lot Balance'!$K$5:$K$500&lt;$AK1681)*('Lot Balance'!$K$5:$K$500+'Lot Balance'!$D$5:$D$500&gt;=$AK1681),0),0)),""))</f>
        <v>LYSL500290</v>
      </c>
      <c r="AM1681" s="66" t="str" cm="1">
        <f t="array" ref="AM1681">IF($F1681="","",IFERROR(INDEX('Lot Balance'!$B$5:$B$500,MATCH(1,INDEX(('Lot Balance'!$A$5:$A$500=$F1681)*('Lot Balance'!$K$5:$K$500&lt;$AJ1681)*('Lot Balance'!$K$5:$K$500+'Lot Balance'!$D$5:$D$500&gt;=$AJ1681),0),0)),""))</f>
        <v>LYSL500290</v>
      </c>
      <c r="AN1681" s="66" t="str">
        <f>IF($F1681="","",IF($AI1681&lt;&gt;"",IF(COUNTIFS('Lot Balance'!$A$5:$A$500,$F1681,'Lot Balance'!$B$5:$B$500,$AI1681)=0,"⚠ override is not a lot of this item",IF($AI1681=$AL1681,"Override = FEFO","Override - FEFO says "&amp;$AL1681)),IF($AL1681="","⚠ no receipt on file for this item",IF($AM1681&lt;&gt;$AL1681,"FEFO auto - split, also "&amp;$AM1681,"FEFO auto"))))</f>
        <v>FEFO auto</v>
      </c>
      <c r="AO1681" s="114"/>
    </row>
    <row r="1682" spans="1:41" x14ac:dyDescent="0.35">
      <c r="A1682" s="74">
        <v>46211</v>
      </c>
      <c r="B1682" s="18" t="str">
        <f>IF($C1682="","",IFERROR(INDEX('Staff Directory'!$A$5:$A$594,MATCH($C1682,'Staff Directory'!$B$5:$B$594,0)),"⚠ unknown staff"))</f>
        <v>PSW-104-A6</v>
      </c>
      <c r="C1682" s="49" t="s">
        <v>1082</v>
      </c>
      <c r="D1682" s="19" t="str">
        <f>IF($B1682="","",IFERROR(INDEX('Staff Directory'!$C$5:$C$594,MATCH($B1682,'Staff Directory'!$A$5:$A$594,0)),""))</f>
        <v>PSW</v>
      </c>
      <c r="E1682" s="19" t="str">
        <f>IF($B1682="","",IFERROR(INDEX('Staff Directory'!$D$5:$D$594,MATCH($B1682,'Staff Directory'!$A$5:$A$594,0)),""))</f>
        <v>A6</v>
      </c>
      <c r="F1682" s="9" t="s">
        <v>156</v>
      </c>
      <c r="G1682" s="18" t="str">
        <f>IF($F1682="","",IFERROR(INDEX(Items!$B$5:$B$597,MATCH($F1682,Items!$A$5:$A$597,0)),"⚠ not in Items"))</f>
        <v>Masks</v>
      </c>
      <c r="H1682" s="19" t="str">
        <f>IF($F1682="","",IFERROR(INDEX(Items!$C$5:$C$597,MATCH($F1682,Items!$A$5:$A$597,0)),""))</f>
        <v>One Size</v>
      </c>
      <c r="I1682" s="23">
        <f>IF($F1682="","",IFERROR(INDEX(Items!$E$5:$E$597,MATCH($F1682,Items!$A$5:$A$597,0)),""))</f>
        <v>50</v>
      </c>
      <c r="J1682" s="115">
        <f>IF(tblIssues[[#This Row],[Qty Override]]&lt;&gt;"",tblIssues[[#This Row],[Qty Override]],IF(tblIssues[[#This Row],[Standard Issue]]="","",tblIssues[[#This Row],[Standard Issue]]))</f>
        <v>50</v>
      </c>
      <c r="K1682" s="20">
        <f>IF($F1682="","",IFERROR(INDEX(Items!$D$5:$D$597,MATCH($F1682,Items!$A$5:$A$597,0)),""))</f>
        <v>0.25</v>
      </c>
      <c r="L1682" s="21">
        <f t="shared" si="294"/>
        <v>12.5</v>
      </c>
      <c r="M1682" s="9" t="str">
        <f t="shared" si="292"/>
        <v>24HA2050A7396</v>
      </c>
      <c r="N1682" s="24">
        <f>IF($A1682="","",WORKDAY($A1682,Settings!$C$9,HolidayDates))</f>
        <v>46219</v>
      </c>
      <c r="O1682" s="24">
        <f>IF($N1682="","",WORKDAY($N1682,Settings!$C$10,HolidayDates))</f>
        <v>46259</v>
      </c>
      <c r="P1682" s="10" t="s">
        <v>501</v>
      </c>
      <c r="Q1682" s="52" t="str">
        <f t="shared" si="295"/>
        <v>Collected</v>
      </c>
      <c r="R1682" s="55" t="str">
        <f t="shared" si="296"/>
        <v>2026-07</v>
      </c>
      <c r="S1682" s="55">
        <f>IF(OR($B1682="",$F1682="",$R1682=""),"",SUMIFS(tblIssues[Qty Issued],tblIssues[Staff ID],$B1682,tblIssues[Item Name],$F1682,tblIssues[Month],$R1682))</f>
        <v>50</v>
      </c>
      <c r="T1682" s="56">
        <f>IF($I1682="","",$I1682*Settings!$C$11)</f>
        <v>50</v>
      </c>
      <c r="U1682" s="57" t="str">
        <f t="shared" si="293"/>
        <v>OK</v>
      </c>
      <c r="V1682" s="55" t="str">
        <f t="shared" si="297"/>
        <v/>
      </c>
      <c r="W1682" s="55" t="str">
        <f>IF($V1682="","",IF(COUNTIF($V$5:$V1682,$V1682)=1,1,""))</f>
        <v/>
      </c>
      <c r="X1682" s="58" t="str">
        <f>IF($W1682="","",MAX($X$4:X1681)+1)</f>
        <v/>
      </c>
      <c r="Y1682" s="62"/>
      <c r="Z1682" s="62"/>
      <c r="AA1682" s="64" t="str">
        <f>IF($C1682="","",IFERROR(INDEX('Staff Directory'!$E$5:$E$594,MATCH($C1682,'Staff Directory'!$B$5:$B$594,0)),""))</f>
        <v>firstname166.lastname166@example.com</v>
      </c>
      <c r="AB1682" s="64" t="str">
        <f>IF($C1682="","",IF(ISNUMBER(SEARCH($D1682,Settings!$C$15)),"Pickup","Dispatch"))</f>
        <v>Pickup</v>
      </c>
      <c r="AC1682" s="64" t="str">
        <f t="shared" si="298"/>
        <v>Supply order ready for pickup</v>
      </c>
      <c r="AD1682" s="64" t="str">
        <f t="shared" si="289"/>
        <v>Dear PSW,
Your order is ready for pickup from Sample Branch, Wed-Fri 9am-4pm.</v>
      </c>
      <c r="AE1682" s="64" t="str">
        <f t="shared" si="290"/>
        <v>mailto:firstname166.lastname166@example.com?subject=Supply%20order%20ready%20for%20pickup&amp;body=Dear%20PSW%2C%0A%0AYour%20order%20is%20ready%20for%20pickup%20from%20Sample%20Branch%2C%20Wed-Fri%209am-4pm.</v>
      </c>
      <c r="AF1682" s="89" t="str">
        <f t="shared" si="299"/>
        <v>Draft email</v>
      </c>
      <c r="AG1682" s="64" t="str">
        <f>IF($C1682="","",IFERROR(INDEX('Staff Directory'!$K$595:$K$599,MATCH($C1682,'Staff Directory'!$B$5:$B$599,0)),$D1682))</f>
        <v>PSW</v>
      </c>
      <c r="AH1682" t="str">
        <f>IF($C1682="","",IFERROR(INDEX('Staff Directory'!$I$595:$I$599,MATCH($C1682,'Staff Directory'!$B$5:$B$599,0))&amp;" "&amp;INDEX('Staff Directory'!$J$595:$J$599,MATCH($C1682,'Staff Directory'!$B$5:$B$599,0)),$AG1682))</f>
        <v>PSW</v>
      </c>
      <c r="AI1682" s="102"/>
      <c r="AJ1682" s="101">
        <f>IF($F1682="","",SUMIFS($J$5:$J1682,$F$5:$F1682,$F1682))</f>
        <v>13700</v>
      </c>
      <c r="AK1682" s="101">
        <f t="shared" si="291"/>
        <v>13651</v>
      </c>
      <c r="AL1682" s="66" t="str" cm="1">
        <f t="array" ref="AL1682">IF($F1682="","",IFERROR(INDEX('Lot Balance'!$B$5:$B$500,MATCH(1,INDEX(('Lot Balance'!$A$5:$A$500=$F1682)*('Lot Balance'!$K$5:$K$500&lt;$AK1682)*('Lot Balance'!$K$5:$K$500+'Lot Balance'!$D$5:$D$500&gt;=$AK1682),0),0)),""))</f>
        <v>24HA2050A7396</v>
      </c>
      <c r="AM1682" s="66" t="str" cm="1">
        <f t="array" ref="AM1682">IF($F1682="","",IFERROR(INDEX('Lot Balance'!$B$5:$B$500,MATCH(1,INDEX(('Lot Balance'!$A$5:$A$500=$F1682)*('Lot Balance'!$K$5:$K$500&lt;$AJ1682)*('Lot Balance'!$K$5:$K$500+'Lot Balance'!$D$5:$D$500&gt;=$AJ1682),0),0)),""))</f>
        <v>24HA2050A7396</v>
      </c>
      <c r="AN1682" s="66" t="str">
        <f>IF($F1682="","",IF($AI1682&lt;&gt;"",IF(COUNTIFS('Lot Balance'!$A$5:$A$500,$F1682,'Lot Balance'!$B$5:$B$500,$AI1682)=0,"⚠ override is not a lot of this item",IF($AI1682=$AL1682,"Override = FEFO","Override - FEFO says "&amp;$AL1682)),IF($AL1682="","⚠ no receipt on file for this item",IF($AM1682&lt;&gt;$AL1682,"FEFO auto - split, also "&amp;$AM1682,"FEFO auto"))))</f>
        <v>FEFO auto</v>
      </c>
      <c r="AO1682" s="114"/>
    </row>
    <row r="1683" spans="1:41" x14ac:dyDescent="0.35">
      <c r="A1683" s="74">
        <v>46211</v>
      </c>
      <c r="B1683" s="18" t="str">
        <f>IF($C1683="","",IFERROR(INDEX('Staff Directory'!$A$5:$A$594,MATCH($C1683,'Staff Directory'!$B$5:$B$594,0)),"⚠ unknown staff"))</f>
        <v>PSW-070-A6</v>
      </c>
      <c r="C1683" s="49" t="s">
        <v>1046</v>
      </c>
      <c r="D1683" s="19" t="str">
        <f>IF($B1683="","",IFERROR(INDEX('Staff Directory'!$C$5:$C$594,MATCH($B1683,'Staff Directory'!$A$5:$A$594,0)),""))</f>
        <v>PSW</v>
      </c>
      <c r="E1683" s="19" t="str">
        <f>IF($B1683="","",IFERROR(INDEX('Staff Directory'!$D$5:$D$594,MATCH($B1683,'Staff Directory'!$A$5:$A$594,0)),""))</f>
        <v>A6</v>
      </c>
      <c r="F1683" s="9" t="s">
        <v>129</v>
      </c>
      <c r="G1683" s="18" t="str">
        <f>IF($F1683="","",IFERROR(INDEX(Items!$B$5:$B$597,MATCH($F1683,Items!$A$5:$A$597,0)),"⚠ not in Items"))</f>
        <v>Gloves</v>
      </c>
      <c r="H1683" s="19" t="str">
        <f>IF($F1683="","",IFERROR(INDEX(Items!$C$5:$C$597,MATCH($F1683,Items!$A$5:$A$597,0)),""))</f>
        <v>Small</v>
      </c>
      <c r="I1683" s="23">
        <f>IF($F1683="","",IFERROR(INDEX(Items!$E$5:$E$597,MATCH($F1683,Items!$A$5:$A$597,0)),""))</f>
        <v>500</v>
      </c>
      <c r="J1683" s="115">
        <f>IF(tblIssues[[#This Row],[Qty Override]]&lt;&gt;"",tblIssues[[#This Row],[Qty Override]],IF(tblIssues[[#This Row],[Standard Issue]]="","",tblIssues[[#This Row],[Standard Issue]]))</f>
        <v>500</v>
      </c>
      <c r="K1683" s="20">
        <f>IF($F1683="","",IFERROR(INDEX(Items!$D$5:$D$597,MATCH($F1683,Items!$A$5:$A$597,0)),""))</f>
        <v>5.5E-2</v>
      </c>
      <c r="L1683" s="21">
        <f t="shared" si="294"/>
        <v>27.5</v>
      </c>
      <c r="M1683" s="9" t="str">
        <f t="shared" si="292"/>
        <v>ZIM601144366-0</v>
      </c>
      <c r="N1683" s="24">
        <f>IF($A1683="","",WORKDAY($A1683,Settings!$C$9,HolidayDates))</f>
        <v>46219</v>
      </c>
      <c r="O1683" s="24">
        <f>IF($N1683="","",WORKDAY($N1683,Settings!$C$10,HolidayDates))</f>
        <v>46259</v>
      </c>
      <c r="P1683" s="10" t="s">
        <v>501</v>
      </c>
      <c r="Q1683" s="52" t="str">
        <f t="shared" si="295"/>
        <v>Collected</v>
      </c>
      <c r="R1683" s="55" t="str">
        <f t="shared" si="296"/>
        <v>2026-07</v>
      </c>
      <c r="S1683" s="55">
        <f>IF(OR($B1683="",$F1683="",$R1683=""),"",SUMIFS(tblIssues[Qty Issued],tblIssues[Staff ID],$B1683,tblIssues[Item Name],$F1683,tblIssues[Month],$R1683))</f>
        <v>500</v>
      </c>
      <c r="T1683" s="56">
        <f>IF($I1683="","",$I1683*Settings!$C$11)</f>
        <v>500</v>
      </c>
      <c r="U1683" s="57" t="str">
        <f t="shared" si="293"/>
        <v>OK</v>
      </c>
      <c r="V1683" s="55" t="str">
        <f t="shared" si="297"/>
        <v/>
      </c>
      <c r="W1683" s="55" t="str">
        <f>IF($V1683="","",IF(COUNTIF($V$5:$V1683,$V1683)=1,1,""))</f>
        <v/>
      </c>
      <c r="X1683" s="58" t="str">
        <f>IF($W1683="","",MAX($X$4:X1682)+1)</f>
        <v/>
      </c>
      <c r="Y1683" s="62"/>
      <c r="Z1683" s="62"/>
      <c r="AA1683" s="64" t="str">
        <f>IF($C1683="","",IFERROR(INDEX('Staff Directory'!$E$5:$E$594,MATCH($C1683,'Staff Directory'!$B$5:$B$594,0)),""))</f>
        <v>firstname130.lastname130@example.com</v>
      </c>
      <c r="AB1683" s="64" t="str">
        <f>IF($C1683="","",IF(ISNUMBER(SEARCH($D1683,Settings!$C$15)),"Pickup","Dispatch"))</f>
        <v>Pickup</v>
      </c>
      <c r="AC1683" s="64" t="str">
        <f t="shared" si="298"/>
        <v>Supply order ready for pickup</v>
      </c>
      <c r="AD1683" s="64" t="str">
        <f t="shared" si="289"/>
        <v>Dear PSW,
Your order is ready for pickup from Sample Branch, Wed-Fri 9am-4pm.</v>
      </c>
      <c r="AE1683" s="64" t="str">
        <f t="shared" si="290"/>
        <v>mailto:firstname130.lastname130@example.com?subject=Supply%20order%20ready%20for%20pickup&amp;body=Dear%20PSW%2C%0A%0AYour%20order%20is%20ready%20for%20pickup%20from%20Sample%20Branch%2C%20Wed-Fri%209am-4pm.</v>
      </c>
      <c r="AF1683" s="89" t="str">
        <f t="shared" si="299"/>
        <v>Draft email</v>
      </c>
      <c r="AG1683" s="64" t="str">
        <f>IF($C1683="","",IFERROR(INDEX('Staff Directory'!$K$595:$K$599,MATCH($C1683,'Staff Directory'!$B$5:$B$599,0)),$D1683))</f>
        <v>PSW</v>
      </c>
      <c r="AH1683" t="str">
        <f>IF($C1683="","",IFERROR(INDEX('Staff Directory'!$I$595:$I$599,MATCH($C1683,'Staff Directory'!$B$5:$B$599,0))&amp;" "&amp;INDEX('Staff Directory'!$J$595:$J$599,MATCH($C1683,'Staff Directory'!$B$5:$B$599,0)),$AG1683))</f>
        <v>PSW</v>
      </c>
      <c r="AI1683" s="102"/>
      <c r="AJ1683" s="101">
        <f>IF($F1683="","",SUMIFS($J$5:$J1683,$F$5:$F1683,$F1683))</f>
        <v>51500</v>
      </c>
      <c r="AK1683" s="101">
        <f t="shared" si="291"/>
        <v>51001</v>
      </c>
      <c r="AL1683" s="66" t="str" cm="1">
        <f t="array" ref="AL1683">IF($F1683="","",IFERROR(INDEX('Lot Balance'!$B$5:$B$500,MATCH(1,INDEX(('Lot Balance'!$A$5:$A$500=$F1683)*('Lot Balance'!$K$5:$K$500&lt;$AK1683)*('Lot Balance'!$K$5:$K$500+'Lot Balance'!$D$5:$D$500&gt;=$AK1683),0),0)),""))</f>
        <v>ZIM601144366-0</v>
      </c>
      <c r="AM1683" s="66" t="str" cm="1">
        <f t="array" ref="AM1683">IF($F1683="","",IFERROR(INDEX('Lot Balance'!$B$5:$B$500,MATCH(1,INDEX(('Lot Balance'!$A$5:$A$500=$F1683)*('Lot Balance'!$K$5:$K$500&lt;$AJ1683)*('Lot Balance'!$K$5:$K$500+'Lot Balance'!$D$5:$D$500&gt;=$AJ1683),0),0)),""))</f>
        <v>ZIM601144366-0</v>
      </c>
      <c r="AN1683" s="66" t="str">
        <f>IF($F1683="","",IF($AI1683&lt;&gt;"",IF(COUNTIFS('Lot Balance'!$A$5:$A$500,$F1683,'Lot Balance'!$B$5:$B$500,$AI1683)=0,"⚠ override is not a lot of this item",IF($AI1683=$AL1683,"Override = FEFO","Override - FEFO says "&amp;$AL1683)),IF($AL1683="","⚠ no receipt on file for this item",IF($AM1683&lt;&gt;$AL1683,"FEFO auto - split, also "&amp;$AM1683,"FEFO auto"))))</f>
        <v>FEFO auto</v>
      </c>
      <c r="AO1683" s="114"/>
    </row>
    <row r="1684" spans="1:41" x14ac:dyDescent="0.35">
      <c r="A1684" s="74">
        <v>46211</v>
      </c>
      <c r="B1684" s="18" t="str">
        <f>IF($C1684="","",IFERROR(INDEX('Staff Directory'!$A$5:$A$594,MATCH($C1684,'Staff Directory'!$B$5:$B$594,0)),"⚠ unknown staff"))</f>
        <v>PSW-070-A6</v>
      </c>
      <c r="C1684" s="49" t="s">
        <v>1046</v>
      </c>
      <c r="D1684" s="19" t="str">
        <f>IF($B1684="","",IFERROR(INDEX('Staff Directory'!$C$5:$C$594,MATCH($B1684,'Staff Directory'!$A$5:$A$594,0)),""))</f>
        <v>PSW</v>
      </c>
      <c r="E1684" s="19" t="str">
        <f>IF($B1684="","",IFERROR(INDEX('Staff Directory'!$D$5:$D$594,MATCH($B1684,'Staff Directory'!$A$5:$A$594,0)),""))</f>
        <v>A6</v>
      </c>
      <c r="F1684" s="9" t="s">
        <v>137</v>
      </c>
      <c r="G1684" s="18" t="str">
        <f>IF($F1684="","",IFERROR(INDEX(Items!$B$5:$B$597,MATCH($F1684,Items!$A$5:$A$597,0)),"⚠ not in Items"))</f>
        <v>Sanitizer</v>
      </c>
      <c r="H1684" s="19" t="str">
        <f>IF($F1684="","",IFERROR(INDEX(Items!$C$5:$C$597,MATCH($F1684,Items!$A$5:$A$597,0)),""))</f>
        <v>118 ML</v>
      </c>
      <c r="I1684" s="23">
        <f>IF($F1684="","",IFERROR(INDEX(Items!$E$5:$E$597,MATCH($F1684,Items!$A$5:$A$597,0)),""))</f>
        <v>2</v>
      </c>
      <c r="J1684" s="115">
        <f>IF(tblIssues[[#This Row],[Qty Override]]&lt;&gt;"",tblIssues[[#This Row],[Qty Override]],IF(tblIssues[[#This Row],[Standard Issue]]="","",tblIssues[[#This Row],[Standard Issue]]))</f>
        <v>2</v>
      </c>
      <c r="K1684" s="20">
        <f>IF($F1684="","",IFERROR(INDEX(Items!$D$5:$D$597,MATCH($F1684,Items!$A$5:$A$597,0)),""))</f>
        <v>4.49</v>
      </c>
      <c r="L1684" s="21">
        <f t="shared" si="294"/>
        <v>8.98</v>
      </c>
      <c r="M1684" s="9" t="str">
        <f t="shared" si="292"/>
        <v>563963-7</v>
      </c>
      <c r="N1684" s="24">
        <f>IF($A1684="","",WORKDAY($A1684,Settings!$C$9,HolidayDates))</f>
        <v>46219</v>
      </c>
      <c r="O1684" s="24">
        <f>IF($N1684="","",WORKDAY($N1684,Settings!$C$10,HolidayDates))</f>
        <v>46259</v>
      </c>
      <c r="P1684" s="10" t="s">
        <v>501</v>
      </c>
      <c r="Q1684" s="52" t="str">
        <f t="shared" si="295"/>
        <v>Collected</v>
      </c>
      <c r="R1684" s="55" t="str">
        <f t="shared" si="296"/>
        <v>2026-07</v>
      </c>
      <c r="S1684" s="55">
        <f>IF(OR($B1684="",$F1684="",$R1684=""),"",SUMIFS(tblIssues[Qty Issued],tblIssues[Staff ID],$B1684,tblIssues[Item Name],$F1684,tblIssues[Month],$R1684))</f>
        <v>4</v>
      </c>
      <c r="T1684" s="56">
        <f>IF($I1684="","",$I1684*Settings!$C$11)</f>
        <v>2</v>
      </c>
      <c r="U1684" s="57" t="str">
        <f t="shared" si="293"/>
        <v>⚠ OVER QUOTA</v>
      </c>
      <c r="V1684" s="55" t="str">
        <f t="shared" si="297"/>
        <v>PSW-070-A6 | Hand Sanitizer | 2026-07</v>
      </c>
      <c r="W1684" s="55">
        <f>IF($V1684="","",IF(COUNTIF($V$5:$V1684,$V1684)=1,1,""))</f>
        <v>1</v>
      </c>
      <c r="X1684" s="58">
        <f>IF($W1684="","",MAX($X$4:X1683)+1)</f>
        <v>54</v>
      </c>
      <c r="Y1684" s="62"/>
      <c r="Z1684" s="62"/>
      <c r="AA1684" s="64" t="str">
        <f>IF($C1684="","",IFERROR(INDEX('Staff Directory'!$E$5:$E$594,MATCH($C1684,'Staff Directory'!$B$5:$B$594,0)),""))</f>
        <v>firstname130.lastname130@example.com</v>
      </c>
      <c r="AB1684" s="64" t="str">
        <f>IF($C1684="","",IF(ISNUMBER(SEARCH($D1684,Settings!$C$15)),"Pickup","Dispatch"))</f>
        <v>Pickup</v>
      </c>
      <c r="AC1684" s="64" t="str">
        <f t="shared" si="298"/>
        <v>Supply order ready for pickup</v>
      </c>
      <c r="AD1684" s="64" t="str">
        <f t="shared" si="289"/>
        <v>Dear PSW,
Your order is ready for pickup from Sample Branch, Wed-Fri 9am-4pm.</v>
      </c>
      <c r="AE1684" s="64" t="str">
        <f t="shared" si="290"/>
        <v>mailto:firstname130.lastname130@example.com?subject=Supply%20order%20ready%20for%20pickup&amp;body=Dear%20PSW%2C%0A%0AYour%20order%20is%20ready%20for%20pickup%20from%20Sample%20Branch%2C%20Wed-Fri%209am-4pm.</v>
      </c>
      <c r="AF1684" s="89" t="str">
        <f t="shared" si="299"/>
        <v>Draft email</v>
      </c>
      <c r="AG1684" s="64" t="str">
        <f>IF($C1684="","",IFERROR(INDEX('Staff Directory'!$K$595:$K$599,MATCH($C1684,'Staff Directory'!$B$5:$B$599,0)),$D1684))</f>
        <v>PSW</v>
      </c>
      <c r="AH1684" t="str">
        <f>IF($C1684="","",IFERROR(INDEX('Staff Directory'!$I$595:$I$599,MATCH($C1684,'Staff Directory'!$B$5:$B$599,0))&amp;" "&amp;INDEX('Staff Directory'!$J$595:$J$599,MATCH($C1684,'Staff Directory'!$B$5:$B$599,0)),$AG1684))</f>
        <v>PSW</v>
      </c>
      <c r="AI1684" s="102"/>
      <c r="AJ1684" s="101">
        <f>IF($F1684="","",SUMIFS($J$5:$J1684,$F$5:$F1684,$F1684))</f>
        <v>150</v>
      </c>
      <c r="AK1684" s="101">
        <f t="shared" si="291"/>
        <v>149</v>
      </c>
      <c r="AL1684" s="66" t="str" cm="1">
        <f t="array" ref="AL1684">IF($F1684="","",IFERROR(INDEX('Lot Balance'!$B$5:$B$500,MATCH(1,INDEX(('Lot Balance'!$A$5:$A$500=$F1684)*('Lot Balance'!$K$5:$K$500&lt;$AK1684)*('Lot Balance'!$K$5:$K$500+'Lot Balance'!$D$5:$D$500&gt;=$AK1684),0),0)),""))</f>
        <v>563963-7</v>
      </c>
      <c r="AM1684" s="66" t="str" cm="1">
        <f t="array" ref="AM1684">IF($F1684="","",IFERROR(INDEX('Lot Balance'!$B$5:$B$500,MATCH(1,INDEX(('Lot Balance'!$A$5:$A$500=$F1684)*('Lot Balance'!$K$5:$K$500&lt;$AJ1684)*('Lot Balance'!$K$5:$K$500+'Lot Balance'!$D$5:$D$500&gt;=$AJ1684),0),0)),""))</f>
        <v>563963-7</v>
      </c>
      <c r="AN1684" s="66" t="str">
        <f>IF($F1684="","",IF($AI1684&lt;&gt;"",IF(COUNTIFS('Lot Balance'!$A$5:$A$500,$F1684,'Lot Balance'!$B$5:$B$500,$AI1684)=0,"⚠ override is not a lot of this item",IF($AI1684=$AL1684,"Override = FEFO","Override - FEFO says "&amp;$AL1684)),IF($AL1684="","⚠ no receipt on file for this item",IF($AM1684&lt;&gt;$AL1684,"FEFO auto - split, also "&amp;$AM1684,"FEFO auto"))))</f>
        <v>FEFO auto</v>
      </c>
      <c r="AO1684" s="114"/>
    </row>
    <row r="1685" spans="1:41" x14ac:dyDescent="0.35">
      <c r="A1685" s="74">
        <v>46211</v>
      </c>
      <c r="B1685" s="18" t="str">
        <f>IF($C1685="","",IFERROR(INDEX('Staff Directory'!$A$5:$A$594,MATCH($C1685,'Staff Directory'!$B$5:$B$594,0)),"⚠ unknown staff"))</f>
        <v>PSW-070-A6</v>
      </c>
      <c r="C1685" s="49" t="s">
        <v>1046</v>
      </c>
      <c r="D1685" s="19" t="str">
        <f>IF($B1685="","",IFERROR(INDEX('Staff Directory'!$C$5:$C$594,MATCH($B1685,'Staff Directory'!$A$5:$A$594,0)),""))</f>
        <v>PSW</v>
      </c>
      <c r="E1685" s="19" t="str">
        <f>IF($B1685="","",IFERROR(INDEX('Staff Directory'!$D$5:$D$594,MATCH($B1685,'Staff Directory'!$A$5:$A$594,0)),""))</f>
        <v>A6</v>
      </c>
      <c r="F1685" s="9" t="s">
        <v>137</v>
      </c>
      <c r="G1685" s="18" t="str">
        <f>IF($F1685="","",IFERROR(INDEX(Items!$B$5:$B$597,MATCH($F1685,Items!$A$5:$A$597,0)),"⚠ not in Items"))</f>
        <v>Sanitizer</v>
      </c>
      <c r="H1685" s="19" t="str">
        <f>IF($F1685="","",IFERROR(INDEX(Items!$C$5:$C$597,MATCH($F1685,Items!$A$5:$A$597,0)),""))</f>
        <v>118 ML</v>
      </c>
      <c r="I1685" s="23">
        <f>IF($F1685="","",IFERROR(INDEX(Items!$E$5:$E$597,MATCH($F1685,Items!$A$5:$A$597,0)),""))</f>
        <v>2</v>
      </c>
      <c r="J1685" s="115">
        <f>IF(tblIssues[[#This Row],[Qty Override]]&lt;&gt;"",tblIssues[[#This Row],[Qty Override]],IF(tblIssues[[#This Row],[Standard Issue]]="","",tblIssues[[#This Row],[Standard Issue]]))</f>
        <v>2</v>
      </c>
      <c r="K1685" s="20">
        <f>IF($F1685="","",IFERROR(INDEX(Items!$D$5:$D$597,MATCH($F1685,Items!$A$5:$A$597,0)),""))</f>
        <v>4.49</v>
      </c>
      <c r="L1685" s="21">
        <f t="shared" si="294"/>
        <v>8.98</v>
      </c>
      <c r="M1685" s="9" t="str">
        <f t="shared" si="292"/>
        <v>563963-7</v>
      </c>
      <c r="N1685" s="24">
        <f>IF($A1685="","",WORKDAY($A1685,Settings!$C$9,HolidayDates))</f>
        <v>46219</v>
      </c>
      <c r="O1685" s="24">
        <f>IF($N1685="","",WORKDAY($N1685,Settings!$C$10,HolidayDates))</f>
        <v>46259</v>
      </c>
      <c r="P1685" s="10" t="s">
        <v>501</v>
      </c>
      <c r="Q1685" s="52" t="str">
        <f t="shared" si="295"/>
        <v>Collected</v>
      </c>
      <c r="R1685" s="55" t="str">
        <f t="shared" si="296"/>
        <v>2026-07</v>
      </c>
      <c r="S1685" s="55">
        <f>IF(OR($B1685="",$F1685="",$R1685=""),"",SUMIFS(tblIssues[Qty Issued],tblIssues[Staff ID],$B1685,tblIssues[Item Name],$F1685,tblIssues[Month],$R1685))</f>
        <v>4</v>
      </c>
      <c r="T1685" s="56">
        <f>IF($I1685="","",$I1685*Settings!$C$11)</f>
        <v>2</v>
      </c>
      <c r="U1685" s="57" t="str">
        <f t="shared" si="293"/>
        <v>⚠ OVER QUOTA</v>
      </c>
      <c r="V1685" s="55" t="str">
        <f t="shared" si="297"/>
        <v>PSW-070-A6 | Hand Sanitizer | 2026-07</v>
      </c>
      <c r="W1685" s="55" t="str">
        <f>IF($V1685="","",IF(COUNTIF($V$5:$V1685,$V1685)=1,1,""))</f>
        <v/>
      </c>
      <c r="X1685" s="58" t="str">
        <f>IF($W1685="","",MAX($X$4:X1684)+1)</f>
        <v/>
      </c>
      <c r="Y1685" s="62"/>
      <c r="Z1685" s="62"/>
      <c r="AA1685" s="64" t="str">
        <f>IF($C1685="","",IFERROR(INDEX('Staff Directory'!$E$5:$E$594,MATCH($C1685,'Staff Directory'!$B$5:$B$594,0)),""))</f>
        <v>firstname130.lastname130@example.com</v>
      </c>
      <c r="AB1685" s="64" t="str">
        <f>IF($C1685="","",IF(ISNUMBER(SEARCH($D1685,Settings!$C$15)),"Pickup","Dispatch"))</f>
        <v>Pickup</v>
      </c>
      <c r="AC1685" s="64" t="str">
        <f t="shared" si="298"/>
        <v>Supply order ready for pickup</v>
      </c>
      <c r="AD1685" s="64" t="str">
        <f t="shared" si="289"/>
        <v>Dear PSW,
Your order is ready for pickup from Sample Branch, Wed-Fri 9am-4pm.</v>
      </c>
      <c r="AE1685" s="64" t="str">
        <f t="shared" si="290"/>
        <v>mailto:firstname130.lastname130@example.com?subject=Supply%20order%20ready%20for%20pickup&amp;body=Dear%20PSW%2C%0A%0AYour%20order%20is%20ready%20for%20pickup%20from%20Sample%20Branch%2C%20Wed-Fri%209am-4pm.</v>
      </c>
      <c r="AF1685" s="89" t="str">
        <f t="shared" si="299"/>
        <v>Draft email</v>
      </c>
      <c r="AG1685" s="64" t="str">
        <f>IF($C1685="","",IFERROR(INDEX('Staff Directory'!$K$595:$K$599,MATCH($C1685,'Staff Directory'!$B$5:$B$599,0)),$D1685))</f>
        <v>PSW</v>
      </c>
      <c r="AH1685" t="str">
        <f>IF($C1685="","",IFERROR(INDEX('Staff Directory'!$I$595:$I$599,MATCH($C1685,'Staff Directory'!$B$5:$B$599,0))&amp;" "&amp;INDEX('Staff Directory'!$J$595:$J$599,MATCH($C1685,'Staff Directory'!$B$5:$B$599,0)),$AG1685))</f>
        <v>PSW</v>
      </c>
      <c r="AI1685" s="102"/>
      <c r="AJ1685" s="101">
        <f>IF($F1685="","",SUMIFS($J$5:$J1685,$F$5:$F1685,$F1685))</f>
        <v>152</v>
      </c>
      <c r="AK1685" s="101">
        <f t="shared" si="291"/>
        <v>151</v>
      </c>
      <c r="AL1685" s="66" t="str" cm="1">
        <f t="array" ref="AL1685">IF($F1685="","",IFERROR(INDEX('Lot Balance'!$B$5:$B$500,MATCH(1,INDEX(('Lot Balance'!$A$5:$A$500=$F1685)*('Lot Balance'!$K$5:$K$500&lt;$AK1685)*('Lot Balance'!$K$5:$K$500+'Lot Balance'!$D$5:$D$500&gt;=$AK1685),0),0)),""))</f>
        <v>563963-7</v>
      </c>
      <c r="AM1685" s="66" t="str" cm="1">
        <f t="array" ref="AM1685">IF($F1685="","",IFERROR(INDEX('Lot Balance'!$B$5:$B$500,MATCH(1,INDEX(('Lot Balance'!$A$5:$A$500=$F1685)*('Lot Balance'!$K$5:$K$500&lt;$AJ1685)*('Lot Balance'!$K$5:$K$500+'Lot Balance'!$D$5:$D$500&gt;=$AJ1685),0),0)),""))</f>
        <v>563963-7</v>
      </c>
      <c r="AN1685" s="66" t="str">
        <f>IF($F1685="","",IF($AI1685&lt;&gt;"",IF(COUNTIFS('Lot Balance'!$A$5:$A$500,$F1685,'Lot Balance'!$B$5:$B$500,$AI1685)=0,"⚠ override is not a lot of this item",IF($AI1685=$AL1685,"Override = FEFO","Override - FEFO says "&amp;$AL1685)),IF($AL1685="","⚠ no receipt on file for this item",IF($AM1685&lt;&gt;$AL1685,"FEFO auto - split, also "&amp;$AM1685,"FEFO auto"))))</f>
        <v>FEFO auto</v>
      </c>
      <c r="AO1685" s="114"/>
    </row>
    <row r="1686" spans="1:41" x14ac:dyDescent="0.35">
      <c r="A1686" s="74">
        <v>46211</v>
      </c>
      <c r="B1686" s="18" t="str">
        <f>IF($C1686="","",IFERROR(INDEX('Staff Directory'!$A$5:$A$594,MATCH($C1686,'Staff Directory'!$B$5:$B$594,0)),"⚠ unknown staff"))</f>
        <v>PSW-070-A6</v>
      </c>
      <c r="C1686" s="49" t="s">
        <v>1046</v>
      </c>
      <c r="D1686" s="19" t="str">
        <f>IF($B1686="","",IFERROR(INDEX('Staff Directory'!$C$5:$C$594,MATCH($B1686,'Staff Directory'!$A$5:$A$594,0)),""))</f>
        <v>PSW</v>
      </c>
      <c r="E1686" s="19" t="str">
        <f>IF($B1686="","",IFERROR(INDEX('Staff Directory'!$D$5:$D$594,MATCH($B1686,'Staff Directory'!$A$5:$A$594,0)),""))</f>
        <v>A6</v>
      </c>
      <c r="F1686" s="9" t="s">
        <v>758</v>
      </c>
      <c r="G1686" s="18" t="str">
        <f>IF($F1686="","",IFERROR(INDEX(Items!$B$5:$B$597,MATCH($F1686,Items!$A$5:$A$597,0)),"⚠ not in Items"))</f>
        <v>Utility</v>
      </c>
      <c r="H1686" s="19" t="str">
        <f>IF($F1686="","",IFERROR(INDEX(Items!$C$5:$C$597,MATCH($F1686,Items!$A$5:$A$597,0)),""))</f>
        <v>Standard</v>
      </c>
      <c r="I1686" s="23">
        <f>IF($F1686="","",IFERROR(INDEX(Items!$E$5:$E$597,MATCH($F1686,Items!$A$5:$A$597,0)),""))</f>
        <v>1</v>
      </c>
      <c r="J1686" s="115">
        <f>IF(tblIssues[[#This Row],[Qty Override]]&lt;&gt;"",tblIssues[[#This Row],[Qty Override]],IF(tblIssues[[#This Row],[Standard Issue]]="","",tblIssues[[#This Row],[Standard Issue]]))</f>
        <v>1</v>
      </c>
      <c r="K1686" s="20">
        <f>IF($F1686="","",IFERROR(INDEX(Items!$D$5:$D$597,MATCH($F1686,Items!$A$5:$A$597,0)),""))</f>
        <v>0</v>
      </c>
      <c r="L1686" s="21">
        <f t="shared" si="294"/>
        <v>0</v>
      </c>
      <c r="M1686" s="9" t="str">
        <f t="shared" si="292"/>
        <v/>
      </c>
      <c r="N1686" s="24">
        <f>IF($A1686="","",WORKDAY($A1686,Settings!$C$9,HolidayDates))</f>
        <v>46219</v>
      </c>
      <c r="O1686" s="24">
        <f>IF($N1686="","",WORKDAY($N1686,Settings!$C$10,HolidayDates))</f>
        <v>46259</v>
      </c>
      <c r="P1686" s="10" t="s">
        <v>501</v>
      </c>
      <c r="Q1686" s="52" t="str">
        <f t="shared" si="295"/>
        <v>Collected</v>
      </c>
      <c r="R1686" s="55" t="str">
        <f t="shared" si="296"/>
        <v>2026-07</v>
      </c>
      <c r="S1686" s="55">
        <f>IF(OR($B1686="",$F1686="",$R1686=""),"",SUMIFS(tblIssues[Qty Issued],tblIssues[Staff ID],$B1686,tblIssues[Item Name],$F1686,tblIssues[Month],$R1686))</f>
        <v>1</v>
      </c>
      <c r="T1686" s="56">
        <f>IF($I1686="","",$I1686*Settings!$C$11)</f>
        <v>1</v>
      </c>
      <c r="U1686" s="57" t="str">
        <f t="shared" si="293"/>
        <v>OK</v>
      </c>
      <c r="V1686" s="55" t="str">
        <f t="shared" si="297"/>
        <v/>
      </c>
      <c r="W1686" s="55" t="str">
        <f>IF($V1686="","",IF(COUNTIF($V$5:$V1686,$V1686)=1,1,""))</f>
        <v/>
      </c>
      <c r="X1686" s="58" t="str">
        <f>IF($W1686="","",MAX($X$4:X1685)+1)</f>
        <v/>
      </c>
      <c r="Y1686" s="62"/>
      <c r="Z1686" s="62"/>
      <c r="AA1686" s="64" t="str">
        <f>IF($C1686="","",IFERROR(INDEX('Staff Directory'!$E$5:$E$594,MATCH($C1686,'Staff Directory'!$B$5:$B$594,0)),""))</f>
        <v>firstname130.lastname130@example.com</v>
      </c>
      <c r="AB1686" s="64" t="str">
        <f>IF($C1686="","",IF(ISNUMBER(SEARCH($D1686,Settings!$C$15)),"Pickup","Dispatch"))</f>
        <v>Pickup</v>
      </c>
      <c r="AC1686" s="64" t="str">
        <f t="shared" si="298"/>
        <v>Supply order ready for pickup</v>
      </c>
      <c r="AD1686" s="64" t="str">
        <f t="shared" si="289"/>
        <v>Dear PSW,
Your order is ready for pickup from Sample Branch, Wed-Fri 9am-4pm.</v>
      </c>
      <c r="AE1686" s="64" t="str">
        <f t="shared" si="290"/>
        <v>mailto:firstname130.lastname130@example.com?subject=Supply%20order%20ready%20for%20pickup&amp;body=Dear%20PSW%2C%0A%0AYour%20order%20is%20ready%20for%20pickup%20from%20Sample%20Branch%2C%20Wed-Fri%209am-4pm.</v>
      </c>
      <c r="AF1686" s="89" t="str">
        <f t="shared" si="299"/>
        <v>Draft email</v>
      </c>
      <c r="AG1686" s="64" t="str">
        <f>IF($C1686="","",IFERROR(INDEX('Staff Directory'!$K$595:$K$599,MATCH($C1686,'Staff Directory'!$B$5:$B$599,0)),$D1686))</f>
        <v>PSW</v>
      </c>
      <c r="AH1686" t="str">
        <f>IF($C1686="","",IFERROR(INDEX('Staff Directory'!$I$595:$I$599,MATCH($C1686,'Staff Directory'!$B$5:$B$599,0))&amp;" "&amp;INDEX('Staff Directory'!$J$595:$J$599,MATCH($C1686,'Staff Directory'!$B$5:$B$599,0)),$AG1686))</f>
        <v>PSW</v>
      </c>
      <c r="AI1686" s="102"/>
      <c r="AJ1686" s="101">
        <f>IF($F1686="","",SUMIFS($J$5:$J1686,$F$5:$F1686,$F1686))</f>
        <v>52</v>
      </c>
      <c r="AK1686" s="101">
        <f t="shared" si="291"/>
        <v>52</v>
      </c>
      <c r="AL1686" s="66" t="str" cm="1">
        <f t="array" ref="AL1686">IF($F1686="","",IFERROR(INDEX('Lot Balance'!$B$5:$B$500,MATCH(1,INDEX(('Lot Balance'!$A$5:$A$500=$F1686)*('Lot Balance'!$K$5:$K$500&lt;$AK1686)*('Lot Balance'!$K$5:$K$500+'Lot Balance'!$D$5:$D$500&gt;=$AK1686),0),0)),""))</f>
        <v/>
      </c>
      <c r="AM1686" s="66" t="str" cm="1">
        <f t="array" ref="AM1686">IF($F1686="","",IFERROR(INDEX('Lot Balance'!$B$5:$B$500,MATCH(1,INDEX(('Lot Balance'!$A$5:$A$500=$F1686)*('Lot Balance'!$K$5:$K$500&lt;$AJ1686)*('Lot Balance'!$K$5:$K$500+'Lot Balance'!$D$5:$D$500&gt;=$AJ1686),0),0)),""))</f>
        <v/>
      </c>
      <c r="AN1686" s="66" t="str">
        <f>IF($F1686="","",IF($AI1686&lt;&gt;"",IF(COUNTIFS('Lot Balance'!$A$5:$A$500,$F1686,'Lot Balance'!$B$5:$B$500,$AI1686)=0,"⚠ override is not a lot of this item",IF($AI1686=$AL1686,"Override = FEFO","Override - FEFO says "&amp;$AL1686)),IF($AL1686="","⚠ no receipt on file for this item",IF($AM1686&lt;&gt;$AL1686,"FEFO auto - split, also "&amp;$AM1686,"FEFO auto"))))</f>
        <v>⚠ no receipt on file for this item</v>
      </c>
      <c r="AO1686" s="114"/>
    </row>
    <row r="1687" spans="1:41" x14ac:dyDescent="0.35">
      <c r="A1687" s="74">
        <v>46211</v>
      </c>
      <c r="B1687" s="18" t="str">
        <f>IF($C1687="","",IFERROR(INDEX('Staff Directory'!$A$5:$A$594,MATCH($C1687,'Staff Directory'!$B$5:$B$594,0)),"⚠ unknown staff"))</f>
        <v>PSW-088-A6</v>
      </c>
      <c r="C1687" s="49" t="s">
        <v>1064</v>
      </c>
      <c r="D1687" s="19" t="str">
        <f>IF($B1687="","",IFERROR(INDEX('Staff Directory'!$C$5:$C$594,MATCH($B1687,'Staff Directory'!$A$5:$A$594,0)),""))</f>
        <v>PSW</v>
      </c>
      <c r="E1687" s="19" t="str">
        <f>IF($B1687="","",IFERROR(INDEX('Staff Directory'!$D$5:$D$594,MATCH($B1687,'Staff Directory'!$A$5:$A$594,0)),""))</f>
        <v>A6</v>
      </c>
      <c r="F1687" s="9" t="s">
        <v>127</v>
      </c>
      <c r="G1687" s="18" t="str">
        <f>IF($F1687="","",IFERROR(INDEX(Items!$B$5:$B$597,MATCH($F1687,Items!$A$5:$A$597,0)),"⚠ not in Items"))</f>
        <v>Gloves</v>
      </c>
      <c r="H1687" s="19" t="str">
        <f>IF($F1687="","",IFERROR(INDEX(Items!$C$5:$C$597,MATCH($F1687,Items!$A$5:$A$597,0)),""))</f>
        <v>Medium</v>
      </c>
      <c r="I1687" s="23">
        <f>IF($F1687="","",IFERROR(INDEX(Items!$E$5:$E$597,MATCH($F1687,Items!$A$5:$A$597,0)),""))</f>
        <v>500</v>
      </c>
      <c r="J1687" s="115">
        <f>IF(tblIssues[[#This Row],[Qty Override]]&lt;&gt;"",tblIssues[[#This Row],[Qty Override]],IF(tblIssues[[#This Row],[Standard Issue]]="","",tblIssues[[#This Row],[Standard Issue]]))</f>
        <v>500</v>
      </c>
      <c r="K1687" s="20">
        <f>IF($F1687="","",IFERROR(INDEX(Items!$D$5:$D$597,MATCH($F1687,Items!$A$5:$A$597,0)),""))</f>
        <v>5.5E-2</v>
      </c>
      <c r="L1687" s="21">
        <f t="shared" si="294"/>
        <v>27.5</v>
      </c>
      <c r="M1687" s="9" t="str">
        <f t="shared" si="292"/>
        <v>ZIM604151579</v>
      </c>
      <c r="N1687" s="24">
        <f>IF($A1687="","",WORKDAY($A1687,Settings!$C$9,HolidayDates))</f>
        <v>46219</v>
      </c>
      <c r="O1687" s="24">
        <f>IF($N1687="","",WORKDAY($N1687,Settings!$C$10,HolidayDates))</f>
        <v>46259</v>
      </c>
      <c r="P1687" s="10" t="s">
        <v>501</v>
      </c>
      <c r="Q1687" s="52" t="str">
        <f t="shared" si="295"/>
        <v>Collected</v>
      </c>
      <c r="R1687" s="55" t="str">
        <f t="shared" si="296"/>
        <v>2026-07</v>
      </c>
      <c r="S1687" s="55">
        <f>IF(OR($B1687="",$F1687="",$R1687=""),"",SUMIFS(tblIssues[Qty Issued],tblIssues[Staff ID],$B1687,tblIssues[Item Name],$F1687,tblIssues[Month],$R1687))</f>
        <v>500</v>
      </c>
      <c r="T1687" s="56">
        <f>IF($I1687="","",$I1687*Settings!$C$11)</f>
        <v>500</v>
      </c>
      <c r="U1687" s="57" t="str">
        <f t="shared" si="293"/>
        <v>OK</v>
      </c>
      <c r="V1687" s="55" t="str">
        <f t="shared" si="297"/>
        <v/>
      </c>
      <c r="W1687" s="55" t="str">
        <f>IF($V1687="","",IF(COUNTIF($V$5:$V1687,$V1687)=1,1,""))</f>
        <v/>
      </c>
      <c r="X1687" s="58" t="str">
        <f>IF($W1687="","",MAX($X$4:X1686)+1)</f>
        <v/>
      </c>
      <c r="Y1687" s="62"/>
      <c r="Z1687" s="62"/>
      <c r="AA1687" s="64" t="str">
        <f>IF($C1687="","",IFERROR(INDEX('Staff Directory'!$E$5:$E$594,MATCH($C1687,'Staff Directory'!$B$5:$B$594,0)),""))</f>
        <v>firstname148.lastname148@example.com</v>
      </c>
      <c r="AB1687" s="64" t="str">
        <f>IF($C1687="","",IF(ISNUMBER(SEARCH($D1687,Settings!$C$15)),"Pickup","Dispatch"))</f>
        <v>Pickup</v>
      </c>
      <c r="AC1687" s="64" t="str">
        <f t="shared" si="298"/>
        <v>Supply order ready for pickup</v>
      </c>
      <c r="AD1687" s="64" t="str">
        <f t="shared" si="289"/>
        <v>Dear PSW,
Your order is ready for pickup from Sample Branch, Wed-Fri 9am-4pm.</v>
      </c>
      <c r="AE1687" s="64" t="str">
        <f t="shared" si="290"/>
        <v>mailto:firstname148.lastname148@example.com?subject=Supply%20order%20ready%20for%20pickup&amp;body=Dear%20PSW%2C%0A%0AYour%20order%20is%20ready%20for%20pickup%20from%20Sample%20Branch%2C%20Wed-Fri%209am-4pm.</v>
      </c>
      <c r="AF1687" s="89" t="str">
        <f t="shared" si="299"/>
        <v>Draft email</v>
      </c>
      <c r="AG1687" s="64" t="str">
        <f>IF($C1687="","",IFERROR(INDEX('Staff Directory'!$K$595:$K$599,MATCH($C1687,'Staff Directory'!$B$5:$B$599,0)),$D1687))</f>
        <v>PSW</v>
      </c>
      <c r="AH1687" t="str">
        <f>IF($C1687="","",IFERROR(INDEX('Staff Directory'!$I$595:$I$599,MATCH($C1687,'Staff Directory'!$B$5:$B$599,0))&amp;" "&amp;INDEX('Staff Directory'!$J$595:$J$599,MATCH($C1687,'Staff Directory'!$B$5:$B$599,0)),$AG1687))</f>
        <v>PSW</v>
      </c>
      <c r="AI1687" s="102"/>
      <c r="AJ1687" s="101">
        <f>IF($F1687="","",SUMIFS($J$5:$J1687,$F$5:$F1687,$F1687))</f>
        <v>101000</v>
      </c>
      <c r="AK1687" s="101">
        <f t="shared" si="291"/>
        <v>100501</v>
      </c>
      <c r="AL1687" s="66" t="str" cm="1">
        <f t="array" ref="AL1687">IF($F1687="","",IFERROR(INDEX('Lot Balance'!$B$5:$B$500,MATCH(1,INDEX(('Lot Balance'!$A$5:$A$500=$F1687)*('Lot Balance'!$K$5:$K$500&lt;$AK1687)*('Lot Balance'!$K$5:$K$500+'Lot Balance'!$D$5:$D$500&gt;=$AK1687),0),0)),""))</f>
        <v>ZIM604151579</v>
      </c>
      <c r="AM1687" s="66" t="str" cm="1">
        <f t="array" ref="AM1687">IF($F1687="","",IFERROR(INDEX('Lot Balance'!$B$5:$B$500,MATCH(1,INDEX(('Lot Balance'!$A$5:$A$500=$F1687)*('Lot Balance'!$K$5:$K$500&lt;$AJ1687)*('Lot Balance'!$K$5:$K$500+'Lot Balance'!$D$5:$D$500&gt;=$AJ1687),0),0)),""))</f>
        <v>ZIM604151579</v>
      </c>
      <c r="AN1687" s="66" t="str">
        <f>IF($F1687="","",IF($AI1687&lt;&gt;"",IF(COUNTIFS('Lot Balance'!$A$5:$A$500,$F1687,'Lot Balance'!$B$5:$B$500,$AI1687)=0,"⚠ override is not a lot of this item",IF($AI1687=$AL1687,"Override = FEFO","Override - FEFO says "&amp;$AL1687)),IF($AL1687="","⚠ no receipt on file for this item",IF($AM1687&lt;&gt;$AL1687,"FEFO auto - split, also "&amp;$AM1687,"FEFO auto"))))</f>
        <v>FEFO auto</v>
      </c>
      <c r="AO1687" s="114"/>
    </row>
    <row r="1688" spans="1:41" x14ac:dyDescent="0.35">
      <c r="A1688" s="74">
        <v>46211</v>
      </c>
      <c r="B1688" s="18" t="str">
        <f>IF($C1688="","",IFERROR(INDEX('Staff Directory'!$A$5:$A$594,MATCH($C1688,'Staff Directory'!$B$5:$B$594,0)),"⚠ unknown staff"))</f>
        <v>PSW-088-A6</v>
      </c>
      <c r="C1688" s="49" t="s">
        <v>1064</v>
      </c>
      <c r="D1688" s="19" t="str">
        <f>IF($B1688="","",IFERROR(INDEX('Staff Directory'!$C$5:$C$594,MATCH($B1688,'Staff Directory'!$A$5:$A$594,0)),""))</f>
        <v>PSW</v>
      </c>
      <c r="E1688" s="19" t="str">
        <f>IF($B1688="","",IFERROR(INDEX('Staff Directory'!$D$5:$D$594,MATCH($B1688,'Staff Directory'!$A$5:$A$594,0)),""))</f>
        <v>A6</v>
      </c>
      <c r="F1688" s="9" t="s">
        <v>191</v>
      </c>
      <c r="G1688" s="18" t="str">
        <f>IF($F1688="","",IFERROR(INDEX(Items!$B$5:$B$597,MATCH($F1688,Items!$A$5:$A$597,0)),"⚠ not in Items"))</f>
        <v>Sanitizer</v>
      </c>
      <c r="H1688" s="19" t="str">
        <f>IF($F1688="","",IFERROR(INDEX(Items!$C$5:$C$597,MATCH($F1688,Items!$A$5:$A$597,0)),""))</f>
        <v>236 ML</v>
      </c>
      <c r="I1688" s="23">
        <f>IF($F1688="","",IFERROR(INDEX(Items!$E$5:$E$597,MATCH($F1688,Items!$A$5:$A$597,0)),""))</f>
        <v>1</v>
      </c>
      <c r="J1688" s="115">
        <f>IF(tblIssues[[#This Row],[Qty Override]]&lt;&gt;"",tblIssues[[#This Row],[Qty Override]],IF(tblIssues[[#This Row],[Standard Issue]]="","",tblIssues[[#This Row],[Standard Issue]]))</f>
        <v>1</v>
      </c>
      <c r="K1688" s="20">
        <f>IF($F1688="","",IFERROR(INDEX(Items!$D$5:$D$597,MATCH($F1688,Items!$A$5:$A$597,0)),""))</f>
        <v>1E-4</v>
      </c>
      <c r="L1688" s="21">
        <f t="shared" si="294"/>
        <v>1E-4</v>
      </c>
      <c r="M1688" s="9" t="str">
        <f t="shared" si="292"/>
        <v/>
      </c>
      <c r="N1688" s="24">
        <f>IF($A1688="","",WORKDAY($A1688,Settings!$C$9,HolidayDates))</f>
        <v>46219</v>
      </c>
      <c r="O1688" s="24">
        <f>IF($N1688="","",WORKDAY($N1688,Settings!$C$10,HolidayDates))</f>
        <v>46259</v>
      </c>
      <c r="P1688" s="10" t="s">
        <v>501</v>
      </c>
      <c r="Q1688" s="52" t="str">
        <f t="shared" si="295"/>
        <v>Collected</v>
      </c>
      <c r="R1688" s="55" t="str">
        <f t="shared" si="296"/>
        <v>2026-07</v>
      </c>
      <c r="S1688" s="55">
        <f>IF(OR($B1688="",$F1688="",$R1688=""),"",SUMIFS(tblIssues[Qty Issued],tblIssues[Staff ID],$B1688,tblIssues[Item Name],$F1688,tblIssues[Month],$R1688))</f>
        <v>1</v>
      </c>
      <c r="T1688" s="56">
        <f>IF($I1688="","",$I1688*Settings!$C$11)</f>
        <v>1</v>
      </c>
      <c r="U1688" s="57" t="str">
        <f t="shared" si="293"/>
        <v>OK</v>
      </c>
      <c r="V1688" s="55" t="str">
        <f t="shared" si="297"/>
        <v/>
      </c>
      <c r="W1688" s="55" t="str">
        <f>IF($V1688="","",IF(COUNTIF($V$5:$V1688,$V1688)=1,1,""))</f>
        <v/>
      </c>
      <c r="X1688" s="58" t="str">
        <f>IF($W1688="","",MAX($X$4:X1687)+1)</f>
        <v/>
      </c>
      <c r="Y1688" s="62"/>
      <c r="Z1688" s="62"/>
      <c r="AA1688" s="64" t="str">
        <f>IF($C1688="","",IFERROR(INDEX('Staff Directory'!$E$5:$E$594,MATCH($C1688,'Staff Directory'!$B$5:$B$594,0)),""))</f>
        <v>firstname148.lastname148@example.com</v>
      </c>
      <c r="AB1688" s="64" t="str">
        <f>IF($C1688="","",IF(ISNUMBER(SEARCH($D1688,Settings!$C$15)),"Pickup","Dispatch"))</f>
        <v>Pickup</v>
      </c>
      <c r="AC1688" s="64" t="str">
        <f t="shared" si="298"/>
        <v>Supply order ready for pickup</v>
      </c>
      <c r="AD1688" s="64" t="str">
        <f t="shared" si="289"/>
        <v>Dear PSW,
Your order is ready for pickup from Sample Branch, Wed-Fri 9am-4pm.</v>
      </c>
      <c r="AE1688" s="64" t="str">
        <f t="shared" si="290"/>
        <v>mailto:firstname148.lastname148@example.com?subject=Supply%20order%20ready%20for%20pickup&amp;body=Dear%20PSW%2C%0A%0AYour%20order%20is%20ready%20for%20pickup%20from%20Sample%20Branch%2C%20Wed-Fri%209am-4pm.</v>
      </c>
      <c r="AF1688" s="89" t="str">
        <f t="shared" si="299"/>
        <v>Draft email</v>
      </c>
      <c r="AG1688" s="64" t="str">
        <f>IF($C1688="","",IFERROR(INDEX('Staff Directory'!$K$595:$K$599,MATCH($C1688,'Staff Directory'!$B$5:$B$599,0)),$D1688))</f>
        <v>PSW</v>
      </c>
      <c r="AH1688" t="str">
        <f>IF($C1688="","",IFERROR(INDEX('Staff Directory'!$I$595:$I$599,MATCH($C1688,'Staff Directory'!$B$5:$B$599,0))&amp;" "&amp;INDEX('Staff Directory'!$J$595:$J$599,MATCH($C1688,'Staff Directory'!$B$5:$B$599,0)),$AG1688))</f>
        <v>PSW</v>
      </c>
      <c r="AI1688" s="102"/>
      <c r="AJ1688" s="101">
        <f>IF($F1688="","",SUMIFS($J$5:$J1688,$F$5:$F1688,$F1688))</f>
        <v>216</v>
      </c>
      <c r="AK1688" s="101">
        <f t="shared" si="291"/>
        <v>216</v>
      </c>
      <c r="AL1688" s="66" t="str" cm="1">
        <f t="array" ref="AL1688">IF($F1688="","",IFERROR(INDEX('Lot Balance'!$B$5:$B$500,MATCH(1,INDEX(('Lot Balance'!$A$5:$A$500=$F1688)*('Lot Balance'!$K$5:$K$500&lt;$AK1688)*('Lot Balance'!$K$5:$K$500+'Lot Balance'!$D$5:$D$500&gt;=$AK1688),0),0)),""))</f>
        <v/>
      </c>
      <c r="AM1688" s="66" t="str" cm="1">
        <f t="array" ref="AM1688">IF($F1688="","",IFERROR(INDEX('Lot Balance'!$B$5:$B$500,MATCH(1,INDEX(('Lot Balance'!$A$5:$A$500=$F1688)*('Lot Balance'!$K$5:$K$500&lt;$AJ1688)*('Lot Balance'!$K$5:$K$500+'Lot Balance'!$D$5:$D$500&gt;=$AJ1688),0),0)),""))</f>
        <v/>
      </c>
      <c r="AN1688" s="66" t="str">
        <f>IF($F1688="","",IF($AI1688&lt;&gt;"",IF(COUNTIFS('Lot Balance'!$A$5:$A$500,$F1688,'Lot Balance'!$B$5:$B$500,$AI1688)=0,"⚠ override is not a lot of this item",IF($AI1688=$AL1688,"Override = FEFO","Override - FEFO says "&amp;$AL1688)),IF($AL1688="","⚠ no receipt on file for this item",IF($AM1688&lt;&gt;$AL1688,"FEFO auto - split, also "&amp;$AM1688,"FEFO auto"))))</f>
        <v>⚠ no receipt on file for this item</v>
      </c>
      <c r="AO1688" s="114"/>
    </row>
    <row r="1689" spans="1:41" x14ac:dyDescent="0.35">
      <c r="A1689" s="74">
        <v>46211</v>
      </c>
      <c r="B1689" s="18" t="str">
        <f>IF($C1689="","",IFERROR(INDEX('Staff Directory'!$A$5:$A$594,MATCH($C1689,'Staff Directory'!$B$5:$B$594,0)),"⚠ unknown staff"))</f>
        <v>PSW-088-A6</v>
      </c>
      <c r="C1689" s="49" t="s">
        <v>1064</v>
      </c>
      <c r="D1689" s="19" t="str">
        <f>IF($B1689="","",IFERROR(INDEX('Staff Directory'!$C$5:$C$594,MATCH($B1689,'Staff Directory'!$A$5:$A$594,0)),""))</f>
        <v>PSW</v>
      </c>
      <c r="E1689" s="19" t="str">
        <f>IF($B1689="","",IFERROR(INDEX('Staff Directory'!$D$5:$D$594,MATCH($B1689,'Staff Directory'!$A$5:$A$594,0)),""))</f>
        <v>A6</v>
      </c>
      <c r="F1689" s="9" t="s">
        <v>115</v>
      </c>
      <c r="G1689" s="18" t="str">
        <f>IF($F1689="","",IFERROR(INDEX(Items!$B$5:$B$597,MATCH($F1689,Items!$A$5:$A$597,0)),"⚠ not in Items"))</f>
        <v>Wipes</v>
      </c>
      <c r="H1689" s="19">
        <f>IF($F1689="","",IFERROR(INDEX(Items!$C$5:$C$597,MATCH($F1689,Items!$A$5:$A$597,0)),""))</f>
        <v>80</v>
      </c>
      <c r="I1689" s="23">
        <f>IF($F1689="","",IFERROR(INDEX(Items!$E$5:$E$597,MATCH($F1689,Items!$A$5:$A$597,0)),""))</f>
        <v>80</v>
      </c>
      <c r="J1689" s="115">
        <f>IF(tblIssues[[#This Row],[Qty Override]]&lt;&gt;"",tblIssues[[#This Row],[Qty Override]],IF(tblIssues[[#This Row],[Standard Issue]]="","",tblIssues[[#This Row],[Standard Issue]]))</f>
        <v>80</v>
      </c>
      <c r="K1689" s="20">
        <f>IF($F1689="","",IFERROR(INDEX(Items!$D$5:$D$597,MATCH($F1689,Items!$A$5:$A$597,0)),""))</f>
        <v>0.1</v>
      </c>
      <c r="L1689" s="21">
        <f t="shared" si="294"/>
        <v>8</v>
      </c>
      <c r="M1689" s="9" t="str">
        <f t="shared" si="292"/>
        <v>LYSL500290</v>
      </c>
      <c r="N1689" s="24">
        <f>IF($A1689="","",WORKDAY($A1689,Settings!$C$9,HolidayDates))</f>
        <v>46219</v>
      </c>
      <c r="O1689" s="24">
        <f>IF($N1689="","",WORKDAY($N1689,Settings!$C$10,HolidayDates))</f>
        <v>46259</v>
      </c>
      <c r="P1689" s="10" t="s">
        <v>501</v>
      </c>
      <c r="Q1689" s="52" t="str">
        <f t="shared" si="295"/>
        <v>Collected</v>
      </c>
      <c r="R1689" s="55" t="str">
        <f t="shared" si="296"/>
        <v>2026-07</v>
      </c>
      <c r="S1689" s="55">
        <f>IF(OR($B1689="",$F1689="",$R1689=""),"",SUMIFS(tblIssues[Qty Issued],tblIssues[Staff ID],$B1689,tblIssues[Item Name],$F1689,tblIssues[Month],$R1689))</f>
        <v>80</v>
      </c>
      <c r="T1689" s="56">
        <f>IF($I1689="","",$I1689*Settings!$C$11)</f>
        <v>80</v>
      </c>
      <c r="U1689" s="57" t="str">
        <f t="shared" si="293"/>
        <v>OK</v>
      </c>
      <c r="V1689" s="55" t="str">
        <f t="shared" si="297"/>
        <v/>
      </c>
      <c r="W1689" s="55" t="str">
        <f>IF($V1689="","",IF(COUNTIF($V$5:$V1689,$V1689)=1,1,""))</f>
        <v/>
      </c>
      <c r="X1689" s="58" t="str">
        <f>IF($W1689="","",MAX($X$4:X1688)+1)</f>
        <v/>
      </c>
      <c r="Y1689" s="62"/>
      <c r="Z1689" s="62"/>
      <c r="AA1689" s="64" t="str">
        <f>IF($C1689="","",IFERROR(INDEX('Staff Directory'!$E$5:$E$594,MATCH($C1689,'Staff Directory'!$B$5:$B$594,0)),""))</f>
        <v>firstname148.lastname148@example.com</v>
      </c>
      <c r="AB1689" s="64" t="str">
        <f>IF($C1689="","",IF(ISNUMBER(SEARCH($D1689,Settings!$C$15)),"Pickup","Dispatch"))</f>
        <v>Pickup</v>
      </c>
      <c r="AC1689" s="64" t="str">
        <f t="shared" si="298"/>
        <v>Supply order ready for pickup</v>
      </c>
      <c r="AD1689" s="64" t="str">
        <f t="shared" si="289"/>
        <v>Dear PSW,
Your order is ready for pickup from Sample Branch, Wed-Fri 9am-4pm.</v>
      </c>
      <c r="AE1689" s="64" t="str">
        <f t="shared" si="290"/>
        <v>mailto:firstname148.lastname148@example.com?subject=Supply%20order%20ready%20for%20pickup&amp;body=Dear%20PSW%2C%0A%0AYour%20order%20is%20ready%20for%20pickup%20from%20Sample%20Branch%2C%20Wed-Fri%209am-4pm.</v>
      </c>
      <c r="AF1689" s="89" t="str">
        <f t="shared" si="299"/>
        <v>Draft email</v>
      </c>
      <c r="AG1689" s="64" t="str">
        <f>IF($C1689="","",IFERROR(INDEX('Staff Directory'!$K$595:$K$599,MATCH($C1689,'Staff Directory'!$B$5:$B$599,0)),$D1689))</f>
        <v>PSW</v>
      </c>
      <c r="AH1689" t="str">
        <f>IF($C1689="","",IFERROR(INDEX('Staff Directory'!$I$595:$I$599,MATCH($C1689,'Staff Directory'!$B$5:$B$599,0))&amp;" "&amp;INDEX('Staff Directory'!$J$595:$J$599,MATCH($C1689,'Staff Directory'!$B$5:$B$599,0)),$AG1689))</f>
        <v>PSW</v>
      </c>
      <c r="AI1689" s="102"/>
      <c r="AJ1689" s="101">
        <f>IF($F1689="","",SUMIFS($J$5:$J1689,$F$5:$F1689,$F1689))</f>
        <v>22480</v>
      </c>
      <c r="AK1689" s="101">
        <f t="shared" si="291"/>
        <v>22401</v>
      </c>
      <c r="AL1689" s="66" t="str" cm="1">
        <f t="array" ref="AL1689">IF($F1689="","",IFERROR(INDEX('Lot Balance'!$B$5:$B$500,MATCH(1,INDEX(('Lot Balance'!$A$5:$A$500=$F1689)*('Lot Balance'!$K$5:$K$500&lt;$AK1689)*('Lot Balance'!$K$5:$K$500+'Lot Balance'!$D$5:$D$500&gt;=$AK1689),0),0)),""))</f>
        <v>LYSL500290</v>
      </c>
      <c r="AM1689" s="66" t="str" cm="1">
        <f t="array" ref="AM1689">IF($F1689="","",IFERROR(INDEX('Lot Balance'!$B$5:$B$500,MATCH(1,INDEX(('Lot Balance'!$A$5:$A$500=$F1689)*('Lot Balance'!$K$5:$K$500&lt;$AJ1689)*('Lot Balance'!$K$5:$K$500+'Lot Balance'!$D$5:$D$500&gt;=$AJ1689),0),0)),""))</f>
        <v>LYSL500290</v>
      </c>
      <c r="AN1689" s="66" t="str">
        <f>IF($F1689="","",IF($AI1689&lt;&gt;"",IF(COUNTIFS('Lot Balance'!$A$5:$A$500,$F1689,'Lot Balance'!$B$5:$B$500,$AI1689)=0,"⚠ override is not a lot of this item",IF($AI1689=$AL1689,"Override = FEFO","Override - FEFO says "&amp;$AL1689)),IF($AL1689="","⚠ no receipt on file for this item",IF($AM1689&lt;&gt;$AL1689,"FEFO auto - split, also "&amp;$AM1689,"FEFO auto"))))</f>
        <v>FEFO auto</v>
      </c>
      <c r="AO1689" s="114"/>
    </row>
    <row r="1690" spans="1:41" x14ac:dyDescent="0.35">
      <c r="A1690" s="74">
        <v>46211</v>
      </c>
      <c r="B1690" s="18" t="str">
        <f>IF($C1690="","",IFERROR(INDEX('Staff Directory'!$A$5:$A$594,MATCH($C1690,'Staff Directory'!$B$5:$B$594,0)),"⚠ unknown staff"))</f>
        <v>PSW-088-A6</v>
      </c>
      <c r="C1690" s="49" t="s">
        <v>1064</v>
      </c>
      <c r="D1690" s="19" t="str">
        <f>IF($B1690="","",IFERROR(INDEX('Staff Directory'!$C$5:$C$594,MATCH($B1690,'Staff Directory'!$A$5:$A$594,0)),""))</f>
        <v>PSW</v>
      </c>
      <c r="E1690" s="19" t="str">
        <f>IF($B1690="","",IFERROR(INDEX('Staff Directory'!$D$5:$D$594,MATCH($B1690,'Staff Directory'!$A$5:$A$594,0)),""))</f>
        <v>A6</v>
      </c>
      <c r="F1690" s="9" t="s">
        <v>156</v>
      </c>
      <c r="G1690" s="18" t="str">
        <f>IF($F1690="","",IFERROR(INDEX(Items!$B$5:$B$597,MATCH($F1690,Items!$A$5:$A$597,0)),"⚠ not in Items"))</f>
        <v>Masks</v>
      </c>
      <c r="H1690" s="19" t="str">
        <f>IF($F1690="","",IFERROR(INDEX(Items!$C$5:$C$597,MATCH($F1690,Items!$A$5:$A$597,0)),""))</f>
        <v>One Size</v>
      </c>
      <c r="I1690" s="23">
        <f>IF($F1690="","",IFERROR(INDEX(Items!$E$5:$E$597,MATCH($F1690,Items!$A$5:$A$597,0)),""))</f>
        <v>50</v>
      </c>
      <c r="J1690" s="115">
        <f>IF(tblIssues[[#This Row],[Qty Override]]&lt;&gt;"",tblIssues[[#This Row],[Qty Override]],IF(tblIssues[[#This Row],[Standard Issue]]="","",tblIssues[[#This Row],[Standard Issue]]))</f>
        <v>50</v>
      </c>
      <c r="K1690" s="20">
        <f>IF($F1690="","",IFERROR(INDEX(Items!$D$5:$D$597,MATCH($F1690,Items!$A$5:$A$597,0)),""))</f>
        <v>0.25</v>
      </c>
      <c r="L1690" s="21">
        <f t="shared" si="294"/>
        <v>12.5</v>
      </c>
      <c r="M1690" s="9" t="str">
        <f t="shared" si="292"/>
        <v>24HA2050A7396</v>
      </c>
      <c r="N1690" s="24">
        <f>IF($A1690="","",WORKDAY($A1690,Settings!$C$9,HolidayDates))</f>
        <v>46219</v>
      </c>
      <c r="O1690" s="24">
        <f>IF($N1690="","",WORKDAY($N1690,Settings!$C$10,HolidayDates))</f>
        <v>46259</v>
      </c>
      <c r="P1690" s="10" t="s">
        <v>501</v>
      </c>
      <c r="Q1690" s="52" t="str">
        <f t="shared" si="295"/>
        <v>Collected</v>
      </c>
      <c r="R1690" s="55" t="str">
        <f t="shared" si="296"/>
        <v>2026-07</v>
      </c>
      <c r="S1690" s="55">
        <f>IF(OR($B1690="",$F1690="",$R1690=""),"",SUMIFS(tblIssues[Qty Issued],tblIssues[Staff ID],$B1690,tblIssues[Item Name],$F1690,tblIssues[Month],$R1690))</f>
        <v>50</v>
      </c>
      <c r="T1690" s="56">
        <f>IF($I1690="","",$I1690*Settings!$C$11)</f>
        <v>50</v>
      </c>
      <c r="U1690" s="57" t="str">
        <f t="shared" si="293"/>
        <v>OK</v>
      </c>
      <c r="V1690" s="55" t="str">
        <f t="shared" si="297"/>
        <v/>
      </c>
      <c r="W1690" s="55" t="str">
        <f>IF($V1690="","",IF(COUNTIF($V$5:$V1690,$V1690)=1,1,""))</f>
        <v/>
      </c>
      <c r="X1690" s="58" t="str">
        <f>IF($W1690="","",MAX($X$4:X1689)+1)</f>
        <v/>
      </c>
      <c r="Y1690" s="62"/>
      <c r="Z1690" s="62"/>
      <c r="AA1690" s="64" t="str">
        <f>IF($C1690="","",IFERROR(INDEX('Staff Directory'!$E$5:$E$594,MATCH($C1690,'Staff Directory'!$B$5:$B$594,0)),""))</f>
        <v>firstname148.lastname148@example.com</v>
      </c>
      <c r="AB1690" s="64" t="str">
        <f>IF($C1690="","",IF(ISNUMBER(SEARCH($D1690,Settings!$C$15)),"Pickup","Dispatch"))</f>
        <v>Pickup</v>
      </c>
      <c r="AC1690" s="64" t="str">
        <f t="shared" si="298"/>
        <v>Supply order ready for pickup</v>
      </c>
      <c r="AD1690" s="64" t="str">
        <f t="shared" si="289"/>
        <v>Dear PSW,
Your order is ready for pickup from Sample Branch, Wed-Fri 9am-4pm.</v>
      </c>
      <c r="AE1690" s="64" t="str">
        <f t="shared" si="290"/>
        <v>mailto:firstname148.lastname148@example.com?subject=Supply%20order%20ready%20for%20pickup&amp;body=Dear%20PSW%2C%0A%0AYour%20order%20is%20ready%20for%20pickup%20from%20Sample%20Branch%2C%20Wed-Fri%209am-4pm.</v>
      </c>
      <c r="AF1690" s="89" t="str">
        <f t="shared" si="299"/>
        <v>Draft email</v>
      </c>
      <c r="AG1690" s="64" t="str">
        <f>IF($C1690="","",IFERROR(INDEX('Staff Directory'!$K$595:$K$599,MATCH($C1690,'Staff Directory'!$B$5:$B$599,0)),$D1690))</f>
        <v>PSW</v>
      </c>
      <c r="AH1690" t="str">
        <f>IF($C1690="","",IFERROR(INDEX('Staff Directory'!$I$595:$I$599,MATCH($C1690,'Staff Directory'!$B$5:$B$599,0))&amp;" "&amp;INDEX('Staff Directory'!$J$595:$J$599,MATCH($C1690,'Staff Directory'!$B$5:$B$599,0)),$AG1690))</f>
        <v>PSW</v>
      </c>
      <c r="AI1690" s="102"/>
      <c r="AJ1690" s="101">
        <f>IF($F1690="","",SUMIFS($J$5:$J1690,$F$5:$F1690,$F1690))</f>
        <v>13750</v>
      </c>
      <c r="AK1690" s="101">
        <f t="shared" si="291"/>
        <v>13701</v>
      </c>
      <c r="AL1690" s="66" t="str" cm="1">
        <f t="array" ref="AL1690">IF($F1690="","",IFERROR(INDEX('Lot Balance'!$B$5:$B$500,MATCH(1,INDEX(('Lot Balance'!$A$5:$A$500=$F1690)*('Lot Balance'!$K$5:$K$500&lt;$AK1690)*('Lot Balance'!$K$5:$K$500+'Lot Balance'!$D$5:$D$500&gt;=$AK1690),0),0)),""))</f>
        <v>24HA2050A7396</v>
      </c>
      <c r="AM1690" s="66" t="str" cm="1">
        <f t="array" ref="AM1690">IF($F1690="","",IFERROR(INDEX('Lot Balance'!$B$5:$B$500,MATCH(1,INDEX(('Lot Balance'!$A$5:$A$500=$F1690)*('Lot Balance'!$K$5:$K$500&lt;$AJ1690)*('Lot Balance'!$K$5:$K$500+'Lot Balance'!$D$5:$D$500&gt;=$AJ1690),0),0)),""))</f>
        <v>24HA2050A7396</v>
      </c>
      <c r="AN1690" s="66" t="str">
        <f>IF($F1690="","",IF($AI1690&lt;&gt;"",IF(COUNTIFS('Lot Balance'!$A$5:$A$500,$F1690,'Lot Balance'!$B$5:$B$500,$AI1690)=0,"⚠ override is not a lot of this item",IF($AI1690=$AL1690,"Override = FEFO","Override - FEFO says "&amp;$AL1690)),IF($AL1690="","⚠ no receipt on file for this item",IF($AM1690&lt;&gt;$AL1690,"FEFO auto - split, also "&amp;$AM1690,"FEFO auto"))))</f>
        <v>FEFO auto</v>
      </c>
      <c r="AO1690" s="114"/>
    </row>
    <row r="1691" spans="1:41" x14ac:dyDescent="0.35">
      <c r="A1691" s="74">
        <v>46211</v>
      </c>
      <c r="B1691" s="18" t="str">
        <f>IF($C1691="","",IFERROR(INDEX('Staff Directory'!$A$5:$A$594,MATCH($C1691,'Staff Directory'!$B$5:$B$594,0)),"⚠ unknown staff"))</f>
        <v>PSW-088-A6</v>
      </c>
      <c r="C1691" s="49" t="s">
        <v>1064</v>
      </c>
      <c r="D1691" s="19" t="str">
        <f>IF($B1691="","",IFERROR(INDEX('Staff Directory'!$C$5:$C$594,MATCH($B1691,'Staff Directory'!$A$5:$A$594,0)),""))</f>
        <v>PSW</v>
      </c>
      <c r="E1691" s="19" t="str">
        <f>IF($B1691="","",IFERROR(INDEX('Staff Directory'!$D$5:$D$594,MATCH($B1691,'Staff Directory'!$A$5:$A$594,0)),""))</f>
        <v>A6</v>
      </c>
      <c r="F1691" s="9" t="s">
        <v>758</v>
      </c>
      <c r="G1691" s="18" t="str">
        <f>IF($F1691="","",IFERROR(INDEX(Items!$B$5:$B$597,MATCH($F1691,Items!$A$5:$A$597,0)),"⚠ not in Items"))</f>
        <v>Utility</v>
      </c>
      <c r="H1691" s="19" t="str">
        <f>IF($F1691="","",IFERROR(INDEX(Items!$C$5:$C$597,MATCH($F1691,Items!$A$5:$A$597,0)),""))</f>
        <v>Standard</v>
      </c>
      <c r="I1691" s="23">
        <f>IF($F1691="","",IFERROR(INDEX(Items!$E$5:$E$597,MATCH($F1691,Items!$A$5:$A$597,0)),""))</f>
        <v>1</v>
      </c>
      <c r="J1691" s="115">
        <f>IF(tblIssues[[#This Row],[Qty Override]]&lt;&gt;"",tblIssues[[#This Row],[Qty Override]],IF(tblIssues[[#This Row],[Standard Issue]]="","",tblIssues[[#This Row],[Standard Issue]]))</f>
        <v>1</v>
      </c>
      <c r="K1691" s="20">
        <f>IF($F1691="","",IFERROR(INDEX(Items!$D$5:$D$597,MATCH($F1691,Items!$A$5:$A$597,0)),""))</f>
        <v>0</v>
      </c>
      <c r="L1691" s="21">
        <f t="shared" si="294"/>
        <v>0</v>
      </c>
      <c r="M1691" s="9" t="str">
        <f t="shared" si="292"/>
        <v/>
      </c>
      <c r="N1691" s="24">
        <f>IF($A1691="","",WORKDAY($A1691,Settings!$C$9,HolidayDates))</f>
        <v>46219</v>
      </c>
      <c r="O1691" s="24">
        <f>IF($N1691="","",WORKDAY($N1691,Settings!$C$10,HolidayDates))</f>
        <v>46259</v>
      </c>
      <c r="P1691" s="10" t="s">
        <v>501</v>
      </c>
      <c r="Q1691" s="52" t="str">
        <f t="shared" si="295"/>
        <v>Collected</v>
      </c>
      <c r="R1691" s="55" t="str">
        <f t="shared" si="296"/>
        <v>2026-07</v>
      </c>
      <c r="S1691" s="55">
        <f>IF(OR($B1691="",$F1691="",$R1691=""),"",SUMIFS(tblIssues[Qty Issued],tblIssues[Staff ID],$B1691,tblIssues[Item Name],$F1691,tblIssues[Month],$R1691))</f>
        <v>1</v>
      </c>
      <c r="T1691" s="56">
        <f>IF($I1691="","",$I1691*Settings!$C$11)</f>
        <v>1</v>
      </c>
      <c r="U1691" s="57" t="str">
        <f t="shared" si="293"/>
        <v>OK</v>
      </c>
      <c r="V1691" s="55" t="str">
        <f t="shared" si="297"/>
        <v/>
      </c>
      <c r="W1691" s="55" t="str">
        <f>IF($V1691="","",IF(COUNTIF($V$5:$V1691,$V1691)=1,1,""))</f>
        <v/>
      </c>
      <c r="X1691" s="58" t="str">
        <f>IF($W1691="","",MAX($X$4:X1690)+1)</f>
        <v/>
      </c>
      <c r="Y1691" s="62"/>
      <c r="Z1691" s="62"/>
      <c r="AA1691" s="64" t="str">
        <f>IF($C1691="","",IFERROR(INDEX('Staff Directory'!$E$5:$E$594,MATCH($C1691,'Staff Directory'!$B$5:$B$594,0)),""))</f>
        <v>firstname148.lastname148@example.com</v>
      </c>
      <c r="AB1691" s="64" t="str">
        <f>IF($C1691="","",IF(ISNUMBER(SEARCH($D1691,Settings!$C$15)),"Pickup","Dispatch"))</f>
        <v>Pickup</v>
      </c>
      <c r="AC1691" s="64" t="str">
        <f t="shared" si="298"/>
        <v>Supply order ready for pickup</v>
      </c>
      <c r="AD1691" s="64" t="str">
        <f t="shared" si="289"/>
        <v>Dear PSW,
Your order is ready for pickup from Sample Branch, Wed-Fri 9am-4pm.</v>
      </c>
      <c r="AE1691" s="64" t="str">
        <f t="shared" si="290"/>
        <v>mailto:firstname148.lastname148@example.com?subject=Supply%20order%20ready%20for%20pickup&amp;body=Dear%20PSW%2C%0A%0AYour%20order%20is%20ready%20for%20pickup%20from%20Sample%20Branch%2C%20Wed-Fri%209am-4pm.</v>
      </c>
      <c r="AF1691" s="89" t="str">
        <f t="shared" si="299"/>
        <v>Draft email</v>
      </c>
      <c r="AG1691" s="64" t="str">
        <f>IF($C1691="","",IFERROR(INDEX('Staff Directory'!$K$595:$K$599,MATCH($C1691,'Staff Directory'!$B$5:$B$599,0)),$D1691))</f>
        <v>PSW</v>
      </c>
      <c r="AH1691" t="str">
        <f>IF($C1691="","",IFERROR(INDEX('Staff Directory'!$I$595:$I$599,MATCH($C1691,'Staff Directory'!$B$5:$B$599,0))&amp;" "&amp;INDEX('Staff Directory'!$J$595:$J$599,MATCH($C1691,'Staff Directory'!$B$5:$B$599,0)),$AG1691))</f>
        <v>PSW</v>
      </c>
      <c r="AI1691" s="102"/>
      <c r="AJ1691" s="101">
        <f>IF($F1691="","",SUMIFS($J$5:$J1691,$F$5:$F1691,$F1691))</f>
        <v>53</v>
      </c>
      <c r="AK1691" s="101">
        <f t="shared" si="291"/>
        <v>53</v>
      </c>
      <c r="AL1691" s="66" t="str" cm="1">
        <f t="array" ref="AL1691">IF($F1691="","",IFERROR(INDEX('Lot Balance'!$B$5:$B$500,MATCH(1,INDEX(('Lot Balance'!$A$5:$A$500=$F1691)*('Lot Balance'!$K$5:$K$500&lt;$AK1691)*('Lot Balance'!$K$5:$K$500+'Lot Balance'!$D$5:$D$500&gt;=$AK1691),0),0)),""))</f>
        <v/>
      </c>
      <c r="AM1691" s="66" t="str" cm="1">
        <f t="array" ref="AM1691">IF($F1691="","",IFERROR(INDEX('Lot Balance'!$B$5:$B$500,MATCH(1,INDEX(('Lot Balance'!$A$5:$A$500=$F1691)*('Lot Balance'!$K$5:$K$500&lt;$AJ1691)*('Lot Balance'!$K$5:$K$500+'Lot Balance'!$D$5:$D$500&gt;=$AJ1691),0),0)),""))</f>
        <v/>
      </c>
      <c r="AN1691" s="66" t="str">
        <f>IF($F1691="","",IF($AI1691&lt;&gt;"",IF(COUNTIFS('Lot Balance'!$A$5:$A$500,$F1691,'Lot Balance'!$B$5:$B$500,$AI1691)=0,"⚠ override is not a lot of this item",IF($AI1691=$AL1691,"Override = FEFO","Override - FEFO says "&amp;$AL1691)),IF($AL1691="","⚠ no receipt on file for this item",IF($AM1691&lt;&gt;$AL1691,"FEFO auto - split, also "&amp;$AM1691,"FEFO auto"))))</f>
        <v>⚠ no receipt on file for this item</v>
      </c>
      <c r="AO1691" s="114"/>
    </row>
    <row r="1692" spans="1:41" x14ac:dyDescent="0.35">
      <c r="A1692" s="74">
        <v>46211</v>
      </c>
      <c r="B1692" s="18" t="str">
        <f>IF($C1692="","",IFERROR(INDEX('Staff Directory'!$A$5:$A$594,MATCH($C1692,'Staff Directory'!$B$5:$B$594,0)),"⚠ unknown staff"))</f>
        <v>PSW-126-A6</v>
      </c>
      <c r="C1692" s="49" t="s">
        <v>1105</v>
      </c>
      <c r="D1692" s="19" t="str">
        <f>IF($B1692="","",IFERROR(INDEX('Staff Directory'!$C$5:$C$594,MATCH($B1692,'Staff Directory'!$A$5:$A$594,0)),""))</f>
        <v>PSW</v>
      </c>
      <c r="E1692" s="19" t="str">
        <f>IF($B1692="","",IFERROR(INDEX('Staff Directory'!$D$5:$D$594,MATCH($B1692,'Staff Directory'!$A$5:$A$594,0)),""))</f>
        <v>A6</v>
      </c>
      <c r="F1692" s="9" t="s">
        <v>124</v>
      </c>
      <c r="G1692" s="18" t="str">
        <f>IF($F1692="","",IFERROR(INDEX(Items!$B$5:$B$597,MATCH($F1692,Items!$A$5:$A$597,0)),"⚠ not in Items"))</f>
        <v>Gloves</v>
      </c>
      <c r="H1692" s="19" t="str">
        <f>IF($F1692="","",IFERROR(INDEX(Items!$C$5:$C$597,MATCH($F1692,Items!$A$5:$A$597,0)),""))</f>
        <v>Large</v>
      </c>
      <c r="I1692" s="23">
        <f>IF($F1692="","",IFERROR(INDEX(Items!$E$5:$E$597,MATCH($F1692,Items!$A$5:$A$597,0)),""))</f>
        <v>500</v>
      </c>
      <c r="J1692" s="115">
        <f>IF(tblIssues[[#This Row],[Qty Override]]&lt;&gt;"",tblIssues[[#This Row],[Qty Override]],IF(tblIssues[[#This Row],[Standard Issue]]="","",tblIssues[[#This Row],[Standard Issue]]))</f>
        <v>500</v>
      </c>
      <c r="K1692" s="20">
        <f>IF($F1692="","",IFERROR(INDEX(Items!$D$5:$D$597,MATCH($F1692,Items!$A$5:$A$597,0)),""))</f>
        <v>5.5E-2</v>
      </c>
      <c r="L1692" s="21">
        <f t="shared" si="294"/>
        <v>27.5</v>
      </c>
      <c r="M1692" s="9" t="str">
        <f t="shared" si="292"/>
        <v>ZIM511139904-3</v>
      </c>
      <c r="N1692" s="24">
        <f>IF($A1692="","",WORKDAY($A1692,Settings!$C$9,HolidayDates))</f>
        <v>46219</v>
      </c>
      <c r="O1692" s="24">
        <f>IF($N1692="","",WORKDAY($N1692,Settings!$C$10,HolidayDates))</f>
        <v>46259</v>
      </c>
      <c r="P1692" s="10" t="s">
        <v>501</v>
      </c>
      <c r="Q1692" s="52" t="str">
        <f t="shared" si="295"/>
        <v>Collected</v>
      </c>
      <c r="R1692" s="55" t="str">
        <f t="shared" si="296"/>
        <v>2026-07</v>
      </c>
      <c r="S1692" s="55">
        <f>IF(OR($B1692="",$F1692="",$R1692=""),"",SUMIFS(tblIssues[Qty Issued],tblIssues[Staff ID],$B1692,tblIssues[Item Name],$F1692,tblIssues[Month],$R1692))</f>
        <v>1000</v>
      </c>
      <c r="T1692" s="56">
        <f>IF($I1692="","",$I1692*Settings!$C$11)</f>
        <v>500</v>
      </c>
      <c r="U1692" s="57" t="str">
        <f t="shared" si="293"/>
        <v>⚠ OVER QUOTA</v>
      </c>
      <c r="V1692" s="55" t="str">
        <f t="shared" si="297"/>
        <v>PSW-126-A6 | Gloves - Large | 2026-07</v>
      </c>
      <c r="W1692" s="55" t="str">
        <f>IF($V1692="","",IF(COUNTIF($V$5:$V1692,$V1692)=1,1,""))</f>
        <v/>
      </c>
      <c r="X1692" s="58" t="str">
        <f>IF($W1692="","",MAX($X$4:X1691)+1)</f>
        <v/>
      </c>
      <c r="Y1692" s="62"/>
      <c r="Z1692" s="62"/>
      <c r="AA1692" s="64" t="str">
        <f>IF($C1692="","",IFERROR(INDEX('Staff Directory'!$E$5:$E$594,MATCH($C1692,'Staff Directory'!$B$5:$B$594,0)),""))</f>
        <v>firstname189.lastname189@example.com</v>
      </c>
      <c r="AB1692" s="64" t="str">
        <f>IF($C1692="","",IF(ISNUMBER(SEARCH($D1692,Settings!$C$15)),"Pickup","Dispatch"))</f>
        <v>Pickup</v>
      </c>
      <c r="AC1692" s="64" t="str">
        <f t="shared" si="298"/>
        <v>Supply order ready for pickup</v>
      </c>
      <c r="AD1692" s="64" t="str">
        <f t="shared" si="289"/>
        <v>Dear PSW,
Your order is ready for pickup from Sample Branch, Wed-Fri 9am-4pm.</v>
      </c>
      <c r="AE1692" s="64" t="str">
        <f t="shared" si="290"/>
        <v>mailto:firstname189.lastname189@example.com?subject=Supply%20order%20ready%20for%20pickup&amp;body=Dear%20PSW%2C%0A%0AYour%20order%20is%20ready%20for%20pickup%20from%20Sample%20Branch%2C%20Wed-Fri%209am-4pm.</v>
      </c>
      <c r="AF1692" s="89" t="str">
        <f t="shared" si="299"/>
        <v>Draft email</v>
      </c>
      <c r="AG1692" s="64" t="str">
        <f>IF($C1692="","",IFERROR(INDEX('Staff Directory'!$K$595:$K$599,MATCH($C1692,'Staff Directory'!$B$5:$B$599,0)),$D1692))</f>
        <v>PSW</v>
      </c>
      <c r="AH1692" t="str">
        <f>IF($C1692="","",IFERROR(INDEX('Staff Directory'!$I$595:$I$599,MATCH($C1692,'Staff Directory'!$B$5:$B$599,0))&amp;" "&amp;INDEX('Staff Directory'!$J$595:$J$599,MATCH($C1692,'Staff Directory'!$B$5:$B$599,0)),$AG1692))</f>
        <v>PSW</v>
      </c>
      <c r="AI1692" s="102"/>
      <c r="AJ1692" s="101">
        <f>IF($F1692="","",SUMIFS($J$5:$J1692,$F$5:$F1692,$F1692))</f>
        <v>44000</v>
      </c>
      <c r="AK1692" s="101">
        <f t="shared" si="291"/>
        <v>43501</v>
      </c>
      <c r="AL1692" s="66" t="str" cm="1">
        <f t="array" ref="AL1692">IF($F1692="","",IFERROR(INDEX('Lot Balance'!$B$5:$B$500,MATCH(1,INDEX(('Lot Balance'!$A$5:$A$500=$F1692)*('Lot Balance'!$K$5:$K$500&lt;$AK1692)*('Lot Balance'!$K$5:$K$500+'Lot Balance'!$D$5:$D$500&gt;=$AK1692),0),0)),""))</f>
        <v>ZIM511139904-3</v>
      </c>
      <c r="AM1692" s="66" t="str" cm="1">
        <f t="array" ref="AM1692">IF($F1692="","",IFERROR(INDEX('Lot Balance'!$B$5:$B$500,MATCH(1,INDEX(('Lot Balance'!$A$5:$A$500=$F1692)*('Lot Balance'!$K$5:$K$500&lt;$AJ1692)*('Lot Balance'!$K$5:$K$500+'Lot Balance'!$D$5:$D$500&gt;=$AJ1692),0),0)),""))</f>
        <v>ZIM511139904-3</v>
      </c>
      <c r="AN1692" s="66" t="str">
        <f>IF($F1692="","",IF($AI1692&lt;&gt;"",IF(COUNTIFS('Lot Balance'!$A$5:$A$500,$F1692,'Lot Balance'!$B$5:$B$500,$AI1692)=0,"⚠ override is not a lot of this item",IF($AI1692=$AL1692,"Override = FEFO","Override - FEFO says "&amp;$AL1692)),IF($AL1692="","⚠ no receipt on file for this item",IF($AM1692&lt;&gt;$AL1692,"FEFO auto - split, also "&amp;$AM1692,"FEFO auto"))))</f>
        <v>FEFO auto</v>
      </c>
      <c r="AO1692" s="114"/>
    </row>
    <row r="1693" spans="1:41" x14ac:dyDescent="0.35">
      <c r="A1693" s="74">
        <v>46211</v>
      </c>
      <c r="B1693" s="18" t="str">
        <f>IF($C1693="","",IFERROR(INDEX('Staff Directory'!$A$5:$A$594,MATCH($C1693,'Staff Directory'!$B$5:$B$594,0)),"⚠ unknown staff"))</f>
        <v>PSW-032-A6</v>
      </c>
      <c r="C1693" s="49" t="s">
        <v>1007</v>
      </c>
      <c r="D1693" s="19" t="str">
        <f>IF($B1693="","",IFERROR(INDEX('Staff Directory'!$C$5:$C$594,MATCH($B1693,'Staff Directory'!$A$5:$A$594,0)),""))</f>
        <v>PSW</v>
      </c>
      <c r="E1693" s="19" t="str">
        <f>IF($B1693="","",IFERROR(INDEX('Staff Directory'!$D$5:$D$594,MATCH($B1693,'Staff Directory'!$A$5:$A$594,0)),""))</f>
        <v>A6</v>
      </c>
      <c r="F1693" s="9" t="s">
        <v>127</v>
      </c>
      <c r="G1693" s="18" t="str">
        <f>IF($F1693="","",IFERROR(INDEX(Items!$B$5:$B$597,MATCH($F1693,Items!$A$5:$A$597,0)),"⚠ not in Items"))</f>
        <v>Gloves</v>
      </c>
      <c r="H1693" s="19" t="str">
        <f>IF($F1693="","",IFERROR(INDEX(Items!$C$5:$C$597,MATCH($F1693,Items!$A$5:$A$597,0)),""))</f>
        <v>Medium</v>
      </c>
      <c r="I1693" s="23">
        <f>IF($F1693="","",IFERROR(INDEX(Items!$E$5:$E$597,MATCH($F1693,Items!$A$5:$A$597,0)),""))</f>
        <v>500</v>
      </c>
      <c r="J1693" s="115">
        <f>IF(tblIssues[[#This Row],[Qty Override]]&lt;&gt;"",tblIssues[[#This Row],[Qty Override]],IF(tblIssues[[#This Row],[Standard Issue]]="","",tblIssues[[#This Row],[Standard Issue]]))</f>
        <v>500</v>
      </c>
      <c r="K1693" s="20">
        <f>IF($F1693="","",IFERROR(INDEX(Items!$D$5:$D$597,MATCH($F1693,Items!$A$5:$A$597,0)),""))</f>
        <v>5.5E-2</v>
      </c>
      <c r="L1693" s="21">
        <f t="shared" si="294"/>
        <v>27.5</v>
      </c>
      <c r="M1693" s="9" t="str">
        <f t="shared" si="292"/>
        <v>ZIM604151579</v>
      </c>
      <c r="N1693" s="24">
        <f>IF($A1693="","",WORKDAY($A1693,Settings!$C$9,HolidayDates))</f>
        <v>46219</v>
      </c>
      <c r="O1693" s="24">
        <f>IF($N1693="","",WORKDAY($N1693,Settings!$C$10,HolidayDates))</f>
        <v>46259</v>
      </c>
      <c r="P1693" s="10" t="s">
        <v>501</v>
      </c>
      <c r="Q1693" s="52" t="str">
        <f t="shared" si="295"/>
        <v>Collected</v>
      </c>
      <c r="R1693" s="55" t="str">
        <f t="shared" si="296"/>
        <v>2026-07</v>
      </c>
      <c r="S1693" s="55">
        <f>IF(OR($B1693="",$F1693="",$R1693=""),"",SUMIFS(tblIssues[Qty Issued],tblIssues[Staff ID],$B1693,tblIssues[Item Name],$F1693,tblIssues[Month],$R1693))</f>
        <v>500</v>
      </c>
      <c r="T1693" s="56">
        <f>IF($I1693="","",$I1693*Settings!$C$11)</f>
        <v>500</v>
      </c>
      <c r="U1693" s="57" t="str">
        <f t="shared" si="293"/>
        <v>OK</v>
      </c>
      <c r="V1693" s="55" t="str">
        <f t="shared" si="297"/>
        <v/>
      </c>
      <c r="W1693" s="55" t="str">
        <f>IF($V1693="","",IF(COUNTIF($V$5:$V1693,$V1693)=1,1,""))</f>
        <v/>
      </c>
      <c r="X1693" s="58" t="str">
        <f>IF($W1693="","",MAX($X$4:X1692)+1)</f>
        <v/>
      </c>
      <c r="Y1693" s="62"/>
      <c r="Z1693" s="62"/>
      <c r="AA1693" s="64" t="str">
        <f>IF($C1693="","",IFERROR(INDEX('Staff Directory'!$E$5:$E$594,MATCH($C1693,'Staff Directory'!$B$5:$B$594,0)),""))</f>
        <v>firstname091.lastname091@example.com</v>
      </c>
      <c r="AB1693" s="64" t="str">
        <f>IF($C1693="","",IF(ISNUMBER(SEARCH($D1693,Settings!$C$15)),"Pickup","Dispatch"))</f>
        <v>Pickup</v>
      </c>
      <c r="AC1693" s="64" t="str">
        <f t="shared" si="298"/>
        <v>Supply order ready for pickup</v>
      </c>
      <c r="AD1693" s="64" t="str">
        <f t="shared" si="289"/>
        <v>Dear PSW,
Your order is ready for pickup from Sample Branch, Wed-Fri 9am-4pm.</v>
      </c>
      <c r="AE1693" s="64" t="str">
        <f t="shared" si="290"/>
        <v>mailto:firstname091.lastname091@example.com?subject=Supply%20order%20ready%20for%20pickup&amp;body=Dear%20PSW%2C%0A%0AYour%20order%20is%20ready%20for%20pickup%20from%20Sample%20Branch%2C%20Wed-Fri%209am-4pm.</v>
      </c>
      <c r="AF1693" s="89" t="str">
        <f t="shared" si="299"/>
        <v>Draft email</v>
      </c>
      <c r="AG1693" s="64" t="str">
        <f>IF($C1693="","",IFERROR(INDEX('Staff Directory'!$K$595:$K$599,MATCH($C1693,'Staff Directory'!$B$5:$B$599,0)),$D1693))</f>
        <v>PSW</v>
      </c>
      <c r="AH1693" t="str">
        <f>IF($C1693="","",IFERROR(INDEX('Staff Directory'!$I$595:$I$599,MATCH($C1693,'Staff Directory'!$B$5:$B$599,0))&amp;" "&amp;INDEX('Staff Directory'!$J$595:$J$599,MATCH($C1693,'Staff Directory'!$B$5:$B$599,0)),$AG1693))</f>
        <v>PSW</v>
      </c>
      <c r="AI1693" s="102"/>
      <c r="AJ1693" s="101">
        <f>IF($F1693="","",SUMIFS($J$5:$J1693,$F$5:$F1693,$F1693))</f>
        <v>101500</v>
      </c>
      <c r="AK1693" s="101">
        <f t="shared" si="291"/>
        <v>101001</v>
      </c>
      <c r="AL1693" s="66" t="str" cm="1">
        <f t="array" ref="AL1693">IF($F1693="","",IFERROR(INDEX('Lot Balance'!$B$5:$B$500,MATCH(1,INDEX(('Lot Balance'!$A$5:$A$500=$F1693)*('Lot Balance'!$K$5:$K$500&lt;$AK1693)*('Lot Balance'!$K$5:$K$500+'Lot Balance'!$D$5:$D$500&gt;=$AK1693),0),0)),""))</f>
        <v>ZIM604151579</v>
      </c>
      <c r="AM1693" s="66" t="str" cm="1">
        <f t="array" ref="AM1693">IF($F1693="","",IFERROR(INDEX('Lot Balance'!$B$5:$B$500,MATCH(1,INDEX(('Lot Balance'!$A$5:$A$500=$F1693)*('Lot Balance'!$K$5:$K$500&lt;$AJ1693)*('Lot Balance'!$K$5:$K$500+'Lot Balance'!$D$5:$D$500&gt;=$AJ1693),0),0)),""))</f>
        <v>ZIM604151579</v>
      </c>
      <c r="AN1693" s="66" t="str">
        <f>IF($F1693="","",IF($AI1693&lt;&gt;"",IF(COUNTIFS('Lot Balance'!$A$5:$A$500,$F1693,'Lot Balance'!$B$5:$B$500,$AI1693)=0,"⚠ override is not a lot of this item",IF($AI1693=$AL1693,"Override = FEFO","Override - FEFO says "&amp;$AL1693)),IF($AL1693="","⚠ no receipt on file for this item",IF($AM1693&lt;&gt;$AL1693,"FEFO auto - split, also "&amp;$AM1693,"FEFO auto"))))</f>
        <v>FEFO auto</v>
      </c>
      <c r="AO1693" s="114"/>
    </row>
    <row r="1694" spans="1:41" x14ac:dyDescent="0.35">
      <c r="A1694" s="74">
        <v>46211</v>
      </c>
      <c r="B1694" s="18" t="str">
        <f>IF($C1694="","",IFERROR(INDEX('Staff Directory'!$A$5:$A$594,MATCH($C1694,'Staff Directory'!$B$5:$B$594,0)),"⚠ unknown staff"))</f>
        <v>PSW-032-A6</v>
      </c>
      <c r="C1694" s="49" t="s">
        <v>1007</v>
      </c>
      <c r="D1694" s="19" t="str">
        <f>IF($B1694="","",IFERROR(INDEX('Staff Directory'!$C$5:$C$594,MATCH($B1694,'Staff Directory'!$A$5:$A$594,0)),""))</f>
        <v>PSW</v>
      </c>
      <c r="E1694" s="19" t="str">
        <f>IF($B1694="","",IFERROR(INDEX('Staff Directory'!$D$5:$D$594,MATCH($B1694,'Staff Directory'!$A$5:$A$594,0)),""))</f>
        <v>A6</v>
      </c>
      <c r="F1694" s="9" t="s">
        <v>156</v>
      </c>
      <c r="G1694" s="18" t="str">
        <f>IF($F1694="","",IFERROR(INDEX(Items!$B$5:$B$597,MATCH($F1694,Items!$A$5:$A$597,0)),"⚠ not in Items"))</f>
        <v>Masks</v>
      </c>
      <c r="H1694" s="19" t="str">
        <f>IF($F1694="","",IFERROR(INDEX(Items!$C$5:$C$597,MATCH($F1694,Items!$A$5:$A$597,0)),""))</f>
        <v>One Size</v>
      </c>
      <c r="I1694" s="23">
        <f>IF($F1694="","",IFERROR(INDEX(Items!$E$5:$E$597,MATCH($F1694,Items!$A$5:$A$597,0)),""))</f>
        <v>50</v>
      </c>
      <c r="J1694" s="115">
        <f>IF(tblIssues[[#This Row],[Qty Override]]&lt;&gt;"",tblIssues[[#This Row],[Qty Override]],IF(tblIssues[[#This Row],[Standard Issue]]="","",tblIssues[[#This Row],[Standard Issue]]))</f>
        <v>50</v>
      </c>
      <c r="K1694" s="20">
        <f>IF($F1694="","",IFERROR(INDEX(Items!$D$5:$D$597,MATCH($F1694,Items!$A$5:$A$597,0)),""))</f>
        <v>0.25</v>
      </c>
      <c r="L1694" s="21">
        <f t="shared" si="294"/>
        <v>12.5</v>
      </c>
      <c r="M1694" s="9" t="str">
        <f t="shared" si="292"/>
        <v>24HA2050A7396</v>
      </c>
      <c r="N1694" s="24">
        <f>IF($A1694="","",WORKDAY($A1694,Settings!$C$9,HolidayDates))</f>
        <v>46219</v>
      </c>
      <c r="O1694" s="24">
        <f>IF($N1694="","",WORKDAY($N1694,Settings!$C$10,HolidayDates))</f>
        <v>46259</v>
      </c>
      <c r="P1694" s="10" t="s">
        <v>501</v>
      </c>
      <c r="Q1694" s="52" t="str">
        <f t="shared" si="295"/>
        <v>Collected</v>
      </c>
      <c r="R1694" s="55" t="str">
        <f t="shared" si="296"/>
        <v>2026-07</v>
      </c>
      <c r="S1694" s="55">
        <f>IF(OR($B1694="",$F1694="",$R1694=""),"",SUMIFS(tblIssues[Qty Issued],tblIssues[Staff ID],$B1694,tblIssues[Item Name],$F1694,tblIssues[Month],$R1694))</f>
        <v>50</v>
      </c>
      <c r="T1694" s="56">
        <f>IF($I1694="","",$I1694*Settings!$C$11)</f>
        <v>50</v>
      </c>
      <c r="U1694" s="57" t="str">
        <f t="shared" si="293"/>
        <v>OK</v>
      </c>
      <c r="V1694" s="55" t="str">
        <f t="shared" si="297"/>
        <v/>
      </c>
      <c r="W1694" s="55" t="str">
        <f>IF($V1694="","",IF(COUNTIF($V$5:$V1694,$V1694)=1,1,""))</f>
        <v/>
      </c>
      <c r="X1694" s="58" t="str">
        <f>IF($W1694="","",MAX($X$4:X1693)+1)</f>
        <v/>
      </c>
      <c r="Y1694" s="62"/>
      <c r="Z1694" s="62"/>
      <c r="AA1694" s="64" t="str">
        <f>IF($C1694="","",IFERROR(INDEX('Staff Directory'!$E$5:$E$594,MATCH($C1694,'Staff Directory'!$B$5:$B$594,0)),""))</f>
        <v>firstname091.lastname091@example.com</v>
      </c>
      <c r="AB1694" s="64" t="str">
        <f>IF($C1694="","",IF(ISNUMBER(SEARCH($D1694,Settings!$C$15)),"Pickup","Dispatch"))</f>
        <v>Pickup</v>
      </c>
      <c r="AC1694" s="64" t="str">
        <f t="shared" si="298"/>
        <v>Supply order ready for pickup</v>
      </c>
      <c r="AD1694" s="64" t="str">
        <f t="shared" si="289"/>
        <v>Dear PSW,
Your order is ready for pickup from Sample Branch, Wed-Fri 9am-4pm.</v>
      </c>
      <c r="AE1694" s="64" t="str">
        <f t="shared" si="290"/>
        <v>mailto:firstname091.lastname091@example.com?subject=Supply%20order%20ready%20for%20pickup&amp;body=Dear%20PSW%2C%0A%0AYour%20order%20is%20ready%20for%20pickup%20from%20Sample%20Branch%2C%20Wed-Fri%209am-4pm.</v>
      </c>
      <c r="AF1694" s="89" t="str">
        <f t="shared" si="299"/>
        <v>Draft email</v>
      </c>
      <c r="AG1694" s="64" t="str">
        <f>IF($C1694="","",IFERROR(INDEX('Staff Directory'!$K$595:$K$599,MATCH($C1694,'Staff Directory'!$B$5:$B$599,0)),$D1694))</f>
        <v>PSW</v>
      </c>
      <c r="AH1694" t="str">
        <f>IF($C1694="","",IFERROR(INDEX('Staff Directory'!$I$595:$I$599,MATCH($C1694,'Staff Directory'!$B$5:$B$599,0))&amp;" "&amp;INDEX('Staff Directory'!$J$595:$J$599,MATCH($C1694,'Staff Directory'!$B$5:$B$599,0)),$AG1694))</f>
        <v>PSW</v>
      </c>
      <c r="AI1694" s="102"/>
      <c r="AJ1694" s="101">
        <f>IF($F1694="","",SUMIFS($J$5:$J1694,$F$5:$F1694,$F1694))</f>
        <v>13800</v>
      </c>
      <c r="AK1694" s="101">
        <f t="shared" si="291"/>
        <v>13751</v>
      </c>
      <c r="AL1694" s="66" t="str" cm="1">
        <f t="array" ref="AL1694">IF($F1694="","",IFERROR(INDEX('Lot Balance'!$B$5:$B$500,MATCH(1,INDEX(('Lot Balance'!$A$5:$A$500=$F1694)*('Lot Balance'!$K$5:$K$500&lt;$AK1694)*('Lot Balance'!$K$5:$K$500+'Lot Balance'!$D$5:$D$500&gt;=$AK1694),0),0)),""))</f>
        <v>24HA2050A7396</v>
      </c>
      <c r="AM1694" s="66" t="str" cm="1">
        <f t="array" ref="AM1694">IF($F1694="","",IFERROR(INDEX('Lot Balance'!$B$5:$B$500,MATCH(1,INDEX(('Lot Balance'!$A$5:$A$500=$F1694)*('Lot Balance'!$K$5:$K$500&lt;$AJ1694)*('Lot Balance'!$K$5:$K$500+'Lot Balance'!$D$5:$D$500&gt;=$AJ1694),0),0)),""))</f>
        <v>24HA2050A7396</v>
      </c>
      <c r="AN1694" s="66" t="str">
        <f>IF($F1694="","",IF($AI1694&lt;&gt;"",IF(COUNTIFS('Lot Balance'!$A$5:$A$500,$F1694,'Lot Balance'!$B$5:$B$500,$AI1694)=0,"⚠ override is not a lot of this item",IF($AI1694=$AL1694,"Override = FEFO","Override - FEFO says "&amp;$AL1694)),IF($AL1694="","⚠ no receipt on file for this item",IF($AM1694&lt;&gt;$AL1694,"FEFO auto - split, also "&amp;$AM1694,"FEFO auto"))))</f>
        <v>FEFO auto</v>
      </c>
      <c r="AO1694" s="114"/>
    </row>
    <row r="1695" spans="1:41" x14ac:dyDescent="0.35">
      <c r="A1695" s="74">
        <v>46211</v>
      </c>
      <c r="B1695" s="18" t="str">
        <f>IF($C1695="","",IFERROR(INDEX('Staff Directory'!$A$5:$A$594,MATCH($C1695,'Staff Directory'!$B$5:$B$594,0)),"⚠ unknown staff"))</f>
        <v>PSW-032-A6</v>
      </c>
      <c r="C1695" s="49" t="s">
        <v>1007</v>
      </c>
      <c r="D1695" s="19" t="str">
        <f>IF($B1695="","",IFERROR(INDEX('Staff Directory'!$C$5:$C$594,MATCH($B1695,'Staff Directory'!$A$5:$A$594,0)),""))</f>
        <v>PSW</v>
      </c>
      <c r="E1695" s="19" t="str">
        <f>IF($B1695="","",IFERROR(INDEX('Staff Directory'!$D$5:$D$594,MATCH($B1695,'Staff Directory'!$A$5:$A$594,0)),""))</f>
        <v>A6</v>
      </c>
      <c r="F1695" s="9" t="s">
        <v>758</v>
      </c>
      <c r="G1695" s="18" t="str">
        <f>IF($F1695="","",IFERROR(INDEX(Items!$B$5:$B$597,MATCH($F1695,Items!$A$5:$A$597,0)),"⚠ not in Items"))</f>
        <v>Utility</v>
      </c>
      <c r="H1695" s="19" t="str">
        <f>IF($F1695="","",IFERROR(INDEX(Items!$C$5:$C$597,MATCH($F1695,Items!$A$5:$A$597,0)),""))</f>
        <v>Standard</v>
      </c>
      <c r="I1695" s="23">
        <f>IF($F1695="","",IFERROR(INDEX(Items!$E$5:$E$597,MATCH($F1695,Items!$A$5:$A$597,0)),""))</f>
        <v>1</v>
      </c>
      <c r="J1695" s="115">
        <f>IF(tblIssues[[#This Row],[Qty Override]]&lt;&gt;"",tblIssues[[#This Row],[Qty Override]],IF(tblIssues[[#This Row],[Standard Issue]]="","",tblIssues[[#This Row],[Standard Issue]]))</f>
        <v>1</v>
      </c>
      <c r="K1695" s="20">
        <f>IF($F1695="","",IFERROR(INDEX(Items!$D$5:$D$597,MATCH($F1695,Items!$A$5:$A$597,0)),""))</f>
        <v>0</v>
      </c>
      <c r="L1695" s="21">
        <f t="shared" si="294"/>
        <v>0</v>
      </c>
      <c r="M1695" s="9" t="str">
        <f t="shared" si="292"/>
        <v/>
      </c>
      <c r="N1695" s="24">
        <f>IF($A1695="","",WORKDAY($A1695,Settings!$C$9,HolidayDates))</f>
        <v>46219</v>
      </c>
      <c r="O1695" s="24">
        <f>IF($N1695="","",WORKDAY($N1695,Settings!$C$10,HolidayDates))</f>
        <v>46259</v>
      </c>
      <c r="P1695" s="10" t="s">
        <v>501</v>
      </c>
      <c r="Q1695" s="52" t="str">
        <f t="shared" si="295"/>
        <v>Collected</v>
      </c>
      <c r="R1695" s="55" t="str">
        <f t="shared" si="296"/>
        <v>2026-07</v>
      </c>
      <c r="S1695" s="55">
        <f>IF(OR($B1695="",$F1695="",$R1695=""),"",SUMIFS(tblIssues[Qty Issued],tblIssues[Staff ID],$B1695,tblIssues[Item Name],$F1695,tblIssues[Month],$R1695))</f>
        <v>1</v>
      </c>
      <c r="T1695" s="56">
        <f>IF($I1695="","",$I1695*Settings!$C$11)</f>
        <v>1</v>
      </c>
      <c r="U1695" s="57" t="str">
        <f t="shared" si="293"/>
        <v>OK</v>
      </c>
      <c r="V1695" s="55" t="str">
        <f t="shared" si="297"/>
        <v/>
      </c>
      <c r="W1695" s="55" t="str">
        <f>IF($V1695="","",IF(COUNTIF($V$5:$V1695,$V1695)=1,1,""))</f>
        <v/>
      </c>
      <c r="X1695" s="58" t="str">
        <f>IF($W1695="","",MAX($X$4:X1694)+1)</f>
        <v/>
      </c>
      <c r="Y1695" s="62"/>
      <c r="Z1695" s="62"/>
      <c r="AA1695" s="64" t="str">
        <f>IF($C1695="","",IFERROR(INDEX('Staff Directory'!$E$5:$E$594,MATCH($C1695,'Staff Directory'!$B$5:$B$594,0)),""))</f>
        <v>firstname091.lastname091@example.com</v>
      </c>
      <c r="AB1695" s="64" t="str">
        <f>IF($C1695="","",IF(ISNUMBER(SEARCH($D1695,Settings!$C$15)),"Pickup","Dispatch"))</f>
        <v>Pickup</v>
      </c>
      <c r="AC1695" s="64" t="str">
        <f t="shared" si="298"/>
        <v>Supply order ready for pickup</v>
      </c>
      <c r="AD1695" s="64" t="str">
        <f t="shared" si="289"/>
        <v>Dear PSW,
Your order is ready for pickup from Sample Branch, Wed-Fri 9am-4pm.</v>
      </c>
      <c r="AE1695" s="64" t="str">
        <f t="shared" si="290"/>
        <v>mailto:firstname091.lastname091@example.com?subject=Supply%20order%20ready%20for%20pickup&amp;body=Dear%20PSW%2C%0A%0AYour%20order%20is%20ready%20for%20pickup%20from%20Sample%20Branch%2C%20Wed-Fri%209am-4pm.</v>
      </c>
      <c r="AF1695" s="89" t="str">
        <f t="shared" si="299"/>
        <v>Draft email</v>
      </c>
      <c r="AG1695" s="64" t="str">
        <f>IF($C1695="","",IFERROR(INDEX('Staff Directory'!$K$595:$K$599,MATCH($C1695,'Staff Directory'!$B$5:$B$599,0)),$D1695))</f>
        <v>PSW</v>
      </c>
      <c r="AH1695" t="str">
        <f>IF($C1695="","",IFERROR(INDEX('Staff Directory'!$I$595:$I$599,MATCH($C1695,'Staff Directory'!$B$5:$B$599,0))&amp;" "&amp;INDEX('Staff Directory'!$J$595:$J$599,MATCH($C1695,'Staff Directory'!$B$5:$B$599,0)),$AG1695))</f>
        <v>PSW</v>
      </c>
      <c r="AI1695" s="102"/>
      <c r="AJ1695" s="101">
        <f>IF($F1695="","",SUMIFS($J$5:$J1695,$F$5:$F1695,$F1695))</f>
        <v>54</v>
      </c>
      <c r="AK1695" s="101">
        <f t="shared" si="291"/>
        <v>54</v>
      </c>
      <c r="AL1695" s="66" t="str" cm="1">
        <f t="array" ref="AL1695">IF($F1695="","",IFERROR(INDEX('Lot Balance'!$B$5:$B$500,MATCH(1,INDEX(('Lot Balance'!$A$5:$A$500=$F1695)*('Lot Balance'!$K$5:$K$500&lt;$AK1695)*('Lot Balance'!$K$5:$K$500+'Lot Balance'!$D$5:$D$500&gt;=$AK1695),0),0)),""))</f>
        <v/>
      </c>
      <c r="AM1695" s="66" t="str" cm="1">
        <f t="array" ref="AM1695">IF($F1695="","",IFERROR(INDEX('Lot Balance'!$B$5:$B$500,MATCH(1,INDEX(('Lot Balance'!$A$5:$A$500=$F1695)*('Lot Balance'!$K$5:$K$500&lt;$AJ1695)*('Lot Balance'!$K$5:$K$500+'Lot Balance'!$D$5:$D$500&gt;=$AJ1695),0),0)),""))</f>
        <v/>
      </c>
      <c r="AN1695" s="66" t="str">
        <f>IF($F1695="","",IF($AI1695&lt;&gt;"",IF(COUNTIFS('Lot Balance'!$A$5:$A$500,$F1695,'Lot Balance'!$B$5:$B$500,$AI1695)=0,"⚠ override is not a lot of this item",IF($AI1695=$AL1695,"Override = FEFO","Override - FEFO says "&amp;$AL1695)),IF($AL1695="","⚠ no receipt on file for this item",IF($AM1695&lt;&gt;$AL1695,"FEFO auto - split, also "&amp;$AM1695,"FEFO auto"))))</f>
        <v>⚠ no receipt on file for this item</v>
      </c>
      <c r="AO1695" s="114"/>
    </row>
    <row r="1696" spans="1:41" x14ac:dyDescent="0.35">
      <c r="A1696" s="74">
        <v>46211</v>
      </c>
      <c r="B1696" s="18" t="str">
        <f>IF($C1696="","",IFERROR(INDEX('Staff Directory'!$A$5:$A$594,MATCH($C1696,'Staff Directory'!$B$5:$B$594,0)),"⚠ unknown staff"))</f>
        <v>PSW-104-A6</v>
      </c>
      <c r="C1696" s="49" t="s">
        <v>1082</v>
      </c>
      <c r="D1696" s="19" t="str">
        <f>IF($B1696="","",IFERROR(INDEX('Staff Directory'!$C$5:$C$594,MATCH($B1696,'Staff Directory'!$A$5:$A$594,0)),""))</f>
        <v>PSW</v>
      </c>
      <c r="E1696" s="19" t="str">
        <f>IF($B1696="","",IFERROR(INDEX('Staff Directory'!$D$5:$D$594,MATCH($B1696,'Staff Directory'!$A$5:$A$594,0)),""))</f>
        <v>A6</v>
      </c>
      <c r="F1696" s="9" t="s">
        <v>758</v>
      </c>
      <c r="G1696" s="18" t="str">
        <f>IF($F1696="","",IFERROR(INDEX(Items!$B$5:$B$597,MATCH($F1696,Items!$A$5:$A$597,0)),"⚠ not in Items"))</f>
        <v>Utility</v>
      </c>
      <c r="H1696" s="19" t="str">
        <f>IF($F1696="","",IFERROR(INDEX(Items!$C$5:$C$597,MATCH($F1696,Items!$A$5:$A$597,0)),""))</f>
        <v>Standard</v>
      </c>
      <c r="I1696" s="23">
        <f>IF($F1696="","",IFERROR(INDEX(Items!$E$5:$E$597,MATCH($F1696,Items!$A$5:$A$597,0)),""))</f>
        <v>1</v>
      </c>
      <c r="J1696" s="115">
        <f>IF(tblIssues[[#This Row],[Qty Override]]&lt;&gt;"",tblIssues[[#This Row],[Qty Override]],IF(tblIssues[[#This Row],[Standard Issue]]="","",tblIssues[[#This Row],[Standard Issue]]))</f>
        <v>1</v>
      </c>
      <c r="K1696" s="20">
        <f>IF($F1696="","",IFERROR(INDEX(Items!$D$5:$D$597,MATCH($F1696,Items!$A$5:$A$597,0)),""))</f>
        <v>0</v>
      </c>
      <c r="L1696" s="21">
        <f t="shared" si="294"/>
        <v>0</v>
      </c>
      <c r="M1696" s="9" t="str">
        <f t="shared" si="292"/>
        <v/>
      </c>
      <c r="N1696" s="24">
        <f>IF($A1696="","",WORKDAY($A1696,Settings!$C$9,HolidayDates))</f>
        <v>46219</v>
      </c>
      <c r="O1696" s="24">
        <f>IF($N1696="","",WORKDAY($N1696,Settings!$C$10,HolidayDates))</f>
        <v>46259</v>
      </c>
      <c r="P1696" s="10" t="s">
        <v>501</v>
      </c>
      <c r="Q1696" s="52" t="str">
        <f t="shared" si="295"/>
        <v>Collected</v>
      </c>
      <c r="R1696" s="55" t="str">
        <f t="shared" si="296"/>
        <v>2026-07</v>
      </c>
      <c r="S1696" s="55">
        <f>IF(OR($B1696="",$F1696="",$R1696=""),"",SUMIFS(tblIssues[Qty Issued],tblIssues[Staff ID],$B1696,tblIssues[Item Name],$F1696,tblIssues[Month],$R1696))</f>
        <v>1</v>
      </c>
      <c r="T1696" s="56">
        <f>IF($I1696="","",$I1696*Settings!$C$11)</f>
        <v>1</v>
      </c>
      <c r="U1696" s="57" t="str">
        <f t="shared" si="293"/>
        <v>OK</v>
      </c>
      <c r="V1696" s="55" t="str">
        <f t="shared" si="297"/>
        <v/>
      </c>
      <c r="W1696" s="55" t="str">
        <f>IF($V1696="","",IF(COUNTIF($V$5:$V1696,$V1696)=1,1,""))</f>
        <v/>
      </c>
      <c r="X1696" s="58" t="str">
        <f>IF($W1696="","",MAX($X$4:X1695)+1)</f>
        <v/>
      </c>
      <c r="Y1696" s="62"/>
      <c r="Z1696" s="62"/>
      <c r="AA1696" s="64" t="str">
        <f>IF($C1696="","",IFERROR(INDEX('Staff Directory'!$E$5:$E$594,MATCH($C1696,'Staff Directory'!$B$5:$B$594,0)),""))</f>
        <v>firstname166.lastname166@example.com</v>
      </c>
      <c r="AB1696" s="64" t="str">
        <f>IF($C1696="","",IF(ISNUMBER(SEARCH($D1696,Settings!$C$15)),"Pickup","Dispatch"))</f>
        <v>Pickup</v>
      </c>
      <c r="AC1696" s="64" t="str">
        <f t="shared" si="298"/>
        <v>Supply order ready for pickup</v>
      </c>
      <c r="AD1696" s="64" t="str">
        <f t="shared" si="289"/>
        <v>Dear PSW,
Your order is ready for pickup from Sample Branch, Wed-Fri 9am-4pm.</v>
      </c>
      <c r="AE1696" s="64" t="str">
        <f t="shared" si="290"/>
        <v>mailto:firstname166.lastname166@example.com?subject=Supply%20order%20ready%20for%20pickup&amp;body=Dear%20PSW%2C%0A%0AYour%20order%20is%20ready%20for%20pickup%20from%20Sample%20Branch%2C%20Wed-Fri%209am-4pm.</v>
      </c>
      <c r="AF1696" s="89" t="str">
        <f t="shared" si="299"/>
        <v>Draft email</v>
      </c>
      <c r="AG1696" s="64" t="str">
        <f>IF($C1696="","",IFERROR(INDEX('Staff Directory'!$K$595:$K$599,MATCH($C1696,'Staff Directory'!$B$5:$B$599,0)),$D1696))</f>
        <v>PSW</v>
      </c>
      <c r="AH1696" t="str">
        <f>IF($C1696="","",IFERROR(INDEX('Staff Directory'!$I$595:$I$599,MATCH($C1696,'Staff Directory'!$B$5:$B$599,0))&amp;" "&amp;INDEX('Staff Directory'!$J$595:$J$599,MATCH($C1696,'Staff Directory'!$B$5:$B$599,0)),$AG1696))</f>
        <v>PSW</v>
      </c>
      <c r="AI1696" s="102"/>
      <c r="AJ1696" s="101">
        <f>IF($F1696="","",SUMIFS($J$5:$J1696,$F$5:$F1696,$F1696))</f>
        <v>55</v>
      </c>
      <c r="AK1696" s="101">
        <f t="shared" si="291"/>
        <v>55</v>
      </c>
      <c r="AL1696" s="66" t="str" cm="1">
        <f t="array" ref="AL1696">IF($F1696="","",IFERROR(INDEX('Lot Balance'!$B$5:$B$500,MATCH(1,INDEX(('Lot Balance'!$A$5:$A$500=$F1696)*('Lot Balance'!$K$5:$K$500&lt;$AK1696)*('Lot Balance'!$K$5:$K$500+'Lot Balance'!$D$5:$D$500&gt;=$AK1696),0),0)),""))</f>
        <v/>
      </c>
      <c r="AM1696" s="66" t="str" cm="1">
        <f t="array" ref="AM1696">IF($F1696="","",IFERROR(INDEX('Lot Balance'!$B$5:$B$500,MATCH(1,INDEX(('Lot Balance'!$A$5:$A$500=$F1696)*('Lot Balance'!$K$5:$K$500&lt;$AJ1696)*('Lot Balance'!$K$5:$K$500+'Lot Balance'!$D$5:$D$500&gt;=$AJ1696),0),0)),""))</f>
        <v/>
      </c>
      <c r="AN1696" s="66" t="str">
        <f>IF($F1696="","",IF($AI1696&lt;&gt;"",IF(COUNTIFS('Lot Balance'!$A$5:$A$500,$F1696,'Lot Balance'!$B$5:$B$500,$AI1696)=0,"⚠ override is not a lot of this item",IF($AI1696=$AL1696,"Override = FEFO","Override - FEFO says "&amp;$AL1696)),IF($AL1696="","⚠ no receipt on file for this item",IF($AM1696&lt;&gt;$AL1696,"FEFO auto - split, also "&amp;$AM1696,"FEFO auto"))))</f>
        <v>⚠ no receipt on file for this item</v>
      </c>
      <c r="AO1696" s="114"/>
    </row>
    <row r="1697" spans="1:41" x14ac:dyDescent="0.35">
      <c r="A1697" s="74">
        <v>46211</v>
      </c>
      <c r="B1697" s="18" t="str">
        <f>IF($C1697="","",IFERROR(INDEX('Staff Directory'!$A$5:$A$594,MATCH($C1697,'Staff Directory'!$B$5:$B$594,0)),"⚠ unknown staff"))</f>
        <v>PSW-047-A5</v>
      </c>
      <c r="C1697" s="49" t="s">
        <v>1023</v>
      </c>
      <c r="D1697" s="19" t="str">
        <f>IF($B1697="","",IFERROR(INDEX('Staff Directory'!$C$5:$C$594,MATCH($B1697,'Staff Directory'!$A$5:$A$594,0)),""))</f>
        <v>PSW</v>
      </c>
      <c r="E1697" s="19" t="str">
        <f>IF($B1697="","",IFERROR(INDEX('Staff Directory'!$D$5:$D$594,MATCH($B1697,'Staff Directory'!$A$5:$A$594,0)),""))</f>
        <v>A5</v>
      </c>
      <c r="F1697" s="9" t="s">
        <v>115</v>
      </c>
      <c r="G1697" s="18" t="str">
        <f>IF($F1697="","",IFERROR(INDEX(Items!$B$5:$B$597,MATCH($F1697,Items!$A$5:$A$597,0)),"⚠ not in Items"))</f>
        <v>Wipes</v>
      </c>
      <c r="H1697" s="19">
        <f>IF($F1697="","",IFERROR(INDEX(Items!$C$5:$C$597,MATCH($F1697,Items!$A$5:$A$597,0)),""))</f>
        <v>80</v>
      </c>
      <c r="I1697" s="23">
        <f>IF($F1697="","",IFERROR(INDEX(Items!$E$5:$E$597,MATCH($F1697,Items!$A$5:$A$597,0)),""))</f>
        <v>80</v>
      </c>
      <c r="J1697" s="115">
        <f>IF(tblIssues[[#This Row],[Qty Override]]&lt;&gt;"",tblIssues[[#This Row],[Qty Override]],IF(tblIssues[[#This Row],[Standard Issue]]="","",tblIssues[[#This Row],[Standard Issue]]))</f>
        <v>80</v>
      </c>
      <c r="K1697" s="20">
        <f>IF($F1697="","",IFERROR(INDEX(Items!$D$5:$D$597,MATCH($F1697,Items!$A$5:$A$597,0)),""))</f>
        <v>0.1</v>
      </c>
      <c r="L1697" s="21">
        <f t="shared" si="294"/>
        <v>8</v>
      </c>
      <c r="M1697" s="9" t="str">
        <f t="shared" si="292"/>
        <v>LYSL500290</v>
      </c>
      <c r="N1697" s="24">
        <f>IF($A1697="","",WORKDAY($A1697,Settings!$C$9,HolidayDates))</f>
        <v>46219</v>
      </c>
      <c r="O1697" s="24">
        <f>IF($N1697="","",WORKDAY($N1697,Settings!$C$10,HolidayDates))</f>
        <v>46259</v>
      </c>
      <c r="P1697" s="10" t="s">
        <v>501</v>
      </c>
      <c r="Q1697" s="52" t="str">
        <f t="shared" si="295"/>
        <v>Collected</v>
      </c>
      <c r="R1697" s="55" t="str">
        <f t="shared" si="296"/>
        <v>2026-07</v>
      </c>
      <c r="S1697" s="55">
        <f>IF(OR($B1697="",$F1697="",$R1697=""),"",SUMIFS(tblIssues[Qty Issued],tblIssues[Staff ID],$B1697,tblIssues[Item Name],$F1697,tblIssues[Month],$R1697))</f>
        <v>80</v>
      </c>
      <c r="T1697" s="56">
        <f>IF($I1697="","",$I1697*Settings!$C$11)</f>
        <v>80</v>
      </c>
      <c r="U1697" s="57" t="str">
        <f t="shared" si="293"/>
        <v>OK</v>
      </c>
      <c r="V1697" s="55" t="str">
        <f t="shared" si="297"/>
        <v/>
      </c>
      <c r="W1697" s="55" t="str">
        <f>IF($V1697="","",IF(COUNTIF($V$5:$V1697,$V1697)=1,1,""))</f>
        <v/>
      </c>
      <c r="X1697" s="58" t="str">
        <f>IF($W1697="","",MAX($X$4:X1696)+1)</f>
        <v/>
      </c>
      <c r="Y1697" s="62"/>
      <c r="Z1697" s="62"/>
      <c r="AA1697" s="64" t="str">
        <f>IF($C1697="","",IFERROR(INDEX('Staff Directory'!$E$5:$E$594,MATCH($C1697,'Staff Directory'!$B$5:$B$594,0)),""))</f>
        <v>firstname107.lastname107@example.com</v>
      </c>
      <c r="AB1697" s="64" t="str">
        <f>IF($C1697="","",IF(ISNUMBER(SEARCH($D1697,Settings!$C$15)),"Pickup","Dispatch"))</f>
        <v>Pickup</v>
      </c>
      <c r="AC1697" s="64" t="str">
        <f t="shared" si="298"/>
        <v>Supply order ready for pickup</v>
      </c>
      <c r="AD1697" s="64" t="str">
        <f t="shared" si="289"/>
        <v>Dear PSW,
Your order is ready for pickup from Sample Branch, Wed-Fri 9am-4pm.</v>
      </c>
      <c r="AE1697" s="64" t="str">
        <f t="shared" si="290"/>
        <v>mailto:firstname107.lastname107@example.com?subject=Supply%20order%20ready%20for%20pickup&amp;body=Dear%20PSW%2C%0A%0AYour%20order%20is%20ready%20for%20pickup%20from%20Sample%20Branch%2C%20Wed-Fri%209am-4pm.</v>
      </c>
      <c r="AF1697" s="89" t="str">
        <f t="shared" si="299"/>
        <v>Draft email</v>
      </c>
      <c r="AG1697" s="64" t="str">
        <f>IF($C1697="","",IFERROR(INDEX('Staff Directory'!$K$595:$K$599,MATCH($C1697,'Staff Directory'!$B$5:$B$599,0)),$D1697))</f>
        <v>PSW</v>
      </c>
      <c r="AH1697" t="str">
        <f>IF($C1697="","",IFERROR(INDEX('Staff Directory'!$I$595:$I$599,MATCH($C1697,'Staff Directory'!$B$5:$B$599,0))&amp;" "&amp;INDEX('Staff Directory'!$J$595:$J$599,MATCH($C1697,'Staff Directory'!$B$5:$B$599,0)),$AG1697))</f>
        <v>PSW</v>
      </c>
      <c r="AI1697" s="102"/>
      <c r="AJ1697" s="101">
        <f>IF($F1697="","",SUMIFS($J$5:$J1697,$F$5:$F1697,$F1697))</f>
        <v>22560</v>
      </c>
      <c r="AK1697" s="101">
        <f t="shared" si="291"/>
        <v>22481</v>
      </c>
      <c r="AL1697" s="66" t="str" cm="1">
        <f t="array" ref="AL1697">IF($F1697="","",IFERROR(INDEX('Lot Balance'!$B$5:$B$500,MATCH(1,INDEX(('Lot Balance'!$A$5:$A$500=$F1697)*('Lot Balance'!$K$5:$K$500&lt;$AK1697)*('Lot Balance'!$K$5:$K$500+'Lot Balance'!$D$5:$D$500&gt;=$AK1697),0),0)),""))</f>
        <v>LYSL500290</v>
      </c>
      <c r="AM1697" s="66" t="str" cm="1">
        <f t="array" ref="AM1697">IF($F1697="","",IFERROR(INDEX('Lot Balance'!$B$5:$B$500,MATCH(1,INDEX(('Lot Balance'!$A$5:$A$500=$F1697)*('Lot Balance'!$K$5:$K$500&lt;$AJ1697)*('Lot Balance'!$K$5:$K$500+'Lot Balance'!$D$5:$D$500&gt;=$AJ1697),0),0)),""))</f>
        <v>LYSL500290</v>
      </c>
      <c r="AN1697" s="66" t="str">
        <f>IF($F1697="","",IF($AI1697&lt;&gt;"",IF(COUNTIFS('Lot Balance'!$A$5:$A$500,$F1697,'Lot Balance'!$B$5:$B$500,$AI1697)=0,"⚠ override is not a lot of this item",IF($AI1697=$AL1697,"Override = FEFO","Override - FEFO says "&amp;$AL1697)),IF($AL1697="","⚠ no receipt on file for this item",IF($AM1697&lt;&gt;$AL1697,"FEFO auto - split, also "&amp;$AM1697,"FEFO auto"))))</f>
        <v>FEFO auto</v>
      </c>
      <c r="AO1697" s="114"/>
    </row>
    <row r="1698" spans="1:41" x14ac:dyDescent="0.35">
      <c r="A1698" s="74">
        <v>46211</v>
      </c>
      <c r="B1698" s="18" t="str">
        <f>IF($C1698="","",IFERROR(INDEX('Staff Directory'!$A$5:$A$594,MATCH($C1698,'Staff Directory'!$B$5:$B$594,0)),"⚠ unknown staff"))</f>
        <v>PSW-089-A5</v>
      </c>
      <c r="C1698" s="49" t="s">
        <v>1066</v>
      </c>
      <c r="D1698" s="19" t="str">
        <f>IF($B1698="","",IFERROR(INDEX('Staff Directory'!$C$5:$C$594,MATCH($B1698,'Staff Directory'!$A$5:$A$594,0)),""))</f>
        <v>PSW</v>
      </c>
      <c r="E1698" s="19" t="str">
        <f>IF($B1698="","",IFERROR(INDEX('Staff Directory'!$D$5:$D$594,MATCH($B1698,'Staff Directory'!$A$5:$A$594,0)),""))</f>
        <v>A5</v>
      </c>
      <c r="F1698" s="9" t="s">
        <v>115</v>
      </c>
      <c r="G1698" s="18" t="str">
        <f>IF($F1698="","",IFERROR(INDEX(Items!$B$5:$B$597,MATCH($F1698,Items!$A$5:$A$597,0)),"⚠ not in Items"))</f>
        <v>Wipes</v>
      </c>
      <c r="H1698" s="19">
        <f>IF($F1698="","",IFERROR(INDEX(Items!$C$5:$C$597,MATCH($F1698,Items!$A$5:$A$597,0)),""))</f>
        <v>80</v>
      </c>
      <c r="I1698" s="23">
        <f>IF($F1698="","",IFERROR(INDEX(Items!$E$5:$E$597,MATCH($F1698,Items!$A$5:$A$597,0)),""))</f>
        <v>80</v>
      </c>
      <c r="J1698" s="115">
        <f>IF(tblIssues[[#This Row],[Qty Override]]&lt;&gt;"",tblIssues[[#This Row],[Qty Override]],IF(tblIssues[[#This Row],[Standard Issue]]="","",tblIssues[[#This Row],[Standard Issue]]))</f>
        <v>80</v>
      </c>
      <c r="K1698" s="20">
        <f>IF($F1698="","",IFERROR(INDEX(Items!$D$5:$D$597,MATCH($F1698,Items!$A$5:$A$597,0)),""))</f>
        <v>0.1</v>
      </c>
      <c r="L1698" s="21">
        <f t="shared" si="294"/>
        <v>8</v>
      </c>
      <c r="M1698" s="9" t="str">
        <f t="shared" si="292"/>
        <v>LYSL500290</v>
      </c>
      <c r="N1698" s="24">
        <f>IF($A1698="","",WORKDAY($A1698,Settings!$C$9,HolidayDates))</f>
        <v>46219</v>
      </c>
      <c r="O1698" s="24">
        <f>IF($N1698="","",WORKDAY($N1698,Settings!$C$10,HolidayDates))</f>
        <v>46259</v>
      </c>
      <c r="P1698" s="10" t="s">
        <v>501</v>
      </c>
      <c r="Q1698" s="52" t="str">
        <f t="shared" si="295"/>
        <v>Collected</v>
      </c>
      <c r="R1698" s="55" t="str">
        <f t="shared" si="296"/>
        <v>2026-07</v>
      </c>
      <c r="S1698" s="55">
        <f>IF(OR($B1698="",$F1698="",$R1698=""),"",SUMIFS(tblIssues[Qty Issued],tblIssues[Staff ID],$B1698,tblIssues[Item Name],$F1698,tblIssues[Month],$R1698))</f>
        <v>80</v>
      </c>
      <c r="T1698" s="56">
        <f>IF($I1698="","",$I1698*Settings!$C$11)</f>
        <v>80</v>
      </c>
      <c r="U1698" s="57" t="str">
        <f t="shared" si="293"/>
        <v>OK</v>
      </c>
      <c r="V1698" s="55" t="str">
        <f t="shared" si="297"/>
        <v/>
      </c>
      <c r="W1698" s="55" t="str">
        <f>IF($V1698="","",IF(COUNTIF($V$5:$V1698,$V1698)=1,1,""))</f>
        <v/>
      </c>
      <c r="X1698" s="58" t="str">
        <f>IF($W1698="","",MAX($X$4:X1697)+1)</f>
        <v/>
      </c>
      <c r="Y1698" s="62"/>
      <c r="Z1698" s="62"/>
      <c r="AA1698" s="64" t="str">
        <f>IF($C1698="","",IFERROR(INDEX('Staff Directory'!$E$5:$E$594,MATCH($C1698,'Staff Directory'!$B$5:$B$594,0)),""))</f>
        <v>firstname150.lastname150@example.com</v>
      </c>
      <c r="AB1698" s="64" t="str">
        <f>IF($C1698="","",IF(ISNUMBER(SEARCH($D1698,Settings!$C$15)),"Pickup","Dispatch"))</f>
        <v>Pickup</v>
      </c>
      <c r="AC1698" s="64" t="str">
        <f t="shared" si="298"/>
        <v>Supply order ready for pickup</v>
      </c>
      <c r="AD1698" s="64" t="str">
        <f t="shared" si="289"/>
        <v>Dear PSW,
Your order is ready for pickup from Sample Branch, Wed-Fri 9am-4pm.</v>
      </c>
      <c r="AE1698" s="64" t="str">
        <f t="shared" si="290"/>
        <v>mailto:firstname150.lastname150@example.com?subject=Supply%20order%20ready%20for%20pickup&amp;body=Dear%20PSW%2C%0A%0AYour%20order%20is%20ready%20for%20pickup%20from%20Sample%20Branch%2C%20Wed-Fri%209am-4pm.</v>
      </c>
      <c r="AF1698" s="89" t="str">
        <f t="shared" si="299"/>
        <v>Draft email</v>
      </c>
      <c r="AG1698" s="64" t="str">
        <f>IF($C1698="","",IFERROR(INDEX('Staff Directory'!$K$595:$K$599,MATCH($C1698,'Staff Directory'!$B$5:$B$599,0)),$D1698))</f>
        <v>PSW</v>
      </c>
      <c r="AH1698" t="str">
        <f>IF($C1698="","",IFERROR(INDEX('Staff Directory'!$I$595:$I$599,MATCH($C1698,'Staff Directory'!$B$5:$B$599,0))&amp;" "&amp;INDEX('Staff Directory'!$J$595:$J$599,MATCH($C1698,'Staff Directory'!$B$5:$B$599,0)),$AG1698))</f>
        <v>PSW</v>
      </c>
      <c r="AI1698" s="102"/>
      <c r="AJ1698" s="101">
        <f>IF($F1698="","",SUMIFS($J$5:$J1698,$F$5:$F1698,$F1698))</f>
        <v>22640</v>
      </c>
      <c r="AK1698" s="101">
        <f t="shared" si="291"/>
        <v>22561</v>
      </c>
      <c r="AL1698" s="66" t="str" cm="1">
        <f t="array" ref="AL1698">IF($F1698="","",IFERROR(INDEX('Lot Balance'!$B$5:$B$500,MATCH(1,INDEX(('Lot Balance'!$A$5:$A$500=$F1698)*('Lot Balance'!$K$5:$K$500&lt;$AK1698)*('Lot Balance'!$K$5:$K$500+'Lot Balance'!$D$5:$D$500&gt;=$AK1698),0),0)),""))</f>
        <v>LYSL500290</v>
      </c>
      <c r="AM1698" s="66" t="str" cm="1">
        <f t="array" ref="AM1698">IF($F1698="","",IFERROR(INDEX('Lot Balance'!$B$5:$B$500,MATCH(1,INDEX(('Lot Balance'!$A$5:$A$500=$F1698)*('Lot Balance'!$K$5:$K$500&lt;$AJ1698)*('Lot Balance'!$K$5:$K$500+'Lot Balance'!$D$5:$D$500&gt;=$AJ1698),0),0)),""))</f>
        <v>LYSL500290</v>
      </c>
      <c r="AN1698" s="66" t="str">
        <f>IF($F1698="","",IF($AI1698&lt;&gt;"",IF(COUNTIFS('Lot Balance'!$A$5:$A$500,$F1698,'Lot Balance'!$B$5:$B$500,$AI1698)=0,"⚠ override is not a lot of this item",IF($AI1698=$AL1698,"Override = FEFO","Override - FEFO says "&amp;$AL1698)),IF($AL1698="","⚠ no receipt on file for this item",IF($AM1698&lt;&gt;$AL1698,"FEFO auto - split, also "&amp;$AM1698,"FEFO auto"))))</f>
        <v>FEFO auto</v>
      </c>
      <c r="AO1698" s="114"/>
    </row>
    <row r="1699" spans="1:41" x14ac:dyDescent="0.35">
      <c r="A1699" s="74">
        <v>46212</v>
      </c>
      <c r="B1699" s="18" t="str">
        <f>IF($C1699="","",IFERROR(INDEX('Staff Directory'!$A$5:$A$594,MATCH($C1699,'Staff Directory'!$B$5:$B$594,0)),"⚠ unknown staff"))</f>
        <v>PSW-182-A5</v>
      </c>
      <c r="C1699" s="49" t="s">
        <v>1161</v>
      </c>
      <c r="D1699" s="19" t="str">
        <f>IF($B1699="","",IFERROR(INDEX('Staff Directory'!$C$5:$C$594,MATCH($B1699,'Staff Directory'!$A$5:$A$594,0)),""))</f>
        <v>PSW</v>
      </c>
      <c r="E1699" s="19" t="str">
        <f>IF($B1699="","",IFERROR(INDEX('Staff Directory'!$D$5:$D$594,MATCH($B1699,'Staff Directory'!$A$5:$A$594,0)),""))</f>
        <v>A5</v>
      </c>
      <c r="F1699" s="9" t="s">
        <v>127</v>
      </c>
      <c r="G1699" s="18" t="str">
        <f>IF($F1699="","",IFERROR(INDEX(Items!$B$5:$B$597,MATCH($F1699,Items!$A$5:$A$597,0)),"⚠ not in Items"))</f>
        <v>Gloves</v>
      </c>
      <c r="H1699" s="19" t="str">
        <f>IF($F1699="","",IFERROR(INDEX(Items!$C$5:$C$597,MATCH($F1699,Items!$A$5:$A$597,0)),""))</f>
        <v>Medium</v>
      </c>
      <c r="I1699" s="23">
        <f>IF($F1699="","",IFERROR(INDEX(Items!$E$5:$E$597,MATCH($F1699,Items!$A$5:$A$597,0)),""))</f>
        <v>500</v>
      </c>
      <c r="J1699" s="115">
        <f>IF(tblIssues[[#This Row],[Qty Override]]&lt;&gt;"",tblIssues[[#This Row],[Qty Override]],IF(tblIssues[[#This Row],[Standard Issue]]="","",tblIssues[[#This Row],[Standard Issue]]))</f>
        <v>500</v>
      </c>
      <c r="K1699" s="20">
        <f>IF($F1699="","",IFERROR(INDEX(Items!$D$5:$D$597,MATCH($F1699,Items!$A$5:$A$597,0)),""))</f>
        <v>5.5E-2</v>
      </c>
      <c r="L1699" s="21">
        <f t="shared" si="294"/>
        <v>27.5</v>
      </c>
      <c r="M1699" s="9" t="str">
        <f t="shared" si="292"/>
        <v>ZIM604151579</v>
      </c>
      <c r="N1699" s="24">
        <f>IF($A1699="","",WORKDAY($A1699,Settings!$C$9,HolidayDates))</f>
        <v>46220</v>
      </c>
      <c r="O1699" s="24">
        <f>IF($N1699="","",WORKDAY($N1699,Settings!$C$10,HolidayDates))</f>
        <v>46260</v>
      </c>
      <c r="P1699" s="10" t="s">
        <v>501</v>
      </c>
      <c r="Q1699" s="52" t="str">
        <f t="shared" si="295"/>
        <v>Collected</v>
      </c>
      <c r="R1699" s="55" t="str">
        <f t="shared" si="296"/>
        <v>2026-07</v>
      </c>
      <c r="S1699" s="55">
        <f>IF(OR($B1699="",$F1699="",$R1699=""),"",SUMIFS(tblIssues[Qty Issued],tblIssues[Staff ID],$B1699,tblIssues[Item Name],$F1699,tblIssues[Month],$R1699))</f>
        <v>500</v>
      </c>
      <c r="T1699" s="56">
        <f>IF($I1699="","",$I1699*Settings!$C$11)</f>
        <v>500</v>
      </c>
      <c r="U1699" s="57" t="str">
        <f t="shared" si="293"/>
        <v>OK</v>
      </c>
      <c r="V1699" s="55" t="str">
        <f t="shared" si="297"/>
        <v/>
      </c>
      <c r="W1699" s="55" t="str">
        <f>IF($V1699="","",IF(COUNTIF($V$5:$V1699,$V1699)=1,1,""))</f>
        <v/>
      </c>
      <c r="X1699" s="58" t="str">
        <f>IF($W1699="","",MAX($X$4:X1698)+1)</f>
        <v/>
      </c>
      <c r="Y1699" s="62"/>
      <c r="Z1699" s="62"/>
      <c r="AA1699" s="64" t="str">
        <f>IF($C1699="","",IFERROR(INDEX('Staff Directory'!$E$5:$E$594,MATCH($C1699,'Staff Directory'!$B$5:$B$594,0)),""))</f>
        <v>firstname245.lastname245@example.com</v>
      </c>
      <c r="AB1699" s="64" t="str">
        <f>IF($C1699="","",IF(ISNUMBER(SEARCH($D1699,Settings!$C$15)),"Pickup","Dispatch"))</f>
        <v>Pickup</v>
      </c>
      <c r="AC1699" s="64" t="str">
        <f t="shared" si="298"/>
        <v>Supply order ready for pickup</v>
      </c>
      <c r="AD1699" s="64" t="str">
        <f t="shared" si="289"/>
        <v>Dear PSW,
Your order is ready for pickup from Sample Branch, Wed-Fri 9am-4pm.</v>
      </c>
      <c r="AE1699" s="64" t="str">
        <f t="shared" si="290"/>
        <v>mailto:firstname245.lastname245@example.com?subject=Supply%20order%20ready%20for%20pickup&amp;body=Dear%20PSW%2C%0A%0AYour%20order%20is%20ready%20for%20pickup%20from%20Sample%20Branch%2C%20Wed-Fri%209am-4pm.</v>
      </c>
      <c r="AF1699" s="89" t="str">
        <f t="shared" si="299"/>
        <v>Draft email</v>
      </c>
      <c r="AG1699" s="64" t="str">
        <f>IF($C1699="","",IFERROR(INDEX('Staff Directory'!$K$595:$K$599,MATCH($C1699,'Staff Directory'!$B$5:$B$599,0)),$D1699))</f>
        <v>PSW</v>
      </c>
      <c r="AH1699" t="str">
        <f>IF($C1699="","",IFERROR(INDEX('Staff Directory'!$I$595:$I$599,MATCH($C1699,'Staff Directory'!$B$5:$B$599,0))&amp;" "&amp;INDEX('Staff Directory'!$J$595:$J$599,MATCH($C1699,'Staff Directory'!$B$5:$B$599,0)),$AG1699))</f>
        <v>PSW</v>
      </c>
      <c r="AI1699" s="102"/>
      <c r="AJ1699" s="101">
        <f>IF($F1699="","",SUMIFS($J$5:$J1699,$F$5:$F1699,$F1699))</f>
        <v>102000</v>
      </c>
      <c r="AK1699" s="101">
        <f t="shared" si="291"/>
        <v>101501</v>
      </c>
      <c r="AL1699" s="66" t="str" cm="1">
        <f t="array" ref="AL1699">IF($F1699="","",IFERROR(INDEX('Lot Balance'!$B$5:$B$500,MATCH(1,INDEX(('Lot Balance'!$A$5:$A$500=$F1699)*('Lot Balance'!$K$5:$K$500&lt;$AK1699)*('Lot Balance'!$K$5:$K$500+'Lot Balance'!$D$5:$D$500&gt;=$AK1699),0),0)),""))</f>
        <v>ZIM604151579</v>
      </c>
      <c r="AM1699" s="66" t="str" cm="1">
        <f t="array" ref="AM1699">IF($F1699="","",IFERROR(INDEX('Lot Balance'!$B$5:$B$500,MATCH(1,INDEX(('Lot Balance'!$A$5:$A$500=$F1699)*('Lot Balance'!$K$5:$K$500&lt;$AJ1699)*('Lot Balance'!$K$5:$K$500+'Lot Balance'!$D$5:$D$500&gt;=$AJ1699),0),0)),""))</f>
        <v>ZIM604151579</v>
      </c>
      <c r="AN1699" s="66" t="str">
        <f>IF($F1699="","",IF($AI1699&lt;&gt;"",IF(COUNTIFS('Lot Balance'!$A$5:$A$500,$F1699,'Lot Balance'!$B$5:$B$500,$AI1699)=0,"⚠ override is not a lot of this item",IF($AI1699=$AL1699,"Override = FEFO","Override - FEFO says "&amp;$AL1699)),IF($AL1699="","⚠ no receipt on file for this item",IF($AM1699&lt;&gt;$AL1699,"FEFO auto - split, also "&amp;$AM1699,"FEFO auto"))))</f>
        <v>FEFO auto</v>
      </c>
      <c r="AO1699" s="114"/>
    </row>
    <row r="1700" spans="1:41" x14ac:dyDescent="0.35">
      <c r="A1700" s="74">
        <v>46212</v>
      </c>
      <c r="B1700" s="18" t="str">
        <f>IF($C1700="","",IFERROR(INDEX('Staff Directory'!$A$5:$A$594,MATCH($C1700,'Staff Directory'!$B$5:$B$594,0)),"⚠ unknown staff"))</f>
        <v>PSW-182-A5</v>
      </c>
      <c r="C1700" s="49" t="s">
        <v>1161</v>
      </c>
      <c r="D1700" s="19" t="str">
        <f>IF($B1700="","",IFERROR(INDEX('Staff Directory'!$C$5:$C$594,MATCH($B1700,'Staff Directory'!$A$5:$A$594,0)),""))</f>
        <v>PSW</v>
      </c>
      <c r="E1700" s="19" t="str">
        <f>IF($B1700="","",IFERROR(INDEX('Staff Directory'!$D$5:$D$594,MATCH($B1700,'Staff Directory'!$A$5:$A$594,0)),""))</f>
        <v>A5</v>
      </c>
      <c r="F1700" s="9" t="s">
        <v>191</v>
      </c>
      <c r="G1700" s="18" t="str">
        <f>IF($F1700="","",IFERROR(INDEX(Items!$B$5:$B$597,MATCH($F1700,Items!$A$5:$A$597,0)),"⚠ not in Items"))</f>
        <v>Sanitizer</v>
      </c>
      <c r="H1700" s="19" t="str">
        <f>IF($F1700="","",IFERROR(INDEX(Items!$C$5:$C$597,MATCH($F1700,Items!$A$5:$A$597,0)),""))</f>
        <v>236 ML</v>
      </c>
      <c r="I1700" s="23">
        <f>IF($F1700="","",IFERROR(INDEX(Items!$E$5:$E$597,MATCH($F1700,Items!$A$5:$A$597,0)),""))</f>
        <v>1</v>
      </c>
      <c r="J1700" s="115">
        <f>IF(tblIssues[[#This Row],[Qty Override]]&lt;&gt;"",tblIssues[[#This Row],[Qty Override]],IF(tblIssues[[#This Row],[Standard Issue]]="","",tblIssues[[#This Row],[Standard Issue]]))</f>
        <v>1</v>
      </c>
      <c r="K1700" s="20">
        <f>IF($F1700="","",IFERROR(INDEX(Items!$D$5:$D$597,MATCH($F1700,Items!$A$5:$A$597,0)),""))</f>
        <v>1E-4</v>
      </c>
      <c r="L1700" s="21">
        <f t="shared" si="294"/>
        <v>1E-4</v>
      </c>
      <c r="M1700" s="9" t="str">
        <f t="shared" si="292"/>
        <v>20-21734-5</v>
      </c>
      <c r="N1700" s="24">
        <f>IF($A1700="","",WORKDAY($A1700,Settings!$C$9,HolidayDates))</f>
        <v>46220</v>
      </c>
      <c r="O1700" s="24">
        <f>IF($N1700="","",WORKDAY($N1700,Settings!$C$10,HolidayDates))</f>
        <v>46260</v>
      </c>
      <c r="P1700" s="10" t="s">
        <v>501</v>
      </c>
      <c r="Q1700" s="52" t="str">
        <f t="shared" si="295"/>
        <v>Collected</v>
      </c>
      <c r="R1700" s="55" t="str">
        <f t="shared" si="296"/>
        <v>2026-07</v>
      </c>
      <c r="S1700" s="55">
        <f>IF(OR($B1700="",$F1700="",$R1700=""),"",SUMIFS(tblIssues[Qty Issued],tblIssues[Staff ID],$B1700,tblIssues[Item Name],$F1700,tblIssues[Month],$R1700))</f>
        <v>1</v>
      </c>
      <c r="T1700" s="56">
        <f>IF($I1700="","",$I1700*Settings!$C$11)</f>
        <v>1</v>
      </c>
      <c r="U1700" s="57" t="str">
        <f t="shared" si="293"/>
        <v>OK</v>
      </c>
      <c r="V1700" s="55" t="str">
        <f t="shared" si="297"/>
        <v/>
      </c>
      <c r="W1700" s="55" t="str">
        <f>IF($V1700="","",IF(COUNTIF($V$5:$V1700,$V1700)=1,1,""))</f>
        <v/>
      </c>
      <c r="X1700" s="58" t="str">
        <f>IF($W1700="","",MAX($X$4:X1699)+1)</f>
        <v/>
      </c>
      <c r="Y1700" s="62"/>
      <c r="Z1700" s="62"/>
      <c r="AA1700" s="64" t="str">
        <f>IF($C1700="","",IFERROR(INDEX('Staff Directory'!$E$5:$E$594,MATCH($C1700,'Staff Directory'!$B$5:$B$594,0)),""))</f>
        <v>firstname245.lastname245@example.com</v>
      </c>
      <c r="AB1700" s="64" t="str">
        <f>IF($C1700="","",IF(ISNUMBER(SEARCH($D1700,Settings!$C$15)),"Pickup","Dispatch"))</f>
        <v>Pickup</v>
      </c>
      <c r="AC1700" s="64" t="str">
        <f t="shared" si="298"/>
        <v>Supply order ready for pickup</v>
      </c>
      <c r="AD1700" s="64" t="str">
        <f t="shared" si="289"/>
        <v>Dear PSW,
Your order is ready for pickup from Sample Branch, Wed-Fri 9am-4pm.</v>
      </c>
      <c r="AE1700" s="64" t="str">
        <f t="shared" si="290"/>
        <v>mailto:firstname245.lastname245@example.com?subject=Supply%20order%20ready%20for%20pickup&amp;body=Dear%20PSW%2C%0A%0AYour%20order%20is%20ready%20for%20pickup%20from%20Sample%20Branch%2C%20Wed-Fri%209am-4pm.</v>
      </c>
      <c r="AF1700" s="89" t="str">
        <f t="shared" si="299"/>
        <v>Draft email</v>
      </c>
      <c r="AG1700" s="64" t="str">
        <f>IF($C1700="","",IFERROR(INDEX('Staff Directory'!$K$595:$K$599,MATCH($C1700,'Staff Directory'!$B$5:$B$599,0)),$D1700))</f>
        <v>PSW</v>
      </c>
      <c r="AH1700" t="str">
        <f>IF($C1700="","",IFERROR(INDEX('Staff Directory'!$I$595:$I$599,MATCH($C1700,'Staff Directory'!$B$5:$B$599,0))&amp;" "&amp;INDEX('Staff Directory'!$J$595:$J$599,MATCH($C1700,'Staff Directory'!$B$5:$B$599,0)),$AG1700))</f>
        <v>PSW</v>
      </c>
      <c r="AI1700" s="102"/>
      <c r="AJ1700" s="101">
        <f>IF($F1700="","",SUMIFS($J$5:$J1700,$F$5:$F1700,$F1700))</f>
        <v>217</v>
      </c>
      <c r="AK1700" s="101">
        <f t="shared" si="291"/>
        <v>217</v>
      </c>
      <c r="AL1700" s="66" t="str" cm="1">
        <f t="array" ref="AL1700">IF($F1700="","",IFERROR(INDEX('Lot Balance'!$B$5:$B$500,MATCH(1,INDEX(('Lot Balance'!$A$5:$A$500=$F1700)*('Lot Balance'!$K$5:$K$500&lt;$AK1700)*('Lot Balance'!$K$5:$K$500+'Lot Balance'!$D$5:$D$500&gt;=$AK1700),0),0)),""))</f>
        <v>20-21734-5</v>
      </c>
      <c r="AM1700" s="66" t="str" cm="1">
        <f t="array" ref="AM1700">IF($F1700="","",IFERROR(INDEX('Lot Balance'!$B$5:$B$500,MATCH(1,INDEX(('Lot Balance'!$A$5:$A$500=$F1700)*('Lot Balance'!$K$5:$K$500&lt;$AJ1700)*('Lot Balance'!$K$5:$K$500+'Lot Balance'!$D$5:$D$500&gt;=$AJ1700),0),0)),""))</f>
        <v>20-21734-5</v>
      </c>
      <c r="AN1700" s="66" t="str">
        <f>IF($F1700="","",IF($AI1700&lt;&gt;"",IF(COUNTIFS('Lot Balance'!$A$5:$A$500,$F1700,'Lot Balance'!$B$5:$B$500,$AI1700)=0,"⚠ override is not a lot of this item",IF($AI1700=$AL1700,"Override = FEFO","Override - FEFO says "&amp;$AL1700)),IF($AL1700="","⚠ no receipt on file for this item",IF($AM1700&lt;&gt;$AL1700,"FEFO auto - split, also "&amp;$AM1700,"FEFO auto"))))</f>
        <v>FEFO auto</v>
      </c>
      <c r="AO1700" s="114"/>
    </row>
    <row r="1701" spans="1:41" x14ac:dyDescent="0.35">
      <c r="A1701" s="74">
        <v>46212</v>
      </c>
      <c r="B1701" s="18" t="str">
        <f>IF($C1701="","",IFERROR(INDEX('Staff Directory'!$A$5:$A$594,MATCH($C1701,'Staff Directory'!$B$5:$B$594,0)),"⚠ unknown staff"))</f>
        <v>PSW-182-A5</v>
      </c>
      <c r="C1701" s="49" t="s">
        <v>1161</v>
      </c>
      <c r="D1701" s="19" t="str">
        <f>IF($B1701="","",IFERROR(INDEX('Staff Directory'!$C$5:$C$594,MATCH($B1701,'Staff Directory'!$A$5:$A$594,0)),""))</f>
        <v>PSW</v>
      </c>
      <c r="E1701" s="19" t="str">
        <f>IF($B1701="","",IFERROR(INDEX('Staff Directory'!$D$5:$D$594,MATCH($B1701,'Staff Directory'!$A$5:$A$594,0)),""))</f>
        <v>A5</v>
      </c>
      <c r="F1701" s="9" t="s">
        <v>115</v>
      </c>
      <c r="G1701" s="18" t="str">
        <f>IF($F1701="","",IFERROR(INDEX(Items!$B$5:$B$597,MATCH($F1701,Items!$A$5:$A$597,0)),"⚠ not in Items"))</f>
        <v>Wipes</v>
      </c>
      <c r="H1701" s="19">
        <f>IF($F1701="","",IFERROR(INDEX(Items!$C$5:$C$597,MATCH($F1701,Items!$A$5:$A$597,0)),""))</f>
        <v>80</v>
      </c>
      <c r="I1701" s="23">
        <f>IF($F1701="","",IFERROR(INDEX(Items!$E$5:$E$597,MATCH($F1701,Items!$A$5:$A$597,0)),""))</f>
        <v>80</v>
      </c>
      <c r="J1701" s="115">
        <f>IF(tblIssues[[#This Row],[Qty Override]]&lt;&gt;"",tblIssues[[#This Row],[Qty Override]],IF(tblIssues[[#This Row],[Standard Issue]]="","",tblIssues[[#This Row],[Standard Issue]]))</f>
        <v>80</v>
      </c>
      <c r="K1701" s="20">
        <f>IF($F1701="","",IFERROR(INDEX(Items!$D$5:$D$597,MATCH($F1701,Items!$A$5:$A$597,0)),""))</f>
        <v>0.1</v>
      </c>
      <c r="L1701" s="21">
        <f t="shared" si="294"/>
        <v>8</v>
      </c>
      <c r="M1701" s="9" t="str">
        <f t="shared" si="292"/>
        <v>LYSL500290</v>
      </c>
      <c r="N1701" s="24">
        <f>IF($A1701="","",WORKDAY($A1701,Settings!$C$9,HolidayDates))</f>
        <v>46220</v>
      </c>
      <c r="O1701" s="24">
        <f>IF($N1701="","",WORKDAY($N1701,Settings!$C$10,HolidayDates))</f>
        <v>46260</v>
      </c>
      <c r="P1701" s="10" t="s">
        <v>501</v>
      </c>
      <c r="Q1701" s="52" t="str">
        <f t="shared" si="295"/>
        <v>Collected</v>
      </c>
      <c r="R1701" s="55" t="str">
        <f t="shared" si="296"/>
        <v>2026-07</v>
      </c>
      <c r="S1701" s="55">
        <f>IF(OR($B1701="",$F1701="",$R1701=""),"",SUMIFS(tblIssues[Qty Issued],tblIssues[Staff ID],$B1701,tblIssues[Item Name],$F1701,tblIssues[Month],$R1701))</f>
        <v>80</v>
      </c>
      <c r="T1701" s="56">
        <f>IF($I1701="","",$I1701*Settings!$C$11)</f>
        <v>80</v>
      </c>
      <c r="U1701" s="57" t="str">
        <f t="shared" si="293"/>
        <v>OK</v>
      </c>
      <c r="V1701" s="55" t="str">
        <f t="shared" si="297"/>
        <v/>
      </c>
      <c r="W1701" s="55" t="str">
        <f>IF($V1701="","",IF(COUNTIF($V$5:$V1701,$V1701)=1,1,""))</f>
        <v/>
      </c>
      <c r="X1701" s="58" t="str">
        <f>IF($W1701="","",MAX($X$4:X1700)+1)</f>
        <v/>
      </c>
      <c r="Y1701" s="62"/>
      <c r="Z1701" s="62"/>
      <c r="AA1701" s="64" t="str">
        <f>IF($C1701="","",IFERROR(INDEX('Staff Directory'!$E$5:$E$594,MATCH($C1701,'Staff Directory'!$B$5:$B$594,0)),""))</f>
        <v>firstname245.lastname245@example.com</v>
      </c>
      <c r="AB1701" s="64" t="str">
        <f>IF($C1701="","",IF(ISNUMBER(SEARCH($D1701,Settings!$C$15)),"Pickup","Dispatch"))</f>
        <v>Pickup</v>
      </c>
      <c r="AC1701" s="64" t="str">
        <f t="shared" si="298"/>
        <v>Supply order ready for pickup</v>
      </c>
      <c r="AD1701" s="64" t="str">
        <f t="shared" si="289"/>
        <v>Dear PSW,
Your order is ready for pickup from Sample Branch, Wed-Fri 9am-4pm.</v>
      </c>
      <c r="AE1701" s="64" t="str">
        <f t="shared" si="290"/>
        <v>mailto:firstname245.lastname245@example.com?subject=Supply%20order%20ready%20for%20pickup&amp;body=Dear%20PSW%2C%0A%0AYour%20order%20is%20ready%20for%20pickup%20from%20Sample%20Branch%2C%20Wed-Fri%209am-4pm.</v>
      </c>
      <c r="AF1701" s="89" t="str">
        <f t="shared" si="299"/>
        <v>Draft email</v>
      </c>
      <c r="AG1701" s="64" t="str">
        <f>IF($C1701="","",IFERROR(INDEX('Staff Directory'!$K$595:$K$599,MATCH($C1701,'Staff Directory'!$B$5:$B$599,0)),$D1701))</f>
        <v>PSW</v>
      </c>
      <c r="AH1701" t="str">
        <f>IF($C1701="","",IFERROR(INDEX('Staff Directory'!$I$595:$I$599,MATCH($C1701,'Staff Directory'!$B$5:$B$599,0))&amp;" "&amp;INDEX('Staff Directory'!$J$595:$J$599,MATCH($C1701,'Staff Directory'!$B$5:$B$599,0)),$AG1701))</f>
        <v>PSW</v>
      </c>
      <c r="AI1701" s="102"/>
      <c r="AJ1701" s="101">
        <f>IF($F1701="","",SUMIFS($J$5:$J1701,$F$5:$F1701,$F1701))</f>
        <v>22720</v>
      </c>
      <c r="AK1701" s="101">
        <f t="shared" si="291"/>
        <v>22641</v>
      </c>
      <c r="AL1701" s="66" t="str" cm="1">
        <f t="array" ref="AL1701">IF($F1701="","",IFERROR(INDEX('Lot Balance'!$B$5:$B$500,MATCH(1,INDEX(('Lot Balance'!$A$5:$A$500=$F1701)*('Lot Balance'!$K$5:$K$500&lt;$AK1701)*('Lot Balance'!$K$5:$K$500+'Lot Balance'!$D$5:$D$500&gt;=$AK1701),0),0)),""))</f>
        <v>LYSL500290</v>
      </c>
      <c r="AM1701" s="66" t="str" cm="1">
        <f t="array" ref="AM1701">IF($F1701="","",IFERROR(INDEX('Lot Balance'!$B$5:$B$500,MATCH(1,INDEX(('Lot Balance'!$A$5:$A$500=$F1701)*('Lot Balance'!$K$5:$K$500&lt;$AJ1701)*('Lot Balance'!$K$5:$K$500+'Lot Balance'!$D$5:$D$500&gt;=$AJ1701),0),0)),""))</f>
        <v>LYSL500290</v>
      </c>
      <c r="AN1701" s="66" t="str">
        <f>IF($F1701="","",IF($AI1701&lt;&gt;"",IF(COUNTIFS('Lot Balance'!$A$5:$A$500,$F1701,'Lot Balance'!$B$5:$B$500,$AI1701)=0,"⚠ override is not a lot of this item",IF($AI1701=$AL1701,"Override = FEFO","Override - FEFO says "&amp;$AL1701)),IF($AL1701="","⚠ no receipt on file for this item",IF($AM1701&lt;&gt;$AL1701,"FEFO auto - split, also "&amp;$AM1701,"FEFO auto"))))</f>
        <v>FEFO auto</v>
      </c>
      <c r="AO1701" s="114"/>
    </row>
    <row r="1702" spans="1:41" x14ac:dyDescent="0.35">
      <c r="A1702" s="74">
        <v>46212</v>
      </c>
      <c r="B1702" s="18" t="str">
        <f>IF($C1702="","",IFERROR(INDEX('Staff Directory'!$A$5:$A$594,MATCH($C1702,'Staff Directory'!$B$5:$B$594,0)),"⚠ unknown staff"))</f>
        <v>PSW-182-A5</v>
      </c>
      <c r="C1702" s="49" t="s">
        <v>1161</v>
      </c>
      <c r="D1702" s="19" t="str">
        <f>IF($B1702="","",IFERROR(INDEX('Staff Directory'!$C$5:$C$594,MATCH($B1702,'Staff Directory'!$A$5:$A$594,0)),""))</f>
        <v>PSW</v>
      </c>
      <c r="E1702" s="19" t="str">
        <f>IF($B1702="","",IFERROR(INDEX('Staff Directory'!$D$5:$D$594,MATCH($B1702,'Staff Directory'!$A$5:$A$594,0)),""))</f>
        <v>A5</v>
      </c>
      <c r="F1702" s="9" t="s">
        <v>156</v>
      </c>
      <c r="G1702" s="18" t="str">
        <f>IF($F1702="","",IFERROR(INDEX(Items!$B$5:$B$597,MATCH($F1702,Items!$A$5:$A$597,0)),"⚠ not in Items"))</f>
        <v>Masks</v>
      </c>
      <c r="H1702" s="19" t="str">
        <f>IF($F1702="","",IFERROR(INDEX(Items!$C$5:$C$597,MATCH($F1702,Items!$A$5:$A$597,0)),""))</f>
        <v>One Size</v>
      </c>
      <c r="I1702" s="23">
        <f>IF($F1702="","",IFERROR(INDEX(Items!$E$5:$E$597,MATCH($F1702,Items!$A$5:$A$597,0)),""))</f>
        <v>50</v>
      </c>
      <c r="J1702" s="115">
        <f>IF(tblIssues[[#This Row],[Qty Override]]&lt;&gt;"",tblIssues[[#This Row],[Qty Override]],IF(tblIssues[[#This Row],[Standard Issue]]="","",tblIssues[[#This Row],[Standard Issue]]))</f>
        <v>50</v>
      </c>
      <c r="K1702" s="20">
        <f>IF($F1702="","",IFERROR(INDEX(Items!$D$5:$D$597,MATCH($F1702,Items!$A$5:$A$597,0)),""))</f>
        <v>0.25</v>
      </c>
      <c r="L1702" s="21">
        <f t="shared" si="294"/>
        <v>12.5</v>
      </c>
      <c r="M1702" s="9" t="str">
        <f t="shared" si="292"/>
        <v>24HA2050A7396</v>
      </c>
      <c r="N1702" s="24">
        <f>IF($A1702="","",WORKDAY($A1702,Settings!$C$9,HolidayDates))</f>
        <v>46220</v>
      </c>
      <c r="O1702" s="24">
        <f>IF($N1702="","",WORKDAY($N1702,Settings!$C$10,HolidayDates))</f>
        <v>46260</v>
      </c>
      <c r="P1702" s="10" t="s">
        <v>501</v>
      </c>
      <c r="Q1702" s="52" t="str">
        <f t="shared" si="295"/>
        <v>Collected</v>
      </c>
      <c r="R1702" s="55" t="str">
        <f t="shared" si="296"/>
        <v>2026-07</v>
      </c>
      <c r="S1702" s="55">
        <f>IF(OR($B1702="",$F1702="",$R1702=""),"",SUMIFS(tblIssues[Qty Issued],tblIssues[Staff ID],$B1702,tblIssues[Item Name],$F1702,tblIssues[Month],$R1702))</f>
        <v>50</v>
      </c>
      <c r="T1702" s="56">
        <f>IF($I1702="","",$I1702*Settings!$C$11)</f>
        <v>50</v>
      </c>
      <c r="U1702" s="57" t="str">
        <f t="shared" si="293"/>
        <v>OK</v>
      </c>
      <c r="V1702" s="55" t="str">
        <f t="shared" si="297"/>
        <v/>
      </c>
      <c r="W1702" s="55" t="str">
        <f>IF($V1702="","",IF(COUNTIF($V$5:$V1702,$V1702)=1,1,""))</f>
        <v/>
      </c>
      <c r="X1702" s="58" t="str">
        <f>IF($W1702="","",MAX($X$4:X1701)+1)</f>
        <v/>
      </c>
      <c r="Y1702" s="62"/>
      <c r="Z1702" s="62"/>
      <c r="AA1702" s="64" t="str">
        <f>IF($C1702="","",IFERROR(INDEX('Staff Directory'!$E$5:$E$594,MATCH($C1702,'Staff Directory'!$B$5:$B$594,0)),""))</f>
        <v>firstname245.lastname245@example.com</v>
      </c>
      <c r="AB1702" s="64" t="str">
        <f>IF($C1702="","",IF(ISNUMBER(SEARCH($D1702,Settings!$C$15)),"Pickup","Dispatch"))</f>
        <v>Pickup</v>
      </c>
      <c r="AC1702" s="64" t="str">
        <f t="shared" si="298"/>
        <v>Supply order ready for pickup</v>
      </c>
      <c r="AD1702" s="64" t="str">
        <f t="shared" si="289"/>
        <v>Dear PSW,
Your order is ready for pickup from Sample Branch, Wed-Fri 9am-4pm.</v>
      </c>
      <c r="AE1702" s="64" t="str">
        <f t="shared" si="290"/>
        <v>mailto:firstname245.lastname245@example.com?subject=Supply%20order%20ready%20for%20pickup&amp;body=Dear%20PSW%2C%0A%0AYour%20order%20is%20ready%20for%20pickup%20from%20Sample%20Branch%2C%20Wed-Fri%209am-4pm.</v>
      </c>
      <c r="AF1702" s="89" t="str">
        <f t="shared" si="299"/>
        <v>Draft email</v>
      </c>
      <c r="AG1702" s="64" t="str">
        <f>IF($C1702="","",IFERROR(INDEX('Staff Directory'!$K$595:$K$599,MATCH($C1702,'Staff Directory'!$B$5:$B$599,0)),$D1702))</f>
        <v>PSW</v>
      </c>
      <c r="AH1702" t="str">
        <f>IF($C1702="","",IFERROR(INDEX('Staff Directory'!$I$595:$I$599,MATCH($C1702,'Staff Directory'!$B$5:$B$599,0))&amp;" "&amp;INDEX('Staff Directory'!$J$595:$J$599,MATCH($C1702,'Staff Directory'!$B$5:$B$599,0)),$AG1702))</f>
        <v>PSW</v>
      </c>
      <c r="AI1702" s="102"/>
      <c r="AJ1702" s="101">
        <f>IF($F1702="","",SUMIFS($J$5:$J1702,$F$5:$F1702,$F1702))</f>
        <v>13850</v>
      </c>
      <c r="AK1702" s="101">
        <f t="shared" si="291"/>
        <v>13801</v>
      </c>
      <c r="AL1702" s="66" t="str" cm="1">
        <f t="array" ref="AL1702">IF($F1702="","",IFERROR(INDEX('Lot Balance'!$B$5:$B$500,MATCH(1,INDEX(('Lot Balance'!$A$5:$A$500=$F1702)*('Lot Balance'!$K$5:$K$500&lt;$AK1702)*('Lot Balance'!$K$5:$K$500+'Lot Balance'!$D$5:$D$500&gt;=$AK1702),0),0)),""))</f>
        <v>24HA2050A7396</v>
      </c>
      <c r="AM1702" s="66" t="str" cm="1">
        <f t="array" ref="AM1702">IF($F1702="","",IFERROR(INDEX('Lot Balance'!$B$5:$B$500,MATCH(1,INDEX(('Lot Balance'!$A$5:$A$500=$F1702)*('Lot Balance'!$K$5:$K$500&lt;$AJ1702)*('Lot Balance'!$K$5:$K$500+'Lot Balance'!$D$5:$D$500&gt;=$AJ1702),0),0)),""))</f>
        <v>24HA2050A7396</v>
      </c>
      <c r="AN1702" s="66" t="str">
        <f>IF($F1702="","",IF($AI1702&lt;&gt;"",IF(COUNTIFS('Lot Balance'!$A$5:$A$500,$F1702,'Lot Balance'!$B$5:$B$500,$AI1702)=0,"⚠ override is not a lot of this item",IF($AI1702=$AL1702,"Override = FEFO","Override - FEFO says "&amp;$AL1702)),IF($AL1702="","⚠ no receipt on file for this item",IF($AM1702&lt;&gt;$AL1702,"FEFO auto - split, also "&amp;$AM1702,"FEFO auto"))))</f>
        <v>FEFO auto</v>
      </c>
      <c r="AO1702" s="114"/>
    </row>
    <row r="1703" spans="1:41" x14ac:dyDescent="0.35">
      <c r="A1703" s="74">
        <v>46212</v>
      </c>
      <c r="B1703" s="18" t="str">
        <f>IF($C1703="","",IFERROR(INDEX('Staff Directory'!$A$5:$A$594,MATCH($C1703,'Staff Directory'!$B$5:$B$594,0)),"⚠ unknown staff"))</f>
        <v>PSW-182-A5</v>
      </c>
      <c r="C1703" s="49" t="s">
        <v>1161</v>
      </c>
      <c r="D1703" s="19" t="str">
        <f>IF($B1703="","",IFERROR(INDEX('Staff Directory'!$C$5:$C$594,MATCH($B1703,'Staff Directory'!$A$5:$A$594,0)),""))</f>
        <v>PSW</v>
      </c>
      <c r="E1703" s="19" t="str">
        <f>IF($B1703="","",IFERROR(INDEX('Staff Directory'!$D$5:$D$594,MATCH($B1703,'Staff Directory'!$A$5:$A$594,0)),""))</f>
        <v>A5</v>
      </c>
      <c r="F1703" s="9" t="s">
        <v>147</v>
      </c>
      <c r="G1703" s="18" t="str">
        <f>IF($F1703="","",IFERROR(INDEX(Items!$B$5:$B$597,MATCH($F1703,Items!$A$5:$A$597,0)),"⚠ not in Items"))</f>
        <v>Apparel</v>
      </c>
      <c r="H1703" s="19" t="str">
        <f>IF($F1703="","",IFERROR(INDEX(Items!$C$5:$C$597,MATCH($F1703,Items!$A$5:$A$597,0)),""))</f>
        <v>One Size</v>
      </c>
      <c r="I1703" s="23">
        <f>IF($F1703="","",IFERROR(INDEX(Items!$E$5:$E$597,MATCH($F1703,Items!$A$5:$A$597,0)),""))</f>
        <v>5</v>
      </c>
      <c r="J1703" s="115">
        <f>IF(tblIssues[[#This Row],[Qty Override]]&lt;&gt;"",tblIssues[[#This Row],[Qty Override]],IF(tblIssues[[#This Row],[Standard Issue]]="","",tblIssues[[#This Row],[Standard Issue]]))</f>
        <v>5</v>
      </c>
      <c r="K1703" s="20">
        <f>IF($F1703="","",IFERROR(INDEX(Items!$D$5:$D$597,MATCH($F1703,Items!$A$5:$A$597,0)),""))</f>
        <v>3</v>
      </c>
      <c r="L1703" s="21">
        <f t="shared" si="294"/>
        <v>15</v>
      </c>
      <c r="M1703" s="9" t="str">
        <f t="shared" si="292"/>
        <v>YG500280</v>
      </c>
      <c r="N1703" s="24">
        <f>IF($A1703="","",WORKDAY($A1703,Settings!$C$9,HolidayDates))</f>
        <v>46220</v>
      </c>
      <c r="O1703" s="24">
        <f>IF($N1703="","",WORKDAY($N1703,Settings!$C$10,HolidayDates))</f>
        <v>46260</v>
      </c>
      <c r="P1703" s="10" t="s">
        <v>501</v>
      </c>
      <c r="Q1703" s="52" t="str">
        <f t="shared" si="295"/>
        <v>Collected</v>
      </c>
      <c r="R1703" s="55" t="str">
        <f t="shared" si="296"/>
        <v>2026-07</v>
      </c>
      <c r="S1703" s="55">
        <f>IF(OR($B1703="",$F1703="",$R1703=""),"",SUMIFS(tblIssues[Qty Issued],tblIssues[Staff ID],$B1703,tblIssues[Item Name],$F1703,tblIssues[Month],$R1703))</f>
        <v>5</v>
      </c>
      <c r="T1703" s="56">
        <f>IF($I1703="","",$I1703*Settings!$C$11)</f>
        <v>5</v>
      </c>
      <c r="U1703" s="57" t="str">
        <f t="shared" si="293"/>
        <v>OK</v>
      </c>
      <c r="V1703" s="55" t="str">
        <f t="shared" si="297"/>
        <v/>
      </c>
      <c r="W1703" s="55" t="str">
        <f>IF($V1703="","",IF(COUNTIF($V$5:$V1703,$V1703)=1,1,""))</f>
        <v/>
      </c>
      <c r="X1703" s="58" t="str">
        <f>IF($W1703="","",MAX($X$4:X1702)+1)</f>
        <v/>
      </c>
      <c r="Y1703" s="62"/>
      <c r="Z1703" s="62"/>
      <c r="AA1703" s="64" t="str">
        <f>IF($C1703="","",IFERROR(INDEX('Staff Directory'!$E$5:$E$594,MATCH($C1703,'Staff Directory'!$B$5:$B$594,0)),""))</f>
        <v>firstname245.lastname245@example.com</v>
      </c>
      <c r="AB1703" s="64" t="str">
        <f>IF($C1703="","",IF(ISNUMBER(SEARCH($D1703,Settings!$C$15)),"Pickup","Dispatch"))</f>
        <v>Pickup</v>
      </c>
      <c r="AC1703" s="64" t="str">
        <f t="shared" si="298"/>
        <v>Supply order ready for pickup</v>
      </c>
      <c r="AD1703" s="64" t="str">
        <f t="shared" si="289"/>
        <v>Dear PSW,
Your order is ready for pickup from Sample Branch, Wed-Fri 9am-4pm.</v>
      </c>
      <c r="AE1703" s="64" t="str">
        <f t="shared" si="290"/>
        <v>mailto:firstname245.lastname245@example.com?subject=Supply%20order%20ready%20for%20pickup&amp;body=Dear%20PSW%2C%0A%0AYour%20order%20is%20ready%20for%20pickup%20from%20Sample%20Branch%2C%20Wed-Fri%209am-4pm.</v>
      </c>
      <c r="AF1703" s="89" t="str">
        <f t="shared" si="299"/>
        <v>Draft email</v>
      </c>
      <c r="AG1703" s="64" t="str">
        <f>IF($C1703="","",IFERROR(INDEX('Staff Directory'!$K$595:$K$599,MATCH($C1703,'Staff Directory'!$B$5:$B$599,0)),$D1703))</f>
        <v>PSW</v>
      </c>
      <c r="AH1703" t="str">
        <f>IF($C1703="","",IFERROR(INDEX('Staff Directory'!$I$595:$I$599,MATCH($C1703,'Staff Directory'!$B$5:$B$599,0))&amp;" "&amp;INDEX('Staff Directory'!$J$595:$J$599,MATCH($C1703,'Staff Directory'!$B$5:$B$599,0)),$AG1703))</f>
        <v>PSW</v>
      </c>
      <c r="AI1703" s="102"/>
      <c r="AJ1703" s="101">
        <f>IF($F1703="","",SUMIFS($J$5:$J1703,$F$5:$F1703,$F1703))</f>
        <v>220</v>
      </c>
      <c r="AK1703" s="101">
        <f t="shared" si="291"/>
        <v>216</v>
      </c>
      <c r="AL1703" s="66" t="str" cm="1">
        <f t="array" ref="AL1703">IF($F1703="","",IFERROR(INDEX('Lot Balance'!$B$5:$B$500,MATCH(1,INDEX(('Lot Balance'!$A$5:$A$500=$F1703)*('Lot Balance'!$K$5:$K$500&lt;$AK1703)*('Lot Balance'!$K$5:$K$500+'Lot Balance'!$D$5:$D$500&gt;=$AK1703),0),0)),""))</f>
        <v>YG500280</v>
      </c>
      <c r="AM1703" s="66" t="str" cm="1">
        <f t="array" ref="AM1703">IF($F1703="","",IFERROR(INDEX('Lot Balance'!$B$5:$B$500,MATCH(1,INDEX(('Lot Balance'!$A$5:$A$500=$F1703)*('Lot Balance'!$K$5:$K$500&lt;$AJ1703)*('Lot Balance'!$K$5:$K$500+'Lot Balance'!$D$5:$D$500&gt;=$AJ1703),0),0)),""))</f>
        <v>YG500280</v>
      </c>
      <c r="AN1703" s="66" t="str">
        <f>IF($F1703="","",IF($AI1703&lt;&gt;"",IF(COUNTIFS('Lot Balance'!$A$5:$A$500,$F1703,'Lot Balance'!$B$5:$B$500,$AI1703)=0,"⚠ override is not a lot of this item",IF($AI1703=$AL1703,"Override = FEFO","Override - FEFO says "&amp;$AL1703)),IF($AL1703="","⚠ no receipt on file for this item",IF($AM1703&lt;&gt;$AL1703,"FEFO auto - split, also "&amp;$AM1703,"FEFO auto"))))</f>
        <v>FEFO auto</v>
      </c>
      <c r="AO1703" s="114"/>
    </row>
    <row r="1704" spans="1:41" x14ac:dyDescent="0.35">
      <c r="A1704" s="74">
        <v>46212</v>
      </c>
      <c r="B1704" s="18" t="str">
        <f>IF($C1704="","",IFERROR(INDEX('Staff Directory'!$A$5:$A$594,MATCH($C1704,'Staff Directory'!$B$5:$B$594,0)),"⚠ unknown staff"))</f>
        <v>PSW-182-A5</v>
      </c>
      <c r="C1704" s="49" t="s">
        <v>1161</v>
      </c>
      <c r="D1704" s="19" t="str">
        <f>IF($B1704="","",IFERROR(INDEX('Staff Directory'!$C$5:$C$594,MATCH($B1704,'Staff Directory'!$A$5:$A$594,0)),""))</f>
        <v>PSW</v>
      </c>
      <c r="E1704" s="19" t="str">
        <f>IF($B1704="","",IFERROR(INDEX('Staff Directory'!$D$5:$D$594,MATCH($B1704,'Staff Directory'!$A$5:$A$594,0)),""))</f>
        <v>A5</v>
      </c>
      <c r="F1704" s="9" t="s">
        <v>150</v>
      </c>
      <c r="G1704" s="18" t="str">
        <f>IF($F1704="","",IFERROR(INDEX(Items!$B$5:$B$597,MATCH($F1704,Items!$A$5:$A$597,0)),"⚠ not in Items"))</f>
        <v>Documents</v>
      </c>
      <c r="H1704" s="19" t="str">
        <f>IF($F1704="","",IFERROR(INDEX(Items!$C$5:$C$597,MATCH($F1704,Items!$A$5:$A$597,0)),""))</f>
        <v>Standard</v>
      </c>
      <c r="I1704" s="23">
        <f>IF($F1704="","",IFERROR(INDEX(Items!$E$5:$E$597,MATCH($F1704,Items!$A$5:$A$597,0)),""))</f>
        <v>1</v>
      </c>
      <c r="J1704" s="115">
        <f>IF(tblIssues[[#This Row],[Qty Override]]&lt;&gt;"",tblIssues[[#This Row],[Qty Override]],IF(tblIssues[[#This Row],[Standard Issue]]="","",tblIssues[[#This Row],[Standard Issue]]))</f>
        <v>1</v>
      </c>
      <c r="K1704" s="20">
        <f>IF($F1704="","",IFERROR(INDEX(Items!$D$5:$D$597,MATCH($F1704,Items!$A$5:$A$597,0)),""))</f>
        <v>0</v>
      </c>
      <c r="L1704" s="21">
        <f t="shared" si="294"/>
        <v>0</v>
      </c>
      <c r="M1704" s="9" t="str">
        <f t="shared" si="292"/>
        <v/>
      </c>
      <c r="N1704" s="24">
        <f>IF($A1704="","",WORKDAY($A1704,Settings!$C$9,HolidayDates))</f>
        <v>46220</v>
      </c>
      <c r="O1704" s="24">
        <f>IF($N1704="","",WORKDAY($N1704,Settings!$C$10,HolidayDates))</f>
        <v>46260</v>
      </c>
      <c r="P1704" s="10" t="s">
        <v>501</v>
      </c>
      <c r="Q1704" s="52" t="str">
        <f t="shared" si="295"/>
        <v>Collected</v>
      </c>
      <c r="R1704" s="55" t="str">
        <f t="shared" si="296"/>
        <v>2026-07</v>
      </c>
      <c r="S1704" s="55">
        <f>IF(OR($B1704="",$F1704="",$R1704=""),"",SUMIFS(tblIssues[Qty Issued],tblIssues[Staff ID],$B1704,tblIssues[Item Name],$F1704,tblIssues[Month],$R1704))</f>
        <v>1</v>
      </c>
      <c r="T1704" s="56">
        <f>IF($I1704="","",$I1704*Settings!$C$11)</f>
        <v>1</v>
      </c>
      <c r="U1704" s="57" t="str">
        <f t="shared" si="293"/>
        <v>OK</v>
      </c>
      <c r="V1704" s="55" t="str">
        <f t="shared" si="297"/>
        <v/>
      </c>
      <c r="W1704" s="55" t="str">
        <f>IF($V1704="","",IF(COUNTIF($V$5:$V1704,$V1704)=1,1,""))</f>
        <v/>
      </c>
      <c r="X1704" s="58" t="str">
        <f>IF($W1704="","",MAX($X$4:X1703)+1)</f>
        <v/>
      </c>
      <c r="Y1704" s="62"/>
      <c r="Z1704" s="62"/>
      <c r="AA1704" s="64" t="str">
        <f>IF($C1704="","",IFERROR(INDEX('Staff Directory'!$E$5:$E$594,MATCH($C1704,'Staff Directory'!$B$5:$B$594,0)),""))</f>
        <v>firstname245.lastname245@example.com</v>
      </c>
      <c r="AB1704" s="64" t="str">
        <f>IF($C1704="","",IF(ISNUMBER(SEARCH($D1704,Settings!$C$15)),"Pickup","Dispatch"))</f>
        <v>Pickup</v>
      </c>
      <c r="AC1704" s="64" t="str">
        <f t="shared" si="298"/>
        <v>Supply order ready for pickup</v>
      </c>
      <c r="AD1704" s="64" t="str">
        <f t="shared" si="289"/>
        <v>Dear PSW,
Your order is ready for pickup from Sample Branch, Wed-Fri 9am-4pm.</v>
      </c>
      <c r="AE1704" s="64" t="str">
        <f t="shared" si="290"/>
        <v>mailto:firstname245.lastname245@example.com?subject=Supply%20order%20ready%20for%20pickup&amp;body=Dear%20PSW%2C%0A%0AYour%20order%20is%20ready%20for%20pickup%20from%20Sample%20Branch%2C%20Wed-Fri%209am-4pm.</v>
      </c>
      <c r="AF1704" s="89" t="str">
        <f t="shared" si="299"/>
        <v>Draft email</v>
      </c>
      <c r="AG1704" s="64" t="str">
        <f>IF($C1704="","",IFERROR(INDEX('Staff Directory'!$K$595:$K$599,MATCH($C1704,'Staff Directory'!$B$5:$B$599,0)),$D1704))</f>
        <v>PSW</v>
      </c>
      <c r="AH1704" t="str">
        <f>IF($C1704="","",IFERROR(INDEX('Staff Directory'!$I$595:$I$599,MATCH($C1704,'Staff Directory'!$B$5:$B$599,0))&amp;" "&amp;INDEX('Staff Directory'!$J$595:$J$599,MATCH($C1704,'Staff Directory'!$B$5:$B$599,0)),$AG1704))</f>
        <v>PSW</v>
      </c>
      <c r="AI1704" s="102"/>
      <c r="AJ1704" s="101">
        <f>IF($F1704="","",SUMIFS($J$5:$J1704,$F$5:$F1704,$F1704))</f>
        <v>20</v>
      </c>
      <c r="AK1704" s="101">
        <f t="shared" si="291"/>
        <v>20</v>
      </c>
      <c r="AL1704" s="66" t="str" cm="1">
        <f t="array" ref="AL1704">IF($F1704="","",IFERROR(INDEX('Lot Balance'!$B$5:$B$500,MATCH(1,INDEX(('Lot Balance'!$A$5:$A$500=$F1704)*('Lot Balance'!$K$5:$K$500&lt;$AK1704)*('Lot Balance'!$K$5:$K$500+'Lot Balance'!$D$5:$D$500&gt;=$AK1704),0),0)),""))</f>
        <v/>
      </c>
      <c r="AM1704" s="66" t="str" cm="1">
        <f t="array" ref="AM1704">IF($F1704="","",IFERROR(INDEX('Lot Balance'!$B$5:$B$500,MATCH(1,INDEX(('Lot Balance'!$A$5:$A$500=$F1704)*('Lot Balance'!$K$5:$K$500&lt;$AJ1704)*('Lot Balance'!$K$5:$K$500+'Lot Balance'!$D$5:$D$500&gt;=$AJ1704),0),0)),""))</f>
        <v/>
      </c>
      <c r="AN1704" s="66" t="str">
        <f>IF($F1704="","",IF($AI1704&lt;&gt;"",IF(COUNTIFS('Lot Balance'!$A$5:$A$500,$F1704,'Lot Balance'!$B$5:$B$500,$AI1704)=0,"⚠ override is not a lot of this item",IF($AI1704=$AL1704,"Override = FEFO","Override - FEFO says "&amp;$AL1704)),IF($AL1704="","⚠ no receipt on file for this item",IF($AM1704&lt;&gt;$AL1704,"FEFO auto - split, also "&amp;$AM1704,"FEFO auto"))))</f>
        <v>⚠ no receipt on file for this item</v>
      </c>
      <c r="AO1704" s="114"/>
    </row>
    <row r="1705" spans="1:41" x14ac:dyDescent="0.35">
      <c r="A1705" s="74">
        <v>46212</v>
      </c>
      <c r="B1705" s="18" t="str">
        <f>IF($C1705="","",IFERROR(INDEX('Staff Directory'!$A$5:$A$594,MATCH($C1705,'Staff Directory'!$B$5:$B$594,0)),"⚠ unknown staff"))</f>
        <v>PSW-006-A6</v>
      </c>
      <c r="C1705" s="49" t="s">
        <v>982</v>
      </c>
      <c r="D1705" s="19" t="str">
        <f>IF($B1705="","",IFERROR(INDEX('Staff Directory'!$C$5:$C$594,MATCH($B1705,'Staff Directory'!$A$5:$A$594,0)),""))</f>
        <v>PSW</v>
      </c>
      <c r="E1705" s="19" t="str">
        <f>IF($B1705="","",IFERROR(INDEX('Staff Directory'!$D$5:$D$594,MATCH($B1705,'Staff Directory'!$A$5:$A$594,0)),""))</f>
        <v>A6</v>
      </c>
      <c r="F1705" s="9" t="s">
        <v>127</v>
      </c>
      <c r="G1705" s="18" t="str">
        <f>IF($F1705="","",IFERROR(INDEX(Items!$B$5:$B$597,MATCH($F1705,Items!$A$5:$A$597,0)),"⚠ not in Items"))</f>
        <v>Gloves</v>
      </c>
      <c r="H1705" s="19" t="str">
        <f>IF($F1705="","",IFERROR(INDEX(Items!$C$5:$C$597,MATCH($F1705,Items!$A$5:$A$597,0)),""))</f>
        <v>Medium</v>
      </c>
      <c r="I1705" s="23">
        <f>IF($F1705="","",IFERROR(INDEX(Items!$E$5:$E$597,MATCH($F1705,Items!$A$5:$A$597,0)),""))</f>
        <v>500</v>
      </c>
      <c r="J1705" s="115">
        <f>IF(tblIssues[[#This Row],[Qty Override]]&lt;&gt;"",tblIssues[[#This Row],[Qty Override]],IF(tblIssues[[#This Row],[Standard Issue]]="","",tblIssues[[#This Row],[Standard Issue]]))</f>
        <v>500</v>
      </c>
      <c r="K1705" s="20">
        <f>IF($F1705="","",IFERROR(INDEX(Items!$D$5:$D$597,MATCH($F1705,Items!$A$5:$A$597,0)),""))</f>
        <v>5.5E-2</v>
      </c>
      <c r="L1705" s="21">
        <f t="shared" si="294"/>
        <v>27.5</v>
      </c>
      <c r="M1705" s="9" t="str">
        <f t="shared" si="292"/>
        <v>ZIM604151579</v>
      </c>
      <c r="N1705" s="24">
        <f>IF($A1705="","",WORKDAY($A1705,Settings!$C$9,HolidayDates))</f>
        <v>46220</v>
      </c>
      <c r="O1705" s="24">
        <f>IF($N1705="","",WORKDAY($N1705,Settings!$C$10,HolidayDates))</f>
        <v>46260</v>
      </c>
      <c r="P1705" s="10" t="s">
        <v>501</v>
      </c>
      <c r="Q1705" s="52" t="str">
        <f t="shared" si="295"/>
        <v>Collected</v>
      </c>
      <c r="R1705" s="55" t="str">
        <f t="shared" si="296"/>
        <v>2026-07</v>
      </c>
      <c r="S1705" s="55">
        <f>IF(OR($B1705="",$F1705="",$R1705=""),"",SUMIFS(tblIssues[Qty Issued],tblIssues[Staff ID],$B1705,tblIssues[Item Name],$F1705,tblIssues[Month],$R1705))</f>
        <v>500</v>
      </c>
      <c r="T1705" s="56">
        <f>IF($I1705="","",$I1705*Settings!$C$11)</f>
        <v>500</v>
      </c>
      <c r="U1705" s="57" t="str">
        <f t="shared" si="293"/>
        <v>OK</v>
      </c>
      <c r="V1705" s="55" t="str">
        <f t="shared" si="297"/>
        <v/>
      </c>
      <c r="W1705" s="55" t="str">
        <f>IF($V1705="","",IF(COUNTIF($V$5:$V1705,$V1705)=1,1,""))</f>
        <v/>
      </c>
      <c r="X1705" s="58" t="str">
        <f>IF($W1705="","",MAX($X$4:X1704)+1)</f>
        <v/>
      </c>
      <c r="Y1705" s="62"/>
      <c r="Z1705" s="62"/>
      <c r="AA1705" s="64" t="str">
        <f>IF($C1705="","",IFERROR(INDEX('Staff Directory'!$E$5:$E$594,MATCH($C1705,'Staff Directory'!$B$5:$B$594,0)),""))</f>
        <v>firstname066.lastname066@example.com</v>
      </c>
      <c r="AB1705" s="64" t="str">
        <f>IF($C1705="","",IF(ISNUMBER(SEARCH($D1705,Settings!$C$15)),"Pickup","Dispatch"))</f>
        <v>Pickup</v>
      </c>
      <c r="AC1705" s="64" t="str">
        <f t="shared" si="298"/>
        <v>Supply order ready for pickup</v>
      </c>
      <c r="AD1705" s="64" t="str">
        <f t="shared" si="289"/>
        <v>Dear PSW,
Your order is ready for pickup from Sample Branch, Wed-Fri 9am-4pm.</v>
      </c>
      <c r="AE1705" s="64" t="str">
        <f t="shared" si="290"/>
        <v>mailto:firstname066.lastname066@example.com?subject=Supply%20order%20ready%20for%20pickup&amp;body=Dear%20PSW%2C%0A%0AYour%20order%20is%20ready%20for%20pickup%20from%20Sample%20Branch%2C%20Wed-Fri%209am-4pm.</v>
      </c>
      <c r="AF1705" s="89" t="str">
        <f t="shared" si="299"/>
        <v>Draft email</v>
      </c>
      <c r="AG1705" s="64" t="str">
        <f>IF($C1705="","",IFERROR(INDEX('Staff Directory'!$K$595:$K$599,MATCH($C1705,'Staff Directory'!$B$5:$B$599,0)),$D1705))</f>
        <v>PSW</v>
      </c>
      <c r="AH1705" t="str">
        <f>IF($C1705="","",IFERROR(INDEX('Staff Directory'!$I$595:$I$599,MATCH($C1705,'Staff Directory'!$B$5:$B$599,0))&amp;" "&amp;INDEX('Staff Directory'!$J$595:$J$599,MATCH($C1705,'Staff Directory'!$B$5:$B$599,0)),$AG1705))</f>
        <v>PSW</v>
      </c>
      <c r="AI1705" s="102"/>
      <c r="AJ1705" s="101">
        <f>IF($F1705="","",SUMIFS($J$5:$J1705,$F$5:$F1705,$F1705))</f>
        <v>102500</v>
      </c>
      <c r="AK1705" s="101">
        <f t="shared" si="291"/>
        <v>102001</v>
      </c>
      <c r="AL1705" s="66" t="str" cm="1">
        <f t="array" ref="AL1705">IF($F1705="","",IFERROR(INDEX('Lot Balance'!$B$5:$B$500,MATCH(1,INDEX(('Lot Balance'!$A$5:$A$500=$F1705)*('Lot Balance'!$K$5:$K$500&lt;$AK1705)*('Lot Balance'!$K$5:$K$500+'Lot Balance'!$D$5:$D$500&gt;=$AK1705),0),0)),""))</f>
        <v>ZIM604151579</v>
      </c>
      <c r="AM1705" s="66" t="str" cm="1">
        <f t="array" ref="AM1705">IF($F1705="","",IFERROR(INDEX('Lot Balance'!$B$5:$B$500,MATCH(1,INDEX(('Lot Balance'!$A$5:$A$500=$F1705)*('Lot Balance'!$K$5:$K$500&lt;$AJ1705)*('Lot Balance'!$K$5:$K$500+'Lot Balance'!$D$5:$D$500&gt;=$AJ1705),0),0)),""))</f>
        <v>ZIM604151579</v>
      </c>
      <c r="AN1705" s="66" t="str">
        <f>IF($F1705="","",IF($AI1705&lt;&gt;"",IF(COUNTIFS('Lot Balance'!$A$5:$A$500,$F1705,'Lot Balance'!$B$5:$B$500,$AI1705)=0,"⚠ override is not a lot of this item",IF($AI1705=$AL1705,"Override = FEFO","Override - FEFO says "&amp;$AL1705)),IF($AL1705="","⚠ no receipt on file for this item",IF($AM1705&lt;&gt;$AL1705,"FEFO auto - split, also "&amp;$AM1705,"FEFO auto"))))</f>
        <v>FEFO auto</v>
      </c>
      <c r="AO1705" s="114"/>
    </row>
    <row r="1706" spans="1:41" x14ac:dyDescent="0.35">
      <c r="A1706" s="74">
        <v>46212</v>
      </c>
      <c r="B1706" s="18" t="str">
        <f>IF($C1706="","",IFERROR(INDEX('Staff Directory'!$A$5:$A$594,MATCH($C1706,'Staff Directory'!$B$5:$B$594,0)),"⚠ unknown staff"))</f>
        <v>PSW-006-A6</v>
      </c>
      <c r="C1706" s="49" t="s">
        <v>982</v>
      </c>
      <c r="D1706" s="19" t="str">
        <f>IF($B1706="","",IFERROR(INDEX('Staff Directory'!$C$5:$C$594,MATCH($B1706,'Staff Directory'!$A$5:$A$594,0)),""))</f>
        <v>PSW</v>
      </c>
      <c r="E1706" s="19" t="str">
        <f>IF($B1706="","",IFERROR(INDEX('Staff Directory'!$D$5:$D$594,MATCH($B1706,'Staff Directory'!$A$5:$A$594,0)),""))</f>
        <v>A6</v>
      </c>
      <c r="F1706" s="9" t="s">
        <v>115</v>
      </c>
      <c r="G1706" s="18" t="str">
        <f>IF($F1706="","",IFERROR(INDEX(Items!$B$5:$B$597,MATCH($F1706,Items!$A$5:$A$597,0)),"⚠ not in Items"))</f>
        <v>Wipes</v>
      </c>
      <c r="H1706" s="19">
        <f>IF($F1706="","",IFERROR(INDEX(Items!$C$5:$C$597,MATCH($F1706,Items!$A$5:$A$597,0)),""))</f>
        <v>80</v>
      </c>
      <c r="I1706" s="23">
        <f>IF($F1706="","",IFERROR(INDEX(Items!$E$5:$E$597,MATCH($F1706,Items!$A$5:$A$597,0)),""))</f>
        <v>80</v>
      </c>
      <c r="J1706" s="115">
        <f>IF(tblIssues[[#This Row],[Qty Override]]&lt;&gt;"",tblIssues[[#This Row],[Qty Override]],IF(tblIssues[[#This Row],[Standard Issue]]="","",tblIssues[[#This Row],[Standard Issue]]))</f>
        <v>80</v>
      </c>
      <c r="K1706" s="20">
        <f>IF($F1706="","",IFERROR(INDEX(Items!$D$5:$D$597,MATCH($F1706,Items!$A$5:$A$597,0)),""))</f>
        <v>0.1</v>
      </c>
      <c r="L1706" s="21">
        <f t="shared" si="294"/>
        <v>8</v>
      </c>
      <c r="M1706" s="9" t="str">
        <f t="shared" si="292"/>
        <v>LYSL500290</v>
      </c>
      <c r="N1706" s="24">
        <f>IF($A1706="","",WORKDAY($A1706,Settings!$C$9,HolidayDates))</f>
        <v>46220</v>
      </c>
      <c r="O1706" s="24">
        <f>IF($N1706="","",WORKDAY($N1706,Settings!$C$10,HolidayDates))</f>
        <v>46260</v>
      </c>
      <c r="P1706" s="10" t="s">
        <v>501</v>
      </c>
      <c r="Q1706" s="52" t="str">
        <f t="shared" si="295"/>
        <v>Collected</v>
      </c>
      <c r="R1706" s="55" t="str">
        <f t="shared" si="296"/>
        <v>2026-07</v>
      </c>
      <c r="S1706" s="55">
        <f>IF(OR($B1706="",$F1706="",$R1706=""),"",SUMIFS(tblIssues[Qty Issued],tblIssues[Staff ID],$B1706,tblIssues[Item Name],$F1706,tblIssues[Month],$R1706))</f>
        <v>80</v>
      </c>
      <c r="T1706" s="56">
        <f>IF($I1706="","",$I1706*Settings!$C$11)</f>
        <v>80</v>
      </c>
      <c r="U1706" s="57" t="str">
        <f t="shared" si="293"/>
        <v>OK</v>
      </c>
      <c r="V1706" s="55" t="str">
        <f t="shared" si="297"/>
        <v/>
      </c>
      <c r="W1706" s="55" t="str">
        <f>IF($V1706="","",IF(COUNTIF($V$5:$V1706,$V1706)=1,1,""))</f>
        <v/>
      </c>
      <c r="X1706" s="58" t="str">
        <f>IF($W1706="","",MAX($X$4:X1705)+1)</f>
        <v/>
      </c>
      <c r="Y1706" s="62"/>
      <c r="Z1706" s="62"/>
      <c r="AA1706" s="64" t="str">
        <f>IF($C1706="","",IFERROR(INDEX('Staff Directory'!$E$5:$E$594,MATCH($C1706,'Staff Directory'!$B$5:$B$594,0)),""))</f>
        <v>firstname066.lastname066@example.com</v>
      </c>
      <c r="AB1706" s="64" t="str">
        <f>IF($C1706="","",IF(ISNUMBER(SEARCH($D1706,Settings!$C$15)),"Pickup","Dispatch"))</f>
        <v>Pickup</v>
      </c>
      <c r="AC1706" s="64" t="str">
        <f t="shared" si="298"/>
        <v>Supply order ready for pickup</v>
      </c>
      <c r="AD1706" s="64" t="str">
        <f t="shared" si="289"/>
        <v>Dear PSW,
Your order is ready for pickup from Sample Branch, Wed-Fri 9am-4pm.</v>
      </c>
      <c r="AE1706" s="64" t="str">
        <f t="shared" si="290"/>
        <v>mailto:firstname066.lastname066@example.com?subject=Supply%20order%20ready%20for%20pickup&amp;body=Dear%20PSW%2C%0A%0AYour%20order%20is%20ready%20for%20pickup%20from%20Sample%20Branch%2C%20Wed-Fri%209am-4pm.</v>
      </c>
      <c r="AF1706" s="89" t="str">
        <f t="shared" si="299"/>
        <v>Draft email</v>
      </c>
      <c r="AG1706" s="64" t="str">
        <f>IF($C1706="","",IFERROR(INDEX('Staff Directory'!$K$595:$K$599,MATCH($C1706,'Staff Directory'!$B$5:$B$599,0)),$D1706))</f>
        <v>PSW</v>
      </c>
      <c r="AH1706" t="str">
        <f>IF($C1706="","",IFERROR(INDEX('Staff Directory'!$I$595:$I$599,MATCH($C1706,'Staff Directory'!$B$5:$B$599,0))&amp;" "&amp;INDEX('Staff Directory'!$J$595:$J$599,MATCH($C1706,'Staff Directory'!$B$5:$B$599,0)),$AG1706))</f>
        <v>PSW</v>
      </c>
      <c r="AI1706" s="102"/>
      <c r="AJ1706" s="101">
        <f>IF($F1706="","",SUMIFS($J$5:$J1706,$F$5:$F1706,$F1706))</f>
        <v>22800</v>
      </c>
      <c r="AK1706" s="101">
        <f t="shared" si="291"/>
        <v>22721</v>
      </c>
      <c r="AL1706" s="66" t="str" cm="1">
        <f t="array" ref="AL1706">IF($F1706="","",IFERROR(INDEX('Lot Balance'!$B$5:$B$500,MATCH(1,INDEX(('Lot Balance'!$A$5:$A$500=$F1706)*('Lot Balance'!$K$5:$K$500&lt;$AK1706)*('Lot Balance'!$K$5:$K$500+'Lot Balance'!$D$5:$D$500&gt;=$AK1706),0),0)),""))</f>
        <v>LYSL500290</v>
      </c>
      <c r="AM1706" s="66" t="str" cm="1">
        <f t="array" ref="AM1706">IF($F1706="","",IFERROR(INDEX('Lot Balance'!$B$5:$B$500,MATCH(1,INDEX(('Lot Balance'!$A$5:$A$500=$F1706)*('Lot Balance'!$K$5:$K$500&lt;$AJ1706)*('Lot Balance'!$K$5:$K$500+'Lot Balance'!$D$5:$D$500&gt;=$AJ1706),0),0)),""))</f>
        <v>LYSL500290</v>
      </c>
      <c r="AN1706" s="66" t="str">
        <f>IF($F1706="","",IF($AI1706&lt;&gt;"",IF(COUNTIFS('Lot Balance'!$A$5:$A$500,$F1706,'Lot Balance'!$B$5:$B$500,$AI1706)=0,"⚠ override is not a lot of this item",IF($AI1706=$AL1706,"Override = FEFO","Override - FEFO says "&amp;$AL1706)),IF($AL1706="","⚠ no receipt on file for this item",IF($AM1706&lt;&gt;$AL1706,"FEFO auto - split, also "&amp;$AM1706,"FEFO auto"))))</f>
        <v>FEFO auto</v>
      </c>
      <c r="AO1706" s="114"/>
    </row>
    <row r="1707" spans="1:41" x14ac:dyDescent="0.35">
      <c r="A1707" s="74">
        <v>46212</v>
      </c>
      <c r="B1707" s="18" t="str">
        <f>IF($C1707="","",IFERROR(INDEX('Staff Directory'!$A$5:$A$594,MATCH($C1707,'Staff Directory'!$B$5:$B$594,0)),"⚠ unknown staff"))</f>
        <v>PSW-006-A6</v>
      </c>
      <c r="C1707" s="49" t="s">
        <v>982</v>
      </c>
      <c r="D1707" s="19" t="str">
        <f>IF($B1707="","",IFERROR(INDEX('Staff Directory'!$C$5:$C$594,MATCH($B1707,'Staff Directory'!$A$5:$A$594,0)),""))</f>
        <v>PSW</v>
      </c>
      <c r="E1707" s="19" t="str">
        <f>IF($B1707="","",IFERROR(INDEX('Staff Directory'!$D$5:$D$594,MATCH($B1707,'Staff Directory'!$A$5:$A$594,0)),""))</f>
        <v>A6</v>
      </c>
      <c r="F1707" s="9" t="s">
        <v>156</v>
      </c>
      <c r="G1707" s="18" t="str">
        <f>IF($F1707="","",IFERROR(INDEX(Items!$B$5:$B$597,MATCH($F1707,Items!$A$5:$A$597,0)),"⚠ not in Items"))</f>
        <v>Masks</v>
      </c>
      <c r="H1707" s="19" t="str">
        <f>IF($F1707="","",IFERROR(INDEX(Items!$C$5:$C$597,MATCH($F1707,Items!$A$5:$A$597,0)),""))</f>
        <v>One Size</v>
      </c>
      <c r="I1707" s="23">
        <f>IF($F1707="","",IFERROR(INDEX(Items!$E$5:$E$597,MATCH($F1707,Items!$A$5:$A$597,0)),""))</f>
        <v>50</v>
      </c>
      <c r="J1707" s="115">
        <f>IF(tblIssues[[#This Row],[Qty Override]]&lt;&gt;"",tblIssues[[#This Row],[Qty Override]],IF(tblIssues[[#This Row],[Standard Issue]]="","",tblIssues[[#This Row],[Standard Issue]]))</f>
        <v>50</v>
      </c>
      <c r="K1707" s="20">
        <f>IF($F1707="","",IFERROR(INDEX(Items!$D$5:$D$597,MATCH($F1707,Items!$A$5:$A$597,0)),""))</f>
        <v>0.25</v>
      </c>
      <c r="L1707" s="21">
        <f t="shared" si="294"/>
        <v>12.5</v>
      </c>
      <c r="M1707" s="9" t="str">
        <f t="shared" si="292"/>
        <v>24HA2050A7396</v>
      </c>
      <c r="N1707" s="24">
        <f>IF($A1707="","",WORKDAY($A1707,Settings!$C$9,HolidayDates))</f>
        <v>46220</v>
      </c>
      <c r="O1707" s="24">
        <f>IF($N1707="","",WORKDAY($N1707,Settings!$C$10,HolidayDates))</f>
        <v>46260</v>
      </c>
      <c r="P1707" s="10" t="s">
        <v>501</v>
      </c>
      <c r="Q1707" s="52" t="str">
        <f t="shared" si="295"/>
        <v>Collected</v>
      </c>
      <c r="R1707" s="55" t="str">
        <f t="shared" si="296"/>
        <v>2026-07</v>
      </c>
      <c r="S1707" s="55">
        <f>IF(OR($B1707="",$F1707="",$R1707=""),"",SUMIFS(tblIssues[Qty Issued],tblIssues[Staff ID],$B1707,tblIssues[Item Name],$F1707,tblIssues[Month],$R1707))</f>
        <v>50</v>
      </c>
      <c r="T1707" s="56">
        <f>IF($I1707="","",$I1707*Settings!$C$11)</f>
        <v>50</v>
      </c>
      <c r="U1707" s="57" t="str">
        <f t="shared" si="293"/>
        <v>OK</v>
      </c>
      <c r="V1707" s="55" t="str">
        <f t="shared" si="297"/>
        <v/>
      </c>
      <c r="W1707" s="55" t="str">
        <f>IF($V1707="","",IF(COUNTIF($V$5:$V1707,$V1707)=1,1,""))</f>
        <v/>
      </c>
      <c r="X1707" s="58" t="str">
        <f>IF($W1707="","",MAX($X$4:X1706)+1)</f>
        <v/>
      </c>
      <c r="Y1707" s="62"/>
      <c r="Z1707" s="62"/>
      <c r="AA1707" s="64" t="str">
        <f>IF($C1707="","",IFERROR(INDEX('Staff Directory'!$E$5:$E$594,MATCH($C1707,'Staff Directory'!$B$5:$B$594,0)),""))</f>
        <v>firstname066.lastname066@example.com</v>
      </c>
      <c r="AB1707" s="64" t="str">
        <f>IF($C1707="","",IF(ISNUMBER(SEARCH($D1707,Settings!$C$15)),"Pickup","Dispatch"))</f>
        <v>Pickup</v>
      </c>
      <c r="AC1707" s="64" t="str">
        <f t="shared" si="298"/>
        <v>Supply order ready for pickup</v>
      </c>
      <c r="AD1707" s="64" t="str">
        <f t="shared" si="289"/>
        <v>Dear PSW,
Your order is ready for pickup from Sample Branch, Wed-Fri 9am-4pm.</v>
      </c>
      <c r="AE1707" s="64" t="str">
        <f t="shared" si="290"/>
        <v>mailto:firstname066.lastname066@example.com?subject=Supply%20order%20ready%20for%20pickup&amp;body=Dear%20PSW%2C%0A%0AYour%20order%20is%20ready%20for%20pickup%20from%20Sample%20Branch%2C%20Wed-Fri%209am-4pm.</v>
      </c>
      <c r="AF1707" s="89" t="str">
        <f t="shared" si="299"/>
        <v>Draft email</v>
      </c>
      <c r="AG1707" s="64" t="str">
        <f>IF($C1707="","",IFERROR(INDEX('Staff Directory'!$K$595:$K$599,MATCH($C1707,'Staff Directory'!$B$5:$B$599,0)),$D1707))</f>
        <v>PSW</v>
      </c>
      <c r="AH1707" t="str">
        <f>IF($C1707="","",IFERROR(INDEX('Staff Directory'!$I$595:$I$599,MATCH($C1707,'Staff Directory'!$B$5:$B$599,0))&amp;" "&amp;INDEX('Staff Directory'!$J$595:$J$599,MATCH($C1707,'Staff Directory'!$B$5:$B$599,0)),$AG1707))</f>
        <v>PSW</v>
      </c>
      <c r="AI1707" s="102"/>
      <c r="AJ1707" s="101">
        <f>IF($F1707="","",SUMIFS($J$5:$J1707,$F$5:$F1707,$F1707))</f>
        <v>13900</v>
      </c>
      <c r="AK1707" s="101">
        <f t="shared" si="291"/>
        <v>13851</v>
      </c>
      <c r="AL1707" s="66" t="str" cm="1">
        <f t="array" ref="AL1707">IF($F1707="","",IFERROR(INDEX('Lot Balance'!$B$5:$B$500,MATCH(1,INDEX(('Lot Balance'!$A$5:$A$500=$F1707)*('Lot Balance'!$K$5:$K$500&lt;$AK1707)*('Lot Balance'!$K$5:$K$500+'Lot Balance'!$D$5:$D$500&gt;=$AK1707),0),0)),""))</f>
        <v>24HA2050A7396</v>
      </c>
      <c r="AM1707" s="66" t="str" cm="1">
        <f t="array" ref="AM1707">IF($F1707="","",IFERROR(INDEX('Lot Balance'!$B$5:$B$500,MATCH(1,INDEX(('Lot Balance'!$A$5:$A$500=$F1707)*('Lot Balance'!$K$5:$K$500&lt;$AJ1707)*('Lot Balance'!$K$5:$K$500+'Lot Balance'!$D$5:$D$500&gt;=$AJ1707),0),0)),""))</f>
        <v>24HA2050A7396</v>
      </c>
      <c r="AN1707" s="66" t="str">
        <f>IF($F1707="","",IF($AI1707&lt;&gt;"",IF(COUNTIFS('Lot Balance'!$A$5:$A$500,$F1707,'Lot Balance'!$B$5:$B$500,$AI1707)=0,"⚠ override is not a lot of this item",IF($AI1707=$AL1707,"Override = FEFO","Override - FEFO says "&amp;$AL1707)),IF($AL1707="","⚠ no receipt on file for this item",IF($AM1707&lt;&gt;$AL1707,"FEFO auto - split, also "&amp;$AM1707,"FEFO auto"))))</f>
        <v>FEFO auto</v>
      </c>
      <c r="AO1707" s="114"/>
    </row>
    <row r="1708" spans="1:41" x14ac:dyDescent="0.35">
      <c r="A1708" s="74">
        <v>46212</v>
      </c>
      <c r="B1708" s="18" t="str">
        <f>IF($C1708="","",IFERROR(INDEX('Staff Directory'!$A$5:$A$594,MATCH($C1708,'Staff Directory'!$B$5:$B$594,0)),"⚠ unknown staff"))</f>
        <v>PSW-006-A6</v>
      </c>
      <c r="C1708" s="49" t="s">
        <v>982</v>
      </c>
      <c r="D1708" s="19" t="str">
        <f>IF($B1708="","",IFERROR(INDEX('Staff Directory'!$C$5:$C$594,MATCH($B1708,'Staff Directory'!$A$5:$A$594,0)),""))</f>
        <v>PSW</v>
      </c>
      <c r="E1708" s="19" t="str">
        <f>IF($B1708="","",IFERROR(INDEX('Staff Directory'!$D$5:$D$594,MATCH($B1708,'Staff Directory'!$A$5:$A$594,0)),""))</f>
        <v>A6</v>
      </c>
      <c r="F1708" s="9" t="s">
        <v>758</v>
      </c>
      <c r="G1708" s="18" t="str">
        <f>IF($F1708="","",IFERROR(INDEX(Items!$B$5:$B$597,MATCH($F1708,Items!$A$5:$A$597,0)),"⚠ not in Items"))</f>
        <v>Utility</v>
      </c>
      <c r="H1708" s="19" t="str">
        <f>IF($F1708="","",IFERROR(INDEX(Items!$C$5:$C$597,MATCH($F1708,Items!$A$5:$A$597,0)),""))</f>
        <v>Standard</v>
      </c>
      <c r="I1708" s="23">
        <f>IF($F1708="","",IFERROR(INDEX(Items!$E$5:$E$597,MATCH($F1708,Items!$A$5:$A$597,0)),""))</f>
        <v>1</v>
      </c>
      <c r="J1708" s="115">
        <f>IF(tblIssues[[#This Row],[Qty Override]]&lt;&gt;"",tblIssues[[#This Row],[Qty Override]],IF(tblIssues[[#This Row],[Standard Issue]]="","",tblIssues[[#This Row],[Standard Issue]]))</f>
        <v>1</v>
      </c>
      <c r="K1708" s="20">
        <f>IF($F1708="","",IFERROR(INDEX(Items!$D$5:$D$597,MATCH($F1708,Items!$A$5:$A$597,0)),""))</f>
        <v>0</v>
      </c>
      <c r="L1708" s="21">
        <f t="shared" si="294"/>
        <v>0</v>
      </c>
      <c r="M1708" s="9" t="str">
        <f t="shared" si="292"/>
        <v/>
      </c>
      <c r="N1708" s="24">
        <f>IF($A1708="","",WORKDAY($A1708,Settings!$C$9,HolidayDates))</f>
        <v>46220</v>
      </c>
      <c r="O1708" s="24">
        <f>IF($N1708="","",WORKDAY($N1708,Settings!$C$10,HolidayDates))</f>
        <v>46260</v>
      </c>
      <c r="P1708" s="10" t="s">
        <v>501</v>
      </c>
      <c r="Q1708" s="52" t="str">
        <f t="shared" si="295"/>
        <v>Collected</v>
      </c>
      <c r="R1708" s="55" t="str">
        <f t="shared" si="296"/>
        <v>2026-07</v>
      </c>
      <c r="S1708" s="55">
        <f>IF(OR($B1708="",$F1708="",$R1708=""),"",SUMIFS(tblIssues[Qty Issued],tblIssues[Staff ID],$B1708,tblIssues[Item Name],$F1708,tblIssues[Month],$R1708))</f>
        <v>1</v>
      </c>
      <c r="T1708" s="56">
        <f>IF($I1708="","",$I1708*Settings!$C$11)</f>
        <v>1</v>
      </c>
      <c r="U1708" s="57" t="str">
        <f t="shared" si="293"/>
        <v>OK</v>
      </c>
      <c r="V1708" s="55" t="str">
        <f t="shared" si="297"/>
        <v/>
      </c>
      <c r="W1708" s="55" t="str">
        <f>IF($V1708="","",IF(COUNTIF($V$5:$V1708,$V1708)=1,1,""))</f>
        <v/>
      </c>
      <c r="X1708" s="58" t="str">
        <f>IF($W1708="","",MAX($X$4:X1707)+1)</f>
        <v/>
      </c>
      <c r="Y1708" s="62"/>
      <c r="Z1708" s="62"/>
      <c r="AA1708" s="64" t="str">
        <f>IF($C1708="","",IFERROR(INDEX('Staff Directory'!$E$5:$E$594,MATCH($C1708,'Staff Directory'!$B$5:$B$594,0)),""))</f>
        <v>firstname066.lastname066@example.com</v>
      </c>
      <c r="AB1708" s="64" t="str">
        <f>IF($C1708="","",IF(ISNUMBER(SEARCH($D1708,Settings!$C$15)),"Pickup","Dispatch"))</f>
        <v>Pickup</v>
      </c>
      <c r="AC1708" s="64" t="str">
        <f t="shared" si="298"/>
        <v>Supply order ready for pickup</v>
      </c>
      <c r="AD1708" s="64" t="str">
        <f t="shared" si="289"/>
        <v>Dear PSW,
Your order is ready for pickup from Sample Branch, Wed-Fri 9am-4pm.</v>
      </c>
      <c r="AE1708" s="64" t="str">
        <f t="shared" si="290"/>
        <v>mailto:firstname066.lastname066@example.com?subject=Supply%20order%20ready%20for%20pickup&amp;body=Dear%20PSW%2C%0A%0AYour%20order%20is%20ready%20for%20pickup%20from%20Sample%20Branch%2C%20Wed-Fri%209am-4pm.</v>
      </c>
      <c r="AF1708" s="89" t="str">
        <f t="shared" si="299"/>
        <v>Draft email</v>
      </c>
      <c r="AG1708" s="64" t="str">
        <f>IF($C1708="","",IFERROR(INDEX('Staff Directory'!$K$595:$K$599,MATCH($C1708,'Staff Directory'!$B$5:$B$599,0)),$D1708))</f>
        <v>PSW</v>
      </c>
      <c r="AH1708" t="str">
        <f>IF($C1708="","",IFERROR(INDEX('Staff Directory'!$I$595:$I$599,MATCH($C1708,'Staff Directory'!$B$5:$B$599,0))&amp;" "&amp;INDEX('Staff Directory'!$J$595:$J$599,MATCH($C1708,'Staff Directory'!$B$5:$B$599,0)),$AG1708))</f>
        <v>PSW</v>
      </c>
      <c r="AI1708" s="102"/>
      <c r="AJ1708" s="101">
        <f>IF($F1708="","",SUMIFS($J$5:$J1708,$F$5:$F1708,$F1708))</f>
        <v>56</v>
      </c>
      <c r="AK1708" s="101">
        <f t="shared" si="291"/>
        <v>56</v>
      </c>
      <c r="AL1708" s="66" t="str" cm="1">
        <f t="array" ref="AL1708">IF($F1708="","",IFERROR(INDEX('Lot Balance'!$B$5:$B$500,MATCH(1,INDEX(('Lot Balance'!$A$5:$A$500=$F1708)*('Lot Balance'!$K$5:$K$500&lt;$AK1708)*('Lot Balance'!$K$5:$K$500+'Lot Balance'!$D$5:$D$500&gt;=$AK1708),0),0)),""))</f>
        <v/>
      </c>
      <c r="AM1708" s="66" t="str" cm="1">
        <f t="array" ref="AM1708">IF($F1708="","",IFERROR(INDEX('Lot Balance'!$B$5:$B$500,MATCH(1,INDEX(('Lot Balance'!$A$5:$A$500=$F1708)*('Lot Balance'!$K$5:$K$500&lt;$AJ1708)*('Lot Balance'!$K$5:$K$500+'Lot Balance'!$D$5:$D$500&gt;=$AJ1708),0),0)),""))</f>
        <v/>
      </c>
      <c r="AN1708" s="66" t="str">
        <f>IF($F1708="","",IF($AI1708&lt;&gt;"",IF(COUNTIFS('Lot Balance'!$A$5:$A$500,$F1708,'Lot Balance'!$B$5:$B$500,$AI1708)=0,"⚠ override is not a lot of this item",IF($AI1708=$AL1708,"Override = FEFO","Override - FEFO says "&amp;$AL1708)),IF($AL1708="","⚠ no receipt on file for this item",IF($AM1708&lt;&gt;$AL1708,"FEFO auto - split, also "&amp;$AM1708,"FEFO auto"))))</f>
        <v>⚠ no receipt on file for this item</v>
      </c>
      <c r="AO1708" s="114"/>
    </row>
    <row r="1709" spans="1:41" x14ac:dyDescent="0.35">
      <c r="A1709" s="74">
        <v>46212</v>
      </c>
      <c r="B1709" s="18" t="str">
        <f>IF($C1709="","",IFERROR(INDEX('Staff Directory'!$A$5:$A$594,MATCH($C1709,'Staff Directory'!$B$5:$B$594,0)),"⚠ unknown staff"))</f>
        <v>PSW-135-A5</v>
      </c>
      <c r="C1709" s="49" t="s">
        <v>1114</v>
      </c>
      <c r="D1709" s="19" t="str">
        <f>IF($B1709="","",IFERROR(INDEX('Staff Directory'!$C$5:$C$594,MATCH($B1709,'Staff Directory'!$A$5:$A$594,0)),""))</f>
        <v>PSW</v>
      </c>
      <c r="E1709" s="19" t="str">
        <f>IF($B1709="","",IFERROR(INDEX('Staff Directory'!$D$5:$D$594,MATCH($B1709,'Staff Directory'!$A$5:$A$594,0)),""))</f>
        <v>A5</v>
      </c>
      <c r="F1709" s="9" t="s">
        <v>156</v>
      </c>
      <c r="G1709" s="18" t="str">
        <f>IF($F1709="","",IFERROR(INDEX(Items!$B$5:$B$597,MATCH($F1709,Items!$A$5:$A$597,0)),"⚠ not in Items"))</f>
        <v>Masks</v>
      </c>
      <c r="H1709" s="19" t="str">
        <f>IF($F1709="","",IFERROR(INDEX(Items!$C$5:$C$597,MATCH($F1709,Items!$A$5:$A$597,0)),""))</f>
        <v>One Size</v>
      </c>
      <c r="I1709" s="23">
        <f>IF($F1709="","",IFERROR(INDEX(Items!$E$5:$E$597,MATCH($F1709,Items!$A$5:$A$597,0)),""))</f>
        <v>50</v>
      </c>
      <c r="J1709" s="115">
        <f>IF(tblIssues[[#This Row],[Qty Override]]&lt;&gt;"",tblIssues[[#This Row],[Qty Override]],IF(tblIssues[[#This Row],[Standard Issue]]="","",tblIssues[[#This Row],[Standard Issue]]))</f>
        <v>50</v>
      </c>
      <c r="K1709" s="20">
        <f>IF($F1709="","",IFERROR(INDEX(Items!$D$5:$D$597,MATCH($F1709,Items!$A$5:$A$597,0)),""))</f>
        <v>0.25</v>
      </c>
      <c r="L1709" s="21">
        <f t="shared" si="294"/>
        <v>12.5</v>
      </c>
      <c r="M1709" s="9" t="str">
        <f t="shared" si="292"/>
        <v>24HA2050A7396</v>
      </c>
      <c r="N1709" s="24">
        <f>IF($A1709="","",WORKDAY($A1709,Settings!$C$9,HolidayDates))</f>
        <v>46220</v>
      </c>
      <c r="O1709" s="24">
        <f>IF($N1709="","",WORKDAY($N1709,Settings!$C$10,HolidayDates))</f>
        <v>46260</v>
      </c>
      <c r="P1709" s="10" t="s">
        <v>501</v>
      </c>
      <c r="Q1709" s="52" t="str">
        <f t="shared" si="295"/>
        <v>Collected</v>
      </c>
      <c r="R1709" s="55" t="str">
        <f t="shared" si="296"/>
        <v>2026-07</v>
      </c>
      <c r="S1709" s="55">
        <f>IF(OR($B1709="",$F1709="",$R1709=""),"",SUMIFS(tblIssues[Qty Issued],tblIssues[Staff ID],$B1709,tblIssues[Item Name],$F1709,tblIssues[Month],$R1709))</f>
        <v>100</v>
      </c>
      <c r="T1709" s="56">
        <f>IF($I1709="","",$I1709*Settings!$C$11)</f>
        <v>50</v>
      </c>
      <c r="U1709" s="57" t="str">
        <f t="shared" si="293"/>
        <v>⚠ OVER QUOTA</v>
      </c>
      <c r="V1709" s="55" t="str">
        <f t="shared" si="297"/>
        <v>PSW-135-A5 | Surgical Masks | 2026-07</v>
      </c>
      <c r="W1709" s="55">
        <f>IF($V1709="","",IF(COUNTIF($V$5:$V1709,$V1709)=1,1,""))</f>
        <v>1</v>
      </c>
      <c r="X1709" s="58">
        <f>IF($W1709="","",MAX($X$4:X1708)+1)</f>
        <v>55</v>
      </c>
      <c r="Y1709" s="62"/>
      <c r="Z1709" s="62"/>
      <c r="AA1709" s="64" t="str">
        <f>IF($C1709="","",IFERROR(INDEX('Staff Directory'!$E$5:$E$594,MATCH($C1709,'Staff Directory'!$B$5:$B$594,0)),""))</f>
        <v>firstname198.lastname198@example.com</v>
      </c>
      <c r="AB1709" s="64" t="str">
        <f>IF($C1709="","",IF(ISNUMBER(SEARCH($D1709,Settings!$C$15)),"Pickup","Dispatch"))</f>
        <v>Pickup</v>
      </c>
      <c r="AC1709" s="64" t="str">
        <f t="shared" si="298"/>
        <v>Supply order ready for pickup</v>
      </c>
      <c r="AD1709" s="64" t="str">
        <f t="shared" si="289"/>
        <v>Dear PSW,
Your order is ready for pickup from Sample Branch, Wed-Fri 9am-4pm.</v>
      </c>
      <c r="AE1709" s="64" t="str">
        <f t="shared" si="290"/>
        <v>mailto:firstname198.lastname198@example.com?subject=Supply%20order%20ready%20for%20pickup&amp;body=Dear%20PSW%2C%0A%0AYour%20order%20is%20ready%20for%20pickup%20from%20Sample%20Branch%2C%20Wed-Fri%209am-4pm.</v>
      </c>
      <c r="AF1709" s="89" t="str">
        <f t="shared" si="299"/>
        <v>Draft email</v>
      </c>
      <c r="AG1709" s="64" t="str">
        <f>IF($C1709="","",IFERROR(INDEX('Staff Directory'!$K$595:$K$599,MATCH($C1709,'Staff Directory'!$B$5:$B$599,0)),$D1709))</f>
        <v>PSW</v>
      </c>
      <c r="AH1709" t="str">
        <f>IF($C1709="","",IFERROR(INDEX('Staff Directory'!$I$595:$I$599,MATCH($C1709,'Staff Directory'!$B$5:$B$599,0))&amp;" "&amp;INDEX('Staff Directory'!$J$595:$J$599,MATCH($C1709,'Staff Directory'!$B$5:$B$599,0)),$AG1709))</f>
        <v>PSW</v>
      </c>
      <c r="AI1709" s="102"/>
      <c r="AJ1709" s="101">
        <f>IF($F1709="","",SUMIFS($J$5:$J1709,$F$5:$F1709,$F1709))</f>
        <v>13950</v>
      </c>
      <c r="AK1709" s="101">
        <f t="shared" si="291"/>
        <v>13901</v>
      </c>
      <c r="AL1709" s="66" t="str" cm="1">
        <f t="array" ref="AL1709">IF($F1709="","",IFERROR(INDEX('Lot Balance'!$B$5:$B$500,MATCH(1,INDEX(('Lot Balance'!$A$5:$A$500=$F1709)*('Lot Balance'!$K$5:$K$500&lt;$AK1709)*('Lot Balance'!$K$5:$K$500+'Lot Balance'!$D$5:$D$500&gt;=$AK1709),0),0)),""))</f>
        <v>24HA2050A7396</v>
      </c>
      <c r="AM1709" s="66" t="str" cm="1">
        <f t="array" ref="AM1709">IF($F1709="","",IFERROR(INDEX('Lot Balance'!$B$5:$B$500,MATCH(1,INDEX(('Lot Balance'!$A$5:$A$500=$F1709)*('Lot Balance'!$K$5:$K$500&lt;$AJ1709)*('Lot Balance'!$K$5:$K$500+'Lot Balance'!$D$5:$D$500&gt;=$AJ1709),0),0)),""))</f>
        <v>24HA2050A7396</v>
      </c>
      <c r="AN1709" s="66" t="str">
        <f>IF($F1709="","",IF($AI1709&lt;&gt;"",IF(COUNTIFS('Lot Balance'!$A$5:$A$500,$F1709,'Lot Balance'!$B$5:$B$500,$AI1709)=0,"⚠ override is not a lot of this item",IF($AI1709=$AL1709,"Override = FEFO","Override - FEFO says "&amp;$AL1709)),IF($AL1709="","⚠ no receipt on file for this item",IF($AM1709&lt;&gt;$AL1709,"FEFO auto - split, also "&amp;$AM1709,"FEFO auto"))))</f>
        <v>FEFO auto</v>
      </c>
      <c r="AO1709" s="114"/>
    </row>
    <row r="1710" spans="1:41" x14ac:dyDescent="0.35">
      <c r="A1710" s="74">
        <v>46212</v>
      </c>
      <c r="B1710" s="18" t="str">
        <f>IF($C1710="","",IFERROR(INDEX('Staff Directory'!$A$5:$A$594,MATCH($C1710,'Staff Directory'!$B$5:$B$594,0)),"⚠ unknown staff"))</f>
        <v>PSW-135-A5</v>
      </c>
      <c r="C1710" s="49" t="s">
        <v>1114</v>
      </c>
      <c r="D1710" s="19" t="str">
        <f>IF($B1710="","",IFERROR(INDEX('Staff Directory'!$C$5:$C$594,MATCH($B1710,'Staff Directory'!$A$5:$A$594,0)),""))</f>
        <v>PSW</v>
      </c>
      <c r="E1710" s="19" t="str">
        <f>IF($B1710="","",IFERROR(INDEX('Staff Directory'!$D$5:$D$594,MATCH($B1710,'Staff Directory'!$A$5:$A$594,0)),""))</f>
        <v>A5</v>
      </c>
      <c r="F1710" s="9" t="s">
        <v>156</v>
      </c>
      <c r="G1710" s="18" t="str">
        <f>IF($F1710="","",IFERROR(INDEX(Items!$B$5:$B$597,MATCH($F1710,Items!$A$5:$A$597,0)),"⚠ not in Items"))</f>
        <v>Masks</v>
      </c>
      <c r="H1710" s="19" t="str">
        <f>IF($F1710="","",IFERROR(INDEX(Items!$C$5:$C$597,MATCH($F1710,Items!$A$5:$A$597,0)),""))</f>
        <v>One Size</v>
      </c>
      <c r="I1710" s="23">
        <f>IF($F1710="","",IFERROR(INDEX(Items!$E$5:$E$597,MATCH($F1710,Items!$A$5:$A$597,0)),""))</f>
        <v>50</v>
      </c>
      <c r="J1710" s="115">
        <f>IF(tblIssues[[#This Row],[Qty Override]]&lt;&gt;"",tblIssues[[#This Row],[Qty Override]],IF(tblIssues[[#This Row],[Standard Issue]]="","",tblIssues[[#This Row],[Standard Issue]]))</f>
        <v>50</v>
      </c>
      <c r="K1710" s="20">
        <f>IF($F1710="","",IFERROR(INDEX(Items!$D$5:$D$597,MATCH($F1710,Items!$A$5:$A$597,0)),""))</f>
        <v>0.25</v>
      </c>
      <c r="L1710" s="21">
        <f t="shared" si="294"/>
        <v>12.5</v>
      </c>
      <c r="M1710" s="9" t="str">
        <f t="shared" si="292"/>
        <v>24HA2050A7396</v>
      </c>
      <c r="N1710" s="24">
        <f>IF($A1710="","",WORKDAY($A1710,Settings!$C$9,HolidayDates))</f>
        <v>46220</v>
      </c>
      <c r="O1710" s="24">
        <f>IF($N1710="","",WORKDAY($N1710,Settings!$C$10,HolidayDates))</f>
        <v>46260</v>
      </c>
      <c r="P1710" s="10" t="s">
        <v>501</v>
      </c>
      <c r="Q1710" s="52" t="str">
        <f t="shared" si="295"/>
        <v>Collected</v>
      </c>
      <c r="R1710" s="55" t="str">
        <f t="shared" si="296"/>
        <v>2026-07</v>
      </c>
      <c r="S1710" s="55">
        <f>IF(OR($B1710="",$F1710="",$R1710=""),"",SUMIFS(tblIssues[Qty Issued],tblIssues[Staff ID],$B1710,tblIssues[Item Name],$F1710,tblIssues[Month],$R1710))</f>
        <v>100</v>
      </c>
      <c r="T1710" s="56">
        <f>IF($I1710="","",$I1710*Settings!$C$11)</f>
        <v>50</v>
      </c>
      <c r="U1710" s="57" t="str">
        <f t="shared" si="293"/>
        <v>⚠ OVER QUOTA</v>
      </c>
      <c r="V1710" s="55" t="str">
        <f t="shared" si="297"/>
        <v>PSW-135-A5 | Surgical Masks | 2026-07</v>
      </c>
      <c r="W1710" s="55" t="str">
        <f>IF($V1710="","",IF(COUNTIF($V$5:$V1710,$V1710)=1,1,""))</f>
        <v/>
      </c>
      <c r="X1710" s="58" t="str">
        <f>IF($W1710="","",MAX($X$4:X1709)+1)</f>
        <v/>
      </c>
      <c r="Y1710" s="62"/>
      <c r="Z1710" s="62"/>
      <c r="AA1710" s="64" t="str">
        <f>IF($C1710="","",IFERROR(INDEX('Staff Directory'!$E$5:$E$594,MATCH($C1710,'Staff Directory'!$B$5:$B$594,0)),""))</f>
        <v>firstname198.lastname198@example.com</v>
      </c>
      <c r="AB1710" s="64" t="str">
        <f>IF($C1710="","",IF(ISNUMBER(SEARCH($D1710,Settings!$C$15)),"Pickup","Dispatch"))</f>
        <v>Pickup</v>
      </c>
      <c r="AC1710" s="64" t="str">
        <f t="shared" si="298"/>
        <v>Supply order ready for pickup</v>
      </c>
      <c r="AD1710" s="64" t="str">
        <f t="shared" si="289"/>
        <v>Dear PSW,
Your order is ready for pickup from Sample Branch, Wed-Fri 9am-4pm.</v>
      </c>
      <c r="AE1710" s="64" t="str">
        <f t="shared" si="290"/>
        <v>mailto:firstname198.lastname198@example.com?subject=Supply%20order%20ready%20for%20pickup&amp;body=Dear%20PSW%2C%0A%0AYour%20order%20is%20ready%20for%20pickup%20from%20Sample%20Branch%2C%20Wed-Fri%209am-4pm.</v>
      </c>
      <c r="AF1710" s="89" t="str">
        <f t="shared" si="299"/>
        <v>Draft email</v>
      </c>
      <c r="AG1710" s="64" t="str">
        <f>IF($C1710="","",IFERROR(INDEX('Staff Directory'!$K$595:$K$599,MATCH($C1710,'Staff Directory'!$B$5:$B$599,0)),$D1710))</f>
        <v>PSW</v>
      </c>
      <c r="AH1710" t="str">
        <f>IF($C1710="","",IFERROR(INDEX('Staff Directory'!$I$595:$I$599,MATCH($C1710,'Staff Directory'!$B$5:$B$599,0))&amp;" "&amp;INDEX('Staff Directory'!$J$595:$J$599,MATCH($C1710,'Staff Directory'!$B$5:$B$599,0)),$AG1710))</f>
        <v>PSW</v>
      </c>
      <c r="AI1710" s="102"/>
      <c r="AJ1710" s="101">
        <f>IF($F1710="","",SUMIFS($J$5:$J1710,$F$5:$F1710,$F1710))</f>
        <v>14000</v>
      </c>
      <c r="AK1710" s="101">
        <f t="shared" si="291"/>
        <v>13951</v>
      </c>
      <c r="AL1710" s="66" t="str" cm="1">
        <f t="array" ref="AL1710">IF($F1710="","",IFERROR(INDEX('Lot Balance'!$B$5:$B$500,MATCH(1,INDEX(('Lot Balance'!$A$5:$A$500=$F1710)*('Lot Balance'!$K$5:$K$500&lt;$AK1710)*('Lot Balance'!$K$5:$K$500+'Lot Balance'!$D$5:$D$500&gt;=$AK1710),0),0)),""))</f>
        <v>24HA2050A7396</v>
      </c>
      <c r="AM1710" s="66" t="str" cm="1">
        <f t="array" ref="AM1710">IF($F1710="","",IFERROR(INDEX('Lot Balance'!$B$5:$B$500,MATCH(1,INDEX(('Lot Balance'!$A$5:$A$500=$F1710)*('Lot Balance'!$K$5:$K$500&lt;$AJ1710)*('Lot Balance'!$K$5:$K$500+'Lot Balance'!$D$5:$D$500&gt;=$AJ1710),0),0)),""))</f>
        <v>24HA2050A7396</v>
      </c>
      <c r="AN1710" s="66" t="str">
        <f>IF($F1710="","",IF($AI1710&lt;&gt;"",IF(COUNTIFS('Lot Balance'!$A$5:$A$500,$F1710,'Lot Balance'!$B$5:$B$500,$AI1710)=0,"⚠ override is not a lot of this item",IF($AI1710=$AL1710,"Override = FEFO","Override - FEFO says "&amp;$AL1710)),IF($AL1710="","⚠ no receipt on file for this item",IF($AM1710&lt;&gt;$AL1710,"FEFO auto - split, also "&amp;$AM1710,"FEFO auto"))))</f>
        <v>FEFO auto</v>
      </c>
      <c r="AO1710" s="114"/>
    </row>
    <row r="1711" spans="1:41" x14ac:dyDescent="0.35">
      <c r="A1711" s="74">
        <v>46212</v>
      </c>
      <c r="B1711" s="18" t="str">
        <f>IF($C1711="","",IFERROR(INDEX('Staff Directory'!$A$5:$A$594,MATCH($C1711,'Staff Directory'!$B$5:$B$594,0)),"⚠ unknown staff"))</f>
        <v>PSW-135-A5</v>
      </c>
      <c r="C1711" s="49" t="s">
        <v>1114</v>
      </c>
      <c r="D1711" s="19" t="str">
        <f>IF($B1711="","",IFERROR(INDEX('Staff Directory'!$C$5:$C$594,MATCH($B1711,'Staff Directory'!$A$5:$A$594,0)),""))</f>
        <v>PSW</v>
      </c>
      <c r="E1711" s="19" t="str">
        <f>IF($B1711="","",IFERROR(INDEX('Staff Directory'!$D$5:$D$594,MATCH($B1711,'Staff Directory'!$A$5:$A$594,0)),""))</f>
        <v>A5</v>
      </c>
      <c r="F1711" s="9" t="s">
        <v>191</v>
      </c>
      <c r="G1711" s="18" t="str">
        <f>IF($F1711="","",IFERROR(INDEX(Items!$B$5:$B$597,MATCH($F1711,Items!$A$5:$A$597,0)),"⚠ not in Items"))</f>
        <v>Sanitizer</v>
      </c>
      <c r="H1711" s="19" t="str">
        <f>IF($F1711="","",IFERROR(INDEX(Items!$C$5:$C$597,MATCH($F1711,Items!$A$5:$A$597,0)),""))</f>
        <v>236 ML</v>
      </c>
      <c r="I1711" s="23">
        <f>IF($F1711="","",IFERROR(INDEX(Items!$E$5:$E$597,MATCH($F1711,Items!$A$5:$A$597,0)),""))</f>
        <v>1</v>
      </c>
      <c r="J1711" s="115">
        <f>IF(tblIssues[[#This Row],[Qty Override]]&lt;&gt;"",tblIssues[[#This Row],[Qty Override]],IF(tblIssues[[#This Row],[Standard Issue]]="","",tblIssues[[#This Row],[Standard Issue]]))</f>
        <v>1</v>
      </c>
      <c r="K1711" s="20">
        <f>IF($F1711="","",IFERROR(INDEX(Items!$D$5:$D$597,MATCH($F1711,Items!$A$5:$A$597,0)),""))</f>
        <v>1E-4</v>
      </c>
      <c r="L1711" s="21">
        <f t="shared" si="294"/>
        <v>1E-4</v>
      </c>
      <c r="M1711" s="9" t="str">
        <f t="shared" si="292"/>
        <v>20-21734-5</v>
      </c>
      <c r="N1711" s="24">
        <f>IF($A1711="","",WORKDAY($A1711,Settings!$C$9,HolidayDates))</f>
        <v>46220</v>
      </c>
      <c r="O1711" s="24">
        <f>IF($N1711="","",WORKDAY($N1711,Settings!$C$10,HolidayDates))</f>
        <v>46260</v>
      </c>
      <c r="P1711" s="10" t="s">
        <v>501</v>
      </c>
      <c r="Q1711" s="52" t="str">
        <f t="shared" si="295"/>
        <v>Collected</v>
      </c>
      <c r="R1711" s="55" t="str">
        <f t="shared" si="296"/>
        <v>2026-07</v>
      </c>
      <c r="S1711" s="55">
        <f>IF(OR($B1711="",$F1711="",$R1711=""),"",SUMIFS(tblIssues[Qty Issued],tblIssues[Staff ID],$B1711,tblIssues[Item Name],$F1711,tblIssues[Month],$R1711))</f>
        <v>2</v>
      </c>
      <c r="T1711" s="56">
        <f>IF($I1711="","",$I1711*Settings!$C$11)</f>
        <v>1</v>
      </c>
      <c r="U1711" s="57" t="str">
        <f t="shared" si="293"/>
        <v>⚠ OVER QUOTA</v>
      </c>
      <c r="V1711" s="55" t="str">
        <f t="shared" si="297"/>
        <v>PSW-135-A5 | Hand Sanitizer OS | 2026-07</v>
      </c>
      <c r="W1711" s="55">
        <f>IF($V1711="","",IF(COUNTIF($V$5:$V1711,$V1711)=1,1,""))</f>
        <v>1</v>
      </c>
      <c r="X1711" s="58">
        <f>IF($W1711="","",MAX($X$4:X1710)+1)</f>
        <v>56</v>
      </c>
      <c r="Y1711" s="62"/>
      <c r="Z1711" s="62"/>
      <c r="AA1711" s="64" t="str">
        <f>IF($C1711="","",IFERROR(INDEX('Staff Directory'!$E$5:$E$594,MATCH($C1711,'Staff Directory'!$B$5:$B$594,0)),""))</f>
        <v>firstname198.lastname198@example.com</v>
      </c>
      <c r="AB1711" s="64" t="str">
        <f>IF($C1711="","",IF(ISNUMBER(SEARCH($D1711,Settings!$C$15)),"Pickup","Dispatch"))</f>
        <v>Pickup</v>
      </c>
      <c r="AC1711" s="64" t="str">
        <f t="shared" si="298"/>
        <v>Supply order ready for pickup</v>
      </c>
      <c r="AD1711" s="64" t="str">
        <f t="shared" si="289"/>
        <v>Dear PSW,
Your order is ready for pickup from Sample Branch, Wed-Fri 9am-4pm.</v>
      </c>
      <c r="AE1711" s="64" t="str">
        <f t="shared" si="290"/>
        <v>mailto:firstname198.lastname198@example.com?subject=Supply%20order%20ready%20for%20pickup&amp;body=Dear%20PSW%2C%0A%0AYour%20order%20is%20ready%20for%20pickup%20from%20Sample%20Branch%2C%20Wed-Fri%209am-4pm.</v>
      </c>
      <c r="AF1711" s="89" t="str">
        <f t="shared" si="299"/>
        <v>Draft email</v>
      </c>
      <c r="AG1711" s="64" t="str">
        <f>IF($C1711="","",IFERROR(INDEX('Staff Directory'!$K$595:$K$599,MATCH($C1711,'Staff Directory'!$B$5:$B$599,0)),$D1711))</f>
        <v>PSW</v>
      </c>
      <c r="AH1711" t="str">
        <f>IF($C1711="","",IFERROR(INDEX('Staff Directory'!$I$595:$I$599,MATCH($C1711,'Staff Directory'!$B$5:$B$599,0))&amp;" "&amp;INDEX('Staff Directory'!$J$595:$J$599,MATCH($C1711,'Staff Directory'!$B$5:$B$599,0)),$AG1711))</f>
        <v>PSW</v>
      </c>
      <c r="AI1711" s="102"/>
      <c r="AJ1711" s="101">
        <f>IF($F1711="","",SUMIFS($J$5:$J1711,$F$5:$F1711,$F1711))</f>
        <v>218</v>
      </c>
      <c r="AK1711" s="101">
        <f t="shared" si="291"/>
        <v>218</v>
      </c>
      <c r="AL1711" s="66" t="str" cm="1">
        <f t="array" ref="AL1711">IF($F1711="","",IFERROR(INDEX('Lot Balance'!$B$5:$B$500,MATCH(1,INDEX(('Lot Balance'!$A$5:$A$500=$F1711)*('Lot Balance'!$K$5:$K$500&lt;$AK1711)*('Lot Balance'!$K$5:$K$500+'Lot Balance'!$D$5:$D$500&gt;=$AK1711),0),0)),""))</f>
        <v>20-21734-5</v>
      </c>
      <c r="AM1711" s="66" t="str" cm="1">
        <f t="array" ref="AM1711">IF($F1711="","",IFERROR(INDEX('Lot Balance'!$B$5:$B$500,MATCH(1,INDEX(('Lot Balance'!$A$5:$A$500=$F1711)*('Lot Balance'!$K$5:$K$500&lt;$AJ1711)*('Lot Balance'!$K$5:$K$500+'Lot Balance'!$D$5:$D$500&gt;=$AJ1711),0),0)),""))</f>
        <v>20-21734-5</v>
      </c>
      <c r="AN1711" s="66" t="str">
        <f>IF($F1711="","",IF($AI1711&lt;&gt;"",IF(COUNTIFS('Lot Balance'!$A$5:$A$500,$F1711,'Lot Balance'!$B$5:$B$500,$AI1711)=0,"⚠ override is not a lot of this item",IF($AI1711=$AL1711,"Override = FEFO","Override - FEFO says "&amp;$AL1711)),IF($AL1711="","⚠ no receipt on file for this item",IF($AM1711&lt;&gt;$AL1711,"FEFO auto - split, also "&amp;$AM1711,"FEFO auto"))))</f>
        <v>FEFO auto</v>
      </c>
      <c r="AO1711" s="114"/>
    </row>
    <row r="1712" spans="1:41" x14ac:dyDescent="0.35">
      <c r="A1712" s="74">
        <v>46212</v>
      </c>
      <c r="B1712" s="18" t="str">
        <f>IF($C1712="","",IFERROR(INDEX('Staff Directory'!$A$5:$A$594,MATCH($C1712,'Staff Directory'!$B$5:$B$594,0)),"⚠ unknown staff"))</f>
        <v>PSW-135-A5</v>
      </c>
      <c r="C1712" s="49" t="s">
        <v>1114</v>
      </c>
      <c r="D1712" s="19" t="str">
        <f>IF($B1712="","",IFERROR(INDEX('Staff Directory'!$C$5:$C$594,MATCH($B1712,'Staff Directory'!$A$5:$A$594,0)),""))</f>
        <v>PSW</v>
      </c>
      <c r="E1712" s="19" t="str">
        <f>IF($B1712="","",IFERROR(INDEX('Staff Directory'!$D$5:$D$594,MATCH($B1712,'Staff Directory'!$A$5:$A$594,0)),""))</f>
        <v>A5</v>
      </c>
      <c r="F1712" s="9" t="s">
        <v>191</v>
      </c>
      <c r="G1712" s="18" t="str">
        <f>IF($F1712="","",IFERROR(INDEX(Items!$B$5:$B$597,MATCH($F1712,Items!$A$5:$A$597,0)),"⚠ not in Items"))</f>
        <v>Sanitizer</v>
      </c>
      <c r="H1712" s="19" t="str">
        <f>IF($F1712="","",IFERROR(INDEX(Items!$C$5:$C$597,MATCH($F1712,Items!$A$5:$A$597,0)),""))</f>
        <v>236 ML</v>
      </c>
      <c r="I1712" s="23">
        <f>IF($F1712="","",IFERROR(INDEX(Items!$E$5:$E$597,MATCH($F1712,Items!$A$5:$A$597,0)),""))</f>
        <v>1</v>
      </c>
      <c r="J1712" s="115">
        <f>IF(tblIssues[[#This Row],[Qty Override]]&lt;&gt;"",tblIssues[[#This Row],[Qty Override]],IF(tblIssues[[#This Row],[Standard Issue]]="","",tblIssues[[#This Row],[Standard Issue]]))</f>
        <v>1</v>
      </c>
      <c r="K1712" s="20">
        <f>IF($F1712="","",IFERROR(INDEX(Items!$D$5:$D$597,MATCH($F1712,Items!$A$5:$A$597,0)),""))</f>
        <v>1E-4</v>
      </c>
      <c r="L1712" s="21">
        <f t="shared" si="294"/>
        <v>1E-4</v>
      </c>
      <c r="M1712" s="9" t="str">
        <f t="shared" si="292"/>
        <v>20-21734-5</v>
      </c>
      <c r="N1712" s="24">
        <f>IF($A1712="","",WORKDAY($A1712,Settings!$C$9,HolidayDates))</f>
        <v>46220</v>
      </c>
      <c r="O1712" s="24">
        <f>IF($N1712="","",WORKDAY($N1712,Settings!$C$10,HolidayDates))</f>
        <v>46260</v>
      </c>
      <c r="P1712" s="10" t="s">
        <v>501</v>
      </c>
      <c r="Q1712" s="52" t="str">
        <f t="shared" si="295"/>
        <v>Collected</v>
      </c>
      <c r="R1712" s="55" t="str">
        <f t="shared" si="296"/>
        <v>2026-07</v>
      </c>
      <c r="S1712" s="55">
        <f>IF(OR($B1712="",$F1712="",$R1712=""),"",SUMIFS(tblIssues[Qty Issued],tblIssues[Staff ID],$B1712,tblIssues[Item Name],$F1712,tblIssues[Month],$R1712))</f>
        <v>2</v>
      </c>
      <c r="T1712" s="56">
        <f>IF($I1712="","",$I1712*Settings!$C$11)</f>
        <v>1</v>
      </c>
      <c r="U1712" s="57" t="str">
        <f t="shared" si="293"/>
        <v>⚠ OVER QUOTA</v>
      </c>
      <c r="V1712" s="55" t="str">
        <f t="shared" si="297"/>
        <v>PSW-135-A5 | Hand Sanitizer OS | 2026-07</v>
      </c>
      <c r="W1712" s="55" t="str">
        <f>IF($V1712="","",IF(COUNTIF($V$5:$V1712,$V1712)=1,1,""))</f>
        <v/>
      </c>
      <c r="X1712" s="58" t="str">
        <f>IF($W1712="","",MAX($X$4:X1711)+1)</f>
        <v/>
      </c>
      <c r="Y1712" s="62"/>
      <c r="Z1712" s="62"/>
      <c r="AA1712" s="64" t="str">
        <f>IF($C1712="","",IFERROR(INDEX('Staff Directory'!$E$5:$E$594,MATCH($C1712,'Staff Directory'!$B$5:$B$594,0)),""))</f>
        <v>firstname198.lastname198@example.com</v>
      </c>
      <c r="AB1712" s="64" t="str">
        <f>IF($C1712="","",IF(ISNUMBER(SEARCH($D1712,Settings!$C$15)),"Pickup","Dispatch"))</f>
        <v>Pickup</v>
      </c>
      <c r="AC1712" s="64" t="str">
        <f t="shared" si="298"/>
        <v>Supply order ready for pickup</v>
      </c>
      <c r="AD1712" s="64" t="str">
        <f t="shared" si="289"/>
        <v>Dear PSW,
Your order is ready for pickup from Sample Branch, Wed-Fri 9am-4pm.</v>
      </c>
      <c r="AE1712" s="64" t="str">
        <f t="shared" si="290"/>
        <v>mailto:firstname198.lastname198@example.com?subject=Supply%20order%20ready%20for%20pickup&amp;body=Dear%20PSW%2C%0A%0AYour%20order%20is%20ready%20for%20pickup%20from%20Sample%20Branch%2C%20Wed-Fri%209am-4pm.</v>
      </c>
      <c r="AF1712" s="89" t="str">
        <f t="shared" si="299"/>
        <v>Draft email</v>
      </c>
      <c r="AG1712" s="64" t="str">
        <f>IF($C1712="","",IFERROR(INDEX('Staff Directory'!$K$595:$K$599,MATCH($C1712,'Staff Directory'!$B$5:$B$599,0)),$D1712))</f>
        <v>PSW</v>
      </c>
      <c r="AH1712" t="str">
        <f>IF($C1712="","",IFERROR(INDEX('Staff Directory'!$I$595:$I$599,MATCH($C1712,'Staff Directory'!$B$5:$B$599,0))&amp;" "&amp;INDEX('Staff Directory'!$J$595:$J$599,MATCH($C1712,'Staff Directory'!$B$5:$B$599,0)),$AG1712))</f>
        <v>PSW</v>
      </c>
      <c r="AI1712" s="102"/>
      <c r="AJ1712" s="101">
        <f>IF($F1712="","",SUMIFS($J$5:$J1712,$F$5:$F1712,$F1712))</f>
        <v>219</v>
      </c>
      <c r="AK1712" s="101">
        <f t="shared" si="291"/>
        <v>219</v>
      </c>
      <c r="AL1712" s="66" t="str" cm="1">
        <f t="array" ref="AL1712">IF($F1712="","",IFERROR(INDEX('Lot Balance'!$B$5:$B$500,MATCH(1,INDEX(('Lot Balance'!$A$5:$A$500=$F1712)*('Lot Balance'!$K$5:$K$500&lt;$AK1712)*('Lot Balance'!$K$5:$K$500+'Lot Balance'!$D$5:$D$500&gt;=$AK1712),0),0)),""))</f>
        <v>20-21734-5</v>
      </c>
      <c r="AM1712" s="66" t="str" cm="1">
        <f t="array" ref="AM1712">IF($F1712="","",IFERROR(INDEX('Lot Balance'!$B$5:$B$500,MATCH(1,INDEX(('Lot Balance'!$A$5:$A$500=$F1712)*('Lot Balance'!$K$5:$K$500&lt;$AJ1712)*('Lot Balance'!$K$5:$K$500+'Lot Balance'!$D$5:$D$500&gt;=$AJ1712),0),0)),""))</f>
        <v>20-21734-5</v>
      </c>
      <c r="AN1712" s="66" t="str">
        <f>IF($F1712="","",IF($AI1712&lt;&gt;"",IF(COUNTIFS('Lot Balance'!$A$5:$A$500,$F1712,'Lot Balance'!$B$5:$B$500,$AI1712)=0,"⚠ override is not a lot of this item",IF($AI1712=$AL1712,"Override = FEFO","Override - FEFO says "&amp;$AL1712)),IF($AL1712="","⚠ no receipt on file for this item",IF($AM1712&lt;&gt;$AL1712,"FEFO auto - split, also "&amp;$AM1712,"FEFO auto"))))</f>
        <v>FEFO auto</v>
      </c>
      <c r="AO1712" s="114"/>
    </row>
    <row r="1713" spans="1:41" x14ac:dyDescent="0.35">
      <c r="A1713" s="74">
        <v>46212</v>
      </c>
      <c r="B1713" s="18" t="str">
        <f>IF($C1713="","",IFERROR(INDEX('Staff Directory'!$A$5:$A$594,MATCH($C1713,'Staff Directory'!$B$5:$B$594,0)),"⚠ unknown staff"))</f>
        <v>PSW-135-A5</v>
      </c>
      <c r="C1713" s="49" t="s">
        <v>1114</v>
      </c>
      <c r="D1713" s="19" t="str">
        <f>IF($B1713="","",IFERROR(INDEX('Staff Directory'!$C$5:$C$594,MATCH($B1713,'Staff Directory'!$A$5:$A$594,0)),""))</f>
        <v>PSW</v>
      </c>
      <c r="E1713" s="19" t="str">
        <f>IF($B1713="","",IFERROR(INDEX('Staff Directory'!$D$5:$D$594,MATCH($B1713,'Staff Directory'!$A$5:$A$594,0)),""))</f>
        <v>A5</v>
      </c>
      <c r="F1713" s="9" t="s">
        <v>758</v>
      </c>
      <c r="G1713" s="18" t="str">
        <f>IF($F1713="","",IFERROR(INDEX(Items!$B$5:$B$597,MATCH($F1713,Items!$A$5:$A$597,0)),"⚠ not in Items"))</f>
        <v>Utility</v>
      </c>
      <c r="H1713" s="19" t="str">
        <f>IF($F1713="","",IFERROR(INDEX(Items!$C$5:$C$597,MATCH($F1713,Items!$A$5:$A$597,0)),""))</f>
        <v>Standard</v>
      </c>
      <c r="I1713" s="23">
        <f>IF($F1713="","",IFERROR(INDEX(Items!$E$5:$E$597,MATCH($F1713,Items!$A$5:$A$597,0)),""))</f>
        <v>1</v>
      </c>
      <c r="J1713" s="115">
        <f>IF(tblIssues[[#This Row],[Qty Override]]&lt;&gt;"",tblIssues[[#This Row],[Qty Override]],IF(tblIssues[[#This Row],[Standard Issue]]="","",tblIssues[[#This Row],[Standard Issue]]))</f>
        <v>1</v>
      </c>
      <c r="K1713" s="20">
        <f>IF($F1713="","",IFERROR(INDEX(Items!$D$5:$D$597,MATCH($F1713,Items!$A$5:$A$597,0)),""))</f>
        <v>0</v>
      </c>
      <c r="L1713" s="21">
        <f t="shared" si="294"/>
        <v>0</v>
      </c>
      <c r="M1713" s="9" t="str">
        <f t="shared" si="292"/>
        <v/>
      </c>
      <c r="N1713" s="24">
        <f>IF($A1713="","",WORKDAY($A1713,Settings!$C$9,HolidayDates))</f>
        <v>46220</v>
      </c>
      <c r="O1713" s="24">
        <f>IF($N1713="","",WORKDAY($N1713,Settings!$C$10,HolidayDates))</f>
        <v>46260</v>
      </c>
      <c r="P1713" s="10" t="s">
        <v>501</v>
      </c>
      <c r="Q1713" s="52" t="str">
        <f t="shared" si="295"/>
        <v>Collected</v>
      </c>
      <c r="R1713" s="55" t="str">
        <f t="shared" si="296"/>
        <v>2026-07</v>
      </c>
      <c r="S1713" s="55">
        <f>IF(OR($B1713="",$F1713="",$R1713=""),"",SUMIFS(tblIssues[Qty Issued],tblIssues[Staff ID],$B1713,tblIssues[Item Name],$F1713,tblIssues[Month],$R1713))</f>
        <v>1</v>
      </c>
      <c r="T1713" s="56">
        <f>IF($I1713="","",$I1713*Settings!$C$11)</f>
        <v>1</v>
      </c>
      <c r="U1713" s="57" t="str">
        <f t="shared" si="293"/>
        <v>OK</v>
      </c>
      <c r="V1713" s="55" t="str">
        <f t="shared" si="297"/>
        <v/>
      </c>
      <c r="W1713" s="55" t="str">
        <f>IF($V1713="","",IF(COUNTIF($V$5:$V1713,$V1713)=1,1,""))</f>
        <v/>
      </c>
      <c r="X1713" s="58" t="str">
        <f>IF($W1713="","",MAX($X$4:X1712)+1)</f>
        <v/>
      </c>
      <c r="Y1713" s="62"/>
      <c r="Z1713" s="62"/>
      <c r="AA1713" s="64" t="str">
        <f>IF($C1713="","",IFERROR(INDEX('Staff Directory'!$E$5:$E$594,MATCH($C1713,'Staff Directory'!$B$5:$B$594,0)),""))</f>
        <v>firstname198.lastname198@example.com</v>
      </c>
      <c r="AB1713" s="64" t="str">
        <f>IF($C1713="","",IF(ISNUMBER(SEARCH($D1713,Settings!$C$15)),"Pickup","Dispatch"))</f>
        <v>Pickup</v>
      </c>
      <c r="AC1713" s="64" t="str">
        <f t="shared" si="298"/>
        <v>Supply order ready for pickup</v>
      </c>
      <c r="AD1713" s="64" t="str">
        <f t="shared" si="289"/>
        <v>Dear PSW,
Your order is ready for pickup from Sample Branch, Wed-Fri 9am-4pm.</v>
      </c>
      <c r="AE1713" s="64" t="str">
        <f t="shared" si="290"/>
        <v>mailto:firstname198.lastname198@example.com?subject=Supply%20order%20ready%20for%20pickup&amp;body=Dear%20PSW%2C%0A%0AYour%20order%20is%20ready%20for%20pickup%20from%20Sample%20Branch%2C%20Wed-Fri%209am-4pm.</v>
      </c>
      <c r="AF1713" s="89" t="str">
        <f t="shared" si="299"/>
        <v>Draft email</v>
      </c>
      <c r="AG1713" s="64" t="str">
        <f>IF($C1713="","",IFERROR(INDEX('Staff Directory'!$K$595:$K$599,MATCH($C1713,'Staff Directory'!$B$5:$B$599,0)),$D1713))</f>
        <v>PSW</v>
      </c>
      <c r="AH1713" t="str">
        <f>IF($C1713="","",IFERROR(INDEX('Staff Directory'!$I$595:$I$599,MATCH($C1713,'Staff Directory'!$B$5:$B$599,0))&amp;" "&amp;INDEX('Staff Directory'!$J$595:$J$599,MATCH($C1713,'Staff Directory'!$B$5:$B$599,0)),$AG1713))</f>
        <v>PSW</v>
      </c>
      <c r="AI1713" s="102"/>
      <c r="AJ1713" s="101">
        <f>IF($F1713="","",SUMIFS($J$5:$J1713,$F$5:$F1713,$F1713))</f>
        <v>57</v>
      </c>
      <c r="AK1713" s="101">
        <f t="shared" si="291"/>
        <v>57</v>
      </c>
      <c r="AL1713" s="66" t="str" cm="1">
        <f t="array" ref="AL1713">IF($F1713="","",IFERROR(INDEX('Lot Balance'!$B$5:$B$500,MATCH(1,INDEX(('Lot Balance'!$A$5:$A$500=$F1713)*('Lot Balance'!$K$5:$K$500&lt;$AK1713)*('Lot Balance'!$K$5:$K$500+'Lot Balance'!$D$5:$D$500&gt;=$AK1713),0),0)),""))</f>
        <v/>
      </c>
      <c r="AM1713" s="66" t="str" cm="1">
        <f t="array" ref="AM1713">IF($F1713="","",IFERROR(INDEX('Lot Balance'!$B$5:$B$500,MATCH(1,INDEX(('Lot Balance'!$A$5:$A$500=$F1713)*('Lot Balance'!$K$5:$K$500&lt;$AJ1713)*('Lot Balance'!$K$5:$K$500+'Lot Balance'!$D$5:$D$500&gt;=$AJ1713),0),0)),""))</f>
        <v/>
      </c>
      <c r="AN1713" s="66" t="str">
        <f>IF($F1713="","",IF($AI1713&lt;&gt;"",IF(COUNTIFS('Lot Balance'!$A$5:$A$500,$F1713,'Lot Balance'!$B$5:$B$500,$AI1713)=0,"⚠ override is not a lot of this item",IF($AI1713=$AL1713,"Override = FEFO","Override - FEFO says "&amp;$AL1713)),IF($AL1713="","⚠ no receipt on file for this item",IF($AM1713&lt;&gt;$AL1713,"FEFO auto - split, also "&amp;$AM1713,"FEFO auto"))))</f>
        <v>⚠ no receipt on file for this item</v>
      </c>
      <c r="AO1713" s="114"/>
    </row>
    <row r="1714" spans="1:41" x14ac:dyDescent="0.35">
      <c r="A1714" s="74">
        <v>46212</v>
      </c>
      <c r="B1714" s="18" t="str">
        <f>IF($C1714="","",IFERROR(INDEX('Staff Directory'!$A$5:$A$594,MATCH($C1714,'Staff Directory'!$B$5:$B$594,0)),"⚠ unknown staff"))</f>
        <v>PSW-114-A4</v>
      </c>
      <c r="C1714" s="49" t="s">
        <v>1092</v>
      </c>
      <c r="D1714" s="19" t="str">
        <f>IF($B1714="","",IFERROR(INDEX('Staff Directory'!$C$5:$C$594,MATCH($B1714,'Staff Directory'!$A$5:$A$594,0)),""))</f>
        <v>PSW</v>
      </c>
      <c r="E1714" s="19" t="str">
        <f>IF($B1714="","",IFERROR(INDEX('Staff Directory'!$D$5:$D$594,MATCH($B1714,'Staff Directory'!$A$5:$A$594,0)),""))</f>
        <v>A4</v>
      </c>
      <c r="F1714" s="9" t="s">
        <v>129</v>
      </c>
      <c r="G1714" s="18" t="str">
        <f>IF($F1714="","",IFERROR(INDEX(Items!$B$5:$B$597,MATCH($F1714,Items!$A$5:$A$597,0)),"⚠ not in Items"))</f>
        <v>Gloves</v>
      </c>
      <c r="H1714" s="19" t="str">
        <f>IF($F1714="","",IFERROR(INDEX(Items!$C$5:$C$597,MATCH($F1714,Items!$A$5:$A$597,0)),""))</f>
        <v>Small</v>
      </c>
      <c r="I1714" s="23">
        <f>IF($F1714="","",IFERROR(INDEX(Items!$E$5:$E$597,MATCH($F1714,Items!$A$5:$A$597,0)),""))</f>
        <v>500</v>
      </c>
      <c r="J1714" s="115">
        <f>IF(tblIssues[[#This Row],[Qty Override]]&lt;&gt;"",tblIssues[[#This Row],[Qty Override]],IF(tblIssues[[#This Row],[Standard Issue]]="","",tblIssues[[#This Row],[Standard Issue]]))</f>
        <v>500</v>
      </c>
      <c r="K1714" s="20">
        <f>IF($F1714="","",IFERROR(INDEX(Items!$D$5:$D$597,MATCH($F1714,Items!$A$5:$A$597,0)),""))</f>
        <v>5.5E-2</v>
      </c>
      <c r="L1714" s="21">
        <f t="shared" si="294"/>
        <v>27.5</v>
      </c>
      <c r="M1714" s="9" t="str">
        <f t="shared" si="292"/>
        <v>ZIM601144366-0</v>
      </c>
      <c r="N1714" s="24">
        <f>IF($A1714="","",WORKDAY($A1714,Settings!$C$9,HolidayDates))</f>
        <v>46220</v>
      </c>
      <c r="O1714" s="24">
        <f>IF($N1714="","",WORKDAY($N1714,Settings!$C$10,HolidayDates))</f>
        <v>46260</v>
      </c>
      <c r="P1714" s="10" t="s">
        <v>501</v>
      </c>
      <c r="Q1714" s="52" t="str">
        <f t="shared" si="295"/>
        <v>Collected</v>
      </c>
      <c r="R1714" s="55" t="str">
        <f t="shared" si="296"/>
        <v>2026-07</v>
      </c>
      <c r="S1714" s="55">
        <f>IF(OR($B1714="",$F1714="",$R1714=""),"",SUMIFS(tblIssues[Qty Issued],tblIssues[Staff ID],$B1714,tblIssues[Item Name],$F1714,tblIssues[Month],$R1714))</f>
        <v>500</v>
      </c>
      <c r="T1714" s="56">
        <f>IF($I1714="","",$I1714*Settings!$C$11)</f>
        <v>500</v>
      </c>
      <c r="U1714" s="57" t="str">
        <f t="shared" si="293"/>
        <v>OK</v>
      </c>
      <c r="V1714" s="55" t="str">
        <f t="shared" si="297"/>
        <v/>
      </c>
      <c r="W1714" s="55" t="str">
        <f>IF($V1714="","",IF(COUNTIF($V$5:$V1714,$V1714)=1,1,""))</f>
        <v/>
      </c>
      <c r="X1714" s="58" t="str">
        <f>IF($W1714="","",MAX($X$4:X1713)+1)</f>
        <v/>
      </c>
      <c r="Y1714" s="62"/>
      <c r="Z1714" s="62"/>
      <c r="AA1714" s="64" t="str">
        <f>IF($C1714="","",IFERROR(INDEX('Staff Directory'!$E$5:$E$594,MATCH($C1714,'Staff Directory'!$B$5:$B$594,0)),""))</f>
        <v>firstname176.lastname176@example.com</v>
      </c>
      <c r="AB1714" s="64" t="str">
        <f>IF($C1714="","",IF(ISNUMBER(SEARCH($D1714,Settings!$C$15)),"Pickup","Dispatch"))</f>
        <v>Pickup</v>
      </c>
      <c r="AC1714" s="64" t="str">
        <f t="shared" si="298"/>
        <v>Supply order ready for pickup</v>
      </c>
      <c r="AD1714" s="64" t="str">
        <f t="shared" si="289"/>
        <v>Dear PSW,
Your order is ready for pickup from Sample Branch, Wed-Fri 9am-4pm.</v>
      </c>
      <c r="AE1714" s="64" t="str">
        <f t="shared" si="290"/>
        <v>mailto:firstname176.lastname176@example.com?subject=Supply%20order%20ready%20for%20pickup&amp;body=Dear%20PSW%2C%0A%0AYour%20order%20is%20ready%20for%20pickup%20from%20Sample%20Branch%2C%20Wed-Fri%209am-4pm.</v>
      </c>
      <c r="AF1714" s="89" t="str">
        <f t="shared" si="299"/>
        <v>Draft email</v>
      </c>
      <c r="AG1714" s="64" t="str">
        <f>IF($C1714="","",IFERROR(INDEX('Staff Directory'!$K$595:$K$599,MATCH($C1714,'Staff Directory'!$B$5:$B$599,0)),$D1714))</f>
        <v>PSW</v>
      </c>
      <c r="AH1714" t="str">
        <f>IF($C1714="","",IFERROR(INDEX('Staff Directory'!$I$595:$I$599,MATCH($C1714,'Staff Directory'!$B$5:$B$599,0))&amp;" "&amp;INDEX('Staff Directory'!$J$595:$J$599,MATCH($C1714,'Staff Directory'!$B$5:$B$599,0)),$AG1714))</f>
        <v>PSW</v>
      </c>
      <c r="AI1714" s="102"/>
      <c r="AJ1714" s="101">
        <f>IF($F1714="","",SUMIFS($J$5:$J1714,$F$5:$F1714,$F1714))</f>
        <v>52000</v>
      </c>
      <c r="AK1714" s="101">
        <f t="shared" si="291"/>
        <v>51501</v>
      </c>
      <c r="AL1714" s="66" t="str" cm="1">
        <f t="array" ref="AL1714">IF($F1714="","",IFERROR(INDEX('Lot Balance'!$B$5:$B$500,MATCH(1,INDEX(('Lot Balance'!$A$5:$A$500=$F1714)*('Lot Balance'!$K$5:$K$500&lt;$AK1714)*('Lot Balance'!$K$5:$K$500+'Lot Balance'!$D$5:$D$500&gt;=$AK1714),0),0)),""))</f>
        <v>ZIM601144366-0</v>
      </c>
      <c r="AM1714" s="66" t="str" cm="1">
        <f t="array" ref="AM1714">IF($F1714="","",IFERROR(INDEX('Lot Balance'!$B$5:$B$500,MATCH(1,INDEX(('Lot Balance'!$A$5:$A$500=$F1714)*('Lot Balance'!$K$5:$K$500&lt;$AJ1714)*('Lot Balance'!$K$5:$K$500+'Lot Balance'!$D$5:$D$500&gt;=$AJ1714),0),0)),""))</f>
        <v>ZIM601144366-0</v>
      </c>
      <c r="AN1714" s="66" t="str">
        <f>IF($F1714="","",IF($AI1714&lt;&gt;"",IF(COUNTIFS('Lot Balance'!$A$5:$A$500,$F1714,'Lot Balance'!$B$5:$B$500,$AI1714)=0,"⚠ override is not a lot of this item",IF($AI1714=$AL1714,"Override = FEFO","Override - FEFO says "&amp;$AL1714)),IF($AL1714="","⚠ no receipt on file for this item",IF($AM1714&lt;&gt;$AL1714,"FEFO auto - split, also "&amp;$AM1714,"FEFO auto"))))</f>
        <v>FEFO auto</v>
      </c>
      <c r="AO1714" s="114"/>
    </row>
    <row r="1715" spans="1:41" x14ac:dyDescent="0.35">
      <c r="A1715" s="74">
        <v>46212</v>
      </c>
      <c r="B1715" s="18" t="str">
        <f>IF($C1715="","",IFERROR(INDEX('Staff Directory'!$A$5:$A$594,MATCH($C1715,'Staff Directory'!$B$5:$B$594,0)),"⚠ unknown staff"))</f>
        <v>PSW-114-A4</v>
      </c>
      <c r="C1715" s="49" t="s">
        <v>1092</v>
      </c>
      <c r="D1715" s="19" t="str">
        <f>IF($B1715="","",IFERROR(INDEX('Staff Directory'!$C$5:$C$594,MATCH($B1715,'Staff Directory'!$A$5:$A$594,0)),""))</f>
        <v>PSW</v>
      </c>
      <c r="E1715" s="19" t="str">
        <f>IF($B1715="","",IFERROR(INDEX('Staff Directory'!$D$5:$D$594,MATCH($B1715,'Staff Directory'!$A$5:$A$594,0)),""))</f>
        <v>A4</v>
      </c>
      <c r="F1715" s="9" t="s">
        <v>191</v>
      </c>
      <c r="G1715" s="18" t="str">
        <f>IF($F1715="","",IFERROR(INDEX(Items!$B$5:$B$597,MATCH($F1715,Items!$A$5:$A$597,0)),"⚠ not in Items"))</f>
        <v>Sanitizer</v>
      </c>
      <c r="H1715" s="19" t="str">
        <f>IF($F1715="","",IFERROR(INDEX(Items!$C$5:$C$597,MATCH($F1715,Items!$A$5:$A$597,0)),""))</f>
        <v>236 ML</v>
      </c>
      <c r="I1715" s="23">
        <f>IF($F1715="","",IFERROR(INDEX(Items!$E$5:$E$597,MATCH($F1715,Items!$A$5:$A$597,0)),""))</f>
        <v>1</v>
      </c>
      <c r="J1715" s="115">
        <f>IF(tblIssues[[#This Row],[Qty Override]]&lt;&gt;"",tblIssues[[#This Row],[Qty Override]],IF(tblIssues[[#This Row],[Standard Issue]]="","",tblIssues[[#This Row],[Standard Issue]]))</f>
        <v>1</v>
      </c>
      <c r="K1715" s="20">
        <f>IF($F1715="","",IFERROR(INDEX(Items!$D$5:$D$597,MATCH($F1715,Items!$A$5:$A$597,0)),""))</f>
        <v>1E-4</v>
      </c>
      <c r="L1715" s="21">
        <f t="shared" si="294"/>
        <v>1E-4</v>
      </c>
      <c r="M1715" s="9" t="str">
        <f t="shared" si="292"/>
        <v>20-21734-5</v>
      </c>
      <c r="N1715" s="24">
        <f>IF($A1715="","",WORKDAY($A1715,Settings!$C$9,HolidayDates))</f>
        <v>46220</v>
      </c>
      <c r="O1715" s="24">
        <f>IF($N1715="","",WORKDAY($N1715,Settings!$C$10,HolidayDates))</f>
        <v>46260</v>
      </c>
      <c r="P1715" s="10" t="s">
        <v>501</v>
      </c>
      <c r="Q1715" s="52" t="str">
        <f t="shared" si="295"/>
        <v>Collected</v>
      </c>
      <c r="R1715" s="55" t="str">
        <f t="shared" si="296"/>
        <v>2026-07</v>
      </c>
      <c r="S1715" s="55">
        <f>IF(OR($B1715="",$F1715="",$R1715=""),"",SUMIFS(tblIssues[Qty Issued],tblIssues[Staff ID],$B1715,tblIssues[Item Name],$F1715,tblIssues[Month],$R1715))</f>
        <v>1</v>
      </c>
      <c r="T1715" s="56">
        <f>IF($I1715="","",$I1715*Settings!$C$11)</f>
        <v>1</v>
      </c>
      <c r="U1715" s="57" t="str">
        <f t="shared" si="293"/>
        <v>OK</v>
      </c>
      <c r="V1715" s="55" t="str">
        <f t="shared" si="297"/>
        <v/>
      </c>
      <c r="W1715" s="55" t="str">
        <f>IF($V1715="","",IF(COUNTIF($V$5:$V1715,$V1715)=1,1,""))</f>
        <v/>
      </c>
      <c r="X1715" s="58" t="str">
        <f>IF($W1715="","",MAX($X$4:X1714)+1)</f>
        <v/>
      </c>
      <c r="Y1715" s="62"/>
      <c r="Z1715" s="62"/>
      <c r="AA1715" s="64" t="str">
        <f>IF($C1715="","",IFERROR(INDEX('Staff Directory'!$E$5:$E$594,MATCH($C1715,'Staff Directory'!$B$5:$B$594,0)),""))</f>
        <v>firstname176.lastname176@example.com</v>
      </c>
      <c r="AB1715" s="64" t="str">
        <f>IF($C1715="","",IF(ISNUMBER(SEARCH($D1715,Settings!$C$15)),"Pickup","Dispatch"))</f>
        <v>Pickup</v>
      </c>
      <c r="AC1715" s="64" t="str">
        <f t="shared" si="298"/>
        <v>Supply order ready for pickup</v>
      </c>
      <c r="AD1715" s="64" t="str">
        <f t="shared" si="289"/>
        <v>Dear PSW,
Your order is ready for pickup from Sample Branch, Wed-Fri 9am-4pm.</v>
      </c>
      <c r="AE1715" s="64" t="str">
        <f t="shared" si="290"/>
        <v>mailto:firstname176.lastname176@example.com?subject=Supply%20order%20ready%20for%20pickup&amp;body=Dear%20PSW%2C%0A%0AYour%20order%20is%20ready%20for%20pickup%20from%20Sample%20Branch%2C%20Wed-Fri%209am-4pm.</v>
      </c>
      <c r="AF1715" s="89" t="str">
        <f t="shared" si="299"/>
        <v>Draft email</v>
      </c>
      <c r="AG1715" s="64" t="str">
        <f>IF($C1715="","",IFERROR(INDEX('Staff Directory'!$K$595:$K$599,MATCH($C1715,'Staff Directory'!$B$5:$B$599,0)),$D1715))</f>
        <v>PSW</v>
      </c>
      <c r="AH1715" t="str">
        <f>IF($C1715="","",IFERROR(INDEX('Staff Directory'!$I$595:$I$599,MATCH($C1715,'Staff Directory'!$B$5:$B$599,0))&amp;" "&amp;INDEX('Staff Directory'!$J$595:$J$599,MATCH($C1715,'Staff Directory'!$B$5:$B$599,0)),$AG1715))</f>
        <v>PSW</v>
      </c>
      <c r="AI1715" s="102"/>
      <c r="AJ1715" s="101">
        <f>IF($F1715="","",SUMIFS($J$5:$J1715,$F$5:$F1715,$F1715))</f>
        <v>220</v>
      </c>
      <c r="AK1715" s="101">
        <f t="shared" si="291"/>
        <v>220</v>
      </c>
      <c r="AL1715" s="66" t="str" cm="1">
        <f t="array" ref="AL1715">IF($F1715="","",IFERROR(INDEX('Lot Balance'!$B$5:$B$500,MATCH(1,INDEX(('Lot Balance'!$A$5:$A$500=$F1715)*('Lot Balance'!$K$5:$K$500&lt;$AK1715)*('Lot Balance'!$K$5:$K$500+'Lot Balance'!$D$5:$D$500&gt;=$AK1715),0),0)),""))</f>
        <v>20-21734-5</v>
      </c>
      <c r="AM1715" s="66" t="str" cm="1">
        <f t="array" ref="AM1715">IF($F1715="","",IFERROR(INDEX('Lot Balance'!$B$5:$B$500,MATCH(1,INDEX(('Lot Balance'!$A$5:$A$500=$F1715)*('Lot Balance'!$K$5:$K$500&lt;$AJ1715)*('Lot Balance'!$K$5:$K$500+'Lot Balance'!$D$5:$D$500&gt;=$AJ1715),0),0)),""))</f>
        <v>20-21734-5</v>
      </c>
      <c r="AN1715" s="66" t="str">
        <f>IF($F1715="","",IF($AI1715&lt;&gt;"",IF(COUNTIFS('Lot Balance'!$A$5:$A$500,$F1715,'Lot Balance'!$B$5:$B$500,$AI1715)=0,"⚠ override is not a lot of this item",IF($AI1715=$AL1715,"Override = FEFO","Override - FEFO says "&amp;$AL1715)),IF($AL1715="","⚠ no receipt on file for this item",IF($AM1715&lt;&gt;$AL1715,"FEFO auto - split, also "&amp;$AM1715,"FEFO auto"))))</f>
        <v>FEFO auto</v>
      </c>
      <c r="AO1715" s="114"/>
    </row>
    <row r="1716" spans="1:41" x14ac:dyDescent="0.35">
      <c r="A1716" s="74">
        <v>46212</v>
      </c>
      <c r="B1716" s="18" t="str">
        <f>IF($C1716="","",IFERROR(INDEX('Staff Directory'!$A$5:$A$594,MATCH($C1716,'Staff Directory'!$B$5:$B$594,0)),"⚠ unknown staff"))</f>
        <v>PSW-114-A4</v>
      </c>
      <c r="C1716" s="49" t="s">
        <v>1092</v>
      </c>
      <c r="D1716" s="19" t="str">
        <f>IF($B1716="","",IFERROR(INDEX('Staff Directory'!$C$5:$C$594,MATCH($B1716,'Staff Directory'!$A$5:$A$594,0)),""))</f>
        <v>PSW</v>
      </c>
      <c r="E1716" s="19" t="str">
        <f>IF($B1716="","",IFERROR(INDEX('Staff Directory'!$D$5:$D$594,MATCH($B1716,'Staff Directory'!$A$5:$A$594,0)),""))</f>
        <v>A4</v>
      </c>
      <c r="F1716" s="9" t="s">
        <v>115</v>
      </c>
      <c r="G1716" s="18" t="str">
        <f>IF($F1716="","",IFERROR(INDEX(Items!$B$5:$B$597,MATCH($F1716,Items!$A$5:$A$597,0)),"⚠ not in Items"))</f>
        <v>Wipes</v>
      </c>
      <c r="H1716" s="19">
        <f>IF($F1716="","",IFERROR(INDEX(Items!$C$5:$C$597,MATCH($F1716,Items!$A$5:$A$597,0)),""))</f>
        <v>80</v>
      </c>
      <c r="I1716" s="23">
        <f>IF($F1716="","",IFERROR(INDEX(Items!$E$5:$E$597,MATCH($F1716,Items!$A$5:$A$597,0)),""))</f>
        <v>80</v>
      </c>
      <c r="J1716" s="115">
        <f>IF(tblIssues[[#This Row],[Qty Override]]&lt;&gt;"",tblIssues[[#This Row],[Qty Override]],IF(tblIssues[[#This Row],[Standard Issue]]="","",tblIssues[[#This Row],[Standard Issue]]))</f>
        <v>80</v>
      </c>
      <c r="K1716" s="20">
        <f>IF($F1716="","",IFERROR(INDEX(Items!$D$5:$D$597,MATCH($F1716,Items!$A$5:$A$597,0)),""))</f>
        <v>0.1</v>
      </c>
      <c r="L1716" s="21">
        <f t="shared" si="294"/>
        <v>8</v>
      </c>
      <c r="M1716" s="9" t="str">
        <f t="shared" si="292"/>
        <v>LYSL500290</v>
      </c>
      <c r="N1716" s="24">
        <f>IF($A1716="","",WORKDAY($A1716,Settings!$C$9,HolidayDates))</f>
        <v>46220</v>
      </c>
      <c r="O1716" s="24">
        <f>IF($N1716="","",WORKDAY($N1716,Settings!$C$10,HolidayDates))</f>
        <v>46260</v>
      </c>
      <c r="P1716" s="10" t="s">
        <v>501</v>
      </c>
      <c r="Q1716" s="52" t="str">
        <f t="shared" si="295"/>
        <v>Collected</v>
      </c>
      <c r="R1716" s="55" t="str">
        <f t="shared" si="296"/>
        <v>2026-07</v>
      </c>
      <c r="S1716" s="55">
        <f>IF(OR($B1716="",$F1716="",$R1716=""),"",SUMIFS(tblIssues[Qty Issued],tblIssues[Staff ID],$B1716,tblIssues[Item Name],$F1716,tblIssues[Month],$R1716))</f>
        <v>80</v>
      </c>
      <c r="T1716" s="56">
        <f>IF($I1716="","",$I1716*Settings!$C$11)</f>
        <v>80</v>
      </c>
      <c r="U1716" s="57" t="str">
        <f t="shared" si="293"/>
        <v>OK</v>
      </c>
      <c r="V1716" s="55" t="str">
        <f t="shared" si="297"/>
        <v/>
      </c>
      <c r="W1716" s="55" t="str">
        <f>IF($V1716="","",IF(COUNTIF($V$5:$V1716,$V1716)=1,1,""))</f>
        <v/>
      </c>
      <c r="X1716" s="58" t="str">
        <f>IF($W1716="","",MAX($X$4:X1715)+1)</f>
        <v/>
      </c>
      <c r="Y1716" s="62"/>
      <c r="Z1716" s="62"/>
      <c r="AA1716" s="64" t="str">
        <f>IF($C1716="","",IFERROR(INDEX('Staff Directory'!$E$5:$E$594,MATCH($C1716,'Staff Directory'!$B$5:$B$594,0)),""))</f>
        <v>firstname176.lastname176@example.com</v>
      </c>
      <c r="AB1716" s="64" t="str">
        <f>IF($C1716="","",IF(ISNUMBER(SEARCH($D1716,Settings!$C$15)),"Pickup","Dispatch"))</f>
        <v>Pickup</v>
      </c>
      <c r="AC1716" s="64" t="str">
        <f t="shared" si="298"/>
        <v>Supply order ready for pickup</v>
      </c>
      <c r="AD1716" s="64" t="str">
        <f t="shared" si="289"/>
        <v>Dear PSW,
Your order is ready for pickup from Sample Branch, Wed-Fri 9am-4pm.</v>
      </c>
      <c r="AE1716" s="64" t="str">
        <f t="shared" si="290"/>
        <v>mailto:firstname176.lastname176@example.com?subject=Supply%20order%20ready%20for%20pickup&amp;body=Dear%20PSW%2C%0A%0AYour%20order%20is%20ready%20for%20pickup%20from%20Sample%20Branch%2C%20Wed-Fri%209am-4pm.</v>
      </c>
      <c r="AF1716" s="89" t="str">
        <f t="shared" si="299"/>
        <v>Draft email</v>
      </c>
      <c r="AG1716" s="64" t="str">
        <f>IF($C1716="","",IFERROR(INDEX('Staff Directory'!$K$595:$K$599,MATCH($C1716,'Staff Directory'!$B$5:$B$599,0)),$D1716))</f>
        <v>PSW</v>
      </c>
      <c r="AH1716" t="str">
        <f>IF($C1716="","",IFERROR(INDEX('Staff Directory'!$I$595:$I$599,MATCH($C1716,'Staff Directory'!$B$5:$B$599,0))&amp;" "&amp;INDEX('Staff Directory'!$J$595:$J$599,MATCH($C1716,'Staff Directory'!$B$5:$B$599,0)),$AG1716))</f>
        <v>PSW</v>
      </c>
      <c r="AI1716" s="102"/>
      <c r="AJ1716" s="101">
        <f>IF($F1716="","",SUMIFS($J$5:$J1716,$F$5:$F1716,$F1716))</f>
        <v>22880</v>
      </c>
      <c r="AK1716" s="101">
        <f t="shared" si="291"/>
        <v>22801</v>
      </c>
      <c r="AL1716" s="66" t="str" cm="1">
        <f t="array" ref="AL1716">IF($F1716="","",IFERROR(INDEX('Lot Balance'!$B$5:$B$500,MATCH(1,INDEX(('Lot Balance'!$A$5:$A$500=$F1716)*('Lot Balance'!$K$5:$K$500&lt;$AK1716)*('Lot Balance'!$K$5:$K$500+'Lot Balance'!$D$5:$D$500&gt;=$AK1716),0),0)),""))</f>
        <v>LYSL500290</v>
      </c>
      <c r="AM1716" s="66" t="str" cm="1">
        <f t="array" ref="AM1716">IF($F1716="","",IFERROR(INDEX('Lot Balance'!$B$5:$B$500,MATCH(1,INDEX(('Lot Balance'!$A$5:$A$500=$F1716)*('Lot Balance'!$K$5:$K$500&lt;$AJ1716)*('Lot Balance'!$K$5:$K$500+'Lot Balance'!$D$5:$D$500&gt;=$AJ1716),0),0)),""))</f>
        <v>LYSL500290</v>
      </c>
      <c r="AN1716" s="66" t="str">
        <f>IF($F1716="","",IF($AI1716&lt;&gt;"",IF(COUNTIFS('Lot Balance'!$A$5:$A$500,$F1716,'Lot Balance'!$B$5:$B$500,$AI1716)=0,"⚠ override is not a lot of this item",IF($AI1716=$AL1716,"Override = FEFO","Override - FEFO says "&amp;$AL1716)),IF($AL1716="","⚠ no receipt on file for this item",IF($AM1716&lt;&gt;$AL1716,"FEFO auto - split, also "&amp;$AM1716,"FEFO auto"))))</f>
        <v>FEFO auto</v>
      </c>
      <c r="AO1716" s="114"/>
    </row>
    <row r="1717" spans="1:41" x14ac:dyDescent="0.35">
      <c r="A1717" s="74">
        <v>46212</v>
      </c>
      <c r="B1717" s="18" t="str">
        <f>IF($C1717="","",IFERROR(INDEX('Staff Directory'!$A$5:$A$594,MATCH($C1717,'Staff Directory'!$B$5:$B$594,0)),"⚠ unknown staff"))</f>
        <v>PSW-114-A4</v>
      </c>
      <c r="C1717" s="49" t="s">
        <v>1092</v>
      </c>
      <c r="D1717" s="19" t="str">
        <f>IF($B1717="","",IFERROR(INDEX('Staff Directory'!$C$5:$C$594,MATCH($B1717,'Staff Directory'!$A$5:$A$594,0)),""))</f>
        <v>PSW</v>
      </c>
      <c r="E1717" s="19" t="str">
        <f>IF($B1717="","",IFERROR(INDEX('Staff Directory'!$D$5:$D$594,MATCH($B1717,'Staff Directory'!$A$5:$A$594,0)),""))</f>
        <v>A4</v>
      </c>
      <c r="F1717" s="9" t="s">
        <v>156</v>
      </c>
      <c r="G1717" s="18" t="str">
        <f>IF($F1717="","",IFERROR(INDEX(Items!$B$5:$B$597,MATCH($F1717,Items!$A$5:$A$597,0)),"⚠ not in Items"))</f>
        <v>Masks</v>
      </c>
      <c r="H1717" s="19" t="str">
        <f>IF($F1717="","",IFERROR(INDEX(Items!$C$5:$C$597,MATCH($F1717,Items!$A$5:$A$597,0)),""))</f>
        <v>One Size</v>
      </c>
      <c r="I1717" s="23">
        <f>IF($F1717="","",IFERROR(INDEX(Items!$E$5:$E$597,MATCH($F1717,Items!$A$5:$A$597,0)),""))</f>
        <v>50</v>
      </c>
      <c r="J1717" s="115">
        <f>IF(tblIssues[[#This Row],[Qty Override]]&lt;&gt;"",tblIssues[[#This Row],[Qty Override]],IF(tblIssues[[#This Row],[Standard Issue]]="","",tblIssues[[#This Row],[Standard Issue]]))</f>
        <v>50</v>
      </c>
      <c r="K1717" s="20">
        <f>IF($F1717="","",IFERROR(INDEX(Items!$D$5:$D$597,MATCH($F1717,Items!$A$5:$A$597,0)),""))</f>
        <v>0.25</v>
      </c>
      <c r="L1717" s="21">
        <f t="shared" si="294"/>
        <v>12.5</v>
      </c>
      <c r="M1717" s="9" t="str">
        <f t="shared" si="292"/>
        <v>24HA2050A7396</v>
      </c>
      <c r="N1717" s="24">
        <f>IF($A1717="","",WORKDAY($A1717,Settings!$C$9,HolidayDates))</f>
        <v>46220</v>
      </c>
      <c r="O1717" s="24">
        <f>IF($N1717="","",WORKDAY($N1717,Settings!$C$10,HolidayDates))</f>
        <v>46260</v>
      </c>
      <c r="P1717" s="10" t="s">
        <v>501</v>
      </c>
      <c r="Q1717" s="52" t="str">
        <f t="shared" si="295"/>
        <v>Collected</v>
      </c>
      <c r="R1717" s="55" t="str">
        <f t="shared" si="296"/>
        <v>2026-07</v>
      </c>
      <c r="S1717" s="55">
        <f>IF(OR($B1717="",$F1717="",$R1717=""),"",SUMIFS(tblIssues[Qty Issued],tblIssues[Staff ID],$B1717,tblIssues[Item Name],$F1717,tblIssues[Month],$R1717))</f>
        <v>50</v>
      </c>
      <c r="T1717" s="56">
        <f>IF($I1717="","",$I1717*Settings!$C$11)</f>
        <v>50</v>
      </c>
      <c r="U1717" s="57" t="str">
        <f t="shared" si="293"/>
        <v>OK</v>
      </c>
      <c r="V1717" s="55" t="str">
        <f t="shared" si="297"/>
        <v/>
      </c>
      <c r="W1717" s="55" t="str">
        <f>IF($V1717="","",IF(COUNTIF($V$5:$V1717,$V1717)=1,1,""))</f>
        <v/>
      </c>
      <c r="X1717" s="58" t="str">
        <f>IF($W1717="","",MAX($X$4:X1716)+1)</f>
        <v/>
      </c>
      <c r="Y1717" s="62"/>
      <c r="Z1717" s="62"/>
      <c r="AA1717" s="64" t="str">
        <f>IF($C1717="","",IFERROR(INDEX('Staff Directory'!$E$5:$E$594,MATCH($C1717,'Staff Directory'!$B$5:$B$594,0)),""))</f>
        <v>firstname176.lastname176@example.com</v>
      </c>
      <c r="AB1717" s="64" t="str">
        <f>IF($C1717="","",IF(ISNUMBER(SEARCH($D1717,Settings!$C$15)),"Pickup","Dispatch"))</f>
        <v>Pickup</v>
      </c>
      <c r="AC1717" s="64" t="str">
        <f t="shared" si="298"/>
        <v>Supply order ready for pickup</v>
      </c>
      <c r="AD1717" s="64" t="str">
        <f t="shared" si="289"/>
        <v>Dear PSW,
Your order is ready for pickup from Sample Branch, Wed-Fri 9am-4pm.</v>
      </c>
      <c r="AE1717" s="64" t="str">
        <f t="shared" si="290"/>
        <v>mailto:firstname176.lastname176@example.com?subject=Supply%20order%20ready%20for%20pickup&amp;body=Dear%20PSW%2C%0A%0AYour%20order%20is%20ready%20for%20pickup%20from%20Sample%20Branch%2C%20Wed-Fri%209am-4pm.</v>
      </c>
      <c r="AF1717" s="89" t="str">
        <f t="shared" si="299"/>
        <v>Draft email</v>
      </c>
      <c r="AG1717" s="64" t="str">
        <f>IF($C1717="","",IFERROR(INDEX('Staff Directory'!$K$595:$K$599,MATCH($C1717,'Staff Directory'!$B$5:$B$599,0)),$D1717))</f>
        <v>PSW</v>
      </c>
      <c r="AH1717" t="str">
        <f>IF($C1717="","",IFERROR(INDEX('Staff Directory'!$I$595:$I$599,MATCH($C1717,'Staff Directory'!$B$5:$B$599,0))&amp;" "&amp;INDEX('Staff Directory'!$J$595:$J$599,MATCH($C1717,'Staff Directory'!$B$5:$B$599,0)),$AG1717))</f>
        <v>PSW</v>
      </c>
      <c r="AI1717" s="102"/>
      <c r="AJ1717" s="101">
        <f>IF($F1717="","",SUMIFS($J$5:$J1717,$F$5:$F1717,$F1717))</f>
        <v>14050</v>
      </c>
      <c r="AK1717" s="101">
        <f t="shared" si="291"/>
        <v>14001</v>
      </c>
      <c r="AL1717" s="66" t="str" cm="1">
        <f t="array" ref="AL1717">IF($F1717="","",IFERROR(INDEX('Lot Balance'!$B$5:$B$500,MATCH(1,INDEX(('Lot Balance'!$A$5:$A$500=$F1717)*('Lot Balance'!$K$5:$K$500&lt;$AK1717)*('Lot Balance'!$K$5:$K$500+'Lot Balance'!$D$5:$D$500&gt;=$AK1717),0),0)),""))</f>
        <v>24HA2050A7396</v>
      </c>
      <c r="AM1717" s="66" t="str" cm="1">
        <f t="array" ref="AM1717">IF($F1717="","",IFERROR(INDEX('Lot Balance'!$B$5:$B$500,MATCH(1,INDEX(('Lot Balance'!$A$5:$A$500=$F1717)*('Lot Balance'!$K$5:$K$500&lt;$AJ1717)*('Lot Balance'!$K$5:$K$500+'Lot Balance'!$D$5:$D$500&gt;=$AJ1717),0),0)),""))</f>
        <v>24HA2050A7396</v>
      </c>
      <c r="AN1717" s="66" t="str">
        <f>IF($F1717="","",IF($AI1717&lt;&gt;"",IF(COUNTIFS('Lot Balance'!$A$5:$A$500,$F1717,'Lot Balance'!$B$5:$B$500,$AI1717)=0,"⚠ override is not a lot of this item",IF($AI1717=$AL1717,"Override = FEFO","Override - FEFO says "&amp;$AL1717)),IF($AL1717="","⚠ no receipt on file for this item",IF($AM1717&lt;&gt;$AL1717,"FEFO auto - split, also "&amp;$AM1717,"FEFO auto"))))</f>
        <v>FEFO auto</v>
      </c>
      <c r="AO1717" s="114"/>
    </row>
    <row r="1718" spans="1:41" x14ac:dyDescent="0.35">
      <c r="A1718" s="74">
        <v>46212</v>
      </c>
      <c r="B1718" s="18" t="str">
        <f>IF($C1718="","",IFERROR(INDEX('Staff Directory'!$A$5:$A$594,MATCH($C1718,'Staff Directory'!$B$5:$B$594,0)),"⚠ unknown staff"))</f>
        <v>PSW-114-A4</v>
      </c>
      <c r="C1718" s="49" t="s">
        <v>1092</v>
      </c>
      <c r="D1718" s="19" t="str">
        <f>IF($B1718="","",IFERROR(INDEX('Staff Directory'!$C$5:$C$594,MATCH($B1718,'Staff Directory'!$A$5:$A$594,0)),""))</f>
        <v>PSW</v>
      </c>
      <c r="E1718" s="19" t="str">
        <f>IF($B1718="","",IFERROR(INDEX('Staff Directory'!$D$5:$D$594,MATCH($B1718,'Staff Directory'!$A$5:$A$594,0)),""))</f>
        <v>A4</v>
      </c>
      <c r="F1718" s="9" t="s">
        <v>758</v>
      </c>
      <c r="G1718" s="18" t="str">
        <f>IF($F1718="","",IFERROR(INDEX(Items!$B$5:$B$597,MATCH($F1718,Items!$A$5:$A$597,0)),"⚠ not in Items"))</f>
        <v>Utility</v>
      </c>
      <c r="H1718" s="19" t="str">
        <f>IF($F1718="","",IFERROR(INDEX(Items!$C$5:$C$597,MATCH($F1718,Items!$A$5:$A$597,0)),""))</f>
        <v>Standard</v>
      </c>
      <c r="I1718" s="23">
        <f>IF($F1718="","",IFERROR(INDEX(Items!$E$5:$E$597,MATCH($F1718,Items!$A$5:$A$597,0)),""))</f>
        <v>1</v>
      </c>
      <c r="J1718" s="115">
        <f>IF(tblIssues[[#This Row],[Qty Override]]&lt;&gt;"",tblIssues[[#This Row],[Qty Override]],IF(tblIssues[[#This Row],[Standard Issue]]="","",tblIssues[[#This Row],[Standard Issue]]))</f>
        <v>1</v>
      </c>
      <c r="K1718" s="20">
        <f>IF($F1718="","",IFERROR(INDEX(Items!$D$5:$D$597,MATCH($F1718,Items!$A$5:$A$597,0)),""))</f>
        <v>0</v>
      </c>
      <c r="L1718" s="21">
        <f t="shared" si="294"/>
        <v>0</v>
      </c>
      <c r="M1718" s="9" t="str">
        <f t="shared" si="292"/>
        <v/>
      </c>
      <c r="N1718" s="24">
        <f>IF($A1718="","",WORKDAY($A1718,Settings!$C$9,HolidayDates))</f>
        <v>46220</v>
      </c>
      <c r="O1718" s="24">
        <f>IF($N1718="","",WORKDAY($N1718,Settings!$C$10,HolidayDates))</f>
        <v>46260</v>
      </c>
      <c r="P1718" s="10" t="s">
        <v>501</v>
      </c>
      <c r="Q1718" s="52" t="str">
        <f t="shared" si="295"/>
        <v>Collected</v>
      </c>
      <c r="R1718" s="55" t="str">
        <f t="shared" si="296"/>
        <v>2026-07</v>
      </c>
      <c r="S1718" s="55">
        <f>IF(OR($B1718="",$F1718="",$R1718=""),"",SUMIFS(tblIssues[Qty Issued],tblIssues[Staff ID],$B1718,tblIssues[Item Name],$F1718,tblIssues[Month],$R1718))</f>
        <v>1</v>
      </c>
      <c r="T1718" s="56">
        <f>IF($I1718="","",$I1718*Settings!$C$11)</f>
        <v>1</v>
      </c>
      <c r="U1718" s="57" t="str">
        <f t="shared" si="293"/>
        <v>OK</v>
      </c>
      <c r="V1718" s="55" t="str">
        <f t="shared" si="297"/>
        <v/>
      </c>
      <c r="W1718" s="55" t="str">
        <f>IF($V1718="","",IF(COUNTIF($V$5:$V1718,$V1718)=1,1,""))</f>
        <v/>
      </c>
      <c r="X1718" s="58" t="str">
        <f>IF($W1718="","",MAX($X$4:X1717)+1)</f>
        <v/>
      </c>
      <c r="Y1718" s="62"/>
      <c r="Z1718" s="62"/>
      <c r="AA1718" s="64" t="str">
        <f>IF($C1718="","",IFERROR(INDEX('Staff Directory'!$E$5:$E$594,MATCH($C1718,'Staff Directory'!$B$5:$B$594,0)),""))</f>
        <v>firstname176.lastname176@example.com</v>
      </c>
      <c r="AB1718" s="64" t="str">
        <f>IF($C1718="","",IF(ISNUMBER(SEARCH($D1718,Settings!$C$15)),"Pickup","Dispatch"))</f>
        <v>Pickup</v>
      </c>
      <c r="AC1718" s="64" t="str">
        <f t="shared" si="298"/>
        <v>Supply order ready for pickup</v>
      </c>
      <c r="AD1718" s="64" t="str">
        <f t="shared" si="289"/>
        <v>Dear PSW,
Your order is ready for pickup from Sample Branch, Wed-Fri 9am-4pm.</v>
      </c>
      <c r="AE1718" s="64" t="str">
        <f t="shared" si="290"/>
        <v>mailto:firstname176.lastname176@example.com?subject=Supply%20order%20ready%20for%20pickup&amp;body=Dear%20PSW%2C%0A%0AYour%20order%20is%20ready%20for%20pickup%20from%20Sample%20Branch%2C%20Wed-Fri%209am-4pm.</v>
      </c>
      <c r="AF1718" s="89" t="str">
        <f t="shared" si="299"/>
        <v>Draft email</v>
      </c>
      <c r="AG1718" s="64" t="str">
        <f>IF($C1718="","",IFERROR(INDEX('Staff Directory'!$K$595:$K$599,MATCH($C1718,'Staff Directory'!$B$5:$B$599,0)),$D1718))</f>
        <v>PSW</v>
      </c>
      <c r="AH1718" t="str">
        <f>IF($C1718="","",IFERROR(INDEX('Staff Directory'!$I$595:$I$599,MATCH($C1718,'Staff Directory'!$B$5:$B$599,0))&amp;" "&amp;INDEX('Staff Directory'!$J$595:$J$599,MATCH($C1718,'Staff Directory'!$B$5:$B$599,0)),$AG1718))</f>
        <v>PSW</v>
      </c>
      <c r="AI1718" s="102"/>
      <c r="AJ1718" s="101">
        <f>IF($F1718="","",SUMIFS($J$5:$J1718,$F$5:$F1718,$F1718))</f>
        <v>58</v>
      </c>
      <c r="AK1718" s="101">
        <f t="shared" si="291"/>
        <v>58</v>
      </c>
      <c r="AL1718" s="66" t="str" cm="1">
        <f t="array" ref="AL1718">IF($F1718="","",IFERROR(INDEX('Lot Balance'!$B$5:$B$500,MATCH(1,INDEX(('Lot Balance'!$A$5:$A$500=$F1718)*('Lot Balance'!$K$5:$K$500&lt;$AK1718)*('Lot Balance'!$K$5:$K$500+'Lot Balance'!$D$5:$D$500&gt;=$AK1718),0),0)),""))</f>
        <v/>
      </c>
      <c r="AM1718" s="66" t="str" cm="1">
        <f t="array" ref="AM1718">IF($F1718="","",IFERROR(INDEX('Lot Balance'!$B$5:$B$500,MATCH(1,INDEX(('Lot Balance'!$A$5:$A$500=$F1718)*('Lot Balance'!$K$5:$K$500&lt;$AJ1718)*('Lot Balance'!$K$5:$K$500+'Lot Balance'!$D$5:$D$500&gt;=$AJ1718),0),0)),""))</f>
        <v/>
      </c>
      <c r="AN1718" s="66" t="str">
        <f>IF($F1718="","",IF($AI1718&lt;&gt;"",IF(COUNTIFS('Lot Balance'!$A$5:$A$500,$F1718,'Lot Balance'!$B$5:$B$500,$AI1718)=0,"⚠ override is not a lot of this item",IF($AI1718=$AL1718,"Override = FEFO","Override - FEFO says "&amp;$AL1718)),IF($AL1718="","⚠ no receipt on file for this item",IF($AM1718&lt;&gt;$AL1718,"FEFO auto - split, also "&amp;$AM1718,"FEFO auto"))))</f>
        <v>⚠ no receipt on file for this item</v>
      </c>
      <c r="AO1718" s="114"/>
    </row>
    <row r="1719" spans="1:41" x14ac:dyDescent="0.35">
      <c r="A1719" s="74">
        <v>46212</v>
      </c>
      <c r="B1719" s="18" t="str">
        <f>IF($C1719="","",IFERROR(INDEX('Staff Directory'!$A$5:$A$594,MATCH($C1719,'Staff Directory'!$B$5:$B$594,0)),"⚠ unknown staff"))</f>
        <v>PSW-158-A4</v>
      </c>
      <c r="C1719" s="49" t="s">
        <v>1137</v>
      </c>
      <c r="D1719" s="19" t="str">
        <f>IF($B1719="","",IFERROR(INDEX('Staff Directory'!$C$5:$C$594,MATCH($B1719,'Staff Directory'!$A$5:$A$594,0)),""))</f>
        <v>PSW</v>
      </c>
      <c r="E1719" s="19" t="str">
        <f>IF($B1719="","",IFERROR(INDEX('Staff Directory'!$D$5:$D$594,MATCH($B1719,'Staff Directory'!$A$5:$A$594,0)),""))</f>
        <v>A4</v>
      </c>
      <c r="F1719" s="9" t="s">
        <v>127</v>
      </c>
      <c r="G1719" s="18" t="str">
        <f>IF($F1719="","",IFERROR(INDEX(Items!$B$5:$B$597,MATCH($F1719,Items!$A$5:$A$597,0)),"⚠ not in Items"))</f>
        <v>Gloves</v>
      </c>
      <c r="H1719" s="19" t="str">
        <f>IF($F1719="","",IFERROR(INDEX(Items!$C$5:$C$597,MATCH($F1719,Items!$A$5:$A$597,0)),""))</f>
        <v>Medium</v>
      </c>
      <c r="I1719" s="23">
        <f>IF($F1719="","",IFERROR(INDEX(Items!$E$5:$E$597,MATCH($F1719,Items!$A$5:$A$597,0)),""))</f>
        <v>500</v>
      </c>
      <c r="J1719" s="115">
        <f>IF(tblIssues[[#This Row],[Qty Override]]&lt;&gt;"",tblIssues[[#This Row],[Qty Override]],IF(tblIssues[[#This Row],[Standard Issue]]="","",tblIssues[[#This Row],[Standard Issue]]))</f>
        <v>500</v>
      </c>
      <c r="K1719" s="20">
        <f>IF($F1719="","",IFERROR(INDEX(Items!$D$5:$D$597,MATCH($F1719,Items!$A$5:$A$597,0)),""))</f>
        <v>5.5E-2</v>
      </c>
      <c r="L1719" s="21">
        <f t="shared" si="294"/>
        <v>27.5</v>
      </c>
      <c r="M1719" s="9" t="str">
        <f t="shared" si="292"/>
        <v>ZIM604151579</v>
      </c>
      <c r="N1719" s="24">
        <f>IF($A1719="","",WORKDAY($A1719,Settings!$C$9,HolidayDates))</f>
        <v>46220</v>
      </c>
      <c r="O1719" s="24">
        <f>IF($N1719="","",WORKDAY($N1719,Settings!$C$10,HolidayDates))</f>
        <v>46260</v>
      </c>
      <c r="P1719" s="10" t="s">
        <v>501</v>
      </c>
      <c r="Q1719" s="52" t="str">
        <f t="shared" si="295"/>
        <v>Collected</v>
      </c>
      <c r="R1719" s="55" t="str">
        <f t="shared" si="296"/>
        <v>2026-07</v>
      </c>
      <c r="S1719" s="55">
        <f>IF(OR($B1719="",$F1719="",$R1719=""),"",SUMIFS(tblIssues[Qty Issued],tblIssues[Staff ID],$B1719,tblIssues[Item Name],$F1719,tblIssues[Month],$R1719))</f>
        <v>500</v>
      </c>
      <c r="T1719" s="56">
        <f>IF($I1719="","",$I1719*Settings!$C$11)</f>
        <v>500</v>
      </c>
      <c r="U1719" s="57" t="str">
        <f t="shared" si="293"/>
        <v>OK</v>
      </c>
      <c r="V1719" s="55" t="str">
        <f t="shared" si="297"/>
        <v/>
      </c>
      <c r="W1719" s="55" t="str">
        <f>IF($V1719="","",IF(COUNTIF($V$5:$V1719,$V1719)=1,1,""))</f>
        <v/>
      </c>
      <c r="X1719" s="58" t="str">
        <f>IF($W1719="","",MAX($X$4:X1718)+1)</f>
        <v/>
      </c>
      <c r="Y1719" s="62"/>
      <c r="Z1719" s="62"/>
      <c r="AA1719" s="64" t="str">
        <f>IF($C1719="","",IFERROR(INDEX('Staff Directory'!$E$5:$E$594,MATCH($C1719,'Staff Directory'!$B$5:$B$594,0)),""))</f>
        <v>firstname221.lastname221@example.com</v>
      </c>
      <c r="AB1719" s="64" t="str">
        <f>IF($C1719="","",IF(ISNUMBER(SEARCH($D1719,Settings!$C$15)),"Pickup","Dispatch"))</f>
        <v>Pickup</v>
      </c>
      <c r="AC1719" s="64" t="str">
        <f t="shared" si="298"/>
        <v>Supply order ready for pickup</v>
      </c>
      <c r="AD1719" s="64" t="str">
        <f t="shared" si="289"/>
        <v>Dear PSW,
Your order is ready for pickup from Sample Branch, Wed-Fri 9am-4pm.</v>
      </c>
      <c r="AE1719" s="64" t="str">
        <f t="shared" si="290"/>
        <v>mailto:firstname221.lastname221@example.com?subject=Supply%20order%20ready%20for%20pickup&amp;body=Dear%20PSW%2C%0A%0AYour%20order%20is%20ready%20for%20pickup%20from%20Sample%20Branch%2C%20Wed-Fri%209am-4pm.</v>
      </c>
      <c r="AF1719" s="89" t="str">
        <f t="shared" si="299"/>
        <v>Draft email</v>
      </c>
      <c r="AG1719" s="64" t="str">
        <f>IF($C1719="","",IFERROR(INDEX('Staff Directory'!$K$595:$K$599,MATCH($C1719,'Staff Directory'!$B$5:$B$599,0)),$D1719))</f>
        <v>PSW</v>
      </c>
      <c r="AH1719" t="str">
        <f>IF($C1719="","",IFERROR(INDEX('Staff Directory'!$I$595:$I$599,MATCH($C1719,'Staff Directory'!$B$5:$B$599,0))&amp;" "&amp;INDEX('Staff Directory'!$J$595:$J$599,MATCH($C1719,'Staff Directory'!$B$5:$B$599,0)),$AG1719))</f>
        <v>PSW</v>
      </c>
      <c r="AI1719" s="102"/>
      <c r="AJ1719" s="101">
        <f>IF($F1719="","",SUMIFS($J$5:$J1719,$F$5:$F1719,$F1719))</f>
        <v>103000</v>
      </c>
      <c r="AK1719" s="101">
        <f t="shared" si="291"/>
        <v>102501</v>
      </c>
      <c r="AL1719" s="66" t="str" cm="1">
        <f t="array" ref="AL1719">IF($F1719="","",IFERROR(INDEX('Lot Balance'!$B$5:$B$500,MATCH(1,INDEX(('Lot Balance'!$A$5:$A$500=$F1719)*('Lot Balance'!$K$5:$K$500&lt;$AK1719)*('Lot Balance'!$K$5:$K$500+'Lot Balance'!$D$5:$D$500&gt;=$AK1719),0),0)),""))</f>
        <v>ZIM604151579</v>
      </c>
      <c r="AM1719" s="66" t="str" cm="1">
        <f t="array" ref="AM1719">IF($F1719="","",IFERROR(INDEX('Lot Balance'!$B$5:$B$500,MATCH(1,INDEX(('Lot Balance'!$A$5:$A$500=$F1719)*('Lot Balance'!$K$5:$K$500&lt;$AJ1719)*('Lot Balance'!$K$5:$K$500+'Lot Balance'!$D$5:$D$500&gt;=$AJ1719),0),0)),""))</f>
        <v>ZIM604151579</v>
      </c>
      <c r="AN1719" s="66" t="str">
        <f>IF($F1719="","",IF($AI1719&lt;&gt;"",IF(COUNTIFS('Lot Balance'!$A$5:$A$500,$F1719,'Lot Balance'!$B$5:$B$500,$AI1719)=0,"⚠ override is not a lot of this item",IF($AI1719=$AL1719,"Override = FEFO","Override - FEFO says "&amp;$AL1719)),IF($AL1719="","⚠ no receipt on file for this item",IF($AM1719&lt;&gt;$AL1719,"FEFO auto - split, also "&amp;$AM1719,"FEFO auto"))))</f>
        <v>FEFO auto</v>
      </c>
      <c r="AO1719" s="114"/>
    </row>
    <row r="1720" spans="1:41" x14ac:dyDescent="0.35">
      <c r="A1720" s="74">
        <v>46212</v>
      </c>
      <c r="B1720" s="18" t="str">
        <f>IF($C1720="","",IFERROR(INDEX('Staff Directory'!$A$5:$A$594,MATCH($C1720,'Staff Directory'!$B$5:$B$594,0)),"⚠ unknown staff"))</f>
        <v>PSW-158-A4</v>
      </c>
      <c r="C1720" s="49" t="s">
        <v>1137</v>
      </c>
      <c r="D1720" s="19" t="str">
        <f>IF($B1720="","",IFERROR(INDEX('Staff Directory'!$C$5:$C$594,MATCH($B1720,'Staff Directory'!$A$5:$A$594,0)),""))</f>
        <v>PSW</v>
      </c>
      <c r="E1720" s="19" t="str">
        <f>IF($B1720="","",IFERROR(INDEX('Staff Directory'!$D$5:$D$594,MATCH($B1720,'Staff Directory'!$A$5:$A$594,0)),""))</f>
        <v>A4</v>
      </c>
      <c r="F1720" s="9" t="s">
        <v>191</v>
      </c>
      <c r="G1720" s="18" t="str">
        <f>IF($F1720="","",IFERROR(INDEX(Items!$B$5:$B$597,MATCH($F1720,Items!$A$5:$A$597,0)),"⚠ not in Items"))</f>
        <v>Sanitizer</v>
      </c>
      <c r="H1720" s="19" t="str">
        <f>IF($F1720="","",IFERROR(INDEX(Items!$C$5:$C$597,MATCH($F1720,Items!$A$5:$A$597,0)),""))</f>
        <v>236 ML</v>
      </c>
      <c r="I1720" s="23">
        <f>IF($F1720="","",IFERROR(INDEX(Items!$E$5:$E$597,MATCH($F1720,Items!$A$5:$A$597,0)),""))</f>
        <v>1</v>
      </c>
      <c r="J1720" s="115">
        <f>IF(tblIssues[[#This Row],[Qty Override]]&lt;&gt;"",tblIssues[[#This Row],[Qty Override]],IF(tblIssues[[#This Row],[Standard Issue]]="","",tblIssues[[#This Row],[Standard Issue]]))</f>
        <v>1</v>
      </c>
      <c r="K1720" s="20">
        <f>IF($F1720="","",IFERROR(INDEX(Items!$D$5:$D$597,MATCH($F1720,Items!$A$5:$A$597,0)),""))</f>
        <v>1E-4</v>
      </c>
      <c r="L1720" s="21">
        <f t="shared" si="294"/>
        <v>1E-4</v>
      </c>
      <c r="M1720" s="9" t="str">
        <f t="shared" si="292"/>
        <v>20-21734-5</v>
      </c>
      <c r="N1720" s="24">
        <f>IF($A1720="","",WORKDAY($A1720,Settings!$C$9,HolidayDates))</f>
        <v>46220</v>
      </c>
      <c r="O1720" s="24">
        <f>IF($N1720="","",WORKDAY($N1720,Settings!$C$10,HolidayDates))</f>
        <v>46260</v>
      </c>
      <c r="P1720" s="10" t="s">
        <v>501</v>
      </c>
      <c r="Q1720" s="52" t="str">
        <f t="shared" si="295"/>
        <v>Collected</v>
      </c>
      <c r="R1720" s="55" t="str">
        <f t="shared" si="296"/>
        <v>2026-07</v>
      </c>
      <c r="S1720" s="55">
        <f>IF(OR($B1720="",$F1720="",$R1720=""),"",SUMIFS(tblIssues[Qty Issued],tblIssues[Staff ID],$B1720,tblIssues[Item Name],$F1720,tblIssues[Month],$R1720))</f>
        <v>1</v>
      </c>
      <c r="T1720" s="56">
        <f>IF($I1720="","",$I1720*Settings!$C$11)</f>
        <v>1</v>
      </c>
      <c r="U1720" s="57" t="str">
        <f t="shared" si="293"/>
        <v>OK</v>
      </c>
      <c r="V1720" s="55" t="str">
        <f t="shared" si="297"/>
        <v/>
      </c>
      <c r="W1720" s="55" t="str">
        <f>IF($V1720="","",IF(COUNTIF($V$5:$V1720,$V1720)=1,1,""))</f>
        <v/>
      </c>
      <c r="X1720" s="58" t="str">
        <f>IF($W1720="","",MAX($X$4:X1719)+1)</f>
        <v/>
      </c>
      <c r="Y1720" s="62"/>
      <c r="Z1720" s="62"/>
      <c r="AA1720" s="64" t="str">
        <f>IF($C1720="","",IFERROR(INDEX('Staff Directory'!$E$5:$E$594,MATCH($C1720,'Staff Directory'!$B$5:$B$594,0)),""))</f>
        <v>firstname221.lastname221@example.com</v>
      </c>
      <c r="AB1720" s="64" t="str">
        <f>IF($C1720="","",IF(ISNUMBER(SEARCH($D1720,Settings!$C$15)),"Pickup","Dispatch"))</f>
        <v>Pickup</v>
      </c>
      <c r="AC1720" s="64" t="str">
        <f t="shared" si="298"/>
        <v>Supply order ready for pickup</v>
      </c>
      <c r="AD1720" s="64" t="str">
        <f t="shared" si="289"/>
        <v>Dear PSW,
Your order is ready for pickup from Sample Branch, Wed-Fri 9am-4pm.</v>
      </c>
      <c r="AE1720" s="64" t="str">
        <f t="shared" si="290"/>
        <v>mailto:firstname221.lastname221@example.com?subject=Supply%20order%20ready%20for%20pickup&amp;body=Dear%20PSW%2C%0A%0AYour%20order%20is%20ready%20for%20pickup%20from%20Sample%20Branch%2C%20Wed-Fri%209am-4pm.</v>
      </c>
      <c r="AF1720" s="89" t="str">
        <f t="shared" si="299"/>
        <v>Draft email</v>
      </c>
      <c r="AG1720" s="64" t="str">
        <f>IF($C1720="","",IFERROR(INDEX('Staff Directory'!$K$595:$K$599,MATCH($C1720,'Staff Directory'!$B$5:$B$599,0)),$D1720))</f>
        <v>PSW</v>
      </c>
      <c r="AH1720" t="str">
        <f>IF($C1720="","",IFERROR(INDEX('Staff Directory'!$I$595:$I$599,MATCH($C1720,'Staff Directory'!$B$5:$B$599,0))&amp;" "&amp;INDEX('Staff Directory'!$J$595:$J$599,MATCH($C1720,'Staff Directory'!$B$5:$B$599,0)),$AG1720))</f>
        <v>PSW</v>
      </c>
      <c r="AI1720" s="102"/>
      <c r="AJ1720" s="101">
        <f>IF($F1720="","",SUMIFS($J$5:$J1720,$F$5:$F1720,$F1720))</f>
        <v>221</v>
      </c>
      <c r="AK1720" s="101">
        <f t="shared" si="291"/>
        <v>221</v>
      </c>
      <c r="AL1720" s="66" t="str" cm="1">
        <f t="array" ref="AL1720">IF($F1720="","",IFERROR(INDEX('Lot Balance'!$B$5:$B$500,MATCH(1,INDEX(('Lot Balance'!$A$5:$A$500=$F1720)*('Lot Balance'!$K$5:$K$500&lt;$AK1720)*('Lot Balance'!$K$5:$K$500+'Lot Balance'!$D$5:$D$500&gt;=$AK1720),0),0)),""))</f>
        <v>20-21734-5</v>
      </c>
      <c r="AM1720" s="66" t="str" cm="1">
        <f t="array" ref="AM1720">IF($F1720="","",IFERROR(INDEX('Lot Balance'!$B$5:$B$500,MATCH(1,INDEX(('Lot Balance'!$A$5:$A$500=$F1720)*('Lot Balance'!$K$5:$K$500&lt;$AJ1720)*('Lot Balance'!$K$5:$K$500+'Lot Balance'!$D$5:$D$500&gt;=$AJ1720),0),0)),""))</f>
        <v>20-21734-5</v>
      </c>
      <c r="AN1720" s="66" t="str">
        <f>IF($F1720="","",IF($AI1720&lt;&gt;"",IF(COUNTIFS('Lot Balance'!$A$5:$A$500,$F1720,'Lot Balance'!$B$5:$B$500,$AI1720)=0,"⚠ override is not a lot of this item",IF($AI1720=$AL1720,"Override = FEFO","Override - FEFO says "&amp;$AL1720)),IF($AL1720="","⚠ no receipt on file for this item",IF($AM1720&lt;&gt;$AL1720,"FEFO auto - split, also "&amp;$AM1720,"FEFO auto"))))</f>
        <v>FEFO auto</v>
      </c>
      <c r="AO1720" s="114"/>
    </row>
    <row r="1721" spans="1:41" x14ac:dyDescent="0.35">
      <c r="A1721" s="74">
        <v>46212</v>
      </c>
      <c r="B1721" s="18" t="str">
        <f>IF($C1721="","",IFERROR(INDEX('Staff Directory'!$A$5:$A$594,MATCH($C1721,'Staff Directory'!$B$5:$B$594,0)),"⚠ unknown staff"))</f>
        <v>PSW-158-A4</v>
      </c>
      <c r="C1721" s="49" t="s">
        <v>1137</v>
      </c>
      <c r="D1721" s="19" t="str">
        <f>IF($B1721="","",IFERROR(INDEX('Staff Directory'!$C$5:$C$594,MATCH($B1721,'Staff Directory'!$A$5:$A$594,0)),""))</f>
        <v>PSW</v>
      </c>
      <c r="E1721" s="19" t="str">
        <f>IF($B1721="","",IFERROR(INDEX('Staff Directory'!$D$5:$D$594,MATCH($B1721,'Staff Directory'!$A$5:$A$594,0)),""))</f>
        <v>A4</v>
      </c>
      <c r="F1721" s="9" t="s">
        <v>156</v>
      </c>
      <c r="G1721" s="18" t="str">
        <f>IF($F1721="","",IFERROR(INDEX(Items!$B$5:$B$597,MATCH($F1721,Items!$A$5:$A$597,0)),"⚠ not in Items"))</f>
        <v>Masks</v>
      </c>
      <c r="H1721" s="19" t="str">
        <f>IF($F1721="","",IFERROR(INDEX(Items!$C$5:$C$597,MATCH($F1721,Items!$A$5:$A$597,0)),""))</f>
        <v>One Size</v>
      </c>
      <c r="I1721" s="23">
        <f>IF($F1721="","",IFERROR(INDEX(Items!$E$5:$E$597,MATCH($F1721,Items!$A$5:$A$597,0)),""))</f>
        <v>50</v>
      </c>
      <c r="J1721" s="115">
        <f>IF(tblIssues[[#This Row],[Qty Override]]&lt;&gt;"",tblIssues[[#This Row],[Qty Override]],IF(tblIssues[[#This Row],[Standard Issue]]="","",tblIssues[[#This Row],[Standard Issue]]))</f>
        <v>50</v>
      </c>
      <c r="K1721" s="20">
        <f>IF($F1721="","",IFERROR(INDEX(Items!$D$5:$D$597,MATCH($F1721,Items!$A$5:$A$597,0)),""))</f>
        <v>0.25</v>
      </c>
      <c r="L1721" s="21">
        <f t="shared" si="294"/>
        <v>12.5</v>
      </c>
      <c r="M1721" s="9" t="str">
        <f t="shared" si="292"/>
        <v>24HA2050A7396</v>
      </c>
      <c r="N1721" s="24">
        <f>IF($A1721="","",WORKDAY($A1721,Settings!$C$9,HolidayDates))</f>
        <v>46220</v>
      </c>
      <c r="O1721" s="24">
        <f>IF($N1721="","",WORKDAY($N1721,Settings!$C$10,HolidayDates))</f>
        <v>46260</v>
      </c>
      <c r="P1721" s="10" t="s">
        <v>501</v>
      </c>
      <c r="Q1721" s="52" t="str">
        <f t="shared" si="295"/>
        <v>Collected</v>
      </c>
      <c r="R1721" s="55" t="str">
        <f t="shared" si="296"/>
        <v>2026-07</v>
      </c>
      <c r="S1721" s="55">
        <f>IF(OR($B1721="",$F1721="",$R1721=""),"",SUMIFS(tblIssues[Qty Issued],tblIssues[Staff ID],$B1721,tblIssues[Item Name],$F1721,tblIssues[Month],$R1721))</f>
        <v>50</v>
      </c>
      <c r="T1721" s="56">
        <f>IF($I1721="","",$I1721*Settings!$C$11)</f>
        <v>50</v>
      </c>
      <c r="U1721" s="57" t="str">
        <f t="shared" si="293"/>
        <v>OK</v>
      </c>
      <c r="V1721" s="55" t="str">
        <f t="shared" si="297"/>
        <v/>
      </c>
      <c r="W1721" s="55" t="str">
        <f>IF($V1721="","",IF(COUNTIF($V$5:$V1721,$V1721)=1,1,""))</f>
        <v/>
      </c>
      <c r="X1721" s="58" t="str">
        <f>IF($W1721="","",MAX($X$4:X1720)+1)</f>
        <v/>
      </c>
      <c r="Y1721" s="62"/>
      <c r="Z1721" s="62"/>
      <c r="AA1721" s="64" t="str">
        <f>IF($C1721="","",IFERROR(INDEX('Staff Directory'!$E$5:$E$594,MATCH($C1721,'Staff Directory'!$B$5:$B$594,0)),""))</f>
        <v>firstname221.lastname221@example.com</v>
      </c>
      <c r="AB1721" s="64" t="str">
        <f>IF($C1721="","",IF(ISNUMBER(SEARCH($D1721,Settings!$C$15)),"Pickup","Dispatch"))</f>
        <v>Pickup</v>
      </c>
      <c r="AC1721" s="64" t="str">
        <f t="shared" si="298"/>
        <v>Supply order ready for pickup</v>
      </c>
      <c r="AD1721" s="64" t="str">
        <f t="shared" si="289"/>
        <v>Dear PSW,
Your order is ready for pickup from Sample Branch, Wed-Fri 9am-4pm.</v>
      </c>
      <c r="AE1721" s="64" t="str">
        <f t="shared" si="290"/>
        <v>mailto:firstname221.lastname221@example.com?subject=Supply%20order%20ready%20for%20pickup&amp;body=Dear%20PSW%2C%0A%0AYour%20order%20is%20ready%20for%20pickup%20from%20Sample%20Branch%2C%20Wed-Fri%209am-4pm.</v>
      </c>
      <c r="AF1721" s="89" t="str">
        <f t="shared" si="299"/>
        <v>Draft email</v>
      </c>
      <c r="AG1721" s="64" t="str">
        <f>IF($C1721="","",IFERROR(INDEX('Staff Directory'!$K$595:$K$599,MATCH($C1721,'Staff Directory'!$B$5:$B$599,0)),$D1721))</f>
        <v>PSW</v>
      </c>
      <c r="AH1721" t="str">
        <f>IF($C1721="","",IFERROR(INDEX('Staff Directory'!$I$595:$I$599,MATCH($C1721,'Staff Directory'!$B$5:$B$599,0))&amp;" "&amp;INDEX('Staff Directory'!$J$595:$J$599,MATCH($C1721,'Staff Directory'!$B$5:$B$599,0)),$AG1721))</f>
        <v>PSW</v>
      </c>
      <c r="AI1721" s="102"/>
      <c r="AJ1721" s="101">
        <f>IF($F1721="","",SUMIFS($J$5:$J1721,$F$5:$F1721,$F1721))</f>
        <v>14100</v>
      </c>
      <c r="AK1721" s="101">
        <f t="shared" si="291"/>
        <v>14051</v>
      </c>
      <c r="AL1721" s="66" t="str" cm="1">
        <f t="array" ref="AL1721">IF($F1721="","",IFERROR(INDEX('Lot Balance'!$B$5:$B$500,MATCH(1,INDEX(('Lot Balance'!$A$5:$A$500=$F1721)*('Lot Balance'!$K$5:$K$500&lt;$AK1721)*('Lot Balance'!$K$5:$K$500+'Lot Balance'!$D$5:$D$500&gt;=$AK1721),0),0)),""))</f>
        <v>24HA2050A7396</v>
      </c>
      <c r="AM1721" s="66" t="str" cm="1">
        <f t="array" ref="AM1721">IF($F1721="","",IFERROR(INDEX('Lot Balance'!$B$5:$B$500,MATCH(1,INDEX(('Lot Balance'!$A$5:$A$500=$F1721)*('Lot Balance'!$K$5:$K$500&lt;$AJ1721)*('Lot Balance'!$K$5:$K$500+'Lot Balance'!$D$5:$D$500&gt;=$AJ1721),0),0)),""))</f>
        <v>24HA2050A7396</v>
      </c>
      <c r="AN1721" s="66" t="str">
        <f>IF($F1721="","",IF($AI1721&lt;&gt;"",IF(COUNTIFS('Lot Balance'!$A$5:$A$500,$F1721,'Lot Balance'!$B$5:$B$500,$AI1721)=0,"⚠ override is not a lot of this item",IF($AI1721=$AL1721,"Override = FEFO","Override - FEFO says "&amp;$AL1721)),IF($AL1721="","⚠ no receipt on file for this item",IF($AM1721&lt;&gt;$AL1721,"FEFO auto - split, also "&amp;$AM1721,"FEFO auto"))))</f>
        <v>FEFO auto</v>
      </c>
      <c r="AO1721" s="114"/>
    </row>
    <row r="1722" spans="1:41" x14ac:dyDescent="0.35">
      <c r="A1722" s="74">
        <v>46212</v>
      </c>
      <c r="B1722" s="18" t="str">
        <f>IF($C1722="","",IFERROR(INDEX('Staff Directory'!$A$5:$A$594,MATCH($C1722,'Staff Directory'!$B$5:$B$594,0)),"⚠ unknown staff"))</f>
        <v>PSW-158-A4</v>
      </c>
      <c r="C1722" s="49" t="s">
        <v>1137</v>
      </c>
      <c r="D1722" s="19" t="str">
        <f>IF($B1722="","",IFERROR(INDEX('Staff Directory'!$C$5:$C$594,MATCH($B1722,'Staff Directory'!$A$5:$A$594,0)),""))</f>
        <v>PSW</v>
      </c>
      <c r="E1722" s="19" t="str">
        <f>IF($B1722="","",IFERROR(INDEX('Staff Directory'!$D$5:$D$594,MATCH($B1722,'Staff Directory'!$A$5:$A$594,0)),""))</f>
        <v>A4</v>
      </c>
      <c r="F1722" s="9" t="s">
        <v>758</v>
      </c>
      <c r="G1722" s="18" t="str">
        <f>IF($F1722="","",IFERROR(INDEX(Items!$B$5:$B$597,MATCH($F1722,Items!$A$5:$A$597,0)),"⚠ not in Items"))</f>
        <v>Utility</v>
      </c>
      <c r="H1722" s="19" t="str">
        <f>IF($F1722="","",IFERROR(INDEX(Items!$C$5:$C$597,MATCH($F1722,Items!$A$5:$A$597,0)),""))</f>
        <v>Standard</v>
      </c>
      <c r="I1722" s="23">
        <f>IF($F1722="","",IFERROR(INDEX(Items!$E$5:$E$597,MATCH($F1722,Items!$A$5:$A$597,0)),""))</f>
        <v>1</v>
      </c>
      <c r="J1722" s="115">
        <f>IF(tblIssues[[#This Row],[Qty Override]]&lt;&gt;"",tblIssues[[#This Row],[Qty Override]],IF(tblIssues[[#This Row],[Standard Issue]]="","",tblIssues[[#This Row],[Standard Issue]]))</f>
        <v>1</v>
      </c>
      <c r="K1722" s="20">
        <f>IF($F1722="","",IFERROR(INDEX(Items!$D$5:$D$597,MATCH($F1722,Items!$A$5:$A$597,0)),""))</f>
        <v>0</v>
      </c>
      <c r="L1722" s="21">
        <f t="shared" si="294"/>
        <v>0</v>
      </c>
      <c r="M1722" s="9" t="str">
        <f t="shared" si="292"/>
        <v/>
      </c>
      <c r="N1722" s="24">
        <f>IF($A1722="","",WORKDAY($A1722,Settings!$C$9,HolidayDates))</f>
        <v>46220</v>
      </c>
      <c r="O1722" s="24">
        <f>IF($N1722="","",WORKDAY($N1722,Settings!$C$10,HolidayDates))</f>
        <v>46260</v>
      </c>
      <c r="P1722" s="10" t="s">
        <v>501</v>
      </c>
      <c r="Q1722" s="52" t="str">
        <f t="shared" si="295"/>
        <v>Collected</v>
      </c>
      <c r="R1722" s="55" t="str">
        <f t="shared" si="296"/>
        <v>2026-07</v>
      </c>
      <c r="S1722" s="55">
        <f>IF(OR($B1722="",$F1722="",$R1722=""),"",SUMIFS(tblIssues[Qty Issued],tblIssues[Staff ID],$B1722,tblIssues[Item Name],$F1722,tblIssues[Month],$R1722))</f>
        <v>1</v>
      </c>
      <c r="T1722" s="56">
        <f>IF($I1722="","",$I1722*Settings!$C$11)</f>
        <v>1</v>
      </c>
      <c r="U1722" s="57" t="str">
        <f t="shared" si="293"/>
        <v>OK</v>
      </c>
      <c r="V1722" s="55" t="str">
        <f t="shared" si="297"/>
        <v/>
      </c>
      <c r="W1722" s="55" t="str">
        <f>IF($V1722="","",IF(COUNTIF($V$5:$V1722,$V1722)=1,1,""))</f>
        <v/>
      </c>
      <c r="X1722" s="58" t="str">
        <f>IF($W1722="","",MAX($X$4:X1721)+1)</f>
        <v/>
      </c>
      <c r="Y1722" s="62"/>
      <c r="Z1722" s="62"/>
      <c r="AA1722" s="64" t="str">
        <f>IF($C1722="","",IFERROR(INDEX('Staff Directory'!$E$5:$E$594,MATCH($C1722,'Staff Directory'!$B$5:$B$594,0)),""))</f>
        <v>firstname221.lastname221@example.com</v>
      </c>
      <c r="AB1722" s="64" t="str">
        <f>IF($C1722="","",IF(ISNUMBER(SEARCH($D1722,Settings!$C$15)),"Pickup","Dispatch"))</f>
        <v>Pickup</v>
      </c>
      <c r="AC1722" s="64" t="str">
        <f t="shared" si="298"/>
        <v>Supply order ready for pickup</v>
      </c>
      <c r="AD1722" s="64" t="str">
        <f t="shared" si="289"/>
        <v>Dear PSW,
Your order is ready for pickup from Sample Branch, Wed-Fri 9am-4pm.</v>
      </c>
      <c r="AE1722" s="64" t="str">
        <f t="shared" si="290"/>
        <v>mailto:firstname221.lastname221@example.com?subject=Supply%20order%20ready%20for%20pickup&amp;body=Dear%20PSW%2C%0A%0AYour%20order%20is%20ready%20for%20pickup%20from%20Sample%20Branch%2C%20Wed-Fri%209am-4pm.</v>
      </c>
      <c r="AF1722" s="89" t="str">
        <f t="shared" si="299"/>
        <v>Draft email</v>
      </c>
      <c r="AG1722" s="64" t="str">
        <f>IF($C1722="","",IFERROR(INDEX('Staff Directory'!$K$595:$K$599,MATCH($C1722,'Staff Directory'!$B$5:$B$599,0)),$D1722))</f>
        <v>PSW</v>
      </c>
      <c r="AH1722" t="str">
        <f>IF($C1722="","",IFERROR(INDEX('Staff Directory'!$I$595:$I$599,MATCH($C1722,'Staff Directory'!$B$5:$B$599,0))&amp;" "&amp;INDEX('Staff Directory'!$J$595:$J$599,MATCH($C1722,'Staff Directory'!$B$5:$B$599,0)),$AG1722))</f>
        <v>PSW</v>
      </c>
      <c r="AI1722" s="102"/>
      <c r="AJ1722" s="101">
        <f>IF($F1722="","",SUMIFS($J$5:$J1722,$F$5:$F1722,$F1722))</f>
        <v>59</v>
      </c>
      <c r="AK1722" s="101">
        <f t="shared" si="291"/>
        <v>59</v>
      </c>
      <c r="AL1722" s="66" t="str" cm="1">
        <f t="array" ref="AL1722">IF($F1722="","",IFERROR(INDEX('Lot Balance'!$B$5:$B$500,MATCH(1,INDEX(('Lot Balance'!$A$5:$A$500=$F1722)*('Lot Balance'!$K$5:$K$500&lt;$AK1722)*('Lot Balance'!$K$5:$K$500+'Lot Balance'!$D$5:$D$500&gt;=$AK1722),0),0)),""))</f>
        <v/>
      </c>
      <c r="AM1722" s="66" t="str" cm="1">
        <f t="array" ref="AM1722">IF($F1722="","",IFERROR(INDEX('Lot Balance'!$B$5:$B$500,MATCH(1,INDEX(('Lot Balance'!$A$5:$A$500=$F1722)*('Lot Balance'!$K$5:$K$500&lt;$AJ1722)*('Lot Balance'!$K$5:$K$500+'Lot Balance'!$D$5:$D$500&gt;=$AJ1722),0),0)),""))</f>
        <v/>
      </c>
      <c r="AN1722" s="66" t="str">
        <f>IF($F1722="","",IF($AI1722&lt;&gt;"",IF(COUNTIFS('Lot Balance'!$A$5:$A$500,$F1722,'Lot Balance'!$B$5:$B$500,$AI1722)=0,"⚠ override is not a lot of this item",IF($AI1722=$AL1722,"Override = FEFO","Override - FEFO says "&amp;$AL1722)),IF($AL1722="","⚠ no receipt on file for this item",IF($AM1722&lt;&gt;$AL1722,"FEFO auto - split, also "&amp;$AM1722,"FEFO auto"))))</f>
        <v>⚠ no receipt on file for this item</v>
      </c>
      <c r="AO1722" s="114"/>
    </row>
    <row r="1723" spans="1:41" x14ac:dyDescent="0.35">
      <c r="A1723" s="74">
        <v>46212</v>
      </c>
      <c r="B1723" s="18" t="str">
        <f>IF($C1723="","",IFERROR(INDEX('Staff Directory'!$A$5:$A$594,MATCH($C1723,'Staff Directory'!$B$5:$B$594,0)),"⚠ unknown staff"))</f>
        <v>PSW-183-TBD</v>
      </c>
      <c r="C1723" s="49" t="s">
        <v>1162</v>
      </c>
      <c r="D1723" s="19" t="str">
        <f>IF($B1723="","",IFERROR(INDEX('Staff Directory'!$C$5:$C$594,MATCH($B1723,'Staff Directory'!$A$5:$A$594,0)),""))</f>
        <v>PSW</v>
      </c>
      <c r="E1723" s="19">
        <f>IF($B1723="","",IFERROR(INDEX('Staff Directory'!$D$5:$D$594,MATCH($B1723,'Staff Directory'!$A$5:$A$594,0)),""))</f>
        <v>0</v>
      </c>
      <c r="F1723" s="9" t="s">
        <v>124</v>
      </c>
      <c r="G1723" s="18" t="str">
        <f>IF($F1723="","",IFERROR(INDEX(Items!$B$5:$B$597,MATCH($F1723,Items!$A$5:$A$597,0)),"⚠ not in Items"))</f>
        <v>Gloves</v>
      </c>
      <c r="H1723" s="19" t="str">
        <f>IF($F1723="","",IFERROR(INDEX(Items!$C$5:$C$597,MATCH($F1723,Items!$A$5:$A$597,0)),""))</f>
        <v>Large</v>
      </c>
      <c r="I1723" s="23">
        <f>IF($F1723="","",IFERROR(INDEX(Items!$E$5:$E$597,MATCH($F1723,Items!$A$5:$A$597,0)),""))</f>
        <v>500</v>
      </c>
      <c r="J1723" s="115">
        <f>IF(tblIssues[[#This Row],[Qty Override]]&lt;&gt;"",tblIssues[[#This Row],[Qty Override]],IF(tblIssues[[#This Row],[Standard Issue]]="","",tblIssues[[#This Row],[Standard Issue]]))</f>
        <v>500</v>
      </c>
      <c r="K1723" s="20">
        <f>IF($F1723="","",IFERROR(INDEX(Items!$D$5:$D$597,MATCH($F1723,Items!$A$5:$A$597,0)),""))</f>
        <v>5.5E-2</v>
      </c>
      <c r="L1723" s="21">
        <f t="shared" si="294"/>
        <v>27.5</v>
      </c>
      <c r="M1723" s="9" t="str">
        <f t="shared" si="292"/>
        <v>ZIM511139904-3</v>
      </c>
      <c r="N1723" s="24">
        <f>IF($A1723="","",WORKDAY($A1723,Settings!$C$9,HolidayDates))</f>
        <v>46220</v>
      </c>
      <c r="O1723" s="24">
        <f>IF($N1723="","",WORKDAY($N1723,Settings!$C$10,HolidayDates))</f>
        <v>46260</v>
      </c>
      <c r="P1723" s="10" t="s">
        <v>501</v>
      </c>
      <c r="Q1723" s="52" t="str">
        <f t="shared" si="295"/>
        <v>Collected</v>
      </c>
      <c r="R1723" s="55" t="str">
        <f t="shared" si="296"/>
        <v>2026-07</v>
      </c>
      <c r="S1723" s="55">
        <f>IF(OR($B1723="",$F1723="",$R1723=""),"",SUMIFS(tblIssues[Qty Issued],tblIssues[Staff ID],$B1723,tblIssues[Item Name],$F1723,tblIssues[Month],$R1723))</f>
        <v>500</v>
      </c>
      <c r="T1723" s="56">
        <f>IF($I1723="","",$I1723*Settings!$C$11)</f>
        <v>500</v>
      </c>
      <c r="U1723" s="57" t="str">
        <f t="shared" si="293"/>
        <v>OK</v>
      </c>
      <c r="V1723" s="55" t="str">
        <f t="shared" si="297"/>
        <v/>
      </c>
      <c r="W1723" s="55" t="str">
        <f>IF($V1723="","",IF(COUNTIF($V$5:$V1723,$V1723)=1,1,""))</f>
        <v/>
      </c>
      <c r="X1723" s="58" t="str">
        <f>IF($W1723="","",MAX($X$4:X1722)+1)</f>
        <v/>
      </c>
      <c r="Y1723" s="62"/>
      <c r="Z1723" s="62"/>
      <c r="AA1723" s="64" t="str">
        <f>IF($C1723="","",IFERROR(INDEX('Staff Directory'!$E$5:$E$594,MATCH($C1723,'Staff Directory'!$B$5:$B$594,0)),""))</f>
        <v>firstname246.lastname246@example.com</v>
      </c>
      <c r="AB1723" s="64" t="str">
        <f>IF($C1723="","",IF(ISNUMBER(SEARCH($D1723,Settings!$C$15)),"Pickup","Dispatch"))</f>
        <v>Pickup</v>
      </c>
      <c r="AC1723" s="64" t="str">
        <f t="shared" si="298"/>
        <v>Supply order ready for pickup</v>
      </c>
      <c r="AD1723" s="64" t="str">
        <f t="shared" si="289"/>
        <v>Dear PSW,
Your order is ready for pickup from Sample Branch, Wed-Fri 9am-4pm.</v>
      </c>
      <c r="AE1723" s="64" t="str">
        <f t="shared" si="290"/>
        <v>mailto:firstname246.lastname246@example.com?subject=Supply%20order%20ready%20for%20pickup&amp;body=Dear%20PSW%2C%0A%0AYour%20order%20is%20ready%20for%20pickup%20from%20Sample%20Branch%2C%20Wed-Fri%209am-4pm.</v>
      </c>
      <c r="AF1723" s="89" t="str">
        <f t="shared" si="299"/>
        <v>Draft email</v>
      </c>
      <c r="AG1723" s="64" t="str">
        <f>IF($C1723="","",IFERROR(INDEX('Staff Directory'!$K$595:$K$599,MATCH($C1723,'Staff Directory'!$B$5:$B$599,0)),$D1723))</f>
        <v>PSW</v>
      </c>
      <c r="AH1723" t="str">
        <f>IF($C1723="","",IFERROR(INDEX('Staff Directory'!$I$595:$I$599,MATCH($C1723,'Staff Directory'!$B$5:$B$599,0))&amp;" "&amp;INDEX('Staff Directory'!$J$595:$J$599,MATCH($C1723,'Staff Directory'!$B$5:$B$599,0)),$AG1723))</f>
        <v>PSW</v>
      </c>
      <c r="AI1723" s="102"/>
      <c r="AJ1723" s="101">
        <f>IF($F1723="","",SUMIFS($J$5:$J1723,$F$5:$F1723,$F1723))</f>
        <v>44500</v>
      </c>
      <c r="AK1723" s="101">
        <f t="shared" si="291"/>
        <v>44001</v>
      </c>
      <c r="AL1723" s="66" t="str" cm="1">
        <f t="array" ref="AL1723">IF($F1723="","",IFERROR(INDEX('Lot Balance'!$B$5:$B$500,MATCH(1,INDEX(('Lot Balance'!$A$5:$A$500=$F1723)*('Lot Balance'!$K$5:$K$500&lt;$AK1723)*('Lot Balance'!$K$5:$K$500+'Lot Balance'!$D$5:$D$500&gt;=$AK1723),0),0)),""))</f>
        <v>ZIM511139904-3</v>
      </c>
      <c r="AM1723" s="66" t="str" cm="1">
        <f t="array" ref="AM1723">IF($F1723="","",IFERROR(INDEX('Lot Balance'!$B$5:$B$500,MATCH(1,INDEX(('Lot Balance'!$A$5:$A$500=$F1723)*('Lot Balance'!$K$5:$K$500&lt;$AJ1723)*('Lot Balance'!$K$5:$K$500+'Lot Balance'!$D$5:$D$500&gt;=$AJ1723),0),0)),""))</f>
        <v>ZIM511139904-3</v>
      </c>
      <c r="AN1723" s="66" t="str">
        <f>IF($F1723="","",IF($AI1723&lt;&gt;"",IF(COUNTIFS('Lot Balance'!$A$5:$A$500,$F1723,'Lot Balance'!$B$5:$B$500,$AI1723)=0,"⚠ override is not a lot of this item",IF($AI1723=$AL1723,"Override = FEFO","Override - FEFO says "&amp;$AL1723)),IF($AL1723="","⚠ no receipt on file for this item",IF($AM1723&lt;&gt;$AL1723,"FEFO auto - split, also "&amp;$AM1723,"FEFO auto"))))</f>
        <v>FEFO auto</v>
      </c>
      <c r="AO1723" s="114"/>
    </row>
    <row r="1724" spans="1:41" x14ac:dyDescent="0.35">
      <c r="A1724" s="74">
        <v>46212</v>
      </c>
      <c r="B1724" s="18" t="str">
        <f>IF($C1724="","",IFERROR(INDEX('Staff Directory'!$A$5:$A$594,MATCH($C1724,'Staff Directory'!$B$5:$B$594,0)),"⚠ unknown staff"))</f>
        <v>PSW-183-TBD</v>
      </c>
      <c r="C1724" s="49" t="s">
        <v>1162</v>
      </c>
      <c r="D1724" s="19" t="str">
        <f>IF($B1724="","",IFERROR(INDEX('Staff Directory'!$C$5:$C$594,MATCH($B1724,'Staff Directory'!$A$5:$A$594,0)),""))</f>
        <v>PSW</v>
      </c>
      <c r="E1724" s="19">
        <f>IF($B1724="","",IFERROR(INDEX('Staff Directory'!$D$5:$D$594,MATCH($B1724,'Staff Directory'!$A$5:$A$594,0)),""))</f>
        <v>0</v>
      </c>
      <c r="F1724" s="9" t="s">
        <v>191</v>
      </c>
      <c r="G1724" s="18" t="str">
        <f>IF($F1724="","",IFERROR(INDEX(Items!$B$5:$B$597,MATCH($F1724,Items!$A$5:$A$597,0)),"⚠ not in Items"))</f>
        <v>Sanitizer</v>
      </c>
      <c r="H1724" s="19" t="str">
        <f>IF($F1724="","",IFERROR(INDEX(Items!$C$5:$C$597,MATCH($F1724,Items!$A$5:$A$597,0)),""))</f>
        <v>236 ML</v>
      </c>
      <c r="I1724" s="23">
        <f>IF($F1724="","",IFERROR(INDEX(Items!$E$5:$E$597,MATCH($F1724,Items!$A$5:$A$597,0)),""))</f>
        <v>1</v>
      </c>
      <c r="J1724" s="115">
        <f>IF(tblIssues[[#This Row],[Qty Override]]&lt;&gt;"",tblIssues[[#This Row],[Qty Override]],IF(tblIssues[[#This Row],[Standard Issue]]="","",tblIssues[[#This Row],[Standard Issue]]))</f>
        <v>1</v>
      </c>
      <c r="K1724" s="20">
        <f>IF($F1724="","",IFERROR(INDEX(Items!$D$5:$D$597,MATCH($F1724,Items!$A$5:$A$597,0)),""))</f>
        <v>1E-4</v>
      </c>
      <c r="L1724" s="21">
        <f t="shared" si="294"/>
        <v>1E-4</v>
      </c>
      <c r="M1724" s="9" t="str">
        <f t="shared" si="292"/>
        <v>20-21734-5</v>
      </c>
      <c r="N1724" s="24">
        <f>IF($A1724="","",WORKDAY($A1724,Settings!$C$9,HolidayDates))</f>
        <v>46220</v>
      </c>
      <c r="O1724" s="24">
        <f>IF($N1724="","",WORKDAY($N1724,Settings!$C$10,HolidayDates))</f>
        <v>46260</v>
      </c>
      <c r="P1724" s="10" t="s">
        <v>501</v>
      </c>
      <c r="Q1724" s="52" t="str">
        <f t="shared" si="295"/>
        <v>Collected</v>
      </c>
      <c r="R1724" s="55" t="str">
        <f t="shared" si="296"/>
        <v>2026-07</v>
      </c>
      <c r="S1724" s="55">
        <f>IF(OR($B1724="",$F1724="",$R1724=""),"",SUMIFS(tblIssues[Qty Issued],tblIssues[Staff ID],$B1724,tblIssues[Item Name],$F1724,tblIssues[Month],$R1724))</f>
        <v>1</v>
      </c>
      <c r="T1724" s="56">
        <f>IF($I1724="","",$I1724*Settings!$C$11)</f>
        <v>1</v>
      </c>
      <c r="U1724" s="57" t="str">
        <f t="shared" si="293"/>
        <v>OK</v>
      </c>
      <c r="V1724" s="55" t="str">
        <f t="shared" si="297"/>
        <v/>
      </c>
      <c r="W1724" s="55" t="str">
        <f>IF($V1724="","",IF(COUNTIF($V$5:$V1724,$V1724)=1,1,""))</f>
        <v/>
      </c>
      <c r="X1724" s="58" t="str">
        <f>IF($W1724="","",MAX($X$4:X1723)+1)</f>
        <v/>
      </c>
      <c r="Y1724" s="62"/>
      <c r="Z1724" s="62"/>
      <c r="AA1724" s="64" t="str">
        <f>IF($C1724="","",IFERROR(INDEX('Staff Directory'!$E$5:$E$594,MATCH($C1724,'Staff Directory'!$B$5:$B$594,0)),""))</f>
        <v>firstname246.lastname246@example.com</v>
      </c>
      <c r="AB1724" s="64" t="str">
        <f>IF($C1724="","",IF(ISNUMBER(SEARCH($D1724,Settings!$C$15)),"Pickup","Dispatch"))</f>
        <v>Pickup</v>
      </c>
      <c r="AC1724" s="64" t="str">
        <f t="shared" si="298"/>
        <v>Supply order ready for pickup</v>
      </c>
      <c r="AD1724" s="64" t="str">
        <f t="shared" si="289"/>
        <v>Dear PSW,
Your order is ready for pickup from Sample Branch, Wed-Fri 9am-4pm.</v>
      </c>
      <c r="AE1724" s="64" t="str">
        <f t="shared" si="290"/>
        <v>mailto:firstname246.lastname246@example.com?subject=Supply%20order%20ready%20for%20pickup&amp;body=Dear%20PSW%2C%0A%0AYour%20order%20is%20ready%20for%20pickup%20from%20Sample%20Branch%2C%20Wed-Fri%209am-4pm.</v>
      </c>
      <c r="AF1724" s="89" t="str">
        <f t="shared" si="299"/>
        <v>Draft email</v>
      </c>
      <c r="AG1724" s="64" t="str">
        <f>IF($C1724="","",IFERROR(INDEX('Staff Directory'!$K$595:$K$599,MATCH($C1724,'Staff Directory'!$B$5:$B$599,0)),$D1724))</f>
        <v>PSW</v>
      </c>
      <c r="AH1724" t="str">
        <f>IF($C1724="","",IFERROR(INDEX('Staff Directory'!$I$595:$I$599,MATCH($C1724,'Staff Directory'!$B$5:$B$599,0))&amp;" "&amp;INDEX('Staff Directory'!$J$595:$J$599,MATCH($C1724,'Staff Directory'!$B$5:$B$599,0)),$AG1724))</f>
        <v>PSW</v>
      </c>
      <c r="AI1724" s="102"/>
      <c r="AJ1724" s="101">
        <f>IF($F1724="","",SUMIFS($J$5:$J1724,$F$5:$F1724,$F1724))</f>
        <v>222</v>
      </c>
      <c r="AK1724" s="101">
        <f t="shared" si="291"/>
        <v>222</v>
      </c>
      <c r="AL1724" s="66" t="str" cm="1">
        <f t="array" ref="AL1724">IF($F1724="","",IFERROR(INDEX('Lot Balance'!$B$5:$B$500,MATCH(1,INDEX(('Lot Balance'!$A$5:$A$500=$F1724)*('Lot Balance'!$K$5:$K$500&lt;$AK1724)*('Lot Balance'!$K$5:$K$500+'Lot Balance'!$D$5:$D$500&gt;=$AK1724),0),0)),""))</f>
        <v>20-21734-5</v>
      </c>
      <c r="AM1724" s="66" t="str" cm="1">
        <f t="array" ref="AM1724">IF($F1724="","",IFERROR(INDEX('Lot Balance'!$B$5:$B$500,MATCH(1,INDEX(('Lot Balance'!$A$5:$A$500=$F1724)*('Lot Balance'!$K$5:$K$500&lt;$AJ1724)*('Lot Balance'!$K$5:$K$500+'Lot Balance'!$D$5:$D$500&gt;=$AJ1724),0),0)),""))</f>
        <v>20-21734-5</v>
      </c>
      <c r="AN1724" s="66" t="str">
        <f>IF($F1724="","",IF($AI1724&lt;&gt;"",IF(COUNTIFS('Lot Balance'!$A$5:$A$500,$F1724,'Lot Balance'!$B$5:$B$500,$AI1724)=0,"⚠ override is not a lot of this item",IF($AI1724=$AL1724,"Override = FEFO","Override - FEFO says "&amp;$AL1724)),IF($AL1724="","⚠ no receipt on file for this item",IF($AM1724&lt;&gt;$AL1724,"FEFO auto - split, also "&amp;$AM1724,"FEFO auto"))))</f>
        <v>FEFO auto</v>
      </c>
      <c r="AO1724" s="114"/>
    </row>
    <row r="1725" spans="1:41" x14ac:dyDescent="0.35">
      <c r="A1725" s="74">
        <v>46212</v>
      </c>
      <c r="B1725" s="18" t="str">
        <f>IF($C1725="","",IFERROR(INDEX('Staff Directory'!$A$5:$A$594,MATCH($C1725,'Staff Directory'!$B$5:$B$594,0)),"⚠ unknown staff"))</f>
        <v>PSW-093-TBD</v>
      </c>
      <c r="C1725" s="49" t="s">
        <v>1071</v>
      </c>
      <c r="D1725" s="19" t="str">
        <f>IF($B1725="","",IFERROR(INDEX('Staff Directory'!$C$5:$C$594,MATCH($B1725,'Staff Directory'!$A$5:$A$594,0)),""))</f>
        <v>PSW</v>
      </c>
      <c r="E1725" s="19">
        <f>IF($B1725="","",IFERROR(INDEX('Staff Directory'!$D$5:$D$594,MATCH($B1725,'Staff Directory'!$A$5:$A$594,0)),""))</f>
        <v>0</v>
      </c>
      <c r="F1725" s="9" t="s">
        <v>124</v>
      </c>
      <c r="G1725" s="18" t="str">
        <f>IF($F1725="","",IFERROR(INDEX(Items!$B$5:$B$597,MATCH($F1725,Items!$A$5:$A$597,0)),"⚠ not in Items"))</f>
        <v>Gloves</v>
      </c>
      <c r="H1725" s="19" t="str">
        <f>IF($F1725="","",IFERROR(INDEX(Items!$C$5:$C$597,MATCH($F1725,Items!$A$5:$A$597,0)),""))</f>
        <v>Large</v>
      </c>
      <c r="I1725" s="23">
        <f>IF($F1725="","",IFERROR(INDEX(Items!$E$5:$E$597,MATCH($F1725,Items!$A$5:$A$597,0)),""))</f>
        <v>500</v>
      </c>
      <c r="J1725" s="115">
        <f>IF(tblIssues[[#This Row],[Qty Override]]&lt;&gt;"",tblIssues[[#This Row],[Qty Override]],IF(tblIssues[[#This Row],[Standard Issue]]="","",tblIssues[[#This Row],[Standard Issue]]))</f>
        <v>500</v>
      </c>
      <c r="K1725" s="20">
        <f>IF($F1725="","",IFERROR(INDEX(Items!$D$5:$D$597,MATCH($F1725,Items!$A$5:$A$597,0)),""))</f>
        <v>5.5E-2</v>
      </c>
      <c r="L1725" s="21">
        <f t="shared" si="294"/>
        <v>27.5</v>
      </c>
      <c r="M1725" s="9" t="str">
        <f t="shared" si="292"/>
        <v>ZIM511139904-3</v>
      </c>
      <c r="N1725" s="24">
        <f>IF($A1725="","",WORKDAY($A1725,Settings!$C$9,HolidayDates))</f>
        <v>46220</v>
      </c>
      <c r="O1725" s="24">
        <f>IF($N1725="","",WORKDAY($N1725,Settings!$C$10,HolidayDates))</f>
        <v>46260</v>
      </c>
      <c r="P1725" s="10" t="s">
        <v>501</v>
      </c>
      <c r="Q1725" s="52" t="str">
        <f t="shared" si="295"/>
        <v>Collected</v>
      </c>
      <c r="R1725" s="55" t="str">
        <f t="shared" si="296"/>
        <v>2026-07</v>
      </c>
      <c r="S1725" s="55">
        <f>IF(OR($B1725="",$F1725="",$R1725=""),"",SUMIFS(tblIssues[Qty Issued],tblIssues[Staff ID],$B1725,tblIssues[Item Name],$F1725,tblIssues[Month],$R1725))</f>
        <v>500</v>
      </c>
      <c r="T1725" s="56">
        <f>IF($I1725="","",$I1725*Settings!$C$11)</f>
        <v>500</v>
      </c>
      <c r="U1725" s="57" t="str">
        <f t="shared" si="293"/>
        <v>OK</v>
      </c>
      <c r="V1725" s="55" t="str">
        <f t="shared" si="297"/>
        <v/>
      </c>
      <c r="W1725" s="55" t="str">
        <f>IF($V1725="","",IF(COUNTIF($V$5:$V1725,$V1725)=1,1,""))</f>
        <v/>
      </c>
      <c r="X1725" s="58" t="str">
        <f>IF($W1725="","",MAX($X$4:X1724)+1)</f>
        <v/>
      </c>
      <c r="Y1725" s="62"/>
      <c r="Z1725" s="62"/>
      <c r="AA1725" s="64" t="str">
        <f>IF($C1725="","",IFERROR(INDEX('Staff Directory'!$E$5:$E$594,MATCH($C1725,'Staff Directory'!$B$5:$B$594,0)),""))</f>
        <v>firstname155.lastname155@example.com</v>
      </c>
      <c r="AB1725" s="64" t="str">
        <f>IF($C1725="","",IF(ISNUMBER(SEARCH($D1725,Settings!$C$15)),"Pickup","Dispatch"))</f>
        <v>Pickup</v>
      </c>
      <c r="AC1725" s="64" t="str">
        <f t="shared" si="298"/>
        <v>Supply order ready for pickup</v>
      </c>
      <c r="AD1725" s="64" t="str">
        <f t="shared" si="289"/>
        <v>Dear PSW,
Your order is ready for pickup from Sample Branch, Wed-Fri 9am-4pm.</v>
      </c>
      <c r="AE1725" s="64" t="str">
        <f t="shared" si="290"/>
        <v>mailto:firstname155.lastname155@example.com?subject=Supply%20order%20ready%20for%20pickup&amp;body=Dear%20PSW%2C%0A%0AYour%20order%20is%20ready%20for%20pickup%20from%20Sample%20Branch%2C%20Wed-Fri%209am-4pm.</v>
      </c>
      <c r="AF1725" s="89" t="str">
        <f t="shared" si="299"/>
        <v>Draft email</v>
      </c>
      <c r="AG1725" s="64" t="str">
        <f>IF($C1725="","",IFERROR(INDEX('Staff Directory'!$K$595:$K$599,MATCH($C1725,'Staff Directory'!$B$5:$B$599,0)),$D1725))</f>
        <v>PSW</v>
      </c>
      <c r="AH1725" t="str">
        <f>IF($C1725="","",IFERROR(INDEX('Staff Directory'!$I$595:$I$599,MATCH($C1725,'Staff Directory'!$B$5:$B$599,0))&amp;" "&amp;INDEX('Staff Directory'!$J$595:$J$599,MATCH($C1725,'Staff Directory'!$B$5:$B$599,0)),$AG1725))</f>
        <v>PSW</v>
      </c>
      <c r="AI1725" s="102"/>
      <c r="AJ1725" s="101">
        <f>IF($F1725="","",SUMIFS($J$5:$J1725,$F$5:$F1725,$F1725))</f>
        <v>45000</v>
      </c>
      <c r="AK1725" s="101">
        <f t="shared" si="291"/>
        <v>44501</v>
      </c>
      <c r="AL1725" s="66" t="str" cm="1">
        <f t="array" ref="AL1725">IF($F1725="","",IFERROR(INDEX('Lot Balance'!$B$5:$B$500,MATCH(1,INDEX(('Lot Balance'!$A$5:$A$500=$F1725)*('Lot Balance'!$K$5:$K$500&lt;$AK1725)*('Lot Balance'!$K$5:$K$500+'Lot Balance'!$D$5:$D$500&gt;=$AK1725),0),0)),""))</f>
        <v>ZIM511139904-3</v>
      </c>
      <c r="AM1725" s="66" t="str" cm="1">
        <f t="array" ref="AM1725">IF($F1725="","",IFERROR(INDEX('Lot Balance'!$B$5:$B$500,MATCH(1,INDEX(('Lot Balance'!$A$5:$A$500=$F1725)*('Lot Balance'!$K$5:$K$500&lt;$AJ1725)*('Lot Balance'!$K$5:$K$500+'Lot Balance'!$D$5:$D$500&gt;=$AJ1725),0),0)),""))</f>
        <v>ZIM511139904-3</v>
      </c>
      <c r="AN1725" s="66" t="str">
        <f>IF($F1725="","",IF($AI1725&lt;&gt;"",IF(COUNTIFS('Lot Balance'!$A$5:$A$500,$F1725,'Lot Balance'!$B$5:$B$500,$AI1725)=0,"⚠ override is not a lot of this item",IF($AI1725=$AL1725,"Override = FEFO","Override - FEFO says "&amp;$AL1725)),IF($AL1725="","⚠ no receipt on file for this item",IF($AM1725&lt;&gt;$AL1725,"FEFO auto - split, also "&amp;$AM1725,"FEFO auto"))))</f>
        <v>FEFO auto</v>
      </c>
      <c r="AO1725" s="114"/>
    </row>
    <row r="1726" spans="1:41" x14ac:dyDescent="0.35">
      <c r="A1726" s="74">
        <v>46212</v>
      </c>
      <c r="B1726" s="18" t="str">
        <f>IF($C1726="","",IFERROR(INDEX('Staff Directory'!$A$5:$A$594,MATCH($C1726,'Staff Directory'!$B$5:$B$594,0)),"⚠ unknown staff"))</f>
        <v>PSW-093-TBD</v>
      </c>
      <c r="C1726" s="49" t="s">
        <v>1071</v>
      </c>
      <c r="D1726" s="19" t="str">
        <f>IF($B1726="","",IFERROR(INDEX('Staff Directory'!$C$5:$C$594,MATCH($B1726,'Staff Directory'!$A$5:$A$594,0)),""))</f>
        <v>PSW</v>
      </c>
      <c r="E1726" s="19">
        <f>IF($B1726="","",IFERROR(INDEX('Staff Directory'!$D$5:$D$594,MATCH($B1726,'Staff Directory'!$A$5:$A$594,0)),""))</f>
        <v>0</v>
      </c>
      <c r="F1726" s="9" t="s">
        <v>191</v>
      </c>
      <c r="G1726" s="18" t="str">
        <f>IF($F1726="","",IFERROR(INDEX(Items!$B$5:$B$597,MATCH($F1726,Items!$A$5:$A$597,0)),"⚠ not in Items"))</f>
        <v>Sanitizer</v>
      </c>
      <c r="H1726" s="19" t="str">
        <f>IF($F1726="","",IFERROR(INDEX(Items!$C$5:$C$597,MATCH($F1726,Items!$A$5:$A$597,0)),""))</f>
        <v>236 ML</v>
      </c>
      <c r="I1726" s="23">
        <f>IF($F1726="","",IFERROR(INDEX(Items!$E$5:$E$597,MATCH($F1726,Items!$A$5:$A$597,0)),""))</f>
        <v>1</v>
      </c>
      <c r="J1726" s="115">
        <f>IF(tblIssues[[#This Row],[Qty Override]]&lt;&gt;"",tblIssues[[#This Row],[Qty Override]],IF(tblIssues[[#This Row],[Standard Issue]]="","",tblIssues[[#This Row],[Standard Issue]]))</f>
        <v>1</v>
      </c>
      <c r="K1726" s="20">
        <f>IF($F1726="","",IFERROR(INDEX(Items!$D$5:$D$597,MATCH($F1726,Items!$A$5:$A$597,0)),""))</f>
        <v>1E-4</v>
      </c>
      <c r="L1726" s="21">
        <f t="shared" si="294"/>
        <v>1E-4</v>
      </c>
      <c r="M1726" s="9" t="str">
        <f t="shared" si="292"/>
        <v>20-21734-5</v>
      </c>
      <c r="N1726" s="24">
        <f>IF($A1726="","",WORKDAY($A1726,Settings!$C$9,HolidayDates))</f>
        <v>46220</v>
      </c>
      <c r="O1726" s="24">
        <f>IF($N1726="","",WORKDAY($N1726,Settings!$C$10,HolidayDates))</f>
        <v>46260</v>
      </c>
      <c r="P1726" s="10" t="s">
        <v>501</v>
      </c>
      <c r="Q1726" s="52" t="str">
        <f t="shared" si="295"/>
        <v>Collected</v>
      </c>
      <c r="R1726" s="55" t="str">
        <f t="shared" si="296"/>
        <v>2026-07</v>
      </c>
      <c r="S1726" s="55">
        <f>IF(OR($B1726="",$F1726="",$R1726=""),"",SUMIFS(tblIssues[Qty Issued],tblIssues[Staff ID],$B1726,tblIssues[Item Name],$F1726,tblIssues[Month],$R1726))</f>
        <v>1</v>
      </c>
      <c r="T1726" s="56">
        <f>IF($I1726="","",$I1726*Settings!$C$11)</f>
        <v>1</v>
      </c>
      <c r="U1726" s="57" t="str">
        <f t="shared" si="293"/>
        <v>OK</v>
      </c>
      <c r="V1726" s="55" t="str">
        <f t="shared" si="297"/>
        <v/>
      </c>
      <c r="W1726" s="55" t="str">
        <f>IF($V1726="","",IF(COUNTIF($V$5:$V1726,$V1726)=1,1,""))</f>
        <v/>
      </c>
      <c r="X1726" s="58" t="str">
        <f>IF($W1726="","",MAX($X$4:X1725)+1)</f>
        <v/>
      </c>
      <c r="Y1726" s="62"/>
      <c r="Z1726" s="62"/>
      <c r="AA1726" s="64" t="str">
        <f>IF($C1726="","",IFERROR(INDEX('Staff Directory'!$E$5:$E$594,MATCH($C1726,'Staff Directory'!$B$5:$B$594,0)),""))</f>
        <v>firstname155.lastname155@example.com</v>
      </c>
      <c r="AB1726" s="64" t="str">
        <f>IF($C1726="","",IF(ISNUMBER(SEARCH($D1726,Settings!$C$15)),"Pickup","Dispatch"))</f>
        <v>Pickup</v>
      </c>
      <c r="AC1726" s="64" t="str">
        <f t="shared" si="298"/>
        <v>Supply order ready for pickup</v>
      </c>
      <c r="AD1726" s="64" t="str">
        <f t="shared" si="289"/>
        <v>Dear PSW,
Your order is ready for pickup from Sample Branch, Wed-Fri 9am-4pm.</v>
      </c>
      <c r="AE1726" s="64" t="str">
        <f t="shared" si="290"/>
        <v>mailto:firstname155.lastname155@example.com?subject=Supply%20order%20ready%20for%20pickup&amp;body=Dear%20PSW%2C%0A%0AYour%20order%20is%20ready%20for%20pickup%20from%20Sample%20Branch%2C%20Wed-Fri%209am-4pm.</v>
      </c>
      <c r="AF1726" s="89" t="str">
        <f t="shared" si="299"/>
        <v>Draft email</v>
      </c>
      <c r="AG1726" s="64" t="str">
        <f>IF($C1726="","",IFERROR(INDEX('Staff Directory'!$K$595:$K$599,MATCH($C1726,'Staff Directory'!$B$5:$B$599,0)),$D1726))</f>
        <v>PSW</v>
      </c>
      <c r="AH1726" t="str">
        <f>IF($C1726="","",IFERROR(INDEX('Staff Directory'!$I$595:$I$599,MATCH($C1726,'Staff Directory'!$B$5:$B$599,0))&amp;" "&amp;INDEX('Staff Directory'!$J$595:$J$599,MATCH($C1726,'Staff Directory'!$B$5:$B$599,0)),$AG1726))</f>
        <v>PSW</v>
      </c>
      <c r="AI1726" s="102"/>
      <c r="AJ1726" s="101">
        <f>IF($F1726="","",SUMIFS($J$5:$J1726,$F$5:$F1726,$F1726))</f>
        <v>223</v>
      </c>
      <c r="AK1726" s="101">
        <f t="shared" si="291"/>
        <v>223</v>
      </c>
      <c r="AL1726" s="66" t="str" cm="1">
        <f t="array" ref="AL1726">IF($F1726="","",IFERROR(INDEX('Lot Balance'!$B$5:$B$500,MATCH(1,INDEX(('Lot Balance'!$A$5:$A$500=$F1726)*('Lot Balance'!$K$5:$K$500&lt;$AK1726)*('Lot Balance'!$K$5:$K$500+'Lot Balance'!$D$5:$D$500&gt;=$AK1726),0),0)),""))</f>
        <v>20-21734-5</v>
      </c>
      <c r="AM1726" s="66" t="str" cm="1">
        <f t="array" ref="AM1726">IF($F1726="","",IFERROR(INDEX('Lot Balance'!$B$5:$B$500,MATCH(1,INDEX(('Lot Balance'!$A$5:$A$500=$F1726)*('Lot Balance'!$K$5:$K$500&lt;$AJ1726)*('Lot Balance'!$K$5:$K$500+'Lot Balance'!$D$5:$D$500&gt;=$AJ1726),0),0)),""))</f>
        <v>20-21734-5</v>
      </c>
      <c r="AN1726" s="66" t="str">
        <f>IF($F1726="","",IF($AI1726&lt;&gt;"",IF(COUNTIFS('Lot Balance'!$A$5:$A$500,$F1726,'Lot Balance'!$B$5:$B$500,$AI1726)=0,"⚠ override is not a lot of this item",IF($AI1726=$AL1726,"Override = FEFO","Override - FEFO says "&amp;$AL1726)),IF($AL1726="","⚠ no receipt on file for this item",IF($AM1726&lt;&gt;$AL1726,"FEFO auto - split, also "&amp;$AM1726,"FEFO auto"))))</f>
        <v>FEFO auto</v>
      </c>
      <c r="AO1726" s="114"/>
    </row>
    <row r="1727" spans="1:41" x14ac:dyDescent="0.35">
      <c r="A1727" s="74">
        <v>46212</v>
      </c>
      <c r="B1727" s="18" t="str">
        <f>IF($C1727="","",IFERROR(INDEX('Staff Directory'!$A$5:$A$594,MATCH($C1727,'Staff Directory'!$B$5:$B$594,0)),"⚠ unknown staff"))</f>
        <v>PSW-093-TBD</v>
      </c>
      <c r="C1727" s="49" t="s">
        <v>1071</v>
      </c>
      <c r="D1727" s="19" t="str">
        <f>IF($B1727="","",IFERROR(INDEX('Staff Directory'!$C$5:$C$594,MATCH($B1727,'Staff Directory'!$A$5:$A$594,0)),""))</f>
        <v>PSW</v>
      </c>
      <c r="E1727" s="19">
        <f>IF($B1727="","",IFERROR(INDEX('Staff Directory'!$D$5:$D$594,MATCH($B1727,'Staff Directory'!$A$5:$A$594,0)),""))</f>
        <v>0</v>
      </c>
      <c r="F1727" s="9" t="s">
        <v>115</v>
      </c>
      <c r="G1727" s="18" t="str">
        <f>IF($F1727="","",IFERROR(INDEX(Items!$B$5:$B$597,MATCH($F1727,Items!$A$5:$A$597,0)),"⚠ not in Items"))</f>
        <v>Wipes</v>
      </c>
      <c r="H1727" s="19">
        <f>IF($F1727="","",IFERROR(INDEX(Items!$C$5:$C$597,MATCH($F1727,Items!$A$5:$A$597,0)),""))</f>
        <v>80</v>
      </c>
      <c r="I1727" s="23">
        <f>IF($F1727="","",IFERROR(INDEX(Items!$E$5:$E$597,MATCH($F1727,Items!$A$5:$A$597,0)),""))</f>
        <v>80</v>
      </c>
      <c r="J1727" s="115">
        <f>IF(tblIssues[[#This Row],[Qty Override]]&lt;&gt;"",tblIssues[[#This Row],[Qty Override]],IF(tblIssues[[#This Row],[Standard Issue]]="","",tblIssues[[#This Row],[Standard Issue]]))</f>
        <v>80</v>
      </c>
      <c r="K1727" s="20">
        <f>IF($F1727="","",IFERROR(INDEX(Items!$D$5:$D$597,MATCH($F1727,Items!$A$5:$A$597,0)),""))</f>
        <v>0.1</v>
      </c>
      <c r="L1727" s="21">
        <f t="shared" si="294"/>
        <v>8</v>
      </c>
      <c r="M1727" s="9" t="str">
        <f t="shared" si="292"/>
        <v>LYSL500290</v>
      </c>
      <c r="N1727" s="24">
        <f>IF($A1727="","",WORKDAY($A1727,Settings!$C$9,HolidayDates))</f>
        <v>46220</v>
      </c>
      <c r="O1727" s="24">
        <f>IF($N1727="","",WORKDAY($N1727,Settings!$C$10,HolidayDates))</f>
        <v>46260</v>
      </c>
      <c r="P1727" s="10" t="s">
        <v>501</v>
      </c>
      <c r="Q1727" s="52" t="str">
        <f t="shared" si="295"/>
        <v>Collected</v>
      </c>
      <c r="R1727" s="55" t="str">
        <f t="shared" si="296"/>
        <v>2026-07</v>
      </c>
      <c r="S1727" s="55">
        <f>IF(OR($B1727="",$F1727="",$R1727=""),"",SUMIFS(tblIssues[Qty Issued],tblIssues[Staff ID],$B1727,tblIssues[Item Name],$F1727,tblIssues[Month],$R1727))</f>
        <v>80</v>
      </c>
      <c r="T1727" s="56">
        <f>IF($I1727="","",$I1727*Settings!$C$11)</f>
        <v>80</v>
      </c>
      <c r="U1727" s="57" t="str">
        <f t="shared" si="293"/>
        <v>OK</v>
      </c>
      <c r="V1727" s="55" t="str">
        <f t="shared" si="297"/>
        <v/>
      </c>
      <c r="W1727" s="55" t="str">
        <f>IF($V1727="","",IF(COUNTIF($V$5:$V1727,$V1727)=1,1,""))</f>
        <v/>
      </c>
      <c r="X1727" s="58" t="str">
        <f>IF($W1727="","",MAX($X$4:X1726)+1)</f>
        <v/>
      </c>
      <c r="Y1727" s="62"/>
      <c r="Z1727" s="62"/>
      <c r="AA1727" s="64" t="str">
        <f>IF($C1727="","",IFERROR(INDEX('Staff Directory'!$E$5:$E$594,MATCH($C1727,'Staff Directory'!$B$5:$B$594,0)),""))</f>
        <v>firstname155.lastname155@example.com</v>
      </c>
      <c r="AB1727" s="64" t="str">
        <f>IF($C1727="","",IF(ISNUMBER(SEARCH($D1727,Settings!$C$15)),"Pickup","Dispatch"))</f>
        <v>Pickup</v>
      </c>
      <c r="AC1727" s="64" t="str">
        <f t="shared" si="298"/>
        <v>Supply order ready for pickup</v>
      </c>
      <c r="AD1727" s="64" t="str">
        <f t="shared" si="289"/>
        <v>Dear PSW,
Your order is ready for pickup from Sample Branch, Wed-Fri 9am-4pm.</v>
      </c>
      <c r="AE1727" s="64" t="str">
        <f t="shared" si="290"/>
        <v>mailto:firstname155.lastname155@example.com?subject=Supply%20order%20ready%20for%20pickup&amp;body=Dear%20PSW%2C%0A%0AYour%20order%20is%20ready%20for%20pickup%20from%20Sample%20Branch%2C%20Wed-Fri%209am-4pm.</v>
      </c>
      <c r="AF1727" s="89" t="str">
        <f t="shared" si="299"/>
        <v>Draft email</v>
      </c>
      <c r="AG1727" s="64" t="str">
        <f>IF($C1727="","",IFERROR(INDEX('Staff Directory'!$K$595:$K$599,MATCH($C1727,'Staff Directory'!$B$5:$B$599,0)),$D1727))</f>
        <v>PSW</v>
      </c>
      <c r="AH1727" t="str">
        <f>IF($C1727="","",IFERROR(INDEX('Staff Directory'!$I$595:$I$599,MATCH($C1727,'Staff Directory'!$B$5:$B$599,0))&amp;" "&amp;INDEX('Staff Directory'!$J$595:$J$599,MATCH($C1727,'Staff Directory'!$B$5:$B$599,0)),$AG1727))</f>
        <v>PSW</v>
      </c>
      <c r="AI1727" s="102"/>
      <c r="AJ1727" s="101">
        <f>IF($F1727="","",SUMIFS($J$5:$J1727,$F$5:$F1727,$F1727))</f>
        <v>22960</v>
      </c>
      <c r="AK1727" s="101">
        <f t="shared" si="291"/>
        <v>22881</v>
      </c>
      <c r="AL1727" s="66" t="str" cm="1">
        <f t="array" ref="AL1727">IF($F1727="","",IFERROR(INDEX('Lot Balance'!$B$5:$B$500,MATCH(1,INDEX(('Lot Balance'!$A$5:$A$500=$F1727)*('Lot Balance'!$K$5:$K$500&lt;$AK1727)*('Lot Balance'!$K$5:$K$500+'Lot Balance'!$D$5:$D$500&gt;=$AK1727),0),0)),""))</f>
        <v>LYSL500290</v>
      </c>
      <c r="AM1727" s="66" t="str" cm="1">
        <f t="array" ref="AM1727">IF($F1727="","",IFERROR(INDEX('Lot Balance'!$B$5:$B$500,MATCH(1,INDEX(('Lot Balance'!$A$5:$A$500=$F1727)*('Lot Balance'!$K$5:$K$500&lt;$AJ1727)*('Lot Balance'!$K$5:$K$500+'Lot Balance'!$D$5:$D$500&gt;=$AJ1727),0),0)),""))</f>
        <v>LYSL500290</v>
      </c>
      <c r="AN1727" s="66" t="str">
        <f>IF($F1727="","",IF($AI1727&lt;&gt;"",IF(COUNTIFS('Lot Balance'!$A$5:$A$500,$F1727,'Lot Balance'!$B$5:$B$500,$AI1727)=0,"⚠ override is not a lot of this item",IF($AI1727=$AL1727,"Override = FEFO","Override - FEFO says "&amp;$AL1727)),IF($AL1727="","⚠ no receipt on file for this item",IF($AM1727&lt;&gt;$AL1727,"FEFO auto - split, also "&amp;$AM1727,"FEFO auto"))))</f>
        <v>FEFO auto</v>
      </c>
      <c r="AO1727" s="114"/>
    </row>
    <row r="1728" spans="1:41" x14ac:dyDescent="0.35">
      <c r="A1728" s="74">
        <v>46212</v>
      </c>
      <c r="B1728" s="18" t="str">
        <f>IF($C1728="","",IFERROR(INDEX('Staff Directory'!$A$5:$A$594,MATCH($C1728,'Staff Directory'!$B$5:$B$594,0)),"⚠ unknown staff"))</f>
        <v>PSW-093-TBD</v>
      </c>
      <c r="C1728" s="49" t="s">
        <v>1071</v>
      </c>
      <c r="D1728" s="19" t="str">
        <f>IF($B1728="","",IFERROR(INDEX('Staff Directory'!$C$5:$C$594,MATCH($B1728,'Staff Directory'!$A$5:$A$594,0)),""))</f>
        <v>PSW</v>
      </c>
      <c r="E1728" s="19">
        <f>IF($B1728="","",IFERROR(INDEX('Staff Directory'!$D$5:$D$594,MATCH($B1728,'Staff Directory'!$A$5:$A$594,0)),""))</f>
        <v>0</v>
      </c>
      <c r="F1728" s="9" t="s">
        <v>156</v>
      </c>
      <c r="G1728" s="18" t="str">
        <f>IF($F1728="","",IFERROR(INDEX(Items!$B$5:$B$597,MATCH($F1728,Items!$A$5:$A$597,0)),"⚠ not in Items"))</f>
        <v>Masks</v>
      </c>
      <c r="H1728" s="19" t="str">
        <f>IF($F1728="","",IFERROR(INDEX(Items!$C$5:$C$597,MATCH($F1728,Items!$A$5:$A$597,0)),""))</f>
        <v>One Size</v>
      </c>
      <c r="I1728" s="23">
        <f>IF($F1728="","",IFERROR(INDEX(Items!$E$5:$E$597,MATCH($F1728,Items!$A$5:$A$597,0)),""))</f>
        <v>50</v>
      </c>
      <c r="J1728" s="115">
        <f>IF(tblIssues[[#This Row],[Qty Override]]&lt;&gt;"",tblIssues[[#This Row],[Qty Override]],IF(tblIssues[[#This Row],[Standard Issue]]="","",tblIssues[[#This Row],[Standard Issue]]))</f>
        <v>50</v>
      </c>
      <c r="K1728" s="20">
        <f>IF($F1728="","",IFERROR(INDEX(Items!$D$5:$D$597,MATCH($F1728,Items!$A$5:$A$597,0)),""))</f>
        <v>0.25</v>
      </c>
      <c r="L1728" s="21">
        <f t="shared" si="294"/>
        <v>12.5</v>
      </c>
      <c r="M1728" s="9" t="str">
        <f t="shared" si="292"/>
        <v>24HA2050A7396</v>
      </c>
      <c r="N1728" s="24">
        <f>IF($A1728="","",WORKDAY($A1728,Settings!$C$9,HolidayDates))</f>
        <v>46220</v>
      </c>
      <c r="O1728" s="24">
        <f>IF($N1728="","",WORKDAY($N1728,Settings!$C$10,HolidayDates))</f>
        <v>46260</v>
      </c>
      <c r="P1728" s="10" t="s">
        <v>501</v>
      </c>
      <c r="Q1728" s="52" t="str">
        <f t="shared" si="295"/>
        <v>Collected</v>
      </c>
      <c r="R1728" s="55" t="str">
        <f t="shared" si="296"/>
        <v>2026-07</v>
      </c>
      <c r="S1728" s="55">
        <f>IF(OR($B1728="",$F1728="",$R1728=""),"",SUMIFS(tblIssues[Qty Issued],tblIssues[Staff ID],$B1728,tblIssues[Item Name],$F1728,tblIssues[Month],$R1728))</f>
        <v>50</v>
      </c>
      <c r="T1728" s="56">
        <f>IF($I1728="","",$I1728*Settings!$C$11)</f>
        <v>50</v>
      </c>
      <c r="U1728" s="57" t="str">
        <f t="shared" si="293"/>
        <v>OK</v>
      </c>
      <c r="V1728" s="55" t="str">
        <f t="shared" si="297"/>
        <v/>
      </c>
      <c r="W1728" s="55" t="str">
        <f>IF($V1728="","",IF(COUNTIF($V$5:$V1728,$V1728)=1,1,""))</f>
        <v/>
      </c>
      <c r="X1728" s="58" t="str">
        <f>IF($W1728="","",MAX($X$4:X1727)+1)</f>
        <v/>
      </c>
      <c r="Y1728" s="62"/>
      <c r="Z1728" s="62"/>
      <c r="AA1728" s="64" t="str">
        <f>IF($C1728="","",IFERROR(INDEX('Staff Directory'!$E$5:$E$594,MATCH($C1728,'Staff Directory'!$B$5:$B$594,0)),""))</f>
        <v>firstname155.lastname155@example.com</v>
      </c>
      <c r="AB1728" s="64" t="str">
        <f>IF($C1728="","",IF(ISNUMBER(SEARCH($D1728,Settings!$C$15)),"Pickup","Dispatch"))</f>
        <v>Pickup</v>
      </c>
      <c r="AC1728" s="64" t="str">
        <f t="shared" si="298"/>
        <v>Supply order ready for pickup</v>
      </c>
      <c r="AD1728" s="64" t="str">
        <f t="shared" si="289"/>
        <v>Dear PSW,
Your order is ready for pickup from Sample Branch, Wed-Fri 9am-4pm.</v>
      </c>
      <c r="AE1728" s="64" t="str">
        <f t="shared" si="290"/>
        <v>mailto:firstname155.lastname155@example.com?subject=Supply%20order%20ready%20for%20pickup&amp;body=Dear%20PSW%2C%0A%0AYour%20order%20is%20ready%20for%20pickup%20from%20Sample%20Branch%2C%20Wed-Fri%209am-4pm.</v>
      </c>
      <c r="AF1728" s="89" t="str">
        <f t="shared" si="299"/>
        <v>Draft email</v>
      </c>
      <c r="AG1728" s="64" t="str">
        <f>IF($C1728="","",IFERROR(INDEX('Staff Directory'!$K$595:$K$599,MATCH($C1728,'Staff Directory'!$B$5:$B$599,0)),$D1728))</f>
        <v>PSW</v>
      </c>
      <c r="AH1728" t="str">
        <f>IF($C1728="","",IFERROR(INDEX('Staff Directory'!$I$595:$I$599,MATCH($C1728,'Staff Directory'!$B$5:$B$599,0))&amp;" "&amp;INDEX('Staff Directory'!$J$595:$J$599,MATCH($C1728,'Staff Directory'!$B$5:$B$599,0)),$AG1728))</f>
        <v>PSW</v>
      </c>
      <c r="AI1728" s="102"/>
      <c r="AJ1728" s="101">
        <f>IF($F1728="","",SUMIFS($J$5:$J1728,$F$5:$F1728,$F1728))</f>
        <v>14150</v>
      </c>
      <c r="AK1728" s="101">
        <f t="shared" si="291"/>
        <v>14101</v>
      </c>
      <c r="AL1728" s="66" t="str" cm="1">
        <f t="array" ref="AL1728">IF($F1728="","",IFERROR(INDEX('Lot Balance'!$B$5:$B$500,MATCH(1,INDEX(('Lot Balance'!$A$5:$A$500=$F1728)*('Lot Balance'!$K$5:$K$500&lt;$AK1728)*('Lot Balance'!$K$5:$K$500+'Lot Balance'!$D$5:$D$500&gt;=$AK1728),0),0)),""))</f>
        <v>24HA2050A7396</v>
      </c>
      <c r="AM1728" s="66" t="str" cm="1">
        <f t="array" ref="AM1728">IF($F1728="","",IFERROR(INDEX('Lot Balance'!$B$5:$B$500,MATCH(1,INDEX(('Lot Balance'!$A$5:$A$500=$F1728)*('Lot Balance'!$K$5:$K$500&lt;$AJ1728)*('Lot Balance'!$K$5:$K$500+'Lot Balance'!$D$5:$D$500&gt;=$AJ1728),0),0)),""))</f>
        <v>24HA2050A7396</v>
      </c>
      <c r="AN1728" s="66" t="str">
        <f>IF($F1728="","",IF($AI1728&lt;&gt;"",IF(COUNTIFS('Lot Balance'!$A$5:$A$500,$F1728,'Lot Balance'!$B$5:$B$500,$AI1728)=0,"⚠ override is not a lot of this item",IF($AI1728=$AL1728,"Override = FEFO","Override - FEFO says "&amp;$AL1728)),IF($AL1728="","⚠ no receipt on file for this item",IF($AM1728&lt;&gt;$AL1728,"FEFO auto - split, also "&amp;$AM1728,"FEFO auto"))))</f>
        <v>FEFO auto</v>
      </c>
      <c r="AO1728" s="114"/>
    </row>
    <row r="1729" spans="1:41" x14ac:dyDescent="0.35">
      <c r="A1729" s="74">
        <v>46212</v>
      </c>
      <c r="B1729" s="18" t="str">
        <f>IF($C1729="","",IFERROR(INDEX('Staff Directory'!$A$5:$A$594,MATCH($C1729,'Staff Directory'!$B$5:$B$594,0)),"⚠ unknown staff"))</f>
        <v>PSW-093-TBD</v>
      </c>
      <c r="C1729" s="49" t="s">
        <v>1071</v>
      </c>
      <c r="D1729" s="19" t="str">
        <f>IF($B1729="","",IFERROR(INDEX('Staff Directory'!$C$5:$C$594,MATCH($B1729,'Staff Directory'!$A$5:$A$594,0)),""))</f>
        <v>PSW</v>
      </c>
      <c r="E1729" s="19">
        <f>IF($B1729="","",IFERROR(INDEX('Staff Directory'!$D$5:$D$594,MATCH($B1729,'Staff Directory'!$A$5:$A$594,0)),""))</f>
        <v>0</v>
      </c>
      <c r="F1729" s="9" t="s">
        <v>154</v>
      </c>
      <c r="G1729" s="18" t="str">
        <f>IF($F1729="","",IFERROR(INDEX(Items!$B$5:$B$597,MATCH($F1729,Items!$A$5:$A$597,0)),"⚠ not in Items"))</f>
        <v>IPAC</v>
      </c>
      <c r="H1729" s="19" t="str">
        <f>IF($F1729="","",IFERROR(INDEX(Items!$C$5:$C$597,MATCH($F1729,Items!$A$5:$A$597,0)),""))</f>
        <v>Regular</v>
      </c>
      <c r="I1729" s="23">
        <f>IF($F1729="","",IFERROR(INDEX(Items!$E$5:$E$597,MATCH($F1729,Items!$A$5:$A$597,0)),""))</f>
        <v>50</v>
      </c>
      <c r="J1729" s="115">
        <f>IF(tblIssues[[#This Row],[Qty Override]]&lt;&gt;"",tblIssues[[#This Row],[Qty Override]],IF(tblIssues[[#This Row],[Standard Issue]]="","",tblIssues[[#This Row],[Standard Issue]]))</f>
        <v>50</v>
      </c>
      <c r="K1729" s="20">
        <f>IF($F1729="","",IFERROR(INDEX(Items!$D$5:$D$597,MATCH($F1729,Items!$A$5:$A$597,0)),""))</f>
        <v>0.2</v>
      </c>
      <c r="L1729" s="21">
        <f t="shared" si="294"/>
        <v>10</v>
      </c>
      <c r="M1729" s="9" t="str">
        <f t="shared" si="292"/>
        <v/>
      </c>
      <c r="N1729" s="24">
        <f>IF($A1729="","",WORKDAY($A1729,Settings!$C$9,HolidayDates))</f>
        <v>46220</v>
      </c>
      <c r="O1729" s="24">
        <f>IF($N1729="","",WORKDAY($N1729,Settings!$C$10,HolidayDates))</f>
        <v>46260</v>
      </c>
      <c r="P1729" s="10" t="s">
        <v>501</v>
      </c>
      <c r="Q1729" s="52" t="str">
        <f t="shared" si="295"/>
        <v>Collected</v>
      </c>
      <c r="R1729" s="55" t="str">
        <f t="shared" si="296"/>
        <v>2026-07</v>
      </c>
      <c r="S1729" s="55">
        <f>IF(OR($B1729="",$F1729="",$R1729=""),"",SUMIFS(tblIssues[Qty Issued],tblIssues[Staff ID],$B1729,tblIssues[Item Name],$F1729,tblIssues[Month],$R1729))</f>
        <v>50</v>
      </c>
      <c r="T1729" s="56">
        <f>IF($I1729="","",$I1729*Settings!$C$11)</f>
        <v>50</v>
      </c>
      <c r="U1729" s="57" t="str">
        <f t="shared" si="293"/>
        <v>OK</v>
      </c>
      <c r="V1729" s="55" t="str">
        <f t="shared" si="297"/>
        <v/>
      </c>
      <c r="W1729" s="55" t="str">
        <f>IF($V1729="","",IF(COUNTIF($V$5:$V1729,$V1729)=1,1,""))</f>
        <v/>
      </c>
      <c r="X1729" s="58" t="str">
        <f>IF($W1729="","",MAX($X$4:X1728)+1)</f>
        <v/>
      </c>
      <c r="Y1729" s="62"/>
      <c r="Z1729" s="62"/>
      <c r="AA1729" s="64" t="str">
        <f>IF($C1729="","",IFERROR(INDEX('Staff Directory'!$E$5:$E$594,MATCH($C1729,'Staff Directory'!$B$5:$B$594,0)),""))</f>
        <v>firstname155.lastname155@example.com</v>
      </c>
      <c r="AB1729" s="64" t="str">
        <f>IF($C1729="","",IF(ISNUMBER(SEARCH($D1729,Settings!$C$15)),"Pickup","Dispatch"))</f>
        <v>Pickup</v>
      </c>
      <c r="AC1729" s="64" t="str">
        <f t="shared" si="298"/>
        <v>Supply order ready for pickup</v>
      </c>
      <c r="AD1729" s="64" t="str">
        <f t="shared" si="289"/>
        <v>Dear PSW,
Your order is ready for pickup from Sample Branch, Wed-Fri 9am-4pm.</v>
      </c>
      <c r="AE1729" s="64" t="str">
        <f t="shared" si="290"/>
        <v>mailto:firstname155.lastname155@example.com?subject=Supply%20order%20ready%20for%20pickup&amp;body=Dear%20PSW%2C%0A%0AYour%20order%20is%20ready%20for%20pickup%20from%20Sample%20Branch%2C%20Wed-Fri%209am-4pm.</v>
      </c>
      <c r="AF1729" s="89" t="str">
        <f t="shared" si="299"/>
        <v>Draft email</v>
      </c>
      <c r="AG1729" s="64" t="str">
        <f>IF($C1729="","",IFERROR(INDEX('Staff Directory'!$K$595:$K$599,MATCH($C1729,'Staff Directory'!$B$5:$B$599,0)),$D1729))</f>
        <v>PSW</v>
      </c>
      <c r="AH1729" t="str">
        <f>IF($C1729="","",IFERROR(INDEX('Staff Directory'!$I$595:$I$599,MATCH($C1729,'Staff Directory'!$B$5:$B$599,0))&amp;" "&amp;INDEX('Staff Directory'!$J$595:$J$599,MATCH($C1729,'Staff Directory'!$B$5:$B$599,0)),$AG1729))</f>
        <v>PSW</v>
      </c>
      <c r="AI1729" s="102"/>
      <c r="AJ1729" s="101">
        <f>IF($F1729="","",SUMIFS($J$5:$J1729,$F$5:$F1729,$F1729))</f>
        <v>1750</v>
      </c>
      <c r="AK1729" s="101">
        <f t="shared" si="291"/>
        <v>1701</v>
      </c>
      <c r="AL1729" s="66" t="str" cm="1">
        <f t="array" ref="AL1729">IF($F1729="","",IFERROR(INDEX('Lot Balance'!$B$5:$B$500,MATCH(1,INDEX(('Lot Balance'!$A$5:$A$500=$F1729)*('Lot Balance'!$K$5:$K$500&lt;$AK1729)*('Lot Balance'!$K$5:$K$500+'Lot Balance'!$D$5:$D$500&gt;=$AK1729),0),0)),""))</f>
        <v/>
      </c>
      <c r="AM1729" s="66" t="str" cm="1">
        <f t="array" ref="AM1729">IF($F1729="","",IFERROR(INDEX('Lot Balance'!$B$5:$B$500,MATCH(1,INDEX(('Lot Balance'!$A$5:$A$500=$F1729)*('Lot Balance'!$K$5:$K$500&lt;$AJ1729)*('Lot Balance'!$K$5:$K$500+'Lot Balance'!$D$5:$D$500&gt;=$AJ1729),0),0)),""))</f>
        <v/>
      </c>
      <c r="AN1729" s="66" t="str">
        <f>IF($F1729="","",IF($AI1729&lt;&gt;"",IF(COUNTIFS('Lot Balance'!$A$5:$A$500,$F1729,'Lot Balance'!$B$5:$B$500,$AI1729)=0,"⚠ override is not a lot of this item",IF($AI1729=$AL1729,"Override = FEFO","Override - FEFO says "&amp;$AL1729)),IF($AL1729="","⚠ no receipt on file for this item",IF($AM1729&lt;&gt;$AL1729,"FEFO auto - split, also "&amp;$AM1729,"FEFO auto"))))</f>
        <v>⚠ no receipt on file for this item</v>
      </c>
      <c r="AO1729" s="114"/>
    </row>
    <row r="1730" spans="1:41" x14ac:dyDescent="0.35">
      <c r="A1730" s="74">
        <v>46212</v>
      </c>
      <c r="B1730" s="18" t="str">
        <f>IF($C1730="","",IFERROR(INDEX('Staff Directory'!$A$5:$A$594,MATCH($C1730,'Staff Directory'!$B$5:$B$594,0)),"⚠ unknown staff"))</f>
        <v>PSW-093-TBD</v>
      </c>
      <c r="C1730" s="49" t="s">
        <v>1071</v>
      </c>
      <c r="D1730" s="19" t="str">
        <f>IF($B1730="","",IFERROR(INDEX('Staff Directory'!$C$5:$C$594,MATCH($B1730,'Staff Directory'!$A$5:$A$594,0)),""))</f>
        <v>PSW</v>
      </c>
      <c r="E1730" s="19">
        <f>IF($B1730="","",IFERROR(INDEX('Staff Directory'!$D$5:$D$594,MATCH($B1730,'Staff Directory'!$A$5:$A$594,0)),""))</f>
        <v>0</v>
      </c>
      <c r="F1730" s="9" t="s">
        <v>758</v>
      </c>
      <c r="G1730" s="18" t="str">
        <f>IF($F1730="","",IFERROR(INDEX(Items!$B$5:$B$597,MATCH($F1730,Items!$A$5:$A$597,0)),"⚠ not in Items"))</f>
        <v>Utility</v>
      </c>
      <c r="H1730" s="19" t="str">
        <f>IF($F1730="","",IFERROR(INDEX(Items!$C$5:$C$597,MATCH($F1730,Items!$A$5:$A$597,0)),""))</f>
        <v>Standard</v>
      </c>
      <c r="I1730" s="23">
        <f>IF($F1730="","",IFERROR(INDEX(Items!$E$5:$E$597,MATCH($F1730,Items!$A$5:$A$597,0)),""))</f>
        <v>1</v>
      </c>
      <c r="J1730" s="115">
        <f>IF(tblIssues[[#This Row],[Qty Override]]&lt;&gt;"",tblIssues[[#This Row],[Qty Override]],IF(tblIssues[[#This Row],[Standard Issue]]="","",tblIssues[[#This Row],[Standard Issue]]))</f>
        <v>1</v>
      </c>
      <c r="K1730" s="20">
        <f>IF($F1730="","",IFERROR(INDEX(Items!$D$5:$D$597,MATCH($F1730,Items!$A$5:$A$597,0)),""))</f>
        <v>0</v>
      </c>
      <c r="L1730" s="21">
        <f t="shared" si="294"/>
        <v>0</v>
      </c>
      <c r="M1730" s="9" t="str">
        <f t="shared" si="292"/>
        <v/>
      </c>
      <c r="N1730" s="24">
        <f>IF($A1730="","",WORKDAY($A1730,Settings!$C$9,HolidayDates))</f>
        <v>46220</v>
      </c>
      <c r="O1730" s="24">
        <f>IF($N1730="","",WORKDAY($N1730,Settings!$C$10,HolidayDates))</f>
        <v>46260</v>
      </c>
      <c r="P1730" s="10" t="s">
        <v>501</v>
      </c>
      <c r="Q1730" s="52" t="str">
        <f t="shared" si="295"/>
        <v>Collected</v>
      </c>
      <c r="R1730" s="55" t="str">
        <f t="shared" si="296"/>
        <v>2026-07</v>
      </c>
      <c r="S1730" s="55">
        <f>IF(OR($B1730="",$F1730="",$R1730=""),"",SUMIFS(tblIssues[Qty Issued],tblIssues[Staff ID],$B1730,tblIssues[Item Name],$F1730,tblIssues[Month],$R1730))</f>
        <v>1</v>
      </c>
      <c r="T1730" s="56">
        <f>IF($I1730="","",$I1730*Settings!$C$11)</f>
        <v>1</v>
      </c>
      <c r="U1730" s="57" t="str">
        <f t="shared" si="293"/>
        <v>OK</v>
      </c>
      <c r="V1730" s="55" t="str">
        <f t="shared" si="297"/>
        <v/>
      </c>
      <c r="W1730" s="55" t="str">
        <f>IF($V1730="","",IF(COUNTIF($V$5:$V1730,$V1730)=1,1,""))</f>
        <v/>
      </c>
      <c r="X1730" s="58" t="str">
        <f>IF($W1730="","",MAX($X$4:X1729)+1)</f>
        <v/>
      </c>
      <c r="Y1730" s="62"/>
      <c r="Z1730" s="62"/>
      <c r="AA1730" s="64" t="str">
        <f>IF($C1730="","",IFERROR(INDEX('Staff Directory'!$E$5:$E$594,MATCH($C1730,'Staff Directory'!$B$5:$B$594,0)),""))</f>
        <v>firstname155.lastname155@example.com</v>
      </c>
      <c r="AB1730" s="64" t="str">
        <f>IF($C1730="","",IF(ISNUMBER(SEARCH($D1730,Settings!$C$15)),"Pickup","Dispatch"))</f>
        <v>Pickup</v>
      </c>
      <c r="AC1730" s="64" t="str">
        <f t="shared" si="298"/>
        <v>Supply order ready for pickup</v>
      </c>
      <c r="AD1730" s="64" t="str">
        <f t="shared" si="289"/>
        <v>Dear PSW,
Your order is ready for pickup from Sample Branch, Wed-Fri 9am-4pm.</v>
      </c>
      <c r="AE1730" s="64" t="str">
        <f t="shared" si="290"/>
        <v>mailto:firstname155.lastname155@example.com?subject=Supply%20order%20ready%20for%20pickup&amp;body=Dear%20PSW%2C%0A%0AYour%20order%20is%20ready%20for%20pickup%20from%20Sample%20Branch%2C%20Wed-Fri%209am-4pm.</v>
      </c>
      <c r="AF1730" s="89" t="str">
        <f t="shared" si="299"/>
        <v>Draft email</v>
      </c>
      <c r="AG1730" s="64" t="str">
        <f>IF($C1730="","",IFERROR(INDEX('Staff Directory'!$K$595:$K$599,MATCH($C1730,'Staff Directory'!$B$5:$B$599,0)),$D1730))</f>
        <v>PSW</v>
      </c>
      <c r="AH1730" t="str">
        <f>IF($C1730="","",IFERROR(INDEX('Staff Directory'!$I$595:$I$599,MATCH($C1730,'Staff Directory'!$B$5:$B$599,0))&amp;" "&amp;INDEX('Staff Directory'!$J$595:$J$599,MATCH($C1730,'Staff Directory'!$B$5:$B$599,0)),$AG1730))</f>
        <v>PSW</v>
      </c>
      <c r="AI1730" s="102"/>
      <c r="AJ1730" s="101">
        <f>IF($F1730="","",SUMIFS($J$5:$J1730,$F$5:$F1730,$F1730))</f>
        <v>60</v>
      </c>
      <c r="AK1730" s="101">
        <f t="shared" si="291"/>
        <v>60</v>
      </c>
      <c r="AL1730" s="66" t="str" cm="1">
        <f t="array" ref="AL1730">IF($F1730="","",IFERROR(INDEX('Lot Balance'!$B$5:$B$500,MATCH(1,INDEX(('Lot Balance'!$A$5:$A$500=$F1730)*('Lot Balance'!$K$5:$K$500&lt;$AK1730)*('Lot Balance'!$K$5:$K$500+'Lot Balance'!$D$5:$D$500&gt;=$AK1730),0),0)),""))</f>
        <v/>
      </c>
      <c r="AM1730" s="66" t="str" cm="1">
        <f t="array" ref="AM1730">IF($F1730="","",IFERROR(INDEX('Lot Balance'!$B$5:$B$500,MATCH(1,INDEX(('Lot Balance'!$A$5:$A$500=$F1730)*('Lot Balance'!$K$5:$K$500&lt;$AJ1730)*('Lot Balance'!$K$5:$K$500+'Lot Balance'!$D$5:$D$500&gt;=$AJ1730),0),0)),""))</f>
        <v/>
      </c>
      <c r="AN1730" s="66" t="str">
        <f>IF($F1730="","",IF($AI1730&lt;&gt;"",IF(COUNTIFS('Lot Balance'!$A$5:$A$500,$F1730,'Lot Balance'!$B$5:$B$500,$AI1730)=0,"⚠ override is not a lot of this item",IF($AI1730=$AL1730,"Override = FEFO","Override - FEFO says "&amp;$AL1730)),IF($AL1730="","⚠ no receipt on file for this item",IF($AM1730&lt;&gt;$AL1730,"FEFO auto - split, also "&amp;$AM1730,"FEFO auto"))))</f>
        <v>⚠ no receipt on file for this item</v>
      </c>
      <c r="AO1730" s="114"/>
    </row>
    <row r="1731" spans="1:41" x14ac:dyDescent="0.35">
      <c r="A1731" s="74">
        <v>46212</v>
      </c>
      <c r="B1731" s="18" t="str">
        <f>IF($C1731="","",IFERROR(INDEX('Staff Directory'!$A$5:$A$594,MATCH($C1731,'Staff Directory'!$B$5:$B$594,0)),"⚠ unknown staff"))</f>
        <v>PSW-061-A5</v>
      </c>
      <c r="C1731" s="49" t="s">
        <v>1037</v>
      </c>
      <c r="D1731" s="19" t="str">
        <f>IF($B1731="","",IFERROR(INDEX('Staff Directory'!$C$5:$C$594,MATCH($B1731,'Staff Directory'!$A$5:$A$594,0)),""))</f>
        <v>PSW</v>
      </c>
      <c r="E1731" s="19" t="str">
        <f>IF($B1731="","",IFERROR(INDEX('Staff Directory'!$D$5:$D$594,MATCH($B1731,'Staff Directory'!$A$5:$A$594,0)),""))</f>
        <v>A5</v>
      </c>
      <c r="F1731" s="9" t="s">
        <v>127</v>
      </c>
      <c r="G1731" s="18" t="str">
        <f>IF($F1731="","",IFERROR(INDEX(Items!$B$5:$B$597,MATCH($F1731,Items!$A$5:$A$597,0)),"⚠ not in Items"))</f>
        <v>Gloves</v>
      </c>
      <c r="H1731" s="19" t="str">
        <f>IF($F1731="","",IFERROR(INDEX(Items!$C$5:$C$597,MATCH($F1731,Items!$A$5:$A$597,0)),""))</f>
        <v>Medium</v>
      </c>
      <c r="I1731" s="23">
        <f>IF($F1731="","",IFERROR(INDEX(Items!$E$5:$E$597,MATCH($F1731,Items!$A$5:$A$597,0)),""))</f>
        <v>500</v>
      </c>
      <c r="J1731" s="115">
        <f>IF(tblIssues[[#This Row],[Qty Override]]&lt;&gt;"",tblIssues[[#This Row],[Qty Override]],IF(tblIssues[[#This Row],[Standard Issue]]="","",tblIssues[[#This Row],[Standard Issue]]))</f>
        <v>500</v>
      </c>
      <c r="K1731" s="20">
        <f>IF($F1731="","",IFERROR(INDEX(Items!$D$5:$D$597,MATCH($F1731,Items!$A$5:$A$597,0)),""))</f>
        <v>5.5E-2</v>
      </c>
      <c r="L1731" s="21">
        <f t="shared" si="294"/>
        <v>27.5</v>
      </c>
      <c r="M1731" s="9" t="str">
        <f t="shared" si="292"/>
        <v>ZIM604151579</v>
      </c>
      <c r="N1731" s="24">
        <f>IF($A1731="","",WORKDAY($A1731,Settings!$C$9,HolidayDates))</f>
        <v>46220</v>
      </c>
      <c r="O1731" s="24">
        <f>IF($N1731="","",WORKDAY($N1731,Settings!$C$10,HolidayDates))</f>
        <v>46260</v>
      </c>
      <c r="P1731" s="10" t="s">
        <v>501</v>
      </c>
      <c r="Q1731" s="52" t="str">
        <f t="shared" si="295"/>
        <v>Collected</v>
      </c>
      <c r="R1731" s="55" t="str">
        <f t="shared" si="296"/>
        <v>2026-07</v>
      </c>
      <c r="S1731" s="55">
        <f>IF(OR($B1731="",$F1731="",$R1731=""),"",SUMIFS(tblIssues[Qty Issued],tblIssues[Staff ID],$B1731,tblIssues[Item Name],$F1731,tblIssues[Month],$R1731))</f>
        <v>500</v>
      </c>
      <c r="T1731" s="56">
        <f>IF($I1731="","",$I1731*Settings!$C$11)</f>
        <v>500</v>
      </c>
      <c r="U1731" s="57" t="str">
        <f t="shared" si="293"/>
        <v>OK</v>
      </c>
      <c r="V1731" s="55" t="str">
        <f t="shared" si="297"/>
        <v/>
      </c>
      <c r="W1731" s="55" t="str">
        <f>IF($V1731="","",IF(COUNTIF($V$5:$V1731,$V1731)=1,1,""))</f>
        <v/>
      </c>
      <c r="X1731" s="58" t="str">
        <f>IF($W1731="","",MAX($X$4:X1730)+1)</f>
        <v/>
      </c>
      <c r="Y1731" s="62"/>
      <c r="Z1731" s="62"/>
      <c r="AA1731" s="64" t="str">
        <f>IF($C1731="","",IFERROR(INDEX('Staff Directory'!$E$5:$E$594,MATCH($C1731,'Staff Directory'!$B$5:$B$594,0)),""))</f>
        <v>firstname121.lastname121@example.com</v>
      </c>
      <c r="AB1731" s="64" t="str">
        <f>IF($C1731="","",IF(ISNUMBER(SEARCH($D1731,Settings!$C$15)),"Pickup","Dispatch"))</f>
        <v>Pickup</v>
      </c>
      <c r="AC1731" s="64" t="str">
        <f t="shared" si="298"/>
        <v>Supply order ready for pickup</v>
      </c>
      <c r="AD1731" s="64" t="str">
        <f t="shared" si="289"/>
        <v>Dear PSW,
Your order is ready for pickup from Sample Branch, Wed-Fri 9am-4pm.</v>
      </c>
      <c r="AE1731" s="64" t="str">
        <f t="shared" si="290"/>
        <v>mailto:firstname121.lastname121@example.com?subject=Supply%20order%20ready%20for%20pickup&amp;body=Dear%20PSW%2C%0A%0AYour%20order%20is%20ready%20for%20pickup%20from%20Sample%20Branch%2C%20Wed-Fri%209am-4pm.</v>
      </c>
      <c r="AF1731" s="89" t="str">
        <f t="shared" si="299"/>
        <v>Draft email</v>
      </c>
      <c r="AG1731" s="64" t="str">
        <f>IF($C1731="","",IFERROR(INDEX('Staff Directory'!$K$595:$K$599,MATCH($C1731,'Staff Directory'!$B$5:$B$599,0)),$D1731))</f>
        <v>PSW</v>
      </c>
      <c r="AH1731" t="str">
        <f>IF($C1731="","",IFERROR(INDEX('Staff Directory'!$I$595:$I$599,MATCH($C1731,'Staff Directory'!$B$5:$B$599,0))&amp;" "&amp;INDEX('Staff Directory'!$J$595:$J$599,MATCH($C1731,'Staff Directory'!$B$5:$B$599,0)),$AG1731))</f>
        <v>PSW</v>
      </c>
      <c r="AI1731" s="102"/>
      <c r="AJ1731" s="101">
        <f>IF($F1731="","",SUMIFS($J$5:$J1731,$F$5:$F1731,$F1731))</f>
        <v>103500</v>
      </c>
      <c r="AK1731" s="101">
        <f t="shared" si="291"/>
        <v>103001</v>
      </c>
      <c r="AL1731" s="66" t="str" cm="1">
        <f t="array" ref="AL1731">IF($F1731="","",IFERROR(INDEX('Lot Balance'!$B$5:$B$500,MATCH(1,INDEX(('Lot Balance'!$A$5:$A$500=$F1731)*('Lot Balance'!$K$5:$K$500&lt;$AK1731)*('Lot Balance'!$K$5:$K$500+'Lot Balance'!$D$5:$D$500&gt;=$AK1731),0),0)),""))</f>
        <v>ZIM604151579</v>
      </c>
      <c r="AM1731" s="66" t="str" cm="1">
        <f t="array" ref="AM1731">IF($F1731="","",IFERROR(INDEX('Lot Balance'!$B$5:$B$500,MATCH(1,INDEX(('Lot Balance'!$A$5:$A$500=$F1731)*('Lot Balance'!$K$5:$K$500&lt;$AJ1731)*('Lot Balance'!$K$5:$K$500+'Lot Balance'!$D$5:$D$500&gt;=$AJ1731),0),0)),""))</f>
        <v>ZIM604151579</v>
      </c>
      <c r="AN1731" s="66" t="str">
        <f>IF($F1731="","",IF($AI1731&lt;&gt;"",IF(COUNTIFS('Lot Balance'!$A$5:$A$500,$F1731,'Lot Balance'!$B$5:$B$500,$AI1731)=0,"⚠ override is not a lot of this item",IF($AI1731=$AL1731,"Override = FEFO","Override - FEFO says "&amp;$AL1731)),IF($AL1731="","⚠ no receipt on file for this item",IF($AM1731&lt;&gt;$AL1731,"FEFO auto - split, also "&amp;$AM1731,"FEFO auto"))))</f>
        <v>FEFO auto</v>
      </c>
      <c r="AO1731" s="114"/>
    </row>
    <row r="1732" spans="1:41" x14ac:dyDescent="0.35">
      <c r="A1732" s="74">
        <v>46212</v>
      </c>
      <c r="B1732" s="18" t="str">
        <f>IF($C1732="","",IFERROR(INDEX('Staff Directory'!$A$5:$A$594,MATCH($C1732,'Staff Directory'!$B$5:$B$594,0)),"⚠ unknown staff"))</f>
        <v>PSW-061-A5</v>
      </c>
      <c r="C1732" s="49" t="s">
        <v>1037</v>
      </c>
      <c r="D1732" s="19" t="str">
        <f>IF($B1732="","",IFERROR(INDEX('Staff Directory'!$C$5:$C$594,MATCH($B1732,'Staff Directory'!$A$5:$A$594,0)),""))</f>
        <v>PSW</v>
      </c>
      <c r="E1732" s="19" t="str">
        <f>IF($B1732="","",IFERROR(INDEX('Staff Directory'!$D$5:$D$594,MATCH($B1732,'Staff Directory'!$A$5:$A$594,0)),""))</f>
        <v>A5</v>
      </c>
      <c r="F1732" s="9" t="s">
        <v>191</v>
      </c>
      <c r="G1732" s="18" t="str">
        <f>IF($F1732="","",IFERROR(INDEX(Items!$B$5:$B$597,MATCH($F1732,Items!$A$5:$A$597,0)),"⚠ not in Items"))</f>
        <v>Sanitizer</v>
      </c>
      <c r="H1732" s="19" t="str">
        <f>IF($F1732="","",IFERROR(INDEX(Items!$C$5:$C$597,MATCH($F1732,Items!$A$5:$A$597,0)),""))</f>
        <v>236 ML</v>
      </c>
      <c r="I1732" s="23">
        <f>IF($F1732="","",IFERROR(INDEX(Items!$E$5:$E$597,MATCH($F1732,Items!$A$5:$A$597,0)),""))</f>
        <v>1</v>
      </c>
      <c r="J1732" s="115">
        <f>IF(tblIssues[[#This Row],[Qty Override]]&lt;&gt;"",tblIssues[[#This Row],[Qty Override]],IF(tblIssues[[#This Row],[Standard Issue]]="","",tblIssues[[#This Row],[Standard Issue]]))</f>
        <v>1</v>
      </c>
      <c r="K1732" s="20">
        <f>IF($F1732="","",IFERROR(INDEX(Items!$D$5:$D$597,MATCH($F1732,Items!$A$5:$A$597,0)),""))</f>
        <v>1E-4</v>
      </c>
      <c r="L1732" s="21">
        <f t="shared" si="294"/>
        <v>1E-4</v>
      </c>
      <c r="M1732" s="9" t="str">
        <f t="shared" si="292"/>
        <v>20-21734-5</v>
      </c>
      <c r="N1732" s="24">
        <f>IF($A1732="","",WORKDAY($A1732,Settings!$C$9,HolidayDates))</f>
        <v>46220</v>
      </c>
      <c r="O1732" s="24">
        <f>IF($N1732="","",WORKDAY($N1732,Settings!$C$10,HolidayDates))</f>
        <v>46260</v>
      </c>
      <c r="P1732" s="10" t="s">
        <v>501</v>
      </c>
      <c r="Q1732" s="52" t="str">
        <f t="shared" si="295"/>
        <v>Collected</v>
      </c>
      <c r="R1732" s="55" t="str">
        <f t="shared" si="296"/>
        <v>2026-07</v>
      </c>
      <c r="S1732" s="55">
        <f>IF(OR($B1732="",$F1732="",$R1732=""),"",SUMIFS(tblIssues[Qty Issued],tblIssues[Staff ID],$B1732,tblIssues[Item Name],$F1732,tblIssues[Month],$R1732))</f>
        <v>1</v>
      </c>
      <c r="T1732" s="56">
        <f>IF($I1732="","",$I1732*Settings!$C$11)</f>
        <v>1</v>
      </c>
      <c r="U1732" s="57" t="str">
        <f t="shared" si="293"/>
        <v>OK</v>
      </c>
      <c r="V1732" s="55" t="str">
        <f t="shared" si="297"/>
        <v/>
      </c>
      <c r="W1732" s="55" t="str">
        <f>IF($V1732="","",IF(COUNTIF($V$5:$V1732,$V1732)=1,1,""))</f>
        <v/>
      </c>
      <c r="X1732" s="58" t="str">
        <f>IF($W1732="","",MAX($X$4:X1731)+1)</f>
        <v/>
      </c>
      <c r="Y1732" s="62"/>
      <c r="Z1732" s="62"/>
      <c r="AA1732" s="64" t="str">
        <f>IF($C1732="","",IFERROR(INDEX('Staff Directory'!$E$5:$E$594,MATCH($C1732,'Staff Directory'!$B$5:$B$594,0)),""))</f>
        <v>firstname121.lastname121@example.com</v>
      </c>
      <c r="AB1732" s="64" t="str">
        <f>IF($C1732="","",IF(ISNUMBER(SEARCH($D1732,Settings!$C$15)),"Pickup","Dispatch"))</f>
        <v>Pickup</v>
      </c>
      <c r="AC1732" s="64" t="str">
        <f t="shared" si="298"/>
        <v>Supply order ready for pickup</v>
      </c>
      <c r="AD1732" s="64" t="str">
        <f t="shared" si="289"/>
        <v>Dear PSW,
Your order is ready for pickup from Sample Branch, Wed-Fri 9am-4pm.</v>
      </c>
      <c r="AE1732" s="64" t="str">
        <f t="shared" si="290"/>
        <v>mailto:firstname121.lastname121@example.com?subject=Supply%20order%20ready%20for%20pickup&amp;body=Dear%20PSW%2C%0A%0AYour%20order%20is%20ready%20for%20pickup%20from%20Sample%20Branch%2C%20Wed-Fri%209am-4pm.</v>
      </c>
      <c r="AF1732" s="89" t="str">
        <f t="shared" si="299"/>
        <v>Draft email</v>
      </c>
      <c r="AG1732" s="64" t="str">
        <f>IF($C1732="","",IFERROR(INDEX('Staff Directory'!$K$595:$K$599,MATCH($C1732,'Staff Directory'!$B$5:$B$599,0)),$D1732))</f>
        <v>PSW</v>
      </c>
      <c r="AH1732" t="str">
        <f>IF($C1732="","",IFERROR(INDEX('Staff Directory'!$I$595:$I$599,MATCH($C1732,'Staff Directory'!$B$5:$B$599,0))&amp;" "&amp;INDEX('Staff Directory'!$J$595:$J$599,MATCH($C1732,'Staff Directory'!$B$5:$B$599,0)),$AG1732))</f>
        <v>PSW</v>
      </c>
      <c r="AI1732" s="102"/>
      <c r="AJ1732" s="101">
        <f>IF($F1732="","",SUMIFS($J$5:$J1732,$F$5:$F1732,$F1732))</f>
        <v>224</v>
      </c>
      <c r="AK1732" s="101">
        <f t="shared" si="291"/>
        <v>224</v>
      </c>
      <c r="AL1732" s="66" t="str" cm="1">
        <f t="array" ref="AL1732">IF($F1732="","",IFERROR(INDEX('Lot Balance'!$B$5:$B$500,MATCH(1,INDEX(('Lot Balance'!$A$5:$A$500=$F1732)*('Lot Balance'!$K$5:$K$500&lt;$AK1732)*('Lot Balance'!$K$5:$K$500+'Lot Balance'!$D$5:$D$500&gt;=$AK1732),0),0)),""))</f>
        <v>20-21734-5</v>
      </c>
      <c r="AM1732" s="66" t="str" cm="1">
        <f t="array" ref="AM1732">IF($F1732="","",IFERROR(INDEX('Lot Balance'!$B$5:$B$500,MATCH(1,INDEX(('Lot Balance'!$A$5:$A$500=$F1732)*('Lot Balance'!$K$5:$K$500&lt;$AJ1732)*('Lot Balance'!$K$5:$K$500+'Lot Balance'!$D$5:$D$500&gt;=$AJ1732),0),0)),""))</f>
        <v>20-21734-5</v>
      </c>
      <c r="AN1732" s="66" t="str">
        <f>IF($F1732="","",IF($AI1732&lt;&gt;"",IF(COUNTIFS('Lot Balance'!$A$5:$A$500,$F1732,'Lot Balance'!$B$5:$B$500,$AI1732)=0,"⚠ override is not a lot of this item",IF($AI1732=$AL1732,"Override = FEFO","Override - FEFO says "&amp;$AL1732)),IF($AL1732="","⚠ no receipt on file for this item",IF($AM1732&lt;&gt;$AL1732,"FEFO auto - split, also "&amp;$AM1732,"FEFO auto"))))</f>
        <v>FEFO auto</v>
      </c>
      <c r="AO1732" s="114"/>
    </row>
    <row r="1733" spans="1:41" x14ac:dyDescent="0.35">
      <c r="A1733" s="74">
        <v>46212</v>
      </c>
      <c r="B1733" s="18" t="str">
        <f>IF($C1733="","",IFERROR(INDEX('Staff Directory'!$A$5:$A$594,MATCH($C1733,'Staff Directory'!$B$5:$B$594,0)),"⚠ unknown staff"))</f>
        <v>PSW-061-A5</v>
      </c>
      <c r="C1733" s="49" t="s">
        <v>1037</v>
      </c>
      <c r="D1733" s="19" t="str">
        <f>IF($B1733="","",IFERROR(INDEX('Staff Directory'!$C$5:$C$594,MATCH($B1733,'Staff Directory'!$A$5:$A$594,0)),""))</f>
        <v>PSW</v>
      </c>
      <c r="E1733" s="19" t="str">
        <f>IF($B1733="","",IFERROR(INDEX('Staff Directory'!$D$5:$D$594,MATCH($B1733,'Staff Directory'!$A$5:$A$594,0)),""))</f>
        <v>A5</v>
      </c>
      <c r="F1733" s="9" t="s">
        <v>115</v>
      </c>
      <c r="G1733" s="18" t="str">
        <f>IF($F1733="","",IFERROR(INDEX(Items!$B$5:$B$597,MATCH($F1733,Items!$A$5:$A$597,0)),"⚠ not in Items"))</f>
        <v>Wipes</v>
      </c>
      <c r="H1733" s="19">
        <f>IF($F1733="","",IFERROR(INDEX(Items!$C$5:$C$597,MATCH($F1733,Items!$A$5:$A$597,0)),""))</f>
        <v>80</v>
      </c>
      <c r="I1733" s="23">
        <f>IF($F1733="","",IFERROR(INDEX(Items!$E$5:$E$597,MATCH($F1733,Items!$A$5:$A$597,0)),""))</f>
        <v>80</v>
      </c>
      <c r="J1733" s="115">
        <f>IF(tblIssues[[#This Row],[Qty Override]]&lt;&gt;"",tblIssues[[#This Row],[Qty Override]],IF(tblIssues[[#This Row],[Standard Issue]]="","",tblIssues[[#This Row],[Standard Issue]]))</f>
        <v>80</v>
      </c>
      <c r="K1733" s="20">
        <f>IF($F1733="","",IFERROR(INDEX(Items!$D$5:$D$597,MATCH($F1733,Items!$A$5:$A$597,0)),""))</f>
        <v>0.1</v>
      </c>
      <c r="L1733" s="21">
        <f t="shared" si="294"/>
        <v>8</v>
      </c>
      <c r="M1733" s="9" t="str">
        <f t="shared" si="292"/>
        <v>LYSL500290</v>
      </c>
      <c r="N1733" s="24">
        <f>IF($A1733="","",WORKDAY($A1733,Settings!$C$9,HolidayDates))</f>
        <v>46220</v>
      </c>
      <c r="O1733" s="24">
        <f>IF($N1733="","",WORKDAY($N1733,Settings!$C$10,HolidayDates))</f>
        <v>46260</v>
      </c>
      <c r="P1733" s="10" t="s">
        <v>501</v>
      </c>
      <c r="Q1733" s="52" t="str">
        <f t="shared" si="295"/>
        <v>Collected</v>
      </c>
      <c r="R1733" s="55" t="str">
        <f t="shared" si="296"/>
        <v>2026-07</v>
      </c>
      <c r="S1733" s="55">
        <f>IF(OR($B1733="",$F1733="",$R1733=""),"",SUMIFS(tblIssues[Qty Issued],tblIssues[Staff ID],$B1733,tblIssues[Item Name],$F1733,tblIssues[Month],$R1733))</f>
        <v>80</v>
      </c>
      <c r="T1733" s="56">
        <f>IF($I1733="","",$I1733*Settings!$C$11)</f>
        <v>80</v>
      </c>
      <c r="U1733" s="57" t="str">
        <f t="shared" si="293"/>
        <v>OK</v>
      </c>
      <c r="V1733" s="55" t="str">
        <f t="shared" si="297"/>
        <v/>
      </c>
      <c r="W1733" s="55" t="str">
        <f>IF($V1733="","",IF(COUNTIF($V$5:$V1733,$V1733)=1,1,""))</f>
        <v/>
      </c>
      <c r="X1733" s="58" t="str">
        <f>IF($W1733="","",MAX($X$4:X1732)+1)</f>
        <v/>
      </c>
      <c r="Y1733" s="62"/>
      <c r="Z1733" s="62"/>
      <c r="AA1733" s="64" t="str">
        <f>IF($C1733="","",IFERROR(INDEX('Staff Directory'!$E$5:$E$594,MATCH($C1733,'Staff Directory'!$B$5:$B$594,0)),""))</f>
        <v>firstname121.lastname121@example.com</v>
      </c>
      <c r="AB1733" s="64" t="str">
        <f>IF($C1733="","",IF(ISNUMBER(SEARCH($D1733,Settings!$C$15)),"Pickup","Dispatch"))</f>
        <v>Pickup</v>
      </c>
      <c r="AC1733" s="64" t="str">
        <f t="shared" si="298"/>
        <v>Supply order ready for pickup</v>
      </c>
      <c r="AD1733" s="64" t="str">
        <f t="shared" ref="AD1733:AD1796" si="300">IF($AB1733="Pickup","Dear "&amp;$AH1733&amp;","&amp;CHAR(10)&amp;CHAR(10)&amp;"Your order is ready for pickup from Sample Branch, Wed-Fri 9am-4pm.",IF($AB1733="Dispatch","Dear "&amp;$AH1733&amp;","&amp;CHAR(10)&amp;CHAR(10)&amp;"Your order has been dispatched and is in transit. Reply if undelivered.",""))</f>
        <v>Dear PSW,
Your order is ready for pickup from Sample Branch, Wed-Fri 9am-4pm.</v>
      </c>
      <c r="AE1733" s="64" t="str">
        <f t="shared" ref="AE1733:AE1796" si="301">IF(OR($AA1733="",$AC1733=""),"","mailto:"&amp;$AA1733&amp;"?subject="&amp;_xlfn.ENCODEURL($AC1733)&amp;"&amp;body="&amp;_xlfn.ENCODEURL($AD1733))</f>
        <v>mailto:firstname121.lastname121@example.com?subject=Supply%20order%20ready%20for%20pickup&amp;body=Dear%20PSW%2C%0A%0AYour%20order%20is%20ready%20for%20pickup%20from%20Sample%20Branch%2C%20Wed-Fri%209am-4pm.</v>
      </c>
      <c r="AF1733" s="89" t="str">
        <f t="shared" si="299"/>
        <v>Draft email</v>
      </c>
      <c r="AG1733" s="64" t="str">
        <f>IF($C1733="","",IFERROR(INDEX('Staff Directory'!$K$595:$K$599,MATCH($C1733,'Staff Directory'!$B$5:$B$599,0)),$D1733))</f>
        <v>PSW</v>
      </c>
      <c r="AH1733" t="str">
        <f>IF($C1733="","",IFERROR(INDEX('Staff Directory'!$I$595:$I$599,MATCH($C1733,'Staff Directory'!$B$5:$B$599,0))&amp;" "&amp;INDEX('Staff Directory'!$J$595:$J$599,MATCH($C1733,'Staff Directory'!$B$5:$B$599,0)),$AG1733))</f>
        <v>PSW</v>
      </c>
      <c r="AI1733" s="102"/>
      <c r="AJ1733" s="101">
        <f>IF($F1733="","",SUMIFS($J$5:$J1733,$F$5:$F1733,$F1733))</f>
        <v>23040</v>
      </c>
      <c r="AK1733" s="101">
        <f t="shared" ref="AK1733:AK1796" si="302">IF($F1733="","",MAX(1,$AJ1733-MAX($J1733,0)+1))</f>
        <v>22961</v>
      </c>
      <c r="AL1733" s="66" t="str" cm="1">
        <f t="array" ref="AL1733">IF($F1733="","",IFERROR(INDEX('Lot Balance'!$B$5:$B$500,MATCH(1,INDEX(('Lot Balance'!$A$5:$A$500=$F1733)*('Lot Balance'!$K$5:$K$500&lt;$AK1733)*('Lot Balance'!$K$5:$K$500+'Lot Balance'!$D$5:$D$500&gt;=$AK1733),0),0)),""))</f>
        <v>LYSL500290</v>
      </c>
      <c r="AM1733" s="66" t="str" cm="1">
        <f t="array" ref="AM1733">IF($F1733="","",IFERROR(INDEX('Lot Balance'!$B$5:$B$500,MATCH(1,INDEX(('Lot Balance'!$A$5:$A$500=$F1733)*('Lot Balance'!$K$5:$K$500&lt;$AJ1733)*('Lot Balance'!$K$5:$K$500+'Lot Balance'!$D$5:$D$500&gt;=$AJ1733),0),0)),""))</f>
        <v>LYSL500290</v>
      </c>
      <c r="AN1733" s="66" t="str">
        <f>IF($F1733="","",IF($AI1733&lt;&gt;"",IF(COUNTIFS('Lot Balance'!$A$5:$A$500,$F1733,'Lot Balance'!$B$5:$B$500,$AI1733)=0,"⚠ override is not a lot of this item",IF($AI1733=$AL1733,"Override = FEFO","Override - FEFO says "&amp;$AL1733)),IF($AL1733="","⚠ no receipt on file for this item",IF($AM1733&lt;&gt;$AL1733,"FEFO auto - split, also "&amp;$AM1733,"FEFO auto"))))</f>
        <v>FEFO auto</v>
      </c>
      <c r="AO1733" s="114"/>
    </row>
    <row r="1734" spans="1:41" x14ac:dyDescent="0.35">
      <c r="A1734" s="74">
        <v>46212</v>
      </c>
      <c r="B1734" s="18" t="str">
        <f>IF($C1734="","",IFERROR(INDEX('Staff Directory'!$A$5:$A$594,MATCH($C1734,'Staff Directory'!$B$5:$B$594,0)),"⚠ unknown staff"))</f>
        <v>PSW-061-A5</v>
      </c>
      <c r="C1734" s="49" t="s">
        <v>1037</v>
      </c>
      <c r="D1734" s="19" t="str">
        <f>IF($B1734="","",IFERROR(INDEX('Staff Directory'!$C$5:$C$594,MATCH($B1734,'Staff Directory'!$A$5:$A$594,0)),""))</f>
        <v>PSW</v>
      </c>
      <c r="E1734" s="19" t="str">
        <f>IF($B1734="","",IFERROR(INDEX('Staff Directory'!$D$5:$D$594,MATCH($B1734,'Staff Directory'!$A$5:$A$594,0)),""))</f>
        <v>A5</v>
      </c>
      <c r="F1734" s="9" t="s">
        <v>156</v>
      </c>
      <c r="G1734" s="18" t="str">
        <f>IF($F1734="","",IFERROR(INDEX(Items!$B$5:$B$597,MATCH($F1734,Items!$A$5:$A$597,0)),"⚠ not in Items"))</f>
        <v>Masks</v>
      </c>
      <c r="H1734" s="19" t="str">
        <f>IF($F1734="","",IFERROR(INDEX(Items!$C$5:$C$597,MATCH($F1734,Items!$A$5:$A$597,0)),""))</f>
        <v>One Size</v>
      </c>
      <c r="I1734" s="23">
        <f>IF($F1734="","",IFERROR(INDEX(Items!$E$5:$E$597,MATCH($F1734,Items!$A$5:$A$597,0)),""))</f>
        <v>50</v>
      </c>
      <c r="J1734" s="115">
        <f>IF(tblIssues[[#This Row],[Qty Override]]&lt;&gt;"",tblIssues[[#This Row],[Qty Override]],IF(tblIssues[[#This Row],[Standard Issue]]="","",tblIssues[[#This Row],[Standard Issue]]))</f>
        <v>50</v>
      </c>
      <c r="K1734" s="20">
        <f>IF($F1734="","",IFERROR(INDEX(Items!$D$5:$D$597,MATCH($F1734,Items!$A$5:$A$597,0)),""))</f>
        <v>0.25</v>
      </c>
      <c r="L1734" s="21">
        <f t="shared" si="294"/>
        <v>12.5</v>
      </c>
      <c r="M1734" s="9" t="str">
        <f t="shared" ref="M1734:M1797" si="303">IF($F1734="","",IF($AI1734&lt;&gt;"",$AI1734,$AL1734))</f>
        <v>24HA2050A7396</v>
      </c>
      <c r="N1734" s="24">
        <f>IF($A1734="","",WORKDAY($A1734,Settings!$C$9,HolidayDates))</f>
        <v>46220</v>
      </c>
      <c r="O1734" s="24">
        <f>IF($N1734="","",WORKDAY($N1734,Settings!$C$10,HolidayDates))</f>
        <v>46260</v>
      </c>
      <c r="P1734" s="10" t="s">
        <v>501</v>
      </c>
      <c r="Q1734" s="52" t="str">
        <f t="shared" si="295"/>
        <v>Collected</v>
      </c>
      <c r="R1734" s="55" t="str">
        <f t="shared" si="296"/>
        <v>2026-07</v>
      </c>
      <c r="S1734" s="55">
        <f>IF(OR($B1734="",$F1734="",$R1734=""),"",SUMIFS(tblIssues[Qty Issued],tblIssues[Staff ID],$B1734,tblIssues[Item Name],$F1734,tblIssues[Month],$R1734))</f>
        <v>50</v>
      </c>
      <c r="T1734" s="56">
        <f>IF($I1734="","",$I1734*Settings!$C$11)</f>
        <v>50</v>
      </c>
      <c r="U1734" s="57" t="str">
        <f t="shared" ref="U1734:U1797" si="304">IF(OR($S1734="",$T1734=""),"",IF($S1734&gt;$T1734,IF($Y1734="Approved","APPROVED BY TL","⚠ OVER QUOTA"),"OK"))</f>
        <v>OK</v>
      </c>
      <c r="V1734" s="55" t="str">
        <f t="shared" si="297"/>
        <v/>
      </c>
      <c r="W1734" s="55" t="str">
        <f>IF($V1734="","",IF(COUNTIF($V$5:$V1734,$V1734)=1,1,""))</f>
        <v/>
      </c>
      <c r="X1734" s="58" t="str">
        <f>IF($W1734="","",MAX($X$4:X1733)+1)</f>
        <v/>
      </c>
      <c r="Y1734" s="62"/>
      <c r="Z1734" s="62"/>
      <c r="AA1734" s="64" t="str">
        <f>IF($C1734="","",IFERROR(INDEX('Staff Directory'!$E$5:$E$594,MATCH($C1734,'Staff Directory'!$B$5:$B$594,0)),""))</f>
        <v>firstname121.lastname121@example.com</v>
      </c>
      <c r="AB1734" s="64" t="str">
        <f>IF($C1734="","",IF(ISNUMBER(SEARCH($D1734,Settings!$C$15)),"Pickup","Dispatch"))</f>
        <v>Pickup</v>
      </c>
      <c r="AC1734" s="64" t="str">
        <f t="shared" si="298"/>
        <v>Supply order ready for pickup</v>
      </c>
      <c r="AD1734" s="64" t="str">
        <f t="shared" si="300"/>
        <v>Dear PSW,
Your order is ready for pickup from Sample Branch, Wed-Fri 9am-4pm.</v>
      </c>
      <c r="AE1734" s="64" t="str">
        <f t="shared" si="301"/>
        <v>mailto:firstname121.lastname121@example.com?subject=Supply%20order%20ready%20for%20pickup&amp;body=Dear%20PSW%2C%0A%0AYour%20order%20is%20ready%20for%20pickup%20from%20Sample%20Branch%2C%20Wed-Fri%209am-4pm.</v>
      </c>
      <c r="AF1734" s="89" t="str">
        <f t="shared" si="299"/>
        <v>Draft email</v>
      </c>
      <c r="AG1734" s="64" t="str">
        <f>IF($C1734="","",IFERROR(INDEX('Staff Directory'!$K$595:$K$599,MATCH($C1734,'Staff Directory'!$B$5:$B$599,0)),$D1734))</f>
        <v>PSW</v>
      </c>
      <c r="AH1734" t="str">
        <f>IF($C1734="","",IFERROR(INDEX('Staff Directory'!$I$595:$I$599,MATCH($C1734,'Staff Directory'!$B$5:$B$599,0))&amp;" "&amp;INDEX('Staff Directory'!$J$595:$J$599,MATCH($C1734,'Staff Directory'!$B$5:$B$599,0)),$AG1734))</f>
        <v>PSW</v>
      </c>
      <c r="AI1734" s="102"/>
      <c r="AJ1734" s="101">
        <f>IF($F1734="","",SUMIFS($J$5:$J1734,$F$5:$F1734,$F1734))</f>
        <v>14200</v>
      </c>
      <c r="AK1734" s="101">
        <f t="shared" si="302"/>
        <v>14151</v>
      </c>
      <c r="AL1734" s="66" t="str" cm="1">
        <f t="array" ref="AL1734">IF($F1734="","",IFERROR(INDEX('Lot Balance'!$B$5:$B$500,MATCH(1,INDEX(('Lot Balance'!$A$5:$A$500=$F1734)*('Lot Balance'!$K$5:$K$500&lt;$AK1734)*('Lot Balance'!$K$5:$K$500+'Lot Balance'!$D$5:$D$500&gt;=$AK1734),0),0)),""))</f>
        <v>24HA2050A7396</v>
      </c>
      <c r="AM1734" s="66" t="str" cm="1">
        <f t="array" ref="AM1734">IF($F1734="","",IFERROR(INDEX('Lot Balance'!$B$5:$B$500,MATCH(1,INDEX(('Lot Balance'!$A$5:$A$500=$F1734)*('Lot Balance'!$K$5:$K$500&lt;$AJ1734)*('Lot Balance'!$K$5:$K$500+'Lot Balance'!$D$5:$D$500&gt;=$AJ1734),0),0)),""))</f>
        <v>24HA2050A7396</v>
      </c>
      <c r="AN1734" s="66" t="str">
        <f>IF($F1734="","",IF($AI1734&lt;&gt;"",IF(COUNTIFS('Lot Balance'!$A$5:$A$500,$F1734,'Lot Balance'!$B$5:$B$500,$AI1734)=0,"⚠ override is not a lot of this item",IF($AI1734=$AL1734,"Override = FEFO","Override - FEFO says "&amp;$AL1734)),IF($AL1734="","⚠ no receipt on file for this item",IF($AM1734&lt;&gt;$AL1734,"FEFO auto - split, also "&amp;$AM1734,"FEFO auto"))))</f>
        <v>FEFO auto</v>
      </c>
      <c r="AO1734" s="114"/>
    </row>
    <row r="1735" spans="1:41" x14ac:dyDescent="0.35">
      <c r="A1735" s="74">
        <v>46212</v>
      </c>
      <c r="B1735" s="18" t="str">
        <f>IF($C1735="","",IFERROR(INDEX('Staff Directory'!$A$5:$A$594,MATCH($C1735,'Staff Directory'!$B$5:$B$594,0)),"⚠ unknown staff"))</f>
        <v>PSW-061-A5</v>
      </c>
      <c r="C1735" s="49" t="s">
        <v>1037</v>
      </c>
      <c r="D1735" s="19" t="str">
        <f>IF($B1735="","",IFERROR(INDEX('Staff Directory'!$C$5:$C$594,MATCH($B1735,'Staff Directory'!$A$5:$A$594,0)),""))</f>
        <v>PSW</v>
      </c>
      <c r="E1735" s="19" t="str">
        <f>IF($B1735="","",IFERROR(INDEX('Staff Directory'!$D$5:$D$594,MATCH($B1735,'Staff Directory'!$A$5:$A$594,0)),""))</f>
        <v>A5</v>
      </c>
      <c r="F1735" s="9" t="s">
        <v>758</v>
      </c>
      <c r="G1735" s="18" t="str">
        <f>IF($F1735="","",IFERROR(INDEX(Items!$B$5:$B$597,MATCH($F1735,Items!$A$5:$A$597,0)),"⚠ not in Items"))</f>
        <v>Utility</v>
      </c>
      <c r="H1735" s="19" t="str">
        <f>IF($F1735="","",IFERROR(INDEX(Items!$C$5:$C$597,MATCH($F1735,Items!$A$5:$A$597,0)),""))</f>
        <v>Standard</v>
      </c>
      <c r="I1735" s="23">
        <f>IF($F1735="","",IFERROR(INDEX(Items!$E$5:$E$597,MATCH($F1735,Items!$A$5:$A$597,0)),""))</f>
        <v>1</v>
      </c>
      <c r="J1735" s="115">
        <f>IF(tblIssues[[#This Row],[Qty Override]]&lt;&gt;"",tblIssues[[#This Row],[Qty Override]],IF(tblIssues[[#This Row],[Standard Issue]]="","",tblIssues[[#This Row],[Standard Issue]]))</f>
        <v>1</v>
      </c>
      <c r="K1735" s="20">
        <f>IF($F1735="","",IFERROR(INDEX(Items!$D$5:$D$597,MATCH($F1735,Items!$A$5:$A$597,0)),""))</f>
        <v>0</v>
      </c>
      <c r="L1735" s="21">
        <f t="shared" si="294"/>
        <v>0</v>
      </c>
      <c r="M1735" s="9" t="str">
        <f t="shared" si="303"/>
        <v/>
      </c>
      <c r="N1735" s="24">
        <f>IF($A1735="","",WORKDAY($A1735,Settings!$C$9,HolidayDates))</f>
        <v>46220</v>
      </c>
      <c r="O1735" s="24">
        <f>IF($N1735="","",WORKDAY($N1735,Settings!$C$10,HolidayDates))</f>
        <v>46260</v>
      </c>
      <c r="P1735" s="10" t="s">
        <v>501</v>
      </c>
      <c r="Q1735" s="52" t="str">
        <f t="shared" si="295"/>
        <v>Collected</v>
      </c>
      <c r="R1735" s="55" t="str">
        <f t="shared" si="296"/>
        <v>2026-07</v>
      </c>
      <c r="S1735" s="55">
        <f>IF(OR($B1735="",$F1735="",$R1735=""),"",SUMIFS(tblIssues[Qty Issued],tblIssues[Staff ID],$B1735,tblIssues[Item Name],$F1735,tblIssues[Month],$R1735))</f>
        <v>1</v>
      </c>
      <c r="T1735" s="56">
        <f>IF($I1735="","",$I1735*Settings!$C$11)</f>
        <v>1</v>
      </c>
      <c r="U1735" s="57" t="str">
        <f t="shared" si="304"/>
        <v>OK</v>
      </c>
      <c r="V1735" s="55" t="str">
        <f t="shared" si="297"/>
        <v/>
      </c>
      <c r="W1735" s="55" t="str">
        <f>IF($V1735="","",IF(COUNTIF($V$5:$V1735,$V1735)=1,1,""))</f>
        <v/>
      </c>
      <c r="X1735" s="58" t="str">
        <f>IF($W1735="","",MAX($X$4:X1734)+1)</f>
        <v/>
      </c>
      <c r="Y1735" s="62"/>
      <c r="Z1735" s="62"/>
      <c r="AA1735" s="64" t="str">
        <f>IF($C1735="","",IFERROR(INDEX('Staff Directory'!$E$5:$E$594,MATCH($C1735,'Staff Directory'!$B$5:$B$594,0)),""))</f>
        <v>firstname121.lastname121@example.com</v>
      </c>
      <c r="AB1735" s="64" t="str">
        <f>IF($C1735="","",IF(ISNUMBER(SEARCH($D1735,Settings!$C$15)),"Pickup","Dispatch"))</f>
        <v>Pickup</v>
      </c>
      <c r="AC1735" s="64" t="str">
        <f t="shared" si="298"/>
        <v>Supply order ready for pickup</v>
      </c>
      <c r="AD1735" s="64" t="str">
        <f t="shared" si="300"/>
        <v>Dear PSW,
Your order is ready for pickup from Sample Branch, Wed-Fri 9am-4pm.</v>
      </c>
      <c r="AE1735" s="64" t="str">
        <f t="shared" si="301"/>
        <v>mailto:firstname121.lastname121@example.com?subject=Supply%20order%20ready%20for%20pickup&amp;body=Dear%20PSW%2C%0A%0AYour%20order%20is%20ready%20for%20pickup%20from%20Sample%20Branch%2C%20Wed-Fri%209am-4pm.</v>
      </c>
      <c r="AF1735" s="89" t="str">
        <f t="shared" si="299"/>
        <v>Draft email</v>
      </c>
      <c r="AG1735" s="64" t="str">
        <f>IF($C1735="","",IFERROR(INDEX('Staff Directory'!$K$595:$K$599,MATCH($C1735,'Staff Directory'!$B$5:$B$599,0)),$D1735))</f>
        <v>PSW</v>
      </c>
      <c r="AH1735" t="str">
        <f>IF($C1735="","",IFERROR(INDEX('Staff Directory'!$I$595:$I$599,MATCH($C1735,'Staff Directory'!$B$5:$B$599,0))&amp;" "&amp;INDEX('Staff Directory'!$J$595:$J$599,MATCH($C1735,'Staff Directory'!$B$5:$B$599,0)),$AG1735))</f>
        <v>PSW</v>
      </c>
      <c r="AI1735" s="102"/>
      <c r="AJ1735" s="101">
        <f>IF($F1735="","",SUMIFS($J$5:$J1735,$F$5:$F1735,$F1735))</f>
        <v>61</v>
      </c>
      <c r="AK1735" s="101">
        <f t="shared" si="302"/>
        <v>61</v>
      </c>
      <c r="AL1735" s="66" t="str" cm="1">
        <f t="array" ref="AL1735">IF($F1735="","",IFERROR(INDEX('Lot Balance'!$B$5:$B$500,MATCH(1,INDEX(('Lot Balance'!$A$5:$A$500=$F1735)*('Lot Balance'!$K$5:$K$500&lt;$AK1735)*('Lot Balance'!$K$5:$K$500+'Lot Balance'!$D$5:$D$500&gt;=$AK1735),0),0)),""))</f>
        <v/>
      </c>
      <c r="AM1735" s="66" t="str" cm="1">
        <f t="array" ref="AM1735">IF($F1735="","",IFERROR(INDEX('Lot Balance'!$B$5:$B$500,MATCH(1,INDEX(('Lot Balance'!$A$5:$A$500=$F1735)*('Lot Balance'!$K$5:$K$500&lt;$AJ1735)*('Lot Balance'!$K$5:$K$500+'Lot Balance'!$D$5:$D$500&gt;=$AJ1735),0),0)),""))</f>
        <v/>
      </c>
      <c r="AN1735" s="66" t="str">
        <f>IF($F1735="","",IF($AI1735&lt;&gt;"",IF(COUNTIFS('Lot Balance'!$A$5:$A$500,$F1735,'Lot Balance'!$B$5:$B$500,$AI1735)=0,"⚠ override is not a lot of this item",IF($AI1735=$AL1735,"Override = FEFO","Override - FEFO says "&amp;$AL1735)),IF($AL1735="","⚠ no receipt on file for this item",IF($AM1735&lt;&gt;$AL1735,"FEFO auto - split, also "&amp;$AM1735,"FEFO auto"))))</f>
        <v>⚠ no receipt on file for this item</v>
      </c>
      <c r="AO1735" s="114"/>
    </row>
    <row r="1736" spans="1:41" x14ac:dyDescent="0.35">
      <c r="A1736" s="74">
        <v>46212</v>
      </c>
      <c r="B1736" s="18" t="str">
        <f>IF($C1736="","",IFERROR(INDEX('Staff Directory'!$A$5:$A$594,MATCH($C1736,'Staff Directory'!$B$5:$B$594,0)),"⚠ unknown staff"))</f>
        <v>PSW-108-A4</v>
      </c>
      <c r="C1736" s="49" t="s">
        <v>1086</v>
      </c>
      <c r="D1736" s="19" t="str">
        <f>IF($B1736="","",IFERROR(INDEX('Staff Directory'!$C$5:$C$594,MATCH($B1736,'Staff Directory'!$A$5:$A$594,0)),""))</f>
        <v>PSW</v>
      </c>
      <c r="E1736" s="19" t="str">
        <f>IF($B1736="","",IFERROR(INDEX('Staff Directory'!$D$5:$D$594,MATCH($B1736,'Staff Directory'!$A$5:$A$594,0)),""))</f>
        <v>A4</v>
      </c>
      <c r="F1736" s="9" t="s">
        <v>124</v>
      </c>
      <c r="G1736" s="18" t="str">
        <f>IF($F1736="","",IFERROR(INDEX(Items!$B$5:$B$597,MATCH($F1736,Items!$A$5:$A$597,0)),"⚠ not in Items"))</f>
        <v>Gloves</v>
      </c>
      <c r="H1736" s="19" t="str">
        <f>IF($F1736="","",IFERROR(INDEX(Items!$C$5:$C$597,MATCH($F1736,Items!$A$5:$A$597,0)),""))</f>
        <v>Large</v>
      </c>
      <c r="I1736" s="23">
        <f>IF($F1736="","",IFERROR(INDEX(Items!$E$5:$E$597,MATCH($F1736,Items!$A$5:$A$597,0)),""))</f>
        <v>500</v>
      </c>
      <c r="J1736" s="115">
        <f>IF(tblIssues[[#This Row],[Qty Override]]&lt;&gt;"",tblIssues[[#This Row],[Qty Override]],IF(tblIssues[[#This Row],[Standard Issue]]="","",tblIssues[[#This Row],[Standard Issue]]))</f>
        <v>500</v>
      </c>
      <c r="K1736" s="20">
        <f>IF($F1736="","",IFERROR(INDEX(Items!$D$5:$D$597,MATCH($F1736,Items!$A$5:$A$597,0)),""))</f>
        <v>5.5E-2</v>
      </c>
      <c r="L1736" s="21">
        <f t="shared" ref="L1736:L1799" si="305">IF(OR($J1736="",$K1736=""),"",$J1736*$K1736)</f>
        <v>27.5</v>
      </c>
      <c r="M1736" s="9" t="str">
        <f t="shared" si="303"/>
        <v>ZIM511139904-3</v>
      </c>
      <c r="N1736" s="24">
        <f>IF($A1736="","",WORKDAY($A1736,Settings!$C$9,HolidayDates))</f>
        <v>46220</v>
      </c>
      <c r="O1736" s="24">
        <f>IF($N1736="","",WORKDAY($N1736,Settings!$C$10,HolidayDates))</f>
        <v>46260</v>
      </c>
      <c r="P1736" s="10" t="s">
        <v>501</v>
      </c>
      <c r="Q1736" s="52" t="str">
        <f t="shared" si="295"/>
        <v>Collected</v>
      </c>
      <c r="R1736" s="55" t="str">
        <f t="shared" si="296"/>
        <v>2026-07</v>
      </c>
      <c r="S1736" s="55">
        <f>IF(OR($B1736="",$F1736="",$R1736=""),"",SUMIFS(tblIssues[Qty Issued],tblIssues[Staff ID],$B1736,tblIssues[Item Name],$F1736,tblIssues[Month],$R1736))</f>
        <v>500</v>
      </c>
      <c r="T1736" s="56">
        <f>IF($I1736="","",$I1736*Settings!$C$11)</f>
        <v>500</v>
      </c>
      <c r="U1736" s="57" t="str">
        <f t="shared" si="304"/>
        <v>OK</v>
      </c>
      <c r="V1736" s="55" t="str">
        <f t="shared" si="297"/>
        <v/>
      </c>
      <c r="W1736" s="55" t="str">
        <f>IF($V1736="","",IF(COUNTIF($V$5:$V1736,$V1736)=1,1,""))</f>
        <v/>
      </c>
      <c r="X1736" s="58" t="str">
        <f>IF($W1736="","",MAX($X$4:X1735)+1)</f>
        <v/>
      </c>
      <c r="Y1736" s="62"/>
      <c r="Z1736" s="62"/>
      <c r="AA1736" s="64" t="str">
        <f>IF($C1736="","",IFERROR(INDEX('Staff Directory'!$E$5:$E$594,MATCH($C1736,'Staff Directory'!$B$5:$B$594,0)),""))</f>
        <v>firstname170.lastname170@example.com</v>
      </c>
      <c r="AB1736" s="64" t="str">
        <f>IF($C1736="","",IF(ISNUMBER(SEARCH($D1736,Settings!$C$15)),"Pickup","Dispatch"))</f>
        <v>Pickup</v>
      </c>
      <c r="AC1736" s="64" t="str">
        <f t="shared" si="298"/>
        <v>Supply order ready for pickup</v>
      </c>
      <c r="AD1736" s="64" t="str">
        <f t="shared" si="300"/>
        <v>Dear PSW,
Your order is ready for pickup from Sample Branch, Wed-Fri 9am-4pm.</v>
      </c>
      <c r="AE1736" s="64" t="str">
        <f t="shared" si="301"/>
        <v>mailto:firstname170.lastname170@example.com?subject=Supply%20order%20ready%20for%20pickup&amp;body=Dear%20PSW%2C%0A%0AYour%20order%20is%20ready%20for%20pickup%20from%20Sample%20Branch%2C%20Wed-Fri%209am-4pm.</v>
      </c>
      <c r="AF1736" s="89" t="str">
        <f t="shared" si="299"/>
        <v>Draft email</v>
      </c>
      <c r="AG1736" s="64" t="str">
        <f>IF($C1736="","",IFERROR(INDEX('Staff Directory'!$K$595:$K$599,MATCH($C1736,'Staff Directory'!$B$5:$B$599,0)),$D1736))</f>
        <v>PSW</v>
      </c>
      <c r="AH1736" t="str">
        <f>IF($C1736="","",IFERROR(INDEX('Staff Directory'!$I$595:$I$599,MATCH($C1736,'Staff Directory'!$B$5:$B$599,0))&amp;" "&amp;INDEX('Staff Directory'!$J$595:$J$599,MATCH($C1736,'Staff Directory'!$B$5:$B$599,0)),$AG1736))</f>
        <v>PSW</v>
      </c>
      <c r="AI1736" s="102"/>
      <c r="AJ1736" s="101">
        <f>IF($F1736="","",SUMIFS($J$5:$J1736,$F$5:$F1736,$F1736))</f>
        <v>45500</v>
      </c>
      <c r="AK1736" s="101">
        <f t="shared" si="302"/>
        <v>45001</v>
      </c>
      <c r="AL1736" s="66" t="str" cm="1">
        <f t="array" ref="AL1736">IF($F1736="","",IFERROR(INDEX('Lot Balance'!$B$5:$B$500,MATCH(1,INDEX(('Lot Balance'!$A$5:$A$500=$F1736)*('Lot Balance'!$K$5:$K$500&lt;$AK1736)*('Lot Balance'!$K$5:$K$500+'Lot Balance'!$D$5:$D$500&gt;=$AK1736),0),0)),""))</f>
        <v>ZIM511139904-3</v>
      </c>
      <c r="AM1736" s="66" t="str" cm="1">
        <f t="array" ref="AM1736">IF($F1736="","",IFERROR(INDEX('Lot Balance'!$B$5:$B$500,MATCH(1,INDEX(('Lot Balance'!$A$5:$A$500=$F1736)*('Lot Balance'!$K$5:$K$500&lt;$AJ1736)*('Lot Balance'!$K$5:$K$500+'Lot Balance'!$D$5:$D$500&gt;=$AJ1736),0),0)),""))</f>
        <v>ZIM511139904-3</v>
      </c>
      <c r="AN1736" s="66" t="str">
        <f>IF($F1736="","",IF($AI1736&lt;&gt;"",IF(COUNTIFS('Lot Balance'!$A$5:$A$500,$F1736,'Lot Balance'!$B$5:$B$500,$AI1736)=0,"⚠ override is not a lot of this item",IF($AI1736=$AL1736,"Override = FEFO","Override - FEFO says "&amp;$AL1736)),IF($AL1736="","⚠ no receipt on file for this item",IF($AM1736&lt;&gt;$AL1736,"FEFO auto - split, also "&amp;$AM1736,"FEFO auto"))))</f>
        <v>FEFO auto</v>
      </c>
      <c r="AO1736" s="114"/>
    </row>
    <row r="1737" spans="1:41" x14ac:dyDescent="0.35">
      <c r="A1737" s="74">
        <v>46212</v>
      </c>
      <c r="B1737" s="18" t="str">
        <f>IF($C1737="","",IFERROR(INDEX('Staff Directory'!$A$5:$A$594,MATCH($C1737,'Staff Directory'!$B$5:$B$594,0)),"⚠ unknown staff"))</f>
        <v>PSW-108-A4</v>
      </c>
      <c r="C1737" s="49" t="s">
        <v>1086</v>
      </c>
      <c r="D1737" s="19" t="str">
        <f>IF($B1737="","",IFERROR(INDEX('Staff Directory'!$C$5:$C$594,MATCH($B1737,'Staff Directory'!$A$5:$A$594,0)),""))</f>
        <v>PSW</v>
      </c>
      <c r="E1737" s="19" t="str">
        <f>IF($B1737="","",IFERROR(INDEX('Staff Directory'!$D$5:$D$594,MATCH($B1737,'Staff Directory'!$A$5:$A$594,0)),""))</f>
        <v>A4</v>
      </c>
      <c r="F1737" s="9" t="s">
        <v>191</v>
      </c>
      <c r="G1737" s="18" t="str">
        <f>IF($F1737="","",IFERROR(INDEX(Items!$B$5:$B$597,MATCH($F1737,Items!$A$5:$A$597,0)),"⚠ not in Items"))</f>
        <v>Sanitizer</v>
      </c>
      <c r="H1737" s="19" t="str">
        <f>IF($F1737="","",IFERROR(INDEX(Items!$C$5:$C$597,MATCH($F1737,Items!$A$5:$A$597,0)),""))</f>
        <v>236 ML</v>
      </c>
      <c r="I1737" s="23">
        <f>IF($F1737="","",IFERROR(INDEX(Items!$E$5:$E$597,MATCH($F1737,Items!$A$5:$A$597,0)),""))</f>
        <v>1</v>
      </c>
      <c r="J1737" s="115">
        <f>IF(tblIssues[[#This Row],[Qty Override]]&lt;&gt;"",tblIssues[[#This Row],[Qty Override]],IF(tblIssues[[#This Row],[Standard Issue]]="","",tblIssues[[#This Row],[Standard Issue]]))</f>
        <v>1</v>
      </c>
      <c r="K1737" s="20">
        <f>IF($F1737="","",IFERROR(INDEX(Items!$D$5:$D$597,MATCH($F1737,Items!$A$5:$A$597,0)),""))</f>
        <v>1E-4</v>
      </c>
      <c r="L1737" s="21">
        <f t="shared" si="305"/>
        <v>1E-4</v>
      </c>
      <c r="M1737" s="9" t="str">
        <f t="shared" si="303"/>
        <v>20-21734-5</v>
      </c>
      <c r="N1737" s="24">
        <f>IF($A1737="","",WORKDAY($A1737,Settings!$C$9,HolidayDates))</f>
        <v>46220</v>
      </c>
      <c r="O1737" s="24">
        <f>IF($N1737="","",WORKDAY($N1737,Settings!$C$10,HolidayDates))</f>
        <v>46260</v>
      </c>
      <c r="P1737" s="10" t="s">
        <v>501</v>
      </c>
      <c r="Q1737" s="52" t="str">
        <f t="shared" si="295"/>
        <v>Collected</v>
      </c>
      <c r="R1737" s="55" t="str">
        <f t="shared" si="296"/>
        <v>2026-07</v>
      </c>
      <c r="S1737" s="55">
        <f>IF(OR($B1737="",$F1737="",$R1737=""),"",SUMIFS(tblIssues[Qty Issued],tblIssues[Staff ID],$B1737,tblIssues[Item Name],$F1737,tblIssues[Month],$R1737))</f>
        <v>1</v>
      </c>
      <c r="T1737" s="56">
        <f>IF($I1737="","",$I1737*Settings!$C$11)</f>
        <v>1</v>
      </c>
      <c r="U1737" s="57" t="str">
        <f t="shared" si="304"/>
        <v>OK</v>
      </c>
      <c r="V1737" s="55" t="str">
        <f t="shared" si="297"/>
        <v/>
      </c>
      <c r="W1737" s="55" t="str">
        <f>IF($V1737="","",IF(COUNTIF($V$5:$V1737,$V1737)=1,1,""))</f>
        <v/>
      </c>
      <c r="X1737" s="58" t="str">
        <f>IF($W1737="","",MAX($X$4:X1736)+1)</f>
        <v/>
      </c>
      <c r="Y1737" s="62"/>
      <c r="Z1737" s="62"/>
      <c r="AA1737" s="64" t="str">
        <f>IF($C1737="","",IFERROR(INDEX('Staff Directory'!$E$5:$E$594,MATCH($C1737,'Staff Directory'!$B$5:$B$594,0)),""))</f>
        <v>firstname170.lastname170@example.com</v>
      </c>
      <c r="AB1737" s="64" t="str">
        <f>IF($C1737="","",IF(ISNUMBER(SEARCH($D1737,Settings!$C$15)),"Pickup","Dispatch"))</f>
        <v>Pickup</v>
      </c>
      <c r="AC1737" s="64" t="str">
        <f t="shared" si="298"/>
        <v>Supply order ready for pickup</v>
      </c>
      <c r="AD1737" s="64" t="str">
        <f t="shared" si="300"/>
        <v>Dear PSW,
Your order is ready for pickup from Sample Branch, Wed-Fri 9am-4pm.</v>
      </c>
      <c r="AE1737" s="64" t="str">
        <f t="shared" si="301"/>
        <v>mailto:firstname170.lastname170@example.com?subject=Supply%20order%20ready%20for%20pickup&amp;body=Dear%20PSW%2C%0A%0AYour%20order%20is%20ready%20for%20pickup%20from%20Sample%20Branch%2C%20Wed-Fri%209am-4pm.</v>
      </c>
      <c r="AF1737" s="89" t="str">
        <f t="shared" si="299"/>
        <v>Draft email</v>
      </c>
      <c r="AG1737" s="64" t="str">
        <f>IF($C1737="","",IFERROR(INDEX('Staff Directory'!$K$595:$K$599,MATCH($C1737,'Staff Directory'!$B$5:$B$599,0)),$D1737))</f>
        <v>PSW</v>
      </c>
      <c r="AH1737" t="str">
        <f>IF($C1737="","",IFERROR(INDEX('Staff Directory'!$I$595:$I$599,MATCH($C1737,'Staff Directory'!$B$5:$B$599,0))&amp;" "&amp;INDEX('Staff Directory'!$J$595:$J$599,MATCH($C1737,'Staff Directory'!$B$5:$B$599,0)),$AG1737))</f>
        <v>PSW</v>
      </c>
      <c r="AI1737" s="102"/>
      <c r="AJ1737" s="101">
        <f>IF($F1737="","",SUMIFS($J$5:$J1737,$F$5:$F1737,$F1737))</f>
        <v>225</v>
      </c>
      <c r="AK1737" s="101">
        <f t="shared" si="302"/>
        <v>225</v>
      </c>
      <c r="AL1737" s="66" t="str" cm="1">
        <f t="array" ref="AL1737">IF($F1737="","",IFERROR(INDEX('Lot Balance'!$B$5:$B$500,MATCH(1,INDEX(('Lot Balance'!$A$5:$A$500=$F1737)*('Lot Balance'!$K$5:$K$500&lt;$AK1737)*('Lot Balance'!$K$5:$K$500+'Lot Balance'!$D$5:$D$500&gt;=$AK1737),0),0)),""))</f>
        <v>20-21734-5</v>
      </c>
      <c r="AM1737" s="66" t="str" cm="1">
        <f t="array" ref="AM1737">IF($F1737="","",IFERROR(INDEX('Lot Balance'!$B$5:$B$500,MATCH(1,INDEX(('Lot Balance'!$A$5:$A$500=$F1737)*('Lot Balance'!$K$5:$K$500&lt;$AJ1737)*('Lot Balance'!$K$5:$K$500+'Lot Balance'!$D$5:$D$500&gt;=$AJ1737),0),0)),""))</f>
        <v>20-21734-5</v>
      </c>
      <c r="AN1737" s="66" t="str">
        <f>IF($F1737="","",IF($AI1737&lt;&gt;"",IF(COUNTIFS('Lot Balance'!$A$5:$A$500,$F1737,'Lot Balance'!$B$5:$B$500,$AI1737)=0,"⚠ override is not a lot of this item",IF($AI1737=$AL1737,"Override = FEFO","Override - FEFO says "&amp;$AL1737)),IF($AL1737="","⚠ no receipt on file for this item",IF($AM1737&lt;&gt;$AL1737,"FEFO auto - split, also "&amp;$AM1737,"FEFO auto"))))</f>
        <v>FEFO auto</v>
      </c>
      <c r="AO1737" s="114"/>
    </row>
    <row r="1738" spans="1:41" x14ac:dyDescent="0.35">
      <c r="A1738" s="74">
        <v>46212</v>
      </c>
      <c r="B1738" s="18" t="str">
        <f>IF($C1738="","",IFERROR(INDEX('Staff Directory'!$A$5:$A$594,MATCH($C1738,'Staff Directory'!$B$5:$B$594,0)),"⚠ unknown staff"))</f>
        <v>PSW-108-A4</v>
      </c>
      <c r="C1738" s="49" t="s">
        <v>1086</v>
      </c>
      <c r="D1738" s="19" t="str">
        <f>IF($B1738="","",IFERROR(INDEX('Staff Directory'!$C$5:$C$594,MATCH($B1738,'Staff Directory'!$A$5:$A$594,0)),""))</f>
        <v>PSW</v>
      </c>
      <c r="E1738" s="19" t="str">
        <f>IF($B1738="","",IFERROR(INDEX('Staff Directory'!$D$5:$D$594,MATCH($B1738,'Staff Directory'!$A$5:$A$594,0)),""))</f>
        <v>A4</v>
      </c>
      <c r="F1738" s="9" t="s">
        <v>156</v>
      </c>
      <c r="G1738" s="18" t="str">
        <f>IF($F1738="","",IFERROR(INDEX(Items!$B$5:$B$597,MATCH($F1738,Items!$A$5:$A$597,0)),"⚠ not in Items"))</f>
        <v>Masks</v>
      </c>
      <c r="H1738" s="19" t="str">
        <f>IF($F1738="","",IFERROR(INDEX(Items!$C$5:$C$597,MATCH($F1738,Items!$A$5:$A$597,0)),""))</f>
        <v>One Size</v>
      </c>
      <c r="I1738" s="23">
        <f>IF($F1738="","",IFERROR(INDEX(Items!$E$5:$E$597,MATCH($F1738,Items!$A$5:$A$597,0)),""))</f>
        <v>50</v>
      </c>
      <c r="J1738" s="115">
        <f>IF(tblIssues[[#This Row],[Qty Override]]&lt;&gt;"",tblIssues[[#This Row],[Qty Override]],IF(tblIssues[[#This Row],[Standard Issue]]="","",tblIssues[[#This Row],[Standard Issue]]))</f>
        <v>50</v>
      </c>
      <c r="K1738" s="20">
        <f>IF($F1738="","",IFERROR(INDEX(Items!$D$5:$D$597,MATCH($F1738,Items!$A$5:$A$597,0)),""))</f>
        <v>0.25</v>
      </c>
      <c r="L1738" s="21">
        <f t="shared" si="305"/>
        <v>12.5</v>
      </c>
      <c r="M1738" s="9" t="str">
        <f t="shared" si="303"/>
        <v>LV2-10040-2</v>
      </c>
      <c r="N1738" s="24">
        <f>IF($A1738="","",WORKDAY($A1738,Settings!$C$9,HolidayDates))</f>
        <v>46220</v>
      </c>
      <c r="O1738" s="24">
        <f>IF($N1738="","",WORKDAY($N1738,Settings!$C$10,HolidayDates))</f>
        <v>46260</v>
      </c>
      <c r="P1738" s="10" t="s">
        <v>501</v>
      </c>
      <c r="Q1738" s="52" t="str">
        <f t="shared" si="295"/>
        <v>Collected</v>
      </c>
      <c r="R1738" s="55" t="str">
        <f t="shared" si="296"/>
        <v>2026-07</v>
      </c>
      <c r="S1738" s="55">
        <f>IF(OR($B1738="",$F1738="",$R1738=""),"",SUMIFS(tblIssues[Qty Issued],tblIssues[Staff ID],$B1738,tblIssues[Item Name],$F1738,tblIssues[Month],$R1738))</f>
        <v>50</v>
      </c>
      <c r="T1738" s="56">
        <f>IF($I1738="","",$I1738*Settings!$C$11)</f>
        <v>50</v>
      </c>
      <c r="U1738" s="57" t="str">
        <f t="shared" si="304"/>
        <v>OK</v>
      </c>
      <c r="V1738" s="55" t="str">
        <f t="shared" si="297"/>
        <v/>
      </c>
      <c r="W1738" s="55" t="str">
        <f>IF($V1738="","",IF(COUNTIF($V$5:$V1738,$V1738)=1,1,""))</f>
        <v/>
      </c>
      <c r="X1738" s="58" t="str">
        <f>IF($W1738="","",MAX($X$4:X1737)+1)</f>
        <v/>
      </c>
      <c r="Y1738" s="62"/>
      <c r="Z1738" s="62"/>
      <c r="AA1738" s="64" t="str">
        <f>IF($C1738="","",IFERROR(INDEX('Staff Directory'!$E$5:$E$594,MATCH($C1738,'Staff Directory'!$B$5:$B$594,0)),""))</f>
        <v>firstname170.lastname170@example.com</v>
      </c>
      <c r="AB1738" s="64" t="str">
        <f>IF($C1738="","",IF(ISNUMBER(SEARCH($D1738,Settings!$C$15)),"Pickup","Dispatch"))</f>
        <v>Pickup</v>
      </c>
      <c r="AC1738" s="64" t="str">
        <f t="shared" si="298"/>
        <v>Supply order ready for pickup</v>
      </c>
      <c r="AD1738" s="64" t="str">
        <f t="shared" si="300"/>
        <v>Dear PSW,
Your order is ready for pickup from Sample Branch, Wed-Fri 9am-4pm.</v>
      </c>
      <c r="AE1738" s="64" t="str">
        <f t="shared" si="301"/>
        <v>mailto:firstname170.lastname170@example.com?subject=Supply%20order%20ready%20for%20pickup&amp;body=Dear%20PSW%2C%0A%0AYour%20order%20is%20ready%20for%20pickup%20from%20Sample%20Branch%2C%20Wed-Fri%209am-4pm.</v>
      </c>
      <c r="AF1738" s="89" t="str">
        <f t="shared" si="299"/>
        <v>Draft email</v>
      </c>
      <c r="AG1738" s="64" t="str">
        <f>IF($C1738="","",IFERROR(INDEX('Staff Directory'!$K$595:$K$599,MATCH($C1738,'Staff Directory'!$B$5:$B$599,0)),$D1738))</f>
        <v>PSW</v>
      </c>
      <c r="AH1738" t="str">
        <f>IF($C1738="","",IFERROR(INDEX('Staff Directory'!$I$595:$I$599,MATCH($C1738,'Staff Directory'!$B$5:$B$599,0))&amp;" "&amp;INDEX('Staff Directory'!$J$595:$J$599,MATCH($C1738,'Staff Directory'!$B$5:$B$599,0)),$AG1738))</f>
        <v>PSW</v>
      </c>
      <c r="AI1738" s="102"/>
      <c r="AJ1738" s="101">
        <f>IF($F1738="","",SUMIFS($J$5:$J1738,$F$5:$F1738,$F1738))</f>
        <v>14250</v>
      </c>
      <c r="AK1738" s="101">
        <f t="shared" si="302"/>
        <v>14201</v>
      </c>
      <c r="AL1738" s="66" t="str" cm="1">
        <f t="array" ref="AL1738">IF($F1738="","",IFERROR(INDEX('Lot Balance'!$B$5:$B$500,MATCH(1,INDEX(('Lot Balance'!$A$5:$A$500=$F1738)*('Lot Balance'!$K$5:$K$500&lt;$AK1738)*('Lot Balance'!$K$5:$K$500+'Lot Balance'!$D$5:$D$500&gt;=$AK1738),0),0)),""))</f>
        <v>LV2-10040-2</v>
      </c>
      <c r="AM1738" s="66" t="str" cm="1">
        <f t="array" ref="AM1738">IF($F1738="","",IFERROR(INDEX('Lot Balance'!$B$5:$B$500,MATCH(1,INDEX(('Lot Balance'!$A$5:$A$500=$F1738)*('Lot Balance'!$K$5:$K$500&lt;$AJ1738)*('Lot Balance'!$K$5:$K$500+'Lot Balance'!$D$5:$D$500&gt;=$AJ1738),0),0)),""))</f>
        <v>LV2-10040-2</v>
      </c>
      <c r="AN1738" s="66" t="str">
        <f>IF($F1738="","",IF($AI1738&lt;&gt;"",IF(COUNTIFS('Lot Balance'!$A$5:$A$500,$F1738,'Lot Balance'!$B$5:$B$500,$AI1738)=0,"⚠ override is not a lot of this item",IF($AI1738=$AL1738,"Override = FEFO","Override - FEFO says "&amp;$AL1738)),IF($AL1738="","⚠ no receipt on file for this item",IF($AM1738&lt;&gt;$AL1738,"FEFO auto - split, also "&amp;$AM1738,"FEFO auto"))))</f>
        <v>FEFO auto</v>
      </c>
      <c r="AO1738" s="114"/>
    </row>
    <row r="1739" spans="1:41" x14ac:dyDescent="0.35">
      <c r="A1739" s="74">
        <v>46212</v>
      </c>
      <c r="B1739" s="18" t="str">
        <f>IF($C1739="","",IFERROR(INDEX('Staff Directory'!$A$5:$A$594,MATCH($C1739,'Staff Directory'!$B$5:$B$594,0)),"⚠ unknown staff"))</f>
        <v>PSW-108-A4</v>
      </c>
      <c r="C1739" s="49" t="s">
        <v>1086</v>
      </c>
      <c r="D1739" s="19" t="str">
        <f>IF($B1739="","",IFERROR(INDEX('Staff Directory'!$C$5:$C$594,MATCH($B1739,'Staff Directory'!$A$5:$A$594,0)),""))</f>
        <v>PSW</v>
      </c>
      <c r="E1739" s="19" t="str">
        <f>IF($B1739="","",IFERROR(INDEX('Staff Directory'!$D$5:$D$594,MATCH($B1739,'Staff Directory'!$A$5:$A$594,0)),""))</f>
        <v>A4</v>
      </c>
      <c r="F1739" s="9" t="s">
        <v>758</v>
      </c>
      <c r="G1739" s="18" t="str">
        <f>IF($F1739="","",IFERROR(INDEX(Items!$B$5:$B$597,MATCH($F1739,Items!$A$5:$A$597,0)),"⚠ not in Items"))</f>
        <v>Utility</v>
      </c>
      <c r="H1739" s="19" t="str">
        <f>IF($F1739="","",IFERROR(INDEX(Items!$C$5:$C$597,MATCH($F1739,Items!$A$5:$A$597,0)),""))</f>
        <v>Standard</v>
      </c>
      <c r="I1739" s="23">
        <f>IF($F1739="","",IFERROR(INDEX(Items!$E$5:$E$597,MATCH($F1739,Items!$A$5:$A$597,0)),""))</f>
        <v>1</v>
      </c>
      <c r="J1739" s="115">
        <f>IF(tblIssues[[#This Row],[Qty Override]]&lt;&gt;"",tblIssues[[#This Row],[Qty Override]],IF(tblIssues[[#This Row],[Standard Issue]]="","",tblIssues[[#This Row],[Standard Issue]]))</f>
        <v>1</v>
      </c>
      <c r="K1739" s="20">
        <f>IF($F1739="","",IFERROR(INDEX(Items!$D$5:$D$597,MATCH($F1739,Items!$A$5:$A$597,0)),""))</f>
        <v>0</v>
      </c>
      <c r="L1739" s="21">
        <f t="shared" si="305"/>
        <v>0</v>
      </c>
      <c r="M1739" s="9" t="str">
        <f t="shared" si="303"/>
        <v/>
      </c>
      <c r="N1739" s="24">
        <f>IF($A1739="","",WORKDAY($A1739,Settings!$C$9,HolidayDates))</f>
        <v>46220</v>
      </c>
      <c r="O1739" s="24">
        <f>IF($N1739="","",WORKDAY($N1739,Settings!$C$10,HolidayDates))</f>
        <v>46260</v>
      </c>
      <c r="P1739" s="10" t="s">
        <v>501</v>
      </c>
      <c r="Q1739" s="52" t="str">
        <f t="shared" si="295"/>
        <v>Collected</v>
      </c>
      <c r="R1739" s="55" t="str">
        <f t="shared" si="296"/>
        <v>2026-07</v>
      </c>
      <c r="S1739" s="55">
        <f>IF(OR($B1739="",$F1739="",$R1739=""),"",SUMIFS(tblIssues[Qty Issued],tblIssues[Staff ID],$B1739,tblIssues[Item Name],$F1739,tblIssues[Month],$R1739))</f>
        <v>1</v>
      </c>
      <c r="T1739" s="56">
        <f>IF($I1739="","",$I1739*Settings!$C$11)</f>
        <v>1</v>
      </c>
      <c r="U1739" s="57" t="str">
        <f t="shared" si="304"/>
        <v>OK</v>
      </c>
      <c r="V1739" s="55" t="str">
        <f t="shared" si="297"/>
        <v/>
      </c>
      <c r="W1739" s="55" t="str">
        <f>IF($V1739="","",IF(COUNTIF($V$5:$V1739,$V1739)=1,1,""))</f>
        <v/>
      </c>
      <c r="X1739" s="58" t="str">
        <f>IF($W1739="","",MAX($X$4:X1738)+1)</f>
        <v/>
      </c>
      <c r="Y1739" s="62"/>
      <c r="Z1739" s="62"/>
      <c r="AA1739" s="64" t="str">
        <f>IF($C1739="","",IFERROR(INDEX('Staff Directory'!$E$5:$E$594,MATCH($C1739,'Staff Directory'!$B$5:$B$594,0)),""))</f>
        <v>firstname170.lastname170@example.com</v>
      </c>
      <c r="AB1739" s="64" t="str">
        <f>IF($C1739="","",IF(ISNUMBER(SEARCH($D1739,Settings!$C$15)),"Pickup","Dispatch"))</f>
        <v>Pickup</v>
      </c>
      <c r="AC1739" s="64" t="str">
        <f t="shared" si="298"/>
        <v>Supply order ready for pickup</v>
      </c>
      <c r="AD1739" s="64" t="str">
        <f t="shared" si="300"/>
        <v>Dear PSW,
Your order is ready for pickup from Sample Branch, Wed-Fri 9am-4pm.</v>
      </c>
      <c r="AE1739" s="64" t="str">
        <f t="shared" si="301"/>
        <v>mailto:firstname170.lastname170@example.com?subject=Supply%20order%20ready%20for%20pickup&amp;body=Dear%20PSW%2C%0A%0AYour%20order%20is%20ready%20for%20pickup%20from%20Sample%20Branch%2C%20Wed-Fri%209am-4pm.</v>
      </c>
      <c r="AF1739" s="89" t="str">
        <f t="shared" si="299"/>
        <v>Draft email</v>
      </c>
      <c r="AG1739" s="64" t="str">
        <f>IF($C1739="","",IFERROR(INDEX('Staff Directory'!$K$595:$K$599,MATCH($C1739,'Staff Directory'!$B$5:$B$599,0)),$D1739))</f>
        <v>PSW</v>
      </c>
      <c r="AH1739" t="str">
        <f>IF($C1739="","",IFERROR(INDEX('Staff Directory'!$I$595:$I$599,MATCH($C1739,'Staff Directory'!$B$5:$B$599,0))&amp;" "&amp;INDEX('Staff Directory'!$J$595:$J$599,MATCH($C1739,'Staff Directory'!$B$5:$B$599,0)),$AG1739))</f>
        <v>PSW</v>
      </c>
      <c r="AI1739" s="102"/>
      <c r="AJ1739" s="101">
        <f>IF($F1739="","",SUMIFS($J$5:$J1739,$F$5:$F1739,$F1739))</f>
        <v>62</v>
      </c>
      <c r="AK1739" s="101">
        <f t="shared" si="302"/>
        <v>62</v>
      </c>
      <c r="AL1739" s="66" t="str" cm="1">
        <f t="array" ref="AL1739">IF($F1739="","",IFERROR(INDEX('Lot Balance'!$B$5:$B$500,MATCH(1,INDEX(('Lot Balance'!$A$5:$A$500=$F1739)*('Lot Balance'!$K$5:$K$500&lt;$AK1739)*('Lot Balance'!$K$5:$K$500+'Lot Balance'!$D$5:$D$500&gt;=$AK1739),0),0)),""))</f>
        <v/>
      </c>
      <c r="AM1739" s="66" t="str" cm="1">
        <f t="array" ref="AM1739">IF($F1739="","",IFERROR(INDEX('Lot Balance'!$B$5:$B$500,MATCH(1,INDEX(('Lot Balance'!$A$5:$A$500=$F1739)*('Lot Balance'!$K$5:$K$500&lt;$AJ1739)*('Lot Balance'!$K$5:$K$500+'Lot Balance'!$D$5:$D$500&gt;=$AJ1739),0),0)),""))</f>
        <v/>
      </c>
      <c r="AN1739" s="66" t="str">
        <f>IF($F1739="","",IF($AI1739&lt;&gt;"",IF(COUNTIFS('Lot Balance'!$A$5:$A$500,$F1739,'Lot Balance'!$B$5:$B$500,$AI1739)=0,"⚠ override is not a lot of this item",IF($AI1739=$AL1739,"Override = FEFO","Override - FEFO says "&amp;$AL1739)),IF($AL1739="","⚠ no receipt on file for this item",IF($AM1739&lt;&gt;$AL1739,"FEFO auto - split, also "&amp;$AM1739,"FEFO auto"))))</f>
        <v>⚠ no receipt on file for this item</v>
      </c>
      <c r="AO1739" s="114"/>
    </row>
    <row r="1740" spans="1:41" x14ac:dyDescent="0.35">
      <c r="A1740" s="74">
        <v>46212</v>
      </c>
      <c r="B1740" s="18" t="str">
        <f>IF($C1740="","",IFERROR(INDEX('Staff Directory'!$A$5:$A$594,MATCH($C1740,'Staff Directory'!$B$5:$B$594,0)),"⚠ unknown staff"))</f>
        <v>PSW-082-A5</v>
      </c>
      <c r="C1740" s="49" t="s">
        <v>1058</v>
      </c>
      <c r="D1740" s="19" t="str">
        <f>IF($B1740="","",IFERROR(INDEX('Staff Directory'!$C$5:$C$594,MATCH($B1740,'Staff Directory'!$A$5:$A$594,0)),""))</f>
        <v>PSW</v>
      </c>
      <c r="E1740" s="19" t="str">
        <f>IF($B1740="","",IFERROR(INDEX('Staff Directory'!$D$5:$D$594,MATCH($B1740,'Staff Directory'!$A$5:$A$594,0)),""))</f>
        <v>A5</v>
      </c>
      <c r="F1740" s="9" t="s">
        <v>124</v>
      </c>
      <c r="G1740" s="18" t="str">
        <f>IF($F1740="","",IFERROR(INDEX(Items!$B$5:$B$597,MATCH($F1740,Items!$A$5:$A$597,0)),"⚠ not in Items"))</f>
        <v>Gloves</v>
      </c>
      <c r="H1740" s="19" t="str">
        <f>IF($F1740="","",IFERROR(INDEX(Items!$C$5:$C$597,MATCH($F1740,Items!$A$5:$A$597,0)),""))</f>
        <v>Large</v>
      </c>
      <c r="I1740" s="23">
        <f>IF($F1740="","",IFERROR(INDEX(Items!$E$5:$E$597,MATCH($F1740,Items!$A$5:$A$597,0)),""))</f>
        <v>500</v>
      </c>
      <c r="J1740" s="115">
        <f>IF(tblIssues[[#This Row],[Qty Override]]&lt;&gt;"",tblIssues[[#This Row],[Qty Override]],IF(tblIssues[[#This Row],[Standard Issue]]="","",tblIssues[[#This Row],[Standard Issue]]))</f>
        <v>500</v>
      </c>
      <c r="K1740" s="20">
        <f>IF($F1740="","",IFERROR(INDEX(Items!$D$5:$D$597,MATCH($F1740,Items!$A$5:$A$597,0)),""))</f>
        <v>5.5E-2</v>
      </c>
      <c r="L1740" s="21">
        <f t="shared" si="305"/>
        <v>27.5</v>
      </c>
      <c r="M1740" s="9" t="str">
        <f t="shared" si="303"/>
        <v>ZIM511139904-3</v>
      </c>
      <c r="N1740" s="24">
        <f>IF($A1740="","",WORKDAY($A1740,Settings!$C$9,HolidayDates))</f>
        <v>46220</v>
      </c>
      <c r="O1740" s="24">
        <f>IF($N1740="","",WORKDAY($N1740,Settings!$C$10,HolidayDates))</f>
        <v>46260</v>
      </c>
      <c r="P1740" s="10" t="s">
        <v>501</v>
      </c>
      <c r="Q1740" s="52" t="str">
        <f t="shared" si="295"/>
        <v>Collected</v>
      </c>
      <c r="R1740" s="55" t="str">
        <f t="shared" si="296"/>
        <v>2026-07</v>
      </c>
      <c r="S1740" s="55">
        <f>IF(OR($B1740="",$F1740="",$R1740=""),"",SUMIFS(tblIssues[Qty Issued],tblIssues[Staff ID],$B1740,tblIssues[Item Name],$F1740,tblIssues[Month],$R1740))</f>
        <v>500</v>
      </c>
      <c r="T1740" s="56">
        <f>IF($I1740="","",$I1740*Settings!$C$11)</f>
        <v>500</v>
      </c>
      <c r="U1740" s="57" t="str">
        <f t="shared" si="304"/>
        <v>OK</v>
      </c>
      <c r="V1740" s="55" t="str">
        <f t="shared" si="297"/>
        <v/>
      </c>
      <c r="W1740" s="55" t="str">
        <f>IF($V1740="","",IF(COUNTIF($V$5:$V1740,$V1740)=1,1,""))</f>
        <v/>
      </c>
      <c r="X1740" s="58" t="str">
        <f>IF($W1740="","",MAX($X$4:X1739)+1)</f>
        <v/>
      </c>
      <c r="Y1740" s="62"/>
      <c r="Z1740" s="62"/>
      <c r="AA1740" s="64" t="str">
        <f>IF($C1740="","",IFERROR(INDEX('Staff Directory'!$E$5:$E$594,MATCH($C1740,'Staff Directory'!$B$5:$B$594,0)),""))</f>
        <v>firstname142.lastname142@example.com</v>
      </c>
      <c r="AB1740" s="64" t="str">
        <f>IF($C1740="","",IF(ISNUMBER(SEARCH($D1740,Settings!$C$15)),"Pickup","Dispatch"))</f>
        <v>Pickup</v>
      </c>
      <c r="AC1740" s="64" t="str">
        <f t="shared" si="298"/>
        <v>Supply order ready for pickup</v>
      </c>
      <c r="AD1740" s="64" t="str">
        <f t="shared" si="300"/>
        <v>Dear PSW,
Your order is ready for pickup from Sample Branch, Wed-Fri 9am-4pm.</v>
      </c>
      <c r="AE1740" s="64" t="str">
        <f t="shared" si="301"/>
        <v>mailto:firstname142.lastname142@example.com?subject=Supply%20order%20ready%20for%20pickup&amp;body=Dear%20PSW%2C%0A%0AYour%20order%20is%20ready%20for%20pickup%20from%20Sample%20Branch%2C%20Wed-Fri%209am-4pm.</v>
      </c>
      <c r="AF1740" s="89" t="str">
        <f t="shared" si="299"/>
        <v>Draft email</v>
      </c>
      <c r="AG1740" s="64" t="str">
        <f>IF($C1740="","",IFERROR(INDEX('Staff Directory'!$K$595:$K$599,MATCH($C1740,'Staff Directory'!$B$5:$B$599,0)),$D1740))</f>
        <v>PSW</v>
      </c>
      <c r="AH1740" t="str">
        <f>IF($C1740="","",IFERROR(INDEX('Staff Directory'!$I$595:$I$599,MATCH($C1740,'Staff Directory'!$B$5:$B$599,0))&amp;" "&amp;INDEX('Staff Directory'!$J$595:$J$599,MATCH($C1740,'Staff Directory'!$B$5:$B$599,0)),$AG1740))</f>
        <v>PSW</v>
      </c>
      <c r="AI1740" s="102"/>
      <c r="AJ1740" s="101">
        <f>IF($F1740="","",SUMIFS($J$5:$J1740,$F$5:$F1740,$F1740))</f>
        <v>46000</v>
      </c>
      <c r="AK1740" s="101">
        <f t="shared" si="302"/>
        <v>45501</v>
      </c>
      <c r="AL1740" s="66" t="str" cm="1">
        <f t="array" ref="AL1740">IF($F1740="","",IFERROR(INDEX('Lot Balance'!$B$5:$B$500,MATCH(1,INDEX(('Lot Balance'!$A$5:$A$500=$F1740)*('Lot Balance'!$K$5:$K$500&lt;$AK1740)*('Lot Balance'!$K$5:$K$500+'Lot Balance'!$D$5:$D$500&gt;=$AK1740),0),0)),""))</f>
        <v>ZIM511139904-3</v>
      </c>
      <c r="AM1740" s="66" t="str" cm="1">
        <f t="array" ref="AM1740">IF($F1740="","",IFERROR(INDEX('Lot Balance'!$B$5:$B$500,MATCH(1,INDEX(('Lot Balance'!$A$5:$A$500=$F1740)*('Lot Balance'!$K$5:$K$500&lt;$AJ1740)*('Lot Balance'!$K$5:$K$500+'Lot Balance'!$D$5:$D$500&gt;=$AJ1740),0),0)),""))</f>
        <v>ZIM511139904-3</v>
      </c>
      <c r="AN1740" s="66" t="str">
        <f>IF($F1740="","",IF($AI1740&lt;&gt;"",IF(COUNTIFS('Lot Balance'!$A$5:$A$500,$F1740,'Lot Balance'!$B$5:$B$500,$AI1740)=0,"⚠ override is not a lot of this item",IF($AI1740=$AL1740,"Override = FEFO","Override - FEFO says "&amp;$AL1740)),IF($AL1740="","⚠ no receipt on file for this item",IF($AM1740&lt;&gt;$AL1740,"FEFO auto - split, also "&amp;$AM1740,"FEFO auto"))))</f>
        <v>FEFO auto</v>
      </c>
      <c r="AO1740" s="114"/>
    </row>
    <row r="1741" spans="1:41" x14ac:dyDescent="0.35">
      <c r="A1741" s="74">
        <v>46212</v>
      </c>
      <c r="B1741" s="18" t="str">
        <f>IF($C1741="","",IFERROR(INDEX('Staff Directory'!$A$5:$A$594,MATCH($C1741,'Staff Directory'!$B$5:$B$594,0)),"⚠ unknown staff"))</f>
        <v>PSW-082-A5</v>
      </c>
      <c r="C1741" s="49" t="s">
        <v>1058</v>
      </c>
      <c r="D1741" s="19" t="str">
        <f>IF($B1741="","",IFERROR(INDEX('Staff Directory'!$C$5:$C$594,MATCH($B1741,'Staff Directory'!$A$5:$A$594,0)),""))</f>
        <v>PSW</v>
      </c>
      <c r="E1741" s="19" t="str">
        <f>IF($B1741="","",IFERROR(INDEX('Staff Directory'!$D$5:$D$594,MATCH($B1741,'Staff Directory'!$A$5:$A$594,0)),""))</f>
        <v>A5</v>
      </c>
      <c r="F1741" s="9" t="s">
        <v>758</v>
      </c>
      <c r="G1741" s="18" t="str">
        <f>IF($F1741="","",IFERROR(INDEX(Items!$B$5:$B$597,MATCH($F1741,Items!$A$5:$A$597,0)),"⚠ not in Items"))</f>
        <v>Utility</v>
      </c>
      <c r="H1741" s="19" t="str">
        <f>IF($F1741="","",IFERROR(INDEX(Items!$C$5:$C$597,MATCH($F1741,Items!$A$5:$A$597,0)),""))</f>
        <v>Standard</v>
      </c>
      <c r="I1741" s="23">
        <f>IF($F1741="","",IFERROR(INDEX(Items!$E$5:$E$597,MATCH($F1741,Items!$A$5:$A$597,0)),""))</f>
        <v>1</v>
      </c>
      <c r="J1741" s="115">
        <f>IF(tblIssues[[#This Row],[Qty Override]]&lt;&gt;"",tblIssues[[#This Row],[Qty Override]],IF(tblIssues[[#This Row],[Standard Issue]]="","",tblIssues[[#This Row],[Standard Issue]]))</f>
        <v>1</v>
      </c>
      <c r="K1741" s="20">
        <f>IF($F1741="","",IFERROR(INDEX(Items!$D$5:$D$597,MATCH($F1741,Items!$A$5:$A$597,0)),""))</f>
        <v>0</v>
      </c>
      <c r="L1741" s="21">
        <f t="shared" si="305"/>
        <v>0</v>
      </c>
      <c r="M1741" s="9" t="str">
        <f t="shared" si="303"/>
        <v/>
      </c>
      <c r="N1741" s="24">
        <f>IF($A1741="","",WORKDAY($A1741,Settings!$C$9,HolidayDates))</f>
        <v>46220</v>
      </c>
      <c r="O1741" s="24">
        <f>IF($N1741="","",WORKDAY($N1741,Settings!$C$10,HolidayDates))</f>
        <v>46260</v>
      </c>
      <c r="P1741" s="10" t="s">
        <v>501</v>
      </c>
      <c r="Q1741" s="52" t="str">
        <f t="shared" si="295"/>
        <v>Collected</v>
      </c>
      <c r="R1741" s="55" t="str">
        <f t="shared" si="296"/>
        <v>2026-07</v>
      </c>
      <c r="S1741" s="55">
        <f>IF(OR($B1741="",$F1741="",$R1741=""),"",SUMIFS(tblIssues[Qty Issued],tblIssues[Staff ID],$B1741,tblIssues[Item Name],$F1741,tblIssues[Month],$R1741))</f>
        <v>1</v>
      </c>
      <c r="T1741" s="56">
        <f>IF($I1741="","",$I1741*Settings!$C$11)</f>
        <v>1</v>
      </c>
      <c r="U1741" s="57" t="str">
        <f t="shared" si="304"/>
        <v>OK</v>
      </c>
      <c r="V1741" s="55" t="str">
        <f t="shared" si="297"/>
        <v/>
      </c>
      <c r="W1741" s="55" t="str">
        <f>IF($V1741="","",IF(COUNTIF($V$5:$V1741,$V1741)=1,1,""))</f>
        <v/>
      </c>
      <c r="X1741" s="58" t="str">
        <f>IF($W1741="","",MAX($X$4:X1740)+1)</f>
        <v/>
      </c>
      <c r="Y1741" s="62"/>
      <c r="Z1741" s="62"/>
      <c r="AA1741" s="64" t="str">
        <f>IF($C1741="","",IFERROR(INDEX('Staff Directory'!$E$5:$E$594,MATCH($C1741,'Staff Directory'!$B$5:$B$594,0)),""))</f>
        <v>firstname142.lastname142@example.com</v>
      </c>
      <c r="AB1741" s="64" t="str">
        <f>IF($C1741="","",IF(ISNUMBER(SEARCH($D1741,Settings!$C$15)),"Pickup","Dispatch"))</f>
        <v>Pickup</v>
      </c>
      <c r="AC1741" s="64" t="str">
        <f t="shared" si="298"/>
        <v>Supply order ready for pickup</v>
      </c>
      <c r="AD1741" s="64" t="str">
        <f t="shared" si="300"/>
        <v>Dear PSW,
Your order is ready for pickup from Sample Branch, Wed-Fri 9am-4pm.</v>
      </c>
      <c r="AE1741" s="64" t="str">
        <f t="shared" si="301"/>
        <v>mailto:firstname142.lastname142@example.com?subject=Supply%20order%20ready%20for%20pickup&amp;body=Dear%20PSW%2C%0A%0AYour%20order%20is%20ready%20for%20pickup%20from%20Sample%20Branch%2C%20Wed-Fri%209am-4pm.</v>
      </c>
      <c r="AF1741" s="89" t="str">
        <f t="shared" si="299"/>
        <v>Draft email</v>
      </c>
      <c r="AG1741" s="64" t="str">
        <f>IF($C1741="","",IFERROR(INDEX('Staff Directory'!$K$595:$K$599,MATCH($C1741,'Staff Directory'!$B$5:$B$599,0)),$D1741))</f>
        <v>PSW</v>
      </c>
      <c r="AH1741" t="str">
        <f>IF($C1741="","",IFERROR(INDEX('Staff Directory'!$I$595:$I$599,MATCH($C1741,'Staff Directory'!$B$5:$B$599,0))&amp;" "&amp;INDEX('Staff Directory'!$J$595:$J$599,MATCH($C1741,'Staff Directory'!$B$5:$B$599,0)),$AG1741))</f>
        <v>PSW</v>
      </c>
      <c r="AI1741" s="102"/>
      <c r="AJ1741" s="101">
        <f>IF($F1741="","",SUMIFS($J$5:$J1741,$F$5:$F1741,$F1741))</f>
        <v>63</v>
      </c>
      <c r="AK1741" s="101">
        <f t="shared" si="302"/>
        <v>63</v>
      </c>
      <c r="AL1741" s="66" t="str" cm="1">
        <f t="array" ref="AL1741">IF($F1741="","",IFERROR(INDEX('Lot Balance'!$B$5:$B$500,MATCH(1,INDEX(('Lot Balance'!$A$5:$A$500=$F1741)*('Lot Balance'!$K$5:$K$500&lt;$AK1741)*('Lot Balance'!$K$5:$K$500+'Lot Balance'!$D$5:$D$500&gt;=$AK1741),0),0)),""))</f>
        <v/>
      </c>
      <c r="AM1741" s="66" t="str" cm="1">
        <f t="array" ref="AM1741">IF($F1741="","",IFERROR(INDEX('Lot Balance'!$B$5:$B$500,MATCH(1,INDEX(('Lot Balance'!$A$5:$A$500=$F1741)*('Lot Balance'!$K$5:$K$500&lt;$AJ1741)*('Lot Balance'!$K$5:$K$500+'Lot Balance'!$D$5:$D$500&gt;=$AJ1741),0),0)),""))</f>
        <v/>
      </c>
      <c r="AN1741" s="66" t="str">
        <f>IF($F1741="","",IF($AI1741&lt;&gt;"",IF(COUNTIFS('Lot Balance'!$A$5:$A$500,$F1741,'Lot Balance'!$B$5:$B$500,$AI1741)=0,"⚠ override is not a lot of this item",IF($AI1741=$AL1741,"Override = FEFO","Override - FEFO says "&amp;$AL1741)),IF($AL1741="","⚠ no receipt on file for this item",IF($AM1741&lt;&gt;$AL1741,"FEFO auto - split, also "&amp;$AM1741,"FEFO auto"))))</f>
        <v>⚠ no receipt on file for this item</v>
      </c>
      <c r="AO1741" s="114"/>
    </row>
    <row r="1742" spans="1:41" x14ac:dyDescent="0.35">
      <c r="A1742" s="74">
        <v>46212</v>
      </c>
      <c r="B1742" s="18" t="str">
        <f>IF($C1742="","",IFERROR(INDEX('Staff Directory'!$A$5:$A$594,MATCH($C1742,'Staff Directory'!$B$5:$B$594,0)),"⚠ unknown staff"))</f>
        <v>PSW-022-A4</v>
      </c>
      <c r="C1742" s="49" t="s">
        <v>998</v>
      </c>
      <c r="D1742" s="19" t="str">
        <f>IF($B1742="","",IFERROR(INDEX('Staff Directory'!$C$5:$C$594,MATCH($B1742,'Staff Directory'!$A$5:$A$594,0)),""))</f>
        <v>PSW</v>
      </c>
      <c r="E1742" s="19" t="str">
        <f>IF($B1742="","",IFERROR(INDEX('Staff Directory'!$D$5:$D$594,MATCH($B1742,'Staff Directory'!$A$5:$A$594,0)),""))</f>
        <v>A4</v>
      </c>
      <c r="F1742" s="9" t="s">
        <v>127</v>
      </c>
      <c r="G1742" s="18" t="str">
        <f>IF($F1742="","",IFERROR(INDEX(Items!$B$5:$B$597,MATCH($F1742,Items!$A$5:$A$597,0)),"⚠ not in Items"))</f>
        <v>Gloves</v>
      </c>
      <c r="H1742" s="19" t="str">
        <f>IF($F1742="","",IFERROR(INDEX(Items!$C$5:$C$597,MATCH($F1742,Items!$A$5:$A$597,0)),""))</f>
        <v>Medium</v>
      </c>
      <c r="I1742" s="23">
        <f>IF($F1742="","",IFERROR(INDEX(Items!$E$5:$E$597,MATCH($F1742,Items!$A$5:$A$597,0)),""))</f>
        <v>500</v>
      </c>
      <c r="J1742" s="115">
        <f>IF(tblIssues[[#This Row],[Qty Override]]&lt;&gt;"",tblIssues[[#This Row],[Qty Override]],IF(tblIssues[[#This Row],[Standard Issue]]="","",tblIssues[[#This Row],[Standard Issue]]))</f>
        <v>500</v>
      </c>
      <c r="K1742" s="20">
        <f>IF($F1742="","",IFERROR(INDEX(Items!$D$5:$D$597,MATCH($F1742,Items!$A$5:$A$597,0)),""))</f>
        <v>5.5E-2</v>
      </c>
      <c r="L1742" s="21">
        <f t="shared" si="305"/>
        <v>27.5</v>
      </c>
      <c r="M1742" s="9" t="str">
        <f t="shared" si="303"/>
        <v>ZIM604151579</v>
      </c>
      <c r="N1742" s="24">
        <f>IF($A1742="","",WORKDAY($A1742,Settings!$C$9,HolidayDates))</f>
        <v>46220</v>
      </c>
      <c r="O1742" s="24">
        <f>IF($N1742="","",WORKDAY($N1742,Settings!$C$10,HolidayDates))</f>
        <v>46260</v>
      </c>
      <c r="P1742" s="10" t="s">
        <v>501</v>
      </c>
      <c r="Q1742" s="52" t="str">
        <f t="shared" ref="Q1742:Q1805" si="306">IF($A1742="","",IF($P1742&lt;&gt;"","Collected","Pending"))</f>
        <v>Collected</v>
      </c>
      <c r="R1742" s="55" t="str">
        <f t="shared" ref="R1742:R1805" si="307">IF($A1742="","",TEXT($A1742,"yyyy-mm"))</f>
        <v>2026-07</v>
      </c>
      <c r="S1742" s="55">
        <f>IF(OR($B1742="",$F1742="",$R1742=""),"",SUMIFS(tblIssues[Qty Issued],tblIssues[Staff ID],$B1742,tblIssues[Item Name],$F1742,tblIssues[Month],$R1742))</f>
        <v>500</v>
      </c>
      <c r="T1742" s="56">
        <f>IF($I1742="","",$I1742*Settings!$C$11)</f>
        <v>500</v>
      </c>
      <c r="U1742" s="57" t="str">
        <f t="shared" si="304"/>
        <v>OK</v>
      </c>
      <c r="V1742" s="55" t="str">
        <f t="shared" ref="V1742:V1805" si="308">IF($U1742="⚠ OVER QUOTA",$B1742&amp;" | "&amp;$F1742&amp;" | "&amp;$R1742,"")</f>
        <v/>
      </c>
      <c r="W1742" s="55" t="str">
        <f>IF($V1742="","",IF(COUNTIF($V$5:$V1742,$V1742)=1,1,""))</f>
        <v/>
      </c>
      <c r="X1742" s="58" t="str">
        <f>IF($W1742="","",MAX($X$4:X1741)+1)</f>
        <v/>
      </c>
      <c r="Y1742" s="62"/>
      <c r="Z1742" s="62"/>
      <c r="AA1742" s="64" t="str">
        <f>IF($C1742="","",IFERROR(INDEX('Staff Directory'!$E$5:$E$594,MATCH($C1742,'Staff Directory'!$B$5:$B$594,0)),""))</f>
        <v>firstname082.lastname082@example.com</v>
      </c>
      <c r="AB1742" s="64" t="str">
        <f>IF($C1742="","",IF(ISNUMBER(SEARCH($D1742,Settings!$C$15)),"Pickup","Dispatch"))</f>
        <v>Pickup</v>
      </c>
      <c r="AC1742" s="64" t="str">
        <f t="shared" ref="AC1742:AC1805" si="309">IF($AB1742="Pickup","Supply order ready for pickup",IF($AB1742="Dispatch","Supply order dispatched",""))</f>
        <v>Supply order ready for pickup</v>
      </c>
      <c r="AD1742" s="64" t="str">
        <f t="shared" si="300"/>
        <v>Dear PSW,
Your order is ready for pickup from Sample Branch, Wed-Fri 9am-4pm.</v>
      </c>
      <c r="AE1742" s="64" t="str">
        <f t="shared" si="301"/>
        <v>mailto:firstname082.lastname082@example.com?subject=Supply%20order%20ready%20for%20pickup&amp;body=Dear%20PSW%2C%0A%0AYour%20order%20is%20ready%20for%20pickup%20from%20Sample%20Branch%2C%20Wed-Fri%209am-4pm.</v>
      </c>
      <c r="AF1742" s="89" t="str">
        <f t="shared" ref="AF1742:AF1805" si="310">IF(AE1742="","",HYPERLINK(AE1742,"Draft email"))</f>
        <v>Draft email</v>
      </c>
      <c r="AG1742" s="64" t="str">
        <f>IF($C1742="","",IFERROR(INDEX('Staff Directory'!$K$595:$K$599,MATCH($C1742,'Staff Directory'!$B$5:$B$599,0)),$D1742))</f>
        <v>PSW</v>
      </c>
      <c r="AH1742" t="str">
        <f>IF($C1742="","",IFERROR(INDEX('Staff Directory'!$I$595:$I$599,MATCH($C1742,'Staff Directory'!$B$5:$B$599,0))&amp;" "&amp;INDEX('Staff Directory'!$J$595:$J$599,MATCH($C1742,'Staff Directory'!$B$5:$B$599,0)),$AG1742))</f>
        <v>PSW</v>
      </c>
      <c r="AI1742" s="102"/>
      <c r="AJ1742" s="101">
        <f>IF($F1742="","",SUMIFS($J$5:$J1742,$F$5:$F1742,$F1742))</f>
        <v>104000</v>
      </c>
      <c r="AK1742" s="101">
        <f t="shared" si="302"/>
        <v>103501</v>
      </c>
      <c r="AL1742" s="66" t="str" cm="1">
        <f t="array" ref="AL1742">IF($F1742="","",IFERROR(INDEX('Lot Balance'!$B$5:$B$500,MATCH(1,INDEX(('Lot Balance'!$A$5:$A$500=$F1742)*('Lot Balance'!$K$5:$K$500&lt;$AK1742)*('Lot Balance'!$K$5:$K$500+'Lot Balance'!$D$5:$D$500&gt;=$AK1742),0),0)),""))</f>
        <v>ZIM604151579</v>
      </c>
      <c r="AM1742" s="66" t="str" cm="1">
        <f t="array" ref="AM1742">IF($F1742="","",IFERROR(INDEX('Lot Balance'!$B$5:$B$500,MATCH(1,INDEX(('Lot Balance'!$A$5:$A$500=$F1742)*('Lot Balance'!$K$5:$K$500&lt;$AJ1742)*('Lot Balance'!$K$5:$K$500+'Lot Balance'!$D$5:$D$500&gt;=$AJ1742),0),0)),""))</f>
        <v>ZIM604151579</v>
      </c>
      <c r="AN1742" s="66" t="str">
        <f>IF($F1742="","",IF($AI1742&lt;&gt;"",IF(COUNTIFS('Lot Balance'!$A$5:$A$500,$F1742,'Lot Balance'!$B$5:$B$500,$AI1742)=0,"⚠ override is not a lot of this item",IF($AI1742=$AL1742,"Override = FEFO","Override - FEFO says "&amp;$AL1742)),IF($AL1742="","⚠ no receipt on file for this item",IF($AM1742&lt;&gt;$AL1742,"FEFO auto - split, also "&amp;$AM1742,"FEFO auto"))))</f>
        <v>FEFO auto</v>
      </c>
      <c r="AO1742" s="114"/>
    </row>
    <row r="1743" spans="1:41" x14ac:dyDescent="0.35">
      <c r="A1743" s="74">
        <v>46212</v>
      </c>
      <c r="B1743" s="18" t="str">
        <f>IF($C1743="","",IFERROR(INDEX('Staff Directory'!$A$5:$A$594,MATCH($C1743,'Staff Directory'!$B$5:$B$594,0)),"⚠ unknown staff"))</f>
        <v>PSW-022-A4</v>
      </c>
      <c r="C1743" s="49" t="s">
        <v>998</v>
      </c>
      <c r="D1743" s="19" t="str">
        <f>IF($B1743="","",IFERROR(INDEX('Staff Directory'!$C$5:$C$594,MATCH($B1743,'Staff Directory'!$A$5:$A$594,0)),""))</f>
        <v>PSW</v>
      </c>
      <c r="E1743" s="19" t="str">
        <f>IF($B1743="","",IFERROR(INDEX('Staff Directory'!$D$5:$D$594,MATCH($B1743,'Staff Directory'!$A$5:$A$594,0)),""))</f>
        <v>A4</v>
      </c>
      <c r="F1743" s="9" t="s">
        <v>156</v>
      </c>
      <c r="G1743" s="18" t="str">
        <f>IF($F1743="","",IFERROR(INDEX(Items!$B$5:$B$597,MATCH($F1743,Items!$A$5:$A$597,0)),"⚠ not in Items"))</f>
        <v>Masks</v>
      </c>
      <c r="H1743" s="19" t="str">
        <f>IF($F1743="","",IFERROR(INDEX(Items!$C$5:$C$597,MATCH($F1743,Items!$A$5:$A$597,0)),""))</f>
        <v>One Size</v>
      </c>
      <c r="I1743" s="23">
        <f>IF($F1743="","",IFERROR(INDEX(Items!$E$5:$E$597,MATCH($F1743,Items!$A$5:$A$597,0)),""))</f>
        <v>50</v>
      </c>
      <c r="J1743" s="115">
        <f>IF(tblIssues[[#This Row],[Qty Override]]&lt;&gt;"",tblIssues[[#This Row],[Qty Override]],IF(tblIssues[[#This Row],[Standard Issue]]="","",tblIssues[[#This Row],[Standard Issue]]))</f>
        <v>50</v>
      </c>
      <c r="K1743" s="20">
        <f>IF($F1743="","",IFERROR(INDEX(Items!$D$5:$D$597,MATCH($F1743,Items!$A$5:$A$597,0)),""))</f>
        <v>0.25</v>
      </c>
      <c r="L1743" s="21">
        <f t="shared" si="305"/>
        <v>12.5</v>
      </c>
      <c r="M1743" s="9" t="str">
        <f t="shared" si="303"/>
        <v>LV2-10040-2</v>
      </c>
      <c r="N1743" s="24">
        <f>IF($A1743="","",WORKDAY($A1743,Settings!$C$9,HolidayDates))</f>
        <v>46220</v>
      </c>
      <c r="O1743" s="24">
        <f>IF($N1743="","",WORKDAY($N1743,Settings!$C$10,HolidayDates))</f>
        <v>46260</v>
      </c>
      <c r="P1743" s="10" t="s">
        <v>501</v>
      </c>
      <c r="Q1743" s="52" t="str">
        <f t="shared" si="306"/>
        <v>Collected</v>
      </c>
      <c r="R1743" s="55" t="str">
        <f t="shared" si="307"/>
        <v>2026-07</v>
      </c>
      <c r="S1743" s="55">
        <f>IF(OR($B1743="",$F1743="",$R1743=""),"",SUMIFS(tblIssues[Qty Issued],tblIssues[Staff ID],$B1743,tblIssues[Item Name],$F1743,tblIssues[Month],$R1743))</f>
        <v>50</v>
      </c>
      <c r="T1743" s="56">
        <f>IF($I1743="","",$I1743*Settings!$C$11)</f>
        <v>50</v>
      </c>
      <c r="U1743" s="57" t="str">
        <f t="shared" si="304"/>
        <v>OK</v>
      </c>
      <c r="V1743" s="55" t="str">
        <f t="shared" si="308"/>
        <v/>
      </c>
      <c r="W1743" s="55" t="str">
        <f>IF($V1743="","",IF(COUNTIF($V$5:$V1743,$V1743)=1,1,""))</f>
        <v/>
      </c>
      <c r="X1743" s="58" t="str">
        <f>IF($W1743="","",MAX($X$4:X1742)+1)</f>
        <v/>
      </c>
      <c r="Y1743" s="62"/>
      <c r="Z1743" s="62"/>
      <c r="AA1743" s="64" t="str">
        <f>IF($C1743="","",IFERROR(INDEX('Staff Directory'!$E$5:$E$594,MATCH($C1743,'Staff Directory'!$B$5:$B$594,0)),""))</f>
        <v>firstname082.lastname082@example.com</v>
      </c>
      <c r="AB1743" s="64" t="str">
        <f>IF($C1743="","",IF(ISNUMBER(SEARCH($D1743,Settings!$C$15)),"Pickup","Dispatch"))</f>
        <v>Pickup</v>
      </c>
      <c r="AC1743" s="64" t="str">
        <f t="shared" si="309"/>
        <v>Supply order ready for pickup</v>
      </c>
      <c r="AD1743" s="64" t="str">
        <f t="shared" si="300"/>
        <v>Dear PSW,
Your order is ready for pickup from Sample Branch, Wed-Fri 9am-4pm.</v>
      </c>
      <c r="AE1743" s="64" t="str">
        <f t="shared" si="301"/>
        <v>mailto:firstname082.lastname082@example.com?subject=Supply%20order%20ready%20for%20pickup&amp;body=Dear%20PSW%2C%0A%0AYour%20order%20is%20ready%20for%20pickup%20from%20Sample%20Branch%2C%20Wed-Fri%209am-4pm.</v>
      </c>
      <c r="AF1743" s="89" t="str">
        <f t="shared" si="310"/>
        <v>Draft email</v>
      </c>
      <c r="AG1743" s="64" t="str">
        <f>IF($C1743="","",IFERROR(INDEX('Staff Directory'!$K$595:$K$599,MATCH($C1743,'Staff Directory'!$B$5:$B$599,0)),$D1743))</f>
        <v>PSW</v>
      </c>
      <c r="AH1743" t="str">
        <f>IF($C1743="","",IFERROR(INDEX('Staff Directory'!$I$595:$I$599,MATCH($C1743,'Staff Directory'!$B$5:$B$599,0))&amp;" "&amp;INDEX('Staff Directory'!$J$595:$J$599,MATCH($C1743,'Staff Directory'!$B$5:$B$599,0)),$AG1743))</f>
        <v>PSW</v>
      </c>
      <c r="AI1743" s="102"/>
      <c r="AJ1743" s="101">
        <f>IF($F1743="","",SUMIFS($J$5:$J1743,$F$5:$F1743,$F1743))</f>
        <v>14300</v>
      </c>
      <c r="AK1743" s="101">
        <f t="shared" si="302"/>
        <v>14251</v>
      </c>
      <c r="AL1743" s="66" t="str" cm="1">
        <f t="array" ref="AL1743">IF($F1743="","",IFERROR(INDEX('Lot Balance'!$B$5:$B$500,MATCH(1,INDEX(('Lot Balance'!$A$5:$A$500=$F1743)*('Lot Balance'!$K$5:$K$500&lt;$AK1743)*('Lot Balance'!$K$5:$K$500+'Lot Balance'!$D$5:$D$500&gt;=$AK1743),0),0)),""))</f>
        <v>LV2-10040-2</v>
      </c>
      <c r="AM1743" s="66" t="str" cm="1">
        <f t="array" ref="AM1743">IF($F1743="","",IFERROR(INDEX('Lot Balance'!$B$5:$B$500,MATCH(1,INDEX(('Lot Balance'!$A$5:$A$500=$F1743)*('Lot Balance'!$K$5:$K$500&lt;$AJ1743)*('Lot Balance'!$K$5:$K$500+'Lot Balance'!$D$5:$D$500&gt;=$AJ1743),0),0)),""))</f>
        <v>LV2-10040-2</v>
      </c>
      <c r="AN1743" s="66" t="str">
        <f>IF($F1743="","",IF($AI1743&lt;&gt;"",IF(COUNTIFS('Lot Balance'!$A$5:$A$500,$F1743,'Lot Balance'!$B$5:$B$500,$AI1743)=0,"⚠ override is not a lot of this item",IF($AI1743=$AL1743,"Override = FEFO","Override - FEFO says "&amp;$AL1743)),IF($AL1743="","⚠ no receipt on file for this item",IF($AM1743&lt;&gt;$AL1743,"FEFO auto - split, also "&amp;$AM1743,"FEFO auto"))))</f>
        <v>FEFO auto</v>
      </c>
      <c r="AO1743" s="114"/>
    </row>
    <row r="1744" spans="1:41" x14ac:dyDescent="0.35">
      <c r="A1744" s="74">
        <v>46212</v>
      </c>
      <c r="B1744" s="18" t="str">
        <f>IF($C1744="","",IFERROR(INDEX('Staff Directory'!$A$5:$A$594,MATCH($C1744,'Staff Directory'!$B$5:$B$594,0)),"⚠ unknown staff"))</f>
        <v>PSW-022-A4</v>
      </c>
      <c r="C1744" s="49" t="s">
        <v>998</v>
      </c>
      <c r="D1744" s="19" t="str">
        <f>IF($B1744="","",IFERROR(INDEX('Staff Directory'!$C$5:$C$594,MATCH($B1744,'Staff Directory'!$A$5:$A$594,0)),""))</f>
        <v>PSW</v>
      </c>
      <c r="E1744" s="19" t="str">
        <f>IF($B1744="","",IFERROR(INDEX('Staff Directory'!$D$5:$D$594,MATCH($B1744,'Staff Directory'!$A$5:$A$594,0)),""))</f>
        <v>A4</v>
      </c>
      <c r="F1744" s="9" t="s">
        <v>758</v>
      </c>
      <c r="G1744" s="18" t="str">
        <f>IF($F1744="","",IFERROR(INDEX(Items!$B$5:$B$597,MATCH($F1744,Items!$A$5:$A$597,0)),"⚠ not in Items"))</f>
        <v>Utility</v>
      </c>
      <c r="H1744" s="19" t="str">
        <f>IF($F1744="","",IFERROR(INDEX(Items!$C$5:$C$597,MATCH($F1744,Items!$A$5:$A$597,0)),""))</f>
        <v>Standard</v>
      </c>
      <c r="I1744" s="23">
        <f>IF($F1744="","",IFERROR(INDEX(Items!$E$5:$E$597,MATCH($F1744,Items!$A$5:$A$597,0)),""))</f>
        <v>1</v>
      </c>
      <c r="J1744" s="115">
        <f>IF(tblIssues[[#This Row],[Qty Override]]&lt;&gt;"",tblIssues[[#This Row],[Qty Override]],IF(tblIssues[[#This Row],[Standard Issue]]="","",tblIssues[[#This Row],[Standard Issue]]))</f>
        <v>1</v>
      </c>
      <c r="K1744" s="20">
        <f>IF($F1744="","",IFERROR(INDEX(Items!$D$5:$D$597,MATCH($F1744,Items!$A$5:$A$597,0)),""))</f>
        <v>0</v>
      </c>
      <c r="L1744" s="21">
        <f t="shared" si="305"/>
        <v>0</v>
      </c>
      <c r="M1744" s="9" t="str">
        <f t="shared" si="303"/>
        <v/>
      </c>
      <c r="N1744" s="24">
        <f>IF($A1744="","",WORKDAY($A1744,Settings!$C$9,HolidayDates))</f>
        <v>46220</v>
      </c>
      <c r="O1744" s="24">
        <f>IF($N1744="","",WORKDAY($N1744,Settings!$C$10,HolidayDates))</f>
        <v>46260</v>
      </c>
      <c r="P1744" s="10" t="s">
        <v>501</v>
      </c>
      <c r="Q1744" s="52" t="str">
        <f t="shared" si="306"/>
        <v>Collected</v>
      </c>
      <c r="R1744" s="55" t="str">
        <f t="shared" si="307"/>
        <v>2026-07</v>
      </c>
      <c r="S1744" s="55">
        <f>IF(OR($B1744="",$F1744="",$R1744=""),"",SUMIFS(tblIssues[Qty Issued],tblIssues[Staff ID],$B1744,tblIssues[Item Name],$F1744,tblIssues[Month],$R1744))</f>
        <v>1</v>
      </c>
      <c r="T1744" s="56">
        <f>IF($I1744="","",$I1744*Settings!$C$11)</f>
        <v>1</v>
      </c>
      <c r="U1744" s="57" t="str">
        <f t="shared" si="304"/>
        <v>OK</v>
      </c>
      <c r="V1744" s="55" t="str">
        <f t="shared" si="308"/>
        <v/>
      </c>
      <c r="W1744" s="55" t="str">
        <f>IF($V1744="","",IF(COUNTIF($V$5:$V1744,$V1744)=1,1,""))</f>
        <v/>
      </c>
      <c r="X1744" s="58" t="str">
        <f>IF($W1744="","",MAX($X$4:X1743)+1)</f>
        <v/>
      </c>
      <c r="Y1744" s="62"/>
      <c r="Z1744" s="62"/>
      <c r="AA1744" s="64" t="str">
        <f>IF($C1744="","",IFERROR(INDEX('Staff Directory'!$E$5:$E$594,MATCH($C1744,'Staff Directory'!$B$5:$B$594,0)),""))</f>
        <v>firstname082.lastname082@example.com</v>
      </c>
      <c r="AB1744" s="64" t="str">
        <f>IF($C1744="","",IF(ISNUMBER(SEARCH($D1744,Settings!$C$15)),"Pickup","Dispatch"))</f>
        <v>Pickup</v>
      </c>
      <c r="AC1744" s="64" t="str">
        <f t="shared" si="309"/>
        <v>Supply order ready for pickup</v>
      </c>
      <c r="AD1744" s="64" t="str">
        <f t="shared" si="300"/>
        <v>Dear PSW,
Your order is ready for pickup from Sample Branch, Wed-Fri 9am-4pm.</v>
      </c>
      <c r="AE1744" s="64" t="str">
        <f t="shared" si="301"/>
        <v>mailto:firstname082.lastname082@example.com?subject=Supply%20order%20ready%20for%20pickup&amp;body=Dear%20PSW%2C%0A%0AYour%20order%20is%20ready%20for%20pickup%20from%20Sample%20Branch%2C%20Wed-Fri%209am-4pm.</v>
      </c>
      <c r="AF1744" s="89" t="str">
        <f t="shared" si="310"/>
        <v>Draft email</v>
      </c>
      <c r="AG1744" s="64" t="str">
        <f>IF($C1744="","",IFERROR(INDEX('Staff Directory'!$K$595:$K$599,MATCH($C1744,'Staff Directory'!$B$5:$B$599,0)),$D1744))</f>
        <v>PSW</v>
      </c>
      <c r="AH1744" t="str">
        <f>IF($C1744="","",IFERROR(INDEX('Staff Directory'!$I$595:$I$599,MATCH($C1744,'Staff Directory'!$B$5:$B$599,0))&amp;" "&amp;INDEX('Staff Directory'!$J$595:$J$599,MATCH($C1744,'Staff Directory'!$B$5:$B$599,0)),$AG1744))</f>
        <v>PSW</v>
      </c>
      <c r="AI1744" s="102"/>
      <c r="AJ1744" s="101">
        <f>IF($F1744="","",SUMIFS($J$5:$J1744,$F$5:$F1744,$F1744))</f>
        <v>64</v>
      </c>
      <c r="AK1744" s="101">
        <f t="shared" si="302"/>
        <v>64</v>
      </c>
      <c r="AL1744" s="66" t="str" cm="1">
        <f t="array" ref="AL1744">IF($F1744="","",IFERROR(INDEX('Lot Balance'!$B$5:$B$500,MATCH(1,INDEX(('Lot Balance'!$A$5:$A$500=$F1744)*('Lot Balance'!$K$5:$K$500&lt;$AK1744)*('Lot Balance'!$K$5:$K$500+'Lot Balance'!$D$5:$D$500&gt;=$AK1744),0),0)),""))</f>
        <v/>
      </c>
      <c r="AM1744" s="66" t="str" cm="1">
        <f t="array" ref="AM1744">IF($F1744="","",IFERROR(INDEX('Lot Balance'!$B$5:$B$500,MATCH(1,INDEX(('Lot Balance'!$A$5:$A$500=$F1744)*('Lot Balance'!$K$5:$K$500&lt;$AJ1744)*('Lot Balance'!$K$5:$K$500+'Lot Balance'!$D$5:$D$500&gt;=$AJ1744),0),0)),""))</f>
        <v/>
      </c>
      <c r="AN1744" s="66" t="str">
        <f>IF($F1744="","",IF($AI1744&lt;&gt;"",IF(COUNTIFS('Lot Balance'!$A$5:$A$500,$F1744,'Lot Balance'!$B$5:$B$500,$AI1744)=0,"⚠ override is not a lot of this item",IF($AI1744=$AL1744,"Override = FEFO","Override - FEFO says "&amp;$AL1744)),IF($AL1744="","⚠ no receipt on file for this item",IF($AM1744&lt;&gt;$AL1744,"FEFO auto - split, also "&amp;$AM1744,"FEFO auto"))))</f>
        <v>⚠ no receipt on file for this item</v>
      </c>
      <c r="AO1744" s="114"/>
    </row>
    <row r="1745" spans="1:41" x14ac:dyDescent="0.35">
      <c r="A1745" s="74">
        <v>46212</v>
      </c>
      <c r="B1745" s="18" t="str">
        <f>IF($C1745="","",IFERROR(INDEX('Staff Directory'!$A$5:$A$594,MATCH($C1745,'Staff Directory'!$B$5:$B$594,0)),"⚠ unknown staff"))</f>
        <v>PSW-008-A6</v>
      </c>
      <c r="C1745" s="49" t="s">
        <v>984</v>
      </c>
      <c r="D1745" s="19" t="str">
        <f>IF($B1745="","",IFERROR(INDEX('Staff Directory'!$C$5:$C$594,MATCH($B1745,'Staff Directory'!$A$5:$A$594,0)),""))</f>
        <v>PSW</v>
      </c>
      <c r="E1745" s="19" t="str">
        <f>IF($B1745="","",IFERROR(INDEX('Staff Directory'!$D$5:$D$594,MATCH($B1745,'Staff Directory'!$A$5:$A$594,0)),""))</f>
        <v>A6</v>
      </c>
      <c r="F1745" s="9" t="s">
        <v>129</v>
      </c>
      <c r="G1745" s="18" t="str">
        <f>IF($F1745="","",IFERROR(INDEX(Items!$B$5:$B$597,MATCH($F1745,Items!$A$5:$A$597,0)),"⚠ not in Items"))</f>
        <v>Gloves</v>
      </c>
      <c r="H1745" s="19" t="str">
        <f>IF($F1745="","",IFERROR(INDEX(Items!$C$5:$C$597,MATCH($F1745,Items!$A$5:$A$597,0)),""))</f>
        <v>Small</v>
      </c>
      <c r="I1745" s="23">
        <f>IF($F1745="","",IFERROR(INDEX(Items!$E$5:$E$597,MATCH($F1745,Items!$A$5:$A$597,0)),""))</f>
        <v>500</v>
      </c>
      <c r="J1745" s="115">
        <f>IF(tblIssues[[#This Row],[Qty Override]]&lt;&gt;"",tblIssues[[#This Row],[Qty Override]],IF(tblIssues[[#This Row],[Standard Issue]]="","",tblIssues[[#This Row],[Standard Issue]]))</f>
        <v>500</v>
      </c>
      <c r="K1745" s="20">
        <f>IF($F1745="","",IFERROR(INDEX(Items!$D$5:$D$597,MATCH($F1745,Items!$A$5:$A$597,0)),""))</f>
        <v>5.5E-2</v>
      </c>
      <c r="L1745" s="21">
        <f t="shared" si="305"/>
        <v>27.5</v>
      </c>
      <c r="M1745" s="9" t="str">
        <f t="shared" si="303"/>
        <v>ZIM601144366-0</v>
      </c>
      <c r="N1745" s="24">
        <f>IF($A1745="","",WORKDAY($A1745,Settings!$C$9,HolidayDates))</f>
        <v>46220</v>
      </c>
      <c r="O1745" s="24">
        <f>IF($N1745="","",WORKDAY($N1745,Settings!$C$10,HolidayDates))</f>
        <v>46260</v>
      </c>
      <c r="P1745" s="10" t="s">
        <v>501</v>
      </c>
      <c r="Q1745" s="52" t="str">
        <f t="shared" si="306"/>
        <v>Collected</v>
      </c>
      <c r="R1745" s="55" t="str">
        <f t="shared" si="307"/>
        <v>2026-07</v>
      </c>
      <c r="S1745" s="55">
        <f>IF(OR($B1745="",$F1745="",$R1745=""),"",SUMIFS(tblIssues[Qty Issued],tblIssues[Staff ID],$B1745,tblIssues[Item Name],$F1745,tblIssues[Month],$R1745))</f>
        <v>500</v>
      </c>
      <c r="T1745" s="56">
        <f>IF($I1745="","",$I1745*Settings!$C$11)</f>
        <v>500</v>
      </c>
      <c r="U1745" s="57" t="str">
        <f t="shared" si="304"/>
        <v>OK</v>
      </c>
      <c r="V1745" s="55" t="str">
        <f t="shared" si="308"/>
        <v/>
      </c>
      <c r="W1745" s="55" t="str">
        <f>IF($V1745="","",IF(COUNTIF($V$5:$V1745,$V1745)=1,1,""))</f>
        <v/>
      </c>
      <c r="X1745" s="58" t="str">
        <f>IF($W1745="","",MAX($X$4:X1744)+1)</f>
        <v/>
      </c>
      <c r="Y1745" s="62"/>
      <c r="Z1745" s="62"/>
      <c r="AA1745" s="64" t="str">
        <f>IF($C1745="","",IFERROR(INDEX('Staff Directory'!$E$5:$E$594,MATCH($C1745,'Staff Directory'!$B$5:$B$594,0)),""))</f>
        <v>firstname068.lastname068@example.com</v>
      </c>
      <c r="AB1745" s="64" t="str">
        <f>IF($C1745="","",IF(ISNUMBER(SEARCH($D1745,Settings!$C$15)),"Pickup","Dispatch"))</f>
        <v>Pickup</v>
      </c>
      <c r="AC1745" s="64" t="str">
        <f t="shared" si="309"/>
        <v>Supply order ready for pickup</v>
      </c>
      <c r="AD1745" s="64" t="str">
        <f t="shared" si="300"/>
        <v>Dear PSW,
Your order is ready for pickup from Sample Branch, Wed-Fri 9am-4pm.</v>
      </c>
      <c r="AE1745" s="64" t="str">
        <f t="shared" si="301"/>
        <v>mailto:firstname068.lastname068@example.com?subject=Supply%20order%20ready%20for%20pickup&amp;body=Dear%20PSW%2C%0A%0AYour%20order%20is%20ready%20for%20pickup%20from%20Sample%20Branch%2C%20Wed-Fri%209am-4pm.</v>
      </c>
      <c r="AF1745" s="89" t="str">
        <f t="shared" si="310"/>
        <v>Draft email</v>
      </c>
      <c r="AG1745" s="64" t="str">
        <f>IF($C1745="","",IFERROR(INDEX('Staff Directory'!$K$595:$K$599,MATCH($C1745,'Staff Directory'!$B$5:$B$599,0)),$D1745))</f>
        <v>PSW</v>
      </c>
      <c r="AH1745" t="str">
        <f>IF($C1745="","",IFERROR(INDEX('Staff Directory'!$I$595:$I$599,MATCH($C1745,'Staff Directory'!$B$5:$B$599,0))&amp;" "&amp;INDEX('Staff Directory'!$J$595:$J$599,MATCH($C1745,'Staff Directory'!$B$5:$B$599,0)),$AG1745))</f>
        <v>PSW</v>
      </c>
      <c r="AI1745" s="102"/>
      <c r="AJ1745" s="101">
        <f>IF($F1745="","",SUMIFS($J$5:$J1745,$F$5:$F1745,$F1745))</f>
        <v>52500</v>
      </c>
      <c r="AK1745" s="101">
        <f t="shared" si="302"/>
        <v>52001</v>
      </c>
      <c r="AL1745" s="66" t="str" cm="1">
        <f t="array" ref="AL1745">IF($F1745="","",IFERROR(INDEX('Lot Balance'!$B$5:$B$500,MATCH(1,INDEX(('Lot Balance'!$A$5:$A$500=$F1745)*('Lot Balance'!$K$5:$K$500&lt;$AK1745)*('Lot Balance'!$K$5:$K$500+'Lot Balance'!$D$5:$D$500&gt;=$AK1745),0),0)),""))</f>
        <v>ZIM601144366-0</v>
      </c>
      <c r="AM1745" s="66" t="str" cm="1">
        <f t="array" ref="AM1745">IF($F1745="","",IFERROR(INDEX('Lot Balance'!$B$5:$B$500,MATCH(1,INDEX(('Lot Balance'!$A$5:$A$500=$F1745)*('Lot Balance'!$K$5:$K$500&lt;$AJ1745)*('Lot Balance'!$K$5:$K$500+'Lot Balance'!$D$5:$D$500&gt;=$AJ1745),0),0)),""))</f>
        <v>ZIM601144366-1</v>
      </c>
      <c r="AN1745" s="66" t="str">
        <f>IF($F1745="","",IF($AI1745&lt;&gt;"",IF(COUNTIFS('Lot Balance'!$A$5:$A$500,$F1745,'Lot Balance'!$B$5:$B$500,$AI1745)=0,"⚠ override is not a lot of this item",IF($AI1745=$AL1745,"Override = FEFO","Override - FEFO says "&amp;$AL1745)),IF($AL1745="","⚠ no receipt on file for this item",IF($AM1745&lt;&gt;$AL1745,"FEFO auto - split, also "&amp;$AM1745,"FEFO auto"))))</f>
        <v>FEFO auto - split, also ZIM601144366-1</v>
      </c>
      <c r="AO1745" s="114"/>
    </row>
    <row r="1746" spans="1:41" x14ac:dyDescent="0.35">
      <c r="A1746" s="74">
        <v>46212</v>
      </c>
      <c r="B1746" s="18" t="str">
        <f>IF($C1746="","",IFERROR(INDEX('Staff Directory'!$A$5:$A$594,MATCH($C1746,'Staff Directory'!$B$5:$B$594,0)),"⚠ unknown staff"))</f>
        <v>PSW-008-A6</v>
      </c>
      <c r="C1746" s="49" t="s">
        <v>984</v>
      </c>
      <c r="D1746" s="19" t="str">
        <f>IF($B1746="","",IFERROR(INDEX('Staff Directory'!$C$5:$C$594,MATCH($B1746,'Staff Directory'!$A$5:$A$594,0)),""))</f>
        <v>PSW</v>
      </c>
      <c r="E1746" s="19" t="str">
        <f>IF($B1746="","",IFERROR(INDEX('Staff Directory'!$D$5:$D$594,MATCH($B1746,'Staff Directory'!$A$5:$A$594,0)),""))</f>
        <v>A6</v>
      </c>
      <c r="F1746" s="9" t="s">
        <v>191</v>
      </c>
      <c r="G1746" s="18" t="str">
        <f>IF($F1746="","",IFERROR(INDEX(Items!$B$5:$B$597,MATCH($F1746,Items!$A$5:$A$597,0)),"⚠ not in Items"))</f>
        <v>Sanitizer</v>
      </c>
      <c r="H1746" s="19" t="str">
        <f>IF($F1746="","",IFERROR(INDEX(Items!$C$5:$C$597,MATCH($F1746,Items!$A$5:$A$597,0)),""))</f>
        <v>236 ML</v>
      </c>
      <c r="I1746" s="23">
        <f>IF($F1746="","",IFERROR(INDEX(Items!$E$5:$E$597,MATCH($F1746,Items!$A$5:$A$597,0)),""))</f>
        <v>1</v>
      </c>
      <c r="J1746" s="115">
        <f>IF(tblIssues[[#This Row],[Qty Override]]&lt;&gt;"",tblIssues[[#This Row],[Qty Override]],IF(tblIssues[[#This Row],[Standard Issue]]="","",tblIssues[[#This Row],[Standard Issue]]))</f>
        <v>1</v>
      </c>
      <c r="K1746" s="20">
        <f>IF($F1746="","",IFERROR(INDEX(Items!$D$5:$D$597,MATCH($F1746,Items!$A$5:$A$597,0)),""))</f>
        <v>1E-4</v>
      </c>
      <c r="L1746" s="21">
        <f t="shared" si="305"/>
        <v>1E-4</v>
      </c>
      <c r="M1746" s="9" t="str">
        <f t="shared" si="303"/>
        <v>20-21734-5</v>
      </c>
      <c r="N1746" s="24">
        <f>IF($A1746="","",WORKDAY($A1746,Settings!$C$9,HolidayDates))</f>
        <v>46220</v>
      </c>
      <c r="O1746" s="24">
        <f>IF($N1746="","",WORKDAY($N1746,Settings!$C$10,HolidayDates))</f>
        <v>46260</v>
      </c>
      <c r="P1746" s="10" t="s">
        <v>501</v>
      </c>
      <c r="Q1746" s="52" t="str">
        <f t="shared" si="306"/>
        <v>Collected</v>
      </c>
      <c r="R1746" s="55" t="str">
        <f t="shared" si="307"/>
        <v>2026-07</v>
      </c>
      <c r="S1746" s="55">
        <f>IF(OR($B1746="",$F1746="",$R1746=""),"",SUMIFS(tblIssues[Qty Issued],tblIssues[Staff ID],$B1746,tblIssues[Item Name],$F1746,tblIssues[Month],$R1746))</f>
        <v>1</v>
      </c>
      <c r="T1746" s="56">
        <f>IF($I1746="","",$I1746*Settings!$C$11)</f>
        <v>1</v>
      </c>
      <c r="U1746" s="57" t="str">
        <f t="shared" si="304"/>
        <v>OK</v>
      </c>
      <c r="V1746" s="55" t="str">
        <f t="shared" si="308"/>
        <v/>
      </c>
      <c r="W1746" s="55" t="str">
        <f>IF($V1746="","",IF(COUNTIF($V$5:$V1746,$V1746)=1,1,""))</f>
        <v/>
      </c>
      <c r="X1746" s="58" t="str">
        <f>IF($W1746="","",MAX($X$4:X1745)+1)</f>
        <v/>
      </c>
      <c r="Y1746" s="62"/>
      <c r="Z1746" s="62"/>
      <c r="AA1746" s="64" t="str">
        <f>IF($C1746="","",IFERROR(INDEX('Staff Directory'!$E$5:$E$594,MATCH($C1746,'Staff Directory'!$B$5:$B$594,0)),""))</f>
        <v>firstname068.lastname068@example.com</v>
      </c>
      <c r="AB1746" s="64" t="str">
        <f>IF($C1746="","",IF(ISNUMBER(SEARCH($D1746,Settings!$C$15)),"Pickup","Dispatch"))</f>
        <v>Pickup</v>
      </c>
      <c r="AC1746" s="64" t="str">
        <f t="shared" si="309"/>
        <v>Supply order ready for pickup</v>
      </c>
      <c r="AD1746" s="64" t="str">
        <f t="shared" si="300"/>
        <v>Dear PSW,
Your order is ready for pickup from Sample Branch, Wed-Fri 9am-4pm.</v>
      </c>
      <c r="AE1746" s="64" t="str">
        <f t="shared" si="301"/>
        <v>mailto:firstname068.lastname068@example.com?subject=Supply%20order%20ready%20for%20pickup&amp;body=Dear%20PSW%2C%0A%0AYour%20order%20is%20ready%20for%20pickup%20from%20Sample%20Branch%2C%20Wed-Fri%209am-4pm.</v>
      </c>
      <c r="AF1746" s="89" t="str">
        <f t="shared" si="310"/>
        <v>Draft email</v>
      </c>
      <c r="AG1746" s="64" t="str">
        <f>IF($C1746="","",IFERROR(INDEX('Staff Directory'!$K$595:$K$599,MATCH($C1746,'Staff Directory'!$B$5:$B$599,0)),$D1746))</f>
        <v>PSW</v>
      </c>
      <c r="AH1746" t="str">
        <f>IF($C1746="","",IFERROR(INDEX('Staff Directory'!$I$595:$I$599,MATCH($C1746,'Staff Directory'!$B$5:$B$599,0))&amp;" "&amp;INDEX('Staff Directory'!$J$595:$J$599,MATCH($C1746,'Staff Directory'!$B$5:$B$599,0)),$AG1746))</f>
        <v>PSW</v>
      </c>
      <c r="AI1746" s="102"/>
      <c r="AJ1746" s="101">
        <f>IF($F1746="","",SUMIFS($J$5:$J1746,$F$5:$F1746,$F1746))</f>
        <v>226</v>
      </c>
      <c r="AK1746" s="101">
        <f t="shared" si="302"/>
        <v>226</v>
      </c>
      <c r="AL1746" s="66" t="str" cm="1">
        <f t="array" ref="AL1746">IF($F1746="","",IFERROR(INDEX('Lot Balance'!$B$5:$B$500,MATCH(1,INDEX(('Lot Balance'!$A$5:$A$500=$F1746)*('Lot Balance'!$K$5:$K$500&lt;$AK1746)*('Lot Balance'!$K$5:$K$500+'Lot Balance'!$D$5:$D$500&gt;=$AK1746),0),0)),""))</f>
        <v>20-21734-5</v>
      </c>
      <c r="AM1746" s="66" t="str" cm="1">
        <f t="array" ref="AM1746">IF($F1746="","",IFERROR(INDEX('Lot Balance'!$B$5:$B$500,MATCH(1,INDEX(('Lot Balance'!$A$5:$A$500=$F1746)*('Lot Balance'!$K$5:$K$500&lt;$AJ1746)*('Lot Balance'!$K$5:$K$500+'Lot Balance'!$D$5:$D$500&gt;=$AJ1746),0),0)),""))</f>
        <v>20-21734-5</v>
      </c>
      <c r="AN1746" s="66" t="str">
        <f>IF($F1746="","",IF($AI1746&lt;&gt;"",IF(COUNTIFS('Lot Balance'!$A$5:$A$500,$F1746,'Lot Balance'!$B$5:$B$500,$AI1746)=0,"⚠ override is not a lot of this item",IF($AI1746=$AL1746,"Override = FEFO","Override - FEFO says "&amp;$AL1746)),IF($AL1746="","⚠ no receipt on file for this item",IF($AM1746&lt;&gt;$AL1746,"FEFO auto - split, also "&amp;$AM1746,"FEFO auto"))))</f>
        <v>FEFO auto</v>
      </c>
      <c r="AO1746" s="114"/>
    </row>
    <row r="1747" spans="1:41" x14ac:dyDescent="0.35">
      <c r="A1747" s="74">
        <v>46212</v>
      </c>
      <c r="B1747" s="18" t="str">
        <f>IF($C1747="","",IFERROR(INDEX('Staff Directory'!$A$5:$A$594,MATCH($C1747,'Staff Directory'!$B$5:$B$594,0)),"⚠ unknown staff"))</f>
        <v>PSW-008-A6</v>
      </c>
      <c r="C1747" s="49" t="s">
        <v>984</v>
      </c>
      <c r="D1747" s="19" t="str">
        <f>IF($B1747="","",IFERROR(INDEX('Staff Directory'!$C$5:$C$594,MATCH($B1747,'Staff Directory'!$A$5:$A$594,0)),""))</f>
        <v>PSW</v>
      </c>
      <c r="E1747" s="19" t="str">
        <f>IF($B1747="","",IFERROR(INDEX('Staff Directory'!$D$5:$D$594,MATCH($B1747,'Staff Directory'!$A$5:$A$594,0)),""))</f>
        <v>A6</v>
      </c>
      <c r="F1747" s="9" t="s">
        <v>115</v>
      </c>
      <c r="G1747" s="18" t="str">
        <f>IF($F1747="","",IFERROR(INDEX(Items!$B$5:$B$597,MATCH($F1747,Items!$A$5:$A$597,0)),"⚠ not in Items"))</f>
        <v>Wipes</v>
      </c>
      <c r="H1747" s="19">
        <f>IF($F1747="","",IFERROR(INDEX(Items!$C$5:$C$597,MATCH($F1747,Items!$A$5:$A$597,0)),""))</f>
        <v>80</v>
      </c>
      <c r="I1747" s="23">
        <f>IF($F1747="","",IFERROR(INDEX(Items!$E$5:$E$597,MATCH($F1747,Items!$A$5:$A$597,0)),""))</f>
        <v>80</v>
      </c>
      <c r="J1747" s="115">
        <f>IF(tblIssues[[#This Row],[Qty Override]]&lt;&gt;"",tblIssues[[#This Row],[Qty Override]],IF(tblIssues[[#This Row],[Standard Issue]]="","",tblIssues[[#This Row],[Standard Issue]]))</f>
        <v>80</v>
      </c>
      <c r="K1747" s="20">
        <f>IF($F1747="","",IFERROR(INDEX(Items!$D$5:$D$597,MATCH($F1747,Items!$A$5:$A$597,0)),""))</f>
        <v>0.1</v>
      </c>
      <c r="L1747" s="21">
        <f t="shared" si="305"/>
        <v>8</v>
      </c>
      <c r="M1747" s="9" t="str">
        <f t="shared" si="303"/>
        <v>LYSL500290</v>
      </c>
      <c r="N1747" s="24">
        <f>IF($A1747="","",WORKDAY($A1747,Settings!$C$9,HolidayDates))</f>
        <v>46220</v>
      </c>
      <c r="O1747" s="24">
        <f>IF($N1747="","",WORKDAY($N1747,Settings!$C$10,HolidayDates))</f>
        <v>46260</v>
      </c>
      <c r="P1747" s="10" t="s">
        <v>501</v>
      </c>
      <c r="Q1747" s="52" t="str">
        <f t="shared" si="306"/>
        <v>Collected</v>
      </c>
      <c r="R1747" s="55" t="str">
        <f t="shared" si="307"/>
        <v>2026-07</v>
      </c>
      <c r="S1747" s="55">
        <f>IF(OR($B1747="",$F1747="",$R1747=""),"",SUMIFS(tblIssues[Qty Issued],tblIssues[Staff ID],$B1747,tblIssues[Item Name],$F1747,tblIssues[Month],$R1747))</f>
        <v>80</v>
      </c>
      <c r="T1747" s="56">
        <f>IF($I1747="","",$I1747*Settings!$C$11)</f>
        <v>80</v>
      </c>
      <c r="U1747" s="57" t="str">
        <f t="shared" si="304"/>
        <v>OK</v>
      </c>
      <c r="V1747" s="55" t="str">
        <f t="shared" si="308"/>
        <v/>
      </c>
      <c r="W1747" s="55" t="str">
        <f>IF($V1747="","",IF(COUNTIF($V$5:$V1747,$V1747)=1,1,""))</f>
        <v/>
      </c>
      <c r="X1747" s="58" t="str">
        <f>IF($W1747="","",MAX($X$4:X1746)+1)</f>
        <v/>
      </c>
      <c r="Y1747" s="62"/>
      <c r="Z1747" s="62"/>
      <c r="AA1747" s="64" t="str">
        <f>IF($C1747="","",IFERROR(INDEX('Staff Directory'!$E$5:$E$594,MATCH($C1747,'Staff Directory'!$B$5:$B$594,0)),""))</f>
        <v>firstname068.lastname068@example.com</v>
      </c>
      <c r="AB1747" s="64" t="str">
        <f>IF($C1747="","",IF(ISNUMBER(SEARCH($D1747,Settings!$C$15)),"Pickup","Dispatch"))</f>
        <v>Pickup</v>
      </c>
      <c r="AC1747" s="64" t="str">
        <f t="shared" si="309"/>
        <v>Supply order ready for pickup</v>
      </c>
      <c r="AD1747" s="64" t="str">
        <f t="shared" si="300"/>
        <v>Dear PSW,
Your order is ready for pickup from Sample Branch, Wed-Fri 9am-4pm.</v>
      </c>
      <c r="AE1747" s="64" t="str">
        <f t="shared" si="301"/>
        <v>mailto:firstname068.lastname068@example.com?subject=Supply%20order%20ready%20for%20pickup&amp;body=Dear%20PSW%2C%0A%0AYour%20order%20is%20ready%20for%20pickup%20from%20Sample%20Branch%2C%20Wed-Fri%209am-4pm.</v>
      </c>
      <c r="AF1747" s="89" t="str">
        <f t="shared" si="310"/>
        <v>Draft email</v>
      </c>
      <c r="AG1747" s="64" t="str">
        <f>IF($C1747="","",IFERROR(INDEX('Staff Directory'!$K$595:$K$599,MATCH($C1747,'Staff Directory'!$B$5:$B$599,0)),$D1747))</f>
        <v>PSW</v>
      </c>
      <c r="AH1747" t="str">
        <f>IF($C1747="","",IFERROR(INDEX('Staff Directory'!$I$595:$I$599,MATCH($C1747,'Staff Directory'!$B$5:$B$599,0))&amp;" "&amp;INDEX('Staff Directory'!$J$595:$J$599,MATCH($C1747,'Staff Directory'!$B$5:$B$599,0)),$AG1747))</f>
        <v>PSW</v>
      </c>
      <c r="AI1747" s="102"/>
      <c r="AJ1747" s="101">
        <f>IF($F1747="","",SUMIFS($J$5:$J1747,$F$5:$F1747,$F1747))</f>
        <v>23120</v>
      </c>
      <c r="AK1747" s="101">
        <f t="shared" si="302"/>
        <v>23041</v>
      </c>
      <c r="AL1747" s="66" t="str" cm="1">
        <f t="array" ref="AL1747">IF($F1747="","",IFERROR(INDEX('Lot Balance'!$B$5:$B$500,MATCH(1,INDEX(('Lot Balance'!$A$5:$A$500=$F1747)*('Lot Balance'!$K$5:$K$500&lt;$AK1747)*('Lot Balance'!$K$5:$K$500+'Lot Balance'!$D$5:$D$500&gt;=$AK1747),0),0)),""))</f>
        <v>LYSL500290</v>
      </c>
      <c r="AM1747" s="66" t="str" cm="1">
        <f t="array" ref="AM1747">IF($F1747="","",IFERROR(INDEX('Lot Balance'!$B$5:$B$500,MATCH(1,INDEX(('Lot Balance'!$A$5:$A$500=$F1747)*('Lot Balance'!$K$5:$K$500&lt;$AJ1747)*('Lot Balance'!$K$5:$K$500+'Lot Balance'!$D$5:$D$500&gt;=$AJ1747),0),0)),""))</f>
        <v>LYSL500290</v>
      </c>
      <c r="AN1747" s="66" t="str">
        <f>IF($F1747="","",IF($AI1747&lt;&gt;"",IF(COUNTIFS('Lot Balance'!$A$5:$A$500,$F1747,'Lot Balance'!$B$5:$B$500,$AI1747)=0,"⚠ override is not a lot of this item",IF($AI1747=$AL1747,"Override = FEFO","Override - FEFO says "&amp;$AL1747)),IF($AL1747="","⚠ no receipt on file for this item",IF($AM1747&lt;&gt;$AL1747,"FEFO auto - split, also "&amp;$AM1747,"FEFO auto"))))</f>
        <v>FEFO auto</v>
      </c>
      <c r="AO1747" s="114"/>
    </row>
    <row r="1748" spans="1:41" x14ac:dyDescent="0.35">
      <c r="A1748" s="74">
        <v>46212</v>
      </c>
      <c r="B1748" s="18" t="str">
        <f>IF($C1748="","",IFERROR(INDEX('Staff Directory'!$A$5:$A$594,MATCH($C1748,'Staff Directory'!$B$5:$B$594,0)),"⚠ unknown staff"))</f>
        <v>PSW-008-A6</v>
      </c>
      <c r="C1748" s="49" t="s">
        <v>984</v>
      </c>
      <c r="D1748" s="19" t="str">
        <f>IF($B1748="","",IFERROR(INDEX('Staff Directory'!$C$5:$C$594,MATCH($B1748,'Staff Directory'!$A$5:$A$594,0)),""))</f>
        <v>PSW</v>
      </c>
      <c r="E1748" s="19" t="str">
        <f>IF($B1748="","",IFERROR(INDEX('Staff Directory'!$D$5:$D$594,MATCH($B1748,'Staff Directory'!$A$5:$A$594,0)),""))</f>
        <v>A6</v>
      </c>
      <c r="F1748" s="9" t="s">
        <v>758</v>
      </c>
      <c r="G1748" s="18" t="str">
        <f>IF($F1748="","",IFERROR(INDEX(Items!$B$5:$B$597,MATCH($F1748,Items!$A$5:$A$597,0)),"⚠ not in Items"))</f>
        <v>Utility</v>
      </c>
      <c r="H1748" s="19" t="str">
        <f>IF($F1748="","",IFERROR(INDEX(Items!$C$5:$C$597,MATCH($F1748,Items!$A$5:$A$597,0)),""))</f>
        <v>Standard</v>
      </c>
      <c r="I1748" s="23">
        <f>IF($F1748="","",IFERROR(INDEX(Items!$E$5:$E$597,MATCH($F1748,Items!$A$5:$A$597,0)),""))</f>
        <v>1</v>
      </c>
      <c r="J1748" s="115">
        <f>IF(tblIssues[[#This Row],[Qty Override]]&lt;&gt;"",tblIssues[[#This Row],[Qty Override]],IF(tblIssues[[#This Row],[Standard Issue]]="","",tblIssues[[#This Row],[Standard Issue]]))</f>
        <v>1</v>
      </c>
      <c r="K1748" s="20">
        <f>IF($F1748="","",IFERROR(INDEX(Items!$D$5:$D$597,MATCH($F1748,Items!$A$5:$A$597,0)),""))</f>
        <v>0</v>
      </c>
      <c r="L1748" s="21">
        <f t="shared" si="305"/>
        <v>0</v>
      </c>
      <c r="M1748" s="9" t="str">
        <f t="shared" si="303"/>
        <v/>
      </c>
      <c r="N1748" s="24">
        <f>IF($A1748="","",WORKDAY($A1748,Settings!$C$9,HolidayDates))</f>
        <v>46220</v>
      </c>
      <c r="O1748" s="24">
        <f>IF($N1748="","",WORKDAY($N1748,Settings!$C$10,HolidayDates))</f>
        <v>46260</v>
      </c>
      <c r="P1748" s="10" t="s">
        <v>501</v>
      </c>
      <c r="Q1748" s="52" t="str">
        <f t="shared" si="306"/>
        <v>Collected</v>
      </c>
      <c r="R1748" s="55" t="str">
        <f t="shared" si="307"/>
        <v>2026-07</v>
      </c>
      <c r="S1748" s="55">
        <f>IF(OR($B1748="",$F1748="",$R1748=""),"",SUMIFS(tblIssues[Qty Issued],tblIssues[Staff ID],$B1748,tblIssues[Item Name],$F1748,tblIssues[Month],$R1748))</f>
        <v>1</v>
      </c>
      <c r="T1748" s="56">
        <f>IF($I1748="","",$I1748*Settings!$C$11)</f>
        <v>1</v>
      </c>
      <c r="U1748" s="57" t="str">
        <f t="shared" si="304"/>
        <v>OK</v>
      </c>
      <c r="V1748" s="55" t="str">
        <f t="shared" si="308"/>
        <v/>
      </c>
      <c r="W1748" s="55" t="str">
        <f>IF($V1748="","",IF(COUNTIF($V$5:$V1748,$V1748)=1,1,""))</f>
        <v/>
      </c>
      <c r="X1748" s="58" t="str">
        <f>IF($W1748="","",MAX($X$4:X1747)+1)</f>
        <v/>
      </c>
      <c r="Y1748" s="62"/>
      <c r="Z1748" s="62"/>
      <c r="AA1748" s="64" t="str">
        <f>IF($C1748="","",IFERROR(INDEX('Staff Directory'!$E$5:$E$594,MATCH($C1748,'Staff Directory'!$B$5:$B$594,0)),""))</f>
        <v>firstname068.lastname068@example.com</v>
      </c>
      <c r="AB1748" s="64" t="str">
        <f>IF($C1748="","",IF(ISNUMBER(SEARCH($D1748,Settings!$C$15)),"Pickup","Dispatch"))</f>
        <v>Pickup</v>
      </c>
      <c r="AC1748" s="64" t="str">
        <f t="shared" si="309"/>
        <v>Supply order ready for pickup</v>
      </c>
      <c r="AD1748" s="64" t="str">
        <f t="shared" si="300"/>
        <v>Dear PSW,
Your order is ready for pickup from Sample Branch, Wed-Fri 9am-4pm.</v>
      </c>
      <c r="AE1748" s="64" t="str">
        <f t="shared" si="301"/>
        <v>mailto:firstname068.lastname068@example.com?subject=Supply%20order%20ready%20for%20pickup&amp;body=Dear%20PSW%2C%0A%0AYour%20order%20is%20ready%20for%20pickup%20from%20Sample%20Branch%2C%20Wed-Fri%209am-4pm.</v>
      </c>
      <c r="AF1748" s="89" t="str">
        <f t="shared" si="310"/>
        <v>Draft email</v>
      </c>
      <c r="AG1748" s="64" t="str">
        <f>IF($C1748="","",IFERROR(INDEX('Staff Directory'!$K$595:$K$599,MATCH($C1748,'Staff Directory'!$B$5:$B$599,0)),$D1748))</f>
        <v>PSW</v>
      </c>
      <c r="AH1748" t="str">
        <f>IF($C1748="","",IFERROR(INDEX('Staff Directory'!$I$595:$I$599,MATCH($C1748,'Staff Directory'!$B$5:$B$599,0))&amp;" "&amp;INDEX('Staff Directory'!$J$595:$J$599,MATCH($C1748,'Staff Directory'!$B$5:$B$599,0)),$AG1748))</f>
        <v>PSW</v>
      </c>
      <c r="AI1748" s="102"/>
      <c r="AJ1748" s="101">
        <f>IF($F1748="","",SUMIFS($J$5:$J1748,$F$5:$F1748,$F1748))</f>
        <v>65</v>
      </c>
      <c r="AK1748" s="101">
        <f t="shared" si="302"/>
        <v>65</v>
      </c>
      <c r="AL1748" s="66" t="str" cm="1">
        <f t="array" ref="AL1748">IF($F1748="","",IFERROR(INDEX('Lot Balance'!$B$5:$B$500,MATCH(1,INDEX(('Lot Balance'!$A$5:$A$500=$F1748)*('Lot Balance'!$K$5:$K$500&lt;$AK1748)*('Lot Balance'!$K$5:$K$500+'Lot Balance'!$D$5:$D$500&gt;=$AK1748),0),0)),""))</f>
        <v/>
      </c>
      <c r="AM1748" s="66" t="str" cm="1">
        <f t="array" ref="AM1748">IF($F1748="","",IFERROR(INDEX('Lot Balance'!$B$5:$B$500,MATCH(1,INDEX(('Lot Balance'!$A$5:$A$500=$F1748)*('Lot Balance'!$K$5:$K$500&lt;$AJ1748)*('Lot Balance'!$K$5:$K$500+'Lot Balance'!$D$5:$D$500&gt;=$AJ1748),0),0)),""))</f>
        <v/>
      </c>
      <c r="AN1748" s="66" t="str">
        <f>IF($F1748="","",IF($AI1748&lt;&gt;"",IF(COUNTIFS('Lot Balance'!$A$5:$A$500,$F1748,'Lot Balance'!$B$5:$B$500,$AI1748)=0,"⚠ override is not a lot of this item",IF($AI1748=$AL1748,"Override = FEFO","Override - FEFO says "&amp;$AL1748)),IF($AL1748="","⚠ no receipt on file for this item",IF($AM1748&lt;&gt;$AL1748,"FEFO auto - split, also "&amp;$AM1748,"FEFO auto"))))</f>
        <v>⚠ no receipt on file for this item</v>
      </c>
      <c r="AO1748" s="114"/>
    </row>
    <row r="1749" spans="1:41" x14ac:dyDescent="0.35">
      <c r="A1749" s="74">
        <v>46213</v>
      </c>
      <c r="B1749" s="18" t="str">
        <f>IF($C1749="","",IFERROR(INDEX('Staff Directory'!$A$5:$A$594,MATCH($C1749,'Staff Directory'!$B$5:$B$594,0)),"⚠ unknown staff"))</f>
        <v>PSW-043-A5</v>
      </c>
      <c r="C1749" s="49" t="s">
        <v>1018</v>
      </c>
      <c r="D1749" s="19" t="str">
        <f>IF($B1749="","",IFERROR(INDEX('Staff Directory'!$C$5:$C$594,MATCH($B1749,'Staff Directory'!$A$5:$A$594,0)),""))</f>
        <v>PSW</v>
      </c>
      <c r="E1749" s="19" t="str">
        <f>IF($B1749="","",IFERROR(INDEX('Staff Directory'!$D$5:$D$594,MATCH($B1749,'Staff Directory'!$A$5:$A$594,0)),""))</f>
        <v>A5</v>
      </c>
      <c r="F1749" s="9" t="s">
        <v>124</v>
      </c>
      <c r="G1749" s="18" t="str">
        <f>IF($F1749="","",IFERROR(INDEX(Items!$B$5:$B$597,MATCH($F1749,Items!$A$5:$A$597,0)),"⚠ not in Items"))</f>
        <v>Gloves</v>
      </c>
      <c r="H1749" s="19" t="str">
        <f>IF($F1749="","",IFERROR(INDEX(Items!$C$5:$C$597,MATCH($F1749,Items!$A$5:$A$597,0)),""))</f>
        <v>Large</v>
      </c>
      <c r="I1749" s="23">
        <f>IF($F1749="","",IFERROR(INDEX(Items!$E$5:$E$597,MATCH($F1749,Items!$A$5:$A$597,0)),""))</f>
        <v>500</v>
      </c>
      <c r="J1749" s="115">
        <f>IF(tblIssues[[#This Row],[Qty Override]]&lt;&gt;"",tblIssues[[#This Row],[Qty Override]],IF(tblIssues[[#This Row],[Standard Issue]]="","",tblIssues[[#This Row],[Standard Issue]]))</f>
        <v>500</v>
      </c>
      <c r="K1749" s="20">
        <f>IF($F1749="","",IFERROR(INDEX(Items!$D$5:$D$597,MATCH($F1749,Items!$A$5:$A$597,0)),""))</f>
        <v>5.5E-2</v>
      </c>
      <c r="L1749" s="21">
        <f t="shared" si="305"/>
        <v>27.5</v>
      </c>
      <c r="M1749" s="9" t="str">
        <f t="shared" si="303"/>
        <v>ZIM511139904-3</v>
      </c>
      <c r="N1749" s="24">
        <f>IF($A1749="","",WORKDAY($A1749,Settings!$C$9,HolidayDates))</f>
        <v>46223</v>
      </c>
      <c r="O1749" s="24">
        <f>IF($N1749="","",WORKDAY($N1749,Settings!$C$10,HolidayDates))</f>
        <v>46261</v>
      </c>
      <c r="P1749" s="10" t="s">
        <v>501</v>
      </c>
      <c r="Q1749" s="52" t="str">
        <f t="shared" si="306"/>
        <v>Collected</v>
      </c>
      <c r="R1749" s="55" t="str">
        <f t="shared" si="307"/>
        <v>2026-07</v>
      </c>
      <c r="S1749" s="55">
        <f>IF(OR($B1749="",$F1749="",$R1749=""),"",SUMIFS(tblIssues[Qty Issued],tblIssues[Staff ID],$B1749,tblIssues[Item Name],$F1749,tblIssues[Month],$R1749))</f>
        <v>500</v>
      </c>
      <c r="T1749" s="56">
        <f>IF($I1749="","",$I1749*Settings!$C$11)</f>
        <v>500</v>
      </c>
      <c r="U1749" s="57" t="str">
        <f t="shared" si="304"/>
        <v>OK</v>
      </c>
      <c r="V1749" s="55" t="str">
        <f t="shared" si="308"/>
        <v/>
      </c>
      <c r="W1749" s="55" t="str">
        <f>IF($V1749="","",IF(COUNTIF($V$5:$V1749,$V1749)=1,1,""))</f>
        <v/>
      </c>
      <c r="X1749" s="58" t="str">
        <f>IF($W1749="","",MAX($X$4:X1748)+1)</f>
        <v/>
      </c>
      <c r="Y1749" s="62"/>
      <c r="Z1749" s="62"/>
      <c r="AA1749" s="64" t="str">
        <f>IF($C1749="","",IFERROR(INDEX('Staff Directory'!$E$5:$E$594,MATCH($C1749,'Staff Directory'!$B$5:$B$594,0)),""))</f>
        <v>firstname102.lastname102@example.com</v>
      </c>
      <c r="AB1749" s="64" t="str">
        <f>IF($C1749="","",IF(ISNUMBER(SEARCH($D1749,Settings!$C$15)),"Pickup","Dispatch"))</f>
        <v>Pickup</v>
      </c>
      <c r="AC1749" s="64" t="str">
        <f t="shared" si="309"/>
        <v>Supply order ready for pickup</v>
      </c>
      <c r="AD1749" s="64" t="str">
        <f t="shared" si="300"/>
        <v>Dear PSW,
Your order is ready for pickup from Sample Branch, Wed-Fri 9am-4pm.</v>
      </c>
      <c r="AE1749" s="64" t="str">
        <f t="shared" si="301"/>
        <v>mailto:firstname102.lastname102@example.com?subject=Supply%20order%20ready%20for%20pickup&amp;body=Dear%20PSW%2C%0A%0AYour%20order%20is%20ready%20for%20pickup%20from%20Sample%20Branch%2C%20Wed-Fri%209am-4pm.</v>
      </c>
      <c r="AF1749" s="89" t="str">
        <f t="shared" si="310"/>
        <v>Draft email</v>
      </c>
      <c r="AG1749" s="64" t="str">
        <f>IF($C1749="","",IFERROR(INDEX('Staff Directory'!$K$595:$K$599,MATCH($C1749,'Staff Directory'!$B$5:$B$599,0)),$D1749))</f>
        <v>PSW</v>
      </c>
      <c r="AH1749" t="str">
        <f>IF($C1749="","",IFERROR(INDEX('Staff Directory'!$I$595:$I$599,MATCH($C1749,'Staff Directory'!$B$5:$B$599,0))&amp;" "&amp;INDEX('Staff Directory'!$J$595:$J$599,MATCH($C1749,'Staff Directory'!$B$5:$B$599,0)),$AG1749))</f>
        <v>PSW</v>
      </c>
      <c r="AI1749" s="102"/>
      <c r="AJ1749" s="101">
        <f>IF($F1749="","",SUMIFS($J$5:$J1749,$F$5:$F1749,$F1749))</f>
        <v>46500</v>
      </c>
      <c r="AK1749" s="101">
        <f t="shared" si="302"/>
        <v>46001</v>
      </c>
      <c r="AL1749" s="66" t="str" cm="1">
        <f t="array" ref="AL1749">IF($F1749="","",IFERROR(INDEX('Lot Balance'!$B$5:$B$500,MATCH(1,INDEX(('Lot Balance'!$A$5:$A$500=$F1749)*('Lot Balance'!$K$5:$K$500&lt;$AK1749)*('Lot Balance'!$K$5:$K$500+'Lot Balance'!$D$5:$D$500&gt;=$AK1749),0),0)),""))</f>
        <v>ZIM511139904-3</v>
      </c>
      <c r="AM1749" s="66" t="str" cm="1">
        <f t="array" ref="AM1749">IF($F1749="","",IFERROR(INDEX('Lot Balance'!$B$5:$B$500,MATCH(1,INDEX(('Lot Balance'!$A$5:$A$500=$F1749)*('Lot Balance'!$K$5:$K$500&lt;$AJ1749)*('Lot Balance'!$K$5:$K$500+'Lot Balance'!$D$5:$D$500&gt;=$AJ1749),0),0)),""))</f>
        <v>ZIM511139904-3</v>
      </c>
      <c r="AN1749" s="66" t="str">
        <f>IF($F1749="","",IF($AI1749&lt;&gt;"",IF(COUNTIFS('Lot Balance'!$A$5:$A$500,$F1749,'Lot Balance'!$B$5:$B$500,$AI1749)=0,"⚠ override is not a lot of this item",IF($AI1749=$AL1749,"Override = FEFO","Override - FEFO says "&amp;$AL1749)),IF($AL1749="","⚠ no receipt on file for this item",IF($AM1749&lt;&gt;$AL1749,"FEFO auto - split, also "&amp;$AM1749,"FEFO auto"))))</f>
        <v>FEFO auto</v>
      </c>
      <c r="AO1749" s="114"/>
    </row>
    <row r="1750" spans="1:41" x14ac:dyDescent="0.35">
      <c r="A1750" s="74">
        <v>46213</v>
      </c>
      <c r="B1750" s="18" t="str">
        <f>IF($C1750="","",IFERROR(INDEX('Staff Directory'!$A$5:$A$594,MATCH($C1750,'Staff Directory'!$B$5:$B$594,0)),"⚠ unknown staff"))</f>
        <v>PSW-043-A5</v>
      </c>
      <c r="C1750" s="49" t="s">
        <v>1018</v>
      </c>
      <c r="D1750" s="19" t="str">
        <f>IF($B1750="","",IFERROR(INDEX('Staff Directory'!$C$5:$C$594,MATCH($B1750,'Staff Directory'!$A$5:$A$594,0)),""))</f>
        <v>PSW</v>
      </c>
      <c r="E1750" s="19" t="str">
        <f>IF($B1750="","",IFERROR(INDEX('Staff Directory'!$D$5:$D$594,MATCH($B1750,'Staff Directory'!$A$5:$A$594,0)),""))</f>
        <v>A5</v>
      </c>
      <c r="F1750" s="9" t="s">
        <v>191</v>
      </c>
      <c r="G1750" s="18" t="str">
        <f>IF($F1750="","",IFERROR(INDEX(Items!$B$5:$B$597,MATCH($F1750,Items!$A$5:$A$597,0)),"⚠ not in Items"))</f>
        <v>Sanitizer</v>
      </c>
      <c r="H1750" s="19" t="str">
        <f>IF($F1750="","",IFERROR(INDEX(Items!$C$5:$C$597,MATCH($F1750,Items!$A$5:$A$597,0)),""))</f>
        <v>236 ML</v>
      </c>
      <c r="I1750" s="23">
        <f>IF($F1750="","",IFERROR(INDEX(Items!$E$5:$E$597,MATCH($F1750,Items!$A$5:$A$597,0)),""))</f>
        <v>1</v>
      </c>
      <c r="J1750" s="115">
        <f>IF(tblIssues[[#This Row],[Qty Override]]&lt;&gt;"",tblIssues[[#This Row],[Qty Override]],IF(tblIssues[[#This Row],[Standard Issue]]="","",tblIssues[[#This Row],[Standard Issue]]))</f>
        <v>1</v>
      </c>
      <c r="K1750" s="20">
        <f>IF($F1750="","",IFERROR(INDEX(Items!$D$5:$D$597,MATCH($F1750,Items!$A$5:$A$597,0)),""))</f>
        <v>1E-4</v>
      </c>
      <c r="L1750" s="21">
        <f t="shared" si="305"/>
        <v>1E-4</v>
      </c>
      <c r="M1750" s="9" t="str">
        <f t="shared" si="303"/>
        <v>20-21734-5</v>
      </c>
      <c r="N1750" s="24">
        <f>IF($A1750="","",WORKDAY($A1750,Settings!$C$9,HolidayDates))</f>
        <v>46223</v>
      </c>
      <c r="O1750" s="24">
        <f>IF($N1750="","",WORKDAY($N1750,Settings!$C$10,HolidayDates))</f>
        <v>46261</v>
      </c>
      <c r="P1750" s="10" t="s">
        <v>501</v>
      </c>
      <c r="Q1750" s="52" t="str">
        <f t="shared" si="306"/>
        <v>Collected</v>
      </c>
      <c r="R1750" s="55" t="str">
        <f t="shared" si="307"/>
        <v>2026-07</v>
      </c>
      <c r="S1750" s="55">
        <f>IF(OR($B1750="",$F1750="",$R1750=""),"",SUMIFS(tblIssues[Qty Issued],tblIssues[Staff ID],$B1750,tblIssues[Item Name],$F1750,tblIssues[Month],$R1750))</f>
        <v>1</v>
      </c>
      <c r="T1750" s="56">
        <f>IF($I1750="","",$I1750*Settings!$C$11)</f>
        <v>1</v>
      </c>
      <c r="U1750" s="57" t="str">
        <f t="shared" si="304"/>
        <v>OK</v>
      </c>
      <c r="V1750" s="55" t="str">
        <f t="shared" si="308"/>
        <v/>
      </c>
      <c r="W1750" s="55" t="str">
        <f>IF($V1750="","",IF(COUNTIF($V$5:$V1750,$V1750)=1,1,""))</f>
        <v/>
      </c>
      <c r="X1750" s="58" t="str">
        <f>IF($W1750="","",MAX($X$4:X1749)+1)</f>
        <v/>
      </c>
      <c r="Y1750" s="62"/>
      <c r="Z1750" s="62"/>
      <c r="AA1750" s="64" t="str">
        <f>IF($C1750="","",IFERROR(INDEX('Staff Directory'!$E$5:$E$594,MATCH($C1750,'Staff Directory'!$B$5:$B$594,0)),""))</f>
        <v>firstname102.lastname102@example.com</v>
      </c>
      <c r="AB1750" s="64" t="str">
        <f>IF($C1750="","",IF(ISNUMBER(SEARCH($D1750,Settings!$C$15)),"Pickup","Dispatch"))</f>
        <v>Pickup</v>
      </c>
      <c r="AC1750" s="64" t="str">
        <f t="shared" si="309"/>
        <v>Supply order ready for pickup</v>
      </c>
      <c r="AD1750" s="64" t="str">
        <f t="shared" si="300"/>
        <v>Dear PSW,
Your order is ready for pickup from Sample Branch, Wed-Fri 9am-4pm.</v>
      </c>
      <c r="AE1750" s="64" t="str">
        <f t="shared" si="301"/>
        <v>mailto:firstname102.lastname102@example.com?subject=Supply%20order%20ready%20for%20pickup&amp;body=Dear%20PSW%2C%0A%0AYour%20order%20is%20ready%20for%20pickup%20from%20Sample%20Branch%2C%20Wed-Fri%209am-4pm.</v>
      </c>
      <c r="AF1750" s="89" t="str">
        <f t="shared" si="310"/>
        <v>Draft email</v>
      </c>
      <c r="AG1750" s="64" t="str">
        <f>IF($C1750="","",IFERROR(INDEX('Staff Directory'!$K$595:$K$599,MATCH($C1750,'Staff Directory'!$B$5:$B$599,0)),$D1750))</f>
        <v>PSW</v>
      </c>
      <c r="AH1750" t="str">
        <f>IF($C1750="","",IFERROR(INDEX('Staff Directory'!$I$595:$I$599,MATCH($C1750,'Staff Directory'!$B$5:$B$599,0))&amp;" "&amp;INDEX('Staff Directory'!$J$595:$J$599,MATCH($C1750,'Staff Directory'!$B$5:$B$599,0)),$AG1750))</f>
        <v>PSW</v>
      </c>
      <c r="AI1750" s="102"/>
      <c r="AJ1750" s="101">
        <f>IF($F1750="","",SUMIFS($J$5:$J1750,$F$5:$F1750,$F1750))</f>
        <v>227</v>
      </c>
      <c r="AK1750" s="101">
        <f t="shared" si="302"/>
        <v>227</v>
      </c>
      <c r="AL1750" s="66" t="str" cm="1">
        <f t="array" ref="AL1750">IF($F1750="","",IFERROR(INDEX('Lot Balance'!$B$5:$B$500,MATCH(1,INDEX(('Lot Balance'!$A$5:$A$500=$F1750)*('Lot Balance'!$K$5:$K$500&lt;$AK1750)*('Lot Balance'!$K$5:$K$500+'Lot Balance'!$D$5:$D$500&gt;=$AK1750),0),0)),""))</f>
        <v>20-21734-5</v>
      </c>
      <c r="AM1750" s="66" t="str" cm="1">
        <f t="array" ref="AM1750">IF($F1750="","",IFERROR(INDEX('Lot Balance'!$B$5:$B$500,MATCH(1,INDEX(('Lot Balance'!$A$5:$A$500=$F1750)*('Lot Balance'!$K$5:$K$500&lt;$AJ1750)*('Lot Balance'!$K$5:$K$500+'Lot Balance'!$D$5:$D$500&gt;=$AJ1750),0),0)),""))</f>
        <v>20-21734-5</v>
      </c>
      <c r="AN1750" s="66" t="str">
        <f>IF($F1750="","",IF($AI1750&lt;&gt;"",IF(COUNTIFS('Lot Balance'!$A$5:$A$500,$F1750,'Lot Balance'!$B$5:$B$500,$AI1750)=0,"⚠ override is not a lot of this item",IF($AI1750=$AL1750,"Override = FEFO","Override - FEFO says "&amp;$AL1750)),IF($AL1750="","⚠ no receipt on file for this item",IF($AM1750&lt;&gt;$AL1750,"FEFO auto - split, also "&amp;$AM1750,"FEFO auto"))))</f>
        <v>FEFO auto</v>
      </c>
      <c r="AO1750" s="114"/>
    </row>
    <row r="1751" spans="1:41" x14ac:dyDescent="0.35">
      <c r="A1751" s="74">
        <v>46213</v>
      </c>
      <c r="B1751" s="18" t="str">
        <f>IF($C1751="","",IFERROR(INDEX('Staff Directory'!$A$5:$A$594,MATCH($C1751,'Staff Directory'!$B$5:$B$594,0)),"⚠ unknown staff"))</f>
        <v>PSW-043-A5</v>
      </c>
      <c r="C1751" s="49" t="s">
        <v>1018</v>
      </c>
      <c r="D1751" s="19" t="str">
        <f>IF($B1751="","",IFERROR(INDEX('Staff Directory'!$C$5:$C$594,MATCH($B1751,'Staff Directory'!$A$5:$A$594,0)),""))</f>
        <v>PSW</v>
      </c>
      <c r="E1751" s="19" t="str">
        <f>IF($B1751="","",IFERROR(INDEX('Staff Directory'!$D$5:$D$594,MATCH($B1751,'Staff Directory'!$A$5:$A$594,0)),""))</f>
        <v>A5</v>
      </c>
      <c r="F1751" s="9" t="s">
        <v>115</v>
      </c>
      <c r="G1751" s="18" t="str">
        <f>IF($F1751="","",IFERROR(INDEX(Items!$B$5:$B$597,MATCH($F1751,Items!$A$5:$A$597,0)),"⚠ not in Items"))</f>
        <v>Wipes</v>
      </c>
      <c r="H1751" s="19">
        <f>IF($F1751="","",IFERROR(INDEX(Items!$C$5:$C$597,MATCH($F1751,Items!$A$5:$A$597,0)),""))</f>
        <v>80</v>
      </c>
      <c r="I1751" s="23">
        <f>IF($F1751="","",IFERROR(INDEX(Items!$E$5:$E$597,MATCH($F1751,Items!$A$5:$A$597,0)),""))</f>
        <v>80</v>
      </c>
      <c r="J1751" s="115">
        <f>IF(tblIssues[[#This Row],[Qty Override]]&lt;&gt;"",tblIssues[[#This Row],[Qty Override]],IF(tblIssues[[#This Row],[Standard Issue]]="","",tblIssues[[#This Row],[Standard Issue]]))</f>
        <v>80</v>
      </c>
      <c r="K1751" s="20">
        <f>IF($F1751="","",IFERROR(INDEX(Items!$D$5:$D$597,MATCH($F1751,Items!$A$5:$A$597,0)),""))</f>
        <v>0.1</v>
      </c>
      <c r="L1751" s="21">
        <f t="shared" si="305"/>
        <v>8</v>
      </c>
      <c r="M1751" s="9" t="str">
        <f t="shared" si="303"/>
        <v>LYSL500290</v>
      </c>
      <c r="N1751" s="24">
        <f>IF($A1751="","",WORKDAY($A1751,Settings!$C$9,HolidayDates))</f>
        <v>46223</v>
      </c>
      <c r="O1751" s="24">
        <f>IF($N1751="","",WORKDAY($N1751,Settings!$C$10,HolidayDates))</f>
        <v>46261</v>
      </c>
      <c r="P1751" s="10" t="s">
        <v>501</v>
      </c>
      <c r="Q1751" s="52" t="str">
        <f t="shared" si="306"/>
        <v>Collected</v>
      </c>
      <c r="R1751" s="55" t="str">
        <f t="shared" si="307"/>
        <v>2026-07</v>
      </c>
      <c r="S1751" s="55">
        <f>IF(OR($B1751="",$F1751="",$R1751=""),"",SUMIFS(tblIssues[Qty Issued],tblIssues[Staff ID],$B1751,tblIssues[Item Name],$F1751,tblIssues[Month],$R1751))</f>
        <v>80</v>
      </c>
      <c r="T1751" s="56">
        <f>IF($I1751="","",$I1751*Settings!$C$11)</f>
        <v>80</v>
      </c>
      <c r="U1751" s="57" t="str">
        <f t="shared" si="304"/>
        <v>OK</v>
      </c>
      <c r="V1751" s="55" t="str">
        <f t="shared" si="308"/>
        <v/>
      </c>
      <c r="W1751" s="55" t="str">
        <f>IF($V1751="","",IF(COUNTIF($V$5:$V1751,$V1751)=1,1,""))</f>
        <v/>
      </c>
      <c r="X1751" s="58" t="str">
        <f>IF($W1751="","",MAX($X$4:X1750)+1)</f>
        <v/>
      </c>
      <c r="Y1751" s="62"/>
      <c r="Z1751" s="62"/>
      <c r="AA1751" s="64" t="str">
        <f>IF($C1751="","",IFERROR(INDEX('Staff Directory'!$E$5:$E$594,MATCH($C1751,'Staff Directory'!$B$5:$B$594,0)),""))</f>
        <v>firstname102.lastname102@example.com</v>
      </c>
      <c r="AB1751" s="64" t="str">
        <f>IF($C1751="","",IF(ISNUMBER(SEARCH($D1751,Settings!$C$15)),"Pickup","Dispatch"))</f>
        <v>Pickup</v>
      </c>
      <c r="AC1751" s="64" t="str">
        <f t="shared" si="309"/>
        <v>Supply order ready for pickup</v>
      </c>
      <c r="AD1751" s="64" t="str">
        <f t="shared" si="300"/>
        <v>Dear PSW,
Your order is ready for pickup from Sample Branch, Wed-Fri 9am-4pm.</v>
      </c>
      <c r="AE1751" s="64" t="str">
        <f t="shared" si="301"/>
        <v>mailto:firstname102.lastname102@example.com?subject=Supply%20order%20ready%20for%20pickup&amp;body=Dear%20PSW%2C%0A%0AYour%20order%20is%20ready%20for%20pickup%20from%20Sample%20Branch%2C%20Wed-Fri%209am-4pm.</v>
      </c>
      <c r="AF1751" s="89" t="str">
        <f t="shared" si="310"/>
        <v>Draft email</v>
      </c>
      <c r="AG1751" s="64" t="str">
        <f>IF($C1751="","",IFERROR(INDEX('Staff Directory'!$K$595:$K$599,MATCH($C1751,'Staff Directory'!$B$5:$B$599,0)),$D1751))</f>
        <v>PSW</v>
      </c>
      <c r="AH1751" t="str">
        <f>IF($C1751="","",IFERROR(INDEX('Staff Directory'!$I$595:$I$599,MATCH($C1751,'Staff Directory'!$B$5:$B$599,0))&amp;" "&amp;INDEX('Staff Directory'!$J$595:$J$599,MATCH($C1751,'Staff Directory'!$B$5:$B$599,0)),$AG1751))</f>
        <v>PSW</v>
      </c>
      <c r="AI1751" s="102"/>
      <c r="AJ1751" s="101">
        <f>IF($F1751="","",SUMIFS($J$5:$J1751,$F$5:$F1751,$F1751))</f>
        <v>23200</v>
      </c>
      <c r="AK1751" s="101">
        <f t="shared" si="302"/>
        <v>23121</v>
      </c>
      <c r="AL1751" s="66" t="str" cm="1">
        <f t="array" ref="AL1751">IF($F1751="","",IFERROR(INDEX('Lot Balance'!$B$5:$B$500,MATCH(1,INDEX(('Lot Balance'!$A$5:$A$500=$F1751)*('Lot Balance'!$K$5:$K$500&lt;$AK1751)*('Lot Balance'!$K$5:$K$500+'Lot Balance'!$D$5:$D$500&gt;=$AK1751),0),0)),""))</f>
        <v>LYSL500290</v>
      </c>
      <c r="AM1751" s="66" t="str" cm="1">
        <f t="array" ref="AM1751">IF($F1751="","",IFERROR(INDEX('Lot Balance'!$B$5:$B$500,MATCH(1,INDEX(('Lot Balance'!$A$5:$A$500=$F1751)*('Lot Balance'!$K$5:$K$500&lt;$AJ1751)*('Lot Balance'!$K$5:$K$500+'Lot Balance'!$D$5:$D$500&gt;=$AJ1751),0),0)),""))</f>
        <v>LYSL500290</v>
      </c>
      <c r="AN1751" s="66" t="str">
        <f>IF($F1751="","",IF($AI1751&lt;&gt;"",IF(COUNTIFS('Lot Balance'!$A$5:$A$500,$F1751,'Lot Balance'!$B$5:$B$500,$AI1751)=0,"⚠ override is not a lot of this item",IF($AI1751=$AL1751,"Override = FEFO","Override - FEFO says "&amp;$AL1751)),IF($AL1751="","⚠ no receipt on file for this item",IF($AM1751&lt;&gt;$AL1751,"FEFO auto - split, also "&amp;$AM1751,"FEFO auto"))))</f>
        <v>FEFO auto</v>
      </c>
      <c r="AO1751" s="114"/>
    </row>
    <row r="1752" spans="1:41" x14ac:dyDescent="0.35">
      <c r="A1752" s="74">
        <v>46213</v>
      </c>
      <c r="B1752" s="18" t="str">
        <f>IF($C1752="","",IFERROR(INDEX('Staff Directory'!$A$5:$A$594,MATCH($C1752,'Staff Directory'!$B$5:$B$594,0)),"⚠ unknown staff"))</f>
        <v>PSW-043-A5</v>
      </c>
      <c r="C1752" s="49" t="s">
        <v>1018</v>
      </c>
      <c r="D1752" s="19" t="str">
        <f>IF($B1752="","",IFERROR(INDEX('Staff Directory'!$C$5:$C$594,MATCH($B1752,'Staff Directory'!$A$5:$A$594,0)),""))</f>
        <v>PSW</v>
      </c>
      <c r="E1752" s="19" t="str">
        <f>IF($B1752="","",IFERROR(INDEX('Staff Directory'!$D$5:$D$594,MATCH($B1752,'Staff Directory'!$A$5:$A$594,0)),""))</f>
        <v>A5</v>
      </c>
      <c r="F1752" s="9" t="s">
        <v>156</v>
      </c>
      <c r="G1752" s="18" t="str">
        <f>IF($F1752="","",IFERROR(INDEX(Items!$B$5:$B$597,MATCH($F1752,Items!$A$5:$A$597,0)),"⚠ not in Items"))</f>
        <v>Masks</v>
      </c>
      <c r="H1752" s="19" t="str">
        <f>IF($F1752="","",IFERROR(INDEX(Items!$C$5:$C$597,MATCH($F1752,Items!$A$5:$A$597,0)),""))</f>
        <v>One Size</v>
      </c>
      <c r="I1752" s="23">
        <f>IF($F1752="","",IFERROR(INDEX(Items!$E$5:$E$597,MATCH($F1752,Items!$A$5:$A$597,0)),""))</f>
        <v>50</v>
      </c>
      <c r="J1752" s="115">
        <f>IF(tblIssues[[#This Row],[Qty Override]]&lt;&gt;"",tblIssues[[#This Row],[Qty Override]],IF(tblIssues[[#This Row],[Standard Issue]]="","",tblIssues[[#This Row],[Standard Issue]]))</f>
        <v>50</v>
      </c>
      <c r="K1752" s="20">
        <f>IF($F1752="","",IFERROR(INDEX(Items!$D$5:$D$597,MATCH($F1752,Items!$A$5:$A$597,0)),""))</f>
        <v>0.25</v>
      </c>
      <c r="L1752" s="21">
        <f t="shared" si="305"/>
        <v>12.5</v>
      </c>
      <c r="M1752" s="9" t="str">
        <f t="shared" si="303"/>
        <v>LV2-10040-2</v>
      </c>
      <c r="N1752" s="24">
        <f>IF($A1752="","",WORKDAY($A1752,Settings!$C$9,HolidayDates))</f>
        <v>46223</v>
      </c>
      <c r="O1752" s="24">
        <f>IF($N1752="","",WORKDAY($N1752,Settings!$C$10,HolidayDates))</f>
        <v>46261</v>
      </c>
      <c r="P1752" s="10" t="s">
        <v>501</v>
      </c>
      <c r="Q1752" s="52" t="str">
        <f t="shared" si="306"/>
        <v>Collected</v>
      </c>
      <c r="R1752" s="55" t="str">
        <f t="shared" si="307"/>
        <v>2026-07</v>
      </c>
      <c r="S1752" s="55">
        <f>IF(OR($B1752="",$F1752="",$R1752=""),"",SUMIFS(tblIssues[Qty Issued],tblIssues[Staff ID],$B1752,tblIssues[Item Name],$F1752,tblIssues[Month],$R1752))</f>
        <v>50</v>
      </c>
      <c r="T1752" s="56">
        <f>IF($I1752="","",$I1752*Settings!$C$11)</f>
        <v>50</v>
      </c>
      <c r="U1752" s="57" t="str">
        <f t="shared" si="304"/>
        <v>OK</v>
      </c>
      <c r="V1752" s="55" t="str">
        <f t="shared" si="308"/>
        <v/>
      </c>
      <c r="W1752" s="55" t="str">
        <f>IF($V1752="","",IF(COUNTIF($V$5:$V1752,$V1752)=1,1,""))</f>
        <v/>
      </c>
      <c r="X1752" s="58" t="str">
        <f>IF($W1752="","",MAX($X$4:X1751)+1)</f>
        <v/>
      </c>
      <c r="Y1752" s="62"/>
      <c r="Z1752" s="62"/>
      <c r="AA1752" s="64" t="str">
        <f>IF($C1752="","",IFERROR(INDEX('Staff Directory'!$E$5:$E$594,MATCH($C1752,'Staff Directory'!$B$5:$B$594,0)),""))</f>
        <v>firstname102.lastname102@example.com</v>
      </c>
      <c r="AB1752" s="64" t="str">
        <f>IF($C1752="","",IF(ISNUMBER(SEARCH($D1752,Settings!$C$15)),"Pickup","Dispatch"))</f>
        <v>Pickup</v>
      </c>
      <c r="AC1752" s="64" t="str">
        <f t="shared" si="309"/>
        <v>Supply order ready for pickup</v>
      </c>
      <c r="AD1752" s="64" t="str">
        <f t="shared" si="300"/>
        <v>Dear PSW,
Your order is ready for pickup from Sample Branch, Wed-Fri 9am-4pm.</v>
      </c>
      <c r="AE1752" s="64" t="str">
        <f t="shared" si="301"/>
        <v>mailto:firstname102.lastname102@example.com?subject=Supply%20order%20ready%20for%20pickup&amp;body=Dear%20PSW%2C%0A%0AYour%20order%20is%20ready%20for%20pickup%20from%20Sample%20Branch%2C%20Wed-Fri%209am-4pm.</v>
      </c>
      <c r="AF1752" s="89" t="str">
        <f t="shared" si="310"/>
        <v>Draft email</v>
      </c>
      <c r="AG1752" s="64" t="str">
        <f>IF($C1752="","",IFERROR(INDEX('Staff Directory'!$K$595:$K$599,MATCH($C1752,'Staff Directory'!$B$5:$B$599,0)),$D1752))</f>
        <v>PSW</v>
      </c>
      <c r="AH1752" t="str">
        <f>IF($C1752="","",IFERROR(INDEX('Staff Directory'!$I$595:$I$599,MATCH($C1752,'Staff Directory'!$B$5:$B$599,0))&amp;" "&amp;INDEX('Staff Directory'!$J$595:$J$599,MATCH($C1752,'Staff Directory'!$B$5:$B$599,0)),$AG1752))</f>
        <v>PSW</v>
      </c>
      <c r="AI1752" s="102"/>
      <c r="AJ1752" s="101">
        <f>IF($F1752="","",SUMIFS($J$5:$J1752,$F$5:$F1752,$F1752))</f>
        <v>14350</v>
      </c>
      <c r="AK1752" s="101">
        <f t="shared" si="302"/>
        <v>14301</v>
      </c>
      <c r="AL1752" s="66" t="str" cm="1">
        <f t="array" ref="AL1752">IF($F1752="","",IFERROR(INDEX('Lot Balance'!$B$5:$B$500,MATCH(1,INDEX(('Lot Balance'!$A$5:$A$500=$F1752)*('Lot Balance'!$K$5:$K$500&lt;$AK1752)*('Lot Balance'!$K$5:$K$500+'Lot Balance'!$D$5:$D$500&gt;=$AK1752),0),0)),""))</f>
        <v>LV2-10040-2</v>
      </c>
      <c r="AM1752" s="66" t="str" cm="1">
        <f t="array" ref="AM1752">IF($F1752="","",IFERROR(INDEX('Lot Balance'!$B$5:$B$500,MATCH(1,INDEX(('Lot Balance'!$A$5:$A$500=$F1752)*('Lot Balance'!$K$5:$K$500&lt;$AJ1752)*('Lot Balance'!$K$5:$K$500+'Lot Balance'!$D$5:$D$500&gt;=$AJ1752),0),0)),""))</f>
        <v>LV2-10040-2</v>
      </c>
      <c r="AN1752" s="66" t="str">
        <f>IF($F1752="","",IF($AI1752&lt;&gt;"",IF(COUNTIFS('Lot Balance'!$A$5:$A$500,$F1752,'Lot Balance'!$B$5:$B$500,$AI1752)=0,"⚠ override is not a lot of this item",IF($AI1752=$AL1752,"Override = FEFO","Override - FEFO says "&amp;$AL1752)),IF($AL1752="","⚠ no receipt on file for this item",IF($AM1752&lt;&gt;$AL1752,"FEFO auto - split, also "&amp;$AM1752,"FEFO auto"))))</f>
        <v>FEFO auto</v>
      </c>
      <c r="AO1752" s="114"/>
    </row>
    <row r="1753" spans="1:41" x14ac:dyDescent="0.35">
      <c r="A1753" s="74">
        <v>46213</v>
      </c>
      <c r="B1753" s="18" t="str">
        <f>IF($C1753="","",IFERROR(INDEX('Staff Directory'!$A$5:$A$594,MATCH($C1753,'Staff Directory'!$B$5:$B$594,0)),"⚠ unknown staff"))</f>
        <v>RN-004-A2</v>
      </c>
      <c r="C1753" s="49" t="s">
        <v>920</v>
      </c>
      <c r="D1753" s="19" t="str">
        <f>IF($B1753="","",IFERROR(INDEX('Staff Directory'!$C$5:$C$594,MATCH($B1753,'Staff Directory'!$A$5:$A$594,0)),""))</f>
        <v>RN</v>
      </c>
      <c r="E1753" s="19" t="str">
        <f>IF($B1753="","",IFERROR(INDEX('Staff Directory'!$D$5:$D$594,MATCH($B1753,'Staff Directory'!$A$5:$A$594,0)),""))</f>
        <v>A2</v>
      </c>
      <c r="F1753" s="9" t="s">
        <v>127</v>
      </c>
      <c r="G1753" s="18" t="str">
        <f>IF($F1753="","",IFERROR(INDEX(Items!$B$5:$B$597,MATCH($F1753,Items!$A$5:$A$597,0)),"⚠ not in Items"))</f>
        <v>Gloves</v>
      </c>
      <c r="H1753" s="19" t="str">
        <f>IF($F1753="","",IFERROR(INDEX(Items!$C$5:$C$597,MATCH($F1753,Items!$A$5:$A$597,0)),""))</f>
        <v>Medium</v>
      </c>
      <c r="I1753" s="23">
        <f>IF($F1753="","",IFERROR(INDEX(Items!$E$5:$E$597,MATCH($F1753,Items!$A$5:$A$597,0)),""))</f>
        <v>500</v>
      </c>
      <c r="J1753" s="115">
        <f>IF(tblIssues[[#This Row],[Qty Override]]&lt;&gt;"",tblIssues[[#This Row],[Qty Override]],IF(tblIssues[[#This Row],[Standard Issue]]="","",tblIssues[[#This Row],[Standard Issue]]))</f>
        <v>500</v>
      </c>
      <c r="K1753" s="20">
        <f>IF($F1753="","",IFERROR(INDEX(Items!$D$5:$D$597,MATCH($F1753,Items!$A$5:$A$597,0)),""))</f>
        <v>5.5E-2</v>
      </c>
      <c r="L1753" s="21">
        <f t="shared" si="305"/>
        <v>27.5</v>
      </c>
      <c r="M1753" s="9" t="str">
        <f t="shared" si="303"/>
        <v>ZIM604151579</v>
      </c>
      <c r="N1753" s="24">
        <f>IF($A1753="","",WORKDAY($A1753,Settings!$C$9,HolidayDates))</f>
        <v>46223</v>
      </c>
      <c r="O1753" s="24">
        <f>IF($N1753="","",WORKDAY($N1753,Settings!$C$10,HolidayDates))</f>
        <v>46261</v>
      </c>
      <c r="P1753" s="10" t="s">
        <v>502</v>
      </c>
      <c r="Q1753" s="52" t="str">
        <f t="shared" si="306"/>
        <v>Collected</v>
      </c>
      <c r="R1753" s="55" t="str">
        <f t="shared" si="307"/>
        <v>2026-07</v>
      </c>
      <c r="S1753" s="55">
        <f>IF(OR($B1753="",$F1753="",$R1753=""),"",SUMIFS(tblIssues[Qty Issued],tblIssues[Staff ID],$B1753,tblIssues[Item Name],$F1753,tblIssues[Month],$R1753))</f>
        <v>500</v>
      </c>
      <c r="T1753" s="56">
        <f>IF($I1753="","",$I1753*Settings!$C$11)</f>
        <v>500</v>
      </c>
      <c r="U1753" s="57" t="str">
        <f t="shared" si="304"/>
        <v>OK</v>
      </c>
      <c r="V1753" s="55" t="str">
        <f t="shared" si="308"/>
        <v/>
      </c>
      <c r="W1753" s="55" t="str">
        <f>IF($V1753="","",IF(COUNTIF($V$5:$V1753,$V1753)=1,1,""))</f>
        <v/>
      </c>
      <c r="X1753" s="58" t="str">
        <f>IF($W1753="","",MAX($X$4:X1752)+1)</f>
        <v/>
      </c>
      <c r="Y1753" s="62"/>
      <c r="Z1753" s="62"/>
      <c r="AA1753" s="64" t="str">
        <f>IF($C1753="","",IFERROR(INDEX('Staff Directory'!$E$5:$E$594,MATCH($C1753,'Staff Directory'!$B$5:$B$594,0)),""))</f>
        <v>firstname004.lastname004@example.com</v>
      </c>
      <c r="AB1753" s="64" t="str">
        <f>IF($C1753="","",IF(ISNUMBER(SEARCH($D1753,Settings!$C$15)),"Pickup","Dispatch"))</f>
        <v>Dispatch</v>
      </c>
      <c r="AC1753" s="64" t="str">
        <f t="shared" si="309"/>
        <v>Supply order dispatched</v>
      </c>
      <c r="AD1753" s="64" t="str">
        <f t="shared" si="300"/>
        <v>Dear  ,
Your order has been dispatched and is in transit. Reply if undelivered.</v>
      </c>
      <c r="AE1753" s="64" t="str">
        <f t="shared" si="301"/>
        <v>mailto:firstname004.lastname004@example.com?subject=Supply%20order%20dispatched&amp;body=Dear%20%20%2C%0A%0AYour%20order%20has%20been%20dispatched%20and%20is%20in%20transit.%20Reply%20if%20undelivered.</v>
      </c>
      <c r="AF1753" s="89" t="str">
        <f t="shared" si="310"/>
        <v>Draft email</v>
      </c>
      <c r="AG1753" s="64">
        <f>IF($C1753="","",IFERROR(INDEX('Staff Directory'!$K$595:$K$599,MATCH($C1753,'Staff Directory'!$B$5:$B$599,0)),$D1753))</f>
        <v>0</v>
      </c>
      <c r="AH1753" t="str">
        <f>IF($C1753="","",IFERROR(INDEX('Staff Directory'!$I$595:$I$599,MATCH($C1753,'Staff Directory'!$B$5:$B$599,0))&amp;" "&amp;INDEX('Staff Directory'!$J$595:$J$599,MATCH($C1753,'Staff Directory'!$B$5:$B$599,0)),$AG1753))</f>
        <v xml:space="preserve"> </v>
      </c>
      <c r="AI1753" s="102"/>
      <c r="AJ1753" s="101">
        <f>IF($F1753="","",SUMIFS($J$5:$J1753,$F$5:$F1753,$F1753))</f>
        <v>104500</v>
      </c>
      <c r="AK1753" s="101">
        <f t="shared" si="302"/>
        <v>104001</v>
      </c>
      <c r="AL1753" s="66" t="str" cm="1">
        <f t="array" ref="AL1753">IF($F1753="","",IFERROR(INDEX('Lot Balance'!$B$5:$B$500,MATCH(1,INDEX(('Lot Balance'!$A$5:$A$500=$F1753)*('Lot Balance'!$K$5:$K$500&lt;$AK1753)*('Lot Balance'!$K$5:$K$500+'Lot Balance'!$D$5:$D$500&gt;=$AK1753),0),0)),""))</f>
        <v>ZIM604151579</v>
      </c>
      <c r="AM1753" s="66" t="str" cm="1">
        <f t="array" ref="AM1753">IF($F1753="","",IFERROR(INDEX('Lot Balance'!$B$5:$B$500,MATCH(1,INDEX(('Lot Balance'!$A$5:$A$500=$F1753)*('Lot Balance'!$K$5:$K$500&lt;$AJ1753)*('Lot Balance'!$K$5:$K$500+'Lot Balance'!$D$5:$D$500&gt;=$AJ1753),0),0)),""))</f>
        <v>ZIM604151579</v>
      </c>
      <c r="AN1753" s="66" t="str">
        <f>IF($F1753="","",IF($AI1753&lt;&gt;"",IF(COUNTIFS('Lot Balance'!$A$5:$A$500,$F1753,'Lot Balance'!$B$5:$B$500,$AI1753)=0,"⚠ override is not a lot of this item",IF($AI1753=$AL1753,"Override = FEFO","Override - FEFO says "&amp;$AL1753)),IF($AL1753="","⚠ no receipt on file for this item",IF($AM1753&lt;&gt;$AL1753,"FEFO auto - split, also "&amp;$AM1753,"FEFO auto"))))</f>
        <v>FEFO auto</v>
      </c>
      <c r="AO1753" s="114"/>
    </row>
    <row r="1754" spans="1:41" x14ac:dyDescent="0.35">
      <c r="A1754" s="74">
        <v>46213</v>
      </c>
      <c r="B1754" s="18" t="str">
        <f>IF($C1754="","",IFERROR(INDEX('Staff Directory'!$A$5:$A$594,MATCH($C1754,'Staff Directory'!$B$5:$B$594,0)),"⚠ unknown staff"))</f>
        <v>RN-004-A2</v>
      </c>
      <c r="C1754" s="49" t="s">
        <v>920</v>
      </c>
      <c r="D1754" s="19" t="str">
        <f>IF($B1754="","",IFERROR(INDEX('Staff Directory'!$C$5:$C$594,MATCH($B1754,'Staff Directory'!$A$5:$A$594,0)),""))</f>
        <v>RN</v>
      </c>
      <c r="E1754" s="19" t="str">
        <f>IF($B1754="","",IFERROR(INDEX('Staff Directory'!$D$5:$D$594,MATCH($B1754,'Staff Directory'!$A$5:$A$594,0)),""))</f>
        <v>A2</v>
      </c>
      <c r="F1754" s="9" t="s">
        <v>191</v>
      </c>
      <c r="G1754" s="18" t="str">
        <f>IF($F1754="","",IFERROR(INDEX(Items!$B$5:$B$597,MATCH($F1754,Items!$A$5:$A$597,0)),"⚠ not in Items"))</f>
        <v>Sanitizer</v>
      </c>
      <c r="H1754" s="19" t="str">
        <f>IF($F1754="","",IFERROR(INDEX(Items!$C$5:$C$597,MATCH($F1754,Items!$A$5:$A$597,0)),""))</f>
        <v>236 ML</v>
      </c>
      <c r="I1754" s="23">
        <f>IF($F1754="","",IFERROR(INDEX(Items!$E$5:$E$597,MATCH($F1754,Items!$A$5:$A$597,0)),""))</f>
        <v>1</v>
      </c>
      <c r="J1754" s="115">
        <f>IF(tblIssues[[#This Row],[Qty Override]]&lt;&gt;"",tblIssues[[#This Row],[Qty Override]],IF(tblIssues[[#This Row],[Standard Issue]]="","",tblIssues[[#This Row],[Standard Issue]]))</f>
        <v>1</v>
      </c>
      <c r="K1754" s="20">
        <f>IF($F1754="","",IFERROR(INDEX(Items!$D$5:$D$597,MATCH($F1754,Items!$A$5:$A$597,0)),""))</f>
        <v>1E-4</v>
      </c>
      <c r="L1754" s="21">
        <f t="shared" si="305"/>
        <v>1E-4</v>
      </c>
      <c r="M1754" s="9" t="str">
        <f t="shared" si="303"/>
        <v>20-21734-5</v>
      </c>
      <c r="N1754" s="24">
        <f>IF($A1754="","",WORKDAY($A1754,Settings!$C$9,HolidayDates))</f>
        <v>46223</v>
      </c>
      <c r="O1754" s="24">
        <f>IF($N1754="","",WORKDAY($N1754,Settings!$C$10,HolidayDates))</f>
        <v>46261</v>
      </c>
      <c r="P1754" s="10" t="s">
        <v>502</v>
      </c>
      <c r="Q1754" s="52" t="str">
        <f t="shared" si="306"/>
        <v>Collected</v>
      </c>
      <c r="R1754" s="55" t="str">
        <f t="shared" si="307"/>
        <v>2026-07</v>
      </c>
      <c r="S1754" s="55">
        <f>IF(OR($B1754="",$F1754="",$R1754=""),"",SUMIFS(tblIssues[Qty Issued],tblIssues[Staff ID],$B1754,tblIssues[Item Name],$F1754,tblIssues[Month],$R1754))</f>
        <v>2</v>
      </c>
      <c r="T1754" s="56">
        <f>IF($I1754="","",$I1754*Settings!$C$11)</f>
        <v>1</v>
      </c>
      <c r="U1754" s="57" t="str">
        <f t="shared" si="304"/>
        <v>⚠ OVER QUOTA</v>
      </c>
      <c r="V1754" s="55" t="str">
        <f t="shared" si="308"/>
        <v>RN-004-A2 | Hand Sanitizer OS | 2026-07</v>
      </c>
      <c r="W1754" s="55">
        <f>IF($V1754="","",IF(COUNTIF($V$5:$V1754,$V1754)=1,1,""))</f>
        <v>1</v>
      </c>
      <c r="X1754" s="58">
        <f>IF($W1754="","",MAX($X$4:X1753)+1)</f>
        <v>57</v>
      </c>
      <c r="Y1754" s="62"/>
      <c r="Z1754" s="62"/>
      <c r="AA1754" s="64" t="str">
        <f>IF($C1754="","",IFERROR(INDEX('Staff Directory'!$E$5:$E$594,MATCH($C1754,'Staff Directory'!$B$5:$B$594,0)),""))</f>
        <v>firstname004.lastname004@example.com</v>
      </c>
      <c r="AB1754" s="64" t="str">
        <f>IF($C1754="","",IF(ISNUMBER(SEARCH($D1754,Settings!$C$15)),"Pickup","Dispatch"))</f>
        <v>Dispatch</v>
      </c>
      <c r="AC1754" s="64" t="str">
        <f t="shared" si="309"/>
        <v>Supply order dispatched</v>
      </c>
      <c r="AD1754" s="64" t="str">
        <f t="shared" si="300"/>
        <v>Dear  ,
Your order has been dispatched and is in transit. Reply if undelivered.</v>
      </c>
      <c r="AE1754" s="64" t="str">
        <f t="shared" si="301"/>
        <v>mailto:firstname004.lastname004@example.com?subject=Supply%20order%20dispatched&amp;body=Dear%20%20%2C%0A%0AYour%20order%20has%20been%20dispatched%20and%20is%20in%20transit.%20Reply%20if%20undelivered.</v>
      </c>
      <c r="AF1754" s="89" t="str">
        <f t="shared" si="310"/>
        <v>Draft email</v>
      </c>
      <c r="AG1754" s="64">
        <f>IF($C1754="","",IFERROR(INDEX('Staff Directory'!$K$595:$K$599,MATCH($C1754,'Staff Directory'!$B$5:$B$599,0)),$D1754))</f>
        <v>0</v>
      </c>
      <c r="AH1754" t="str">
        <f>IF($C1754="","",IFERROR(INDEX('Staff Directory'!$I$595:$I$599,MATCH($C1754,'Staff Directory'!$B$5:$B$599,0))&amp;" "&amp;INDEX('Staff Directory'!$J$595:$J$599,MATCH($C1754,'Staff Directory'!$B$5:$B$599,0)),$AG1754))</f>
        <v xml:space="preserve"> </v>
      </c>
      <c r="AI1754" s="102"/>
      <c r="AJ1754" s="101">
        <f>IF($F1754="","",SUMIFS($J$5:$J1754,$F$5:$F1754,$F1754))</f>
        <v>228</v>
      </c>
      <c r="AK1754" s="101">
        <f t="shared" si="302"/>
        <v>228</v>
      </c>
      <c r="AL1754" s="66" t="str" cm="1">
        <f t="array" ref="AL1754">IF($F1754="","",IFERROR(INDEX('Lot Balance'!$B$5:$B$500,MATCH(1,INDEX(('Lot Balance'!$A$5:$A$500=$F1754)*('Lot Balance'!$K$5:$K$500&lt;$AK1754)*('Lot Balance'!$K$5:$K$500+'Lot Balance'!$D$5:$D$500&gt;=$AK1754),0),0)),""))</f>
        <v>20-21734-5</v>
      </c>
      <c r="AM1754" s="66" t="str" cm="1">
        <f t="array" ref="AM1754">IF($F1754="","",IFERROR(INDEX('Lot Balance'!$B$5:$B$500,MATCH(1,INDEX(('Lot Balance'!$A$5:$A$500=$F1754)*('Lot Balance'!$K$5:$K$500&lt;$AJ1754)*('Lot Balance'!$K$5:$K$500+'Lot Balance'!$D$5:$D$500&gt;=$AJ1754),0),0)),""))</f>
        <v>20-21734-5</v>
      </c>
      <c r="AN1754" s="66" t="str">
        <f>IF($F1754="","",IF($AI1754&lt;&gt;"",IF(COUNTIFS('Lot Balance'!$A$5:$A$500,$F1754,'Lot Balance'!$B$5:$B$500,$AI1754)=0,"⚠ override is not a lot of this item",IF($AI1754=$AL1754,"Override = FEFO","Override - FEFO says "&amp;$AL1754)),IF($AL1754="","⚠ no receipt on file for this item",IF($AM1754&lt;&gt;$AL1754,"FEFO auto - split, also "&amp;$AM1754,"FEFO auto"))))</f>
        <v>FEFO auto</v>
      </c>
      <c r="AO1754" s="114"/>
    </row>
    <row r="1755" spans="1:41" x14ac:dyDescent="0.35">
      <c r="A1755" s="74">
        <v>46213</v>
      </c>
      <c r="B1755" s="18" t="str">
        <f>IF($C1755="","",IFERROR(INDEX('Staff Directory'!$A$5:$A$594,MATCH($C1755,'Staff Directory'!$B$5:$B$594,0)),"⚠ unknown staff"))</f>
        <v>RN-004-A2</v>
      </c>
      <c r="C1755" s="49" t="s">
        <v>920</v>
      </c>
      <c r="D1755" s="19" t="str">
        <f>IF($B1755="","",IFERROR(INDEX('Staff Directory'!$C$5:$C$594,MATCH($B1755,'Staff Directory'!$A$5:$A$594,0)),""))</f>
        <v>RN</v>
      </c>
      <c r="E1755" s="19" t="str">
        <f>IF($B1755="","",IFERROR(INDEX('Staff Directory'!$D$5:$D$594,MATCH($B1755,'Staff Directory'!$A$5:$A$594,0)),""))</f>
        <v>A2</v>
      </c>
      <c r="F1755" s="9" t="s">
        <v>191</v>
      </c>
      <c r="G1755" s="18" t="str">
        <f>IF($F1755="","",IFERROR(INDEX(Items!$B$5:$B$597,MATCH($F1755,Items!$A$5:$A$597,0)),"⚠ not in Items"))</f>
        <v>Sanitizer</v>
      </c>
      <c r="H1755" s="19" t="str">
        <f>IF($F1755="","",IFERROR(INDEX(Items!$C$5:$C$597,MATCH($F1755,Items!$A$5:$A$597,0)),""))</f>
        <v>236 ML</v>
      </c>
      <c r="I1755" s="23">
        <f>IF($F1755="","",IFERROR(INDEX(Items!$E$5:$E$597,MATCH($F1755,Items!$A$5:$A$597,0)),""))</f>
        <v>1</v>
      </c>
      <c r="J1755" s="115">
        <f>IF(tblIssues[[#This Row],[Qty Override]]&lt;&gt;"",tblIssues[[#This Row],[Qty Override]],IF(tblIssues[[#This Row],[Standard Issue]]="","",tblIssues[[#This Row],[Standard Issue]]))</f>
        <v>1</v>
      </c>
      <c r="K1755" s="20">
        <f>IF($F1755="","",IFERROR(INDEX(Items!$D$5:$D$597,MATCH($F1755,Items!$A$5:$A$597,0)),""))</f>
        <v>1E-4</v>
      </c>
      <c r="L1755" s="21">
        <f t="shared" si="305"/>
        <v>1E-4</v>
      </c>
      <c r="M1755" s="9" t="str">
        <f t="shared" si="303"/>
        <v>20-21734-5</v>
      </c>
      <c r="N1755" s="24">
        <f>IF($A1755="","",WORKDAY($A1755,Settings!$C$9,HolidayDates))</f>
        <v>46223</v>
      </c>
      <c r="O1755" s="24">
        <f>IF($N1755="","",WORKDAY($N1755,Settings!$C$10,HolidayDates))</f>
        <v>46261</v>
      </c>
      <c r="P1755" s="10" t="s">
        <v>502</v>
      </c>
      <c r="Q1755" s="52" t="str">
        <f t="shared" si="306"/>
        <v>Collected</v>
      </c>
      <c r="R1755" s="55" t="str">
        <f t="shared" si="307"/>
        <v>2026-07</v>
      </c>
      <c r="S1755" s="55">
        <f>IF(OR($B1755="",$F1755="",$R1755=""),"",SUMIFS(tblIssues[Qty Issued],tblIssues[Staff ID],$B1755,tblIssues[Item Name],$F1755,tblIssues[Month],$R1755))</f>
        <v>2</v>
      </c>
      <c r="T1755" s="56">
        <f>IF($I1755="","",$I1755*Settings!$C$11)</f>
        <v>1</v>
      </c>
      <c r="U1755" s="57" t="str">
        <f t="shared" si="304"/>
        <v>⚠ OVER QUOTA</v>
      </c>
      <c r="V1755" s="55" t="str">
        <f t="shared" si="308"/>
        <v>RN-004-A2 | Hand Sanitizer OS | 2026-07</v>
      </c>
      <c r="W1755" s="55" t="str">
        <f>IF($V1755="","",IF(COUNTIF($V$5:$V1755,$V1755)=1,1,""))</f>
        <v/>
      </c>
      <c r="X1755" s="58" t="str">
        <f>IF($W1755="","",MAX($X$4:X1754)+1)</f>
        <v/>
      </c>
      <c r="Y1755" s="62"/>
      <c r="Z1755" s="62"/>
      <c r="AA1755" s="64" t="str">
        <f>IF($C1755="","",IFERROR(INDEX('Staff Directory'!$E$5:$E$594,MATCH($C1755,'Staff Directory'!$B$5:$B$594,0)),""))</f>
        <v>firstname004.lastname004@example.com</v>
      </c>
      <c r="AB1755" s="64" t="str">
        <f>IF($C1755="","",IF(ISNUMBER(SEARCH($D1755,Settings!$C$15)),"Pickup","Dispatch"))</f>
        <v>Dispatch</v>
      </c>
      <c r="AC1755" s="64" t="str">
        <f t="shared" si="309"/>
        <v>Supply order dispatched</v>
      </c>
      <c r="AD1755" s="64" t="str">
        <f t="shared" si="300"/>
        <v>Dear  ,
Your order has been dispatched and is in transit. Reply if undelivered.</v>
      </c>
      <c r="AE1755" s="64" t="str">
        <f t="shared" si="301"/>
        <v>mailto:firstname004.lastname004@example.com?subject=Supply%20order%20dispatched&amp;body=Dear%20%20%2C%0A%0AYour%20order%20has%20been%20dispatched%20and%20is%20in%20transit.%20Reply%20if%20undelivered.</v>
      </c>
      <c r="AF1755" s="89" t="str">
        <f t="shared" si="310"/>
        <v>Draft email</v>
      </c>
      <c r="AG1755" s="64">
        <f>IF($C1755="","",IFERROR(INDEX('Staff Directory'!$K$595:$K$599,MATCH($C1755,'Staff Directory'!$B$5:$B$599,0)),$D1755))</f>
        <v>0</v>
      </c>
      <c r="AH1755" t="str">
        <f>IF($C1755="","",IFERROR(INDEX('Staff Directory'!$I$595:$I$599,MATCH($C1755,'Staff Directory'!$B$5:$B$599,0))&amp;" "&amp;INDEX('Staff Directory'!$J$595:$J$599,MATCH($C1755,'Staff Directory'!$B$5:$B$599,0)),$AG1755))</f>
        <v xml:space="preserve"> </v>
      </c>
      <c r="AI1755" s="102"/>
      <c r="AJ1755" s="101">
        <f>IF($F1755="","",SUMIFS($J$5:$J1755,$F$5:$F1755,$F1755))</f>
        <v>229</v>
      </c>
      <c r="AK1755" s="101">
        <f t="shared" si="302"/>
        <v>229</v>
      </c>
      <c r="AL1755" s="66" t="str" cm="1">
        <f t="array" ref="AL1755">IF($F1755="","",IFERROR(INDEX('Lot Balance'!$B$5:$B$500,MATCH(1,INDEX(('Lot Balance'!$A$5:$A$500=$F1755)*('Lot Balance'!$K$5:$K$500&lt;$AK1755)*('Lot Balance'!$K$5:$K$500+'Lot Balance'!$D$5:$D$500&gt;=$AK1755),0),0)),""))</f>
        <v>20-21734-5</v>
      </c>
      <c r="AM1755" s="66" t="str" cm="1">
        <f t="array" ref="AM1755">IF($F1755="","",IFERROR(INDEX('Lot Balance'!$B$5:$B$500,MATCH(1,INDEX(('Lot Balance'!$A$5:$A$500=$F1755)*('Lot Balance'!$K$5:$K$500&lt;$AJ1755)*('Lot Balance'!$K$5:$K$500+'Lot Balance'!$D$5:$D$500&gt;=$AJ1755),0),0)),""))</f>
        <v>20-21734-5</v>
      </c>
      <c r="AN1755" s="66" t="str">
        <f>IF($F1755="","",IF($AI1755&lt;&gt;"",IF(COUNTIFS('Lot Balance'!$A$5:$A$500,$F1755,'Lot Balance'!$B$5:$B$500,$AI1755)=0,"⚠ override is not a lot of this item",IF($AI1755=$AL1755,"Override = FEFO","Override - FEFO says "&amp;$AL1755)),IF($AL1755="","⚠ no receipt on file for this item",IF($AM1755&lt;&gt;$AL1755,"FEFO auto - split, also "&amp;$AM1755,"FEFO auto"))))</f>
        <v>FEFO auto</v>
      </c>
      <c r="AO1755" s="114"/>
    </row>
    <row r="1756" spans="1:41" x14ac:dyDescent="0.35">
      <c r="A1756" s="74">
        <v>46213</v>
      </c>
      <c r="B1756" s="18" t="str">
        <f>IF($C1756="","",IFERROR(INDEX('Staff Directory'!$A$5:$A$594,MATCH($C1756,'Staff Directory'!$B$5:$B$594,0)),"⚠ unknown staff"))</f>
        <v>RN-004-A2</v>
      </c>
      <c r="C1756" s="49" t="s">
        <v>920</v>
      </c>
      <c r="D1756" s="19" t="str">
        <f>IF($B1756="","",IFERROR(INDEX('Staff Directory'!$C$5:$C$594,MATCH($B1756,'Staff Directory'!$A$5:$A$594,0)),""))</f>
        <v>RN</v>
      </c>
      <c r="E1756" s="19" t="str">
        <f>IF($B1756="","",IFERROR(INDEX('Staff Directory'!$D$5:$D$594,MATCH($B1756,'Staff Directory'!$A$5:$A$594,0)),""))</f>
        <v>A2</v>
      </c>
      <c r="F1756" s="9" t="s">
        <v>115</v>
      </c>
      <c r="G1756" s="18" t="str">
        <f>IF($F1756="","",IFERROR(INDEX(Items!$B$5:$B$597,MATCH($F1756,Items!$A$5:$A$597,0)),"⚠ not in Items"))</f>
        <v>Wipes</v>
      </c>
      <c r="H1756" s="19">
        <f>IF($F1756="","",IFERROR(INDEX(Items!$C$5:$C$597,MATCH($F1756,Items!$A$5:$A$597,0)),""))</f>
        <v>80</v>
      </c>
      <c r="I1756" s="23">
        <f>IF($F1756="","",IFERROR(INDEX(Items!$E$5:$E$597,MATCH($F1756,Items!$A$5:$A$597,0)),""))</f>
        <v>80</v>
      </c>
      <c r="J1756" s="115">
        <f>IF(tblIssues[[#This Row],[Qty Override]]&lt;&gt;"",tblIssues[[#This Row],[Qty Override]],IF(tblIssues[[#This Row],[Standard Issue]]="","",tblIssues[[#This Row],[Standard Issue]]))</f>
        <v>80</v>
      </c>
      <c r="K1756" s="20">
        <f>IF($F1756="","",IFERROR(INDEX(Items!$D$5:$D$597,MATCH($F1756,Items!$A$5:$A$597,0)),""))</f>
        <v>0.1</v>
      </c>
      <c r="L1756" s="21">
        <f t="shared" si="305"/>
        <v>8</v>
      </c>
      <c r="M1756" s="9" t="str">
        <f t="shared" si="303"/>
        <v>LYSL500290</v>
      </c>
      <c r="N1756" s="24">
        <f>IF($A1756="","",WORKDAY($A1756,Settings!$C$9,HolidayDates))</f>
        <v>46223</v>
      </c>
      <c r="O1756" s="24">
        <f>IF($N1756="","",WORKDAY($N1756,Settings!$C$10,HolidayDates))</f>
        <v>46261</v>
      </c>
      <c r="P1756" s="10" t="s">
        <v>502</v>
      </c>
      <c r="Q1756" s="52" t="str">
        <f t="shared" si="306"/>
        <v>Collected</v>
      </c>
      <c r="R1756" s="55" t="str">
        <f t="shared" si="307"/>
        <v>2026-07</v>
      </c>
      <c r="S1756" s="55">
        <f>IF(OR($B1756="",$F1756="",$R1756=""),"",SUMIFS(tblIssues[Qty Issued],tblIssues[Staff ID],$B1756,tblIssues[Item Name],$F1756,tblIssues[Month],$R1756))</f>
        <v>80</v>
      </c>
      <c r="T1756" s="56">
        <f>IF($I1756="","",$I1756*Settings!$C$11)</f>
        <v>80</v>
      </c>
      <c r="U1756" s="57" t="str">
        <f t="shared" si="304"/>
        <v>OK</v>
      </c>
      <c r="V1756" s="55" t="str">
        <f t="shared" si="308"/>
        <v/>
      </c>
      <c r="W1756" s="55" t="str">
        <f>IF($V1756="","",IF(COUNTIF($V$5:$V1756,$V1756)=1,1,""))</f>
        <v/>
      </c>
      <c r="X1756" s="58" t="str">
        <f>IF($W1756="","",MAX($X$4:X1755)+1)</f>
        <v/>
      </c>
      <c r="Y1756" s="62"/>
      <c r="Z1756" s="62"/>
      <c r="AA1756" s="64" t="str">
        <f>IF($C1756="","",IFERROR(INDEX('Staff Directory'!$E$5:$E$594,MATCH($C1756,'Staff Directory'!$B$5:$B$594,0)),""))</f>
        <v>firstname004.lastname004@example.com</v>
      </c>
      <c r="AB1756" s="64" t="str">
        <f>IF($C1756="","",IF(ISNUMBER(SEARCH($D1756,Settings!$C$15)),"Pickup","Dispatch"))</f>
        <v>Dispatch</v>
      </c>
      <c r="AC1756" s="64" t="str">
        <f t="shared" si="309"/>
        <v>Supply order dispatched</v>
      </c>
      <c r="AD1756" s="64" t="str">
        <f t="shared" si="300"/>
        <v>Dear  ,
Your order has been dispatched and is in transit. Reply if undelivered.</v>
      </c>
      <c r="AE1756" s="64" t="str">
        <f t="shared" si="301"/>
        <v>mailto:firstname004.lastname004@example.com?subject=Supply%20order%20dispatched&amp;body=Dear%20%20%2C%0A%0AYour%20order%20has%20been%20dispatched%20and%20is%20in%20transit.%20Reply%20if%20undelivered.</v>
      </c>
      <c r="AF1756" s="89" t="str">
        <f t="shared" si="310"/>
        <v>Draft email</v>
      </c>
      <c r="AG1756" s="64">
        <f>IF($C1756="","",IFERROR(INDEX('Staff Directory'!$K$595:$K$599,MATCH($C1756,'Staff Directory'!$B$5:$B$599,0)),$D1756))</f>
        <v>0</v>
      </c>
      <c r="AH1756" t="str">
        <f>IF($C1756="","",IFERROR(INDEX('Staff Directory'!$I$595:$I$599,MATCH($C1756,'Staff Directory'!$B$5:$B$599,0))&amp;" "&amp;INDEX('Staff Directory'!$J$595:$J$599,MATCH($C1756,'Staff Directory'!$B$5:$B$599,0)),$AG1756))</f>
        <v xml:space="preserve"> </v>
      </c>
      <c r="AI1756" s="102"/>
      <c r="AJ1756" s="101">
        <f>IF($F1756="","",SUMIFS($J$5:$J1756,$F$5:$F1756,$F1756))</f>
        <v>23280</v>
      </c>
      <c r="AK1756" s="101">
        <f t="shared" si="302"/>
        <v>23201</v>
      </c>
      <c r="AL1756" s="66" t="str" cm="1">
        <f t="array" ref="AL1756">IF($F1756="","",IFERROR(INDEX('Lot Balance'!$B$5:$B$500,MATCH(1,INDEX(('Lot Balance'!$A$5:$A$500=$F1756)*('Lot Balance'!$K$5:$K$500&lt;$AK1756)*('Lot Balance'!$K$5:$K$500+'Lot Balance'!$D$5:$D$500&gt;=$AK1756),0),0)),""))</f>
        <v>LYSL500290</v>
      </c>
      <c r="AM1756" s="66" t="str" cm="1">
        <f t="array" ref="AM1756">IF($F1756="","",IFERROR(INDEX('Lot Balance'!$B$5:$B$500,MATCH(1,INDEX(('Lot Balance'!$A$5:$A$500=$F1756)*('Lot Balance'!$K$5:$K$500&lt;$AJ1756)*('Lot Balance'!$K$5:$K$500+'Lot Balance'!$D$5:$D$500&gt;=$AJ1756),0),0)),""))</f>
        <v>LYSL500290</v>
      </c>
      <c r="AN1756" s="66" t="str">
        <f>IF($F1756="","",IF($AI1756&lt;&gt;"",IF(COUNTIFS('Lot Balance'!$A$5:$A$500,$F1756,'Lot Balance'!$B$5:$B$500,$AI1756)=0,"⚠ override is not a lot of this item",IF($AI1756=$AL1756,"Override = FEFO","Override - FEFO says "&amp;$AL1756)),IF($AL1756="","⚠ no receipt on file for this item",IF($AM1756&lt;&gt;$AL1756,"FEFO auto - split, also "&amp;$AM1756,"FEFO auto"))))</f>
        <v>FEFO auto</v>
      </c>
      <c r="AO1756" s="114"/>
    </row>
    <row r="1757" spans="1:41" x14ac:dyDescent="0.35">
      <c r="A1757" s="74">
        <v>46213</v>
      </c>
      <c r="B1757" s="18" t="str">
        <f>IF($C1757="","",IFERROR(INDEX('Staff Directory'!$A$5:$A$594,MATCH($C1757,'Staff Directory'!$B$5:$B$594,0)),"⚠ unknown staff"))</f>
        <v>RN-004-A2</v>
      </c>
      <c r="C1757" s="49" t="s">
        <v>920</v>
      </c>
      <c r="D1757" s="19" t="str">
        <f>IF($B1757="","",IFERROR(INDEX('Staff Directory'!$C$5:$C$594,MATCH($B1757,'Staff Directory'!$A$5:$A$594,0)),""))</f>
        <v>RN</v>
      </c>
      <c r="E1757" s="19" t="str">
        <f>IF($B1757="","",IFERROR(INDEX('Staff Directory'!$D$5:$D$594,MATCH($B1757,'Staff Directory'!$A$5:$A$594,0)),""))</f>
        <v>A2</v>
      </c>
      <c r="F1757" s="9" t="s">
        <v>757</v>
      </c>
      <c r="G1757" s="18" t="str">
        <f>IF($F1757="","",IFERROR(INDEX(Items!$B$5:$B$597,MATCH($F1757,Items!$A$5:$A$597,0)),"⚠ not in Items"))</f>
        <v>Documents</v>
      </c>
      <c r="H1757" s="19" t="str">
        <f>IF($F1757="","",IFERROR(INDEX(Items!$C$5:$C$597,MATCH($F1757,Items!$A$5:$A$597,0)),""))</f>
        <v>Standard</v>
      </c>
      <c r="I1757" s="23">
        <f>IF($F1757="","",IFERROR(INDEX(Items!$E$5:$E$597,MATCH($F1757,Items!$A$5:$A$597,0)),""))</f>
        <v>10</v>
      </c>
      <c r="J1757" s="115">
        <f>IF(tblIssues[[#This Row],[Qty Override]]&lt;&gt;"",tblIssues[[#This Row],[Qty Override]],IF(tblIssues[[#This Row],[Standard Issue]]="","",tblIssues[[#This Row],[Standard Issue]]))</f>
        <v>10</v>
      </c>
      <c r="K1757" s="20">
        <f>IF($F1757="","",IFERROR(INDEX(Items!$D$5:$D$597,MATCH($F1757,Items!$A$5:$A$597,0)),""))</f>
        <v>0</v>
      </c>
      <c r="L1757" s="21">
        <f t="shared" si="305"/>
        <v>0</v>
      </c>
      <c r="M1757" s="9" t="str">
        <f t="shared" si="303"/>
        <v/>
      </c>
      <c r="N1757" s="24">
        <f>IF($A1757="","",WORKDAY($A1757,Settings!$C$9,HolidayDates))</f>
        <v>46223</v>
      </c>
      <c r="O1757" s="24">
        <f>IF($N1757="","",WORKDAY($N1757,Settings!$C$10,HolidayDates))</f>
        <v>46261</v>
      </c>
      <c r="P1757" s="10" t="s">
        <v>502</v>
      </c>
      <c r="Q1757" s="52" t="str">
        <f t="shared" si="306"/>
        <v>Collected</v>
      </c>
      <c r="R1757" s="55" t="str">
        <f t="shared" si="307"/>
        <v>2026-07</v>
      </c>
      <c r="S1757" s="55">
        <f>IF(OR($B1757="",$F1757="",$R1757=""),"",SUMIFS(tblIssues[Qty Issued],tblIssues[Staff ID],$B1757,tblIssues[Item Name],$F1757,tblIssues[Month],$R1757))</f>
        <v>20</v>
      </c>
      <c r="T1757" s="56">
        <f>IF($I1757="","",$I1757*Settings!$C$11)</f>
        <v>10</v>
      </c>
      <c r="U1757" s="57" t="str">
        <f t="shared" si="304"/>
        <v>⚠ OVER QUOTA</v>
      </c>
      <c r="V1757" s="55" t="str">
        <f t="shared" si="308"/>
        <v>RN-004-A2 | Sample Org CONNECT Welcome Package RN | 2026-07</v>
      </c>
      <c r="W1757" s="55">
        <f>IF($V1757="","",IF(COUNTIF($V$5:$V1757,$V1757)=1,1,""))</f>
        <v>1</v>
      </c>
      <c r="X1757" s="58">
        <f>IF($W1757="","",MAX($X$4:X1756)+1)</f>
        <v>58</v>
      </c>
      <c r="Y1757" s="62"/>
      <c r="Z1757" s="62"/>
      <c r="AA1757" s="64" t="str">
        <f>IF($C1757="","",IFERROR(INDEX('Staff Directory'!$E$5:$E$594,MATCH($C1757,'Staff Directory'!$B$5:$B$594,0)),""))</f>
        <v>firstname004.lastname004@example.com</v>
      </c>
      <c r="AB1757" s="64" t="str">
        <f>IF($C1757="","",IF(ISNUMBER(SEARCH($D1757,Settings!$C$15)),"Pickup","Dispatch"))</f>
        <v>Dispatch</v>
      </c>
      <c r="AC1757" s="64" t="str">
        <f t="shared" si="309"/>
        <v>Supply order dispatched</v>
      </c>
      <c r="AD1757" s="64" t="str">
        <f t="shared" si="300"/>
        <v>Dear  ,
Your order has been dispatched and is in transit. Reply if undelivered.</v>
      </c>
      <c r="AE1757" s="64" t="str">
        <f t="shared" si="301"/>
        <v>mailto:firstname004.lastname004@example.com?subject=Supply%20order%20dispatched&amp;body=Dear%20%20%2C%0A%0AYour%20order%20has%20been%20dispatched%20and%20is%20in%20transit.%20Reply%20if%20undelivered.</v>
      </c>
      <c r="AF1757" s="89" t="str">
        <f t="shared" si="310"/>
        <v>Draft email</v>
      </c>
      <c r="AG1757" s="64">
        <f>IF($C1757="","",IFERROR(INDEX('Staff Directory'!$K$595:$K$599,MATCH($C1757,'Staff Directory'!$B$5:$B$599,0)),$D1757))</f>
        <v>0</v>
      </c>
      <c r="AH1757" t="str">
        <f>IF($C1757="","",IFERROR(INDEX('Staff Directory'!$I$595:$I$599,MATCH($C1757,'Staff Directory'!$B$5:$B$599,0))&amp;" "&amp;INDEX('Staff Directory'!$J$595:$J$599,MATCH($C1757,'Staff Directory'!$B$5:$B$599,0)),$AG1757))</f>
        <v xml:space="preserve"> </v>
      </c>
      <c r="AI1757" s="102"/>
      <c r="AJ1757" s="101">
        <f>IF($F1757="","",SUMIFS($J$5:$J1757,$F$5:$F1757,$F1757))</f>
        <v>720</v>
      </c>
      <c r="AK1757" s="101">
        <f t="shared" si="302"/>
        <v>711</v>
      </c>
      <c r="AL1757" s="66" t="str" cm="1">
        <f t="array" ref="AL1757">IF($F1757="","",IFERROR(INDEX('Lot Balance'!$B$5:$B$500,MATCH(1,INDEX(('Lot Balance'!$A$5:$A$500=$F1757)*('Lot Balance'!$K$5:$K$500&lt;$AK1757)*('Lot Balance'!$K$5:$K$500+'Lot Balance'!$D$5:$D$500&gt;=$AK1757),0),0)),""))</f>
        <v/>
      </c>
      <c r="AM1757" s="66" t="str" cm="1">
        <f t="array" ref="AM1757">IF($F1757="","",IFERROR(INDEX('Lot Balance'!$B$5:$B$500,MATCH(1,INDEX(('Lot Balance'!$A$5:$A$500=$F1757)*('Lot Balance'!$K$5:$K$500&lt;$AJ1757)*('Lot Balance'!$K$5:$K$500+'Lot Balance'!$D$5:$D$500&gt;=$AJ1757),0),0)),""))</f>
        <v/>
      </c>
      <c r="AN1757" s="66" t="str">
        <f>IF($F1757="","",IF($AI1757&lt;&gt;"",IF(COUNTIFS('Lot Balance'!$A$5:$A$500,$F1757,'Lot Balance'!$B$5:$B$500,$AI1757)=0,"⚠ override is not a lot of this item",IF($AI1757=$AL1757,"Override = FEFO","Override - FEFO says "&amp;$AL1757)),IF($AL1757="","⚠ no receipt on file for this item",IF($AM1757&lt;&gt;$AL1757,"FEFO auto - split, also "&amp;$AM1757,"FEFO auto"))))</f>
        <v>⚠ no receipt on file for this item</v>
      </c>
      <c r="AO1757" s="114"/>
    </row>
    <row r="1758" spans="1:41" x14ac:dyDescent="0.35">
      <c r="A1758" s="74">
        <v>46213</v>
      </c>
      <c r="B1758" s="18" t="str">
        <f>IF($C1758="","",IFERROR(INDEX('Staff Directory'!$A$5:$A$594,MATCH($C1758,'Staff Directory'!$B$5:$B$594,0)),"⚠ unknown staff"))</f>
        <v>RN-004-A2</v>
      </c>
      <c r="C1758" s="49" t="s">
        <v>920</v>
      </c>
      <c r="D1758" s="19" t="str">
        <f>IF($B1758="","",IFERROR(INDEX('Staff Directory'!$C$5:$C$594,MATCH($B1758,'Staff Directory'!$A$5:$A$594,0)),""))</f>
        <v>RN</v>
      </c>
      <c r="E1758" s="19" t="str">
        <f>IF($B1758="","",IFERROR(INDEX('Staff Directory'!$D$5:$D$594,MATCH($B1758,'Staff Directory'!$A$5:$A$594,0)),""))</f>
        <v>A2</v>
      </c>
      <c r="F1758" s="9" t="s">
        <v>757</v>
      </c>
      <c r="G1758" s="18" t="str">
        <f>IF($F1758="","",IFERROR(INDEX(Items!$B$5:$B$597,MATCH($F1758,Items!$A$5:$A$597,0)),"⚠ not in Items"))</f>
        <v>Documents</v>
      </c>
      <c r="H1758" s="19" t="str">
        <f>IF($F1758="","",IFERROR(INDEX(Items!$C$5:$C$597,MATCH($F1758,Items!$A$5:$A$597,0)),""))</f>
        <v>Standard</v>
      </c>
      <c r="I1758" s="23">
        <f>IF($F1758="","",IFERROR(INDEX(Items!$E$5:$E$597,MATCH($F1758,Items!$A$5:$A$597,0)),""))</f>
        <v>10</v>
      </c>
      <c r="J1758" s="115">
        <f>IF(tblIssues[[#This Row],[Qty Override]]&lt;&gt;"",tblIssues[[#This Row],[Qty Override]],IF(tblIssues[[#This Row],[Standard Issue]]="","",tblIssues[[#This Row],[Standard Issue]]))</f>
        <v>10</v>
      </c>
      <c r="K1758" s="20">
        <f>IF($F1758="","",IFERROR(INDEX(Items!$D$5:$D$597,MATCH($F1758,Items!$A$5:$A$597,0)),""))</f>
        <v>0</v>
      </c>
      <c r="L1758" s="21">
        <f t="shared" si="305"/>
        <v>0</v>
      </c>
      <c r="M1758" s="9" t="str">
        <f t="shared" si="303"/>
        <v/>
      </c>
      <c r="N1758" s="24">
        <f>IF($A1758="","",WORKDAY($A1758,Settings!$C$9,HolidayDates))</f>
        <v>46223</v>
      </c>
      <c r="O1758" s="24">
        <f>IF($N1758="","",WORKDAY($N1758,Settings!$C$10,HolidayDates))</f>
        <v>46261</v>
      </c>
      <c r="P1758" s="10" t="s">
        <v>502</v>
      </c>
      <c r="Q1758" s="52" t="str">
        <f t="shared" si="306"/>
        <v>Collected</v>
      </c>
      <c r="R1758" s="55" t="str">
        <f t="shared" si="307"/>
        <v>2026-07</v>
      </c>
      <c r="S1758" s="55">
        <f>IF(OR($B1758="",$F1758="",$R1758=""),"",SUMIFS(tblIssues[Qty Issued],tblIssues[Staff ID],$B1758,tblIssues[Item Name],$F1758,tblIssues[Month],$R1758))</f>
        <v>20</v>
      </c>
      <c r="T1758" s="56">
        <f>IF($I1758="","",$I1758*Settings!$C$11)</f>
        <v>10</v>
      </c>
      <c r="U1758" s="57" t="str">
        <f t="shared" si="304"/>
        <v>⚠ OVER QUOTA</v>
      </c>
      <c r="V1758" s="55" t="str">
        <f t="shared" si="308"/>
        <v>RN-004-A2 | Sample Org CONNECT Welcome Package RN | 2026-07</v>
      </c>
      <c r="W1758" s="55" t="str">
        <f>IF($V1758="","",IF(COUNTIF($V$5:$V1758,$V1758)=1,1,""))</f>
        <v/>
      </c>
      <c r="X1758" s="58" t="str">
        <f>IF($W1758="","",MAX($X$4:X1757)+1)</f>
        <v/>
      </c>
      <c r="Y1758" s="62"/>
      <c r="Z1758" s="62"/>
      <c r="AA1758" s="64" t="str">
        <f>IF($C1758="","",IFERROR(INDEX('Staff Directory'!$E$5:$E$594,MATCH($C1758,'Staff Directory'!$B$5:$B$594,0)),""))</f>
        <v>firstname004.lastname004@example.com</v>
      </c>
      <c r="AB1758" s="64" t="str">
        <f>IF($C1758="","",IF(ISNUMBER(SEARCH($D1758,Settings!$C$15)),"Pickup","Dispatch"))</f>
        <v>Dispatch</v>
      </c>
      <c r="AC1758" s="64" t="str">
        <f t="shared" si="309"/>
        <v>Supply order dispatched</v>
      </c>
      <c r="AD1758" s="64" t="str">
        <f t="shared" si="300"/>
        <v>Dear  ,
Your order has been dispatched and is in transit. Reply if undelivered.</v>
      </c>
      <c r="AE1758" s="64" t="str">
        <f t="shared" si="301"/>
        <v>mailto:firstname004.lastname004@example.com?subject=Supply%20order%20dispatched&amp;body=Dear%20%20%2C%0A%0AYour%20order%20has%20been%20dispatched%20and%20is%20in%20transit.%20Reply%20if%20undelivered.</v>
      </c>
      <c r="AF1758" s="89" t="str">
        <f t="shared" si="310"/>
        <v>Draft email</v>
      </c>
      <c r="AG1758" s="64">
        <f>IF($C1758="","",IFERROR(INDEX('Staff Directory'!$K$595:$K$599,MATCH($C1758,'Staff Directory'!$B$5:$B$599,0)),$D1758))</f>
        <v>0</v>
      </c>
      <c r="AH1758" t="str">
        <f>IF($C1758="","",IFERROR(INDEX('Staff Directory'!$I$595:$I$599,MATCH($C1758,'Staff Directory'!$B$5:$B$599,0))&amp;" "&amp;INDEX('Staff Directory'!$J$595:$J$599,MATCH($C1758,'Staff Directory'!$B$5:$B$599,0)),$AG1758))</f>
        <v xml:space="preserve"> </v>
      </c>
      <c r="AI1758" s="102"/>
      <c r="AJ1758" s="101">
        <f>IF($F1758="","",SUMIFS($J$5:$J1758,$F$5:$F1758,$F1758))</f>
        <v>730</v>
      </c>
      <c r="AK1758" s="101">
        <f t="shared" si="302"/>
        <v>721</v>
      </c>
      <c r="AL1758" s="66" t="str" cm="1">
        <f t="array" ref="AL1758">IF($F1758="","",IFERROR(INDEX('Lot Balance'!$B$5:$B$500,MATCH(1,INDEX(('Lot Balance'!$A$5:$A$500=$F1758)*('Lot Balance'!$K$5:$K$500&lt;$AK1758)*('Lot Balance'!$K$5:$K$500+'Lot Balance'!$D$5:$D$500&gt;=$AK1758),0),0)),""))</f>
        <v/>
      </c>
      <c r="AM1758" s="66" t="str" cm="1">
        <f t="array" ref="AM1758">IF($F1758="","",IFERROR(INDEX('Lot Balance'!$B$5:$B$500,MATCH(1,INDEX(('Lot Balance'!$A$5:$A$500=$F1758)*('Lot Balance'!$K$5:$K$500&lt;$AJ1758)*('Lot Balance'!$K$5:$K$500+'Lot Balance'!$D$5:$D$500&gt;=$AJ1758),0),0)),""))</f>
        <v/>
      </c>
      <c r="AN1758" s="66" t="str">
        <f>IF($F1758="","",IF($AI1758&lt;&gt;"",IF(COUNTIFS('Lot Balance'!$A$5:$A$500,$F1758,'Lot Balance'!$B$5:$B$500,$AI1758)=0,"⚠ override is not a lot of this item",IF($AI1758=$AL1758,"Override = FEFO","Override - FEFO says "&amp;$AL1758)),IF($AL1758="","⚠ no receipt on file for this item",IF($AM1758&lt;&gt;$AL1758,"FEFO auto - split, also "&amp;$AM1758,"FEFO auto"))))</f>
        <v>⚠ no receipt on file for this item</v>
      </c>
      <c r="AO1758" s="114"/>
    </row>
    <row r="1759" spans="1:41" x14ac:dyDescent="0.35">
      <c r="A1759" s="74">
        <v>46213</v>
      </c>
      <c r="B1759" s="18" t="str">
        <f>IF($C1759="","",IFERROR(INDEX('Staff Directory'!$A$5:$A$594,MATCH($C1759,'Staff Directory'!$B$5:$B$594,0)),"⚠ unknown staff"))</f>
        <v>RN-017-A2</v>
      </c>
      <c r="C1759" s="49" t="s">
        <v>936</v>
      </c>
      <c r="D1759" s="19" t="str">
        <f>IF($B1759="","",IFERROR(INDEX('Staff Directory'!$C$5:$C$594,MATCH($B1759,'Staff Directory'!$A$5:$A$594,0)),""))</f>
        <v>RN</v>
      </c>
      <c r="E1759" s="19" t="str">
        <f>IF($B1759="","",IFERROR(INDEX('Staff Directory'!$D$5:$D$594,MATCH($B1759,'Staff Directory'!$A$5:$A$594,0)),""))</f>
        <v>A2</v>
      </c>
      <c r="F1759" s="9" t="s">
        <v>127</v>
      </c>
      <c r="G1759" s="18" t="str">
        <f>IF($F1759="","",IFERROR(INDEX(Items!$B$5:$B$597,MATCH($F1759,Items!$A$5:$A$597,0)),"⚠ not in Items"))</f>
        <v>Gloves</v>
      </c>
      <c r="H1759" s="19" t="str">
        <f>IF($F1759="","",IFERROR(INDEX(Items!$C$5:$C$597,MATCH($F1759,Items!$A$5:$A$597,0)),""))</f>
        <v>Medium</v>
      </c>
      <c r="I1759" s="23">
        <f>IF($F1759="","",IFERROR(INDEX(Items!$E$5:$E$597,MATCH($F1759,Items!$A$5:$A$597,0)),""))</f>
        <v>500</v>
      </c>
      <c r="J1759" s="115">
        <f>IF(tblIssues[[#This Row],[Qty Override]]&lt;&gt;"",tblIssues[[#This Row],[Qty Override]],IF(tblIssues[[#This Row],[Standard Issue]]="","",tblIssues[[#This Row],[Standard Issue]]))</f>
        <v>500</v>
      </c>
      <c r="K1759" s="20">
        <f>IF($F1759="","",IFERROR(INDEX(Items!$D$5:$D$597,MATCH($F1759,Items!$A$5:$A$597,0)),""))</f>
        <v>5.5E-2</v>
      </c>
      <c r="L1759" s="21">
        <f t="shared" si="305"/>
        <v>27.5</v>
      </c>
      <c r="M1759" s="9" t="str">
        <f t="shared" si="303"/>
        <v>ZIM604151579</v>
      </c>
      <c r="N1759" s="24">
        <f>IF($A1759="","",WORKDAY($A1759,Settings!$C$9,HolidayDates))</f>
        <v>46223</v>
      </c>
      <c r="O1759" s="24">
        <f>IF($N1759="","",WORKDAY($N1759,Settings!$C$10,HolidayDates))</f>
        <v>46261</v>
      </c>
      <c r="P1759" s="10" t="s">
        <v>502</v>
      </c>
      <c r="Q1759" s="52" t="str">
        <f t="shared" si="306"/>
        <v>Collected</v>
      </c>
      <c r="R1759" s="55" t="str">
        <f t="shared" si="307"/>
        <v>2026-07</v>
      </c>
      <c r="S1759" s="55">
        <f>IF(OR($B1759="",$F1759="",$R1759=""),"",SUMIFS(tblIssues[Qty Issued],tblIssues[Staff ID],$B1759,tblIssues[Item Name],$F1759,tblIssues[Month],$R1759))</f>
        <v>500</v>
      </c>
      <c r="T1759" s="56">
        <f>IF($I1759="","",$I1759*Settings!$C$11)</f>
        <v>500</v>
      </c>
      <c r="U1759" s="57" t="str">
        <f t="shared" si="304"/>
        <v>OK</v>
      </c>
      <c r="V1759" s="55" t="str">
        <f t="shared" si="308"/>
        <v/>
      </c>
      <c r="W1759" s="55" t="str">
        <f>IF($V1759="","",IF(COUNTIF($V$5:$V1759,$V1759)=1,1,""))</f>
        <v/>
      </c>
      <c r="X1759" s="58" t="str">
        <f>IF($W1759="","",MAX($X$4:X1758)+1)</f>
        <v/>
      </c>
      <c r="Y1759" s="62"/>
      <c r="Z1759" s="62"/>
      <c r="AA1759" s="64" t="str">
        <f>IF($C1759="","",IFERROR(INDEX('Staff Directory'!$E$5:$E$594,MATCH($C1759,'Staff Directory'!$B$5:$B$594,0)),""))</f>
        <v>firstname020.lastname020@example.com</v>
      </c>
      <c r="AB1759" s="64" t="str">
        <f>IF($C1759="","",IF(ISNUMBER(SEARCH($D1759,Settings!$C$15)),"Pickup","Dispatch"))</f>
        <v>Dispatch</v>
      </c>
      <c r="AC1759" s="64" t="str">
        <f t="shared" si="309"/>
        <v>Supply order dispatched</v>
      </c>
      <c r="AD1759" s="64" t="str">
        <f t="shared" si="300"/>
        <v>Dear RN,
Your order has been dispatched and is in transit. Reply if undelivered.</v>
      </c>
      <c r="AE1759" s="64" t="str">
        <f t="shared" si="301"/>
        <v>mailto:firstname020.lastname020@example.com?subject=Supply%20order%20dispatched&amp;body=Dear%20RN%2C%0A%0AYour%20order%20has%20been%20dispatched%20and%20is%20in%20transit.%20Reply%20if%20undelivered.</v>
      </c>
      <c r="AF1759" s="89" t="str">
        <f t="shared" si="310"/>
        <v>Draft email</v>
      </c>
      <c r="AG1759" s="64" t="str">
        <f>IF($C1759="","",IFERROR(INDEX('Staff Directory'!$K$595:$K$599,MATCH($C1759,'Staff Directory'!$B$5:$B$599,0)),$D1759))</f>
        <v>RN</v>
      </c>
      <c r="AH1759" t="str">
        <f>IF($C1759="","",IFERROR(INDEX('Staff Directory'!$I$595:$I$599,MATCH($C1759,'Staff Directory'!$B$5:$B$599,0))&amp;" "&amp;INDEX('Staff Directory'!$J$595:$J$599,MATCH($C1759,'Staff Directory'!$B$5:$B$599,0)),$AG1759))</f>
        <v>RN</v>
      </c>
      <c r="AI1759" s="102"/>
      <c r="AJ1759" s="101">
        <f>IF($F1759="","",SUMIFS($J$5:$J1759,$F$5:$F1759,$F1759))</f>
        <v>105000</v>
      </c>
      <c r="AK1759" s="101">
        <f t="shared" si="302"/>
        <v>104501</v>
      </c>
      <c r="AL1759" s="66" t="str" cm="1">
        <f t="array" ref="AL1759">IF($F1759="","",IFERROR(INDEX('Lot Balance'!$B$5:$B$500,MATCH(1,INDEX(('Lot Balance'!$A$5:$A$500=$F1759)*('Lot Balance'!$K$5:$K$500&lt;$AK1759)*('Lot Balance'!$K$5:$K$500+'Lot Balance'!$D$5:$D$500&gt;=$AK1759),0),0)),""))</f>
        <v>ZIM604151579</v>
      </c>
      <c r="AM1759" s="66" t="str" cm="1">
        <f t="array" ref="AM1759">IF($F1759="","",IFERROR(INDEX('Lot Balance'!$B$5:$B$500,MATCH(1,INDEX(('Lot Balance'!$A$5:$A$500=$F1759)*('Lot Balance'!$K$5:$K$500&lt;$AJ1759)*('Lot Balance'!$K$5:$K$500+'Lot Balance'!$D$5:$D$500&gt;=$AJ1759),0),0)),""))</f>
        <v>ZIM604151579</v>
      </c>
      <c r="AN1759" s="66" t="str">
        <f>IF($F1759="","",IF($AI1759&lt;&gt;"",IF(COUNTIFS('Lot Balance'!$A$5:$A$500,$F1759,'Lot Balance'!$B$5:$B$500,$AI1759)=0,"⚠ override is not a lot of this item",IF($AI1759=$AL1759,"Override = FEFO","Override - FEFO says "&amp;$AL1759)),IF($AL1759="","⚠ no receipt on file for this item",IF($AM1759&lt;&gt;$AL1759,"FEFO auto - split, also "&amp;$AM1759,"FEFO auto"))))</f>
        <v>FEFO auto</v>
      </c>
      <c r="AO1759" s="114"/>
    </row>
    <row r="1760" spans="1:41" x14ac:dyDescent="0.35">
      <c r="A1760" s="74">
        <v>46213</v>
      </c>
      <c r="B1760" s="18" t="str">
        <f>IF($C1760="","",IFERROR(INDEX('Staff Directory'!$A$5:$A$594,MATCH($C1760,'Staff Directory'!$B$5:$B$594,0)),"⚠ unknown staff"))</f>
        <v>RN-017-A2</v>
      </c>
      <c r="C1760" s="49" t="s">
        <v>936</v>
      </c>
      <c r="D1760" s="19" t="str">
        <f>IF($B1760="","",IFERROR(INDEX('Staff Directory'!$C$5:$C$594,MATCH($B1760,'Staff Directory'!$A$5:$A$594,0)),""))</f>
        <v>RN</v>
      </c>
      <c r="E1760" s="19" t="str">
        <f>IF($B1760="","",IFERROR(INDEX('Staff Directory'!$D$5:$D$594,MATCH($B1760,'Staff Directory'!$A$5:$A$594,0)),""))</f>
        <v>A2</v>
      </c>
      <c r="F1760" s="9" t="s">
        <v>156</v>
      </c>
      <c r="G1760" s="18" t="str">
        <f>IF($F1760="","",IFERROR(INDEX(Items!$B$5:$B$597,MATCH($F1760,Items!$A$5:$A$597,0)),"⚠ not in Items"))</f>
        <v>Masks</v>
      </c>
      <c r="H1760" s="19" t="str">
        <f>IF($F1760="","",IFERROR(INDEX(Items!$C$5:$C$597,MATCH($F1760,Items!$A$5:$A$597,0)),""))</f>
        <v>One Size</v>
      </c>
      <c r="I1760" s="23">
        <f>IF($F1760="","",IFERROR(INDEX(Items!$E$5:$E$597,MATCH($F1760,Items!$A$5:$A$597,0)),""))</f>
        <v>50</v>
      </c>
      <c r="J1760" s="115">
        <f>IF(tblIssues[[#This Row],[Qty Override]]&lt;&gt;"",tblIssues[[#This Row],[Qty Override]],IF(tblIssues[[#This Row],[Standard Issue]]="","",tblIssues[[#This Row],[Standard Issue]]))</f>
        <v>50</v>
      </c>
      <c r="K1760" s="20">
        <f>IF($F1760="","",IFERROR(INDEX(Items!$D$5:$D$597,MATCH($F1760,Items!$A$5:$A$597,0)),""))</f>
        <v>0.25</v>
      </c>
      <c r="L1760" s="21">
        <f t="shared" si="305"/>
        <v>12.5</v>
      </c>
      <c r="M1760" s="9" t="str">
        <f t="shared" si="303"/>
        <v>LV2-10040-2</v>
      </c>
      <c r="N1760" s="24">
        <f>IF($A1760="","",WORKDAY($A1760,Settings!$C$9,HolidayDates))</f>
        <v>46223</v>
      </c>
      <c r="O1760" s="24">
        <f>IF($N1760="","",WORKDAY($N1760,Settings!$C$10,HolidayDates))</f>
        <v>46261</v>
      </c>
      <c r="P1760" s="10" t="s">
        <v>502</v>
      </c>
      <c r="Q1760" s="52" t="str">
        <f t="shared" si="306"/>
        <v>Collected</v>
      </c>
      <c r="R1760" s="55" t="str">
        <f t="shared" si="307"/>
        <v>2026-07</v>
      </c>
      <c r="S1760" s="55">
        <f>IF(OR($B1760="",$F1760="",$R1760=""),"",SUMIFS(tblIssues[Qty Issued],tblIssues[Staff ID],$B1760,tblIssues[Item Name],$F1760,tblIssues[Month],$R1760))</f>
        <v>50</v>
      </c>
      <c r="T1760" s="56">
        <f>IF($I1760="","",$I1760*Settings!$C$11)</f>
        <v>50</v>
      </c>
      <c r="U1760" s="57" t="str">
        <f t="shared" si="304"/>
        <v>OK</v>
      </c>
      <c r="V1760" s="55" t="str">
        <f t="shared" si="308"/>
        <v/>
      </c>
      <c r="W1760" s="55" t="str">
        <f>IF($V1760="","",IF(COUNTIF($V$5:$V1760,$V1760)=1,1,""))</f>
        <v/>
      </c>
      <c r="X1760" s="58" t="str">
        <f>IF($W1760="","",MAX($X$4:X1759)+1)</f>
        <v/>
      </c>
      <c r="Y1760" s="62"/>
      <c r="Z1760" s="62"/>
      <c r="AA1760" s="64" t="str">
        <f>IF($C1760="","",IFERROR(INDEX('Staff Directory'!$E$5:$E$594,MATCH($C1760,'Staff Directory'!$B$5:$B$594,0)),""))</f>
        <v>firstname020.lastname020@example.com</v>
      </c>
      <c r="AB1760" s="64" t="str">
        <f>IF($C1760="","",IF(ISNUMBER(SEARCH($D1760,Settings!$C$15)),"Pickup","Dispatch"))</f>
        <v>Dispatch</v>
      </c>
      <c r="AC1760" s="64" t="str">
        <f t="shared" si="309"/>
        <v>Supply order dispatched</v>
      </c>
      <c r="AD1760" s="64" t="str">
        <f t="shared" si="300"/>
        <v>Dear RN,
Your order has been dispatched and is in transit. Reply if undelivered.</v>
      </c>
      <c r="AE1760" s="64" t="str">
        <f t="shared" si="301"/>
        <v>mailto:firstname020.lastname020@example.com?subject=Supply%20order%20dispatched&amp;body=Dear%20RN%2C%0A%0AYour%20order%20has%20been%20dispatched%20and%20is%20in%20transit.%20Reply%20if%20undelivered.</v>
      </c>
      <c r="AF1760" s="89" t="str">
        <f t="shared" si="310"/>
        <v>Draft email</v>
      </c>
      <c r="AG1760" s="64" t="str">
        <f>IF($C1760="","",IFERROR(INDEX('Staff Directory'!$K$595:$K$599,MATCH($C1760,'Staff Directory'!$B$5:$B$599,0)),$D1760))</f>
        <v>RN</v>
      </c>
      <c r="AH1760" t="str">
        <f>IF($C1760="","",IFERROR(INDEX('Staff Directory'!$I$595:$I$599,MATCH($C1760,'Staff Directory'!$B$5:$B$599,0))&amp;" "&amp;INDEX('Staff Directory'!$J$595:$J$599,MATCH($C1760,'Staff Directory'!$B$5:$B$599,0)),$AG1760))</f>
        <v>RN</v>
      </c>
      <c r="AI1760" s="102"/>
      <c r="AJ1760" s="101">
        <f>IF($F1760="","",SUMIFS($J$5:$J1760,$F$5:$F1760,$F1760))</f>
        <v>14400</v>
      </c>
      <c r="AK1760" s="101">
        <f t="shared" si="302"/>
        <v>14351</v>
      </c>
      <c r="AL1760" s="66" t="str" cm="1">
        <f t="array" ref="AL1760">IF($F1760="","",IFERROR(INDEX('Lot Balance'!$B$5:$B$500,MATCH(1,INDEX(('Lot Balance'!$A$5:$A$500=$F1760)*('Lot Balance'!$K$5:$K$500&lt;$AK1760)*('Lot Balance'!$K$5:$K$500+'Lot Balance'!$D$5:$D$500&gt;=$AK1760),0),0)),""))</f>
        <v>LV2-10040-2</v>
      </c>
      <c r="AM1760" s="66" t="str" cm="1">
        <f t="array" ref="AM1760">IF($F1760="","",IFERROR(INDEX('Lot Balance'!$B$5:$B$500,MATCH(1,INDEX(('Lot Balance'!$A$5:$A$500=$F1760)*('Lot Balance'!$K$5:$K$500&lt;$AJ1760)*('Lot Balance'!$K$5:$K$500+'Lot Balance'!$D$5:$D$500&gt;=$AJ1760),0),0)),""))</f>
        <v>LV2-10040-2</v>
      </c>
      <c r="AN1760" s="66" t="str">
        <f>IF($F1760="","",IF($AI1760&lt;&gt;"",IF(COUNTIFS('Lot Balance'!$A$5:$A$500,$F1760,'Lot Balance'!$B$5:$B$500,$AI1760)=0,"⚠ override is not a lot of this item",IF($AI1760=$AL1760,"Override = FEFO","Override - FEFO says "&amp;$AL1760)),IF($AL1760="","⚠ no receipt on file for this item",IF($AM1760&lt;&gt;$AL1760,"FEFO auto - split, also "&amp;$AM1760,"FEFO auto"))))</f>
        <v>FEFO auto</v>
      </c>
      <c r="AO1760" s="114"/>
    </row>
    <row r="1761" spans="1:41" x14ac:dyDescent="0.35">
      <c r="A1761" s="74">
        <v>46213</v>
      </c>
      <c r="B1761" s="18" t="str">
        <f>IF($C1761="","",IFERROR(INDEX('Staff Directory'!$A$5:$A$594,MATCH($C1761,'Staff Directory'!$B$5:$B$594,0)),"⚠ unknown staff"))</f>
        <v>RN-017-A2</v>
      </c>
      <c r="C1761" s="49" t="s">
        <v>936</v>
      </c>
      <c r="D1761" s="19" t="str">
        <f>IF($B1761="","",IFERROR(INDEX('Staff Directory'!$C$5:$C$594,MATCH($B1761,'Staff Directory'!$A$5:$A$594,0)),""))</f>
        <v>RN</v>
      </c>
      <c r="E1761" s="19" t="str">
        <f>IF($B1761="","",IFERROR(INDEX('Staff Directory'!$D$5:$D$594,MATCH($B1761,'Staff Directory'!$A$5:$A$594,0)),""))</f>
        <v>A2</v>
      </c>
      <c r="F1761" s="9" t="s">
        <v>757</v>
      </c>
      <c r="G1761" s="18" t="str">
        <f>IF($F1761="","",IFERROR(INDEX(Items!$B$5:$B$597,MATCH($F1761,Items!$A$5:$A$597,0)),"⚠ not in Items"))</f>
        <v>Documents</v>
      </c>
      <c r="H1761" s="19" t="str">
        <f>IF($F1761="","",IFERROR(INDEX(Items!$C$5:$C$597,MATCH($F1761,Items!$A$5:$A$597,0)),""))</f>
        <v>Standard</v>
      </c>
      <c r="I1761" s="23">
        <f>IF($F1761="","",IFERROR(INDEX(Items!$E$5:$E$597,MATCH($F1761,Items!$A$5:$A$597,0)),""))</f>
        <v>10</v>
      </c>
      <c r="J1761" s="115">
        <f>IF(tblIssues[[#This Row],[Qty Override]]&lt;&gt;"",tblIssues[[#This Row],[Qty Override]],IF(tblIssues[[#This Row],[Standard Issue]]="","",tblIssues[[#This Row],[Standard Issue]]))</f>
        <v>10</v>
      </c>
      <c r="K1761" s="20">
        <f>IF($F1761="","",IFERROR(INDEX(Items!$D$5:$D$597,MATCH($F1761,Items!$A$5:$A$597,0)),""))</f>
        <v>0</v>
      </c>
      <c r="L1761" s="21">
        <f t="shared" si="305"/>
        <v>0</v>
      </c>
      <c r="M1761" s="9" t="str">
        <f t="shared" si="303"/>
        <v/>
      </c>
      <c r="N1761" s="24">
        <f>IF($A1761="","",WORKDAY($A1761,Settings!$C$9,HolidayDates))</f>
        <v>46223</v>
      </c>
      <c r="O1761" s="24">
        <f>IF($N1761="","",WORKDAY($N1761,Settings!$C$10,HolidayDates))</f>
        <v>46261</v>
      </c>
      <c r="P1761" s="10" t="s">
        <v>502</v>
      </c>
      <c r="Q1761" s="52" t="str">
        <f t="shared" si="306"/>
        <v>Collected</v>
      </c>
      <c r="R1761" s="55" t="str">
        <f t="shared" si="307"/>
        <v>2026-07</v>
      </c>
      <c r="S1761" s="55">
        <f>IF(OR($B1761="",$F1761="",$R1761=""),"",SUMIFS(tblIssues[Qty Issued],tblIssues[Staff ID],$B1761,tblIssues[Item Name],$F1761,tblIssues[Month],$R1761))</f>
        <v>10</v>
      </c>
      <c r="T1761" s="56">
        <f>IF($I1761="","",$I1761*Settings!$C$11)</f>
        <v>10</v>
      </c>
      <c r="U1761" s="57" t="str">
        <f t="shared" si="304"/>
        <v>OK</v>
      </c>
      <c r="V1761" s="55" t="str">
        <f t="shared" si="308"/>
        <v/>
      </c>
      <c r="W1761" s="55" t="str">
        <f>IF($V1761="","",IF(COUNTIF($V$5:$V1761,$V1761)=1,1,""))</f>
        <v/>
      </c>
      <c r="X1761" s="58" t="str">
        <f>IF($W1761="","",MAX($X$4:X1760)+1)</f>
        <v/>
      </c>
      <c r="Y1761" s="62"/>
      <c r="Z1761" s="62"/>
      <c r="AA1761" s="64" t="str">
        <f>IF($C1761="","",IFERROR(INDEX('Staff Directory'!$E$5:$E$594,MATCH($C1761,'Staff Directory'!$B$5:$B$594,0)),""))</f>
        <v>firstname020.lastname020@example.com</v>
      </c>
      <c r="AB1761" s="64" t="str">
        <f>IF($C1761="","",IF(ISNUMBER(SEARCH($D1761,Settings!$C$15)),"Pickup","Dispatch"))</f>
        <v>Dispatch</v>
      </c>
      <c r="AC1761" s="64" t="str">
        <f t="shared" si="309"/>
        <v>Supply order dispatched</v>
      </c>
      <c r="AD1761" s="64" t="str">
        <f t="shared" si="300"/>
        <v>Dear RN,
Your order has been dispatched and is in transit. Reply if undelivered.</v>
      </c>
      <c r="AE1761" s="64" t="str">
        <f t="shared" si="301"/>
        <v>mailto:firstname020.lastname020@example.com?subject=Supply%20order%20dispatched&amp;body=Dear%20RN%2C%0A%0AYour%20order%20has%20been%20dispatched%20and%20is%20in%20transit.%20Reply%20if%20undelivered.</v>
      </c>
      <c r="AF1761" s="89" t="str">
        <f t="shared" si="310"/>
        <v>Draft email</v>
      </c>
      <c r="AG1761" s="64" t="str">
        <f>IF($C1761="","",IFERROR(INDEX('Staff Directory'!$K$595:$K$599,MATCH($C1761,'Staff Directory'!$B$5:$B$599,0)),$D1761))</f>
        <v>RN</v>
      </c>
      <c r="AH1761" t="str">
        <f>IF($C1761="","",IFERROR(INDEX('Staff Directory'!$I$595:$I$599,MATCH($C1761,'Staff Directory'!$B$5:$B$599,0))&amp;" "&amp;INDEX('Staff Directory'!$J$595:$J$599,MATCH($C1761,'Staff Directory'!$B$5:$B$599,0)),$AG1761))</f>
        <v>RN</v>
      </c>
      <c r="AI1761" s="102"/>
      <c r="AJ1761" s="101">
        <f>IF($F1761="","",SUMIFS($J$5:$J1761,$F$5:$F1761,$F1761))</f>
        <v>740</v>
      </c>
      <c r="AK1761" s="101">
        <f t="shared" si="302"/>
        <v>731</v>
      </c>
      <c r="AL1761" s="66" t="str" cm="1">
        <f t="array" ref="AL1761">IF($F1761="","",IFERROR(INDEX('Lot Balance'!$B$5:$B$500,MATCH(1,INDEX(('Lot Balance'!$A$5:$A$500=$F1761)*('Lot Balance'!$K$5:$K$500&lt;$AK1761)*('Lot Balance'!$K$5:$K$500+'Lot Balance'!$D$5:$D$500&gt;=$AK1761),0),0)),""))</f>
        <v/>
      </c>
      <c r="AM1761" s="66" t="str" cm="1">
        <f t="array" ref="AM1761">IF($F1761="","",IFERROR(INDEX('Lot Balance'!$B$5:$B$500,MATCH(1,INDEX(('Lot Balance'!$A$5:$A$500=$F1761)*('Lot Balance'!$K$5:$K$500&lt;$AJ1761)*('Lot Balance'!$K$5:$K$500+'Lot Balance'!$D$5:$D$500&gt;=$AJ1761),0),0)),""))</f>
        <v/>
      </c>
      <c r="AN1761" s="66" t="str">
        <f>IF($F1761="","",IF($AI1761&lt;&gt;"",IF(COUNTIFS('Lot Balance'!$A$5:$A$500,$F1761,'Lot Balance'!$B$5:$B$500,$AI1761)=0,"⚠ override is not a lot of this item",IF($AI1761=$AL1761,"Override = FEFO","Override - FEFO says "&amp;$AL1761)),IF($AL1761="","⚠ no receipt on file for this item",IF($AM1761&lt;&gt;$AL1761,"FEFO auto - split, also "&amp;$AM1761,"FEFO auto"))))</f>
        <v>⚠ no receipt on file for this item</v>
      </c>
      <c r="AO1761" s="114"/>
    </row>
    <row r="1762" spans="1:41" x14ac:dyDescent="0.35">
      <c r="A1762" s="74">
        <v>46213</v>
      </c>
      <c r="B1762" s="18" t="str">
        <f>IF($C1762="","",IFERROR(INDEX('Staff Directory'!$A$5:$A$594,MATCH($C1762,'Staff Directory'!$B$5:$B$594,0)),"⚠ unknown staff"))</f>
        <v>PSW-152-A6</v>
      </c>
      <c r="C1762" s="49" t="s">
        <v>1131</v>
      </c>
      <c r="D1762" s="19" t="str">
        <f>IF($B1762="","",IFERROR(INDEX('Staff Directory'!$C$5:$C$594,MATCH($B1762,'Staff Directory'!$A$5:$A$594,0)),""))</f>
        <v>PSW</v>
      </c>
      <c r="E1762" s="19" t="str">
        <f>IF($B1762="","",IFERROR(INDEX('Staff Directory'!$D$5:$D$594,MATCH($B1762,'Staff Directory'!$A$5:$A$594,0)),""))</f>
        <v>A6</v>
      </c>
      <c r="F1762" s="9" t="s">
        <v>758</v>
      </c>
      <c r="G1762" s="18" t="str">
        <f>IF($F1762="","",IFERROR(INDEX(Items!$B$5:$B$597,MATCH($F1762,Items!$A$5:$A$597,0)),"⚠ not in Items"))</f>
        <v>Utility</v>
      </c>
      <c r="H1762" s="19" t="str">
        <f>IF($F1762="","",IFERROR(INDEX(Items!$C$5:$C$597,MATCH($F1762,Items!$A$5:$A$597,0)),""))</f>
        <v>Standard</v>
      </c>
      <c r="I1762" s="23">
        <f>IF($F1762="","",IFERROR(INDEX(Items!$E$5:$E$597,MATCH($F1762,Items!$A$5:$A$597,0)),""))</f>
        <v>1</v>
      </c>
      <c r="J1762" s="115">
        <f>IF(tblIssues[[#This Row],[Qty Override]]&lt;&gt;"",tblIssues[[#This Row],[Qty Override]],IF(tblIssues[[#This Row],[Standard Issue]]="","",tblIssues[[#This Row],[Standard Issue]]))</f>
        <v>1</v>
      </c>
      <c r="K1762" s="20">
        <f>IF($F1762="","",IFERROR(INDEX(Items!$D$5:$D$597,MATCH($F1762,Items!$A$5:$A$597,0)),""))</f>
        <v>0</v>
      </c>
      <c r="L1762" s="21">
        <f t="shared" si="305"/>
        <v>0</v>
      </c>
      <c r="M1762" s="9" t="str">
        <f t="shared" si="303"/>
        <v/>
      </c>
      <c r="N1762" s="24">
        <f>IF($A1762="","",WORKDAY($A1762,Settings!$C$9,HolidayDates))</f>
        <v>46223</v>
      </c>
      <c r="O1762" s="24">
        <f>IF($N1762="","",WORKDAY($N1762,Settings!$C$10,HolidayDates))</f>
        <v>46261</v>
      </c>
      <c r="P1762" s="10" t="s">
        <v>501</v>
      </c>
      <c r="Q1762" s="52" t="str">
        <f t="shared" si="306"/>
        <v>Collected</v>
      </c>
      <c r="R1762" s="55" t="str">
        <f t="shared" si="307"/>
        <v>2026-07</v>
      </c>
      <c r="S1762" s="55">
        <f>IF(OR($B1762="",$F1762="",$R1762=""),"",SUMIFS(tblIssues[Qty Issued],tblIssues[Staff ID],$B1762,tblIssues[Item Name],$F1762,tblIssues[Month],$R1762))</f>
        <v>1</v>
      </c>
      <c r="T1762" s="56">
        <f>IF($I1762="","",$I1762*Settings!$C$11)</f>
        <v>1</v>
      </c>
      <c r="U1762" s="57" t="str">
        <f t="shared" si="304"/>
        <v>OK</v>
      </c>
      <c r="V1762" s="55" t="str">
        <f t="shared" si="308"/>
        <v/>
      </c>
      <c r="W1762" s="55" t="str">
        <f>IF($V1762="","",IF(COUNTIF($V$5:$V1762,$V1762)=1,1,""))</f>
        <v/>
      </c>
      <c r="X1762" s="58" t="str">
        <f>IF($W1762="","",MAX($X$4:X1761)+1)</f>
        <v/>
      </c>
      <c r="Y1762" s="62"/>
      <c r="Z1762" s="62"/>
      <c r="AA1762" s="64" t="str">
        <f>IF($C1762="","",IFERROR(INDEX('Staff Directory'!$E$5:$E$594,MATCH($C1762,'Staff Directory'!$B$5:$B$594,0)),""))</f>
        <v>firstname215.lastname215@example.com</v>
      </c>
      <c r="AB1762" s="64" t="str">
        <f>IF($C1762="","",IF(ISNUMBER(SEARCH($D1762,Settings!$C$15)),"Pickup","Dispatch"))</f>
        <v>Pickup</v>
      </c>
      <c r="AC1762" s="64" t="str">
        <f t="shared" si="309"/>
        <v>Supply order ready for pickup</v>
      </c>
      <c r="AD1762" s="64" t="str">
        <f t="shared" si="300"/>
        <v>Dear PSW,
Your order is ready for pickup from Sample Branch, Wed-Fri 9am-4pm.</v>
      </c>
      <c r="AE1762" s="64" t="str">
        <f t="shared" si="301"/>
        <v>mailto:firstname215.lastname215@example.com?subject=Supply%20order%20ready%20for%20pickup&amp;body=Dear%20PSW%2C%0A%0AYour%20order%20is%20ready%20for%20pickup%20from%20Sample%20Branch%2C%20Wed-Fri%209am-4pm.</v>
      </c>
      <c r="AF1762" s="89" t="str">
        <f t="shared" si="310"/>
        <v>Draft email</v>
      </c>
      <c r="AG1762" s="64" t="str">
        <f>IF($C1762="","",IFERROR(INDEX('Staff Directory'!$K$595:$K$599,MATCH($C1762,'Staff Directory'!$B$5:$B$599,0)),$D1762))</f>
        <v>PSW</v>
      </c>
      <c r="AH1762" t="str">
        <f>IF($C1762="","",IFERROR(INDEX('Staff Directory'!$I$595:$I$599,MATCH($C1762,'Staff Directory'!$B$5:$B$599,0))&amp;" "&amp;INDEX('Staff Directory'!$J$595:$J$599,MATCH($C1762,'Staff Directory'!$B$5:$B$599,0)),$AG1762))</f>
        <v>PSW</v>
      </c>
      <c r="AI1762" s="102"/>
      <c r="AJ1762" s="101">
        <f>IF($F1762="","",SUMIFS($J$5:$J1762,$F$5:$F1762,$F1762))</f>
        <v>66</v>
      </c>
      <c r="AK1762" s="101">
        <f t="shared" si="302"/>
        <v>66</v>
      </c>
      <c r="AL1762" s="66" t="str" cm="1">
        <f t="array" ref="AL1762">IF($F1762="","",IFERROR(INDEX('Lot Balance'!$B$5:$B$500,MATCH(1,INDEX(('Lot Balance'!$A$5:$A$500=$F1762)*('Lot Balance'!$K$5:$K$500&lt;$AK1762)*('Lot Balance'!$K$5:$K$500+'Lot Balance'!$D$5:$D$500&gt;=$AK1762),0),0)),""))</f>
        <v/>
      </c>
      <c r="AM1762" s="66" t="str" cm="1">
        <f t="array" ref="AM1762">IF($F1762="","",IFERROR(INDEX('Lot Balance'!$B$5:$B$500,MATCH(1,INDEX(('Lot Balance'!$A$5:$A$500=$F1762)*('Lot Balance'!$K$5:$K$500&lt;$AJ1762)*('Lot Balance'!$K$5:$K$500+'Lot Balance'!$D$5:$D$500&gt;=$AJ1762),0),0)),""))</f>
        <v/>
      </c>
      <c r="AN1762" s="66" t="str">
        <f>IF($F1762="","",IF($AI1762&lt;&gt;"",IF(COUNTIFS('Lot Balance'!$A$5:$A$500,$F1762,'Lot Balance'!$B$5:$B$500,$AI1762)=0,"⚠ override is not a lot of this item",IF($AI1762=$AL1762,"Override = FEFO","Override - FEFO says "&amp;$AL1762)),IF($AL1762="","⚠ no receipt on file for this item",IF($AM1762&lt;&gt;$AL1762,"FEFO auto - split, also "&amp;$AM1762,"FEFO auto"))))</f>
        <v>⚠ no receipt on file for this item</v>
      </c>
      <c r="AO1762" s="114"/>
    </row>
    <row r="1763" spans="1:41" x14ac:dyDescent="0.35">
      <c r="A1763" s="74">
        <v>46213</v>
      </c>
      <c r="B1763" s="18" t="str">
        <f>IF($C1763="","",IFERROR(INDEX('Staff Directory'!$A$5:$A$594,MATCH($C1763,'Staff Directory'!$B$5:$B$594,0)),"⚠ unknown staff"))</f>
        <v>RN-004-A2</v>
      </c>
      <c r="C1763" s="49" t="s">
        <v>920</v>
      </c>
      <c r="D1763" s="19" t="str">
        <f>IF($B1763="","",IFERROR(INDEX('Staff Directory'!$C$5:$C$594,MATCH($B1763,'Staff Directory'!$A$5:$A$594,0)),""))</f>
        <v>RN</v>
      </c>
      <c r="E1763" s="19" t="str">
        <f>IF($B1763="","",IFERROR(INDEX('Staff Directory'!$D$5:$D$594,MATCH($B1763,'Staff Directory'!$A$5:$A$594,0)),""))</f>
        <v>A2</v>
      </c>
      <c r="F1763" s="9" t="s">
        <v>758</v>
      </c>
      <c r="G1763" s="18" t="str">
        <f>IF($F1763="","",IFERROR(INDEX(Items!$B$5:$B$597,MATCH($F1763,Items!$A$5:$A$597,0)),"⚠ not in Items"))</f>
        <v>Utility</v>
      </c>
      <c r="H1763" s="19" t="str">
        <f>IF($F1763="","",IFERROR(INDEX(Items!$C$5:$C$597,MATCH($F1763,Items!$A$5:$A$597,0)),""))</f>
        <v>Standard</v>
      </c>
      <c r="I1763" s="23">
        <f>IF($F1763="","",IFERROR(INDEX(Items!$E$5:$E$597,MATCH($F1763,Items!$A$5:$A$597,0)),""))</f>
        <v>1</v>
      </c>
      <c r="J1763" s="115">
        <f>IF(tblIssues[[#This Row],[Qty Override]]&lt;&gt;"",tblIssues[[#This Row],[Qty Override]],IF(tblIssues[[#This Row],[Standard Issue]]="","",tblIssues[[#This Row],[Standard Issue]]))</f>
        <v>1</v>
      </c>
      <c r="K1763" s="20">
        <f>IF($F1763="","",IFERROR(INDEX(Items!$D$5:$D$597,MATCH($F1763,Items!$A$5:$A$597,0)),""))</f>
        <v>0</v>
      </c>
      <c r="L1763" s="21">
        <f t="shared" si="305"/>
        <v>0</v>
      </c>
      <c r="M1763" s="9" t="str">
        <f t="shared" si="303"/>
        <v/>
      </c>
      <c r="N1763" s="24">
        <f>IF($A1763="","",WORKDAY($A1763,Settings!$C$9,HolidayDates))</f>
        <v>46223</v>
      </c>
      <c r="O1763" s="24">
        <f>IF($N1763="","",WORKDAY($N1763,Settings!$C$10,HolidayDates))</f>
        <v>46261</v>
      </c>
      <c r="P1763" s="10" t="s">
        <v>502</v>
      </c>
      <c r="Q1763" s="52" t="str">
        <f t="shared" si="306"/>
        <v>Collected</v>
      </c>
      <c r="R1763" s="55" t="str">
        <f t="shared" si="307"/>
        <v>2026-07</v>
      </c>
      <c r="S1763" s="55">
        <f>IF(OR($B1763="",$F1763="",$R1763=""),"",SUMIFS(tblIssues[Qty Issued],tblIssues[Staff ID],$B1763,tblIssues[Item Name],$F1763,tblIssues[Month],$R1763))</f>
        <v>1</v>
      </c>
      <c r="T1763" s="56">
        <f>IF($I1763="","",$I1763*Settings!$C$11)</f>
        <v>1</v>
      </c>
      <c r="U1763" s="57" t="str">
        <f t="shared" si="304"/>
        <v>OK</v>
      </c>
      <c r="V1763" s="55" t="str">
        <f t="shared" si="308"/>
        <v/>
      </c>
      <c r="W1763" s="55" t="str">
        <f>IF($V1763="","",IF(COUNTIF($V$5:$V1763,$V1763)=1,1,""))</f>
        <v/>
      </c>
      <c r="X1763" s="58" t="str">
        <f>IF($W1763="","",MAX($X$4:X1762)+1)</f>
        <v/>
      </c>
      <c r="Y1763" s="62"/>
      <c r="Z1763" s="62"/>
      <c r="AA1763" s="64" t="str">
        <f>IF($C1763="","",IFERROR(INDEX('Staff Directory'!$E$5:$E$594,MATCH($C1763,'Staff Directory'!$B$5:$B$594,0)),""))</f>
        <v>firstname004.lastname004@example.com</v>
      </c>
      <c r="AB1763" s="64" t="str">
        <f>IF($C1763="","",IF(ISNUMBER(SEARCH($D1763,Settings!$C$15)),"Pickup","Dispatch"))</f>
        <v>Dispatch</v>
      </c>
      <c r="AC1763" s="64" t="str">
        <f t="shared" si="309"/>
        <v>Supply order dispatched</v>
      </c>
      <c r="AD1763" s="64" t="str">
        <f t="shared" si="300"/>
        <v>Dear  ,
Your order has been dispatched and is in transit. Reply if undelivered.</v>
      </c>
      <c r="AE1763" s="64" t="str">
        <f t="shared" si="301"/>
        <v>mailto:firstname004.lastname004@example.com?subject=Supply%20order%20dispatched&amp;body=Dear%20%20%2C%0A%0AYour%20order%20has%20been%20dispatched%20and%20is%20in%20transit.%20Reply%20if%20undelivered.</v>
      </c>
      <c r="AF1763" s="89" t="str">
        <f t="shared" si="310"/>
        <v>Draft email</v>
      </c>
      <c r="AG1763" s="64">
        <f>IF($C1763="","",IFERROR(INDEX('Staff Directory'!$K$595:$K$599,MATCH($C1763,'Staff Directory'!$B$5:$B$599,0)),$D1763))</f>
        <v>0</v>
      </c>
      <c r="AH1763" t="str">
        <f>IF($C1763="","",IFERROR(INDEX('Staff Directory'!$I$595:$I$599,MATCH($C1763,'Staff Directory'!$B$5:$B$599,0))&amp;" "&amp;INDEX('Staff Directory'!$J$595:$J$599,MATCH($C1763,'Staff Directory'!$B$5:$B$599,0)),$AG1763))</f>
        <v xml:space="preserve"> </v>
      </c>
      <c r="AI1763" s="102"/>
      <c r="AJ1763" s="101">
        <f>IF($F1763="","",SUMIFS($J$5:$J1763,$F$5:$F1763,$F1763))</f>
        <v>67</v>
      </c>
      <c r="AK1763" s="101">
        <f t="shared" si="302"/>
        <v>67</v>
      </c>
      <c r="AL1763" s="66" t="str" cm="1">
        <f t="array" ref="AL1763">IF($F1763="","",IFERROR(INDEX('Lot Balance'!$B$5:$B$500,MATCH(1,INDEX(('Lot Balance'!$A$5:$A$500=$F1763)*('Lot Balance'!$K$5:$K$500&lt;$AK1763)*('Lot Balance'!$K$5:$K$500+'Lot Balance'!$D$5:$D$500&gt;=$AK1763),0),0)),""))</f>
        <v/>
      </c>
      <c r="AM1763" s="66" t="str" cm="1">
        <f t="array" ref="AM1763">IF($F1763="","",IFERROR(INDEX('Lot Balance'!$B$5:$B$500,MATCH(1,INDEX(('Lot Balance'!$A$5:$A$500=$F1763)*('Lot Balance'!$K$5:$K$500&lt;$AJ1763)*('Lot Balance'!$K$5:$K$500+'Lot Balance'!$D$5:$D$500&gt;=$AJ1763),0),0)),""))</f>
        <v/>
      </c>
      <c r="AN1763" s="66" t="str">
        <f>IF($F1763="","",IF($AI1763&lt;&gt;"",IF(COUNTIFS('Lot Balance'!$A$5:$A$500,$F1763,'Lot Balance'!$B$5:$B$500,$AI1763)=0,"⚠ override is not a lot of this item",IF($AI1763=$AL1763,"Override = FEFO","Override - FEFO says "&amp;$AL1763)),IF($AL1763="","⚠ no receipt on file for this item",IF($AM1763&lt;&gt;$AL1763,"FEFO auto - split, also "&amp;$AM1763,"FEFO auto"))))</f>
        <v>⚠ no receipt on file for this item</v>
      </c>
      <c r="AO1763" s="114"/>
    </row>
    <row r="1764" spans="1:41" x14ac:dyDescent="0.35">
      <c r="A1764" s="74">
        <v>46213</v>
      </c>
      <c r="B1764" s="18" t="str">
        <f>IF($C1764="","",IFERROR(INDEX('Staff Directory'!$A$5:$A$594,MATCH($C1764,'Staff Directory'!$B$5:$B$594,0)),"⚠ unknown staff"))</f>
        <v>RN-017-A2</v>
      </c>
      <c r="C1764" s="49" t="s">
        <v>936</v>
      </c>
      <c r="D1764" s="19" t="str">
        <f>IF($B1764="","",IFERROR(INDEX('Staff Directory'!$C$5:$C$594,MATCH($B1764,'Staff Directory'!$A$5:$A$594,0)),""))</f>
        <v>RN</v>
      </c>
      <c r="E1764" s="19" t="str">
        <f>IF($B1764="","",IFERROR(INDEX('Staff Directory'!$D$5:$D$594,MATCH($B1764,'Staff Directory'!$A$5:$A$594,0)),""))</f>
        <v>A2</v>
      </c>
      <c r="F1764" s="9" t="s">
        <v>758</v>
      </c>
      <c r="G1764" s="18" t="str">
        <f>IF($F1764="","",IFERROR(INDEX(Items!$B$5:$B$597,MATCH($F1764,Items!$A$5:$A$597,0)),"⚠ not in Items"))</f>
        <v>Utility</v>
      </c>
      <c r="H1764" s="19" t="str">
        <f>IF($F1764="","",IFERROR(INDEX(Items!$C$5:$C$597,MATCH($F1764,Items!$A$5:$A$597,0)),""))</f>
        <v>Standard</v>
      </c>
      <c r="I1764" s="23">
        <f>IF($F1764="","",IFERROR(INDEX(Items!$E$5:$E$597,MATCH($F1764,Items!$A$5:$A$597,0)),""))</f>
        <v>1</v>
      </c>
      <c r="J1764" s="115">
        <f>IF(tblIssues[[#This Row],[Qty Override]]&lt;&gt;"",tblIssues[[#This Row],[Qty Override]],IF(tblIssues[[#This Row],[Standard Issue]]="","",tblIssues[[#This Row],[Standard Issue]]))</f>
        <v>1</v>
      </c>
      <c r="K1764" s="20">
        <f>IF($F1764="","",IFERROR(INDEX(Items!$D$5:$D$597,MATCH($F1764,Items!$A$5:$A$597,0)),""))</f>
        <v>0</v>
      </c>
      <c r="L1764" s="21">
        <f t="shared" si="305"/>
        <v>0</v>
      </c>
      <c r="M1764" s="9" t="str">
        <f t="shared" si="303"/>
        <v/>
      </c>
      <c r="N1764" s="24">
        <f>IF($A1764="","",WORKDAY($A1764,Settings!$C$9,HolidayDates))</f>
        <v>46223</v>
      </c>
      <c r="O1764" s="24">
        <f>IF($N1764="","",WORKDAY($N1764,Settings!$C$10,HolidayDates))</f>
        <v>46261</v>
      </c>
      <c r="P1764" s="10" t="s">
        <v>502</v>
      </c>
      <c r="Q1764" s="52" t="str">
        <f t="shared" si="306"/>
        <v>Collected</v>
      </c>
      <c r="R1764" s="55" t="str">
        <f t="shared" si="307"/>
        <v>2026-07</v>
      </c>
      <c r="S1764" s="55">
        <f>IF(OR($B1764="",$F1764="",$R1764=""),"",SUMIFS(tblIssues[Qty Issued],tblIssues[Staff ID],$B1764,tblIssues[Item Name],$F1764,tblIssues[Month],$R1764))</f>
        <v>1</v>
      </c>
      <c r="T1764" s="56">
        <f>IF($I1764="","",$I1764*Settings!$C$11)</f>
        <v>1</v>
      </c>
      <c r="U1764" s="57" t="str">
        <f t="shared" si="304"/>
        <v>OK</v>
      </c>
      <c r="V1764" s="55" t="str">
        <f t="shared" si="308"/>
        <v/>
      </c>
      <c r="W1764" s="55" t="str">
        <f>IF($V1764="","",IF(COUNTIF($V$5:$V1764,$V1764)=1,1,""))</f>
        <v/>
      </c>
      <c r="X1764" s="58" t="str">
        <f>IF($W1764="","",MAX($X$4:X1763)+1)</f>
        <v/>
      </c>
      <c r="Y1764" s="62"/>
      <c r="Z1764" s="62"/>
      <c r="AA1764" s="64" t="str">
        <f>IF($C1764="","",IFERROR(INDEX('Staff Directory'!$E$5:$E$594,MATCH($C1764,'Staff Directory'!$B$5:$B$594,0)),""))</f>
        <v>firstname020.lastname020@example.com</v>
      </c>
      <c r="AB1764" s="64" t="str">
        <f>IF($C1764="","",IF(ISNUMBER(SEARCH($D1764,Settings!$C$15)),"Pickup","Dispatch"))</f>
        <v>Dispatch</v>
      </c>
      <c r="AC1764" s="64" t="str">
        <f t="shared" si="309"/>
        <v>Supply order dispatched</v>
      </c>
      <c r="AD1764" s="64" t="str">
        <f t="shared" si="300"/>
        <v>Dear RN,
Your order has been dispatched and is in transit. Reply if undelivered.</v>
      </c>
      <c r="AE1764" s="64" t="str">
        <f t="shared" si="301"/>
        <v>mailto:firstname020.lastname020@example.com?subject=Supply%20order%20dispatched&amp;body=Dear%20RN%2C%0A%0AYour%20order%20has%20been%20dispatched%20and%20is%20in%20transit.%20Reply%20if%20undelivered.</v>
      </c>
      <c r="AF1764" s="89" t="str">
        <f t="shared" si="310"/>
        <v>Draft email</v>
      </c>
      <c r="AG1764" s="64" t="str">
        <f>IF($C1764="","",IFERROR(INDEX('Staff Directory'!$K$595:$K$599,MATCH($C1764,'Staff Directory'!$B$5:$B$599,0)),$D1764))</f>
        <v>RN</v>
      </c>
      <c r="AH1764" t="str">
        <f>IF($C1764="","",IFERROR(INDEX('Staff Directory'!$I$595:$I$599,MATCH($C1764,'Staff Directory'!$B$5:$B$599,0))&amp;" "&amp;INDEX('Staff Directory'!$J$595:$J$599,MATCH($C1764,'Staff Directory'!$B$5:$B$599,0)),$AG1764))</f>
        <v>RN</v>
      </c>
      <c r="AI1764" s="102"/>
      <c r="AJ1764" s="101">
        <f>IF($F1764="","",SUMIFS($J$5:$J1764,$F$5:$F1764,$F1764))</f>
        <v>68</v>
      </c>
      <c r="AK1764" s="101">
        <f t="shared" si="302"/>
        <v>68</v>
      </c>
      <c r="AL1764" s="66" t="str" cm="1">
        <f t="array" ref="AL1764">IF($F1764="","",IFERROR(INDEX('Lot Balance'!$B$5:$B$500,MATCH(1,INDEX(('Lot Balance'!$A$5:$A$500=$F1764)*('Lot Balance'!$K$5:$K$500&lt;$AK1764)*('Lot Balance'!$K$5:$K$500+'Lot Balance'!$D$5:$D$500&gt;=$AK1764),0),0)),""))</f>
        <v/>
      </c>
      <c r="AM1764" s="66" t="str" cm="1">
        <f t="array" ref="AM1764">IF($F1764="","",IFERROR(INDEX('Lot Balance'!$B$5:$B$500,MATCH(1,INDEX(('Lot Balance'!$A$5:$A$500=$F1764)*('Lot Balance'!$K$5:$K$500&lt;$AJ1764)*('Lot Balance'!$K$5:$K$500+'Lot Balance'!$D$5:$D$500&gt;=$AJ1764),0),0)),""))</f>
        <v/>
      </c>
      <c r="AN1764" s="66" t="str">
        <f>IF($F1764="","",IF($AI1764&lt;&gt;"",IF(COUNTIFS('Lot Balance'!$A$5:$A$500,$F1764,'Lot Balance'!$B$5:$B$500,$AI1764)=0,"⚠ override is not a lot of this item",IF($AI1764=$AL1764,"Override = FEFO","Override - FEFO says "&amp;$AL1764)),IF($AL1764="","⚠ no receipt on file for this item",IF($AM1764&lt;&gt;$AL1764,"FEFO auto - split, also "&amp;$AM1764,"FEFO auto"))))</f>
        <v>⚠ no receipt on file for this item</v>
      </c>
      <c r="AO1764" s="114"/>
    </row>
    <row r="1765" spans="1:41" x14ac:dyDescent="0.35">
      <c r="A1765" s="74">
        <v>46213</v>
      </c>
      <c r="B1765" s="18" t="str">
        <f>IF($C1765="","",IFERROR(INDEX('Staff Directory'!$A$5:$A$594,MATCH($C1765,'Staff Directory'!$B$5:$B$594,0)),"⚠ unknown staff"))</f>
        <v>PSW-103-A4</v>
      </c>
      <c r="C1765" s="49" t="s">
        <v>1081</v>
      </c>
      <c r="D1765" s="19" t="str">
        <f>IF($B1765="","",IFERROR(INDEX('Staff Directory'!$C$5:$C$594,MATCH($B1765,'Staff Directory'!$A$5:$A$594,0)),""))</f>
        <v>PSW</v>
      </c>
      <c r="E1765" s="19" t="str">
        <f>IF($B1765="","",IFERROR(INDEX('Staff Directory'!$D$5:$D$594,MATCH($B1765,'Staff Directory'!$A$5:$A$594,0)),""))</f>
        <v>A4</v>
      </c>
      <c r="F1765" s="9" t="s">
        <v>127</v>
      </c>
      <c r="G1765" s="18" t="str">
        <f>IF($F1765="","",IFERROR(INDEX(Items!$B$5:$B$597,MATCH($F1765,Items!$A$5:$A$597,0)),"⚠ not in Items"))</f>
        <v>Gloves</v>
      </c>
      <c r="H1765" s="19" t="str">
        <f>IF($F1765="","",IFERROR(INDEX(Items!$C$5:$C$597,MATCH($F1765,Items!$A$5:$A$597,0)),""))</f>
        <v>Medium</v>
      </c>
      <c r="I1765" s="23">
        <f>IF($F1765="","",IFERROR(INDEX(Items!$E$5:$E$597,MATCH($F1765,Items!$A$5:$A$597,0)),""))</f>
        <v>500</v>
      </c>
      <c r="J1765" s="115">
        <f>IF(tblIssues[[#This Row],[Qty Override]]&lt;&gt;"",tblIssues[[#This Row],[Qty Override]],IF(tblIssues[[#This Row],[Standard Issue]]="","",tblIssues[[#This Row],[Standard Issue]]))</f>
        <v>500</v>
      </c>
      <c r="K1765" s="20">
        <f>IF($F1765="","",IFERROR(INDEX(Items!$D$5:$D$597,MATCH($F1765,Items!$A$5:$A$597,0)),""))</f>
        <v>5.5E-2</v>
      </c>
      <c r="L1765" s="21">
        <f t="shared" si="305"/>
        <v>27.5</v>
      </c>
      <c r="M1765" s="9" t="str">
        <f t="shared" si="303"/>
        <v>ZIM604151579</v>
      </c>
      <c r="N1765" s="24">
        <f>IF($A1765="","",WORKDAY($A1765,Settings!$C$9,HolidayDates))</f>
        <v>46223</v>
      </c>
      <c r="O1765" s="24">
        <f>IF($N1765="","",WORKDAY($N1765,Settings!$C$10,HolidayDates))</f>
        <v>46261</v>
      </c>
      <c r="P1765" s="10" t="s">
        <v>501</v>
      </c>
      <c r="Q1765" s="52" t="str">
        <f t="shared" si="306"/>
        <v>Collected</v>
      </c>
      <c r="R1765" s="55" t="str">
        <f t="shared" si="307"/>
        <v>2026-07</v>
      </c>
      <c r="S1765" s="55">
        <f>IF(OR($B1765="",$F1765="",$R1765=""),"",SUMIFS(tblIssues[Qty Issued],tblIssues[Staff ID],$B1765,tblIssues[Item Name],$F1765,tblIssues[Month],$R1765))</f>
        <v>500</v>
      </c>
      <c r="T1765" s="56">
        <f>IF($I1765="","",$I1765*Settings!$C$11)</f>
        <v>500</v>
      </c>
      <c r="U1765" s="57" t="str">
        <f t="shared" si="304"/>
        <v>OK</v>
      </c>
      <c r="V1765" s="55" t="str">
        <f t="shared" si="308"/>
        <v/>
      </c>
      <c r="W1765" s="55" t="str">
        <f>IF($V1765="","",IF(COUNTIF($V$5:$V1765,$V1765)=1,1,""))</f>
        <v/>
      </c>
      <c r="X1765" s="58" t="str">
        <f>IF($W1765="","",MAX($X$4:X1764)+1)</f>
        <v/>
      </c>
      <c r="Y1765" s="62"/>
      <c r="Z1765" s="62"/>
      <c r="AA1765" s="64" t="str">
        <f>IF($C1765="","",IFERROR(INDEX('Staff Directory'!$E$5:$E$594,MATCH($C1765,'Staff Directory'!$B$5:$B$594,0)),""))</f>
        <v>firstname165.lastname165@example.com</v>
      </c>
      <c r="AB1765" s="64" t="str">
        <f>IF($C1765="","",IF(ISNUMBER(SEARCH($D1765,Settings!$C$15)),"Pickup","Dispatch"))</f>
        <v>Pickup</v>
      </c>
      <c r="AC1765" s="64" t="str">
        <f t="shared" si="309"/>
        <v>Supply order ready for pickup</v>
      </c>
      <c r="AD1765" s="64" t="str">
        <f t="shared" si="300"/>
        <v>Dear PSW,
Your order is ready for pickup from Sample Branch, Wed-Fri 9am-4pm.</v>
      </c>
      <c r="AE1765" s="64" t="str">
        <f t="shared" si="301"/>
        <v>mailto:firstname165.lastname165@example.com?subject=Supply%20order%20ready%20for%20pickup&amp;body=Dear%20PSW%2C%0A%0AYour%20order%20is%20ready%20for%20pickup%20from%20Sample%20Branch%2C%20Wed-Fri%209am-4pm.</v>
      </c>
      <c r="AF1765" s="89" t="str">
        <f t="shared" si="310"/>
        <v>Draft email</v>
      </c>
      <c r="AG1765" s="64" t="str">
        <f>IF($C1765="","",IFERROR(INDEX('Staff Directory'!$K$595:$K$599,MATCH($C1765,'Staff Directory'!$B$5:$B$599,0)),$D1765))</f>
        <v>PSW</v>
      </c>
      <c r="AH1765" t="str">
        <f>IF($C1765="","",IFERROR(INDEX('Staff Directory'!$I$595:$I$599,MATCH($C1765,'Staff Directory'!$B$5:$B$599,0))&amp;" "&amp;INDEX('Staff Directory'!$J$595:$J$599,MATCH($C1765,'Staff Directory'!$B$5:$B$599,0)),$AG1765))</f>
        <v>PSW</v>
      </c>
      <c r="AI1765" s="102"/>
      <c r="AJ1765" s="101">
        <f>IF($F1765="","",SUMIFS($J$5:$J1765,$F$5:$F1765,$F1765))</f>
        <v>105500</v>
      </c>
      <c r="AK1765" s="101">
        <f t="shared" si="302"/>
        <v>105001</v>
      </c>
      <c r="AL1765" s="66" t="str" cm="1">
        <f t="array" ref="AL1765">IF($F1765="","",IFERROR(INDEX('Lot Balance'!$B$5:$B$500,MATCH(1,INDEX(('Lot Balance'!$A$5:$A$500=$F1765)*('Lot Balance'!$K$5:$K$500&lt;$AK1765)*('Lot Balance'!$K$5:$K$500+'Lot Balance'!$D$5:$D$500&gt;=$AK1765),0),0)),""))</f>
        <v>ZIM604151579</v>
      </c>
      <c r="AM1765" s="66" t="str" cm="1">
        <f t="array" ref="AM1765">IF($F1765="","",IFERROR(INDEX('Lot Balance'!$B$5:$B$500,MATCH(1,INDEX(('Lot Balance'!$A$5:$A$500=$F1765)*('Lot Balance'!$K$5:$K$500&lt;$AJ1765)*('Lot Balance'!$K$5:$K$500+'Lot Balance'!$D$5:$D$500&gt;=$AJ1765),0),0)),""))</f>
        <v>ZIM604151579</v>
      </c>
      <c r="AN1765" s="66" t="str">
        <f>IF($F1765="","",IF($AI1765&lt;&gt;"",IF(COUNTIFS('Lot Balance'!$A$5:$A$500,$F1765,'Lot Balance'!$B$5:$B$500,$AI1765)=0,"⚠ override is not a lot of this item",IF($AI1765=$AL1765,"Override = FEFO","Override - FEFO says "&amp;$AL1765)),IF($AL1765="","⚠ no receipt on file for this item",IF($AM1765&lt;&gt;$AL1765,"FEFO auto - split, also "&amp;$AM1765,"FEFO auto"))))</f>
        <v>FEFO auto</v>
      </c>
      <c r="AO1765" s="114"/>
    </row>
    <row r="1766" spans="1:41" x14ac:dyDescent="0.35">
      <c r="A1766" s="74">
        <v>46213</v>
      </c>
      <c r="B1766" s="18" t="str">
        <f>IF($C1766="","",IFERROR(INDEX('Staff Directory'!$A$5:$A$594,MATCH($C1766,'Staff Directory'!$B$5:$B$594,0)),"⚠ unknown staff"))</f>
        <v>PSW-103-A4</v>
      </c>
      <c r="C1766" s="49" t="s">
        <v>1081</v>
      </c>
      <c r="D1766" s="19" t="str">
        <f>IF($B1766="","",IFERROR(INDEX('Staff Directory'!$C$5:$C$594,MATCH($B1766,'Staff Directory'!$A$5:$A$594,0)),""))</f>
        <v>PSW</v>
      </c>
      <c r="E1766" s="19" t="str">
        <f>IF($B1766="","",IFERROR(INDEX('Staff Directory'!$D$5:$D$594,MATCH($B1766,'Staff Directory'!$A$5:$A$594,0)),""))</f>
        <v>A4</v>
      </c>
      <c r="F1766" s="9" t="s">
        <v>191</v>
      </c>
      <c r="G1766" s="18" t="str">
        <f>IF($F1766="","",IFERROR(INDEX(Items!$B$5:$B$597,MATCH($F1766,Items!$A$5:$A$597,0)),"⚠ not in Items"))</f>
        <v>Sanitizer</v>
      </c>
      <c r="H1766" s="19" t="str">
        <f>IF($F1766="","",IFERROR(INDEX(Items!$C$5:$C$597,MATCH($F1766,Items!$A$5:$A$597,0)),""))</f>
        <v>236 ML</v>
      </c>
      <c r="I1766" s="23">
        <f>IF($F1766="","",IFERROR(INDEX(Items!$E$5:$E$597,MATCH($F1766,Items!$A$5:$A$597,0)),""))</f>
        <v>1</v>
      </c>
      <c r="J1766" s="115">
        <f>IF(tblIssues[[#This Row],[Qty Override]]&lt;&gt;"",tblIssues[[#This Row],[Qty Override]],IF(tblIssues[[#This Row],[Standard Issue]]="","",tblIssues[[#This Row],[Standard Issue]]))</f>
        <v>1</v>
      </c>
      <c r="K1766" s="20">
        <f>IF($F1766="","",IFERROR(INDEX(Items!$D$5:$D$597,MATCH($F1766,Items!$A$5:$A$597,0)),""))</f>
        <v>1E-4</v>
      </c>
      <c r="L1766" s="21">
        <f t="shared" si="305"/>
        <v>1E-4</v>
      </c>
      <c r="M1766" s="9" t="str">
        <f t="shared" si="303"/>
        <v>20-21734-5</v>
      </c>
      <c r="N1766" s="24">
        <f>IF($A1766="","",WORKDAY($A1766,Settings!$C$9,HolidayDates))</f>
        <v>46223</v>
      </c>
      <c r="O1766" s="24">
        <f>IF($N1766="","",WORKDAY($N1766,Settings!$C$10,HolidayDates))</f>
        <v>46261</v>
      </c>
      <c r="P1766" s="10" t="s">
        <v>501</v>
      </c>
      <c r="Q1766" s="52" t="str">
        <f t="shared" si="306"/>
        <v>Collected</v>
      </c>
      <c r="R1766" s="55" t="str">
        <f t="shared" si="307"/>
        <v>2026-07</v>
      </c>
      <c r="S1766" s="55">
        <f>IF(OR($B1766="",$F1766="",$R1766=""),"",SUMIFS(tblIssues[Qty Issued],tblIssues[Staff ID],$B1766,tblIssues[Item Name],$F1766,tblIssues[Month],$R1766))</f>
        <v>1</v>
      </c>
      <c r="T1766" s="56">
        <f>IF($I1766="","",$I1766*Settings!$C$11)</f>
        <v>1</v>
      </c>
      <c r="U1766" s="57" t="str">
        <f t="shared" si="304"/>
        <v>OK</v>
      </c>
      <c r="V1766" s="55" t="str">
        <f t="shared" si="308"/>
        <v/>
      </c>
      <c r="W1766" s="55" t="str">
        <f>IF($V1766="","",IF(COUNTIF($V$5:$V1766,$V1766)=1,1,""))</f>
        <v/>
      </c>
      <c r="X1766" s="58" t="str">
        <f>IF($W1766="","",MAX($X$4:X1765)+1)</f>
        <v/>
      </c>
      <c r="Y1766" s="62"/>
      <c r="Z1766" s="62"/>
      <c r="AA1766" s="64" t="str">
        <f>IF($C1766="","",IFERROR(INDEX('Staff Directory'!$E$5:$E$594,MATCH($C1766,'Staff Directory'!$B$5:$B$594,0)),""))</f>
        <v>firstname165.lastname165@example.com</v>
      </c>
      <c r="AB1766" s="64" t="str">
        <f>IF($C1766="","",IF(ISNUMBER(SEARCH($D1766,Settings!$C$15)),"Pickup","Dispatch"))</f>
        <v>Pickup</v>
      </c>
      <c r="AC1766" s="64" t="str">
        <f t="shared" si="309"/>
        <v>Supply order ready for pickup</v>
      </c>
      <c r="AD1766" s="64" t="str">
        <f t="shared" si="300"/>
        <v>Dear PSW,
Your order is ready for pickup from Sample Branch, Wed-Fri 9am-4pm.</v>
      </c>
      <c r="AE1766" s="64" t="str">
        <f t="shared" si="301"/>
        <v>mailto:firstname165.lastname165@example.com?subject=Supply%20order%20ready%20for%20pickup&amp;body=Dear%20PSW%2C%0A%0AYour%20order%20is%20ready%20for%20pickup%20from%20Sample%20Branch%2C%20Wed-Fri%209am-4pm.</v>
      </c>
      <c r="AF1766" s="89" t="str">
        <f t="shared" si="310"/>
        <v>Draft email</v>
      </c>
      <c r="AG1766" s="64" t="str">
        <f>IF($C1766="","",IFERROR(INDEX('Staff Directory'!$K$595:$K$599,MATCH($C1766,'Staff Directory'!$B$5:$B$599,0)),$D1766))</f>
        <v>PSW</v>
      </c>
      <c r="AH1766" t="str">
        <f>IF($C1766="","",IFERROR(INDEX('Staff Directory'!$I$595:$I$599,MATCH($C1766,'Staff Directory'!$B$5:$B$599,0))&amp;" "&amp;INDEX('Staff Directory'!$J$595:$J$599,MATCH($C1766,'Staff Directory'!$B$5:$B$599,0)),$AG1766))</f>
        <v>PSW</v>
      </c>
      <c r="AI1766" s="102"/>
      <c r="AJ1766" s="101">
        <f>IF($F1766="","",SUMIFS($J$5:$J1766,$F$5:$F1766,$F1766))</f>
        <v>230</v>
      </c>
      <c r="AK1766" s="101">
        <f t="shared" si="302"/>
        <v>230</v>
      </c>
      <c r="AL1766" s="66" t="str" cm="1">
        <f t="array" ref="AL1766">IF($F1766="","",IFERROR(INDEX('Lot Balance'!$B$5:$B$500,MATCH(1,INDEX(('Lot Balance'!$A$5:$A$500=$F1766)*('Lot Balance'!$K$5:$K$500&lt;$AK1766)*('Lot Balance'!$K$5:$K$500+'Lot Balance'!$D$5:$D$500&gt;=$AK1766),0),0)),""))</f>
        <v>20-21734-5</v>
      </c>
      <c r="AM1766" s="66" t="str" cm="1">
        <f t="array" ref="AM1766">IF($F1766="","",IFERROR(INDEX('Lot Balance'!$B$5:$B$500,MATCH(1,INDEX(('Lot Balance'!$A$5:$A$500=$F1766)*('Lot Balance'!$K$5:$K$500&lt;$AJ1766)*('Lot Balance'!$K$5:$K$500+'Lot Balance'!$D$5:$D$500&gt;=$AJ1766),0),0)),""))</f>
        <v>20-21734-5</v>
      </c>
      <c r="AN1766" s="66" t="str">
        <f>IF($F1766="","",IF($AI1766&lt;&gt;"",IF(COUNTIFS('Lot Balance'!$A$5:$A$500,$F1766,'Lot Balance'!$B$5:$B$500,$AI1766)=0,"⚠ override is not a lot of this item",IF($AI1766=$AL1766,"Override = FEFO","Override - FEFO says "&amp;$AL1766)),IF($AL1766="","⚠ no receipt on file for this item",IF($AM1766&lt;&gt;$AL1766,"FEFO auto - split, also "&amp;$AM1766,"FEFO auto"))))</f>
        <v>FEFO auto</v>
      </c>
      <c r="AO1766" s="114"/>
    </row>
    <row r="1767" spans="1:41" x14ac:dyDescent="0.35">
      <c r="A1767" s="74">
        <v>46213</v>
      </c>
      <c r="B1767" s="18" t="str">
        <f>IF($C1767="","",IFERROR(INDEX('Staff Directory'!$A$5:$A$594,MATCH($C1767,'Staff Directory'!$B$5:$B$594,0)),"⚠ unknown staff"))</f>
        <v>PSW-103-A4</v>
      </c>
      <c r="C1767" s="49" t="s">
        <v>1081</v>
      </c>
      <c r="D1767" s="19" t="str">
        <f>IF($B1767="","",IFERROR(INDEX('Staff Directory'!$C$5:$C$594,MATCH($B1767,'Staff Directory'!$A$5:$A$594,0)),""))</f>
        <v>PSW</v>
      </c>
      <c r="E1767" s="19" t="str">
        <f>IF($B1767="","",IFERROR(INDEX('Staff Directory'!$D$5:$D$594,MATCH($B1767,'Staff Directory'!$A$5:$A$594,0)),""))</f>
        <v>A4</v>
      </c>
      <c r="F1767" s="9" t="s">
        <v>115</v>
      </c>
      <c r="G1767" s="18" t="str">
        <f>IF($F1767="","",IFERROR(INDEX(Items!$B$5:$B$597,MATCH($F1767,Items!$A$5:$A$597,0)),"⚠ not in Items"))</f>
        <v>Wipes</v>
      </c>
      <c r="H1767" s="19">
        <f>IF($F1767="","",IFERROR(INDEX(Items!$C$5:$C$597,MATCH($F1767,Items!$A$5:$A$597,0)),""))</f>
        <v>80</v>
      </c>
      <c r="I1767" s="23">
        <f>IF($F1767="","",IFERROR(INDEX(Items!$E$5:$E$597,MATCH($F1767,Items!$A$5:$A$597,0)),""))</f>
        <v>80</v>
      </c>
      <c r="J1767" s="115">
        <f>IF(tblIssues[[#This Row],[Qty Override]]&lt;&gt;"",tblIssues[[#This Row],[Qty Override]],IF(tblIssues[[#This Row],[Standard Issue]]="","",tblIssues[[#This Row],[Standard Issue]]))</f>
        <v>80</v>
      </c>
      <c r="K1767" s="20">
        <f>IF($F1767="","",IFERROR(INDEX(Items!$D$5:$D$597,MATCH($F1767,Items!$A$5:$A$597,0)),""))</f>
        <v>0.1</v>
      </c>
      <c r="L1767" s="21">
        <f t="shared" si="305"/>
        <v>8</v>
      </c>
      <c r="M1767" s="9" t="str">
        <f t="shared" si="303"/>
        <v>LYSL500290</v>
      </c>
      <c r="N1767" s="24">
        <f>IF($A1767="","",WORKDAY($A1767,Settings!$C$9,HolidayDates))</f>
        <v>46223</v>
      </c>
      <c r="O1767" s="24">
        <f>IF($N1767="","",WORKDAY($N1767,Settings!$C$10,HolidayDates))</f>
        <v>46261</v>
      </c>
      <c r="P1767" s="10" t="s">
        <v>501</v>
      </c>
      <c r="Q1767" s="52" t="str">
        <f t="shared" si="306"/>
        <v>Collected</v>
      </c>
      <c r="R1767" s="55" t="str">
        <f t="shared" si="307"/>
        <v>2026-07</v>
      </c>
      <c r="S1767" s="55">
        <f>IF(OR($B1767="",$F1767="",$R1767=""),"",SUMIFS(tblIssues[Qty Issued],tblIssues[Staff ID],$B1767,tblIssues[Item Name],$F1767,tblIssues[Month],$R1767))</f>
        <v>80</v>
      </c>
      <c r="T1767" s="56">
        <f>IF($I1767="","",$I1767*Settings!$C$11)</f>
        <v>80</v>
      </c>
      <c r="U1767" s="57" t="str">
        <f t="shared" si="304"/>
        <v>OK</v>
      </c>
      <c r="V1767" s="55" t="str">
        <f t="shared" si="308"/>
        <v/>
      </c>
      <c r="W1767" s="55" t="str">
        <f>IF($V1767="","",IF(COUNTIF($V$5:$V1767,$V1767)=1,1,""))</f>
        <v/>
      </c>
      <c r="X1767" s="58" t="str">
        <f>IF($W1767="","",MAX($X$4:X1766)+1)</f>
        <v/>
      </c>
      <c r="Y1767" s="62"/>
      <c r="Z1767" s="62"/>
      <c r="AA1767" s="64" t="str">
        <f>IF($C1767="","",IFERROR(INDEX('Staff Directory'!$E$5:$E$594,MATCH($C1767,'Staff Directory'!$B$5:$B$594,0)),""))</f>
        <v>firstname165.lastname165@example.com</v>
      </c>
      <c r="AB1767" s="64" t="str">
        <f>IF($C1767="","",IF(ISNUMBER(SEARCH($D1767,Settings!$C$15)),"Pickup","Dispatch"))</f>
        <v>Pickup</v>
      </c>
      <c r="AC1767" s="64" t="str">
        <f t="shared" si="309"/>
        <v>Supply order ready for pickup</v>
      </c>
      <c r="AD1767" s="64" t="str">
        <f t="shared" si="300"/>
        <v>Dear PSW,
Your order is ready for pickup from Sample Branch, Wed-Fri 9am-4pm.</v>
      </c>
      <c r="AE1767" s="64" t="str">
        <f t="shared" si="301"/>
        <v>mailto:firstname165.lastname165@example.com?subject=Supply%20order%20ready%20for%20pickup&amp;body=Dear%20PSW%2C%0A%0AYour%20order%20is%20ready%20for%20pickup%20from%20Sample%20Branch%2C%20Wed-Fri%209am-4pm.</v>
      </c>
      <c r="AF1767" s="89" t="str">
        <f t="shared" si="310"/>
        <v>Draft email</v>
      </c>
      <c r="AG1767" s="64" t="str">
        <f>IF($C1767="","",IFERROR(INDEX('Staff Directory'!$K$595:$K$599,MATCH($C1767,'Staff Directory'!$B$5:$B$599,0)),$D1767))</f>
        <v>PSW</v>
      </c>
      <c r="AH1767" t="str">
        <f>IF($C1767="","",IFERROR(INDEX('Staff Directory'!$I$595:$I$599,MATCH($C1767,'Staff Directory'!$B$5:$B$599,0))&amp;" "&amp;INDEX('Staff Directory'!$J$595:$J$599,MATCH($C1767,'Staff Directory'!$B$5:$B$599,0)),$AG1767))</f>
        <v>PSW</v>
      </c>
      <c r="AI1767" s="102"/>
      <c r="AJ1767" s="101">
        <f>IF($F1767="","",SUMIFS($J$5:$J1767,$F$5:$F1767,$F1767))</f>
        <v>23360</v>
      </c>
      <c r="AK1767" s="101">
        <f t="shared" si="302"/>
        <v>23281</v>
      </c>
      <c r="AL1767" s="66" t="str" cm="1">
        <f t="array" ref="AL1767">IF($F1767="","",IFERROR(INDEX('Lot Balance'!$B$5:$B$500,MATCH(1,INDEX(('Lot Balance'!$A$5:$A$500=$F1767)*('Lot Balance'!$K$5:$K$500&lt;$AK1767)*('Lot Balance'!$K$5:$K$500+'Lot Balance'!$D$5:$D$500&gt;=$AK1767),0),0)),""))</f>
        <v>LYSL500290</v>
      </c>
      <c r="AM1767" s="66" t="str" cm="1">
        <f t="array" ref="AM1767">IF($F1767="","",IFERROR(INDEX('Lot Balance'!$B$5:$B$500,MATCH(1,INDEX(('Lot Balance'!$A$5:$A$500=$F1767)*('Lot Balance'!$K$5:$K$500&lt;$AJ1767)*('Lot Balance'!$K$5:$K$500+'Lot Balance'!$D$5:$D$500&gt;=$AJ1767),0),0)),""))</f>
        <v>LYSL500290</v>
      </c>
      <c r="AN1767" s="66" t="str">
        <f>IF($F1767="","",IF($AI1767&lt;&gt;"",IF(COUNTIFS('Lot Balance'!$A$5:$A$500,$F1767,'Lot Balance'!$B$5:$B$500,$AI1767)=0,"⚠ override is not a lot of this item",IF($AI1767=$AL1767,"Override = FEFO","Override - FEFO says "&amp;$AL1767)),IF($AL1767="","⚠ no receipt on file for this item",IF($AM1767&lt;&gt;$AL1767,"FEFO auto - split, also "&amp;$AM1767,"FEFO auto"))))</f>
        <v>FEFO auto</v>
      </c>
      <c r="AO1767" s="114"/>
    </row>
    <row r="1768" spans="1:41" x14ac:dyDescent="0.35">
      <c r="A1768" s="74">
        <v>46213</v>
      </c>
      <c r="B1768" s="18" t="str">
        <f>IF($C1768="","",IFERROR(INDEX('Staff Directory'!$A$5:$A$594,MATCH($C1768,'Staff Directory'!$B$5:$B$594,0)),"⚠ unknown staff"))</f>
        <v>PSW-103-A4</v>
      </c>
      <c r="C1768" s="49" t="s">
        <v>1081</v>
      </c>
      <c r="D1768" s="19" t="str">
        <f>IF($B1768="","",IFERROR(INDEX('Staff Directory'!$C$5:$C$594,MATCH($B1768,'Staff Directory'!$A$5:$A$594,0)),""))</f>
        <v>PSW</v>
      </c>
      <c r="E1768" s="19" t="str">
        <f>IF($B1768="","",IFERROR(INDEX('Staff Directory'!$D$5:$D$594,MATCH($B1768,'Staff Directory'!$A$5:$A$594,0)),""))</f>
        <v>A4</v>
      </c>
      <c r="F1768" s="9" t="s">
        <v>156</v>
      </c>
      <c r="G1768" s="18" t="str">
        <f>IF($F1768="","",IFERROR(INDEX(Items!$B$5:$B$597,MATCH($F1768,Items!$A$5:$A$597,0)),"⚠ not in Items"))</f>
        <v>Masks</v>
      </c>
      <c r="H1768" s="19" t="str">
        <f>IF($F1768="","",IFERROR(INDEX(Items!$C$5:$C$597,MATCH($F1768,Items!$A$5:$A$597,0)),""))</f>
        <v>One Size</v>
      </c>
      <c r="I1768" s="23">
        <f>IF($F1768="","",IFERROR(INDEX(Items!$E$5:$E$597,MATCH($F1768,Items!$A$5:$A$597,0)),""))</f>
        <v>50</v>
      </c>
      <c r="J1768" s="115">
        <f>IF(tblIssues[[#This Row],[Qty Override]]&lt;&gt;"",tblIssues[[#This Row],[Qty Override]],IF(tblIssues[[#This Row],[Standard Issue]]="","",tblIssues[[#This Row],[Standard Issue]]))</f>
        <v>50</v>
      </c>
      <c r="K1768" s="20">
        <f>IF($F1768="","",IFERROR(INDEX(Items!$D$5:$D$597,MATCH($F1768,Items!$A$5:$A$597,0)),""))</f>
        <v>0.25</v>
      </c>
      <c r="L1768" s="21">
        <f t="shared" si="305"/>
        <v>12.5</v>
      </c>
      <c r="M1768" s="9" t="str">
        <f t="shared" si="303"/>
        <v>LV2-10040-2</v>
      </c>
      <c r="N1768" s="24">
        <f>IF($A1768="","",WORKDAY($A1768,Settings!$C$9,HolidayDates))</f>
        <v>46223</v>
      </c>
      <c r="O1768" s="24">
        <f>IF($N1768="","",WORKDAY($N1768,Settings!$C$10,HolidayDates))</f>
        <v>46261</v>
      </c>
      <c r="P1768" s="10" t="s">
        <v>501</v>
      </c>
      <c r="Q1768" s="52" t="str">
        <f t="shared" si="306"/>
        <v>Collected</v>
      </c>
      <c r="R1768" s="55" t="str">
        <f t="shared" si="307"/>
        <v>2026-07</v>
      </c>
      <c r="S1768" s="55">
        <f>IF(OR($B1768="",$F1768="",$R1768=""),"",SUMIFS(tblIssues[Qty Issued],tblIssues[Staff ID],$B1768,tblIssues[Item Name],$F1768,tblIssues[Month],$R1768))</f>
        <v>50</v>
      </c>
      <c r="T1768" s="56">
        <f>IF($I1768="","",$I1768*Settings!$C$11)</f>
        <v>50</v>
      </c>
      <c r="U1768" s="57" t="str">
        <f t="shared" si="304"/>
        <v>OK</v>
      </c>
      <c r="V1768" s="55" t="str">
        <f t="shared" si="308"/>
        <v/>
      </c>
      <c r="W1768" s="55" t="str">
        <f>IF($V1768="","",IF(COUNTIF($V$5:$V1768,$V1768)=1,1,""))</f>
        <v/>
      </c>
      <c r="X1768" s="58" t="str">
        <f>IF($W1768="","",MAX($X$4:X1767)+1)</f>
        <v/>
      </c>
      <c r="Y1768" s="62"/>
      <c r="Z1768" s="62"/>
      <c r="AA1768" s="64" t="str">
        <f>IF($C1768="","",IFERROR(INDEX('Staff Directory'!$E$5:$E$594,MATCH($C1768,'Staff Directory'!$B$5:$B$594,0)),""))</f>
        <v>firstname165.lastname165@example.com</v>
      </c>
      <c r="AB1768" s="64" t="str">
        <f>IF($C1768="","",IF(ISNUMBER(SEARCH($D1768,Settings!$C$15)),"Pickup","Dispatch"))</f>
        <v>Pickup</v>
      </c>
      <c r="AC1768" s="64" t="str">
        <f t="shared" si="309"/>
        <v>Supply order ready for pickup</v>
      </c>
      <c r="AD1768" s="64" t="str">
        <f t="shared" si="300"/>
        <v>Dear PSW,
Your order is ready for pickup from Sample Branch, Wed-Fri 9am-4pm.</v>
      </c>
      <c r="AE1768" s="64" t="str">
        <f t="shared" si="301"/>
        <v>mailto:firstname165.lastname165@example.com?subject=Supply%20order%20ready%20for%20pickup&amp;body=Dear%20PSW%2C%0A%0AYour%20order%20is%20ready%20for%20pickup%20from%20Sample%20Branch%2C%20Wed-Fri%209am-4pm.</v>
      </c>
      <c r="AF1768" s="89" t="str">
        <f t="shared" si="310"/>
        <v>Draft email</v>
      </c>
      <c r="AG1768" s="64" t="str">
        <f>IF($C1768="","",IFERROR(INDEX('Staff Directory'!$K$595:$K$599,MATCH($C1768,'Staff Directory'!$B$5:$B$599,0)),$D1768))</f>
        <v>PSW</v>
      </c>
      <c r="AH1768" t="str">
        <f>IF($C1768="","",IFERROR(INDEX('Staff Directory'!$I$595:$I$599,MATCH($C1768,'Staff Directory'!$B$5:$B$599,0))&amp;" "&amp;INDEX('Staff Directory'!$J$595:$J$599,MATCH($C1768,'Staff Directory'!$B$5:$B$599,0)),$AG1768))</f>
        <v>PSW</v>
      </c>
      <c r="AI1768" s="102"/>
      <c r="AJ1768" s="101">
        <f>IF($F1768="","",SUMIFS($J$5:$J1768,$F$5:$F1768,$F1768))</f>
        <v>14450</v>
      </c>
      <c r="AK1768" s="101">
        <f t="shared" si="302"/>
        <v>14401</v>
      </c>
      <c r="AL1768" s="66" t="str" cm="1">
        <f t="array" ref="AL1768">IF($F1768="","",IFERROR(INDEX('Lot Balance'!$B$5:$B$500,MATCH(1,INDEX(('Lot Balance'!$A$5:$A$500=$F1768)*('Lot Balance'!$K$5:$K$500&lt;$AK1768)*('Lot Balance'!$K$5:$K$500+'Lot Balance'!$D$5:$D$500&gt;=$AK1768),0),0)),""))</f>
        <v>LV2-10040-2</v>
      </c>
      <c r="AM1768" s="66" t="str" cm="1">
        <f t="array" ref="AM1768">IF($F1768="","",IFERROR(INDEX('Lot Balance'!$B$5:$B$500,MATCH(1,INDEX(('Lot Balance'!$A$5:$A$500=$F1768)*('Lot Balance'!$K$5:$K$500&lt;$AJ1768)*('Lot Balance'!$K$5:$K$500+'Lot Balance'!$D$5:$D$500&gt;=$AJ1768),0),0)),""))</f>
        <v>LV2-10040-2</v>
      </c>
      <c r="AN1768" s="66" t="str">
        <f>IF($F1768="","",IF($AI1768&lt;&gt;"",IF(COUNTIFS('Lot Balance'!$A$5:$A$500,$F1768,'Lot Balance'!$B$5:$B$500,$AI1768)=0,"⚠ override is not a lot of this item",IF($AI1768=$AL1768,"Override = FEFO","Override - FEFO says "&amp;$AL1768)),IF($AL1768="","⚠ no receipt on file for this item",IF($AM1768&lt;&gt;$AL1768,"FEFO auto - split, also "&amp;$AM1768,"FEFO auto"))))</f>
        <v>FEFO auto</v>
      </c>
      <c r="AO1768" s="114"/>
    </row>
    <row r="1769" spans="1:41" x14ac:dyDescent="0.35">
      <c r="A1769" s="74">
        <v>46216</v>
      </c>
      <c r="B1769" s="18" t="str">
        <f>IF($C1769="","",IFERROR(INDEX('Staff Directory'!$A$5:$A$594,MATCH($C1769,'Staff Directory'!$B$5:$B$594,0)),"⚠ unknown staff"))</f>
        <v>PSW-181-TBD</v>
      </c>
      <c r="C1769" s="49" t="s">
        <v>1160</v>
      </c>
      <c r="D1769" s="19" t="str">
        <f>IF($B1769="","",IFERROR(INDEX('Staff Directory'!$C$5:$C$594,MATCH($B1769,'Staff Directory'!$A$5:$A$594,0)),""))</f>
        <v>PSW</v>
      </c>
      <c r="E1769" s="19">
        <f>IF($B1769="","",IFERROR(INDEX('Staff Directory'!$D$5:$D$594,MATCH($B1769,'Staff Directory'!$A$5:$A$594,0)),""))</f>
        <v>0</v>
      </c>
      <c r="F1769" s="9" t="s">
        <v>124</v>
      </c>
      <c r="G1769" s="18" t="str">
        <f>IF($F1769="","",IFERROR(INDEX(Items!$B$5:$B$597,MATCH($F1769,Items!$A$5:$A$597,0)),"⚠ not in Items"))</f>
        <v>Gloves</v>
      </c>
      <c r="H1769" s="19" t="str">
        <f>IF($F1769="","",IFERROR(INDEX(Items!$C$5:$C$597,MATCH($F1769,Items!$A$5:$A$597,0)),""))</f>
        <v>Large</v>
      </c>
      <c r="I1769" s="23">
        <f>IF($F1769="","",IFERROR(INDEX(Items!$E$5:$E$597,MATCH($F1769,Items!$A$5:$A$597,0)),""))</f>
        <v>500</v>
      </c>
      <c r="J1769" s="115">
        <f>IF(tblIssues[[#This Row],[Qty Override]]&lt;&gt;"",tblIssues[[#This Row],[Qty Override]],IF(tblIssues[[#This Row],[Standard Issue]]="","",tblIssues[[#This Row],[Standard Issue]]))</f>
        <v>500</v>
      </c>
      <c r="K1769" s="20">
        <f>IF($F1769="","",IFERROR(INDEX(Items!$D$5:$D$597,MATCH($F1769,Items!$A$5:$A$597,0)),""))</f>
        <v>5.5E-2</v>
      </c>
      <c r="L1769" s="21">
        <f t="shared" si="305"/>
        <v>27.5</v>
      </c>
      <c r="M1769" s="9" t="str">
        <f t="shared" si="303"/>
        <v>ZIM511139904-3</v>
      </c>
      <c r="N1769" s="24">
        <f>IF($A1769="","",WORKDAY($A1769,Settings!$C$9,HolidayDates))</f>
        <v>46224</v>
      </c>
      <c r="O1769" s="24">
        <f>IF($N1769="","",WORKDAY($N1769,Settings!$C$10,HolidayDates))</f>
        <v>46262</v>
      </c>
      <c r="P1769" s="10" t="s">
        <v>501</v>
      </c>
      <c r="Q1769" s="52" t="str">
        <f t="shared" si="306"/>
        <v>Collected</v>
      </c>
      <c r="R1769" s="55" t="str">
        <f t="shared" si="307"/>
        <v>2026-07</v>
      </c>
      <c r="S1769" s="55">
        <f>IF(OR($B1769="",$F1769="",$R1769=""),"",SUMIFS(tblIssues[Qty Issued],tblIssues[Staff ID],$B1769,tblIssues[Item Name],$F1769,tblIssues[Month],$R1769))</f>
        <v>500</v>
      </c>
      <c r="T1769" s="56">
        <f>IF($I1769="","",$I1769*Settings!$C$11)</f>
        <v>500</v>
      </c>
      <c r="U1769" s="57" t="str">
        <f t="shared" si="304"/>
        <v>OK</v>
      </c>
      <c r="V1769" s="55" t="str">
        <f t="shared" si="308"/>
        <v/>
      </c>
      <c r="W1769" s="55" t="str">
        <f>IF($V1769="","",IF(COUNTIF($V$5:$V1769,$V1769)=1,1,""))</f>
        <v/>
      </c>
      <c r="X1769" s="58" t="str">
        <f>IF($W1769="","",MAX($X$4:X1768)+1)</f>
        <v/>
      </c>
      <c r="Y1769" s="62"/>
      <c r="Z1769" s="62"/>
      <c r="AA1769" s="64" t="str">
        <f>IF($C1769="","",IFERROR(INDEX('Staff Directory'!$E$5:$E$594,MATCH($C1769,'Staff Directory'!$B$5:$B$594,0)),""))</f>
        <v>firstname244.lastname244@example.com</v>
      </c>
      <c r="AB1769" s="64" t="str">
        <f>IF($C1769="","",IF(ISNUMBER(SEARCH($D1769,Settings!$C$15)),"Pickup","Dispatch"))</f>
        <v>Pickup</v>
      </c>
      <c r="AC1769" s="64" t="str">
        <f t="shared" si="309"/>
        <v>Supply order ready for pickup</v>
      </c>
      <c r="AD1769" s="64" t="str">
        <f t="shared" si="300"/>
        <v>Dear PSW,
Your order is ready for pickup from Sample Branch, Wed-Fri 9am-4pm.</v>
      </c>
      <c r="AE1769" s="64" t="str">
        <f t="shared" si="301"/>
        <v>mailto:firstname244.lastname244@example.com?subject=Supply%20order%20ready%20for%20pickup&amp;body=Dear%20PSW%2C%0A%0AYour%20order%20is%20ready%20for%20pickup%20from%20Sample%20Branch%2C%20Wed-Fri%209am-4pm.</v>
      </c>
      <c r="AF1769" s="89" t="str">
        <f t="shared" si="310"/>
        <v>Draft email</v>
      </c>
      <c r="AG1769" s="64" t="str">
        <f>IF($C1769="","",IFERROR(INDEX('Staff Directory'!$K$595:$K$599,MATCH($C1769,'Staff Directory'!$B$5:$B$599,0)),$D1769))</f>
        <v>PSW</v>
      </c>
      <c r="AH1769" t="str">
        <f>IF($C1769="","",IFERROR(INDEX('Staff Directory'!$I$595:$I$599,MATCH($C1769,'Staff Directory'!$B$5:$B$599,0))&amp;" "&amp;INDEX('Staff Directory'!$J$595:$J$599,MATCH($C1769,'Staff Directory'!$B$5:$B$599,0)),$AG1769))</f>
        <v>PSW</v>
      </c>
      <c r="AI1769" s="102"/>
      <c r="AJ1769" s="101">
        <f>IF($F1769="","",SUMIFS($J$5:$J1769,$F$5:$F1769,$F1769))</f>
        <v>47000</v>
      </c>
      <c r="AK1769" s="101">
        <f t="shared" si="302"/>
        <v>46501</v>
      </c>
      <c r="AL1769" s="66" t="str" cm="1">
        <f t="array" ref="AL1769">IF($F1769="","",IFERROR(INDEX('Lot Balance'!$B$5:$B$500,MATCH(1,INDEX(('Lot Balance'!$A$5:$A$500=$F1769)*('Lot Balance'!$K$5:$K$500&lt;$AK1769)*('Lot Balance'!$K$5:$K$500+'Lot Balance'!$D$5:$D$500&gt;=$AK1769),0),0)),""))</f>
        <v>ZIM511139904-3</v>
      </c>
      <c r="AM1769" s="66" t="str" cm="1">
        <f t="array" ref="AM1769">IF($F1769="","",IFERROR(INDEX('Lot Balance'!$B$5:$B$500,MATCH(1,INDEX(('Lot Balance'!$A$5:$A$500=$F1769)*('Lot Balance'!$K$5:$K$500&lt;$AJ1769)*('Lot Balance'!$K$5:$K$500+'Lot Balance'!$D$5:$D$500&gt;=$AJ1769),0),0)),""))</f>
        <v>ZIM511139904-3</v>
      </c>
      <c r="AN1769" s="66" t="str">
        <f>IF($F1769="","",IF($AI1769&lt;&gt;"",IF(COUNTIFS('Lot Balance'!$A$5:$A$500,$F1769,'Lot Balance'!$B$5:$B$500,$AI1769)=0,"⚠ override is not a lot of this item",IF($AI1769=$AL1769,"Override = FEFO","Override - FEFO says "&amp;$AL1769)),IF($AL1769="","⚠ no receipt on file for this item",IF($AM1769&lt;&gt;$AL1769,"FEFO auto - split, also "&amp;$AM1769,"FEFO auto"))))</f>
        <v>FEFO auto</v>
      </c>
      <c r="AO1769" s="114"/>
    </row>
    <row r="1770" spans="1:41" x14ac:dyDescent="0.35">
      <c r="A1770" s="74">
        <v>46216</v>
      </c>
      <c r="B1770" s="18" t="str">
        <f>IF($C1770="","",IFERROR(INDEX('Staff Directory'!$A$5:$A$594,MATCH($C1770,'Staff Directory'!$B$5:$B$594,0)),"⚠ unknown staff"))</f>
        <v>PSW-181-TBD</v>
      </c>
      <c r="C1770" s="49" t="s">
        <v>1160</v>
      </c>
      <c r="D1770" s="19" t="str">
        <f>IF($B1770="","",IFERROR(INDEX('Staff Directory'!$C$5:$C$594,MATCH($B1770,'Staff Directory'!$A$5:$A$594,0)),""))</f>
        <v>PSW</v>
      </c>
      <c r="E1770" s="19">
        <f>IF($B1770="","",IFERROR(INDEX('Staff Directory'!$D$5:$D$594,MATCH($B1770,'Staff Directory'!$A$5:$A$594,0)),""))</f>
        <v>0</v>
      </c>
      <c r="F1770" s="9" t="s">
        <v>191</v>
      </c>
      <c r="G1770" s="18" t="str">
        <f>IF($F1770="","",IFERROR(INDEX(Items!$B$5:$B$597,MATCH($F1770,Items!$A$5:$A$597,0)),"⚠ not in Items"))</f>
        <v>Sanitizer</v>
      </c>
      <c r="H1770" s="19" t="str">
        <f>IF($F1770="","",IFERROR(INDEX(Items!$C$5:$C$597,MATCH($F1770,Items!$A$5:$A$597,0)),""))</f>
        <v>236 ML</v>
      </c>
      <c r="I1770" s="23">
        <f>IF($F1770="","",IFERROR(INDEX(Items!$E$5:$E$597,MATCH($F1770,Items!$A$5:$A$597,0)),""))</f>
        <v>1</v>
      </c>
      <c r="J1770" s="115">
        <f>IF(tblIssues[[#This Row],[Qty Override]]&lt;&gt;"",tblIssues[[#This Row],[Qty Override]],IF(tblIssues[[#This Row],[Standard Issue]]="","",tblIssues[[#This Row],[Standard Issue]]))</f>
        <v>1</v>
      </c>
      <c r="K1770" s="20">
        <f>IF($F1770="","",IFERROR(INDEX(Items!$D$5:$D$597,MATCH($F1770,Items!$A$5:$A$597,0)),""))</f>
        <v>1E-4</v>
      </c>
      <c r="L1770" s="21">
        <f t="shared" si="305"/>
        <v>1E-4</v>
      </c>
      <c r="M1770" s="9" t="str">
        <f t="shared" si="303"/>
        <v>20-21734-5</v>
      </c>
      <c r="N1770" s="24">
        <f>IF($A1770="","",WORKDAY($A1770,Settings!$C$9,HolidayDates))</f>
        <v>46224</v>
      </c>
      <c r="O1770" s="24">
        <f>IF($N1770="","",WORKDAY($N1770,Settings!$C$10,HolidayDates))</f>
        <v>46262</v>
      </c>
      <c r="P1770" s="10" t="s">
        <v>501</v>
      </c>
      <c r="Q1770" s="52" t="str">
        <f t="shared" si="306"/>
        <v>Collected</v>
      </c>
      <c r="R1770" s="55" t="str">
        <f t="shared" si="307"/>
        <v>2026-07</v>
      </c>
      <c r="S1770" s="55">
        <f>IF(OR($B1770="",$F1770="",$R1770=""),"",SUMIFS(tblIssues[Qty Issued],tblIssues[Staff ID],$B1770,tblIssues[Item Name],$F1770,tblIssues[Month],$R1770))</f>
        <v>1</v>
      </c>
      <c r="T1770" s="56">
        <f>IF($I1770="","",$I1770*Settings!$C$11)</f>
        <v>1</v>
      </c>
      <c r="U1770" s="57" t="str">
        <f t="shared" si="304"/>
        <v>OK</v>
      </c>
      <c r="V1770" s="55" t="str">
        <f t="shared" si="308"/>
        <v/>
      </c>
      <c r="W1770" s="55" t="str">
        <f>IF($V1770="","",IF(COUNTIF($V$5:$V1770,$V1770)=1,1,""))</f>
        <v/>
      </c>
      <c r="X1770" s="58" t="str">
        <f>IF($W1770="","",MAX($X$4:X1769)+1)</f>
        <v/>
      </c>
      <c r="Y1770" s="62"/>
      <c r="Z1770" s="62"/>
      <c r="AA1770" s="64" t="str">
        <f>IF($C1770="","",IFERROR(INDEX('Staff Directory'!$E$5:$E$594,MATCH($C1770,'Staff Directory'!$B$5:$B$594,0)),""))</f>
        <v>firstname244.lastname244@example.com</v>
      </c>
      <c r="AB1770" s="64" t="str">
        <f>IF($C1770="","",IF(ISNUMBER(SEARCH($D1770,Settings!$C$15)),"Pickup","Dispatch"))</f>
        <v>Pickup</v>
      </c>
      <c r="AC1770" s="64" t="str">
        <f t="shared" si="309"/>
        <v>Supply order ready for pickup</v>
      </c>
      <c r="AD1770" s="64" t="str">
        <f t="shared" si="300"/>
        <v>Dear PSW,
Your order is ready for pickup from Sample Branch, Wed-Fri 9am-4pm.</v>
      </c>
      <c r="AE1770" s="64" t="str">
        <f t="shared" si="301"/>
        <v>mailto:firstname244.lastname244@example.com?subject=Supply%20order%20ready%20for%20pickup&amp;body=Dear%20PSW%2C%0A%0AYour%20order%20is%20ready%20for%20pickup%20from%20Sample%20Branch%2C%20Wed-Fri%209am-4pm.</v>
      </c>
      <c r="AF1770" s="89" t="str">
        <f t="shared" si="310"/>
        <v>Draft email</v>
      </c>
      <c r="AG1770" s="64" t="str">
        <f>IF($C1770="","",IFERROR(INDEX('Staff Directory'!$K$595:$K$599,MATCH($C1770,'Staff Directory'!$B$5:$B$599,0)),$D1770))</f>
        <v>PSW</v>
      </c>
      <c r="AH1770" t="str">
        <f>IF($C1770="","",IFERROR(INDEX('Staff Directory'!$I$595:$I$599,MATCH($C1770,'Staff Directory'!$B$5:$B$599,0))&amp;" "&amp;INDEX('Staff Directory'!$J$595:$J$599,MATCH($C1770,'Staff Directory'!$B$5:$B$599,0)),$AG1770))</f>
        <v>PSW</v>
      </c>
      <c r="AI1770" s="102"/>
      <c r="AJ1770" s="101">
        <f>IF($F1770="","",SUMIFS($J$5:$J1770,$F$5:$F1770,$F1770))</f>
        <v>231</v>
      </c>
      <c r="AK1770" s="101">
        <f t="shared" si="302"/>
        <v>231</v>
      </c>
      <c r="AL1770" s="66" t="str" cm="1">
        <f t="array" ref="AL1770">IF($F1770="","",IFERROR(INDEX('Lot Balance'!$B$5:$B$500,MATCH(1,INDEX(('Lot Balance'!$A$5:$A$500=$F1770)*('Lot Balance'!$K$5:$K$500&lt;$AK1770)*('Lot Balance'!$K$5:$K$500+'Lot Balance'!$D$5:$D$500&gt;=$AK1770),0),0)),""))</f>
        <v>20-21734-5</v>
      </c>
      <c r="AM1770" s="66" t="str" cm="1">
        <f t="array" ref="AM1770">IF($F1770="","",IFERROR(INDEX('Lot Balance'!$B$5:$B$500,MATCH(1,INDEX(('Lot Balance'!$A$5:$A$500=$F1770)*('Lot Balance'!$K$5:$K$500&lt;$AJ1770)*('Lot Balance'!$K$5:$K$500+'Lot Balance'!$D$5:$D$500&gt;=$AJ1770),0),0)),""))</f>
        <v>20-21734-5</v>
      </c>
      <c r="AN1770" s="66" t="str">
        <f>IF($F1770="","",IF($AI1770&lt;&gt;"",IF(COUNTIFS('Lot Balance'!$A$5:$A$500,$F1770,'Lot Balance'!$B$5:$B$500,$AI1770)=0,"⚠ override is not a lot of this item",IF($AI1770=$AL1770,"Override = FEFO","Override - FEFO says "&amp;$AL1770)),IF($AL1770="","⚠ no receipt on file for this item",IF($AM1770&lt;&gt;$AL1770,"FEFO auto - split, also "&amp;$AM1770,"FEFO auto"))))</f>
        <v>FEFO auto</v>
      </c>
      <c r="AO1770" s="114"/>
    </row>
    <row r="1771" spans="1:41" x14ac:dyDescent="0.35">
      <c r="A1771" s="74">
        <v>46216</v>
      </c>
      <c r="B1771" s="18" t="str">
        <f>IF($C1771="","",IFERROR(INDEX('Staff Directory'!$A$5:$A$594,MATCH($C1771,'Staff Directory'!$B$5:$B$594,0)),"⚠ unknown staff"))</f>
        <v>PSW-181-TBD</v>
      </c>
      <c r="C1771" s="49" t="s">
        <v>1160</v>
      </c>
      <c r="D1771" s="19" t="str">
        <f>IF($B1771="","",IFERROR(INDEX('Staff Directory'!$C$5:$C$594,MATCH($B1771,'Staff Directory'!$A$5:$A$594,0)),""))</f>
        <v>PSW</v>
      </c>
      <c r="E1771" s="19">
        <f>IF($B1771="","",IFERROR(INDEX('Staff Directory'!$D$5:$D$594,MATCH($B1771,'Staff Directory'!$A$5:$A$594,0)),""))</f>
        <v>0</v>
      </c>
      <c r="F1771" s="9" t="s">
        <v>115</v>
      </c>
      <c r="G1771" s="18" t="str">
        <f>IF($F1771="","",IFERROR(INDEX(Items!$B$5:$B$597,MATCH($F1771,Items!$A$5:$A$597,0)),"⚠ not in Items"))</f>
        <v>Wipes</v>
      </c>
      <c r="H1771" s="19">
        <f>IF($F1771="","",IFERROR(INDEX(Items!$C$5:$C$597,MATCH($F1771,Items!$A$5:$A$597,0)),""))</f>
        <v>80</v>
      </c>
      <c r="I1771" s="23">
        <f>IF($F1771="","",IFERROR(INDEX(Items!$E$5:$E$597,MATCH($F1771,Items!$A$5:$A$597,0)),""))</f>
        <v>80</v>
      </c>
      <c r="J1771" s="115">
        <f>IF(tblIssues[[#This Row],[Qty Override]]&lt;&gt;"",tblIssues[[#This Row],[Qty Override]],IF(tblIssues[[#This Row],[Standard Issue]]="","",tblIssues[[#This Row],[Standard Issue]]))</f>
        <v>80</v>
      </c>
      <c r="K1771" s="20">
        <f>IF($F1771="","",IFERROR(INDEX(Items!$D$5:$D$597,MATCH($F1771,Items!$A$5:$A$597,0)),""))</f>
        <v>0.1</v>
      </c>
      <c r="L1771" s="21">
        <f t="shared" si="305"/>
        <v>8</v>
      </c>
      <c r="M1771" s="9" t="str">
        <f t="shared" si="303"/>
        <v>LYSL500290</v>
      </c>
      <c r="N1771" s="24">
        <f>IF($A1771="","",WORKDAY($A1771,Settings!$C$9,HolidayDates))</f>
        <v>46224</v>
      </c>
      <c r="O1771" s="24">
        <f>IF($N1771="","",WORKDAY($N1771,Settings!$C$10,HolidayDates))</f>
        <v>46262</v>
      </c>
      <c r="P1771" s="10" t="s">
        <v>501</v>
      </c>
      <c r="Q1771" s="52" t="str">
        <f t="shared" si="306"/>
        <v>Collected</v>
      </c>
      <c r="R1771" s="55" t="str">
        <f t="shared" si="307"/>
        <v>2026-07</v>
      </c>
      <c r="S1771" s="55">
        <f>IF(OR($B1771="",$F1771="",$R1771=""),"",SUMIFS(tblIssues[Qty Issued],tblIssues[Staff ID],$B1771,tblIssues[Item Name],$F1771,tblIssues[Month],$R1771))</f>
        <v>80</v>
      </c>
      <c r="T1771" s="56">
        <f>IF($I1771="","",$I1771*Settings!$C$11)</f>
        <v>80</v>
      </c>
      <c r="U1771" s="57" t="str">
        <f t="shared" si="304"/>
        <v>OK</v>
      </c>
      <c r="V1771" s="55" t="str">
        <f t="shared" si="308"/>
        <v/>
      </c>
      <c r="W1771" s="55" t="str">
        <f>IF($V1771="","",IF(COUNTIF($V$5:$V1771,$V1771)=1,1,""))</f>
        <v/>
      </c>
      <c r="X1771" s="58" t="str">
        <f>IF($W1771="","",MAX($X$4:X1770)+1)</f>
        <v/>
      </c>
      <c r="Y1771" s="62"/>
      <c r="Z1771" s="62"/>
      <c r="AA1771" s="64" t="str">
        <f>IF($C1771="","",IFERROR(INDEX('Staff Directory'!$E$5:$E$594,MATCH($C1771,'Staff Directory'!$B$5:$B$594,0)),""))</f>
        <v>firstname244.lastname244@example.com</v>
      </c>
      <c r="AB1771" s="64" t="str">
        <f>IF($C1771="","",IF(ISNUMBER(SEARCH($D1771,Settings!$C$15)),"Pickup","Dispatch"))</f>
        <v>Pickup</v>
      </c>
      <c r="AC1771" s="64" t="str">
        <f t="shared" si="309"/>
        <v>Supply order ready for pickup</v>
      </c>
      <c r="AD1771" s="64" t="str">
        <f t="shared" si="300"/>
        <v>Dear PSW,
Your order is ready for pickup from Sample Branch, Wed-Fri 9am-4pm.</v>
      </c>
      <c r="AE1771" s="64" t="str">
        <f t="shared" si="301"/>
        <v>mailto:firstname244.lastname244@example.com?subject=Supply%20order%20ready%20for%20pickup&amp;body=Dear%20PSW%2C%0A%0AYour%20order%20is%20ready%20for%20pickup%20from%20Sample%20Branch%2C%20Wed-Fri%209am-4pm.</v>
      </c>
      <c r="AF1771" s="89" t="str">
        <f t="shared" si="310"/>
        <v>Draft email</v>
      </c>
      <c r="AG1771" s="64" t="str">
        <f>IF($C1771="","",IFERROR(INDEX('Staff Directory'!$K$595:$K$599,MATCH($C1771,'Staff Directory'!$B$5:$B$599,0)),$D1771))</f>
        <v>PSW</v>
      </c>
      <c r="AH1771" t="str">
        <f>IF($C1771="","",IFERROR(INDEX('Staff Directory'!$I$595:$I$599,MATCH($C1771,'Staff Directory'!$B$5:$B$599,0))&amp;" "&amp;INDEX('Staff Directory'!$J$595:$J$599,MATCH($C1771,'Staff Directory'!$B$5:$B$599,0)),$AG1771))</f>
        <v>PSW</v>
      </c>
      <c r="AI1771" s="102"/>
      <c r="AJ1771" s="101">
        <f>IF($F1771="","",SUMIFS($J$5:$J1771,$F$5:$F1771,$F1771))</f>
        <v>23440</v>
      </c>
      <c r="AK1771" s="101">
        <f t="shared" si="302"/>
        <v>23361</v>
      </c>
      <c r="AL1771" s="66" t="str" cm="1">
        <f t="array" ref="AL1771">IF($F1771="","",IFERROR(INDEX('Lot Balance'!$B$5:$B$500,MATCH(1,INDEX(('Lot Balance'!$A$5:$A$500=$F1771)*('Lot Balance'!$K$5:$K$500&lt;$AK1771)*('Lot Balance'!$K$5:$K$500+'Lot Balance'!$D$5:$D$500&gt;=$AK1771),0),0)),""))</f>
        <v>LYSL500290</v>
      </c>
      <c r="AM1771" s="66" t="str" cm="1">
        <f t="array" ref="AM1771">IF($F1771="","",IFERROR(INDEX('Lot Balance'!$B$5:$B$500,MATCH(1,INDEX(('Lot Balance'!$A$5:$A$500=$F1771)*('Lot Balance'!$K$5:$K$500&lt;$AJ1771)*('Lot Balance'!$K$5:$K$500+'Lot Balance'!$D$5:$D$500&gt;=$AJ1771),0),0)),""))</f>
        <v>LYSL500290</v>
      </c>
      <c r="AN1771" s="66" t="str">
        <f>IF($F1771="","",IF($AI1771&lt;&gt;"",IF(COUNTIFS('Lot Balance'!$A$5:$A$500,$F1771,'Lot Balance'!$B$5:$B$500,$AI1771)=0,"⚠ override is not a lot of this item",IF($AI1771=$AL1771,"Override = FEFO","Override - FEFO says "&amp;$AL1771)),IF($AL1771="","⚠ no receipt on file for this item",IF($AM1771&lt;&gt;$AL1771,"FEFO auto - split, also "&amp;$AM1771,"FEFO auto"))))</f>
        <v>FEFO auto</v>
      </c>
      <c r="AO1771" s="114"/>
    </row>
    <row r="1772" spans="1:41" x14ac:dyDescent="0.35">
      <c r="A1772" s="74">
        <v>46216</v>
      </c>
      <c r="B1772" s="18" t="str">
        <f>IF($C1772="","",IFERROR(INDEX('Staff Directory'!$A$5:$A$594,MATCH($C1772,'Staff Directory'!$B$5:$B$594,0)),"⚠ unknown staff"))</f>
        <v>PSW-181-TBD</v>
      </c>
      <c r="C1772" s="49" t="s">
        <v>1160</v>
      </c>
      <c r="D1772" s="19" t="str">
        <f>IF($B1772="","",IFERROR(INDEX('Staff Directory'!$C$5:$C$594,MATCH($B1772,'Staff Directory'!$A$5:$A$594,0)),""))</f>
        <v>PSW</v>
      </c>
      <c r="E1772" s="19">
        <f>IF($B1772="","",IFERROR(INDEX('Staff Directory'!$D$5:$D$594,MATCH($B1772,'Staff Directory'!$A$5:$A$594,0)),""))</f>
        <v>0</v>
      </c>
      <c r="F1772" s="9" t="s">
        <v>156</v>
      </c>
      <c r="G1772" s="18" t="str">
        <f>IF($F1772="","",IFERROR(INDEX(Items!$B$5:$B$597,MATCH($F1772,Items!$A$5:$A$597,0)),"⚠ not in Items"))</f>
        <v>Masks</v>
      </c>
      <c r="H1772" s="19" t="str">
        <f>IF($F1772="","",IFERROR(INDEX(Items!$C$5:$C$597,MATCH($F1772,Items!$A$5:$A$597,0)),""))</f>
        <v>One Size</v>
      </c>
      <c r="I1772" s="23">
        <f>IF($F1772="","",IFERROR(INDEX(Items!$E$5:$E$597,MATCH($F1772,Items!$A$5:$A$597,0)),""))</f>
        <v>50</v>
      </c>
      <c r="J1772" s="115">
        <f>IF(tblIssues[[#This Row],[Qty Override]]&lt;&gt;"",tblIssues[[#This Row],[Qty Override]],IF(tblIssues[[#This Row],[Standard Issue]]="","",tblIssues[[#This Row],[Standard Issue]]))</f>
        <v>50</v>
      </c>
      <c r="K1772" s="20">
        <f>IF($F1772="","",IFERROR(INDEX(Items!$D$5:$D$597,MATCH($F1772,Items!$A$5:$A$597,0)),""))</f>
        <v>0.25</v>
      </c>
      <c r="L1772" s="21">
        <f t="shared" si="305"/>
        <v>12.5</v>
      </c>
      <c r="M1772" s="9" t="str">
        <f t="shared" si="303"/>
        <v>LV2-10040-2</v>
      </c>
      <c r="N1772" s="24">
        <f>IF($A1772="","",WORKDAY($A1772,Settings!$C$9,HolidayDates))</f>
        <v>46224</v>
      </c>
      <c r="O1772" s="24">
        <f>IF($N1772="","",WORKDAY($N1772,Settings!$C$10,HolidayDates))</f>
        <v>46262</v>
      </c>
      <c r="P1772" s="10" t="s">
        <v>501</v>
      </c>
      <c r="Q1772" s="52" t="str">
        <f t="shared" si="306"/>
        <v>Collected</v>
      </c>
      <c r="R1772" s="55" t="str">
        <f t="shared" si="307"/>
        <v>2026-07</v>
      </c>
      <c r="S1772" s="55">
        <f>IF(OR($B1772="",$F1772="",$R1772=""),"",SUMIFS(tblIssues[Qty Issued],tblIssues[Staff ID],$B1772,tblIssues[Item Name],$F1772,tblIssues[Month],$R1772))</f>
        <v>50</v>
      </c>
      <c r="T1772" s="56">
        <f>IF($I1772="","",$I1772*Settings!$C$11)</f>
        <v>50</v>
      </c>
      <c r="U1772" s="57" t="str">
        <f t="shared" si="304"/>
        <v>OK</v>
      </c>
      <c r="V1772" s="55" t="str">
        <f t="shared" si="308"/>
        <v/>
      </c>
      <c r="W1772" s="55" t="str">
        <f>IF($V1772="","",IF(COUNTIF($V$5:$V1772,$V1772)=1,1,""))</f>
        <v/>
      </c>
      <c r="X1772" s="58" t="str">
        <f>IF($W1772="","",MAX($X$4:X1771)+1)</f>
        <v/>
      </c>
      <c r="Y1772" s="62"/>
      <c r="Z1772" s="62"/>
      <c r="AA1772" s="64" t="str">
        <f>IF($C1772="","",IFERROR(INDEX('Staff Directory'!$E$5:$E$594,MATCH($C1772,'Staff Directory'!$B$5:$B$594,0)),""))</f>
        <v>firstname244.lastname244@example.com</v>
      </c>
      <c r="AB1772" s="64" t="str">
        <f>IF($C1772="","",IF(ISNUMBER(SEARCH($D1772,Settings!$C$15)),"Pickup","Dispatch"))</f>
        <v>Pickup</v>
      </c>
      <c r="AC1772" s="64" t="str">
        <f t="shared" si="309"/>
        <v>Supply order ready for pickup</v>
      </c>
      <c r="AD1772" s="64" t="str">
        <f t="shared" si="300"/>
        <v>Dear PSW,
Your order is ready for pickup from Sample Branch, Wed-Fri 9am-4pm.</v>
      </c>
      <c r="AE1772" s="64" t="str">
        <f t="shared" si="301"/>
        <v>mailto:firstname244.lastname244@example.com?subject=Supply%20order%20ready%20for%20pickup&amp;body=Dear%20PSW%2C%0A%0AYour%20order%20is%20ready%20for%20pickup%20from%20Sample%20Branch%2C%20Wed-Fri%209am-4pm.</v>
      </c>
      <c r="AF1772" s="89" t="str">
        <f t="shared" si="310"/>
        <v>Draft email</v>
      </c>
      <c r="AG1772" s="64" t="str">
        <f>IF($C1772="","",IFERROR(INDEX('Staff Directory'!$K$595:$K$599,MATCH($C1772,'Staff Directory'!$B$5:$B$599,0)),$D1772))</f>
        <v>PSW</v>
      </c>
      <c r="AH1772" t="str">
        <f>IF($C1772="","",IFERROR(INDEX('Staff Directory'!$I$595:$I$599,MATCH($C1772,'Staff Directory'!$B$5:$B$599,0))&amp;" "&amp;INDEX('Staff Directory'!$J$595:$J$599,MATCH($C1772,'Staff Directory'!$B$5:$B$599,0)),$AG1772))</f>
        <v>PSW</v>
      </c>
      <c r="AI1772" s="102"/>
      <c r="AJ1772" s="101">
        <f>IF($F1772="","",SUMIFS($J$5:$J1772,$F$5:$F1772,$F1772))</f>
        <v>14500</v>
      </c>
      <c r="AK1772" s="101">
        <f t="shared" si="302"/>
        <v>14451</v>
      </c>
      <c r="AL1772" s="66" t="str" cm="1">
        <f t="array" ref="AL1772">IF($F1772="","",IFERROR(INDEX('Lot Balance'!$B$5:$B$500,MATCH(1,INDEX(('Lot Balance'!$A$5:$A$500=$F1772)*('Lot Balance'!$K$5:$K$500&lt;$AK1772)*('Lot Balance'!$K$5:$K$500+'Lot Balance'!$D$5:$D$500&gt;=$AK1772),0),0)),""))</f>
        <v>LV2-10040-2</v>
      </c>
      <c r="AM1772" s="66" t="str" cm="1">
        <f t="array" ref="AM1772">IF($F1772="","",IFERROR(INDEX('Lot Balance'!$B$5:$B$500,MATCH(1,INDEX(('Lot Balance'!$A$5:$A$500=$F1772)*('Lot Balance'!$K$5:$K$500&lt;$AJ1772)*('Lot Balance'!$K$5:$K$500+'Lot Balance'!$D$5:$D$500&gt;=$AJ1772),0),0)),""))</f>
        <v>LV2-10040-2</v>
      </c>
      <c r="AN1772" s="66" t="str">
        <f>IF($F1772="","",IF($AI1772&lt;&gt;"",IF(COUNTIFS('Lot Balance'!$A$5:$A$500,$F1772,'Lot Balance'!$B$5:$B$500,$AI1772)=0,"⚠ override is not a lot of this item",IF($AI1772=$AL1772,"Override = FEFO","Override - FEFO says "&amp;$AL1772)),IF($AL1772="","⚠ no receipt on file for this item",IF($AM1772&lt;&gt;$AL1772,"FEFO auto - split, also "&amp;$AM1772,"FEFO auto"))))</f>
        <v>FEFO auto</v>
      </c>
      <c r="AO1772" s="114"/>
    </row>
    <row r="1773" spans="1:41" x14ac:dyDescent="0.35">
      <c r="A1773" s="74">
        <v>46216</v>
      </c>
      <c r="B1773" s="18" t="str">
        <f>IF($C1773="","",IFERROR(INDEX('Staff Directory'!$A$5:$A$594,MATCH($C1773,'Staff Directory'!$B$5:$B$594,0)),"⚠ unknown staff"))</f>
        <v>PSW-068-A7</v>
      </c>
      <c r="C1773" s="49" t="s">
        <v>1044</v>
      </c>
      <c r="D1773" s="19" t="str">
        <f>IF($B1773="","",IFERROR(INDEX('Staff Directory'!$C$5:$C$594,MATCH($B1773,'Staff Directory'!$A$5:$A$594,0)),""))</f>
        <v>PSW</v>
      </c>
      <c r="E1773" s="19" t="str">
        <f>IF($B1773="","",IFERROR(INDEX('Staff Directory'!$D$5:$D$594,MATCH($B1773,'Staff Directory'!$A$5:$A$594,0)),""))</f>
        <v>A7</v>
      </c>
      <c r="F1773" s="9" t="s">
        <v>127</v>
      </c>
      <c r="G1773" s="18" t="str">
        <f>IF($F1773="","",IFERROR(INDEX(Items!$B$5:$B$597,MATCH($F1773,Items!$A$5:$A$597,0)),"⚠ not in Items"))</f>
        <v>Gloves</v>
      </c>
      <c r="H1773" s="19" t="str">
        <f>IF($F1773="","",IFERROR(INDEX(Items!$C$5:$C$597,MATCH($F1773,Items!$A$5:$A$597,0)),""))</f>
        <v>Medium</v>
      </c>
      <c r="I1773" s="23">
        <f>IF($F1773="","",IFERROR(INDEX(Items!$E$5:$E$597,MATCH($F1773,Items!$A$5:$A$597,0)),""))</f>
        <v>500</v>
      </c>
      <c r="J1773" s="115">
        <f>IF(tblIssues[[#This Row],[Qty Override]]&lt;&gt;"",tblIssues[[#This Row],[Qty Override]],IF(tblIssues[[#This Row],[Standard Issue]]="","",tblIssues[[#This Row],[Standard Issue]]))</f>
        <v>500</v>
      </c>
      <c r="K1773" s="20">
        <f>IF($F1773="","",IFERROR(INDEX(Items!$D$5:$D$597,MATCH($F1773,Items!$A$5:$A$597,0)),""))</f>
        <v>5.5E-2</v>
      </c>
      <c r="L1773" s="21">
        <f t="shared" si="305"/>
        <v>27.5</v>
      </c>
      <c r="M1773" s="9" t="str">
        <f t="shared" si="303"/>
        <v>ZIM604151579</v>
      </c>
      <c r="N1773" s="24">
        <f>IF($A1773="","",WORKDAY($A1773,Settings!$C$9,HolidayDates))</f>
        <v>46224</v>
      </c>
      <c r="O1773" s="24">
        <f>IF($N1773="","",WORKDAY($N1773,Settings!$C$10,HolidayDates))</f>
        <v>46262</v>
      </c>
      <c r="P1773" s="10" t="s">
        <v>501</v>
      </c>
      <c r="Q1773" s="52" t="str">
        <f t="shared" si="306"/>
        <v>Collected</v>
      </c>
      <c r="R1773" s="55" t="str">
        <f t="shared" si="307"/>
        <v>2026-07</v>
      </c>
      <c r="S1773" s="55">
        <f>IF(OR($B1773="",$F1773="",$R1773=""),"",SUMIFS(tblIssues[Qty Issued],tblIssues[Staff ID],$B1773,tblIssues[Item Name],$F1773,tblIssues[Month],$R1773))</f>
        <v>500</v>
      </c>
      <c r="T1773" s="56">
        <f>IF($I1773="","",$I1773*Settings!$C$11)</f>
        <v>500</v>
      </c>
      <c r="U1773" s="57" t="str">
        <f t="shared" si="304"/>
        <v>OK</v>
      </c>
      <c r="V1773" s="55" t="str">
        <f t="shared" si="308"/>
        <v/>
      </c>
      <c r="W1773" s="55" t="str">
        <f>IF($V1773="","",IF(COUNTIF($V$5:$V1773,$V1773)=1,1,""))</f>
        <v/>
      </c>
      <c r="X1773" s="58" t="str">
        <f>IF($W1773="","",MAX($X$4:X1772)+1)</f>
        <v/>
      </c>
      <c r="Y1773" s="62"/>
      <c r="Z1773" s="62"/>
      <c r="AA1773" s="64" t="str">
        <f>IF($C1773="","",IFERROR(INDEX('Staff Directory'!$E$5:$E$594,MATCH($C1773,'Staff Directory'!$B$5:$B$594,0)),""))</f>
        <v>firstname128.lastname128@example.com</v>
      </c>
      <c r="AB1773" s="64" t="str">
        <f>IF($C1773="","",IF(ISNUMBER(SEARCH($D1773,Settings!$C$15)),"Pickup","Dispatch"))</f>
        <v>Pickup</v>
      </c>
      <c r="AC1773" s="64" t="str">
        <f t="shared" si="309"/>
        <v>Supply order ready for pickup</v>
      </c>
      <c r="AD1773" s="64" t="str">
        <f t="shared" si="300"/>
        <v>Dear PSW,
Your order is ready for pickup from Sample Branch, Wed-Fri 9am-4pm.</v>
      </c>
      <c r="AE1773" s="64" t="str">
        <f t="shared" si="301"/>
        <v>mailto:firstname128.lastname128@example.com?subject=Supply%20order%20ready%20for%20pickup&amp;body=Dear%20PSW%2C%0A%0AYour%20order%20is%20ready%20for%20pickup%20from%20Sample%20Branch%2C%20Wed-Fri%209am-4pm.</v>
      </c>
      <c r="AF1773" s="89" t="str">
        <f t="shared" si="310"/>
        <v>Draft email</v>
      </c>
      <c r="AG1773" s="64" t="str">
        <f>IF($C1773="","",IFERROR(INDEX('Staff Directory'!$K$595:$K$599,MATCH($C1773,'Staff Directory'!$B$5:$B$599,0)),$D1773))</f>
        <v>PSW</v>
      </c>
      <c r="AH1773" t="str">
        <f>IF($C1773="","",IFERROR(INDEX('Staff Directory'!$I$595:$I$599,MATCH($C1773,'Staff Directory'!$B$5:$B$599,0))&amp;" "&amp;INDEX('Staff Directory'!$J$595:$J$599,MATCH($C1773,'Staff Directory'!$B$5:$B$599,0)),$AG1773))</f>
        <v>PSW</v>
      </c>
      <c r="AI1773" s="102"/>
      <c r="AJ1773" s="101">
        <f>IF($F1773="","",SUMIFS($J$5:$J1773,$F$5:$F1773,$F1773))</f>
        <v>106000</v>
      </c>
      <c r="AK1773" s="101">
        <f t="shared" si="302"/>
        <v>105501</v>
      </c>
      <c r="AL1773" s="66" t="str" cm="1">
        <f t="array" ref="AL1773">IF($F1773="","",IFERROR(INDEX('Lot Balance'!$B$5:$B$500,MATCH(1,INDEX(('Lot Balance'!$A$5:$A$500=$F1773)*('Lot Balance'!$K$5:$K$500&lt;$AK1773)*('Lot Balance'!$K$5:$K$500+'Lot Balance'!$D$5:$D$500&gt;=$AK1773),0),0)),""))</f>
        <v>ZIM604151579</v>
      </c>
      <c r="AM1773" s="66" t="str" cm="1">
        <f t="array" ref="AM1773">IF($F1773="","",IFERROR(INDEX('Lot Balance'!$B$5:$B$500,MATCH(1,INDEX(('Lot Balance'!$A$5:$A$500=$F1773)*('Lot Balance'!$K$5:$K$500&lt;$AJ1773)*('Lot Balance'!$K$5:$K$500+'Lot Balance'!$D$5:$D$500&gt;=$AJ1773),0),0)),""))</f>
        <v>ZIM604151579</v>
      </c>
      <c r="AN1773" s="66" t="str">
        <f>IF($F1773="","",IF($AI1773&lt;&gt;"",IF(COUNTIFS('Lot Balance'!$A$5:$A$500,$F1773,'Lot Balance'!$B$5:$B$500,$AI1773)=0,"⚠ override is not a lot of this item",IF($AI1773=$AL1773,"Override = FEFO","Override - FEFO says "&amp;$AL1773)),IF($AL1773="","⚠ no receipt on file for this item",IF($AM1773&lt;&gt;$AL1773,"FEFO auto - split, also "&amp;$AM1773,"FEFO auto"))))</f>
        <v>FEFO auto</v>
      </c>
      <c r="AO1773" s="114"/>
    </row>
    <row r="1774" spans="1:41" x14ac:dyDescent="0.35">
      <c r="A1774" s="74">
        <v>46216</v>
      </c>
      <c r="B1774" s="18" t="str">
        <f>IF($C1774="","",IFERROR(INDEX('Staff Directory'!$A$5:$A$594,MATCH($C1774,'Staff Directory'!$B$5:$B$594,0)),"⚠ unknown staff"))</f>
        <v>PSW-068-A7</v>
      </c>
      <c r="C1774" s="49" t="s">
        <v>1044</v>
      </c>
      <c r="D1774" s="19" t="str">
        <f>IF($B1774="","",IFERROR(INDEX('Staff Directory'!$C$5:$C$594,MATCH($B1774,'Staff Directory'!$A$5:$A$594,0)),""))</f>
        <v>PSW</v>
      </c>
      <c r="E1774" s="19" t="str">
        <f>IF($B1774="","",IFERROR(INDEX('Staff Directory'!$D$5:$D$594,MATCH($B1774,'Staff Directory'!$A$5:$A$594,0)),""))</f>
        <v>A7</v>
      </c>
      <c r="F1774" s="9" t="s">
        <v>191</v>
      </c>
      <c r="G1774" s="18" t="str">
        <f>IF($F1774="","",IFERROR(INDEX(Items!$B$5:$B$597,MATCH($F1774,Items!$A$5:$A$597,0)),"⚠ not in Items"))</f>
        <v>Sanitizer</v>
      </c>
      <c r="H1774" s="19" t="str">
        <f>IF($F1774="","",IFERROR(INDEX(Items!$C$5:$C$597,MATCH($F1774,Items!$A$5:$A$597,0)),""))</f>
        <v>236 ML</v>
      </c>
      <c r="I1774" s="23">
        <f>IF($F1774="","",IFERROR(INDEX(Items!$E$5:$E$597,MATCH($F1774,Items!$A$5:$A$597,0)),""))</f>
        <v>1</v>
      </c>
      <c r="J1774" s="115">
        <f>IF(tblIssues[[#This Row],[Qty Override]]&lt;&gt;"",tblIssues[[#This Row],[Qty Override]],IF(tblIssues[[#This Row],[Standard Issue]]="","",tblIssues[[#This Row],[Standard Issue]]))</f>
        <v>1</v>
      </c>
      <c r="K1774" s="20">
        <f>IF($F1774="","",IFERROR(INDEX(Items!$D$5:$D$597,MATCH($F1774,Items!$A$5:$A$597,0)),""))</f>
        <v>1E-4</v>
      </c>
      <c r="L1774" s="21">
        <f t="shared" si="305"/>
        <v>1E-4</v>
      </c>
      <c r="M1774" s="9" t="str">
        <f t="shared" si="303"/>
        <v>20-21734-5</v>
      </c>
      <c r="N1774" s="24">
        <f>IF($A1774="","",WORKDAY($A1774,Settings!$C$9,HolidayDates))</f>
        <v>46224</v>
      </c>
      <c r="O1774" s="24">
        <f>IF($N1774="","",WORKDAY($N1774,Settings!$C$10,HolidayDates))</f>
        <v>46262</v>
      </c>
      <c r="P1774" s="10" t="s">
        <v>501</v>
      </c>
      <c r="Q1774" s="52" t="str">
        <f t="shared" si="306"/>
        <v>Collected</v>
      </c>
      <c r="R1774" s="55" t="str">
        <f t="shared" si="307"/>
        <v>2026-07</v>
      </c>
      <c r="S1774" s="55">
        <f>IF(OR($B1774="",$F1774="",$R1774=""),"",SUMIFS(tblIssues[Qty Issued],tblIssues[Staff ID],$B1774,tblIssues[Item Name],$F1774,tblIssues[Month],$R1774))</f>
        <v>1</v>
      </c>
      <c r="T1774" s="56">
        <f>IF($I1774="","",$I1774*Settings!$C$11)</f>
        <v>1</v>
      </c>
      <c r="U1774" s="57" t="str">
        <f t="shared" si="304"/>
        <v>OK</v>
      </c>
      <c r="V1774" s="55" t="str">
        <f t="shared" si="308"/>
        <v/>
      </c>
      <c r="W1774" s="55" t="str">
        <f>IF($V1774="","",IF(COUNTIF($V$5:$V1774,$V1774)=1,1,""))</f>
        <v/>
      </c>
      <c r="X1774" s="58" t="str">
        <f>IF($W1774="","",MAX($X$4:X1773)+1)</f>
        <v/>
      </c>
      <c r="Y1774" s="62"/>
      <c r="Z1774" s="62"/>
      <c r="AA1774" s="64" t="str">
        <f>IF($C1774="","",IFERROR(INDEX('Staff Directory'!$E$5:$E$594,MATCH($C1774,'Staff Directory'!$B$5:$B$594,0)),""))</f>
        <v>firstname128.lastname128@example.com</v>
      </c>
      <c r="AB1774" s="64" t="str">
        <f>IF($C1774="","",IF(ISNUMBER(SEARCH($D1774,Settings!$C$15)),"Pickup","Dispatch"))</f>
        <v>Pickup</v>
      </c>
      <c r="AC1774" s="64" t="str">
        <f t="shared" si="309"/>
        <v>Supply order ready for pickup</v>
      </c>
      <c r="AD1774" s="64" t="str">
        <f t="shared" si="300"/>
        <v>Dear PSW,
Your order is ready for pickup from Sample Branch, Wed-Fri 9am-4pm.</v>
      </c>
      <c r="AE1774" s="64" t="str">
        <f t="shared" si="301"/>
        <v>mailto:firstname128.lastname128@example.com?subject=Supply%20order%20ready%20for%20pickup&amp;body=Dear%20PSW%2C%0A%0AYour%20order%20is%20ready%20for%20pickup%20from%20Sample%20Branch%2C%20Wed-Fri%209am-4pm.</v>
      </c>
      <c r="AF1774" s="89" t="str">
        <f t="shared" si="310"/>
        <v>Draft email</v>
      </c>
      <c r="AG1774" s="64" t="str">
        <f>IF($C1774="","",IFERROR(INDEX('Staff Directory'!$K$595:$K$599,MATCH($C1774,'Staff Directory'!$B$5:$B$599,0)),$D1774))</f>
        <v>PSW</v>
      </c>
      <c r="AH1774" t="str">
        <f>IF($C1774="","",IFERROR(INDEX('Staff Directory'!$I$595:$I$599,MATCH($C1774,'Staff Directory'!$B$5:$B$599,0))&amp;" "&amp;INDEX('Staff Directory'!$J$595:$J$599,MATCH($C1774,'Staff Directory'!$B$5:$B$599,0)),$AG1774))</f>
        <v>PSW</v>
      </c>
      <c r="AI1774" s="102"/>
      <c r="AJ1774" s="101">
        <f>IF($F1774="","",SUMIFS($J$5:$J1774,$F$5:$F1774,$F1774))</f>
        <v>232</v>
      </c>
      <c r="AK1774" s="101">
        <f t="shared" si="302"/>
        <v>232</v>
      </c>
      <c r="AL1774" s="66" t="str" cm="1">
        <f t="array" ref="AL1774">IF($F1774="","",IFERROR(INDEX('Lot Balance'!$B$5:$B$500,MATCH(1,INDEX(('Lot Balance'!$A$5:$A$500=$F1774)*('Lot Balance'!$K$5:$K$500&lt;$AK1774)*('Lot Balance'!$K$5:$K$500+'Lot Balance'!$D$5:$D$500&gt;=$AK1774),0),0)),""))</f>
        <v>20-21734-5</v>
      </c>
      <c r="AM1774" s="66" t="str" cm="1">
        <f t="array" ref="AM1774">IF($F1774="","",IFERROR(INDEX('Lot Balance'!$B$5:$B$500,MATCH(1,INDEX(('Lot Balance'!$A$5:$A$500=$F1774)*('Lot Balance'!$K$5:$K$500&lt;$AJ1774)*('Lot Balance'!$K$5:$K$500+'Lot Balance'!$D$5:$D$500&gt;=$AJ1774),0),0)),""))</f>
        <v>20-21734-5</v>
      </c>
      <c r="AN1774" s="66" t="str">
        <f>IF($F1774="","",IF($AI1774&lt;&gt;"",IF(COUNTIFS('Lot Balance'!$A$5:$A$500,$F1774,'Lot Balance'!$B$5:$B$500,$AI1774)=0,"⚠ override is not a lot of this item",IF($AI1774=$AL1774,"Override = FEFO","Override - FEFO says "&amp;$AL1774)),IF($AL1774="","⚠ no receipt on file for this item",IF($AM1774&lt;&gt;$AL1774,"FEFO auto - split, also "&amp;$AM1774,"FEFO auto"))))</f>
        <v>FEFO auto</v>
      </c>
      <c r="AO1774" s="114"/>
    </row>
    <row r="1775" spans="1:41" x14ac:dyDescent="0.35">
      <c r="A1775" s="74">
        <v>46216</v>
      </c>
      <c r="B1775" s="18" t="str">
        <f>IF($C1775="","",IFERROR(INDEX('Staff Directory'!$A$5:$A$594,MATCH($C1775,'Staff Directory'!$B$5:$B$594,0)),"⚠ unknown staff"))</f>
        <v>PSW-068-A7</v>
      </c>
      <c r="C1775" s="49" t="s">
        <v>1044</v>
      </c>
      <c r="D1775" s="19" t="str">
        <f>IF($B1775="","",IFERROR(INDEX('Staff Directory'!$C$5:$C$594,MATCH($B1775,'Staff Directory'!$A$5:$A$594,0)),""))</f>
        <v>PSW</v>
      </c>
      <c r="E1775" s="19" t="str">
        <f>IF($B1775="","",IFERROR(INDEX('Staff Directory'!$D$5:$D$594,MATCH($B1775,'Staff Directory'!$A$5:$A$594,0)),""))</f>
        <v>A7</v>
      </c>
      <c r="F1775" s="9" t="s">
        <v>115</v>
      </c>
      <c r="G1775" s="18" t="str">
        <f>IF($F1775="","",IFERROR(INDEX(Items!$B$5:$B$597,MATCH($F1775,Items!$A$5:$A$597,0)),"⚠ not in Items"))</f>
        <v>Wipes</v>
      </c>
      <c r="H1775" s="19">
        <f>IF($F1775="","",IFERROR(INDEX(Items!$C$5:$C$597,MATCH($F1775,Items!$A$5:$A$597,0)),""))</f>
        <v>80</v>
      </c>
      <c r="I1775" s="23">
        <f>IF($F1775="","",IFERROR(INDEX(Items!$E$5:$E$597,MATCH($F1775,Items!$A$5:$A$597,0)),""))</f>
        <v>80</v>
      </c>
      <c r="J1775" s="115">
        <f>IF(tblIssues[[#This Row],[Qty Override]]&lt;&gt;"",tblIssues[[#This Row],[Qty Override]],IF(tblIssues[[#This Row],[Standard Issue]]="","",tblIssues[[#This Row],[Standard Issue]]))</f>
        <v>80</v>
      </c>
      <c r="K1775" s="20">
        <f>IF($F1775="","",IFERROR(INDEX(Items!$D$5:$D$597,MATCH($F1775,Items!$A$5:$A$597,0)),""))</f>
        <v>0.1</v>
      </c>
      <c r="L1775" s="21">
        <f t="shared" si="305"/>
        <v>8</v>
      </c>
      <c r="M1775" s="9" t="str">
        <f t="shared" si="303"/>
        <v>LYSL500290</v>
      </c>
      <c r="N1775" s="24">
        <f>IF($A1775="","",WORKDAY($A1775,Settings!$C$9,HolidayDates))</f>
        <v>46224</v>
      </c>
      <c r="O1775" s="24">
        <f>IF($N1775="","",WORKDAY($N1775,Settings!$C$10,HolidayDates))</f>
        <v>46262</v>
      </c>
      <c r="P1775" s="10" t="s">
        <v>501</v>
      </c>
      <c r="Q1775" s="52" t="str">
        <f t="shared" si="306"/>
        <v>Collected</v>
      </c>
      <c r="R1775" s="55" t="str">
        <f t="shared" si="307"/>
        <v>2026-07</v>
      </c>
      <c r="S1775" s="55">
        <f>IF(OR($B1775="",$F1775="",$R1775=""),"",SUMIFS(tblIssues[Qty Issued],tblIssues[Staff ID],$B1775,tblIssues[Item Name],$F1775,tblIssues[Month],$R1775))</f>
        <v>80</v>
      </c>
      <c r="T1775" s="56">
        <f>IF($I1775="","",$I1775*Settings!$C$11)</f>
        <v>80</v>
      </c>
      <c r="U1775" s="57" t="str">
        <f t="shared" si="304"/>
        <v>OK</v>
      </c>
      <c r="V1775" s="55" t="str">
        <f t="shared" si="308"/>
        <v/>
      </c>
      <c r="W1775" s="55" t="str">
        <f>IF($V1775="","",IF(COUNTIF($V$5:$V1775,$V1775)=1,1,""))</f>
        <v/>
      </c>
      <c r="X1775" s="58" t="str">
        <f>IF($W1775="","",MAX($X$4:X1774)+1)</f>
        <v/>
      </c>
      <c r="Y1775" s="62"/>
      <c r="Z1775" s="62"/>
      <c r="AA1775" s="64" t="str">
        <f>IF($C1775="","",IFERROR(INDEX('Staff Directory'!$E$5:$E$594,MATCH($C1775,'Staff Directory'!$B$5:$B$594,0)),""))</f>
        <v>firstname128.lastname128@example.com</v>
      </c>
      <c r="AB1775" s="64" t="str">
        <f>IF($C1775="","",IF(ISNUMBER(SEARCH($D1775,Settings!$C$15)),"Pickup","Dispatch"))</f>
        <v>Pickup</v>
      </c>
      <c r="AC1775" s="64" t="str">
        <f t="shared" si="309"/>
        <v>Supply order ready for pickup</v>
      </c>
      <c r="AD1775" s="64" t="str">
        <f t="shared" si="300"/>
        <v>Dear PSW,
Your order is ready for pickup from Sample Branch, Wed-Fri 9am-4pm.</v>
      </c>
      <c r="AE1775" s="64" t="str">
        <f t="shared" si="301"/>
        <v>mailto:firstname128.lastname128@example.com?subject=Supply%20order%20ready%20for%20pickup&amp;body=Dear%20PSW%2C%0A%0AYour%20order%20is%20ready%20for%20pickup%20from%20Sample%20Branch%2C%20Wed-Fri%209am-4pm.</v>
      </c>
      <c r="AF1775" s="89" t="str">
        <f t="shared" si="310"/>
        <v>Draft email</v>
      </c>
      <c r="AG1775" s="64" t="str">
        <f>IF($C1775="","",IFERROR(INDEX('Staff Directory'!$K$595:$K$599,MATCH($C1775,'Staff Directory'!$B$5:$B$599,0)),$D1775))</f>
        <v>PSW</v>
      </c>
      <c r="AH1775" t="str">
        <f>IF($C1775="","",IFERROR(INDEX('Staff Directory'!$I$595:$I$599,MATCH($C1775,'Staff Directory'!$B$5:$B$599,0))&amp;" "&amp;INDEX('Staff Directory'!$J$595:$J$599,MATCH($C1775,'Staff Directory'!$B$5:$B$599,0)),$AG1775))</f>
        <v>PSW</v>
      </c>
      <c r="AI1775" s="102"/>
      <c r="AJ1775" s="101">
        <f>IF($F1775="","",SUMIFS($J$5:$J1775,$F$5:$F1775,$F1775))</f>
        <v>23520</v>
      </c>
      <c r="AK1775" s="101">
        <f t="shared" si="302"/>
        <v>23441</v>
      </c>
      <c r="AL1775" s="66" t="str" cm="1">
        <f t="array" ref="AL1775">IF($F1775="","",IFERROR(INDEX('Lot Balance'!$B$5:$B$500,MATCH(1,INDEX(('Lot Balance'!$A$5:$A$500=$F1775)*('Lot Balance'!$K$5:$K$500&lt;$AK1775)*('Lot Balance'!$K$5:$K$500+'Lot Balance'!$D$5:$D$500&gt;=$AK1775),0),0)),""))</f>
        <v>LYSL500290</v>
      </c>
      <c r="AM1775" s="66" t="str" cm="1">
        <f t="array" ref="AM1775">IF($F1775="","",IFERROR(INDEX('Lot Balance'!$B$5:$B$500,MATCH(1,INDEX(('Lot Balance'!$A$5:$A$500=$F1775)*('Lot Balance'!$K$5:$K$500&lt;$AJ1775)*('Lot Balance'!$K$5:$K$500+'Lot Balance'!$D$5:$D$500&gt;=$AJ1775),0),0)),""))</f>
        <v>LYSL500290</v>
      </c>
      <c r="AN1775" s="66" t="str">
        <f>IF($F1775="","",IF($AI1775&lt;&gt;"",IF(COUNTIFS('Lot Balance'!$A$5:$A$500,$F1775,'Lot Balance'!$B$5:$B$500,$AI1775)=0,"⚠ override is not a lot of this item",IF($AI1775=$AL1775,"Override = FEFO","Override - FEFO says "&amp;$AL1775)),IF($AL1775="","⚠ no receipt on file for this item",IF($AM1775&lt;&gt;$AL1775,"FEFO auto - split, also "&amp;$AM1775,"FEFO auto"))))</f>
        <v>FEFO auto</v>
      </c>
      <c r="AO1775" s="114"/>
    </row>
    <row r="1776" spans="1:41" x14ac:dyDescent="0.35">
      <c r="A1776" s="74">
        <v>46216</v>
      </c>
      <c r="B1776" s="18" t="str">
        <f>IF($C1776="","",IFERROR(INDEX('Staff Directory'!$A$5:$A$594,MATCH($C1776,'Staff Directory'!$B$5:$B$594,0)),"⚠ unknown staff"))</f>
        <v>PSW-068-A7</v>
      </c>
      <c r="C1776" s="49" t="s">
        <v>1044</v>
      </c>
      <c r="D1776" s="19" t="str">
        <f>IF($B1776="","",IFERROR(INDEX('Staff Directory'!$C$5:$C$594,MATCH($B1776,'Staff Directory'!$A$5:$A$594,0)),""))</f>
        <v>PSW</v>
      </c>
      <c r="E1776" s="19" t="str">
        <f>IF($B1776="","",IFERROR(INDEX('Staff Directory'!$D$5:$D$594,MATCH($B1776,'Staff Directory'!$A$5:$A$594,0)),""))</f>
        <v>A7</v>
      </c>
      <c r="F1776" s="9" t="s">
        <v>156</v>
      </c>
      <c r="G1776" s="18" t="str">
        <f>IF($F1776="","",IFERROR(INDEX(Items!$B$5:$B$597,MATCH($F1776,Items!$A$5:$A$597,0)),"⚠ not in Items"))</f>
        <v>Masks</v>
      </c>
      <c r="H1776" s="19" t="str">
        <f>IF($F1776="","",IFERROR(INDEX(Items!$C$5:$C$597,MATCH($F1776,Items!$A$5:$A$597,0)),""))</f>
        <v>One Size</v>
      </c>
      <c r="I1776" s="23">
        <f>IF($F1776="","",IFERROR(INDEX(Items!$E$5:$E$597,MATCH($F1776,Items!$A$5:$A$597,0)),""))</f>
        <v>50</v>
      </c>
      <c r="J1776" s="115">
        <f>IF(tblIssues[[#This Row],[Qty Override]]&lt;&gt;"",tblIssues[[#This Row],[Qty Override]],IF(tblIssues[[#This Row],[Standard Issue]]="","",tblIssues[[#This Row],[Standard Issue]]))</f>
        <v>50</v>
      </c>
      <c r="K1776" s="20">
        <f>IF($F1776="","",IFERROR(INDEX(Items!$D$5:$D$597,MATCH($F1776,Items!$A$5:$A$597,0)),""))</f>
        <v>0.25</v>
      </c>
      <c r="L1776" s="21">
        <f t="shared" si="305"/>
        <v>12.5</v>
      </c>
      <c r="M1776" s="9" t="str">
        <f t="shared" si="303"/>
        <v>LV2-10040-2</v>
      </c>
      <c r="N1776" s="24">
        <f>IF($A1776="","",WORKDAY($A1776,Settings!$C$9,HolidayDates))</f>
        <v>46224</v>
      </c>
      <c r="O1776" s="24">
        <f>IF($N1776="","",WORKDAY($N1776,Settings!$C$10,HolidayDates))</f>
        <v>46262</v>
      </c>
      <c r="P1776" s="10" t="s">
        <v>501</v>
      </c>
      <c r="Q1776" s="52" t="str">
        <f t="shared" si="306"/>
        <v>Collected</v>
      </c>
      <c r="R1776" s="55" t="str">
        <f t="shared" si="307"/>
        <v>2026-07</v>
      </c>
      <c r="S1776" s="55">
        <f>IF(OR($B1776="",$F1776="",$R1776=""),"",SUMIFS(tblIssues[Qty Issued],tblIssues[Staff ID],$B1776,tblIssues[Item Name],$F1776,tblIssues[Month],$R1776))</f>
        <v>50</v>
      </c>
      <c r="T1776" s="56">
        <f>IF($I1776="","",$I1776*Settings!$C$11)</f>
        <v>50</v>
      </c>
      <c r="U1776" s="57" t="str">
        <f t="shared" si="304"/>
        <v>OK</v>
      </c>
      <c r="V1776" s="55" t="str">
        <f t="shared" si="308"/>
        <v/>
      </c>
      <c r="W1776" s="55" t="str">
        <f>IF($V1776="","",IF(COUNTIF($V$5:$V1776,$V1776)=1,1,""))</f>
        <v/>
      </c>
      <c r="X1776" s="58" t="str">
        <f>IF($W1776="","",MAX($X$4:X1775)+1)</f>
        <v/>
      </c>
      <c r="Y1776" s="62"/>
      <c r="Z1776" s="62"/>
      <c r="AA1776" s="64" t="str">
        <f>IF($C1776="","",IFERROR(INDEX('Staff Directory'!$E$5:$E$594,MATCH($C1776,'Staff Directory'!$B$5:$B$594,0)),""))</f>
        <v>firstname128.lastname128@example.com</v>
      </c>
      <c r="AB1776" s="64" t="str">
        <f>IF($C1776="","",IF(ISNUMBER(SEARCH($D1776,Settings!$C$15)),"Pickup","Dispatch"))</f>
        <v>Pickup</v>
      </c>
      <c r="AC1776" s="64" t="str">
        <f t="shared" si="309"/>
        <v>Supply order ready for pickup</v>
      </c>
      <c r="AD1776" s="64" t="str">
        <f t="shared" si="300"/>
        <v>Dear PSW,
Your order is ready for pickup from Sample Branch, Wed-Fri 9am-4pm.</v>
      </c>
      <c r="AE1776" s="64" t="str">
        <f t="shared" si="301"/>
        <v>mailto:firstname128.lastname128@example.com?subject=Supply%20order%20ready%20for%20pickup&amp;body=Dear%20PSW%2C%0A%0AYour%20order%20is%20ready%20for%20pickup%20from%20Sample%20Branch%2C%20Wed-Fri%209am-4pm.</v>
      </c>
      <c r="AF1776" s="89" t="str">
        <f t="shared" si="310"/>
        <v>Draft email</v>
      </c>
      <c r="AG1776" s="64" t="str">
        <f>IF($C1776="","",IFERROR(INDEX('Staff Directory'!$K$595:$K$599,MATCH($C1776,'Staff Directory'!$B$5:$B$599,0)),$D1776))</f>
        <v>PSW</v>
      </c>
      <c r="AH1776" t="str">
        <f>IF($C1776="","",IFERROR(INDEX('Staff Directory'!$I$595:$I$599,MATCH($C1776,'Staff Directory'!$B$5:$B$599,0))&amp;" "&amp;INDEX('Staff Directory'!$J$595:$J$599,MATCH($C1776,'Staff Directory'!$B$5:$B$599,0)),$AG1776))</f>
        <v>PSW</v>
      </c>
      <c r="AI1776" s="102"/>
      <c r="AJ1776" s="101">
        <f>IF($F1776="","",SUMIFS($J$5:$J1776,$F$5:$F1776,$F1776))</f>
        <v>14550</v>
      </c>
      <c r="AK1776" s="101">
        <f t="shared" si="302"/>
        <v>14501</v>
      </c>
      <c r="AL1776" s="66" t="str" cm="1">
        <f t="array" ref="AL1776">IF($F1776="","",IFERROR(INDEX('Lot Balance'!$B$5:$B$500,MATCH(1,INDEX(('Lot Balance'!$A$5:$A$500=$F1776)*('Lot Balance'!$K$5:$K$500&lt;$AK1776)*('Lot Balance'!$K$5:$K$500+'Lot Balance'!$D$5:$D$500&gt;=$AK1776),0),0)),""))</f>
        <v>LV2-10040-2</v>
      </c>
      <c r="AM1776" s="66" t="str" cm="1">
        <f t="array" ref="AM1776">IF($F1776="","",IFERROR(INDEX('Lot Balance'!$B$5:$B$500,MATCH(1,INDEX(('Lot Balance'!$A$5:$A$500=$F1776)*('Lot Balance'!$K$5:$K$500&lt;$AJ1776)*('Lot Balance'!$K$5:$K$500+'Lot Balance'!$D$5:$D$500&gt;=$AJ1776),0),0)),""))</f>
        <v>LV2-10040-2</v>
      </c>
      <c r="AN1776" s="66" t="str">
        <f>IF($F1776="","",IF($AI1776&lt;&gt;"",IF(COUNTIFS('Lot Balance'!$A$5:$A$500,$F1776,'Lot Balance'!$B$5:$B$500,$AI1776)=0,"⚠ override is not a lot of this item",IF($AI1776=$AL1776,"Override = FEFO","Override - FEFO says "&amp;$AL1776)),IF($AL1776="","⚠ no receipt on file for this item",IF($AM1776&lt;&gt;$AL1776,"FEFO auto - split, also "&amp;$AM1776,"FEFO auto"))))</f>
        <v>FEFO auto</v>
      </c>
      <c r="AO1776" s="114"/>
    </row>
    <row r="1777" spans="1:41" x14ac:dyDescent="0.35">
      <c r="A1777" s="74">
        <v>46216</v>
      </c>
      <c r="B1777" s="18" t="str">
        <f>IF($C1777="","",IFERROR(INDEX('Staff Directory'!$A$5:$A$594,MATCH($C1777,'Staff Directory'!$B$5:$B$594,0)),"⚠ unknown staff"))</f>
        <v>PSW-052-A5</v>
      </c>
      <c r="C1777" s="49" t="s">
        <v>1028</v>
      </c>
      <c r="D1777" s="19" t="str">
        <f>IF($B1777="","",IFERROR(INDEX('Staff Directory'!$C$5:$C$594,MATCH($B1777,'Staff Directory'!$A$5:$A$594,0)),""))</f>
        <v>PSW</v>
      </c>
      <c r="E1777" s="19" t="str">
        <f>IF($B1777="","",IFERROR(INDEX('Staff Directory'!$D$5:$D$594,MATCH($B1777,'Staff Directory'!$A$5:$A$594,0)),""))</f>
        <v>A5</v>
      </c>
      <c r="F1777" s="9" t="s">
        <v>127</v>
      </c>
      <c r="G1777" s="18" t="str">
        <f>IF($F1777="","",IFERROR(INDEX(Items!$B$5:$B$597,MATCH($F1777,Items!$A$5:$A$597,0)),"⚠ not in Items"))</f>
        <v>Gloves</v>
      </c>
      <c r="H1777" s="19" t="str">
        <f>IF($F1777="","",IFERROR(INDEX(Items!$C$5:$C$597,MATCH($F1777,Items!$A$5:$A$597,0)),""))</f>
        <v>Medium</v>
      </c>
      <c r="I1777" s="23">
        <f>IF($F1777="","",IFERROR(INDEX(Items!$E$5:$E$597,MATCH($F1777,Items!$A$5:$A$597,0)),""))</f>
        <v>500</v>
      </c>
      <c r="J1777" s="115">
        <f>IF(tblIssues[[#This Row],[Qty Override]]&lt;&gt;"",tblIssues[[#This Row],[Qty Override]],IF(tblIssues[[#This Row],[Standard Issue]]="","",tblIssues[[#This Row],[Standard Issue]]))</f>
        <v>500</v>
      </c>
      <c r="K1777" s="20">
        <f>IF($F1777="","",IFERROR(INDEX(Items!$D$5:$D$597,MATCH($F1777,Items!$A$5:$A$597,0)),""))</f>
        <v>5.5E-2</v>
      </c>
      <c r="L1777" s="21">
        <f t="shared" si="305"/>
        <v>27.5</v>
      </c>
      <c r="M1777" s="9" t="str">
        <f t="shared" si="303"/>
        <v>ZIM604151579</v>
      </c>
      <c r="N1777" s="24">
        <f>IF($A1777="","",WORKDAY($A1777,Settings!$C$9,HolidayDates))</f>
        <v>46224</v>
      </c>
      <c r="O1777" s="24">
        <f>IF($N1777="","",WORKDAY($N1777,Settings!$C$10,HolidayDates))</f>
        <v>46262</v>
      </c>
      <c r="P1777" s="10" t="s">
        <v>501</v>
      </c>
      <c r="Q1777" s="52" t="str">
        <f t="shared" si="306"/>
        <v>Collected</v>
      </c>
      <c r="R1777" s="55" t="str">
        <f t="shared" si="307"/>
        <v>2026-07</v>
      </c>
      <c r="S1777" s="55">
        <f>IF(OR($B1777="",$F1777="",$R1777=""),"",SUMIFS(tblIssues[Qty Issued],tblIssues[Staff ID],$B1777,tblIssues[Item Name],$F1777,tblIssues[Month],$R1777))</f>
        <v>500</v>
      </c>
      <c r="T1777" s="56">
        <f>IF($I1777="","",$I1777*Settings!$C$11)</f>
        <v>500</v>
      </c>
      <c r="U1777" s="57" t="str">
        <f t="shared" si="304"/>
        <v>OK</v>
      </c>
      <c r="V1777" s="55" t="str">
        <f t="shared" si="308"/>
        <v/>
      </c>
      <c r="W1777" s="55" t="str">
        <f>IF($V1777="","",IF(COUNTIF($V$5:$V1777,$V1777)=1,1,""))</f>
        <v/>
      </c>
      <c r="X1777" s="58" t="str">
        <f>IF($W1777="","",MAX($X$4:X1776)+1)</f>
        <v/>
      </c>
      <c r="Y1777" s="62"/>
      <c r="Z1777" s="62"/>
      <c r="AA1777" s="64" t="str">
        <f>IF($C1777="","",IFERROR(INDEX('Staff Directory'!$E$5:$E$594,MATCH($C1777,'Staff Directory'!$B$5:$B$594,0)),""))</f>
        <v>firstname112.lastname112@example.com</v>
      </c>
      <c r="AB1777" s="64" t="str">
        <f>IF($C1777="","",IF(ISNUMBER(SEARCH($D1777,Settings!$C$15)),"Pickup","Dispatch"))</f>
        <v>Pickup</v>
      </c>
      <c r="AC1777" s="64" t="str">
        <f t="shared" si="309"/>
        <v>Supply order ready for pickup</v>
      </c>
      <c r="AD1777" s="64" t="str">
        <f t="shared" si="300"/>
        <v>Dear PSW,
Your order is ready for pickup from Sample Branch, Wed-Fri 9am-4pm.</v>
      </c>
      <c r="AE1777" s="64" t="str">
        <f t="shared" si="301"/>
        <v>mailto:firstname112.lastname112@example.com?subject=Supply%20order%20ready%20for%20pickup&amp;body=Dear%20PSW%2C%0A%0AYour%20order%20is%20ready%20for%20pickup%20from%20Sample%20Branch%2C%20Wed-Fri%209am-4pm.</v>
      </c>
      <c r="AF1777" s="89" t="str">
        <f t="shared" si="310"/>
        <v>Draft email</v>
      </c>
      <c r="AG1777" s="64" t="str">
        <f>IF($C1777="","",IFERROR(INDEX('Staff Directory'!$K$595:$K$599,MATCH($C1777,'Staff Directory'!$B$5:$B$599,0)),$D1777))</f>
        <v>PSW</v>
      </c>
      <c r="AH1777" t="str">
        <f>IF($C1777="","",IFERROR(INDEX('Staff Directory'!$I$595:$I$599,MATCH($C1777,'Staff Directory'!$B$5:$B$599,0))&amp;" "&amp;INDEX('Staff Directory'!$J$595:$J$599,MATCH($C1777,'Staff Directory'!$B$5:$B$599,0)),$AG1777))</f>
        <v>PSW</v>
      </c>
      <c r="AI1777" s="102"/>
      <c r="AJ1777" s="101">
        <f>IF($F1777="","",SUMIFS($J$5:$J1777,$F$5:$F1777,$F1777))</f>
        <v>106500</v>
      </c>
      <c r="AK1777" s="101">
        <f t="shared" si="302"/>
        <v>106001</v>
      </c>
      <c r="AL1777" s="66" t="str" cm="1">
        <f t="array" ref="AL1777">IF($F1777="","",IFERROR(INDEX('Lot Balance'!$B$5:$B$500,MATCH(1,INDEX(('Lot Balance'!$A$5:$A$500=$F1777)*('Lot Balance'!$K$5:$K$500&lt;$AK1777)*('Lot Balance'!$K$5:$K$500+'Lot Balance'!$D$5:$D$500&gt;=$AK1777),0),0)),""))</f>
        <v>ZIM604151579</v>
      </c>
      <c r="AM1777" s="66" t="str" cm="1">
        <f t="array" ref="AM1777">IF($F1777="","",IFERROR(INDEX('Lot Balance'!$B$5:$B$500,MATCH(1,INDEX(('Lot Balance'!$A$5:$A$500=$F1777)*('Lot Balance'!$K$5:$K$500&lt;$AJ1777)*('Lot Balance'!$K$5:$K$500+'Lot Balance'!$D$5:$D$500&gt;=$AJ1777),0),0)),""))</f>
        <v>ZIM604151579</v>
      </c>
      <c r="AN1777" s="66" t="str">
        <f>IF($F1777="","",IF($AI1777&lt;&gt;"",IF(COUNTIFS('Lot Balance'!$A$5:$A$500,$F1777,'Lot Balance'!$B$5:$B$500,$AI1777)=0,"⚠ override is not a lot of this item",IF($AI1777=$AL1777,"Override = FEFO","Override - FEFO says "&amp;$AL1777)),IF($AL1777="","⚠ no receipt on file for this item",IF($AM1777&lt;&gt;$AL1777,"FEFO auto - split, also "&amp;$AM1777,"FEFO auto"))))</f>
        <v>FEFO auto</v>
      </c>
      <c r="AO1777" s="114"/>
    </row>
    <row r="1778" spans="1:41" x14ac:dyDescent="0.35">
      <c r="A1778" s="74">
        <v>46216</v>
      </c>
      <c r="B1778" s="18" t="str">
        <f>IF($C1778="","",IFERROR(INDEX('Staff Directory'!$A$5:$A$594,MATCH($C1778,'Staff Directory'!$B$5:$B$594,0)),"⚠ unknown staff"))</f>
        <v>PSW-052-A5</v>
      </c>
      <c r="C1778" s="49" t="s">
        <v>1028</v>
      </c>
      <c r="D1778" s="19" t="str">
        <f>IF($B1778="","",IFERROR(INDEX('Staff Directory'!$C$5:$C$594,MATCH($B1778,'Staff Directory'!$A$5:$A$594,0)),""))</f>
        <v>PSW</v>
      </c>
      <c r="E1778" s="19" t="str">
        <f>IF($B1778="","",IFERROR(INDEX('Staff Directory'!$D$5:$D$594,MATCH($B1778,'Staff Directory'!$A$5:$A$594,0)),""))</f>
        <v>A5</v>
      </c>
      <c r="F1778" s="9" t="s">
        <v>191</v>
      </c>
      <c r="G1778" s="18" t="str">
        <f>IF($F1778="","",IFERROR(INDEX(Items!$B$5:$B$597,MATCH($F1778,Items!$A$5:$A$597,0)),"⚠ not in Items"))</f>
        <v>Sanitizer</v>
      </c>
      <c r="H1778" s="19" t="str">
        <f>IF($F1778="","",IFERROR(INDEX(Items!$C$5:$C$597,MATCH($F1778,Items!$A$5:$A$597,0)),""))</f>
        <v>236 ML</v>
      </c>
      <c r="I1778" s="23">
        <f>IF($F1778="","",IFERROR(INDEX(Items!$E$5:$E$597,MATCH($F1778,Items!$A$5:$A$597,0)),""))</f>
        <v>1</v>
      </c>
      <c r="J1778" s="115">
        <f>IF(tblIssues[[#This Row],[Qty Override]]&lt;&gt;"",tblIssues[[#This Row],[Qty Override]],IF(tblIssues[[#This Row],[Standard Issue]]="","",tblIssues[[#This Row],[Standard Issue]]))</f>
        <v>1</v>
      </c>
      <c r="K1778" s="20">
        <f>IF($F1778="","",IFERROR(INDEX(Items!$D$5:$D$597,MATCH($F1778,Items!$A$5:$A$597,0)),""))</f>
        <v>1E-4</v>
      </c>
      <c r="L1778" s="21">
        <f t="shared" si="305"/>
        <v>1E-4</v>
      </c>
      <c r="M1778" s="9" t="str">
        <f t="shared" si="303"/>
        <v>20-21734-5</v>
      </c>
      <c r="N1778" s="24">
        <f>IF($A1778="","",WORKDAY($A1778,Settings!$C$9,HolidayDates))</f>
        <v>46224</v>
      </c>
      <c r="O1778" s="24">
        <f>IF($N1778="","",WORKDAY($N1778,Settings!$C$10,HolidayDates))</f>
        <v>46262</v>
      </c>
      <c r="P1778" s="10" t="s">
        <v>501</v>
      </c>
      <c r="Q1778" s="52" t="str">
        <f t="shared" si="306"/>
        <v>Collected</v>
      </c>
      <c r="R1778" s="55" t="str">
        <f t="shared" si="307"/>
        <v>2026-07</v>
      </c>
      <c r="S1778" s="55">
        <f>IF(OR($B1778="",$F1778="",$R1778=""),"",SUMIFS(tblIssues[Qty Issued],tblIssues[Staff ID],$B1778,tblIssues[Item Name],$F1778,tblIssues[Month],$R1778))</f>
        <v>1</v>
      </c>
      <c r="T1778" s="56">
        <f>IF($I1778="","",$I1778*Settings!$C$11)</f>
        <v>1</v>
      </c>
      <c r="U1778" s="57" t="str">
        <f t="shared" si="304"/>
        <v>OK</v>
      </c>
      <c r="V1778" s="55" t="str">
        <f t="shared" si="308"/>
        <v/>
      </c>
      <c r="W1778" s="55" t="str">
        <f>IF($V1778="","",IF(COUNTIF($V$5:$V1778,$V1778)=1,1,""))</f>
        <v/>
      </c>
      <c r="X1778" s="58" t="str">
        <f>IF($W1778="","",MAX($X$4:X1777)+1)</f>
        <v/>
      </c>
      <c r="Y1778" s="62"/>
      <c r="Z1778" s="62"/>
      <c r="AA1778" s="64" t="str">
        <f>IF($C1778="","",IFERROR(INDEX('Staff Directory'!$E$5:$E$594,MATCH($C1778,'Staff Directory'!$B$5:$B$594,0)),""))</f>
        <v>firstname112.lastname112@example.com</v>
      </c>
      <c r="AB1778" s="64" t="str">
        <f>IF($C1778="","",IF(ISNUMBER(SEARCH($D1778,Settings!$C$15)),"Pickup","Dispatch"))</f>
        <v>Pickup</v>
      </c>
      <c r="AC1778" s="64" t="str">
        <f t="shared" si="309"/>
        <v>Supply order ready for pickup</v>
      </c>
      <c r="AD1778" s="64" t="str">
        <f t="shared" si="300"/>
        <v>Dear PSW,
Your order is ready for pickup from Sample Branch, Wed-Fri 9am-4pm.</v>
      </c>
      <c r="AE1778" s="64" t="str">
        <f t="shared" si="301"/>
        <v>mailto:firstname112.lastname112@example.com?subject=Supply%20order%20ready%20for%20pickup&amp;body=Dear%20PSW%2C%0A%0AYour%20order%20is%20ready%20for%20pickup%20from%20Sample%20Branch%2C%20Wed-Fri%209am-4pm.</v>
      </c>
      <c r="AF1778" s="89" t="str">
        <f t="shared" si="310"/>
        <v>Draft email</v>
      </c>
      <c r="AG1778" s="64" t="str">
        <f>IF($C1778="","",IFERROR(INDEX('Staff Directory'!$K$595:$K$599,MATCH($C1778,'Staff Directory'!$B$5:$B$599,0)),$D1778))</f>
        <v>PSW</v>
      </c>
      <c r="AH1778" t="str">
        <f>IF($C1778="","",IFERROR(INDEX('Staff Directory'!$I$595:$I$599,MATCH($C1778,'Staff Directory'!$B$5:$B$599,0))&amp;" "&amp;INDEX('Staff Directory'!$J$595:$J$599,MATCH($C1778,'Staff Directory'!$B$5:$B$599,0)),$AG1778))</f>
        <v>PSW</v>
      </c>
      <c r="AI1778" s="102"/>
      <c r="AJ1778" s="101">
        <f>IF($F1778="","",SUMIFS($J$5:$J1778,$F$5:$F1778,$F1778))</f>
        <v>233</v>
      </c>
      <c r="AK1778" s="101">
        <f t="shared" si="302"/>
        <v>233</v>
      </c>
      <c r="AL1778" s="66" t="str" cm="1">
        <f t="array" ref="AL1778">IF($F1778="","",IFERROR(INDEX('Lot Balance'!$B$5:$B$500,MATCH(1,INDEX(('Lot Balance'!$A$5:$A$500=$F1778)*('Lot Balance'!$K$5:$K$500&lt;$AK1778)*('Lot Balance'!$K$5:$K$500+'Lot Balance'!$D$5:$D$500&gt;=$AK1778),0),0)),""))</f>
        <v>20-21734-5</v>
      </c>
      <c r="AM1778" s="66" t="str" cm="1">
        <f t="array" ref="AM1778">IF($F1778="","",IFERROR(INDEX('Lot Balance'!$B$5:$B$500,MATCH(1,INDEX(('Lot Balance'!$A$5:$A$500=$F1778)*('Lot Balance'!$K$5:$K$500&lt;$AJ1778)*('Lot Balance'!$K$5:$K$500+'Lot Balance'!$D$5:$D$500&gt;=$AJ1778),0),0)),""))</f>
        <v>20-21734-5</v>
      </c>
      <c r="AN1778" s="66" t="str">
        <f>IF($F1778="","",IF($AI1778&lt;&gt;"",IF(COUNTIFS('Lot Balance'!$A$5:$A$500,$F1778,'Lot Balance'!$B$5:$B$500,$AI1778)=0,"⚠ override is not a lot of this item",IF($AI1778=$AL1778,"Override = FEFO","Override - FEFO says "&amp;$AL1778)),IF($AL1778="","⚠ no receipt on file for this item",IF($AM1778&lt;&gt;$AL1778,"FEFO auto - split, also "&amp;$AM1778,"FEFO auto"))))</f>
        <v>FEFO auto</v>
      </c>
      <c r="AO1778" s="114"/>
    </row>
    <row r="1779" spans="1:41" x14ac:dyDescent="0.35">
      <c r="A1779" s="74">
        <v>46216</v>
      </c>
      <c r="B1779" s="18" t="str">
        <f>IF($C1779="","",IFERROR(INDEX('Staff Directory'!$A$5:$A$594,MATCH($C1779,'Staff Directory'!$B$5:$B$594,0)),"⚠ unknown staff"))</f>
        <v>PSW-052-A5</v>
      </c>
      <c r="C1779" s="49" t="s">
        <v>1028</v>
      </c>
      <c r="D1779" s="19" t="str">
        <f>IF($B1779="","",IFERROR(INDEX('Staff Directory'!$C$5:$C$594,MATCH($B1779,'Staff Directory'!$A$5:$A$594,0)),""))</f>
        <v>PSW</v>
      </c>
      <c r="E1779" s="19" t="str">
        <f>IF($B1779="","",IFERROR(INDEX('Staff Directory'!$D$5:$D$594,MATCH($B1779,'Staff Directory'!$A$5:$A$594,0)),""))</f>
        <v>A5</v>
      </c>
      <c r="F1779" s="9" t="s">
        <v>115</v>
      </c>
      <c r="G1779" s="18" t="str">
        <f>IF($F1779="","",IFERROR(INDEX(Items!$B$5:$B$597,MATCH($F1779,Items!$A$5:$A$597,0)),"⚠ not in Items"))</f>
        <v>Wipes</v>
      </c>
      <c r="H1779" s="19">
        <f>IF($F1779="","",IFERROR(INDEX(Items!$C$5:$C$597,MATCH($F1779,Items!$A$5:$A$597,0)),""))</f>
        <v>80</v>
      </c>
      <c r="I1779" s="23">
        <f>IF($F1779="","",IFERROR(INDEX(Items!$E$5:$E$597,MATCH($F1779,Items!$A$5:$A$597,0)),""))</f>
        <v>80</v>
      </c>
      <c r="J1779" s="115">
        <f>IF(tblIssues[[#This Row],[Qty Override]]&lt;&gt;"",tblIssues[[#This Row],[Qty Override]],IF(tblIssues[[#This Row],[Standard Issue]]="","",tblIssues[[#This Row],[Standard Issue]]))</f>
        <v>80</v>
      </c>
      <c r="K1779" s="20">
        <f>IF($F1779="","",IFERROR(INDEX(Items!$D$5:$D$597,MATCH($F1779,Items!$A$5:$A$597,0)),""))</f>
        <v>0.1</v>
      </c>
      <c r="L1779" s="21">
        <f t="shared" si="305"/>
        <v>8</v>
      </c>
      <c r="M1779" s="9" t="str">
        <f t="shared" si="303"/>
        <v>LYSL500290</v>
      </c>
      <c r="N1779" s="24">
        <f>IF($A1779="","",WORKDAY($A1779,Settings!$C$9,HolidayDates))</f>
        <v>46224</v>
      </c>
      <c r="O1779" s="24">
        <f>IF($N1779="","",WORKDAY($N1779,Settings!$C$10,HolidayDates))</f>
        <v>46262</v>
      </c>
      <c r="P1779" s="10" t="s">
        <v>501</v>
      </c>
      <c r="Q1779" s="52" t="str">
        <f t="shared" si="306"/>
        <v>Collected</v>
      </c>
      <c r="R1779" s="55" t="str">
        <f t="shared" si="307"/>
        <v>2026-07</v>
      </c>
      <c r="S1779" s="55">
        <f>IF(OR($B1779="",$F1779="",$R1779=""),"",SUMIFS(tblIssues[Qty Issued],tblIssues[Staff ID],$B1779,tblIssues[Item Name],$F1779,tblIssues[Month],$R1779))</f>
        <v>80</v>
      </c>
      <c r="T1779" s="56">
        <f>IF($I1779="","",$I1779*Settings!$C$11)</f>
        <v>80</v>
      </c>
      <c r="U1779" s="57" t="str">
        <f t="shared" si="304"/>
        <v>OK</v>
      </c>
      <c r="V1779" s="55" t="str">
        <f t="shared" si="308"/>
        <v/>
      </c>
      <c r="W1779" s="55" t="str">
        <f>IF($V1779="","",IF(COUNTIF($V$5:$V1779,$V1779)=1,1,""))</f>
        <v/>
      </c>
      <c r="X1779" s="58" t="str">
        <f>IF($W1779="","",MAX($X$4:X1778)+1)</f>
        <v/>
      </c>
      <c r="Y1779" s="62"/>
      <c r="Z1779" s="62"/>
      <c r="AA1779" s="64" t="str">
        <f>IF($C1779="","",IFERROR(INDEX('Staff Directory'!$E$5:$E$594,MATCH($C1779,'Staff Directory'!$B$5:$B$594,0)),""))</f>
        <v>firstname112.lastname112@example.com</v>
      </c>
      <c r="AB1779" s="64" t="str">
        <f>IF($C1779="","",IF(ISNUMBER(SEARCH($D1779,Settings!$C$15)),"Pickup","Dispatch"))</f>
        <v>Pickup</v>
      </c>
      <c r="AC1779" s="64" t="str">
        <f t="shared" si="309"/>
        <v>Supply order ready for pickup</v>
      </c>
      <c r="AD1779" s="64" t="str">
        <f t="shared" si="300"/>
        <v>Dear PSW,
Your order is ready for pickup from Sample Branch, Wed-Fri 9am-4pm.</v>
      </c>
      <c r="AE1779" s="64" t="str">
        <f t="shared" si="301"/>
        <v>mailto:firstname112.lastname112@example.com?subject=Supply%20order%20ready%20for%20pickup&amp;body=Dear%20PSW%2C%0A%0AYour%20order%20is%20ready%20for%20pickup%20from%20Sample%20Branch%2C%20Wed-Fri%209am-4pm.</v>
      </c>
      <c r="AF1779" s="89" t="str">
        <f t="shared" si="310"/>
        <v>Draft email</v>
      </c>
      <c r="AG1779" s="64" t="str">
        <f>IF($C1779="","",IFERROR(INDEX('Staff Directory'!$K$595:$K$599,MATCH($C1779,'Staff Directory'!$B$5:$B$599,0)),$D1779))</f>
        <v>PSW</v>
      </c>
      <c r="AH1779" t="str">
        <f>IF($C1779="","",IFERROR(INDEX('Staff Directory'!$I$595:$I$599,MATCH($C1779,'Staff Directory'!$B$5:$B$599,0))&amp;" "&amp;INDEX('Staff Directory'!$J$595:$J$599,MATCH($C1779,'Staff Directory'!$B$5:$B$599,0)),$AG1779))</f>
        <v>PSW</v>
      </c>
      <c r="AI1779" s="102"/>
      <c r="AJ1779" s="101">
        <f>IF($F1779="","",SUMIFS($J$5:$J1779,$F$5:$F1779,$F1779))</f>
        <v>23600</v>
      </c>
      <c r="AK1779" s="101">
        <f t="shared" si="302"/>
        <v>23521</v>
      </c>
      <c r="AL1779" s="66" t="str" cm="1">
        <f t="array" ref="AL1779">IF($F1779="","",IFERROR(INDEX('Lot Balance'!$B$5:$B$500,MATCH(1,INDEX(('Lot Balance'!$A$5:$A$500=$F1779)*('Lot Balance'!$K$5:$K$500&lt;$AK1779)*('Lot Balance'!$K$5:$K$500+'Lot Balance'!$D$5:$D$500&gt;=$AK1779),0),0)),""))</f>
        <v>LYSL500290</v>
      </c>
      <c r="AM1779" s="66" t="str" cm="1">
        <f t="array" ref="AM1779">IF($F1779="","",IFERROR(INDEX('Lot Balance'!$B$5:$B$500,MATCH(1,INDEX(('Lot Balance'!$A$5:$A$500=$F1779)*('Lot Balance'!$K$5:$K$500&lt;$AJ1779)*('Lot Balance'!$K$5:$K$500+'Lot Balance'!$D$5:$D$500&gt;=$AJ1779),0),0)),""))</f>
        <v>LYSL500290</v>
      </c>
      <c r="AN1779" s="66" t="str">
        <f>IF($F1779="","",IF($AI1779&lt;&gt;"",IF(COUNTIFS('Lot Balance'!$A$5:$A$500,$F1779,'Lot Balance'!$B$5:$B$500,$AI1779)=0,"⚠ override is not a lot of this item",IF($AI1779=$AL1779,"Override = FEFO","Override - FEFO says "&amp;$AL1779)),IF($AL1779="","⚠ no receipt on file for this item",IF($AM1779&lt;&gt;$AL1779,"FEFO auto - split, also "&amp;$AM1779,"FEFO auto"))))</f>
        <v>FEFO auto</v>
      </c>
      <c r="AO1779" s="114"/>
    </row>
    <row r="1780" spans="1:41" x14ac:dyDescent="0.35">
      <c r="A1780" s="74">
        <v>46216</v>
      </c>
      <c r="B1780" s="18" t="str">
        <f>IF($C1780="","",IFERROR(INDEX('Staff Directory'!$A$5:$A$594,MATCH($C1780,'Staff Directory'!$B$5:$B$594,0)),"⚠ unknown staff"))</f>
        <v>PSW-052-A5</v>
      </c>
      <c r="C1780" s="49" t="s">
        <v>1028</v>
      </c>
      <c r="D1780" s="19" t="str">
        <f>IF($B1780="","",IFERROR(INDEX('Staff Directory'!$C$5:$C$594,MATCH($B1780,'Staff Directory'!$A$5:$A$594,0)),""))</f>
        <v>PSW</v>
      </c>
      <c r="E1780" s="19" t="str">
        <f>IF($B1780="","",IFERROR(INDEX('Staff Directory'!$D$5:$D$594,MATCH($B1780,'Staff Directory'!$A$5:$A$594,0)),""))</f>
        <v>A5</v>
      </c>
      <c r="F1780" s="9" t="s">
        <v>156</v>
      </c>
      <c r="G1780" s="18" t="str">
        <f>IF($F1780="","",IFERROR(INDEX(Items!$B$5:$B$597,MATCH($F1780,Items!$A$5:$A$597,0)),"⚠ not in Items"))</f>
        <v>Masks</v>
      </c>
      <c r="H1780" s="19" t="str">
        <f>IF($F1780="","",IFERROR(INDEX(Items!$C$5:$C$597,MATCH($F1780,Items!$A$5:$A$597,0)),""))</f>
        <v>One Size</v>
      </c>
      <c r="I1780" s="23">
        <f>IF($F1780="","",IFERROR(INDEX(Items!$E$5:$E$597,MATCH($F1780,Items!$A$5:$A$597,0)),""))</f>
        <v>50</v>
      </c>
      <c r="J1780" s="115">
        <f>IF(tblIssues[[#This Row],[Qty Override]]&lt;&gt;"",tblIssues[[#This Row],[Qty Override]],IF(tblIssues[[#This Row],[Standard Issue]]="","",tblIssues[[#This Row],[Standard Issue]]))</f>
        <v>50</v>
      </c>
      <c r="K1780" s="20">
        <f>IF($F1780="","",IFERROR(INDEX(Items!$D$5:$D$597,MATCH($F1780,Items!$A$5:$A$597,0)),""))</f>
        <v>0.25</v>
      </c>
      <c r="L1780" s="21">
        <f t="shared" si="305"/>
        <v>12.5</v>
      </c>
      <c r="M1780" s="9" t="str">
        <f t="shared" si="303"/>
        <v>LV2-10040-2</v>
      </c>
      <c r="N1780" s="24">
        <f>IF($A1780="","",WORKDAY($A1780,Settings!$C$9,HolidayDates))</f>
        <v>46224</v>
      </c>
      <c r="O1780" s="24">
        <f>IF($N1780="","",WORKDAY($N1780,Settings!$C$10,HolidayDates))</f>
        <v>46262</v>
      </c>
      <c r="P1780" s="10" t="s">
        <v>501</v>
      </c>
      <c r="Q1780" s="52" t="str">
        <f t="shared" si="306"/>
        <v>Collected</v>
      </c>
      <c r="R1780" s="55" t="str">
        <f t="shared" si="307"/>
        <v>2026-07</v>
      </c>
      <c r="S1780" s="55">
        <f>IF(OR($B1780="",$F1780="",$R1780=""),"",SUMIFS(tblIssues[Qty Issued],tblIssues[Staff ID],$B1780,tblIssues[Item Name],$F1780,tblIssues[Month],$R1780))</f>
        <v>50</v>
      </c>
      <c r="T1780" s="56">
        <f>IF($I1780="","",$I1780*Settings!$C$11)</f>
        <v>50</v>
      </c>
      <c r="U1780" s="57" t="str">
        <f t="shared" si="304"/>
        <v>OK</v>
      </c>
      <c r="V1780" s="55" t="str">
        <f t="shared" si="308"/>
        <v/>
      </c>
      <c r="W1780" s="55" t="str">
        <f>IF($V1780="","",IF(COUNTIF($V$5:$V1780,$V1780)=1,1,""))</f>
        <v/>
      </c>
      <c r="X1780" s="58" t="str">
        <f>IF($W1780="","",MAX($X$4:X1779)+1)</f>
        <v/>
      </c>
      <c r="Y1780" s="62"/>
      <c r="Z1780" s="62"/>
      <c r="AA1780" s="64" t="str">
        <f>IF($C1780="","",IFERROR(INDEX('Staff Directory'!$E$5:$E$594,MATCH($C1780,'Staff Directory'!$B$5:$B$594,0)),""))</f>
        <v>firstname112.lastname112@example.com</v>
      </c>
      <c r="AB1780" s="64" t="str">
        <f>IF($C1780="","",IF(ISNUMBER(SEARCH($D1780,Settings!$C$15)),"Pickup","Dispatch"))</f>
        <v>Pickup</v>
      </c>
      <c r="AC1780" s="64" t="str">
        <f t="shared" si="309"/>
        <v>Supply order ready for pickup</v>
      </c>
      <c r="AD1780" s="64" t="str">
        <f t="shared" si="300"/>
        <v>Dear PSW,
Your order is ready for pickup from Sample Branch, Wed-Fri 9am-4pm.</v>
      </c>
      <c r="AE1780" s="64" t="str">
        <f t="shared" si="301"/>
        <v>mailto:firstname112.lastname112@example.com?subject=Supply%20order%20ready%20for%20pickup&amp;body=Dear%20PSW%2C%0A%0AYour%20order%20is%20ready%20for%20pickup%20from%20Sample%20Branch%2C%20Wed-Fri%209am-4pm.</v>
      </c>
      <c r="AF1780" s="89" t="str">
        <f t="shared" si="310"/>
        <v>Draft email</v>
      </c>
      <c r="AG1780" s="64" t="str">
        <f>IF($C1780="","",IFERROR(INDEX('Staff Directory'!$K$595:$K$599,MATCH($C1780,'Staff Directory'!$B$5:$B$599,0)),$D1780))</f>
        <v>PSW</v>
      </c>
      <c r="AH1780" t="str">
        <f>IF($C1780="","",IFERROR(INDEX('Staff Directory'!$I$595:$I$599,MATCH($C1780,'Staff Directory'!$B$5:$B$599,0))&amp;" "&amp;INDEX('Staff Directory'!$J$595:$J$599,MATCH($C1780,'Staff Directory'!$B$5:$B$599,0)),$AG1780))</f>
        <v>PSW</v>
      </c>
      <c r="AI1780" s="102"/>
      <c r="AJ1780" s="101">
        <f>IF($F1780="","",SUMIFS($J$5:$J1780,$F$5:$F1780,$F1780))</f>
        <v>14600</v>
      </c>
      <c r="AK1780" s="101">
        <f t="shared" si="302"/>
        <v>14551</v>
      </c>
      <c r="AL1780" s="66" t="str" cm="1">
        <f t="array" ref="AL1780">IF($F1780="","",IFERROR(INDEX('Lot Balance'!$B$5:$B$500,MATCH(1,INDEX(('Lot Balance'!$A$5:$A$500=$F1780)*('Lot Balance'!$K$5:$K$500&lt;$AK1780)*('Lot Balance'!$K$5:$K$500+'Lot Balance'!$D$5:$D$500&gt;=$AK1780),0),0)),""))</f>
        <v>LV2-10040-2</v>
      </c>
      <c r="AM1780" s="66" t="str" cm="1">
        <f t="array" ref="AM1780">IF($F1780="","",IFERROR(INDEX('Lot Balance'!$B$5:$B$500,MATCH(1,INDEX(('Lot Balance'!$A$5:$A$500=$F1780)*('Lot Balance'!$K$5:$K$500&lt;$AJ1780)*('Lot Balance'!$K$5:$K$500+'Lot Balance'!$D$5:$D$500&gt;=$AJ1780),0),0)),""))</f>
        <v>LV2-10040-2</v>
      </c>
      <c r="AN1780" s="66" t="str">
        <f>IF($F1780="","",IF($AI1780&lt;&gt;"",IF(COUNTIFS('Lot Balance'!$A$5:$A$500,$F1780,'Lot Balance'!$B$5:$B$500,$AI1780)=0,"⚠ override is not a lot of this item",IF($AI1780=$AL1780,"Override = FEFO","Override - FEFO says "&amp;$AL1780)),IF($AL1780="","⚠ no receipt on file for this item",IF($AM1780&lt;&gt;$AL1780,"FEFO auto - split, also "&amp;$AM1780,"FEFO auto"))))</f>
        <v>FEFO auto</v>
      </c>
      <c r="AO1780" s="114"/>
    </row>
    <row r="1781" spans="1:41" x14ac:dyDescent="0.35">
      <c r="A1781" s="74">
        <v>46216</v>
      </c>
      <c r="B1781" s="18" t="str">
        <f>IF($C1781="","",IFERROR(INDEX('Staff Directory'!$A$5:$A$594,MATCH($C1781,'Staff Directory'!$B$5:$B$594,0)),"⚠ unknown staff"))</f>
        <v>PSW-052-A5</v>
      </c>
      <c r="C1781" s="49" t="s">
        <v>1028</v>
      </c>
      <c r="D1781" s="19" t="str">
        <f>IF($B1781="","",IFERROR(INDEX('Staff Directory'!$C$5:$C$594,MATCH($B1781,'Staff Directory'!$A$5:$A$594,0)),""))</f>
        <v>PSW</v>
      </c>
      <c r="E1781" s="19" t="str">
        <f>IF($B1781="","",IFERROR(INDEX('Staff Directory'!$D$5:$D$594,MATCH($B1781,'Staff Directory'!$A$5:$A$594,0)),""))</f>
        <v>A5</v>
      </c>
      <c r="F1781" s="9" t="s">
        <v>150</v>
      </c>
      <c r="G1781" s="18" t="str">
        <f>IF($F1781="","",IFERROR(INDEX(Items!$B$5:$B$597,MATCH($F1781,Items!$A$5:$A$597,0)),"⚠ not in Items"))</f>
        <v>Documents</v>
      </c>
      <c r="H1781" s="19" t="str">
        <f>IF($F1781="","",IFERROR(INDEX(Items!$C$5:$C$597,MATCH($F1781,Items!$A$5:$A$597,0)),""))</f>
        <v>Standard</v>
      </c>
      <c r="I1781" s="23">
        <f>IF($F1781="","",IFERROR(INDEX(Items!$E$5:$E$597,MATCH($F1781,Items!$A$5:$A$597,0)),""))</f>
        <v>1</v>
      </c>
      <c r="J1781" s="115">
        <f>IF(tblIssues[[#This Row],[Qty Override]]&lt;&gt;"",tblIssues[[#This Row],[Qty Override]],IF(tblIssues[[#This Row],[Standard Issue]]="","",tblIssues[[#This Row],[Standard Issue]]))</f>
        <v>1</v>
      </c>
      <c r="K1781" s="20">
        <f>IF($F1781="","",IFERROR(INDEX(Items!$D$5:$D$597,MATCH($F1781,Items!$A$5:$A$597,0)),""))</f>
        <v>0</v>
      </c>
      <c r="L1781" s="21">
        <f t="shared" si="305"/>
        <v>0</v>
      </c>
      <c r="M1781" s="9" t="str">
        <f t="shared" si="303"/>
        <v/>
      </c>
      <c r="N1781" s="24">
        <f>IF($A1781="","",WORKDAY($A1781,Settings!$C$9,HolidayDates))</f>
        <v>46224</v>
      </c>
      <c r="O1781" s="24">
        <f>IF($N1781="","",WORKDAY($N1781,Settings!$C$10,HolidayDates))</f>
        <v>46262</v>
      </c>
      <c r="P1781" s="10" t="s">
        <v>501</v>
      </c>
      <c r="Q1781" s="52" t="str">
        <f t="shared" si="306"/>
        <v>Collected</v>
      </c>
      <c r="R1781" s="55" t="str">
        <f t="shared" si="307"/>
        <v>2026-07</v>
      </c>
      <c r="S1781" s="55">
        <f>IF(OR($B1781="",$F1781="",$R1781=""),"",SUMIFS(tblIssues[Qty Issued],tblIssues[Staff ID],$B1781,tblIssues[Item Name],$F1781,tblIssues[Month],$R1781))</f>
        <v>1</v>
      </c>
      <c r="T1781" s="56">
        <f>IF($I1781="","",$I1781*Settings!$C$11)</f>
        <v>1</v>
      </c>
      <c r="U1781" s="57" t="str">
        <f t="shared" si="304"/>
        <v>OK</v>
      </c>
      <c r="V1781" s="55" t="str">
        <f t="shared" si="308"/>
        <v/>
      </c>
      <c r="W1781" s="55" t="str">
        <f>IF($V1781="","",IF(COUNTIF($V$5:$V1781,$V1781)=1,1,""))</f>
        <v/>
      </c>
      <c r="X1781" s="58" t="str">
        <f>IF($W1781="","",MAX($X$4:X1780)+1)</f>
        <v/>
      </c>
      <c r="Y1781" s="62"/>
      <c r="Z1781" s="62"/>
      <c r="AA1781" s="64" t="str">
        <f>IF($C1781="","",IFERROR(INDEX('Staff Directory'!$E$5:$E$594,MATCH($C1781,'Staff Directory'!$B$5:$B$594,0)),""))</f>
        <v>firstname112.lastname112@example.com</v>
      </c>
      <c r="AB1781" s="64" t="str">
        <f>IF($C1781="","",IF(ISNUMBER(SEARCH($D1781,Settings!$C$15)),"Pickup","Dispatch"))</f>
        <v>Pickup</v>
      </c>
      <c r="AC1781" s="64" t="str">
        <f t="shared" si="309"/>
        <v>Supply order ready for pickup</v>
      </c>
      <c r="AD1781" s="64" t="str">
        <f t="shared" si="300"/>
        <v>Dear PSW,
Your order is ready for pickup from Sample Branch, Wed-Fri 9am-4pm.</v>
      </c>
      <c r="AE1781" s="64" t="str">
        <f t="shared" si="301"/>
        <v>mailto:firstname112.lastname112@example.com?subject=Supply%20order%20ready%20for%20pickup&amp;body=Dear%20PSW%2C%0A%0AYour%20order%20is%20ready%20for%20pickup%20from%20Sample%20Branch%2C%20Wed-Fri%209am-4pm.</v>
      </c>
      <c r="AF1781" s="89" t="str">
        <f t="shared" si="310"/>
        <v>Draft email</v>
      </c>
      <c r="AG1781" s="64" t="str">
        <f>IF($C1781="","",IFERROR(INDEX('Staff Directory'!$K$595:$K$599,MATCH($C1781,'Staff Directory'!$B$5:$B$599,0)),$D1781))</f>
        <v>PSW</v>
      </c>
      <c r="AH1781" t="str">
        <f>IF($C1781="","",IFERROR(INDEX('Staff Directory'!$I$595:$I$599,MATCH($C1781,'Staff Directory'!$B$5:$B$599,0))&amp;" "&amp;INDEX('Staff Directory'!$J$595:$J$599,MATCH($C1781,'Staff Directory'!$B$5:$B$599,0)),$AG1781))</f>
        <v>PSW</v>
      </c>
      <c r="AI1781" s="102"/>
      <c r="AJ1781" s="101">
        <f>IF($F1781="","",SUMIFS($J$5:$J1781,$F$5:$F1781,$F1781))</f>
        <v>21</v>
      </c>
      <c r="AK1781" s="101">
        <f t="shared" si="302"/>
        <v>21</v>
      </c>
      <c r="AL1781" s="66" t="str" cm="1">
        <f t="array" ref="AL1781">IF($F1781="","",IFERROR(INDEX('Lot Balance'!$B$5:$B$500,MATCH(1,INDEX(('Lot Balance'!$A$5:$A$500=$F1781)*('Lot Balance'!$K$5:$K$500&lt;$AK1781)*('Lot Balance'!$K$5:$K$500+'Lot Balance'!$D$5:$D$500&gt;=$AK1781),0),0)),""))</f>
        <v/>
      </c>
      <c r="AM1781" s="66" t="str" cm="1">
        <f t="array" ref="AM1781">IF($F1781="","",IFERROR(INDEX('Lot Balance'!$B$5:$B$500,MATCH(1,INDEX(('Lot Balance'!$A$5:$A$500=$F1781)*('Lot Balance'!$K$5:$K$500&lt;$AJ1781)*('Lot Balance'!$K$5:$K$500+'Lot Balance'!$D$5:$D$500&gt;=$AJ1781),0),0)),""))</f>
        <v/>
      </c>
      <c r="AN1781" s="66" t="str">
        <f>IF($F1781="","",IF($AI1781&lt;&gt;"",IF(COUNTIFS('Lot Balance'!$A$5:$A$500,$F1781,'Lot Balance'!$B$5:$B$500,$AI1781)=0,"⚠ override is not a lot of this item",IF($AI1781=$AL1781,"Override = FEFO","Override - FEFO says "&amp;$AL1781)),IF($AL1781="","⚠ no receipt on file for this item",IF($AM1781&lt;&gt;$AL1781,"FEFO auto - split, also "&amp;$AM1781,"FEFO auto"))))</f>
        <v>⚠ no receipt on file for this item</v>
      </c>
      <c r="AO1781" s="114"/>
    </row>
    <row r="1782" spans="1:41" x14ac:dyDescent="0.35">
      <c r="A1782" s="74">
        <v>46216</v>
      </c>
      <c r="B1782" s="18" t="str">
        <f>IF($C1782="","",IFERROR(INDEX('Staff Directory'!$A$5:$A$594,MATCH($C1782,'Staff Directory'!$B$5:$B$594,0)),"⚠ unknown staff"))</f>
        <v>PSW-052-A5</v>
      </c>
      <c r="C1782" s="49" t="s">
        <v>1028</v>
      </c>
      <c r="D1782" s="19" t="str">
        <f>IF($B1782="","",IFERROR(INDEX('Staff Directory'!$C$5:$C$594,MATCH($B1782,'Staff Directory'!$A$5:$A$594,0)),""))</f>
        <v>PSW</v>
      </c>
      <c r="E1782" s="19" t="str">
        <f>IF($B1782="","",IFERROR(INDEX('Staff Directory'!$D$5:$D$594,MATCH($B1782,'Staff Directory'!$A$5:$A$594,0)),""))</f>
        <v>A5</v>
      </c>
      <c r="F1782" s="9" t="s">
        <v>758</v>
      </c>
      <c r="G1782" s="18" t="str">
        <f>IF($F1782="","",IFERROR(INDEX(Items!$B$5:$B$597,MATCH($F1782,Items!$A$5:$A$597,0)),"⚠ not in Items"))</f>
        <v>Utility</v>
      </c>
      <c r="H1782" s="19" t="str">
        <f>IF($F1782="","",IFERROR(INDEX(Items!$C$5:$C$597,MATCH($F1782,Items!$A$5:$A$597,0)),""))</f>
        <v>Standard</v>
      </c>
      <c r="I1782" s="23">
        <f>IF($F1782="","",IFERROR(INDEX(Items!$E$5:$E$597,MATCH($F1782,Items!$A$5:$A$597,0)),""))</f>
        <v>1</v>
      </c>
      <c r="J1782" s="115">
        <f>IF(tblIssues[[#This Row],[Qty Override]]&lt;&gt;"",tblIssues[[#This Row],[Qty Override]],IF(tblIssues[[#This Row],[Standard Issue]]="","",tblIssues[[#This Row],[Standard Issue]]))</f>
        <v>1</v>
      </c>
      <c r="K1782" s="20">
        <f>IF($F1782="","",IFERROR(INDEX(Items!$D$5:$D$597,MATCH($F1782,Items!$A$5:$A$597,0)),""))</f>
        <v>0</v>
      </c>
      <c r="L1782" s="21">
        <f t="shared" si="305"/>
        <v>0</v>
      </c>
      <c r="M1782" s="9" t="str">
        <f t="shared" si="303"/>
        <v/>
      </c>
      <c r="N1782" s="24">
        <f>IF($A1782="","",WORKDAY($A1782,Settings!$C$9,HolidayDates))</f>
        <v>46224</v>
      </c>
      <c r="O1782" s="24">
        <f>IF($N1782="","",WORKDAY($N1782,Settings!$C$10,HolidayDates))</f>
        <v>46262</v>
      </c>
      <c r="P1782" s="10" t="s">
        <v>501</v>
      </c>
      <c r="Q1782" s="52" t="str">
        <f t="shared" si="306"/>
        <v>Collected</v>
      </c>
      <c r="R1782" s="55" t="str">
        <f t="shared" si="307"/>
        <v>2026-07</v>
      </c>
      <c r="S1782" s="55">
        <f>IF(OR($B1782="",$F1782="",$R1782=""),"",SUMIFS(tblIssues[Qty Issued],tblIssues[Staff ID],$B1782,tblIssues[Item Name],$F1782,tblIssues[Month],$R1782))</f>
        <v>1</v>
      </c>
      <c r="T1782" s="56">
        <f>IF($I1782="","",$I1782*Settings!$C$11)</f>
        <v>1</v>
      </c>
      <c r="U1782" s="57" t="str">
        <f t="shared" si="304"/>
        <v>OK</v>
      </c>
      <c r="V1782" s="55" t="str">
        <f t="shared" si="308"/>
        <v/>
      </c>
      <c r="W1782" s="55" t="str">
        <f>IF($V1782="","",IF(COUNTIF($V$5:$V1782,$V1782)=1,1,""))</f>
        <v/>
      </c>
      <c r="X1782" s="58" t="str">
        <f>IF($W1782="","",MAX($X$4:X1781)+1)</f>
        <v/>
      </c>
      <c r="Y1782" s="62"/>
      <c r="Z1782" s="62"/>
      <c r="AA1782" s="64" t="str">
        <f>IF($C1782="","",IFERROR(INDEX('Staff Directory'!$E$5:$E$594,MATCH($C1782,'Staff Directory'!$B$5:$B$594,0)),""))</f>
        <v>firstname112.lastname112@example.com</v>
      </c>
      <c r="AB1782" s="64" t="str">
        <f>IF($C1782="","",IF(ISNUMBER(SEARCH($D1782,Settings!$C$15)),"Pickup","Dispatch"))</f>
        <v>Pickup</v>
      </c>
      <c r="AC1782" s="64" t="str">
        <f t="shared" si="309"/>
        <v>Supply order ready for pickup</v>
      </c>
      <c r="AD1782" s="64" t="str">
        <f t="shared" si="300"/>
        <v>Dear PSW,
Your order is ready for pickup from Sample Branch, Wed-Fri 9am-4pm.</v>
      </c>
      <c r="AE1782" s="64" t="str">
        <f t="shared" si="301"/>
        <v>mailto:firstname112.lastname112@example.com?subject=Supply%20order%20ready%20for%20pickup&amp;body=Dear%20PSW%2C%0A%0AYour%20order%20is%20ready%20for%20pickup%20from%20Sample%20Branch%2C%20Wed-Fri%209am-4pm.</v>
      </c>
      <c r="AF1782" s="89" t="str">
        <f t="shared" si="310"/>
        <v>Draft email</v>
      </c>
      <c r="AG1782" s="64" t="str">
        <f>IF($C1782="","",IFERROR(INDEX('Staff Directory'!$K$595:$K$599,MATCH($C1782,'Staff Directory'!$B$5:$B$599,0)),$D1782))</f>
        <v>PSW</v>
      </c>
      <c r="AH1782" t="str">
        <f>IF($C1782="","",IFERROR(INDEX('Staff Directory'!$I$595:$I$599,MATCH($C1782,'Staff Directory'!$B$5:$B$599,0))&amp;" "&amp;INDEX('Staff Directory'!$J$595:$J$599,MATCH($C1782,'Staff Directory'!$B$5:$B$599,0)),$AG1782))</f>
        <v>PSW</v>
      </c>
      <c r="AI1782" s="102"/>
      <c r="AJ1782" s="101">
        <f>IF($F1782="","",SUMIFS($J$5:$J1782,$F$5:$F1782,$F1782))</f>
        <v>69</v>
      </c>
      <c r="AK1782" s="101">
        <f t="shared" si="302"/>
        <v>69</v>
      </c>
      <c r="AL1782" s="66" t="str" cm="1">
        <f t="array" ref="AL1782">IF($F1782="","",IFERROR(INDEX('Lot Balance'!$B$5:$B$500,MATCH(1,INDEX(('Lot Balance'!$A$5:$A$500=$F1782)*('Lot Balance'!$K$5:$K$500&lt;$AK1782)*('Lot Balance'!$K$5:$K$500+'Lot Balance'!$D$5:$D$500&gt;=$AK1782),0),0)),""))</f>
        <v/>
      </c>
      <c r="AM1782" s="66" t="str" cm="1">
        <f t="array" ref="AM1782">IF($F1782="","",IFERROR(INDEX('Lot Balance'!$B$5:$B$500,MATCH(1,INDEX(('Lot Balance'!$A$5:$A$500=$F1782)*('Lot Balance'!$K$5:$K$500&lt;$AJ1782)*('Lot Balance'!$K$5:$K$500+'Lot Balance'!$D$5:$D$500&gt;=$AJ1782),0),0)),""))</f>
        <v/>
      </c>
      <c r="AN1782" s="66" t="str">
        <f>IF($F1782="","",IF($AI1782&lt;&gt;"",IF(COUNTIFS('Lot Balance'!$A$5:$A$500,$F1782,'Lot Balance'!$B$5:$B$500,$AI1782)=0,"⚠ override is not a lot of this item",IF($AI1782=$AL1782,"Override = FEFO","Override - FEFO says "&amp;$AL1782)),IF($AL1782="","⚠ no receipt on file for this item",IF($AM1782&lt;&gt;$AL1782,"FEFO auto - split, also "&amp;$AM1782,"FEFO auto"))))</f>
        <v>⚠ no receipt on file for this item</v>
      </c>
      <c r="AO1782" s="114"/>
    </row>
    <row r="1783" spans="1:41" x14ac:dyDescent="0.35">
      <c r="A1783" s="74">
        <v>46216</v>
      </c>
      <c r="B1783" s="18" t="str">
        <f>IF($C1783="","",IFERROR(INDEX('Staff Directory'!$A$5:$A$594,MATCH($C1783,'Staff Directory'!$B$5:$B$594,0)),"⚠ unknown staff"))</f>
        <v>PSW-021-A5</v>
      </c>
      <c r="C1783" s="49" t="s">
        <v>997</v>
      </c>
      <c r="D1783" s="19" t="str">
        <f>IF($B1783="","",IFERROR(INDEX('Staff Directory'!$C$5:$C$594,MATCH($B1783,'Staff Directory'!$A$5:$A$594,0)),""))</f>
        <v>PSW</v>
      </c>
      <c r="E1783" s="19" t="str">
        <f>IF($B1783="","",IFERROR(INDEX('Staff Directory'!$D$5:$D$594,MATCH($B1783,'Staff Directory'!$A$5:$A$594,0)),""))</f>
        <v>A5</v>
      </c>
      <c r="F1783" s="9" t="s">
        <v>127</v>
      </c>
      <c r="G1783" s="18" t="str">
        <f>IF($F1783="","",IFERROR(INDEX(Items!$B$5:$B$597,MATCH($F1783,Items!$A$5:$A$597,0)),"⚠ not in Items"))</f>
        <v>Gloves</v>
      </c>
      <c r="H1783" s="19" t="str">
        <f>IF($F1783="","",IFERROR(INDEX(Items!$C$5:$C$597,MATCH($F1783,Items!$A$5:$A$597,0)),""))</f>
        <v>Medium</v>
      </c>
      <c r="I1783" s="23">
        <f>IF($F1783="","",IFERROR(INDEX(Items!$E$5:$E$597,MATCH($F1783,Items!$A$5:$A$597,0)),""))</f>
        <v>500</v>
      </c>
      <c r="J1783" s="115">
        <f>IF(tblIssues[[#This Row],[Qty Override]]&lt;&gt;"",tblIssues[[#This Row],[Qty Override]],IF(tblIssues[[#This Row],[Standard Issue]]="","",tblIssues[[#This Row],[Standard Issue]]))</f>
        <v>500</v>
      </c>
      <c r="K1783" s="20">
        <f>IF($F1783="","",IFERROR(INDEX(Items!$D$5:$D$597,MATCH($F1783,Items!$A$5:$A$597,0)),""))</f>
        <v>5.5E-2</v>
      </c>
      <c r="L1783" s="21">
        <f t="shared" si="305"/>
        <v>27.5</v>
      </c>
      <c r="M1783" s="9" t="str">
        <f t="shared" si="303"/>
        <v>ZIM604151579</v>
      </c>
      <c r="N1783" s="24">
        <f>IF($A1783="","",WORKDAY($A1783,Settings!$C$9,HolidayDates))</f>
        <v>46224</v>
      </c>
      <c r="O1783" s="24">
        <f>IF($N1783="","",WORKDAY($N1783,Settings!$C$10,HolidayDates))</f>
        <v>46262</v>
      </c>
      <c r="P1783" s="10" t="s">
        <v>501</v>
      </c>
      <c r="Q1783" s="52" t="str">
        <f t="shared" si="306"/>
        <v>Collected</v>
      </c>
      <c r="R1783" s="55" t="str">
        <f t="shared" si="307"/>
        <v>2026-07</v>
      </c>
      <c r="S1783" s="55">
        <f>IF(OR($B1783="",$F1783="",$R1783=""),"",SUMIFS(tblIssues[Qty Issued],tblIssues[Staff ID],$B1783,tblIssues[Item Name],$F1783,tblIssues[Month],$R1783))</f>
        <v>500</v>
      </c>
      <c r="T1783" s="56">
        <f>IF($I1783="","",$I1783*Settings!$C$11)</f>
        <v>500</v>
      </c>
      <c r="U1783" s="57" t="str">
        <f t="shared" si="304"/>
        <v>OK</v>
      </c>
      <c r="V1783" s="55" t="str">
        <f t="shared" si="308"/>
        <v/>
      </c>
      <c r="W1783" s="55" t="str">
        <f>IF($V1783="","",IF(COUNTIF($V$5:$V1783,$V1783)=1,1,""))</f>
        <v/>
      </c>
      <c r="X1783" s="58" t="str">
        <f>IF($W1783="","",MAX($X$4:X1782)+1)</f>
        <v/>
      </c>
      <c r="Y1783" s="62"/>
      <c r="Z1783" s="62"/>
      <c r="AA1783" s="64" t="str">
        <f>IF($C1783="","",IFERROR(INDEX('Staff Directory'!$E$5:$E$594,MATCH($C1783,'Staff Directory'!$B$5:$B$594,0)),""))</f>
        <v>firstname081.lastname081@example.com</v>
      </c>
      <c r="AB1783" s="64" t="str">
        <f>IF($C1783="","",IF(ISNUMBER(SEARCH($D1783,Settings!$C$15)),"Pickup","Dispatch"))</f>
        <v>Pickup</v>
      </c>
      <c r="AC1783" s="64" t="str">
        <f t="shared" si="309"/>
        <v>Supply order ready for pickup</v>
      </c>
      <c r="AD1783" s="64" t="str">
        <f t="shared" si="300"/>
        <v>Dear PSW,
Your order is ready for pickup from Sample Branch, Wed-Fri 9am-4pm.</v>
      </c>
      <c r="AE1783" s="64" t="str">
        <f t="shared" si="301"/>
        <v>mailto:firstname081.lastname081@example.com?subject=Supply%20order%20ready%20for%20pickup&amp;body=Dear%20PSW%2C%0A%0AYour%20order%20is%20ready%20for%20pickup%20from%20Sample%20Branch%2C%20Wed-Fri%209am-4pm.</v>
      </c>
      <c r="AF1783" s="89" t="str">
        <f t="shared" si="310"/>
        <v>Draft email</v>
      </c>
      <c r="AG1783" s="64" t="str">
        <f>IF($C1783="","",IFERROR(INDEX('Staff Directory'!$K$595:$K$599,MATCH($C1783,'Staff Directory'!$B$5:$B$599,0)),$D1783))</f>
        <v>PSW</v>
      </c>
      <c r="AH1783" t="str">
        <f>IF($C1783="","",IFERROR(INDEX('Staff Directory'!$I$595:$I$599,MATCH($C1783,'Staff Directory'!$B$5:$B$599,0))&amp;" "&amp;INDEX('Staff Directory'!$J$595:$J$599,MATCH($C1783,'Staff Directory'!$B$5:$B$599,0)),$AG1783))</f>
        <v>PSW</v>
      </c>
      <c r="AI1783" s="102"/>
      <c r="AJ1783" s="101">
        <f>IF($F1783="","",SUMIFS($J$5:$J1783,$F$5:$F1783,$F1783))</f>
        <v>107000</v>
      </c>
      <c r="AK1783" s="101">
        <f t="shared" si="302"/>
        <v>106501</v>
      </c>
      <c r="AL1783" s="66" t="str" cm="1">
        <f t="array" ref="AL1783">IF($F1783="","",IFERROR(INDEX('Lot Balance'!$B$5:$B$500,MATCH(1,INDEX(('Lot Balance'!$A$5:$A$500=$F1783)*('Lot Balance'!$K$5:$K$500&lt;$AK1783)*('Lot Balance'!$K$5:$K$500+'Lot Balance'!$D$5:$D$500&gt;=$AK1783),0),0)),""))</f>
        <v>ZIM604151579</v>
      </c>
      <c r="AM1783" s="66" t="str" cm="1">
        <f t="array" ref="AM1783">IF($F1783="","",IFERROR(INDEX('Lot Balance'!$B$5:$B$500,MATCH(1,INDEX(('Lot Balance'!$A$5:$A$500=$F1783)*('Lot Balance'!$K$5:$K$500&lt;$AJ1783)*('Lot Balance'!$K$5:$K$500+'Lot Balance'!$D$5:$D$500&gt;=$AJ1783),0),0)),""))</f>
        <v>ZIM604151579</v>
      </c>
      <c r="AN1783" s="66" t="str">
        <f>IF($F1783="","",IF($AI1783&lt;&gt;"",IF(COUNTIFS('Lot Balance'!$A$5:$A$500,$F1783,'Lot Balance'!$B$5:$B$500,$AI1783)=0,"⚠ override is not a lot of this item",IF($AI1783=$AL1783,"Override = FEFO","Override - FEFO says "&amp;$AL1783)),IF($AL1783="","⚠ no receipt on file for this item",IF($AM1783&lt;&gt;$AL1783,"FEFO auto - split, also "&amp;$AM1783,"FEFO auto"))))</f>
        <v>FEFO auto</v>
      </c>
      <c r="AO1783" s="114"/>
    </row>
    <row r="1784" spans="1:41" x14ac:dyDescent="0.35">
      <c r="A1784" s="74">
        <v>46216</v>
      </c>
      <c r="B1784" s="18" t="str">
        <f>IF($C1784="","",IFERROR(INDEX('Staff Directory'!$A$5:$A$594,MATCH($C1784,'Staff Directory'!$B$5:$B$594,0)),"⚠ unknown staff"))</f>
        <v>PSW-021-A5</v>
      </c>
      <c r="C1784" s="49" t="s">
        <v>997</v>
      </c>
      <c r="D1784" s="19" t="str">
        <f>IF($B1784="","",IFERROR(INDEX('Staff Directory'!$C$5:$C$594,MATCH($B1784,'Staff Directory'!$A$5:$A$594,0)),""))</f>
        <v>PSW</v>
      </c>
      <c r="E1784" s="19" t="str">
        <f>IF($B1784="","",IFERROR(INDEX('Staff Directory'!$D$5:$D$594,MATCH($B1784,'Staff Directory'!$A$5:$A$594,0)),""))</f>
        <v>A5</v>
      </c>
      <c r="F1784" s="9" t="s">
        <v>191</v>
      </c>
      <c r="G1784" s="18" t="str">
        <f>IF($F1784="","",IFERROR(INDEX(Items!$B$5:$B$597,MATCH($F1784,Items!$A$5:$A$597,0)),"⚠ not in Items"))</f>
        <v>Sanitizer</v>
      </c>
      <c r="H1784" s="19" t="str">
        <f>IF($F1784="","",IFERROR(INDEX(Items!$C$5:$C$597,MATCH($F1784,Items!$A$5:$A$597,0)),""))</f>
        <v>236 ML</v>
      </c>
      <c r="I1784" s="23">
        <f>IF($F1784="","",IFERROR(INDEX(Items!$E$5:$E$597,MATCH($F1784,Items!$A$5:$A$597,0)),""))</f>
        <v>1</v>
      </c>
      <c r="J1784" s="115">
        <f>IF(tblIssues[[#This Row],[Qty Override]]&lt;&gt;"",tblIssues[[#This Row],[Qty Override]],IF(tblIssues[[#This Row],[Standard Issue]]="","",tblIssues[[#This Row],[Standard Issue]]))</f>
        <v>1</v>
      </c>
      <c r="K1784" s="20">
        <f>IF($F1784="","",IFERROR(INDEX(Items!$D$5:$D$597,MATCH($F1784,Items!$A$5:$A$597,0)),""))</f>
        <v>1E-4</v>
      </c>
      <c r="L1784" s="21">
        <f t="shared" si="305"/>
        <v>1E-4</v>
      </c>
      <c r="M1784" s="9" t="str">
        <f t="shared" si="303"/>
        <v>20-21734-5</v>
      </c>
      <c r="N1784" s="24">
        <f>IF($A1784="","",WORKDAY($A1784,Settings!$C$9,HolidayDates))</f>
        <v>46224</v>
      </c>
      <c r="O1784" s="24">
        <f>IF($N1784="","",WORKDAY($N1784,Settings!$C$10,HolidayDates))</f>
        <v>46262</v>
      </c>
      <c r="P1784" s="10" t="s">
        <v>501</v>
      </c>
      <c r="Q1784" s="52" t="str">
        <f t="shared" si="306"/>
        <v>Collected</v>
      </c>
      <c r="R1784" s="55" t="str">
        <f t="shared" si="307"/>
        <v>2026-07</v>
      </c>
      <c r="S1784" s="55">
        <f>IF(OR($B1784="",$F1784="",$R1784=""),"",SUMIFS(tblIssues[Qty Issued],tblIssues[Staff ID],$B1784,tblIssues[Item Name],$F1784,tblIssues[Month],$R1784))</f>
        <v>1</v>
      </c>
      <c r="T1784" s="56">
        <f>IF($I1784="","",$I1784*Settings!$C$11)</f>
        <v>1</v>
      </c>
      <c r="U1784" s="57" t="str">
        <f t="shared" si="304"/>
        <v>OK</v>
      </c>
      <c r="V1784" s="55" t="str">
        <f t="shared" si="308"/>
        <v/>
      </c>
      <c r="W1784" s="55" t="str">
        <f>IF($V1784="","",IF(COUNTIF($V$5:$V1784,$V1784)=1,1,""))</f>
        <v/>
      </c>
      <c r="X1784" s="58" t="str">
        <f>IF($W1784="","",MAX($X$4:X1783)+1)</f>
        <v/>
      </c>
      <c r="Y1784" s="62"/>
      <c r="Z1784" s="62"/>
      <c r="AA1784" s="64" t="str">
        <f>IF($C1784="","",IFERROR(INDEX('Staff Directory'!$E$5:$E$594,MATCH($C1784,'Staff Directory'!$B$5:$B$594,0)),""))</f>
        <v>firstname081.lastname081@example.com</v>
      </c>
      <c r="AB1784" s="64" t="str">
        <f>IF($C1784="","",IF(ISNUMBER(SEARCH($D1784,Settings!$C$15)),"Pickup","Dispatch"))</f>
        <v>Pickup</v>
      </c>
      <c r="AC1784" s="64" t="str">
        <f t="shared" si="309"/>
        <v>Supply order ready for pickup</v>
      </c>
      <c r="AD1784" s="64" t="str">
        <f t="shared" si="300"/>
        <v>Dear PSW,
Your order is ready for pickup from Sample Branch, Wed-Fri 9am-4pm.</v>
      </c>
      <c r="AE1784" s="64" t="str">
        <f t="shared" si="301"/>
        <v>mailto:firstname081.lastname081@example.com?subject=Supply%20order%20ready%20for%20pickup&amp;body=Dear%20PSW%2C%0A%0AYour%20order%20is%20ready%20for%20pickup%20from%20Sample%20Branch%2C%20Wed-Fri%209am-4pm.</v>
      </c>
      <c r="AF1784" s="89" t="str">
        <f t="shared" si="310"/>
        <v>Draft email</v>
      </c>
      <c r="AG1784" s="64" t="str">
        <f>IF($C1784="","",IFERROR(INDEX('Staff Directory'!$K$595:$K$599,MATCH($C1784,'Staff Directory'!$B$5:$B$599,0)),$D1784))</f>
        <v>PSW</v>
      </c>
      <c r="AH1784" t="str">
        <f>IF($C1784="","",IFERROR(INDEX('Staff Directory'!$I$595:$I$599,MATCH($C1784,'Staff Directory'!$B$5:$B$599,0))&amp;" "&amp;INDEX('Staff Directory'!$J$595:$J$599,MATCH($C1784,'Staff Directory'!$B$5:$B$599,0)),$AG1784))</f>
        <v>PSW</v>
      </c>
      <c r="AI1784" s="102"/>
      <c r="AJ1784" s="101">
        <f>IF($F1784="","",SUMIFS($J$5:$J1784,$F$5:$F1784,$F1784))</f>
        <v>234</v>
      </c>
      <c r="AK1784" s="101">
        <f t="shared" si="302"/>
        <v>234</v>
      </c>
      <c r="AL1784" s="66" t="str" cm="1">
        <f t="array" ref="AL1784">IF($F1784="","",IFERROR(INDEX('Lot Balance'!$B$5:$B$500,MATCH(1,INDEX(('Lot Balance'!$A$5:$A$500=$F1784)*('Lot Balance'!$K$5:$K$500&lt;$AK1784)*('Lot Balance'!$K$5:$K$500+'Lot Balance'!$D$5:$D$500&gt;=$AK1784),0),0)),""))</f>
        <v>20-21734-5</v>
      </c>
      <c r="AM1784" s="66" t="str" cm="1">
        <f t="array" ref="AM1784">IF($F1784="","",IFERROR(INDEX('Lot Balance'!$B$5:$B$500,MATCH(1,INDEX(('Lot Balance'!$A$5:$A$500=$F1784)*('Lot Balance'!$K$5:$K$500&lt;$AJ1784)*('Lot Balance'!$K$5:$K$500+'Lot Balance'!$D$5:$D$500&gt;=$AJ1784),0),0)),""))</f>
        <v>20-21734-5</v>
      </c>
      <c r="AN1784" s="66" t="str">
        <f>IF($F1784="","",IF($AI1784&lt;&gt;"",IF(COUNTIFS('Lot Balance'!$A$5:$A$500,$F1784,'Lot Balance'!$B$5:$B$500,$AI1784)=0,"⚠ override is not a lot of this item",IF($AI1784=$AL1784,"Override = FEFO","Override - FEFO says "&amp;$AL1784)),IF($AL1784="","⚠ no receipt on file for this item",IF($AM1784&lt;&gt;$AL1784,"FEFO auto - split, also "&amp;$AM1784,"FEFO auto"))))</f>
        <v>FEFO auto</v>
      </c>
      <c r="AO1784" s="114"/>
    </row>
    <row r="1785" spans="1:41" x14ac:dyDescent="0.35">
      <c r="A1785" s="74">
        <v>46216</v>
      </c>
      <c r="B1785" s="18" t="str">
        <f>IF($C1785="","",IFERROR(INDEX('Staff Directory'!$A$5:$A$594,MATCH($C1785,'Staff Directory'!$B$5:$B$594,0)),"⚠ unknown staff"))</f>
        <v>PSW-021-A5</v>
      </c>
      <c r="C1785" s="49" t="s">
        <v>997</v>
      </c>
      <c r="D1785" s="19" t="str">
        <f>IF($B1785="","",IFERROR(INDEX('Staff Directory'!$C$5:$C$594,MATCH($B1785,'Staff Directory'!$A$5:$A$594,0)),""))</f>
        <v>PSW</v>
      </c>
      <c r="E1785" s="19" t="str">
        <f>IF($B1785="","",IFERROR(INDEX('Staff Directory'!$D$5:$D$594,MATCH($B1785,'Staff Directory'!$A$5:$A$594,0)),""))</f>
        <v>A5</v>
      </c>
      <c r="F1785" s="9" t="s">
        <v>137</v>
      </c>
      <c r="G1785" s="18" t="str">
        <f>IF($F1785="","",IFERROR(INDEX(Items!$B$5:$B$597,MATCH($F1785,Items!$A$5:$A$597,0)),"⚠ not in Items"))</f>
        <v>Sanitizer</v>
      </c>
      <c r="H1785" s="19" t="str">
        <f>IF($F1785="","",IFERROR(INDEX(Items!$C$5:$C$597,MATCH($F1785,Items!$A$5:$A$597,0)),""))</f>
        <v>118 ML</v>
      </c>
      <c r="I1785" s="23">
        <f>IF($F1785="","",IFERROR(INDEX(Items!$E$5:$E$597,MATCH($F1785,Items!$A$5:$A$597,0)),""))</f>
        <v>2</v>
      </c>
      <c r="J1785" s="115">
        <f>IF(tblIssues[[#This Row],[Qty Override]]&lt;&gt;"",tblIssues[[#This Row],[Qty Override]],IF(tblIssues[[#This Row],[Standard Issue]]="","",tblIssues[[#This Row],[Standard Issue]]))</f>
        <v>2</v>
      </c>
      <c r="K1785" s="20">
        <f>IF($F1785="","",IFERROR(INDEX(Items!$D$5:$D$597,MATCH($F1785,Items!$A$5:$A$597,0)),""))</f>
        <v>4.49</v>
      </c>
      <c r="L1785" s="21">
        <f t="shared" si="305"/>
        <v>8.98</v>
      </c>
      <c r="M1785" s="9" t="str">
        <f t="shared" si="303"/>
        <v>563963-7</v>
      </c>
      <c r="N1785" s="24">
        <f>IF($A1785="","",WORKDAY($A1785,Settings!$C$9,HolidayDates))</f>
        <v>46224</v>
      </c>
      <c r="O1785" s="24">
        <f>IF($N1785="","",WORKDAY($N1785,Settings!$C$10,HolidayDates))</f>
        <v>46262</v>
      </c>
      <c r="P1785" s="10" t="s">
        <v>501</v>
      </c>
      <c r="Q1785" s="52" t="str">
        <f t="shared" si="306"/>
        <v>Collected</v>
      </c>
      <c r="R1785" s="55" t="str">
        <f t="shared" si="307"/>
        <v>2026-07</v>
      </c>
      <c r="S1785" s="55">
        <f>IF(OR($B1785="",$F1785="",$R1785=""),"",SUMIFS(tblIssues[Qty Issued],tblIssues[Staff ID],$B1785,tblIssues[Item Name],$F1785,tblIssues[Month],$R1785))</f>
        <v>2</v>
      </c>
      <c r="T1785" s="56">
        <f>IF($I1785="","",$I1785*Settings!$C$11)</f>
        <v>2</v>
      </c>
      <c r="U1785" s="57" t="str">
        <f t="shared" si="304"/>
        <v>OK</v>
      </c>
      <c r="V1785" s="55" t="str">
        <f t="shared" si="308"/>
        <v/>
      </c>
      <c r="W1785" s="55" t="str">
        <f>IF($V1785="","",IF(COUNTIF($V$5:$V1785,$V1785)=1,1,""))</f>
        <v/>
      </c>
      <c r="X1785" s="58" t="str">
        <f>IF($W1785="","",MAX($X$4:X1784)+1)</f>
        <v/>
      </c>
      <c r="Y1785" s="62"/>
      <c r="Z1785" s="62"/>
      <c r="AA1785" s="64" t="str">
        <f>IF($C1785="","",IFERROR(INDEX('Staff Directory'!$E$5:$E$594,MATCH($C1785,'Staff Directory'!$B$5:$B$594,0)),""))</f>
        <v>firstname081.lastname081@example.com</v>
      </c>
      <c r="AB1785" s="64" t="str">
        <f>IF($C1785="","",IF(ISNUMBER(SEARCH($D1785,Settings!$C$15)),"Pickup","Dispatch"))</f>
        <v>Pickup</v>
      </c>
      <c r="AC1785" s="64" t="str">
        <f t="shared" si="309"/>
        <v>Supply order ready for pickup</v>
      </c>
      <c r="AD1785" s="64" t="str">
        <f t="shared" si="300"/>
        <v>Dear PSW,
Your order is ready for pickup from Sample Branch, Wed-Fri 9am-4pm.</v>
      </c>
      <c r="AE1785" s="64" t="str">
        <f t="shared" si="301"/>
        <v>mailto:firstname081.lastname081@example.com?subject=Supply%20order%20ready%20for%20pickup&amp;body=Dear%20PSW%2C%0A%0AYour%20order%20is%20ready%20for%20pickup%20from%20Sample%20Branch%2C%20Wed-Fri%209am-4pm.</v>
      </c>
      <c r="AF1785" s="89" t="str">
        <f t="shared" si="310"/>
        <v>Draft email</v>
      </c>
      <c r="AG1785" s="64" t="str">
        <f>IF($C1785="","",IFERROR(INDEX('Staff Directory'!$K$595:$K$599,MATCH($C1785,'Staff Directory'!$B$5:$B$599,0)),$D1785))</f>
        <v>PSW</v>
      </c>
      <c r="AH1785" t="str">
        <f>IF($C1785="","",IFERROR(INDEX('Staff Directory'!$I$595:$I$599,MATCH($C1785,'Staff Directory'!$B$5:$B$599,0))&amp;" "&amp;INDEX('Staff Directory'!$J$595:$J$599,MATCH($C1785,'Staff Directory'!$B$5:$B$599,0)),$AG1785))</f>
        <v>PSW</v>
      </c>
      <c r="AI1785" s="102"/>
      <c r="AJ1785" s="101">
        <f>IF($F1785="","",SUMIFS($J$5:$J1785,$F$5:$F1785,$F1785))</f>
        <v>154</v>
      </c>
      <c r="AK1785" s="101">
        <f t="shared" si="302"/>
        <v>153</v>
      </c>
      <c r="AL1785" s="66" t="str" cm="1">
        <f t="array" ref="AL1785">IF($F1785="","",IFERROR(INDEX('Lot Balance'!$B$5:$B$500,MATCH(1,INDEX(('Lot Balance'!$A$5:$A$500=$F1785)*('Lot Balance'!$K$5:$K$500&lt;$AK1785)*('Lot Balance'!$K$5:$K$500+'Lot Balance'!$D$5:$D$500&gt;=$AK1785),0),0)),""))</f>
        <v>563963-7</v>
      </c>
      <c r="AM1785" s="66" t="str" cm="1">
        <f t="array" ref="AM1785">IF($F1785="","",IFERROR(INDEX('Lot Balance'!$B$5:$B$500,MATCH(1,INDEX(('Lot Balance'!$A$5:$A$500=$F1785)*('Lot Balance'!$K$5:$K$500&lt;$AJ1785)*('Lot Balance'!$K$5:$K$500+'Lot Balance'!$D$5:$D$500&gt;=$AJ1785),0),0)),""))</f>
        <v>563963-7</v>
      </c>
      <c r="AN1785" s="66" t="str">
        <f>IF($F1785="","",IF($AI1785&lt;&gt;"",IF(COUNTIFS('Lot Balance'!$A$5:$A$500,$F1785,'Lot Balance'!$B$5:$B$500,$AI1785)=0,"⚠ override is not a lot of this item",IF($AI1785=$AL1785,"Override = FEFO","Override - FEFO says "&amp;$AL1785)),IF($AL1785="","⚠ no receipt on file for this item",IF($AM1785&lt;&gt;$AL1785,"FEFO auto - split, also "&amp;$AM1785,"FEFO auto"))))</f>
        <v>FEFO auto</v>
      </c>
      <c r="AO1785" s="114"/>
    </row>
    <row r="1786" spans="1:41" x14ac:dyDescent="0.35">
      <c r="A1786" s="74">
        <v>46216</v>
      </c>
      <c r="B1786" s="18" t="str">
        <f>IF($C1786="","",IFERROR(INDEX('Staff Directory'!$A$5:$A$594,MATCH($C1786,'Staff Directory'!$B$5:$B$594,0)),"⚠ unknown staff"))</f>
        <v>PSW-169-A6</v>
      </c>
      <c r="C1786" s="49" t="s">
        <v>1148</v>
      </c>
      <c r="D1786" s="19" t="str">
        <f>IF($B1786="","",IFERROR(INDEX('Staff Directory'!$C$5:$C$594,MATCH($B1786,'Staff Directory'!$A$5:$A$594,0)),""))</f>
        <v>PSW</v>
      </c>
      <c r="E1786" s="19" t="str">
        <f>IF($B1786="","",IFERROR(INDEX('Staff Directory'!$D$5:$D$594,MATCH($B1786,'Staff Directory'!$A$5:$A$594,0)),""))</f>
        <v>A6</v>
      </c>
      <c r="F1786" s="9" t="s">
        <v>129</v>
      </c>
      <c r="G1786" s="18" t="str">
        <f>IF($F1786="","",IFERROR(INDEX(Items!$B$5:$B$597,MATCH($F1786,Items!$A$5:$A$597,0)),"⚠ not in Items"))</f>
        <v>Gloves</v>
      </c>
      <c r="H1786" s="19" t="str">
        <f>IF($F1786="","",IFERROR(INDEX(Items!$C$5:$C$597,MATCH($F1786,Items!$A$5:$A$597,0)),""))</f>
        <v>Small</v>
      </c>
      <c r="I1786" s="23">
        <f>IF($F1786="","",IFERROR(INDEX(Items!$E$5:$E$597,MATCH($F1786,Items!$A$5:$A$597,0)),""))</f>
        <v>500</v>
      </c>
      <c r="J1786" s="115">
        <f>IF(tblIssues[[#This Row],[Qty Override]]&lt;&gt;"",tblIssues[[#This Row],[Qty Override]],IF(tblIssues[[#This Row],[Standard Issue]]="","",tblIssues[[#This Row],[Standard Issue]]))</f>
        <v>500</v>
      </c>
      <c r="K1786" s="20">
        <f>IF($F1786="","",IFERROR(INDEX(Items!$D$5:$D$597,MATCH($F1786,Items!$A$5:$A$597,0)),""))</f>
        <v>5.5E-2</v>
      </c>
      <c r="L1786" s="21">
        <f t="shared" si="305"/>
        <v>27.5</v>
      </c>
      <c r="M1786" s="9" t="str">
        <f t="shared" si="303"/>
        <v>ZIM601144366-1</v>
      </c>
      <c r="N1786" s="24">
        <f>IF($A1786="","",WORKDAY($A1786,Settings!$C$9,HolidayDates))</f>
        <v>46224</v>
      </c>
      <c r="O1786" s="24">
        <f>IF($N1786="","",WORKDAY($N1786,Settings!$C$10,HolidayDates))</f>
        <v>46262</v>
      </c>
      <c r="P1786" s="10" t="s">
        <v>501</v>
      </c>
      <c r="Q1786" s="52" t="str">
        <f t="shared" si="306"/>
        <v>Collected</v>
      </c>
      <c r="R1786" s="55" t="str">
        <f t="shared" si="307"/>
        <v>2026-07</v>
      </c>
      <c r="S1786" s="55">
        <f>IF(OR($B1786="",$F1786="",$R1786=""),"",SUMIFS(tblIssues[Qty Issued],tblIssues[Staff ID],$B1786,tblIssues[Item Name],$F1786,tblIssues[Month],$R1786))</f>
        <v>500</v>
      </c>
      <c r="T1786" s="56">
        <f>IF($I1786="","",$I1786*Settings!$C$11)</f>
        <v>500</v>
      </c>
      <c r="U1786" s="57" t="str">
        <f t="shared" si="304"/>
        <v>OK</v>
      </c>
      <c r="V1786" s="55" t="str">
        <f t="shared" si="308"/>
        <v/>
      </c>
      <c r="W1786" s="55" t="str">
        <f>IF($V1786="","",IF(COUNTIF($V$5:$V1786,$V1786)=1,1,""))</f>
        <v/>
      </c>
      <c r="X1786" s="58" t="str">
        <f>IF($W1786="","",MAX($X$4:X1785)+1)</f>
        <v/>
      </c>
      <c r="Y1786" s="62"/>
      <c r="Z1786" s="62"/>
      <c r="AA1786" s="64" t="str">
        <f>IF($C1786="","",IFERROR(INDEX('Staff Directory'!$E$5:$E$594,MATCH($C1786,'Staff Directory'!$B$5:$B$594,0)),""))</f>
        <v>firstname232.lastname232@example.com</v>
      </c>
      <c r="AB1786" s="64" t="str">
        <f>IF($C1786="","",IF(ISNUMBER(SEARCH($D1786,Settings!$C$15)),"Pickup","Dispatch"))</f>
        <v>Pickup</v>
      </c>
      <c r="AC1786" s="64" t="str">
        <f t="shared" si="309"/>
        <v>Supply order ready for pickup</v>
      </c>
      <c r="AD1786" s="64" t="str">
        <f t="shared" si="300"/>
        <v>Dear PSW,
Your order is ready for pickup from Sample Branch, Wed-Fri 9am-4pm.</v>
      </c>
      <c r="AE1786" s="64" t="str">
        <f t="shared" si="301"/>
        <v>mailto:firstname232.lastname232@example.com?subject=Supply%20order%20ready%20for%20pickup&amp;body=Dear%20PSW%2C%0A%0AYour%20order%20is%20ready%20for%20pickup%20from%20Sample%20Branch%2C%20Wed-Fri%209am-4pm.</v>
      </c>
      <c r="AF1786" s="89" t="str">
        <f t="shared" si="310"/>
        <v>Draft email</v>
      </c>
      <c r="AG1786" s="64" t="str">
        <f>IF($C1786="","",IFERROR(INDEX('Staff Directory'!$K$595:$K$599,MATCH($C1786,'Staff Directory'!$B$5:$B$599,0)),$D1786))</f>
        <v>PSW</v>
      </c>
      <c r="AH1786" t="str">
        <f>IF($C1786="","",IFERROR(INDEX('Staff Directory'!$I$595:$I$599,MATCH($C1786,'Staff Directory'!$B$5:$B$599,0))&amp;" "&amp;INDEX('Staff Directory'!$J$595:$J$599,MATCH($C1786,'Staff Directory'!$B$5:$B$599,0)),$AG1786))</f>
        <v>PSW</v>
      </c>
      <c r="AI1786" s="102"/>
      <c r="AJ1786" s="101">
        <f>IF($F1786="","",SUMIFS($J$5:$J1786,$F$5:$F1786,$F1786))</f>
        <v>53000</v>
      </c>
      <c r="AK1786" s="101">
        <f t="shared" si="302"/>
        <v>52501</v>
      </c>
      <c r="AL1786" s="66" t="str" cm="1">
        <f t="array" ref="AL1786">IF($F1786="","",IFERROR(INDEX('Lot Balance'!$B$5:$B$500,MATCH(1,INDEX(('Lot Balance'!$A$5:$A$500=$F1786)*('Lot Balance'!$K$5:$K$500&lt;$AK1786)*('Lot Balance'!$K$5:$K$500+'Lot Balance'!$D$5:$D$500&gt;=$AK1786),0),0)),""))</f>
        <v>ZIM601144366-1</v>
      </c>
      <c r="AM1786" s="66" t="str" cm="1">
        <f t="array" ref="AM1786">IF($F1786="","",IFERROR(INDEX('Lot Balance'!$B$5:$B$500,MATCH(1,INDEX(('Lot Balance'!$A$5:$A$500=$F1786)*('Lot Balance'!$K$5:$K$500&lt;$AJ1786)*('Lot Balance'!$K$5:$K$500+'Lot Balance'!$D$5:$D$500&gt;=$AJ1786),0),0)),""))</f>
        <v>ZIM601144366-1</v>
      </c>
      <c r="AN1786" s="66" t="str">
        <f>IF($F1786="","",IF($AI1786&lt;&gt;"",IF(COUNTIFS('Lot Balance'!$A$5:$A$500,$F1786,'Lot Balance'!$B$5:$B$500,$AI1786)=0,"⚠ override is not a lot of this item",IF($AI1786=$AL1786,"Override = FEFO","Override - FEFO says "&amp;$AL1786)),IF($AL1786="","⚠ no receipt on file for this item",IF($AM1786&lt;&gt;$AL1786,"FEFO auto - split, also "&amp;$AM1786,"FEFO auto"))))</f>
        <v>FEFO auto</v>
      </c>
      <c r="AO1786" s="114"/>
    </row>
    <row r="1787" spans="1:41" x14ac:dyDescent="0.35">
      <c r="A1787" s="74">
        <v>46216</v>
      </c>
      <c r="B1787" s="18" t="str">
        <f>IF($C1787="","",IFERROR(INDEX('Staff Directory'!$A$5:$A$594,MATCH($C1787,'Staff Directory'!$B$5:$B$594,0)),"⚠ unknown staff"))</f>
        <v>PSW-169-A6</v>
      </c>
      <c r="C1787" s="49" t="s">
        <v>1148</v>
      </c>
      <c r="D1787" s="19" t="str">
        <f>IF($B1787="","",IFERROR(INDEX('Staff Directory'!$C$5:$C$594,MATCH($B1787,'Staff Directory'!$A$5:$A$594,0)),""))</f>
        <v>PSW</v>
      </c>
      <c r="E1787" s="19" t="str">
        <f>IF($B1787="","",IFERROR(INDEX('Staff Directory'!$D$5:$D$594,MATCH($B1787,'Staff Directory'!$A$5:$A$594,0)),""))</f>
        <v>A6</v>
      </c>
      <c r="F1787" s="9" t="s">
        <v>191</v>
      </c>
      <c r="G1787" s="18" t="str">
        <f>IF($F1787="","",IFERROR(INDEX(Items!$B$5:$B$597,MATCH($F1787,Items!$A$5:$A$597,0)),"⚠ not in Items"))</f>
        <v>Sanitizer</v>
      </c>
      <c r="H1787" s="19" t="str">
        <f>IF($F1787="","",IFERROR(INDEX(Items!$C$5:$C$597,MATCH($F1787,Items!$A$5:$A$597,0)),""))</f>
        <v>236 ML</v>
      </c>
      <c r="I1787" s="23">
        <f>IF($F1787="","",IFERROR(INDEX(Items!$E$5:$E$597,MATCH($F1787,Items!$A$5:$A$597,0)),""))</f>
        <v>1</v>
      </c>
      <c r="J1787" s="115">
        <f>IF(tblIssues[[#This Row],[Qty Override]]&lt;&gt;"",tblIssues[[#This Row],[Qty Override]],IF(tblIssues[[#This Row],[Standard Issue]]="","",tblIssues[[#This Row],[Standard Issue]]))</f>
        <v>1</v>
      </c>
      <c r="K1787" s="20">
        <f>IF($F1787="","",IFERROR(INDEX(Items!$D$5:$D$597,MATCH($F1787,Items!$A$5:$A$597,0)),""))</f>
        <v>1E-4</v>
      </c>
      <c r="L1787" s="21">
        <f t="shared" si="305"/>
        <v>1E-4</v>
      </c>
      <c r="M1787" s="9" t="str">
        <f t="shared" si="303"/>
        <v>20-21734-5</v>
      </c>
      <c r="N1787" s="24">
        <f>IF($A1787="","",WORKDAY($A1787,Settings!$C$9,HolidayDates))</f>
        <v>46224</v>
      </c>
      <c r="O1787" s="24">
        <f>IF($N1787="","",WORKDAY($N1787,Settings!$C$10,HolidayDates))</f>
        <v>46262</v>
      </c>
      <c r="P1787" s="10" t="s">
        <v>501</v>
      </c>
      <c r="Q1787" s="52" t="str">
        <f t="shared" si="306"/>
        <v>Collected</v>
      </c>
      <c r="R1787" s="55" t="str">
        <f t="shared" si="307"/>
        <v>2026-07</v>
      </c>
      <c r="S1787" s="55">
        <f>IF(OR($B1787="",$F1787="",$R1787=""),"",SUMIFS(tblIssues[Qty Issued],tblIssues[Staff ID],$B1787,tblIssues[Item Name],$F1787,tblIssues[Month],$R1787))</f>
        <v>1</v>
      </c>
      <c r="T1787" s="56">
        <f>IF($I1787="","",$I1787*Settings!$C$11)</f>
        <v>1</v>
      </c>
      <c r="U1787" s="57" t="str">
        <f t="shared" si="304"/>
        <v>OK</v>
      </c>
      <c r="V1787" s="55" t="str">
        <f t="shared" si="308"/>
        <v/>
      </c>
      <c r="W1787" s="55" t="str">
        <f>IF($V1787="","",IF(COUNTIF($V$5:$V1787,$V1787)=1,1,""))</f>
        <v/>
      </c>
      <c r="X1787" s="58" t="str">
        <f>IF($W1787="","",MAX($X$4:X1786)+1)</f>
        <v/>
      </c>
      <c r="Y1787" s="62"/>
      <c r="Z1787" s="62"/>
      <c r="AA1787" s="64" t="str">
        <f>IF($C1787="","",IFERROR(INDEX('Staff Directory'!$E$5:$E$594,MATCH($C1787,'Staff Directory'!$B$5:$B$594,0)),""))</f>
        <v>firstname232.lastname232@example.com</v>
      </c>
      <c r="AB1787" s="64" t="str">
        <f>IF($C1787="","",IF(ISNUMBER(SEARCH($D1787,Settings!$C$15)),"Pickup","Dispatch"))</f>
        <v>Pickup</v>
      </c>
      <c r="AC1787" s="64" t="str">
        <f t="shared" si="309"/>
        <v>Supply order ready for pickup</v>
      </c>
      <c r="AD1787" s="64" t="str">
        <f t="shared" si="300"/>
        <v>Dear PSW,
Your order is ready for pickup from Sample Branch, Wed-Fri 9am-4pm.</v>
      </c>
      <c r="AE1787" s="64" t="str">
        <f t="shared" si="301"/>
        <v>mailto:firstname232.lastname232@example.com?subject=Supply%20order%20ready%20for%20pickup&amp;body=Dear%20PSW%2C%0A%0AYour%20order%20is%20ready%20for%20pickup%20from%20Sample%20Branch%2C%20Wed-Fri%209am-4pm.</v>
      </c>
      <c r="AF1787" s="89" t="str">
        <f t="shared" si="310"/>
        <v>Draft email</v>
      </c>
      <c r="AG1787" s="64" t="str">
        <f>IF($C1787="","",IFERROR(INDEX('Staff Directory'!$K$595:$K$599,MATCH($C1787,'Staff Directory'!$B$5:$B$599,0)),$D1787))</f>
        <v>PSW</v>
      </c>
      <c r="AH1787" t="str">
        <f>IF($C1787="","",IFERROR(INDEX('Staff Directory'!$I$595:$I$599,MATCH($C1787,'Staff Directory'!$B$5:$B$599,0))&amp;" "&amp;INDEX('Staff Directory'!$J$595:$J$599,MATCH($C1787,'Staff Directory'!$B$5:$B$599,0)),$AG1787))</f>
        <v>PSW</v>
      </c>
      <c r="AI1787" s="102"/>
      <c r="AJ1787" s="101">
        <f>IF($F1787="","",SUMIFS($J$5:$J1787,$F$5:$F1787,$F1787))</f>
        <v>235</v>
      </c>
      <c r="AK1787" s="101">
        <f t="shared" si="302"/>
        <v>235</v>
      </c>
      <c r="AL1787" s="66" t="str" cm="1">
        <f t="array" ref="AL1787">IF($F1787="","",IFERROR(INDEX('Lot Balance'!$B$5:$B$500,MATCH(1,INDEX(('Lot Balance'!$A$5:$A$500=$F1787)*('Lot Balance'!$K$5:$K$500&lt;$AK1787)*('Lot Balance'!$K$5:$K$500+'Lot Balance'!$D$5:$D$500&gt;=$AK1787),0),0)),""))</f>
        <v>20-21734-5</v>
      </c>
      <c r="AM1787" s="66" t="str" cm="1">
        <f t="array" ref="AM1787">IF($F1787="","",IFERROR(INDEX('Lot Balance'!$B$5:$B$500,MATCH(1,INDEX(('Lot Balance'!$A$5:$A$500=$F1787)*('Lot Balance'!$K$5:$K$500&lt;$AJ1787)*('Lot Balance'!$K$5:$K$500+'Lot Balance'!$D$5:$D$500&gt;=$AJ1787),0),0)),""))</f>
        <v>20-21734-5</v>
      </c>
      <c r="AN1787" s="66" t="str">
        <f>IF($F1787="","",IF($AI1787&lt;&gt;"",IF(COUNTIFS('Lot Balance'!$A$5:$A$500,$F1787,'Lot Balance'!$B$5:$B$500,$AI1787)=0,"⚠ override is not a lot of this item",IF($AI1787=$AL1787,"Override = FEFO","Override - FEFO says "&amp;$AL1787)),IF($AL1787="","⚠ no receipt on file for this item",IF($AM1787&lt;&gt;$AL1787,"FEFO auto - split, also "&amp;$AM1787,"FEFO auto"))))</f>
        <v>FEFO auto</v>
      </c>
      <c r="AO1787" s="114"/>
    </row>
    <row r="1788" spans="1:41" x14ac:dyDescent="0.35">
      <c r="A1788" s="74">
        <v>46216</v>
      </c>
      <c r="B1788" s="18" t="str">
        <f>IF($C1788="","",IFERROR(INDEX('Staff Directory'!$A$5:$A$594,MATCH($C1788,'Staff Directory'!$B$5:$B$594,0)),"⚠ unknown staff"))</f>
        <v>PSW-169-A6</v>
      </c>
      <c r="C1788" s="49" t="s">
        <v>1148</v>
      </c>
      <c r="D1788" s="19" t="str">
        <f>IF($B1788="","",IFERROR(INDEX('Staff Directory'!$C$5:$C$594,MATCH($B1788,'Staff Directory'!$A$5:$A$594,0)),""))</f>
        <v>PSW</v>
      </c>
      <c r="E1788" s="19" t="str">
        <f>IF($B1788="","",IFERROR(INDEX('Staff Directory'!$D$5:$D$594,MATCH($B1788,'Staff Directory'!$A$5:$A$594,0)),""))</f>
        <v>A6</v>
      </c>
      <c r="F1788" s="9" t="s">
        <v>115</v>
      </c>
      <c r="G1788" s="18" t="str">
        <f>IF($F1788="","",IFERROR(INDEX(Items!$B$5:$B$597,MATCH($F1788,Items!$A$5:$A$597,0)),"⚠ not in Items"))</f>
        <v>Wipes</v>
      </c>
      <c r="H1788" s="19">
        <f>IF($F1788="","",IFERROR(INDEX(Items!$C$5:$C$597,MATCH($F1788,Items!$A$5:$A$597,0)),""))</f>
        <v>80</v>
      </c>
      <c r="I1788" s="23">
        <f>IF($F1788="","",IFERROR(INDEX(Items!$E$5:$E$597,MATCH($F1788,Items!$A$5:$A$597,0)),""))</f>
        <v>80</v>
      </c>
      <c r="J1788" s="115">
        <f>IF(tblIssues[[#This Row],[Qty Override]]&lt;&gt;"",tblIssues[[#This Row],[Qty Override]],IF(tblIssues[[#This Row],[Standard Issue]]="","",tblIssues[[#This Row],[Standard Issue]]))</f>
        <v>80</v>
      </c>
      <c r="K1788" s="20">
        <f>IF($F1788="","",IFERROR(INDEX(Items!$D$5:$D$597,MATCH($F1788,Items!$A$5:$A$597,0)),""))</f>
        <v>0.1</v>
      </c>
      <c r="L1788" s="21">
        <f t="shared" si="305"/>
        <v>8</v>
      </c>
      <c r="M1788" s="9" t="str">
        <f t="shared" si="303"/>
        <v>LYSL500290</v>
      </c>
      <c r="N1788" s="24">
        <f>IF($A1788="","",WORKDAY($A1788,Settings!$C$9,HolidayDates))</f>
        <v>46224</v>
      </c>
      <c r="O1788" s="24">
        <f>IF($N1788="","",WORKDAY($N1788,Settings!$C$10,HolidayDates))</f>
        <v>46262</v>
      </c>
      <c r="P1788" s="10" t="s">
        <v>501</v>
      </c>
      <c r="Q1788" s="52" t="str">
        <f t="shared" si="306"/>
        <v>Collected</v>
      </c>
      <c r="R1788" s="55" t="str">
        <f t="shared" si="307"/>
        <v>2026-07</v>
      </c>
      <c r="S1788" s="55">
        <f>IF(OR($B1788="",$F1788="",$R1788=""),"",SUMIFS(tblIssues[Qty Issued],tblIssues[Staff ID],$B1788,tblIssues[Item Name],$F1788,tblIssues[Month],$R1788))</f>
        <v>80</v>
      </c>
      <c r="T1788" s="56">
        <f>IF($I1788="","",$I1788*Settings!$C$11)</f>
        <v>80</v>
      </c>
      <c r="U1788" s="57" t="str">
        <f t="shared" si="304"/>
        <v>OK</v>
      </c>
      <c r="V1788" s="55" t="str">
        <f t="shared" si="308"/>
        <v/>
      </c>
      <c r="W1788" s="55" t="str">
        <f>IF($V1788="","",IF(COUNTIF($V$5:$V1788,$V1788)=1,1,""))</f>
        <v/>
      </c>
      <c r="X1788" s="58" t="str">
        <f>IF($W1788="","",MAX($X$4:X1787)+1)</f>
        <v/>
      </c>
      <c r="Y1788" s="62"/>
      <c r="Z1788" s="62"/>
      <c r="AA1788" s="64" t="str">
        <f>IF($C1788="","",IFERROR(INDEX('Staff Directory'!$E$5:$E$594,MATCH($C1788,'Staff Directory'!$B$5:$B$594,0)),""))</f>
        <v>firstname232.lastname232@example.com</v>
      </c>
      <c r="AB1788" s="64" t="str">
        <f>IF($C1788="","",IF(ISNUMBER(SEARCH($D1788,Settings!$C$15)),"Pickup","Dispatch"))</f>
        <v>Pickup</v>
      </c>
      <c r="AC1788" s="64" t="str">
        <f t="shared" si="309"/>
        <v>Supply order ready for pickup</v>
      </c>
      <c r="AD1788" s="64" t="str">
        <f t="shared" si="300"/>
        <v>Dear PSW,
Your order is ready for pickup from Sample Branch, Wed-Fri 9am-4pm.</v>
      </c>
      <c r="AE1788" s="64" t="str">
        <f t="shared" si="301"/>
        <v>mailto:firstname232.lastname232@example.com?subject=Supply%20order%20ready%20for%20pickup&amp;body=Dear%20PSW%2C%0A%0AYour%20order%20is%20ready%20for%20pickup%20from%20Sample%20Branch%2C%20Wed-Fri%209am-4pm.</v>
      </c>
      <c r="AF1788" s="89" t="str">
        <f t="shared" si="310"/>
        <v>Draft email</v>
      </c>
      <c r="AG1788" s="64" t="str">
        <f>IF($C1788="","",IFERROR(INDEX('Staff Directory'!$K$595:$K$599,MATCH($C1788,'Staff Directory'!$B$5:$B$599,0)),$D1788))</f>
        <v>PSW</v>
      </c>
      <c r="AH1788" t="str">
        <f>IF($C1788="","",IFERROR(INDEX('Staff Directory'!$I$595:$I$599,MATCH($C1788,'Staff Directory'!$B$5:$B$599,0))&amp;" "&amp;INDEX('Staff Directory'!$J$595:$J$599,MATCH($C1788,'Staff Directory'!$B$5:$B$599,0)),$AG1788))</f>
        <v>PSW</v>
      </c>
      <c r="AI1788" s="102"/>
      <c r="AJ1788" s="101">
        <f>IF($F1788="","",SUMIFS($J$5:$J1788,$F$5:$F1788,$F1788))</f>
        <v>23680</v>
      </c>
      <c r="AK1788" s="101">
        <f t="shared" si="302"/>
        <v>23601</v>
      </c>
      <c r="AL1788" s="66" t="str" cm="1">
        <f t="array" ref="AL1788">IF($F1788="","",IFERROR(INDEX('Lot Balance'!$B$5:$B$500,MATCH(1,INDEX(('Lot Balance'!$A$5:$A$500=$F1788)*('Lot Balance'!$K$5:$K$500&lt;$AK1788)*('Lot Balance'!$K$5:$K$500+'Lot Balance'!$D$5:$D$500&gt;=$AK1788),0),0)),""))</f>
        <v>LYSL500290</v>
      </c>
      <c r="AM1788" s="66" t="str" cm="1">
        <f t="array" ref="AM1788">IF($F1788="","",IFERROR(INDEX('Lot Balance'!$B$5:$B$500,MATCH(1,INDEX(('Lot Balance'!$A$5:$A$500=$F1788)*('Lot Balance'!$K$5:$K$500&lt;$AJ1788)*('Lot Balance'!$K$5:$K$500+'Lot Balance'!$D$5:$D$500&gt;=$AJ1788),0),0)),""))</f>
        <v>LYSL500290</v>
      </c>
      <c r="AN1788" s="66" t="str">
        <f>IF($F1788="","",IF($AI1788&lt;&gt;"",IF(COUNTIFS('Lot Balance'!$A$5:$A$500,$F1788,'Lot Balance'!$B$5:$B$500,$AI1788)=0,"⚠ override is not a lot of this item",IF($AI1788=$AL1788,"Override = FEFO","Override - FEFO says "&amp;$AL1788)),IF($AL1788="","⚠ no receipt on file for this item",IF($AM1788&lt;&gt;$AL1788,"FEFO auto - split, also "&amp;$AM1788,"FEFO auto"))))</f>
        <v>FEFO auto</v>
      </c>
      <c r="AO1788" s="114"/>
    </row>
    <row r="1789" spans="1:41" x14ac:dyDescent="0.35">
      <c r="A1789" s="74">
        <v>46216</v>
      </c>
      <c r="B1789" s="18" t="str">
        <f>IF($C1789="","",IFERROR(INDEX('Staff Directory'!$A$5:$A$594,MATCH($C1789,'Staff Directory'!$B$5:$B$594,0)),"⚠ unknown staff"))</f>
        <v>PSW-169-A6</v>
      </c>
      <c r="C1789" s="49" t="s">
        <v>1148</v>
      </c>
      <c r="D1789" s="19" t="str">
        <f>IF($B1789="","",IFERROR(INDEX('Staff Directory'!$C$5:$C$594,MATCH($B1789,'Staff Directory'!$A$5:$A$594,0)),""))</f>
        <v>PSW</v>
      </c>
      <c r="E1789" s="19" t="str">
        <f>IF($B1789="","",IFERROR(INDEX('Staff Directory'!$D$5:$D$594,MATCH($B1789,'Staff Directory'!$A$5:$A$594,0)),""))</f>
        <v>A6</v>
      </c>
      <c r="F1789" s="9" t="s">
        <v>156</v>
      </c>
      <c r="G1789" s="18" t="str">
        <f>IF($F1789="","",IFERROR(INDEX(Items!$B$5:$B$597,MATCH($F1789,Items!$A$5:$A$597,0)),"⚠ not in Items"))</f>
        <v>Masks</v>
      </c>
      <c r="H1789" s="19" t="str">
        <f>IF($F1789="","",IFERROR(INDEX(Items!$C$5:$C$597,MATCH($F1789,Items!$A$5:$A$597,0)),""))</f>
        <v>One Size</v>
      </c>
      <c r="I1789" s="23">
        <f>IF($F1789="","",IFERROR(INDEX(Items!$E$5:$E$597,MATCH($F1789,Items!$A$5:$A$597,0)),""))</f>
        <v>50</v>
      </c>
      <c r="J1789" s="115">
        <f>IF(tblIssues[[#This Row],[Qty Override]]&lt;&gt;"",tblIssues[[#This Row],[Qty Override]],IF(tblIssues[[#This Row],[Standard Issue]]="","",tblIssues[[#This Row],[Standard Issue]]))</f>
        <v>50</v>
      </c>
      <c r="K1789" s="20">
        <f>IF($F1789="","",IFERROR(INDEX(Items!$D$5:$D$597,MATCH($F1789,Items!$A$5:$A$597,0)),""))</f>
        <v>0.25</v>
      </c>
      <c r="L1789" s="21">
        <f t="shared" si="305"/>
        <v>12.5</v>
      </c>
      <c r="M1789" s="9" t="str">
        <f t="shared" si="303"/>
        <v>LV2-10040-2</v>
      </c>
      <c r="N1789" s="24">
        <f>IF($A1789="","",WORKDAY($A1789,Settings!$C$9,HolidayDates))</f>
        <v>46224</v>
      </c>
      <c r="O1789" s="24">
        <f>IF($N1789="","",WORKDAY($N1789,Settings!$C$10,HolidayDates))</f>
        <v>46262</v>
      </c>
      <c r="P1789" s="10" t="s">
        <v>501</v>
      </c>
      <c r="Q1789" s="52" t="str">
        <f t="shared" si="306"/>
        <v>Collected</v>
      </c>
      <c r="R1789" s="55" t="str">
        <f t="shared" si="307"/>
        <v>2026-07</v>
      </c>
      <c r="S1789" s="55">
        <f>IF(OR($B1789="",$F1789="",$R1789=""),"",SUMIFS(tblIssues[Qty Issued],tblIssues[Staff ID],$B1789,tblIssues[Item Name],$F1789,tblIssues[Month],$R1789))</f>
        <v>50</v>
      </c>
      <c r="T1789" s="56">
        <f>IF($I1789="","",$I1789*Settings!$C$11)</f>
        <v>50</v>
      </c>
      <c r="U1789" s="57" t="str">
        <f t="shared" si="304"/>
        <v>OK</v>
      </c>
      <c r="V1789" s="55" t="str">
        <f t="shared" si="308"/>
        <v/>
      </c>
      <c r="W1789" s="55" t="str">
        <f>IF($V1789="","",IF(COUNTIF($V$5:$V1789,$V1789)=1,1,""))</f>
        <v/>
      </c>
      <c r="X1789" s="58" t="str">
        <f>IF($W1789="","",MAX($X$4:X1788)+1)</f>
        <v/>
      </c>
      <c r="Y1789" s="62"/>
      <c r="Z1789" s="62"/>
      <c r="AA1789" s="64" t="str">
        <f>IF($C1789="","",IFERROR(INDEX('Staff Directory'!$E$5:$E$594,MATCH($C1789,'Staff Directory'!$B$5:$B$594,0)),""))</f>
        <v>firstname232.lastname232@example.com</v>
      </c>
      <c r="AB1789" s="64" t="str">
        <f>IF($C1789="","",IF(ISNUMBER(SEARCH($D1789,Settings!$C$15)),"Pickup","Dispatch"))</f>
        <v>Pickup</v>
      </c>
      <c r="AC1789" s="64" t="str">
        <f t="shared" si="309"/>
        <v>Supply order ready for pickup</v>
      </c>
      <c r="AD1789" s="64" t="str">
        <f t="shared" si="300"/>
        <v>Dear PSW,
Your order is ready for pickup from Sample Branch, Wed-Fri 9am-4pm.</v>
      </c>
      <c r="AE1789" s="64" t="str">
        <f t="shared" si="301"/>
        <v>mailto:firstname232.lastname232@example.com?subject=Supply%20order%20ready%20for%20pickup&amp;body=Dear%20PSW%2C%0A%0AYour%20order%20is%20ready%20for%20pickup%20from%20Sample%20Branch%2C%20Wed-Fri%209am-4pm.</v>
      </c>
      <c r="AF1789" s="89" t="str">
        <f t="shared" si="310"/>
        <v>Draft email</v>
      </c>
      <c r="AG1789" s="64" t="str">
        <f>IF($C1789="","",IFERROR(INDEX('Staff Directory'!$K$595:$K$599,MATCH($C1789,'Staff Directory'!$B$5:$B$599,0)),$D1789))</f>
        <v>PSW</v>
      </c>
      <c r="AH1789" t="str">
        <f>IF($C1789="","",IFERROR(INDEX('Staff Directory'!$I$595:$I$599,MATCH($C1789,'Staff Directory'!$B$5:$B$599,0))&amp;" "&amp;INDEX('Staff Directory'!$J$595:$J$599,MATCH($C1789,'Staff Directory'!$B$5:$B$599,0)),$AG1789))</f>
        <v>PSW</v>
      </c>
      <c r="AI1789" s="102"/>
      <c r="AJ1789" s="101">
        <f>IF($F1789="","",SUMIFS($J$5:$J1789,$F$5:$F1789,$F1789))</f>
        <v>14650</v>
      </c>
      <c r="AK1789" s="101">
        <f t="shared" si="302"/>
        <v>14601</v>
      </c>
      <c r="AL1789" s="66" t="str" cm="1">
        <f t="array" ref="AL1789">IF($F1789="","",IFERROR(INDEX('Lot Balance'!$B$5:$B$500,MATCH(1,INDEX(('Lot Balance'!$A$5:$A$500=$F1789)*('Lot Balance'!$K$5:$K$500&lt;$AK1789)*('Lot Balance'!$K$5:$K$500+'Lot Balance'!$D$5:$D$500&gt;=$AK1789),0),0)),""))</f>
        <v>LV2-10040-2</v>
      </c>
      <c r="AM1789" s="66" t="str" cm="1">
        <f t="array" ref="AM1789">IF($F1789="","",IFERROR(INDEX('Lot Balance'!$B$5:$B$500,MATCH(1,INDEX(('Lot Balance'!$A$5:$A$500=$F1789)*('Lot Balance'!$K$5:$K$500&lt;$AJ1789)*('Lot Balance'!$K$5:$K$500+'Lot Balance'!$D$5:$D$500&gt;=$AJ1789),0),0)),""))</f>
        <v>LV2-10040-2</v>
      </c>
      <c r="AN1789" s="66" t="str">
        <f>IF($F1789="","",IF($AI1789&lt;&gt;"",IF(COUNTIFS('Lot Balance'!$A$5:$A$500,$F1789,'Lot Balance'!$B$5:$B$500,$AI1789)=0,"⚠ override is not a lot of this item",IF($AI1789=$AL1789,"Override = FEFO","Override - FEFO says "&amp;$AL1789)),IF($AL1789="","⚠ no receipt on file for this item",IF($AM1789&lt;&gt;$AL1789,"FEFO auto - split, also "&amp;$AM1789,"FEFO auto"))))</f>
        <v>FEFO auto</v>
      </c>
      <c r="AO1789" s="114"/>
    </row>
    <row r="1790" spans="1:41" x14ac:dyDescent="0.35">
      <c r="A1790" s="74">
        <v>46217</v>
      </c>
      <c r="B1790" s="18" t="str">
        <f>IF($C1790="","",IFERROR(INDEX('Staff Directory'!$A$5:$A$594,MATCH($C1790,'Staff Directory'!$B$5:$B$594,0)),"⚠ unknown staff"))</f>
        <v>RN-028-A1</v>
      </c>
      <c r="C1790" s="49" t="s">
        <v>948</v>
      </c>
      <c r="D1790" s="19" t="str">
        <f>IF($B1790="","",IFERROR(INDEX('Staff Directory'!$C$5:$C$594,MATCH($B1790,'Staff Directory'!$A$5:$A$594,0)),""))</f>
        <v>RN</v>
      </c>
      <c r="E1790" s="19" t="str">
        <f>IF($B1790="","",IFERROR(INDEX('Staff Directory'!$D$5:$D$594,MATCH($B1790,'Staff Directory'!$A$5:$A$594,0)),""))</f>
        <v>A1</v>
      </c>
      <c r="F1790" s="9" t="s">
        <v>124</v>
      </c>
      <c r="G1790" s="18" t="str">
        <f>IF($F1790="","",IFERROR(INDEX(Items!$B$5:$B$597,MATCH($F1790,Items!$A$5:$A$597,0)),"⚠ not in Items"))</f>
        <v>Gloves</v>
      </c>
      <c r="H1790" s="19" t="str">
        <f>IF($F1790="","",IFERROR(INDEX(Items!$C$5:$C$597,MATCH($F1790,Items!$A$5:$A$597,0)),""))</f>
        <v>Large</v>
      </c>
      <c r="I1790" s="23">
        <f>IF($F1790="","",IFERROR(INDEX(Items!$E$5:$E$597,MATCH($F1790,Items!$A$5:$A$597,0)),""))</f>
        <v>500</v>
      </c>
      <c r="J1790" s="115">
        <f>IF(tblIssues[[#This Row],[Qty Override]]&lt;&gt;"",tblIssues[[#This Row],[Qty Override]],IF(tblIssues[[#This Row],[Standard Issue]]="","",tblIssues[[#This Row],[Standard Issue]]))</f>
        <v>500</v>
      </c>
      <c r="K1790" s="20">
        <f>IF($F1790="","",IFERROR(INDEX(Items!$D$5:$D$597,MATCH($F1790,Items!$A$5:$A$597,0)),""))</f>
        <v>5.5E-2</v>
      </c>
      <c r="L1790" s="21">
        <f t="shared" si="305"/>
        <v>27.5</v>
      </c>
      <c r="M1790" s="9" t="str">
        <f t="shared" si="303"/>
        <v>ZIM511139904-3</v>
      </c>
      <c r="N1790" s="24">
        <f>IF($A1790="","",WORKDAY($A1790,Settings!$C$9,HolidayDates))</f>
        <v>46225</v>
      </c>
      <c r="O1790" s="24">
        <f>IF($N1790="","",WORKDAY($N1790,Settings!$C$10,HolidayDates))</f>
        <v>46265</v>
      </c>
      <c r="P1790" s="10" t="s">
        <v>502</v>
      </c>
      <c r="Q1790" s="52" t="str">
        <f t="shared" si="306"/>
        <v>Collected</v>
      </c>
      <c r="R1790" s="55" t="str">
        <f t="shared" si="307"/>
        <v>2026-07</v>
      </c>
      <c r="S1790" s="55">
        <f>IF(OR($B1790="",$F1790="",$R1790=""),"",SUMIFS(tblIssues[Qty Issued],tblIssues[Staff ID],$B1790,tblIssues[Item Name],$F1790,tblIssues[Month],$R1790))</f>
        <v>1000</v>
      </c>
      <c r="T1790" s="56">
        <f>IF($I1790="","",$I1790*Settings!$C$11)</f>
        <v>500</v>
      </c>
      <c r="U1790" s="57" t="str">
        <f t="shared" si="304"/>
        <v>⚠ OVER QUOTA</v>
      </c>
      <c r="V1790" s="55" t="str">
        <f t="shared" si="308"/>
        <v>RN-028-A1 | Gloves - Large | 2026-07</v>
      </c>
      <c r="W1790" s="55">
        <f>IF($V1790="","",IF(COUNTIF($V$5:$V1790,$V1790)=1,1,""))</f>
        <v>1</v>
      </c>
      <c r="X1790" s="58">
        <f>IF($W1790="","",MAX($X$4:X1789)+1)</f>
        <v>59</v>
      </c>
      <c r="Y1790" s="62"/>
      <c r="Z1790" s="62"/>
      <c r="AA1790" s="64" t="str">
        <f>IF($C1790="","",IFERROR(INDEX('Staff Directory'!$E$5:$E$594,MATCH($C1790,'Staff Directory'!$B$5:$B$594,0)),""))</f>
        <v>firstname032.lastname032@example.com</v>
      </c>
      <c r="AB1790" s="64" t="str">
        <f>IF($C1790="","",IF(ISNUMBER(SEARCH($D1790,Settings!$C$15)),"Pickup","Dispatch"))</f>
        <v>Dispatch</v>
      </c>
      <c r="AC1790" s="64" t="str">
        <f t="shared" si="309"/>
        <v>Supply order dispatched</v>
      </c>
      <c r="AD1790" s="64" t="str">
        <f t="shared" si="300"/>
        <v>Dear RN,
Your order has been dispatched and is in transit. Reply if undelivered.</v>
      </c>
      <c r="AE1790" s="64" t="str">
        <f t="shared" si="301"/>
        <v>mailto:firstname032.lastname032@example.com?subject=Supply%20order%20dispatched&amp;body=Dear%20RN%2C%0A%0AYour%20order%20has%20been%20dispatched%20and%20is%20in%20transit.%20Reply%20if%20undelivered.</v>
      </c>
      <c r="AF1790" s="89" t="str">
        <f t="shared" si="310"/>
        <v>Draft email</v>
      </c>
      <c r="AG1790" s="64" t="str">
        <f>IF($C1790="","",IFERROR(INDEX('Staff Directory'!$K$595:$K$599,MATCH($C1790,'Staff Directory'!$B$5:$B$599,0)),$D1790))</f>
        <v>RN</v>
      </c>
      <c r="AH1790" t="str">
        <f>IF($C1790="","",IFERROR(INDEX('Staff Directory'!$I$595:$I$599,MATCH($C1790,'Staff Directory'!$B$5:$B$599,0))&amp;" "&amp;INDEX('Staff Directory'!$J$595:$J$599,MATCH($C1790,'Staff Directory'!$B$5:$B$599,0)),$AG1790))</f>
        <v>RN</v>
      </c>
      <c r="AI1790" s="102"/>
      <c r="AJ1790" s="101">
        <f>IF($F1790="","",SUMIFS($J$5:$J1790,$F$5:$F1790,$F1790))</f>
        <v>47500</v>
      </c>
      <c r="AK1790" s="101">
        <f t="shared" si="302"/>
        <v>47001</v>
      </c>
      <c r="AL1790" s="66" t="str" cm="1">
        <f t="array" ref="AL1790">IF($F1790="","",IFERROR(INDEX('Lot Balance'!$B$5:$B$500,MATCH(1,INDEX(('Lot Balance'!$A$5:$A$500=$F1790)*('Lot Balance'!$K$5:$K$500&lt;$AK1790)*('Lot Balance'!$K$5:$K$500+'Lot Balance'!$D$5:$D$500&gt;=$AK1790),0),0)),""))</f>
        <v>ZIM511139904-3</v>
      </c>
      <c r="AM1790" s="66" t="str" cm="1">
        <f t="array" ref="AM1790">IF($F1790="","",IFERROR(INDEX('Lot Balance'!$B$5:$B$500,MATCH(1,INDEX(('Lot Balance'!$A$5:$A$500=$F1790)*('Lot Balance'!$K$5:$K$500&lt;$AJ1790)*('Lot Balance'!$K$5:$K$500+'Lot Balance'!$D$5:$D$500&gt;=$AJ1790),0),0)),""))</f>
        <v>O17103</v>
      </c>
      <c r="AN1790" s="66" t="str">
        <f>IF($F1790="","",IF($AI1790&lt;&gt;"",IF(COUNTIFS('Lot Balance'!$A$5:$A$500,$F1790,'Lot Balance'!$B$5:$B$500,$AI1790)=0,"⚠ override is not a lot of this item",IF($AI1790=$AL1790,"Override = FEFO","Override - FEFO says "&amp;$AL1790)),IF($AL1790="","⚠ no receipt on file for this item",IF($AM1790&lt;&gt;$AL1790,"FEFO auto - split, also "&amp;$AM1790,"FEFO auto"))))</f>
        <v>FEFO auto - split, also O17103</v>
      </c>
      <c r="AO1790" s="114"/>
    </row>
    <row r="1791" spans="1:41" x14ac:dyDescent="0.35">
      <c r="A1791" s="74">
        <v>46217</v>
      </c>
      <c r="B1791" s="18" t="str">
        <f>IF($C1791="","",IFERROR(INDEX('Staff Directory'!$A$5:$A$594,MATCH($C1791,'Staff Directory'!$B$5:$B$594,0)),"⚠ unknown staff"))</f>
        <v>RN-028-A1</v>
      </c>
      <c r="C1791" s="49" t="s">
        <v>948</v>
      </c>
      <c r="D1791" s="19" t="str">
        <f>IF($B1791="","",IFERROR(INDEX('Staff Directory'!$C$5:$C$594,MATCH($B1791,'Staff Directory'!$A$5:$A$594,0)),""))</f>
        <v>RN</v>
      </c>
      <c r="E1791" s="19" t="str">
        <f>IF($B1791="","",IFERROR(INDEX('Staff Directory'!$D$5:$D$594,MATCH($B1791,'Staff Directory'!$A$5:$A$594,0)),""))</f>
        <v>A1</v>
      </c>
      <c r="F1791" s="9" t="s">
        <v>124</v>
      </c>
      <c r="G1791" s="18" t="str">
        <f>IF($F1791="","",IFERROR(INDEX(Items!$B$5:$B$597,MATCH($F1791,Items!$A$5:$A$597,0)),"⚠ not in Items"))</f>
        <v>Gloves</v>
      </c>
      <c r="H1791" s="19" t="str">
        <f>IF($F1791="","",IFERROR(INDEX(Items!$C$5:$C$597,MATCH($F1791,Items!$A$5:$A$597,0)),""))</f>
        <v>Large</v>
      </c>
      <c r="I1791" s="23">
        <f>IF($F1791="","",IFERROR(INDEX(Items!$E$5:$E$597,MATCH($F1791,Items!$A$5:$A$597,0)),""))</f>
        <v>500</v>
      </c>
      <c r="J1791" s="115">
        <f>IF(tblIssues[[#This Row],[Qty Override]]&lt;&gt;"",tblIssues[[#This Row],[Qty Override]],IF(tblIssues[[#This Row],[Standard Issue]]="","",tblIssues[[#This Row],[Standard Issue]]))</f>
        <v>500</v>
      </c>
      <c r="K1791" s="20">
        <f>IF($F1791="","",IFERROR(INDEX(Items!$D$5:$D$597,MATCH($F1791,Items!$A$5:$A$597,0)),""))</f>
        <v>5.5E-2</v>
      </c>
      <c r="L1791" s="21">
        <f t="shared" si="305"/>
        <v>27.5</v>
      </c>
      <c r="M1791" s="9" t="str">
        <f t="shared" si="303"/>
        <v>O17103</v>
      </c>
      <c r="N1791" s="24">
        <f>IF($A1791="","",WORKDAY($A1791,Settings!$C$9,HolidayDates))</f>
        <v>46225</v>
      </c>
      <c r="O1791" s="24">
        <f>IF($N1791="","",WORKDAY($N1791,Settings!$C$10,HolidayDates))</f>
        <v>46265</v>
      </c>
      <c r="P1791" s="10" t="s">
        <v>502</v>
      </c>
      <c r="Q1791" s="52" t="str">
        <f t="shared" si="306"/>
        <v>Collected</v>
      </c>
      <c r="R1791" s="55" t="str">
        <f t="shared" si="307"/>
        <v>2026-07</v>
      </c>
      <c r="S1791" s="55">
        <f>IF(OR($B1791="",$F1791="",$R1791=""),"",SUMIFS(tblIssues[Qty Issued],tblIssues[Staff ID],$B1791,tblIssues[Item Name],$F1791,tblIssues[Month],$R1791))</f>
        <v>1000</v>
      </c>
      <c r="T1791" s="56">
        <f>IF($I1791="","",$I1791*Settings!$C$11)</f>
        <v>500</v>
      </c>
      <c r="U1791" s="57" t="str">
        <f t="shared" si="304"/>
        <v>⚠ OVER QUOTA</v>
      </c>
      <c r="V1791" s="55" t="str">
        <f t="shared" si="308"/>
        <v>RN-028-A1 | Gloves - Large | 2026-07</v>
      </c>
      <c r="W1791" s="55" t="str">
        <f>IF($V1791="","",IF(COUNTIF($V$5:$V1791,$V1791)=1,1,""))</f>
        <v/>
      </c>
      <c r="X1791" s="58" t="str">
        <f>IF($W1791="","",MAX($X$4:X1790)+1)</f>
        <v/>
      </c>
      <c r="Y1791" s="62"/>
      <c r="Z1791" s="62"/>
      <c r="AA1791" s="64" t="str">
        <f>IF($C1791="","",IFERROR(INDEX('Staff Directory'!$E$5:$E$594,MATCH($C1791,'Staff Directory'!$B$5:$B$594,0)),""))</f>
        <v>firstname032.lastname032@example.com</v>
      </c>
      <c r="AB1791" s="64" t="str">
        <f>IF($C1791="","",IF(ISNUMBER(SEARCH($D1791,Settings!$C$15)),"Pickup","Dispatch"))</f>
        <v>Dispatch</v>
      </c>
      <c r="AC1791" s="64" t="str">
        <f t="shared" si="309"/>
        <v>Supply order dispatched</v>
      </c>
      <c r="AD1791" s="64" t="str">
        <f t="shared" si="300"/>
        <v>Dear RN,
Your order has been dispatched and is in transit. Reply if undelivered.</v>
      </c>
      <c r="AE1791" s="64" t="str">
        <f t="shared" si="301"/>
        <v>mailto:firstname032.lastname032@example.com?subject=Supply%20order%20dispatched&amp;body=Dear%20RN%2C%0A%0AYour%20order%20has%20been%20dispatched%20and%20is%20in%20transit.%20Reply%20if%20undelivered.</v>
      </c>
      <c r="AF1791" s="89" t="str">
        <f t="shared" si="310"/>
        <v>Draft email</v>
      </c>
      <c r="AG1791" s="64" t="str">
        <f>IF($C1791="","",IFERROR(INDEX('Staff Directory'!$K$595:$K$599,MATCH($C1791,'Staff Directory'!$B$5:$B$599,0)),$D1791))</f>
        <v>RN</v>
      </c>
      <c r="AH1791" t="str">
        <f>IF($C1791="","",IFERROR(INDEX('Staff Directory'!$I$595:$I$599,MATCH($C1791,'Staff Directory'!$B$5:$B$599,0))&amp;" "&amp;INDEX('Staff Directory'!$J$595:$J$599,MATCH($C1791,'Staff Directory'!$B$5:$B$599,0)),$AG1791))</f>
        <v>RN</v>
      </c>
      <c r="AI1791" s="102"/>
      <c r="AJ1791" s="101">
        <f>IF($F1791="","",SUMIFS($J$5:$J1791,$F$5:$F1791,$F1791))</f>
        <v>48000</v>
      </c>
      <c r="AK1791" s="101">
        <f t="shared" si="302"/>
        <v>47501</v>
      </c>
      <c r="AL1791" s="66" t="str" cm="1">
        <f t="array" ref="AL1791">IF($F1791="","",IFERROR(INDEX('Lot Balance'!$B$5:$B$500,MATCH(1,INDEX(('Lot Balance'!$A$5:$A$500=$F1791)*('Lot Balance'!$K$5:$K$500&lt;$AK1791)*('Lot Balance'!$K$5:$K$500+'Lot Balance'!$D$5:$D$500&gt;=$AK1791),0),0)),""))</f>
        <v>O17103</v>
      </c>
      <c r="AM1791" s="66" t="str" cm="1">
        <f t="array" ref="AM1791">IF($F1791="","",IFERROR(INDEX('Lot Balance'!$B$5:$B$500,MATCH(1,INDEX(('Lot Balance'!$A$5:$A$500=$F1791)*('Lot Balance'!$K$5:$K$500&lt;$AJ1791)*('Lot Balance'!$K$5:$K$500+'Lot Balance'!$D$5:$D$500&gt;=$AJ1791),0),0)),""))</f>
        <v>O17103</v>
      </c>
      <c r="AN1791" s="66" t="str">
        <f>IF($F1791="","",IF($AI1791&lt;&gt;"",IF(COUNTIFS('Lot Balance'!$A$5:$A$500,$F1791,'Lot Balance'!$B$5:$B$500,$AI1791)=0,"⚠ override is not a lot of this item",IF($AI1791=$AL1791,"Override = FEFO","Override - FEFO says "&amp;$AL1791)),IF($AL1791="","⚠ no receipt on file for this item",IF($AM1791&lt;&gt;$AL1791,"FEFO auto - split, also "&amp;$AM1791,"FEFO auto"))))</f>
        <v>FEFO auto</v>
      </c>
      <c r="AO1791" s="114"/>
    </row>
    <row r="1792" spans="1:41" x14ac:dyDescent="0.35">
      <c r="A1792" s="74">
        <v>46217</v>
      </c>
      <c r="B1792" s="18" t="str">
        <f>IF($C1792="","",IFERROR(INDEX('Staff Directory'!$A$5:$A$594,MATCH($C1792,'Staff Directory'!$B$5:$B$594,0)),"⚠ unknown staff"))</f>
        <v>RN-028-A1</v>
      </c>
      <c r="C1792" s="49" t="s">
        <v>948</v>
      </c>
      <c r="D1792" s="19" t="str">
        <f>IF($B1792="","",IFERROR(INDEX('Staff Directory'!$C$5:$C$594,MATCH($B1792,'Staff Directory'!$A$5:$A$594,0)),""))</f>
        <v>RN</v>
      </c>
      <c r="E1792" s="19" t="str">
        <f>IF($B1792="","",IFERROR(INDEX('Staff Directory'!$D$5:$D$594,MATCH($B1792,'Staff Directory'!$A$5:$A$594,0)),""))</f>
        <v>A1</v>
      </c>
      <c r="F1792" s="9" t="s">
        <v>191</v>
      </c>
      <c r="G1792" s="18" t="str">
        <f>IF($F1792="","",IFERROR(INDEX(Items!$B$5:$B$597,MATCH($F1792,Items!$A$5:$A$597,0)),"⚠ not in Items"))</f>
        <v>Sanitizer</v>
      </c>
      <c r="H1792" s="19" t="str">
        <f>IF($F1792="","",IFERROR(INDEX(Items!$C$5:$C$597,MATCH($F1792,Items!$A$5:$A$597,0)),""))</f>
        <v>236 ML</v>
      </c>
      <c r="I1792" s="23">
        <f>IF($F1792="","",IFERROR(INDEX(Items!$E$5:$E$597,MATCH($F1792,Items!$A$5:$A$597,0)),""))</f>
        <v>1</v>
      </c>
      <c r="J1792" s="115">
        <f>IF(tblIssues[[#This Row],[Qty Override]]&lt;&gt;"",tblIssues[[#This Row],[Qty Override]],IF(tblIssues[[#This Row],[Standard Issue]]="","",tblIssues[[#This Row],[Standard Issue]]))</f>
        <v>1</v>
      </c>
      <c r="K1792" s="20">
        <f>IF($F1792="","",IFERROR(INDEX(Items!$D$5:$D$597,MATCH($F1792,Items!$A$5:$A$597,0)),""))</f>
        <v>1E-4</v>
      </c>
      <c r="L1792" s="21">
        <f t="shared" si="305"/>
        <v>1E-4</v>
      </c>
      <c r="M1792" s="9" t="str">
        <f t="shared" si="303"/>
        <v>20-21734-5</v>
      </c>
      <c r="N1792" s="24">
        <f>IF($A1792="","",WORKDAY($A1792,Settings!$C$9,HolidayDates))</f>
        <v>46225</v>
      </c>
      <c r="O1792" s="24">
        <f>IF($N1792="","",WORKDAY($N1792,Settings!$C$10,HolidayDates))</f>
        <v>46265</v>
      </c>
      <c r="P1792" s="10" t="s">
        <v>502</v>
      </c>
      <c r="Q1792" s="52" t="str">
        <f t="shared" si="306"/>
        <v>Collected</v>
      </c>
      <c r="R1792" s="55" t="str">
        <f t="shared" si="307"/>
        <v>2026-07</v>
      </c>
      <c r="S1792" s="55">
        <f>IF(OR($B1792="",$F1792="",$R1792=""),"",SUMIFS(tblIssues[Qty Issued],tblIssues[Staff ID],$B1792,tblIssues[Item Name],$F1792,tblIssues[Month],$R1792))</f>
        <v>2</v>
      </c>
      <c r="T1792" s="56">
        <f>IF($I1792="","",$I1792*Settings!$C$11)</f>
        <v>1</v>
      </c>
      <c r="U1792" s="57" t="str">
        <f t="shared" si="304"/>
        <v>⚠ OVER QUOTA</v>
      </c>
      <c r="V1792" s="55" t="str">
        <f t="shared" si="308"/>
        <v>RN-028-A1 | Hand Sanitizer OS | 2026-07</v>
      </c>
      <c r="W1792" s="55">
        <f>IF($V1792="","",IF(COUNTIF($V$5:$V1792,$V1792)=1,1,""))</f>
        <v>1</v>
      </c>
      <c r="X1792" s="58">
        <f>IF($W1792="","",MAX($X$4:X1791)+1)</f>
        <v>60</v>
      </c>
      <c r="Y1792" s="62"/>
      <c r="Z1792" s="62"/>
      <c r="AA1792" s="64" t="str">
        <f>IF($C1792="","",IFERROR(INDEX('Staff Directory'!$E$5:$E$594,MATCH($C1792,'Staff Directory'!$B$5:$B$594,0)),""))</f>
        <v>firstname032.lastname032@example.com</v>
      </c>
      <c r="AB1792" s="64" t="str">
        <f>IF($C1792="","",IF(ISNUMBER(SEARCH($D1792,Settings!$C$15)),"Pickup","Dispatch"))</f>
        <v>Dispatch</v>
      </c>
      <c r="AC1792" s="64" t="str">
        <f t="shared" si="309"/>
        <v>Supply order dispatched</v>
      </c>
      <c r="AD1792" s="64" t="str">
        <f t="shared" si="300"/>
        <v>Dear RN,
Your order has been dispatched and is in transit. Reply if undelivered.</v>
      </c>
      <c r="AE1792" s="64" t="str">
        <f t="shared" si="301"/>
        <v>mailto:firstname032.lastname032@example.com?subject=Supply%20order%20dispatched&amp;body=Dear%20RN%2C%0A%0AYour%20order%20has%20been%20dispatched%20and%20is%20in%20transit.%20Reply%20if%20undelivered.</v>
      </c>
      <c r="AF1792" s="89" t="str">
        <f t="shared" si="310"/>
        <v>Draft email</v>
      </c>
      <c r="AG1792" s="64" t="str">
        <f>IF($C1792="","",IFERROR(INDEX('Staff Directory'!$K$595:$K$599,MATCH($C1792,'Staff Directory'!$B$5:$B$599,0)),$D1792))</f>
        <v>RN</v>
      </c>
      <c r="AH1792" t="str">
        <f>IF($C1792="","",IFERROR(INDEX('Staff Directory'!$I$595:$I$599,MATCH($C1792,'Staff Directory'!$B$5:$B$599,0))&amp;" "&amp;INDEX('Staff Directory'!$J$595:$J$599,MATCH($C1792,'Staff Directory'!$B$5:$B$599,0)),$AG1792))</f>
        <v>RN</v>
      </c>
      <c r="AI1792" s="102"/>
      <c r="AJ1792" s="101">
        <f>IF($F1792="","",SUMIFS($J$5:$J1792,$F$5:$F1792,$F1792))</f>
        <v>236</v>
      </c>
      <c r="AK1792" s="101">
        <f t="shared" si="302"/>
        <v>236</v>
      </c>
      <c r="AL1792" s="66" t="str" cm="1">
        <f t="array" ref="AL1792">IF($F1792="","",IFERROR(INDEX('Lot Balance'!$B$5:$B$500,MATCH(1,INDEX(('Lot Balance'!$A$5:$A$500=$F1792)*('Lot Balance'!$K$5:$K$500&lt;$AK1792)*('Lot Balance'!$K$5:$K$500+'Lot Balance'!$D$5:$D$500&gt;=$AK1792),0),0)),""))</f>
        <v>20-21734-5</v>
      </c>
      <c r="AM1792" s="66" t="str" cm="1">
        <f t="array" ref="AM1792">IF($F1792="","",IFERROR(INDEX('Lot Balance'!$B$5:$B$500,MATCH(1,INDEX(('Lot Balance'!$A$5:$A$500=$F1792)*('Lot Balance'!$K$5:$K$500&lt;$AJ1792)*('Lot Balance'!$K$5:$K$500+'Lot Balance'!$D$5:$D$500&gt;=$AJ1792),0),0)),""))</f>
        <v>20-21734-5</v>
      </c>
      <c r="AN1792" s="66" t="str">
        <f>IF($F1792="","",IF($AI1792&lt;&gt;"",IF(COUNTIFS('Lot Balance'!$A$5:$A$500,$F1792,'Lot Balance'!$B$5:$B$500,$AI1792)=0,"⚠ override is not a lot of this item",IF($AI1792=$AL1792,"Override = FEFO","Override - FEFO says "&amp;$AL1792)),IF($AL1792="","⚠ no receipt on file for this item",IF($AM1792&lt;&gt;$AL1792,"FEFO auto - split, also "&amp;$AM1792,"FEFO auto"))))</f>
        <v>FEFO auto</v>
      </c>
      <c r="AO1792" s="114"/>
    </row>
    <row r="1793" spans="1:41" x14ac:dyDescent="0.35">
      <c r="A1793" s="74">
        <v>46217</v>
      </c>
      <c r="B1793" s="18" t="str">
        <f>IF($C1793="","",IFERROR(INDEX('Staff Directory'!$A$5:$A$594,MATCH($C1793,'Staff Directory'!$B$5:$B$594,0)),"⚠ unknown staff"))</f>
        <v>RN-028-A1</v>
      </c>
      <c r="C1793" s="49" t="s">
        <v>948</v>
      </c>
      <c r="D1793" s="19" t="str">
        <f>IF($B1793="","",IFERROR(INDEX('Staff Directory'!$C$5:$C$594,MATCH($B1793,'Staff Directory'!$A$5:$A$594,0)),""))</f>
        <v>RN</v>
      </c>
      <c r="E1793" s="19" t="str">
        <f>IF($B1793="","",IFERROR(INDEX('Staff Directory'!$D$5:$D$594,MATCH($B1793,'Staff Directory'!$A$5:$A$594,0)),""))</f>
        <v>A1</v>
      </c>
      <c r="F1793" s="9" t="s">
        <v>191</v>
      </c>
      <c r="G1793" s="18" t="str">
        <f>IF($F1793="","",IFERROR(INDEX(Items!$B$5:$B$597,MATCH($F1793,Items!$A$5:$A$597,0)),"⚠ not in Items"))</f>
        <v>Sanitizer</v>
      </c>
      <c r="H1793" s="19" t="str">
        <f>IF($F1793="","",IFERROR(INDEX(Items!$C$5:$C$597,MATCH($F1793,Items!$A$5:$A$597,0)),""))</f>
        <v>236 ML</v>
      </c>
      <c r="I1793" s="23">
        <f>IF($F1793="","",IFERROR(INDEX(Items!$E$5:$E$597,MATCH($F1793,Items!$A$5:$A$597,0)),""))</f>
        <v>1</v>
      </c>
      <c r="J1793" s="115">
        <f>IF(tblIssues[[#This Row],[Qty Override]]&lt;&gt;"",tblIssues[[#This Row],[Qty Override]],IF(tblIssues[[#This Row],[Standard Issue]]="","",tblIssues[[#This Row],[Standard Issue]]))</f>
        <v>1</v>
      </c>
      <c r="K1793" s="20">
        <f>IF($F1793="","",IFERROR(INDEX(Items!$D$5:$D$597,MATCH($F1793,Items!$A$5:$A$597,0)),""))</f>
        <v>1E-4</v>
      </c>
      <c r="L1793" s="21">
        <f t="shared" si="305"/>
        <v>1E-4</v>
      </c>
      <c r="M1793" s="9" t="str">
        <f t="shared" si="303"/>
        <v>20-21734-5</v>
      </c>
      <c r="N1793" s="24">
        <f>IF($A1793="","",WORKDAY($A1793,Settings!$C$9,HolidayDates))</f>
        <v>46225</v>
      </c>
      <c r="O1793" s="24">
        <f>IF($N1793="","",WORKDAY($N1793,Settings!$C$10,HolidayDates))</f>
        <v>46265</v>
      </c>
      <c r="P1793" s="10" t="s">
        <v>502</v>
      </c>
      <c r="Q1793" s="52" t="str">
        <f t="shared" si="306"/>
        <v>Collected</v>
      </c>
      <c r="R1793" s="55" t="str">
        <f t="shared" si="307"/>
        <v>2026-07</v>
      </c>
      <c r="S1793" s="55">
        <f>IF(OR($B1793="",$F1793="",$R1793=""),"",SUMIFS(tblIssues[Qty Issued],tblIssues[Staff ID],$B1793,tblIssues[Item Name],$F1793,tblIssues[Month],$R1793))</f>
        <v>2</v>
      </c>
      <c r="T1793" s="56">
        <f>IF($I1793="","",$I1793*Settings!$C$11)</f>
        <v>1</v>
      </c>
      <c r="U1793" s="57" t="str">
        <f t="shared" si="304"/>
        <v>⚠ OVER QUOTA</v>
      </c>
      <c r="V1793" s="55" t="str">
        <f t="shared" si="308"/>
        <v>RN-028-A1 | Hand Sanitizer OS | 2026-07</v>
      </c>
      <c r="W1793" s="55" t="str">
        <f>IF($V1793="","",IF(COUNTIF($V$5:$V1793,$V1793)=1,1,""))</f>
        <v/>
      </c>
      <c r="X1793" s="58" t="str">
        <f>IF($W1793="","",MAX($X$4:X1792)+1)</f>
        <v/>
      </c>
      <c r="Y1793" s="62"/>
      <c r="Z1793" s="62"/>
      <c r="AA1793" s="64" t="str">
        <f>IF($C1793="","",IFERROR(INDEX('Staff Directory'!$E$5:$E$594,MATCH($C1793,'Staff Directory'!$B$5:$B$594,0)),""))</f>
        <v>firstname032.lastname032@example.com</v>
      </c>
      <c r="AB1793" s="64" t="str">
        <f>IF($C1793="","",IF(ISNUMBER(SEARCH($D1793,Settings!$C$15)),"Pickup","Dispatch"))</f>
        <v>Dispatch</v>
      </c>
      <c r="AC1793" s="64" t="str">
        <f t="shared" si="309"/>
        <v>Supply order dispatched</v>
      </c>
      <c r="AD1793" s="64" t="str">
        <f t="shared" si="300"/>
        <v>Dear RN,
Your order has been dispatched and is in transit. Reply if undelivered.</v>
      </c>
      <c r="AE1793" s="64" t="str">
        <f t="shared" si="301"/>
        <v>mailto:firstname032.lastname032@example.com?subject=Supply%20order%20dispatched&amp;body=Dear%20RN%2C%0A%0AYour%20order%20has%20been%20dispatched%20and%20is%20in%20transit.%20Reply%20if%20undelivered.</v>
      </c>
      <c r="AF1793" s="89" t="str">
        <f t="shared" si="310"/>
        <v>Draft email</v>
      </c>
      <c r="AG1793" s="64" t="str">
        <f>IF($C1793="","",IFERROR(INDEX('Staff Directory'!$K$595:$K$599,MATCH($C1793,'Staff Directory'!$B$5:$B$599,0)),$D1793))</f>
        <v>RN</v>
      </c>
      <c r="AH1793" t="str">
        <f>IF($C1793="","",IFERROR(INDEX('Staff Directory'!$I$595:$I$599,MATCH($C1793,'Staff Directory'!$B$5:$B$599,0))&amp;" "&amp;INDEX('Staff Directory'!$J$595:$J$599,MATCH($C1793,'Staff Directory'!$B$5:$B$599,0)),$AG1793))</f>
        <v>RN</v>
      </c>
      <c r="AI1793" s="102"/>
      <c r="AJ1793" s="101">
        <f>IF($F1793="","",SUMIFS($J$5:$J1793,$F$5:$F1793,$F1793))</f>
        <v>237</v>
      </c>
      <c r="AK1793" s="101">
        <f t="shared" si="302"/>
        <v>237</v>
      </c>
      <c r="AL1793" s="66" t="str" cm="1">
        <f t="array" ref="AL1793">IF($F1793="","",IFERROR(INDEX('Lot Balance'!$B$5:$B$500,MATCH(1,INDEX(('Lot Balance'!$A$5:$A$500=$F1793)*('Lot Balance'!$K$5:$K$500&lt;$AK1793)*('Lot Balance'!$K$5:$K$500+'Lot Balance'!$D$5:$D$500&gt;=$AK1793),0),0)),""))</f>
        <v>20-21734-5</v>
      </c>
      <c r="AM1793" s="66" t="str" cm="1">
        <f t="array" ref="AM1793">IF($F1793="","",IFERROR(INDEX('Lot Balance'!$B$5:$B$500,MATCH(1,INDEX(('Lot Balance'!$A$5:$A$500=$F1793)*('Lot Balance'!$K$5:$K$500&lt;$AJ1793)*('Lot Balance'!$K$5:$K$500+'Lot Balance'!$D$5:$D$500&gt;=$AJ1793),0),0)),""))</f>
        <v>20-21734-5</v>
      </c>
      <c r="AN1793" s="66" t="str">
        <f>IF($F1793="","",IF($AI1793&lt;&gt;"",IF(COUNTIFS('Lot Balance'!$A$5:$A$500,$F1793,'Lot Balance'!$B$5:$B$500,$AI1793)=0,"⚠ override is not a lot of this item",IF($AI1793=$AL1793,"Override = FEFO","Override - FEFO says "&amp;$AL1793)),IF($AL1793="","⚠ no receipt on file for this item",IF($AM1793&lt;&gt;$AL1793,"FEFO auto - split, also "&amp;$AM1793,"FEFO auto"))))</f>
        <v>FEFO auto</v>
      </c>
      <c r="AO1793" s="114"/>
    </row>
    <row r="1794" spans="1:41" x14ac:dyDescent="0.35">
      <c r="A1794" s="74">
        <v>46217</v>
      </c>
      <c r="B1794" s="18" t="str">
        <f>IF($C1794="","",IFERROR(INDEX('Staff Directory'!$A$5:$A$594,MATCH($C1794,'Staff Directory'!$B$5:$B$594,0)),"⚠ unknown staff"))</f>
        <v>RN-028-A1</v>
      </c>
      <c r="C1794" s="49" t="s">
        <v>948</v>
      </c>
      <c r="D1794" s="19" t="str">
        <f>IF($B1794="","",IFERROR(INDEX('Staff Directory'!$C$5:$C$594,MATCH($B1794,'Staff Directory'!$A$5:$A$594,0)),""))</f>
        <v>RN</v>
      </c>
      <c r="E1794" s="19" t="str">
        <f>IF($B1794="","",IFERROR(INDEX('Staff Directory'!$D$5:$D$594,MATCH($B1794,'Staff Directory'!$A$5:$A$594,0)),""))</f>
        <v>A1</v>
      </c>
      <c r="F1794" s="9" t="s">
        <v>193</v>
      </c>
      <c r="G1794" s="18" t="str">
        <f>IF($F1794="","",IFERROR(INDEX(Items!$B$5:$B$597,MATCH($F1794,Items!$A$5:$A$597,0)),"⚠ not in Items"))</f>
        <v>Wipes</v>
      </c>
      <c r="H1794" s="19">
        <f>IF($F1794="","",IFERROR(INDEX(Items!$C$5:$C$597,MATCH($F1794,Items!$A$5:$A$597,0)),""))</f>
        <v>160</v>
      </c>
      <c r="I1794" s="23">
        <f>IF($F1794="","",IFERROR(INDEX(Items!$E$5:$E$597,MATCH($F1794,Items!$A$5:$A$597,0)),""))</f>
        <v>160</v>
      </c>
      <c r="J1794" s="115">
        <f>IF(tblIssues[[#This Row],[Qty Override]]&lt;&gt;"",tblIssues[[#This Row],[Qty Override]],IF(tblIssues[[#This Row],[Standard Issue]]="","",tblIssues[[#This Row],[Standard Issue]]))</f>
        <v>160</v>
      </c>
      <c r="K1794" s="20">
        <f>IF($F1794="","",IFERROR(INDEX(Items!$D$5:$D$597,MATCH($F1794,Items!$A$5:$A$597,0)),""))</f>
        <v>0</v>
      </c>
      <c r="L1794" s="21">
        <f t="shared" si="305"/>
        <v>0</v>
      </c>
      <c r="M1794" s="9" t="str">
        <f t="shared" si="303"/>
        <v>22625VXO7</v>
      </c>
      <c r="N1794" s="24">
        <f>IF($A1794="","",WORKDAY($A1794,Settings!$C$9,HolidayDates))</f>
        <v>46225</v>
      </c>
      <c r="O1794" s="24">
        <f>IF($N1794="","",WORKDAY($N1794,Settings!$C$10,HolidayDates))</f>
        <v>46265</v>
      </c>
      <c r="P1794" s="10" t="s">
        <v>502</v>
      </c>
      <c r="Q1794" s="52" t="str">
        <f t="shared" si="306"/>
        <v>Collected</v>
      </c>
      <c r="R1794" s="55" t="str">
        <f t="shared" si="307"/>
        <v>2026-07</v>
      </c>
      <c r="S1794" s="55">
        <f>IF(OR($B1794="",$F1794="",$R1794=""),"",SUMIFS(tblIssues[Qty Issued],tblIssues[Staff ID],$B1794,tblIssues[Item Name],$F1794,tblIssues[Month],$R1794))</f>
        <v>160</v>
      </c>
      <c r="T1794" s="56">
        <f>IF($I1794="","",$I1794*Settings!$C$11)</f>
        <v>160</v>
      </c>
      <c r="U1794" s="57" t="str">
        <f t="shared" si="304"/>
        <v>OK</v>
      </c>
      <c r="V1794" s="55" t="str">
        <f t="shared" si="308"/>
        <v/>
      </c>
      <c r="W1794" s="55" t="str">
        <f>IF($V1794="","",IF(COUNTIF($V$5:$V1794,$V1794)=1,1,""))</f>
        <v/>
      </c>
      <c r="X1794" s="58" t="str">
        <f>IF($W1794="","",MAX($X$4:X1793)+1)</f>
        <v/>
      </c>
      <c r="Y1794" s="62"/>
      <c r="Z1794" s="62"/>
      <c r="AA1794" s="64" t="str">
        <f>IF($C1794="","",IFERROR(INDEX('Staff Directory'!$E$5:$E$594,MATCH($C1794,'Staff Directory'!$B$5:$B$594,0)),""))</f>
        <v>firstname032.lastname032@example.com</v>
      </c>
      <c r="AB1794" s="64" t="str">
        <f>IF($C1794="","",IF(ISNUMBER(SEARCH($D1794,Settings!$C$15)),"Pickup","Dispatch"))</f>
        <v>Dispatch</v>
      </c>
      <c r="AC1794" s="64" t="str">
        <f t="shared" si="309"/>
        <v>Supply order dispatched</v>
      </c>
      <c r="AD1794" s="64" t="str">
        <f t="shared" si="300"/>
        <v>Dear RN,
Your order has been dispatched and is in transit. Reply if undelivered.</v>
      </c>
      <c r="AE1794" s="64" t="str">
        <f t="shared" si="301"/>
        <v>mailto:firstname032.lastname032@example.com?subject=Supply%20order%20dispatched&amp;body=Dear%20RN%2C%0A%0AYour%20order%20has%20been%20dispatched%20and%20is%20in%20transit.%20Reply%20if%20undelivered.</v>
      </c>
      <c r="AF1794" s="89" t="str">
        <f t="shared" si="310"/>
        <v>Draft email</v>
      </c>
      <c r="AG1794" s="64" t="str">
        <f>IF($C1794="","",IFERROR(INDEX('Staff Directory'!$K$595:$K$599,MATCH($C1794,'Staff Directory'!$B$5:$B$599,0)),$D1794))</f>
        <v>RN</v>
      </c>
      <c r="AH1794" t="str">
        <f>IF($C1794="","",IFERROR(INDEX('Staff Directory'!$I$595:$I$599,MATCH($C1794,'Staff Directory'!$B$5:$B$599,0))&amp;" "&amp;INDEX('Staff Directory'!$J$595:$J$599,MATCH($C1794,'Staff Directory'!$B$5:$B$599,0)),$AG1794))</f>
        <v>RN</v>
      </c>
      <c r="AI1794" s="102"/>
      <c r="AJ1794" s="101">
        <f>IF($F1794="","",SUMIFS($J$5:$J1794,$F$5:$F1794,$F1794))</f>
        <v>1121</v>
      </c>
      <c r="AK1794" s="101">
        <f t="shared" si="302"/>
        <v>962</v>
      </c>
      <c r="AL1794" s="66" t="str" cm="1">
        <f t="array" ref="AL1794">IF($F1794="","",IFERROR(INDEX('Lot Balance'!$B$5:$B$500,MATCH(1,INDEX(('Lot Balance'!$A$5:$A$500=$F1794)*('Lot Balance'!$K$5:$K$500&lt;$AK1794)*('Lot Balance'!$K$5:$K$500+'Lot Balance'!$D$5:$D$500&gt;=$AK1794),0),0)),""))</f>
        <v>22625VXO7</v>
      </c>
      <c r="AM1794" s="66" t="str" cm="1">
        <f t="array" ref="AM1794">IF($F1794="","",IFERROR(INDEX('Lot Balance'!$B$5:$B$500,MATCH(1,INDEX(('Lot Balance'!$A$5:$A$500=$F1794)*('Lot Balance'!$K$5:$K$500&lt;$AJ1794)*('Lot Balance'!$K$5:$K$500+'Lot Balance'!$D$5:$D$500&gt;=$AJ1794),0),0)),""))</f>
        <v>22625VXO7</v>
      </c>
      <c r="AN1794" s="66" t="str">
        <f>IF($F1794="","",IF($AI1794&lt;&gt;"",IF(COUNTIFS('Lot Balance'!$A$5:$A$500,$F1794,'Lot Balance'!$B$5:$B$500,$AI1794)=0,"⚠ override is not a lot of this item",IF($AI1794=$AL1794,"Override = FEFO","Override - FEFO says "&amp;$AL1794)),IF($AL1794="","⚠ no receipt on file for this item",IF($AM1794&lt;&gt;$AL1794,"FEFO auto - split, also "&amp;$AM1794,"FEFO auto"))))</f>
        <v>FEFO auto</v>
      </c>
      <c r="AO1794" s="114"/>
    </row>
    <row r="1795" spans="1:41" x14ac:dyDescent="0.35">
      <c r="A1795" s="74">
        <v>46218</v>
      </c>
      <c r="B1795" s="18" t="str">
        <f>IF($C1795="","",IFERROR(INDEX('Staff Directory'!$A$5:$A$594,MATCH($C1795,'Staff Directory'!$B$5:$B$594,0)),"⚠ unknown staff"))</f>
        <v>PSW-042-A4</v>
      </c>
      <c r="C1795" s="49" t="s">
        <v>1017</v>
      </c>
      <c r="D1795" s="19" t="str">
        <f>IF($B1795="","",IFERROR(INDEX('Staff Directory'!$C$5:$C$594,MATCH($B1795,'Staff Directory'!$A$5:$A$594,0)),""))</f>
        <v>PSW</v>
      </c>
      <c r="E1795" s="19" t="str">
        <f>IF($B1795="","",IFERROR(INDEX('Staff Directory'!$D$5:$D$594,MATCH($B1795,'Staff Directory'!$A$5:$A$594,0)),""))</f>
        <v>A4</v>
      </c>
      <c r="F1795" s="9" t="s">
        <v>127</v>
      </c>
      <c r="G1795" s="18" t="str">
        <f>IF($F1795="","",IFERROR(INDEX(Items!$B$5:$B$597,MATCH($F1795,Items!$A$5:$A$597,0)),"⚠ not in Items"))</f>
        <v>Gloves</v>
      </c>
      <c r="H1795" s="19" t="str">
        <f>IF($F1795="","",IFERROR(INDEX(Items!$C$5:$C$597,MATCH($F1795,Items!$A$5:$A$597,0)),""))</f>
        <v>Medium</v>
      </c>
      <c r="I1795" s="23">
        <f>IF($F1795="","",IFERROR(INDEX(Items!$E$5:$E$597,MATCH($F1795,Items!$A$5:$A$597,0)),""))</f>
        <v>500</v>
      </c>
      <c r="J1795" s="115">
        <f>IF(tblIssues[[#This Row],[Qty Override]]&lt;&gt;"",tblIssues[[#This Row],[Qty Override]],IF(tblIssues[[#This Row],[Standard Issue]]="","",tblIssues[[#This Row],[Standard Issue]]))</f>
        <v>500</v>
      </c>
      <c r="K1795" s="20">
        <f>IF($F1795="","",IFERROR(INDEX(Items!$D$5:$D$597,MATCH($F1795,Items!$A$5:$A$597,0)),""))</f>
        <v>5.5E-2</v>
      </c>
      <c r="L1795" s="21">
        <f t="shared" si="305"/>
        <v>27.5</v>
      </c>
      <c r="M1795" s="9" t="str">
        <f t="shared" si="303"/>
        <v>ZIM604151579</v>
      </c>
      <c r="N1795" s="24">
        <f>IF($A1795="","",WORKDAY($A1795,Settings!$C$9,HolidayDates))</f>
        <v>46226</v>
      </c>
      <c r="O1795" s="24">
        <f>IF($N1795="","",WORKDAY($N1795,Settings!$C$10,HolidayDates))</f>
        <v>46266</v>
      </c>
      <c r="P1795" s="10" t="s">
        <v>501</v>
      </c>
      <c r="Q1795" s="52" t="str">
        <f t="shared" si="306"/>
        <v>Collected</v>
      </c>
      <c r="R1795" s="55" t="str">
        <f t="shared" si="307"/>
        <v>2026-07</v>
      </c>
      <c r="S1795" s="55">
        <f>IF(OR($B1795="",$F1795="",$R1795=""),"",SUMIFS(tblIssues[Qty Issued],tblIssues[Staff ID],$B1795,tblIssues[Item Name],$F1795,tblIssues[Month],$R1795))</f>
        <v>500</v>
      </c>
      <c r="T1795" s="56">
        <f>IF($I1795="","",$I1795*Settings!$C$11)</f>
        <v>500</v>
      </c>
      <c r="U1795" s="57" t="str">
        <f t="shared" si="304"/>
        <v>OK</v>
      </c>
      <c r="V1795" s="55" t="str">
        <f t="shared" si="308"/>
        <v/>
      </c>
      <c r="W1795" s="55" t="str">
        <f>IF($V1795="","",IF(COUNTIF($V$5:$V1795,$V1795)=1,1,""))</f>
        <v/>
      </c>
      <c r="X1795" s="58" t="str">
        <f>IF($W1795="","",MAX($X$4:X1794)+1)</f>
        <v/>
      </c>
      <c r="Y1795" s="62"/>
      <c r="Z1795" s="62"/>
      <c r="AA1795" s="64" t="str">
        <f>IF($C1795="","",IFERROR(INDEX('Staff Directory'!$E$5:$E$594,MATCH($C1795,'Staff Directory'!$B$5:$B$594,0)),""))</f>
        <v>firstname101.lastname101@example.com</v>
      </c>
      <c r="AB1795" s="64" t="str">
        <f>IF($C1795="","",IF(ISNUMBER(SEARCH($D1795,Settings!$C$15)),"Pickup","Dispatch"))</f>
        <v>Pickup</v>
      </c>
      <c r="AC1795" s="64" t="str">
        <f t="shared" si="309"/>
        <v>Supply order ready for pickup</v>
      </c>
      <c r="AD1795" s="64" t="str">
        <f t="shared" si="300"/>
        <v>Dear PSW,
Your order is ready for pickup from Sample Branch, Wed-Fri 9am-4pm.</v>
      </c>
      <c r="AE1795" s="64" t="str">
        <f t="shared" si="301"/>
        <v>mailto:firstname101.lastname101@example.com?subject=Supply%20order%20ready%20for%20pickup&amp;body=Dear%20PSW%2C%0A%0AYour%20order%20is%20ready%20for%20pickup%20from%20Sample%20Branch%2C%20Wed-Fri%209am-4pm.</v>
      </c>
      <c r="AF1795" s="89" t="str">
        <f t="shared" si="310"/>
        <v>Draft email</v>
      </c>
      <c r="AG1795" s="64" t="str">
        <f>IF($C1795="","",IFERROR(INDEX('Staff Directory'!$K$595:$K$599,MATCH($C1795,'Staff Directory'!$B$5:$B$599,0)),$D1795))</f>
        <v>PSW</v>
      </c>
      <c r="AH1795" t="str">
        <f>IF($C1795="","",IFERROR(INDEX('Staff Directory'!$I$595:$I$599,MATCH($C1795,'Staff Directory'!$B$5:$B$599,0))&amp;" "&amp;INDEX('Staff Directory'!$J$595:$J$599,MATCH($C1795,'Staff Directory'!$B$5:$B$599,0)),$AG1795))</f>
        <v>PSW</v>
      </c>
      <c r="AI1795" s="102"/>
      <c r="AJ1795" s="101">
        <f>IF($F1795="","",SUMIFS($J$5:$J1795,$F$5:$F1795,$F1795))</f>
        <v>107500</v>
      </c>
      <c r="AK1795" s="101">
        <f t="shared" si="302"/>
        <v>107001</v>
      </c>
      <c r="AL1795" s="66" t="str" cm="1">
        <f t="array" ref="AL1795">IF($F1795="","",IFERROR(INDEX('Lot Balance'!$B$5:$B$500,MATCH(1,INDEX(('Lot Balance'!$A$5:$A$500=$F1795)*('Lot Balance'!$K$5:$K$500&lt;$AK1795)*('Lot Balance'!$K$5:$K$500+'Lot Balance'!$D$5:$D$500&gt;=$AK1795),0),0)),""))</f>
        <v>ZIM604151579</v>
      </c>
      <c r="AM1795" s="66" t="str" cm="1">
        <f t="array" ref="AM1795">IF($F1795="","",IFERROR(INDEX('Lot Balance'!$B$5:$B$500,MATCH(1,INDEX(('Lot Balance'!$A$5:$A$500=$F1795)*('Lot Balance'!$K$5:$K$500&lt;$AJ1795)*('Lot Balance'!$K$5:$K$500+'Lot Balance'!$D$5:$D$500&gt;=$AJ1795),0),0)),""))</f>
        <v>ZIM604151579</v>
      </c>
      <c r="AN1795" s="66" t="str">
        <f>IF($F1795="","",IF($AI1795&lt;&gt;"",IF(COUNTIFS('Lot Balance'!$A$5:$A$500,$F1795,'Lot Balance'!$B$5:$B$500,$AI1795)=0,"⚠ override is not a lot of this item",IF($AI1795=$AL1795,"Override = FEFO","Override - FEFO says "&amp;$AL1795)),IF($AL1795="","⚠ no receipt on file for this item",IF($AM1795&lt;&gt;$AL1795,"FEFO auto - split, also "&amp;$AM1795,"FEFO auto"))))</f>
        <v>FEFO auto</v>
      </c>
      <c r="AO1795" s="114"/>
    </row>
    <row r="1796" spans="1:41" x14ac:dyDescent="0.35">
      <c r="A1796" s="74">
        <v>46218</v>
      </c>
      <c r="B1796" s="18" t="str">
        <f>IF($C1796="","",IFERROR(INDEX('Staff Directory'!$A$5:$A$594,MATCH($C1796,'Staff Directory'!$B$5:$B$594,0)),"⚠ unknown staff"))</f>
        <v>PSW-042-A4</v>
      </c>
      <c r="C1796" s="49" t="s">
        <v>1017</v>
      </c>
      <c r="D1796" s="19" t="str">
        <f>IF($B1796="","",IFERROR(INDEX('Staff Directory'!$C$5:$C$594,MATCH($B1796,'Staff Directory'!$A$5:$A$594,0)),""))</f>
        <v>PSW</v>
      </c>
      <c r="E1796" s="19" t="str">
        <f>IF($B1796="","",IFERROR(INDEX('Staff Directory'!$D$5:$D$594,MATCH($B1796,'Staff Directory'!$A$5:$A$594,0)),""))</f>
        <v>A4</v>
      </c>
      <c r="F1796" s="9" t="s">
        <v>191</v>
      </c>
      <c r="G1796" s="18" t="str">
        <f>IF($F1796="","",IFERROR(INDEX(Items!$B$5:$B$597,MATCH($F1796,Items!$A$5:$A$597,0)),"⚠ not in Items"))</f>
        <v>Sanitizer</v>
      </c>
      <c r="H1796" s="19" t="str">
        <f>IF($F1796="","",IFERROR(INDEX(Items!$C$5:$C$597,MATCH($F1796,Items!$A$5:$A$597,0)),""))</f>
        <v>236 ML</v>
      </c>
      <c r="I1796" s="23">
        <f>IF($F1796="","",IFERROR(INDEX(Items!$E$5:$E$597,MATCH($F1796,Items!$A$5:$A$597,0)),""))</f>
        <v>1</v>
      </c>
      <c r="J1796" s="115">
        <f>IF(tblIssues[[#This Row],[Qty Override]]&lt;&gt;"",tblIssues[[#This Row],[Qty Override]],IF(tblIssues[[#This Row],[Standard Issue]]="","",tblIssues[[#This Row],[Standard Issue]]))</f>
        <v>1</v>
      </c>
      <c r="K1796" s="20">
        <f>IF($F1796="","",IFERROR(INDEX(Items!$D$5:$D$597,MATCH($F1796,Items!$A$5:$A$597,0)),""))</f>
        <v>1E-4</v>
      </c>
      <c r="L1796" s="21">
        <f t="shared" si="305"/>
        <v>1E-4</v>
      </c>
      <c r="M1796" s="9" t="str">
        <f t="shared" si="303"/>
        <v>20-21734-5</v>
      </c>
      <c r="N1796" s="24">
        <f>IF($A1796="","",WORKDAY($A1796,Settings!$C$9,HolidayDates))</f>
        <v>46226</v>
      </c>
      <c r="O1796" s="24">
        <f>IF($N1796="","",WORKDAY($N1796,Settings!$C$10,HolidayDates))</f>
        <v>46266</v>
      </c>
      <c r="P1796" s="10" t="s">
        <v>501</v>
      </c>
      <c r="Q1796" s="52" t="str">
        <f t="shared" si="306"/>
        <v>Collected</v>
      </c>
      <c r="R1796" s="55" t="str">
        <f t="shared" si="307"/>
        <v>2026-07</v>
      </c>
      <c r="S1796" s="55">
        <f>IF(OR($B1796="",$F1796="",$R1796=""),"",SUMIFS(tblIssues[Qty Issued],tblIssues[Staff ID],$B1796,tblIssues[Item Name],$F1796,tblIssues[Month],$R1796))</f>
        <v>1</v>
      </c>
      <c r="T1796" s="56">
        <f>IF($I1796="","",$I1796*Settings!$C$11)</f>
        <v>1</v>
      </c>
      <c r="U1796" s="57" t="str">
        <f t="shared" si="304"/>
        <v>OK</v>
      </c>
      <c r="V1796" s="55" t="str">
        <f t="shared" si="308"/>
        <v/>
      </c>
      <c r="W1796" s="55" t="str">
        <f>IF($V1796="","",IF(COUNTIF($V$5:$V1796,$V1796)=1,1,""))</f>
        <v/>
      </c>
      <c r="X1796" s="58" t="str">
        <f>IF($W1796="","",MAX($X$4:X1795)+1)</f>
        <v/>
      </c>
      <c r="Y1796" s="62"/>
      <c r="Z1796" s="62"/>
      <c r="AA1796" s="64" t="str">
        <f>IF($C1796="","",IFERROR(INDEX('Staff Directory'!$E$5:$E$594,MATCH($C1796,'Staff Directory'!$B$5:$B$594,0)),""))</f>
        <v>firstname101.lastname101@example.com</v>
      </c>
      <c r="AB1796" s="64" t="str">
        <f>IF($C1796="","",IF(ISNUMBER(SEARCH($D1796,Settings!$C$15)),"Pickup","Dispatch"))</f>
        <v>Pickup</v>
      </c>
      <c r="AC1796" s="64" t="str">
        <f t="shared" si="309"/>
        <v>Supply order ready for pickup</v>
      </c>
      <c r="AD1796" s="64" t="str">
        <f t="shared" si="300"/>
        <v>Dear PSW,
Your order is ready for pickup from Sample Branch, Wed-Fri 9am-4pm.</v>
      </c>
      <c r="AE1796" s="64" t="str">
        <f t="shared" si="301"/>
        <v>mailto:firstname101.lastname101@example.com?subject=Supply%20order%20ready%20for%20pickup&amp;body=Dear%20PSW%2C%0A%0AYour%20order%20is%20ready%20for%20pickup%20from%20Sample%20Branch%2C%20Wed-Fri%209am-4pm.</v>
      </c>
      <c r="AF1796" s="89" t="str">
        <f t="shared" si="310"/>
        <v>Draft email</v>
      </c>
      <c r="AG1796" s="64" t="str">
        <f>IF($C1796="","",IFERROR(INDEX('Staff Directory'!$K$595:$K$599,MATCH($C1796,'Staff Directory'!$B$5:$B$599,0)),$D1796))</f>
        <v>PSW</v>
      </c>
      <c r="AH1796" t="str">
        <f>IF($C1796="","",IFERROR(INDEX('Staff Directory'!$I$595:$I$599,MATCH($C1796,'Staff Directory'!$B$5:$B$599,0))&amp;" "&amp;INDEX('Staff Directory'!$J$595:$J$599,MATCH($C1796,'Staff Directory'!$B$5:$B$599,0)),$AG1796))</f>
        <v>PSW</v>
      </c>
      <c r="AI1796" s="102"/>
      <c r="AJ1796" s="101">
        <f>IF($F1796="","",SUMIFS($J$5:$J1796,$F$5:$F1796,$F1796))</f>
        <v>238</v>
      </c>
      <c r="AK1796" s="101">
        <f t="shared" si="302"/>
        <v>238</v>
      </c>
      <c r="AL1796" s="66" t="str" cm="1">
        <f t="array" ref="AL1796">IF($F1796="","",IFERROR(INDEX('Lot Balance'!$B$5:$B$500,MATCH(1,INDEX(('Lot Balance'!$A$5:$A$500=$F1796)*('Lot Balance'!$K$5:$K$500&lt;$AK1796)*('Lot Balance'!$K$5:$K$500+'Lot Balance'!$D$5:$D$500&gt;=$AK1796),0),0)),""))</f>
        <v>20-21734-5</v>
      </c>
      <c r="AM1796" s="66" t="str" cm="1">
        <f t="array" ref="AM1796">IF($F1796="","",IFERROR(INDEX('Lot Balance'!$B$5:$B$500,MATCH(1,INDEX(('Lot Balance'!$A$5:$A$500=$F1796)*('Lot Balance'!$K$5:$K$500&lt;$AJ1796)*('Lot Balance'!$K$5:$K$500+'Lot Balance'!$D$5:$D$500&gt;=$AJ1796),0),0)),""))</f>
        <v>20-21734-5</v>
      </c>
      <c r="AN1796" s="66" t="str">
        <f>IF($F1796="","",IF($AI1796&lt;&gt;"",IF(COUNTIFS('Lot Balance'!$A$5:$A$500,$F1796,'Lot Balance'!$B$5:$B$500,$AI1796)=0,"⚠ override is not a lot of this item",IF($AI1796=$AL1796,"Override = FEFO","Override - FEFO says "&amp;$AL1796)),IF($AL1796="","⚠ no receipt on file for this item",IF($AM1796&lt;&gt;$AL1796,"FEFO auto - split, also "&amp;$AM1796,"FEFO auto"))))</f>
        <v>FEFO auto</v>
      </c>
      <c r="AO1796" s="114"/>
    </row>
    <row r="1797" spans="1:41" x14ac:dyDescent="0.35">
      <c r="A1797" s="74">
        <v>46218</v>
      </c>
      <c r="B1797" s="18" t="str">
        <f>IF($C1797="","",IFERROR(INDEX('Staff Directory'!$A$5:$A$594,MATCH($C1797,'Staff Directory'!$B$5:$B$594,0)),"⚠ unknown staff"))</f>
        <v>PSW-042-A4</v>
      </c>
      <c r="C1797" s="49" t="s">
        <v>1017</v>
      </c>
      <c r="D1797" s="19" t="str">
        <f>IF($B1797="","",IFERROR(INDEX('Staff Directory'!$C$5:$C$594,MATCH($B1797,'Staff Directory'!$A$5:$A$594,0)),""))</f>
        <v>PSW</v>
      </c>
      <c r="E1797" s="19" t="str">
        <f>IF($B1797="","",IFERROR(INDEX('Staff Directory'!$D$5:$D$594,MATCH($B1797,'Staff Directory'!$A$5:$A$594,0)),""))</f>
        <v>A4</v>
      </c>
      <c r="F1797" s="9" t="s">
        <v>115</v>
      </c>
      <c r="G1797" s="18" t="str">
        <f>IF($F1797="","",IFERROR(INDEX(Items!$B$5:$B$597,MATCH($F1797,Items!$A$5:$A$597,0)),"⚠ not in Items"))</f>
        <v>Wipes</v>
      </c>
      <c r="H1797" s="19">
        <f>IF($F1797="","",IFERROR(INDEX(Items!$C$5:$C$597,MATCH($F1797,Items!$A$5:$A$597,0)),""))</f>
        <v>80</v>
      </c>
      <c r="I1797" s="23">
        <f>IF($F1797="","",IFERROR(INDEX(Items!$E$5:$E$597,MATCH($F1797,Items!$A$5:$A$597,0)),""))</f>
        <v>80</v>
      </c>
      <c r="J1797" s="115">
        <f>IF(tblIssues[[#This Row],[Qty Override]]&lt;&gt;"",tblIssues[[#This Row],[Qty Override]],IF(tblIssues[[#This Row],[Standard Issue]]="","",tblIssues[[#This Row],[Standard Issue]]))</f>
        <v>80</v>
      </c>
      <c r="K1797" s="20">
        <f>IF($F1797="","",IFERROR(INDEX(Items!$D$5:$D$597,MATCH($F1797,Items!$A$5:$A$597,0)),""))</f>
        <v>0.1</v>
      </c>
      <c r="L1797" s="21">
        <f t="shared" si="305"/>
        <v>8</v>
      </c>
      <c r="M1797" s="9" t="str">
        <f t="shared" si="303"/>
        <v>LYSL500290</v>
      </c>
      <c r="N1797" s="24">
        <f>IF($A1797="","",WORKDAY($A1797,Settings!$C$9,HolidayDates))</f>
        <v>46226</v>
      </c>
      <c r="O1797" s="24">
        <f>IF($N1797="","",WORKDAY($N1797,Settings!$C$10,HolidayDates))</f>
        <v>46266</v>
      </c>
      <c r="P1797" s="10" t="s">
        <v>501</v>
      </c>
      <c r="Q1797" s="52" t="str">
        <f t="shared" si="306"/>
        <v>Collected</v>
      </c>
      <c r="R1797" s="55" t="str">
        <f t="shared" si="307"/>
        <v>2026-07</v>
      </c>
      <c r="S1797" s="55">
        <f>IF(OR($B1797="",$F1797="",$R1797=""),"",SUMIFS(tblIssues[Qty Issued],tblIssues[Staff ID],$B1797,tblIssues[Item Name],$F1797,tblIssues[Month],$R1797))</f>
        <v>80</v>
      </c>
      <c r="T1797" s="56">
        <f>IF($I1797="","",$I1797*Settings!$C$11)</f>
        <v>80</v>
      </c>
      <c r="U1797" s="57" t="str">
        <f t="shared" si="304"/>
        <v>OK</v>
      </c>
      <c r="V1797" s="55" t="str">
        <f t="shared" si="308"/>
        <v/>
      </c>
      <c r="W1797" s="55" t="str">
        <f>IF($V1797="","",IF(COUNTIF($V$5:$V1797,$V1797)=1,1,""))</f>
        <v/>
      </c>
      <c r="X1797" s="58" t="str">
        <f>IF($W1797="","",MAX($X$4:X1796)+1)</f>
        <v/>
      </c>
      <c r="Y1797" s="62"/>
      <c r="Z1797" s="62"/>
      <c r="AA1797" s="64" t="str">
        <f>IF($C1797="","",IFERROR(INDEX('Staff Directory'!$E$5:$E$594,MATCH($C1797,'Staff Directory'!$B$5:$B$594,0)),""))</f>
        <v>firstname101.lastname101@example.com</v>
      </c>
      <c r="AB1797" s="64" t="str">
        <f>IF($C1797="","",IF(ISNUMBER(SEARCH($D1797,Settings!$C$15)),"Pickup","Dispatch"))</f>
        <v>Pickup</v>
      </c>
      <c r="AC1797" s="64" t="str">
        <f t="shared" si="309"/>
        <v>Supply order ready for pickup</v>
      </c>
      <c r="AD1797" s="64" t="str">
        <f t="shared" ref="AD1797:AD1860" si="311">IF($AB1797="Pickup","Dear "&amp;$AH1797&amp;","&amp;CHAR(10)&amp;CHAR(10)&amp;"Your order is ready for pickup from Sample Branch, Wed-Fri 9am-4pm.",IF($AB1797="Dispatch","Dear "&amp;$AH1797&amp;","&amp;CHAR(10)&amp;CHAR(10)&amp;"Your order has been dispatched and is in transit. Reply if undelivered.",""))</f>
        <v>Dear PSW,
Your order is ready for pickup from Sample Branch, Wed-Fri 9am-4pm.</v>
      </c>
      <c r="AE1797" s="64" t="str">
        <f t="shared" ref="AE1797:AE1860" si="312">IF(OR($AA1797="",$AC1797=""),"","mailto:"&amp;$AA1797&amp;"?subject="&amp;_xlfn.ENCODEURL($AC1797)&amp;"&amp;body="&amp;_xlfn.ENCODEURL($AD1797))</f>
        <v>mailto:firstname101.lastname101@example.com?subject=Supply%20order%20ready%20for%20pickup&amp;body=Dear%20PSW%2C%0A%0AYour%20order%20is%20ready%20for%20pickup%20from%20Sample%20Branch%2C%20Wed-Fri%209am-4pm.</v>
      </c>
      <c r="AF1797" s="89" t="str">
        <f t="shared" si="310"/>
        <v>Draft email</v>
      </c>
      <c r="AG1797" s="64" t="str">
        <f>IF($C1797="","",IFERROR(INDEX('Staff Directory'!$K$595:$K$599,MATCH($C1797,'Staff Directory'!$B$5:$B$599,0)),$D1797))</f>
        <v>PSW</v>
      </c>
      <c r="AH1797" t="str">
        <f>IF($C1797="","",IFERROR(INDEX('Staff Directory'!$I$595:$I$599,MATCH($C1797,'Staff Directory'!$B$5:$B$599,0))&amp;" "&amp;INDEX('Staff Directory'!$J$595:$J$599,MATCH($C1797,'Staff Directory'!$B$5:$B$599,0)),$AG1797))</f>
        <v>PSW</v>
      </c>
      <c r="AI1797" s="102"/>
      <c r="AJ1797" s="101">
        <f>IF($F1797="","",SUMIFS($J$5:$J1797,$F$5:$F1797,$F1797))</f>
        <v>23760</v>
      </c>
      <c r="AK1797" s="101">
        <f t="shared" ref="AK1797:AK1860" si="313">IF($F1797="","",MAX(1,$AJ1797-MAX($J1797,0)+1))</f>
        <v>23681</v>
      </c>
      <c r="AL1797" s="66" t="str" cm="1">
        <f t="array" ref="AL1797">IF($F1797="","",IFERROR(INDEX('Lot Balance'!$B$5:$B$500,MATCH(1,INDEX(('Lot Balance'!$A$5:$A$500=$F1797)*('Lot Balance'!$K$5:$K$500&lt;$AK1797)*('Lot Balance'!$K$5:$K$500+'Lot Balance'!$D$5:$D$500&gt;=$AK1797),0),0)),""))</f>
        <v>LYSL500290</v>
      </c>
      <c r="AM1797" s="66" t="str" cm="1">
        <f t="array" ref="AM1797">IF($F1797="","",IFERROR(INDEX('Lot Balance'!$B$5:$B$500,MATCH(1,INDEX(('Lot Balance'!$A$5:$A$500=$F1797)*('Lot Balance'!$K$5:$K$500&lt;$AJ1797)*('Lot Balance'!$K$5:$K$500+'Lot Balance'!$D$5:$D$500&gt;=$AJ1797),0),0)),""))</f>
        <v>LYSL500290</v>
      </c>
      <c r="AN1797" s="66" t="str">
        <f>IF($F1797="","",IF($AI1797&lt;&gt;"",IF(COUNTIFS('Lot Balance'!$A$5:$A$500,$F1797,'Lot Balance'!$B$5:$B$500,$AI1797)=0,"⚠ override is not a lot of this item",IF($AI1797=$AL1797,"Override = FEFO","Override - FEFO says "&amp;$AL1797)),IF($AL1797="","⚠ no receipt on file for this item",IF($AM1797&lt;&gt;$AL1797,"FEFO auto - split, also "&amp;$AM1797,"FEFO auto"))))</f>
        <v>FEFO auto</v>
      </c>
      <c r="AO1797" s="114"/>
    </row>
    <row r="1798" spans="1:41" x14ac:dyDescent="0.35">
      <c r="A1798" s="74">
        <v>46218</v>
      </c>
      <c r="B1798" s="18" t="str">
        <f>IF($C1798="","",IFERROR(INDEX('Staff Directory'!$A$5:$A$594,MATCH($C1798,'Staff Directory'!$B$5:$B$594,0)),"⚠ unknown staff"))</f>
        <v>PSW-042-A4</v>
      </c>
      <c r="C1798" s="49" t="s">
        <v>1017</v>
      </c>
      <c r="D1798" s="19" t="str">
        <f>IF($B1798="","",IFERROR(INDEX('Staff Directory'!$C$5:$C$594,MATCH($B1798,'Staff Directory'!$A$5:$A$594,0)),""))</f>
        <v>PSW</v>
      </c>
      <c r="E1798" s="19" t="str">
        <f>IF($B1798="","",IFERROR(INDEX('Staff Directory'!$D$5:$D$594,MATCH($B1798,'Staff Directory'!$A$5:$A$594,0)),""))</f>
        <v>A4</v>
      </c>
      <c r="F1798" s="9" t="s">
        <v>156</v>
      </c>
      <c r="G1798" s="18" t="str">
        <f>IF($F1798="","",IFERROR(INDEX(Items!$B$5:$B$597,MATCH($F1798,Items!$A$5:$A$597,0)),"⚠ not in Items"))</f>
        <v>Masks</v>
      </c>
      <c r="H1798" s="19" t="str">
        <f>IF($F1798="","",IFERROR(INDEX(Items!$C$5:$C$597,MATCH($F1798,Items!$A$5:$A$597,0)),""))</f>
        <v>One Size</v>
      </c>
      <c r="I1798" s="23">
        <f>IF($F1798="","",IFERROR(INDEX(Items!$E$5:$E$597,MATCH($F1798,Items!$A$5:$A$597,0)),""))</f>
        <v>50</v>
      </c>
      <c r="J1798" s="115">
        <f>IF(tblIssues[[#This Row],[Qty Override]]&lt;&gt;"",tblIssues[[#This Row],[Qty Override]],IF(tblIssues[[#This Row],[Standard Issue]]="","",tblIssues[[#This Row],[Standard Issue]]))</f>
        <v>50</v>
      </c>
      <c r="K1798" s="20">
        <f>IF($F1798="","",IFERROR(INDEX(Items!$D$5:$D$597,MATCH($F1798,Items!$A$5:$A$597,0)),""))</f>
        <v>0.25</v>
      </c>
      <c r="L1798" s="21">
        <f t="shared" si="305"/>
        <v>12.5</v>
      </c>
      <c r="M1798" s="9" t="str">
        <f t="shared" ref="M1798:M1861" si="314">IF($F1798="","",IF($AI1798&lt;&gt;"",$AI1798,$AL1798))</f>
        <v>LV2-10040-2</v>
      </c>
      <c r="N1798" s="24">
        <f>IF($A1798="","",WORKDAY($A1798,Settings!$C$9,HolidayDates))</f>
        <v>46226</v>
      </c>
      <c r="O1798" s="24">
        <f>IF($N1798="","",WORKDAY($N1798,Settings!$C$10,HolidayDates))</f>
        <v>46266</v>
      </c>
      <c r="P1798" s="10" t="s">
        <v>501</v>
      </c>
      <c r="Q1798" s="52" t="str">
        <f t="shared" si="306"/>
        <v>Collected</v>
      </c>
      <c r="R1798" s="55" t="str">
        <f t="shared" si="307"/>
        <v>2026-07</v>
      </c>
      <c r="S1798" s="55">
        <f>IF(OR($B1798="",$F1798="",$R1798=""),"",SUMIFS(tblIssues[Qty Issued],tblIssues[Staff ID],$B1798,tblIssues[Item Name],$F1798,tblIssues[Month],$R1798))</f>
        <v>50</v>
      </c>
      <c r="T1798" s="56">
        <f>IF($I1798="","",$I1798*Settings!$C$11)</f>
        <v>50</v>
      </c>
      <c r="U1798" s="57" t="str">
        <f t="shared" ref="U1798:U1861" si="315">IF(OR($S1798="",$T1798=""),"",IF($S1798&gt;$T1798,IF($Y1798="Approved","APPROVED BY TL","⚠ OVER QUOTA"),"OK"))</f>
        <v>OK</v>
      </c>
      <c r="V1798" s="55" t="str">
        <f t="shared" si="308"/>
        <v/>
      </c>
      <c r="W1798" s="55" t="str">
        <f>IF($V1798="","",IF(COUNTIF($V$5:$V1798,$V1798)=1,1,""))</f>
        <v/>
      </c>
      <c r="X1798" s="58" t="str">
        <f>IF($W1798="","",MAX($X$4:X1797)+1)</f>
        <v/>
      </c>
      <c r="Y1798" s="62"/>
      <c r="Z1798" s="62"/>
      <c r="AA1798" s="64" t="str">
        <f>IF($C1798="","",IFERROR(INDEX('Staff Directory'!$E$5:$E$594,MATCH($C1798,'Staff Directory'!$B$5:$B$594,0)),""))</f>
        <v>firstname101.lastname101@example.com</v>
      </c>
      <c r="AB1798" s="64" t="str">
        <f>IF($C1798="","",IF(ISNUMBER(SEARCH($D1798,Settings!$C$15)),"Pickup","Dispatch"))</f>
        <v>Pickup</v>
      </c>
      <c r="AC1798" s="64" t="str">
        <f t="shared" si="309"/>
        <v>Supply order ready for pickup</v>
      </c>
      <c r="AD1798" s="64" t="str">
        <f t="shared" si="311"/>
        <v>Dear PSW,
Your order is ready for pickup from Sample Branch, Wed-Fri 9am-4pm.</v>
      </c>
      <c r="AE1798" s="64" t="str">
        <f t="shared" si="312"/>
        <v>mailto:firstname101.lastname101@example.com?subject=Supply%20order%20ready%20for%20pickup&amp;body=Dear%20PSW%2C%0A%0AYour%20order%20is%20ready%20for%20pickup%20from%20Sample%20Branch%2C%20Wed-Fri%209am-4pm.</v>
      </c>
      <c r="AF1798" s="89" t="str">
        <f t="shared" si="310"/>
        <v>Draft email</v>
      </c>
      <c r="AG1798" s="64" t="str">
        <f>IF($C1798="","",IFERROR(INDEX('Staff Directory'!$K$595:$K$599,MATCH($C1798,'Staff Directory'!$B$5:$B$599,0)),$D1798))</f>
        <v>PSW</v>
      </c>
      <c r="AH1798" t="str">
        <f>IF($C1798="","",IFERROR(INDEX('Staff Directory'!$I$595:$I$599,MATCH($C1798,'Staff Directory'!$B$5:$B$599,0))&amp;" "&amp;INDEX('Staff Directory'!$J$595:$J$599,MATCH($C1798,'Staff Directory'!$B$5:$B$599,0)),$AG1798))</f>
        <v>PSW</v>
      </c>
      <c r="AI1798" s="102"/>
      <c r="AJ1798" s="101">
        <f>IF($F1798="","",SUMIFS($J$5:$J1798,$F$5:$F1798,$F1798))</f>
        <v>14700</v>
      </c>
      <c r="AK1798" s="101">
        <f t="shared" si="313"/>
        <v>14651</v>
      </c>
      <c r="AL1798" s="66" t="str" cm="1">
        <f t="array" ref="AL1798">IF($F1798="","",IFERROR(INDEX('Lot Balance'!$B$5:$B$500,MATCH(1,INDEX(('Lot Balance'!$A$5:$A$500=$F1798)*('Lot Balance'!$K$5:$K$500&lt;$AK1798)*('Lot Balance'!$K$5:$K$500+'Lot Balance'!$D$5:$D$500&gt;=$AK1798),0),0)),""))</f>
        <v>LV2-10040-2</v>
      </c>
      <c r="AM1798" s="66" t="str" cm="1">
        <f t="array" ref="AM1798">IF($F1798="","",IFERROR(INDEX('Lot Balance'!$B$5:$B$500,MATCH(1,INDEX(('Lot Balance'!$A$5:$A$500=$F1798)*('Lot Balance'!$K$5:$K$500&lt;$AJ1798)*('Lot Balance'!$K$5:$K$500+'Lot Balance'!$D$5:$D$500&gt;=$AJ1798),0),0)),""))</f>
        <v>LV2-10040-2</v>
      </c>
      <c r="AN1798" s="66" t="str">
        <f>IF($F1798="","",IF($AI1798&lt;&gt;"",IF(COUNTIFS('Lot Balance'!$A$5:$A$500,$F1798,'Lot Balance'!$B$5:$B$500,$AI1798)=0,"⚠ override is not a lot of this item",IF($AI1798=$AL1798,"Override = FEFO","Override - FEFO says "&amp;$AL1798)),IF($AL1798="","⚠ no receipt on file for this item",IF($AM1798&lt;&gt;$AL1798,"FEFO auto - split, also "&amp;$AM1798,"FEFO auto"))))</f>
        <v>FEFO auto</v>
      </c>
      <c r="AO1798" s="114"/>
    </row>
    <row r="1799" spans="1:41" x14ac:dyDescent="0.35">
      <c r="A1799" s="74">
        <v>46218</v>
      </c>
      <c r="B1799" s="18" t="str">
        <f>IF($C1799="","",IFERROR(INDEX('Staff Directory'!$A$5:$A$594,MATCH($C1799,'Staff Directory'!$B$5:$B$594,0)),"⚠ unknown staff"))</f>
        <v>PSW-042-A4</v>
      </c>
      <c r="C1799" s="49" t="s">
        <v>1017</v>
      </c>
      <c r="D1799" s="19" t="str">
        <f>IF($B1799="","",IFERROR(INDEX('Staff Directory'!$C$5:$C$594,MATCH($B1799,'Staff Directory'!$A$5:$A$594,0)),""))</f>
        <v>PSW</v>
      </c>
      <c r="E1799" s="19" t="str">
        <f>IF($B1799="","",IFERROR(INDEX('Staff Directory'!$D$5:$D$594,MATCH($B1799,'Staff Directory'!$A$5:$A$594,0)),""))</f>
        <v>A4</v>
      </c>
      <c r="F1799" s="9" t="s">
        <v>758</v>
      </c>
      <c r="G1799" s="18" t="str">
        <f>IF($F1799="","",IFERROR(INDEX(Items!$B$5:$B$597,MATCH($F1799,Items!$A$5:$A$597,0)),"⚠ not in Items"))</f>
        <v>Utility</v>
      </c>
      <c r="H1799" s="19" t="str">
        <f>IF($F1799="","",IFERROR(INDEX(Items!$C$5:$C$597,MATCH($F1799,Items!$A$5:$A$597,0)),""))</f>
        <v>Standard</v>
      </c>
      <c r="I1799" s="23">
        <f>IF($F1799="","",IFERROR(INDEX(Items!$E$5:$E$597,MATCH($F1799,Items!$A$5:$A$597,0)),""))</f>
        <v>1</v>
      </c>
      <c r="J1799" s="115">
        <f>IF(tblIssues[[#This Row],[Qty Override]]&lt;&gt;"",tblIssues[[#This Row],[Qty Override]],IF(tblIssues[[#This Row],[Standard Issue]]="","",tblIssues[[#This Row],[Standard Issue]]))</f>
        <v>1</v>
      </c>
      <c r="K1799" s="20">
        <f>IF($F1799="","",IFERROR(INDEX(Items!$D$5:$D$597,MATCH($F1799,Items!$A$5:$A$597,0)),""))</f>
        <v>0</v>
      </c>
      <c r="L1799" s="21">
        <f t="shared" si="305"/>
        <v>0</v>
      </c>
      <c r="M1799" s="9" t="str">
        <f t="shared" si="314"/>
        <v/>
      </c>
      <c r="N1799" s="24">
        <f>IF($A1799="","",WORKDAY($A1799,Settings!$C$9,HolidayDates))</f>
        <v>46226</v>
      </c>
      <c r="O1799" s="24">
        <f>IF($N1799="","",WORKDAY($N1799,Settings!$C$10,HolidayDates))</f>
        <v>46266</v>
      </c>
      <c r="P1799" s="10" t="s">
        <v>501</v>
      </c>
      <c r="Q1799" s="52" t="str">
        <f t="shared" si="306"/>
        <v>Collected</v>
      </c>
      <c r="R1799" s="55" t="str">
        <f t="shared" si="307"/>
        <v>2026-07</v>
      </c>
      <c r="S1799" s="55">
        <f>IF(OR($B1799="",$F1799="",$R1799=""),"",SUMIFS(tblIssues[Qty Issued],tblIssues[Staff ID],$B1799,tblIssues[Item Name],$F1799,tblIssues[Month],$R1799))</f>
        <v>1</v>
      </c>
      <c r="T1799" s="56">
        <f>IF($I1799="","",$I1799*Settings!$C$11)</f>
        <v>1</v>
      </c>
      <c r="U1799" s="57" t="str">
        <f t="shared" si="315"/>
        <v>OK</v>
      </c>
      <c r="V1799" s="55" t="str">
        <f t="shared" si="308"/>
        <v/>
      </c>
      <c r="W1799" s="55" t="str">
        <f>IF($V1799="","",IF(COUNTIF($V$5:$V1799,$V1799)=1,1,""))</f>
        <v/>
      </c>
      <c r="X1799" s="58" t="str">
        <f>IF($W1799="","",MAX($X$4:X1798)+1)</f>
        <v/>
      </c>
      <c r="Y1799" s="62"/>
      <c r="Z1799" s="62"/>
      <c r="AA1799" s="64" t="str">
        <f>IF($C1799="","",IFERROR(INDEX('Staff Directory'!$E$5:$E$594,MATCH($C1799,'Staff Directory'!$B$5:$B$594,0)),""))</f>
        <v>firstname101.lastname101@example.com</v>
      </c>
      <c r="AB1799" s="64" t="str">
        <f>IF($C1799="","",IF(ISNUMBER(SEARCH($D1799,Settings!$C$15)),"Pickup","Dispatch"))</f>
        <v>Pickup</v>
      </c>
      <c r="AC1799" s="64" t="str">
        <f t="shared" si="309"/>
        <v>Supply order ready for pickup</v>
      </c>
      <c r="AD1799" s="64" t="str">
        <f t="shared" si="311"/>
        <v>Dear PSW,
Your order is ready for pickup from Sample Branch, Wed-Fri 9am-4pm.</v>
      </c>
      <c r="AE1799" s="64" t="str">
        <f t="shared" si="312"/>
        <v>mailto:firstname101.lastname101@example.com?subject=Supply%20order%20ready%20for%20pickup&amp;body=Dear%20PSW%2C%0A%0AYour%20order%20is%20ready%20for%20pickup%20from%20Sample%20Branch%2C%20Wed-Fri%209am-4pm.</v>
      </c>
      <c r="AF1799" s="89" t="str">
        <f t="shared" si="310"/>
        <v>Draft email</v>
      </c>
      <c r="AG1799" s="64" t="str">
        <f>IF($C1799="","",IFERROR(INDEX('Staff Directory'!$K$595:$K$599,MATCH($C1799,'Staff Directory'!$B$5:$B$599,0)),$D1799))</f>
        <v>PSW</v>
      </c>
      <c r="AH1799" t="str">
        <f>IF($C1799="","",IFERROR(INDEX('Staff Directory'!$I$595:$I$599,MATCH($C1799,'Staff Directory'!$B$5:$B$599,0))&amp;" "&amp;INDEX('Staff Directory'!$J$595:$J$599,MATCH($C1799,'Staff Directory'!$B$5:$B$599,0)),$AG1799))</f>
        <v>PSW</v>
      </c>
      <c r="AI1799" s="102"/>
      <c r="AJ1799" s="101">
        <f>IF($F1799="","",SUMIFS($J$5:$J1799,$F$5:$F1799,$F1799))</f>
        <v>70</v>
      </c>
      <c r="AK1799" s="101">
        <f t="shared" si="313"/>
        <v>70</v>
      </c>
      <c r="AL1799" s="66" t="str" cm="1">
        <f t="array" ref="AL1799">IF($F1799="","",IFERROR(INDEX('Lot Balance'!$B$5:$B$500,MATCH(1,INDEX(('Lot Balance'!$A$5:$A$500=$F1799)*('Lot Balance'!$K$5:$K$500&lt;$AK1799)*('Lot Balance'!$K$5:$K$500+'Lot Balance'!$D$5:$D$500&gt;=$AK1799),0),0)),""))</f>
        <v/>
      </c>
      <c r="AM1799" s="66" t="str" cm="1">
        <f t="array" ref="AM1799">IF($F1799="","",IFERROR(INDEX('Lot Balance'!$B$5:$B$500,MATCH(1,INDEX(('Lot Balance'!$A$5:$A$500=$F1799)*('Lot Balance'!$K$5:$K$500&lt;$AJ1799)*('Lot Balance'!$K$5:$K$500+'Lot Balance'!$D$5:$D$500&gt;=$AJ1799),0),0)),""))</f>
        <v/>
      </c>
      <c r="AN1799" s="66" t="str">
        <f>IF($F1799="","",IF($AI1799&lt;&gt;"",IF(COUNTIFS('Lot Balance'!$A$5:$A$500,$F1799,'Lot Balance'!$B$5:$B$500,$AI1799)=0,"⚠ override is not a lot of this item",IF($AI1799=$AL1799,"Override = FEFO","Override - FEFO says "&amp;$AL1799)),IF($AL1799="","⚠ no receipt on file for this item",IF($AM1799&lt;&gt;$AL1799,"FEFO auto - split, also "&amp;$AM1799,"FEFO auto"))))</f>
        <v>⚠ no receipt on file for this item</v>
      </c>
      <c r="AO1799" s="114"/>
    </row>
    <row r="1800" spans="1:41" x14ac:dyDescent="0.35">
      <c r="A1800" s="74">
        <v>46218</v>
      </c>
      <c r="B1800" s="18" t="str">
        <f>IF($C1800="","",IFERROR(INDEX('Staff Directory'!$A$5:$A$594,MATCH($C1800,'Staff Directory'!$B$5:$B$594,0)),"⚠ unknown staff"))</f>
        <v>PSW-164-A6</v>
      </c>
      <c r="C1800" s="49" t="s">
        <v>1143</v>
      </c>
      <c r="D1800" s="19" t="str">
        <f>IF($B1800="","",IFERROR(INDEX('Staff Directory'!$C$5:$C$594,MATCH($B1800,'Staff Directory'!$A$5:$A$594,0)),""))</f>
        <v>PSW</v>
      </c>
      <c r="E1800" s="19" t="str">
        <f>IF($B1800="","",IFERROR(INDEX('Staff Directory'!$D$5:$D$594,MATCH($B1800,'Staff Directory'!$A$5:$A$594,0)),""))</f>
        <v>A6</v>
      </c>
      <c r="F1800" s="9" t="s">
        <v>127</v>
      </c>
      <c r="G1800" s="18" t="str">
        <f>IF($F1800="","",IFERROR(INDEX(Items!$B$5:$B$597,MATCH($F1800,Items!$A$5:$A$597,0)),"⚠ not in Items"))</f>
        <v>Gloves</v>
      </c>
      <c r="H1800" s="19" t="str">
        <f>IF($F1800="","",IFERROR(INDEX(Items!$C$5:$C$597,MATCH($F1800,Items!$A$5:$A$597,0)),""))</f>
        <v>Medium</v>
      </c>
      <c r="I1800" s="23">
        <f>IF($F1800="","",IFERROR(INDEX(Items!$E$5:$E$597,MATCH($F1800,Items!$A$5:$A$597,0)),""))</f>
        <v>500</v>
      </c>
      <c r="J1800" s="115">
        <f>IF(tblIssues[[#This Row],[Qty Override]]&lt;&gt;"",tblIssues[[#This Row],[Qty Override]],IF(tblIssues[[#This Row],[Standard Issue]]="","",tblIssues[[#This Row],[Standard Issue]]))</f>
        <v>500</v>
      </c>
      <c r="K1800" s="20">
        <f>IF($F1800="","",IFERROR(INDEX(Items!$D$5:$D$597,MATCH($F1800,Items!$A$5:$A$597,0)),""))</f>
        <v>5.5E-2</v>
      </c>
      <c r="L1800" s="21">
        <f t="shared" ref="L1800:L1863" si="316">IF(OR($J1800="",$K1800=""),"",$J1800*$K1800)</f>
        <v>27.5</v>
      </c>
      <c r="M1800" s="9" t="str">
        <f t="shared" si="314"/>
        <v>ZIM604151579</v>
      </c>
      <c r="N1800" s="24">
        <f>IF($A1800="","",WORKDAY($A1800,Settings!$C$9,HolidayDates))</f>
        <v>46226</v>
      </c>
      <c r="O1800" s="24">
        <f>IF($N1800="","",WORKDAY($N1800,Settings!$C$10,HolidayDates))</f>
        <v>46266</v>
      </c>
      <c r="P1800" s="10" t="s">
        <v>501</v>
      </c>
      <c r="Q1800" s="52" t="str">
        <f t="shared" si="306"/>
        <v>Collected</v>
      </c>
      <c r="R1800" s="55" t="str">
        <f t="shared" si="307"/>
        <v>2026-07</v>
      </c>
      <c r="S1800" s="55">
        <f>IF(OR($B1800="",$F1800="",$R1800=""),"",SUMIFS(tblIssues[Qty Issued],tblIssues[Staff ID],$B1800,tblIssues[Item Name],$F1800,tblIssues[Month],$R1800))</f>
        <v>500</v>
      </c>
      <c r="T1800" s="56">
        <f>IF($I1800="","",$I1800*Settings!$C$11)</f>
        <v>500</v>
      </c>
      <c r="U1800" s="57" t="str">
        <f t="shared" si="315"/>
        <v>OK</v>
      </c>
      <c r="V1800" s="55" t="str">
        <f t="shared" si="308"/>
        <v/>
      </c>
      <c r="W1800" s="55" t="str">
        <f>IF($V1800="","",IF(COUNTIF($V$5:$V1800,$V1800)=1,1,""))</f>
        <v/>
      </c>
      <c r="X1800" s="58" t="str">
        <f>IF($W1800="","",MAX($X$4:X1799)+1)</f>
        <v/>
      </c>
      <c r="Y1800" s="62"/>
      <c r="Z1800" s="62"/>
      <c r="AA1800" s="64" t="str">
        <f>IF($C1800="","",IFERROR(INDEX('Staff Directory'!$E$5:$E$594,MATCH($C1800,'Staff Directory'!$B$5:$B$594,0)),""))</f>
        <v>firstname227.lastname227@example.com</v>
      </c>
      <c r="AB1800" s="64" t="str">
        <f>IF($C1800="","",IF(ISNUMBER(SEARCH($D1800,Settings!$C$15)),"Pickup","Dispatch"))</f>
        <v>Pickup</v>
      </c>
      <c r="AC1800" s="64" t="str">
        <f t="shared" si="309"/>
        <v>Supply order ready for pickup</v>
      </c>
      <c r="AD1800" s="64" t="str">
        <f t="shared" si="311"/>
        <v>Dear PSW,
Your order is ready for pickup from Sample Branch, Wed-Fri 9am-4pm.</v>
      </c>
      <c r="AE1800" s="64" t="str">
        <f t="shared" si="312"/>
        <v>mailto:firstname227.lastname227@example.com?subject=Supply%20order%20ready%20for%20pickup&amp;body=Dear%20PSW%2C%0A%0AYour%20order%20is%20ready%20for%20pickup%20from%20Sample%20Branch%2C%20Wed-Fri%209am-4pm.</v>
      </c>
      <c r="AF1800" s="89" t="str">
        <f t="shared" si="310"/>
        <v>Draft email</v>
      </c>
      <c r="AG1800" s="64" t="str">
        <f>IF($C1800="","",IFERROR(INDEX('Staff Directory'!$K$595:$K$599,MATCH($C1800,'Staff Directory'!$B$5:$B$599,0)),$D1800))</f>
        <v>PSW</v>
      </c>
      <c r="AH1800" t="str">
        <f>IF($C1800="","",IFERROR(INDEX('Staff Directory'!$I$595:$I$599,MATCH($C1800,'Staff Directory'!$B$5:$B$599,0))&amp;" "&amp;INDEX('Staff Directory'!$J$595:$J$599,MATCH($C1800,'Staff Directory'!$B$5:$B$599,0)),$AG1800))</f>
        <v>PSW</v>
      </c>
      <c r="AI1800" s="102"/>
      <c r="AJ1800" s="101">
        <f>IF($F1800="","",SUMIFS($J$5:$J1800,$F$5:$F1800,$F1800))</f>
        <v>108000</v>
      </c>
      <c r="AK1800" s="101">
        <f t="shared" si="313"/>
        <v>107501</v>
      </c>
      <c r="AL1800" s="66" t="str" cm="1">
        <f t="array" ref="AL1800">IF($F1800="","",IFERROR(INDEX('Lot Balance'!$B$5:$B$500,MATCH(1,INDEX(('Lot Balance'!$A$5:$A$500=$F1800)*('Lot Balance'!$K$5:$K$500&lt;$AK1800)*('Lot Balance'!$K$5:$K$500+'Lot Balance'!$D$5:$D$500&gt;=$AK1800),0),0)),""))</f>
        <v>ZIM604151579</v>
      </c>
      <c r="AM1800" s="66" t="str" cm="1">
        <f t="array" ref="AM1800">IF($F1800="","",IFERROR(INDEX('Lot Balance'!$B$5:$B$500,MATCH(1,INDEX(('Lot Balance'!$A$5:$A$500=$F1800)*('Lot Balance'!$K$5:$K$500&lt;$AJ1800)*('Lot Balance'!$K$5:$K$500+'Lot Balance'!$D$5:$D$500&gt;=$AJ1800),0),0)),""))</f>
        <v>ZIM604151579</v>
      </c>
      <c r="AN1800" s="66" t="str">
        <f>IF($F1800="","",IF($AI1800&lt;&gt;"",IF(COUNTIFS('Lot Balance'!$A$5:$A$500,$F1800,'Lot Balance'!$B$5:$B$500,$AI1800)=0,"⚠ override is not a lot of this item",IF($AI1800=$AL1800,"Override = FEFO","Override - FEFO says "&amp;$AL1800)),IF($AL1800="","⚠ no receipt on file for this item",IF($AM1800&lt;&gt;$AL1800,"FEFO auto - split, also "&amp;$AM1800,"FEFO auto"))))</f>
        <v>FEFO auto</v>
      </c>
      <c r="AO1800" s="114"/>
    </row>
    <row r="1801" spans="1:41" x14ac:dyDescent="0.35">
      <c r="A1801" s="74">
        <v>46218</v>
      </c>
      <c r="B1801" s="18" t="str">
        <f>IF($C1801="","",IFERROR(INDEX('Staff Directory'!$A$5:$A$594,MATCH($C1801,'Staff Directory'!$B$5:$B$594,0)),"⚠ unknown staff"))</f>
        <v>PSW-164-A6</v>
      </c>
      <c r="C1801" s="49" t="s">
        <v>1143</v>
      </c>
      <c r="D1801" s="19" t="str">
        <f>IF($B1801="","",IFERROR(INDEX('Staff Directory'!$C$5:$C$594,MATCH($B1801,'Staff Directory'!$A$5:$A$594,0)),""))</f>
        <v>PSW</v>
      </c>
      <c r="E1801" s="19" t="str">
        <f>IF($B1801="","",IFERROR(INDEX('Staff Directory'!$D$5:$D$594,MATCH($B1801,'Staff Directory'!$A$5:$A$594,0)),""))</f>
        <v>A6</v>
      </c>
      <c r="F1801" s="9" t="s">
        <v>191</v>
      </c>
      <c r="G1801" s="18" t="str">
        <f>IF($F1801="","",IFERROR(INDEX(Items!$B$5:$B$597,MATCH($F1801,Items!$A$5:$A$597,0)),"⚠ not in Items"))</f>
        <v>Sanitizer</v>
      </c>
      <c r="H1801" s="19" t="str">
        <f>IF($F1801="","",IFERROR(INDEX(Items!$C$5:$C$597,MATCH($F1801,Items!$A$5:$A$597,0)),""))</f>
        <v>236 ML</v>
      </c>
      <c r="I1801" s="23">
        <f>IF($F1801="","",IFERROR(INDEX(Items!$E$5:$E$597,MATCH($F1801,Items!$A$5:$A$597,0)),""))</f>
        <v>1</v>
      </c>
      <c r="J1801" s="115">
        <f>IF(tblIssues[[#This Row],[Qty Override]]&lt;&gt;"",tblIssues[[#This Row],[Qty Override]],IF(tblIssues[[#This Row],[Standard Issue]]="","",tblIssues[[#This Row],[Standard Issue]]))</f>
        <v>1</v>
      </c>
      <c r="K1801" s="20">
        <f>IF($F1801="","",IFERROR(INDEX(Items!$D$5:$D$597,MATCH($F1801,Items!$A$5:$A$597,0)),""))</f>
        <v>1E-4</v>
      </c>
      <c r="L1801" s="21">
        <f t="shared" si="316"/>
        <v>1E-4</v>
      </c>
      <c r="M1801" s="9" t="str">
        <f t="shared" si="314"/>
        <v>20-21734-5</v>
      </c>
      <c r="N1801" s="24">
        <f>IF($A1801="","",WORKDAY($A1801,Settings!$C$9,HolidayDates))</f>
        <v>46226</v>
      </c>
      <c r="O1801" s="24">
        <f>IF($N1801="","",WORKDAY($N1801,Settings!$C$10,HolidayDates))</f>
        <v>46266</v>
      </c>
      <c r="P1801" s="10" t="s">
        <v>501</v>
      </c>
      <c r="Q1801" s="52" t="str">
        <f t="shared" si="306"/>
        <v>Collected</v>
      </c>
      <c r="R1801" s="55" t="str">
        <f t="shared" si="307"/>
        <v>2026-07</v>
      </c>
      <c r="S1801" s="55">
        <f>IF(OR($B1801="",$F1801="",$R1801=""),"",SUMIFS(tblIssues[Qty Issued],tblIssues[Staff ID],$B1801,tblIssues[Item Name],$F1801,tblIssues[Month],$R1801))</f>
        <v>1</v>
      </c>
      <c r="T1801" s="56">
        <f>IF($I1801="","",$I1801*Settings!$C$11)</f>
        <v>1</v>
      </c>
      <c r="U1801" s="57" t="str">
        <f t="shared" si="315"/>
        <v>OK</v>
      </c>
      <c r="V1801" s="55" t="str">
        <f t="shared" si="308"/>
        <v/>
      </c>
      <c r="W1801" s="55" t="str">
        <f>IF($V1801="","",IF(COUNTIF($V$5:$V1801,$V1801)=1,1,""))</f>
        <v/>
      </c>
      <c r="X1801" s="58" t="str">
        <f>IF($W1801="","",MAX($X$4:X1800)+1)</f>
        <v/>
      </c>
      <c r="Y1801" s="62"/>
      <c r="Z1801" s="62"/>
      <c r="AA1801" s="64" t="str">
        <f>IF($C1801="","",IFERROR(INDEX('Staff Directory'!$E$5:$E$594,MATCH($C1801,'Staff Directory'!$B$5:$B$594,0)),""))</f>
        <v>firstname227.lastname227@example.com</v>
      </c>
      <c r="AB1801" s="64" t="str">
        <f>IF($C1801="","",IF(ISNUMBER(SEARCH($D1801,Settings!$C$15)),"Pickup","Dispatch"))</f>
        <v>Pickup</v>
      </c>
      <c r="AC1801" s="64" t="str">
        <f t="shared" si="309"/>
        <v>Supply order ready for pickup</v>
      </c>
      <c r="AD1801" s="64" t="str">
        <f t="shared" si="311"/>
        <v>Dear PSW,
Your order is ready for pickup from Sample Branch, Wed-Fri 9am-4pm.</v>
      </c>
      <c r="AE1801" s="64" t="str">
        <f t="shared" si="312"/>
        <v>mailto:firstname227.lastname227@example.com?subject=Supply%20order%20ready%20for%20pickup&amp;body=Dear%20PSW%2C%0A%0AYour%20order%20is%20ready%20for%20pickup%20from%20Sample%20Branch%2C%20Wed-Fri%209am-4pm.</v>
      </c>
      <c r="AF1801" s="89" t="str">
        <f t="shared" si="310"/>
        <v>Draft email</v>
      </c>
      <c r="AG1801" s="64" t="str">
        <f>IF($C1801="","",IFERROR(INDEX('Staff Directory'!$K$595:$K$599,MATCH($C1801,'Staff Directory'!$B$5:$B$599,0)),$D1801))</f>
        <v>PSW</v>
      </c>
      <c r="AH1801" t="str">
        <f>IF($C1801="","",IFERROR(INDEX('Staff Directory'!$I$595:$I$599,MATCH($C1801,'Staff Directory'!$B$5:$B$599,0))&amp;" "&amp;INDEX('Staff Directory'!$J$595:$J$599,MATCH($C1801,'Staff Directory'!$B$5:$B$599,0)),$AG1801))</f>
        <v>PSW</v>
      </c>
      <c r="AI1801" s="102"/>
      <c r="AJ1801" s="101">
        <f>IF($F1801="","",SUMIFS($J$5:$J1801,$F$5:$F1801,$F1801))</f>
        <v>239</v>
      </c>
      <c r="AK1801" s="101">
        <f t="shared" si="313"/>
        <v>239</v>
      </c>
      <c r="AL1801" s="66" t="str" cm="1">
        <f t="array" ref="AL1801">IF($F1801="","",IFERROR(INDEX('Lot Balance'!$B$5:$B$500,MATCH(1,INDEX(('Lot Balance'!$A$5:$A$500=$F1801)*('Lot Balance'!$K$5:$K$500&lt;$AK1801)*('Lot Balance'!$K$5:$K$500+'Lot Balance'!$D$5:$D$500&gt;=$AK1801),0),0)),""))</f>
        <v>20-21734-5</v>
      </c>
      <c r="AM1801" s="66" t="str" cm="1">
        <f t="array" ref="AM1801">IF($F1801="","",IFERROR(INDEX('Lot Balance'!$B$5:$B$500,MATCH(1,INDEX(('Lot Balance'!$A$5:$A$500=$F1801)*('Lot Balance'!$K$5:$K$500&lt;$AJ1801)*('Lot Balance'!$K$5:$K$500+'Lot Balance'!$D$5:$D$500&gt;=$AJ1801),0),0)),""))</f>
        <v>20-21734-5</v>
      </c>
      <c r="AN1801" s="66" t="str">
        <f>IF($F1801="","",IF($AI1801&lt;&gt;"",IF(COUNTIFS('Lot Balance'!$A$5:$A$500,$F1801,'Lot Balance'!$B$5:$B$500,$AI1801)=0,"⚠ override is not a lot of this item",IF($AI1801=$AL1801,"Override = FEFO","Override - FEFO says "&amp;$AL1801)),IF($AL1801="","⚠ no receipt on file for this item",IF($AM1801&lt;&gt;$AL1801,"FEFO auto - split, also "&amp;$AM1801,"FEFO auto"))))</f>
        <v>FEFO auto</v>
      </c>
      <c r="AO1801" s="114"/>
    </row>
    <row r="1802" spans="1:41" x14ac:dyDescent="0.35">
      <c r="A1802" s="74">
        <v>46218</v>
      </c>
      <c r="B1802" s="18" t="str">
        <f>IF($C1802="","",IFERROR(INDEX('Staff Directory'!$A$5:$A$594,MATCH($C1802,'Staff Directory'!$B$5:$B$594,0)),"⚠ unknown staff"))</f>
        <v>PSW-164-A6</v>
      </c>
      <c r="C1802" s="49" t="s">
        <v>1143</v>
      </c>
      <c r="D1802" s="19" t="str">
        <f>IF($B1802="","",IFERROR(INDEX('Staff Directory'!$C$5:$C$594,MATCH($B1802,'Staff Directory'!$A$5:$A$594,0)),""))</f>
        <v>PSW</v>
      </c>
      <c r="E1802" s="19" t="str">
        <f>IF($B1802="","",IFERROR(INDEX('Staff Directory'!$D$5:$D$594,MATCH($B1802,'Staff Directory'!$A$5:$A$594,0)),""))</f>
        <v>A6</v>
      </c>
      <c r="F1802" s="9" t="s">
        <v>115</v>
      </c>
      <c r="G1802" s="18" t="str">
        <f>IF($F1802="","",IFERROR(INDEX(Items!$B$5:$B$597,MATCH($F1802,Items!$A$5:$A$597,0)),"⚠ not in Items"))</f>
        <v>Wipes</v>
      </c>
      <c r="H1802" s="19">
        <f>IF($F1802="","",IFERROR(INDEX(Items!$C$5:$C$597,MATCH($F1802,Items!$A$5:$A$597,0)),""))</f>
        <v>80</v>
      </c>
      <c r="I1802" s="23">
        <f>IF($F1802="","",IFERROR(INDEX(Items!$E$5:$E$597,MATCH($F1802,Items!$A$5:$A$597,0)),""))</f>
        <v>80</v>
      </c>
      <c r="J1802" s="115">
        <f>IF(tblIssues[[#This Row],[Qty Override]]&lt;&gt;"",tblIssues[[#This Row],[Qty Override]],IF(tblIssues[[#This Row],[Standard Issue]]="","",tblIssues[[#This Row],[Standard Issue]]))</f>
        <v>80</v>
      </c>
      <c r="K1802" s="20">
        <f>IF($F1802="","",IFERROR(INDEX(Items!$D$5:$D$597,MATCH($F1802,Items!$A$5:$A$597,0)),""))</f>
        <v>0.1</v>
      </c>
      <c r="L1802" s="21">
        <f t="shared" si="316"/>
        <v>8</v>
      </c>
      <c r="M1802" s="9" t="str">
        <f t="shared" si="314"/>
        <v>LYSL500290</v>
      </c>
      <c r="N1802" s="24">
        <f>IF($A1802="","",WORKDAY($A1802,Settings!$C$9,HolidayDates))</f>
        <v>46226</v>
      </c>
      <c r="O1802" s="24">
        <f>IF($N1802="","",WORKDAY($N1802,Settings!$C$10,HolidayDates))</f>
        <v>46266</v>
      </c>
      <c r="P1802" s="10" t="s">
        <v>501</v>
      </c>
      <c r="Q1802" s="52" t="str">
        <f t="shared" si="306"/>
        <v>Collected</v>
      </c>
      <c r="R1802" s="55" t="str">
        <f t="shared" si="307"/>
        <v>2026-07</v>
      </c>
      <c r="S1802" s="55">
        <f>IF(OR($B1802="",$F1802="",$R1802=""),"",SUMIFS(tblIssues[Qty Issued],tblIssues[Staff ID],$B1802,tblIssues[Item Name],$F1802,tblIssues[Month],$R1802))</f>
        <v>80</v>
      </c>
      <c r="T1802" s="56">
        <f>IF($I1802="","",$I1802*Settings!$C$11)</f>
        <v>80</v>
      </c>
      <c r="U1802" s="57" t="str">
        <f t="shared" si="315"/>
        <v>OK</v>
      </c>
      <c r="V1802" s="55" t="str">
        <f t="shared" si="308"/>
        <v/>
      </c>
      <c r="W1802" s="55" t="str">
        <f>IF($V1802="","",IF(COUNTIF($V$5:$V1802,$V1802)=1,1,""))</f>
        <v/>
      </c>
      <c r="X1802" s="58" t="str">
        <f>IF($W1802="","",MAX($X$4:X1801)+1)</f>
        <v/>
      </c>
      <c r="Y1802" s="62"/>
      <c r="Z1802" s="62"/>
      <c r="AA1802" s="64" t="str">
        <f>IF($C1802="","",IFERROR(INDEX('Staff Directory'!$E$5:$E$594,MATCH($C1802,'Staff Directory'!$B$5:$B$594,0)),""))</f>
        <v>firstname227.lastname227@example.com</v>
      </c>
      <c r="AB1802" s="64" t="str">
        <f>IF($C1802="","",IF(ISNUMBER(SEARCH($D1802,Settings!$C$15)),"Pickup","Dispatch"))</f>
        <v>Pickup</v>
      </c>
      <c r="AC1802" s="64" t="str">
        <f t="shared" si="309"/>
        <v>Supply order ready for pickup</v>
      </c>
      <c r="AD1802" s="64" t="str">
        <f t="shared" si="311"/>
        <v>Dear PSW,
Your order is ready for pickup from Sample Branch, Wed-Fri 9am-4pm.</v>
      </c>
      <c r="AE1802" s="64" t="str">
        <f t="shared" si="312"/>
        <v>mailto:firstname227.lastname227@example.com?subject=Supply%20order%20ready%20for%20pickup&amp;body=Dear%20PSW%2C%0A%0AYour%20order%20is%20ready%20for%20pickup%20from%20Sample%20Branch%2C%20Wed-Fri%209am-4pm.</v>
      </c>
      <c r="AF1802" s="89" t="str">
        <f t="shared" si="310"/>
        <v>Draft email</v>
      </c>
      <c r="AG1802" s="64" t="str">
        <f>IF($C1802="","",IFERROR(INDEX('Staff Directory'!$K$595:$K$599,MATCH($C1802,'Staff Directory'!$B$5:$B$599,0)),$D1802))</f>
        <v>PSW</v>
      </c>
      <c r="AH1802" t="str">
        <f>IF($C1802="","",IFERROR(INDEX('Staff Directory'!$I$595:$I$599,MATCH($C1802,'Staff Directory'!$B$5:$B$599,0))&amp;" "&amp;INDEX('Staff Directory'!$J$595:$J$599,MATCH($C1802,'Staff Directory'!$B$5:$B$599,0)),$AG1802))</f>
        <v>PSW</v>
      </c>
      <c r="AI1802" s="102"/>
      <c r="AJ1802" s="101">
        <f>IF($F1802="","",SUMIFS($J$5:$J1802,$F$5:$F1802,$F1802))</f>
        <v>23840</v>
      </c>
      <c r="AK1802" s="101">
        <f t="shared" si="313"/>
        <v>23761</v>
      </c>
      <c r="AL1802" s="66" t="str" cm="1">
        <f t="array" ref="AL1802">IF($F1802="","",IFERROR(INDEX('Lot Balance'!$B$5:$B$500,MATCH(1,INDEX(('Lot Balance'!$A$5:$A$500=$F1802)*('Lot Balance'!$K$5:$K$500&lt;$AK1802)*('Lot Balance'!$K$5:$K$500+'Lot Balance'!$D$5:$D$500&gt;=$AK1802),0),0)),""))</f>
        <v>LYSL500290</v>
      </c>
      <c r="AM1802" s="66" t="str" cm="1">
        <f t="array" ref="AM1802">IF($F1802="","",IFERROR(INDEX('Lot Balance'!$B$5:$B$500,MATCH(1,INDEX(('Lot Balance'!$A$5:$A$500=$F1802)*('Lot Balance'!$K$5:$K$500&lt;$AJ1802)*('Lot Balance'!$K$5:$K$500+'Lot Balance'!$D$5:$D$500&gt;=$AJ1802),0),0)),""))</f>
        <v>LYSL500290</v>
      </c>
      <c r="AN1802" s="66" t="str">
        <f>IF($F1802="","",IF($AI1802&lt;&gt;"",IF(COUNTIFS('Lot Balance'!$A$5:$A$500,$F1802,'Lot Balance'!$B$5:$B$500,$AI1802)=0,"⚠ override is not a lot of this item",IF($AI1802=$AL1802,"Override = FEFO","Override - FEFO says "&amp;$AL1802)),IF($AL1802="","⚠ no receipt on file for this item",IF($AM1802&lt;&gt;$AL1802,"FEFO auto - split, also "&amp;$AM1802,"FEFO auto"))))</f>
        <v>FEFO auto</v>
      </c>
      <c r="AO1802" s="114"/>
    </row>
    <row r="1803" spans="1:41" x14ac:dyDescent="0.35">
      <c r="A1803" s="74">
        <v>46218</v>
      </c>
      <c r="B1803" s="18" t="str">
        <f>IF($C1803="","",IFERROR(INDEX('Staff Directory'!$A$5:$A$594,MATCH($C1803,'Staff Directory'!$B$5:$B$594,0)),"⚠ unknown staff"))</f>
        <v>PSW-164-A6</v>
      </c>
      <c r="C1803" s="49" t="s">
        <v>1143</v>
      </c>
      <c r="D1803" s="19" t="str">
        <f>IF($B1803="","",IFERROR(INDEX('Staff Directory'!$C$5:$C$594,MATCH($B1803,'Staff Directory'!$A$5:$A$594,0)),""))</f>
        <v>PSW</v>
      </c>
      <c r="E1803" s="19" t="str">
        <f>IF($B1803="","",IFERROR(INDEX('Staff Directory'!$D$5:$D$594,MATCH($B1803,'Staff Directory'!$A$5:$A$594,0)),""))</f>
        <v>A6</v>
      </c>
      <c r="F1803" s="9" t="s">
        <v>156</v>
      </c>
      <c r="G1803" s="18" t="str">
        <f>IF($F1803="","",IFERROR(INDEX(Items!$B$5:$B$597,MATCH($F1803,Items!$A$5:$A$597,0)),"⚠ not in Items"))</f>
        <v>Masks</v>
      </c>
      <c r="H1803" s="19" t="str">
        <f>IF($F1803="","",IFERROR(INDEX(Items!$C$5:$C$597,MATCH($F1803,Items!$A$5:$A$597,0)),""))</f>
        <v>One Size</v>
      </c>
      <c r="I1803" s="23">
        <f>IF($F1803="","",IFERROR(INDEX(Items!$E$5:$E$597,MATCH($F1803,Items!$A$5:$A$597,0)),""))</f>
        <v>50</v>
      </c>
      <c r="J1803" s="115">
        <f>IF(tblIssues[[#This Row],[Qty Override]]&lt;&gt;"",tblIssues[[#This Row],[Qty Override]],IF(tblIssues[[#This Row],[Standard Issue]]="","",tblIssues[[#This Row],[Standard Issue]]))</f>
        <v>50</v>
      </c>
      <c r="K1803" s="20">
        <f>IF($F1803="","",IFERROR(INDEX(Items!$D$5:$D$597,MATCH($F1803,Items!$A$5:$A$597,0)),""))</f>
        <v>0.25</v>
      </c>
      <c r="L1803" s="21">
        <f t="shared" si="316"/>
        <v>12.5</v>
      </c>
      <c r="M1803" s="9" t="str">
        <f t="shared" si="314"/>
        <v>LV2-10040-2</v>
      </c>
      <c r="N1803" s="24">
        <f>IF($A1803="","",WORKDAY($A1803,Settings!$C$9,HolidayDates))</f>
        <v>46226</v>
      </c>
      <c r="O1803" s="24">
        <f>IF($N1803="","",WORKDAY($N1803,Settings!$C$10,HolidayDates))</f>
        <v>46266</v>
      </c>
      <c r="P1803" s="10" t="s">
        <v>501</v>
      </c>
      <c r="Q1803" s="52" t="str">
        <f t="shared" si="306"/>
        <v>Collected</v>
      </c>
      <c r="R1803" s="55" t="str">
        <f t="shared" si="307"/>
        <v>2026-07</v>
      </c>
      <c r="S1803" s="55">
        <f>IF(OR($B1803="",$F1803="",$R1803=""),"",SUMIFS(tblIssues[Qty Issued],tblIssues[Staff ID],$B1803,tblIssues[Item Name],$F1803,tblIssues[Month],$R1803))</f>
        <v>50</v>
      </c>
      <c r="T1803" s="56">
        <f>IF($I1803="","",$I1803*Settings!$C$11)</f>
        <v>50</v>
      </c>
      <c r="U1803" s="57" t="str">
        <f t="shared" si="315"/>
        <v>OK</v>
      </c>
      <c r="V1803" s="55" t="str">
        <f t="shared" si="308"/>
        <v/>
      </c>
      <c r="W1803" s="55" t="str">
        <f>IF($V1803="","",IF(COUNTIF($V$5:$V1803,$V1803)=1,1,""))</f>
        <v/>
      </c>
      <c r="X1803" s="58" t="str">
        <f>IF($W1803="","",MAX($X$4:X1802)+1)</f>
        <v/>
      </c>
      <c r="Y1803" s="62"/>
      <c r="Z1803" s="62"/>
      <c r="AA1803" s="64" t="str">
        <f>IF($C1803="","",IFERROR(INDEX('Staff Directory'!$E$5:$E$594,MATCH($C1803,'Staff Directory'!$B$5:$B$594,0)),""))</f>
        <v>firstname227.lastname227@example.com</v>
      </c>
      <c r="AB1803" s="64" t="str">
        <f>IF($C1803="","",IF(ISNUMBER(SEARCH($D1803,Settings!$C$15)),"Pickup","Dispatch"))</f>
        <v>Pickup</v>
      </c>
      <c r="AC1803" s="64" t="str">
        <f t="shared" si="309"/>
        <v>Supply order ready for pickup</v>
      </c>
      <c r="AD1803" s="64" t="str">
        <f t="shared" si="311"/>
        <v>Dear PSW,
Your order is ready for pickup from Sample Branch, Wed-Fri 9am-4pm.</v>
      </c>
      <c r="AE1803" s="64" t="str">
        <f t="shared" si="312"/>
        <v>mailto:firstname227.lastname227@example.com?subject=Supply%20order%20ready%20for%20pickup&amp;body=Dear%20PSW%2C%0A%0AYour%20order%20is%20ready%20for%20pickup%20from%20Sample%20Branch%2C%20Wed-Fri%209am-4pm.</v>
      </c>
      <c r="AF1803" s="89" t="str">
        <f t="shared" si="310"/>
        <v>Draft email</v>
      </c>
      <c r="AG1803" s="64" t="str">
        <f>IF($C1803="","",IFERROR(INDEX('Staff Directory'!$K$595:$K$599,MATCH($C1803,'Staff Directory'!$B$5:$B$599,0)),$D1803))</f>
        <v>PSW</v>
      </c>
      <c r="AH1803" t="str">
        <f>IF($C1803="","",IFERROR(INDEX('Staff Directory'!$I$595:$I$599,MATCH($C1803,'Staff Directory'!$B$5:$B$599,0))&amp;" "&amp;INDEX('Staff Directory'!$J$595:$J$599,MATCH($C1803,'Staff Directory'!$B$5:$B$599,0)),$AG1803))</f>
        <v>PSW</v>
      </c>
      <c r="AI1803" s="102"/>
      <c r="AJ1803" s="101">
        <f>IF($F1803="","",SUMIFS($J$5:$J1803,$F$5:$F1803,$F1803))</f>
        <v>14750</v>
      </c>
      <c r="AK1803" s="101">
        <f t="shared" si="313"/>
        <v>14701</v>
      </c>
      <c r="AL1803" s="66" t="str" cm="1">
        <f t="array" ref="AL1803">IF($F1803="","",IFERROR(INDEX('Lot Balance'!$B$5:$B$500,MATCH(1,INDEX(('Lot Balance'!$A$5:$A$500=$F1803)*('Lot Balance'!$K$5:$K$500&lt;$AK1803)*('Lot Balance'!$K$5:$K$500+'Lot Balance'!$D$5:$D$500&gt;=$AK1803),0),0)),""))</f>
        <v>LV2-10040-2</v>
      </c>
      <c r="AM1803" s="66" t="str" cm="1">
        <f t="array" ref="AM1803">IF($F1803="","",IFERROR(INDEX('Lot Balance'!$B$5:$B$500,MATCH(1,INDEX(('Lot Balance'!$A$5:$A$500=$F1803)*('Lot Balance'!$K$5:$K$500&lt;$AJ1803)*('Lot Balance'!$K$5:$K$500+'Lot Balance'!$D$5:$D$500&gt;=$AJ1803),0),0)),""))</f>
        <v>LV2-10040-2</v>
      </c>
      <c r="AN1803" s="66" t="str">
        <f>IF($F1803="","",IF($AI1803&lt;&gt;"",IF(COUNTIFS('Lot Balance'!$A$5:$A$500,$F1803,'Lot Balance'!$B$5:$B$500,$AI1803)=0,"⚠ override is not a lot of this item",IF($AI1803=$AL1803,"Override = FEFO","Override - FEFO says "&amp;$AL1803)),IF($AL1803="","⚠ no receipt on file for this item",IF($AM1803&lt;&gt;$AL1803,"FEFO auto - split, also "&amp;$AM1803,"FEFO auto"))))</f>
        <v>FEFO auto</v>
      </c>
      <c r="AO1803" s="114"/>
    </row>
    <row r="1804" spans="1:41" x14ac:dyDescent="0.35">
      <c r="A1804" s="74">
        <v>46218</v>
      </c>
      <c r="B1804" s="18" t="str">
        <f>IF($C1804="","",IFERROR(INDEX('Staff Directory'!$A$5:$A$594,MATCH($C1804,'Staff Directory'!$B$5:$B$594,0)),"⚠ unknown staff"))</f>
        <v>RN-010-A2</v>
      </c>
      <c r="C1804" s="49" t="s">
        <v>926</v>
      </c>
      <c r="D1804" s="19" t="str">
        <f>IF($B1804="","",IFERROR(INDEX('Staff Directory'!$C$5:$C$594,MATCH($B1804,'Staff Directory'!$A$5:$A$594,0)),""))</f>
        <v>RN</v>
      </c>
      <c r="E1804" s="19" t="str">
        <f>IF($B1804="","",IFERROR(INDEX('Staff Directory'!$D$5:$D$594,MATCH($B1804,'Staff Directory'!$A$5:$A$594,0)),""))</f>
        <v>A2</v>
      </c>
      <c r="F1804" s="9" t="s">
        <v>131</v>
      </c>
      <c r="G1804" s="18" t="str">
        <f>IF($F1804="","",IFERROR(INDEX(Items!$B$5:$B$597,MATCH($F1804,Items!$A$5:$A$597,0)),"⚠ not in Items"))</f>
        <v>Gloves</v>
      </c>
      <c r="H1804" s="19" t="str">
        <f>IF($F1804="","",IFERROR(INDEX(Items!$C$5:$C$597,MATCH($F1804,Items!$A$5:$A$597,0)),""))</f>
        <v>Small</v>
      </c>
      <c r="I1804" s="23">
        <f>IF($F1804="","",IFERROR(INDEX(Items!$E$5:$E$597,MATCH($F1804,Items!$A$5:$A$597,0)),""))</f>
        <v>500</v>
      </c>
      <c r="J1804" s="115">
        <f>IF(tblIssues[[#This Row],[Qty Override]]&lt;&gt;"",tblIssues[[#This Row],[Qty Override]],IF(tblIssues[[#This Row],[Standard Issue]]="","",tblIssues[[#This Row],[Standard Issue]]))</f>
        <v>500</v>
      </c>
      <c r="K1804" s="20">
        <f>IF($F1804="","",IFERROR(INDEX(Items!$D$5:$D$597,MATCH($F1804,Items!$A$5:$A$597,0)),""))</f>
        <v>5.5E-2</v>
      </c>
      <c r="L1804" s="21">
        <f t="shared" si="316"/>
        <v>27.5</v>
      </c>
      <c r="M1804" s="9" t="str">
        <f t="shared" si="314"/>
        <v/>
      </c>
      <c r="N1804" s="24">
        <f>IF($A1804="","",WORKDAY($A1804,Settings!$C$9,HolidayDates))</f>
        <v>46226</v>
      </c>
      <c r="O1804" s="24">
        <f>IF($N1804="","",WORKDAY($N1804,Settings!$C$10,HolidayDates))</f>
        <v>46266</v>
      </c>
      <c r="P1804" s="10" t="s">
        <v>502</v>
      </c>
      <c r="Q1804" s="52" t="str">
        <f t="shared" si="306"/>
        <v>Collected</v>
      </c>
      <c r="R1804" s="55" t="str">
        <f t="shared" si="307"/>
        <v>2026-07</v>
      </c>
      <c r="S1804" s="55">
        <f>IF(OR($B1804="",$F1804="",$R1804=""),"",SUMIFS(tblIssues[Qty Issued],tblIssues[Staff ID],$B1804,tblIssues[Item Name],$F1804,tblIssues[Month],$R1804))</f>
        <v>500</v>
      </c>
      <c r="T1804" s="56">
        <f>IF($I1804="","",$I1804*Settings!$C$11)</f>
        <v>500</v>
      </c>
      <c r="U1804" s="57" t="str">
        <f t="shared" si="315"/>
        <v>OK</v>
      </c>
      <c r="V1804" s="55" t="str">
        <f t="shared" si="308"/>
        <v/>
      </c>
      <c r="W1804" s="55" t="str">
        <f>IF($V1804="","",IF(COUNTIF($V$5:$V1804,$V1804)=1,1,""))</f>
        <v/>
      </c>
      <c r="X1804" s="58" t="str">
        <f>IF($W1804="","",MAX($X$4:X1803)+1)</f>
        <v/>
      </c>
      <c r="Y1804" s="62"/>
      <c r="Z1804" s="62"/>
      <c r="AA1804" s="64" t="str">
        <f>IF($C1804="","",IFERROR(INDEX('Staff Directory'!$E$5:$E$594,MATCH($C1804,'Staff Directory'!$B$5:$B$594,0)),""))</f>
        <v>firstname010.lastname010@example.com</v>
      </c>
      <c r="AB1804" s="64" t="str">
        <f>IF($C1804="","",IF(ISNUMBER(SEARCH($D1804,Settings!$C$15)),"Pickup","Dispatch"))</f>
        <v>Dispatch</v>
      </c>
      <c r="AC1804" s="64" t="str">
        <f t="shared" si="309"/>
        <v>Supply order dispatched</v>
      </c>
      <c r="AD1804" s="64" t="str">
        <f t="shared" si="311"/>
        <v>Dear RN,
Your order has been dispatched and is in transit. Reply if undelivered.</v>
      </c>
      <c r="AE1804" s="64" t="str">
        <f t="shared" si="312"/>
        <v>mailto:firstname010.lastname010@example.com?subject=Supply%20order%20dispatched&amp;body=Dear%20RN%2C%0A%0AYour%20order%20has%20been%20dispatched%20and%20is%20in%20transit.%20Reply%20if%20undelivered.</v>
      </c>
      <c r="AF1804" s="89" t="str">
        <f t="shared" si="310"/>
        <v>Draft email</v>
      </c>
      <c r="AG1804" s="64" t="str">
        <f>IF($C1804="","",IFERROR(INDEX('Staff Directory'!$K$595:$K$599,MATCH($C1804,'Staff Directory'!$B$5:$B$599,0)),$D1804))</f>
        <v>RN</v>
      </c>
      <c r="AH1804" t="str">
        <f>IF($C1804="","",IFERROR(INDEX('Staff Directory'!$I$595:$I$599,MATCH($C1804,'Staff Directory'!$B$5:$B$599,0))&amp;" "&amp;INDEX('Staff Directory'!$J$595:$J$599,MATCH($C1804,'Staff Directory'!$B$5:$B$599,0)),$AG1804))</f>
        <v>RN</v>
      </c>
      <c r="AI1804" s="102"/>
      <c r="AJ1804" s="101">
        <f>IF($F1804="","",SUMIFS($J$5:$J1804,$F$5:$F1804,$F1804))</f>
        <v>1000</v>
      </c>
      <c r="AK1804" s="101">
        <f t="shared" si="313"/>
        <v>501</v>
      </c>
      <c r="AL1804" s="66" t="str" cm="1">
        <f t="array" ref="AL1804">IF($F1804="","",IFERROR(INDEX('Lot Balance'!$B$5:$B$500,MATCH(1,INDEX(('Lot Balance'!$A$5:$A$500=$F1804)*('Lot Balance'!$K$5:$K$500&lt;$AK1804)*('Lot Balance'!$K$5:$K$500+'Lot Balance'!$D$5:$D$500&gt;=$AK1804),0),0)),""))</f>
        <v/>
      </c>
      <c r="AM1804" s="66" t="str" cm="1">
        <f t="array" ref="AM1804">IF($F1804="","",IFERROR(INDEX('Lot Balance'!$B$5:$B$500,MATCH(1,INDEX(('Lot Balance'!$A$5:$A$500=$F1804)*('Lot Balance'!$K$5:$K$500&lt;$AJ1804)*('Lot Balance'!$K$5:$K$500+'Lot Balance'!$D$5:$D$500&gt;=$AJ1804),0),0)),""))</f>
        <v/>
      </c>
      <c r="AN1804" s="66" t="str">
        <f>IF($F1804="","",IF($AI1804&lt;&gt;"",IF(COUNTIFS('Lot Balance'!$A$5:$A$500,$F1804,'Lot Balance'!$B$5:$B$500,$AI1804)=0,"⚠ override is not a lot of this item",IF($AI1804=$AL1804,"Override = FEFO","Override - FEFO says "&amp;$AL1804)),IF($AL1804="","⚠ no receipt on file for this item",IF($AM1804&lt;&gt;$AL1804,"FEFO auto - split, also "&amp;$AM1804,"FEFO auto"))))</f>
        <v>⚠ no receipt on file for this item</v>
      </c>
      <c r="AO1804" s="114"/>
    </row>
    <row r="1805" spans="1:41" x14ac:dyDescent="0.35">
      <c r="A1805" s="74">
        <v>46218</v>
      </c>
      <c r="B1805" s="18" t="str">
        <f>IF($C1805="","",IFERROR(INDEX('Staff Directory'!$A$5:$A$594,MATCH($C1805,'Staff Directory'!$B$5:$B$594,0)),"⚠ unknown staff"))</f>
        <v>RN-010-A2</v>
      </c>
      <c r="C1805" s="49" t="s">
        <v>926</v>
      </c>
      <c r="D1805" s="19" t="str">
        <f>IF($B1805="","",IFERROR(INDEX('Staff Directory'!$C$5:$C$594,MATCH($B1805,'Staff Directory'!$A$5:$A$594,0)),""))</f>
        <v>RN</v>
      </c>
      <c r="E1805" s="19" t="str">
        <f>IF($B1805="","",IFERROR(INDEX('Staff Directory'!$D$5:$D$594,MATCH($B1805,'Staff Directory'!$A$5:$A$594,0)),""))</f>
        <v>A2</v>
      </c>
      <c r="F1805" s="9" t="s">
        <v>191</v>
      </c>
      <c r="G1805" s="18" t="str">
        <f>IF($F1805="","",IFERROR(INDEX(Items!$B$5:$B$597,MATCH($F1805,Items!$A$5:$A$597,0)),"⚠ not in Items"))</f>
        <v>Sanitizer</v>
      </c>
      <c r="H1805" s="19" t="str">
        <f>IF($F1805="","",IFERROR(INDEX(Items!$C$5:$C$597,MATCH($F1805,Items!$A$5:$A$597,0)),""))</f>
        <v>236 ML</v>
      </c>
      <c r="I1805" s="23">
        <f>IF($F1805="","",IFERROR(INDEX(Items!$E$5:$E$597,MATCH($F1805,Items!$A$5:$A$597,0)),""))</f>
        <v>1</v>
      </c>
      <c r="J1805" s="115">
        <f>IF(tblIssues[[#This Row],[Qty Override]]&lt;&gt;"",tblIssues[[#This Row],[Qty Override]],IF(tblIssues[[#This Row],[Standard Issue]]="","",tblIssues[[#This Row],[Standard Issue]]))</f>
        <v>1</v>
      </c>
      <c r="K1805" s="20">
        <f>IF($F1805="","",IFERROR(INDEX(Items!$D$5:$D$597,MATCH($F1805,Items!$A$5:$A$597,0)),""))</f>
        <v>1E-4</v>
      </c>
      <c r="L1805" s="21">
        <f t="shared" si="316"/>
        <v>1E-4</v>
      </c>
      <c r="M1805" s="9" t="str">
        <f t="shared" si="314"/>
        <v>20-21734-5</v>
      </c>
      <c r="N1805" s="24">
        <f>IF($A1805="","",WORKDAY($A1805,Settings!$C$9,HolidayDates))</f>
        <v>46226</v>
      </c>
      <c r="O1805" s="24">
        <f>IF($N1805="","",WORKDAY($N1805,Settings!$C$10,HolidayDates))</f>
        <v>46266</v>
      </c>
      <c r="P1805" s="10" t="s">
        <v>502</v>
      </c>
      <c r="Q1805" s="52" t="str">
        <f t="shared" si="306"/>
        <v>Collected</v>
      </c>
      <c r="R1805" s="55" t="str">
        <f t="shared" si="307"/>
        <v>2026-07</v>
      </c>
      <c r="S1805" s="55">
        <f>IF(OR($B1805="",$F1805="",$R1805=""),"",SUMIFS(tblIssues[Qty Issued],tblIssues[Staff ID],$B1805,tblIssues[Item Name],$F1805,tblIssues[Month],$R1805))</f>
        <v>1</v>
      </c>
      <c r="T1805" s="56">
        <f>IF($I1805="","",$I1805*Settings!$C$11)</f>
        <v>1</v>
      </c>
      <c r="U1805" s="57" t="str">
        <f t="shared" si="315"/>
        <v>OK</v>
      </c>
      <c r="V1805" s="55" t="str">
        <f t="shared" si="308"/>
        <v/>
      </c>
      <c r="W1805" s="55" t="str">
        <f>IF($V1805="","",IF(COUNTIF($V$5:$V1805,$V1805)=1,1,""))</f>
        <v/>
      </c>
      <c r="X1805" s="58" t="str">
        <f>IF($W1805="","",MAX($X$4:X1804)+1)</f>
        <v/>
      </c>
      <c r="Y1805" s="62"/>
      <c r="Z1805" s="62"/>
      <c r="AA1805" s="64" t="str">
        <f>IF($C1805="","",IFERROR(INDEX('Staff Directory'!$E$5:$E$594,MATCH($C1805,'Staff Directory'!$B$5:$B$594,0)),""))</f>
        <v>firstname010.lastname010@example.com</v>
      </c>
      <c r="AB1805" s="64" t="str">
        <f>IF($C1805="","",IF(ISNUMBER(SEARCH($D1805,Settings!$C$15)),"Pickup","Dispatch"))</f>
        <v>Dispatch</v>
      </c>
      <c r="AC1805" s="64" t="str">
        <f t="shared" si="309"/>
        <v>Supply order dispatched</v>
      </c>
      <c r="AD1805" s="64" t="str">
        <f t="shared" si="311"/>
        <v>Dear RN,
Your order has been dispatched and is in transit. Reply if undelivered.</v>
      </c>
      <c r="AE1805" s="64" t="str">
        <f t="shared" si="312"/>
        <v>mailto:firstname010.lastname010@example.com?subject=Supply%20order%20dispatched&amp;body=Dear%20RN%2C%0A%0AYour%20order%20has%20been%20dispatched%20and%20is%20in%20transit.%20Reply%20if%20undelivered.</v>
      </c>
      <c r="AF1805" s="89" t="str">
        <f t="shared" si="310"/>
        <v>Draft email</v>
      </c>
      <c r="AG1805" s="64" t="str">
        <f>IF($C1805="","",IFERROR(INDEX('Staff Directory'!$K$595:$K$599,MATCH($C1805,'Staff Directory'!$B$5:$B$599,0)),$D1805))</f>
        <v>RN</v>
      </c>
      <c r="AH1805" t="str">
        <f>IF($C1805="","",IFERROR(INDEX('Staff Directory'!$I$595:$I$599,MATCH($C1805,'Staff Directory'!$B$5:$B$599,0))&amp;" "&amp;INDEX('Staff Directory'!$J$595:$J$599,MATCH($C1805,'Staff Directory'!$B$5:$B$599,0)),$AG1805))</f>
        <v>RN</v>
      </c>
      <c r="AI1805" s="102"/>
      <c r="AJ1805" s="101">
        <f>IF($F1805="","",SUMIFS($J$5:$J1805,$F$5:$F1805,$F1805))</f>
        <v>240</v>
      </c>
      <c r="AK1805" s="101">
        <f t="shared" si="313"/>
        <v>240</v>
      </c>
      <c r="AL1805" s="66" t="str" cm="1">
        <f t="array" ref="AL1805">IF($F1805="","",IFERROR(INDEX('Lot Balance'!$B$5:$B$500,MATCH(1,INDEX(('Lot Balance'!$A$5:$A$500=$F1805)*('Lot Balance'!$K$5:$K$500&lt;$AK1805)*('Lot Balance'!$K$5:$K$500+'Lot Balance'!$D$5:$D$500&gt;=$AK1805),0),0)),""))</f>
        <v>20-21734-5</v>
      </c>
      <c r="AM1805" s="66" t="str" cm="1">
        <f t="array" ref="AM1805">IF($F1805="","",IFERROR(INDEX('Lot Balance'!$B$5:$B$500,MATCH(1,INDEX(('Lot Balance'!$A$5:$A$500=$F1805)*('Lot Balance'!$K$5:$K$500&lt;$AJ1805)*('Lot Balance'!$K$5:$K$500+'Lot Balance'!$D$5:$D$500&gt;=$AJ1805),0),0)),""))</f>
        <v>20-21734-5</v>
      </c>
      <c r="AN1805" s="66" t="str">
        <f>IF($F1805="","",IF($AI1805&lt;&gt;"",IF(COUNTIFS('Lot Balance'!$A$5:$A$500,$F1805,'Lot Balance'!$B$5:$B$500,$AI1805)=0,"⚠ override is not a lot of this item",IF($AI1805=$AL1805,"Override = FEFO","Override - FEFO says "&amp;$AL1805)),IF($AL1805="","⚠ no receipt on file for this item",IF($AM1805&lt;&gt;$AL1805,"FEFO auto - split, also "&amp;$AM1805,"FEFO auto"))))</f>
        <v>FEFO auto</v>
      </c>
      <c r="AO1805" s="114"/>
    </row>
    <row r="1806" spans="1:41" x14ac:dyDescent="0.35">
      <c r="A1806" s="74">
        <v>46218</v>
      </c>
      <c r="B1806" s="18" t="str">
        <f>IF($C1806="","",IFERROR(INDEX('Staff Directory'!$A$5:$A$594,MATCH($C1806,'Staff Directory'!$B$5:$B$594,0)),"⚠ unknown staff"))</f>
        <v>RN-010-A2</v>
      </c>
      <c r="C1806" s="49" t="s">
        <v>926</v>
      </c>
      <c r="D1806" s="19" t="str">
        <f>IF($B1806="","",IFERROR(INDEX('Staff Directory'!$C$5:$C$594,MATCH($B1806,'Staff Directory'!$A$5:$A$594,0)),""))</f>
        <v>RN</v>
      </c>
      <c r="E1806" s="19" t="str">
        <f>IF($B1806="","",IFERROR(INDEX('Staff Directory'!$D$5:$D$594,MATCH($B1806,'Staff Directory'!$A$5:$A$594,0)),""))</f>
        <v>A2</v>
      </c>
      <c r="F1806" s="9" t="s">
        <v>137</v>
      </c>
      <c r="G1806" s="18" t="str">
        <f>IF($F1806="","",IFERROR(INDEX(Items!$B$5:$B$597,MATCH($F1806,Items!$A$5:$A$597,0)),"⚠ not in Items"))</f>
        <v>Sanitizer</v>
      </c>
      <c r="H1806" s="19" t="str">
        <f>IF($F1806="","",IFERROR(INDEX(Items!$C$5:$C$597,MATCH($F1806,Items!$A$5:$A$597,0)),""))</f>
        <v>118 ML</v>
      </c>
      <c r="I1806" s="23">
        <f>IF($F1806="","",IFERROR(INDEX(Items!$E$5:$E$597,MATCH($F1806,Items!$A$5:$A$597,0)),""))</f>
        <v>2</v>
      </c>
      <c r="J1806" s="115">
        <f>IF(tblIssues[[#This Row],[Qty Override]]&lt;&gt;"",tblIssues[[#This Row],[Qty Override]],IF(tblIssues[[#This Row],[Standard Issue]]="","",tblIssues[[#This Row],[Standard Issue]]))</f>
        <v>2</v>
      </c>
      <c r="K1806" s="20">
        <f>IF($F1806="","",IFERROR(INDEX(Items!$D$5:$D$597,MATCH($F1806,Items!$A$5:$A$597,0)),""))</f>
        <v>4.49</v>
      </c>
      <c r="L1806" s="21">
        <f t="shared" si="316"/>
        <v>8.98</v>
      </c>
      <c r="M1806" s="9" t="str">
        <f t="shared" si="314"/>
        <v>563963-7</v>
      </c>
      <c r="N1806" s="24">
        <f>IF($A1806="","",WORKDAY($A1806,Settings!$C$9,HolidayDates))</f>
        <v>46226</v>
      </c>
      <c r="O1806" s="24">
        <f>IF($N1806="","",WORKDAY($N1806,Settings!$C$10,HolidayDates))</f>
        <v>46266</v>
      </c>
      <c r="P1806" s="10" t="s">
        <v>502</v>
      </c>
      <c r="Q1806" s="52" t="str">
        <f t="shared" ref="Q1806:Q1869" si="317">IF($A1806="","",IF($P1806&lt;&gt;"","Collected","Pending"))</f>
        <v>Collected</v>
      </c>
      <c r="R1806" s="55" t="str">
        <f t="shared" ref="R1806:R1869" si="318">IF($A1806="","",TEXT($A1806,"yyyy-mm"))</f>
        <v>2026-07</v>
      </c>
      <c r="S1806" s="55">
        <f>IF(OR($B1806="",$F1806="",$R1806=""),"",SUMIFS(tblIssues[Qty Issued],tblIssues[Staff ID],$B1806,tblIssues[Item Name],$F1806,tblIssues[Month],$R1806))</f>
        <v>2</v>
      </c>
      <c r="T1806" s="56">
        <f>IF($I1806="","",$I1806*Settings!$C$11)</f>
        <v>2</v>
      </c>
      <c r="U1806" s="57" t="str">
        <f t="shared" si="315"/>
        <v>OK</v>
      </c>
      <c r="V1806" s="55" t="str">
        <f t="shared" ref="V1806:V1869" si="319">IF($U1806="⚠ OVER QUOTA",$B1806&amp;" | "&amp;$F1806&amp;" | "&amp;$R1806,"")</f>
        <v/>
      </c>
      <c r="W1806" s="55" t="str">
        <f>IF($V1806="","",IF(COUNTIF($V$5:$V1806,$V1806)=1,1,""))</f>
        <v/>
      </c>
      <c r="X1806" s="58" t="str">
        <f>IF($W1806="","",MAX($X$4:X1805)+1)</f>
        <v/>
      </c>
      <c r="Y1806" s="62"/>
      <c r="Z1806" s="62"/>
      <c r="AA1806" s="64" t="str">
        <f>IF($C1806="","",IFERROR(INDEX('Staff Directory'!$E$5:$E$594,MATCH($C1806,'Staff Directory'!$B$5:$B$594,0)),""))</f>
        <v>firstname010.lastname010@example.com</v>
      </c>
      <c r="AB1806" s="64" t="str">
        <f>IF($C1806="","",IF(ISNUMBER(SEARCH($D1806,Settings!$C$15)),"Pickup","Dispatch"))</f>
        <v>Dispatch</v>
      </c>
      <c r="AC1806" s="64" t="str">
        <f t="shared" ref="AC1806:AC1869" si="320">IF($AB1806="Pickup","Supply order ready for pickup",IF($AB1806="Dispatch","Supply order dispatched",""))</f>
        <v>Supply order dispatched</v>
      </c>
      <c r="AD1806" s="64" t="str">
        <f t="shared" si="311"/>
        <v>Dear RN,
Your order has been dispatched and is in transit. Reply if undelivered.</v>
      </c>
      <c r="AE1806" s="64" t="str">
        <f t="shared" si="312"/>
        <v>mailto:firstname010.lastname010@example.com?subject=Supply%20order%20dispatched&amp;body=Dear%20RN%2C%0A%0AYour%20order%20has%20been%20dispatched%20and%20is%20in%20transit.%20Reply%20if%20undelivered.</v>
      </c>
      <c r="AF1806" s="89" t="str">
        <f t="shared" ref="AF1806:AF1869" si="321">IF(AE1806="","",HYPERLINK(AE1806,"Draft email"))</f>
        <v>Draft email</v>
      </c>
      <c r="AG1806" s="64" t="str">
        <f>IF($C1806="","",IFERROR(INDEX('Staff Directory'!$K$595:$K$599,MATCH($C1806,'Staff Directory'!$B$5:$B$599,0)),$D1806))</f>
        <v>RN</v>
      </c>
      <c r="AH1806" t="str">
        <f>IF($C1806="","",IFERROR(INDEX('Staff Directory'!$I$595:$I$599,MATCH($C1806,'Staff Directory'!$B$5:$B$599,0))&amp;" "&amp;INDEX('Staff Directory'!$J$595:$J$599,MATCH($C1806,'Staff Directory'!$B$5:$B$599,0)),$AG1806))</f>
        <v>RN</v>
      </c>
      <c r="AI1806" s="102"/>
      <c r="AJ1806" s="101">
        <f>IF($F1806="","",SUMIFS($J$5:$J1806,$F$5:$F1806,$F1806))</f>
        <v>156</v>
      </c>
      <c r="AK1806" s="101">
        <f t="shared" si="313"/>
        <v>155</v>
      </c>
      <c r="AL1806" s="66" t="str" cm="1">
        <f t="array" ref="AL1806">IF($F1806="","",IFERROR(INDEX('Lot Balance'!$B$5:$B$500,MATCH(1,INDEX(('Lot Balance'!$A$5:$A$500=$F1806)*('Lot Balance'!$K$5:$K$500&lt;$AK1806)*('Lot Balance'!$K$5:$K$500+'Lot Balance'!$D$5:$D$500&gt;=$AK1806),0),0)),""))</f>
        <v>563963-7</v>
      </c>
      <c r="AM1806" s="66" t="str" cm="1">
        <f t="array" ref="AM1806">IF($F1806="","",IFERROR(INDEX('Lot Balance'!$B$5:$B$500,MATCH(1,INDEX(('Lot Balance'!$A$5:$A$500=$F1806)*('Lot Balance'!$K$5:$K$500&lt;$AJ1806)*('Lot Balance'!$K$5:$K$500+'Lot Balance'!$D$5:$D$500&gt;=$AJ1806),0),0)),""))</f>
        <v/>
      </c>
      <c r="AN1806" s="66" t="str">
        <f>IF($F1806="","",IF($AI1806&lt;&gt;"",IF(COUNTIFS('Lot Balance'!$A$5:$A$500,$F1806,'Lot Balance'!$B$5:$B$500,$AI1806)=0,"⚠ override is not a lot of this item",IF($AI1806=$AL1806,"Override = FEFO","Override - FEFO says "&amp;$AL1806)),IF($AL1806="","⚠ no receipt on file for this item",IF($AM1806&lt;&gt;$AL1806,"FEFO auto - split, also "&amp;$AM1806,"FEFO auto"))))</f>
        <v xml:space="preserve">FEFO auto - split, also </v>
      </c>
      <c r="AO1806" s="114"/>
    </row>
    <row r="1807" spans="1:41" x14ac:dyDescent="0.35">
      <c r="A1807" s="74">
        <v>46218</v>
      </c>
      <c r="B1807" s="18" t="str">
        <f>IF($C1807="","",IFERROR(INDEX('Staff Directory'!$A$5:$A$594,MATCH($C1807,'Staff Directory'!$B$5:$B$594,0)),"⚠ unknown staff"))</f>
        <v>RN-010-A2</v>
      </c>
      <c r="C1807" s="49" t="s">
        <v>926</v>
      </c>
      <c r="D1807" s="19" t="str">
        <f>IF($B1807="","",IFERROR(INDEX('Staff Directory'!$C$5:$C$594,MATCH($B1807,'Staff Directory'!$A$5:$A$594,0)),""))</f>
        <v>RN</v>
      </c>
      <c r="E1807" s="19" t="str">
        <f>IF($B1807="","",IFERROR(INDEX('Staff Directory'!$D$5:$D$594,MATCH($B1807,'Staff Directory'!$A$5:$A$594,0)),""))</f>
        <v>A2</v>
      </c>
      <c r="F1807" s="9" t="s">
        <v>758</v>
      </c>
      <c r="G1807" s="18" t="str">
        <f>IF($F1807="","",IFERROR(INDEX(Items!$B$5:$B$597,MATCH($F1807,Items!$A$5:$A$597,0)),"⚠ not in Items"))</f>
        <v>Utility</v>
      </c>
      <c r="H1807" s="19" t="str">
        <f>IF($F1807="","",IFERROR(INDEX(Items!$C$5:$C$597,MATCH($F1807,Items!$A$5:$A$597,0)),""))</f>
        <v>Standard</v>
      </c>
      <c r="I1807" s="23">
        <f>IF($F1807="","",IFERROR(INDEX(Items!$E$5:$E$597,MATCH($F1807,Items!$A$5:$A$597,0)),""))</f>
        <v>1</v>
      </c>
      <c r="J1807" s="115">
        <f>IF(tblIssues[[#This Row],[Qty Override]]&lt;&gt;"",tblIssues[[#This Row],[Qty Override]],IF(tblIssues[[#This Row],[Standard Issue]]="","",tblIssues[[#This Row],[Standard Issue]]))</f>
        <v>1</v>
      </c>
      <c r="K1807" s="20">
        <f>IF($F1807="","",IFERROR(INDEX(Items!$D$5:$D$597,MATCH($F1807,Items!$A$5:$A$597,0)),""))</f>
        <v>0</v>
      </c>
      <c r="L1807" s="21">
        <f t="shared" si="316"/>
        <v>0</v>
      </c>
      <c r="M1807" s="9" t="str">
        <f t="shared" si="314"/>
        <v/>
      </c>
      <c r="N1807" s="24">
        <f>IF($A1807="","",WORKDAY($A1807,Settings!$C$9,HolidayDates))</f>
        <v>46226</v>
      </c>
      <c r="O1807" s="24">
        <f>IF($N1807="","",WORKDAY($N1807,Settings!$C$10,HolidayDates))</f>
        <v>46266</v>
      </c>
      <c r="P1807" s="10" t="s">
        <v>502</v>
      </c>
      <c r="Q1807" s="52" t="str">
        <f t="shared" si="317"/>
        <v>Collected</v>
      </c>
      <c r="R1807" s="55" t="str">
        <f t="shared" si="318"/>
        <v>2026-07</v>
      </c>
      <c r="S1807" s="55">
        <f>IF(OR($B1807="",$F1807="",$R1807=""),"",SUMIFS(tblIssues[Qty Issued],tblIssues[Staff ID],$B1807,tblIssues[Item Name],$F1807,tblIssues[Month],$R1807))</f>
        <v>2</v>
      </c>
      <c r="T1807" s="56">
        <f>IF($I1807="","",$I1807*Settings!$C$11)</f>
        <v>1</v>
      </c>
      <c r="U1807" s="57" t="str">
        <f t="shared" si="315"/>
        <v>⚠ OVER QUOTA</v>
      </c>
      <c r="V1807" s="55" t="str">
        <f t="shared" si="319"/>
        <v>RN-010-A2 | Sample Org Week Water Bottle | 2026-07</v>
      </c>
      <c r="W1807" s="55">
        <f>IF($V1807="","",IF(COUNTIF($V$5:$V1807,$V1807)=1,1,""))</f>
        <v>1</v>
      </c>
      <c r="X1807" s="58">
        <f>IF($W1807="","",MAX($X$4:X1806)+1)</f>
        <v>61</v>
      </c>
      <c r="Y1807" s="62"/>
      <c r="Z1807" s="62"/>
      <c r="AA1807" s="64" t="str">
        <f>IF($C1807="","",IFERROR(INDEX('Staff Directory'!$E$5:$E$594,MATCH($C1807,'Staff Directory'!$B$5:$B$594,0)),""))</f>
        <v>firstname010.lastname010@example.com</v>
      </c>
      <c r="AB1807" s="64" t="str">
        <f>IF($C1807="","",IF(ISNUMBER(SEARCH($D1807,Settings!$C$15)),"Pickup","Dispatch"))</f>
        <v>Dispatch</v>
      </c>
      <c r="AC1807" s="64" t="str">
        <f t="shared" si="320"/>
        <v>Supply order dispatched</v>
      </c>
      <c r="AD1807" s="64" t="str">
        <f t="shared" si="311"/>
        <v>Dear RN,
Your order has been dispatched and is in transit. Reply if undelivered.</v>
      </c>
      <c r="AE1807" s="64" t="str">
        <f t="shared" si="312"/>
        <v>mailto:firstname010.lastname010@example.com?subject=Supply%20order%20dispatched&amp;body=Dear%20RN%2C%0A%0AYour%20order%20has%20been%20dispatched%20and%20is%20in%20transit.%20Reply%20if%20undelivered.</v>
      </c>
      <c r="AF1807" s="89" t="str">
        <f t="shared" si="321"/>
        <v>Draft email</v>
      </c>
      <c r="AG1807" s="64" t="str">
        <f>IF($C1807="","",IFERROR(INDEX('Staff Directory'!$K$595:$K$599,MATCH($C1807,'Staff Directory'!$B$5:$B$599,0)),$D1807))</f>
        <v>RN</v>
      </c>
      <c r="AH1807" t="str">
        <f>IF($C1807="","",IFERROR(INDEX('Staff Directory'!$I$595:$I$599,MATCH($C1807,'Staff Directory'!$B$5:$B$599,0))&amp;" "&amp;INDEX('Staff Directory'!$J$595:$J$599,MATCH($C1807,'Staff Directory'!$B$5:$B$599,0)),$AG1807))</f>
        <v>RN</v>
      </c>
      <c r="AI1807" s="102"/>
      <c r="AJ1807" s="101">
        <f>IF($F1807="","",SUMIFS($J$5:$J1807,$F$5:$F1807,$F1807))</f>
        <v>71</v>
      </c>
      <c r="AK1807" s="101">
        <f t="shared" si="313"/>
        <v>71</v>
      </c>
      <c r="AL1807" s="66" t="str" cm="1">
        <f t="array" ref="AL1807">IF($F1807="","",IFERROR(INDEX('Lot Balance'!$B$5:$B$500,MATCH(1,INDEX(('Lot Balance'!$A$5:$A$500=$F1807)*('Lot Balance'!$K$5:$K$500&lt;$AK1807)*('Lot Balance'!$K$5:$K$500+'Lot Balance'!$D$5:$D$500&gt;=$AK1807),0),0)),""))</f>
        <v/>
      </c>
      <c r="AM1807" s="66" t="str" cm="1">
        <f t="array" ref="AM1807">IF($F1807="","",IFERROR(INDEX('Lot Balance'!$B$5:$B$500,MATCH(1,INDEX(('Lot Balance'!$A$5:$A$500=$F1807)*('Lot Balance'!$K$5:$K$500&lt;$AJ1807)*('Lot Balance'!$K$5:$K$500+'Lot Balance'!$D$5:$D$500&gt;=$AJ1807),0),0)),""))</f>
        <v/>
      </c>
      <c r="AN1807" s="66" t="str">
        <f>IF($F1807="","",IF($AI1807&lt;&gt;"",IF(COUNTIFS('Lot Balance'!$A$5:$A$500,$F1807,'Lot Balance'!$B$5:$B$500,$AI1807)=0,"⚠ override is not a lot of this item",IF($AI1807=$AL1807,"Override = FEFO","Override - FEFO says "&amp;$AL1807)),IF($AL1807="","⚠ no receipt on file for this item",IF($AM1807&lt;&gt;$AL1807,"FEFO auto - split, also "&amp;$AM1807,"FEFO auto"))))</f>
        <v>⚠ no receipt on file for this item</v>
      </c>
      <c r="AO1807" s="114"/>
    </row>
    <row r="1808" spans="1:41" x14ac:dyDescent="0.35">
      <c r="A1808" s="74">
        <v>46219</v>
      </c>
      <c r="B1808" s="18" t="str">
        <f>IF($C1808="","",IFERROR(INDEX('Staff Directory'!$A$5:$A$594,MATCH($C1808,'Staff Directory'!$B$5:$B$594,0)),"⚠ unknown staff"))</f>
        <v>RN-024-A2</v>
      </c>
      <c r="C1808" s="49" t="s">
        <v>944</v>
      </c>
      <c r="D1808" s="19" t="str">
        <f>IF($B1808="","",IFERROR(INDEX('Staff Directory'!$C$5:$C$594,MATCH($B1808,'Staff Directory'!$A$5:$A$594,0)),""))</f>
        <v>RN</v>
      </c>
      <c r="E1808" s="19" t="str">
        <f>IF($B1808="","",IFERROR(INDEX('Staff Directory'!$D$5:$D$594,MATCH($B1808,'Staff Directory'!$A$5:$A$594,0)),""))</f>
        <v>A2</v>
      </c>
      <c r="F1808" s="9" t="s">
        <v>127</v>
      </c>
      <c r="G1808" s="18" t="str">
        <f>IF($F1808="","",IFERROR(INDEX(Items!$B$5:$B$597,MATCH($F1808,Items!$A$5:$A$597,0)),"⚠ not in Items"))</f>
        <v>Gloves</v>
      </c>
      <c r="H1808" s="19" t="str">
        <f>IF($F1808="","",IFERROR(INDEX(Items!$C$5:$C$597,MATCH($F1808,Items!$A$5:$A$597,0)),""))</f>
        <v>Medium</v>
      </c>
      <c r="I1808" s="23">
        <f>IF($F1808="","",IFERROR(INDEX(Items!$E$5:$E$597,MATCH($F1808,Items!$A$5:$A$597,0)),""))</f>
        <v>500</v>
      </c>
      <c r="J1808" s="115">
        <f>IF(tblIssues[[#This Row],[Qty Override]]&lt;&gt;"",tblIssues[[#This Row],[Qty Override]],IF(tblIssues[[#This Row],[Standard Issue]]="","",tblIssues[[#This Row],[Standard Issue]]))</f>
        <v>500</v>
      </c>
      <c r="K1808" s="20">
        <f>IF($F1808="","",IFERROR(INDEX(Items!$D$5:$D$597,MATCH($F1808,Items!$A$5:$A$597,0)),""))</f>
        <v>5.5E-2</v>
      </c>
      <c r="L1808" s="21">
        <f t="shared" si="316"/>
        <v>27.5</v>
      </c>
      <c r="M1808" s="9" t="str">
        <f t="shared" si="314"/>
        <v>ZIM604151579</v>
      </c>
      <c r="N1808" s="24">
        <f>IF($A1808="","",WORKDAY($A1808,Settings!$C$9,HolidayDates))</f>
        <v>46227</v>
      </c>
      <c r="O1808" s="24">
        <f>IF($N1808="","",WORKDAY($N1808,Settings!$C$10,HolidayDates))</f>
        <v>46267</v>
      </c>
      <c r="P1808" s="10" t="s">
        <v>502</v>
      </c>
      <c r="Q1808" s="52" t="str">
        <f t="shared" si="317"/>
        <v>Collected</v>
      </c>
      <c r="R1808" s="55" t="str">
        <f t="shared" si="318"/>
        <v>2026-07</v>
      </c>
      <c r="S1808" s="55">
        <f>IF(OR($B1808="",$F1808="",$R1808=""),"",SUMIFS(tblIssues[Qty Issued],tblIssues[Staff ID],$B1808,tblIssues[Item Name],$F1808,tblIssues[Month],$R1808))</f>
        <v>500</v>
      </c>
      <c r="T1808" s="56">
        <f>IF($I1808="","",$I1808*Settings!$C$11)</f>
        <v>500</v>
      </c>
      <c r="U1808" s="57" t="str">
        <f t="shared" si="315"/>
        <v>OK</v>
      </c>
      <c r="V1808" s="55" t="str">
        <f t="shared" si="319"/>
        <v/>
      </c>
      <c r="W1808" s="55" t="str">
        <f>IF($V1808="","",IF(COUNTIF($V$5:$V1808,$V1808)=1,1,""))</f>
        <v/>
      </c>
      <c r="X1808" s="58" t="str">
        <f>IF($W1808="","",MAX($X$4:X1807)+1)</f>
        <v/>
      </c>
      <c r="Y1808" s="62"/>
      <c r="Z1808" s="62"/>
      <c r="AA1808" s="64" t="str">
        <f>IF($C1808="","",IFERROR(INDEX('Staff Directory'!$E$5:$E$594,MATCH($C1808,'Staff Directory'!$B$5:$B$594,0)),""))</f>
        <v>firstname028.lastname028@example.com</v>
      </c>
      <c r="AB1808" s="64" t="str">
        <f>IF($C1808="","",IF(ISNUMBER(SEARCH($D1808,Settings!$C$15)),"Pickup","Dispatch"))</f>
        <v>Dispatch</v>
      </c>
      <c r="AC1808" s="64" t="str">
        <f t="shared" si="320"/>
        <v>Supply order dispatched</v>
      </c>
      <c r="AD1808" s="64" t="str">
        <f t="shared" si="311"/>
        <v>Dear RN,
Your order has been dispatched and is in transit. Reply if undelivered.</v>
      </c>
      <c r="AE1808" s="64" t="str">
        <f t="shared" si="312"/>
        <v>mailto:firstname028.lastname028@example.com?subject=Supply%20order%20dispatched&amp;body=Dear%20RN%2C%0A%0AYour%20order%20has%20been%20dispatched%20and%20is%20in%20transit.%20Reply%20if%20undelivered.</v>
      </c>
      <c r="AF1808" s="89" t="str">
        <f t="shared" si="321"/>
        <v>Draft email</v>
      </c>
      <c r="AG1808" s="64" t="str">
        <f>IF($C1808="","",IFERROR(INDEX('Staff Directory'!$K$595:$K$599,MATCH($C1808,'Staff Directory'!$B$5:$B$599,0)),$D1808))</f>
        <v>RN</v>
      </c>
      <c r="AH1808" t="str">
        <f>IF($C1808="","",IFERROR(INDEX('Staff Directory'!$I$595:$I$599,MATCH($C1808,'Staff Directory'!$B$5:$B$599,0))&amp;" "&amp;INDEX('Staff Directory'!$J$595:$J$599,MATCH($C1808,'Staff Directory'!$B$5:$B$599,0)),$AG1808))</f>
        <v>RN</v>
      </c>
      <c r="AI1808" s="102"/>
      <c r="AJ1808" s="101">
        <f>IF($F1808="","",SUMIFS($J$5:$J1808,$F$5:$F1808,$F1808))</f>
        <v>108500</v>
      </c>
      <c r="AK1808" s="101">
        <f t="shared" si="313"/>
        <v>108001</v>
      </c>
      <c r="AL1808" s="66" t="str" cm="1">
        <f t="array" ref="AL1808">IF($F1808="","",IFERROR(INDEX('Lot Balance'!$B$5:$B$500,MATCH(1,INDEX(('Lot Balance'!$A$5:$A$500=$F1808)*('Lot Balance'!$K$5:$K$500&lt;$AK1808)*('Lot Balance'!$K$5:$K$500+'Lot Balance'!$D$5:$D$500&gt;=$AK1808),0),0)),""))</f>
        <v>ZIM604151579</v>
      </c>
      <c r="AM1808" s="66" t="str" cm="1">
        <f t="array" ref="AM1808">IF($F1808="","",IFERROR(INDEX('Lot Balance'!$B$5:$B$500,MATCH(1,INDEX(('Lot Balance'!$A$5:$A$500=$F1808)*('Lot Balance'!$K$5:$K$500&lt;$AJ1808)*('Lot Balance'!$K$5:$K$500+'Lot Balance'!$D$5:$D$500&gt;=$AJ1808),0),0)),""))</f>
        <v>ZIM604151579</v>
      </c>
      <c r="AN1808" s="66" t="str">
        <f>IF($F1808="","",IF($AI1808&lt;&gt;"",IF(COUNTIFS('Lot Balance'!$A$5:$A$500,$F1808,'Lot Balance'!$B$5:$B$500,$AI1808)=0,"⚠ override is not a lot of this item",IF($AI1808=$AL1808,"Override = FEFO","Override - FEFO says "&amp;$AL1808)),IF($AL1808="","⚠ no receipt on file for this item",IF($AM1808&lt;&gt;$AL1808,"FEFO auto - split, also "&amp;$AM1808,"FEFO auto"))))</f>
        <v>FEFO auto</v>
      </c>
      <c r="AO1808" s="114"/>
    </row>
    <row r="1809" spans="1:41" x14ac:dyDescent="0.35">
      <c r="A1809" s="74">
        <v>46219</v>
      </c>
      <c r="B1809" s="18" t="str">
        <f>IF($C1809="","",IFERROR(INDEX('Staff Directory'!$A$5:$A$594,MATCH($C1809,'Staff Directory'!$B$5:$B$594,0)),"⚠ unknown staff"))</f>
        <v>RN-024-A2</v>
      </c>
      <c r="C1809" s="49" t="s">
        <v>944</v>
      </c>
      <c r="D1809" s="19" t="str">
        <f>IF($B1809="","",IFERROR(INDEX('Staff Directory'!$C$5:$C$594,MATCH($B1809,'Staff Directory'!$A$5:$A$594,0)),""))</f>
        <v>RN</v>
      </c>
      <c r="E1809" s="19" t="str">
        <f>IF($B1809="","",IFERROR(INDEX('Staff Directory'!$D$5:$D$594,MATCH($B1809,'Staff Directory'!$A$5:$A$594,0)),""))</f>
        <v>A2</v>
      </c>
      <c r="F1809" s="9" t="s">
        <v>191</v>
      </c>
      <c r="G1809" s="18" t="str">
        <f>IF($F1809="","",IFERROR(INDEX(Items!$B$5:$B$597,MATCH($F1809,Items!$A$5:$A$597,0)),"⚠ not in Items"))</f>
        <v>Sanitizer</v>
      </c>
      <c r="H1809" s="19" t="str">
        <f>IF($F1809="","",IFERROR(INDEX(Items!$C$5:$C$597,MATCH($F1809,Items!$A$5:$A$597,0)),""))</f>
        <v>236 ML</v>
      </c>
      <c r="I1809" s="23">
        <f>IF($F1809="","",IFERROR(INDEX(Items!$E$5:$E$597,MATCH($F1809,Items!$A$5:$A$597,0)),""))</f>
        <v>1</v>
      </c>
      <c r="J1809" s="115">
        <f>IF(tblIssues[[#This Row],[Qty Override]]&lt;&gt;"",tblIssues[[#This Row],[Qty Override]],IF(tblIssues[[#This Row],[Standard Issue]]="","",tblIssues[[#This Row],[Standard Issue]]))</f>
        <v>1</v>
      </c>
      <c r="K1809" s="20">
        <f>IF($F1809="","",IFERROR(INDEX(Items!$D$5:$D$597,MATCH($F1809,Items!$A$5:$A$597,0)),""))</f>
        <v>1E-4</v>
      </c>
      <c r="L1809" s="21">
        <f t="shared" si="316"/>
        <v>1E-4</v>
      </c>
      <c r="M1809" s="9" t="str">
        <f t="shared" si="314"/>
        <v>20-21734-5</v>
      </c>
      <c r="N1809" s="24">
        <f>IF($A1809="","",WORKDAY($A1809,Settings!$C$9,HolidayDates))</f>
        <v>46227</v>
      </c>
      <c r="O1809" s="24">
        <f>IF($N1809="","",WORKDAY($N1809,Settings!$C$10,HolidayDates))</f>
        <v>46267</v>
      </c>
      <c r="P1809" s="10" t="s">
        <v>502</v>
      </c>
      <c r="Q1809" s="52" t="str">
        <f t="shared" si="317"/>
        <v>Collected</v>
      </c>
      <c r="R1809" s="55" t="str">
        <f t="shared" si="318"/>
        <v>2026-07</v>
      </c>
      <c r="S1809" s="55">
        <f>IF(OR($B1809="",$F1809="",$R1809=""),"",SUMIFS(tblIssues[Qty Issued],tblIssues[Staff ID],$B1809,tblIssues[Item Name],$F1809,tblIssues[Month],$R1809))</f>
        <v>1</v>
      </c>
      <c r="T1809" s="56">
        <f>IF($I1809="","",$I1809*Settings!$C$11)</f>
        <v>1</v>
      </c>
      <c r="U1809" s="57" t="str">
        <f t="shared" si="315"/>
        <v>OK</v>
      </c>
      <c r="V1809" s="55" t="str">
        <f t="shared" si="319"/>
        <v/>
      </c>
      <c r="W1809" s="55" t="str">
        <f>IF($V1809="","",IF(COUNTIF($V$5:$V1809,$V1809)=1,1,""))</f>
        <v/>
      </c>
      <c r="X1809" s="58" t="str">
        <f>IF($W1809="","",MAX($X$4:X1808)+1)</f>
        <v/>
      </c>
      <c r="Y1809" s="62"/>
      <c r="Z1809" s="62"/>
      <c r="AA1809" s="64" t="str">
        <f>IF($C1809="","",IFERROR(INDEX('Staff Directory'!$E$5:$E$594,MATCH($C1809,'Staff Directory'!$B$5:$B$594,0)),""))</f>
        <v>firstname028.lastname028@example.com</v>
      </c>
      <c r="AB1809" s="64" t="str">
        <f>IF($C1809="","",IF(ISNUMBER(SEARCH($D1809,Settings!$C$15)),"Pickup","Dispatch"))</f>
        <v>Dispatch</v>
      </c>
      <c r="AC1809" s="64" t="str">
        <f t="shared" si="320"/>
        <v>Supply order dispatched</v>
      </c>
      <c r="AD1809" s="64" t="str">
        <f t="shared" si="311"/>
        <v>Dear RN,
Your order has been dispatched and is in transit. Reply if undelivered.</v>
      </c>
      <c r="AE1809" s="64" t="str">
        <f t="shared" si="312"/>
        <v>mailto:firstname028.lastname028@example.com?subject=Supply%20order%20dispatched&amp;body=Dear%20RN%2C%0A%0AYour%20order%20has%20been%20dispatched%20and%20is%20in%20transit.%20Reply%20if%20undelivered.</v>
      </c>
      <c r="AF1809" s="89" t="str">
        <f t="shared" si="321"/>
        <v>Draft email</v>
      </c>
      <c r="AG1809" s="64" t="str">
        <f>IF($C1809="","",IFERROR(INDEX('Staff Directory'!$K$595:$K$599,MATCH($C1809,'Staff Directory'!$B$5:$B$599,0)),$D1809))</f>
        <v>RN</v>
      </c>
      <c r="AH1809" t="str">
        <f>IF($C1809="","",IFERROR(INDEX('Staff Directory'!$I$595:$I$599,MATCH($C1809,'Staff Directory'!$B$5:$B$599,0))&amp;" "&amp;INDEX('Staff Directory'!$J$595:$J$599,MATCH($C1809,'Staff Directory'!$B$5:$B$599,0)),$AG1809))</f>
        <v>RN</v>
      </c>
      <c r="AI1809" s="102"/>
      <c r="AJ1809" s="101">
        <f>IF($F1809="","",SUMIFS($J$5:$J1809,$F$5:$F1809,$F1809))</f>
        <v>241</v>
      </c>
      <c r="AK1809" s="101">
        <f t="shared" si="313"/>
        <v>241</v>
      </c>
      <c r="AL1809" s="66" t="str" cm="1">
        <f t="array" ref="AL1809">IF($F1809="","",IFERROR(INDEX('Lot Balance'!$B$5:$B$500,MATCH(1,INDEX(('Lot Balance'!$A$5:$A$500=$F1809)*('Lot Balance'!$K$5:$K$500&lt;$AK1809)*('Lot Balance'!$K$5:$K$500+'Lot Balance'!$D$5:$D$500&gt;=$AK1809),0),0)),""))</f>
        <v>20-21734-5</v>
      </c>
      <c r="AM1809" s="66" t="str" cm="1">
        <f t="array" ref="AM1809">IF($F1809="","",IFERROR(INDEX('Lot Balance'!$B$5:$B$500,MATCH(1,INDEX(('Lot Balance'!$A$5:$A$500=$F1809)*('Lot Balance'!$K$5:$K$500&lt;$AJ1809)*('Lot Balance'!$K$5:$K$500+'Lot Balance'!$D$5:$D$500&gt;=$AJ1809),0),0)),""))</f>
        <v>20-21734-5</v>
      </c>
      <c r="AN1809" s="66" t="str">
        <f>IF($F1809="","",IF($AI1809&lt;&gt;"",IF(COUNTIFS('Lot Balance'!$A$5:$A$500,$F1809,'Lot Balance'!$B$5:$B$500,$AI1809)=0,"⚠ override is not a lot of this item",IF($AI1809=$AL1809,"Override = FEFO","Override - FEFO says "&amp;$AL1809)),IF($AL1809="","⚠ no receipt on file for this item",IF($AM1809&lt;&gt;$AL1809,"FEFO auto - split, also "&amp;$AM1809,"FEFO auto"))))</f>
        <v>FEFO auto</v>
      </c>
      <c r="AO1809" s="114"/>
    </row>
    <row r="1810" spans="1:41" x14ac:dyDescent="0.35">
      <c r="A1810" s="74">
        <v>46219</v>
      </c>
      <c r="B1810" s="18" t="str">
        <f>IF($C1810="","",IFERROR(INDEX('Staff Directory'!$A$5:$A$594,MATCH($C1810,'Staff Directory'!$B$5:$B$594,0)),"⚠ unknown staff"))</f>
        <v>RN-024-A2</v>
      </c>
      <c r="C1810" s="49" t="s">
        <v>944</v>
      </c>
      <c r="D1810" s="19" t="str">
        <f>IF($B1810="","",IFERROR(INDEX('Staff Directory'!$C$5:$C$594,MATCH($B1810,'Staff Directory'!$A$5:$A$594,0)),""))</f>
        <v>RN</v>
      </c>
      <c r="E1810" s="19" t="str">
        <f>IF($B1810="","",IFERROR(INDEX('Staff Directory'!$D$5:$D$594,MATCH($B1810,'Staff Directory'!$A$5:$A$594,0)),""))</f>
        <v>A2</v>
      </c>
      <c r="F1810" s="9" t="s">
        <v>115</v>
      </c>
      <c r="G1810" s="18" t="str">
        <f>IF($F1810="","",IFERROR(INDEX(Items!$B$5:$B$597,MATCH($F1810,Items!$A$5:$A$597,0)),"⚠ not in Items"))</f>
        <v>Wipes</v>
      </c>
      <c r="H1810" s="19">
        <f>IF($F1810="","",IFERROR(INDEX(Items!$C$5:$C$597,MATCH($F1810,Items!$A$5:$A$597,0)),""))</f>
        <v>80</v>
      </c>
      <c r="I1810" s="23">
        <f>IF($F1810="","",IFERROR(INDEX(Items!$E$5:$E$597,MATCH($F1810,Items!$A$5:$A$597,0)),""))</f>
        <v>80</v>
      </c>
      <c r="J1810" s="115">
        <f>IF(tblIssues[[#This Row],[Qty Override]]&lt;&gt;"",tblIssues[[#This Row],[Qty Override]],IF(tblIssues[[#This Row],[Standard Issue]]="","",tblIssues[[#This Row],[Standard Issue]]))</f>
        <v>80</v>
      </c>
      <c r="K1810" s="20">
        <f>IF($F1810="","",IFERROR(INDEX(Items!$D$5:$D$597,MATCH($F1810,Items!$A$5:$A$597,0)),""))</f>
        <v>0.1</v>
      </c>
      <c r="L1810" s="21">
        <f t="shared" si="316"/>
        <v>8</v>
      </c>
      <c r="M1810" s="9" t="str">
        <f t="shared" si="314"/>
        <v>LYSL500290</v>
      </c>
      <c r="N1810" s="24">
        <f>IF($A1810="","",WORKDAY($A1810,Settings!$C$9,HolidayDates))</f>
        <v>46227</v>
      </c>
      <c r="O1810" s="24">
        <f>IF($N1810="","",WORKDAY($N1810,Settings!$C$10,HolidayDates))</f>
        <v>46267</v>
      </c>
      <c r="P1810" s="10" t="s">
        <v>502</v>
      </c>
      <c r="Q1810" s="52" t="str">
        <f t="shared" si="317"/>
        <v>Collected</v>
      </c>
      <c r="R1810" s="55" t="str">
        <f t="shared" si="318"/>
        <v>2026-07</v>
      </c>
      <c r="S1810" s="55">
        <f>IF(OR($B1810="",$F1810="",$R1810=""),"",SUMIFS(tblIssues[Qty Issued],tblIssues[Staff ID],$B1810,tblIssues[Item Name],$F1810,tblIssues[Month],$R1810))</f>
        <v>80</v>
      </c>
      <c r="T1810" s="56">
        <f>IF($I1810="","",$I1810*Settings!$C$11)</f>
        <v>80</v>
      </c>
      <c r="U1810" s="57" t="str">
        <f t="shared" si="315"/>
        <v>OK</v>
      </c>
      <c r="V1810" s="55" t="str">
        <f t="shared" si="319"/>
        <v/>
      </c>
      <c r="W1810" s="55" t="str">
        <f>IF($V1810="","",IF(COUNTIF($V$5:$V1810,$V1810)=1,1,""))</f>
        <v/>
      </c>
      <c r="X1810" s="58" t="str">
        <f>IF($W1810="","",MAX($X$4:X1809)+1)</f>
        <v/>
      </c>
      <c r="Y1810" s="62"/>
      <c r="Z1810" s="62"/>
      <c r="AA1810" s="64" t="str">
        <f>IF($C1810="","",IFERROR(INDEX('Staff Directory'!$E$5:$E$594,MATCH($C1810,'Staff Directory'!$B$5:$B$594,0)),""))</f>
        <v>firstname028.lastname028@example.com</v>
      </c>
      <c r="AB1810" s="64" t="str">
        <f>IF($C1810="","",IF(ISNUMBER(SEARCH($D1810,Settings!$C$15)),"Pickup","Dispatch"))</f>
        <v>Dispatch</v>
      </c>
      <c r="AC1810" s="64" t="str">
        <f t="shared" si="320"/>
        <v>Supply order dispatched</v>
      </c>
      <c r="AD1810" s="64" t="str">
        <f t="shared" si="311"/>
        <v>Dear RN,
Your order has been dispatched and is in transit. Reply if undelivered.</v>
      </c>
      <c r="AE1810" s="64" t="str">
        <f t="shared" si="312"/>
        <v>mailto:firstname028.lastname028@example.com?subject=Supply%20order%20dispatched&amp;body=Dear%20RN%2C%0A%0AYour%20order%20has%20been%20dispatched%20and%20is%20in%20transit.%20Reply%20if%20undelivered.</v>
      </c>
      <c r="AF1810" s="89" t="str">
        <f t="shared" si="321"/>
        <v>Draft email</v>
      </c>
      <c r="AG1810" s="64" t="str">
        <f>IF($C1810="","",IFERROR(INDEX('Staff Directory'!$K$595:$K$599,MATCH($C1810,'Staff Directory'!$B$5:$B$599,0)),$D1810))</f>
        <v>RN</v>
      </c>
      <c r="AH1810" t="str">
        <f>IF($C1810="","",IFERROR(INDEX('Staff Directory'!$I$595:$I$599,MATCH($C1810,'Staff Directory'!$B$5:$B$599,0))&amp;" "&amp;INDEX('Staff Directory'!$J$595:$J$599,MATCH($C1810,'Staff Directory'!$B$5:$B$599,0)),$AG1810))</f>
        <v>RN</v>
      </c>
      <c r="AI1810" s="102"/>
      <c r="AJ1810" s="101">
        <f>IF($F1810="","",SUMIFS($J$5:$J1810,$F$5:$F1810,$F1810))</f>
        <v>23920</v>
      </c>
      <c r="AK1810" s="101">
        <f t="shared" si="313"/>
        <v>23841</v>
      </c>
      <c r="AL1810" s="66" t="str" cm="1">
        <f t="array" ref="AL1810">IF($F1810="","",IFERROR(INDEX('Lot Balance'!$B$5:$B$500,MATCH(1,INDEX(('Lot Balance'!$A$5:$A$500=$F1810)*('Lot Balance'!$K$5:$K$500&lt;$AK1810)*('Lot Balance'!$K$5:$K$500+'Lot Balance'!$D$5:$D$500&gt;=$AK1810),0),0)),""))</f>
        <v>LYSL500290</v>
      </c>
      <c r="AM1810" s="66" t="str" cm="1">
        <f t="array" ref="AM1810">IF($F1810="","",IFERROR(INDEX('Lot Balance'!$B$5:$B$500,MATCH(1,INDEX(('Lot Balance'!$A$5:$A$500=$F1810)*('Lot Balance'!$K$5:$K$500&lt;$AJ1810)*('Lot Balance'!$K$5:$K$500+'Lot Balance'!$D$5:$D$500&gt;=$AJ1810),0),0)),""))</f>
        <v>LYSL500290</v>
      </c>
      <c r="AN1810" s="66" t="str">
        <f>IF($F1810="","",IF($AI1810&lt;&gt;"",IF(COUNTIFS('Lot Balance'!$A$5:$A$500,$F1810,'Lot Balance'!$B$5:$B$500,$AI1810)=0,"⚠ override is not a lot of this item",IF($AI1810=$AL1810,"Override = FEFO","Override - FEFO says "&amp;$AL1810)),IF($AL1810="","⚠ no receipt on file for this item",IF($AM1810&lt;&gt;$AL1810,"FEFO auto - split, also "&amp;$AM1810,"FEFO auto"))))</f>
        <v>FEFO auto</v>
      </c>
      <c r="AO1810" s="114"/>
    </row>
    <row r="1811" spans="1:41" x14ac:dyDescent="0.35">
      <c r="A1811" s="74">
        <v>46219</v>
      </c>
      <c r="B1811" s="18" t="str">
        <f>IF($C1811="","",IFERROR(INDEX('Staff Directory'!$A$5:$A$594,MATCH($C1811,'Staff Directory'!$B$5:$B$594,0)),"⚠ unknown staff"))</f>
        <v>RN-024-A2</v>
      </c>
      <c r="C1811" s="49" t="s">
        <v>944</v>
      </c>
      <c r="D1811" s="19" t="str">
        <f>IF($B1811="","",IFERROR(INDEX('Staff Directory'!$C$5:$C$594,MATCH($B1811,'Staff Directory'!$A$5:$A$594,0)),""))</f>
        <v>RN</v>
      </c>
      <c r="E1811" s="19" t="str">
        <f>IF($B1811="","",IFERROR(INDEX('Staff Directory'!$D$5:$D$594,MATCH($B1811,'Staff Directory'!$A$5:$A$594,0)),""))</f>
        <v>A2</v>
      </c>
      <c r="F1811" s="9" t="s">
        <v>156</v>
      </c>
      <c r="G1811" s="18" t="str">
        <f>IF($F1811="","",IFERROR(INDEX(Items!$B$5:$B$597,MATCH($F1811,Items!$A$5:$A$597,0)),"⚠ not in Items"))</f>
        <v>Masks</v>
      </c>
      <c r="H1811" s="19" t="str">
        <f>IF($F1811="","",IFERROR(INDEX(Items!$C$5:$C$597,MATCH($F1811,Items!$A$5:$A$597,0)),""))</f>
        <v>One Size</v>
      </c>
      <c r="I1811" s="23">
        <f>IF($F1811="","",IFERROR(INDEX(Items!$E$5:$E$597,MATCH($F1811,Items!$A$5:$A$597,0)),""))</f>
        <v>50</v>
      </c>
      <c r="J1811" s="115">
        <f>IF(tblIssues[[#This Row],[Qty Override]]&lt;&gt;"",tblIssues[[#This Row],[Qty Override]],IF(tblIssues[[#This Row],[Standard Issue]]="","",tblIssues[[#This Row],[Standard Issue]]))</f>
        <v>50</v>
      </c>
      <c r="K1811" s="20">
        <f>IF($F1811="","",IFERROR(INDEX(Items!$D$5:$D$597,MATCH($F1811,Items!$A$5:$A$597,0)),""))</f>
        <v>0.25</v>
      </c>
      <c r="L1811" s="21">
        <f t="shared" si="316"/>
        <v>12.5</v>
      </c>
      <c r="M1811" s="9" t="str">
        <f t="shared" si="314"/>
        <v>LV2-10040-2</v>
      </c>
      <c r="N1811" s="24">
        <f>IF($A1811="","",WORKDAY($A1811,Settings!$C$9,HolidayDates))</f>
        <v>46227</v>
      </c>
      <c r="O1811" s="24">
        <f>IF($N1811="","",WORKDAY($N1811,Settings!$C$10,HolidayDates))</f>
        <v>46267</v>
      </c>
      <c r="P1811" s="10" t="s">
        <v>502</v>
      </c>
      <c r="Q1811" s="52" t="str">
        <f t="shared" si="317"/>
        <v>Collected</v>
      </c>
      <c r="R1811" s="55" t="str">
        <f t="shared" si="318"/>
        <v>2026-07</v>
      </c>
      <c r="S1811" s="55">
        <f>IF(OR($B1811="",$F1811="",$R1811=""),"",SUMIFS(tblIssues[Qty Issued],tblIssues[Staff ID],$B1811,tblIssues[Item Name],$F1811,tblIssues[Month],$R1811))</f>
        <v>50</v>
      </c>
      <c r="T1811" s="56">
        <f>IF($I1811="","",$I1811*Settings!$C$11)</f>
        <v>50</v>
      </c>
      <c r="U1811" s="57" t="str">
        <f t="shared" si="315"/>
        <v>OK</v>
      </c>
      <c r="V1811" s="55" t="str">
        <f t="shared" si="319"/>
        <v/>
      </c>
      <c r="W1811" s="55" t="str">
        <f>IF($V1811="","",IF(COUNTIF($V$5:$V1811,$V1811)=1,1,""))</f>
        <v/>
      </c>
      <c r="X1811" s="58" t="str">
        <f>IF($W1811="","",MAX($X$4:X1810)+1)</f>
        <v/>
      </c>
      <c r="Y1811" s="62"/>
      <c r="Z1811" s="62"/>
      <c r="AA1811" s="64" t="str">
        <f>IF($C1811="","",IFERROR(INDEX('Staff Directory'!$E$5:$E$594,MATCH($C1811,'Staff Directory'!$B$5:$B$594,0)),""))</f>
        <v>firstname028.lastname028@example.com</v>
      </c>
      <c r="AB1811" s="64" t="str">
        <f>IF($C1811="","",IF(ISNUMBER(SEARCH($D1811,Settings!$C$15)),"Pickup","Dispatch"))</f>
        <v>Dispatch</v>
      </c>
      <c r="AC1811" s="64" t="str">
        <f t="shared" si="320"/>
        <v>Supply order dispatched</v>
      </c>
      <c r="AD1811" s="64" t="str">
        <f t="shared" si="311"/>
        <v>Dear RN,
Your order has been dispatched and is in transit. Reply if undelivered.</v>
      </c>
      <c r="AE1811" s="64" t="str">
        <f t="shared" si="312"/>
        <v>mailto:firstname028.lastname028@example.com?subject=Supply%20order%20dispatched&amp;body=Dear%20RN%2C%0A%0AYour%20order%20has%20been%20dispatched%20and%20is%20in%20transit.%20Reply%20if%20undelivered.</v>
      </c>
      <c r="AF1811" s="89" t="str">
        <f t="shared" si="321"/>
        <v>Draft email</v>
      </c>
      <c r="AG1811" s="64" t="str">
        <f>IF($C1811="","",IFERROR(INDEX('Staff Directory'!$K$595:$K$599,MATCH($C1811,'Staff Directory'!$B$5:$B$599,0)),$D1811))</f>
        <v>RN</v>
      </c>
      <c r="AH1811" t="str">
        <f>IF($C1811="","",IFERROR(INDEX('Staff Directory'!$I$595:$I$599,MATCH($C1811,'Staff Directory'!$B$5:$B$599,0))&amp;" "&amp;INDEX('Staff Directory'!$J$595:$J$599,MATCH($C1811,'Staff Directory'!$B$5:$B$599,0)),$AG1811))</f>
        <v>RN</v>
      </c>
      <c r="AI1811" s="102"/>
      <c r="AJ1811" s="101">
        <f>IF($F1811="","",SUMIFS($J$5:$J1811,$F$5:$F1811,$F1811))</f>
        <v>14800</v>
      </c>
      <c r="AK1811" s="101">
        <f t="shared" si="313"/>
        <v>14751</v>
      </c>
      <c r="AL1811" s="66" t="str" cm="1">
        <f t="array" ref="AL1811">IF($F1811="","",IFERROR(INDEX('Lot Balance'!$B$5:$B$500,MATCH(1,INDEX(('Lot Balance'!$A$5:$A$500=$F1811)*('Lot Balance'!$K$5:$K$500&lt;$AK1811)*('Lot Balance'!$K$5:$K$500+'Lot Balance'!$D$5:$D$500&gt;=$AK1811),0),0)),""))</f>
        <v>LV2-10040-2</v>
      </c>
      <c r="AM1811" s="66" t="str" cm="1">
        <f t="array" ref="AM1811">IF($F1811="","",IFERROR(INDEX('Lot Balance'!$B$5:$B$500,MATCH(1,INDEX(('Lot Balance'!$A$5:$A$500=$F1811)*('Lot Balance'!$K$5:$K$500&lt;$AJ1811)*('Lot Balance'!$K$5:$K$500+'Lot Balance'!$D$5:$D$500&gt;=$AJ1811),0),0)),""))</f>
        <v>LV2-10040-2</v>
      </c>
      <c r="AN1811" s="66" t="str">
        <f>IF($F1811="","",IF($AI1811&lt;&gt;"",IF(COUNTIFS('Lot Balance'!$A$5:$A$500,$F1811,'Lot Balance'!$B$5:$B$500,$AI1811)=0,"⚠ override is not a lot of this item",IF($AI1811=$AL1811,"Override = FEFO","Override - FEFO says "&amp;$AL1811)),IF($AL1811="","⚠ no receipt on file for this item",IF($AM1811&lt;&gt;$AL1811,"FEFO auto - split, also "&amp;$AM1811,"FEFO auto"))))</f>
        <v>FEFO auto</v>
      </c>
      <c r="AO1811" s="114"/>
    </row>
    <row r="1812" spans="1:41" x14ac:dyDescent="0.35">
      <c r="A1812" s="74">
        <v>46219</v>
      </c>
      <c r="B1812" s="18" t="str">
        <f>IF($C1812="","",IFERROR(INDEX('Staff Directory'!$A$5:$A$594,MATCH($C1812,'Staff Directory'!$B$5:$B$594,0)),"⚠ unknown staff"))</f>
        <v>RN-024-A2</v>
      </c>
      <c r="C1812" s="49" t="s">
        <v>944</v>
      </c>
      <c r="D1812" s="19" t="str">
        <f>IF($B1812="","",IFERROR(INDEX('Staff Directory'!$C$5:$C$594,MATCH($B1812,'Staff Directory'!$A$5:$A$594,0)),""))</f>
        <v>RN</v>
      </c>
      <c r="E1812" s="19" t="str">
        <f>IF($B1812="","",IFERROR(INDEX('Staff Directory'!$D$5:$D$594,MATCH($B1812,'Staff Directory'!$A$5:$A$594,0)),""))</f>
        <v>A2</v>
      </c>
      <c r="F1812" s="9" t="s">
        <v>758</v>
      </c>
      <c r="G1812" s="18" t="str">
        <f>IF($F1812="","",IFERROR(INDEX(Items!$B$5:$B$597,MATCH($F1812,Items!$A$5:$A$597,0)),"⚠ not in Items"))</f>
        <v>Utility</v>
      </c>
      <c r="H1812" s="19" t="str">
        <f>IF($F1812="","",IFERROR(INDEX(Items!$C$5:$C$597,MATCH($F1812,Items!$A$5:$A$597,0)),""))</f>
        <v>Standard</v>
      </c>
      <c r="I1812" s="23">
        <f>IF($F1812="","",IFERROR(INDEX(Items!$E$5:$E$597,MATCH($F1812,Items!$A$5:$A$597,0)),""))</f>
        <v>1</v>
      </c>
      <c r="J1812" s="115">
        <f>IF(tblIssues[[#This Row],[Qty Override]]&lt;&gt;"",tblIssues[[#This Row],[Qty Override]],IF(tblIssues[[#This Row],[Standard Issue]]="","",tblIssues[[#This Row],[Standard Issue]]))</f>
        <v>1</v>
      </c>
      <c r="K1812" s="20">
        <f>IF($F1812="","",IFERROR(INDEX(Items!$D$5:$D$597,MATCH($F1812,Items!$A$5:$A$597,0)),""))</f>
        <v>0</v>
      </c>
      <c r="L1812" s="21">
        <f t="shared" si="316"/>
        <v>0</v>
      </c>
      <c r="M1812" s="9" t="str">
        <f t="shared" si="314"/>
        <v/>
      </c>
      <c r="N1812" s="24">
        <f>IF($A1812="","",WORKDAY($A1812,Settings!$C$9,HolidayDates))</f>
        <v>46227</v>
      </c>
      <c r="O1812" s="24">
        <f>IF($N1812="","",WORKDAY($N1812,Settings!$C$10,HolidayDates))</f>
        <v>46267</v>
      </c>
      <c r="P1812" s="10" t="s">
        <v>502</v>
      </c>
      <c r="Q1812" s="52" t="str">
        <f t="shared" si="317"/>
        <v>Collected</v>
      </c>
      <c r="R1812" s="55" t="str">
        <f t="shared" si="318"/>
        <v>2026-07</v>
      </c>
      <c r="S1812" s="55">
        <f>IF(OR($B1812="",$F1812="",$R1812=""),"",SUMIFS(tblIssues[Qty Issued],tblIssues[Staff ID],$B1812,tblIssues[Item Name],$F1812,tblIssues[Month],$R1812))</f>
        <v>1</v>
      </c>
      <c r="T1812" s="56">
        <f>IF($I1812="","",$I1812*Settings!$C$11)</f>
        <v>1</v>
      </c>
      <c r="U1812" s="57" t="str">
        <f t="shared" si="315"/>
        <v>OK</v>
      </c>
      <c r="V1812" s="55" t="str">
        <f t="shared" si="319"/>
        <v/>
      </c>
      <c r="W1812" s="55" t="str">
        <f>IF($V1812="","",IF(COUNTIF($V$5:$V1812,$V1812)=1,1,""))</f>
        <v/>
      </c>
      <c r="X1812" s="58" t="str">
        <f>IF($W1812="","",MAX($X$4:X1811)+1)</f>
        <v/>
      </c>
      <c r="Y1812" s="62"/>
      <c r="Z1812" s="62"/>
      <c r="AA1812" s="64" t="str">
        <f>IF($C1812="","",IFERROR(INDEX('Staff Directory'!$E$5:$E$594,MATCH($C1812,'Staff Directory'!$B$5:$B$594,0)),""))</f>
        <v>firstname028.lastname028@example.com</v>
      </c>
      <c r="AB1812" s="64" t="str">
        <f>IF($C1812="","",IF(ISNUMBER(SEARCH($D1812,Settings!$C$15)),"Pickup","Dispatch"))</f>
        <v>Dispatch</v>
      </c>
      <c r="AC1812" s="64" t="str">
        <f t="shared" si="320"/>
        <v>Supply order dispatched</v>
      </c>
      <c r="AD1812" s="64" t="str">
        <f t="shared" si="311"/>
        <v>Dear RN,
Your order has been dispatched and is in transit. Reply if undelivered.</v>
      </c>
      <c r="AE1812" s="64" t="str">
        <f t="shared" si="312"/>
        <v>mailto:firstname028.lastname028@example.com?subject=Supply%20order%20dispatched&amp;body=Dear%20RN%2C%0A%0AYour%20order%20has%20been%20dispatched%20and%20is%20in%20transit.%20Reply%20if%20undelivered.</v>
      </c>
      <c r="AF1812" s="89" t="str">
        <f t="shared" si="321"/>
        <v>Draft email</v>
      </c>
      <c r="AG1812" s="64" t="str">
        <f>IF($C1812="","",IFERROR(INDEX('Staff Directory'!$K$595:$K$599,MATCH($C1812,'Staff Directory'!$B$5:$B$599,0)),$D1812))</f>
        <v>RN</v>
      </c>
      <c r="AH1812" t="str">
        <f>IF($C1812="","",IFERROR(INDEX('Staff Directory'!$I$595:$I$599,MATCH($C1812,'Staff Directory'!$B$5:$B$599,0))&amp;" "&amp;INDEX('Staff Directory'!$J$595:$J$599,MATCH($C1812,'Staff Directory'!$B$5:$B$599,0)),$AG1812))</f>
        <v>RN</v>
      </c>
      <c r="AI1812" s="102"/>
      <c r="AJ1812" s="101">
        <f>IF($F1812="","",SUMIFS($J$5:$J1812,$F$5:$F1812,$F1812))</f>
        <v>72</v>
      </c>
      <c r="AK1812" s="101">
        <f t="shared" si="313"/>
        <v>72</v>
      </c>
      <c r="AL1812" s="66" t="str" cm="1">
        <f t="array" ref="AL1812">IF($F1812="","",IFERROR(INDEX('Lot Balance'!$B$5:$B$500,MATCH(1,INDEX(('Lot Balance'!$A$5:$A$500=$F1812)*('Lot Balance'!$K$5:$K$500&lt;$AK1812)*('Lot Balance'!$K$5:$K$500+'Lot Balance'!$D$5:$D$500&gt;=$AK1812),0),0)),""))</f>
        <v/>
      </c>
      <c r="AM1812" s="66" t="str" cm="1">
        <f t="array" ref="AM1812">IF($F1812="","",IFERROR(INDEX('Lot Balance'!$B$5:$B$500,MATCH(1,INDEX(('Lot Balance'!$A$5:$A$500=$F1812)*('Lot Balance'!$K$5:$K$500&lt;$AJ1812)*('Lot Balance'!$K$5:$K$500+'Lot Balance'!$D$5:$D$500&gt;=$AJ1812),0),0)),""))</f>
        <v/>
      </c>
      <c r="AN1812" s="66" t="str">
        <f>IF($F1812="","",IF($AI1812&lt;&gt;"",IF(COUNTIFS('Lot Balance'!$A$5:$A$500,$F1812,'Lot Balance'!$B$5:$B$500,$AI1812)=0,"⚠ override is not a lot of this item",IF($AI1812=$AL1812,"Override = FEFO","Override - FEFO says "&amp;$AL1812)),IF($AL1812="","⚠ no receipt on file for this item",IF($AM1812&lt;&gt;$AL1812,"FEFO auto - split, also "&amp;$AM1812,"FEFO auto"))))</f>
        <v>⚠ no receipt on file for this item</v>
      </c>
      <c r="AO1812" s="114"/>
    </row>
    <row r="1813" spans="1:41" x14ac:dyDescent="0.35">
      <c r="A1813" s="74">
        <v>46219</v>
      </c>
      <c r="B1813" s="18" t="str">
        <f>IF($C1813="","",IFERROR(INDEX('Staff Directory'!$A$5:$A$594,MATCH($C1813,'Staff Directory'!$B$5:$B$594,0)),"⚠ unknown staff"))</f>
        <v>PSW-136-A4</v>
      </c>
      <c r="C1813" s="49" t="s">
        <v>1115</v>
      </c>
      <c r="D1813" s="19" t="str">
        <f>IF($B1813="","",IFERROR(INDEX('Staff Directory'!$C$5:$C$594,MATCH($B1813,'Staff Directory'!$A$5:$A$594,0)),""))</f>
        <v>PSW</v>
      </c>
      <c r="E1813" s="19" t="str">
        <f>IF($B1813="","",IFERROR(INDEX('Staff Directory'!$D$5:$D$594,MATCH($B1813,'Staff Directory'!$A$5:$A$594,0)),""))</f>
        <v>A4</v>
      </c>
      <c r="F1813" s="9" t="s">
        <v>127</v>
      </c>
      <c r="G1813" s="18" t="str">
        <f>IF($F1813="","",IFERROR(INDEX(Items!$B$5:$B$597,MATCH($F1813,Items!$A$5:$A$597,0)),"⚠ not in Items"))</f>
        <v>Gloves</v>
      </c>
      <c r="H1813" s="19" t="str">
        <f>IF($F1813="","",IFERROR(INDEX(Items!$C$5:$C$597,MATCH($F1813,Items!$A$5:$A$597,0)),""))</f>
        <v>Medium</v>
      </c>
      <c r="I1813" s="23">
        <f>IF($F1813="","",IFERROR(INDEX(Items!$E$5:$E$597,MATCH($F1813,Items!$A$5:$A$597,0)),""))</f>
        <v>500</v>
      </c>
      <c r="J1813" s="115">
        <f>IF(tblIssues[[#This Row],[Qty Override]]&lt;&gt;"",tblIssues[[#This Row],[Qty Override]],IF(tblIssues[[#This Row],[Standard Issue]]="","",tblIssues[[#This Row],[Standard Issue]]))</f>
        <v>500</v>
      </c>
      <c r="K1813" s="20">
        <f>IF($F1813="","",IFERROR(INDEX(Items!$D$5:$D$597,MATCH($F1813,Items!$A$5:$A$597,0)),""))</f>
        <v>5.5E-2</v>
      </c>
      <c r="L1813" s="21">
        <f t="shared" si="316"/>
        <v>27.5</v>
      </c>
      <c r="M1813" s="9" t="str">
        <f t="shared" si="314"/>
        <v>ZIM604151579</v>
      </c>
      <c r="N1813" s="24">
        <f>IF($A1813="","",WORKDAY($A1813,Settings!$C$9,HolidayDates))</f>
        <v>46227</v>
      </c>
      <c r="O1813" s="24">
        <f>IF($N1813="","",WORKDAY($N1813,Settings!$C$10,HolidayDates))</f>
        <v>46267</v>
      </c>
      <c r="P1813" s="10" t="s">
        <v>501</v>
      </c>
      <c r="Q1813" s="52" t="str">
        <f t="shared" si="317"/>
        <v>Collected</v>
      </c>
      <c r="R1813" s="55" t="str">
        <f t="shared" si="318"/>
        <v>2026-07</v>
      </c>
      <c r="S1813" s="55">
        <f>IF(OR($B1813="",$F1813="",$R1813=""),"",SUMIFS(tblIssues[Qty Issued],tblIssues[Staff ID],$B1813,tblIssues[Item Name],$F1813,tblIssues[Month],$R1813))</f>
        <v>500</v>
      </c>
      <c r="T1813" s="56">
        <f>IF($I1813="","",$I1813*Settings!$C$11)</f>
        <v>500</v>
      </c>
      <c r="U1813" s="57" t="str">
        <f t="shared" si="315"/>
        <v>OK</v>
      </c>
      <c r="V1813" s="55" t="str">
        <f t="shared" si="319"/>
        <v/>
      </c>
      <c r="W1813" s="55" t="str">
        <f>IF($V1813="","",IF(COUNTIF($V$5:$V1813,$V1813)=1,1,""))</f>
        <v/>
      </c>
      <c r="X1813" s="58" t="str">
        <f>IF($W1813="","",MAX($X$4:X1812)+1)</f>
        <v/>
      </c>
      <c r="Y1813" s="62"/>
      <c r="Z1813" s="62"/>
      <c r="AA1813" s="64" t="str">
        <f>IF($C1813="","",IFERROR(INDEX('Staff Directory'!$E$5:$E$594,MATCH($C1813,'Staff Directory'!$B$5:$B$594,0)),""))</f>
        <v>firstname199.lastname199@example.com</v>
      </c>
      <c r="AB1813" s="64" t="str">
        <f>IF($C1813="","",IF(ISNUMBER(SEARCH($D1813,Settings!$C$15)),"Pickup","Dispatch"))</f>
        <v>Pickup</v>
      </c>
      <c r="AC1813" s="64" t="str">
        <f t="shared" si="320"/>
        <v>Supply order ready for pickup</v>
      </c>
      <c r="AD1813" s="64" t="str">
        <f t="shared" si="311"/>
        <v>Dear PSW,
Your order is ready for pickup from Sample Branch, Wed-Fri 9am-4pm.</v>
      </c>
      <c r="AE1813" s="64" t="str">
        <f t="shared" si="312"/>
        <v>mailto:firstname199.lastname199@example.com?subject=Supply%20order%20ready%20for%20pickup&amp;body=Dear%20PSW%2C%0A%0AYour%20order%20is%20ready%20for%20pickup%20from%20Sample%20Branch%2C%20Wed-Fri%209am-4pm.</v>
      </c>
      <c r="AF1813" s="89" t="str">
        <f t="shared" si="321"/>
        <v>Draft email</v>
      </c>
      <c r="AG1813" s="64" t="str">
        <f>IF($C1813="","",IFERROR(INDEX('Staff Directory'!$K$595:$K$599,MATCH($C1813,'Staff Directory'!$B$5:$B$599,0)),$D1813))</f>
        <v>PSW</v>
      </c>
      <c r="AH1813" t="str">
        <f>IF($C1813="","",IFERROR(INDEX('Staff Directory'!$I$595:$I$599,MATCH($C1813,'Staff Directory'!$B$5:$B$599,0))&amp;" "&amp;INDEX('Staff Directory'!$J$595:$J$599,MATCH($C1813,'Staff Directory'!$B$5:$B$599,0)),$AG1813))</f>
        <v>PSW</v>
      </c>
      <c r="AI1813" s="102"/>
      <c r="AJ1813" s="101">
        <f>IF($F1813="","",SUMIFS($J$5:$J1813,$F$5:$F1813,$F1813))</f>
        <v>109000</v>
      </c>
      <c r="AK1813" s="101">
        <f t="shared" si="313"/>
        <v>108501</v>
      </c>
      <c r="AL1813" s="66" t="str" cm="1">
        <f t="array" ref="AL1813">IF($F1813="","",IFERROR(INDEX('Lot Balance'!$B$5:$B$500,MATCH(1,INDEX(('Lot Balance'!$A$5:$A$500=$F1813)*('Lot Balance'!$K$5:$K$500&lt;$AK1813)*('Lot Balance'!$K$5:$K$500+'Lot Balance'!$D$5:$D$500&gt;=$AK1813),0),0)),""))</f>
        <v>ZIM604151579</v>
      </c>
      <c r="AM1813" s="66" t="str" cm="1">
        <f t="array" ref="AM1813">IF($F1813="","",IFERROR(INDEX('Lot Balance'!$B$5:$B$500,MATCH(1,INDEX(('Lot Balance'!$A$5:$A$500=$F1813)*('Lot Balance'!$K$5:$K$500&lt;$AJ1813)*('Lot Balance'!$K$5:$K$500+'Lot Balance'!$D$5:$D$500&gt;=$AJ1813),0),0)),""))</f>
        <v>ZIM604151579</v>
      </c>
      <c r="AN1813" s="66" t="str">
        <f>IF($F1813="","",IF($AI1813&lt;&gt;"",IF(COUNTIFS('Lot Balance'!$A$5:$A$500,$F1813,'Lot Balance'!$B$5:$B$500,$AI1813)=0,"⚠ override is not a lot of this item",IF($AI1813=$AL1813,"Override = FEFO","Override - FEFO says "&amp;$AL1813)),IF($AL1813="","⚠ no receipt on file for this item",IF($AM1813&lt;&gt;$AL1813,"FEFO auto - split, also "&amp;$AM1813,"FEFO auto"))))</f>
        <v>FEFO auto</v>
      </c>
      <c r="AO1813" s="114"/>
    </row>
    <row r="1814" spans="1:41" x14ac:dyDescent="0.35">
      <c r="A1814" s="74">
        <v>46219</v>
      </c>
      <c r="B1814" s="18" t="str">
        <f>IF($C1814="","",IFERROR(INDEX('Staff Directory'!$A$5:$A$594,MATCH($C1814,'Staff Directory'!$B$5:$B$594,0)),"⚠ unknown staff"))</f>
        <v>PSW-136-A4</v>
      </c>
      <c r="C1814" s="49" t="s">
        <v>1115</v>
      </c>
      <c r="D1814" s="19" t="str">
        <f>IF($B1814="","",IFERROR(INDEX('Staff Directory'!$C$5:$C$594,MATCH($B1814,'Staff Directory'!$A$5:$A$594,0)),""))</f>
        <v>PSW</v>
      </c>
      <c r="E1814" s="19" t="str">
        <f>IF($B1814="","",IFERROR(INDEX('Staff Directory'!$D$5:$D$594,MATCH($B1814,'Staff Directory'!$A$5:$A$594,0)),""))</f>
        <v>A4</v>
      </c>
      <c r="F1814" s="9" t="s">
        <v>115</v>
      </c>
      <c r="G1814" s="18" t="str">
        <f>IF($F1814="","",IFERROR(INDEX(Items!$B$5:$B$597,MATCH($F1814,Items!$A$5:$A$597,0)),"⚠ not in Items"))</f>
        <v>Wipes</v>
      </c>
      <c r="H1814" s="19">
        <f>IF($F1814="","",IFERROR(INDEX(Items!$C$5:$C$597,MATCH($F1814,Items!$A$5:$A$597,0)),""))</f>
        <v>80</v>
      </c>
      <c r="I1814" s="23">
        <f>IF($F1814="","",IFERROR(INDEX(Items!$E$5:$E$597,MATCH($F1814,Items!$A$5:$A$597,0)),""))</f>
        <v>80</v>
      </c>
      <c r="J1814" s="115">
        <f>IF(tblIssues[[#This Row],[Qty Override]]&lt;&gt;"",tblIssues[[#This Row],[Qty Override]],IF(tblIssues[[#This Row],[Standard Issue]]="","",tblIssues[[#This Row],[Standard Issue]]))</f>
        <v>80</v>
      </c>
      <c r="K1814" s="20">
        <f>IF($F1814="","",IFERROR(INDEX(Items!$D$5:$D$597,MATCH($F1814,Items!$A$5:$A$597,0)),""))</f>
        <v>0.1</v>
      </c>
      <c r="L1814" s="21">
        <f t="shared" si="316"/>
        <v>8</v>
      </c>
      <c r="M1814" s="9" t="str">
        <f t="shared" si="314"/>
        <v>LYSL500290</v>
      </c>
      <c r="N1814" s="24">
        <f>IF($A1814="","",WORKDAY($A1814,Settings!$C$9,HolidayDates))</f>
        <v>46227</v>
      </c>
      <c r="O1814" s="24">
        <f>IF($N1814="","",WORKDAY($N1814,Settings!$C$10,HolidayDates))</f>
        <v>46267</v>
      </c>
      <c r="P1814" s="10" t="s">
        <v>501</v>
      </c>
      <c r="Q1814" s="52" t="str">
        <f t="shared" si="317"/>
        <v>Collected</v>
      </c>
      <c r="R1814" s="55" t="str">
        <f t="shared" si="318"/>
        <v>2026-07</v>
      </c>
      <c r="S1814" s="55">
        <f>IF(OR($B1814="",$F1814="",$R1814=""),"",SUMIFS(tblIssues[Qty Issued],tblIssues[Staff ID],$B1814,tblIssues[Item Name],$F1814,tblIssues[Month],$R1814))</f>
        <v>80</v>
      </c>
      <c r="T1814" s="56">
        <f>IF($I1814="","",$I1814*Settings!$C$11)</f>
        <v>80</v>
      </c>
      <c r="U1814" s="57" t="str">
        <f t="shared" si="315"/>
        <v>OK</v>
      </c>
      <c r="V1814" s="55" t="str">
        <f t="shared" si="319"/>
        <v/>
      </c>
      <c r="W1814" s="55" t="str">
        <f>IF($V1814="","",IF(COUNTIF($V$5:$V1814,$V1814)=1,1,""))</f>
        <v/>
      </c>
      <c r="X1814" s="58" t="str">
        <f>IF($W1814="","",MAX($X$4:X1813)+1)</f>
        <v/>
      </c>
      <c r="Y1814" s="62"/>
      <c r="Z1814" s="62"/>
      <c r="AA1814" s="64" t="str">
        <f>IF($C1814="","",IFERROR(INDEX('Staff Directory'!$E$5:$E$594,MATCH($C1814,'Staff Directory'!$B$5:$B$594,0)),""))</f>
        <v>firstname199.lastname199@example.com</v>
      </c>
      <c r="AB1814" s="64" t="str">
        <f>IF($C1814="","",IF(ISNUMBER(SEARCH($D1814,Settings!$C$15)),"Pickup","Dispatch"))</f>
        <v>Pickup</v>
      </c>
      <c r="AC1814" s="64" t="str">
        <f t="shared" si="320"/>
        <v>Supply order ready for pickup</v>
      </c>
      <c r="AD1814" s="64" t="str">
        <f t="shared" si="311"/>
        <v>Dear PSW,
Your order is ready for pickup from Sample Branch, Wed-Fri 9am-4pm.</v>
      </c>
      <c r="AE1814" s="64" t="str">
        <f t="shared" si="312"/>
        <v>mailto:firstname199.lastname199@example.com?subject=Supply%20order%20ready%20for%20pickup&amp;body=Dear%20PSW%2C%0A%0AYour%20order%20is%20ready%20for%20pickup%20from%20Sample%20Branch%2C%20Wed-Fri%209am-4pm.</v>
      </c>
      <c r="AF1814" s="89" t="str">
        <f t="shared" si="321"/>
        <v>Draft email</v>
      </c>
      <c r="AG1814" s="64" t="str">
        <f>IF($C1814="","",IFERROR(INDEX('Staff Directory'!$K$595:$K$599,MATCH($C1814,'Staff Directory'!$B$5:$B$599,0)),$D1814))</f>
        <v>PSW</v>
      </c>
      <c r="AH1814" t="str">
        <f>IF($C1814="","",IFERROR(INDEX('Staff Directory'!$I$595:$I$599,MATCH($C1814,'Staff Directory'!$B$5:$B$599,0))&amp;" "&amp;INDEX('Staff Directory'!$J$595:$J$599,MATCH($C1814,'Staff Directory'!$B$5:$B$599,0)),$AG1814))</f>
        <v>PSW</v>
      </c>
      <c r="AI1814" s="102"/>
      <c r="AJ1814" s="101">
        <f>IF($F1814="","",SUMIFS($J$5:$J1814,$F$5:$F1814,$F1814))</f>
        <v>24000</v>
      </c>
      <c r="AK1814" s="101">
        <f t="shared" si="313"/>
        <v>23921</v>
      </c>
      <c r="AL1814" s="66" t="str" cm="1">
        <f t="array" ref="AL1814">IF($F1814="","",IFERROR(INDEX('Lot Balance'!$B$5:$B$500,MATCH(1,INDEX(('Lot Balance'!$A$5:$A$500=$F1814)*('Lot Balance'!$K$5:$K$500&lt;$AK1814)*('Lot Balance'!$K$5:$K$500+'Lot Balance'!$D$5:$D$500&gt;=$AK1814),0),0)),""))</f>
        <v>LYSL500290</v>
      </c>
      <c r="AM1814" s="66" t="str" cm="1">
        <f t="array" ref="AM1814">IF($F1814="","",IFERROR(INDEX('Lot Balance'!$B$5:$B$500,MATCH(1,INDEX(('Lot Balance'!$A$5:$A$500=$F1814)*('Lot Balance'!$K$5:$K$500&lt;$AJ1814)*('Lot Balance'!$K$5:$K$500+'Lot Balance'!$D$5:$D$500&gt;=$AJ1814),0),0)),""))</f>
        <v>LYSL500290</v>
      </c>
      <c r="AN1814" s="66" t="str">
        <f>IF($F1814="","",IF($AI1814&lt;&gt;"",IF(COUNTIFS('Lot Balance'!$A$5:$A$500,$F1814,'Lot Balance'!$B$5:$B$500,$AI1814)=0,"⚠ override is not a lot of this item",IF($AI1814=$AL1814,"Override = FEFO","Override - FEFO says "&amp;$AL1814)),IF($AL1814="","⚠ no receipt on file for this item",IF($AM1814&lt;&gt;$AL1814,"FEFO auto - split, also "&amp;$AM1814,"FEFO auto"))))</f>
        <v>FEFO auto</v>
      </c>
      <c r="AO1814" s="114"/>
    </row>
    <row r="1815" spans="1:41" x14ac:dyDescent="0.35">
      <c r="A1815" s="74">
        <v>46219</v>
      </c>
      <c r="B1815" s="18" t="str">
        <f>IF($C1815="","",IFERROR(INDEX('Staff Directory'!$A$5:$A$594,MATCH($C1815,'Staff Directory'!$B$5:$B$594,0)),"⚠ unknown staff"))</f>
        <v>PSW-136-A4</v>
      </c>
      <c r="C1815" s="49" t="s">
        <v>1115</v>
      </c>
      <c r="D1815" s="19" t="str">
        <f>IF($B1815="","",IFERROR(INDEX('Staff Directory'!$C$5:$C$594,MATCH($B1815,'Staff Directory'!$A$5:$A$594,0)),""))</f>
        <v>PSW</v>
      </c>
      <c r="E1815" s="19" t="str">
        <f>IF($B1815="","",IFERROR(INDEX('Staff Directory'!$D$5:$D$594,MATCH($B1815,'Staff Directory'!$A$5:$A$594,0)),""))</f>
        <v>A4</v>
      </c>
      <c r="F1815" s="9" t="s">
        <v>156</v>
      </c>
      <c r="G1815" s="18" t="str">
        <f>IF($F1815="","",IFERROR(INDEX(Items!$B$5:$B$597,MATCH($F1815,Items!$A$5:$A$597,0)),"⚠ not in Items"))</f>
        <v>Masks</v>
      </c>
      <c r="H1815" s="19" t="str">
        <f>IF($F1815="","",IFERROR(INDEX(Items!$C$5:$C$597,MATCH($F1815,Items!$A$5:$A$597,0)),""))</f>
        <v>One Size</v>
      </c>
      <c r="I1815" s="23">
        <f>IF($F1815="","",IFERROR(INDEX(Items!$E$5:$E$597,MATCH($F1815,Items!$A$5:$A$597,0)),""))</f>
        <v>50</v>
      </c>
      <c r="J1815" s="115">
        <f>IF(tblIssues[[#This Row],[Qty Override]]&lt;&gt;"",tblIssues[[#This Row],[Qty Override]],IF(tblIssues[[#This Row],[Standard Issue]]="","",tblIssues[[#This Row],[Standard Issue]]))</f>
        <v>50</v>
      </c>
      <c r="K1815" s="20">
        <f>IF($F1815="","",IFERROR(INDEX(Items!$D$5:$D$597,MATCH($F1815,Items!$A$5:$A$597,0)),""))</f>
        <v>0.25</v>
      </c>
      <c r="L1815" s="21">
        <f t="shared" si="316"/>
        <v>12.5</v>
      </c>
      <c r="M1815" s="9" t="str">
        <f t="shared" si="314"/>
        <v>LV2-10040-2</v>
      </c>
      <c r="N1815" s="24">
        <f>IF($A1815="","",WORKDAY($A1815,Settings!$C$9,HolidayDates))</f>
        <v>46227</v>
      </c>
      <c r="O1815" s="24">
        <f>IF($N1815="","",WORKDAY($N1815,Settings!$C$10,HolidayDates))</f>
        <v>46267</v>
      </c>
      <c r="P1815" s="10" t="s">
        <v>501</v>
      </c>
      <c r="Q1815" s="52" t="str">
        <f t="shared" si="317"/>
        <v>Collected</v>
      </c>
      <c r="R1815" s="55" t="str">
        <f t="shared" si="318"/>
        <v>2026-07</v>
      </c>
      <c r="S1815" s="55">
        <f>IF(OR($B1815="",$F1815="",$R1815=""),"",SUMIFS(tblIssues[Qty Issued],tblIssues[Staff ID],$B1815,tblIssues[Item Name],$F1815,tblIssues[Month],$R1815))</f>
        <v>50</v>
      </c>
      <c r="T1815" s="56">
        <f>IF($I1815="","",$I1815*Settings!$C$11)</f>
        <v>50</v>
      </c>
      <c r="U1815" s="57" t="str">
        <f t="shared" si="315"/>
        <v>OK</v>
      </c>
      <c r="V1815" s="55" t="str">
        <f t="shared" si="319"/>
        <v/>
      </c>
      <c r="W1815" s="55" t="str">
        <f>IF($V1815="","",IF(COUNTIF($V$5:$V1815,$V1815)=1,1,""))</f>
        <v/>
      </c>
      <c r="X1815" s="58" t="str">
        <f>IF($W1815="","",MAX($X$4:X1814)+1)</f>
        <v/>
      </c>
      <c r="Y1815" s="62"/>
      <c r="Z1815" s="62"/>
      <c r="AA1815" s="64" t="str">
        <f>IF($C1815="","",IFERROR(INDEX('Staff Directory'!$E$5:$E$594,MATCH($C1815,'Staff Directory'!$B$5:$B$594,0)),""))</f>
        <v>firstname199.lastname199@example.com</v>
      </c>
      <c r="AB1815" s="64" t="str">
        <f>IF($C1815="","",IF(ISNUMBER(SEARCH($D1815,Settings!$C$15)),"Pickup","Dispatch"))</f>
        <v>Pickup</v>
      </c>
      <c r="AC1815" s="64" t="str">
        <f t="shared" si="320"/>
        <v>Supply order ready for pickup</v>
      </c>
      <c r="AD1815" s="64" t="str">
        <f t="shared" si="311"/>
        <v>Dear PSW,
Your order is ready for pickup from Sample Branch, Wed-Fri 9am-4pm.</v>
      </c>
      <c r="AE1815" s="64" t="str">
        <f t="shared" si="312"/>
        <v>mailto:firstname199.lastname199@example.com?subject=Supply%20order%20ready%20for%20pickup&amp;body=Dear%20PSW%2C%0A%0AYour%20order%20is%20ready%20for%20pickup%20from%20Sample%20Branch%2C%20Wed-Fri%209am-4pm.</v>
      </c>
      <c r="AF1815" s="89" t="str">
        <f t="shared" si="321"/>
        <v>Draft email</v>
      </c>
      <c r="AG1815" s="64" t="str">
        <f>IF($C1815="","",IFERROR(INDEX('Staff Directory'!$K$595:$K$599,MATCH($C1815,'Staff Directory'!$B$5:$B$599,0)),$D1815))</f>
        <v>PSW</v>
      </c>
      <c r="AH1815" t="str">
        <f>IF($C1815="","",IFERROR(INDEX('Staff Directory'!$I$595:$I$599,MATCH($C1815,'Staff Directory'!$B$5:$B$599,0))&amp;" "&amp;INDEX('Staff Directory'!$J$595:$J$599,MATCH($C1815,'Staff Directory'!$B$5:$B$599,0)),$AG1815))</f>
        <v>PSW</v>
      </c>
      <c r="AI1815" s="102"/>
      <c r="AJ1815" s="101">
        <f>IF($F1815="","",SUMIFS($J$5:$J1815,$F$5:$F1815,$F1815))</f>
        <v>14850</v>
      </c>
      <c r="AK1815" s="101">
        <f t="shared" si="313"/>
        <v>14801</v>
      </c>
      <c r="AL1815" s="66" t="str" cm="1">
        <f t="array" ref="AL1815">IF($F1815="","",IFERROR(INDEX('Lot Balance'!$B$5:$B$500,MATCH(1,INDEX(('Lot Balance'!$A$5:$A$500=$F1815)*('Lot Balance'!$K$5:$K$500&lt;$AK1815)*('Lot Balance'!$K$5:$K$500+'Lot Balance'!$D$5:$D$500&gt;=$AK1815),0),0)),""))</f>
        <v>LV2-10040-2</v>
      </c>
      <c r="AM1815" s="66" t="str" cm="1">
        <f t="array" ref="AM1815">IF($F1815="","",IFERROR(INDEX('Lot Balance'!$B$5:$B$500,MATCH(1,INDEX(('Lot Balance'!$A$5:$A$500=$F1815)*('Lot Balance'!$K$5:$K$500&lt;$AJ1815)*('Lot Balance'!$K$5:$K$500+'Lot Balance'!$D$5:$D$500&gt;=$AJ1815),0),0)),""))</f>
        <v>LV2-10040-2</v>
      </c>
      <c r="AN1815" s="66" t="str">
        <f>IF($F1815="","",IF($AI1815&lt;&gt;"",IF(COUNTIFS('Lot Balance'!$A$5:$A$500,$F1815,'Lot Balance'!$B$5:$B$500,$AI1815)=0,"⚠ override is not a lot of this item",IF($AI1815=$AL1815,"Override = FEFO","Override - FEFO says "&amp;$AL1815)),IF($AL1815="","⚠ no receipt on file for this item",IF($AM1815&lt;&gt;$AL1815,"FEFO auto - split, also "&amp;$AM1815,"FEFO auto"))))</f>
        <v>FEFO auto</v>
      </c>
      <c r="AO1815" s="114"/>
    </row>
    <row r="1816" spans="1:41" x14ac:dyDescent="0.35">
      <c r="A1816" s="74">
        <v>46219</v>
      </c>
      <c r="B1816" s="18" t="str">
        <f>IF($C1816="","",IFERROR(INDEX('Staff Directory'!$A$5:$A$594,MATCH($C1816,'Staff Directory'!$B$5:$B$594,0)),"⚠ unknown staff"))</f>
        <v>PSW-136-A4</v>
      </c>
      <c r="C1816" s="49" t="s">
        <v>1115</v>
      </c>
      <c r="D1816" s="19" t="str">
        <f>IF($B1816="","",IFERROR(INDEX('Staff Directory'!$C$5:$C$594,MATCH($B1816,'Staff Directory'!$A$5:$A$594,0)),""))</f>
        <v>PSW</v>
      </c>
      <c r="E1816" s="19" t="str">
        <f>IF($B1816="","",IFERROR(INDEX('Staff Directory'!$D$5:$D$594,MATCH($B1816,'Staff Directory'!$A$5:$A$594,0)),""))</f>
        <v>A4</v>
      </c>
      <c r="F1816" s="9" t="s">
        <v>758</v>
      </c>
      <c r="G1816" s="18" t="str">
        <f>IF($F1816="","",IFERROR(INDEX(Items!$B$5:$B$597,MATCH($F1816,Items!$A$5:$A$597,0)),"⚠ not in Items"))</f>
        <v>Utility</v>
      </c>
      <c r="H1816" s="19" t="str">
        <f>IF($F1816="","",IFERROR(INDEX(Items!$C$5:$C$597,MATCH($F1816,Items!$A$5:$A$597,0)),""))</f>
        <v>Standard</v>
      </c>
      <c r="I1816" s="23">
        <f>IF($F1816="","",IFERROR(INDEX(Items!$E$5:$E$597,MATCH($F1816,Items!$A$5:$A$597,0)),""))</f>
        <v>1</v>
      </c>
      <c r="J1816" s="115">
        <f>IF(tblIssues[[#This Row],[Qty Override]]&lt;&gt;"",tblIssues[[#This Row],[Qty Override]],IF(tblIssues[[#This Row],[Standard Issue]]="","",tblIssues[[#This Row],[Standard Issue]]))</f>
        <v>1</v>
      </c>
      <c r="K1816" s="20">
        <f>IF($F1816="","",IFERROR(INDEX(Items!$D$5:$D$597,MATCH($F1816,Items!$A$5:$A$597,0)),""))</f>
        <v>0</v>
      </c>
      <c r="L1816" s="21">
        <f t="shared" si="316"/>
        <v>0</v>
      </c>
      <c r="M1816" s="9" t="str">
        <f t="shared" si="314"/>
        <v/>
      </c>
      <c r="N1816" s="24">
        <f>IF($A1816="","",WORKDAY($A1816,Settings!$C$9,HolidayDates))</f>
        <v>46227</v>
      </c>
      <c r="O1816" s="24">
        <f>IF($N1816="","",WORKDAY($N1816,Settings!$C$10,HolidayDates))</f>
        <v>46267</v>
      </c>
      <c r="P1816" s="10" t="s">
        <v>501</v>
      </c>
      <c r="Q1816" s="52" t="str">
        <f t="shared" si="317"/>
        <v>Collected</v>
      </c>
      <c r="R1816" s="55" t="str">
        <f t="shared" si="318"/>
        <v>2026-07</v>
      </c>
      <c r="S1816" s="55">
        <f>IF(OR($B1816="",$F1816="",$R1816=""),"",SUMIFS(tblIssues[Qty Issued],tblIssues[Staff ID],$B1816,tblIssues[Item Name],$F1816,tblIssues[Month],$R1816))</f>
        <v>1</v>
      </c>
      <c r="T1816" s="56">
        <f>IF($I1816="","",$I1816*Settings!$C$11)</f>
        <v>1</v>
      </c>
      <c r="U1816" s="57" t="str">
        <f t="shared" si="315"/>
        <v>OK</v>
      </c>
      <c r="V1816" s="55" t="str">
        <f t="shared" si="319"/>
        <v/>
      </c>
      <c r="W1816" s="55" t="str">
        <f>IF($V1816="","",IF(COUNTIF($V$5:$V1816,$V1816)=1,1,""))</f>
        <v/>
      </c>
      <c r="X1816" s="58" t="str">
        <f>IF($W1816="","",MAX($X$4:X1815)+1)</f>
        <v/>
      </c>
      <c r="Y1816" s="62"/>
      <c r="Z1816" s="62"/>
      <c r="AA1816" s="64" t="str">
        <f>IF($C1816="","",IFERROR(INDEX('Staff Directory'!$E$5:$E$594,MATCH($C1816,'Staff Directory'!$B$5:$B$594,0)),""))</f>
        <v>firstname199.lastname199@example.com</v>
      </c>
      <c r="AB1816" s="64" t="str">
        <f>IF($C1816="","",IF(ISNUMBER(SEARCH($D1816,Settings!$C$15)),"Pickup","Dispatch"))</f>
        <v>Pickup</v>
      </c>
      <c r="AC1816" s="64" t="str">
        <f t="shared" si="320"/>
        <v>Supply order ready for pickup</v>
      </c>
      <c r="AD1816" s="64" t="str">
        <f t="shared" si="311"/>
        <v>Dear PSW,
Your order is ready for pickup from Sample Branch, Wed-Fri 9am-4pm.</v>
      </c>
      <c r="AE1816" s="64" t="str">
        <f t="shared" si="312"/>
        <v>mailto:firstname199.lastname199@example.com?subject=Supply%20order%20ready%20for%20pickup&amp;body=Dear%20PSW%2C%0A%0AYour%20order%20is%20ready%20for%20pickup%20from%20Sample%20Branch%2C%20Wed-Fri%209am-4pm.</v>
      </c>
      <c r="AF1816" s="89" t="str">
        <f t="shared" si="321"/>
        <v>Draft email</v>
      </c>
      <c r="AG1816" s="64" t="str">
        <f>IF($C1816="","",IFERROR(INDEX('Staff Directory'!$K$595:$K$599,MATCH($C1816,'Staff Directory'!$B$5:$B$599,0)),$D1816))</f>
        <v>PSW</v>
      </c>
      <c r="AH1816" t="str">
        <f>IF($C1816="","",IFERROR(INDEX('Staff Directory'!$I$595:$I$599,MATCH($C1816,'Staff Directory'!$B$5:$B$599,0))&amp;" "&amp;INDEX('Staff Directory'!$J$595:$J$599,MATCH($C1816,'Staff Directory'!$B$5:$B$599,0)),$AG1816))</f>
        <v>PSW</v>
      </c>
      <c r="AI1816" s="102"/>
      <c r="AJ1816" s="101">
        <f>IF($F1816="","",SUMIFS($J$5:$J1816,$F$5:$F1816,$F1816))</f>
        <v>73</v>
      </c>
      <c r="AK1816" s="101">
        <f t="shared" si="313"/>
        <v>73</v>
      </c>
      <c r="AL1816" s="66" t="str" cm="1">
        <f t="array" ref="AL1816">IF($F1816="","",IFERROR(INDEX('Lot Balance'!$B$5:$B$500,MATCH(1,INDEX(('Lot Balance'!$A$5:$A$500=$F1816)*('Lot Balance'!$K$5:$K$500&lt;$AK1816)*('Lot Balance'!$K$5:$K$500+'Lot Balance'!$D$5:$D$500&gt;=$AK1816),0),0)),""))</f>
        <v/>
      </c>
      <c r="AM1816" s="66" t="str" cm="1">
        <f t="array" ref="AM1816">IF($F1816="","",IFERROR(INDEX('Lot Balance'!$B$5:$B$500,MATCH(1,INDEX(('Lot Balance'!$A$5:$A$500=$F1816)*('Lot Balance'!$K$5:$K$500&lt;$AJ1816)*('Lot Balance'!$K$5:$K$500+'Lot Balance'!$D$5:$D$500&gt;=$AJ1816),0),0)),""))</f>
        <v/>
      </c>
      <c r="AN1816" s="66" t="str">
        <f>IF($F1816="","",IF($AI1816&lt;&gt;"",IF(COUNTIFS('Lot Balance'!$A$5:$A$500,$F1816,'Lot Balance'!$B$5:$B$500,$AI1816)=0,"⚠ override is not a lot of this item",IF($AI1816=$AL1816,"Override = FEFO","Override - FEFO says "&amp;$AL1816)),IF($AL1816="","⚠ no receipt on file for this item",IF($AM1816&lt;&gt;$AL1816,"FEFO auto - split, also "&amp;$AM1816,"FEFO auto"))))</f>
        <v>⚠ no receipt on file for this item</v>
      </c>
      <c r="AO1816" s="114"/>
    </row>
    <row r="1817" spans="1:41" x14ac:dyDescent="0.35">
      <c r="A1817" s="74">
        <v>46219</v>
      </c>
      <c r="B1817" s="18" t="str">
        <f>IF($C1817="","",IFERROR(INDEX('Staff Directory'!$A$5:$A$594,MATCH($C1817,'Staff Directory'!$B$5:$B$594,0)),"⚠ unknown staff"))</f>
        <v>PSW-041-A4</v>
      </c>
      <c r="C1817" s="49" t="s">
        <v>1016</v>
      </c>
      <c r="D1817" s="19" t="str">
        <f>IF($B1817="","",IFERROR(INDEX('Staff Directory'!$C$5:$C$594,MATCH($B1817,'Staff Directory'!$A$5:$A$594,0)),""))</f>
        <v>PSW</v>
      </c>
      <c r="E1817" s="19" t="str">
        <f>IF($B1817="","",IFERROR(INDEX('Staff Directory'!$D$5:$D$594,MATCH($B1817,'Staff Directory'!$A$5:$A$594,0)),""))</f>
        <v>A4</v>
      </c>
      <c r="F1817" s="9" t="s">
        <v>124</v>
      </c>
      <c r="G1817" s="18" t="str">
        <f>IF($F1817="","",IFERROR(INDEX(Items!$B$5:$B$597,MATCH($F1817,Items!$A$5:$A$597,0)),"⚠ not in Items"))</f>
        <v>Gloves</v>
      </c>
      <c r="H1817" s="19" t="str">
        <f>IF($F1817="","",IFERROR(INDEX(Items!$C$5:$C$597,MATCH($F1817,Items!$A$5:$A$597,0)),""))</f>
        <v>Large</v>
      </c>
      <c r="I1817" s="23">
        <f>IF($F1817="","",IFERROR(INDEX(Items!$E$5:$E$597,MATCH($F1817,Items!$A$5:$A$597,0)),""))</f>
        <v>500</v>
      </c>
      <c r="J1817" s="115">
        <f>IF(tblIssues[[#This Row],[Qty Override]]&lt;&gt;"",tblIssues[[#This Row],[Qty Override]],IF(tblIssues[[#This Row],[Standard Issue]]="","",tblIssues[[#This Row],[Standard Issue]]))</f>
        <v>500</v>
      </c>
      <c r="K1817" s="20">
        <f>IF($F1817="","",IFERROR(INDEX(Items!$D$5:$D$597,MATCH($F1817,Items!$A$5:$A$597,0)),""))</f>
        <v>5.5E-2</v>
      </c>
      <c r="L1817" s="21">
        <f t="shared" si="316"/>
        <v>27.5</v>
      </c>
      <c r="M1817" s="9" t="str">
        <f t="shared" si="314"/>
        <v>O17103</v>
      </c>
      <c r="N1817" s="24">
        <f>IF($A1817="","",WORKDAY($A1817,Settings!$C$9,HolidayDates))</f>
        <v>46227</v>
      </c>
      <c r="O1817" s="24">
        <f>IF($N1817="","",WORKDAY($N1817,Settings!$C$10,HolidayDates))</f>
        <v>46267</v>
      </c>
      <c r="P1817" s="10" t="s">
        <v>501</v>
      </c>
      <c r="Q1817" s="52" t="str">
        <f t="shared" si="317"/>
        <v>Collected</v>
      </c>
      <c r="R1817" s="55" t="str">
        <f t="shared" si="318"/>
        <v>2026-07</v>
      </c>
      <c r="S1817" s="55">
        <f>IF(OR($B1817="",$F1817="",$R1817=""),"",SUMIFS(tblIssues[Qty Issued],tblIssues[Staff ID],$B1817,tblIssues[Item Name],$F1817,tblIssues[Month],$R1817))</f>
        <v>500</v>
      </c>
      <c r="T1817" s="56">
        <f>IF($I1817="","",$I1817*Settings!$C$11)</f>
        <v>500</v>
      </c>
      <c r="U1817" s="57" t="str">
        <f t="shared" si="315"/>
        <v>OK</v>
      </c>
      <c r="V1817" s="55" t="str">
        <f t="shared" si="319"/>
        <v/>
      </c>
      <c r="W1817" s="55" t="str">
        <f>IF($V1817="","",IF(COUNTIF($V$5:$V1817,$V1817)=1,1,""))</f>
        <v/>
      </c>
      <c r="X1817" s="58" t="str">
        <f>IF($W1817="","",MAX($X$4:X1816)+1)</f>
        <v/>
      </c>
      <c r="Y1817" s="62"/>
      <c r="Z1817" s="62"/>
      <c r="AA1817" s="64" t="str">
        <f>IF($C1817="","",IFERROR(INDEX('Staff Directory'!$E$5:$E$594,MATCH($C1817,'Staff Directory'!$B$5:$B$594,0)),""))</f>
        <v>firstname100.lastname100@example.com</v>
      </c>
      <c r="AB1817" s="64" t="str">
        <f>IF($C1817="","",IF(ISNUMBER(SEARCH($D1817,Settings!$C$15)),"Pickup","Dispatch"))</f>
        <v>Pickup</v>
      </c>
      <c r="AC1817" s="64" t="str">
        <f t="shared" si="320"/>
        <v>Supply order ready for pickup</v>
      </c>
      <c r="AD1817" s="64" t="str">
        <f t="shared" si="311"/>
        <v>Dear PSW,
Your order is ready for pickup from Sample Branch, Wed-Fri 9am-4pm.</v>
      </c>
      <c r="AE1817" s="64" t="str">
        <f t="shared" si="312"/>
        <v>mailto:firstname100.lastname100@example.com?subject=Supply%20order%20ready%20for%20pickup&amp;body=Dear%20PSW%2C%0A%0AYour%20order%20is%20ready%20for%20pickup%20from%20Sample%20Branch%2C%20Wed-Fri%209am-4pm.</v>
      </c>
      <c r="AF1817" s="89" t="str">
        <f t="shared" si="321"/>
        <v>Draft email</v>
      </c>
      <c r="AG1817" s="64" t="str">
        <f>IF($C1817="","",IFERROR(INDEX('Staff Directory'!$K$595:$K$599,MATCH($C1817,'Staff Directory'!$B$5:$B$599,0)),$D1817))</f>
        <v>PSW</v>
      </c>
      <c r="AH1817" t="str">
        <f>IF($C1817="","",IFERROR(INDEX('Staff Directory'!$I$595:$I$599,MATCH($C1817,'Staff Directory'!$B$5:$B$599,0))&amp;" "&amp;INDEX('Staff Directory'!$J$595:$J$599,MATCH($C1817,'Staff Directory'!$B$5:$B$599,0)),$AG1817))</f>
        <v>PSW</v>
      </c>
      <c r="AI1817" s="102"/>
      <c r="AJ1817" s="101">
        <f>IF($F1817="","",SUMIFS($J$5:$J1817,$F$5:$F1817,$F1817))</f>
        <v>48500</v>
      </c>
      <c r="AK1817" s="101">
        <f t="shared" si="313"/>
        <v>48001</v>
      </c>
      <c r="AL1817" s="66" t="str" cm="1">
        <f t="array" ref="AL1817">IF($F1817="","",IFERROR(INDEX('Lot Balance'!$B$5:$B$500,MATCH(1,INDEX(('Lot Balance'!$A$5:$A$500=$F1817)*('Lot Balance'!$K$5:$K$500&lt;$AK1817)*('Lot Balance'!$K$5:$K$500+'Lot Balance'!$D$5:$D$500&gt;=$AK1817),0),0)),""))</f>
        <v>O17103</v>
      </c>
      <c r="AM1817" s="66" t="str" cm="1">
        <f t="array" ref="AM1817">IF($F1817="","",IFERROR(INDEX('Lot Balance'!$B$5:$B$500,MATCH(1,INDEX(('Lot Balance'!$A$5:$A$500=$F1817)*('Lot Balance'!$K$5:$K$500&lt;$AJ1817)*('Lot Balance'!$K$5:$K$500+'Lot Balance'!$D$5:$D$500&gt;=$AJ1817),0),0)),""))</f>
        <v>O17103</v>
      </c>
      <c r="AN1817" s="66" t="str">
        <f>IF($F1817="","",IF($AI1817&lt;&gt;"",IF(COUNTIFS('Lot Balance'!$A$5:$A$500,$F1817,'Lot Balance'!$B$5:$B$500,$AI1817)=0,"⚠ override is not a lot of this item",IF($AI1817=$AL1817,"Override = FEFO","Override - FEFO says "&amp;$AL1817)),IF($AL1817="","⚠ no receipt on file for this item",IF($AM1817&lt;&gt;$AL1817,"FEFO auto - split, also "&amp;$AM1817,"FEFO auto"))))</f>
        <v>FEFO auto</v>
      </c>
      <c r="AO1817" s="114"/>
    </row>
    <row r="1818" spans="1:41" x14ac:dyDescent="0.35">
      <c r="A1818" s="74">
        <v>46219</v>
      </c>
      <c r="B1818" s="18" t="str">
        <f>IF($C1818="","",IFERROR(INDEX('Staff Directory'!$A$5:$A$594,MATCH($C1818,'Staff Directory'!$B$5:$B$594,0)),"⚠ unknown staff"))</f>
        <v>PSW-041-A4</v>
      </c>
      <c r="C1818" s="49" t="s">
        <v>1016</v>
      </c>
      <c r="D1818" s="19" t="str">
        <f>IF($B1818="","",IFERROR(INDEX('Staff Directory'!$C$5:$C$594,MATCH($B1818,'Staff Directory'!$A$5:$A$594,0)),""))</f>
        <v>PSW</v>
      </c>
      <c r="E1818" s="19" t="str">
        <f>IF($B1818="","",IFERROR(INDEX('Staff Directory'!$D$5:$D$594,MATCH($B1818,'Staff Directory'!$A$5:$A$594,0)),""))</f>
        <v>A4</v>
      </c>
      <c r="F1818" s="9" t="s">
        <v>191</v>
      </c>
      <c r="G1818" s="18" t="str">
        <f>IF($F1818="","",IFERROR(INDEX(Items!$B$5:$B$597,MATCH($F1818,Items!$A$5:$A$597,0)),"⚠ not in Items"))</f>
        <v>Sanitizer</v>
      </c>
      <c r="H1818" s="19" t="str">
        <f>IF($F1818="","",IFERROR(INDEX(Items!$C$5:$C$597,MATCH($F1818,Items!$A$5:$A$597,0)),""))</f>
        <v>236 ML</v>
      </c>
      <c r="I1818" s="23">
        <f>IF($F1818="","",IFERROR(INDEX(Items!$E$5:$E$597,MATCH($F1818,Items!$A$5:$A$597,0)),""))</f>
        <v>1</v>
      </c>
      <c r="J1818" s="115">
        <f>IF(tblIssues[[#This Row],[Qty Override]]&lt;&gt;"",tblIssues[[#This Row],[Qty Override]],IF(tblIssues[[#This Row],[Standard Issue]]="","",tblIssues[[#This Row],[Standard Issue]]))</f>
        <v>1</v>
      </c>
      <c r="K1818" s="20">
        <f>IF($F1818="","",IFERROR(INDEX(Items!$D$5:$D$597,MATCH($F1818,Items!$A$5:$A$597,0)),""))</f>
        <v>1E-4</v>
      </c>
      <c r="L1818" s="21">
        <f t="shared" si="316"/>
        <v>1E-4</v>
      </c>
      <c r="M1818" s="9" t="str">
        <f t="shared" si="314"/>
        <v>20-21734-5</v>
      </c>
      <c r="N1818" s="24">
        <f>IF($A1818="","",WORKDAY($A1818,Settings!$C$9,HolidayDates))</f>
        <v>46227</v>
      </c>
      <c r="O1818" s="24">
        <f>IF($N1818="","",WORKDAY($N1818,Settings!$C$10,HolidayDates))</f>
        <v>46267</v>
      </c>
      <c r="P1818" s="10" t="s">
        <v>501</v>
      </c>
      <c r="Q1818" s="52" t="str">
        <f t="shared" si="317"/>
        <v>Collected</v>
      </c>
      <c r="R1818" s="55" t="str">
        <f t="shared" si="318"/>
        <v>2026-07</v>
      </c>
      <c r="S1818" s="55">
        <f>IF(OR($B1818="",$F1818="",$R1818=""),"",SUMIFS(tblIssues[Qty Issued],tblIssues[Staff ID],$B1818,tblIssues[Item Name],$F1818,tblIssues[Month],$R1818))</f>
        <v>1</v>
      </c>
      <c r="T1818" s="56">
        <f>IF($I1818="","",$I1818*Settings!$C$11)</f>
        <v>1</v>
      </c>
      <c r="U1818" s="57" t="str">
        <f t="shared" si="315"/>
        <v>OK</v>
      </c>
      <c r="V1818" s="55" t="str">
        <f t="shared" si="319"/>
        <v/>
      </c>
      <c r="W1818" s="55" t="str">
        <f>IF($V1818="","",IF(COUNTIF($V$5:$V1818,$V1818)=1,1,""))</f>
        <v/>
      </c>
      <c r="X1818" s="58" t="str">
        <f>IF($W1818="","",MAX($X$4:X1817)+1)</f>
        <v/>
      </c>
      <c r="Y1818" s="62"/>
      <c r="Z1818" s="62"/>
      <c r="AA1818" s="64" t="str">
        <f>IF($C1818="","",IFERROR(INDEX('Staff Directory'!$E$5:$E$594,MATCH($C1818,'Staff Directory'!$B$5:$B$594,0)),""))</f>
        <v>firstname100.lastname100@example.com</v>
      </c>
      <c r="AB1818" s="64" t="str">
        <f>IF($C1818="","",IF(ISNUMBER(SEARCH($D1818,Settings!$C$15)),"Pickup","Dispatch"))</f>
        <v>Pickup</v>
      </c>
      <c r="AC1818" s="64" t="str">
        <f t="shared" si="320"/>
        <v>Supply order ready for pickup</v>
      </c>
      <c r="AD1818" s="64" t="str">
        <f t="shared" si="311"/>
        <v>Dear PSW,
Your order is ready for pickup from Sample Branch, Wed-Fri 9am-4pm.</v>
      </c>
      <c r="AE1818" s="64" t="str">
        <f t="shared" si="312"/>
        <v>mailto:firstname100.lastname100@example.com?subject=Supply%20order%20ready%20for%20pickup&amp;body=Dear%20PSW%2C%0A%0AYour%20order%20is%20ready%20for%20pickup%20from%20Sample%20Branch%2C%20Wed-Fri%209am-4pm.</v>
      </c>
      <c r="AF1818" s="89" t="str">
        <f t="shared" si="321"/>
        <v>Draft email</v>
      </c>
      <c r="AG1818" s="64" t="str">
        <f>IF($C1818="","",IFERROR(INDEX('Staff Directory'!$K$595:$K$599,MATCH($C1818,'Staff Directory'!$B$5:$B$599,0)),$D1818))</f>
        <v>PSW</v>
      </c>
      <c r="AH1818" t="str">
        <f>IF($C1818="","",IFERROR(INDEX('Staff Directory'!$I$595:$I$599,MATCH($C1818,'Staff Directory'!$B$5:$B$599,0))&amp;" "&amp;INDEX('Staff Directory'!$J$595:$J$599,MATCH($C1818,'Staff Directory'!$B$5:$B$599,0)),$AG1818))</f>
        <v>PSW</v>
      </c>
      <c r="AI1818" s="102"/>
      <c r="AJ1818" s="101">
        <f>IF($F1818="","",SUMIFS($J$5:$J1818,$F$5:$F1818,$F1818))</f>
        <v>242</v>
      </c>
      <c r="AK1818" s="101">
        <f t="shared" si="313"/>
        <v>242</v>
      </c>
      <c r="AL1818" s="66" t="str" cm="1">
        <f t="array" ref="AL1818">IF($F1818="","",IFERROR(INDEX('Lot Balance'!$B$5:$B$500,MATCH(1,INDEX(('Lot Balance'!$A$5:$A$500=$F1818)*('Lot Balance'!$K$5:$K$500&lt;$AK1818)*('Lot Balance'!$K$5:$K$500+'Lot Balance'!$D$5:$D$500&gt;=$AK1818),0),0)),""))</f>
        <v>20-21734-5</v>
      </c>
      <c r="AM1818" s="66" t="str" cm="1">
        <f t="array" ref="AM1818">IF($F1818="","",IFERROR(INDEX('Lot Balance'!$B$5:$B$500,MATCH(1,INDEX(('Lot Balance'!$A$5:$A$500=$F1818)*('Lot Balance'!$K$5:$K$500&lt;$AJ1818)*('Lot Balance'!$K$5:$K$500+'Lot Balance'!$D$5:$D$500&gt;=$AJ1818),0),0)),""))</f>
        <v>20-21734-5</v>
      </c>
      <c r="AN1818" s="66" t="str">
        <f>IF($F1818="","",IF($AI1818&lt;&gt;"",IF(COUNTIFS('Lot Balance'!$A$5:$A$500,$F1818,'Lot Balance'!$B$5:$B$500,$AI1818)=0,"⚠ override is not a lot of this item",IF($AI1818=$AL1818,"Override = FEFO","Override - FEFO says "&amp;$AL1818)),IF($AL1818="","⚠ no receipt on file for this item",IF($AM1818&lt;&gt;$AL1818,"FEFO auto - split, also "&amp;$AM1818,"FEFO auto"))))</f>
        <v>FEFO auto</v>
      </c>
      <c r="AO1818" s="114"/>
    </row>
    <row r="1819" spans="1:41" x14ac:dyDescent="0.35">
      <c r="A1819" s="74">
        <v>46219</v>
      </c>
      <c r="B1819" s="18" t="str">
        <f>IF($C1819="","",IFERROR(INDEX('Staff Directory'!$A$5:$A$594,MATCH($C1819,'Staff Directory'!$B$5:$B$594,0)),"⚠ unknown staff"))</f>
        <v>PSW-041-A4</v>
      </c>
      <c r="C1819" s="49" t="s">
        <v>1016</v>
      </c>
      <c r="D1819" s="19" t="str">
        <f>IF($B1819="","",IFERROR(INDEX('Staff Directory'!$C$5:$C$594,MATCH($B1819,'Staff Directory'!$A$5:$A$594,0)),""))</f>
        <v>PSW</v>
      </c>
      <c r="E1819" s="19" t="str">
        <f>IF($B1819="","",IFERROR(INDEX('Staff Directory'!$D$5:$D$594,MATCH($B1819,'Staff Directory'!$A$5:$A$594,0)),""))</f>
        <v>A4</v>
      </c>
      <c r="F1819" s="9" t="s">
        <v>115</v>
      </c>
      <c r="G1819" s="18" t="str">
        <f>IF($F1819="","",IFERROR(INDEX(Items!$B$5:$B$597,MATCH($F1819,Items!$A$5:$A$597,0)),"⚠ not in Items"))</f>
        <v>Wipes</v>
      </c>
      <c r="H1819" s="19">
        <f>IF($F1819="","",IFERROR(INDEX(Items!$C$5:$C$597,MATCH($F1819,Items!$A$5:$A$597,0)),""))</f>
        <v>80</v>
      </c>
      <c r="I1819" s="23">
        <f>IF($F1819="","",IFERROR(INDEX(Items!$E$5:$E$597,MATCH($F1819,Items!$A$5:$A$597,0)),""))</f>
        <v>80</v>
      </c>
      <c r="J1819" s="115">
        <f>IF(tblIssues[[#This Row],[Qty Override]]&lt;&gt;"",tblIssues[[#This Row],[Qty Override]],IF(tblIssues[[#This Row],[Standard Issue]]="","",tblIssues[[#This Row],[Standard Issue]]))</f>
        <v>80</v>
      </c>
      <c r="K1819" s="20">
        <f>IF($F1819="","",IFERROR(INDEX(Items!$D$5:$D$597,MATCH($F1819,Items!$A$5:$A$597,0)),""))</f>
        <v>0.1</v>
      </c>
      <c r="L1819" s="21">
        <f t="shared" si="316"/>
        <v>8</v>
      </c>
      <c r="M1819" s="9" t="str">
        <f t="shared" si="314"/>
        <v>LYSL500290</v>
      </c>
      <c r="N1819" s="24">
        <f>IF($A1819="","",WORKDAY($A1819,Settings!$C$9,HolidayDates))</f>
        <v>46227</v>
      </c>
      <c r="O1819" s="24">
        <f>IF($N1819="","",WORKDAY($N1819,Settings!$C$10,HolidayDates))</f>
        <v>46267</v>
      </c>
      <c r="P1819" s="10" t="s">
        <v>501</v>
      </c>
      <c r="Q1819" s="52" t="str">
        <f t="shared" si="317"/>
        <v>Collected</v>
      </c>
      <c r="R1819" s="55" t="str">
        <f t="shared" si="318"/>
        <v>2026-07</v>
      </c>
      <c r="S1819" s="55">
        <f>IF(OR($B1819="",$F1819="",$R1819=""),"",SUMIFS(tblIssues[Qty Issued],tblIssues[Staff ID],$B1819,tblIssues[Item Name],$F1819,tblIssues[Month],$R1819))</f>
        <v>80</v>
      </c>
      <c r="T1819" s="56">
        <f>IF($I1819="","",$I1819*Settings!$C$11)</f>
        <v>80</v>
      </c>
      <c r="U1819" s="57" t="str">
        <f t="shared" si="315"/>
        <v>OK</v>
      </c>
      <c r="V1819" s="55" t="str">
        <f t="shared" si="319"/>
        <v/>
      </c>
      <c r="W1819" s="55" t="str">
        <f>IF($V1819="","",IF(COUNTIF($V$5:$V1819,$V1819)=1,1,""))</f>
        <v/>
      </c>
      <c r="X1819" s="58" t="str">
        <f>IF($W1819="","",MAX($X$4:X1818)+1)</f>
        <v/>
      </c>
      <c r="Y1819" s="62"/>
      <c r="Z1819" s="62"/>
      <c r="AA1819" s="64" t="str">
        <f>IF($C1819="","",IFERROR(INDEX('Staff Directory'!$E$5:$E$594,MATCH($C1819,'Staff Directory'!$B$5:$B$594,0)),""))</f>
        <v>firstname100.lastname100@example.com</v>
      </c>
      <c r="AB1819" s="64" t="str">
        <f>IF($C1819="","",IF(ISNUMBER(SEARCH($D1819,Settings!$C$15)),"Pickup","Dispatch"))</f>
        <v>Pickup</v>
      </c>
      <c r="AC1819" s="64" t="str">
        <f t="shared" si="320"/>
        <v>Supply order ready for pickup</v>
      </c>
      <c r="AD1819" s="64" t="str">
        <f t="shared" si="311"/>
        <v>Dear PSW,
Your order is ready for pickup from Sample Branch, Wed-Fri 9am-4pm.</v>
      </c>
      <c r="AE1819" s="64" t="str">
        <f t="shared" si="312"/>
        <v>mailto:firstname100.lastname100@example.com?subject=Supply%20order%20ready%20for%20pickup&amp;body=Dear%20PSW%2C%0A%0AYour%20order%20is%20ready%20for%20pickup%20from%20Sample%20Branch%2C%20Wed-Fri%209am-4pm.</v>
      </c>
      <c r="AF1819" s="89" t="str">
        <f t="shared" si="321"/>
        <v>Draft email</v>
      </c>
      <c r="AG1819" s="64" t="str">
        <f>IF($C1819="","",IFERROR(INDEX('Staff Directory'!$K$595:$K$599,MATCH($C1819,'Staff Directory'!$B$5:$B$599,0)),$D1819))</f>
        <v>PSW</v>
      </c>
      <c r="AH1819" t="str">
        <f>IF($C1819="","",IFERROR(INDEX('Staff Directory'!$I$595:$I$599,MATCH($C1819,'Staff Directory'!$B$5:$B$599,0))&amp;" "&amp;INDEX('Staff Directory'!$J$595:$J$599,MATCH($C1819,'Staff Directory'!$B$5:$B$599,0)),$AG1819))</f>
        <v>PSW</v>
      </c>
      <c r="AI1819" s="102"/>
      <c r="AJ1819" s="101">
        <f>IF($F1819="","",SUMIFS($J$5:$J1819,$F$5:$F1819,$F1819))</f>
        <v>24080</v>
      </c>
      <c r="AK1819" s="101">
        <f t="shared" si="313"/>
        <v>24001</v>
      </c>
      <c r="AL1819" s="66" t="str" cm="1">
        <f t="array" ref="AL1819">IF($F1819="","",IFERROR(INDEX('Lot Balance'!$B$5:$B$500,MATCH(1,INDEX(('Lot Balance'!$A$5:$A$500=$F1819)*('Lot Balance'!$K$5:$K$500&lt;$AK1819)*('Lot Balance'!$K$5:$K$500+'Lot Balance'!$D$5:$D$500&gt;=$AK1819),0),0)),""))</f>
        <v>LYSL500290</v>
      </c>
      <c r="AM1819" s="66" t="str" cm="1">
        <f t="array" ref="AM1819">IF($F1819="","",IFERROR(INDEX('Lot Balance'!$B$5:$B$500,MATCH(1,INDEX(('Lot Balance'!$A$5:$A$500=$F1819)*('Lot Balance'!$K$5:$K$500&lt;$AJ1819)*('Lot Balance'!$K$5:$K$500+'Lot Balance'!$D$5:$D$500&gt;=$AJ1819),0),0)),""))</f>
        <v>LYSL500290</v>
      </c>
      <c r="AN1819" s="66" t="str">
        <f>IF($F1819="","",IF($AI1819&lt;&gt;"",IF(COUNTIFS('Lot Balance'!$A$5:$A$500,$F1819,'Lot Balance'!$B$5:$B$500,$AI1819)=0,"⚠ override is not a lot of this item",IF($AI1819=$AL1819,"Override = FEFO","Override - FEFO says "&amp;$AL1819)),IF($AL1819="","⚠ no receipt on file for this item",IF($AM1819&lt;&gt;$AL1819,"FEFO auto - split, also "&amp;$AM1819,"FEFO auto"))))</f>
        <v>FEFO auto</v>
      </c>
      <c r="AO1819" s="114"/>
    </row>
    <row r="1820" spans="1:41" x14ac:dyDescent="0.35">
      <c r="A1820" s="74">
        <v>46219</v>
      </c>
      <c r="B1820" s="18" t="str">
        <f>IF($C1820="","",IFERROR(INDEX('Staff Directory'!$A$5:$A$594,MATCH($C1820,'Staff Directory'!$B$5:$B$594,0)),"⚠ unknown staff"))</f>
        <v>PSW-041-A4</v>
      </c>
      <c r="C1820" s="49" t="s">
        <v>1016</v>
      </c>
      <c r="D1820" s="19" t="str">
        <f>IF($B1820="","",IFERROR(INDEX('Staff Directory'!$C$5:$C$594,MATCH($B1820,'Staff Directory'!$A$5:$A$594,0)),""))</f>
        <v>PSW</v>
      </c>
      <c r="E1820" s="19" t="str">
        <f>IF($B1820="","",IFERROR(INDEX('Staff Directory'!$D$5:$D$594,MATCH($B1820,'Staff Directory'!$A$5:$A$594,0)),""))</f>
        <v>A4</v>
      </c>
      <c r="F1820" s="9" t="s">
        <v>156</v>
      </c>
      <c r="G1820" s="18" t="str">
        <f>IF($F1820="","",IFERROR(INDEX(Items!$B$5:$B$597,MATCH($F1820,Items!$A$5:$A$597,0)),"⚠ not in Items"))</f>
        <v>Masks</v>
      </c>
      <c r="H1820" s="19" t="str">
        <f>IF($F1820="","",IFERROR(INDEX(Items!$C$5:$C$597,MATCH($F1820,Items!$A$5:$A$597,0)),""))</f>
        <v>One Size</v>
      </c>
      <c r="I1820" s="23">
        <f>IF($F1820="","",IFERROR(INDEX(Items!$E$5:$E$597,MATCH($F1820,Items!$A$5:$A$597,0)),""))</f>
        <v>50</v>
      </c>
      <c r="J1820" s="115">
        <f>IF(tblIssues[[#This Row],[Qty Override]]&lt;&gt;"",tblIssues[[#This Row],[Qty Override]],IF(tblIssues[[#This Row],[Standard Issue]]="","",tblIssues[[#This Row],[Standard Issue]]))</f>
        <v>50</v>
      </c>
      <c r="K1820" s="20">
        <f>IF($F1820="","",IFERROR(INDEX(Items!$D$5:$D$597,MATCH($F1820,Items!$A$5:$A$597,0)),""))</f>
        <v>0.25</v>
      </c>
      <c r="L1820" s="21">
        <f t="shared" si="316"/>
        <v>12.5</v>
      </c>
      <c r="M1820" s="9" t="str">
        <f t="shared" si="314"/>
        <v>LV2-10040-2</v>
      </c>
      <c r="N1820" s="24">
        <f>IF($A1820="","",WORKDAY($A1820,Settings!$C$9,HolidayDates))</f>
        <v>46227</v>
      </c>
      <c r="O1820" s="24">
        <f>IF($N1820="","",WORKDAY($N1820,Settings!$C$10,HolidayDates))</f>
        <v>46267</v>
      </c>
      <c r="P1820" s="10" t="s">
        <v>501</v>
      </c>
      <c r="Q1820" s="52" t="str">
        <f t="shared" si="317"/>
        <v>Collected</v>
      </c>
      <c r="R1820" s="55" t="str">
        <f t="shared" si="318"/>
        <v>2026-07</v>
      </c>
      <c r="S1820" s="55">
        <f>IF(OR($B1820="",$F1820="",$R1820=""),"",SUMIFS(tblIssues[Qty Issued],tblIssues[Staff ID],$B1820,tblIssues[Item Name],$F1820,tblIssues[Month],$R1820))</f>
        <v>50</v>
      </c>
      <c r="T1820" s="56">
        <f>IF($I1820="","",$I1820*Settings!$C$11)</f>
        <v>50</v>
      </c>
      <c r="U1820" s="57" t="str">
        <f t="shared" si="315"/>
        <v>OK</v>
      </c>
      <c r="V1820" s="55" t="str">
        <f t="shared" si="319"/>
        <v/>
      </c>
      <c r="W1820" s="55" t="str">
        <f>IF($V1820="","",IF(COUNTIF($V$5:$V1820,$V1820)=1,1,""))</f>
        <v/>
      </c>
      <c r="X1820" s="58" t="str">
        <f>IF($W1820="","",MAX($X$4:X1819)+1)</f>
        <v/>
      </c>
      <c r="Y1820" s="62"/>
      <c r="Z1820" s="62"/>
      <c r="AA1820" s="64" t="str">
        <f>IF($C1820="","",IFERROR(INDEX('Staff Directory'!$E$5:$E$594,MATCH($C1820,'Staff Directory'!$B$5:$B$594,0)),""))</f>
        <v>firstname100.lastname100@example.com</v>
      </c>
      <c r="AB1820" s="64" t="str">
        <f>IF($C1820="","",IF(ISNUMBER(SEARCH($D1820,Settings!$C$15)),"Pickup","Dispatch"))</f>
        <v>Pickup</v>
      </c>
      <c r="AC1820" s="64" t="str">
        <f t="shared" si="320"/>
        <v>Supply order ready for pickup</v>
      </c>
      <c r="AD1820" s="64" t="str">
        <f t="shared" si="311"/>
        <v>Dear PSW,
Your order is ready for pickup from Sample Branch, Wed-Fri 9am-4pm.</v>
      </c>
      <c r="AE1820" s="64" t="str">
        <f t="shared" si="312"/>
        <v>mailto:firstname100.lastname100@example.com?subject=Supply%20order%20ready%20for%20pickup&amp;body=Dear%20PSW%2C%0A%0AYour%20order%20is%20ready%20for%20pickup%20from%20Sample%20Branch%2C%20Wed-Fri%209am-4pm.</v>
      </c>
      <c r="AF1820" s="89" t="str">
        <f t="shared" si="321"/>
        <v>Draft email</v>
      </c>
      <c r="AG1820" s="64" t="str">
        <f>IF($C1820="","",IFERROR(INDEX('Staff Directory'!$K$595:$K$599,MATCH($C1820,'Staff Directory'!$B$5:$B$599,0)),$D1820))</f>
        <v>PSW</v>
      </c>
      <c r="AH1820" t="str">
        <f>IF($C1820="","",IFERROR(INDEX('Staff Directory'!$I$595:$I$599,MATCH($C1820,'Staff Directory'!$B$5:$B$599,0))&amp;" "&amp;INDEX('Staff Directory'!$J$595:$J$599,MATCH($C1820,'Staff Directory'!$B$5:$B$599,0)),$AG1820))</f>
        <v>PSW</v>
      </c>
      <c r="AI1820" s="102"/>
      <c r="AJ1820" s="101">
        <f>IF($F1820="","",SUMIFS($J$5:$J1820,$F$5:$F1820,$F1820))</f>
        <v>14900</v>
      </c>
      <c r="AK1820" s="101">
        <f t="shared" si="313"/>
        <v>14851</v>
      </c>
      <c r="AL1820" s="66" t="str" cm="1">
        <f t="array" ref="AL1820">IF($F1820="","",IFERROR(INDEX('Lot Balance'!$B$5:$B$500,MATCH(1,INDEX(('Lot Balance'!$A$5:$A$500=$F1820)*('Lot Balance'!$K$5:$K$500&lt;$AK1820)*('Lot Balance'!$K$5:$K$500+'Lot Balance'!$D$5:$D$500&gt;=$AK1820),0),0)),""))</f>
        <v>LV2-10040-2</v>
      </c>
      <c r="AM1820" s="66" t="str" cm="1">
        <f t="array" ref="AM1820">IF($F1820="","",IFERROR(INDEX('Lot Balance'!$B$5:$B$500,MATCH(1,INDEX(('Lot Balance'!$A$5:$A$500=$F1820)*('Lot Balance'!$K$5:$K$500&lt;$AJ1820)*('Lot Balance'!$K$5:$K$500+'Lot Balance'!$D$5:$D$500&gt;=$AJ1820),0),0)),""))</f>
        <v>LV2-10040-2</v>
      </c>
      <c r="AN1820" s="66" t="str">
        <f>IF($F1820="","",IF($AI1820&lt;&gt;"",IF(COUNTIFS('Lot Balance'!$A$5:$A$500,$F1820,'Lot Balance'!$B$5:$B$500,$AI1820)=0,"⚠ override is not a lot of this item",IF($AI1820=$AL1820,"Override = FEFO","Override - FEFO says "&amp;$AL1820)),IF($AL1820="","⚠ no receipt on file for this item",IF($AM1820&lt;&gt;$AL1820,"FEFO auto - split, also "&amp;$AM1820,"FEFO auto"))))</f>
        <v>FEFO auto</v>
      </c>
      <c r="AO1820" s="114"/>
    </row>
    <row r="1821" spans="1:41" x14ac:dyDescent="0.35">
      <c r="A1821" s="74">
        <v>46219</v>
      </c>
      <c r="B1821" s="18" t="str">
        <f>IF($C1821="","",IFERROR(INDEX('Staff Directory'!$A$5:$A$594,MATCH($C1821,'Staff Directory'!$B$5:$B$594,0)),"⚠ unknown staff"))</f>
        <v>PSW-041-A4</v>
      </c>
      <c r="C1821" s="49" t="s">
        <v>1016</v>
      </c>
      <c r="D1821" s="19" t="str">
        <f>IF($B1821="","",IFERROR(INDEX('Staff Directory'!$C$5:$C$594,MATCH($B1821,'Staff Directory'!$A$5:$A$594,0)),""))</f>
        <v>PSW</v>
      </c>
      <c r="E1821" s="19" t="str">
        <f>IF($B1821="","",IFERROR(INDEX('Staff Directory'!$D$5:$D$594,MATCH($B1821,'Staff Directory'!$A$5:$A$594,0)),""))</f>
        <v>A4</v>
      </c>
      <c r="F1821" s="9" t="s">
        <v>147</v>
      </c>
      <c r="G1821" s="18" t="str">
        <f>IF($F1821="","",IFERROR(INDEX(Items!$B$5:$B$597,MATCH($F1821,Items!$A$5:$A$597,0)),"⚠ not in Items"))</f>
        <v>Apparel</v>
      </c>
      <c r="H1821" s="19" t="str">
        <f>IF($F1821="","",IFERROR(INDEX(Items!$C$5:$C$597,MATCH($F1821,Items!$A$5:$A$597,0)),""))</f>
        <v>One Size</v>
      </c>
      <c r="I1821" s="23">
        <f>IF($F1821="","",IFERROR(INDEX(Items!$E$5:$E$597,MATCH($F1821,Items!$A$5:$A$597,0)),""))</f>
        <v>5</v>
      </c>
      <c r="J1821" s="115">
        <f>IF(tblIssues[[#This Row],[Qty Override]]&lt;&gt;"",tblIssues[[#This Row],[Qty Override]],IF(tblIssues[[#This Row],[Standard Issue]]="","",tblIssues[[#This Row],[Standard Issue]]))</f>
        <v>5</v>
      </c>
      <c r="K1821" s="20">
        <f>IF($F1821="","",IFERROR(INDEX(Items!$D$5:$D$597,MATCH($F1821,Items!$A$5:$A$597,0)),""))</f>
        <v>3</v>
      </c>
      <c r="L1821" s="21">
        <f t="shared" si="316"/>
        <v>15</v>
      </c>
      <c r="M1821" s="9" t="str">
        <f t="shared" si="314"/>
        <v>YG500280</v>
      </c>
      <c r="N1821" s="24">
        <f>IF($A1821="","",WORKDAY($A1821,Settings!$C$9,HolidayDates))</f>
        <v>46227</v>
      </c>
      <c r="O1821" s="24">
        <f>IF($N1821="","",WORKDAY($N1821,Settings!$C$10,HolidayDates))</f>
        <v>46267</v>
      </c>
      <c r="P1821" s="10" t="s">
        <v>501</v>
      </c>
      <c r="Q1821" s="52" t="str">
        <f t="shared" si="317"/>
        <v>Collected</v>
      </c>
      <c r="R1821" s="55" t="str">
        <f t="shared" si="318"/>
        <v>2026-07</v>
      </c>
      <c r="S1821" s="55">
        <f>IF(OR($B1821="",$F1821="",$R1821=""),"",SUMIFS(tblIssues[Qty Issued],tblIssues[Staff ID],$B1821,tblIssues[Item Name],$F1821,tblIssues[Month],$R1821))</f>
        <v>5</v>
      </c>
      <c r="T1821" s="56">
        <f>IF($I1821="","",$I1821*Settings!$C$11)</f>
        <v>5</v>
      </c>
      <c r="U1821" s="57" t="str">
        <f t="shared" si="315"/>
        <v>OK</v>
      </c>
      <c r="V1821" s="55" t="str">
        <f t="shared" si="319"/>
        <v/>
      </c>
      <c r="W1821" s="55" t="str">
        <f>IF($V1821="","",IF(COUNTIF($V$5:$V1821,$V1821)=1,1,""))</f>
        <v/>
      </c>
      <c r="X1821" s="58" t="str">
        <f>IF($W1821="","",MAX($X$4:X1820)+1)</f>
        <v/>
      </c>
      <c r="Y1821" s="62"/>
      <c r="Z1821" s="62"/>
      <c r="AA1821" s="64" t="str">
        <f>IF($C1821="","",IFERROR(INDEX('Staff Directory'!$E$5:$E$594,MATCH($C1821,'Staff Directory'!$B$5:$B$594,0)),""))</f>
        <v>firstname100.lastname100@example.com</v>
      </c>
      <c r="AB1821" s="64" t="str">
        <f>IF($C1821="","",IF(ISNUMBER(SEARCH($D1821,Settings!$C$15)),"Pickup","Dispatch"))</f>
        <v>Pickup</v>
      </c>
      <c r="AC1821" s="64" t="str">
        <f t="shared" si="320"/>
        <v>Supply order ready for pickup</v>
      </c>
      <c r="AD1821" s="64" t="str">
        <f t="shared" si="311"/>
        <v>Dear PSW,
Your order is ready for pickup from Sample Branch, Wed-Fri 9am-4pm.</v>
      </c>
      <c r="AE1821" s="64" t="str">
        <f t="shared" si="312"/>
        <v>mailto:firstname100.lastname100@example.com?subject=Supply%20order%20ready%20for%20pickup&amp;body=Dear%20PSW%2C%0A%0AYour%20order%20is%20ready%20for%20pickup%20from%20Sample%20Branch%2C%20Wed-Fri%209am-4pm.</v>
      </c>
      <c r="AF1821" s="89" t="str">
        <f t="shared" si="321"/>
        <v>Draft email</v>
      </c>
      <c r="AG1821" s="64" t="str">
        <f>IF($C1821="","",IFERROR(INDEX('Staff Directory'!$K$595:$K$599,MATCH($C1821,'Staff Directory'!$B$5:$B$599,0)),$D1821))</f>
        <v>PSW</v>
      </c>
      <c r="AH1821" t="str">
        <f>IF($C1821="","",IFERROR(INDEX('Staff Directory'!$I$595:$I$599,MATCH($C1821,'Staff Directory'!$B$5:$B$599,0))&amp;" "&amp;INDEX('Staff Directory'!$J$595:$J$599,MATCH($C1821,'Staff Directory'!$B$5:$B$599,0)),$AG1821))</f>
        <v>PSW</v>
      </c>
      <c r="AI1821" s="102"/>
      <c r="AJ1821" s="101">
        <f>IF($F1821="","",SUMIFS($J$5:$J1821,$F$5:$F1821,$F1821))</f>
        <v>225</v>
      </c>
      <c r="AK1821" s="101">
        <f t="shared" si="313"/>
        <v>221</v>
      </c>
      <c r="AL1821" s="66" t="str" cm="1">
        <f t="array" ref="AL1821">IF($F1821="","",IFERROR(INDEX('Lot Balance'!$B$5:$B$500,MATCH(1,INDEX(('Lot Balance'!$A$5:$A$500=$F1821)*('Lot Balance'!$K$5:$K$500&lt;$AK1821)*('Lot Balance'!$K$5:$K$500+'Lot Balance'!$D$5:$D$500&gt;=$AK1821),0),0)),""))</f>
        <v>YG500280</v>
      </c>
      <c r="AM1821" s="66" t="str" cm="1">
        <f t="array" ref="AM1821">IF($F1821="","",IFERROR(INDEX('Lot Balance'!$B$5:$B$500,MATCH(1,INDEX(('Lot Balance'!$A$5:$A$500=$F1821)*('Lot Balance'!$K$5:$K$500&lt;$AJ1821)*('Lot Balance'!$K$5:$K$500+'Lot Balance'!$D$5:$D$500&gt;=$AJ1821),0),0)),""))</f>
        <v>YG500280</v>
      </c>
      <c r="AN1821" s="66" t="str">
        <f>IF($F1821="","",IF($AI1821&lt;&gt;"",IF(COUNTIFS('Lot Balance'!$A$5:$A$500,$F1821,'Lot Balance'!$B$5:$B$500,$AI1821)=0,"⚠ override is not a lot of this item",IF($AI1821=$AL1821,"Override = FEFO","Override - FEFO says "&amp;$AL1821)),IF($AL1821="","⚠ no receipt on file for this item",IF($AM1821&lt;&gt;$AL1821,"FEFO auto - split, also "&amp;$AM1821,"FEFO auto"))))</f>
        <v>FEFO auto</v>
      </c>
      <c r="AO1821" s="114"/>
    </row>
    <row r="1822" spans="1:41" x14ac:dyDescent="0.35">
      <c r="A1822" s="74">
        <v>46219</v>
      </c>
      <c r="B1822" s="18" t="str">
        <f>IF($C1822="","",IFERROR(INDEX('Staff Directory'!$A$5:$A$594,MATCH($C1822,'Staff Directory'!$B$5:$B$594,0)),"⚠ unknown staff"))</f>
        <v>PSW-041-A4</v>
      </c>
      <c r="C1822" s="49" t="s">
        <v>1016</v>
      </c>
      <c r="D1822" s="19" t="str">
        <f>IF($B1822="","",IFERROR(INDEX('Staff Directory'!$C$5:$C$594,MATCH($B1822,'Staff Directory'!$A$5:$A$594,0)),""))</f>
        <v>PSW</v>
      </c>
      <c r="E1822" s="19" t="str">
        <f>IF($B1822="","",IFERROR(INDEX('Staff Directory'!$D$5:$D$594,MATCH($B1822,'Staff Directory'!$A$5:$A$594,0)),""))</f>
        <v>A4</v>
      </c>
      <c r="F1822" s="9" t="s">
        <v>758</v>
      </c>
      <c r="G1822" s="18" t="str">
        <f>IF($F1822="","",IFERROR(INDEX(Items!$B$5:$B$597,MATCH($F1822,Items!$A$5:$A$597,0)),"⚠ not in Items"))</f>
        <v>Utility</v>
      </c>
      <c r="H1822" s="19" t="str">
        <f>IF($F1822="","",IFERROR(INDEX(Items!$C$5:$C$597,MATCH($F1822,Items!$A$5:$A$597,0)),""))</f>
        <v>Standard</v>
      </c>
      <c r="I1822" s="23">
        <f>IF($F1822="","",IFERROR(INDEX(Items!$E$5:$E$597,MATCH($F1822,Items!$A$5:$A$597,0)),""))</f>
        <v>1</v>
      </c>
      <c r="J1822" s="115">
        <f>IF(tblIssues[[#This Row],[Qty Override]]&lt;&gt;"",tblIssues[[#This Row],[Qty Override]],IF(tblIssues[[#This Row],[Standard Issue]]="","",tblIssues[[#This Row],[Standard Issue]]))</f>
        <v>1</v>
      </c>
      <c r="K1822" s="20">
        <f>IF($F1822="","",IFERROR(INDEX(Items!$D$5:$D$597,MATCH($F1822,Items!$A$5:$A$597,0)),""))</f>
        <v>0</v>
      </c>
      <c r="L1822" s="21">
        <f t="shared" si="316"/>
        <v>0</v>
      </c>
      <c r="M1822" s="9" t="str">
        <f t="shared" si="314"/>
        <v/>
      </c>
      <c r="N1822" s="24">
        <f>IF($A1822="","",WORKDAY($A1822,Settings!$C$9,HolidayDates))</f>
        <v>46227</v>
      </c>
      <c r="O1822" s="24">
        <f>IF($N1822="","",WORKDAY($N1822,Settings!$C$10,HolidayDates))</f>
        <v>46267</v>
      </c>
      <c r="P1822" s="10" t="s">
        <v>501</v>
      </c>
      <c r="Q1822" s="52" t="str">
        <f t="shared" si="317"/>
        <v>Collected</v>
      </c>
      <c r="R1822" s="55" t="str">
        <f t="shared" si="318"/>
        <v>2026-07</v>
      </c>
      <c r="S1822" s="55">
        <f>IF(OR($B1822="",$F1822="",$R1822=""),"",SUMIFS(tblIssues[Qty Issued],tblIssues[Staff ID],$B1822,tblIssues[Item Name],$F1822,tblIssues[Month],$R1822))</f>
        <v>1</v>
      </c>
      <c r="T1822" s="56">
        <f>IF($I1822="","",$I1822*Settings!$C$11)</f>
        <v>1</v>
      </c>
      <c r="U1822" s="57" t="str">
        <f t="shared" si="315"/>
        <v>OK</v>
      </c>
      <c r="V1822" s="55" t="str">
        <f t="shared" si="319"/>
        <v/>
      </c>
      <c r="W1822" s="55" t="str">
        <f>IF($V1822="","",IF(COUNTIF($V$5:$V1822,$V1822)=1,1,""))</f>
        <v/>
      </c>
      <c r="X1822" s="58" t="str">
        <f>IF($W1822="","",MAX($X$4:X1821)+1)</f>
        <v/>
      </c>
      <c r="Y1822" s="62"/>
      <c r="Z1822" s="62"/>
      <c r="AA1822" s="64" t="str">
        <f>IF($C1822="","",IFERROR(INDEX('Staff Directory'!$E$5:$E$594,MATCH($C1822,'Staff Directory'!$B$5:$B$594,0)),""))</f>
        <v>firstname100.lastname100@example.com</v>
      </c>
      <c r="AB1822" s="64" t="str">
        <f>IF($C1822="","",IF(ISNUMBER(SEARCH($D1822,Settings!$C$15)),"Pickup","Dispatch"))</f>
        <v>Pickup</v>
      </c>
      <c r="AC1822" s="64" t="str">
        <f t="shared" si="320"/>
        <v>Supply order ready for pickup</v>
      </c>
      <c r="AD1822" s="64" t="str">
        <f t="shared" si="311"/>
        <v>Dear PSW,
Your order is ready for pickup from Sample Branch, Wed-Fri 9am-4pm.</v>
      </c>
      <c r="AE1822" s="64" t="str">
        <f t="shared" si="312"/>
        <v>mailto:firstname100.lastname100@example.com?subject=Supply%20order%20ready%20for%20pickup&amp;body=Dear%20PSW%2C%0A%0AYour%20order%20is%20ready%20for%20pickup%20from%20Sample%20Branch%2C%20Wed-Fri%209am-4pm.</v>
      </c>
      <c r="AF1822" s="89" t="str">
        <f t="shared" si="321"/>
        <v>Draft email</v>
      </c>
      <c r="AG1822" s="64" t="str">
        <f>IF($C1822="","",IFERROR(INDEX('Staff Directory'!$K$595:$K$599,MATCH($C1822,'Staff Directory'!$B$5:$B$599,0)),$D1822))</f>
        <v>PSW</v>
      </c>
      <c r="AH1822" t="str">
        <f>IF($C1822="","",IFERROR(INDEX('Staff Directory'!$I$595:$I$599,MATCH($C1822,'Staff Directory'!$B$5:$B$599,0))&amp;" "&amp;INDEX('Staff Directory'!$J$595:$J$599,MATCH($C1822,'Staff Directory'!$B$5:$B$599,0)),$AG1822))</f>
        <v>PSW</v>
      </c>
      <c r="AI1822" s="102"/>
      <c r="AJ1822" s="101">
        <f>IF($F1822="","",SUMIFS($J$5:$J1822,$F$5:$F1822,$F1822))</f>
        <v>74</v>
      </c>
      <c r="AK1822" s="101">
        <f t="shared" si="313"/>
        <v>74</v>
      </c>
      <c r="AL1822" s="66" t="str" cm="1">
        <f t="array" ref="AL1822">IF($F1822="","",IFERROR(INDEX('Lot Balance'!$B$5:$B$500,MATCH(1,INDEX(('Lot Balance'!$A$5:$A$500=$F1822)*('Lot Balance'!$K$5:$K$500&lt;$AK1822)*('Lot Balance'!$K$5:$K$500+'Lot Balance'!$D$5:$D$500&gt;=$AK1822),0),0)),""))</f>
        <v/>
      </c>
      <c r="AM1822" s="66" t="str" cm="1">
        <f t="array" ref="AM1822">IF($F1822="","",IFERROR(INDEX('Lot Balance'!$B$5:$B$500,MATCH(1,INDEX(('Lot Balance'!$A$5:$A$500=$F1822)*('Lot Balance'!$K$5:$K$500&lt;$AJ1822)*('Lot Balance'!$K$5:$K$500+'Lot Balance'!$D$5:$D$500&gt;=$AJ1822),0),0)),""))</f>
        <v/>
      </c>
      <c r="AN1822" s="66" t="str">
        <f>IF($F1822="","",IF($AI1822&lt;&gt;"",IF(COUNTIFS('Lot Balance'!$A$5:$A$500,$F1822,'Lot Balance'!$B$5:$B$500,$AI1822)=0,"⚠ override is not a lot of this item",IF($AI1822=$AL1822,"Override = FEFO","Override - FEFO says "&amp;$AL1822)),IF($AL1822="","⚠ no receipt on file for this item",IF($AM1822&lt;&gt;$AL1822,"FEFO auto - split, also "&amp;$AM1822,"FEFO auto"))))</f>
        <v>⚠ no receipt on file for this item</v>
      </c>
      <c r="AO1822" s="114"/>
    </row>
    <row r="1823" spans="1:41" x14ac:dyDescent="0.35">
      <c r="A1823" s="74">
        <v>46219</v>
      </c>
      <c r="B1823" s="18" t="str">
        <f>IF($C1823="","",IFERROR(INDEX('Staff Directory'!$A$5:$A$594,MATCH($C1823,'Staff Directory'!$B$5:$B$594,0)),"⚠ unknown staff"))</f>
        <v>RN-040-A2</v>
      </c>
      <c r="C1823" s="49" t="s">
        <v>962</v>
      </c>
      <c r="D1823" s="19" t="str">
        <f>IF($B1823="","",IFERROR(INDEX('Staff Directory'!$C$5:$C$594,MATCH($B1823,'Staff Directory'!$A$5:$A$594,0)),""))</f>
        <v>RN</v>
      </c>
      <c r="E1823" s="19" t="str">
        <f>IF($B1823="","",IFERROR(INDEX('Staff Directory'!$D$5:$D$594,MATCH($B1823,'Staff Directory'!$A$5:$A$594,0)),""))</f>
        <v>A2</v>
      </c>
      <c r="F1823" s="9" t="s">
        <v>127</v>
      </c>
      <c r="G1823" s="18" t="str">
        <f>IF($F1823="","",IFERROR(INDEX(Items!$B$5:$B$597,MATCH($F1823,Items!$A$5:$A$597,0)),"⚠ not in Items"))</f>
        <v>Gloves</v>
      </c>
      <c r="H1823" s="19" t="str">
        <f>IF($F1823="","",IFERROR(INDEX(Items!$C$5:$C$597,MATCH($F1823,Items!$A$5:$A$597,0)),""))</f>
        <v>Medium</v>
      </c>
      <c r="I1823" s="23">
        <f>IF($F1823="","",IFERROR(INDEX(Items!$E$5:$E$597,MATCH($F1823,Items!$A$5:$A$597,0)),""))</f>
        <v>500</v>
      </c>
      <c r="J1823" s="115">
        <f>IF(tblIssues[[#This Row],[Qty Override]]&lt;&gt;"",tblIssues[[#This Row],[Qty Override]],IF(tblIssues[[#This Row],[Standard Issue]]="","",tblIssues[[#This Row],[Standard Issue]]))</f>
        <v>500</v>
      </c>
      <c r="K1823" s="20">
        <f>IF($F1823="","",IFERROR(INDEX(Items!$D$5:$D$597,MATCH($F1823,Items!$A$5:$A$597,0)),""))</f>
        <v>5.5E-2</v>
      </c>
      <c r="L1823" s="21">
        <f t="shared" si="316"/>
        <v>27.5</v>
      </c>
      <c r="M1823" s="9" t="str">
        <f t="shared" si="314"/>
        <v>ZIM604151579</v>
      </c>
      <c r="N1823" s="24">
        <f>IF($A1823="","",WORKDAY($A1823,Settings!$C$9,HolidayDates))</f>
        <v>46227</v>
      </c>
      <c r="O1823" s="24">
        <f>IF($N1823="","",WORKDAY($N1823,Settings!$C$10,HolidayDates))</f>
        <v>46267</v>
      </c>
      <c r="P1823" s="10" t="s">
        <v>502</v>
      </c>
      <c r="Q1823" s="52" t="str">
        <f t="shared" si="317"/>
        <v>Collected</v>
      </c>
      <c r="R1823" s="55" t="str">
        <f t="shared" si="318"/>
        <v>2026-07</v>
      </c>
      <c r="S1823" s="55">
        <f>IF(OR($B1823="",$F1823="",$R1823=""),"",SUMIFS(tblIssues[Qty Issued],tblIssues[Staff ID],$B1823,tblIssues[Item Name],$F1823,tblIssues[Month],$R1823))</f>
        <v>500</v>
      </c>
      <c r="T1823" s="56">
        <f>IF($I1823="","",$I1823*Settings!$C$11)</f>
        <v>500</v>
      </c>
      <c r="U1823" s="57" t="str">
        <f t="shared" si="315"/>
        <v>OK</v>
      </c>
      <c r="V1823" s="55" t="str">
        <f t="shared" si="319"/>
        <v/>
      </c>
      <c r="W1823" s="55" t="str">
        <f>IF($V1823="","",IF(COUNTIF($V$5:$V1823,$V1823)=1,1,""))</f>
        <v/>
      </c>
      <c r="X1823" s="58" t="str">
        <f>IF($W1823="","",MAX($X$4:X1822)+1)</f>
        <v/>
      </c>
      <c r="Y1823" s="62"/>
      <c r="Z1823" s="62"/>
      <c r="AA1823" s="64" t="str">
        <f>IF($C1823="","",IFERROR(INDEX('Staff Directory'!$E$5:$E$594,MATCH($C1823,'Staff Directory'!$B$5:$B$594,0)),""))</f>
        <v>firstname046.lastname046@example.com</v>
      </c>
      <c r="AB1823" s="64" t="str">
        <f>IF($C1823="","",IF(ISNUMBER(SEARCH($D1823,Settings!$C$15)),"Pickup","Dispatch"))</f>
        <v>Dispatch</v>
      </c>
      <c r="AC1823" s="64" t="str">
        <f t="shared" si="320"/>
        <v>Supply order dispatched</v>
      </c>
      <c r="AD1823" s="64" t="str">
        <f t="shared" si="311"/>
        <v>Dear RN,
Your order has been dispatched and is in transit. Reply if undelivered.</v>
      </c>
      <c r="AE1823" s="64" t="str">
        <f t="shared" si="312"/>
        <v>mailto:firstname046.lastname046@example.com?subject=Supply%20order%20dispatched&amp;body=Dear%20RN%2C%0A%0AYour%20order%20has%20been%20dispatched%20and%20is%20in%20transit.%20Reply%20if%20undelivered.</v>
      </c>
      <c r="AF1823" s="89" t="str">
        <f t="shared" si="321"/>
        <v>Draft email</v>
      </c>
      <c r="AG1823" s="64" t="str">
        <f>IF($C1823="","",IFERROR(INDEX('Staff Directory'!$K$595:$K$599,MATCH($C1823,'Staff Directory'!$B$5:$B$599,0)),$D1823))</f>
        <v>RN</v>
      </c>
      <c r="AH1823" t="str">
        <f>IF($C1823="","",IFERROR(INDEX('Staff Directory'!$I$595:$I$599,MATCH($C1823,'Staff Directory'!$B$5:$B$599,0))&amp;" "&amp;INDEX('Staff Directory'!$J$595:$J$599,MATCH($C1823,'Staff Directory'!$B$5:$B$599,0)),$AG1823))</f>
        <v>RN</v>
      </c>
      <c r="AI1823" s="102"/>
      <c r="AJ1823" s="101">
        <f>IF($F1823="","",SUMIFS($J$5:$J1823,$F$5:$F1823,$F1823))</f>
        <v>109500</v>
      </c>
      <c r="AK1823" s="101">
        <f t="shared" si="313"/>
        <v>109001</v>
      </c>
      <c r="AL1823" s="66" t="str" cm="1">
        <f t="array" ref="AL1823">IF($F1823="","",IFERROR(INDEX('Lot Balance'!$B$5:$B$500,MATCH(1,INDEX(('Lot Balance'!$A$5:$A$500=$F1823)*('Lot Balance'!$K$5:$K$500&lt;$AK1823)*('Lot Balance'!$K$5:$K$500+'Lot Balance'!$D$5:$D$500&gt;=$AK1823),0),0)),""))</f>
        <v>ZIM604151579</v>
      </c>
      <c r="AM1823" s="66" t="str" cm="1">
        <f t="array" ref="AM1823">IF($F1823="","",IFERROR(INDEX('Lot Balance'!$B$5:$B$500,MATCH(1,INDEX(('Lot Balance'!$A$5:$A$500=$F1823)*('Lot Balance'!$K$5:$K$500&lt;$AJ1823)*('Lot Balance'!$K$5:$K$500+'Lot Balance'!$D$5:$D$500&gt;=$AJ1823),0),0)),""))</f>
        <v>ZIM604151579</v>
      </c>
      <c r="AN1823" s="66" t="str">
        <f>IF($F1823="","",IF($AI1823&lt;&gt;"",IF(COUNTIFS('Lot Balance'!$A$5:$A$500,$F1823,'Lot Balance'!$B$5:$B$500,$AI1823)=0,"⚠ override is not a lot of this item",IF($AI1823=$AL1823,"Override = FEFO","Override - FEFO says "&amp;$AL1823)),IF($AL1823="","⚠ no receipt on file for this item",IF($AM1823&lt;&gt;$AL1823,"FEFO auto - split, also "&amp;$AM1823,"FEFO auto"))))</f>
        <v>FEFO auto</v>
      </c>
      <c r="AO1823" s="114"/>
    </row>
    <row r="1824" spans="1:41" x14ac:dyDescent="0.35">
      <c r="A1824" s="74">
        <v>46219</v>
      </c>
      <c r="B1824" s="18" t="str">
        <f>IF($C1824="","",IFERROR(INDEX('Staff Directory'!$A$5:$A$594,MATCH($C1824,'Staff Directory'!$B$5:$B$594,0)),"⚠ unknown staff"))</f>
        <v>RN-040-A2</v>
      </c>
      <c r="C1824" s="49" t="s">
        <v>962</v>
      </c>
      <c r="D1824" s="19" t="str">
        <f>IF($B1824="","",IFERROR(INDEX('Staff Directory'!$C$5:$C$594,MATCH($B1824,'Staff Directory'!$A$5:$A$594,0)),""))</f>
        <v>RN</v>
      </c>
      <c r="E1824" s="19" t="str">
        <f>IF($B1824="","",IFERROR(INDEX('Staff Directory'!$D$5:$D$594,MATCH($B1824,'Staff Directory'!$A$5:$A$594,0)),""))</f>
        <v>A2</v>
      </c>
      <c r="F1824" s="9" t="s">
        <v>191</v>
      </c>
      <c r="G1824" s="18" t="str">
        <f>IF($F1824="","",IFERROR(INDEX(Items!$B$5:$B$597,MATCH($F1824,Items!$A$5:$A$597,0)),"⚠ not in Items"))</f>
        <v>Sanitizer</v>
      </c>
      <c r="H1824" s="19" t="str">
        <f>IF($F1824="","",IFERROR(INDEX(Items!$C$5:$C$597,MATCH($F1824,Items!$A$5:$A$597,0)),""))</f>
        <v>236 ML</v>
      </c>
      <c r="I1824" s="23">
        <f>IF($F1824="","",IFERROR(INDEX(Items!$E$5:$E$597,MATCH($F1824,Items!$A$5:$A$597,0)),""))</f>
        <v>1</v>
      </c>
      <c r="J1824" s="115">
        <f>IF(tblIssues[[#This Row],[Qty Override]]&lt;&gt;"",tblIssues[[#This Row],[Qty Override]],IF(tblIssues[[#This Row],[Standard Issue]]="","",tblIssues[[#This Row],[Standard Issue]]))</f>
        <v>1</v>
      </c>
      <c r="K1824" s="20">
        <f>IF($F1824="","",IFERROR(INDEX(Items!$D$5:$D$597,MATCH($F1824,Items!$A$5:$A$597,0)),""))</f>
        <v>1E-4</v>
      </c>
      <c r="L1824" s="21">
        <f t="shared" si="316"/>
        <v>1E-4</v>
      </c>
      <c r="M1824" s="9" t="str">
        <f t="shared" si="314"/>
        <v>20-21734-5</v>
      </c>
      <c r="N1824" s="24">
        <f>IF($A1824="","",WORKDAY($A1824,Settings!$C$9,HolidayDates))</f>
        <v>46227</v>
      </c>
      <c r="O1824" s="24">
        <f>IF($N1824="","",WORKDAY($N1824,Settings!$C$10,HolidayDates))</f>
        <v>46267</v>
      </c>
      <c r="P1824" s="10" t="s">
        <v>502</v>
      </c>
      <c r="Q1824" s="52" t="str">
        <f t="shared" si="317"/>
        <v>Collected</v>
      </c>
      <c r="R1824" s="55" t="str">
        <f t="shared" si="318"/>
        <v>2026-07</v>
      </c>
      <c r="S1824" s="55">
        <f>IF(OR($B1824="",$F1824="",$R1824=""),"",SUMIFS(tblIssues[Qty Issued],tblIssues[Staff ID],$B1824,tblIssues[Item Name],$F1824,tblIssues[Month],$R1824))</f>
        <v>1</v>
      </c>
      <c r="T1824" s="56">
        <f>IF($I1824="","",$I1824*Settings!$C$11)</f>
        <v>1</v>
      </c>
      <c r="U1824" s="57" t="str">
        <f t="shared" si="315"/>
        <v>OK</v>
      </c>
      <c r="V1824" s="55" t="str">
        <f t="shared" si="319"/>
        <v/>
      </c>
      <c r="W1824" s="55" t="str">
        <f>IF($V1824="","",IF(COUNTIF($V$5:$V1824,$V1824)=1,1,""))</f>
        <v/>
      </c>
      <c r="X1824" s="58" t="str">
        <f>IF($W1824="","",MAX($X$4:X1823)+1)</f>
        <v/>
      </c>
      <c r="Y1824" s="62"/>
      <c r="Z1824" s="62"/>
      <c r="AA1824" s="64" t="str">
        <f>IF($C1824="","",IFERROR(INDEX('Staff Directory'!$E$5:$E$594,MATCH($C1824,'Staff Directory'!$B$5:$B$594,0)),""))</f>
        <v>firstname046.lastname046@example.com</v>
      </c>
      <c r="AB1824" s="64" t="str">
        <f>IF($C1824="","",IF(ISNUMBER(SEARCH($D1824,Settings!$C$15)),"Pickup","Dispatch"))</f>
        <v>Dispatch</v>
      </c>
      <c r="AC1824" s="64" t="str">
        <f t="shared" si="320"/>
        <v>Supply order dispatched</v>
      </c>
      <c r="AD1824" s="64" t="str">
        <f t="shared" si="311"/>
        <v>Dear RN,
Your order has been dispatched and is in transit. Reply if undelivered.</v>
      </c>
      <c r="AE1824" s="64" t="str">
        <f t="shared" si="312"/>
        <v>mailto:firstname046.lastname046@example.com?subject=Supply%20order%20dispatched&amp;body=Dear%20RN%2C%0A%0AYour%20order%20has%20been%20dispatched%20and%20is%20in%20transit.%20Reply%20if%20undelivered.</v>
      </c>
      <c r="AF1824" s="89" t="str">
        <f t="shared" si="321"/>
        <v>Draft email</v>
      </c>
      <c r="AG1824" s="64" t="str">
        <f>IF($C1824="","",IFERROR(INDEX('Staff Directory'!$K$595:$K$599,MATCH($C1824,'Staff Directory'!$B$5:$B$599,0)),$D1824))</f>
        <v>RN</v>
      </c>
      <c r="AH1824" t="str">
        <f>IF($C1824="","",IFERROR(INDEX('Staff Directory'!$I$595:$I$599,MATCH($C1824,'Staff Directory'!$B$5:$B$599,0))&amp;" "&amp;INDEX('Staff Directory'!$J$595:$J$599,MATCH($C1824,'Staff Directory'!$B$5:$B$599,0)),$AG1824))</f>
        <v>RN</v>
      </c>
      <c r="AI1824" s="102"/>
      <c r="AJ1824" s="101">
        <f>IF($F1824="","",SUMIFS($J$5:$J1824,$F$5:$F1824,$F1824))</f>
        <v>243</v>
      </c>
      <c r="AK1824" s="101">
        <f t="shared" si="313"/>
        <v>243</v>
      </c>
      <c r="AL1824" s="66" t="str" cm="1">
        <f t="array" ref="AL1824">IF($F1824="","",IFERROR(INDEX('Lot Balance'!$B$5:$B$500,MATCH(1,INDEX(('Lot Balance'!$A$5:$A$500=$F1824)*('Lot Balance'!$K$5:$K$500&lt;$AK1824)*('Lot Balance'!$K$5:$K$500+'Lot Balance'!$D$5:$D$500&gt;=$AK1824),0),0)),""))</f>
        <v>20-21734-5</v>
      </c>
      <c r="AM1824" s="66" t="str" cm="1">
        <f t="array" ref="AM1824">IF($F1824="","",IFERROR(INDEX('Lot Balance'!$B$5:$B$500,MATCH(1,INDEX(('Lot Balance'!$A$5:$A$500=$F1824)*('Lot Balance'!$K$5:$K$500&lt;$AJ1824)*('Lot Balance'!$K$5:$K$500+'Lot Balance'!$D$5:$D$500&gt;=$AJ1824),0),0)),""))</f>
        <v>20-21734-5</v>
      </c>
      <c r="AN1824" s="66" t="str">
        <f>IF($F1824="","",IF($AI1824&lt;&gt;"",IF(COUNTIFS('Lot Balance'!$A$5:$A$500,$F1824,'Lot Balance'!$B$5:$B$500,$AI1824)=0,"⚠ override is not a lot of this item",IF($AI1824=$AL1824,"Override = FEFO","Override - FEFO says "&amp;$AL1824)),IF($AL1824="","⚠ no receipt on file for this item",IF($AM1824&lt;&gt;$AL1824,"FEFO auto - split, also "&amp;$AM1824,"FEFO auto"))))</f>
        <v>FEFO auto</v>
      </c>
      <c r="AO1824" s="114"/>
    </row>
    <row r="1825" spans="1:41" x14ac:dyDescent="0.35">
      <c r="A1825" s="74">
        <v>46219</v>
      </c>
      <c r="B1825" s="18" t="str">
        <f>IF($C1825="","",IFERROR(INDEX('Staff Directory'!$A$5:$A$594,MATCH($C1825,'Staff Directory'!$B$5:$B$594,0)),"⚠ unknown staff"))</f>
        <v>RN-040-A2</v>
      </c>
      <c r="C1825" s="49" t="s">
        <v>962</v>
      </c>
      <c r="D1825" s="19" t="str">
        <f>IF($B1825="","",IFERROR(INDEX('Staff Directory'!$C$5:$C$594,MATCH($B1825,'Staff Directory'!$A$5:$A$594,0)),""))</f>
        <v>RN</v>
      </c>
      <c r="E1825" s="19" t="str">
        <f>IF($B1825="","",IFERROR(INDEX('Staff Directory'!$D$5:$D$594,MATCH($B1825,'Staff Directory'!$A$5:$A$594,0)),""))</f>
        <v>A2</v>
      </c>
      <c r="F1825" s="9" t="s">
        <v>757</v>
      </c>
      <c r="G1825" s="18" t="str">
        <f>IF($F1825="","",IFERROR(INDEX(Items!$B$5:$B$597,MATCH($F1825,Items!$A$5:$A$597,0)),"⚠ not in Items"))</f>
        <v>Documents</v>
      </c>
      <c r="H1825" s="19" t="str">
        <f>IF($F1825="","",IFERROR(INDEX(Items!$C$5:$C$597,MATCH($F1825,Items!$A$5:$A$597,0)),""))</f>
        <v>Standard</v>
      </c>
      <c r="I1825" s="23">
        <f>IF($F1825="","",IFERROR(INDEX(Items!$E$5:$E$597,MATCH($F1825,Items!$A$5:$A$597,0)),""))</f>
        <v>10</v>
      </c>
      <c r="J1825" s="115">
        <f>IF(tblIssues[[#This Row],[Qty Override]]&lt;&gt;"",tblIssues[[#This Row],[Qty Override]],IF(tblIssues[[#This Row],[Standard Issue]]="","",tblIssues[[#This Row],[Standard Issue]]))</f>
        <v>10</v>
      </c>
      <c r="K1825" s="20">
        <f>IF($F1825="","",IFERROR(INDEX(Items!$D$5:$D$597,MATCH($F1825,Items!$A$5:$A$597,0)),""))</f>
        <v>0</v>
      </c>
      <c r="L1825" s="21">
        <f t="shared" si="316"/>
        <v>0</v>
      </c>
      <c r="M1825" s="9" t="str">
        <f t="shared" si="314"/>
        <v/>
      </c>
      <c r="N1825" s="24">
        <f>IF($A1825="","",WORKDAY($A1825,Settings!$C$9,HolidayDates))</f>
        <v>46227</v>
      </c>
      <c r="O1825" s="24">
        <f>IF($N1825="","",WORKDAY($N1825,Settings!$C$10,HolidayDates))</f>
        <v>46267</v>
      </c>
      <c r="P1825" s="10" t="s">
        <v>502</v>
      </c>
      <c r="Q1825" s="52" t="str">
        <f t="shared" si="317"/>
        <v>Collected</v>
      </c>
      <c r="R1825" s="55" t="str">
        <f t="shared" si="318"/>
        <v>2026-07</v>
      </c>
      <c r="S1825" s="55">
        <f>IF(OR($B1825="",$F1825="",$R1825=""),"",SUMIFS(tblIssues[Qty Issued],tblIssues[Staff ID],$B1825,tblIssues[Item Name],$F1825,tblIssues[Month],$R1825))</f>
        <v>10</v>
      </c>
      <c r="T1825" s="56">
        <f>IF($I1825="","",$I1825*Settings!$C$11)</f>
        <v>10</v>
      </c>
      <c r="U1825" s="57" t="str">
        <f t="shared" si="315"/>
        <v>OK</v>
      </c>
      <c r="V1825" s="55" t="str">
        <f t="shared" si="319"/>
        <v/>
      </c>
      <c r="W1825" s="55" t="str">
        <f>IF($V1825="","",IF(COUNTIF($V$5:$V1825,$V1825)=1,1,""))</f>
        <v/>
      </c>
      <c r="X1825" s="58" t="str">
        <f>IF($W1825="","",MAX($X$4:X1824)+1)</f>
        <v/>
      </c>
      <c r="Y1825" s="62"/>
      <c r="Z1825" s="62"/>
      <c r="AA1825" s="64" t="str">
        <f>IF($C1825="","",IFERROR(INDEX('Staff Directory'!$E$5:$E$594,MATCH($C1825,'Staff Directory'!$B$5:$B$594,0)),""))</f>
        <v>firstname046.lastname046@example.com</v>
      </c>
      <c r="AB1825" s="64" t="str">
        <f>IF($C1825="","",IF(ISNUMBER(SEARCH($D1825,Settings!$C$15)),"Pickup","Dispatch"))</f>
        <v>Dispatch</v>
      </c>
      <c r="AC1825" s="64" t="str">
        <f t="shared" si="320"/>
        <v>Supply order dispatched</v>
      </c>
      <c r="AD1825" s="64" t="str">
        <f t="shared" si="311"/>
        <v>Dear RN,
Your order has been dispatched and is in transit. Reply if undelivered.</v>
      </c>
      <c r="AE1825" s="64" t="str">
        <f t="shared" si="312"/>
        <v>mailto:firstname046.lastname046@example.com?subject=Supply%20order%20dispatched&amp;body=Dear%20RN%2C%0A%0AYour%20order%20has%20been%20dispatched%20and%20is%20in%20transit.%20Reply%20if%20undelivered.</v>
      </c>
      <c r="AF1825" s="89" t="str">
        <f t="shared" si="321"/>
        <v>Draft email</v>
      </c>
      <c r="AG1825" s="64" t="str">
        <f>IF($C1825="","",IFERROR(INDEX('Staff Directory'!$K$595:$K$599,MATCH($C1825,'Staff Directory'!$B$5:$B$599,0)),$D1825))</f>
        <v>RN</v>
      </c>
      <c r="AH1825" t="str">
        <f>IF($C1825="","",IFERROR(INDEX('Staff Directory'!$I$595:$I$599,MATCH($C1825,'Staff Directory'!$B$5:$B$599,0))&amp;" "&amp;INDEX('Staff Directory'!$J$595:$J$599,MATCH($C1825,'Staff Directory'!$B$5:$B$599,0)),$AG1825))</f>
        <v>RN</v>
      </c>
      <c r="AI1825" s="102"/>
      <c r="AJ1825" s="101">
        <f>IF($F1825="","",SUMIFS($J$5:$J1825,$F$5:$F1825,$F1825))</f>
        <v>750</v>
      </c>
      <c r="AK1825" s="101">
        <f t="shared" si="313"/>
        <v>741</v>
      </c>
      <c r="AL1825" s="66" t="str" cm="1">
        <f t="array" ref="AL1825">IF($F1825="","",IFERROR(INDEX('Lot Balance'!$B$5:$B$500,MATCH(1,INDEX(('Lot Balance'!$A$5:$A$500=$F1825)*('Lot Balance'!$K$5:$K$500&lt;$AK1825)*('Lot Balance'!$K$5:$K$500+'Lot Balance'!$D$5:$D$500&gt;=$AK1825),0),0)),""))</f>
        <v/>
      </c>
      <c r="AM1825" s="66" t="str" cm="1">
        <f t="array" ref="AM1825">IF($F1825="","",IFERROR(INDEX('Lot Balance'!$B$5:$B$500,MATCH(1,INDEX(('Lot Balance'!$A$5:$A$500=$F1825)*('Lot Balance'!$K$5:$K$500&lt;$AJ1825)*('Lot Balance'!$K$5:$K$500+'Lot Balance'!$D$5:$D$500&gt;=$AJ1825),0),0)),""))</f>
        <v/>
      </c>
      <c r="AN1825" s="66" t="str">
        <f>IF($F1825="","",IF($AI1825&lt;&gt;"",IF(COUNTIFS('Lot Balance'!$A$5:$A$500,$F1825,'Lot Balance'!$B$5:$B$500,$AI1825)=0,"⚠ override is not a lot of this item",IF($AI1825=$AL1825,"Override = FEFO","Override - FEFO says "&amp;$AL1825)),IF($AL1825="","⚠ no receipt on file for this item",IF($AM1825&lt;&gt;$AL1825,"FEFO auto - split, also "&amp;$AM1825,"FEFO auto"))))</f>
        <v>⚠ no receipt on file for this item</v>
      </c>
      <c r="AO1825" s="114"/>
    </row>
    <row r="1826" spans="1:41" x14ac:dyDescent="0.35">
      <c r="A1826" s="74">
        <v>46219</v>
      </c>
      <c r="B1826" s="18" t="str">
        <f>IF($C1826="","",IFERROR(INDEX('Staff Directory'!$A$5:$A$594,MATCH($C1826,'Staff Directory'!$B$5:$B$594,0)),"⚠ unknown staff"))</f>
        <v>RN-040-A2</v>
      </c>
      <c r="C1826" s="49" t="s">
        <v>962</v>
      </c>
      <c r="D1826" s="19" t="str">
        <f>IF($B1826="","",IFERROR(INDEX('Staff Directory'!$C$5:$C$594,MATCH($B1826,'Staff Directory'!$A$5:$A$594,0)),""))</f>
        <v>RN</v>
      </c>
      <c r="E1826" s="19" t="str">
        <f>IF($B1826="","",IFERROR(INDEX('Staff Directory'!$D$5:$D$594,MATCH($B1826,'Staff Directory'!$A$5:$A$594,0)),""))</f>
        <v>A2</v>
      </c>
      <c r="F1826" s="9" t="s">
        <v>758</v>
      </c>
      <c r="G1826" s="18" t="str">
        <f>IF($F1826="","",IFERROR(INDEX(Items!$B$5:$B$597,MATCH($F1826,Items!$A$5:$A$597,0)),"⚠ not in Items"))</f>
        <v>Utility</v>
      </c>
      <c r="H1826" s="19" t="str">
        <f>IF($F1826="","",IFERROR(INDEX(Items!$C$5:$C$597,MATCH($F1826,Items!$A$5:$A$597,0)),""))</f>
        <v>Standard</v>
      </c>
      <c r="I1826" s="23">
        <f>IF($F1826="","",IFERROR(INDEX(Items!$E$5:$E$597,MATCH($F1826,Items!$A$5:$A$597,0)),""))</f>
        <v>1</v>
      </c>
      <c r="J1826" s="115">
        <f>IF(tblIssues[[#This Row],[Qty Override]]&lt;&gt;"",tblIssues[[#This Row],[Qty Override]],IF(tblIssues[[#This Row],[Standard Issue]]="","",tblIssues[[#This Row],[Standard Issue]]))</f>
        <v>1</v>
      </c>
      <c r="K1826" s="20">
        <f>IF($F1826="","",IFERROR(INDEX(Items!$D$5:$D$597,MATCH($F1826,Items!$A$5:$A$597,0)),""))</f>
        <v>0</v>
      </c>
      <c r="L1826" s="21">
        <f t="shared" si="316"/>
        <v>0</v>
      </c>
      <c r="M1826" s="9" t="str">
        <f t="shared" si="314"/>
        <v/>
      </c>
      <c r="N1826" s="24">
        <f>IF($A1826="","",WORKDAY($A1826,Settings!$C$9,HolidayDates))</f>
        <v>46227</v>
      </c>
      <c r="O1826" s="24">
        <f>IF($N1826="","",WORKDAY($N1826,Settings!$C$10,HolidayDates))</f>
        <v>46267</v>
      </c>
      <c r="P1826" s="10" t="s">
        <v>502</v>
      </c>
      <c r="Q1826" s="52" t="str">
        <f t="shared" si="317"/>
        <v>Collected</v>
      </c>
      <c r="R1826" s="55" t="str">
        <f t="shared" si="318"/>
        <v>2026-07</v>
      </c>
      <c r="S1826" s="55">
        <f>IF(OR($B1826="",$F1826="",$R1826=""),"",SUMIFS(tblIssues[Qty Issued],tblIssues[Staff ID],$B1826,tblIssues[Item Name],$F1826,tblIssues[Month],$R1826))</f>
        <v>1</v>
      </c>
      <c r="T1826" s="56">
        <f>IF($I1826="","",$I1826*Settings!$C$11)</f>
        <v>1</v>
      </c>
      <c r="U1826" s="57" t="str">
        <f t="shared" si="315"/>
        <v>OK</v>
      </c>
      <c r="V1826" s="55" t="str">
        <f t="shared" si="319"/>
        <v/>
      </c>
      <c r="W1826" s="55" t="str">
        <f>IF($V1826="","",IF(COUNTIF($V$5:$V1826,$V1826)=1,1,""))</f>
        <v/>
      </c>
      <c r="X1826" s="58" t="str">
        <f>IF($W1826="","",MAX($X$4:X1825)+1)</f>
        <v/>
      </c>
      <c r="Y1826" s="62"/>
      <c r="Z1826" s="62"/>
      <c r="AA1826" s="64" t="str">
        <f>IF($C1826="","",IFERROR(INDEX('Staff Directory'!$E$5:$E$594,MATCH($C1826,'Staff Directory'!$B$5:$B$594,0)),""))</f>
        <v>firstname046.lastname046@example.com</v>
      </c>
      <c r="AB1826" s="64" t="str">
        <f>IF($C1826="","",IF(ISNUMBER(SEARCH($D1826,Settings!$C$15)),"Pickup","Dispatch"))</f>
        <v>Dispatch</v>
      </c>
      <c r="AC1826" s="64" t="str">
        <f t="shared" si="320"/>
        <v>Supply order dispatched</v>
      </c>
      <c r="AD1826" s="64" t="str">
        <f t="shared" si="311"/>
        <v>Dear RN,
Your order has been dispatched and is in transit. Reply if undelivered.</v>
      </c>
      <c r="AE1826" s="64" t="str">
        <f t="shared" si="312"/>
        <v>mailto:firstname046.lastname046@example.com?subject=Supply%20order%20dispatched&amp;body=Dear%20RN%2C%0A%0AYour%20order%20has%20been%20dispatched%20and%20is%20in%20transit.%20Reply%20if%20undelivered.</v>
      </c>
      <c r="AF1826" s="89" t="str">
        <f t="shared" si="321"/>
        <v>Draft email</v>
      </c>
      <c r="AG1826" s="64" t="str">
        <f>IF($C1826="","",IFERROR(INDEX('Staff Directory'!$K$595:$K$599,MATCH($C1826,'Staff Directory'!$B$5:$B$599,0)),$D1826))</f>
        <v>RN</v>
      </c>
      <c r="AH1826" t="str">
        <f>IF($C1826="","",IFERROR(INDEX('Staff Directory'!$I$595:$I$599,MATCH($C1826,'Staff Directory'!$B$5:$B$599,0))&amp;" "&amp;INDEX('Staff Directory'!$J$595:$J$599,MATCH($C1826,'Staff Directory'!$B$5:$B$599,0)),$AG1826))</f>
        <v>RN</v>
      </c>
      <c r="AI1826" s="102"/>
      <c r="AJ1826" s="101">
        <f>IF($F1826="","",SUMIFS($J$5:$J1826,$F$5:$F1826,$F1826))</f>
        <v>75</v>
      </c>
      <c r="AK1826" s="101">
        <f t="shared" si="313"/>
        <v>75</v>
      </c>
      <c r="AL1826" s="66" t="str" cm="1">
        <f t="array" ref="AL1826">IF($F1826="","",IFERROR(INDEX('Lot Balance'!$B$5:$B$500,MATCH(1,INDEX(('Lot Balance'!$A$5:$A$500=$F1826)*('Lot Balance'!$K$5:$K$500&lt;$AK1826)*('Lot Balance'!$K$5:$K$500+'Lot Balance'!$D$5:$D$500&gt;=$AK1826),0),0)),""))</f>
        <v/>
      </c>
      <c r="AM1826" s="66" t="str" cm="1">
        <f t="array" ref="AM1826">IF($F1826="","",IFERROR(INDEX('Lot Balance'!$B$5:$B$500,MATCH(1,INDEX(('Lot Balance'!$A$5:$A$500=$F1826)*('Lot Balance'!$K$5:$K$500&lt;$AJ1826)*('Lot Balance'!$K$5:$K$500+'Lot Balance'!$D$5:$D$500&gt;=$AJ1826),0),0)),""))</f>
        <v/>
      </c>
      <c r="AN1826" s="66" t="str">
        <f>IF($F1826="","",IF($AI1826&lt;&gt;"",IF(COUNTIFS('Lot Balance'!$A$5:$A$500,$F1826,'Lot Balance'!$B$5:$B$500,$AI1826)=0,"⚠ override is not a lot of this item",IF($AI1826=$AL1826,"Override = FEFO","Override - FEFO says "&amp;$AL1826)),IF($AL1826="","⚠ no receipt on file for this item",IF($AM1826&lt;&gt;$AL1826,"FEFO auto - split, also "&amp;$AM1826,"FEFO auto"))))</f>
        <v>⚠ no receipt on file for this item</v>
      </c>
      <c r="AO1826" s="114"/>
    </row>
    <row r="1827" spans="1:41" x14ac:dyDescent="0.35">
      <c r="A1827" s="74">
        <v>46219</v>
      </c>
      <c r="B1827" s="18" t="str">
        <f>IF($C1827="","",IFERROR(INDEX('Staff Directory'!$A$5:$A$594,MATCH($C1827,'Staff Directory'!$B$5:$B$594,0)),"⚠ unknown staff"))</f>
        <v>RN-010-A2</v>
      </c>
      <c r="C1827" s="49" t="s">
        <v>926</v>
      </c>
      <c r="D1827" s="19" t="str">
        <f>IF($B1827="","",IFERROR(INDEX('Staff Directory'!$C$5:$C$594,MATCH($B1827,'Staff Directory'!$A$5:$A$594,0)),""))</f>
        <v>RN</v>
      </c>
      <c r="E1827" s="19" t="str">
        <f>IF($B1827="","",IFERROR(INDEX('Staff Directory'!$D$5:$D$594,MATCH($B1827,'Staff Directory'!$A$5:$A$594,0)),""))</f>
        <v>A2</v>
      </c>
      <c r="F1827" s="9" t="s">
        <v>758</v>
      </c>
      <c r="G1827" s="18" t="str">
        <f>IF($F1827="","",IFERROR(INDEX(Items!$B$5:$B$597,MATCH($F1827,Items!$A$5:$A$597,0)),"⚠ not in Items"))</f>
        <v>Utility</v>
      </c>
      <c r="H1827" s="19" t="str">
        <f>IF($F1827="","",IFERROR(INDEX(Items!$C$5:$C$597,MATCH($F1827,Items!$A$5:$A$597,0)),""))</f>
        <v>Standard</v>
      </c>
      <c r="I1827" s="23">
        <f>IF($F1827="","",IFERROR(INDEX(Items!$E$5:$E$597,MATCH($F1827,Items!$A$5:$A$597,0)),""))</f>
        <v>1</v>
      </c>
      <c r="J1827" s="115">
        <f>IF(tblIssues[[#This Row],[Qty Override]]&lt;&gt;"",tblIssues[[#This Row],[Qty Override]],IF(tblIssues[[#This Row],[Standard Issue]]="","",tblIssues[[#This Row],[Standard Issue]]))</f>
        <v>1</v>
      </c>
      <c r="K1827" s="20">
        <f>IF($F1827="","",IFERROR(INDEX(Items!$D$5:$D$597,MATCH($F1827,Items!$A$5:$A$597,0)),""))</f>
        <v>0</v>
      </c>
      <c r="L1827" s="21">
        <f t="shared" si="316"/>
        <v>0</v>
      </c>
      <c r="M1827" s="9" t="str">
        <f t="shared" si="314"/>
        <v/>
      </c>
      <c r="N1827" s="24">
        <f>IF($A1827="","",WORKDAY($A1827,Settings!$C$9,HolidayDates))</f>
        <v>46227</v>
      </c>
      <c r="O1827" s="24">
        <f>IF($N1827="","",WORKDAY($N1827,Settings!$C$10,HolidayDates))</f>
        <v>46267</v>
      </c>
      <c r="P1827" s="10" t="s">
        <v>502</v>
      </c>
      <c r="Q1827" s="52" t="str">
        <f t="shared" si="317"/>
        <v>Collected</v>
      </c>
      <c r="R1827" s="55" t="str">
        <f t="shared" si="318"/>
        <v>2026-07</v>
      </c>
      <c r="S1827" s="55">
        <f>IF(OR($B1827="",$F1827="",$R1827=""),"",SUMIFS(tblIssues[Qty Issued],tblIssues[Staff ID],$B1827,tblIssues[Item Name],$F1827,tblIssues[Month],$R1827))</f>
        <v>2</v>
      </c>
      <c r="T1827" s="56">
        <f>IF($I1827="","",$I1827*Settings!$C$11)</f>
        <v>1</v>
      </c>
      <c r="U1827" s="57" t="str">
        <f t="shared" si="315"/>
        <v>⚠ OVER QUOTA</v>
      </c>
      <c r="V1827" s="55" t="str">
        <f t="shared" si="319"/>
        <v>RN-010-A2 | Sample Org Week Water Bottle | 2026-07</v>
      </c>
      <c r="W1827" s="55" t="str">
        <f>IF($V1827="","",IF(COUNTIF($V$5:$V1827,$V1827)=1,1,""))</f>
        <v/>
      </c>
      <c r="X1827" s="58" t="str">
        <f>IF($W1827="","",MAX($X$4:X1826)+1)</f>
        <v/>
      </c>
      <c r="Y1827" s="62"/>
      <c r="Z1827" s="62"/>
      <c r="AA1827" s="64" t="str">
        <f>IF($C1827="","",IFERROR(INDEX('Staff Directory'!$E$5:$E$594,MATCH($C1827,'Staff Directory'!$B$5:$B$594,0)),""))</f>
        <v>firstname010.lastname010@example.com</v>
      </c>
      <c r="AB1827" s="64" t="str">
        <f>IF($C1827="","",IF(ISNUMBER(SEARCH($D1827,Settings!$C$15)),"Pickup","Dispatch"))</f>
        <v>Dispatch</v>
      </c>
      <c r="AC1827" s="64" t="str">
        <f t="shared" si="320"/>
        <v>Supply order dispatched</v>
      </c>
      <c r="AD1827" s="64" t="str">
        <f t="shared" si="311"/>
        <v>Dear RN,
Your order has been dispatched and is in transit. Reply if undelivered.</v>
      </c>
      <c r="AE1827" s="64" t="str">
        <f t="shared" si="312"/>
        <v>mailto:firstname010.lastname010@example.com?subject=Supply%20order%20dispatched&amp;body=Dear%20RN%2C%0A%0AYour%20order%20has%20been%20dispatched%20and%20is%20in%20transit.%20Reply%20if%20undelivered.</v>
      </c>
      <c r="AF1827" s="89" t="str">
        <f t="shared" si="321"/>
        <v>Draft email</v>
      </c>
      <c r="AG1827" s="64" t="str">
        <f>IF($C1827="","",IFERROR(INDEX('Staff Directory'!$K$595:$K$599,MATCH($C1827,'Staff Directory'!$B$5:$B$599,0)),$D1827))</f>
        <v>RN</v>
      </c>
      <c r="AH1827" t="str">
        <f>IF($C1827="","",IFERROR(INDEX('Staff Directory'!$I$595:$I$599,MATCH($C1827,'Staff Directory'!$B$5:$B$599,0))&amp;" "&amp;INDEX('Staff Directory'!$J$595:$J$599,MATCH($C1827,'Staff Directory'!$B$5:$B$599,0)),$AG1827))</f>
        <v>RN</v>
      </c>
      <c r="AI1827" s="102"/>
      <c r="AJ1827" s="101">
        <f>IF($F1827="","",SUMIFS($J$5:$J1827,$F$5:$F1827,$F1827))</f>
        <v>76</v>
      </c>
      <c r="AK1827" s="101">
        <f t="shared" si="313"/>
        <v>76</v>
      </c>
      <c r="AL1827" s="66" t="str" cm="1">
        <f t="array" ref="AL1827">IF($F1827="","",IFERROR(INDEX('Lot Balance'!$B$5:$B$500,MATCH(1,INDEX(('Lot Balance'!$A$5:$A$500=$F1827)*('Lot Balance'!$K$5:$K$500&lt;$AK1827)*('Lot Balance'!$K$5:$K$500+'Lot Balance'!$D$5:$D$500&gt;=$AK1827),0),0)),""))</f>
        <v/>
      </c>
      <c r="AM1827" s="66" t="str" cm="1">
        <f t="array" ref="AM1827">IF($F1827="","",IFERROR(INDEX('Lot Balance'!$B$5:$B$500,MATCH(1,INDEX(('Lot Balance'!$A$5:$A$500=$F1827)*('Lot Balance'!$K$5:$K$500&lt;$AJ1827)*('Lot Balance'!$K$5:$K$500+'Lot Balance'!$D$5:$D$500&gt;=$AJ1827),0),0)),""))</f>
        <v/>
      </c>
      <c r="AN1827" s="66" t="str">
        <f>IF($F1827="","",IF($AI1827&lt;&gt;"",IF(COUNTIFS('Lot Balance'!$A$5:$A$500,$F1827,'Lot Balance'!$B$5:$B$500,$AI1827)=0,"⚠ override is not a lot of this item",IF($AI1827=$AL1827,"Override = FEFO","Override - FEFO says "&amp;$AL1827)),IF($AL1827="","⚠ no receipt on file for this item",IF($AM1827&lt;&gt;$AL1827,"FEFO auto - split, also "&amp;$AM1827,"FEFO auto"))))</f>
        <v>⚠ no receipt on file for this item</v>
      </c>
      <c r="AO1827" s="114"/>
    </row>
    <row r="1828" spans="1:41" x14ac:dyDescent="0.35">
      <c r="A1828" s="74">
        <v>46224</v>
      </c>
      <c r="B1828" s="18" t="str">
        <f>IF($C1828="","",IFERROR(INDEX('Staff Directory'!$A$5:$A$594,MATCH($C1828,'Staff Directory'!$B$5:$B$594,0)),"⚠ unknown staff"))</f>
        <v>PSW-023-A6</v>
      </c>
      <c r="C1828" s="49" t="s">
        <v>999</v>
      </c>
      <c r="D1828" s="19" t="str">
        <f>IF($B1828="","",IFERROR(INDEX('Staff Directory'!$C$5:$C$594,MATCH($B1828,'Staff Directory'!$A$5:$A$594,0)),""))</f>
        <v>PSW</v>
      </c>
      <c r="E1828" s="19" t="str">
        <f>IF($B1828="","",IFERROR(INDEX('Staff Directory'!$D$5:$D$594,MATCH($B1828,'Staff Directory'!$A$5:$A$594,0)),""))</f>
        <v>A6</v>
      </c>
      <c r="F1828" s="9" t="s">
        <v>129</v>
      </c>
      <c r="G1828" s="18" t="str">
        <f>IF($F1828="","",IFERROR(INDEX(Items!$B$5:$B$597,MATCH($F1828,Items!$A$5:$A$597,0)),"⚠ not in Items"))</f>
        <v>Gloves</v>
      </c>
      <c r="H1828" s="19" t="str">
        <f>IF($F1828="","",IFERROR(INDEX(Items!$C$5:$C$597,MATCH($F1828,Items!$A$5:$A$597,0)),""))</f>
        <v>Small</v>
      </c>
      <c r="I1828" s="23">
        <f>IF($F1828="","",IFERROR(INDEX(Items!$E$5:$E$597,MATCH($F1828,Items!$A$5:$A$597,0)),""))</f>
        <v>500</v>
      </c>
      <c r="J1828" s="115">
        <f>IF(tblIssues[[#This Row],[Qty Override]]&lt;&gt;"",tblIssues[[#This Row],[Qty Override]],IF(tblIssues[[#This Row],[Standard Issue]]="","",tblIssues[[#This Row],[Standard Issue]]))</f>
        <v>500</v>
      </c>
      <c r="K1828" s="20">
        <f>IF($F1828="","",IFERROR(INDEX(Items!$D$5:$D$597,MATCH($F1828,Items!$A$5:$A$597,0)),""))</f>
        <v>5.5E-2</v>
      </c>
      <c r="L1828" s="21">
        <f t="shared" si="316"/>
        <v>27.5</v>
      </c>
      <c r="M1828" s="9" t="str">
        <f t="shared" si="314"/>
        <v>ZIM601144366-1</v>
      </c>
      <c r="N1828" s="24">
        <f>IF($A1828="","",WORKDAY($A1828,Settings!$C$9,HolidayDates))</f>
        <v>46232</v>
      </c>
      <c r="O1828" s="24">
        <f>IF($N1828="","",WORKDAY($N1828,Settings!$C$10,HolidayDates))</f>
        <v>46272</v>
      </c>
      <c r="P1828" s="10" t="s">
        <v>501</v>
      </c>
      <c r="Q1828" s="52" t="str">
        <f t="shared" si="317"/>
        <v>Collected</v>
      </c>
      <c r="R1828" s="55" t="str">
        <f t="shared" si="318"/>
        <v>2026-07</v>
      </c>
      <c r="S1828" s="55">
        <f>IF(OR($B1828="",$F1828="",$R1828=""),"",SUMIFS(tblIssues[Qty Issued],tblIssues[Staff ID],$B1828,tblIssues[Item Name],$F1828,tblIssues[Month],$R1828))</f>
        <v>1000</v>
      </c>
      <c r="T1828" s="56">
        <f>IF($I1828="","",$I1828*Settings!$C$11)</f>
        <v>500</v>
      </c>
      <c r="U1828" s="57" t="str">
        <f t="shared" si="315"/>
        <v>⚠ OVER QUOTA</v>
      </c>
      <c r="V1828" s="55" t="str">
        <f t="shared" si="319"/>
        <v>PSW-023-A6 | Gloves - Small | 2026-07</v>
      </c>
      <c r="W1828" s="55">
        <f>IF($V1828="","",IF(COUNTIF($V$5:$V1828,$V1828)=1,1,""))</f>
        <v>1</v>
      </c>
      <c r="X1828" s="58">
        <f>IF($W1828="","",MAX($X$4:X1827)+1)</f>
        <v>62</v>
      </c>
      <c r="Y1828" s="62"/>
      <c r="Z1828" s="62"/>
      <c r="AA1828" s="64" t="str">
        <f>IF($C1828="","",IFERROR(INDEX('Staff Directory'!$E$5:$E$594,MATCH($C1828,'Staff Directory'!$B$5:$B$594,0)),""))</f>
        <v>firstname083.lastname083@example.com</v>
      </c>
      <c r="AB1828" s="64" t="str">
        <f>IF($C1828="","",IF(ISNUMBER(SEARCH($D1828,Settings!$C$15)),"Pickup","Dispatch"))</f>
        <v>Pickup</v>
      </c>
      <c r="AC1828" s="64" t="str">
        <f t="shared" si="320"/>
        <v>Supply order ready for pickup</v>
      </c>
      <c r="AD1828" s="64" t="str">
        <f t="shared" si="311"/>
        <v>Dear PSW,
Your order is ready for pickup from Sample Branch, Wed-Fri 9am-4pm.</v>
      </c>
      <c r="AE1828" s="64" t="str">
        <f t="shared" si="312"/>
        <v>mailto:firstname083.lastname083@example.com?subject=Supply%20order%20ready%20for%20pickup&amp;body=Dear%20PSW%2C%0A%0AYour%20order%20is%20ready%20for%20pickup%20from%20Sample%20Branch%2C%20Wed-Fri%209am-4pm.</v>
      </c>
      <c r="AF1828" s="89" t="str">
        <f t="shared" si="321"/>
        <v>Draft email</v>
      </c>
      <c r="AG1828" s="64" t="str">
        <f>IF($C1828="","",IFERROR(INDEX('Staff Directory'!$K$595:$K$599,MATCH($C1828,'Staff Directory'!$B$5:$B$599,0)),$D1828))</f>
        <v>PSW</v>
      </c>
      <c r="AH1828" t="str">
        <f>IF($C1828="","",IFERROR(INDEX('Staff Directory'!$I$595:$I$599,MATCH($C1828,'Staff Directory'!$B$5:$B$599,0))&amp;" "&amp;INDEX('Staff Directory'!$J$595:$J$599,MATCH($C1828,'Staff Directory'!$B$5:$B$599,0)),$AG1828))</f>
        <v>PSW</v>
      </c>
      <c r="AI1828" s="102"/>
      <c r="AJ1828" s="101">
        <f>IF($F1828="","",SUMIFS($J$5:$J1828,$F$5:$F1828,$F1828))</f>
        <v>53500</v>
      </c>
      <c r="AK1828" s="101">
        <f t="shared" si="313"/>
        <v>53001</v>
      </c>
      <c r="AL1828" s="66" t="str" cm="1">
        <f t="array" ref="AL1828">IF($F1828="","",IFERROR(INDEX('Lot Balance'!$B$5:$B$500,MATCH(1,INDEX(('Lot Balance'!$A$5:$A$500=$F1828)*('Lot Balance'!$K$5:$K$500&lt;$AK1828)*('Lot Balance'!$K$5:$K$500+'Lot Balance'!$D$5:$D$500&gt;=$AK1828),0),0)),""))</f>
        <v>ZIM601144366-1</v>
      </c>
      <c r="AM1828" s="66" t="str" cm="1">
        <f t="array" ref="AM1828">IF($F1828="","",IFERROR(INDEX('Lot Balance'!$B$5:$B$500,MATCH(1,INDEX(('Lot Balance'!$A$5:$A$500=$F1828)*('Lot Balance'!$K$5:$K$500&lt;$AJ1828)*('Lot Balance'!$K$5:$K$500+'Lot Balance'!$D$5:$D$500&gt;=$AJ1828),0),0)),""))</f>
        <v>ZIM601144366-1</v>
      </c>
      <c r="AN1828" s="66" t="str">
        <f>IF($F1828="","",IF($AI1828&lt;&gt;"",IF(COUNTIFS('Lot Balance'!$A$5:$A$500,$F1828,'Lot Balance'!$B$5:$B$500,$AI1828)=0,"⚠ override is not a lot of this item",IF($AI1828=$AL1828,"Override = FEFO","Override - FEFO says "&amp;$AL1828)),IF($AL1828="","⚠ no receipt on file for this item",IF($AM1828&lt;&gt;$AL1828,"FEFO auto - split, also "&amp;$AM1828,"FEFO auto"))))</f>
        <v>FEFO auto</v>
      </c>
      <c r="AO1828" s="114"/>
    </row>
    <row r="1829" spans="1:41" x14ac:dyDescent="0.35">
      <c r="A1829" s="74">
        <v>46224</v>
      </c>
      <c r="B1829" s="18" t="str">
        <f>IF($C1829="","",IFERROR(INDEX('Staff Directory'!$A$5:$A$594,MATCH($C1829,'Staff Directory'!$B$5:$B$594,0)),"⚠ unknown staff"))</f>
        <v>PSW-023-A6</v>
      </c>
      <c r="C1829" s="49" t="s">
        <v>999</v>
      </c>
      <c r="D1829" s="19" t="str">
        <f>IF($B1829="","",IFERROR(INDEX('Staff Directory'!$C$5:$C$594,MATCH($B1829,'Staff Directory'!$A$5:$A$594,0)),""))</f>
        <v>PSW</v>
      </c>
      <c r="E1829" s="19" t="str">
        <f>IF($B1829="","",IFERROR(INDEX('Staff Directory'!$D$5:$D$594,MATCH($B1829,'Staff Directory'!$A$5:$A$594,0)),""))</f>
        <v>A6</v>
      </c>
      <c r="F1829" s="9" t="s">
        <v>129</v>
      </c>
      <c r="G1829" s="18" t="str">
        <f>IF($F1829="","",IFERROR(INDEX(Items!$B$5:$B$597,MATCH($F1829,Items!$A$5:$A$597,0)),"⚠ not in Items"))</f>
        <v>Gloves</v>
      </c>
      <c r="H1829" s="19" t="str">
        <f>IF($F1829="","",IFERROR(INDEX(Items!$C$5:$C$597,MATCH($F1829,Items!$A$5:$A$597,0)),""))</f>
        <v>Small</v>
      </c>
      <c r="I1829" s="23">
        <f>IF($F1829="","",IFERROR(INDEX(Items!$E$5:$E$597,MATCH($F1829,Items!$A$5:$A$597,0)),""))</f>
        <v>500</v>
      </c>
      <c r="J1829" s="115">
        <f>IF(tblIssues[[#This Row],[Qty Override]]&lt;&gt;"",tblIssues[[#This Row],[Qty Override]],IF(tblIssues[[#This Row],[Standard Issue]]="","",tblIssues[[#This Row],[Standard Issue]]))</f>
        <v>500</v>
      </c>
      <c r="K1829" s="20">
        <f>IF($F1829="","",IFERROR(INDEX(Items!$D$5:$D$597,MATCH($F1829,Items!$A$5:$A$597,0)),""))</f>
        <v>5.5E-2</v>
      </c>
      <c r="L1829" s="21">
        <f t="shared" si="316"/>
        <v>27.5</v>
      </c>
      <c r="M1829" s="9" t="str">
        <f t="shared" si="314"/>
        <v>ZIM601144366-1</v>
      </c>
      <c r="N1829" s="24">
        <f>IF($A1829="","",WORKDAY($A1829,Settings!$C$9,HolidayDates))</f>
        <v>46232</v>
      </c>
      <c r="O1829" s="24">
        <f>IF($N1829="","",WORKDAY($N1829,Settings!$C$10,HolidayDates))</f>
        <v>46272</v>
      </c>
      <c r="P1829" s="10" t="s">
        <v>501</v>
      </c>
      <c r="Q1829" s="52" t="str">
        <f t="shared" si="317"/>
        <v>Collected</v>
      </c>
      <c r="R1829" s="55" t="str">
        <f t="shared" si="318"/>
        <v>2026-07</v>
      </c>
      <c r="S1829" s="55">
        <f>IF(OR($B1829="",$F1829="",$R1829=""),"",SUMIFS(tblIssues[Qty Issued],tblIssues[Staff ID],$B1829,tblIssues[Item Name],$F1829,tblIssues[Month],$R1829))</f>
        <v>1000</v>
      </c>
      <c r="T1829" s="56">
        <f>IF($I1829="","",$I1829*Settings!$C$11)</f>
        <v>500</v>
      </c>
      <c r="U1829" s="57" t="str">
        <f t="shared" si="315"/>
        <v>⚠ OVER QUOTA</v>
      </c>
      <c r="V1829" s="55" t="str">
        <f t="shared" si="319"/>
        <v>PSW-023-A6 | Gloves - Small | 2026-07</v>
      </c>
      <c r="W1829" s="55" t="str">
        <f>IF($V1829="","",IF(COUNTIF($V$5:$V1829,$V1829)=1,1,""))</f>
        <v/>
      </c>
      <c r="X1829" s="58" t="str">
        <f>IF($W1829="","",MAX($X$4:X1828)+1)</f>
        <v/>
      </c>
      <c r="Y1829" s="62"/>
      <c r="Z1829" s="62"/>
      <c r="AA1829" s="64" t="str">
        <f>IF($C1829="","",IFERROR(INDEX('Staff Directory'!$E$5:$E$594,MATCH($C1829,'Staff Directory'!$B$5:$B$594,0)),""))</f>
        <v>firstname083.lastname083@example.com</v>
      </c>
      <c r="AB1829" s="64" t="str">
        <f>IF($C1829="","",IF(ISNUMBER(SEARCH($D1829,Settings!$C$15)),"Pickup","Dispatch"))</f>
        <v>Pickup</v>
      </c>
      <c r="AC1829" s="64" t="str">
        <f t="shared" si="320"/>
        <v>Supply order ready for pickup</v>
      </c>
      <c r="AD1829" s="64" t="str">
        <f t="shared" si="311"/>
        <v>Dear PSW,
Your order is ready for pickup from Sample Branch, Wed-Fri 9am-4pm.</v>
      </c>
      <c r="AE1829" s="64" t="str">
        <f t="shared" si="312"/>
        <v>mailto:firstname083.lastname083@example.com?subject=Supply%20order%20ready%20for%20pickup&amp;body=Dear%20PSW%2C%0A%0AYour%20order%20is%20ready%20for%20pickup%20from%20Sample%20Branch%2C%20Wed-Fri%209am-4pm.</v>
      </c>
      <c r="AF1829" s="89" t="str">
        <f t="shared" si="321"/>
        <v>Draft email</v>
      </c>
      <c r="AG1829" s="64" t="str">
        <f>IF($C1829="","",IFERROR(INDEX('Staff Directory'!$K$595:$K$599,MATCH($C1829,'Staff Directory'!$B$5:$B$599,0)),$D1829))</f>
        <v>PSW</v>
      </c>
      <c r="AH1829" t="str">
        <f>IF($C1829="","",IFERROR(INDEX('Staff Directory'!$I$595:$I$599,MATCH($C1829,'Staff Directory'!$B$5:$B$599,0))&amp;" "&amp;INDEX('Staff Directory'!$J$595:$J$599,MATCH($C1829,'Staff Directory'!$B$5:$B$599,0)),$AG1829))</f>
        <v>PSW</v>
      </c>
      <c r="AI1829" s="102"/>
      <c r="AJ1829" s="101">
        <f>IF($F1829="","",SUMIFS($J$5:$J1829,$F$5:$F1829,$F1829))</f>
        <v>54000</v>
      </c>
      <c r="AK1829" s="101">
        <f t="shared" si="313"/>
        <v>53501</v>
      </c>
      <c r="AL1829" s="66" t="str" cm="1">
        <f t="array" ref="AL1829">IF($F1829="","",IFERROR(INDEX('Lot Balance'!$B$5:$B$500,MATCH(1,INDEX(('Lot Balance'!$A$5:$A$500=$F1829)*('Lot Balance'!$K$5:$K$500&lt;$AK1829)*('Lot Balance'!$K$5:$K$500+'Lot Balance'!$D$5:$D$500&gt;=$AK1829),0),0)),""))</f>
        <v>ZIM601144366-1</v>
      </c>
      <c r="AM1829" s="66" t="str" cm="1">
        <f t="array" ref="AM1829">IF($F1829="","",IFERROR(INDEX('Lot Balance'!$B$5:$B$500,MATCH(1,INDEX(('Lot Balance'!$A$5:$A$500=$F1829)*('Lot Balance'!$K$5:$K$500&lt;$AJ1829)*('Lot Balance'!$K$5:$K$500+'Lot Balance'!$D$5:$D$500&gt;=$AJ1829),0),0)),""))</f>
        <v>ZIM601144366-1</v>
      </c>
      <c r="AN1829" s="66" t="str">
        <f>IF($F1829="","",IF($AI1829&lt;&gt;"",IF(COUNTIFS('Lot Balance'!$A$5:$A$500,$F1829,'Lot Balance'!$B$5:$B$500,$AI1829)=0,"⚠ override is not a lot of this item",IF($AI1829=$AL1829,"Override = FEFO","Override - FEFO says "&amp;$AL1829)),IF($AL1829="","⚠ no receipt on file for this item",IF($AM1829&lt;&gt;$AL1829,"FEFO auto - split, also "&amp;$AM1829,"FEFO auto"))))</f>
        <v>FEFO auto</v>
      </c>
      <c r="AO1829" s="114"/>
    </row>
    <row r="1830" spans="1:41" x14ac:dyDescent="0.35">
      <c r="A1830" s="74">
        <v>46224</v>
      </c>
      <c r="B1830" s="18" t="str">
        <f>IF($C1830="","",IFERROR(INDEX('Staff Directory'!$A$5:$A$594,MATCH($C1830,'Staff Directory'!$B$5:$B$594,0)),"⚠ unknown staff"))</f>
        <v>PSW-023-A6</v>
      </c>
      <c r="C1830" s="49" t="s">
        <v>999</v>
      </c>
      <c r="D1830" s="19" t="str">
        <f>IF($B1830="","",IFERROR(INDEX('Staff Directory'!$C$5:$C$594,MATCH($B1830,'Staff Directory'!$A$5:$A$594,0)),""))</f>
        <v>PSW</v>
      </c>
      <c r="E1830" s="19" t="str">
        <f>IF($B1830="","",IFERROR(INDEX('Staff Directory'!$D$5:$D$594,MATCH($B1830,'Staff Directory'!$A$5:$A$594,0)),""))</f>
        <v>A6</v>
      </c>
      <c r="F1830" s="9" t="s">
        <v>191</v>
      </c>
      <c r="G1830" s="18" t="str">
        <f>IF($F1830="","",IFERROR(INDEX(Items!$B$5:$B$597,MATCH($F1830,Items!$A$5:$A$597,0)),"⚠ not in Items"))</f>
        <v>Sanitizer</v>
      </c>
      <c r="H1830" s="19" t="str">
        <f>IF($F1830="","",IFERROR(INDEX(Items!$C$5:$C$597,MATCH($F1830,Items!$A$5:$A$597,0)),""))</f>
        <v>236 ML</v>
      </c>
      <c r="I1830" s="23">
        <f>IF($F1830="","",IFERROR(INDEX(Items!$E$5:$E$597,MATCH($F1830,Items!$A$5:$A$597,0)),""))</f>
        <v>1</v>
      </c>
      <c r="J1830" s="115">
        <f>IF(tblIssues[[#This Row],[Qty Override]]&lt;&gt;"",tblIssues[[#This Row],[Qty Override]],IF(tblIssues[[#This Row],[Standard Issue]]="","",tblIssues[[#This Row],[Standard Issue]]))</f>
        <v>1</v>
      </c>
      <c r="K1830" s="20">
        <f>IF($F1830="","",IFERROR(INDEX(Items!$D$5:$D$597,MATCH($F1830,Items!$A$5:$A$597,0)),""))</f>
        <v>1E-4</v>
      </c>
      <c r="L1830" s="21">
        <f t="shared" si="316"/>
        <v>1E-4</v>
      </c>
      <c r="M1830" s="9" t="str">
        <f t="shared" si="314"/>
        <v>20-21734-5</v>
      </c>
      <c r="N1830" s="24">
        <f>IF($A1830="","",WORKDAY($A1830,Settings!$C$9,HolidayDates))</f>
        <v>46232</v>
      </c>
      <c r="O1830" s="24">
        <f>IF($N1830="","",WORKDAY($N1830,Settings!$C$10,HolidayDates))</f>
        <v>46272</v>
      </c>
      <c r="P1830" s="10" t="s">
        <v>501</v>
      </c>
      <c r="Q1830" s="52" t="str">
        <f t="shared" si="317"/>
        <v>Collected</v>
      </c>
      <c r="R1830" s="55" t="str">
        <f t="shared" si="318"/>
        <v>2026-07</v>
      </c>
      <c r="S1830" s="55">
        <f>IF(OR($B1830="",$F1830="",$R1830=""),"",SUMIFS(tblIssues[Qty Issued],tblIssues[Staff ID],$B1830,tblIssues[Item Name],$F1830,tblIssues[Month],$R1830))</f>
        <v>1</v>
      </c>
      <c r="T1830" s="56">
        <f>IF($I1830="","",$I1830*Settings!$C$11)</f>
        <v>1</v>
      </c>
      <c r="U1830" s="57" t="str">
        <f t="shared" si="315"/>
        <v>OK</v>
      </c>
      <c r="V1830" s="55" t="str">
        <f t="shared" si="319"/>
        <v/>
      </c>
      <c r="W1830" s="55" t="str">
        <f>IF($V1830="","",IF(COUNTIF($V$5:$V1830,$V1830)=1,1,""))</f>
        <v/>
      </c>
      <c r="X1830" s="58" t="str">
        <f>IF($W1830="","",MAX($X$4:X1829)+1)</f>
        <v/>
      </c>
      <c r="Y1830" s="62"/>
      <c r="Z1830" s="62"/>
      <c r="AA1830" s="64" t="str">
        <f>IF($C1830="","",IFERROR(INDEX('Staff Directory'!$E$5:$E$594,MATCH($C1830,'Staff Directory'!$B$5:$B$594,0)),""))</f>
        <v>firstname083.lastname083@example.com</v>
      </c>
      <c r="AB1830" s="64" t="str">
        <f>IF($C1830="","",IF(ISNUMBER(SEARCH($D1830,Settings!$C$15)),"Pickup","Dispatch"))</f>
        <v>Pickup</v>
      </c>
      <c r="AC1830" s="64" t="str">
        <f t="shared" si="320"/>
        <v>Supply order ready for pickup</v>
      </c>
      <c r="AD1830" s="64" t="str">
        <f t="shared" si="311"/>
        <v>Dear PSW,
Your order is ready for pickup from Sample Branch, Wed-Fri 9am-4pm.</v>
      </c>
      <c r="AE1830" s="64" t="str">
        <f t="shared" si="312"/>
        <v>mailto:firstname083.lastname083@example.com?subject=Supply%20order%20ready%20for%20pickup&amp;body=Dear%20PSW%2C%0A%0AYour%20order%20is%20ready%20for%20pickup%20from%20Sample%20Branch%2C%20Wed-Fri%209am-4pm.</v>
      </c>
      <c r="AF1830" s="89" t="str">
        <f t="shared" si="321"/>
        <v>Draft email</v>
      </c>
      <c r="AG1830" s="64" t="str">
        <f>IF($C1830="","",IFERROR(INDEX('Staff Directory'!$K$595:$K$599,MATCH($C1830,'Staff Directory'!$B$5:$B$599,0)),$D1830))</f>
        <v>PSW</v>
      </c>
      <c r="AH1830" t="str">
        <f>IF($C1830="","",IFERROR(INDEX('Staff Directory'!$I$595:$I$599,MATCH($C1830,'Staff Directory'!$B$5:$B$599,0))&amp;" "&amp;INDEX('Staff Directory'!$J$595:$J$599,MATCH($C1830,'Staff Directory'!$B$5:$B$599,0)),$AG1830))</f>
        <v>PSW</v>
      </c>
      <c r="AI1830" s="102"/>
      <c r="AJ1830" s="101">
        <f>IF($F1830="","",SUMIFS($J$5:$J1830,$F$5:$F1830,$F1830))</f>
        <v>244</v>
      </c>
      <c r="AK1830" s="101">
        <f t="shared" si="313"/>
        <v>244</v>
      </c>
      <c r="AL1830" s="66" t="str" cm="1">
        <f t="array" ref="AL1830">IF($F1830="","",IFERROR(INDEX('Lot Balance'!$B$5:$B$500,MATCH(1,INDEX(('Lot Balance'!$A$5:$A$500=$F1830)*('Lot Balance'!$K$5:$K$500&lt;$AK1830)*('Lot Balance'!$K$5:$K$500+'Lot Balance'!$D$5:$D$500&gt;=$AK1830),0),0)),""))</f>
        <v>20-21734-5</v>
      </c>
      <c r="AM1830" s="66" t="str" cm="1">
        <f t="array" ref="AM1830">IF($F1830="","",IFERROR(INDEX('Lot Balance'!$B$5:$B$500,MATCH(1,INDEX(('Lot Balance'!$A$5:$A$500=$F1830)*('Lot Balance'!$K$5:$K$500&lt;$AJ1830)*('Lot Balance'!$K$5:$K$500+'Lot Balance'!$D$5:$D$500&gt;=$AJ1830),0),0)),""))</f>
        <v>20-21734-5</v>
      </c>
      <c r="AN1830" s="66" t="str">
        <f>IF($F1830="","",IF($AI1830&lt;&gt;"",IF(COUNTIFS('Lot Balance'!$A$5:$A$500,$F1830,'Lot Balance'!$B$5:$B$500,$AI1830)=0,"⚠ override is not a lot of this item",IF($AI1830=$AL1830,"Override = FEFO","Override - FEFO says "&amp;$AL1830)),IF($AL1830="","⚠ no receipt on file for this item",IF($AM1830&lt;&gt;$AL1830,"FEFO auto - split, also "&amp;$AM1830,"FEFO auto"))))</f>
        <v>FEFO auto</v>
      </c>
      <c r="AO1830" s="114"/>
    </row>
    <row r="1831" spans="1:41" x14ac:dyDescent="0.35">
      <c r="A1831" s="74">
        <v>46224</v>
      </c>
      <c r="B1831" s="18" t="str">
        <f>IF($C1831="","",IFERROR(INDEX('Staff Directory'!$A$5:$A$594,MATCH($C1831,'Staff Directory'!$B$5:$B$594,0)),"⚠ unknown staff"))</f>
        <v>PSW-023-A6</v>
      </c>
      <c r="C1831" s="49" t="s">
        <v>999</v>
      </c>
      <c r="D1831" s="19" t="str">
        <f>IF($B1831="","",IFERROR(INDEX('Staff Directory'!$C$5:$C$594,MATCH($B1831,'Staff Directory'!$A$5:$A$594,0)),""))</f>
        <v>PSW</v>
      </c>
      <c r="E1831" s="19" t="str">
        <f>IF($B1831="","",IFERROR(INDEX('Staff Directory'!$D$5:$D$594,MATCH($B1831,'Staff Directory'!$A$5:$A$594,0)),""))</f>
        <v>A6</v>
      </c>
      <c r="F1831" s="9" t="s">
        <v>137</v>
      </c>
      <c r="G1831" s="18" t="str">
        <f>IF($F1831="","",IFERROR(INDEX(Items!$B$5:$B$597,MATCH($F1831,Items!$A$5:$A$597,0)),"⚠ not in Items"))</f>
        <v>Sanitizer</v>
      </c>
      <c r="H1831" s="19" t="str">
        <f>IF($F1831="","",IFERROR(INDEX(Items!$C$5:$C$597,MATCH($F1831,Items!$A$5:$A$597,0)),""))</f>
        <v>118 ML</v>
      </c>
      <c r="I1831" s="23">
        <f>IF($F1831="","",IFERROR(INDEX(Items!$E$5:$E$597,MATCH($F1831,Items!$A$5:$A$597,0)),""))</f>
        <v>2</v>
      </c>
      <c r="J1831" s="115">
        <f>IF(tblIssues[[#This Row],[Qty Override]]&lt;&gt;"",tblIssues[[#This Row],[Qty Override]],IF(tblIssues[[#This Row],[Standard Issue]]="","",tblIssues[[#This Row],[Standard Issue]]))</f>
        <v>2</v>
      </c>
      <c r="K1831" s="20">
        <f>IF($F1831="","",IFERROR(INDEX(Items!$D$5:$D$597,MATCH($F1831,Items!$A$5:$A$597,0)),""))</f>
        <v>4.49</v>
      </c>
      <c r="L1831" s="21">
        <f t="shared" si="316"/>
        <v>8.98</v>
      </c>
      <c r="M1831" s="9" t="str">
        <f t="shared" si="314"/>
        <v/>
      </c>
      <c r="N1831" s="24">
        <f>IF($A1831="","",WORKDAY($A1831,Settings!$C$9,HolidayDates))</f>
        <v>46232</v>
      </c>
      <c r="O1831" s="24">
        <f>IF($N1831="","",WORKDAY($N1831,Settings!$C$10,HolidayDates))</f>
        <v>46272</v>
      </c>
      <c r="P1831" s="10" t="s">
        <v>501</v>
      </c>
      <c r="Q1831" s="52" t="str">
        <f t="shared" si="317"/>
        <v>Collected</v>
      </c>
      <c r="R1831" s="55" t="str">
        <f t="shared" si="318"/>
        <v>2026-07</v>
      </c>
      <c r="S1831" s="55">
        <f>IF(OR($B1831="",$F1831="",$R1831=""),"",SUMIFS(tblIssues[Qty Issued],tblIssues[Staff ID],$B1831,tblIssues[Item Name],$F1831,tblIssues[Month],$R1831))</f>
        <v>2</v>
      </c>
      <c r="T1831" s="56">
        <f>IF($I1831="","",$I1831*Settings!$C$11)</f>
        <v>2</v>
      </c>
      <c r="U1831" s="57" t="str">
        <f t="shared" si="315"/>
        <v>OK</v>
      </c>
      <c r="V1831" s="55" t="str">
        <f t="shared" si="319"/>
        <v/>
      </c>
      <c r="W1831" s="55" t="str">
        <f>IF($V1831="","",IF(COUNTIF($V$5:$V1831,$V1831)=1,1,""))</f>
        <v/>
      </c>
      <c r="X1831" s="58" t="str">
        <f>IF($W1831="","",MAX($X$4:X1830)+1)</f>
        <v/>
      </c>
      <c r="Y1831" s="62"/>
      <c r="Z1831" s="62"/>
      <c r="AA1831" s="64" t="str">
        <f>IF($C1831="","",IFERROR(INDEX('Staff Directory'!$E$5:$E$594,MATCH($C1831,'Staff Directory'!$B$5:$B$594,0)),""))</f>
        <v>firstname083.lastname083@example.com</v>
      </c>
      <c r="AB1831" s="64" t="str">
        <f>IF($C1831="","",IF(ISNUMBER(SEARCH($D1831,Settings!$C$15)),"Pickup","Dispatch"))</f>
        <v>Pickup</v>
      </c>
      <c r="AC1831" s="64" t="str">
        <f t="shared" si="320"/>
        <v>Supply order ready for pickup</v>
      </c>
      <c r="AD1831" s="64" t="str">
        <f t="shared" si="311"/>
        <v>Dear PSW,
Your order is ready for pickup from Sample Branch, Wed-Fri 9am-4pm.</v>
      </c>
      <c r="AE1831" s="64" t="str">
        <f t="shared" si="312"/>
        <v>mailto:firstname083.lastname083@example.com?subject=Supply%20order%20ready%20for%20pickup&amp;body=Dear%20PSW%2C%0A%0AYour%20order%20is%20ready%20for%20pickup%20from%20Sample%20Branch%2C%20Wed-Fri%209am-4pm.</v>
      </c>
      <c r="AF1831" s="89" t="str">
        <f t="shared" si="321"/>
        <v>Draft email</v>
      </c>
      <c r="AG1831" s="64" t="str">
        <f>IF($C1831="","",IFERROR(INDEX('Staff Directory'!$K$595:$K$599,MATCH($C1831,'Staff Directory'!$B$5:$B$599,0)),$D1831))</f>
        <v>PSW</v>
      </c>
      <c r="AH1831" t="str">
        <f>IF($C1831="","",IFERROR(INDEX('Staff Directory'!$I$595:$I$599,MATCH($C1831,'Staff Directory'!$B$5:$B$599,0))&amp;" "&amp;INDEX('Staff Directory'!$J$595:$J$599,MATCH($C1831,'Staff Directory'!$B$5:$B$599,0)),$AG1831))</f>
        <v>PSW</v>
      </c>
      <c r="AI1831" s="102"/>
      <c r="AJ1831" s="101">
        <f>IF($F1831="","",SUMIFS($J$5:$J1831,$F$5:$F1831,$F1831))</f>
        <v>158</v>
      </c>
      <c r="AK1831" s="101">
        <f t="shared" si="313"/>
        <v>157</v>
      </c>
      <c r="AL1831" s="66" t="str" cm="1">
        <f t="array" ref="AL1831">IF($F1831="","",IFERROR(INDEX('Lot Balance'!$B$5:$B$500,MATCH(1,INDEX(('Lot Balance'!$A$5:$A$500=$F1831)*('Lot Balance'!$K$5:$K$500&lt;$AK1831)*('Lot Balance'!$K$5:$K$500+'Lot Balance'!$D$5:$D$500&gt;=$AK1831),0),0)),""))</f>
        <v/>
      </c>
      <c r="AM1831" s="66" t="str" cm="1">
        <f t="array" ref="AM1831">IF($F1831="","",IFERROR(INDEX('Lot Balance'!$B$5:$B$500,MATCH(1,INDEX(('Lot Balance'!$A$5:$A$500=$F1831)*('Lot Balance'!$K$5:$K$500&lt;$AJ1831)*('Lot Balance'!$K$5:$K$500+'Lot Balance'!$D$5:$D$500&gt;=$AJ1831),0),0)),""))</f>
        <v/>
      </c>
      <c r="AN1831" s="66" t="str">
        <f>IF($F1831="","",IF($AI1831&lt;&gt;"",IF(COUNTIFS('Lot Balance'!$A$5:$A$500,$F1831,'Lot Balance'!$B$5:$B$500,$AI1831)=0,"⚠ override is not a lot of this item",IF($AI1831=$AL1831,"Override = FEFO","Override - FEFO says "&amp;$AL1831)),IF($AL1831="","⚠ no receipt on file for this item",IF($AM1831&lt;&gt;$AL1831,"FEFO auto - split, also "&amp;$AM1831,"FEFO auto"))))</f>
        <v>⚠ no receipt on file for this item</v>
      </c>
      <c r="AO1831" s="114"/>
    </row>
    <row r="1832" spans="1:41" x14ac:dyDescent="0.35">
      <c r="A1832" s="74">
        <v>46224</v>
      </c>
      <c r="B1832" s="18" t="str">
        <f>IF($C1832="","",IFERROR(INDEX('Staff Directory'!$A$5:$A$594,MATCH($C1832,'Staff Directory'!$B$5:$B$594,0)),"⚠ unknown staff"))</f>
        <v>PSW-023-A6</v>
      </c>
      <c r="C1832" s="49" t="s">
        <v>999</v>
      </c>
      <c r="D1832" s="19" t="str">
        <f>IF($B1832="","",IFERROR(INDEX('Staff Directory'!$C$5:$C$594,MATCH($B1832,'Staff Directory'!$A$5:$A$594,0)),""))</f>
        <v>PSW</v>
      </c>
      <c r="E1832" s="19" t="str">
        <f>IF($B1832="","",IFERROR(INDEX('Staff Directory'!$D$5:$D$594,MATCH($B1832,'Staff Directory'!$A$5:$A$594,0)),""))</f>
        <v>A6</v>
      </c>
      <c r="F1832" s="9" t="s">
        <v>115</v>
      </c>
      <c r="G1832" s="18" t="str">
        <f>IF($F1832="","",IFERROR(INDEX(Items!$B$5:$B$597,MATCH($F1832,Items!$A$5:$A$597,0)),"⚠ not in Items"))</f>
        <v>Wipes</v>
      </c>
      <c r="H1832" s="19">
        <f>IF($F1832="","",IFERROR(INDEX(Items!$C$5:$C$597,MATCH($F1832,Items!$A$5:$A$597,0)),""))</f>
        <v>80</v>
      </c>
      <c r="I1832" s="23">
        <f>IF($F1832="","",IFERROR(INDEX(Items!$E$5:$E$597,MATCH($F1832,Items!$A$5:$A$597,0)),""))</f>
        <v>80</v>
      </c>
      <c r="J1832" s="115">
        <f>IF(tblIssues[[#This Row],[Qty Override]]&lt;&gt;"",tblIssues[[#This Row],[Qty Override]],IF(tblIssues[[#This Row],[Standard Issue]]="","",tblIssues[[#This Row],[Standard Issue]]))</f>
        <v>80</v>
      </c>
      <c r="K1832" s="20">
        <f>IF($F1832="","",IFERROR(INDEX(Items!$D$5:$D$597,MATCH($F1832,Items!$A$5:$A$597,0)),""))</f>
        <v>0.1</v>
      </c>
      <c r="L1832" s="21">
        <f t="shared" si="316"/>
        <v>8</v>
      </c>
      <c r="M1832" s="9" t="str">
        <f t="shared" si="314"/>
        <v>LYSL500290</v>
      </c>
      <c r="N1832" s="24">
        <f>IF($A1832="","",WORKDAY($A1832,Settings!$C$9,HolidayDates))</f>
        <v>46232</v>
      </c>
      <c r="O1832" s="24">
        <f>IF($N1832="","",WORKDAY($N1832,Settings!$C$10,HolidayDates))</f>
        <v>46272</v>
      </c>
      <c r="P1832" s="10" t="s">
        <v>501</v>
      </c>
      <c r="Q1832" s="52" t="str">
        <f t="shared" si="317"/>
        <v>Collected</v>
      </c>
      <c r="R1832" s="55" t="str">
        <f t="shared" si="318"/>
        <v>2026-07</v>
      </c>
      <c r="S1832" s="55">
        <f>IF(OR($B1832="",$F1832="",$R1832=""),"",SUMIFS(tblIssues[Qty Issued],tblIssues[Staff ID],$B1832,tblIssues[Item Name],$F1832,tblIssues[Month],$R1832))</f>
        <v>80</v>
      </c>
      <c r="T1832" s="56">
        <f>IF($I1832="","",$I1832*Settings!$C$11)</f>
        <v>80</v>
      </c>
      <c r="U1832" s="57" t="str">
        <f t="shared" si="315"/>
        <v>OK</v>
      </c>
      <c r="V1832" s="55" t="str">
        <f t="shared" si="319"/>
        <v/>
      </c>
      <c r="W1832" s="55" t="str">
        <f>IF($V1832="","",IF(COUNTIF($V$5:$V1832,$V1832)=1,1,""))</f>
        <v/>
      </c>
      <c r="X1832" s="58" t="str">
        <f>IF($W1832="","",MAX($X$4:X1831)+1)</f>
        <v/>
      </c>
      <c r="Y1832" s="62"/>
      <c r="Z1832" s="62"/>
      <c r="AA1832" s="64" t="str">
        <f>IF($C1832="","",IFERROR(INDEX('Staff Directory'!$E$5:$E$594,MATCH($C1832,'Staff Directory'!$B$5:$B$594,0)),""))</f>
        <v>firstname083.lastname083@example.com</v>
      </c>
      <c r="AB1832" s="64" t="str">
        <f>IF($C1832="","",IF(ISNUMBER(SEARCH($D1832,Settings!$C$15)),"Pickup","Dispatch"))</f>
        <v>Pickup</v>
      </c>
      <c r="AC1832" s="64" t="str">
        <f t="shared" si="320"/>
        <v>Supply order ready for pickup</v>
      </c>
      <c r="AD1832" s="64" t="str">
        <f t="shared" si="311"/>
        <v>Dear PSW,
Your order is ready for pickup from Sample Branch, Wed-Fri 9am-4pm.</v>
      </c>
      <c r="AE1832" s="64" t="str">
        <f t="shared" si="312"/>
        <v>mailto:firstname083.lastname083@example.com?subject=Supply%20order%20ready%20for%20pickup&amp;body=Dear%20PSW%2C%0A%0AYour%20order%20is%20ready%20for%20pickup%20from%20Sample%20Branch%2C%20Wed-Fri%209am-4pm.</v>
      </c>
      <c r="AF1832" s="89" t="str">
        <f t="shared" si="321"/>
        <v>Draft email</v>
      </c>
      <c r="AG1832" s="64" t="str">
        <f>IF($C1832="","",IFERROR(INDEX('Staff Directory'!$K$595:$K$599,MATCH($C1832,'Staff Directory'!$B$5:$B$599,0)),$D1832))</f>
        <v>PSW</v>
      </c>
      <c r="AH1832" t="str">
        <f>IF($C1832="","",IFERROR(INDEX('Staff Directory'!$I$595:$I$599,MATCH($C1832,'Staff Directory'!$B$5:$B$599,0))&amp;" "&amp;INDEX('Staff Directory'!$J$595:$J$599,MATCH($C1832,'Staff Directory'!$B$5:$B$599,0)),$AG1832))</f>
        <v>PSW</v>
      </c>
      <c r="AI1832" s="102"/>
      <c r="AJ1832" s="101">
        <f>IF($F1832="","",SUMIFS($J$5:$J1832,$F$5:$F1832,$F1832))</f>
        <v>24160</v>
      </c>
      <c r="AK1832" s="101">
        <f t="shared" si="313"/>
        <v>24081</v>
      </c>
      <c r="AL1832" s="66" t="str" cm="1">
        <f t="array" ref="AL1832">IF($F1832="","",IFERROR(INDEX('Lot Balance'!$B$5:$B$500,MATCH(1,INDEX(('Lot Balance'!$A$5:$A$500=$F1832)*('Lot Balance'!$K$5:$K$500&lt;$AK1832)*('Lot Balance'!$K$5:$K$500+'Lot Balance'!$D$5:$D$500&gt;=$AK1832),0),0)),""))</f>
        <v>LYSL500290</v>
      </c>
      <c r="AM1832" s="66" t="str" cm="1">
        <f t="array" ref="AM1832">IF($F1832="","",IFERROR(INDEX('Lot Balance'!$B$5:$B$500,MATCH(1,INDEX(('Lot Balance'!$A$5:$A$500=$F1832)*('Lot Balance'!$K$5:$K$500&lt;$AJ1832)*('Lot Balance'!$K$5:$K$500+'Lot Balance'!$D$5:$D$500&gt;=$AJ1832),0),0)),""))</f>
        <v>LYSL500290</v>
      </c>
      <c r="AN1832" s="66" t="str">
        <f>IF($F1832="","",IF($AI1832&lt;&gt;"",IF(COUNTIFS('Lot Balance'!$A$5:$A$500,$F1832,'Lot Balance'!$B$5:$B$500,$AI1832)=0,"⚠ override is not a lot of this item",IF($AI1832=$AL1832,"Override = FEFO","Override - FEFO says "&amp;$AL1832)),IF($AL1832="","⚠ no receipt on file for this item",IF($AM1832&lt;&gt;$AL1832,"FEFO auto - split, also "&amp;$AM1832,"FEFO auto"))))</f>
        <v>FEFO auto</v>
      </c>
      <c r="AO1832" s="114"/>
    </row>
    <row r="1833" spans="1:41" x14ac:dyDescent="0.35">
      <c r="A1833" s="74">
        <v>46224</v>
      </c>
      <c r="B1833" s="18" t="str">
        <f>IF($C1833="","",IFERROR(INDEX('Staff Directory'!$A$5:$A$594,MATCH($C1833,'Staff Directory'!$B$5:$B$594,0)),"⚠ unknown staff"))</f>
        <v>PSW-023-A6</v>
      </c>
      <c r="C1833" s="49" t="s">
        <v>999</v>
      </c>
      <c r="D1833" s="19" t="str">
        <f>IF($B1833="","",IFERROR(INDEX('Staff Directory'!$C$5:$C$594,MATCH($B1833,'Staff Directory'!$A$5:$A$594,0)),""))</f>
        <v>PSW</v>
      </c>
      <c r="E1833" s="19" t="str">
        <f>IF($B1833="","",IFERROR(INDEX('Staff Directory'!$D$5:$D$594,MATCH($B1833,'Staff Directory'!$A$5:$A$594,0)),""))</f>
        <v>A6</v>
      </c>
      <c r="F1833" s="9" t="s">
        <v>156</v>
      </c>
      <c r="G1833" s="18" t="str">
        <f>IF($F1833="","",IFERROR(INDEX(Items!$B$5:$B$597,MATCH($F1833,Items!$A$5:$A$597,0)),"⚠ not in Items"))</f>
        <v>Masks</v>
      </c>
      <c r="H1833" s="19" t="str">
        <f>IF($F1833="","",IFERROR(INDEX(Items!$C$5:$C$597,MATCH($F1833,Items!$A$5:$A$597,0)),""))</f>
        <v>One Size</v>
      </c>
      <c r="I1833" s="23">
        <f>IF($F1833="","",IFERROR(INDEX(Items!$E$5:$E$597,MATCH($F1833,Items!$A$5:$A$597,0)),""))</f>
        <v>50</v>
      </c>
      <c r="J1833" s="115">
        <f>IF(tblIssues[[#This Row],[Qty Override]]&lt;&gt;"",tblIssues[[#This Row],[Qty Override]],IF(tblIssues[[#This Row],[Standard Issue]]="","",tblIssues[[#This Row],[Standard Issue]]))</f>
        <v>50</v>
      </c>
      <c r="K1833" s="20">
        <f>IF($F1833="","",IFERROR(INDEX(Items!$D$5:$D$597,MATCH($F1833,Items!$A$5:$A$597,0)),""))</f>
        <v>0.25</v>
      </c>
      <c r="L1833" s="21">
        <f t="shared" si="316"/>
        <v>12.5</v>
      </c>
      <c r="M1833" s="9" t="str">
        <f t="shared" si="314"/>
        <v>LV2-10040-2</v>
      </c>
      <c r="N1833" s="24">
        <f>IF($A1833="","",WORKDAY($A1833,Settings!$C$9,HolidayDates))</f>
        <v>46232</v>
      </c>
      <c r="O1833" s="24">
        <f>IF($N1833="","",WORKDAY($N1833,Settings!$C$10,HolidayDates))</f>
        <v>46272</v>
      </c>
      <c r="P1833" s="10" t="s">
        <v>501</v>
      </c>
      <c r="Q1833" s="52" t="str">
        <f t="shared" si="317"/>
        <v>Collected</v>
      </c>
      <c r="R1833" s="55" t="str">
        <f t="shared" si="318"/>
        <v>2026-07</v>
      </c>
      <c r="S1833" s="55">
        <f>IF(OR($B1833="",$F1833="",$R1833=""),"",SUMIFS(tblIssues[Qty Issued],tblIssues[Staff ID],$B1833,tblIssues[Item Name],$F1833,tblIssues[Month],$R1833))</f>
        <v>50</v>
      </c>
      <c r="T1833" s="56">
        <f>IF($I1833="","",$I1833*Settings!$C$11)</f>
        <v>50</v>
      </c>
      <c r="U1833" s="57" t="str">
        <f t="shared" si="315"/>
        <v>OK</v>
      </c>
      <c r="V1833" s="55" t="str">
        <f t="shared" si="319"/>
        <v/>
      </c>
      <c r="W1833" s="55" t="str">
        <f>IF($V1833="","",IF(COUNTIF($V$5:$V1833,$V1833)=1,1,""))</f>
        <v/>
      </c>
      <c r="X1833" s="58" t="str">
        <f>IF($W1833="","",MAX($X$4:X1832)+1)</f>
        <v/>
      </c>
      <c r="Y1833" s="62"/>
      <c r="Z1833" s="62"/>
      <c r="AA1833" s="64" t="str">
        <f>IF($C1833="","",IFERROR(INDEX('Staff Directory'!$E$5:$E$594,MATCH($C1833,'Staff Directory'!$B$5:$B$594,0)),""))</f>
        <v>firstname083.lastname083@example.com</v>
      </c>
      <c r="AB1833" s="64" t="str">
        <f>IF($C1833="","",IF(ISNUMBER(SEARCH($D1833,Settings!$C$15)),"Pickup","Dispatch"))</f>
        <v>Pickup</v>
      </c>
      <c r="AC1833" s="64" t="str">
        <f t="shared" si="320"/>
        <v>Supply order ready for pickup</v>
      </c>
      <c r="AD1833" s="64" t="str">
        <f t="shared" si="311"/>
        <v>Dear PSW,
Your order is ready for pickup from Sample Branch, Wed-Fri 9am-4pm.</v>
      </c>
      <c r="AE1833" s="64" t="str">
        <f t="shared" si="312"/>
        <v>mailto:firstname083.lastname083@example.com?subject=Supply%20order%20ready%20for%20pickup&amp;body=Dear%20PSW%2C%0A%0AYour%20order%20is%20ready%20for%20pickup%20from%20Sample%20Branch%2C%20Wed-Fri%209am-4pm.</v>
      </c>
      <c r="AF1833" s="89" t="str">
        <f t="shared" si="321"/>
        <v>Draft email</v>
      </c>
      <c r="AG1833" s="64" t="str">
        <f>IF($C1833="","",IFERROR(INDEX('Staff Directory'!$K$595:$K$599,MATCH($C1833,'Staff Directory'!$B$5:$B$599,0)),$D1833))</f>
        <v>PSW</v>
      </c>
      <c r="AH1833" t="str">
        <f>IF($C1833="","",IFERROR(INDEX('Staff Directory'!$I$595:$I$599,MATCH($C1833,'Staff Directory'!$B$5:$B$599,0))&amp;" "&amp;INDEX('Staff Directory'!$J$595:$J$599,MATCH($C1833,'Staff Directory'!$B$5:$B$599,0)),$AG1833))</f>
        <v>PSW</v>
      </c>
      <c r="AI1833" s="102"/>
      <c r="AJ1833" s="101">
        <f>IF($F1833="","",SUMIFS($J$5:$J1833,$F$5:$F1833,$F1833))</f>
        <v>14950</v>
      </c>
      <c r="AK1833" s="101">
        <f t="shared" si="313"/>
        <v>14901</v>
      </c>
      <c r="AL1833" s="66" t="str" cm="1">
        <f t="array" ref="AL1833">IF($F1833="","",IFERROR(INDEX('Lot Balance'!$B$5:$B$500,MATCH(1,INDEX(('Lot Balance'!$A$5:$A$500=$F1833)*('Lot Balance'!$K$5:$K$500&lt;$AK1833)*('Lot Balance'!$K$5:$K$500+'Lot Balance'!$D$5:$D$500&gt;=$AK1833),0),0)),""))</f>
        <v>LV2-10040-2</v>
      </c>
      <c r="AM1833" s="66" t="str" cm="1">
        <f t="array" ref="AM1833">IF($F1833="","",IFERROR(INDEX('Lot Balance'!$B$5:$B$500,MATCH(1,INDEX(('Lot Balance'!$A$5:$A$500=$F1833)*('Lot Balance'!$K$5:$K$500&lt;$AJ1833)*('Lot Balance'!$K$5:$K$500+'Lot Balance'!$D$5:$D$500&gt;=$AJ1833),0),0)),""))</f>
        <v>LV2-10040-2</v>
      </c>
      <c r="AN1833" s="66" t="str">
        <f>IF($F1833="","",IF($AI1833&lt;&gt;"",IF(COUNTIFS('Lot Balance'!$A$5:$A$500,$F1833,'Lot Balance'!$B$5:$B$500,$AI1833)=0,"⚠ override is not a lot of this item",IF($AI1833=$AL1833,"Override = FEFO","Override - FEFO says "&amp;$AL1833)),IF($AL1833="","⚠ no receipt on file for this item",IF($AM1833&lt;&gt;$AL1833,"FEFO auto - split, also "&amp;$AM1833,"FEFO auto"))))</f>
        <v>FEFO auto</v>
      </c>
      <c r="AO1833" s="114"/>
    </row>
    <row r="1834" spans="1:41" x14ac:dyDescent="0.35">
      <c r="A1834" s="74">
        <v>46224</v>
      </c>
      <c r="B1834" s="18" t="str">
        <f>IF($C1834="","",IFERROR(INDEX('Staff Directory'!$A$5:$A$594,MATCH($C1834,'Staff Directory'!$B$5:$B$594,0)),"⚠ unknown staff"))</f>
        <v>PSW-023-A6</v>
      </c>
      <c r="C1834" s="49" t="s">
        <v>999</v>
      </c>
      <c r="D1834" s="19" t="str">
        <f>IF($B1834="","",IFERROR(INDEX('Staff Directory'!$C$5:$C$594,MATCH($B1834,'Staff Directory'!$A$5:$A$594,0)),""))</f>
        <v>PSW</v>
      </c>
      <c r="E1834" s="19" t="str">
        <f>IF($B1834="","",IFERROR(INDEX('Staff Directory'!$D$5:$D$594,MATCH($B1834,'Staff Directory'!$A$5:$A$594,0)),""))</f>
        <v>A6</v>
      </c>
      <c r="F1834" s="9" t="s">
        <v>147</v>
      </c>
      <c r="G1834" s="18" t="str">
        <f>IF($F1834="","",IFERROR(INDEX(Items!$B$5:$B$597,MATCH($F1834,Items!$A$5:$A$597,0)),"⚠ not in Items"))</f>
        <v>Apparel</v>
      </c>
      <c r="H1834" s="19" t="str">
        <f>IF($F1834="","",IFERROR(INDEX(Items!$C$5:$C$597,MATCH($F1834,Items!$A$5:$A$597,0)),""))</f>
        <v>One Size</v>
      </c>
      <c r="I1834" s="23">
        <f>IF($F1834="","",IFERROR(INDEX(Items!$E$5:$E$597,MATCH($F1834,Items!$A$5:$A$597,0)),""))</f>
        <v>5</v>
      </c>
      <c r="J1834" s="115">
        <f>IF(tblIssues[[#This Row],[Qty Override]]&lt;&gt;"",tblIssues[[#This Row],[Qty Override]],IF(tblIssues[[#This Row],[Standard Issue]]="","",tblIssues[[#This Row],[Standard Issue]]))</f>
        <v>5</v>
      </c>
      <c r="K1834" s="20">
        <f>IF($F1834="","",IFERROR(INDEX(Items!$D$5:$D$597,MATCH($F1834,Items!$A$5:$A$597,0)),""))</f>
        <v>3</v>
      </c>
      <c r="L1834" s="21">
        <f t="shared" si="316"/>
        <v>15</v>
      </c>
      <c r="M1834" s="9" t="str">
        <f t="shared" si="314"/>
        <v>YG500280</v>
      </c>
      <c r="N1834" s="24">
        <f>IF($A1834="","",WORKDAY($A1834,Settings!$C$9,HolidayDates))</f>
        <v>46232</v>
      </c>
      <c r="O1834" s="24">
        <f>IF($N1834="","",WORKDAY($N1834,Settings!$C$10,HolidayDates))</f>
        <v>46272</v>
      </c>
      <c r="P1834" s="10" t="s">
        <v>501</v>
      </c>
      <c r="Q1834" s="52" t="str">
        <f t="shared" si="317"/>
        <v>Collected</v>
      </c>
      <c r="R1834" s="55" t="str">
        <f t="shared" si="318"/>
        <v>2026-07</v>
      </c>
      <c r="S1834" s="55">
        <f>IF(OR($B1834="",$F1834="",$R1834=""),"",SUMIFS(tblIssues[Qty Issued],tblIssues[Staff ID],$B1834,tblIssues[Item Name],$F1834,tblIssues[Month],$R1834))</f>
        <v>5</v>
      </c>
      <c r="T1834" s="56">
        <f>IF($I1834="","",$I1834*Settings!$C$11)</f>
        <v>5</v>
      </c>
      <c r="U1834" s="57" t="str">
        <f t="shared" si="315"/>
        <v>OK</v>
      </c>
      <c r="V1834" s="55" t="str">
        <f t="shared" si="319"/>
        <v/>
      </c>
      <c r="W1834" s="55" t="str">
        <f>IF($V1834="","",IF(COUNTIF($V$5:$V1834,$V1834)=1,1,""))</f>
        <v/>
      </c>
      <c r="X1834" s="58" t="str">
        <f>IF($W1834="","",MAX($X$4:X1833)+1)</f>
        <v/>
      </c>
      <c r="Y1834" s="62"/>
      <c r="Z1834" s="62"/>
      <c r="AA1834" s="64" t="str">
        <f>IF($C1834="","",IFERROR(INDEX('Staff Directory'!$E$5:$E$594,MATCH($C1834,'Staff Directory'!$B$5:$B$594,0)),""))</f>
        <v>firstname083.lastname083@example.com</v>
      </c>
      <c r="AB1834" s="64" t="str">
        <f>IF($C1834="","",IF(ISNUMBER(SEARCH($D1834,Settings!$C$15)),"Pickup","Dispatch"))</f>
        <v>Pickup</v>
      </c>
      <c r="AC1834" s="64" t="str">
        <f t="shared" si="320"/>
        <v>Supply order ready for pickup</v>
      </c>
      <c r="AD1834" s="64" t="str">
        <f t="shared" si="311"/>
        <v>Dear PSW,
Your order is ready for pickup from Sample Branch, Wed-Fri 9am-4pm.</v>
      </c>
      <c r="AE1834" s="64" t="str">
        <f t="shared" si="312"/>
        <v>mailto:firstname083.lastname083@example.com?subject=Supply%20order%20ready%20for%20pickup&amp;body=Dear%20PSW%2C%0A%0AYour%20order%20is%20ready%20for%20pickup%20from%20Sample%20Branch%2C%20Wed-Fri%209am-4pm.</v>
      </c>
      <c r="AF1834" s="89" t="str">
        <f t="shared" si="321"/>
        <v>Draft email</v>
      </c>
      <c r="AG1834" s="64" t="str">
        <f>IF($C1834="","",IFERROR(INDEX('Staff Directory'!$K$595:$K$599,MATCH($C1834,'Staff Directory'!$B$5:$B$599,0)),$D1834))</f>
        <v>PSW</v>
      </c>
      <c r="AH1834" t="str">
        <f>IF($C1834="","",IFERROR(INDEX('Staff Directory'!$I$595:$I$599,MATCH($C1834,'Staff Directory'!$B$5:$B$599,0))&amp;" "&amp;INDEX('Staff Directory'!$J$595:$J$599,MATCH($C1834,'Staff Directory'!$B$5:$B$599,0)),$AG1834))</f>
        <v>PSW</v>
      </c>
      <c r="AI1834" s="102"/>
      <c r="AJ1834" s="101">
        <f>IF($F1834="","",SUMIFS($J$5:$J1834,$F$5:$F1834,$F1834))</f>
        <v>230</v>
      </c>
      <c r="AK1834" s="101">
        <f t="shared" si="313"/>
        <v>226</v>
      </c>
      <c r="AL1834" s="66" t="str" cm="1">
        <f t="array" ref="AL1834">IF($F1834="","",IFERROR(INDEX('Lot Balance'!$B$5:$B$500,MATCH(1,INDEX(('Lot Balance'!$A$5:$A$500=$F1834)*('Lot Balance'!$K$5:$K$500&lt;$AK1834)*('Lot Balance'!$K$5:$K$500+'Lot Balance'!$D$5:$D$500&gt;=$AK1834),0),0)),""))</f>
        <v>YG500280</v>
      </c>
      <c r="AM1834" s="66" t="str" cm="1">
        <f t="array" ref="AM1834">IF($F1834="","",IFERROR(INDEX('Lot Balance'!$B$5:$B$500,MATCH(1,INDEX(('Lot Balance'!$A$5:$A$500=$F1834)*('Lot Balance'!$K$5:$K$500&lt;$AJ1834)*('Lot Balance'!$K$5:$K$500+'Lot Balance'!$D$5:$D$500&gt;=$AJ1834),0),0)),""))</f>
        <v>YG500280</v>
      </c>
      <c r="AN1834" s="66" t="str">
        <f>IF($F1834="","",IF($AI1834&lt;&gt;"",IF(COUNTIFS('Lot Balance'!$A$5:$A$500,$F1834,'Lot Balance'!$B$5:$B$500,$AI1834)=0,"⚠ override is not a lot of this item",IF($AI1834=$AL1834,"Override = FEFO","Override - FEFO says "&amp;$AL1834)),IF($AL1834="","⚠ no receipt on file for this item",IF($AM1834&lt;&gt;$AL1834,"FEFO auto - split, also "&amp;$AM1834,"FEFO auto"))))</f>
        <v>FEFO auto</v>
      </c>
      <c r="AO1834" s="114"/>
    </row>
    <row r="1835" spans="1:41" x14ac:dyDescent="0.35">
      <c r="A1835" s="74">
        <v>46224</v>
      </c>
      <c r="B1835" s="18" t="str">
        <f>IF($C1835="","",IFERROR(INDEX('Staff Directory'!$A$5:$A$594,MATCH($C1835,'Staff Directory'!$B$5:$B$594,0)),"⚠ unknown staff"))</f>
        <v>PSW-180-A6</v>
      </c>
      <c r="C1835" s="49" t="s">
        <v>1159</v>
      </c>
      <c r="D1835" s="19" t="str">
        <f>IF($B1835="","",IFERROR(INDEX('Staff Directory'!$C$5:$C$594,MATCH($B1835,'Staff Directory'!$A$5:$A$594,0)),""))</f>
        <v>PSW</v>
      </c>
      <c r="E1835" s="19" t="str">
        <f>IF($B1835="","",IFERROR(INDEX('Staff Directory'!$D$5:$D$594,MATCH($B1835,'Staff Directory'!$A$5:$A$594,0)),""))</f>
        <v>A6</v>
      </c>
      <c r="F1835" s="9" t="s">
        <v>127</v>
      </c>
      <c r="G1835" s="18" t="str">
        <f>IF($F1835="","",IFERROR(INDEX(Items!$B$5:$B$597,MATCH($F1835,Items!$A$5:$A$597,0)),"⚠ not in Items"))</f>
        <v>Gloves</v>
      </c>
      <c r="H1835" s="19" t="str">
        <f>IF($F1835="","",IFERROR(INDEX(Items!$C$5:$C$597,MATCH($F1835,Items!$A$5:$A$597,0)),""))</f>
        <v>Medium</v>
      </c>
      <c r="I1835" s="23">
        <f>IF($F1835="","",IFERROR(INDEX(Items!$E$5:$E$597,MATCH($F1835,Items!$A$5:$A$597,0)),""))</f>
        <v>500</v>
      </c>
      <c r="J1835" s="115">
        <f>IF(tblIssues[[#This Row],[Qty Override]]&lt;&gt;"",tblIssues[[#This Row],[Qty Override]],IF(tblIssues[[#This Row],[Standard Issue]]="","",tblIssues[[#This Row],[Standard Issue]]))</f>
        <v>500</v>
      </c>
      <c r="K1835" s="20">
        <f>IF($F1835="","",IFERROR(INDEX(Items!$D$5:$D$597,MATCH($F1835,Items!$A$5:$A$597,0)),""))</f>
        <v>5.5E-2</v>
      </c>
      <c r="L1835" s="21">
        <f t="shared" si="316"/>
        <v>27.5</v>
      </c>
      <c r="M1835" s="9" t="str">
        <f t="shared" si="314"/>
        <v>ZIM604151579</v>
      </c>
      <c r="N1835" s="24">
        <f>IF($A1835="","",WORKDAY($A1835,Settings!$C$9,HolidayDates))</f>
        <v>46232</v>
      </c>
      <c r="O1835" s="24">
        <f>IF($N1835="","",WORKDAY($N1835,Settings!$C$10,HolidayDates))</f>
        <v>46272</v>
      </c>
      <c r="P1835" s="10" t="s">
        <v>501</v>
      </c>
      <c r="Q1835" s="52" t="str">
        <f t="shared" si="317"/>
        <v>Collected</v>
      </c>
      <c r="R1835" s="55" t="str">
        <f t="shared" si="318"/>
        <v>2026-07</v>
      </c>
      <c r="S1835" s="55">
        <f>IF(OR($B1835="",$F1835="",$R1835=""),"",SUMIFS(tblIssues[Qty Issued],tblIssues[Staff ID],$B1835,tblIssues[Item Name],$F1835,tblIssues[Month],$R1835))</f>
        <v>500</v>
      </c>
      <c r="T1835" s="56">
        <f>IF($I1835="","",$I1835*Settings!$C$11)</f>
        <v>500</v>
      </c>
      <c r="U1835" s="57" t="str">
        <f t="shared" si="315"/>
        <v>OK</v>
      </c>
      <c r="V1835" s="55" t="str">
        <f t="shared" si="319"/>
        <v/>
      </c>
      <c r="W1835" s="55" t="str">
        <f>IF($V1835="","",IF(COUNTIF($V$5:$V1835,$V1835)=1,1,""))</f>
        <v/>
      </c>
      <c r="X1835" s="58" t="str">
        <f>IF($W1835="","",MAX($X$4:X1834)+1)</f>
        <v/>
      </c>
      <c r="Y1835" s="62"/>
      <c r="Z1835" s="62"/>
      <c r="AA1835" s="64" t="str">
        <f>IF($C1835="","",IFERROR(INDEX('Staff Directory'!$E$5:$E$594,MATCH($C1835,'Staff Directory'!$B$5:$B$594,0)),""))</f>
        <v>firstname243.lastname243@example.com</v>
      </c>
      <c r="AB1835" s="64" t="str">
        <f>IF($C1835="","",IF(ISNUMBER(SEARCH($D1835,Settings!$C$15)),"Pickup","Dispatch"))</f>
        <v>Pickup</v>
      </c>
      <c r="AC1835" s="64" t="str">
        <f t="shared" si="320"/>
        <v>Supply order ready for pickup</v>
      </c>
      <c r="AD1835" s="64" t="str">
        <f t="shared" si="311"/>
        <v>Dear PSW,
Your order is ready for pickup from Sample Branch, Wed-Fri 9am-4pm.</v>
      </c>
      <c r="AE1835" s="64" t="str">
        <f t="shared" si="312"/>
        <v>mailto:firstname243.lastname243@example.com?subject=Supply%20order%20ready%20for%20pickup&amp;body=Dear%20PSW%2C%0A%0AYour%20order%20is%20ready%20for%20pickup%20from%20Sample%20Branch%2C%20Wed-Fri%209am-4pm.</v>
      </c>
      <c r="AF1835" s="89" t="str">
        <f t="shared" si="321"/>
        <v>Draft email</v>
      </c>
      <c r="AG1835" s="64" t="str">
        <f>IF($C1835="","",IFERROR(INDEX('Staff Directory'!$K$595:$K$599,MATCH($C1835,'Staff Directory'!$B$5:$B$599,0)),$D1835))</f>
        <v>PSW</v>
      </c>
      <c r="AH1835" t="str">
        <f>IF($C1835="","",IFERROR(INDEX('Staff Directory'!$I$595:$I$599,MATCH($C1835,'Staff Directory'!$B$5:$B$599,0))&amp;" "&amp;INDEX('Staff Directory'!$J$595:$J$599,MATCH($C1835,'Staff Directory'!$B$5:$B$599,0)),$AG1835))</f>
        <v>PSW</v>
      </c>
      <c r="AI1835" s="102"/>
      <c r="AJ1835" s="101">
        <f>IF($F1835="","",SUMIFS($J$5:$J1835,$F$5:$F1835,$F1835))</f>
        <v>110000</v>
      </c>
      <c r="AK1835" s="101">
        <f t="shared" si="313"/>
        <v>109501</v>
      </c>
      <c r="AL1835" s="66" t="str" cm="1">
        <f t="array" ref="AL1835">IF($F1835="","",IFERROR(INDEX('Lot Balance'!$B$5:$B$500,MATCH(1,INDEX(('Lot Balance'!$A$5:$A$500=$F1835)*('Lot Balance'!$K$5:$K$500&lt;$AK1835)*('Lot Balance'!$K$5:$K$500+'Lot Balance'!$D$5:$D$500&gt;=$AK1835),0),0)),""))</f>
        <v>ZIM604151579</v>
      </c>
      <c r="AM1835" s="66" t="str" cm="1">
        <f t="array" ref="AM1835">IF($F1835="","",IFERROR(INDEX('Lot Balance'!$B$5:$B$500,MATCH(1,INDEX(('Lot Balance'!$A$5:$A$500=$F1835)*('Lot Balance'!$K$5:$K$500&lt;$AJ1835)*('Lot Balance'!$K$5:$K$500+'Lot Balance'!$D$5:$D$500&gt;=$AJ1835),0),0)),""))</f>
        <v>ZIM511139896</v>
      </c>
      <c r="AN1835" s="66" t="str">
        <f>IF($F1835="","",IF($AI1835&lt;&gt;"",IF(COUNTIFS('Lot Balance'!$A$5:$A$500,$F1835,'Lot Balance'!$B$5:$B$500,$AI1835)=0,"⚠ override is not a lot of this item",IF($AI1835=$AL1835,"Override = FEFO","Override - FEFO says "&amp;$AL1835)),IF($AL1835="","⚠ no receipt on file for this item",IF($AM1835&lt;&gt;$AL1835,"FEFO auto - split, also "&amp;$AM1835,"FEFO auto"))))</f>
        <v>FEFO auto - split, also ZIM511139896</v>
      </c>
      <c r="AO1835" s="114"/>
    </row>
    <row r="1836" spans="1:41" x14ac:dyDescent="0.35">
      <c r="A1836" s="74">
        <v>46224</v>
      </c>
      <c r="B1836" s="18" t="str">
        <f>IF($C1836="","",IFERROR(INDEX('Staff Directory'!$A$5:$A$594,MATCH($C1836,'Staff Directory'!$B$5:$B$594,0)),"⚠ unknown staff"))</f>
        <v>PSW-180-A6</v>
      </c>
      <c r="C1836" s="49" t="s">
        <v>1159</v>
      </c>
      <c r="D1836" s="19" t="str">
        <f>IF($B1836="","",IFERROR(INDEX('Staff Directory'!$C$5:$C$594,MATCH($B1836,'Staff Directory'!$A$5:$A$594,0)),""))</f>
        <v>PSW</v>
      </c>
      <c r="E1836" s="19" t="str">
        <f>IF($B1836="","",IFERROR(INDEX('Staff Directory'!$D$5:$D$594,MATCH($B1836,'Staff Directory'!$A$5:$A$594,0)),""))</f>
        <v>A6</v>
      </c>
      <c r="F1836" s="9" t="s">
        <v>191</v>
      </c>
      <c r="G1836" s="18" t="str">
        <f>IF($F1836="","",IFERROR(INDEX(Items!$B$5:$B$597,MATCH($F1836,Items!$A$5:$A$597,0)),"⚠ not in Items"))</f>
        <v>Sanitizer</v>
      </c>
      <c r="H1836" s="19" t="str">
        <f>IF($F1836="","",IFERROR(INDEX(Items!$C$5:$C$597,MATCH($F1836,Items!$A$5:$A$597,0)),""))</f>
        <v>236 ML</v>
      </c>
      <c r="I1836" s="23">
        <f>IF($F1836="","",IFERROR(INDEX(Items!$E$5:$E$597,MATCH($F1836,Items!$A$5:$A$597,0)),""))</f>
        <v>1</v>
      </c>
      <c r="J1836" s="115">
        <f>IF(tblIssues[[#This Row],[Qty Override]]&lt;&gt;"",tblIssues[[#This Row],[Qty Override]],IF(tblIssues[[#This Row],[Standard Issue]]="","",tblIssues[[#This Row],[Standard Issue]]))</f>
        <v>1</v>
      </c>
      <c r="K1836" s="20">
        <f>IF($F1836="","",IFERROR(INDEX(Items!$D$5:$D$597,MATCH($F1836,Items!$A$5:$A$597,0)),""))</f>
        <v>1E-4</v>
      </c>
      <c r="L1836" s="21">
        <f t="shared" si="316"/>
        <v>1E-4</v>
      </c>
      <c r="M1836" s="9" t="str">
        <f t="shared" si="314"/>
        <v>20-21734-5</v>
      </c>
      <c r="N1836" s="24">
        <f>IF($A1836="","",WORKDAY($A1836,Settings!$C$9,HolidayDates))</f>
        <v>46232</v>
      </c>
      <c r="O1836" s="24">
        <f>IF($N1836="","",WORKDAY($N1836,Settings!$C$10,HolidayDates))</f>
        <v>46272</v>
      </c>
      <c r="P1836" s="10" t="s">
        <v>501</v>
      </c>
      <c r="Q1836" s="52" t="str">
        <f t="shared" si="317"/>
        <v>Collected</v>
      </c>
      <c r="R1836" s="55" t="str">
        <f t="shared" si="318"/>
        <v>2026-07</v>
      </c>
      <c r="S1836" s="55">
        <f>IF(OR($B1836="",$F1836="",$R1836=""),"",SUMIFS(tblIssues[Qty Issued],tblIssues[Staff ID],$B1836,tblIssues[Item Name],$F1836,tblIssues[Month],$R1836))</f>
        <v>1</v>
      </c>
      <c r="T1836" s="56">
        <f>IF($I1836="","",$I1836*Settings!$C$11)</f>
        <v>1</v>
      </c>
      <c r="U1836" s="57" t="str">
        <f t="shared" si="315"/>
        <v>OK</v>
      </c>
      <c r="V1836" s="55" t="str">
        <f t="shared" si="319"/>
        <v/>
      </c>
      <c r="W1836" s="55" t="str">
        <f>IF($V1836="","",IF(COUNTIF($V$5:$V1836,$V1836)=1,1,""))</f>
        <v/>
      </c>
      <c r="X1836" s="58" t="str">
        <f>IF($W1836="","",MAX($X$4:X1835)+1)</f>
        <v/>
      </c>
      <c r="Y1836" s="62"/>
      <c r="Z1836" s="62"/>
      <c r="AA1836" s="64" t="str">
        <f>IF($C1836="","",IFERROR(INDEX('Staff Directory'!$E$5:$E$594,MATCH($C1836,'Staff Directory'!$B$5:$B$594,0)),""))</f>
        <v>firstname243.lastname243@example.com</v>
      </c>
      <c r="AB1836" s="64" t="str">
        <f>IF($C1836="","",IF(ISNUMBER(SEARCH($D1836,Settings!$C$15)),"Pickup","Dispatch"))</f>
        <v>Pickup</v>
      </c>
      <c r="AC1836" s="64" t="str">
        <f t="shared" si="320"/>
        <v>Supply order ready for pickup</v>
      </c>
      <c r="AD1836" s="64" t="str">
        <f t="shared" si="311"/>
        <v>Dear PSW,
Your order is ready for pickup from Sample Branch, Wed-Fri 9am-4pm.</v>
      </c>
      <c r="AE1836" s="64" t="str">
        <f t="shared" si="312"/>
        <v>mailto:firstname243.lastname243@example.com?subject=Supply%20order%20ready%20for%20pickup&amp;body=Dear%20PSW%2C%0A%0AYour%20order%20is%20ready%20for%20pickup%20from%20Sample%20Branch%2C%20Wed-Fri%209am-4pm.</v>
      </c>
      <c r="AF1836" s="89" t="str">
        <f t="shared" si="321"/>
        <v>Draft email</v>
      </c>
      <c r="AG1836" s="64" t="str">
        <f>IF($C1836="","",IFERROR(INDEX('Staff Directory'!$K$595:$K$599,MATCH($C1836,'Staff Directory'!$B$5:$B$599,0)),$D1836))</f>
        <v>PSW</v>
      </c>
      <c r="AH1836" t="str">
        <f>IF($C1836="","",IFERROR(INDEX('Staff Directory'!$I$595:$I$599,MATCH($C1836,'Staff Directory'!$B$5:$B$599,0))&amp;" "&amp;INDEX('Staff Directory'!$J$595:$J$599,MATCH($C1836,'Staff Directory'!$B$5:$B$599,0)),$AG1836))</f>
        <v>PSW</v>
      </c>
      <c r="AI1836" s="102"/>
      <c r="AJ1836" s="101">
        <f>IF($F1836="","",SUMIFS($J$5:$J1836,$F$5:$F1836,$F1836))</f>
        <v>245</v>
      </c>
      <c r="AK1836" s="101">
        <f t="shared" si="313"/>
        <v>245</v>
      </c>
      <c r="AL1836" s="66" t="str" cm="1">
        <f t="array" ref="AL1836">IF($F1836="","",IFERROR(INDEX('Lot Balance'!$B$5:$B$500,MATCH(1,INDEX(('Lot Balance'!$A$5:$A$500=$F1836)*('Lot Balance'!$K$5:$K$500&lt;$AK1836)*('Lot Balance'!$K$5:$K$500+'Lot Balance'!$D$5:$D$500&gt;=$AK1836),0),0)),""))</f>
        <v>20-21734-5</v>
      </c>
      <c r="AM1836" s="66" t="str" cm="1">
        <f t="array" ref="AM1836">IF($F1836="","",IFERROR(INDEX('Lot Balance'!$B$5:$B$500,MATCH(1,INDEX(('Lot Balance'!$A$5:$A$500=$F1836)*('Lot Balance'!$K$5:$K$500&lt;$AJ1836)*('Lot Balance'!$K$5:$K$500+'Lot Balance'!$D$5:$D$500&gt;=$AJ1836),0),0)),""))</f>
        <v>20-21734-5</v>
      </c>
      <c r="AN1836" s="66" t="str">
        <f>IF($F1836="","",IF($AI1836&lt;&gt;"",IF(COUNTIFS('Lot Balance'!$A$5:$A$500,$F1836,'Lot Balance'!$B$5:$B$500,$AI1836)=0,"⚠ override is not a lot of this item",IF($AI1836=$AL1836,"Override = FEFO","Override - FEFO says "&amp;$AL1836)),IF($AL1836="","⚠ no receipt on file for this item",IF($AM1836&lt;&gt;$AL1836,"FEFO auto - split, also "&amp;$AM1836,"FEFO auto"))))</f>
        <v>FEFO auto</v>
      </c>
      <c r="AO1836" s="114"/>
    </row>
    <row r="1837" spans="1:41" x14ac:dyDescent="0.35">
      <c r="A1837" s="74">
        <v>46224</v>
      </c>
      <c r="B1837" s="18" t="str">
        <f>IF($C1837="","",IFERROR(INDEX('Staff Directory'!$A$5:$A$594,MATCH($C1837,'Staff Directory'!$B$5:$B$594,0)),"⚠ unknown staff"))</f>
        <v>PSW-180-A6</v>
      </c>
      <c r="C1837" s="49" t="s">
        <v>1159</v>
      </c>
      <c r="D1837" s="19" t="str">
        <f>IF($B1837="","",IFERROR(INDEX('Staff Directory'!$C$5:$C$594,MATCH($B1837,'Staff Directory'!$A$5:$A$594,0)),""))</f>
        <v>PSW</v>
      </c>
      <c r="E1837" s="19" t="str">
        <f>IF($B1837="","",IFERROR(INDEX('Staff Directory'!$D$5:$D$594,MATCH($B1837,'Staff Directory'!$A$5:$A$594,0)),""))</f>
        <v>A6</v>
      </c>
      <c r="F1837" s="9" t="s">
        <v>115</v>
      </c>
      <c r="G1837" s="18" t="str">
        <f>IF($F1837="","",IFERROR(INDEX(Items!$B$5:$B$597,MATCH($F1837,Items!$A$5:$A$597,0)),"⚠ not in Items"))</f>
        <v>Wipes</v>
      </c>
      <c r="H1837" s="19">
        <f>IF($F1837="","",IFERROR(INDEX(Items!$C$5:$C$597,MATCH($F1837,Items!$A$5:$A$597,0)),""))</f>
        <v>80</v>
      </c>
      <c r="I1837" s="23">
        <f>IF($F1837="","",IFERROR(INDEX(Items!$E$5:$E$597,MATCH($F1837,Items!$A$5:$A$597,0)),""))</f>
        <v>80</v>
      </c>
      <c r="J1837" s="115">
        <f>IF(tblIssues[[#This Row],[Qty Override]]&lt;&gt;"",tblIssues[[#This Row],[Qty Override]],IF(tblIssues[[#This Row],[Standard Issue]]="","",tblIssues[[#This Row],[Standard Issue]]))</f>
        <v>80</v>
      </c>
      <c r="K1837" s="20">
        <f>IF($F1837="","",IFERROR(INDEX(Items!$D$5:$D$597,MATCH($F1837,Items!$A$5:$A$597,0)),""))</f>
        <v>0.1</v>
      </c>
      <c r="L1837" s="21">
        <f t="shared" si="316"/>
        <v>8</v>
      </c>
      <c r="M1837" s="9" t="str">
        <f t="shared" si="314"/>
        <v>LYSL500290</v>
      </c>
      <c r="N1837" s="24">
        <f>IF($A1837="","",WORKDAY($A1837,Settings!$C$9,HolidayDates))</f>
        <v>46232</v>
      </c>
      <c r="O1837" s="24">
        <f>IF($N1837="","",WORKDAY($N1837,Settings!$C$10,HolidayDates))</f>
        <v>46272</v>
      </c>
      <c r="P1837" s="10" t="s">
        <v>501</v>
      </c>
      <c r="Q1837" s="52" t="str">
        <f t="shared" si="317"/>
        <v>Collected</v>
      </c>
      <c r="R1837" s="55" t="str">
        <f t="shared" si="318"/>
        <v>2026-07</v>
      </c>
      <c r="S1837" s="55">
        <f>IF(OR($B1837="",$F1837="",$R1837=""),"",SUMIFS(tblIssues[Qty Issued],tblIssues[Staff ID],$B1837,tblIssues[Item Name],$F1837,tblIssues[Month],$R1837))</f>
        <v>80</v>
      </c>
      <c r="T1837" s="56">
        <f>IF($I1837="","",$I1837*Settings!$C$11)</f>
        <v>80</v>
      </c>
      <c r="U1837" s="57" t="str">
        <f t="shared" si="315"/>
        <v>OK</v>
      </c>
      <c r="V1837" s="55" t="str">
        <f t="shared" si="319"/>
        <v/>
      </c>
      <c r="W1837" s="55" t="str">
        <f>IF($V1837="","",IF(COUNTIF($V$5:$V1837,$V1837)=1,1,""))</f>
        <v/>
      </c>
      <c r="X1837" s="58" t="str">
        <f>IF($W1837="","",MAX($X$4:X1836)+1)</f>
        <v/>
      </c>
      <c r="Y1837" s="62"/>
      <c r="Z1837" s="62"/>
      <c r="AA1837" s="64" t="str">
        <f>IF($C1837="","",IFERROR(INDEX('Staff Directory'!$E$5:$E$594,MATCH($C1837,'Staff Directory'!$B$5:$B$594,0)),""))</f>
        <v>firstname243.lastname243@example.com</v>
      </c>
      <c r="AB1837" s="64" t="str">
        <f>IF($C1837="","",IF(ISNUMBER(SEARCH($D1837,Settings!$C$15)),"Pickup","Dispatch"))</f>
        <v>Pickup</v>
      </c>
      <c r="AC1837" s="64" t="str">
        <f t="shared" si="320"/>
        <v>Supply order ready for pickup</v>
      </c>
      <c r="AD1837" s="64" t="str">
        <f t="shared" si="311"/>
        <v>Dear PSW,
Your order is ready for pickup from Sample Branch, Wed-Fri 9am-4pm.</v>
      </c>
      <c r="AE1837" s="64" t="str">
        <f t="shared" si="312"/>
        <v>mailto:firstname243.lastname243@example.com?subject=Supply%20order%20ready%20for%20pickup&amp;body=Dear%20PSW%2C%0A%0AYour%20order%20is%20ready%20for%20pickup%20from%20Sample%20Branch%2C%20Wed-Fri%209am-4pm.</v>
      </c>
      <c r="AF1837" s="89" t="str">
        <f t="shared" si="321"/>
        <v>Draft email</v>
      </c>
      <c r="AG1837" s="64" t="str">
        <f>IF($C1837="","",IFERROR(INDEX('Staff Directory'!$K$595:$K$599,MATCH($C1837,'Staff Directory'!$B$5:$B$599,0)),$D1837))</f>
        <v>PSW</v>
      </c>
      <c r="AH1837" t="str">
        <f>IF($C1837="","",IFERROR(INDEX('Staff Directory'!$I$595:$I$599,MATCH($C1837,'Staff Directory'!$B$5:$B$599,0))&amp;" "&amp;INDEX('Staff Directory'!$J$595:$J$599,MATCH($C1837,'Staff Directory'!$B$5:$B$599,0)),$AG1837))</f>
        <v>PSW</v>
      </c>
      <c r="AI1837" s="102"/>
      <c r="AJ1837" s="101">
        <f>IF($F1837="","",SUMIFS($J$5:$J1837,$F$5:$F1837,$F1837))</f>
        <v>24240</v>
      </c>
      <c r="AK1837" s="101">
        <f t="shared" si="313"/>
        <v>24161</v>
      </c>
      <c r="AL1837" s="66" t="str" cm="1">
        <f t="array" ref="AL1837">IF($F1837="","",IFERROR(INDEX('Lot Balance'!$B$5:$B$500,MATCH(1,INDEX(('Lot Balance'!$A$5:$A$500=$F1837)*('Lot Balance'!$K$5:$K$500&lt;$AK1837)*('Lot Balance'!$K$5:$K$500+'Lot Balance'!$D$5:$D$500&gt;=$AK1837),0),0)),""))</f>
        <v>LYSL500290</v>
      </c>
      <c r="AM1837" s="66" t="str" cm="1">
        <f t="array" ref="AM1837">IF($F1837="","",IFERROR(INDEX('Lot Balance'!$B$5:$B$500,MATCH(1,INDEX(('Lot Balance'!$A$5:$A$500=$F1837)*('Lot Balance'!$K$5:$K$500&lt;$AJ1837)*('Lot Balance'!$K$5:$K$500+'Lot Balance'!$D$5:$D$500&gt;=$AJ1837),0),0)),""))</f>
        <v>LYSL500290</v>
      </c>
      <c r="AN1837" s="66" t="str">
        <f>IF($F1837="","",IF($AI1837&lt;&gt;"",IF(COUNTIFS('Lot Balance'!$A$5:$A$500,$F1837,'Lot Balance'!$B$5:$B$500,$AI1837)=0,"⚠ override is not a lot of this item",IF($AI1837=$AL1837,"Override = FEFO","Override - FEFO says "&amp;$AL1837)),IF($AL1837="","⚠ no receipt on file for this item",IF($AM1837&lt;&gt;$AL1837,"FEFO auto - split, also "&amp;$AM1837,"FEFO auto"))))</f>
        <v>FEFO auto</v>
      </c>
      <c r="AO1837" s="114"/>
    </row>
    <row r="1838" spans="1:41" x14ac:dyDescent="0.35">
      <c r="A1838" s="74">
        <v>46224</v>
      </c>
      <c r="B1838" s="18" t="str">
        <f>IF($C1838="","",IFERROR(INDEX('Staff Directory'!$A$5:$A$594,MATCH($C1838,'Staff Directory'!$B$5:$B$594,0)),"⚠ unknown staff"))</f>
        <v>PSW-174-TBD</v>
      </c>
      <c r="C1838" s="49" t="s">
        <v>1153</v>
      </c>
      <c r="D1838" s="19" t="str">
        <f>IF($B1838="","",IFERROR(INDEX('Staff Directory'!$C$5:$C$594,MATCH($B1838,'Staff Directory'!$A$5:$A$594,0)),""))</f>
        <v>PSW</v>
      </c>
      <c r="E1838" s="19">
        <f>IF($B1838="","",IFERROR(INDEX('Staff Directory'!$D$5:$D$594,MATCH($B1838,'Staff Directory'!$A$5:$A$594,0)),""))</f>
        <v>0</v>
      </c>
      <c r="F1838" s="9" t="s">
        <v>129</v>
      </c>
      <c r="G1838" s="18" t="str">
        <f>IF($F1838="","",IFERROR(INDEX(Items!$B$5:$B$597,MATCH($F1838,Items!$A$5:$A$597,0)),"⚠ not in Items"))</f>
        <v>Gloves</v>
      </c>
      <c r="H1838" s="19" t="str">
        <f>IF($F1838="","",IFERROR(INDEX(Items!$C$5:$C$597,MATCH($F1838,Items!$A$5:$A$597,0)),""))</f>
        <v>Small</v>
      </c>
      <c r="I1838" s="23">
        <f>IF($F1838="","",IFERROR(INDEX(Items!$E$5:$E$597,MATCH($F1838,Items!$A$5:$A$597,0)),""))</f>
        <v>500</v>
      </c>
      <c r="J1838" s="115">
        <f>IF(tblIssues[[#This Row],[Qty Override]]&lt;&gt;"",tblIssues[[#This Row],[Qty Override]],IF(tblIssues[[#This Row],[Standard Issue]]="","",tblIssues[[#This Row],[Standard Issue]]))</f>
        <v>500</v>
      </c>
      <c r="K1838" s="20">
        <f>IF($F1838="","",IFERROR(INDEX(Items!$D$5:$D$597,MATCH($F1838,Items!$A$5:$A$597,0)),""))</f>
        <v>5.5E-2</v>
      </c>
      <c r="L1838" s="21">
        <f t="shared" si="316"/>
        <v>27.5</v>
      </c>
      <c r="M1838" s="9" t="str">
        <f t="shared" si="314"/>
        <v>ZIM601144366-1</v>
      </c>
      <c r="N1838" s="24">
        <f>IF($A1838="","",WORKDAY($A1838,Settings!$C$9,HolidayDates))</f>
        <v>46232</v>
      </c>
      <c r="O1838" s="24">
        <f>IF($N1838="","",WORKDAY($N1838,Settings!$C$10,HolidayDates))</f>
        <v>46272</v>
      </c>
      <c r="P1838" s="10" t="s">
        <v>501</v>
      </c>
      <c r="Q1838" s="52" t="str">
        <f t="shared" si="317"/>
        <v>Collected</v>
      </c>
      <c r="R1838" s="55" t="str">
        <f t="shared" si="318"/>
        <v>2026-07</v>
      </c>
      <c r="S1838" s="55">
        <f>IF(OR($B1838="",$F1838="",$R1838=""),"",SUMIFS(tblIssues[Qty Issued],tblIssues[Staff ID],$B1838,tblIssues[Item Name],$F1838,tblIssues[Month],$R1838))</f>
        <v>500</v>
      </c>
      <c r="T1838" s="56">
        <f>IF($I1838="","",$I1838*Settings!$C$11)</f>
        <v>500</v>
      </c>
      <c r="U1838" s="57" t="str">
        <f t="shared" si="315"/>
        <v>OK</v>
      </c>
      <c r="V1838" s="55" t="str">
        <f t="shared" si="319"/>
        <v/>
      </c>
      <c r="W1838" s="55" t="str">
        <f>IF($V1838="","",IF(COUNTIF($V$5:$V1838,$V1838)=1,1,""))</f>
        <v/>
      </c>
      <c r="X1838" s="58" t="str">
        <f>IF($W1838="","",MAX($X$4:X1837)+1)</f>
        <v/>
      </c>
      <c r="Y1838" s="62"/>
      <c r="Z1838" s="62"/>
      <c r="AA1838" s="64" t="str">
        <f>IF($C1838="","",IFERROR(INDEX('Staff Directory'!$E$5:$E$594,MATCH($C1838,'Staff Directory'!$B$5:$B$594,0)),""))</f>
        <v>firstname237.lastname237@example.com</v>
      </c>
      <c r="AB1838" s="64" t="str">
        <f>IF($C1838="","",IF(ISNUMBER(SEARCH($D1838,Settings!$C$15)),"Pickup","Dispatch"))</f>
        <v>Pickup</v>
      </c>
      <c r="AC1838" s="64" t="str">
        <f t="shared" si="320"/>
        <v>Supply order ready for pickup</v>
      </c>
      <c r="AD1838" s="64" t="str">
        <f t="shared" si="311"/>
        <v>Dear PSW,
Your order is ready for pickup from Sample Branch, Wed-Fri 9am-4pm.</v>
      </c>
      <c r="AE1838" s="64" t="str">
        <f t="shared" si="312"/>
        <v>mailto:firstname237.lastname237@example.com?subject=Supply%20order%20ready%20for%20pickup&amp;body=Dear%20PSW%2C%0A%0AYour%20order%20is%20ready%20for%20pickup%20from%20Sample%20Branch%2C%20Wed-Fri%209am-4pm.</v>
      </c>
      <c r="AF1838" s="89" t="str">
        <f t="shared" si="321"/>
        <v>Draft email</v>
      </c>
      <c r="AG1838" s="64" t="str">
        <f>IF($C1838="","",IFERROR(INDEX('Staff Directory'!$K$595:$K$599,MATCH($C1838,'Staff Directory'!$B$5:$B$599,0)),$D1838))</f>
        <v>PSW</v>
      </c>
      <c r="AH1838" t="str">
        <f>IF($C1838="","",IFERROR(INDEX('Staff Directory'!$I$595:$I$599,MATCH($C1838,'Staff Directory'!$B$5:$B$599,0))&amp;" "&amp;INDEX('Staff Directory'!$J$595:$J$599,MATCH($C1838,'Staff Directory'!$B$5:$B$599,0)),$AG1838))</f>
        <v>PSW</v>
      </c>
      <c r="AI1838" s="102"/>
      <c r="AJ1838" s="101">
        <f>IF($F1838="","",SUMIFS($J$5:$J1838,$F$5:$F1838,$F1838))</f>
        <v>54500</v>
      </c>
      <c r="AK1838" s="101">
        <f t="shared" si="313"/>
        <v>54001</v>
      </c>
      <c r="AL1838" s="66" t="str" cm="1">
        <f t="array" ref="AL1838">IF($F1838="","",IFERROR(INDEX('Lot Balance'!$B$5:$B$500,MATCH(1,INDEX(('Lot Balance'!$A$5:$A$500=$F1838)*('Lot Balance'!$K$5:$K$500&lt;$AK1838)*('Lot Balance'!$K$5:$K$500+'Lot Balance'!$D$5:$D$500&gt;=$AK1838),0),0)),""))</f>
        <v>ZIM601144366-1</v>
      </c>
      <c r="AM1838" s="66" t="str" cm="1">
        <f t="array" ref="AM1838">IF($F1838="","",IFERROR(INDEX('Lot Balance'!$B$5:$B$500,MATCH(1,INDEX(('Lot Balance'!$A$5:$A$500=$F1838)*('Lot Balance'!$K$5:$K$500&lt;$AJ1838)*('Lot Balance'!$K$5:$K$500+'Lot Balance'!$D$5:$D$500&gt;=$AJ1838),0),0)),""))</f>
        <v>ZIM601144366-1</v>
      </c>
      <c r="AN1838" s="66" t="str">
        <f>IF($F1838="","",IF($AI1838&lt;&gt;"",IF(COUNTIFS('Lot Balance'!$A$5:$A$500,$F1838,'Lot Balance'!$B$5:$B$500,$AI1838)=0,"⚠ override is not a lot of this item",IF($AI1838=$AL1838,"Override = FEFO","Override - FEFO says "&amp;$AL1838)),IF($AL1838="","⚠ no receipt on file for this item",IF($AM1838&lt;&gt;$AL1838,"FEFO auto - split, also "&amp;$AM1838,"FEFO auto"))))</f>
        <v>FEFO auto</v>
      </c>
      <c r="AO1838" s="114"/>
    </row>
    <row r="1839" spans="1:41" x14ac:dyDescent="0.35">
      <c r="A1839" s="74">
        <v>46224</v>
      </c>
      <c r="B1839" s="18" t="str">
        <f>IF($C1839="","",IFERROR(INDEX('Staff Directory'!$A$5:$A$594,MATCH($C1839,'Staff Directory'!$B$5:$B$594,0)),"⚠ unknown staff"))</f>
        <v>PSW-174-TBD</v>
      </c>
      <c r="C1839" s="49" t="s">
        <v>1153</v>
      </c>
      <c r="D1839" s="19" t="str">
        <f>IF($B1839="","",IFERROR(INDEX('Staff Directory'!$C$5:$C$594,MATCH($B1839,'Staff Directory'!$A$5:$A$594,0)),""))</f>
        <v>PSW</v>
      </c>
      <c r="E1839" s="19">
        <f>IF($B1839="","",IFERROR(INDEX('Staff Directory'!$D$5:$D$594,MATCH($B1839,'Staff Directory'!$A$5:$A$594,0)),""))</f>
        <v>0</v>
      </c>
      <c r="F1839" s="9" t="s">
        <v>191</v>
      </c>
      <c r="G1839" s="18" t="str">
        <f>IF($F1839="","",IFERROR(INDEX(Items!$B$5:$B$597,MATCH($F1839,Items!$A$5:$A$597,0)),"⚠ not in Items"))</f>
        <v>Sanitizer</v>
      </c>
      <c r="H1839" s="19" t="str">
        <f>IF($F1839="","",IFERROR(INDEX(Items!$C$5:$C$597,MATCH($F1839,Items!$A$5:$A$597,0)),""))</f>
        <v>236 ML</v>
      </c>
      <c r="I1839" s="23">
        <f>IF($F1839="","",IFERROR(INDEX(Items!$E$5:$E$597,MATCH($F1839,Items!$A$5:$A$597,0)),""))</f>
        <v>1</v>
      </c>
      <c r="J1839" s="115">
        <f>IF(tblIssues[[#This Row],[Qty Override]]&lt;&gt;"",tblIssues[[#This Row],[Qty Override]],IF(tblIssues[[#This Row],[Standard Issue]]="","",tblIssues[[#This Row],[Standard Issue]]))</f>
        <v>1</v>
      </c>
      <c r="K1839" s="20">
        <f>IF($F1839="","",IFERROR(INDEX(Items!$D$5:$D$597,MATCH($F1839,Items!$A$5:$A$597,0)),""))</f>
        <v>1E-4</v>
      </c>
      <c r="L1839" s="21">
        <f t="shared" si="316"/>
        <v>1E-4</v>
      </c>
      <c r="M1839" s="9" t="str">
        <f t="shared" si="314"/>
        <v>20-21734-5</v>
      </c>
      <c r="N1839" s="24">
        <f>IF($A1839="","",WORKDAY($A1839,Settings!$C$9,HolidayDates))</f>
        <v>46232</v>
      </c>
      <c r="O1839" s="24">
        <f>IF($N1839="","",WORKDAY($N1839,Settings!$C$10,HolidayDates))</f>
        <v>46272</v>
      </c>
      <c r="P1839" s="10" t="s">
        <v>501</v>
      </c>
      <c r="Q1839" s="52" t="str">
        <f t="shared" si="317"/>
        <v>Collected</v>
      </c>
      <c r="R1839" s="55" t="str">
        <f t="shared" si="318"/>
        <v>2026-07</v>
      </c>
      <c r="S1839" s="55">
        <f>IF(OR($B1839="",$F1839="",$R1839=""),"",SUMIFS(tblIssues[Qty Issued],tblIssues[Staff ID],$B1839,tblIssues[Item Name],$F1839,tblIssues[Month],$R1839))</f>
        <v>1</v>
      </c>
      <c r="T1839" s="56">
        <f>IF($I1839="","",$I1839*Settings!$C$11)</f>
        <v>1</v>
      </c>
      <c r="U1839" s="57" t="str">
        <f t="shared" si="315"/>
        <v>OK</v>
      </c>
      <c r="V1839" s="55" t="str">
        <f t="shared" si="319"/>
        <v/>
      </c>
      <c r="W1839" s="55" t="str">
        <f>IF($V1839="","",IF(COUNTIF($V$5:$V1839,$V1839)=1,1,""))</f>
        <v/>
      </c>
      <c r="X1839" s="58" t="str">
        <f>IF($W1839="","",MAX($X$4:X1838)+1)</f>
        <v/>
      </c>
      <c r="Y1839" s="62"/>
      <c r="Z1839" s="62"/>
      <c r="AA1839" s="64" t="str">
        <f>IF($C1839="","",IFERROR(INDEX('Staff Directory'!$E$5:$E$594,MATCH($C1839,'Staff Directory'!$B$5:$B$594,0)),""))</f>
        <v>firstname237.lastname237@example.com</v>
      </c>
      <c r="AB1839" s="64" t="str">
        <f>IF($C1839="","",IF(ISNUMBER(SEARCH($D1839,Settings!$C$15)),"Pickup","Dispatch"))</f>
        <v>Pickup</v>
      </c>
      <c r="AC1839" s="64" t="str">
        <f t="shared" si="320"/>
        <v>Supply order ready for pickup</v>
      </c>
      <c r="AD1839" s="64" t="str">
        <f t="shared" si="311"/>
        <v>Dear PSW,
Your order is ready for pickup from Sample Branch, Wed-Fri 9am-4pm.</v>
      </c>
      <c r="AE1839" s="64" t="str">
        <f t="shared" si="312"/>
        <v>mailto:firstname237.lastname237@example.com?subject=Supply%20order%20ready%20for%20pickup&amp;body=Dear%20PSW%2C%0A%0AYour%20order%20is%20ready%20for%20pickup%20from%20Sample%20Branch%2C%20Wed-Fri%209am-4pm.</v>
      </c>
      <c r="AF1839" s="89" t="str">
        <f t="shared" si="321"/>
        <v>Draft email</v>
      </c>
      <c r="AG1839" s="64" t="str">
        <f>IF($C1839="","",IFERROR(INDEX('Staff Directory'!$K$595:$K$599,MATCH($C1839,'Staff Directory'!$B$5:$B$599,0)),$D1839))</f>
        <v>PSW</v>
      </c>
      <c r="AH1839" t="str">
        <f>IF($C1839="","",IFERROR(INDEX('Staff Directory'!$I$595:$I$599,MATCH($C1839,'Staff Directory'!$B$5:$B$599,0))&amp;" "&amp;INDEX('Staff Directory'!$J$595:$J$599,MATCH($C1839,'Staff Directory'!$B$5:$B$599,0)),$AG1839))</f>
        <v>PSW</v>
      </c>
      <c r="AI1839" s="102"/>
      <c r="AJ1839" s="101">
        <f>IF($F1839="","",SUMIFS($J$5:$J1839,$F$5:$F1839,$F1839))</f>
        <v>246</v>
      </c>
      <c r="AK1839" s="101">
        <f t="shared" si="313"/>
        <v>246</v>
      </c>
      <c r="AL1839" s="66" t="str" cm="1">
        <f t="array" ref="AL1839">IF($F1839="","",IFERROR(INDEX('Lot Balance'!$B$5:$B$500,MATCH(1,INDEX(('Lot Balance'!$A$5:$A$500=$F1839)*('Lot Balance'!$K$5:$K$500&lt;$AK1839)*('Lot Balance'!$K$5:$K$500+'Lot Balance'!$D$5:$D$500&gt;=$AK1839),0),0)),""))</f>
        <v>20-21734-5</v>
      </c>
      <c r="AM1839" s="66" t="str" cm="1">
        <f t="array" ref="AM1839">IF($F1839="","",IFERROR(INDEX('Lot Balance'!$B$5:$B$500,MATCH(1,INDEX(('Lot Balance'!$A$5:$A$500=$F1839)*('Lot Balance'!$K$5:$K$500&lt;$AJ1839)*('Lot Balance'!$K$5:$K$500+'Lot Balance'!$D$5:$D$500&gt;=$AJ1839),0),0)),""))</f>
        <v>20-21734-5</v>
      </c>
      <c r="AN1839" s="66" t="str">
        <f>IF($F1839="","",IF($AI1839&lt;&gt;"",IF(COUNTIFS('Lot Balance'!$A$5:$A$500,$F1839,'Lot Balance'!$B$5:$B$500,$AI1839)=0,"⚠ override is not a lot of this item",IF($AI1839=$AL1839,"Override = FEFO","Override - FEFO says "&amp;$AL1839)),IF($AL1839="","⚠ no receipt on file for this item",IF($AM1839&lt;&gt;$AL1839,"FEFO auto - split, also "&amp;$AM1839,"FEFO auto"))))</f>
        <v>FEFO auto</v>
      </c>
      <c r="AO1839" s="114"/>
    </row>
    <row r="1840" spans="1:41" x14ac:dyDescent="0.35">
      <c r="A1840" s="74">
        <v>46224</v>
      </c>
      <c r="B1840" s="18" t="str">
        <f>IF($C1840="","",IFERROR(INDEX('Staff Directory'!$A$5:$A$594,MATCH($C1840,'Staff Directory'!$B$5:$B$594,0)),"⚠ unknown staff"))</f>
        <v>PSW-174-TBD</v>
      </c>
      <c r="C1840" s="49" t="s">
        <v>1153</v>
      </c>
      <c r="D1840" s="19" t="str">
        <f>IF($B1840="","",IFERROR(INDEX('Staff Directory'!$C$5:$C$594,MATCH($B1840,'Staff Directory'!$A$5:$A$594,0)),""))</f>
        <v>PSW</v>
      </c>
      <c r="E1840" s="19">
        <f>IF($B1840="","",IFERROR(INDEX('Staff Directory'!$D$5:$D$594,MATCH($B1840,'Staff Directory'!$A$5:$A$594,0)),""))</f>
        <v>0</v>
      </c>
      <c r="F1840" s="9" t="s">
        <v>115</v>
      </c>
      <c r="G1840" s="18" t="str">
        <f>IF($F1840="","",IFERROR(INDEX(Items!$B$5:$B$597,MATCH($F1840,Items!$A$5:$A$597,0)),"⚠ not in Items"))</f>
        <v>Wipes</v>
      </c>
      <c r="H1840" s="19">
        <f>IF($F1840="","",IFERROR(INDEX(Items!$C$5:$C$597,MATCH($F1840,Items!$A$5:$A$597,0)),""))</f>
        <v>80</v>
      </c>
      <c r="I1840" s="23">
        <f>IF($F1840="","",IFERROR(INDEX(Items!$E$5:$E$597,MATCH($F1840,Items!$A$5:$A$597,0)),""))</f>
        <v>80</v>
      </c>
      <c r="J1840" s="115">
        <f>IF(tblIssues[[#This Row],[Qty Override]]&lt;&gt;"",tblIssues[[#This Row],[Qty Override]],IF(tblIssues[[#This Row],[Standard Issue]]="","",tblIssues[[#This Row],[Standard Issue]]))</f>
        <v>80</v>
      </c>
      <c r="K1840" s="20">
        <f>IF($F1840="","",IFERROR(INDEX(Items!$D$5:$D$597,MATCH($F1840,Items!$A$5:$A$597,0)),""))</f>
        <v>0.1</v>
      </c>
      <c r="L1840" s="21">
        <f t="shared" si="316"/>
        <v>8</v>
      </c>
      <c r="M1840" s="9" t="str">
        <f t="shared" si="314"/>
        <v>LYSL500290</v>
      </c>
      <c r="N1840" s="24">
        <f>IF($A1840="","",WORKDAY($A1840,Settings!$C$9,HolidayDates))</f>
        <v>46232</v>
      </c>
      <c r="O1840" s="24">
        <f>IF($N1840="","",WORKDAY($N1840,Settings!$C$10,HolidayDates))</f>
        <v>46272</v>
      </c>
      <c r="P1840" s="10" t="s">
        <v>501</v>
      </c>
      <c r="Q1840" s="52" t="str">
        <f t="shared" si="317"/>
        <v>Collected</v>
      </c>
      <c r="R1840" s="55" t="str">
        <f t="shared" si="318"/>
        <v>2026-07</v>
      </c>
      <c r="S1840" s="55">
        <f>IF(OR($B1840="",$F1840="",$R1840=""),"",SUMIFS(tblIssues[Qty Issued],tblIssues[Staff ID],$B1840,tblIssues[Item Name],$F1840,tblIssues[Month],$R1840))</f>
        <v>80</v>
      </c>
      <c r="T1840" s="56">
        <f>IF($I1840="","",$I1840*Settings!$C$11)</f>
        <v>80</v>
      </c>
      <c r="U1840" s="57" t="str">
        <f t="shared" si="315"/>
        <v>OK</v>
      </c>
      <c r="V1840" s="55" t="str">
        <f t="shared" si="319"/>
        <v/>
      </c>
      <c r="W1840" s="55" t="str">
        <f>IF($V1840="","",IF(COUNTIF($V$5:$V1840,$V1840)=1,1,""))</f>
        <v/>
      </c>
      <c r="X1840" s="58" t="str">
        <f>IF($W1840="","",MAX($X$4:X1839)+1)</f>
        <v/>
      </c>
      <c r="Y1840" s="62"/>
      <c r="Z1840" s="62"/>
      <c r="AA1840" s="64" t="str">
        <f>IF($C1840="","",IFERROR(INDEX('Staff Directory'!$E$5:$E$594,MATCH($C1840,'Staff Directory'!$B$5:$B$594,0)),""))</f>
        <v>firstname237.lastname237@example.com</v>
      </c>
      <c r="AB1840" s="64" t="str">
        <f>IF($C1840="","",IF(ISNUMBER(SEARCH($D1840,Settings!$C$15)),"Pickup","Dispatch"))</f>
        <v>Pickup</v>
      </c>
      <c r="AC1840" s="64" t="str">
        <f t="shared" si="320"/>
        <v>Supply order ready for pickup</v>
      </c>
      <c r="AD1840" s="64" t="str">
        <f t="shared" si="311"/>
        <v>Dear PSW,
Your order is ready for pickup from Sample Branch, Wed-Fri 9am-4pm.</v>
      </c>
      <c r="AE1840" s="64" t="str">
        <f t="shared" si="312"/>
        <v>mailto:firstname237.lastname237@example.com?subject=Supply%20order%20ready%20for%20pickup&amp;body=Dear%20PSW%2C%0A%0AYour%20order%20is%20ready%20for%20pickup%20from%20Sample%20Branch%2C%20Wed-Fri%209am-4pm.</v>
      </c>
      <c r="AF1840" s="89" t="str">
        <f t="shared" si="321"/>
        <v>Draft email</v>
      </c>
      <c r="AG1840" s="64" t="str">
        <f>IF($C1840="","",IFERROR(INDEX('Staff Directory'!$K$595:$K$599,MATCH($C1840,'Staff Directory'!$B$5:$B$599,0)),$D1840))</f>
        <v>PSW</v>
      </c>
      <c r="AH1840" t="str">
        <f>IF($C1840="","",IFERROR(INDEX('Staff Directory'!$I$595:$I$599,MATCH($C1840,'Staff Directory'!$B$5:$B$599,0))&amp;" "&amp;INDEX('Staff Directory'!$J$595:$J$599,MATCH($C1840,'Staff Directory'!$B$5:$B$599,0)),$AG1840))</f>
        <v>PSW</v>
      </c>
      <c r="AI1840" s="102"/>
      <c r="AJ1840" s="101">
        <f>IF($F1840="","",SUMIFS($J$5:$J1840,$F$5:$F1840,$F1840))</f>
        <v>24320</v>
      </c>
      <c r="AK1840" s="101">
        <f t="shared" si="313"/>
        <v>24241</v>
      </c>
      <c r="AL1840" s="66" t="str" cm="1">
        <f t="array" ref="AL1840">IF($F1840="","",IFERROR(INDEX('Lot Balance'!$B$5:$B$500,MATCH(1,INDEX(('Lot Balance'!$A$5:$A$500=$F1840)*('Lot Balance'!$K$5:$K$500&lt;$AK1840)*('Lot Balance'!$K$5:$K$500+'Lot Balance'!$D$5:$D$500&gt;=$AK1840),0),0)),""))</f>
        <v>LYSL500290</v>
      </c>
      <c r="AM1840" s="66" t="str" cm="1">
        <f t="array" ref="AM1840">IF($F1840="","",IFERROR(INDEX('Lot Balance'!$B$5:$B$500,MATCH(1,INDEX(('Lot Balance'!$A$5:$A$500=$F1840)*('Lot Balance'!$K$5:$K$500&lt;$AJ1840)*('Lot Balance'!$K$5:$K$500+'Lot Balance'!$D$5:$D$500&gt;=$AJ1840),0),0)),""))</f>
        <v>LYSL500290</v>
      </c>
      <c r="AN1840" s="66" t="str">
        <f>IF($F1840="","",IF($AI1840&lt;&gt;"",IF(COUNTIFS('Lot Balance'!$A$5:$A$500,$F1840,'Lot Balance'!$B$5:$B$500,$AI1840)=0,"⚠ override is not a lot of this item",IF($AI1840=$AL1840,"Override = FEFO","Override - FEFO says "&amp;$AL1840)),IF($AL1840="","⚠ no receipt on file for this item",IF($AM1840&lt;&gt;$AL1840,"FEFO auto - split, also "&amp;$AM1840,"FEFO auto"))))</f>
        <v>FEFO auto</v>
      </c>
      <c r="AO1840" s="114"/>
    </row>
    <row r="1841" spans="1:41" x14ac:dyDescent="0.35">
      <c r="A1841" s="74">
        <v>46224</v>
      </c>
      <c r="B1841" s="18" t="str">
        <f>IF($C1841="","",IFERROR(INDEX('Staff Directory'!$A$5:$A$594,MATCH($C1841,'Staff Directory'!$B$5:$B$594,0)),"⚠ unknown staff"))</f>
        <v>PSW-174-TBD</v>
      </c>
      <c r="C1841" s="49" t="s">
        <v>1153</v>
      </c>
      <c r="D1841" s="19" t="str">
        <f>IF($B1841="","",IFERROR(INDEX('Staff Directory'!$C$5:$C$594,MATCH($B1841,'Staff Directory'!$A$5:$A$594,0)),""))</f>
        <v>PSW</v>
      </c>
      <c r="E1841" s="19">
        <f>IF($B1841="","",IFERROR(INDEX('Staff Directory'!$D$5:$D$594,MATCH($B1841,'Staff Directory'!$A$5:$A$594,0)),""))</f>
        <v>0</v>
      </c>
      <c r="F1841" s="9" t="s">
        <v>156</v>
      </c>
      <c r="G1841" s="18" t="str">
        <f>IF($F1841="","",IFERROR(INDEX(Items!$B$5:$B$597,MATCH($F1841,Items!$A$5:$A$597,0)),"⚠ not in Items"))</f>
        <v>Masks</v>
      </c>
      <c r="H1841" s="19" t="str">
        <f>IF($F1841="","",IFERROR(INDEX(Items!$C$5:$C$597,MATCH($F1841,Items!$A$5:$A$597,0)),""))</f>
        <v>One Size</v>
      </c>
      <c r="I1841" s="23">
        <f>IF($F1841="","",IFERROR(INDEX(Items!$E$5:$E$597,MATCH($F1841,Items!$A$5:$A$597,0)),""))</f>
        <v>50</v>
      </c>
      <c r="J1841" s="115">
        <f>IF(tblIssues[[#This Row],[Qty Override]]&lt;&gt;"",tblIssues[[#This Row],[Qty Override]],IF(tblIssues[[#This Row],[Standard Issue]]="","",tblIssues[[#This Row],[Standard Issue]]))</f>
        <v>50</v>
      </c>
      <c r="K1841" s="20">
        <f>IF($F1841="","",IFERROR(INDEX(Items!$D$5:$D$597,MATCH($F1841,Items!$A$5:$A$597,0)),""))</f>
        <v>0.25</v>
      </c>
      <c r="L1841" s="21">
        <f t="shared" si="316"/>
        <v>12.5</v>
      </c>
      <c r="M1841" s="9" t="str">
        <f t="shared" si="314"/>
        <v>LV2-10040-2</v>
      </c>
      <c r="N1841" s="24">
        <f>IF($A1841="","",WORKDAY($A1841,Settings!$C$9,HolidayDates))</f>
        <v>46232</v>
      </c>
      <c r="O1841" s="24">
        <f>IF($N1841="","",WORKDAY($N1841,Settings!$C$10,HolidayDates))</f>
        <v>46272</v>
      </c>
      <c r="P1841" s="10" t="s">
        <v>501</v>
      </c>
      <c r="Q1841" s="52" t="str">
        <f t="shared" si="317"/>
        <v>Collected</v>
      </c>
      <c r="R1841" s="55" t="str">
        <f t="shared" si="318"/>
        <v>2026-07</v>
      </c>
      <c r="S1841" s="55">
        <f>IF(OR($B1841="",$F1841="",$R1841=""),"",SUMIFS(tblIssues[Qty Issued],tblIssues[Staff ID],$B1841,tblIssues[Item Name],$F1841,tblIssues[Month],$R1841))</f>
        <v>50</v>
      </c>
      <c r="T1841" s="56">
        <f>IF($I1841="","",$I1841*Settings!$C$11)</f>
        <v>50</v>
      </c>
      <c r="U1841" s="57" t="str">
        <f t="shared" si="315"/>
        <v>OK</v>
      </c>
      <c r="V1841" s="55" t="str">
        <f t="shared" si="319"/>
        <v/>
      </c>
      <c r="W1841" s="55" t="str">
        <f>IF($V1841="","",IF(COUNTIF($V$5:$V1841,$V1841)=1,1,""))</f>
        <v/>
      </c>
      <c r="X1841" s="58" t="str">
        <f>IF($W1841="","",MAX($X$4:X1840)+1)</f>
        <v/>
      </c>
      <c r="Y1841" s="62"/>
      <c r="Z1841" s="62"/>
      <c r="AA1841" s="64" t="str">
        <f>IF($C1841="","",IFERROR(INDEX('Staff Directory'!$E$5:$E$594,MATCH($C1841,'Staff Directory'!$B$5:$B$594,0)),""))</f>
        <v>firstname237.lastname237@example.com</v>
      </c>
      <c r="AB1841" s="64" t="str">
        <f>IF($C1841="","",IF(ISNUMBER(SEARCH($D1841,Settings!$C$15)),"Pickup","Dispatch"))</f>
        <v>Pickup</v>
      </c>
      <c r="AC1841" s="64" t="str">
        <f t="shared" si="320"/>
        <v>Supply order ready for pickup</v>
      </c>
      <c r="AD1841" s="64" t="str">
        <f t="shared" si="311"/>
        <v>Dear PSW,
Your order is ready for pickup from Sample Branch, Wed-Fri 9am-4pm.</v>
      </c>
      <c r="AE1841" s="64" t="str">
        <f t="shared" si="312"/>
        <v>mailto:firstname237.lastname237@example.com?subject=Supply%20order%20ready%20for%20pickup&amp;body=Dear%20PSW%2C%0A%0AYour%20order%20is%20ready%20for%20pickup%20from%20Sample%20Branch%2C%20Wed-Fri%209am-4pm.</v>
      </c>
      <c r="AF1841" s="89" t="str">
        <f t="shared" si="321"/>
        <v>Draft email</v>
      </c>
      <c r="AG1841" s="64" t="str">
        <f>IF($C1841="","",IFERROR(INDEX('Staff Directory'!$K$595:$K$599,MATCH($C1841,'Staff Directory'!$B$5:$B$599,0)),$D1841))</f>
        <v>PSW</v>
      </c>
      <c r="AH1841" t="str">
        <f>IF($C1841="","",IFERROR(INDEX('Staff Directory'!$I$595:$I$599,MATCH($C1841,'Staff Directory'!$B$5:$B$599,0))&amp;" "&amp;INDEX('Staff Directory'!$J$595:$J$599,MATCH($C1841,'Staff Directory'!$B$5:$B$599,0)),$AG1841))</f>
        <v>PSW</v>
      </c>
      <c r="AI1841" s="102"/>
      <c r="AJ1841" s="101">
        <f>IF($F1841="","",SUMIFS($J$5:$J1841,$F$5:$F1841,$F1841))</f>
        <v>15000</v>
      </c>
      <c r="AK1841" s="101">
        <f t="shared" si="313"/>
        <v>14951</v>
      </c>
      <c r="AL1841" s="66" t="str" cm="1">
        <f t="array" ref="AL1841">IF($F1841="","",IFERROR(INDEX('Lot Balance'!$B$5:$B$500,MATCH(1,INDEX(('Lot Balance'!$A$5:$A$500=$F1841)*('Lot Balance'!$K$5:$K$500&lt;$AK1841)*('Lot Balance'!$K$5:$K$500+'Lot Balance'!$D$5:$D$500&gt;=$AK1841),0),0)),""))</f>
        <v>LV2-10040-2</v>
      </c>
      <c r="AM1841" s="66" t="str" cm="1">
        <f t="array" ref="AM1841">IF($F1841="","",IFERROR(INDEX('Lot Balance'!$B$5:$B$500,MATCH(1,INDEX(('Lot Balance'!$A$5:$A$500=$F1841)*('Lot Balance'!$K$5:$K$500&lt;$AJ1841)*('Lot Balance'!$K$5:$K$500+'Lot Balance'!$D$5:$D$500&gt;=$AJ1841),0),0)),""))</f>
        <v>LV2-10040-2</v>
      </c>
      <c r="AN1841" s="66" t="str">
        <f>IF($F1841="","",IF($AI1841&lt;&gt;"",IF(COUNTIFS('Lot Balance'!$A$5:$A$500,$F1841,'Lot Balance'!$B$5:$B$500,$AI1841)=0,"⚠ override is not a lot of this item",IF($AI1841=$AL1841,"Override = FEFO","Override - FEFO says "&amp;$AL1841)),IF($AL1841="","⚠ no receipt on file for this item",IF($AM1841&lt;&gt;$AL1841,"FEFO auto - split, also "&amp;$AM1841,"FEFO auto"))))</f>
        <v>FEFO auto</v>
      </c>
      <c r="AO1841" s="114"/>
    </row>
    <row r="1842" spans="1:41" x14ac:dyDescent="0.35">
      <c r="A1842" s="74">
        <v>46224</v>
      </c>
      <c r="B1842" s="18" t="str">
        <f>IF($C1842="","",IFERROR(INDEX('Staff Directory'!$A$5:$A$594,MATCH($C1842,'Staff Directory'!$B$5:$B$594,0)),"⚠ unknown staff"))</f>
        <v>PSW-044-A4</v>
      </c>
      <c r="C1842" s="49" t="s">
        <v>1019</v>
      </c>
      <c r="D1842" s="19" t="str">
        <f>IF($B1842="","",IFERROR(INDEX('Staff Directory'!$C$5:$C$594,MATCH($B1842,'Staff Directory'!$A$5:$A$594,0)),""))</f>
        <v>PSW</v>
      </c>
      <c r="E1842" s="19" t="str">
        <f>IF($B1842="","",IFERROR(INDEX('Staff Directory'!$D$5:$D$594,MATCH($B1842,'Staff Directory'!$A$5:$A$594,0)),""))</f>
        <v>A4</v>
      </c>
      <c r="F1842" s="9" t="s">
        <v>127</v>
      </c>
      <c r="G1842" s="18" t="str">
        <f>IF($F1842="","",IFERROR(INDEX(Items!$B$5:$B$597,MATCH($F1842,Items!$A$5:$A$597,0)),"⚠ not in Items"))</f>
        <v>Gloves</v>
      </c>
      <c r="H1842" s="19" t="str">
        <f>IF($F1842="","",IFERROR(INDEX(Items!$C$5:$C$597,MATCH($F1842,Items!$A$5:$A$597,0)),""))</f>
        <v>Medium</v>
      </c>
      <c r="I1842" s="23">
        <f>IF($F1842="","",IFERROR(INDEX(Items!$E$5:$E$597,MATCH($F1842,Items!$A$5:$A$597,0)),""))</f>
        <v>500</v>
      </c>
      <c r="J1842" s="115">
        <f>IF(tblIssues[[#This Row],[Qty Override]]&lt;&gt;"",tblIssues[[#This Row],[Qty Override]],IF(tblIssues[[#This Row],[Standard Issue]]="","",tblIssues[[#This Row],[Standard Issue]]))</f>
        <v>500</v>
      </c>
      <c r="K1842" s="20">
        <f>IF($F1842="","",IFERROR(INDEX(Items!$D$5:$D$597,MATCH($F1842,Items!$A$5:$A$597,0)),""))</f>
        <v>5.5E-2</v>
      </c>
      <c r="L1842" s="21">
        <f t="shared" si="316"/>
        <v>27.5</v>
      </c>
      <c r="M1842" s="9" t="str">
        <f t="shared" si="314"/>
        <v>ZIM511139896</v>
      </c>
      <c r="N1842" s="24">
        <f>IF($A1842="","",WORKDAY($A1842,Settings!$C$9,HolidayDates))</f>
        <v>46232</v>
      </c>
      <c r="O1842" s="24">
        <f>IF($N1842="","",WORKDAY($N1842,Settings!$C$10,HolidayDates))</f>
        <v>46272</v>
      </c>
      <c r="P1842" s="10" t="s">
        <v>501</v>
      </c>
      <c r="Q1842" s="52" t="str">
        <f t="shared" si="317"/>
        <v>Collected</v>
      </c>
      <c r="R1842" s="55" t="str">
        <f t="shared" si="318"/>
        <v>2026-07</v>
      </c>
      <c r="S1842" s="55">
        <f>IF(OR($B1842="",$F1842="",$R1842=""),"",SUMIFS(tblIssues[Qty Issued],tblIssues[Staff ID],$B1842,tblIssues[Item Name],$F1842,tblIssues[Month],$R1842))</f>
        <v>500</v>
      </c>
      <c r="T1842" s="56">
        <f>IF($I1842="","",$I1842*Settings!$C$11)</f>
        <v>500</v>
      </c>
      <c r="U1842" s="57" t="str">
        <f t="shared" si="315"/>
        <v>OK</v>
      </c>
      <c r="V1842" s="55" t="str">
        <f t="shared" si="319"/>
        <v/>
      </c>
      <c r="W1842" s="55" t="str">
        <f>IF($V1842="","",IF(COUNTIF($V$5:$V1842,$V1842)=1,1,""))</f>
        <v/>
      </c>
      <c r="X1842" s="58" t="str">
        <f>IF($W1842="","",MAX($X$4:X1841)+1)</f>
        <v/>
      </c>
      <c r="Y1842" s="62"/>
      <c r="Z1842" s="62"/>
      <c r="AA1842" s="64" t="str">
        <f>IF($C1842="","",IFERROR(INDEX('Staff Directory'!$E$5:$E$594,MATCH($C1842,'Staff Directory'!$B$5:$B$594,0)),""))</f>
        <v>firstname103.lastname103@example.com</v>
      </c>
      <c r="AB1842" s="64" t="str">
        <f>IF($C1842="","",IF(ISNUMBER(SEARCH($D1842,Settings!$C$15)),"Pickup","Dispatch"))</f>
        <v>Pickup</v>
      </c>
      <c r="AC1842" s="64" t="str">
        <f t="shared" si="320"/>
        <v>Supply order ready for pickup</v>
      </c>
      <c r="AD1842" s="64" t="str">
        <f t="shared" si="311"/>
        <v>Dear PSW,
Your order is ready for pickup from Sample Branch, Wed-Fri 9am-4pm.</v>
      </c>
      <c r="AE1842" s="64" t="str">
        <f t="shared" si="312"/>
        <v>mailto:firstname103.lastname103@example.com?subject=Supply%20order%20ready%20for%20pickup&amp;body=Dear%20PSW%2C%0A%0AYour%20order%20is%20ready%20for%20pickup%20from%20Sample%20Branch%2C%20Wed-Fri%209am-4pm.</v>
      </c>
      <c r="AF1842" s="89" t="str">
        <f t="shared" si="321"/>
        <v>Draft email</v>
      </c>
      <c r="AG1842" s="64" t="str">
        <f>IF($C1842="","",IFERROR(INDEX('Staff Directory'!$K$595:$K$599,MATCH($C1842,'Staff Directory'!$B$5:$B$599,0)),$D1842))</f>
        <v>PSW</v>
      </c>
      <c r="AH1842" t="str">
        <f>IF($C1842="","",IFERROR(INDEX('Staff Directory'!$I$595:$I$599,MATCH($C1842,'Staff Directory'!$B$5:$B$599,0))&amp;" "&amp;INDEX('Staff Directory'!$J$595:$J$599,MATCH($C1842,'Staff Directory'!$B$5:$B$599,0)),$AG1842))</f>
        <v>PSW</v>
      </c>
      <c r="AI1842" s="102"/>
      <c r="AJ1842" s="101">
        <f>IF($F1842="","",SUMIFS($J$5:$J1842,$F$5:$F1842,$F1842))</f>
        <v>110500</v>
      </c>
      <c r="AK1842" s="101">
        <f t="shared" si="313"/>
        <v>110001</v>
      </c>
      <c r="AL1842" s="66" t="str" cm="1">
        <f t="array" ref="AL1842">IF($F1842="","",IFERROR(INDEX('Lot Balance'!$B$5:$B$500,MATCH(1,INDEX(('Lot Balance'!$A$5:$A$500=$F1842)*('Lot Balance'!$K$5:$K$500&lt;$AK1842)*('Lot Balance'!$K$5:$K$500+'Lot Balance'!$D$5:$D$500&gt;=$AK1842),0),0)),""))</f>
        <v>ZIM511139896</v>
      </c>
      <c r="AM1842" s="66" t="str" cm="1">
        <f t="array" ref="AM1842">IF($F1842="","",IFERROR(INDEX('Lot Balance'!$B$5:$B$500,MATCH(1,INDEX(('Lot Balance'!$A$5:$A$500=$F1842)*('Lot Balance'!$K$5:$K$500&lt;$AJ1842)*('Lot Balance'!$K$5:$K$500+'Lot Balance'!$D$5:$D$500&gt;=$AJ1842),0),0)),""))</f>
        <v>ZIM511139896</v>
      </c>
      <c r="AN1842" s="66" t="str">
        <f>IF($F1842="","",IF($AI1842&lt;&gt;"",IF(COUNTIFS('Lot Balance'!$A$5:$A$500,$F1842,'Lot Balance'!$B$5:$B$500,$AI1842)=0,"⚠ override is not a lot of this item",IF($AI1842=$AL1842,"Override = FEFO","Override - FEFO says "&amp;$AL1842)),IF($AL1842="","⚠ no receipt on file for this item",IF($AM1842&lt;&gt;$AL1842,"FEFO auto - split, also "&amp;$AM1842,"FEFO auto"))))</f>
        <v>FEFO auto</v>
      </c>
      <c r="AO1842" s="114"/>
    </row>
    <row r="1843" spans="1:41" x14ac:dyDescent="0.35">
      <c r="A1843" s="74">
        <v>46224</v>
      </c>
      <c r="B1843" s="18" t="str">
        <f>IF($C1843="","",IFERROR(INDEX('Staff Directory'!$A$5:$A$594,MATCH($C1843,'Staff Directory'!$B$5:$B$594,0)),"⚠ unknown staff"))</f>
        <v>PSW-044-A4</v>
      </c>
      <c r="C1843" s="49" t="s">
        <v>1019</v>
      </c>
      <c r="D1843" s="19" t="str">
        <f>IF($B1843="","",IFERROR(INDEX('Staff Directory'!$C$5:$C$594,MATCH($B1843,'Staff Directory'!$A$5:$A$594,0)),""))</f>
        <v>PSW</v>
      </c>
      <c r="E1843" s="19" t="str">
        <f>IF($B1843="","",IFERROR(INDEX('Staff Directory'!$D$5:$D$594,MATCH($B1843,'Staff Directory'!$A$5:$A$594,0)),""))</f>
        <v>A4</v>
      </c>
      <c r="F1843" s="9" t="s">
        <v>191</v>
      </c>
      <c r="G1843" s="18" t="str">
        <f>IF($F1843="","",IFERROR(INDEX(Items!$B$5:$B$597,MATCH($F1843,Items!$A$5:$A$597,0)),"⚠ not in Items"))</f>
        <v>Sanitizer</v>
      </c>
      <c r="H1843" s="19" t="str">
        <f>IF($F1843="","",IFERROR(INDEX(Items!$C$5:$C$597,MATCH($F1843,Items!$A$5:$A$597,0)),""))</f>
        <v>236 ML</v>
      </c>
      <c r="I1843" s="23">
        <f>IF($F1843="","",IFERROR(INDEX(Items!$E$5:$E$597,MATCH($F1843,Items!$A$5:$A$597,0)),""))</f>
        <v>1</v>
      </c>
      <c r="J1843" s="115">
        <f>IF(tblIssues[[#This Row],[Qty Override]]&lt;&gt;"",tblIssues[[#This Row],[Qty Override]],IF(tblIssues[[#This Row],[Standard Issue]]="","",tblIssues[[#This Row],[Standard Issue]]))</f>
        <v>1</v>
      </c>
      <c r="K1843" s="20">
        <f>IF($F1843="","",IFERROR(INDEX(Items!$D$5:$D$597,MATCH($F1843,Items!$A$5:$A$597,0)),""))</f>
        <v>1E-4</v>
      </c>
      <c r="L1843" s="21">
        <f t="shared" si="316"/>
        <v>1E-4</v>
      </c>
      <c r="M1843" s="9" t="str">
        <f t="shared" si="314"/>
        <v>20-21734-5</v>
      </c>
      <c r="N1843" s="24">
        <f>IF($A1843="","",WORKDAY($A1843,Settings!$C$9,HolidayDates))</f>
        <v>46232</v>
      </c>
      <c r="O1843" s="24">
        <f>IF($N1843="","",WORKDAY($N1843,Settings!$C$10,HolidayDates))</f>
        <v>46272</v>
      </c>
      <c r="P1843" s="10" t="s">
        <v>501</v>
      </c>
      <c r="Q1843" s="52" t="str">
        <f t="shared" si="317"/>
        <v>Collected</v>
      </c>
      <c r="R1843" s="55" t="str">
        <f t="shared" si="318"/>
        <v>2026-07</v>
      </c>
      <c r="S1843" s="55">
        <f>IF(OR($B1843="",$F1843="",$R1843=""),"",SUMIFS(tblIssues[Qty Issued],tblIssues[Staff ID],$B1843,tblIssues[Item Name],$F1843,tblIssues[Month],$R1843))</f>
        <v>1</v>
      </c>
      <c r="T1843" s="56">
        <f>IF($I1843="","",$I1843*Settings!$C$11)</f>
        <v>1</v>
      </c>
      <c r="U1843" s="57" t="str">
        <f t="shared" si="315"/>
        <v>OK</v>
      </c>
      <c r="V1843" s="55" t="str">
        <f t="shared" si="319"/>
        <v/>
      </c>
      <c r="W1843" s="55" t="str">
        <f>IF($V1843="","",IF(COUNTIF($V$5:$V1843,$V1843)=1,1,""))</f>
        <v/>
      </c>
      <c r="X1843" s="58" t="str">
        <f>IF($W1843="","",MAX($X$4:X1842)+1)</f>
        <v/>
      </c>
      <c r="Y1843" s="62"/>
      <c r="Z1843" s="62"/>
      <c r="AA1843" s="64" t="str">
        <f>IF($C1843="","",IFERROR(INDEX('Staff Directory'!$E$5:$E$594,MATCH($C1843,'Staff Directory'!$B$5:$B$594,0)),""))</f>
        <v>firstname103.lastname103@example.com</v>
      </c>
      <c r="AB1843" s="64" t="str">
        <f>IF($C1843="","",IF(ISNUMBER(SEARCH($D1843,Settings!$C$15)),"Pickup","Dispatch"))</f>
        <v>Pickup</v>
      </c>
      <c r="AC1843" s="64" t="str">
        <f t="shared" si="320"/>
        <v>Supply order ready for pickup</v>
      </c>
      <c r="AD1843" s="64" t="str">
        <f t="shared" si="311"/>
        <v>Dear PSW,
Your order is ready for pickup from Sample Branch, Wed-Fri 9am-4pm.</v>
      </c>
      <c r="AE1843" s="64" t="str">
        <f t="shared" si="312"/>
        <v>mailto:firstname103.lastname103@example.com?subject=Supply%20order%20ready%20for%20pickup&amp;body=Dear%20PSW%2C%0A%0AYour%20order%20is%20ready%20for%20pickup%20from%20Sample%20Branch%2C%20Wed-Fri%209am-4pm.</v>
      </c>
      <c r="AF1843" s="89" t="str">
        <f t="shared" si="321"/>
        <v>Draft email</v>
      </c>
      <c r="AG1843" s="64" t="str">
        <f>IF($C1843="","",IFERROR(INDEX('Staff Directory'!$K$595:$K$599,MATCH($C1843,'Staff Directory'!$B$5:$B$599,0)),$D1843))</f>
        <v>PSW</v>
      </c>
      <c r="AH1843" t="str">
        <f>IF($C1843="","",IFERROR(INDEX('Staff Directory'!$I$595:$I$599,MATCH($C1843,'Staff Directory'!$B$5:$B$599,0))&amp;" "&amp;INDEX('Staff Directory'!$J$595:$J$599,MATCH($C1843,'Staff Directory'!$B$5:$B$599,0)),$AG1843))</f>
        <v>PSW</v>
      </c>
      <c r="AI1843" s="102"/>
      <c r="AJ1843" s="101">
        <f>IF($F1843="","",SUMIFS($J$5:$J1843,$F$5:$F1843,$F1843))</f>
        <v>247</v>
      </c>
      <c r="AK1843" s="101">
        <f t="shared" si="313"/>
        <v>247</v>
      </c>
      <c r="AL1843" s="66" t="str" cm="1">
        <f t="array" ref="AL1843">IF($F1843="","",IFERROR(INDEX('Lot Balance'!$B$5:$B$500,MATCH(1,INDEX(('Lot Balance'!$A$5:$A$500=$F1843)*('Lot Balance'!$K$5:$K$500&lt;$AK1843)*('Lot Balance'!$K$5:$K$500+'Lot Balance'!$D$5:$D$500&gt;=$AK1843),0),0)),""))</f>
        <v>20-21734-5</v>
      </c>
      <c r="AM1843" s="66" t="str" cm="1">
        <f t="array" ref="AM1843">IF($F1843="","",IFERROR(INDEX('Lot Balance'!$B$5:$B$500,MATCH(1,INDEX(('Lot Balance'!$A$5:$A$500=$F1843)*('Lot Balance'!$K$5:$K$500&lt;$AJ1843)*('Lot Balance'!$K$5:$K$500+'Lot Balance'!$D$5:$D$500&gt;=$AJ1843),0),0)),""))</f>
        <v>20-21734-5</v>
      </c>
      <c r="AN1843" s="66" t="str">
        <f>IF($F1843="","",IF($AI1843&lt;&gt;"",IF(COUNTIFS('Lot Balance'!$A$5:$A$500,$F1843,'Lot Balance'!$B$5:$B$500,$AI1843)=0,"⚠ override is not a lot of this item",IF($AI1843=$AL1843,"Override = FEFO","Override - FEFO says "&amp;$AL1843)),IF($AL1843="","⚠ no receipt on file for this item",IF($AM1843&lt;&gt;$AL1843,"FEFO auto - split, also "&amp;$AM1843,"FEFO auto"))))</f>
        <v>FEFO auto</v>
      </c>
      <c r="AO1843" s="114"/>
    </row>
    <row r="1844" spans="1:41" x14ac:dyDescent="0.35">
      <c r="A1844" s="74">
        <v>46224</v>
      </c>
      <c r="B1844" s="18" t="str">
        <f>IF($C1844="","",IFERROR(INDEX('Staff Directory'!$A$5:$A$594,MATCH($C1844,'Staff Directory'!$B$5:$B$594,0)),"⚠ unknown staff"))</f>
        <v>PSW-044-A4</v>
      </c>
      <c r="C1844" s="49" t="s">
        <v>1019</v>
      </c>
      <c r="D1844" s="19" t="str">
        <f>IF($B1844="","",IFERROR(INDEX('Staff Directory'!$C$5:$C$594,MATCH($B1844,'Staff Directory'!$A$5:$A$594,0)),""))</f>
        <v>PSW</v>
      </c>
      <c r="E1844" s="19" t="str">
        <f>IF($B1844="","",IFERROR(INDEX('Staff Directory'!$D$5:$D$594,MATCH($B1844,'Staff Directory'!$A$5:$A$594,0)),""))</f>
        <v>A4</v>
      </c>
      <c r="F1844" s="9" t="s">
        <v>156</v>
      </c>
      <c r="G1844" s="18" t="str">
        <f>IF($F1844="","",IFERROR(INDEX(Items!$B$5:$B$597,MATCH($F1844,Items!$A$5:$A$597,0)),"⚠ not in Items"))</f>
        <v>Masks</v>
      </c>
      <c r="H1844" s="19" t="str">
        <f>IF($F1844="","",IFERROR(INDEX(Items!$C$5:$C$597,MATCH($F1844,Items!$A$5:$A$597,0)),""))</f>
        <v>One Size</v>
      </c>
      <c r="I1844" s="23">
        <f>IF($F1844="","",IFERROR(INDEX(Items!$E$5:$E$597,MATCH($F1844,Items!$A$5:$A$597,0)),""))</f>
        <v>50</v>
      </c>
      <c r="J1844" s="115">
        <f>IF(tblIssues[[#This Row],[Qty Override]]&lt;&gt;"",tblIssues[[#This Row],[Qty Override]],IF(tblIssues[[#This Row],[Standard Issue]]="","",tblIssues[[#This Row],[Standard Issue]]))</f>
        <v>50</v>
      </c>
      <c r="K1844" s="20">
        <f>IF($F1844="","",IFERROR(INDEX(Items!$D$5:$D$597,MATCH($F1844,Items!$A$5:$A$597,0)),""))</f>
        <v>0.25</v>
      </c>
      <c r="L1844" s="21">
        <f t="shared" si="316"/>
        <v>12.5</v>
      </c>
      <c r="M1844" s="9" t="str">
        <f t="shared" si="314"/>
        <v>LV2-10040-2</v>
      </c>
      <c r="N1844" s="24">
        <f>IF($A1844="","",WORKDAY($A1844,Settings!$C$9,HolidayDates))</f>
        <v>46232</v>
      </c>
      <c r="O1844" s="24">
        <f>IF($N1844="","",WORKDAY($N1844,Settings!$C$10,HolidayDates))</f>
        <v>46272</v>
      </c>
      <c r="P1844" s="10" t="s">
        <v>501</v>
      </c>
      <c r="Q1844" s="52" t="str">
        <f t="shared" si="317"/>
        <v>Collected</v>
      </c>
      <c r="R1844" s="55" t="str">
        <f t="shared" si="318"/>
        <v>2026-07</v>
      </c>
      <c r="S1844" s="55">
        <f>IF(OR($B1844="",$F1844="",$R1844=""),"",SUMIFS(tblIssues[Qty Issued],tblIssues[Staff ID],$B1844,tblIssues[Item Name],$F1844,tblIssues[Month],$R1844))</f>
        <v>50</v>
      </c>
      <c r="T1844" s="56">
        <f>IF($I1844="","",$I1844*Settings!$C$11)</f>
        <v>50</v>
      </c>
      <c r="U1844" s="57" t="str">
        <f t="shared" si="315"/>
        <v>OK</v>
      </c>
      <c r="V1844" s="55" t="str">
        <f t="shared" si="319"/>
        <v/>
      </c>
      <c r="W1844" s="55" t="str">
        <f>IF($V1844="","",IF(COUNTIF($V$5:$V1844,$V1844)=1,1,""))</f>
        <v/>
      </c>
      <c r="X1844" s="58" t="str">
        <f>IF($W1844="","",MAX($X$4:X1843)+1)</f>
        <v/>
      </c>
      <c r="Y1844" s="62"/>
      <c r="Z1844" s="62"/>
      <c r="AA1844" s="64" t="str">
        <f>IF($C1844="","",IFERROR(INDEX('Staff Directory'!$E$5:$E$594,MATCH($C1844,'Staff Directory'!$B$5:$B$594,0)),""))</f>
        <v>firstname103.lastname103@example.com</v>
      </c>
      <c r="AB1844" s="64" t="str">
        <f>IF($C1844="","",IF(ISNUMBER(SEARCH($D1844,Settings!$C$15)),"Pickup","Dispatch"))</f>
        <v>Pickup</v>
      </c>
      <c r="AC1844" s="64" t="str">
        <f t="shared" si="320"/>
        <v>Supply order ready for pickup</v>
      </c>
      <c r="AD1844" s="64" t="str">
        <f t="shared" si="311"/>
        <v>Dear PSW,
Your order is ready for pickup from Sample Branch, Wed-Fri 9am-4pm.</v>
      </c>
      <c r="AE1844" s="64" t="str">
        <f t="shared" si="312"/>
        <v>mailto:firstname103.lastname103@example.com?subject=Supply%20order%20ready%20for%20pickup&amp;body=Dear%20PSW%2C%0A%0AYour%20order%20is%20ready%20for%20pickup%20from%20Sample%20Branch%2C%20Wed-Fri%209am-4pm.</v>
      </c>
      <c r="AF1844" s="89" t="str">
        <f t="shared" si="321"/>
        <v>Draft email</v>
      </c>
      <c r="AG1844" s="64" t="str">
        <f>IF($C1844="","",IFERROR(INDEX('Staff Directory'!$K$595:$K$599,MATCH($C1844,'Staff Directory'!$B$5:$B$599,0)),$D1844))</f>
        <v>PSW</v>
      </c>
      <c r="AH1844" t="str">
        <f>IF($C1844="","",IFERROR(INDEX('Staff Directory'!$I$595:$I$599,MATCH($C1844,'Staff Directory'!$B$5:$B$599,0))&amp;" "&amp;INDEX('Staff Directory'!$J$595:$J$599,MATCH($C1844,'Staff Directory'!$B$5:$B$599,0)),$AG1844))</f>
        <v>PSW</v>
      </c>
      <c r="AI1844" s="102"/>
      <c r="AJ1844" s="101">
        <f>IF($F1844="","",SUMIFS($J$5:$J1844,$F$5:$F1844,$F1844))</f>
        <v>15050</v>
      </c>
      <c r="AK1844" s="101">
        <f t="shared" si="313"/>
        <v>15001</v>
      </c>
      <c r="AL1844" s="66" t="str" cm="1">
        <f t="array" ref="AL1844">IF($F1844="","",IFERROR(INDEX('Lot Balance'!$B$5:$B$500,MATCH(1,INDEX(('Lot Balance'!$A$5:$A$500=$F1844)*('Lot Balance'!$K$5:$K$500&lt;$AK1844)*('Lot Balance'!$K$5:$K$500+'Lot Balance'!$D$5:$D$500&gt;=$AK1844),0),0)),""))</f>
        <v>LV2-10040-2</v>
      </c>
      <c r="AM1844" s="66" t="str" cm="1">
        <f t="array" ref="AM1844">IF($F1844="","",IFERROR(INDEX('Lot Balance'!$B$5:$B$500,MATCH(1,INDEX(('Lot Balance'!$A$5:$A$500=$F1844)*('Lot Balance'!$K$5:$K$500&lt;$AJ1844)*('Lot Balance'!$K$5:$K$500+'Lot Balance'!$D$5:$D$500&gt;=$AJ1844),0),0)),""))</f>
        <v>LV2-10040-2</v>
      </c>
      <c r="AN1844" s="66" t="str">
        <f>IF($F1844="","",IF($AI1844&lt;&gt;"",IF(COUNTIFS('Lot Balance'!$A$5:$A$500,$F1844,'Lot Balance'!$B$5:$B$500,$AI1844)=0,"⚠ override is not a lot of this item",IF($AI1844=$AL1844,"Override = FEFO","Override - FEFO says "&amp;$AL1844)),IF($AL1844="","⚠ no receipt on file for this item",IF($AM1844&lt;&gt;$AL1844,"FEFO auto - split, also "&amp;$AM1844,"FEFO auto"))))</f>
        <v>FEFO auto</v>
      </c>
      <c r="AO1844" s="114"/>
    </row>
    <row r="1845" spans="1:41" x14ac:dyDescent="0.35">
      <c r="A1845" s="74">
        <v>46224</v>
      </c>
      <c r="B1845" s="18" t="str">
        <f>IF($C1845="","",IFERROR(INDEX('Staff Directory'!$A$5:$A$594,MATCH($C1845,'Staff Directory'!$B$5:$B$594,0)),"⚠ unknown staff"))</f>
        <v>PSW-184-TBD</v>
      </c>
      <c r="C1845" s="49" t="s">
        <v>1163</v>
      </c>
      <c r="D1845" s="19" t="str">
        <f>IF($B1845="","",IFERROR(INDEX('Staff Directory'!$C$5:$C$594,MATCH($B1845,'Staff Directory'!$A$5:$A$594,0)),""))</f>
        <v>PSW</v>
      </c>
      <c r="E1845" s="19">
        <f>IF($B1845="","",IFERROR(INDEX('Staff Directory'!$D$5:$D$594,MATCH($B1845,'Staff Directory'!$A$5:$A$594,0)),""))</f>
        <v>0</v>
      </c>
      <c r="F1845" s="9" t="s">
        <v>124</v>
      </c>
      <c r="G1845" s="18" t="str">
        <f>IF($F1845="","",IFERROR(INDEX(Items!$B$5:$B$597,MATCH($F1845,Items!$A$5:$A$597,0)),"⚠ not in Items"))</f>
        <v>Gloves</v>
      </c>
      <c r="H1845" s="19" t="str">
        <f>IF($F1845="","",IFERROR(INDEX(Items!$C$5:$C$597,MATCH($F1845,Items!$A$5:$A$597,0)),""))</f>
        <v>Large</v>
      </c>
      <c r="I1845" s="23">
        <f>IF($F1845="","",IFERROR(INDEX(Items!$E$5:$E$597,MATCH($F1845,Items!$A$5:$A$597,0)),""))</f>
        <v>500</v>
      </c>
      <c r="J1845" s="115">
        <f>IF(tblIssues[[#This Row],[Qty Override]]&lt;&gt;"",tblIssues[[#This Row],[Qty Override]],IF(tblIssues[[#This Row],[Standard Issue]]="","",tblIssues[[#This Row],[Standard Issue]]))</f>
        <v>500</v>
      </c>
      <c r="K1845" s="20">
        <f>IF($F1845="","",IFERROR(INDEX(Items!$D$5:$D$597,MATCH($F1845,Items!$A$5:$A$597,0)),""))</f>
        <v>5.5E-2</v>
      </c>
      <c r="L1845" s="21">
        <f t="shared" si="316"/>
        <v>27.5</v>
      </c>
      <c r="M1845" s="9" t="str">
        <f t="shared" si="314"/>
        <v>O17103</v>
      </c>
      <c r="N1845" s="24">
        <f>IF($A1845="","",WORKDAY($A1845,Settings!$C$9,HolidayDates))</f>
        <v>46232</v>
      </c>
      <c r="O1845" s="24">
        <f>IF($N1845="","",WORKDAY($N1845,Settings!$C$10,HolidayDates))</f>
        <v>46272</v>
      </c>
      <c r="P1845" s="10" t="s">
        <v>501</v>
      </c>
      <c r="Q1845" s="52" t="str">
        <f t="shared" si="317"/>
        <v>Collected</v>
      </c>
      <c r="R1845" s="55" t="str">
        <f t="shared" si="318"/>
        <v>2026-07</v>
      </c>
      <c r="S1845" s="55">
        <f>IF(OR($B1845="",$F1845="",$R1845=""),"",SUMIFS(tblIssues[Qty Issued],tblIssues[Staff ID],$B1845,tblIssues[Item Name],$F1845,tblIssues[Month],$R1845))</f>
        <v>500</v>
      </c>
      <c r="T1845" s="56">
        <f>IF($I1845="","",$I1845*Settings!$C$11)</f>
        <v>500</v>
      </c>
      <c r="U1845" s="57" t="str">
        <f t="shared" si="315"/>
        <v>OK</v>
      </c>
      <c r="V1845" s="55" t="str">
        <f t="shared" si="319"/>
        <v/>
      </c>
      <c r="W1845" s="55" t="str">
        <f>IF($V1845="","",IF(COUNTIF($V$5:$V1845,$V1845)=1,1,""))</f>
        <v/>
      </c>
      <c r="X1845" s="58" t="str">
        <f>IF($W1845="","",MAX($X$4:X1844)+1)</f>
        <v/>
      </c>
      <c r="Y1845" s="62"/>
      <c r="Z1845" s="62"/>
      <c r="AA1845" s="64" t="str">
        <f>IF($C1845="","",IFERROR(INDEX('Staff Directory'!$E$5:$E$594,MATCH($C1845,'Staff Directory'!$B$5:$B$594,0)),""))</f>
        <v>firstname247.lastname247@example.com</v>
      </c>
      <c r="AB1845" s="64" t="str">
        <f>IF($C1845="","",IF(ISNUMBER(SEARCH($D1845,Settings!$C$15)),"Pickup","Dispatch"))</f>
        <v>Pickup</v>
      </c>
      <c r="AC1845" s="64" t="str">
        <f t="shared" si="320"/>
        <v>Supply order ready for pickup</v>
      </c>
      <c r="AD1845" s="64" t="str">
        <f t="shared" si="311"/>
        <v>Dear PSW,
Your order is ready for pickup from Sample Branch, Wed-Fri 9am-4pm.</v>
      </c>
      <c r="AE1845" s="64" t="str">
        <f t="shared" si="312"/>
        <v>mailto:firstname247.lastname247@example.com?subject=Supply%20order%20ready%20for%20pickup&amp;body=Dear%20PSW%2C%0A%0AYour%20order%20is%20ready%20for%20pickup%20from%20Sample%20Branch%2C%20Wed-Fri%209am-4pm.</v>
      </c>
      <c r="AF1845" s="89" t="str">
        <f t="shared" si="321"/>
        <v>Draft email</v>
      </c>
      <c r="AG1845" s="64" t="str">
        <f>IF($C1845="","",IFERROR(INDEX('Staff Directory'!$K$595:$K$599,MATCH($C1845,'Staff Directory'!$B$5:$B$599,0)),$D1845))</f>
        <v>PSW</v>
      </c>
      <c r="AH1845" t="str">
        <f>IF($C1845="","",IFERROR(INDEX('Staff Directory'!$I$595:$I$599,MATCH($C1845,'Staff Directory'!$B$5:$B$599,0))&amp;" "&amp;INDEX('Staff Directory'!$J$595:$J$599,MATCH($C1845,'Staff Directory'!$B$5:$B$599,0)),$AG1845))</f>
        <v>PSW</v>
      </c>
      <c r="AI1845" s="102"/>
      <c r="AJ1845" s="101">
        <f>IF($F1845="","",SUMIFS($J$5:$J1845,$F$5:$F1845,$F1845))</f>
        <v>49000</v>
      </c>
      <c r="AK1845" s="101">
        <f t="shared" si="313"/>
        <v>48501</v>
      </c>
      <c r="AL1845" s="66" t="str" cm="1">
        <f t="array" ref="AL1845">IF($F1845="","",IFERROR(INDEX('Lot Balance'!$B$5:$B$500,MATCH(1,INDEX(('Lot Balance'!$A$5:$A$500=$F1845)*('Lot Balance'!$K$5:$K$500&lt;$AK1845)*('Lot Balance'!$K$5:$K$500+'Lot Balance'!$D$5:$D$500&gt;=$AK1845),0),0)),""))</f>
        <v>O17103</v>
      </c>
      <c r="AM1845" s="66" t="str" cm="1">
        <f t="array" ref="AM1845">IF($F1845="","",IFERROR(INDEX('Lot Balance'!$B$5:$B$500,MATCH(1,INDEX(('Lot Balance'!$A$5:$A$500=$F1845)*('Lot Balance'!$K$5:$K$500&lt;$AJ1845)*('Lot Balance'!$K$5:$K$500+'Lot Balance'!$D$5:$D$500&gt;=$AJ1845),0),0)),""))</f>
        <v>O17103</v>
      </c>
      <c r="AN1845" s="66" t="str">
        <f>IF($F1845="","",IF($AI1845&lt;&gt;"",IF(COUNTIFS('Lot Balance'!$A$5:$A$500,$F1845,'Lot Balance'!$B$5:$B$500,$AI1845)=0,"⚠ override is not a lot of this item",IF($AI1845=$AL1845,"Override = FEFO","Override - FEFO says "&amp;$AL1845)),IF($AL1845="","⚠ no receipt on file for this item",IF($AM1845&lt;&gt;$AL1845,"FEFO auto - split, also "&amp;$AM1845,"FEFO auto"))))</f>
        <v>FEFO auto</v>
      </c>
      <c r="AO1845" s="114"/>
    </row>
    <row r="1846" spans="1:41" x14ac:dyDescent="0.35">
      <c r="A1846" s="74">
        <v>46224</v>
      </c>
      <c r="B1846" s="18" t="str">
        <f>IF($C1846="","",IFERROR(INDEX('Staff Directory'!$A$5:$A$594,MATCH($C1846,'Staff Directory'!$B$5:$B$594,0)),"⚠ unknown staff"))</f>
        <v>PSW-184-TBD</v>
      </c>
      <c r="C1846" s="49" t="s">
        <v>1163</v>
      </c>
      <c r="D1846" s="19" t="str">
        <f>IF($B1846="","",IFERROR(INDEX('Staff Directory'!$C$5:$C$594,MATCH($B1846,'Staff Directory'!$A$5:$A$594,0)),""))</f>
        <v>PSW</v>
      </c>
      <c r="E1846" s="19">
        <f>IF($B1846="","",IFERROR(INDEX('Staff Directory'!$D$5:$D$594,MATCH($B1846,'Staff Directory'!$A$5:$A$594,0)),""))</f>
        <v>0</v>
      </c>
      <c r="F1846" s="9" t="s">
        <v>156</v>
      </c>
      <c r="G1846" s="18" t="str">
        <f>IF($F1846="","",IFERROR(INDEX(Items!$B$5:$B$597,MATCH($F1846,Items!$A$5:$A$597,0)),"⚠ not in Items"))</f>
        <v>Masks</v>
      </c>
      <c r="H1846" s="19" t="str">
        <f>IF($F1846="","",IFERROR(INDEX(Items!$C$5:$C$597,MATCH($F1846,Items!$A$5:$A$597,0)),""))</f>
        <v>One Size</v>
      </c>
      <c r="I1846" s="23">
        <f>IF($F1846="","",IFERROR(INDEX(Items!$E$5:$E$597,MATCH($F1846,Items!$A$5:$A$597,0)),""))</f>
        <v>50</v>
      </c>
      <c r="J1846" s="115">
        <f>IF(tblIssues[[#This Row],[Qty Override]]&lt;&gt;"",tblIssues[[#This Row],[Qty Override]],IF(tblIssues[[#This Row],[Standard Issue]]="","",tblIssues[[#This Row],[Standard Issue]]))</f>
        <v>50</v>
      </c>
      <c r="K1846" s="20">
        <f>IF($F1846="","",IFERROR(INDEX(Items!$D$5:$D$597,MATCH($F1846,Items!$A$5:$A$597,0)),""))</f>
        <v>0.25</v>
      </c>
      <c r="L1846" s="21">
        <f t="shared" si="316"/>
        <v>12.5</v>
      </c>
      <c r="M1846" s="9" t="str">
        <f t="shared" si="314"/>
        <v>LV2-10040-2</v>
      </c>
      <c r="N1846" s="24">
        <f>IF($A1846="","",WORKDAY($A1846,Settings!$C$9,HolidayDates))</f>
        <v>46232</v>
      </c>
      <c r="O1846" s="24">
        <f>IF($N1846="","",WORKDAY($N1846,Settings!$C$10,HolidayDates))</f>
        <v>46272</v>
      </c>
      <c r="P1846" s="10" t="s">
        <v>501</v>
      </c>
      <c r="Q1846" s="52" t="str">
        <f t="shared" si="317"/>
        <v>Collected</v>
      </c>
      <c r="R1846" s="55" t="str">
        <f t="shared" si="318"/>
        <v>2026-07</v>
      </c>
      <c r="S1846" s="55">
        <f>IF(OR($B1846="",$F1846="",$R1846=""),"",SUMIFS(tblIssues[Qty Issued],tblIssues[Staff ID],$B1846,tblIssues[Item Name],$F1846,tblIssues[Month],$R1846))</f>
        <v>50</v>
      </c>
      <c r="T1846" s="56">
        <f>IF($I1846="","",$I1846*Settings!$C$11)</f>
        <v>50</v>
      </c>
      <c r="U1846" s="57" t="str">
        <f t="shared" si="315"/>
        <v>OK</v>
      </c>
      <c r="V1846" s="55" t="str">
        <f t="shared" si="319"/>
        <v/>
      </c>
      <c r="W1846" s="55" t="str">
        <f>IF($V1846="","",IF(COUNTIF($V$5:$V1846,$V1846)=1,1,""))</f>
        <v/>
      </c>
      <c r="X1846" s="58" t="str">
        <f>IF($W1846="","",MAX($X$4:X1845)+1)</f>
        <v/>
      </c>
      <c r="Y1846" s="62"/>
      <c r="Z1846" s="62"/>
      <c r="AA1846" s="64" t="str">
        <f>IF($C1846="","",IFERROR(INDEX('Staff Directory'!$E$5:$E$594,MATCH($C1846,'Staff Directory'!$B$5:$B$594,0)),""))</f>
        <v>firstname247.lastname247@example.com</v>
      </c>
      <c r="AB1846" s="64" t="str">
        <f>IF($C1846="","",IF(ISNUMBER(SEARCH($D1846,Settings!$C$15)),"Pickup","Dispatch"))</f>
        <v>Pickup</v>
      </c>
      <c r="AC1846" s="64" t="str">
        <f t="shared" si="320"/>
        <v>Supply order ready for pickup</v>
      </c>
      <c r="AD1846" s="64" t="str">
        <f t="shared" si="311"/>
        <v>Dear PSW,
Your order is ready for pickup from Sample Branch, Wed-Fri 9am-4pm.</v>
      </c>
      <c r="AE1846" s="64" t="str">
        <f t="shared" si="312"/>
        <v>mailto:firstname247.lastname247@example.com?subject=Supply%20order%20ready%20for%20pickup&amp;body=Dear%20PSW%2C%0A%0AYour%20order%20is%20ready%20for%20pickup%20from%20Sample%20Branch%2C%20Wed-Fri%209am-4pm.</v>
      </c>
      <c r="AF1846" s="89" t="str">
        <f t="shared" si="321"/>
        <v>Draft email</v>
      </c>
      <c r="AG1846" s="64" t="str">
        <f>IF($C1846="","",IFERROR(INDEX('Staff Directory'!$K$595:$K$599,MATCH($C1846,'Staff Directory'!$B$5:$B$599,0)),$D1846))</f>
        <v>PSW</v>
      </c>
      <c r="AH1846" t="str">
        <f>IF($C1846="","",IFERROR(INDEX('Staff Directory'!$I$595:$I$599,MATCH($C1846,'Staff Directory'!$B$5:$B$599,0))&amp;" "&amp;INDEX('Staff Directory'!$J$595:$J$599,MATCH($C1846,'Staff Directory'!$B$5:$B$599,0)),$AG1846))</f>
        <v>PSW</v>
      </c>
      <c r="AI1846" s="102"/>
      <c r="AJ1846" s="101">
        <f>IF($F1846="","",SUMIFS($J$5:$J1846,$F$5:$F1846,$F1846))</f>
        <v>15100</v>
      </c>
      <c r="AK1846" s="101">
        <f t="shared" si="313"/>
        <v>15051</v>
      </c>
      <c r="AL1846" s="66" t="str" cm="1">
        <f t="array" ref="AL1846">IF($F1846="","",IFERROR(INDEX('Lot Balance'!$B$5:$B$500,MATCH(1,INDEX(('Lot Balance'!$A$5:$A$500=$F1846)*('Lot Balance'!$K$5:$K$500&lt;$AK1846)*('Lot Balance'!$K$5:$K$500+'Lot Balance'!$D$5:$D$500&gt;=$AK1846),0),0)),""))</f>
        <v>LV2-10040-2</v>
      </c>
      <c r="AM1846" s="66" t="str" cm="1">
        <f t="array" ref="AM1846">IF($F1846="","",IFERROR(INDEX('Lot Balance'!$B$5:$B$500,MATCH(1,INDEX(('Lot Balance'!$A$5:$A$500=$F1846)*('Lot Balance'!$K$5:$K$500&lt;$AJ1846)*('Lot Balance'!$K$5:$K$500+'Lot Balance'!$D$5:$D$500&gt;=$AJ1846),0),0)),""))</f>
        <v>LV2-10040-2</v>
      </c>
      <c r="AN1846" s="66" t="str">
        <f>IF($F1846="","",IF($AI1846&lt;&gt;"",IF(COUNTIFS('Lot Balance'!$A$5:$A$500,$F1846,'Lot Balance'!$B$5:$B$500,$AI1846)=0,"⚠ override is not a lot of this item",IF($AI1846=$AL1846,"Override = FEFO","Override - FEFO says "&amp;$AL1846)),IF($AL1846="","⚠ no receipt on file for this item",IF($AM1846&lt;&gt;$AL1846,"FEFO auto - split, also "&amp;$AM1846,"FEFO auto"))))</f>
        <v>FEFO auto</v>
      </c>
      <c r="AO1846" s="114"/>
    </row>
    <row r="1847" spans="1:41" x14ac:dyDescent="0.35">
      <c r="A1847" s="74">
        <v>46224</v>
      </c>
      <c r="B1847" s="18" t="str">
        <f>IF($C1847="","",IFERROR(INDEX('Staff Directory'!$A$5:$A$594,MATCH($C1847,'Staff Directory'!$B$5:$B$594,0)),"⚠ unknown staff"))</f>
        <v>PSW-129-A6</v>
      </c>
      <c r="C1847" s="49" t="s">
        <v>1108</v>
      </c>
      <c r="D1847" s="19" t="str">
        <f>IF($B1847="","",IFERROR(INDEX('Staff Directory'!$C$5:$C$594,MATCH($B1847,'Staff Directory'!$A$5:$A$594,0)),""))</f>
        <v>PSW</v>
      </c>
      <c r="E1847" s="19" t="str">
        <f>IF($B1847="","",IFERROR(INDEX('Staff Directory'!$D$5:$D$594,MATCH($B1847,'Staff Directory'!$A$5:$A$594,0)),""))</f>
        <v>A6</v>
      </c>
      <c r="F1847" s="9" t="s">
        <v>129</v>
      </c>
      <c r="G1847" s="18" t="str">
        <f>IF($F1847="","",IFERROR(INDEX(Items!$B$5:$B$597,MATCH($F1847,Items!$A$5:$A$597,0)),"⚠ not in Items"))</f>
        <v>Gloves</v>
      </c>
      <c r="H1847" s="19" t="str">
        <f>IF($F1847="","",IFERROR(INDEX(Items!$C$5:$C$597,MATCH($F1847,Items!$A$5:$A$597,0)),""))</f>
        <v>Small</v>
      </c>
      <c r="I1847" s="23">
        <f>IF($F1847="","",IFERROR(INDEX(Items!$E$5:$E$597,MATCH($F1847,Items!$A$5:$A$597,0)),""))</f>
        <v>500</v>
      </c>
      <c r="J1847" s="115">
        <f>IF(tblIssues[[#This Row],[Qty Override]]&lt;&gt;"",tblIssues[[#This Row],[Qty Override]],IF(tblIssues[[#This Row],[Standard Issue]]="","",tblIssues[[#This Row],[Standard Issue]]))</f>
        <v>500</v>
      </c>
      <c r="K1847" s="20">
        <f>IF($F1847="","",IFERROR(INDEX(Items!$D$5:$D$597,MATCH($F1847,Items!$A$5:$A$597,0)),""))</f>
        <v>5.5E-2</v>
      </c>
      <c r="L1847" s="21">
        <f t="shared" si="316"/>
        <v>27.5</v>
      </c>
      <c r="M1847" s="9" t="str">
        <f t="shared" si="314"/>
        <v>ZIM601144366-1</v>
      </c>
      <c r="N1847" s="24">
        <f>IF($A1847="","",WORKDAY($A1847,Settings!$C$9,HolidayDates))</f>
        <v>46232</v>
      </c>
      <c r="O1847" s="24">
        <f>IF($N1847="","",WORKDAY($N1847,Settings!$C$10,HolidayDates))</f>
        <v>46272</v>
      </c>
      <c r="P1847" s="10" t="s">
        <v>501</v>
      </c>
      <c r="Q1847" s="52" t="str">
        <f t="shared" si="317"/>
        <v>Collected</v>
      </c>
      <c r="R1847" s="55" t="str">
        <f t="shared" si="318"/>
        <v>2026-07</v>
      </c>
      <c r="S1847" s="55">
        <f>IF(OR($B1847="",$F1847="",$R1847=""),"",SUMIFS(tblIssues[Qty Issued],tblIssues[Staff ID],$B1847,tblIssues[Item Name],$F1847,tblIssues[Month],$R1847))</f>
        <v>500</v>
      </c>
      <c r="T1847" s="56">
        <f>IF($I1847="","",$I1847*Settings!$C$11)</f>
        <v>500</v>
      </c>
      <c r="U1847" s="57" t="str">
        <f t="shared" si="315"/>
        <v>OK</v>
      </c>
      <c r="V1847" s="55" t="str">
        <f t="shared" si="319"/>
        <v/>
      </c>
      <c r="W1847" s="55" t="str">
        <f>IF($V1847="","",IF(COUNTIF($V$5:$V1847,$V1847)=1,1,""))</f>
        <v/>
      </c>
      <c r="X1847" s="58" t="str">
        <f>IF($W1847="","",MAX($X$4:X1846)+1)</f>
        <v/>
      </c>
      <c r="Y1847" s="62"/>
      <c r="Z1847" s="62"/>
      <c r="AA1847" s="64" t="str">
        <f>IF($C1847="","",IFERROR(INDEX('Staff Directory'!$E$5:$E$594,MATCH($C1847,'Staff Directory'!$B$5:$B$594,0)),""))</f>
        <v>firstname192.lastname192@example.com</v>
      </c>
      <c r="AB1847" s="64" t="str">
        <f>IF($C1847="","",IF(ISNUMBER(SEARCH($D1847,Settings!$C$15)),"Pickup","Dispatch"))</f>
        <v>Pickup</v>
      </c>
      <c r="AC1847" s="64" t="str">
        <f t="shared" si="320"/>
        <v>Supply order ready for pickup</v>
      </c>
      <c r="AD1847" s="64" t="str">
        <f t="shared" si="311"/>
        <v>Dear PSW,
Your order is ready for pickup from Sample Branch, Wed-Fri 9am-4pm.</v>
      </c>
      <c r="AE1847" s="64" t="str">
        <f t="shared" si="312"/>
        <v>mailto:firstname192.lastname192@example.com?subject=Supply%20order%20ready%20for%20pickup&amp;body=Dear%20PSW%2C%0A%0AYour%20order%20is%20ready%20for%20pickup%20from%20Sample%20Branch%2C%20Wed-Fri%209am-4pm.</v>
      </c>
      <c r="AF1847" s="89" t="str">
        <f t="shared" si="321"/>
        <v>Draft email</v>
      </c>
      <c r="AG1847" s="64" t="str">
        <f>IF($C1847="","",IFERROR(INDEX('Staff Directory'!$K$595:$K$599,MATCH($C1847,'Staff Directory'!$B$5:$B$599,0)),$D1847))</f>
        <v>PSW</v>
      </c>
      <c r="AH1847" t="str">
        <f>IF($C1847="","",IFERROR(INDEX('Staff Directory'!$I$595:$I$599,MATCH($C1847,'Staff Directory'!$B$5:$B$599,0))&amp;" "&amp;INDEX('Staff Directory'!$J$595:$J$599,MATCH($C1847,'Staff Directory'!$B$5:$B$599,0)),$AG1847))</f>
        <v>PSW</v>
      </c>
      <c r="AI1847" s="102"/>
      <c r="AJ1847" s="101">
        <f>IF($F1847="","",SUMIFS($J$5:$J1847,$F$5:$F1847,$F1847))</f>
        <v>55000</v>
      </c>
      <c r="AK1847" s="101">
        <f t="shared" si="313"/>
        <v>54501</v>
      </c>
      <c r="AL1847" s="66" t="str" cm="1">
        <f t="array" ref="AL1847">IF($F1847="","",IFERROR(INDEX('Lot Balance'!$B$5:$B$500,MATCH(1,INDEX(('Lot Balance'!$A$5:$A$500=$F1847)*('Lot Balance'!$K$5:$K$500&lt;$AK1847)*('Lot Balance'!$K$5:$K$500+'Lot Balance'!$D$5:$D$500&gt;=$AK1847),0),0)),""))</f>
        <v>ZIM601144366-1</v>
      </c>
      <c r="AM1847" s="66" t="str" cm="1">
        <f t="array" ref="AM1847">IF($F1847="","",IFERROR(INDEX('Lot Balance'!$B$5:$B$500,MATCH(1,INDEX(('Lot Balance'!$A$5:$A$500=$F1847)*('Lot Balance'!$K$5:$K$500&lt;$AJ1847)*('Lot Balance'!$K$5:$K$500+'Lot Balance'!$D$5:$D$500&gt;=$AJ1847),0),0)),""))</f>
        <v>ZIM601144366-1</v>
      </c>
      <c r="AN1847" s="66" t="str">
        <f>IF($F1847="","",IF($AI1847&lt;&gt;"",IF(COUNTIFS('Lot Balance'!$A$5:$A$500,$F1847,'Lot Balance'!$B$5:$B$500,$AI1847)=0,"⚠ override is not a lot of this item",IF($AI1847=$AL1847,"Override = FEFO","Override - FEFO says "&amp;$AL1847)),IF($AL1847="","⚠ no receipt on file for this item",IF($AM1847&lt;&gt;$AL1847,"FEFO auto - split, also "&amp;$AM1847,"FEFO auto"))))</f>
        <v>FEFO auto</v>
      </c>
      <c r="AO1847" s="114"/>
    </row>
    <row r="1848" spans="1:41" x14ac:dyDescent="0.35">
      <c r="A1848" s="74">
        <v>46224</v>
      </c>
      <c r="B1848" s="18" t="str">
        <f>IF($C1848="","",IFERROR(INDEX('Staff Directory'!$A$5:$A$594,MATCH($C1848,'Staff Directory'!$B$5:$B$594,0)),"⚠ unknown staff"))</f>
        <v>PSW-129-A6</v>
      </c>
      <c r="C1848" s="49" t="s">
        <v>1108</v>
      </c>
      <c r="D1848" s="19" t="str">
        <f>IF($B1848="","",IFERROR(INDEX('Staff Directory'!$C$5:$C$594,MATCH($B1848,'Staff Directory'!$A$5:$A$594,0)),""))</f>
        <v>PSW</v>
      </c>
      <c r="E1848" s="19" t="str">
        <f>IF($B1848="","",IFERROR(INDEX('Staff Directory'!$D$5:$D$594,MATCH($B1848,'Staff Directory'!$A$5:$A$594,0)),""))</f>
        <v>A6</v>
      </c>
      <c r="F1848" s="9" t="s">
        <v>115</v>
      </c>
      <c r="G1848" s="18" t="str">
        <f>IF($F1848="","",IFERROR(INDEX(Items!$B$5:$B$597,MATCH($F1848,Items!$A$5:$A$597,0)),"⚠ not in Items"))</f>
        <v>Wipes</v>
      </c>
      <c r="H1848" s="19">
        <f>IF($F1848="","",IFERROR(INDEX(Items!$C$5:$C$597,MATCH($F1848,Items!$A$5:$A$597,0)),""))</f>
        <v>80</v>
      </c>
      <c r="I1848" s="23">
        <f>IF($F1848="","",IFERROR(INDEX(Items!$E$5:$E$597,MATCH($F1848,Items!$A$5:$A$597,0)),""))</f>
        <v>80</v>
      </c>
      <c r="J1848" s="115">
        <f>IF(tblIssues[[#This Row],[Qty Override]]&lt;&gt;"",tblIssues[[#This Row],[Qty Override]],IF(tblIssues[[#This Row],[Standard Issue]]="","",tblIssues[[#This Row],[Standard Issue]]))</f>
        <v>80</v>
      </c>
      <c r="K1848" s="20">
        <f>IF($F1848="","",IFERROR(INDEX(Items!$D$5:$D$597,MATCH($F1848,Items!$A$5:$A$597,0)),""))</f>
        <v>0.1</v>
      </c>
      <c r="L1848" s="21">
        <f t="shared" si="316"/>
        <v>8</v>
      </c>
      <c r="M1848" s="9" t="str">
        <f t="shared" si="314"/>
        <v>LYSL500290</v>
      </c>
      <c r="N1848" s="24">
        <f>IF($A1848="","",WORKDAY($A1848,Settings!$C$9,HolidayDates))</f>
        <v>46232</v>
      </c>
      <c r="O1848" s="24">
        <f>IF($N1848="","",WORKDAY($N1848,Settings!$C$10,HolidayDates))</f>
        <v>46272</v>
      </c>
      <c r="P1848" s="10" t="s">
        <v>501</v>
      </c>
      <c r="Q1848" s="52" t="str">
        <f t="shared" si="317"/>
        <v>Collected</v>
      </c>
      <c r="R1848" s="55" t="str">
        <f t="shared" si="318"/>
        <v>2026-07</v>
      </c>
      <c r="S1848" s="55">
        <f>IF(OR($B1848="",$F1848="",$R1848=""),"",SUMIFS(tblIssues[Qty Issued],tblIssues[Staff ID],$B1848,tblIssues[Item Name],$F1848,tblIssues[Month],$R1848))</f>
        <v>80</v>
      </c>
      <c r="T1848" s="56">
        <f>IF($I1848="","",$I1848*Settings!$C$11)</f>
        <v>80</v>
      </c>
      <c r="U1848" s="57" t="str">
        <f t="shared" si="315"/>
        <v>OK</v>
      </c>
      <c r="V1848" s="55" t="str">
        <f t="shared" si="319"/>
        <v/>
      </c>
      <c r="W1848" s="55" t="str">
        <f>IF($V1848="","",IF(COUNTIF($V$5:$V1848,$V1848)=1,1,""))</f>
        <v/>
      </c>
      <c r="X1848" s="58" t="str">
        <f>IF($W1848="","",MAX($X$4:X1847)+1)</f>
        <v/>
      </c>
      <c r="Y1848" s="62"/>
      <c r="Z1848" s="62"/>
      <c r="AA1848" s="64" t="str">
        <f>IF($C1848="","",IFERROR(INDEX('Staff Directory'!$E$5:$E$594,MATCH($C1848,'Staff Directory'!$B$5:$B$594,0)),""))</f>
        <v>firstname192.lastname192@example.com</v>
      </c>
      <c r="AB1848" s="64" t="str">
        <f>IF($C1848="","",IF(ISNUMBER(SEARCH($D1848,Settings!$C$15)),"Pickup","Dispatch"))</f>
        <v>Pickup</v>
      </c>
      <c r="AC1848" s="64" t="str">
        <f t="shared" si="320"/>
        <v>Supply order ready for pickup</v>
      </c>
      <c r="AD1848" s="64" t="str">
        <f t="shared" si="311"/>
        <v>Dear PSW,
Your order is ready for pickup from Sample Branch, Wed-Fri 9am-4pm.</v>
      </c>
      <c r="AE1848" s="64" t="str">
        <f t="shared" si="312"/>
        <v>mailto:firstname192.lastname192@example.com?subject=Supply%20order%20ready%20for%20pickup&amp;body=Dear%20PSW%2C%0A%0AYour%20order%20is%20ready%20for%20pickup%20from%20Sample%20Branch%2C%20Wed-Fri%209am-4pm.</v>
      </c>
      <c r="AF1848" s="89" t="str">
        <f t="shared" si="321"/>
        <v>Draft email</v>
      </c>
      <c r="AG1848" s="64" t="str">
        <f>IF($C1848="","",IFERROR(INDEX('Staff Directory'!$K$595:$K$599,MATCH($C1848,'Staff Directory'!$B$5:$B$599,0)),$D1848))</f>
        <v>PSW</v>
      </c>
      <c r="AH1848" t="str">
        <f>IF($C1848="","",IFERROR(INDEX('Staff Directory'!$I$595:$I$599,MATCH($C1848,'Staff Directory'!$B$5:$B$599,0))&amp;" "&amp;INDEX('Staff Directory'!$J$595:$J$599,MATCH($C1848,'Staff Directory'!$B$5:$B$599,0)),$AG1848))</f>
        <v>PSW</v>
      </c>
      <c r="AI1848" s="102"/>
      <c r="AJ1848" s="101">
        <f>IF($F1848="","",SUMIFS($J$5:$J1848,$F$5:$F1848,$F1848))</f>
        <v>24400</v>
      </c>
      <c r="AK1848" s="101">
        <f t="shared" si="313"/>
        <v>24321</v>
      </c>
      <c r="AL1848" s="66" t="str" cm="1">
        <f t="array" ref="AL1848">IF($F1848="","",IFERROR(INDEX('Lot Balance'!$B$5:$B$500,MATCH(1,INDEX(('Lot Balance'!$A$5:$A$500=$F1848)*('Lot Balance'!$K$5:$K$500&lt;$AK1848)*('Lot Balance'!$K$5:$K$500+'Lot Balance'!$D$5:$D$500&gt;=$AK1848),0),0)),""))</f>
        <v>LYSL500290</v>
      </c>
      <c r="AM1848" s="66" t="str" cm="1">
        <f t="array" ref="AM1848">IF($F1848="","",IFERROR(INDEX('Lot Balance'!$B$5:$B$500,MATCH(1,INDEX(('Lot Balance'!$A$5:$A$500=$F1848)*('Lot Balance'!$K$5:$K$500&lt;$AJ1848)*('Lot Balance'!$K$5:$K$500+'Lot Balance'!$D$5:$D$500&gt;=$AJ1848),0),0)),""))</f>
        <v>LYSL500290</v>
      </c>
      <c r="AN1848" s="66" t="str">
        <f>IF($F1848="","",IF($AI1848&lt;&gt;"",IF(COUNTIFS('Lot Balance'!$A$5:$A$500,$F1848,'Lot Balance'!$B$5:$B$500,$AI1848)=0,"⚠ override is not a lot of this item",IF($AI1848=$AL1848,"Override = FEFO","Override - FEFO says "&amp;$AL1848)),IF($AL1848="","⚠ no receipt on file for this item",IF($AM1848&lt;&gt;$AL1848,"FEFO auto - split, also "&amp;$AM1848,"FEFO auto"))))</f>
        <v>FEFO auto</v>
      </c>
      <c r="AO1848" s="114"/>
    </row>
    <row r="1849" spans="1:41" x14ac:dyDescent="0.35">
      <c r="A1849" s="74">
        <v>46224</v>
      </c>
      <c r="B1849" s="18" t="str">
        <f>IF($C1849="","",IFERROR(INDEX('Staff Directory'!$A$5:$A$594,MATCH($C1849,'Staff Directory'!$B$5:$B$594,0)),"⚠ unknown staff"))</f>
        <v>PSW-129-A6</v>
      </c>
      <c r="C1849" s="49" t="s">
        <v>1108</v>
      </c>
      <c r="D1849" s="19" t="str">
        <f>IF($B1849="","",IFERROR(INDEX('Staff Directory'!$C$5:$C$594,MATCH($B1849,'Staff Directory'!$A$5:$A$594,0)),""))</f>
        <v>PSW</v>
      </c>
      <c r="E1849" s="19" t="str">
        <f>IF($B1849="","",IFERROR(INDEX('Staff Directory'!$D$5:$D$594,MATCH($B1849,'Staff Directory'!$A$5:$A$594,0)),""))</f>
        <v>A6</v>
      </c>
      <c r="F1849" s="9" t="s">
        <v>156</v>
      </c>
      <c r="G1849" s="18" t="str">
        <f>IF($F1849="","",IFERROR(INDEX(Items!$B$5:$B$597,MATCH($F1849,Items!$A$5:$A$597,0)),"⚠ not in Items"))</f>
        <v>Masks</v>
      </c>
      <c r="H1849" s="19" t="str">
        <f>IF($F1849="","",IFERROR(INDEX(Items!$C$5:$C$597,MATCH($F1849,Items!$A$5:$A$597,0)),""))</f>
        <v>One Size</v>
      </c>
      <c r="I1849" s="23">
        <f>IF($F1849="","",IFERROR(INDEX(Items!$E$5:$E$597,MATCH($F1849,Items!$A$5:$A$597,0)),""))</f>
        <v>50</v>
      </c>
      <c r="J1849" s="115">
        <f>IF(tblIssues[[#This Row],[Qty Override]]&lt;&gt;"",tblIssues[[#This Row],[Qty Override]],IF(tblIssues[[#This Row],[Standard Issue]]="","",tblIssues[[#This Row],[Standard Issue]]))</f>
        <v>50</v>
      </c>
      <c r="K1849" s="20">
        <f>IF($F1849="","",IFERROR(INDEX(Items!$D$5:$D$597,MATCH($F1849,Items!$A$5:$A$597,0)),""))</f>
        <v>0.25</v>
      </c>
      <c r="L1849" s="21">
        <f t="shared" si="316"/>
        <v>12.5</v>
      </c>
      <c r="M1849" s="9" t="str">
        <f t="shared" si="314"/>
        <v>LV2-10040-3</v>
      </c>
      <c r="N1849" s="24">
        <f>IF($A1849="","",WORKDAY($A1849,Settings!$C$9,HolidayDates))</f>
        <v>46232</v>
      </c>
      <c r="O1849" s="24">
        <f>IF($N1849="","",WORKDAY($N1849,Settings!$C$10,HolidayDates))</f>
        <v>46272</v>
      </c>
      <c r="P1849" s="10" t="s">
        <v>501</v>
      </c>
      <c r="Q1849" s="52" t="str">
        <f t="shared" si="317"/>
        <v>Collected</v>
      </c>
      <c r="R1849" s="55" t="str">
        <f t="shared" si="318"/>
        <v>2026-07</v>
      </c>
      <c r="S1849" s="55">
        <f>IF(OR($B1849="",$F1849="",$R1849=""),"",SUMIFS(tblIssues[Qty Issued],tblIssues[Staff ID],$B1849,tblIssues[Item Name],$F1849,tblIssues[Month],$R1849))</f>
        <v>50</v>
      </c>
      <c r="T1849" s="56">
        <f>IF($I1849="","",$I1849*Settings!$C$11)</f>
        <v>50</v>
      </c>
      <c r="U1849" s="57" t="str">
        <f t="shared" si="315"/>
        <v>OK</v>
      </c>
      <c r="V1849" s="55" t="str">
        <f t="shared" si="319"/>
        <v/>
      </c>
      <c r="W1849" s="55" t="str">
        <f>IF($V1849="","",IF(COUNTIF($V$5:$V1849,$V1849)=1,1,""))</f>
        <v/>
      </c>
      <c r="X1849" s="58" t="str">
        <f>IF($W1849="","",MAX($X$4:X1848)+1)</f>
        <v/>
      </c>
      <c r="Y1849" s="62"/>
      <c r="Z1849" s="62"/>
      <c r="AA1849" s="64" t="str">
        <f>IF($C1849="","",IFERROR(INDEX('Staff Directory'!$E$5:$E$594,MATCH($C1849,'Staff Directory'!$B$5:$B$594,0)),""))</f>
        <v>firstname192.lastname192@example.com</v>
      </c>
      <c r="AB1849" s="64" t="str">
        <f>IF($C1849="","",IF(ISNUMBER(SEARCH($D1849,Settings!$C$15)),"Pickup","Dispatch"))</f>
        <v>Pickup</v>
      </c>
      <c r="AC1849" s="64" t="str">
        <f t="shared" si="320"/>
        <v>Supply order ready for pickup</v>
      </c>
      <c r="AD1849" s="64" t="str">
        <f t="shared" si="311"/>
        <v>Dear PSW,
Your order is ready for pickup from Sample Branch, Wed-Fri 9am-4pm.</v>
      </c>
      <c r="AE1849" s="64" t="str">
        <f t="shared" si="312"/>
        <v>mailto:firstname192.lastname192@example.com?subject=Supply%20order%20ready%20for%20pickup&amp;body=Dear%20PSW%2C%0A%0AYour%20order%20is%20ready%20for%20pickup%20from%20Sample%20Branch%2C%20Wed-Fri%209am-4pm.</v>
      </c>
      <c r="AF1849" s="89" t="str">
        <f t="shared" si="321"/>
        <v>Draft email</v>
      </c>
      <c r="AG1849" s="64" t="str">
        <f>IF($C1849="","",IFERROR(INDEX('Staff Directory'!$K$595:$K$599,MATCH($C1849,'Staff Directory'!$B$5:$B$599,0)),$D1849))</f>
        <v>PSW</v>
      </c>
      <c r="AH1849" t="str">
        <f>IF($C1849="","",IFERROR(INDEX('Staff Directory'!$I$595:$I$599,MATCH($C1849,'Staff Directory'!$B$5:$B$599,0))&amp;" "&amp;INDEX('Staff Directory'!$J$595:$J$599,MATCH($C1849,'Staff Directory'!$B$5:$B$599,0)),$AG1849))</f>
        <v>PSW</v>
      </c>
      <c r="AI1849" s="102"/>
      <c r="AJ1849" s="101">
        <f>IF($F1849="","",SUMIFS($J$5:$J1849,$F$5:$F1849,$F1849))</f>
        <v>15150</v>
      </c>
      <c r="AK1849" s="101">
        <f t="shared" si="313"/>
        <v>15101</v>
      </c>
      <c r="AL1849" s="66" t="str" cm="1">
        <f t="array" ref="AL1849">IF($F1849="","",IFERROR(INDEX('Lot Balance'!$B$5:$B$500,MATCH(1,INDEX(('Lot Balance'!$A$5:$A$500=$F1849)*('Lot Balance'!$K$5:$K$500&lt;$AK1849)*('Lot Balance'!$K$5:$K$500+'Lot Balance'!$D$5:$D$500&gt;=$AK1849),0),0)),""))</f>
        <v>LV2-10040-3</v>
      </c>
      <c r="AM1849" s="66" t="str" cm="1">
        <f t="array" ref="AM1849">IF($F1849="","",IFERROR(INDEX('Lot Balance'!$B$5:$B$500,MATCH(1,INDEX(('Lot Balance'!$A$5:$A$500=$F1849)*('Lot Balance'!$K$5:$K$500&lt;$AJ1849)*('Lot Balance'!$K$5:$K$500+'Lot Balance'!$D$5:$D$500&gt;=$AJ1849),0),0)),""))</f>
        <v>LV2-10040-3</v>
      </c>
      <c r="AN1849" s="66" t="str">
        <f>IF($F1849="","",IF($AI1849&lt;&gt;"",IF(COUNTIFS('Lot Balance'!$A$5:$A$500,$F1849,'Lot Balance'!$B$5:$B$500,$AI1849)=0,"⚠ override is not a lot of this item",IF($AI1849=$AL1849,"Override = FEFO","Override - FEFO says "&amp;$AL1849)),IF($AL1849="","⚠ no receipt on file for this item",IF($AM1849&lt;&gt;$AL1849,"FEFO auto - split, also "&amp;$AM1849,"FEFO auto"))))</f>
        <v>FEFO auto</v>
      </c>
      <c r="AO1849" s="114"/>
    </row>
    <row r="1850" spans="1:41" x14ac:dyDescent="0.35">
      <c r="A1850" s="74">
        <v>46224</v>
      </c>
      <c r="B1850" s="18" t="str">
        <f>IF($C1850="","",IFERROR(INDEX('Staff Directory'!$A$5:$A$594,MATCH($C1850,'Staff Directory'!$B$5:$B$594,0)),"⚠ unknown staff"))</f>
        <v>PSW-129-A6</v>
      </c>
      <c r="C1850" s="49" t="s">
        <v>1108</v>
      </c>
      <c r="D1850" s="19" t="str">
        <f>IF($B1850="","",IFERROR(INDEX('Staff Directory'!$C$5:$C$594,MATCH($B1850,'Staff Directory'!$A$5:$A$594,0)),""))</f>
        <v>PSW</v>
      </c>
      <c r="E1850" s="19" t="str">
        <f>IF($B1850="","",IFERROR(INDEX('Staff Directory'!$D$5:$D$594,MATCH($B1850,'Staff Directory'!$A$5:$A$594,0)),""))</f>
        <v>A6</v>
      </c>
      <c r="F1850" s="9" t="s">
        <v>758</v>
      </c>
      <c r="G1850" s="18" t="str">
        <f>IF($F1850="","",IFERROR(INDEX(Items!$B$5:$B$597,MATCH($F1850,Items!$A$5:$A$597,0)),"⚠ not in Items"))</f>
        <v>Utility</v>
      </c>
      <c r="H1850" s="19" t="str">
        <f>IF($F1850="","",IFERROR(INDEX(Items!$C$5:$C$597,MATCH($F1850,Items!$A$5:$A$597,0)),""))</f>
        <v>Standard</v>
      </c>
      <c r="I1850" s="23">
        <f>IF($F1850="","",IFERROR(INDEX(Items!$E$5:$E$597,MATCH($F1850,Items!$A$5:$A$597,0)),""))</f>
        <v>1</v>
      </c>
      <c r="J1850" s="115">
        <f>IF(tblIssues[[#This Row],[Qty Override]]&lt;&gt;"",tblIssues[[#This Row],[Qty Override]],IF(tblIssues[[#This Row],[Standard Issue]]="","",tblIssues[[#This Row],[Standard Issue]]))</f>
        <v>1</v>
      </c>
      <c r="K1850" s="20">
        <f>IF($F1850="","",IFERROR(INDEX(Items!$D$5:$D$597,MATCH($F1850,Items!$A$5:$A$597,0)),""))</f>
        <v>0</v>
      </c>
      <c r="L1850" s="21">
        <f t="shared" si="316"/>
        <v>0</v>
      </c>
      <c r="M1850" s="9" t="str">
        <f t="shared" si="314"/>
        <v/>
      </c>
      <c r="N1850" s="24">
        <f>IF($A1850="","",WORKDAY($A1850,Settings!$C$9,HolidayDates))</f>
        <v>46232</v>
      </c>
      <c r="O1850" s="24">
        <f>IF($N1850="","",WORKDAY($N1850,Settings!$C$10,HolidayDates))</f>
        <v>46272</v>
      </c>
      <c r="P1850" s="10" t="s">
        <v>501</v>
      </c>
      <c r="Q1850" s="52" t="str">
        <f t="shared" si="317"/>
        <v>Collected</v>
      </c>
      <c r="R1850" s="55" t="str">
        <f t="shared" si="318"/>
        <v>2026-07</v>
      </c>
      <c r="S1850" s="55">
        <f>IF(OR($B1850="",$F1850="",$R1850=""),"",SUMIFS(tblIssues[Qty Issued],tblIssues[Staff ID],$B1850,tblIssues[Item Name],$F1850,tblIssues[Month],$R1850))</f>
        <v>1</v>
      </c>
      <c r="T1850" s="56">
        <f>IF($I1850="","",$I1850*Settings!$C$11)</f>
        <v>1</v>
      </c>
      <c r="U1850" s="57" t="str">
        <f t="shared" si="315"/>
        <v>OK</v>
      </c>
      <c r="V1850" s="55" t="str">
        <f t="shared" si="319"/>
        <v/>
      </c>
      <c r="W1850" s="55" t="str">
        <f>IF($V1850="","",IF(COUNTIF($V$5:$V1850,$V1850)=1,1,""))</f>
        <v/>
      </c>
      <c r="X1850" s="58" t="str">
        <f>IF($W1850="","",MAX($X$4:X1849)+1)</f>
        <v/>
      </c>
      <c r="Y1850" s="62"/>
      <c r="Z1850" s="62"/>
      <c r="AA1850" s="64" t="str">
        <f>IF($C1850="","",IFERROR(INDEX('Staff Directory'!$E$5:$E$594,MATCH($C1850,'Staff Directory'!$B$5:$B$594,0)),""))</f>
        <v>firstname192.lastname192@example.com</v>
      </c>
      <c r="AB1850" s="64" t="str">
        <f>IF($C1850="","",IF(ISNUMBER(SEARCH($D1850,Settings!$C$15)),"Pickup","Dispatch"))</f>
        <v>Pickup</v>
      </c>
      <c r="AC1850" s="64" t="str">
        <f t="shared" si="320"/>
        <v>Supply order ready for pickup</v>
      </c>
      <c r="AD1850" s="64" t="str">
        <f t="shared" si="311"/>
        <v>Dear PSW,
Your order is ready for pickup from Sample Branch, Wed-Fri 9am-4pm.</v>
      </c>
      <c r="AE1850" s="64" t="str">
        <f t="shared" si="312"/>
        <v>mailto:firstname192.lastname192@example.com?subject=Supply%20order%20ready%20for%20pickup&amp;body=Dear%20PSW%2C%0A%0AYour%20order%20is%20ready%20for%20pickup%20from%20Sample%20Branch%2C%20Wed-Fri%209am-4pm.</v>
      </c>
      <c r="AF1850" s="89" t="str">
        <f t="shared" si="321"/>
        <v>Draft email</v>
      </c>
      <c r="AG1850" s="64" t="str">
        <f>IF($C1850="","",IFERROR(INDEX('Staff Directory'!$K$595:$K$599,MATCH($C1850,'Staff Directory'!$B$5:$B$599,0)),$D1850))</f>
        <v>PSW</v>
      </c>
      <c r="AH1850" t="str">
        <f>IF($C1850="","",IFERROR(INDEX('Staff Directory'!$I$595:$I$599,MATCH($C1850,'Staff Directory'!$B$5:$B$599,0))&amp;" "&amp;INDEX('Staff Directory'!$J$595:$J$599,MATCH($C1850,'Staff Directory'!$B$5:$B$599,0)),$AG1850))</f>
        <v>PSW</v>
      </c>
      <c r="AI1850" s="102"/>
      <c r="AJ1850" s="101">
        <f>IF($F1850="","",SUMIFS($J$5:$J1850,$F$5:$F1850,$F1850))</f>
        <v>77</v>
      </c>
      <c r="AK1850" s="101">
        <f t="shared" si="313"/>
        <v>77</v>
      </c>
      <c r="AL1850" s="66" t="str" cm="1">
        <f t="array" ref="AL1850">IF($F1850="","",IFERROR(INDEX('Lot Balance'!$B$5:$B$500,MATCH(1,INDEX(('Lot Balance'!$A$5:$A$500=$F1850)*('Lot Balance'!$K$5:$K$500&lt;$AK1850)*('Lot Balance'!$K$5:$K$500+'Lot Balance'!$D$5:$D$500&gt;=$AK1850),0),0)),""))</f>
        <v/>
      </c>
      <c r="AM1850" s="66" t="str" cm="1">
        <f t="array" ref="AM1850">IF($F1850="","",IFERROR(INDEX('Lot Balance'!$B$5:$B$500,MATCH(1,INDEX(('Lot Balance'!$A$5:$A$500=$F1850)*('Lot Balance'!$K$5:$K$500&lt;$AJ1850)*('Lot Balance'!$K$5:$K$500+'Lot Balance'!$D$5:$D$500&gt;=$AJ1850),0),0)),""))</f>
        <v/>
      </c>
      <c r="AN1850" s="66" t="str">
        <f>IF($F1850="","",IF($AI1850&lt;&gt;"",IF(COUNTIFS('Lot Balance'!$A$5:$A$500,$F1850,'Lot Balance'!$B$5:$B$500,$AI1850)=0,"⚠ override is not a lot of this item",IF($AI1850=$AL1850,"Override = FEFO","Override - FEFO says "&amp;$AL1850)),IF($AL1850="","⚠ no receipt on file for this item",IF($AM1850&lt;&gt;$AL1850,"FEFO auto - split, also "&amp;$AM1850,"FEFO auto"))))</f>
        <v>⚠ no receipt on file for this item</v>
      </c>
      <c r="AO1850" s="114"/>
    </row>
    <row r="1851" spans="1:41" x14ac:dyDescent="0.35">
      <c r="A1851" s="74">
        <v>46224</v>
      </c>
      <c r="B1851" s="18" t="str">
        <f>IF($C1851="","",IFERROR(INDEX('Staff Directory'!$A$5:$A$594,MATCH($C1851,'Staff Directory'!$B$5:$B$594,0)),"⚠ unknown staff"))</f>
        <v>PSW-053-A4</v>
      </c>
      <c r="C1851" s="49" t="s">
        <v>1029</v>
      </c>
      <c r="D1851" s="19" t="str">
        <f>IF($B1851="","",IFERROR(INDEX('Staff Directory'!$C$5:$C$594,MATCH($B1851,'Staff Directory'!$A$5:$A$594,0)),""))</f>
        <v>PSW</v>
      </c>
      <c r="E1851" s="19" t="str">
        <f>IF($B1851="","",IFERROR(INDEX('Staff Directory'!$D$5:$D$594,MATCH($B1851,'Staff Directory'!$A$5:$A$594,0)),""))</f>
        <v>A4</v>
      </c>
      <c r="F1851" s="9" t="s">
        <v>124</v>
      </c>
      <c r="G1851" s="18" t="str">
        <f>IF($F1851="","",IFERROR(INDEX(Items!$B$5:$B$597,MATCH($F1851,Items!$A$5:$A$597,0)),"⚠ not in Items"))</f>
        <v>Gloves</v>
      </c>
      <c r="H1851" s="19" t="str">
        <f>IF($F1851="","",IFERROR(INDEX(Items!$C$5:$C$597,MATCH($F1851,Items!$A$5:$A$597,0)),""))</f>
        <v>Large</v>
      </c>
      <c r="I1851" s="23">
        <f>IF($F1851="","",IFERROR(INDEX(Items!$E$5:$E$597,MATCH($F1851,Items!$A$5:$A$597,0)),""))</f>
        <v>500</v>
      </c>
      <c r="J1851" s="115">
        <f>IF(tblIssues[[#This Row],[Qty Override]]&lt;&gt;"",tblIssues[[#This Row],[Qty Override]],IF(tblIssues[[#This Row],[Standard Issue]]="","",tblIssues[[#This Row],[Standard Issue]]))</f>
        <v>500</v>
      </c>
      <c r="K1851" s="20">
        <f>IF($F1851="","",IFERROR(INDEX(Items!$D$5:$D$597,MATCH($F1851,Items!$A$5:$A$597,0)),""))</f>
        <v>5.5E-2</v>
      </c>
      <c r="L1851" s="21">
        <f t="shared" si="316"/>
        <v>27.5</v>
      </c>
      <c r="M1851" s="9" t="str">
        <f t="shared" si="314"/>
        <v>O17103</v>
      </c>
      <c r="N1851" s="24">
        <f>IF($A1851="","",WORKDAY($A1851,Settings!$C$9,HolidayDates))</f>
        <v>46232</v>
      </c>
      <c r="O1851" s="24">
        <f>IF($N1851="","",WORKDAY($N1851,Settings!$C$10,HolidayDates))</f>
        <v>46272</v>
      </c>
      <c r="P1851" s="10" t="s">
        <v>501</v>
      </c>
      <c r="Q1851" s="52" t="str">
        <f t="shared" si="317"/>
        <v>Collected</v>
      </c>
      <c r="R1851" s="55" t="str">
        <f t="shared" si="318"/>
        <v>2026-07</v>
      </c>
      <c r="S1851" s="55">
        <f>IF(OR($B1851="",$F1851="",$R1851=""),"",SUMIFS(tblIssues[Qty Issued],tblIssues[Staff ID],$B1851,tblIssues[Item Name],$F1851,tblIssues[Month],$R1851))</f>
        <v>500</v>
      </c>
      <c r="T1851" s="56">
        <f>IF($I1851="","",$I1851*Settings!$C$11)</f>
        <v>500</v>
      </c>
      <c r="U1851" s="57" t="str">
        <f t="shared" si="315"/>
        <v>OK</v>
      </c>
      <c r="V1851" s="55" t="str">
        <f t="shared" si="319"/>
        <v/>
      </c>
      <c r="W1851" s="55" t="str">
        <f>IF($V1851="","",IF(COUNTIF($V$5:$V1851,$V1851)=1,1,""))</f>
        <v/>
      </c>
      <c r="X1851" s="58" t="str">
        <f>IF($W1851="","",MAX($X$4:X1850)+1)</f>
        <v/>
      </c>
      <c r="Y1851" s="62"/>
      <c r="Z1851" s="62"/>
      <c r="AA1851" s="64" t="str">
        <f>IF($C1851="","",IFERROR(INDEX('Staff Directory'!$E$5:$E$594,MATCH($C1851,'Staff Directory'!$B$5:$B$594,0)),""))</f>
        <v>firstname113.lastname113@example.com</v>
      </c>
      <c r="AB1851" s="64" t="str">
        <f>IF($C1851="","",IF(ISNUMBER(SEARCH($D1851,Settings!$C$15)),"Pickup","Dispatch"))</f>
        <v>Pickup</v>
      </c>
      <c r="AC1851" s="64" t="str">
        <f t="shared" si="320"/>
        <v>Supply order ready for pickup</v>
      </c>
      <c r="AD1851" s="64" t="str">
        <f t="shared" si="311"/>
        <v>Dear PSW,
Your order is ready for pickup from Sample Branch, Wed-Fri 9am-4pm.</v>
      </c>
      <c r="AE1851" s="64" t="str">
        <f t="shared" si="312"/>
        <v>mailto:firstname113.lastname113@example.com?subject=Supply%20order%20ready%20for%20pickup&amp;body=Dear%20PSW%2C%0A%0AYour%20order%20is%20ready%20for%20pickup%20from%20Sample%20Branch%2C%20Wed-Fri%209am-4pm.</v>
      </c>
      <c r="AF1851" s="89" t="str">
        <f t="shared" si="321"/>
        <v>Draft email</v>
      </c>
      <c r="AG1851" s="64" t="str">
        <f>IF($C1851="","",IFERROR(INDEX('Staff Directory'!$K$595:$K$599,MATCH($C1851,'Staff Directory'!$B$5:$B$599,0)),$D1851))</f>
        <v>PSW</v>
      </c>
      <c r="AH1851" t="str">
        <f>IF($C1851="","",IFERROR(INDEX('Staff Directory'!$I$595:$I$599,MATCH($C1851,'Staff Directory'!$B$5:$B$599,0))&amp;" "&amp;INDEX('Staff Directory'!$J$595:$J$599,MATCH($C1851,'Staff Directory'!$B$5:$B$599,0)),$AG1851))</f>
        <v>PSW</v>
      </c>
      <c r="AI1851" s="102"/>
      <c r="AJ1851" s="101">
        <f>IF($F1851="","",SUMIFS($J$5:$J1851,$F$5:$F1851,$F1851))</f>
        <v>49500</v>
      </c>
      <c r="AK1851" s="101">
        <f t="shared" si="313"/>
        <v>49001</v>
      </c>
      <c r="AL1851" s="66" t="str" cm="1">
        <f t="array" ref="AL1851">IF($F1851="","",IFERROR(INDEX('Lot Balance'!$B$5:$B$500,MATCH(1,INDEX(('Lot Balance'!$A$5:$A$500=$F1851)*('Lot Balance'!$K$5:$K$500&lt;$AK1851)*('Lot Balance'!$K$5:$K$500+'Lot Balance'!$D$5:$D$500&gt;=$AK1851),0),0)),""))</f>
        <v>O17103</v>
      </c>
      <c r="AM1851" s="66" t="str" cm="1">
        <f t="array" ref="AM1851">IF($F1851="","",IFERROR(INDEX('Lot Balance'!$B$5:$B$500,MATCH(1,INDEX(('Lot Balance'!$A$5:$A$500=$F1851)*('Lot Balance'!$K$5:$K$500&lt;$AJ1851)*('Lot Balance'!$K$5:$K$500+'Lot Balance'!$D$5:$D$500&gt;=$AJ1851),0),0)),""))</f>
        <v>O17103</v>
      </c>
      <c r="AN1851" s="66" t="str">
        <f>IF($F1851="","",IF($AI1851&lt;&gt;"",IF(COUNTIFS('Lot Balance'!$A$5:$A$500,$F1851,'Lot Balance'!$B$5:$B$500,$AI1851)=0,"⚠ override is not a lot of this item",IF($AI1851=$AL1851,"Override = FEFO","Override - FEFO says "&amp;$AL1851)),IF($AL1851="","⚠ no receipt on file for this item",IF($AM1851&lt;&gt;$AL1851,"FEFO auto - split, also "&amp;$AM1851,"FEFO auto"))))</f>
        <v>FEFO auto</v>
      </c>
      <c r="AO1851" s="114"/>
    </row>
    <row r="1852" spans="1:41" x14ac:dyDescent="0.35">
      <c r="A1852" s="74">
        <v>46224</v>
      </c>
      <c r="B1852" s="18" t="str">
        <f>IF($C1852="","",IFERROR(INDEX('Staff Directory'!$A$5:$A$594,MATCH($C1852,'Staff Directory'!$B$5:$B$594,0)),"⚠ unknown staff"))</f>
        <v>PSW-053-A4</v>
      </c>
      <c r="C1852" s="49" t="s">
        <v>1029</v>
      </c>
      <c r="D1852" s="19" t="str">
        <f>IF($B1852="","",IFERROR(INDEX('Staff Directory'!$C$5:$C$594,MATCH($B1852,'Staff Directory'!$A$5:$A$594,0)),""))</f>
        <v>PSW</v>
      </c>
      <c r="E1852" s="19" t="str">
        <f>IF($B1852="","",IFERROR(INDEX('Staff Directory'!$D$5:$D$594,MATCH($B1852,'Staff Directory'!$A$5:$A$594,0)),""))</f>
        <v>A4</v>
      </c>
      <c r="F1852" s="9" t="s">
        <v>191</v>
      </c>
      <c r="G1852" s="18" t="str">
        <f>IF($F1852="","",IFERROR(INDEX(Items!$B$5:$B$597,MATCH($F1852,Items!$A$5:$A$597,0)),"⚠ not in Items"))</f>
        <v>Sanitizer</v>
      </c>
      <c r="H1852" s="19" t="str">
        <f>IF($F1852="","",IFERROR(INDEX(Items!$C$5:$C$597,MATCH($F1852,Items!$A$5:$A$597,0)),""))</f>
        <v>236 ML</v>
      </c>
      <c r="I1852" s="23">
        <f>IF($F1852="","",IFERROR(INDEX(Items!$E$5:$E$597,MATCH($F1852,Items!$A$5:$A$597,0)),""))</f>
        <v>1</v>
      </c>
      <c r="J1852" s="115">
        <f>IF(tblIssues[[#This Row],[Qty Override]]&lt;&gt;"",tblIssues[[#This Row],[Qty Override]],IF(tblIssues[[#This Row],[Standard Issue]]="","",tblIssues[[#This Row],[Standard Issue]]))</f>
        <v>1</v>
      </c>
      <c r="K1852" s="20">
        <f>IF($F1852="","",IFERROR(INDEX(Items!$D$5:$D$597,MATCH($F1852,Items!$A$5:$A$597,0)),""))</f>
        <v>1E-4</v>
      </c>
      <c r="L1852" s="21">
        <f t="shared" si="316"/>
        <v>1E-4</v>
      </c>
      <c r="M1852" s="9" t="str">
        <f t="shared" si="314"/>
        <v>20-21734-5</v>
      </c>
      <c r="N1852" s="24">
        <f>IF($A1852="","",WORKDAY($A1852,Settings!$C$9,HolidayDates))</f>
        <v>46232</v>
      </c>
      <c r="O1852" s="24">
        <f>IF($N1852="","",WORKDAY($N1852,Settings!$C$10,HolidayDates))</f>
        <v>46272</v>
      </c>
      <c r="P1852" s="10" t="s">
        <v>501</v>
      </c>
      <c r="Q1852" s="52" t="str">
        <f t="shared" si="317"/>
        <v>Collected</v>
      </c>
      <c r="R1852" s="55" t="str">
        <f t="shared" si="318"/>
        <v>2026-07</v>
      </c>
      <c r="S1852" s="55">
        <f>IF(OR($B1852="",$F1852="",$R1852=""),"",SUMIFS(tblIssues[Qty Issued],tblIssues[Staff ID],$B1852,tblIssues[Item Name],$F1852,tblIssues[Month],$R1852))</f>
        <v>1</v>
      </c>
      <c r="T1852" s="56">
        <f>IF($I1852="","",$I1852*Settings!$C$11)</f>
        <v>1</v>
      </c>
      <c r="U1852" s="57" t="str">
        <f t="shared" si="315"/>
        <v>OK</v>
      </c>
      <c r="V1852" s="55" t="str">
        <f t="shared" si="319"/>
        <v/>
      </c>
      <c r="W1852" s="55" t="str">
        <f>IF($V1852="","",IF(COUNTIF($V$5:$V1852,$V1852)=1,1,""))</f>
        <v/>
      </c>
      <c r="X1852" s="58" t="str">
        <f>IF($W1852="","",MAX($X$4:X1851)+1)</f>
        <v/>
      </c>
      <c r="Y1852" s="62"/>
      <c r="Z1852" s="62"/>
      <c r="AA1852" s="64" t="str">
        <f>IF($C1852="","",IFERROR(INDEX('Staff Directory'!$E$5:$E$594,MATCH($C1852,'Staff Directory'!$B$5:$B$594,0)),""))</f>
        <v>firstname113.lastname113@example.com</v>
      </c>
      <c r="AB1852" s="64" t="str">
        <f>IF($C1852="","",IF(ISNUMBER(SEARCH($D1852,Settings!$C$15)),"Pickup","Dispatch"))</f>
        <v>Pickup</v>
      </c>
      <c r="AC1852" s="64" t="str">
        <f t="shared" si="320"/>
        <v>Supply order ready for pickup</v>
      </c>
      <c r="AD1852" s="64" t="str">
        <f t="shared" si="311"/>
        <v>Dear PSW,
Your order is ready for pickup from Sample Branch, Wed-Fri 9am-4pm.</v>
      </c>
      <c r="AE1852" s="64" t="str">
        <f t="shared" si="312"/>
        <v>mailto:firstname113.lastname113@example.com?subject=Supply%20order%20ready%20for%20pickup&amp;body=Dear%20PSW%2C%0A%0AYour%20order%20is%20ready%20for%20pickup%20from%20Sample%20Branch%2C%20Wed-Fri%209am-4pm.</v>
      </c>
      <c r="AF1852" s="89" t="str">
        <f t="shared" si="321"/>
        <v>Draft email</v>
      </c>
      <c r="AG1852" s="64" t="str">
        <f>IF($C1852="","",IFERROR(INDEX('Staff Directory'!$K$595:$K$599,MATCH($C1852,'Staff Directory'!$B$5:$B$599,0)),$D1852))</f>
        <v>PSW</v>
      </c>
      <c r="AH1852" t="str">
        <f>IF($C1852="","",IFERROR(INDEX('Staff Directory'!$I$595:$I$599,MATCH($C1852,'Staff Directory'!$B$5:$B$599,0))&amp;" "&amp;INDEX('Staff Directory'!$J$595:$J$599,MATCH($C1852,'Staff Directory'!$B$5:$B$599,0)),$AG1852))</f>
        <v>PSW</v>
      </c>
      <c r="AI1852" s="102"/>
      <c r="AJ1852" s="101">
        <f>IF($F1852="","",SUMIFS($J$5:$J1852,$F$5:$F1852,$F1852))</f>
        <v>248</v>
      </c>
      <c r="AK1852" s="101">
        <f t="shared" si="313"/>
        <v>248</v>
      </c>
      <c r="AL1852" s="66" t="str" cm="1">
        <f t="array" ref="AL1852">IF($F1852="","",IFERROR(INDEX('Lot Balance'!$B$5:$B$500,MATCH(1,INDEX(('Lot Balance'!$A$5:$A$500=$F1852)*('Lot Balance'!$K$5:$K$500&lt;$AK1852)*('Lot Balance'!$K$5:$K$500+'Lot Balance'!$D$5:$D$500&gt;=$AK1852),0),0)),""))</f>
        <v>20-21734-5</v>
      </c>
      <c r="AM1852" s="66" t="str" cm="1">
        <f t="array" ref="AM1852">IF($F1852="","",IFERROR(INDEX('Lot Balance'!$B$5:$B$500,MATCH(1,INDEX(('Lot Balance'!$A$5:$A$500=$F1852)*('Lot Balance'!$K$5:$K$500&lt;$AJ1852)*('Lot Balance'!$K$5:$K$500+'Lot Balance'!$D$5:$D$500&gt;=$AJ1852),0),0)),""))</f>
        <v>20-21734-5</v>
      </c>
      <c r="AN1852" s="66" t="str">
        <f>IF($F1852="","",IF($AI1852&lt;&gt;"",IF(COUNTIFS('Lot Balance'!$A$5:$A$500,$F1852,'Lot Balance'!$B$5:$B$500,$AI1852)=0,"⚠ override is not a lot of this item",IF($AI1852=$AL1852,"Override = FEFO","Override - FEFO says "&amp;$AL1852)),IF($AL1852="","⚠ no receipt on file for this item",IF($AM1852&lt;&gt;$AL1852,"FEFO auto - split, also "&amp;$AM1852,"FEFO auto"))))</f>
        <v>FEFO auto</v>
      </c>
      <c r="AO1852" s="114"/>
    </row>
    <row r="1853" spans="1:41" x14ac:dyDescent="0.35">
      <c r="A1853" s="74">
        <v>46224</v>
      </c>
      <c r="B1853" s="18" t="str">
        <f>IF($C1853="","",IFERROR(INDEX('Staff Directory'!$A$5:$A$594,MATCH($C1853,'Staff Directory'!$B$5:$B$594,0)),"⚠ unknown staff"))</f>
        <v>PSW-053-A4</v>
      </c>
      <c r="C1853" s="49" t="s">
        <v>1029</v>
      </c>
      <c r="D1853" s="19" t="str">
        <f>IF($B1853="","",IFERROR(INDEX('Staff Directory'!$C$5:$C$594,MATCH($B1853,'Staff Directory'!$A$5:$A$594,0)),""))</f>
        <v>PSW</v>
      </c>
      <c r="E1853" s="19" t="str">
        <f>IF($B1853="","",IFERROR(INDEX('Staff Directory'!$D$5:$D$594,MATCH($B1853,'Staff Directory'!$A$5:$A$594,0)),""))</f>
        <v>A4</v>
      </c>
      <c r="F1853" s="9" t="s">
        <v>156</v>
      </c>
      <c r="G1853" s="18" t="str">
        <f>IF($F1853="","",IFERROR(INDEX(Items!$B$5:$B$597,MATCH($F1853,Items!$A$5:$A$597,0)),"⚠ not in Items"))</f>
        <v>Masks</v>
      </c>
      <c r="H1853" s="19" t="str">
        <f>IF($F1853="","",IFERROR(INDEX(Items!$C$5:$C$597,MATCH($F1853,Items!$A$5:$A$597,0)),""))</f>
        <v>One Size</v>
      </c>
      <c r="I1853" s="23">
        <f>IF($F1853="","",IFERROR(INDEX(Items!$E$5:$E$597,MATCH($F1853,Items!$A$5:$A$597,0)),""))</f>
        <v>50</v>
      </c>
      <c r="J1853" s="115">
        <f>IF(tblIssues[[#This Row],[Qty Override]]&lt;&gt;"",tblIssues[[#This Row],[Qty Override]],IF(tblIssues[[#This Row],[Standard Issue]]="","",tblIssues[[#This Row],[Standard Issue]]))</f>
        <v>50</v>
      </c>
      <c r="K1853" s="20">
        <f>IF($F1853="","",IFERROR(INDEX(Items!$D$5:$D$597,MATCH($F1853,Items!$A$5:$A$597,0)),""))</f>
        <v>0.25</v>
      </c>
      <c r="L1853" s="21">
        <f t="shared" si="316"/>
        <v>12.5</v>
      </c>
      <c r="M1853" s="9" t="str">
        <f t="shared" si="314"/>
        <v>LV2-10040-3</v>
      </c>
      <c r="N1853" s="24">
        <f>IF($A1853="","",WORKDAY($A1853,Settings!$C$9,HolidayDates))</f>
        <v>46232</v>
      </c>
      <c r="O1853" s="24">
        <f>IF($N1853="","",WORKDAY($N1853,Settings!$C$10,HolidayDates))</f>
        <v>46272</v>
      </c>
      <c r="P1853" s="10" t="s">
        <v>501</v>
      </c>
      <c r="Q1853" s="52" t="str">
        <f t="shared" si="317"/>
        <v>Collected</v>
      </c>
      <c r="R1853" s="55" t="str">
        <f t="shared" si="318"/>
        <v>2026-07</v>
      </c>
      <c r="S1853" s="55">
        <f>IF(OR($B1853="",$F1853="",$R1853=""),"",SUMIFS(tblIssues[Qty Issued],tblIssues[Staff ID],$B1853,tblIssues[Item Name],$F1853,tblIssues[Month],$R1853))</f>
        <v>50</v>
      </c>
      <c r="T1853" s="56">
        <f>IF($I1853="","",$I1853*Settings!$C$11)</f>
        <v>50</v>
      </c>
      <c r="U1853" s="57" t="str">
        <f t="shared" si="315"/>
        <v>OK</v>
      </c>
      <c r="V1853" s="55" t="str">
        <f t="shared" si="319"/>
        <v/>
      </c>
      <c r="W1853" s="55" t="str">
        <f>IF($V1853="","",IF(COUNTIF($V$5:$V1853,$V1853)=1,1,""))</f>
        <v/>
      </c>
      <c r="X1853" s="58" t="str">
        <f>IF($W1853="","",MAX($X$4:X1852)+1)</f>
        <v/>
      </c>
      <c r="Y1853" s="62"/>
      <c r="Z1853" s="62"/>
      <c r="AA1853" s="64" t="str">
        <f>IF($C1853="","",IFERROR(INDEX('Staff Directory'!$E$5:$E$594,MATCH($C1853,'Staff Directory'!$B$5:$B$594,0)),""))</f>
        <v>firstname113.lastname113@example.com</v>
      </c>
      <c r="AB1853" s="64" t="str">
        <f>IF($C1853="","",IF(ISNUMBER(SEARCH($D1853,Settings!$C$15)),"Pickup","Dispatch"))</f>
        <v>Pickup</v>
      </c>
      <c r="AC1853" s="64" t="str">
        <f t="shared" si="320"/>
        <v>Supply order ready for pickup</v>
      </c>
      <c r="AD1853" s="64" t="str">
        <f t="shared" si="311"/>
        <v>Dear PSW,
Your order is ready for pickup from Sample Branch, Wed-Fri 9am-4pm.</v>
      </c>
      <c r="AE1853" s="64" t="str">
        <f t="shared" si="312"/>
        <v>mailto:firstname113.lastname113@example.com?subject=Supply%20order%20ready%20for%20pickup&amp;body=Dear%20PSW%2C%0A%0AYour%20order%20is%20ready%20for%20pickup%20from%20Sample%20Branch%2C%20Wed-Fri%209am-4pm.</v>
      </c>
      <c r="AF1853" s="89" t="str">
        <f t="shared" si="321"/>
        <v>Draft email</v>
      </c>
      <c r="AG1853" s="64" t="str">
        <f>IF($C1853="","",IFERROR(INDEX('Staff Directory'!$K$595:$K$599,MATCH($C1853,'Staff Directory'!$B$5:$B$599,0)),$D1853))</f>
        <v>PSW</v>
      </c>
      <c r="AH1853" t="str">
        <f>IF($C1853="","",IFERROR(INDEX('Staff Directory'!$I$595:$I$599,MATCH($C1853,'Staff Directory'!$B$5:$B$599,0))&amp;" "&amp;INDEX('Staff Directory'!$J$595:$J$599,MATCH($C1853,'Staff Directory'!$B$5:$B$599,0)),$AG1853))</f>
        <v>PSW</v>
      </c>
      <c r="AI1853" s="102"/>
      <c r="AJ1853" s="101">
        <f>IF($F1853="","",SUMIFS($J$5:$J1853,$F$5:$F1853,$F1853))</f>
        <v>15200</v>
      </c>
      <c r="AK1853" s="101">
        <f t="shared" si="313"/>
        <v>15151</v>
      </c>
      <c r="AL1853" s="66" t="str" cm="1">
        <f t="array" ref="AL1853">IF($F1853="","",IFERROR(INDEX('Lot Balance'!$B$5:$B$500,MATCH(1,INDEX(('Lot Balance'!$A$5:$A$500=$F1853)*('Lot Balance'!$K$5:$K$500&lt;$AK1853)*('Lot Balance'!$K$5:$K$500+'Lot Balance'!$D$5:$D$500&gt;=$AK1853),0),0)),""))</f>
        <v>LV2-10040-3</v>
      </c>
      <c r="AM1853" s="66" t="str" cm="1">
        <f t="array" ref="AM1853">IF($F1853="","",IFERROR(INDEX('Lot Balance'!$B$5:$B$500,MATCH(1,INDEX(('Lot Balance'!$A$5:$A$500=$F1853)*('Lot Balance'!$K$5:$K$500&lt;$AJ1853)*('Lot Balance'!$K$5:$K$500+'Lot Balance'!$D$5:$D$500&gt;=$AJ1853),0),0)),""))</f>
        <v>LV2-10040-3</v>
      </c>
      <c r="AN1853" s="66" t="str">
        <f>IF($F1853="","",IF($AI1853&lt;&gt;"",IF(COUNTIFS('Lot Balance'!$A$5:$A$500,$F1853,'Lot Balance'!$B$5:$B$500,$AI1853)=0,"⚠ override is not a lot of this item",IF($AI1853=$AL1853,"Override = FEFO","Override - FEFO says "&amp;$AL1853)),IF($AL1853="","⚠ no receipt on file for this item",IF($AM1853&lt;&gt;$AL1853,"FEFO auto - split, also "&amp;$AM1853,"FEFO auto"))))</f>
        <v>FEFO auto</v>
      </c>
      <c r="AO1853" s="114"/>
    </row>
    <row r="1854" spans="1:41" x14ac:dyDescent="0.35">
      <c r="A1854" s="74">
        <v>46224</v>
      </c>
      <c r="B1854" s="18" t="str">
        <f>IF($C1854="","",IFERROR(INDEX('Staff Directory'!$A$5:$A$594,MATCH($C1854,'Staff Directory'!$B$5:$B$594,0)),"⚠ unknown staff"))</f>
        <v>PSW-125-A4</v>
      </c>
      <c r="C1854" s="49" t="s">
        <v>1104</v>
      </c>
      <c r="D1854" s="19" t="str">
        <f>IF($B1854="","",IFERROR(INDEX('Staff Directory'!$C$5:$C$594,MATCH($B1854,'Staff Directory'!$A$5:$A$594,0)),""))</f>
        <v>PSW</v>
      </c>
      <c r="E1854" s="19" t="str">
        <f>IF($B1854="","",IFERROR(INDEX('Staff Directory'!$D$5:$D$594,MATCH($B1854,'Staff Directory'!$A$5:$A$594,0)),""))</f>
        <v>A4</v>
      </c>
      <c r="F1854" s="9" t="s">
        <v>127</v>
      </c>
      <c r="G1854" s="18" t="str">
        <f>IF($F1854="","",IFERROR(INDEX(Items!$B$5:$B$597,MATCH($F1854,Items!$A$5:$A$597,0)),"⚠ not in Items"))</f>
        <v>Gloves</v>
      </c>
      <c r="H1854" s="19" t="str">
        <f>IF($F1854="","",IFERROR(INDEX(Items!$C$5:$C$597,MATCH($F1854,Items!$A$5:$A$597,0)),""))</f>
        <v>Medium</v>
      </c>
      <c r="I1854" s="23">
        <f>IF($F1854="","",IFERROR(INDEX(Items!$E$5:$E$597,MATCH($F1854,Items!$A$5:$A$597,0)),""))</f>
        <v>500</v>
      </c>
      <c r="J1854" s="115">
        <f>IF(tblIssues[[#This Row],[Qty Override]]&lt;&gt;"",tblIssues[[#This Row],[Qty Override]],IF(tblIssues[[#This Row],[Standard Issue]]="","",tblIssues[[#This Row],[Standard Issue]]))</f>
        <v>500</v>
      </c>
      <c r="K1854" s="20">
        <f>IF($F1854="","",IFERROR(INDEX(Items!$D$5:$D$597,MATCH($F1854,Items!$A$5:$A$597,0)),""))</f>
        <v>5.5E-2</v>
      </c>
      <c r="L1854" s="21">
        <f t="shared" si="316"/>
        <v>27.5</v>
      </c>
      <c r="M1854" s="9" t="str">
        <f t="shared" si="314"/>
        <v>ZIM511139896</v>
      </c>
      <c r="N1854" s="24">
        <f>IF($A1854="","",WORKDAY($A1854,Settings!$C$9,HolidayDates))</f>
        <v>46232</v>
      </c>
      <c r="O1854" s="24">
        <f>IF($N1854="","",WORKDAY($N1854,Settings!$C$10,HolidayDates))</f>
        <v>46272</v>
      </c>
      <c r="P1854" s="10" t="s">
        <v>501</v>
      </c>
      <c r="Q1854" s="52" t="str">
        <f t="shared" si="317"/>
        <v>Collected</v>
      </c>
      <c r="R1854" s="55" t="str">
        <f t="shared" si="318"/>
        <v>2026-07</v>
      </c>
      <c r="S1854" s="55">
        <f>IF(OR($B1854="",$F1854="",$R1854=""),"",SUMIFS(tblIssues[Qty Issued],tblIssues[Staff ID],$B1854,tblIssues[Item Name],$F1854,tblIssues[Month],$R1854))</f>
        <v>500</v>
      </c>
      <c r="T1854" s="56">
        <f>IF($I1854="","",$I1854*Settings!$C$11)</f>
        <v>500</v>
      </c>
      <c r="U1854" s="57" t="str">
        <f t="shared" si="315"/>
        <v>OK</v>
      </c>
      <c r="V1854" s="55" t="str">
        <f t="shared" si="319"/>
        <v/>
      </c>
      <c r="W1854" s="55" t="str">
        <f>IF($V1854="","",IF(COUNTIF($V$5:$V1854,$V1854)=1,1,""))</f>
        <v/>
      </c>
      <c r="X1854" s="58" t="str">
        <f>IF($W1854="","",MAX($X$4:X1853)+1)</f>
        <v/>
      </c>
      <c r="Y1854" s="62"/>
      <c r="Z1854" s="62"/>
      <c r="AA1854" s="64" t="str">
        <f>IF($C1854="","",IFERROR(INDEX('Staff Directory'!$E$5:$E$594,MATCH($C1854,'Staff Directory'!$B$5:$B$594,0)),""))</f>
        <v>firstname188.lastname188@example.com</v>
      </c>
      <c r="AB1854" s="64" t="str">
        <f>IF($C1854="","",IF(ISNUMBER(SEARCH($D1854,Settings!$C$15)),"Pickup","Dispatch"))</f>
        <v>Pickup</v>
      </c>
      <c r="AC1854" s="64" t="str">
        <f t="shared" si="320"/>
        <v>Supply order ready for pickup</v>
      </c>
      <c r="AD1854" s="64" t="str">
        <f t="shared" si="311"/>
        <v>Dear PSW,
Your order is ready for pickup from Sample Branch, Wed-Fri 9am-4pm.</v>
      </c>
      <c r="AE1854" s="64" t="str">
        <f t="shared" si="312"/>
        <v>mailto:firstname188.lastname188@example.com?subject=Supply%20order%20ready%20for%20pickup&amp;body=Dear%20PSW%2C%0A%0AYour%20order%20is%20ready%20for%20pickup%20from%20Sample%20Branch%2C%20Wed-Fri%209am-4pm.</v>
      </c>
      <c r="AF1854" s="89" t="str">
        <f t="shared" si="321"/>
        <v>Draft email</v>
      </c>
      <c r="AG1854" s="64" t="str">
        <f>IF($C1854="","",IFERROR(INDEX('Staff Directory'!$K$595:$K$599,MATCH($C1854,'Staff Directory'!$B$5:$B$599,0)),$D1854))</f>
        <v>PSW</v>
      </c>
      <c r="AH1854" t="str">
        <f>IF($C1854="","",IFERROR(INDEX('Staff Directory'!$I$595:$I$599,MATCH($C1854,'Staff Directory'!$B$5:$B$599,0))&amp;" "&amp;INDEX('Staff Directory'!$J$595:$J$599,MATCH($C1854,'Staff Directory'!$B$5:$B$599,0)),$AG1854))</f>
        <v>PSW</v>
      </c>
      <c r="AI1854" s="102"/>
      <c r="AJ1854" s="101">
        <f>IF($F1854="","",SUMIFS($J$5:$J1854,$F$5:$F1854,$F1854))</f>
        <v>111000</v>
      </c>
      <c r="AK1854" s="101">
        <f t="shared" si="313"/>
        <v>110501</v>
      </c>
      <c r="AL1854" s="66" t="str" cm="1">
        <f t="array" ref="AL1854">IF($F1854="","",IFERROR(INDEX('Lot Balance'!$B$5:$B$500,MATCH(1,INDEX(('Lot Balance'!$A$5:$A$500=$F1854)*('Lot Balance'!$K$5:$K$500&lt;$AK1854)*('Lot Balance'!$K$5:$K$500+'Lot Balance'!$D$5:$D$500&gt;=$AK1854),0),0)),""))</f>
        <v>ZIM511139896</v>
      </c>
      <c r="AM1854" s="66" t="str" cm="1">
        <f t="array" ref="AM1854">IF($F1854="","",IFERROR(INDEX('Lot Balance'!$B$5:$B$500,MATCH(1,INDEX(('Lot Balance'!$A$5:$A$500=$F1854)*('Lot Balance'!$K$5:$K$500&lt;$AJ1854)*('Lot Balance'!$K$5:$K$500+'Lot Balance'!$D$5:$D$500&gt;=$AJ1854),0),0)),""))</f>
        <v>ZIM511139896</v>
      </c>
      <c r="AN1854" s="66" t="str">
        <f>IF($F1854="","",IF($AI1854&lt;&gt;"",IF(COUNTIFS('Lot Balance'!$A$5:$A$500,$F1854,'Lot Balance'!$B$5:$B$500,$AI1854)=0,"⚠ override is not a lot of this item",IF($AI1854=$AL1854,"Override = FEFO","Override - FEFO says "&amp;$AL1854)),IF($AL1854="","⚠ no receipt on file for this item",IF($AM1854&lt;&gt;$AL1854,"FEFO auto - split, also "&amp;$AM1854,"FEFO auto"))))</f>
        <v>FEFO auto</v>
      </c>
      <c r="AO1854" s="114"/>
    </row>
    <row r="1855" spans="1:41" x14ac:dyDescent="0.35">
      <c r="A1855" s="74">
        <v>46224</v>
      </c>
      <c r="B1855" s="18" t="str">
        <f>IF($C1855="","",IFERROR(INDEX('Staff Directory'!$A$5:$A$594,MATCH($C1855,'Staff Directory'!$B$5:$B$594,0)),"⚠ unknown staff"))</f>
        <v>PSW-125-A4</v>
      </c>
      <c r="C1855" s="49" t="s">
        <v>1104</v>
      </c>
      <c r="D1855" s="19" t="str">
        <f>IF($B1855="","",IFERROR(INDEX('Staff Directory'!$C$5:$C$594,MATCH($B1855,'Staff Directory'!$A$5:$A$594,0)),""))</f>
        <v>PSW</v>
      </c>
      <c r="E1855" s="19" t="str">
        <f>IF($B1855="","",IFERROR(INDEX('Staff Directory'!$D$5:$D$594,MATCH($B1855,'Staff Directory'!$A$5:$A$594,0)),""))</f>
        <v>A4</v>
      </c>
      <c r="F1855" s="9" t="s">
        <v>191</v>
      </c>
      <c r="G1855" s="18" t="str">
        <f>IF($F1855="","",IFERROR(INDEX(Items!$B$5:$B$597,MATCH($F1855,Items!$A$5:$A$597,0)),"⚠ not in Items"))</f>
        <v>Sanitizer</v>
      </c>
      <c r="H1855" s="19" t="str">
        <f>IF($F1855="","",IFERROR(INDEX(Items!$C$5:$C$597,MATCH($F1855,Items!$A$5:$A$597,0)),""))</f>
        <v>236 ML</v>
      </c>
      <c r="I1855" s="23">
        <f>IF($F1855="","",IFERROR(INDEX(Items!$E$5:$E$597,MATCH($F1855,Items!$A$5:$A$597,0)),""))</f>
        <v>1</v>
      </c>
      <c r="J1855" s="115">
        <f>IF(tblIssues[[#This Row],[Qty Override]]&lt;&gt;"",tblIssues[[#This Row],[Qty Override]],IF(tblIssues[[#This Row],[Standard Issue]]="","",tblIssues[[#This Row],[Standard Issue]]))</f>
        <v>1</v>
      </c>
      <c r="K1855" s="20">
        <f>IF($F1855="","",IFERROR(INDEX(Items!$D$5:$D$597,MATCH($F1855,Items!$A$5:$A$597,0)),""))</f>
        <v>1E-4</v>
      </c>
      <c r="L1855" s="21">
        <f t="shared" si="316"/>
        <v>1E-4</v>
      </c>
      <c r="M1855" s="9" t="str">
        <f t="shared" si="314"/>
        <v>20-21734-5</v>
      </c>
      <c r="N1855" s="24">
        <f>IF($A1855="","",WORKDAY($A1855,Settings!$C$9,HolidayDates))</f>
        <v>46232</v>
      </c>
      <c r="O1855" s="24">
        <f>IF($N1855="","",WORKDAY($N1855,Settings!$C$10,HolidayDates))</f>
        <v>46272</v>
      </c>
      <c r="P1855" s="10" t="s">
        <v>501</v>
      </c>
      <c r="Q1855" s="52" t="str">
        <f t="shared" si="317"/>
        <v>Collected</v>
      </c>
      <c r="R1855" s="55" t="str">
        <f t="shared" si="318"/>
        <v>2026-07</v>
      </c>
      <c r="S1855" s="55">
        <f>IF(OR($B1855="",$F1855="",$R1855=""),"",SUMIFS(tblIssues[Qty Issued],tblIssues[Staff ID],$B1855,tblIssues[Item Name],$F1855,tblIssues[Month],$R1855))</f>
        <v>1</v>
      </c>
      <c r="T1855" s="56">
        <f>IF($I1855="","",$I1855*Settings!$C$11)</f>
        <v>1</v>
      </c>
      <c r="U1855" s="57" t="str">
        <f t="shared" si="315"/>
        <v>OK</v>
      </c>
      <c r="V1855" s="55" t="str">
        <f t="shared" si="319"/>
        <v/>
      </c>
      <c r="W1855" s="55" t="str">
        <f>IF($V1855="","",IF(COUNTIF($V$5:$V1855,$V1855)=1,1,""))</f>
        <v/>
      </c>
      <c r="X1855" s="58" t="str">
        <f>IF($W1855="","",MAX($X$4:X1854)+1)</f>
        <v/>
      </c>
      <c r="Y1855" s="62"/>
      <c r="Z1855" s="62"/>
      <c r="AA1855" s="64" t="str">
        <f>IF($C1855="","",IFERROR(INDEX('Staff Directory'!$E$5:$E$594,MATCH($C1855,'Staff Directory'!$B$5:$B$594,0)),""))</f>
        <v>firstname188.lastname188@example.com</v>
      </c>
      <c r="AB1855" s="64" t="str">
        <f>IF($C1855="","",IF(ISNUMBER(SEARCH($D1855,Settings!$C$15)),"Pickup","Dispatch"))</f>
        <v>Pickup</v>
      </c>
      <c r="AC1855" s="64" t="str">
        <f t="shared" si="320"/>
        <v>Supply order ready for pickup</v>
      </c>
      <c r="AD1855" s="64" t="str">
        <f t="shared" si="311"/>
        <v>Dear PSW,
Your order is ready for pickup from Sample Branch, Wed-Fri 9am-4pm.</v>
      </c>
      <c r="AE1855" s="64" t="str">
        <f t="shared" si="312"/>
        <v>mailto:firstname188.lastname188@example.com?subject=Supply%20order%20ready%20for%20pickup&amp;body=Dear%20PSW%2C%0A%0AYour%20order%20is%20ready%20for%20pickup%20from%20Sample%20Branch%2C%20Wed-Fri%209am-4pm.</v>
      </c>
      <c r="AF1855" s="89" t="str">
        <f t="shared" si="321"/>
        <v>Draft email</v>
      </c>
      <c r="AG1855" s="64" t="str">
        <f>IF($C1855="","",IFERROR(INDEX('Staff Directory'!$K$595:$K$599,MATCH($C1855,'Staff Directory'!$B$5:$B$599,0)),$D1855))</f>
        <v>PSW</v>
      </c>
      <c r="AH1855" t="str">
        <f>IF($C1855="","",IFERROR(INDEX('Staff Directory'!$I$595:$I$599,MATCH($C1855,'Staff Directory'!$B$5:$B$599,0))&amp;" "&amp;INDEX('Staff Directory'!$J$595:$J$599,MATCH($C1855,'Staff Directory'!$B$5:$B$599,0)),$AG1855))</f>
        <v>PSW</v>
      </c>
      <c r="AI1855" s="102"/>
      <c r="AJ1855" s="101">
        <f>IF($F1855="","",SUMIFS($J$5:$J1855,$F$5:$F1855,$F1855))</f>
        <v>249</v>
      </c>
      <c r="AK1855" s="101">
        <f t="shared" si="313"/>
        <v>249</v>
      </c>
      <c r="AL1855" s="66" t="str" cm="1">
        <f t="array" ref="AL1855">IF($F1855="","",IFERROR(INDEX('Lot Balance'!$B$5:$B$500,MATCH(1,INDEX(('Lot Balance'!$A$5:$A$500=$F1855)*('Lot Balance'!$K$5:$K$500&lt;$AK1855)*('Lot Balance'!$K$5:$K$500+'Lot Balance'!$D$5:$D$500&gt;=$AK1855),0),0)),""))</f>
        <v>20-21734-5</v>
      </c>
      <c r="AM1855" s="66" t="str" cm="1">
        <f t="array" ref="AM1855">IF($F1855="","",IFERROR(INDEX('Lot Balance'!$B$5:$B$500,MATCH(1,INDEX(('Lot Balance'!$A$5:$A$500=$F1855)*('Lot Balance'!$K$5:$K$500&lt;$AJ1855)*('Lot Balance'!$K$5:$K$500+'Lot Balance'!$D$5:$D$500&gt;=$AJ1855),0),0)),""))</f>
        <v>20-21734-5</v>
      </c>
      <c r="AN1855" s="66" t="str">
        <f>IF($F1855="","",IF($AI1855&lt;&gt;"",IF(COUNTIFS('Lot Balance'!$A$5:$A$500,$F1855,'Lot Balance'!$B$5:$B$500,$AI1855)=0,"⚠ override is not a lot of this item",IF($AI1855=$AL1855,"Override = FEFO","Override - FEFO says "&amp;$AL1855)),IF($AL1855="","⚠ no receipt on file for this item",IF($AM1855&lt;&gt;$AL1855,"FEFO auto - split, also "&amp;$AM1855,"FEFO auto"))))</f>
        <v>FEFO auto</v>
      </c>
      <c r="AO1855" s="114"/>
    </row>
    <row r="1856" spans="1:41" x14ac:dyDescent="0.35">
      <c r="A1856" s="74">
        <v>46224</v>
      </c>
      <c r="B1856" s="18" t="str">
        <f>IF($C1856="","",IFERROR(INDEX('Staff Directory'!$A$5:$A$594,MATCH($C1856,'Staff Directory'!$B$5:$B$594,0)),"⚠ unknown staff"))</f>
        <v>PSW-125-A4</v>
      </c>
      <c r="C1856" s="49" t="s">
        <v>1104</v>
      </c>
      <c r="D1856" s="19" t="str">
        <f>IF($B1856="","",IFERROR(INDEX('Staff Directory'!$C$5:$C$594,MATCH($B1856,'Staff Directory'!$A$5:$A$594,0)),""))</f>
        <v>PSW</v>
      </c>
      <c r="E1856" s="19" t="str">
        <f>IF($B1856="","",IFERROR(INDEX('Staff Directory'!$D$5:$D$594,MATCH($B1856,'Staff Directory'!$A$5:$A$594,0)),""))</f>
        <v>A4</v>
      </c>
      <c r="F1856" s="9" t="s">
        <v>115</v>
      </c>
      <c r="G1856" s="18" t="str">
        <f>IF($F1856="","",IFERROR(INDEX(Items!$B$5:$B$597,MATCH($F1856,Items!$A$5:$A$597,0)),"⚠ not in Items"))</f>
        <v>Wipes</v>
      </c>
      <c r="H1856" s="19">
        <f>IF($F1856="","",IFERROR(INDEX(Items!$C$5:$C$597,MATCH($F1856,Items!$A$5:$A$597,0)),""))</f>
        <v>80</v>
      </c>
      <c r="I1856" s="23">
        <f>IF($F1856="","",IFERROR(INDEX(Items!$E$5:$E$597,MATCH($F1856,Items!$A$5:$A$597,0)),""))</f>
        <v>80</v>
      </c>
      <c r="J1856" s="115">
        <f>IF(tblIssues[[#This Row],[Qty Override]]&lt;&gt;"",tblIssues[[#This Row],[Qty Override]],IF(tblIssues[[#This Row],[Standard Issue]]="","",tblIssues[[#This Row],[Standard Issue]]))</f>
        <v>80</v>
      </c>
      <c r="K1856" s="20">
        <f>IF($F1856="","",IFERROR(INDEX(Items!$D$5:$D$597,MATCH($F1856,Items!$A$5:$A$597,0)),""))</f>
        <v>0.1</v>
      </c>
      <c r="L1856" s="21">
        <f t="shared" si="316"/>
        <v>8</v>
      </c>
      <c r="M1856" s="9" t="str">
        <f t="shared" si="314"/>
        <v>LYSL500290</v>
      </c>
      <c r="N1856" s="24">
        <f>IF($A1856="","",WORKDAY($A1856,Settings!$C$9,HolidayDates))</f>
        <v>46232</v>
      </c>
      <c r="O1856" s="24">
        <f>IF($N1856="","",WORKDAY($N1856,Settings!$C$10,HolidayDates))</f>
        <v>46272</v>
      </c>
      <c r="P1856" s="10" t="s">
        <v>501</v>
      </c>
      <c r="Q1856" s="52" t="str">
        <f t="shared" si="317"/>
        <v>Collected</v>
      </c>
      <c r="R1856" s="55" t="str">
        <f t="shared" si="318"/>
        <v>2026-07</v>
      </c>
      <c r="S1856" s="55">
        <f>IF(OR($B1856="",$F1856="",$R1856=""),"",SUMIFS(tblIssues[Qty Issued],tblIssues[Staff ID],$B1856,tblIssues[Item Name],$F1856,tblIssues[Month],$R1856))</f>
        <v>80</v>
      </c>
      <c r="T1856" s="56">
        <f>IF($I1856="","",$I1856*Settings!$C$11)</f>
        <v>80</v>
      </c>
      <c r="U1856" s="57" t="str">
        <f t="shared" si="315"/>
        <v>OK</v>
      </c>
      <c r="V1856" s="55" t="str">
        <f t="shared" si="319"/>
        <v/>
      </c>
      <c r="W1856" s="55" t="str">
        <f>IF($V1856="","",IF(COUNTIF($V$5:$V1856,$V1856)=1,1,""))</f>
        <v/>
      </c>
      <c r="X1856" s="58" t="str">
        <f>IF($W1856="","",MAX($X$4:X1855)+1)</f>
        <v/>
      </c>
      <c r="Y1856" s="62"/>
      <c r="Z1856" s="62"/>
      <c r="AA1856" s="64" t="str">
        <f>IF($C1856="","",IFERROR(INDEX('Staff Directory'!$E$5:$E$594,MATCH($C1856,'Staff Directory'!$B$5:$B$594,0)),""))</f>
        <v>firstname188.lastname188@example.com</v>
      </c>
      <c r="AB1856" s="64" t="str">
        <f>IF($C1856="","",IF(ISNUMBER(SEARCH($D1856,Settings!$C$15)),"Pickup","Dispatch"))</f>
        <v>Pickup</v>
      </c>
      <c r="AC1856" s="64" t="str">
        <f t="shared" si="320"/>
        <v>Supply order ready for pickup</v>
      </c>
      <c r="AD1856" s="64" t="str">
        <f t="shared" si="311"/>
        <v>Dear PSW,
Your order is ready for pickup from Sample Branch, Wed-Fri 9am-4pm.</v>
      </c>
      <c r="AE1856" s="64" t="str">
        <f t="shared" si="312"/>
        <v>mailto:firstname188.lastname188@example.com?subject=Supply%20order%20ready%20for%20pickup&amp;body=Dear%20PSW%2C%0A%0AYour%20order%20is%20ready%20for%20pickup%20from%20Sample%20Branch%2C%20Wed-Fri%209am-4pm.</v>
      </c>
      <c r="AF1856" s="89" t="str">
        <f t="shared" si="321"/>
        <v>Draft email</v>
      </c>
      <c r="AG1856" s="64" t="str">
        <f>IF($C1856="","",IFERROR(INDEX('Staff Directory'!$K$595:$K$599,MATCH($C1856,'Staff Directory'!$B$5:$B$599,0)),$D1856))</f>
        <v>PSW</v>
      </c>
      <c r="AH1856" t="str">
        <f>IF($C1856="","",IFERROR(INDEX('Staff Directory'!$I$595:$I$599,MATCH($C1856,'Staff Directory'!$B$5:$B$599,0))&amp;" "&amp;INDEX('Staff Directory'!$J$595:$J$599,MATCH($C1856,'Staff Directory'!$B$5:$B$599,0)),$AG1856))</f>
        <v>PSW</v>
      </c>
      <c r="AI1856" s="102"/>
      <c r="AJ1856" s="101">
        <f>IF($F1856="","",SUMIFS($J$5:$J1856,$F$5:$F1856,$F1856))</f>
        <v>24480</v>
      </c>
      <c r="AK1856" s="101">
        <f t="shared" si="313"/>
        <v>24401</v>
      </c>
      <c r="AL1856" s="66" t="str" cm="1">
        <f t="array" ref="AL1856">IF($F1856="","",IFERROR(INDEX('Lot Balance'!$B$5:$B$500,MATCH(1,INDEX(('Lot Balance'!$A$5:$A$500=$F1856)*('Lot Balance'!$K$5:$K$500&lt;$AK1856)*('Lot Balance'!$K$5:$K$500+'Lot Balance'!$D$5:$D$500&gt;=$AK1856),0),0)),""))</f>
        <v>LYSL500290</v>
      </c>
      <c r="AM1856" s="66" t="str" cm="1">
        <f t="array" ref="AM1856">IF($F1856="","",IFERROR(INDEX('Lot Balance'!$B$5:$B$500,MATCH(1,INDEX(('Lot Balance'!$A$5:$A$500=$F1856)*('Lot Balance'!$K$5:$K$500&lt;$AJ1856)*('Lot Balance'!$K$5:$K$500+'Lot Balance'!$D$5:$D$500&gt;=$AJ1856),0),0)),""))</f>
        <v>LYSL500290</v>
      </c>
      <c r="AN1856" s="66" t="str">
        <f>IF($F1856="","",IF($AI1856&lt;&gt;"",IF(COUNTIFS('Lot Balance'!$A$5:$A$500,$F1856,'Lot Balance'!$B$5:$B$500,$AI1856)=0,"⚠ override is not a lot of this item",IF($AI1856=$AL1856,"Override = FEFO","Override - FEFO says "&amp;$AL1856)),IF($AL1856="","⚠ no receipt on file for this item",IF($AM1856&lt;&gt;$AL1856,"FEFO auto - split, also "&amp;$AM1856,"FEFO auto"))))</f>
        <v>FEFO auto</v>
      </c>
      <c r="AO1856" s="114"/>
    </row>
    <row r="1857" spans="1:41" x14ac:dyDescent="0.35">
      <c r="A1857" s="74">
        <v>46224</v>
      </c>
      <c r="B1857" s="18" t="str">
        <f>IF($C1857="","",IFERROR(INDEX('Staff Directory'!$A$5:$A$594,MATCH($C1857,'Staff Directory'!$B$5:$B$594,0)),"⚠ unknown staff"))</f>
        <v>PSW-125-A4</v>
      </c>
      <c r="C1857" s="49" t="s">
        <v>1104</v>
      </c>
      <c r="D1857" s="19" t="str">
        <f>IF($B1857="","",IFERROR(INDEX('Staff Directory'!$C$5:$C$594,MATCH($B1857,'Staff Directory'!$A$5:$A$594,0)),""))</f>
        <v>PSW</v>
      </c>
      <c r="E1857" s="19" t="str">
        <f>IF($B1857="","",IFERROR(INDEX('Staff Directory'!$D$5:$D$594,MATCH($B1857,'Staff Directory'!$A$5:$A$594,0)),""))</f>
        <v>A4</v>
      </c>
      <c r="F1857" s="9" t="s">
        <v>156</v>
      </c>
      <c r="G1857" s="18" t="str">
        <f>IF($F1857="","",IFERROR(INDEX(Items!$B$5:$B$597,MATCH($F1857,Items!$A$5:$A$597,0)),"⚠ not in Items"))</f>
        <v>Masks</v>
      </c>
      <c r="H1857" s="19" t="str">
        <f>IF($F1857="","",IFERROR(INDEX(Items!$C$5:$C$597,MATCH($F1857,Items!$A$5:$A$597,0)),""))</f>
        <v>One Size</v>
      </c>
      <c r="I1857" s="23">
        <f>IF($F1857="","",IFERROR(INDEX(Items!$E$5:$E$597,MATCH($F1857,Items!$A$5:$A$597,0)),""))</f>
        <v>50</v>
      </c>
      <c r="J1857" s="115">
        <f>IF(tblIssues[[#This Row],[Qty Override]]&lt;&gt;"",tblIssues[[#This Row],[Qty Override]],IF(tblIssues[[#This Row],[Standard Issue]]="","",tblIssues[[#This Row],[Standard Issue]]))</f>
        <v>50</v>
      </c>
      <c r="K1857" s="20">
        <f>IF($F1857="","",IFERROR(INDEX(Items!$D$5:$D$597,MATCH($F1857,Items!$A$5:$A$597,0)),""))</f>
        <v>0.25</v>
      </c>
      <c r="L1857" s="21">
        <f t="shared" si="316"/>
        <v>12.5</v>
      </c>
      <c r="M1857" s="9" t="str">
        <f t="shared" si="314"/>
        <v>LV2-10040-3</v>
      </c>
      <c r="N1857" s="24">
        <f>IF($A1857="","",WORKDAY($A1857,Settings!$C$9,HolidayDates))</f>
        <v>46232</v>
      </c>
      <c r="O1857" s="24">
        <f>IF($N1857="","",WORKDAY($N1857,Settings!$C$10,HolidayDates))</f>
        <v>46272</v>
      </c>
      <c r="P1857" s="10" t="s">
        <v>501</v>
      </c>
      <c r="Q1857" s="52" t="str">
        <f t="shared" si="317"/>
        <v>Collected</v>
      </c>
      <c r="R1857" s="55" t="str">
        <f t="shared" si="318"/>
        <v>2026-07</v>
      </c>
      <c r="S1857" s="55">
        <f>IF(OR($B1857="",$F1857="",$R1857=""),"",SUMIFS(tblIssues[Qty Issued],tblIssues[Staff ID],$B1857,tblIssues[Item Name],$F1857,tblIssues[Month],$R1857))</f>
        <v>50</v>
      </c>
      <c r="T1857" s="56">
        <f>IF($I1857="","",$I1857*Settings!$C$11)</f>
        <v>50</v>
      </c>
      <c r="U1857" s="57" t="str">
        <f t="shared" si="315"/>
        <v>OK</v>
      </c>
      <c r="V1857" s="55" t="str">
        <f t="shared" si="319"/>
        <v/>
      </c>
      <c r="W1857" s="55" t="str">
        <f>IF($V1857="","",IF(COUNTIF($V$5:$V1857,$V1857)=1,1,""))</f>
        <v/>
      </c>
      <c r="X1857" s="58" t="str">
        <f>IF($W1857="","",MAX($X$4:X1856)+1)</f>
        <v/>
      </c>
      <c r="Y1857" s="62"/>
      <c r="Z1857" s="62"/>
      <c r="AA1857" s="64" t="str">
        <f>IF($C1857="","",IFERROR(INDEX('Staff Directory'!$E$5:$E$594,MATCH($C1857,'Staff Directory'!$B$5:$B$594,0)),""))</f>
        <v>firstname188.lastname188@example.com</v>
      </c>
      <c r="AB1857" s="64" t="str">
        <f>IF($C1857="","",IF(ISNUMBER(SEARCH($D1857,Settings!$C$15)),"Pickup","Dispatch"))</f>
        <v>Pickup</v>
      </c>
      <c r="AC1857" s="64" t="str">
        <f t="shared" si="320"/>
        <v>Supply order ready for pickup</v>
      </c>
      <c r="AD1857" s="64" t="str">
        <f t="shared" si="311"/>
        <v>Dear PSW,
Your order is ready for pickup from Sample Branch, Wed-Fri 9am-4pm.</v>
      </c>
      <c r="AE1857" s="64" t="str">
        <f t="shared" si="312"/>
        <v>mailto:firstname188.lastname188@example.com?subject=Supply%20order%20ready%20for%20pickup&amp;body=Dear%20PSW%2C%0A%0AYour%20order%20is%20ready%20for%20pickup%20from%20Sample%20Branch%2C%20Wed-Fri%209am-4pm.</v>
      </c>
      <c r="AF1857" s="89" t="str">
        <f t="shared" si="321"/>
        <v>Draft email</v>
      </c>
      <c r="AG1857" s="64" t="str">
        <f>IF($C1857="","",IFERROR(INDEX('Staff Directory'!$K$595:$K$599,MATCH($C1857,'Staff Directory'!$B$5:$B$599,0)),$D1857))</f>
        <v>PSW</v>
      </c>
      <c r="AH1857" t="str">
        <f>IF($C1857="","",IFERROR(INDEX('Staff Directory'!$I$595:$I$599,MATCH($C1857,'Staff Directory'!$B$5:$B$599,0))&amp;" "&amp;INDEX('Staff Directory'!$J$595:$J$599,MATCH($C1857,'Staff Directory'!$B$5:$B$599,0)),$AG1857))</f>
        <v>PSW</v>
      </c>
      <c r="AI1857" s="102"/>
      <c r="AJ1857" s="101">
        <f>IF($F1857="","",SUMIFS($J$5:$J1857,$F$5:$F1857,$F1857))</f>
        <v>15250</v>
      </c>
      <c r="AK1857" s="101">
        <f t="shared" si="313"/>
        <v>15201</v>
      </c>
      <c r="AL1857" s="66" t="str" cm="1">
        <f t="array" ref="AL1857">IF($F1857="","",IFERROR(INDEX('Lot Balance'!$B$5:$B$500,MATCH(1,INDEX(('Lot Balance'!$A$5:$A$500=$F1857)*('Lot Balance'!$K$5:$K$500&lt;$AK1857)*('Lot Balance'!$K$5:$K$500+'Lot Balance'!$D$5:$D$500&gt;=$AK1857),0),0)),""))</f>
        <v>LV2-10040-3</v>
      </c>
      <c r="AM1857" s="66" t="str" cm="1">
        <f t="array" ref="AM1857">IF($F1857="","",IFERROR(INDEX('Lot Balance'!$B$5:$B$500,MATCH(1,INDEX(('Lot Balance'!$A$5:$A$500=$F1857)*('Lot Balance'!$K$5:$K$500&lt;$AJ1857)*('Lot Balance'!$K$5:$K$500+'Lot Balance'!$D$5:$D$500&gt;=$AJ1857),0),0)),""))</f>
        <v>LV2-10040-3</v>
      </c>
      <c r="AN1857" s="66" t="str">
        <f>IF($F1857="","",IF($AI1857&lt;&gt;"",IF(COUNTIFS('Lot Balance'!$A$5:$A$500,$F1857,'Lot Balance'!$B$5:$B$500,$AI1857)=0,"⚠ override is not a lot of this item",IF($AI1857=$AL1857,"Override = FEFO","Override - FEFO says "&amp;$AL1857)),IF($AL1857="","⚠ no receipt on file for this item",IF($AM1857&lt;&gt;$AL1857,"FEFO auto - split, also "&amp;$AM1857,"FEFO auto"))))</f>
        <v>FEFO auto</v>
      </c>
      <c r="AO1857" s="114"/>
    </row>
    <row r="1858" spans="1:41" x14ac:dyDescent="0.35">
      <c r="A1858" s="74">
        <v>46224</v>
      </c>
      <c r="B1858" s="18" t="str">
        <f>IF($C1858="","",IFERROR(INDEX('Staff Directory'!$A$5:$A$594,MATCH($C1858,'Staff Directory'!$B$5:$B$594,0)),"⚠ unknown staff"))</f>
        <v>PSW-036-A7</v>
      </c>
      <c r="C1858" s="49" t="s">
        <v>1011</v>
      </c>
      <c r="D1858" s="19" t="str">
        <f>IF($B1858="","",IFERROR(INDEX('Staff Directory'!$C$5:$C$594,MATCH($B1858,'Staff Directory'!$A$5:$A$594,0)),""))</f>
        <v>PSW</v>
      </c>
      <c r="E1858" s="19" t="str">
        <f>IF($B1858="","",IFERROR(INDEX('Staff Directory'!$D$5:$D$594,MATCH($B1858,'Staff Directory'!$A$5:$A$594,0)),""))</f>
        <v>A7</v>
      </c>
      <c r="F1858" s="9" t="s">
        <v>127</v>
      </c>
      <c r="G1858" s="18" t="str">
        <f>IF($F1858="","",IFERROR(INDEX(Items!$B$5:$B$597,MATCH($F1858,Items!$A$5:$A$597,0)),"⚠ not in Items"))</f>
        <v>Gloves</v>
      </c>
      <c r="H1858" s="19" t="str">
        <f>IF($F1858="","",IFERROR(INDEX(Items!$C$5:$C$597,MATCH($F1858,Items!$A$5:$A$597,0)),""))</f>
        <v>Medium</v>
      </c>
      <c r="I1858" s="23">
        <f>IF($F1858="","",IFERROR(INDEX(Items!$E$5:$E$597,MATCH($F1858,Items!$A$5:$A$597,0)),""))</f>
        <v>500</v>
      </c>
      <c r="J1858" s="115">
        <f>IF(tblIssues[[#This Row],[Qty Override]]&lt;&gt;"",tblIssues[[#This Row],[Qty Override]],IF(tblIssues[[#This Row],[Standard Issue]]="","",tblIssues[[#This Row],[Standard Issue]]))</f>
        <v>500</v>
      </c>
      <c r="K1858" s="20">
        <f>IF($F1858="","",IFERROR(INDEX(Items!$D$5:$D$597,MATCH($F1858,Items!$A$5:$A$597,0)),""))</f>
        <v>5.5E-2</v>
      </c>
      <c r="L1858" s="21">
        <f t="shared" si="316"/>
        <v>27.5</v>
      </c>
      <c r="M1858" s="9" t="str">
        <f t="shared" si="314"/>
        <v>ZIM511139896</v>
      </c>
      <c r="N1858" s="24">
        <f>IF($A1858="","",WORKDAY($A1858,Settings!$C$9,HolidayDates))</f>
        <v>46232</v>
      </c>
      <c r="O1858" s="24">
        <f>IF($N1858="","",WORKDAY($N1858,Settings!$C$10,HolidayDates))</f>
        <v>46272</v>
      </c>
      <c r="P1858" s="10" t="s">
        <v>501</v>
      </c>
      <c r="Q1858" s="52" t="str">
        <f t="shared" si="317"/>
        <v>Collected</v>
      </c>
      <c r="R1858" s="55" t="str">
        <f t="shared" si="318"/>
        <v>2026-07</v>
      </c>
      <c r="S1858" s="55">
        <f>IF(OR($B1858="",$F1858="",$R1858=""),"",SUMIFS(tblIssues[Qty Issued],tblIssues[Staff ID],$B1858,tblIssues[Item Name],$F1858,tblIssues[Month],$R1858))</f>
        <v>500</v>
      </c>
      <c r="T1858" s="56">
        <f>IF($I1858="","",$I1858*Settings!$C$11)</f>
        <v>500</v>
      </c>
      <c r="U1858" s="57" t="str">
        <f t="shared" si="315"/>
        <v>OK</v>
      </c>
      <c r="V1858" s="55" t="str">
        <f t="shared" si="319"/>
        <v/>
      </c>
      <c r="W1858" s="55" t="str">
        <f>IF($V1858="","",IF(COUNTIF($V$5:$V1858,$V1858)=1,1,""))</f>
        <v/>
      </c>
      <c r="X1858" s="58" t="str">
        <f>IF($W1858="","",MAX($X$4:X1857)+1)</f>
        <v/>
      </c>
      <c r="Y1858" s="62"/>
      <c r="Z1858" s="62"/>
      <c r="AA1858" s="64" t="str">
        <f>IF($C1858="","",IFERROR(INDEX('Staff Directory'!$E$5:$E$594,MATCH($C1858,'Staff Directory'!$B$5:$B$594,0)),""))</f>
        <v>firstname095.lastname095@example.com</v>
      </c>
      <c r="AB1858" s="64" t="str">
        <f>IF($C1858="","",IF(ISNUMBER(SEARCH($D1858,Settings!$C$15)),"Pickup","Dispatch"))</f>
        <v>Pickup</v>
      </c>
      <c r="AC1858" s="64" t="str">
        <f t="shared" si="320"/>
        <v>Supply order ready for pickup</v>
      </c>
      <c r="AD1858" s="64" t="str">
        <f t="shared" si="311"/>
        <v>Dear PSW,
Your order is ready for pickup from Sample Branch, Wed-Fri 9am-4pm.</v>
      </c>
      <c r="AE1858" s="64" t="str">
        <f t="shared" si="312"/>
        <v>mailto:firstname095.lastname095@example.com?subject=Supply%20order%20ready%20for%20pickup&amp;body=Dear%20PSW%2C%0A%0AYour%20order%20is%20ready%20for%20pickup%20from%20Sample%20Branch%2C%20Wed-Fri%209am-4pm.</v>
      </c>
      <c r="AF1858" s="89" t="str">
        <f t="shared" si="321"/>
        <v>Draft email</v>
      </c>
      <c r="AG1858" s="64" t="str">
        <f>IF($C1858="","",IFERROR(INDEX('Staff Directory'!$K$595:$K$599,MATCH($C1858,'Staff Directory'!$B$5:$B$599,0)),$D1858))</f>
        <v>PSW</v>
      </c>
      <c r="AH1858" t="str">
        <f>IF($C1858="","",IFERROR(INDEX('Staff Directory'!$I$595:$I$599,MATCH($C1858,'Staff Directory'!$B$5:$B$599,0))&amp;" "&amp;INDEX('Staff Directory'!$J$595:$J$599,MATCH($C1858,'Staff Directory'!$B$5:$B$599,0)),$AG1858))</f>
        <v>PSW</v>
      </c>
      <c r="AI1858" s="102"/>
      <c r="AJ1858" s="101">
        <f>IF($F1858="","",SUMIFS($J$5:$J1858,$F$5:$F1858,$F1858))</f>
        <v>111500</v>
      </c>
      <c r="AK1858" s="101">
        <f t="shared" si="313"/>
        <v>111001</v>
      </c>
      <c r="AL1858" s="66" t="str" cm="1">
        <f t="array" ref="AL1858">IF($F1858="","",IFERROR(INDEX('Lot Balance'!$B$5:$B$500,MATCH(1,INDEX(('Lot Balance'!$A$5:$A$500=$F1858)*('Lot Balance'!$K$5:$K$500&lt;$AK1858)*('Lot Balance'!$K$5:$K$500+'Lot Balance'!$D$5:$D$500&gt;=$AK1858),0),0)),""))</f>
        <v>ZIM511139896</v>
      </c>
      <c r="AM1858" s="66" t="str" cm="1">
        <f t="array" ref="AM1858">IF($F1858="","",IFERROR(INDEX('Lot Balance'!$B$5:$B$500,MATCH(1,INDEX(('Lot Balance'!$A$5:$A$500=$F1858)*('Lot Balance'!$K$5:$K$500&lt;$AJ1858)*('Lot Balance'!$K$5:$K$500+'Lot Balance'!$D$5:$D$500&gt;=$AJ1858),0),0)),""))</f>
        <v>ZIM511139896</v>
      </c>
      <c r="AN1858" s="66" t="str">
        <f>IF($F1858="","",IF($AI1858&lt;&gt;"",IF(COUNTIFS('Lot Balance'!$A$5:$A$500,$F1858,'Lot Balance'!$B$5:$B$500,$AI1858)=0,"⚠ override is not a lot of this item",IF($AI1858=$AL1858,"Override = FEFO","Override - FEFO says "&amp;$AL1858)),IF($AL1858="","⚠ no receipt on file for this item",IF($AM1858&lt;&gt;$AL1858,"FEFO auto - split, also "&amp;$AM1858,"FEFO auto"))))</f>
        <v>FEFO auto</v>
      </c>
      <c r="AO1858" s="114"/>
    </row>
    <row r="1859" spans="1:41" x14ac:dyDescent="0.35">
      <c r="A1859" s="74">
        <v>46224</v>
      </c>
      <c r="B1859" s="18" t="str">
        <f>IF($C1859="","",IFERROR(INDEX('Staff Directory'!$A$5:$A$594,MATCH($C1859,'Staff Directory'!$B$5:$B$594,0)),"⚠ unknown staff"))</f>
        <v>PSW-036-A7</v>
      </c>
      <c r="C1859" s="49" t="s">
        <v>1011</v>
      </c>
      <c r="D1859" s="19" t="str">
        <f>IF($B1859="","",IFERROR(INDEX('Staff Directory'!$C$5:$C$594,MATCH($B1859,'Staff Directory'!$A$5:$A$594,0)),""))</f>
        <v>PSW</v>
      </c>
      <c r="E1859" s="19" t="str">
        <f>IF($B1859="","",IFERROR(INDEX('Staff Directory'!$D$5:$D$594,MATCH($B1859,'Staff Directory'!$A$5:$A$594,0)),""))</f>
        <v>A7</v>
      </c>
      <c r="F1859" s="9" t="s">
        <v>191</v>
      </c>
      <c r="G1859" s="18" t="str">
        <f>IF($F1859="","",IFERROR(INDEX(Items!$B$5:$B$597,MATCH($F1859,Items!$A$5:$A$597,0)),"⚠ not in Items"))</f>
        <v>Sanitizer</v>
      </c>
      <c r="H1859" s="19" t="str">
        <f>IF($F1859="","",IFERROR(INDEX(Items!$C$5:$C$597,MATCH($F1859,Items!$A$5:$A$597,0)),""))</f>
        <v>236 ML</v>
      </c>
      <c r="I1859" s="23">
        <f>IF($F1859="","",IFERROR(INDEX(Items!$E$5:$E$597,MATCH($F1859,Items!$A$5:$A$597,0)),""))</f>
        <v>1</v>
      </c>
      <c r="J1859" s="115">
        <f>IF(tblIssues[[#This Row],[Qty Override]]&lt;&gt;"",tblIssues[[#This Row],[Qty Override]],IF(tblIssues[[#This Row],[Standard Issue]]="","",tblIssues[[#This Row],[Standard Issue]]))</f>
        <v>1</v>
      </c>
      <c r="K1859" s="20">
        <f>IF($F1859="","",IFERROR(INDEX(Items!$D$5:$D$597,MATCH($F1859,Items!$A$5:$A$597,0)),""))</f>
        <v>1E-4</v>
      </c>
      <c r="L1859" s="21">
        <f t="shared" si="316"/>
        <v>1E-4</v>
      </c>
      <c r="M1859" s="9" t="str">
        <f t="shared" si="314"/>
        <v>20-21734-5</v>
      </c>
      <c r="N1859" s="24">
        <f>IF($A1859="","",WORKDAY($A1859,Settings!$C$9,HolidayDates))</f>
        <v>46232</v>
      </c>
      <c r="O1859" s="24">
        <f>IF($N1859="","",WORKDAY($N1859,Settings!$C$10,HolidayDates))</f>
        <v>46272</v>
      </c>
      <c r="P1859" s="10" t="s">
        <v>501</v>
      </c>
      <c r="Q1859" s="52" t="str">
        <f t="shared" si="317"/>
        <v>Collected</v>
      </c>
      <c r="R1859" s="55" t="str">
        <f t="shared" si="318"/>
        <v>2026-07</v>
      </c>
      <c r="S1859" s="55">
        <f>IF(OR($B1859="",$F1859="",$R1859=""),"",SUMIFS(tblIssues[Qty Issued],tblIssues[Staff ID],$B1859,tblIssues[Item Name],$F1859,tblIssues[Month],$R1859))</f>
        <v>1</v>
      </c>
      <c r="T1859" s="56">
        <f>IF($I1859="","",$I1859*Settings!$C$11)</f>
        <v>1</v>
      </c>
      <c r="U1859" s="57" t="str">
        <f t="shared" si="315"/>
        <v>OK</v>
      </c>
      <c r="V1859" s="55" t="str">
        <f t="shared" si="319"/>
        <v/>
      </c>
      <c r="W1859" s="55" t="str">
        <f>IF($V1859="","",IF(COUNTIF($V$5:$V1859,$V1859)=1,1,""))</f>
        <v/>
      </c>
      <c r="X1859" s="58" t="str">
        <f>IF($W1859="","",MAX($X$4:X1858)+1)</f>
        <v/>
      </c>
      <c r="Y1859" s="62"/>
      <c r="Z1859" s="62"/>
      <c r="AA1859" s="64" t="str">
        <f>IF($C1859="","",IFERROR(INDEX('Staff Directory'!$E$5:$E$594,MATCH($C1859,'Staff Directory'!$B$5:$B$594,0)),""))</f>
        <v>firstname095.lastname095@example.com</v>
      </c>
      <c r="AB1859" s="64" t="str">
        <f>IF($C1859="","",IF(ISNUMBER(SEARCH($D1859,Settings!$C$15)),"Pickup","Dispatch"))</f>
        <v>Pickup</v>
      </c>
      <c r="AC1859" s="64" t="str">
        <f t="shared" si="320"/>
        <v>Supply order ready for pickup</v>
      </c>
      <c r="AD1859" s="64" t="str">
        <f t="shared" si="311"/>
        <v>Dear PSW,
Your order is ready for pickup from Sample Branch, Wed-Fri 9am-4pm.</v>
      </c>
      <c r="AE1859" s="64" t="str">
        <f t="shared" si="312"/>
        <v>mailto:firstname095.lastname095@example.com?subject=Supply%20order%20ready%20for%20pickup&amp;body=Dear%20PSW%2C%0A%0AYour%20order%20is%20ready%20for%20pickup%20from%20Sample%20Branch%2C%20Wed-Fri%209am-4pm.</v>
      </c>
      <c r="AF1859" s="89" t="str">
        <f t="shared" si="321"/>
        <v>Draft email</v>
      </c>
      <c r="AG1859" s="64" t="str">
        <f>IF($C1859="","",IFERROR(INDEX('Staff Directory'!$K$595:$K$599,MATCH($C1859,'Staff Directory'!$B$5:$B$599,0)),$D1859))</f>
        <v>PSW</v>
      </c>
      <c r="AH1859" t="str">
        <f>IF($C1859="","",IFERROR(INDEX('Staff Directory'!$I$595:$I$599,MATCH($C1859,'Staff Directory'!$B$5:$B$599,0))&amp;" "&amp;INDEX('Staff Directory'!$J$595:$J$599,MATCH($C1859,'Staff Directory'!$B$5:$B$599,0)),$AG1859))</f>
        <v>PSW</v>
      </c>
      <c r="AI1859" s="102"/>
      <c r="AJ1859" s="101">
        <f>IF($F1859="","",SUMIFS($J$5:$J1859,$F$5:$F1859,$F1859))</f>
        <v>250</v>
      </c>
      <c r="AK1859" s="101">
        <f t="shared" si="313"/>
        <v>250</v>
      </c>
      <c r="AL1859" s="66" t="str" cm="1">
        <f t="array" ref="AL1859">IF($F1859="","",IFERROR(INDEX('Lot Balance'!$B$5:$B$500,MATCH(1,INDEX(('Lot Balance'!$A$5:$A$500=$F1859)*('Lot Balance'!$K$5:$K$500&lt;$AK1859)*('Lot Balance'!$K$5:$K$500+'Lot Balance'!$D$5:$D$500&gt;=$AK1859),0),0)),""))</f>
        <v>20-21734-5</v>
      </c>
      <c r="AM1859" s="66" t="str" cm="1">
        <f t="array" ref="AM1859">IF($F1859="","",IFERROR(INDEX('Lot Balance'!$B$5:$B$500,MATCH(1,INDEX(('Lot Balance'!$A$5:$A$500=$F1859)*('Lot Balance'!$K$5:$K$500&lt;$AJ1859)*('Lot Balance'!$K$5:$K$500+'Lot Balance'!$D$5:$D$500&gt;=$AJ1859),0),0)),""))</f>
        <v>20-21734-5</v>
      </c>
      <c r="AN1859" s="66" t="str">
        <f>IF($F1859="","",IF($AI1859&lt;&gt;"",IF(COUNTIFS('Lot Balance'!$A$5:$A$500,$F1859,'Lot Balance'!$B$5:$B$500,$AI1859)=0,"⚠ override is not a lot of this item",IF($AI1859=$AL1859,"Override = FEFO","Override - FEFO says "&amp;$AL1859)),IF($AL1859="","⚠ no receipt on file for this item",IF($AM1859&lt;&gt;$AL1859,"FEFO auto - split, also "&amp;$AM1859,"FEFO auto"))))</f>
        <v>FEFO auto</v>
      </c>
      <c r="AO1859" s="114"/>
    </row>
    <row r="1860" spans="1:41" x14ac:dyDescent="0.35">
      <c r="A1860" s="74">
        <v>46224</v>
      </c>
      <c r="B1860" s="18" t="str">
        <f>IF($C1860="","",IFERROR(INDEX('Staff Directory'!$A$5:$A$594,MATCH($C1860,'Staff Directory'!$B$5:$B$594,0)),"⚠ unknown staff"))</f>
        <v>PSW-036-A7</v>
      </c>
      <c r="C1860" s="49" t="s">
        <v>1011</v>
      </c>
      <c r="D1860" s="19" t="str">
        <f>IF($B1860="","",IFERROR(INDEX('Staff Directory'!$C$5:$C$594,MATCH($B1860,'Staff Directory'!$A$5:$A$594,0)),""))</f>
        <v>PSW</v>
      </c>
      <c r="E1860" s="19" t="str">
        <f>IF($B1860="","",IFERROR(INDEX('Staff Directory'!$D$5:$D$594,MATCH($B1860,'Staff Directory'!$A$5:$A$594,0)),""))</f>
        <v>A7</v>
      </c>
      <c r="F1860" s="9" t="s">
        <v>115</v>
      </c>
      <c r="G1860" s="18" t="str">
        <f>IF($F1860="","",IFERROR(INDEX(Items!$B$5:$B$597,MATCH($F1860,Items!$A$5:$A$597,0)),"⚠ not in Items"))</f>
        <v>Wipes</v>
      </c>
      <c r="H1860" s="19">
        <f>IF($F1860="","",IFERROR(INDEX(Items!$C$5:$C$597,MATCH($F1860,Items!$A$5:$A$597,0)),""))</f>
        <v>80</v>
      </c>
      <c r="I1860" s="23">
        <f>IF($F1860="","",IFERROR(INDEX(Items!$E$5:$E$597,MATCH($F1860,Items!$A$5:$A$597,0)),""))</f>
        <v>80</v>
      </c>
      <c r="J1860" s="115">
        <f>IF(tblIssues[[#This Row],[Qty Override]]&lt;&gt;"",tblIssues[[#This Row],[Qty Override]],IF(tblIssues[[#This Row],[Standard Issue]]="","",tblIssues[[#This Row],[Standard Issue]]))</f>
        <v>80</v>
      </c>
      <c r="K1860" s="20">
        <f>IF($F1860="","",IFERROR(INDEX(Items!$D$5:$D$597,MATCH($F1860,Items!$A$5:$A$597,0)),""))</f>
        <v>0.1</v>
      </c>
      <c r="L1860" s="21">
        <f t="shared" si="316"/>
        <v>8</v>
      </c>
      <c r="M1860" s="9" t="str">
        <f t="shared" si="314"/>
        <v>LYSL500290</v>
      </c>
      <c r="N1860" s="24">
        <f>IF($A1860="","",WORKDAY($A1860,Settings!$C$9,HolidayDates))</f>
        <v>46232</v>
      </c>
      <c r="O1860" s="24">
        <f>IF($N1860="","",WORKDAY($N1860,Settings!$C$10,HolidayDates))</f>
        <v>46272</v>
      </c>
      <c r="P1860" s="10" t="s">
        <v>501</v>
      </c>
      <c r="Q1860" s="52" t="str">
        <f t="shared" si="317"/>
        <v>Collected</v>
      </c>
      <c r="R1860" s="55" t="str">
        <f t="shared" si="318"/>
        <v>2026-07</v>
      </c>
      <c r="S1860" s="55">
        <f>IF(OR($B1860="",$F1860="",$R1860=""),"",SUMIFS(tblIssues[Qty Issued],tblIssues[Staff ID],$B1860,tblIssues[Item Name],$F1860,tblIssues[Month],$R1860))</f>
        <v>80</v>
      </c>
      <c r="T1860" s="56">
        <f>IF($I1860="","",$I1860*Settings!$C$11)</f>
        <v>80</v>
      </c>
      <c r="U1860" s="57" t="str">
        <f t="shared" si="315"/>
        <v>OK</v>
      </c>
      <c r="V1860" s="55" t="str">
        <f t="shared" si="319"/>
        <v/>
      </c>
      <c r="W1860" s="55" t="str">
        <f>IF($V1860="","",IF(COUNTIF($V$5:$V1860,$V1860)=1,1,""))</f>
        <v/>
      </c>
      <c r="X1860" s="58" t="str">
        <f>IF($W1860="","",MAX($X$4:X1859)+1)</f>
        <v/>
      </c>
      <c r="Y1860" s="62"/>
      <c r="Z1860" s="62"/>
      <c r="AA1860" s="64" t="str">
        <f>IF($C1860="","",IFERROR(INDEX('Staff Directory'!$E$5:$E$594,MATCH($C1860,'Staff Directory'!$B$5:$B$594,0)),""))</f>
        <v>firstname095.lastname095@example.com</v>
      </c>
      <c r="AB1860" s="64" t="str">
        <f>IF($C1860="","",IF(ISNUMBER(SEARCH($D1860,Settings!$C$15)),"Pickup","Dispatch"))</f>
        <v>Pickup</v>
      </c>
      <c r="AC1860" s="64" t="str">
        <f t="shared" si="320"/>
        <v>Supply order ready for pickup</v>
      </c>
      <c r="AD1860" s="64" t="str">
        <f t="shared" si="311"/>
        <v>Dear PSW,
Your order is ready for pickup from Sample Branch, Wed-Fri 9am-4pm.</v>
      </c>
      <c r="AE1860" s="64" t="str">
        <f t="shared" si="312"/>
        <v>mailto:firstname095.lastname095@example.com?subject=Supply%20order%20ready%20for%20pickup&amp;body=Dear%20PSW%2C%0A%0AYour%20order%20is%20ready%20for%20pickup%20from%20Sample%20Branch%2C%20Wed-Fri%209am-4pm.</v>
      </c>
      <c r="AF1860" s="89" t="str">
        <f t="shared" si="321"/>
        <v>Draft email</v>
      </c>
      <c r="AG1860" s="64" t="str">
        <f>IF($C1860="","",IFERROR(INDEX('Staff Directory'!$K$595:$K$599,MATCH($C1860,'Staff Directory'!$B$5:$B$599,0)),$D1860))</f>
        <v>PSW</v>
      </c>
      <c r="AH1860" t="str">
        <f>IF($C1860="","",IFERROR(INDEX('Staff Directory'!$I$595:$I$599,MATCH($C1860,'Staff Directory'!$B$5:$B$599,0))&amp;" "&amp;INDEX('Staff Directory'!$J$595:$J$599,MATCH($C1860,'Staff Directory'!$B$5:$B$599,0)),$AG1860))</f>
        <v>PSW</v>
      </c>
      <c r="AI1860" s="102"/>
      <c r="AJ1860" s="101">
        <f>IF($F1860="","",SUMIFS($J$5:$J1860,$F$5:$F1860,$F1860))</f>
        <v>24560</v>
      </c>
      <c r="AK1860" s="101">
        <f t="shared" si="313"/>
        <v>24481</v>
      </c>
      <c r="AL1860" s="66" t="str" cm="1">
        <f t="array" ref="AL1860">IF($F1860="","",IFERROR(INDEX('Lot Balance'!$B$5:$B$500,MATCH(1,INDEX(('Lot Balance'!$A$5:$A$500=$F1860)*('Lot Balance'!$K$5:$K$500&lt;$AK1860)*('Lot Balance'!$K$5:$K$500+'Lot Balance'!$D$5:$D$500&gt;=$AK1860),0),0)),""))</f>
        <v>LYSL500290</v>
      </c>
      <c r="AM1860" s="66" t="str" cm="1">
        <f t="array" ref="AM1860">IF($F1860="","",IFERROR(INDEX('Lot Balance'!$B$5:$B$500,MATCH(1,INDEX(('Lot Balance'!$A$5:$A$500=$F1860)*('Lot Balance'!$K$5:$K$500&lt;$AJ1860)*('Lot Balance'!$K$5:$K$500+'Lot Balance'!$D$5:$D$500&gt;=$AJ1860),0),0)),""))</f>
        <v>LYSL500290</v>
      </c>
      <c r="AN1860" s="66" t="str">
        <f>IF($F1860="","",IF($AI1860&lt;&gt;"",IF(COUNTIFS('Lot Balance'!$A$5:$A$500,$F1860,'Lot Balance'!$B$5:$B$500,$AI1860)=0,"⚠ override is not a lot of this item",IF($AI1860=$AL1860,"Override = FEFO","Override - FEFO says "&amp;$AL1860)),IF($AL1860="","⚠ no receipt on file for this item",IF($AM1860&lt;&gt;$AL1860,"FEFO auto - split, also "&amp;$AM1860,"FEFO auto"))))</f>
        <v>FEFO auto</v>
      </c>
      <c r="AO1860" s="114"/>
    </row>
    <row r="1861" spans="1:41" x14ac:dyDescent="0.35">
      <c r="A1861" s="74">
        <v>46224</v>
      </c>
      <c r="B1861" s="18" t="str">
        <f>IF($C1861="","",IFERROR(INDEX('Staff Directory'!$A$5:$A$594,MATCH($C1861,'Staff Directory'!$B$5:$B$594,0)),"⚠ unknown staff"))</f>
        <v>PSW-036-A7</v>
      </c>
      <c r="C1861" s="49" t="s">
        <v>1011</v>
      </c>
      <c r="D1861" s="19" t="str">
        <f>IF($B1861="","",IFERROR(INDEX('Staff Directory'!$C$5:$C$594,MATCH($B1861,'Staff Directory'!$A$5:$A$594,0)),""))</f>
        <v>PSW</v>
      </c>
      <c r="E1861" s="19" t="str">
        <f>IF($B1861="","",IFERROR(INDEX('Staff Directory'!$D$5:$D$594,MATCH($B1861,'Staff Directory'!$A$5:$A$594,0)),""))</f>
        <v>A7</v>
      </c>
      <c r="F1861" s="9" t="s">
        <v>156</v>
      </c>
      <c r="G1861" s="18" t="str">
        <f>IF($F1861="","",IFERROR(INDEX(Items!$B$5:$B$597,MATCH($F1861,Items!$A$5:$A$597,0)),"⚠ not in Items"))</f>
        <v>Masks</v>
      </c>
      <c r="H1861" s="19" t="str">
        <f>IF($F1861="","",IFERROR(INDEX(Items!$C$5:$C$597,MATCH($F1861,Items!$A$5:$A$597,0)),""))</f>
        <v>One Size</v>
      </c>
      <c r="I1861" s="23">
        <f>IF($F1861="","",IFERROR(INDEX(Items!$E$5:$E$597,MATCH($F1861,Items!$A$5:$A$597,0)),""))</f>
        <v>50</v>
      </c>
      <c r="J1861" s="115">
        <f>IF(tblIssues[[#This Row],[Qty Override]]&lt;&gt;"",tblIssues[[#This Row],[Qty Override]],IF(tblIssues[[#This Row],[Standard Issue]]="","",tblIssues[[#This Row],[Standard Issue]]))</f>
        <v>50</v>
      </c>
      <c r="K1861" s="20">
        <f>IF($F1861="","",IFERROR(INDEX(Items!$D$5:$D$597,MATCH($F1861,Items!$A$5:$A$597,0)),""))</f>
        <v>0.25</v>
      </c>
      <c r="L1861" s="21">
        <f t="shared" si="316"/>
        <v>12.5</v>
      </c>
      <c r="M1861" s="9" t="str">
        <f t="shared" si="314"/>
        <v>LV2-10040-3</v>
      </c>
      <c r="N1861" s="24">
        <f>IF($A1861="","",WORKDAY($A1861,Settings!$C$9,HolidayDates))</f>
        <v>46232</v>
      </c>
      <c r="O1861" s="24">
        <f>IF($N1861="","",WORKDAY($N1861,Settings!$C$10,HolidayDates))</f>
        <v>46272</v>
      </c>
      <c r="P1861" s="10" t="s">
        <v>501</v>
      </c>
      <c r="Q1861" s="52" t="str">
        <f t="shared" si="317"/>
        <v>Collected</v>
      </c>
      <c r="R1861" s="55" t="str">
        <f t="shared" si="318"/>
        <v>2026-07</v>
      </c>
      <c r="S1861" s="55">
        <f>IF(OR($B1861="",$F1861="",$R1861=""),"",SUMIFS(tblIssues[Qty Issued],tblIssues[Staff ID],$B1861,tblIssues[Item Name],$F1861,tblIssues[Month],$R1861))</f>
        <v>50</v>
      </c>
      <c r="T1861" s="56">
        <f>IF($I1861="","",$I1861*Settings!$C$11)</f>
        <v>50</v>
      </c>
      <c r="U1861" s="57" t="str">
        <f t="shared" si="315"/>
        <v>OK</v>
      </c>
      <c r="V1861" s="55" t="str">
        <f t="shared" si="319"/>
        <v/>
      </c>
      <c r="W1861" s="55" t="str">
        <f>IF($V1861="","",IF(COUNTIF($V$5:$V1861,$V1861)=1,1,""))</f>
        <v/>
      </c>
      <c r="X1861" s="58" t="str">
        <f>IF($W1861="","",MAX($X$4:X1860)+1)</f>
        <v/>
      </c>
      <c r="Y1861" s="62"/>
      <c r="Z1861" s="62"/>
      <c r="AA1861" s="64" t="str">
        <f>IF($C1861="","",IFERROR(INDEX('Staff Directory'!$E$5:$E$594,MATCH($C1861,'Staff Directory'!$B$5:$B$594,0)),""))</f>
        <v>firstname095.lastname095@example.com</v>
      </c>
      <c r="AB1861" s="64" t="str">
        <f>IF($C1861="","",IF(ISNUMBER(SEARCH($D1861,Settings!$C$15)),"Pickup","Dispatch"))</f>
        <v>Pickup</v>
      </c>
      <c r="AC1861" s="64" t="str">
        <f t="shared" si="320"/>
        <v>Supply order ready for pickup</v>
      </c>
      <c r="AD1861" s="64" t="str">
        <f t="shared" ref="AD1861:AD1924" si="322">IF($AB1861="Pickup","Dear "&amp;$AH1861&amp;","&amp;CHAR(10)&amp;CHAR(10)&amp;"Your order is ready for pickup from Sample Branch, Wed-Fri 9am-4pm.",IF($AB1861="Dispatch","Dear "&amp;$AH1861&amp;","&amp;CHAR(10)&amp;CHAR(10)&amp;"Your order has been dispatched and is in transit. Reply if undelivered.",""))</f>
        <v>Dear PSW,
Your order is ready for pickup from Sample Branch, Wed-Fri 9am-4pm.</v>
      </c>
      <c r="AE1861" s="64" t="str">
        <f t="shared" ref="AE1861:AE1924" si="323">IF(OR($AA1861="",$AC1861=""),"","mailto:"&amp;$AA1861&amp;"?subject="&amp;_xlfn.ENCODEURL($AC1861)&amp;"&amp;body="&amp;_xlfn.ENCODEURL($AD1861))</f>
        <v>mailto:firstname095.lastname095@example.com?subject=Supply%20order%20ready%20for%20pickup&amp;body=Dear%20PSW%2C%0A%0AYour%20order%20is%20ready%20for%20pickup%20from%20Sample%20Branch%2C%20Wed-Fri%209am-4pm.</v>
      </c>
      <c r="AF1861" s="89" t="str">
        <f t="shared" si="321"/>
        <v>Draft email</v>
      </c>
      <c r="AG1861" s="64" t="str">
        <f>IF($C1861="","",IFERROR(INDEX('Staff Directory'!$K$595:$K$599,MATCH($C1861,'Staff Directory'!$B$5:$B$599,0)),$D1861))</f>
        <v>PSW</v>
      </c>
      <c r="AH1861" t="str">
        <f>IF($C1861="","",IFERROR(INDEX('Staff Directory'!$I$595:$I$599,MATCH($C1861,'Staff Directory'!$B$5:$B$599,0))&amp;" "&amp;INDEX('Staff Directory'!$J$595:$J$599,MATCH($C1861,'Staff Directory'!$B$5:$B$599,0)),$AG1861))</f>
        <v>PSW</v>
      </c>
      <c r="AI1861" s="102"/>
      <c r="AJ1861" s="101">
        <f>IF($F1861="","",SUMIFS($J$5:$J1861,$F$5:$F1861,$F1861))</f>
        <v>15300</v>
      </c>
      <c r="AK1861" s="101">
        <f t="shared" ref="AK1861:AK1924" si="324">IF($F1861="","",MAX(1,$AJ1861-MAX($J1861,0)+1))</f>
        <v>15251</v>
      </c>
      <c r="AL1861" s="66" t="str" cm="1">
        <f t="array" ref="AL1861">IF($F1861="","",IFERROR(INDEX('Lot Balance'!$B$5:$B$500,MATCH(1,INDEX(('Lot Balance'!$A$5:$A$500=$F1861)*('Lot Balance'!$K$5:$K$500&lt;$AK1861)*('Lot Balance'!$K$5:$K$500+'Lot Balance'!$D$5:$D$500&gt;=$AK1861),0),0)),""))</f>
        <v>LV2-10040-3</v>
      </c>
      <c r="AM1861" s="66" t="str" cm="1">
        <f t="array" ref="AM1861">IF($F1861="","",IFERROR(INDEX('Lot Balance'!$B$5:$B$500,MATCH(1,INDEX(('Lot Balance'!$A$5:$A$500=$F1861)*('Lot Balance'!$K$5:$K$500&lt;$AJ1861)*('Lot Balance'!$K$5:$K$500+'Lot Balance'!$D$5:$D$500&gt;=$AJ1861),0),0)),""))</f>
        <v>LV2-10040-3</v>
      </c>
      <c r="AN1861" s="66" t="str">
        <f>IF($F1861="","",IF($AI1861&lt;&gt;"",IF(COUNTIFS('Lot Balance'!$A$5:$A$500,$F1861,'Lot Balance'!$B$5:$B$500,$AI1861)=0,"⚠ override is not a lot of this item",IF($AI1861=$AL1861,"Override = FEFO","Override - FEFO says "&amp;$AL1861)),IF($AL1861="","⚠ no receipt on file for this item",IF($AM1861&lt;&gt;$AL1861,"FEFO auto - split, also "&amp;$AM1861,"FEFO auto"))))</f>
        <v>FEFO auto</v>
      </c>
      <c r="AO1861" s="114"/>
    </row>
    <row r="1862" spans="1:41" x14ac:dyDescent="0.35">
      <c r="A1862" s="74">
        <v>46224</v>
      </c>
      <c r="B1862" s="18" t="str">
        <f>IF($C1862="","",IFERROR(INDEX('Staff Directory'!$A$5:$A$594,MATCH($C1862,'Staff Directory'!$B$5:$B$594,0)),"⚠ unknown staff"))</f>
        <v>PSW-036-A7</v>
      </c>
      <c r="C1862" s="49" t="s">
        <v>1011</v>
      </c>
      <c r="D1862" s="19" t="str">
        <f>IF($B1862="","",IFERROR(INDEX('Staff Directory'!$C$5:$C$594,MATCH($B1862,'Staff Directory'!$A$5:$A$594,0)),""))</f>
        <v>PSW</v>
      </c>
      <c r="E1862" s="19" t="str">
        <f>IF($B1862="","",IFERROR(INDEX('Staff Directory'!$D$5:$D$594,MATCH($B1862,'Staff Directory'!$A$5:$A$594,0)),""))</f>
        <v>A7</v>
      </c>
      <c r="F1862" s="9" t="s">
        <v>758</v>
      </c>
      <c r="G1862" s="18" t="str">
        <f>IF($F1862="","",IFERROR(INDEX(Items!$B$5:$B$597,MATCH($F1862,Items!$A$5:$A$597,0)),"⚠ not in Items"))</f>
        <v>Utility</v>
      </c>
      <c r="H1862" s="19" t="str">
        <f>IF($F1862="","",IFERROR(INDEX(Items!$C$5:$C$597,MATCH($F1862,Items!$A$5:$A$597,0)),""))</f>
        <v>Standard</v>
      </c>
      <c r="I1862" s="23">
        <f>IF($F1862="","",IFERROR(INDEX(Items!$E$5:$E$597,MATCH($F1862,Items!$A$5:$A$597,0)),""))</f>
        <v>1</v>
      </c>
      <c r="J1862" s="115">
        <f>IF(tblIssues[[#This Row],[Qty Override]]&lt;&gt;"",tblIssues[[#This Row],[Qty Override]],IF(tblIssues[[#This Row],[Standard Issue]]="","",tblIssues[[#This Row],[Standard Issue]]))</f>
        <v>1</v>
      </c>
      <c r="K1862" s="20">
        <f>IF($F1862="","",IFERROR(INDEX(Items!$D$5:$D$597,MATCH($F1862,Items!$A$5:$A$597,0)),""))</f>
        <v>0</v>
      </c>
      <c r="L1862" s="21">
        <f t="shared" si="316"/>
        <v>0</v>
      </c>
      <c r="M1862" s="9" t="str">
        <f t="shared" ref="M1862:M1925" si="325">IF($F1862="","",IF($AI1862&lt;&gt;"",$AI1862,$AL1862))</f>
        <v/>
      </c>
      <c r="N1862" s="24">
        <f>IF($A1862="","",WORKDAY($A1862,Settings!$C$9,HolidayDates))</f>
        <v>46232</v>
      </c>
      <c r="O1862" s="24">
        <f>IF($N1862="","",WORKDAY($N1862,Settings!$C$10,HolidayDates))</f>
        <v>46272</v>
      </c>
      <c r="P1862" s="10" t="s">
        <v>501</v>
      </c>
      <c r="Q1862" s="52" t="str">
        <f t="shared" si="317"/>
        <v>Collected</v>
      </c>
      <c r="R1862" s="55" t="str">
        <f t="shared" si="318"/>
        <v>2026-07</v>
      </c>
      <c r="S1862" s="55">
        <f>IF(OR($B1862="",$F1862="",$R1862=""),"",SUMIFS(tblIssues[Qty Issued],tblIssues[Staff ID],$B1862,tblIssues[Item Name],$F1862,tblIssues[Month],$R1862))</f>
        <v>1</v>
      </c>
      <c r="T1862" s="56">
        <f>IF($I1862="","",$I1862*Settings!$C$11)</f>
        <v>1</v>
      </c>
      <c r="U1862" s="57" t="str">
        <f t="shared" ref="U1862:U1925" si="326">IF(OR($S1862="",$T1862=""),"",IF($S1862&gt;$T1862,IF($Y1862="Approved","APPROVED BY TL","⚠ OVER QUOTA"),"OK"))</f>
        <v>OK</v>
      </c>
      <c r="V1862" s="55" t="str">
        <f t="shared" si="319"/>
        <v/>
      </c>
      <c r="W1862" s="55" t="str">
        <f>IF($V1862="","",IF(COUNTIF($V$5:$V1862,$V1862)=1,1,""))</f>
        <v/>
      </c>
      <c r="X1862" s="58" t="str">
        <f>IF($W1862="","",MAX($X$4:X1861)+1)</f>
        <v/>
      </c>
      <c r="Y1862" s="62"/>
      <c r="Z1862" s="62"/>
      <c r="AA1862" s="64" t="str">
        <f>IF($C1862="","",IFERROR(INDEX('Staff Directory'!$E$5:$E$594,MATCH($C1862,'Staff Directory'!$B$5:$B$594,0)),""))</f>
        <v>firstname095.lastname095@example.com</v>
      </c>
      <c r="AB1862" s="64" t="str">
        <f>IF($C1862="","",IF(ISNUMBER(SEARCH($D1862,Settings!$C$15)),"Pickup","Dispatch"))</f>
        <v>Pickup</v>
      </c>
      <c r="AC1862" s="64" t="str">
        <f t="shared" si="320"/>
        <v>Supply order ready for pickup</v>
      </c>
      <c r="AD1862" s="64" t="str">
        <f t="shared" si="322"/>
        <v>Dear PSW,
Your order is ready for pickup from Sample Branch, Wed-Fri 9am-4pm.</v>
      </c>
      <c r="AE1862" s="64" t="str">
        <f t="shared" si="323"/>
        <v>mailto:firstname095.lastname095@example.com?subject=Supply%20order%20ready%20for%20pickup&amp;body=Dear%20PSW%2C%0A%0AYour%20order%20is%20ready%20for%20pickup%20from%20Sample%20Branch%2C%20Wed-Fri%209am-4pm.</v>
      </c>
      <c r="AF1862" s="89" t="str">
        <f t="shared" si="321"/>
        <v>Draft email</v>
      </c>
      <c r="AG1862" s="64" t="str">
        <f>IF($C1862="","",IFERROR(INDEX('Staff Directory'!$K$595:$K$599,MATCH($C1862,'Staff Directory'!$B$5:$B$599,0)),$D1862))</f>
        <v>PSW</v>
      </c>
      <c r="AH1862" t="str">
        <f>IF($C1862="","",IFERROR(INDEX('Staff Directory'!$I$595:$I$599,MATCH($C1862,'Staff Directory'!$B$5:$B$599,0))&amp;" "&amp;INDEX('Staff Directory'!$J$595:$J$599,MATCH($C1862,'Staff Directory'!$B$5:$B$599,0)),$AG1862))</f>
        <v>PSW</v>
      </c>
      <c r="AI1862" s="102"/>
      <c r="AJ1862" s="101">
        <f>IF($F1862="","",SUMIFS($J$5:$J1862,$F$5:$F1862,$F1862))</f>
        <v>78</v>
      </c>
      <c r="AK1862" s="101">
        <f t="shared" si="324"/>
        <v>78</v>
      </c>
      <c r="AL1862" s="66" t="str" cm="1">
        <f t="array" ref="AL1862">IF($F1862="","",IFERROR(INDEX('Lot Balance'!$B$5:$B$500,MATCH(1,INDEX(('Lot Balance'!$A$5:$A$500=$F1862)*('Lot Balance'!$K$5:$K$500&lt;$AK1862)*('Lot Balance'!$K$5:$K$500+'Lot Balance'!$D$5:$D$500&gt;=$AK1862),0),0)),""))</f>
        <v/>
      </c>
      <c r="AM1862" s="66" t="str" cm="1">
        <f t="array" ref="AM1862">IF($F1862="","",IFERROR(INDEX('Lot Balance'!$B$5:$B$500,MATCH(1,INDEX(('Lot Balance'!$A$5:$A$500=$F1862)*('Lot Balance'!$K$5:$K$500&lt;$AJ1862)*('Lot Balance'!$K$5:$K$500+'Lot Balance'!$D$5:$D$500&gt;=$AJ1862),0),0)),""))</f>
        <v/>
      </c>
      <c r="AN1862" s="66" t="str">
        <f>IF($F1862="","",IF($AI1862&lt;&gt;"",IF(COUNTIFS('Lot Balance'!$A$5:$A$500,$F1862,'Lot Balance'!$B$5:$B$500,$AI1862)=0,"⚠ override is not a lot of this item",IF($AI1862=$AL1862,"Override = FEFO","Override - FEFO says "&amp;$AL1862)),IF($AL1862="","⚠ no receipt on file for this item",IF($AM1862&lt;&gt;$AL1862,"FEFO auto - split, also "&amp;$AM1862,"FEFO auto"))))</f>
        <v>⚠ no receipt on file for this item</v>
      </c>
      <c r="AO1862" s="114"/>
    </row>
    <row r="1863" spans="1:41" x14ac:dyDescent="0.35">
      <c r="A1863" s="74">
        <v>46224</v>
      </c>
      <c r="B1863" s="18" t="str">
        <f>IF($C1863="","",IFERROR(INDEX('Staff Directory'!$A$5:$A$594,MATCH($C1863,'Staff Directory'!$B$5:$B$594,0)),"⚠ unknown staff"))</f>
        <v>PSW-119-A5</v>
      </c>
      <c r="C1863" s="49" t="s">
        <v>1098</v>
      </c>
      <c r="D1863" s="19" t="str">
        <f>IF($B1863="","",IFERROR(INDEX('Staff Directory'!$C$5:$C$594,MATCH($B1863,'Staff Directory'!$A$5:$A$594,0)),""))</f>
        <v>PSW</v>
      </c>
      <c r="E1863" s="19" t="str">
        <f>IF($B1863="","",IFERROR(INDEX('Staff Directory'!$D$5:$D$594,MATCH($B1863,'Staff Directory'!$A$5:$A$594,0)),""))</f>
        <v>A5</v>
      </c>
      <c r="F1863" s="9" t="s">
        <v>124</v>
      </c>
      <c r="G1863" s="18" t="str">
        <f>IF($F1863="","",IFERROR(INDEX(Items!$B$5:$B$597,MATCH($F1863,Items!$A$5:$A$597,0)),"⚠ not in Items"))</f>
        <v>Gloves</v>
      </c>
      <c r="H1863" s="19" t="str">
        <f>IF($F1863="","",IFERROR(INDEX(Items!$C$5:$C$597,MATCH($F1863,Items!$A$5:$A$597,0)),""))</f>
        <v>Large</v>
      </c>
      <c r="I1863" s="23">
        <f>IF($F1863="","",IFERROR(INDEX(Items!$E$5:$E$597,MATCH($F1863,Items!$A$5:$A$597,0)),""))</f>
        <v>500</v>
      </c>
      <c r="J1863" s="115">
        <f>IF(tblIssues[[#This Row],[Qty Override]]&lt;&gt;"",tblIssues[[#This Row],[Qty Override]],IF(tblIssues[[#This Row],[Standard Issue]]="","",tblIssues[[#This Row],[Standard Issue]]))</f>
        <v>500</v>
      </c>
      <c r="K1863" s="20">
        <f>IF($F1863="","",IFERROR(INDEX(Items!$D$5:$D$597,MATCH($F1863,Items!$A$5:$A$597,0)),""))</f>
        <v>5.5E-2</v>
      </c>
      <c r="L1863" s="21">
        <f t="shared" si="316"/>
        <v>27.5</v>
      </c>
      <c r="M1863" s="9" t="str">
        <f t="shared" si="325"/>
        <v>O17103</v>
      </c>
      <c r="N1863" s="24">
        <f>IF($A1863="","",WORKDAY($A1863,Settings!$C$9,HolidayDates))</f>
        <v>46232</v>
      </c>
      <c r="O1863" s="24">
        <f>IF($N1863="","",WORKDAY($N1863,Settings!$C$10,HolidayDates))</f>
        <v>46272</v>
      </c>
      <c r="P1863" s="10" t="s">
        <v>501</v>
      </c>
      <c r="Q1863" s="52" t="str">
        <f t="shared" si="317"/>
        <v>Collected</v>
      </c>
      <c r="R1863" s="55" t="str">
        <f t="shared" si="318"/>
        <v>2026-07</v>
      </c>
      <c r="S1863" s="55">
        <f>IF(OR($B1863="",$F1863="",$R1863=""),"",SUMIFS(tblIssues[Qty Issued],tblIssues[Staff ID],$B1863,tblIssues[Item Name],$F1863,tblIssues[Month],$R1863))</f>
        <v>500</v>
      </c>
      <c r="T1863" s="56">
        <f>IF($I1863="","",$I1863*Settings!$C$11)</f>
        <v>500</v>
      </c>
      <c r="U1863" s="57" t="str">
        <f t="shared" si="326"/>
        <v>OK</v>
      </c>
      <c r="V1863" s="55" t="str">
        <f t="shared" si="319"/>
        <v/>
      </c>
      <c r="W1863" s="55" t="str">
        <f>IF($V1863="","",IF(COUNTIF($V$5:$V1863,$V1863)=1,1,""))</f>
        <v/>
      </c>
      <c r="X1863" s="58" t="str">
        <f>IF($W1863="","",MAX($X$4:X1862)+1)</f>
        <v/>
      </c>
      <c r="Y1863" s="62"/>
      <c r="Z1863" s="62"/>
      <c r="AA1863" s="64" t="str">
        <f>IF($C1863="","",IFERROR(INDEX('Staff Directory'!$E$5:$E$594,MATCH($C1863,'Staff Directory'!$B$5:$B$594,0)),""))</f>
        <v>firstname182.lastname182@example.com</v>
      </c>
      <c r="AB1863" s="64" t="str">
        <f>IF($C1863="","",IF(ISNUMBER(SEARCH($D1863,Settings!$C$15)),"Pickup","Dispatch"))</f>
        <v>Pickup</v>
      </c>
      <c r="AC1863" s="64" t="str">
        <f t="shared" si="320"/>
        <v>Supply order ready for pickup</v>
      </c>
      <c r="AD1863" s="64" t="str">
        <f t="shared" si="322"/>
        <v>Dear PSW,
Your order is ready for pickup from Sample Branch, Wed-Fri 9am-4pm.</v>
      </c>
      <c r="AE1863" s="64" t="str">
        <f t="shared" si="323"/>
        <v>mailto:firstname182.lastname182@example.com?subject=Supply%20order%20ready%20for%20pickup&amp;body=Dear%20PSW%2C%0A%0AYour%20order%20is%20ready%20for%20pickup%20from%20Sample%20Branch%2C%20Wed-Fri%209am-4pm.</v>
      </c>
      <c r="AF1863" s="89" t="str">
        <f t="shared" si="321"/>
        <v>Draft email</v>
      </c>
      <c r="AG1863" s="64" t="str">
        <f>IF($C1863="","",IFERROR(INDEX('Staff Directory'!$K$595:$K$599,MATCH($C1863,'Staff Directory'!$B$5:$B$599,0)),$D1863))</f>
        <v>PSW</v>
      </c>
      <c r="AH1863" t="str">
        <f>IF($C1863="","",IFERROR(INDEX('Staff Directory'!$I$595:$I$599,MATCH($C1863,'Staff Directory'!$B$5:$B$599,0))&amp;" "&amp;INDEX('Staff Directory'!$J$595:$J$599,MATCH($C1863,'Staff Directory'!$B$5:$B$599,0)),$AG1863))</f>
        <v>PSW</v>
      </c>
      <c r="AI1863" s="102"/>
      <c r="AJ1863" s="101">
        <f>IF($F1863="","",SUMIFS($J$5:$J1863,$F$5:$F1863,$F1863))</f>
        <v>50000</v>
      </c>
      <c r="AK1863" s="101">
        <f t="shared" si="324"/>
        <v>49501</v>
      </c>
      <c r="AL1863" s="66" t="str" cm="1">
        <f t="array" ref="AL1863">IF($F1863="","",IFERROR(INDEX('Lot Balance'!$B$5:$B$500,MATCH(1,INDEX(('Lot Balance'!$A$5:$A$500=$F1863)*('Lot Balance'!$K$5:$K$500&lt;$AK1863)*('Lot Balance'!$K$5:$K$500+'Lot Balance'!$D$5:$D$500&gt;=$AK1863),0),0)),""))</f>
        <v>O17103</v>
      </c>
      <c r="AM1863" s="66" t="str" cm="1">
        <f t="array" ref="AM1863">IF($F1863="","",IFERROR(INDEX('Lot Balance'!$B$5:$B$500,MATCH(1,INDEX(('Lot Balance'!$A$5:$A$500=$F1863)*('Lot Balance'!$K$5:$K$500&lt;$AJ1863)*('Lot Balance'!$K$5:$K$500+'Lot Balance'!$D$5:$D$500&gt;=$AJ1863),0),0)),""))</f>
        <v>ZIM512142081</v>
      </c>
      <c r="AN1863" s="66" t="str">
        <f>IF($F1863="","",IF($AI1863&lt;&gt;"",IF(COUNTIFS('Lot Balance'!$A$5:$A$500,$F1863,'Lot Balance'!$B$5:$B$500,$AI1863)=0,"⚠ override is not a lot of this item",IF($AI1863=$AL1863,"Override = FEFO","Override - FEFO says "&amp;$AL1863)),IF($AL1863="","⚠ no receipt on file for this item",IF($AM1863&lt;&gt;$AL1863,"FEFO auto - split, also "&amp;$AM1863,"FEFO auto"))))</f>
        <v>FEFO auto - split, also ZIM512142081</v>
      </c>
      <c r="AO1863" s="114"/>
    </row>
    <row r="1864" spans="1:41" x14ac:dyDescent="0.35">
      <c r="A1864" s="74">
        <v>46224</v>
      </c>
      <c r="B1864" s="18" t="str">
        <f>IF($C1864="","",IFERROR(INDEX('Staff Directory'!$A$5:$A$594,MATCH($C1864,'Staff Directory'!$B$5:$B$594,0)),"⚠ unknown staff"))</f>
        <v>PSW-119-A5</v>
      </c>
      <c r="C1864" s="49" t="s">
        <v>1098</v>
      </c>
      <c r="D1864" s="19" t="str">
        <f>IF($B1864="","",IFERROR(INDEX('Staff Directory'!$C$5:$C$594,MATCH($B1864,'Staff Directory'!$A$5:$A$594,0)),""))</f>
        <v>PSW</v>
      </c>
      <c r="E1864" s="19" t="str">
        <f>IF($B1864="","",IFERROR(INDEX('Staff Directory'!$D$5:$D$594,MATCH($B1864,'Staff Directory'!$A$5:$A$594,0)),""))</f>
        <v>A5</v>
      </c>
      <c r="F1864" s="9" t="s">
        <v>191</v>
      </c>
      <c r="G1864" s="18" t="str">
        <f>IF($F1864="","",IFERROR(INDEX(Items!$B$5:$B$597,MATCH($F1864,Items!$A$5:$A$597,0)),"⚠ not in Items"))</f>
        <v>Sanitizer</v>
      </c>
      <c r="H1864" s="19" t="str">
        <f>IF($F1864="","",IFERROR(INDEX(Items!$C$5:$C$597,MATCH($F1864,Items!$A$5:$A$597,0)),""))</f>
        <v>236 ML</v>
      </c>
      <c r="I1864" s="23">
        <f>IF($F1864="","",IFERROR(INDEX(Items!$E$5:$E$597,MATCH($F1864,Items!$A$5:$A$597,0)),""))</f>
        <v>1</v>
      </c>
      <c r="J1864" s="115">
        <f>IF(tblIssues[[#This Row],[Qty Override]]&lt;&gt;"",tblIssues[[#This Row],[Qty Override]],IF(tblIssues[[#This Row],[Standard Issue]]="","",tblIssues[[#This Row],[Standard Issue]]))</f>
        <v>1</v>
      </c>
      <c r="K1864" s="20">
        <f>IF($F1864="","",IFERROR(INDEX(Items!$D$5:$D$597,MATCH($F1864,Items!$A$5:$A$597,0)),""))</f>
        <v>1E-4</v>
      </c>
      <c r="L1864" s="21">
        <f t="shared" ref="L1864:L1927" si="327">IF(OR($J1864="",$K1864=""),"",$J1864*$K1864)</f>
        <v>1E-4</v>
      </c>
      <c r="M1864" s="9" t="str">
        <f t="shared" si="325"/>
        <v>20-21734-5</v>
      </c>
      <c r="N1864" s="24">
        <f>IF($A1864="","",WORKDAY($A1864,Settings!$C$9,HolidayDates))</f>
        <v>46232</v>
      </c>
      <c r="O1864" s="24">
        <f>IF($N1864="","",WORKDAY($N1864,Settings!$C$10,HolidayDates))</f>
        <v>46272</v>
      </c>
      <c r="P1864" s="10" t="s">
        <v>501</v>
      </c>
      <c r="Q1864" s="52" t="str">
        <f t="shared" si="317"/>
        <v>Collected</v>
      </c>
      <c r="R1864" s="55" t="str">
        <f t="shared" si="318"/>
        <v>2026-07</v>
      </c>
      <c r="S1864" s="55">
        <f>IF(OR($B1864="",$F1864="",$R1864=""),"",SUMIFS(tblIssues[Qty Issued],tblIssues[Staff ID],$B1864,tblIssues[Item Name],$F1864,tblIssues[Month],$R1864))</f>
        <v>1</v>
      </c>
      <c r="T1864" s="56">
        <f>IF($I1864="","",$I1864*Settings!$C$11)</f>
        <v>1</v>
      </c>
      <c r="U1864" s="57" t="str">
        <f t="shared" si="326"/>
        <v>OK</v>
      </c>
      <c r="V1864" s="55" t="str">
        <f t="shared" si="319"/>
        <v/>
      </c>
      <c r="W1864" s="55" t="str">
        <f>IF($V1864="","",IF(COUNTIF($V$5:$V1864,$V1864)=1,1,""))</f>
        <v/>
      </c>
      <c r="X1864" s="58" t="str">
        <f>IF($W1864="","",MAX($X$4:X1863)+1)</f>
        <v/>
      </c>
      <c r="Y1864" s="62"/>
      <c r="Z1864" s="62"/>
      <c r="AA1864" s="64" t="str">
        <f>IF($C1864="","",IFERROR(INDEX('Staff Directory'!$E$5:$E$594,MATCH($C1864,'Staff Directory'!$B$5:$B$594,0)),""))</f>
        <v>firstname182.lastname182@example.com</v>
      </c>
      <c r="AB1864" s="64" t="str">
        <f>IF($C1864="","",IF(ISNUMBER(SEARCH($D1864,Settings!$C$15)),"Pickup","Dispatch"))</f>
        <v>Pickup</v>
      </c>
      <c r="AC1864" s="64" t="str">
        <f t="shared" si="320"/>
        <v>Supply order ready for pickup</v>
      </c>
      <c r="AD1864" s="64" t="str">
        <f t="shared" si="322"/>
        <v>Dear PSW,
Your order is ready for pickup from Sample Branch, Wed-Fri 9am-4pm.</v>
      </c>
      <c r="AE1864" s="64" t="str">
        <f t="shared" si="323"/>
        <v>mailto:firstname182.lastname182@example.com?subject=Supply%20order%20ready%20for%20pickup&amp;body=Dear%20PSW%2C%0A%0AYour%20order%20is%20ready%20for%20pickup%20from%20Sample%20Branch%2C%20Wed-Fri%209am-4pm.</v>
      </c>
      <c r="AF1864" s="89" t="str">
        <f t="shared" si="321"/>
        <v>Draft email</v>
      </c>
      <c r="AG1864" s="64" t="str">
        <f>IF($C1864="","",IFERROR(INDEX('Staff Directory'!$K$595:$K$599,MATCH($C1864,'Staff Directory'!$B$5:$B$599,0)),$D1864))</f>
        <v>PSW</v>
      </c>
      <c r="AH1864" t="str">
        <f>IF($C1864="","",IFERROR(INDEX('Staff Directory'!$I$595:$I$599,MATCH($C1864,'Staff Directory'!$B$5:$B$599,0))&amp;" "&amp;INDEX('Staff Directory'!$J$595:$J$599,MATCH($C1864,'Staff Directory'!$B$5:$B$599,0)),$AG1864))</f>
        <v>PSW</v>
      </c>
      <c r="AI1864" s="102"/>
      <c r="AJ1864" s="101">
        <f>IF($F1864="","",SUMIFS($J$5:$J1864,$F$5:$F1864,$F1864))</f>
        <v>251</v>
      </c>
      <c r="AK1864" s="101">
        <f t="shared" si="324"/>
        <v>251</v>
      </c>
      <c r="AL1864" s="66" t="str" cm="1">
        <f t="array" ref="AL1864">IF($F1864="","",IFERROR(INDEX('Lot Balance'!$B$5:$B$500,MATCH(1,INDEX(('Lot Balance'!$A$5:$A$500=$F1864)*('Lot Balance'!$K$5:$K$500&lt;$AK1864)*('Lot Balance'!$K$5:$K$500+'Lot Balance'!$D$5:$D$500&gt;=$AK1864),0),0)),""))</f>
        <v>20-21734-5</v>
      </c>
      <c r="AM1864" s="66" t="str" cm="1">
        <f t="array" ref="AM1864">IF($F1864="","",IFERROR(INDEX('Lot Balance'!$B$5:$B$500,MATCH(1,INDEX(('Lot Balance'!$A$5:$A$500=$F1864)*('Lot Balance'!$K$5:$K$500&lt;$AJ1864)*('Lot Balance'!$K$5:$K$500+'Lot Balance'!$D$5:$D$500&gt;=$AJ1864),0),0)),""))</f>
        <v>20-21734-5</v>
      </c>
      <c r="AN1864" s="66" t="str">
        <f>IF($F1864="","",IF($AI1864&lt;&gt;"",IF(COUNTIFS('Lot Balance'!$A$5:$A$500,$F1864,'Lot Balance'!$B$5:$B$500,$AI1864)=0,"⚠ override is not a lot of this item",IF($AI1864=$AL1864,"Override = FEFO","Override - FEFO says "&amp;$AL1864)),IF($AL1864="","⚠ no receipt on file for this item",IF($AM1864&lt;&gt;$AL1864,"FEFO auto - split, also "&amp;$AM1864,"FEFO auto"))))</f>
        <v>FEFO auto</v>
      </c>
      <c r="AO1864" s="114"/>
    </row>
    <row r="1865" spans="1:41" x14ac:dyDescent="0.35">
      <c r="A1865" s="74">
        <v>46224</v>
      </c>
      <c r="B1865" s="18" t="str">
        <f>IF($C1865="","",IFERROR(INDEX('Staff Directory'!$A$5:$A$594,MATCH($C1865,'Staff Directory'!$B$5:$B$594,0)),"⚠ unknown staff"))</f>
        <v>PSW-119-A5</v>
      </c>
      <c r="C1865" s="49" t="s">
        <v>1098</v>
      </c>
      <c r="D1865" s="19" t="str">
        <f>IF($B1865="","",IFERROR(INDEX('Staff Directory'!$C$5:$C$594,MATCH($B1865,'Staff Directory'!$A$5:$A$594,0)),""))</f>
        <v>PSW</v>
      </c>
      <c r="E1865" s="19" t="str">
        <f>IF($B1865="","",IFERROR(INDEX('Staff Directory'!$D$5:$D$594,MATCH($B1865,'Staff Directory'!$A$5:$A$594,0)),""))</f>
        <v>A5</v>
      </c>
      <c r="F1865" s="9" t="s">
        <v>115</v>
      </c>
      <c r="G1865" s="18" t="str">
        <f>IF($F1865="","",IFERROR(INDEX(Items!$B$5:$B$597,MATCH($F1865,Items!$A$5:$A$597,0)),"⚠ not in Items"))</f>
        <v>Wipes</v>
      </c>
      <c r="H1865" s="19">
        <f>IF($F1865="","",IFERROR(INDEX(Items!$C$5:$C$597,MATCH($F1865,Items!$A$5:$A$597,0)),""))</f>
        <v>80</v>
      </c>
      <c r="I1865" s="23">
        <f>IF($F1865="","",IFERROR(INDEX(Items!$E$5:$E$597,MATCH($F1865,Items!$A$5:$A$597,0)),""))</f>
        <v>80</v>
      </c>
      <c r="J1865" s="115">
        <f>IF(tblIssues[[#This Row],[Qty Override]]&lt;&gt;"",tblIssues[[#This Row],[Qty Override]],IF(tblIssues[[#This Row],[Standard Issue]]="","",tblIssues[[#This Row],[Standard Issue]]))</f>
        <v>80</v>
      </c>
      <c r="K1865" s="20">
        <f>IF($F1865="","",IFERROR(INDEX(Items!$D$5:$D$597,MATCH($F1865,Items!$A$5:$A$597,0)),""))</f>
        <v>0.1</v>
      </c>
      <c r="L1865" s="21">
        <f t="shared" si="327"/>
        <v>8</v>
      </c>
      <c r="M1865" s="9" t="str">
        <f t="shared" si="325"/>
        <v>LYSL500290</v>
      </c>
      <c r="N1865" s="24">
        <f>IF($A1865="","",WORKDAY($A1865,Settings!$C$9,HolidayDates))</f>
        <v>46232</v>
      </c>
      <c r="O1865" s="24">
        <f>IF($N1865="","",WORKDAY($N1865,Settings!$C$10,HolidayDates))</f>
        <v>46272</v>
      </c>
      <c r="P1865" s="10" t="s">
        <v>501</v>
      </c>
      <c r="Q1865" s="52" t="str">
        <f t="shared" si="317"/>
        <v>Collected</v>
      </c>
      <c r="R1865" s="55" t="str">
        <f t="shared" si="318"/>
        <v>2026-07</v>
      </c>
      <c r="S1865" s="55">
        <f>IF(OR($B1865="",$F1865="",$R1865=""),"",SUMIFS(tblIssues[Qty Issued],tblIssues[Staff ID],$B1865,tblIssues[Item Name],$F1865,tblIssues[Month],$R1865))</f>
        <v>80</v>
      </c>
      <c r="T1865" s="56">
        <f>IF($I1865="","",$I1865*Settings!$C$11)</f>
        <v>80</v>
      </c>
      <c r="U1865" s="57" t="str">
        <f t="shared" si="326"/>
        <v>OK</v>
      </c>
      <c r="V1865" s="55" t="str">
        <f t="shared" si="319"/>
        <v/>
      </c>
      <c r="W1865" s="55" t="str">
        <f>IF($V1865="","",IF(COUNTIF($V$5:$V1865,$V1865)=1,1,""))</f>
        <v/>
      </c>
      <c r="X1865" s="58" t="str">
        <f>IF($W1865="","",MAX($X$4:X1864)+1)</f>
        <v/>
      </c>
      <c r="Y1865" s="62"/>
      <c r="Z1865" s="62"/>
      <c r="AA1865" s="64" t="str">
        <f>IF($C1865="","",IFERROR(INDEX('Staff Directory'!$E$5:$E$594,MATCH($C1865,'Staff Directory'!$B$5:$B$594,0)),""))</f>
        <v>firstname182.lastname182@example.com</v>
      </c>
      <c r="AB1865" s="64" t="str">
        <f>IF($C1865="","",IF(ISNUMBER(SEARCH($D1865,Settings!$C$15)),"Pickup","Dispatch"))</f>
        <v>Pickup</v>
      </c>
      <c r="AC1865" s="64" t="str">
        <f t="shared" si="320"/>
        <v>Supply order ready for pickup</v>
      </c>
      <c r="AD1865" s="64" t="str">
        <f t="shared" si="322"/>
        <v>Dear PSW,
Your order is ready for pickup from Sample Branch, Wed-Fri 9am-4pm.</v>
      </c>
      <c r="AE1865" s="64" t="str">
        <f t="shared" si="323"/>
        <v>mailto:firstname182.lastname182@example.com?subject=Supply%20order%20ready%20for%20pickup&amp;body=Dear%20PSW%2C%0A%0AYour%20order%20is%20ready%20for%20pickup%20from%20Sample%20Branch%2C%20Wed-Fri%209am-4pm.</v>
      </c>
      <c r="AF1865" s="89" t="str">
        <f t="shared" si="321"/>
        <v>Draft email</v>
      </c>
      <c r="AG1865" s="64" t="str">
        <f>IF($C1865="","",IFERROR(INDEX('Staff Directory'!$K$595:$K$599,MATCH($C1865,'Staff Directory'!$B$5:$B$599,0)),$D1865))</f>
        <v>PSW</v>
      </c>
      <c r="AH1865" t="str">
        <f>IF($C1865="","",IFERROR(INDEX('Staff Directory'!$I$595:$I$599,MATCH($C1865,'Staff Directory'!$B$5:$B$599,0))&amp;" "&amp;INDEX('Staff Directory'!$J$595:$J$599,MATCH($C1865,'Staff Directory'!$B$5:$B$599,0)),$AG1865))</f>
        <v>PSW</v>
      </c>
      <c r="AI1865" s="102"/>
      <c r="AJ1865" s="101">
        <f>IF($F1865="","",SUMIFS($J$5:$J1865,$F$5:$F1865,$F1865))</f>
        <v>24640</v>
      </c>
      <c r="AK1865" s="101">
        <f t="shared" si="324"/>
        <v>24561</v>
      </c>
      <c r="AL1865" s="66" t="str" cm="1">
        <f t="array" ref="AL1865">IF($F1865="","",IFERROR(INDEX('Lot Balance'!$B$5:$B$500,MATCH(1,INDEX(('Lot Balance'!$A$5:$A$500=$F1865)*('Lot Balance'!$K$5:$K$500&lt;$AK1865)*('Lot Balance'!$K$5:$K$500+'Lot Balance'!$D$5:$D$500&gt;=$AK1865),0),0)),""))</f>
        <v>LYSL500290</v>
      </c>
      <c r="AM1865" s="66" t="str" cm="1">
        <f t="array" ref="AM1865">IF($F1865="","",IFERROR(INDEX('Lot Balance'!$B$5:$B$500,MATCH(1,INDEX(('Lot Balance'!$A$5:$A$500=$F1865)*('Lot Balance'!$K$5:$K$500&lt;$AJ1865)*('Lot Balance'!$K$5:$K$500+'Lot Balance'!$D$5:$D$500&gt;=$AJ1865),0),0)),""))</f>
        <v>LYSL500290</v>
      </c>
      <c r="AN1865" s="66" t="str">
        <f>IF($F1865="","",IF($AI1865&lt;&gt;"",IF(COUNTIFS('Lot Balance'!$A$5:$A$500,$F1865,'Lot Balance'!$B$5:$B$500,$AI1865)=0,"⚠ override is not a lot of this item",IF($AI1865=$AL1865,"Override = FEFO","Override - FEFO says "&amp;$AL1865)),IF($AL1865="","⚠ no receipt on file for this item",IF($AM1865&lt;&gt;$AL1865,"FEFO auto - split, also "&amp;$AM1865,"FEFO auto"))))</f>
        <v>FEFO auto</v>
      </c>
      <c r="AO1865" s="114"/>
    </row>
    <row r="1866" spans="1:41" x14ac:dyDescent="0.35">
      <c r="A1866" s="74">
        <v>46224</v>
      </c>
      <c r="B1866" s="18" t="str">
        <f>IF($C1866="","",IFERROR(INDEX('Staff Directory'!$A$5:$A$594,MATCH($C1866,'Staff Directory'!$B$5:$B$594,0)),"⚠ unknown staff"))</f>
        <v>PSW-119-A5</v>
      </c>
      <c r="C1866" s="49" t="s">
        <v>1098</v>
      </c>
      <c r="D1866" s="19" t="str">
        <f>IF($B1866="","",IFERROR(INDEX('Staff Directory'!$C$5:$C$594,MATCH($B1866,'Staff Directory'!$A$5:$A$594,0)),""))</f>
        <v>PSW</v>
      </c>
      <c r="E1866" s="19" t="str">
        <f>IF($B1866="","",IFERROR(INDEX('Staff Directory'!$D$5:$D$594,MATCH($B1866,'Staff Directory'!$A$5:$A$594,0)),""))</f>
        <v>A5</v>
      </c>
      <c r="F1866" s="9" t="s">
        <v>156</v>
      </c>
      <c r="G1866" s="18" t="str">
        <f>IF($F1866="","",IFERROR(INDEX(Items!$B$5:$B$597,MATCH($F1866,Items!$A$5:$A$597,0)),"⚠ not in Items"))</f>
        <v>Masks</v>
      </c>
      <c r="H1866" s="19" t="str">
        <f>IF($F1866="","",IFERROR(INDEX(Items!$C$5:$C$597,MATCH($F1866,Items!$A$5:$A$597,0)),""))</f>
        <v>One Size</v>
      </c>
      <c r="I1866" s="23">
        <f>IF($F1866="","",IFERROR(INDEX(Items!$E$5:$E$597,MATCH($F1866,Items!$A$5:$A$597,0)),""))</f>
        <v>50</v>
      </c>
      <c r="J1866" s="115">
        <f>IF(tblIssues[[#This Row],[Qty Override]]&lt;&gt;"",tblIssues[[#This Row],[Qty Override]],IF(tblIssues[[#This Row],[Standard Issue]]="","",tblIssues[[#This Row],[Standard Issue]]))</f>
        <v>50</v>
      </c>
      <c r="K1866" s="20">
        <f>IF($F1866="","",IFERROR(INDEX(Items!$D$5:$D$597,MATCH($F1866,Items!$A$5:$A$597,0)),""))</f>
        <v>0.25</v>
      </c>
      <c r="L1866" s="21">
        <f t="shared" si="327"/>
        <v>12.5</v>
      </c>
      <c r="M1866" s="9" t="str">
        <f t="shared" si="325"/>
        <v>LV2-10040-3</v>
      </c>
      <c r="N1866" s="24">
        <f>IF($A1866="","",WORKDAY($A1866,Settings!$C$9,HolidayDates))</f>
        <v>46232</v>
      </c>
      <c r="O1866" s="24">
        <f>IF($N1866="","",WORKDAY($N1866,Settings!$C$10,HolidayDates))</f>
        <v>46272</v>
      </c>
      <c r="P1866" s="10" t="s">
        <v>501</v>
      </c>
      <c r="Q1866" s="52" t="str">
        <f t="shared" si="317"/>
        <v>Collected</v>
      </c>
      <c r="R1866" s="55" t="str">
        <f t="shared" si="318"/>
        <v>2026-07</v>
      </c>
      <c r="S1866" s="55">
        <f>IF(OR($B1866="",$F1866="",$R1866=""),"",SUMIFS(tblIssues[Qty Issued],tblIssues[Staff ID],$B1866,tblIssues[Item Name],$F1866,tblIssues[Month],$R1866))</f>
        <v>50</v>
      </c>
      <c r="T1866" s="56">
        <f>IF($I1866="","",$I1866*Settings!$C$11)</f>
        <v>50</v>
      </c>
      <c r="U1866" s="57" t="str">
        <f t="shared" si="326"/>
        <v>OK</v>
      </c>
      <c r="V1866" s="55" t="str">
        <f t="shared" si="319"/>
        <v/>
      </c>
      <c r="W1866" s="55" t="str">
        <f>IF($V1866="","",IF(COUNTIF($V$5:$V1866,$V1866)=1,1,""))</f>
        <v/>
      </c>
      <c r="X1866" s="58" t="str">
        <f>IF($W1866="","",MAX($X$4:X1865)+1)</f>
        <v/>
      </c>
      <c r="Y1866" s="62"/>
      <c r="Z1866" s="62"/>
      <c r="AA1866" s="64" t="str">
        <f>IF($C1866="","",IFERROR(INDEX('Staff Directory'!$E$5:$E$594,MATCH($C1866,'Staff Directory'!$B$5:$B$594,0)),""))</f>
        <v>firstname182.lastname182@example.com</v>
      </c>
      <c r="AB1866" s="64" t="str">
        <f>IF($C1866="","",IF(ISNUMBER(SEARCH($D1866,Settings!$C$15)),"Pickup","Dispatch"))</f>
        <v>Pickup</v>
      </c>
      <c r="AC1866" s="64" t="str">
        <f t="shared" si="320"/>
        <v>Supply order ready for pickup</v>
      </c>
      <c r="AD1866" s="64" t="str">
        <f t="shared" si="322"/>
        <v>Dear PSW,
Your order is ready for pickup from Sample Branch, Wed-Fri 9am-4pm.</v>
      </c>
      <c r="AE1866" s="64" t="str">
        <f t="shared" si="323"/>
        <v>mailto:firstname182.lastname182@example.com?subject=Supply%20order%20ready%20for%20pickup&amp;body=Dear%20PSW%2C%0A%0AYour%20order%20is%20ready%20for%20pickup%20from%20Sample%20Branch%2C%20Wed-Fri%209am-4pm.</v>
      </c>
      <c r="AF1866" s="89" t="str">
        <f t="shared" si="321"/>
        <v>Draft email</v>
      </c>
      <c r="AG1866" s="64" t="str">
        <f>IF($C1866="","",IFERROR(INDEX('Staff Directory'!$K$595:$K$599,MATCH($C1866,'Staff Directory'!$B$5:$B$599,0)),$D1866))</f>
        <v>PSW</v>
      </c>
      <c r="AH1866" t="str">
        <f>IF($C1866="","",IFERROR(INDEX('Staff Directory'!$I$595:$I$599,MATCH($C1866,'Staff Directory'!$B$5:$B$599,0))&amp;" "&amp;INDEX('Staff Directory'!$J$595:$J$599,MATCH($C1866,'Staff Directory'!$B$5:$B$599,0)),$AG1866))</f>
        <v>PSW</v>
      </c>
      <c r="AI1866" s="102"/>
      <c r="AJ1866" s="101">
        <f>IF($F1866="","",SUMIFS($J$5:$J1866,$F$5:$F1866,$F1866))</f>
        <v>15350</v>
      </c>
      <c r="AK1866" s="101">
        <f t="shared" si="324"/>
        <v>15301</v>
      </c>
      <c r="AL1866" s="66" t="str" cm="1">
        <f t="array" ref="AL1866">IF($F1866="","",IFERROR(INDEX('Lot Balance'!$B$5:$B$500,MATCH(1,INDEX(('Lot Balance'!$A$5:$A$500=$F1866)*('Lot Balance'!$K$5:$K$500&lt;$AK1866)*('Lot Balance'!$K$5:$K$500+'Lot Balance'!$D$5:$D$500&gt;=$AK1866),0),0)),""))</f>
        <v>LV2-10040-3</v>
      </c>
      <c r="AM1866" s="66" t="str" cm="1">
        <f t="array" ref="AM1866">IF($F1866="","",IFERROR(INDEX('Lot Balance'!$B$5:$B$500,MATCH(1,INDEX(('Lot Balance'!$A$5:$A$500=$F1866)*('Lot Balance'!$K$5:$K$500&lt;$AJ1866)*('Lot Balance'!$K$5:$K$500+'Lot Balance'!$D$5:$D$500&gt;=$AJ1866),0),0)),""))</f>
        <v>LV2-10040-3</v>
      </c>
      <c r="AN1866" s="66" t="str">
        <f>IF($F1866="","",IF($AI1866&lt;&gt;"",IF(COUNTIFS('Lot Balance'!$A$5:$A$500,$F1866,'Lot Balance'!$B$5:$B$500,$AI1866)=0,"⚠ override is not a lot of this item",IF($AI1866=$AL1866,"Override = FEFO","Override - FEFO says "&amp;$AL1866)),IF($AL1866="","⚠ no receipt on file for this item",IF($AM1866&lt;&gt;$AL1866,"FEFO auto - split, also "&amp;$AM1866,"FEFO auto"))))</f>
        <v>FEFO auto</v>
      </c>
      <c r="AO1866" s="114"/>
    </row>
    <row r="1867" spans="1:41" x14ac:dyDescent="0.35">
      <c r="A1867" s="74">
        <v>46224</v>
      </c>
      <c r="B1867" s="18" t="str">
        <f>IF($C1867="","",IFERROR(INDEX('Staff Directory'!$A$5:$A$594,MATCH($C1867,'Staff Directory'!$B$5:$B$594,0)),"⚠ unknown staff"))</f>
        <v>PSW-119-A5</v>
      </c>
      <c r="C1867" s="49" t="s">
        <v>1098</v>
      </c>
      <c r="D1867" s="19" t="str">
        <f>IF($B1867="","",IFERROR(INDEX('Staff Directory'!$C$5:$C$594,MATCH($B1867,'Staff Directory'!$A$5:$A$594,0)),""))</f>
        <v>PSW</v>
      </c>
      <c r="E1867" s="19" t="str">
        <f>IF($B1867="","",IFERROR(INDEX('Staff Directory'!$D$5:$D$594,MATCH($B1867,'Staff Directory'!$A$5:$A$594,0)),""))</f>
        <v>A5</v>
      </c>
      <c r="F1867" s="9" t="s">
        <v>758</v>
      </c>
      <c r="G1867" s="18" t="str">
        <f>IF($F1867="","",IFERROR(INDEX(Items!$B$5:$B$597,MATCH($F1867,Items!$A$5:$A$597,0)),"⚠ not in Items"))</f>
        <v>Utility</v>
      </c>
      <c r="H1867" s="19" t="str">
        <f>IF($F1867="","",IFERROR(INDEX(Items!$C$5:$C$597,MATCH($F1867,Items!$A$5:$A$597,0)),""))</f>
        <v>Standard</v>
      </c>
      <c r="I1867" s="23">
        <f>IF($F1867="","",IFERROR(INDEX(Items!$E$5:$E$597,MATCH($F1867,Items!$A$5:$A$597,0)),""))</f>
        <v>1</v>
      </c>
      <c r="J1867" s="115">
        <f>IF(tblIssues[[#This Row],[Qty Override]]&lt;&gt;"",tblIssues[[#This Row],[Qty Override]],IF(tblIssues[[#This Row],[Standard Issue]]="","",tblIssues[[#This Row],[Standard Issue]]))</f>
        <v>1</v>
      </c>
      <c r="K1867" s="20">
        <f>IF($F1867="","",IFERROR(INDEX(Items!$D$5:$D$597,MATCH($F1867,Items!$A$5:$A$597,0)),""))</f>
        <v>0</v>
      </c>
      <c r="L1867" s="21">
        <f t="shared" si="327"/>
        <v>0</v>
      </c>
      <c r="M1867" s="9" t="str">
        <f t="shared" si="325"/>
        <v/>
      </c>
      <c r="N1867" s="24">
        <f>IF($A1867="","",WORKDAY($A1867,Settings!$C$9,HolidayDates))</f>
        <v>46232</v>
      </c>
      <c r="O1867" s="24">
        <f>IF($N1867="","",WORKDAY($N1867,Settings!$C$10,HolidayDates))</f>
        <v>46272</v>
      </c>
      <c r="P1867" s="10" t="s">
        <v>501</v>
      </c>
      <c r="Q1867" s="52" t="str">
        <f t="shared" si="317"/>
        <v>Collected</v>
      </c>
      <c r="R1867" s="55" t="str">
        <f t="shared" si="318"/>
        <v>2026-07</v>
      </c>
      <c r="S1867" s="55">
        <f>IF(OR($B1867="",$F1867="",$R1867=""),"",SUMIFS(tblIssues[Qty Issued],tblIssues[Staff ID],$B1867,tblIssues[Item Name],$F1867,tblIssues[Month],$R1867))</f>
        <v>1</v>
      </c>
      <c r="T1867" s="56">
        <f>IF($I1867="","",$I1867*Settings!$C$11)</f>
        <v>1</v>
      </c>
      <c r="U1867" s="57" t="str">
        <f t="shared" si="326"/>
        <v>OK</v>
      </c>
      <c r="V1867" s="55" t="str">
        <f t="shared" si="319"/>
        <v/>
      </c>
      <c r="W1867" s="55" t="str">
        <f>IF($V1867="","",IF(COUNTIF($V$5:$V1867,$V1867)=1,1,""))</f>
        <v/>
      </c>
      <c r="X1867" s="58" t="str">
        <f>IF($W1867="","",MAX($X$4:X1866)+1)</f>
        <v/>
      </c>
      <c r="Y1867" s="62"/>
      <c r="Z1867" s="62"/>
      <c r="AA1867" s="64" t="str">
        <f>IF($C1867="","",IFERROR(INDEX('Staff Directory'!$E$5:$E$594,MATCH($C1867,'Staff Directory'!$B$5:$B$594,0)),""))</f>
        <v>firstname182.lastname182@example.com</v>
      </c>
      <c r="AB1867" s="64" t="str">
        <f>IF($C1867="","",IF(ISNUMBER(SEARCH($D1867,Settings!$C$15)),"Pickup","Dispatch"))</f>
        <v>Pickup</v>
      </c>
      <c r="AC1867" s="64" t="str">
        <f t="shared" si="320"/>
        <v>Supply order ready for pickup</v>
      </c>
      <c r="AD1867" s="64" t="str">
        <f t="shared" si="322"/>
        <v>Dear PSW,
Your order is ready for pickup from Sample Branch, Wed-Fri 9am-4pm.</v>
      </c>
      <c r="AE1867" s="64" t="str">
        <f t="shared" si="323"/>
        <v>mailto:firstname182.lastname182@example.com?subject=Supply%20order%20ready%20for%20pickup&amp;body=Dear%20PSW%2C%0A%0AYour%20order%20is%20ready%20for%20pickup%20from%20Sample%20Branch%2C%20Wed-Fri%209am-4pm.</v>
      </c>
      <c r="AF1867" s="89" t="str">
        <f t="shared" si="321"/>
        <v>Draft email</v>
      </c>
      <c r="AG1867" s="64" t="str">
        <f>IF($C1867="","",IFERROR(INDEX('Staff Directory'!$K$595:$K$599,MATCH($C1867,'Staff Directory'!$B$5:$B$599,0)),$D1867))</f>
        <v>PSW</v>
      </c>
      <c r="AH1867" t="str">
        <f>IF($C1867="","",IFERROR(INDEX('Staff Directory'!$I$595:$I$599,MATCH($C1867,'Staff Directory'!$B$5:$B$599,0))&amp;" "&amp;INDEX('Staff Directory'!$J$595:$J$599,MATCH($C1867,'Staff Directory'!$B$5:$B$599,0)),$AG1867))</f>
        <v>PSW</v>
      </c>
      <c r="AI1867" s="102"/>
      <c r="AJ1867" s="101">
        <f>IF($F1867="","",SUMIFS($J$5:$J1867,$F$5:$F1867,$F1867))</f>
        <v>79</v>
      </c>
      <c r="AK1867" s="101">
        <f t="shared" si="324"/>
        <v>79</v>
      </c>
      <c r="AL1867" s="66" t="str" cm="1">
        <f t="array" ref="AL1867">IF($F1867="","",IFERROR(INDEX('Lot Balance'!$B$5:$B$500,MATCH(1,INDEX(('Lot Balance'!$A$5:$A$500=$F1867)*('Lot Balance'!$K$5:$K$500&lt;$AK1867)*('Lot Balance'!$K$5:$K$500+'Lot Balance'!$D$5:$D$500&gt;=$AK1867),0),0)),""))</f>
        <v/>
      </c>
      <c r="AM1867" s="66" t="str" cm="1">
        <f t="array" ref="AM1867">IF($F1867="","",IFERROR(INDEX('Lot Balance'!$B$5:$B$500,MATCH(1,INDEX(('Lot Balance'!$A$5:$A$500=$F1867)*('Lot Balance'!$K$5:$K$500&lt;$AJ1867)*('Lot Balance'!$K$5:$K$500+'Lot Balance'!$D$5:$D$500&gt;=$AJ1867),0),0)),""))</f>
        <v/>
      </c>
      <c r="AN1867" s="66" t="str">
        <f>IF($F1867="","",IF($AI1867&lt;&gt;"",IF(COUNTIFS('Lot Balance'!$A$5:$A$500,$F1867,'Lot Balance'!$B$5:$B$500,$AI1867)=0,"⚠ override is not a lot of this item",IF($AI1867=$AL1867,"Override = FEFO","Override - FEFO says "&amp;$AL1867)),IF($AL1867="","⚠ no receipt on file for this item",IF($AM1867&lt;&gt;$AL1867,"FEFO auto - split, also "&amp;$AM1867,"FEFO auto"))))</f>
        <v>⚠ no receipt on file for this item</v>
      </c>
      <c r="AO1867" s="114"/>
    </row>
    <row r="1868" spans="1:41" x14ac:dyDescent="0.35">
      <c r="A1868" s="74">
        <v>46224</v>
      </c>
      <c r="B1868" s="18" t="str">
        <f>IF($C1868="","",IFERROR(INDEX('Staff Directory'!$A$5:$A$594,MATCH($C1868,'Staff Directory'!$B$5:$B$594,0)),"⚠ unknown staff"))</f>
        <v>PSW-030-A4</v>
      </c>
      <c r="C1868" s="49" t="s">
        <v>1005</v>
      </c>
      <c r="D1868" s="19" t="str">
        <f>IF($B1868="","",IFERROR(INDEX('Staff Directory'!$C$5:$C$594,MATCH($B1868,'Staff Directory'!$A$5:$A$594,0)),""))</f>
        <v>PSW</v>
      </c>
      <c r="E1868" s="19" t="str">
        <f>IF($B1868="","",IFERROR(INDEX('Staff Directory'!$D$5:$D$594,MATCH($B1868,'Staff Directory'!$A$5:$A$594,0)),""))</f>
        <v>A4</v>
      </c>
      <c r="F1868" s="9" t="s">
        <v>127</v>
      </c>
      <c r="G1868" s="18" t="str">
        <f>IF($F1868="","",IFERROR(INDEX(Items!$B$5:$B$597,MATCH($F1868,Items!$A$5:$A$597,0)),"⚠ not in Items"))</f>
        <v>Gloves</v>
      </c>
      <c r="H1868" s="19" t="str">
        <f>IF($F1868="","",IFERROR(INDEX(Items!$C$5:$C$597,MATCH($F1868,Items!$A$5:$A$597,0)),""))</f>
        <v>Medium</v>
      </c>
      <c r="I1868" s="23">
        <f>IF($F1868="","",IFERROR(INDEX(Items!$E$5:$E$597,MATCH($F1868,Items!$A$5:$A$597,0)),""))</f>
        <v>500</v>
      </c>
      <c r="J1868" s="115">
        <f>IF(tblIssues[[#This Row],[Qty Override]]&lt;&gt;"",tblIssues[[#This Row],[Qty Override]],IF(tblIssues[[#This Row],[Standard Issue]]="","",tblIssues[[#This Row],[Standard Issue]]))</f>
        <v>500</v>
      </c>
      <c r="K1868" s="20">
        <f>IF($F1868="","",IFERROR(INDEX(Items!$D$5:$D$597,MATCH($F1868,Items!$A$5:$A$597,0)),""))</f>
        <v>5.5E-2</v>
      </c>
      <c r="L1868" s="21">
        <f t="shared" si="327"/>
        <v>27.5</v>
      </c>
      <c r="M1868" s="9" t="str">
        <f t="shared" si="325"/>
        <v>ZIM511139896</v>
      </c>
      <c r="N1868" s="24">
        <f>IF($A1868="","",WORKDAY($A1868,Settings!$C$9,HolidayDates))</f>
        <v>46232</v>
      </c>
      <c r="O1868" s="24">
        <f>IF($N1868="","",WORKDAY($N1868,Settings!$C$10,HolidayDates))</f>
        <v>46272</v>
      </c>
      <c r="P1868" s="10" t="s">
        <v>501</v>
      </c>
      <c r="Q1868" s="52" t="str">
        <f t="shared" si="317"/>
        <v>Collected</v>
      </c>
      <c r="R1868" s="55" t="str">
        <f t="shared" si="318"/>
        <v>2026-07</v>
      </c>
      <c r="S1868" s="55">
        <f>IF(OR($B1868="",$F1868="",$R1868=""),"",SUMIFS(tblIssues[Qty Issued],tblIssues[Staff ID],$B1868,tblIssues[Item Name],$F1868,tblIssues[Month],$R1868))</f>
        <v>500</v>
      </c>
      <c r="T1868" s="56">
        <f>IF($I1868="","",$I1868*Settings!$C$11)</f>
        <v>500</v>
      </c>
      <c r="U1868" s="57" t="str">
        <f t="shared" si="326"/>
        <v>OK</v>
      </c>
      <c r="V1868" s="55" t="str">
        <f t="shared" si="319"/>
        <v/>
      </c>
      <c r="W1868" s="55" t="str">
        <f>IF($V1868="","",IF(COUNTIF($V$5:$V1868,$V1868)=1,1,""))</f>
        <v/>
      </c>
      <c r="X1868" s="58" t="str">
        <f>IF($W1868="","",MAX($X$4:X1867)+1)</f>
        <v/>
      </c>
      <c r="Y1868" s="62"/>
      <c r="Z1868" s="62"/>
      <c r="AA1868" s="64" t="str">
        <f>IF($C1868="","",IFERROR(INDEX('Staff Directory'!$E$5:$E$594,MATCH($C1868,'Staff Directory'!$B$5:$B$594,0)),""))</f>
        <v>firstname089.lastname089@example.com</v>
      </c>
      <c r="AB1868" s="64" t="str">
        <f>IF($C1868="","",IF(ISNUMBER(SEARCH($D1868,Settings!$C$15)),"Pickup","Dispatch"))</f>
        <v>Pickup</v>
      </c>
      <c r="AC1868" s="64" t="str">
        <f t="shared" si="320"/>
        <v>Supply order ready for pickup</v>
      </c>
      <c r="AD1868" s="64" t="str">
        <f t="shared" si="322"/>
        <v>Dear PSW,
Your order is ready for pickup from Sample Branch, Wed-Fri 9am-4pm.</v>
      </c>
      <c r="AE1868" s="64" t="str">
        <f t="shared" si="323"/>
        <v>mailto:firstname089.lastname089@example.com?subject=Supply%20order%20ready%20for%20pickup&amp;body=Dear%20PSW%2C%0A%0AYour%20order%20is%20ready%20for%20pickup%20from%20Sample%20Branch%2C%20Wed-Fri%209am-4pm.</v>
      </c>
      <c r="AF1868" s="89" t="str">
        <f t="shared" si="321"/>
        <v>Draft email</v>
      </c>
      <c r="AG1868" s="64" t="str">
        <f>IF($C1868="","",IFERROR(INDEX('Staff Directory'!$K$595:$K$599,MATCH($C1868,'Staff Directory'!$B$5:$B$599,0)),$D1868))</f>
        <v>PSW</v>
      </c>
      <c r="AH1868" t="str">
        <f>IF($C1868="","",IFERROR(INDEX('Staff Directory'!$I$595:$I$599,MATCH($C1868,'Staff Directory'!$B$5:$B$599,0))&amp;" "&amp;INDEX('Staff Directory'!$J$595:$J$599,MATCH($C1868,'Staff Directory'!$B$5:$B$599,0)),$AG1868))</f>
        <v>PSW</v>
      </c>
      <c r="AI1868" s="102"/>
      <c r="AJ1868" s="101">
        <f>IF($F1868="","",SUMIFS($J$5:$J1868,$F$5:$F1868,$F1868))</f>
        <v>112000</v>
      </c>
      <c r="AK1868" s="101">
        <f t="shared" si="324"/>
        <v>111501</v>
      </c>
      <c r="AL1868" s="66" t="str" cm="1">
        <f t="array" ref="AL1868">IF($F1868="","",IFERROR(INDEX('Lot Balance'!$B$5:$B$500,MATCH(1,INDEX(('Lot Balance'!$A$5:$A$500=$F1868)*('Lot Balance'!$K$5:$K$500&lt;$AK1868)*('Lot Balance'!$K$5:$K$500+'Lot Balance'!$D$5:$D$500&gt;=$AK1868),0),0)),""))</f>
        <v>ZIM511139896</v>
      </c>
      <c r="AM1868" s="66" t="str" cm="1">
        <f t="array" ref="AM1868">IF($F1868="","",IFERROR(INDEX('Lot Balance'!$B$5:$B$500,MATCH(1,INDEX(('Lot Balance'!$A$5:$A$500=$F1868)*('Lot Balance'!$K$5:$K$500&lt;$AJ1868)*('Lot Balance'!$K$5:$K$500+'Lot Balance'!$D$5:$D$500&gt;=$AJ1868),0),0)),""))</f>
        <v>ZIM511139896</v>
      </c>
      <c r="AN1868" s="66" t="str">
        <f>IF($F1868="","",IF($AI1868&lt;&gt;"",IF(COUNTIFS('Lot Balance'!$A$5:$A$500,$F1868,'Lot Balance'!$B$5:$B$500,$AI1868)=0,"⚠ override is not a lot of this item",IF($AI1868=$AL1868,"Override = FEFO","Override - FEFO says "&amp;$AL1868)),IF($AL1868="","⚠ no receipt on file for this item",IF($AM1868&lt;&gt;$AL1868,"FEFO auto - split, also "&amp;$AM1868,"FEFO auto"))))</f>
        <v>FEFO auto</v>
      </c>
      <c r="AO1868" s="114"/>
    </row>
    <row r="1869" spans="1:41" x14ac:dyDescent="0.35">
      <c r="A1869" s="74">
        <v>46224</v>
      </c>
      <c r="B1869" s="18" t="str">
        <f>IF($C1869="","",IFERROR(INDEX('Staff Directory'!$A$5:$A$594,MATCH($C1869,'Staff Directory'!$B$5:$B$594,0)),"⚠ unknown staff"))</f>
        <v>PSW-030-A4</v>
      </c>
      <c r="C1869" s="49" t="s">
        <v>1005</v>
      </c>
      <c r="D1869" s="19" t="str">
        <f>IF($B1869="","",IFERROR(INDEX('Staff Directory'!$C$5:$C$594,MATCH($B1869,'Staff Directory'!$A$5:$A$594,0)),""))</f>
        <v>PSW</v>
      </c>
      <c r="E1869" s="19" t="str">
        <f>IF($B1869="","",IFERROR(INDEX('Staff Directory'!$D$5:$D$594,MATCH($B1869,'Staff Directory'!$A$5:$A$594,0)),""))</f>
        <v>A4</v>
      </c>
      <c r="F1869" s="9" t="s">
        <v>191</v>
      </c>
      <c r="G1869" s="18" t="str">
        <f>IF($F1869="","",IFERROR(INDEX(Items!$B$5:$B$597,MATCH($F1869,Items!$A$5:$A$597,0)),"⚠ not in Items"))</f>
        <v>Sanitizer</v>
      </c>
      <c r="H1869" s="19" t="str">
        <f>IF($F1869="","",IFERROR(INDEX(Items!$C$5:$C$597,MATCH($F1869,Items!$A$5:$A$597,0)),""))</f>
        <v>236 ML</v>
      </c>
      <c r="I1869" s="23">
        <f>IF($F1869="","",IFERROR(INDEX(Items!$E$5:$E$597,MATCH($F1869,Items!$A$5:$A$597,0)),""))</f>
        <v>1</v>
      </c>
      <c r="J1869" s="115">
        <f>IF(tblIssues[[#This Row],[Qty Override]]&lt;&gt;"",tblIssues[[#This Row],[Qty Override]],IF(tblIssues[[#This Row],[Standard Issue]]="","",tblIssues[[#This Row],[Standard Issue]]))</f>
        <v>1</v>
      </c>
      <c r="K1869" s="20">
        <f>IF($F1869="","",IFERROR(INDEX(Items!$D$5:$D$597,MATCH($F1869,Items!$A$5:$A$597,0)),""))</f>
        <v>1E-4</v>
      </c>
      <c r="L1869" s="21">
        <f t="shared" si="327"/>
        <v>1E-4</v>
      </c>
      <c r="M1869" s="9" t="str">
        <f t="shared" si="325"/>
        <v>20-21734-5</v>
      </c>
      <c r="N1869" s="24">
        <f>IF($A1869="","",WORKDAY($A1869,Settings!$C$9,HolidayDates))</f>
        <v>46232</v>
      </c>
      <c r="O1869" s="24">
        <f>IF($N1869="","",WORKDAY($N1869,Settings!$C$10,HolidayDates))</f>
        <v>46272</v>
      </c>
      <c r="P1869" s="10" t="s">
        <v>501</v>
      </c>
      <c r="Q1869" s="52" t="str">
        <f t="shared" si="317"/>
        <v>Collected</v>
      </c>
      <c r="R1869" s="55" t="str">
        <f t="shared" si="318"/>
        <v>2026-07</v>
      </c>
      <c r="S1869" s="55">
        <f>IF(OR($B1869="",$F1869="",$R1869=""),"",SUMIFS(tblIssues[Qty Issued],tblIssues[Staff ID],$B1869,tblIssues[Item Name],$F1869,tblIssues[Month],$R1869))</f>
        <v>1</v>
      </c>
      <c r="T1869" s="56">
        <f>IF($I1869="","",$I1869*Settings!$C$11)</f>
        <v>1</v>
      </c>
      <c r="U1869" s="57" t="str">
        <f t="shared" si="326"/>
        <v>OK</v>
      </c>
      <c r="V1869" s="55" t="str">
        <f t="shared" si="319"/>
        <v/>
      </c>
      <c r="W1869" s="55" t="str">
        <f>IF($V1869="","",IF(COUNTIF($V$5:$V1869,$V1869)=1,1,""))</f>
        <v/>
      </c>
      <c r="X1869" s="58" t="str">
        <f>IF($W1869="","",MAX($X$4:X1868)+1)</f>
        <v/>
      </c>
      <c r="Y1869" s="62"/>
      <c r="Z1869" s="62"/>
      <c r="AA1869" s="64" t="str">
        <f>IF($C1869="","",IFERROR(INDEX('Staff Directory'!$E$5:$E$594,MATCH($C1869,'Staff Directory'!$B$5:$B$594,0)),""))</f>
        <v>firstname089.lastname089@example.com</v>
      </c>
      <c r="AB1869" s="64" t="str">
        <f>IF($C1869="","",IF(ISNUMBER(SEARCH($D1869,Settings!$C$15)),"Pickup","Dispatch"))</f>
        <v>Pickup</v>
      </c>
      <c r="AC1869" s="64" t="str">
        <f t="shared" si="320"/>
        <v>Supply order ready for pickup</v>
      </c>
      <c r="AD1869" s="64" t="str">
        <f t="shared" si="322"/>
        <v>Dear PSW,
Your order is ready for pickup from Sample Branch, Wed-Fri 9am-4pm.</v>
      </c>
      <c r="AE1869" s="64" t="str">
        <f t="shared" si="323"/>
        <v>mailto:firstname089.lastname089@example.com?subject=Supply%20order%20ready%20for%20pickup&amp;body=Dear%20PSW%2C%0A%0AYour%20order%20is%20ready%20for%20pickup%20from%20Sample%20Branch%2C%20Wed-Fri%209am-4pm.</v>
      </c>
      <c r="AF1869" s="89" t="str">
        <f t="shared" si="321"/>
        <v>Draft email</v>
      </c>
      <c r="AG1869" s="64" t="str">
        <f>IF($C1869="","",IFERROR(INDEX('Staff Directory'!$K$595:$K$599,MATCH($C1869,'Staff Directory'!$B$5:$B$599,0)),$D1869))</f>
        <v>PSW</v>
      </c>
      <c r="AH1869" t="str">
        <f>IF($C1869="","",IFERROR(INDEX('Staff Directory'!$I$595:$I$599,MATCH($C1869,'Staff Directory'!$B$5:$B$599,0))&amp;" "&amp;INDEX('Staff Directory'!$J$595:$J$599,MATCH($C1869,'Staff Directory'!$B$5:$B$599,0)),$AG1869))</f>
        <v>PSW</v>
      </c>
      <c r="AI1869" s="102"/>
      <c r="AJ1869" s="101">
        <f>IF($F1869="","",SUMIFS($J$5:$J1869,$F$5:$F1869,$F1869))</f>
        <v>252</v>
      </c>
      <c r="AK1869" s="101">
        <f t="shared" si="324"/>
        <v>252</v>
      </c>
      <c r="AL1869" s="66" t="str" cm="1">
        <f t="array" ref="AL1869">IF($F1869="","",IFERROR(INDEX('Lot Balance'!$B$5:$B$500,MATCH(1,INDEX(('Lot Balance'!$A$5:$A$500=$F1869)*('Lot Balance'!$K$5:$K$500&lt;$AK1869)*('Lot Balance'!$K$5:$K$500+'Lot Balance'!$D$5:$D$500&gt;=$AK1869),0),0)),""))</f>
        <v>20-21734-5</v>
      </c>
      <c r="AM1869" s="66" t="str" cm="1">
        <f t="array" ref="AM1869">IF($F1869="","",IFERROR(INDEX('Lot Balance'!$B$5:$B$500,MATCH(1,INDEX(('Lot Balance'!$A$5:$A$500=$F1869)*('Lot Balance'!$K$5:$K$500&lt;$AJ1869)*('Lot Balance'!$K$5:$K$500+'Lot Balance'!$D$5:$D$500&gt;=$AJ1869),0),0)),""))</f>
        <v>20-21734-5</v>
      </c>
      <c r="AN1869" s="66" t="str">
        <f>IF($F1869="","",IF($AI1869&lt;&gt;"",IF(COUNTIFS('Lot Balance'!$A$5:$A$500,$F1869,'Lot Balance'!$B$5:$B$500,$AI1869)=0,"⚠ override is not a lot of this item",IF($AI1869=$AL1869,"Override = FEFO","Override - FEFO says "&amp;$AL1869)),IF($AL1869="","⚠ no receipt on file for this item",IF($AM1869&lt;&gt;$AL1869,"FEFO auto - split, also "&amp;$AM1869,"FEFO auto"))))</f>
        <v>FEFO auto</v>
      </c>
      <c r="AO1869" s="114"/>
    </row>
    <row r="1870" spans="1:41" x14ac:dyDescent="0.35">
      <c r="A1870" s="74">
        <v>46224</v>
      </c>
      <c r="B1870" s="18" t="str">
        <f>IF($C1870="","",IFERROR(INDEX('Staff Directory'!$A$5:$A$594,MATCH($C1870,'Staff Directory'!$B$5:$B$594,0)),"⚠ unknown staff"))</f>
        <v>PSW-030-A4</v>
      </c>
      <c r="C1870" s="49" t="s">
        <v>1005</v>
      </c>
      <c r="D1870" s="19" t="str">
        <f>IF($B1870="","",IFERROR(INDEX('Staff Directory'!$C$5:$C$594,MATCH($B1870,'Staff Directory'!$A$5:$A$594,0)),""))</f>
        <v>PSW</v>
      </c>
      <c r="E1870" s="19" t="str">
        <f>IF($B1870="","",IFERROR(INDEX('Staff Directory'!$D$5:$D$594,MATCH($B1870,'Staff Directory'!$A$5:$A$594,0)),""))</f>
        <v>A4</v>
      </c>
      <c r="F1870" s="9" t="s">
        <v>137</v>
      </c>
      <c r="G1870" s="18" t="str">
        <f>IF($F1870="","",IFERROR(INDEX(Items!$B$5:$B$597,MATCH($F1870,Items!$A$5:$A$597,0)),"⚠ not in Items"))</f>
        <v>Sanitizer</v>
      </c>
      <c r="H1870" s="19" t="str">
        <f>IF($F1870="","",IFERROR(INDEX(Items!$C$5:$C$597,MATCH($F1870,Items!$A$5:$A$597,0)),""))</f>
        <v>118 ML</v>
      </c>
      <c r="I1870" s="23">
        <f>IF($F1870="","",IFERROR(INDEX(Items!$E$5:$E$597,MATCH($F1870,Items!$A$5:$A$597,0)),""))</f>
        <v>2</v>
      </c>
      <c r="J1870" s="115">
        <f>IF(tblIssues[[#This Row],[Qty Override]]&lt;&gt;"",tblIssues[[#This Row],[Qty Override]],IF(tblIssues[[#This Row],[Standard Issue]]="","",tblIssues[[#This Row],[Standard Issue]]))</f>
        <v>2</v>
      </c>
      <c r="K1870" s="20">
        <f>IF($F1870="","",IFERROR(INDEX(Items!$D$5:$D$597,MATCH($F1870,Items!$A$5:$A$597,0)),""))</f>
        <v>4.49</v>
      </c>
      <c r="L1870" s="21">
        <f t="shared" si="327"/>
        <v>8.98</v>
      </c>
      <c r="M1870" s="9" t="str">
        <f t="shared" si="325"/>
        <v/>
      </c>
      <c r="N1870" s="24">
        <f>IF($A1870="","",WORKDAY($A1870,Settings!$C$9,HolidayDates))</f>
        <v>46232</v>
      </c>
      <c r="O1870" s="24">
        <f>IF($N1870="","",WORKDAY($N1870,Settings!$C$10,HolidayDates))</f>
        <v>46272</v>
      </c>
      <c r="P1870" s="10" t="s">
        <v>501</v>
      </c>
      <c r="Q1870" s="52" t="str">
        <f t="shared" ref="Q1870:Q1933" si="328">IF($A1870="","",IF($P1870&lt;&gt;"","Collected","Pending"))</f>
        <v>Collected</v>
      </c>
      <c r="R1870" s="55" t="str">
        <f t="shared" ref="R1870:R1926" si="329">IF($A1870="","",TEXT($A1870,"yyyy-mm"))</f>
        <v>2026-07</v>
      </c>
      <c r="S1870" s="55">
        <f>IF(OR($B1870="",$F1870="",$R1870=""),"",SUMIFS(tblIssues[Qty Issued],tblIssues[Staff ID],$B1870,tblIssues[Item Name],$F1870,tblIssues[Month],$R1870))</f>
        <v>2</v>
      </c>
      <c r="T1870" s="56">
        <f>IF($I1870="","",$I1870*Settings!$C$11)</f>
        <v>2</v>
      </c>
      <c r="U1870" s="57" t="str">
        <f t="shared" si="326"/>
        <v>OK</v>
      </c>
      <c r="V1870" s="55" t="str">
        <f t="shared" ref="V1870:V1926" si="330">IF($U1870="⚠ OVER QUOTA",$B1870&amp;" | "&amp;$F1870&amp;" | "&amp;$R1870,"")</f>
        <v/>
      </c>
      <c r="W1870" s="55" t="str">
        <f>IF($V1870="","",IF(COUNTIF($V$5:$V1870,$V1870)=1,1,""))</f>
        <v/>
      </c>
      <c r="X1870" s="58" t="str">
        <f>IF($W1870="","",MAX($X$4:X1869)+1)</f>
        <v/>
      </c>
      <c r="Y1870" s="62"/>
      <c r="Z1870" s="62"/>
      <c r="AA1870" s="64" t="str">
        <f>IF($C1870="","",IFERROR(INDEX('Staff Directory'!$E$5:$E$594,MATCH($C1870,'Staff Directory'!$B$5:$B$594,0)),""))</f>
        <v>firstname089.lastname089@example.com</v>
      </c>
      <c r="AB1870" s="64" t="str">
        <f>IF($C1870="","",IF(ISNUMBER(SEARCH($D1870,Settings!$C$15)),"Pickup","Dispatch"))</f>
        <v>Pickup</v>
      </c>
      <c r="AC1870" s="64" t="str">
        <f t="shared" ref="AC1870:AC1926" si="331">IF($AB1870="Pickup","Supply order ready for pickup",IF($AB1870="Dispatch","Supply order dispatched",""))</f>
        <v>Supply order ready for pickup</v>
      </c>
      <c r="AD1870" s="64" t="str">
        <f t="shared" si="322"/>
        <v>Dear PSW,
Your order is ready for pickup from Sample Branch, Wed-Fri 9am-4pm.</v>
      </c>
      <c r="AE1870" s="64" t="str">
        <f t="shared" si="323"/>
        <v>mailto:firstname089.lastname089@example.com?subject=Supply%20order%20ready%20for%20pickup&amp;body=Dear%20PSW%2C%0A%0AYour%20order%20is%20ready%20for%20pickup%20from%20Sample%20Branch%2C%20Wed-Fri%209am-4pm.</v>
      </c>
      <c r="AF1870" s="89" t="str">
        <f t="shared" ref="AF1870:AF1926" si="332">IF(AE1870="","",HYPERLINK(AE1870,"Draft email"))</f>
        <v>Draft email</v>
      </c>
      <c r="AG1870" s="64" t="str">
        <f>IF($C1870="","",IFERROR(INDEX('Staff Directory'!$K$595:$K$599,MATCH($C1870,'Staff Directory'!$B$5:$B$599,0)),$D1870))</f>
        <v>PSW</v>
      </c>
      <c r="AH1870" t="str">
        <f>IF($C1870="","",IFERROR(INDEX('Staff Directory'!$I$595:$I$599,MATCH($C1870,'Staff Directory'!$B$5:$B$599,0))&amp;" "&amp;INDEX('Staff Directory'!$J$595:$J$599,MATCH($C1870,'Staff Directory'!$B$5:$B$599,0)),$AG1870))</f>
        <v>PSW</v>
      </c>
      <c r="AI1870" s="102"/>
      <c r="AJ1870" s="101">
        <f>IF($F1870="","",SUMIFS($J$5:$J1870,$F$5:$F1870,$F1870))</f>
        <v>160</v>
      </c>
      <c r="AK1870" s="101">
        <f t="shared" si="324"/>
        <v>159</v>
      </c>
      <c r="AL1870" s="66" t="str" cm="1">
        <f t="array" ref="AL1870">IF($F1870="","",IFERROR(INDEX('Lot Balance'!$B$5:$B$500,MATCH(1,INDEX(('Lot Balance'!$A$5:$A$500=$F1870)*('Lot Balance'!$K$5:$K$500&lt;$AK1870)*('Lot Balance'!$K$5:$K$500+'Lot Balance'!$D$5:$D$500&gt;=$AK1870),0),0)),""))</f>
        <v/>
      </c>
      <c r="AM1870" s="66" t="str" cm="1">
        <f t="array" ref="AM1870">IF($F1870="","",IFERROR(INDEX('Lot Balance'!$B$5:$B$500,MATCH(1,INDEX(('Lot Balance'!$A$5:$A$500=$F1870)*('Lot Balance'!$K$5:$K$500&lt;$AJ1870)*('Lot Balance'!$K$5:$K$500+'Lot Balance'!$D$5:$D$500&gt;=$AJ1870),0),0)),""))</f>
        <v/>
      </c>
      <c r="AN1870" s="66" t="str">
        <f>IF($F1870="","",IF($AI1870&lt;&gt;"",IF(COUNTIFS('Lot Balance'!$A$5:$A$500,$F1870,'Lot Balance'!$B$5:$B$500,$AI1870)=0,"⚠ override is not a lot of this item",IF($AI1870=$AL1870,"Override = FEFO","Override - FEFO says "&amp;$AL1870)),IF($AL1870="","⚠ no receipt on file for this item",IF($AM1870&lt;&gt;$AL1870,"FEFO auto - split, also "&amp;$AM1870,"FEFO auto"))))</f>
        <v>⚠ no receipt on file for this item</v>
      </c>
      <c r="AO1870" s="114"/>
    </row>
    <row r="1871" spans="1:41" x14ac:dyDescent="0.35">
      <c r="A1871" s="74">
        <v>46224</v>
      </c>
      <c r="B1871" s="18" t="str">
        <f>IF($C1871="","",IFERROR(INDEX('Staff Directory'!$A$5:$A$594,MATCH($C1871,'Staff Directory'!$B$5:$B$594,0)),"⚠ unknown staff"))</f>
        <v>PSW-030-A4</v>
      </c>
      <c r="C1871" s="49" t="s">
        <v>1005</v>
      </c>
      <c r="D1871" s="19" t="str">
        <f>IF($B1871="","",IFERROR(INDEX('Staff Directory'!$C$5:$C$594,MATCH($B1871,'Staff Directory'!$A$5:$A$594,0)),""))</f>
        <v>PSW</v>
      </c>
      <c r="E1871" s="19" t="str">
        <f>IF($B1871="","",IFERROR(INDEX('Staff Directory'!$D$5:$D$594,MATCH($B1871,'Staff Directory'!$A$5:$A$594,0)),""))</f>
        <v>A4</v>
      </c>
      <c r="F1871" s="9" t="s">
        <v>115</v>
      </c>
      <c r="G1871" s="18" t="str">
        <f>IF($F1871="","",IFERROR(INDEX(Items!$B$5:$B$597,MATCH($F1871,Items!$A$5:$A$597,0)),"⚠ not in Items"))</f>
        <v>Wipes</v>
      </c>
      <c r="H1871" s="19">
        <f>IF($F1871="","",IFERROR(INDEX(Items!$C$5:$C$597,MATCH($F1871,Items!$A$5:$A$597,0)),""))</f>
        <v>80</v>
      </c>
      <c r="I1871" s="23">
        <f>IF($F1871="","",IFERROR(INDEX(Items!$E$5:$E$597,MATCH($F1871,Items!$A$5:$A$597,0)),""))</f>
        <v>80</v>
      </c>
      <c r="J1871" s="115">
        <f>IF(tblIssues[[#This Row],[Qty Override]]&lt;&gt;"",tblIssues[[#This Row],[Qty Override]],IF(tblIssues[[#This Row],[Standard Issue]]="","",tblIssues[[#This Row],[Standard Issue]]))</f>
        <v>80</v>
      </c>
      <c r="K1871" s="20">
        <f>IF($F1871="","",IFERROR(INDEX(Items!$D$5:$D$597,MATCH($F1871,Items!$A$5:$A$597,0)),""))</f>
        <v>0.1</v>
      </c>
      <c r="L1871" s="21">
        <f t="shared" si="327"/>
        <v>8</v>
      </c>
      <c r="M1871" s="9" t="str">
        <f t="shared" si="325"/>
        <v>LYSL500290</v>
      </c>
      <c r="N1871" s="24">
        <f>IF($A1871="","",WORKDAY($A1871,Settings!$C$9,HolidayDates))</f>
        <v>46232</v>
      </c>
      <c r="O1871" s="24">
        <f>IF($N1871="","",WORKDAY($N1871,Settings!$C$10,HolidayDates))</f>
        <v>46272</v>
      </c>
      <c r="P1871" s="10" t="s">
        <v>501</v>
      </c>
      <c r="Q1871" s="52" t="str">
        <f t="shared" si="328"/>
        <v>Collected</v>
      </c>
      <c r="R1871" s="55" t="str">
        <f t="shared" si="329"/>
        <v>2026-07</v>
      </c>
      <c r="S1871" s="55">
        <f>IF(OR($B1871="",$F1871="",$R1871=""),"",SUMIFS(tblIssues[Qty Issued],tblIssues[Staff ID],$B1871,tblIssues[Item Name],$F1871,tblIssues[Month],$R1871))</f>
        <v>80</v>
      </c>
      <c r="T1871" s="56">
        <f>IF($I1871="","",$I1871*Settings!$C$11)</f>
        <v>80</v>
      </c>
      <c r="U1871" s="57" t="str">
        <f t="shared" si="326"/>
        <v>OK</v>
      </c>
      <c r="V1871" s="55" t="str">
        <f t="shared" si="330"/>
        <v/>
      </c>
      <c r="W1871" s="55" t="str">
        <f>IF($V1871="","",IF(COUNTIF($V$5:$V1871,$V1871)=1,1,""))</f>
        <v/>
      </c>
      <c r="X1871" s="58" t="str">
        <f>IF($W1871="","",MAX($X$4:X1870)+1)</f>
        <v/>
      </c>
      <c r="Y1871" s="62"/>
      <c r="Z1871" s="62"/>
      <c r="AA1871" s="64" t="str">
        <f>IF($C1871="","",IFERROR(INDEX('Staff Directory'!$E$5:$E$594,MATCH($C1871,'Staff Directory'!$B$5:$B$594,0)),""))</f>
        <v>firstname089.lastname089@example.com</v>
      </c>
      <c r="AB1871" s="64" t="str">
        <f>IF($C1871="","",IF(ISNUMBER(SEARCH($D1871,Settings!$C$15)),"Pickup","Dispatch"))</f>
        <v>Pickup</v>
      </c>
      <c r="AC1871" s="64" t="str">
        <f t="shared" si="331"/>
        <v>Supply order ready for pickup</v>
      </c>
      <c r="AD1871" s="64" t="str">
        <f t="shared" si="322"/>
        <v>Dear PSW,
Your order is ready for pickup from Sample Branch, Wed-Fri 9am-4pm.</v>
      </c>
      <c r="AE1871" s="64" t="str">
        <f t="shared" si="323"/>
        <v>mailto:firstname089.lastname089@example.com?subject=Supply%20order%20ready%20for%20pickup&amp;body=Dear%20PSW%2C%0A%0AYour%20order%20is%20ready%20for%20pickup%20from%20Sample%20Branch%2C%20Wed-Fri%209am-4pm.</v>
      </c>
      <c r="AF1871" s="89" t="str">
        <f t="shared" si="332"/>
        <v>Draft email</v>
      </c>
      <c r="AG1871" s="64" t="str">
        <f>IF($C1871="","",IFERROR(INDEX('Staff Directory'!$K$595:$K$599,MATCH($C1871,'Staff Directory'!$B$5:$B$599,0)),$D1871))</f>
        <v>PSW</v>
      </c>
      <c r="AH1871" t="str">
        <f>IF($C1871="","",IFERROR(INDEX('Staff Directory'!$I$595:$I$599,MATCH($C1871,'Staff Directory'!$B$5:$B$599,0))&amp;" "&amp;INDEX('Staff Directory'!$J$595:$J$599,MATCH($C1871,'Staff Directory'!$B$5:$B$599,0)),$AG1871))</f>
        <v>PSW</v>
      </c>
      <c r="AI1871" s="102"/>
      <c r="AJ1871" s="101">
        <f>IF($F1871="","",SUMIFS($J$5:$J1871,$F$5:$F1871,$F1871))</f>
        <v>24720</v>
      </c>
      <c r="AK1871" s="101">
        <f t="shared" si="324"/>
        <v>24641</v>
      </c>
      <c r="AL1871" s="66" t="str" cm="1">
        <f t="array" ref="AL1871">IF($F1871="","",IFERROR(INDEX('Lot Balance'!$B$5:$B$500,MATCH(1,INDEX(('Lot Balance'!$A$5:$A$500=$F1871)*('Lot Balance'!$K$5:$K$500&lt;$AK1871)*('Lot Balance'!$K$5:$K$500+'Lot Balance'!$D$5:$D$500&gt;=$AK1871),0),0)),""))</f>
        <v>LYSL500290</v>
      </c>
      <c r="AM1871" s="66" t="str" cm="1">
        <f t="array" ref="AM1871">IF($F1871="","",IFERROR(INDEX('Lot Balance'!$B$5:$B$500,MATCH(1,INDEX(('Lot Balance'!$A$5:$A$500=$F1871)*('Lot Balance'!$K$5:$K$500&lt;$AJ1871)*('Lot Balance'!$K$5:$K$500+'Lot Balance'!$D$5:$D$500&gt;=$AJ1871),0),0)),""))</f>
        <v>LYSL500290</v>
      </c>
      <c r="AN1871" s="66" t="str">
        <f>IF($F1871="","",IF($AI1871&lt;&gt;"",IF(COUNTIFS('Lot Balance'!$A$5:$A$500,$F1871,'Lot Balance'!$B$5:$B$500,$AI1871)=0,"⚠ override is not a lot of this item",IF($AI1871=$AL1871,"Override = FEFO","Override - FEFO says "&amp;$AL1871)),IF($AL1871="","⚠ no receipt on file for this item",IF($AM1871&lt;&gt;$AL1871,"FEFO auto - split, also "&amp;$AM1871,"FEFO auto"))))</f>
        <v>FEFO auto</v>
      </c>
      <c r="AO1871" s="114"/>
    </row>
    <row r="1872" spans="1:41" x14ac:dyDescent="0.35">
      <c r="A1872" s="74">
        <v>46224</v>
      </c>
      <c r="B1872" s="18" t="str">
        <f>IF($C1872="","",IFERROR(INDEX('Staff Directory'!$A$5:$A$594,MATCH($C1872,'Staff Directory'!$B$5:$B$594,0)),"⚠ unknown staff"))</f>
        <v>PSW-025-A4</v>
      </c>
      <c r="C1872" s="49" t="s">
        <v>1001</v>
      </c>
      <c r="D1872" s="19" t="str">
        <f>IF($B1872="","",IFERROR(INDEX('Staff Directory'!$C$5:$C$594,MATCH($B1872,'Staff Directory'!$A$5:$A$594,0)),""))</f>
        <v>PSW</v>
      </c>
      <c r="E1872" s="19" t="str">
        <f>IF($B1872="","",IFERROR(INDEX('Staff Directory'!$D$5:$D$594,MATCH($B1872,'Staff Directory'!$A$5:$A$594,0)),""))</f>
        <v>A4</v>
      </c>
      <c r="F1872" s="9" t="s">
        <v>124</v>
      </c>
      <c r="G1872" s="18" t="str">
        <f>IF($F1872="","",IFERROR(INDEX(Items!$B$5:$B$597,MATCH($F1872,Items!$A$5:$A$597,0)),"⚠ not in Items"))</f>
        <v>Gloves</v>
      </c>
      <c r="H1872" s="19" t="str">
        <f>IF($F1872="","",IFERROR(INDEX(Items!$C$5:$C$597,MATCH($F1872,Items!$A$5:$A$597,0)),""))</f>
        <v>Large</v>
      </c>
      <c r="I1872" s="23">
        <f>IF($F1872="","",IFERROR(INDEX(Items!$E$5:$E$597,MATCH($F1872,Items!$A$5:$A$597,0)),""))</f>
        <v>500</v>
      </c>
      <c r="J1872" s="115">
        <f>IF(tblIssues[[#This Row],[Qty Override]]&lt;&gt;"",tblIssues[[#This Row],[Qty Override]],IF(tblIssues[[#This Row],[Standard Issue]]="","",tblIssues[[#This Row],[Standard Issue]]))</f>
        <v>500</v>
      </c>
      <c r="K1872" s="20">
        <f>IF($F1872="","",IFERROR(INDEX(Items!$D$5:$D$597,MATCH($F1872,Items!$A$5:$A$597,0)),""))</f>
        <v>5.5E-2</v>
      </c>
      <c r="L1872" s="21">
        <f t="shared" si="327"/>
        <v>27.5</v>
      </c>
      <c r="M1872" s="9" t="str">
        <f t="shared" si="325"/>
        <v>ZIM512142081</v>
      </c>
      <c r="N1872" s="24">
        <f>IF($A1872="","",WORKDAY($A1872,Settings!$C$9,HolidayDates))</f>
        <v>46232</v>
      </c>
      <c r="O1872" s="24">
        <f>IF($N1872="","",WORKDAY($N1872,Settings!$C$10,HolidayDates))</f>
        <v>46272</v>
      </c>
      <c r="P1872" s="10" t="s">
        <v>501</v>
      </c>
      <c r="Q1872" s="52" t="str">
        <f t="shared" si="328"/>
        <v>Collected</v>
      </c>
      <c r="R1872" s="55" t="str">
        <f t="shared" si="329"/>
        <v>2026-07</v>
      </c>
      <c r="S1872" s="55">
        <f>IF(OR($B1872="",$F1872="",$R1872=""),"",SUMIFS(tblIssues[Qty Issued],tblIssues[Staff ID],$B1872,tblIssues[Item Name],$F1872,tblIssues[Month],$R1872))</f>
        <v>500</v>
      </c>
      <c r="T1872" s="56">
        <f>IF($I1872="","",$I1872*Settings!$C$11)</f>
        <v>500</v>
      </c>
      <c r="U1872" s="57" t="str">
        <f t="shared" si="326"/>
        <v>OK</v>
      </c>
      <c r="V1872" s="55" t="str">
        <f t="shared" si="330"/>
        <v/>
      </c>
      <c r="W1872" s="55" t="str">
        <f>IF($V1872="","",IF(COUNTIF($V$5:$V1872,$V1872)=1,1,""))</f>
        <v/>
      </c>
      <c r="X1872" s="58" t="str">
        <f>IF($W1872="","",MAX($X$4:X1871)+1)</f>
        <v/>
      </c>
      <c r="Y1872" s="62"/>
      <c r="Z1872" s="62"/>
      <c r="AA1872" s="64" t="str">
        <f>IF($C1872="","",IFERROR(INDEX('Staff Directory'!$E$5:$E$594,MATCH($C1872,'Staff Directory'!$B$5:$B$594,0)),""))</f>
        <v>firstname085.lastname085@example.com</v>
      </c>
      <c r="AB1872" s="64" t="str">
        <f>IF($C1872="","",IF(ISNUMBER(SEARCH($D1872,Settings!$C$15)),"Pickup","Dispatch"))</f>
        <v>Pickup</v>
      </c>
      <c r="AC1872" s="64" t="str">
        <f t="shared" si="331"/>
        <v>Supply order ready for pickup</v>
      </c>
      <c r="AD1872" s="64" t="str">
        <f t="shared" si="322"/>
        <v>Dear PSW,
Your order is ready for pickup from Sample Branch, Wed-Fri 9am-4pm.</v>
      </c>
      <c r="AE1872" s="64" t="str">
        <f t="shared" si="323"/>
        <v>mailto:firstname085.lastname085@example.com?subject=Supply%20order%20ready%20for%20pickup&amp;body=Dear%20PSW%2C%0A%0AYour%20order%20is%20ready%20for%20pickup%20from%20Sample%20Branch%2C%20Wed-Fri%209am-4pm.</v>
      </c>
      <c r="AF1872" s="89" t="str">
        <f t="shared" si="332"/>
        <v>Draft email</v>
      </c>
      <c r="AG1872" s="64" t="str">
        <f>IF($C1872="","",IFERROR(INDEX('Staff Directory'!$K$595:$K$599,MATCH($C1872,'Staff Directory'!$B$5:$B$599,0)),$D1872))</f>
        <v>PSW</v>
      </c>
      <c r="AH1872" t="str">
        <f>IF($C1872="","",IFERROR(INDEX('Staff Directory'!$I$595:$I$599,MATCH($C1872,'Staff Directory'!$B$5:$B$599,0))&amp;" "&amp;INDEX('Staff Directory'!$J$595:$J$599,MATCH($C1872,'Staff Directory'!$B$5:$B$599,0)),$AG1872))</f>
        <v>PSW</v>
      </c>
      <c r="AI1872" s="102"/>
      <c r="AJ1872" s="101">
        <f>IF($F1872="","",SUMIFS($J$5:$J1872,$F$5:$F1872,$F1872))</f>
        <v>50500</v>
      </c>
      <c r="AK1872" s="101">
        <f t="shared" si="324"/>
        <v>50001</v>
      </c>
      <c r="AL1872" s="66" t="str" cm="1">
        <f t="array" ref="AL1872">IF($F1872="","",IFERROR(INDEX('Lot Balance'!$B$5:$B$500,MATCH(1,INDEX(('Lot Balance'!$A$5:$A$500=$F1872)*('Lot Balance'!$K$5:$K$500&lt;$AK1872)*('Lot Balance'!$K$5:$K$500+'Lot Balance'!$D$5:$D$500&gt;=$AK1872),0),0)),""))</f>
        <v>ZIM512142081</v>
      </c>
      <c r="AM1872" s="66" t="str" cm="1">
        <f t="array" ref="AM1872">IF($F1872="","",IFERROR(INDEX('Lot Balance'!$B$5:$B$500,MATCH(1,INDEX(('Lot Balance'!$A$5:$A$500=$F1872)*('Lot Balance'!$K$5:$K$500&lt;$AJ1872)*('Lot Balance'!$K$5:$K$500+'Lot Balance'!$D$5:$D$500&gt;=$AJ1872),0),0)),""))</f>
        <v>ZIM512142081</v>
      </c>
      <c r="AN1872" s="66" t="str">
        <f>IF($F1872="","",IF($AI1872&lt;&gt;"",IF(COUNTIFS('Lot Balance'!$A$5:$A$500,$F1872,'Lot Balance'!$B$5:$B$500,$AI1872)=0,"⚠ override is not a lot of this item",IF($AI1872=$AL1872,"Override = FEFO","Override - FEFO says "&amp;$AL1872)),IF($AL1872="","⚠ no receipt on file for this item",IF($AM1872&lt;&gt;$AL1872,"FEFO auto - split, also "&amp;$AM1872,"FEFO auto"))))</f>
        <v>FEFO auto</v>
      </c>
      <c r="AO1872" s="114"/>
    </row>
    <row r="1873" spans="1:41" x14ac:dyDescent="0.35">
      <c r="A1873" s="74">
        <v>46224</v>
      </c>
      <c r="B1873" s="18" t="str">
        <f>IF($C1873="","",IFERROR(INDEX('Staff Directory'!$A$5:$A$594,MATCH($C1873,'Staff Directory'!$B$5:$B$594,0)),"⚠ unknown staff"))</f>
        <v>PSW-025-A4</v>
      </c>
      <c r="C1873" s="49" t="s">
        <v>1001</v>
      </c>
      <c r="D1873" s="19" t="str">
        <f>IF($B1873="","",IFERROR(INDEX('Staff Directory'!$C$5:$C$594,MATCH($B1873,'Staff Directory'!$A$5:$A$594,0)),""))</f>
        <v>PSW</v>
      </c>
      <c r="E1873" s="19" t="str">
        <f>IF($B1873="","",IFERROR(INDEX('Staff Directory'!$D$5:$D$594,MATCH($B1873,'Staff Directory'!$A$5:$A$594,0)),""))</f>
        <v>A4</v>
      </c>
      <c r="F1873" s="9" t="s">
        <v>191</v>
      </c>
      <c r="G1873" s="18" t="str">
        <f>IF($F1873="","",IFERROR(INDEX(Items!$B$5:$B$597,MATCH($F1873,Items!$A$5:$A$597,0)),"⚠ not in Items"))</f>
        <v>Sanitizer</v>
      </c>
      <c r="H1873" s="19" t="str">
        <f>IF($F1873="","",IFERROR(INDEX(Items!$C$5:$C$597,MATCH($F1873,Items!$A$5:$A$597,0)),""))</f>
        <v>236 ML</v>
      </c>
      <c r="I1873" s="23">
        <f>IF($F1873="","",IFERROR(INDEX(Items!$E$5:$E$597,MATCH($F1873,Items!$A$5:$A$597,0)),""))</f>
        <v>1</v>
      </c>
      <c r="J1873" s="115">
        <f>IF(tblIssues[[#This Row],[Qty Override]]&lt;&gt;"",tblIssues[[#This Row],[Qty Override]],IF(tblIssues[[#This Row],[Standard Issue]]="","",tblIssues[[#This Row],[Standard Issue]]))</f>
        <v>1</v>
      </c>
      <c r="K1873" s="20">
        <f>IF($F1873="","",IFERROR(INDEX(Items!$D$5:$D$597,MATCH($F1873,Items!$A$5:$A$597,0)),""))</f>
        <v>1E-4</v>
      </c>
      <c r="L1873" s="21">
        <f t="shared" si="327"/>
        <v>1E-4</v>
      </c>
      <c r="M1873" s="9" t="str">
        <f t="shared" si="325"/>
        <v>20-21734-6</v>
      </c>
      <c r="N1873" s="24">
        <f>IF($A1873="","",WORKDAY($A1873,Settings!$C$9,HolidayDates))</f>
        <v>46232</v>
      </c>
      <c r="O1873" s="24">
        <f>IF($N1873="","",WORKDAY($N1873,Settings!$C$10,HolidayDates))</f>
        <v>46272</v>
      </c>
      <c r="P1873" s="10" t="s">
        <v>501</v>
      </c>
      <c r="Q1873" s="52" t="str">
        <f t="shared" si="328"/>
        <v>Collected</v>
      </c>
      <c r="R1873" s="55" t="str">
        <f t="shared" si="329"/>
        <v>2026-07</v>
      </c>
      <c r="S1873" s="55">
        <f>IF(OR($B1873="",$F1873="",$R1873=""),"",SUMIFS(tblIssues[Qty Issued],tblIssues[Staff ID],$B1873,tblIssues[Item Name],$F1873,tblIssues[Month],$R1873))</f>
        <v>1</v>
      </c>
      <c r="T1873" s="56">
        <f>IF($I1873="","",$I1873*Settings!$C$11)</f>
        <v>1</v>
      </c>
      <c r="U1873" s="57" t="str">
        <f t="shared" si="326"/>
        <v>OK</v>
      </c>
      <c r="V1873" s="55" t="str">
        <f t="shared" si="330"/>
        <v/>
      </c>
      <c r="W1873" s="55" t="str">
        <f>IF($V1873="","",IF(COUNTIF($V$5:$V1873,$V1873)=1,1,""))</f>
        <v/>
      </c>
      <c r="X1873" s="58" t="str">
        <f>IF($W1873="","",MAX($X$4:X1872)+1)</f>
        <v/>
      </c>
      <c r="Y1873" s="62"/>
      <c r="Z1873" s="62"/>
      <c r="AA1873" s="64" t="str">
        <f>IF($C1873="","",IFERROR(INDEX('Staff Directory'!$E$5:$E$594,MATCH($C1873,'Staff Directory'!$B$5:$B$594,0)),""))</f>
        <v>firstname085.lastname085@example.com</v>
      </c>
      <c r="AB1873" s="64" t="str">
        <f>IF($C1873="","",IF(ISNUMBER(SEARCH($D1873,Settings!$C$15)),"Pickup","Dispatch"))</f>
        <v>Pickup</v>
      </c>
      <c r="AC1873" s="64" t="str">
        <f t="shared" si="331"/>
        <v>Supply order ready for pickup</v>
      </c>
      <c r="AD1873" s="64" t="str">
        <f t="shared" si="322"/>
        <v>Dear PSW,
Your order is ready for pickup from Sample Branch, Wed-Fri 9am-4pm.</v>
      </c>
      <c r="AE1873" s="64" t="str">
        <f t="shared" si="323"/>
        <v>mailto:firstname085.lastname085@example.com?subject=Supply%20order%20ready%20for%20pickup&amp;body=Dear%20PSW%2C%0A%0AYour%20order%20is%20ready%20for%20pickup%20from%20Sample%20Branch%2C%20Wed-Fri%209am-4pm.</v>
      </c>
      <c r="AF1873" s="89" t="str">
        <f t="shared" si="332"/>
        <v>Draft email</v>
      </c>
      <c r="AG1873" s="64" t="str">
        <f>IF($C1873="","",IFERROR(INDEX('Staff Directory'!$K$595:$K$599,MATCH($C1873,'Staff Directory'!$B$5:$B$599,0)),$D1873))</f>
        <v>PSW</v>
      </c>
      <c r="AH1873" t="str">
        <f>IF($C1873="","",IFERROR(INDEX('Staff Directory'!$I$595:$I$599,MATCH($C1873,'Staff Directory'!$B$5:$B$599,0))&amp;" "&amp;INDEX('Staff Directory'!$J$595:$J$599,MATCH($C1873,'Staff Directory'!$B$5:$B$599,0)),$AG1873))</f>
        <v>PSW</v>
      </c>
      <c r="AI1873" s="102"/>
      <c r="AJ1873" s="101">
        <f>IF($F1873="","",SUMIFS($J$5:$J1873,$F$5:$F1873,$F1873))</f>
        <v>253</v>
      </c>
      <c r="AK1873" s="101">
        <f t="shared" si="324"/>
        <v>253</v>
      </c>
      <c r="AL1873" s="66" t="str" cm="1">
        <f t="array" ref="AL1873">IF($F1873="","",IFERROR(INDEX('Lot Balance'!$B$5:$B$500,MATCH(1,INDEX(('Lot Balance'!$A$5:$A$500=$F1873)*('Lot Balance'!$K$5:$K$500&lt;$AK1873)*('Lot Balance'!$K$5:$K$500+'Lot Balance'!$D$5:$D$500&gt;=$AK1873),0),0)),""))</f>
        <v>20-21734-6</v>
      </c>
      <c r="AM1873" s="66" t="str" cm="1">
        <f t="array" ref="AM1873">IF($F1873="","",IFERROR(INDEX('Lot Balance'!$B$5:$B$500,MATCH(1,INDEX(('Lot Balance'!$A$5:$A$500=$F1873)*('Lot Balance'!$K$5:$K$500&lt;$AJ1873)*('Lot Balance'!$K$5:$K$500+'Lot Balance'!$D$5:$D$500&gt;=$AJ1873),0),0)),""))</f>
        <v>20-21734-6</v>
      </c>
      <c r="AN1873" s="66" t="str">
        <f>IF($F1873="","",IF($AI1873&lt;&gt;"",IF(COUNTIFS('Lot Balance'!$A$5:$A$500,$F1873,'Lot Balance'!$B$5:$B$500,$AI1873)=0,"⚠ override is not a lot of this item",IF($AI1873=$AL1873,"Override = FEFO","Override - FEFO says "&amp;$AL1873)),IF($AL1873="","⚠ no receipt on file for this item",IF($AM1873&lt;&gt;$AL1873,"FEFO auto - split, also "&amp;$AM1873,"FEFO auto"))))</f>
        <v>FEFO auto</v>
      </c>
      <c r="AO1873" s="114"/>
    </row>
    <row r="1874" spans="1:41" x14ac:dyDescent="0.35">
      <c r="A1874" s="74">
        <v>46224</v>
      </c>
      <c r="B1874" s="18" t="str">
        <f>IF($C1874="","",IFERROR(INDEX('Staff Directory'!$A$5:$A$594,MATCH($C1874,'Staff Directory'!$B$5:$B$594,0)),"⚠ unknown staff"))</f>
        <v>PSW-025-A4</v>
      </c>
      <c r="C1874" s="49" t="s">
        <v>1001</v>
      </c>
      <c r="D1874" s="19" t="str">
        <f>IF($B1874="","",IFERROR(INDEX('Staff Directory'!$C$5:$C$594,MATCH($B1874,'Staff Directory'!$A$5:$A$594,0)),""))</f>
        <v>PSW</v>
      </c>
      <c r="E1874" s="19" t="str">
        <f>IF($B1874="","",IFERROR(INDEX('Staff Directory'!$D$5:$D$594,MATCH($B1874,'Staff Directory'!$A$5:$A$594,0)),""))</f>
        <v>A4</v>
      </c>
      <c r="F1874" s="9" t="s">
        <v>115</v>
      </c>
      <c r="G1874" s="18" t="str">
        <f>IF($F1874="","",IFERROR(INDEX(Items!$B$5:$B$597,MATCH($F1874,Items!$A$5:$A$597,0)),"⚠ not in Items"))</f>
        <v>Wipes</v>
      </c>
      <c r="H1874" s="19">
        <f>IF($F1874="","",IFERROR(INDEX(Items!$C$5:$C$597,MATCH($F1874,Items!$A$5:$A$597,0)),""))</f>
        <v>80</v>
      </c>
      <c r="I1874" s="23">
        <f>IF($F1874="","",IFERROR(INDEX(Items!$E$5:$E$597,MATCH($F1874,Items!$A$5:$A$597,0)),""))</f>
        <v>80</v>
      </c>
      <c r="J1874" s="115">
        <f>IF(tblIssues[[#This Row],[Qty Override]]&lt;&gt;"",tblIssues[[#This Row],[Qty Override]],IF(tblIssues[[#This Row],[Standard Issue]]="","",tblIssues[[#This Row],[Standard Issue]]))</f>
        <v>80</v>
      </c>
      <c r="K1874" s="20">
        <f>IF($F1874="","",IFERROR(INDEX(Items!$D$5:$D$597,MATCH($F1874,Items!$A$5:$A$597,0)),""))</f>
        <v>0.1</v>
      </c>
      <c r="L1874" s="21">
        <f t="shared" si="327"/>
        <v>8</v>
      </c>
      <c r="M1874" s="9" t="str">
        <f t="shared" si="325"/>
        <v>LYSL500290</v>
      </c>
      <c r="N1874" s="24">
        <f>IF($A1874="","",WORKDAY($A1874,Settings!$C$9,HolidayDates))</f>
        <v>46232</v>
      </c>
      <c r="O1874" s="24">
        <f>IF($N1874="","",WORKDAY($N1874,Settings!$C$10,HolidayDates))</f>
        <v>46272</v>
      </c>
      <c r="P1874" s="10" t="s">
        <v>501</v>
      </c>
      <c r="Q1874" s="52" t="str">
        <f t="shared" si="328"/>
        <v>Collected</v>
      </c>
      <c r="R1874" s="55" t="str">
        <f t="shared" si="329"/>
        <v>2026-07</v>
      </c>
      <c r="S1874" s="55">
        <f>IF(OR($B1874="",$F1874="",$R1874=""),"",SUMIFS(tblIssues[Qty Issued],tblIssues[Staff ID],$B1874,tblIssues[Item Name],$F1874,tblIssues[Month],$R1874))</f>
        <v>80</v>
      </c>
      <c r="T1874" s="56">
        <f>IF($I1874="","",$I1874*Settings!$C$11)</f>
        <v>80</v>
      </c>
      <c r="U1874" s="57" t="str">
        <f t="shared" si="326"/>
        <v>OK</v>
      </c>
      <c r="V1874" s="55" t="str">
        <f t="shared" si="330"/>
        <v/>
      </c>
      <c r="W1874" s="55" t="str">
        <f>IF($V1874="","",IF(COUNTIF($V$5:$V1874,$V1874)=1,1,""))</f>
        <v/>
      </c>
      <c r="X1874" s="58" t="str">
        <f>IF($W1874="","",MAX($X$4:X1873)+1)</f>
        <v/>
      </c>
      <c r="Y1874" s="62"/>
      <c r="Z1874" s="62"/>
      <c r="AA1874" s="64" t="str">
        <f>IF($C1874="","",IFERROR(INDEX('Staff Directory'!$E$5:$E$594,MATCH($C1874,'Staff Directory'!$B$5:$B$594,0)),""))</f>
        <v>firstname085.lastname085@example.com</v>
      </c>
      <c r="AB1874" s="64" t="str">
        <f>IF($C1874="","",IF(ISNUMBER(SEARCH($D1874,Settings!$C$15)),"Pickup","Dispatch"))</f>
        <v>Pickup</v>
      </c>
      <c r="AC1874" s="64" t="str">
        <f t="shared" si="331"/>
        <v>Supply order ready for pickup</v>
      </c>
      <c r="AD1874" s="64" t="str">
        <f t="shared" si="322"/>
        <v>Dear PSW,
Your order is ready for pickup from Sample Branch, Wed-Fri 9am-4pm.</v>
      </c>
      <c r="AE1874" s="64" t="str">
        <f t="shared" si="323"/>
        <v>mailto:firstname085.lastname085@example.com?subject=Supply%20order%20ready%20for%20pickup&amp;body=Dear%20PSW%2C%0A%0AYour%20order%20is%20ready%20for%20pickup%20from%20Sample%20Branch%2C%20Wed-Fri%209am-4pm.</v>
      </c>
      <c r="AF1874" s="89" t="str">
        <f t="shared" si="332"/>
        <v>Draft email</v>
      </c>
      <c r="AG1874" s="64" t="str">
        <f>IF($C1874="","",IFERROR(INDEX('Staff Directory'!$K$595:$K$599,MATCH($C1874,'Staff Directory'!$B$5:$B$599,0)),$D1874))</f>
        <v>PSW</v>
      </c>
      <c r="AH1874" t="str">
        <f>IF($C1874="","",IFERROR(INDEX('Staff Directory'!$I$595:$I$599,MATCH($C1874,'Staff Directory'!$B$5:$B$599,0))&amp;" "&amp;INDEX('Staff Directory'!$J$595:$J$599,MATCH($C1874,'Staff Directory'!$B$5:$B$599,0)),$AG1874))</f>
        <v>PSW</v>
      </c>
      <c r="AI1874" s="102"/>
      <c r="AJ1874" s="101">
        <f>IF($F1874="","",SUMIFS($J$5:$J1874,$F$5:$F1874,$F1874))</f>
        <v>24800</v>
      </c>
      <c r="AK1874" s="101">
        <f t="shared" si="324"/>
        <v>24721</v>
      </c>
      <c r="AL1874" s="66" t="str" cm="1">
        <f t="array" ref="AL1874">IF($F1874="","",IFERROR(INDEX('Lot Balance'!$B$5:$B$500,MATCH(1,INDEX(('Lot Balance'!$A$5:$A$500=$F1874)*('Lot Balance'!$K$5:$K$500&lt;$AK1874)*('Lot Balance'!$K$5:$K$500+'Lot Balance'!$D$5:$D$500&gt;=$AK1874),0),0)),""))</f>
        <v>LYSL500290</v>
      </c>
      <c r="AM1874" s="66" t="str" cm="1">
        <f t="array" ref="AM1874">IF($F1874="","",IFERROR(INDEX('Lot Balance'!$B$5:$B$500,MATCH(1,INDEX(('Lot Balance'!$A$5:$A$500=$F1874)*('Lot Balance'!$K$5:$K$500&lt;$AJ1874)*('Lot Balance'!$K$5:$K$500+'Lot Balance'!$D$5:$D$500&gt;=$AJ1874),0),0)),""))</f>
        <v>LYSL500290</v>
      </c>
      <c r="AN1874" s="66" t="str">
        <f>IF($F1874="","",IF($AI1874&lt;&gt;"",IF(COUNTIFS('Lot Balance'!$A$5:$A$500,$F1874,'Lot Balance'!$B$5:$B$500,$AI1874)=0,"⚠ override is not a lot of this item",IF($AI1874=$AL1874,"Override = FEFO","Override - FEFO says "&amp;$AL1874)),IF($AL1874="","⚠ no receipt on file for this item",IF($AM1874&lt;&gt;$AL1874,"FEFO auto - split, also "&amp;$AM1874,"FEFO auto"))))</f>
        <v>FEFO auto</v>
      </c>
      <c r="AO1874" s="114"/>
    </row>
    <row r="1875" spans="1:41" x14ac:dyDescent="0.35">
      <c r="A1875" s="74">
        <v>46224</v>
      </c>
      <c r="B1875" s="18" t="str">
        <f>IF($C1875="","",IFERROR(INDEX('Staff Directory'!$A$5:$A$594,MATCH($C1875,'Staff Directory'!$B$5:$B$594,0)),"⚠ unknown staff"))</f>
        <v>PSW-025-A4</v>
      </c>
      <c r="C1875" s="49" t="s">
        <v>1001</v>
      </c>
      <c r="D1875" s="19" t="str">
        <f>IF($B1875="","",IFERROR(INDEX('Staff Directory'!$C$5:$C$594,MATCH($B1875,'Staff Directory'!$A$5:$A$594,0)),""))</f>
        <v>PSW</v>
      </c>
      <c r="E1875" s="19" t="str">
        <f>IF($B1875="","",IFERROR(INDEX('Staff Directory'!$D$5:$D$594,MATCH($B1875,'Staff Directory'!$A$5:$A$594,0)),""))</f>
        <v>A4</v>
      </c>
      <c r="F1875" s="9" t="s">
        <v>156</v>
      </c>
      <c r="G1875" s="18" t="str">
        <f>IF($F1875="","",IFERROR(INDEX(Items!$B$5:$B$597,MATCH($F1875,Items!$A$5:$A$597,0)),"⚠ not in Items"))</f>
        <v>Masks</v>
      </c>
      <c r="H1875" s="19" t="str">
        <f>IF($F1875="","",IFERROR(INDEX(Items!$C$5:$C$597,MATCH($F1875,Items!$A$5:$A$597,0)),""))</f>
        <v>One Size</v>
      </c>
      <c r="I1875" s="23">
        <f>IF($F1875="","",IFERROR(INDEX(Items!$E$5:$E$597,MATCH($F1875,Items!$A$5:$A$597,0)),""))</f>
        <v>50</v>
      </c>
      <c r="J1875" s="115">
        <f>IF(tblIssues[[#This Row],[Qty Override]]&lt;&gt;"",tblIssues[[#This Row],[Qty Override]],IF(tblIssues[[#This Row],[Standard Issue]]="","",tblIssues[[#This Row],[Standard Issue]]))</f>
        <v>50</v>
      </c>
      <c r="K1875" s="20">
        <f>IF($F1875="","",IFERROR(INDEX(Items!$D$5:$D$597,MATCH($F1875,Items!$A$5:$A$597,0)),""))</f>
        <v>0.25</v>
      </c>
      <c r="L1875" s="21">
        <f t="shared" si="327"/>
        <v>12.5</v>
      </c>
      <c r="M1875" s="9" t="str">
        <f t="shared" si="325"/>
        <v>LV2-10040-3</v>
      </c>
      <c r="N1875" s="24">
        <f>IF($A1875="","",WORKDAY($A1875,Settings!$C$9,HolidayDates))</f>
        <v>46232</v>
      </c>
      <c r="O1875" s="24">
        <f>IF($N1875="","",WORKDAY($N1875,Settings!$C$10,HolidayDates))</f>
        <v>46272</v>
      </c>
      <c r="P1875" s="10" t="s">
        <v>501</v>
      </c>
      <c r="Q1875" s="52" t="str">
        <f t="shared" si="328"/>
        <v>Collected</v>
      </c>
      <c r="R1875" s="55" t="str">
        <f t="shared" si="329"/>
        <v>2026-07</v>
      </c>
      <c r="S1875" s="55">
        <f>IF(OR($B1875="",$F1875="",$R1875=""),"",SUMIFS(tblIssues[Qty Issued],tblIssues[Staff ID],$B1875,tblIssues[Item Name],$F1875,tblIssues[Month],$R1875))</f>
        <v>50</v>
      </c>
      <c r="T1875" s="56">
        <f>IF($I1875="","",$I1875*Settings!$C$11)</f>
        <v>50</v>
      </c>
      <c r="U1875" s="57" t="str">
        <f t="shared" si="326"/>
        <v>OK</v>
      </c>
      <c r="V1875" s="55" t="str">
        <f t="shared" si="330"/>
        <v/>
      </c>
      <c r="W1875" s="55" t="str">
        <f>IF($V1875="","",IF(COUNTIF($V$5:$V1875,$V1875)=1,1,""))</f>
        <v/>
      </c>
      <c r="X1875" s="58" t="str">
        <f>IF($W1875="","",MAX($X$4:X1874)+1)</f>
        <v/>
      </c>
      <c r="Y1875" s="62"/>
      <c r="Z1875" s="62"/>
      <c r="AA1875" s="64" t="str">
        <f>IF($C1875="","",IFERROR(INDEX('Staff Directory'!$E$5:$E$594,MATCH($C1875,'Staff Directory'!$B$5:$B$594,0)),""))</f>
        <v>firstname085.lastname085@example.com</v>
      </c>
      <c r="AB1875" s="64" t="str">
        <f>IF($C1875="","",IF(ISNUMBER(SEARCH($D1875,Settings!$C$15)),"Pickup","Dispatch"))</f>
        <v>Pickup</v>
      </c>
      <c r="AC1875" s="64" t="str">
        <f t="shared" si="331"/>
        <v>Supply order ready for pickup</v>
      </c>
      <c r="AD1875" s="64" t="str">
        <f t="shared" si="322"/>
        <v>Dear PSW,
Your order is ready for pickup from Sample Branch, Wed-Fri 9am-4pm.</v>
      </c>
      <c r="AE1875" s="64" t="str">
        <f t="shared" si="323"/>
        <v>mailto:firstname085.lastname085@example.com?subject=Supply%20order%20ready%20for%20pickup&amp;body=Dear%20PSW%2C%0A%0AYour%20order%20is%20ready%20for%20pickup%20from%20Sample%20Branch%2C%20Wed-Fri%209am-4pm.</v>
      </c>
      <c r="AF1875" s="89" t="str">
        <f t="shared" si="332"/>
        <v>Draft email</v>
      </c>
      <c r="AG1875" s="64" t="str">
        <f>IF($C1875="","",IFERROR(INDEX('Staff Directory'!$K$595:$K$599,MATCH($C1875,'Staff Directory'!$B$5:$B$599,0)),$D1875))</f>
        <v>PSW</v>
      </c>
      <c r="AH1875" t="str">
        <f>IF($C1875="","",IFERROR(INDEX('Staff Directory'!$I$595:$I$599,MATCH($C1875,'Staff Directory'!$B$5:$B$599,0))&amp;" "&amp;INDEX('Staff Directory'!$J$595:$J$599,MATCH($C1875,'Staff Directory'!$B$5:$B$599,0)),$AG1875))</f>
        <v>PSW</v>
      </c>
      <c r="AI1875" s="102"/>
      <c r="AJ1875" s="101">
        <f>IF($F1875="","",SUMIFS($J$5:$J1875,$F$5:$F1875,$F1875))</f>
        <v>15400</v>
      </c>
      <c r="AK1875" s="101">
        <f t="shared" si="324"/>
        <v>15351</v>
      </c>
      <c r="AL1875" s="66" t="str" cm="1">
        <f t="array" ref="AL1875">IF($F1875="","",IFERROR(INDEX('Lot Balance'!$B$5:$B$500,MATCH(1,INDEX(('Lot Balance'!$A$5:$A$500=$F1875)*('Lot Balance'!$K$5:$K$500&lt;$AK1875)*('Lot Balance'!$K$5:$K$500+'Lot Balance'!$D$5:$D$500&gt;=$AK1875),0),0)),""))</f>
        <v>LV2-10040-3</v>
      </c>
      <c r="AM1875" s="66" t="str" cm="1">
        <f t="array" ref="AM1875">IF($F1875="","",IFERROR(INDEX('Lot Balance'!$B$5:$B$500,MATCH(1,INDEX(('Lot Balance'!$A$5:$A$500=$F1875)*('Lot Balance'!$K$5:$K$500&lt;$AJ1875)*('Lot Balance'!$K$5:$K$500+'Lot Balance'!$D$5:$D$500&gt;=$AJ1875),0),0)),""))</f>
        <v>LV2-10040-3</v>
      </c>
      <c r="AN1875" s="66" t="str">
        <f>IF($F1875="","",IF($AI1875&lt;&gt;"",IF(COUNTIFS('Lot Balance'!$A$5:$A$500,$F1875,'Lot Balance'!$B$5:$B$500,$AI1875)=0,"⚠ override is not a lot of this item",IF($AI1875=$AL1875,"Override = FEFO","Override - FEFO says "&amp;$AL1875)),IF($AL1875="","⚠ no receipt on file for this item",IF($AM1875&lt;&gt;$AL1875,"FEFO auto - split, also "&amp;$AM1875,"FEFO auto"))))</f>
        <v>FEFO auto</v>
      </c>
      <c r="AO1875" s="114"/>
    </row>
    <row r="1876" spans="1:41" x14ac:dyDescent="0.35">
      <c r="A1876" s="74">
        <v>46224</v>
      </c>
      <c r="B1876" s="18" t="str">
        <f>IF($C1876="","",IFERROR(INDEX('Staff Directory'!$A$5:$A$594,MATCH($C1876,'Staff Directory'!$B$5:$B$594,0)),"⚠ unknown staff"))</f>
        <v>PSW-025-A4</v>
      </c>
      <c r="C1876" s="49" t="s">
        <v>1001</v>
      </c>
      <c r="D1876" s="19" t="str">
        <f>IF($B1876="","",IFERROR(INDEX('Staff Directory'!$C$5:$C$594,MATCH($B1876,'Staff Directory'!$A$5:$A$594,0)),""))</f>
        <v>PSW</v>
      </c>
      <c r="E1876" s="19" t="str">
        <f>IF($B1876="","",IFERROR(INDEX('Staff Directory'!$D$5:$D$594,MATCH($B1876,'Staff Directory'!$A$5:$A$594,0)),""))</f>
        <v>A4</v>
      </c>
      <c r="F1876" s="9" t="s">
        <v>758</v>
      </c>
      <c r="G1876" s="18" t="str">
        <f>IF($F1876="","",IFERROR(INDEX(Items!$B$5:$B$597,MATCH($F1876,Items!$A$5:$A$597,0)),"⚠ not in Items"))</f>
        <v>Utility</v>
      </c>
      <c r="H1876" s="19" t="str">
        <f>IF($F1876="","",IFERROR(INDEX(Items!$C$5:$C$597,MATCH($F1876,Items!$A$5:$A$597,0)),""))</f>
        <v>Standard</v>
      </c>
      <c r="I1876" s="23">
        <f>IF($F1876="","",IFERROR(INDEX(Items!$E$5:$E$597,MATCH($F1876,Items!$A$5:$A$597,0)),""))</f>
        <v>1</v>
      </c>
      <c r="J1876" s="115">
        <f>IF(tblIssues[[#This Row],[Qty Override]]&lt;&gt;"",tblIssues[[#This Row],[Qty Override]],IF(tblIssues[[#This Row],[Standard Issue]]="","",tblIssues[[#This Row],[Standard Issue]]))</f>
        <v>1</v>
      </c>
      <c r="K1876" s="20">
        <f>IF($F1876="","",IFERROR(INDEX(Items!$D$5:$D$597,MATCH($F1876,Items!$A$5:$A$597,0)),""))</f>
        <v>0</v>
      </c>
      <c r="L1876" s="21">
        <f t="shared" si="327"/>
        <v>0</v>
      </c>
      <c r="M1876" s="9" t="str">
        <f t="shared" si="325"/>
        <v/>
      </c>
      <c r="N1876" s="24">
        <f>IF($A1876="","",WORKDAY($A1876,Settings!$C$9,HolidayDates))</f>
        <v>46232</v>
      </c>
      <c r="O1876" s="24">
        <f>IF($N1876="","",WORKDAY($N1876,Settings!$C$10,HolidayDates))</f>
        <v>46272</v>
      </c>
      <c r="P1876" s="10" t="s">
        <v>501</v>
      </c>
      <c r="Q1876" s="52" t="str">
        <f t="shared" si="328"/>
        <v>Collected</v>
      </c>
      <c r="R1876" s="55" t="str">
        <f t="shared" si="329"/>
        <v>2026-07</v>
      </c>
      <c r="S1876" s="55">
        <f>IF(OR($B1876="",$F1876="",$R1876=""),"",SUMIFS(tblIssues[Qty Issued],tblIssues[Staff ID],$B1876,tblIssues[Item Name],$F1876,tblIssues[Month],$R1876))</f>
        <v>1</v>
      </c>
      <c r="T1876" s="56">
        <f>IF($I1876="","",$I1876*Settings!$C$11)</f>
        <v>1</v>
      </c>
      <c r="U1876" s="57" t="str">
        <f t="shared" si="326"/>
        <v>OK</v>
      </c>
      <c r="V1876" s="55" t="str">
        <f t="shared" si="330"/>
        <v/>
      </c>
      <c r="W1876" s="55" t="str">
        <f>IF($V1876="","",IF(COUNTIF($V$5:$V1876,$V1876)=1,1,""))</f>
        <v/>
      </c>
      <c r="X1876" s="58" t="str">
        <f>IF($W1876="","",MAX($X$4:X1875)+1)</f>
        <v/>
      </c>
      <c r="Y1876" s="62"/>
      <c r="Z1876" s="62"/>
      <c r="AA1876" s="64" t="str">
        <f>IF($C1876="","",IFERROR(INDEX('Staff Directory'!$E$5:$E$594,MATCH($C1876,'Staff Directory'!$B$5:$B$594,0)),""))</f>
        <v>firstname085.lastname085@example.com</v>
      </c>
      <c r="AB1876" s="64" t="str">
        <f>IF($C1876="","",IF(ISNUMBER(SEARCH($D1876,Settings!$C$15)),"Pickup","Dispatch"))</f>
        <v>Pickup</v>
      </c>
      <c r="AC1876" s="64" t="str">
        <f t="shared" si="331"/>
        <v>Supply order ready for pickup</v>
      </c>
      <c r="AD1876" s="64" t="str">
        <f t="shared" si="322"/>
        <v>Dear PSW,
Your order is ready for pickup from Sample Branch, Wed-Fri 9am-4pm.</v>
      </c>
      <c r="AE1876" s="64" t="str">
        <f t="shared" si="323"/>
        <v>mailto:firstname085.lastname085@example.com?subject=Supply%20order%20ready%20for%20pickup&amp;body=Dear%20PSW%2C%0A%0AYour%20order%20is%20ready%20for%20pickup%20from%20Sample%20Branch%2C%20Wed-Fri%209am-4pm.</v>
      </c>
      <c r="AF1876" s="89" t="str">
        <f t="shared" si="332"/>
        <v>Draft email</v>
      </c>
      <c r="AG1876" s="64" t="str">
        <f>IF($C1876="","",IFERROR(INDEX('Staff Directory'!$K$595:$K$599,MATCH($C1876,'Staff Directory'!$B$5:$B$599,0)),$D1876))</f>
        <v>PSW</v>
      </c>
      <c r="AH1876" t="str">
        <f>IF($C1876="","",IFERROR(INDEX('Staff Directory'!$I$595:$I$599,MATCH($C1876,'Staff Directory'!$B$5:$B$599,0))&amp;" "&amp;INDEX('Staff Directory'!$J$595:$J$599,MATCH($C1876,'Staff Directory'!$B$5:$B$599,0)),$AG1876))</f>
        <v>PSW</v>
      </c>
      <c r="AI1876" s="102"/>
      <c r="AJ1876" s="101">
        <f>IF($F1876="","",SUMIFS($J$5:$J1876,$F$5:$F1876,$F1876))</f>
        <v>80</v>
      </c>
      <c r="AK1876" s="101">
        <f t="shared" si="324"/>
        <v>80</v>
      </c>
      <c r="AL1876" s="66" t="str" cm="1">
        <f t="array" ref="AL1876">IF($F1876="","",IFERROR(INDEX('Lot Balance'!$B$5:$B$500,MATCH(1,INDEX(('Lot Balance'!$A$5:$A$500=$F1876)*('Lot Balance'!$K$5:$K$500&lt;$AK1876)*('Lot Balance'!$K$5:$K$500+'Lot Balance'!$D$5:$D$500&gt;=$AK1876),0),0)),""))</f>
        <v/>
      </c>
      <c r="AM1876" s="66" t="str" cm="1">
        <f t="array" ref="AM1876">IF($F1876="","",IFERROR(INDEX('Lot Balance'!$B$5:$B$500,MATCH(1,INDEX(('Lot Balance'!$A$5:$A$500=$F1876)*('Lot Balance'!$K$5:$K$500&lt;$AJ1876)*('Lot Balance'!$K$5:$K$500+'Lot Balance'!$D$5:$D$500&gt;=$AJ1876),0),0)),""))</f>
        <v/>
      </c>
      <c r="AN1876" s="66" t="str">
        <f>IF($F1876="","",IF($AI1876&lt;&gt;"",IF(COUNTIFS('Lot Balance'!$A$5:$A$500,$F1876,'Lot Balance'!$B$5:$B$500,$AI1876)=0,"⚠ override is not a lot of this item",IF($AI1876=$AL1876,"Override = FEFO","Override - FEFO says "&amp;$AL1876)),IF($AL1876="","⚠ no receipt on file for this item",IF($AM1876&lt;&gt;$AL1876,"FEFO auto - split, also "&amp;$AM1876,"FEFO auto"))))</f>
        <v>⚠ no receipt on file for this item</v>
      </c>
      <c r="AO1876" s="114"/>
    </row>
    <row r="1877" spans="1:41" x14ac:dyDescent="0.35">
      <c r="A1877" s="74">
        <v>46224</v>
      </c>
      <c r="B1877" s="18" t="str">
        <f>IF($C1877="","",IFERROR(INDEX('Staff Directory'!$A$5:$A$594,MATCH($C1877,'Staff Directory'!$B$5:$B$594,0)),"⚠ unknown staff"))</f>
        <v>PSW-109-A6</v>
      </c>
      <c r="C1877" s="49" t="s">
        <v>1087</v>
      </c>
      <c r="D1877" s="19" t="str">
        <f>IF($B1877="","",IFERROR(INDEX('Staff Directory'!$C$5:$C$594,MATCH($B1877,'Staff Directory'!$A$5:$A$594,0)),""))</f>
        <v>PSW</v>
      </c>
      <c r="E1877" s="19" t="str">
        <f>IF($B1877="","",IFERROR(INDEX('Staff Directory'!$D$5:$D$594,MATCH($B1877,'Staff Directory'!$A$5:$A$594,0)),""))</f>
        <v>A6</v>
      </c>
      <c r="F1877" s="9" t="s">
        <v>124</v>
      </c>
      <c r="G1877" s="18" t="str">
        <f>IF($F1877="","",IFERROR(INDEX(Items!$B$5:$B$597,MATCH($F1877,Items!$A$5:$A$597,0)),"⚠ not in Items"))</f>
        <v>Gloves</v>
      </c>
      <c r="H1877" s="19" t="str">
        <f>IF($F1877="","",IFERROR(INDEX(Items!$C$5:$C$597,MATCH($F1877,Items!$A$5:$A$597,0)),""))</f>
        <v>Large</v>
      </c>
      <c r="I1877" s="23">
        <f>IF($F1877="","",IFERROR(INDEX(Items!$E$5:$E$597,MATCH($F1877,Items!$A$5:$A$597,0)),""))</f>
        <v>500</v>
      </c>
      <c r="J1877" s="115">
        <f>IF(tblIssues[[#This Row],[Qty Override]]&lt;&gt;"",tblIssues[[#This Row],[Qty Override]],IF(tblIssues[[#This Row],[Standard Issue]]="","",tblIssues[[#This Row],[Standard Issue]]))</f>
        <v>500</v>
      </c>
      <c r="K1877" s="20">
        <f>IF($F1877="","",IFERROR(INDEX(Items!$D$5:$D$597,MATCH($F1877,Items!$A$5:$A$597,0)),""))</f>
        <v>5.5E-2</v>
      </c>
      <c r="L1877" s="21">
        <f t="shared" si="327"/>
        <v>27.5</v>
      </c>
      <c r="M1877" s="9" t="str">
        <f t="shared" si="325"/>
        <v>ZIM512142081</v>
      </c>
      <c r="N1877" s="24">
        <f>IF($A1877="","",WORKDAY($A1877,Settings!$C$9,HolidayDates))</f>
        <v>46232</v>
      </c>
      <c r="O1877" s="24">
        <f>IF($N1877="","",WORKDAY($N1877,Settings!$C$10,HolidayDates))</f>
        <v>46272</v>
      </c>
      <c r="P1877" s="10" t="s">
        <v>501</v>
      </c>
      <c r="Q1877" s="52" t="str">
        <f t="shared" si="328"/>
        <v>Collected</v>
      </c>
      <c r="R1877" s="55" t="str">
        <f t="shared" si="329"/>
        <v>2026-07</v>
      </c>
      <c r="S1877" s="55">
        <f>IF(OR($B1877="",$F1877="",$R1877=""),"",SUMIFS(tblIssues[Qty Issued],tblIssues[Staff ID],$B1877,tblIssues[Item Name],$F1877,tblIssues[Month],$R1877))</f>
        <v>500</v>
      </c>
      <c r="T1877" s="56">
        <f>IF($I1877="","",$I1877*Settings!$C$11)</f>
        <v>500</v>
      </c>
      <c r="U1877" s="57" t="str">
        <f t="shared" si="326"/>
        <v>OK</v>
      </c>
      <c r="V1877" s="55" t="str">
        <f t="shared" si="330"/>
        <v/>
      </c>
      <c r="W1877" s="55" t="str">
        <f>IF($V1877="","",IF(COUNTIF($V$5:$V1877,$V1877)=1,1,""))</f>
        <v/>
      </c>
      <c r="X1877" s="58" t="str">
        <f>IF($W1877="","",MAX($X$4:X1876)+1)</f>
        <v/>
      </c>
      <c r="Y1877" s="62"/>
      <c r="Z1877" s="62"/>
      <c r="AA1877" s="64" t="str">
        <f>IF($C1877="","",IFERROR(INDEX('Staff Directory'!$E$5:$E$594,MATCH($C1877,'Staff Directory'!$B$5:$B$594,0)),""))</f>
        <v>firstname171.lastname171@example.com</v>
      </c>
      <c r="AB1877" s="64" t="str">
        <f>IF($C1877="","",IF(ISNUMBER(SEARCH($D1877,Settings!$C$15)),"Pickup","Dispatch"))</f>
        <v>Pickup</v>
      </c>
      <c r="AC1877" s="64" t="str">
        <f t="shared" si="331"/>
        <v>Supply order ready for pickup</v>
      </c>
      <c r="AD1877" s="64" t="str">
        <f t="shared" si="322"/>
        <v>Dear PSW,
Your order is ready for pickup from Sample Branch, Wed-Fri 9am-4pm.</v>
      </c>
      <c r="AE1877" s="64" t="str">
        <f t="shared" si="323"/>
        <v>mailto:firstname171.lastname171@example.com?subject=Supply%20order%20ready%20for%20pickup&amp;body=Dear%20PSW%2C%0A%0AYour%20order%20is%20ready%20for%20pickup%20from%20Sample%20Branch%2C%20Wed-Fri%209am-4pm.</v>
      </c>
      <c r="AF1877" s="89" t="str">
        <f t="shared" si="332"/>
        <v>Draft email</v>
      </c>
      <c r="AG1877" s="64" t="str">
        <f>IF($C1877="","",IFERROR(INDEX('Staff Directory'!$K$595:$K$599,MATCH($C1877,'Staff Directory'!$B$5:$B$599,0)),$D1877))</f>
        <v>PSW</v>
      </c>
      <c r="AH1877" t="str">
        <f>IF($C1877="","",IFERROR(INDEX('Staff Directory'!$I$595:$I$599,MATCH($C1877,'Staff Directory'!$B$5:$B$599,0))&amp;" "&amp;INDEX('Staff Directory'!$J$595:$J$599,MATCH($C1877,'Staff Directory'!$B$5:$B$599,0)),$AG1877))</f>
        <v>PSW</v>
      </c>
      <c r="AI1877" s="102"/>
      <c r="AJ1877" s="101">
        <f>IF($F1877="","",SUMIFS($J$5:$J1877,$F$5:$F1877,$F1877))</f>
        <v>51000</v>
      </c>
      <c r="AK1877" s="101">
        <f t="shared" si="324"/>
        <v>50501</v>
      </c>
      <c r="AL1877" s="66" t="str" cm="1">
        <f t="array" ref="AL1877">IF($F1877="","",IFERROR(INDEX('Lot Balance'!$B$5:$B$500,MATCH(1,INDEX(('Lot Balance'!$A$5:$A$500=$F1877)*('Lot Balance'!$K$5:$K$500&lt;$AK1877)*('Lot Balance'!$K$5:$K$500+'Lot Balance'!$D$5:$D$500&gt;=$AK1877),0),0)),""))</f>
        <v>ZIM512142081</v>
      </c>
      <c r="AM1877" s="66" t="str" cm="1">
        <f t="array" ref="AM1877">IF($F1877="","",IFERROR(INDEX('Lot Balance'!$B$5:$B$500,MATCH(1,INDEX(('Lot Balance'!$A$5:$A$500=$F1877)*('Lot Balance'!$K$5:$K$500&lt;$AJ1877)*('Lot Balance'!$K$5:$K$500+'Lot Balance'!$D$5:$D$500&gt;=$AJ1877),0),0)),""))</f>
        <v>ZIM512142081</v>
      </c>
      <c r="AN1877" s="66" t="str">
        <f>IF($F1877="","",IF($AI1877&lt;&gt;"",IF(COUNTIFS('Lot Balance'!$A$5:$A$500,$F1877,'Lot Balance'!$B$5:$B$500,$AI1877)=0,"⚠ override is not a lot of this item",IF($AI1877=$AL1877,"Override = FEFO","Override - FEFO says "&amp;$AL1877)),IF($AL1877="","⚠ no receipt on file for this item",IF($AM1877&lt;&gt;$AL1877,"FEFO auto - split, also "&amp;$AM1877,"FEFO auto"))))</f>
        <v>FEFO auto</v>
      </c>
      <c r="AO1877" s="114"/>
    </row>
    <row r="1878" spans="1:41" x14ac:dyDescent="0.35">
      <c r="A1878" s="74">
        <v>46224</v>
      </c>
      <c r="B1878" s="18" t="str">
        <f>IF($C1878="","",IFERROR(INDEX('Staff Directory'!$A$5:$A$594,MATCH($C1878,'Staff Directory'!$B$5:$B$594,0)),"⚠ unknown staff"))</f>
        <v>PSW-109-A6</v>
      </c>
      <c r="C1878" s="49" t="s">
        <v>1087</v>
      </c>
      <c r="D1878" s="19" t="str">
        <f>IF($B1878="","",IFERROR(INDEX('Staff Directory'!$C$5:$C$594,MATCH($B1878,'Staff Directory'!$A$5:$A$594,0)),""))</f>
        <v>PSW</v>
      </c>
      <c r="E1878" s="19" t="str">
        <f>IF($B1878="","",IFERROR(INDEX('Staff Directory'!$D$5:$D$594,MATCH($B1878,'Staff Directory'!$A$5:$A$594,0)),""))</f>
        <v>A6</v>
      </c>
      <c r="F1878" s="9" t="s">
        <v>191</v>
      </c>
      <c r="G1878" s="18" t="str">
        <f>IF($F1878="","",IFERROR(INDEX(Items!$B$5:$B$597,MATCH($F1878,Items!$A$5:$A$597,0)),"⚠ not in Items"))</f>
        <v>Sanitizer</v>
      </c>
      <c r="H1878" s="19" t="str">
        <f>IF($F1878="","",IFERROR(INDEX(Items!$C$5:$C$597,MATCH($F1878,Items!$A$5:$A$597,0)),""))</f>
        <v>236 ML</v>
      </c>
      <c r="I1878" s="23">
        <f>IF($F1878="","",IFERROR(INDEX(Items!$E$5:$E$597,MATCH($F1878,Items!$A$5:$A$597,0)),""))</f>
        <v>1</v>
      </c>
      <c r="J1878" s="115">
        <f>IF(tblIssues[[#This Row],[Qty Override]]&lt;&gt;"",tblIssues[[#This Row],[Qty Override]],IF(tblIssues[[#This Row],[Standard Issue]]="","",tblIssues[[#This Row],[Standard Issue]]))</f>
        <v>1</v>
      </c>
      <c r="K1878" s="20">
        <f>IF($F1878="","",IFERROR(INDEX(Items!$D$5:$D$597,MATCH($F1878,Items!$A$5:$A$597,0)),""))</f>
        <v>1E-4</v>
      </c>
      <c r="L1878" s="21">
        <f t="shared" si="327"/>
        <v>1E-4</v>
      </c>
      <c r="M1878" s="9" t="str">
        <f t="shared" si="325"/>
        <v>20-21734-6</v>
      </c>
      <c r="N1878" s="24">
        <f>IF($A1878="","",WORKDAY($A1878,Settings!$C$9,HolidayDates))</f>
        <v>46232</v>
      </c>
      <c r="O1878" s="24">
        <f>IF($N1878="","",WORKDAY($N1878,Settings!$C$10,HolidayDates))</f>
        <v>46272</v>
      </c>
      <c r="P1878" s="10" t="s">
        <v>501</v>
      </c>
      <c r="Q1878" s="52" t="str">
        <f t="shared" si="328"/>
        <v>Collected</v>
      </c>
      <c r="R1878" s="55" t="str">
        <f t="shared" si="329"/>
        <v>2026-07</v>
      </c>
      <c r="S1878" s="55">
        <f>IF(OR($B1878="",$F1878="",$R1878=""),"",SUMIFS(tblIssues[Qty Issued],tblIssues[Staff ID],$B1878,tblIssues[Item Name],$F1878,tblIssues[Month],$R1878))</f>
        <v>1</v>
      </c>
      <c r="T1878" s="56">
        <f>IF($I1878="","",$I1878*Settings!$C$11)</f>
        <v>1</v>
      </c>
      <c r="U1878" s="57" t="str">
        <f t="shared" si="326"/>
        <v>OK</v>
      </c>
      <c r="V1878" s="55" t="str">
        <f t="shared" si="330"/>
        <v/>
      </c>
      <c r="W1878" s="55" t="str">
        <f>IF($V1878="","",IF(COUNTIF($V$5:$V1878,$V1878)=1,1,""))</f>
        <v/>
      </c>
      <c r="X1878" s="58" t="str">
        <f>IF($W1878="","",MAX($X$4:X1877)+1)</f>
        <v/>
      </c>
      <c r="Y1878" s="62"/>
      <c r="Z1878" s="62"/>
      <c r="AA1878" s="64" t="str">
        <f>IF($C1878="","",IFERROR(INDEX('Staff Directory'!$E$5:$E$594,MATCH($C1878,'Staff Directory'!$B$5:$B$594,0)),""))</f>
        <v>firstname171.lastname171@example.com</v>
      </c>
      <c r="AB1878" s="64" t="str">
        <f>IF($C1878="","",IF(ISNUMBER(SEARCH($D1878,Settings!$C$15)),"Pickup","Dispatch"))</f>
        <v>Pickup</v>
      </c>
      <c r="AC1878" s="64" t="str">
        <f t="shared" si="331"/>
        <v>Supply order ready for pickup</v>
      </c>
      <c r="AD1878" s="64" t="str">
        <f t="shared" si="322"/>
        <v>Dear PSW,
Your order is ready for pickup from Sample Branch, Wed-Fri 9am-4pm.</v>
      </c>
      <c r="AE1878" s="64" t="str">
        <f t="shared" si="323"/>
        <v>mailto:firstname171.lastname171@example.com?subject=Supply%20order%20ready%20for%20pickup&amp;body=Dear%20PSW%2C%0A%0AYour%20order%20is%20ready%20for%20pickup%20from%20Sample%20Branch%2C%20Wed-Fri%209am-4pm.</v>
      </c>
      <c r="AF1878" s="89" t="str">
        <f t="shared" si="332"/>
        <v>Draft email</v>
      </c>
      <c r="AG1878" s="64" t="str">
        <f>IF($C1878="","",IFERROR(INDEX('Staff Directory'!$K$595:$K$599,MATCH($C1878,'Staff Directory'!$B$5:$B$599,0)),$D1878))</f>
        <v>PSW</v>
      </c>
      <c r="AH1878" t="str">
        <f>IF($C1878="","",IFERROR(INDEX('Staff Directory'!$I$595:$I$599,MATCH($C1878,'Staff Directory'!$B$5:$B$599,0))&amp;" "&amp;INDEX('Staff Directory'!$J$595:$J$599,MATCH($C1878,'Staff Directory'!$B$5:$B$599,0)),$AG1878))</f>
        <v>PSW</v>
      </c>
      <c r="AI1878" s="102"/>
      <c r="AJ1878" s="101">
        <f>IF($F1878="","",SUMIFS($J$5:$J1878,$F$5:$F1878,$F1878))</f>
        <v>254</v>
      </c>
      <c r="AK1878" s="101">
        <f t="shared" si="324"/>
        <v>254</v>
      </c>
      <c r="AL1878" s="66" t="str" cm="1">
        <f t="array" ref="AL1878">IF($F1878="","",IFERROR(INDEX('Lot Balance'!$B$5:$B$500,MATCH(1,INDEX(('Lot Balance'!$A$5:$A$500=$F1878)*('Lot Balance'!$K$5:$K$500&lt;$AK1878)*('Lot Balance'!$K$5:$K$500+'Lot Balance'!$D$5:$D$500&gt;=$AK1878),0),0)),""))</f>
        <v>20-21734-6</v>
      </c>
      <c r="AM1878" s="66" t="str" cm="1">
        <f t="array" ref="AM1878">IF($F1878="","",IFERROR(INDEX('Lot Balance'!$B$5:$B$500,MATCH(1,INDEX(('Lot Balance'!$A$5:$A$500=$F1878)*('Lot Balance'!$K$5:$K$500&lt;$AJ1878)*('Lot Balance'!$K$5:$K$500+'Lot Balance'!$D$5:$D$500&gt;=$AJ1878),0),0)),""))</f>
        <v>20-21734-6</v>
      </c>
      <c r="AN1878" s="66" t="str">
        <f>IF($F1878="","",IF($AI1878&lt;&gt;"",IF(COUNTIFS('Lot Balance'!$A$5:$A$500,$F1878,'Lot Balance'!$B$5:$B$500,$AI1878)=0,"⚠ override is not a lot of this item",IF($AI1878=$AL1878,"Override = FEFO","Override - FEFO says "&amp;$AL1878)),IF($AL1878="","⚠ no receipt on file for this item",IF($AM1878&lt;&gt;$AL1878,"FEFO auto - split, also "&amp;$AM1878,"FEFO auto"))))</f>
        <v>FEFO auto</v>
      </c>
      <c r="AO1878" s="114"/>
    </row>
    <row r="1879" spans="1:41" x14ac:dyDescent="0.35">
      <c r="A1879" s="74">
        <v>46224</v>
      </c>
      <c r="B1879" s="18" t="str">
        <f>IF($C1879="","",IFERROR(INDEX('Staff Directory'!$A$5:$A$594,MATCH($C1879,'Staff Directory'!$B$5:$B$594,0)),"⚠ unknown staff"))</f>
        <v>PSW-109-A6</v>
      </c>
      <c r="C1879" s="49" t="s">
        <v>1087</v>
      </c>
      <c r="D1879" s="19" t="str">
        <f>IF($B1879="","",IFERROR(INDEX('Staff Directory'!$C$5:$C$594,MATCH($B1879,'Staff Directory'!$A$5:$A$594,0)),""))</f>
        <v>PSW</v>
      </c>
      <c r="E1879" s="19" t="str">
        <f>IF($B1879="","",IFERROR(INDEX('Staff Directory'!$D$5:$D$594,MATCH($B1879,'Staff Directory'!$A$5:$A$594,0)),""))</f>
        <v>A6</v>
      </c>
      <c r="F1879" s="9" t="s">
        <v>115</v>
      </c>
      <c r="G1879" s="18" t="str">
        <f>IF($F1879="","",IFERROR(INDEX(Items!$B$5:$B$597,MATCH($F1879,Items!$A$5:$A$597,0)),"⚠ not in Items"))</f>
        <v>Wipes</v>
      </c>
      <c r="H1879" s="19">
        <f>IF($F1879="","",IFERROR(INDEX(Items!$C$5:$C$597,MATCH($F1879,Items!$A$5:$A$597,0)),""))</f>
        <v>80</v>
      </c>
      <c r="I1879" s="23">
        <f>IF($F1879="","",IFERROR(INDEX(Items!$E$5:$E$597,MATCH($F1879,Items!$A$5:$A$597,0)),""))</f>
        <v>80</v>
      </c>
      <c r="J1879" s="115">
        <f>IF(tblIssues[[#This Row],[Qty Override]]&lt;&gt;"",tblIssues[[#This Row],[Qty Override]],IF(tblIssues[[#This Row],[Standard Issue]]="","",tblIssues[[#This Row],[Standard Issue]]))</f>
        <v>80</v>
      </c>
      <c r="K1879" s="20">
        <f>IF($F1879="","",IFERROR(INDEX(Items!$D$5:$D$597,MATCH($F1879,Items!$A$5:$A$597,0)),""))</f>
        <v>0.1</v>
      </c>
      <c r="L1879" s="21">
        <f t="shared" si="327"/>
        <v>8</v>
      </c>
      <c r="M1879" s="9" t="str">
        <f t="shared" si="325"/>
        <v>LYSL500290</v>
      </c>
      <c r="N1879" s="24">
        <f>IF($A1879="","",WORKDAY($A1879,Settings!$C$9,HolidayDates))</f>
        <v>46232</v>
      </c>
      <c r="O1879" s="24">
        <f>IF($N1879="","",WORKDAY($N1879,Settings!$C$10,HolidayDates))</f>
        <v>46272</v>
      </c>
      <c r="P1879" s="10" t="s">
        <v>501</v>
      </c>
      <c r="Q1879" s="52" t="str">
        <f t="shared" si="328"/>
        <v>Collected</v>
      </c>
      <c r="R1879" s="55" t="str">
        <f t="shared" si="329"/>
        <v>2026-07</v>
      </c>
      <c r="S1879" s="55">
        <f>IF(OR($B1879="",$F1879="",$R1879=""),"",SUMIFS(tblIssues[Qty Issued],tblIssues[Staff ID],$B1879,tblIssues[Item Name],$F1879,tblIssues[Month],$R1879))</f>
        <v>80</v>
      </c>
      <c r="T1879" s="56">
        <f>IF($I1879="","",$I1879*Settings!$C$11)</f>
        <v>80</v>
      </c>
      <c r="U1879" s="57" t="str">
        <f t="shared" si="326"/>
        <v>OK</v>
      </c>
      <c r="V1879" s="55" t="str">
        <f t="shared" si="330"/>
        <v/>
      </c>
      <c r="W1879" s="55" t="str">
        <f>IF($V1879="","",IF(COUNTIF($V$5:$V1879,$V1879)=1,1,""))</f>
        <v/>
      </c>
      <c r="X1879" s="58" t="str">
        <f>IF($W1879="","",MAX($X$4:X1878)+1)</f>
        <v/>
      </c>
      <c r="Y1879" s="62"/>
      <c r="Z1879" s="62"/>
      <c r="AA1879" s="64" t="str">
        <f>IF($C1879="","",IFERROR(INDEX('Staff Directory'!$E$5:$E$594,MATCH($C1879,'Staff Directory'!$B$5:$B$594,0)),""))</f>
        <v>firstname171.lastname171@example.com</v>
      </c>
      <c r="AB1879" s="64" t="str">
        <f>IF($C1879="","",IF(ISNUMBER(SEARCH($D1879,Settings!$C$15)),"Pickup","Dispatch"))</f>
        <v>Pickup</v>
      </c>
      <c r="AC1879" s="64" t="str">
        <f t="shared" si="331"/>
        <v>Supply order ready for pickup</v>
      </c>
      <c r="AD1879" s="64" t="str">
        <f t="shared" si="322"/>
        <v>Dear PSW,
Your order is ready for pickup from Sample Branch, Wed-Fri 9am-4pm.</v>
      </c>
      <c r="AE1879" s="64" t="str">
        <f t="shared" si="323"/>
        <v>mailto:firstname171.lastname171@example.com?subject=Supply%20order%20ready%20for%20pickup&amp;body=Dear%20PSW%2C%0A%0AYour%20order%20is%20ready%20for%20pickup%20from%20Sample%20Branch%2C%20Wed-Fri%209am-4pm.</v>
      </c>
      <c r="AF1879" s="89" t="str">
        <f t="shared" si="332"/>
        <v>Draft email</v>
      </c>
      <c r="AG1879" s="64" t="str">
        <f>IF($C1879="","",IFERROR(INDEX('Staff Directory'!$K$595:$K$599,MATCH($C1879,'Staff Directory'!$B$5:$B$599,0)),$D1879))</f>
        <v>PSW</v>
      </c>
      <c r="AH1879" t="str">
        <f>IF($C1879="","",IFERROR(INDEX('Staff Directory'!$I$595:$I$599,MATCH($C1879,'Staff Directory'!$B$5:$B$599,0))&amp;" "&amp;INDEX('Staff Directory'!$J$595:$J$599,MATCH($C1879,'Staff Directory'!$B$5:$B$599,0)),$AG1879))</f>
        <v>PSW</v>
      </c>
      <c r="AI1879" s="102"/>
      <c r="AJ1879" s="101">
        <f>IF($F1879="","",SUMIFS($J$5:$J1879,$F$5:$F1879,$F1879))</f>
        <v>24880</v>
      </c>
      <c r="AK1879" s="101">
        <f t="shared" si="324"/>
        <v>24801</v>
      </c>
      <c r="AL1879" s="66" t="str" cm="1">
        <f t="array" ref="AL1879">IF($F1879="","",IFERROR(INDEX('Lot Balance'!$B$5:$B$500,MATCH(1,INDEX(('Lot Balance'!$A$5:$A$500=$F1879)*('Lot Balance'!$K$5:$K$500&lt;$AK1879)*('Lot Balance'!$K$5:$K$500+'Lot Balance'!$D$5:$D$500&gt;=$AK1879),0),0)),""))</f>
        <v>LYSL500290</v>
      </c>
      <c r="AM1879" s="66" t="str" cm="1">
        <f t="array" ref="AM1879">IF($F1879="","",IFERROR(INDEX('Lot Balance'!$B$5:$B$500,MATCH(1,INDEX(('Lot Balance'!$A$5:$A$500=$F1879)*('Lot Balance'!$K$5:$K$500&lt;$AJ1879)*('Lot Balance'!$K$5:$K$500+'Lot Balance'!$D$5:$D$500&gt;=$AJ1879),0),0)),""))</f>
        <v>LYSL500290</v>
      </c>
      <c r="AN1879" s="66" t="str">
        <f>IF($F1879="","",IF($AI1879&lt;&gt;"",IF(COUNTIFS('Lot Balance'!$A$5:$A$500,$F1879,'Lot Balance'!$B$5:$B$500,$AI1879)=0,"⚠ override is not a lot of this item",IF($AI1879=$AL1879,"Override = FEFO","Override - FEFO says "&amp;$AL1879)),IF($AL1879="","⚠ no receipt on file for this item",IF($AM1879&lt;&gt;$AL1879,"FEFO auto - split, also "&amp;$AM1879,"FEFO auto"))))</f>
        <v>FEFO auto</v>
      </c>
      <c r="AO1879" s="114"/>
    </row>
    <row r="1880" spans="1:41" x14ac:dyDescent="0.35">
      <c r="A1880" s="74">
        <v>46224</v>
      </c>
      <c r="B1880" s="18" t="str">
        <f>IF($C1880="","",IFERROR(INDEX('Staff Directory'!$A$5:$A$594,MATCH($C1880,'Staff Directory'!$B$5:$B$594,0)),"⚠ unknown staff"))</f>
        <v>PSW-109-A6</v>
      </c>
      <c r="C1880" s="49" t="s">
        <v>1087</v>
      </c>
      <c r="D1880" s="19" t="str">
        <f>IF($B1880="","",IFERROR(INDEX('Staff Directory'!$C$5:$C$594,MATCH($B1880,'Staff Directory'!$A$5:$A$594,0)),""))</f>
        <v>PSW</v>
      </c>
      <c r="E1880" s="19" t="str">
        <f>IF($B1880="","",IFERROR(INDEX('Staff Directory'!$D$5:$D$594,MATCH($B1880,'Staff Directory'!$A$5:$A$594,0)),""))</f>
        <v>A6</v>
      </c>
      <c r="F1880" s="9" t="s">
        <v>758</v>
      </c>
      <c r="G1880" s="18" t="str">
        <f>IF($F1880="","",IFERROR(INDEX(Items!$B$5:$B$597,MATCH($F1880,Items!$A$5:$A$597,0)),"⚠ not in Items"))</f>
        <v>Utility</v>
      </c>
      <c r="H1880" s="19" t="str">
        <f>IF($F1880="","",IFERROR(INDEX(Items!$C$5:$C$597,MATCH($F1880,Items!$A$5:$A$597,0)),""))</f>
        <v>Standard</v>
      </c>
      <c r="I1880" s="23">
        <f>IF($F1880="","",IFERROR(INDEX(Items!$E$5:$E$597,MATCH($F1880,Items!$A$5:$A$597,0)),""))</f>
        <v>1</v>
      </c>
      <c r="J1880" s="115">
        <f>IF(tblIssues[[#This Row],[Qty Override]]&lt;&gt;"",tblIssues[[#This Row],[Qty Override]],IF(tblIssues[[#This Row],[Standard Issue]]="","",tblIssues[[#This Row],[Standard Issue]]))</f>
        <v>1</v>
      </c>
      <c r="K1880" s="20">
        <f>IF($F1880="","",IFERROR(INDEX(Items!$D$5:$D$597,MATCH($F1880,Items!$A$5:$A$597,0)),""))</f>
        <v>0</v>
      </c>
      <c r="L1880" s="21">
        <f t="shared" si="327"/>
        <v>0</v>
      </c>
      <c r="M1880" s="9" t="str">
        <f t="shared" si="325"/>
        <v/>
      </c>
      <c r="N1880" s="24">
        <f>IF($A1880="","",WORKDAY($A1880,Settings!$C$9,HolidayDates))</f>
        <v>46232</v>
      </c>
      <c r="O1880" s="24">
        <f>IF($N1880="","",WORKDAY($N1880,Settings!$C$10,HolidayDates))</f>
        <v>46272</v>
      </c>
      <c r="P1880" s="10" t="s">
        <v>501</v>
      </c>
      <c r="Q1880" s="52" t="str">
        <f t="shared" si="328"/>
        <v>Collected</v>
      </c>
      <c r="R1880" s="55" t="str">
        <f t="shared" si="329"/>
        <v>2026-07</v>
      </c>
      <c r="S1880" s="55">
        <f>IF(OR($B1880="",$F1880="",$R1880=""),"",SUMIFS(tblIssues[Qty Issued],tblIssues[Staff ID],$B1880,tblIssues[Item Name],$F1880,tblIssues[Month],$R1880))</f>
        <v>1</v>
      </c>
      <c r="T1880" s="56">
        <f>IF($I1880="","",$I1880*Settings!$C$11)</f>
        <v>1</v>
      </c>
      <c r="U1880" s="57" t="str">
        <f t="shared" si="326"/>
        <v>OK</v>
      </c>
      <c r="V1880" s="55" t="str">
        <f t="shared" si="330"/>
        <v/>
      </c>
      <c r="W1880" s="55" t="str">
        <f>IF($V1880="","",IF(COUNTIF($V$5:$V1880,$V1880)=1,1,""))</f>
        <v/>
      </c>
      <c r="X1880" s="58" t="str">
        <f>IF($W1880="","",MAX($X$4:X1879)+1)</f>
        <v/>
      </c>
      <c r="Y1880" s="62"/>
      <c r="Z1880" s="62"/>
      <c r="AA1880" s="64" t="str">
        <f>IF($C1880="","",IFERROR(INDEX('Staff Directory'!$E$5:$E$594,MATCH($C1880,'Staff Directory'!$B$5:$B$594,0)),""))</f>
        <v>firstname171.lastname171@example.com</v>
      </c>
      <c r="AB1880" s="64" t="str">
        <f>IF($C1880="","",IF(ISNUMBER(SEARCH($D1880,Settings!$C$15)),"Pickup","Dispatch"))</f>
        <v>Pickup</v>
      </c>
      <c r="AC1880" s="64" t="str">
        <f t="shared" si="331"/>
        <v>Supply order ready for pickup</v>
      </c>
      <c r="AD1880" s="64" t="str">
        <f t="shared" si="322"/>
        <v>Dear PSW,
Your order is ready for pickup from Sample Branch, Wed-Fri 9am-4pm.</v>
      </c>
      <c r="AE1880" s="64" t="str">
        <f t="shared" si="323"/>
        <v>mailto:firstname171.lastname171@example.com?subject=Supply%20order%20ready%20for%20pickup&amp;body=Dear%20PSW%2C%0A%0AYour%20order%20is%20ready%20for%20pickup%20from%20Sample%20Branch%2C%20Wed-Fri%209am-4pm.</v>
      </c>
      <c r="AF1880" s="89" t="str">
        <f t="shared" si="332"/>
        <v>Draft email</v>
      </c>
      <c r="AG1880" s="64" t="str">
        <f>IF($C1880="","",IFERROR(INDEX('Staff Directory'!$K$595:$K$599,MATCH($C1880,'Staff Directory'!$B$5:$B$599,0)),$D1880))</f>
        <v>PSW</v>
      </c>
      <c r="AH1880" t="str">
        <f>IF($C1880="","",IFERROR(INDEX('Staff Directory'!$I$595:$I$599,MATCH($C1880,'Staff Directory'!$B$5:$B$599,0))&amp;" "&amp;INDEX('Staff Directory'!$J$595:$J$599,MATCH($C1880,'Staff Directory'!$B$5:$B$599,0)),$AG1880))</f>
        <v>PSW</v>
      </c>
      <c r="AI1880" s="102"/>
      <c r="AJ1880" s="101">
        <f>IF($F1880="","",SUMIFS($J$5:$J1880,$F$5:$F1880,$F1880))</f>
        <v>81</v>
      </c>
      <c r="AK1880" s="101">
        <f t="shared" si="324"/>
        <v>81</v>
      </c>
      <c r="AL1880" s="66" t="str" cm="1">
        <f t="array" ref="AL1880">IF($F1880="","",IFERROR(INDEX('Lot Balance'!$B$5:$B$500,MATCH(1,INDEX(('Lot Balance'!$A$5:$A$500=$F1880)*('Lot Balance'!$K$5:$K$500&lt;$AK1880)*('Lot Balance'!$K$5:$K$500+'Lot Balance'!$D$5:$D$500&gt;=$AK1880),0),0)),""))</f>
        <v/>
      </c>
      <c r="AM1880" s="66" t="str" cm="1">
        <f t="array" ref="AM1880">IF($F1880="","",IFERROR(INDEX('Lot Balance'!$B$5:$B$500,MATCH(1,INDEX(('Lot Balance'!$A$5:$A$500=$F1880)*('Lot Balance'!$K$5:$K$500&lt;$AJ1880)*('Lot Balance'!$K$5:$K$500+'Lot Balance'!$D$5:$D$500&gt;=$AJ1880),0),0)),""))</f>
        <v/>
      </c>
      <c r="AN1880" s="66" t="str">
        <f>IF($F1880="","",IF($AI1880&lt;&gt;"",IF(COUNTIFS('Lot Balance'!$A$5:$A$500,$F1880,'Lot Balance'!$B$5:$B$500,$AI1880)=0,"⚠ override is not a lot of this item",IF($AI1880=$AL1880,"Override = FEFO","Override - FEFO says "&amp;$AL1880)),IF($AL1880="","⚠ no receipt on file for this item",IF($AM1880&lt;&gt;$AL1880,"FEFO auto - split, also "&amp;$AM1880,"FEFO auto"))))</f>
        <v>⚠ no receipt on file for this item</v>
      </c>
      <c r="AO1880" s="114"/>
    </row>
    <row r="1881" spans="1:41" x14ac:dyDescent="0.35">
      <c r="A1881" s="74">
        <v>46224</v>
      </c>
      <c r="B1881" s="18" t="str">
        <f>IF($C1881="","",IFERROR(INDEX('Staff Directory'!$A$5:$A$594,MATCH($C1881,'Staff Directory'!$B$5:$B$594,0)),"⚠ unknown staff"))</f>
        <v>RN-002-A1</v>
      </c>
      <c r="C1881" s="49" t="s">
        <v>918</v>
      </c>
      <c r="D1881" s="19" t="str">
        <f>IF($B1881="","",IFERROR(INDEX('Staff Directory'!$C$5:$C$594,MATCH($B1881,'Staff Directory'!$A$5:$A$594,0)),""))</f>
        <v>RN</v>
      </c>
      <c r="E1881" s="19" t="str">
        <f>IF($B1881="","",IFERROR(INDEX('Staff Directory'!$D$5:$D$594,MATCH($B1881,'Staff Directory'!$A$5:$A$594,0)),""))</f>
        <v>A1</v>
      </c>
      <c r="F1881" s="9" t="s">
        <v>127</v>
      </c>
      <c r="G1881" s="18" t="str">
        <f>IF($F1881="","",IFERROR(INDEX(Items!$B$5:$B$597,MATCH($F1881,Items!$A$5:$A$597,0)),"⚠ not in Items"))</f>
        <v>Gloves</v>
      </c>
      <c r="H1881" s="19" t="str">
        <f>IF($F1881="","",IFERROR(INDEX(Items!$C$5:$C$597,MATCH($F1881,Items!$A$5:$A$597,0)),""))</f>
        <v>Medium</v>
      </c>
      <c r="I1881" s="23">
        <f>IF($F1881="","",IFERROR(INDEX(Items!$E$5:$E$597,MATCH($F1881,Items!$A$5:$A$597,0)),""))</f>
        <v>500</v>
      </c>
      <c r="J1881" s="115">
        <f>IF(tblIssues[[#This Row],[Qty Override]]&lt;&gt;"",tblIssues[[#This Row],[Qty Override]],IF(tblIssues[[#This Row],[Standard Issue]]="","",tblIssues[[#This Row],[Standard Issue]]))</f>
        <v>500</v>
      </c>
      <c r="K1881" s="20">
        <f>IF($F1881="","",IFERROR(INDEX(Items!$D$5:$D$597,MATCH($F1881,Items!$A$5:$A$597,0)),""))</f>
        <v>5.5E-2</v>
      </c>
      <c r="L1881" s="21">
        <f t="shared" si="327"/>
        <v>27.5</v>
      </c>
      <c r="M1881" s="9" t="str">
        <f t="shared" si="325"/>
        <v>ZIM511139896</v>
      </c>
      <c r="N1881" s="24">
        <f>IF($A1881="","",WORKDAY($A1881,Settings!$C$9,HolidayDates))</f>
        <v>46232</v>
      </c>
      <c r="O1881" s="24">
        <f>IF($N1881="","",WORKDAY($N1881,Settings!$C$10,HolidayDates))</f>
        <v>46272</v>
      </c>
      <c r="P1881" s="10" t="s">
        <v>502</v>
      </c>
      <c r="Q1881" s="52" t="str">
        <f t="shared" si="328"/>
        <v>Collected</v>
      </c>
      <c r="R1881" s="55" t="str">
        <f t="shared" si="329"/>
        <v>2026-07</v>
      </c>
      <c r="S1881" s="55">
        <f>IF(OR($B1881="",$F1881="",$R1881=""),"",SUMIFS(tblIssues[Qty Issued],tblIssues[Staff ID],$B1881,tblIssues[Item Name],$F1881,tblIssues[Month],$R1881))</f>
        <v>500</v>
      </c>
      <c r="T1881" s="56">
        <f>IF($I1881="","",$I1881*Settings!$C$11)</f>
        <v>500</v>
      </c>
      <c r="U1881" s="57" t="str">
        <f t="shared" si="326"/>
        <v>OK</v>
      </c>
      <c r="V1881" s="55" t="str">
        <f t="shared" si="330"/>
        <v/>
      </c>
      <c r="W1881" s="55" t="str">
        <f>IF($V1881="","",IF(COUNTIF($V$5:$V1881,$V1881)=1,1,""))</f>
        <v/>
      </c>
      <c r="X1881" s="58" t="str">
        <f>IF($W1881="","",MAX($X$4:X1880)+1)</f>
        <v/>
      </c>
      <c r="Y1881" s="62"/>
      <c r="Z1881" s="62"/>
      <c r="AA1881" s="64" t="str">
        <f>IF($C1881="","",IFERROR(INDEX('Staff Directory'!$E$5:$E$594,MATCH($C1881,'Staff Directory'!$B$5:$B$594,0)),""))</f>
        <v>firstname002.lastname002@example.com</v>
      </c>
      <c r="AB1881" s="64" t="str">
        <f>IF($C1881="","",IF(ISNUMBER(SEARCH($D1881,Settings!$C$15)),"Pickup","Dispatch"))</f>
        <v>Dispatch</v>
      </c>
      <c r="AC1881" s="64" t="str">
        <f t="shared" si="331"/>
        <v>Supply order dispatched</v>
      </c>
      <c r="AD1881" s="64" t="str">
        <f t="shared" si="322"/>
        <v>Dear  ,
Your order has been dispatched and is in transit. Reply if undelivered.</v>
      </c>
      <c r="AE1881" s="64" t="str">
        <f t="shared" si="323"/>
        <v>mailto:firstname002.lastname002@example.com?subject=Supply%20order%20dispatched&amp;body=Dear%20%20%2C%0A%0AYour%20order%20has%20been%20dispatched%20and%20is%20in%20transit.%20Reply%20if%20undelivered.</v>
      </c>
      <c r="AF1881" s="89" t="str">
        <f t="shared" si="332"/>
        <v>Draft email</v>
      </c>
      <c r="AG1881" s="64">
        <f>IF($C1881="","",IFERROR(INDEX('Staff Directory'!$K$595:$K$599,MATCH($C1881,'Staff Directory'!$B$5:$B$599,0)),$D1881))</f>
        <v>0</v>
      </c>
      <c r="AH1881" t="str">
        <f>IF($C1881="","",IFERROR(INDEX('Staff Directory'!$I$595:$I$599,MATCH($C1881,'Staff Directory'!$B$5:$B$599,0))&amp;" "&amp;INDEX('Staff Directory'!$J$595:$J$599,MATCH($C1881,'Staff Directory'!$B$5:$B$599,0)),$AG1881))</f>
        <v xml:space="preserve"> </v>
      </c>
      <c r="AI1881" s="102"/>
      <c r="AJ1881" s="101">
        <f>IF($F1881="","",SUMIFS($J$5:$J1881,$F$5:$F1881,$F1881))</f>
        <v>112500</v>
      </c>
      <c r="AK1881" s="101">
        <f t="shared" si="324"/>
        <v>112001</v>
      </c>
      <c r="AL1881" s="66" t="str" cm="1">
        <f t="array" ref="AL1881">IF($F1881="","",IFERROR(INDEX('Lot Balance'!$B$5:$B$500,MATCH(1,INDEX(('Lot Balance'!$A$5:$A$500=$F1881)*('Lot Balance'!$K$5:$K$500&lt;$AK1881)*('Lot Balance'!$K$5:$K$500+'Lot Balance'!$D$5:$D$500&gt;=$AK1881),0),0)),""))</f>
        <v>ZIM511139896</v>
      </c>
      <c r="AM1881" s="66" t="str" cm="1">
        <f t="array" ref="AM1881">IF($F1881="","",IFERROR(INDEX('Lot Balance'!$B$5:$B$500,MATCH(1,INDEX(('Lot Balance'!$A$5:$A$500=$F1881)*('Lot Balance'!$K$5:$K$500&lt;$AJ1881)*('Lot Balance'!$K$5:$K$500+'Lot Balance'!$D$5:$D$500&gt;=$AJ1881),0),0)),""))</f>
        <v>ZIM6044151580</v>
      </c>
      <c r="AN1881" s="66" t="str">
        <f>IF($F1881="","",IF($AI1881&lt;&gt;"",IF(COUNTIFS('Lot Balance'!$A$5:$A$500,$F1881,'Lot Balance'!$B$5:$B$500,$AI1881)=0,"⚠ override is not a lot of this item",IF($AI1881=$AL1881,"Override = FEFO","Override - FEFO says "&amp;$AL1881)),IF($AL1881="","⚠ no receipt on file for this item",IF($AM1881&lt;&gt;$AL1881,"FEFO auto - split, also "&amp;$AM1881,"FEFO auto"))))</f>
        <v>FEFO auto - split, also ZIM6044151580</v>
      </c>
      <c r="AO1881" s="114"/>
    </row>
    <row r="1882" spans="1:41" x14ac:dyDescent="0.35">
      <c r="A1882" s="74">
        <v>46224</v>
      </c>
      <c r="B1882" s="18" t="str">
        <f>IF($C1882="","",IFERROR(INDEX('Staff Directory'!$A$5:$A$594,MATCH($C1882,'Staff Directory'!$B$5:$B$594,0)),"⚠ unknown staff"))</f>
        <v>RN-002-A1</v>
      </c>
      <c r="C1882" s="49" t="s">
        <v>918</v>
      </c>
      <c r="D1882" s="19" t="str">
        <f>IF($B1882="","",IFERROR(INDEX('Staff Directory'!$C$5:$C$594,MATCH($B1882,'Staff Directory'!$A$5:$A$594,0)),""))</f>
        <v>RN</v>
      </c>
      <c r="E1882" s="19" t="str">
        <f>IF($B1882="","",IFERROR(INDEX('Staff Directory'!$D$5:$D$594,MATCH($B1882,'Staff Directory'!$A$5:$A$594,0)),""))</f>
        <v>A1</v>
      </c>
      <c r="F1882" s="9" t="s">
        <v>191</v>
      </c>
      <c r="G1882" s="18" t="str">
        <f>IF($F1882="","",IFERROR(INDEX(Items!$B$5:$B$597,MATCH($F1882,Items!$A$5:$A$597,0)),"⚠ not in Items"))</f>
        <v>Sanitizer</v>
      </c>
      <c r="H1882" s="19" t="str">
        <f>IF($F1882="","",IFERROR(INDEX(Items!$C$5:$C$597,MATCH($F1882,Items!$A$5:$A$597,0)),""))</f>
        <v>236 ML</v>
      </c>
      <c r="I1882" s="23">
        <f>IF($F1882="","",IFERROR(INDEX(Items!$E$5:$E$597,MATCH($F1882,Items!$A$5:$A$597,0)),""))</f>
        <v>1</v>
      </c>
      <c r="J1882" s="115">
        <f>IF(tblIssues[[#This Row],[Qty Override]]&lt;&gt;"",tblIssues[[#This Row],[Qty Override]],IF(tblIssues[[#This Row],[Standard Issue]]="","",tblIssues[[#This Row],[Standard Issue]]))</f>
        <v>1</v>
      </c>
      <c r="K1882" s="20">
        <f>IF($F1882="","",IFERROR(INDEX(Items!$D$5:$D$597,MATCH($F1882,Items!$A$5:$A$597,0)),""))</f>
        <v>1E-4</v>
      </c>
      <c r="L1882" s="21">
        <f t="shared" si="327"/>
        <v>1E-4</v>
      </c>
      <c r="M1882" s="9" t="str">
        <f t="shared" si="325"/>
        <v>20-21734-6</v>
      </c>
      <c r="N1882" s="24">
        <f>IF($A1882="","",WORKDAY($A1882,Settings!$C$9,HolidayDates))</f>
        <v>46232</v>
      </c>
      <c r="O1882" s="24">
        <f>IF($N1882="","",WORKDAY($N1882,Settings!$C$10,HolidayDates))</f>
        <v>46272</v>
      </c>
      <c r="P1882" s="10" t="s">
        <v>502</v>
      </c>
      <c r="Q1882" s="52" t="str">
        <f t="shared" si="328"/>
        <v>Collected</v>
      </c>
      <c r="R1882" s="55" t="str">
        <f t="shared" si="329"/>
        <v>2026-07</v>
      </c>
      <c r="S1882" s="55">
        <f>IF(OR($B1882="",$F1882="",$R1882=""),"",SUMIFS(tblIssues[Qty Issued],tblIssues[Staff ID],$B1882,tblIssues[Item Name],$F1882,tblIssues[Month],$R1882))</f>
        <v>1</v>
      </c>
      <c r="T1882" s="56">
        <f>IF($I1882="","",$I1882*Settings!$C$11)</f>
        <v>1</v>
      </c>
      <c r="U1882" s="57" t="str">
        <f t="shared" si="326"/>
        <v>OK</v>
      </c>
      <c r="V1882" s="55" t="str">
        <f t="shared" si="330"/>
        <v/>
      </c>
      <c r="W1882" s="55" t="str">
        <f>IF($V1882="","",IF(COUNTIF($V$5:$V1882,$V1882)=1,1,""))</f>
        <v/>
      </c>
      <c r="X1882" s="58" t="str">
        <f>IF($W1882="","",MAX($X$4:X1881)+1)</f>
        <v/>
      </c>
      <c r="Y1882" s="62"/>
      <c r="Z1882" s="62"/>
      <c r="AA1882" s="64" t="str">
        <f>IF($C1882="","",IFERROR(INDEX('Staff Directory'!$E$5:$E$594,MATCH($C1882,'Staff Directory'!$B$5:$B$594,0)),""))</f>
        <v>firstname002.lastname002@example.com</v>
      </c>
      <c r="AB1882" s="64" t="str">
        <f>IF($C1882="","",IF(ISNUMBER(SEARCH($D1882,Settings!$C$15)),"Pickup","Dispatch"))</f>
        <v>Dispatch</v>
      </c>
      <c r="AC1882" s="64" t="str">
        <f t="shared" si="331"/>
        <v>Supply order dispatched</v>
      </c>
      <c r="AD1882" s="64" t="str">
        <f t="shared" si="322"/>
        <v>Dear  ,
Your order has been dispatched and is in transit. Reply if undelivered.</v>
      </c>
      <c r="AE1882" s="64" t="str">
        <f t="shared" si="323"/>
        <v>mailto:firstname002.lastname002@example.com?subject=Supply%20order%20dispatched&amp;body=Dear%20%20%2C%0A%0AYour%20order%20has%20been%20dispatched%20and%20is%20in%20transit.%20Reply%20if%20undelivered.</v>
      </c>
      <c r="AF1882" s="89" t="str">
        <f t="shared" si="332"/>
        <v>Draft email</v>
      </c>
      <c r="AG1882" s="64">
        <f>IF($C1882="","",IFERROR(INDEX('Staff Directory'!$K$595:$K$599,MATCH($C1882,'Staff Directory'!$B$5:$B$599,0)),$D1882))</f>
        <v>0</v>
      </c>
      <c r="AH1882" t="str">
        <f>IF($C1882="","",IFERROR(INDEX('Staff Directory'!$I$595:$I$599,MATCH($C1882,'Staff Directory'!$B$5:$B$599,0))&amp;" "&amp;INDEX('Staff Directory'!$J$595:$J$599,MATCH($C1882,'Staff Directory'!$B$5:$B$599,0)),$AG1882))</f>
        <v xml:space="preserve"> </v>
      </c>
      <c r="AI1882" s="102"/>
      <c r="AJ1882" s="101">
        <f>IF($F1882="","",SUMIFS($J$5:$J1882,$F$5:$F1882,$F1882))</f>
        <v>255</v>
      </c>
      <c r="AK1882" s="101">
        <f t="shared" si="324"/>
        <v>255</v>
      </c>
      <c r="AL1882" s="66" t="str" cm="1">
        <f t="array" ref="AL1882">IF($F1882="","",IFERROR(INDEX('Lot Balance'!$B$5:$B$500,MATCH(1,INDEX(('Lot Balance'!$A$5:$A$500=$F1882)*('Lot Balance'!$K$5:$K$500&lt;$AK1882)*('Lot Balance'!$K$5:$K$500+'Lot Balance'!$D$5:$D$500&gt;=$AK1882),0),0)),""))</f>
        <v>20-21734-6</v>
      </c>
      <c r="AM1882" s="66" t="str" cm="1">
        <f t="array" ref="AM1882">IF($F1882="","",IFERROR(INDEX('Lot Balance'!$B$5:$B$500,MATCH(1,INDEX(('Lot Balance'!$A$5:$A$500=$F1882)*('Lot Balance'!$K$5:$K$500&lt;$AJ1882)*('Lot Balance'!$K$5:$K$500+'Lot Balance'!$D$5:$D$500&gt;=$AJ1882),0),0)),""))</f>
        <v>20-21734-6</v>
      </c>
      <c r="AN1882" s="66" t="str">
        <f>IF($F1882="","",IF($AI1882&lt;&gt;"",IF(COUNTIFS('Lot Balance'!$A$5:$A$500,$F1882,'Lot Balance'!$B$5:$B$500,$AI1882)=0,"⚠ override is not a lot of this item",IF($AI1882=$AL1882,"Override = FEFO","Override - FEFO says "&amp;$AL1882)),IF($AL1882="","⚠ no receipt on file for this item",IF($AM1882&lt;&gt;$AL1882,"FEFO auto - split, also "&amp;$AM1882,"FEFO auto"))))</f>
        <v>FEFO auto</v>
      </c>
      <c r="AO1882" s="114"/>
    </row>
    <row r="1883" spans="1:41" x14ac:dyDescent="0.35">
      <c r="A1883" s="74">
        <v>46224</v>
      </c>
      <c r="B1883" s="18" t="str">
        <f>IF($C1883="","",IFERROR(INDEX('Staff Directory'!$A$5:$A$594,MATCH($C1883,'Staff Directory'!$B$5:$B$594,0)),"⚠ unknown staff"))</f>
        <v>RN-002-A1</v>
      </c>
      <c r="C1883" s="49" t="s">
        <v>918</v>
      </c>
      <c r="D1883" s="19" t="str">
        <f>IF($B1883="","",IFERROR(INDEX('Staff Directory'!$C$5:$C$594,MATCH($B1883,'Staff Directory'!$A$5:$A$594,0)),""))</f>
        <v>RN</v>
      </c>
      <c r="E1883" s="19" t="str">
        <f>IF($B1883="","",IFERROR(INDEX('Staff Directory'!$D$5:$D$594,MATCH($B1883,'Staff Directory'!$A$5:$A$594,0)),""))</f>
        <v>A1</v>
      </c>
      <c r="F1883" s="9" t="s">
        <v>115</v>
      </c>
      <c r="G1883" s="18" t="str">
        <f>IF($F1883="","",IFERROR(INDEX(Items!$B$5:$B$597,MATCH($F1883,Items!$A$5:$A$597,0)),"⚠ not in Items"))</f>
        <v>Wipes</v>
      </c>
      <c r="H1883" s="19">
        <f>IF($F1883="","",IFERROR(INDEX(Items!$C$5:$C$597,MATCH($F1883,Items!$A$5:$A$597,0)),""))</f>
        <v>80</v>
      </c>
      <c r="I1883" s="23">
        <f>IF($F1883="","",IFERROR(INDEX(Items!$E$5:$E$597,MATCH($F1883,Items!$A$5:$A$597,0)),""))</f>
        <v>80</v>
      </c>
      <c r="J1883" s="115">
        <f>IF(tblIssues[[#This Row],[Qty Override]]&lt;&gt;"",tblIssues[[#This Row],[Qty Override]],IF(tblIssues[[#This Row],[Standard Issue]]="","",tblIssues[[#This Row],[Standard Issue]]))</f>
        <v>80</v>
      </c>
      <c r="K1883" s="20">
        <f>IF($F1883="","",IFERROR(INDEX(Items!$D$5:$D$597,MATCH($F1883,Items!$A$5:$A$597,0)),""))</f>
        <v>0.1</v>
      </c>
      <c r="L1883" s="21">
        <f t="shared" si="327"/>
        <v>8</v>
      </c>
      <c r="M1883" s="9" t="str">
        <f t="shared" si="325"/>
        <v>LYSL500290</v>
      </c>
      <c r="N1883" s="24">
        <f>IF($A1883="","",WORKDAY($A1883,Settings!$C$9,HolidayDates))</f>
        <v>46232</v>
      </c>
      <c r="O1883" s="24">
        <f>IF($N1883="","",WORKDAY($N1883,Settings!$C$10,HolidayDates))</f>
        <v>46272</v>
      </c>
      <c r="P1883" s="10" t="s">
        <v>502</v>
      </c>
      <c r="Q1883" s="52" t="str">
        <f t="shared" si="328"/>
        <v>Collected</v>
      </c>
      <c r="R1883" s="55" t="str">
        <f t="shared" si="329"/>
        <v>2026-07</v>
      </c>
      <c r="S1883" s="55">
        <f>IF(OR($B1883="",$F1883="",$R1883=""),"",SUMIFS(tblIssues[Qty Issued],tblIssues[Staff ID],$B1883,tblIssues[Item Name],$F1883,tblIssues[Month],$R1883))</f>
        <v>80</v>
      </c>
      <c r="T1883" s="56">
        <f>IF($I1883="","",$I1883*Settings!$C$11)</f>
        <v>80</v>
      </c>
      <c r="U1883" s="57" t="str">
        <f t="shared" si="326"/>
        <v>OK</v>
      </c>
      <c r="V1883" s="55" t="str">
        <f t="shared" si="330"/>
        <v/>
      </c>
      <c r="W1883" s="55" t="str">
        <f>IF($V1883="","",IF(COUNTIF($V$5:$V1883,$V1883)=1,1,""))</f>
        <v/>
      </c>
      <c r="X1883" s="58" t="str">
        <f>IF($W1883="","",MAX($X$4:X1882)+1)</f>
        <v/>
      </c>
      <c r="Y1883" s="62"/>
      <c r="Z1883" s="62"/>
      <c r="AA1883" s="64" t="str">
        <f>IF($C1883="","",IFERROR(INDEX('Staff Directory'!$E$5:$E$594,MATCH($C1883,'Staff Directory'!$B$5:$B$594,0)),""))</f>
        <v>firstname002.lastname002@example.com</v>
      </c>
      <c r="AB1883" s="64" t="str">
        <f>IF($C1883="","",IF(ISNUMBER(SEARCH($D1883,Settings!$C$15)),"Pickup","Dispatch"))</f>
        <v>Dispatch</v>
      </c>
      <c r="AC1883" s="64" t="str">
        <f t="shared" si="331"/>
        <v>Supply order dispatched</v>
      </c>
      <c r="AD1883" s="64" t="str">
        <f t="shared" si="322"/>
        <v>Dear  ,
Your order has been dispatched and is in transit. Reply if undelivered.</v>
      </c>
      <c r="AE1883" s="64" t="str">
        <f t="shared" si="323"/>
        <v>mailto:firstname002.lastname002@example.com?subject=Supply%20order%20dispatched&amp;body=Dear%20%20%2C%0A%0AYour%20order%20has%20been%20dispatched%20and%20is%20in%20transit.%20Reply%20if%20undelivered.</v>
      </c>
      <c r="AF1883" s="89" t="str">
        <f t="shared" si="332"/>
        <v>Draft email</v>
      </c>
      <c r="AG1883" s="64">
        <f>IF($C1883="","",IFERROR(INDEX('Staff Directory'!$K$595:$K$599,MATCH($C1883,'Staff Directory'!$B$5:$B$599,0)),$D1883))</f>
        <v>0</v>
      </c>
      <c r="AH1883" t="str">
        <f>IF($C1883="","",IFERROR(INDEX('Staff Directory'!$I$595:$I$599,MATCH($C1883,'Staff Directory'!$B$5:$B$599,0))&amp;" "&amp;INDEX('Staff Directory'!$J$595:$J$599,MATCH($C1883,'Staff Directory'!$B$5:$B$599,0)),$AG1883))</f>
        <v xml:space="preserve"> </v>
      </c>
      <c r="AI1883" s="102"/>
      <c r="AJ1883" s="101">
        <f>IF($F1883="","",SUMIFS($J$5:$J1883,$F$5:$F1883,$F1883))</f>
        <v>24960</v>
      </c>
      <c r="AK1883" s="101">
        <f t="shared" si="324"/>
        <v>24881</v>
      </c>
      <c r="AL1883" s="66" t="str" cm="1">
        <f t="array" ref="AL1883">IF($F1883="","",IFERROR(INDEX('Lot Balance'!$B$5:$B$500,MATCH(1,INDEX(('Lot Balance'!$A$5:$A$500=$F1883)*('Lot Balance'!$K$5:$K$500&lt;$AK1883)*('Lot Balance'!$K$5:$K$500+'Lot Balance'!$D$5:$D$500&gt;=$AK1883),0),0)),""))</f>
        <v>LYSL500290</v>
      </c>
      <c r="AM1883" s="66" t="str" cm="1">
        <f t="array" ref="AM1883">IF($F1883="","",IFERROR(INDEX('Lot Balance'!$B$5:$B$500,MATCH(1,INDEX(('Lot Balance'!$A$5:$A$500=$F1883)*('Lot Balance'!$K$5:$K$500&lt;$AJ1883)*('Lot Balance'!$K$5:$K$500+'Lot Balance'!$D$5:$D$500&gt;=$AJ1883),0),0)),""))</f>
        <v>LYSL500290</v>
      </c>
      <c r="AN1883" s="66" t="str">
        <f>IF($F1883="","",IF($AI1883&lt;&gt;"",IF(COUNTIFS('Lot Balance'!$A$5:$A$500,$F1883,'Lot Balance'!$B$5:$B$500,$AI1883)=0,"⚠ override is not a lot of this item",IF($AI1883=$AL1883,"Override = FEFO","Override - FEFO says "&amp;$AL1883)),IF($AL1883="","⚠ no receipt on file for this item",IF($AM1883&lt;&gt;$AL1883,"FEFO auto - split, also "&amp;$AM1883,"FEFO auto"))))</f>
        <v>FEFO auto</v>
      </c>
      <c r="AO1883" s="114"/>
    </row>
    <row r="1884" spans="1:41" x14ac:dyDescent="0.35">
      <c r="A1884" s="74">
        <v>46224</v>
      </c>
      <c r="B1884" s="18" t="str">
        <f>IF($C1884="","",IFERROR(INDEX('Staff Directory'!$A$5:$A$594,MATCH($C1884,'Staff Directory'!$B$5:$B$594,0)),"⚠ unknown staff"))</f>
        <v>RN-002-A1</v>
      </c>
      <c r="C1884" s="49" t="s">
        <v>918</v>
      </c>
      <c r="D1884" s="19" t="str">
        <f>IF($B1884="","",IFERROR(INDEX('Staff Directory'!$C$5:$C$594,MATCH($B1884,'Staff Directory'!$A$5:$A$594,0)),""))</f>
        <v>RN</v>
      </c>
      <c r="E1884" s="19" t="str">
        <f>IF($B1884="","",IFERROR(INDEX('Staff Directory'!$D$5:$D$594,MATCH($B1884,'Staff Directory'!$A$5:$A$594,0)),""))</f>
        <v>A1</v>
      </c>
      <c r="F1884" s="9" t="s">
        <v>156</v>
      </c>
      <c r="G1884" s="18" t="str">
        <f>IF($F1884="","",IFERROR(INDEX(Items!$B$5:$B$597,MATCH($F1884,Items!$A$5:$A$597,0)),"⚠ not in Items"))</f>
        <v>Masks</v>
      </c>
      <c r="H1884" s="19" t="str">
        <f>IF($F1884="","",IFERROR(INDEX(Items!$C$5:$C$597,MATCH($F1884,Items!$A$5:$A$597,0)),""))</f>
        <v>One Size</v>
      </c>
      <c r="I1884" s="23">
        <f>IF($F1884="","",IFERROR(INDEX(Items!$E$5:$E$597,MATCH($F1884,Items!$A$5:$A$597,0)),""))</f>
        <v>50</v>
      </c>
      <c r="J1884" s="115">
        <f>IF(tblIssues[[#This Row],[Qty Override]]&lt;&gt;"",tblIssues[[#This Row],[Qty Override]],IF(tblIssues[[#This Row],[Standard Issue]]="","",tblIssues[[#This Row],[Standard Issue]]))</f>
        <v>50</v>
      </c>
      <c r="K1884" s="20">
        <f>IF($F1884="","",IFERROR(INDEX(Items!$D$5:$D$597,MATCH($F1884,Items!$A$5:$A$597,0)),""))</f>
        <v>0.25</v>
      </c>
      <c r="L1884" s="21">
        <f t="shared" si="327"/>
        <v>12.5</v>
      </c>
      <c r="M1884" s="9" t="str">
        <f t="shared" si="325"/>
        <v>LV2-10040-3</v>
      </c>
      <c r="N1884" s="24">
        <f>IF($A1884="","",WORKDAY($A1884,Settings!$C$9,HolidayDates))</f>
        <v>46232</v>
      </c>
      <c r="O1884" s="24">
        <f>IF($N1884="","",WORKDAY($N1884,Settings!$C$10,HolidayDates))</f>
        <v>46272</v>
      </c>
      <c r="P1884" s="10" t="s">
        <v>502</v>
      </c>
      <c r="Q1884" s="52" t="str">
        <f t="shared" si="328"/>
        <v>Collected</v>
      </c>
      <c r="R1884" s="55" t="str">
        <f t="shared" si="329"/>
        <v>2026-07</v>
      </c>
      <c r="S1884" s="55">
        <f>IF(OR($B1884="",$F1884="",$R1884=""),"",SUMIFS(tblIssues[Qty Issued],tblIssues[Staff ID],$B1884,tblIssues[Item Name],$F1884,tblIssues[Month],$R1884))</f>
        <v>50</v>
      </c>
      <c r="T1884" s="56">
        <f>IF($I1884="","",$I1884*Settings!$C$11)</f>
        <v>50</v>
      </c>
      <c r="U1884" s="57" t="str">
        <f t="shared" si="326"/>
        <v>OK</v>
      </c>
      <c r="V1884" s="55" t="str">
        <f t="shared" si="330"/>
        <v/>
      </c>
      <c r="W1884" s="55" t="str">
        <f>IF($V1884="","",IF(COUNTIF($V$5:$V1884,$V1884)=1,1,""))</f>
        <v/>
      </c>
      <c r="X1884" s="58" t="str">
        <f>IF($W1884="","",MAX($X$4:X1883)+1)</f>
        <v/>
      </c>
      <c r="Y1884" s="62"/>
      <c r="Z1884" s="62"/>
      <c r="AA1884" s="64" t="str">
        <f>IF($C1884="","",IFERROR(INDEX('Staff Directory'!$E$5:$E$594,MATCH($C1884,'Staff Directory'!$B$5:$B$594,0)),""))</f>
        <v>firstname002.lastname002@example.com</v>
      </c>
      <c r="AB1884" s="64" t="str">
        <f>IF($C1884="","",IF(ISNUMBER(SEARCH($D1884,Settings!$C$15)),"Pickup","Dispatch"))</f>
        <v>Dispatch</v>
      </c>
      <c r="AC1884" s="64" t="str">
        <f t="shared" si="331"/>
        <v>Supply order dispatched</v>
      </c>
      <c r="AD1884" s="64" t="str">
        <f t="shared" si="322"/>
        <v>Dear  ,
Your order has been dispatched and is in transit. Reply if undelivered.</v>
      </c>
      <c r="AE1884" s="64" t="str">
        <f t="shared" si="323"/>
        <v>mailto:firstname002.lastname002@example.com?subject=Supply%20order%20dispatched&amp;body=Dear%20%20%2C%0A%0AYour%20order%20has%20been%20dispatched%20and%20is%20in%20transit.%20Reply%20if%20undelivered.</v>
      </c>
      <c r="AF1884" s="89" t="str">
        <f t="shared" si="332"/>
        <v>Draft email</v>
      </c>
      <c r="AG1884" s="64">
        <f>IF($C1884="","",IFERROR(INDEX('Staff Directory'!$K$595:$K$599,MATCH($C1884,'Staff Directory'!$B$5:$B$599,0)),$D1884))</f>
        <v>0</v>
      </c>
      <c r="AH1884" t="str">
        <f>IF($C1884="","",IFERROR(INDEX('Staff Directory'!$I$595:$I$599,MATCH($C1884,'Staff Directory'!$B$5:$B$599,0))&amp;" "&amp;INDEX('Staff Directory'!$J$595:$J$599,MATCH($C1884,'Staff Directory'!$B$5:$B$599,0)),$AG1884))</f>
        <v xml:space="preserve"> </v>
      </c>
      <c r="AI1884" s="102"/>
      <c r="AJ1884" s="101">
        <f>IF($F1884="","",SUMIFS($J$5:$J1884,$F$5:$F1884,$F1884))</f>
        <v>15450</v>
      </c>
      <c r="AK1884" s="101">
        <f t="shared" si="324"/>
        <v>15401</v>
      </c>
      <c r="AL1884" s="66" t="str" cm="1">
        <f t="array" ref="AL1884">IF($F1884="","",IFERROR(INDEX('Lot Balance'!$B$5:$B$500,MATCH(1,INDEX(('Lot Balance'!$A$5:$A$500=$F1884)*('Lot Balance'!$K$5:$K$500&lt;$AK1884)*('Lot Balance'!$K$5:$K$500+'Lot Balance'!$D$5:$D$500&gt;=$AK1884),0),0)),""))</f>
        <v>LV2-10040-3</v>
      </c>
      <c r="AM1884" s="66" t="str" cm="1">
        <f t="array" ref="AM1884">IF($F1884="","",IFERROR(INDEX('Lot Balance'!$B$5:$B$500,MATCH(1,INDEX(('Lot Balance'!$A$5:$A$500=$F1884)*('Lot Balance'!$K$5:$K$500&lt;$AJ1884)*('Lot Balance'!$K$5:$K$500+'Lot Balance'!$D$5:$D$500&gt;=$AJ1884),0),0)),""))</f>
        <v>LV2-10040-3</v>
      </c>
      <c r="AN1884" s="66" t="str">
        <f>IF($F1884="","",IF($AI1884&lt;&gt;"",IF(COUNTIFS('Lot Balance'!$A$5:$A$500,$F1884,'Lot Balance'!$B$5:$B$500,$AI1884)=0,"⚠ override is not a lot of this item",IF($AI1884=$AL1884,"Override = FEFO","Override - FEFO says "&amp;$AL1884)),IF($AL1884="","⚠ no receipt on file for this item",IF($AM1884&lt;&gt;$AL1884,"FEFO auto - split, also "&amp;$AM1884,"FEFO auto"))))</f>
        <v>FEFO auto</v>
      </c>
      <c r="AO1884" s="114"/>
    </row>
    <row r="1885" spans="1:41" x14ac:dyDescent="0.35">
      <c r="A1885" s="74">
        <v>46224</v>
      </c>
      <c r="B1885" s="18" t="str">
        <f>IF($C1885="","",IFERROR(INDEX('Staff Directory'!$A$5:$A$594,MATCH($C1885,'Staff Directory'!$B$5:$B$594,0)),"⚠ unknown staff"))</f>
        <v>RN-002-A1</v>
      </c>
      <c r="C1885" s="49" t="s">
        <v>918</v>
      </c>
      <c r="D1885" s="19" t="str">
        <f>IF($B1885="","",IFERROR(INDEX('Staff Directory'!$C$5:$C$594,MATCH($B1885,'Staff Directory'!$A$5:$A$594,0)),""))</f>
        <v>RN</v>
      </c>
      <c r="E1885" s="19" t="str">
        <f>IF($B1885="","",IFERROR(INDEX('Staff Directory'!$D$5:$D$594,MATCH($B1885,'Staff Directory'!$A$5:$A$594,0)),""))</f>
        <v>A1</v>
      </c>
      <c r="F1885" s="9" t="s">
        <v>757</v>
      </c>
      <c r="G1885" s="18" t="str">
        <f>IF($F1885="","",IFERROR(INDEX(Items!$B$5:$B$597,MATCH($F1885,Items!$A$5:$A$597,0)),"⚠ not in Items"))</f>
        <v>Documents</v>
      </c>
      <c r="H1885" s="19" t="str">
        <f>IF($F1885="","",IFERROR(INDEX(Items!$C$5:$C$597,MATCH($F1885,Items!$A$5:$A$597,0)),""))</f>
        <v>Standard</v>
      </c>
      <c r="I1885" s="23">
        <f>IF($F1885="","",IFERROR(INDEX(Items!$E$5:$E$597,MATCH($F1885,Items!$A$5:$A$597,0)),""))</f>
        <v>10</v>
      </c>
      <c r="J1885" s="115">
        <f>IF(tblIssues[[#This Row],[Qty Override]]&lt;&gt;"",tblIssues[[#This Row],[Qty Override]],IF(tblIssues[[#This Row],[Standard Issue]]="","",tblIssues[[#This Row],[Standard Issue]]))</f>
        <v>10</v>
      </c>
      <c r="K1885" s="20">
        <f>IF($F1885="","",IFERROR(INDEX(Items!$D$5:$D$597,MATCH($F1885,Items!$A$5:$A$597,0)),""))</f>
        <v>0</v>
      </c>
      <c r="L1885" s="21">
        <f t="shared" si="327"/>
        <v>0</v>
      </c>
      <c r="M1885" s="9" t="str">
        <f t="shared" si="325"/>
        <v/>
      </c>
      <c r="N1885" s="24">
        <f>IF($A1885="","",WORKDAY($A1885,Settings!$C$9,HolidayDates))</f>
        <v>46232</v>
      </c>
      <c r="O1885" s="24">
        <f>IF($N1885="","",WORKDAY($N1885,Settings!$C$10,HolidayDates))</f>
        <v>46272</v>
      </c>
      <c r="P1885" s="10" t="s">
        <v>502</v>
      </c>
      <c r="Q1885" s="52" t="str">
        <f t="shared" si="328"/>
        <v>Collected</v>
      </c>
      <c r="R1885" s="55" t="str">
        <f t="shared" si="329"/>
        <v>2026-07</v>
      </c>
      <c r="S1885" s="55">
        <f>IF(OR($B1885="",$F1885="",$R1885=""),"",SUMIFS(tblIssues[Qty Issued],tblIssues[Staff ID],$B1885,tblIssues[Item Name],$F1885,tblIssues[Month],$R1885))</f>
        <v>10</v>
      </c>
      <c r="T1885" s="56">
        <f>IF($I1885="","",$I1885*Settings!$C$11)</f>
        <v>10</v>
      </c>
      <c r="U1885" s="57" t="str">
        <f t="shared" si="326"/>
        <v>OK</v>
      </c>
      <c r="V1885" s="55" t="str">
        <f t="shared" si="330"/>
        <v/>
      </c>
      <c r="W1885" s="55" t="str">
        <f>IF($V1885="","",IF(COUNTIF($V$5:$V1885,$V1885)=1,1,""))</f>
        <v/>
      </c>
      <c r="X1885" s="58" t="str">
        <f>IF($W1885="","",MAX($X$4:X1884)+1)</f>
        <v/>
      </c>
      <c r="Y1885" s="62"/>
      <c r="Z1885" s="62"/>
      <c r="AA1885" s="64" t="str">
        <f>IF($C1885="","",IFERROR(INDEX('Staff Directory'!$E$5:$E$594,MATCH($C1885,'Staff Directory'!$B$5:$B$594,0)),""))</f>
        <v>firstname002.lastname002@example.com</v>
      </c>
      <c r="AB1885" s="64" t="str">
        <f>IF($C1885="","",IF(ISNUMBER(SEARCH($D1885,Settings!$C$15)),"Pickup","Dispatch"))</f>
        <v>Dispatch</v>
      </c>
      <c r="AC1885" s="64" t="str">
        <f t="shared" si="331"/>
        <v>Supply order dispatched</v>
      </c>
      <c r="AD1885" s="64" t="str">
        <f t="shared" si="322"/>
        <v>Dear  ,
Your order has been dispatched and is in transit. Reply if undelivered.</v>
      </c>
      <c r="AE1885" s="64" t="str">
        <f t="shared" si="323"/>
        <v>mailto:firstname002.lastname002@example.com?subject=Supply%20order%20dispatched&amp;body=Dear%20%20%2C%0A%0AYour%20order%20has%20been%20dispatched%20and%20is%20in%20transit.%20Reply%20if%20undelivered.</v>
      </c>
      <c r="AF1885" s="89" t="str">
        <f t="shared" si="332"/>
        <v>Draft email</v>
      </c>
      <c r="AG1885" s="64">
        <f>IF($C1885="","",IFERROR(INDEX('Staff Directory'!$K$595:$K$599,MATCH($C1885,'Staff Directory'!$B$5:$B$599,0)),$D1885))</f>
        <v>0</v>
      </c>
      <c r="AH1885" t="str">
        <f>IF($C1885="","",IFERROR(INDEX('Staff Directory'!$I$595:$I$599,MATCH($C1885,'Staff Directory'!$B$5:$B$599,0))&amp;" "&amp;INDEX('Staff Directory'!$J$595:$J$599,MATCH($C1885,'Staff Directory'!$B$5:$B$599,0)),$AG1885))</f>
        <v xml:space="preserve"> </v>
      </c>
      <c r="AI1885" s="102"/>
      <c r="AJ1885" s="101">
        <f>IF($F1885="","",SUMIFS($J$5:$J1885,$F$5:$F1885,$F1885))</f>
        <v>760</v>
      </c>
      <c r="AK1885" s="101">
        <f t="shared" si="324"/>
        <v>751</v>
      </c>
      <c r="AL1885" s="66" t="str" cm="1">
        <f t="array" ref="AL1885">IF($F1885="","",IFERROR(INDEX('Lot Balance'!$B$5:$B$500,MATCH(1,INDEX(('Lot Balance'!$A$5:$A$500=$F1885)*('Lot Balance'!$K$5:$K$500&lt;$AK1885)*('Lot Balance'!$K$5:$K$500+'Lot Balance'!$D$5:$D$500&gt;=$AK1885),0),0)),""))</f>
        <v/>
      </c>
      <c r="AM1885" s="66" t="str" cm="1">
        <f t="array" ref="AM1885">IF($F1885="","",IFERROR(INDEX('Lot Balance'!$B$5:$B$500,MATCH(1,INDEX(('Lot Balance'!$A$5:$A$500=$F1885)*('Lot Balance'!$K$5:$K$500&lt;$AJ1885)*('Lot Balance'!$K$5:$K$500+'Lot Balance'!$D$5:$D$500&gt;=$AJ1885),0),0)),""))</f>
        <v/>
      </c>
      <c r="AN1885" s="66" t="str">
        <f>IF($F1885="","",IF($AI1885&lt;&gt;"",IF(COUNTIFS('Lot Balance'!$A$5:$A$500,$F1885,'Lot Balance'!$B$5:$B$500,$AI1885)=0,"⚠ override is not a lot of this item",IF($AI1885=$AL1885,"Override = FEFO","Override - FEFO says "&amp;$AL1885)),IF($AL1885="","⚠ no receipt on file for this item",IF($AM1885&lt;&gt;$AL1885,"FEFO auto - split, also "&amp;$AM1885,"FEFO auto"))))</f>
        <v>⚠ no receipt on file for this item</v>
      </c>
      <c r="AO1885" s="114"/>
    </row>
    <row r="1886" spans="1:41" x14ac:dyDescent="0.35">
      <c r="A1886" s="74">
        <v>46224</v>
      </c>
      <c r="B1886" s="18" t="str">
        <f>IF($C1886="","",IFERROR(INDEX('Staff Directory'!$A$5:$A$594,MATCH($C1886,'Staff Directory'!$B$5:$B$594,0)),"⚠ unknown staff"))</f>
        <v>PSW-100-A6</v>
      </c>
      <c r="C1886" s="49" t="s">
        <v>1078</v>
      </c>
      <c r="D1886" s="19" t="str">
        <f>IF($B1886="","",IFERROR(INDEX('Staff Directory'!$C$5:$C$594,MATCH($B1886,'Staff Directory'!$A$5:$A$594,0)),""))</f>
        <v>PSW</v>
      </c>
      <c r="E1886" s="19" t="str">
        <f>IF($B1886="","",IFERROR(INDEX('Staff Directory'!$D$5:$D$594,MATCH($B1886,'Staff Directory'!$A$5:$A$594,0)),""))</f>
        <v>A6</v>
      </c>
      <c r="F1886" s="9" t="s">
        <v>129</v>
      </c>
      <c r="G1886" s="18" t="str">
        <f>IF($F1886="","",IFERROR(INDEX(Items!$B$5:$B$597,MATCH($F1886,Items!$A$5:$A$597,0)),"⚠ not in Items"))</f>
        <v>Gloves</v>
      </c>
      <c r="H1886" s="19" t="str">
        <f>IF($F1886="","",IFERROR(INDEX(Items!$C$5:$C$597,MATCH($F1886,Items!$A$5:$A$597,0)),""))</f>
        <v>Small</v>
      </c>
      <c r="I1886" s="23">
        <f>IF($F1886="","",IFERROR(INDEX(Items!$E$5:$E$597,MATCH($F1886,Items!$A$5:$A$597,0)),""))</f>
        <v>500</v>
      </c>
      <c r="J1886" s="115">
        <f>IF(tblIssues[[#This Row],[Qty Override]]&lt;&gt;"",tblIssues[[#This Row],[Qty Override]],IF(tblIssues[[#This Row],[Standard Issue]]="","",tblIssues[[#This Row],[Standard Issue]]))</f>
        <v>500</v>
      </c>
      <c r="K1886" s="20">
        <f>IF($F1886="","",IFERROR(INDEX(Items!$D$5:$D$597,MATCH($F1886,Items!$A$5:$A$597,0)),""))</f>
        <v>5.5E-2</v>
      </c>
      <c r="L1886" s="21">
        <f t="shared" si="327"/>
        <v>27.5</v>
      </c>
      <c r="M1886" s="9" t="str">
        <f t="shared" si="325"/>
        <v>ZIM601144366-1</v>
      </c>
      <c r="N1886" s="24">
        <f>IF($A1886="","",WORKDAY($A1886,Settings!$C$9,HolidayDates))</f>
        <v>46232</v>
      </c>
      <c r="O1886" s="24">
        <f>IF($N1886="","",WORKDAY($N1886,Settings!$C$10,HolidayDates))</f>
        <v>46272</v>
      </c>
      <c r="P1886" s="10" t="s">
        <v>501</v>
      </c>
      <c r="Q1886" s="52" t="str">
        <f t="shared" si="328"/>
        <v>Collected</v>
      </c>
      <c r="R1886" s="55" t="str">
        <f t="shared" si="329"/>
        <v>2026-07</v>
      </c>
      <c r="S1886" s="55">
        <f>IF(OR($B1886="",$F1886="",$R1886=""),"",SUMIFS(tblIssues[Qty Issued],tblIssues[Staff ID],$B1886,tblIssues[Item Name],$F1886,tblIssues[Month],$R1886))</f>
        <v>500</v>
      </c>
      <c r="T1886" s="56">
        <f>IF($I1886="","",$I1886*Settings!$C$11)</f>
        <v>500</v>
      </c>
      <c r="U1886" s="57" t="str">
        <f t="shared" si="326"/>
        <v>OK</v>
      </c>
      <c r="V1886" s="55" t="str">
        <f t="shared" si="330"/>
        <v/>
      </c>
      <c r="W1886" s="55" t="str">
        <f>IF($V1886="","",IF(COUNTIF($V$5:$V1886,$V1886)=1,1,""))</f>
        <v/>
      </c>
      <c r="X1886" s="58" t="str">
        <f>IF($W1886="","",MAX($X$4:X1885)+1)</f>
        <v/>
      </c>
      <c r="Y1886" s="62"/>
      <c r="Z1886" s="62"/>
      <c r="AA1886" s="64" t="str">
        <f>IF($C1886="","",IFERROR(INDEX('Staff Directory'!$E$5:$E$594,MATCH($C1886,'Staff Directory'!$B$5:$B$594,0)),""))</f>
        <v>firstname162.lastname162@example.com</v>
      </c>
      <c r="AB1886" s="64" t="str">
        <f>IF($C1886="","",IF(ISNUMBER(SEARCH($D1886,Settings!$C$15)),"Pickup","Dispatch"))</f>
        <v>Pickup</v>
      </c>
      <c r="AC1886" s="64" t="str">
        <f t="shared" si="331"/>
        <v>Supply order ready for pickup</v>
      </c>
      <c r="AD1886" s="64" t="str">
        <f t="shared" si="322"/>
        <v>Dear PSW,
Your order is ready for pickup from Sample Branch, Wed-Fri 9am-4pm.</v>
      </c>
      <c r="AE1886" s="64" t="str">
        <f t="shared" si="323"/>
        <v>mailto:firstname162.lastname162@example.com?subject=Supply%20order%20ready%20for%20pickup&amp;body=Dear%20PSW%2C%0A%0AYour%20order%20is%20ready%20for%20pickup%20from%20Sample%20Branch%2C%20Wed-Fri%209am-4pm.</v>
      </c>
      <c r="AF1886" s="89" t="str">
        <f t="shared" si="332"/>
        <v>Draft email</v>
      </c>
      <c r="AG1886" s="64" t="str">
        <f>IF($C1886="","",IFERROR(INDEX('Staff Directory'!$K$595:$K$599,MATCH($C1886,'Staff Directory'!$B$5:$B$599,0)),$D1886))</f>
        <v>PSW</v>
      </c>
      <c r="AH1886" t="str">
        <f>IF($C1886="","",IFERROR(INDEX('Staff Directory'!$I$595:$I$599,MATCH($C1886,'Staff Directory'!$B$5:$B$599,0))&amp;" "&amp;INDEX('Staff Directory'!$J$595:$J$599,MATCH($C1886,'Staff Directory'!$B$5:$B$599,0)),$AG1886))</f>
        <v>PSW</v>
      </c>
      <c r="AI1886" s="102"/>
      <c r="AJ1886" s="101">
        <f>IF($F1886="","",SUMIFS($J$5:$J1886,$F$5:$F1886,$F1886))</f>
        <v>55500</v>
      </c>
      <c r="AK1886" s="101">
        <f t="shared" si="324"/>
        <v>55001</v>
      </c>
      <c r="AL1886" s="66" t="str" cm="1">
        <f t="array" ref="AL1886">IF($F1886="","",IFERROR(INDEX('Lot Balance'!$B$5:$B$500,MATCH(1,INDEX(('Lot Balance'!$A$5:$A$500=$F1886)*('Lot Balance'!$K$5:$K$500&lt;$AK1886)*('Lot Balance'!$K$5:$K$500+'Lot Balance'!$D$5:$D$500&gt;=$AK1886),0),0)),""))</f>
        <v>ZIM601144366-1</v>
      </c>
      <c r="AM1886" s="66" t="str" cm="1">
        <f t="array" ref="AM1886">IF($F1886="","",IFERROR(INDEX('Lot Balance'!$B$5:$B$500,MATCH(1,INDEX(('Lot Balance'!$A$5:$A$500=$F1886)*('Lot Balance'!$K$5:$K$500&lt;$AJ1886)*('Lot Balance'!$K$5:$K$500+'Lot Balance'!$D$5:$D$500&gt;=$AJ1886),0),0)),""))</f>
        <v>ZIM601144366-1</v>
      </c>
      <c r="AN1886" s="66" t="str">
        <f>IF($F1886="","",IF($AI1886&lt;&gt;"",IF(COUNTIFS('Lot Balance'!$A$5:$A$500,$F1886,'Lot Balance'!$B$5:$B$500,$AI1886)=0,"⚠ override is not a lot of this item",IF($AI1886=$AL1886,"Override = FEFO","Override - FEFO says "&amp;$AL1886)),IF($AL1886="","⚠ no receipt on file for this item",IF($AM1886&lt;&gt;$AL1886,"FEFO auto - split, also "&amp;$AM1886,"FEFO auto"))))</f>
        <v>FEFO auto</v>
      </c>
      <c r="AO1886" s="114"/>
    </row>
    <row r="1887" spans="1:41" x14ac:dyDescent="0.35">
      <c r="A1887" s="74">
        <v>46224</v>
      </c>
      <c r="B1887" s="18" t="str">
        <f>IF($C1887="","",IFERROR(INDEX('Staff Directory'!$A$5:$A$594,MATCH($C1887,'Staff Directory'!$B$5:$B$594,0)),"⚠ unknown staff"))</f>
        <v>PSW-100-A6</v>
      </c>
      <c r="C1887" s="49" t="s">
        <v>1078</v>
      </c>
      <c r="D1887" s="19" t="str">
        <f>IF($B1887="","",IFERROR(INDEX('Staff Directory'!$C$5:$C$594,MATCH($B1887,'Staff Directory'!$A$5:$A$594,0)),""))</f>
        <v>PSW</v>
      </c>
      <c r="E1887" s="19" t="str">
        <f>IF($B1887="","",IFERROR(INDEX('Staff Directory'!$D$5:$D$594,MATCH($B1887,'Staff Directory'!$A$5:$A$594,0)),""))</f>
        <v>A6</v>
      </c>
      <c r="F1887" s="9" t="s">
        <v>191</v>
      </c>
      <c r="G1887" s="18" t="str">
        <f>IF($F1887="","",IFERROR(INDEX(Items!$B$5:$B$597,MATCH($F1887,Items!$A$5:$A$597,0)),"⚠ not in Items"))</f>
        <v>Sanitizer</v>
      </c>
      <c r="H1887" s="19" t="str">
        <f>IF($F1887="","",IFERROR(INDEX(Items!$C$5:$C$597,MATCH($F1887,Items!$A$5:$A$597,0)),""))</f>
        <v>236 ML</v>
      </c>
      <c r="I1887" s="23">
        <f>IF($F1887="","",IFERROR(INDEX(Items!$E$5:$E$597,MATCH($F1887,Items!$A$5:$A$597,0)),""))</f>
        <v>1</v>
      </c>
      <c r="J1887" s="115">
        <f>IF(tblIssues[[#This Row],[Qty Override]]&lt;&gt;"",tblIssues[[#This Row],[Qty Override]],IF(tblIssues[[#This Row],[Standard Issue]]="","",tblIssues[[#This Row],[Standard Issue]]))</f>
        <v>1</v>
      </c>
      <c r="K1887" s="20">
        <f>IF($F1887="","",IFERROR(INDEX(Items!$D$5:$D$597,MATCH($F1887,Items!$A$5:$A$597,0)),""))</f>
        <v>1E-4</v>
      </c>
      <c r="L1887" s="21">
        <f t="shared" si="327"/>
        <v>1E-4</v>
      </c>
      <c r="M1887" s="9" t="str">
        <f t="shared" si="325"/>
        <v>20-21734-6</v>
      </c>
      <c r="N1887" s="24">
        <f>IF($A1887="","",WORKDAY($A1887,Settings!$C$9,HolidayDates))</f>
        <v>46232</v>
      </c>
      <c r="O1887" s="24">
        <f>IF($N1887="","",WORKDAY($N1887,Settings!$C$10,HolidayDates))</f>
        <v>46272</v>
      </c>
      <c r="P1887" s="10" t="s">
        <v>501</v>
      </c>
      <c r="Q1887" s="52" t="str">
        <f t="shared" si="328"/>
        <v>Collected</v>
      </c>
      <c r="R1887" s="55" t="str">
        <f t="shared" si="329"/>
        <v>2026-07</v>
      </c>
      <c r="S1887" s="55">
        <f>IF(OR($B1887="",$F1887="",$R1887=""),"",SUMIFS(tblIssues[Qty Issued],tblIssues[Staff ID],$B1887,tblIssues[Item Name],$F1887,tblIssues[Month],$R1887))</f>
        <v>1</v>
      </c>
      <c r="T1887" s="56">
        <f>IF($I1887="","",$I1887*Settings!$C$11)</f>
        <v>1</v>
      </c>
      <c r="U1887" s="57" t="str">
        <f t="shared" si="326"/>
        <v>OK</v>
      </c>
      <c r="V1887" s="55" t="str">
        <f t="shared" si="330"/>
        <v/>
      </c>
      <c r="W1887" s="55" t="str">
        <f>IF($V1887="","",IF(COUNTIF($V$5:$V1887,$V1887)=1,1,""))</f>
        <v/>
      </c>
      <c r="X1887" s="58" t="str">
        <f>IF($W1887="","",MAX($X$4:X1886)+1)</f>
        <v/>
      </c>
      <c r="Y1887" s="62"/>
      <c r="Z1887" s="62"/>
      <c r="AA1887" s="64" t="str">
        <f>IF($C1887="","",IFERROR(INDEX('Staff Directory'!$E$5:$E$594,MATCH($C1887,'Staff Directory'!$B$5:$B$594,0)),""))</f>
        <v>firstname162.lastname162@example.com</v>
      </c>
      <c r="AB1887" s="64" t="str">
        <f>IF($C1887="","",IF(ISNUMBER(SEARCH($D1887,Settings!$C$15)),"Pickup","Dispatch"))</f>
        <v>Pickup</v>
      </c>
      <c r="AC1887" s="64" t="str">
        <f t="shared" si="331"/>
        <v>Supply order ready for pickup</v>
      </c>
      <c r="AD1887" s="64" t="str">
        <f t="shared" si="322"/>
        <v>Dear PSW,
Your order is ready for pickup from Sample Branch, Wed-Fri 9am-4pm.</v>
      </c>
      <c r="AE1887" s="64" t="str">
        <f t="shared" si="323"/>
        <v>mailto:firstname162.lastname162@example.com?subject=Supply%20order%20ready%20for%20pickup&amp;body=Dear%20PSW%2C%0A%0AYour%20order%20is%20ready%20for%20pickup%20from%20Sample%20Branch%2C%20Wed-Fri%209am-4pm.</v>
      </c>
      <c r="AF1887" s="89" t="str">
        <f t="shared" si="332"/>
        <v>Draft email</v>
      </c>
      <c r="AG1887" s="64" t="str">
        <f>IF($C1887="","",IFERROR(INDEX('Staff Directory'!$K$595:$K$599,MATCH($C1887,'Staff Directory'!$B$5:$B$599,0)),$D1887))</f>
        <v>PSW</v>
      </c>
      <c r="AH1887" t="str">
        <f>IF($C1887="","",IFERROR(INDEX('Staff Directory'!$I$595:$I$599,MATCH($C1887,'Staff Directory'!$B$5:$B$599,0))&amp;" "&amp;INDEX('Staff Directory'!$J$595:$J$599,MATCH($C1887,'Staff Directory'!$B$5:$B$599,0)),$AG1887))</f>
        <v>PSW</v>
      </c>
      <c r="AI1887" s="102"/>
      <c r="AJ1887" s="101">
        <f>IF($F1887="","",SUMIFS($J$5:$J1887,$F$5:$F1887,$F1887))</f>
        <v>256</v>
      </c>
      <c r="AK1887" s="101">
        <f t="shared" si="324"/>
        <v>256</v>
      </c>
      <c r="AL1887" s="66" t="str" cm="1">
        <f t="array" ref="AL1887">IF($F1887="","",IFERROR(INDEX('Lot Balance'!$B$5:$B$500,MATCH(1,INDEX(('Lot Balance'!$A$5:$A$500=$F1887)*('Lot Balance'!$K$5:$K$500&lt;$AK1887)*('Lot Balance'!$K$5:$K$500+'Lot Balance'!$D$5:$D$500&gt;=$AK1887),0),0)),""))</f>
        <v>20-21734-6</v>
      </c>
      <c r="AM1887" s="66" t="str" cm="1">
        <f t="array" ref="AM1887">IF($F1887="","",IFERROR(INDEX('Lot Balance'!$B$5:$B$500,MATCH(1,INDEX(('Lot Balance'!$A$5:$A$500=$F1887)*('Lot Balance'!$K$5:$K$500&lt;$AJ1887)*('Lot Balance'!$K$5:$K$500+'Lot Balance'!$D$5:$D$500&gt;=$AJ1887),0),0)),""))</f>
        <v>20-21734-6</v>
      </c>
      <c r="AN1887" s="66" t="str">
        <f>IF($F1887="","",IF($AI1887&lt;&gt;"",IF(COUNTIFS('Lot Balance'!$A$5:$A$500,$F1887,'Lot Balance'!$B$5:$B$500,$AI1887)=0,"⚠ override is not a lot of this item",IF($AI1887=$AL1887,"Override = FEFO","Override - FEFO says "&amp;$AL1887)),IF($AL1887="","⚠ no receipt on file for this item",IF($AM1887&lt;&gt;$AL1887,"FEFO auto - split, also "&amp;$AM1887,"FEFO auto"))))</f>
        <v>FEFO auto</v>
      </c>
      <c r="AO1887" s="114"/>
    </row>
    <row r="1888" spans="1:41" x14ac:dyDescent="0.35">
      <c r="A1888" s="74">
        <v>46224</v>
      </c>
      <c r="B1888" s="18" t="str">
        <f>IF($C1888="","",IFERROR(INDEX('Staff Directory'!$A$5:$A$594,MATCH($C1888,'Staff Directory'!$B$5:$B$594,0)),"⚠ unknown staff"))</f>
        <v>PSW-100-A6</v>
      </c>
      <c r="C1888" s="49" t="s">
        <v>1078</v>
      </c>
      <c r="D1888" s="19" t="str">
        <f>IF($B1888="","",IFERROR(INDEX('Staff Directory'!$C$5:$C$594,MATCH($B1888,'Staff Directory'!$A$5:$A$594,0)),""))</f>
        <v>PSW</v>
      </c>
      <c r="E1888" s="19" t="str">
        <f>IF($B1888="","",IFERROR(INDEX('Staff Directory'!$D$5:$D$594,MATCH($B1888,'Staff Directory'!$A$5:$A$594,0)),""))</f>
        <v>A6</v>
      </c>
      <c r="F1888" s="9" t="s">
        <v>115</v>
      </c>
      <c r="G1888" s="18" t="str">
        <f>IF($F1888="","",IFERROR(INDEX(Items!$B$5:$B$597,MATCH($F1888,Items!$A$5:$A$597,0)),"⚠ not in Items"))</f>
        <v>Wipes</v>
      </c>
      <c r="H1888" s="19">
        <f>IF($F1888="","",IFERROR(INDEX(Items!$C$5:$C$597,MATCH($F1888,Items!$A$5:$A$597,0)),""))</f>
        <v>80</v>
      </c>
      <c r="I1888" s="23">
        <f>IF($F1888="","",IFERROR(INDEX(Items!$E$5:$E$597,MATCH($F1888,Items!$A$5:$A$597,0)),""))</f>
        <v>80</v>
      </c>
      <c r="J1888" s="115">
        <f>IF(tblIssues[[#This Row],[Qty Override]]&lt;&gt;"",tblIssues[[#This Row],[Qty Override]],IF(tblIssues[[#This Row],[Standard Issue]]="","",tblIssues[[#This Row],[Standard Issue]]))</f>
        <v>80</v>
      </c>
      <c r="K1888" s="20">
        <f>IF($F1888="","",IFERROR(INDEX(Items!$D$5:$D$597,MATCH($F1888,Items!$A$5:$A$597,0)),""))</f>
        <v>0.1</v>
      </c>
      <c r="L1888" s="21">
        <f t="shared" si="327"/>
        <v>8</v>
      </c>
      <c r="M1888" s="9" t="str">
        <f t="shared" si="325"/>
        <v>LYSL500290</v>
      </c>
      <c r="N1888" s="24">
        <f>IF($A1888="","",WORKDAY($A1888,Settings!$C$9,HolidayDates))</f>
        <v>46232</v>
      </c>
      <c r="O1888" s="24">
        <f>IF($N1888="","",WORKDAY($N1888,Settings!$C$10,HolidayDates))</f>
        <v>46272</v>
      </c>
      <c r="P1888" s="10" t="s">
        <v>501</v>
      </c>
      <c r="Q1888" s="52" t="str">
        <f t="shared" si="328"/>
        <v>Collected</v>
      </c>
      <c r="R1888" s="55" t="str">
        <f t="shared" si="329"/>
        <v>2026-07</v>
      </c>
      <c r="S1888" s="55">
        <f>IF(OR($B1888="",$F1888="",$R1888=""),"",SUMIFS(tblIssues[Qty Issued],tblIssues[Staff ID],$B1888,tblIssues[Item Name],$F1888,tblIssues[Month],$R1888))</f>
        <v>80</v>
      </c>
      <c r="T1888" s="56">
        <f>IF($I1888="","",$I1888*Settings!$C$11)</f>
        <v>80</v>
      </c>
      <c r="U1888" s="57" t="str">
        <f t="shared" si="326"/>
        <v>OK</v>
      </c>
      <c r="V1888" s="55" t="str">
        <f t="shared" si="330"/>
        <v/>
      </c>
      <c r="W1888" s="55" t="str">
        <f>IF($V1888="","",IF(COUNTIF($V$5:$V1888,$V1888)=1,1,""))</f>
        <v/>
      </c>
      <c r="X1888" s="58" t="str">
        <f>IF($W1888="","",MAX($X$4:X1887)+1)</f>
        <v/>
      </c>
      <c r="Y1888" s="62"/>
      <c r="Z1888" s="62"/>
      <c r="AA1888" s="64" t="str">
        <f>IF($C1888="","",IFERROR(INDEX('Staff Directory'!$E$5:$E$594,MATCH($C1888,'Staff Directory'!$B$5:$B$594,0)),""))</f>
        <v>firstname162.lastname162@example.com</v>
      </c>
      <c r="AB1888" s="64" t="str">
        <f>IF($C1888="","",IF(ISNUMBER(SEARCH($D1888,Settings!$C$15)),"Pickup","Dispatch"))</f>
        <v>Pickup</v>
      </c>
      <c r="AC1888" s="64" t="str">
        <f t="shared" si="331"/>
        <v>Supply order ready for pickup</v>
      </c>
      <c r="AD1888" s="64" t="str">
        <f t="shared" si="322"/>
        <v>Dear PSW,
Your order is ready for pickup from Sample Branch, Wed-Fri 9am-4pm.</v>
      </c>
      <c r="AE1888" s="64" t="str">
        <f t="shared" si="323"/>
        <v>mailto:firstname162.lastname162@example.com?subject=Supply%20order%20ready%20for%20pickup&amp;body=Dear%20PSW%2C%0A%0AYour%20order%20is%20ready%20for%20pickup%20from%20Sample%20Branch%2C%20Wed-Fri%209am-4pm.</v>
      </c>
      <c r="AF1888" s="89" t="str">
        <f t="shared" si="332"/>
        <v>Draft email</v>
      </c>
      <c r="AG1888" s="64" t="str">
        <f>IF($C1888="","",IFERROR(INDEX('Staff Directory'!$K$595:$K$599,MATCH($C1888,'Staff Directory'!$B$5:$B$599,0)),$D1888))</f>
        <v>PSW</v>
      </c>
      <c r="AH1888" t="str">
        <f>IF($C1888="","",IFERROR(INDEX('Staff Directory'!$I$595:$I$599,MATCH($C1888,'Staff Directory'!$B$5:$B$599,0))&amp;" "&amp;INDEX('Staff Directory'!$J$595:$J$599,MATCH($C1888,'Staff Directory'!$B$5:$B$599,0)),$AG1888))</f>
        <v>PSW</v>
      </c>
      <c r="AI1888" s="102"/>
      <c r="AJ1888" s="101">
        <f>IF($F1888="","",SUMIFS($J$5:$J1888,$F$5:$F1888,$F1888))</f>
        <v>25040</v>
      </c>
      <c r="AK1888" s="101">
        <f t="shared" si="324"/>
        <v>24961</v>
      </c>
      <c r="AL1888" s="66" t="str" cm="1">
        <f t="array" ref="AL1888">IF($F1888="","",IFERROR(INDEX('Lot Balance'!$B$5:$B$500,MATCH(1,INDEX(('Lot Balance'!$A$5:$A$500=$F1888)*('Lot Balance'!$K$5:$K$500&lt;$AK1888)*('Lot Balance'!$K$5:$K$500+'Lot Balance'!$D$5:$D$500&gt;=$AK1888),0),0)),""))</f>
        <v>LYSL500290</v>
      </c>
      <c r="AM1888" s="66" t="str" cm="1">
        <f t="array" ref="AM1888">IF($F1888="","",IFERROR(INDEX('Lot Balance'!$B$5:$B$500,MATCH(1,INDEX(('Lot Balance'!$A$5:$A$500=$F1888)*('Lot Balance'!$K$5:$K$500&lt;$AJ1888)*('Lot Balance'!$K$5:$K$500+'Lot Balance'!$D$5:$D$500&gt;=$AJ1888),0),0)),""))</f>
        <v>LYSL500290</v>
      </c>
      <c r="AN1888" s="66" t="str">
        <f>IF($F1888="","",IF($AI1888&lt;&gt;"",IF(COUNTIFS('Lot Balance'!$A$5:$A$500,$F1888,'Lot Balance'!$B$5:$B$500,$AI1888)=0,"⚠ override is not a lot of this item",IF($AI1888=$AL1888,"Override = FEFO","Override - FEFO says "&amp;$AL1888)),IF($AL1888="","⚠ no receipt on file for this item",IF($AM1888&lt;&gt;$AL1888,"FEFO auto - split, also "&amp;$AM1888,"FEFO auto"))))</f>
        <v>FEFO auto</v>
      </c>
      <c r="AO1888" s="114"/>
    </row>
    <row r="1889" spans="1:41" x14ac:dyDescent="0.35">
      <c r="A1889" s="74">
        <v>46225</v>
      </c>
      <c r="B1889" s="18" t="str">
        <f>IF($C1889="","",IFERROR(INDEX('Staff Directory'!$A$5:$A$594,MATCH($C1889,'Staff Directory'!$B$5:$B$594,0)),"⚠ unknown staff"))</f>
        <v>PSW-168-A6</v>
      </c>
      <c r="C1889" s="49" t="s">
        <v>1147</v>
      </c>
      <c r="D1889" s="19" t="str">
        <f>IF($B1889="","",IFERROR(INDEX('Staff Directory'!$C$5:$C$594,MATCH($B1889,'Staff Directory'!$A$5:$A$594,0)),""))</f>
        <v>PSW</v>
      </c>
      <c r="E1889" s="19" t="str">
        <f>IF($B1889="","",IFERROR(INDEX('Staff Directory'!$D$5:$D$594,MATCH($B1889,'Staff Directory'!$A$5:$A$594,0)),""))</f>
        <v>A6</v>
      </c>
      <c r="F1889" s="9" t="s">
        <v>127</v>
      </c>
      <c r="G1889" s="18" t="str">
        <f>IF($F1889="","",IFERROR(INDEX(Items!$B$5:$B$597,MATCH($F1889,Items!$A$5:$A$597,0)),"⚠ not in Items"))</f>
        <v>Gloves</v>
      </c>
      <c r="H1889" s="19" t="str">
        <f>IF($F1889="","",IFERROR(INDEX(Items!$C$5:$C$597,MATCH($F1889,Items!$A$5:$A$597,0)),""))</f>
        <v>Medium</v>
      </c>
      <c r="I1889" s="23">
        <f>IF($F1889="","",IFERROR(INDEX(Items!$E$5:$E$597,MATCH($F1889,Items!$A$5:$A$597,0)),""))</f>
        <v>500</v>
      </c>
      <c r="J1889" s="115">
        <f>IF(tblIssues[[#This Row],[Qty Override]]&lt;&gt;"",tblIssues[[#This Row],[Qty Override]],IF(tblIssues[[#This Row],[Standard Issue]]="","",tblIssues[[#This Row],[Standard Issue]]))</f>
        <v>500</v>
      </c>
      <c r="K1889" s="20">
        <f>IF($F1889="","",IFERROR(INDEX(Items!$D$5:$D$597,MATCH($F1889,Items!$A$5:$A$597,0)),""))</f>
        <v>5.5E-2</v>
      </c>
      <c r="L1889" s="21">
        <f t="shared" si="327"/>
        <v>27.5</v>
      </c>
      <c r="M1889" s="9" t="str">
        <f t="shared" si="325"/>
        <v>ZIM6044151580</v>
      </c>
      <c r="N1889" s="24">
        <f>IF($A1889="","",WORKDAY($A1889,Settings!$C$9,HolidayDates))</f>
        <v>46233</v>
      </c>
      <c r="O1889" s="24">
        <f>IF($N1889="","",WORKDAY($N1889,Settings!$C$10,HolidayDates))</f>
        <v>46273</v>
      </c>
      <c r="P1889" s="10" t="s">
        <v>501</v>
      </c>
      <c r="Q1889" s="52" t="str">
        <f t="shared" si="328"/>
        <v>Collected</v>
      </c>
      <c r="R1889" s="55" t="str">
        <f t="shared" si="329"/>
        <v>2026-07</v>
      </c>
      <c r="S1889" s="55">
        <f>IF(OR($B1889="",$F1889="",$R1889=""),"",SUMIFS(tblIssues[Qty Issued],tblIssues[Staff ID],$B1889,tblIssues[Item Name],$F1889,tblIssues[Month],$R1889))</f>
        <v>1000</v>
      </c>
      <c r="T1889" s="56">
        <f>IF($I1889="","",$I1889*Settings!$C$11)</f>
        <v>500</v>
      </c>
      <c r="U1889" s="57" t="str">
        <f t="shared" si="326"/>
        <v>⚠ OVER QUOTA</v>
      </c>
      <c r="V1889" s="55" t="str">
        <f t="shared" si="330"/>
        <v>PSW-168-A6 | Gloves - Medium | 2026-07</v>
      </c>
      <c r="W1889" s="55" t="str">
        <f>IF($V1889="","",IF(COUNTIF($V$5:$V1889,$V1889)=1,1,""))</f>
        <v/>
      </c>
      <c r="X1889" s="58" t="str">
        <f>IF($W1889="","",MAX($X$4:X1888)+1)</f>
        <v/>
      </c>
      <c r="Y1889" s="62"/>
      <c r="Z1889" s="62"/>
      <c r="AA1889" s="64" t="str">
        <f>IF($C1889="","",IFERROR(INDEX('Staff Directory'!$E$5:$E$594,MATCH($C1889,'Staff Directory'!$B$5:$B$594,0)),""))</f>
        <v>firstname231.lastname231@example.com</v>
      </c>
      <c r="AB1889" s="64" t="str">
        <f>IF($C1889="","",IF(ISNUMBER(SEARCH($D1889,Settings!$C$15)),"Pickup","Dispatch"))</f>
        <v>Pickup</v>
      </c>
      <c r="AC1889" s="64" t="str">
        <f t="shared" si="331"/>
        <v>Supply order ready for pickup</v>
      </c>
      <c r="AD1889" s="64" t="str">
        <f t="shared" si="322"/>
        <v>Dear PSW,
Your order is ready for pickup from Sample Branch, Wed-Fri 9am-4pm.</v>
      </c>
      <c r="AE1889" s="64" t="str">
        <f t="shared" si="323"/>
        <v>mailto:firstname231.lastname231@example.com?subject=Supply%20order%20ready%20for%20pickup&amp;body=Dear%20PSW%2C%0A%0AYour%20order%20is%20ready%20for%20pickup%20from%20Sample%20Branch%2C%20Wed-Fri%209am-4pm.</v>
      </c>
      <c r="AF1889" s="89" t="str">
        <f t="shared" si="332"/>
        <v>Draft email</v>
      </c>
      <c r="AG1889" s="64" t="str">
        <f>IF($C1889="","",IFERROR(INDEX('Staff Directory'!$K$595:$K$599,MATCH($C1889,'Staff Directory'!$B$5:$B$599,0)),$D1889))</f>
        <v>PSW</v>
      </c>
      <c r="AH1889" t="str">
        <f>IF($C1889="","",IFERROR(INDEX('Staff Directory'!$I$595:$I$599,MATCH($C1889,'Staff Directory'!$B$5:$B$599,0))&amp;" "&amp;INDEX('Staff Directory'!$J$595:$J$599,MATCH($C1889,'Staff Directory'!$B$5:$B$599,0)),$AG1889))</f>
        <v>PSW</v>
      </c>
      <c r="AI1889" s="102"/>
      <c r="AJ1889" s="101">
        <f>IF($F1889="","",SUMIFS($J$5:$J1889,$F$5:$F1889,$F1889))</f>
        <v>113000</v>
      </c>
      <c r="AK1889" s="101">
        <f t="shared" si="324"/>
        <v>112501</v>
      </c>
      <c r="AL1889" s="66" t="str" cm="1">
        <f t="array" ref="AL1889">IF($F1889="","",IFERROR(INDEX('Lot Balance'!$B$5:$B$500,MATCH(1,INDEX(('Lot Balance'!$A$5:$A$500=$F1889)*('Lot Balance'!$K$5:$K$500&lt;$AK1889)*('Lot Balance'!$K$5:$K$500+'Lot Balance'!$D$5:$D$500&gt;=$AK1889),0),0)),""))</f>
        <v>ZIM6044151580</v>
      </c>
      <c r="AM1889" s="66" t="str" cm="1">
        <f t="array" ref="AM1889">IF($F1889="","",IFERROR(INDEX('Lot Balance'!$B$5:$B$500,MATCH(1,INDEX(('Lot Balance'!$A$5:$A$500=$F1889)*('Lot Balance'!$K$5:$K$500&lt;$AJ1889)*('Lot Balance'!$K$5:$K$500+'Lot Balance'!$D$5:$D$500&gt;=$AJ1889),0),0)),""))</f>
        <v>ZIM6044151580</v>
      </c>
      <c r="AN1889" s="66" t="str">
        <f>IF($F1889="","",IF($AI1889&lt;&gt;"",IF(COUNTIFS('Lot Balance'!$A$5:$A$500,$F1889,'Lot Balance'!$B$5:$B$500,$AI1889)=0,"⚠ override is not a lot of this item",IF($AI1889=$AL1889,"Override = FEFO","Override - FEFO says "&amp;$AL1889)),IF($AL1889="","⚠ no receipt on file for this item",IF($AM1889&lt;&gt;$AL1889,"FEFO auto - split, also "&amp;$AM1889,"FEFO auto"))))</f>
        <v>FEFO auto</v>
      </c>
      <c r="AO1889" s="114"/>
    </row>
    <row r="1890" spans="1:41" x14ac:dyDescent="0.35">
      <c r="A1890" s="74">
        <v>46225</v>
      </c>
      <c r="B1890" s="18" t="str">
        <f>IF($C1890="","",IFERROR(INDEX('Staff Directory'!$A$5:$A$594,MATCH($C1890,'Staff Directory'!$B$5:$B$594,0)),"⚠ unknown staff"))</f>
        <v>PSW-168-A6</v>
      </c>
      <c r="C1890" s="49" t="s">
        <v>1147</v>
      </c>
      <c r="D1890" s="19" t="str">
        <f>IF($B1890="","",IFERROR(INDEX('Staff Directory'!$C$5:$C$594,MATCH($B1890,'Staff Directory'!$A$5:$A$594,0)),""))</f>
        <v>PSW</v>
      </c>
      <c r="E1890" s="19" t="str">
        <f>IF($B1890="","",IFERROR(INDEX('Staff Directory'!$D$5:$D$594,MATCH($B1890,'Staff Directory'!$A$5:$A$594,0)),""))</f>
        <v>A6</v>
      </c>
      <c r="F1890" s="9" t="s">
        <v>191</v>
      </c>
      <c r="G1890" s="18" t="str">
        <f>IF($F1890="","",IFERROR(INDEX(Items!$B$5:$B$597,MATCH($F1890,Items!$A$5:$A$597,0)),"⚠ not in Items"))</f>
        <v>Sanitizer</v>
      </c>
      <c r="H1890" s="19" t="str">
        <f>IF($F1890="","",IFERROR(INDEX(Items!$C$5:$C$597,MATCH($F1890,Items!$A$5:$A$597,0)),""))</f>
        <v>236 ML</v>
      </c>
      <c r="I1890" s="23">
        <f>IF($F1890="","",IFERROR(INDEX(Items!$E$5:$E$597,MATCH($F1890,Items!$A$5:$A$597,0)),""))</f>
        <v>1</v>
      </c>
      <c r="J1890" s="115">
        <f>IF(tblIssues[[#This Row],[Qty Override]]&lt;&gt;"",tblIssues[[#This Row],[Qty Override]],IF(tblIssues[[#This Row],[Standard Issue]]="","",tblIssues[[#This Row],[Standard Issue]]))</f>
        <v>1</v>
      </c>
      <c r="K1890" s="20">
        <f>IF($F1890="","",IFERROR(INDEX(Items!$D$5:$D$597,MATCH($F1890,Items!$A$5:$A$597,0)),""))</f>
        <v>1E-4</v>
      </c>
      <c r="L1890" s="21">
        <f t="shared" si="327"/>
        <v>1E-4</v>
      </c>
      <c r="M1890" s="9" t="str">
        <f t="shared" si="325"/>
        <v>20-21734-6</v>
      </c>
      <c r="N1890" s="24">
        <f>IF($A1890="","",WORKDAY($A1890,Settings!$C$9,HolidayDates))</f>
        <v>46233</v>
      </c>
      <c r="O1890" s="24">
        <f>IF($N1890="","",WORKDAY($N1890,Settings!$C$10,HolidayDates))</f>
        <v>46273</v>
      </c>
      <c r="P1890" s="10" t="s">
        <v>501</v>
      </c>
      <c r="Q1890" s="52" t="str">
        <f t="shared" si="328"/>
        <v>Collected</v>
      </c>
      <c r="R1890" s="55" t="str">
        <f t="shared" si="329"/>
        <v>2026-07</v>
      </c>
      <c r="S1890" s="55">
        <f>IF(OR($B1890="",$F1890="",$R1890=""),"",SUMIFS(tblIssues[Qty Issued],tblIssues[Staff ID],$B1890,tblIssues[Item Name],$F1890,tblIssues[Month],$R1890))</f>
        <v>2</v>
      </c>
      <c r="T1890" s="56">
        <f>IF($I1890="","",$I1890*Settings!$C$11)</f>
        <v>1</v>
      </c>
      <c r="U1890" s="57" t="str">
        <f t="shared" si="326"/>
        <v>⚠ OVER QUOTA</v>
      </c>
      <c r="V1890" s="55" t="str">
        <f t="shared" si="330"/>
        <v>PSW-168-A6 | Hand Sanitizer OS | 2026-07</v>
      </c>
      <c r="W1890" s="55" t="str">
        <f>IF($V1890="","",IF(COUNTIF($V$5:$V1890,$V1890)=1,1,""))</f>
        <v/>
      </c>
      <c r="X1890" s="58" t="str">
        <f>IF($W1890="","",MAX($X$4:X1889)+1)</f>
        <v/>
      </c>
      <c r="Y1890" s="62"/>
      <c r="Z1890" s="62"/>
      <c r="AA1890" s="64" t="str">
        <f>IF($C1890="","",IFERROR(INDEX('Staff Directory'!$E$5:$E$594,MATCH($C1890,'Staff Directory'!$B$5:$B$594,0)),""))</f>
        <v>firstname231.lastname231@example.com</v>
      </c>
      <c r="AB1890" s="64" t="str">
        <f>IF($C1890="","",IF(ISNUMBER(SEARCH($D1890,Settings!$C$15)),"Pickup","Dispatch"))</f>
        <v>Pickup</v>
      </c>
      <c r="AC1890" s="64" t="str">
        <f t="shared" si="331"/>
        <v>Supply order ready for pickup</v>
      </c>
      <c r="AD1890" s="64" t="str">
        <f t="shared" si="322"/>
        <v>Dear PSW,
Your order is ready for pickup from Sample Branch, Wed-Fri 9am-4pm.</v>
      </c>
      <c r="AE1890" s="64" t="str">
        <f t="shared" si="323"/>
        <v>mailto:firstname231.lastname231@example.com?subject=Supply%20order%20ready%20for%20pickup&amp;body=Dear%20PSW%2C%0A%0AYour%20order%20is%20ready%20for%20pickup%20from%20Sample%20Branch%2C%20Wed-Fri%209am-4pm.</v>
      </c>
      <c r="AF1890" s="89" t="str">
        <f t="shared" si="332"/>
        <v>Draft email</v>
      </c>
      <c r="AG1890" s="64" t="str">
        <f>IF($C1890="","",IFERROR(INDEX('Staff Directory'!$K$595:$K$599,MATCH($C1890,'Staff Directory'!$B$5:$B$599,0)),$D1890))</f>
        <v>PSW</v>
      </c>
      <c r="AH1890" t="str">
        <f>IF($C1890="","",IFERROR(INDEX('Staff Directory'!$I$595:$I$599,MATCH($C1890,'Staff Directory'!$B$5:$B$599,0))&amp;" "&amp;INDEX('Staff Directory'!$J$595:$J$599,MATCH($C1890,'Staff Directory'!$B$5:$B$599,0)),$AG1890))</f>
        <v>PSW</v>
      </c>
      <c r="AI1890" s="102"/>
      <c r="AJ1890" s="101">
        <f>IF($F1890="","",SUMIFS($J$5:$J1890,$F$5:$F1890,$F1890))</f>
        <v>257</v>
      </c>
      <c r="AK1890" s="101">
        <f t="shared" si="324"/>
        <v>257</v>
      </c>
      <c r="AL1890" s="66" t="str" cm="1">
        <f t="array" ref="AL1890">IF($F1890="","",IFERROR(INDEX('Lot Balance'!$B$5:$B$500,MATCH(1,INDEX(('Lot Balance'!$A$5:$A$500=$F1890)*('Lot Balance'!$K$5:$K$500&lt;$AK1890)*('Lot Balance'!$K$5:$K$500+'Lot Balance'!$D$5:$D$500&gt;=$AK1890),0),0)),""))</f>
        <v>20-21734-6</v>
      </c>
      <c r="AM1890" s="66" t="str" cm="1">
        <f t="array" ref="AM1890">IF($F1890="","",IFERROR(INDEX('Lot Balance'!$B$5:$B$500,MATCH(1,INDEX(('Lot Balance'!$A$5:$A$500=$F1890)*('Lot Balance'!$K$5:$K$500&lt;$AJ1890)*('Lot Balance'!$K$5:$K$500+'Lot Balance'!$D$5:$D$500&gt;=$AJ1890),0),0)),""))</f>
        <v>20-21734-6</v>
      </c>
      <c r="AN1890" s="66" t="str">
        <f>IF($F1890="","",IF($AI1890&lt;&gt;"",IF(COUNTIFS('Lot Balance'!$A$5:$A$500,$F1890,'Lot Balance'!$B$5:$B$500,$AI1890)=0,"⚠ override is not a lot of this item",IF($AI1890=$AL1890,"Override = FEFO","Override - FEFO says "&amp;$AL1890)),IF($AL1890="","⚠ no receipt on file for this item",IF($AM1890&lt;&gt;$AL1890,"FEFO auto - split, also "&amp;$AM1890,"FEFO auto"))))</f>
        <v>FEFO auto</v>
      </c>
      <c r="AO1890" s="114"/>
    </row>
    <row r="1891" spans="1:41" x14ac:dyDescent="0.35">
      <c r="A1891" s="74">
        <v>46225</v>
      </c>
      <c r="B1891" s="18" t="str">
        <f>IF($C1891="","",IFERROR(INDEX('Staff Directory'!$A$5:$A$594,MATCH($C1891,'Staff Directory'!$B$5:$B$594,0)),"⚠ unknown staff"))</f>
        <v>PSW-168-A6</v>
      </c>
      <c r="C1891" s="49" t="s">
        <v>1147</v>
      </c>
      <c r="D1891" s="19" t="str">
        <f>IF($B1891="","",IFERROR(INDEX('Staff Directory'!$C$5:$C$594,MATCH($B1891,'Staff Directory'!$A$5:$A$594,0)),""))</f>
        <v>PSW</v>
      </c>
      <c r="E1891" s="19" t="str">
        <f>IF($B1891="","",IFERROR(INDEX('Staff Directory'!$D$5:$D$594,MATCH($B1891,'Staff Directory'!$A$5:$A$594,0)),""))</f>
        <v>A6</v>
      </c>
      <c r="F1891" s="9" t="s">
        <v>115</v>
      </c>
      <c r="G1891" s="18" t="str">
        <f>IF($F1891="","",IFERROR(INDEX(Items!$B$5:$B$597,MATCH($F1891,Items!$A$5:$A$597,0)),"⚠ not in Items"))</f>
        <v>Wipes</v>
      </c>
      <c r="H1891" s="19">
        <f>IF($F1891="","",IFERROR(INDEX(Items!$C$5:$C$597,MATCH($F1891,Items!$A$5:$A$597,0)),""))</f>
        <v>80</v>
      </c>
      <c r="I1891" s="23">
        <f>IF($F1891="","",IFERROR(INDEX(Items!$E$5:$E$597,MATCH($F1891,Items!$A$5:$A$597,0)),""))</f>
        <v>80</v>
      </c>
      <c r="J1891" s="115">
        <f>IF(tblIssues[[#This Row],[Qty Override]]&lt;&gt;"",tblIssues[[#This Row],[Qty Override]],IF(tblIssues[[#This Row],[Standard Issue]]="","",tblIssues[[#This Row],[Standard Issue]]))</f>
        <v>80</v>
      </c>
      <c r="K1891" s="20">
        <f>IF($F1891="","",IFERROR(INDEX(Items!$D$5:$D$597,MATCH($F1891,Items!$A$5:$A$597,0)),""))</f>
        <v>0.1</v>
      </c>
      <c r="L1891" s="21">
        <f t="shared" si="327"/>
        <v>8</v>
      </c>
      <c r="M1891" s="9" t="str">
        <f t="shared" si="325"/>
        <v>LYSL500290</v>
      </c>
      <c r="N1891" s="24">
        <f>IF($A1891="","",WORKDAY($A1891,Settings!$C$9,HolidayDates))</f>
        <v>46233</v>
      </c>
      <c r="O1891" s="24">
        <f>IF($N1891="","",WORKDAY($N1891,Settings!$C$10,HolidayDates))</f>
        <v>46273</v>
      </c>
      <c r="P1891" s="10" t="s">
        <v>501</v>
      </c>
      <c r="Q1891" s="52" t="str">
        <f t="shared" si="328"/>
        <v>Collected</v>
      </c>
      <c r="R1891" s="55" t="str">
        <f t="shared" si="329"/>
        <v>2026-07</v>
      </c>
      <c r="S1891" s="55">
        <f>IF(OR($B1891="",$F1891="",$R1891=""),"",SUMIFS(tblIssues[Qty Issued],tblIssues[Staff ID],$B1891,tblIssues[Item Name],$F1891,tblIssues[Month],$R1891))</f>
        <v>80</v>
      </c>
      <c r="T1891" s="56">
        <f>IF($I1891="","",$I1891*Settings!$C$11)</f>
        <v>80</v>
      </c>
      <c r="U1891" s="57" t="str">
        <f t="shared" si="326"/>
        <v>OK</v>
      </c>
      <c r="V1891" s="55" t="str">
        <f t="shared" si="330"/>
        <v/>
      </c>
      <c r="W1891" s="55" t="str">
        <f>IF($V1891="","",IF(COUNTIF($V$5:$V1891,$V1891)=1,1,""))</f>
        <v/>
      </c>
      <c r="X1891" s="58" t="str">
        <f>IF($W1891="","",MAX($X$4:X1890)+1)</f>
        <v/>
      </c>
      <c r="Y1891" s="62"/>
      <c r="Z1891" s="62"/>
      <c r="AA1891" s="64" t="str">
        <f>IF($C1891="","",IFERROR(INDEX('Staff Directory'!$E$5:$E$594,MATCH($C1891,'Staff Directory'!$B$5:$B$594,0)),""))</f>
        <v>firstname231.lastname231@example.com</v>
      </c>
      <c r="AB1891" s="64" t="str">
        <f>IF($C1891="","",IF(ISNUMBER(SEARCH($D1891,Settings!$C$15)),"Pickup","Dispatch"))</f>
        <v>Pickup</v>
      </c>
      <c r="AC1891" s="64" t="str">
        <f t="shared" si="331"/>
        <v>Supply order ready for pickup</v>
      </c>
      <c r="AD1891" s="64" t="str">
        <f t="shared" si="322"/>
        <v>Dear PSW,
Your order is ready for pickup from Sample Branch, Wed-Fri 9am-4pm.</v>
      </c>
      <c r="AE1891" s="64" t="str">
        <f t="shared" si="323"/>
        <v>mailto:firstname231.lastname231@example.com?subject=Supply%20order%20ready%20for%20pickup&amp;body=Dear%20PSW%2C%0A%0AYour%20order%20is%20ready%20for%20pickup%20from%20Sample%20Branch%2C%20Wed-Fri%209am-4pm.</v>
      </c>
      <c r="AF1891" s="89" t="str">
        <f t="shared" si="332"/>
        <v>Draft email</v>
      </c>
      <c r="AG1891" s="64" t="str">
        <f>IF($C1891="","",IFERROR(INDEX('Staff Directory'!$K$595:$K$599,MATCH($C1891,'Staff Directory'!$B$5:$B$599,0)),$D1891))</f>
        <v>PSW</v>
      </c>
      <c r="AH1891" t="str">
        <f>IF($C1891="","",IFERROR(INDEX('Staff Directory'!$I$595:$I$599,MATCH($C1891,'Staff Directory'!$B$5:$B$599,0))&amp;" "&amp;INDEX('Staff Directory'!$J$595:$J$599,MATCH($C1891,'Staff Directory'!$B$5:$B$599,0)),$AG1891))</f>
        <v>PSW</v>
      </c>
      <c r="AI1891" s="102"/>
      <c r="AJ1891" s="101">
        <f>IF($F1891="","",SUMIFS($J$5:$J1891,$F$5:$F1891,$F1891))</f>
        <v>25120</v>
      </c>
      <c r="AK1891" s="101">
        <f t="shared" si="324"/>
        <v>25041</v>
      </c>
      <c r="AL1891" s="66" t="str" cm="1">
        <f t="array" ref="AL1891">IF($F1891="","",IFERROR(INDEX('Lot Balance'!$B$5:$B$500,MATCH(1,INDEX(('Lot Balance'!$A$5:$A$500=$F1891)*('Lot Balance'!$K$5:$K$500&lt;$AK1891)*('Lot Balance'!$K$5:$K$500+'Lot Balance'!$D$5:$D$500&gt;=$AK1891),0),0)),""))</f>
        <v>LYSL500290</v>
      </c>
      <c r="AM1891" s="66" t="str" cm="1">
        <f t="array" ref="AM1891">IF($F1891="","",IFERROR(INDEX('Lot Balance'!$B$5:$B$500,MATCH(1,INDEX(('Lot Balance'!$A$5:$A$500=$F1891)*('Lot Balance'!$K$5:$K$500&lt;$AJ1891)*('Lot Balance'!$K$5:$K$500+'Lot Balance'!$D$5:$D$500&gt;=$AJ1891),0),0)),""))</f>
        <v>LYSL500290</v>
      </c>
      <c r="AN1891" s="66" t="str">
        <f>IF($F1891="","",IF($AI1891&lt;&gt;"",IF(COUNTIFS('Lot Balance'!$A$5:$A$500,$F1891,'Lot Balance'!$B$5:$B$500,$AI1891)=0,"⚠ override is not a lot of this item",IF($AI1891=$AL1891,"Override = FEFO","Override - FEFO says "&amp;$AL1891)),IF($AL1891="","⚠ no receipt on file for this item",IF($AM1891&lt;&gt;$AL1891,"FEFO auto - split, also "&amp;$AM1891,"FEFO auto"))))</f>
        <v>FEFO auto</v>
      </c>
      <c r="AO1891" s="114"/>
    </row>
    <row r="1892" spans="1:41" x14ac:dyDescent="0.35">
      <c r="A1892" s="74">
        <v>46225</v>
      </c>
      <c r="B1892" s="18" t="str">
        <f>IF($C1892="","",IFERROR(INDEX('Staff Directory'!$A$5:$A$594,MATCH($C1892,'Staff Directory'!$B$5:$B$594,0)),"⚠ unknown staff"))</f>
        <v>PSW-060-A6</v>
      </c>
      <c r="C1892" s="49" t="s">
        <v>1036</v>
      </c>
      <c r="D1892" s="19" t="str">
        <f>IF($B1892="","",IFERROR(INDEX('Staff Directory'!$C$5:$C$594,MATCH($B1892,'Staff Directory'!$A$5:$A$594,0)),""))</f>
        <v>PSW</v>
      </c>
      <c r="E1892" s="19" t="str">
        <f>IF($B1892="","",IFERROR(INDEX('Staff Directory'!$D$5:$D$594,MATCH($B1892,'Staff Directory'!$A$5:$A$594,0)),""))</f>
        <v>A6</v>
      </c>
      <c r="F1892" s="9" t="s">
        <v>129</v>
      </c>
      <c r="G1892" s="18" t="str">
        <f>IF($F1892="","",IFERROR(INDEX(Items!$B$5:$B$597,MATCH($F1892,Items!$A$5:$A$597,0)),"⚠ not in Items"))</f>
        <v>Gloves</v>
      </c>
      <c r="H1892" s="19" t="str">
        <f>IF($F1892="","",IFERROR(INDEX(Items!$C$5:$C$597,MATCH($F1892,Items!$A$5:$A$597,0)),""))</f>
        <v>Small</v>
      </c>
      <c r="I1892" s="23">
        <f>IF($F1892="","",IFERROR(INDEX(Items!$E$5:$E$597,MATCH($F1892,Items!$A$5:$A$597,0)),""))</f>
        <v>500</v>
      </c>
      <c r="J1892" s="115">
        <f>IF(tblIssues[[#This Row],[Qty Override]]&lt;&gt;"",tblIssues[[#This Row],[Qty Override]],IF(tblIssues[[#This Row],[Standard Issue]]="","",tblIssues[[#This Row],[Standard Issue]]))</f>
        <v>500</v>
      </c>
      <c r="K1892" s="20">
        <f>IF($F1892="","",IFERROR(INDEX(Items!$D$5:$D$597,MATCH($F1892,Items!$A$5:$A$597,0)),""))</f>
        <v>5.5E-2</v>
      </c>
      <c r="L1892" s="21">
        <f t="shared" si="327"/>
        <v>27.5</v>
      </c>
      <c r="M1892" s="9" t="str">
        <f t="shared" si="325"/>
        <v>ZIM601144366-1</v>
      </c>
      <c r="N1892" s="24">
        <f>IF($A1892="","",WORKDAY($A1892,Settings!$C$9,HolidayDates))</f>
        <v>46233</v>
      </c>
      <c r="O1892" s="24">
        <f>IF($N1892="","",WORKDAY($N1892,Settings!$C$10,HolidayDates))</f>
        <v>46273</v>
      </c>
      <c r="P1892" s="10" t="s">
        <v>501</v>
      </c>
      <c r="Q1892" s="52" t="str">
        <f t="shared" si="328"/>
        <v>Collected</v>
      </c>
      <c r="R1892" s="55" t="str">
        <f t="shared" si="329"/>
        <v>2026-07</v>
      </c>
      <c r="S1892" s="55">
        <f>IF(OR($B1892="",$F1892="",$R1892=""),"",SUMIFS(tblIssues[Qty Issued],tblIssues[Staff ID],$B1892,tblIssues[Item Name],$F1892,tblIssues[Month],$R1892))</f>
        <v>500</v>
      </c>
      <c r="T1892" s="56">
        <f>IF($I1892="","",$I1892*Settings!$C$11)</f>
        <v>500</v>
      </c>
      <c r="U1892" s="57" t="str">
        <f t="shared" si="326"/>
        <v>OK</v>
      </c>
      <c r="V1892" s="55" t="str">
        <f t="shared" si="330"/>
        <v/>
      </c>
      <c r="W1892" s="55" t="str">
        <f>IF($V1892="","",IF(COUNTIF($V$5:$V1892,$V1892)=1,1,""))</f>
        <v/>
      </c>
      <c r="X1892" s="58" t="str">
        <f>IF($W1892="","",MAX($X$4:X1891)+1)</f>
        <v/>
      </c>
      <c r="Y1892" s="62"/>
      <c r="Z1892" s="62"/>
      <c r="AA1892" s="64" t="str">
        <f>IF($C1892="","",IFERROR(INDEX('Staff Directory'!$E$5:$E$594,MATCH($C1892,'Staff Directory'!$B$5:$B$594,0)),""))</f>
        <v>firstname120.lastname120@example.com</v>
      </c>
      <c r="AB1892" s="64" t="str">
        <f>IF($C1892="","",IF(ISNUMBER(SEARCH($D1892,Settings!$C$15)),"Pickup","Dispatch"))</f>
        <v>Pickup</v>
      </c>
      <c r="AC1892" s="64" t="str">
        <f t="shared" si="331"/>
        <v>Supply order ready for pickup</v>
      </c>
      <c r="AD1892" s="64" t="str">
        <f t="shared" si="322"/>
        <v>Dear PSW,
Your order is ready for pickup from Sample Branch, Wed-Fri 9am-4pm.</v>
      </c>
      <c r="AE1892" s="64" t="str">
        <f t="shared" si="323"/>
        <v>mailto:firstname120.lastname120@example.com?subject=Supply%20order%20ready%20for%20pickup&amp;body=Dear%20PSW%2C%0A%0AYour%20order%20is%20ready%20for%20pickup%20from%20Sample%20Branch%2C%20Wed-Fri%209am-4pm.</v>
      </c>
      <c r="AF1892" s="89" t="str">
        <f t="shared" si="332"/>
        <v>Draft email</v>
      </c>
      <c r="AG1892" s="64" t="str">
        <f>IF($C1892="","",IFERROR(INDEX('Staff Directory'!$K$595:$K$599,MATCH($C1892,'Staff Directory'!$B$5:$B$599,0)),$D1892))</f>
        <v>PSW</v>
      </c>
      <c r="AH1892" t="str">
        <f>IF($C1892="","",IFERROR(INDEX('Staff Directory'!$I$595:$I$599,MATCH($C1892,'Staff Directory'!$B$5:$B$599,0))&amp;" "&amp;INDEX('Staff Directory'!$J$595:$J$599,MATCH($C1892,'Staff Directory'!$B$5:$B$599,0)),$AG1892))</f>
        <v>PSW</v>
      </c>
      <c r="AI1892" s="102"/>
      <c r="AJ1892" s="101">
        <f>IF($F1892="","",SUMIFS($J$5:$J1892,$F$5:$F1892,$F1892))</f>
        <v>56000</v>
      </c>
      <c r="AK1892" s="101">
        <f t="shared" si="324"/>
        <v>55501</v>
      </c>
      <c r="AL1892" s="66" t="str" cm="1">
        <f t="array" ref="AL1892">IF($F1892="","",IFERROR(INDEX('Lot Balance'!$B$5:$B$500,MATCH(1,INDEX(('Lot Balance'!$A$5:$A$500=$F1892)*('Lot Balance'!$K$5:$K$500&lt;$AK1892)*('Lot Balance'!$K$5:$K$500+'Lot Balance'!$D$5:$D$500&gt;=$AK1892),0),0)),""))</f>
        <v>ZIM601144366-1</v>
      </c>
      <c r="AM1892" s="66" t="str" cm="1">
        <f t="array" ref="AM1892">IF($F1892="","",IFERROR(INDEX('Lot Balance'!$B$5:$B$500,MATCH(1,INDEX(('Lot Balance'!$A$5:$A$500=$F1892)*('Lot Balance'!$K$5:$K$500&lt;$AJ1892)*('Lot Balance'!$K$5:$K$500+'Lot Balance'!$D$5:$D$500&gt;=$AJ1892),0),0)),""))</f>
        <v>ZIM601144366-1</v>
      </c>
      <c r="AN1892" s="66" t="str">
        <f>IF($F1892="","",IF($AI1892&lt;&gt;"",IF(COUNTIFS('Lot Balance'!$A$5:$A$500,$F1892,'Lot Balance'!$B$5:$B$500,$AI1892)=0,"⚠ override is not a lot of this item",IF($AI1892=$AL1892,"Override = FEFO","Override - FEFO says "&amp;$AL1892)),IF($AL1892="","⚠ no receipt on file for this item",IF($AM1892&lt;&gt;$AL1892,"FEFO auto - split, also "&amp;$AM1892,"FEFO auto"))))</f>
        <v>FEFO auto</v>
      </c>
      <c r="AO1892" s="114"/>
    </row>
    <row r="1893" spans="1:41" x14ac:dyDescent="0.35">
      <c r="A1893" s="74">
        <v>46225</v>
      </c>
      <c r="B1893" s="18" t="str">
        <f>IF($C1893="","",IFERROR(INDEX('Staff Directory'!$A$5:$A$594,MATCH($C1893,'Staff Directory'!$B$5:$B$594,0)),"⚠ unknown staff"))</f>
        <v>PSW-060-A6</v>
      </c>
      <c r="C1893" s="49" t="s">
        <v>1036</v>
      </c>
      <c r="D1893" s="19" t="str">
        <f>IF($B1893="","",IFERROR(INDEX('Staff Directory'!$C$5:$C$594,MATCH($B1893,'Staff Directory'!$A$5:$A$594,0)),""))</f>
        <v>PSW</v>
      </c>
      <c r="E1893" s="19" t="str">
        <f>IF($B1893="","",IFERROR(INDEX('Staff Directory'!$D$5:$D$594,MATCH($B1893,'Staff Directory'!$A$5:$A$594,0)),""))</f>
        <v>A6</v>
      </c>
      <c r="F1893" s="9" t="s">
        <v>191</v>
      </c>
      <c r="G1893" s="18" t="str">
        <f>IF($F1893="","",IFERROR(INDEX(Items!$B$5:$B$597,MATCH($F1893,Items!$A$5:$A$597,0)),"⚠ not in Items"))</f>
        <v>Sanitizer</v>
      </c>
      <c r="H1893" s="19" t="str">
        <f>IF($F1893="","",IFERROR(INDEX(Items!$C$5:$C$597,MATCH($F1893,Items!$A$5:$A$597,0)),""))</f>
        <v>236 ML</v>
      </c>
      <c r="I1893" s="23">
        <f>IF($F1893="","",IFERROR(INDEX(Items!$E$5:$E$597,MATCH($F1893,Items!$A$5:$A$597,0)),""))</f>
        <v>1</v>
      </c>
      <c r="J1893" s="115">
        <f>IF(tblIssues[[#This Row],[Qty Override]]&lt;&gt;"",tblIssues[[#This Row],[Qty Override]],IF(tblIssues[[#This Row],[Standard Issue]]="","",tblIssues[[#This Row],[Standard Issue]]))</f>
        <v>1</v>
      </c>
      <c r="K1893" s="20">
        <f>IF($F1893="","",IFERROR(INDEX(Items!$D$5:$D$597,MATCH($F1893,Items!$A$5:$A$597,0)),""))</f>
        <v>1E-4</v>
      </c>
      <c r="L1893" s="21">
        <f t="shared" si="327"/>
        <v>1E-4</v>
      </c>
      <c r="M1893" s="9" t="str">
        <f t="shared" si="325"/>
        <v>20-21734-6</v>
      </c>
      <c r="N1893" s="24">
        <f>IF($A1893="","",WORKDAY($A1893,Settings!$C$9,HolidayDates))</f>
        <v>46233</v>
      </c>
      <c r="O1893" s="24">
        <f>IF($N1893="","",WORKDAY($N1893,Settings!$C$10,HolidayDates))</f>
        <v>46273</v>
      </c>
      <c r="P1893" s="10" t="s">
        <v>501</v>
      </c>
      <c r="Q1893" s="52" t="str">
        <f t="shared" si="328"/>
        <v>Collected</v>
      </c>
      <c r="R1893" s="55" t="str">
        <f t="shared" si="329"/>
        <v>2026-07</v>
      </c>
      <c r="S1893" s="55">
        <f>IF(OR($B1893="",$F1893="",$R1893=""),"",SUMIFS(tblIssues[Qty Issued],tblIssues[Staff ID],$B1893,tblIssues[Item Name],$F1893,tblIssues[Month],$R1893))</f>
        <v>1</v>
      </c>
      <c r="T1893" s="56">
        <f>IF($I1893="","",$I1893*Settings!$C$11)</f>
        <v>1</v>
      </c>
      <c r="U1893" s="57" t="str">
        <f t="shared" si="326"/>
        <v>OK</v>
      </c>
      <c r="V1893" s="55" t="str">
        <f t="shared" si="330"/>
        <v/>
      </c>
      <c r="W1893" s="55" t="str">
        <f>IF($V1893="","",IF(COUNTIF($V$5:$V1893,$V1893)=1,1,""))</f>
        <v/>
      </c>
      <c r="X1893" s="58" t="str">
        <f>IF($W1893="","",MAX($X$4:X1892)+1)</f>
        <v/>
      </c>
      <c r="Y1893" s="62"/>
      <c r="Z1893" s="62"/>
      <c r="AA1893" s="64" t="str">
        <f>IF($C1893="","",IFERROR(INDEX('Staff Directory'!$E$5:$E$594,MATCH($C1893,'Staff Directory'!$B$5:$B$594,0)),""))</f>
        <v>firstname120.lastname120@example.com</v>
      </c>
      <c r="AB1893" s="64" t="str">
        <f>IF($C1893="","",IF(ISNUMBER(SEARCH($D1893,Settings!$C$15)),"Pickup","Dispatch"))</f>
        <v>Pickup</v>
      </c>
      <c r="AC1893" s="64" t="str">
        <f t="shared" si="331"/>
        <v>Supply order ready for pickup</v>
      </c>
      <c r="AD1893" s="64" t="str">
        <f t="shared" si="322"/>
        <v>Dear PSW,
Your order is ready for pickup from Sample Branch, Wed-Fri 9am-4pm.</v>
      </c>
      <c r="AE1893" s="64" t="str">
        <f t="shared" si="323"/>
        <v>mailto:firstname120.lastname120@example.com?subject=Supply%20order%20ready%20for%20pickup&amp;body=Dear%20PSW%2C%0A%0AYour%20order%20is%20ready%20for%20pickup%20from%20Sample%20Branch%2C%20Wed-Fri%209am-4pm.</v>
      </c>
      <c r="AF1893" s="89" t="str">
        <f t="shared" si="332"/>
        <v>Draft email</v>
      </c>
      <c r="AG1893" s="64" t="str">
        <f>IF($C1893="","",IFERROR(INDEX('Staff Directory'!$K$595:$K$599,MATCH($C1893,'Staff Directory'!$B$5:$B$599,0)),$D1893))</f>
        <v>PSW</v>
      </c>
      <c r="AH1893" t="str">
        <f>IF($C1893="","",IFERROR(INDEX('Staff Directory'!$I$595:$I$599,MATCH($C1893,'Staff Directory'!$B$5:$B$599,0))&amp;" "&amp;INDEX('Staff Directory'!$J$595:$J$599,MATCH($C1893,'Staff Directory'!$B$5:$B$599,0)),$AG1893))</f>
        <v>PSW</v>
      </c>
      <c r="AI1893" s="102"/>
      <c r="AJ1893" s="101">
        <f>IF($F1893="","",SUMIFS($J$5:$J1893,$F$5:$F1893,$F1893))</f>
        <v>258</v>
      </c>
      <c r="AK1893" s="101">
        <f t="shared" si="324"/>
        <v>258</v>
      </c>
      <c r="AL1893" s="66" t="str" cm="1">
        <f t="array" ref="AL1893">IF($F1893="","",IFERROR(INDEX('Lot Balance'!$B$5:$B$500,MATCH(1,INDEX(('Lot Balance'!$A$5:$A$500=$F1893)*('Lot Balance'!$K$5:$K$500&lt;$AK1893)*('Lot Balance'!$K$5:$K$500+'Lot Balance'!$D$5:$D$500&gt;=$AK1893),0),0)),""))</f>
        <v>20-21734-6</v>
      </c>
      <c r="AM1893" s="66" t="str" cm="1">
        <f t="array" ref="AM1893">IF($F1893="","",IFERROR(INDEX('Lot Balance'!$B$5:$B$500,MATCH(1,INDEX(('Lot Balance'!$A$5:$A$500=$F1893)*('Lot Balance'!$K$5:$K$500&lt;$AJ1893)*('Lot Balance'!$K$5:$K$500+'Lot Balance'!$D$5:$D$500&gt;=$AJ1893),0),0)),""))</f>
        <v>20-21734-6</v>
      </c>
      <c r="AN1893" s="66" t="str">
        <f>IF($F1893="","",IF($AI1893&lt;&gt;"",IF(COUNTIFS('Lot Balance'!$A$5:$A$500,$F1893,'Lot Balance'!$B$5:$B$500,$AI1893)=0,"⚠ override is not a lot of this item",IF($AI1893=$AL1893,"Override = FEFO","Override - FEFO says "&amp;$AL1893)),IF($AL1893="","⚠ no receipt on file for this item",IF($AM1893&lt;&gt;$AL1893,"FEFO auto - split, also "&amp;$AM1893,"FEFO auto"))))</f>
        <v>FEFO auto</v>
      </c>
      <c r="AO1893" s="114"/>
    </row>
    <row r="1894" spans="1:41" x14ac:dyDescent="0.35">
      <c r="A1894" s="74">
        <v>46225</v>
      </c>
      <c r="B1894" s="18" t="str">
        <f>IF($C1894="","",IFERROR(INDEX('Staff Directory'!$A$5:$A$594,MATCH($C1894,'Staff Directory'!$B$5:$B$594,0)),"⚠ unknown staff"))</f>
        <v>PSW-060-A6</v>
      </c>
      <c r="C1894" s="49" t="s">
        <v>1036</v>
      </c>
      <c r="D1894" s="19" t="str">
        <f>IF($B1894="","",IFERROR(INDEX('Staff Directory'!$C$5:$C$594,MATCH($B1894,'Staff Directory'!$A$5:$A$594,0)),""))</f>
        <v>PSW</v>
      </c>
      <c r="E1894" s="19" t="str">
        <f>IF($B1894="","",IFERROR(INDEX('Staff Directory'!$D$5:$D$594,MATCH($B1894,'Staff Directory'!$A$5:$A$594,0)),""))</f>
        <v>A6</v>
      </c>
      <c r="F1894" s="9" t="s">
        <v>115</v>
      </c>
      <c r="G1894" s="18" t="str">
        <f>IF($F1894="","",IFERROR(INDEX(Items!$B$5:$B$597,MATCH($F1894,Items!$A$5:$A$597,0)),"⚠ not in Items"))</f>
        <v>Wipes</v>
      </c>
      <c r="H1894" s="19">
        <f>IF($F1894="","",IFERROR(INDEX(Items!$C$5:$C$597,MATCH($F1894,Items!$A$5:$A$597,0)),""))</f>
        <v>80</v>
      </c>
      <c r="I1894" s="23">
        <f>IF($F1894="","",IFERROR(INDEX(Items!$E$5:$E$597,MATCH($F1894,Items!$A$5:$A$597,0)),""))</f>
        <v>80</v>
      </c>
      <c r="J1894" s="115">
        <f>IF(tblIssues[[#This Row],[Qty Override]]&lt;&gt;"",tblIssues[[#This Row],[Qty Override]],IF(tblIssues[[#This Row],[Standard Issue]]="","",tblIssues[[#This Row],[Standard Issue]]))</f>
        <v>80</v>
      </c>
      <c r="K1894" s="20">
        <f>IF($F1894="","",IFERROR(INDEX(Items!$D$5:$D$597,MATCH($F1894,Items!$A$5:$A$597,0)),""))</f>
        <v>0.1</v>
      </c>
      <c r="L1894" s="21">
        <f t="shared" si="327"/>
        <v>8</v>
      </c>
      <c r="M1894" s="9" t="str">
        <f t="shared" si="325"/>
        <v>LYSL500290</v>
      </c>
      <c r="N1894" s="24">
        <f>IF($A1894="","",WORKDAY($A1894,Settings!$C$9,HolidayDates))</f>
        <v>46233</v>
      </c>
      <c r="O1894" s="24">
        <f>IF($N1894="","",WORKDAY($N1894,Settings!$C$10,HolidayDates))</f>
        <v>46273</v>
      </c>
      <c r="P1894" s="10" t="s">
        <v>501</v>
      </c>
      <c r="Q1894" s="52" t="str">
        <f t="shared" si="328"/>
        <v>Collected</v>
      </c>
      <c r="R1894" s="55" t="str">
        <f t="shared" si="329"/>
        <v>2026-07</v>
      </c>
      <c r="S1894" s="55">
        <f>IF(OR($B1894="",$F1894="",$R1894=""),"",SUMIFS(tblIssues[Qty Issued],tblIssues[Staff ID],$B1894,tblIssues[Item Name],$F1894,tblIssues[Month],$R1894))</f>
        <v>80</v>
      </c>
      <c r="T1894" s="56">
        <f>IF($I1894="","",$I1894*Settings!$C$11)</f>
        <v>80</v>
      </c>
      <c r="U1894" s="57" t="str">
        <f t="shared" si="326"/>
        <v>OK</v>
      </c>
      <c r="V1894" s="55" t="str">
        <f t="shared" si="330"/>
        <v/>
      </c>
      <c r="W1894" s="55" t="str">
        <f>IF($V1894="","",IF(COUNTIF($V$5:$V1894,$V1894)=1,1,""))</f>
        <v/>
      </c>
      <c r="X1894" s="58" t="str">
        <f>IF($W1894="","",MAX($X$4:X1893)+1)</f>
        <v/>
      </c>
      <c r="Y1894" s="62"/>
      <c r="Z1894" s="62"/>
      <c r="AA1894" s="64" t="str">
        <f>IF($C1894="","",IFERROR(INDEX('Staff Directory'!$E$5:$E$594,MATCH($C1894,'Staff Directory'!$B$5:$B$594,0)),""))</f>
        <v>firstname120.lastname120@example.com</v>
      </c>
      <c r="AB1894" s="64" t="str">
        <f>IF($C1894="","",IF(ISNUMBER(SEARCH($D1894,Settings!$C$15)),"Pickup","Dispatch"))</f>
        <v>Pickup</v>
      </c>
      <c r="AC1894" s="64" t="str">
        <f t="shared" si="331"/>
        <v>Supply order ready for pickup</v>
      </c>
      <c r="AD1894" s="64" t="str">
        <f t="shared" si="322"/>
        <v>Dear PSW,
Your order is ready for pickup from Sample Branch, Wed-Fri 9am-4pm.</v>
      </c>
      <c r="AE1894" s="64" t="str">
        <f t="shared" si="323"/>
        <v>mailto:firstname120.lastname120@example.com?subject=Supply%20order%20ready%20for%20pickup&amp;body=Dear%20PSW%2C%0A%0AYour%20order%20is%20ready%20for%20pickup%20from%20Sample%20Branch%2C%20Wed-Fri%209am-4pm.</v>
      </c>
      <c r="AF1894" s="89" t="str">
        <f t="shared" si="332"/>
        <v>Draft email</v>
      </c>
      <c r="AG1894" s="64" t="str">
        <f>IF($C1894="","",IFERROR(INDEX('Staff Directory'!$K$595:$K$599,MATCH($C1894,'Staff Directory'!$B$5:$B$599,0)),$D1894))</f>
        <v>PSW</v>
      </c>
      <c r="AH1894" t="str">
        <f>IF($C1894="","",IFERROR(INDEX('Staff Directory'!$I$595:$I$599,MATCH($C1894,'Staff Directory'!$B$5:$B$599,0))&amp;" "&amp;INDEX('Staff Directory'!$J$595:$J$599,MATCH($C1894,'Staff Directory'!$B$5:$B$599,0)),$AG1894))</f>
        <v>PSW</v>
      </c>
      <c r="AI1894" s="102"/>
      <c r="AJ1894" s="101">
        <f>IF($F1894="","",SUMIFS($J$5:$J1894,$F$5:$F1894,$F1894))</f>
        <v>25200</v>
      </c>
      <c r="AK1894" s="101">
        <f t="shared" si="324"/>
        <v>25121</v>
      </c>
      <c r="AL1894" s="66" t="str" cm="1">
        <f t="array" ref="AL1894">IF($F1894="","",IFERROR(INDEX('Lot Balance'!$B$5:$B$500,MATCH(1,INDEX(('Lot Balance'!$A$5:$A$500=$F1894)*('Lot Balance'!$K$5:$K$500&lt;$AK1894)*('Lot Balance'!$K$5:$K$500+'Lot Balance'!$D$5:$D$500&gt;=$AK1894),0),0)),""))</f>
        <v>LYSL500290</v>
      </c>
      <c r="AM1894" s="66" t="str" cm="1">
        <f t="array" ref="AM1894">IF($F1894="","",IFERROR(INDEX('Lot Balance'!$B$5:$B$500,MATCH(1,INDEX(('Lot Balance'!$A$5:$A$500=$F1894)*('Lot Balance'!$K$5:$K$500&lt;$AJ1894)*('Lot Balance'!$K$5:$K$500+'Lot Balance'!$D$5:$D$500&gt;=$AJ1894),0),0)),""))</f>
        <v>LYSL500290</v>
      </c>
      <c r="AN1894" s="66" t="str">
        <f>IF($F1894="","",IF($AI1894&lt;&gt;"",IF(COUNTIFS('Lot Balance'!$A$5:$A$500,$F1894,'Lot Balance'!$B$5:$B$500,$AI1894)=0,"⚠ override is not a lot of this item",IF($AI1894=$AL1894,"Override = FEFO","Override - FEFO says "&amp;$AL1894)),IF($AL1894="","⚠ no receipt on file for this item",IF($AM1894&lt;&gt;$AL1894,"FEFO auto - split, also "&amp;$AM1894,"FEFO auto"))))</f>
        <v>FEFO auto</v>
      </c>
      <c r="AO1894" s="114"/>
    </row>
    <row r="1895" spans="1:41" x14ac:dyDescent="0.35">
      <c r="A1895" s="74">
        <v>46225</v>
      </c>
      <c r="B1895" s="18" t="str">
        <f>IF($C1895="","",IFERROR(INDEX('Staff Directory'!$A$5:$A$594,MATCH($C1895,'Staff Directory'!$B$5:$B$594,0)),"⚠ unknown staff"))</f>
        <v>PSW-060-A6</v>
      </c>
      <c r="C1895" s="49" t="s">
        <v>1036</v>
      </c>
      <c r="D1895" s="19" t="str">
        <f>IF($B1895="","",IFERROR(INDEX('Staff Directory'!$C$5:$C$594,MATCH($B1895,'Staff Directory'!$A$5:$A$594,0)),""))</f>
        <v>PSW</v>
      </c>
      <c r="E1895" s="19" t="str">
        <f>IF($B1895="","",IFERROR(INDEX('Staff Directory'!$D$5:$D$594,MATCH($B1895,'Staff Directory'!$A$5:$A$594,0)),""))</f>
        <v>A6</v>
      </c>
      <c r="F1895" s="9" t="s">
        <v>758</v>
      </c>
      <c r="G1895" s="18" t="str">
        <f>IF($F1895="","",IFERROR(INDEX(Items!$B$5:$B$597,MATCH($F1895,Items!$A$5:$A$597,0)),"⚠ not in Items"))</f>
        <v>Utility</v>
      </c>
      <c r="H1895" s="19" t="str">
        <f>IF($F1895="","",IFERROR(INDEX(Items!$C$5:$C$597,MATCH($F1895,Items!$A$5:$A$597,0)),""))</f>
        <v>Standard</v>
      </c>
      <c r="I1895" s="23">
        <f>IF($F1895="","",IFERROR(INDEX(Items!$E$5:$E$597,MATCH($F1895,Items!$A$5:$A$597,0)),""))</f>
        <v>1</v>
      </c>
      <c r="J1895" s="115">
        <f>IF(tblIssues[[#This Row],[Qty Override]]&lt;&gt;"",tblIssues[[#This Row],[Qty Override]],IF(tblIssues[[#This Row],[Standard Issue]]="","",tblIssues[[#This Row],[Standard Issue]]))</f>
        <v>1</v>
      </c>
      <c r="K1895" s="20">
        <f>IF($F1895="","",IFERROR(INDEX(Items!$D$5:$D$597,MATCH($F1895,Items!$A$5:$A$597,0)),""))</f>
        <v>0</v>
      </c>
      <c r="L1895" s="21">
        <f t="shared" si="327"/>
        <v>0</v>
      </c>
      <c r="M1895" s="9" t="str">
        <f t="shared" si="325"/>
        <v/>
      </c>
      <c r="N1895" s="24">
        <f>IF($A1895="","",WORKDAY($A1895,Settings!$C$9,HolidayDates))</f>
        <v>46233</v>
      </c>
      <c r="O1895" s="24">
        <f>IF($N1895="","",WORKDAY($N1895,Settings!$C$10,HolidayDates))</f>
        <v>46273</v>
      </c>
      <c r="P1895" s="10" t="s">
        <v>501</v>
      </c>
      <c r="Q1895" s="52" t="str">
        <f t="shared" si="328"/>
        <v>Collected</v>
      </c>
      <c r="R1895" s="55" t="str">
        <f t="shared" si="329"/>
        <v>2026-07</v>
      </c>
      <c r="S1895" s="55">
        <f>IF(OR($B1895="",$F1895="",$R1895=""),"",SUMIFS(tblIssues[Qty Issued],tblIssues[Staff ID],$B1895,tblIssues[Item Name],$F1895,tblIssues[Month],$R1895))</f>
        <v>1</v>
      </c>
      <c r="T1895" s="56">
        <f>IF($I1895="","",$I1895*Settings!$C$11)</f>
        <v>1</v>
      </c>
      <c r="U1895" s="57" t="str">
        <f t="shared" si="326"/>
        <v>OK</v>
      </c>
      <c r="V1895" s="55" t="str">
        <f t="shared" si="330"/>
        <v/>
      </c>
      <c r="W1895" s="55" t="str">
        <f>IF($V1895="","",IF(COUNTIF($V$5:$V1895,$V1895)=1,1,""))</f>
        <v/>
      </c>
      <c r="X1895" s="58" t="str">
        <f>IF($W1895="","",MAX($X$4:X1894)+1)</f>
        <v/>
      </c>
      <c r="Y1895" s="62"/>
      <c r="Z1895" s="62"/>
      <c r="AA1895" s="64" t="str">
        <f>IF($C1895="","",IFERROR(INDEX('Staff Directory'!$E$5:$E$594,MATCH($C1895,'Staff Directory'!$B$5:$B$594,0)),""))</f>
        <v>firstname120.lastname120@example.com</v>
      </c>
      <c r="AB1895" s="64" t="str">
        <f>IF($C1895="","",IF(ISNUMBER(SEARCH($D1895,Settings!$C$15)),"Pickup","Dispatch"))</f>
        <v>Pickup</v>
      </c>
      <c r="AC1895" s="64" t="str">
        <f t="shared" si="331"/>
        <v>Supply order ready for pickup</v>
      </c>
      <c r="AD1895" s="64" t="str">
        <f t="shared" si="322"/>
        <v>Dear PSW,
Your order is ready for pickup from Sample Branch, Wed-Fri 9am-4pm.</v>
      </c>
      <c r="AE1895" s="64" t="str">
        <f t="shared" si="323"/>
        <v>mailto:firstname120.lastname120@example.com?subject=Supply%20order%20ready%20for%20pickup&amp;body=Dear%20PSW%2C%0A%0AYour%20order%20is%20ready%20for%20pickup%20from%20Sample%20Branch%2C%20Wed-Fri%209am-4pm.</v>
      </c>
      <c r="AF1895" s="89" t="str">
        <f t="shared" si="332"/>
        <v>Draft email</v>
      </c>
      <c r="AG1895" s="64" t="str">
        <f>IF($C1895="","",IFERROR(INDEX('Staff Directory'!$K$595:$K$599,MATCH($C1895,'Staff Directory'!$B$5:$B$599,0)),$D1895))</f>
        <v>PSW</v>
      </c>
      <c r="AH1895" t="str">
        <f>IF($C1895="","",IFERROR(INDEX('Staff Directory'!$I$595:$I$599,MATCH($C1895,'Staff Directory'!$B$5:$B$599,0))&amp;" "&amp;INDEX('Staff Directory'!$J$595:$J$599,MATCH($C1895,'Staff Directory'!$B$5:$B$599,0)),$AG1895))</f>
        <v>PSW</v>
      </c>
      <c r="AI1895" s="102"/>
      <c r="AJ1895" s="101">
        <f>IF($F1895="","",SUMIFS($J$5:$J1895,$F$5:$F1895,$F1895))</f>
        <v>82</v>
      </c>
      <c r="AK1895" s="101">
        <f t="shared" si="324"/>
        <v>82</v>
      </c>
      <c r="AL1895" s="66" t="str" cm="1">
        <f t="array" ref="AL1895">IF($F1895="","",IFERROR(INDEX('Lot Balance'!$B$5:$B$500,MATCH(1,INDEX(('Lot Balance'!$A$5:$A$500=$F1895)*('Lot Balance'!$K$5:$K$500&lt;$AK1895)*('Lot Balance'!$K$5:$K$500+'Lot Balance'!$D$5:$D$500&gt;=$AK1895),0),0)),""))</f>
        <v/>
      </c>
      <c r="AM1895" s="66" t="str" cm="1">
        <f t="array" ref="AM1895">IF($F1895="","",IFERROR(INDEX('Lot Balance'!$B$5:$B$500,MATCH(1,INDEX(('Lot Balance'!$A$5:$A$500=$F1895)*('Lot Balance'!$K$5:$K$500&lt;$AJ1895)*('Lot Balance'!$K$5:$K$500+'Lot Balance'!$D$5:$D$500&gt;=$AJ1895),0),0)),""))</f>
        <v/>
      </c>
      <c r="AN1895" s="66" t="str">
        <f>IF($F1895="","",IF($AI1895&lt;&gt;"",IF(COUNTIFS('Lot Balance'!$A$5:$A$500,$F1895,'Lot Balance'!$B$5:$B$500,$AI1895)=0,"⚠ override is not a lot of this item",IF($AI1895=$AL1895,"Override = FEFO","Override - FEFO says "&amp;$AL1895)),IF($AL1895="","⚠ no receipt on file for this item",IF($AM1895&lt;&gt;$AL1895,"FEFO auto - split, also "&amp;$AM1895,"FEFO auto"))))</f>
        <v>⚠ no receipt on file for this item</v>
      </c>
      <c r="AO1895" s="114"/>
    </row>
    <row r="1896" spans="1:41" x14ac:dyDescent="0.35">
      <c r="A1896" s="74">
        <v>46225</v>
      </c>
      <c r="B1896" s="18" t="str">
        <f>IF($C1896="","",IFERROR(INDEX('Staff Directory'!$A$5:$A$594,MATCH($C1896,'Staff Directory'!$B$5:$B$594,0)),"⚠ unknown staff"))</f>
        <v>PSW-078-A4</v>
      </c>
      <c r="C1896" s="49" t="s">
        <v>1054</v>
      </c>
      <c r="D1896" s="19" t="str">
        <f>IF($B1896="","",IFERROR(INDEX('Staff Directory'!$C$5:$C$594,MATCH($B1896,'Staff Directory'!$A$5:$A$594,0)),""))</f>
        <v>PSW</v>
      </c>
      <c r="E1896" s="19" t="str">
        <f>IF($B1896="","",IFERROR(INDEX('Staff Directory'!$D$5:$D$594,MATCH($B1896,'Staff Directory'!$A$5:$A$594,0)),""))</f>
        <v>A4</v>
      </c>
      <c r="F1896" s="9" t="s">
        <v>129</v>
      </c>
      <c r="G1896" s="18" t="str">
        <f>IF($F1896="","",IFERROR(INDEX(Items!$B$5:$B$597,MATCH($F1896,Items!$A$5:$A$597,0)),"⚠ not in Items"))</f>
        <v>Gloves</v>
      </c>
      <c r="H1896" s="19" t="str">
        <f>IF($F1896="","",IFERROR(INDEX(Items!$C$5:$C$597,MATCH($F1896,Items!$A$5:$A$597,0)),""))</f>
        <v>Small</v>
      </c>
      <c r="I1896" s="23">
        <f>IF($F1896="","",IFERROR(INDEX(Items!$E$5:$E$597,MATCH($F1896,Items!$A$5:$A$597,0)),""))</f>
        <v>500</v>
      </c>
      <c r="J1896" s="115">
        <f>IF(tblIssues[[#This Row],[Qty Override]]&lt;&gt;"",tblIssues[[#This Row],[Qty Override]],IF(tblIssues[[#This Row],[Standard Issue]]="","",tblIssues[[#This Row],[Standard Issue]]))</f>
        <v>500</v>
      </c>
      <c r="K1896" s="20">
        <f>IF($F1896="","",IFERROR(INDEX(Items!$D$5:$D$597,MATCH($F1896,Items!$A$5:$A$597,0)),""))</f>
        <v>5.5E-2</v>
      </c>
      <c r="L1896" s="21">
        <f t="shared" si="327"/>
        <v>27.5</v>
      </c>
      <c r="M1896" s="9" t="str">
        <f t="shared" si="325"/>
        <v>ZIM601144366-1</v>
      </c>
      <c r="N1896" s="24">
        <f>IF($A1896="","",WORKDAY($A1896,Settings!$C$9,HolidayDates))</f>
        <v>46233</v>
      </c>
      <c r="O1896" s="24">
        <f>IF($N1896="","",WORKDAY($N1896,Settings!$C$10,HolidayDates))</f>
        <v>46273</v>
      </c>
      <c r="P1896" s="10" t="s">
        <v>501</v>
      </c>
      <c r="Q1896" s="52" t="str">
        <f t="shared" si="328"/>
        <v>Collected</v>
      </c>
      <c r="R1896" s="55" t="str">
        <f t="shared" si="329"/>
        <v>2026-07</v>
      </c>
      <c r="S1896" s="55">
        <f>IF(OR($B1896="",$F1896="",$R1896=""),"",SUMIFS(tblIssues[Qty Issued],tblIssues[Staff ID],$B1896,tblIssues[Item Name],$F1896,tblIssues[Month],$R1896))</f>
        <v>500</v>
      </c>
      <c r="T1896" s="56">
        <f>IF($I1896="","",$I1896*Settings!$C$11)</f>
        <v>500</v>
      </c>
      <c r="U1896" s="57" t="str">
        <f t="shared" si="326"/>
        <v>OK</v>
      </c>
      <c r="V1896" s="55" t="str">
        <f t="shared" si="330"/>
        <v/>
      </c>
      <c r="W1896" s="55" t="str">
        <f>IF($V1896="","",IF(COUNTIF($V$5:$V1896,$V1896)=1,1,""))</f>
        <v/>
      </c>
      <c r="X1896" s="58" t="str">
        <f>IF($W1896="","",MAX($X$4:X1895)+1)</f>
        <v/>
      </c>
      <c r="Y1896" s="62"/>
      <c r="Z1896" s="62"/>
      <c r="AA1896" s="64" t="str">
        <f>IF($C1896="","",IFERROR(INDEX('Staff Directory'!$E$5:$E$594,MATCH($C1896,'Staff Directory'!$B$5:$B$594,0)),""))</f>
        <v>firstname138.lastname138@example.com</v>
      </c>
      <c r="AB1896" s="64" t="str">
        <f>IF($C1896="","",IF(ISNUMBER(SEARCH($D1896,Settings!$C$15)),"Pickup","Dispatch"))</f>
        <v>Pickup</v>
      </c>
      <c r="AC1896" s="64" t="str">
        <f t="shared" si="331"/>
        <v>Supply order ready for pickup</v>
      </c>
      <c r="AD1896" s="64" t="str">
        <f t="shared" si="322"/>
        <v>Dear PSW,
Your order is ready for pickup from Sample Branch, Wed-Fri 9am-4pm.</v>
      </c>
      <c r="AE1896" s="64" t="str">
        <f t="shared" si="323"/>
        <v>mailto:firstname138.lastname138@example.com?subject=Supply%20order%20ready%20for%20pickup&amp;body=Dear%20PSW%2C%0A%0AYour%20order%20is%20ready%20for%20pickup%20from%20Sample%20Branch%2C%20Wed-Fri%209am-4pm.</v>
      </c>
      <c r="AF1896" s="89" t="str">
        <f t="shared" si="332"/>
        <v>Draft email</v>
      </c>
      <c r="AG1896" s="64" t="str">
        <f>IF($C1896="","",IFERROR(INDEX('Staff Directory'!$K$595:$K$599,MATCH($C1896,'Staff Directory'!$B$5:$B$599,0)),$D1896))</f>
        <v>PSW</v>
      </c>
      <c r="AH1896" t="str">
        <f>IF($C1896="","",IFERROR(INDEX('Staff Directory'!$I$595:$I$599,MATCH($C1896,'Staff Directory'!$B$5:$B$599,0))&amp;" "&amp;INDEX('Staff Directory'!$J$595:$J$599,MATCH($C1896,'Staff Directory'!$B$5:$B$599,0)),$AG1896))</f>
        <v>PSW</v>
      </c>
      <c r="AI1896" s="102"/>
      <c r="AJ1896" s="101">
        <f>IF($F1896="","",SUMIFS($J$5:$J1896,$F$5:$F1896,$F1896))</f>
        <v>56500</v>
      </c>
      <c r="AK1896" s="101">
        <f t="shared" si="324"/>
        <v>56001</v>
      </c>
      <c r="AL1896" s="66" t="str" cm="1">
        <f t="array" ref="AL1896">IF($F1896="","",IFERROR(INDEX('Lot Balance'!$B$5:$B$500,MATCH(1,INDEX(('Lot Balance'!$A$5:$A$500=$F1896)*('Lot Balance'!$K$5:$K$500&lt;$AK1896)*('Lot Balance'!$K$5:$K$500+'Lot Balance'!$D$5:$D$500&gt;=$AK1896),0),0)),""))</f>
        <v>ZIM601144366-1</v>
      </c>
      <c r="AM1896" s="66" t="str" cm="1">
        <f t="array" ref="AM1896">IF($F1896="","",IFERROR(INDEX('Lot Balance'!$B$5:$B$500,MATCH(1,INDEX(('Lot Balance'!$A$5:$A$500=$F1896)*('Lot Balance'!$K$5:$K$500&lt;$AJ1896)*('Lot Balance'!$K$5:$K$500+'Lot Balance'!$D$5:$D$500&gt;=$AJ1896),0),0)),""))</f>
        <v>ZIM601144366-1</v>
      </c>
      <c r="AN1896" s="66" t="str">
        <f>IF($F1896="","",IF($AI1896&lt;&gt;"",IF(COUNTIFS('Lot Balance'!$A$5:$A$500,$F1896,'Lot Balance'!$B$5:$B$500,$AI1896)=0,"⚠ override is not a lot of this item",IF($AI1896=$AL1896,"Override = FEFO","Override - FEFO says "&amp;$AL1896)),IF($AL1896="","⚠ no receipt on file for this item",IF($AM1896&lt;&gt;$AL1896,"FEFO auto - split, also "&amp;$AM1896,"FEFO auto"))))</f>
        <v>FEFO auto</v>
      </c>
      <c r="AO1896" s="114"/>
    </row>
    <row r="1897" spans="1:41" x14ac:dyDescent="0.35">
      <c r="A1897" s="74">
        <v>46225</v>
      </c>
      <c r="B1897" s="18" t="str">
        <f>IF($C1897="","",IFERROR(INDEX('Staff Directory'!$A$5:$A$594,MATCH($C1897,'Staff Directory'!$B$5:$B$594,0)),"⚠ unknown staff"))</f>
        <v>PSW-078-A4</v>
      </c>
      <c r="C1897" s="49" t="s">
        <v>1054</v>
      </c>
      <c r="D1897" s="19" t="str">
        <f>IF($B1897="","",IFERROR(INDEX('Staff Directory'!$C$5:$C$594,MATCH($B1897,'Staff Directory'!$A$5:$A$594,0)),""))</f>
        <v>PSW</v>
      </c>
      <c r="E1897" s="19" t="str">
        <f>IF($B1897="","",IFERROR(INDEX('Staff Directory'!$D$5:$D$594,MATCH($B1897,'Staff Directory'!$A$5:$A$594,0)),""))</f>
        <v>A4</v>
      </c>
      <c r="F1897" s="9" t="s">
        <v>156</v>
      </c>
      <c r="G1897" s="18" t="str">
        <f>IF($F1897="","",IFERROR(INDEX(Items!$B$5:$B$597,MATCH($F1897,Items!$A$5:$A$597,0)),"⚠ not in Items"))</f>
        <v>Masks</v>
      </c>
      <c r="H1897" s="19" t="str">
        <f>IF($F1897="","",IFERROR(INDEX(Items!$C$5:$C$597,MATCH($F1897,Items!$A$5:$A$597,0)),""))</f>
        <v>One Size</v>
      </c>
      <c r="I1897" s="23">
        <f>IF($F1897="","",IFERROR(INDEX(Items!$E$5:$E$597,MATCH($F1897,Items!$A$5:$A$597,0)),""))</f>
        <v>50</v>
      </c>
      <c r="J1897" s="115">
        <f>IF(tblIssues[[#This Row],[Qty Override]]&lt;&gt;"",tblIssues[[#This Row],[Qty Override]],IF(tblIssues[[#This Row],[Standard Issue]]="","",tblIssues[[#This Row],[Standard Issue]]))</f>
        <v>50</v>
      </c>
      <c r="K1897" s="20">
        <f>IF($F1897="","",IFERROR(INDEX(Items!$D$5:$D$597,MATCH($F1897,Items!$A$5:$A$597,0)),""))</f>
        <v>0.25</v>
      </c>
      <c r="L1897" s="21">
        <f t="shared" si="327"/>
        <v>12.5</v>
      </c>
      <c r="M1897" s="9" t="str">
        <f t="shared" si="325"/>
        <v>LV2-10040-3</v>
      </c>
      <c r="N1897" s="24">
        <f>IF($A1897="","",WORKDAY($A1897,Settings!$C$9,HolidayDates))</f>
        <v>46233</v>
      </c>
      <c r="O1897" s="24">
        <f>IF($N1897="","",WORKDAY($N1897,Settings!$C$10,HolidayDates))</f>
        <v>46273</v>
      </c>
      <c r="P1897" s="10" t="s">
        <v>501</v>
      </c>
      <c r="Q1897" s="52" t="str">
        <f t="shared" si="328"/>
        <v>Collected</v>
      </c>
      <c r="R1897" s="55" t="str">
        <f t="shared" si="329"/>
        <v>2026-07</v>
      </c>
      <c r="S1897" s="55">
        <f>IF(OR($B1897="",$F1897="",$R1897=""),"",SUMIFS(tblIssues[Qty Issued],tblIssues[Staff ID],$B1897,tblIssues[Item Name],$F1897,tblIssues[Month],$R1897))</f>
        <v>50</v>
      </c>
      <c r="T1897" s="56">
        <f>IF($I1897="","",$I1897*Settings!$C$11)</f>
        <v>50</v>
      </c>
      <c r="U1897" s="57" t="str">
        <f t="shared" si="326"/>
        <v>OK</v>
      </c>
      <c r="V1897" s="55" t="str">
        <f t="shared" si="330"/>
        <v/>
      </c>
      <c r="W1897" s="55" t="str">
        <f>IF($V1897="","",IF(COUNTIF($V$5:$V1897,$V1897)=1,1,""))</f>
        <v/>
      </c>
      <c r="X1897" s="58" t="str">
        <f>IF($W1897="","",MAX($X$4:X1896)+1)</f>
        <v/>
      </c>
      <c r="Y1897" s="62"/>
      <c r="Z1897" s="62"/>
      <c r="AA1897" s="64" t="str">
        <f>IF($C1897="","",IFERROR(INDEX('Staff Directory'!$E$5:$E$594,MATCH($C1897,'Staff Directory'!$B$5:$B$594,0)),""))</f>
        <v>firstname138.lastname138@example.com</v>
      </c>
      <c r="AB1897" s="64" t="str">
        <f>IF($C1897="","",IF(ISNUMBER(SEARCH($D1897,Settings!$C$15)),"Pickup","Dispatch"))</f>
        <v>Pickup</v>
      </c>
      <c r="AC1897" s="64" t="str">
        <f t="shared" si="331"/>
        <v>Supply order ready for pickup</v>
      </c>
      <c r="AD1897" s="64" t="str">
        <f t="shared" si="322"/>
        <v>Dear PSW,
Your order is ready for pickup from Sample Branch, Wed-Fri 9am-4pm.</v>
      </c>
      <c r="AE1897" s="64" t="str">
        <f t="shared" si="323"/>
        <v>mailto:firstname138.lastname138@example.com?subject=Supply%20order%20ready%20for%20pickup&amp;body=Dear%20PSW%2C%0A%0AYour%20order%20is%20ready%20for%20pickup%20from%20Sample%20Branch%2C%20Wed-Fri%209am-4pm.</v>
      </c>
      <c r="AF1897" s="89" t="str">
        <f t="shared" si="332"/>
        <v>Draft email</v>
      </c>
      <c r="AG1897" s="64" t="str">
        <f>IF($C1897="","",IFERROR(INDEX('Staff Directory'!$K$595:$K$599,MATCH($C1897,'Staff Directory'!$B$5:$B$599,0)),$D1897))</f>
        <v>PSW</v>
      </c>
      <c r="AH1897" t="str">
        <f>IF($C1897="","",IFERROR(INDEX('Staff Directory'!$I$595:$I$599,MATCH($C1897,'Staff Directory'!$B$5:$B$599,0))&amp;" "&amp;INDEX('Staff Directory'!$J$595:$J$599,MATCH($C1897,'Staff Directory'!$B$5:$B$599,0)),$AG1897))</f>
        <v>PSW</v>
      </c>
      <c r="AI1897" s="102"/>
      <c r="AJ1897" s="101">
        <f>IF($F1897="","",SUMIFS($J$5:$J1897,$F$5:$F1897,$F1897))</f>
        <v>15500</v>
      </c>
      <c r="AK1897" s="101">
        <f t="shared" si="324"/>
        <v>15451</v>
      </c>
      <c r="AL1897" s="66" t="str" cm="1">
        <f t="array" ref="AL1897">IF($F1897="","",IFERROR(INDEX('Lot Balance'!$B$5:$B$500,MATCH(1,INDEX(('Lot Balance'!$A$5:$A$500=$F1897)*('Lot Balance'!$K$5:$K$500&lt;$AK1897)*('Lot Balance'!$K$5:$K$500+'Lot Balance'!$D$5:$D$500&gt;=$AK1897),0),0)),""))</f>
        <v>LV2-10040-3</v>
      </c>
      <c r="AM1897" s="66" t="str" cm="1">
        <f t="array" ref="AM1897">IF($F1897="","",IFERROR(INDEX('Lot Balance'!$B$5:$B$500,MATCH(1,INDEX(('Lot Balance'!$A$5:$A$500=$F1897)*('Lot Balance'!$K$5:$K$500&lt;$AJ1897)*('Lot Balance'!$K$5:$K$500+'Lot Balance'!$D$5:$D$500&gt;=$AJ1897),0),0)),""))</f>
        <v>LV2-10040-3</v>
      </c>
      <c r="AN1897" s="66" t="str">
        <f>IF($F1897="","",IF($AI1897&lt;&gt;"",IF(COUNTIFS('Lot Balance'!$A$5:$A$500,$F1897,'Lot Balance'!$B$5:$B$500,$AI1897)=0,"⚠ override is not a lot of this item",IF($AI1897=$AL1897,"Override = FEFO","Override - FEFO says "&amp;$AL1897)),IF($AL1897="","⚠ no receipt on file for this item",IF($AM1897&lt;&gt;$AL1897,"FEFO auto - split, also "&amp;$AM1897,"FEFO auto"))))</f>
        <v>FEFO auto</v>
      </c>
      <c r="AO1897" s="114"/>
    </row>
    <row r="1898" spans="1:41" x14ac:dyDescent="0.35">
      <c r="A1898" s="74">
        <v>46225</v>
      </c>
      <c r="B1898" s="18" t="str">
        <f>IF($C1898="","",IFERROR(INDEX('Staff Directory'!$A$5:$A$594,MATCH($C1898,'Staff Directory'!$B$5:$B$594,0)),"⚠ unknown staff"))</f>
        <v>PSW-139-A4</v>
      </c>
      <c r="C1898" s="49" t="s">
        <v>1118</v>
      </c>
      <c r="D1898" s="19" t="str">
        <f>IF($B1898="","",IFERROR(INDEX('Staff Directory'!$C$5:$C$594,MATCH($B1898,'Staff Directory'!$A$5:$A$594,0)),""))</f>
        <v>PSW</v>
      </c>
      <c r="E1898" s="19" t="str">
        <f>IF($B1898="","",IFERROR(INDEX('Staff Directory'!$D$5:$D$594,MATCH($B1898,'Staff Directory'!$A$5:$A$594,0)),""))</f>
        <v>A4</v>
      </c>
      <c r="F1898" s="9" t="s">
        <v>127</v>
      </c>
      <c r="G1898" s="18" t="str">
        <f>IF($F1898="","",IFERROR(INDEX(Items!$B$5:$B$597,MATCH($F1898,Items!$A$5:$A$597,0)),"⚠ not in Items"))</f>
        <v>Gloves</v>
      </c>
      <c r="H1898" s="19" t="str">
        <f>IF($F1898="","",IFERROR(INDEX(Items!$C$5:$C$597,MATCH($F1898,Items!$A$5:$A$597,0)),""))</f>
        <v>Medium</v>
      </c>
      <c r="I1898" s="23">
        <f>IF($F1898="","",IFERROR(INDEX(Items!$E$5:$E$597,MATCH($F1898,Items!$A$5:$A$597,0)),""))</f>
        <v>500</v>
      </c>
      <c r="J1898" s="115">
        <f>IF(tblIssues[[#This Row],[Qty Override]]&lt;&gt;"",tblIssues[[#This Row],[Qty Override]],IF(tblIssues[[#This Row],[Standard Issue]]="","",tblIssues[[#This Row],[Standard Issue]]))</f>
        <v>500</v>
      </c>
      <c r="K1898" s="20">
        <f>IF($F1898="","",IFERROR(INDEX(Items!$D$5:$D$597,MATCH($F1898,Items!$A$5:$A$597,0)),""))</f>
        <v>5.5E-2</v>
      </c>
      <c r="L1898" s="21">
        <f t="shared" si="327"/>
        <v>27.5</v>
      </c>
      <c r="M1898" s="9" t="str">
        <f t="shared" si="325"/>
        <v>ZIM6044151580</v>
      </c>
      <c r="N1898" s="24">
        <f>IF($A1898="","",WORKDAY($A1898,Settings!$C$9,HolidayDates))</f>
        <v>46233</v>
      </c>
      <c r="O1898" s="24">
        <f>IF($N1898="","",WORKDAY($N1898,Settings!$C$10,HolidayDates))</f>
        <v>46273</v>
      </c>
      <c r="P1898" s="10" t="s">
        <v>501</v>
      </c>
      <c r="Q1898" s="52" t="str">
        <f t="shared" si="328"/>
        <v>Collected</v>
      </c>
      <c r="R1898" s="55" t="str">
        <f t="shared" si="329"/>
        <v>2026-07</v>
      </c>
      <c r="S1898" s="55">
        <f>IF(OR($B1898="",$F1898="",$R1898=""),"",SUMIFS(tblIssues[Qty Issued],tblIssues[Staff ID],$B1898,tblIssues[Item Name],$F1898,tblIssues[Month],$R1898))</f>
        <v>500</v>
      </c>
      <c r="T1898" s="56">
        <f>IF($I1898="","",$I1898*Settings!$C$11)</f>
        <v>500</v>
      </c>
      <c r="U1898" s="57" t="str">
        <f t="shared" si="326"/>
        <v>OK</v>
      </c>
      <c r="V1898" s="55" t="str">
        <f t="shared" si="330"/>
        <v/>
      </c>
      <c r="W1898" s="55" t="str">
        <f>IF($V1898="","",IF(COUNTIF($V$5:$V1898,$V1898)=1,1,""))</f>
        <v/>
      </c>
      <c r="X1898" s="58" t="str">
        <f>IF($W1898="","",MAX($X$4:X1897)+1)</f>
        <v/>
      </c>
      <c r="Y1898" s="62"/>
      <c r="Z1898" s="62"/>
      <c r="AA1898" s="64" t="str">
        <f>IF($C1898="","",IFERROR(INDEX('Staff Directory'!$E$5:$E$594,MATCH($C1898,'Staff Directory'!$B$5:$B$594,0)),""))</f>
        <v>firstname202.lastname202@example.com</v>
      </c>
      <c r="AB1898" s="64" t="str">
        <f>IF($C1898="","",IF(ISNUMBER(SEARCH($D1898,Settings!$C$15)),"Pickup","Dispatch"))</f>
        <v>Pickup</v>
      </c>
      <c r="AC1898" s="64" t="str">
        <f t="shared" si="331"/>
        <v>Supply order ready for pickup</v>
      </c>
      <c r="AD1898" s="64" t="str">
        <f t="shared" si="322"/>
        <v>Dear PSW,
Your order is ready for pickup from Sample Branch, Wed-Fri 9am-4pm.</v>
      </c>
      <c r="AE1898" s="64" t="str">
        <f t="shared" si="323"/>
        <v>mailto:firstname202.lastname202@example.com?subject=Supply%20order%20ready%20for%20pickup&amp;body=Dear%20PSW%2C%0A%0AYour%20order%20is%20ready%20for%20pickup%20from%20Sample%20Branch%2C%20Wed-Fri%209am-4pm.</v>
      </c>
      <c r="AF1898" s="89" t="str">
        <f t="shared" si="332"/>
        <v>Draft email</v>
      </c>
      <c r="AG1898" s="64" t="str">
        <f>IF($C1898="","",IFERROR(INDEX('Staff Directory'!$K$595:$K$599,MATCH($C1898,'Staff Directory'!$B$5:$B$599,0)),$D1898))</f>
        <v>PSW</v>
      </c>
      <c r="AH1898" t="str">
        <f>IF($C1898="","",IFERROR(INDEX('Staff Directory'!$I$595:$I$599,MATCH($C1898,'Staff Directory'!$B$5:$B$599,0))&amp;" "&amp;INDEX('Staff Directory'!$J$595:$J$599,MATCH($C1898,'Staff Directory'!$B$5:$B$599,0)),$AG1898))</f>
        <v>PSW</v>
      </c>
      <c r="AI1898" s="102"/>
      <c r="AJ1898" s="101">
        <f>IF($F1898="","",SUMIFS($J$5:$J1898,$F$5:$F1898,$F1898))</f>
        <v>113500</v>
      </c>
      <c r="AK1898" s="101">
        <f t="shared" si="324"/>
        <v>113001</v>
      </c>
      <c r="AL1898" s="66" t="str" cm="1">
        <f t="array" ref="AL1898">IF($F1898="","",IFERROR(INDEX('Lot Balance'!$B$5:$B$500,MATCH(1,INDEX(('Lot Balance'!$A$5:$A$500=$F1898)*('Lot Balance'!$K$5:$K$500&lt;$AK1898)*('Lot Balance'!$K$5:$K$500+'Lot Balance'!$D$5:$D$500&gt;=$AK1898),0),0)),""))</f>
        <v>ZIM6044151580</v>
      </c>
      <c r="AM1898" s="66" t="str" cm="1">
        <f t="array" ref="AM1898">IF($F1898="","",IFERROR(INDEX('Lot Balance'!$B$5:$B$500,MATCH(1,INDEX(('Lot Balance'!$A$5:$A$500=$F1898)*('Lot Balance'!$K$5:$K$500&lt;$AJ1898)*('Lot Balance'!$K$5:$K$500+'Lot Balance'!$D$5:$D$500&gt;=$AJ1898),0),0)),""))</f>
        <v>ZIM6044151580</v>
      </c>
      <c r="AN1898" s="66" t="str">
        <f>IF($F1898="","",IF($AI1898&lt;&gt;"",IF(COUNTIFS('Lot Balance'!$A$5:$A$500,$F1898,'Lot Balance'!$B$5:$B$500,$AI1898)=0,"⚠ override is not a lot of this item",IF($AI1898=$AL1898,"Override = FEFO","Override - FEFO says "&amp;$AL1898)),IF($AL1898="","⚠ no receipt on file for this item",IF($AM1898&lt;&gt;$AL1898,"FEFO auto - split, also "&amp;$AM1898,"FEFO auto"))))</f>
        <v>FEFO auto</v>
      </c>
      <c r="AO1898" s="114"/>
    </row>
    <row r="1899" spans="1:41" x14ac:dyDescent="0.35">
      <c r="A1899" s="74">
        <v>46225</v>
      </c>
      <c r="B1899" s="18" t="str">
        <f>IF($C1899="","",IFERROR(INDEX('Staff Directory'!$A$5:$A$594,MATCH($C1899,'Staff Directory'!$B$5:$B$594,0)),"⚠ unknown staff"))</f>
        <v>PSW-139-A4</v>
      </c>
      <c r="C1899" s="49" t="s">
        <v>1118</v>
      </c>
      <c r="D1899" s="19" t="str">
        <f>IF($B1899="","",IFERROR(INDEX('Staff Directory'!$C$5:$C$594,MATCH($B1899,'Staff Directory'!$A$5:$A$594,0)),""))</f>
        <v>PSW</v>
      </c>
      <c r="E1899" s="19" t="str">
        <f>IF($B1899="","",IFERROR(INDEX('Staff Directory'!$D$5:$D$594,MATCH($B1899,'Staff Directory'!$A$5:$A$594,0)),""))</f>
        <v>A4</v>
      </c>
      <c r="F1899" s="9" t="s">
        <v>191</v>
      </c>
      <c r="G1899" s="18" t="str">
        <f>IF($F1899="","",IFERROR(INDEX(Items!$B$5:$B$597,MATCH($F1899,Items!$A$5:$A$597,0)),"⚠ not in Items"))</f>
        <v>Sanitizer</v>
      </c>
      <c r="H1899" s="19" t="str">
        <f>IF($F1899="","",IFERROR(INDEX(Items!$C$5:$C$597,MATCH($F1899,Items!$A$5:$A$597,0)),""))</f>
        <v>236 ML</v>
      </c>
      <c r="I1899" s="23">
        <f>IF($F1899="","",IFERROR(INDEX(Items!$E$5:$E$597,MATCH($F1899,Items!$A$5:$A$597,0)),""))</f>
        <v>1</v>
      </c>
      <c r="J1899" s="115">
        <f>IF(tblIssues[[#This Row],[Qty Override]]&lt;&gt;"",tblIssues[[#This Row],[Qty Override]],IF(tblIssues[[#This Row],[Standard Issue]]="","",tblIssues[[#This Row],[Standard Issue]]))</f>
        <v>1</v>
      </c>
      <c r="K1899" s="20">
        <f>IF($F1899="","",IFERROR(INDEX(Items!$D$5:$D$597,MATCH($F1899,Items!$A$5:$A$597,0)),""))</f>
        <v>1E-4</v>
      </c>
      <c r="L1899" s="21">
        <f t="shared" si="327"/>
        <v>1E-4</v>
      </c>
      <c r="M1899" s="9" t="str">
        <f t="shared" si="325"/>
        <v>20-21734-6</v>
      </c>
      <c r="N1899" s="24">
        <f>IF($A1899="","",WORKDAY($A1899,Settings!$C$9,HolidayDates))</f>
        <v>46233</v>
      </c>
      <c r="O1899" s="24">
        <f>IF($N1899="","",WORKDAY($N1899,Settings!$C$10,HolidayDates))</f>
        <v>46273</v>
      </c>
      <c r="P1899" s="10" t="s">
        <v>501</v>
      </c>
      <c r="Q1899" s="52" t="str">
        <f t="shared" si="328"/>
        <v>Collected</v>
      </c>
      <c r="R1899" s="55" t="str">
        <f t="shared" si="329"/>
        <v>2026-07</v>
      </c>
      <c r="S1899" s="55">
        <f>IF(OR($B1899="",$F1899="",$R1899=""),"",SUMIFS(tblIssues[Qty Issued],tblIssues[Staff ID],$B1899,tblIssues[Item Name],$F1899,tblIssues[Month],$R1899))</f>
        <v>1</v>
      </c>
      <c r="T1899" s="56">
        <f>IF($I1899="","",$I1899*Settings!$C$11)</f>
        <v>1</v>
      </c>
      <c r="U1899" s="57" t="str">
        <f t="shared" si="326"/>
        <v>OK</v>
      </c>
      <c r="V1899" s="55" t="str">
        <f t="shared" si="330"/>
        <v/>
      </c>
      <c r="W1899" s="55" t="str">
        <f>IF($V1899="","",IF(COUNTIF($V$5:$V1899,$V1899)=1,1,""))</f>
        <v/>
      </c>
      <c r="X1899" s="58" t="str">
        <f>IF($W1899="","",MAX($X$4:X1898)+1)</f>
        <v/>
      </c>
      <c r="Y1899" s="62"/>
      <c r="Z1899" s="62"/>
      <c r="AA1899" s="64" t="str">
        <f>IF($C1899="","",IFERROR(INDEX('Staff Directory'!$E$5:$E$594,MATCH($C1899,'Staff Directory'!$B$5:$B$594,0)),""))</f>
        <v>firstname202.lastname202@example.com</v>
      </c>
      <c r="AB1899" s="64" t="str">
        <f>IF($C1899="","",IF(ISNUMBER(SEARCH($D1899,Settings!$C$15)),"Pickup","Dispatch"))</f>
        <v>Pickup</v>
      </c>
      <c r="AC1899" s="64" t="str">
        <f t="shared" si="331"/>
        <v>Supply order ready for pickup</v>
      </c>
      <c r="AD1899" s="64" t="str">
        <f t="shared" si="322"/>
        <v>Dear PSW,
Your order is ready for pickup from Sample Branch, Wed-Fri 9am-4pm.</v>
      </c>
      <c r="AE1899" s="64" t="str">
        <f t="shared" si="323"/>
        <v>mailto:firstname202.lastname202@example.com?subject=Supply%20order%20ready%20for%20pickup&amp;body=Dear%20PSW%2C%0A%0AYour%20order%20is%20ready%20for%20pickup%20from%20Sample%20Branch%2C%20Wed-Fri%209am-4pm.</v>
      </c>
      <c r="AF1899" s="89" t="str">
        <f t="shared" si="332"/>
        <v>Draft email</v>
      </c>
      <c r="AG1899" s="64" t="str">
        <f>IF($C1899="","",IFERROR(INDEX('Staff Directory'!$K$595:$K$599,MATCH($C1899,'Staff Directory'!$B$5:$B$599,0)),$D1899))</f>
        <v>PSW</v>
      </c>
      <c r="AH1899" t="str">
        <f>IF($C1899="","",IFERROR(INDEX('Staff Directory'!$I$595:$I$599,MATCH($C1899,'Staff Directory'!$B$5:$B$599,0))&amp;" "&amp;INDEX('Staff Directory'!$J$595:$J$599,MATCH($C1899,'Staff Directory'!$B$5:$B$599,0)),$AG1899))</f>
        <v>PSW</v>
      </c>
      <c r="AI1899" s="102"/>
      <c r="AJ1899" s="101">
        <f>IF($F1899="","",SUMIFS($J$5:$J1899,$F$5:$F1899,$F1899))</f>
        <v>259</v>
      </c>
      <c r="AK1899" s="101">
        <f t="shared" si="324"/>
        <v>259</v>
      </c>
      <c r="AL1899" s="66" t="str" cm="1">
        <f t="array" ref="AL1899">IF($F1899="","",IFERROR(INDEX('Lot Balance'!$B$5:$B$500,MATCH(1,INDEX(('Lot Balance'!$A$5:$A$500=$F1899)*('Lot Balance'!$K$5:$K$500&lt;$AK1899)*('Lot Balance'!$K$5:$K$500+'Lot Balance'!$D$5:$D$500&gt;=$AK1899),0),0)),""))</f>
        <v>20-21734-6</v>
      </c>
      <c r="AM1899" s="66" t="str" cm="1">
        <f t="array" ref="AM1899">IF($F1899="","",IFERROR(INDEX('Lot Balance'!$B$5:$B$500,MATCH(1,INDEX(('Lot Balance'!$A$5:$A$500=$F1899)*('Lot Balance'!$K$5:$K$500&lt;$AJ1899)*('Lot Balance'!$K$5:$K$500+'Lot Balance'!$D$5:$D$500&gt;=$AJ1899),0),0)),""))</f>
        <v>20-21734-6</v>
      </c>
      <c r="AN1899" s="66" t="str">
        <f>IF($F1899="","",IF($AI1899&lt;&gt;"",IF(COUNTIFS('Lot Balance'!$A$5:$A$500,$F1899,'Lot Balance'!$B$5:$B$500,$AI1899)=0,"⚠ override is not a lot of this item",IF($AI1899=$AL1899,"Override = FEFO","Override - FEFO says "&amp;$AL1899)),IF($AL1899="","⚠ no receipt on file for this item",IF($AM1899&lt;&gt;$AL1899,"FEFO auto - split, also "&amp;$AM1899,"FEFO auto"))))</f>
        <v>FEFO auto</v>
      </c>
      <c r="AO1899" s="114"/>
    </row>
    <row r="1900" spans="1:41" x14ac:dyDescent="0.35">
      <c r="A1900" s="74">
        <v>46225</v>
      </c>
      <c r="B1900" s="18" t="str">
        <f>IF($C1900="","",IFERROR(INDEX('Staff Directory'!$A$5:$A$594,MATCH($C1900,'Staff Directory'!$B$5:$B$594,0)),"⚠ unknown staff"))</f>
        <v>PSW-139-A4</v>
      </c>
      <c r="C1900" s="49" t="s">
        <v>1118</v>
      </c>
      <c r="D1900" s="19" t="str">
        <f>IF($B1900="","",IFERROR(INDEX('Staff Directory'!$C$5:$C$594,MATCH($B1900,'Staff Directory'!$A$5:$A$594,0)),""))</f>
        <v>PSW</v>
      </c>
      <c r="E1900" s="19" t="str">
        <f>IF($B1900="","",IFERROR(INDEX('Staff Directory'!$D$5:$D$594,MATCH($B1900,'Staff Directory'!$A$5:$A$594,0)),""))</f>
        <v>A4</v>
      </c>
      <c r="F1900" s="9" t="s">
        <v>115</v>
      </c>
      <c r="G1900" s="18" t="str">
        <f>IF($F1900="","",IFERROR(INDEX(Items!$B$5:$B$597,MATCH($F1900,Items!$A$5:$A$597,0)),"⚠ not in Items"))</f>
        <v>Wipes</v>
      </c>
      <c r="H1900" s="19">
        <f>IF($F1900="","",IFERROR(INDEX(Items!$C$5:$C$597,MATCH($F1900,Items!$A$5:$A$597,0)),""))</f>
        <v>80</v>
      </c>
      <c r="I1900" s="23">
        <f>IF($F1900="","",IFERROR(INDEX(Items!$E$5:$E$597,MATCH($F1900,Items!$A$5:$A$597,0)),""))</f>
        <v>80</v>
      </c>
      <c r="J1900" s="115">
        <f>IF(tblIssues[[#This Row],[Qty Override]]&lt;&gt;"",tblIssues[[#This Row],[Qty Override]],IF(tblIssues[[#This Row],[Standard Issue]]="","",tblIssues[[#This Row],[Standard Issue]]))</f>
        <v>80</v>
      </c>
      <c r="K1900" s="20">
        <f>IF($F1900="","",IFERROR(INDEX(Items!$D$5:$D$597,MATCH($F1900,Items!$A$5:$A$597,0)),""))</f>
        <v>0.1</v>
      </c>
      <c r="L1900" s="21">
        <f t="shared" si="327"/>
        <v>8</v>
      </c>
      <c r="M1900" s="9" t="str">
        <f t="shared" si="325"/>
        <v>LYSL500290</v>
      </c>
      <c r="N1900" s="24">
        <f>IF($A1900="","",WORKDAY($A1900,Settings!$C$9,HolidayDates))</f>
        <v>46233</v>
      </c>
      <c r="O1900" s="24">
        <f>IF($N1900="","",WORKDAY($N1900,Settings!$C$10,HolidayDates))</f>
        <v>46273</v>
      </c>
      <c r="P1900" s="10" t="s">
        <v>501</v>
      </c>
      <c r="Q1900" s="52" t="str">
        <f t="shared" si="328"/>
        <v>Collected</v>
      </c>
      <c r="R1900" s="55" t="str">
        <f t="shared" si="329"/>
        <v>2026-07</v>
      </c>
      <c r="S1900" s="55">
        <f>IF(OR($B1900="",$F1900="",$R1900=""),"",SUMIFS(tblIssues[Qty Issued],tblIssues[Staff ID],$B1900,tblIssues[Item Name],$F1900,tblIssues[Month],$R1900))</f>
        <v>80</v>
      </c>
      <c r="T1900" s="56">
        <f>IF($I1900="","",$I1900*Settings!$C$11)</f>
        <v>80</v>
      </c>
      <c r="U1900" s="57" t="str">
        <f t="shared" si="326"/>
        <v>OK</v>
      </c>
      <c r="V1900" s="55" t="str">
        <f t="shared" si="330"/>
        <v/>
      </c>
      <c r="W1900" s="55" t="str">
        <f>IF($V1900="","",IF(COUNTIF($V$5:$V1900,$V1900)=1,1,""))</f>
        <v/>
      </c>
      <c r="X1900" s="58" t="str">
        <f>IF($W1900="","",MAX($X$4:X1899)+1)</f>
        <v/>
      </c>
      <c r="Y1900" s="62"/>
      <c r="Z1900" s="62"/>
      <c r="AA1900" s="64" t="str">
        <f>IF($C1900="","",IFERROR(INDEX('Staff Directory'!$E$5:$E$594,MATCH($C1900,'Staff Directory'!$B$5:$B$594,0)),""))</f>
        <v>firstname202.lastname202@example.com</v>
      </c>
      <c r="AB1900" s="64" t="str">
        <f>IF($C1900="","",IF(ISNUMBER(SEARCH($D1900,Settings!$C$15)),"Pickup","Dispatch"))</f>
        <v>Pickup</v>
      </c>
      <c r="AC1900" s="64" t="str">
        <f t="shared" si="331"/>
        <v>Supply order ready for pickup</v>
      </c>
      <c r="AD1900" s="64" t="str">
        <f t="shared" si="322"/>
        <v>Dear PSW,
Your order is ready for pickup from Sample Branch, Wed-Fri 9am-4pm.</v>
      </c>
      <c r="AE1900" s="64" t="str">
        <f t="shared" si="323"/>
        <v>mailto:firstname202.lastname202@example.com?subject=Supply%20order%20ready%20for%20pickup&amp;body=Dear%20PSW%2C%0A%0AYour%20order%20is%20ready%20for%20pickup%20from%20Sample%20Branch%2C%20Wed-Fri%209am-4pm.</v>
      </c>
      <c r="AF1900" s="89" t="str">
        <f t="shared" si="332"/>
        <v>Draft email</v>
      </c>
      <c r="AG1900" s="64" t="str">
        <f>IF($C1900="","",IFERROR(INDEX('Staff Directory'!$K$595:$K$599,MATCH($C1900,'Staff Directory'!$B$5:$B$599,0)),$D1900))</f>
        <v>PSW</v>
      </c>
      <c r="AH1900" t="str">
        <f>IF($C1900="","",IFERROR(INDEX('Staff Directory'!$I$595:$I$599,MATCH($C1900,'Staff Directory'!$B$5:$B$599,0))&amp;" "&amp;INDEX('Staff Directory'!$J$595:$J$599,MATCH($C1900,'Staff Directory'!$B$5:$B$599,0)),$AG1900))</f>
        <v>PSW</v>
      </c>
      <c r="AI1900" s="102"/>
      <c r="AJ1900" s="101">
        <f>IF($F1900="","",SUMIFS($J$5:$J1900,$F$5:$F1900,$F1900))</f>
        <v>25280</v>
      </c>
      <c r="AK1900" s="101">
        <f t="shared" si="324"/>
        <v>25201</v>
      </c>
      <c r="AL1900" s="66" t="str" cm="1">
        <f t="array" ref="AL1900">IF($F1900="","",IFERROR(INDEX('Lot Balance'!$B$5:$B$500,MATCH(1,INDEX(('Lot Balance'!$A$5:$A$500=$F1900)*('Lot Balance'!$K$5:$K$500&lt;$AK1900)*('Lot Balance'!$K$5:$K$500+'Lot Balance'!$D$5:$D$500&gt;=$AK1900),0),0)),""))</f>
        <v>LYSL500290</v>
      </c>
      <c r="AM1900" s="66" t="str" cm="1">
        <f t="array" ref="AM1900">IF($F1900="","",IFERROR(INDEX('Lot Balance'!$B$5:$B$500,MATCH(1,INDEX(('Lot Balance'!$A$5:$A$500=$F1900)*('Lot Balance'!$K$5:$K$500&lt;$AJ1900)*('Lot Balance'!$K$5:$K$500+'Lot Balance'!$D$5:$D$500&gt;=$AJ1900),0),0)),""))</f>
        <v>LYSL500290</v>
      </c>
      <c r="AN1900" s="66" t="str">
        <f>IF($F1900="","",IF($AI1900&lt;&gt;"",IF(COUNTIFS('Lot Balance'!$A$5:$A$500,$F1900,'Lot Balance'!$B$5:$B$500,$AI1900)=0,"⚠ override is not a lot of this item",IF($AI1900=$AL1900,"Override = FEFO","Override - FEFO says "&amp;$AL1900)),IF($AL1900="","⚠ no receipt on file for this item",IF($AM1900&lt;&gt;$AL1900,"FEFO auto - split, also "&amp;$AM1900,"FEFO auto"))))</f>
        <v>FEFO auto</v>
      </c>
      <c r="AO1900" s="114"/>
    </row>
    <row r="1901" spans="1:41" x14ac:dyDescent="0.35">
      <c r="A1901" s="74">
        <v>46225</v>
      </c>
      <c r="B1901" s="18" t="str">
        <f>IF($C1901="","",IFERROR(INDEX('Staff Directory'!$A$5:$A$594,MATCH($C1901,'Staff Directory'!$B$5:$B$594,0)),"⚠ unknown staff"))</f>
        <v>PSW-139-A4</v>
      </c>
      <c r="C1901" s="49" t="s">
        <v>1118</v>
      </c>
      <c r="D1901" s="19" t="str">
        <f>IF($B1901="","",IFERROR(INDEX('Staff Directory'!$C$5:$C$594,MATCH($B1901,'Staff Directory'!$A$5:$A$594,0)),""))</f>
        <v>PSW</v>
      </c>
      <c r="E1901" s="19" t="str">
        <f>IF($B1901="","",IFERROR(INDEX('Staff Directory'!$D$5:$D$594,MATCH($B1901,'Staff Directory'!$A$5:$A$594,0)),""))</f>
        <v>A4</v>
      </c>
      <c r="F1901" s="9" t="s">
        <v>156</v>
      </c>
      <c r="G1901" s="18" t="str">
        <f>IF($F1901="","",IFERROR(INDEX(Items!$B$5:$B$597,MATCH($F1901,Items!$A$5:$A$597,0)),"⚠ not in Items"))</f>
        <v>Masks</v>
      </c>
      <c r="H1901" s="19" t="str">
        <f>IF($F1901="","",IFERROR(INDEX(Items!$C$5:$C$597,MATCH($F1901,Items!$A$5:$A$597,0)),""))</f>
        <v>One Size</v>
      </c>
      <c r="I1901" s="23">
        <f>IF($F1901="","",IFERROR(INDEX(Items!$E$5:$E$597,MATCH($F1901,Items!$A$5:$A$597,0)),""))</f>
        <v>50</v>
      </c>
      <c r="J1901" s="115">
        <f>IF(tblIssues[[#This Row],[Qty Override]]&lt;&gt;"",tblIssues[[#This Row],[Qty Override]],IF(tblIssues[[#This Row],[Standard Issue]]="","",tblIssues[[#This Row],[Standard Issue]]))</f>
        <v>50</v>
      </c>
      <c r="K1901" s="20">
        <f>IF($F1901="","",IFERROR(INDEX(Items!$D$5:$D$597,MATCH($F1901,Items!$A$5:$A$597,0)),""))</f>
        <v>0.25</v>
      </c>
      <c r="L1901" s="21">
        <f t="shared" si="327"/>
        <v>12.5</v>
      </c>
      <c r="M1901" s="9" t="str">
        <f t="shared" si="325"/>
        <v>LV2-10040-3</v>
      </c>
      <c r="N1901" s="24">
        <f>IF($A1901="","",WORKDAY($A1901,Settings!$C$9,HolidayDates))</f>
        <v>46233</v>
      </c>
      <c r="O1901" s="24">
        <f>IF($N1901="","",WORKDAY($N1901,Settings!$C$10,HolidayDates))</f>
        <v>46273</v>
      </c>
      <c r="P1901" s="10" t="s">
        <v>501</v>
      </c>
      <c r="Q1901" s="52" t="str">
        <f t="shared" si="328"/>
        <v>Collected</v>
      </c>
      <c r="R1901" s="55" t="str">
        <f t="shared" si="329"/>
        <v>2026-07</v>
      </c>
      <c r="S1901" s="55">
        <f>IF(OR($B1901="",$F1901="",$R1901=""),"",SUMIFS(tblIssues[Qty Issued],tblIssues[Staff ID],$B1901,tblIssues[Item Name],$F1901,tblIssues[Month],$R1901))</f>
        <v>50</v>
      </c>
      <c r="T1901" s="56">
        <f>IF($I1901="","",$I1901*Settings!$C$11)</f>
        <v>50</v>
      </c>
      <c r="U1901" s="57" t="str">
        <f t="shared" si="326"/>
        <v>OK</v>
      </c>
      <c r="V1901" s="55" t="str">
        <f t="shared" si="330"/>
        <v/>
      </c>
      <c r="W1901" s="55" t="str">
        <f>IF($V1901="","",IF(COUNTIF($V$5:$V1901,$V1901)=1,1,""))</f>
        <v/>
      </c>
      <c r="X1901" s="58" t="str">
        <f>IF($W1901="","",MAX($X$4:X1900)+1)</f>
        <v/>
      </c>
      <c r="Y1901" s="62"/>
      <c r="Z1901" s="62"/>
      <c r="AA1901" s="64" t="str">
        <f>IF($C1901="","",IFERROR(INDEX('Staff Directory'!$E$5:$E$594,MATCH($C1901,'Staff Directory'!$B$5:$B$594,0)),""))</f>
        <v>firstname202.lastname202@example.com</v>
      </c>
      <c r="AB1901" s="64" t="str">
        <f>IF($C1901="","",IF(ISNUMBER(SEARCH($D1901,Settings!$C$15)),"Pickup","Dispatch"))</f>
        <v>Pickup</v>
      </c>
      <c r="AC1901" s="64" t="str">
        <f t="shared" si="331"/>
        <v>Supply order ready for pickup</v>
      </c>
      <c r="AD1901" s="64" t="str">
        <f t="shared" si="322"/>
        <v>Dear PSW,
Your order is ready for pickup from Sample Branch, Wed-Fri 9am-4pm.</v>
      </c>
      <c r="AE1901" s="64" t="str">
        <f t="shared" si="323"/>
        <v>mailto:firstname202.lastname202@example.com?subject=Supply%20order%20ready%20for%20pickup&amp;body=Dear%20PSW%2C%0A%0AYour%20order%20is%20ready%20for%20pickup%20from%20Sample%20Branch%2C%20Wed-Fri%209am-4pm.</v>
      </c>
      <c r="AF1901" s="89" t="str">
        <f t="shared" si="332"/>
        <v>Draft email</v>
      </c>
      <c r="AG1901" s="64" t="str">
        <f>IF($C1901="","",IFERROR(INDEX('Staff Directory'!$K$595:$K$599,MATCH($C1901,'Staff Directory'!$B$5:$B$599,0)),$D1901))</f>
        <v>PSW</v>
      </c>
      <c r="AH1901" t="str">
        <f>IF($C1901="","",IFERROR(INDEX('Staff Directory'!$I$595:$I$599,MATCH($C1901,'Staff Directory'!$B$5:$B$599,0))&amp;" "&amp;INDEX('Staff Directory'!$J$595:$J$599,MATCH($C1901,'Staff Directory'!$B$5:$B$599,0)),$AG1901))</f>
        <v>PSW</v>
      </c>
      <c r="AI1901" s="102"/>
      <c r="AJ1901" s="101">
        <f>IF($F1901="","",SUMIFS($J$5:$J1901,$F$5:$F1901,$F1901))</f>
        <v>15550</v>
      </c>
      <c r="AK1901" s="101">
        <f t="shared" si="324"/>
        <v>15501</v>
      </c>
      <c r="AL1901" s="66" t="str" cm="1">
        <f t="array" ref="AL1901">IF($F1901="","",IFERROR(INDEX('Lot Balance'!$B$5:$B$500,MATCH(1,INDEX(('Lot Balance'!$A$5:$A$500=$F1901)*('Lot Balance'!$K$5:$K$500&lt;$AK1901)*('Lot Balance'!$K$5:$K$500+'Lot Balance'!$D$5:$D$500&gt;=$AK1901),0),0)),""))</f>
        <v>LV2-10040-3</v>
      </c>
      <c r="AM1901" s="66" t="str" cm="1">
        <f t="array" ref="AM1901">IF($F1901="","",IFERROR(INDEX('Lot Balance'!$B$5:$B$500,MATCH(1,INDEX(('Lot Balance'!$A$5:$A$500=$F1901)*('Lot Balance'!$K$5:$K$500&lt;$AJ1901)*('Lot Balance'!$K$5:$K$500+'Lot Balance'!$D$5:$D$500&gt;=$AJ1901),0),0)),""))</f>
        <v>LV2-10040-3</v>
      </c>
      <c r="AN1901" s="66" t="str">
        <f>IF($F1901="","",IF($AI1901&lt;&gt;"",IF(COUNTIFS('Lot Balance'!$A$5:$A$500,$F1901,'Lot Balance'!$B$5:$B$500,$AI1901)=0,"⚠ override is not a lot of this item",IF($AI1901=$AL1901,"Override = FEFO","Override - FEFO says "&amp;$AL1901)),IF($AL1901="","⚠ no receipt on file for this item",IF($AM1901&lt;&gt;$AL1901,"FEFO auto - split, also "&amp;$AM1901,"FEFO auto"))))</f>
        <v>FEFO auto</v>
      </c>
      <c r="AO1901" s="114"/>
    </row>
    <row r="1902" spans="1:41" x14ac:dyDescent="0.35">
      <c r="A1902" s="74">
        <v>46225</v>
      </c>
      <c r="B1902" s="18" t="str">
        <f>IF($C1902="","",IFERROR(INDEX('Staff Directory'!$A$5:$A$594,MATCH($C1902,'Staff Directory'!$B$5:$B$594,0)),"⚠ unknown staff"))</f>
        <v>PSW-139-A4</v>
      </c>
      <c r="C1902" s="49" t="s">
        <v>1118</v>
      </c>
      <c r="D1902" s="19" t="str">
        <f>IF($B1902="","",IFERROR(INDEX('Staff Directory'!$C$5:$C$594,MATCH($B1902,'Staff Directory'!$A$5:$A$594,0)),""))</f>
        <v>PSW</v>
      </c>
      <c r="E1902" s="19" t="str">
        <f>IF($B1902="","",IFERROR(INDEX('Staff Directory'!$D$5:$D$594,MATCH($B1902,'Staff Directory'!$A$5:$A$594,0)),""))</f>
        <v>A4</v>
      </c>
      <c r="F1902" s="9" t="s">
        <v>758</v>
      </c>
      <c r="G1902" s="18" t="str">
        <f>IF($F1902="","",IFERROR(INDEX(Items!$B$5:$B$597,MATCH($F1902,Items!$A$5:$A$597,0)),"⚠ not in Items"))</f>
        <v>Utility</v>
      </c>
      <c r="H1902" s="19" t="str">
        <f>IF($F1902="","",IFERROR(INDEX(Items!$C$5:$C$597,MATCH($F1902,Items!$A$5:$A$597,0)),""))</f>
        <v>Standard</v>
      </c>
      <c r="I1902" s="23">
        <f>IF($F1902="","",IFERROR(INDEX(Items!$E$5:$E$597,MATCH($F1902,Items!$A$5:$A$597,0)),""))</f>
        <v>1</v>
      </c>
      <c r="J1902" s="115">
        <f>IF(tblIssues[[#This Row],[Qty Override]]&lt;&gt;"",tblIssues[[#This Row],[Qty Override]],IF(tblIssues[[#This Row],[Standard Issue]]="","",tblIssues[[#This Row],[Standard Issue]]))</f>
        <v>1</v>
      </c>
      <c r="K1902" s="20">
        <f>IF($F1902="","",IFERROR(INDEX(Items!$D$5:$D$597,MATCH($F1902,Items!$A$5:$A$597,0)),""))</f>
        <v>0</v>
      </c>
      <c r="L1902" s="21">
        <f t="shared" si="327"/>
        <v>0</v>
      </c>
      <c r="M1902" s="9" t="str">
        <f t="shared" si="325"/>
        <v/>
      </c>
      <c r="N1902" s="24">
        <f>IF($A1902="","",WORKDAY($A1902,Settings!$C$9,HolidayDates))</f>
        <v>46233</v>
      </c>
      <c r="O1902" s="24">
        <f>IF($N1902="","",WORKDAY($N1902,Settings!$C$10,HolidayDates))</f>
        <v>46273</v>
      </c>
      <c r="P1902" s="10" t="s">
        <v>501</v>
      </c>
      <c r="Q1902" s="52" t="str">
        <f t="shared" si="328"/>
        <v>Collected</v>
      </c>
      <c r="R1902" s="55" t="str">
        <f t="shared" si="329"/>
        <v>2026-07</v>
      </c>
      <c r="S1902" s="55">
        <f>IF(OR($B1902="",$F1902="",$R1902=""),"",SUMIFS(tblIssues[Qty Issued],tblIssues[Staff ID],$B1902,tblIssues[Item Name],$F1902,tblIssues[Month],$R1902))</f>
        <v>1</v>
      </c>
      <c r="T1902" s="56">
        <f>IF($I1902="","",$I1902*Settings!$C$11)</f>
        <v>1</v>
      </c>
      <c r="U1902" s="57" t="str">
        <f t="shared" si="326"/>
        <v>OK</v>
      </c>
      <c r="V1902" s="55" t="str">
        <f t="shared" si="330"/>
        <v/>
      </c>
      <c r="W1902" s="55" t="str">
        <f>IF($V1902="","",IF(COUNTIF($V$5:$V1902,$V1902)=1,1,""))</f>
        <v/>
      </c>
      <c r="X1902" s="58" t="str">
        <f>IF($W1902="","",MAX($X$4:X1901)+1)</f>
        <v/>
      </c>
      <c r="Y1902" s="62"/>
      <c r="Z1902" s="62"/>
      <c r="AA1902" s="64" t="str">
        <f>IF($C1902="","",IFERROR(INDEX('Staff Directory'!$E$5:$E$594,MATCH($C1902,'Staff Directory'!$B$5:$B$594,0)),""))</f>
        <v>firstname202.lastname202@example.com</v>
      </c>
      <c r="AB1902" s="64" t="str">
        <f>IF($C1902="","",IF(ISNUMBER(SEARCH($D1902,Settings!$C$15)),"Pickup","Dispatch"))</f>
        <v>Pickup</v>
      </c>
      <c r="AC1902" s="64" t="str">
        <f t="shared" si="331"/>
        <v>Supply order ready for pickup</v>
      </c>
      <c r="AD1902" s="64" t="str">
        <f t="shared" si="322"/>
        <v>Dear PSW,
Your order is ready for pickup from Sample Branch, Wed-Fri 9am-4pm.</v>
      </c>
      <c r="AE1902" s="64" t="str">
        <f t="shared" si="323"/>
        <v>mailto:firstname202.lastname202@example.com?subject=Supply%20order%20ready%20for%20pickup&amp;body=Dear%20PSW%2C%0A%0AYour%20order%20is%20ready%20for%20pickup%20from%20Sample%20Branch%2C%20Wed-Fri%209am-4pm.</v>
      </c>
      <c r="AF1902" s="89" t="str">
        <f t="shared" si="332"/>
        <v>Draft email</v>
      </c>
      <c r="AG1902" s="64" t="str">
        <f>IF($C1902="","",IFERROR(INDEX('Staff Directory'!$K$595:$K$599,MATCH($C1902,'Staff Directory'!$B$5:$B$599,0)),$D1902))</f>
        <v>PSW</v>
      </c>
      <c r="AH1902" t="str">
        <f>IF($C1902="","",IFERROR(INDEX('Staff Directory'!$I$595:$I$599,MATCH($C1902,'Staff Directory'!$B$5:$B$599,0))&amp;" "&amp;INDEX('Staff Directory'!$J$595:$J$599,MATCH($C1902,'Staff Directory'!$B$5:$B$599,0)),$AG1902))</f>
        <v>PSW</v>
      </c>
      <c r="AI1902" s="102"/>
      <c r="AJ1902" s="101">
        <f>IF($F1902="","",SUMIFS($J$5:$J1902,$F$5:$F1902,$F1902))</f>
        <v>83</v>
      </c>
      <c r="AK1902" s="101">
        <f t="shared" si="324"/>
        <v>83</v>
      </c>
      <c r="AL1902" s="66" t="str" cm="1">
        <f t="array" ref="AL1902">IF($F1902="","",IFERROR(INDEX('Lot Balance'!$B$5:$B$500,MATCH(1,INDEX(('Lot Balance'!$A$5:$A$500=$F1902)*('Lot Balance'!$K$5:$K$500&lt;$AK1902)*('Lot Balance'!$K$5:$K$500+'Lot Balance'!$D$5:$D$500&gt;=$AK1902),0),0)),""))</f>
        <v/>
      </c>
      <c r="AM1902" s="66" t="str" cm="1">
        <f t="array" ref="AM1902">IF($F1902="","",IFERROR(INDEX('Lot Balance'!$B$5:$B$500,MATCH(1,INDEX(('Lot Balance'!$A$5:$A$500=$F1902)*('Lot Balance'!$K$5:$K$500&lt;$AJ1902)*('Lot Balance'!$K$5:$K$500+'Lot Balance'!$D$5:$D$500&gt;=$AJ1902),0),0)),""))</f>
        <v/>
      </c>
      <c r="AN1902" s="66" t="str">
        <f>IF($F1902="","",IF($AI1902&lt;&gt;"",IF(COUNTIFS('Lot Balance'!$A$5:$A$500,$F1902,'Lot Balance'!$B$5:$B$500,$AI1902)=0,"⚠ override is not a lot of this item",IF($AI1902=$AL1902,"Override = FEFO","Override - FEFO says "&amp;$AL1902)),IF($AL1902="","⚠ no receipt on file for this item",IF($AM1902&lt;&gt;$AL1902,"FEFO auto - split, also "&amp;$AM1902,"FEFO auto"))))</f>
        <v>⚠ no receipt on file for this item</v>
      </c>
      <c r="AO1902" s="114"/>
    </row>
    <row r="1903" spans="1:41" x14ac:dyDescent="0.35">
      <c r="A1903" s="74">
        <v>46225</v>
      </c>
      <c r="B1903" s="18" t="str">
        <f>IF($C1903="","",IFERROR(INDEX('Staff Directory'!$A$5:$A$594,MATCH($C1903,'Staff Directory'!$B$5:$B$594,0)),"⚠ unknown staff"))</f>
        <v>RN-050-A1</v>
      </c>
      <c r="C1903" s="49" t="s">
        <v>975</v>
      </c>
      <c r="D1903" s="19" t="str">
        <f>IF($B1903="","",IFERROR(INDEX('Staff Directory'!$C$5:$C$594,MATCH($B1903,'Staff Directory'!$A$5:$A$594,0)),""))</f>
        <v>RN</v>
      </c>
      <c r="E1903" s="19" t="str">
        <f>IF($B1903="","",IFERROR(INDEX('Staff Directory'!$D$5:$D$594,MATCH($B1903,'Staff Directory'!$A$5:$A$594,0)),""))</f>
        <v>A1</v>
      </c>
      <c r="F1903" s="9" t="s">
        <v>127</v>
      </c>
      <c r="G1903" s="18" t="str">
        <f>IF($F1903="","",IFERROR(INDEX(Items!$B$5:$B$597,MATCH($F1903,Items!$A$5:$A$597,0)),"⚠ not in Items"))</f>
        <v>Gloves</v>
      </c>
      <c r="H1903" s="19" t="str">
        <f>IF($F1903="","",IFERROR(INDEX(Items!$C$5:$C$597,MATCH($F1903,Items!$A$5:$A$597,0)),""))</f>
        <v>Medium</v>
      </c>
      <c r="I1903" s="23">
        <f>IF($F1903="","",IFERROR(INDEX(Items!$E$5:$E$597,MATCH($F1903,Items!$A$5:$A$597,0)),""))</f>
        <v>500</v>
      </c>
      <c r="J1903" s="115">
        <f>IF(tblIssues[[#This Row],[Qty Override]]&lt;&gt;"",tblIssues[[#This Row],[Qty Override]],IF(tblIssues[[#This Row],[Standard Issue]]="","",tblIssues[[#This Row],[Standard Issue]]))</f>
        <v>500</v>
      </c>
      <c r="K1903" s="20">
        <f>IF($F1903="","",IFERROR(INDEX(Items!$D$5:$D$597,MATCH($F1903,Items!$A$5:$A$597,0)),""))</f>
        <v>5.5E-2</v>
      </c>
      <c r="L1903" s="21">
        <f t="shared" si="327"/>
        <v>27.5</v>
      </c>
      <c r="M1903" s="9" t="str">
        <f t="shared" si="325"/>
        <v>ZIM6044151580</v>
      </c>
      <c r="N1903" s="24">
        <f>IF($A1903="","",WORKDAY($A1903,Settings!$C$9,HolidayDates))</f>
        <v>46233</v>
      </c>
      <c r="O1903" s="24">
        <f>IF($N1903="","",WORKDAY($N1903,Settings!$C$10,HolidayDates))</f>
        <v>46273</v>
      </c>
      <c r="P1903" s="10" t="s">
        <v>502</v>
      </c>
      <c r="Q1903" s="52" t="str">
        <f t="shared" si="328"/>
        <v>Collected</v>
      </c>
      <c r="R1903" s="55" t="str">
        <f t="shared" si="329"/>
        <v>2026-07</v>
      </c>
      <c r="S1903" s="55">
        <f>IF(OR($B1903="",$F1903="",$R1903=""),"",SUMIFS(tblIssues[Qty Issued],tblIssues[Staff ID],$B1903,tblIssues[Item Name],$F1903,tblIssues[Month],$R1903))</f>
        <v>500</v>
      </c>
      <c r="T1903" s="56">
        <f>IF($I1903="","",$I1903*Settings!$C$11)</f>
        <v>500</v>
      </c>
      <c r="U1903" s="57" t="str">
        <f t="shared" si="326"/>
        <v>OK</v>
      </c>
      <c r="V1903" s="55" t="str">
        <f t="shared" si="330"/>
        <v/>
      </c>
      <c r="W1903" s="55" t="str">
        <f>IF($V1903="","",IF(COUNTIF($V$5:$V1903,$V1903)=1,1,""))</f>
        <v/>
      </c>
      <c r="X1903" s="58" t="str">
        <f>IF($W1903="","",MAX($X$4:X1902)+1)</f>
        <v/>
      </c>
      <c r="Y1903" s="62"/>
      <c r="Z1903" s="62"/>
      <c r="AA1903" s="64" t="str">
        <f>IF($C1903="","",IFERROR(INDEX('Staff Directory'!$E$5:$E$594,MATCH($C1903,'Staff Directory'!$B$5:$B$594,0)),""))</f>
        <v>firstname059.lastname059@example.com</v>
      </c>
      <c r="AB1903" s="64" t="str">
        <f>IF($C1903="","",IF(ISNUMBER(SEARCH($D1903,Settings!$C$15)),"Pickup","Dispatch"))</f>
        <v>Dispatch</v>
      </c>
      <c r="AC1903" s="64" t="str">
        <f t="shared" si="331"/>
        <v>Supply order dispatched</v>
      </c>
      <c r="AD1903" s="64" t="str">
        <f t="shared" si="322"/>
        <v>Dear RN,
Your order has been dispatched and is in transit. Reply if undelivered.</v>
      </c>
      <c r="AE1903" s="64" t="str">
        <f t="shared" si="323"/>
        <v>mailto:firstname059.lastname059@example.com?subject=Supply%20order%20dispatched&amp;body=Dear%20RN%2C%0A%0AYour%20order%20has%20been%20dispatched%20and%20is%20in%20transit.%20Reply%20if%20undelivered.</v>
      </c>
      <c r="AF1903" s="89" t="str">
        <f t="shared" si="332"/>
        <v>Draft email</v>
      </c>
      <c r="AG1903" s="64" t="str">
        <f>IF($C1903="","",IFERROR(INDEX('Staff Directory'!$K$595:$K$599,MATCH($C1903,'Staff Directory'!$B$5:$B$599,0)),$D1903))</f>
        <v>RN</v>
      </c>
      <c r="AH1903" t="str">
        <f>IF($C1903="","",IFERROR(INDEX('Staff Directory'!$I$595:$I$599,MATCH($C1903,'Staff Directory'!$B$5:$B$599,0))&amp;" "&amp;INDEX('Staff Directory'!$J$595:$J$599,MATCH($C1903,'Staff Directory'!$B$5:$B$599,0)),$AG1903))</f>
        <v>RN</v>
      </c>
      <c r="AI1903" s="102"/>
      <c r="AJ1903" s="101">
        <f>IF($F1903="","",SUMIFS($J$5:$J1903,$F$5:$F1903,$F1903))</f>
        <v>114000</v>
      </c>
      <c r="AK1903" s="101">
        <f t="shared" si="324"/>
        <v>113501</v>
      </c>
      <c r="AL1903" s="66" t="str" cm="1">
        <f t="array" ref="AL1903">IF($F1903="","",IFERROR(INDEX('Lot Balance'!$B$5:$B$500,MATCH(1,INDEX(('Lot Balance'!$A$5:$A$500=$F1903)*('Lot Balance'!$K$5:$K$500&lt;$AK1903)*('Lot Balance'!$K$5:$K$500+'Lot Balance'!$D$5:$D$500&gt;=$AK1903),0),0)),""))</f>
        <v>ZIM6044151580</v>
      </c>
      <c r="AM1903" s="66" t="str" cm="1">
        <f t="array" ref="AM1903">IF($F1903="","",IFERROR(INDEX('Lot Balance'!$B$5:$B$500,MATCH(1,INDEX(('Lot Balance'!$A$5:$A$500=$F1903)*('Lot Balance'!$K$5:$K$500&lt;$AJ1903)*('Lot Balance'!$K$5:$K$500+'Lot Balance'!$D$5:$D$500&gt;=$AJ1903),0),0)),""))</f>
        <v>ZIM6044151580</v>
      </c>
      <c r="AN1903" s="66" t="str">
        <f>IF($F1903="","",IF($AI1903&lt;&gt;"",IF(COUNTIFS('Lot Balance'!$A$5:$A$500,$F1903,'Lot Balance'!$B$5:$B$500,$AI1903)=0,"⚠ override is not a lot of this item",IF($AI1903=$AL1903,"Override = FEFO","Override - FEFO says "&amp;$AL1903)),IF($AL1903="","⚠ no receipt on file for this item",IF($AM1903&lt;&gt;$AL1903,"FEFO auto - split, also "&amp;$AM1903,"FEFO auto"))))</f>
        <v>FEFO auto</v>
      </c>
      <c r="AO1903" s="114"/>
    </row>
    <row r="1904" spans="1:41" x14ac:dyDescent="0.35">
      <c r="A1904" s="74">
        <v>46225</v>
      </c>
      <c r="B1904" s="18" t="str">
        <f>IF($C1904="","",IFERROR(INDEX('Staff Directory'!$A$5:$A$594,MATCH($C1904,'Staff Directory'!$B$5:$B$594,0)),"⚠ unknown staff"))</f>
        <v>RN-050-A1</v>
      </c>
      <c r="C1904" s="49" t="s">
        <v>975</v>
      </c>
      <c r="D1904" s="19" t="str">
        <f>IF($B1904="","",IFERROR(INDEX('Staff Directory'!$C$5:$C$594,MATCH($B1904,'Staff Directory'!$A$5:$A$594,0)),""))</f>
        <v>RN</v>
      </c>
      <c r="E1904" s="19" t="str">
        <f>IF($B1904="","",IFERROR(INDEX('Staff Directory'!$D$5:$D$594,MATCH($B1904,'Staff Directory'!$A$5:$A$594,0)),""))</f>
        <v>A1</v>
      </c>
      <c r="F1904" s="9" t="s">
        <v>191</v>
      </c>
      <c r="G1904" s="18" t="str">
        <f>IF($F1904="","",IFERROR(INDEX(Items!$B$5:$B$597,MATCH($F1904,Items!$A$5:$A$597,0)),"⚠ not in Items"))</f>
        <v>Sanitizer</v>
      </c>
      <c r="H1904" s="19" t="str">
        <f>IF($F1904="","",IFERROR(INDEX(Items!$C$5:$C$597,MATCH($F1904,Items!$A$5:$A$597,0)),""))</f>
        <v>236 ML</v>
      </c>
      <c r="I1904" s="23">
        <f>IF($F1904="","",IFERROR(INDEX(Items!$E$5:$E$597,MATCH($F1904,Items!$A$5:$A$597,0)),""))</f>
        <v>1</v>
      </c>
      <c r="J1904" s="115">
        <f>IF(tblIssues[[#This Row],[Qty Override]]&lt;&gt;"",tblIssues[[#This Row],[Qty Override]],IF(tblIssues[[#This Row],[Standard Issue]]="","",tblIssues[[#This Row],[Standard Issue]]))</f>
        <v>1</v>
      </c>
      <c r="K1904" s="20">
        <f>IF($F1904="","",IFERROR(INDEX(Items!$D$5:$D$597,MATCH($F1904,Items!$A$5:$A$597,0)),""))</f>
        <v>1E-4</v>
      </c>
      <c r="L1904" s="21">
        <f t="shared" si="327"/>
        <v>1E-4</v>
      </c>
      <c r="M1904" s="9" t="str">
        <f t="shared" si="325"/>
        <v>20-21734-6</v>
      </c>
      <c r="N1904" s="24">
        <f>IF($A1904="","",WORKDAY($A1904,Settings!$C$9,HolidayDates))</f>
        <v>46233</v>
      </c>
      <c r="O1904" s="24">
        <f>IF($N1904="","",WORKDAY($N1904,Settings!$C$10,HolidayDates))</f>
        <v>46273</v>
      </c>
      <c r="P1904" s="10" t="s">
        <v>502</v>
      </c>
      <c r="Q1904" s="52" t="str">
        <f t="shared" si="328"/>
        <v>Collected</v>
      </c>
      <c r="R1904" s="55" t="str">
        <f t="shared" si="329"/>
        <v>2026-07</v>
      </c>
      <c r="S1904" s="55">
        <f>IF(OR($B1904="",$F1904="",$R1904=""),"",SUMIFS(tblIssues[Qty Issued],tblIssues[Staff ID],$B1904,tblIssues[Item Name],$F1904,tblIssues[Month],$R1904))</f>
        <v>2</v>
      </c>
      <c r="T1904" s="56">
        <f>IF($I1904="","",$I1904*Settings!$C$11)</f>
        <v>1</v>
      </c>
      <c r="U1904" s="57" t="str">
        <f t="shared" si="326"/>
        <v>⚠ OVER QUOTA</v>
      </c>
      <c r="V1904" s="55" t="str">
        <f t="shared" si="330"/>
        <v>RN-050-A1 | Hand Sanitizer OS | 2026-07</v>
      </c>
      <c r="W1904" s="55">
        <f>IF($V1904="","",IF(COUNTIF($V$5:$V1904,$V1904)=1,1,""))</f>
        <v>1</v>
      </c>
      <c r="X1904" s="58">
        <f>IF($W1904="","",MAX($X$4:X1903)+1)</f>
        <v>63</v>
      </c>
      <c r="Y1904" s="62"/>
      <c r="Z1904" s="62"/>
      <c r="AA1904" s="64" t="str">
        <f>IF($C1904="","",IFERROR(INDEX('Staff Directory'!$E$5:$E$594,MATCH($C1904,'Staff Directory'!$B$5:$B$594,0)),""))</f>
        <v>firstname059.lastname059@example.com</v>
      </c>
      <c r="AB1904" s="64" t="str">
        <f>IF($C1904="","",IF(ISNUMBER(SEARCH($D1904,Settings!$C$15)),"Pickup","Dispatch"))</f>
        <v>Dispatch</v>
      </c>
      <c r="AC1904" s="64" t="str">
        <f t="shared" si="331"/>
        <v>Supply order dispatched</v>
      </c>
      <c r="AD1904" s="64" t="str">
        <f t="shared" si="322"/>
        <v>Dear RN,
Your order has been dispatched and is in transit. Reply if undelivered.</v>
      </c>
      <c r="AE1904" s="64" t="str">
        <f t="shared" si="323"/>
        <v>mailto:firstname059.lastname059@example.com?subject=Supply%20order%20dispatched&amp;body=Dear%20RN%2C%0A%0AYour%20order%20has%20been%20dispatched%20and%20is%20in%20transit.%20Reply%20if%20undelivered.</v>
      </c>
      <c r="AF1904" s="89" t="str">
        <f t="shared" si="332"/>
        <v>Draft email</v>
      </c>
      <c r="AG1904" s="64" t="str">
        <f>IF($C1904="","",IFERROR(INDEX('Staff Directory'!$K$595:$K$599,MATCH($C1904,'Staff Directory'!$B$5:$B$599,0)),$D1904))</f>
        <v>RN</v>
      </c>
      <c r="AH1904" t="str">
        <f>IF($C1904="","",IFERROR(INDEX('Staff Directory'!$I$595:$I$599,MATCH($C1904,'Staff Directory'!$B$5:$B$599,0))&amp;" "&amp;INDEX('Staff Directory'!$J$595:$J$599,MATCH($C1904,'Staff Directory'!$B$5:$B$599,0)),$AG1904))</f>
        <v>RN</v>
      </c>
      <c r="AI1904" s="102"/>
      <c r="AJ1904" s="101">
        <f>IF($F1904="","",SUMIFS($J$5:$J1904,$F$5:$F1904,$F1904))</f>
        <v>260</v>
      </c>
      <c r="AK1904" s="101">
        <f t="shared" si="324"/>
        <v>260</v>
      </c>
      <c r="AL1904" s="66" t="str" cm="1">
        <f t="array" ref="AL1904">IF($F1904="","",IFERROR(INDEX('Lot Balance'!$B$5:$B$500,MATCH(1,INDEX(('Lot Balance'!$A$5:$A$500=$F1904)*('Lot Balance'!$K$5:$K$500&lt;$AK1904)*('Lot Balance'!$K$5:$K$500+'Lot Balance'!$D$5:$D$500&gt;=$AK1904),0),0)),""))</f>
        <v>20-21734-6</v>
      </c>
      <c r="AM1904" s="66" t="str" cm="1">
        <f t="array" ref="AM1904">IF($F1904="","",IFERROR(INDEX('Lot Balance'!$B$5:$B$500,MATCH(1,INDEX(('Lot Balance'!$A$5:$A$500=$F1904)*('Lot Balance'!$K$5:$K$500&lt;$AJ1904)*('Lot Balance'!$K$5:$K$500+'Lot Balance'!$D$5:$D$500&gt;=$AJ1904),0),0)),""))</f>
        <v>20-21734-6</v>
      </c>
      <c r="AN1904" s="66" t="str">
        <f>IF($F1904="","",IF($AI1904&lt;&gt;"",IF(COUNTIFS('Lot Balance'!$A$5:$A$500,$F1904,'Lot Balance'!$B$5:$B$500,$AI1904)=0,"⚠ override is not a lot of this item",IF($AI1904=$AL1904,"Override = FEFO","Override - FEFO says "&amp;$AL1904)),IF($AL1904="","⚠ no receipt on file for this item",IF($AM1904&lt;&gt;$AL1904,"FEFO auto - split, also "&amp;$AM1904,"FEFO auto"))))</f>
        <v>FEFO auto</v>
      </c>
      <c r="AO1904" s="114"/>
    </row>
    <row r="1905" spans="1:41" x14ac:dyDescent="0.35">
      <c r="A1905" s="74">
        <v>46225</v>
      </c>
      <c r="B1905" s="18" t="str">
        <f>IF($C1905="","",IFERROR(INDEX('Staff Directory'!$A$5:$A$594,MATCH($C1905,'Staff Directory'!$B$5:$B$594,0)),"⚠ unknown staff"))</f>
        <v>RN-050-A1</v>
      </c>
      <c r="C1905" s="49" t="s">
        <v>975</v>
      </c>
      <c r="D1905" s="19" t="str">
        <f>IF($B1905="","",IFERROR(INDEX('Staff Directory'!$C$5:$C$594,MATCH($B1905,'Staff Directory'!$A$5:$A$594,0)),""))</f>
        <v>RN</v>
      </c>
      <c r="E1905" s="19" t="str">
        <f>IF($B1905="","",IFERROR(INDEX('Staff Directory'!$D$5:$D$594,MATCH($B1905,'Staff Directory'!$A$5:$A$594,0)),""))</f>
        <v>A1</v>
      </c>
      <c r="F1905" s="9" t="s">
        <v>191</v>
      </c>
      <c r="G1905" s="18" t="str">
        <f>IF($F1905="","",IFERROR(INDEX(Items!$B$5:$B$597,MATCH($F1905,Items!$A$5:$A$597,0)),"⚠ not in Items"))</f>
        <v>Sanitizer</v>
      </c>
      <c r="H1905" s="19" t="str">
        <f>IF($F1905="","",IFERROR(INDEX(Items!$C$5:$C$597,MATCH($F1905,Items!$A$5:$A$597,0)),""))</f>
        <v>236 ML</v>
      </c>
      <c r="I1905" s="23">
        <f>IF($F1905="","",IFERROR(INDEX(Items!$E$5:$E$597,MATCH($F1905,Items!$A$5:$A$597,0)),""))</f>
        <v>1</v>
      </c>
      <c r="J1905" s="115">
        <f>IF(tblIssues[[#This Row],[Qty Override]]&lt;&gt;"",tblIssues[[#This Row],[Qty Override]],IF(tblIssues[[#This Row],[Standard Issue]]="","",tblIssues[[#This Row],[Standard Issue]]))</f>
        <v>1</v>
      </c>
      <c r="K1905" s="20">
        <f>IF($F1905="","",IFERROR(INDEX(Items!$D$5:$D$597,MATCH($F1905,Items!$A$5:$A$597,0)),""))</f>
        <v>1E-4</v>
      </c>
      <c r="L1905" s="21">
        <f t="shared" si="327"/>
        <v>1E-4</v>
      </c>
      <c r="M1905" s="9" t="str">
        <f t="shared" si="325"/>
        <v>20-21734-6</v>
      </c>
      <c r="N1905" s="24">
        <f>IF($A1905="","",WORKDAY($A1905,Settings!$C$9,HolidayDates))</f>
        <v>46233</v>
      </c>
      <c r="O1905" s="24">
        <f>IF($N1905="","",WORKDAY($N1905,Settings!$C$10,HolidayDates))</f>
        <v>46273</v>
      </c>
      <c r="P1905" s="10" t="s">
        <v>502</v>
      </c>
      <c r="Q1905" s="52" t="str">
        <f t="shared" si="328"/>
        <v>Collected</v>
      </c>
      <c r="R1905" s="55" t="str">
        <f t="shared" si="329"/>
        <v>2026-07</v>
      </c>
      <c r="S1905" s="55">
        <f>IF(OR($B1905="",$F1905="",$R1905=""),"",SUMIFS(tblIssues[Qty Issued],tblIssues[Staff ID],$B1905,tblIssues[Item Name],$F1905,tblIssues[Month],$R1905))</f>
        <v>2</v>
      </c>
      <c r="T1905" s="56">
        <f>IF($I1905="","",$I1905*Settings!$C$11)</f>
        <v>1</v>
      </c>
      <c r="U1905" s="57" t="str">
        <f t="shared" si="326"/>
        <v>⚠ OVER QUOTA</v>
      </c>
      <c r="V1905" s="55" t="str">
        <f t="shared" si="330"/>
        <v>RN-050-A1 | Hand Sanitizer OS | 2026-07</v>
      </c>
      <c r="W1905" s="55" t="str">
        <f>IF($V1905="","",IF(COUNTIF($V$5:$V1905,$V1905)=1,1,""))</f>
        <v/>
      </c>
      <c r="X1905" s="58" t="str">
        <f>IF($W1905="","",MAX($X$4:X1904)+1)</f>
        <v/>
      </c>
      <c r="Y1905" s="62"/>
      <c r="Z1905" s="62"/>
      <c r="AA1905" s="64" t="str">
        <f>IF($C1905="","",IFERROR(INDEX('Staff Directory'!$E$5:$E$594,MATCH($C1905,'Staff Directory'!$B$5:$B$594,0)),""))</f>
        <v>firstname059.lastname059@example.com</v>
      </c>
      <c r="AB1905" s="64" t="str">
        <f>IF($C1905="","",IF(ISNUMBER(SEARCH($D1905,Settings!$C$15)),"Pickup","Dispatch"))</f>
        <v>Dispatch</v>
      </c>
      <c r="AC1905" s="64" t="str">
        <f t="shared" si="331"/>
        <v>Supply order dispatched</v>
      </c>
      <c r="AD1905" s="64" t="str">
        <f t="shared" si="322"/>
        <v>Dear RN,
Your order has been dispatched and is in transit. Reply if undelivered.</v>
      </c>
      <c r="AE1905" s="64" t="str">
        <f t="shared" si="323"/>
        <v>mailto:firstname059.lastname059@example.com?subject=Supply%20order%20dispatched&amp;body=Dear%20RN%2C%0A%0AYour%20order%20has%20been%20dispatched%20and%20is%20in%20transit.%20Reply%20if%20undelivered.</v>
      </c>
      <c r="AF1905" s="89" t="str">
        <f t="shared" si="332"/>
        <v>Draft email</v>
      </c>
      <c r="AG1905" s="64" t="str">
        <f>IF($C1905="","",IFERROR(INDEX('Staff Directory'!$K$595:$K$599,MATCH($C1905,'Staff Directory'!$B$5:$B$599,0)),$D1905))</f>
        <v>RN</v>
      </c>
      <c r="AH1905" t="str">
        <f>IF($C1905="","",IFERROR(INDEX('Staff Directory'!$I$595:$I$599,MATCH($C1905,'Staff Directory'!$B$5:$B$599,0))&amp;" "&amp;INDEX('Staff Directory'!$J$595:$J$599,MATCH($C1905,'Staff Directory'!$B$5:$B$599,0)),$AG1905))</f>
        <v>RN</v>
      </c>
      <c r="AI1905" s="102"/>
      <c r="AJ1905" s="101">
        <f>IF($F1905="","",SUMIFS($J$5:$J1905,$F$5:$F1905,$F1905))</f>
        <v>261</v>
      </c>
      <c r="AK1905" s="101">
        <f t="shared" si="324"/>
        <v>261</v>
      </c>
      <c r="AL1905" s="66" t="str" cm="1">
        <f t="array" ref="AL1905">IF($F1905="","",IFERROR(INDEX('Lot Balance'!$B$5:$B$500,MATCH(1,INDEX(('Lot Balance'!$A$5:$A$500=$F1905)*('Lot Balance'!$K$5:$K$500&lt;$AK1905)*('Lot Balance'!$K$5:$K$500+'Lot Balance'!$D$5:$D$500&gt;=$AK1905),0),0)),""))</f>
        <v>20-21734-6</v>
      </c>
      <c r="AM1905" s="66" t="str" cm="1">
        <f t="array" ref="AM1905">IF($F1905="","",IFERROR(INDEX('Lot Balance'!$B$5:$B$500,MATCH(1,INDEX(('Lot Balance'!$A$5:$A$500=$F1905)*('Lot Balance'!$K$5:$K$500&lt;$AJ1905)*('Lot Balance'!$K$5:$K$500+'Lot Balance'!$D$5:$D$500&gt;=$AJ1905),0),0)),""))</f>
        <v>20-21734-6</v>
      </c>
      <c r="AN1905" s="66" t="str">
        <f>IF($F1905="","",IF($AI1905&lt;&gt;"",IF(COUNTIFS('Lot Balance'!$A$5:$A$500,$F1905,'Lot Balance'!$B$5:$B$500,$AI1905)=0,"⚠ override is not a lot of this item",IF($AI1905=$AL1905,"Override = FEFO","Override - FEFO says "&amp;$AL1905)),IF($AL1905="","⚠ no receipt on file for this item",IF($AM1905&lt;&gt;$AL1905,"FEFO auto - split, also "&amp;$AM1905,"FEFO auto"))))</f>
        <v>FEFO auto</v>
      </c>
      <c r="AO1905" s="114"/>
    </row>
    <row r="1906" spans="1:41" x14ac:dyDescent="0.35">
      <c r="A1906" s="74">
        <v>46225</v>
      </c>
      <c r="B1906" s="18" t="str">
        <f>IF($C1906="","",IFERROR(INDEX('Staff Directory'!$A$5:$A$594,MATCH($C1906,'Staff Directory'!$B$5:$B$594,0)),"⚠ unknown staff"))</f>
        <v>RN-050-A1</v>
      </c>
      <c r="C1906" s="49" t="s">
        <v>975</v>
      </c>
      <c r="D1906" s="19" t="str">
        <f>IF($B1906="","",IFERROR(INDEX('Staff Directory'!$C$5:$C$594,MATCH($B1906,'Staff Directory'!$A$5:$A$594,0)),""))</f>
        <v>RN</v>
      </c>
      <c r="E1906" s="19" t="str">
        <f>IF($B1906="","",IFERROR(INDEX('Staff Directory'!$D$5:$D$594,MATCH($B1906,'Staff Directory'!$A$5:$A$594,0)),""))</f>
        <v>A1</v>
      </c>
      <c r="F1906" s="9" t="s">
        <v>115</v>
      </c>
      <c r="G1906" s="18" t="str">
        <f>IF($F1906="","",IFERROR(INDEX(Items!$B$5:$B$597,MATCH($F1906,Items!$A$5:$A$597,0)),"⚠ not in Items"))</f>
        <v>Wipes</v>
      </c>
      <c r="H1906" s="19">
        <f>IF($F1906="","",IFERROR(INDEX(Items!$C$5:$C$597,MATCH($F1906,Items!$A$5:$A$597,0)),""))</f>
        <v>80</v>
      </c>
      <c r="I1906" s="23">
        <f>IF($F1906="","",IFERROR(INDEX(Items!$E$5:$E$597,MATCH($F1906,Items!$A$5:$A$597,0)),""))</f>
        <v>80</v>
      </c>
      <c r="J1906" s="115">
        <f>IF(tblIssues[[#This Row],[Qty Override]]&lt;&gt;"",tblIssues[[#This Row],[Qty Override]],IF(tblIssues[[#This Row],[Standard Issue]]="","",tblIssues[[#This Row],[Standard Issue]]))</f>
        <v>80</v>
      </c>
      <c r="K1906" s="20">
        <f>IF($F1906="","",IFERROR(INDEX(Items!$D$5:$D$597,MATCH($F1906,Items!$A$5:$A$597,0)),""))</f>
        <v>0.1</v>
      </c>
      <c r="L1906" s="21">
        <f t="shared" si="327"/>
        <v>8</v>
      </c>
      <c r="M1906" s="9" t="str">
        <f t="shared" si="325"/>
        <v>LYSL500290</v>
      </c>
      <c r="N1906" s="24">
        <f>IF($A1906="","",WORKDAY($A1906,Settings!$C$9,HolidayDates))</f>
        <v>46233</v>
      </c>
      <c r="O1906" s="24">
        <f>IF($N1906="","",WORKDAY($N1906,Settings!$C$10,HolidayDates))</f>
        <v>46273</v>
      </c>
      <c r="P1906" s="10" t="s">
        <v>502</v>
      </c>
      <c r="Q1906" s="52" t="str">
        <f t="shared" si="328"/>
        <v>Collected</v>
      </c>
      <c r="R1906" s="55" t="str">
        <f t="shared" si="329"/>
        <v>2026-07</v>
      </c>
      <c r="S1906" s="55">
        <f>IF(OR($B1906="",$F1906="",$R1906=""),"",SUMIFS(tblIssues[Qty Issued],tblIssues[Staff ID],$B1906,tblIssues[Item Name],$F1906,tblIssues[Month],$R1906))</f>
        <v>160</v>
      </c>
      <c r="T1906" s="56">
        <f>IF($I1906="","",$I1906*Settings!$C$11)</f>
        <v>80</v>
      </c>
      <c r="U1906" s="57" t="str">
        <f t="shared" si="326"/>
        <v>⚠ OVER QUOTA</v>
      </c>
      <c r="V1906" s="55" t="str">
        <f t="shared" si="330"/>
        <v>RN-050-A1 | Disinfectant Wipes | 2026-07</v>
      </c>
      <c r="W1906" s="55">
        <f>IF($V1906="","",IF(COUNTIF($V$5:$V1906,$V1906)=1,1,""))</f>
        <v>1</v>
      </c>
      <c r="X1906" s="58">
        <f>IF($W1906="","",MAX($X$4:X1905)+1)</f>
        <v>64</v>
      </c>
      <c r="Y1906" s="62"/>
      <c r="Z1906" s="62"/>
      <c r="AA1906" s="64" t="str">
        <f>IF($C1906="","",IFERROR(INDEX('Staff Directory'!$E$5:$E$594,MATCH($C1906,'Staff Directory'!$B$5:$B$594,0)),""))</f>
        <v>firstname059.lastname059@example.com</v>
      </c>
      <c r="AB1906" s="64" t="str">
        <f>IF($C1906="","",IF(ISNUMBER(SEARCH($D1906,Settings!$C$15)),"Pickup","Dispatch"))</f>
        <v>Dispatch</v>
      </c>
      <c r="AC1906" s="64" t="str">
        <f t="shared" si="331"/>
        <v>Supply order dispatched</v>
      </c>
      <c r="AD1906" s="64" t="str">
        <f t="shared" si="322"/>
        <v>Dear RN,
Your order has been dispatched and is in transit. Reply if undelivered.</v>
      </c>
      <c r="AE1906" s="64" t="str">
        <f t="shared" si="323"/>
        <v>mailto:firstname059.lastname059@example.com?subject=Supply%20order%20dispatched&amp;body=Dear%20RN%2C%0A%0AYour%20order%20has%20been%20dispatched%20and%20is%20in%20transit.%20Reply%20if%20undelivered.</v>
      </c>
      <c r="AF1906" s="89" t="str">
        <f t="shared" si="332"/>
        <v>Draft email</v>
      </c>
      <c r="AG1906" s="64" t="str">
        <f>IF($C1906="","",IFERROR(INDEX('Staff Directory'!$K$595:$K$599,MATCH($C1906,'Staff Directory'!$B$5:$B$599,0)),$D1906))</f>
        <v>RN</v>
      </c>
      <c r="AH1906" t="str">
        <f>IF($C1906="","",IFERROR(INDEX('Staff Directory'!$I$595:$I$599,MATCH($C1906,'Staff Directory'!$B$5:$B$599,0))&amp;" "&amp;INDEX('Staff Directory'!$J$595:$J$599,MATCH($C1906,'Staff Directory'!$B$5:$B$599,0)),$AG1906))</f>
        <v>RN</v>
      </c>
      <c r="AI1906" s="102"/>
      <c r="AJ1906" s="101">
        <f>IF($F1906="","",SUMIFS($J$5:$J1906,$F$5:$F1906,$F1906))</f>
        <v>25360</v>
      </c>
      <c r="AK1906" s="101">
        <f t="shared" si="324"/>
        <v>25281</v>
      </c>
      <c r="AL1906" s="66" t="str" cm="1">
        <f t="array" ref="AL1906">IF($F1906="","",IFERROR(INDEX('Lot Balance'!$B$5:$B$500,MATCH(1,INDEX(('Lot Balance'!$A$5:$A$500=$F1906)*('Lot Balance'!$K$5:$K$500&lt;$AK1906)*('Lot Balance'!$K$5:$K$500+'Lot Balance'!$D$5:$D$500&gt;=$AK1906),0),0)),""))</f>
        <v>LYSL500290</v>
      </c>
      <c r="AM1906" s="66" t="str" cm="1">
        <f t="array" ref="AM1906">IF($F1906="","",IFERROR(INDEX('Lot Balance'!$B$5:$B$500,MATCH(1,INDEX(('Lot Balance'!$A$5:$A$500=$F1906)*('Lot Balance'!$K$5:$K$500&lt;$AJ1906)*('Lot Balance'!$K$5:$K$500+'Lot Balance'!$D$5:$D$500&gt;=$AJ1906),0),0)),""))</f>
        <v>LYSL500290</v>
      </c>
      <c r="AN1906" s="66" t="str">
        <f>IF($F1906="","",IF($AI1906&lt;&gt;"",IF(COUNTIFS('Lot Balance'!$A$5:$A$500,$F1906,'Lot Balance'!$B$5:$B$500,$AI1906)=0,"⚠ override is not a lot of this item",IF($AI1906=$AL1906,"Override = FEFO","Override - FEFO says "&amp;$AL1906)),IF($AL1906="","⚠ no receipt on file for this item",IF($AM1906&lt;&gt;$AL1906,"FEFO auto - split, also "&amp;$AM1906,"FEFO auto"))))</f>
        <v>FEFO auto</v>
      </c>
      <c r="AO1906" s="114"/>
    </row>
    <row r="1907" spans="1:41" x14ac:dyDescent="0.35">
      <c r="A1907" s="74">
        <v>46225</v>
      </c>
      <c r="B1907" s="18" t="str">
        <f>IF($C1907="","",IFERROR(INDEX('Staff Directory'!$A$5:$A$594,MATCH($C1907,'Staff Directory'!$B$5:$B$594,0)),"⚠ unknown staff"))</f>
        <v>RN-050-A1</v>
      </c>
      <c r="C1907" s="49" t="s">
        <v>975</v>
      </c>
      <c r="D1907" s="19" t="str">
        <f>IF($B1907="","",IFERROR(INDEX('Staff Directory'!$C$5:$C$594,MATCH($B1907,'Staff Directory'!$A$5:$A$594,0)),""))</f>
        <v>RN</v>
      </c>
      <c r="E1907" s="19" t="str">
        <f>IF($B1907="","",IFERROR(INDEX('Staff Directory'!$D$5:$D$594,MATCH($B1907,'Staff Directory'!$A$5:$A$594,0)),""))</f>
        <v>A1</v>
      </c>
      <c r="F1907" s="9" t="s">
        <v>115</v>
      </c>
      <c r="G1907" s="18" t="str">
        <f>IF($F1907="","",IFERROR(INDEX(Items!$B$5:$B$597,MATCH($F1907,Items!$A$5:$A$597,0)),"⚠ not in Items"))</f>
        <v>Wipes</v>
      </c>
      <c r="H1907" s="19">
        <f>IF($F1907="","",IFERROR(INDEX(Items!$C$5:$C$597,MATCH($F1907,Items!$A$5:$A$597,0)),""))</f>
        <v>80</v>
      </c>
      <c r="I1907" s="23">
        <f>IF($F1907="","",IFERROR(INDEX(Items!$E$5:$E$597,MATCH($F1907,Items!$A$5:$A$597,0)),""))</f>
        <v>80</v>
      </c>
      <c r="J1907" s="115">
        <f>IF(tblIssues[[#This Row],[Qty Override]]&lt;&gt;"",tblIssues[[#This Row],[Qty Override]],IF(tblIssues[[#This Row],[Standard Issue]]="","",tblIssues[[#This Row],[Standard Issue]]))</f>
        <v>80</v>
      </c>
      <c r="K1907" s="20">
        <f>IF($F1907="","",IFERROR(INDEX(Items!$D$5:$D$597,MATCH($F1907,Items!$A$5:$A$597,0)),""))</f>
        <v>0.1</v>
      </c>
      <c r="L1907" s="21">
        <f t="shared" si="327"/>
        <v>8</v>
      </c>
      <c r="M1907" s="9" t="str">
        <f t="shared" si="325"/>
        <v>LYSL500290</v>
      </c>
      <c r="N1907" s="24">
        <f>IF($A1907="","",WORKDAY($A1907,Settings!$C$9,HolidayDates))</f>
        <v>46233</v>
      </c>
      <c r="O1907" s="24">
        <f>IF($N1907="","",WORKDAY($N1907,Settings!$C$10,HolidayDates))</f>
        <v>46273</v>
      </c>
      <c r="P1907" s="10" t="s">
        <v>502</v>
      </c>
      <c r="Q1907" s="52" t="str">
        <f t="shared" si="328"/>
        <v>Collected</v>
      </c>
      <c r="R1907" s="55" t="str">
        <f t="shared" si="329"/>
        <v>2026-07</v>
      </c>
      <c r="S1907" s="55">
        <f>IF(OR($B1907="",$F1907="",$R1907=""),"",SUMIFS(tblIssues[Qty Issued],tblIssues[Staff ID],$B1907,tblIssues[Item Name],$F1907,tblIssues[Month],$R1907))</f>
        <v>160</v>
      </c>
      <c r="T1907" s="56">
        <f>IF($I1907="","",$I1907*Settings!$C$11)</f>
        <v>80</v>
      </c>
      <c r="U1907" s="57" t="str">
        <f t="shared" si="326"/>
        <v>⚠ OVER QUOTA</v>
      </c>
      <c r="V1907" s="55" t="str">
        <f t="shared" si="330"/>
        <v>RN-050-A1 | Disinfectant Wipes | 2026-07</v>
      </c>
      <c r="W1907" s="55" t="str">
        <f>IF($V1907="","",IF(COUNTIF($V$5:$V1907,$V1907)=1,1,""))</f>
        <v/>
      </c>
      <c r="X1907" s="58" t="str">
        <f>IF($W1907="","",MAX($X$4:X1906)+1)</f>
        <v/>
      </c>
      <c r="Y1907" s="62"/>
      <c r="Z1907" s="62"/>
      <c r="AA1907" s="64" t="str">
        <f>IF($C1907="","",IFERROR(INDEX('Staff Directory'!$E$5:$E$594,MATCH($C1907,'Staff Directory'!$B$5:$B$594,0)),""))</f>
        <v>firstname059.lastname059@example.com</v>
      </c>
      <c r="AB1907" s="64" t="str">
        <f>IF($C1907="","",IF(ISNUMBER(SEARCH($D1907,Settings!$C$15)),"Pickup","Dispatch"))</f>
        <v>Dispatch</v>
      </c>
      <c r="AC1907" s="64" t="str">
        <f t="shared" si="331"/>
        <v>Supply order dispatched</v>
      </c>
      <c r="AD1907" s="64" t="str">
        <f t="shared" si="322"/>
        <v>Dear RN,
Your order has been dispatched and is in transit. Reply if undelivered.</v>
      </c>
      <c r="AE1907" s="64" t="str">
        <f t="shared" si="323"/>
        <v>mailto:firstname059.lastname059@example.com?subject=Supply%20order%20dispatched&amp;body=Dear%20RN%2C%0A%0AYour%20order%20has%20been%20dispatched%20and%20is%20in%20transit.%20Reply%20if%20undelivered.</v>
      </c>
      <c r="AF1907" s="89" t="str">
        <f t="shared" si="332"/>
        <v>Draft email</v>
      </c>
      <c r="AG1907" s="64" t="str">
        <f>IF($C1907="","",IFERROR(INDEX('Staff Directory'!$K$595:$K$599,MATCH($C1907,'Staff Directory'!$B$5:$B$599,0)),$D1907))</f>
        <v>RN</v>
      </c>
      <c r="AH1907" t="str">
        <f>IF($C1907="","",IFERROR(INDEX('Staff Directory'!$I$595:$I$599,MATCH($C1907,'Staff Directory'!$B$5:$B$599,0))&amp;" "&amp;INDEX('Staff Directory'!$J$595:$J$599,MATCH($C1907,'Staff Directory'!$B$5:$B$599,0)),$AG1907))</f>
        <v>RN</v>
      </c>
      <c r="AI1907" s="102"/>
      <c r="AJ1907" s="101">
        <f>IF($F1907="","",SUMIFS($J$5:$J1907,$F$5:$F1907,$F1907))</f>
        <v>25440</v>
      </c>
      <c r="AK1907" s="101">
        <f t="shared" si="324"/>
        <v>25361</v>
      </c>
      <c r="AL1907" s="66" t="str" cm="1">
        <f t="array" ref="AL1907">IF($F1907="","",IFERROR(INDEX('Lot Balance'!$B$5:$B$500,MATCH(1,INDEX(('Lot Balance'!$A$5:$A$500=$F1907)*('Lot Balance'!$K$5:$K$500&lt;$AK1907)*('Lot Balance'!$K$5:$K$500+'Lot Balance'!$D$5:$D$500&gt;=$AK1907),0),0)),""))</f>
        <v>LYSL500290</v>
      </c>
      <c r="AM1907" s="66" t="str" cm="1">
        <f t="array" ref="AM1907">IF($F1907="","",IFERROR(INDEX('Lot Balance'!$B$5:$B$500,MATCH(1,INDEX(('Lot Balance'!$A$5:$A$500=$F1907)*('Lot Balance'!$K$5:$K$500&lt;$AJ1907)*('Lot Balance'!$K$5:$K$500+'Lot Balance'!$D$5:$D$500&gt;=$AJ1907),0),0)),""))</f>
        <v>LYSL500290</v>
      </c>
      <c r="AN1907" s="66" t="str">
        <f>IF($F1907="","",IF($AI1907&lt;&gt;"",IF(COUNTIFS('Lot Balance'!$A$5:$A$500,$F1907,'Lot Balance'!$B$5:$B$500,$AI1907)=0,"⚠ override is not a lot of this item",IF($AI1907=$AL1907,"Override = FEFO","Override - FEFO says "&amp;$AL1907)),IF($AL1907="","⚠ no receipt on file for this item",IF($AM1907&lt;&gt;$AL1907,"FEFO auto - split, also "&amp;$AM1907,"FEFO auto"))))</f>
        <v>FEFO auto</v>
      </c>
      <c r="AO1907" s="114"/>
    </row>
    <row r="1908" spans="1:41" x14ac:dyDescent="0.35">
      <c r="A1908" s="74">
        <v>46225</v>
      </c>
      <c r="B1908" s="18" t="str">
        <f>IF($C1908="","",IFERROR(INDEX('Staff Directory'!$A$5:$A$594,MATCH($C1908,'Staff Directory'!$B$5:$B$594,0)),"⚠ unknown staff"))</f>
        <v>RN-050-A1</v>
      </c>
      <c r="C1908" s="49" t="s">
        <v>975</v>
      </c>
      <c r="D1908" s="19" t="str">
        <f>IF($B1908="","",IFERROR(INDEX('Staff Directory'!$C$5:$C$594,MATCH($B1908,'Staff Directory'!$A$5:$A$594,0)),""))</f>
        <v>RN</v>
      </c>
      <c r="E1908" s="19" t="str">
        <f>IF($B1908="","",IFERROR(INDEX('Staff Directory'!$D$5:$D$594,MATCH($B1908,'Staff Directory'!$A$5:$A$594,0)),""))</f>
        <v>A1</v>
      </c>
      <c r="F1908" s="9" t="s">
        <v>757</v>
      </c>
      <c r="G1908" s="18" t="str">
        <f>IF($F1908="","",IFERROR(INDEX(Items!$B$5:$B$597,MATCH($F1908,Items!$A$5:$A$597,0)),"⚠ not in Items"))</f>
        <v>Documents</v>
      </c>
      <c r="H1908" s="19" t="str">
        <f>IF($F1908="","",IFERROR(INDEX(Items!$C$5:$C$597,MATCH($F1908,Items!$A$5:$A$597,0)),""))</f>
        <v>Standard</v>
      </c>
      <c r="I1908" s="23">
        <f>IF($F1908="","",IFERROR(INDEX(Items!$E$5:$E$597,MATCH($F1908,Items!$A$5:$A$597,0)),""))</f>
        <v>10</v>
      </c>
      <c r="J1908" s="115">
        <f>IF(tblIssues[[#This Row],[Qty Override]]&lt;&gt;"",tblIssues[[#This Row],[Qty Override]],IF(tblIssues[[#This Row],[Standard Issue]]="","",tblIssues[[#This Row],[Standard Issue]]))</f>
        <v>10</v>
      </c>
      <c r="K1908" s="20">
        <f>IF($F1908="","",IFERROR(INDEX(Items!$D$5:$D$597,MATCH($F1908,Items!$A$5:$A$597,0)),""))</f>
        <v>0</v>
      </c>
      <c r="L1908" s="21">
        <f t="shared" si="327"/>
        <v>0</v>
      </c>
      <c r="M1908" s="9" t="str">
        <f t="shared" si="325"/>
        <v/>
      </c>
      <c r="N1908" s="24">
        <f>IF($A1908="","",WORKDAY($A1908,Settings!$C$9,HolidayDates))</f>
        <v>46233</v>
      </c>
      <c r="O1908" s="24">
        <f>IF($N1908="","",WORKDAY($N1908,Settings!$C$10,HolidayDates))</f>
        <v>46273</v>
      </c>
      <c r="P1908" s="10" t="s">
        <v>502</v>
      </c>
      <c r="Q1908" s="52" t="str">
        <f t="shared" si="328"/>
        <v>Collected</v>
      </c>
      <c r="R1908" s="55" t="str">
        <f t="shared" si="329"/>
        <v>2026-07</v>
      </c>
      <c r="S1908" s="55">
        <f>IF(OR($B1908="",$F1908="",$R1908=""),"",SUMIFS(tblIssues[Qty Issued],tblIssues[Staff ID],$B1908,tblIssues[Item Name],$F1908,tblIssues[Month],$R1908))</f>
        <v>10</v>
      </c>
      <c r="T1908" s="56">
        <f>IF($I1908="","",$I1908*Settings!$C$11)</f>
        <v>10</v>
      </c>
      <c r="U1908" s="57" t="str">
        <f t="shared" si="326"/>
        <v>OK</v>
      </c>
      <c r="V1908" s="55" t="str">
        <f t="shared" si="330"/>
        <v/>
      </c>
      <c r="W1908" s="55" t="str">
        <f>IF($V1908="","",IF(COUNTIF($V$5:$V1908,$V1908)=1,1,""))</f>
        <v/>
      </c>
      <c r="X1908" s="58" t="str">
        <f>IF($W1908="","",MAX($X$4:X1907)+1)</f>
        <v/>
      </c>
      <c r="Y1908" s="62"/>
      <c r="Z1908" s="62"/>
      <c r="AA1908" s="64" t="str">
        <f>IF($C1908="","",IFERROR(INDEX('Staff Directory'!$E$5:$E$594,MATCH($C1908,'Staff Directory'!$B$5:$B$594,0)),""))</f>
        <v>firstname059.lastname059@example.com</v>
      </c>
      <c r="AB1908" s="64" t="str">
        <f>IF($C1908="","",IF(ISNUMBER(SEARCH($D1908,Settings!$C$15)),"Pickup","Dispatch"))</f>
        <v>Dispatch</v>
      </c>
      <c r="AC1908" s="64" t="str">
        <f t="shared" si="331"/>
        <v>Supply order dispatched</v>
      </c>
      <c r="AD1908" s="64" t="str">
        <f t="shared" si="322"/>
        <v>Dear RN,
Your order has been dispatched and is in transit. Reply if undelivered.</v>
      </c>
      <c r="AE1908" s="64" t="str">
        <f t="shared" si="323"/>
        <v>mailto:firstname059.lastname059@example.com?subject=Supply%20order%20dispatched&amp;body=Dear%20RN%2C%0A%0AYour%20order%20has%20been%20dispatched%20and%20is%20in%20transit.%20Reply%20if%20undelivered.</v>
      </c>
      <c r="AF1908" s="89" t="str">
        <f t="shared" si="332"/>
        <v>Draft email</v>
      </c>
      <c r="AG1908" s="64" t="str">
        <f>IF($C1908="","",IFERROR(INDEX('Staff Directory'!$K$595:$K$599,MATCH($C1908,'Staff Directory'!$B$5:$B$599,0)),$D1908))</f>
        <v>RN</v>
      </c>
      <c r="AH1908" t="str">
        <f>IF($C1908="","",IFERROR(INDEX('Staff Directory'!$I$595:$I$599,MATCH($C1908,'Staff Directory'!$B$5:$B$599,0))&amp;" "&amp;INDEX('Staff Directory'!$J$595:$J$599,MATCH($C1908,'Staff Directory'!$B$5:$B$599,0)),$AG1908))</f>
        <v>RN</v>
      </c>
      <c r="AI1908" s="102"/>
      <c r="AJ1908" s="101">
        <f>IF($F1908="","",SUMIFS($J$5:$J1908,$F$5:$F1908,$F1908))</f>
        <v>770</v>
      </c>
      <c r="AK1908" s="101">
        <f t="shared" si="324"/>
        <v>761</v>
      </c>
      <c r="AL1908" s="66" t="str" cm="1">
        <f t="array" ref="AL1908">IF($F1908="","",IFERROR(INDEX('Lot Balance'!$B$5:$B$500,MATCH(1,INDEX(('Lot Balance'!$A$5:$A$500=$F1908)*('Lot Balance'!$K$5:$K$500&lt;$AK1908)*('Lot Balance'!$K$5:$K$500+'Lot Balance'!$D$5:$D$500&gt;=$AK1908),0),0)),""))</f>
        <v/>
      </c>
      <c r="AM1908" s="66" t="str" cm="1">
        <f t="array" ref="AM1908">IF($F1908="","",IFERROR(INDEX('Lot Balance'!$B$5:$B$500,MATCH(1,INDEX(('Lot Balance'!$A$5:$A$500=$F1908)*('Lot Balance'!$K$5:$K$500&lt;$AJ1908)*('Lot Balance'!$K$5:$K$500+'Lot Balance'!$D$5:$D$500&gt;=$AJ1908),0),0)),""))</f>
        <v/>
      </c>
      <c r="AN1908" s="66" t="str">
        <f>IF($F1908="","",IF($AI1908&lt;&gt;"",IF(COUNTIFS('Lot Balance'!$A$5:$A$500,$F1908,'Lot Balance'!$B$5:$B$500,$AI1908)=0,"⚠ override is not a lot of this item",IF($AI1908=$AL1908,"Override = FEFO","Override - FEFO says "&amp;$AL1908)),IF($AL1908="","⚠ no receipt on file for this item",IF($AM1908&lt;&gt;$AL1908,"FEFO auto - split, also "&amp;$AM1908,"FEFO auto"))))</f>
        <v>⚠ no receipt on file for this item</v>
      </c>
      <c r="AO1908" s="114"/>
    </row>
    <row r="1909" spans="1:41" x14ac:dyDescent="0.35">
      <c r="A1909" s="74">
        <v>46225</v>
      </c>
      <c r="B1909" s="18" t="str">
        <f>IF($C1909="","",IFERROR(INDEX('Staff Directory'!$A$5:$A$594,MATCH($C1909,'Staff Directory'!$B$5:$B$594,0)),"⚠ unknown staff"))</f>
        <v>RN-050-A1</v>
      </c>
      <c r="C1909" s="49" t="s">
        <v>975</v>
      </c>
      <c r="D1909" s="19" t="str">
        <f>IF($B1909="","",IFERROR(INDEX('Staff Directory'!$C$5:$C$594,MATCH($B1909,'Staff Directory'!$A$5:$A$594,0)),""))</f>
        <v>RN</v>
      </c>
      <c r="E1909" s="19" t="str">
        <f>IF($B1909="","",IFERROR(INDEX('Staff Directory'!$D$5:$D$594,MATCH($B1909,'Staff Directory'!$A$5:$A$594,0)),""))</f>
        <v>A1</v>
      </c>
      <c r="F1909" s="9" t="s">
        <v>163</v>
      </c>
      <c r="G1909" s="18" t="str">
        <f>IF($F1909="","",IFERROR(INDEX(Items!$B$5:$B$597,MATCH($F1909,Items!$A$5:$A$597,0)),"⚠ not in Items"))</f>
        <v>Documents</v>
      </c>
      <c r="H1909" s="19" t="str">
        <f>IF($F1909="","",IFERROR(INDEX(Items!$C$5:$C$597,MATCH($F1909,Items!$A$5:$A$597,0)),""))</f>
        <v>Standard</v>
      </c>
      <c r="I1909" s="23">
        <f>IF($F1909="","",IFERROR(INDEX(Items!$E$5:$E$597,MATCH($F1909,Items!$A$5:$A$597,0)),""))</f>
        <v>20</v>
      </c>
      <c r="J1909" s="115">
        <f>IF(tblIssues[[#This Row],[Qty Override]]&lt;&gt;"",tblIssues[[#This Row],[Qty Override]],IF(tblIssues[[#This Row],[Standard Issue]]="","",tblIssues[[#This Row],[Standard Issue]]))</f>
        <v>20</v>
      </c>
      <c r="K1909" s="20">
        <f>IF($F1909="","",IFERROR(INDEX(Items!$D$5:$D$597,MATCH($F1909,Items!$A$5:$A$597,0)),""))</f>
        <v>0</v>
      </c>
      <c r="L1909" s="21">
        <f t="shared" si="327"/>
        <v>0</v>
      </c>
      <c r="M1909" s="9" t="str">
        <f t="shared" si="325"/>
        <v/>
      </c>
      <c r="N1909" s="24">
        <f>IF($A1909="","",WORKDAY($A1909,Settings!$C$9,HolidayDates))</f>
        <v>46233</v>
      </c>
      <c r="O1909" s="24">
        <f>IF($N1909="","",WORKDAY($N1909,Settings!$C$10,HolidayDates))</f>
        <v>46273</v>
      </c>
      <c r="P1909" s="10" t="s">
        <v>502</v>
      </c>
      <c r="Q1909" s="52" t="str">
        <f t="shared" si="328"/>
        <v>Collected</v>
      </c>
      <c r="R1909" s="55" t="str">
        <f t="shared" si="329"/>
        <v>2026-07</v>
      </c>
      <c r="S1909" s="55">
        <f>IF(OR($B1909="",$F1909="",$R1909=""),"",SUMIFS(tblIssues[Qty Issued],tblIssues[Staff ID],$B1909,tblIssues[Item Name],$F1909,tblIssues[Month],$R1909))</f>
        <v>20</v>
      </c>
      <c r="T1909" s="56">
        <f>IF($I1909="","",$I1909*Settings!$C$11)</f>
        <v>20</v>
      </c>
      <c r="U1909" s="57" t="str">
        <f t="shared" si="326"/>
        <v>OK</v>
      </c>
      <c r="V1909" s="55" t="str">
        <f t="shared" si="330"/>
        <v/>
      </c>
      <c r="W1909" s="55" t="str">
        <f>IF($V1909="","",IF(COUNTIF($V$5:$V1909,$V1909)=1,1,""))</f>
        <v/>
      </c>
      <c r="X1909" s="58" t="str">
        <f>IF($W1909="","",MAX($X$4:X1908)+1)</f>
        <v/>
      </c>
      <c r="Y1909" s="62"/>
      <c r="Z1909" s="62"/>
      <c r="AA1909" s="64" t="str">
        <f>IF($C1909="","",IFERROR(INDEX('Staff Directory'!$E$5:$E$594,MATCH($C1909,'Staff Directory'!$B$5:$B$594,0)),""))</f>
        <v>firstname059.lastname059@example.com</v>
      </c>
      <c r="AB1909" s="64" t="str">
        <f>IF($C1909="","",IF(ISNUMBER(SEARCH($D1909,Settings!$C$15)),"Pickup","Dispatch"))</f>
        <v>Dispatch</v>
      </c>
      <c r="AC1909" s="64" t="str">
        <f t="shared" si="331"/>
        <v>Supply order dispatched</v>
      </c>
      <c r="AD1909" s="64" t="str">
        <f t="shared" si="322"/>
        <v>Dear RN,
Your order has been dispatched and is in transit. Reply if undelivered.</v>
      </c>
      <c r="AE1909" s="64" t="str">
        <f t="shared" si="323"/>
        <v>mailto:firstname059.lastname059@example.com?subject=Supply%20order%20dispatched&amp;body=Dear%20RN%2C%0A%0AYour%20order%20has%20been%20dispatched%20and%20is%20in%20transit.%20Reply%20if%20undelivered.</v>
      </c>
      <c r="AF1909" s="89" t="str">
        <f t="shared" si="332"/>
        <v>Draft email</v>
      </c>
      <c r="AG1909" s="64" t="str">
        <f>IF($C1909="","",IFERROR(INDEX('Staff Directory'!$K$595:$K$599,MATCH($C1909,'Staff Directory'!$B$5:$B$599,0)),$D1909))</f>
        <v>RN</v>
      </c>
      <c r="AH1909" t="str">
        <f>IF($C1909="","",IFERROR(INDEX('Staff Directory'!$I$595:$I$599,MATCH($C1909,'Staff Directory'!$B$5:$B$599,0))&amp;" "&amp;INDEX('Staff Directory'!$J$595:$J$599,MATCH($C1909,'Staff Directory'!$B$5:$B$599,0)),$AG1909))</f>
        <v>RN</v>
      </c>
      <c r="AI1909" s="102"/>
      <c r="AJ1909" s="101">
        <f>IF($F1909="","",SUMIFS($J$5:$J1909,$F$5:$F1909,$F1909))</f>
        <v>40</v>
      </c>
      <c r="AK1909" s="101">
        <f t="shared" si="324"/>
        <v>21</v>
      </c>
      <c r="AL1909" s="66" t="str" cm="1">
        <f t="array" ref="AL1909">IF($F1909="","",IFERROR(INDEX('Lot Balance'!$B$5:$B$500,MATCH(1,INDEX(('Lot Balance'!$A$5:$A$500=$F1909)*('Lot Balance'!$K$5:$K$500&lt;$AK1909)*('Lot Balance'!$K$5:$K$500+'Lot Balance'!$D$5:$D$500&gt;=$AK1909),0),0)),""))</f>
        <v/>
      </c>
      <c r="AM1909" s="66" t="str" cm="1">
        <f t="array" ref="AM1909">IF($F1909="","",IFERROR(INDEX('Lot Balance'!$B$5:$B$500,MATCH(1,INDEX(('Lot Balance'!$A$5:$A$500=$F1909)*('Lot Balance'!$K$5:$K$500&lt;$AJ1909)*('Lot Balance'!$K$5:$K$500+'Lot Balance'!$D$5:$D$500&gt;=$AJ1909),0),0)),""))</f>
        <v/>
      </c>
      <c r="AN1909" s="66" t="str">
        <f>IF($F1909="","",IF($AI1909&lt;&gt;"",IF(COUNTIFS('Lot Balance'!$A$5:$A$500,$F1909,'Lot Balance'!$B$5:$B$500,$AI1909)=0,"⚠ override is not a lot of this item",IF($AI1909=$AL1909,"Override = FEFO","Override - FEFO says "&amp;$AL1909)),IF($AL1909="","⚠ no receipt on file for this item",IF($AM1909&lt;&gt;$AL1909,"FEFO auto - split, also "&amp;$AM1909,"FEFO auto"))))</f>
        <v>⚠ no receipt on file for this item</v>
      </c>
      <c r="AO1909" s="114"/>
    </row>
    <row r="1910" spans="1:41" x14ac:dyDescent="0.35">
      <c r="A1910" s="74">
        <v>46227</v>
      </c>
      <c r="B1910" s="18" t="str">
        <f>IF($C1910="","",IFERROR(INDEX('Staff Directory'!$A$5:$A$594,MATCH($C1910,'Staff Directory'!$B$5:$B$594,0)),"⚠ unknown staff"))</f>
        <v>RN-035-A1</v>
      </c>
      <c r="C1910" s="49" t="s">
        <v>956</v>
      </c>
      <c r="D1910" s="19" t="str">
        <f>IF($B1910="","",IFERROR(INDEX('Staff Directory'!$C$5:$C$594,MATCH($B1910,'Staff Directory'!$A$5:$A$594,0)),""))</f>
        <v>RN</v>
      </c>
      <c r="E1910" s="19" t="str">
        <f>IF($B1910="","",IFERROR(INDEX('Staff Directory'!$D$5:$D$594,MATCH($B1910,'Staff Directory'!$A$5:$A$594,0)),""))</f>
        <v>A1</v>
      </c>
      <c r="F1910" s="9" t="s">
        <v>127</v>
      </c>
      <c r="G1910" s="18" t="str">
        <f>IF($F1910="","",IFERROR(INDEX(Items!$B$5:$B$597,MATCH($F1910,Items!$A$5:$A$597,0)),"⚠ not in Items"))</f>
        <v>Gloves</v>
      </c>
      <c r="H1910" s="19" t="str">
        <f>IF($F1910="","",IFERROR(INDEX(Items!$C$5:$C$597,MATCH($F1910,Items!$A$5:$A$597,0)),""))</f>
        <v>Medium</v>
      </c>
      <c r="I1910" s="23">
        <f>IF($F1910="","",IFERROR(INDEX(Items!$E$5:$E$597,MATCH($F1910,Items!$A$5:$A$597,0)),""))</f>
        <v>500</v>
      </c>
      <c r="J1910" s="115">
        <f>IF(tblIssues[[#This Row],[Qty Override]]&lt;&gt;"",tblIssues[[#This Row],[Qty Override]],IF(tblIssues[[#This Row],[Standard Issue]]="","",tblIssues[[#This Row],[Standard Issue]]))</f>
        <v>500</v>
      </c>
      <c r="K1910" s="20">
        <f>IF($F1910="","",IFERROR(INDEX(Items!$D$5:$D$597,MATCH($F1910,Items!$A$5:$A$597,0)),""))</f>
        <v>5.5E-2</v>
      </c>
      <c r="L1910" s="21">
        <f t="shared" si="327"/>
        <v>27.5</v>
      </c>
      <c r="M1910" s="9" t="str">
        <f t="shared" si="325"/>
        <v>ZIM6044151580</v>
      </c>
      <c r="N1910" s="24">
        <f>IF($A1910="","",WORKDAY($A1910,Settings!$C$9,HolidayDates))</f>
        <v>46237</v>
      </c>
      <c r="O1910" s="24">
        <f>IF($N1910="","",WORKDAY($N1910,Settings!$C$10,HolidayDates))</f>
        <v>46275</v>
      </c>
      <c r="P1910" s="10" t="s">
        <v>502</v>
      </c>
      <c r="Q1910" s="52" t="str">
        <f t="shared" si="328"/>
        <v>Collected</v>
      </c>
      <c r="R1910" s="55" t="str">
        <f t="shared" si="329"/>
        <v>2026-07</v>
      </c>
      <c r="S1910" s="55">
        <f>IF(OR($B1910="",$F1910="",$R1910=""),"",SUMIFS(tblIssues[Qty Issued],tblIssues[Staff ID],$B1910,tblIssues[Item Name],$F1910,tblIssues[Month],$R1910))</f>
        <v>1000</v>
      </c>
      <c r="T1910" s="56">
        <f>IF($I1910="","",$I1910*Settings!$C$11)</f>
        <v>500</v>
      </c>
      <c r="U1910" s="57" t="str">
        <f t="shared" si="326"/>
        <v>⚠ OVER QUOTA</v>
      </c>
      <c r="V1910" s="55" t="str">
        <f t="shared" si="330"/>
        <v>RN-035-A1 | Gloves - Medium | 2026-07</v>
      </c>
      <c r="W1910" s="55">
        <f>IF($V1910="","",IF(COUNTIF($V$5:$V1910,$V1910)=1,1,""))</f>
        <v>1</v>
      </c>
      <c r="X1910" s="58">
        <f>IF($W1910="","",MAX($X$4:X1909)+1)</f>
        <v>65</v>
      </c>
      <c r="Y1910" s="62"/>
      <c r="Z1910" s="62"/>
      <c r="AA1910" s="64" t="str">
        <f>IF($C1910="","",IFERROR(INDEX('Staff Directory'!$E$5:$E$594,MATCH($C1910,'Staff Directory'!$B$5:$B$594,0)),""))</f>
        <v>firstname040.lastname040@example.com</v>
      </c>
      <c r="AB1910" s="64" t="str">
        <f>IF($C1910="","",IF(ISNUMBER(SEARCH($D1910,Settings!$C$15)),"Pickup","Dispatch"))</f>
        <v>Dispatch</v>
      </c>
      <c r="AC1910" s="64" t="str">
        <f t="shared" si="331"/>
        <v>Supply order dispatched</v>
      </c>
      <c r="AD1910" s="64" t="str">
        <f t="shared" si="322"/>
        <v>Dear RN,
Your order has been dispatched and is in transit. Reply if undelivered.</v>
      </c>
      <c r="AE1910" s="64" t="str">
        <f t="shared" si="323"/>
        <v>mailto:firstname040.lastname040@example.com?subject=Supply%20order%20dispatched&amp;body=Dear%20RN%2C%0A%0AYour%20order%20has%20been%20dispatched%20and%20is%20in%20transit.%20Reply%20if%20undelivered.</v>
      </c>
      <c r="AF1910" s="89" t="str">
        <f t="shared" si="332"/>
        <v>Draft email</v>
      </c>
      <c r="AG1910" s="64" t="str">
        <f>IF($C1910="","",IFERROR(INDEX('Staff Directory'!$K$595:$K$599,MATCH($C1910,'Staff Directory'!$B$5:$B$599,0)),$D1910))</f>
        <v>RN</v>
      </c>
      <c r="AH1910" t="str">
        <f>IF($C1910="","",IFERROR(INDEX('Staff Directory'!$I$595:$I$599,MATCH($C1910,'Staff Directory'!$B$5:$B$599,0))&amp;" "&amp;INDEX('Staff Directory'!$J$595:$J$599,MATCH($C1910,'Staff Directory'!$B$5:$B$599,0)),$AG1910))</f>
        <v>RN</v>
      </c>
      <c r="AI1910" s="102"/>
      <c r="AJ1910" s="101">
        <f>IF($F1910="","",SUMIFS($J$5:$J1910,$F$5:$F1910,$F1910))</f>
        <v>114500</v>
      </c>
      <c r="AK1910" s="101">
        <f t="shared" si="324"/>
        <v>114001</v>
      </c>
      <c r="AL1910" s="66" t="str" cm="1">
        <f t="array" ref="AL1910">IF($F1910="","",IFERROR(INDEX('Lot Balance'!$B$5:$B$500,MATCH(1,INDEX(('Lot Balance'!$A$5:$A$500=$F1910)*('Lot Balance'!$K$5:$K$500&lt;$AK1910)*('Lot Balance'!$K$5:$K$500+'Lot Balance'!$D$5:$D$500&gt;=$AK1910),0),0)),""))</f>
        <v>ZIM6044151580</v>
      </c>
      <c r="AM1910" s="66" t="str" cm="1">
        <f t="array" ref="AM1910">IF($F1910="","",IFERROR(INDEX('Lot Balance'!$B$5:$B$500,MATCH(1,INDEX(('Lot Balance'!$A$5:$A$500=$F1910)*('Lot Balance'!$K$5:$K$500&lt;$AJ1910)*('Lot Balance'!$K$5:$K$500+'Lot Balance'!$D$5:$D$500&gt;=$AJ1910),0),0)),""))</f>
        <v>ZIM6044151580</v>
      </c>
      <c r="AN1910" s="66" t="str">
        <f>IF($F1910="","",IF($AI1910&lt;&gt;"",IF(COUNTIFS('Lot Balance'!$A$5:$A$500,$F1910,'Lot Balance'!$B$5:$B$500,$AI1910)=0,"⚠ override is not a lot of this item",IF($AI1910=$AL1910,"Override = FEFO","Override - FEFO says "&amp;$AL1910)),IF($AL1910="","⚠ no receipt on file for this item",IF($AM1910&lt;&gt;$AL1910,"FEFO auto - split, also "&amp;$AM1910,"FEFO auto"))))</f>
        <v>FEFO auto</v>
      </c>
      <c r="AO1910" s="114"/>
    </row>
    <row r="1911" spans="1:41" x14ac:dyDescent="0.35">
      <c r="A1911" s="74">
        <v>46227</v>
      </c>
      <c r="B1911" s="18" t="str">
        <f>IF($C1911="","",IFERROR(INDEX('Staff Directory'!$A$5:$A$594,MATCH($C1911,'Staff Directory'!$B$5:$B$594,0)),"⚠ unknown staff"))</f>
        <v>RN-035-A1</v>
      </c>
      <c r="C1911" s="49" t="s">
        <v>956</v>
      </c>
      <c r="D1911" s="19" t="str">
        <f>IF($B1911="","",IFERROR(INDEX('Staff Directory'!$C$5:$C$594,MATCH($B1911,'Staff Directory'!$A$5:$A$594,0)),""))</f>
        <v>RN</v>
      </c>
      <c r="E1911" s="19" t="str">
        <f>IF($B1911="","",IFERROR(INDEX('Staff Directory'!$D$5:$D$594,MATCH($B1911,'Staff Directory'!$A$5:$A$594,0)),""))</f>
        <v>A1</v>
      </c>
      <c r="F1911" s="9" t="s">
        <v>127</v>
      </c>
      <c r="G1911" s="18" t="str">
        <f>IF($F1911="","",IFERROR(INDEX(Items!$B$5:$B$597,MATCH($F1911,Items!$A$5:$A$597,0)),"⚠ not in Items"))</f>
        <v>Gloves</v>
      </c>
      <c r="H1911" s="19" t="str">
        <f>IF($F1911="","",IFERROR(INDEX(Items!$C$5:$C$597,MATCH($F1911,Items!$A$5:$A$597,0)),""))</f>
        <v>Medium</v>
      </c>
      <c r="I1911" s="23">
        <f>IF($F1911="","",IFERROR(INDEX(Items!$E$5:$E$597,MATCH($F1911,Items!$A$5:$A$597,0)),""))</f>
        <v>500</v>
      </c>
      <c r="J1911" s="115">
        <f>IF(tblIssues[[#This Row],[Qty Override]]&lt;&gt;"",tblIssues[[#This Row],[Qty Override]],IF(tblIssues[[#This Row],[Standard Issue]]="","",tblIssues[[#This Row],[Standard Issue]]))</f>
        <v>500</v>
      </c>
      <c r="K1911" s="20">
        <f>IF($F1911="","",IFERROR(INDEX(Items!$D$5:$D$597,MATCH($F1911,Items!$A$5:$A$597,0)),""))</f>
        <v>5.5E-2</v>
      </c>
      <c r="L1911" s="21">
        <f t="shared" si="327"/>
        <v>27.5</v>
      </c>
      <c r="M1911" s="9" t="str">
        <f t="shared" si="325"/>
        <v>ZIM6044151580</v>
      </c>
      <c r="N1911" s="24">
        <f>IF($A1911="","",WORKDAY($A1911,Settings!$C$9,HolidayDates))</f>
        <v>46237</v>
      </c>
      <c r="O1911" s="24">
        <f>IF($N1911="","",WORKDAY($N1911,Settings!$C$10,HolidayDates))</f>
        <v>46275</v>
      </c>
      <c r="P1911" s="10" t="s">
        <v>502</v>
      </c>
      <c r="Q1911" s="52" t="str">
        <f t="shared" si="328"/>
        <v>Collected</v>
      </c>
      <c r="R1911" s="55" t="str">
        <f t="shared" si="329"/>
        <v>2026-07</v>
      </c>
      <c r="S1911" s="55">
        <f>IF(OR($B1911="",$F1911="",$R1911=""),"",SUMIFS(tblIssues[Qty Issued],tblIssues[Staff ID],$B1911,tblIssues[Item Name],$F1911,tblIssues[Month],$R1911))</f>
        <v>1000</v>
      </c>
      <c r="T1911" s="56">
        <f>IF($I1911="","",$I1911*Settings!$C$11)</f>
        <v>500</v>
      </c>
      <c r="U1911" s="57" t="str">
        <f t="shared" si="326"/>
        <v>⚠ OVER QUOTA</v>
      </c>
      <c r="V1911" s="55" t="str">
        <f t="shared" si="330"/>
        <v>RN-035-A1 | Gloves - Medium | 2026-07</v>
      </c>
      <c r="W1911" s="55" t="str">
        <f>IF($V1911="","",IF(COUNTIF($V$5:$V1911,$V1911)=1,1,""))</f>
        <v/>
      </c>
      <c r="X1911" s="58" t="str">
        <f>IF($W1911="","",MAX($X$4:X1910)+1)</f>
        <v/>
      </c>
      <c r="Y1911" s="62"/>
      <c r="Z1911" s="62"/>
      <c r="AA1911" s="64" t="str">
        <f>IF($C1911="","",IFERROR(INDEX('Staff Directory'!$E$5:$E$594,MATCH($C1911,'Staff Directory'!$B$5:$B$594,0)),""))</f>
        <v>firstname040.lastname040@example.com</v>
      </c>
      <c r="AB1911" s="64" t="str">
        <f>IF($C1911="","",IF(ISNUMBER(SEARCH($D1911,Settings!$C$15)),"Pickup","Dispatch"))</f>
        <v>Dispatch</v>
      </c>
      <c r="AC1911" s="64" t="str">
        <f t="shared" si="331"/>
        <v>Supply order dispatched</v>
      </c>
      <c r="AD1911" s="64" t="str">
        <f t="shared" si="322"/>
        <v>Dear RN,
Your order has been dispatched and is in transit. Reply if undelivered.</v>
      </c>
      <c r="AE1911" s="64" t="str">
        <f t="shared" si="323"/>
        <v>mailto:firstname040.lastname040@example.com?subject=Supply%20order%20dispatched&amp;body=Dear%20RN%2C%0A%0AYour%20order%20has%20been%20dispatched%20and%20is%20in%20transit.%20Reply%20if%20undelivered.</v>
      </c>
      <c r="AF1911" s="89" t="str">
        <f t="shared" si="332"/>
        <v>Draft email</v>
      </c>
      <c r="AG1911" s="64" t="str">
        <f>IF($C1911="","",IFERROR(INDEX('Staff Directory'!$K$595:$K$599,MATCH($C1911,'Staff Directory'!$B$5:$B$599,0)),$D1911))</f>
        <v>RN</v>
      </c>
      <c r="AH1911" t="str">
        <f>IF($C1911="","",IFERROR(INDEX('Staff Directory'!$I$595:$I$599,MATCH($C1911,'Staff Directory'!$B$5:$B$599,0))&amp;" "&amp;INDEX('Staff Directory'!$J$595:$J$599,MATCH($C1911,'Staff Directory'!$B$5:$B$599,0)),$AG1911))</f>
        <v>RN</v>
      </c>
      <c r="AI1911" s="102"/>
      <c r="AJ1911" s="101">
        <f>IF($F1911="","",SUMIFS($J$5:$J1911,$F$5:$F1911,$F1911))</f>
        <v>115000</v>
      </c>
      <c r="AK1911" s="101">
        <f t="shared" si="324"/>
        <v>114501</v>
      </c>
      <c r="AL1911" s="66" t="str" cm="1">
        <f t="array" ref="AL1911">IF($F1911="","",IFERROR(INDEX('Lot Balance'!$B$5:$B$500,MATCH(1,INDEX(('Lot Balance'!$A$5:$A$500=$F1911)*('Lot Balance'!$K$5:$K$500&lt;$AK1911)*('Lot Balance'!$K$5:$K$500+'Lot Balance'!$D$5:$D$500&gt;=$AK1911),0),0)),""))</f>
        <v>ZIM6044151580</v>
      </c>
      <c r="AM1911" s="66" t="str" cm="1">
        <f t="array" ref="AM1911">IF($F1911="","",IFERROR(INDEX('Lot Balance'!$B$5:$B$500,MATCH(1,INDEX(('Lot Balance'!$A$5:$A$500=$F1911)*('Lot Balance'!$K$5:$K$500&lt;$AJ1911)*('Lot Balance'!$K$5:$K$500+'Lot Balance'!$D$5:$D$500&gt;=$AJ1911),0),0)),""))</f>
        <v>ZIM6044151580</v>
      </c>
      <c r="AN1911" s="66" t="str">
        <f>IF($F1911="","",IF($AI1911&lt;&gt;"",IF(COUNTIFS('Lot Balance'!$A$5:$A$500,$F1911,'Lot Balance'!$B$5:$B$500,$AI1911)=0,"⚠ override is not a lot of this item",IF($AI1911=$AL1911,"Override = FEFO","Override - FEFO says "&amp;$AL1911)),IF($AL1911="","⚠ no receipt on file for this item",IF($AM1911&lt;&gt;$AL1911,"FEFO auto - split, also "&amp;$AM1911,"FEFO auto"))))</f>
        <v>FEFO auto</v>
      </c>
      <c r="AO1911" s="114"/>
    </row>
    <row r="1912" spans="1:41" x14ac:dyDescent="0.35">
      <c r="A1912" s="74">
        <v>46227</v>
      </c>
      <c r="B1912" s="18" t="str">
        <f>IF($C1912="","",IFERROR(INDEX('Staff Directory'!$A$5:$A$594,MATCH($C1912,'Staff Directory'!$B$5:$B$594,0)),"⚠ unknown staff"))</f>
        <v>PSW-024-A4</v>
      </c>
      <c r="C1912" s="49" t="s">
        <v>1000</v>
      </c>
      <c r="D1912" s="19" t="str">
        <f>IF($B1912="","",IFERROR(INDEX('Staff Directory'!$C$5:$C$594,MATCH($B1912,'Staff Directory'!$A$5:$A$594,0)),""))</f>
        <v>PSW</v>
      </c>
      <c r="E1912" s="19" t="str">
        <f>IF($B1912="","",IFERROR(INDEX('Staff Directory'!$D$5:$D$594,MATCH($B1912,'Staff Directory'!$A$5:$A$594,0)),""))</f>
        <v>A4</v>
      </c>
      <c r="F1912" s="9" t="s">
        <v>127</v>
      </c>
      <c r="G1912" s="18" t="str">
        <f>IF($F1912="","",IFERROR(INDEX(Items!$B$5:$B$597,MATCH($F1912,Items!$A$5:$A$597,0)),"⚠ not in Items"))</f>
        <v>Gloves</v>
      </c>
      <c r="H1912" s="19" t="str">
        <f>IF($F1912="","",IFERROR(INDEX(Items!$C$5:$C$597,MATCH($F1912,Items!$A$5:$A$597,0)),""))</f>
        <v>Medium</v>
      </c>
      <c r="I1912" s="23">
        <f>IF($F1912="","",IFERROR(INDEX(Items!$E$5:$E$597,MATCH($F1912,Items!$A$5:$A$597,0)),""))</f>
        <v>500</v>
      </c>
      <c r="J1912" s="115">
        <f>IF(tblIssues[[#This Row],[Qty Override]]&lt;&gt;"",tblIssues[[#This Row],[Qty Override]],IF(tblIssues[[#This Row],[Standard Issue]]="","",tblIssues[[#This Row],[Standard Issue]]))</f>
        <v>500</v>
      </c>
      <c r="K1912" s="20">
        <f>IF($F1912="","",IFERROR(INDEX(Items!$D$5:$D$597,MATCH($F1912,Items!$A$5:$A$597,0)),""))</f>
        <v>5.5E-2</v>
      </c>
      <c r="L1912" s="21">
        <f t="shared" si="327"/>
        <v>27.5</v>
      </c>
      <c r="M1912" s="9" t="str">
        <f t="shared" si="325"/>
        <v>ZIM6044151580</v>
      </c>
      <c r="N1912" s="24">
        <f>IF($A1912="","",WORKDAY($A1912,Settings!$C$9,HolidayDates))</f>
        <v>46237</v>
      </c>
      <c r="O1912" s="24">
        <f>IF($N1912="","",WORKDAY($N1912,Settings!$C$10,HolidayDates))</f>
        <v>46275</v>
      </c>
      <c r="P1912" s="10" t="s">
        <v>501</v>
      </c>
      <c r="Q1912" s="52" t="str">
        <f t="shared" si="328"/>
        <v>Collected</v>
      </c>
      <c r="R1912" s="55" t="str">
        <f t="shared" si="329"/>
        <v>2026-07</v>
      </c>
      <c r="S1912" s="55">
        <f>IF(OR($B1912="",$F1912="",$R1912=""),"",SUMIFS(tblIssues[Qty Issued],tblIssues[Staff ID],$B1912,tblIssues[Item Name],$F1912,tblIssues[Month],$R1912))</f>
        <v>500</v>
      </c>
      <c r="T1912" s="56">
        <f>IF($I1912="","",$I1912*Settings!$C$11)</f>
        <v>500</v>
      </c>
      <c r="U1912" s="57" t="str">
        <f t="shared" si="326"/>
        <v>OK</v>
      </c>
      <c r="V1912" s="55" t="str">
        <f t="shared" si="330"/>
        <v/>
      </c>
      <c r="W1912" s="55" t="str">
        <f>IF($V1912="","",IF(COUNTIF($V$5:$V1912,$V1912)=1,1,""))</f>
        <v/>
      </c>
      <c r="X1912" s="58" t="str">
        <f>IF($W1912="","",MAX($X$4:X1911)+1)</f>
        <v/>
      </c>
      <c r="Y1912" s="62"/>
      <c r="Z1912" s="62"/>
      <c r="AA1912" s="64" t="str">
        <f>IF($C1912="","",IFERROR(INDEX('Staff Directory'!$E$5:$E$594,MATCH($C1912,'Staff Directory'!$B$5:$B$594,0)),""))</f>
        <v>firstname084.lastname084@example.com</v>
      </c>
      <c r="AB1912" s="64" t="str">
        <f>IF($C1912="","",IF(ISNUMBER(SEARCH($D1912,Settings!$C$15)),"Pickup","Dispatch"))</f>
        <v>Pickup</v>
      </c>
      <c r="AC1912" s="64" t="str">
        <f t="shared" si="331"/>
        <v>Supply order ready for pickup</v>
      </c>
      <c r="AD1912" s="64" t="str">
        <f t="shared" si="322"/>
        <v>Dear PSW,
Your order is ready for pickup from Sample Branch, Wed-Fri 9am-4pm.</v>
      </c>
      <c r="AE1912" s="64" t="str">
        <f t="shared" si="323"/>
        <v>mailto:firstname084.lastname084@example.com?subject=Supply%20order%20ready%20for%20pickup&amp;body=Dear%20PSW%2C%0A%0AYour%20order%20is%20ready%20for%20pickup%20from%20Sample%20Branch%2C%20Wed-Fri%209am-4pm.</v>
      </c>
      <c r="AF1912" s="89" t="str">
        <f t="shared" si="332"/>
        <v>Draft email</v>
      </c>
      <c r="AG1912" s="64" t="str">
        <f>IF($C1912="","",IFERROR(INDEX('Staff Directory'!$K$595:$K$599,MATCH($C1912,'Staff Directory'!$B$5:$B$599,0)),$D1912))</f>
        <v>PSW</v>
      </c>
      <c r="AH1912" t="str">
        <f>IF($C1912="","",IFERROR(INDEX('Staff Directory'!$I$595:$I$599,MATCH($C1912,'Staff Directory'!$B$5:$B$599,0))&amp;" "&amp;INDEX('Staff Directory'!$J$595:$J$599,MATCH($C1912,'Staff Directory'!$B$5:$B$599,0)),$AG1912))</f>
        <v>PSW</v>
      </c>
      <c r="AI1912" s="102"/>
      <c r="AJ1912" s="101">
        <f>IF($F1912="","",SUMIFS($J$5:$J1912,$F$5:$F1912,$F1912))</f>
        <v>115500</v>
      </c>
      <c r="AK1912" s="101">
        <f t="shared" si="324"/>
        <v>115001</v>
      </c>
      <c r="AL1912" s="66" t="str" cm="1">
        <f t="array" ref="AL1912">IF($F1912="","",IFERROR(INDEX('Lot Balance'!$B$5:$B$500,MATCH(1,INDEX(('Lot Balance'!$A$5:$A$500=$F1912)*('Lot Balance'!$K$5:$K$500&lt;$AK1912)*('Lot Balance'!$K$5:$K$500+'Lot Balance'!$D$5:$D$500&gt;=$AK1912),0),0)),""))</f>
        <v>ZIM6044151580</v>
      </c>
      <c r="AM1912" s="66" t="str" cm="1">
        <f t="array" ref="AM1912">IF($F1912="","",IFERROR(INDEX('Lot Balance'!$B$5:$B$500,MATCH(1,INDEX(('Lot Balance'!$A$5:$A$500=$F1912)*('Lot Balance'!$K$5:$K$500&lt;$AJ1912)*('Lot Balance'!$K$5:$K$500+'Lot Balance'!$D$5:$D$500&gt;=$AJ1912),0),0)),""))</f>
        <v>ZIM6044151580</v>
      </c>
      <c r="AN1912" s="66" t="str">
        <f>IF($F1912="","",IF($AI1912&lt;&gt;"",IF(COUNTIFS('Lot Balance'!$A$5:$A$500,$F1912,'Lot Balance'!$B$5:$B$500,$AI1912)=0,"⚠ override is not a lot of this item",IF($AI1912=$AL1912,"Override = FEFO","Override - FEFO says "&amp;$AL1912)),IF($AL1912="","⚠ no receipt on file for this item",IF($AM1912&lt;&gt;$AL1912,"FEFO auto - split, also "&amp;$AM1912,"FEFO auto"))))</f>
        <v>FEFO auto</v>
      </c>
      <c r="AO1912" s="114"/>
    </row>
    <row r="1913" spans="1:41" x14ac:dyDescent="0.35">
      <c r="A1913" s="74">
        <v>46227</v>
      </c>
      <c r="B1913" s="18" t="str">
        <f>IF($C1913="","",IFERROR(INDEX('Staff Directory'!$A$5:$A$594,MATCH($C1913,'Staff Directory'!$B$5:$B$594,0)),"⚠ unknown staff"))</f>
        <v>PSW-024-A4</v>
      </c>
      <c r="C1913" s="49" t="s">
        <v>1000</v>
      </c>
      <c r="D1913" s="19" t="str">
        <f>IF($B1913="","",IFERROR(INDEX('Staff Directory'!$C$5:$C$594,MATCH($B1913,'Staff Directory'!$A$5:$A$594,0)),""))</f>
        <v>PSW</v>
      </c>
      <c r="E1913" s="19" t="str">
        <f>IF($B1913="","",IFERROR(INDEX('Staff Directory'!$D$5:$D$594,MATCH($B1913,'Staff Directory'!$A$5:$A$594,0)),""))</f>
        <v>A4</v>
      </c>
      <c r="F1913" s="9" t="s">
        <v>191</v>
      </c>
      <c r="G1913" s="18" t="str">
        <f>IF($F1913="","",IFERROR(INDEX(Items!$B$5:$B$597,MATCH($F1913,Items!$A$5:$A$597,0)),"⚠ not in Items"))</f>
        <v>Sanitizer</v>
      </c>
      <c r="H1913" s="19" t="str">
        <f>IF($F1913="","",IFERROR(INDEX(Items!$C$5:$C$597,MATCH($F1913,Items!$A$5:$A$597,0)),""))</f>
        <v>236 ML</v>
      </c>
      <c r="I1913" s="23">
        <f>IF($F1913="","",IFERROR(INDEX(Items!$E$5:$E$597,MATCH($F1913,Items!$A$5:$A$597,0)),""))</f>
        <v>1</v>
      </c>
      <c r="J1913" s="115">
        <f>IF(tblIssues[[#This Row],[Qty Override]]&lt;&gt;"",tblIssues[[#This Row],[Qty Override]],IF(tblIssues[[#This Row],[Standard Issue]]="","",tblIssues[[#This Row],[Standard Issue]]))</f>
        <v>1</v>
      </c>
      <c r="K1913" s="20">
        <f>IF($F1913="","",IFERROR(INDEX(Items!$D$5:$D$597,MATCH($F1913,Items!$A$5:$A$597,0)),""))</f>
        <v>1E-4</v>
      </c>
      <c r="L1913" s="21">
        <f t="shared" si="327"/>
        <v>1E-4</v>
      </c>
      <c r="M1913" s="9" t="str">
        <f t="shared" si="325"/>
        <v>20-21734-6</v>
      </c>
      <c r="N1913" s="24">
        <f>IF($A1913="","",WORKDAY($A1913,Settings!$C$9,HolidayDates))</f>
        <v>46237</v>
      </c>
      <c r="O1913" s="24">
        <f>IF($N1913="","",WORKDAY($N1913,Settings!$C$10,HolidayDates))</f>
        <v>46275</v>
      </c>
      <c r="P1913" s="10" t="s">
        <v>501</v>
      </c>
      <c r="Q1913" s="52" t="str">
        <f t="shared" si="328"/>
        <v>Collected</v>
      </c>
      <c r="R1913" s="55" t="str">
        <f t="shared" si="329"/>
        <v>2026-07</v>
      </c>
      <c r="S1913" s="55">
        <f>IF(OR($B1913="",$F1913="",$R1913=""),"",SUMIFS(tblIssues[Qty Issued],tblIssues[Staff ID],$B1913,tblIssues[Item Name],$F1913,tblIssues[Month],$R1913))</f>
        <v>1</v>
      </c>
      <c r="T1913" s="56">
        <f>IF($I1913="","",$I1913*Settings!$C$11)</f>
        <v>1</v>
      </c>
      <c r="U1913" s="57" t="str">
        <f t="shared" si="326"/>
        <v>OK</v>
      </c>
      <c r="V1913" s="55" t="str">
        <f t="shared" si="330"/>
        <v/>
      </c>
      <c r="W1913" s="55" t="str">
        <f>IF($V1913="","",IF(COUNTIF($V$5:$V1913,$V1913)=1,1,""))</f>
        <v/>
      </c>
      <c r="X1913" s="58" t="str">
        <f>IF($W1913="","",MAX($X$4:X1912)+1)</f>
        <v/>
      </c>
      <c r="Y1913" s="62"/>
      <c r="Z1913" s="62"/>
      <c r="AA1913" s="64" t="str">
        <f>IF($C1913="","",IFERROR(INDEX('Staff Directory'!$E$5:$E$594,MATCH($C1913,'Staff Directory'!$B$5:$B$594,0)),""))</f>
        <v>firstname084.lastname084@example.com</v>
      </c>
      <c r="AB1913" s="64" t="str">
        <f>IF($C1913="","",IF(ISNUMBER(SEARCH($D1913,Settings!$C$15)),"Pickup","Dispatch"))</f>
        <v>Pickup</v>
      </c>
      <c r="AC1913" s="64" t="str">
        <f t="shared" si="331"/>
        <v>Supply order ready for pickup</v>
      </c>
      <c r="AD1913" s="64" t="str">
        <f t="shared" si="322"/>
        <v>Dear PSW,
Your order is ready for pickup from Sample Branch, Wed-Fri 9am-4pm.</v>
      </c>
      <c r="AE1913" s="64" t="str">
        <f t="shared" si="323"/>
        <v>mailto:firstname084.lastname084@example.com?subject=Supply%20order%20ready%20for%20pickup&amp;body=Dear%20PSW%2C%0A%0AYour%20order%20is%20ready%20for%20pickup%20from%20Sample%20Branch%2C%20Wed-Fri%209am-4pm.</v>
      </c>
      <c r="AF1913" s="89" t="str">
        <f t="shared" si="332"/>
        <v>Draft email</v>
      </c>
      <c r="AG1913" s="64" t="str">
        <f>IF($C1913="","",IFERROR(INDEX('Staff Directory'!$K$595:$K$599,MATCH($C1913,'Staff Directory'!$B$5:$B$599,0)),$D1913))</f>
        <v>PSW</v>
      </c>
      <c r="AH1913" t="str">
        <f>IF($C1913="","",IFERROR(INDEX('Staff Directory'!$I$595:$I$599,MATCH($C1913,'Staff Directory'!$B$5:$B$599,0))&amp;" "&amp;INDEX('Staff Directory'!$J$595:$J$599,MATCH($C1913,'Staff Directory'!$B$5:$B$599,0)),$AG1913))</f>
        <v>PSW</v>
      </c>
      <c r="AI1913" s="102"/>
      <c r="AJ1913" s="101">
        <f>IF($F1913="","",SUMIFS($J$5:$J1913,$F$5:$F1913,$F1913))</f>
        <v>262</v>
      </c>
      <c r="AK1913" s="101">
        <f t="shared" si="324"/>
        <v>262</v>
      </c>
      <c r="AL1913" s="66" t="str" cm="1">
        <f t="array" ref="AL1913">IF($F1913="","",IFERROR(INDEX('Lot Balance'!$B$5:$B$500,MATCH(1,INDEX(('Lot Balance'!$A$5:$A$500=$F1913)*('Lot Balance'!$K$5:$K$500&lt;$AK1913)*('Lot Balance'!$K$5:$K$500+'Lot Balance'!$D$5:$D$500&gt;=$AK1913),0),0)),""))</f>
        <v>20-21734-6</v>
      </c>
      <c r="AM1913" s="66" t="str" cm="1">
        <f t="array" ref="AM1913">IF($F1913="","",IFERROR(INDEX('Lot Balance'!$B$5:$B$500,MATCH(1,INDEX(('Lot Balance'!$A$5:$A$500=$F1913)*('Lot Balance'!$K$5:$K$500&lt;$AJ1913)*('Lot Balance'!$K$5:$K$500+'Lot Balance'!$D$5:$D$500&gt;=$AJ1913),0),0)),""))</f>
        <v>20-21734-6</v>
      </c>
      <c r="AN1913" s="66" t="str">
        <f>IF($F1913="","",IF($AI1913&lt;&gt;"",IF(COUNTIFS('Lot Balance'!$A$5:$A$500,$F1913,'Lot Balance'!$B$5:$B$500,$AI1913)=0,"⚠ override is not a lot of this item",IF($AI1913=$AL1913,"Override = FEFO","Override - FEFO says "&amp;$AL1913)),IF($AL1913="","⚠ no receipt on file for this item",IF($AM1913&lt;&gt;$AL1913,"FEFO auto - split, also "&amp;$AM1913,"FEFO auto"))))</f>
        <v>FEFO auto</v>
      </c>
      <c r="AO1913" s="114"/>
    </row>
    <row r="1914" spans="1:41" x14ac:dyDescent="0.35">
      <c r="A1914" s="74">
        <v>46227</v>
      </c>
      <c r="B1914" s="18" t="str">
        <f>IF($C1914="","",IFERROR(INDEX('Staff Directory'!$A$5:$A$594,MATCH($C1914,'Staff Directory'!$B$5:$B$594,0)),"⚠ unknown staff"))</f>
        <v>PSW-024-A4</v>
      </c>
      <c r="C1914" s="49" t="s">
        <v>1000</v>
      </c>
      <c r="D1914" s="19" t="str">
        <f>IF($B1914="","",IFERROR(INDEX('Staff Directory'!$C$5:$C$594,MATCH($B1914,'Staff Directory'!$A$5:$A$594,0)),""))</f>
        <v>PSW</v>
      </c>
      <c r="E1914" s="19" t="str">
        <f>IF($B1914="","",IFERROR(INDEX('Staff Directory'!$D$5:$D$594,MATCH($B1914,'Staff Directory'!$A$5:$A$594,0)),""))</f>
        <v>A4</v>
      </c>
      <c r="F1914" s="9" t="s">
        <v>115</v>
      </c>
      <c r="G1914" s="18" t="str">
        <f>IF($F1914="","",IFERROR(INDEX(Items!$B$5:$B$597,MATCH($F1914,Items!$A$5:$A$597,0)),"⚠ not in Items"))</f>
        <v>Wipes</v>
      </c>
      <c r="H1914" s="19">
        <f>IF($F1914="","",IFERROR(INDEX(Items!$C$5:$C$597,MATCH($F1914,Items!$A$5:$A$597,0)),""))</f>
        <v>80</v>
      </c>
      <c r="I1914" s="23">
        <f>IF($F1914="","",IFERROR(INDEX(Items!$E$5:$E$597,MATCH($F1914,Items!$A$5:$A$597,0)),""))</f>
        <v>80</v>
      </c>
      <c r="J1914" s="115">
        <f>IF(tblIssues[[#This Row],[Qty Override]]&lt;&gt;"",tblIssues[[#This Row],[Qty Override]],IF(tblIssues[[#This Row],[Standard Issue]]="","",tblIssues[[#This Row],[Standard Issue]]))</f>
        <v>80</v>
      </c>
      <c r="K1914" s="20">
        <f>IF($F1914="","",IFERROR(INDEX(Items!$D$5:$D$597,MATCH($F1914,Items!$A$5:$A$597,0)),""))</f>
        <v>0.1</v>
      </c>
      <c r="L1914" s="21">
        <f t="shared" si="327"/>
        <v>8</v>
      </c>
      <c r="M1914" s="9" t="str">
        <f t="shared" si="325"/>
        <v>LYSL500290</v>
      </c>
      <c r="N1914" s="24">
        <f>IF($A1914="","",WORKDAY($A1914,Settings!$C$9,HolidayDates))</f>
        <v>46237</v>
      </c>
      <c r="O1914" s="24">
        <f>IF($N1914="","",WORKDAY($N1914,Settings!$C$10,HolidayDates))</f>
        <v>46275</v>
      </c>
      <c r="P1914" s="10" t="s">
        <v>501</v>
      </c>
      <c r="Q1914" s="52" t="str">
        <f t="shared" si="328"/>
        <v>Collected</v>
      </c>
      <c r="R1914" s="55" t="str">
        <f t="shared" si="329"/>
        <v>2026-07</v>
      </c>
      <c r="S1914" s="55">
        <f>IF(OR($B1914="",$F1914="",$R1914=""),"",SUMIFS(tblIssues[Qty Issued],tblIssues[Staff ID],$B1914,tblIssues[Item Name],$F1914,tblIssues[Month],$R1914))</f>
        <v>80</v>
      </c>
      <c r="T1914" s="56">
        <f>IF($I1914="","",$I1914*Settings!$C$11)</f>
        <v>80</v>
      </c>
      <c r="U1914" s="57" t="str">
        <f t="shared" si="326"/>
        <v>OK</v>
      </c>
      <c r="V1914" s="55" t="str">
        <f t="shared" si="330"/>
        <v/>
      </c>
      <c r="W1914" s="55" t="str">
        <f>IF($V1914="","",IF(COUNTIF($V$5:$V1914,$V1914)=1,1,""))</f>
        <v/>
      </c>
      <c r="X1914" s="58" t="str">
        <f>IF($W1914="","",MAX($X$4:X1913)+1)</f>
        <v/>
      </c>
      <c r="Y1914" s="62"/>
      <c r="Z1914" s="62"/>
      <c r="AA1914" s="64" t="str">
        <f>IF($C1914="","",IFERROR(INDEX('Staff Directory'!$E$5:$E$594,MATCH($C1914,'Staff Directory'!$B$5:$B$594,0)),""))</f>
        <v>firstname084.lastname084@example.com</v>
      </c>
      <c r="AB1914" s="64" t="str">
        <f>IF($C1914="","",IF(ISNUMBER(SEARCH($D1914,Settings!$C$15)),"Pickup","Dispatch"))</f>
        <v>Pickup</v>
      </c>
      <c r="AC1914" s="64" t="str">
        <f t="shared" si="331"/>
        <v>Supply order ready for pickup</v>
      </c>
      <c r="AD1914" s="64" t="str">
        <f t="shared" si="322"/>
        <v>Dear PSW,
Your order is ready for pickup from Sample Branch, Wed-Fri 9am-4pm.</v>
      </c>
      <c r="AE1914" s="64" t="str">
        <f t="shared" si="323"/>
        <v>mailto:firstname084.lastname084@example.com?subject=Supply%20order%20ready%20for%20pickup&amp;body=Dear%20PSW%2C%0A%0AYour%20order%20is%20ready%20for%20pickup%20from%20Sample%20Branch%2C%20Wed-Fri%209am-4pm.</v>
      </c>
      <c r="AF1914" s="89" t="str">
        <f t="shared" si="332"/>
        <v>Draft email</v>
      </c>
      <c r="AG1914" s="64" t="str">
        <f>IF($C1914="","",IFERROR(INDEX('Staff Directory'!$K$595:$K$599,MATCH($C1914,'Staff Directory'!$B$5:$B$599,0)),$D1914))</f>
        <v>PSW</v>
      </c>
      <c r="AH1914" t="str">
        <f>IF($C1914="","",IFERROR(INDEX('Staff Directory'!$I$595:$I$599,MATCH($C1914,'Staff Directory'!$B$5:$B$599,0))&amp;" "&amp;INDEX('Staff Directory'!$J$595:$J$599,MATCH($C1914,'Staff Directory'!$B$5:$B$599,0)),$AG1914))</f>
        <v>PSW</v>
      </c>
      <c r="AI1914" s="102"/>
      <c r="AJ1914" s="101">
        <f>IF($F1914="","",SUMIFS($J$5:$J1914,$F$5:$F1914,$F1914))</f>
        <v>25520</v>
      </c>
      <c r="AK1914" s="101">
        <f t="shared" si="324"/>
        <v>25441</v>
      </c>
      <c r="AL1914" s="66" t="str" cm="1">
        <f t="array" ref="AL1914">IF($F1914="","",IFERROR(INDEX('Lot Balance'!$B$5:$B$500,MATCH(1,INDEX(('Lot Balance'!$A$5:$A$500=$F1914)*('Lot Balance'!$K$5:$K$500&lt;$AK1914)*('Lot Balance'!$K$5:$K$500+'Lot Balance'!$D$5:$D$500&gt;=$AK1914),0),0)),""))</f>
        <v>LYSL500290</v>
      </c>
      <c r="AM1914" s="66" t="str" cm="1">
        <f t="array" ref="AM1914">IF($F1914="","",IFERROR(INDEX('Lot Balance'!$B$5:$B$500,MATCH(1,INDEX(('Lot Balance'!$A$5:$A$500=$F1914)*('Lot Balance'!$K$5:$K$500&lt;$AJ1914)*('Lot Balance'!$K$5:$K$500+'Lot Balance'!$D$5:$D$500&gt;=$AJ1914),0),0)),""))</f>
        <v>LYSL500290</v>
      </c>
      <c r="AN1914" s="66" t="str">
        <f>IF($F1914="","",IF($AI1914&lt;&gt;"",IF(COUNTIFS('Lot Balance'!$A$5:$A$500,$F1914,'Lot Balance'!$B$5:$B$500,$AI1914)=0,"⚠ override is not a lot of this item",IF($AI1914=$AL1914,"Override = FEFO","Override - FEFO says "&amp;$AL1914)),IF($AL1914="","⚠ no receipt on file for this item",IF($AM1914&lt;&gt;$AL1914,"FEFO auto - split, also "&amp;$AM1914,"FEFO auto"))))</f>
        <v>FEFO auto</v>
      </c>
      <c r="AO1914" s="114"/>
    </row>
    <row r="1915" spans="1:41" x14ac:dyDescent="0.35">
      <c r="A1915" s="74">
        <v>46227</v>
      </c>
      <c r="B1915" s="18" t="str">
        <f>IF($C1915="","",IFERROR(INDEX('Staff Directory'!$A$5:$A$594,MATCH($C1915,'Staff Directory'!$B$5:$B$594,0)),"⚠ unknown staff"))</f>
        <v>PSW-024-A4</v>
      </c>
      <c r="C1915" s="49" t="s">
        <v>1000</v>
      </c>
      <c r="D1915" s="19" t="str">
        <f>IF($B1915="","",IFERROR(INDEX('Staff Directory'!$C$5:$C$594,MATCH($B1915,'Staff Directory'!$A$5:$A$594,0)),""))</f>
        <v>PSW</v>
      </c>
      <c r="E1915" s="19" t="str">
        <f>IF($B1915="","",IFERROR(INDEX('Staff Directory'!$D$5:$D$594,MATCH($B1915,'Staff Directory'!$A$5:$A$594,0)),""))</f>
        <v>A4</v>
      </c>
      <c r="F1915" s="9" t="s">
        <v>156</v>
      </c>
      <c r="G1915" s="18" t="str">
        <f>IF($F1915="","",IFERROR(INDEX(Items!$B$5:$B$597,MATCH($F1915,Items!$A$5:$A$597,0)),"⚠ not in Items"))</f>
        <v>Masks</v>
      </c>
      <c r="H1915" s="19" t="str">
        <f>IF($F1915="","",IFERROR(INDEX(Items!$C$5:$C$597,MATCH($F1915,Items!$A$5:$A$597,0)),""))</f>
        <v>One Size</v>
      </c>
      <c r="I1915" s="23">
        <f>IF($F1915="","",IFERROR(INDEX(Items!$E$5:$E$597,MATCH($F1915,Items!$A$5:$A$597,0)),""))</f>
        <v>50</v>
      </c>
      <c r="J1915" s="115">
        <f>IF(tblIssues[[#This Row],[Qty Override]]&lt;&gt;"",tblIssues[[#This Row],[Qty Override]],IF(tblIssues[[#This Row],[Standard Issue]]="","",tblIssues[[#This Row],[Standard Issue]]))</f>
        <v>50</v>
      </c>
      <c r="K1915" s="20">
        <f>IF($F1915="","",IFERROR(INDEX(Items!$D$5:$D$597,MATCH($F1915,Items!$A$5:$A$597,0)),""))</f>
        <v>0.25</v>
      </c>
      <c r="L1915" s="21">
        <f t="shared" si="327"/>
        <v>12.5</v>
      </c>
      <c r="M1915" s="9" t="str">
        <f t="shared" si="325"/>
        <v>LV2-10040-3</v>
      </c>
      <c r="N1915" s="24">
        <f>IF($A1915="","",WORKDAY($A1915,Settings!$C$9,HolidayDates))</f>
        <v>46237</v>
      </c>
      <c r="O1915" s="24">
        <f>IF($N1915="","",WORKDAY($N1915,Settings!$C$10,HolidayDates))</f>
        <v>46275</v>
      </c>
      <c r="P1915" s="10" t="s">
        <v>501</v>
      </c>
      <c r="Q1915" s="52" t="str">
        <f t="shared" si="328"/>
        <v>Collected</v>
      </c>
      <c r="R1915" s="55" t="str">
        <f t="shared" si="329"/>
        <v>2026-07</v>
      </c>
      <c r="S1915" s="55">
        <f>IF(OR($B1915="",$F1915="",$R1915=""),"",SUMIFS(tblIssues[Qty Issued],tblIssues[Staff ID],$B1915,tblIssues[Item Name],$F1915,tblIssues[Month],$R1915))</f>
        <v>50</v>
      </c>
      <c r="T1915" s="56">
        <f>IF($I1915="","",$I1915*Settings!$C$11)</f>
        <v>50</v>
      </c>
      <c r="U1915" s="57" t="str">
        <f t="shared" si="326"/>
        <v>OK</v>
      </c>
      <c r="V1915" s="55" t="str">
        <f t="shared" si="330"/>
        <v/>
      </c>
      <c r="W1915" s="55" t="str">
        <f>IF($V1915="","",IF(COUNTIF($V$5:$V1915,$V1915)=1,1,""))</f>
        <v/>
      </c>
      <c r="X1915" s="58" t="str">
        <f>IF($W1915="","",MAX($X$4:X1914)+1)</f>
        <v/>
      </c>
      <c r="Y1915" s="62"/>
      <c r="Z1915" s="62"/>
      <c r="AA1915" s="64" t="str">
        <f>IF($C1915="","",IFERROR(INDEX('Staff Directory'!$E$5:$E$594,MATCH($C1915,'Staff Directory'!$B$5:$B$594,0)),""))</f>
        <v>firstname084.lastname084@example.com</v>
      </c>
      <c r="AB1915" s="64" t="str">
        <f>IF($C1915="","",IF(ISNUMBER(SEARCH($D1915,Settings!$C$15)),"Pickup","Dispatch"))</f>
        <v>Pickup</v>
      </c>
      <c r="AC1915" s="64" t="str">
        <f t="shared" si="331"/>
        <v>Supply order ready for pickup</v>
      </c>
      <c r="AD1915" s="64" t="str">
        <f t="shared" si="322"/>
        <v>Dear PSW,
Your order is ready for pickup from Sample Branch, Wed-Fri 9am-4pm.</v>
      </c>
      <c r="AE1915" s="64" t="str">
        <f t="shared" si="323"/>
        <v>mailto:firstname084.lastname084@example.com?subject=Supply%20order%20ready%20for%20pickup&amp;body=Dear%20PSW%2C%0A%0AYour%20order%20is%20ready%20for%20pickup%20from%20Sample%20Branch%2C%20Wed-Fri%209am-4pm.</v>
      </c>
      <c r="AF1915" s="89" t="str">
        <f t="shared" si="332"/>
        <v>Draft email</v>
      </c>
      <c r="AG1915" s="64" t="str">
        <f>IF($C1915="","",IFERROR(INDEX('Staff Directory'!$K$595:$K$599,MATCH($C1915,'Staff Directory'!$B$5:$B$599,0)),$D1915))</f>
        <v>PSW</v>
      </c>
      <c r="AH1915" t="str">
        <f>IF($C1915="","",IFERROR(INDEX('Staff Directory'!$I$595:$I$599,MATCH($C1915,'Staff Directory'!$B$5:$B$599,0))&amp;" "&amp;INDEX('Staff Directory'!$J$595:$J$599,MATCH($C1915,'Staff Directory'!$B$5:$B$599,0)),$AG1915))</f>
        <v>PSW</v>
      </c>
      <c r="AI1915" s="102"/>
      <c r="AJ1915" s="101">
        <f>IF($F1915="","",SUMIFS($J$5:$J1915,$F$5:$F1915,$F1915))</f>
        <v>15600</v>
      </c>
      <c r="AK1915" s="101">
        <f t="shared" si="324"/>
        <v>15551</v>
      </c>
      <c r="AL1915" s="66" t="str" cm="1">
        <f t="array" ref="AL1915">IF($F1915="","",IFERROR(INDEX('Lot Balance'!$B$5:$B$500,MATCH(1,INDEX(('Lot Balance'!$A$5:$A$500=$F1915)*('Lot Balance'!$K$5:$K$500&lt;$AK1915)*('Lot Balance'!$K$5:$K$500+'Lot Balance'!$D$5:$D$500&gt;=$AK1915),0),0)),""))</f>
        <v>LV2-10040-3</v>
      </c>
      <c r="AM1915" s="66" t="str" cm="1">
        <f t="array" ref="AM1915">IF($F1915="","",IFERROR(INDEX('Lot Balance'!$B$5:$B$500,MATCH(1,INDEX(('Lot Balance'!$A$5:$A$500=$F1915)*('Lot Balance'!$K$5:$K$500&lt;$AJ1915)*('Lot Balance'!$K$5:$K$500+'Lot Balance'!$D$5:$D$500&gt;=$AJ1915),0),0)),""))</f>
        <v>LV2-10040-3</v>
      </c>
      <c r="AN1915" s="66" t="str">
        <f>IF($F1915="","",IF($AI1915&lt;&gt;"",IF(COUNTIFS('Lot Balance'!$A$5:$A$500,$F1915,'Lot Balance'!$B$5:$B$500,$AI1915)=0,"⚠ override is not a lot of this item",IF($AI1915=$AL1915,"Override = FEFO","Override - FEFO says "&amp;$AL1915)),IF($AL1915="","⚠ no receipt on file for this item",IF($AM1915&lt;&gt;$AL1915,"FEFO auto - split, also "&amp;$AM1915,"FEFO auto"))))</f>
        <v>FEFO auto</v>
      </c>
      <c r="AO1915" s="114"/>
    </row>
    <row r="1916" spans="1:41" x14ac:dyDescent="0.35">
      <c r="A1916" s="74">
        <v>46227</v>
      </c>
      <c r="B1916" s="18" t="str">
        <f>IF($C1916="","",IFERROR(INDEX('Staff Directory'!$A$5:$A$594,MATCH($C1916,'Staff Directory'!$B$5:$B$594,0)),"⚠ unknown staff"))</f>
        <v>PSW-024-A4</v>
      </c>
      <c r="C1916" s="49" t="s">
        <v>1000</v>
      </c>
      <c r="D1916" s="19" t="str">
        <f>IF($B1916="","",IFERROR(INDEX('Staff Directory'!$C$5:$C$594,MATCH($B1916,'Staff Directory'!$A$5:$A$594,0)),""))</f>
        <v>PSW</v>
      </c>
      <c r="E1916" s="19" t="str">
        <f>IF($B1916="","",IFERROR(INDEX('Staff Directory'!$D$5:$D$594,MATCH($B1916,'Staff Directory'!$A$5:$A$594,0)),""))</f>
        <v>A4</v>
      </c>
      <c r="F1916" s="9" t="s">
        <v>758</v>
      </c>
      <c r="G1916" s="18" t="str">
        <f>IF($F1916="","",IFERROR(INDEX(Items!$B$5:$B$597,MATCH($F1916,Items!$A$5:$A$597,0)),"⚠ not in Items"))</f>
        <v>Utility</v>
      </c>
      <c r="H1916" s="19" t="str">
        <f>IF($F1916="","",IFERROR(INDEX(Items!$C$5:$C$597,MATCH($F1916,Items!$A$5:$A$597,0)),""))</f>
        <v>Standard</v>
      </c>
      <c r="I1916" s="23">
        <f>IF($F1916="","",IFERROR(INDEX(Items!$E$5:$E$597,MATCH($F1916,Items!$A$5:$A$597,0)),""))</f>
        <v>1</v>
      </c>
      <c r="J1916" s="115">
        <f>IF(tblIssues[[#This Row],[Qty Override]]&lt;&gt;"",tblIssues[[#This Row],[Qty Override]],IF(tblIssues[[#This Row],[Standard Issue]]="","",tblIssues[[#This Row],[Standard Issue]]))</f>
        <v>1</v>
      </c>
      <c r="K1916" s="20">
        <f>IF($F1916="","",IFERROR(INDEX(Items!$D$5:$D$597,MATCH($F1916,Items!$A$5:$A$597,0)),""))</f>
        <v>0</v>
      </c>
      <c r="L1916" s="21">
        <f t="shared" si="327"/>
        <v>0</v>
      </c>
      <c r="M1916" s="9" t="str">
        <f t="shared" si="325"/>
        <v/>
      </c>
      <c r="N1916" s="24">
        <f>IF($A1916="","",WORKDAY($A1916,Settings!$C$9,HolidayDates))</f>
        <v>46237</v>
      </c>
      <c r="O1916" s="24">
        <f>IF($N1916="","",WORKDAY($N1916,Settings!$C$10,HolidayDates))</f>
        <v>46275</v>
      </c>
      <c r="P1916" s="10" t="s">
        <v>501</v>
      </c>
      <c r="Q1916" s="52" t="str">
        <f t="shared" si="328"/>
        <v>Collected</v>
      </c>
      <c r="R1916" s="55" t="str">
        <f t="shared" si="329"/>
        <v>2026-07</v>
      </c>
      <c r="S1916" s="55">
        <f>IF(OR($B1916="",$F1916="",$R1916=""),"",SUMIFS(tblIssues[Qty Issued],tblIssues[Staff ID],$B1916,tblIssues[Item Name],$F1916,tblIssues[Month],$R1916))</f>
        <v>1</v>
      </c>
      <c r="T1916" s="56">
        <f>IF($I1916="","",$I1916*Settings!$C$11)</f>
        <v>1</v>
      </c>
      <c r="U1916" s="57" t="str">
        <f t="shared" si="326"/>
        <v>OK</v>
      </c>
      <c r="V1916" s="55" t="str">
        <f t="shared" si="330"/>
        <v/>
      </c>
      <c r="W1916" s="55" t="str">
        <f>IF($V1916="","",IF(COUNTIF($V$5:$V1916,$V1916)=1,1,""))</f>
        <v/>
      </c>
      <c r="X1916" s="58" t="str">
        <f>IF($W1916="","",MAX($X$4:X1915)+1)</f>
        <v/>
      </c>
      <c r="Y1916" s="62"/>
      <c r="Z1916" s="62"/>
      <c r="AA1916" s="64" t="str">
        <f>IF($C1916="","",IFERROR(INDEX('Staff Directory'!$E$5:$E$594,MATCH($C1916,'Staff Directory'!$B$5:$B$594,0)),""))</f>
        <v>firstname084.lastname084@example.com</v>
      </c>
      <c r="AB1916" s="64" t="str">
        <f>IF($C1916="","",IF(ISNUMBER(SEARCH($D1916,Settings!$C$15)),"Pickup","Dispatch"))</f>
        <v>Pickup</v>
      </c>
      <c r="AC1916" s="64" t="str">
        <f t="shared" si="331"/>
        <v>Supply order ready for pickup</v>
      </c>
      <c r="AD1916" s="64" t="str">
        <f t="shared" si="322"/>
        <v>Dear PSW,
Your order is ready for pickup from Sample Branch, Wed-Fri 9am-4pm.</v>
      </c>
      <c r="AE1916" s="64" t="str">
        <f t="shared" si="323"/>
        <v>mailto:firstname084.lastname084@example.com?subject=Supply%20order%20ready%20for%20pickup&amp;body=Dear%20PSW%2C%0A%0AYour%20order%20is%20ready%20for%20pickup%20from%20Sample%20Branch%2C%20Wed-Fri%209am-4pm.</v>
      </c>
      <c r="AF1916" s="89" t="str">
        <f t="shared" si="332"/>
        <v>Draft email</v>
      </c>
      <c r="AG1916" s="64" t="str">
        <f>IF($C1916="","",IFERROR(INDEX('Staff Directory'!$K$595:$K$599,MATCH($C1916,'Staff Directory'!$B$5:$B$599,0)),$D1916))</f>
        <v>PSW</v>
      </c>
      <c r="AH1916" t="str">
        <f>IF($C1916="","",IFERROR(INDEX('Staff Directory'!$I$595:$I$599,MATCH($C1916,'Staff Directory'!$B$5:$B$599,0))&amp;" "&amp;INDEX('Staff Directory'!$J$595:$J$599,MATCH($C1916,'Staff Directory'!$B$5:$B$599,0)),$AG1916))</f>
        <v>PSW</v>
      </c>
      <c r="AI1916" s="102"/>
      <c r="AJ1916" s="101">
        <f>IF($F1916="","",SUMIFS($J$5:$J1916,$F$5:$F1916,$F1916))</f>
        <v>84</v>
      </c>
      <c r="AK1916" s="101">
        <f t="shared" si="324"/>
        <v>84</v>
      </c>
      <c r="AL1916" s="66" t="str" cm="1">
        <f t="array" ref="AL1916">IF($F1916="","",IFERROR(INDEX('Lot Balance'!$B$5:$B$500,MATCH(1,INDEX(('Lot Balance'!$A$5:$A$500=$F1916)*('Lot Balance'!$K$5:$K$500&lt;$AK1916)*('Lot Balance'!$K$5:$K$500+'Lot Balance'!$D$5:$D$500&gt;=$AK1916),0),0)),""))</f>
        <v/>
      </c>
      <c r="AM1916" s="66" t="str" cm="1">
        <f t="array" ref="AM1916">IF($F1916="","",IFERROR(INDEX('Lot Balance'!$B$5:$B$500,MATCH(1,INDEX(('Lot Balance'!$A$5:$A$500=$F1916)*('Lot Balance'!$K$5:$K$500&lt;$AJ1916)*('Lot Balance'!$K$5:$K$500+'Lot Balance'!$D$5:$D$500&gt;=$AJ1916),0),0)),""))</f>
        <v/>
      </c>
      <c r="AN1916" s="66" t="str">
        <f>IF($F1916="","",IF($AI1916&lt;&gt;"",IF(COUNTIFS('Lot Balance'!$A$5:$A$500,$F1916,'Lot Balance'!$B$5:$B$500,$AI1916)=0,"⚠ override is not a lot of this item",IF($AI1916=$AL1916,"Override = FEFO","Override - FEFO says "&amp;$AL1916)),IF($AL1916="","⚠ no receipt on file for this item",IF($AM1916&lt;&gt;$AL1916,"FEFO auto - split, also "&amp;$AM1916,"FEFO auto"))))</f>
        <v>⚠ no receipt on file for this item</v>
      </c>
      <c r="AO1916" s="114"/>
    </row>
    <row r="1917" spans="1:41" x14ac:dyDescent="0.35">
      <c r="A1917" s="74">
        <v>46235</v>
      </c>
      <c r="B1917" s="18" t="str">
        <f>IF($C1917="","",IFERROR(INDEX('Staff Directory'!$A$5:$A$594,MATCH($C1917,'Staff Directory'!$B$5:$B$594,0)),"⚠ unknown staff"))</f>
        <v>PSW-033-A4</v>
      </c>
      <c r="C1917" s="49" t="s">
        <v>1008</v>
      </c>
      <c r="D1917" s="19" t="str">
        <f>IF($B1917="","",IFERROR(INDEX('Staff Directory'!$C$5:$C$594,MATCH($B1917,'Staff Directory'!$A$5:$A$594,0)),""))</f>
        <v>PSW</v>
      </c>
      <c r="E1917" s="19" t="str">
        <f>IF($B1917="","",IFERROR(INDEX('Staff Directory'!$D$5:$D$594,MATCH($B1917,'Staff Directory'!$A$5:$A$594,0)),""))</f>
        <v>A4</v>
      </c>
      <c r="F1917" s="9" t="s">
        <v>129</v>
      </c>
      <c r="G1917" s="18" t="str">
        <f>IF($F1917="","",IFERROR(INDEX(Items!$B$5:$B$597,MATCH($F1917,Items!$A$5:$A$597,0)),"⚠ not in Items"))</f>
        <v>Gloves</v>
      </c>
      <c r="H1917" s="19" t="str">
        <f>IF($F1917="","",IFERROR(INDEX(Items!$C$5:$C$597,MATCH($F1917,Items!$A$5:$A$597,0)),""))</f>
        <v>Small</v>
      </c>
      <c r="I1917" s="23">
        <f>IF($F1917="","",IFERROR(INDEX(Items!$E$5:$E$597,MATCH($F1917,Items!$A$5:$A$597,0)),""))</f>
        <v>500</v>
      </c>
      <c r="J1917" s="115">
        <f>IF(tblIssues[[#This Row],[Qty Override]]&lt;&gt;"",tblIssues[[#This Row],[Qty Override]],IF(tblIssues[[#This Row],[Standard Issue]]="","",tblIssues[[#This Row],[Standard Issue]]))</f>
        <v>500</v>
      </c>
      <c r="K1917" s="20">
        <f>IF($F1917="","",IFERROR(INDEX(Items!$D$5:$D$597,MATCH($F1917,Items!$A$5:$A$597,0)),""))</f>
        <v>5.5E-2</v>
      </c>
      <c r="L1917" s="21">
        <f t="shared" si="327"/>
        <v>27.5</v>
      </c>
      <c r="M1917" s="9" t="str">
        <f t="shared" si="325"/>
        <v>ZIM601144366-1</v>
      </c>
      <c r="N1917" s="24">
        <f>IF($A1917="","",WORKDAY($A1917,Settings!$C$9,HolidayDates))</f>
        <v>46244</v>
      </c>
      <c r="O1917" s="24">
        <f>IF($N1917="","",WORKDAY($N1917,Settings!$C$10,HolidayDates))</f>
        <v>46282</v>
      </c>
      <c r="P1917" s="10"/>
      <c r="Q1917" s="52" t="str">
        <f t="shared" si="328"/>
        <v>Pending</v>
      </c>
      <c r="R1917" s="55" t="str">
        <f t="shared" si="329"/>
        <v>2026-08</v>
      </c>
      <c r="S1917" s="55">
        <f>IF(OR($B1917="",$F1917="",$R1917=""),"",SUMIFS(tblIssues[Qty Issued],tblIssues[Staff ID],$B1917,tblIssues[Item Name],$F1917,tblIssues[Month],$R1917))</f>
        <v>500</v>
      </c>
      <c r="T1917" s="56">
        <f>IF($I1917="","",$I1917*Settings!$C$11)</f>
        <v>500</v>
      </c>
      <c r="U1917" s="57" t="str">
        <f t="shared" si="326"/>
        <v>OK</v>
      </c>
      <c r="V1917" s="55" t="str">
        <f t="shared" si="330"/>
        <v/>
      </c>
      <c r="W1917" s="55" t="str">
        <f>IF($V1917="","",IF(COUNTIF($V$5:$V1917,$V1917)=1,1,""))</f>
        <v/>
      </c>
      <c r="X1917" s="58" t="str">
        <f>IF($W1917="","",MAX($X$4:X1916)+1)</f>
        <v/>
      </c>
      <c r="Y1917" s="62"/>
      <c r="Z1917" s="62"/>
      <c r="AA1917" s="64" t="str">
        <f>IF($C1917="","",IFERROR(INDEX('Staff Directory'!$E$5:$E$594,MATCH($C1917,'Staff Directory'!$B$5:$B$594,0)),""))</f>
        <v>firstname092.lastname092@example.com</v>
      </c>
      <c r="AB1917" s="64" t="str">
        <f>IF($C1917="","",IF(ISNUMBER(SEARCH($D1917,Settings!$C$15)),"Pickup","Dispatch"))</f>
        <v>Pickup</v>
      </c>
      <c r="AC1917" s="64" t="str">
        <f t="shared" si="331"/>
        <v>Supply order ready for pickup</v>
      </c>
      <c r="AD1917" s="64" t="str">
        <f t="shared" si="322"/>
        <v>Dear PSW,
Your order is ready for pickup from Sample Branch, Wed-Fri 9am-4pm.</v>
      </c>
      <c r="AE1917" s="64" t="str">
        <f t="shared" si="323"/>
        <v>mailto:firstname092.lastname092@example.com?subject=Supply%20order%20ready%20for%20pickup&amp;body=Dear%20PSW%2C%0A%0AYour%20order%20is%20ready%20for%20pickup%20from%20Sample%20Branch%2C%20Wed-Fri%209am-4pm.</v>
      </c>
      <c r="AF1917" s="89" t="str">
        <f t="shared" si="332"/>
        <v>Draft email</v>
      </c>
      <c r="AG1917" s="64" t="str">
        <f>IF($C1917="","",IFERROR(INDEX('Staff Directory'!$K$595:$K$599,MATCH($C1917,'Staff Directory'!$B$5:$B$599,0)),$D1917))</f>
        <v>PSW</v>
      </c>
      <c r="AH1917" t="str">
        <f>IF($C1917="","",IFERROR(INDEX('Staff Directory'!$I$595:$I$599,MATCH($C1917,'Staff Directory'!$B$5:$B$599,0))&amp;" "&amp;INDEX('Staff Directory'!$J$595:$J$599,MATCH($C1917,'Staff Directory'!$B$5:$B$599,0)),$AG1917))</f>
        <v>PSW</v>
      </c>
      <c r="AI1917" s="102"/>
      <c r="AJ1917" s="101">
        <f>IF($F1917="","",SUMIFS($J$5:$J1917,$F$5:$F1917,$F1917))</f>
        <v>57000</v>
      </c>
      <c r="AK1917" s="101">
        <f t="shared" si="324"/>
        <v>56501</v>
      </c>
      <c r="AL1917" s="66" t="str" cm="1">
        <f t="array" ref="AL1917">IF($F1917="","",IFERROR(INDEX('Lot Balance'!$B$5:$B$500,MATCH(1,INDEX(('Lot Balance'!$A$5:$A$500=$F1917)*('Lot Balance'!$K$5:$K$500&lt;$AK1917)*('Lot Balance'!$K$5:$K$500+'Lot Balance'!$D$5:$D$500&gt;=$AK1917),0),0)),""))</f>
        <v>ZIM601144366-1</v>
      </c>
      <c r="AM1917" s="66" t="str" cm="1">
        <f t="array" ref="AM1917">IF($F1917="","",IFERROR(INDEX('Lot Balance'!$B$5:$B$500,MATCH(1,INDEX(('Lot Balance'!$A$5:$A$500=$F1917)*('Lot Balance'!$K$5:$K$500&lt;$AJ1917)*('Lot Balance'!$K$5:$K$500+'Lot Balance'!$D$5:$D$500&gt;=$AJ1917),0),0)),""))</f>
        <v>ZIM601144366-1</v>
      </c>
      <c r="AN1917" s="66" t="str">
        <f>IF($F1917="","",IF($AI1917&lt;&gt;"",IF(COUNTIFS('Lot Balance'!$A$5:$A$500,$F1917,'Lot Balance'!$B$5:$B$500,$AI1917)=0,"⚠ override is not a lot of this item",IF($AI1917=$AL1917,"Override = FEFO","Override - FEFO says "&amp;$AL1917)),IF($AL1917="","⚠ no receipt on file for this item",IF($AM1917&lt;&gt;$AL1917,"FEFO auto - split, also "&amp;$AM1917,"FEFO auto"))))</f>
        <v>FEFO auto</v>
      </c>
      <c r="AO1917" s="114"/>
    </row>
    <row r="1918" spans="1:41" x14ac:dyDescent="0.35">
      <c r="A1918" s="74">
        <v>46235</v>
      </c>
      <c r="B1918" s="18" t="str">
        <f>IF($C1918="","",IFERROR(INDEX('Staff Directory'!$A$5:$A$594,MATCH($C1918,'Staff Directory'!$B$5:$B$594,0)),"⚠ unknown staff"))</f>
        <v>PSW-033-A4</v>
      </c>
      <c r="C1918" s="49" t="s">
        <v>1008</v>
      </c>
      <c r="D1918" s="19" t="str">
        <f>IF($B1918="","",IFERROR(INDEX('Staff Directory'!$C$5:$C$594,MATCH($B1918,'Staff Directory'!$A$5:$A$594,0)),""))</f>
        <v>PSW</v>
      </c>
      <c r="E1918" s="19" t="str">
        <f>IF($B1918="","",IFERROR(INDEX('Staff Directory'!$D$5:$D$594,MATCH($B1918,'Staff Directory'!$A$5:$A$594,0)),""))</f>
        <v>A4</v>
      </c>
      <c r="F1918" s="9" t="s">
        <v>191</v>
      </c>
      <c r="G1918" s="18" t="str">
        <f>IF($F1918="","",IFERROR(INDEX(Items!$B$5:$B$597,MATCH($F1918,Items!$A$5:$A$597,0)),"⚠ not in Items"))</f>
        <v>Sanitizer</v>
      </c>
      <c r="H1918" s="19" t="str">
        <f>IF($F1918="","",IFERROR(INDEX(Items!$C$5:$C$597,MATCH($F1918,Items!$A$5:$A$597,0)),""))</f>
        <v>236 ML</v>
      </c>
      <c r="I1918" s="23">
        <f>IF($F1918="","",IFERROR(INDEX(Items!$E$5:$E$597,MATCH($F1918,Items!$A$5:$A$597,0)),""))</f>
        <v>1</v>
      </c>
      <c r="J1918" s="115">
        <f>IF(tblIssues[[#This Row],[Qty Override]]&lt;&gt;"",tblIssues[[#This Row],[Qty Override]],IF(tblIssues[[#This Row],[Standard Issue]]="","",tblIssues[[#This Row],[Standard Issue]]))</f>
        <v>1</v>
      </c>
      <c r="K1918" s="20">
        <f>IF($F1918="","",IFERROR(INDEX(Items!$D$5:$D$597,MATCH($F1918,Items!$A$5:$A$597,0)),""))</f>
        <v>1E-4</v>
      </c>
      <c r="L1918" s="21">
        <f t="shared" si="327"/>
        <v>1E-4</v>
      </c>
      <c r="M1918" s="9" t="str">
        <f t="shared" si="325"/>
        <v>20-21734-6</v>
      </c>
      <c r="N1918" s="24">
        <f>IF($A1918="","",WORKDAY($A1918,Settings!$C$9,HolidayDates))</f>
        <v>46244</v>
      </c>
      <c r="O1918" s="24">
        <f>IF($N1918="","",WORKDAY($N1918,Settings!$C$10,HolidayDates))</f>
        <v>46282</v>
      </c>
      <c r="P1918" s="10"/>
      <c r="Q1918" s="52" t="str">
        <f t="shared" si="328"/>
        <v>Pending</v>
      </c>
      <c r="R1918" s="55" t="str">
        <f t="shared" si="329"/>
        <v>2026-08</v>
      </c>
      <c r="S1918" s="55">
        <f>IF(OR($B1918="",$F1918="",$R1918=""),"",SUMIFS(tblIssues[Qty Issued],tblIssues[Staff ID],$B1918,tblIssues[Item Name],$F1918,tblIssues[Month],$R1918))</f>
        <v>1</v>
      </c>
      <c r="T1918" s="56">
        <f>IF($I1918="","",$I1918*Settings!$C$11)</f>
        <v>1</v>
      </c>
      <c r="U1918" s="57" t="str">
        <f t="shared" si="326"/>
        <v>OK</v>
      </c>
      <c r="V1918" s="55" t="str">
        <f t="shared" si="330"/>
        <v/>
      </c>
      <c r="W1918" s="55" t="str">
        <f>IF($V1918="","",IF(COUNTIF($V$5:$V1918,$V1918)=1,1,""))</f>
        <v/>
      </c>
      <c r="X1918" s="58" t="str">
        <f>IF($W1918="","",MAX($X$4:X1917)+1)</f>
        <v/>
      </c>
      <c r="Y1918" s="62"/>
      <c r="Z1918" s="62"/>
      <c r="AA1918" s="64" t="str">
        <f>IF($C1918="","",IFERROR(INDEX('Staff Directory'!$E$5:$E$594,MATCH($C1918,'Staff Directory'!$B$5:$B$594,0)),""))</f>
        <v>firstname092.lastname092@example.com</v>
      </c>
      <c r="AB1918" s="64" t="str">
        <f>IF($C1918="","",IF(ISNUMBER(SEARCH($D1918,Settings!$C$15)),"Pickup","Dispatch"))</f>
        <v>Pickup</v>
      </c>
      <c r="AC1918" s="64" t="str">
        <f t="shared" si="331"/>
        <v>Supply order ready for pickup</v>
      </c>
      <c r="AD1918" s="64" t="str">
        <f t="shared" si="322"/>
        <v>Dear PSW,
Your order is ready for pickup from Sample Branch, Wed-Fri 9am-4pm.</v>
      </c>
      <c r="AE1918" s="64" t="str">
        <f t="shared" si="323"/>
        <v>mailto:firstname092.lastname092@example.com?subject=Supply%20order%20ready%20for%20pickup&amp;body=Dear%20PSW%2C%0A%0AYour%20order%20is%20ready%20for%20pickup%20from%20Sample%20Branch%2C%20Wed-Fri%209am-4pm.</v>
      </c>
      <c r="AF1918" s="89" t="str">
        <f t="shared" si="332"/>
        <v>Draft email</v>
      </c>
      <c r="AG1918" s="64" t="str">
        <f>IF($C1918="","",IFERROR(INDEX('Staff Directory'!$K$595:$K$599,MATCH($C1918,'Staff Directory'!$B$5:$B$599,0)),$D1918))</f>
        <v>PSW</v>
      </c>
      <c r="AH1918" t="str">
        <f>IF($C1918="","",IFERROR(INDEX('Staff Directory'!$I$595:$I$599,MATCH($C1918,'Staff Directory'!$B$5:$B$599,0))&amp;" "&amp;INDEX('Staff Directory'!$J$595:$J$599,MATCH($C1918,'Staff Directory'!$B$5:$B$599,0)),$AG1918))</f>
        <v>PSW</v>
      </c>
      <c r="AI1918" s="102"/>
      <c r="AJ1918" s="101">
        <f>IF($F1918="","",SUMIFS($J$5:$J1918,$F$5:$F1918,$F1918))</f>
        <v>263</v>
      </c>
      <c r="AK1918" s="101">
        <f t="shared" si="324"/>
        <v>263</v>
      </c>
      <c r="AL1918" s="66" t="str" cm="1">
        <f t="array" ref="AL1918">IF($F1918="","",IFERROR(INDEX('Lot Balance'!$B$5:$B$500,MATCH(1,INDEX(('Lot Balance'!$A$5:$A$500=$F1918)*('Lot Balance'!$K$5:$K$500&lt;$AK1918)*('Lot Balance'!$K$5:$K$500+'Lot Balance'!$D$5:$D$500&gt;=$AK1918),0),0)),""))</f>
        <v>20-21734-6</v>
      </c>
      <c r="AM1918" s="66" t="str" cm="1">
        <f t="array" ref="AM1918">IF($F1918="","",IFERROR(INDEX('Lot Balance'!$B$5:$B$500,MATCH(1,INDEX(('Lot Balance'!$A$5:$A$500=$F1918)*('Lot Balance'!$K$5:$K$500&lt;$AJ1918)*('Lot Balance'!$K$5:$K$500+'Lot Balance'!$D$5:$D$500&gt;=$AJ1918),0),0)),""))</f>
        <v>20-21734-6</v>
      </c>
      <c r="AN1918" s="66" t="str">
        <f>IF($F1918="","",IF($AI1918&lt;&gt;"",IF(COUNTIFS('Lot Balance'!$A$5:$A$500,$F1918,'Lot Balance'!$B$5:$B$500,$AI1918)=0,"⚠ override is not a lot of this item",IF($AI1918=$AL1918,"Override = FEFO","Override - FEFO says "&amp;$AL1918)),IF($AL1918="","⚠ no receipt on file for this item",IF($AM1918&lt;&gt;$AL1918,"FEFO auto - split, also "&amp;$AM1918,"FEFO auto"))))</f>
        <v>FEFO auto</v>
      </c>
      <c r="AO1918" s="114"/>
    </row>
    <row r="1919" spans="1:41" x14ac:dyDescent="0.35">
      <c r="A1919" s="74">
        <v>46235</v>
      </c>
      <c r="B1919" s="18" t="str">
        <f>IF($C1919="","",IFERROR(INDEX('Staff Directory'!$A$5:$A$594,MATCH($C1919,'Staff Directory'!$B$5:$B$594,0)),"⚠ unknown staff"))</f>
        <v>PSW-033-A4</v>
      </c>
      <c r="C1919" s="49" t="s">
        <v>1008</v>
      </c>
      <c r="D1919" s="19" t="str">
        <f>IF($B1919="","",IFERROR(INDEX('Staff Directory'!$C$5:$C$594,MATCH($B1919,'Staff Directory'!$A$5:$A$594,0)),""))</f>
        <v>PSW</v>
      </c>
      <c r="E1919" s="19" t="str">
        <f>IF($B1919="","",IFERROR(INDEX('Staff Directory'!$D$5:$D$594,MATCH($B1919,'Staff Directory'!$A$5:$A$594,0)),""))</f>
        <v>A4</v>
      </c>
      <c r="F1919" s="9" t="s">
        <v>115</v>
      </c>
      <c r="G1919" s="18" t="str">
        <f>IF($F1919="","",IFERROR(INDEX(Items!$B$5:$B$597,MATCH($F1919,Items!$A$5:$A$597,0)),"⚠ not in Items"))</f>
        <v>Wipes</v>
      </c>
      <c r="H1919" s="19">
        <f>IF($F1919="","",IFERROR(INDEX(Items!$C$5:$C$597,MATCH($F1919,Items!$A$5:$A$597,0)),""))</f>
        <v>80</v>
      </c>
      <c r="I1919" s="23">
        <f>IF($F1919="","",IFERROR(INDEX(Items!$E$5:$E$597,MATCH($F1919,Items!$A$5:$A$597,0)),""))</f>
        <v>80</v>
      </c>
      <c r="J1919" s="115">
        <f>IF(tblIssues[[#This Row],[Qty Override]]&lt;&gt;"",tblIssues[[#This Row],[Qty Override]],IF(tblIssues[[#This Row],[Standard Issue]]="","",tblIssues[[#This Row],[Standard Issue]]))</f>
        <v>80</v>
      </c>
      <c r="K1919" s="20">
        <f>IF($F1919="","",IFERROR(INDEX(Items!$D$5:$D$597,MATCH($F1919,Items!$A$5:$A$597,0)),""))</f>
        <v>0.1</v>
      </c>
      <c r="L1919" s="21">
        <f t="shared" si="327"/>
        <v>8</v>
      </c>
      <c r="M1919" s="9" t="str">
        <f t="shared" si="325"/>
        <v>LYSL500290</v>
      </c>
      <c r="N1919" s="24">
        <f>IF($A1919="","",WORKDAY($A1919,Settings!$C$9,HolidayDates))</f>
        <v>46244</v>
      </c>
      <c r="O1919" s="24">
        <f>IF($N1919="","",WORKDAY($N1919,Settings!$C$10,HolidayDates))</f>
        <v>46282</v>
      </c>
      <c r="P1919" s="10"/>
      <c r="Q1919" s="52" t="str">
        <f t="shared" si="328"/>
        <v>Pending</v>
      </c>
      <c r="R1919" s="55" t="str">
        <f t="shared" si="329"/>
        <v>2026-08</v>
      </c>
      <c r="S1919" s="55">
        <f>IF(OR($B1919="",$F1919="",$R1919=""),"",SUMIFS(tblIssues[Qty Issued],tblIssues[Staff ID],$B1919,tblIssues[Item Name],$F1919,tblIssues[Month],$R1919))</f>
        <v>80</v>
      </c>
      <c r="T1919" s="56">
        <f>IF($I1919="","",$I1919*Settings!$C$11)</f>
        <v>80</v>
      </c>
      <c r="U1919" s="57" t="str">
        <f t="shared" si="326"/>
        <v>OK</v>
      </c>
      <c r="V1919" s="55" t="str">
        <f t="shared" si="330"/>
        <v/>
      </c>
      <c r="W1919" s="55" t="str">
        <f>IF($V1919="","",IF(COUNTIF($V$5:$V1919,$V1919)=1,1,""))</f>
        <v/>
      </c>
      <c r="X1919" s="58" t="str">
        <f>IF($W1919="","",MAX($X$4:X1918)+1)</f>
        <v/>
      </c>
      <c r="Y1919" s="62"/>
      <c r="Z1919" s="62"/>
      <c r="AA1919" s="64" t="str">
        <f>IF($C1919="","",IFERROR(INDEX('Staff Directory'!$E$5:$E$594,MATCH($C1919,'Staff Directory'!$B$5:$B$594,0)),""))</f>
        <v>firstname092.lastname092@example.com</v>
      </c>
      <c r="AB1919" s="64" t="str">
        <f>IF($C1919="","",IF(ISNUMBER(SEARCH($D1919,Settings!$C$15)),"Pickup","Dispatch"))</f>
        <v>Pickup</v>
      </c>
      <c r="AC1919" s="64" t="str">
        <f t="shared" si="331"/>
        <v>Supply order ready for pickup</v>
      </c>
      <c r="AD1919" s="64" t="str">
        <f t="shared" si="322"/>
        <v>Dear PSW,
Your order is ready for pickup from Sample Branch, Wed-Fri 9am-4pm.</v>
      </c>
      <c r="AE1919" s="64" t="str">
        <f t="shared" si="323"/>
        <v>mailto:firstname092.lastname092@example.com?subject=Supply%20order%20ready%20for%20pickup&amp;body=Dear%20PSW%2C%0A%0AYour%20order%20is%20ready%20for%20pickup%20from%20Sample%20Branch%2C%20Wed-Fri%209am-4pm.</v>
      </c>
      <c r="AF1919" s="89" t="str">
        <f t="shared" si="332"/>
        <v>Draft email</v>
      </c>
      <c r="AG1919" s="64" t="str">
        <f>IF($C1919="","",IFERROR(INDEX('Staff Directory'!$K$595:$K$599,MATCH($C1919,'Staff Directory'!$B$5:$B$599,0)),$D1919))</f>
        <v>PSW</v>
      </c>
      <c r="AH1919" t="str">
        <f>IF($C1919="","",IFERROR(INDEX('Staff Directory'!$I$595:$I$599,MATCH($C1919,'Staff Directory'!$B$5:$B$599,0))&amp;" "&amp;INDEX('Staff Directory'!$J$595:$J$599,MATCH($C1919,'Staff Directory'!$B$5:$B$599,0)),$AG1919))</f>
        <v>PSW</v>
      </c>
      <c r="AI1919" s="102"/>
      <c r="AJ1919" s="101">
        <f>IF($F1919="","",SUMIFS($J$5:$J1919,$F$5:$F1919,$F1919))</f>
        <v>25600</v>
      </c>
      <c r="AK1919" s="101">
        <f t="shared" si="324"/>
        <v>25521</v>
      </c>
      <c r="AL1919" s="66" t="str" cm="1">
        <f t="array" ref="AL1919">IF($F1919="","",IFERROR(INDEX('Lot Balance'!$B$5:$B$500,MATCH(1,INDEX(('Lot Balance'!$A$5:$A$500=$F1919)*('Lot Balance'!$K$5:$K$500&lt;$AK1919)*('Lot Balance'!$K$5:$K$500+'Lot Balance'!$D$5:$D$500&gt;=$AK1919),0),0)),""))</f>
        <v>LYSL500290</v>
      </c>
      <c r="AM1919" s="66" t="str" cm="1">
        <f t="array" ref="AM1919">IF($F1919="","",IFERROR(INDEX('Lot Balance'!$B$5:$B$500,MATCH(1,INDEX(('Lot Balance'!$A$5:$A$500=$F1919)*('Lot Balance'!$K$5:$K$500&lt;$AJ1919)*('Lot Balance'!$K$5:$K$500+'Lot Balance'!$D$5:$D$500&gt;=$AJ1919),0),0)),""))</f>
        <v>LYSL500290</v>
      </c>
      <c r="AN1919" s="66" t="str">
        <f>IF($F1919="","",IF($AI1919&lt;&gt;"",IF(COUNTIFS('Lot Balance'!$A$5:$A$500,$F1919,'Lot Balance'!$B$5:$B$500,$AI1919)=0,"⚠ override is not a lot of this item",IF($AI1919=$AL1919,"Override = FEFO","Override - FEFO says "&amp;$AL1919)),IF($AL1919="","⚠ no receipt on file for this item",IF($AM1919&lt;&gt;$AL1919,"FEFO auto - split, also "&amp;$AM1919,"FEFO auto"))))</f>
        <v>FEFO auto</v>
      </c>
      <c r="AO1919" s="114"/>
    </row>
    <row r="1920" spans="1:41" x14ac:dyDescent="0.35">
      <c r="A1920" s="74">
        <v>46235</v>
      </c>
      <c r="B1920" s="18" t="str">
        <f>IF($C1920="","",IFERROR(INDEX('Staff Directory'!$A$5:$A$594,MATCH($C1920,'Staff Directory'!$B$5:$B$594,0)),"⚠ unknown staff"))</f>
        <v>PSW-033-A4</v>
      </c>
      <c r="C1920" s="49" t="s">
        <v>1008</v>
      </c>
      <c r="D1920" s="19" t="str">
        <f>IF($B1920="","",IFERROR(INDEX('Staff Directory'!$C$5:$C$594,MATCH($B1920,'Staff Directory'!$A$5:$A$594,0)),""))</f>
        <v>PSW</v>
      </c>
      <c r="E1920" s="19" t="str">
        <f>IF($B1920="","",IFERROR(INDEX('Staff Directory'!$D$5:$D$594,MATCH($B1920,'Staff Directory'!$A$5:$A$594,0)),""))</f>
        <v>A4</v>
      </c>
      <c r="F1920" s="9" t="s">
        <v>154</v>
      </c>
      <c r="G1920" s="18" t="str">
        <f>IF($F1920="","",IFERROR(INDEX(Items!$B$5:$B$597,MATCH($F1920,Items!$A$5:$A$597,0)),"⚠ not in Items"))</f>
        <v>IPAC</v>
      </c>
      <c r="H1920" s="19" t="str">
        <f>IF($F1920="","",IFERROR(INDEX(Items!$C$5:$C$597,MATCH($F1920,Items!$A$5:$A$597,0)),""))</f>
        <v>Regular</v>
      </c>
      <c r="I1920" s="23">
        <f>IF($F1920="","",IFERROR(INDEX(Items!$E$5:$E$597,MATCH($F1920,Items!$A$5:$A$597,0)),""))</f>
        <v>50</v>
      </c>
      <c r="J1920" s="115">
        <f>IF(tblIssues[[#This Row],[Qty Override]]&lt;&gt;"",tblIssues[[#This Row],[Qty Override]],IF(tblIssues[[#This Row],[Standard Issue]]="","",tblIssues[[#This Row],[Standard Issue]]))</f>
        <v>50</v>
      </c>
      <c r="K1920" s="20">
        <f>IF($F1920="","",IFERROR(INDEX(Items!$D$5:$D$597,MATCH($F1920,Items!$A$5:$A$597,0)),""))</f>
        <v>0.2</v>
      </c>
      <c r="L1920" s="21">
        <f t="shared" si="327"/>
        <v>10</v>
      </c>
      <c r="M1920" s="9" t="str">
        <f t="shared" si="325"/>
        <v/>
      </c>
      <c r="N1920" s="24">
        <f>IF($A1920="","",WORKDAY($A1920,Settings!$C$9,HolidayDates))</f>
        <v>46244</v>
      </c>
      <c r="O1920" s="24">
        <f>IF($N1920="","",WORKDAY($N1920,Settings!$C$10,HolidayDates))</f>
        <v>46282</v>
      </c>
      <c r="P1920" s="10"/>
      <c r="Q1920" s="52" t="str">
        <f t="shared" si="328"/>
        <v>Pending</v>
      </c>
      <c r="R1920" s="55" t="str">
        <f t="shared" si="329"/>
        <v>2026-08</v>
      </c>
      <c r="S1920" s="55">
        <f>IF(OR($B1920="",$F1920="",$R1920=""),"",SUMIFS(tblIssues[Qty Issued],tblIssues[Staff ID],$B1920,tblIssues[Item Name],$F1920,tblIssues[Month],$R1920))</f>
        <v>50</v>
      </c>
      <c r="T1920" s="56">
        <f>IF($I1920="","",$I1920*Settings!$C$11)</f>
        <v>50</v>
      </c>
      <c r="U1920" s="57" t="str">
        <f t="shared" si="326"/>
        <v>OK</v>
      </c>
      <c r="V1920" s="55" t="str">
        <f t="shared" si="330"/>
        <v/>
      </c>
      <c r="W1920" s="55" t="str">
        <f>IF($V1920="","",IF(COUNTIF($V$5:$V1920,$V1920)=1,1,""))</f>
        <v/>
      </c>
      <c r="X1920" s="58" t="str">
        <f>IF($W1920="","",MAX($X$4:X1919)+1)</f>
        <v/>
      </c>
      <c r="Y1920" s="62"/>
      <c r="Z1920" s="62"/>
      <c r="AA1920" s="64" t="str">
        <f>IF($C1920="","",IFERROR(INDEX('Staff Directory'!$E$5:$E$594,MATCH($C1920,'Staff Directory'!$B$5:$B$594,0)),""))</f>
        <v>firstname092.lastname092@example.com</v>
      </c>
      <c r="AB1920" s="64" t="str">
        <f>IF($C1920="","",IF(ISNUMBER(SEARCH($D1920,Settings!$C$15)),"Pickup","Dispatch"))</f>
        <v>Pickup</v>
      </c>
      <c r="AC1920" s="64" t="str">
        <f t="shared" si="331"/>
        <v>Supply order ready for pickup</v>
      </c>
      <c r="AD1920" s="64" t="str">
        <f t="shared" si="322"/>
        <v>Dear PSW,
Your order is ready for pickup from Sample Branch, Wed-Fri 9am-4pm.</v>
      </c>
      <c r="AE1920" s="64" t="str">
        <f t="shared" si="323"/>
        <v>mailto:firstname092.lastname092@example.com?subject=Supply%20order%20ready%20for%20pickup&amp;body=Dear%20PSW%2C%0A%0AYour%20order%20is%20ready%20for%20pickup%20from%20Sample%20Branch%2C%20Wed-Fri%209am-4pm.</v>
      </c>
      <c r="AF1920" s="89" t="str">
        <f t="shared" si="332"/>
        <v>Draft email</v>
      </c>
      <c r="AG1920" s="64" t="str">
        <f>IF($C1920="","",IFERROR(INDEX('Staff Directory'!$K$595:$K$599,MATCH($C1920,'Staff Directory'!$B$5:$B$599,0)),$D1920))</f>
        <v>PSW</v>
      </c>
      <c r="AH1920" t="str">
        <f>IF($C1920="","",IFERROR(INDEX('Staff Directory'!$I$595:$I$599,MATCH($C1920,'Staff Directory'!$B$5:$B$599,0))&amp;" "&amp;INDEX('Staff Directory'!$J$595:$J$599,MATCH($C1920,'Staff Directory'!$B$5:$B$599,0)),$AG1920))</f>
        <v>PSW</v>
      </c>
      <c r="AI1920" s="102"/>
      <c r="AJ1920" s="101">
        <f>IF($F1920="","",SUMIFS($J$5:$J1920,$F$5:$F1920,$F1920))</f>
        <v>1800</v>
      </c>
      <c r="AK1920" s="101">
        <f t="shared" si="324"/>
        <v>1751</v>
      </c>
      <c r="AL1920" s="66" t="str" cm="1">
        <f t="array" ref="AL1920">IF($F1920="","",IFERROR(INDEX('Lot Balance'!$B$5:$B$500,MATCH(1,INDEX(('Lot Balance'!$A$5:$A$500=$F1920)*('Lot Balance'!$K$5:$K$500&lt;$AK1920)*('Lot Balance'!$K$5:$K$500+'Lot Balance'!$D$5:$D$500&gt;=$AK1920),0),0)),""))</f>
        <v/>
      </c>
      <c r="AM1920" s="66" t="str" cm="1">
        <f t="array" ref="AM1920">IF($F1920="","",IFERROR(INDEX('Lot Balance'!$B$5:$B$500,MATCH(1,INDEX(('Lot Balance'!$A$5:$A$500=$F1920)*('Lot Balance'!$K$5:$K$500&lt;$AJ1920)*('Lot Balance'!$K$5:$K$500+'Lot Balance'!$D$5:$D$500&gt;=$AJ1920),0),0)),""))</f>
        <v/>
      </c>
      <c r="AN1920" s="66" t="str">
        <f>IF($F1920="","",IF($AI1920&lt;&gt;"",IF(COUNTIFS('Lot Balance'!$A$5:$A$500,$F1920,'Lot Balance'!$B$5:$B$500,$AI1920)=0,"⚠ override is not a lot of this item",IF($AI1920=$AL1920,"Override = FEFO","Override - FEFO says "&amp;$AL1920)),IF($AL1920="","⚠ no receipt on file for this item",IF($AM1920&lt;&gt;$AL1920,"FEFO auto - split, also "&amp;$AM1920,"FEFO auto"))))</f>
        <v>⚠ no receipt on file for this item</v>
      </c>
      <c r="AO1920" s="114"/>
    </row>
    <row r="1921" spans="1:41" x14ac:dyDescent="0.35">
      <c r="A1921" s="74">
        <v>46235</v>
      </c>
      <c r="B1921" s="18" t="str">
        <f>IF($C1921="","",IFERROR(INDEX('Staff Directory'!$A$5:$A$594,MATCH($C1921,'Staff Directory'!$B$5:$B$594,0)),"⚠ unknown staff"))</f>
        <v>PSW-033-A4</v>
      </c>
      <c r="C1921" s="49" t="s">
        <v>1008</v>
      </c>
      <c r="D1921" s="19" t="str">
        <f>IF($B1921="","",IFERROR(INDEX('Staff Directory'!$C$5:$C$594,MATCH($B1921,'Staff Directory'!$A$5:$A$594,0)),""))</f>
        <v>PSW</v>
      </c>
      <c r="E1921" s="19" t="str">
        <f>IF($B1921="","",IFERROR(INDEX('Staff Directory'!$D$5:$D$594,MATCH($B1921,'Staff Directory'!$A$5:$A$594,0)),""))</f>
        <v>A4</v>
      </c>
      <c r="F1921" s="9" t="s">
        <v>758</v>
      </c>
      <c r="G1921" s="18" t="str">
        <f>IF($F1921="","",IFERROR(INDEX(Items!$B$5:$B$597,MATCH($F1921,Items!$A$5:$A$597,0)),"⚠ not in Items"))</f>
        <v>Utility</v>
      </c>
      <c r="H1921" s="19" t="str">
        <f>IF($F1921="","",IFERROR(INDEX(Items!$C$5:$C$597,MATCH($F1921,Items!$A$5:$A$597,0)),""))</f>
        <v>Standard</v>
      </c>
      <c r="I1921" s="23">
        <f>IF($F1921="","",IFERROR(INDEX(Items!$E$5:$E$597,MATCH($F1921,Items!$A$5:$A$597,0)),""))</f>
        <v>1</v>
      </c>
      <c r="J1921" s="115">
        <f>IF(tblIssues[[#This Row],[Qty Override]]&lt;&gt;"",tblIssues[[#This Row],[Qty Override]],IF(tblIssues[[#This Row],[Standard Issue]]="","",tblIssues[[#This Row],[Standard Issue]]))</f>
        <v>1</v>
      </c>
      <c r="K1921" s="20">
        <f>IF($F1921="","",IFERROR(INDEX(Items!$D$5:$D$597,MATCH($F1921,Items!$A$5:$A$597,0)),""))</f>
        <v>0</v>
      </c>
      <c r="L1921" s="21">
        <f t="shared" si="327"/>
        <v>0</v>
      </c>
      <c r="M1921" s="9" t="str">
        <f t="shared" si="325"/>
        <v/>
      </c>
      <c r="N1921" s="24">
        <f>IF($A1921="","",WORKDAY($A1921,Settings!$C$9,HolidayDates))</f>
        <v>46244</v>
      </c>
      <c r="O1921" s="24">
        <f>IF($N1921="","",WORKDAY($N1921,Settings!$C$10,HolidayDates))</f>
        <v>46282</v>
      </c>
      <c r="P1921" s="10"/>
      <c r="Q1921" s="52" t="str">
        <f t="shared" si="328"/>
        <v>Pending</v>
      </c>
      <c r="R1921" s="55" t="str">
        <f t="shared" si="329"/>
        <v>2026-08</v>
      </c>
      <c r="S1921" s="55">
        <f>IF(OR($B1921="",$F1921="",$R1921=""),"",SUMIFS(tblIssues[Qty Issued],tblIssues[Staff ID],$B1921,tblIssues[Item Name],$F1921,tblIssues[Month],$R1921))</f>
        <v>1</v>
      </c>
      <c r="T1921" s="56">
        <f>IF($I1921="","",$I1921*Settings!$C$11)</f>
        <v>1</v>
      </c>
      <c r="U1921" s="57" t="str">
        <f t="shared" si="326"/>
        <v>OK</v>
      </c>
      <c r="V1921" s="55" t="str">
        <f t="shared" si="330"/>
        <v/>
      </c>
      <c r="W1921" s="55" t="str">
        <f>IF($V1921="","",IF(COUNTIF($V$5:$V1921,$V1921)=1,1,""))</f>
        <v/>
      </c>
      <c r="X1921" s="58" t="str">
        <f>IF($W1921="","",MAX($X$4:X1920)+1)</f>
        <v/>
      </c>
      <c r="Y1921" s="62"/>
      <c r="Z1921" s="62"/>
      <c r="AA1921" s="64" t="str">
        <f>IF($C1921="","",IFERROR(INDEX('Staff Directory'!$E$5:$E$594,MATCH($C1921,'Staff Directory'!$B$5:$B$594,0)),""))</f>
        <v>firstname092.lastname092@example.com</v>
      </c>
      <c r="AB1921" s="64" t="str">
        <f>IF($C1921="","",IF(ISNUMBER(SEARCH($D1921,Settings!$C$15)),"Pickup","Dispatch"))</f>
        <v>Pickup</v>
      </c>
      <c r="AC1921" s="64" t="str">
        <f t="shared" si="331"/>
        <v>Supply order ready for pickup</v>
      </c>
      <c r="AD1921" s="64" t="str">
        <f t="shared" si="322"/>
        <v>Dear PSW,
Your order is ready for pickup from Sample Branch, Wed-Fri 9am-4pm.</v>
      </c>
      <c r="AE1921" s="64" t="str">
        <f t="shared" si="323"/>
        <v>mailto:firstname092.lastname092@example.com?subject=Supply%20order%20ready%20for%20pickup&amp;body=Dear%20PSW%2C%0A%0AYour%20order%20is%20ready%20for%20pickup%20from%20Sample%20Branch%2C%20Wed-Fri%209am-4pm.</v>
      </c>
      <c r="AF1921" s="89" t="str">
        <f t="shared" si="332"/>
        <v>Draft email</v>
      </c>
      <c r="AG1921" s="64" t="str">
        <f>IF($C1921="","",IFERROR(INDEX('Staff Directory'!$K$595:$K$599,MATCH($C1921,'Staff Directory'!$B$5:$B$599,0)),$D1921))</f>
        <v>PSW</v>
      </c>
      <c r="AH1921" t="str">
        <f>IF($C1921="","",IFERROR(INDEX('Staff Directory'!$I$595:$I$599,MATCH($C1921,'Staff Directory'!$B$5:$B$599,0))&amp;" "&amp;INDEX('Staff Directory'!$J$595:$J$599,MATCH($C1921,'Staff Directory'!$B$5:$B$599,0)),$AG1921))</f>
        <v>PSW</v>
      </c>
      <c r="AI1921" s="102"/>
      <c r="AJ1921" s="101">
        <f>IF($F1921="","",SUMIFS($J$5:$J1921,$F$5:$F1921,$F1921))</f>
        <v>85</v>
      </c>
      <c r="AK1921" s="101">
        <f t="shared" si="324"/>
        <v>85</v>
      </c>
      <c r="AL1921" s="66" t="str" cm="1">
        <f t="array" ref="AL1921">IF($F1921="","",IFERROR(INDEX('Lot Balance'!$B$5:$B$500,MATCH(1,INDEX(('Lot Balance'!$A$5:$A$500=$F1921)*('Lot Balance'!$K$5:$K$500&lt;$AK1921)*('Lot Balance'!$K$5:$K$500+'Lot Balance'!$D$5:$D$500&gt;=$AK1921),0),0)),""))</f>
        <v/>
      </c>
      <c r="AM1921" s="66" t="str" cm="1">
        <f t="array" ref="AM1921">IF($F1921="","",IFERROR(INDEX('Lot Balance'!$B$5:$B$500,MATCH(1,INDEX(('Lot Balance'!$A$5:$A$500=$F1921)*('Lot Balance'!$K$5:$K$500&lt;$AJ1921)*('Lot Balance'!$K$5:$K$500+'Lot Balance'!$D$5:$D$500&gt;=$AJ1921),0),0)),""))</f>
        <v/>
      </c>
      <c r="AN1921" s="66" t="str">
        <f>IF($F1921="","",IF($AI1921&lt;&gt;"",IF(COUNTIFS('Lot Balance'!$A$5:$A$500,$F1921,'Lot Balance'!$B$5:$B$500,$AI1921)=0,"⚠ override is not a lot of this item",IF($AI1921=$AL1921,"Override = FEFO","Override - FEFO says "&amp;$AL1921)),IF($AL1921="","⚠ no receipt on file for this item",IF($AM1921&lt;&gt;$AL1921,"FEFO auto - split, also "&amp;$AM1921,"FEFO auto"))))</f>
        <v>⚠ no receipt on file for this item</v>
      </c>
      <c r="AO1921" s="114"/>
    </row>
    <row r="1922" spans="1:41" x14ac:dyDescent="0.35">
      <c r="A1922" s="74">
        <v>46235</v>
      </c>
      <c r="B1922" s="18" t="str">
        <f>IF($C1922="","",IFERROR(INDEX('Staff Directory'!$A$5:$A$594,MATCH($C1922,'Staff Directory'!$B$5:$B$594,0)),"⚠ unknown staff"))</f>
        <v>PSW-150-A5</v>
      </c>
      <c r="C1922" s="49" t="s">
        <v>1129</v>
      </c>
      <c r="D1922" s="19" t="str">
        <f>IF($B1922="","",IFERROR(INDEX('Staff Directory'!$C$5:$C$594,MATCH($B1922,'Staff Directory'!$A$5:$A$594,0)),""))</f>
        <v>PSW</v>
      </c>
      <c r="E1922" s="19" t="str">
        <f>IF($B1922="","",IFERROR(INDEX('Staff Directory'!$D$5:$D$594,MATCH($B1922,'Staff Directory'!$A$5:$A$594,0)),""))</f>
        <v>A5</v>
      </c>
      <c r="F1922" s="9" t="s">
        <v>124</v>
      </c>
      <c r="G1922" s="18" t="str">
        <f>IF($F1922="","",IFERROR(INDEX(Items!$B$5:$B$597,MATCH($F1922,Items!$A$5:$A$597,0)),"⚠ not in Items"))</f>
        <v>Gloves</v>
      </c>
      <c r="H1922" s="19" t="str">
        <f>IF($F1922="","",IFERROR(INDEX(Items!$C$5:$C$597,MATCH($F1922,Items!$A$5:$A$597,0)),""))</f>
        <v>Large</v>
      </c>
      <c r="I1922" s="23">
        <f>IF($F1922="","",IFERROR(INDEX(Items!$E$5:$E$597,MATCH($F1922,Items!$A$5:$A$597,0)),""))</f>
        <v>500</v>
      </c>
      <c r="J1922" s="115">
        <f>IF(tblIssues[[#This Row],[Qty Override]]&lt;&gt;"",tblIssues[[#This Row],[Qty Override]],IF(tblIssues[[#This Row],[Standard Issue]]="","",tblIssues[[#This Row],[Standard Issue]]))</f>
        <v>500</v>
      </c>
      <c r="K1922" s="20">
        <f>IF($F1922="","",IFERROR(INDEX(Items!$D$5:$D$597,MATCH($F1922,Items!$A$5:$A$597,0)),""))</f>
        <v>5.5E-2</v>
      </c>
      <c r="L1922" s="21">
        <f t="shared" si="327"/>
        <v>27.5</v>
      </c>
      <c r="M1922" s="9" t="str">
        <f t="shared" si="325"/>
        <v>ZIM512142081</v>
      </c>
      <c r="N1922" s="24">
        <f>IF($A1922="","",WORKDAY($A1922,Settings!$C$9,HolidayDates))</f>
        <v>46244</v>
      </c>
      <c r="O1922" s="24">
        <f>IF($N1922="","",WORKDAY($N1922,Settings!$C$10,HolidayDates))</f>
        <v>46282</v>
      </c>
      <c r="P1922" s="10"/>
      <c r="Q1922" s="52" t="str">
        <f t="shared" si="328"/>
        <v>Pending</v>
      </c>
      <c r="R1922" s="55" t="str">
        <f t="shared" si="329"/>
        <v>2026-08</v>
      </c>
      <c r="S1922" s="55">
        <f>IF(OR($B1922="",$F1922="",$R1922=""),"",SUMIFS(tblIssues[Qty Issued],tblIssues[Staff ID],$B1922,tblIssues[Item Name],$F1922,tblIssues[Month],$R1922))</f>
        <v>500</v>
      </c>
      <c r="T1922" s="56">
        <f>IF($I1922="","",$I1922*Settings!$C$11)</f>
        <v>500</v>
      </c>
      <c r="U1922" s="57" t="str">
        <f t="shared" si="326"/>
        <v>OK</v>
      </c>
      <c r="V1922" s="55" t="str">
        <f t="shared" si="330"/>
        <v/>
      </c>
      <c r="W1922" s="55" t="str">
        <f>IF($V1922="","",IF(COUNTIF($V$5:$V1922,$V1922)=1,1,""))</f>
        <v/>
      </c>
      <c r="X1922" s="58" t="str">
        <f>IF($W1922="","",MAX($X$4:X1921)+1)</f>
        <v/>
      </c>
      <c r="Y1922" s="62"/>
      <c r="Z1922" s="62"/>
      <c r="AA1922" s="64" t="str">
        <f>IF($C1922="","",IFERROR(INDEX('Staff Directory'!$E$5:$E$594,MATCH($C1922,'Staff Directory'!$B$5:$B$594,0)),""))</f>
        <v>firstname213.lastname213@example.com</v>
      </c>
      <c r="AB1922" s="64" t="str">
        <f>IF($C1922="","",IF(ISNUMBER(SEARCH($D1922,Settings!$C$15)),"Pickup","Dispatch"))</f>
        <v>Pickup</v>
      </c>
      <c r="AC1922" s="64" t="str">
        <f t="shared" si="331"/>
        <v>Supply order ready for pickup</v>
      </c>
      <c r="AD1922" s="64" t="str">
        <f t="shared" si="322"/>
        <v>Dear PSW,
Your order is ready for pickup from Sample Branch, Wed-Fri 9am-4pm.</v>
      </c>
      <c r="AE1922" s="64" t="str">
        <f t="shared" si="323"/>
        <v>mailto:firstname213.lastname213@example.com?subject=Supply%20order%20ready%20for%20pickup&amp;body=Dear%20PSW%2C%0A%0AYour%20order%20is%20ready%20for%20pickup%20from%20Sample%20Branch%2C%20Wed-Fri%209am-4pm.</v>
      </c>
      <c r="AF1922" s="89" t="str">
        <f t="shared" si="332"/>
        <v>Draft email</v>
      </c>
      <c r="AG1922" s="64" t="str">
        <f>IF($C1922="","",IFERROR(INDEX('Staff Directory'!$K$595:$K$599,MATCH($C1922,'Staff Directory'!$B$5:$B$599,0)),$D1922))</f>
        <v>PSW</v>
      </c>
      <c r="AH1922" t="str">
        <f>IF($C1922="","",IFERROR(INDEX('Staff Directory'!$I$595:$I$599,MATCH($C1922,'Staff Directory'!$B$5:$B$599,0))&amp;" "&amp;INDEX('Staff Directory'!$J$595:$J$599,MATCH($C1922,'Staff Directory'!$B$5:$B$599,0)),$AG1922))</f>
        <v>PSW</v>
      </c>
      <c r="AI1922" s="102"/>
      <c r="AJ1922" s="101">
        <f>IF($F1922="","",SUMIFS($J$5:$J1922,$F$5:$F1922,$F1922))</f>
        <v>51500</v>
      </c>
      <c r="AK1922" s="101">
        <f t="shared" si="324"/>
        <v>51001</v>
      </c>
      <c r="AL1922" s="66" t="str" cm="1">
        <f t="array" ref="AL1922">IF($F1922="","",IFERROR(INDEX('Lot Balance'!$B$5:$B$500,MATCH(1,INDEX(('Lot Balance'!$A$5:$A$500=$F1922)*('Lot Balance'!$K$5:$K$500&lt;$AK1922)*('Lot Balance'!$K$5:$K$500+'Lot Balance'!$D$5:$D$500&gt;=$AK1922),0),0)),""))</f>
        <v>ZIM512142081</v>
      </c>
      <c r="AM1922" s="66" t="str" cm="1">
        <f t="array" ref="AM1922">IF($F1922="","",IFERROR(INDEX('Lot Balance'!$B$5:$B$500,MATCH(1,INDEX(('Lot Balance'!$A$5:$A$500=$F1922)*('Lot Balance'!$K$5:$K$500&lt;$AJ1922)*('Lot Balance'!$K$5:$K$500+'Lot Balance'!$D$5:$D$500&gt;=$AJ1922),0),0)),""))</f>
        <v>ZIM512142081</v>
      </c>
      <c r="AN1922" s="66" t="str">
        <f>IF($F1922="","",IF($AI1922&lt;&gt;"",IF(COUNTIFS('Lot Balance'!$A$5:$A$500,$F1922,'Lot Balance'!$B$5:$B$500,$AI1922)=0,"⚠ override is not a lot of this item",IF($AI1922=$AL1922,"Override = FEFO","Override - FEFO says "&amp;$AL1922)),IF($AL1922="","⚠ no receipt on file for this item",IF($AM1922&lt;&gt;$AL1922,"FEFO auto - split, also "&amp;$AM1922,"FEFO auto"))))</f>
        <v>FEFO auto</v>
      </c>
      <c r="AO1922" s="114"/>
    </row>
    <row r="1923" spans="1:41" x14ac:dyDescent="0.35">
      <c r="A1923" s="74">
        <v>46235</v>
      </c>
      <c r="B1923" s="18" t="str">
        <f>IF($C1923="","",IFERROR(INDEX('Staff Directory'!$A$5:$A$594,MATCH($C1923,'Staff Directory'!$B$5:$B$594,0)),"⚠ unknown staff"))</f>
        <v>PSW-150-A5</v>
      </c>
      <c r="C1923" s="49" t="s">
        <v>1129</v>
      </c>
      <c r="D1923" s="19" t="str">
        <f>IF($B1923="","",IFERROR(INDEX('Staff Directory'!$C$5:$C$594,MATCH($B1923,'Staff Directory'!$A$5:$A$594,0)),""))</f>
        <v>PSW</v>
      </c>
      <c r="E1923" s="19" t="str">
        <f>IF($B1923="","",IFERROR(INDEX('Staff Directory'!$D$5:$D$594,MATCH($B1923,'Staff Directory'!$A$5:$A$594,0)),""))</f>
        <v>A5</v>
      </c>
      <c r="F1923" s="9" t="s">
        <v>191</v>
      </c>
      <c r="G1923" s="18" t="str">
        <f>IF($F1923="","",IFERROR(INDEX(Items!$B$5:$B$597,MATCH($F1923,Items!$A$5:$A$597,0)),"⚠ not in Items"))</f>
        <v>Sanitizer</v>
      </c>
      <c r="H1923" s="19" t="str">
        <f>IF($F1923="","",IFERROR(INDEX(Items!$C$5:$C$597,MATCH($F1923,Items!$A$5:$A$597,0)),""))</f>
        <v>236 ML</v>
      </c>
      <c r="I1923" s="23">
        <f>IF($F1923="","",IFERROR(INDEX(Items!$E$5:$E$597,MATCH($F1923,Items!$A$5:$A$597,0)),""))</f>
        <v>1</v>
      </c>
      <c r="J1923" s="115">
        <f>IF(tblIssues[[#This Row],[Qty Override]]&lt;&gt;"",tblIssues[[#This Row],[Qty Override]],IF(tblIssues[[#This Row],[Standard Issue]]="","",tblIssues[[#This Row],[Standard Issue]]))</f>
        <v>1</v>
      </c>
      <c r="K1923" s="20">
        <f>IF($F1923="","",IFERROR(INDEX(Items!$D$5:$D$597,MATCH($F1923,Items!$A$5:$A$597,0)),""))</f>
        <v>1E-4</v>
      </c>
      <c r="L1923" s="21">
        <f t="shared" si="327"/>
        <v>1E-4</v>
      </c>
      <c r="M1923" s="9" t="str">
        <f t="shared" si="325"/>
        <v>20-21734-6</v>
      </c>
      <c r="N1923" s="24">
        <f>IF($A1923="","",WORKDAY($A1923,Settings!$C$9,HolidayDates))</f>
        <v>46244</v>
      </c>
      <c r="O1923" s="24">
        <f>IF($N1923="","",WORKDAY($N1923,Settings!$C$10,HolidayDates))</f>
        <v>46282</v>
      </c>
      <c r="P1923" s="10"/>
      <c r="Q1923" s="52" t="str">
        <f t="shared" si="328"/>
        <v>Pending</v>
      </c>
      <c r="R1923" s="55" t="str">
        <f t="shared" si="329"/>
        <v>2026-08</v>
      </c>
      <c r="S1923" s="55">
        <f>IF(OR($B1923="",$F1923="",$R1923=""),"",SUMIFS(tblIssues[Qty Issued],tblIssues[Staff ID],$B1923,tblIssues[Item Name],$F1923,tblIssues[Month],$R1923))</f>
        <v>1</v>
      </c>
      <c r="T1923" s="56">
        <f>IF($I1923="","",$I1923*Settings!$C$11)</f>
        <v>1</v>
      </c>
      <c r="U1923" s="57" t="str">
        <f t="shared" si="326"/>
        <v>OK</v>
      </c>
      <c r="V1923" s="55" t="str">
        <f t="shared" si="330"/>
        <v/>
      </c>
      <c r="W1923" s="55" t="str">
        <f>IF($V1923="","",IF(COUNTIF($V$5:$V1923,$V1923)=1,1,""))</f>
        <v/>
      </c>
      <c r="X1923" s="58" t="str">
        <f>IF($W1923="","",MAX($X$4:X1922)+1)</f>
        <v/>
      </c>
      <c r="Y1923" s="62"/>
      <c r="Z1923" s="62"/>
      <c r="AA1923" s="64" t="str">
        <f>IF($C1923="","",IFERROR(INDEX('Staff Directory'!$E$5:$E$594,MATCH($C1923,'Staff Directory'!$B$5:$B$594,0)),""))</f>
        <v>firstname213.lastname213@example.com</v>
      </c>
      <c r="AB1923" s="64" t="str">
        <f>IF($C1923="","",IF(ISNUMBER(SEARCH($D1923,Settings!$C$15)),"Pickup","Dispatch"))</f>
        <v>Pickup</v>
      </c>
      <c r="AC1923" s="64" t="str">
        <f t="shared" si="331"/>
        <v>Supply order ready for pickup</v>
      </c>
      <c r="AD1923" s="64" t="str">
        <f t="shared" si="322"/>
        <v>Dear PSW,
Your order is ready for pickup from Sample Branch, Wed-Fri 9am-4pm.</v>
      </c>
      <c r="AE1923" s="64" t="str">
        <f t="shared" si="323"/>
        <v>mailto:firstname213.lastname213@example.com?subject=Supply%20order%20ready%20for%20pickup&amp;body=Dear%20PSW%2C%0A%0AYour%20order%20is%20ready%20for%20pickup%20from%20Sample%20Branch%2C%20Wed-Fri%209am-4pm.</v>
      </c>
      <c r="AF1923" s="89" t="str">
        <f t="shared" si="332"/>
        <v>Draft email</v>
      </c>
      <c r="AG1923" s="64" t="str">
        <f>IF($C1923="","",IFERROR(INDEX('Staff Directory'!$K$595:$K$599,MATCH($C1923,'Staff Directory'!$B$5:$B$599,0)),$D1923))</f>
        <v>PSW</v>
      </c>
      <c r="AH1923" t="str">
        <f>IF($C1923="","",IFERROR(INDEX('Staff Directory'!$I$595:$I$599,MATCH($C1923,'Staff Directory'!$B$5:$B$599,0))&amp;" "&amp;INDEX('Staff Directory'!$J$595:$J$599,MATCH($C1923,'Staff Directory'!$B$5:$B$599,0)),$AG1923))</f>
        <v>PSW</v>
      </c>
      <c r="AI1923" s="102"/>
      <c r="AJ1923" s="101">
        <f>IF($F1923="","",SUMIFS($J$5:$J1923,$F$5:$F1923,$F1923))</f>
        <v>264</v>
      </c>
      <c r="AK1923" s="101">
        <f t="shared" si="324"/>
        <v>264</v>
      </c>
      <c r="AL1923" s="66" t="str" cm="1">
        <f t="array" ref="AL1923">IF($F1923="","",IFERROR(INDEX('Lot Balance'!$B$5:$B$500,MATCH(1,INDEX(('Lot Balance'!$A$5:$A$500=$F1923)*('Lot Balance'!$K$5:$K$500&lt;$AK1923)*('Lot Balance'!$K$5:$K$500+'Lot Balance'!$D$5:$D$500&gt;=$AK1923),0),0)),""))</f>
        <v>20-21734-6</v>
      </c>
      <c r="AM1923" s="66" t="str" cm="1">
        <f t="array" ref="AM1923">IF($F1923="","",IFERROR(INDEX('Lot Balance'!$B$5:$B$500,MATCH(1,INDEX(('Lot Balance'!$A$5:$A$500=$F1923)*('Lot Balance'!$K$5:$K$500&lt;$AJ1923)*('Lot Balance'!$K$5:$K$500+'Lot Balance'!$D$5:$D$500&gt;=$AJ1923),0),0)),""))</f>
        <v>20-21734-6</v>
      </c>
      <c r="AN1923" s="66" t="str">
        <f>IF($F1923="","",IF($AI1923&lt;&gt;"",IF(COUNTIFS('Lot Balance'!$A$5:$A$500,$F1923,'Lot Balance'!$B$5:$B$500,$AI1923)=0,"⚠ override is not a lot of this item",IF($AI1923=$AL1923,"Override = FEFO","Override - FEFO says "&amp;$AL1923)),IF($AL1923="","⚠ no receipt on file for this item",IF($AM1923&lt;&gt;$AL1923,"FEFO auto - split, also "&amp;$AM1923,"FEFO auto"))))</f>
        <v>FEFO auto</v>
      </c>
      <c r="AO1923" s="114"/>
    </row>
    <row r="1924" spans="1:41" x14ac:dyDescent="0.35">
      <c r="A1924" s="74">
        <v>46235</v>
      </c>
      <c r="B1924" s="18" t="str">
        <f>IF($C1924="","",IFERROR(INDEX('Staff Directory'!$A$5:$A$594,MATCH($C1924,'Staff Directory'!$B$5:$B$594,0)),"⚠ unknown staff"))</f>
        <v>PSW-150-A5</v>
      </c>
      <c r="C1924" s="49" t="s">
        <v>1129</v>
      </c>
      <c r="D1924" s="19" t="str">
        <f>IF($B1924="","",IFERROR(INDEX('Staff Directory'!$C$5:$C$594,MATCH($B1924,'Staff Directory'!$A$5:$A$594,0)),""))</f>
        <v>PSW</v>
      </c>
      <c r="E1924" s="19" t="str">
        <f>IF($B1924="","",IFERROR(INDEX('Staff Directory'!$D$5:$D$594,MATCH($B1924,'Staff Directory'!$A$5:$A$594,0)),""))</f>
        <v>A5</v>
      </c>
      <c r="F1924" s="9" t="s">
        <v>137</v>
      </c>
      <c r="G1924" s="18" t="str">
        <f>IF($F1924="","",IFERROR(INDEX(Items!$B$5:$B$597,MATCH($F1924,Items!$A$5:$A$597,0)),"⚠ not in Items"))</f>
        <v>Sanitizer</v>
      </c>
      <c r="H1924" s="19" t="str">
        <f>IF($F1924="","",IFERROR(INDEX(Items!$C$5:$C$597,MATCH($F1924,Items!$A$5:$A$597,0)),""))</f>
        <v>118 ML</v>
      </c>
      <c r="I1924" s="23">
        <f>IF($F1924="","",IFERROR(INDEX(Items!$E$5:$E$597,MATCH($F1924,Items!$A$5:$A$597,0)),""))</f>
        <v>2</v>
      </c>
      <c r="J1924" s="115">
        <f>IF(tblIssues[[#This Row],[Qty Override]]&lt;&gt;"",tblIssues[[#This Row],[Qty Override]],IF(tblIssues[[#This Row],[Standard Issue]]="","",tblIssues[[#This Row],[Standard Issue]]))</f>
        <v>2</v>
      </c>
      <c r="K1924" s="20">
        <f>IF($F1924="","",IFERROR(INDEX(Items!$D$5:$D$597,MATCH($F1924,Items!$A$5:$A$597,0)),""))</f>
        <v>4.49</v>
      </c>
      <c r="L1924" s="21">
        <f t="shared" si="327"/>
        <v>8.98</v>
      </c>
      <c r="M1924" s="9" t="str">
        <f t="shared" si="325"/>
        <v/>
      </c>
      <c r="N1924" s="24">
        <f>IF($A1924="","",WORKDAY($A1924,Settings!$C$9,HolidayDates))</f>
        <v>46244</v>
      </c>
      <c r="O1924" s="24">
        <f>IF($N1924="","",WORKDAY($N1924,Settings!$C$10,HolidayDates))</f>
        <v>46282</v>
      </c>
      <c r="P1924" s="10"/>
      <c r="Q1924" s="52" t="str">
        <f t="shared" si="328"/>
        <v>Pending</v>
      </c>
      <c r="R1924" s="55" t="str">
        <f t="shared" si="329"/>
        <v>2026-08</v>
      </c>
      <c r="S1924" s="55">
        <f>IF(OR($B1924="",$F1924="",$R1924=""),"",SUMIFS(tblIssues[Qty Issued],tblIssues[Staff ID],$B1924,tblIssues[Item Name],$F1924,tblIssues[Month],$R1924))</f>
        <v>2</v>
      </c>
      <c r="T1924" s="56">
        <f>IF($I1924="","",$I1924*Settings!$C$11)</f>
        <v>2</v>
      </c>
      <c r="U1924" s="57" t="str">
        <f t="shared" si="326"/>
        <v>OK</v>
      </c>
      <c r="V1924" s="55" t="str">
        <f t="shared" si="330"/>
        <v/>
      </c>
      <c r="W1924" s="55" t="str">
        <f>IF($V1924="","",IF(COUNTIF($V$5:$V1924,$V1924)=1,1,""))</f>
        <v/>
      </c>
      <c r="X1924" s="58" t="str">
        <f>IF($W1924="","",MAX($X$4:X1923)+1)</f>
        <v/>
      </c>
      <c r="Y1924" s="62"/>
      <c r="Z1924" s="62"/>
      <c r="AA1924" s="64" t="str">
        <f>IF($C1924="","",IFERROR(INDEX('Staff Directory'!$E$5:$E$594,MATCH($C1924,'Staff Directory'!$B$5:$B$594,0)),""))</f>
        <v>firstname213.lastname213@example.com</v>
      </c>
      <c r="AB1924" s="64" t="str">
        <f>IF($C1924="","",IF(ISNUMBER(SEARCH($D1924,Settings!$C$15)),"Pickup","Dispatch"))</f>
        <v>Pickup</v>
      </c>
      <c r="AC1924" s="64" t="str">
        <f t="shared" si="331"/>
        <v>Supply order ready for pickup</v>
      </c>
      <c r="AD1924" s="64" t="str">
        <f t="shared" si="322"/>
        <v>Dear PSW,
Your order is ready for pickup from Sample Branch, Wed-Fri 9am-4pm.</v>
      </c>
      <c r="AE1924" s="64" t="str">
        <f t="shared" si="323"/>
        <v>mailto:firstname213.lastname213@example.com?subject=Supply%20order%20ready%20for%20pickup&amp;body=Dear%20PSW%2C%0A%0AYour%20order%20is%20ready%20for%20pickup%20from%20Sample%20Branch%2C%20Wed-Fri%209am-4pm.</v>
      </c>
      <c r="AF1924" s="89" t="str">
        <f t="shared" si="332"/>
        <v>Draft email</v>
      </c>
      <c r="AG1924" s="64" t="str">
        <f>IF($C1924="","",IFERROR(INDEX('Staff Directory'!$K$595:$K$599,MATCH($C1924,'Staff Directory'!$B$5:$B$599,0)),$D1924))</f>
        <v>PSW</v>
      </c>
      <c r="AH1924" t="str">
        <f>IF($C1924="","",IFERROR(INDEX('Staff Directory'!$I$595:$I$599,MATCH($C1924,'Staff Directory'!$B$5:$B$599,0))&amp;" "&amp;INDEX('Staff Directory'!$J$595:$J$599,MATCH($C1924,'Staff Directory'!$B$5:$B$599,0)),$AG1924))</f>
        <v>PSW</v>
      </c>
      <c r="AI1924" s="102"/>
      <c r="AJ1924" s="101">
        <f>IF($F1924="","",SUMIFS($J$5:$J1924,$F$5:$F1924,$F1924))</f>
        <v>162</v>
      </c>
      <c r="AK1924" s="101">
        <f t="shared" si="324"/>
        <v>161</v>
      </c>
      <c r="AL1924" s="66" t="str" cm="1">
        <f t="array" ref="AL1924">IF($F1924="","",IFERROR(INDEX('Lot Balance'!$B$5:$B$500,MATCH(1,INDEX(('Lot Balance'!$A$5:$A$500=$F1924)*('Lot Balance'!$K$5:$K$500&lt;$AK1924)*('Lot Balance'!$K$5:$K$500+'Lot Balance'!$D$5:$D$500&gt;=$AK1924),0),0)),""))</f>
        <v/>
      </c>
      <c r="AM1924" s="66" t="str" cm="1">
        <f t="array" ref="AM1924">IF($F1924="","",IFERROR(INDEX('Lot Balance'!$B$5:$B$500,MATCH(1,INDEX(('Lot Balance'!$A$5:$A$500=$F1924)*('Lot Balance'!$K$5:$K$500&lt;$AJ1924)*('Lot Balance'!$K$5:$K$500+'Lot Balance'!$D$5:$D$500&gt;=$AJ1924),0),0)),""))</f>
        <v/>
      </c>
      <c r="AN1924" s="66" t="str">
        <f>IF($F1924="","",IF($AI1924&lt;&gt;"",IF(COUNTIFS('Lot Balance'!$A$5:$A$500,$F1924,'Lot Balance'!$B$5:$B$500,$AI1924)=0,"⚠ override is not a lot of this item",IF($AI1924=$AL1924,"Override = FEFO","Override - FEFO says "&amp;$AL1924)),IF($AL1924="","⚠ no receipt on file for this item",IF($AM1924&lt;&gt;$AL1924,"FEFO auto - split, also "&amp;$AM1924,"FEFO auto"))))</f>
        <v>⚠ no receipt on file for this item</v>
      </c>
      <c r="AO1924" s="114"/>
    </row>
    <row r="1925" spans="1:41" x14ac:dyDescent="0.35">
      <c r="A1925" s="74">
        <v>46235</v>
      </c>
      <c r="B1925" s="18" t="str">
        <f>IF($C1925="","",IFERROR(INDEX('Staff Directory'!$A$5:$A$594,MATCH($C1925,'Staff Directory'!$B$5:$B$594,0)),"⚠ unknown staff"))</f>
        <v>PSW-150-A5</v>
      </c>
      <c r="C1925" s="49" t="s">
        <v>1129</v>
      </c>
      <c r="D1925" s="19" t="str">
        <f>IF($B1925="","",IFERROR(INDEX('Staff Directory'!$C$5:$C$594,MATCH($B1925,'Staff Directory'!$A$5:$A$594,0)),""))</f>
        <v>PSW</v>
      </c>
      <c r="E1925" s="19" t="str">
        <f>IF($B1925="","",IFERROR(INDEX('Staff Directory'!$D$5:$D$594,MATCH($B1925,'Staff Directory'!$A$5:$A$594,0)),""))</f>
        <v>A5</v>
      </c>
      <c r="F1925" s="9" t="s">
        <v>156</v>
      </c>
      <c r="G1925" s="18" t="str">
        <f>IF($F1925="","",IFERROR(INDEX(Items!$B$5:$B$597,MATCH($F1925,Items!$A$5:$A$597,0)),"⚠ not in Items"))</f>
        <v>Masks</v>
      </c>
      <c r="H1925" s="19" t="str">
        <f>IF($F1925="","",IFERROR(INDEX(Items!$C$5:$C$597,MATCH($F1925,Items!$A$5:$A$597,0)),""))</f>
        <v>One Size</v>
      </c>
      <c r="I1925" s="23">
        <f>IF($F1925="","",IFERROR(INDEX(Items!$E$5:$E$597,MATCH($F1925,Items!$A$5:$A$597,0)),""))</f>
        <v>50</v>
      </c>
      <c r="J1925" s="115">
        <f>IF(tblIssues[[#This Row],[Qty Override]]&lt;&gt;"",tblIssues[[#This Row],[Qty Override]],IF(tblIssues[[#This Row],[Standard Issue]]="","",tblIssues[[#This Row],[Standard Issue]]))</f>
        <v>50</v>
      </c>
      <c r="K1925" s="20">
        <f>IF($F1925="","",IFERROR(INDEX(Items!$D$5:$D$597,MATCH($F1925,Items!$A$5:$A$597,0)),""))</f>
        <v>0.25</v>
      </c>
      <c r="L1925" s="21">
        <f t="shared" si="327"/>
        <v>12.5</v>
      </c>
      <c r="M1925" s="9" t="str">
        <f t="shared" si="325"/>
        <v>LV2-10040-3</v>
      </c>
      <c r="N1925" s="24">
        <f>IF($A1925="","",WORKDAY($A1925,Settings!$C$9,HolidayDates))</f>
        <v>46244</v>
      </c>
      <c r="O1925" s="24">
        <f>IF($N1925="","",WORKDAY($N1925,Settings!$C$10,HolidayDates))</f>
        <v>46282</v>
      </c>
      <c r="P1925" s="10"/>
      <c r="Q1925" s="52" t="str">
        <f t="shared" si="328"/>
        <v>Pending</v>
      </c>
      <c r="R1925" s="55" t="str">
        <f t="shared" si="329"/>
        <v>2026-08</v>
      </c>
      <c r="S1925" s="55">
        <f>IF(OR($B1925="",$F1925="",$R1925=""),"",SUMIFS(tblIssues[Qty Issued],tblIssues[Staff ID],$B1925,tblIssues[Item Name],$F1925,tblIssues[Month],$R1925))</f>
        <v>50</v>
      </c>
      <c r="T1925" s="56">
        <f>IF($I1925="","",$I1925*Settings!$C$11)</f>
        <v>50</v>
      </c>
      <c r="U1925" s="57" t="str">
        <f t="shared" si="326"/>
        <v>OK</v>
      </c>
      <c r="V1925" s="55" t="str">
        <f t="shared" si="330"/>
        <v/>
      </c>
      <c r="W1925" s="55" t="str">
        <f>IF($V1925="","",IF(COUNTIF($V$5:$V1925,$V1925)=1,1,""))</f>
        <v/>
      </c>
      <c r="X1925" s="58" t="str">
        <f>IF($W1925="","",MAX($X$4:X1924)+1)</f>
        <v/>
      </c>
      <c r="Y1925" s="62"/>
      <c r="Z1925" s="62"/>
      <c r="AA1925" s="64" t="str">
        <f>IF($C1925="","",IFERROR(INDEX('Staff Directory'!$E$5:$E$594,MATCH($C1925,'Staff Directory'!$B$5:$B$594,0)),""))</f>
        <v>firstname213.lastname213@example.com</v>
      </c>
      <c r="AB1925" s="64" t="str">
        <f>IF($C1925="","",IF(ISNUMBER(SEARCH($D1925,Settings!$C$15)),"Pickup","Dispatch"))</f>
        <v>Pickup</v>
      </c>
      <c r="AC1925" s="64" t="str">
        <f t="shared" si="331"/>
        <v>Supply order ready for pickup</v>
      </c>
      <c r="AD1925" s="64" t="str">
        <f t="shared" ref="AD1925:AD1977" si="333">IF($AB1925="Pickup","Dear "&amp;$AH1925&amp;","&amp;CHAR(10)&amp;CHAR(10)&amp;"Your order is ready for pickup from Sample Branch, Wed-Fri 9am-4pm.",IF($AB1925="Dispatch","Dear "&amp;$AH1925&amp;","&amp;CHAR(10)&amp;CHAR(10)&amp;"Your order has been dispatched and is in transit. Reply if undelivered.",""))</f>
        <v>Dear PSW,
Your order is ready for pickup from Sample Branch, Wed-Fri 9am-4pm.</v>
      </c>
      <c r="AE1925" s="64" t="str">
        <f t="shared" ref="AE1925:AE1977" si="334">IF(OR($AA1925="",$AC1925=""),"","mailto:"&amp;$AA1925&amp;"?subject="&amp;_xlfn.ENCODEURL($AC1925)&amp;"&amp;body="&amp;_xlfn.ENCODEURL($AD1925))</f>
        <v>mailto:firstname213.lastname213@example.com?subject=Supply%20order%20ready%20for%20pickup&amp;body=Dear%20PSW%2C%0A%0AYour%20order%20is%20ready%20for%20pickup%20from%20Sample%20Branch%2C%20Wed-Fri%209am-4pm.</v>
      </c>
      <c r="AF1925" s="89" t="str">
        <f t="shared" si="332"/>
        <v>Draft email</v>
      </c>
      <c r="AG1925" s="64" t="str">
        <f>IF($C1925="","",IFERROR(INDEX('Staff Directory'!$K$595:$K$599,MATCH($C1925,'Staff Directory'!$B$5:$B$599,0)),$D1925))</f>
        <v>PSW</v>
      </c>
      <c r="AH1925" t="str">
        <f>IF($C1925="","",IFERROR(INDEX('Staff Directory'!$I$595:$I$599,MATCH($C1925,'Staff Directory'!$B$5:$B$599,0))&amp;" "&amp;INDEX('Staff Directory'!$J$595:$J$599,MATCH($C1925,'Staff Directory'!$B$5:$B$599,0)),$AG1925))</f>
        <v>PSW</v>
      </c>
      <c r="AI1925" s="102"/>
      <c r="AJ1925" s="101">
        <f>IF($F1925="","",SUMIFS($J$5:$J1925,$F$5:$F1925,$F1925))</f>
        <v>15650</v>
      </c>
      <c r="AK1925" s="101">
        <f t="shared" ref="AK1925:AK1977" si="335">IF($F1925="","",MAX(1,$AJ1925-MAX($J1925,0)+1))</f>
        <v>15601</v>
      </c>
      <c r="AL1925" s="66" t="str" cm="1">
        <f t="array" ref="AL1925">IF($F1925="","",IFERROR(INDEX('Lot Balance'!$B$5:$B$500,MATCH(1,INDEX(('Lot Balance'!$A$5:$A$500=$F1925)*('Lot Balance'!$K$5:$K$500&lt;$AK1925)*('Lot Balance'!$K$5:$K$500+'Lot Balance'!$D$5:$D$500&gt;=$AK1925),0),0)),""))</f>
        <v>LV2-10040-3</v>
      </c>
      <c r="AM1925" s="66" t="str" cm="1">
        <f t="array" ref="AM1925">IF($F1925="","",IFERROR(INDEX('Lot Balance'!$B$5:$B$500,MATCH(1,INDEX(('Lot Balance'!$A$5:$A$500=$F1925)*('Lot Balance'!$K$5:$K$500&lt;$AJ1925)*('Lot Balance'!$K$5:$K$500+'Lot Balance'!$D$5:$D$500&gt;=$AJ1925),0),0)),""))</f>
        <v>LV2-10040-3</v>
      </c>
      <c r="AN1925" s="66" t="str">
        <f>IF($F1925="","",IF($AI1925&lt;&gt;"",IF(COUNTIFS('Lot Balance'!$A$5:$A$500,$F1925,'Lot Balance'!$B$5:$B$500,$AI1925)=0,"⚠ override is not a lot of this item",IF($AI1925=$AL1925,"Override = FEFO","Override - FEFO says "&amp;$AL1925)),IF($AL1925="","⚠ no receipt on file for this item",IF($AM1925&lt;&gt;$AL1925,"FEFO auto - split, also "&amp;$AM1925,"FEFO auto"))))</f>
        <v>FEFO auto</v>
      </c>
      <c r="AO1925" s="114"/>
    </row>
    <row r="1926" spans="1:41" x14ac:dyDescent="0.35">
      <c r="A1926" s="95">
        <v>46235</v>
      </c>
      <c r="B1926" s="80" t="str">
        <f>IF($C1926="","",IFERROR(INDEX('Staff Directory'!$A$5:$A$594,MATCH($C1926,'Staff Directory'!$B$5:$B$594,0)),"⚠ unknown staff"))</f>
        <v>PSW-150-A5</v>
      </c>
      <c r="C1926" s="84" t="s">
        <v>1129</v>
      </c>
      <c r="D1926" s="81" t="str">
        <f>IF($B1926="","",IFERROR(INDEX('Staff Directory'!$C$5:$C$594,MATCH($B1926,'Staff Directory'!$A$5:$A$594,0)),""))</f>
        <v>PSW</v>
      </c>
      <c r="E1926" s="81" t="str">
        <f>IF($B1926="","",IFERROR(INDEX('Staff Directory'!$D$5:$D$594,MATCH($B1926,'Staff Directory'!$A$5:$A$594,0)),""))</f>
        <v>A5</v>
      </c>
      <c r="F1926" s="79" t="s">
        <v>758</v>
      </c>
      <c r="G1926" s="18" t="str">
        <f>IF($F1926="","",IFERROR(INDEX(Items!$B$5:$B$597,MATCH($F1926,Items!$A$5:$A$597,0)),"⚠ not in Items"))</f>
        <v>Utility</v>
      </c>
      <c r="H1926" s="19" t="str">
        <f>IF($F1926="","",IFERROR(INDEX(Items!$C$5:$C$597,MATCH($F1926,Items!$A$5:$A$597,0)),""))</f>
        <v>Standard</v>
      </c>
      <c r="I1926" s="23">
        <f>IF($F1926="","",IFERROR(INDEX(Items!$E$5:$E$597,MATCH($F1926,Items!$A$5:$A$597,0)),""))</f>
        <v>1</v>
      </c>
      <c r="J1926" s="116">
        <f>IF(tblIssues[[#This Row],[Qty Override]]&lt;&gt;"",tblIssues[[#This Row],[Qty Override]],IF(tblIssues[[#This Row],[Standard Issue]]="","",tblIssues[[#This Row],[Standard Issue]]))</f>
        <v>1</v>
      </c>
      <c r="K1926" s="20">
        <f>IF($F1926="","",IFERROR(INDEX(Items!$D$5:$D$597,MATCH($F1926,Items!$A$5:$A$597,0)),""))</f>
        <v>0</v>
      </c>
      <c r="L1926" s="21">
        <f t="shared" si="327"/>
        <v>0</v>
      </c>
      <c r="M1926" s="9" t="str">
        <f t="shared" ref="M1926:M1977" si="336">IF($F1926="","",IF($AI1926&lt;&gt;"",$AI1926,$AL1926))</f>
        <v/>
      </c>
      <c r="N1926" s="87">
        <f>IF($A1926="","",WORKDAY($A1926,Settings!$C$9,HolidayDates))</f>
        <v>46244</v>
      </c>
      <c r="O1926" s="87">
        <f>IF($N1926="","",WORKDAY($N1926,Settings!$C$10,HolidayDates))</f>
        <v>46282</v>
      </c>
      <c r="P1926" s="97"/>
      <c r="Q1926" s="88" t="str">
        <f t="shared" si="328"/>
        <v>Pending</v>
      </c>
      <c r="R1926" s="59" t="str">
        <f t="shared" si="329"/>
        <v>2026-08</v>
      </c>
      <c r="S1926" s="59">
        <f>IF(OR($B1926="",$F1926="",$R1926=""),"",SUMIFS(tblIssues[Qty Issued],tblIssues[Staff ID],$B1926,tblIssues[Item Name],$F1926,tblIssues[Month],$R1926))</f>
        <v>1</v>
      </c>
      <c r="T1926" s="56">
        <f>IF($I1926="","",$I1926*Settings!$C$11)</f>
        <v>1</v>
      </c>
      <c r="U1926" s="57" t="str">
        <f t="shared" ref="U1926" si="337">IF(OR($S1926="",$T1926=""),"",IF($S1926&gt;$T1926,IF($Y1926="Approved","APPROVED BY TL","⚠ OVER QUOTA"),"OK"))</f>
        <v>OK</v>
      </c>
      <c r="V1926" s="59" t="str">
        <f t="shared" si="330"/>
        <v/>
      </c>
      <c r="W1926" s="100" t="str">
        <f>IF($V1926="","",IF(COUNTIF($V$5:$V1926,$V1926)=1,1,""))</f>
        <v/>
      </c>
      <c r="X1926" s="60" t="str">
        <f>IF($W1926="","",MAX($X$4:X1925)+1)</f>
        <v/>
      </c>
      <c r="Y1926" s="62"/>
      <c r="Z1926" s="62"/>
      <c r="AA1926" s="64" t="str">
        <f>IF($C1926="","",IFERROR(INDEX('Staff Directory'!$E$5:$E$594,MATCH($C1926,'Staff Directory'!$B$5:$B$594,0)),""))</f>
        <v>firstname213.lastname213@example.com</v>
      </c>
      <c r="AB1926" s="64" t="str">
        <f>IF($C1926="","",IF(ISNUMBER(SEARCH($D1926,Settings!$C$15)),"Pickup","Dispatch"))</f>
        <v>Pickup</v>
      </c>
      <c r="AC1926" s="64" t="str">
        <f t="shared" si="331"/>
        <v>Supply order ready for pickup</v>
      </c>
      <c r="AD1926" s="64" t="str">
        <f t="shared" si="333"/>
        <v>Dear PSW,
Your order is ready for pickup from Sample Branch, Wed-Fri 9am-4pm.</v>
      </c>
      <c r="AE1926" s="64" t="str">
        <f t="shared" si="334"/>
        <v>mailto:firstname213.lastname213@example.com?subject=Supply%20order%20ready%20for%20pickup&amp;body=Dear%20PSW%2C%0A%0AYour%20order%20is%20ready%20for%20pickup%20from%20Sample%20Branch%2C%20Wed-Fri%209am-4pm.</v>
      </c>
      <c r="AF1926" s="89" t="str">
        <f t="shared" si="332"/>
        <v>Draft email</v>
      </c>
      <c r="AG1926" s="64" t="str">
        <f>IF($C1926="","",IFERROR(INDEX('Staff Directory'!$K$595:$K$599,MATCH($C1926,'Staff Directory'!$B$5:$B$599,0)),$D1926))</f>
        <v>PSW</v>
      </c>
      <c r="AH1926" t="str">
        <f>IF($C1926="","",IFERROR(INDEX('Staff Directory'!$I$595:$I$599,MATCH($C1926,'Staff Directory'!$B$5:$B$599,0))&amp;" "&amp;INDEX('Staff Directory'!$J$595:$J$599,MATCH($C1926,'Staff Directory'!$B$5:$B$599,0)),$AG1926))</f>
        <v>PSW</v>
      </c>
      <c r="AI1926" s="102"/>
      <c r="AJ1926" s="101">
        <f>IF($F1926="","",SUMIFS($J$5:$J1926,$F$5:$F1926,$F1926))</f>
        <v>86</v>
      </c>
      <c r="AK1926" s="101">
        <f t="shared" si="335"/>
        <v>86</v>
      </c>
      <c r="AL1926" s="66" t="str" cm="1">
        <f t="array" ref="AL1926">IF($F1926="","",IFERROR(INDEX('Lot Balance'!$B$5:$B$500,MATCH(1,INDEX(('Lot Balance'!$A$5:$A$500=$F1926)*('Lot Balance'!$K$5:$K$500&lt;$AK1926)*('Lot Balance'!$K$5:$K$500+'Lot Balance'!$D$5:$D$500&gt;=$AK1926),0),0)),""))</f>
        <v/>
      </c>
      <c r="AM1926" s="66" t="str" cm="1">
        <f t="array" ref="AM1926">IF($F1926="","",IFERROR(INDEX('Lot Balance'!$B$5:$B$500,MATCH(1,INDEX(('Lot Balance'!$A$5:$A$500=$F1926)*('Lot Balance'!$K$5:$K$500&lt;$AJ1926)*('Lot Balance'!$K$5:$K$500+'Lot Balance'!$D$5:$D$500&gt;=$AJ1926),0),0)),""))</f>
        <v/>
      </c>
      <c r="AN1926" s="66" t="str">
        <f>IF($F1926="","",IF($AI1926&lt;&gt;"",IF(COUNTIFS('Lot Balance'!$A$5:$A$500,$F1926,'Lot Balance'!$B$5:$B$500,$AI1926)=0,"⚠ override is not a lot of this item",IF($AI1926=$AL1926,"Override = FEFO","Override - FEFO says "&amp;$AL1926)),IF($AL1926="","⚠ no receipt on file for this item",IF($AM1926&lt;&gt;$AL1926,"FEFO auto - split, also "&amp;$AM1926,"FEFO auto"))))</f>
        <v>⚠ no receipt on file for this item</v>
      </c>
      <c r="AO1926" s="114"/>
    </row>
    <row r="1927" spans="1:41" x14ac:dyDescent="0.35">
      <c r="A1927" s="95">
        <v>46231</v>
      </c>
      <c r="B1927" s="80" t="str">
        <f>IF($C1927="","",IFERROR(INDEX('Staff Directory'!$A$5:$A$594,MATCH($C1927,'Staff Directory'!$B$5:$B$594,0)),"⚠ unknown staff"))</f>
        <v>PSW-175-TBD</v>
      </c>
      <c r="C1927" s="84" t="s">
        <v>1154</v>
      </c>
      <c r="D1927" s="81" t="str">
        <f>IF($B1927="","",IFERROR(INDEX('Staff Directory'!$C$5:$C$594,MATCH($B1927,'Staff Directory'!$A$5:$A$594,0)),""))</f>
        <v>PSW</v>
      </c>
      <c r="E1927" s="81">
        <f>IF($B1927="","",IFERROR(INDEX('Staff Directory'!$D$5:$D$594,MATCH($B1927,'Staff Directory'!$A$5:$A$594,0)),""))</f>
        <v>0</v>
      </c>
      <c r="F1927" s="79" t="s">
        <v>124</v>
      </c>
      <c r="G1927" s="18" t="str">
        <f>IF($F1927="","",IFERROR(INDEX(Items!$B$5:$B$597,MATCH($F1927,Items!$A$5:$A$597,0)),"⚠ not in Items"))</f>
        <v>Gloves</v>
      </c>
      <c r="H1927" s="19" t="str">
        <f>IF($F1927="","",IFERROR(INDEX(Items!$C$5:$C$597,MATCH($F1927,Items!$A$5:$A$597,0)),""))</f>
        <v>Large</v>
      </c>
      <c r="I1927" s="23">
        <f>IF($F1927="","",IFERROR(INDEX(Items!$E$5:$E$597,MATCH($F1927,Items!$A$5:$A$597,0)),""))</f>
        <v>500</v>
      </c>
      <c r="J1927" s="116">
        <f>IF(tblIssues[[#This Row],[Qty Override]]&lt;&gt;"",tblIssues[[#This Row],[Qty Override]],IF(tblIssues[[#This Row],[Standard Issue]]="","",tblIssues[[#This Row],[Standard Issue]]))</f>
        <v>500</v>
      </c>
      <c r="K1927" s="20">
        <f>IF($F1927="","",IFERROR(INDEX(Items!$D$5:$D$597,MATCH($F1927,Items!$A$5:$A$597,0)),""))</f>
        <v>5.5E-2</v>
      </c>
      <c r="L1927" s="21">
        <f t="shared" si="327"/>
        <v>27.5</v>
      </c>
      <c r="M1927" s="9" t="str">
        <f t="shared" si="336"/>
        <v>ZIM512142081</v>
      </c>
      <c r="N1927" s="87">
        <f>IF($A1927="","",WORKDAY($A1927,Settings!$C$9,HolidayDates))</f>
        <v>46239</v>
      </c>
      <c r="O1927" s="87">
        <f>IF($N1927="","",WORKDAY($N1927,Settings!$C$10,HolidayDates))</f>
        <v>46279</v>
      </c>
      <c r="P1927" s="79"/>
      <c r="Q1927" s="88" t="str">
        <f t="shared" si="328"/>
        <v>Pending</v>
      </c>
      <c r="R1927" s="59" t="str">
        <f>IF($A1927="","",TEXT($A1927,"yyyy-mm"))</f>
        <v>2026-07</v>
      </c>
      <c r="S1927" s="59">
        <f>IF(OR($B1927="",$F1927="",$R1927=""),"",SUMIFS(tblIssues[Qty Issued],tblIssues[Staff ID],$B1927,tblIssues[Item Name],$F1927,tblIssues[Month],$R1927))</f>
        <v>500</v>
      </c>
      <c r="T1927" s="56">
        <f>IF($I1927="","",$I1927*Settings!$C$11)</f>
        <v>500</v>
      </c>
      <c r="U1927" s="99" t="str">
        <f>IF(OR($S1927="",$T1927=""),"",IF($S1927&gt;$T1927,IF($Y1927="Approved","APPROVED BY TL","⚠ OVER QUOTA"),"OK"))</f>
        <v>OK</v>
      </c>
      <c r="V1927" s="59" t="str">
        <f>IF($U1927="⚠ OVER QUOTA",$B1927&amp;" | "&amp;$F1927&amp;" | "&amp;$R1927,"")</f>
        <v/>
      </c>
      <c r="W1927" s="100" t="str">
        <f>IF($V1927="","",IF(COUNTIF($V$5:$V1927,$V1927)=1,1,""))</f>
        <v/>
      </c>
      <c r="X1927" s="60" t="str">
        <f>IF($W1927="","",MAX($X$4:X1926)+1)</f>
        <v/>
      </c>
      <c r="Y1927" s="62"/>
      <c r="Z1927" s="62"/>
      <c r="AA1927" s="64" t="str">
        <f>IF($C1927="","",IFERROR(INDEX('Staff Directory'!$E$5:$E$594,MATCH($C1927,'Staff Directory'!$B$5:$B$594,0)),""))</f>
        <v>firstname238.lastname238@example.com</v>
      </c>
      <c r="AB1927" s="64" t="str">
        <f>IF($C1927="","",IF(ISNUMBER(SEARCH($D1927,Settings!$C$15)),"Pickup","Dispatch"))</f>
        <v>Pickup</v>
      </c>
      <c r="AC1927" s="64" t="str">
        <f>IF($AB1927="Pickup","Supply order ready for pickup",IF($AB1927="Dispatch","Supply order dispatched",""))</f>
        <v>Supply order ready for pickup</v>
      </c>
      <c r="AD1927" s="64" t="str">
        <f t="shared" si="333"/>
        <v>Dear PSW,
Your order is ready for pickup from Sample Branch, Wed-Fri 9am-4pm.</v>
      </c>
      <c r="AE1927" s="64" t="str">
        <f t="shared" si="334"/>
        <v>mailto:firstname238.lastname238@example.com?subject=Supply%20order%20ready%20for%20pickup&amp;body=Dear%20PSW%2C%0A%0AYour%20order%20is%20ready%20for%20pickup%20from%20Sample%20Branch%2C%20Wed-Fri%209am-4pm.</v>
      </c>
      <c r="AF1927" s="89" t="str">
        <f>IF(AE1927="","",HYPERLINK(AE1927,"Draft email"))</f>
        <v>Draft email</v>
      </c>
      <c r="AG1927" s="64" t="str">
        <f>IF($C1927="","",IFERROR(INDEX('Staff Directory'!$K$595:$K$599,MATCH($C1927,'Staff Directory'!$B$5:$B$599,0)),$D1927))</f>
        <v>PSW</v>
      </c>
      <c r="AH1927" t="str">
        <f>IF($C1927="","",IFERROR(INDEX('Staff Directory'!$I$595:$I$599,MATCH($C1927,'Staff Directory'!$B$5:$B$599,0))&amp;" "&amp;INDEX('Staff Directory'!$J$595:$J$599,MATCH($C1927,'Staff Directory'!$B$5:$B$599,0)),$AG1927))</f>
        <v>PSW</v>
      </c>
      <c r="AI1927" s="102"/>
      <c r="AJ1927" s="101">
        <f>IF($F1927="","",SUMIFS($J$5:$J1927,$F$5:$F1927,$F1927))</f>
        <v>52000</v>
      </c>
      <c r="AK1927" s="101">
        <f t="shared" si="335"/>
        <v>51501</v>
      </c>
      <c r="AL1927" s="66" t="str" cm="1">
        <f t="array" ref="AL1927">IF($F1927="","",IFERROR(INDEX('Lot Balance'!$B$5:$B$500,MATCH(1,INDEX(('Lot Balance'!$A$5:$A$500=$F1927)*('Lot Balance'!$K$5:$K$500&lt;$AK1927)*('Lot Balance'!$K$5:$K$500+'Lot Balance'!$D$5:$D$500&gt;=$AK1927),0),0)),""))</f>
        <v>ZIM512142081</v>
      </c>
      <c r="AM1927" s="66" t="str" cm="1">
        <f t="array" ref="AM1927">IF($F1927="","",IFERROR(INDEX('Lot Balance'!$B$5:$B$500,MATCH(1,INDEX(('Lot Balance'!$A$5:$A$500=$F1927)*('Lot Balance'!$K$5:$K$500&lt;$AJ1927)*('Lot Balance'!$K$5:$K$500+'Lot Balance'!$D$5:$D$500&gt;=$AJ1927),0),0)),""))</f>
        <v>ZIM512142081</v>
      </c>
      <c r="AN1927" s="66" t="str">
        <f>IF($F1927="","",IF($AI1927&lt;&gt;"",IF(COUNTIFS('Lot Balance'!$A$5:$A$500,$F1927,'Lot Balance'!$B$5:$B$500,$AI1927)=0,"⚠ override is not a lot of this item",IF($AI1927=$AL1927,"Override = FEFO","Override - FEFO says "&amp;$AL1927)),IF($AL1927="","⚠ no receipt on file for this item",IF($AM1927&lt;&gt;$AL1927,"FEFO auto - split, also "&amp;$AM1927,"FEFO auto"))))</f>
        <v>FEFO auto</v>
      </c>
      <c r="AO1927" s="114"/>
    </row>
    <row r="1928" spans="1:41" x14ac:dyDescent="0.35">
      <c r="A1928" s="95">
        <v>46231</v>
      </c>
      <c r="B1928" s="80" t="str">
        <f>IF($C1928="","",IFERROR(INDEX('Staff Directory'!$A$5:$A$594,MATCH($C1928,'Staff Directory'!$B$5:$B$594,0)),"⚠ unknown staff"))</f>
        <v>PSW-175-TBD</v>
      </c>
      <c r="C1928" s="84" t="s">
        <v>1154</v>
      </c>
      <c r="D1928" s="19" t="str">
        <f>IF($B1928="","",IFERROR(INDEX('Staff Directory'!$C$5:$C$594,MATCH($B1928,'Staff Directory'!$A$5:$A$594,0)),""))</f>
        <v>PSW</v>
      </c>
      <c r="E1928" s="19">
        <f>IF($B1928="","",IFERROR(INDEX('Staff Directory'!$D$5:$D$594,MATCH($B1928,'Staff Directory'!$A$5:$A$594,0)),""))</f>
        <v>0</v>
      </c>
      <c r="F1928" s="9" t="s">
        <v>191</v>
      </c>
      <c r="G1928" s="18" t="str">
        <f>IF($F1928="","",IFERROR(INDEX(Items!$B$5:$B$597,MATCH($F1928,Items!$A$5:$A$597,0)),"⚠ not in Items"))</f>
        <v>Sanitizer</v>
      </c>
      <c r="H1928" s="19" t="str">
        <f>IF($F1928="","",IFERROR(INDEX(Items!$C$5:$C$597,MATCH($F1928,Items!$A$5:$A$597,0)),""))</f>
        <v>236 ML</v>
      </c>
      <c r="I1928" s="23">
        <f>IF($F1928="","",IFERROR(INDEX(Items!$E$5:$E$597,MATCH($F1928,Items!$A$5:$A$597,0)),""))</f>
        <v>1</v>
      </c>
      <c r="J1928" s="116">
        <f>IF(tblIssues[[#This Row],[Qty Override]]&lt;&gt;"",tblIssues[[#This Row],[Qty Override]],IF(tblIssues[[#This Row],[Standard Issue]]="","",tblIssues[[#This Row],[Standard Issue]]))</f>
        <v>1</v>
      </c>
      <c r="K1928" s="20">
        <f>IF($F1928="","",IFERROR(INDEX(Items!$D$5:$D$597,MATCH($F1928,Items!$A$5:$A$597,0)),""))</f>
        <v>1E-4</v>
      </c>
      <c r="L1928" s="21">
        <f t="shared" ref="L1928:L1977" si="338">IF(OR($J1928="",$K1928=""),"",$J1928*$K1928)</f>
        <v>1E-4</v>
      </c>
      <c r="M1928" s="9" t="str">
        <f t="shared" si="336"/>
        <v>20-21734-6</v>
      </c>
      <c r="N1928" s="87">
        <f>IF($A1928="","",WORKDAY($A1928,Settings!$C$9,HolidayDates))</f>
        <v>46239</v>
      </c>
      <c r="O1928" s="24">
        <f>IF($N1928="","",WORKDAY($N1928,Settings!$C$10,HolidayDates))</f>
        <v>46279</v>
      </c>
      <c r="P1928" s="9"/>
      <c r="Q1928" s="88" t="str">
        <f t="shared" si="328"/>
        <v>Pending</v>
      </c>
      <c r="R1928" s="55" t="str">
        <f t="shared" ref="R1928:R1977" si="339">IF($A1928="","",TEXT($A1928,"yyyy-mm"))</f>
        <v>2026-07</v>
      </c>
      <c r="S1928" s="59">
        <f>IF(OR($B1928="",$F1928="",$R1928=""),"",SUMIFS(tblIssues[Qty Issued],tblIssues[Staff ID],$B1928,tblIssues[Item Name],$F1928,tblIssues[Month],$R1928))</f>
        <v>1</v>
      </c>
      <c r="T1928" s="56">
        <f>IF($I1928="","",$I1928*Settings!$C$11)</f>
        <v>1</v>
      </c>
      <c r="U1928" s="57" t="str">
        <f t="shared" ref="U1928:U1977" si="340">IF(OR($S1928="",$T1928=""),"",IF($S1928&gt;$T1928,IF($Y1928="Approved","APPROVED BY TL","⚠ OVER QUOTA"),"OK"))</f>
        <v>OK</v>
      </c>
      <c r="V1928" s="55" t="str">
        <f t="shared" ref="V1928:V1977" si="341">IF($U1928="⚠ OVER QUOTA",$B1928&amp;" | "&amp;$F1928&amp;" | "&amp;$R1928,"")</f>
        <v/>
      </c>
      <c r="W1928" s="55" t="str">
        <f>IF($V1928="","",IF(COUNTIF($V$5:$V1928,$V1928)=1,1,""))</f>
        <v/>
      </c>
      <c r="X1928" s="58" t="str">
        <f>IF($W1928="","",MAX($X$4:X1927)+1)</f>
        <v/>
      </c>
      <c r="Y1928" s="62"/>
      <c r="Z1928" s="62"/>
      <c r="AA1928" s="64" t="str">
        <f>IF($C1928="","",IFERROR(INDEX('Staff Directory'!$E$5:$E$594,MATCH($C1928,'Staff Directory'!$B$5:$B$594,0)),""))</f>
        <v>firstname238.lastname238@example.com</v>
      </c>
      <c r="AB1928" s="64" t="str">
        <f>IF($C1928="","",IF(ISNUMBER(SEARCH($D1928,Settings!$C$15)),"Pickup","Dispatch"))</f>
        <v>Pickup</v>
      </c>
      <c r="AC1928" s="64" t="str">
        <f t="shared" ref="AC1928:AC1977" si="342">IF($AB1928="Pickup","Supply order ready for pickup",IF($AB1928="Dispatch","Supply order dispatched",""))</f>
        <v>Supply order ready for pickup</v>
      </c>
      <c r="AD1928" s="64" t="str">
        <f t="shared" si="333"/>
        <v>Dear PSW,
Your order is ready for pickup from Sample Branch, Wed-Fri 9am-4pm.</v>
      </c>
      <c r="AE1928" s="64" t="str">
        <f t="shared" si="334"/>
        <v>mailto:firstname238.lastname238@example.com?subject=Supply%20order%20ready%20for%20pickup&amp;body=Dear%20PSW%2C%0A%0AYour%20order%20is%20ready%20for%20pickup%20from%20Sample%20Branch%2C%20Wed-Fri%209am-4pm.</v>
      </c>
      <c r="AF1928" s="89" t="str">
        <f t="shared" ref="AF1928:AF1977" si="343">IF(AE1928="","",HYPERLINK(AE1928,"Draft email"))</f>
        <v>Draft email</v>
      </c>
      <c r="AG1928" s="64" t="str">
        <f>IF($C1928="","",IFERROR(INDEX('Staff Directory'!$K$595:$K$599,MATCH($C1928,'Staff Directory'!$B$5:$B$599,0)),$D1928))</f>
        <v>PSW</v>
      </c>
      <c r="AH1928" t="str">
        <f>IF($C1928="","",IFERROR(INDEX('Staff Directory'!$I$595:$I$599,MATCH($C1928,'Staff Directory'!$B$5:$B$599,0))&amp;" "&amp;INDEX('Staff Directory'!$J$595:$J$599,MATCH($C1928,'Staff Directory'!$B$5:$B$599,0)),$AG1928))</f>
        <v>PSW</v>
      </c>
      <c r="AI1928" s="102"/>
      <c r="AJ1928" s="101">
        <f>IF($F1928="","",SUMIFS($J$5:$J1928,$F$5:$F1928,$F1928))</f>
        <v>265</v>
      </c>
      <c r="AK1928" s="101">
        <f t="shared" si="335"/>
        <v>265</v>
      </c>
      <c r="AL1928" s="66" t="str" cm="1">
        <f t="array" ref="AL1928">IF($F1928="","",IFERROR(INDEX('Lot Balance'!$B$5:$B$500,MATCH(1,INDEX(('Lot Balance'!$A$5:$A$500=$F1928)*('Lot Balance'!$K$5:$K$500&lt;$AK1928)*('Lot Balance'!$K$5:$K$500+'Lot Balance'!$D$5:$D$500&gt;=$AK1928),0),0)),""))</f>
        <v>20-21734-6</v>
      </c>
      <c r="AM1928" s="66" t="str" cm="1">
        <f t="array" ref="AM1928">IF($F1928="","",IFERROR(INDEX('Lot Balance'!$B$5:$B$500,MATCH(1,INDEX(('Lot Balance'!$A$5:$A$500=$F1928)*('Lot Balance'!$K$5:$K$500&lt;$AJ1928)*('Lot Balance'!$K$5:$K$500+'Lot Balance'!$D$5:$D$500&gt;=$AJ1928),0),0)),""))</f>
        <v>20-21734-6</v>
      </c>
      <c r="AN1928" s="66" t="str">
        <f>IF($F1928="","",IF($AI1928&lt;&gt;"",IF(COUNTIFS('Lot Balance'!$A$5:$A$500,$F1928,'Lot Balance'!$B$5:$B$500,$AI1928)=0,"⚠ override is not a lot of this item",IF($AI1928=$AL1928,"Override = FEFO","Override - FEFO says "&amp;$AL1928)),IF($AL1928="","⚠ no receipt on file for this item",IF($AM1928&lt;&gt;$AL1928,"FEFO auto - split, also "&amp;$AM1928,"FEFO auto"))))</f>
        <v>FEFO auto</v>
      </c>
      <c r="AO1928" s="114"/>
    </row>
    <row r="1929" spans="1:41" x14ac:dyDescent="0.35">
      <c r="A1929" s="95">
        <v>46231</v>
      </c>
      <c r="B1929" s="80" t="str">
        <f>IF($C1929="","",IFERROR(INDEX('Staff Directory'!$A$5:$A$594,MATCH($C1929,'Staff Directory'!$B$5:$B$594,0)),"⚠ unknown staff"))</f>
        <v>PSW-175-TBD</v>
      </c>
      <c r="C1929" s="84" t="s">
        <v>1154</v>
      </c>
      <c r="D1929" s="19" t="str">
        <f>IF($B1929="","",IFERROR(INDEX('Staff Directory'!$C$5:$C$594,MATCH($B1929,'Staff Directory'!$A$5:$A$594,0)),""))</f>
        <v>PSW</v>
      </c>
      <c r="E1929" s="19">
        <f>IF($B1929="","",IFERROR(INDEX('Staff Directory'!$D$5:$D$594,MATCH($B1929,'Staff Directory'!$A$5:$A$594,0)),""))</f>
        <v>0</v>
      </c>
      <c r="F1929" s="9" t="s">
        <v>115</v>
      </c>
      <c r="G1929" s="18" t="str">
        <f>IF($F1929="","",IFERROR(INDEX(Items!$B$5:$B$597,MATCH($F1929,Items!$A$5:$A$597,0)),"⚠ not in Items"))</f>
        <v>Wipes</v>
      </c>
      <c r="H1929" s="19">
        <f>IF($F1929="","",IFERROR(INDEX(Items!$C$5:$C$597,MATCH($F1929,Items!$A$5:$A$597,0)),""))</f>
        <v>80</v>
      </c>
      <c r="I1929" s="23">
        <f>IF($F1929="","",IFERROR(INDEX(Items!$E$5:$E$597,MATCH($F1929,Items!$A$5:$A$597,0)),""))</f>
        <v>80</v>
      </c>
      <c r="J1929" s="116">
        <f>IF(tblIssues[[#This Row],[Qty Override]]&lt;&gt;"",tblIssues[[#This Row],[Qty Override]],IF(tblIssues[[#This Row],[Standard Issue]]="","",tblIssues[[#This Row],[Standard Issue]]))</f>
        <v>80</v>
      </c>
      <c r="K1929" s="20">
        <f>IF($F1929="","",IFERROR(INDEX(Items!$D$5:$D$597,MATCH($F1929,Items!$A$5:$A$597,0)),""))</f>
        <v>0.1</v>
      </c>
      <c r="L1929" s="21">
        <f t="shared" si="338"/>
        <v>8</v>
      </c>
      <c r="M1929" s="9" t="str">
        <f t="shared" si="336"/>
        <v>LYSL500290</v>
      </c>
      <c r="N1929" s="87">
        <f>IF($A1929="","",WORKDAY($A1929,Settings!$C$9,HolidayDates))</f>
        <v>46239</v>
      </c>
      <c r="O1929" s="24">
        <f>IF($N1929="","",WORKDAY($N1929,Settings!$C$10,HolidayDates))</f>
        <v>46279</v>
      </c>
      <c r="P1929" s="9"/>
      <c r="Q1929" s="88" t="str">
        <f t="shared" si="328"/>
        <v>Pending</v>
      </c>
      <c r="R1929" s="55" t="str">
        <f t="shared" si="339"/>
        <v>2026-07</v>
      </c>
      <c r="S1929" s="59">
        <f>IF(OR($B1929="",$F1929="",$R1929=""),"",SUMIFS(tblIssues[Qty Issued],tblIssues[Staff ID],$B1929,tblIssues[Item Name],$F1929,tblIssues[Month],$R1929))</f>
        <v>80</v>
      </c>
      <c r="T1929" s="56">
        <f>IF($I1929="","",$I1929*Settings!$C$11)</f>
        <v>80</v>
      </c>
      <c r="U1929" s="57" t="str">
        <f t="shared" si="340"/>
        <v>OK</v>
      </c>
      <c r="V1929" s="55" t="str">
        <f t="shared" si="341"/>
        <v/>
      </c>
      <c r="W1929" s="55" t="str">
        <f>IF($V1929="","",IF(COUNTIF($V$5:$V1929,$V1929)=1,1,""))</f>
        <v/>
      </c>
      <c r="X1929" s="58" t="str">
        <f>IF($W1929="","",MAX($X$4:X1928)+1)</f>
        <v/>
      </c>
      <c r="Y1929" s="62"/>
      <c r="Z1929" s="62"/>
      <c r="AA1929" s="64" t="str">
        <f>IF($C1929="","",IFERROR(INDEX('Staff Directory'!$E$5:$E$594,MATCH($C1929,'Staff Directory'!$B$5:$B$594,0)),""))</f>
        <v>firstname238.lastname238@example.com</v>
      </c>
      <c r="AB1929" s="64" t="str">
        <f>IF($C1929="","",IF(ISNUMBER(SEARCH($D1929,Settings!$C$15)),"Pickup","Dispatch"))</f>
        <v>Pickup</v>
      </c>
      <c r="AC1929" s="64" t="str">
        <f t="shared" si="342"/>
        <v>Supply order ready for pickup</v>
      </c>
      <c r="AD1929" s="64" t="str">
        <f t="shared" si="333"/>
        <v>Dear PSW,
Your order is ready for pickup from Sample Branch, Wed-Fri 9am-4pm.</v>
      </c>
      <c r="AE1929" s="64" t="str">
        <f t="shared" si="334"/>
        <v>mailto:firstname238.lastname238@example.com?subject=Supply%20order%20ready%20for%20pickup&amp;body=Dear%20PSW%2C%0A%0AYour%20order%20is%20ready%20for%20pickup%20from%20Sample%20Branch%2C%20Wed-Fri%209am-4pm.</v>
      </c>
      <c r="AF1929" s="89" t="str">
        <f t="shared" si="343"/>
        <v>Draft email</v>
      </c>
      <c r="AG1929" s="64" t="str">
        <f>IF($C1929="","",IFERROR(INDEX('Staff Directory'!$K$595:$K$599,MATCH($C1929,'Staff Directory'!$B$5:$B$599,0)),$D1929))</f>
        <v>PSW</v>
      </c>
      <c r="AH1929" t="str">
        <f>IF($C1929="","",IFERROR(INDEX('Staff Directory'!$I$595:$I$599,MATCH($C1929,'Staff Directory'!$B$5:$B$599,0))&amp;" "&amp;INDEX('Staff Directory'!$J$595:$J$599,MATCH($C1929,'Staff Directory'!$B$5:$B$599,0)),$AG1929))</f>
        <v>PSW</v>
      </c>
      <c r="AI1929" s="102"/>
      <c r="AJ1929" s="101">
        <f>IF($F1929="","",SUMIFS($J$5:$J1929,$F$5:$F1929,$F1929))</f>
        <v>25680</v>
      </c>
      <c r="AK1929" s="101">
        <f t="shared" si="335"/>
        <v>25601</v>
      </c>
      <c r="AL1929" s="66" t="str" cm="1">
        <f t="array" ref="AL1929">IF($F1929="","",IFERROR(INDEX('Lot Balance'!$B$5:$B$500,MATCH(1,INDEX(('Lot Balance'!$A$5:$A$500=$F1929)*('Lot Balance'!$K$5:$K$500&lt;$AK1929)*('Lot Balance'!$K$5:$K$500+'Lot Balance'!$D$5:$D$500&gt;=$AK1929),0),0)),""))</f>
        <v>LYSL500290</v>
      </c>
      <c r="AM1929" s="66" t="str" cm="1">
        <f t="array" ref="AM1929">IF($F1929="","",IFERROR(INDEX('Lot Balance'!$B$5:$B$500,MATCH(1,INDEX(('Lot Balance'!$A$5:$A$500=$F1929)*('Lot Balance'!$K$5:$K$500&lt;$AJ1929)*('Lot Balance'!$K$5:$K$500+'Lot Balance'!$D$5:$D$500&gt;=$AJ1929),0),0)),""))</f>
        <v>LYSL500290</v>
      </c>
      <c r="AN1929" s="66" t="str">
        <f>IF($F1929="","",IF($AI1929&lt;&gt;"",IF(COUNTIFS('Lot Balance'!$A$5:$A$500,$F1929,'Lot Balance'!$B$5:$B$500,$AI1929)=0,"⚠ override is not a lot of this item",IF($AI1929=$AL1929,"Override = FEFO","Override - FEFO says "&amp;$AL1929)),IF($AL1929="","⚠ no receipt on file for this item",IF($AM1929&lt;&gt;$AL1929,"FEFO auto - split, also "&amp;$AM1929,"FEFO auto"))))</f>
        <v>FEFO auto</v>
      </c>
      <c r="AO1929" s="114"/>
    </row>
    <row r="1930" spans="1:41" x14ac:dyDescent="0.35">
      <c r="A1930" s="95">
        <v>46231</v>
      </c>
      <c r="B1930" s="80" t="str">
        <f>IF($C1930="","",IFERROR(INDEX('Staff Directory'!$A$5:$A$594,MATCH($C1930,'Staff Directory'!$B$5:$B$594,0)),"⚠ unknown staff"))</f>
        <v>PSW-175-TBD</v>
      </c>
      <c r="C1930" s="84" t="s">
        <v>1154</v>
      </c>
      <c r="D1930" s="19" t="str">
        <f>IF($B1930="","",IFERROR(INDEX('Staff Directory'!$C$5:$C$594,MATCH($B1930,'Staff Directory'!$A$5:$A$594,0)),""))</f>
        <v>PSW</v>
      </c>
      <c r="E1930" s="19">
        <f>IF($B1930="","",IFERROR(INDEX('Staff Directory'!$D$5:$D$594,MATCH($B1930,'Staff Directory'!$A$5:$A$594,0)),""))</f>
        <v>0</v>
      </c>
      <c r="F1930" s="9" t="s">
        <v>156</v>
      </c>
      <c r="G1930" s="18" t="str">
        <f>IF($F1930="","",IFERROR(INDEX(Items!$B$5:$B$597,MATCH($F1930,Items!$A$5:$A$597,0)),"⚠ not in Items"))</f>
        <v>Masks</v>
      </c>
      <c r="H1930" s="19" t="str">
        <f>IF($F1930="","",IFERROR(INDEX(Items!$C$5:$C$597,MATCH($F1930,Items!$A$5:$A$597,0)),""))</f>
        <v>One Size</v>
      </c>
      <c r="I1930" s="23">
        <f>IF($F1930="","",IFERROR(INDEX(Items!$E$5:$E$597,MATCH($F1930,Items!$A$5:$A$597,0)),""))</f>
        <v>50</v>
      </c>
      <c r="J1930" s="116">
        <f>IF(tblIssues[[#This Row],[Qty Override]]&lt;&gt;"",tblIssues[[#This Row],[Qty Override]],IF(tblIssues[[#This Row],[Standard Issue]]="","",tblIssues[[#This Row],[Standard Issue]]))</f>
        <v>50</v>
      </c>
      <c r="K1930" s="20">
        <f>IF($F1930="","",IFERROR(INDEX(Items!$D$5:$D$597,MATCH($F1930,Items!$A$5:$A$597,0)),""))</f>
        <v>0.25</v>
      </c>
      <c r="L1930" s="21">
        <f t="shared" si="338"/>
        <v>12.5</v>
      </c>
      <c r="M1930" s="9" t="str">
        <f t="shared" si="336"/>
        <v>LV2-10040-3</v>
      </c>
      <c r="N1930" s="87">
        <f>IF($A1930="","",WORKDAY($A1930,Settings!$C$9,HolidayDates))</f>
        <v>46239</v>
      </c>
      <c r="O1930" s="24">
        <f>IF($N1930="","",WORKDAY($N1930,Settings!$C$10,HolidayDates))</f>
        <v>46279</v>
      </c>
      <c r="P1930" s="9"/>
      <c r="Q1930" s="88" t="str">
        <f t="shared" si="328"/>
        <v>Pending</v>
      </c>
      <c r="R1930" s="55" t="str">
        <f t="shared" si="339"/>
        <v>2026-07</v>
      </c>
      <c r="S1930" s="59">
        <f>IF(OR($B1930="",$F1930="",$R1930=""),"",SUMIFS(tblIssues[Qty Issued],tblIssues[Staff ID],$B1930,tblIssues[Item Name],$F1930,tblIssues[Month],$R1930))</f>
        <v>50</v>
      </c>
      <c r="T1930" s="56">
        <f>IF($I1930="","",$I1930*Settings!$C$11)</f>
        <v>50</v>
      </c>
      <c r="U1930" s="57" t="str">
        <f t="shared" si="340"/>
        <v>OK</v>
      </c>
      <c r="V1930" s="55" t="str">
        <f t="shared" si="341"/>
        <v/>
      </c>
      <c r="W1930" s="55" t="str">
        <f>IF($V1930="","",IF(COUNTIF($V$5:$V1930,$V1930)=1,1,""))</f>
        <v/>
      </c>
      <c r="X1930" s="58" t="str">
        <f>IF($W1930="","",MAX($X$4:X1929)+1)</f>
        <v/>
      </c>
      <c r="Y1930" s="62"/>
      <c r="Z1930" s="62"/>
      <c r="AA1930" s="64" t="str">
        <f>IF($C1930="","",IFERROR(INDEX('Staff Directory'!$E$5:$E$594,MATCH($C1930,'Staff Directory'!$B$5:$B$594,0)),""))</f>
        <v>firstname238.lastname238@example.com</v>
      </c>
      <c r="AB1930" s="64" t="str">
        <f>IF($C1930="","",IF(ISNUMBER(SEARCH($D1930,Settings!$C$15)),"Pickup","Dispatch"))</f>
        <v>Pickup</v>
      </c>
      <c r="AC1930" s="64" t="str">
        <f t="shared" si="342"/>
        <v>Supply order ready for pickup</v>
      </c>
      <c r="AD1930" s="64" t="str">
        <f t="shared" si="333"/>
        <v>Dear PSW,
Your order is ready for pickup from Sample Branch, Wed-Fri 9am-4pm.</v>
      </c>
      <c r="AE1930" s="64" t="str">
        <f t="shared" si="334"/>
        <v>mailto:firstname238.lastname238@example.com?subject=Supply%20order%20ready%20for%20pickup&amp;body=Dear%20PSW%2C%0A%0AYour%20order%20is%20ready%20for%20pickup%20from%20Sample%20Branch%2C%20Wed-Fri%209am-4pm.</v>
      </c>
      <c r="AF1930" s="89" t="str">
        <f t="shared" si="343"/>
        <v>Draft email</v>
      </c>
      <c r="AG1930" s="64" t="str">
        <f>IF($C1930="","",IFERROR(INDEX('Staff Directory'!$K$595:$K$599,MATCH($C1930,'Staff Directory'!$B$5:$B$599,0)),$D1930))</f>
        <v>PSW</v>
      </c>
      <c r="AH1930" t="str">
        <f>IF($C1930="","",IFERROR(INDEX('Staff Directory'!$I$595:$I$599,MATCH($C1930,'Staff Directory'!$B$5:$B$599,0))&amp;" "&amp;INDEX('Staff Directory'!$J$595:$J$599,MATCH($C1930,'Staff Directory'!$B$5:$B$599,0)),$AG1930))</f>
        <v>PSW</v>
      </c>
      <c r="AI1930" s="102"/>
      <c r="AJ1930" s="101">
        <f>IF($F1930="","",SUMIFS($J$5:$J1930,$F$5:$F1930,$F1930))</f>
        <v>15700</v>
      </c>
      <c r="AK1930" s="101">
        <f t="shared" si="335"/>
        <v>15651</v>
      </c>
      <c r="AL1930" s="66" t="str" cm="1">
        <f t="array" ref="AL1930">IF($F1930="","",IFERROR(INDEX('Lot Balance'!$B$5:$B$500,MATCH(1,INDEX(('Lot Balance'!$A$5:$A$500=$F1930)*('Lot Balance'!$K$5:$K$500&lt;$AK1930)*('Lot Balance'!$K$5:$K$500+'Lot Balance'!$D$5:$D$500&gt;=$AK1930),0),0)),""))</f>
        <v>LV2-10040-3</v>
      </c>
      <c r="AM1930" s="66" t="str" cm="1">
        <f t="array" ref="AM1930">IF($F1930="","",IFERROR(INDEX('Lot Balance'!$B$5:$B$500,MATCH(1,INDEX(('Lot Balance'!$A$5:$A$500=$F1930)*('Lot Balance'!$K$5:$K$500&lt;$AJ1930)*('Lot Balance'!$K$5:$K$500+'Lot Balance'!$D$5:$D$500&gt;=$AJ1930),0),0)),""))</f>
        <v>LV2-10040-3</v>
      </c>
      <c r="AN1930" s="66" t="str">
        <f>IF($F1930="","",IF($AI1930&lt;&gt;"",IF(COUNTIFS('Lot Balance'!$A$5:$A$500,$F1930,'Lot Balance'!$B$5:$B$500,$AI1930)=0,"⚠ override is not a lot of this item",IF($AI1930=$AL1930,"Override = FEFO","Override - FEFO says "&amp;$AL1930)),IF($AL1930="","⚠ no receipt on file for this item",IF($AM1930&lt;&gt;$AL1930,"FEFO auto - split, also "&amp;$AM1930,"FEFO auto"))))</f>
        <v>FEFO auto</v>
      </c>
      <c r="AO1930" s="114"/>
    </row>
    <row r="1931" spans="1:41" x14ac:dyDescent="0.35">
      <c r="A1931" s="95">
        <v>46231</v>
      </c>
      <c r="B1931" s="80" t="str">
        <f>IF($C1931="","",IFERROR(INDEX('Staff Directory'!$A$5:$A$594,MATCH($C1931,'Staff Directory'!$B$5:$B$594,0)),"⚠ unknown staff"))</f>
        <v>PSW-175-TBD</v>
      </c>
      <c r="C1931" s="84" t="s">
        <v>1154</v>
      </c>
      <c r="D1931" s="19" t="str">
        <f>IF($B1931="","",IFERROR(INDEX('Staff Directory'!$C$5:$C$594,MATCH($B1931,'Staff Directory'!$A$5:$A$594,0)),""))</f>
        <v>PSW</v>
      </c>
      <c r="E1931" s="19">
        <f>IF($B1931="","",IFERROR(INDEX('Staff Directory'!$D$5:$D$594,MATCH($B1931,'Staff Directory'!$A$5:$A$594,0)),""))</f>
        <v>0</v>
      </c>
      <c r="F1931" s="9" t="s">
        <v>147</v>
      </c>
      <c r="G1931" s="18" t="str">
        <f>IF($F1931="","",IFERROR(INDEX(Items!$B$5:$B$597,MATCH($F1931,Items!$A$5:$A$597,0)),"⚠ not in Items"))</f>
        <v>Apparel</v>
      </c>
      <c r="H1931" s="19" t="str">
        <f>IF($F1931="","",IFERROR(INDEX(Items!$C$5:$C$597,MATCH($F1931,Items!$A$5:$A$597,0)),""))</f>
        <v>One Size</v>
      </c>
      <c r="I1931" s="23">
        <f>IF($F1931="","",IFERROR(INDEX(Items!$E$5:$E$597,MATCH($F1931,Items!$A$5:$A$597,0)),""))</f>
        <v>5</v>
      </c>
      <c r="J1931" s="116">
        <f>IF(tblIssues[[#This Row],[Qty Override]]&lt;&gt;"",tblIssues[[#This Row],[Qty Override]],IF(tblIssues[[#This Row],[Standard Issue]]="","",tblIssues[[#This Row],[Standard Issue]]))</f>
        <v>5</v>
      </c>
      <c r="K1931" s="20">
        <f>IF($F1931="","",IFERROR(INDEX(Items!$D$5:$D$597,MATCH($F1931,Items!$A$5:$A$597,0)),""))</f>
        <v>3</v>
      </c>
      <c r="L1931" s="21">
        <f t="shared" si="338"/>
        <v>15</v>
      </c>
      <c r="M1931" s="9" t="str">
        <f t="shared" si="336"/>
        <v>YG500280</v>
      </c>
      <c r="N1931" s="87">
        <f>IF($A1931="","",WORKDAY($A1931,Settings!$C$9,HolidayDates))</f>
        <v>46239</v>
      </c>
      <c r="O1931" s="24">
        <f>IF($N1931="","",WORKDAY($N1931,Settings!$C$10,HolidayDates))</f>
        <v>46279</v>
      </c>
      <c r="P1931" s="9"/>
      <c r="Q1931" s="88" t="str">
        <f t="shared" si="328"/>
        <v>Pending</v>
      </c>
      <c r="R1931" s="55" t="str">
        <f t="shared" si="339"/>
        <v>2026-07</v>
      </c>
      <c r="S1931" s="59">
        <f>IF(OR($B1931="",$F1931="",$R1931=""),"",SUMIFS(tblIssues[Qty Issued],tblIssues[Staff ID],$B1931,tblIssues[Item Name],$F1931,tblIssues[Month],$R1931))</f>
        <v>5</v>
      </c>
      <c r="T1931" s="56">
        <f>IF($I1931="","",$I1931*Settings!$C$11)</f>
        <v>5</v>
      </c>
      <c r="U1931" s="57" t="str">
        <f t="shared" si="340"/>
        <v>OK</v>
      </c>
      <c r="V1931" s="55" t="str">
        <f t="shared" si="341"/>
        <v/>
      </c>
      <c r="W1931" s="55" t="str">
        <f>IF($V1931="","",IF(COUNTIF($V$5:$V1931,$V1931)=1,1,""))</f>
        <v/>
      </c>
      <c r="X1931" s="58" t="str">
        <f>IF($W1931="","",MAX($X$4:X1930)+1)</f>
        <v/>
      </c>
      <c r="Y1931" s="62"/>
      <c r="Z1931" s="62"/>
      <c r="AA1931" s="64" t="str">
        <f>IF($C1931="","",IFERROR(INDEX('Staff Directory'!$E$5:$E$594,MATCH($C1931,'Staff Directory'!$B$5:$B$594,0)),""))</f>
        <v>firstname238.lastname238@example.com</v>
      </c>
      <c r="AB1931" s="64" t="str">
        <f>IF($C1931="","",IF(ISNUMBER(SEARCH($D1931,Settings!$C$15)),"Pickup","Dispatch"))</f>
        <v>Pickup</v>
      </c>
      <c r="AC1931" s="64" t="str">
        <f t="shared" si="342"/>
        <v>Supply order ready for pickup</v>
      </c>
      <c r="AD1931" s="64" t="str">
        <f t="shared" si="333"/>
        <v>Dear PSW,
Your order is ready for pickup from Sample Branch, Wed-Fri 9am-4pm.</v>
      </c>
      <c r="AE1931" s="64" t="str">
        <f t="shared" si="334"/>
        <v>mailto:firstname238.lastname238@example.com?subject=Supply%20order%20ready%20for%20pickup&amp;body=Dear%20PSW%2C%0A%0AYour%20order%20is%20ready%20for%20pickup%20from%20Sample%20Branch%2C%20Wed-Fri%209am-4pm.</v>
      </c>
      <c r="AF1931" s="89" t="str">
        <f t="shared" si="343"/>
        <v>Draft email</v>
      </c>
      <c r="AG1931" s="64" t="str">
        <f>IF($C1931="","",IFERROR(INDEX('Staff Directory'!$K$595:$K$599,MATCH($C1931,'Staff Directory'!$B$5:$B$599,0)),$D1931))</f>
        <v>PSW</v>
      </c>
      <c r="AH1931" t="str">
        <f>IF($C1931="","",IFERROR(INDEX('Staff Directory'!$I$595:$I$599,MATCH($C1931,'Staff Directory'!$B$5:$B$599,0))&amp;" "&amp;INDEX('Staff Directory'!$J$595:$J$599,MATCH($C1931,'Staff Directory'!$B$5:$B$599,0)),$AG1931))</f>
        <v>PSW</v>
      </c>
      <c r="AI1931" s="102"/>
      <c r="AJ1931" s="101">
        <f>IF($F1931="","",SUMIFS($J$5:$J1931,$F$5:$F1931,$F1931))</f>
        <v>235</v>
      </c>
      <c r="AK1931" s="101">
        <f t="shared" si="335"/>
        <v>231</v>
      </c>
      <c r="AL1931" s="66" t="str" cm="1">
        <f t="array" ref="AL1931">IF($F1931="","",IFERROR(INDEX('Lot Balance'!$B$5:$B$500,MATCH(1,INDEX(('Lot Balance'!$A$5:$A$500=$F1931)*('Lot Balance'!$K$5:$K$500&lt;$AK1931)*('Lot Balance'!$K$5:$K$500+'Lot Balance'!$D$5:$D$500&gt;=$AK1931),0),0)),""))</f>
        <v>YG500280</v>
      </c>
      <c r="AM1931" s="66" t="str" cm="1">
        <f t="array" ref="AM1931">IF($F1931="","",IFERROR(INDEX('Lot Balance'!$B$5:$B$500,MATCH(1,INDEX(('Lot Balance'!$A$5:$A$500=$F1931)*('Lot Balance'!$K$5:$K$500&lt;$AJ1931)*('Lot Balance'!$K$5:$K$500+'Lot Balance'!$D$5:$D$500&gt;=$AJ1931),0),0)),""))</f>
        <v>YG500280</v>
      </c>
      <c r="AN1931" s="66" t="str">
        <f>IF($F1931="","",IF($AI1931&lt;&gt;"",IF(COUNTIFS('Lot Balance'!$A$5:$A$500,$F1931,'Lot Balance'!$B$5:$B$500,$AI1931)=0,"⚠ override is not a lot of this item",IF($AI1931=$AL1931,"Override = FEFO","Override - FEFO says "&amp;$AL1931)),IF($AL1931="","⚠ no receipt on file for this item",IF($AM1931&lt;&gt;$AL1931,"FEFO auto - split, also "&amp;$AM1931,"FEFO auto"))))</f>
        <v>FEFO auto</v>
      </c>
      <c r="AO1931" s="114"/>
    </row>
    <row r="1932" spans="1:41" x14ac:dyDescent="0.35">
      <c r="A1932" s="95">
        <v>46231</v>
      </c>
      <c r="B1932" s="80" t="str">
        <f>IF($C1932="","",IFERROR(INDEX('Staff Directory'!$A$5:$A$594,MATCH($C1932,'Staff Directory'!$B$5:$B$594,0)),"⚠ unknown staff"))</f>
        <v>PSW-128-A6</v>
      </c>
      <c r="C1932" s="49" t="s">
        <v>1107</v>
      </c>
      <c r="D1932" s="19" t="str">
        <f>IF($B1932="","",IFERROR(INDEX('Staff Directory'!$C$5:$C$594,MATCH($B1932,'Staff Directory'!$A$5:$A$594,0)),""))</f>
        <v>PSW</v>
      </c>
      <c r="E1932" s="19" t="str">
        <f>IF($B1932="","",IFERROR(INDEX('Staff Directory'!$D$5:$D$594,MATCH($B1932,'Staff Directory'!$A$5:$A$594,0)),""))</f>
        <v>A6</v>
      </c>
      <c r="F1932" s="9" t="s">
        <v>129</v>
      </c>
      <c r="G1932" s="18" t="str">
        <f>IF($F1932="","",IFERROR(INDEX(Items!$B$5:$B$597,MATCH($F1932,Items!$A$5:$A$597,0)),"⚠ not in Items"))</f>
        <v>Gloves</v>
      </c>
      <c r="H1932" s="19" t="str">
        <f>IF($F1932="","",IFERROR(INDEX(Items!$C$5:$C$597,MATCH($F1932,Items!$A$5:$A$597,0)),""))</f>
        <v>Small</v>
      </c>
      <c r="I1932" s="23">
        <f>IF($F1932="","",IFERROR(INDEX(Items!$E$5:$E$597,MATCH($F1932,Items!$A$5:$A$597,0)),""))</f>
        <v>500</v>
      </c>
      <c r="J1932" s="116">
        <f>IF(tblIssues[[#This Row],[Qty Override]]&lt;&gt;"",tblIssues[[#This Row],[Qty Override]],IF(tblIssues[[#This Row],[Standard Issue]]="","",tblIssues[[#This Row],[Standard Issue]]))</f>
        <v>500</v>
      </c>
      <c r="K1932" s="20">
        <f>IF($F1932="","",IFERROR(INDEX(Items!$D$5:$D$597,MATCH($F1932,Items!$A$5:$A$597,0)),""))</f>
        <v>5.5E-2</v>
      </c>
      <c r="L1932" s="21">
        <f t="shared" si="338"/>
        <v>27.5</v>
      </c>
      <c r="M1932" s="9" t="str">
        <f t="shared" si="336"/>
        <v>ZIM601144366-1</v>
      </c>
      <c r="N1932" s="87">
        <f>IF($A1932="","",WORKDAY($A1932,Settings!$C$9,HolidayDates))</f>
        <v>46239</v>
      </c>
      <c r="O1932" s="24">
        <f>IF($N1932="","",WORKDAY($N1932,Settings!$C$10,HolidayDates))</f>
        <v>46279</v>
      </c>
      <c r="P1932" s="9"/>
      <c r="Q1932" s="88" t="str">
        <f t="shared" si="328"/>
        <v>Pending</v>
      </c>
      <c r="R1932" s="55" t="str">
        <f t="shared" si="339"/>
        <v>2026-07</v>
      </c>
      <c r="S1932" s="59">
        <f>IF(OR($B1932="",$F1932="",$R1932=""),"",SUMIFS(tblIssues[Qty Issued],tblIssues[Staff ID],$B1932,tblIssues[Item Name],$F1932,tblIssues[Month],$R1932))</f>
        <v>500</v>
      </c>
      <c r="T1932" s="56">
        <f>IF($I1932="","",$I1932*Settings!$C$11)</f>
        <v>500</v>
      </c>
      <c r="U1932" s="57" t="str">
        <f t="shared" si="340"/>
        <v>OK</v>
      </c>
      <c r="V1932" s="55" t="str">
        <f t="shared" si="341"/>
        <v/>
      </c>
      <c r="W1932" s="55" t="str">
        <f>IF($V1932="","",IF(COUNTIF($V$5:$V1932,$V1932)=1,1,""))</f>
        <v/>
      </c>
      <c r="X1932" s="58" t="str">
        <f>IF($W1932="","",MAX($X$4:X1931)+1)</f>
        <v/>
      </c>
      <c r="Y1932" s="62"/>
      <c r="Z1932" s="62"/>
      <c r="AA1932" s="64" t="str">
        <f>IF($C1932="","",IFERROR(INDEX('Staff Directory'!$E$5:$E$594,MATCH($C1932,'Staff Directory'!$B$5:$B$594,0)),""))</f>
        <v>firstname191.lastname191@example.com</v>
      </c>
      <c r="AB1932" s="64" t="str">
        <f>IF($C1932="","",IF(ISNUMBER(SEARCH($D1932,Settings!$C$15)),"Pickup","Dispatch"))</f>
        <v>Pickup</v>
      </c>
      <c r="AC1932" s="64" t="str">
        <f t="shared" si="342"/>
        <v>Supply order ready for pickup</v>
      </c>
      <c r="AD1932" s="64" t="str">
        <f t="shared" si="333"/>
        <v>Dear PSW,
Your order is ready for pickup from Sample Branch, Wed-Fri 9am-4pm.</v>
      </c>
      <c r="AE1932" s="64" t="str">
        <f t="shared" si="334"/>
        <v>mailto:firstname191.lastname191@example.com?subject=Supply%20order%20ready%20for%20pickup&amp;body=Dear%20PSW%2C%0A%0AYour%20order%20is%20ready%20for%20pickup%20from%20Sample%20Branch%2C%20Wed-Fri%209am-4pm.</v>
      </c>
      <c r="AF1932" s="89" t="str">
        <f t="shared" si="343"/>
        <v>Draft email</v>
      </c>
      <c r="AG1932" s="64" t="str">
        <f>IF($C1932="","",IFERROR(INDEX('Staff Directory'!$K$595:$K$599,MATCH($C1932,'Staff Directory'!$B$5:$B$599,0)),$D1932))</f>
        <v>PSW</v>
      </c>
      <c r="AH1932" t="str">
        <f>IF($C1932="","",IFERROR(INDEX('Staff Directory'!$I$595:$I$599,MATCH($C1932,'Staff Directory'!$B$5:$B$599,0))&amp;" "&amp;INDEX('Staff Directory'!$J$595:$J$599,MATCH($C1932,'Staff Directory'!$B$5:$B$599,0)),$AG1932))</f>
        <v>PSW</v>
      </c>
      <c r="AI1932" s="102"/>
      <c r="AJ1932" s="101">
        <f>IF($F1932="","",SUMIFS($J$5:$J1932,$F$5:$F1932,$F1932))</f>
        <v>57500</v>
      </c>
      <c r="AK1932" s="101">
        <f t="shared" si="335"/>
        <v>57001</v>
      </c>
      <c r="AL1932" s="66" t="str" cm="1">
        <f t="array" ref="AL1932">IF($F1932="","",IFERROR(INDEX('Lot Balance'!$B$5:$B$500,MATCH(1,INDEX(('Lot Balance'!$A$5:$A$500=$F1932)*('Lot Balance'!$K$5:$K$500&lt;$AK1932)*('Lot Balance'!$K$5:$K$500+'Lot Balance'!$D$5:$D$500&gt;=$AK1932),0),0)),""))</f>
        <v>ZIM601144366-1</v>
      </c>
      <c r="AM1932" s="66" t="str" cm="1">
        <f t="array" ref="AM1932">IF($F1932="","",IFERROR(INDEX('Lot Balance'!$B$5:$B$500,MATCH(1,INDEX(('Lot Balance'!$A$5:$A$500=$F1932)*('Lot Balance'!$K$5:$K$500&lt;$AJ1932)*('Lot Balance'!$K$5:$K$500+'Lot Balance'!$D$5:$D$500&gt;=$AJ1932),0),0)),""))</f>
        <v>ZIM601144366-1</v>
      </c>
      <c r="AN1932" s="66" t="str">
        <f>IF($F1932="","",IF($AI1932&lt;&gt;"",IF(COUNTIFS('Lot Balance'!$A$5:$A$500,$F1932,'Lot Balance'!$B$5:$B$500,$AI1932)=0,"⚠ override is not a lot of this item",IF($AI1932=$AL1932,"Override = FEFO","Override - FEFO says "&amp;$AL1932)),IF($AL1932="","⚠ no receipt on file for this item",IF($AM1932&lt;&gt;$AL1932,"FEFO auto - split, also "&amp;$AM1932,"FEFO auto"))))</f>
        <v>FEFO auto</v>
      </c>
      <c r="AO1932" s="114"/>
    </row>
    <row r="1933" spans="1:41" x14ac:dyDescent="0.35">
      <c r="A1933" s="95">
        <v>46231</v>
      </c>
      <c r="B1933" s="80" t="str">
        <f>IF($C1933="","",IFERROR(INDEX('Staff Directory'!$A$5:$A$594,MATCH($C1933,'Staff Directory'!$B$5:$B$594,0)),"⚠ unknown staff"))</f>
        <v>PSW-128-A6</v>
      </c>
      <c r="C1933" s="49" t="s">
        <v>1107</v>
      </c>
      <c r="D1933" s="19" t="str">
        <f>IF($B1933="","",IFERROR(INDEX('Staff Directory'!$C$5:$C$594,MATCH($B1933,'Staff Directory'!$A$5:$A$594,0)),""))</f>
        <v>PSW</v>
      </c>
      <c r="E1933" s="19" t="str">
        <f>IF($B1933="","",IFERROR(INDEX('Staff Directory'!$D$5:$D$594,MATCH($B1933,'Staff Directory'!$A$5:$A$594,0)),""))</f>
        <v>A6</v>
      </c>
      <c r="F1933" s="9" t="s">
        <v>115</v>
      </c>
      <c r="G1933" s="18" t="str">
        <f>IF($F1933="","",IFERROR(INDEX(Items!$B$5:$B$597,MATCH($F1933,Items!$A$5:$A$597,0)),"⚠ not in Items"))</f>
        <v>Wipes</v>
      </c>
      <c r="H1933" s="19">
        <f>IF($F1933="","",IFERROR(INDEX(Items!$C$5:$C$597,MATCH($F1933,Items!$A$5:$A$597,0)),""))</f>
        <v>80</v>
      </c>
      <c r="I1933" s="23">
        <f>IF($F1933="","",IFERROR(INDEX(Items!$E$5:$E$597,MATCH($F1933,Items!$A$5:$A$597,0)),""))</f>
        <v>80</v>
      </c>
      <c r="J1933" s="116">
        <f>IF(tblIssues[[#This Row],[Qty Override]]&lt;&gt;"",tblIssues[[#This Row],[Qty Override]],IF(tblIssues[[#This Row],[Standard Issue]]="","",tblIssues[[#This Row],[Standard Issue]]))</f>
        <v>80</v>
      </c>
      <c r="K1933" s="20">
        <f>IF($F1933="","",IFERROR(INDEX(Items!$D$5:$D$597,MATCH($F1933,Items!$A$5:$A$597,0)),""))</f>
        <v>0.1</v>
      </c>
      <c r="L1933" s="21">
        <f t="shared" si="338"/>
        <v>8</v>
      </c>
      <c r="M1933" s="9" t="str">
        <f t="shared" si="336"/>
        <v>LYSL500290</v>
      </c>
      <c r="N1933" s="87">
        <f>IF($A1933="","",WORKDAY($A1933,Settings!$C$9,HolidayDates))</f>
        <v>46239</v>
      </c>
      <c r="O1933" s="24">
        <f>IF($N1933="","",WORKDAY($N1933,Settings!$C$10,HolidayDates))</f>
        <v>46279</v>
      </c>
      <c r="P1933" s="9"/>
      <c r="Q1933" s="88" t="str">
        <f t="shared" si="328"/>
        <v>Pending</v>
      </c>
      <c r="R1933" s="55" t="str">
        <f t="shared" si="339"/>
        <v>2026-07</v>
      </c>
      <c r="S1933" s="59">
        <f>IF(OR($B1933="",$F1933="",$R1933=""),"",SUMIFS(tblIssues[Qty Issued],tblIssues[Staff ID],$B1933,tblIssues[Item Name],$F1933,tblIssues[Month],$R1933))</f>
        <v>80</v>
      </c>
      <c r="T1933" s="56">
        <f>IF($I1933="","",$I1933*Settings!$C$11)</f>
        <v>80</v>
      </c>
      <c r="U1933" s="57" t="str">
        <f t="shared" si="340"/>
        <v>OK</v>
      </c>
      <c r="V1933" s="55" t="str">
        <f t="shared" si="341"/>
        <v/>
      </c>
      <c r="W1933" s="55" t="str">
        <f>IF($V1933="","",IF(COUNTIF($V$5:$V1933,$V1933)=1,1,""))</f>
        <v/>
      </c>
      <c r="X1933" s="58" t="str">
        <f>IF($W1933="","",MAX($X$4:X1932)+1)</f>
        <v/>
      </c>
      <c r="Y1933" s="62"/>
      <c r="Z1933" s="62"/>
      <c r="AA1933" s="64" t="str">
        <f>IF($C1933="","",IFERROR(INDEX('Staff Directory'!$E$5:$E$594,MATCH($C1933,'Staff Directory'!$B$5:$B$594,0)),""))</f>
        <v>firstname191.lastname191@example.com</v>
      </c>
      <c r="AB1933" s="64" t="str">
        <f>IF($C1933="","",IF(ISNUMBER(SEARCH($D1933,Settings!$C$15)),"Pickup","Dispatch"))</f>
        <v>Pickup</v>
      </c>
      <c r="AC1933" s="64" t="str">
        <f t="shared" si="342"/>
        <v>Supply order ready for pickup</v>
      </c>
      <c r="AD1933" s="64" t="str">
        <f t="shared" si="333"/>
        <v>Dear PSW,
Your order is ready for pickup from Sample Branch, Wed-Fri 9am-4pm.</v>
      </c>
      <c r="AE1933" s="64" t="str">
        <f t="shared" si="334"/>
        <v>mailto:firstname191.lastname191@example.com?subject=Supply%20order%20ready%20for%20pickup&amp;body=Dear%20PSW%2C%0A%0AYour%20order%20is%20ready%20for%20pickup%20from%20Sample%20Branch%2C%20Wed-Fri%209am-4pm.</v>
      </c>
      <c r="AF1933" s="89" t="str">
        <f t="shared" si="343"/>
        <v>Draft email</v>
      </c>
      <c r="AG1933" s="64" t="str">
        <f>IF($C1933="","",IFERROR(INDEX('Staff Directory'!$K$595:$K$599,MATCH($C1933,'Staff Directory'!$B$5:$B$599,0)),$D1933))</f>
        <v>PSW</v>
      </c>
      <c r="AH1933" t="str">
        <f>IF($C1933="","",IFERROR(INDEX('Staff Directory'!$I$595:$I$599,MATCH($C1933,'Staff Directory'!$B$5:$B$599,0))&amp;" "&amp;INDEX('Staff Directory'!$J$595:$J$599,MATCH($C1933,'Staff Directory'!$B$5:$B$599,0)),$AG1933))</f>
        <v>PSW</v>
      </c>
      <c r="AI1933" s="102"/>
      <c r="AJ1933" s="101">
        <f>IF($F1933="","",SUMIFS($J$5:$J1933,$F$5:$F1933,$F1933))</f>
        <v>25760</v>
      </c>
      <c r="AK1933" s="101">
        <f t="shared" si="335"/>
        <v>25681</v>
      </c>
      <c r="AL1933" s="66" t="str" cm="1">
        <f t="array" ref="AL1933">IF($F1933="","",IFERROR(INDEX('Lot Balance'!$B$5:$B$500,MATCH(1,INDEX(('Lot Balance'!$A$5:$A$500=$F1933)*('Lot Balance'!$K$5:$K$500&lt;$AK1933)*('Lot Balance'!$K$5:$K$500+'Lot Balance'!$D$5:$D$500&gt;=$AK1933),0),0)),""))</f>
        <v>LYSL500290</v>
      </c>
      <c r="AM1933" s="66" t="str" cm="1">
        <f t="array" ref="AM1933">IF($F1933="","",IFERROR(INDEX('Lot Balance'!$B$5:$B$500,MATCH(1,INDEX(('Lot Balance'!$A$5:$A$500=$F1933)*('Lot Balance'!$K$5:$K$500&lt;$AJ1933)*('Lot Balance'!$K$5:$K$500+'Lot Balance'!$D$5:$D$500&gt;=$AJ1933),0),0)),""))</f>
        <v>LYSL500290</v>
      </c>
      <c r="AN1933" s="66" t="str">
        <f>IF($F1933="","",IF($AI1933&lt;&gt;"",IF(COUNTIFS('Lot Balance'!$A$5:$A$500,$F1933,'Lot Balance'!$B$5:$B$500,$AI1933)=0,"⚠ override is not a lot of this item",IF($AI1933=$AL1933,"Override = FEFO","Override - FEFO says "&amp;$AL1933)),IF($AL1933="","⚠ no receipt on file for this item",IF($AM1933&lt;&gt;$AL1933,"FEFO auto - split, also "&amp;$AM1933,"FEFO auto"))))</f>
        <v>FEFO auto</v>
      </c>
      <c r="AO1933" s="114"/>
    </row>
    <row r="1934" spans="1:41" x14ac:dyDescent="0.35">
      <c r="A1934" s="95">
        <v>46231</v>
      </c>
      <c r="B1934" s="80" t="str">
        <f>IF($C1934="","",IFERROR(INDEX('Staff Directory'!$A$5:$A$594,MATCH($C1934,'Staff Directory'!$B$5:$B$594,0)),"⚠ unknown staff"))</f>
        <v>PSW-152-A6</v>
      </c>
      <c r="C1934" s="49" t="s">
        <v>1131</v>
      </c>
      <c r="D1934" s="19" t="str">
        <f>IF($B1934="","",IFERROR(INDEX('Staff Directory'!$C$5:$C$594,MATCH($B1934,'Staff Directory'!$A$5:$A$594,0)),""))</f>
        <v>PSW</v>
      </c>
      <c r="E1934" s="19" t="str">
        <f>IF($B1934="","",IFERROR(INDEX('Staff Directory'!$D$5:$D$594,MATCH($B1934,'Staff Directory'!$A$5:$A$594,0)),""))</f>
        <v>A6</v>
      </c>
      <c r="F1934" s="9" t="s">
        <v>127</v>
      </c>
      <c r="G1934" s="18" t="str">
        <f>IF($F1934="","",IFERROR(INDEX(Items!$B$5:$B$597,MATCH($F1934,Items!$A$5:$A$597,0)),"⚠ not in Items"))</f>
        <v>Gloves</v>
      </c>
      <c r="H1934" s="19" t="str">
        <f>IF($F1934="","",IFERROR(INDEX(Items!$C$5:$C$597,MATCH($F1934,Items!$A$5:$A$597,0)),""))</f>
        <v>Medium</v>
      </c>
      <c r="I1934" s="23">
        <f>IF($F1934="","",IFERROR(INDEX(Items!$E$5:$E$597,MATCH($F1934,Items!$A$5:$A$597,0)),""))</f>
        <v>500</v>
      </c>
      <c r="J1934" s="116">
        <f>IF(tblIssues[[#This Row],[Qty Override]]&lt;&gt;"",tblIssues[[#This Row],[Qty Override]],IF(tblIssues[[#This Row],[Standard Issue]]="","",tblIssues[[#This Row],[Standard Issue]]))</f>
        <v>500</v>
      </c>
      <c r="K1934" s="20">
        <f>IF($F1934="","",IFERROR(INDEX(Items!$D$5:$D$597,MATCH($F1934,Items!$A$5:$A$597,0)),""))</f>
        <v>5.5E-2</v>
      </c>
      <c r="L1934" s="21">
        <f t="shared" si="338"/>
        <v>27.5</v>
      </c>
      <c r="M1934" s="9" t="str">
        <f t="shared" si="336"/>
        <v>ZIM6044151580</v>
      </c>
      <c r="N1934" s="87">
        <f>IF($A1934="","",WORKDAY($A1934,Settings!$C$9,HolidayDates))</f>
        <v>46239</v>
      </c>
      <c r="O1934" s="24">
        <f>IF($N1934="","",WORKDAY($N1934,Settings!$C$10,HolidayDates))</f>
        <v>46279</v>
      </c>
      <c r="P1934" s="9"/>
      <c r="Q1934" s="88" t="str">
        <f t="shared" ref="Q1934:Q1977" si="344">IF($A1934="","",IF($P1934&lt;&gt;"","Collected","Pending"))</f>
        <v>Pending</v>
      </c>
      <c r="R1934" s="55" t="str">
        <f t="shared" si="339"/>
        <v>2026-07</v>
      </c>
      <c r="S1934" s="59">
        <f>IF(OR($B1934="",$F1934="",$R1934=""),"",SUMIFS(tblIssues[Qty Issued],tblIssues[Staff ID],$B1934,tblIssues[Item Name],$F1934,tblIssues[Month],$R1934))</f>
        <v>1500</v>
      </c>
      <c r="T1934" s="56">
        <f>IF($I1934="","",$I1934*Settings!$C$11)</f>
        <v>500</v>
      </c>
      <c r="U1934" s="57" t="str">
        <f t="shared" si="340"/>
        <v>⚠ OVER QUOTA</v>
      </c>
      <c r="V1934" s="55" t="str">
        <f t="shared" si="341"/>
        <v>PSW-152-A6 | Gloves - Medium | 2026-07</v>
      </c>
      <c r="W1934" s="55" t="str">
        <f>IF($V1934="","",IF(COUNTIF($V$5:$V1934,$V1934)=1,1,""))</f>
        <v/>
      </c>
      <c r="X1934" s="58" t="str">
        <f>IF($W1934="","",MAX($X$4:X1933)+1)</f>
        <v/>
      </c>
      <c r="Y1934" s="62"/>
      <c r="Z1934" s="62"/>
      <c r="AA1934" s="64" t="str">
        <f>IF($C1934="","",IFERROR(INDEX('Staff Directory'!$E$5:$E$594,MATCH($C1934,'Staff Directory'!$B$5:$B$594,0)),""))</f>
        <v>firstname215.lastname215@example.com</v>
      </c>
      <c r="AB1934" s="64" t="str">
        <f>IF($C1934="","",IF(ISNUMBER(SEARCH($D1934,Settings!$C$15)),"Pickup","Dispatch"))</f>
        <v>Pickup</v>
      </c>
      <c r="AC1934" s="64" t="str">
        <f t="shared" si="342"/>
        <v>Supply order ready for pickup</v>
      </c>
      <c r="AD1934" s="64" t="str">
        <f t="shared" si="333"/>
        <v>Dear PSW,
Your order is ready for pickup from Sample Branch, Wed-Fri 9am-4pm.</v>
      </c>
      <c r="AE1934" s="64" t="str">
        <f t="shared" si="334"/>
        <v>mailto:firstname215.lastname215@example.com?subject=Supply%20order%20ready%20for%20pickup&amp;body=Dear%20PSW%2C%0A%0AYour%20order%20is%20ready%20for%20pickup%20from%20Sample%20Branch%2C%20Wed-Fri%209am-4pm.</v>
      </c>
      <c r="AF1934" s="89" t="str">
        <f t="shared" si="343"/>
        <v>Draft email</v>
      </c>
      <c r="AG1934" s="64" t="str">
        <f>IF($C1934="","",IFERROR(INDEX('Staff Directory'!$K$595:$K$599,MATCH($C1934,'Staff Directory'!$B$5:$B$599,0)),$D1934))</f>
        <v>PSW</v>
      </c>
      <c r="AH1934" t="str">
        <f>IF($C1934="","",IFERROR(INDEX('Staff Directory'!$I$595:$I$599,MATCH($C1934,'Staff Directory'!$B$5:$B$599,0))&amp;" "&amp;INDEX('Staff Directory'!$J$595:$J$599,MATCH($C1934,'Staff Directory'!$B$5:$B$599,0)),$AG1934))</f>
        <v>PSW</v>
      </c>
      <c r="AI1934" s="102"/>
      <c r="AJ1934" s="101">
        <f>IF($F1934="","",SUMIFS($J$5:$J1934,$F$5:$F1934,$F1934))</f>
        <v>116000</v>
      </c>
      <c r="AK1934" s="101">
        <f t="shared" si="335"/>
        <v>115501</v>
      </c>
      <c r="AL1934" s="66" t="str" cm="1">
        <f t="array" ref="AL1934">IF($F1934="","",IFERROR(INDEX('Lot Balance'!$B$5:$B$500,MATCH(1,INDEX(('Lot Balance'!$A$5:$A$500=$F1934)*('Lot Balance'!$K$5:$K$500&lt;$AK1934)*('Lot Balance'!$K$5:$K$500+'Lot Balance'!$D$5:$D$500&gt;=$AK1934),0),0)),""))</f>
        <v>ZIM6044151580</v>
      </c>
      <c r="AM1934" s="66" t="str" cm="1">
        <f t="array" ref="AM1934">IF($F1934="","",IFERROR(INDEX('Lot Balance'!$B$5:$B$500,MATCH(1,INDEX(('Lot Balance'!$A$5:$A$500=$F1934)*('Lot Balance'!$K$5:$K$500&lt;$AJ1934)*('Lot Balance'!$K$5:$K$500+'Lot Balance'!$D$5:$D$500&gt;=$AJ1934),0),0)),""))</f>
        <v>ZIM6044151580</v>
      </c>
      <c r="AN1934" s="66" t="str">
        <f>IF($F1934="","",IF($AI1934&lt;&gt;"",IF(COUNTIFS('Lot Balance'!$A$5:$A$500,$F1934,'Lot Balance'!$B$5:$B$500,$AI1934)=0,"⚠ override is not a lot of this item",IF($AI1934=$AL1934,"Override = FEFO","Override - FEFO says "&amp;$AL1934)),IF($AL1934="","⚠ no receipt on file for this item",IF($AM1934&lt;&gt;$AL1934,"FEFO auto - split, also "&amp;$AM1934,"FEFO auto"))))</f>
        <v>FEFO auto</v>
      </c>
      <c r="AO1934" s="114"/>
    </row>
    <row r="1935" spans="1:41" x14ac:dyDescent="0.35">
      <c r="A1935" s="95">
        <v>46231</v>
      </c>
      <c r="B1935" s="80" t="str">
        <f>IF($C1935="","",IFERROR(INDEX('Staff Directory'!$A$5:$A$594,MATCH($C1935,'Staff Directory'!$B$5:$B$594,0)),"⚠ unknown staff"))</f>
        <v>PSW-152-A6</v>
      </c>
      <c r="C1935" s="49" t="s">
        <v>1131</v>
      </c>
      <c r="D1935" s="19" t="str">
        <f>IF($B1935="","",IFERROR(INDEX('Staff Directory'!$C$5:$C$594,MATCH($B1935,'Staff Directory'!$A$5:$A$594,0)),""))</f>
        <v>PSW</v>
      </c>
      <c r="E1935" s="19" t="str">
        <f>IF($B1935="","",IFERROR(INDEX('Staff Directory'!$D$5:$D$594,MATCH($B1935,'Staff Directory'!$A$5:$A$594,0)),""))</f>
        <v>A6</v>
      </c>
      <c r="F1935" s="9" t="s">
        <v>127</v>
      </c>
      <c r="G1935" s="18" t="str">
        <f>IF($F1935="","",IFERROR(INDEX(Items!$B$5:$B$597,MATCH($F1935,Items!$A$5:$A$597,0)),"⚠ not in Items"))</f>
        <v>Gloves</v>
      </c>
      <c r="H1935" s="19" t="str">
        <f>IF($F1935="","",IFERROR(INDEX(Items!$C$5:$C$597,MATCH($F1935,Items!$A$5:$A$597,0)),""))</f>
        <v>Medium</v>
      </c>
      <c r="I1935" s="23">
        <f>IF($F1935="","",IFERROR(INDEX(Items!$E$5:$E$597,MATCH($F1935,Items!$A$5:$A$597,0)),""))</f>
        <v>500</v>
      </c>
      <c r="J1935" s="116">
        <f>IF(tblIssues[[#This Row],[Qty Override]]&lt;&gt;"",tblIssues[[#This Row],[Qty Override]],IF(tblIssues[[#This Row],[Standard Issue]]="","",tblIssues[[#This Row],[Standard Issue]]))</f>
        <v>500</v>
      </c>
      <c r="K1935" s="20">
        <f>IF($F1935="","",IFERROR(INDEX(Items!$D$5:$D$597,MATCH($F1935,Items!$A$5:$A$597,0)),""))</f>
        <v>5.5E-2</v>
      </c>
      <c r="L1935" s="21">
        <f t="shared" si="338"/>
        <v>27.5</v>
      </c>
      <c r="M1935" s="9" t="str">
        <f t="shared" si="336"/>
        <v>ZIM6044151580</v>
      </c>
      <c r="N1935" s="87">
        <f>IF($A1935="","",WORKDAY($A1935,Settings!$C$9,HolidayDates))</f>
        <v>46239</v>
      </c>
      <c r="O1935" s="24">
        <f>IF($N1935="","",WORKDAY($N1935,Settings!$C$10,HolidayDates))</f>
        <v>46279</v>
      </c>
      <c r="P1935" s="9"/>
      <c r="Q1935" s="88" t="str">
        <f t="shared" si="344"/>
        <v>Pending</v>
      </c>
      <c r="R1935" s="55" t="str">
        <f t="shared" si="339"/>
        <v>2026-07</v>
      </c>
      <c r="S1935" s="59">
        <f>IF(OR($B1935="",$F1935="",$R1935=""),"",SUMIFS(tblIssues[Qty Issued],tblIssues[Staff ID],$B1935,tblIssues[Item Name],$F1935,tblIssues[Month],$R1935))</f>
        <v>1500</v>
      </c>
      <c r="T1935" s="56">
        <f>IF($I1935="","",$I1935*Settings!$C$11)</f>
        <v>500</v>
      </c>
      <c r="U1935" s="57" t="str">
        <f t="shared" si="340"/>
        <v>⚠ OVER QUOTA</v>
      </c>
      <c r="V1935" s="55" t="str">
        <f t="shared" si="341"/>
        <v>PSW-152-A6 | Gloves - Medium | 2026-07</v>
      </c>
      <c r="W1935" s="55" t="str">
        <f>IF($V1935="","",IF(COUNTIF($V$5:$V1935,$V1935)=1,1,""))</f>
        <v/>
      </c>
      <c r="X1935" s="58" t="str">
        <f>IF($W1935="","",MAX($X$4:X1934)+1)</f>
        <v/>
      </c>
      <c r="Y1935" s="62"/>
      <c r="Z1935" s="62"/>
      <c r="AA1935" s="64" t="str">
        <f>IF($C1935="","",IFERROR(INDEX('Staff Directory'!$E$5:$E$594,MATCH($C1935,'Staff Directory'!$B$5:$B$594,0)),""))</f>
        <v>firstname215.lastname215@example.com</v>
      </c>
      <c r="AB1935" s="64" t="str">
        <f>IF($C1935="","",IF(ISNUMBER(SEARCH($D1935,Settings!$C$15)),"Pickup","Dispatch"))</f>
        <v>Pickup</v>
      </c>
      <c r="AC1935" s="64" t="str">
        <f t="shared" si="342"/>
        <v>Supply order ready for pickup</v>
      </c>
      <c r="AD1935" s="64" t="str">
        <f t="shared" si="333"/>
        <v>Dear PSW,
Your order is ready for pickup from Sample Branch, Wed-Fri 9am-4pm.</v>
      </c>
      <c r="AE1935" s="64" t="str">
        <f t="shared" si="334"/>
        <v>mailto:firstname215.lastname215@example.com?subject=Supply%20order%20ready%20for%20pickup&amp;body=Dear%20PSW%2C%0A%0AYour%20order%20is%20ready%20for%20pickup%20from%20Sample%20Branch%2C%20Wed-Fri%209am-4pm.</v>
      </c>
      <c r="AF1935" s="89" t="str">
        <f t="shared" si="343"/>
        <v>Draft email</v>
      </c>
      <c r="AG1935" s="64" t="str">
        <f>IF($C1935="","",IFERROR(INDEX('Staff Directory'!$K$595:$K$599,MATCH($C1935,'Staff Directory'!$B$5:$B$599,0)),$D1935))</f>
        <v>PSW</v>
      </c>
      <c r="AH1935" t="str">
        <f>IF($C1935="","",IFERROR(INDEX('Staff Directory'!$I$595:$I$599,MATCH($C1935,'Staff Directory'!$B$5:$B$599,0))&amp;" "&amp;INDEX('Staff Directory'!$J$595:$J$599,MATCH($C1935,'Staff Directory'!$B$5:$B$599,0)),$AG1935))</f>
        <v>PSW</v>
      </c>
      <c r="AI1935" s="102"/>
      <c r="AJ1935" s="101">
        <f>IF($F1935="","",SUMIFS($J$5:$J1935,$F$5:$F1935,$F1935))</f>
        <v>116500</v>
      </c>
      <c r="AK1935" s="101">
        <f t="shared" si="335"/>
        <v>116001</v>
      </c>
      <c r="AL1935" s="66" t="str" cm="1">
        <f t="array" ref="AL1935">IF($F1935="","",IFERROR(INDEX('Lot Balance'!$B$5:$B$500,MATCH(1,INDEX(('Lot Balance'!$A$5:$A$500=$F1935)*('Lot Balance'!$K$5:$K$500&lt;$AK1935)*('Lot Balance'!$K$5:$K$500+'Lot Balance'!$D$5:$D$500&gt;=$AK1935),0),0)),""))</f>
        <v>ZIM6044151580</v>
      </c>
      <c r="AM1935" s="66" t="str" cm="1">
        <f t="array" ref="AM1935">IF($F1935="","",IFERROR(INDEX('Lot Balance'!$B$5:$B$500,MATCH(1,INDEX(('Lot Balance'!$A$5:$A$500=$F1935)*('Lot Balance'!$K$5:$K$500&lt;$AJ1935)*('Lot Balance'!$K$5:$K$500+'Lot Balance'!$D$5:$D$500&gt;=$AJ1935),0),0)),""))</f>
        <v>ZIM6044151580</v>
      </c>
      <c r="AN1935" s="66" t="str">
        <f>IF($F1935="","",IF($AI1935&lt;&gt;"",IF(COUNTIFS('Lot Balance'!$A$5:$A$500,$F1935,'Lot Balance'!$B$5:$B$500,$AI1935)=0,"⚠ override is not a lot of this item",IF($AI1935=$AL1935,"Override = FEFO","Override - FEFO says "&amp;$AL1935)),IF($AL1935="","⚠ no receipt on file for this item",IF($AM1935&lt;&gt;$AL1935,"FEFO auto - split, also "&amp;$AM1935,"FEFO auto"))))</f>
        <v>FEFO auto</v>
      </c>
      <c r="AO1935" s="114"/>
    </row>
    <row r="1936" spans="1:41" x14ac:dyDescent="0.35">
      <c r="A1936" s="75"/>
      <c r="B1936" s="80" t="str">
        <f>IF($C1936="","",IFERROR(INDEX('Staff Directory'!$A$5:$A$594,MATCH($C1936,'Staff Directory'!$B$5:$B$594,0)),"⚠ unknown staff"))</f>
        <v/>
      </c>
      <c r="C1936" s="49"/>
      <c r="D1936" s="19" t="str">
        <f>IF($B1936="","",IFERROR(INDEX('Staff Directory'!$C$5:$C$594,MATCH($B1936,'Staff Directory'!$A$5:$A$594,0)),""))</f>
        <v/>
      </c>
      <c r="E1936" s="19" t="str">
        <f>IF($B1936="","",IFERROR(INDEX('Staff Directory'!$D$5:$D$594,MATCH($B1936,'Staff Directory'!$A$5:$A$594,0)),""))</f>
        <v/>
      </c>
      <c r="F1936" s="9"/>
      <c r="G1936" s="18" t="str">
        <f>IF($F1936="","",IFERROR(INDEX(Items!$B$5:$B$597,MATCH($F1936,Items!$A$5:$A$597,0)),"⚠ not in Items"))</f>
        <v/>
      </c>
      <c r="H1936" s="19" t="str">
        <f>IF($F1936="","",IFERROR(INDEX(Items!$C$5:$C$597,MATCH($F1936,Items!$A$5:$A$597,0)),""))</f>
        <v/>
      </c>
      <c r="I1936" s="23" t="str">
        <f>IF($F1936="","",IFERROR(INDEX(Items!$E$5:$E$597,MATCH($F1936,Items!$A$5:$A$597,0)),""))</f>
        <v/>
      </c>
      <c r="J1936" s="116" t="str">
        <f>IF(tblIssues[[#This Row],[Qty Override]]&lt;&gt;"",tblIssues[[#This Row],[Qty Override]],IF(tblIssues[[#This Row],[Standard Issue]]="","",tblIssues[[#This Row],[Standard Issue]]))</f>
        <v/>
      </c>
      <c r="K1936" s="20" t="str">
        <f>IF($F1936="","",IFERROR(INDEX(Items!$D$5:$D$597,MATCH($F1936,Items!$A$5:$A$597,0)),""))</f>
        <v/>
      </c>
      <c r="L1936" s="21" t="str">
        <f t="shared" si="338"/>
        <v/>
      </c>
      <c r="M1936" s="9" t="str">
        <f t="shared" si="336"/>
        <v/>
      </c>
      <c r="N1936" s="87" t="str">
        <f>IF($A1936="","",WORKDAY($A1936,Settings!$C$9,HolidayDates))</f>
        <v/>
      </c>
      <c r="O1936" s="24" t="str">
        <f>IF($N1936="","",WORKDAY($N1936,Settings!$C$10,HolidayDates))</f>
        <v/>
      </c>
      <c r="P1936" s="9"/>
      <c r="Q1936" s="88" t="str">
        <f t="shared" si="344"/>
        <v/>
      </c>
      <c r="R1936" s="55" t="str">
        <f t="shared" si="339"/>
        <v/>
      </c>
      <c r="S1936" s="59" t="str">
        <f>IF(OR($B1936="",$F1936="",$R1936=""),"",SUMIFS(tblIssues[Qty Issued],tblIssues[Staff ID],$B1936,tblIssues[Item Name],$F1936,tblIssues[Month],$R1936))</f>
        <v/>
      </c>
      <c r="T1936" s="56" t="str">
        <f>IF($I1936="","",$I1936*Settings!$C$11)</f>
        <v/>
      </c>
      <c r="U1936" s="57" t="str">
        <f t="shared" si="340"/>
        <v/>
      </c>
      <c r="V1936" s="55" t="str">
        <f t="shared" si="341"/>
        <v/>
      </c>
      <c r="W1936" s="55" t="str">
        <f>IF($V1936="","",IF(COUNTIF($V$5:$V1936,$V1936)=1,1,""))</f>
        <v/>
      </c>
      <c r="X1936" s="58" t="str">
        <f>IF($W1936="","",MAX($X$4:X1935)+1)</f>
        <v/>
      </c>
      <c r="Y1936" s="62"/>
      <c r="Z1936" s="62"/>
      <c r="AA1936" s="64" t="str">
        <f>IF($C1936="","",IFERROR(INDEX('Staff Directory'!$E$5:$E$594,MATCH($C1936,'Staff Directory'!$B$5:$B$594,0)),""))</f>
        <v/>
      </c>
      <c r="AB1936" s="64" t="str">
        <f>IF($C1936="","",IF(ISNUMBER(SEARCH($D1936,Settings!$C$15)),"Pickup","Dispatch"))</f>
        <v/>
      </c>
      <c r="AC1936" s="64" t="str">
        <f t="shared" si="342"/>
        <v/>
      </c>
      <c r="AD1936" s="64" t="str">
        <f t="shared" si="333"/>
        <v/>
      </c>
      <c r="AE1936" s="64" t="str">
        <f t="shared" si="334"/>
        <v/>
      </c>
      <c r="AF1936" s="89" t="str">
        <f t="shared" si="343"/>
        <v/>
      </c>
      <c r="AG1936" s="64" t="str">
        <f>IF($C1936="","",IFERROR(INDEX('Staff Directory'!$K$595:$K$599,MATCH($C1936,'Staff Directory'!$B$5:$B$599,0)),$D1936))</f>
        <v/>
      </c>
      <c r="AH1936" t="str">
        <f>IF($C1936="","",IFERROR(INDEX('Staff Directory'!$I$595:$I$599,MATCH($C1936,'Staff Directory'!$B$5:$B$599,0))&amp;" "&amp;INDEX('Staff Directory'!$J$595:$J$599,MATCH($C1936,'Staff Directory'!$B$5:$B$599,0)),$AG1936))</f>
        <v/>
      </c>
      <c r="AI1936" s="102"/>
      <c r="AJ1936" s="101" t="str">
        <f>IF($F1936="","",SUMIFS($J$5:$J1936,$F$5:$F1936,$F1936))</f>
        <v/>
      </c>
      <c r="AK1936" s="101" t="str">
        <f t="shared" si="335"/>
        <v/>
      </c>
      <c r="AL1936" s="66" t="str" cm="1">
        <f t="array" ref="AL1936">IF($F1936="","",IFERROR(INDEX('Lot Balance'!$B$5:$B$500,MATCH(1,INDEX(('Lot Balance'!$A$5:$A$500=$F1936)*('Lot Balance'!$K$5:$K$500&lt;$AK1936)*('Lot Balance'!$K$5:$K$500+'Lot Balance'!$D$5:$D$500&gt;=$AK1936),0),0)),""))</f>
        <v/>
      </c>
      <c r="AM1936" s="66" t="str" cm="1">
        <f t="array" ref="AM1936">IF($F1936="","",IFERROR(INDEX('Lot Balance'!$B$5:$B$500,MATCH(1,INDEX(('Lot Balance'!$A$5:$A$500=$F1936)*('Lot Balance'!$K$5:$K$500&lt;$AJ1936)*('Lot Balance'!$K$5:$K$500+'Lot Balance'!$D$5:$D$500&gt;=$AJ1936),0),0)),""))</f>
        <v/>
      </c>
      <c r="AN1936" s="66" t="str">
        <f>IF($F1936="","",IF($AI1936&lt;&gt;"",IF(COUNTIFS('Lot Balance'!$A$5:$A$500,$F1936,'Lot Balance'!$B$5:$B$500,$AI1936)=0,"⚠ override is not a lot of this item",IF($AI1936=$AL1936,"Override = FEFO","Override - FEFO says "&amp;$AL1936)),IF($AL1936="","⚠ no receipt on file for this item",IF($AM1936&lt;&gt;$AL1936,"FEFO auto - split, also "&amp;$AM1936,"FEFO auto"))))</f>
        <v/>
      </c>
      <c r="AO1936" s="114"/>
    </row>
    <row r="1937" spans="1:41" x14ac:dyDescent="0.35">
      <c r="A1937" s="75"/>
      <c r="B1937" s="80" t="str">
        <f>IF($C1937="","",IFERROR(INDEX('Staff Directory'!$A$5:$A$594,MATCH($C1937,'Staff Directory'!$B$5:$B$594,0)),"⚠ unknown staff"))</f>
        <v/>
      </c>
      <c r="C1937" s="49"/>
      <c r="D1937" s="19" t="str">
        <f>IF($B1937="","",IFERROR(INDEX('Staff Directory'!$C$5:$C$594,MATCH($B1937,'Staff Directory'!$A$5:$A$594,0)),""))</f>
        <v/>
      </c>
      <c r="E1937" s="19" t="str">
        <f>IF($B1937="","",IFERROR(INDEX('Staff Directory'!$D$5:$D$594,MATCH($B1937,'Staff Directory'!$A$5:$A$594,0)),""))</f>
        <v/>
      </c>
      <c r="F1937" s="9"/>
      <c r="G1937" s="18" t="str">
        <f>IF($F1937="","",IFERROR(INDEX(Items!$B$5:$B$597,MATCH($F1937,Items!$A$5:$A$597,0)),"⚠ not in Items"))</f>
        <v/>
      </c>
      <c r="H1937" s="19" t="str">
        <f>IF($F1937="","",IFERROR(INDEX(Items!$C$5:$C$597,MATCH($F1937,Items!$A$5:$A$597,0)),""))</f>
        <v/>
      </c>
      <c r="I1937" s="23" t="str">
        <f>IF($F1937="","",IFERROR(INDEX(Items!$E$5:$E$597,MATCH($F1937,Items!$A$5:$A$597,0)),""))</f>
        <v/>
      </c>
      <c r="J1937" s="116" t="str">
        <f>IF(tblIssues[[#This Row],[Qty Override]]&lt;&gt;"",tblIssues[[#This Row],[Qty Override]],IF(tblIssues[[#This Row],[Standard Issue]]="","",tblIssues[[#This Row],[Standard Issue]]))</f>
        <v/>
      </c>
      <c r="K1937" s="20" t="str">
        <f>IF($F1937="","",IFERROR(INDEX(Items!$D$5:$D$597,MATCH($F1937,Items!$A$5:$A$597,0)),""))</f>
        <v/>
      </c>
      <c r="L1937" s="21" t="str">
        <f t="shared" si="338"/>
        <v/>
      </c>
      <c r="M1937" s="9" t="str">
        <f t="shared" si="336"/>
        <v/>
      </c>
      <c r="N1937" s="87" t="str">
        <f>IF($A1937="","",WORKDAY($A1937,Settings!$C$9,HolidayDates))</f>
        <v/>
      </c>
      <c r="O1937" s="24" t="str">
        <f>IF($N1937="","",WORKDAY($N1937,Settings!$C$10,HolidayDates))</f>
        <v/>
      </c>
      <c r="P1937" s="9"/>
      <c r="Q1937" s="88" t="str">
        <f t="shared" si="344"/>
        <v/>
      </c>
      <c r="R1937" s="55" t="str">
        <f t="shared" si="339"/>
        <v/>
      </c>
      <c r="S1937" s="59" t="str">
        <f>IF(OR($B1937="",$F1937="",$R1937=""),"",SUMIFS(tblIssues[Qty Issued],tblIssues[Staff ID],$B1937,tblIssues[Item Name],$F1937,tblIssues[Month],$R1937))</f>
        <v/>
      </c>
      <c r="T1937" s="56" t="str">
        <f>IF($I1937="","",$I1937*Settings!$C$11)</f>
        <v/>
      </c>
      <c r="U1937" s="57" t="str">
        <f t="shared" si="340"/>
        <v/>
      </c>
      <c r="V1937" s="55" t="str">
        <f t="shared" si="341"/>
        <v/>
      </c>
      <c r="W1937" s="55" t="str">
        <f>IF($V1937="","",IF(COUNTIF($V$5:$V1937,$V1937)=1,1,""))</f>
        <v/>
      </c>
      <c r="X1937" s="58" t="str">
        <f>IF($W1937="","",MAX($X$4:X1936)+1)</f>
        <v/>
      </c>
      <c r="Y1937" s="62"/>
      <c r="Z1937" s="62"/>
      <c r="AA1937" s="64" t="str">
        <f>IF($C1937="","",IFERROR(INDEX('Staff Directory'!$E$5:$E$594,MATCH($C1937,'Staff Directory'!$B$5:$B$594,0)),""))</f>
        <v/>
      </c>
      <c r="AB1937" s="64" t="str">
        <f>IF($C1937="","",IF(ISNUMBER(SEARCH($D1937,Settings!$C$15)),"Pickup","Dispatch"))</f>
        <v/>
      </c>
      <c r="AC1937" s="64" t="str">
        <f t="shared" si="342"/>
        <v/>
      </c>
      <c r="AD1937" s="64" t="str">
        <f t="shared" si="333"/>
        <v/>
      </c>
      <c r="AE1937" s="64" t="str">
        <f t="shared" si="334"/>
        <v/>
      </c>
      <c r="AF1937" s="89" t="str">
        <f t="shared" si="343"/>
        <v/>
      </c>
      <c r="AG1937" s="64" t="str">
        <f>IF($C1937="","",IFERROR(INDEX('Staff Directory'!$K$595:$K$599,MATCH($C1937,'Staff Directory'!$B$5:$B$599,0)),$D1937))</f>
        <v/>
      </c>
      <c r="AH1937" t="str">
        <f>IF($C1937="","",IFERROR(INDEX('Staff Directory'!$I$595:$I$599,MATCH($C1937,'Staff Directory'!$B$5:$B$599,0))&amp;" "&amp;INDEX('Staff Directory'!$J$595:$J$599,MATCH($C1937,'Staff Directory'!$B$5:$B$599,0)),$AG1937))</f>
        <v/>
      </c>
      <c r="AI1937" s="102"/>
      <c r="AJ1937" s="101" t="str">
        <f>IF($F1937="","",SUMIFS($J$5:$J1937,$F$5:$F1937,$F1937))</f>
        <v/>
      </c>
      <c r="AK1937" s="101" t="str">
        <f t="shared" si="335"/>
        <v/>
      </c>
      <c r="AL1937" s="66" t="str" cm="1">
        <f t="array" ref="AL1937">IF($F1937="","",IFERROR(INDEX('Lot Balance'!$B$5:$B$500,MATCH(1,INDEX(('Lot Balance'!$A$5:$A$500=$F1937)*('Lot Balance'!$K$5:$K$500&lt;$AK1937)*('Lot Balance'!$K$5:$K$500+'Lot Balance'!$D$5:$D$500&gt;=$AK1937),0),0)),""))</f>
        <v/>
      </c>
      <c r="AM1937" s="66" t="str" cm="1">
        <f t="array" ref="AM1937">IF($F1937="","",IFERROR(INDEX('Lot Balance'!$B$5:$B$500,MATCH(1,INDEX(('Lot Balance'!$A$5:$A$500=$F1937)*('Lot Balance'!$K$5:$K$500&lt;$AJ1937)*('Lot Balance'!$K$5:$K$500+'Lot Balance'!$D$5:$D$500&gt;=$AJ1937),0),0)),""))</f>
        <v/>
      </c>
      <c r="AN1937" s="66" t="str">
        <f>IF($F1937="","",IF($AI1937&lt;&gt;"",IF(COUNTIFS('Lot Balance'!$A$5:$A$500,$F1937,'Lot Balance'!$B$5:$B$500,$AI1937)=0,"⚠ override is not a lot of this item",IF($AI1937=$AL1937,"Override = FEFO","Override - FEFO says "&amp;$AL1937)),IF($AL1937="","⚠ no receipt on file for this item",IF($AM1937&lt;&gt;$AL1937,"FEFO auto - split, also "&amp;$AM1937,"FEFO auto"))))</f>
        <v/>
      </c>
      <c r="AO1937" s="114"/>
    </row>
    <row r="1938" spans="1:41" x14ac:dyDescent="0.35">
      <c r="A1938" s="75"/>
      <c r="B1938" s="80" t="str">
        <f>IF($C1938="","",IFERROR(INDEX('Staff Directory'!$A$5:$A$594,MATCH($C1938,'Staff Directory'!$B$5:$B$594,0)),"⚠ unknown staff"))</f>
        <v/>
      </c>
      <c r="C1938" s="49"/>
      <c r="D1938" s="19" t="str">
        <f>IF($B1938="","",IFERROR(INDEX('Staff Directory'!$C$5:$C$594,MATCH($B1938,'Staff Directory'!$A$5:$A$594,0)),""))</f>
        <v/>
      </c>
      <c r="E1938" s="19" t="str">
        <f>IF($B1938="","",IFERROR(INDEX('Staff Directory'!$D$5:$D$594,MATCH($B1938,'Staff Directory'!$A$5:$A$594,0)),""))</f>
        <v/>
      </c>
      <c r="F1938" s="9"/>
      <c r="G1938" s="18" t="str">
        <f>IF($F1938="","",IFERROR(INDEX(Items!$B$5:$B$597,MATCH($F1938,Items!$A$5:$A$597,0)),"⚠ not in Items"))</f>
        <v/>
      </c>
      <c r="H1938" s="19" t="str">
        <f>IF($F1938="","",IFERROR(INDEX(Items!$C$5:$C$597,MATCH($F1938,Items!$A$5:$A$597,0)),""))</f>
        <v/>
      </c>
      <c r="I1938" s="23" t="str">
        <f>IF($F1938="","",IFERROR(INDEX(Items!$E$5:$E$597,MATCH($F1938,Items!$A$5:$A$597,0)),""))</f>
        <v/>
      </c>
      <c r="J1938" s="116" t="str">
        <f>IF(tblIssues[[#This Row],[Qty Override]]&lt;&gt;"",tblIssues[[#This Row],[Qty Override]],IF(tblIssues[[#This Row],[Standard Issue]]="","",tblIssues[[#This Row],[Standard Issue]]))</f>
        <v/>
      </c>
      <c r="K1938" s="20" t="str">
        <f>IF($F1938="","",IFERROR(INDEX(Items!$D$5:$D$597,MATCH($F1938,Items!$A$5:$A$597,0)),""))</f>
        <v/>
      </c>
      <c r="L1938" s="21" t="str">
        <f t="shared" si="338"/>
        <v/>
      </c>
      <c r="M1938" s="9" t="str">
        <f t="shared" si="336"/>
        <v/>
      </c>
      <c r="N1938" s="87" t="str">
        <f>IF($A1938="","",WORKDAY($A1938,Settings!$C$9,HolidayDates))</f>
        <v/>
      </c>
      <c r="O1938" s="24" t="str">
        <f>IF($N1938="","",WORKDAY($N1938,Settings!$C$10,HolidayDates))</f>
        <v/>
      </c>
      <c r="P1938" s="9"/>
      <c r="Q1938" s="88" t="str">
        <f t="shared" si="344"/>
        <v/>
      </c>
      <c r="R1938" s="55" t="str">
        <f t="shared" si="339"/>
        <v/>
      </c>
      <c r="S1938" s="59" t="str">
        <f>IF(OR($B1938="",$F1938="",$R1938=""),"",SUMIFS(tblIssues[Qty Issued],tblIssues[Staff ID],$B1938,tblIssues[Item Name],$F1938,tblIssues[Month],$R1938))</f>
        <v/>
      </c>
      <c r="T1938" s="56" t="str">
        <f>IF($I1938="","",$I1938*Settings!$C$11)</f>
        <v/>
      </c>
      <c r="U1938" s="57" t="str">
        <f t="shared" si="340"/>
        <v/>
      </c>
      <c r="V1938" s="55" t="str">
        <f t="shared" si="341"/>
        <v/>
      </c>
      <c r="W1938" s="55" t="str">
        <f>IF($V1938="","",IF(COUNTIF($V$5:$V1938,$V1938)=1,1,""))</f>
        <v/>
      </c>
      <c r="X1938" s="58" t="str">
        <f>IF($W1938="","",MAX($X$4:X1937)+1)</f>
        <v/>
      </c>
      <c r="Y1938" s="62"/>
      <c r="Z1938" s="62"/>
      <c r="AA1938" s="64" t="str">
        <f>IF($C1938="","",IFERROR(INDEX('Staff Directory'!$E$5:$E$594,MATCH($C1938,'Staff Directory'!$B$5:$B$594,0)),""))</f>
        <v/>
      </c>
      <c r="AB1938" s="64" t="str">
        <f>IF($C1938="","",IF(ISNUMBER(SEARCH($D1938,Settings!$C$15)),"Pickup","Dispatch"))</f>
        <v/>
      </c>
      <c r="AC1938" s="64" t="str">
        <f t="shared" si="342"/>
        <v/>
      </c>
      <c r="AD1938" s="64" t="str">
        <f t="shared" si="333"/>
        <v/>
      </c>
      <c r="AE1938" s="64" t="str">
        <f t="shared" si="334"/>
        <v/>
      </c>
      <c r="AF1938" s="89" t="str">
        <f t="shared" si="343"/>
        <v/>
      </c>
      <c r="AG1938" s="64" t="str">
        <f>IF($C1938="","",IFERROR(INDEX('Staff Directory'!$K$595:$K$599,MATCH($C1938,'Staff Directory'!$B$5:$B$599,0)),$D1938))</f>
        <v/>
      </c>
      <c r="AH1938" t="str">
        <f>IF($C1938="","",IFERROR(INDEX('Staff Directory'!$I$595:$I$599,MATCH($C1938,'Staff Directory'!$B$5:$B$599,0))&amp;" "&amp;INDEX('Staff Directory'!$J$595:$J$599,MATCH($C1938,'Staff Directory'!$B$5:$B$599,0)),$AG1938))</f>
        <v/>
      </c>
      <c r="AI1938" s="102"/>
      <c r="AJ1938" s="101" t="str">
        <f>IF($F1938="","",SUMIFS($J$5:$J1938,$F$5:$F1938,$F1938))</f>
        <v/>
      </c>
      <c r="AK1938" s="101" t="str">
        <f t="shared" si="335"/>
        <v/>
      </c>
      <c r="AL1938" s="66" t="str" cm="1">
        <f t="array" ref="AL1938">IF($F1938="","",IFERROR(INDEX('Lot Balance'!$B$5:$B$500,MATCH(1,INDEX(('Lot Balance'!$A$5:$A$500=$F1938)*('Lot Balance'!$K$5:$K$500&lt;$AK1938)*('Lot Balance'!$K$5:$K$500+'Lot Balance'!$D$5:$D$500&gt;=$AK1938),0),0)),""))</f>
        <v/>
      </c>
      <c r="AM1938" s="66" t="str" cm="1">
        <f t="array" ref="AM1938">IF($F1938="","",IFERROR(INDEX('Lot Balance'!$B$5:$B$500,MATCH(1,INDEX(('Lot Balance'!$A$5:$A$500=$F1938)*('Lot Balance'!$K$5:$K$500&lt;$AJ1938)*('Lot Balance'!$K$5:$K$500+'Lot Balance'!$D$5:$D$500&gt;=$AJ1938),0),0)),""))</f>
        <v/>
      </c>
      <c r="AN1938" s="66" t="str">
        <f>IF($F1938="","",IF($AI1938&lt;&gt;"",IF(COUNTIFS('Lot Balance'!$A$5:$A$500,$F1938,'Lot Balance'!$B$5:$B$500,$AI1938)=0,"⚠ override is not a lot of this item",IF($AI1938=$AL1938,"Override = FEFO","Override - FEFO says "&amp;$AL1938)),IF($AL1938="","⚠ no receipt on file for this item",IF($AM1938&lt;&gt;$AL1938,"FEFO auto - split, also "&amp;$AM1938,"FEFO auto"))))</f>
        <v/>
      </c>
      <c r="AO1938" s="114"/>
    </row>
    <row r="1939" spans="1:41" x14ac:dyDescent="0.35">
      <c r="A1939" s="75"/>
      <c r="B1939" s="80" t="str">
        <f>IF($C1939="","",IFERROR(INDEX('Staff Directory'!$A$5:$A$594,MATCH($C1939,'Staff Directory'!$B$5:$B$594,0)),"⚠ unknown staff"))</f>
        <v/>
      </c>
      <c r="C1939" s="49"/>
      <c r="D1939" s="19" t="str">
        <f>IF($B1939="","",IFERROR(INDEX('Staff Directory'!$C$5:$C$594,MATCH($B1939,'Staff Directory'!$A$5:$A$594,0)),""))</f>
        <v/>
      </c>
      <c r="E1939" s="19" t="str">
        <f>IF($B1939="","",IFERROR(INDEX('Staff Directory'!$D$5:$D$594,MATCH($B1939,'Staff Directory'!$A$5:$A$594,0)),""))</f>
        <v/>
      </c>
      <c r="F1939" s="9"/>
      <c r="G1939" s="18" t="str">
        <f>IF($F1939="","",IFERROR(INDEX(Items!$B$5:$B$597,MATCH($F1939,Items!$A$5:$A$597,0)),"⚠ not in Items"))</f>
        <v/>
      </c>
      <c r="H1939" s="19" t="str">
        <f>IF($F1939="","",IFERROR(INDEX(Items!$C$5:$C$597,MATCH($F1939,Items!$A$5:$A$597,0)),""))</f>
        <v/>
      </c>
      <c r="I1939" s="23" t="str">
        <f>IF($F1939="","",IFERROR(INDEX(Items!$E$5:$E$597,MATCH($F1939,Items!$A$5:$A$597,0)),""))</f>
        <v/>
      </c>
      <c r="J1939" s="116" t="str">
        <f>IF(tblIssues[[#This Row],[Qty Override]]&lt;&gt;"",tblIssues[[#This Row],[Qty Override]],IF(tblIssues[[#This Row],[Standard Issue]]="","",tblIssues[[#This Row],[Standard Issue]]))</f>
        <v/>
      </c>
      <c r="K1939" s="20" t="str">
        <f>IF($F1939="","",IFERROR(INDEX(Items!$D$5:$D$597,MATCH($F1939,Items!$A$5:$A$597,0)),""))</f>
        <v/>
      </c>
      <c r="L1939" s="21" t="str">
        <f t="shared" si="338"/>
        <v/>
      </c>
      <c r="M1939" s="9" t="str">
        <f t="shared" si="336"/>
        <v/>
      </c>
      <c r="N1939" s="87" t="str">
        <f>IF($A1939="","",WORKDAY($A1939,Settings!$C$9,HolidayDates))</f>
        <v/>
      </c>
      <c r="O1939" s="24" t="str">
        <f>IF($N1939="","",WORKDAY($N1939,Settings!$C$10,HolidayDates))</f>
        <v/>
      </c>
      <c r="P1939" s="9"/>
      <c r="Q1939" s="88" t="str">
        <f t="shared" si="344"/>
        <v/>
      </c>
      <c r="R1939" s="55" t="str">
        <f t="shared" si="339"/>
        <v/>
      </c>
      <c r="S1939" s="59" t="str">
        <f>IF(OR($B1939="",$F1939="",$R1939=""),"",SUMIFS(tblIssues[Qty Issued],tblIssues[Staff ID],$B1939,tblIssues[Item Name],$F1939,tblIssues[Month],$R1939))</f>
        <v/>
      </c>
      <c r="T1939" s="56" t="str">
        <f>IF($I1939="","",$I1939*Settings!$C$11)</f>
        <v/>
      </c>
      <c r="U1939" s="57" t="str">
        <f t="shared" si="340"/>
        <v/>
      </c>
      <c r="V1939" s="55" t="str">
        <f t="shared" si="341"/>
        <v/>
      </c>
      <c r="W1939" s="55" t="str">
        <f>IF($V1939="","",IF(COUNTIF($V$5:$V1939,$V1939)=1,1,""))</f>
        <v/>
      </c>
      <c r="X1939" s="58" t="str">
        <f>IF($W1939="","",MAX($X$4:X1938)+1)</f>
        <v/>
      </c>
      <c r="Y1939" s="62"/>
      <c r="Z1939" s="62"/>
      <c r="AA1939" s="64" t="str">
        <f>IF($C1939="","",IFERROR(INDEX('Staff Directory'!$E$5:$E$594,MATCH($C1939,'Staff Directory'!$B$5:$B$594,0)),""))</f>
        <v/>
      </c>
      <c r="AB1939" s="64" t="str">
        <f>IF($C1939="","",IF(ISNUMBER(SEARCH($D1939,Settings!$C$15)),"Pickup","Dispatch"))</f>
        <v/>
      </c>
      <c r="AC1939" s="64" t="str">
        <f t="shared" si="342"/>
        <v/>
      </c>
      <c r="AD1939" s="64" t="str">
        <f t="shared" si="333"/>
        <v/>
      </c>
      <c r="AE1939" s="64" t="str">
        <f t="shared" si="334"/>
        <v/>
      </c>
      <c r="AF1939" s="89" t="str">
        <f t="shared" si="343"/>
        <v/>
      </c>
      <c r="AG1939" s="64" t="str">
        <f>IF($C1939="","",IFERROR(INDEX('Staff Directory'!$K$595:$K$599,MATCH($C1939,'Staff Directory'!$B$5:$B$599,0)),$D1939))</f>
        <v/>
      </c>
      <c r="AH1939" t="str">
        <f>IF($C1939="","",IFERROR(INDEX('Staff Directory'!$I$595:$I$599,MATCH($C1939,'Staff Directory'!$B$5:$B$599,0))&amp;" "&amp;INDEX('Staff Directory'!$J$595:$J$599,MATCH($C1939,'Staff Directory'!$B$5:$B$599,0)),$AG1939))</f>
        <v/>
      </c>
      <c r="AI1939" s="102"/>
      <c r="AJ1939" s="101" t="str">
        <f>IF($F1939="","",SUMIFS($J$5:$J1939,$F$5:$F1939,$F1939))</f>
        <v/>
      </c>
      <c r="AK1939" s="101" t="str">
        <f t="shared" si="335"/>
        <v/>
      </c>
      <c r="AL1939" s="66" t="str" cm="1">
        <f t="array" ref="AL1939">IF($F1939="","",IFERROR(INDEX('Lot Balance'!$B$5:$B$500,MATCH(1,INDEX(('Lot Balance'!$A$5:$A$500=$F1939)*('Lot Balance'!$K$5:$K$500&lt;$AK1939)*('Lot Balance'!$K$5:$K$500+'Lot Balance'!$D$5:$D$500&gt;=$AK1939),0),0)),""))</f>
        <v/>
      </c>
      <c r="AM1939" s="66" t="str" cm="1">
        <f t="array" ref="AM1939">IF($F1939="","",IFERROR(INDEX('Lot Balance'!$B$5:$B$500,MATCH(1,INDEX(('Lot Balance'!$A$5:$A$500=$F1939)*('Lot Balance'!$K$5:$K$500&lt;$AJ1939)*('Lot Balance'!$K$5:$K$500+'Lot Balance'!$D$5:$D$500&gt;=$AJ1939),0),0)),""))</f>
        <v/>
      </c>
      <c r="AN1939" s="66" t="str">
        <f>IF($F1939="","",IF($AI1939&lt;&gt;"",IF(COUNTIFS('Lot Balance'!$A$5:$A$500,$F1939,'Lot Balance'!$B$5:$B$500,$AI1939)=0,"⚠ override is not a lot of this item",IF($AI1939=$AL1939,"Override = FEFO","Override - FEFO says "&amp;$AL1939)),IF($AL1939="","⚠ no receipt on file for this item",IF($AM1939&lt;&gt;$AL1939,"FEFO auto - split, also "&amp;$AM1939,"FEFO auto"))))</f>
        <v/>
      </c>
      <c r="AO1939" s="114"/>
    </row>
    <row r="1940" spans="1:41" x14ac:dyDescent="0.35">
      <c r="A1940" s="75"/>
      <c r="B1940" s="80" t="str">
        <f>IF($C1940="","",IFERROR(INDEX('Staff Directory'!$A$5:$A$594,MATCH($C1940,'Staff Directory'!$B$5:$B$594,0)),"⚠ unknown staff"))</f>
        <v/>
      </c>
      <c r="C1940" s="49"/>
      <c r="D1940" s="19" t="str">
        <f>IF($B1940="","",IFERROR(INDEX('Staff Directory'!$C$5:$C$594,MATCH($B1940,'Staff Directory'!$A$5:$A$594,0)),""))</f>
        <v/>
      </c>
      <c r="E1940" s="19" t="str">
        <f>IF($B1940="","",IFERROR(INDEX('Staff Directory'!$D$5:$D$594,MATCH($B1940,'Staff Directory'!$A$5:$A$594,0)),""))</f>
        <v/>
      </c>
      <c r="F1940" s="9"/>
      <c r="G1940" s="18" t="str">
        <f>IF($F1940="","",IFERROR(INDEX(Items!$B$5:$B$597,MATCH($F1940,Items!$A$5:$A$597,0)),"⚠ not in Items"))</f>
        <v/>
      </c>
      <c r="H1940" s="19" t="str">
        <f>IF($F1940="","",IFERROR(INDEX(Items!$C$5:$C$597,MATCH($F1940,Items!$A$5:$A$597,0)),""))</f>
        <v/>
      </c>
      <c r="I1940" s="23" t="str">
        <f>IF($F1940="","",IFERROR(INDEX(Items!$E$5:$E$597,MATCH($F1940,Items!$A$5:$A$597,0)),""))</f>
        <v/>
      </c>
      <c r="J1940" s="116" t="str">
        <f>IF(tblIssues[[#This Row],[Qty Override]]&lt;&gt;"",tblIssues[[#This Row],[Qty Override]],IF(tblIssues[[#This Row],[Standard Issue]]="","",tblIssues[[#This Row],[Standard Issue]]))</f>
        <v/>
      </c>
      <c r="K1940" s="20" t="str">
        <f>IF($F1940="","",IFERROR(INDEX(Items!$D$5:$D$597,MATCH($F1940,Items!$A$5:$A$597,0)),""))</f>
        <v/>
      </c>
      <c r="L1940" s="21" t="str">
        <f t="shared" si="338"/>
        <v/>
      </c>
      <c r="M1940" s="9" t="str">
        <f t="shared" si="336"/>
        <v/>
      </c>
      <c r="N1940" s="87" t="str">
        <f>IF($A1940="","",WORKDAY($A1940,Settings!$C$9,HolidayDates))</f>
        <v/>
      </c>
      <c r="O1940" s="24" t="str">
        <f>IF($N1940="","",WORKDAY($N1940,Settings!$C$10,HolidayDates))</f>
        <v/>
      </c>
      <c r="P1940" s="9"/>
      <c r="Q1940" s="88" t="str">
        <f t="shared" si="344"/>
        <v/>
      </c>
      <c r="R1940" s="55" t="str">
        <f t="shared" si="339"/>
        <v/>
      </c>
      <c r="S1940" s="59" t="str">
        <f>IF(OR($B1940="",$F1940="",$R1940=""),"",SUMIFS(tblIssues[Qty Issued],tblIssues[Staff ID],$B1940,tblIssues[Item Name],$F1940,tblIssues[Month],$R1940))</f>
        <v/>
      </c>
      <c r="T1940" s="56" t="str">
        <f>IF($I1940="","",$I1940*Settings!$C$11)</f>
        <v/>
      </c>
      <c r="U1940" s="57" t="str">
        <f t="shared" si="340"/>
        <v/>
      </c>
      <c r="V1940" s="55" t="str">
        <f t="shared" si="341"/>
        <v/>
      </c>
      <c r="W1940" s="55" t="str">
        <f>IF($V1940="","",IF(COUNTIF($V$5:$V1940,$V1940)=1,1,""))</f>
        <v/>
      </c>
      <c r="X1940" s="58" t="str">
        <f>IF($W1940="","",MAX($X$4:X1939)+1)</f>
        <v/>
      </c>
      <c r="Y1940" s="62"/>
      <c r="Z1940" s="62"/>
      <c r="AA1940" s="64" t="str">
        <f>IF($C1940="","",IFERROR(INDEX('Staff Directory'!$E$5:$E$594,MATCH($C1940,'Staff Directory'!$B$5:$B$594,0)),""))</f>
        <v/>
      </c>
      <c r="AB1940" s="64" t="str">
        <f>IF($C1940="","",IF(ISNUMBER(SEARCH($D1940,Settings!$C$15)),"Pickup","Dispatch"))</f>
        <v/>
      </c>
      <c r="AC1940" s="64" t="str">
        <f t="shared" si="342"/>
        <v/>
      </c>
      <c r="AD1940" s="64" t="str">
        <f t="shared" si="333"/>
        <v/>
      </c>
      <c r="AE1940" s="64" t="str">
        <f t="shared" si="334"/>
        <v/>
      </c>
      <c r="AF1940" s="89" t="str">
        <f t="shared" si="343"/>
        <v/>
      </c>
      <c r="AG1940" s="64" t="str">
        <f>IF($C1940="","",IFERROR(INDEX('Staff Directory'!$K$595:$K$599,MATCH($C1940,'Staff Directory'!$B$5:$B$599,0)),$D1940))</f>
        <v/>
      </c>
      <c r="AH1940" t="str">
        <f>IF($C1940="","",IFERROR(INDEX('Staff Directory'!$I$595:$I$599,MATCH($C1940,'Staff Directory'!$B$5:$B$599,0))&amp;" "&amp;INDEX('Staff Directory'!$J$595:$J$599,MATCH($C1940,'Staff Directory'!$B$5:$B$599,0)),$AG1940))</f>
        <v/>
      </c>
      <c r="AI1940" s="102"/>
      <c r="AJ1940" s="101" t="str">
        <f>IF($F1940="","",SUMIFS($J$5:$J1940,$F$5:$F1940,$F1940))</f>
        <v/>
      </c>
      <c r="AK1940" s="101" t="str">
        <f t="shared" si="335"/>
        <v/>
      </c>
      <c r="AL1940" s="66" t="str" cm="1">
        <f t="array" ref="AL1940">IF($F1940="","",IFERROR(INDEX('Lot Balance'!$B$5:$B$500,MATCH(1,INDEX(('Lot Balance'!$A$5:$A$500=$F1940)*('Lot Balance'!$K$5:$K$500&lt;$AK1940)*('Lot Balance'!$K$5:$K$500+'Lot Balance'!$D$5:$D$500&gt;=$AK1940),0),0)),""))</f>
        <v/>
      </c>
      <c r="AM1940" s="66" t="str" cm="1">
        <f t="array" ref="AM1940">IF($F1940="","",IFERROR(INDEX('Lot Balance'!$B$5:$B$500,MATCH(1,INDEX(('Lot Balance'!$A$5:$A$500=$F1940)*('Lot Balance'!$K$5:$K$500&lt;$AJ1940)*('Lot Balance'!$K$5:$K$500+'Lot Balance'!$D$5:$D$500&gt;=$AJ1940),0),0)),""))</f>
        <v/>
      </c>
      <c r="AN1940" s="66" t="str">
        <f>IF($F1940="","",IF($AI1940&lt;&gt;"",IF(COUNTIFS('Lot Balance'!$A$5:$A$500,$F1940,'Lot Balance'!$B$5:$B$500,$AI1940)=0,"⚠ override is not a lot of this item",IF($AI1940=$AL1940,"Override = FEFO","Override - FEFO says "&amp;$AL1940)),IF($AL1940="","⚠ no receipt on file for this item",IF($AM1940&lt;&gt;$AL1940,"FEFO auto - split, also "&amp;$AM1940,"FEFO auto"))))</f>
        <v/>
      </c>
      <c r="AO1940" s="114"/>
    </row>
    <row r="1941" spans="1:41" x14ac:dyDescent="0.35">
      <c r="A1941" s="75"/>
      <c r="B1941" s="80" t="str">
        <f>IF($C1941="","",IFERROR(INDEX('Staff Directory'!$A$5:$A$594,MATCH($C1941,'Staff Directory'!$B$5:$B$594,0)),"⚠ unknown staff"))</f>
        <v/>
      </c>
      <c r="C1941" s="49"/>
      <c r="D1941" s="19" t="str">
        <f>IF($B1941="","",IFERROR(INDEX('Staff Directory'!$C$5:$C$594,MATCH($B1941,'Staff Directory'!$A$5:$A$594,0)),""))</f>
        <v/>
      </c>
      <c r="E1941" s="19" t="str">
        <f>IF($B1941="","",IFERROR(INDEX('Staff Directory'!$D$5:$D$594,MATCH($B1941,'Staff Directory'!$A$5:$A$594,0)),""))</f>
        <v/>
      </c>
      <c r="F1941" s="9"/>
      <c r="G1941" s="18" t="str">
        <f>IF($F1941="","",IFERROR(INDEX(Items!$B$5:$B$597,MATCH($F1941,Items!$A$5:$A$597,0)),"⚠ not in Items"))</f>
        <v/>
      </c>
      <c r="H1941" s="19" t="str">
        <f>IF($F1941="","",IFERROR(INDEX(Items!$C$5:$C$597,MATCH($F1941,Items!$A$5:$A$597,0)),""))</f>
        <v/>
      </c>
      <c r="I1941" s="23" t="str">
        <f>IF($F1941="","",IFERROR(INDEX(Items!$E$5:$E$597,MATCH($F1941,Items!$A$5:$A$597,0)),""))</f>
        <v/>
      </c>
      <c r="J1941" s="116" t="str">
        <f>IF(tblIssues[[#This Row],[Qty Override]]&lt;&gt;"",tblIssues[[#This Row],[Qty Override]],IF(tblIssues[[#This Row],[Standard Issue]]="","",tblIssues[[#This Row],[Standard Issue]]))</f>
        <v/>
      </c>
      <c r="K1941" s="20" t="str">
        <f>IF($F1941="","",IFERROR(INDEX(Items!$D$5:$D$597,MATCH($F1941,Items!$A$5:$A$597,0)),""))</f>
        <v/>
      </c>
      <c r="L1941" s="21" t="str">
        <f t="shared" si="338"/>
        <v/>
      </c>
      <c r="M1941" s="9" t="str">
        <f t="shared" si="336"/>
        <v/>
      </c>
      <c r="N1941" s="87" t="str">
        <f>IF($A1941="","",WORKDAY($A1941,Settings!$C$9,HolidayDates))</f>
        <v/>
      </c>
      <c r="O1941" s="24" t="str">
        <f>IF($N1941="","",WORKDAY($N1941,Settings!$C$10,HolidayDates))</f>
        <v/>
      </c>
      <c r="P1941" s="9"/>
      <c r="Q1941" s="88" t="str">
        <f t="shared" si="344"/>
        <v/>
      </c>
      <c r="R1941" s="55" t="str">
        <f t="shared" si="339"/>
        <v/>
      </c>
      <c r="S1941" s="59" t="str">
        <f>IF(OR($B1941="",$F1941="",$R1941=""),"",SUMIFS(tblIssues[Qty Issued],tblIssues[Staff ID],$B1941,tblIssues[Item Name],$F1941,tblIssues[Month],$R1941))</f>
        <v/>
      </c>
      <c r="T1941" s="56" t="str">
        <f>IF($I1941="","",$I1941*Settings!$C$11)</f>
        <v/>
      </c>
      <c r="U1941" s="57" t="str">
        <f t="shared" si="340"/>
        <v/>
      </c>
      <c r="V1941" s="55" t="str">
        <f t="shared" si="341"/>
        <v/>
      </c>
      <c r="W1941" s="55" t="str">
        <f>IF($V1941="","",IF(COUNTIF($V$5:$V1941,$V1941)=1,1,""))</f>
        <v/>
      </c>
      <c r="X1941" s="58" t="str">
        <f>IF($W1941="","",MAX($X$4:X1940)+1)</f>
        <v/>
      </c>
      <c r="Y1941" s="62"/>
      <c r="Z1941" s="62"/>
      <c r="AA1941" s="64" t="str">
        <f>IF($C1941="","",IFERROR(INDEX('Staff Directory'!$E$5:$E$594,MATCH($C1941,'Staff Directory'!$B$5:$B$594,0)),""))</f>
        <v/>
      </c>
      <c r="AB1941" s="64" t="str">
        <f>IF($C1941="","",IF(ISNUMBER(SEARCH($D1941,Settings!$C$15)),"Pickup","Dispatch"))</f>
        <v/>
      </c>
      <c r="AC1941" s="64" t="str">
        <f t="shared" si="342"/>
        <v/>
      </c>
      <c r="AD1941" s="64" t="str">
        <f t="shared" si="333"/>
        <v/>
      </c>
      <c r="AE1941" s="64" t="str">
        <f t="shared" si="334"/>
        <v/>
      </c>
      <c r="AF1941" s="89" t="str">
        <f t="shared" si="343"/>
        <v/>
      </c>
      <c r="AG1941" s="64" t="str">
        <f>IF($C1941="","",IFERROR(INDEX('Staff Directory'!$K$595:$K$599,MATCH($C1941,'Staff Directory'!$B$5:$B$599,0)),$D1941))</f>
        <v/>
      </c>
      <c r="AH1941" t="str">
        <f>IF($C1941="","",IFERROR(INDEX('Staff Directory'!$I$595:$I$599,MATCH($C1941,'Staff Directory'!$B$5:$B$599,0))&amp;" "&amp;INDEX('Staff Directory'!$J$595:$J$599,MATCH($C1941,'Staff Directory'!$B$5:$B$599,0)),$AG1941))</f>
        <v/>
      </c>
      <c r="AI1941" s="102"/>
      <c r="AJ1941" s="101" t="str">
        <f>IF($F1941="","",SUMIFS($J$5:$J1941,$F$5:$F1941,$F1941))</f>
        <v/>
      </c>
      <c r="AK1941" s="101" t="str">
        <f t="shared" si="335"/>
        <v/>
      </c>
      <c r="AL1941" s="66" t="str" cm="1">
        <f t="array" ref="AL1941">IF($F1941="","",IFERROR(INDEX('Lot Balance'!$B$5:$B$500,MATCH(1,INDEX(('Lot Balance'!$A$5:$A$500=$F1941)*('Lot Balance'!$K$5:$K$500&lt;$AK1941)*('Lot Balance'!$K$5:$K$500+'Lot Balance'!$D$5:$D$500&gt;=$AK1941),0),0)),""))</f>
        <v/>
      </c>
      <c r="AM1941" s="66" t="str" cm="1">
        <f t="array" ref="AM1941">IF($F1941="","",IFERROR(INDEX('Lot Balance'!$B$5:$B$500,MATCH(1,INDEX(('Lot Balance'!$A$5:$A$500=$F1941)*('Lot Balance'!$K$5:$K$500&lt;$AJ1941)*('Lot Balance'!$K$5:$K$500+'Lot Balance'!$D$5:$D$500&gt;=$AJ1941),0),0)),""))</f>
        <v/>
      </c>
      <c r="AN1941" s="66" t="str">
        <f>IF($F1941="","",IF($AI1941&lt;&gt;"",IF(COUNTIFS('Lot Balance'!$A$5:$A$500,$F1941,'Lot Balance'!$B$5:$B$500,$AI1941)=0,"⚠ override is not a lot of this item",IF($AI1941=$AL1941,"Override = FEFO","Override - FEFO says "&amp;$AL1941)),IF($AL1941="","⚠ no receipt on file for this item",IF($AM1941&lt;&gt;$AL1941,"FEFO auto - split, also "&amp;$AM1941,"FEFO auto"))))</f>
        <v/>
      </c>
      <c r="AO1941" s="114"/>
    </row>
    <row r="1942" spans="1:41" x14ac:dyDescent="0.35">
      <c r="A1942" s="75"/>
      <c r="B1942" s="80" t="str">
        <f>IF($C1942="","",IFERROR(INDEX('Staff Directory'!$A$5:$A$594,MATCH($C1942,'Staff Directory'!$B$5:$B$594,0)),"⚠ unknown staff"))</f>
        <v/>
      </c>
      <c r="C1942" s="49"/>
      <c r="D1942" s="19" t="str">
        <f>IF($B1942="","",IFERROR(INDEX('Staff Directory'!$C$5:$C$594,MATCH($B1942,'Staff Directory'!$A$5:$A$594,0)),""))</f>
        <v/>
      </c>
      <c r="E1942" s="19" t="str">
        <f>IF($B1942="","",IFERROR(INDEX('Staff Directory'!$D$5:$D$594,MATCH($B1942,'Staff Directory'!$A$5:$A$594,0)),""))</f>
        <v/>
      </c>
      <c r="F1942" s="9"/>
      <c r="G1942" s="18" t="str">
        <f>IF($F1942="","",IFERROR(INDEX(Items!$B$5:$B$597,MATCH($F1942,Items!$A$5:$A$597,0)),"⚠ not in Items"))</f>
        <v/>
      </c>
      <c r="H1942" s="19" t="str">
        <f>IF($F1942="","",IFERROR(INDEX(Items!$C$5:$C$597,MATCH($F1942,Items!$A$5:$A$597,0)),""))</f>
        <v/>
      </c>
      <c r="I1942" s="23" t="str">
        <f>IF($F1942="","",IFERROR(INDEX(Items!$E$5:$E$597,MATCH($F1942,Items!$A$5:$A$597,0)),""))</f>
        <v/>
      </c>
      <c r="J1942" s="116" t="str">
        <f>IF(tblIssues[[#This Row],[Qty Override]]&lt;&gt;"",tblIssues[[#This Row],[Qty Override]],IF(tblIssues[[#This Row],[Standard Issue]]="","",tblIssues[[#This Row],[Standard Issue]]))</f>
        <v/>
      </c>
      <c r="K1942" s="20" t="str">
        <f>IF($F1942="","",IFERROR(INDEX(Items!$D$5:$D$597,MATCH($F1942,Items!$A$5:$A$597,0)),""))</f>
        <v/>
      </c>
      <c r="L1942" s="21" t="str">
        <f t="shared" si="338"/>
        <v/>
      </c>
      <c r="M1942" s="9" t="str">
        <f t="shared" si="336"/>
        <v/>
      </c>
      <c r="N1942" s="87" t="str">
        <f>IF($A1942="","",WORKDAY($A1942,Settings!$C$9,HolidayDates))</f>
        <v/>
      </c>
      <c r="O1942" s="24" t="str">
        <f>IF($N1942="","",WORKDAY($N1942,Settings!$C$10,HolidayDates))</f>
        <v/>
      </c>
      <c r="P1942" s="9"/>
      <c r="Q1942" s="88" t="str">
        <f t="shared" si="344"/>
        <v/>
      </c>
      <c r="R1942" s="55" t="str">
        <f t="shared" si="339"/>
        <v/>
      </c>
      <c r="S1942" s="59" t="str">
        <f>IF(OR($B1942="",$F1942="",$R1942=""),"",SUMIFS(tblIssues[Qty Issued],tblIssues[Staff ID],$B1942,tblIssues[Item Name],$F1942,tblIssues[Month],$R1942))</f>
        <v/>
      </c>
      <c r="T1942" s="56" t="str">
        <f>IF($I1942="","",$I1942*Settings!$C$11)</f>
        <v/>
      </c>
      <c r="U1942" s="57" t="str">
        <f t="shared" si="340"/>
        <v/>
      </c>
      <c r="V1942" s="55" t="str">
        <f t="shared" si="341"/>
        <v/>
      </c>
      <c r="W1942" s="55" t="str">
        <f>IF($V1942="","",IF(COUNTIF($V$5:$V1942,$V1942)=1,1,""))</f>
        <v/>
      </c>
      <c r="X1942" s="58" t="str">
        <f>IF($W1942="","",MAX($X$4:X1941)+1)</f>
        <v/>
      </c>
      <c r="Y1942" s="62"/>
      <c r="Z1942" s="62"/>
      <c r="AA1942" s="64" t="str">
        <f>IF($C1942="","",IFERROR(INDEX('Staff Directory'!$E$5:$E$594,MATCH($C1942,'Staff Directory'!$B$5:$B$594,0)),""))</f>
        <v/>
      </c>
      <c r="AB1942" s="64" t="str">
        <f>IF($C1942="","",IF(ISNUMBER(SEARCH($D1942,Settings!$C$15)),"Pickup","Dispatch"))</f>
        <v/>
      </c>
      <c r="AC1942" s="64" t="str">
        <f t="shared" si="342"/>
        <v/>
      </c>
      <c r="AD1942" s="64" t="str">
        <f t="shared" si="333"/>
        <v/>
      </c>
      <c r="AE1942" s="64" t="str">
        <f t="shared" si="334"/>
        <v/>
      </c>
      <c r="AF1942" s="89" t="str">
        <f t="shared" si="343"/>
        <v/>
      </c>
      <c r="AG1942" s="64" t="str">
        <f>IF($C1942="","",IFERROR(INDEX('Staff Directory'!$K$595:$K$599,MATCH($C1942,'Staff Directory'!$B$5:$B$599,0)),$D1942))</f>
        <v/>
      </c>
      <c r="AH1942" t="str">
        <f>IF($C1942="","",IFERROR(INDEX('Staff Directory'!$I$595:$I$599,MATCH($C1942,'Staff Directory'!$B$5:$B$599,0))&amp;" "&amp;INDEX('Staff Directory'!$J$595:$J$599,MATCH($C1942,'Staff Directory'!$B$5:$B$599,0)),$AG1942))</f>
        <v/>
      </c>
      <c r="AI1942" s="102"/>
      <c r="AJ1942" s="101" t="str">
        <f>IF($F1942="","",SUMIFS($J$5:$J1942,$F$5:$F1942,$F1942))</f>
        <v/>
      </c>
      <c r="AK1942" s="101" t="str">
        <f t="shared" si="335"/>
        <v/>
      </c>
      <c r="AL1942" s="66" t="str" cm="1">
        <f t="array" ref="AL1942">IF($F1942="","",IFERROR(INDEX('Lot Balance'!$B$5:$B$500,MATCH(1,INDEX(('Lot Balance'!$A$5:$A$500=$F1942)*('Lot Balance'!$K$5:$K$500&lt;$AK1942)*('Lot Balance'!$K$5:$K$500+'Lot Balance'!$D$5:$D$500&gt;=$AK1942),0),0)),""))</f>
        <v/>
      </c>
      <c r="AM1942" s="66" t="str" cm="1">
        <f t="array" ref="AM1942">IF($F1942="","",IFERROR(INDEX('Lot Balance'!$B$5:$B$500,MATCH(1,INDEX(('Lot Balance'!$A$5:$A$500=$F1942)*('Lot Balance'!$K$5:$K$500&lt;$AJ1942)*('Lot Balance'!$K$5:$K$500+'Lot Balance'!$D$5:$D$500&gt;=$AJ1942),0),0)),""))</f>
        <v/>
      </c>
      <c r="AN1942" s="66" t="str">
        <f>IF($F1942="","",IF($AI1942&lt;&gt;"",IF(COUNTIFS('Lot Balance'!$A$5:$A$500,$F1942,'Lot Balance'!$B$5:$B$500,$AI1942)=0,"⚠ override is not a lot of this item",IF($AI1942=$AL1942,"Override = FEFO","Override - FEFO says "&amp;$AL1942)),IF($AL1942="","⚠ no receipt on file for this item",IF($AM1942&lt;&gt;$AL1942,"FEFO auto - split, also "&amp;$AM1942,"FEFO auto"))))</f>
        <v/>
      </c>
      <c r="AO1942" s="114"/>
    </row>
    <row r="1943" spans="1:41" x14ac:dyDescent="0.35">
      <c r="A1943" s="75"/>
      <c r="B1943" s="80" t="str">
        <f>IF($C1943="","",IFERROR(INDEX('Staff Directory'!$A$5:$A$594,MATCH($C1943,'Staff Directory'!$B$5:$B$594,0)),"⚠ unknown staff"))</f>
        <v/>
      </c>
      <c r="C1943" s="49"/>
      <c r="D1943" s="19" t="str">
        <f>IF($B1943="","",IFERROR(INDEX('Staff Directory'!$C$5:$C$594,MATCH($B1943,'Staff Directory'!$A$5:$A$594,0)),""))</f>
        <v/>
      </c>
      <c r="E1943" s="19" t="str">
        <f>IF($B1943="","",IFERROR(INDEX('Staff Directory'!$D$5:$D$594,MATCH($B1943,'Staff Directory'!$A$5:$A$594,0)),""))</f>
        <v/>
      </c>
      <c r="F1943" s="9"/>
      <c r="G1943" s="18" t="str">
        <f>IF($F1943="","",IFERROR(INDEX(Items!$B$5:$B$597,MATCH($F1943,Items!$A$5:$A$597,0)),"⚠ not in Items"))</f>
        <v/>
      </c>
      <c r="H1943" s="19" t="str">
        <f>IF($F1943="","",IFERROR(INDEX(Items!$C$5:$C$597,MATCH($F1943,Items!$A$5:$A$597,0)),""))</f>
        <v/>
      </c>
      <c r="I1943" s="23" t="str">
        <f>IF($F1943="","",IFERROR(INDEX(Items!$E$5:$E$597,MATCH($F1943,Items!$A$5:$A$597,0)),""))</f>
        <v/>
      </c>
      <c r="J1943" s="116" t="str">
        <f>IF(tblIssues[[#This Row],[Qty Override]]&lt;&gt;"",tblIssues[[#This Row],[Qty Override]],IF(tblIssues[[#This Row],[Standard Issue]]="","",tblIssues[[#This Row],[Standard Issue]]))</f>
        <v/>
      </c>
      <c r="K1943" s="20" t="str">
        <f>IF($F1943="","",IFERROR(INDEX(Items!$D$5:$D$597,MATCH($F1943,Items!$A$5:$A$597,0)),""))</f>
        <v/>
      </c>
      <c r="L1943" s="21" t="str">
        <f t="shared" si="338"/>
        <v/>
      </c>
      <c r="M1943" s="9" t="str">
        <f t="shared" si="336"/>
        <v/>
      </c>
      <c r="N1943" s="87" t="str">
        <f>IF($A1943="","",WORKDAY($A1943,Settings!$C$9,HolidayDates))</f>
        <v/>
      </c>
      <c r="O1943" s="24" t="str">
        <f>IF($N1943="","",WORKDAY($N1943,Settings!$C$10,HolidayDates))</f>
        <v/>
      </c>
      <c r="P1943" s="9"/>
      <c r="Q1943" s="88" t="str">
        <f t="shared" si="344"/>
        <v/>
      </c>
      <c r="R1943" s="55" t="str">
        <f t="shared" si="339"/>
        <v/>
      </c>
      <c r="S1943" s="59" t="str">
        <f>IF(OR($B1943="",$F1943="",$R1943=""),"",SUMIFS(tblIssues[Qty Issued],tblIssues[Staff ID],$B1943,tblIssues[Item Name],$F1943,tblIssues[Month],$R1943))</f>
        <v/>
      </c>
      <c r="T1943" s="56" t="str">
        <f>IF($I1943="","",$I1943*Settings!$C$11)</f>
        <v/>
      </c>
      <c r="U1943" s="57" t="str">
        <f t="shared" si="340"/>
        <v/>
      </c>
      <c r="V1943" s="55" t="str">
        <f t="shared" si="341"/>
        <v/>
      </c>
      <c r="W1943" s="55" t="str">
        <f>IF($V1943="","",IF(COUNTIF($V$5:$V1943,$V1943)=1,1,""))</f>
        <v/>
      </c>
      <c r="X1943" s="58" t="str">
        <f>IF($W1943="","",MAX($X$4:X1942)+1)</f>
        <v/>
      </c>
      <c r="Y1943" s="62"/>
      <c r="Z1943" s="62"/>
      <c r="AA1943" s="64" t="str">
        <f>IF($C1943="","",IFERROR(INDEX('Staff Directory'!$E$5:$E$594,MATCH($C1943,'Staff Directory'!$B$5:$B$594,0)),""))</f>
        <v/>
      </c>
      <c r="AB1943" s="64" t="str">
        <f>IF($C1943="","",IF(ISNUMBER(SEARCH($D1943,Settings!$C$15)),"Pickup","Dispatch"))</f>
        <v/>
      </c>
      <c r="AC1943" s="64" t="str">
        <f t="shared" si="342"/>
        <v/>
      </c>
      <c r="AD1943" s="64" t="str">
        <f t="shared" si="333"/>
        <v/>
      </c>
      <c r="AE1943" s="64" t="str">
        <f t="shared" si="334"/>
        <v/>
      </c>
      <c r="AF1943" s="89" t="str">
        <f t="shared" si="343"/>
        <v/>
      </c>
      <c r="AG1943" s="64" t="str">
        <f>IF($C1943="","",IFERROR(INDEX('Staff Directory'!$K$595:$K$599,MATCH($C1943,'Staff Directory'!$B$5:$B$599,0)),$D1943))</f>
        <v/>
      </c>
      <c r="AH1943" t="str">
        <f>IF($C1943="","",IFERROR(INDEX('Staff Directory'!$I$595:$I$599,MATCH($C1943,'Staff Directory'!$B$5:$B$599,0))&amp;" "&amp;INDEX('Staff Directory'!$J$595:$J$599,MATCH($C1943,'Staff Directory'!$B$5:$B$599,0)),$AG1943))</f>
        <v/>
      </c>
      <c r="AI1943" s="102"/>
      <c r="AJ1943" s="101" t="str">
        <f>IF($F1943="","",SUMIFS($J$5:$J1943,$F$5:$F1943,$F1943))</f>
        <v/>
      </c>
      <c r="AK1943" s="101" t="str">
        <f t="shared" si="335"/>
        <v/>
      </c>
      <c r="AL1943" s="66" t="str" cm="1">
        <f t="array" ref="AL1943">IF($F1943="","",IFERROR(INDEX('Lot Balance'!$B$5:$B$500,MATCH(1,INDEX(('Lot Balance'!$A$5:$A$500=$F1943)*('Lot Balance'!$K$5:$K$500&lt;$AK1943)*('Lot Balance'!$K$5:$K$500+'Lot Balance'!$D$5:$D$500&gt;=$AK1943),0),0)),""))</f>
        <v/>
      </c>
      <c r="AM1943" s="66" t="str" cm="1">
        <f t="array" ref="AM1943">IF($F1943="","",IFERROR(INDEX('Lot Balance'!$B$5:$B$500,MATCH(1,INDEX(('Lot Balance'!$A$5:$A$500=$F1943)*('Lot Balance'!$K$5:$K$500&lt;$AJ1943)*('Lot Balance'!$K$5:$K$500+'Lot Balance'!$D$5:$D$500&gt;=$AJ1943),0),0)),""))</f>
        <v/>
      </c>
      <c r="AN1943" s="66" t="str">
        <f>IF($F1943="","",IF($AI1943&lt;&gt;"",IF(COUNTIFS('Lot Balance'!$A$5:$A$500,$F1943,'Lot Balance'!$B$5:$B$500,$AI1943)=0,"⚠ override is not a lot of this item",IF($AI1943=$AL1943,"Override = FEFO","Override - FEFO says "&amp;$AL1943)),IF($AL1943="","⚠ no receipt on file for this item",IF($AM1943&lt;&gt;$AL1943,"FEFO auto - split, also "&amp;$AM1943,"FEFO auto"))))</f>
        <v/>
      </c>
      <c r="AO1943" s="114"/>
    </row>
    <row r="1944" spans="1:41" x14ac:dyDescent="0.35">
      <c r="A1944" s="75"/>
      <c r="B1944" s="80" t="str">
        <f>IF($C1944="","",IFERROR(INDEX('Staff Directory'!$A$5:$A$594,MATCH($C1944,'Staff Directory'!$B$5:$B$594,0)),"⚠ unknown staff"))</f>
        <v/>
      </c>
      <c r="C1944" s="49"/>
      <c r="D1944" s="19" t="str">
        <f>IF($B1944="","",IFERROR(INDEX('Staff Directory'!$C$5:$C$594,MATCH($B1944,'Staff Directory'!$A$5:$A$594,0)),""))</f>
        <v/>
      </c>
      <c r="E1944" s="19" t="str">
        <f>IF($B1944="","",IFERROR(INDEX('Staff Directory'!$D$5:$D$594,MATCH($B1944,'Staff Directory'!$A$5:$A$594,0)),""))</f>
        <v/>
      </c>
      <c r="F1944" s="9"/>
      <c r="G1944" s="18" t="str">
        <f>IF($F1944="","",IFERROR(INDEX(Items!$B$5:$B$597,MATCH($F1944,Items!$A$5:$A$597,0)),"⚠ not in Items"))</f>
        <v/>
      </c>
      <c r="H1944" s="19" t="str">
        <f>IF($F1944="","",IFERROR(INDEX(Items!$C$5:$C$597,MATCH($F1944,Items!$A$5:$A$597,0)),""))</f>
        <v/>
      </c>
      <c r="I1944" s="23" t="str">
        <f>IF($F1944="","",IFERROR(INDEX(Items!$E$5:$E$597,MATCH($F1944,Items!$A$5:$A$597,0)),""))</f>
        <v/>
      </c>
      <c r="J1944" s="116" t="str">
        <f>IF(tblIssues[[#This Row],[Qty Override]]&lt;&gt;"",tblIssues[[#This Row],[Qty Override]],IF(tblIssues[[#This Row],[Standard Issue]]="","",tblIssues[[#This Row],[Standard Issue]]))</f>
        <v/>
      </c>
      <c r="K1944" s="20" t="str">
        <f>IF($F1944="","",IFERROR(INDEX(Items!$D$5:$D$597,MATCH($F1944,Items!$A$5:$A$597,0)),""))</f>
        <v/>
      </c>
      <c r="L1944" s="21" t="str">
        <f t="shared" si="338"/>
        <v/>
      </c>
      <c r="M1944" s="9" t="str">
        <f t="shared" si="336"/>
        <v/>
      </c>
      <c r="N1944" s="87" t="str">
        <f>IF($A1944="","",WORKDAY($A1944,Settings!$C$9,HolidayDates))</f>
        <v/>
      </c>
      <c r="O1944" s="24" t="str">
        <f>IF($N1944="","",WORKDAY($N1944,Settings!$C$10,HolidayDates))</f>
        <v/>
      </c>
      <c r="P1944" s="9"/>
      <c r="Q1944" s="88" t="str">
        <f t="shared" si="344"/>
        <v/>
      </c>
      <c r="R1944" s="55" t="str">
        <f t="shared" si="339"/>
        <v/>
      </c>
      <c r="S1944" s="59" t="str">
        <f>IF(OR($B1944="",$F1944="",$R1944=""),"",SUMIFS(tblIssues[Qty Issued],tblIssues[Staff ID],$B1944,tblIssues[Item Name],$F1944,tblIssues[Month],$R1944))</f>
        <v/>
      </c>
      <c r="T1944" s="56" t="str">
        <f>IF($I1944="","",$I1944*Settings!$C$11)</f>
        <v/>
      </c>
      <c r="U1944" s="57" t="str">
        <f t="shared" si="340"/>
        <v/>
      </c>
      <c r="V1944" s="55" t="str">
        <f t="shared" si="341"/>
        <v/>
      </c>
      <c r="W1944" s="55" t="str">
        <f>IF($V1944="","",IF(COUNTIF($V$5:$V1944,$V1944)=1,1,""))</f>
        <v/>
      </c>
      <c r="X1944" s="58" t="str">
        <f>IF($W1944="","",MAX($X$4:X1943)+1)</f>
        <v/>
      </c>
      <c r="Y1944" s="62"/>
      <c r="Z1944" s="62"/>
      <c r="AA1944" s="64" t="str">
        <f>IF($C1944="","",IFERROR(INDEX('Staff Directory'!$E$5:$E$594,MATCH($C1944,'Staff Directory'!$B$5:$B$594,0)),""))</f>
        <v/>
      </c>
      <c r="AB1944" s="64" t="str">
        <f>IF($C1944="","",IF(ISNUMBER(SEARCH($D1944,Settings!$C$15)),"Pickup","Dispatch"))</f>
        <v/>
      </c>
      <c r="AC1944" s="64" t="str">
        <f t="shared" si="342"/>
        <v/>
      </c>
      <c r="AD1944" s="64" t="str">
        <f t="shared" si="333"/>
        <v/>
      </c>
      <c r="AE1944" s="64" t="str">
        <f t="shared" si="334"/>
        <v/>
      </c>
      <c r="AF1944" s="89" t="str">
        <f t="shared" si="343"/>
        <v/>
      </c>
      <c r="AG1944" s="64" t="str">
        <f>IF($C1944="","",IFERROR(INDEX('Staff Directory'!$K$595:$K$599,MATCH($C1944,'Staff Directory'!$B$5:$B$599,0)),$D1944))</f>
        <v/>
      </c>
      <c r="AH1944" t="str">
        <f>IF($C1944="","",IFERROR(INDEX('Staff Directory'!$I$595:$I$599,MATCH($C1944,'Staff Directory'!$B$5:$B$599,0))&amp;" "&amp;INDEX('Staff Directory'!$J$595:$J$599,MATCH($C1944,'Staff Directory'!$B$5:$B$599,0)),$AG1944))</f>
        <v/>
      </c>
      <c r="AI1944" s="102"/>
      <c r="AJ1944" s="101" t="str">
        <f>IF($F1944="","",SUMIFS($J$5:$J1944,$F$5:$F1944,$F1944))</f>
        <v/>
      </c>
      <c r="AK1944" s="101" t="str">
        <f t="shared" si="335"/>
        <v/>
      </c>
      <c r="AL1944" s="66" t="str" cm="1">
        <f t="array" ref="AL1944">IF($F1944="","",IFERROR(INDEX('Lot Balance'!$B$5:$B$500,MATCH(1,INDEX(('Lot Balance'!$A$5:$A$500=$F1944)*('Lot Balance'!$K$5:$K$500&lt;$AK1944)*('Lot Balance'!$K$5:$K$500+'Lot Balance'!$D$5:$D$500&gt;=$AK1944),0),0)),""))</f>
        <v/>
      </c>
      <c r="AM1944" s="66" t="str" cm="1">
        <f t="array" ref="AM1944">IF($F1944="","",IFERROR(INDEX('Lot Balance'!$B$5:$B$500,MATCH(1,INDEX(('Lot Balance'!$A$5:$A$500=$F1944)*('Lot Balance'!$K$5:$K$500&lt;$AJ1944)*('Lot Balance'!$K$5:$K$500+'Lot Balance'!$D$5:$D$500&gt;=$AJ1944),0),0)),""))</f>
        <v/>
      </c>
      <c r="AN1944" s="66" t="str">
        <f>IF($F1944="","",IF($AI1944&lt;&gt;"",IF(COUNTIFS('Lot Balance'!$A$5:$A$500,$F1944,'Lot Balance'!$B$5:$B$500,$AI1944)=0,"⚠ override is not a lot of this item",IF($AI1944=$AL1944,"Override = FEFO","Override - FEFO says "&amp;$AL1944)),IF($AL1944="","⚠ no receipt on file for this item",IF($AM1944&lt;&gt;$AL1944,"FEFO auto - split, also "&amp;$AM1944,"FEFO auto"))))</f>
        <v/>
      </c>
      <c r="AO1944" s="114"/>
    </row>
    <row r="1945" spans="1:41" x14ac:dyDescent="0.35">
      <c r="A1945" s="75"/>
      <c r="B1945" s="80" t="str">
        <f>IF($C1945="","",IFERROR(INDEX('Staff Directory'!$A$5:$A$594,MATCH($C1945,'Staff Directory'!$B$5:$B$594,0)),"⚠ unknown staff"))</f>
        <v/>
      </c>
      <c r="C1945" s="49"/>
      <c r="D1945" s="19" t="str">
        <f>IF($B1945="","",IFERROR(INDEX('Staff Directory'!$C$5:$C$594,MATCH($B1945,'Staff Directory'!$A$5:$A$594,0)),""))</f>
        <v/>
      </c>
      <c r="E1945" s="19" t="str">
        <f>IF($B1945="","",IFERROR(INDEX('Staff Directory'!$D$5:$D$594,MATCH($B1945,'Staff Directory'!$A$5:$A$594,0)),""))</f>
        <v/>
      </c>
      <c r="F1945" s="9"/>
      <c r="G1945" s="18" t="str">
        <f>IF($F1945="","",IFERROR(INDEX(Items!$B$5:$B$597,MATCH($F1945,Items!$A$5:$A$597,0)),"⚠ not in Items"))</f>
        <v/>
      </c>
      <c r="H1945" s="19" t="str">
        <f>IF($F1945="","",IFERROR(INDEX(Items!$C$5:$C$597,MATCH($F1945,Items!$A$5:$A$597,0)),""))</f>
        <v/>
      </c>
      <c r="I1945" s="23" t="str">
        <f>IF($F1945="","",IFERROR(INDEX(Items!$E$5:$E$597,MATCH($F1945,Items!$A$5:$A$597,0)),""))</f>
        <v/>
      </c>
      <c r="J1945" s="116" t="str">
        <f>IF(tblIssues[[#This Row],[Qty Override]]&lt;&gt;"",tblIssues[[#This Row],[Qty Override]],IF(tblIssues[[#This Row],[Standard Issue]]="","",tblIssues[[#This Row],[Standard Issue]]))</f>
        <v/>
      </c>
      <c r="K1945" s="20" t="str">
        <f>IF($F1945="","",IFERROR(INDEX(Items!$D$5:$D$597,MATCH($F1945,Items!$A$5:$A$597,0)),""))</f>
        <v/>
      </c>
      <c r="L1945" s="21" t="str">
        <f t="shared" si="338"/>
        <v/>
      </c>
      <c r="M1945" s="9" t="str">
        <f t="shared" si="336"/>
        <v/>
      </c>
      <c r="N1945" s="87" t="str">
        <f>IF($A1945="","",WORKDAY($A1945,Settings!$C$9,HolidayDates))</f>
        <v/>
      </c>
      <c r="O1945" s="24" t="str">
        <f>IF($N1945="","",WORKDAY($N1945,Settings!$C$10,HolidayDates))</f>
        <v/>
      </c>
      <c r="P1945" s="9"/>
      <c r="Q1945" s="88" t="str">
        <f t="shared" si="344"/>
        <v/>
      </c>
      <c r="R1945" s="55" t="str">
        <f t="shared" si="339"/>
        <v/>
      </c>
      <c r="S1945" s="59" t="str">
        <f>IF(OR($B1945="",$F1945="",$R1945=""),"",SUMIFS(tblIssues[Qty Issued],tblIssues[Staff ID],$B1945,tblIssues[Item Name],$F1945,tblIssues[Month],$R1945))</f>
        <v/>
      </c>
      <c r="T1945" s="56" t="str">
        <f>IF($I1945="","",$I1945*Settings!$C$11)</f>
        <v/>
      </c>
      <c r="U1945" s="57" t="str">
        <f t="shared" si="340"/>
        <v/>
      </c>
      <c r="V1945" s="55" t="str">
        <f t="shared" si="341"/>
        <v/>
      </c>
      <c r="W1945" s="55" t="str">
        <f>IF($V1945="","",IF(COUNTIF($V$5:$V1945,$V1945)=1,1,""))</f>
        <v/>
      </c>
      <c r="X1945" s="58" t="str">
        <f>IF($W1945="","",MAX($X$4:X1944)+1)</f>
        <v/>
      </c>
      <c r="Y1945" s="62"/>
      <c r="Z1945" s="62"/>
      <c r="AA1945" s="64" t="str">
        <f>IF($C1945="","",IFERROR(INDEX('Staff Directory'!$E$5:$E$594,MATCH($C1945,'Staff Directory'!$B$5:$B$594,0)),""))</f>
        <v/>
      </c>
      <c r="AB1945" s="64" t="str">
        <f>IF($C1945="","",IF(ISNUMBER(SEARCH($D1945,Settings!$C$15)),"Pickup","Dispatch"))</f>
        <v/>
      </c>
      <c r="AC1945" s="64" t="str">
        <f t="shared" si="342"/>
        <v/>
      </c>
      <c r="AD1945" s="64" t="str">
        <f t="shared" si="333"/>
        <v/>
      </c>
      <c r="AE1945" s="64" t="str">
        <f t="shared" si="334"/>
        <v/>
      </c>
      <c r="AF1945" s="89" t="str">
        <f t="shared" si="343"/>
        <v/>
      </c>
      <c r="AG1945" s="64" t="str">
        <f>IF($C1945="","",IFERROR(INDEX('Staff Directory'!$K$595:$K$599,MATCH($C1945,'Staff Directory'!$B$5:$B$599,0)),$D1945))</f>
        <v/>
      </c>
      <c r="AH1945" t="str">
        <f>IF($C1945="","",IFERROR(INDEX('Staff Directory'!$I$595:$I$599,MATCH($C1945,'Staff Directory'!$B$5:$B$599,0))&amp;" "&amp;INDEX('Staff Directory'!$J$595:$J$599,MATCH($C1945,'Staff Directory'!$B$5:$B$599,0)),$AG1945))</f>
        <v/>
      </c>
      <c r="AI1945" s="102"/>
      <c r="AJ1945" s="101" t="str">
        <f>IF($F1945="","",SUMIFS($J$5:$J1945,$F$5:$F1945,$F1945))</f>
        <v/>
      </c>
      <c r="AK1945" s="101" t="str">
        <f t="shared" si="335"/>
        <v/>
      </c>
      <c r="AL1945" s="66" t="str" cm="1">
        <f t="array" ref="AL1945">IF($F1945="","",IFERROR(INDEX('Lot Balance'!$B$5:$B$500,MATCH(1,INDEX(('Lot Balance'!$A$5:$A$500=$F1945)*('Lot Balance'!$K$5:$K$500&lt;$AK1945)*('Lot Balance'!$K$5:$K$500+'Lot Balance'!$D$5:$D$500&gt;=$AK1945),0),0)),""))</f>
        <v/>
      </c>
      <c r="AM1945" s="66" t="str" cm="1">
        <f t="array" ref="AM1945">IF($F1945="","",IFERROR(INDEX('Lot Balance'!$B$5:$B$500,MATCH(1,INDEX(('Lot Balance'!$A$5:$A$500=$F1945)*('Lot Balance'!$K$5:$K$500&lt;$AJ1945)*('Lot Balance'!$K$5:$K$500+'Lot Balance'!$D$5:$D$500&gt;=$AJ1945),0),0)),""))</f>
        <v/>
      </c>
      <c r="AN1945" s="66" t="str">
        <f>IF($F1945="","",IF($AI1945&lt;&gt;"",IF(COUNTIFS('Lot Balance'!$A$5:$A$500,$F1945,'Lot Balance'!$B$5:$B$500,$AI1945)=0,"⚠ override is not a lot of this item",IF($AI1945=$AL1945,"Override = FEFO","Override - FEFO says "&amp;$AL1945)),IF($AL1945="","⚠ no receipt on file for this item",IF($AM1945&lt;&gt;$AL1945,"FEFO auto - split, also "&amp;$AM1945,"FEFO auto"))))</f>
        <v/>
      </c>
      <c r="AO1945" s="114"/>
    </row>
    <row r="1946" spans="1:41" x14ac:dyDescent="0.35">
      <c r="A1946" s="75"/>
      <c r="B1946" s="80" t="str">
        <f>IF($C1946="","",IFERROR(INDEX('Staff Directory'!$A$5:$A$594,MATCH($C1946,'Staff Directory'!$B$5:$B$594,0)),"⚠ unknown staff"))</f>
        <v/>
      </c>
      <c r="C1946" s="49"/>
      <c r="D1946" s="19" t="str">
        <f>IF($B1946="","",IFERROR(INDEX('Staff Directory'!$C$5:$C$594,MATCH($B1946,'Staff Directory'!$A$5:$A$594,0)),""))</f>
        <v/>
      </c>
      <c r="E1946" s="19" t="str">
        <f>IF($B1946="","",IFERROR(INDEX('Staff Directory'!$D$5:$D$594,MATCH($B1946,'Staff Directory'!$A$5:$A$594,0)),""))</f>
        <v/>
      </c>
      <c r="F1946" s="9"/>
      <c r="G1946" s="18" t="str">
        <f>IF($F1946="","",IFERROR(INDEX(Items!$B$5:$B$597,MATCH($F1946,Items!$A$5:$A$597,0)),"⚠ not in Items"))</f>
        <v/>
      </c>
      <c r="H1946" s="19" t="str">
        <f>IF($F1946="","",IFERROR(INDEX(Items!$C$5:$C$597,MATCH($F1946,Items!$A$5:$A$597,0)),""))</f>
        <v/>
      </c>
      <c r="I1946" s="23" t="str">
        <f>IF($F1946="","",IFERROR(INDEX(Items!$E$5:$E$597,MATCH($F1946,Items!$A$5:$A$597,0)),""))</f>
        <v/>
      </c>
      <c r="J1946" s="116" t="str">
        <f>IF(tblIssues[[#This Row],[Qty Override]]&lt;&gt;"",tblIssues[[#This Row],[Qty Override]],IF(tblIssues[[#This Row],[Standard Issue]]="","",tblIssues[[#This Row],[Standard Issue]]))</f>
        <v/>
      </c>
      <c r="K1946" s="20" t="str">
        <f>IF($F1946="","",IFERROR(INDEX(Items!$D$5:$D$597,MATCH($F1946,Items!$A$5:$A$597,0)),""))</f>
        <v/>
      </c>
      <c r="L1946" s="21" t="str">
        <f t="shared" si="338"/>
        <v/>
      </c>
      <c r="M1946" s="9" t="str">
        <f t="shared" si="336"/>
        <v/>
      </c>
      <c r="N1946" s="87" t="str">
        <f>IF($A1946="","",WORKDAY($A1946,Settings!$C$9,HolidayDates))</f>
        <v/>
      </c>
      <c r="O1946" s="24" t="str">
        <f>IF($N1946="","",WORKDAY($N1946,Settings!$C$10,HolidayDates))</f>
        <v/>
      </c>
      <c r="P1946" s="9"/>
      <c r="Q1946" s="88" t="str">
        <f t="shared" si="344"/>
        <v/>
      </c>
      <c r="R1946" s="55" t="str">
        <f t="shared" si="339"/>
        <v/>
      </c>
      <c r="S1946" s="59" t="str">
        <f>IF(OR($B1946="",$F1946="",$R1946=""),"",SUMIFS(tblIssues[Qty Issued],tblIssues[Staff ID],$B1946,tblIssues[Item Name],$F1946,tblIssues[Month],$R1946))</f>
        <v/>
      </c>
      <c r="T1946" s="56" t="str">
        <f>IF($I1946="","",$I1946*Settings!$C$11)</f>
        <v/>
      </c>
      <c r="U1946" s="57" t="str">
        <f t="shared" si="340"/>
        <v/>
      </c>
      <c r="V1946" s="55" t="str">
        <f t="shared" si="341"/>
        <v/>
      </c>
      <c r="W1946" s="55" t="str">
        <f>IF($V1946="","",IF(COUNTIF($V$5:$V1946,$V1946)=1,1,""))</f>
        <v/>
      </c>
      <c r="X1946" s="58" t="str">
        <f>IF($W1946="","",MAX($X$4:X1945)+1)</f>
        <v/>
      </c>
      <c r="Y1946" s="62"/>
      <c r="Z1946" s="62"/>
      <c r="AA1946" s="64" t="str">
        <f>IF($C1946="","",IFERROR(INDEX('Staff Directory'!$E$5:$E$594,MATCH($C1946,'Staff Directory'!$B$5:$B$594,0)),""))</f>
        <v/>
      </c>
      <c r="AB1946" s="64" t="str">
        <f>IF($C1946="","",IF(ISNUMBER(SEARCH($D1946,Settings!$C$15)),"Pickup","Dispatch"))</f>
        <v/>
      </c>
      <c r="AC1946" s="64" t="str">
        <f t="shared" si="342"/>
        <v/>
      </c>
      <c r="AD1946" s="64" t="str">
        <f t="shared" si="333"/>
        <v/>
      </c>
      <c r="AE1946" s="64" t="str">
        <f t="shared" si="334"/>
        <v/>
      </c>
      <c r="AF1946" s="89" t="str">
        <f t="shared" si="343"/>
        <v/>
      </c>
      <c r="AG1946" s="64" t="str">
        <f>IF($C1946="","",IFERROR(INDEX('Staff Directory'!$K$595:$K$599,MATCH($C1946,'Staff Directory'!$B$5:$B$599,0)),$D1946))</f>
        <v/>
      </c>
      <c r="AH1946" t="str">
        <f>IF($C1946="","",IFERROR(INDEX('Staff Directory'!$I$595:$I$599,MATCH($C1946,'Staff Directory'!$B$5:$B$599,0))&amp;" "&amp;INDEX('Staff Directory'!$J$595:$J$599,MATCH($C1946,'Staff Directory'!$B$5:$B$599,0)),$AG1946))</f>
        <v/>
      </c>
      <c r="AI1946" s="102"/>
      <c r="AJ1946" s="101" t="str">
        <f>IF($F1946="","",SUMIFS($J$5:$J1946,$F$5:$F1946,$F1946))</f>
        <v/>
      </c>
      <c r="AK1946" s="101" t="str">
        <f t="shared" si="335"/>
        <v/>
      </c>
      <c r="AL1946" s="66" t="str" cm="1">
        <f t="array" ref="AL1946">IF($F1946="","",IFERROR(INDEX('Lot Balance'!$B$5:$B$500,MATCH(1,INDEX(('Lot Balance'!$A$5:$A$500=$F1946)*('Lot Balance'!$K$5:$K$500&lt;$AK1946)*('Lot Balance'!$K$5:$K$500+'Lot Balance'!$D$5:$D$500&gt;=$AK1946),0),0)),""))</f>
        <v/>
      </c>
      <c r="AM1946" s="66" t="str" cm="1">
        <f t="array" ref="AM1946">IF($F1946="","",IFERROR(INDEX('Lot Balance'!$B$5:$B$500,MATCH(1,INDEX(('Lot Balance'!$A$5:$A$500=$F1946)*('Lot Balance'!$K$5:$K$500&lt;$AJ1946)*('Lot Balance'!$K$5:$K$500+'Lot Balance'!$D$5:$D$500&gt;=$AJ1946),0),0)),""))</f>
        <v/>
      </c>
      <c r="AN1946" s="66" t="str">
        <f>IF($F1946="","",IF($AI1946&lt;&gt;"",IF(COUNTIFS('Lot Balance'!$A$5:$A$500,$F1946,'Lot Balance'!$B$5:$B$500,$AI1946)=0,"⚠ override is not a lot of this item",IF($AI1946=$AL1946,"Override = FEFO","Override - FEFO says "&amp;$AL1946)),IF($AL1946="","⚠ no receipt on file for this item",IF($AM1946&lt;&gt;$AL1946,"FEFO auto - split, also "&amp;$AM1946,"FEFO auto"))))</f>
        <v/>
      </c>
      <c r="AO1946" s="114"/>
    </row>
    <row r="1947" spans="1:41" x14ac:dyDescent="0.35">
      <c r="A1947" s="75"/>
      <c r="B1947" s="80" t="str">
        <f>IF($C1947="","",IFERROR(INDEX('Staff Directory'!$A$5:$A$594,MATCH($C1947,'Staff Directory'!$B$5:$B$594,0)),"⚠ unknown staff"))</f>
        <v/>
      </c>
      <c r="C1947" s="49"/>
      <c r="D1947" s="19" t="str">
        <f>IF($B1947="","",IFERROR(INDEX('Staff Directory'!$C$5:$C$594,MATCH($B1947,'Staff Directory'!$A$5:$A$594,0)),""))</f>
        <v/>
      </c>
      <c r="E1947" s="19" t="str">
        <f>IF($B1947="","",IFERROR(INDEX('Staff Directory'!$D$5:$D$594,MATCH($B1947,'Staff Directory'!$A$5:$A$594,0)),""))</f>
        <v/>
      </c>
      <c r="F1947" s="9"/>
      <c r="G1947" s="18" t="str">
        <f>IF($F1947="","",IFERROR(INDEX(Items!$B$5:$B$597,MATCH($F1947,Items!$A$5:$A$597,0)),"⚠ not in Items"))</f>
        <v/>
      </c>
      <c r="H1947" s="19" t="str">
        <f>IF($F1947="","",IFERROR(INDEX(Items!$C$5:$C$597,MATCH($F1947,Items!$A$5:$A$597,0)),""))</f>
        <v/>
      </c>
      <c r="I1947" s="23" t="str">
        <f>IF($F1947="","",IFERROR(INDEX(Items!$E$5:$E$597,MATCH($F1947,Items!$A$5:$A$597,0)),""))</f>
        <v/>
      </c>
      <c r="J1947" s="116" t="str">
        <f>IF(tblIssues[[#This Row],[Qty Override]]&lt;&gt;"",tblIssues[[#This Row],[Qty Override]],IF(tblIssues[[#This Row],[Standard Issue]]="","",tblIssues[[#This Row],[Standard Issue]]))</f>
        <v/>
      </c>
      <c r="K1947" s="20" t="str">
        <f>IF($F1947="","",IFERROR(INDEX(Items!$D$5:$D$597,MATCH($F1947,Items!$A$5:$A$597,0)),""))</f>
        <v/>
      </c>
      <c r="L1947" s="21" t="str">
        <f t="shared" si="338"/>
        <v/>
      </c>
      <c r="M1947" s="9" t="str">
        <f t="shared" si="336"/>
        <v/>
      </c>
      <c r="N1947" s="87" t="str">
        <f>IF($A1947="","",WORKDAY($A1947,Settings!$C$9,HolidayDates))</f>
        <v/>
      </c>
      <c r="O1947" s="24" t="str">
        <f>IF($N1947="","",WORKDAY($N1947,Settings!$C$10,HolidayDates))</f>
        <v/>
      </c>
      <c r="P1947" s="9"/>
      <c r="Q1947" s="88" t="str">
        <f t="shared" si="344"/>
        <v/>
      </c>
      <c r="R1947" s="55" t="str">
        <f t="shared" si="339"/>
        <v/>
      </c>
      <c r="S1947" s="59" t="str">
        <f>IF(OR($B1947="",$F1947="",$R1947=""),"",SUMIFS(tblIssues[Qty Issued],tblIssues[Staff ID],$B1947,tblIssues[Item Name],$F1947,tblIssues[Month],$R1947))</f>
        <v/>
      </c>
      <c r="T1947" s="56" t="str">
        <f>IF($I1947="","",$I1947*Settings!$C$11)</f>
        <v/>
      </c>
      <c r="U1947" s="57" t="str">
        <f t="shared" si="340"/>
        <v/>
      </c>
      <c r="V1947" s="55" t="str">
        <f t="shared" si="341"/>
        <v/>
      </c>
      <c r="W1947" s="55" t="str">
        <f>IF($V1947="","",IF(COUNTIF($V$5:$V1947,$V1947)=1,1,""))</f>
        <v/>
      </c>
      <c r="X1947" s="58" t="str">
        <f>IF($W1947="","",MAX($X$4:X1946)+1)</f>
        <v/>
      </c>
      <c r="Y1947" s="62"/>
      <c r="Z1947" s="62"/>
      <c r="AA1947" s="64" t="str">
        <f>IF($C1947="","",IFERROR(INDEX('Staff Directory'!$E$5:$E$594,MATCH($C1947,'Staff Directory'!$B$5:$B$594,0)),""))</f>
        <v/>
      </c>
      <c r="AB1947" s="64" t="str">
        <f>IF($C1947="","",IF(ISNUMBER(SEARCH($D1947,Settings!$C$15)),"Pickup","Dispatch"))</f>
        <v/>
      </c>
      <c r="AC1947" s="64" t="str">
        <f t="shared" si="342"/>
        <v/>
      </c>
      <c r="AD1947" s="64" t="str">
        <f t="shared" si="333"/>
        <v/>
      </c>
      <c r="AE1947" s="64" t="str">
        <f t="shared" si="334"/>
        <v/>
      </c>
      <c r="AF1947" s="89" t="str">
        <f t="shared" si="343"/>
        <v/>
      </c>
      <c r="AG1947" s="64" t="str">
        <f>IF($C1947="","",IFERROR(INDEX('Staff Directory'!$K$595:$K$599,MATCH($C1947,'Staff Directory'!$B$5:$B$599,0)),$D1947))</f>
        <v/>
      </c>
      <c r="AH1947" t="str">
        <f>IF($C1947="","",IFERROR(INDEX('Staff Directory'!$I$595:$I$599,MATCH($C1947,'Staff Directory'!$B$5:$B$599,0))&amp;" "&amp;INDEX('Staff Directory'!$J$595:$J$599,MATCH($C1947,'Staff Directory'!$B$5:$B$599,0)),$AG1947))</f>
        <v/>
      </c>
      <c r="AI1947" s="102"/>
      <c r="AJ1947" s="101" t="str">
        <f>IF($F1947="","",SUMIFS($J$5:$J1947,$F$5:$F1947,$F1947))</f>
        <v/>
      </c>
      <c r="AK1947" s="101" t="str">
        <f t="shared" si="335"/>
        <v/>
      </c>
      <c r="AL1947" s="66" t="str" cm="1">
        <f t="array" ref="AL1947">IF($F1947="","",IFERROR(INDEX('Lot Balance'!$B$5:$B$500,MATCH(1,INDEX(('Lot Balance'!$A$5:$A$500=$F1947)*('Lot Balance'!$K$5:$K$500&lt;$AK1947)*('Lot Balance'!$K$5:$K$500+'Lot Balance'!$D$5:$D$500&gt;=$AK1947),0),0)),""))</f>
        <v/>
      </c>
      <c r="AM1947" s="66" t="str" cm="1">
        <f t="array" ref="AM1947">IF($F1947="","",IFERROR(INDEX('Lot Balance'!$B$5:$B$500,MATCH(1,INDEX(('Lot Balance'!$A$5:$A$500=$F1947)*('Lot Balance'!$K$5:$K$500&lt;$AJ1947)*('Lot Balance'!$K$5:$K$500+'Lot Balance'!$D$5:$D$500&gt;=$AJ1947),0),0)),""))</f>
        <v/>
      </c>
      <c r="AN1947" s="66" t="str">
        <f>IF($F1947="","",IF($AI1947&lt;&gt;"",IF(COUNTIFS('Lot Balance'!$A$5:$A$500,$F1947,'Lot Balance'!$B$5:$B$500,$AI1947)=0,"⚠ override is not a lot of this item",IF($AI1947=$AL1947,"Override = FEFO","Override - FEFO says "&amp;$AL1947)),IF($AL1947="","⚠ no receipt on file for this item",IF($AM1947&lt;&gt;$AL1947,"FEFO auto - split, also "&amp;$AM1947,"FEFO auto"))))</f>
        <v/>
      </c>
      <c r="AO1947" s="114"/>
    </row>
    <row r="1948" spans="1:41" x14ac:dyDescent="0.35">
      <c r="A1948" s="75"/>
      <c r="B1948" s="80" t="str">
        <f>IF($C1948="","",IFERROR(INDEX('Staff Directory'!$A$5:$A$594,MATCH($C1948,'Staff Directory'!$B$5:$B$594,0)),"⚠ unknown staff"))</f>
        <v/>
      </c>
      <c r="C1948" s="49"/>
      <c r="D1948" s="19" t="str">
        <f>IF($B1948="","",IFERROR(INDEX('Staff Directory'!$C$5:$C$594,MATCH($B1948,'Staff Directory'!$A$5:$A$594,0)),""))</f>
        <v/>
      </c>
      <c r="E1948" s="19" t="str">
        <f>IF($B1948="","",IFERROR(INDEX('Staff Directory'!$D$5:$D$594,MATCH($B1948,'Staff Directory'!$A$5:$A$594,0)),""))</f>
        <v/>
      </c>
      <c r="F1948" s="9"/>
      <c r="G1948" s="18" t="str">
        <f>IF($F1948="","",IFERROR(INDEX(Items!$B$5:$B$597,MATCH($F1948,Items!$A$5:$A$597,0)),"⚠ not in Items"))</f>
        <v/>
      </c>
      <c r="H1948" s="19" t="str">
        <f>IF($F1948="","",IFERROR(INDEX(Items!$C$5:$C$597,MATCH($F1948,Items!$A$5:$A$597,0)),""))</f>
        <v/>
      </c>
      <c r="I1948" s="23" t="str">
        <f>IF($F1948="","",IFERROR(INDEX(Items!$E$5:$E$597,MATCH($F1948,Items!$A$5:$A$597,0)),""))</f>
        <v/>
      </c>
      <c r="J1948" s="116" t="str">
        <f>IF(tblIssues[[#This Row],[Qty Override]]&lt;&gt;"",tblIssues[[#This Row],[Qty Override]],IF(tblIssues[[#This Row],[Standard Issue]]="","",tblIssues[[#This Row],[Standard Issue]]))</f>
        <v/>
      </c>
      <c r="K1948" s="20" t="str">
        <f>IF($F1948="","",IFERROR(INDEX(Items!$D$5:$D$597,MATCH($F1948,Items!$A$5:$A$597,0)),""))</f>
        <v/>
      </c>
      <c r="L1948" s="21" t="str">
        <f t="shared" si="338"/>
        <v/>
      </c>
      <c r="M1948" s="9" t="str">
        <f t="shared" si="336"/>
        <v/>
      </c>
      <c r="N1948" s="87" t="str">
        <f>IF($A1948="","",WORKDAY($A1948,Settings!$C$9,HolidayDates))</f>
        <v/>
      </c>
      <c r="O1948" s="24" t="str">
        <f>IF($N1948="","",WORKDAY($N1948,Settings!$C$10,HolidayDates))</f>
        <v/>
      </c>
      <c r="P1948" s="9"/>
      <c r="Q1948" s="88" t="str">
        <f t="shared" si="344"/>
        <v/>
      </c>
      <c r="R1948" s="55" t="str">
        <f t="shared" si="339"/>
        <v/>
      </c>
      <c r="S1948" s="59" t="str">
        <f>IF(OR($B1948="",$F1948="",$R1948=""),"",SUMIFS(tblIssues[Qty Issued],tblIssues[Staff ID],$B1948,tblIssues[Item Name],$F1948,tblIssues[Month],$R1948))</f>
        <v/>
      </c>
      <c r="T1948" s="56" t="str">
        <f>IF($I1948="","",$I1948*Settings!$C$11)</f>
        <v/>
      </c>
      <c r="U1948" s="57" t="str">
        <f t="shared" si="340"/>
        <v/>
      </c>
      <c r="V1948" s="55" t="str">
        <f t="shared" si="341"/>
        <v/>
      </c>
      <c r="W1948" s="55" t="str">
        <f>IF($V1948="","",IF(COUNTIF($V$5:$V1948,$V1948)=1,1,""))</f>
        <v/>
      </c>
      <c r="X1948" s="58" t="str">
        <f>IF($W1948="","",MAX($X$4:X1947)+1)</f>
        <v/>
      </c>
      <c r="Y1948" s="62"/>
      <c r="Z1948" s="62"/>
      <c r="AA1948" s="64" t="str">
        <f>IF($C1948="","",IFERROR(INDEX('Staff Directory'!$E$5:$E$594,MATCH($C1948,'Staff Directory'!$B$5:$B$594,0)),""))</f>
        <v/>
      </c>
      <c r="AB1948" s="64" t="str">
        <f>IF($C1948="","",IF(ISNUMBER(SEARCH($D1948,Settings!$C$15)),"Pickup","Dispatch"))</f>
        <v/>
      </c>
      <c r="AC1948" s="64" t="str">
        <f t="shared" si="342"/>
        <v/>
      </c>
      <c r="AD1948" s="64" t="str">
        <f t="shared" si="333"/>
        <v/>
      </c>
      <c r="AE1948" s="64" t="str">
        <f t="shared" si="334"/>
        <v/>
      </c>
      <c r="AF1948" s="89" t="str">
        <f t="shared" si="343"/>
        <v/>
      </c>
      <c r="AG1948" s="64" t="str">
        <f>IF($C1948="","",IFERROR(INDEX('Staff Directory'!$K$595:$K$599,MATCH($C1948,'Staff Directory'!$B$5:$B$599,0)),$D1948))</f>
        <v/>
      </c>
      <c r="AH1948" t="str">
        <f>IF($C1948="","",IFERROR(INDEX('Staff Directory'!$I$595:$I$599,MATCH($C1948,'Staff Directory'!$B$5:$B$599,0))&amp;" "&amp;INDEX('Staff Directory'!$J$595:$J$599,MATCH($C1948,'Staff Directory'!$B$5:$B$599,0)),$AG1948))</f>
        <v/>
      </c>
      <c r="AI1948" s="102"/>
      <c r="AJ1948" s="101" t="str">
        <f>IF($F1948="","",SUMIFS($J$5:$J1948,$F$5:$F1948,$F1948))</f>
        <v/>
      </c>
      <c r="AK1948" s="101" t="str">
        <f t="shared" si="335"/>
        <v/>
      </c>
      <c r="AL1948" s="66" t="str" cm="1">
        <f t="array" ref="AL1948">IF($F1948="","",IFERROR(INDEX('Lot Balance'!$B$5:$B$500,MATCH(1,INDEX(('Lot Balance'!$A$5:$A$500=$F1948)*('Lot Balance'!$K$5:$K$500&lt;$AK1948)*('Lot Balance'!$K$5:$K$500+'Lot Balance'!$D$5:$D$500&gt;=$AK1948),0),0)),""))</f>
        <v/>
      </c>
      <c r="AM1948" s="66" t="str" cm="1">
        <f t="array" ref="AM1948">IF($F1948="","",IFERROR(INDEX('Lot Balance'!$B$5:$B$500,MATCH(1,INDEX(('Lot Balance'!$A$5:$A$500=$F1948)*('Lot Balance'!$K$5:$K$500&lt;$AJ1948)*('Lot Balance'!$K$5:$K$500+'Lot Balance'!$D$5:$D$500&gt;=$AJ1948),0),0)),""))</f>
        <v/>
      </c>
      <c r="AN1948" s="66" t="str">
        <f>IF($F1948="","",IF($AI1948&lt;&gt;"",IF(COUNTIFS('Lot Balance'!$A$5:$A$500,$F1948,'Lot Balance'!$B$5:$B$500,$AI1948)=0,"⚠ override is not a lot of this item",IF($AI1948=$AL1948,"Override = FEFO","Override - FEFO says "&amp;$AL1948)),IF($AL1948="","⚠ no receipt on file for this item",IF($AM1948&lt;&gt;$AL1948,"FEFO auto - split, also "&amp;$AM1948,"FEFO auto"))))</f>
        <v/>
      </c>
      <c r="AO1948" s="114"/>
    </row>
    <row r="1949" spans="1:41" x14ac:dyDescent="0.35">
      <c r="A1949" s="75"/>
      <c r="B1949" s="80" t="str">
        <f>IF($C1949="","",IFERROR(INDEX('Staff Directory'!$A$5:$A$594,MATCH($C1949,'Staff Directory'!$B$5:$B$594,0)),"⚠ unknown staff"))</f>
        <v/>
      </c>
      <c r="C1949" s="49"/>
      <c r="D1949" s="19" t="str">
        <f>IF($B1949="","",IFERROR(INDEX('Staff Directory'!$C$5:$C$594,MATCH($B1949,'Staff Directory'!$A$5:$A$594,0)),""))</f>
        <v/>
      </c>
      <c r="E1949" s="19" t="str">
        <f>IF($B1949="","",IFERROR(INDEX('Staff Directory'!$D$5:$D$594,MATCH($B1949,'Staff Directory'!$A$5:$A$594,0)),""))</f>
        <v/>
      </c>
      <c r="F1949" s="9"/>
      <c r="G1949" s="18" t="str">
        <f>IF($F1949="","",IFERROR(INDEX(Items!$B$5:$B$597,MATCH($F1949,Items!$A$5:$A$597,0)),"⚠ not in Items"))</f>
        <v/>
      </c>
      <c r="H1949" s="19" t="str">
        <f>IF($F1949="","",IFERROR(INDEX(Items!$C$5:$C$597,MATCH($F1949,Items!$A$5:$A$597,0)),""))</f>
        <v/>
      </c>
      <c r="I1949" s="23" t="str">
        <f>IF($F1949="","",IFERROR(INDEX(Items!$E$5:$E$597,MATCH($F1949,Items!$A$5:$A$597,0)),""))</f>
        <v/>
      </c>
      <c r="J1949" s="116" t="str">
        <f>IF(tblIssues[[#This Row],[Qty Override]]&lt;&gt;"",tblIssues[[#This Row],[Qty Override]],IF(tblIssues[[#This Row],[Standard Issue]]="","",tblIssues[[#This Row],[Standard Issue]]))</f>
        <v/>
      </c>
      <c r="K1949" s="20" t="str">
        <f>IF($F1949="","",IFERROR(INDEX(Items!$D$5:$D$597,MATCH($F1949,Items!$A$5:$A$597,0)),""))</f>
        <v/>
      </c>
      <c r="L1949" s="21" t="str">
        <f t="shared" si="338"/>
        <v/>
      </c>
      <c r="M1949" s="9" t="str">
        <f t="shared" si="336"/>
        <v/>
      </c>
      <c r="N1949" s="87" t="str">
        <f>IF($A1949="","",WORKDAY($A1949,Settings!$C$9,HolidayDates))</f>
        <v/>
      </c>
      <c r="O1949" s="24" t="str">
        <f>IF($N1949="","",WORKDAY($N1949,Settings!$C$10,HolidayDates))</f>
        <v/>
      </c>
      <c r="P1949" s="9"/>
      <c r="Q1949" s="88" t="str">
        <f t="shared" si="344"/>
        <v/>
      </c>
      <c r="R1949" s="55" t="str">
        <f t="shared" si="339"/>
        <v/>
      </c>
      <c r="S1949" s="59" t="str">
        <f>IF(OR($B1949="",$F1949="",$R1949=""),"",SUMIFS(tblIssues[Qty Issued],tblIssues[Staff ID],$B1949,tblIssues[Item Name],$F1949,tblIssues[Month],$R1949))</f>
        <v/>
      </c>
      <c r="T1949" s="56" t="str">
        <f>IF($I1949="","",$I1949*Settings!$C$11)</f>
        <v/>
      </c>
      <c r="U1949" s="57" t="str">
        <f t="shared" si="340"/>
        <v/>
      </c>
      <c r="V1949" s="55" t="str">
        <f t="shared" si="341"/>
        <v/>
      </c>
      <c r="W1949" s="55" t="str">
        <f>IF($V1949="","",IF(COUNTIF($V$5:$V1949,$V1949)=1,1,""))</f>
        <v/>
      </c>
      <c r="X1949" s="58" t="str">
        <f>IF($W1949="","",MAX($X$4:X1948)+1)</f>
        <v/>
      </c>
      <c r="Y1949" s="62"/>
      <c r="Z1949" s="62"/>
      <c r="AA1949" s="64" t="str">
        <f>IF($C1949="","",IFERROR(INDEX('Staff Directory'!$E$5:$E$594,MATCH($C1949,'Staff Directory'!$B$5:$B$594,0)),""))</f>
        <v/>
      </c>
      <c r="AB1949" s="64" t="str">
        <f>IF($C1949="","",IF(ISNUMBER(SEARCH($D1949,Settings!$C$15)),"Pickup","Dispatch"))</f>
        <v/>
      </c>
      <c r="AC1949" s="64" t="str">
        <f t="shared" si="342"/>
        <v/>
      </c>
      <c r="AD1949" s="64" t="str">
        <f t="shared" si="333"/>
        <v/>
      </c>
      <c r="AE1949" s="64" t="str">
        <f t="shared" si="334"/>
        <v/>
      </c>
      <c r="AF1949" s="89" t="str">
        <f t="shared" si="343"/>
        <v/>
      </c>
      <c r="AG1949" s="64" t="str">
        <f>IF($C1949="","",IFERROR(INDEX('Staff Directory'!$K$595:$K$599,MATCH($C1949,'Staff Directory'!$B$5:$B$599,0)),$D1949))</f>
        <v/>
      </c>
      <c r="AH1949" t="str">
        <f>IF($C1949="","",IFERROR(INDEX('Staff Directory'!$I$595:$I$599,MATCH($C1949,'Staff Directory'!$B$5:$B$599,0))&amp;" "&amp;INDEX('Staff Directory'!$J$595:$J$599,MATCH($C1949,'Staff Directory'!$B$5:$B$599,0)),$AG1949))</f>
        <v/>
      </c>
      <c r="AI1949" s="102"/>
      <c r="AJ1949" s="101" t="str">
        <f>IF($F1949="","",SUMIFS($J$5:$J1949,$F$5:$F1949,$F1949))</f>
        <v/>
      </c>
      <c r="AK1949" s="101" t="str">
        <f t="shared" si="335"/>
        <v/>
      </c>
      <c r="AL1949" s="66" t="str" cm="1">
        <f t="array" ref="AL1949">IF($F1949="","",IFERROR(INDEX('Lot Balance'!$B$5:$B$500,MATCH(1,INDEX(('Lot Balance'!$A$5:$A$500=$F1949)*('Lot Balance'!$K$5:$K$500&lt;$AK1949)*('Lot Balance'!$K$5:$K$500+'Lot Balance'!$D$5:$D$500&gt;=$AK1949),0),0)),""))</f>
        <v/>
      </c>
      <c r="AM1949" s="66" t="str" cm="1">
        <f t="array" ref="AM1949">IF($F1949="","",IFERROR(INDEX('Lot Balance'!$B$5:$B$500,MATCH(1,INDEX(('Lot Balance'!$A$5:$A$500=$F1949)*('Lot Balance'!$K$5:$K$500&lt;$AJ1949)*('Lot Balance'!$K$5:$K$500+'Lot Balance'!$D$5:$D$500&gt;=$AJ1949),0),0)),""))</f>
        <v/>
      </c>
      <c r="AN1949" s="66" t="str">
        <f>IF($F1949="","",IF($AI1949&lt;&gt;"",IF(COUNTIFS('Lot Balance'!$A$5:$A$500,$F1949,'Lot Balance'!$B$5:$B$500,$AI1949)=0,"⚠ override is not a lot of this item",IF($AI1949=$AL1949,"Override = FEFO","Override - FEFO says "&amp;$AL1949)),IF($AL1949="","⚠ no receipt on file for this item",IF($AM1949&lt;&gt;$AL1949,"FEFO auto - split, also "&amp;$AM1949,"FEFO auto"))))</f>
        <v/>
      </c>
      <c r="AO1949" s="114"/>
    </row>
    <row r="1950" spans="1:41" x14ac:dyDescent="0.35">
      <c r="A1950" s="75"/>
      <c r="B1950" s="80" t="str">
        <f>IF($C1950="","",IFERROR(INDEX('Staff Directory'!$A$5:$A$594,MATCH($C1950,'Staff Directory'!$B$5:$B$594,0)),"⚠ unknown staff"))</f>
        <v/>
      </c>
      <c r="C1950" s="49"/>
      <c r="D1950" s="19" t="str">
        <f>IF($B1950="","",IFERROR(INDEX('Staff Directory'!$C$5:$C$594,MATCH($B1950,'Staff Directory'!$A$5:$A$594,0)),""))</f>
        <v/>
      </c>
      <c r="E1950" s="19" t="str">
        <f>IF($B1950="","",IFERROR(INDEX('Staff Directory'!$D$5:$D$594,MATCH($B1950,'Staff Directory'!$A$5:$A$594,0)),""))</f>
        <v/>
      </c>
      <c r="F1950" s="9"/>
      <c r="G1950" s="18" t="str">
        <f>IF($F1950="","",IFERROR(INDEX(Items!$B$5:$B$597,MATCH($F1950,Items!$A$5:$A$597,0)),"⚠ not in Items"))</f>
        <v/>
      </c>
      <c r="H1950" s="19" t="str">
        <f>IF($F1950="","",IFERROR(INDEX(Items!$C$5:$C$597,MATCH($F1950,Items!$A$5:$A$597,0)),""))</f>
        <v/>
      </c>
      <c r="I1950" s="23" t="str">
        <f>IF($F1950="","",IFERROR(INDEX(Items!$E$5:$E$597,MATCH($F1950,Items!$A$5:$A$597,0)),""))</f>
        <v/>
      </c>
      <c r="J1950" s="116" t="str">
        <f>IF(tblIssues[[#This Row],[Qty Override]]&lt;&gt;"",tblIssues[[#This Row],[Qty Override]],IF(tblIssues[[#This Row],[Standard Issue]]="","",tblIssues[[#This Row],[Standard Issue]]))</f>
        <v/>
      </c>
      <c r="K1950" s="20" t="str">
        <f>IF($F1950="","",IFERROR(INDEX(Items!$D$5:$D$597,MATCH($F1950,Items!$A$5:$A$597,0)),""))</f>
        <v/>
      </c>
      <c r="L1950" s="21" t="str">
        <f t="shared" si="338"/>
        <v/>
      </c>
      <c r="M1950" s="9" t="str">
        <f t="shared" si="336"/>
        <v/>
      </c>
      <c r="N1950" s="87" t="str">
        <f>IF($A1950="","",WORKDAY($A1950,Settings!$C$9,HolidayDates))</f>
        <v/>
      </c>
      <c r="O1950" s="24" t="str">
        <f>IF($N1950="","",WORKDAY($N1950,Settings!$C$10,HolidayDates))</f>
        <v/>
      </c>
      <c r="P1950" s="9"/>
      <c r="Q1950" s="88" t="str">
        <f t="shared" si="344"/>
        <v/>
      </c>
      <c r="R1950" s="55" t="str">
        <f t="shared" si="339"/>
        <v/>
      </c>
      <c r="S1950" s="59" t="str">
        <f>IF(OR($B1950="",$F1950="",$R1950=""),"",SUMIFS(tblIssues[Qty Issued],tblIssues[Staff ID],$B1950,tblIssues[Item Name],$F1950,tblIssues[Month],$R1950))</f>
        <v/>
      </c>
      <c r="T1950" s="56" t="str">
        <f>IF($I1950="","",$I1950*Settings!$C$11)</f>
        <v/>
      </c>
      <c r="U1950" s="57" t="str">
        <f t="shared" si="340"/>
        <v/>
      </c>
      <c r="V1950" s="55" t="str">
        <f t="shared" si="341"/>
        <v/>
      </c>
      <c r="W1950" s="55" t="str">
        <f>IF($V1950="","",IF(COUNTIF($V$5:$V1950,$V1950)=1,1,""))</f>
        <v/>
      </c>
      <c r="X1950" s="58" t="str">
        <f>IF($W1950="","",MAX($X$4:X1949)+1)</f>
        <v/>
      </c>
      <c r="Y1950" s="62"/>
      <c r="Z1950" s="62"/>
      <c r="AA1950" s="64" t="str">
        <f>IF($C1950="","",IFERROR(INDEX('Staff Directory'!$E$5:$E$594,MATCH($C1950,'Staff Directory'!$B$5:$B$594,0)),""))</f>
        <v/>
      </c>
      <c r="AB1950" s="64" t="str">
        <f>IF($C1950="","",IF(ISNUMBER(SEARCH($D1950,Settings!$C$15)),"Pickup","Dispatch"))</f>
        <v/>
      </c>
      <c r="AC1950" s="64" t="str">
        <f t="shared" si="342"/>
        <v/>
      </c>
      <c r="AD1950" s="64" t="str">
        <f t="shared" si="333"/>
        <v/>
      </c>
      <c r="AE1950" s="64" t="str">
        <f t="shared" si="334"/>
        <v/>
      </c>
      <c r="AF1950" s="89" t="str">
        <f t="shared" si="343"/>
        <v/>
      </c>
      <c r="AG1950" s="64" t="str">
        <f>IF($C1950="","",IFERROR(INDEX('Staff Directory'!$K$595:$K$599,MATCH($C1950,'Staff Directory'!$B$5:$B$599,0)),$D1950))</f>
        <v/>
      </c>
      <c r="AH1950" t="str">
        <f>IF($C1950="","",IFERROR(INDEX('Staff Directory'!$I$595:$I$599,MATCH($C1950,'Staff Directory'!$B$5:$B$599,0))&amp;" "&amp;INDEX('Staff Directory'!$J$595:$J$599,MATCH($C1950,'Staff Directory'!$B$5:$B$599,0)),$AG1950))</f>
        <v/>
      </c>
      <c r="AI1950" s="102"/>
      <c r="AJ1950" s="101" t="str">
        <f>IF($F1950="","",SUMIFS($J$5:$J1950,$F$5:$F1950,$F1950))</f>
        <v/>
      </c>
      <c r="AK1950" s="101" t="str">
        <f t="shared" si="335"/>
        <v/>
      </c>
      <c r="AL1950" s="66" t="str" cm="1">
        <f t="array" ref="AL1950">IF($F1950="","",IFERROR(INDEX('Lot Balance'!$B$5:$B$500,MATCH(1,INDEX(('Lot Balance'!$A$5:$A$500=$F1950)*('Lot Balance'!$K$5:$K$500&lt;$AK1950)*('Lot Balance'!$K$5:$K$500+'Lot Balance'!$D$5:$D$500&gt;=$AK1950),0),0)),""))</f>
        <v/>
      </c>
      <c r="AM1950" s="66" t="str" cm="1">
        <f t="array" ref="AM1950">IF($F1950="","",IFERROR(INDEX('Lot Balance'!$B$5:$B$500,MATCH(1,INDEX(('Lot Balance'!$A$5:$A$500=$F1950)*('Lot Balance'!$K$5:$K$500&lt;$AJ1950)*('Lot Balance'!$K$5:$K$500+'Lot Balance'!$D$5:$D$500&gt;=$AJ1950),0),0)),""))</f>
        <v/>
      </c>
      <c r="AN1950" s="66" t="str">
        <f>IF($F1950="","",IF($AI1950&lt;&gt;"",IF(COUNTIFS('Lot Balance'!$A$5:$A$500,$F1950,'Lot Balance'!$B$5:$B$500,$AI1950)=0,"⚠ override is not a lot of this item",IF($AI1950=$AL1950,"Override = FEFO","Override - FEFO says "&amp;$AL1950)),IF($AL1950="","⚠ no receipt on file for this item",IF($AM1950&lt;&gt;$AL1950,"FEFO auto - split, also "&amp;$AM1950,"FEFO auto"))))</f>
        <v/>
      </c>
      <c r="AO1950" s="114"/>
    </row>
    <row r="1951" spans="1:41" x14ac:dyDescent="0.35">
      <c r="A1951" s="75"/>
      <c r="B1951" s="80" t="str">
        <f>IF($C1951="","",IFERROR(INDEX('Staff Directory'!$A$5:$A$594,MATCH($C1951,'Staff Directory'!$B$5:$B$594,0)),"⚠ unknown staff"))</f>
        <v/>
      </c>
      <c r="C1951" s="49"/>
      <c r="D1951" s="19" t="str">
        <f>IF($B1951="","",IFERROR(INDEX('Staff Directory'!$C$5:$C$594,MATCH($B1951,'Staff Directory'!$A$5:$A$594,0)),""))</f>
        <v/>
      </c>
      <c r="E1951" s="19" t="str">
        <f>IF($B1951="","",IFERROR(INDEX('Staff Directory'!$D$5:$D$594,MATCH($B1951,'Staff Directory'!$A$5:$A$594,0)),""))</f>
        <v/>
      </c>
      <c r="F1951" s="9"/>
      <c r="G1951" s="18" t="str">
        <f>IF($F1951="","",IFERROR(INDEX(Items!$B$5:$B$597,MATCH($F1951,Items!$A$5:$A$597,0)),"⚠ not in Items"))</f>
        <v/>
      </c>
      <c r="H1951" s="19" t="str">
        <f>IF($F1951="","",IFERROR(INDEX(Items!$C$5:$C$597,MATCH($F1951,Items!$A$5:$A$597,0)),""))</f>
        <v/>
      </c>
      <c r="I1951" s="23" t="str">
        <f>IF($F1951="","",IFERROR(INDEX(Items!$E$5:$E$597,MATCH($F1951,Items!$A$5:$A$597,0)),""))</f>
        <v/>
      </c>
      <c r="J1951" s="116" t="str">
        <f>IF(tblIssues[[#This Row],[Qty Override]]&lt;&gt;"",tblIssues[[#This Row],[Qty Override]],IF(tblIssues[[#This Row],[Standard Issue]]="","",tblIssues[[#This Row],[Standard Issue]]))</f>
        <v/>
      </c>
      <c r="K1951" s="20" t="str">
        <f>IF($F1951="","",IFERROR(INDEX(Items!$D$5:$D$597,MATCH($F1951,Items!$A$5:$A$597,0)),""))</f>
        <v/>
      </c>
      <c r="L1951" s="21" t="str">
        <f t="shared" si="338"/>
        <v/>
      </c>
      <c r="M1951" s="9" t="str">
        <f t="shared" si="336"/>
        <v/>
      </c>
      <c r="N1951" s="87" t="str">
        <f>IF($A1951="","",WORKDAY($A1951,Settings!$C$9,HolidayDates))</f>
        <v/>
      </c>
      <c r="O1951" s="24" t="str">
        <f>IF($N1951="","",WORKDAY($N1951,Settings!$C$10,HolidayDates))</f>
        <v/>
      </c>
      <c r="P1951" s="9"/>
      <c r="Q1951" s="88" t="str">
        <f t="shared" si="344"/>
        <v/>
      </c>
      <c r="R1951" s="55" t="str">
        <f t="shared" si="339"/>
        <v/>
      </c>
      <c r="S1951" s="59" t="str">
        <f>IF(OR($B1951="",$F1951="",$R1951=""),"",SUMIFS(tblIssues[Qty Issued],tblIssues[Staff ID],$B1951,tblIssues[Item Name],$F1951,tblIssues[Month],$R1951))</f>
        <v/>
      </c>
      <c r="T1951" s="56" t="str">
        <f>IF($I1951="","",$I1951*Settings!$C$11)</f>
        <v/>
      </c>
      <c r="U1951" s="57" t="str">
        <f t="shared" si="340"/>
        <v/>
      </c>
      <c r="V1951" s="55" t="str">
        <f t="shared" si="341"/>
        <v/>
      </c>
      <c r="W1951" s="55" t="str">
        <f>IF($V1951="","",IF(COUNTIF($V$5:$V1951,$V1951)=1,1,""))</f>
        <v/>
      </c>
      <c r="X1951" s="58" t="str">
        <f>IF($W1951="","",MAX($X$4:X1950)+1)</f>
        <v/>
      </c>
      <c r="Y1951" s="62"/>
      <c r="Z1951" s="62"/>
      <c r="AA1951" s="64" t="str">
        <f>IF($C1951="","",IFERROR(INDEX('Staff Directory'!$E$5:$E$594,MATCH($C1951,'Staff Directory'!$B$5:$B$594,0)),""))</f>
        <v/>
      </c>
      <c r="AB1951" s="64" t="str">
        <f>IF($C1951="","",IF(ISNUMBER(SEARCH($D1951,Settings!$C$15)),"Pickup","Dispatch"))</f>
        <v/>
      </c>
      <c r="AC1951" s="64" t="str">
        <f t="shared" si="342"/>
        <v/>
      </c>
      <c r="AD1951" s="64" t="str">
        <f t="shared" si="333"/>
        <v/>
      </c>
      <c r="AE1951" s="64" t="str">
        <f t="shared" si="334"/>
        <v/>
      </c>
      <c r="AF1951" s="89" t="str">
        <f t="shared" si="343"/>
        <v/>
      </c>
      <c r="AG1951" s="64" t="str">
        <f>IF($C1951="","",IFERROR(INDEX('Staff Directory'!$K$595:$K$599,MATCH($C1951,'Staff Directory'!$B$5:$B$599,0)),$D1951))</f>
        <v/>
      </c>
      <c r="AH1951" t="str">
        <f>IF($C1951="","",IFERROR(INDEX('Staff Directory'!$I$595:$I$599,MATCH($C1951,'Staff Directory'!$B$5:$B$599,0))&amp;" "&amp;INDEX('Staff Directory'!$J$595:$J$599,MATCH($C1951,'Staff Directory'!$B$5:$B$599,0)),$AG1951))</f>
        <v/>
      </c>
      <c r="AI1951" s="102"/>
      <c r="AJ1951" s="101" t="str">
        <f>IF($F1951="","",SUMIFS($J$5:$J1951,$F$5:$F1951,$F1951))</f>
        <v/>
      </c>
      <c r="AK1951" s="101" t="str">
        <f t="shared" si="335"/>
        <v/>
      </c>
      <c r="AL1951" s="66" t="str" cm="1">
        <f t="array" ref="AL1951">IF($F1951="","",IFERROR(INDEX('Lot Balance'!$B$5:$B$500,MATCH(1,INDEX(('Lot Balance'!$A$5:$A$500=$F1951)*('Lot Balance'!$K$5:$K$500&lt;$AK1951)*('Lot Balance'!$K$5:$K$500+'Lot Balance'!$D$5:$D$500&gt;=$AK1951),0),0)),""))</f>
        <v/>
      </c>
      <c r="AM1951" s="66" t="str" cm="1">
        <f t="array" ref="AM1951">IF($F1951="","",IFERROR(INDEX('Lot Balance'!$B$5:$B$500,MATCH(1,INDEX(('Lot Balance'!$A$5:$A$500=$F1951)*('Lot Balance'!$K$5:$K$500&lt;$AJ1951)*('Lot Balance'!$K$5:$K$500+'Lot Balance'!$D$5:$D$500&gt;=$AJ1951),0),0)),""))</f>
        <v/>
      </c>
      <c r="AN1951" s="66" t="str">
        <f>IF($F1951="","",IF($AI1951&lt;&gt;"",IF(COUNTIFS('Lot Balance'!$A$5:$A$500,$F1951,'Lot Balance'!$B$5:$B$500,$AI1951)=0,"⚠ override is not a lot of this item",IF($AI1951=$AL1951,"Override = FEFO","Override - FEFO says "&amp;$AL1951)),IF($AL1951="","⚠ no receipt on file for this item",IF($AM1951&lt;&gt;$AL1951,"FEFO auto - split, also "&amp;$AM1951,"FEFO auto"))))</f>
        <v/>
      </c>
      <c r="AO1951" s="114"/>
    </row>
    <row r="1952" spans="1:41" x14ac:dyDescent="0.35">
      <c r="A1952" s="75"/>
      <c r="B1952" s="80" t="str">
        <f>IF($C1952="","",IFERROR(INDEX('Staff Directory'!$A$5:$A$594,MATCH($C1952,'Staff Directory'!$B$5:$B$594,0)),"⚠ unknown staff"))</f>
        <v/>
      </c>
      <c r="C1952" s="49"/>
      <c r="D1952" s="19" t="str">
        <f>IF($B1952="","",IFERROR(INDEX('Staff Directory'!$C$5:$C$594,MATCH($B1952,'Staff Directory'!$A$5:$A$594,0)),""))</f>
        <v/>
      </c>
      <c r="E1952" s="19" t="str">
        <f>IF($B1952="","",IFERROR(INDEX('Staff Directory'!$D$5:$D$594,MATCH($B1952,'Staff Directory'!$A$5:$A$594,0)),""))</f>
        <v/>
      </c>
      <c r="F1952" s="9"/>
      <c r="G1952" s="18" t="str">
        <f>IF($F1952="","",IFERROR(INDEX(Items!$B$5:$B$597,MATCH($F1952,Items!$A$5:$A$597,0)),"⚠ not in Items"))</f>
        <v/>
      </c>
      <c r="H1952" s="19" t="str">
        <f>IF($F1952="","",IFERROR(INDEX(Items!$C$5:$C$597,MATCH($F1952,Items!$A$5:$A$597,0)),""))</f>
        <v/>
      </c>
      <c r="I1952" s="23" t="str">
        <f>IF($F1952="","",IFERROR(INDEX(Items!$E$5:$E$597,MATCH($F1952,Items!$A$5:$A$597,0)),""))</f>
        <v/>
      </c>
      <c r="J1952" s="116" t="str">
        <f>IF(tblIssues[[#This Row],[Qty Override]]&lt;&gt;"",tblIssues[[#This Row],[Qty Override]],IF(tblIssues[[#This Row],[Standard Issue]]="","",tblIssues[[#This Row],[Standard Issue]]))</f>
        <v/>
      </c>
      <c r="K1952" s="20" t="str">
        <f>IF($F1952="","",IFERROR(INDEX(Items!$D$5:$D$597,MATCH($F1952,Items!$A$5:$A$597,0)),""))</f>
        <v/>
      </c>
      <c r="L1952" s="21" t="str">
        <f t="shared" si="338"/>
        <v/>
      </c>
      <c r="M1952" s="9" t="str">
        <f t="shared" si="336"/>
        <v/>
      </c>
      <c r="N1952" s="87" t="str">
        <f>IF($A1952="","",WORKDAY($A1952,Settings!$C$9,HolidayDates))</f>
        <v/>
      </c>
      <c r="O1952" s="24" t="str">
        <f>IF($N1952="","",WORKDAY($N1952,Settings!$C$10,HolidayDates))</f>
        <v/>
      </c>
      <c r="P1952" s="9"/>
      <c r="Q1952" s="88" t="str">
        <f t="shared" si="344"/>
        <v/>
      </c>
      <c r="R1952" s="55" t="str">
        <f t="shared" si="339"/>
        <v/>
      </c>
      <c r="S1952" s="59" t="str">
        <f>IF(OR($B1952="",$F1952="",$R1952=""),"",SUMIFS(tblIssues[Qty Issued],tblIssues[Staff ID],$B1952,tblIssues[Item Name],$F1952,tblIssues[Month],$R1952))</f>
        <v/>
      </c>
      <c r="T1952" s="56" t="str">
        <f>IF($I1952="","",$I1952*Settings!$C$11)</f>
        <v/>
      </c>
      <c r="U1952" s="57" t="str">
        <f t="shared" si="340"/>
        <v/>
      </c>
      <c r="V1952" s="55" t="str">
        <f t="shared" si="341"/>
        <v/>
      </c>
      <c r="W1952" s="55" t="str">
        <f>IF($V1952="","",IF(COUNTIF($V$5:$V1952,$V1952)=1,1,""))</f>
        <v/>
      </c>
      <c r="X1952" s="58" t="str">
        <f>IF($W1952="","",MAX($X$4:X1951)+1)</f>
        <v/>
      </c>
      <c r="Y1952" s="62"/>
      <c r="Z1952" s="62"/>
      <c r="AA1952" s="64" t="str">
        <f>IF($C1952="","",IFERROR(INDEX('Staff Directory'!$E$5:$E$594,MATCH($C1952,'Staff Directory'!$B$5:$B$594,0)),""))</f>
        <v/>
      </c>
      <c r="AB1952" s="64" t="str">
        <f>IF($C1952="","",IF(ISNUMBER(SEARCH($D1952,Settings!$C$15)),"Pickup","Dispatch"))</f>
        <v/>
      </c>
      <c r="AC1952" s="64" t="str">
        <f t="shared" si="342"/>
        <v/>
      </c>
      <c r="AD1952" s="64" t="str">
        <f t="shared" si="333"/>
        <v/>
      </c>
      <c r="AE1952" s="64" t="str">
        <f t="shared" si="334"/>
        <v/>
      </c>
      <c r="AF1952" s="89" t="str">
        <f t="shared" si="343"/>
        <v/>
      </c>
      <c r="AG1952" s="64" t="str">
        <f>IF($C1952="","",IFERROR(INDEX('Staff Directory'!$K$595:$K$599,MATCH($C1952,'Staff Directory'!$B$5:$B$599,0)),$D1952))</f>
        <v/>
      </c>
      <c r="AH1952" t="str">
        <f>IF($C1952="","",IFERROR(INDEX('Staff Directory'!$I$595:$I$599,MATCH($C1952,'Staff Directory'!$B$5:$B$599,0))&amp;" "&amp;INDEX('Staff Directory'!$J$595:$J$599,MATCH($C1952,'Staff Directory'!$B$5:$B$599,0)),$AG1952))</f>
        <v/>
      </c>
      <c r="AI1952" s="102"/>
      <c r="AJ1952" s="101" t="str">
        <f>IF($F1952="","",SUMIFS($J$5:$J1952,$F$5:$F1952,$F1952))</f>
        <v/>
      </c>
      <c r="AK1952" s="101" t="str">
        <f t="shared" si="335"/>
        <v/>
      </c>
      <c r="AL1952" s="66" t="str" cm="1">
        <f t="array" ref="AL1952">IF($F1952="","",IFERROR(INDEX('Lot Balance'!$B$5:$B$500,MATCH(1,INDEX(('Lot Balance'!$A$5:$A$500=$F1952)*('Lot Balance'!$K$5:$K$500&lt;$AK1952)*('Lot Balance'!$K$5:$K$500+'Lot Balance'!$D$5:$D$500&gt;=$AK1952),0),0)),""))</f>
        <v/>
      </c>
      <c r="AM1952" s="66" t="str" cm="1">
        <f t="array" ref="AM1952">IF($F1952="","",IFERROR(INDEX('Lot Balance'!$B$5:$B$500,MATCH(1,INDEX(('Lot Balance'!$A$5:$A$500=$F1952)*('Lot Balance'!$K$5:$K$500&lt;$AJ1952)*('Lot Balance'!$K$5:$K$500+'Lot Balance'!$D$5:$D$500&gt;=$AJ1952),0),0)),""))</f>
        <v/>
      </c>
      <c r="AN1952" s="66" t="str">
        <f>IF($F1952="","",IF($AI1952&lt;&gt;"",IF(COUNTIFS('Lot Balance'!$A$5:$A$500,$F1952,'Lot Balance'!$B$5:$B$500,$AI1952)=0,"⚠ override is not a lot of this item",IF($AI1952=$AL1952,"Override = FEFO","Override - FEFO says "&amp;$AL1952)),IF($AL1952="","⚠ no receipt on file for this item",IF($AM1952&lt;&gt;$AL1952,"FEFO auto - split, also "&amp;$AM1952,"FEFO auto"))))</f>
        <v/>
      </c>
      <c r="AO1952" s="114"/>
    </row>
    <row r="1953" spans="1:41" x14ac:dyDescent="0.35">
      <c r="A1953" s="75"/>
      <c r="B1953" s="80" t="str">
        <f>IF($C1953="","",IFERROR(INDEX('Staff Directory'!$A$5:$A$594,MATCH($C1953,'Staff Directory'!$B$5:$B$594,0)),"⚠ unknown staff"))</f>
        <v/>
      </c>
      <c r="C1953" s="49"/>
      <c r="D1953" s="19" t="str">
        <f>IF($B1953="","",IFERROR(INDEX('Staff Directory'!$C$5:$C$594,MATCH($B1953,'Staff Directory'!$A$5:$A$594,0)),""))</f>
        <v/>
      </c>
      <c r="E1953" s="19" t="str">
        <f>IF($B1953="","",IFERROR(INDEX('Staff Directory'!$D$5:$D$594,MATCH($B1953,'Staff Directory'!$A$5:$A$594,0)),""))</f>
        <v/>
      </c>
      <c r="F1953" s="9"/>
      <c r="G1953" s="18" t="str">
        <f>IF($F1953="","",IFERROR(INDEX(Items!$B$5:$B$597,MATCH($F1953,Items!$A$5:$A$597,0)),"⚠ not in Items"))</f>
        <v/>
      </c>
      <c r="H1953" s="19" t="str">
        <f>IF($F1953="","",IFERROR(INDEX(Items!$C$5:$C$597,MATCH($F1953,Items!$A$5:$A$597,0)),""))</f>
        <v/>
      </c>
      <c r="I1953" s="23" t="str">
        <f>IF($F1953="","",IFERROR(INDEX(Items!$E$5:$E$597,MATCH($F1953,Items!$A$5:$A$597,0)),""))</f>
        <v/>
      </c>
      <c r="J1953" s="116" t="str">
        <f>IF(tblIssues[[#This Row],[Qty Override]]&lt;&gt;"",tblIssues[[#This Row],[Qty Override]],IF(tblIssues[[#This Row],[Standard Issue]]="","",tblIssues[[#This Row],[Standard Issue]]))</f>
        <v/>
      </c>
      <c r="K1953" s="20" t="str">
        <f>IF($F1953="","",IFERROR(INDEX(Items!$D$5:$D$597,MATCH($F1953,Items!$A$5:$A$597,0)),""))</f>
        <v/>
      </c>
      <c r="L1953" s="21" t="str">
        <f t="shared" si="338"/>
        <v/>
      </c>
      <c r="M1953" s="9" t="str">
        <f t="shared" si="336"/>
        <v/>
      </c>
      <c r="N1953" s="87" t="str">
        <f>IF($A1953="","",WORKDAY($A1953,Settings!$C$9,HolidayDates))</f>
        <v/>
      </c>
      <c r="O1953" s="24" t="str">
        <f>IF($N1953="","",WORKDAY($N1953,Settings!$C$10,HolidayDates))</f>
        <v/>
      </c>
      <c r="P1953" s="9"/>
      <c r="Q1953" s="88" t="str">
        <f t="shared" si="344"/>
        <v/>
      </c>
      <c r="R1953" s="55" t="str">
        <f t="shared" si="339"/>
        <v/>
      </c>
      <c r="S1953" s="59" t="str">
        <f>IF(OR($B1953="",$F1953="",$R1953=""),"",SUMIFS(tblIssues[Qty Issued],tblIssues[Staff ID],$B1953,tblIssues[Item Name],$F1953,tblIssues[Month],$R1953))</f>
        <v/>
      </c>
      <c r="T1953" s="56" t="str">
        <f>IF($I1953="","",$I1953*Settings!$C$11)</f>
        <v/>
      </c>
      <c r="U1953" s="57" t="str">
        <f t="shared" si="340"/>
        <v/>
      </c>
      <c r="V1953" s="55" t="str">
        <f t="shared" si="341"/>
        <v/>
      </c>
      <c r="W1953" s="55" t="str">
        <f>IF($V1953="","",IF(COUNTIF($V$5:$V1953,$V1953)=1,1,""))</f>
        <v/>
      </c>
      <c r="X1953" s="58" t="str">
        <f>IF($W1953="","",MAX($X$4:X1952)+1)</f>
        <v/>
      </c>
      <c r="Y1953" s="62"/>
      <c r="Z1953" s="62"/>
      <c r="AA1953" s="64" t="str">
        <f>IF($C1953="","",IFERROR(INDEX('Staff Directory'!$E$5:$E$594,MATCH($C1953,'Staff Directory'!$B$5:$B$594,0)),""))</f>
        <v/>
      </c>
      <c r="AB1953" s="64" t="str">
        <f>IF($C1953="","",IF(ISNUMBER(SEARCH($D1953,Settings!$C$15)),"Pickup","Dispatch"))</f>
        <v/>
      </c>
      <c r="AC1953" s="64" t="str">
        <f t="shared" si="342"/>
        <v/>
      </c>
      <c r="AD1953" s="64" t="str">
        <f t="shared" si="333"/>
        <v/>
      </c>
      <c r="AE1953" s="64" t="str">
        <f t="shared" si="334"/>
        <v/>
      </c>
      <c r="AF1953" s="89" t="str">
        <f t="shared" si="343"/>
        <v/>
      </c>
      <c r="AG1953" s="64" t="str">
        <f>IF($C1953="","",IFERROR(INDEX('Staff Directory'!$K$595:$K$599,MATCH($C1953,'Staff Directory'!$B$5:$B$599,0)),$D1953))</f>
        <v/>
      </c>
      <c r="AH1953" t="str">
        <f>IF($C1953="","",IFERROR(INDEX('Staff Directory'!$I$595:$I$599,MATCH($C1953,'Staff Directory'!$B$5:$B$599,0))&amp;" "&amp;INDEX('Staff Directory'!$J$595:$J$599,MATCH($C1953,'Staff Directory'!$B$5:$B$599,0)),$AG1953))</f>
        <v/>
      </c>
      <c r="AI1953" s="102"/>
      <c r="AJ1953" s="101" t="str">
        <f>IF($F1953="","",SUMIFS($J$5:$J1953,$F$5:$F1953,$F1953))</f>
        <v/>
      </c>
      <c r="AK1953" s="101" t="str">
        <f t="shared" si="335"/>
        <v/>
      </c>
      <c r="AL1953" s="66" t="str" cm="1">
        <f t="array" ref="AL1953">IF($F1953="","",IFERROR(INDEX('Lot Balance'!$B$5:$B$500,MATCH(1,INDEX(('Lot Balance'!$A$5:$A$500=$F1953)*('Lot Balance'!$K$5:$K$500&lt;$AK1953)*('Lot Balance'!$K$5:$K$500+'Lot Balance'!$D$5:$D$500&gt;=$AK1953),0),0)),""))</f>
        <v/>
      </c>
      <c r="AM1953" s="66" t="str" cm="1">
        <f t="array" ref="AM1953">IF($F1953="","",IFERROR(INDEX('Lot Balance'!$B$5:$B$500,MATCH(1,INDEX(('Lot Balance'!$A$5:$A$500=$F1953)*('Lot Balance'!$K$5:$K$500&lt;$AJ1953)*('Lot Balance'!$K$5:$K$500+'Lot Balance'!$D$5:$D$500&gt;=$AJ1953),0),0)),""))</f>
        <v/>
      </c>
      <c r="AN1953" s="66" t="str">
        <f>IF($F1953="","",IF($AI1953&lt;&gt;"",IF(COUNTIFS('Lot Balance'!$A$5:$A$500,$F1953,'Lot Balance'!$B$5:$B$500,$AI1953)=0,"⚠ override is not a lot of this item",IF($AI1953=$AL1953,"Override = FEFO","Override - FEFO says "&amp;$AL1953)),IF($AL1953="","⚠ no receipt on file for this item",IF($AM1953&lt;&gt;$AL1953,"FEFO auto - split, also "&amp;$AM1953,"FEFO auto"))))</f>
        <v/>
      </c>
      <c r="AO1953" s="114"/>
    </row>
    <row r="1954" spans="1:41" x14ac:dyDescent="0.35">
      <c r="A1954" s="75"/>
      <c r="B1954" s="80" t="str">
        <f>IF($C1954="","",IFERROR(INDEX('Staff Directory'!$A$5:$A$594,MATCH($C1954,'Staff Directory'!$B$5:$B$594,0)),"⚠ unknown staff"))</f>
        <v/>
      </c>
      <c r="C1954" s="49"/>
      <c r="D1954" s="19" t="str">
        <f>IF($B1954="","",IFERROR(INDEX('Staff Directory'!$C$5:$C$594,MATCH($B1954,'Staff Directory'!$A$5:$A$594,0)),""))</f>
        <v/>
      </c>
      <c r="E1954" s="19" t="str">
        <f>IF($B1954="","",IFERROR(INDEX('Staff Directory'!$D$5:$D$594,MATCH($B1954,'Staff Directory'!$A$5:$A$594,0)),""))</f>
        <v/>
      </c>
      <c r="F1954" s="9"/>
      <c r="G1954" s="18" t="str">
        <f>IF($F1954="","",IFERROR(INDEX(Items!$B$5:$B$597,MATCH($F1954,Items!$A$5:$A$597,0)),"⚠ not in Items"))</f>
        <v/>
      </c>
      <c r="H1954" s="19" t="str">
        <f>IF($F1954="","",IFERROR(INDEX(Items!$C$5:$C$597,MATCH($F1954,Items!$A$5:$A$597,0)),""))</f>
        <v/>
      </c>
      <c r="I1954" s="23" t="str">
        <f>IF($F1954="","",IFERROR(INDEX(Items!$E$5:$E$597,MATCH($F1954,Items!$A$5:$A$597,0)),""))</f>
        <v/>
      </c>
      <c r="J1954" s="116" t="str">
        <f>IF(tblIssues[[#This Row],[Qty Override]]&lt;&gt;"",tblIssues[[#This Row],[Qty Override]],IF(tblIssues[[#This Row],[Standard Issue]]="","",tblIssues[[#This Row],[Standard Issue]]))</f>
        <v/>
      </c>
      <c r="K1954" s="20" t="str">
        <f>IF($F1954="","",IFERROR(INDEX(Items!$D$5:$D$597,MATCH($F1954,Items!$A$5:$A$597,0)),""))</f>
        <v/>
      </c>
      <c r="L1954" s="21" t="str">
        <f t="shared" si="338"/>
        <v/>
      </c>
      <c r="M1954" s="9" t="str">
        <f t="shared" si="336"/>
        <v/>
      </c>
      <c r="N1954" s="87" t="str">
        <f>IF($A1954="","",WORKDAY($A1954,Settings!$C$9,HolidayDates))</f>
        <v/>
      </c>
      <c r="O1954" s="24" t="str">
        <f>IF($N1954="","",WORKDAY($N1954,Settings!$C$10,HolidayDates))</f>
        <v/>
      </c>
      <c r="P1954" s="9"/>
      <c r="Q1954" s="88" t="str">
        <f t="shared" si="344"/>
        <v/>
      </c>
      <c r="R1954" s="55" t="str">
        <f t="shared" si="339"/>
        <v/>
      </c>
      <c r="S1954" s="59" t="str">
        <f>IF(OR($B1954="",$F1954="",$R1954=""),"",SUMIFS(tblIssues[Qty Issued],tblIssues[Staff ID],$B1954,tblIssues[Item Name],$F1954,tblIssues[Month],$R1954))</f>
        <v/>
      </c>
      <c r="T1954" s="56" t="str">
        <f>IF($I1954="","",$I1954*Settings!$C$11)</f>
        <v/>
      </c>
      <c r="U1954" s="57" t="str">
        <f t="shared" si="340"/>
        <v/>
      </c>
      <c r="V1954" s="55" t="str">
        <f t="shared" si="341"/>
        <v/>
      </c>
      <c r="W1954" s="55" t="str">
        <f>IF($V1954="","",IF(COUNTIF($V$5:$V1954,$V1954)=1,1,""))</f>
        <v/>
      </c>
      <c r="X1954" s="58" t="str">
        <f>IF($W1954="","",MAX($X$4:X1953)+1)</f>
        <v/>
      </c>
      <c r="Y1954" s="62"/>
      <c r="Z1954" s="62"/>
      <c r="AA1954" s="64" t="str">
        <f>IF($C1954="","",IFERROR(INDEX('Staff Directory'!$E$5:$E$594,MATCH($C1954,'Staff Directory'!$B$5:$B$594,0)),""))</f>
        <v/>
      </c>
      <c r="AB1954" s="64" t="str">
        <f>IF($C1954="","",IF(ISNUMBER(SEARCH($D1954,Settings!$C$15)),"Pickup","Dispatch"))</f>
        <v/>
      </c>
      <c r="AC1954" s="64" t="str">
        <f t="shared" si="342"/>
        <v/>
      </c>
      <c r="AD1954" s="64" t="str">
        <f t="shared" si="333"/>
        <v/>
      </c>
      <c r="AE1954" s="64" t="str">
        <f t="shared" si="334"/>
        <v/>
      </c>
      <c r="AF1954" s="89" t="str">
        <f t="shared" si="343"/>
        <v/>
      </c>
      <c r="AG1954" s="64" t="str">
        <f>IF($C1954="","",IFERROR(INDEX('Staff Directory'!$K$595:$K$599,MATCH($C1954,'Staff Directory'!$B$5:$B$599,0)),$D1954))</f>
        <v/>
      </c>
      <c r="AH1954" t="str">
        <f>IF($C1954="","",IFERROR(INDEX('Staff Directory'!$I$595:$I$599,MATCH($C1954,'Staff Directory'!$B$5:$B$599,0))&amp;" "&amp;INDEX('Staff Directory'!$J$595:$J$599,MATCH($C1954,'Staff Directory'!$B$5:$B$599,0)),$AG1954))</f>
        <v/>
      </c>
      <c r="AI1954" s="102"/>
      <c r="AJ1954" s="101" t="str">
        <f>IF($F1954="","",SUMIFS($J$5:$J1954,$F$5:$F1954,$F1954))</f>
        <v/>
      </c>
      <c r="AK1954" s="101" t="str">
        <f t="shared" si="335"/>
        <v/>
      </c>
      <c r="AL1954" s="66" t="str" cm="1">
        <f t="array" ref="AL1954">IF($F1954="","",IFERROR(INDEX('Lot Balance'!$B$5:$B$500,MATCH(1,INDEX(('Lot Balance'!$A$5:$A$500=$F1954)*('Lot Balance'!$K$5:$K$500&lt;$AK1954)*('Lot Balance'!$K$5:$K$500+'Lot Balance'!$D$5:$D$500&gt;=$AK1954),0),0)),""))</f>
        <v/>
      </c>
      <c r="AM1954" s="66" t="str" cm="1">
        <f t="array" ref="AM1954">IF($F1954="","",IFERROR(INDEX('Lot Balance'!$B$5:$B$500,MATCH(1,INDEX(('Lot Balance'!$A$5:$A$500=$F1954)*('Lot Balance'!$K$5:$K$500&lt;$AJ1954)*('Lot Balance'!$K$5:$K$500+'Lot Balance'!$D$5:$D$500&gt;=$AJ1954),0),0)),""))</f>
        <v/>
      </c>
      <c r="AN1954" s="66" t="str">
        <f>IF($F1954="","",IF($AI1954&lt;&gt;"",IF(COUNTIFS('Lot Balance'!$A$5:$A$500,$F1954,'Lot Balance'!$B$5:$B$500,$AI1954)=0,"⚠ override is not a lot of this item",IF($AI1954=$AL1954,"Override = FEFO","Override - FEFO says "&amp;$AL1954)),IF($AL1954="","⚠ no receipt on file for this item",IF($AM1954&lt;&gt;$AL1954,"FEFO auto - split, also "&amp;$AM1954,"FEFO auto"))))</f>
        <v/>
      </c>
      <c r="AO1954" s="114"/>
    </row>
    <row r="1955" spans="1:41" x14ac:dyDescent="0.35">
      <c r="A1955" s="75"/>
      <c r="B1955" s="80" t="str">
        <f>IF($C1955="","",IFERROR(INDEX('Staff Directory'!$A$5:$A$594,MATCH($C1955,'Staff Directory'!$B$5:$B$594,0)),"⚠ unknown staff"))</f>
        <v/>
      </c>
      <c r="C1955" s="49"/>
      <c r="D1955" s="19" t="str">
        <f>IF($B1955="","",IFERROR(INDEX('Staff Directory'!$C$5:$C$594,MATCH($B1955,'Staff Directory'!$A$5:$A$594,0)),""))</f>
        <v/>
      </c>
      <c r="E1955" s="19" t="str">
        <f>IF($B1955="","",IFERROR(INDEX('Staff Directory'!$D$5:$D$594,MATCH($B1955,'Staff Directory'!$A$5:$A$594,0)),""))</f>
        <v/>
      </c>
      <c r="F1955" s="9"/>
      <c r="G1955" s="18" t="str">
        <f>IF($F1955="","",IFERROR(INDEX(Items!$B$5:$B$597,MATCH($F1955,Items!$A$5:$A$597,0)),"⚠ not in Items"))</f>
        <v/>
      </c>
      <c r="H1955" s="19" t="str">
        <f>IF($F1955="","",IFERROR(INDEX(Items!$C$5:$C$597,MATCH($F1955,Items!$A$5:$A$597,0)),""))</f>
        <v/>
      </c>
      <c r="I1955" s="23" t="str">
        <f>IF($F1955="","",IFERROR(INDEX(Items!$E$5:$E$597,MATCH($F1955,Items!$A$5:$A$597,0)),""))</f>
        <v/>
      </c>
      <c r="J1955" s="116" t="str">
        <f>IF(tblIssues[[#This Row],[Qty Override]]&lt;&gt;"",tblIssues[[#This Row],[Qty Override]],IF(tblIssues[[#This Row],[Standard Issue]]="","",tblIssues[[#This Row],[Standard Issue]]))</f>
        <v/>
      </c>
      <c r="K1955" s="20" t="str">
        <f>IF($F1955="","",IFERROR(INDEX(Items!$D$5:$D$597,MATCH($F1955,Items!$A$5:$A$597,0)),""))</f>
        <v/>
      </c>
      <c r="L1955" s="21" t="str">
        <f t="shared" si="338"/>
        <v/>
      </c>
      <c r="M1955" s="9" t="str">
        <f t="shared" si="336"/>
        <v/>
      </c>
      <c r="N1955" s="87" t="str">
        <f>IF($A1955="","",WORKDAY($A1955,Settings!$C$9,HolidayDates))</f>
        <v/>
      </c>
      <c r="O1955" s="24" t="str">
        <f>IF($N1955="","",WORKDAY($N1955,Settings!$C$10,HolidayDates))</f>
        <v/>
      </c>
      <c r="P1955" s="9"/>
      <c r="Q1955" s="88" t="str">
        <f t="shared" si="344"/>
        <v/>
      </c>
      <c r="R1955" s="55" t="str">
        <f t="shared" si="339"/>
        <v/>
      </c>
      <c r="S1955" s="59" t="str">
        <f>IF(OR($B1955="",$F1955="",$R1955=""),"",SUMIFS(tblIssues[Qty Issued],tblIssues[Staff ID],$B1955,tblIssues[Item Name],$F1955,tblIssues[Month],$R1955))</f>
        <v/>
      </c>
      <c r="T1955" s="56" t="str">
        <f>IF($I1955="","",$I1955*Settings!$C$11)</f>
        <v/>
      </c>
      <c r="U1955" s="57" t="str">
        <f t="shared" si="340"/>
        <v/>
      </c>
      <c r="V1955" s="55" t="str">
        <f t="shared" si="341"/>
        <v/>
      </c>
      <c r="W1955" s="55" t="str">
        <f>IF($V1955="","",IF(COUNTIF($V$5:$V1955,$V1955)=1,1,""))</f>
        <v/>
      </c>
      <c r="X1955" s="58" t="str">
        <f>IF($W1955="","",MAX($X$4:X1954)+1)</f>
        <v/>
      </c>
      <c r="Y1955" s="62"/>
      <c r="Z1955" s="62"/>
      <c r="AA1955" s="64" t="str">
        <f>IF($C1955="","",IFERROR(INDEX('Staff Directory'!$E$5:$E$594,MATCH($C1955,'Staff Directory'!$B$5:$B$594,0)),""))</f>
        <v/>
      </c>
      <c r="AB1955" s="64" t="str">
        <f>IF($C1955="","",IF(ISNUMBER(SEARCH($D1955,Settings!$C$15)),"Pickup","Dispatch"))</f>
        <v/>
      </c>
      <c r="AC1955" s="64" t="str">
        <f t="shared" si="342"/>
        <v/>
      </c>
      <c r="AD1955" s="64" t="str">
        <f t="shared" si="333"/>
        <v/>
      </c>
      <c r="AE1955" s="64" t="str">
        <f t="shared" si="334"/>
        <v/>
      </c>
      <c r="AF1955" s="89" t="str">
        <f t="shared" si="343"/>
        <v/>
      </c>
      <c r="AG1955" s="64" t="str">
        <f>IF($C1955="","",IFERROR(INDEX('Staff Directory'!$K$595:$K$599,MATCH($C1955,'Staff Directory'!$B$5:$B$599,0)),$D1955))</f>
        <v/>
      </c>
      <c r="AH1955" t="str">
        <f>IF($C1955="","",IFERROR(INDEX('Staff Directory'!$I$595:$I$599,MATCH($C1955,'Staff Directory'!$B$5:$B$599,0))&amp;" "&amp;INDEX('Staff Directory'!$J$595:$J$599,MATCH($C1955,'Staff Directory'!$B$5:$B$599,0)),$AG1955))</f>
        <v/>
      </c>
      <c r="AI1955" s="102"/>
      <c r="AJ1955" s="101" t="str">
        <f>IF($F1955="","",SUMIFS($J$5:$J1955,$F$5:$F1955,$F1955))</f>
        <v/>
      </c>
      <c r="AK1955" s="101" t="str">
        <f t="shared" si="335"/>
        <v/>
      </c>
      <c r="AL1955" s="66" t="str" cm="1">
        <f t="array" ref="AL1955">IF($F1955="","",IFERROR(INDEX('Lot Balance'!$B$5:$B$500,MATCH(1,INDEX(('Lot Balance'!$A$5:$A$500=$F1955)*('Lot Balance'!$K$5:$K$500&lt;$AK1955)*('Lot Balance'!$K$5:$K$500+'Lot Balance'!$D$5:$D$500&gt;=$AK1955),0),0)),""))</f>
        <v/>
      </c>
      <c r="AM1955" s="66" t="str" cm="1">
        <f t="array" ref="AM1955">IF($F1955="","",IFERROR(INDEX('Lot Balance'!$B$5:$B$500,MATCH(1,INDEX(('Lot Balance'!$A$5:$A$500=$F1955)*('Lot Balance'!$K$5:$K$500&lt;$AJ1955)*('Lot Balance'!$K$5:$K$500+'Lot Balance'!$D$5:$D$500&gt;=$AJ1955),0),0)),""))</f>
        <v/>
      </c>
      <c r="AN1955" s="66" t="str">
        <f>IF($F1955="","",IF($AI1955&lt;&gt;"",IF(COUNTIFS('Lot Balance'!$A$5:$A$500,$F1955,'Lot Balance'!$B$5:$B$500,$AI1955)=0,"⚠ override is not a lot of this item",IF($AI1955=$AL1955,"Override = FEFO","Override - FEFO says "&amp;$AL1955)),IF($AL1955="","⚠ no receipt on file for this item",IF($AM1955&lt;&gt;$AL1955,"FEFO auto - split, also "&amp;$AM1955,"FEFO auto"))))</f>
        <v/>
      </c>
      <c r="AO1955" s="114"/>
    </row>
    <row r="1956" spans="1:41" x14ac:dyDescent="0.35">
      <c r="A1956" s="75"/>
      <c r="B1956" s="80" t="str">
        <f>IF($C1956="","",IFERROR(INDEX('Staff Directory'!$A$5:$A$594,MATCH($C1956,'Staff Directory'!$B$5:$B$594,0)),"⚠ unknown staff"))</f>
        <v/>
      </c>
      <c r="C1956" s="49"/>
      <c r="D1956" s="19" t="str">
        <f>IF($B1956="","",IFERROR(INDEX('Staff Directory'!$C$5:$C$594,MATCH($B1956,'Staff Directory'!$A$5:$A$594,0)),""))</f>
        <v/>
      </c>
      <c r="E1956" s="19" t="str">
        <f>IF($B1956="","",IFERROR(INDEX('Staff Directory'!$D$5:$D$594,MATCH($B1956,'Staff Directory'!$A$5:$A$594,0)),""))</f>
        <v/>
      </c>
      <c r="F1956" s="9"/>
      <c r="G1956" s="18" t="str">
        <f>IF($F1956="","",IFERROR(INDEX(Items!$B$5:$B$597,MATCH($F1956,Items!$A$5:$A$597,0)),"⚠ not in Items"))</f>
        <v/>
      </c>
      <c r="H1956" s="19" t="str">
        <f>IF($F1956="","",IFERROR(INDEX(Items!$C$5:$C$597,MATCH($F1956,Items!$A$5:$A$597,0)),""))</f>
        <v/>
      </c>
      <c r="I1956" s="23" t="str">
        <f>IF($F1956="","",IFERROR(INDEX(Items!$E$5:$E$597,MATCH($F1956,Items!$A$5:$A$597,0)),""))</f>
        <v/>
      </c>
      <c r="J1956" s="116" t="str">
        <f>IF(tblIssues[[#This Row],[Qty Override]]&lt;&gt;"",tblIssues[[#This Row],[Qty Override]],IF(tblIssues[[#This Row],[Standard Issue]]="","",tblIssues[[#This Row],[Standard Issue]]))</f>
        <v/>
      </c>
      <c r="K1956" s="20" t="str">
        <f>IF($F1956="","",IFERROR(INDEX(Items!$D$5:$D$597,MATCH($F1956,Items!$A$5:$A$597,0)),""))</f>
        <v/>
      </c>
      <c r="L1956" s="21" t="str">
        <f t="shared" si="338"/>
        <v/>
      </c>
      <c r="M1956" s="9" t="str">
        <f t="shared" si="336"/>
        <v/>
      </c>
      <c r="N1956" s="87" t="str">
        <f>IF($A1956="","",WORKDAY($A1956,Settings!$C$9,HolidayDates))</f>
        <v/>
      </c>
      <c r="O1956" s="24" t="str">
        <f>IF($N1956="","",WORKDAY($N1956,Settings!$C$10,HolidayDates))</f>
        <v/>
      </c>
      <c r="P1956" s="9"/>
      <c r="Q1956" s="88" t="str">
        <f t="shared" si="344"/>
        <v/>
      </c>
      <c r="R1956" s="55" t="str">
        <f t="shared" si="339"/>
        <v/>
      </c>
      <c r="S1956" s="59" t="str">
        <f>IF(OR($B1956="",$F1956="",$R1956=""),"",SUMIFS(tblIssues[Qty Issued],tblIssues[Staff ID],$B1956,tblIssues[Item Name],$F1956,tblIssues[Month],$R1956))</f>
        <v/>
      </c>
      <c r="T1956" s="56" t="str">
        <f>IF($I1956="","",$I1956*Settings!$C$11)</f>
        <v/>
      </c>
      <c r="U1956" s="57" t="str">
        <f t="shared" si="340"/>
        <v/>
      </c>
      <c r="V1956" s="55" t="str">
        <f t="shared" si="341"/>
        <v/>
      </c>
      <c r="W1956" s="55" t="str">
        <f>IF($V1956="","",IF(COUNTIF($V$5:$V1956,$V1956)=1,1,""))</f>
        <v/>
      </c>
      <c r="X1956" s="58" t="str">
        <f>IF($W1956="","",MAX($X$4:X1955)+1)</f>
        <v/>
      </c>
      <c r="Y1956" s="62"/>
      <c r="Z1956" s="62"/>
      <c r="AA1956" s="64" t="str">
        <f>IF($C1956="","",IFERROR(INDEX('Staff Directory'!$E$5:$E$594,MATCH($C1956,'Staff Directory'!$B$5:$B$594,0)),""))</f>
        <v/>
      </c>
      <c r="AB1956" s="64" t="str">
        <f>IF($C1956="","",IF(ISNUMBER(SEARCH($D1956,Settings!$C$15)),"Pickup","Dispatch"))</f>
        <v/>
      </c>
      <c r="AC1956" s="64" t="str">
        <f t="shared" si="342"/>
        <v/>
      </c>
      <c r="AD1956" s="64" t="str">
        <f t="shared" si="333"/>
        <v/>
      </c>
      <c r="AE1956" s="64" t="str">
        <f t="shared" si="334"/>
        <v/>
      </c>
      <c r="AF1956" s="89" t="str">
        <f t="shared" si="343"/>
        <v/>
      </c>
      <c r="AG1956" s="64" t="str">
        <f>IF($C1956="","",IFERROR(INDEX('Staff Directory'!$K$595:$K$599,MATCH($C1956,'Staff Directory'!$B$5:$B$599,0)),$D1956))</f>
        <v/>
      </c>
      <c r="AH1956" t="str">
        <f>IF($C1956="","",IFERROR(INDEX('Staff Directory'!$I$595:$I$599,MATCH($C1956,'Staff Directory'!$B$5:$B$599,0))&amp;" "&amp;INDEX('Staff Directory'!$J$595:$J$599,MATCH($C1956,'Staff Directory'!$B$5:$B$599,0)),$AG1956))</f>
        <v/>
      </c>
      <c r="AI1956" s="102"/>
      <c r="AJ1956" s="101" t="str">
        <f>IF($F1956="","",SUMIFS($J$5:$J1956,$F$5:$F1956,$F1956))</f>
        <v/>
      </c>
      <c r="AK1956" s="101" t="str">
        <f t="shared" si="335"/>
        <v/>
      </c>
      <c r="AL1956" s="66" t="str" cm="1">
        <f t="array" ref="AL1956">IF($F1956="","",IFERROR(INDEX('Lot Balance'!$B$5:$B$500,MATCH(1,INDEX(('Lot Balance'!$A$5:$A$500=$F1956)*('Lot Balance'!$K$5:$K$500&lt;$AK1956)*('Lot Balance'!$K$5:$K$500+'Lot Balance'!$D$5:$D$500&gt;=$AK1956),0),0)),""))</f>
        <v/>
      </c>
      <c r="AM1956" s="66" t="str" cm="1">
        <f t="array" ref="AM1956">IF($F1956="","",IFERROR(INDEX('Lot Balance'!$B$5:$B$500,MATCH(1,INDEX(('Lot Balance'!$A$5:$A$500=$F1956)*('Lot Balance'!$K$5:$K$500&lt;$AJ1956)*('Lot Balance'!$K$5:$K$500+'Lot Balance'!$D$5:$D$500&gt;=$AJ1956),0),0)),""))</f>
        <v/>
      </c>
      <c r="AN1956" s="66" t="str">
        <f>IF($F1956="","",IF($AI1956&lt;&gt;"",IF(COUNTIFS('Lot Balance'!$A$5:$A$500,$F1956,'Lot Balance'!$B$5:$B$500,$AI1956)=0,"⚠ override is not a lot of this item",IF($AI1956=$AL1956,"Override = FEFO","Override - FEFO says "&amp;$AL1956)),IF($AL1956="","⚠ no receipt on file for this item",IF($AM1956&lt;&gt;$AL1956,"FEFO auto - split, also "&amp;$AM1956,"FEFO auto"))))</f>
        <v/>
      </c>
      <c r="AO1956" s="114"/>
    </row>
    <row r="1957" spans="1:41" x14ac:dyDescent="0.35">
      <c r="A1957" s="75"/>
      <c r="B1957" s="80" t="str">
        <f>IF($C1957="","",IFERROR(INDEX('Staff Directory'!$A$5:$A$594,MATCH($C1957,'Staff Directory'!$B$5:$B$594,0)),"⚠ unknown staff"))</f>
        <v/>
      </c>
      <c r="C1957" s="49"/>
      <c r="D1957" s="19" t="str">
        <f>IF($B1957="","",IFERROR(INDEX('Staff Directory'!$C$5:$C$594,MATCH($B1957,'Staff Directory'!$A$5:$A$594,0)),""))</f>
        <v/>
      </c>
      <c r="E1957" s="19" t="str">
        <f>IF($B1957="","",IFERROR(INDEX('Staff Directory'!$D$5:$D$594,MATCH($B1957,'Staff Directory'!$A$5:$A$594,0)),""))</f>
        <v/>
      </c>
      <c r="F1957" s="9"/>
      <c r="G1957" s="18" t="str">
        <f>IF($F1957="","",IFERROR(INDEX(Items!$B$5:$B$597,MATCH($F1957,Items!$A$5:$A$597,0)),"⚠ not in Items"))</f>
        <v/>
      </c>
      <c r="H1957" s="19" t="str">
        <f>IF($F1957="","",IFERROR(INDEX(Items!$C$5:$C$597,MATCH($F1957,Items!$A$5:$A$597,0)),""))</f>
        <v/>
      </c>
      <c r="I1957" s="23" t="str">
        <f>IF($F1957="","",IFERROR(INDEX(Items!$E$5:$E$597,MATCH($F1957,Items!$A$5:$A$597,0)),""))</f>
        <v/>
      </c>
      <c r="J1957" s="116" t="str">
        <f>IF(tblIssues[[#This Row],[Qty Override]]&lt;&gt;"",tblIssues[[#This Row],[Qty Override]],IF(tblIssues[[#This Row],[Standard Issue]]="","",tblIssues[[#This Row],[Standard Issue]]))</f>
        <v/>
      </c>
      <c r="K1957" s="20" t="str">
        <f>IF($F1957="","",IFERROR(INDEX(Items!$D$5:$D$597,MATCH($F1957,Items!$A$5:$A$597,0)),""))</f>
        <v/>
      </c>
      <c r="L1957" s="21" t="str">
        <f t="shared" si="338"/>
        <v/>
      </c>
      <c r="M1957" s="9" t="str">
        <f t="shared" si="336"/>
        <v/>
      </c>
      <c r="N1957" s="87" t="str">
        <f>IF($A1957="","",WORKDAY($A1957,Settings!$C$9,HolidayDates))</f>
        <v/>
      </c>
      <c r="O1957" s="24" t="str">
        <f>IF($N1957="","",WORKDAY($N1957,Settings!$C$10,HolidayDates))</f>
        <v/>
      </c>
      <c r="P1957" s="9"/>
      <c r="Q1957" s="88" t="str">
        <f t="shared" si="344"/>
        <v/>
      </c>
      <c r="R1957" s="55" t="str">
        <f t="shared" si="339"/>
        <v/>
      </c>
      <c r="S1957" s="59" t="str">
        <f>IF(OR($B1957="",$F1957="",$R1957=""),"",SUMIFS(tblIssues[Qty Issued],tblIssues[Staff ID],$B1957,tblIssues[Item Name],$F1957,tblIssues[Month],$R1957))</f>
        <v/>
      </c>
      <c r="T1957" s="56" t="str">
        <f>IF($I1957="","",$I1957*Settings!$C$11)</f>
        <v/>
      </c>
      <c r="U1957" s="57" t="str">
        <f t="shared" si="340"/>
        <v/>
      </c>
      <c r="V1957" s="55" t="str">
        <f t="shared" si="341"/>
        <v/>
      </c>
      <c r="W1957" s="55" t="str">
        <f>IF($V1957="","",IF(COUNTIF($V$5:$V1957,$V1957)=1,1,""))</f>
        <v/>
      </c>
      <c r="X1957" s="58" t="str">
        <f>IF($W1957="","",MAX($X$4:X1956)+1)</f>
        <v/>
      </c>
      <c r="Y1957" s="62"/>
      <c r="Z1957" s="62"/>
      <c r="AA1957" s="64" t="str">
        <f>IF($C1957="","",IFERROR(INDEX('Staff Directory'!$E$5:$E$594,MATCH($C1957,'Staff Directory'!$B$5:$B$594,0)),""))</f>
        <v/>
      </c>
      <c r="AB1957" s="64" t="str">
        <f>IF($C1957="","",IF(ISNUMBER(SEARCH($D1957,Settings!$C$15)),"Pickup","Dispatch"))</f>
        <v/>
      </c>
      <c r="AC1957" s="64" t="str">
        <f t="shared" si="342"/>
        <v/>
      </c>
      <c r="AD1957" s="64" t="str">
        <f t="shared" si="333"/>
        <v/>
      </c>
      <c r="AE1957" s="64" t="str">
        <f t="shared" si="334"/>
        <v/>
      </c>
      <c r="AF1957" s="89" t="str">
        <f t="shared" si="343"/>
        <v/>
      </c>
      <c r="AG1957" s="64" t="str">
        <f>IF($C1957="","",IFERROR(INDEX('Staff Directory'!$K$595:$K$599,MATCH($C1957,'Staff Directory'!$B$5:$B$599,0)),$D1957))</f>
        <v/>
      </c>
      <c r="AH1957" t="str">
        <f>IF($C1957="","",IFERROR(INDEX('Staff Directory'!$I$595:$I$599,MATCH($C1957,'Staff Directory'!$B$5:$B$599,0))&amp;" "&amp;INDEX('Staff Directory'!$J$595:$J$599,MATCH($C1957,'Staff Directory'!$B$5:$B$599,0)),$AG1957))</f>
        <v/>
      </c>
      <c r="AI1957" s="102"/>
      <c r="AJ1957" s="101" t="str">
        <f>IF($F1957="","",SUMIFS($J$5:$J1957,$F$5:$F1957,$F1957))</f>
        <v/>
      </c>
      <c r="AK1957" s="101" t="str">
        <f t="shared" si="335"/>
        <v/>
      </c>
      <c r="AL1957" s="66" t="str" cm="1">
        <f t="array" ref="AL1957">IF($F1957="","",IFERROR(INDEX('Lot Balance'!$B$5:$B$500,MATCH(1,INDEX(('Lot Balance'!$A$5:$A$500=$F1957)*('Lot Balance'!$K$5:$K$500&lt;$AK1957)*('Lot Balance'!$K$5:$K$500+'Lot Balance'!$D$5:$D$500&gt;=$AK1957),0),0)),""))</f>
        <v/>
      </c>
      <c r="AM1957" s="66" t="str" cm="1">
        <f t="array" ref="AM1957">IF($F1957="","",IFERROR(INDEX('Lot Balance'!$B$5:$B$500,MATCH(1,INDEX(('Lot Balance'!$A$5:$A$500=$F1957)*('Lot Balance'!$K$5:$K$500&lt;$AJ1957)*('Lot Balance'!$K$5:$K$500+'Lot Balance'!$D$5:$D$500&gt;=$AJ1957),0),0)),""))</f>
        <v/>
      </c>
      <c r="AN1957" s="66" t="str">
        <f>IF($F1957="","",IF($AI1957&lt;&gt;"",IF(COUNTIFS('Lot Balance'!$A$5:$A$500,$F1957,'Lot Balance'!$B$5:$B$500,$AI1957)=0,"⚠ override is not a lot of this item",IF($AI1957=$AL1957,"Override = FEFO","Override - FEFO says "&amp;$AL1957)),IF($AL1957="","⚠ no receipt on file for this item",IF($AM1957&lt;&gt;$AL1957,"FEFO auto - split, also "&amp;$AM1957,"FEFO auto"))))</f>
        <v/>
      </c>
      <c r="AO1957" s="114"/>
    </row>
    <row r="1958" spans="1:41" x14ac:dyDescent="0.35">
      <c r="A1958" s="75"/>
      <c r="B1958" s="80" t="str">
        <f>IF($C1958="","",IFERROR(INDEX('Staff Directory'!$A$5:$A$594,MATCH($C1958,'Staff Directory'!$B$5:$B$594,0)),"⚠ unknown staff"))</f>
        <v/>
      </c>
      <c r="C1958" s="49"/>
      <c r="D1958" s="19" t="str">
        <f>IF($B1958="","",IFERROR(INDEX('Staff Directory'!$C$5:$C$594,MATCH($B1958,'Staff Directory'!$A$5:$A$594,0)),""))</f>
        <v/>
      </c>
      <c r="E1958" s="19" t="str">
        <f>IF($B1958="","",IFERROR(INDEX('Staff Directory'!$D$5:$D$594,MATCH($B1958,'Staff Directory'!$A$5:$A$594,0)),""))</f>
        <v/>
      </c>
      <c r="F1958" s="9"/>
      <c r="G1958" s="18" t="str">
        <f>IF($F1958="","",IFERROR(INDEX(Items!$B$5:$B$597,MATCH($F1958,Items!$A$5:$A$597,0)),"⚠ not in Items"))</f>
        <v/>
      </c>
      <c r="H1958" s="19" t="str">
        <f>IF($F1958="","",IFERROR(INDEX(Items!$C$5:$C$597,MATCH($F1958,Items!$A$5:$A$597,0)),""))</f>
        <v/>
      </c>
      <c r="I1958" s="23" t="str">
        <f>IF($F1958="","",IFERROR(INDEX(Items!$E$5:$E$597,MATCH($F1958,Items!$A$5:$A$597,0)),""))</f>
        <v/>
      </c>
      <c r="J1958" s="116" t="str">
        <f>IF(tblIssues[[#This Row],[Qty Override]]&lt;&gt;"",tblIssues[[#This Row],[Qty Override]],IF(tblIssues[[#This Row],[Standard Issue]]="","",tblIssues[[#This Row],[Standard Issue]]))</f>
        <v/>
      </c>
      <c r="K1958" s="20" t="str">
        <f>IF($F1958="","",IFERROR(INDEX(Items!$D$5:$D$597,MATCH($F1958,Items!$A$5:$A$597,0)),""))</f>
        <v/>
      </c>
      <c r="L1958" s="21" t="str">
        <f t="shared" si="338"/>
        <v/>
      </c>
      <c r="M1958" s="9" t="str">
        <f t="shared" si="336"/>
        <v/>
      </c>
      <c r="N1958" s="87" t="str">
        <f>IF($A1958="","",WORKDAY($A1958,Settings!$C$9,HolidayDates))</f>
        <v/>
      </c>
      <c r="O1958" s="24" t="str">
        <f>IF($N1958="","",WORKDAY($N1958,Settings!$C$10,HolidayDates))</f>
        <v/>
      </c>
      <c r="P1958" s="9"/>
      <c r="Q1958" s="88" t="str">
        <f t="shared" si="344"/>
        <v/>
      </c>
      <c r="R1958" s="55" t="str">
        <f t="shared" si="339"/>
        <v/>
      </c>
      <c r="S1958" s="59" t="str">
        <f>IF(OR($B1958="",$F1958="",$R1958=""),"",SUMIFS(tblIssues[Qty Issued],tblIssues[Staff ID],$B1958,tblIssues[Item Name],$F1958,tblIssues[Month],$R1958))</f>
        <v/>
      </c>
      <c r="T1958" s="56" t="str">
        <f>IF($I1958="","",$I1958*Settings!$C$11)</f>
        <v/>
      </c>
      <c r="U1958" s="57" t="str">
        <f t="shared" si="340"/>
        <v/>
      </c>
      <c r="V1958" s="55" t="str">
        <f t="shared" si="341"/>
        <v/>
      </c>
      <c r="W1958" s="55" t="str">
        <f>IF($V1958="","",IF(COUNTIF($V$5:$V1958,$V1958)=1,1,""))</f>
        <v/>
      </c>
      <c r="X1958" s="58" t="str">
        <f>IF($W1958="","",MAX($X$4:X1957)+1)</f>
        <v/>
      </c>
      <c r="Y1958" s="62"/>
      <c r="Z1958" s="62"/>
      <c r="AA1958" s="64" t="str">
        <f>IF($C1958="","",IFERROR(INDEX('Staff Directory'!$E$5:$E$594,MATCH($C1958,'Staff Directory'!$B$5:$B$594,0)),""))</f>
        <v/>
      </c>
      <c r="AB1958" s="64" t="str">
        <f>IF($C1958="","",IF(ISNUMBER(SEARCH($D1958,Settings!$C$15)),"Pickup","Dispatch"))</f>
        <v/>
      </c>
      <c r="AC1958" s="64" t="str">
        <f t="shared" si="342"/>
        <v/>
      </c>
      <c r="AD1958" s="64" t="str">
        <f t="shared" si="333"/>
        <v/>
      </c>
      <c r="AE1958" s="64" t="str">
        <f t="shared" si="334"/>
        <v/>
      </c>
      <c r="AF1958" s="89" t="str">
        <f t="shared" si="343"/>
        <v/>
      </c>
      <c r="AG1958" s="64" t="str">
        <f>IF($C1958="","",IFERROR(INDEX('Staff Directory'!$K$595:$K$599,MATCH($C1958,'Staff Directory'!$B$5:$B$599,0)),$D1958))</f>
        <v/>
      </c>
      <c r="AH1958" t="str">
        <f>IF($C1958="","",IFERROR(INDEX('Staff Directory'!$I$595:$I$599,MATCH($C1958,'Staff Directory'!$B$5:$B$599,0))&amp;" "&amp;INDEX('Staff Directory'!$J$595:$J$599,MATCH($C1958,'Staff Directory'!$B$5:$B$599,0)),$AG1958))</f>
        <v/>
      </c>
      <c r="AI1958" s="102"/>
      <c r="AJ1958" s="101" t="str">
        <f>IF($F1958="","",SUMIFS($J$5:$J1958,$F$5:$F1958,$F1958))</f>
        <v/>
      </c>
      <c r="AK1958" s="101" t="str">
        <f t="shared" si="335"/>
        <v/>
      </c>
      <c r="AL1958" s="66" t="str" cm="1">
        <f t="array" ref="AL1958">IF($F1958="","",IFERROR(INDEX('Lot Balance'!$B$5:$B$500,MATCH(1,INDEX(('Lot Balance'!$A$5:$A$500=$F1958)*('Lot Balance'!$K$5:$K$500&lt;$AK1958)*('Lot Balance'!$K$5:$K$500+'Lot Balance'!$D$5:$D$500&gt;=$AK1958),0),0)),""))</f>
        <v/>
      </c>
      <c r="AM1958" s="66" t="str" cm="1">
        <f t="array" ref="AM1958">IF($F1958="","",IFERROR(INDEX('Lot Balance'!$B$5:$B$500,MATCH(1,INDEX(('Lot Balance'!$A$5:$A$500=$F1958)*('Lot Balance'!$K$5:$K$500&lt;$AJ1958)*('Lot Balance'!$K$5:$K$500+'Lot Balance'!$D$5:$D$500&gt;=$AJ1958),0),0)),""))</f>
        <v/>
      </c>
      <c r="AN1958" s="66" t="str">
        <f>IF($F1958="","",IF($AI1958&lt;&gt;"",IF(COUNTIFS('Lot Balance'!$A$5:$A$500,$F1958,'Lot Balance'!$B$5:$B$500,$AI1958)=0,"⚠ override is not a lot of this item",IF($AI1958=$AL1958,"Override = FEFO","Override - FEFO says "&amp;$AL1958)),IF($AL1958="","⚠ no receipt on file for this item",IF($AM1958&lt;&gt;$AL1958,"FEFO auto - split, also "&amp;$AM1958,"FEFO auto"))))</f>
        <v/>
      </c>
      <c r="AO1958" s="114"/>
    </row>
    <row r="1959" spans="1:41" x14ac:dyDescent="0.35">
      <c r="A1959" s="75"/>
      <c r="B1959" s="80" t="str">
        <f>IF($C1959="","",IFERROR(INDEX('Staff Directory'!$A$5:$A$594,MATCH($C1959,'Staff Directory'!$B$5:$B$594,0)),"⚠ unknown staff"))</f>
        <v/>
      </c>
      <c r="C1959" s="49"/>
      <c r="D1959" s="19" t="str">
        <f>IF($B1959="","",IFERROR(INDEX('Staff Directory'!$C$5:$C$594,MATCH($B1959,'Staff Directory'!$A$5:$A$594,0)),""))</f>
        <v/>
      </c>
      <c r="E1959" s="19" t="str">
        <f>IF($B1959="","",IFERROR(INDEX('Staff Directory'!$D$5:$D$594,MATCH($B1959,'Staff Directory'!$A$5:$A$594,0)),""))</f>
        <v/>
      </c>
      <c r="F1959" s="9"/>
      <c r="G1959" s="18" t="str">
        <f>IF($F1959="","",IFERROR(INDEX(Items!$B$5:$B$597,MATCH($F1959,Items!$A$5:$A$597,0)),"⚠ not in Items"))</f>
        <v/>
      </c>
      <c r="H1959" s="19" t="str">
        <f>IF($F1959="","",IFERROR(INDEX(Items!$C$5:$C$597,MATCH($F1959,Items!$A$5:$A$597,0)),""))</f>
        <v/>
      </c>
      <c r="I1959" s="23" t="str">
        <f>IF($F1959="","",IFERROR(INDEX(Items!$E$5:$E$597,MATCH($F1959,Items!$A$5:$A$597,0)),""))</f>
        <v/>
      </c>
      <c r="J1959" s="116" t="str">
        <f>IF(tblIssues[[#This Row],[Qty Override]]&lt;&gt;"",tblIssues[[#This Row],[Qty Override]],IF(tblIssues[[#This Row],[Standard Issue]]="","",tblIssues[[#This Row],[Standard Issue]]))</f>
        <v/>
      </c>
      <c r="K1959" s="20" t="str">
        <f>IF($F1959="","",IFERROR(INDEX(Items!$D$5:$D$597,MATCH($F1959,Items!$A$5:$A$597,0)),""))</f>
        <v/>
      </c>
      <c r="L1959" s="21" t="str">
        <f t="shared" si="338"/>
        <v/>
      </c>
      <c r="M1959" s="9" t="str">
        <f t="shared" si="336"/>
        <v/>
      </c>
      <c r="N1959" s="87" t="str">
        <f>IF($A1959="","",WORKDAY($A1959,Settings!$C$9,HolidayDates))</f>
        <v/>
      </c>
      <c r="O1959" s="24" t="str">
        <f>IF($N1959="","",WORKDAY($N1959,Settings!$C$10,HolidayDates))</f>
        <v/>
      </c>
      <c r="P1959" s="9"/>
      <c r="Q1959" s="88" t="str">
        <f t="shared" si="344"/>
        <v/>
      </c>
      <c r="R1959" s="55" t="str">
        <f t="shared" si="339"/>
        <v/>
      </c>
      <c r="S1959" s="59" t="str">
        <f>IF(OR($B1959="",$F1959="",$R1959=""),"",SUMIFS(tblIssues[Qty Issued],tblIssues[Staff ID],$B1959,tblIssues[Item Name],$F1959,tblIssues[Month],$R1959))</f>
        <v/>
      </c>
      <c r="T1959" s="56" t="str">
        <f>IF($I1959="","",$I1959*Settings!$C$11)</f>
        <v/>
      </c>
      <c r="U1959" s="57" t="str">
        <f t="shared" si="340"/>
        <v/>
      </c>
      <c r="V1959" s="55" t="str">
        <f t="shared" si="341"/>
        <v/>
      </c>
      <c r="W1959" s="55" t="str">
        <f>IF($V1959="","",IF(COUNTIF($V$5:$V1959,$V1959)=1,1,""))</f>
        <v/>
      </c>
      <c r="X1959" s="58" t="str">
        <f>IF($W1959="","",MAX($X$4:X1958)+1)</f>
        <v/>
      </c>
      <c r="Y1959" s="62"/>
      <c r="Z1959" s="62"/>
      <c r="AA1959" s="64" t="str">
        <f>IF($C1959="","",IFERROR(INDEX('Staff Directory'!$E$5:$E$594,MATCH($C1959,'Staff Directory'!$B$5:$B$594,0)),""))</f>
        <v/>
      </c>
      <c r="AB1959" s="64" t="str">
        <f>IF($C1959="","",IF(ISNUMBER(SEARCH($D1959,Settings!$C$15)),"Pickup","Dispatch"))</f>
        <v/>
      </c>
      <c r="AC1959" s="64" t="str">
        <f t="shared" si="342"/>
        <v/>
      </c>
      <c r="AD1959" s="64" t="str">
        <f t="shared" si="333"/>
        <v/>
      </c>
      <c r="AE1959" s="64" t="str">
        <f t="shared" si="334"/>
        <v/>
      </c>
      <c r="AF1959" s="89" t="str">
        <f t="shared" si="343"/>
        <v/>
      </c>
      <c r="AG1959" s="64" t="str">
        <f>IF($C1959="","",IFERROR(INDEX('Staff Directory'!$K$595:$K$599,MATCH($C1959,'Staff Directory'!$B$5:$B$599,0)),$D1959))</f>
        <v/>
      </c>
      <c r="AH1959" t="str">
        <f>IF($C1959="","",IFERROR(INDEX('Staff Directory'!$I$595:$I$599,MATCH($C1959,'Staff Directory'!$B$5:$B$599,0))&amp;" "&amp;INDEX('Staff Directory'!$J$595:$J$599,MATCH($C1959,'Staff Directory'!$B$5:$B$599,0)),$AG1959))</f>
        <v/>
      </c>
      <c r="AI1959" s="102"/>
      <c r="AJ1959" s="101" t="str">
        <f>IF($F1959="","",SUMIFS($J$5:$J1959,$F$5:$F1959,$F1959))</f>
        <v/>
      </c>
      <c r="AK1959" s="101" t="str">
        <f t="shared" si="335"/>
        <v/>
      </c>
      <c r="AL1959" s="66" t="str" cm="1">
        <f t="array" ref="AL1959">IF($F1959="","",IFERROR(INDEX('Lot Balance'!$B$5:$B$500,MATCH(1,INDEX(('Lot Balance'!$A$5:$A$500=$F1959)*('Lot Balance'!$K$5:$K$500&lt;$AK1959)*('Lot Balance'!$K$5:$K$500+'Lot Balance'!$D$5:$D$500&gt;=$AK1959),0),0)),""))</f>
        <v/>
      </c>
      <c r="AM1959" s="66" t="str" cm="1">
        <f t="array" ref="AM1959">IF($F1959="","",IFERROR(INDEX('Lot Balance'!$B$5:$B$500,MATCH(1,INDEX(('Lot Balance'!$A$5:$A$500=$F1959)*('Lot Balance'!$K$5:$K$500&lt;$AJ1959)*('Lot Balance'!$K$5:$K$500+'Lot Balance'!$D$5:$D$500&gt;=$AJ1959),0),0)),""))</f>
        <v/>
      </c>
      <c r="AN1959" s="66" t="str">
        <f>IF($F1959="","",IF($AI1959&lt;&gt;"",IF(COUNTIFS('Lot Balance'!$A$5:$A$500,$F1959,'Lot Balance'!$B$5:$B$500,$AI1959)=0,"⚠ override is not a lot of this item",IF($AI1959=$AL1959,"Override = FEFO","Override - FEFO says "&amp;$AL1959)),IF($AL1959="","⚠ no receipt on file for this item",IF($AM1959&lt;&gt;$AL1959,"FEFO auto - split, also "&amp;$AM1959,"FEFO auto"))))</f>
        <v/>
      </c>
      <c r="AO1959" s="114"/>
    </row>
    <row r="1960" spans="1:41" x14ac:dyDescent="0.35">
      <c r="A1960" s="75"/>
      <c r="B1960" s="80" t="str">
        <f>IF($C1960="","",IFERROR(INDEX('Staff Directory'!$A$5:$A$594,MATCH($C1960,'Staff Directory'!$B$5:$B$594,0)),"⚠ unknown staff"))</f>
        <v/>
      </c>
      <c r="C1960" s="49"/>
      <c r="D1960" s="19" t="str">
        <f>IF($B1960="","",IFERROR(INDEX('Staff Directory'!$C$5:$C$594,MATCH($B1960,'Staff Directory'!$A$5:$A$594,0)),""))</f>
        <v/>
      </c>
      <c r="E1960" s="19" t="str">
        <f>IF($B1960="","",IFERROR(INDEX('Staff Directory'!$D$5:$D$594,MATCH($B1960,'Staff Directory'!$A$5:$A$594,0)),""))</f>
        <v/>
      </c>
      <c r="F1960" s="9"/>
      <c r="G1960" s="18" t="str">
        <f>IF($F1960="","",IFERROR(INDEX(Items!$B$5:$B$597,MATCH($F1960,Items!$A$5:$A$597,0)),"⚠ not in Items"))</f>
        <v/>
      </c>
      <c r="H1960" s="19" t="str">
        <f>IF($F1960="","",IFERROR(INDEX(Items!$C$5:$C$597,MATCH($F1960,Items!$A$5:$A$597,0)),""))</f>
        <v/>
      </c>
      <c r="I1960" s="23" t="str">
        <f>IF($F1960="","",IFERROR(INDEX(Items!$E$5:$E$597,MATCH($F1960,Items!$A$5:$A$597,0)),""))</f>
        <v/>
      </c>
      <c r="J1960" s="116" t="str">
        <f>IF(tblIssues[[#This Row],[Qty Override]]&lt;&gt;"",tblIssues[[#This Row],[Qty Override]],IF(tblIssues[[#This Row],[Standard Issue]]="","",tblIssues[[#This Row],[Standard Issue]]))</f>
        <v/>
      </c>
      <c r="K1960" s="20" t="str">
        <f>IF($F1960="","",IFERROR(INDEX(Items!$D$5:$D$597,MATCH($F1960,Items!$A$5:$A$597,0)),""))</f>
        <v/>
      </c>
      <c r="L1960" s="21" t="str">
        <f t="shared" si="338"/>
        <v/>
      </c>
      <c r="M1960" s="9" t="str">
        <f t="shared" si="336"/>
        <v/>
      </c>
      <c r="N1960" s="87" t="str">
        <f>IF($A1960="","",WORKDAY($A1960,Settings!$C$9,HolidayDates))</f>
        <v/>
      </c>
      <c r="O1960" s="24" t="str">
        <f>IF($N1960="","",WORKDAY($N1960,Settings!$C$10,HolidayDates))</f>
        <v/>
      </c>
      <c r="P1960" s="9"/>
      <c r="Q1960" s="88" t="str">
        <f t="shared" si="344"/>
        <v/>
      </c>
      <c r="R1960" s="55" t="str">
        <f t="shared" si="339"/>
        <v/>
      </c>
      <c r="S1960" s="59" t="str">
        <f>IF(OR($B1960="",$F1960="",$R1960=""),"",SUMIFS(tblIssues[Qty Issued],tblIssues[Staff ID],$B1960,tblIssues[Item Name],$F1960,tblIssues[Month],$R1960))</f>
        <v/>
      </c>
      <c r="T1960" s="56" t="str">
        <f>IF($I1960="","",$I1960*Settings!$C$11)</f>
        <v/>
      </c>
      <c r="U1960" s="57" t="str">
        <f t="shared" si="340"/>
        <v/>
      </c>
      <c r="V1960" s="55" t="str">
        <f t="shared" si="341"/>
        <v/>
      </c>
      <c r="W1960" s="55" t="str">
        <f>IF($V1960="","",IF(COUNTIF($V$5:$V1960,$V1960)=1,1,""))</f>
        <v/>
      </c>
      <c r="X1960" s="58" t="str">
        <f>IF($W1960="","",MAX($X$4:X1959)+1)</f>
        <v/>
      </c>
      <c r="Y1960" s="62"/>
      <c r="Z1960" s="62"/>
      <c r="AA1960" s="64" t="str">
        <f>IF($C1960="","",IFERROR(INDEX('Staff Directory'!$E$5:$E$594,MATCH($C1960,'Staff Directory'!$B$5:$B$594,0)),""))</f>
        <v/>
      </c>
      <c r="AB1960" s="64" t="str">
        <f>IF($C1960="","",IF(ISNUMBER(SEARCH($D1960,Settings!$C$15)),"Pickup","Dispatch"))</f>
        <v/>
      </c>
      <c r="AC1960" s="64" t="str">
        <f t="shared" si="342"/>
        <v/>
      </c>
      <c r="AD1960" s="64" t="str">
        <f t="shared" si="333"/>
        <v/>
      </c>
      <c r="AE1960" s="64" t="str">
        <f t="shared" si="334"/>
        <v/>
      </c>
      <c r="AF1960" s="89" t="str">
        <f t="shared" si="343"/>
        <v/>
      </c>
      <c r="AG1960" s="64" t="str">
        <f>IF($C1960="","",IFERROR(INDEX('Staff Directory'!$K$595:$K$599,MATCH($C1960,'Staff Directory'!$B$5:$B$599,0)),$D1960))</f>
        <v/>
      </c>
      <c r="AH1960" t="str">
        <f>IF($C1960="","",IFERROR(INDEX('Staff Directory'!$I$595:$I$599,MATCH($C1960,'Staff Directory'!$B$5:$B$599,0))&amp;" "&amp;INDEX('Staff Directory'!$J$595:$J$599,MATCH($C1960,'Staff Directory'!$B$5:$B$599,0)),$AG1960))</f>
        <v/>
      </c>
      <c r="AI1960" s="102"/>
      <c r="AJ1960" s="101" t="str">
        <f>IF($F1960="","",SUMIFS($J$5:$J1960,$F$5:$F1960,$F1960))</f>
        <v/>
      </c>
      <c r="AK1960" s="101" t="str">
        <f t="shared" si="335"/>
        <v/>
      </c>
      <c r="AL1960" s="66" t="str" cm="1">
        <f t="array" ref="AL1960">IF($F1960="","",IFERROR(INDEX('Lot Balance'!$B$5:$B$500,MATCH(1,INDEX(('Lot Balance'!$A$5:$A$500=$F1960)*('Lot Balance'!$K$5:$K$500&lt;$AK1960)*('Lot Balance'!$K$5:$K$500+'Lot Balance'!$D$5:$D$500&gt;=$AK1960),0),0)),""))</f>
        <v/>
      </c>
      <c r="AM1960" s="66" t="str" cm="1">
        <f t="array" ref="AM1960">IF($F1960="","",IFERROR(INDEX('Lot Balance'!$B$5:$B$500,MATCH(1,INDEX(('Lot Balance'!$A$5:$A$500=$F1960)*('Lot Balance'!$K$5:$K$500&lt;$AJ1960)*('Lot Balance'!$K$5:$K$500+'Lot Balance'!$D$5:$D$500&gt;=$AJ1960),0),0)),""))</f>
        <v/>
      </c>
      <c r="AN1960" s="66" t="str">
        <f>IF($F1960="","",IF($AI1960&lt;&gt;"",IF(COUNTIFS('Lot Balance'!$A$5:$A$500,$F1960,'Lot Balance'!$B$5:$B$500,$AI1960)=0,"⚠ override is not a lot of this item",IF($AI1960=$AL1960,"Override = FEFO","Override - FEFO says "&amp;$AL1960)),IF($AL1960="","⚠ no receipt on file for this item",IF($AM1960&lt;&gt;$AL1960,"FEFO auto - split, also "&amp;$AM1960,"FEFO auto"))))</f>
        <v/>
      </c>
      <c r="AO1960" s="114"/>
    </row>
    <row r="1961" spans="1:41" x14ac:dyDescent="0.35">
      <c r="A1961" s="75"/>
      <c r="B1961" s="80" t="str">
        <f>IF($C1961="","",IFERROR(INDEX('Staff Directory'!$A$5:$A$594,MATCH($C1961,'Staff Directory'!$B$5:$B$594,0)),"⚠ unknown staff"))</f>
        <v/>
      </c>
      <c r="C1961" s="49"/>
      <c r="D1961" s="19" t="str">
        <f>IF($B1961="","",IFERROR(INDEX('Staff Directory'!$C$5:$C$594,MATCH($B1961,'Staff Directory'!$A$5:$A$594,0)),""))</f>
        <v/>
      </c>
      <c r="E1961" s="19" t="str">
        <f>IF($B1961="","",IFERROR(INDEX('Staff Directory'!$D$5:$D$594,MATCH($B1961,'Staff Directory'!$A$5:$A$594,0)),""))</f>
        <v/>
      </c>
      <c r="F1961" s="9"/>
      <c r="G1961" s="18" t="str">
        <f>IF($F1961="","",IFERROR(INDEX(Items!$B$5:$B$597,MATCH($F1961,Items!$A$5:$A$597,0)),"⚠ not in Items"))</f>
        <v/>
      </c>
      <c r="H1961" s="19" t="str">
        <f>IF($F1961="","",IFERROR(INDEX(Items!$C$5:$C$597,MATCH($F1961,Items!$A$5:$A$597,0)),""))</f>
        <v/>
      </c>
      <c r="I1961" s="23" t="str">
        <f>IF($F1961="","",IFERROR(INDEX(Items!$E$5:$E$597,MATCH($F1961,Items!$A$5:$A$597,0)),""))</f>
        <v/>
      </c>
      <c r="J1961" s="116" t="str">
        <f>IF(tblIssues[[#This Row],[Qty Override]]&lt;&gt;"",tblIssues[[#This Row],[Qty Override]],IF(tblIssues[[#This Row],[Standard Issue]]="","",tblIssues[[#This Row],[Standard Issue]]))</f>
        <v/>
      </c>
      <c r="K1961" s="20" t="str">
        <f>IF($F1961="","",IFERROR(INDEX(Items!$D$5:$D$597,MATCH($F1961,Items!$A$5:$A$597,0)),""))</f>
        <v/>
      </c>
      <c r="L1961" s="21" t="str">
        <f t="shared" si="338"/>
        <v/>
      </c>
      <c r="M1961" s="9" t="str">
        <f t="shared" si="336"/>
        <v/>
      </c>
      <c r="N1961" s="87" t="str">
        <f>IF($A1961="","",WORKDAY($A1961,Settings!$C$9,HolidayDates))</f>
        <v/>
      </c>
      <c r="O1961" s="24" t="str">
        <f>IF($N1961="","",WORKDAY($N1961,Settings!$C$10,HolidayDates))</f>
        <v/>
      </c>
      <c r="P1961" s="9"/>
      <c r="Q1961" s="88" t="str">
        <f t="shared" si="344"/>
        <v/>
      </c>
      <c r="R1961" s="55" t="str">
        <f t="shared" si="339"/>
        <v/>
      </c>
      <c r="S1961" s="59" t="str">
        <f>IF(OR($B1961="",$F1961="",$R1961=""),"",SUMIFS(tblIssues[Qty Issued],tblIssues[Staff ID],$B1961,tblIssues[Item Name],$F1961,tblIssues[Month],$R1961))</f>
        <v/>
      </c>
      <c r="T1961" s="56" t="str">
        <f>IF($I1961="","",$I1961*Settings!$C$11)</f>
        <v/>
      </c>
      <c r="U1961" s="57" t="str">
        <f t="shared" si="340"/>
        <v/>
      </c>
      <c r="V1961" s="55" t="str">
        <f t="shared" si="341"/>
        <v/>
      </c>
      <c r="W1961" s="55" t="str">
        <f>IF($V1961="","",IF(COUNTIF($V$5:$V1961,$V1961)=1,1,""))</f>
        <v/>
      </c>
      <c r="X1961" s="58" t="str">
        <f>IF($W1961="","",MAX($X$4:X1960)+1)</f>
        <v/>
      </c>
      <c r="Y1961" s="62"/>
      <c r="Z1961" s="62"/>
      <c r="AA1961" s="64" t="str">
        <f>IF($C1961="","",IFERROR(INDEX('Staff Directory'!$E$5:$E$594,MATCH($C1961,'Staff Directory'!$B$5:$B$594,0)),""))</f>
        <v/>
      </c>
      <c r="AB1961" s="64" t="str">
        <f>IF($C1961="","",IF(ISNUMBER(SEARCH($D1961,Settings!$C$15)),"Pickup","Dispatch"))</f>
        <v/>
      </c>
      <c r="AC1961" s="64" t="str">
        <f t="shared" si="342"/>
        <v/>
      </c>
      <c r="AD1961" s="64" t="str">
        <f t="shared" si="333"/>
        <v/>
      </c>
      <c r="AE1961" s="64" t="str">
        <f t="shared" si="334"/>
        <v/>
      </c>
      <c r="AF1961" s="89" t="str">
        <f t="shared" si="343"/>
        <v/>
      </c>
      <c r="AG1961" s="64" t="str">
        <f>IF($C1961="","",IFERROR(INDEX('Staff Directory'!$K$595:$K$599,MATCH($C1961,'Staff Directory'!$B$5:$B$599,0)),$D1961))</f>
        <v/>
      </c>
      <c r="AH1961" t="str">
        <f>IF($C1961="","",IFERROR(INDEX('Staff Directory'!$I$595:$I$599,MATCH($C1961,'Staff Directory'!$B$5:$B$599,0))&amp;" "&amp;INDEX('Staff Directory'!$J$595:$J$599,MATCH($C1961,'Staff Directory'!$B$5:$B$599,0)),$AG1961))</f>
        <v/>
      </c>
      <c r="AI1961" s="102"/>
      <c r="AJ1961" s="101" t="str">
        <f>IF($F1961="","",SUMIFS($J$5:$J1961,$F$5:$F1961,$F1961))</f>
        <v/>
      </c>
      <c r="AK1961" s="101" t="str">
        <f t="shared" si="335"/>
        <v/>
      </c>
      <c r="AL1961" s="66" t="str" cm="1">
        <f t="array" ref="AL1961">IF($F1961="","",IFERROR(INDEX('Lot Balance'!$B$5:$B$500,MATCH(1,INDEX(('Lot Balance'!$A$5:$A$500=$F1961)*('Lot Balance'!$K$5:$K$500&lt;$AK1961)*('Lot Balance'!$K$5:$K$500+'Lot Balance'!$D$5:$D$500&gt;=$AK1961),0),0)),""))</f>
        <v/>
      </c>
      <c r="AM1961" s="66" t="str" cm="1">
        <f t="array" ref="AM1961">IF($F1961="","",IFERROR(INDEX('Lot Balance'!$B$5:$B$500,MATCH(1,INDEX(('Lot Balance'!$A$5:$A$500=$F1961)*('Lot Balance'!$K$5:$K$500&lt;$AJ1961)*('Lot Balance'!$K$5:$K$500+'Lot Balance'!$D$5:$D$500&gt;=$AJ1961),0),0)),""))</f>
        <v/>
      </c>
      <c r="AN1961" s="66" t="str">
        <f>IF($F1961="","",IF($AI1961&lt;&gt;"",IF(COUNTIFS('Lot Balance'!$A$5:$A$500,$F1961,'Lot Balance'!$B$5:$B$500,$AI1961)=0,"⚠ override is not a lot of this item",IF($AI1961=$AL1961,"Override = FEFO","Override - FEFO says "&amp;$AL1961)),IF($AL1961="","⚠ no receipt on file for this item",IF($AM1961&lt;&gt;$AL1961,"FEFO auto - split, also "&amp;$AM1961,"FEFO auto"))))</f>
        <v/>
      </c>
      <c r="AO1961" s="114"/>
    </row>
    <row r="1962" spans="1:41" x14ac:dyDescent="0.35">
      <c r="A1962" s="75"/>
      <c r="B1962" s="80" t="str">
        <f>IF($C1962="","",IFERROR(INDEX('Staff Directory'!$A$5:$A$594,MATCH($C1962,'Staff Directory'!$B$5:$B$594,0)),"⚠ unknown staff"))</f>
        <v/>
      </c>
      <c r="C1962" s="49"/>
      <c r="D1962" s="19" t="str">
        <f>IF($B1962="","",IFERROR(INDEX('Staff Directory'!$C$5:$C$594,MATCH($B1962,'Staff Directory'!$A$5:$A$594,0)),""))</f>
        <v/>
      </c>
      <c r="E1962" s="19" t="str">
        <f>IF($B1962="","",IFERROR(INDEX('Staff Directory'!$D$5:$D$594,MATCH($B1962,'Staff Directory'!$A$5:$A$594,0)),""))</f>
        <v/>
      </c>
      <c r="F1962" s="9"/>
      <c r="G1962" s="18" t="str">
        <f>IF($F1962="","",IFERROR(INDEX(Items!$B$5:$B$597,MATCH($F1962,Items!$A$5:$A$597,0)),"⚠ not in Items"))</f>
        <v/>
      </c>
      <c r="H1962" s="19" t="str">
        <f>IF($F1962="","",IFERROR(INDEX(Items!$C$5:$C$597,MATCH($F1962,Items!$A$5:$A$597,0)),""))</f>
        <v/>
      </c>
      <c r="I1962" s="23" t="str">
        <f>IF($F1962="","",IFERROR(INDEX(Items!$E$5:$E$597,MATCH($F1962,Items!$A$5:$A$597,0)),""))</f>
        <v/>
      </c>
      <c r="J1962" s="116" t="str">
        <f>IF(tblIssues[[#This Row],[Qty Override]]&lt;&gt;"",tblIssues[[#This Row],[Qty Override]],IF(tblIssues[[#This Row],[Standard Issue]]="","",tblIssues[[#This Row],[Standard Issue]]))</f>
        <v/>
      </c>
      <c r="K1962" s="20" t="str">
        <f>IF($F1962="","",IFERROR(INDEX(Items!$D$5:$D$597,MATCH($F1962,Items!$A$5:$A$597,0)),""))</f>
        <v/>
      </c>
      <c r="L1962" s="21" t="str">
        <f t="shared" si="338"/>
        <v/>
      </c>
      <c r="M1962" s="9" t="str">
        <f t="shared" si="336"/>
        <v/>
      </c>
      <c r="N1962" s="87" t="str">
        <f>IF($A1962="","",WORKDAY($A1962,Settings!$C$9,HolidayDates))</f>
        <v/>
      </c>
      <c r="O1962" s="24" t="str">
        <f>IF($N1962="","",WORKDAY($N1962,Settings!$C$10,HolidayDates))</f>
        <v/>
      </c>
      <c r="P1962" s="9"/>
      <c r="Q1962" s="88" t="str">
        <f t="shared" si="344"/>
        <v/>
      </c>
      <c r="R1962" s="55" t="str">
        <f t="shared" si="339"/>
        <v/>
      </c>
      <c r="S1962" s="59" t="str">
        <f>IF(OR($B1962="",$F1962="",$R1962=""),"",SUMIFS(tblIssues[Qty Issued],tblIssues[Staff ID],$B1962,tblIssues[Item Name],$F1962,tblIssues[Month],$R1962))</f>
        <v/>
      </c>
      <c r="T1962" s="56" t="str">
        <f>IF($I1962="","",$I1962*Settings!$C$11)</f>
        <v/>
      </c>
      <c r="U1962" s="57" t="str">
        <f t="shared" si="340"/>
        <v/>
      </c>
      <c r="V1962" s="55" t="str">
        <f t="shared" si="341"/>
        <v/>
      </c>
      <c r="W1962" s="55" t="str">
        <f>IF($V1962="","",IF(COUNTIF($V$5:$V1962,$V1962)=1,1,""))</f>
        <v/>
      </c>
      <c r="X1962" s="58" t="str">
        <f>IF($W1962="","",MAX($X$4:X1961)+1)</f>
        <v/>
      </c>
      <c r="Y1962" s="62"/>
      <c r="Z1962" s="62"/>
      <c r="AA1962" s="64" t="str">
        <f>IF($C1962="","",IFERROR(INDEX('Staff Directory'!$E$5:$E$594,MATCH($C1962,'Staff Directory'!$B$5:$B$594,0)),""))</f>
        <v/>
      </c>
      <c r="AB1962" s="64" t="str">
        <f>IF($C1962="","",IF(ISNUMBER(SEARCH($D1962,Settings!$C$15)),"Pickup","Dispatch"))</f>
        <v/>
      </c>
      <c r="AC1962" s="64" t="str">
        <f t="shared" si="342"/>
        <v/>
      </c>
      <c r="AD1962" s="64" t="str">
        <f t="shared" si="333"/>
        <v/>
      </c>
      <c r="AE1962" s="64" t="str">
        <f t="shared" si="334"/>
        <v/>
      </c>
      <c r="AF1962" s="89" t="str">
        <f t="shared" si="343"/>
        <v/>
      </c>
      <c r="AG1962" s="64" t="str">
        <f>IF($C1962="","",IFERROR(INDEX('Staff Directory'!$K$595:$K$599,MATCH($C1962,'Staff Directory'!$B$5:$B$599,0)),$D1962))</f>
        <v/>
      </c>
      <c r="AH1962" t="str">
        <f>IF($C1962="","",IFERROR(INDEX('Staff Directory'!$I$595:$I$599,MATCH($C1962,'Staff Directory'!$B$5:$B$599,0))&amp;" "&amp;INDEX('Staff Directory'!$J$595:$J$599,MATCH($C1962,'Staff Directory'!$B$5:$B$599,0)),$AG1962))</f>
        <v/>
      </c>
      <c r="AI1962" s="102"/>
      <c r="AJ1962" s="101" t="str">
        <f>IF($F1962="","",SUMIFS($J$5:$J1962,$F$5:$F1962,$F1962))</f>
        <v/>
      </c>
      <c r="AK1962" s="101" t="str">
        <f t="shared" si="335"/>
        <v/>
      </c>
      <c r="AL1962" s="66" t="str" cm="1">
        <f t="array" ref="AL1962">IF($F1962="","",IFERROR(INDEX('Lot Balance'!$B$5:$B$500,MATCH(1,INDEX(('Lot Balance'!$A$5:$A$500=$F1962)*('Lot Balance'!$K$5:$K$500&lt;$AK1962)*('Lot Balance'!$K$5:$K$500+'Lot Balance'!$D$5:$D$500&gt;=$AK1962),0),0)),""))</f>
        <v/>
      </c>
      <c r="AM1962" s="66" t="str" cm="1">
        <f t="array" ref="AM1962">IF($F1962="","",IFERROR(INDEX('Lot Balance'!$B$5:$B$500,MATCH(1,INDEX(('Lot Balance'!$A$5:$A$500=$F1962)*('Lot Balance'!$K$5:$K$500&lt;$AJ1962)*('Lot Balance'!$K$5:$K$500+'Lot Balance'!$D$5:$D$500&gt;=$AJ1962),0),0)),""))</f>
        <v/>
      </c>
      <c r="AN1962" s="66" t="str">
        <f>IF($F1962="","",IF($AI1962&lt;&gt;"",IF(COUNTIFS('Lot Balance'!$A$5:$A$500,$F1962,'Lot Balance'!$B$5:$B$500,$AI1962)=0,"⚠ override is not a lot of this item",IF($AI1962=$AL1962,"Override = FEFO","Override - FEFO says "&amp;$AL1962)),IF($AL1962="","⚠ no receipt on file for this item",IF($AM1962&lt;&gt;$AL1962,"FEFO auto - split, also "&amp;$AM1962,"FEFO auto"))))</f>
        <v/>
      </c>
      <c r="AO1962" s="114"/>
    </row>
    <row r="1963" spans="1:41" x14ac:dyDescent="0.35">
      <c r="A1963" s="75"/>
      <c r="B1963" s="80" t="str">
        <f>IF($C1963="","",IFERROR(INDEX('Staff Directory'!$A$5:$A$594,MATCH($C1963,'Staff Directory'!$B$5:$B$594,0)),"⚠ unknown staff"))</f>
        <v/>
      </c>
      <c r="C1963" s="49"/>
      <c r="D1963" s="19" t="str">
        <f>IF($B1963="","",IFERROR(INDEX('Staff Directory'!$C$5:$C$594,MATCH($B1963,'Staff Directory'!$A$5:$A$594,0)),""))</f>
        <v/>
      </c>
      <c r="E1963" s="19" t="str">
        <f>IF($B1963="","",IFERROR(INDEX('Staff Directory'!$D$5:$D$594,MATCH($B1963,'Staff Directory'!$A$5:$A$594,0)),""))</f>
        <v/>
      </c>
      <c r="F1963" s="9"/>
      <c r="G1963" s="18" t="str">
        <f>IF($F1963="","",IFERROR(INDEX(Items!$B$5:$B$597,MATCH($F1963,Items!$A$5:$A$597,0)),"⚠ not in Items"))</f>
        <v/>
      </c>
      <c r="H1963" s="19" t="str">
        <f>IF($F1963="","",IFERROR(INDEX(Items!$C$5:$C$597,MATCH($F1963,Items!$A$5:$A$597,0)),""))</f>
        <v/>
      </c>
      <c r="I1963" s="23" t="str">
        <f>IF($F1963="","",IFERROR(INDEX(Items!$E$5:$E$597,MATCH($F1963,Items!$A$5:$A$597,0)),""))</f>
        <v/>
      </c>
      <c r="J1963" s="116" t="str">
        <f>IF(tblIssues[[#This Row],[Qty Override]]&lt;&gt;"",tblIssues[[#This Row],[Qty Override]],IF(tblIssues[[#This Row],[Standard Issue]]="","",tblIssues[[#This Row],[Standard Issue]]))</f>
        <v/>
      </c>
      <c r="K1963" s="20" t="str">
        <f>IF($F1963="","",IFERROR(INDEX(Items!$D$5:$D$597,MATCH($F1963,Items!$A$5:$A$597,0)),""))</f>
        <v/>
      </c>
      <c r="L1963" s="21" t="str">
        <f t="shared" si="338"/>
        <v/>
      </c>
      <c r="M1963" s="9" t="str">
        <f t="shared" si="336"/>
        <v/>
      </c>
      <c r="N1963" s="87" t="str">
        <f>IF($A1963="","",WORKDAY($A1963,Settings!$C$9,HolidayDates))</f>
        <v/>
      </c>
      <c r="O1963" s="24" t="str">
        <f>IF($N1963="","",WORKDAY($N1963,Settings!$C$10,HolidayDates))</f>
        <v/>
      </c>
      <c r="P1963" s="9"/>
      <c r="Q1963" s="88" t="str">
        <f t="shared" si="344"/>
        <v/>
      </c>
      <c r="R1963" s="55" t="str">
        <f t="shared" si="339"/>
        <v/>
      </c>
      <c r="S1963" s="59" t="str">
        <f>IF(OR($B1963="",$F1963="",$R1963=""),"",SUMIFS(tblIssues[Qty Issued],tblIssues[Staff ID],$B1963,tblIssues[Item Name],$F1963,tblIssues[Month],$R1963))</f>
        <v/>
      </c>
      <c r="T1963" s="56" t="str">
        <f>IF($I1963="","",$I1963*Settings!$C$11)</f>
        <v/>
      </c>
      <c r="U1963" s="57" t="str">
        <f t="shared" si="340"/>
        <v/>
      </c>
      <c r="V1963" s="55" t="str">
        <f t="shared" si="341"/>
        <v/>
      </c>
      <c r="W1963" s="55" t="str">
        <f>IF($V1963="","",IF(COUNTIF($V$5:$V1963,$V1963)=1,1,""))</f>
        <v/>
      </c>
      <c r="X1963" s="58" t="str">
        <f>IF($W1963="","",MAX($X$4:X1962)+1)</f>
        <v/>
      </c>
      <c r="Y1963" s="62"/>
      <c r="Z1963" s="62"/>
      <c r="AA1963" s="64" t="str">
        <f>IF($C1963="","",IFERROR(INDEX('Staff Directory'!$E$5:$E$594,MATCH($C1963,'Staff Directory'!$B$5:$B$594,0)),""))</f>
        <v/>
      </c>
      <c r="AB1963" s="64" t="str">
        <f>IF($C1963="","",IF(ISNUMBER(SEARCH($D1963,Settings!$C$15)),"Pickup","Dispatch"))</f>
        <v/>
      </c>
      <c r="AC1963" s="64" t="str">
        <f t="shared" si="342"/>
        <v/>
      </c>
      <c r="AD1963" s="64" t="str">
        <f t="shared" si="333"/>
        <v/>
      </c>
      <c r="AE1963" s="64" t="str">
        <f t="shared" si="334"/>
        <v/>
      </c>
      <c r="AF1963" s="89" t="str">
        <f t="shared" si="343"/>
        <v/>
      </c>
      <c r="AG1963" s="64" t="str">
        <f>IF($C1963="","",IFERROR(INDEX('Staff Directory'!$K$595:$K$599,MATCH($C1963,'Staff Directory'!$B$5:$B$599,0)),$D1963))</f>
        <v/>
      </c>
      <c r="AH1963" t="str">
        <f>IF($C1963="","",IFERROR(INDEX('Staff Directory'!$I$595:$I$599,MATCH($C1963,'Staff Directory'!$B$5:$B$599,0))&amp;" "&amp;INDEX('Staff Directory'!$J$595:$J$599,MATCH($C1963,'Staff Directory'!$B$5:$B$599,0)),$AG1963))</f>
        <v/>
      </c>
      <c r="AI1963" s="102"/>
      <c r="AJ1963" s="101" t="str">
        <f>IF($F1963="","",SUMIFS($J$5:$J1963,$F$5:$F1963,$F1963))</f>
        <v/>
      </c>
      <c r="AK1963" s="101" t="str">
        <f t="shared" si="335"/>
        <v/>
      </c>
      <c r="AL1963" s="66" t="str" cm="1">
        <f t="array" ref="AL1963">IF($F1963="","",IFERROR(INDEX('Lot Balance'!$B$5:$B$500,MATCH(1,INDEX(('Lot Balance'!$A$5:$A$500=$F1963)*('Lot Balance'!$K$5:$K$500&lt;$AK1963)*('Lot Balance'!$K$5:$K$500+'Lot Balance'!$D$5:$D$500&gt;=$AK1963),0),0)),""))</f>
        <v/>
      </c>
      <c r="AM1963" s="66" t="str" cm="1">
        <f t="array" ref="AM1963">IF($F1963="","",IFERROR(INDEX('Lot Balance'!$B$5:$B$500,MATCH(1,INDEX(('Lot Balance'!$A$5:$A$500=$F1963)*('Lot Balance'!$K$5:$K$500&lt;$AJ1963)*('Lot Balance'!$K$5:$K$500+'Lot Balance'!$D$5:$D$500&gt;=$AJ1963),0),0)),""))</f>
        <v/>
      </c>
      <c r="AN1963" s="66" t="str">
        <f>IF($F1963="","",IF($AI1963&lt;&gt;"",IF(COUNTIFS('Lot Balance'!$A$5:$A$500,$F1963,'Lot Balance'!$B$5:$B$500,$AI1963)=0,"⚠ override is not a lot of this item",IF($AI1963=$AL1963,"Override = FEFO","Override - FEFO says "&amp;$AL1963)),IF($AL1963="","⚠ no receipt on file for this item",IF($AM1963&lt;&gt;$AL1963,"FEFO auto - split, also "&amp;$AM1963,"FEFO auto"))))</f>
        <v/>
      </c>
      <c r="AO1963" s="114"/>
    </row>
    <row r="1964" spans="1:41" x14ac:dyDescent="0.35">
      <c r="A1964" s="75"/>
      <c r="B1964" s="80" t="str">
        <f>IF($C1964="","",IFERROR(INDEX('Staff Directory'!$A$5:$A$594,MATCH($C1964,'Staff Directory'!$B$5:$B$594,0)),"⚠ unknown staff"))</f>
        <v/>
      </c>
      <c r="C1964" s="49"/>
      <c r="D1964" s="19" t="str">
        <f>IF($B1964="","",IFERROR(INDEX('Staff Directory'!$C$5:$C$594,MATCH($B1964,'Staff Directory'!$A$5:$A$594,0)),""))</f>
        <v/>
      </c>
      <c r="E1964" s="19" t="str">
        <f>IF($B1964="","",IFERROR(INDEX('Staff Directory'!$D$5:$D$594,MATCH($B1964,'Staff Directory'!$A$5:$A$594,0)),""))</f>
        <v/>
      </c>
      <c r="F1964" s="9"/>
      <c r="G1964" s="18" t="str">
        <f>IF($F1964="","",IFERROR(INDEX(Items!$B$5:$B$597,MATCH($F1964,Items!$A$5:$A$597,0)),"⚠ not in Items"))</f>
        <v/>
      </c>
      <c r="H1964" s="19" t="str">
        <f>IF($F1964="","",IFERROR(INDEX(Items!$C$5:$C$597,MATCH($F1964,Items!$A$5:$A$597,0)),""))</f>
        <v/>
      </c>
      <c r="I1964" s="23" t="str">
        <f>IF($F1964="","",IFERROR(INDEX(Items!$E$5:$E$597,MATCH($F1964,Items!$A$5:$A$597,0)),""))</f>
        <v/>
      </c>
      <c r="J1964" s="116" t="str">
        <f>IF(tblIssues[[#This Row],[Qty Override]]&lt;&gt;"",tblIssues[[#This Row],[Qty Override]],IF(tblIssues[[#This Row],[Standard Issue]]="","",tblIssues[[#This Row],[Standard Issue]]))</f>
        <v/>
      </c>
      <c r="K1964" s="20" t="str">
        <f>IF($F1964="","",IFERROR(INDEX(Items!$D$5:$D$597,MATCH($F1964,Items!$A$5:$A$597,0)),""))</f>
        <v/>
      </c>
      <c r="L1964" s="21" t="str">
        <f t="shared" si="338"/>
        <v/>
      </c>
      <c r="M1964" s="9" t="str">
        <f t="shared" si="336"/>
        <v/>
      </c>
      <c r="N1964" s="87" t="str">
        <f>IF($A1964="","",WORKDAY($A1964,Settings!$C$9,HolidayDates))</f>
        <v/>
      </c>
      <c r="O1964" s="24" t="str">
        <f>IF($N1964="","",WORKDAY($N1964,Settings!$C$10,HolidayDates))</f>
        <v/>
      </c>
      <c r="P1964" s="9"/>
      <c r="Q1964" s="88" t="str">
        <f t="shared" si="344"/>
        <v/>
      </c>
      <c r="R1964" s="55" t="str">
        <f t="shared" si="339"/>
        <v/>
      </c>
      <c r="S1964" s="59" t="str">
        <f>IF(OR($B1964="",$F1964="",$R1964=""),"",SUMIFS(tblIssues[Qty Issued],tblIssues[Staff ID],$B1964,tblIssues[Item Name],$F1964,tblIssues[Month],$R1964))</f>
        <v/>
      </c>
      <c r="T1964" s="56" t="str">
        <f>IF($I1964="","",$I1964*Settings!$C$11)</f>
        <v/>
      </c>
      <c r="U1964" s="57" t="str">
        <f t="shared" si="340"/>
        <v/>
      </c>
      <c r="V1964" s="55" t="str">
        <f t="shared" si="341"/>
        <v/>
      </c>
      <c r="W1964" s="55" t="str">
        <f>IF($V1964="","",IF(COUNTIF($V$5:$V1964,$V1964)=1,1,""))</f>
        <v/>
      </c>
      <c r="X1964" s="58" t="str">
        <f>IF($W1964="","",MAX($X$4:X1963)+1)</f>
        <v/>
      </c>
      <c r="Y1964" s="62"/>
      <c r="Z1964" s="62"/>
      <c r="AA1964" s="64" t="str">
        <f>IF($C1964="","",IFERROR(INDEX('Staff Directory'!$E$5:$E$594,MATCH($C1964,'Staff Directory'!$B$5:$B$594,0)),""))</f>
        <v/>
      </c>
      <c r="AB1964" s="64" t="str">
        <f>IF($C1964="","",IF(ISNUMBER(SEARCH($D1964,Settings!$C$15)),"Pickup","Dispatch"))</f>
        <v/>
      </c>
      <c r="AC1964" s="64" t="str">
        <f t="shared" si="342"/>
        <v/>
      </c>
      <c r="AD1964" s="64" t="str">
        <f t="shared" si="333"/>
        <v/>
      </c>
      <c r="AE1964" s="64" t="str">
        <f t="shared" si="334"/>
        <v/>
      </c>
      <c r="AF1964" s="89" t="str">
        <f t="shared" si="343"/>
        <v/>
      </c>
      <c r="AG1964" s="64" t="str">
        <f>IF($C1964="","",IFERROR(INDEX('Staff Directory'!$K$595:$K$599,MATCH($C1964,'Staff Directory'!$B$5:$B$599,0)),$D1964))</f>
        <v/>
      </c>
      <c r="AH1964" t="str">
        <f>IF($C1964="","",IFERROR(INDEX('Staff Directory'!$I$595:$I$599,MATCH($C1964,'Staff Directory'!$B$5:$B$599,0))&amp;" "&amp;INDEX('Staff Directory'!$J$595:$J$599,MATCH($C1964,'Staff Directory'!$B$5:$B$599,0)),$AG1964))</f>
        <v/>
      </c>
      <c r="AI1964" s="102"/>
      <c r="AJ1964" s="101" t="str">
        <f>IF($F1964="","",SUMIFS($J$5:$J1964,$F$5:$F1964,$F1964))</f>
        <v/>
      </c>
      <c r="AK1964" s="101" t="str">
        <f t="shared" si="335"/>
        <v/>
      </c>
      <c r="AL1964" s="66" t="str" cm="1">
        <f t="array" ref="AL1964">IF($F1964="","",IFERROR(INDEX('Lot Balance'!$B$5:$B$500,MATCH(1,INDEX(('Lot Balance'!$A$5:$A$500=$F1964)*('Lot Balance'!$K$5:$K$500&lt;$AK1964)*('Lot Balance'!$K$5:$K$500+'Lot Balance'!$D$5:$D$500&gt;=$AK1964),0),0)),""))</f>
        <v/>
      </c>
      <c r="AM1964" s="66" t="str" cm="1">
        <f t="array" ref="AM1964">IF($F1964="","",IFERROR(INDEX('Lot Balance'!$B$5:$B$500,MATCH(1,INDEX(('Lot Balance'!$A$5:$A$500=$F1964)*('Lot Balance'!$K$5:$K$500&lt;$AJ1964)*('Lot Balance'!$K$5:$K$500+'Lot Balance'!$D$5:$D$500&gt;=$AJ1964),0),0)),""))</f>
        <v/>
      </c>
      <c r="AN1964" s="66" t="str">
        <f>IF($F1964="","",IF($AI1964&lt;&gt;"",IF(COUNTIFS('Lot Balance'!$A$5:$A$500,$F1964,'Lot Balance'!$B$5:$B$500,$AI1964)=0,"⚠ override is not a lot of this item",IF($AI1964=$AL1964,"Override = FEFO","Override - FEFO says "&amp;$AL1964)),IF($AL1964="","⚠ no receipt on file for this item",IF($AM1964&lt;&gt;$AL1964,"FEFO auto - split, also "&amp;$AM1964,"FEFO auto"))))</f>
        <v/>
      </c>
      <c r="AO1964" s="114"/>
    </row>
    <row r="1965" spans="1:41" x14ac:dyDescent="0.35">
      <c r="A1965" s="75"/>
      <c r="B1965" s="80" t="str">
        <f>IF($C1965="","",IFERROR(INDEX('Staff Directory'!$A$5:$A$594,MATCH($C1965,'Staff Directory'!$B$5:$B$594,0)),"⚠ unknown staff"))</f>
        <v/>
      </c>
      <c r="C1965" s="49"/>
      <c r="D1965" s="19" t="str">
        <f>IF($B1965="","",IFERROR(INDEX('Staff Directory'!$C$5:$C$594,MATCH($B1965,'Staff Directory'!$A$5:$A$594,0)),""))</f>
        <v/>
      </c>
      <c r="E1965" s="19" t="str">
        <f>IF($B1965="","",IFERROR(INDEX('Staff Directory'!$D$5:$D$594,MATCH($B1965,'Staff Directory'!$A$5:$A$594,0)),""))</f>
        <v/>
      </c>
      <c r="F1965" s="9"/>
      <c r="G1965" s="18" t="str">
        <f>IF($F1965="","",IFERROR(INDEX(Items!$B$5:$B$597,MATCH($F1965,Items!$A$5:$A$597,0)),"⚠ not in Items"))</f>
        <v/>
      </c>
      <c r="H1965" s="19" t="str">
        <f>IF($F1965="","",IFERROR(INDEX(Items!$C$5:$C$597,MATCH($F1965,Items!$A$5:$A$597,0)),""))</f>
        <v/>
      </c>
      <c r="I1965" s="23" t="str">
        <f>IF($F1965="","",IFERROR(INDEX(Items!$E$5:$E$597,MATCH($F1965,Items!$A$5:$A$597,0)),""))</f>
        <v/>
      </c>
      <c r="J1965" s="116" t="str">
        <f>IF(tblIssues[[#This Row],[Qty Override]]&lt;&gt;"",tblIssues[[#This Row],[Qty Override]],IF(tblIssues[[#This Row],[Standard Issue]]="","",tblIssues[[#This Row],[Standard Issue]]))</f>
        <v/>
      </c>
      <c r="K1965" s="20" t="str">
        <f>IF($F1965="","",IFERROR(INDEX(Items!$D$5:$D$597,MATCH($F1965,Items!$A$5:$A$597,0)),""))</f>
        <v/>
      </c>
      <c r="L1965" s="21" t="str">
        <f t="shared" si="338"/>
        <v/>
      </c>
      <c r="M1965" s="9" t="str">
        <f t="shared" si="336"/>
        <v/>
      </c>
      <c r="N1965" s="87" t="str">
        <f>IF($A1965="","",WORKDAY($A1965,Settings!$C$9,HolidayDates))</f>
        <v/>
      </c>
      <c r="O1965" s="24" t="str">
        <f>IF($N1965="","",WORKDAY($N1965,Settings!$C$10,HolidayDates))</f>
        <v/>
      </c>
      <c r="P1965" s="9"/>
      <c r="Q1965" s="88" t="str">
        <f t="shared" si="344"/>
        <v/>
      </c>
      <c r="R1965" s="55" t="str">
        <f t="shared" si="339"/>
        <v/>
      </c>
      <c r="S1965" s="59" t="str">
        <f>IF(OR($B1965="",$F1965="",$R1965=""),"",SUMIFS(tblIssues[Qty Issued],tblIssues[Staff ID],$B1965,tblIssues[Item Name],$F1965,tblIssues[Month],$R1965))</f>
        <v/>
      </c>
      <c r="T1965" s="56" t="str">
        <f>IF($I1965="","",$I1965*Settings!$C$11)</f>
        <v/>
      </c>
      <c r="U1965" s="57" t="str">
        <f t="shared" si="340"/>
        <v/>
      </c>
      <c r="V1965" s="55" t="str">
        <f t="shared" si="341"/>
        <v/>
      </c>
      <c r="W1965" s="55" t="str">
        <f>IF($V1965="","",IF(COUNTIF($V$5:$V1965,$V1965)=1,1,""))</f>
        <v/>
      </c>
      <c r="X1965" s="58" t="str">
        <f>IF($W1965="","",MAX($X$4:X1964)+1)</f>
        <v/>
      </c>
      <c r="Y1965" s="62"/>
      <c r="Z1965" s="62"/>
      <c r="AA1965" s="64" t="str">
        <f>IF($C1965="","",IFERROR(INDEX('Staff Directory'!$E$5:$E$594,MATCH($C1965,'Staff Directory'!$B$5:$B$594,0)),""))</f>
        <v/>
      </c>
      <c r="AB1965" s="64" t="str">
        <f>IF($C1965="","",IF(ISNUMBER(SEARCH($D1965,Settings!$C$15)),"Pickup","Dispatch"))</f>
        <v/>
      </c>
      <c r="AC1965" s="64" t="str">
        <f t="shared" si="342"/>
        <v/>
      </c>
      <c r="AD1965" s="64" t="str">
        <f t="shared" si="333"/>
        <v/>
      </c>
      <c r="AE1965" s="64" t="str">
        <f t="shared" si="334"/>
        <v/>
      </c>
      <c r="AF1965" s="89" t="str">
        <f t="shared" si="343"/>
        <v/>
      </c>
      <c r="AG1965" s="64" t="str">
        <f>IF($C1965="","",IFERROR(INDEX('Staff Directory'!$K$595:$K$599,MATCH($C1965,'Staff Directory'!$B$5:$B$599,0)),$D1965))</f>
        <v/>
      </c>
      <c r="AH1965" t="str">
        <f>IF($C1965="","",IFERROR(INDEX('Staff Directory'!$I$595:$I$599,MATCH($C1965,'Staff Directory'!$B$5:$B$599,0))&amp;" "&amp;INDEX('Staff Directory'!$J$595:$J$599,MATCH($C1965,'Staff Directory'!$B$5:$B$599,0)),$AG1965))</f>
        <v/>
      </c>
      <c r="AI1965" s="102"/>
      <c r="AJ1965" s="101" t="str">
        <f>IF($F1965="","",SUMIFS($J$5:$J1965,$F$5:$F1965,$F1965))</f>
        <v/>
      </c>
      <c r="AK1965" s="101" t="str">
        <f t="shared" si="335"/>
        <v/>
      </c>
      <c r="AL1965" s="66" t="str" cm="1">
        <f t="array" ref="AL1965">IF($F1965="","",IFERROR(INDEX('Lot Balance'!$B$5:$B$500,MATCH(1,INDEX(('Lot Balance'!$A$5:$A$500=$F1965)*('Lot Balance'!$K$5:$K$500&lt;$AK1965)*('Lot Balance'!$K$5:$K$500+'Lot Balance'!$D$5:$D$500&gt;=$AK1965),0),0)),""))</f>
        <v/>
      </c>
      <c r="AM1965" s="66" t="str" cm="1">
        <f t="array" ref="AM1965">IF($F1965="","",IFERROR(INDEX('Lot Balance'!$B$5:$B$500,MATCH(1,INDEX(('Lot Balance'!$A$5:$A$500=$F1965)*('Lot Balance'!$K$5:$K$500&lt;$AJ1965)*('Lot Balance'!$K$5:$K$500+'Lot Balance'!$D$5:$D$500&gt;=$AJ1965),0),0)),""))</f>
        <v/>
      </c>
      <c r="AN1965" s="66" t="str">
        <f>IF($F1965="","",IF($AI1965&lt;&gt;"",IF(COUNTIFS('Lot Balance'!$A$5:$A$500,$F1965,'Lot Balance'!$B$5:$B$500,$AI1965)=0,"⚠ override is not a lot of this item",IF($AI1965=$AL1965,"Override = FEFO","Override - FEFO says "&amp;$AL1965)),IF($AL1965="","⚠ no receipt on file for this item",IF($AM1965&lt;&gt;$AL1965,"FEFO auto - split, also "&amp;$AM1965,"FEFO auto"))))</f>
        <v/>
      </c>
      <c r="AO1965" s="114"/>
    </row>
    <row r="1966" spans="1:41" x14ac:dyDescent="0.35">
      <c r="A1966" s="75"/>
      <c r="B1966" s="80" t="str">
        <f>IF($C1966="","",IFERROR(INDEX('Staff Directory'!$A$5:$A$594,MATCH($C1966,'Staff Directory'!$B$5:$B$594,0)),"⚠ unknown staff"))</f>
        <v/>
      </c>
      <c r="C1966" s="49"/>
      <c r="D1966" s="19" t="str">
        <f>IF($B1966="","",IFERROR(INDEX('Staff Directory'!$C$5:$C$594,MATCH($B1966,'Staff Directory'!$A$5:$A$594,0)),""))</f>
        <v/>
      </c>
      <c r="E1966" s="19" t="str">
        <f>IF($B1966="","",IFERROR(INDEX('Staff Directory'!$D$5:$D$594,MATCH($B1966,'Staff Directory'!$A$5:$A$594,0)),""))</f>
        <v/>
      </c>
      <c r="F1966" s="9"/>
      <c r="G1966" s="18" t="str">
        <f>IF($F1966="","",IFERROR(INDEX(Items!$B$5:$B$597,MATCH($F1966,Items!$A$5:$A$597,0)),"⚠ not in Items"))</f>
        <v/>
      </c>
      <c r="H1966" s="19" t="str">
        <f>IF($F1966="","",IFERROR(INDEX(Items!$C$5:$C$597,MATCH($F1966,Items!$A$5:$A$597,0)),""))</f>
        <v/>
      </c>
      <c r="I1966" s="23" t="str">
        <f>IF($F1966="","",IFERROR(INDEX(Items!$E$5:$E$597,MATCH($F1966,Items!$A$5:$A$597,0)),""))</f>
        <v/>
      </c>
      <c r="J1966" s="116" t="str">
        <f>IF(tblIssues[[#This Row],[Qty Override]]&lt;&gt;"",tblIssues[[#This Row],[Qty Override]],IF(tblIssues[[#This Row],[Standard Issue]]="","",tblIssues[[#This Row],[Standard Issue]]))</f>
        <v/>
      </c>
      <c r="K1966" s="20" t="str">
        <f>IF($F1966="","",IFERROR(INDEX(Items!$D$5:$D$597,MATCH($F1966,Items!$A$5:$A$597,0)),""))</f>
        <v/>
      </c>
      <c r="L1966" s="21" t="str">
        <f t="shared" si="338"/>
        <v/>
      </c>
      <c r="M1966" s="9" t="str">
        <f t="shared" si="336"/>
        <v/>
      </c>
      <c r="N1966" s="87" t="str">
        <f>IF($A1966="","",WORKDAY($A1966,Settings!$C$9,HolidayDates))</f>
        <v/>
      </c>
      <c r="O1966" s="24" t="str">
        <f>IF($N1966="","",WORKDAY($N1966,Settings!$C$10,HolidayDates))</f>
        <v/>
      </c>
      <c r="P1966" s="9"/>
      <c r="Q1966" s="88" t="str">
        <f t="shared" si="344"/>
        <v/>
      </c>
      <c r="R1966" s="55" t="str">
        <f t="shared" si="339"/>
        <v/>
      </c>
      <c r="S1966" s="59" t="str">
        <f>IF(OR($B1966="",$F1966="",$R1966=""),"",SUMIFS(tblIssues[Qty Issued],tblIssues[Staff ID],$B1966,tblIssues[Item Name],$F1966,tblIssues[Month],$R1966))</f>
        <v/>
      </c>
      <c r="T1966" s="56" t="str">
        <f>IF($I1966="","",$I1966*Settings!$C$11)</f>
        <v/>
      </c>
      <c r="U1966" s="57" t="str">
        <f t="shared" si="340"/>
        <v/>
      </c>
      <c r="V1966" s="55" t="str">
        <f t="shared" si="341"/>
        <v/>
      </c>
      <c r="W1966" s="55" t="str">
        <f>IF($V1966="","",IF(COUNTIF($V$5:$V1966,$V1966)=1,1,""))</f>
        <v/>
      </c>
      <c r="X1966" s="58" t="str">
        <f>IF($W1966="","",MAX($X$4:X1965)+1)</f>
        <v/>
      </c>
      <c r="Y1966" s="62"/>
      <c r="Z1966" s="62"/>
      <c r="AA1966" s="64" t="str">
        <f>IF($C1966="","",IFERROR(INDEX('Staff Directory'!$E$5:$E$594,MATCH($C1966,'Staff Directory'!$B$5:$B$594,0)),""))</f>
        <v/>
      </c>
      <c r="AB1966" s="64" t="str">
        <f>IF($C1966="","",IF(ISNUMBER(SEARCH($D1966,Settings!$C$15)),"Pickup","Dispatch"))</f>
        <v/>
      </c>
      <c r="AC1966" s="64" t="str">
        <f t="shared" si="342"/>
        <v/>
      </c>
      <c r="AD1966" s="64" t="str">
        <f t="shared" si="333"/>
        <v/>
      </c>
      <c r="AE1966" s="64" t="str">
        <f t="shared" si="334"/>
        <v/>
      </c>
      <c r="AF1966" s="89" t="str">
        <f t="shared" si="343"/>
        <v/>
      </c>
      <c r="AG1966" s="64" t="str">
        <f>IF($C1966="","",IFERROR(INDEX('Staff Directory'!$K$595:$K$599,MATCH($C1966,'Staff Directory'!$B$5:$B$599,0)),$D1966))</f>
        <v/>
      </c>
      <c r="AH1966" t="str">
        <f>IF($C1966="","",IFERROR(INDEX('Staff Directory'!$I$595:$I$599,MATCH($C1966,'Staff Directory'!$B$5:$B$599,0))&amp;" "&amp;INDEX('Staff Directory'!$J$595:$J$599,MATCH($C1966,'Staff Directory'!$B$5:$B$599,0)),$AG1966))</f>
        <v/>
      </c>
      <c r="AI1966" s="102"/>
      <c r="AJ1966" s="101" t="str">
        <f>IF($F1966="","",SUMIFS($J$5:$J1966,$F$5:$F1966,$F1966))</f>
        <v/>
      </c>
      <c r="AK1966" s="101" t="str">
        <f t="shared" si="335"/>
        <v/>
      </c>
      <c r="AL1966" s="66" t="str" cm="1">
        <f t="array" ref="AL1966">IF($F1966="","",IFERROR(INDEX('Lot Balance'!$B$5:$B$500,MATCH(1,INDEX(('Lot Balance'!$A$5:$A$500=$F1966)*('Lot Balance'!$K$5:$K$500&lt;$AK1966)*('Lot Balance'!$K$5:$K$500+'Lot Balance'!$D$5:$D$500&gt;=$AK1966),0),0)),""))</f>
        <v/>
      </c>
      <c r="AM1966" s="66" t="str" cm="1">
        <f t="array" ref="AM1966">IF($F1966="","",IFERROR(INDEX('Lot Balance'!$B$5:$B$500,MATCH(1,INDEX(('Lot Balance'!$A$5:$A$500=$F1966)*('Lot Balance'!$K$5:$K$500&lt;$AJ1966)*('Lot Balance'!$K$5:$K$500+'Lot Balance'!$D$5:$D$500&gt;=$AJ1966),0),0)),""))</f>
        <v/>
      </c>
      <c r="AN1966" s="66" t="str">
        <f>IF($F1966="","",IF($AI1966&lt;&gt;"",IF(COUNTIFS('Lot Balance'!$A$5:$A$500,$F1966,'Lot Balance'!$B$5:$B$500,$AI1966)=0,"⚠ override is not a lot of this item",IF($AI1966=$AL1966,"Override = FEFO","Override - FEFO says "&amp;$AL1966)),IF($AL1966="","⚠ no receipt on file for this item",IF($AM1966&lt;&gt;$AL1966,"FEFO auto - split, also "&amp;$AM1966,"FEFO auto"))))</f>
        <v/>
      </c>
      <c r="AO1966" s="114"/>
    </row>
    <row r="1967" spans="1:41" x14ac:dyDescent="0.35">
      <c r="A1967" s="75"/>
      <c r="B1967" s="80" t="str">
        <f>IF($C1967="","",IFERROR(INDEX('Staff Directory'!$A$5:$A$594,MATCH($C1967,'Staff Directory'!$B$5:$B$594,0)),"⚠ unknown staff"))</f>
        <v/>
      </c>
      <c r="C1967" s="49"/>
      <c r="D1967" s="19" t="str">
        <f>IF($B1967="","",IFERROR(INDEX('Staff Directory'!$C$5:$C$594,MATCH($B1967,'Staff Directory'!$A$5:$A$594,0)),""))</f>
        <v/>
      </c>
      <c r="E1967" s="19" t="str">
        <f>IF($B1967="","",IFERROR(INDEX('Staff Directory'!$D$5:$D$594,MATCH($B1967,'Staff Directory'!$A$5:$A$594,0)),""))</f>
        <v/>
      </c>
      <c r="F1967" s="9"/>
      <c r="G1967" s="18" t="str">
        <f>IF($F1967="","",IFERROR(INDEX(Items!$B$5:$B$597,MATCH($F1967,Items!$A$5:$A$597,0)),"⚠ not in Items"))</f>
        <v/>
      </c>
      <c r="H1967" s="19" t="str">
        <f>IF($F1967="","",IFERROR(INDEX(Items!$C$5:$C$597,MATCH($F1967,Items!$A$5:$A$597,0)),""))</f>
        <v/>
      </c>
      <c r="I1967" s="23" t="str">
        <f>IF($F1967="","",IFERROR(INDEX(Items!$E$5:$E$597,MATCH($F1967,Items!$A$5:$A$597,0)),""))</f>
        <v/>
      </c>
      <c r="J1967" s="116" t="str">
        <f>IF(tblIssues[[#This Row],[Qty Override]]&lt;&gt;"",tblIssues[[#This Row],[Qty Override]],IF(tblIssues[[#This Row],[Standard Issue]]="","",tblIssues[[#This Row],[Standard Issue]]))</f>
        <v/>
      </c>
      <c r="K1967" s="20" t="str">
        <f>IF($F1967="","",IFERROR(INDEX(Items!$D$5:$D$597,MATCH($F1967,Items!$A$5:$A$597,0)),""))</f>
        <v/>
      </c>
      <c r="L1967" s="21" t="str">
        <f t="shared" si="338"/>
        <v/>
      </c>
      <c r="M1967" s="9" t="str">
        <f t="shared" si="336"/>
        <v/>
      </c>
      <c r="N1967" s="87" t="str">
        <f>IF($A1967="","",WORKDAY($A1967,Settings!$C$9,HolidayDates))</f>
        <v/>
      </c>
      <c r="O1967" s="24" t="str">
        <f>IF($N1967="","",WORKDAY($N1967,Settings!$C$10,HolidayDates))</f>
        <v/>
      </c>
      <c r="P1967" s="9"/>
      <c r="Q1967" s="88" t="str">
        <f t="shared" si="344"/>
        <v/>
      </c>
      <c r="R1967" s="55" t="str">
        <f t="shared" si="339"/>
        <v/>
      </c>
      <c r="S1967" s="59" t="str">
        <f>IF(OR($B1967="",$F1967="",$R1967=""),"",SUMIFS(tblIssues[Qty Issued],tblIssues[Staff ID],$B1967,tblIssues[Item Name],$F1967,tblIssues[Month],$R1967))</f>
        <v/>
      </c>
      <c r="T1967" s="56" t="str">
        <f>IF($I1967="","",$I1967*Settings!$C$11)</f>
        <v/>
      </c>
      <c r="U1967" s="57" t="str">
        <f t="shared" si="340"/>
        <v/>
      </c>
      <c r="V1967" s="55" t="str">
        <f t="shared" si="341"/>
        <v/>
      </c>
      <c r="W1967" s="55" t="str">
        <f>IF($V1967="","",IF(COUNTIF($V$5:$V1967,$V1967)=1,1,""))</f>
        <v/>
      </c>
      <c r="X1967" s="58" t="str">
        <f>IF($W1967="","",MAX($X$4:X1966)+1)</f>
        <v/>
      </c>
      <c r="Y1967" s="62"/>
      <c r="Z1967" s="62"/>
      <c r="AA1967" s="64" t="str">
        <f>IF($C1967="","",IFERROR(INDEX('Staff Directory'!$E$5:$E$594,MATCH($C1967,'Staff Directory'!$B$5:$B$594,0)),""))</f>
        <v/>
      </c>
      <c r="AB1967" s="64" t="str">
        <f>IF($C1967="","",IF(ISNUMBER(SEARCH($D1967,Settings!$C$15)),"Pickup","Dispatch"))</f>
        <v/>
      </c>
      <c r="AC1967" s="64" t="str">
        <f t="shared" si="342"/>
        <v/>
      </c>
      <c r="AD1967" s="64" t="str">
        <f t="shared" si="333"/>
        <v/>
      </c>
      <c r="AE1967" s="64" t="str">
        <f t="shared" si="334"/>
        <v/>
      </c>
      <c r="AF1967" s="89" t="str">
        <f t="shared" si="343"/>
        <v/>
      </c>
      <c r="AG1967" s="64" t="str">
        <f>IF($C1967="","",IFERROR(INDEX('Staff Directory'!$K$595:$K$599,MATCH($C1967,'Staff Directory'!$B$5:$B$599,0)),$D1967))</f>
        <v/>
      </c>
      <c r="AH1967" t="str">
        <f>IF($C1967="","",IFERROR(INDEX('Staff Directory'!$I$595:$I$599,MATCH($C1967,'Staff Directory'!$B$5:$B$599,0))&amp;" "&amp;INDEX('Staff Directory'!$J$595:$J$599,MATCH($C1967,'Staff Directory'!$B$5:$B$599,0)),$AG1967))</f>
        <v/>
      </c>
      <c r="AI1967" s="102"/>
      <c r="AJ1967" s="101" t="str">
        <f>IF($F1967="","",SUMIFS($J$5:$J1967,$F$5:$F1967,$F1967))</f>
        <v/>
      </c>
      <c r="AK1967" s="101" t="str">
        <f t="shared" si="335"/>
        <v/>
      </c>
      <c r="AL1967" s="66" t="str" cm="1">
        <f t="array" ref="AL1967">IF($F1967="","",IFERROR(INDEX('Lot Balance'!$B$5:$B$500,MATCH(1,INDEX(('Lot Balance'!$A$5:$A$500=$F1967)*('Lot Balance'!$K$5:$K$500&lt;$AK1967)*('Lot Balance'!$K$5:$K$500+'Lot Balance'!$D$5:$D$500&gt;=$AK1967),0),0)),""))</f>
        <v/>
      </c>
      <c r="AM1967" s="66" t="str" cm="1">
        <f t="array" ref="AM1967">IF($F1967="","",IFERROR(INDEX('Lot Balance'!$B$5:$B$500,MATCH(1,INDEX(('Lot Balance'!$A$5:$A$500=$F1967)*('Lot Balance'!$K$5:$K$500&lt;$AJ1967)*('Lot Balance'!$K$5:$K$500+'Lot Balance'!$D$5:$D$500&gt;=$AJ1967),0),0)),""))</f>
        <v/>
      </c>
      <c r="AN1967" s="66" t="str">
        <f>IF($F1967="","",IF($AI1967&lt;&gt;"",IF(COUNTIFS('Lot Balance'!$A$5:$A$500,$F1967,'Lot Balance'!$B$5:$B$500,$AI1967)=0,"⚠ override is not a lot of this item",IF($AI1967=$AL1967,"Override = FEFO","Override - FEFO says "&amp;$AL1967)),IF($AL1967="","⚠ no receipt on file for this item",IF($AM1967&lt;&gt;$AL1967,"FEFO auto - split, also "&amp;$AM1967,"FEFO auto"))))</f>
        <v/>
      </c>
      <c r="AO1967" s="114"/>
    </row>
    <row r="1968" spans="1:41" x14ac:dyDescent="0.35">
      <c r="A1968" s="75"/>
      <c r="B1968" s="80" t="str">
        <f>IF($C1968="","",IFERROR(INDEX('Staff Directory'!$A$5:$A$594,MATCH($C1968,'Staff Directory'!$B$5:$B$594,0)),"⚠ unknown staff"))</f>
        <v/>
      </c>
      <c r="C1968" s="49"/>
      <c r="D1968" s="19" t="str">
        <f>IF($B1968="","",IFERROR(INDEX('Staff Directory'!$C$5:$C$594,MATCH($B1968,'Staff Directory'!$A$5:$A$594,0)),""))</f>
        <v/>
      </c>
      <c r="E1968" s="19" t="str">
        <f>IF($B1968="","",IFERROR(INDEX('Staff Directory'!$D$5:$D$594,MATCH($B1968,'Staff Directory'!$A$5:$A$594,0)),""))</f>
        <v/>
      </c>
      <c r="F1968" s="9"/>
      <c r="G1968" s="18" t="str">
        <f>IF($F1968="","",IFERROR(INDEX(Items!$B$5:$B$597,MATCH($F1968,Items!$A$5:$A$597,0)),"⚠ not in Items"))</f>
        <v/>
      </c>
      <c r="H1968" s="19" t="str">
        <f>IF($F1968="","",IFERROR(INDEX(Items!$C$5:$C$597,MATCH($F1968,Items!$A$5:$A$597,0)),""))</f>
        <v/>
      </c>
      <c r="I1968" s="23" t="str">
        <f>IF($F1968="","",IFERROR(INDEX(Items!$E$5:$E$597,MATCH($F1968,Items!$A$5:$A$597,0)),""))</f>
        <v/>
      </c>
      <c r="J1968" s="116" t="str">
        <f>IF(tblIssues[[#This Row],[Qty Override]]&lt;&gt;"",tblIssues[[#This Row],[Qty Override]],IF(tblIssues[[#This Row],[Standard Issue]]="","",tblIssues[[#This Row],[Standard Issue]]))</f>
        <v/>
      </c>
      <c r="K1968" s="20" t="str">
        <f>IF($F1968="","",IFERROR(INDEX(Items!$D$5:$D$597,MATCH($F1968,Items!$A$5:$A$597,0)),""))</f>
        <v/>
      </c>
      <c r="L1968" s="21" t="str">
        <f t="shared" si="338"/>
        <v/>
      </c>
      <c r="M1968" s="9" t="str">
        <f t="shared" si="336"/>
        <v/>
      </c>
      <c r="N1968" s="87" t="str">
        <f>IF($A1968="","",WORKDAY($A1968,Settings!$C$9,HolidayDates))</f>
        <v/>
      </c>
      <c r="O1968" s="24" t="str">
        <f>IF($N1968="","",WORKDAY($N1968,Settings!$C$10,HolidayDates))</f>
        <v/>
      </c>
      <c r="P1968" s="9"/>
      <c r="Q1968" s="88" t="str">
        <f t="shared" si="344"/>
        <v/>
      </c>
      <c r="R1968" s="55" t="str">
        <f t="shared" si="339"/>
        <v/>
      </c>
      <c r="S1968" s="59" t="str">
        <f>IF(OR($B1968="",$F1968="",$R1968=""),"",SUMIFS(tblIssues[Qty Issued],tblIssues[Staff ID],$B1968,tblIssues[Item Name],$F1968,tblIssues[Month],$R1968))</f>
        <v/>
      </c>
      <c r="T1968" s="56" t="str">
        <f>IF($I1968="","",$I1968*Settings!$C$11)</f>
        <v/>
      </c>
      <c r="U1968" s="57" t="str">
        <f t="shared" si="340"/>
        <v/>
      </c>
      <c r="V1968" s="55" t="str">
        <f t="shared" si="341"/>
        <v/>
      </c>
      <c r="W1968" s="55" t="str">
        <f>IF($V1968="","",IF(COUNTIF($V$5:$V1968,$V1968)=1,1,""))</f>
        <v/>
      </c>
      <c r="X1968" s="58" t="str">
        <f>IF($W1968="","",MAX($X$4:X1967)+1)</f>
        <v/>
      </c>
      <c r="Y1968" s="62"/>
      <c r="Z1968" s="62"/>
      <c r="AA1968" s="64" t="str">
        <f>IF($C1968="","",IFERROR(INDEX('Staff Directory'!$E$5:$E$594,MATCH($C1968,'Staff Directory'!$B$5:$B$594,0)),""))</f>
        <v/>
      </c>
      <c r="AB1968" s="64" t="str">
        <f>IF($C1968="","",IF(ISNUMBER(SEARCH($D1968,Settings!$C$15)),"Pickup","Dispatch"))</f>
        <v/>
      </c>
      <c r="AC1968" s="64" t="str">
        <f t="shared" si="342"/>
        <v/>
      </c>
      <c r="AD1968" s="64" t="str">
        <f t="shared" si="333"/>
        <v/>
      </c>
      <c r="AE1968" s="64" t="str">
        <f t="shared" si="334"/>
        <v/>
      </c>
      <c r="AF1968" s="89" t="str">
        <f t="shared" si="343"/>
        <v/>
      </c>
      <c r="AG1968" s="64" t="str">
        <f>IF($C1968="","",IFERROR(INDEX('Staff Directory'!$K$595:$K$599,MATCH($C1968,'Staff Directory'!$B$5:$B$599,0)),$D1968))</f>
        <v/>
      </c>
      <c r="AH1968" t="str">
        <f>IF($C1968="","",IFERROR(INDEX('Staff Directory'!$I$595:$I$599,MATCH($C1968,'Staff Directory'!$B$5:$B$599,0))&amp;" "&amp;INDEX('Staff Directory'!$J$595:$J$599,MATCH($C1968,'Staff Directory'!$B$5:$B$599,0)),$AG1968))</f>
        <v/>
      </c>
      <c r="AI1968" s="102"/>
      <c r="AJ1968" s="101" t="str">
        <f>IF($F1968="","",SUMIFS($J$5:$J1968,$F$5:$F1968,$F1968))</f>
        <v/>
      </c>
      <c r="AK1968" s="101" t="str">
        <f t="shared" si="335"/>
        <v/>
      </c>
      <c r="AL1968" s="66" t="str" cm="1">
        <f t="array" ref="AL1968">IF($F1968="","",IFERROR(INDEX('Lot Balance'!$B$5:$B$500,MATCH(1,INDEX(('Lot Balance'!$A$5:$A$500=$F1968)*('Lot Balance'!$K$5:$K$500&lt;$AK1968)*('Lot Balance'!$K$5:$K$500+'Lot Balance'!$D$5:$D$500&gt;=$AK1968),0),0)),""))</f>
        <v/>
      </c>
      <c r="AM1968" s="66" t="str" cm="1">
        <f t="array" ref="AM1968">IF($F1968="","",IFERROR(INDEX('Lot Balance'!$B$5:$B$500,MATCH(1,INDEX(('Lot Balance'!$A$5:$A$500=$F1968)*('Lot Balance'!$K$5:$K$500&lt;$AJ1968)*('Lot Balance'!$K$5:$K$500+'Lot Balance'!$D$5:$D$500&gt;=$AJ1968),0),0)),""))</f>
        <v/>
      </c>
      <c r="AN1968" s="66" t="str">
        <f>IF($F1968="","",IF($AI1968&lt;&gt;"",IF(COUNTIFS('Lot Balance'!$A$5:$A$500,$F1968,'Lot Balance'!$B$5:$B$500,$AI1968)=0,"⚠ override is not a lot of this item",IF($AI1968=$AL1968,"Override = FEFO","Override - FEFO says "&amp;$AL1968)),IF($AL1968="","⚠ no receipt on file for this item",IF($AM1968&lt;&gt;$AL1968,"FEFO auto - split, also "&amp;$AM1968,"FEFO auto"))))</f>
        <v/>
      </c>
      <c r="AO1968" s="114"/>
    </row>
    <row r="1969" spans="1:41" x14ac:dyDescent="0.35">
      <c r="A1969" s="75"/>
      <c r="B1969" s="80" t="str">
        <f>IF($C1969="","",IFERROR(INDEX('Staff Directory'!$A$5:$A$594,MATCH($C1969,'Staff Directory'!$B$5:$B$594,0)),"⚠ unknown staff"))</f>
        <v/>
      </c>
      <c r="C1969" s="49"/>
      <c r="D1969" s="19" t="str">
        <f>IF($B1969="","",IFERROR(INDEX('Staff Directory'!$C$5:$C$594,MATCH($B1969,'Staff Directory'!$A$5:$A$594,0)),""))</f>
        <v/>
      </c>
      <c r="E1969" s="19" t="str">
        <f>IF($B1969="","",IFERROR(INDEX('Staff Directory'!$D$5:$D$594,MATCH($B1969,'Staff Directory'!$A$5:$A$594,0)),""))</f>
        <v/>
      </c>
      <c r="F1969" s="9"/>
      <c r="G1969" s="18" t="str">
        <f>IF($F1969="","",IFERROR(INDEX(Items!$B$5:$B$597,MATCH($F1969,Items!$A$5:$A$597,0)),"⚠ not in Items"))</f>
        <v/>
      </c>
      <c r="H1969" s="19" t="str">
        <f>IF($F1969="","",IFERROR(INDEX(Items!$C$5:$C$597,MATCH($F1969,Items!$A$5:$A$597,0)),""))</f>
        <v/>
      </c>
      <c r="I1969" s="23" t="str">
        <f>IF($F1969="","",IFERROR(INDEX(Items!$E$5:$E$597,MATCH($F1969,Items!$A$5:$A$597,0)),""))</f>
        <v/>
      </c>
      <c r="J1969" s="116" t="str">
        <f>IF(tblIssues[[#This Row],[Qty Override]]&lt;&gt;"",tblIssues[[#This Row],[Qty Override]],IF(tblIssues[[#This Row],[Standard Issue]]="","",tblIssues[[#This Row],[Standard Issue]]))</f>
        <v/>
      </c>
      <c r="K1969" s="20" t="str">
        <f>IF($F1969="","",IFERROR(INDEX(Items!$D$5:$D$597,MATCH($F1969,Items!$A$5:$A$597,0)),""))</f>
        <v/>
      </c>
      <c r="L1969" s="21" t="str">
        <f t="shared" si="338"/>
        <v/>
      </c>
      <c r="M1969" s="9" t="str">
        <f t="shared" si="336"/>
        <v/>
      </c>
      <c r="N1969" s="87" t="str">
        <f>IF($A1969="","",WORKDAY($A1969,Settings!$C$9,HolidayDates))</f>
        <v/>
      </c>
      <c r="O1969" s="24" t="str">
        <f>IF($N1969="","",WORKDAY($N1969,Settings!$C$10,HolidayDates))</f>
        <v/>
      </c>
      <c r="P1969" s="9"/>
      <c r="Q1969" s="88" t="str">
        <f t="shared" si="344"/>
        <v/>
      </c>
      <c r="R1969" s="55" t="str">
        <f t="shared" si="339"/>
        <v/>
      </c>
      <c r="S1969" s="59" t="str">
        <f>IF(OR($B1969="",$F1969="",$R1969=""),"",SUMIFS(tblIssues[Qty Issued],tblIssues[Staff ID],$B1969,tblIssues[Item Name],$F1969,tblIssues[Month],$R1969))</f>
        <v/>
      </c>
      <c r="T1969" s="56" t="str">
        <f>IF($I1969="","",$I1969*Settings!$C$11)</f>
        <v/>
      </c>
      <c r="U1969" s="57" t="str">
        <f t="shared" si="340"/>
        <v/>
      </c>
      <c r="V1969" s="55" t="str">
        <f t="shared" si="341"/>
        <v/>
      </c>
      <c r="W1969" s="55" t="str">
        <f>IF($V1969="","",IF(COUNTIF($V$5:$V1969,$V1969)=1,1,""))</f>
        <v/>
      </c>
      <c r="X1969" s="58" t="str">
        <f>IF($W1969="","",MAX($X$4:X1968)+1)</f>
        <v/>
      </c>
      <c r="Y1969" s="62"/>
      <c r="Z1969" s="62"/>
      <c r="AA1969" s="64" t="str">
        <f>IF($C1969="","",IFERROR(INDEX('Staff Directory'!$E$5:$E$594,MATCH($C1969,'Staff Directory'!$B$5:$B$594,0)),""))</f>
        <v/>
      </c>
      <c r="AB1969" s="64" t="str">
        <f>IF($C1969="","",IF(ISNUMBER(SEARCH($D1969,Settings!$C$15)),"Pickup","Dispatch"))</f>
        <v/>
      </c>
      <c r="AC1969" s="64" t="str">
        <f t="shared" si="342"/>
        <v/>
      </c>
      <c r="AD1969" s="64" t="str">
        <f t="shared" si="333"/>
        <v/>
      </c>
      <c r="AE1969" s="64" t="str">
        <f t="shared" si="334"/>
        <v/>
      </c>
      <c r="AF1969" s="89" t="str">
        <f t="shared" si="343"/>
        <v/>
      </c>
      <c r="AG1969" s="64" t="str">
        <f>IF($C1969="","",IFERROR(INDEX('Staff Directory'!$K$595:$K$599,MATCH($C1969,'Staff Directory'!$B$5:$B$599,0)),$D1969))</f>
        <v/>
      </c>
      <c r="AH1969" t="str">
        <f>IF($C1969="","",IFERROR(INDEX('Staff Directory'!$I$595:$I$599,MATCH($C1969,'Staff Directory'!$B$5:$B$599,0))&amp;" "&amp;INDEX('Staff Directory'!$J$595:$J$599,MATCH($C1969,'Staff Directory'!$B$5:$B$599,0)),$AG1969))</f>
        <v/>
      </c>
      <c r="AI1969" s="102"/>
      <c r="AJ1969" s="101" t="str">
        <f>IF($F1969="","",SUMIFS($J$5:$J1969,$F$5:$F1969,$F1969))</f>
        <v/>
      </c>
      <c r="AK1969" s="101" t="str">
        <f t="shared" si="335"/>
        <v/>
      </c>
      <c r="AL1969" s="66" t="str" cm="1">
        <f t="array" ref="AL1969">IF($F1969="","",IFERROR(INDEX('Lot Balance'!$B$5:$B$500,MATCH(1,INDEX(('Lot Balance'!$A$5:$A$500=$F1969)*('Lot Balance'!$K$5:$K$500&lt;$AK1969)*('Lot Balance'!$K$5:$K$500+'Lot Balance'!$D$5:$D$500&gt;=$AK1969),0),0)),""))</f>
        <v/>
      </c>
      <c r="AM1969" s="66" t="str" cm="1">
        <f t="array" ref="AM1969">IF($F1969="","",IFERROR(INDEX('Lot Balance'!$B$5:$B$500,MATCH(1,INDEX(('Lot Balance'!$A$5:$A$500=$F1969)*('Lot Balance'!$K$5:$K$500&lt;$AJ1969)*('Lot Balance'!$K$5:$K$500+'Lot Balance'!$D$5:$D$500&gt;=$AJ1969),0),0)),""))</f>
        <v/>
      </c>
      <c r="AN1969" s="66" t="str">
        <f>IF($F1969="","",IF($AI1969&lt;&gt;"",IF(COUNTIFS('Lot Balance'!$A$5:$A$500,$F1969,'Lot Balance'!$B$5:$B$500,$AI1969)=0,"⚠ override is not a lot of this item",IF($AI1969=$AL1969,"Override = FEFO","Override - FEFO says "&amp;$AL1969)),IF($AL1969="","⚠ no receipt on file for this item",IF($AM1969&lt;&gt;$AL1969,"FEFO auto - split, also "&amp;$AM1969,"FEFO auto"))))</f>
        <v/>
      </c>
      <c r="AO1969" s="114"/>
    </row>
    <row r="1970" spans="1:41" x14ac:dyDescent="0.35">
      <c r="A1970" s="75"/>
      <c r="B1970" s="80" t="str">
        <f>IF($C1970="","",IFERROR(INDEX('Staff Directory'!$A$5:$A$594,MATCH($C1970,'Staff Directory'!$B$5:$B$594,0)),"⚠ unknown staff"))</f>
        <v/>
      </c>
      <c r="C1970" s="49"/>
      <c r="D1970" s="19" t="str">
        <f>IF($B1970="","",IFERROR(INDEX('Staff Directory'!$C$5:$C$594,MATCH($B1970,'Staff Directory'!$A$5:$A$594,0)),""))</f>
        <v/>
      </c>
      <c r="E1970" s="19" t="str">
        <f>IF($B1970="","",IFERROR(INDEX('Staff Directory'!$D$5:$D$594,MATCH($B1970,'Staff Directory'!$A$5:$A$594,0)),""))</f>
        <v/>
      </c>
      <c r="F1970" s="9"/>
      <c r="G1970" s="18" t="str">
        <f>IF($F1970="","",IFERROR(INDEX(Items!$B$5:$B$597,MATCH($F1970,Items!$A$5:$A$597,0)),"⚠ not in Items"))</f>
        <v/>
      </c>
      <c r="H1970" s="19" t="str">
        <f>IF($F1970="","",IFERROR(INDEX(Items!$C$5:$C$597,MATCH($F1970,Items!$A$5:$A$597,0)),""))</f>
        <v/>
      </c>
      <c r="I1970" s="23" t="str">
        <f>IF($F1970="","",IFERROR(INDEX(Items!$E$5:$E$597,MATCH($F1970,Items!$A$5:$A$597,0)),""))</f>
        <v/>
      </c>
      <c r="J1970" s="116" t="str">
        <f>IF(tblIssues[[#This Row],[Qty Override]]&lt;&gt;"",tblIssues[[#This Row],[Qty Override]],IF(tblIssues[[#This Row],[Standard Issue]]="","",tblIssues[[#This Row],[Standard Issue]]))</f>
        <v/>
      </c>
      <c r="K1970" s="20" t="str">
        <f>IF($F1970="","",IFERROR(INDEX(Items!$D$5:$D$597,MATCH($F1970,Items!$A$5:$A$597,0)),""))</f>
        <v/>
      </c>
      <c r="L1970" s="21" t="str">
        <f t="shared" si="338"/>
        <v/>
      </c>
      <c r="M1970" s="9" t="str">
        <f t="shared" si="336"/>
        <v/>
      </c>
      <c r="N1970" s="87" t="str">
        <f>IF($A1970="","",WORKDAY($A1970,Settings!$C$9,HolidayDates))</f>
        <v/>
      </c>
      <c r="O1970" s="24" t="str">
        <f>IF($N1970="","",WORKDAY($N1970,Settings!$C$10,HolidayDates))</f>
        <v/>
      </c>
      <c r="P1970" s="9"/>
      <c r="Q1970" s="88" t="str">
        <f t="shared" si="344"/>
        <v/>
      </c>
      <c r="R1970" s="55" t="str">
        <f t="shared" si="339"/>
        <v/>
      </c>
      <c r="S1970" s="59" t="str">
        <f>IF(OR($B1970="",$F1970="",$R1970=""),"",SUMIFS(tblIssues[Qty Issued],tblIssues[Staff ID],$B1970,tblIssues[Item Name],$F1970,tblIssues[Month],$R1970))</f>
        <v/>
      </c>
      <c r="T1970" s="56" t="str">
        <f>IF($I1970="","",$I1970*Settings!$C$11)</f>
        <v/>
      </c>
      <c r="U1970" s="57" t="str">
        <f t="shared" si="340"/>
        <v/>
      </c>
      <c r="V1970" s="55" t="str">
        <f t="shared" si="341"/>
        <v/>
      </c>
      <c r="W1970" s="55" t="str">
        <f>IF($V1970="","",IF(COUNTIF($V$5:$V1970,$V1970)=1,1,""))</f>
        <v/>
      </c>
      <c r="X1970" s="58" t="str">
        <f>IF($W1970="","",MAX($X$4:X1969)+1)</f>
        <v/>
      </c>
      <c r="Y1970" s="62"/>
      <c r="Z1970" s="62"/>
      <c r="AA1970" s="64" t="str">
        <f>IF($C1970="","",IFERROR(INDEX('Staff Directory'!$E$5:$E$594,MATCH($C1970,'Staff Directory'!$B$5:$B$594,0)),""))</f>
        <v/>
      </c>
      <c r="AB1970" s="64" t="str">
        <f>IF($C1970="","",IF(ISNUMBER(SEARCH($D1970,Settings!$C$15)),"Pickup","Dispatch"))</f>
        <v/>
      </c>
      <c r="AC1970" s="64" t="str">
        <f t="shared" si="342"/>
        <v/>
      </c>
      <c r="AD1970" s="64" t="str">
        <f t="shared" si="333"/>
        <v/>
      </c>
      <c r="AE1970" s="64" t="str">
        <f t="shared" si="334"/>
        <v/>
      </c>
      <c r="AF1970" s="89" t="str">
        <f t="shared" si="343"/>
        <v/>
      </c>
      <c r="AG1970" s="64" t="str">
        <f>IF($C1970="","",IFERROR(INDEX('Staff Directory'!$K$595:$K$599,MATCH($C1970,'Staff Directory'!$B$5:$B$599,0)),$D1970))</f>
        <v/>
      </c>
      <c r="AH1970" t="str">
        <f>IF($C1970="","",IFERROR(INDEX('Staff Directory'!$I$595:$I$599,MATCH($C1970,'Staff Directory'!$B$5:$B$599,0))&amp;" "&amp;INDEX('Staff Directory'!$J$595:$J$599,MATCH($C1970,'Staff Directory'!$B$5:$B$599,0)),$AG1970))</f>
        <v/>
      </c>
      <c r="AI1970" s="102"/>
      <c r="AJ1970" s="101" t="str">
        <f>IF($F1970="","",SUMIFS($J$5:$J1970,$F$5:$F1970,$F1970))</f>
        <v/>
      </c>
      <c r="AK1970" s="101" t="str">
        <f t="shared" si="335"/>
        <v/>
      </c>
      <c r="AL1970" s="66" t="str" cm="1">
        <f t="array" ref="AL1970">IF($F1970="","",IFERROR(INDEX('Lot Balance'!$B$5:$B$500,MATCH(1,INDEX(('Lot Balance'!$A$5:$A$500=$F1970)*('Lot Balance'!$K$5:$K$500&lt;$AK1970)*('Lot Balance'!$K$5:$K$500+'Lot Balance'!$D$5:$D$500&gt;=$AK1970),0),0)),""))</f>
        <v/>
      </c>
      <c r="AM1970" s="66" t="str" cm="1">
        <f t="array" ref="AM1970">IF($F1970="","",IFERROR(INDEX('Lot Balance'!$B$5:$B$500,MATCH(1,INDEX(('Lot Balance'!$A$5:$A$500=$F1970)*('Lot Balance'!$K$5:$K$500&lt;$AJ1970)*('Lot Balance'!$K$5:$K$500+'Lot Balance'!$D$5:$D$500&gt;=$AJ1970),0),0)),""))</f>
        <v/>
      </c>
      <c r="AN1970" s="66" t="str">
        <f>IF($F1970="","",IF($AI1970&lt;&gt;"",IF(COUNTIFS('Lot Balance'!$A$5:$A$500,$F1970,'Lot Balance'!$B$5:$B$500,$AI1970)=0,"⚠ override is not a lot of this item",IF($AI1970=$AL1970,"Override = FEFO","Override - FEFO says "&amp;$AL1970)),IF($AL1970="","⚠ no receipt on file for this item",IF($AM1970&lt;&gt;$AL1970,"FEFO auto - split, also "&amp;$AM1970,"FEFO auto"))))</f>
        <v/>
      </c>
      <c r="AO1970" s="114"/>
    </row>
    <row r="1971" spans="1:41" x14ac:dyDescent="0.35">
      <c r="A1971" s="75"/>
      <c r="B1971" s="80" t="str">
        <f>IF($C1971="","",IFERROR(INDEX('Staff Directory'!$A$5:$A$594,MATCH($C1971,'Staff Directory'!$B$5:$B$594,0)),"⚠ unknown staff"))</f>
        <v/>
      </c>
      <c r="C1971" s="49"/>
      <c r="D1971" s="19" t="str">
        <f>IF($B1971="","",IFERROR(INDEX('Staff Directory'!$C$5:$C$594,MATCH($B1971,'Staff Directory'!$A$5:$A$594,0)),""))</f>
        <v/>
      </c>
      <c r="E1971" s="19" t="str">
        <f>IF($B1971="","",IFERROR(INDEX('Staff Directory'!$D$5:$D$594,MATCH($B1971,'Staff Directory'!$A$5:$A$594,0)),""))</f>
        <v/>
      </c>
      <c r="F1971" s="9"/>
      <c r="G1971" s="18" t="str">
        <f>IF($F1971="","",IFERROR(INDEX(Items!$B$5:$B$597,MATCH($F1971,Items!$A$5:$A$597,0)),"⚠ not in Items"))</f>
        <v/>
      </c>
      <c r="H1971" s="19" t="str">
        <f>IF($F1971="","",IFERROR(INDEX(Items!$C$5:$C$597,MATCH($F1971,Items!$A$5:$A$597,0)),""))</f>
        <v/>
      </c>
      <c r="I1971" s="23" t="str">
        <f>IF($F1971="","",IFERROR(INDEX(Items!$E$5:$E$597,MATCH($F1971,Items!$A$5:$A$597,0)),""))</f>
        <v/>
      </c>
      <c r="J1971" s="116" t="str">
        <f>IF(tblIssues[[#This Row],[Qty Override]]&lt;&gt;"",tblIssues[[#This Row],[Qty Override]],IF(tblIssues[[#This Row],[Standard Issue]]="","",tblIssues[[#This Row],[Standard Issue]]))</f>
        <v/>
      </c>
      <c r="K1971" s="20" t="str">
        <f>IF($F1971="","",IFERROR(INDEX(Items!$D$5:$D$597,MATCH($F1971,Items!$A$5:$A$597,0)),""))</f>
        <v/>
      </c>
      <c r="L1971" s="21" t="str">
        <f t="shared" si="338"/>
        <v/>
      </c>
      <c r="M1971" s="9" t="str">
        <f t="shared" si="336"/>
        <v/>
      </c>
      <c r="N1971" s="87" t="str">
        <f>IF($A1971="","",WORKDAY($A1971,Settings!$C$9,HolidayDates))</f>
        <v/>
      </c>
      <c r="O1971" s="24" t="str">
        <f>IF($N1971="","",WORKDAY($N1971,Settings!$C$10,HolidayDates))</f>
        <v/>
      </c>
      <c r="P1971" s="9"/>
      <c r="Q1971" s="88" t="str">
        <f t="shared" si="344"/>
        <v/>
      </c>
      <c r="R1971" s="55" t="str">
        <f t="shared" si="339"/>
        <v/>
      </c>
      <c r="S1971" s="59" t="str">
        <f>IF(OR($B1971="",$F1971="",$R1971=""),"",SUMIFS(tblIssues[Qty Issued],tblIssues[Staff ID],$B1971,tblIssues[Item Name],$F1971,tblIssues[Month],$R1971))</f>
        <v/>
      </c>
      <c r="T1971" s="56" t="str">
        <f>IF($I1971="","",$I1971*Settings!$C$11)</f>
        <v/>
      </c>
      <c r="U1971" s="57" t="str">
        <f t="shared" si="340"/>
        <v/>
      </c>
      <c r="V1971" s="55" t="str">
        <f t="shared" si="341"/>
        <v/>
      </c>
      <c r="W1971" s="55" t="str">
        <f>IF($V1971="","",IF(COUNTIF($V$5:$V1971,$V1971)=1,1,""))</f>
        <v/>
      </c>
      <c r="X1971" s="58" t="str">
        <f>IF($W1971="","",MAX($X$4:X1970)+1)</f>
        <v/>
      </c>
      <c r="Y1971" s="62"/>
      <c r="Z1971" s="62"/>
      <c r="AA1971" s="64" t="str">
        <f>IF($C1971="","",IFERROR(INDEX('Staff Directory'!$E$5:$E$594,MATCH($C1971,'Staff Directory'!$B$5:$B$594,0)),""))</f>
        <v/>
      </c>
      <c r="AB1971" s="64" t="str">
        <f>IF($C1971="","",IF(ISNUMBER(SEARCH($D1971,Settings!$C$15)),"Pickup","Dispatch"))</f>
        <v/>
      </c>
      <c r="AC1971" s="64" t="str">
        <f t="shared" si="342"/>
        <v/>
      </c>
      <c r="AD1971" s="64" t="str">
        <f t="shared" si="333"/>
        <v/>
      </c>
      <c r="AE1971" s="64" t="str">
        <f t="shared" si="334"/>
        <v/>
      </c>
      <c r="AF1971" s="89" t="str">
        <f t="shared" si="343"/>
        <v/>
      </c>
      <c r="AG1971" s="64" t="str">
        <f>IF($C1971="","",IFERROR(INDEX('Staff Directory'!$K$595:$K$599,MATCH($C1971,'Staff Directory'!$B$5:$B$599,0)),$D1971))</f>
        <v/>
      </c>
      <c r="AH1971" t="str">
        <f>IF($C1971="","",IFERROR(INDEX('Staff Directory'!$I$595:$I$599,MATCH($C1971,'Staff Directory'!$B$5:$B$599,0))&amp;" "&amp;INDEX('Staff Directory'!$J$595:$J$599,MATCH($C1971,'Staff Directory'!$B$5:$B$599,0)),$AG1971))</f>
        <v/>
      </c>
      <c r="AI1971" s="102"/>
      <c r="AJ1971" s="101" t="str">
        <f>IF($F1971="","",SUMIFS($J$5:$J1971,$F$5:$F1971,$F1971))</f>
        <v/>
      </c>
      <c r="AK1971" s="101" t="str">
        <f t="shared" si="335"/>
        <v/>
      </c>
      <c r="AL1971" s="66" t="str" cm="1">
        <f t="array" ref="AL1971">IF($F1971="","",IFERROR(INDEX('Lot Balance'!$B$5:$B$500,MATCH(1,INDEX(('Lot Balance'!$A$5:$A$500=$F1971)*('Lot Balance'!$K$5:$K$500&lt;$AK1971)*('Lot Balance'!$K$5:$K$500+'Lot Balance'!$D$5:$D$500&gt;=$AK1971),0),0)),""))</f>
        <v/>
      </c>
      <c r="AM1971" s="66" t="str" cm="1">
        <f t="array" ref="AM1971">IF($F1971="","",IFERROR(INDEX('Lot Balance'!$B$5:$B$500,MATCH(1,INDEX(('Lot Balance'!$A$5:$A$500=$F1971)*('Lot Balance'!$K$5:$K$500&lt;$AJ1971)*('Lot Balance'!$K$5:$K$500+'Lot Balance'!$D$5:$D$500&gt;=$AJ1971),0),0)),""))</f>
        <v/>
      </c>
      <c r="AN1971" s="66" t="str">
        <f>IF($F1971="","",IF($AI1971&lt;&gt;"",IF(COUNTIFS('Lot Balance'!$A$5:$A$500,$F1971,'Lot Balance'!$B$5:$B$500,$AI1971)=0,"⚠ override is not a lot of this item",IF($AI1971=$AL1971,"Override = FEFO","Override - FEFO says "&amp;$AL1971)),IF($AL1971="","⚠ no receipt on file for this item",IF($AM1971&lt;&gt;$AL1971,"FEFO auto - split, also "&amp;$AM1971,"FEFO auto"))))</f>
        <v/>
      </c>
      <c r="AO1971" s="114"/>
    </row>
    <row r="1972" spans="1:41" x14ac:dyDescent="0.35">
      <c r="A1972" s="75"/>
      <c r="B1972" s="80" t="str">
        <f>IF($C1972="","",IFERROR(INDEX('Staff Directory'!$A$5:$A$594,MATCH($C1972,'Staff Directory'!$B$5:$B$594,0)),"⚠ unknown staff"))</f>
        <v/>
      </c>
      <c r="C1972" s="49"/>
      <c r="D1972" s="19" t="str">
        <f>IF($B1972="","",IFERROR(INDEX('Staff Directory'!$C$5:$C$594,MATCH($B1972,'Staff Directory'!$A$5:$A$594,0)),""))</f>
        <v/>
      </c>
      <c r="E1972" s="19" t="str">
        <f>IF($B1972="","",IFERROR(INDEX('Staff Directory'!$D$5:$D$594,MATCH($B1972,'Staff Directory'!$A$5:$A$594,0)),""))</f>
        <v/>
      </c>
      <c r="F1972" s="9"/>
      <c r="G1972" s="18" t="str">
        <f>IF($F1972="","",IFERROR(INDEX(Items!$B$5:$B$597,MATCH($F1972,Items!$A$5:$A$597,0)),"⚠ not in Items"))</f>
        <v/>
      </c>
      <c r="H1972" s="19" t="str">
        <f>IF($F1972="","",IFERROR(INDEX(Items!$C$5:$C$597,MATCH($F1972,Items!$A$5:$A$597,0)),""))</f>
        <v/>
      </c>
      <c r="I1972" s="23" t="str">
        <f>IF($F1972="","",IFERROR(INDEX(Items!$E$5:$E$597,MATCH($F1972,Items!$A$5:$A$597,0)),""))</f>
        <v/>
      </c>
      <c r="J1972" s="116" t="str">
        <f>IF(tblIssues[[#This Row],[Qty Override]]&lt;&gt;"",tblIssues[[#This Row],[Qty Override]],IF(tblIssues[[#This Row],[Standard Issue]]="","",tblIssues[[#This Row],[Standard Issue]]))</f>
        <v/>
      </c>
      <c r="K1972" s="20" t="str">
        <f>IF($F1972="","",IFERROR(INDEX(Items!$D$5:$D$597,MATCH($F1972,Items!$A$5:$A$597,0)),""))</f>
        <v/>
      </c>
      <c r="L1972" s="21" t="str">
        <f t="shared" si="338"/>
        <v/>
      </c>
      <c r="M1972" s="9" t="str">
        <f t="shared" si="336"/>
        <v/>
      </c>
      <c r="N1972" s="87" t="str">
        <f>IF($A1972="","",WORKDAY($A1972,Settings!$C$9,HolidayDates))</f>
        <v/>
      </c>
      <c r="O1972" s="24" t="str">
        <f>IF($N1972="","",WORKDAY($N1972,Settings!$C$10,HolidayDates))</f>
        <v/>
      </c>
      <c r="P1972" s="9"/>
      <c r="Q1972" s="88" t="str">
        <f t="shared" si="344"/>
        <v/>
      </c>
      <c r="R1972" s="55" t="str">
        <f t="shared" si="339"/>
        <v/>
      </c>
      <c r="S1972" s="59" t="str">
        <f>IF(OR($B1972="",$F1972="",$R1972=""),"",SUMIFS(tblIssues[Qty Issued],tblIssues[Staff ID],$B1972,tblIssues[Item Name],$F1972,tblIssues[Month],$R1972))</f>
        <v/>
      </c>
      <c r="T1972" s="56" t="str">
        <f>IF($I1972="","",$I1972*Settings!$C$11)</f>
        <v/>
      </c>
      <c r="U1972" s="57" t="str">
        <f t="shared" si="340"/>
        <v/>
      </c>
      <c r="V1972" s="55" t="str">
        <f t="shared" si="341"/>
        <v/>
      </c>
      <c r="W1972" s="55" t="str">
        <f>IF($V1972="","",IF(COUNTIF($V$5:$V1972,$V1972)=1,1,""))</f>
        <v/>
      </c>
      <c r="X1972" s="58" t="str">
        <f>IF($W1972="","",MAX($X$4:X1971)+1)</f>
        <v/>
      </c>
      <c r="Y1972" s="62"/>
      <c r="Z1972" s="62"/>
      <c r="AA1972" s="64" t="str">
        <f>IF($C1972="","",IFERROR(INDEX('Staff Directory'!$E$5:$E$594,MATCH($C1972,'Staff Directory'!$B$5:$B$594,0)),""))</f>
        <v/>
      </c>
      <c r="AB1972" s="64" t="str">
        <f>IF($C1972="","",IF(ISNUMBER(SEARCH($D1972,Settings!$C$15)),"Pickup","Dispatch"))</f>
        <v/>
      </c>
      <c r="AC1972" s="64" t="str">
        <f t="shared" si="342"/>
        <v/>
      </c>
      <c r="AD1972" s="64" t="str">
        <f t="shared" si="333"/>
        <v/>
      </c>
      <c r="AE1972" s="64" t="str">
        <f t="shared" si="334"/>
        <v/>
      </c>
      <c r="AF1972" s="89" t="str">
        <f t="shared" si="343"/>
        <v/>
      </c>
      <c r="AG1972" s="64" t="str">
        <f>IF($C1972="","",IFERROR(INDEX('Staff Directory'!$K$595:$K$599,MATCH($C1972,'Staff Directory'!$B$5:$B$599,0)),$D1972))</f>
        <v/>
      </c>
      <c r="AH1972" t="str">
        <f>IF($C1972="","",IFERROR(INDEX('Staff Directory'!$I$595:$I$599,MATCH($C1972,'Staff Directory'!$B$5:$B$599,0))&amp;" "&amp;INDEX('Staff Directory'!$J$595:$J$599,MATCH($C1972,'Staff Directory'!$B$5:$B$599,0)),$AG1972))</f>
        <v/>
      </c>
      <c r="AI1972" s="102"/>
      <c r="AJ1972" s="101" t="str">
        <f>IF($F1972="","",SUMIFS($J$5:$J1972,$F$5:$F1972,$F1972))</f>
        <v/>
      </c>
      <c r="AK1972" s="101" t="str">
        <f t="shared" si="335"/>
        <v/>
      </c>
      <c r="AL1972" s="66" t="str" cm="1">
        <f t="array" ref="AL1972">IF($F1972="","",IFERROR(INDEX('Lot Balance'!$B$5:$B$500,MATCH(1,INDEX(('Lot Balance'!$A$5:$A$500=$F1972)*('Lot Balance'!$K$5:$K$500&lt;$AK1972)*('Lot Balance'!$K$5:$K$500+'Lot Balance'!$D$5:$D$500&gt;=$AK1972),0),0)),""))</f>
        <v/>
      </c>
      <c r="AM1972" s="66" t="str" cm="1">
        <f t="array" ref="AM1972">IF($F1972="","",IFERROR(INDEX('Lot Balance'!$B$5:$B$500,MATCH(1,INDEX(('Lot Balance'!$A$5:$A$500=$F1972)*('Lot Balance'!$K$5:$K$500&lt;$AJ1972)*('Lot Balance'!$K$5:$K$500+'Lot Balance'!$D$5:$D$500&gt;=$AJ1972),0),0)),""))</f>
        <v/>
      </c>
      <c r="AN1972" s="66" t="str">
        <f>IF($F1972="","",IF($AI1972&lt;&gt;"",IF(COUNTIFS('Lot Balance'!$A$5:$A$500,$F1972,'Lot Balance'!$B$5:$B$500,$AI1972)=0,"⚠ override is not a lot of this item",IF($AI1972=$AL1972,"Override = FEFO","Override - FEFO says "&amp;$AL1972)),IF($AL1972="","⚠ no receipt on file for this item",IF($AM1972&lt;&gt;$AL1972,"FEFO auto - split, also "&amp;$AM1972,"FEFO auto"))))</f>
        <v/>
      </c>
      <c r="AO1972" s="114"/>
    </row>
    <row r="1973" spans="1:41" x14ac:dyDescent="0.35">
      <c r="A1973" s="75"/>
      <c r="B1973" s="80" t="str">
        <f>IF($C1973="","",IFERROR(INDEX('Staff Directory'!$A$5:$A$594,MATCH($C1973,'Staff Directory'!$B$5:$B$594,0)),"⚠ unknown staff"))</f>
        <v/>
      </c>
      <c r="C1973" s="49"/>
      <c r="D1973" s="19" t="str">
        <f>IF($B1973="","",IFERROR(INDEX('Staff Directory'!$C$5:$C$594,MATCH($B1973,'Staff Directory'!$A$5:$A$594,0)),""))</f>
        <v/>
      </c>
      <c r="E1973" s="19" t="str">
        <f>IF($B1973="","",IFERROR(INDEX('Staff Directory'!$D$5:$D$594,MATCH($B1973,'Staff Directory'!$A$5:$A$594,0)),""))</f>
        <v/>
      </c>
      <c r="F1973" s="9"/>
      <c r="G1973" s="18" t="str">
        <f>IF($F1973="","",IFERROR(INDEX(Items!$B$5:$B$597,MATCH($F1973,Items!$A$5:$A$597,0)),"⚠ not in Items"))</f>
        <v/>
      </c>
      <c r="H1973" s="19" t="str">
        <f>IF($F1973="","",IFERROR(INDEX(Items!$C$5:$C$597,MATCH($F1973,Items!$A$5:$A$597,0)),""))</f>
        <v/>
      </c>
      <c r="I1973" s="23" t="str">
        <f>IF($F1973="","",IFERROR(INDEX(Items!$E$5:$E$597,MATCH($F1973,Items!$A$5:$A$597,0)),""))</f>
        <v/>
      </c>
      <c r="J1973" s="116" t="str">
        <f>IF(tblIssues[[#This Row],[Qty Override]]&lt;&gt;"",tblIssues[[#This Row],[Qty Override]],IF(tblIssues[[#This Row],[Standard Issue]]="","",tblIssues[[#This Row],[Standard Issue]]))</f>
        <v/>
      </c>
      <c r="K1973" s="20" t="str">
        <f>IF($F1973="","",IFERROR(INDEX(Items!$D$5:$D$597,MATCH($F1973,Items!$A$5:$A$597,0)),""))</f>
        <v/>
      </c>
      <c r="L1973" s="21" t="str">
        <f t="shared" si="338"/>
        <v/>
      </c>
      <c r="M1973" s="9" t="str">
        <f t="shared" si="336"/>
        <v/>
      </c>
      <c r="N1973" s="87" t="str">
        <f>IF($A1973="","",WORKDAY($A1973,Settings!$C$9,HolidayDates))</f>
        <v/>
      </c>
      <c r="O1973" s="24" t="str">
        <f>IF($N1973="","",WORKDAY($N1973,Settings!$C$10,HolidayDates))</f>
        <v/>
      </c>
      <c r="P1973" s="9"/>
      <c r="Q1973" s="88" t="str">
        <f t="shared" si="344"/>
        <v/>
      </c>
      <c r="R1973" s="55" t="str">
        <f t="shared" si="339"/>
        <v/>
      </c>
      <c r="S1973" s="59" t="str">
        <f>IF(OR($B1973="",$F1973="",$R1973=""),"",SUMIFS(tblIssues[Qty Issued],tblIssues[Staff ID],$B1973,tblIssues[Item Name],$F1973,tblIssues[Month],$R1973))</f>
        <v/>
      </c>
      <c r="T1973" s="56" t="str">
        <f>IF($I1973="","",$I1973*Settings!$C$11)</f>
        <v/>
      </c>
      <c r="U1973" s="57" t="str">
        <f t="shared" si="340"/>
        <v/>
      </c>
      <c r="V1973" s="55" t="str">
        <f t="shared" si="341"/>
        <v/>
      </c>
      <c r="W1973" s="55" t="str">
        <f>IF($V1973="","",IF(COUNTIF($V$5:$V1973,$V1973)=1,1,""))</f>
        <v/>
      </c>
      <c r="X1973" s="58" t="str">
        <f>IF($W1973="","",MAX($X$4:X1972)+1)</f>
        <v/>
      </c>
      <c r="Y1973" s="62"/>
      <c r="Z1973" s="62"/>
      <c r="AA1973" s="64" t="str">
        <f>IF($C1973="","",IFERROR(INDEX('Staff Directory'!$E$5:$E$594,MATCH($C1973,'Staff Directory'!$B$5:$B$594,0)),""))</f>
        <v/>
      </c>
      <c r="AB1973" s="64" t="str">
        <f>IF($C1973="","",IF(ISNUMBER(SEARCH($D1973,Settings!$C$15)),"Pickup","Dispatch"))</f>
        <v/>
      </c>
      <c r="AC1973" s="64" t="str">
        <f t="shared" si="342"/>
        <v/>
      </c>
      <c r="AD1973" s="64" t="str">
        <f t="shared" si="333"/>
        <v/>
      </c>
      <c r="AE1973" s="64" t="str">
        <f t="shared" si="334"/>
        <v/>
      </c>
      <c r="AF1973" s="89" t="str">
        <f t="shared" si="343"/>
        <v/>
      </c>
      <c r="AG1973" s="64" t="str">
        <f>IF($C1973="","",IFERROR(INDEX('Staff Directory'!$K$595:$K$599,MATCH($C1973,'Staff Directory'!$B$5:$B$599,0)),$D1973))</f>
        <v/>
      </c>
      <c r="AH1973" t="str">
        <f>IF($C1973="","",IFERROR(INDEX('Staff Directory'!$I$595:$I$599,MATCH($C1973,'Staff Directory'!$B$5:$B$599,0))&amp;" "&amp;INDEX('Staff Directory'!$J$595:$J$599,MATCH($C1973,'Staff Directory'!$B$5:$B$599,0)),$AG1973))</f>
        <v/>
      </c>
      <c r="AI1973" s="102"/>
      <c r="AJ1973" s="101" t="str">
        <f>IF($F1973="","",SUMIFS($J$5:$J1973,$F$5:$F1973,$F1973))</f>
        <v/>
      </c>
      <c r="AK1973" s="101" t="str">
        <f t="shared" si="335"/>
        <v/>
      </c>
      <c r="AL1973" s="66" t="str" cm="1">
        <f t="array" ref="AL1973">IF($F1973="","",IFERROR(INDEX('Lot Balance'!$B$5:$B$500,MATCH(1,INDEX(('Lot Balance'!$A$5:$A$500=$F1973)*('Lot Balance'!$K$5:$K$500&lt;$AK1973)*('Lot Balance'!$K$5:$K$500+'Lot Balance'!$D$5:$D$500&gt;=$AK1973),0),0)),""))</f>
        <v/>
      </c>
      <c r="AM1973" s="66" t="str" cm="1">
        <f t="array" ref="AM1973">IF($F1973="","",IFERROR(INDEX('Lot Balance'!$B$5:$B$500,MATCH(1,INDEX(('Lot Balance'!$A$5:$A$500=$F1973)*('Lot Balance'!$K$5:$K$500&lt;$AJ1973)*('Lot Balance'!$K$5:$K$500+'Lot Balance'!$D$5:$D$500&gt;=$AJ1973),0),0)),""))</f>
        <v/>
      </c>
      <c r="AN1973" s="66" t="str">
        <f>IF($F1973="","",IF($AI1973&lt;&gt;"",IF(COUNTIFS('Lot Balance'!$A$5:$A$500,$F1973,'Lot Balance'!$B$5:$B$500,$AI1973)=0,"⚠ override is not a lot of this item",IF($AI1973=$AL1973,"Override = FEFO","Override - FEFO says "&amp;$AL1973)),IF($AL1973="","⚠ no receipt on file for this item",IF($AM1973&lt;&gt;$AL1973,"FEFO auto - split, also "&amp;$AM1973,"FEFO auto"))))</f>
        <v/>
      </c>
      <c r="AO1973" s="114"/>
    </row>
    <row r="1974" spans="1:41" x14ac:dyDescent="0.35">
      <c r="A1974" s="75"/>
      <c r="B1974" s="80" t="str">
        <f>IF($C1974="","",IFERROR(INDEX('Staff Directory'!$A$5:$A$594,MATCH($C1974,'Staff Directory'!$B$5:$B$594,0)),"⚠ unknown staff"))</f>
        <v/>
      </c>
      <c r="C1974" s="49"/>
      <c r="D1974" s="19" t="str">
        <f>IF($B1974="","",IFERROR(INDEX('Staff Directory'!$C$5:$C$594,MATCH($B1974,'Staff Directory'!$A$5:$A$594,0)),""))</f>
        <v/>
      </c>
      <c r="E1974" s="19" t="str">
        <f>IF($B1974="","",IFERROR(INDEX('Staff Directory'!$D$5:$D$594,MATCH($B1974,'Staff Directory'!$A$5:$A$594,0)),""))</f>
        <v/>
      </c>
      <c r="F1974" s="9"/>
      <c r="G1974" s="18" t="str">
        <f>IF($F1974="","",IFERROR(INDEX(Items!$B$5:$B$597,MATCH($F1974,Items!$A$5:$A$597,0)),"⚠ not in Items"))</f>
        <v/>
      </c>
      <c r="H1974" s="19" t="str">
        <f>IF($F1974="","",IFERROR(INDEX(Items!$C$5:$C$597,MATCH($F1974,Items!$A$5:$A$597,0)),""))</f>
        <v/>
      </c>
      <c r="I1974" s="23" t="str">
        <f>IF($F1974="","",IFERROR(INDEX(Items!$E$5:$E$597,MATCH($F1974,Items!$A$5:$A$597,0)),""))</f>
        <v/>
      </c>
      <c r="J1974" s="116" t="str">
        <f>IF(tblIssues[[#This Row],[Qty Override]]&lt;&gt;"",tblIssues[[#This Row],[Qty Override]],IF(tblIssues[[#This Row],[Standard Issue]]="","",tblIssues[[#This Row],[Standard Issue]]))</f>
        <v/>
      </c>
      <c r="K1974" s="20" t="str">
        <f>IF($F1974="","",IFERROR(INDEX(Items!$D$5:$D$597,MATCH($F1974,Items!$A$5:$A$597,0)),""))</f>
        <v/>
      </c>
      <c r="L1974" s="21" t="str">
        <f t="shared" si="338"/>
        <v/>
      </c>
      <c r="M1974" s="9" t="str">
        <f t="shared" si="336"/>
        <v/>
      </c>
      <c r="N1974" s="87" t="str">
        <f>IF($A1974="","",WORKDAY($A1974,Settings!$C$9,HolidayDates))</f>
        <v/>
      </c>
      <c r="O1974" s="24" t="str">
        <f>IF($N1974="","",WORKDAY($N1974,Settings!$C$10,HolidayDates))</f>
        <v/>
      </c>
      <c r="P1974" s="9"/>
      <c r="Q1974" s="88" t="str">
        <f t="shared" si="344"/>
        <v/>
      </c>
      <c r="R1974" s="55" t="str">
        <f t="shared" si="339"/>
        <v/>
      </c>
      <c r="S1974" s="59" t="str">
        <f>IF(OR($B1974="",$F1974="",$R1974=""),"",SUMIFS(tblIssues[Qty Issued],tblIssues[Staff ID],$B1974,tblIssues[Item Name],$F1974,tblIssues[Month],$R1974))</f>
        <v/>
      </c>
      <c r="T1974" s="56" t="str">
        <f>IF($I1974="","",$I1974*Settings!$C$11)</f>
        <v/>
      </c>
      <c r="U1974" s="57" t="str">
        <f t="shared" si="340"/>
        <v/>
      </c>
      <c r="V1974" s="55" t="str">
        <f t="shared" si="341"/>
        <v/>
      </c>
      <c r="W1974" s="55" t="str">
        <f>IF($V1974="","",IF(COUNTIF($V$5:$V1974,$V1974)=1,1,""))</f>
        <v/>
      </c>
      <c r="X1974" s="58" t="str">
        <f>IF($W1974="","",MAX($X$4:X1973)+1)</f>
        <v/>
      </c>
      <c r="Y1974" s="62"/>
      <c r="Z1974" s="62"/>
      <c r="AA1974" s="64" t="str">
        <f>IF($C1974="","",IFERROR(INDEX('Staff Directory'!$E$5:$E$594,MATCH($C1974,'Staff Directory'!$B$5:$B$594,0)),""))</f>
        <v/>
      </c>
      <c r="AB1974" s="64" t="str">
        <f>IF($C1974="","",IF(ISNUMBER(SEARCH($D1974,Settings!$C$15)),"Pickup","Dispatch"))</f>
        <v/>
      </c>
      <c r="AC1974" s="64" t="str">
        <f t="shared" si="342"/>
        <v/>
      </c>
      <c r="AD1974" s="64" t="str">
        <f t="shared" si="333"/>
        <v/>
      </c>
      <c r="AE1974" s="64" t="str">
        <f t="shared" si="334"/>
        <v/>
      </c>
      <c r="AF1974" s="89" t="str">
        <f t="shared" si="343"/>
        <v/>
      </c>
      <c r="AG1974" s="64" t="str">
        <f>IF($C1974="","",IFERROR(INDEX('Staff Directory'!$K$595:$K$599,MATCH($C1974,'Staff Directory'!$B$5:$B$599,0)),$D1974))</f>
        <v/>
      </c>
      <c r="AH1974" t="str">
        <f>IF($C1974="","",IFERROR(INDEX('Staff Directory'!$I$595:$I$599,MATCH($C1974,'Staff Directory'!$B$5:$B$599,0))&amp;" "&amp;INDEX('Staff Directory'!$J$595:$J$599,MATCH($C1974,'Staff Directory'!$B$5:$B$599,0)),$AG1974))</f>
        <v/>
      </c>
      <c r="AI1974" s="102"/>
      <c r="AJ1974" s="101" t="str">
        <f>IF($F1974="","",SUMIFS($J$5:$J1974,$F$5:$F1974,$F1974))</f>
        <v/>
      </c>
      <c r="AK1974" s="101" t="str">
        <f t="shared" si="335"/>
        <v/>
      </c>
      <c r="AL1974" s="66" t="str" cm="1">
        <f t="array" ref="AL1974">IF($F1974="","",IFERROR(INDEX('Lot Balance'!$B$5:$B$500,MATCH(1,INDEX(('Lot Balance'!$A$5:$A$500=$F1974)*('Lot Balance'!$K$5:$K$500&lt;$AK1974)*('Lot Balance'!$K$5:$K$500+'Lot Balance'!$D$5:$D$500&gt;=$AK1974),0),0)),""))</f>
        <v/>
      </c>
      <c r="AM1974" s="66" t="str" cm="1">
        <f t="array" ref="AM1974">IF($F1974="","",IFERROR(INDEX('Lot Balance'!$B$5:$B$500,MATCH(1,INDEX(('Lot Balance'!$A$5:$A$500=$F1974)*('Lot Balance'!$K$5:$K$500&lt;$AJ1974)*('Lot Balance'!$K$5:$K$500+'Lot Balance'!$D$5:$D$500&gt;=$AJ1974),0),0)),""))</f>
        <v/>
      </c>
      <c r="AN1974" s="66" t="str">
        <f>IF($F1974="","",IF($AI1974&lt;&gt;"",IF(COUNTIFS('Lot Balance'!$A$5:$A$500,$F1974,'Lot Balance'!$B$5:$B$500,$AI1974)=0,"⚠ override is not a lot of this item",IF($AI1974=$AL1974,"Override = FEFO","Override - FEFO says "&amp;$AL1974)),IF($AL1974="","⚠ no receipt on file for this item",IF($AM1974&lt;&gt;$AL1974,"FEFO auto - split, also "&amp;$AM1974,"FEFO auto"))))</f>
        <v/>
      </c>
      <c r="AO1974" s="114"/>
    </row>
    <row r="1975" spans="1:41" x14ac:dyDescent="0.35">
      <c r="A1975" s="75"/>
      <c r="B1975" s="80" t="str">
        <f>IF($C1975="","",IFERROR(INDEX('Staff Directory'!$A$5:$A$594,MATCH($C1975,'Staff Directory'!$B$5:$B$594,0)),"⚠ unknown staff"))</f>
        <v/>
      </c>
      <c r="C1975" s="49"/>
      <c r="D1975" s="19" t="str">
        <f>IF($B1975="","",IFERROR(INDEX('Staff Directory'!$C$5:$C$594,MATCH($B1975,'Staff Directory'!$A$5:$A$594,0)),""))</f>
        <v/>
      </c>
      <c r="E1975" s="19" t="str">
        <f>IF($B1975="","",IFERROR(INDEX('Staff Directory'!$D$5:$D$594,MATCH($B1975,'Staff Directory'!$A$5:$A$594,0)),""))</f>
        <v/>
      </c>
      <c r="F1975" s="9"/>
      <c r="G1975" s="18" t="str">
        <f>IF($F1975="","",IFERROR(INDEX(Items!$B$5:$B$597,MATCH($F1975,Items!$A$5:$A$597,0)),"⚠ not in Items"))</f>
        <v/>
      </c>
      <c r="H1975" s="19" t="str">
        <f>IF($F1975="","",IFERROR(INDEX(Items!$C$5:$C$597,MATCH($F1975,Items!$A$5:$A$597,0)),""))</f>
        <v/>
      </c>
      <c r="I1975" s="23" t="str">
        <f>IF($F1975="","",IFERROR(INDEX(Items!$E$5:$E$597,MATCH($F1975,Items!$A$5:$A$597,0)),""))</f>
        <v/>
      </c>
      <c r="J1975" s="116" t="str">
        <f>IF(tblIssues[[#This Row],[Qty Override]]&lt;&gt;"",tblIssues[[#This Row],[Qty Override]],IF(tblIssues[[#This Row],[Standard Issue]]="","",tblIssues[[#This Row],[Standard Issue]]))</f>
        <v/>
      </c>
      <c r="K1975" s="20" t="str">
        <f>IF($F1975="","",IFERROR(INDEX(Items!$D$5:$D$597,MATCH($F1975,Items!$A$5:$A$597,0)),""))</f>
        <v/>
      </c>
      <c r="L1975" s="21" t="str">
        <f t="shared" si="338"/>
        <v/>
      </c>
      <c r="M1975" s="9" t="str">
        <f t="shared" si="336"/>
        <v/>
      </c>
      <c r="N1975" s="87" t="str">
        <f>IF($A1975="","",WORKDAY($A1975,Settings!$C$9,HolidayDates))</f>
        <v/>
      </c>
      <c r="O1975" s="24" t="str">
        <f>IF($N1975="","",WORKDAY($N1975,Settings!$C$10,HolidayDates))</f>
        <v/>
      </c>
      <c r="P1975" s="9"/>
      <c r="Q1975" s="88" t="str">
        <f t="shared" si="344"/>
        <v/>
      </c>
      <c r="R1975" s="55" t="str">
        <f t="shared" si="339"/>
        <v/>
      </c>
      <c r="S1975" s="59" t="str">
        <f>IF(OR($B1975="",$F1975="",$R1975=""),"",SUMIFS(tblIssues[Qty Issued],tblIssues[Staff ID],$B1975,tblIssues[Item Name],$F1975,tblIssues[Month],$R1975))</f>
        <v/>
      </c>
      <c r="T1975" s="56" t="str">
        <f>IF($I1975="","",$I1975*Settings!$C$11)</f>
        <v/>
      </c>
      <c r="U1975" s="57" t="str">
        <f t="shared" si="340"/>
        <v/>
      </c>
      <c r="V1975" s="55" t="str">
        <f t="shared" si="341"/>
        <v/>
      </c>
      <c r="W1975" s="55" t="str">
        <f>IF($V1975="","",IF(COUNTIF($V$5:$V1975,$V1975)=1,1,""))</f>
        <v/>
      </c>
      <c r="X1975" s="58" t="str">
        <f>IF($W1975="","",MAX($X$4:X1974)+1)</f>
        <v/>
      </c>
      <c r="Y1975" s="62"/>
      <c r="Z1975" s="62"/>
      <c r="AA1975" s="64" t="str">
        <f>IF($C1975="","",IFERROR(INDEX('Staff Directory'!$E$5:$E$594,MATCH($C1975,'Staff Directory'!$B$5:$B$594,0)),""))</f>
        <v/>
      </c>
      <c r="AB1975" s="64" t="str">
        <f>IF($C1975="","",IF(ISNUMBER(SEARCH($D1975,Settings!$C$15)),"Pickup","Dispatch"))</f>
        <v/>
      </c>
      <c r="AC1975" s="64" t="str">
        <f t="shared" si="342"/>
        <v/>
      </c>
      <c r="AD1975" s="64" t="str">
        <f t="shared" si="333"/>
        <v/>
      </c>
      <c r="AE1975" s="64" t="str">
        <f t="shared" si="334"/>
        <v/>
      </c>
      <c r="AF1975" s="89" t="str">
        <f t="shared" si="343"/>
        <v/>
      </c>
      <c r="AG1975" s="64" t="str">
        <f>IF($C1975="","",IFERROR(INDEX('Staff Directory'!$K$595:$K$599,MATCH($C1975,'Staff Directory'!$B$5:$B$599,0)),$D1975))</f>
        <v/>
      </c>
      <c r="AH1975" t="str">
        <f>IF($C1975="","",IFERROR(INDEX('Staff Directory'!$I$595:$I$599,MATCH($C1975,'Staff Directory'!$B$5:$B$599,0))&amp;" "&amp;INDEX('Staff Directory'!$J$595:$J$599,MATCH($C1975,'Staff Directory'!$B$5:$B$599,0)),$AG1975))</f>
        <v/>
      </c>
      <c r="AI1975" s="102"/>
      <c r="AJ1975" s="101" t="str">
        <f>IF($F1975="","",SUMIFS($J$5:$J1975,$F$5:$F1975,$F1975))</f>
        <v/>
      </c>
      <c r="AK1975" s="101" t="str">
        <f t="shared" si="335"/>
        <v/>
      </c>
      <c r="AL1975" s="66" t="str" cm="1">
        <f t="array" ref="AL1975">IF($F1975="","",IFERROR(INDEX('Lot Balance'!$B$5:$B$500,MATCH(1,INDEX(('Lot Balance'!$A$5:$A$500=$F1975)*('Lot Balance'!$K$5:$K$500&lt;$AK1975)*('Lot Balance'!$K$5:$K$500+'Lot Balance'!$D$5:$D$500&gt;=$AK1975),0),0)),""))</f>
        <v/>
      </c>
      <c r="AM1975" s="66" t="str" cm="1">
        <f t="array" ref="AM1975">IF($F1975="","",IFERROR(INDEX('Lot Balance'!$B$5:$B$500,MATCH(1,INDEX(('Lot Balance'!$A$5:$A$500=$F1975)*('Lot Balance'!$K$5:$K$500&lt;$AJ1975)*('Lot Balance'!$K$5:$K$500+'Lot Balance'!$D$5:$D$500&gt;=$AJ1975),0),0)),""))</f>
        <v/>
      </c>
      <c r="AN1975" s="66" t="str">
        <f>IF($F1975="","",IF($AI1975&lt;&gt;"",IF(COUNTIFS('Lot Balance'!$A$5:$A$500,$F1975,'Lot Balance'!$B$5:$B$500,$AI1975)=0,"⚠ override is not a lot of this item",IF($AI1975=$AL1975,"Override = FEFO","Override - FEFO says "&amp;$AL1975)),IF($AL1975="","⚠ no receipt on file for this item",IF($AM1975&lt;&gt;$AL1975,"FEFO auto - split, also "&amp;$AM1975,"FEFO auto"))))</f>
        <v/>
      </c>
      <c r="AO1975" s="114"/>
    </row>
    <row r="1976" spans="1:41" x14ac:dyDescent="0.35">
      <c r="A1976" s="75"/>
      <c r="B1976" s="80" t="str">
        <f>IF($C1976="","",IFERROR(INDEX('Staff Directory'!$A$5:$A$594,MATCH($C1976,'Staff Directory'!$B$5:$B$594,0)),"⚠ unknown staff"))</f>
        <v/>
      </c>
      <c r="C1976" s="49"/>
      <c r="D1976" s="19" t="str">
        <f>IF($B1976="","",IFERROR(INDEX('Staff Directory'!$C$5:$C$594,MATCH($B1976,'Staff Directory'!$A$5:$A$594,0)),""))</f>
        <v/>
      </c>
      <c r="E1976" s="19" t="str">
        <f>IF($B1976="","",IFERROR(INDEX('Staff Directory'!$D$5:$D$594,MATCH($B1976,'Staff Directory'!$A$5:$A$594,0)),""))</f>
        <v/>
      </c>
      <c r="F1976" s="9"/>
      <c r="G1976" s="18" t="str">
        <f>IF($F1976="","",IFERROR(INDEX(Items!$B$5:$B$597,MATCH($F1976,Items!$A$5:$A$597,0)),"⚠ not in Items"))</f>
        <v/>
      </c>
      <c r="H1976" s="19" t="str">
        <f>IF($F1976="","",IFERROR(INDEX(Items!$C$5:$C$597,MATCH($F1976,Items!$A$5:$A$597,0)),""))</f>
        <v/>
      </c>
      <c r="I1976" s="23" t="str">
        <f>IF($F1976="","",IFERROR(INDEX(Items!$E$5:$E$597,MATCH($F1976,Items!$A$5:$A$597,0)),""))</f>
        <v/>
      </c>
      <c r="J1976" s="116" t="str">
        <f>IF(tblIssues[[#This Row],[Qty Override]]&lt;&gt;"",tblIssues[[#This Row],[Qty Override]],IF(tblIssues[[#This Row],[Standard Issue]]="","",tblIssues[[#This Row],[Standard Issue]]))</f>
        <v/>
      </c>
      <c r="K1976" s="20" t="str">
        <f>IF($F1976="","",IFERROR(INDEX(Items!$D$5:$D$597,MATCH($F1976,Items!$A$5:$A$597,0)),""))</f>
        <v/>
      </c>
      <c r="L1976" s="21" t="str">
        <f t="shared" si="338"/>
        <v/>
      </c>
      <c r="M1976" s="9" t="str">
        <f t="shared" si="336"/>
        <v/>
      </c>
      <c r="N1976" s="87" t="str">
        <f>IF($A1976="","",WORKDAY($A1976,Settings!$C$9,HolidayDates))</f>
        <v/>
      </c>
      <c r="O1976" s="24" t="str">
        <f>IF($N1976="","",WORKDAY($N1976,Settings!$C$10,HolidayDates))</f>
        <v/>
      </c>
      <c r="P1976" s="9"/>
      <c r="Q1976" s="88" t="str">
        <f t="shared" si="344"/>
        <v/>
      </c>
      <c r="R1976" s="55" t="str">
        <f t="shared" si="339"/>
        <v/>
      </c>
      <c r="S1976" s="59" t="str">
        <f>IF(OR($B1976="",$F1976="",$R1976=""),"",SUMIFS(tblIssues[Qty Issued],tblIssues[Staff ID],$B1976,tblIssues[Item Name],$F1976,tblIssues[Month],$R1976))</f>
        <v/>
      </c>
      <c r="T1976" s="56" t="str">
        <f>IF($I1976="","",$I1976*Settings!$C$11)</f>
        <v/>
      </c>
      <c r="U1976" s="57" t="str">
        <f t="shared" si="340"/>
        <v/>
      </c>
      <c r="V1976" s="55" t="str">
        <f t="shared" si="341"/>
        <v/>
      </c>
      <c r="W1976" s="55" t="str">
        <f>IF($V1976="","",IF(COUNTIF($V$5:$V1976,$V1976)=1,1,""))</f>
        <v/>
      </c>
      <c r="X1976" s="58" t="str">
        <f>IF($W1976="","",MAX($X$4:X1975)+1)</f>
        <v/>
      </c>
      <c r="Y1976" s="62"/>
      <c r="Z1976" s="62"/>
      <c r="AA1976" s="64" t="str">
        <f>IF($C1976="","",IFERROR(INDEX('Staff Directory'!$E$5:$E$594,MATCH($C1976,'Staff Directory'!$B$5:$B$594,0)),""))</f>
        <v/>
      </c>
      <c r="AB1976" s="64" t="str">
        <f>IF($C1976="","",IF(ISNUMBER(SEARCH($D1976,Settings!$C$15)),"Pickup","Dispatch"))</f>
        <v/>
      </c>
      <c r="AC1976" s="64" t="str">
        <f t="shared" si="342"/>
        <v/>
      </c>
      <c r="AD1976" s="64" t="str">
        <f t="shared" si="333"/>
        <v/>
      </c>
      <c r="AE1976" s="64" t="str">
        <f t="shared" si="334"/>
        <v/>
      </c>
      <c r="AF1976" s="89" t="str">
        <f t="shared" si="343"/>
        <v/>
      </c>
      <c r="AG1976" s="64" t="str">
        <f>IF($C1976="","",IFERROR(INDEX('Staff Directory'!$K$595:$K$599,MATCH($C1976,'Staff Directory'!$B$5:$B$599,0)),$D1976))</f>
        <v/>
      </c>
      <c r="AH1976" t="str">
        <f>IF($C1976="","",IFERROR(INDEX('Staff Directory'!$I$595:$I$599,MATCH($C1976,'Staff Directory'!$B$5:$B$599,0))&amp;" "&amp;INDEX('Staff Directory'!$J$595:$J$599,MATCH($C1976,'Staff Directory'!$B$5:$B$599,0)),$AG1976))</f>
        <v/>
      </c>
      <c r="AI1976" s="102"/>
      <c r="AJ1976" s="101" t="str">
        <f>IF($F1976="","",SUMIFS($J$5:$J1976,$F$5:$F1976,$F1976))</f>
        <v/>
      </c>
      <c r="AK1976" s="101" t="str">
        <f t="shared" si="335"/>
        <v/>
      </c>
      <c r="AL1976" s="66" t="str" cm="1">
        <f t="array" ref="AL1976">IF($F1976="","",IFERROR(INDEX('Lot Balance'!$B$5:$B$500,MATCH(1,INDEX(('Lot Balance'!$A$5:$A$500=$F1976)*('Lot Balance'!$K$5:$K$500&lt;$AK1976)*('Lot Balance'!$K$5:$K$500+'Lot Balance'!$D$5:$D$500&gt;=$AK1976),0),0)),""))</f>
        <v/>
      </c>
      <c r="AM1976" s="66" t="str" cm="1">
        <f t="array" ref="AM1976">IF($F1976="","",IFERROR(INDEX('Lot Balance'!$B$5:$B$500,MATCH(1,INDEX(('Lot Balance'!$A$5:$A$500=$F1976)*('Lot Balance'!$K$5:$K$500&lt;$AJ1976)*('Lot Balance'!$K$5:$K$500+'Lot Balance'!$D$5:$D$500&gt;=$AJ1976),0),0)),""))</f>
        <v/>
      </c>
      <c r="AN1976" s="66" t="str">
        <f>IF($F1976="","",IF($AI1976&lt;&gt;"",IF(COUNTIFS('Lot Balance'!$A$5:$A$500,$F1976,'Lot Balance'!$B$5:$B$500,$AI1976)=0,"⚠ override is not a lot of this item",IF($AI1976=$AL1976,"Override = FEFO","Override - FEFO says "&amp;$AL1976)),IF($AL1976="","⚠ no receipt on file for this item",IF($AM1976&lt;&gt;$AL1976,"FEFO auto - split, also "&amp;$AM1976,"FEFO auto"))))</f>
        <v/>
      </c>
      <c r="AO1976" s="114"/>
    </row>
    <row r="1977" spans="1:41" x14ac:dyDescent="0.35">
      <c r="A1977" s="75"/>
      <c r="B1977" s="80" t="str">
        <f>IF($C1977="","",IFERROR(INDEX('Staff Directory'!$A$5:$A$594,MATCH($C1977,'Staff Directory'!$B$5:$B$594,0)),"⚠ unknown staff"))</f>
        <v/>
      </c>
      <c r="C1977" s="49"/>
      <c r="D1977" s="19" t="str">
        <f>IF($B1977="","",IFERROR(INDEX('Staff Directory'!$C$5:$C$594,MATCH($B1977,'Staff Directory'!$A$5:$A$594,0)),""))</f>
        <v/>
      </c>
      <c r="E1977" s="19" t="str">
        <f>IF($B1977="","",IFERROR(INDEX('Staff Directory'!$D$5:$D$594,MATCH($B1977,'Staff Directory'!$A$5:$A$594,0)),""))</f>
        <v/>
      </c>
      <c r="F1977" s="9"/>
      <c r="G1977" s="18" t="str">
        <f>IF($F1977="","",IFERROR(INDEX(Items!$B$5:$B$597,MATCH($F1977,Items!$A$5:$A$597,0)),"⚠ not in Items"))</f>
        <v/>
      </c>
      <c r="H1977" s="19" t="str">
        <f>IF($F1977="","",IFERROR(INDEX(Items!$C$5:$C$597,MATCH($F1977,Items!$A$5:$A$597,0)),""))</f>
        <v/>
      </c>
      <c r="I1977" s="23" t="str">
        <f>IF($F1977="","",IFERROR(INDEX(Items!$E$5:$E$597,MATCH($F1977,Items!$A$5:$A$597,0)),""))</f>
        <v/>
      </c>
      <c r="J1977" s="116" t="str">
        <f>IF(tblIssues[[#This Row],[Qty Override]]&lt;&gt;"",tblIssues[[#This Row],[Qty Override]],IF(tblIssues[[#This Row],[Standard Issue]]="","",tblIssues[[#This Row],[Standard Issue]]))</f>
        <v/>
      </c>
      <c r="K1977" s="20" t="str">
        <f>IF($F1977="","",IFERROR(INDEX(Items!$D$5:$D$597,MATCH($F1977,Items!$A$5:$A$597,0)),""))</f>
        <v/>
      </c>
      <c r="L1977" s="21" t="str">
        <f t="shared" si="338"/>
        <v/>
      </c>
      <c r="M1977" s="9" t="str">
        <f t="shared" si="336"/>
        <v/>
      </c>
      <c r="N1977" s="87" t="str">
        <f>IF($A1977="","",WORKDAY($A1977,Settings!$C$9,HolidayDates))</f>
        <v/>
      </c>
      <c r="O1977" s="24" t="str">
        <f>IF($N1977="","",WORKDAY($N1977,Settings!$C$10,HolidayDates))</f>
        <v/>
      </c>
      <c r="P1977" s="9"/>
      <c r="Q1977" s="88" t="str">
        <f t="shared" si="344"/>
        <v/>
      </c>
      <c r="R1977" s="55" t="str">
        <f t="shared" si="339"/>
        <v/>
      </c>
      <c r="S1977" s="59" t="str">
        <f>IF(OR($B1977="",$F1977="",$R1977=""),"",SUMIFS(tblIssues[Qty Issued],tblIssues[Staff ID],$B1977,tblIssues[Item Name],$F1977,tblIssues[Month],$R1977))</f>
        <v/>
      </c>
      <c r="T1977" s="56" t="str">
        <f>IF($I1977="","",$I1977*Settings!$C$11)</f>
        <v/>
      </c>
      <c r="U1977" s="57" t="str">
        <f t="shared" si="340"/>
        <v/>
      </c>
      <c r="V1977" s="55" t="str">
        <f t="shared" si="341"/>
        <v/>
      </c>
      <c r="W1977" s="55" t="str">
        <f>IF($V1977="","",IF(COUNTIF($V$5:$V1977,$V1977)=1,1,""))</f>
        <v/>
      </c>
      <c r="X1977" s="58" t="str">
        <f>IF($W1977="","",MAX($X$4:X1976)+1)</f>
        <v/>
      </c>
      <c r="Y1977" s="62"/>
      <c r="Z1977" s="62"/>
      <c r="AA1977" s="64" t="str">
        <f>IF($C1977="","",IFERROR(INDEX('Staff Directory'!$E$5:$E$594,MATCH($C1977,'Staff Directory'!$B$5:$B$594,0)),""))</f>
        <v/>
      </c>
      <c r="AB1977" s="64" t="str">
        <f>IF($C1977="","",IF(ISNUMBER(SEARCH($D1977,Settings!$C$15)),"Pickup","Dispatch"))</f>
        <v/>
      </c>
      <c r="AC1977" s="64" t="str">
        <f t="shared" si="342"/>
        <v/>
      </c>
      <c r="AD1977" s="64" t="str">
        <f t="shared" si="333"/>
        <v/>
      </c>
      <c r="AE1977" s="64" t="str">
        <f t="shared" si="334"/>
        <v/>
      </c>
      <c r="AF1977" s="89" t="str">
        <f t="shared" si="343"/>
        <v/>
      </c>
      <c r="AG1977" s="64" t="str">
        <f>IF($C1977="","",IFERROR(INDEX('Staff Directory'!$K$595:$K$599,MATCH($C1977,'Staff Directory'!$B$5:$B$599,0)),$D1977))</f>
        <v/>
      </c>
      <c r="AH1977" t="str">
        <f>IF($C1977="","",IFERROR(INDEX('Staff Directory'!$I$595:$I$599,MATCH($C1977,'Staff Directory'!$B$5:$B$599,0))&amp;" "&amp;INDEX('Staff Directory'!$J$595:$J$599,MATCH($C1977,'Staff Directory'!$B$5:$B$599,0)),$AG1977))</f>
        <v/>
      </c>
      <c r="AI1977" s="102"/>
      <c r="AJ1977" s="101" t="str">
        <f>IF($F1977="","",SUMIFS($J$5:$J1977,$F$5:$F1977,$F1977))</f>
        <v/>
      </c>
      <c r="AK1977" s="101" t="str">
        <f t="shared" si="335"/>
        <v/>
      </c>
      <c r="AL1977" s="66" t="str" cm="1">
        <f t="array" ref="AL1977">IF($F1977="","",IFERROR(INDEX('Lot Balance'!$B$5:$B$500,MATCH(1,INDEX(('Lot Balance'!$A$5:$A$500=$F1977)*('Lot Balance'!$K$5:$K$500&lt;$AK1977)*('Lot Balance'!$K$5:$K$500+'Lot Balance'!$D$5:$D$500&gt;=$AK1977),0),0)),""))</f>
        <v/>
      </c>
      <c r="AM1977" s="66" t="str" cm="1">
        <f t="array" ref="AM1977">IF($F1977="","",IFERROR(INDEX('Lot Balance'!$B$5:$B$500,MATCH(1,INDEX(('Lot Balance'!$A$5:$A$500=$F1977)*('Lot Balance'!$K$5:$K$500&lt;$AJ1977)*('Lot Balance'!$K$5:$K$500+'Lot Balance'!$D$5:$D$500&gt;=$AJ1977),0),0)),""))</f>
        <v/>
      </c>
      <c r="AN1977" s="66" t="str">
        <f>IF($F1977="","",IF($AI1977&lt;&gt;"",IF(COUNTIFS('Lot Balance'!$A$5:$A$500,$F1977,'Lot Balance'!$B$5:$B$500,$AI1977)=0,"⚠ override is not a lot of this item",IF($AI1977=$AL1977,"Override = FEFO","Override - FEFO says "&amp;$AL1977)),IF($AL1977="","⚠ no receipt on file for this item",IF($AM1977&lt;&gt;$AL1977,"FEFO auto - split, also "&amp;$AM1977,"FEFO auto"))))</f>
        <v/>
      </c>
      <c r="AO1977" s="114"/>
    </row>
  </sheetData>
  <mergeCells count="2">
    <mergeCell ref="A1:Q1"/>
    <mergeCell ref="A2:Q2"/>
  </mergeCells>
  <phoneticPr fontId="30" type="noConversion"/>
  <conditionalFormatting sqref="A5:AO1977">
    <cfRule type="expression" dxfId="24" priority="9">
      <formula>$U5="⚠ OVER QUOTA"</formula>
    </cfRule>
    <cfRule type="expression" dxfId="23" priority="15">
      <formula>$P5&lt;&gt;""</formula>
    </cfRule>
  </conditionalFormatting>
  <conditionalFormatting sqref="P5:P1977">
    <cfRule type="expression" dxfId="22" priority="14">
      <formula>$P5&lt;&gt;""</formula>
    </cfRule>
  </conditionalFormatting>
  <conditionalFormatting sqref="U5:U1977">
    <cfRule type="expression" dxfId="21" priority="10">
      <formula>$U5="⚠ OVER QUOTA"</formula>
    </cfRule>
    <cfRule type="expression" dxfId="20" priority="12">
      <formula>$U5="APPROVED BY TL"</formula>
    </cfRule>
  </conditionalFormatting>
  <dataValidations count="3">
    <dataValidation type="list" allowBlank="1" showInputMessage="1" showErrorMessage="1" promptTitle="Team lead approval" prompt="Set to Approved once the team lead authorises issuing above the monthly quota. The pink over-quota flag then switches off for this row." sqref="Y5:Y1977" xr:uid="{98DE06A6-B370-43D3-9A75-0337BBB4B099}">
      <formula1>"Approved,Not approved"</formula1>
    </dataValidation>
    <dataValidation type="list" allowBlank="1" showInputMessage="1" showErrorMessage="1" errorTitle="Staff name not recognised" error="Pick a staff name from the list. If the person is new, add them to Staff Directory first." sqref="C5:C1977" xr:uid="{5C486210-6E45-4986-9A11-84A423499495}">
      <formula1>StaffNames</formula1>
    </dataValidation>
    <dataValidation type="list" allowBlank="1" sqref="B5" xr:uid="{CB21CBC8-4C39-4597-A43E-C6157D4478E5}">
      <formula1>INDIRECT("'Staff Directory'!$A$5:$A$420")</formula1>
    </dataValidation>
  </dataValidations>
  <hyperlinks>
    <hyperlink ref="P74" r:id="rId1" xr:uid="{F6DAE094-B6CB-401E-A922-7463C33A9648}"/>
    <hyperlink ref="P75:P76" r:id="rId2" display="TR ID" xr:uid="{655751B2-860A-49E4-80BA-DADDCEF82C71}"/>
    <hyperlink ref="P43" r:id="rId3" xr:uid="{8137C408-172F-4D35-A01C-4720284869BF}"/>
    <hyperlink ref="P44:P45" r:id="rId4" display="TR ID" xr:uid="{58A4FDC6-8820-46B2-8EF8-C136B0BC7B18}"/>
    <hyperlink ref="P46" r:id="rId5" xr:uid="{3708758B-9F41-426F-BB9C-577BABF8EADD}"/>
    <hyperlink ref="P24" r:id="rId6" xr:uid="{21EB63BE-C0D5-49F1-9375-B0FE8E484957}"/>
    <hyperlink ref="P25:P26" r:id="rId7" display="TR ID" xr:uid="{4F749007-92E4-4C1E-A5A7-8248A5F6DC20}"/>
    <hyperlink ref="P27" r:id="rId8" xr:uid="{F69DEF3D-D384-4735-A261-556D3B0B56EA}"/>
    <hyperlink ref="P28:P29" r:id="rId9" display="TR ID" xr:uid="{1C9B9C62-4A8D-4E62-ADF1-64AF9B162A0E}"/>
  </hyperlinks>
  <pageMargins left="0.75" right="0.75" top="1" bottom="1" header="0.511811023622047" footer="0.511811023622047"/>
  <pageSetup paperSize="9" orientation="portrait" horizontalDpi="300" verticalDpi="300"/>
  <ignoredErrors>
    <ignoredError sqref="B1927 B1928:B1977" listDataValidation="1"/>
  </ignoredErrors>
  <tableParts count="1">
    <tablePart r:id="rId10"/>
  </tableParts>
  <extLst>
    <ext xmlns:x14="http://schemas.microsoft.com/office/spreadsheetml/2009/9/main" uri="{CCE6A557-97BC-4b89-ADB6-D9C93CAAB3DF}">
      <x14:dataValidations xmlns:xm="http://schemas.microsoft.com/office/excel/2006/main" count="2">
        <x14:dataValidation type="list" allowBlank="1" showInputMessage="1" showErrorMessage="1" xr:uid="{B944EB6F-6FD1-476F-A325-049397CADEDD}">
          <x14:formula1>
            <xm:f>'Staff Directory'!$A$5:$A$420</xm:f>
          </x14:formula1>
          <xm:sqref>B6:B2546</xm:sqref>
        </x14:dataValidation>
        <x14:dataValidation type="list" allowBlank="1" xr:uid="{63FAF76E-980B-49BD-AE3F-25A4052A01EB}">
          <x14:formula1>
            <xm:f>Items!$A$5:$A$300</xm:f>
          </x14:formula1>
          <xm:sqref>F5:F2546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B3A5C"/>
  </sheetPr>
  <dimension ref="A1:Q2000"/>
  <sheetViews>
    <sheetView showGridLines="0" zoomScaleNormal="100" workbookViewId="0">
      <pane ySplit="4" topLeftCell="A83" activePane="bottomLeft" state="frozen"/>
      <selection pane="bottomLeft" activeCell="D102" sqref="D102"/>
    </sheetView>
  </sheetViews>
  <sheetFormatPr defaultColWidth="8.54296875" defaultRowHeight="14.5" outlineLevelCol="1" x14ac:dyDescent="0.35"/>
  <cols>
    <col min="1" max="1" width="40" customWidth="1"/>
    <col min="2" max="2" width="18" customWidth="1"/>
    <col min="3" max="3" width="15" customWidth="1"/>
    <col min="4" max="4" width="13.54296875" customWidth="1"/>
    <col min="5" max="5" width="11" customWidth="1"/>
    <col min="6" max="6" width="15.453125" customWidth="1"/>
    <col min="7" max="7" width="14.453125" customWidth="1"/>
    <col min="8" max="8" width="12.1796875" customWidth="1"/>
    <col min="9" max="9" width="14.81640625" customWidth="1"/>
    <col min="10" max="10" width="10" customWidth="1" outlineLevel="1"/>
    <col min="11" max="11" width="13" customWidth="1" outlineLevel="1"/>
    <col min="12" max="12" width="14" customWidth="1"/>
    <col min="13" max="13" width="17.453125" customWidth="1"/>
    <col min="14" max="14" width="11" customWidth="1"/>
    <col min="15" max="15" width="12.1796875" customWidth="1"/>
    <col min="16" max="16" width="14.1796875" customWidth="1"/>
    <col min="17" max="17" width="16" customWidth="1"/>
  </cols>
  <sheetData>
    <row r="1" spans="1:17" ht="24" customHeight="1" x14ac:dyDescent="0.35">
      <c r="A1" s="117" t="s">
        <v>503</v>
      </c>
      <c r="B1" s="117"/>
      <c r="C1" s="117"/>
      <c r="D1" s="117"/>
      <c r="E1" s="117"/>
      <c r="F1" s="117"/>
      <c r="G1" s="117"/>
      <c r="H1" s="117"/>
      <c r="I1" s="117"/>
      <c r="J1" s="117"/>
      <c r="K1" s="117"/>
      <c r="L1" s="117"/>
      <c r="M1" s="117"/>
      <c r="N1" s="117"/>
      <c r="O1" s="117"/>
      <c r="P1" s="117"/>
      <c r="Q1" s="117"/>
    </row>
    <row r="2" spans="1:17" ht="13.5" customHeight="1" x14ac:dyDescent="0.35">
      <c r="A2" s="118" t="s">
        <v>504</v>
      </c>
      <c r="B2" s="118"/>
      <c r="C2" s="118"/>
      <c r="D2" s="118"/>
      <c r="E2" s="118"/>
      <c r="F2" s="118"/>
      <c r="G2" s="118"/>
      <c r="H2" s="118"/>
      <c r="I2" s="118"/>
      <c r="J2" s="118"/>
      <c r="K2" s="118"/>
      <c r="L2" s="118"/>
      <c r="M2" s="118"/>
      <c r="N2" s="118"/>
      <c r="O2" s="118"/>
      <c r="P2" s="118"/>
      <c r="Q2" s="118"/>
    </row>
    <row r="4" spans="1:17" ht="25.5" customHeight="1" x14ac:dyDescent="0.35">
      <c r="A4" s="76" t="s">
        <v>88</v>
      </c>
      <c r="B4" s="77" t="s">
        <v>366</v>
      </c>
      <c r="C4" s="77" t="s">
        <v>89</v>
      </c>
      <c r="D4" s="77" t="s">
        <v>367</v>
      </c>
      <c r="E4" s="77" t="s">
        <v>91</v>
      </c>
      <c r="F4" s="77" t="s">
        <v>370</v>
      </c>
      <c r="G4" s="77" t="s">
        <v>369</v>
      </c>
      <c r="H4" s="77" t="s">
        <v>368</v>
      </c>
      <c r="I4" s="77" t="s">
        <v>505</v>
      </c>
      <c r="J4" s="77" t="s">
        <v>506</v>
      </c>
      <c r="K4" s="77" t="s">
        <v>507</v>
      </c>
      <c r="L4" s="77" t="s">
        <v>508</v>
      </c>
      <c r="M4" s="77" t="s">
        <v>509</v>
      </c>
      <c r="N4" s="77" t="s">
        <v>510</v>
      </c>
      <c r="O4" s="77" t="s">
        <v>35</v>
      </c>
      <c r="P4" s="77" t="s">
        <v>511</v>
      </c>
      <c r="Q4" s="78" t="s">
        <v>500</v>
      </c>
    </row>
    <row r="5" spans="1:17" x14ac:dyDescent="0.35">
      <c r="A5" s="90" t="str">
        <f>IF(Receipts!$D5="","",Receipts!$D5)</f>
        <v>1804 N95 Mask</v>
      </c>
      <c r="B5" s="18" t="str">
        <f>IF(Receipts!$C5="","",Receipts!$C5)</f>
        <v>N955003713</v>
      </c>
      <c r="C5" s="18" t="str">
        <f>IF($A5="","",IFERROR(INDEX(Items!$B$5:$B$597,MATCH($A5,Items!$A$5:$A$597,0)),""))</f>
        <v>Masks</v>
      </c>
      <c r="D5" s="23">
        <f>IF($A5="","",N(Receipts!$G5))</f>
        <v>40</v>
      </c>
      <c r="E5" s="20">
        <f>IF($A5="","",IFERROR(INDEX(Items!$D$5:$D$597,MATCH($A5,Items!$A$5:$A$597,0)),0))</f>
        <v>2.0499999999999998</v>
      </c>
      <c r="F5" s="21">
        <f t="shared" ref="F5:F68" si="0">IF($A5="","",$D5*$E5)</f>
        <v>82</v>
      </c>
      <c r="G5" s="25">
        <f>IF(Receipts!$I5="","",Receipts!$I5)</f>
        <v>46113</v>
      </c>
      <c r="H5" s="25">
        <f>IF(Receipts!$H5="","",Receipts!$H5)</f>
        <v>46235</v>
      </c>
      <c r="I5" s="26">
        <f t="shared" ref="I5:I68" ca="1" si="1">IF($H5="","",$H5-TODAY())</f>
        <v>-3</v>
      </c>
      <c r="J5" s="26">
        <f>IF($A5="","",COUNTIFS(tblReceipts[Item Name],$A5,tblReceipts[Expiry Date],"&lt;"&amp;$H5)+COUNTIFS(tblReceipts[Item Name],$A5,tblReceipts[Expiry Date],$H5,tblReceipts[Lot Number],"&lt;="&amp;Receipts!$C5))</f>
        <v>1</v>
      </c>
      <c r="K5" s="26">
        <f>IF($A5="","",SUMIFS(tblReceipts[Qty Received],tblReceipts[Item Name],$A5,tblReceipts[Expiry Date],"&lt;"&amp;$H5)+SUMIFS(tblReceipts[Qty Received],tblReceipts[Item Name],$A5,tblReceipts[Expiry Date],$H5,tblReceipts[Lot Number],"&lt;"&amp;Receipts!$C5))</f>
        <v>0</v>
      </c>
      <c r="L5" s="26">
        <f>IF($A5="","",MIN($D5,MAX(0,SUMIFS(tblIssues[Qty Issued],tblIssues[Item Name],$A5)-$K5)))</f>
        <v>0</v>
      </c>
      <c r="M5" s="26">
        <f>IF($A5="","",SUMIFS(tblIssues[Qty Issued],tblIssues[Lot Number],$B5))</f>
        <v>0</v>
      </c>
      <c r="N5" s="26">
        <f t="shared" ref="N5:N68" si="2">IF($A5="","",$M5-$L5)</f>
        <v>0</v>
      </c>
      <c r="O5" s="26">
        <f t="shared" ref="O5:O68" si="3">IF($A5="","",$D5-$L5)</f>
        <v>40</v>
      </c>
      <c r="P5" s="21">
        <f t="shared" ref="P5:P68" si="4">IF($A5="","",$O5*$E5)</f>
        <v>82</v>
      </c>
      <c r="Q5" s="52" t="str">
        <f ca="1">IF($A5="","",IF($O5&lt;=0,"Depleted",IF($I5&lt;0,"EXPIRED",IF($I5&lt;=Settings!$C$6,"CRITICAL",IF($I5&lt;=Settings!$C$5,"Expiring","In date")))))</f>
        <v>EXPIRED</v>
      </c>
    </row>
    <row r="6" spans="1:17" x14ac:dyDescent="0.35">
      <c r="A6" s="90" t="str">
        <f>IF(Receipts!$D6="","",Receipts!$D6)</f>
        <v>1860 N95 Mask</v>
      </c>
      <c r="B6" s="18" t="str">
        <f>IF(Receipts!$C6="","",Receipts!$C6)</f>
        <v>N955003716</v>
      </c>
      <c r="C6" s="18" t="str">
        <f>IF($A6="","",IFERROR(INDEX(Items!$B$5:$B$597,MATCH($A6,Items!$A$5:$A$597,0)),""))</f>
        <v>Masks</v>
      </c>
      <c r="D6" s="23">
        <f>IF($A6="","",N(Receipts!$G6))</f>
        <v>10840</v>
      </c>
      <c r="E6" s="20">
        <f>IF($A6="","",IFERROR(INDEX(Items!$D$5:$D$597,MATCH($A6,Items!$A$5:$A$597,0)),0))</f>
        <v>2.0499999999999998</v>
      </c>
      <c r="F6" s="21">
        <f t="shared" si="0"/>
        <v>22221.999999999996</v>
      </c>
      <c r="G6" s="25">
        <f>IF(Receipts!$I6="","",Receipts!$I6)</f>
        <v>46113</v>
      </c>
      <c r="H6" s="25">
        <f>IF(Receipts!$H6="","",Receipts!$H6)</f>
        <v>46235</v>
      </c>
      <c r="I6" s="26">
        <f t="shared" ca="1" si="1"/>
        <v>-3</v>
      </c>
      <c r="J6" s="26">
        <f>IF($A6="","",COUNTIFS(tblReceipts[Item Name],$A6,tblReceipts[Expiry Date],"&lt;"&amp;$H6)+COUNTIFS(tblReceipts[Item Name],$A6,tblReceipts[Expiry Date],$H6,tblReceipts[Lot Number],"&lt;="&amp;Receipts!$C6))</f>
        <v>1</v>
      </c>
      <c r="K6" s="26">
        <f>IF($A6="","",SUMIFS(tblReceipts[Qty Received],tblReceipts[Item Name],$A6,tblReceipts[Expiry Date],"&lt;"&amp;$H6)+SUMIFS(tblReceipts[Qty Received],tblReceipts[Item Name],$A6,tblReceipts[Expiry Date],$H6,tblReceipts[Lot Number],"&lt;"&amp;Receipts!$C6))</f>
        <v>0</v>
      </c>
      <c r="L6" s="26">
        <f>IF($A6="","",MIN($D6,MAX(0,SUMIFS(tblIssues[Qty Issued],tblIssues[Item Name],$A6)-$K6)))</f>
        <v>0</v>
      </c>
      <c r="M6" s="26">
        <f>IF($A6="","",SUMIFS(tblIssues[Qty Issued],tblIssues[Lot Number],$B6))</f>
        <v>0</v>
      </c>
      <c r="N6" s="26">
        <f t="shared" si="2"/>
        <v>0</v>
      </c>
      <c r="O6" s="26">
        <f t="shared" si="3"/>
        <v>10840</v>
      </c>
      <c r="P6" s="21">
        <f t="shared" si="4"/>
        <v>22221.999999999996</v>
      </c>
      <c r="Q6" s="52" t="str">
        <f ca="1">IF($A6="","",IF($O6&lt;=0,"Depleted",IF($I6&lt;0,"EXPIRED",IF($I6&lt;=Settings!$C$6,"CRITICAL",IF($I6&lt;=Settings!$C$5,"Expiring","In date")))))</f>
        <v>EXPIRED</v>
      </c>
    </row>
    <row r="7" spans="1:17" x14ac:dyDescent="0.35">
      <c r="A7" s="90" t="str">
        <f>IF(Receipts!$D7="","",Receipts!$D7)</f>
        <v>1860S N95 Mask</v>
      </c>
      <c r="B7" s="18" t="str">
        <f>IF(Receipts!$C7="","",Receipts!$C7)</f>
        <v>N955003715</v>
      </c>
      <c r="C7" s="18" t="str">
        <f>IF($A7="","",IFERROR(INDEX(Items!$B$5:$B$597,MATCH($A7,Items!$A$5:$A$597,0)),""))</f>
        <v>Masks</v>
      </c>
      <c r="D7" s="23">
        <f>IF($A7="","",N(Receipts!$G7))</f>
        <v>9835</v>
      </c>
      <c r="E7" s="20">
        <f>IF($A7="","",IFERROR(INDEX(Items!$D$5:$D$597,MATCH($A7,Items!$A$5:$A$597,0)),0))</f>
        <v>2.0499999999999998</v>
      </c>
      <c r="F7" s="21">
        <f t="shared" si="0"/>
        <v>20161.75</v>
      </c>
      <c r="G7" s="25">
        <f>IF(Receipts!$I7="","",Receipts!$I7)</f>
        <v>46113</v>
      </c>
      <c r="H7" s="25">
        <f>IF(Receipts!$H7="","",Receipts!$H7)</f>
        <v>46235</v>
      </c>
      <c r="I7" s="26">
        <f t="shared" ca="1" si="1"/>
        <v>-3</v>
      </c>
      <c r="J7" s="26">
        <f>IF($A7="","",COUNTIFS(tblReceipts[Item Name],$A7,tblReceipts[Expiry Date],"&lt;"&amp;$H7)+COUNTIFS(tblReceipts[Item Name],$A7,tblReceipts[Expiry Date],$H7,tblReceipts[Lot Number],"&lt;="&amp;Receipts!$C7))</f>
        <v>1</v>
      </c>
      <c r="K7" s="26">
        <f>IF($A7="","",SUMIFS(tblReceipts[Qty Received],tblReceipts[Item Name],$A7,tblReceipts[Expiry Date],"&lt;"&amp;$H7)+SUMIFS(tblReceipts[Qty Received],tblReceipts[Item Name],$A7,tblReceipts[Expiry Date],$H7,tblReceipts[Lot Number],"&lt;"&amp;Receipts!$C7))</f>
        <v>0</v>
      </c>
      <c r="L7" s="26">
        <f>IF($A7="","",MIN($D7,MAX(0,SUMIFS(tblIssues[Qty Issued],tblIssues[Item Name],$A7)-$K7)))</f>
        <v>20</v>
      </c>
      <c r="M7" s="26">
        <f>IF($A7="","",SUMIFS(tblIssues[Qty Issued],tblIssues[Lot Number],$B7))</f>
        <v>20</v>
      </c>
      <c r="N7" s="26">
        <f t="shared" si="2"/>
        <v>0</v>
      </c>
      <c r="O7" s="26">
        <f t="shared" si="3"/>
        <v>9815</v>
      </c>
      <c r="P7" s="21">
        <f t="shared" si="4"/>
        <v>20120.75</v>
      </c>
      <c r="Q7" s="52" t="str">
        <f ca="1">IF($A7="","",IF($O7&lt;=0,"Depleted",IF($I7&lt;0,"EXPIRED",IF($I7&lt;=Settings!$C$6,"CRITICAL",IF($I7&lt;=Settings!$C$5,"Expiring","In date")))))</f>
        <v>EXPIRED</v>
      </c>
    </row>
    <row r="8" spans="1:17" x14ac:dyDescent="0.35">
      <c r="A8" s="90" t="str">
        <f>IF(Receipts!$D8="","",Receipts!$D8)</f>
        <v>1870 N95 Mask</v>
      </c>
      <c r="B8" s="18" t="str">
        <f>IF(Receipts!$C8="","",Receipts!$C8)</f>
        <v>N955003718</v>
      </c>
      <c r="C8" s="18" t="str">
        <f>IF($A8="","",IFERROR(INDEX(Items!$B$5:$B$597,MATCH($A8,Items!$A$5:$A$597,0)),""))</f>
        <v>Masks</v>
      </c>
      <c r="D8" s="23">
        <f>IF($A8="","",N(Receipts!$G8))</f>
        <v>230</v>
      </c>
      <c r="E8" s="20">
        <f>IF($A8="","",IFERROR(INDEX(Items!$D$5:$D$597,MATCH($A8,Items!$A$5:$A$597,0)),0))</f>
        <v>2.0499999999999998</v>
      </c>
      <c r="F8" s="21">
        <f t="shared" si="0"/>
        <v>471.49999999999994</v>
      </c>
      <c r="G8" s="25">
        <f>IF(Receipts!$I8="","",Receipts!$I8)</f>
        <v>46113</v>
      </c>
      <c r="H8" s="25">
        <f>IF(Receipts!$H8="","",Receipts!$H8)</f>
        <v>46235</v>
      </c>
      <c r="I8" s="26">
        <f t="shared" ca="1" si="1"/>
        <v>-3</v>
      </c>
      <c r="J8" s="26">
        <f>IF($A8="","",COUNTIFS(tblReceipts[Item Name],$A8,tblReceipts[Expiry Date],"&lt;"&amp;$H8)+COUNTIFS(tblReceipts[Item Name],$A8,tblReceipts[Expiry Date],$H8,tblReceipts[Lot Number],"&lt;="&amp;Receipts!$C8))</f>
        <v>1</v>
      </c>
      <c r="K8" s="26">
        <f>IF($A8="","",SUMIFS(tblReceipts[Qty Received],tblReceipts[Item Name],$A8,tblReceipts[Expiry Date],"&lt;"&amp;$H8)+SUMIFS(tblReceipts[Qty Received],tblReceipts[Item Name],$A8,tblReceipts[Expiry Date],$H8,tblReceipts[Lot Number],"&lt;"&amp;Receipts!$C8))</f>
        <v>0</v>
      </c>
      <c r="L8" s="26">
        <f>IF($A8="","",MIN($D8,MAX(0,SUMIFS(tblIssues[Qty Issued],tblIssues[Item Name],$A8)-$K8)))</f>
        <v>15</v>
      </c>
      <c r="M8" s="26">
        <f>IF($A8="","",SUMIFS(tblIssues[Qty Issued],tblIssues[Lot Number],$B8))</f>
        <v>15</v>
      </c>
      <c r="N8" s="26">
        <f t="shared" si="2"/>
        <v>0</v>
      </c>
      <c r="O8" s="26">
        <f t="shared" si="3"/>
        <v>215</v>
      </c>
      <c r="P8" s="21">
        <f t="shared" si="4"/>
        <v>440.74999999999994</v>
      </c>
      <c r="Q8" s="52" t="str">
        <f ca="1">IF($A8="","",IF($O8&lt;=0,"Depleted",IF($I8&lt;0,"EXPIRED",IF($I8&lt;=Settings!$C$6,"CRITICAL",IF($I8&lt;=Settings!$C$5,"Expiring","In date")))))</f>
        <v>EXPIRED</v>
      </c>
    </row>
    <row r="9" spans="1:17" x14ac:dyDescent="0.35">
      <c r="A9" s="90" t="str">
        <f>IF(Receipts!$D9="","",Receipts!$D9)</f>
        <v>1870+ N95 Mask</v>
      </c>
      <c r="B9" s="18" t="str">
        <f>IF(Receipts!$C9="","",Receipts!$C9)</f>
        <v>N955003717</v>
      </c>
      <c r="C9" s="18" t="str">
        <f>IF($A9="","",IFERROR(INDEX(Items!$B$5:$B$597,MATCH($A9,Items!$A$5:$A$597,0)),""))</f>
        <v>Masks</v>
      </c>
      <c r="D9" s="23">
        <f>IF($A9="","",N(Receipts!$G9))</f>
        <v>18945</v>
      </c>
      <c r="E9" s="20">
        <f>IF($A9="","",IFERROR(INDEX(Items!$D$5:$D$597,MATCH($A9,Items!$A$5:$A$597,0)),0))</f>
        <v>2.0499999999999998</v>
      </c>
      <c r="F9" s="21">
        <f t="shared" si="0"/>
        <v>38837.25</v>
      </c>
      <c r="G9" s="25">
        <f>IF(Receipts!$I9="","",Receipts!$I9)</f>
        <v>46113</v>
      </c>
      <c r="H9" s="25">
        <f>IF(Receipts!$H9="","",Receipts!$H9)</f>
        <v>46235</v>
      </c>
      <c r="I9" s="26">
        <f t="shared" ca="1" si="1"/>
        <v>-3</v>
      </c>
      <c r="J9" s="26">
        <f>IF($A9="","",COUNTIFS(tblReceipts[Item Name],$A9,tblReceipts[Expiry Date],"&lt;"&amp;$H9)+COUNTIFS(tblReceipts[Item Name],$A9,tblReceipts[Expiry Date],$H9,tblReceipts[Lot Number],"&lt;="&amp;Receipts!$C9))</f>
        <v>1</v>
      </c>
      <c r="K9" s="26">
        <f>IF($A9="","",SUMIFS(tblReceipts[Qty Received],tblReceipts[Item Name],$A9,tblReceipts[Expiry Date],"&lt;"&amp;$H9)+SUMIFS(tblReceipts[Qty Received],tblReceipts[Item Name],$A9,tblReceipts[Expiry Date],$H9,tblReceipts[Lot Number],"&lt;"&amp;Receipts!$C9))</f>
        <v>0</v>
      </c>
      <c r="L9" s="26">
        <f>IF($A9="","",MIN($D9,MAX(0,SUMIFS(tblIssues[Qty Issued],tblIssues[Item Name],$A9)-$K9)))</f>
        <v>55</v>
      </c>
      <c r="M9" s="26">
        <f>IF($A9="","",SUMIFS(tblIssues[Qty Issued],tblIssues[Lot Number],$B9))</f>
        <v>55</v>
      </c>
      <c r="N9" s="26">
        <f t="shared" si="2"/>
        <v>0</v>
      </c>
      <c r="O9" s="26">
        <f t="shared" si="3"/>
        <v>18890</v>
      </c>
      <c r="P9" s="21">
        <f t="shared" si="4"/>
        <v>38724.5</v>
      </c>
      <c r="Q9" s="52" t="str">
        <f ca="1">IF($A9="","",IF($O9&lt;=0,"Depleted",IF($I9&lt;0,"EXPIRED",IF($I9&lt;=Settings!$C$6,"CRITICAL",IF($I9&lt;=Settings!$C$5,"Expiring","In date")))))</f>
        <v>EXPIRED</v>
      </c>
    </row>
    <row r="10" spans="1:17" x14ac:dyDescent="0.35">
      <c r="A10" s="90" t="str">
        <f>IF(Receipts!$D10="","",Receipts!$D10)</f>
        <v>8110S N95 Mask</v>
      </c>
      <c r="B10" s="18" t="str">
        <f>IF(Receipts!$C10="","",Receipts!$C10)</f>
        <v>N955003712</v>
      </c>
      <c r="C10" s="18" t="str">
        <f>IF($A10="","",IFERROR(INDEX(Items!$B$5:$B$597,MATCH($A10,Items!$A$5:$A$597,0)),""))</f>
        <v>Masks</v>
      </c>
      <c r="D10" s="23">
        <f>IF($A10="","",N(Receipts!$G10))</f>
        <v>3815</v>
      </c>
      <c r="E10" s="20">
        <f>IF($A10="","",IFERROR(INDEX(Items!$D$5:$D$597,MATCH($A10,Items!$A$5:$A$597,0)),0))</f>
        <v>1.45</v>
      </c>
      <c r="F10" s="21">
        <f t="shared" si="0"/>
        <v>5531.75</v>
      </c>
      <c r="G10" s="25">
        <f>IF(Receipts!$I10="","",Receipts!$I10)</f>
        <v>46113</v>
      </c>
      <c r="H10" s="25">
        <f>IF(Receipts!$H10="","",Receipts!$H10)</f>
        <v>46235</v>
      </c>
      <c r="I10" s="26">
        <f t="shared" ca="1" si="1"/>
        <v>-3</v>
      </c>
      <c r="J10" s="26">
        <f>IF($A10="","",COUNTIFS(tblReceipts[Item Name],$A10,tblReceipts[Expiry Date],"&lt;"&amp;$H10)+COUNTIFS(tblReceipts[Item Name],$A10,tblReceipts[Expiry Date],$H10,tblReceipts[Lot Number],"&lt;="&amp;Receipts!$C10))</f>
        <v>1</v>
      </c>
      <c r="K10" s="26">
        <f>IF($A10="","",SUMIFS(tblReceipts[Qty Received],tblReceipts[Item Name],$A10,tblReceipts[Expiry Date],"&lt;"&amp;$H10)+SUMIFS(tblReceipts[Qty Received],tblReceipts[Item Name],$A10,tblReceipts[Expiry Date],$H10,tblReceipts[Lot Number],"&lt;"&amp;Receipts!$C10))</f>
        <v>0</v>
      </c>
      <c r="L10" s="26">
        <f>IF($A10="","",MIN($D10,MAX(0,SUMIFS(tblIssues[Qty Issued],tblIssues[Item Name],$A10)-$K10)))</f>
        <v>0</v>
      </c>
      <c r="M10" s="26">
        <f>IF($A10="","",SUMIFS(tblIssues[Qty Issued],tblIssues[Lot Number],$B10))</f>
        <v>0</v>
      </c>
      <c r="N10" s="26">
        <f t="shared" si="2"/>
        <v>0</v>
      </c>
      <c r="O10" s="26">
        <f t="shared" si="3"/>
        <v>3815</v>
      </c>
      <c r="P10" s="21">
        <f t="shared" si="4"/>
        <v>5531.75</v>
      </c>
      <c r="Q10" s="52" t="str">
        <f ca="1">IF($A10="","",IF($O10&lt;=0,"Depleted",IF($I10&lt;0,"EXPIRED",IF($I10&lt;=Settings!$C$6,"CRITICAL",IF($I10&lt;=Settings!$C$5,"Expiring","In date")))))</f>
        <v>EXPIRED</v>
      </c>
    </row>
    <row r="11" spans="1:17" x14ac:dyDescent="0.35">
      <c r="A11" s="90" t="str">
        <f>IF(Receipts!$D11="","",Receipts!$D11)</f>
        <v>8210 N95 Mask</v>
      </c>
      <c r="B11" s="18" t="str">
        <f>IF(Receipts!$C11="","",Receipts!$C11)</f>
        <v>N955003714</v>
      </c>
      <c r="C11" s="18" t="str">
        <f>IF($A11="","",IFERROR(INDEX(Items!$B$5:$B$597,MATCH($A11,Items!$A$5:$A$597,0)),""))</f>
        <v>Masks</v>
      </c>
      <c r="D11" s="23">
        <f>IF($A11="","",N(Receipts!$G11))</f>
        <v>17485</v>
      </c>
      <c r="E11" s="20">
        <f>IF($A11="","",IFERROR(INDEX(Items!$D$5:$D$597,MATCH($A11,Items!$A$5:$A$597,0)),0))</f>
        <v>1.45</v>
      </c>
      <c r="F11" s="21">
        <f t="shared" si="0"/>
        <v>25353.25</v>
      </c>
      <c r="G11" s="25">
        <f>IF(Receipts!$I11="","",Receipts!$I11)</f>
        <v>46113</v>
      </c>
      <c r="H11" s="25">
        <f>IF(Receipts!$H11="","",Receipts!$H11)</f>
        <v>46235</v>
      </c>
      <c r="I11" s="26">
        <f t="shared" ca="1" si="1"/>
        <v>-3</v>
      </c>
      <c r="J11" s="26">
        <f>IF($A11="","",COUNTIFS(tblReceipts[Item Name],$A11,tblReceipts[Expiry Date],"&lt;"&amp;$H11)+COUNTIFS(tblReceipts[Item Name],$A11,tblReceipts[Expiry Date],$H11,tblReceipts[Lot Number],"&lt;="&amp;Receipts!$C11))</f>
        <v>1</v>
      </c>
      <c r="K11" s="26">
        <f>IF($A11="","",SUMIFS(tblReceipts[Qty Received],tblReceipts[Item Name],$A11,tblReceipts[Expiry Date],"&lt;"&amp;$H11)+SUMIFS(tblReceipts[Qty Received],tblReceipts[Item Name],$A11,tblReceipts[Expiry Date],$H11,tblReceipts[Lot Number],"&lt;"&amp;Receipts!$C11))</f>
        <v>0</v>
      </c>
      <c r="L11" s="26">
        <f>IF($A11="","",MIN($D11,MAX(0,SUMIFS(tblIssues[Qty Issued],tblIssues[Item Name],$A11)-$K11)))</f>
        <v>25</v>
      </c>
      <c r="M11" s="26">
        <f>IF($A11="","",SUMIFS(tblIssues[Qty Issued],tblIssues[Lot Number],$B11))</f>
        <v>25</v>
      </c>
      <c r="N11" s="26">
        <f t="shared" si="2"/>
        <v>0</v>
      </c>
      <c r="O11" s="26">
        <f t="shared" si="3"/>
        <v>17460</v>
      </c>
      <c r="P11" s="21">
        <f t="shared" si="4"/>
        <v>25317</v>
      </c>
      <c r="Q11" s="52" t="str">
        <f ca="1">IF($A11="","",IF($O11&lt;=0,"Depleted",IF($I11&lt;0,"EXPIRED",IF($I11&lt;=Settings!$C$6,"CRITICAL",IF($I11&lt;=Settings!$C$5,"Expiring","In date")))))</f>
        <v>EXPIRED</v>
      </c>
    </row>
    <row r="12" spans="1:17" x14ac:dyDescent="0.35">
      <c r="A12" s="90" t="str">
        <f>IF(Receipts!$D12="","",Receipts!$D12)</f>
        <v>9210+ N95 Mask</v>
      </c>
      <c r="B12" s="18" t="str">
        <f>IF(Receipts!$C12="","",Receipts!$C12)</f>
        <v>N955003711</v>
      </c>
      <c r="C12" s="18" t="str">
        <f>IF($A12="","",IFERROR(INDEX(Items!$B$5:$B$597,MATCH($A12,Items!$A$5:$A$597,0)),""))</f>
        <v>Masks</v>
      </c>
      <c r="D12" s="23">
        <f>IF($A12="","",N(Receipts!$G12))</f>
        <v>0</v>
      </c>
      <c r="E12" s="20">
        <f>IF($A12="","",IFERROR(INDEX(Items!$D$5:$D$597,MATCH($A12,Items!$A$5:$A$597,0)),0))</f>
        <v>1.45</v>
      </c>
      <c r="F12" s="21">
        <f t="shared" si="0"/>
        <v>0</v>
      </c>
      <c r="G12" s="25">
        <f>IF(Receipts!$I12="","",Receipts!$I12)</f>
        <v>46113</v>
      </c>
      <c r="H12" s="25">
        <f>IF(Receipts!$H12="","",Receipts!$H12)</f>
        <v>46235</v>
      </c>
      <c r="I12" s="26">
        <f t="shared" ca="1" si="1"/>
        <v>-3</v>
      </c>
      <c r="J12" s="26">
        <f>IF($A12="","",COUNTIFS(tblReceipts[Item Name],$A12,tblReceipts[Expiry Date],"&lt;"&amp;$H12)+COUNTIFS(tblReceipts[Item Name],$A12,tblReceipts[Expiry Date],$H12,tblReceipts[Lot Number],"&lt;="&amp;Receipts!$C12))</f>
        <v>1</v>
      </c>
      <c r="K12" s="26">
        <f>IF($A12="","",SUMIFS(tblReceipts[Qty Received],tblReceipts[Item Name],$A12,tblReceipts[Expiry Date],"&lt;"&amp;$H12)+SUMIFS(tblReceipts[Qty Received],tblReceipts[Item Name],$A12,tblReceipts[Expiry Date],$H12,tblReceipts[Lot Number],"&lt;"&amp;Receipts!$C12))</f>
        <v>0</v>
      </c>
      <c r="L12" s="26">
        <f>IF($A12="","",MIN($D12,MAX(0,SUMIFS(tblIssues[Qty Issued],tblIssues[Item Name],$A12)-$K12)))</f>
        <v>0</v>
      </c>
      <c r="M12" s="26">
        <f>IF($A12="","",SUMIFS(tblIssues[Qty Issued],tblIssues[Lot Number],$B12))</f>
        <v>0</v>
      </c>
      <c r="N12" s="26">
        <f t="shared" si="2"/>
        <v>0</v>
      </c>
      <c r="O12" s="26">
        <f t="shared" si="3"/>
        <v>0</v>
      </c>
      <c r="P12" s="21">
        <f t="shared" si="4"/>
        <v>0</v>
      </c>
      <c r="Q12" s="52" t="str">
        <f>IF($A12="","",IF($O12&lt;=0,"Depleted",IF($I12&lt;0,"EXPIRED",IF($I12&lt;=Settings!$C$6,"CRITICAL",IF($I12&lt;=Settings!$C$5,"Expiring","In date")))))</f>
        <v>Depleted</v>
      </c>
    </row>
    <row r="13" spans="1:17" x14ac:dyDescent="0.35">
      <c r="A13" s="90" t="str">
        <f>IF(Receipts!$D13="","",Receipts!$D13)</f>
        <v>Alcohol Swab</v>
      </c>
      <c r="B13" s="18">
        <f>IF(Receipts!$C13="","",Receipts!$C13)</f>
        <v>4600093677</v>
      </c>
      <c r="C13" s="18" t="str">
        <f>IF($A13="","",IFERROR(INDEX(Items!$B$5:$B$597,MATCH($A13,Items!$A$5:$A$597,0)),""))</f>
        <v>IPAC</v>
      </c>
      <c r="D13" s="23">
        <f>IF($A13="","",N(Receipts!$G13))</f>
        <v>1000</v>
      </c>
      <c r="E13" s="20">
        <f>IF($A13="","",IFERROR(INDEX(Items!$D$5:$D$597,MATCH($A13,Items!$A$5:$A$597,0)),0))</f>
        <v>3.25</v>
      </c>
      <c r="F13" s="21">
        <f t="shared" si="0"/>
        <v>3250</v>
      </c>
      <c r="G13" s="25">
        <f>IF(Receipts!$I13="","",Receipts!$I13)</f>
        <v>46113</v>
      </c>
      <c r="H13" s="25">
        <f>IF(Receipts!$H13="","",Receipts!$H13)</f>
        <v>46387</v>
      </c>
      <c r="I13" s="26">
        <f t="shared" ca="1" si="1"/>
        <v>149</v>
      </c>
      <c r="J13" s="26">
        <f>IF($A13="","",COUNTIFS(tblReceipts[Item Name],$A13,tblReceipts[Expiry Date],"&lt;"&amp;$H13)+COUNTIFS(tblReceipts[Item Name],$A13,tblReceipts[Expiry Date],$H13,tblReceipts[Lot Number],"&lt;="&amp;Receipts!$C13))</f>
        <v>1</v>
      </c>
      <c r="K13" s="26">
        <f>IF($A13="","",SUMIFS(tblReceipts[Qty Received],tblReceipts[Item Name],$A13,tblReceipts[Expiry Date],"&lt;"&amp;$H13)+SUMIFS(tblReceipts[Qty Received],tblReceipts[Item Name],$A13,tblReceipts[Expiry Date],$H13,tblReceipts[Lot Number],"&lt;"&amp;Receipts!$C13))</f>
        <v>0</v>
      </c>
      <c r="L13" s="26">
        <f>IF($A13="","",MIN($D13,MAX(0,SUMIFS(tblIssues[Qty Issued],tblIssues[Item Name],$A13)-$K13)))</f>
        <v>0</v>
      </c>
      <c r="M13" s="26">
        <f>IF($A13="","",SUMIFS(tblIssues[Qty Issued],tblIssues[Lot Number],$B13))</f>
        <v>0</v>
      </c>
      <c r="N13" s="26">
        <f t="shared" si="2"/>
        <v>0</v>
      </c>
      <c r="O13" s="26">
        <f t="shared" si="3"/>
        <v>1000</v>
      </c>
      <c r="P13" s="21">
        <f t="shared" si="4"/>
        <v>3250</v>
      </c>
      <c r="Q13" s="52" t="str">
        <f ca="1">IF($A13="","",IF($O13&lt;=0,"Depleted",IF($I13&lt;0,"EXPIRED",IF($I13&lt;=Settings!$C$6,"CRITICAL",IF($I13&lt;=Settings!$C$5,"Expiring","In date")))))</f>
        <v>Expiring</v>
      </c>
    </row>
    <row r="14" spans="1:17" x14ac:dyDescent="0.35">
      <c r="A14" s="90" t="str">
        <f>IF(Receipts!$D14="","",Receipts!$D14)</f>
        <v>BP CUFF</v>
      </c>
      <c r="B14" s="18" t="str">
        <f>IF(Receipts!$C14="","",Receipts!$C14)</f>
        <v>BWMALM143200-0</v>
      </c>
      <c r="C14" s="18" t="str">
        <f>IF($A14="","",IFERROR(INDEX(Items!$B$5:$B$597,MATCH($A14,Items!$A$5:$A$597,0)),""))</f>
        <v>Equipment</v>
      </c>
      <c r="D14" s="23">
        <f>IF($A14="","",N(Receipts!$G14))</f>
        <v>2</v>
      </c>
      <c r="E14" s="20">
        <f>IF($A14="","",IFERROR(INDEX(Items!$D$5:$D$597,MATCH($A14,Items!$A$5:$A$597,0)),0))</f>
        <v>35</v>
      </c>
      <c r="F14" s="21">
        <f t="shared" si="0"/>
        <v>70</v>
      </c>
      <c r="G14" s="25">
        <f>IF(Receipts!$I14="","",Receipts!$I14)</f>
        <v>46113</v>
      </c>
      <c r="H14" s="25">
        <f>IF(Receipts!$H14="","",Receipts!$H14)</f>
        <v>47032</v>
      </c>
      <c r="I14" s="26">
        <f t="shared" ca="1" si="1"/>
        <v>794</v>
      </c>
      <c r="J14" s="26">
        <f>IF($A14="","",COUNTIFS(tblReceipts[Item Name],$A14,tblReceipts[Expiry Date],"&lt;"&amp;$H14)+COUNTIFS(tblReceipts[Item Name],$A14,tblReceipts[Expiry Date],$H14,tblReceipts[Lot Number],"&lt;="&amp;Receipts!$C14))</f>
        <v>1</v>
      </c>
      <c r="K14" s="26">
        <f>IF($A14="","",SUMIFS(tblReceipts[Qty Received],tblReceipts[Item Name],$A14,tblReceipts[Expiry Date],"&lt;"&amp;$H14)+SUMIFS(tblReceipts[Qty Received],tblReceipts[Item Name],$A14,tblReceipts[Expiry Date],$H14,tblReceipts[Lot Number],"&lt;"&amp;Receipts!$C14))</f>
        <v>0</v>
      </c>
      <c r="L14" s="26">
        <f>IF($A14="","",MIN($D14,MAX(0,SUMIFS(tblIssues[Qty Issued],tblIssues[Item Name],$A14)-$K14)))</f>
        <v>0</v>
      </c>
      <c r="M14" s="26">
        <f>IF($A14="","",SUMIFS(tblIssues[Qty Issued],tblIssues[Lot Number],$B14))</f>
        <v>0</v>
      </c>
      <c r="N14" s="26">
        <f t="shared" si="2"/>
        <v>0</v>
      </c>
      <c r="O14" s="26">
        <f t="shared" si="3"/>
        <v>2</v>
      </c>
      <c r="P14" s="21">
        <f t="shared" si="4"/>
        <v>70</v>
      </c>
      <c r="Q14" s="52" t="str">
        <f ca="1">IF($A14="","",IF($O14&lt;=0,"Depleted",IF($I14&lt;0,"EXPIRED",IF($I14&lt;=Settings!$C$6,"CRITICAL",IF($I14&lt;=Settings!$C$5,"Expiring","In date")))))</f>
        <v>In date</v>
      </c>
    </row>
    <row r="15" spans="1:17" x14ac:dyDescent="0.35">
      <c r="A15" s="90" t="str">
        <f>IF(Receipts!$D15="","",Receipts!$D15)</f>
        <v>CAN99</v>
      </c>
      <c r="B15" s="18" t="str">
        <f>IF(Receipts!$C15="","",Receipts!$C15)</f>
        <v>N9550025</v>
      </c>
      <c r="C15" s="18" t="str">
        <f>IF($A15="","",IFERROR(INDEX(Items!$B$5:$B$597,MATCH($A15,Items!$A$5:$A$597,0)),""))</f>
        <v>Masks</v>
      </c>
      <c r="D15" s="23">
        <f>IF($A15="","",N(Receipts!$G15))</f>
        <v>25</v>
      </c>
      <c r="E15" s="20">
        <f>IF($A15="","",IFERROR(INDEX(Items!$D$5:$D$597,MATCH($A15,Items!$A$5:$A$597,0)),0))</f>
        <v>1.35</v>
      </c>
      <c r="F15" s="21">
        <f t="shared" si="0"/>
        <v>33.75</v>
      </c>
      <c r="G15" s="25">
        <f>IF(Receipts!$I15="","",Receipts!$I15)</f>
        <v>46113</v>
      </c>
      <c r="H15" s="25">
        <f>IF(Receipts!$H15="","",Receipts!$H15)</f>
        <v>46235</v>
      </c>
      <c r="I15" s="26">
        <f t="shared" ca="1" si="1"/>
        <v>-3</v>
      </c>
      <c r="J15" s="26">
        <f>IF($A15="","",COUNTIFS(tblReceipts[Item Name],$A15,tblReceipts[Expiry Date],"&lt;"&amp;$H15)+COUNTIFS(tblReceipts[Item Name],$A15,tblReceipts[Expiry Date],$H15,tblReceipts[Lot Number],"&lt;="&amp;Receipts!$C15))</f>
        <v>1</v>
      </c>
      <c r="K15" s="26">
        <f>IF($A15="","",SUMIFS(tblReceipts[Qty Received],tblReceipts[Item Name],$A15,tblReceipts[Expiry Date],"&lt;"&amp;$H15)+SUMIFS(tblReceipts[Qty Received],tblReceipts[Item Name],$A15,tblReceipts[Expiry Date],$H15,tblReceipts[Lot Number],"&lt;"&amp;Receipts!$C15))</f>
        <v>0</v>
      </c>
      <c r="L15" s="26">
        <f>IF($A15="","",MIN($D15,MAX(0,SUMIFS(tblIssues[Qty Issued],tblIssues[Item Name],$A15)-$K15)))</f>
        <v>5</v>
      </c>
      <c r="M15" s="26">
        <f>IF($A15="","",SUMIFS(tblIssues[Qty Issued],tblIssues[Lot Number],$B15))</f>
        <v>5</v>
      </c>
      <c r="N15" s="26">
        <f t="shared" si="2"/>
        <v>0</v>
      </c>
      <c r="O15" s="26">
        <f t="shared" si="3"/>
        <v>20</v>
      </c>
      <c r="P15" s="21">
        <f t="shared" si="4"/>
        <v>27</v>
      </c>
      <c r="Q15" s="52" t="str">
        <f ca="1">IF($A15="","",IF($O15&lt;=0,"Depleted",IF($I15&lt;0,"EXPIRED",IF($I15&lt;=Settings!$C$6,"CRITICAL",IF($I15&lt;=Settings!$C$5,"Expiring","In date")))))</f>
        <v>EXPIRED</v>
      </c>
    </row>
    <row r="16" spans="1:17" x14ac:dyDescent="0.35">
      <c r="A16" s="90" t="str">
        <f>IF(Receipts!$D16="","",Receipts!$D16)</f>
        <v>CSS Ice Cleats Large</v>
      </c>
      <c r="B16" s="18" t="str">
        <f>IF(Receipts!$C16="","",Receipts!$C16)</f>
        <v>ICCSS54321</v>
      </c>
      <c r="C16" s="18" t="str">
        <f>IF($A16="","",IFERROR(INDEX(Items!$B$5:$B$597,MATCH($A16,Items!$A$5:$A$597,0)),""))</f>
        <v>PPE</v>
      </c>
      <c r="D16" s="23">
        <f>IF($A16="","",N(Receipts!$G16))</f>
        <v>0</v>
      </c>
      <c r="E16" s="20">
        <f>IF($A16="","",IFERROR(INDEX(Items!$D$5:$D$597,MATCH($A16,Items!$A$5:$A$597,0)),0))</f>
        <v>145.97999999999999</v>
      </c>
      <c r="F16" s="21">
        <f t="shared" si="0"/>
        <v>0</v>
      </c>
      <c r="G16" s="25">
        <f>IF(Receipts!$I16="","",Receipts!$I16)</f>
        <v>46113</v>
      </c>
      <c r="H16" s="25">
        <f>IF(Receipts!$H16="","",Receipts!$H16)</f>
        <v>47386</v>
      </c>
      <c r="I16" s="26">
        <f t="shared" ca="1" si="1"/>
        <v>1148</v>
      </c>
      <c r="J16" s="26">
        <f>IF($A16="","",COUNTIFS(tblReceipts[Item Name],$A16,tblReceipts[Expiry Date],"&lt;"&amp;$H16)+COUNTIFS(tblReceipts[Item Name],$A16,tblReceipts[Expiry Date],$H16,tblReceipts[Lot Number],"&lt;="&amp;Receipts!$C16))</f>
        <v>1</v>
      </c>
      <c r="K16" s="26">
        <f>IF($A16="","",SUMIFS(tblReceipts[Qty Received],tblReceipts[Item Name],$A16,tblReceipts[Expiry Date],"&lt;"&amp;$H16)+SUMIFS(tblReceipts[Qty Received],tblReceipts[Item Name],$A16,tblReceipts[Expiry Date],$H16,tblReceipts[Lot Number],"&lt;"&amp;Receipts!$C16))</f>
        <v>0</v>
      </c>
      <c r="L16" s="26">
        <f>IF($A16="","",MIN($D16,MAX(0,SUMIFS(tblIssues[Qty Issued],tblIssues[Item Name],$A16)-$K16)))</f>
        <v>0</v>
      </c>
      <c r="M16" s="26">
        <f>IF($A16="","",SUMIFS(tblIssues[Qty Issued],tblIssues[Lot Number],$B16))</f>
        <v>0</v>
      </c>
      <c r="N16" s="26">
        <f t="shared" si="2"/>
        <v>0</v>
      </c>
      <c r="O16" s="26">
        <f t="shared" si="3"/>
        <v>0</v>
      </c>
      <c r="P16" s="21">
        <f t="shared" si="4"/>
        <v>0</v>
      </c>
      <c r="Q16" s="52" t="str">
        <f>IF($A16="","",IF($O16&lt;=0,"Depleted",IF($I16&lt;0,"EXPIRED",IF($I16&lt;=Settings!$C$6,"CRITICAL",IF($I16&lt;=Settings!$C$5,"Expiring","In date")))))</f>
        <v>Depleted</v>
      </c>
    </row>
    <row r="17" spans="1:17" x14ac:dyDescent="0.35">
      <c r="A17" s="90" t="str">
        <f>IF(Receipts!$D17="","",Receipts!$D17)</f>
        <v>CSS Ice Cleats Medium</v>
      </c>
      <c r="B17" s="18" t="str">
        <f>IF(Receipts!$C17="","",Receipts!$C17)</f>
        <v>ICCSS4321</v>
      </c>
      <c r="C17" s="18" t="str">
        <f>IF($A17="","",IFERROR(INDEX(Items!$B$5:$B$597,MATCH($A17,Items!$A$5:$A$597,0)),""))</f>
        <v>PPE</v>
      </c>
      <c r="D17" s="23">
        <f>IF($A17="","",N(Receipts!$G17))</f>
        <v>0</v>
      </c>
      <c r="E17" s="20">
        <f>IF($A17="","",IFERROR(INDEX(Items!$D$5:$D$597,MATCH($A17,Items!$A$5:$A$597,0)),0))</f>
        <v>145.97999999999999</v>
      </c>
      <c r="F17" s="21">
        <f t="shared" si="0"/>
        <v>0</v>
      </c>
      <c r="G17" s="25">
        <f>IF(Receipts!$I17="","",Receipts!$I17)</f>
        <v>46113</v>
      </c>
      <c r="H17" s="25">
        <f>IF(Receipts!$H17="","",Receipts!$H17)</f>
        <v>47386</v>
      </c>
      <c r="I17" s="26">
        <f t="shared" ca="1" si="1"/>
        <v>1148</v>
      </c>
      <c r="J17" s="26">
        <f>IF($A17="","",COUNTIFS(tblReceipts[Item Name],$A17,tblReceipts[Expiry Date],"&lt;"&amp;$H17)+COUNTIFS(tblReceipts[Item Name],$A17,tblReceipts[Expiry Date],$H17,tblReceipts[Lot Number],"&lt;="&amp;Receipts!$C17))</f>
        <v>1</v>
      </c>
      <c r="K17" s="26">
        <f>IF($A17="","",SUMIFS(tblReceipts[Qty Received],tblReceipts[Item Name],$A17,tblReceipts[Expiry Date],"&lt;"&amp;$H17)+SUMIFS(tblReceipts[Qty Received],tblReceipts[Item Name],$A17,tblReceipts[Expiry Date],$H17,tblReceipts[Lot Number],"&lt;"&amp;Receipts!$C17))</f>
        <v>0</v>
      </c>
      <c r="L17" s="26">
        <f>IF($A17="","",MIN($D17,MAX(0,SUMIFS(tblIssues[Qty Issued],tblIssues[Item Name],$A17)-$K17)))</f>
        <v>0</v>
      </c>
      <c r="M17" s="26">
        <f>IF($A17="","",SUMIFS(tblIssues[Qty Issued],tblIssues[Lot Number],$B17))</f>
        <v>0</v>
      </c>
      <c r="N17" s="26">
        <f t="shared" si="2"/>
        <v>0</v>
      </c>
      <c r="O17" s="26">
        <f t="shared" si="3"/>
        <v>0</v>
      </c>
      <c r="P17" s="21">
        <f t="shared" si="4"/>
        <v>0</v>
      </c>
      <c r="Q17" s="52" t="str">
        <f>IF($A17="","",IF($O17&lt;=0,"Depleted",IF($I17&lt;0,"EXPIRED",IF($I17&lt;=Settings!$C$6,"CRITICAL",IF($I17&lt;=Settings!$C$5,"Expiring","In date")))))</f>
        <v>Depleted</v>
      </c>
    </row>
    <row r="18" spans="1:17" x14ac:dyDescent="0.35">
      <c r="A18" s="90" t="str">
        <f>IF(Receipts!$D18="","",Receipts!$D18)</f>
        <v>CSS Ice Cleats Small</v>
      </c>
      <c r="B18" s="18" t="str">
        <f>IF(Receipts!$C18="","",Receipts!$C18)</f>
        <v>ICCSS321</v>
      </c>
      <c r="C18" s="18" t="str">
        <f>IF($A18="","",IFERROR(INDEX(Items!$B$5:$B$597,MATCH($A18,Items!$A$5:$A$597,0)),""))</f>
        <v>PPE</v>
      </c>
      <c r="D18" s="23">
        <f>IF($A18="","",N(Receipts!$G18))</f>
        <v>0</v>
      </c>
      <c r="E18" s="20">
        <f>IF($A18="","",IFERROR(INDEX(Items!$D$5:$D$597,MATCH($A18,Items!$A$5:$A$597,0)),0))</f>
        <v>145.97999999999999</v>
      </c>
      <c r="F18" s="21">
        <f t="shared" si="0"/>
        <v>0</v>
      </c>
      <c r="G18" s="25">
        <f>IF(Receipts!$I18="","",Receipts!$I18)</f>
        <v>46113</v>
      </c>
      <c r="H18" s="25">
        <f>IF(Receipts!$H18="","",Receipts!$H18)</f>
        <v>47386</v>
      </c>
      <c r="I18" s="26">
        <f t="shared" ca="1" si="1"/>
        <v>1148</v>
      </c>
      <c r="J18" s="26">
        <f>IF($A18="","",COUNTIFS(tblReceipts[Item Name],$A18,tblReceipts[Expiry Date],"&lt;"&amp;$H18)+COUNTIFS(tblReceipts[Item Name],$A18,tblReceipts[Expiry Date],$H18,tblReceipts[Lot Number],"&lt;="&amp;Receipts!$C18))</f>
        <v>1</v>
      </c>
      <c r="K18" s="26">
        <f>IF($A18="","",SUMIFS(tblReceipts[Qty Received],tblReceipts[Item Name],$A18,tblReceipts[Expiry Date],"&lt;"&amp;$H18)+SUMIFS(tblReceipts[Qty Received],tblReceipts[Item Name],$A18,tblReceipts[Expiry Date],$H18,tblReceipts[Lot Number],"&lt;"&amp;Receipts!$C18))</f>
        <v>0</v>
      </c>
      <c r="L18" s="26">
        <f>IF($A18="","",MIN($D18,MAX(0,SUMIFS(tblIssues[Qty Issued],tblIssues[Item Name],$A18)-$K18)))</f>
        <v>0</v>
      </c>
      <c r="M18" s="26">
        <f>IF($A18="","",SUMIFS(tblIssues[Qty Issued],tblIssues[Lot Number],$B18))</f>
        <v>0</v>
      </c>
      <c r="N18" s="26">
        <f t="shared" si="2"/>
        <v>0</v>
      </c>
      <c r="O18" s="26">
        <f t="shared" si="3"/>
        <v>0</v>
      </c>
      <c r="P18" s="21">
        <f t="shared" si="4"/>
        <v>0</v>
      </c>
      <c r="Q18" s="52" t="str">
        <f>IF($A18="","",IF($O18&lt;=0,"Depleted",IF($I18&lt;0,"EXPIRED",IF($I18&lt;=Settings!$C$6,"CRITICAL",IF($I18&lt;=Settings!$C$5,"Expiring","In date")))))</f>
        <v>Depleted</v>
      </c>
    </row>
    <row r="19" spans="1:17" x14ac:dyDescent="0.35">
      <c r="A19" s="90" t="str">
        <f>IF(Receipts!$D19="","",Receipts!$D19)</f>
        <v>CSS Ice Cleats X Large</v>
      </c>
      <c r="B19" s="18" t="str">
        <f>IF(Receipts!$C19="","",Receipts!$C19)</f>
        <v>ICCSS654321</v>
      </c>
      <c r="C19" s="18" t="str">
        <f>IF($A19="","",IFERROR(INDEX(Items!$B$5:$B$597,MATCH($A19,Items!$A$5:$A$597,0)),""))</f>
        <v>PPE</v>
      </c>
      <c r="D19" s="23">
        <f>IF($A19="","",N(Receipts!$G19))</f>
        <v>0</v>
      </c>
      <c r="E19" s="20">
        <f>IF($A19="","",IFERROR(INDEX(Items!$D$5:$D$597,MATCH($A19,Items!$A$5:$A$597,0)),0))</f>
        <v>145.97999999999999</v>
      </c>
      <c r="F19" s="21">
        <f t="shared" si="0"/>
        <v>0</v>
      </c>
      <c r="G19" s="25">
        <f>IF(Receipts!$I19="","",Receipts!$I19)</f>
        <v>46113</v>
      </c>
      <c r="H19" s="25">
        <f>IF(Receipts!$H19="","",Receipts!$H19)</f>
        <v>47386</v>
      </c>
      <c r="I19" s="26">
        <f t="shared" ca="1" si="1"/>
        <v>1148</v>
      </c>
      <c r="J19" s="26">
        <f>IF($A19="","",COUNTIFS(tblReceipts[Item Name],$A19,tblReceipts[Expiry Date],"&lt;"&amp;$H19)+COUNTIFS(tblReceipts[Item Name],$A19,tblReceipts[Expiry Date],$H19,tblReceipts[Lot Number],"&lt;="&amp;Receipts!$C19))</f>
        <v>1</v>
      </c>
      <c r="K19" s="26">
        <f>IF($A19="","",SUMIFS(tblReceipts[Qty Received],tblReceipts[Item Name],$A19,tblReceipts[Expiry Date],"&lt;"&amp;$H19)+SUMIFS(tblReceipts[Qty Received],tblReceipts[Item Name],$A19,tblReceipts[Expiry Date],$H19,tblReceipts[Lot Number],"&lt;"&amp;Receipts!$C19))</f>
        <v>0</v>
      </c>
      <c r="L19" s="26">
        <f>IF($A19="","",MIN($D19,MAX(0,SUMIFS(tblIssues[Qty Issued],tblIssues[Item Name],$A19)-$K19)))</f>
        <v>0</v>
      </c>
      <c r="M19" s="26">
        <f>IF($A19="","",SUMIFS(tblIssues[Qty Issued],tblIssues[Lot Number],$B19))</f>
        <v>0</v>
      </c>
      <c r="N19" s="26">
        <f t="shared" si="2"/>
        <v>0</v>
      </c>
      <c r="O19" s="26">
        <f t="shared" si="3"/>
        <v>0</v>
      </c>
      <c r="P19" s="21">
        <f t="shared" si="4"/>
        <v>0</v>
      </c>
      <c r="Q19" s="52" t="str">
        <f>IF($A19="","",IF($O19&lt;=0,"Depleted",IF($I19&lt;0,"EXPIRED",IF($I19&lt;=Settings!$C$6,"CRITICAL",IF($I19&lt;=Settings!$C$5,"Expiring","In date")))))</f>
        <v>Depleted</v>
      </c>
    </row>
    <row r="20" spans="1:17" x14ac:dyDescent="0.35">
      <c r="A20" s="90" t="str">
        <f>IF(Receipts!$D20="","",Receipts!$D20)</f>
        <v>DNR</v>
      </c>
      <c r="B20" s="18" t="str">
        <f>IF(Receipts!$C20="","",Receipts!$C20)</f>
        <v>3146837-7000</v>
      </c>
      <c r="C20" s="18" t="str">
        <f>IF($A20="","",IFERROR(INDEX(Items!$B$5:$B$597,MATCH($A20,Items!$A$5:$A$597,0)),""))</f>
        <v>Forms</v>
      </c>
      <c r="D20" s="23">
        <f>IF($A20="","",N(Receipts!$G20))</f>
        <v>153</v>
      </c>
      <c r="E20" s="20">
        <f>IF($A20="","",IFERROR(INDEX(Items!$D$5:$D$597,MATCH($A20,Items!$A$5:$A$597,0)),0))</f>
        <v>0</v>
      </c>
      <c r="F20" s="21">
        <f t="shared" si="0"/>
        <v>0</v>
      </c>
      <c r="G20" s="25">
        <f>IF(Receipts!$I20="","",Receipts!$I20)</f>
        <v>46113</v>
      </c>
      <c r="H20" s="25">
        <f>IF(Receipts!$H20="","",Receipts!$H20)</f>
        <v>47046</v>
      </c>
      <c r="I20" s="26">
        <f t="shared" ca="1" si="1"/>
        <v>808</v>
      </c>
      <c r="J20" s="26">
        <f>IF($A20="","",COUNTIFS(tblReceipts[Item Name],$A20,tblReceipts[Expiry Date],"&lt;"&amp;$H20)+COUNTIFS(tblReceipts[Item Name],$A20,tblReceipts[Expiry Date],$H20,tblReceipts[Lot Number],"&lt;="&amp;Receipts!$C20))</f>
        <v>1</v>
      </c>
      <c r="K20" s="26">
        <f>IF($A20="","",SUMIFS(tblReceipts[Qty Received],tblReceipts[Item Name],$A20,tblReceipts[Expiry Date],"&lt;"&amp;$H20)+SUMIFS(tblReceipts[Qty Received],tblReceipts[Item Name],$A20,tblReceipts[Expiry Date],$H20,tblReceipts[Lot Number],"&lt;"&amp;Receipts!$C20))</f>
        <v>0</v>
      </c>
      <c r="L20" s="26">
        <f>IF($A20="","",MIN($D20,MAX(0,SUMIFS(tblIssues[Qty Issued],tblIssues[Item Name],$A20)-$K20)))</f>
        <v>0</v>
      </c>
      <c r="M20" s="26">
        <f>IF($A20="","",SUMIFS(tblIssues[Qty Issued],tblIssues[Lot Number],$B20))</f>
        <v>0</v>
      </c>
      <c r="N20" s="26">
        <f t="shared" si="2"/>
        <v>0</v>
      </c>
      <c r="O20" s="26">
        <f t="shared" si="3"/>
        <v>153</v>
      </c>
      <c r="P20" s="21">
        <f t="shared" si="4"/>
        <v>0</v>
      </c>
      <c r="Q20" s="52" t="str">
        <f ca="1">IF($A20="","",IF($O20&lt;=0,"Depleted",IF($I20&lt;0,"EXPIRED",IF($I20&lt;=Settings!$C$6,"CRITICAL",IF($I20&lt;=Settings!$C$5,"Expiring","In date")))))</f>
        <v>In date</v>
      </c>
    </row>
    <row r="21" spans="1:17" x14ac:dyDescent="0.35">
      <c r="A21" s="90" t="str">
        <f>IF(Receipts!$D21="","",Receipts!$D21)</f>
        <v>Disinfectant Wipes</v>
      </c>
      <c r="B21" s="18" t="str">
        <f>IF(Receipts!$C21="","",Receipts!$C21)</f>
        <v>LYSL500290</v>
      </c>
      <c r="C21" s="18" t="str">
        <f>IF($A21="","",IFERROR(INDEX(Items!$B$5:$B$597,MATCH($A21,Items!$A$5:$A$597,0)),""))</f>
        <v>Wipes</v>
      </c>
      <c r="D21" s="23">
        <f>IF($A21="","",N(Receipts!$G21))</f>
        <v>192080</v>
      </c>
      <c r="E21" s="20">
        <f>IF($A21="","",IFERROR(INDEX(Items!$D$5:$D$597,MATCH($A21,Items!$A$5:$A$597,0)),0))</f>
        <v>0.1</v>
      </c>
      <c r="F21" s="21">
        <f t="shared" si="0"/>
        <v>19208</v>
      </c>
      <c r="G21" s="25">
        <f>IF(Receipts!$I21="","",Receipts!$I21)</f>
        <v>46113</v>
      </c>
      <c r="H21" s="25">
        <f>IF(Receipts!$H21="","",Receipts!$H21)</f>
        <v>47046</v>
      </c>
      <c r="I21" s="26">
        <f t="shared" ca="1" si="1"/>
        <v>808</v>
      </c>
      <c r="J21" s="26">
        <f>IF($A21="","",COUNTIFS(tblReceipts[Item Name],$A21,tblReceipts[Expiry Date],"&lt;"&amp;$H21)+COUNTIFS(tblReceipts[Item Name],$A21,tblReceipts[Expiry Date],$H21,tblReceipts[Lot Number],"&lt;="&amp;Receipts!$C21))</f>
        <v>1</v>
      </c>
      <c r="K21" s="26">
        <f>IF($A21="","",SUMIFS(tblReceipts[Qty Received],tblReceipts[Item Name],$A21,tblReceipts[Expiry Date],"&lt;"&amp;$H21)+SUMIFS(tblReceipts[Qty Received],tblReceipts[Item Name],$A21,tblReceipts[Expiry Date],$H21,tblReceipts[Lot Number],"&lt;"&amp;Receipts!$C21))</f>
        <v>0</v>
      </c>
      <c r="L21" s="26">
        <f>IF($A21="","",MIN($D21,MAX(0,SUMIFS(tblIssues[Qty Issued],tblIssues[Item Name],$A21)-$K21)))</f>
        <v>25760</v>
      </c>
      <c r="M21" s="26">
        <f>IF($A21="","",SUMIFS(tblIssues[Qty Issued],tblIssues[Lot Number],$B21))</f>
        <v>25760</v>
      </c>
      <c r="N21" s="26">
        <f t="shared" si="2"/>
        <v>0</v>
      </c>
      <c r="O21" s="26">
        <f t="shared" si="3"/>
        <v>166320</v>
      </c>
      <c r="P21" s="21">
        <f t="shared" si="4"/>
        <v>16632</v>
      </c>
      <c r="Q21" s="52" t="str">
        <f ca="1">IF($A21="","",IF($O21&lt;=0,"Depleted",IF($I21&lt;0,"EXPIRED",IF($I21&lt;=Settings!$C$6,"CRITICAL",IF($I21&lt;=Settings!$C$5,"Expiring","In date")))))</f>
        <v>In date</v>
      </c>
    </row>
    <row r="22" spans="1:17" x14ac:dyDescent="0.35">
      <c r="A22" s="90" t="str">
        <f>IF(Receipts!$D22="","",Receipts!$D22)</f>
        <v>EDITH</v>
      </c>
      <c r="B22" s="18" t="str">
        <f>IF(Receipts!$C22="","",Receipts!$C22)</f>
        <v>EDITH001</v>
      </c>
      <c r="C22" s="18" t="str">
        <f>IF($A22="","",IFERROR(INDEX(Items!$B$5:$B$597,MATCH($A22,Items!$A$5:$A$597,0)),""))</f>
        <v>Forms</v>
      </c>
      <c r="D22" s="23">
        <f>IF($A22="","",N(Receipts!$G22))</f>
        <v>85</v>
      </c>
      <c r="E22" s="20">
        <f>IF($A22="","",IFERROR(INDEX(Items!$D$5:$D$597,MATCH($A22,Items!$A$5:$A$597,0)),0))</f>
        <v>0</v>
      </c>
      <c r="F22" s="21">
        <f t="shared" si="0"/>
        <v>0</v>
      </c>
      <c r="G22" s="25">
        <f>IF(Receipts!$I22="","",Receipts!$I22)</f>
        <v>46113</v>
      </c>
      <c r="H22" s="25">
        <f>IF(Receipts!$H22="","",Receipts!$H22)</f>
        <v>47046</v>
      </c>
      <c r="I22" s="26">
        <f t="shared" ca="1" si="1"/>
        <v>808</v>
      </c>
      <c r="J22" s="26">
        <f>IF($A22="","",COUNTIFS(tblReceipts[Item Name],$A22,tblReceipts[Expiry Date],"&lt;"&amp;$H22)+COUNTIFS(tblReceipts[Item Name],$A22,tblReceipts[Expiry Date],$H22,tblReceipts[Lot Number],"&lt;="&amp;Receipts!$C22))</f>
        <v>1</v>
      </c>
      <c r="K22" s="26">
        <f>IF($A22="","",SUMIFS(tblReceipts[Qty Received],tblReceipts[Item Name],$A22,tblReceipts[Expiry Date],"&lt;"&amp;$H22)+SUMIFS(tblReceipts[Qty Received],tblReceipts[Item Name],$A22,tblReceipts[Expiry Date],$H22,tblReceipts[Lot Number],"&lt;"&amp;Receipts!$C22))</f>
        <v>0</v>
      </c>
      <c r="L22" s="26">
        <f>IF($A22="","",MIN($D22,MAX(0,SUMIFS(tblIssues[Qty Issued],tblIssues[Item Name],$A22)-$K22)))</f>
        <v>0</v>
      </c>
      <c r="M22" s="26">
        <f>IF($A22="","",SUMIFS(tblIssues[Qty Issued],tblIssues[Lot Number],$B22))</f>
        <v>0</v>
      </c>
      <c r="N22" s="26">
        <f t="shared" si="2"/>
        <v>0</v>
      </c>
      <c r="O22" s="26">
        <f t="shared" si="3"/>
        <v>85</v>
      </c>
      <c r="P22" s="21">
        <f t="shared" si="4"/>
        <v>0</v>
      </c>
      <c r="Q22" s="52" t="str">
        <f ca="1">IF($A22="","",IF($O22&lt;=0,"Depleted",IF($I22&lt;0,"EXPIRED",IF($I22&lt;=Settings!$C$6,"CRITICAL",IF($I22&lt;=Settings!$C$5,"Expiring","In date")))))</f>
        <v>In date</v>
      </c>
    </row>
    <row r="23" spans="1:17" x14ac:dyDescent="0.35">
      <c r="A23" s="90" t="str">
        <f>IF(Receipts!$D23="","",Receipts!$D23)</f>
        <v>Epinephrine</v>
      </c>
      <c r="B23" s="18">
        <f>IF(Receipts!$C23="","",Receipts!$C23)</f>
        <v>50037</v>
      </c>
      <c r="C23" s="18" t="str">
        <f>IF($A23="","",IFERROR(INDEX(Items!$B$5:$B$597,MATCH($A23,Items!$A$5:$A$597,0)),""))</f>
        <v>Drug</v>
      </c>
      <c r="D23" s="23">
        <f>IF($A23="","",N(Receipts!$G23))</f>
        <v>48</v>
      </c>
      <c r="E23" s="20">
        <f>IF($A23="","",IFERROR(INDEX(Items!$D$5:$D$597,MATCH($A23,Items!$A$5:$A$597,0)),0))</f>
        <v>5.9</v>
      </c>
      <c r="F23" s="21">
        <f t="shared" si="0"/>
        <v>283.20000000000005</v>
      </c>
      <c r="G23" s="25">
        <f>IF(Receipts!$I23="","",Receipts!$I23)</f>
        <v>46113</v>
      </c>
      <c r="H23" s="25">
        <f>IF(Receipts!$H23="","",Receipts!$H23)</f>
        <v>46538</v>
      </c>
      <c r="I23" s="26">
        <f t="shared" ca="1" si="1"/>
        <v>300</v>
      </c>
      <c r="J23" s="26">
        <f>IF($A23="","",COUNTIFS(tblReceipts[Item Name],$A23,tblReceipts[Expiry Date],"&lt;"&amp;$H23)+COUNTIFS(tblReceipts[Item Name],$A23,tblReceipts[Expiry Date],$H23,tblReceipts[Lot Number],"&lt;="&amp;Receipts!$C23))</f>
        <v>2</v>
      </c>
      <c r="K23" s="26">
        <f>IF($A23="","",SUMIFS(tblReceipts[Qty Received],tblReceipts[Item Name],$A23,tblReceipts[Expiry Date],"&lt;"&amp;$H23)+SUMIFS(tblReceipts[Qty Received],tblReceipts[Item Name],$A23,tblReceipts[Expiry Date],$H23,tblReceipts[Lot Number],"&lt;"&amp;Receipts!$C23))</f>
        <v>0</v>
      </c>
      <c r="L23" s="26">
        <f>IF($A23="","",MIN($D23,MAX(0,SUMIFS(tblIssues[Qty Issued],tblIssues[Item Name],$A23)-$K23)))</f>
        <v>2</v>
      </c>
      <c r="M23" s="26">
        <f>IF($A23="","",SUMIFS(tblIssues[Qty Issued],tblIssues[Lot Number],$B23))</f>
        <v>2</v>
      </c>
      <c r="N23" s="26">
        <f t="shared" si="2"/>
        <v>0</v>
      </c>
      <c r="O23" s="26">
        <f t="shared" si="3"/>
        <v>46</v>
      </c>
      <c r="P23" s="21">
        <f t="shared" si="4"/>
        <v>271.40000000000003</v>
      </c>
      <c r="Q23" s="52" t="str">
        <f ca="1">IF($A23="","",IF($O23&lt;=0,"Depleted",IF($I23&lt;0,"EXPIRED",IF($I23&lt;=Settings!$C$6,"CRITICAL",IF($I23&lt;=Settings!$C$5,"Expiring","In date")))))</f>
        <v>In date</v>
      </c>
    </row>
    <row r="24" spans="1:17" x14ac:dyDescent="0.35">
      <c r="A24" s="90" t="str">
        <f>IF(Receipts!$D24="","",Receipts!$D24)</f>
        <v>Epinephrine</v>
      </c>
      <c r="B24" s="18" t="str">
        <f>IF(Receipts!$C24="","",Receipts!$C24)</f>
        <v>A000065867</v>
      </c>
      <c r="C24" s="18" t="str">
        <f>IF($A24="","",IFERROR(INDEX(Items!$B$5:$B$597,MATCH($A24,Items!$A$5:$A$597,0)),""))</f>
        <v>Drug</v>
      </c>
      <c r="D24" s="23">
        <f>IF($A24="","",N(Receipts!$G24))</f>
        <v>0</v>
      </c>
      <c r="E24" s="20">
        <f>IF($A24="","",IFERROR(INDEX(Items!$D$5:$D$597,MATCH($A24,Items!$A$5:$A$597,0)),0))</f>
        <v>5.9</v>
      </c>
      <c r="F24" s="21">
        <f t="shared" si="0"/>
        <v>0</v>
      </c>
      <c r="G24" s="25">
        <f>IF(Receipts!$I24="","",Receipts!$I24)</f>
        <v>46113</v>
      </c>
      <c r="H24" s="25">
        <f>IF(Receipts!$H24="","",Receipts!$H24)</f>
        <v>46022</v>
      </c>
      <c r="I24" s="26">
        <f t="shared" ca="1" si="1"/>
        <v>-216</v>
      </c>
      <c r="J24" s="26">
        <f>IF($A24="","",COUNTIFS(tblReceipts[Item Name],$A24,tblReceipts[Expiry Date],"&lt;"&amp;$H24)+COUNTIFS(tblReceipts[Item Name],$A24,tblReceipts[Expiry Date],$H24,tblReceipts[Lot Number],"&lt;="&amp;Receipts!$C24))</f>
        <v>1</v>
      </c>
      <c r="K24" s="26">
        <f>IF($A24="","",SUMIFS(tblReceipts[Qty Received],tblReceipts[Item Name],$A24,tblReceipts[Expiry Date],"&lt;"&amp;$H24)+SUMIFS(tblReceipts[Qty Received],tblReceipts[Item Name],$A24,tblReceipts[Expiry Date],$H24,tblReceipts[Lot Number],"&lt;"&amp;Receipts!$C24))</f>
        <v>0</v>
      </c>
      <c r="L24" s="26">
        <f>IF($A24="","",MIN($D24,MAX(0,SUMIFS(tblIssues[Qty Issued],tblIssues[Item Name],$A24)-$K24)))</f>
        <v>0</v>
      </c>
      <c r="M24" s="26">
        <f>IF($A24="","",SUMIFS(tblIssues[Qty Issued],tblIssues[Lot Number],$B24))</f>
        <v>0</v>
      </c>
      <c r="N24" s="26">
        <f t="shared" si="2"/>
        <v>0</v>
      </c>
      <c r="O24" s="26">
        <f t="shared" si="3"/>
        <v>0</v>
      </c>
      <c r="P24" s="21">
        <f t="shared" si="4"/>
        <v>0</v>
      </c>
      <c r="Q24" s="52" t="str">
        <f>IF($A24="","",IF($O24&lt;=0,"Depleted",IF($I24&lt;0,"EXPIRED",IF($I24&lt;=Settings!$C$6,"CRITICAL",IF($I24&lt;=Settings!$C$5,"Expiring","In date")))))</f>
        <v>Depleted</v>
      </c>
    </row>
    <row r="25" spans="1:17" x14ac:dyDescent="0.35">
      <c r="A25" s="90" t="str">
        <f>IF(Receipts!$D25="","",Receipts!$D25)</f>
        <v>Gloves - Large</v>
      </c>
      <c r="B25" s="18" t="str">
        <f>IF(Receipts!$C25="","",Receipts!$C25)</f>
        <v>0417HIC25-0</v>
      </c>
      <c r="C25" s="18" t="str">
        <f>IF($A25="","",IFERROR(INDEX(Items!$B$5:$B$597,MATCH($A25,Items!$A$5:$A$597,0)),""))</f>
        <v>Gloves</v>
      </c>
      <c r="D25" s="23">
        <f>IF($A25="","",N(Receipts!$G25))</f>
        <v>2000</v>
      </c>
      <c r="E25" s="20">
        <f>IF($A25="","",IFERROR(INDEX(Items!$D$5:$D$597,MATCH($A25,Items!$A$5:$A$597,0)),0))</f>
        <v>5.5E-2</v>
      </c>
      <c r="F25" s="21">
        <f t="shared" si="0"/>
        <v>110</v>
      </c>
      <c r="G25" s="25">
        <f>IF(Receipts!$I25="","",Receipts!$I25)</f>
        <v>46113</v>
      </c>
      <c r="H25" s="25">
        <f>IF(Receipts!$H25="","",Receipts!$H25)</f>
        <v>46285</v>
      </c>
      <c r="I25" s="26">
        <f t="shared" ca="1" si="1"/>
        <v>47</v>
      </c>
      <c r="J25" s="26">
        <f>IF($A25="","",COUNTIFS(tblReceipts[Item Name],$A25,tblReceipts[Expiry Date],"&lt;"&amp;$H25)+COUNTIFS(tblReceipts[Item Name],$A25,tblReceipts[Expiry Date],$H25,tblReceipts[Lot Number],"&lt;="&amp;Receipts!$C25))</f>
        <v>16</v>
      </c>
      <c r="K25" s="26">
        <f>IF($A25="","",SUMIFS(tblReceipts[Qty Received],tblReceipts[Item Name],$A25,tblReceipts[Expiry Date],"&lt;"&amp;$H25)+SUMIFS(tblReceipts[Qty Received],tblReceipts[Item Name],$A25,tblReceipts[Expiry Date],$H25,tblReceipts[Lot Number],"&lt;"&amp;Receipts!$C25))</f>
        <v>10250</v>
      </c>
      <c r="L25" s="26">
        <f>IF($A25="","",MIN($D25,MAX(0,SUMIFS(tblIssues[Qty Issued],tblIssues[Item Name],$A25)-$K25)))</f>
        <v>2000</v>
      </c>
      <c r="M25" s="26">
        <f>IF($A25="","",SUMIFS(tblIssues[Qty Issued],tblIssues[Lot Number],$B25))</f>
        <v>3500</v>
      </c>
      <c r="N25" s="26">
        <f t="shared" si="2"/>
        <v>1500</v>
      </c>
      <c r="O25" s="26">
        <f t="shared" si="3"/>
        <v>0</v>
      </c>
      <c r="P25" s="21">
        <f t="shared" si="4"/>
        <v>0</v>
      </c>
      <c r="Q25" s="52" t="str">
        <f>IF($A25="","",IF($O25&lt;=0,"Depleted",IF($I25&lt;0,"EXPIRED",IF($I25&lt;=Settings!$C$6,"CRITICAL",IF($I25&lt;=Settings!$C$5,"Expiring","In date")))))</f>
        <v>Depleted</v>
      </c>
    </row>
    <row r="26" spans="1:17" x14ac:dyDescent="0.35">
      <c r="A26" s="90" t="str">
        <f>IF(Receipts!$D26="","",Receipts!$D26)</f>
        <v>Gloves - Large</v>
      </c>
      <c r="B26" s="18" t="str">
        <f>IF(Receipts!$C26="","",Receipts!$C26)</f>
        <v>0417HIC25-1</v>
      </c>
      <c r="C26" s="18" t="str">
        <f>IF($A26="","",IFERROR(INDEX(Items!$B$5:$B$597,MATCH($A26,Items!$A$5:$A$597,0)),""))</f>
        <v>Gloves</v>
      </c>
      <c r="D26" s="23">
        <f>IF($A26="","",N(Receipts!$G26))</f>
        <v>7500</v>
      </c>
      <c r="E26" s="20">
        <f>IF($A26="","",IFERROR(INDEX(Items!$D$5:$D$597,MATCH($A26,Items!$A$5:$A$597,0)),0))</f>
        <v>5.5E-2</v>
      </c>
      <c r="F26" s="21">
        <f t="shared" si="0"/>
        <v>412.5</v>
      </c>
      <c r="G26" s="25">
        <f>IF(Receipts!$I26="","",Receipts!$I26)</f>
        <v>46113</v>
      </c>
      <c r="H26" s="25">
        <f>IF(Receipts!$H26="","",Receipts!$H26)</f>
        <v>46292</v>
      </c>
      <c r="I26" s="26">
        <f t="shared" ca="1" si="1"/>
        <v>54</v>
      </c>
      <c r="J26" s="26">
        <f>IF($A26="","",COUNTIFS(tblReceipts[Item Name],$A26,tblReceipts[Expiry Date],"&lt;"&amp;$H26)+COUNTIFS(tblReceipts[Item Name],$A26,tblReceipts[Expiry Date],$H26,tblReceipts[Lot Number],"&lt;="&amp;Receipts!$C26))</f>
        <v>18</v>
      </c>
      <c r="K26" s="26">
        <f>IF($A26="","",SUMIFS(tblReceipts[Qty Received],tblReceipts[Item Name],$A26,tblReceipts[Expiry Date],"&lt;"&amp;$H26)+SUMIFS(tblReceipts[Qty Received],tblReceipts[Item Name],$A26,tblReceipts[Expiry Date],$H26,tblReceipts[Lot Number],"&lt;"&amp;Receipts!$C26))</f>
        <v>17250</v>
      </c>
      <c r="L26" s="26">
        <f>IF($A26="","",MIN($D26,MAX(0,SUMIFS(tblIssues[Qty Issued],tblIssues[Item Name],$A26)-$K26)))</f>
        <v>7500</v>
      </c>
      <c r="M26" s="26">
        <f>IF($A26="","",SUMIFS(tblIssues[Qty Issued],tblIssues[Lot Number],$B26))</f>
        <v>7500</v>
      </c>
      <c r="N26" s="26">
        <f t="shared" si="2"/>
        <v>0</v>
      </c>
      <c r="O26" s="26">
        <f t="shared" si="3"/>
        <v>0</v>
      </c>
      <c r="P26" s="21">
        <f t="shared" si="4"/>
        <v>0</v>
      </c>
      <c r="Q26" s="52" t="str">
        <f>IF($A26="","",IF($O26&lt;=0,"Depleted",IF($I26&lt;0,"EXPIRED",IF($I26&lt;=Settings!$C$6,"CRITICAL",IF($I26&lt;=Settings!$C$5,"Expiring","In date")))))</f>
        <v>Depleted</v>
      </c>
    </row>
    <row r="27" spans="1:17" x14ac:dyDescent="0.35">
      <c r="A27" s="90" t="str">
        <f>IF(Receipts!$D27="","",Receipts!$D27)</f>
        <v>Gloves - Large</v>
      </c>
      <c r="B27" s="18" t="str">
        <f>IF(Receipts!$C27="","",Receipts!$C27)</f>
        <v>LG5003002</v>
      </c>
      <c r="C27" s="18" t="str">
        <f>IF($A27="","",IFERROR(INDEX(Items!$B$5:$B$597,MATCH($A27,Items!$A$5:$A$597,0)),""))</f>
        <v>Gloves</v>
      </c>
      <c r="D27" s="23">
        <f>IF($A27="","",N(Receipts!$G27))</f>
        <v>0</v>
      </c>
      <c r="E27" s="20">
        <f>IF($A27="","",IFERROR(INDEX(Items!$D$5:$D$597,MATCH($A27,Items!$A$5:$A$597,0)),0))</f>
        <v>5.5E-2</v>
      </c>
      <c r="F27" s="21">
        <f t="shared" si="0"/>
        <v>0</v>
      </c>
      <c r="G27" s="25">
        <f>IF(Receipts!$I27="","",Receipts!$I27)</f>
        <v>46113</v>
      </c>
      <c r="H27" s="25">
        <f>IF(Receipts!$H27="","",Receipts!$H27)</f>
        <v>46135</v>
      </c>
      <c r="I27" s="26">
        <f t="shared" ca="1" si="1"/>
        <v>-103</v>
      </c>
      <c r="J27" s="26">
        <f>IF($A27="","",COUNTIFS(tblReceipts[Item Name],$A27,tblReceipts[Expiry Date],"&lt;"&amp;$H27)+COUNTIFS(tblReceipts[Item Name],$A27,tblReceipts[Expiry Date],$H27,tblReceipts[Lot Number],"&lt;="&amp;Receipts!$C27))</f>
        <v>1</v>
      </c>
      <c r="K27" s="26">
        <f>IF($A27="","",SUMIFS(tblReceipts[Qty Received],tblReceipts[Item Name],$A27,tblReceipts[Expiry Date],"&lt;"&amp;$H27)+SUMIFS(tblReceipts[Qty Received],tblReceipts[Item Name],$A27,tblReceipts[Expiry Date],$H27,tblReceipts[Lot Number],"&lt;"&amp;Receipts!$C27))</f>
        <v>0</v>
      </c>
      <c r="L27" s="26">
        <f>IF($A27="","",MIN($D27,MAX(0,SUMIFS(tblIssues[Qty Issued],tblIssues[Item Name],$A27)-$K27)))</f>
        <v>0</v>
      </c>
      <c r="M27" s="26">
        <f>IF($A27="","",SUMIFS(tblIssues[Qty Issued],tblIssues[Lot Number],$B27))</f>
        <v>0</v>
      </c>
      <c r="N27" s="26">
        <f t="shared" si="2"/>
        <v>0</v>
      </c>
      <c r="O27" s="26">
        <f t="shared" si="3"/>
        <v>0</v>
      </c>
      <c r="P27" s="21">
        <f t="shared" si="4"/>
        <v>0</v>
      </c>
      <c r="Q27" s="52" t="str">
        <f>IF($A27="","",IF($O27&lt;=0,"Depleted",IF($I27&lt;0,"EXPIRED",IF($I27&lt;=Settings!$C$6,"CRITICAL",IF($I27&lt;=Settings!$C$5,"Expiring","In date")))))</f>
        <v>Depleted</v>
      </c>
    </row>
    <row r="28" spans="1:17" x14ac:dyDescent="0.35">
      <c r="A28" s="90" t="str">
        <f>IF(Receipts!$D28="","",Receipts!$D28)</f>
        <v>Gloves - Large</v>
      </c>
      <c r="B28" s="18" t="str">
        <f>IF(Receipts!$C28="","",Receipts!$C28)</f>
        <v>LG5003102</v>
      </c>
      <c r="C28" s="18" t="str">
        <f>IF($A28="","",IFERROR(INDEX(Items!$B$5:$B$597,MATCH($A28,Items!$A$5:$A$597,0)),""))</f>
        <v>Gloves</v>
      </c>
      <c r="D28" s="23">
        <f>IF($A28="","",N(Receipts!$G28))</f>
        <v>0</v>
      </c>
      <c r="E28" s="20">
        <f>IF($A28="","",IFERROR(INDEX(Items!$D$5:$D$597,MATCH($A28,Items!$A$5:$A$597,0)),0))</f>
        <v>5.5E-2</v>
      </c>
      <c r="F28" s="21">
        <f t="shared" si="0"/>
        <v>0</v>
      </c>
      <c r="G28" s="25">
        <f>IF(Receipts!$I28="","",Receipts!$I28)</f>
        <v>46113</v>
      </c>
      <c r="H28" s="25">
        <f>IF(Receipts!$H28="","",Receipts!$H28)</f>
        <v>46159</v>
      </c>
      <c r="I28" s="26">
        <f t="shared" ca="1" si="1"/>
        <v>-79</v>
      </c>
      <c r="J28" s="26">
        <f>IF($A28="","",COUNTIFS(tblReceipts[Item Name],$A28,tblReceipts[Expiry Date],"&lt;"&amp;$H28)+COUNTIFS(tblReceipts[Item Name],$A28,tblReceipts[Expiry Date],$H28,tblReceipts[Lot Number],"&lt;="&amp;Receipts!$C28))</f>
        <v>2</v>
      </c>
      <c r="K28" s="26">
        <f>IF($A28="","",SUMIFS(tblReceipts[Qty Received],tblReceipts[Item Name],$A28,tblReceipts[Expiry Date],"&lt;"&amp;$H28)+SUMIFS(tblReceipts[Qty Received],tblReceipts[Item Name],$A28,tblReceipts[Expiry Date],$H28,tblReceipts[Lot Number],"&lt;"&amp;Receipts!$C28))</f>
        <v>0</v>
      </c>
      <c r="L28" s="26">
        <f>IF($A28="","",MIN($D28,MAX(0,SUMIFS(tblIssues[Qty Issued],tblIssues[Item Name],$A28)-$K28)))</f>
        <v>0</v>
      </c>
      <c r="M28" s="26">
        <f>IF($A28="","",SUMIFS(tblIssues[Qty Issued],tblIssues[Lot Number],$B28))</f>
        <v>0</v>
      </c>
      <c r="N28" s="26">
        <f t="shared" si="2"/>
        <v>0</v>
      </c>
      <c r="O28" s="26">
        <f t="shared" si="3"/>
        <v>0</v>
      </c>
      <c r="P28" s="21">
        <f t="shared" si="4"/>
        <v>0</v>
      </c>
      <c r="Q28" s="52" t="str">
        <f>IF($A28="","",IF($O28&lt;=0,"Depleted",IF($I28&lt;0,"EXPIRED",IF($I28&lt;=Settings!$C$6,"CRITICAL",IF($I28&lt;=Settings!$C$5,"Expiring","In date")))))</f>
        <v>Depleted</v>
      </c>
    </row>
    <row r="29" spans="1:17" x14ac:dyDescent="0.35">
      <c r="A29" s="90" t="str">
        <f>IF(Receipts!$D29="","",Receipts!$D29)</f>
        <v>Gloves - Large</v>
      </c>
      <c r="B29" s="18" t="str">
        <f>IF(Receipts!$C29="","",Receipts!$C29)</f>
        <v>LG5003202</v>
      </c>
      <c r="C29" s="18" t="str">
        <f>IF($A29="","",IFERROR(INDEX(Items!$B$5:$B$597,MATCH($A29,Items!$A$5:$A$597,0)),""))</f>
        <v>Gloves</v>
      </c>
      <c r="D29" s="23">
        <f>IF($A29="","",N(Receipts!$G29))</f>
        <v>0</v>
      </c>
      <c r="E29" s="20">
        <f>IF($A29="","",IFERROR(INDEX(Items!$D$5:$D$597,MATCH($A29,Items!$A$5:$A$597,0)),0))</f>
        <v>5.5E-2</v>
      </c>
      <c r="F29" s="21">
        <f t="shared" si="0"/>
        <v>0</v>
      </c>
      <c r="G29" s="25">
        <f>IF(Receipts!$I29="","",Receipts!$I29)</f>
        <v>46113</v>
      </c>
      <c r="H29" s="25">
        <f>IF(Receipts!$H29="","",Receipts!$H29)</f>
        <v>46162</v>
      </c>
      <c r="I29" s="26">
        <f t="shared" ca="1" si="1"/>
        <v>-76</v>
      </c>
      <c r="J29" s="26">
        <f>IF($A29="","",COUNTIFS(tblReceipts[Item Name],$A29,tblReceipts[Expiry Date],"&lt;"&amp;$H29)+COUNTIFS(tblReceipts[Item Name],$A29,tblReceipts[Expiry Date],$H29,tblReceipts[Lot Number],"&lt;="&amp;Receipts!$C29))</f>
        <v>3</v>
      </c>
      <c r="K29" s="26">
        <f>IF($A29="","",SUMIFS(tblReceipts[Qty Received],tblReceipts[Item Name],$A29,tblReceipts[Expiry Date],"&lt;"&amp;$H29)+SUMIFS(tblReceipts[Qty Received],tblReceipts[Item Name],$A29,tblReceipts[Expiry Date],$H29,tblReceipts[Lot Number],"&lt;"&amp;Receipts!$C29))</f>
        <v>0</v>
      </c>
      <c r="L29" s="26">
        <f>IF($A29="","",MIN($D29,MAX(0,SUMIFS(tblIssues[Qty Issued],tblIssues[Item Name],$A29)-$K29)))</f>
        <v>0</v>
      </c>
      <c r="M29" s="26">
        <f>IF($A29="","",SUMIFS(tblIssues[Qty Issued],tblIssues[Lot Number],$B29))</f>
        <v>0</v>
      </c>
      <c r="N29" s="26">
        <f t="shared" si="2"/>
        <v>0</v>
      </c>
      <c r="O29" s="26">
        <f t="shared" si="3"/>
        <v>0</v>
      </c>
      <c r="P29" s="21">
        <f t="shared" si="4"/>
        <v>0</v>
      </c>
      <c r="Q29" s="52" t="str">
        <f>IF($A29="","",IF($O29&lt;=0,"Depleted",IF($I29&lt;0,"EXPIRED",IF($I29&lt;=Settings!$C$6,"CRITICAL",IF($I29&lt;=Settings!$C$5,"Expiring","In date")))))</f>
        <v>Depleted</v>
      </c>
    </row>
    <row r="30" spans="1:17" x14ac:dyDescent="0.35">
      <c r="A30" s="90" t="str">
        <f>IF(Receipts!$D30="","",Receipts!$D30)</f>
        <v>Gloves - Large</v>
      </c>
      <c r="B30" s="18" t="str">
        <f>IF(Receipts!$C30="","",Receipts!$C30)</f>
        <v>LG5003203</v>
      </c>
      <c r="C30" s="18" t="str">
        <f>IF($A30="","",IFERROR(INDEX(Items!$B$5:$B$597,MATCH($A30,Items!$A$5:$A$597,0)),""))</f>
        <v>Gloves</v>
      </c>
      <c r="D30" s="23">
        <f>IF($A30="","",N(Receipts!$G30))</f>
        <v>0</v>
      </c>
      <c r="E30" s="20">
        <f>IF($A30="","",IFERROR(INDEX(Items!$D$5:$D$597,MATCH($A30,Items!$A$5:$A$597,0)),0))</f>
        <v>5.5E-2</v>
      </c>
      <c r="F30" s="21">
        <f t="shared" si="0"/>
        <v>0</v>
      </c>
      <c r="G30" s="25">
        <f>IF(Receipts!$I30="","",Receipts!$I30)</f>
        <v>46113</v>
      </c>
      <c r="H30" s="25">
        <f>IF(Receipts!$H30="","",Receipts!$H30)</f>
        <v>46162</v>
      </c>
      <c r="I30" s="26">
        <f t="shared" ca="1" si="1"/>
        <v>-76</v>
      </c>
      <c r="J30" s="26">
        <f>IF($A30="","",COUNTIFS(tblReceipts[Item Name],$A30,tblReceipts[Expiry Date],"&lt;"&amp;$H30)+COUNTIFS(tblReceipts[Item Name],$A30,tblReceipts[Expiry Date],$H30,tblReceipts[Lot Number],"&lt;="&amp;Receipts!$C30))</f>
        <v>4</v>
      </c>
      <c r="K30" s="26">
        <f>IF($A30="","",SUMIFS(tblReceipts[Qty Received],tblReceipts[Item Name],$A30,tblReceipts[Expiry Date],"&lt;"&amp;$H30)+SUMIFS(tblReceipts[Qty Received],tblReceipts[Item Name],$A30,tblReceipts[Expiry Date],$H30,tblReceipts[Lot Number],"&lt;"&amp;Receipts!$C30))</f>
        <v>0</v>
      </c>
      <c r="L30" s="26">
        <f>IF($A30="","",MIN($D30,MAX(0,SUMIFS(tblIssues[Qty Issued],tblIssues[Item Name],$A30)-$K30)))</f>
        <v>0</v>
      </c>
      <c r="M30" s="26">
        <f>IF($A30="","",SUMIFS(tblIssues[Qty Issued],tblIssues[Lot Number],$B30))</f>
        <v>0</v>
      </c>
      <c r="N30" s="26">
        <f t="shared" si="2"/>
        <v>0</v>
      </c>
      <c r="O30" s="26">
        <f t="shared" si="3"/>
        <v>0</v>
      </c>
      <c r="P30" s="21">
        <f t="shared" si="4"/>
        <v>0</v>
      </c>
      <c r="Q30" s="52" t="str">
        <f>IF($A30="","",IF($O30&lt;=0,"Depleted",IF($I30&lt;0,"EXPIRED",IF($I30&lt;=Settings!$C$6,"CRITICAL",IF($I30&lt;=Settings!$C$5,"Expiring","In date")))))</f>
        <v>Depleted</v>
      </c>
    </row>
    <row r="31" spans="1:17" x14ac:dyDescent="0.35">
      <c r="A31" s="90" t="str">
        <f>IF(Receipts!$D31="","",Receipts!$D31)</f>
        <v>Gloves - Large</v>
      </c>
      <c r="B31" s="18" t="str">
        <f>IF(Receipts!$C31="","",Receipts!$C31)</f>
        <v>LG5003302</v>
      </c>
      <c r="C31" s="18" t="str">
        <f>IF($A31="","",IFERROR(INDEX(Items!$B$5:$B$597,MATCH($A31,Items!$A$5:$A$597,0)),""))</f>
        <v>Gloves</v>
      </c>
      <c r="D31" s="23">
        <f>IF($A31="","",N(Receipts!$G31))</f>
        <v>0</v>
      </c>
      <c r="E31" s="20">
        <f>IF($A31="","",IFERROR(INDEX(Items!$D$5:$D$597,MATCH($A31,Items!$A$5:$A$597,0)),0))</f>
        <v>5.5E-2</v>
      </c>
      <c r="F31" s="21">
        <f t="shared" si="0"/>
        <v>0</v>
      </c>
      <c r="G31" s="25">
        <f>IF(Receipts!$I31="","",Receipts!$I31)</f>
        <v>46113</v>
      </c>
      <c r="H31" s="25">
        <f>IF(Receipts!$H31="","",Receipts!$H31)</f>
        <v>46188</v>
      </c>
      <c r="I31" s="26">
        <f t="shared" ca="1" si="1"/>
        <v>-50</v>
      </c>
      <c r="J31" s="26">
        <f>IF($A31="","",COUNTIFS(tblReceipts[Item Name],$A31,tblReceipts[Expiry Date],"&lt;"&amp;$H31)+COUNTIFS(tblReceipts[Item Name],$A31,tblReceipts[Expiry Date],$H31,tblReceipts[Lot Number],"&lt;="&amp;Receipts!$C31))</f>
        <v>6</v>
      </c>
      <c r="K31" s="26">
        <f>IF($A31="","",SUMIFS(tblReceipts[Qty Received],tblReceipts[Item Name],$A31,tblReceipts[Expiry Date],"&lt;"&amp;$H31)+SUMIFS(tblReceipts[Qty Received],tblReceipts[Item Name],$A31,tblReceipts[Expiry Date],$H31,tblReceipts[Lot Number],"&lt;"&amp;Receipts!$C31))</f>
        <v>0</v>
      </c>
      <c r="L31" s="26">
        <f>IF($A31="","",MIN($D31,MAX(0,SUMIFS(tblIssues[Qty Issued],tblIssues[Item Name],$A31)-$K31)))</f>
        <v>0</v>
      </c>
      <c r="M31" s="26">
        <f>IF($A31="","",SUMIFS(tblIssues[Qty Issued],tblIssues[Lot Number],$B31))</f>
        <v>0</v>
      </c>
      <c r="N31" s="26">
        <f t="shared" si="2"/>
        <v>0</v>
      </c>
      <c r="O31" s="26">
        <f t="shared" si="3"/>
        <v>0</v>
      </c>
      <c r="P31" s="21">
        <f t="shared" si="4"/>
        <v>0</v>
      </c>
      <c r="Q31" s="52" t="str">
        <f>IF($A31="","",IF($O31&lt;=0,"Depleted",IF($I31&lt;0,"EXPIRED",IF($I31&lt;=Settings!$C$6,"CRITICAL",IF($I31&lt;=Settings!$C$5,"Expiring","In date")))))</f>
        <v>Depleted</v>
      </c>
    </row>
    <row r="32" spans="1:17" x14ac:dyDescent="0.35">
      <c r="A32" s="90" t="str">
        <f>IF(Receipts!$D32="","",Receipts!$D32)</f>
        <v>Gloves - Large</v>
      </c>
      <c r="B32" s="18" t="str">
        <f>IF(Receipts!$C32="","",Receipts!$C32)</f>
        <v>ZIM506129477-0</v>
      </c>
      <c r="C32" s="18" t="str">
        <f>IF($A32="","",IFERROR(INDEX(Items!$B$5:$B$597,MATCH($A32,Items!$A$5:$A$597,0)),""))</f>
        <v>Gloves</v>
      </c>
      <c r="D32" s="23">
        <f>IF($A32="","",N(Receipts!$G32))</f>
        <v>0</v>
      </c>
      <c r="E32" s="20">
        <f>IF($A32="","",IFERROR(INDEX(Items!$D$5:$D$597,MATCH($A32,Items!$A$5:$A$597,0)),0))</f>
        <v>5.5E-2</v>
      </c>
      <c r="F32" s="21">
        <f t="shared" si="0"/>
        <v>0</v>
      </c>
      <c r="G32" s="25">
        <f>IF(Receipts!$I32="","",Receipts!$I32)</f>
        <v>46113</v>
      </c>
      <c r="H32" s="25">
        <f>IF(Receipts!$H32="","",Receipts!$H32)</f>
        <v>46179</v>
      </c>
      <c r="I32" s="26">
        <f t="shared" ca="1" si="1"/>
        <v>-59</v>
      </c>
      <c r="J32" s="26">
        <f>IF($A32="","",COUNTIFS(tblReceipts[Item Name],$A32,tblReceipts[Expiry Date],"&lt;"&amp;$H32)+COUNTIFS(tblReceipts[Item Name],$A32,tblReceipts[Expiry Date],$H32,tblReceipts[Lot Number],"&lt;="&amp;Receipts!$C32))</f>
        <v>5</v>
      </c>
      <c r="K32" s="26">
        <f>IF($A32="","",SUMIFS(tblReceipts[Qty Received],tblReceipts[Item Name],$A32,tblReceipts[Expiry Date],"&lt;"&amp;$H32)+SUMIFS(tblReceipts[Qty Received],tblReceipts[Item Name],$A32,tblReceipts[Expiry Date],$H32,tblReceipts[Lot Number],"&lt;"&amp;Receipts!$C32))</f>
        <v>0</v>
      </c>
      <c r="L32" s="26">
        <f>IF($A32="","",MIN($D32,MAX(0,SUMIFS(tblIssues[Qty Issued],tblIssues[Item Name],$A32)-$K32)))</f>
        <v>0</v>
      </c>
      <c r="M32" s="26">
        <f>IF($A32="","",SUMIFS(tblIssues[Qty Issued],tblIssues[Lot Number],$B32))</f>
        <v>0</v>
      </c>
      <c r="N32" s="26">
        <f t="shared" si="2"/>
        <v>0</v>
      </c>
      <c r="O32" s="26">
        <f t="shared" si="3"/>
        <v>0</v>
      </c>
      <c r="P32" s="21">
        <f t="shared" si="4"/>
        <v>0</v>
      </c>
      <c r="Q32" s="52" t="str">
        <f>IF($A32="","",IF($O32&lt;=0,"Depleted",IF($I32&lt;0,"EXPIRED",IF($I32&lt;=Settings!$C$6,"CRITICAL",IF($I32&lt;=Settings!$C$5,"Expiring","In date")))))</f>
        <v>Depleted</v>
      </c>
    </row>
    <row r="33" spans="1:17" x14ac:dyDescent="0.35">
      <c r="A33" s="90" t="str">
        <f>IF(Receipts!$D33="","",Receipts!$D33)</f>
        <v>Gloves - Large</v>
      </c>
      <c r="B33" s="18" t="str">
        <f>IF(Receipts!$C33="","",Receipts!$C33)</f>
        <v>ZIM506129477-1</v>
      </c>
      <c r="C33" s="18" t="str">
        <f>IF($A33="","",IFERROR(INDEX(Items!$B$5:$B$597,MATCH($A33,Items!$A$5:$A$597,0)),""))</f>
        <v>Gloves</v>
      </c>
      <c r="D33" s="23">
        <f>IF($A33="","",N(Receipts!$G33))</f>
        <v>0</v>
      </c>
      <c r="E33" s="20">
        <f>IF($A33="","",IFERROR(INDEX(Items!$D$5:$D$597,MATCH($A33,Items!$A$5:$A$597,0)),0))</f>
        <v>5.5E-2</v>
      </c>
      <c r="F33" s="21">
        <f t="shared" si="0"/>
        <v>0</v>
      </c>
      <c r="G33" s="25">
        <f>IF(Receipts!$I33="","",Receipts!$I33)</f>
        <v>46113</v>
      </c>
      <c r="H33" s="25">
        <f>IF(Receipts!$H33="","",Receipts!$H33)</f>
        <v>46216</v>
      </c>
      <c r="I33" s="26">
        <f t="shared" ca="1" si="1"/>
        <v>-22</v>
      </c>
      <c r="J33" s="26">
        <f>IF($A33="","",COUNTIFS(tblReceipts[Item Name],$A33,tblReceipts[Expiry Date],"&lt;"&amp;$H33)+COUNTIFS(tblReceipts[Item Name],$A33,tblReceipts[Expiry Date],$H33,tblReceipts[Lot Number],"&lt;="&amp;Receipts!$C33))</f>
        <v>7</v>
      </c>
      <c r="K33" s="26">
        <f>IF($A33="","",SUMIFS(tblReceipts[Qty Received],tblReceipts[Item Name],$A33,tblReceipts[Expiry Date],"&lt;"&amp;$H33)+SUMIFS(tblReceipts[Qty Received],tblReceipts[Item Name],$A33,tblReceipts[Expiry Date],$H33,tblReceipts[Lot Number],"&lt;"&amp;Receipts!$C33))</f>
        <v>0</v>
      </c>
      <c r="L33" s="26">
        <f>IF($A33="","",MIN($D33,MAX(0,SUMIFS(tblIssues[Qty Issued],tblIssues[Item Name],$A33)-$K33)))</f>
        <v>0</v>
      </c>
      <c r="M33" s="26">
        <f>IF($A33="","",SUMIFS(tblIssues[Qty Issued],tblIssues[Lot Number],$B33))</f>
        <v>0</v>
      </c>
      <c r="N33" s="26">
        <f t="shared" si="2"/>
        <v>0</v>
      </c>
      <c r="O33" s="26">
        <f t="shared" si="3"/>
        <v>0</v>
      </c>
      <c r="P33" s="21">
        <f t="shared" si="4"/>
        <v>0</v>
      </c>
      <c r="Q33" s="52" t="str">
        <f>IF($A33="","",IF($O33&lt;=0,"Depleted",IF($I33&lt;0,"EXPIRED",IF($I33&lt;=Settings!$C$6,"CRITICAL",IF($I33&lt;=Settings!$C$5,"Expiring","In date")))))</f>
        <v>Depleted</v>
      </c>
    </row>
    <row r="34" spans="1:17" x14ac:dyDescent="0.35">
      <c r="A34" s="90" t="str">
        <f>IF(Receipts!$D34="","",Receipts!$D34)</f>
        <v>Gloves - Large</v>
      </c>
      <c r="B34" s="18" t="str">
        <f>IF(Receipts!$C34="","",Receipts!$C34)</f>
        <v>ZIM509135933-0</v>
      </c>
      <c r="C34" s="18" t="str">
        <f>IF($A34="","",IFERROR(INDEX(Items!$B$5:$B$597,MATCH($A34,Items!$A$5:$A$597,0)),""))</f>
        <v>Gloves</v>
      </c>
      <c r="D34" s="23">
        <f>IF($A34="","",N(Receipts!$G34))</f>
        <v>0</v>
      </c>
      <c r="E34" s="20">
        <f>IF($A34="","",IFERROR(INDEX(Items!$D$5:$D$597,MATCH($A34,Items!$A$5:$A$597,0)),0))</f>
        <v>5.5E-2</v>
      </c>
      <c r="F34" s="21">
        <f t="shared" si="0"/>
        <v>0</v>
      </c>
      <c r="G34" s="25">
        <f>IF(Receipts!$I34="","",Receipts!$I34)</f>
        <v>46113</v>
      </c>
      <c r="H34" s="25">
        <f>IF(Receipts!$H34="","",Receipts!$H34)</f>
        <v>46223</v>
      </c>
      <c r="I34" s="26">
        <f t="shared" ca="1" si="1"/>
        <v>-15</v>
      </c>
      <c r="J34" s="26">
        <f>IF($A34="","",COUNTIFS(tblReceipts[Item Name],$A34,tblReceipts[Expiry Date],"&lt;"&amp;$H34)+COUNTIFS(tblReceipts[Item Name],$A34,tblReceipts[Expiry Date],$H34,tblReceipts[Lot Number],"&lt;="&amp;Receipts!$C34))</f>
        <v>8</v>
      </c>
      <c r="K34" s="26">
        <f>IF($A34="","",SUMIFS(tblReceipts[Qty Received],tblReceipts[Item Name],$A34,tblReceipts[Expiry Date],"&lt;"&amp;$H34)+SUMIFS(tblReceipts[Qty Received],tblReceipts[Item Name],$A34,tblReceipts[Expiry Date],$H34,tblReceipts[Lot Number],"&lt;"&amp;Receipts!$C34))</f>
        <v>0</v>
      </c>
      <c r="L34" s="26">
        <f>IF($A34="","",MIN($D34,MAX(0,SUMIFS(tblIssues[Qty Issued],tblIssues[Item Name],$A34)-$K34)))</f>
        <v>0</v>
      </c>
      <c r="M34" s="26">
        <f>IF($A34="","",SUMIFS(tblIssues[Qty Issued],tblIssues[Lot Number],$B34))</f>
        <v>0</v>
      </c>
      <c r="N34" s="26">
        <f t="shared" si="2"/>
        <v>0</v>
      </c>
      <c r="O34" s="26">
        <f t="shared" si="3"/>
        <v>0</v>
      </c>
      <c r="P34" s="21">
        <f t="shared" si="4"/>
        <v>0</v>
      </c>
      <c r="Q34" s="52" t="str">
        <f>IF($A34="","",IF($O34&lt;=0,"Depleted",IF($I34&lt;0,"EXPIRED",IF($I34&lt;=Settings!$C$6,"CRITICAL",IF($I34&lt;=Settings!$C$5,"Expiring","In date")))))</f>
        <v>Depleted</v>
      </c>
    </row>
    <row r="35" spans="1:17" x14ac:dyDescent="0.35">
      <c r="A35" s="90" t="str">
        <f>IF(Receipts!$D35="","",Receipts!$D35)</f>
        <v>Gloves - Large</v>
      </c>
      <c r="B35" s="18" t="str">
        <f>IF(Receipts!$C35="","",Receipts!$C35)</f>
        <v>ZIM509135933-1</v>
      </c>
      <c r="C35" s="18" t="str">
        <f>IF($A35="","",IFERROR(INDEX(Items!$B$5:$B$597,MATCH($A35,Items!$A$5:$A$597,0)),""))</f>
        <v>Gloves</v>
      </c>
      <c r="D35" s="23">
        <f>IF($A35="","",N(Receipts!$G35))</f>
        <v>0</v>
      </c>
      <c r="E35" s="20">
        <f>IF($A35="","",IFERROR(INDEX(Items!$D$5:$D$597,MATCH($A35,Items!$A$5:$A$597,0)),0))</f>
        <v>5.5E-2</v>
      </c>
      <c r="F35" s="21">
        <f t="shared" si="0"/>
        <v>0</v>
      </c>
      <c r="G35" s="25">
        <f>IF(Receipts!$I35="","",Receipts!$I35)</f>
        <v>46113</v>
      </c>
      <c r="H35" s="25">
        <f>IF(Receipts!$H35="","",Receipts!$H35)</f>
        <v>46244</v>
      </c>
      <c r="I35" s="26">
        <f t="shared" ca="1" si="1"/>
        <v>6</v>
      </c>
      <c r="J35" s="26">
        <f>IF($A35="","",COUNTIFS(tblReceipts[Item Name],$A35,tblReceipts[Expiry Date],"&lt;"&amp;$H35)+COUNTIFS(tblReceipts[Item Name],$A35,tblReceipts[Expiry Date],$H35,tblReceipts[Lot Number],"&lt;="&amp;Receipts!$C35))</f>
        <v>10</v>
      </c>
      <c r="K35" s="26">
        <f>IF($A35="","",SUMIFS(tblReceipts[Qty Received],tblReceipts[Item Name],$A35,tblReceipts[Expiry Date],"&lt;"&amp;$H35)+SUMIFS(tblReceipts[Qty Received],tblReceipts[Item Name],$A35,tblReceipts[Expiry Date],$H35,tblReceipts[Lot Number],"&lt;"&amp;Receipts!$C35))</f>
        <v>0</v>
      </c>
      <c r="L35" s="26">
        <f>IF($A35="","",MIN($D35,MAX(0,SUMIFS(tblIssues[Qty Issued],tblIssues[Item Name],$A35)-$K35)))</f>
        <v>0</v>
      </c>
      <c r="M35" s="26">
        <f>IF($A35="","",SUMIFS(tblIssues[Qty Issued],tblIssues[Lot Number],$B35))</f>
        <v>0</v>
      </c>
      <c r="N35" s="26">
        <f t="shared" si="2"/>
        <v>0</v>
      </c>
      <c r="O35" s="26">
        <f t="shared" si="3"/>
        <v>0</v>
      </c>
      <c r="P35" s="21">
        <f t="shared" si="4"/>
        <v>0</v>
      </c>
      <c r="Q35" s="52" t="str">
        <f>IF($A35="","",IF($O35&lt;=0,"Depleted",IF($I35&lt;0,"EXPIRED",IF($I35&lt;=Settings!$C$6,"CRITICAL",IF($I35&lt;=Settings!$C$5,"Expiring","In date")))))</f>
        <v>Depleted</v>
      </c>
    </row>
    <row r="36" spans="1:17" x14ac:dyDescent="0.35">
      <c r="A36" s="90" t="str">
        <f>IF(Receipts!$D36="","",Receipts!$D36)</f>
        <v>Gloves - Large</v>
      </c>
      <c r="B36" s="18" t="str">
        <f>IF(Receipts!$C36="","",Receipts!$C36)</f>
        <v>ZIM509135933-2</v>
      </c>
      <c r="C36" s="18" t="str">
        <f>IF($A36="","",IFERROR(INDEX(Items!$B$5:$B$597,MATCH($A36,Items!$A$5:$A$597,0)),""))</f>
        <v>Gloves</v>
      </c>
      <c r="D36" s="23">
        <f>IF($A36="","",N(Receipts!$G36))</f>
        <v>0</v>
      </c>
      <c r="E36" s="20">
        <f>IF($A36="","",IFERROR(INDEX(Items!$D$5:$D$597,MATCH($A36,Items!$A$5:$A$597,0)),0))</f>
        <v>5.5E-2</v>
      </c>
      <c r="F36" s="21">
        <f t="shared" si="0"/>
        <v>0</v>
      </c>
      <c r="G36" s="25">
        <f>IF(Receipts!$I36="","",Receipts!$I36)</f>
        <v>46113</v>
      </c>
      <c r="H36" s="25">
        <f>IF(Receipts!$H36="","",Receipts!$H36)</f>
        <v>46252</v>
      </c>
      <c r="I36" s="26">
        <f t="shared" ca="1" si="1"/>
        <v>14</v>
      </c>
      <c r="J36" s="26">
        <f>IF($A36="","",COUNTIFS(tblReceipts[Item Name],$A36,tblReceipts[Expiry Date],"&lt;"&amp;$H36)+COUNTIFS(tblReceipts[Item Name],$A36,tblReceipts[Expiry Date],$H36,tblReceipts[Lot Number],"&lt;="&amp;Receipts!$C36))</f>
        <v>11</v>
      </c>
      <c r="K36" s="26">
        <f>IF($A36="","",SUMIFS(tblReceipts[Qty Received],tblReceipts[Item Name],$A36,tblReceipts[Expiry Date],"&lt;"&amp;$H36)+SUMIFS(tblReceipts[Qty Received],tblReceipts[Item Name],$A36,tblReceipts[Expiry Date],$H36,tblReceipts[Lot Number],"&lt;"&amp;Receipts!$C36))</f>
        <v>0</v>
      </c>
      <c r="L36" s="26">
        <f>IF($A36="","",MIN($D36,MAX(0,SUMIFS(tblIssues[Qty Issued],tblIssues[Item Name],$A36)-$K36)))</f>
        <v>0</v>
      </c>
      <c r="M36" s="26">
        <f>IF($A36="","",SUMIFS(tblIssues[Qty Issued],tblIssues[Lot Number],$B36))</f>
        <v>0</v>
      </c>
      <c r="N36" s="26">
        <f t="shared" si="2"/>
        <v>0</v>
      </c>
      <c r="O36" s="26">
        <f t="shared" si="3"/>
        <v>0</v>
      </c>
      <c r="P36" s="21">
        <f t="shared" si="4"/>
        <v>0</v>
      </c>
      <c r="Q36" s="52" t="str">
        <f>IF($A36="","",IF($O36&lt;=0,"Depleted",IF($I36&lt;0,"EXPIRED",IF($I36&lt;=Settings!$C$6,"CRITICAL",IF($I36&lt;=Settings!$C$5,"Expiring","In date")))))</f>
        <v>Depleted</v>
      </c>
    </row>
    <row r="37" spans="1:17" x14ac:dyDescent="0.35">
      <c r="A37" s="90" t="str">
        <f>IF(Receipts!$D37="","",Receipts!$D37)</f>
        <v>Gloves - Large</v>
      </c>
      <c r="B37" s="18" t="str">
        <f>IF(Receipts!$C37="","",Receipts!$C37)</f>
        <v>ZIM509135935</v>
      </c>
      <c r="C37" s="18" t="str">
        <f>IF($A37="","",IFERROR(INDEX(Items!$B$5:$B$597,MATCH($A37,Items!$A$5:$A$597,0)),""))</f>
        <v>Gloves</v>
      </c>
      <c r="D37" s="23">
        <f>IF($A37="","",N(Receipts!$G37))</f>
        <v>0</v>
      </c>
      <c r="E37" s="20">
        <f>IF($A37="","",IFERROR(INDEX(Items!$D$5:$D$597,MATCH($A37,Items!$A$5:$A$597,0)),0))</f>
        <v>5.5E-2</v>
      </c>
      <c r="F37" s="21">
        <f t="shared" si="0"/>
        <v>0</v>
      </c>
      <c r="G37" s="25">
        <f>IF(Receipts!$I37="","",Receipts!$I37)</f>
        <v>46113</v>
      </c>
      <c r="H37" s="25">
        <f>IF(Receipts!$H37="","",Receipts!$H37)</f>
        <v>46261</v>
      </c>
      <c r="I37" s="26">
        <f t="shared" ca="1" si="1"/>
        <v>23</v>
      </c>
      <c r="J37" s="26">
        <f>IF($A37="","",COUNTIFS(tblReceipts[Item Name],$A37,tblReceipts[Expiry Date],"&lt;"&amp;$H37)+COUNTIFS(tblReceipts[Item Name],$A37,tblReceipts[Expiry Date],$H37,tblReceipts[Lot Number],"&lt;="&amp;Receipts!$C37))</f>
        <v>12</v>
      </c>
      <c r="K37" s="26">
        <f>IF($A37="","",SUMIFS(tblReceipts[Qty Received],tblReceipts[Item Name],$A37,tblReceipts[Expiry Date],"&lt;"&amp;$H37)+SUMIFS(tblReceipts[Qty Received],tblReceipts[Item Name],$A37,tblReceipts[Expiry Date],$H37,tblReceipts[Lot Number],"&lt;"&amp;Receipts!$C37))</f>
        <v>0</v>
      </c>
      <c r="L37" s="26">
        <f>IF($A37="","",MIN($D37,MAX(0,SUMIFS(tblIssues[Qty Issued],tblIssues[Item Name],$A37)-$K37)))</f>
        <v>0</v>
      </c>
      <c r="M37" s="26">
        <f>IF($A37="","",SUMIFS(tblIssues[Qty Issued],tblIssues[Lot Number],$B37))</f>
        <v>0</v>
      </c>
      <c r="N37" s="26">
        <f t="shared" si="2"/>
        <v>0</v>
      </c>
      <c r="O37" s="26">
        <f t="shared" si="3"/>
        <v>0</v>
      </c>
      <c r="P37" s="21">
        <f t="shared" si="4"/>
        <v>0</v>
      </c>
      <c r="Q37" s="52" t="str">
        <f>IF($A37="","",IF($O37&lt;=0,"Depleted",IF($I37&lt;0,"EXPIRED",IF($I37&lt;=Settings!$C$6,"CRITICAL",IF($I37&lt;=Settings!$C$5,"Expiring","In date")))))</f>
        <v>Depleted</v>
      </c>
    </row>
    <row r="38" spans="1:17" x14ac:dyDescent="0.35">
      <c r="A38" s="90" t="str">
        <f>IF(Receipts!$D38="","",Receipts!$D38)</f>
        <v>Gloves - Large</v>
      </c>
      <c r="B38" s="18" t="str">
        <f>IF(Receipts!$C38="","",Receipts!$C38)</f>
        <v>ZIM510135932</v>
      </c>
      <c r="C38" s="18" t="str">
        <f>IF($A38="","",IFERROR(INDEX(Items!$B$5:$B$597,MATCH($A38,Items!$A$5:$A$597,0)),""))</f>
        <v>Gloves</v>
      </c>
      <c r="D38" s="23">
        <f>IF($A38="","",N(Receipts!$G38))</f>
        <v>5000</v>
      </c>
      <c r="E38" s="20">
        <f>IF($A38="","",IFERROR(INDEX(Items!$D$5:$D$597,MATCH($A38,Items!$A$5:$A$597,0)),0))</f>
        <v>5.5E-2</v>
      </c>
      <c r="F38" s="21">
        <f t="shared" si="0"/>
        <v>275</v>
      </c>
      <c r="G38" s="25">
        <f>IF(Receipts!$I38="","",Receipts!$I38)</f>
        <v>46113</v>
      </c>
      <c r="H38" s="25">
        <f>IF(Receipts!$H38="","",Receipts!$H38)</f>
        <v>46275</v>
      </c>
      <c r="I38" s="26">
        <f t="shared" ca="1" si="1"/>
        <v>37</v>
      </c>
      <c r="J38" s="26">
        <f>IF($A38="","",COUNTIFS(tblReceipts[Item Name],$A38,tblReceipts[Expiry Date],"&lt;"&amp;$H38)+COUNTIFS(tblReceipts[Item Name],$A38,tblReceipts[Expiry Date],$H38,tblReceipts[Lot Number],"&lt;="&amp;Receipts!$C38))</f>
        <v>14</v>
      </c>
      <c r="K38" s="26">
        <f>IF($A38="","",SUMIFS(tblReceipts[Qty Received],tblReceipts[Item Name],$A38,tblReceipts[Expiry Date],"&lt;"&amp;$H38)+SUMIFS(tblReceipts[Qty Received],tblReceipts[Item Name],$A38,tblReceipts[Expiry Date],$H38,tblReceipts[Lot Number],"&lt;"&amp;Receipts!$C38))</f>
        <v>250</v>
      </c>
      <c r="L38" s="26">
        <f>IF($A38="","",MIN($D38,MAX(0,SUMIFS(tblIssues[Qty Issued],tblIssues[Item Name],$A38)-$K38)))</f>
        <v>5000</v>
      </c>
      <c r="M38" s="26">
        <f>IF($A38="","",SUMIFS(tblIssues[Qty Issued],tblIssues[Lot Number],$B38))</f>
        <v>4000</v>
      </c>
      <c r="N38" s="26">
        <f t="shared" si="2"/>
        <v>-1000</v>
      </c>
      <c r="O38" s="26">
        <f t="shared" si="3"/>
        <v>0</v>
      </c>
      <c r="P38" s="21">
        <f t="shared" si="4"/>
        <v>0</v>
      </c>
      <c r="Q38" s="52" t="str">
        <f>IF($A38="","",IF($O38&lt;=0,"Depleted",IF($I38&lt;0,"EXPIRED",IF($I38&lt;=Settings!$C$6,"CRITICAL",IF($I38&lt;=Settings!$C$5,"Expiring","In date")))))</f>
        <v>Depleted</v>
      </c>
    </row>
    <row r="39" spans="1:17" x14ac:dyDescent="0.35">
      <c r="A39" s="90" t="str">
        <f>IF(Receipts!$D39="","",Receipts!$D39)</f>
        <v>Gloves - Large</v>
      </c>
      <c r="B39" s="18" t="str">
        <f>IF(Receipts!$C39="","",Receipts!$C39)</f>
        <v>ZIM510137970</v>
      </c>
      <c r="C39" s="18" t="str">
        <f>IF($A39="","",IFERROR(INDEX(Items!$B$5:$B$597,MATCH($A39,Items!$A$5:$A$597,0)),""))</f>
        <v>Gloves</v>
      </c>
      <c r="D39" s="23">
        <f>IF($A39="","",N(Receipts!$G39))</f>
        <v>0</v>
      </c>
      <c r="E39" s="20">
        <f>IF($A39="","",IFERROR(INDEX(Items!$D$5:$D$597,MATCH($A39,Items!$A$5:$A$597,0)),0))</f>
        <v>5.5E-2</v>
      </c>
      <c r="F39" s="21">
        <f t="shared" si="0"/>
        <v>0</v>
      </c>
      <c r="G39" s="25">
        <f>IF(Receipts!$I39="","",Receipts!$I39)</f>
        <v>46113</v>
      </c>
      <c r="H39" s="25">
        <f>IF(Receipts!$H39="","",Receipts!$H39)</f>
        <v>46229</v>
      </c>
      <c r="I39" s="26">
        <f t="shared" ca="1" si="1"/>
        <v>-9</v>
      </c>
      <c r="J39" s="26">
        <f>IF($A39="","",COUNTIFS(tblReceipts[Item Name],$A39,tblReceipts[Expiry Date],"&lt;"&amp;$H39)+COUNTIFS(tblReceipts[Item Name],$A39,tblReceipts[Expiry Date],$H39,tblReceipts[Lot Number],"&lt;="&amp;Receipts!$C39))</f>
        <v>9</v>
      </c>
      <c r="K39" s="26">
        <f>IF($A39="","",SUMIFS(tblReceipts[Qty Received],tblReceipts[Item Name],$A39,tblReceipts[Expiry Date],"&lt;"&amp;$H39)+SUMIFS(tblReceipts[Qty Received],tblReceipts[Item Name],$A39,tblReceipts[Expiry Date],$H39,tblReceipts[Lot Number],"&lt;"&amp;Receipts!$C39))</f>
        <v>0</v>
      </c>
      <c r="L39" s="26">
        <f>IF($A39="","",MIN($D39,MAX(0,SUMIFS(tblIssues[Qty Issued],tblIssues[Item Name],$A39)-$K39)))</f>
        <v>0</v>
      </c>
      <c r="M39" s="26">
        <f>IF($A39="","",SUMIFS(tblIssues[Qty Issued],tblIssues[Lot Number],$B39))</f>
        <v>0</v>
      </c>
      <c r="N39" s="26">
        <f t="shared" si="2"/>
        <v>0</v>
      </c>
      <c r="O39" s="26">
        <f t="shared" si="3"/>
        <v>0</v>
      </c>
      <c r="P39" s="21">
        <f t="shared" si="4"/>
        <v>0</v>
      </c>
      <c r="Q39" s="52" t="str">
        <f>IF($A39="","",IF($O39&lt;=0,"Depleted",IF($I39&lt;0,"EXPIRED",IF($I39&lt;=Settings!$C$6,"CRITICAL",IF($I39&lt;=Settings!$C$5,"Expiring","In date")))))</f>
        <v>Depleted</v>
      </c>
    </row>
    <row r="40" spans="1:17" x14ac:dyDescent="0.35">
      <c r="A40" s="90" t="str">
        <f>IF(Receipts!$D40="","",Receipts!$D40)</f>
        <v>Gloves - Large</v>
      </c>
      <c r="B40" s="18" t="str">
        <f>IF(Receipts!$C40="","",Receipts!$C40)</f>
        <v>ZIM510137970-0</v>
      </c>
      <c r="C40" s="18" t="str">
        <f>IF($A40="","",IFERROR(INDEX(Items!$B$5:$B$597,MATCH($A40,Items!$A$5:$A$597,0)),""))</f>
        <v>Gloves</v>
      </c>
      <c r="D40" s="23">
        <f>IF($A40="","",N(Receipts!$G40))</f>
        <v>250</v>
      </c>
      <c r="E40" s="20">
        <f>IF($A40="","",IFERROR(INDEX(Items!$D$5:$D$597,MATCH($A40,Items!$A$5:$A$597,0)),0))</f>
        <v>5.5E-2</v>
      </c>
      <c r="F40" s="21">
        <f t="shared" si="0"/>
        <v>13.75</v>
      </c>
      <c r="G40" s="25">
        <f>IF(Receipts!$I40="","",Receipts!$I40)</f>
        <v>46113</v>
      </c>
      <c r="H40" s="25">
        <f>IF(Receipts!$H40="","",Receipts!$H40)</f>
        <v>46270</v>
      </c>
      <c r="I40" s="26">
        <f t="shared" ca="1" si="1"/>
        <v>32</v>
      </c>
      <c r="J40" s="26">
        <f>IF($A40="","",COUNTIFS(tblReceipts[Item Name],$A40,tblReceipts[Expiry Date],"&lt;"&amp;$H40)+COUNTIFS(tblReceipts[Item Name],$A40,tblReceipts[Expiry Date],$H40,tblReceipts[Lot Number],"&lt;="&amp;Receipts!$C40))</f>
        <v>13</v>
      </c>
      <c r="K40" s="26">
        <f>IF($A40="","",SUMIFS(tblReceipts[Qty Received],tblReceipts[Item Name],$A40,tblReceipts[Expiry Date],"&lt;"&amp;$H40)+SUMIFS(tblReceipts[Qty Received],tblReceipts[Item Name],$A40,tblReceipts[Expiry Date],$H40,tblReceipts[Lot Number],"&lt;"&amp;Receipts!$C40))</f>
        <v>0</v>
      </c>
      <c r="L40" s="26">
        <f>IF($A40="","",MIN($D40,MAX(0,SUMIFS(tblIssues[Qty Issued],tblIssues[Item Name],$A40)-$K40)))</f>
        <v>250</v>
      </c>
      <c r="M40" s="26">
        <f>IF($A40="","",SUMIFS(tblIssues[Qty Issued],tblIssues[Lot Number],$B40))</f>
        <v>0</v>
      </c>
      <c r="N40" s="26">
        <f t="shared" si="2"/>
        <v>-250</v>
      </c>
      <c r="O40" s="26">
        <f t="shared" si="3"/>
        <v>0</v>
      </c>
      <c r="P40" s="21">
        <f t="shared" si="4"/>
        <v>0</v>
      </c>
      <c r="Q40" s="52" t="str">
        <f>IF($A40="","",IF($O40&lt;=0,"Depleted",IF($I40&lt;0,"EXPIRED",IF($I40&lt;=Settings!$C$6,"CRITICAL",IF($I40&lt;=Settings!$C$5,"Expiring","In date")))))</f>
        <v>Depleted</v>
      </c>
    </row>
    <row r="41" spans="1:17" x14ac:dyDescent="0.35">
      <c r="A41" s="90" t="str">
        <f>IF(Receipts!$D41="","",Receipts!$D41)</f>
        <v>Gloves - Large</v>
      </c>
      <c r="B41" s="18" t="str">
        <f>IF(Receipts!$C41="","",Receipts!$C41)</f>
        <v>ZIM511139904-0</v>
      </c>
      <c r="C41" s="18" t="str">
        <f>IF($A41="","",IFERROR(INDEX(Items!$B$5:$B$597,MATCH($A41,Items!$A$5:$A$597,0)),""))</f>
        <v>Gloves</v>
      </c>
      <c r="D41" s="23">
        <f>IF($A41="","",N(Receipts!$G41))</f>
        <v>5000</v>
      </c>
      <c r="E41" s="20">
        <f>IF($A41="","",IFERROR(INDEX(Items!$D$5:$D$597,MATCH($A41,Items!$A$5:$A$597,0)),0))</f>
        <v>5.5E-2</v>
      </c>
      <c r="F41" s="21">
        <f t="shared" si="0"/>
        <v>275</v>
      </c>
      <c r="G41" s="25">
        <f>IF(Receipts!$I41="","",Receipts!$I41)</f>
        <v>46113</v>
      </c>
      <c r="H41" s="25">
        <f>IF(Receipts!$H41="","",Receipts!$H41)</f>
        <v>46283</v>
      </c>
      <c r="I41" s="26">
        <f t="shared" ca="1" si="1"/>
        <v>45</v>
      </c>
      <c r="J41" s="26">
        <f>IF($A41="","",COUNTIFS(tblReceipts[Item Name],$A41,tblReceipts[Expiry Date],"&lt;"&amp;$H41)+COUNTIFS(tblReceipts[Item Name],$A41,tblReceipts[Expiry Date],$H41,tblReceipts[Lot Number],"&lt;="&amp;Receipts!$C41))</f>
        <v>15</v>
      </c>
      <c r="K41" s="26">
        <f>IF($A41="","",SUMIFS(tblReceipts[Qty Received],tblReceipts[Item Name],$A41,tblReceipts[Expiry Date],"&lt;"&amp;$H41)+SUMIFS(tblReceipts[Qty Received],tblReceipts[Item Name],$A41,tblReceipts[Expiry Date],$H41,tblReceipts[Lot Number],"&lt;"&amp;Receipts!$C41))</f>
        <v>5250</v>
      </c>
      <c r="L41" s="26">
        <f>IF($A41="","",MIN($D41,MAX(0,SUMIFS(tblIssues[Qty Issued],tblIssues[Item Name],$A41)-$K41)))</f>
        <v>5000</v>
      </c>
      <c r="M41" s="26">
        <f>IF($A41="","",SUMIFS(tblIssues[Qty Issued],tblIssues[Lot Number],$B41))</f>
        <v>5000</v>
      </c>
      <c r="N41" s="26">
        <f t="shared" si="2"/>
        <v>0</v>
      </c>
      <c r="O41" s="26">
        <f t="shared" si="3"/>
        <v>0</v>
      </c>
      <c r="P41" s="21">
        <f t="shared" si="4"/>
        <v>0</v>
      </c>
      <c r="Q41" s="52" t="str">
        <f>IF($A41="","",IF($O41&lt;=0,"Depleted",IF($I41&lt;0,"EXPIRED",IF($I41&lt;=Settings!$C$6,"CRITICAL",IF($I41&lt;=Settings!$C$5,"Expiring","In date")))))</f>
        <v>Depleted</v>
      </c>
    </row>
    <row r="42" spans="1:17" x14ac:dyDescent="0.35">
      <c r="A42" s="90" t="str">
        <f>IF(Receipts!$D42="","",Receipts!$D42)</f>
        <v>Gloves - Large</v>
      </c>
      <c r="B42" s="18" t="str">
        <f>IF(Receipts!$C42="","",Receipts!$C42)</f>
        <v>ZIM511139904-1</v>
      </c>
      <c r="C42" s="18" t="str">
        <f>IF($A42="","",IFERROR(INDEX(Items!$B$5:$B$597,MATCH($A42,Items!$A$5:$A$597,0)),""))</f>
        <v>Gloves</v>
      </c>
      <c r="D42" s="23">
        <f>IF($A42="","",N(Receipts!$G42))</f>
        <v>5000</v>
      </c>
      <c r="E42" s="20">
        <f>IF($A42="","",IFERROR(INDEX(Items!$D$5:$D$597,MATCH($A42,Items!$A$5:$A$597,0)),0))</f>
        <v>5.5E-2</v>
      </c>
      <c r="F42" s="21">
        <f t="shared" si="0"/>
        <v>275</v>
      </c>
      <c r="G42" s="25">
        <f>IF(Receipts!$I42="","",Receipts!$I42)</f>
        <v>46113</v>
      </c>
      <c r="H42" s="25">
        <f>IF(Receipts!$H42="","",Receipts!$H42)</f>
        <v>46289</v>
      </c>
      <c r="I42" s="26">
        <f t="shared" ca="1" si="1"/>
        <v>51</v>
      </c>
      <c r="J42" s="26">
        <f>IF($A42="","",COUNTIFS(tblReceipts[Item Name],$A42,tblReceipts[Expiry Date],"&lt;"&amp;$H42)+COUNTIFS(tblReceipts[Item Name],$A42,tblReceipts[Expiry Date],$H42,tblReceipts[Lot Number],"&lt;="&amp;Receipts!$C42))</f>
        <v>17</v>
      </c>
      <c r="K42" s="26">
        <f>IF($A42="","",SUMIFS(tblReceipts[Qty Received],tblReceipts[Item Name],$A42,tblReceipts[Expiry Date],"&lt;"&amp;$H42)+SUMIFS(tblReceipts[Qty Received],tblReceipts[Item Name],$A42,tblReceipts[Expiry Date],$H42,tblReceipts[Lot Number],"&lt;"&amp;Receipts!$C42))</f>
        <v>12250</v>
      </c>
      <c r="L42" s="26">
        <f>IF($A42="","",MIN($D42,MAX(0,SUMIFS(tblIssues[Qty Issued],tblIssues[Item Name],$A42)-$K42)))</f>
        <v>5000</v>
      </c>
      <c r="M42" s="26">
        <f>IF($A42="","",SUMIFS(tblIssues[Qty Issued],tblIssues[Lot Number],$B42))</f>
        <v>5000</v>
      </c>
      <c r="N42" s="26">
        <f t="shared" si="2"/>
        <v>0</v>
      </c>
      <c r="O42" s="26">
        <f t="shared" si="3"/>
        <v>0</v>
      </c>
      <c r="P42" s="21">
        <f t="shared" si="4"/>
        <v>0</v>
      </c>
      <c r="Q42" s="52" t="str">
        <f>IF($A42="","",IF($O42&lt;=0,"Depleted",IF($I42&lt;0,"EXPIRED",IF($I42&lt;=Settings!$C$6,"CRITICAL",IF($I42&lt;=Settings!$C$5,"Expiring","In date")))))</f>
        <v>Depleted</v>
      </c>
    </row>
    <row r="43" spans="1:17" x14ac:dyDescent="0.35">
      <c r="A43" s="90" t="str">
        <f>IF(Receipts!$D43="","",Receipts!$D43)</f>
        <v>Gloves - Medium</v>
      </c>
      <c r="B43" s="18" t="str">
        <f>IF(Receipts!$C43="","",Receipts!$C43)</f>
        <v>ZIM504126040-2</v>
      </c>
      <c r="C43" s="18" t="str">
        <f>IF($A43="","",IFERROR(INDEX(Items!$B$5:$B$597,MATCH($A43,Items!$A$5:$A$597,0)),""))</f>
        <v>Gloves</v>
      </c>
      <c r="D43" s="23">
        <f>IF($A43="","",N(Receipts!$G43))</f>
        <v>5000</v>
      </c>
      <c r="E43" s="20">
        <f>IF($A43="","",IFERROR(INDEX(Items!$D$5:$D$597,MATCH($A43,Items!$A$5:$A$597,0)),0))</f>
        <v>5.5E-2</v>
      </c>
      <c r="F43" s="21">
        <f t="shared" si="0"/>
        <v>275</v>
      </c>
      <c r="G43" s="25">
        <f>IF(Receipts!$I43="","",Receipts!$I43)</f>
        <v>46113</v>
      </c>
      <c r="H43" s="25">
        <f>IF(Receipts!$H43="","",Receipts!$H43)</f>
        <v>46285</v>
      </c>
      <c r="I43" s="26">
        <f t="shared" ca="1" si="1"/>
        <v>47</v>
      </c>
      <c r="J43" s="26">
        <f>IF($A43="","",COUNTIFS(tblReceipts[Item Name],$A43,tblReceipts[Expiry Date],"&lt;"&amp;$H43)+COUNTIFS(tblReceipts[Item Name],$A43,tblReceipts[Expiry Date],$H43,tblReceipts[Lot Number],"&lt;="&amp;Receipts!$C43))</f>
        <v>19</v>
      </c>
      <c r="K43" s="26">
        <f>IF($A43="","",SUMIFS(tblReceipts[Qty Received],tblReceipts[Item Name],$A43,tblReceipts[Expiry Date],"&lt;"&amp;$H43)+SUMIFS(tblReceipts[Qty Received],tblReceipts[Item Name],$A43,tblReceipts[Expiry Date],$H43,tblReceipts[Lot Number],"&lt;"&amp;Receipts!$C43))</f>
        <v>10000</v>
      </c>
      <c r="L43" s="26">
        <f>IF($A43="","",MIN($D43,MAX(0,SUMIFS(tblIssues[Qty Issued],tblIssues[Item Name],$A43)-$K43)))</f>
        <v>5000</v>
      </c>
      <c r="M43" s="26">
        <f>IF($A43="","",SUMIFS(tblIssues[Qty Issued],tblIssues[Lot Number],$B43))</f>
        <v>12500</v>
      </c>
      <c r="N43" s="26">
        <f t="shared" si="2"/>
        <v>7500</v>
      </c>
      <c r="O43" s="26">
        <f t="shared" si="3"/>
        <v>0</v>
      </c>
      <c r="P43" s="21">
        <f t="shared" si="4"/>
        <v>0</v>
      </c>
      <c r="Q43" s="52" t="str">
        <f>IF($A43="","",IF($O43&lt;=0,"Depleted",IF($I43&lt;0,"EXPIRED",IF($I43&lt;=Settings!$C$6,"CRITICAL",IF($I43&lt;=Settings!$C$5,"Expiring","In date")))))</f>
        <v>Depleted</v>
      </c>
    </row>
    <row r="44" spans="1:17" x14ac:dyDescent="0.35">
      <c r="A44" s="90" t="str">
        <f>IF(Receipts!$D44="","",Receipts!$D44)</f>
        <v>Gloves - Medium</v>
      </c>
      <c r="B44" s="18" t="str">
        <f>IF(Receipts!$C44="","",Receipts!$C44)</f>
        <v>0310HIC25</v>
      </c>
      <c r="C44" s="18" t="str">
        <f>IF($A44="","",IFERROR(INDEX(Items!$B$5:$B$597,MATCH($A44,Items!$A$5:$A$597,0)),""))</f>
        <v>Gloves</v>
      </c>
      <c r="D44" s="23">
        <f>IF($A44="","",N(Receipts!$G44))</f>
        <v>0</v>
      </c>
      <c r="E44" s="20">
        <f>IF($A44="","",IFERROR(INDEX(Items!$D$5:$D$597,MATCH($A44,Items!$A$5:$A$597,0)),0))</f>
        <v>5.5E-2</v>
      </c>
      <c r="F44" s="21">
        <f t="shared" si="0"/>
        <v>0</v>
      </c>
      <c r="G44" s="25">
        <f>IF(Receipts!$I44="","",Receipts!$I44)</f>
        <v>46113</v>
      </c>
      <c r="H44" s="25">
        <f>IF(Receipts!$H44="","",Receipts!$H44)</f>
        <v>46132</v>
      </c>
      <c r="I44" s="26">
        <f t="shared" ca="1" si="1"/>
        <v>-106</v>
      </c>
      <c r="J44" s="26">
        <f>IF($A44="","",COUNTIFS(tblReceipts[Item Name],$A44,tblReceipts[Expiry Date],"&lt;"&amp;$H44)+COUNTIFS(tblReceipts[Item Name],$A44,tblReceipts[Expiry Date],$H44,tblReceipts[Lot Number],"&lt;="&amp;Receipts!$C44))</f>
        <v>1</v>
      </c>
      <c r="K44" s="26">
        <f>IF($A44="","",SUMIFS(tblReceipts[Qty Received],tblReceipts[Item Name],$A44,tblReceipts[Expiry Date],"&lt;"&amp;$H44)+SUMIFS(tblReceipts[Qty Received],tblReceipts[Item Name],$A44,tblReceipts[Expiry Date],$H44,tblReceipts[Lot Number],"&lt;"&amp;Receipts!$C44))</f>
        <v>0</v>
      </c>
      <c r="L44" s="26">
        <f>IF($A44="","",MIN($D44,MAX(0,SUMIFS(tblIssues[Qty Issued],tblIssues[Item Name],$A44)-$K44)))</f>
        <v>0</v>
      </c>
      <c r="M44" s="26">
        <f>IF($A44="","",SUMIFS(tblIssues[Qty Issued],tblIssues[Lot Number],$B44))</f>
        <v>0</v>
      </c>
      <c r="N44" s="26">
        <f t="shared" si="2"/>
        <v>0</v>
      </c>
      <c r="O44" s="26">
        <f t="shared" si="3"/>
        <v>0</v>
      </c>
      <c r="P44" s="21">
        <f t="shared" si="4"/>
        <v>0</v>
      </c>
      <c r="Q44" s="52" t="str">
        <f>IF($A44="","",IF($O44&lt;=0,"Depleted",IF($I44&lt;0,"EXPIRED",IF($I44&lt;=Settings!$C$6,"CRITICAL",IF($I44&lt;=Settings!$C$5,"Expiring","In date")))))</f>
        <v>Depleted</v>
      </c>
    </row>
    <row r="45" spans="1:17" x14ac:dyDescent="0.35">
      <c r="A45" s="90" t="str">
        <f>IF(Receipts!$D45="","",Receipts!$D45)</f>
        <v>Gloves - Medium</v>
      </c>
      <c r="B45" s="18" t="str">
        <f>IF(Receipts!$C45="","",Receipts!$C45)</f>
        <v>MG5003004</v>
      </c>
      <c r="C45" s="18" t="str">
        <f>IF($A45="","",IFERROR(INDEX(Items!$B$5:$B$597,MATCH($A45,Items!$A$5:$A$597,0)),""))</f>
        <v>Gloves</v>
      </c>
      <c r="D45" s="23">
        <f>IF($A45="","",N(Receipts!$G45))</f>
        <v>0</v>
      </c>
      <c r="E45" s="20">
        <f>IF($A45="","",IFERROR(INDEX(Items!$D$5:$D$597,MATCH($A45,Items!$A$5:$A$597,0)),0))</f>
        <v>5.5E-2</v>
      </c>
      <c r="F45" s="21">
        <f t="shared" si="0"/>
        <v>0</v>
      </c>
      <c r="G45" s="25">
        <f>IF(Receipts!$I45="","",Receipts!$I45)</f>
        <v>46113</v>
      </c>
      <c r="H45" s="25">
        <f>IF(Receipts!$H45="","",Receipts!$H45)</f>
        <v>46140</v>
      </c>
      <c r="I45" s="26">
        <f t="shared" ca="1" si="1"/>
        <v>-98</v>
      </c>
      <c r="J45" s="26">
        <f>IF($A45="","",COUNTIFS(tblReceipts[Item Name],$A45,tblReceipts[Expiry Date],"&lt;"&amp;$H45)+COUNTIFS(tblReceipts[Item Name],$A45,tblReceipts[Expiry Date],$H45,tblReceipts[Lot Number],"&lt;="&amp;Receipts!$C45))</f>
        <v>2</v>
      </c>
      <c r="K45" s="26">
        <f>IF($A45="","",SUMIFS(tblReceipts[Qty Received],tblReceipts[Item Name],$A45,tblReceipts[Expiry Date],"&lt;"&amp;$H45)+SUMIFS(tblReceipts[Qty Received],tblReceipts[Item Name],$A45,tblReceipts[Expiry Date],$H45,tblReceipts[Lot Number],"&lt;"&amp;Receipts!$C45))</f>
        <v>0</v>
      </c>
      <c r="L45" s="26">
        <f>IF($A45="","",MIN($D45,MAX(0,SUMIFS(tblIssues[Qty Issued],tblIssues[Item Name],$A45)-$K45)))</f>
        <v>0</v>
      </c>
      <c r="M45" s="26">
        <f>IF($A45="","",SUMIFS(tblIssues[Qty Issued],tblIssues[Lot Number],$B45))</f>
        <v>0</v>
      </c>
      <c r="N45" s="26">
        <f t="shared" si="2"/>
        <v>0</v>
      </c>
      <c r="O45" s="26">
        <f t="shared" si="3"/>
        <v>0</v>
      </c>
      <c r="P45" s="21">
        <f t="shared" si="4"/>
        <v>0</v>
      </c>
      <c r="Q45" s="52" t="str">
        <f>IF($A45="","",IF($O45&lt;=0,"Depleted",IF($I45&lt;0,"EXPIRED",IF($I45&lt;=Settings!$C$6,"CRITICAL",IF($I45&lt;=Settings!$C$5,"Expiring","In date")))))</f>
        <v>Depleted</v>
      </c>
    </row>
    <row r="46" spans="1:17" x14ac:dyDescent="0.35">
      <c r="A46" s="90" t="str">
        <f>IF(Receipts!$D46="","",Receipts!$D46)</f>
        <v>Gloves - Medium</v>
      </c>
      <c r="B46" s="18" t="str">
        <f>IF(Receipts!$C46="","",Receipts!$C46)</f>
        <v>MG5003104</v>
      </c>
      <c r="C46" s="18" t="str">
        <f>IF($A46="","",IFERROR(INDEX(Items!$B$5:$B$597,MATCH($A46,Items!$A$5:$A$597,0)),""))</f>
        <v>Gloves</v>
      </c>
      <c r="D46" s="23">
        <f>IF($A46="","",N(Receipts!$G46))</f>
        <v>0</v>
      </c>
      <c r="E46" s="20">
        <f>IF($A46="","",IFERROR(INDEX(Items!$D$5:$D$597,MATCH($A46,Items!$A$5:$A$597,0)),0))</f>
        <v>5.5E-2</v>
      </c>
      <c r="F46" s="21">
        <f t="shared" si="0"/>
        <v>0</v>
      </c>
      <c r="G46" s="25">
        <f>IF(Receipts!$I46="","",Receipts!$I46)</f>
        <v>46113</v>
      </c>
      <c r="H46" s="25">
        <f>IF(Receipts!$H46="","",Receipts!$H46)</f>
        <v>46147</v>
      </c>
      <c r="I46" s="26">
        <f t="shared" ca="1" si="1"/>
        <v>-91</v>
      </c>
      <c r="J46" s="26">
        <f>IF($A46="","",COUNTIFS(tblReceipts[Item Name],$A46,tblReceipts[Expiry Date],"&lt;"&amp;$H46)+COUNTIFS(tblReceipts[Item Name],$A46,tblReceipts[Expiry Date],$H46,tblReceipts[Lot Number],"&lt;="&amp;Receipts!$C46))</f>
        <v>3</v>
      </c>
      <c r="K46" s="26">
        <f>IF($A46="","",SUMIFS(tblReceipts[Qty Received],tblReceipts[Item Name],$A46,tblReceipts[Expiry Date],"&lt;"&amp;$H46)+SUMIFS(tblReceipts[Qty Received],tblReceipts[Item Name],$A46,tblReceipts[Expiry Date],$H46,tblReceipts[Lot Number],"&lt;"&amp;Receipts!$C46))</f>
        <v>0</v>
      </c>
      <c r="L46" s="26">
        <f>IF($A46="","",MIN($D46,MAX(0,SUMIFS(tblIssues[Qty Issued],tblIssues[Item Name],$A46)-$K46)))</f>
        <v>0</v>
      </c>
      <c r="M46" s="26">
        <f>IF($A46="","",SUMIFS(tblIssues[Qty Issued],tblIssues[Lot Number],$B46))</f>
        <v>0</v>
      </c>
      <c r="N46" s="26">
        <f t="shared" si="2"/>
        <v>0</v>
      </c>
      <c r="O46" s="26">
        <f t="shared" si="3"/>
        <v>0</v>
      </c>
      <c r="P46" s="21">
        <f t="shared" si="4"/>
        <v>0</v>
      </c>
      <c r="Q46" s="52" t="str">
        <f>IF($A46="","",IF($O46&lt;=0,"Depleted",IF($I46&lt;0,"EXPIRED",IF($I46&lt;=Settings!$C$6,"CRITICAL",IF($I46&lt;=Settings!$C$5,"Expiring","In date")))))</f>
        <v>Depleted</v>
      </c>
    </row>
    <row r="47" spans="1:17" x14ac:dyDescent="0.35">
      <c r="A47" s="90" t="str">
        <f>IF(Receipts!$D47="","",Receipts!$D47)</f>
        <v>Gloves - Medium</v>
      </c>
      <c r="B47" s="18" t="str">
        <f>IF(Receipts!$C47="","",Receipts!$C47)</f>
        <v>MG5003204</v>
      </c>
      <c r="C47" s="18" t="str">
        <f>IF($A47="","",IFERROR(INDEX(Items!$B$5:$B$597,MATCH($A47,Items!$A$5:$A$597,0)),""))</f>
        <v>Gloves</v>
      </c>
      <c r="D47" s="23">
        <f>IF($A47="","",N(Receipts!$G47))</f>
        <v>0</v>
      </c>
      <c r="E47" s="20">
        <f>IF($A47="","",IFERROR(INDEX(Items!$D$5:$D$597,MATCH($A47,Items!$A$5:$A$597,0)),0))</f>
        <v>5.5E-2</v>
      </c>
      <c r="F47" s="21">
        <f t="shared" si="0"/>
        <v>0</v>
      </c>
      <c r="G47" s="25">
        <f>IF(Receipts!$I47="","",Receipts!$I47)</f>
        <v>46113</v>
      </c>
      <c r="H47" s="25">
        <f>IF(Receipts!$H47="","",Receipts!$H47)</f>
        <v>46159</v>
      </c>
      <c r="I47" s="26">
        <f t="shared" ca="1" si="1"/>
        <v>-79</v>
      </c>
      <c r="J47" s="26">
        <f>IF($A47="","",COUNTIFS(tblReceipts[Item Name],$A47,tblReceipts[Expiry Date],"&lt;"&amp;$H47)+COUNTIFS(tblReceipts[Item Name],$A47,tblReceipts[Expiry Date],$H47,tblReceipts[Lot Number],"&lt;="&amp;Receipts!$C47))</f>
        <v>4</v>
      </c>
      <c r="K47" s="26">
        <f>IF($A47="","",SUMIFS(tblReceipts[Qty Received],tblReceipts[Item Name],$A47,tblReceipts[Expiry Date],"&lt;"&amp;$H47)+SUMIFS(tblReceipts[Qty Received],tblReceipts[Item Name],$A47,tblReceipts[Expiry Date],$H47,tblReceipts[Lot Number],"&lt;"&amp;Receipts!$C47))</f>
        <v>0</v>
      </c>
      <c r="L47" s="26">
        <f>IF($A47="","",MIN($D47,MAX(0,SUMIFS(tblIssues[Qty Issued],tblIssues[Item Name],$A47)-$K47)))</f>
        <v>0</v>
      </c>
      <c r="M47" s="26">
        <f>IF($A47="","",SUMIFS(tblIssues[Qty Issued],tblIssues[Lot Number],$B47))</f>
        <v>0</v>
      </c>
      <c r="N47" s="26">
        <f t="shared" si="2"/>
        <v>0</v>
      </c>
      <c r="O47" s="26">
        <f t="shared" si="3"/>
        <v>0</v>
      </c>
      <c r="P47" s="21">
        <f t="shared" si="4"/>
        <v>0</v>
      </c>
      <c r="Q47" s="52" t="str">
        <f>IF($A47="","",IF($O47&lt;=0,"Depleted",IF($I47&lt;0,"EXPIRED",IF($I47&lt;=Settings!$C$6,"CRITICAL",IF($I47&lt;=Settings!$C$5,"Expiring","In date")))))</f>
        <v>Depleted</v>
      </c>
    </row>
    <row r="48" spans="1:17" x14ac:dyDescent="0.35">
      <c r="A48" s="90" t="str">
        <f>IF(Receipts!$D48="","",Receipts!$D48)</f>
        <v>Gloves - Medium</v>
      </c>
      <c r="B48" s="18" t="str">
        <f>IF(Receipts!$C48="","",Receipts!$C48)</f>
        <v>MG5003304</v>
      </c>
      <c r="C48" s="18" t="str">
        <f>IF($A48="","",IFERROR(INDEX(Items!$B$5:$B$597,MATCH($A48,Items!$A$5:$A$597,0)),""))</f>
        <v>Gloves</v>
      </c>
      <c r="D48" s="23">
        <f>IF($A48="","",N(Receipts!$G48))</f>
        <v>0</v>
      </c>
      <c r="E48" s="20">
        <f>IF($A48="","",IFERROR(INDEX(Items!$D$5:$D$597,MATCH($A48,Items!$A$5:$A$597,0)),0))</f>
        <v>5.5E-2</v>
      </c>
      <c r="F48" s="21">
        <f t="shared" si="0"/>
        <v>0</v>
      </c>
      <c r="G48" s="25">
        <f>IF(Receipts!$I48="","",Receipts!$I48)</f>
        <v>46113</v>
      </c>
      <c r="H48" s="25">
        <f>IF(Receipts!$H48="","",Receipts!$H48)</f>
        <v>46162</v>
      </c>
      <c r="I48" s="26">
        <f t="shared" ca="1" si="1"/>
        <v>-76</v>
      </c>
      <c r="J48" s="26">
        <f>IF($A48="","",COUNTIFS(tblReceipts[Item Name],$A48,tblReceipts[Expiry Date],"&lt;"&amp;$H48)+COUNTIFS(tblReceipts[Item Name],$A48,tblReceipts[Expiry Date],$H48,tblReceipts[Lot Number],"&lt;="&amp;Receipts!$C48))</f>
        <v>5</v>
      </c>
      <c r="K48" s="26">
        <f>IF($A48="","",SUMIFS(tblReceipts[Qty Received],tblReceipts[Item Name],$A48,tblReceipts[Expiry Date],"&lt;"&amp;$H48)+SUMIFS(tblReceipts[Qty Received],tblReceipts[Item Name],$A48,tblReceipts[Expiry Date],$H48,tblReceipts[Lot Number],"&lt;"&amp;Receipts!$C48))</f>
        <v>0</v>
      </c>
      <c r="L48" s="26">
        <f>IF($A48="","",MIN($D48,MAX(0,SUMIFS(tblIssues[Qty Issued],tblIssues[Item Name],$A48)-$K48)))</f>
        <v>0</v>
      </c>
      <c r="M48" s="26">
        <f>IF($A48="","",SUMIFS(tblIssues[Qty Issued],tblIssues[Lot Number],$B48))</f>
        <v>0</v>
      </c>
      <c r="N48" s="26">
        <f t="shared" si="2"/>
        <v>0</v>
      </c>
      <c r="O48" s="26">
        <f t="shared" si="3"/>
        <v>0</v>
      </c>
      <c r="P48" s="21">
        <f t="shared" si="4"/>
        <v>0</v>
      </c>
      <c r="Q48" s="52" t="str">
        <f>IF($A48="","",IF($O48&lt;=0,"Depleted",IF($I48&lt;0,"EXPIRED",IF($I48&lt;=Settings!$C$6,"CRITICAL",IF($I48&lt;=Settings!$C$5,"Expiring","In date")))))</f>
        <v>Depleted</v>
      </c>
    </row>
    <row r="49" spans="1:17" x14ac:dyDescent="0.35">
      <c r="A49" s="90" t="str">
        <f>IF(Receipts!$D49="","",Receipts!$D49)</f>
        <v>Gloves - Medium</v>
      </c>
      <c r="B49" s="18" t="str">
        <f>IF(Receipts!$C49="","",Receipts!$C49)</f>
        <v>MG5003404</v>
      </c>
      <c r="C49" s="18" t="str">
        <f>IF($A49="","",IFERROR(INDEX(Items!$B$5:$B$597,MATCH($A49,Items!$A$5:$A$597,0)),""))</f>
        <v>Gloves</v>
      </c>
      <c r="D49" s="23">
        <f>IF($A49="","",N(Receipts!$G49))</f>
        <v>0</v>
      </c>
      <c r="E49" s="20">
        <f>IF($A49="","",IFERROR(INDEX(Items!$D$5:$D$597,MATCH($A49,Items!$A$5:$A$597,0)),0))</f>
        <v>5.5E-2</v>
      </c>
      <c r="F49" s="21">
        <f t="shared" si="0"/>
        <v>0</v>
      </c>
      <c r="G49" s="25">
        <f>IF(Receipts!$I49="","",Receipts!$I49)</f>
        <v>46113</v>
      </c>
      <c r="H49" s="25">
        <f>IF(Receipts!$H49="","",Receipts!$H49)</f>
        <v>46172</v>
      </c>
      <c r="I49" s="26">
        <f t="shared" ca="1" si="1"/>
        <v>-66</v>
      </c>
      <c r="J49" s="26">
        <f>IF($A49="","",COUNTIFS(tblReceipts[Item Name],$A49,tblReceipts[Expiry Date],"&lt;"&amp;$H49)+COUNTIFS(tblReceipts[Item Name],$A49,tblReceipts[Expiry Date],$H49,tblReceipts[Lot Number],"&lt;="&amp;Receipts!$C49))</f>
        <v>6</v>
      </c>
      <c r="K49" s="26">
        <f>IF($A49="","",SUMIFS(tblReceipts[Qty Received],tblReceipts[Item Name],$A49,tblReceipts[Expiry Date],"&lt;"&amp;$H49)+SUMIFS(tblReceipts[Qty Received],tblReceipts[Item Name],$A49,tblReceipts[Expiry Date],$H49,tblReceipts[Lot Number],"&lt;"&amp;Receipts!$C49))</f>
        <v>0</v>
      </c>
      <c r="L49" s="26">
        <f>IF($A49="","",MIN($D49,MAX(0,SUMIFS(tblIssues[Qty Issued],tblIssues[Item Name],$A49)-$K49)))</f>
        <v>0</v>
      </c>
      <c r="M49" s="26">
        <f>IF($A49="","",SUMIFS(tblIssues[Qty Issued],tblIssues[Lot Number],$B49))</f>
        <v>0</v>
      </c>
      <c r="N49" s="26">
        <f t="shared" si="2"/>
        <v>0</v>
      </c>
      <c r="O49" s="26">
        <f t="shared" si="3"/>
        <v>0</v>
      </c>
      <c r="P49" s="21">
        <f t="shared" si="4"/>
        <v>0</v>
      </c>
      <c r="Q49" s="52" t="str">
        <f>IF($A49="","",IF($O49&lt;=0,"Depleted",IF($I49&lt;0,"EXPIRED",IF($I49&lt;=Settings!$C$6,"CRITICAL",IF($I49&lt;=Settings!$C$5,"Expiring","In date")))))</f>
        <v>Depleted</v>
      </c>
    </row>
    <row r="50" spans="1:17" x14ac:dyDescent="0.35">
      <c r="A50" s="90" t="str">
        <f>IF(Receipts!$D50="","",Receipts!$D50)</f>
        <v>Gloves - Medium</v>
      </c>
      <c r="B50" s="18" t="str">
        <f>IF(Receipts!$C50="","",Receipts!$C50)</f>
        <v>MG5003504</v>
      </c>
      <c r="C50" s="18" t="str">
        <f>IF($A50="","",IFERROR(INDEX(Items!$B$5:$B$597,MATCH($A50,Items!$A$5:$A$597,0)),""))</f>
        <v>Gloves</v>
      </c>
      <c r="D50" s="23">
        <f>IF($A50="","",N(Receipts!$G50))</f>
        <v>0</v>
      </c>
      <c r="E50" s="20">
        <f>IF($A50="","",IFERROR(INDEX(Items!$D$5:$D$597,MATCH($A50,Items!$A$5:$A$597,0)),0))</f>
        <v>5.5E-2</v>
      </c>
      <c r="F50" s="21">
        <f t="shared" si="0"/>
        <v>0</v>
      </c>
      <c r="G50" s="25">
        <f>IF(Receipts!$I50="","",Receipts!$I50)</f>
        <v>46113</v>
      </c>
      <c r="H50" s="25">
        <f>IF(Receipts!$H50="","",Receipts!$H50)</f>
        <v>46188</v>
      </c>
      <c r="I50" s="26">
        <f t="shared" ca="1" si="1"/>
        <v>-50</v>
      </c>
      <c r="J50" s="26">
        <f>IF($A50="","",COUNTIFS(tblReceipts[Item Name],$A50,tblReceipts[Expiry Date],"&lt;"&amp;$H50)+COUNTIFS(tblReceipts[Item Name],$A50,tblReceipts[Expiry Date],$H50,tblReceipts[Lot Number],"&lt;="&amp;Receipts!$C50))</f>
        <v>8</v>
      </c>
      <c r="K50" s="26">
        <f>IF($A50="","",SUMIFS(tblReceipts[Qty Received],tblReceipts[Item Name],$A50,tblReceipts[Expiry Date],"&lt;"&amp;$H50)+SUMIFS(tblReceipts[Qty Received],tblReceipts[Item Name],$A50,tblReceipts[Expiry Date],$H50,tblReceipts[Lot Number],"&lt;"&amp;Receipts!$C50))</f>
        <v>10000</v>
      </c>
      <c r="L50" s="26">
        <f>IF($A50="","",MIN($D50,MAX(0,SUMIFS(tblIssues[Qty Issued],tblIssues[Item Name],$A50)-$K50)))</f>
        <v>0</v>
      </c>
      <c r="M50" s="26">
        <f>IF($A50="","",SUMIFS(tblIssues[Qty Issued],tblIssues[Lot Number],$B50))</f>
        <v>0</v>
      </c>
      <c r="N50" s="26">
        <f t="shared" si="2"/>
        <v>0</v>
      </c>
      <c r="O50" s="26">
        <f t="shared" si="3"/>
        <v>0</v>
      </c>
      <c r="P50" s="21">
        <f t="shared" si="4"/>
        <v>0</v>
      </c>
      <c r="Q50" s="52" t="str">
        <f>IF($A50="","",IF($O50&lt;=0,"Depleted",IF($I50&lt;0,"EXPIRED",IF($I50&lt;=Settings!$C$6,"CRITICAL",IF($I50&lt;=Settings!$C$5,"Expiring","In date")))))</f>
        <v>Depleted</v>
      </c>
    </row>
    <row r="51" spans="1:17" x14ac:dyDescent="0.35">
      <c r="A51" s="90" t="str">
        <f>IF(Receipts!$D51="","",Receipts!$D51)</f>
        <v>Gloves - Medium</v>
      </c>
      <c r="B51" s="18" t="str">
        <f>IF(Receipts!$C51="","",Receipts!$C51)</f>
        <v>MG5003604</v>
      </c>
      <c r="C51" s="18" t="str">
        <f>IF($A51="","",IFERROR(INDEX(Items!$B$5:$B$597,MATCH($A51,Items!$A$5:$A$597,0)),""))</f>
        <v>Gloves</v>
      </c>
      <c r="D51" s="23">
        <f>IF($A51="","",N(Receipts!$G51))</f>
        <v>0</v>
      </c>
      <c r="E51" s="20">
        <f>IF($A51="","",IFERROR(INDEX(Items!$D$5:$D$597,MATCH($A51,Items!$A$5:$A$597,0)),0))</f>
        <v>5.5E-2</v>
      </c>
      <c r="F51" s="21">
        <f t="shared" si="0"/>
        <v>0</v>
      </c>
      <c r="G51" s="25">
        <f>IF(Receipts!$I51="","",Receipts!$I51)</f>
        <v>46113</v>
      </c>
      <c r="H51" s="25">
        <f>IF(Receipts!$H51="","",Receipts!$H51)</f>
        <v>46292</v>
      </c>
      <c r="I51" s="26">
        <f t="shared" ca="1" si="1"/>
        <v>54</v>
      </c>
      <c r="J51" s="26">
        <f>IF($A51="","",COUNTIFS(tblReceipts[Item Name],$A51,tblReceipts[Expiry Date],"&lt;"&amp;$H51)+COUNTIFS(tblReceipts[Item Name],$A51,tblReceipts[Expiry Date],$H51,tblReceipts[Lot Number],"&lt;="&amp;Receipts!$C51))</f>
        <v>21</v>
      </c>
      <c r="K51" s="26">
        <f>IF($A51="","",SUMIFS(tblReceipts[Qty Received],tblReceipts[Item Name],$A51,tblReceipts[Expiry Date],"&lt;"&amp;$H51)+SUMIFS(tblReceipts[Qty Received],tblReceipts[Item Name],$A51,tblReceipts[Expiry Date],$H51,tblReceipts[Lot Number],"&lt;"&amp;Receipts!$C51))</f>
        <v>15000</v>
      </c>
      <c r="L51" s="26">
        <f>IF($A51="","",MIN($D51,MAX(0,SUMIFS(tblIssues[Qty Issued],tblIssues[Item Name],$A51)-$K51)))</f>
        <v>0</v>
      </c>
      <c r="M51" s="26">
        <f>IF($A51="","",SUMIFS(tblIssues[Qty Issued],tblIssues[Lot Number],$B51))</f>
        <v>0</v>
      </c>
      <c r="N51" s="26">
        <f t="shared" si="2"/>
        <v>0</v>
      </c>
      <c r="O51" s="26">
        <f t="shared" si="3"/>
        <v>0</v>
      </c>
      <c r="P51" s="21">
        <f t="shared" si="4"/>
        <v>0</v>
      </c>
      <c r="Q51" s="52" t="str">
        <f>IF($A51="","",IF($O51&lt;=0,"Depleted",IF($I51&lt;0,"EXPIRED",IF($I51&lt;=Settings!$C$6,"CRITICAL",IF($I51&lt;=Settings!$C$5,"Expiring","In date")))))</f>
        <v>Depleted</v>
      </c>
    </row>
    <row r="52" spans="1:17" x14ac:dyDescent="0.35">
      <c r="A52" s="90" t="str">
        <f>IF(Receipts!$D52="","",Receipts!$D52)</f>
        <v>Gloves - Medium</v>
      </c>
      <c r="B52" s="18" t="str">
        <f>IF(Receipts!$C52="","",Receipts!$C52)</f>
        <v>O17104</v>
      </c>
      <c r="C52" s="18" t="str">
        <f>IF($A52="","",IFERROR(INDEX(Items!$B$5:$B$597,MATCH($A52,Items!$A$5:$A$597,0)),""))</f>
        <v>Gloves</v>
      </c>
      <c r="D52" s="23">
        <f>IF($A52="","",N(Receipts!$G52))</f>
        <v>10000</v>
      </c>
      <c r="E52" s="20">
        <f>IF($A52="","",IFERROR(INDEX(Items!$D$5:$D$597,MATCH($A52,Items!$A$5:$A$597,0)),0))</f>
        <v>5.5E-2</v>
      </c>
      <c r="F52" s="21">
        <f t="shared" si="0"/>
        <v>550</v>
      </c>
      <c r="G52" s="25">
        <f>IF(Receipts!$I52="","",Receipts!$I52)</f>
        <v>46113</v>
      </c>
      <c r="H52" s="25">
        <f>IF(Receipts!$H52="","",Receipts!$H52)</f>
        <v>46179</v>
      </c>
      <c r="I52" s="26">
        <f t="shared" ca="1" si="1"/>
        <v>-59</v>
      </c>
      <c r="J52" s="26">
        <f>IF($A52="","",COUNTIFS(tblReceipts[Item Name],$A52,tblReceipts[Expiry Date],"&lt;"&amp;$H52)+COUNTIFS(tblReceipts[Item Name],$A52,tblReceipts[Expiry Date],$H52,tblReceipts[Lot Number],"&lt;="&amp;Receipts!$C52))</f>
        <v>7</v>
      </c>
      <c r="K52" s="26">
        <f>IF($A52="","",SUMIFS(tblReceipts[Qty Received],tblReceipts[Item Name],$A52,tblReceipts[Expiry Date],"&lt;"&amp;$H52)+SUMIFS(tblReceipts[Qty Received],tblReceipts[Item Name],$A52,tblReceipts[Expiry Date],$H52,tblReceipts[Lot Number],"&lt;"&amp;Receipts!$C52))</f>
        <v>0</v>
      </c>
      <c r="L52" s="26">
        <f>IF($A52="","",MIN($D52,MAX(0,SUMIFS(tblIssues[Qty Issued],tblIssues[Item Name],$A52)-$K52)))</f>
        <v>10000</v>
      </c>
      <c r="M52" s="26">
        <f>IF($A52="","",SUMIFS(tblIssues[Qty Issued],tblIssues[Lot Number],$B52))</f>
        <v>10000</v>
      </c>
      <c r="N52" s="26">
        <f t="shared" si="2"/>
        <v>0</v>
      </c>
      <c r="O52" s="26">
        <f t="shared" si="3"/>
        <v>0</v>
      </c>
      <c r="P52" s="21">
        <f t="shared" si="4"/>
        <v>0</v>
      </c>
      <c r="Q52" s="52" t="str">
        <f>IF($A52="","",IF($O52&lt;=0,"Depleted",IF($I52&lt;0,"EXPIRED",IF($I52&lt;=Settings!$C$6,"CRITICAL",IF($I52&lt;=Settings!$C$5,"Expiring","In date")))))</f>
        <v>Depleted</v>
      </c>
    </row>
    <row r="53" spans="1:17" x14ac:dyDescent="0.35">
      <c r="A53" s="90" t="str">
        <f>IF(Receipts!$D53="","",Receipts!$D53)</f>
        <v>Gloves - Medium</v>
      </c>
      <c r="B53" s="18" t="str">
        <f>IF(Receipts!$C53="","",Receipts!$C53)</f>
        <v>ZIM503122464-0</v>
      </c>
      <c r="C53" s="18" t="str">
        <f>IF($A53="","",IFERROR(INDEX(Items!$B$5:$B$597,MATCH($A53,Items!$A$5:$A$597,0)),""))</f>
        <v>Gloves</v>
      </c>
      <c r="D53" s="23">
        <f>IF($A53="","",N(Receipts!$G53))</f>
        <v>0</v>
      </c>
      <c r="E53" s="20">
        <f>IF($A53="","",IFERROR(INDEX(Items!$D$5:$D$597,MATCH($A53,Items!$A$5:$A$597,0)),0))</f>
        <v>5.5E-2</v>
      </c>
      <c r="F53" s="21">
        <f t="shared" si="0"/>
        <v>0</v>
      </c>
      <c r="G53" s="25">
        <f>IF(Receipts!$I53="","",Receipts!$I53)</f>
        <v>46113</v>
      </c>
      <c r="H53" s="25">
        <f>IF(Receipts!$H53="","",Receipts!$H53)</f>
        <v>46216</v>
      </c>
      <c r="I53" s="26">
        <f t="shared" ca="1" si="1"/>
        <v>-22</v>
      </c>
      <c r="J53" s="26">
        <f>IF($A53="","",COUNTIFS(tblReceipts[Item Name],$A53,tblReceipts[Expiry Date],"&lt;"&amp;$H53)+COUNTIFS(tblReceipts[Item Name],$A53,tblReceipts[Expiry Date],$H53,tblReceipts[Lot Number],"&lt;="&amp;Receipts!$C53))</f>
        <v>9</v>
      </c>
      <c r="K53" s="26">
        <f>IF($A53="","",SUMIFS(tblReceipts[Qty Received],tblReceipts[Item Name],$A53,tblReceipts[Expiry Date],"&lt;"&amp;$H53)+SUMIFS(tblReceipts[Qty Received],tblReceipts[Item Name],$A53,tblReceipts[Expiry Date],$H53,tblReceipts[Lot Number],"&lt;"&amp;Receipts!$C53))</f>
        <v>10000</v>
      </c>
      <c r="L53" s="26">
        <f>IF($A53="","",MIN($D53,MAX(0,SUMIFS(tblIssues[Qty Issued],tblIssues[Item Name],$A53)-$K53)))</f>
        <v>0</v>
      </c>
      <c r="M53" s="26">
        <f>IF($A53="","",SUMIFS(tblIssues[Qty Issued],tblIssues[Lot Number],$B53))</f>
        <v>0</v>
      </c>
      <c r="N53" s="26">
        <f t="shared" si="2"/>
        <v>0</v>
      </c>
      <c r="O53" s="26">
        <f t="shared" si="3"/>
        <v>0</v>
      </c>
      <c r="P53" s="21">
        <f t="shared" si="4"/>
        <v>0</v>
      </c>
      <c r="Q53" s="52" t="str">
        <f>IF($A53="","",IF($O53&lt;=0,"Depleted",IF($I53&lt;0,"EXPIRED",IF($I53&lt;=Settings!$C$6,"CRITICAL",IF($I53&lt;=Settings!$C$5,"Expiring","In date")))))</f>
        <v>Depleted</v>
      </c>
    </row>
    <row r="54" spans="1:17" x14ac:dyDescent="0.35">
      <c r="A54" s="90" t="str">
        <f>IF(Receipts!$D54="","",Receipts!$D54)</f>
        <v>Gloves - Medium</v>
      </c>
      <c r="B54" s="18" t="str">
        <f>IF(Receipts!$C54="","",Receipts!$C54)</f>
        <v>ZIM503122464-1</v>
      </c>
      <c r="C54" s="18" t="str">
        <f>IF($A54="","",IFERROR(INDEX(Items!$B$5:$B$597,MATCH($A54,Items!$A$5:$A$597,0)),""))</f>
        <v>Gloves</v>
      </c>
      <c r="D54" s="23">
        <f>IF($A54="","",N(Receipts!$G54))</f>
        <v>0</v>
      </c>
      <c r="E54" s="20">
        <f>IF($A54="","",IFERROR(INDEX(Items!$D$5:$D$597,MATCH($A54,Items!$A$5:$A$597,0)),0))</f>
        <v>5.5E-2</v>
      </c>
      <c r="F54" s="21">
        <f t="shared" si="0"/>
        <v>0</v>
      </c>
      <c r="G54" s="25">
        <f>IF(Receipts!$I54="","",Receipts!$I54)</f>
        <v>46113</v>
      </c>
      <c r="H54" s="25">
        <f>IF(Receipts!$H54="","",Receipts!$H54)</f>
        <v>46223</v>
      </c>
      <c r="I54" s="26">
        <f t="shared" ca="1" si="1"/>
        <v>-15</v>
      </c>
      <c r="J54" s="26">
        <f>IF($A54="","",COUNTIFS(tblReceipts[Item Name],$A54,tblReceipts[Expiry Date],"&lt;"&amp;$H54)+COUNTIFS(tblReceipts[Item Name],$A54,tblReceipts[Expiry Date],$H54,tblReceipts[Lot Number],"&lt;="&amp;Receipts!$C54))</f>
        <v>10</v>
      </c>
      <c r="K54" s="26">
        <f>IF($A54="","",SUMIFS(tblReceipts[Qty Received],tblReceipts[Item Name],$A54,tblReceipts[Expiry Date],"&lt;"&amp;$H54)+SUMIFS(tblReceipts[Qty Received],tblReceipts[Item Name],$A54,tblReceipts[Expiry Date],$H54,tblReceipts[Lot Number],"&lt;"&amp;Receipts!$C54))</f>
        <v>10000</v>
      </c>
      <c r="L54" s="26">
        <f>IF($A54="","",MIN($D54,MAX(0,SUMIFS(tblIssues[Qty Issued],tblIssues[Item Name],$A54)-$K54)))</f>
        <v>0</v>
      </c>
      <c r="M54" s="26">
        <f>IF($A54="","",SUMIFS(tblIssues[Qty Issued],tblIssues[Lot Number],$B54))</f>
        <v>0</v>
      </c>
      <c r="N54" s="26">
        <f t="shared" si="2"/>
        <v>0</v>
      </c>
      <c r="O54" s="26">
        <f t="shared" si="3"/>
        <v>0</v>
      </c>
      <c r="P54" s="21">
        <f t="shared" si="4"/>
        <v>0</v>
      </c>
      <c r="Q54" s="52" t="str">
        <f>IF($A54="","",IF($O54&lt;=0,"Depleted",IF($I54&lt;0,"EXPIRED",IF($I54&lt;=Settings!$C$6,"CRITICAL",IF($I54&lt;=Settings!$C$5,"Expiring","In date")))))</f>
        <v>Depleted</v>
      </c>
    </row>
    <row r="55" spans="1:17" x14ac:dyDescent="0.35">
      <c r="A55" s="90" t="str">
        <f>IF(Receipts!$D55="","",Receipts!$D55)</f>
        <v>Gloves - Medium</v>
      </c>
      <c r="B55" s="18" t="str">
        <f>IF(Receipts!$C55="","",Receipts!$C55)</f>
        <v>ZIM503122464-2</v>
      </c>
      <c r="C55" s="18" t="str">
        <f>IF($A55="","",IFERROR(INDEX(Items!$B$5:$B$597,MATCH($A55,Items!$A$5:$A$597,0)),""))</f>
        <v>Gloves</v>
      </c>
      <c r="D55" s="23">
        <f>IF($A55="","",N(Receipts!$G55))</f>
        <v>0</v>
      </c>
      <c r="E55" s="20">
        <f>IF($A55="","",IFERROR(INDEX(Items!$D$5:$D$597,MATCH($A55,Items!$A$5:$A$597,0)),0))</f>
        <v>5.5E-2</v>
      </c>
      <c r="F55" s="21">
        <f t="shared" si="0"/>
        <v>0</v>
      </c>
      <c r="G55" s="25">
        <f>IF(Receipts!$I55="","",Receipts!$I55)</f>
        <v>46113</v>
      </c>
      <c r="H55" s="25">
        <f>IF(Receipts!$H55="","",Receipts!$H55)</f>
        <v>46229</v>
      </c>
      <c r="I55" s="26">
        <f t="shared" ca="1" si="1"/>
        <v>-9</v>
      </c>
      <c r="J55" s="26">
        <f>IF($A55="","",COUNTIFS(tblReceipts[Item Name],$A55,tblReceipts[Expiry Date],"&lt;"&amp;$H55)+COUNTIFS(tblReceipts[Item Name],$A55,tblReceipts[Expiry Date],$H55,tblReceipts[Lot Number],"&lt;="&amp;Receipts!$C55))</f>
        <v>11</v>
      </c>
      <c r="K55" s="26">
        <f>IF($A55="","",SUMIFS(tblReceipts[Qty Received],tblReceipts[Item Name],$A55,tblReceipts[Expiry Date],"&lt;"&amp;$H55)+SUMIFS(tblReceipts[Qty Received],tblReceipts[Item Name],$A55,tblReceipts[Expiry Date],$H55,tblReceipts[Lot Number],"&lt;"&amp;Receipts!$C55))</f>
        <v>10000</v>
      </c>
      <c r="L55" s="26">
        <f>IF($A55="","",MIN($D55,MAX(0,SUMIFS(tblIssues[Qty Issued],tblIssues[Item Name],$A55)-$K55)))</f>
        <v>0</v>
      </c>
      <c r="M55" s="26">
        <f>IF($A55="","",SUMIFS(tblIssues[Qty Issued],tblIssues[Lot Number],$B55))</f>
        <v>0</v>
      </c>
      <c r="N55" s="26">
        <f t="shared" si="2"/>
        <v>0</v>
      </c>
      <c r="O55" s="26">
        <f t="shared" si="3"/>
        <v>0</v>
      </c>
      <c r="P55" s="21">
        <f t="shared" si="4"/>
        <v>0</v>
      </c>
      <c r="Q55" s="52" t="str">
        <f>IF($A55="","",IF($O55&lt;=0,"Depleted",IF($I55&lt;0,"EXPIRED",IF($I55&lt;=Settings!$C$6,"CRITICAL",IF($I55&lt;=Settings!$C$5,"Expiring","In date")))))</f>
        <v>Depleted</v>
      </c>
    </row>
    <row r="56" spans="1:17" x14ac:dyDescent="0.35">
      <c r="A56" s="90" t="str">
        <f>IF(Receipts!$D56="","",Receipts!$D56)</f>
        <v>Gloves - Medium</v>
      </c>
      <c r="B56" s="18" t="str">
        <f>IF(Receipts!$C56="","",Receipts!$C56)</f>
        <v>ZIM503122464-3</v>
      </c>
      <c r="C56" s="18" t="str">
        <f>IF($A56="","",IFERROR(INDEX(Items!$B$5:$B$597,MATCH($A56,Items!$A$5:$A$597,0)),""))</f>
        <v>Gloves</v>
      </c>
      <c r="D56" s="23">
        <f>IF($A56="","",N(Receipts!$G56))</f>
        <v>0</v>
      </c>
      <c r="E56" s="20">
        <f>IF($A56="","",IFERROR(INDEX(Items!$D$5:$D$597,MATCH($A56,Items!$A$5:$A$597,0)),0))</f>
        <v>5.5E-2</v>
      </c>
      <c r="F56" s="21">
        <f t="shared" si="0"/>
        <v>0</v>
      </c>
      <c r="G56" s="25">
        <f>IF(Receipts!$I56="","",Receipts!$I56)</f>
        <v>46113</v>
      </c>
      <c r="H56" s="25">
        <f>IF(Receipts!$H56="","",Receipts!$H56)</f>
        <v>46238</v>
      </c>
      <c r="I56" s="26">
        <f t="shared" ca="1" si="1"/>
        <v>0</v>
      </c>
      <c r="J56" s="26">
        <f>IF($A56="","",COUNTIFS(tblReceipts[Item Name],$A56,tblReceipts[Expiry Date],"&lt;"&amp;$H56)+COUNTIFS(tblReceipts[Item Name],$A56,tblReceipts[Expiry Date],$H56,tblReceipts[Lot Number],"&lt;="&amp;Receipts!$C56))</f>
        <v>12</v>
      </c>
      <c r="K56" s="26">
        <f>IF($A56="","",SUMIFS(tblReceipts[Qty Received],tblReceipts[Item Name],$A56,tblReceipts[Expiry Date],"&lt;"&amp;$H56)+SUMIFS(tblReceipts[Qty Received],tblReceipts[Item Name],$A56,tblReceipts[Expiry Date],$H56,tblReceipts[Lot Number],"&lt;"&amp;Receipts!$C56))</f>
        <v>10000</v>
      </c>
      <c r="L56" s="26">
        <f>IF($A56="","",MIN($D56,MAX(0,SUMIFS(tblIssues[Qty Issued],tblIssues[Item Name],$A56)-$K56)))</f>
        <v>0</v>
      </c>
      <c r="M56" s="26">
        <f>IF($A56="","",SUMIFS(tblIssues[Qty Issued],tblIssues[Lot Number],$B56))</f>
        <v>0</v>
      </c>
      <c r="N56" s="26">
        <f t="shared" si="2"/>
        <v>0</v>
      </c>
      <c r="O56" s="26">
        <f t="shared" si="3"/>
        <v>0</v>
      </c>
      <c r="P56" s="21">
        <f t="shared" si="4"/>
        <v>0</v>
      </c>
      <c r="Q56" s="52" t="str">
        <f>IF($A56="","",IF($O56&lt;=0,"Depleted",IF($I56&lt;0,"EXPIRED",IF($I56&lt;=Settings!$C$6,"CRITICAL",IF($I56&lt;=Settings!$C$5,"Expiring","In date")))))</f>
        <v>Depleted</v>
      </c>
    </row>
    <row r="57" spans="1:17" x14ac:dyDescent="0.35">
      <c r="A57" s="90" t="str">
        <f>IF(Receipts!$D57="","",Receipts!$D57)</f>
        <v>Gloves - Medium</v>
      </c>
      <c r="B57" s="18" t="str">
        <f>IF(Receipts!$C57="","",Receipts!$C57)</f>
        <v>ZIM503122464-4</v>
      </c>
      <c r="C57" s="18" t="str">
        <f>IF($A57="","",IFERROR(INDEX(Items!$B$5:$B$597,MATCH($A57,Items!$A$5:$A$597,0)),""))</f>
        <v>Gloves</v>
      </c>
      <c r="D57" s="23">
        <f>IF($A57="","",N(Receipts!$G57))</f>
        <v>0</v>
      </c>
      <c r="E57" s="20">
        <f>IF($A57="","",IFERROR(INDEX(Items!$D$5:$D$597,MATCH($A57,Items!$A$5:$A$597,0)),0))</f>
        <v>5.5E-2</v>
      </c>
      <c r="F57" s="21">
        <f t="shared" si="0"/>
        <v>0</v>
      </c>
      <c r="G57" s="25">
        <f>IF(Receipts!$I57="","",Receipts!$I57)</f>
        <v>46113</v>
      </c>
      <c r="H57" s="25">
        <f>IF(Receipts!$H57="","",Receipts!$H57)</f>
        <v>46244</v>
      </c>
      <c r="I57" s="26">
        <f t="shared" ca="1" si="1"/>
        <v>6</v>
      </c>
      <c r="J57" s="26">
        <f>IF($A57="","",COUNTIFS(tblReceipts[Item Name],$A57,tblReceipts[Expiry Date],"&lt;"&amp;$H57)+COUNTIFS(tblReceipts[Item Name],$A57,tblReceipts[Expiry Date],$H57,tblReceipts[Lot Number],"&lt;="&amp;Receipts!$C57))</f>
        <v>13</v>
      </c>
      <c r="K57" s="26">
        <f>IF($A57="","",SUMIFS(tblReceipts[Qty Received],tblReceipts[Item Name],$A57,tblReceipts[Expiry Date],"&lt;"&amp;$H57)+SUMIFS(tblReceipts[Qty Received],tblReceipts[Item Name],$A57,tblReceipts[Expiry Date],$H57,tblReceipts[Lot Number],"&lt;"&amp;Receipts!$C57))</f>
        <v>10000</v>
      </c>
      <c r="L57" s="26">
        <f>IF($A57="","",MIN($D57,MAX(0,SUMIFS(tblIssues[Qty Issued],tblIssues[Item Name],$A57)-$K57)))</f>
        <v>0</v>
      </c>
      <c r="M57" s="26">
        <f>IF($A57="","",SUMIFS(tblIssues[Qty Issued],tblIssues[Lot Number],$B57))</f>
        <v>0</v>
      </c>
      <c r="N57" s="26">
        <f t="shared" si="2"/>
        <v>0</v>
      </c>
      <c r="O57" s="26">
        <f t="shared" si="3"/>
        <v>0</v>
      </c>
      <c r="P57" s="21">
        <f t="shared" si="4"/>
        <v>0</v>
      </c>
      <c r="Q57" s="52" t="str">
        <f>IF($A57="","",IF($O57&lt;=0,"Depleted",IF($I57&lt;0,"EXPIRED",IF($I57&lt;=Settings!$C$6,"CRITICAL",IF($I57&lt;=Settings!$C$5,"Expiring","In date")))))</f>
        <v>Depleted</v>
      </c>
    </row>
    <row r="58" spans="1:17" x14ac:dyDescent="0.35">
      <c r="A58" s="90" t="str">
        <f>IF(Receipts!$D58="","",Receipts!$D58)</f>
        <v>Gloves - Medium</v>
      </c>
      <c r="B58" s="18" t="str">
        <f>IF(Receipts!$C58="","",Receipts!$C58)</f>
        <v>ZIM503122464-5</v>
      </c>
      <c r="C58" s="18" t="str">
        <f>IF($A58="","",IFERROR(INDEX(Items!$B$5:$B$597,MATCH($A58,Items!$A$5:$A$597,0)),""))</f>
        <v>Gloves</v>
      </c>
      <c r="D58" s="23">
        <f>IF($A58="","",N(Receipts!$G58))</f>
        <v>0</v>
      </c>
      <c r="E58" s="20">
        <f>IF($A58="","",IFERROR(INDEX(Items!$D$5:$D$597,MATCH($A58,Items!$A$5:$A$597,0)),0))</f>
        <v>5.5E-2</v>
      </c>
      <c r="F58" s="21">
        <f t="shared" si="0"/>
        <v>0</v>
      </c>
      <c r="G58" s="25">
        <f>IF(Receipts!$I58="","",Receipts!$I58)</f>
        <v>46113</v>
      </c>
      <c r="H58" s="25">
        <f>IF(Receipts!$H58="","",Receipts!$H58)</f>
        <v>46252</v>
      </c>
      <c r="I58" s="26">
        <f t="shared" ca="1" si="1"/>
        <v>14</v>
      </c>
      <c r="J58" s="26">
        <f>IF($A58="","",COUNTIFS(tblReceipts[Item Name],$A58,tblReceipts[Expiry Date],"&lt;"&amp;$H58)+COUNTIFS(tblReceipts[Item Name],$A58,tblReceipts[Expiry Date],$H58,tblReceipts[Lot Number],"&lt;="&amp;Receipts!$C58))</f>
        <v>14</v>
      </c>
      <c r="K58" s="26">
        <f>IF($A58="","",SUMIFS(tblReceipts[Qty Received],tblReceipts[Item Name],$A58,tblReceipts[Expiry Date],"&lt;"&amp;$H58)+SUMIFS(tblReceipts[Qty Received],tblReceipts[Item Name],$A58,tblReceipts[Expiry Date],$H58,tblReceipts[Lot Number],"&lt;"&amp;Receipts!$C58))</f>
        <v>10000</v>
      </c>
      <c r="L58" s="26">
        <f>IF($A58="","",MIN($D58,MAX(0,SUMIFS(tblIssues[Qty Issued],tblIssues[Item Name],$A58)-$K58)))</f>
        <v>0</v>
      </c>
      <c r="M58" s="26">
        <f>IF($A58="","",SUMIFS(tblIssues[Qty Issued],tblIssues[Lot Number],$B58))</f>
        <v>0</v>
      </c>
      <c r="N58" s="26">
        <f t="shared" si="2"/>
        <v>0</v>
      </c>
      <c r="O58" s="26">
        <f t="shared" si="3"/>
        <v>0</v>
      </c>
      <c r="P58" s="21">
        <f t="shared" si="4"/>
        <v>0</v>
      </c>
      <c r="Q58" s="52" t="str">
        <f>IF($A58="","",IF($O58&lt;=0,"Depleted",IF($I58&lt;0,"EXPIRED",IF($I58&lt;=Settings!$C$6,"CRITICAL",IF($I58&lt;=Settings!$C$5,"Expiring","In date")))))</f>
        <v>Depleted</v>
      </c>
    </row>
    <row r="59" spans="1:17" x14ac:dyDescent="0.35">
      <c r="A59" s="90" t="str">
        <f>IF(Receipts!$D59="","",Receipts!$D59)</f>
        <v>Gloves - Medium</v>
      </c>
      <c r="B59" s="18" t="str">
        <f>IF(Receipts!$C59="","",Receipts!$C59)</f>
        <v>ZIM503122464-6</v>
      </c>
      <c r="C59" s="18" t="str">
        <f>IF($A59="","",IFERROR(INDEX(Items!$B$5:$B$597,MATCH($A59,Items!$A$5:$A$597,0)),""))</f>
        <v>Gloves</v>
      </c>
      <c r="D59" s="23">
        <f>IF($A59="","",N(Receipts!$G59))</f>
        <v>0</v>
      </c>
      <c r="E59" s="20">
        <f>IF($A59="","",IFERROR(INDEX(Items!$D$5:$D$597,MATCH($A59,Items!$A$5:$A$597,0)),0))</f>
        <v>5.5E-2</v>
      </c>
      <c r="F59" s="21">
        <f t="shared" si="0"/>
        <v>0</v>
      </c>
      <c r="G59" s="25">
        <f>IF(Receipts!$I59="","",Receipts!$I59)</f>
        <v>46113</v>
      </c>
      <c r="H59" s="25">
        <f>IF(Receipts!$H59="","",Receipts!$H59)</f>
        <v>46283</v>
      </c>
      <c r="I59" s="26">
        <f t="shared" ca="1" si="1"/>
        <v>45</v>
      </c>
      <c r="J59" s="26">
        <f>IF($A59="","",COUNTIFS(tblReceipts[Item Name],$A59,tblReceipts[Expiry Date],"&lt;"&amp;$H59)+COUNTIFS(tblReceipts[Item Name],$A59,tblReceipts[Expiry Date],$H59,tblReceipts[Lot Number],"&lt;="&amp;Receipts!$C59))</f>
        <v>18</v>
      </c>
      <c r="K59" s="26">
        <f>IF($A59="","",SUMIFS(tblReceipts[Qty Received],tblReceipts[Item Name],$A59,tblReceipts[Expiry Date],"&lt;"&amp;$H59)+SUMIFS(tblReceipts[Qty Received],tblReceipts[Item Name],$A59,tblReceipts[Expiry Date],$H59,tblReceipts[Lot Number],"&lt;"&amp;Receipts!$C59))</f>
        <v>10000</v>
      </c>
      <c r="L59" s="26">
        <f>IF($A59="","",MIN($D59,MAX(0,SUMIFS(tblIssues[Qty Issued],tblIssues[Item Name],$A59)-$K59)))</f>
        <v>0</v>
      </c>
      <c r="M59" s="26">
        <f>IF($A59="","",SUMIFS(tblIssues[Qty Issued],tblIssues[Lot Number],$B59))</f>
        <v>0</v>
      </c>
      <c r="N59" s="26">
        <f t="shared" si="2"/>
        <v>0</v>
      </c>
      <c r="O59" s="26">
        <f t="shared" si="3"/>
        <v>0</v>
      </c>
      <c r="P59" s="21">
        <f t="shared" si="4"/>
        <v>0</v>
      </c>
      <c r="Q59" s="52" t="str">
        <f>IF($A59="","",IF($O59&lt;=0,"Depleted",IF($I59&lt;0,"EXPIRED",IF($I59&lt;=Settings!$C$6,"CRITICAL",IF($I59&lt;=Settings!$C$5,"Expiring","In date")))))</f>
        <v>Depleted</v>
      </c>
    </row>
    <row r="60" spans="1:17" x14ac:dyDescent="0.35">
      <c r="A60" s="90" t="str">
        <f>IF(Receipts!$D60="","",Receipts!$D60)</f>
        <v>Gloves - Medium</v>
      </c>
      <c r="B60" s="18" t="str">
        <f>IF(Receipts!$C60="","",Receipts!$C60)</f>
        <v>ZIM504126039-0</v>
      </c>
      <c r="C60" s="18" t="str">
        <f>IF($A60="","",IFERROR(INDEX(Items!$B$5:$B$597,MATCH($A60,Items!$A$5:$A$597,0)),""))</f>
        <v>Gloves</v>
      </c>
      <c r="D60" s="23">
        <f>IF($A60="","",N(Receipts!$G60))</f>
        <v>0</v>
      </c>
      <c r="E60" s="20">
        <f>IF($A60="","",IFERROR(INDEX(Items!$D$5:$D$597,MATCH($A60,Items!$A$5:$A$597,0)),0))</f>
        <v>5.5E-2</v>
      </c>
      <c r="F60" s="21">
        <f t="shared" si="0"/>
        <v>0</v>
      </c>
      <c r="G60" s="25">
        <f>IF(Receipts!$I60="","",Receipts!$I60)</f>
        <v>46113</v>
      </c>
      <c r="H60" s="25">
        <f>IF(Receipts!$H60="","",Receipts!$H60)</f>
        <v>46261</v>
      </c>
      <c r="I60" s="26">
        <f t="shared" ca="1" si="1"/>
        <v>23</v>
      </c>
      <c r="J60" s="26">
        <f>IF($A60="","",COUNTIFS(tblReceipts[Item Name],$A60,tblReceipts[Expiry Date],"&lt;"&amp;$H60)+COUNTIFS(tblReceipts[Item Name],$A60,tblReceipts[Expiry Date],$H60,tblReceipts[Lot Number],"&lt;="&amp;Receipts!$C60))</f>
        <v>15</v>
      </c>
      <c r="K60" s="26">
        <f>IF($A60="","",SUMIFS(tblReceipts[Qty Received],tblReceipts[Item Name],$A60,tblReceipts[Expiry Date],"&lt;"&amp;$H60)+SUMIFS(tblReceipts[Qty Received],tblReceipts[Item Name],$A60,tblReceipts[Expiry Date],$H60,tblReceipts[Lot Number],"&lt;"&amp;Receipts!$C60))</f>
        <v>10000</v>
      </c>
      <c r="L60" s="26">
        <f>IF($A60="","",MIN($D60,MAX(0,SUMIFS(tblIssues[Qty Issued],tblIssues[Item Name],$A60)-$K60)))</f>
        <v>0</v>
      </c>
      <c r="M60" s="26">
        <f>IF($A60="","",SUMIFS(tblIssues[Qty Issued],tblIssues[Lot Number],$B60))</f>
        <v>0</v>
      </c>
      <c r="N60" s="26">
        <f t="shared" si="2"/>
        <v>0</v>
      </c>
      <c r="O60" s="26">
        <f t="shared" si="3"/>
        <v>0</v>
      </c>
      <c r="P60" s="21">
        <f t="shared" si="4"/>
        <v>0</v>
      </c>
      <c r="Q60" s="52" t="str">
        <f>IF($A60="","",IF($O60&lt;=0,"Depleted",IF($I60&lt;0,"EXPIRED",IF($I60&lt;=Settings!$C$6,"CRITICAL",IF($I60&lt;=Settings!$C$5,"Expiring","In date")))))</f>
        <v>Depleted</v>
      </c>
    </row>
    <row r="61" spans="1:17" x14ac:dyDescent="0.35">
      <c r="A61" s="90" t="str">
        <f>IF(Receipts!$D61="","",Receipts!$D61)</f>
        <v>Gloves - Medium</v>
      </c>
      <c r="B61" s="18" t="str">
        <f>IF(Receipts!$C61="","",Receipts!$C61)</f>
        <v>ZIM504126040</v>
      </c>
      <c r="C61" s="18" t="str">
        <f>IF($A61="","",IFERROR(INDEX(Items!$B$5:$B$597,MATCH($A61,Items!$A$5:$A$597,0)),""))</f>
        <v>Gloves</v>
      </c>
      <c r="D61" s="23">
        <f>IF($A61="","",N(Receipts!$G61))</f>
        <v>0</v>
      </c>
      <c r="E61" s="20">
        <f>IF($A61="","",IFERROR(INDEX(Items!$D$5:$D$597,MATCH($A61,Items!$A$5:$A$597,0)),0))</f>
        <v>5.5E-2</v>
      </c>
      <c r="F61" s="21">
        <f t="shared" si="0"/>
        <v>0</v>
      </c>
      <c r="G61" s="25">
        <f>IF(Receipts!$I61="","",Receipts!$I61)</f>
        <v>46113</v>
      </c>
      <c r="H61" s="25">
        <f>IF(Receipts!$H61="","",Receipts!$H61)</f>
        <v>46270</v>
      </c>
      <c r="I61" s="26">
        <f t="shared" ca="1" si="1"/>
        <v>32</v>
      </c>
      <c r="J61" s="26">
        <f>IF($A61="","",COUNTIFS(tblReceipts[Item Name],$A61,tblReceipts[Expiry Date],"&lt;"&amp;$H61)+COUNTIFS(tblReceipts[Item Name],$A61,tblReceipts[Expiry Date],$H61,tblReceipts[Lot Number],"&lt;="&amp;Receipts!$C61))</f>
        <v>16</v>
      </c>
      <c r="K61" s="26">
        <f>IF($A61="","",SUMIFS(tblReceipts[Qty Received],tblReceipts[Item Name],$A61,tblReceipts[Expiry Date],"&lt;"&amp;$H61)+SUMIFS(tblReceipts[Qty Received],tblReceipts[Item Name],$A61,tblReceipts[Expiry Date],$H61,tblReceipts[Lot Number],"&lt;"&amp;Receipts!$C61))</f>
        <v>10000</v>
      </c>
      <c r="L61" s="26">
        <f>IF($A61="","",MIN($D61,MAX(0,SUMIFS(tblIssues[Qty Issued],tblIssues[Item Name],$A61)-$K61)))</f>
        <v>0</v>
      </c>
      <c r="M61" s="26">
        <f>IF($A61="","",SUMIFS(tblIssues[Qty Issued],tblIssues[Lot Number],$B61))</f>
        <v>0</v>
      </c>
      <c r="N61" s="26">
        <f t="shared" si="2"/>
        <v>0</v>
      </c>
      <c r="O61" s="26">
        <f t="shared" si="3"/>
        <v>0</v>
      </c>
      <c r="P61" s="21">
        <f t="shared" si="4"/>
        <v>0</v>
      </c>
      <c r="Q61" s="52" t="str">
        <f>IF($A61="","",IF($O61&lt;=0,"Depleted",IF($I61&lt;0,"EXPIRED",IF($I61&lt;=Settings!$C$6,"CRITICAL",IF($I61&lt;=Settings!$C$5,"Expiring","In date")))))</f>
        <v>Depleted</v>
      </c>
    </row>
    <row r="62" spans="1:17" x14ac:dyDescent="0.35">
      <c r="A62" s="90" t="str">
        <f>IF(Receipts!$D62="","",Receipts!$D62)</f>
        <v>Gloves - Medium</v>
      </c>
      <c r="B62" s="18" t="str">
        <f>IF(Receipts!$C62="","",Receipts!$C62)</f>
        <v>ZIM504126040-0</v>
      </c>
      <c r="C62" s="18" t="str">
        <f>IF($A62="","",IFERROR(INDEX(Items!$B$5:$B$597,MATCH($A62,Items!$A$5:$A$597,0)),""))</f>
        <v>Gloves</v>
      </c>
      <c r="D62" s="23">
        <f>IF($A62="","",N(Receipts!$G62))</f>
        <v>0</v>
      </c>
      <c r="E62" s="20">
        <f>IF($A62="","",IFERROR(INDEX(Items!$D$5:$D$597,MATCH($A62,Items!$A$5:$A$597,0)),0))</f>
        <v>5.5E-2</v>
      </c>
      <c r="F62" s="21">
        <f t="shared" si="0"/>
        <v>0</v>
      </c>
      <c r="G62" s="25">
        <f>IF(Receipts!$I62="","",Receipts!$I62)</f>
        <v>46113</v>
      </c>
      <c r="H62" s="25">
        <f>IF(Receipts!$H62="","",Receipts!$H62)</f>
        <v>46275</v>
      </c>
      <c r="I62" s="26">
        <f t="shared" ca="1" si="1"/>
        <v>37</v>
      </c>
      <c r="J62" s="26">
        <f>IF($A62="","",COUNTIFS(tblReceipts[Item Name],$A62,tblReceipts[Expiry Date],"&lt;"&amp;$H62)+COUNTIFS(tblReceipts[Item Name],$A62,tblReceipts[Expiry Date],$H62,tblReceipts[Lot Number],"&lt;="&amp;Receipts!$C62))</f>
        <v>17</v>
      </c>
      <c r="K62" s="26">
        <f>IF($A62="","",SUMIFS(tblReceipts[Qty Received],tblReceipts[Item Name],$A62,tblReceipts[Expiry Date],"&lt;"&amp;$H62)+SUMIFS(tblReceipts[Qty Received],tblReceipts[Item Name],$A62,tblReceipts[Expiry Date],$H62,tblReceipts[Lot Number],"&lt;"&amp;Receipts!$C62))</f>
        <v>10000</v>
      </c>
      <c r="L62" s="26">
        <f>IF($A62="","",MIN($D62,MAX(0,SUMIFS(tblIssues[Qty Issued],tblIssues[Item Name],$A62)-$K62)))</f>
        <v>0</v>
      </c>
      <c r="M62" s="26">
        <f>IF($A62="","",SUMIFS(tblIssues[Qty Issued],tblIssues[Lot Number],$B62))</f>
        <v>0</v>
      </c>
      <c r="N62" s="26">
        <f t="shared" si="2"/>
        <v>0</v>
      </c>
      <c r="O62" s="26">
        <f t="shared" si="3"/>
        <v>0</v>
      </c>
      <c r="P62" s="21">
        <f t="shared" si="4"/>
        <v>0</v>
      </c>
      <c r="Q62" s="52" t="str">
        <f>IF($A62="","",IF($O62&lt;=0,"Depleted",IF($I62&lt;0,"EXPIRED",IF($I62&lt;=Settings!$C$6,"CRITICAL",IF($I62&lt;=Settings!$C$5,"Expiring","In date")))))</f>
        <v>Depleted</v>
      </c>
    </row>
    <row r="63" spans="1:17" x14ac:dyDescent="0.35">
      <c r="A63" s="90" t="str">
        <f>IF(Receipts!$D63="","",Receipts!$D63)</f>
        <v>Gloves - Medium</v>
      </c>
      <c r="B63" s="18" t="str">
        <f>IF(Receipts!$C63="","",Receipts!$C63)</f>
        <v>ZIM504126040-1</v>
      </c>
      <c r="C63" s="18" t="str">
        <f>IF($A63="","",IFERROR(INDEX(Items!$B$5:$B$597,MATCH($A63,Items!$A$5:$A$597,0)),""))</f>
        <v>Gloves</v>
      </c>
      <c r="D63" s="23">
        <f>IF($A63="","",N(Receipts!$G63))</f>
        <v>0</v>
      </c>
      <c r="E63" s="20">
        <f>IF($A63="","",IFERROR(INDEX(Items!$D$5:$D$597,MATCH($A63,Items!$A$5:$A$597,0)),0))</f>
        <v>5.5E-2</v>
      </c>
      <c r="F63" s="21">
        <f t="shared" si="0"/>
        <v>0</v>
      </c>
      <c r="G63" s="25">
        <f>IF(Receipts!$I63="","",Receipts!$I63)</f>
        <v>46113</v>
      </c>
      <c r="H63" s="25">
        <f>IF(Receipts!$H63="","",Receipts!$H63)</f>
        <v>46289</v>
      </c>
      <c r="I63" s="26">
        <f t="shared" ca="1" si="1"/>
        <v>51</v>
      </c>
      <c r="J63" s="26">
        <f>IF($A63="","",COUNTIFS(tblReceipts[Item Name],$A63,tblReceipts[Expiry Date],"&lt;"&amp;$H63)+COUNTIFS(tblReceipts[Item Name],$A63,tblReceipts[Expiry Date],$H63,tblReceipts[Lot Number],"&lt;="&amp;Receipts!$C63))</f>
        <v>20</v>
      </c>
      <c r="K63" s="26">
        <f>IF($A63="","",SUMIFS(tblReceipts[Qty Received],tblReceipts[Item Name],$A63,tblReceipts[Expiry Date],"&lt;"&amp;$H63)+SUMIFS(tblReceipts[Qty Received],tblReceipts[Item Name],$A63,tblReceipts[Expiry Date],$H63,tblReceipts[Lot Number],"&lt;"&amp;Receipts!$C63))</f>
        <v>15000</v>
      </c>
      <c r="L63" s="26">
        <f>IF($A63="","",MIN($D63,MAX(0,SUMIFS(tblIssues[Qty Issued],tblIssues[Item Name],$A63)-$K63)))</f>
        <v>0</v>
      </c>
      <c r="M63" s="26">
        <f>IF($A63="","",SUMIFS(tblIssues[Qty Issued],tblIssues[Lot Number],$B63))</f>
        <v>0</v>
      </c>
      <c r="N63" s="26">
        <f t="shared" si="2"/>
        <v>0</v>
      </c>
      <c r="O63" s="26">
        <f t="shared" si="3"/>
        <v>0</v>
      </c>
      <c r="P63" s="21">
        <f t="shared" si="4"/>
        <v>0</v>
      </c>
      <c r="Q63" s="52" t="str">
        <f>IF($A63="","",IF($O63&lt;=0,"Depleted",IF($I63&lt;0,"EXPIRED",IF($I63&lt;=Settings!$C$6,"CRITICAL",IF($I63&lt;=Settings!$C$5,"Expiring","In date")))))</f>
        <v>Depleted</v>
      </c>
    </row>
    <row r="64" spans="1:17" x14ac:dyDescent="0.35">
      <c r="A64" s="90" t="str">
        <f>IF(Receipts!$D64="","",Receipts!$D64)</f>
        <v>Gloves - Small</v>
      </c>
      <c r="B64" s="18" t="str">
        <f>IF(Receipts!$C64="","",Receipts!$C64)</f>
        <v>O210LIC25</v>
      </c>
      <c r="C64" s="18" t="str">
        <f>IF($A64="","",IFERROR(INDEX(Items!$B$5:$B$597,MATCH($A64,Items!$A$5:$A$597,0)),""))</f>
        <v>Gloves</v>
      </c>
      <c r="D64" s="23">
        <f>IF($A64="","",N(Receipts!$G64))</f>
        <v>7500</v>
      </c>
      <c r="E64" s="20">
        <f>IF($A64="","",IFERROR(INDEX(Items!$D$5:$D$597,MATCH($A64,Items!$A$5:$A$597,0)),0))</f>
        <v>5.5E-2</v>
      </c>
      <c r="F64" s="21">
        <f t="shared" si="0"/>
        <v>412.5</v>
      </c>
      <c r="G64" s="25">
        <f>IF(Receipts!$I64="","",Receipts!$I64)</f>
        <v>46113</v>
      </c>
      <c r="H64" s="25">
        <f>IF(Receipts!$H64="","",Receipts!$H64)</f>
        <v>46292</v>
      </c>
      <c r="I64" s="26">
        <f t="shared" ca="1" si="1"/>
        <v>54</v>
      </c>
      <c r="J64" s="26">
        <f>IF($A64="","",COUNTIFS(tblReceipts[Item Name],$A64,tblReceipts[Expiry Date],"&lt;"&amp;$H64)+COUNTIFS(tblReceipts[Item Name],$A64,tblReceipts[Expiry Date],$H64,tblReceipts[Lot Number],"&lt;="&amp;Receipts!$C64))</f>
        <v>18</v>
      </c>
      <c r="K64" s="26">
        <f>IF($A64="","",SUMIFS(tblReceipts[Qty Received],tblReceipts[Item Name],$A64,tblReceipts[Expiry Date],"&lt;"&amp;$H64)+SUMIFS(tblReceipts[Qty Received],tblReceipts[Item Name],$A64,tblReceipts[Expiry Date],$H64,tblReceipts[Lot Number],"&lt;"&amp;Receipts!$C64))</f>
        <v>14750</v>
      </c>
      <c r="L64" s="26">
        <f>IF($A64="","",MIN($D64,MAX(0,SUMIFS(tblIssues[Qty Issued],tblIssues[Item Name],$A64)-$K64)))</f>
        <v>7500</v>
      </c>
      <c r="M64" s="26">
        <f>IF($A64="","",SUMIFS(tblIssues[Qty Issued],tblIssues[Lot Number],$B64))</f>
        <v>12000</v>
      </c>
      <c r="N64" s="26">
        <f t="shared" si="2"/>
        <v>4500</v>
      </c>
      <c r="O64" s="26">
        <f t="shared" si="3"/>
        <v>0</v>
      </c>
      <c r="P64" s="21">
        <f t="shared" si="4"/>
        <v>0</v>
      </c>
      <c r="Q64" s="52" t="str">
        <f>IF($A64="","",IF($O64&lt;=0,"Depleted",IF($I64&lt;0,"EXPIRED",IF($I64&lt;=Settings!$C$6,"CRITICAL",IF($I64&lt;=Settings!$C$5,"Expiring","In date")))))</f>
        <v>Depleted</v>
      </c>
    </row>
    <row r="65" spans="1:17" x14ac:dyDescent="0.35">
      <c r="A65" s="90" t="str">
        <f>IF(Receipts!$D65="","",Receipts!$D65)</f>
        <v>Gloves - Small</v>
      </c>
      <c r="B65" s="18" t="str">
        <f>IF(Receipts!$C65="","",Receipts!$C65)</f>
        <v>SG5003003</v>
      </c>
      <c r="C65" s="18" t="str">
        <f>IF($A65="","",IFERROR(INDEX(Items!$B$5:$B$597,MATCH($A65,Items!$A$5:$A$597,0)),""))</f>
        <v>Gloves</v>
      </c>
      <c r="D65" s="23">
        <f>IF($A65="","",N(Receipts!$G65))</f>
        <v>0</v>
      </c>
      <c r="E65" s="20">
        <f>IF($A65="","",IFERROR(INDEX(Items!$D$5:$D$597,MATCH($A65,Items!$A$5:$A$597,0)),0))</f>
        <v>5.5E-2</v>
      </c>
      <c r="F65" s="21">
        <f t="shared" si="0"/>
        <v>0</v>
      </c>
      <c r="G65" s="25">
        <f>IF(Receipts!$I65="","",Receipts!$I65)</f>
        <v>46113</v>
      </c>
      <c r="H65" s="25">
        <f>IF(Receipts!$H65="","",Receipts!$H65)</f>
        <v>46133</v>
      </c>
      <c r="I65" s="26">
        <f t="shared" ca="1" si="1"/>
        <v>-105</v>
      </c>
      <c r="J65" s="26">
        <f>IF($A65="","",COUNTIFS(tblReceipts[Item Name],$A65,tblReceipts[Expiry Date],"&lt;"&amp;$H65)+COUNTIFS(tblReceipts[Item Name],$A65,tblReceipts[Expiry Date],$H65,tblReceipts[Lot Number],"&lt;="&amp;Receipts!$C65))</f>
        <v>1</v>
      </c>
      <c r="K65" s="26">
        <f>IF($A65="","",SUMIFS(tblReceipts[Qty Received],tblReceipts[Item Name],$A65,tblReceipts[Expiry Date],"&lt;"&amp;$H65)+SUMIFS(tblReceipts[Qty Received],tblReceipts[Item Name],$A65,tblReceipts[Expiry Date],$H65,tblReceipts[Lot Number],"&lt;"&amp;Receipts!$C65))</f>
        <v>0</v>
      </c>
      <c r="L65" s="26">
        <f>IF($A65="","",MIN($D65,MAX(0,SUMIFS(tblIssues[Qty Issued],tblIssues[Item Name],$A65)-$K65)))</f>
        <v>0</v>
      </c>
      <c r="M65" s="26">
        <f>IF($A65="","",SUMIFS(tblIssues[Qty Issued],tblIssues[Lot Number],$B65))</f>
        <v>0</v>
      </c>
      <c r="N65" s="26">
        <f t="shared" si="2"/>
        <v>0</v>
      </c>
      <c r="O65" s="26">
        <f t="shared" si="3"/>
        <v>0</v>
      </c>
      <c r="P65" s="21">
        <f t="shared" si="4"/>
        <v>0</v>
      </c>
      <c r="Q65" s="52" t="str">
        <f>IF($A65="","",IF($O65&lt;=0,"Depleted",IF($I65&lt;0,"EXPIRED",IF($I65&lt;=Settings!$C$6,"CRITICAL",IF($I65&lt;=Settings!$C$5,"Expiring","In date")))))</f>
        <v>Depleted</v>
      </c>
    </row>
    <row r="66" spans="1:17" x14ac:dyDescent="0.35">
      <c r="A66" s="90" t="str">
        <f>IF(Receipts!$D66="","",Receipts!$D66)</f>
        <v>Gloves - Small</v>
      </c>
      <c r="B66" s="18" t="str">
        <f>IF(Receipts!$C66="","",Receipts!$C66)</f>
        <v>SG5003103</v>
      </c>
      <c r="C66" s="18" t="str">
        <f>IF($A66="","",IFERROR(INDEX(Items!$B$5:$B$597,MATCH($A66,Items!$A$5:$A$597,0)),""))</f>
        <v>Gloves</v>
      </c>
      <c r="D66" s="23">
        <f>IF($A66="","",N(Receipts!$G66))</f>
        <v>0</v>
      </c>
      <c r="E66" s="20">
        <f>IF($A66="","",IFERROR(INDEX(Items!$D$5:$D$597,MATCH($A66,Items!$A$5:$A$597,0)),0))</f>
        <v>5.5E-2</v>
      </c>
      <c r="F66" s="21">
        <f t="shared" si="0"/>
        <v>0</v>
      </c>
      <c r="G66" s="25">
        <f>IF(Receipts!$I66="","",Receipts!$I66)</f>
        <v>46113</v>
      </c>
      <c r="H66" s="25">
        <f>IF(Receipts!$H66="","",Receipts!$H66)</f>
        <v>46147</v>
      </c>
      <c r="I66" s="26">
        <f t="shared" ca="1" si="1"/>
        <v>-91</v>
      </c>
      <c r="J66" s="26">
        <f>IF($A66="","",COUNTIFS(tblReceipts[Item Name],$A66,tblReceipts[Expiry Date],"&lt;"&amp;$H66)+COUNTIFS(tblReceipts[Item Name],$A66,tblReceipts[Expiry Date],$H66,tblReceipts[Lot Number],"&lt;="&amp;Receipts!$C66))</f>
        <v>2</v>
      </c>
      <c r="K66" s="26">
        <f>IF($A66="","",SUMIFS(tblReceipts[Qty Received],tblReceipts[Item Name],$A66,tblReceipts[Expiry Date],"&lt;"&amp;$H66)+SUMIFS(tblReceipts[Qty Received],tblReceipts[Item Name],$A66,tblReceipts[Expiry Date],$H66,tblReceipts[Lot Number],"&lt;"&amp;Receipts!$C66))</f>
        <v>0</v>
      </c>
      <c r="L66" s="26">
        <f>IF($A66="","",MIN($D66,MAX(0,SUMIFS(tblIssues[Qty Issued],tblIssues[Item Name],$A66)-$K66)))</f>
        <v>0</v>
      </c>
      <c r="M66" s="26">
        <f>IF($A66="","",SUMIFS(tblIssues[Qty Issued],tblIssues[Lot Number],$B66))</f>
        <v>0</v>
      </c>
      <c r="N66" s="26">
        <f t="shared" si="2"/>
        <v>0</v>
      </c>
      <c r="O66" s="26">
        <f t="shared" si="3"/>
        <v>0</v>
      </c>
      <c r="P66" s="21">
        <f t="shared" si="4"/>
        <v>0</v>
      </c>
      <c r="Q66" s="52" t="str">
        <f>IF($A66="","",IF($O66&lt;=0,"Depleted",IF($I66&lt;0,"EXPIRED",IF($I66&lt;=Settings!$C$6,"CRITICAL",IF($I66&lt;=Settings!$C$5,"Expiring","In date")))))</f>
        <v>Depleted</v>
      </c>
    </row>
    <row r="67" spans="1:17" x14ac:dyDescent="0.35">
      <c r="A67" s="90" t="str">
        <f>IF(Receipts!$D67="","",Receipts!$D67)</f>
        <v>Gloves - Small</v>
      </c>
      <c r="B67" s="18" t="str">
        <f>IF(Receipts!$C67="","",Receipts!$C67)</f>
        <v>SG5003203</v>
      </c>
      <c r="C67" s="18" t="str">
        <f>IF($A67="","",IFERROR(INDEX(Items!$B$5:$B$597,MATCH($A67,Items!$A$5:$A$597,0)),""))</f>
        <v>Gloves</v>
      </c>
      <c r="D67" s="23">
        <f>IF($A67="","",N(Receipts!$G67))</f>
        <v>0</v>
      </c>
      <c r="E67" s="20">
        <f>IF($A67="","",IFERROR(INDEX(Items!$D$5:$D$597,MATCH($A67,Items!$A$5:$A$597,0)),0))</f>
        <v>5.5E-2</v>
      </c>
      <c r="F67" s="21">
        <f t="shared" si="0"/>
        <v>0</v>
      </c>
      <c r="G67" s="25">
        <f>IF(Receipts!$I67="","",Receipts!$I67)</f>
        <v>46113</v>
      </c>
      <c r="H67" s="25">
        <f>IF(Receipts!$H67="","",Receipts!$H67)</f>
        <v>46159</v>
      </c>
      <c r="I67" s="26">
        <f t="shared" ca="1" si="1"/>
        <v>-79</v>
      </c>
      <c r="J67" s="26">
        <f>IF($A67="","",COUNTIFS(tblReceipts[Item Name],$A67,tblReceipts[Expiry Date],"&lt;"&amp;$H67)+COUNTIFS(tblReceipts[Item Name],$A67,tblReceipts[Expiry Date],$H67,tblReceipts[Lot Number],"&lt;="&amp;Receipts!$C67))</f>
        <v>3</v>
      </c>
      <c r="K67" s="26">
        <f>IF($A67="","",SUMIFS(tblReceipts[Qty Received],tblReceipts[Item Name],$A67,tblReceipts[Expiry Date],"&lt;"&amp;$H67)+SUMIFS(tblReceipts[Qty Received],tblReceipts[Item Name],$A67,tblReceipts[Expiry Date],$H67,tblReceipts[Lot Number],"&lt;"&amp;Receipts!$C67))</f>
        <v>0</v>
      </c>
      <c r="L67" s="26">
        <f>IF($A67="","",MIN($D67,MAX(0,SUMIFS(tblIssues[Qty Issued],tblIssues[Item Name],$A67)-$K67)))</f>
        <v>0</v>
      </c>
      <c r="M67" s="26">
        <f>IF($A67="","",SUMIFS(tblIssues[Qty Issued],tblIssues[Lot Number],$B67))</f>
        <v>0</v>
      </c>
      <c r="N67" s="26">
        <f t="shared" si="2"/>
        <v>0</v>
      </c>
      <c r="O67" s="26">
        <f t="shared" si="3"/>
        <v>0</v>
      </c>
      <c r="P67" s="21">
        <f t="shared" si="4"/>
        <v>0</v>
      </c>
      <c r="Q67" s="52" t="str">
        <f>IF($A67="","",IF($O67&lt;=0,"Depleted",IF($I67&lt;0,"EXPIRED",IF($I67&lt;=Settings!$C$6,"CRITICAL",IF($I67&lt;=Settings!$C$5,"Expiring","In date")))))</f>
        <v>Depleted</v>
      </c>
    </row>
    <row r="68" spans="1:17" x14ac:dyDescent="0.35">
      <c r="A68" s="90" t="str">
        <f>IF(Receipts!$D68="","",Receipts!$D68)</f>
        <v>Gloves - Small</v>
      </c>
      <c r="B68" s="18" t="str">
        <f>IF(Receipts!$C68="","",Receipts!$C68)</f>
        <v>SG5003204</v>
      </c>
      <c r="C68" s="18" t="str">
        <f>IF($A68="","",IFERROR(INDEX(Items!$B$5:$B$597,MATCH($A68,Items!$A$5:$A$597,0)),""))</f>
        <v>Gloves</v>
      </c>
      <c r="D68" s="23">
        <f>IF($A68="","",N(Receipts!$G68))</f>
        <v>0</v>
      </c>
      <c r="E68" s="20">
        <f>IF($A68="","",IFERROR(INDEX(Items!$D$5:$D$597,MATCH($A68,Items!$A$5:$A$597,0)),0))</f>
        <v>5.5E-2</v>
      </c>
      <c r="F68" s="21">
        <f t="shared" si="0"/>
        <v>0</v>
      </c>
      <c r="G68" s="25">
        <f>IF(Receipts!$I68="","",Receipts!$I68)</f>
        <v>46113</v>
      </c>
      <c r="H68" s="25">
        <f>IF(Receipts!$H68="","",Receipts!$H68)</f>
        <v>46188</v>
      </c>
      <c r="I68" s="26">
        <f t="shared" ca="1" si="1"/>
        <v>-50</v>
      </c>
      <c r="J68" s="26">
        <f>IF($A68="","",COUNTIFS(tblReceipts[Item Name],$A68,tblReceipts[Expiry Date],"&lt;"&amp;$H68)+COUNTIFS(tblReceipts[Item Name],$A68,tblReceipts[Expiry Date],$H68,tblReceipts[Lot Number],"&lt;="&amp;Receipts!$C68))</f>
        <v>6</v>
      </c>
      <c r="K68" s="26">
        <f>IF($A68="","",SUMIFS(tblReceipts[Qty Received],tblReceipts[Item Name],$A68,tblReceipts[Expiry Date],"&lt;"&amp;$H68)+SUMIFS(tblReceipts[Qty Received],tblReceipts[Item Name],$A68,tblReceipts[Expiry Date],$H68,tblReceipts[Lot Number],"&lt;"&amp;Receipts!$C68))</f>
        <v>0</v>
      </c>
      <c r="L68" s="26">
        <f>IF($A68="","",MIN($D68,MAX(0,SUMIFS(tblIssues[Qty Issued],tblIssues[Item Name],$A68)-$K68)))</f>
        <v>0</v>
      </c>
      <c r="M68" s="26">
        <f>IF($A68="","",SUMIFS(tblIssues[Qty Issued],tblIssues[Lot Number],$B68))</f>
        <v>0</v>
      </c>
      <c r="N68" s="26">
        <f t="shared" si="2"/>
        <v>0</v>
      </c>
      <c r="O68" s="26">
        <f t="shared" si="3"/>
        <v>0</v>
      </c>
      <c r="P68" s="21">
        <f t="shared" si="4"/>
        <v>0</v>
      </c>
      <c r="Q68" s="52" t="str">
        <f>IF($A68="","",IF($O68&lt;=0,"Depleted",IF($I68&lt;0,"EXPIRED",IF($I68&lt;=Settings!$C$6,"CRITICAL",IF($I68&lt;=Settings!$C$5,"Expiring","In date")))))</f>
        <v>Depleted</v>
      </c>
    </row>
    <row r="69" spans="1:17" x14ac:dyDescent="0.35">
      <c r="A69" s="90" t="str">
        <f>IF(Receipts!$D69="","",Receipts!$D69)</f>
        <v>Gloves - Small</v>
      </c>
      <c r="B69" s="18" t="str">
        <f>IF(Receipts!$C69="","",Receipts!$C69)</f>
        <v>SG5003303</v>
      </c>
      <c r="C69" s="18" t="str">
        <f>IF($A69="","",IFERROR(INDEX(Items!$B$5:$B$597,MATCH($A69,Items!$A$5:$A$597,0)),""))</f>
        <v>Gloves</v>
      </c>
      <c r="D69" s="23">
        <f>IF($A69="","",N(Receipts!$G69))</f>
        <v>0</v>
      </c>
      <c r="E69" s="20">
        <f>IF($A69="","",IFERROR(INDEX(Items!$D$5:$D$597,MATCH($A69,Items!$A$5:$A$597,0)),0))</f>
        <v>5.5E-2</v>
      </c>
      <c r="F69" s="21">
        <f t="shared" ref="F69:F132" si="5">IF($A69="","",$D69*$E69)</f>
        <v>0</v>
      </c>
      <c r="G69" s="25">
        <f>IF(Receipts!$I69="","",Receipts!$I69)</f>
        <v>46113</v>
      </c>
      <c r="H69" s="25">
        <f>IF(Receipts!$H69="","",Receipts!$H69)</f>
        <v>46162</v>
      </c>
      <c r="I69" s="26">
        <f t="shared" ref="I69:I132" ca="1" si="6">IF($H69="","",$H69-TODAY())</f>
        <v>-76</v>
      </c>
      <c r="J69" s="26">
        <f>IF($A69="","",COUNTIFS(tblReceipts[Item Name],$A69,tblReceipts[Expiry Date],"&lt;"&amp;$H69)+COUNTIFS(tblReceipts[Item Name],$A69,tblReceipts[Expiry Date],$H69,tblReceipts[Lot Number],"&lt;="&amp;Receipts!$C69))</f>
        <v>4</v>
      </c>
      <c r="K69" s="26">
        <f>IF($A69="","",SUMIFS(tblReceipts[Qty Received],tblReceipts[Item Name],$A69,tblReceipts[Expiry Date],"&lt;"&amp;$H69)+SUMIFS(tblReceipts[Qty Received],tblReceipts[Item Name],$A69,tblReceipts[Expiry Date],$H69,tblReceipts[Lot Number],"&lt;"&amp;Receipts!$C69))</f>
        <v>0</v>
      </c>
      <c r="L69" s="26">
        <f>IF($A69="","",MIN($D69,MAX(0,SUMIFS(tblIssues[Qty Issued],tblIssues[Item Name],$A69)-$K69)))</f>
        <v>0</v>
      </c>
      <c r="M69" s="26">
        <f>IF($A69="","",SUMIFS(tblIssues[Qty Issued],tblIssues[Lot Number],$B69))</f>
        <v>0</v>
      </c>
      <c r="N69" s="26">
        <f t="shared" ref="N69:N132" si="7">IF($A69="","",$M69-$L69)</f>
        <v>0</v>
      </c>
      <c r="O69" s="26">
        <f t="shared" ref="O69:O132" si="8">IF($A69="","",$D69-$L69)</f>
        <v>0</v>
      </c>
      <c r="P69" s="21">
        <f t="shared" ref="P69:P132" si="9">IF($A69="","",$O69*$E69)</f>
        <v>0</v>
      </c>
      <c r="Q69" s="52" t="str">
        <f>IF($A69="","",IF($O69&lt;=0,"Depleted",IF($I69&lt;0,"EXPIRED",IF($I69&lt;=Settings!$C$6,"CRITICAL",IF($I69&lt;=Settings!$C$5,"Expiring","In date")))))</f>
        <v>Depleted</v>
      </c>
    </row>
    <row r="70" spans="1:17" x14ac:dyDescent="0.35">
      <c r="A70" s="90" t="str">
        <f>IF(Receipts!$D70="","",Receipts!$D70)</f>
        <v>Gloves - Small</v>
      </c>
      <c r="B70" s="18" t="str">
        <f>IF(Receipts!$C70="","",Receipts!$C70)</f>
        <v>ZIM502120293</v>
      </c>
      <c r="C70" s="18" t="str">
        <f>IF($A70="","",IFERROR(INDEX(Items!$B$5:$B$597,MATCH($A70,Items!$A$5:$A$597,0)),""))</f>
        <v>Gloves</v>
      </c>
      <c r="D70" s="23">
        <f>IF($A70="","",N(Receipts!$G70))</f>
        <v>0</v>
      </c>
      <c r="E70" s="20">
        <f>IF($A70="","",IFERROR(INDEX(Items!$D$5:$D$597,MATCH($A70,Items!$A$5:$A$597,0)),0))</f>
        <v>5.5E-2</v>
      </c>
      <c r="F70" s="21">
        <f t="shared" si="5"/>
        <v>0</v>
      </c>
      <c r="G70" s="25">
        <f>IF(Receipts!$I70="","",Receipts!$I70)</f>
        <v>46113</v>
      </c>
      <c r="H70" s="25">
        <f>IF(Receipts!$H70="","",Receipts!$H70)</f>
        <v>46179</v>
      </c>
      <c r="I70" s="26">
        <f t="shared" ca="1" si="6"/>
        <v>-59</v>
      </c>
      <c r="J70" s="26">
        <f>IF($A70="","",COUNTIFS(tblReceipts[Item Name],$A70,tblReceipts[Expiry Date],"&lt;"&amp;$H70)+COUNTIFS(tblReceipts[Item Name],$A70,tblReceipts[Expiry Date],$H70,tblReceipts[Lot Number],"&lt;="&amp;Receipts!$C70))</f>
        <v>5</v>
      </c>
      <c r="K70" s="26">
        <f>IF($A70="","",SUMIFS(tblReceipts[Qty Received],tblReceipts[Item Name],$A70,tblReceipts[Expiry Date],"&lt;"&amp;$H70)+SUMIFS(tblReceipts[Qty Received],tblReceipts[Item Name],$A70,tblReceipts[Expiry Date],$H70,tblReceipts[Lot Number],"&lt;"&amp;Receipts!$C70))</f>
        <v>0</v>
      </c>
      <c r="L70" s="26">
        <f>IF($A70="","",MIN($D70,MAX(0,SUMIFS(tblIssues[Qty Issued],tblIssues[Item Name],$A70)-$K70)))</f>
        <v>0</v>
      </c>
      <c r="M70" s="26">
        <f>IF($A70="","",SUMIFS(tblIssues[Qty Issued],tblIssues[Lot Number],$B70))</f>
        <v>0</v>
      </c>
      <c r="N70" s="26">
        <f t="shared" si="7"/>
        <v>0</v>
      </c>
      <c r="O70" s="26">
        <f t="shared" si="8"/>
        <v>0</v>
      </c>
      <c r="P70" s="21">
        <f t="shared" si="9"/>
        <v>0</v>
      </c>
      <c r="Q70" s="52" t="str">
        <f>IF($A70="","",IF($O70&lt;=0,"Depleted",IF($I70&lt;0,"EXPIRED",IF($I70&lt;=Settings!$C$6,"CRITICAL",IF($I70&lt;=Settings!$C$5,"Expiring","In date")))))</f>
        <v>Depleted</v>
      </c>
    </row>
    <row r="71" spans="1:17" x14ac:dyDescent="0.35">
      <c r="A71" s="90" t="str">
        <f>IF(Receipts!$D71="","",Receipts!$D71)</f>
        <v>Gloves - Small</v>
      </c>
      <c r="B71" s="18" t="str">
        <f>IF(Receipts!$C71="","",Receipts!$C71)</f>
        <v>ZIM503122461</v>
      </c>
      <c r="C71" s="18" t="str">
        <f>IF($A71="","",IFERROR(INDEX(Items!$B$5:$B$597,MATCH($A71,Items!$A$5:$A$597,0)),""))</f>
        <v>Gloves</v>
      </c>
      <c r="D71" s="23">
        <f>IF($A71="","",N(Receipts!$G71))</f>
        <v>2000</v>
      </c>
      <c r="E71" s="20">
        <f>IF($A71="","",IFERROR(INDEX(Items!$D$5:$D$597,MATCH($A71,Items!$A$5:$A$597,0)),0))</f>
        <v>5.5E-2</v>
      </c>
      <c r="F71" s="21">
        <f t="shared" si="5"/>
        <v>110</v>
      </c>
      <c r="G71" s="25">
        <f>IF(Receipts!$I71="","",Receipts!$I71)</f>
        <v>46113</v>
      </c>
      <c r="H71" s="25">
        <f>IF(Receipts!$H71="","",Receipts!$H71)</f>
        <v>46285</v>
      </c>
      <c r="I71" s="26">
        <f t="shared" ca="1" si="6"/>
        <v>47</v>
      </c>
      <c r="J71" s="26">
        <f>IF($A71="","",COUNTIFS(tblReceipts[Item Name],$A71,tblReceipts[Expiry Date],"&lt;"&amp;$H71)+COUNTIFS(tblReceipts[Item Name],$A71,tblReceipts[Expiry Date],$H71,tblReceipts[Lot Number],"&lt;="&amp;Receipts!$C71))</f>
        <v>16</v>
      </c>
      <c r="K71" s="26">
        <f>IF($A71="","",SUMIFS(tblReceipts[Qty Received],tblReceipts[Item Name],$A71,tblReceipts[Expiry Date],"&lt;"&amp;$H71)+SUMIFS(tblReceipts[Qty Received],tblReceipts[Item Name],$A71,tblReceipts[Expiry Date],$H71,tblReceipts[Lot Number],"&lt;"&amp;Receipts!$C71))</f>
        <v>7750</v>
      </c>
      <c r="L71" s="26">
        <f>IF($A71="","",MIN($D71,MAX(0,SUMIFS(tblIssues[Qty Issued],tblIssues[Item Name],$A71)-$K71)))</f>
        <v>2000</v>
      </c>
      <c r="M71" s="26">
        <f>IF($A71="","",SUMIFS(tblIssues[Qty Issued],tblIssues[Lot Number],$B71))</f>
        <v>2000</v>
      </c>
      <c r="N71" s="26">
        <f t="shared" si="7"/>
        <v>0</v>
      </c>
      <c r="O71" s="26">
        <f t="shared" si="8"/>
        <v>0</v>
      </c>
      <c r="P71" s="21">
        <f t="shared" si="9"/>
        <v>0</v>
      </c>
      <c r="Q71" s="52" t="str">
        <f>IF($A71="","",IF($O71&lt;=0,"Depleted",IF($I71&lt;0,"EXPIRED",IF($I71&lt;=Settings!$C$6,"CRITICAL",IF($I71&lt;=Settings!$C$5,"Expiring","In date")))))</f>
        <v>Depleted</v>
      </c>
    </row>
    <row r="72" spans="1:17" x14ac:dyDescent="0.35">
      <c r="A72" s="90" t="str">
        <f>IF(Receipts!$D72="","",Receipts!$D72)</f>
        <v>Gloves - Small</v>
      </c>
      <c r="B72" s="18" t="str">
        <f>IF(Receipts!$C72="","",Receipts!$C72)</f>
        <v>ZIM504124207-0</v>
      </c>
      <c r="C72" s="18" t="str">
        <f>IF($A72="","",IFERROR(INDEX(Items!$B$5:$B$597,MATCH($A72,Items!$A$5:$A$597,0)),""))</f>
        <v>Gloves</v>
      </c>
      <c r="D72" s="23">
        <f>IF($A72="","",N(Receipts!$G72))</f>
        <v>0</v>
      </c>
      <c r="E72" s="20">
        <f>IF($A72="","",IFERROR(INDEX(Items!$D$5:$D$597,MATCH($A72,Items!$A$5:$A$597,0)),0))</f>
        <v>5.5E-2</v>
      </c>
      <c r="F72" s="21">
        <f t="shared" si="5"/>
        <v>0</v>
      </c>
      <c r="G72" s="25">
        <f>IF(Receipts!$I72="","",Receipts!$I72)</f>
        <v>46113</v>
      </c>
      <c r="H72" s="25">
        <f>IF(Receipts!$H72="","",Receipts!$H72)</f>
        <v>46244</v>
      </c>
      <c r="I72" s="26">
        <f t="shared" ca="1" si="6"/>
        <v>6</v>
      </c>
      <c r="J72" s="26">
        <f>IF($A72="","",COUNTIFS(tblReceipts[Item Name],$A72,tblReceipts[Expiry Date],"&lt;"&amp;$H72)+COUNTIFS(tblReceipts[Item Name],$A72,tblReceipts[Expiry Date],$H72,tblReceipts[Lot Number],"&lt;="&amp;Receipts!$C72))</f>
        <v>10</v>
      </c>
      <c r="K72" s="26">
        <f>IF($A72="","",SUMIFS(tblReceipts[Qty Received],tblReceipts[Item Name],$A72,tblReceipts[Expiry Date],"&lt;"&amp;$H72)+SUMIFS(tblReceipts[Qty Received],tblReceipts[Item Name],$A72,tblReceipts[Expiry Date],$H72,tblReceipts[Lot Number],"&lt;"&amp;Receipts!$C72))</f>
        <v>0</v>
      </c>
      <c r="L72" s="26">
        <f>IF($A72="","",MIN($D72,MAX(0,SUMIFS(tblIssues[Qty Issued],tblIssues[Item Name],$A72)-$K72)))</f>
        <v>0</v>
      </c>
      <c r="M72" s="26">
        <f>IF($A72="","",SUMIFS(tblIssues[Qty Issued],tblIssues[Lot Number],$B72))</f>
        <v>0</v>
      </c>
      <c r="N72" s="26">
        <f t="shared" si="7"/>
        <v>0</v>
      </c>
      <c r="O72" s="26">
        <f t="shared" si="8"/>
        <v>0</v>
      </c>
      <c r="P72" s="21">
        <f t="shared" si="9"/>
        <v>0</v>
      </c>
      <c r="Q72" s="52" t="str">
        <f>IF($A72="","",IF($O72&lt;=0,"Depleted",IF($I72&lt;0,"EXPIRED",IF($I72&lt;=Settings!$C$6,"CRITICAL",IF($I72&lt;=Settings!$C$5,"Expiring","In date")))))</f>
        <v>Depleted</v>
      </c>
    </row>
    <row r="73" spans="1:17" x14ac:dyDescent="0.35">
      <c r="A73" s="90" t="str">
        <f>IF(Receipts!$D73="","",Receipts!$D73)</f>
        <v>Gloves - Small</v>
      </c>
      <c r="B73" s="18" t="str">
        <f>IF(Receipts!$C73="","",Receipts!$C73)</f>
        <v>ZIM504124207-1</v>
      </c>
      <c r="C73" s="18" t="str">
        <f>IF($A73="","",IFERROR(INDEX(Items!$B$5:$B$597,MATCH($A73,Items!$A$5:$A$597,0)),""))</f>
        <v>Gloves</v>
      </c>
      <c r="D73" s="23">
        <f>IF($A73="","",N(Receipts!$G73))</f>
        <v>0</v>
      </c>
      <c r="E73" s="20">
        <f>IF($A73="","",IFERROR(INDEX(Items!$D$5:$D$597,MATCH($A73,Items!$A$5:$A$597,0)),0))</f>
        <v>5.5E-2</v>
      </c>
      <c r="F73" s="21">
        <f t="shared" si="5"/>
        <v>0</v>
      </c>
      <c r="G73" s="25">
        <f>IF(Receipts!$I73="","",Receipts!$I73)</f>
        <v>46113</v>
      </c>
      <c r="H73" s="25">
        <f>IF(Receipts!$H73="","",Receipts!$H73)</f>
        <v>46252</v>
      </c>
      <c r="I73" s="26">
        <f t="shared" ca="1" si="6"/>
        <v>14</v>
      </c>
      <c r="J73" s="26">
        <f>IF($A73="","",COUNTIFS(tblReceipts[Item Name],$A73,tblReceipts[Expiry Date],"&lt;"&amp;$H73)+COUNTIFS(tblReceipts[Item Name],$A73,tblReceipts[Expiry Date],$H73,tblReceipts[Lot Number],"&lt;="&amp;Receipts!$C73))</f>
        <v>11</v>
      </c>
      <c r="K73" s="26">
        <f>IF($A73="","",SUMIFS(tblReceipts[Qty Received],tblReceipts[Item Name],$A73,tblReceipts[Expiry Date],"&lt;"&amp;$H73)+SUMIFS(tblReceipts[Qty Received],tblReceipts[Item Name],$A73,tblReceipts[Expiry Date],$H73,tblReceipts[Lot Number],"&lt;"&amp;Receipts!$C73))</f>
        <v>0</v>
      </c>
      <c r="L73" s="26">
        <f>IF($A73="","",MIN($D73,MAX(0,SUMIFS(tblIssues[Qty Issued],tblIssues[Item Name],$A73)-$K73)))</f>
        <v>0</v>
      </c>
      <c r="M73" s="26">
        <f>IF($A73="","",SUMIFS(tblIssues[Qty Issued],tblIssues[Lot Number],$B73))</f>
        <v>0</v>
      </c>
      <c r="N73" s="26">
        <f t="shared" si="7"/>
        <v>0</v>
      </c>
      <c r="O73" s="26">
        <f t="shared" si="8"/>
        <v>0</v>
      </c>
      <c r="P73" s="21">
        <f t="shared" si="9"/>
        <v>0</v>
      </c>
      <c r="Q73" s="52" t="str">
        <f>IF($A73="","",IF($O73&lt;=0,"Depleted",IF($I73&lt;0,"EXPIRED",IF($I73&lt;=Settings!$C$6,"CRITICAL",IF($I73&lt;=Settings!$C$5,"Expiring","In date")))))</f>
        <v>Depleted</v>
      </c>
    </row>
    <row r="74" spans="1:17" x14ac:dyDescent="0.35">
      <c r="A74" s="90" t="str">
        <f>IF(Receipts!$D74="","",Receipts!$D74)</f>
        <v>Gloves - Small</v>
      </c>
      <c r="B74" s="18" t="str">
        <f>IF(Receipts!$C74="","",Receipts!$C74)</f>
        <v>ZIM504124207-2</v>
      </c>
      <c r="C74" s="18" t="str">
        <f>IF($A74="","",IFERROR(INDEX(Items!$B$5:$B$597,MATCH($A74,Items!$A$5:$A$597,0)),""))</f>
        <v>Gloves</v>
      </c>
      <c r="D74" s="23">
        <f>IF($A74="","",N(Receipts!$G74))</f>
        <v>0</v>
      </c>
      <c r="E74" s="20">
        <f>IF($A74="","",IFERROR(INDEX(Items!$D$5:$D$597,MATCH($A74,Items!$A$5:$A$597,0)),0))</f>
        <v>5.5E-2</v>
      </c>
      <c r="F74" s="21">
        <f t="shared" si="5"/>
        <v>0</v>
      </c>
      <c r="G74" s="25">
        <f>IF(Receipts!$I74="","",Receipts!$I74)</f>
        <v>46113</v>
      </c>
      <c r="H74" s="25">
        <f>IF(Receipts!$H74="","",Receipts!$H74)</f>
        <v>46261</v>
      </c>
      <c r="I74" s="26">
        <f t="shared" ca="1" si="6"/>
        <v>23</v>
      </c>
      <c r="J74" s="26">
        <f>IF($A74="","",COUNTIFS(tblReceipts[Item Name],$A74,tblReceipts[Expiry Date],"&lt;"&amp;$H74)+COUNTIFS(tblReceipts[Item Name],$A74,tblReceipts[Expiry Date],$H74,tblReceipts[Lot Number],"&lt;="&amp;Receipts!$C74))</f>
        <v>12</v>
      </c>
      <c r="K74" s="26">
        <f>IF($A74="","",SUMIFS(tblReceipts[Qty Received],tblReceipts[Item Name],$A74,tblReceipts[Expiry Date],"&lt;"&amp;$H74)+SUMIFS(tblReceipts[Qty Received],tblReceipts[Item Name],$A74,tblReceipts[Expiry Date],$H74,tblReceipts[Lot Number],"&lt;"&amp;Receipts!$C74))</f>
        <v>0</v>
      </c>
      <c r="L74" s="26">
        <f>IF($A74="","",MIN($D74,MAX(0,SUMIFS(tblIssues[Qty Issued],tblIssues[Item Name],$A74)-$K74)))</f>
        <v>0</v>
      </c>
      <c r="M74" s="26">
        <f>IF($A74="","",SUMIFS(tblIssues[Qty Issued],tblIssues[Lot Number],$B74))</f>
        <v>0</v>
      </c>
      <c r="N74" s="26">
        <f t="shared" si="7"/>
        <v>0</v>
      </c>
      <c r="O74" s="26">
        <f t="shared" si="8"/>
        <v>0</v>
      </c>
      <c r="P74" s="21">
        <f t="shared" si="9"/>
        <v>0</v>
      </c>
      <c r="Q74" s="52" t="str">
        <f>IF($A74="","",IF($O74&lt;=0,"Depleted",IF($I74&lt;0,"EXPIRED",IF($I74&lt;=Settings!$C$6,"CRITICAL",IF($I74&lt;=Settings!$C$5,"Expiring","In date")))))</f>
        <v>Depleted</v>
      </c>
    </row>
    <row r="75" spans="1:17" x14ac:dyDescent="0.35">
      <c r="A75" s="90" t="str">
        <f>IF(Receipts!$D75="","",Receipts!$D75)</f>
        <v>Gloves - Small</v>
      </c>
      <c r="B75" s="18" t="str">
        <f>IF(Receipts!$C75="","",Receipts!$C75)</f>
        <v>ZIM504124207-3</v>
      </c>
      <c r="C75" s="18" t="str">
        <f>IF($A75="","",IFERROR(INDEX(Items!$B$5:$B$597,MATCH($A75,Items!$A$5:$A$597,0)),""))</f>
        <v>Gloves</v>
      </c>
      <c r="D75" s="23">
        <f>IF($A75="","",N(Receipts!$G75))</f>
        <v>0</v>
      </c>
      <c r="E75" s="20">
        <f>IF($A75="","",IFERROR(INDEX(Items!$D$5:$D$597,MATCH($A75,Items!$A$5:$A$597,0)),0))</f>
        <v>5.5E-2</v>
      </c>
      <c r="F75" s="21">
        <f t="shared" si="5"/>
        <v>0</v>
      </c>
      <c r="G75" s="25">
        <f>IF(Receipts!$I75="","",Receipts!$I75)</f>
        <v>46113</v>
      </c>
      <c r="H75" s="25">
        <f>IF(Receipts!$H75="","",Receipts!$H75)</f>
        <v>46270</v>
      </c>
      <c r="I75" s="26">
        <f t="shared" ca="1" si="6"/>
        <v>32</v>
      </c>
      <c r="J75" s="26">
        <f>IF($A75="","",COUNTIFS(tblReceipts[Item Name],$A75,tblReceipts[Expiry Date],"&lt;"&amp;$H75)+COUNTIFS(tblReceipts[Item Name],$A75,tblReceipts[Expiry Date],$H75,tblReceipts[Lot Number],"&lt;="&amp;Receipts!$C75))</f>
        <v>13</v>
      </c>
      <c r="K75" s="26">
        <f>IF($A75="","",SUMIFS(tblReceipts[Qty Received],tblReceipts[Item Name],$A75,tblReceipts[Expiry Date],"&lt;"&amp;$H75)+SUMIFS(tblReceipts[Qty Received],tblReceipts[Item Name],$A75,tblReceipts[Expiry Date],$H75,tblReceipts[Lot Number],"&lt;"&amp;Receipts!$C75))</f>
        <v>0</v>
      </c>
      <c r="L75" s="26">
        <f>IF($A75="","",MIN($D75,MAX(0,SUMIFS(tblIssues[Qty Issued],tblIssues[Item Name],$A75)-$K75)))</f>
        <v>0</v>
      </c>
      <c r="M75" s="26">
        <f>IF($A75="","",SUMIFS(tblIssues[Qty Issued],tblIssues[Lot Number],$B75))</f>
        <v>0</v>
      </c>
      <c r="N75" s="26">
        <f t="shared" si="7"/>
        <v>0</v>
      </c>
      <c r="O75" s="26">
        <f t="shared" si="8"/>
        <v>0</v>
      </c>
      <c r="P75" s="21">
        <f t="shared" si="9"/>
        <v>0</v>
      </c>
      <c r="Q75" s="52" t="str">
        <f>IF($A75="","",IF($O75&lt;=0,"Depleted",IF($I75&lt;0,"EXPIRED",IF($I75&lt;=Settings!$C$6,"CRITICAL",IF($I75&lt;=Settings!$C$5,"Expiring","In date")))))</f>
        <v>Depleted</v>
      </c>
    </row>
    <row r="76" spans="1:17" x14ac:dyDescent="0.35">
      <c r="A76" s="90" t="str">
        <f>IF(Receipts!$D76="","",Receipts!$D76)</f>
        <v>Gloves - Small</v>
      </c>
      <c r="B76" s="18" t="str">
        <f>IF(Receipts!$C76="","",Receipts!$C76)</f>
        <v>ZIM504124207-4</v>
      </c>
      <c r="C76" s="18" t="str">
        <f>IF($A76="","",IFERROR(INDEX(Items!$B$5:$B$597,MATCH($A76,Items!$A$5:$A$597,0)),""))</f>
        <v>Gloves</v>
      </c>
      <c r="D76" s="23">
        <f>IF($A76="","",N(Receipts!$G76))</f>
        <v>5000</v>
      </c>
      <c r="E76" s="20">
        <f>IF($A76="","",IFERROR(INDEX(Items!$D$5:$D$597,MATCH($A76,Items!$A$5:$A$597,0)),0))</f>
        <v>5.5E-2</v>
      </c>
      <c r="F76" s="21">
        <f t="shared" si="5"/>
        <v>275</v>
      </c>
      <c r="G76" s="25">
        <f>IF(Receipts!$I76="","",Receipts!$I76)</f>
        <v>46113</v>
      </c>
      <c r="H76" s="25">
        <f>IF(Receipts!$H76="","",Receipts!$H76)</f>
        <v>46283</v>
      </c>
      <c r="I76" s="26">
        <f t="shared" ca="1" si="6"/>
        <v>45</v>
      </c>
      <c r="J76" s="26">
        <f>IF($A76="","",COUNTIFS(tblReceipts[Item Name],$A76,tblReceipts[Expiry Date],"&lt;"&amp;$H76)+COUNTIFS(tblReceipts[Item Name],$A76,tblReceipts[Expiry Date],$H76,tblReceipts[Lot Number],"&lt;="&amp;Receipts!$C76))</f>
        <v>15</v>
      </c>
      <c r="K76" s="26">
        <f>IF($A76="","",SUMIFS(tblReceipts[Qty Received],tblReceipts[Item Name],$A76,tblReceipts[Expiry Date],"&lt;"&amp;$H76)+SUMIFS(tblReceipts[Qty Received],tblReceipts[Item Name],$A76,tblReceipts[Expiry Date],$H76,tblReceipts[Lot Number],"&lt;"&amp;Receipts!$C76))</f>
        <v>2750</v>
      </c>
      <c r="L76" s="26">
        <f>IF($A76="","",MIN($D76,MAX(0,SUMIFS(tblIssues[Qty Issued],tblIssues[Item Name],$A76)-$K76)))</f>
        <v>5000</v>
      </c>
      <c r="M76" s="26">
        <f>IF($A76="","",SUMIFS(tblIssues[Qty Issued],tblIssues[Lot Number],$B76))</f>
        <v>3500</v>
      </c>
      <c r="N76" s="26">
        <f t="shared" si="7"/>
        <v>-1500</v>
      </c>
      <c r="O76" s="26">
        <f t="shared" si="8"/>
        <v>0</v>
      </c>
      <c r="P76" s="21">
        <f t="shared" si="9"/>
        <v>0</v>
      </c>
      <c r="Q76" s="52" t="str">
        <f>IF($A76="","",IF($O76&lt;=0,"Depleted",IF($I76&lt;0,"EXPIRED",IF($I76&lt;=Settings!$C$6,"CRITICAL",IF($I76&lt;=Settings!$C$5,"Expiring","In date")))))</f>
        <v>Depleted</v>
      </c>
    </row>
    <row r="77" spans="1:17" x14ac:dyDescent="0.35">
      <c r="A77" s="90" t="str">
        <f>IF(Receipts!$D77="","",Receipts!$D77)</f>
        <v>Gloves - Small</v>
      </c>
      <c r="B77" s="18" t="str">
        <f>IF(Receipts!$C77="","",Receipts!$C77)</f>
        <v>ZIM504124207-5</v>
      </c>
      <c r="C77" s="18" t="str">
        <f>IF($A77="","",IFERROR(INDEX(Items!$B$5:$B$597,MATCH($A77,Items!$A$5:$A$597,0)),""))</f>
        <v>Gloves</v>
      </c>
      <c r="D77" s="23">
        <f>IF($A77="","",N(Receipts!$G77))</f>
        <v>5000</v>
      </c>
      <c r="E77" s="20">
        <f>IF($A77="","",IFERROR(INDEX(Items!$D$5:$D$597,MATCH($A77,Items!$A$5:$A$597,0)),0))</f>
        <v>5.5E-2</v>
      </c>
      <c r="F77" s="21">
        <f t="shared" si="5"/>
        <v>275</v>
      </c>
      <c r="G77" s="25">
        <f>IF(Receipts!$I77="","",Receipts!$I77)</f>
        <v>46113</v>
      </c>
      <c r="H77" s="25">
        <f>IF(Receipts!$H77="","",Receipts!$H77)</f>
        <v>46289</v>
      </c>
      <c r="I77" s="26">
        <f t="shared" ca="1" si="6"/>
        <v>51</v>
      </c>
      <c r="J77" s="26">
        <f>IF($A77="","",COUNTIFS(tblReceipts[Item Name],$A77,tblReceipts[Expiry Date],"&lt;"&amp;$H77)+COUNTIFS(tblReceipts[Item Name],$A77,tblReceipts[Expiry Date],$H77,tblReceipts[Lot Number],"&lt;="&amp;Receipts!$C77))</f>
        <v>17</v>
      </c>
      <c r="K77" s="26">
        <f>IF($A77="","",SUMIFS(tblReceipts[Qty Received],tblReceipts[Item Name],$A77,tblReceipts[Expiry Date],"&lt;"&amp;$H77)+SUMIFS(tblReceipts[Qty Received],tblReceipts[Item Name],$A77,tblReceipts[Expiry Date],$H77,tblReceipts[Lot Number],"&lt;"&amp;Receipts!$C77))</f>
        <v>9750</v>
      </c>
      <c r="L77" s="26">
        <f>IF($A77="","",MIN($D77,MAX(0,SUMIFS(tblIssues[Qty Issued],tblIssues[Item Name],$A77)-$K77)))</f>
        <v>5000</v>
      </c>
      <c r="M77" s="26">
        <f>IF($A77="","",SUMIFS(tblIssues[Qty Issued],tblIssues[Lot Number],$B77))</f>
        <v>5000</v>
      </c>
      <c r="N77" s="26">
        <f t="shared" si="7"/>
        <v>0</v>
      </c>
      <c r="O77" s="26">
        <f t="shared" si="8"/>
        <v>0</v>
      </c>
      <c r="P77" s="21">
        <f t="shared" si="9"/>
        <v>0</v>
      </c>
      <c r="Q77" s="52" t="str">
        <f>IF($A77="","",IF($O77&lt;=0,"Depleted",IF($I77&lt;0,"EXPIRED",IF($I77&lt;=Settings!$C$6,"CRITICAL",IF($I77&lt;=Settings!$C$5,"Expiring","In date")))))</f>
        <v>Depleted</v>
      </c>
    </row>
    <row r="78" spans="1:17" x14ac:dyDescent="0.35">
      <c r="A78" s="90" t="str">
        <f>IF(Receipts!$D78="","",Receipts!$D78)</f>
        <v>Gloves - Small</v>
      </c>
      <c r="B78" s="18" t="str">
        <f>IF(Receipts!$C78="","",Receipts!$C78)</f>
        <v>ZIM504124209-0</v>
      </c>
      <c r="C78" s="18" t="str">
        <f>IF($A78="","",IFERROR(INDEX(Items!$B$5:$B$597,MATCH($A78,Items!$A$5:$A$597,0)),""))</f>
        <v>Gloves</v>
      </c>
      <c r="D78" s="23">
        <f>IF($A78="","",N(Receipts!$G78))</f>
        <v>0</v>
      </c>
      <c r="E78" s="20">
        <f>IF($A78="","",IFERROR(INDEX(Items!$D$5:$D$597,MATCH($A78,Items!$A$5:$A$597,0)),0))</f>
        <v>5.5E-2</v>
      </c>
      <c r="F78" s="21">
        <f t="shared" si="5"/>
        <v>0</v>
      </c>
      <c r="G78" s="25">
        <f>IF(Receipts!$I78="","",Receipts!$I78)</f>
        <v>46113</v>
      </c>
      <c r="H78" s="25">
        <f>IF(Receipts!$H78="","",Receipts!$H78)</f>
        <v>46216</v>
      </c>
      <c r="I78" s="26">
        <f t="shared" ca="1" si="6"/>
        <v>-22</v>
      </c>
      <c r="J78" s="26">
        <f>IF($A78="","",COUNTIFS(tblReceipts[Item Name],$A78,tblReceipts[Expiry Date],"&lt;"&amp;$H78)+COUNTIFS(tblReceipts[Item Name],$A78,tblReceipts[Expiry Date],$H78,tblReceipts[Lot Number],"&lt;="&amp;Receipts!$C78))</f>
        <v>7</v>
      </c>
      <c r="K78" s="26">
        <f>IF($A78="","",SUMIFS(tblReceipts[Qty Received],tblReceipts[Item Name],$A78,tblReceipts[Expiry Date],"&lt;"&amp;$H78)+SUMIFS(tblReceipts[Qty Received],tblReceipts[Item Name],$A78,tblReceipts[Expiry Date],$H78,tblReceipts[Lot Number],"&lt;"&amp;Receipts!$C78))</f>
        <v>0</v>
      </c>
      <c r="L78" s="26">
        <f>IF($A78="","",MIN($D78,MAX(0,SUMIFS(tblIssues[Qty Issued],tblIssues[Item Name],$A78)-$K78)))</f>
        <v>0</v>
      </c>
      <c r="M78" s="26">
        <f>IF($A78="","",SUMIFS(tblIssues[Qty Issued],tblIssues[Lot Number],$B78))</f>
        <v>0</v>
      </c>
      <c r="N78" s="26">
        <f t="shared" si="7"/>
        <v>0</v>
      </c>
      <c r="O78" s="26">
        <f t="shared" si="8"/>
        <v>0</v>
      </c>
      <c r="P78" s="21">
        <f t="shared" si="9"/>
        <v>0</v>
      </c>
      <c r="Q78" s="52" t="str">
        <f>IF($A78="","",IF($O78&lt;=0,"Depleted",IF($I78&lt;0,"EXPIRED",IF($I78&lt;=Settings!$C$6,"CRITICAL",IF($I78&lt;=Settings!$C$5,"Expiring","In date")))))</f>
        <v>Depleted</v>
      </c>
    </row>
    <row r="79" spans="1:17" x14ac:dyDescent="0.35">
      <c r="A79" s="90" t="str">
        <f>IF(Receipts!$D79="","",Receipts!$D79)</f>
        <v>Gloves - Small</v>
      </c>
      <c r="B79" s="18" t="str">
        <f>IF(Receipts!$C79="","",Receipts!$C79)</f>
        <v>ZIM504124209-1</v>
      </c>
      <c r="C79" s="18" t="str">
        <f>IF($A79="","",IFERROR(INDEX(Items!$B$5:$B$597,MATCH($A79,Items!$A$5:$A$597,0)),""))</f>
        <v>Gloves</v>
      </c>
      <c r="D79" s="23">
        <f>IF($A79="","",N(Receipts!$G79))</f>
        <v>0</v>
      </c>
      <c r="E79" s="20">
        <f>IF($A79="","",IFERROR(INDEX(Items!$D$5:$D$597,MATCH($A79,Items!$A$5:$A$597,0)),0))</f>
        <v>5.5E-2</v>
      </c>
      <c r="F79" s="21">
        <f t="shared" si="5"/>
        <v>0</v>
      </c>
      <c r="G79" s="25">
        <f>IF(Receipts!$I79="","",Receipts!$I79)</f>
        <v>46113</v>
      </c>
      <c r="H79" s="25">
        <f>IF(Receipts!$H79="","",Receipts!$H79)</f>
        <v>46223</v>
      </c>
      <c r="I79" s="26">
        <f t="shared" ca="1" si="6"/>
        <v>-15</v>
      </c>
      <c r="J79" s="26">
        <f>IF($A79="","",COUNTIFS(tblReceipts[Item Name],$A79,tblReceipts[Expiry Date],"&lt;"&amp;$H79)+COUNTIFS(tblReceipts[Item Name],$A79,tblReceipts[Expiry Date],$H79,tblReceipts[Lot Number],"&lt;="&amp;Receipts!$C79))</f>
        <v>8</v>
      </c>
      <c r="K79" s="26">
        <f>IF($A79="","",SUMIFS(tblReceipts[Qty Received],tblReceipts[Item Name],$A79,tblReceipts[Expiry Date],"&lt;"&amp;$H79)+SUMIFS(tblReceipts[Qty Received],tblReceipts[Item Name],$A79,tblReceipts[Expiry Date],$H79,tblReceipts[Lot Number],"&lt;"&amp;Receipts!$C79))</f>
        <v>0</v>
      </c>
      <c r="L79" s="26">
        <f>IF($A79="","",MIN($D79,MAX(0,SUMIFS(tblIssues[Qty Issued],tblIssues[Item Name],$A79)-$K79)))</f>
        <v>0</v>
      </c>
      <c r="M79" s="26">
        <f>IF($A79="","",SUMIFS(tblIssues[Qty Issued],tblIssues[Lot Number],$B79))</f>
        <v>0</v>
      </c>
      <c r="N79" s="26">
        <f t="shared" si="7"/>
        <v>0</v>
      </c>
      <c r="O79" s="26">
        <f t="shared" si="8"/>
        <v>0</v>
      </c>
      <c r="P79" s="21">
        <f t="shared" si="9"/>
        <v>0</v>
      </c>
      <c r="Q79" s="52" t="str">
        <f>IF($A79="","",IF($O79&lt;=0,"Depleted",IF($I79&lt;0,"EXPIRED",IF($I79&lt;=Settings!$C$6,"CRITICAL",IF($I79&lt;=Settings!$C$5,"Expiring","In date")))))</f>
        <v>Depleted</v>
      </c>
    </row>
    <row r="80" spans="1:17" x14ac:dyDescent="0.35">
      <c r="A80" s="90" t="str">
        <f>IF(Receipts!$D80="","",Receipts!$D80)</f>
        <v>Gloves - Small</v>
      </c>
      <c r="B80" s="18" t="str">
        <f>IF(Receipts!$C80="","",Receipts!$C80)</f>
        <v>ZIM504124209-2</v>
      </c>
      <c r="C80" s="18" t="str">
        <f>IF($A80="","",IFERROR(INDEX(Items!$B$5:$B$597,MATCH($A80,Items!$A$5:$A$597,0)),""))</f>
        <v>Gloves</v>
      </c>
      <c r="D80" s="23">
        <f>IF($A80="","",N(Receipts!$G80))</f>
        <v>0</v>
      </c>
      <c r="E80" s="20">
        <f>IF($A80="","",IFERROR(INDEX(Items!$D$5:$D$597,MATCH($A80,Items!$A$5:$A$597,0)),0))</f>
        <v>5.5E-2</v>
      </c>
      <c r="F80" s="21">
        <f t="shared" si="5"/>
        <v>0</v>
      </c>
      <c r="G80" s="25">
        <f>IF(Receipts!$I80="","",Receipts!$I80)</f>
        <v>46113</v>
      </c>
      <c r="H80" s="25">
        <f>IF(Receipts!$H80="","",Receipts!$H80)</f>
        <v>46229</v>
      </c>
      <c r="I80" s="26">
        <f t="shared" ca="1" si="6"/>
        <v>-9</v>
      </c>
      <c r="J80" s="26">
        <f>IF($A80="","",COUNTIFS(tblReceipts[Item Name],$A80,tblReceipts[Expiry Date],"&lt;"&amp;$H80)+COUNTIFS(tblReceipts[Item Name],$A80,tblReceipts[Expiry Date],$H80,tblReceipts[Lot Number],"&lt;="&amp;Receipts!$C80))</f>
        <v>9</v>
      </c>
      <c r="K80" s="26">
        <f>IF($A80="","",SUMIFS(tblReceipts[Qty Received],tblReceipts[Item Name],$A80,tblReceipts[Expiry Date],"&lt;"&amp;$H80)+SUMIFS(tblReceipts[Qty Received],tblReceipts[Item Name],$A80,tblReceipts[Expiry Date],$H80,tblReceipts[Lot Number],"&lt;"&amp;Receipts!$C80))</f>
        <v>0</v>
      </c>
      <c r="L80" s="26">
        <f>IF($A80="","",MIN($D80,MAX(0,SUMIFS(tblIssues[Qty Issued],tblIssues[Item Name],$A80)-$K80)))</f>
        <v>0</v>
      </c>
      <c r="M80" s="26">
        <f>IF($A80="","",SUMIFS(tblIssues[Qty Issued],tblIssues[Lot Number],$B80))</f>
        <v>0</v>
      </c>
      <c r="N80" s="26">
        <f t="shared" si="7"/>
        <v>0</v>
      </c>
      <c r="O80" s="26">
        <f t="shared" si="8"/>
        <v>0</v>
      </c>
      <c r="P80" s="21">
        <f t="shared" si="9"/>
        <v>0</v>
      </c>
      <c r="Q80" s="52" t="str">
        <f>IF($A80="","",IF($O80&lt;=0,"Depleted",IF($I80&lt;0,"EXPIRED",IF($I80&lt;=Settings!$C$6,"CRITICAL",IF($I80&lt;=Settings!$C$5,"Expiring","In date")))))</f>
        <v>Depleted</v>
      </c>
    </row>
    <row r="81" spans="1:17" x14ac:dyDescent="0.35">
      <c r="A81" s="90" t="str">
        <f>IF(Receipts!$D81="","",Receipts!$D81)</f>
        <v>Gloves - Small</v>
      </c>
      <c r="B81" s="18" t="str">
        <f>IF(Receipts!$C81="","",Receipts!$C81)</f>
        <v>ZIM512142069</v>
      </c>
      <c r="C81" s="18" t="str">
        <f>IF($A81="","",IFERROR(INDEX(Items!$B$5:$B$597,MATCH($A81,Items!$A$5:$A$597,0)),""))</f>
        <v>Gloves</v>
      </c>
      <c r="D81" s="23">
        <f>IF($A81="","",N(Receipts!$G81))</f>
        <v>2750</v>
      </c>
      <c r="E81" s="20">
        <f>IF($A81="","",IFERROR(INDEX(Items!$D$5:$D$597,MATCH($A81,Items!$A$5:$A$597,0)),0))</f>
        <v>5.5E-2</v>
      </c>
      <c r="F81" s="21">
        <f t="shared" si="5"/>
        <v>151.25</v>
      </c>
      <c r="G81" s="25">
        <f>IF(Receipts!$I81="","",Receipts!$I81)</f>
        <v>46113</v>
      </c>
      <c r="H81" s="25">
        <f>IF(Receipts!$H81="","",Receipts!$H81)</f>
        <v>46275</v>
      </c>
      <c r="I81" s="26">
        <f t="shared" ca="1" si="6"/>
        <v>37</v>
      </c>
      <c r="J81" s="26">
        <f>IF($A81="","",COUNTIFS(tblReceipts[Item Name],$A81,tblReceipts[Expiry Date],"&lt;"&amp;$H81)+COUNTIFS(tblReceipts[Item Name],$A81,tblReceipts[Expiry Date],$H81,tblReceipts[Lot Number],"&lt;="&amp;Receipts!$C81))</f>
        <v>14</v>
      </c>
      <c r="K81" s="26">
        <f>IF($A81="","",SUMIFS(tblReceipts[Qty Received],tblReceipts[Item Name],$A81,tblReceipts[Expiry Date],"&lt;"&amp;$H81)+SUMIFS(tblReceipts[Qty Received],tblReceipts[Item Name],$A81,tblReceipts[Expiry Date],$H81,tblReceipts[Lot Number],"&lt;"&amp;Receipts!$C81))</f>
        <v>0</v>
      </c>
      <c r="L81" s="26">
        <f>IF($A81="","",MIN($D81,MAX(0,SUMIFS(tblIssues[Qty Issued],tblIssues[Item Name],$A81)-$K81)))</f>
        <v>2750</v>
      </c>
      <c r="M81" s="26">
        <f>IF($A81="","",SUMIFS(tblIssues[Qty Issued],tblIssues[Lot Number],$B81))</f>
        <v>0</v>
      </c>
      <c r="N81" s="26">
        <f t="shared" si="7"/>
        <v>-2750</v>
      </c>
      <c r="O81" s="26">
        <f t="shared" si="8"/>
        <v>0</v>
      </c>
      <c r="P81" s="21">
        <f t="shared" si="9"/>
        <v>0</v>
      </c>
      <c r="Q81" s="52" t="str">
        <f>IF($A81="","",IF($O81&lt;=0,"Depleted",IF($I81&lt;0,"EXPIRED",IF($I81&lt;=Settings!$C$6,"CRITICAL",IF($I81&lt;=Settings!$C$5,"Expiring","In date")))))</f>
        <v>Depleted</v>
      </c>
    </row>
    <row r="82" spans="1:17" x14ac:dyDescent="0.35">
      <c r="A82" s="90" t="str">
        <f>IF(Receipts!$D82="","",Receipts!$D82)</f>
        <v>Gloves - Small/100</v>
      </c>
      <c r="B82" s="18" t="str">
        <f>IF(Receipts!$C82="","",Receipts!$C82)</f>
        <v>SG1005003000</v>
      </c>
      <c r="C82" s="18" t="str">
        <f>IF($A82="","",IFERROR(INDEX(Items!$B$5:$B$597,MATCH($A82,Items!$A$5:$A$597,0)),""))</f>
        <v>Gloves</v>
      </c>
      <c r="D82" s="23">
        <f>IF($A82="","",N(Receipts!$G82))</f>
        <v>0</v>
      </c>
      <c r="E82" s="20">
        <f>IF($A82="","",IFERROR(INDEX(Items!$D$5:$D$597,MATCH($A82,Items!$A$5:$A$597,0)),0))</f>
        <v>5.5E-2</v>
      </c>
      <c r="F82" s="21">
        <f t="shared" si="5"/>
        <v>0</v>
      </c>
      <c r="G82" s="25">
        <f>IF(Receipts!$I82="","",Receipts!$I82)</f>
        <v>46113</v>
      </c>
      <c r="H82" s="25">
        <f>IF(Receipts!$H82="","",Receipts!$H82)</f>
        <v>46159</v>
      </c>
      <c r="I82" s="26">
        <f t="shared" ca="1" si="6"/>
        <v>-79</v>
      </c>
      <c r="J82" s="26">
        <f>IF($A82="","",COUNTIFS(tblReceipts[Item Name],$A82,tblReceipts[Expiry Date],"&lt;"&amp;$H82)+COUNTIFS(tblReceipts[Item Name],$A82,tblReceipts[Expiry Date],$H82,tblReceipts[Lot Number],"&lt;="&amp;Receipts!$C82))</f>
        <v>1</v>
      </c>
      <c r="K82" s="26">
        <f>IF($A82="","",SUMIFS(tblReceipts[Qty Received],tblReceipts[Item Name],$A82,tblReceipts[Expiry Date],"&lt;"&amp;$H82)+SUMIFS(tblReceipts[Qty Received],tblReceipts[Item Name],$A82,tblReceipts[Expiry Date],$H82,tblReceipts[Lot Number],"&lt;"&amp;Receipts!$C82))</f>
        <v>0</v>
      </c>
      <c r="L82" s="26">
        <f>IF($A82="","",MIN($D82,MAX(0,SUMIFS(tblIssues[Qty Issued],tblIssues[Item Name],$A82)-$K82)))</f>
        <v>0</v>
      </c>
      <c r="M82" s="26">
        <f>IF($A82="","",SUMIFS(tblIssues[Qty Issued],tblIssues[Lot Number],$B82))</f>
        <v>0</v>
      </c>
      <c r="N82" s="26">
        <f t="shared" si="7"/>
        <v>0</v>
      </c>
      <c r="O82" s="26">
        <f t="shared" si="8"/>
        <v>0</v>
      </c>
      <c r="P82" s="21">
        <f t="shared" si="9"/>
        <v>0</v>
      </c>
      <c r="Q82" s="52" t="str">
        <f>IF($A82="","",IF($O82&lt;=0,"Depleted",IF($I82&lt;0,"EXPIRED",IF($I82&lt;=Settings!$C$6,"CRITICAL",IF($I82&lt;=Settings!$C$5,"Expiring","In date")))))</f>
        <v>Depleted</v>
      </c>
    </row>
    <row r="83" spans="1:17" x14ac:dyDescent="0.35">
      <c r="A83" s="90" t="str">
        <f>IF(Receipts!$D83="","",Receipts!$D83)</f>
        <v>Gloves - Small/100</v>
      </c>
      <c r="B83" s="18" t="str">
        <f>IF(Receipts!$C83="","",Receipts!$C83)</f>
        <v>ZIM509136910</v>
      </c>
      <c r="C83" s="18" t="str">
        <f>IF($A83="","",IFERROR(INDEX(Items!$B$5:$B$597,MATCH($A83,Items!$A$5:$A$597,0)),""))</f>
        <v>Gloves</v>
      </c>
      <c r="D83" s="23">
        <f>IF($A83="","",N(Receipts!$G83))</f>
        <v>0</v>
      </c>
      <c r="E83" s="20">
        <f>IF($A83="","",IFERROR(INDEX(Items!$D$5:$D$597,MATCH($A83,Items!$A$5:$A$597,0)),0))</f>
        <v>5.5E-2</v>
      </c>
      <c r="F83" s="21">
        <f t="shared" si="5"/>
        <v>0</v>
      </c>
      <c r="G83" s="25">
        <f>IF(Receipts!$I83="","",Receipts!$I83)</f>
        <v>46113</v>
      </c>
      <c r="H83" s="25">
        <f>IF(Receipts!$H83="","",Receipts!$H83)</f>
        <v>46179</v>
      </c>
      <c r="I83" s="26">
        <f t="shared" ca="1" si="6"/>
        <v>-59</v>
      </c>
      <c r="J83" s="26">
        <f>IF($A83="","",COUNTIFS(tblReceipts[Item Name],$A83,tblReceipts[Expiry Date],"&lt;"&amp;$H83)+COUNTIFS(tblReceipts[Item Name],$A83,tblReceipts[Expiry Date],$H83,tblReceipts[Lot Number],"&lt;="&amp;Receipts!$C83))</f>
        <v>2</v>
      </c>
      <c r="K83" s="26">
        <f>IF($A83="","",SUMIFS(tblReceipts[Qty Received],tblReceipts[Item Name],$A83,tblReceipts[Expiry Date],"&lt;"&amp;$H83)+SUMIFS(tblReceipts[Qty Received],tblReceipts[Item Name],$A83,tblReceipts[Expiry Date],$H83,tblReceipts[Lot Number],"&lt;"&amp;Receipts!$C83))</f>
        <v>0</v>
      </c>
      <c r="L83" s="26">
        <f>IF($A83="","",MIN($D83,MAX(0,SUMIFS(tblIssues[Qty Issued],tblIssues[Item Name],$A83)-$K83)))</f>
        <v>0</v>
      </c>
      <c r="M83" s="26">
        <f>IF($A83="","",SUMIFS(tblIssues[Qty Issued],tblIssues[Lot Number],$B83))</f>
        <v>0</v>
      </c>
      <c r="N83" s="26">
        <f t="shared" si="7"/>
        <v>0</v>
      </c>
      <c r="O83" s="26">
        <f t="shared" si="8"/>
        <v>0</v>
      </c>
      <c r="P83" s="21">
        <f t="shared" si="9"/>
        <v>0</v>
      </c>
      <c r="Q83" s="52" t="str">
        <f>IF($A83="","",IF($O83&lt;=0,"Depleted",IF($I83&lt;0,"EXPIRED",IF($I83&lt;=Settings!$C$6,"CRITICAL",IF($I83&lt;=Settings!$C$5,"Expiring","In date")))))</f>
        <v>Depleted</v>
      </c>
    </row>
    <row r="84" spans="1:17" x14ac:dyDescent="0.35">
      <c r="A84" s="90" t="str">
        <f>IF(Receipts!$D84="","",Receipts!$D84)</f>
        <v>Gloves - X-Large</v>
      </c>
      <c r="B84" s="18" t="str">
        <f>IF(Receipts!$C84="","",Receipts!$C84)</f>
        <v>XL5003001</v>
      </c>
      <c r="C84" s="18" t="str">
        <f>IF($A84="","",IFERROR(INDEX(Items!$B$5:$B$597,MATCH($A84,Items!$A$5:$A$597,0)),""))</f>
        <v>Gloves</v>
      </c>
      <c r="D84" s="23">
        <f>IF($A84="","",N(Receipts!$G84))</f>
        <v>0</v>
      </c>
      <c r="E84" s="20">
        <f>IF($A84="","",IFERROR(INDEX(Items!$D$5:$D$597,MATCH($A84,Items!$A$5:$A$597,0)),0))</f>
        <v>5.5E-2</v>
      </c>
      <c r="F84" s="21">
        <f t="shared" si="5"/>
        <v>0</v>
      </c>
      <c r="G84" s="25">
        <f>IF(Receipts!$I84="","",Receipts!$I84)</f>
        <v>46113</v>
      </c>
      <c r="H84" s="25">
        <f>IF(Receipts!$H84="","",Receipts!$H84)</f>
        <v>46147</v>
      </c>
      <c r="I84" s="26">
        <f t="shared" ca="1" si="6"/>
        <v>-91</v>
      </c>
      <c r="J84" s="26">
        <f>IF($A84="","",COUNTIFS(tblReceipts[Item Name],$A84,tblReceipts[Expiry Date],"&lt;"&amp;$H84)+COUNTIFS(tblReceipts[Item Name],$A84,tblReceipts[Expiry Date],$H84,tblReceipts[Lot Number],"&lt;="&amp;Receipts!$C84))</f>
        <v>1</v>
      </c>
      <c r="K84" s="26">
        <f>IF($A84="","",SUMIFS(tblReceipts[Qty Received],tblReceipts[Item Name],$A84,tblReceipts[Expiry Date],"&lt;"&amp;$H84)+SUMIFS(tblReceipts[Qty Received],tblReceipts[Item Name],$A84,tblReceipts[Expiry Date],$H84,tblReceipts[Lot Number],"&lt;"&amp;Receipts!$C84))</f>
        <v>0</v>
      </c>
      <c r="L84" s="26">
        <f>IF($A84="","",MIN($D84,MAX(0,SUMIFS(tblIssues[Qty Issued],tblIssues[Item Name],$A84)-$K84)))</f>
        <v>0</v>
      </c>
      <c r="M84" s="26">
        <f>IF($A84="","",SUMIFS(tblIssues[Qty Issued],tblIssues[Lot Number],$B84))</f>
        <v>0</v>
      </c>
      <c r="N84" s="26">
        <f t="shared" si="7"/>
        <v>0</v>
      </c>
      <c r="O84" s="26">
        <f t="shared" si="8"/>
        <v>0</v>
      </c>
      <c r="P84" s="21">
        <f t="shared" si="9"/>
        <v>0</v>
      </c>
      <c r="Q84" s="52" t="str">
        <f>IF($A84="","",IF($O84&lt;=0,"Depleted",IF($I84&lt;0,"EXPIRED",IF($I84&lt;=Settings!$C$6,"CRITICAL",IF($I84&lt;=Settings!$C$5,"Expiring","In date")))))</f>
        <v>Depleted</v>
      </c>
    </row>
    <row r="85" spans="1:17" x14ac:dyDescent="0.35">
      <c r="A85" s="90" t="str">
        <f>IF(Receipts!$D85="","",Receipts!$D85)</f>
        <v>Gloves - X-Large</v>
      </c>
      <c r="B85" s="18" t="str">
        <f>IF(Receipts!$C85="","",Receipts!$C85)</f>
        <v>XL5003005</v>
      </c>
      <c r="C85" s="18" t="str">
        <f>IF($A85="","",IFERROR(INDEX(Items!$B$5:$B$597,MATCH($A85,Items!$A$5:$A$597,0)),""))</f>
        <v>Gloves</v>
      </c>
      <c r="D85" s="23">
        <f>IF($A85="","",N(Receipts!$G85))</f>
        <v>1000</v>
      </c>
      <c r="E85" s="20">
        <f>IF($A85="","",IFERROR(INDEX(Items!$D$5:$D$597,MATCH($A85,Items!$A$5:$A$597,0)),0))</f>
        <v>5.5E-2</v>
      </c>
      <c r="F85" s="21">
        <f t="shared" si="5"/>
        <v>55</v>
      </c>
      <c r="G85" s="25">
        <f>IF(Receipts!$I85="","",Receipts!$I85)</f>
        <v>46113</v>
      </c>
      <c r="H85" s="25">
        <f>IF(Receipts!$H85="","",Receipts!$H85)</f>
        <v>46172</v>
      </c>
      <c r="I85" s="26">
        <f t="shared" ca="1" si="6"/>
        <v>-66</v>
      </c>
      <c r="J85" s="26">
        <f>IF($A85="","",COUNTIFS(tblReceipts[Item Name],$A85,tblReceipts[Expiry Date],"&lt;"&amp;$H85)+COUNTIFS(tblReceipts[Item Name],$A85,tblReceipts[Expiry Date],$H85,tblReceipts[Lot Number],"&lt;="&amp;Receipts!$C85))</f>
        <v>2</v>
      </c>
      <c r="K85" s="26">
        <f>IF($A85="","",SUMIFS(tblReceipts[Qty Received],tblReceipts[Item Name],$A85,tblReceipts[Expiry Date],"&lt;"&amp;$H85)+SUMIFS(tblReceipts[Qty Received],tblReceipts[Item Name],$A85,tblReceipts[Expiry Date],$H85,tblReceipts[Lot Number],"&lt;"&amp;Receipts!$C85))</f>
        <v>0</v>
      </c>
      <c r="L85" s="26">
        <f>IF($A85="","",MIN($D85,MAX(0,SUMIFS(tblIssues[Qty Issued],tblIssues[Item Name],$A85)-$K85)))</f>
        <v>1000</v>
      </c>
      <c r="M85" s="26">
        <f>IF($A85="","",SUMIFS(tblIssues[Qty Issued],tblIssues[Lot Number],$B85))</f>
        <v>1000</v>
      </c>
      <c r="N85" s="26">
        <f t="shared" si="7"/>
        <v>0</v>
      </c>
      <c r="O85" s="26">
        <f t="shared" si="8"/>
        <v>0</v>
      </c>
      <c r="P85" s="21">
        <f t="shared" si="9"/>
        <v>0</v>
      </c>
      <c r="Q85" s="52" t="str">
        <f>IF($A85="","",IF($O85&lt;=0,"Depleted",IF($I85&lt;0,"EXPIRED",IF($I85&lt;=Settings!$C$6,"CRITICAL",IF($I85&lt;=Settings!$C$5,"Expiring","In date")))))</f>
        <v>Depleted</v>
      </c>
    </row>
    <row r="86" spans="1:17" x14ac:dyDescent="0.35">
      <c r="A86" s="90" t="str">
        <f>IF(Receipts!$D86="","",Receipts!$D86)</f>
        <v>Goggles</v>
      </c>
      <c r="B86" s="18" t="str">
        <f>IF(Receipts!$C86="","",Receipts!$C86)</f>
        <v>GGL5003700</v>
      </c>
      <c r="C86" s="18" t="str">
        <f>IF($A86="","",IFERROR(INDEX(Items!$B$5:$B$597,MATCH($A86,Items!$A$5:$A$597,0)),""))</f>
        <v>Eye Protection</v>
      </c>
      <c r="D86" s="23">
        <f>IF($A86="","",N(Receipts!$G86))</f>
        <v>30</v>
      </c>
      <c r="E86" s="20">
        <f>IF($A86="","",IFERROR(INDEX(Items!$D$5:$D$597,MATCH($A86,Items!$A$5:$A$597,0)),0))</f>
        <v>10</v>
      </c>
      <c r="F86" s="21">
        <f t="shared" si="5"/>
        <v>300</v>
      </c>
      <c r="G86" s="25">
        <f>IF(Receipts!$I86="","",Receipts!$I86)</f>
        <v>46113</v>
      </c>
      <c r="H86" s="25">
        <f>IF(Receipts!$H86="","",Receipts!$H86)</f>
        <v>46235</v>
      </c>
      <c r="I86" s="26">
        <f t="shared" ca="1" si="6"/>
        <v>-3</v>
      </c>
      <c r="J86" s="26">
        <f>IF($A86="","",COUNTIFS(tblReceipts[Item Name],$A86,tblReceipts[Expiry Date],"&lt;"&amp;$H86)+COUNTIFS(tblReceipts[Item Name],$A86,tblReceipts[Expiry Date],$H86,tblReceipts[Lot Number],"&lt;="&amp;Receipts!$C86))</f>
        <v>1</v>
      </c>
      <c r="K86" s="26">
        <f>IF($A86="","",SUMIFS(tblReceipts[Qty Received],tblReceipts[Item Name],$A86,tblReceipts[Expiry Date],"&lt;"&amp;$H86)+SUMIFS(tblReceipts[Qty Received],tblReceipts[Item Name],$A86,tblReceipts[Expiry Date],$H86,tblReceipts[Lot Number],"&lt;"&amp;Receipts!$C86))</f>
        <v>0</v>
      </c>
      <c r="L86" s="26">
        <f>IF($A86="","",MIN($D86,MAX(0,SUMIFS(tblIssues[Qty Issued],tblIssues[Item Name],$A86)-$K86)))</f>
        <v>18</v>
      </c>
      <c r="M86" s="26">
        <f>IF($A86="","",SUMIFS(tblIssues[Qty Issued],tblIssues[Lot Number],$B86))</f>
        <v>18</v>
      </c>
      <c r="N86" s="26">
        <f t="shared" si="7"/>
        <v>0</v>
      </c>
      <c r="O86" s="26">
        <f t="shared" si="8"/>
        <v>12</v>
      </c>
      <c r="P86" s="21">
        <f t="shared" si="9"/>
        <v>120</v>
      </c>
      <c r="Q86" s="52" t="str">
        <f ca="1">IF($A86="","",IF($O86&lt;=0,"Depleted",IF($I86&lt;0,"EXPIRED",IF($I86&lt;=Settings!$C$6,"CRITICAL",IF($I86&lt;=Settings!$C$5,"Expiring","In date")))))</f>
        <v>EXPIRED</v>
      </c>
    </row>
    <row r="87" spans="1:17" x14ac:dyDescent="0.35">
      <c r="A87" s="90" t="str">
        <f>IF(Receipts!$D87="","",Receipts!$D87)</f>
        <v>Hand Sanitizer</v>
      </c>
      <c r="B87" s="18" t="str">
        <f>IF(Receipts!$C87="","",Receipts!$C87)</f>
        <v>563963-0</v>
      </c>
      <c r="C87" s="18" t="str">
        <f>IF($A87="","",IFERROR(INDEX(Items!$B$5:$B$597,MATCH($A87,Items!$A$5:$A$597,0)),""))</f>
        <v>Sanitizer</v>
      </c>
      <c r="D87" s="23">
        <f>IF($A87="","",N(Receipts!$G87))</f>
        <v>0</v>
      </c>
      <c r="E87" s="20">
        <f>IF($A87="","",IFERROR(INDEX(Items!$D$5:$D$597,MATCH($A87,Items!$A$5:$A$597,0)),0))</f>
        <v>4.49</v>
      </c>
      <c r="F87" s="21">
        <f t="shared" si="5"/>
        <v>0</v>
      </c>
      <c r="G87" s="25">
        <f>IF(Receipts!$I87="","",Receipts!$I87)</f>
        <v>46113</v>
      </c>
      <c r="H87" s="25">
        <f>IF(Receipts!$H87="","",Receipts!$H87)</f>
        <v>47026</v>
      </c>
      <c r="I87" s="26">
        <f t="shared" ca="1" si="6"/>
        <v>788</v>
      </c>
      <c r="J87" s="26">
        <f>IF($A87="","",COUNTIFS(tblReceipts[Item Name],$A87,tblReceipts[Expiry Date],"&lt;"&amp;$H87)+COUNTIFS(tblReceipts[Item Name],$A87,tblReceipts[Expiry Date],$H87,tblReceipts[Lot Number],"&lt;="&amp;Receipts!$C87))</f>
        <v>3</v>
      </c>
      <c r="K87" s="26">
        <f>IF($A87="","",SUMIFS(tblReceipts[Qty Received],tblReceipts[Item Name],$A87,tblReceipts[Expiry Date],"&lt;"&amp;$H87)+SUMIFS(tblReceipts[Qty Received],tblReceipts[Item Name],$A87,tblReceipts[Expiry Date],$H87,tblReceipts[Lot Number],"&lt;"&amp;Receipts!$C87))</f>
        <v>0</v>
      </c>
      <c r="L87" s="26">
        <f>IF($A87="","",MIN($D87,MAX(0,SUMIFS(tblIssues[Qty Issued],tblIssues[Item Name],$A87)-$K87)))</f>
        <v>0</v>
      </c>
      <c r="M87" s="26">
        <f>IF($A87="","",SUMIFS(tblIssues[Qty Issued],tblIssues[Lot Number],$B87))</f>
        <v>0</v>
      </c>
      <c r="N87" s="26">
        <f t="shared" si="7"/>
        <v>0</v>
      </c>
      <c r="O87" s="26">
        <f t="shared" si="8"/>
        <v>0</v>
      </c>
      <c r="P87" s="21">
        <f t="shared" si="9"/>
        <v>0</v>
      </c>
      <c r="Q87" s="52" t="str">
        <f>IF($A87="","",IF($O87&lt;=0,"Depleted",IF($I87&lt;0,"EXPIRED",IF($I87&lt;=Settings!$C$6,"CRITICAL",IF($I87&lt;=Settings!$C$5,"Expiring","In date")))))</f>
        <v>Depleted</v>
      </c>
    </row>
    <row r="88" spans="1:17" x14ac:dyDescent="0.35">
      <c r="A88" s="90" t="str">
        <f>IF(Receipts!$D88="","",Receipts!$D88)</f>
        <v>Hand Sanitizer</v>
      </c>
      <c r="B88" s="18" t="str">
        <f>IF(Receipts!$C88="","",Receipts!$C88)</f>
        <v>563963-1</v>
      </c>
      <c r="C88" s="18" t="str">
        <f>IF($A88="","",IFERROR(INDEX(Items!$B$5:$B$597,MATCH($A88,Items!$A$5:$A$597,0)),""))</f>
        <v>Sanitizer</v>
      </c>
      <c r="D88" s="23">
        <f>IF($A88="","",N(Receipts!$G88))</f>
        <v>0</v>
      </c>
      <c r="E88" s="20">
        <f>IF($A88="","",IFERROR(INDEX(Items!$D$5:$D$597,MATCH($A88,Items!$A$5:$A$597,0)),0))</f>
        <v>4.49</v>
      </c>
      <c r="F88" s="21">
        <f t="shared" si="5"/>
        <v>0</v>
      </c>
      <c r="G88" s="25">
        <f>IF(Receipts!$I88="","",Receipts!$I88)</f>
        <v>46113</v>
      </c>
      <c r="H88" s="25">
        <f>IF(Receipts!$H88="","",Receipts!$H88)</f>
        <v>47026</v>
      </c>
      <c r="I88" s="26">
        <f t="shared" ca="1" si="6"/>
        <v>788</v>
      </c>
      <c r="J88" s="26">
        <f>IF($A88="","",COUNTIFS(tblReceipts[Item Name],$A88,tblReceipts[Expiry Date],"&lt;"&amp;$H88)+COUNTIFS(tblReceipts[Item Name],$A88,tblReceipts[Expiry Date],$H88,tblReceipts[Lot Number],"&lt;="&amp;Receipts!$C88))</f>
        <v>4</v>
      </c>
      <c r="K88" s="26">
        <f>IF($A88="","",SUMIFS(tblReceipts[Qty Received],tblReceipts[Item Name],$A88,tblReceipts[Expiry Date],"&lt;"&amp;$H88)+SUMIFS(tblReceipts[Qty Received],tblReceipts[Item Name],$A88,tblReceipts[Expiry Date],$H88,tblReceipts[Lot Number],"&lt;"&amp;Receipts!$C88))</f>
        <v>0</v>
      </c>
      <c r="L88" s="26">
        <f>IF($A88="","",MIN($D88,MAX(0,SUMIFS(tblIssues[Qty Issued],tblIssues[Item Name],$A88)-$K88)))</f>
        <v>0</v>
      </c>
      <c r="M88" s="26">
        <f>IF($A88="","",SUMIFS(tblIssues[Qty Issued],tblIssues[Lot Number],$B88))</f>
        <v>0</v>
      </c>
      <c r="N88" s="26">
        <f t="shared" si="7"/>
        <v>0</v>
      </c>
      <c r="O88" s="26">
        <f t="shared" si="8"/>
        <v>0</v>
      </c>
      <c r="P88" s="21">
        <f t="shared" si="9"/>
        <v>0</v>
      </c>
      <c r="Q88" s="52" t="str">
        <f>IF($A88="","",IF($O88&lt;=0,"Depleted",IF($I88&lt;0,"EXPIRED",IF($I88&lt;=Settings!$C$6,"CRITICAL",IF($I88&lt;=Settings!$C$5,"Expiring","In date")))))</f>
        <v>Depleted</v>
      </c>
    </row>
    <row r="89" spans="1:17" x14ac:dyDescent="0.35">
      <c r="A89" s="90" t="str">
        <f>IF(Receipts!$D89="","",Receipts!$D89)</f>
        <v>Hand Sanitizer</v>
      </c>
      <c r="B89" s="18" t="str">
        <f>IF(Receipts!$C89="","",Receipts!$C89)</f>
        <v>563963-2</v>
      </c>
      <c r="C89" s="18" t="str">
        <f>IF($A89="","",IFERROR(INDEX(Items!$B$5:$B$597,MATCH($A89,Items!$A$5:$A$597,0)),""))</f>
        <v>Sanitizer</v>
      </c>
      <c r="D89" s="23">
        <f>IF($A89="","",N(Receipts!$G89))</f>
        <v>0</v>
      </c>
      <c r="E89" s="20">
        <f>IF($A89="","",IFERROR(INDEX(Items!$D$5:$D$597,MATCH($A89,Items!$A$5:$A$597,0)),0))</f>
        <v>4.49</v>
      </c>
      <c r="F89" s="21">
        <f t="shared" si="5"/>
        <v>0</v>
      </c>
      <c r="G89" s="25">
        <f>IF(Receipts!$I89="","",Receipts!$I89)</f>
        <v>46113</v>
      </c>
      <c r="H89" s="25">
        <f>IF(Receipts!$H89="","",Receipts!$H89)</f>
        <v>47026</v>
      </c>
      <c r="I89" s="26">
        <f t="shared" ca="1" si="6"/>
        <v>788</v>
      </c>
      <c r="J89" s="26">
        <f>IF($A89="","",COUNTIFS(tblReceipts[Item Name],$A89,tblReceipts[Expiry Date],"&lt;"&amp;$H89)+COUNTIFS(tblReceipts[Item Name],$A89,tblReceipts[Expiry Date],$H89,tblReceipts[Lot Number],"&lt;="&amp;Receipts!$C89))</f>
        <v>5</v>
      </c>
      <c r="K89" s="26">
        <f>IF($A89="","",SUMIFS(tblReceipts[Qty Received],tblReceipts[Item Name],$A89,tblReceipts[Expiry Date],"&lt;"&amp;$H89)+SUMIFS(tblReceipts[Qty Received],tblReceipts[Item Name],$A89,tblReceipts[Expiry Date],$H89,tblReceipts[Lot Number],"&lt;"&amp;Receipts!$C89))</f>
        <v>0</v>
      </c>
      <c r="L89" s="26">
        <f>IF($A89="","",MIN($D89,MAX(0,SUMIFS(tblIssues[Qty Issued],tblIssues[Item Name],$A89)-$K89)))</f>
        <v>0</v>
      </c>
      <c r="M89" s="26">
        <f>IF($A89="","",SUMIFS(tblIssues[Qty Issued],tblIssues[Lot Number],$B89))</f>
        <v>0</v>
      </c>
      <c r="N89" s="26">
        <f t="shared" si="7"/>
        <v>0</v>
      </c>
      <c r="O89" s="26">
        <f t="shared" si="8"/>
        <v>0</v>
      </c>
      <c r="P89" s="21">
        <f t="shared" si="9"/>
        <v>0</v>
      </c>
      <c r="Q89" s="52" t="str">
        <f>IF($A89="","",IF($O89&lt;=0,"Depleted",IF($I89&lt;0,"EXPIRED",IF($I89&lt;=Settings!$C$6,"CRITICAL",IF($I89&lt;=Settings!$C$5,"Expiring","In date")))))</f>
        <v>Depleted</v>
      </c>
    </row>
    <row r="90" spans="1:17" x14ac:dyDescent="0.35">
      <c r="A90" s="90" t="str">
        <f>IF(Receipts!$D90="","",Receipts!$D90)</f>
        <v>Hand Sanitizer</v>
      </c>
      <c r="B90" s="18" t="str">
        <f>IF(Receipts!$C90="","",Receipts!$C90)</f>
        <v>563963-3</v>
      </c>
      <c r="C90" s="18" t="str">
        <f>IF($A90="","",IFERROR(INDEX(Items!$B$5:$B$597,MATCH($A90,Items!$A$5:$A$597,0)),""))</f>
        <v>Sanitizer</v>
      </c>
      <c r="D90" s="23">
        <f>IF($A90="","",N(Receipts!$G90))</f>
        <v>0</v>
      </c>
      <c r="E90" s="20">
        <f>IF($A90="","",IFERROR(INDEX(Items!$D$5:$D$597,MATCH($A90,Items!$A$5:$A$597,0)),0))</f>
        <v>4.49</v>
      </c>
      <c r="F90" s="21">
        <f t="shared" si="5"/>
        <v>0</v>
      </c>
      <c r="G90" s="25">
        <f>IF(Receipts!$I90="","",Receipts!$I90)</f>
        <v>46113</v>
      </c>
      <c r="H90" s="25">
        <f>IF(Receipts!$H90="","",Receipts!$H90)</f>
        <v>47026</v>
      </c>
      <c r="I90" s="26">
        <f t="shared" ca="1" si="6"/>
        <v>788</v>
      </c>
      <c r="J90" s="26">
        <f>IF($A90="","",COUNTIFS(tblReceipts[Item Name],$A90,tblReceipts[Expiry Date],"&lt;"&amp;$H90)+COUNTIFS(tblReceipts[Item Name],$A90,tblReceipts[Expiry Date],$H90,tblReceipts[Lot Number],"&lt;="&amp;Receipts!$C90))</f>
        <v>6</v>
      </c>
      <c r="K90" s="26">
        <f>IF($A90="","",SUMIFS(tblReceipts[Qty Received],tblReceipts[Item Name],$A90,tblReceipts[Expiry Date],"&lt;"&amp;$H90)+SUMIFS(tblReceipts[Qty Received],tblReceipts[Item Name],$A90,tblReceipts[Expiry Date],$H90,tblReceipts[Lot Number],"&lt;"&amp;Receipts!$C90))</f>
        <v>0</v>
      </c>
      <c r="L90" s="26">
        <f>IF($A90="","",MIN($D90,MAX(0,SUMIFS(tblIssues[Qty Issued],tblIssues[Item Name],$A90)-$K90)))</f>
        <v>0</v>
      </c>
      <c r="M90" s="26">
        <f>IF($A90="","",SUMIFS(tblIssues[Qty Issued],tblIssues[Lot Number],$B90))</f>
        <v>0</v>
      </c>
      <c r="N90" s="26">
        <f t="shared" si="7"/>
        <v>0</v>
      </c>
      <c r="O90" s="26">
        <f t="shared" si="8"/>
        <v>0</v>
      </c>
      <c r="P90" s="21">
        <f t="shared" si="9"/>
        <v>0</v>
      </c>
      <c r="Q90" s="52" t="str">
        <f>IF($A90="","",IF($O90&lt;=0,"Depleted",IF($I90&lt;0,"EXPIRED",IF($I90&lt;=Settings!$C$6,"CRITICAL",IF($I90&lt;=Settings!$C$5,"Expiring","In date")))))</f>
        <v>Depleted</v>
      </c>
    </row>
    <row r="91" spans="1:17" x14ac:dyDescent="0.35">
      <c r="A91" s="90" t="str">
        <f>IF(Receipts!$D91="","",Receipts!$D91)</f>
        <v>Hand Sanitizer</v>
      </c>
      <c r="B91" s="18" t="str">
        <f>IF(Receipts!$C91="","",Receipts!$C91)</f>
        <v>563963-4</v>
      </c>
      <c r="C91" s="18" t="str">
        <f>IF($A91="","",IFERROR(INDEX(Items!$B$5:$B$597,MATCH($A91,Items!$A$5:$A$597,0)),""))</f>
        <v>Sanitizer</v>
      </c>
      <c r="D91" s="23">
        <f>IF($A91="","",N(Receipts!$G91))</f>
        <v>11</v>
      </c>
      <c r="E91" s="20">
        <f>IF($A91="","",IFERROR(INDEX(Items!$D$5:$D$597,MATCH($A91,Items!$A$5:$A$597,0)),0))</f>
        <v>4.49</v>
      </c>
      <c r="F91" s="21">
        <f t="shared" si="5"/>
        <v>49.39</v>
      </c>
      <c r="G91" s="25">
        <f>IF(Receipts!$I91="","",Receipts!$I91)</f>
        <v>46113</v>
      </c>
      <c r="H91" s="25">
        <f>IF(Receipts!$H91="","",Receipts!$H91)</f>
        <v>47026</v>
      </c>
      <c r="I91" s="26">
        <f t="shared" ca="1" si="6"/>
        <v>788</v>
      </c>
      <c r="J91" s="26">
        <f>IF($A91="","",COUNTIFS(tblReceipts[Item Name],$A91,tblReceipts[Expiry Date],"&lt;"&amp;$H91)+COUNTIFS(tblReceipts[Item Name],$A91,tblReceipts[Expiry Date],$H91,tblReceipts[Lot Number],"&lt;="&amp;Receipts!$C91))</f>
        <v>7</v>
      </c>
      <c r="K91" s="26">
        <f>IF($A91="","",SUMIFS(tblReceipts[Qty Received],tblReceipts[Item Name],$A91,tblReceipts[Expiry Date],"&lt;"&amp;$H91)+SUMIFS(tblReceipts[Qty Received],tblReceipts[Item Name],$A91,tblReceipts[Expiry Date],$H91,tblReceipts[Lot Number],"&lt;"&amp;Receipts!$C91))</f>
        <v>0</v>
      </c>
      <c r="L91" s="26">
        <f>IF($A91="","",MIN($D91,MAX(0,SUMIFS(tblIssues[Qty Issued],tblIssues[Item Name],$A91)-$K91)))</f>
        <v>11</v>
      </c>
      <c r="M91" s="26">
        <f>IF($A91="","",SUMIFS(tblIssues[Qty Issued],tblIssues[Lot Number],$B91))</f>
        <v>0</v>
      </c>
      <c r="N91" s="26">
        <f t="shared" si="7"/>
        <v>-11</v>
      </c>
      <c r="O91" s="26">
        <f t="shared" si="8"/>
        <v>0</v>
      </c>
      <c r="P91" s="21">
        <f t="shared" si="9"/>
        <v>0</v>
      </c>
      <c r="Q91" s="52" t="str">
        <f>IF($A91="","",IF($O91&lt;=0,"Depleted",IF($I91&lt;0,"EXPIRED",IF($I91&lt;=Settings!$C$6,"CRITICAL",IF($I91&lt;=Settings!$C$5,"Expiring","In date")))))</f>
        <v>Depleted</v>
      </c>
    </row>
    <row r="92" spans="1:17" x14ac:dyDescent="0.35">
      <c r="A92" s="90" t="str">
        <f>IF(Receipts!$D92="","",Receipts!$D92)</f>
        <v>Hand Sanitizer</v>
      </c>
      <c r="B92" s="18" t="str">
        <f>IF(Receipts!$C92="","",Receipts!$C92)</f>
        <v>563963-5</v>
      </c>
      <c r="C92" s="18" t="str">
        <f>IF($A92="","",IFERROR(INDEX(Items!$B$5:$B$597,MATCH($A92,Items!$A$5:$A$597,0)),""))</f>
        <v>Sanitizer</v>
      </c>
      <c r="D92" s="23">
        <f>IF($A92="","",N(Receipts!$G92))</f>
        <v>48</v>
      </c>
      <c r="E92" s="20">
        <f>IF($A92="","",IFERROR(INDEX(Items!$D$5:$D$597,MATCH($A92,Items!$A$5:$A$597,0)),0))</f>
        <v>4.49</v>
      </c>
      <c r="F92" s="21">
        <f t="shared" si="5"/>
        <v>215.52</v>
      </c>
      <c r="G92" s="25">
        <f>IF(Receipts!$I92="","",Receipts!$I92)</f>
        <v>46113</v>
      </c>
      <c r="H92" s="25">
        <f>IF(Receipts!$H92="","",Receipts!$H92)</f>
        <v>47026</v>
      </c>
      <c r="I92" s="26">
        <f t="shared" ca="1" si="6"/>
        <v>788</v>
      </c>
      <c r="J92" s="26">
        <f>IF($A92="","",COUNTIFS(tblReceipts[Item Name],$A92,tblReceipts[Expiry Date],"&lt;"&amp;$H92)+COUNTIFS(tblReceipts[Item Name],$A92,tblReceipts[Expiry Date],$H92,tblReceipts[Lot Number],"&lt;="&amp;Receipts!$C92))</f>
        <v>8</v>
      </c>
      <c r="K92" s="26">
        <f>IF($A92="","",SUMIFS(tblReceipts[Qty Received],tblReceipts[Item Name],$A92,tblReceipts[Expiry Date],"&lt;"&amp;$H92)+SUMIFS(tblReceipts[Qty Received],tblReceipts[Item Name],$A92,tblReceipts[Expiry Date],$H92,tblReceipts[Lot Number],"&lt;"&amp;Receipts!$C92))</f>
        <v>11</v>
      </c>
      <c r="L92" s="26">
        <f>IF($A92="","",MIN($D92,MAX(0,SUMIFS(tblIssues[Qty Issued],tblIssues[Item Name],$A92)-$K92)))</f>
        <v>48</v>
      </c>
      <c r="M92" s="26">
        <f>IF($A92="","",SUMIFS(tblIssues[Qty Issued],tblIssues[Lot Number],$B92))</f>
        <v>54</v>
      </c>
      <c r="N92" s="26">
        <f t="shared" si="7"/>
        <v>6</v>
      </c>
      <c r="O92" s="26">
        <f t="shared" si="8"/>
        <v>0</v>
      </c>
      <c r="P92" s="21">
        <f t="shared" si="9"/>
        <v>0</v>
      </c>
      <c r="Q92" s="52" t="str">
        <f>IF($A92="","",IF($O92&lt;=0,"Depleted",IF($I92&lt;0,"EXPIRED",IF($I92&lt;=Settings!$C$6,"CRITICAL",IF($I92&lt;=Settings!$C$5,"Expiring","In date")))))</f>
        <v>Depleted</v>
      </c>
    </row>
    <row r="93" spans="1:17" x14ac:dyDescent="0.35">
      <c r="A93" s="90" t="str">
        <f>IF(Receipts!$D93="","",Receipts!$D93)</f>
        <v>Hand Sanitizer</v>
      </c>
      <c r="B93" s="18" t="str">
        <f>IF(Receipts!$C93="","",Receipts!$C93)</f>
        <v>563963-6</v>
      </c>
      <c r="C93" s="18" t="str">
        <f>IF($A93="","",IFERROR(INDEX(Items!$B$5:$B$597,MATCH($A93,Items!$A$5:$A$597,0)),""))</f>
        <v>Sanitizer</v>
      </c>
      <c r="D93" s="23">
        <f>IF($A93="","",N(Receipts!$G93))</f>
        <v>48</v>
      </c>
      <c r="E93" s="20">
        <f>IF($A93="","",IFERROR(INDEX(Items!$D$5:$D$597,MATCH($A93,Items!$A$5:$A$597,0)),0))</f>
        <v>4.49</v>
      </c>
      <c r="F93" s="21">
        <f t="shared" si="5"/>
        <v>215.52</v>
      </c>
      <c r="G93" s="25">
        <f>IF(Receipts!$I93="","",Receipts!$I93)</f>
        <v>46113</v>
      </c>
      <c r="H93" s="25">
        <f>IF(Receipts!$H93="","",Receipts!$H93)</f>
        <v>47026</v>
      </c>
      <c r="I93" s="26">
        <f t="shared" ca="1" si="6"/>
        <v>788</v>
      </c>
      <c r="J93" s="26">
        <f>IF($A93="","",COUNTIFS(tblReceipts[Item Name],$A93,tblReceipts[Expiry Date],"&lt;"&amp;$H93)+COUNTIFS(tblReceipts[Item Name],$A93,tblReceipts[Expiry Date],$H93,tblReceipts[Lot Number],"&lt;="&amp;Receipts!$C93))</f>
        <v>9</v>
      </c>
      <c r="K93" s="26">
        <f>IF($A93="","",SUMIFS(tblReceipts[Qty Received],tblReceipts[Item Name],$A93,tblReceipts[Expiry Date],"&lt;"&amp;$H93)+SUMIFS(tblReceipts[Qty Received],tblReceipts[Item Name],$A93,tblReceipts[Expiry Date],$H93,tblReceipts[Lot Number],"&lt;"&amp;Receipts!$C93))</f>
        <v>59</v>
      </c>
      <c r="L93" s="26">
        <f>IF($A93="","",MIN($D93,MAX(0,SUMIFS(tblIssues[Qty Issued],tblIssues[Item Name],$A93)-$K93)))</f>
        <v>48</v>
      </c>
      <c r="M93" s="26">
        <f>IF($A93="","",SUMIFS(tblIssues[Qty Issued],tblIssues[Lot Number],$B93))</f>
        <v>54</v>
      </c>
      <c r="N93" s="26">
        <f t="shared" si="7"/>
        <v>6</v>
      </c>
      <c r="O93" s="26">
        <f t="shared" si="8"/>
        <v>0</v>
      </c>
      <c r="P93" s="21">
        <f t="shared" si="9"/>
        <v>0</v>
      </c>
      <c r="Q93" s="52" t="str">
        <f>IF($A93="","",IF($O93&lt;=0,"Depleted",IF($I93&lt;0,"EXPIRED",IF($I93&lt;=Settings!$C$6,"CRITICAL",IF($I93&lt;=Settings!$C$5,"Expiring","In date")))))</f>
        <v>Depleted</v>
      </c>
    </row>
    <row r="94" spans="1:17" x14ac:dyDescent="0.35">
      <c r="A94" s="90" t="str">
        <f>IF(Receipts!$D94="","",Receipts!$D94)</f>
        <v>Hand Sanitizer</v>
      </c>
      <c r="B94" s="18" t="str">
        <f>IF(Receipts!$C94="","",Receipts!$C94)</f>
        <v>563963-7</v>
      </c>
      <c r="C94" s="18" t="str">
        <f>IF($A94="","",IFERROR(INDEX(Items!$B$5:$B$597,MATCH($A94,Items!$A$5:$A$597,0)),""))</f>
        <v>Sanitizer</v>
      </c>
      <c r="D94" s="23">
        <f>IF($A94="","",N(Receipts!$G94))</f>
        <v>48</v>
      </c>
      <c r="E94" s="20">
        <f>IF($A94="","",IFERROR(INDEX(Items!$D$5:$D$597,MATCH($A94,Items!$A$5:$A$597,0)),0))</f>
        <v>4.49</v>
      </c>
      <c r="F94" s="21">
        <f t="shared" si="5"/>
        <v>215.52</v>
      </c>
      <c r="G94" s="25">
        <f>IF(Receipts!$I94="","",Receipts!$I94)</f>
        <v>46113</v>
      </c>
      <c r="H94" s="25">
        <f>IF(Receipts!$H94="","",Receipts!$H94)</f>
        <v>47026</v>
      </c>
      <c r="I94" s="26">
        <f t="shared" ca="1" si="6"/>
        <v>788</v>
      </c>
      <c r="J94" s="26">
        <f>IF($A94="","",COUNTIFS(tblReceipts[Item Name],$A94,tblReceipts[Expiry Date],"&lt;"&amp;$H94)+COUNTIFS(tblReceipts[Item Name],$A94,tblReceipts[Expiry Date],$H94,tblReceipts[Lot Number],"&lt;="&amp;Receipts!$C94))</f>
        <v>10</v>
      </c>
      <c r="K94" s="26">
        <f>IF($A94="","",SUMIFS(tblReceipts[Qty Received],tblReceipts[Item Name],$A94,tblReceipts[Expiry Date],"&lt;"&amp;$H94)+SUMIFS(tblReceipts[Qty Received],tblReceipts[Item Name],$A94,tblReceipts[Expiry Date],$H94,tblReceipts[Lot Number],"&lt;"&amp;Receipts!$C94))</f>
        <v>107</v>
      </c>
      <c r="L94" s="26">
        <f>IF($A94="","",MIN($D94,MAX(0,SUMIFS(tblIssues[Qty Issued],tblIssues[Item Name],$A94)-$K94)))</f>
        <v>48</v>
      </c>
      <c r="M94" s="26">
        <f>IF($A94="","",SUMIFS(tblIssues[Qty Issued],tblIssues[Lot Number],$B94))</f>
        <v>48</v>
      </c>
      <c r="N94" s="26">
        <f t="shared" si="7"/>
        <v>0</v>
      </c>
      <c r="O94" s="26">
        <f t="shared" si="8"/>
        <v>0</v>
      </c>
      <c r="P94" s="21">
        <f t="shared" si="9"/>
        <v>0</v>
      </c>
      <c r="Q94" s="52" t="str">
        <f>IF($A94="","",IF($O94&lt;=0,"Depleted",IF($I94&lt;0,"EXPIRED",IF($I94&lt;=Settings!$C$6,"CRITICAL",IF($I94&lt;=Settings!$C$5,"Expiring","In date")))))</f>
        <v>Depleted</v>
      </c>
    </row>
    <row r="95" spans="1:17" x14ac:dyDescent="0.35">
      <c r="A95" s="90" t="str">
        <f>IF(Receipts!$D95="","",Receipts!$D95)</f>
        <v>Hand Sanitizer</v>
      </c>
      <c r="B95" s="18" t="str">
        <f>IF(Receipts!$C95="","",Receipts!$C95)</f>
        <v>PRLL500261</v>
      </c>
      <c r="C95" s="18" t="str">
        <f>IF($A95="","",IFERROR(INDEX(Items!$B$5:$B$597,MATCH($A95,Items!$A$5:$A$597,0)),""))</f>
        <v>Sanitizer</v>
      </c>
      <c r="D95" s="23">
        <f>IF($A95="","",N(Receipts!$G95))</f>
        <v>0</v>
      </c>
      <c r="E95" s="20">
        <f>IF($A95="","",IFERROR(INDEX(Items!$D$5:$D$597,MATCH($A95,Items!$A$5:$A$597,0)),0))</f>
        <v>4.49</v>
      </c>
      <c r="F95" s="21">
        <f t="shared" si="5"/>
        <v>0</v>
      </c>
      <c r="G95" s="25">
        <f>IF(Receipts!$I95="","",Receipts!$I95)</f>
        <v>46113</v>
      </c>
      <c r="H95" s="25">
        <f>IF(Receipts!$H95="","",Receipts!$H95)</f>
        <v>47046</v>
      </c>
      <c r="I95" s="26">
        <f t="shared" ca="1" si="6"/>
        <v>808</v>
      </c>
      <c r="J95" s="26">
        <f>IF($A95="","",COUNTIFS(tblReceipts[Item Name],$A95,tblReceipts[Expiry Date],"&lt;"&amp;$H95)+COUNTIFS(tblReceipts[Item Name],$A95,tblReceipts[Expiry Date],$H95,tblReceipts[Lot Number],"&lt;="&amp;Receipts!$C95))</f>
        <v>11</v>
      </c>
      <c r="K95" s="26">
        <f>IF($A95="","",SUMIFS(tblReceipts[Qty Received],tblReceipts[Item Name],$A95,tblReceipts[Expiry Date],"&lt;"&amp;$H95)+SUMIFS(tblReceipts[Qty Received],tblReceipts[Item Name],$A95,tblReceipts[Expiry Date],$H95,tblReceipts[Lot Number],"&lt;"&amp;Receipts!$C95))</f>
        <v>155</v>
      </c>
      <c r="L95" s="26">
        <f>IF($A95="","",MIN($D95,MAX(0,SUMIFS(tblIssues[Qty Issued],tblIssues[Item Name],$A95)-$K95)))</f>
        <v>0</v>
      </c>
      <c r="M95" s="26">
        <f>IF($A95="","",SUMIFS(tblIssues[Qty Issued],tblIssues[Lot Number],$B95))</f>
        <v>0</v>
      </c>
      <c r="N95" s="26">
        <f t="shared" si="7"/>
        <v>0</v>
      </c>
      <c r="O95" s="26">
        <f t="shared" si="8"/>
        <v>0</v>
      </c>
      <c r="P95" s="21">
        <f t="shared" si="9"/>
        <v>0</v>
      </c>
      <c r="Q95" s="52" t="str">
        <f>IF($A95="","",IF($O95&lt;=0,"Depleted",IF($I95&lt;0,"EXPIRED",IF($I95&lt;=Settings!$C$6,"CRITICAL",IF($I95&lt;=Settings!$C$5,"Expiring","In date")))))</f>
        <v>Depleted</v>
      </c>
    </row>
    <row r="96" spans="1:17" x14ac:dyDescent="0.35">
      <c r="A96" s="90" t="str">
        <f>IF(Receipts!$D96="","",Receipts!$D96)</f>
        <v>Hand Sanitizer</v>
      </c>
      <c r="B96" s="18" t="str">
        <f>IF(Receipts!$C96="","",Receipts!$C96)</f>
        <v>PRLL500262</v>
      </c>
      <c r="C96" s="18" t="str">
        <f>IF($A96="","",IFERROR(INDEX(Items!$B$5:$B$597,MATCH($A96,Items!$A$5:$A$597,0)),""))</f>
        <v>Sanitizer</v>
      </c>
      <c r="D96" s="23">
        <f>IF($A96="","",N(Receipts!$G96))</f>
        <v>0</v>
      </c>
      <c r="E96" s="20">
        <f>IF($A96="","",IFERROR(INDEX(Items!$D$5:$D$597,MATCH($A96,Items!$A$5:$A$597,0)),0))</f>
        <v>4.49</v>
      </c>
      <c r="F96" s="21">
        <f t="shared" si="5"/>
        <v>0</v>
      </c>
      <c r="G96" s="25">
        <f>IF(Receipts!$I96="","",Receipts!$I96)</f>
        <v>46113</v>
      </c>
      <c r="H96" s="25">
        <f>IF(Receipts!$H96="","",Receipts!$H96)</f>
        <v>47776</v>
      </c>
      <c r="I96" s="26">
        <f t="shared" ca="1" si="6"/>
        <v>1538</v>
      </c>
      <c r="J96" s="26">
        <f>IF($A96="","",COUNTIFS(tblReceipts[Item Name],$A96,tblReceipts[Expiry Date],"&lt;"&amp;$H96)+COUNTIFS(tblReceipts[Item Name],$A96,tblReceipts[Expiry Date],$H96,tblReceipts[Lot Number],"&lt;="&amp;Receipts!$C96))</f>
        <v>12</v>
      </c>
      <c r="K96" s="26">
        <f>IF($A96="","",SUMIFS(tblReceipts[Qty Received],tblReceipts[Item Name],$A96,tblReceipts[Expiry Date],"&lt;"&amp;$H96)+SUMIFS(tblReceipts[Qty Received],tblReceipts[Item Name],$A96,tblReceipts[Expiry Date],$H96,tblReceipts[Lot Number],"&lt;"&amp;Receipts!$C96))</f>
        <v>155</v>
      </c>
      <c r="L96" s="26">
        <f>IF($A96="","",MIN($D96,MAX(0,SUMIFS(tblIssues[Qty Issued],tblIssues[Item Name],$A96)-$K96)))</f>
        <v>0</v>
      </c>
      <c r="M96" s="26">
        <f>IF($A96="","",SUMIFS(tblIssues[Qty Issued],tblIssues[Lot Number],$B96))</f>
        <v>0</v>
      </c>
      <c r="N96" s="26">
        <f t="shared" si="7"/>
        <v>0</v>
      </c>
      <c r="O96" s="26">
        <f t="shared" si="8"/>
        <v>0</v>
      </c>
      <c r="P96" s="21">
        <f t="shared" si="9"/>
        <v>0</v>
      </c>
      <c r="Q96" s="52" t="str">
        <f>IF($A96="","",IF($O96&lt;=0,"Depleted",IF($I96&lt;0,"EXPIRED",IF($I96&lt;=Settings!$C$6,"CRITICAL",IF($I96&lt;=Settings!$C$5,"Expiring","In date")))))</f>
        <v>Depleted</v>
      </c>
    </row>
    <row r="97" spans="1:17" x14ac:dyDescent="0.35">
      <c r="A97" s="90" t="str">
        <f>IF(Receipts!$D97="","",Receipts!$D97)</f>
        <v>Hand Sanitizer</v>
      </c>
      <c r="B97" s="18" t="str">
        <f>IF(Receipts!$C97="","",Receipts!$C97)</f>
        <v>PRLL500263</v>
      </c>
      <c r="C97" s="18" t="str">
        <f>IF($A97="","",IFERROR(INDEX(Items!$B$5:$B$597,MATCH($A97,Items!$A$5:$A$597,0)),""))</f>
        <v>Sanitizer</v>
      </c>
      <c r="D97" s="23">
        <f>IF($A97="","",N(Receipts!$G97))</f>
        <v>0</v>
      </c>
      <c r="E97" s="20">
        <f>IF($A97="","",IFERROR(INDEX(Items!$D$5:$D$597,MATCH($A97,Items!$A$5:$A$597,0)),0))</f>
        <v>4.49</v>
      </c>
      <c r="F97" s="21">
        <f t="shared" si="5"/>
        <v>0</v>
      </c>
      <c r="G97" s="25">
        <f>IF(Receipts!$I97="","",Receipts!$I97)</f>
        <v>46113</v>
      </c>
      <c r="H97" s="25">
        <f>IF(Receipts!$H97="","",Receipts!$H97)</f>
        <v>46537</v>
      </c>
      <c r="I97" s="26">
        <f t="shared" ca="1" si="6"/>
        <v>299</v>
      </c>
      <c r="J97" s="26">
        <f>IF($A97="","",COUNTIFS(tblReceipts[Item Name],$A97,tblReceipts[Expiry Date],"&lt;"&amp;$H97)+COUNTIFS(tblReceipts[Item Name],$A97,tblReceipts[Expiry Date],$H97,tblReceipts[Lot Number],"&lt;="&amp;Receipts!$C97))</f>
        <v>1</v>
      </c>
      <c r="K97" s="26">
        <f>IF($A97="","",SUMIFS(tblReceipts[Qty Received],tblReceipts[Item Name],$A97,tblReceipts[Expiry Date],"&lt;"&amp;$H97)+SUMIFS(tblReceipts[Qty Received],tblReceipts[Item Name],$A97,tblReceipts[Expiry Date],$H97,tblReceipts[Lot Number],"&lt;"&amp;Receipts!$C97))</f>
        <v>0</v>
      </c>
      <c r="L97" s="26">
        <f>IF($A97="","",MIN($D97,MAX(0,SUMIFS(tblIssues[Qty Issued],tblIssues[Item Name],$A97)-$K97)))</f>
        <v>0</v>
      </c>
      <c r="M97" s="26">
        <f>IF($A97="","",SUMIFS(tblIssues[Qty Issued],tblIssues[Lot Number],$B97))</f>
        <v>0</v>
      </c>
      <c r="N97" s="26">
        <f t="shared" si="7"/>
        <v>0</v>
      </c>
      <c r="O97" s="26">
        <f t="shared" si="8"/>
        <v>0</v>
      </c>
      <c r="P97" s="21">
        <f t="shared" si="9"/>
        <v>0</v>
      </c>
      <c r="Q97" s="52" t="str">
        <f>IF($A97="","",IF($O97&lt;=0,"Depleted",IF($I97&lt;0,"EXPIRED",IF($I97&lt;=Settings!$C$6,"CRITICAL",IF($I97&lt;=Settings!$C$5,"Expiring","In date")))))</f>
        <v>Depleted</v>
      </c>
    </row>
    <row r="98" spans="1:17" x14ac:dyDescent="0.35">
      <c r="A98" s="90" t="str">
        <f>IF(Receipts!$D98="","",Receipts!$D98)</f>
        <v>Hand Sanitizer</v>
      </c>
      <c r="B98" s="18" t="str">
        <f>IF(Receipts!$C98="","",Receipts!$C98)</f>
        <v>PRLL500264</v>
      </c>
      <c r="C98" s="18" t="str">
        <f>IF($A98="","",IFERROR(INDEX(Items!$B$5:$B$597,MATCH($A98,Items!$A$5:$A$597,0)),""))</f>
        <v>Sanitizer</v>
      </c>
      <c r="D98" s="23">
        <f>IF($A98="","",N(Receipts!$G98))</f>
        <v>0</v>
      </c>
      <c r="E98" s="20">
        <f>IF($A98="","",IFERROR(INDEX(Items!$D$5:$D$597,MATCH($A98,Items!$A$5:$A$597,0)),0))</f>
        <v>4.49</v>
      </c>
      <c r="F98" s="21">
        <f t="shared" si="5"/>
        <v>0</v>
      </c>
      <c r="G98" s="25">
        <f>IF(Receipts!$I98="","",Receipts!$I98)</f>
        <v>46113</v>
      </c>
      <c r="H98" s="25">
        <f>IF(Receipts!$H98="","",Receipts!$H98)</f>
        <v>46554</v>
      </c>
      <c r="I98" s="26">
        <f t="shared" ca="1" si="6"/>
        <v>316</v>
      </c>
      <c r="J98" s="26">
        <f>IF($A98="","",COUNTIFS(tblReceipts[Item Name],$A98,tblReceipts[Expiry Date],"&lt;"&amp;$H98)+COUNTIFS(tblReceipts[Item Name],$A98,tblReceipts[Expiry Date],$H98,tblReceipts[Lot Number],"&lt;="&amp;Receipts!$C98))</f>
        <v>2</v>
      </c>
      <c r="K98" s="26">
        <f>IF($A98="","",SUMIFS(tblReceipts[Qty Received],tblReceipts[Item Name],$A98,tblReceipts[Expiry Date],"&lt;"&amp;$H98)+SUMIFS(tblReceipts[Qty Received],tblReceipts[Item Name],$A98,tblReceipts[Expiry Date],$H98,tblReceipts[Lot Number],"&lt;"&amp;Receipts!$C98))</f>
        <v>0</v>
      </c>
      <c r="L98" s="26">
        <f>IF($A98="","",MIN($D98,MAX(0,SUMIFS(tblIssues[Qty Issued],tblIssues[Item Name],$A98)-$K98)))</f>
        <v>0</v>
      </c>
      <c r="M98" s="26">
        <f>IF($A98="","",SUMIFS(tblIssues[Qty Issued],tblIssues[Lot Number],$B98))</f>
        <v>0</v>
      </c>
      <c r="N98" s="26">
        <f t="shared" si="7"/>
        <v>0</v>
      </c>
      <c r="O98" s="26">
        <f t="shared" si="8"/>
        <v>0</v>
      </c>
      <c r="P98" s="21">
        <f t="shared" si="9"/>
        <v>0</v>
      </c>
      <c r="Q98" s="52" t="str">
        <f>IF($A98="","",IF($O98&lt;=0,"Depleted",IF($I98&lt;0,"EXPIRED",IF($I98&lt;=Settings!$C$6,"CRITICAL",IF($I98&lt;=Settings!$C$5,"Expiring","In date")))))</f>
        <v>Depleted</v>
      </c>
    </row>
    <row r="99" spans="1:17" x14ac:dyDescent="0.35">
      <c r="A99" s="90" t="str">
        <f>IF(Receipts!$D99="","",Receipts!$D99)</f>
        <v>Hand Sanitizer OS</v>
      </c>
      <c r="B99" s="18" t="str">
        <f>IF(Receipts!$C99="","",Receipts!$C99)</f>
        <v>20-21734-0</v>
      </c>
      <c r="C99" s="18" t="str">
        <f>IF($A99="","",IFERROR(INDEX(Items!$B$5:$B$597,MATCH($A99,Items!$A$5:$A$597,0)),""))</f>
        <v>Sanitizer</v>
      </c>
      <c r="D99" s="23">
        <f>IF($A99="","",N(Receipts!$G99))</f>
        <v>84</v>
      </c>
      <c r="E99" s="20">
        <f>IF($A99="","",IFERROR(INDEX(Items!$D$5:$D$597,MATCH($A99,Items!$A$5:$A$597,0)),0))</f>
        <v>1E-4</v>
      </c>
      <c r="F99" s="21">
        <f t="shared" si="5"/>
        <v>8.4000000000000012E-3</v>
      </c>
      <c r="G99" s="25">
        <f>IF(Receipts!$I99="","",Receipts!$I99)</f>
        <v>46113</v>
      </c>
      <c r="H99" s="25">
        <f>IF(Receipts!$H99="","",Receipts!$H99)</f>
        <v>47026</v>
      </c>
      <c r="I99" s="26">
        <f t="shared" ca="1" si="6"/>
        <v>788</v>
      </c>
      <c r="J99" s="26">
        <f>IF($A99="","",COUNTIFS(tblReceipts[Item Name],$A99,tblReceipts[Expiry Date],"&lt;"&amp;$H99)+COUNTIFS(tblReceipts[Item Name],$A99,tblReceipts[Expiry Date],$H99,tblReceipts[Lot Number],"&lt;="&amp;Receipts!$C99))</f>
        <v>10</v>
      </c>
      <c r="K99" s="26">
        <f>IF($A99="","",SUMIFS(tblReceipts[Qty Received],tblReceipts[Item Name],$A99,tblReceipts[Expiry Date],"&lt;"&amp;$H99)+SUMIFS(tblReceipts[Qty Received],tblReceipts[Item Name],$A99,tblReceipts[Expiry Date],$H99,tblReceipts[Lot Number],"&lt;"&amp;Receipts!$C99))</f>
        <v>360</v>
      </c>
      <c r="L99" s="26">
        <f>IF($A99="","",MIN($D99,MAX(0,SUMIFS(tblIssues[Qty Issued],tblIssues[Item Name],$A99)-$K99)))</f>
        <v>0</v>
      </c>
      <c r="M99" s="26">
        <f>IF($A99="","",SUMIFS(tblIssues[Qty Issued],tblIssues[Lot Number],$B99))</f>
        <v>0</v>
      </c>
      <c r="N99" s="26">
        <f t="shared" si="7"/>
        <v>0</v>
      </c>
      <c r="O99" s="26">
        <f t="shared" si="8"/>
        <v>84</v>
      </c>
      <c r="P99" s="21">
        <f t="shared" si="9"/>
        <v>8.4000000000000012E-3</v>
      </c>
      <c r="Q99" s="52" t="str">
        <f ca="1">IF($A99="","",IF($O99&lt;=0,"Depleted",IF($I99&lt;0,"EXPIRED",IF($I99&lt;=Settings!$C$6,"CRITICAL",IF($I99&lt;=Settings!$C$5,"Expiring","In date")))))</f>
        <v>In date</v>
      </c>
    </row>
    <row r="100" spans="1:17" x14ac:dyDescent="0.35">
      <c r="A100" s="90" t="str">
        <f>IF(Receipts!$D100="","",Receipts!$D100)</f>
        <v>Hand Sanitizer OS</v>
      </c>
      <c r="B100" s="18" t="str">
        <f>IF(Receipts!$C100="","",Receipts!$C100)</f>
        <v>20-21734-1</v>
      </c>
      <c r="C100" s="18" t="str">
        <f>IF($A100="","",IFERROR(INDEX(Items!$B$5:$B$597,MATCH($A100,Items!$A$5:$A$597,0)),""))</f>
        <v>Sanitizer</v>
      </c>
      <c r="D100" s="23">
        <f>IF($A100="","",N(Receipts!$G100))</f>
        <v>36</v>
      </c>
      <c r="E100" s="20">
        <f>IF($A100="","",IFERROR(INDEX(Items!$D$5:$D$597,MATCH($A100,Items!$A$5:$A$597,0)),0))</f>
        <v>1E-4</v>
      </c>
      <c r="F100" s="21">
        <f t="shared" si="5"/>
        <v>3.6000000000000003E-3</v>
      </c>
      <c r="G100" s="25">
        <f>IF(Receipts!$I100="","",Receipts!$I100)</f>
        <v>46113</v>
      </c>
      <c r="H100" s="25">
        <f>IF(Receipts!$H100="","",Receipts!$H100)</f>
        <v>46811</v>
      </c>
      <c r="I100" s="26">
        <f t="shared" ca="1" si="6"/>
        <v>573</v>
      </c>
      <c r="J100" s="26">
        <f>IF($A100="","",COUNTIFS(tblReceipts[Item Name],$A100,tblReceipts[Expiry Date],"&lt;"&amp;$H100)+COUNTIFS(tblReceipts[Item Name],$A100,tblReceipts[Expiry Date],$H100,tblReceipts[Lot Number],"&lt;="&amp;Receipts!$C100))</f>
        <v>1</v>
      </c>
      <c r="K100" s="26">
        <f>IF($A100="","",SUMIFS(tblReceipts[Qty Received],tblReceipts[Item Name],$A100,tblReceipts[Expiry Date],"&lt;"&amp;$H100)+SUMIFS(tblReceipts[Qty Received],tblReceipts[Item Name],$A100,tblReceipts[Expiry Date],$H100,tblReceipts[Lot Number],"&lt;"&amp;Receipts!$C100))</f>
        <v>0</v>
      </c>
      <c r="L100" s="26">
        <f>IF($A100="","",MIN($D100,MAX(0,SUMIFS(tblIssues[Qty Issued],tblIssues[Item Name],$A100)-$K100)))</f>
        <v>36</v>
      </c>
      <c r="M100" s="26">
        <f>IF($A100="","",SUMIFS(tblIssues[Qty Issued],tblIssues[Lot Number],$B100))</f>
        <v>36</v>
      </c>
      <c r="N100" s="26">
        <f t="shared" si="7"/>
        <v>0</v>
      </c>
      <c r="O100" s="26">
        <f t="shared" si="8"/>
        <v>0</v>
      </c>
      <c r="P100" s="21">
        <f t="shared" si="9"/>
        <v>0</v>
      </c>
      <c r="Q100" s="52" t="str">
        <f>IF($A100="","",IF($O100&lt;=0,"Depleted",IF($I100&lt;0,"EXPIRED",IF($I100&lt;=Settings!$C$6,"CRITICAL",IF($I100&lt;=Settings!$C$5,"Expiring","In date")))))</f>
        <v>Depleted</v>
      </c>
    </row>
    <row r="101" spans="1:17" x14ac:dyDescent="0.35">
      <c r="A101" s="90" t="str">
        <f>IF(Receipts!$D101="","",Receipts!$D101)</f>
        <v>ICE Cleats -Small</v>
      </c>
      <c r="B101" s="18" t="str">
        <f>IF(Receipts!$C101="","",Receipts!$C101)</f>
        <v>IC321</v>
      </c>
      <c r="C101" s="18" t="str">
        <f>IF($A101="","",IFERROR(INDEX(Items!$B$5:$B$597,MATCH($A101,Items!$A$5:$A$597,0)),""))</f>
        <v>PPE</v>
      </c>
      <c r="D101" s="23">
        <f>IF($A101="","",N(Receipts!$G101))</f>
        <v>15</v>
      </c>
      <c r="E101" s="20">
        <f>IF($A101="","",IFERROR(INDEX(Items!$D$5:$D$597,MATCH($A101,Items!$A$5:$A$597,0)),0))</f>
        <v>145.97999999999999</v>
      </c>
      <c r="F101" s="21">
        <f t="shared" si="5"/>
        <v>2189.6999999999998</v>
      </c>
      <c r="G101" s="25">
        <f>IF(Receipts!$I101="","",Receipts!$I101)</f>
        <v>46113</v>
      </c>
      <c r="H101" s="25">
        <f>IF(Receipts!$H101="","",Receipts!$H101)</f>
        <v>47386</v>
      </c>
      <c r="I101" s="26">
        <f t="shared" ca="1" si="6"/>
        <v>1148</v>
      </c>
      <c r="J101" s="26">
        <f>IF($A101="","",COUNTIFS(tblReceipts[Item Name],$A101,tblReceipts[Expiry Date],"&lt;"&amp;$H101)+COUNTIFS(tblReceipts[Item Name],$A101,tblReceipts[Expiry Date],$H101,tblReceipts[Lot Number],"&lt;="&amp;Receipts!$C101))</f>
        <v>1</v>
      </c>
      <c r="K101" s="26">
        <f>IF($A101="","",SUMIFS(tblReceipts[Qty Received],tblReceipts[Item Name],$A101,tblReceipts[Expiry Date],"&lt;"&amp;$H101)+SUMIFS(tblReceipts[Qty Received],tblReceipts[Item Name],$A101,tblReceipts[Expiry Date],$H101,tblReceipts[Lot Number],"&lt;"&amp;Receipts!$C101))</f>
        <v>0</v>
      </c>
      <c r="L101" s="26">
        <f>IF($A101="","",MIN($D101,MAX(0,SUMIFS(tblIssues[Qty Issued],tblIssues[Item Name],$A101)-$K101)))</f>
        <v>0</v>
      </c>
      <c r="M101" s="26">
        <f>IF($A101="","",SUMIFS(tblIssues[Qty Issued],tblIssues[Lot Number],$B101))</f>
        <v>0</v>
      </c>
      <c r="N101" s="26">
        <f t="shared" si="7"/>
        <v>0</v>
      </c>
      <c r="O101" s="26">
        <f t="shared" si="8"/>
        <v>15</v>
      </c>
      <c r="P101" s="21">
        <f t="shared" si="9"/>
        <v>2189.6999999999998</v>
      </c>
      <c r="Q101" s="52" t="str">
        <f ca="1">IF($A101="","",IF($O101&lt;=0,"Depleted",IF($I101&lt;0,"EXPIRED",IF($I101&lt;=Settings!$C$6,"CRITICAL",IF($I101&lt;=Settings!$C$5,"Expiring","In date")))))</f>
        <v>In date</v>
      </c>
    </row>
    <row r="102" spans="1:17" x14ac:dyDescent="0.35">
      <c r="A102" s="90" t="str">
        <f>IF(Receipts!$D102="","",Receipts!$D102)</f>
        <v>ICE Cleats-Large</v>
      </c>
      <c r="B102" s="18" t="str">
        <f>IF(Receipts!$C102="","",Receipts!$C102)</f>
        <v>IC54321</v>
      </c>
      <c r="C102" s="18" t="str">
        <f>IF($A102="","",IFERROR(INDEX(Items!$B$5:$B$597,MATCH($A102,Items!$A$5:$A$597,0)),""))</f>
        <v>PPE</v>
      </c>
      <c r="D102" s="23">
        <f>IF($A102="","",N(Receipts!$G102))</f>
        <v>0</v>
      </c>
      <c r="E102" s="20">
        <f>IF($A102="","",IFERROR(INDEX(Items!$D$5:$D$597,MATCH($A102,Items!$A$5:$A$597,0)),0))</f>
        <v>145.97999999999999</v>
      </c>
      <c r="F102" s="21">
        <f t="shared" si="5"/>
        <v>0</v>
      </c>
      <c r="G102" s="25">
        <f>IF(Receipts!$I102="","",Receipts!$I102)</f>
        <v>46113</v>
      </c>
      <c r="H102" s="25">
        <f>IF(Receipts!$H102="","",Receipts!$H102)</f>
        <v>47386</v>
      </c>
      <c r="I102" s="26">
        <f t="shared" ca="1" si="6"/>
        <v>1148</v>
      </c>
      <c r="J102" s="26">
        <f>IF($A102="","",COUNTIFS(tblReceipts[Item Name],$A102,tblReceipts[Expiry Date],"&lt;"&amp;$H102)+COUNTIFS(tblReceipts[Item Name],$A102,tblReceipts[Expiry Date],$H102,tblReceipts[Lot Number],"&lt;="&amp;Receipts!$C102))</f>
        <v>1</v>
      </c>
      <c r="K102" s="26">
        <f>IF($A102="","",SUMIFS(tblReceipts[Qty Received],tblReceipts[Item Name],$A102,tblReceipts[Expiry Date],"&lt;"&amp;$H102)+SUMIFS(tblReceipts[Qty Received],tblReceipts[Item Name],$A102,tblReceipts[Expiry Date],$H102,tblReceipts[Lot Number],"&lt;"&amp;Receipts!$C102))</f>
        <v>0</v>
      </c>
      <c r="L102" s="26">
        <f>IF($A102="","",MIN($D102,MAX(0,SUMIFS(tblIssues[Qty Issued],tblIssues[Item Name],$A102)-$K102)))</f>
        <v>0</v>
      </c>
      <c r="M102" s="26">
        <f>IF($A102="","",SUMIFS(tblIssues[Qty Issued],tblIssues[Lot Number],$B102))</f>
        <v>0</v>
      </c>
      <c r="N102" s="26">
        <f t="shared" si="7"/>
        <v>0</v>
      </c>
      <c r="O102" s="26">
        <f t="shared" si="8"/>
        <v>0</v>
      </c>
      <c r="P102" s="21">
        <f t="shared" si="9"/>
        <v>0</v>
      </c>
      <c r="Q102" s="52" t="str">
        <f>IF($A102="","",IF($O102&lt;=0,"Depleted",IF($I102&lt;0,"EXPIRED",IF($I102&lt;=Settings!$C$6,"CRITICAL",IF($I102&lt;=Settings!$C$5,"Expiring","In date")))))</f>
        <v>Depleted</v>
      </c>
    </row>
    <row r="103" spans="1:17" x14ac:dyDescent="0.35">
      <c r="A103" s="90" t="str">
        <f>IF(Receipts!$D103="","",Receipts!$D103)</f>
        <v>ICE Cleats-Medium</v>
      </c>
      <c r="B103" s="18" t="str">
        <f>IF(Receipts!$C103="","",Receipts!$C103)</f>
        <v>IC4321</v>
      </c>
      <c r="C103" s="18" t="str">
        <f>IF($A103="","",IFERROR(INDEX(Items!$B$5:$B$597,MATCH($A103,Items!$A$5:$A$597,0)),""))</f>
        <v>PPE</v>
      </c>
      <c r="D103" s="23">
        <f>IF($A103="","",N(Receipts!$G103))</f>
        <v>1</v>
      </c>
      <c r="E103" s="20">
        <f>IF($A103="","",IFERROR(INDEX(Items!$D$5:$D$597,MATCH($A103,Items!$A$5:$A$597,0)),0))</f>
        <v>145.97999999999999</v>
      </c>
      <c r="F103" s="21">
        <f t="shared" si="5"/>
        <v>145.97999999999999</v>
      </c>
      <c r="G103" s="25">
        <f>IF(Receipts!$I103="","",Receipts!$I103)</f>
        <v>46113</v>
      </c>
      <c r="H103" s="25">
        <f>IF(Receipts!$H103="","",Receipts!$H103)</f>
        <v>47386</v>
      </c>
      <c r="I103" s="26">
        <f t="shared" ca="1" si="6"/>
        <v>1148</v>
      </c>
      <c r="J103" s="26">
        <f>IF($A103="","",COUNTIFS(tblReceipts[Item Name],$A103,tblReceipts[Expiry Date],"&lt;"&amp;$H103)+COUNTIFS(tblReceipts[Item Name],$A103,tblReceipts[Expiry Date],$H103,tblReceipts[Lot Number],"&lt;="&amp;Receipts!$C103))</f>
        <v>1</v>
      </c>
      <c r="K103" s="26">
        <f>IF($A103="","",SUMIFS(tblReceipts[Qty Received],tblReceipts[Item Name],$A103,tblReceipts[Expiry Date],"&lt;"&amp;$H103)+SUMIFS(tblReceipts[Qty Received],tblReceipts[Item Name],$A103,tblReceipts[Expiry Date],$H103,tblReceipts[Lot Number],"&lt;"&amp;Receipts!$C103))</f>
        <v>0</v>
      </c>
      <c r="L103" s="26">
        <f>IF($A103="","",MIN($D103,MAX(0,SUMIFS(tblIssues[Qty Issued],tblIssues[Item Name],$A103)-$K103)))</f>
        <v>0</v>
      </c>
      <c r="M103" s="26">
        <f>IF($A103="","",SUMIFS(tblIssues[Qty Issued],tblIssues[Lot Number],$B103))</f>
        <v>0</v>
      </c>
      <c r="N103" s="26">
        <f t="shared" si="7"/>
        <v>0</v>
      </c>
      <c r="O103" s="26">
        <f t="shared" si="8"/>
        <v>1</v>
      </c>
      <c r="P103" s="21">
        <f t="shared" si="9"/>
        <v>145.97999999999999</v>
      </c>
      <c r="Q103" s="52" t="str">
        <f ca="1">IF($A103="","",IF($O103&lt;=0,"Depleted",IF($I103&lt;0,"EXPIRED",IF($I103&lt;=Settings!$C$6,"CRITICAL",IF($I103&lt;=Settings!$C$5,"Expiring","In date")))))</f>
        <v>In date</v>
      </c>
    </row>
    <row r="104" spans="1:17" x14ac:dyDescent="0.35">
      <c r="A104" s="90" t="str">
        <f>IF(Receipts!$D104="","",Receipts!$D104)</f>
        <v>ICE Cleats-X-Large</v>
      </c>
      <c r="B104" s="18" t="str">
        <f>IF(Receipts!$C104="","",Receipts!$C104)</f>
        <v>IC654321</v>
      </c>
      <c r="C104" s="18" t="str">
        <f>IF($A104="","",IFERROR(INDEX(Items!$B$5:$B$597,MATCH($A104,Items!$A$5:$A$597,0)),""))</f>
        <v>PPE</v>
      </c>
      <c r="D104" s="23">
        <f>IF($A104="","",N(Receipts!$G104))</f>
        <v>4</v>
      </c>
      <c r="E104" s="20">
        <f>IF($A104="","",IFERROR(INDEX(Items!$D$5:$D$597,MATCH($A104,Items!$A$5:$A$597,0)),0))</f>
        <v>145.97999999999999</v>
      </c>
      <c r="F104" s="21">
        <f t="shared" si="5"/>
        <v>583.91999999999996</v>
      </c>
      <c r="G104" s="25">
        <f>IF(Receipts!$I104="","",Receipts!$I104)</f>
        <v>46113</v>
      </c>
      <c r="H104" s="25">
        <f>IF(Receipts!$H104="","",Receipts!$H104)</f>
        <v>47386</v>
      </c>
      <c r="I104" s="26">
        <f t="shared" ca="1" si="6"/>
        <v>1148</v>
      </c>
      <c r="J104" s="26">
        <f>IF($A104="","",COUNTIFS(tblReceipts[Item Name],$A104,tblReceipts[Expiry Date],"&lt;"&amp;$H104)+COUNTIFS(tblReceipts[Item Name],$A104,tblReceipts[Expiry Date],$H104,tblReceipts[Lot Number],"&lt;="&amp;Receipts!$C104))</f>
        <v>1</v>
      </c>
      <c r="K104" s="26">
        <f>IF($A104="","",SUMIFS(tblReceipts[Qty Received],tblReceipts[Item Name],$A104,tblReceipts[Expiry Date],"&lt;"&amp;$H104)+SUMIFS(tblReceipts[Qty Received],tblReceipts[Item Name],$A104,tblReceipts[Expiry Date],$H104,tblReceipts[Lot Number],"&lt;"&amp;Receipts!$C104))</f>
        <v>0</v>
      </c>
      <c r="L104" s="26">
        <f>IF($A104="","",MIN($D104,MAX(0,SUMIFS(tblIssues[Qty Issued],tblIssues[Item Name],$A104)-$K104)))</f>
        <v>0</v>
      </c>
      <c r="M104" s="26">
        <f>IF($A104="","",SUMIFS(tblIssues[Qty Issued],tblIssues[Lot Number],$B104))</f>
        <v>0</v>
      </c>
      <c r="N104" s="26">
        <f t="shared" si="7"/>
        <v>0</v>
      </c>
      <c r="O104" s="26">
        <f t="shared" si="8"/>
        <v>4</v>
      </c>
      <c r="P104" s="21">
        <f t="shared" si="9"/>
        <v>583.91999999999996</v>
      </c>
      <c r="Q104" s="52" t="str">
        <f ca="1">IF($A104="","",IF($O104&lt;=0,"Depleted",IF($I104&lt;0,"EXPIRED",IF($I104&lt;=Settings!$C$6,"CRITICAL",IF($I104&lt;=Settings!$C$5,"Expiring","In date")))))</f>
        <v>In date</v>
      </c>
    </row>
    <row r="105" spans="1:17" x14ac:dyDescent="0.35">
      <c r="A105" s="90" t="str">
        <f>IF(Receipts!$D105="","",Receipts!$D105)</f>
        <v>Level 1/2 - Water resistant Blue Gowns</v>
      </c>
      <c r="B105" s="18" t="str">
        <f>IF(Receipts!$C105="","",Receipts!$C105)</f>
        <v>WRB500270</v>
      </c>
      <c r="C105" s="18" t="str">
        <f>IF($A105="","",IFERROR(INDEX(Items!$B$5:$B$597,MATCH($A105,Items!$A$5:$A$597,0)),""))</f>
        <v>Apparel</v>
      </c>
      <c r="D105" s="23">
        <f>IF($A105="","",N(Receipts!$G105))</f>
        <v>280</v>
      </c>
      <c r="E105" s="20">
        <f>IF($A105="","",IFERROR(INDEX(Items!$D$5:$D$597,MATCH($A105,Items!$A$5:$A$597,0)),0))</f>
        <v>3</v>
      </c>
      <c r="F105" s="21">
        <f t="shared" si="5"/>
        <v>840</v>
      </c>
      <c r="G105" s="25">
        <f>IF(Receipts!$I105="","",Receipts!$I105)</f>
        <v>46113</v>
      </c>
      <c r="H105" s="25">
        <f>IF(Receipts!$H105="","",Receipts!$H105)</f>
        <v>47046</v>
      </c>
      <c r="I105" s="26">
        <f t="shared" ca="1" si="6"/>
        <v>808</v>
      </c>
      <c r="J105" s="26">
        <f>IF($A105="","",COUNTIFS(tblReceipts[Item Name],$A105,tblReceipts[Expiry Date],"&lt;"&amp;$H105)+COUNTIFS(tblReceipts[Item Name],$A105,tblReceipts[Expiry Date],$H105,tblReceipts[Lot Number],"&lt;="&amp;Receipts!$C105))</f>
        <v>1</v>
      </c>
      <c r="K105" s="26">
        <f>IF($A105="","",SUMIFS(tblReceipts[Qty Received],tblReceipts[Item Name],$A105,tblReceipts[Expiry Date],"&lt;"&amp;$H105)+SUMIFS(tblReceipts[Qty Received],tblReceipts[Item Name],$A105,tblReceipts[Expiry Date],$H105,tblReceipts[Lot Number],"&lt;"&amp;Receipts!$C105))</f>
        <v>0</v>
      </c>
      <c r="L105" s="26">
        <f>IF($A105="","",MIN($D105,MAX(0,SUMIFS(tblIssues[Qty Issued],tblIssues[Item Name],$A105)-$K105)))</f>
        <v>90</v>
      </c>
      <c r="M105" s="26">
        <f>IF($A105="","",SUMIFS(tblIssues[Qty Issued],tblIssues[Lot Number],$B105))</f>
        <v>90</v>
      </c>
      <c r="N105" s="26">
        <f t="shared" si="7"/>
        <v>0</v>
      </c>
      <c r="O105" s="26">
        <f t="shared" si="8"/>
        <v>190</v>
      </c>
      <c r="P105" s="21">
        <f t="shared" si="9"/>
        <v>570</v>
      </c>
      <c r="Q105" s="52" t="str">
        <f ca="1">IF($A105="","",IF($O105&lt;=0,"Depleted",IF($I105&lt;0,"EXPIRED",IF($I105&lt;=Settings!$C$6,"CRITICAL",IF($I105&lt;=Settings!$C$5,"Expiring","In date")))))</f>
        <v>In date</v>
      </c>
    </row>
    <row r="106" spans="1:17" x14ac:dyDescent="0.35">
      <c r="A106" s="90" t="str">
        <f>IF(Receipts!$D106="","",Receipts!$D106)</f>
        <v>Level 1/2 - Yellow Gown</v>
      </c>
      <c r="B106" s="18" t="str">
        <f>IF(Receipts!$C106="","",Receipts!$C106)</f>
        <v>YG500280</v>
      </c>
      <c r="C106" s="18" t="str">
        <f>IF($A106="","",IFERROR(INDEX(Items!$B$5:$B$597,MATCH($A106,Items!$A$5:$A$597,0)),""))</f>
        <v>Apparel</v>
      </c>
      <c r="D106" s="23">
        <f>IF($A106="","",N(Receipts!$G106))</f>
        <v>1320</v>
      </c>
      <c r="E106" s="20">
        <f>IF($A106="","",IFERROR(INDEX(Items!$D$5:$D$597,MATCH($A106,Items!$A$5:$A$597,0)),0))</f>
        <v>3</v>
      </c>
      <c r="F106" s="21">
        <f t="shared" si="5"/>
        <v>3960</v>
      </c>
      <c r="G106" s="25">
        <f>IF(Receipts!$I106="","",Receipts!$I106)</f>
        <v>46113</v>
      </c>
      <c r="H106" s="25">
        <f>IF(Receipts!$H106="","",Receipts!$H106)</f>
        <v>47046</v>
      </c>
      <c r="I106" s="26">
        <f t="shared" ca="1" si="6"/>
        <v>808</v>
      </c>
      <c r="J106" s="26">
        <f>IF($A106="","",COUNTIFS(tblReceipts[Item Name],$A106,tblReceipts[Expiry Date],"&lt;"&amp;$H106)+COUNTIFS(tblReceipts[Item Name],$A106,tblReceipts[Expiry Date],$H106,tblReceipts[Lot Number],"&lt;="&amp;Receipts!$C106))</f>
        <v>1</v>
      </c>
      <c r="K106" s="26">
        <f>IF($A106="","",SUMIFS(tblReceipts[Qty Received],tblReceipts[Item Name],$A106,tblReceipts[Expiry Date],"&lt;"&amp;$H106)+SUMIFS(tblReceipts[Qty Received],tblReceipts[Item Name],$A106,tblReceipts[Expiry Date],$H106,tblReceipts[Lot Number],"&lt;"&amp;Receipts!$C106))</f>
        <v>0</v>
      </c>
      <c r="L106" s="26">
        <f>IF($A106="","",MIN($D106,MAX(0,SUMIFS(tblIssues[Qty Issued],tblIssues[Item Name],$A106)-$K106)))</f>
        <v>235</v>
      </c>
      <c r="M106" s="26">
        <f>IF($A106="","",SUMIFS(tblIssues[Qty Issued],tblIssues[Lot Number],$B106))</f>
        <v>235</v>
      </c>
      <c r="N106" s="26">
        <f t="shared" si="7"/>
        <v>0</v>
      </c>
      <c r="O106" s="26">
        <f t="shared" si="8"/>
        <v>1085</v>
      </c>
      <c r="P106" s="21">
        <f t="shared" si="9"/>
        <v>3255</v>
      </c>
      <c r="Q106" s="52" t="str">
        <f ca="1">IF($A106="","",IF($O106&lt;=0,"Depleted",IF($I106&lt;0,"EXPIRED",IF($I106&lt;=Settings!$C$6,"CRITICAL",IF($I106&lt;=Settings!$C$5,"Expiring","In date")))))</f>
        <v>In date</v>
      </c>
    </row>
    <row r="107" spans="1:17" x14ac:dyDescent="0.35">
      <c r="A107" s="90" t="str">
        <f>IF(Receipts!$D107="","",Receipts!$D107)</f>
        <v>Shoe Covers</v>
      </c>
      <c r="B107" s="18" t="str">
        <f>IF(Receipts!$C107="","",Receipts!$C107)</f>
        <v>SHCVR50001</v>
      </c>
      <c r="C107" s="18" t="str">
        <f>IF($A107="","",IFERROR(INDEX(Items!$B$5:$B$597,MATCH($A107,Items!$A$5:$A$597,0)),""))</f>
        <v>IPAC</v>
      </c>
      <c r="D107" s="23">
        <f>IF($A107="","",N(Receipts!$G107))</f>
        <v>0</v>
      </c>
      <c r="E107" s="20">
        <f>IF($A107="","",IFERROR(INDEX(Items!$D$5:$D$597,MATCH($A107,Items!$A$5:$A$597,0)),0))</f>
        <v>0.2</v>
      </c>
      <c r="F107" s="21">
        <f t="shared" si="5"/>
        <v>0</v>
      </c>
      <c r="G107" s="25">
        <f>IF(Receipts!$I107="","",Receipts!$I107)</f>
        <v>46113</v>
      </c>
      <c r="H107" s="25">
        <f>IF(Receipts!$H107="","",Receipts!$H107)</f>
        <v>46537</v>
      </c>
      <c r="I107" s="26">
        <f t="shared" ca="1" si="6"/>
        <v>299</v>
      </c>
      <c r="J107" s="26">
        <f>IF($A107="","",COUNTIFS(tblReceipts[Item Name],$A107,tblReceipts[Expiry Date],"&lt;"&amp;$H107)+COUNTIFS(tblReceipts[Item Name],$A107,tblReceipts[Expiry Date],$H107,tblReceipts[Lot Number],"&lt;="&amp;Receipts!$C107))</f>
        <v>1</v>
      </c>
      <c r="K107" s="26">
        <f>IF($A107="","",SUMIFS(tblReceipts[Qty Received],tblReceipts[Item Name],$A107,tblReceipts[Expiry Date],"&lt;"&amp;$H107)+SUMIFS(tblReceipts[Qty Received],tblReceipts[Item Name],$A107,tblReceipts[Expiry Date],$H107,tblReceipts[Lot Number],"&lt;"&amp;Receipts!$C107))</f>
        <v>0</v>
      </c>
      <c r="L107" s="26">
        <f>IF($A107="","",MIN($D107,MAX(0,SUMIFS(tblIssues[Qty Issued],tblIssues[Item Name],$A107)-$K107)))</f>
        <v>0</v>
      </c>
      <c r="M107" s="26">
        <f>IF($A107="","",SUMIFS(tblIssues[Qty Issued],tblIssues[Lot Number],$B107))</f>
        <v>0</v>
      </c>
      <c r="N107" s="26">
        <f t="shared" si="7"/>
        <v>0</v>
      </c>
      <c r="O107" s="26">
        <f t="shared" si="8"/>
        <v>0</v>
      </c>
      <c r="P107" s="21">
        <f t="shared" si="9"/>
        <v>0</v>
      </c>
      <c r="Q107" s="52" t="str">
        <f>IF($A107="","",IF($O107&lt;=0,"Depleted",IF($I107&lt;0,"EXPIRED",IF($I107&lt;=Settings!$C$6,"CRITICAL",IF($I107&lt;=Settings!$C$5,"Expiring","In date")))))</f>
        <v>Depleted</v>
      </c>
    </row>
    <row r="108" spans="1:17" x14ac:dyDescent="0.35">
      <c r="A108" s="90" t="str">
        <f>IF(Receipts!$D108="","",Receipts!$D108)</f>
        <v>Sterile Gloves - Large</v>
      </c>
      <c r="B108" s="18" t="str">
        <f>IF(Receipts!$C108="","",Receipts!$C108)</f>
        <v>ST-L-1</v>
      </c>
      <c r="C108" s="18" t="str">
        <f>IF($A108="","",IFERROR(INDEX(Items!$B$5:$B$597,MATCH($A108,Items!$A$5:$A$597,0)),""))</f>
        <v>Gloves</v>
      </c>
      <c r="D108" s="23">
        <f>IF($A108="","",N(Receipts!$G108))</f>
        <v>100</v>
      </c>
      <c r="E108" s="20">
        <f>IF($A108="","",IFERROR(INDEX(Items!$D$5:$D$597,MATCH($A108,Items!$A$5:$A$597,0)),0))</f>
        <v>0.54</v>
      </c>
      <c r="F108" s="21">
        <f t="shared" si="5"/>
        <v>54</v>
      </c>
      <c r="G108" s="25">
        <f>IF(Receipts!$I108="","",Receipts!$I108)</f>
        <v>46113</v>
      </c>
      <c r="H108" s="25">
        <f>IF(Receipts!$H108="","",Receipts!$H108)</f>
        <v>46261</v>
      </c>
      <c r="I108" s="26">
        <f t="shared" ca="1" si="6"/>
        <v>23</v>
      </c>
      <c r="J108" s="26">
        <f>IF($A108="","",COUNTIFS(tblReceipts[Item Name],$A108,tblReceipts[Expiry Date],"&lt;"&amp;$H108)+COUNTIFS(tblReceipts[Item Name],$A108,tblReceipts[Expiry Date],$H108,tblReceipts[Lot Number],"&lt;="&amp;Receipts!$C108))</f>
        <v>1</v>
      </c>
      <c r="K108" s="26">
        <f>IF($A108="","",SUMIFS(tblReceipts[Qty Received],tblReceipts[Item Name],$A108,tblReceipts[Expiry Date],"&lt;"&amp;$H108)+SUMIFS(tblReceipts[Qty Received],tblReceipts[Item Name],$A108,tblReceipts[Expiry Date],$H108,tblReceipts[Lot Number],"&lt;"&amp;Receipts!$C108))</f>
        <v>0</v>
      </c>
      <c r="L108" s="26">
        <f>IF($A108="","",MIN($D108,MAX(0,SUMIFS(tblIssues[Qty Issued],tblIssues[Item Name],$A108)-$K108)))</f>
        <v>0</v>
      </c>
      <c r="M108" s="26">
        <f>IF($A108="","",SUMIFS(tblIssues[Qty Issued],tblIssues[Lot Number],$B108))</f>
        <v>0</v>
      </c>
      <c r="N108" s="26">
        <f t="shared" si="7"/>
        <v>0</v>
      </c>
      <c r="O108" s="26">
        <f t="shared" si="8"/>
        <v>100</v>
      </c>
      <c r="P108" s="21">
        <f t="shared" si="9"/>
        <v>54</v>
      </c>
      <c r="Q108" s="52" t="str">
        <f ca="1">IF($A108="","",IF($O108&lt;=0,"Depleted",IF($I108&lt;0,"EXPIRED",IF($I108&lt;=Settings!$C$6,"CRITICAL",IF($I108&lt;=Settings!$C$5,"Expiring","In date")))))</f>
        <v>CRITICAL</v>
      </c>
    </row>
    <row r="109" spans="1:17" x14ac:dyDescent="0.35">
      <c r="A109" s="90" t="str">
        <f>IF(Receipts!$D109="","",Receipts!$D109)</f>
        <v>Sterile Gloves - Medium</v>
      </c>
      <c r="B109" s="18" t="str">
        <f>IF(Receipts!$C109="","",Receipts!$C109)</f>
        <v>ST-M-1</v>
      </c>
      <c r="C109" s="18" t="str">
        <f>IF($A109="","",IFERROR(INDEX(Items!$B$5:$B$597,MATCH($A109,Items!$A$5:$A$597,0)),""))</f>
        <v>Gloves</v>
      </c>
      <c r="D109" s="23">
        <f>IF($A109="","",N(Receipts!$G109))</f>
        <v>100</v>
      </c>
      <c r="E109" s="20">
        <f>IF($A109="","",IFERROR(INDEX(Items!$D$5:$D$597,MATCH($A109,Items!$A$5:$A$597,0)),0))</f>
        <v>0.54</v>
      </c>
      <c r="F109" s="21">
        <f t="shared" si="5"/>
        <v>54</v>
      </c>
      <c r="G109" s="25">
        <f>IF(Receipts!$I109="","",Receipts!$I109)</f>
        <v>46113</v>
      </c>
      <c r="H109" s="25">
        <f>IF(Receipts!$H109="","",Receipts!$H109)</f>
        <v>46261</v>
      </c>
      <c r="I109" s="26">
        <f t="shared" ca="1" si="6"/>
        <v>23</v>
      </c>
      <c r="J109" s="26">
        <f>IF($A109="","",COUNTIFS(tblReceipts[Item Name],$A109,tblReceipts[Expiry Date],"&lt;"&amp;$H109)+COUNTIFS(tblReceipts[Item Name],$A109,tblReceipts[Expiry Date],$H109,tblReceipts[Lot Number],"&lt;="&amp;Receipts!$C109))</f>
        <v>1</v>
      </c>
      <c r="K109" s="26">
        <f>IF($A109="","",SUMIFS(tblReceipts[Qty Received],tblReceipts[Item Name],$A109,tblReceipts[Expiry Date],"&lt;"&amp;$H109)+SUMIFS(tblReceipts[Qty Received],tblReceipts[Item Name],$A109,tblReceipts[Expiry Date],$H109,tblReceipts[Lot Number],"&lt;"&amp;Receipts!$C109))</f>
        <v>0</v>
      </c>
      <c r="L109" s="26">
        <f>IF($A109="","",MIN($D109,MAX(0,SUMIFS(tblIssues[Qty Issued],tblIssues[Item Name],$A109)-$K109)))</f>
        <v>0</v>
      </c>
      <c r="M109" s="26">
        <f>IF($A109="","",SUMIFS(tblIssues[Qty Issued],tblIssues[Lot Number],$B109))</f>
        <v>0</v>
      </c>
      <c r="N109" s="26">
        <f t="shared" si="7"/>
        <v>0</v>
      </c>
      <c r="O109" s="26">
        <f t="shared" si="8"/>
        <v>100</v>
      </c>
      <c r="P109" s="21">
        <f t="shared" si="9"/>
        <v>54</v>
      </c>
      <c r="Q109" s="52" t="str">
        <f ca="1">IF($A109="","",IF($O109&lt;=0,"Depleted",IF($I109&lt;0,"EXPIRED",IF($I109&lt;=Settings!$C$6,"CRITICAL",IF($I109&lt;=Settings!$C$5,"Expiring","In date")))))</f>
        <v>CRITICAL</v>
      </c>
    </row>
    <row r="110" spans="1:17" x14ac:dyDescent="0.35">
      <c r="A110" s="90" t="str">
        <f>IF(Receipts!$D110="","",Receipts!$D110)</f>
        <v>Surgical Masks</v>
      </c>
      <c r="B110" s="18" t="str">
        <f>IF(Receipts!$C110="","",Receipts!$C110)</f>
        <v>0125FPC24-0</v>
      </c>
      <c r="C110" s="18" t="str">
        <f>IF($A110="","",IFERROR(INDEX(Items!$B$5:$B$597,MATCH($A110,Items!$A$5:$A$597,0)),""))</f>
        <v>Masks</v>
      </c>
      <c r="D110" s="23">
        <f>IF($A110="","",N(Receipts!$G110))</f>
        <v>6000</v>
      </c>
      <c r="E110" s="20">
        <f>IF($A110="","",IFERROR(INDEX(Items!$D$5:$D$597,MATCH($A110,Items!$A$5:$A$597,0)),0))</f>
        <v>0.25</v>
      </c>
      <c r="F110" s="21">
        <f t="shared" si="5"/>
        <v>1500</v>
      </c>
      <c r="G110" s="25">
        <f>IF(Receipts!$I110="","",Receipts!$I110)</f>
        <v>46113</v>
      </c>
      <c r="H110" s="25">
        <f>IF(Receipts!$H110="","",Receipts!$H110)</f>
        <v>46203</v>
      </c>
      <c r="I110" s="26">
        <f t="shared" ca="1" si="6"/>
        <v>-35</v>
      </c>
      <c r="J110" s="26">
        <f>IF($A110="","",COUNTIFS(tblReceipts[Item Name],$A110,tblReceipts[Expiry Date],"&lt;"&amp;$H110)+COUNTIFS(tblReceipts[Item Name],$A110,tblReceipts[Expiry Date],$H110,tblReceipts[Lot Number],"&lt;="&amp;Receipts!$C110))</f>
        <v>5</v>
      </c>
      <c r="K110" s="26">
        <f>IF($A110="","",SUMIFS(tblReceipts[Qty Received],tblReceipts[Item Name],$A110,tblReceipts[Expiry Date],"&lt;"&amp;$H110)+SUMIFS(tblReceipts[Qty Received],tblReceipts[Item Name],$A110,tblReceipts[Expiry Date],$H110,tblReceipts[Lot Number],"&lt;"&amp;Receipts!$C110))</f>
        <v>0</v>
      </c>
      <c r="L110" s="26">
        <f>IF($A110="","",MIN($D110,MAX(0,SUMIFS(tblIssues[Qty Issued],tblIssues[Item Name],$A110)-$K110)))</f>
        <v>6000</v>
      </c>
      <c r="M110" s="26">
        <f>IF($A110="","",SUMIFS(tblIssues[Qty Issued],tblIssues[Lot Number],$B110))</f>
        <v>6000</v>
      </c>
      <c r="N110" s="26">
        <f t="shared" si="7"/>
        <v>0</v>
      </c>
      <c r="O110" s="26">
        <f t="shared" si="8"/>
        <v>0</v>
      </c>
      <c r="P110" s="21">
        <f t="shared" si="9"/>
        <v>0</v>
      </c>
      <c r="Q110" s="52" t="str">
        <f>IF($A110="","",IF($O110&lt;=0,"Depleted",IF($I110&lt;0,"EXPIRED",IF($I110&lt;=Settings!$C$6,"CRITICAL",IF($I110&lt;=Settings!$C$5,"Expiring","In date")))))</f>
        <v>Depleted</v>
      </c>
    </row>
    <row r="111" spans="1:17" x14ac:dyDescent="0.35">
      <c r="A111" s="90" t="str">
        <f>IF(Receipts!$D111="","",Receipts!$D111)</f>
        <v>Surgical Masks</v>
      </c>
      <c r="B111" s="18" t="str">
        <f>IF(Receipts!$C111="","",Receipts!$C111)</f>
        <v>0125FPC24-1</v>
      </c>
      <c r="C111" s="18" t="str">
        <f>IF($A111="","",IFERROR(INDEX(Items!$B$5:$B$597,MATCH($A111,Items!$A$5:$A$597,0)),""))</f>
        <v>Masks</v>
      </c>
      <c r="D111" s="23">
        <f>IF($A111="","",N(Receipts!$G111))</f>
        <v>1200</v>
      </c>
      <c r="E111" s="20">
        <f>IF($A111="","",IFERROR(INDEX(Items!$D$5:$D$597,MATCH($A111,Items!$A$5:$A$597,0)),0))</f>
        <v>0.25</v>
      </c>
      <c r="F111" s="21">
        <f t="shared" si="5"/>
        <v>300</v>
      </c>
      <c r="G111" s="25">
        <f>IF(Receipts!$I111="","",Receipts!$I111)</f>
        <v>46113</v>
      </c>
      <c r="H111" s="25">
        <f>IF(Receipts!$H111="","",Receipts!$H111)</f>
        <v>46203</v>
      </c>
      <c r="I111" s="26">
        <f t="shared" ca="1" si="6"/>
        <v>-35</v>
      </c>
      <c r="J111" s="26">
        <f>IF($A111="","",COUNTIFS(tblReceipts[Item Name],$A111,tblReceipts[Expiry Date],"&lt;"&amp;$H111)+COUNTIFS(tblReceipts[Item Name],$A111,tblReceipts[Expiry Date],$H111,tblReceipts[Lot Number],"&lt;="&amp;Receipts!$C111))</f>
        <v>6</v>
      </c>
      <c r="K111" s="26">
        <f>IF($A111="","",SUMIFS(tblReceipts[Qty Received],tblReceipts[Item Name],$A111,tblReceipts[Expiry Date],"&lt;"&amp;$H111)+SUMIFS(tblReceipts[Qty Received],tblReceipts[Item Name],$A111,tblReceipts[Expiry Date],$H111,tblReceipts[Lot Number],"&lt;"&amp;Receipts!$C111))</f>
        <v>6000</v>
      </c>
      <c r="L111" s="26">
        <f>IF($A111="","",MIN($D111,MAX(0,SUMIFS(tblIssues[Qty Issued],tblIssues[Item Name],$A111)-$K111)))</f>
        <v>1200</v>
      </c>
      <c r="M111" s="26">
        <f>IF($A111="","",SUMIFS(tblIssues[Qty Issued],tblIssues[Lot Number],$B111))</f>
        <v>1200</v>
      </c>
      <c r="N111" s="26">
        <f t="shared" si="7"/>
        <v>0</v>
      </c>
      <c r="O111" s="26">
        <f t="shared" si="8"/>
        <v>0</v>
      </c>
      <c r="P111" s="21">
        <f t="shared" si="9"/>
        <v>0</v>
      </c>
      <c r="Q111" s="52" t="str">
        <f>IF($A111="","",IF($O111&lt;=0,"Depleted",IF($I111&lt;0,"EXPIRED",IF($I111&lt;=Settings!$C$6,"CRITICAL",IF($I111&lt;=Settings!$C$5,"Expiring","In date")))))</f>
        <v>Depleted</v>
      </c>
    </row>
    <row r="112" spans="1:17" x14ac:dyDescent="0.35">
      <c r="A112" s="90" t="str">
        <f>IF(Receipts!$D112="","",Receipts!$D112)</f>
        <v>Surgical Masks</v>
      </c>
      <c r="B112" s="18" t="str">
        <f>IF(Receipts!$C112="","",Receipts!$C112)</f>
        <v>LV2 - 10034</v>
      </c>
      <c r="C112" s="18" t="str">
        <f>IF($A112="","",IFERROR(INDEX(Items!$B$5:$B$597,MATCH($A112,Items!$A$5:$A$597,0)),""))</f>
        <v>Masks</v>
      </c>
      <c r="D112" s="23">
        <f>IF($A112="","",N(Receipts!$G112))</f>
        <v>0</v>
      </c>
      <c r="E112" s="20">
        <f>IF($A112="","",IFERROR(INDEX(Items!$D$5:$D$597,MATCH($A112,Items!$A$5:$A$597,0)),0))</f>
        <v>0.25</v>
      </c>
      <c r="F112" s="21">
        <f t="shared" si="5"/>
        <v>0</v>
      </c>
      <c r="G112" s="25">
        <f>IF(Receipts!$I112="","",Receipts!$I112)</f>
        <v>46113</v>
      </c>
      <c r="H112" s="25">
        <f>IF(Receipts!$H112="","",Receipts!$H112)</f>
        <v>46172</v>
      </c>
      <c r="I112" s="26">
        <f t="shared" ca="1" si="6"/>
        <v>-66</v>
      </c>
      <c r="J112" s="26">
        <f>IF($A112="","",COUNTIFS(tblReceipts[Item Name],$A112,tblReceipts[Expiry Date],"&lt;"&amp;$H112)+COUNTIFS(tblReceipts[Item Name],$A112,tblReceipts[Expiry Date],$H112,tblReceipts[Lot Number],"&lt;="&amp;Receipts!$C112))</f>
        <v>3</v>
      </c>
      <c r="K112" s="26">
        <f>IF($A112="","",SUMIFS(tblReceipts[Qty Received],tblReceipts[Item Name],$A112,tblReceipts[Expiry Date],"&lt;"&amp;$H112)+SUMIFS(tblReceipts[Qty Received],tblReceipts[Item Name],$A112,tblReceipts[Expiry Date],$H112,tblReceipts[Lot Number],"&lt;"&amp;Receipts!$C112))</f>
        <v>0</v>
      </c>
      <c r="L112" s="26">
        <f>IF($A112="","",MIN($D112,MAX(0,SUMIFS(tblIssues[Qty Issued],tblIssues[Item Name],$A112)-$K112)))</f>
        <v>0</v>
      </c>
      <c r="M112" s="26">
        <f>IF($A112="","",SUMIFS(tblIssues[Qty Issued],tblIssues[Lot Number],$B112))</f>
        <v>0</v>
      </c>
      <c r="N112" s="26">
        <f t="shared" si="7"/>
        <v>0</v>
      </c>
      <c r="O112" s="26">
        <f t="shared" si="8"/>
        <v>0</v>
      </c>
      <c r="P112" s="21">
        <f t="shared" si="9"/>
        <v>0</v>
      </c>
      <c r="Q112" s="52" t="str">
        <f>IF($A112="","",IF($O112&lt;=0,"Depleted",IF($I112&lt;0,"EXPIRED",IF($I112&lt;=Settings!$C$6,"CRITICAL",IF($I112&lt;=Settings!$C$5,"Expiring","In date")))))</f>
        <v>Depleted</v>
      </c>
    </row>
    <row r="113" spans="1:17" x14ac:dyDescent="0.35">
      <c r="A113" s="90" t="str">
        <f>IF(Receipts!$D113="","",Receipts!$D113)</f>
        <v>Surgical Masks</v>
      </c>
      <c r="B113" s="18" t="str">
        <f>IF(Receipts!$C113="","",Receipts!$C113)</f>
        <v>LV2 - 10035</v>
      </c>
      <c r="C113" s="18" t="str">
        <f>IF($A113="","",IFERROR(INDEX(Items!$B$5:$B$597,MATCH($A113,Items!$A$5:$A$597,0)),""))</f>
        <v>Masks</v>
      </c>
      <c r="D113" s="23">
        <f>IF($A113="","",N(Receipts!$G113))</f>
        <v>0</v>
      </c>
      <c r="E113" s="20">
        <f>IF($A113="","",IFERROR(INDEX(Items!$D$5:$D$597,MATCH($A113,Items!$A$5:$A$597,0)),0))</f>
        <v>0.25</v>
      </c>
      <c r="F113" s="21">
        <f t="shared" si="5"/>
        <v>0</v>
      </c>
      <c r="G113" s="25">
        <f>IF(Receipts!$I113="","",Receipts!$I113)</f>
        <v>46113</v>
      </c>
      <c r="H113" s="25">
        <f>IF(Receipts!$H113="","",Receipts!$H113)</f>
        <v>46554</v>
      </c>
      <c r="I113" s="26">
        <f t="shared" ca="1" si="6"/>
        <v>316</v>
      </c>
      <c r="J113" s="26">
        <f>IF($A113="","",COUNTIFS(tblReceipts[Item Name],$A113,tblReceipts[Expiry Date],"&lt;"&amp;$H113)+COUNTIFS(tblReceipts[Item Name],$A113,tblReceipts[Expiry Date],$H113,tblReceipts[Lot Number],"&lt;="&amp;Receipts!$C113))</f>
        <v>24</v>
      </c>
      <c r="K113" s="26">
        <f>IF($A113="","",SUMIFS(tblReceipts[Qty Received],tblReceipts[Item Name],$A113,tblReceipts[Expiry Date],"&lt;"&amp;$H113)+SUMIFS(tblReceipts[Qty Received],tblReceipts[Item Name],$A113,tblReceipts[Expiry Date],$H113,tblReceipts[Lot Number],"&lt;"&amp;Receipts!$C113))</f>
        <v>21700</v>
      </c>
      <c r="L113" s="26">
        <f>IF($A113="","",MIN($D113,MAX(0,SUMIFS(tblIssues[Qty Issued],tblIssues[Item Name],$A113)-$K113)))</f>
        <v>0</v>
      </c>
      <c r="M113" s="26">
        <f>IF($A113="","",SUMIFS(tblIssues[Qty Issued],tblIssues[Lot Number],$B113))</f>
        <v>0</v>
      </c>
      <c r="N113" s="26">
        <f t="shared" si="7"/>
        <v>0</v>
      </c>
      <c r="O113" s="26">
        <f t="shared" si="8"/>
        <v>0</v>
      </c>
      <c r="P113" s="21">
        <f t="shared" si="9"/>
        <v>0</v>
      </c>
      <c r="Q113" s="52" t="str">
        <f>IF($A113="","",IF($O113&lt;=0,"Depleted",IF($I113&lt;0,"EXPIRED",IF($I113&lt;=Settings!$C$6,"CRITICAL",IF($I113&lt;=Settings!$C$5,"Expiring","In date")))))</f>
        <v>Depleted</v>
      </c>
    </row>
    <row r="114" spans="1:17" x14ac:dyDescent="0.35">
      <c r="A114" s="90" t="str">
        <f>IF(Receipts!$D114="","",Receipts!$D114)</f>
        <v>Surgical Masks</v>
      </c>
      <c r="B114" s="18" t="str">
        <f>IF(Receipts!$C114="","",Receipts!$C114)</f>
        <v>LV2-10039-0</v>
      </c>
      <c r="C114" s="18" t="str">
        <f>IF($A114="","",IFERROR(INDEX(Items!$B$5:$B$597,MATCH($A114,Items!$A$5:$A$597,0)),""))</f>
        <v>Masks</v>
      </c>
      <c r="D114" s="23">
        <f>IF($A114="","",N(Receipts!$G114))</f>
        <v>0</v>
      </c>
      <c r="E114" s="20">
        <f>IF($A114="","",IFERROR(INDEX(Items!$D$5:$D$597,MATCH($A114,Items!$A$5:$A$597,0)),0))</f>
        <v>0.25</v>
      </c>
      <c r="F114" s="21">
        <f t="shared" si="5"/>
        <v>0</v>
      </c>
      <c r="G114" s="25">
        <f>IF(Receipts!$I114="","",Receipts!$I114)</f>
        <v>46113</v>
      </c>
      <c r="H114" s="25">
        <f>IF(Receipts!$H114="","",Receipts!$H114)</f>
        <v>46179</v>
      </c>
      <c r="I114" s="26">
        <f t="shared" ca="1" si="6"/>
        <v>-59</v>
      </c>
      <c r="J114" s="26">
        <f>IF($A114="","",COUNTIFS(tblReceipts[Item Name],$A114,tblReceipts[Expiry Date],"&lt;"&amp;$H114)+COUNTIFS(tblReceipts[Item Name],$A114,tblReceipts[Expiry Date],$H114,tblReceipts[Lot Number],"&lt;="&amp;Receipts!$C114))</f>
        <v>4</v>
      </c>
      <c r="K114" s="26">
        <f>IF($A114="","",SUMIFS(tblReceipts[Qty Received],tblReceipts[Item Name],$A114,tblReceipts[Expiry Date],"&lt;"&amp;$H114)+SUMIFS(tblReceipts[Qty Received],tblReceipts[Item Name],$A114,tblReceipts[Expiry Date],$H114,tblReceipts[Lot Number],"&lt;"&amp;Receipts!$C114))</f>
        <v>0</v>
      </c>
      <c r="L114" s="26">
        <f>IF($A114="","",MIN($D114,MAX(0,SUMIFS(tblIssues[Qty Issued],tblIssues[Item Name],$A114)-$K114)))</f>
        <v>0</v>
      </c>
      <c r="M114" s="26">
        <f>IF($A114="","",SUMIFS(tblIssues[Qty Issued],tblIssues[Lot Number],$B114))</f>
        <v>0</v>
      </c>
      <c r="N114" s="26">
        <f t="shared" si="7"/>
        <v>0</v>
      </c>
      <c r="O114" s="26">
        <f t="shared" si="8"/>
        <v>0</v>
      </c>
      <c r="P114" s="21">
        <f t="shared" si="9"/>
        <v>0</v>
      </c>
      <c r="Q114" s="52" t="str">
        <f>IF($A114="","",IF($O114&lt;=0,"Depleted",IF($I114&lt;0,"EXPIRED",IF($I114&lt;=Settings!$C$6,"CRITICAL",IF($I114&lt;=Settings!$C$5,"Expiring","In date")))))</f>
        <v>Depleted</v>
      </c>
    </row>
    <row r="115" spans="1:17" x14ac:dyDescent="0.35">
      <c r="A115" s="90" t="str">
        <f>IF(Receipts!$D115="","",Receipts!$D115)</f>
        <v>Surgical Masks</v>
      </c>
      <c r="B115" s="18" t="str">
        <f>IF(Receipts!$C115="","",Receipts!$C115)</f>
        <v>LV2-10039-1</v>
      </c>
      <c r="C115" s="18" t="str">
        <f>IF($A115="","",IFERROR(INDEX(Items!$B$5:$B$597,MATCH($A115,Items!$A$5:$A$597,0)),""))</f>
        <v>Masks</v>
      </c>
      <c r="D115" s="23">
        <f>IF($A115="","",N(Receipts!$G115))</f>
        <v>0</v>
      </c>
      <c r="E115" s="20">
        <f>IF($A115="","",IFERROR(INDEX(Items!$D$5:$D$597,MATCH($A115,Items!$A$5:$A$597,0)),0))</f>
        <v>0.25</v>
      </c>
      <c r="F115" s="21">
        <f t="shared" si="5"/>
        <v>0</v>
      </c>
      <c r="G115" s="25">
        <f>IF(Receipts!$I115="","",Receipts!$I115)</f>
        <v>46113</v>
      </c>
      <c r="H115" s="25">
        <f>IF(Receipts!$H115="","",Receipts!$H115)</f>
        <v>46216</v>
      </c>
      <c r="I115" s="26">
        <f t="shared" ca="1" si="6"/>
        <v>-22</v>
      </c>
      <c r="J115" s="26">
        <f>IF($A115="","",COUNTIFS(tblReceipts[Item Name],$A115,tblReceipts[Expiry Date],"&lt;"&amp;$H115)+COUNTIFS(tblReceipts[Item Name],$A115,tblReceipts[Expiry Date],$H115,tblReceipts[Lot Number],"&lt;="&amp;Receipts!$C115))</f>
        <v>8</v>
      </c>
      <c r="K115" s="26">
        <f>IF($A115="","",SUMIFS(tblReceipts[Qty Received],tblReceipts[Item Name],$A115,tblReceipts[Expiry Date],"&lt;"&amp;$H115)+SUMIFS(tblReceipts[Qty Received],tblReceipts[Item Name],$A115,tblReceipts[Expiry Date],$H115,tblReceipts[Lot Number],"&lt;"&amp;Receipts!$C115))</f>
        <v>8200</v>
      </c>
      <c r="L115" s="26">
        <f>IF($A115="","",MIN($D115,MAX(0,SUMIFS(tblIssues[Qty Issued],tblIssues[Item Name],$A115)-$K115)))</f>
        <v>0</v>
      </c>
      <c r="M115" s="26">
        <f>IF($A115="","",SUMIFS(tblIssues[Qty Issued],tblIssues[Lot Number],$B115))</f>
        <v>0</v>
      </c>
      <c r="N115" s="26">
        <f t="shared" si="7"/>
        <v>0</v>
      </c>
      <c r="O115" s="26">
        <f t="shared" si="8"/>
        <v>0</v>
      </c>
      <c r="P115" s="21">
        <f t="shared" si="9"/>
        <v>0</v>
      </c>
      <c r="Q115" s="52" t="str">
        <f>IF($A115="","",IF($O115&lt;=0,"Depleted",IF($I115&lt;0,"EXPIRED",IF($I115&lt;=Settings!$C$6,"CRITICAL",IF($I115&lt;=Settings!$C$5,"Expiring","In date")))))</f>
        <v>Depleted</v>
      </c>
    </row>
    <row r="116" spans="1:17" x14ac:dyDescent="0.35">
      <c r="A116" s="90" t="str">
        <f>IF(Receipts!$D116="","",Receipts!$D116)</f>
        <v>Surgical Masks</v>
      </c>
      <c r="B116" s="18" t="str">
        <f>IF(Receipts!$C116="","",Receipts!$C116)</f>
        <v>LV2-10039-2</v>
      </c>
      <c r="C116" s="18" t="str">
        <f>IF($A116="","",IFERROR(INDEX(Items!$B$5:$B$597,MATCH($A116,Items!$A$5:$A$597,0)),""))</f>
        <v>Masks</v>
      </c>
      <c r="D116" s="23">
        <f>IF($A116="","",N(Receipts!$G116))</f>
        <v>0</v>
      </c>
      <c r="E116" s="20">
        <f>IF($A116="","",IFERROR(INDEX(Items!$D$5:$D$597,MATCH($A116,Items!$A$5:$A$597,0)),0))</f>
        <v>0.25</v>
      </c>
      <c r="F116" s="21">
        <f t="shared" si="5"/>
        <v>0</v>
      </c>
      <c r="G116" s="25">
        <f>IF(Receipts!$I116="","",Receipts!$I116)</f>
        <v>46113</v>
      </c>
      <c r="H116" s="25">
        <f>IF(Receipts!$H116="","",Receipts!$H116)</f>
        <v>46223</v>
      </c>
      <c r="I116" s="26">
        <f t="shared" ca="1" si="6"/>
        <v>-15</v>
      </c>
      <c r="J116" s="26">
        <f>IF($A116="","",COUNTIFS(tblReceipts[Item Name],$A116,tblReceipts[Expiry Date],"&lt;"&amp;$H116)+COUNTIFS(tblReceipts[Item Name],$A116,tblReceipts[Expiry Date],$H116,tblReceipts[Lot Number],"&lt;="&amp;Receipts!$C116))</f>
        <v>9</v>
      </c>
      <c r="K116" s="26">
        <f>IF($A116="","",SUMIFS(tblReceipts[Qty Received],tblReceipts[Item Name],$A116,tblReceipts[Expiry Date],"&lt;"&amp;$H116)+SUMIFS(tblReceipts[Qty Received],tblReceipts[Item Name],$A116,tblReceipts[Expiry Date],$H116,tblReceipts[Lot Number],"&lt;"&amp;Receipts!$C116))</f>
        <v>8200</v>
      </c>
      <c r="L116" s="26">
        <f>IF($A116="","",MIN($D116,MAX(0,SUMIFS(tblIssues[Qty Issued],tblIssues[Item Name],$A116)-$K116)))</f>
        <v>0</v>
      </c>
      <c r="M116" s="26">
        <f>IF($A116="","",SUMIFS(tblIssues[Qty Issued],tblIssues[Lot Number],$B116))</f>
        <v>0</v>
      </c>
      <c r="N116" s="26">
        <f t="shared" si="7"/>
        <v>0</v>
      </c>
      <c r="O116" s="26">
        <f t="shared" si="8"/>
        <v>0</v>
      </c>
      <c r="P116" s="21">
        <f t="shared" si="9"/>
        <v>0</v>
      </c>
      <c r="Q116" s="52" t="str">
        <f>IF($A116="","",IF($O116&lt;=0,"Depleted",IF($I116&lt;0,"EXPIRED",IF($I116&lt;=Settings!$C$6,"CRITICAL",IF($I116&lt;=Settings!$C$5,"Expiring","In date")))))</f>
        <v>Depleted</v>
      </c>
    </row>
    <row r="117" spans="1:17" x14ac:dyDescent="0.35">
      <c r="A117" s="90" t="str">
        <f>IF(Receipts!$D117="","",Receipts!$D117)</f>
        <v>Surgical Masks</v>
      </c>
      <c r="B117" s="18" t="str">
        <f>IF(Receipts!$C117="","",Receipts!$C117)</f>
        <v>LV2-10039-3</v>
      </c>
      <c r="C117" s="18" t="str">
        <f>IF($A117="","",IFERROR(INDEX(Items!$B$5:$B$597,MATCH($A117,Items!$A$5:$A$597,0)),""))</f>
        <v>Masks</v>
      </c>
      <c r="D117" s="23">
        <f>IF($A117="","",N(Receipts!$G117))</f>
        <v>0</v>
      </c>
      <c r="E117" s="20">
        <f>IF($A117="","",IFERROR(INDEX(Items!$D$5:$D$597,MATCH($A117,Items!$A$5:$A$597,0)),0))</f>
        <v>0.25</v>
      </c>
      <c r="F117" s="21">
        <f t="shared" si="5"/>
        <v>0</v>
      </c>
      <c r="G117" s="25">
        <f>IF(Receipts!$I117="","",Receipts!$I117)</f>
        <v>46113</v>
      </c>
      <c r="H117" s="25">
        <f>IF(Receipts!$H117="","",Receipts!$H117)</f>
        <v>46229</v>
      </c>
      <c r="I117" s="26">
        <f t="shared" ca="1" si="6"/>
        <v>-9</v>
      </c>
      <c r="J117" s="26">
        <f>IF($A117="","",COUNTIFS(tblReceipts[Item Name],$A117,tblReceipts[Expiry Date],"&lt;"&amp;$H117)+COUNTIFS(tblReceipts[Item Name],$A117,tblReceipts[Expiry Date],$H117,tblReceipts[Lot Number],"&lt;="&amp;Receipts!$C117))</f>
        <v>10</v>
      </c>
      <c r="K117" s="26">
        <f>IF($A117="","",SUMIFS(tblReceipts[Qty Received],tblReceipts[Item Name],$A117,tblReceipts[Expiry Date],"&lt;"&amp;$H117)+SUMIFS(tblReceipts[Qty Received],tblReceipts[Item Name],$A117,tblReceipts[Expiry Date],$H117,tblReceipts[Lot Number],"&lt;"&amp;Receipts!$C117))</f>
        <v>8200</v>
      </c>
      <c r="L117" s="26">
        <f>IF($A117="","",MIN($D117,MAX(0,SUMIFS(tblIssues[Qty Issued],tblIssues[Item Name],$A117)-$K117)))</f>
        <v>0</v>
      </c>
      <c r="M117" s="26">
        <f>IF($A117="","",SUMIFS(tblIssues[Qty Issued],tblIssues[Lot Number],$B117))</f>
        <v>0</v>
      </c>
      <c r="N117" s="26">
        <f t="shared" si="7"/>
        <v>0</v>
      </c>
      <c r="O117" s="26">
        <f t="shared" si="8"/>
        <v>0</v>
      </c>
      <c r="P117" s="21">
        <f t="shared" si="9"/>
        <v>0</v>
      </c>
      <c r="Q117" s="52" t="str">
        <f>IF($A117="","",IF($O117&lt;=0,"Depleted",IF($I117&lt;0,"EXPIRED",IF($I117&lt;=Settings!$C$6,"CRITICAL",IF($I117&lt;=Settings!$C$5,"Expiring","In date")))))</f>
        <v>Depleted</v>
      </c>
    </row>
    <row r="118" spans="1:17" x14ac:dyDescent="0.35">
      <c r="A118" s="90" t="str">
        <f>IF(Receipts!$D118="","",Receipts!$D118)</f>
        <v>Surgical Masks</v>
      </c>
      <c r="B118" s="18" t="str">
        <f>IF(Receipts!$C118="","",Receipts!$C118)</f>
        <v>LV2-10040</v>
      </c>
      <c r="C118" s="18" t="str">
        <f>IF($A118="","",IFERROR(INDEX(Items!$B$5:$B$597,MATCH($A118,Items!$A$5:$A$597,0)),""))</f>
        <v>Masks</v>
      </c>
      <c r="D118" s="23">
        <f>IF($A118="","",N(Receipts!$G118))</f>
        <v>0</v>
      </c>
      <c r="E118" s="20">
        <f>IF($A118="","",IFERROR(INDEX(Items!$D$5:$D$597,MATCH($A118,Items!$A$5:$A$597,0)),0))</f>
        <v>0.25</v>
      </c>
      <c r="F118" s="21">
        <f t="shared" si="5"/>
        <v>0</v>
      </c>
      <c r="G118" s="25">
        <f>IF(Receipts!$I118="","",Receipts!$I118)</f>
        <v>46113</v>
      </c>
      <c r="H118" s="25">
        <f>IF(Receipts!$H118="","",Receipts!$H118)</f>
        <v>46238</v>
      </c>
      <c r="I118" s="26">
        <f t="shared" ca="1" si="6"/>
        <v>0</v>
      </c>
      <c r="J118" s="26">
        <f>IF($A118="","",COUNTIFS(tblReceipts[Item Name],$A118,tblReceipts[Expiry Date],"&lt;"&amp;$H118)+COUNTIFS(tblReceipts[Item Name],$A118,tblReceipts[Expiry Date],$H118,tblReceipts[Lot Number],"&lt;="&amp;Receipts!$C118))</f>
        <v>12</v>
      </c>
      <c r="K118" s="26">
        <f>IF($A118="","",SUMIFS(tblReceipts[Qty Received],tblReceipts[Item Name],$A118,tblReceipts[Expiry Date],"&lt;"&amp;$H118)+SUMIFS(tblReceipts[Qty Received],tblReceipts[Item Name],$A118,tblReceipts[Expiry Date],$H118,tblReceipts[Lot Number],"&lt;"&amp;Receipts!$C118))</f>
        <v>11200</v>
      </c>
      <c r="L118" s="26">
        <f>IF($A118="","",MIN($D118,MAX(0,SUMIFS(tblIssues[Qty Issued],tblIssues[Item Name],$A118)-$K118)))</f>
        <v>0</v>
      </c>
      <c r="M118" s="26">
        <f>IF($A118="","",SUMIFS(tblIssues[Qty Issued],tblIssues[Lot Number],$B118))</f>
        <v>0</v>
      </c>
      <c r="N118" s="26">
        <f t="shared" si="7"/>
        <v>0</v>
      </c>
      <c r="O118" s="26">
        <f t="shared" si="8"/>
        <v>0</v>
      </c>
      <c r="P118" s="21">
        <f t="shared" si="9"/>
        <v>0</v>
      </c>
      <c r="Q118" s="52" t="str">
        <f>IF($A118="","",IF($O118&lt;=0,"Depleted",IF($I118&lt;0,"EXPIRED",IF($I118&lt;=Settings!$C$6,"CRITICAL",IF($I118&lt;=Settings!$C$5,"Expiring","In date")))))</f>
        <v>Depleted</v>
      </c>
    </row>
    <row r="119" spans="1:17" x14ac:dyDescent="0.35">
      <c r="A119" s="90" t="str">
        <f>IF(Receipts!$D119="","",Receipts!$D119)</f>
        <v>Surgical Masks</v>
      </c>
      <c r="B119" s="18" t="str">
        <f>IF(Receipts!$C119="","",Receipts!$C119)</f>
        <v>LV2-10040-0</v>
      </c>
      <c r="C119" s="18" t="str">
        <f>IF($A119="","",IFERROR(INDEX(Items!$B$5:$B$597,MATCH($A119,Items!$A$5:$A$597,0)),""))</f>
        <v>Masks</v>
      </c>
      <c r="D119" s="23">
        <f>IF($A119="","",N(Receipts!$G119))</f>
        <v>0</v>
      </c>
      <c r="E119" s="20">
        <f>IF($A119="","",IFERROR(INDEX(Items!$D$5:$D$597,MATCH($A119,Items!$A$5:$A$597,0)),0))</f>
        <v>0.25</v>
      </c>
      <c r="F119" s="21">
        <f t="shared" si="5"/>
        <v>0</v>
      </c>
      <c r="G119" s="25">
        <f>IF(Receipts!$I119="","",Receipts!$I119)</f>
        <v>46113</v>
      </c>
      <c r="H119" s="25">
        <f>IF(Receipts!$H119="","",Receipts!$H119)</f>
        <v>46261</v>
      </c>
      <c r="I119" s="26">
        <f t="shared" ca="1" si="6"/>
        <v>23</v>
      </c>
      <c r="J119" s="26">
        <f>IF($A119="","",COUNTIFS(tblReceipts[Item Name],$A119,tblReceipts[Expiry Date],"&lt;"&amp;$H119)+COUNTIFS(tblReceipts[Item Name],$A119,tblReceipts[Expiry Date],$H119,tblReceipts[Lot Number],"&lt;="&amp;Receipts!$C119))</f>
        <v>16</v>
      </c>
      <c r="K119" s="26">
        <f>IF($A119="","",SUMIFS(tblReceipts[Qty Received],tblReceipts[Item Name],$A119,tblReceipts[Expiry Date],"&lt;"&amp;$H119)+SUMIFS(tblReceipts[Qty Received],tblReceipts[Item Name],$A119,tblReceipts[Expiry Date],$H119,tblReceipts[Lot Number],"&lt;"&amp;Receipts!$C119))</f>
        <v>14200</v>
      </c>
      <c r="L119" s="26">
        <f>IF($A119="","",MIN($D119,MAX(0,SUMIFS(tblIssues[Qty Issued],tblIssues[Item Name],$A119)-$K119)))</f>
        <v>0</v>
      </c>
      <c r="M119" s="26">
        <f>IF($A119="","",SUMIFS(tblIssues[Qty Issued],tblIssues[Lot Number],$B119))</f>
        <v>0</v>
      </c>
      <c r="N119" s="26">
        <f t="shared" si="7"/>
        <v>0</v>
      </c>
      <c r="O119" s="26">
        <f t="shared" si="8"/>
        <v>0</v>
      </c>
      <c r="P119" s="21">
        <f t="shared" si="9"/>
        <v>0</v>
      </c>
      <c r="Q119" s="52" t="str">
        <f>IF($A119="","",IF($O119&lt;=0,"Depleted",IF($I119&lt;0,"EXPIRED",IF($I119&lt;=Settings!$C$6,"CRITICAL",IF($I119&lt;=Settings!$C$5,"Expiring","In date")))))</f>
        <v>Depleted</v>
      </c>
    </row>
    <row r="120" spans="1:17" x14ac:dyDescent="0.35">
      <c r="A120" s="90" t="str">
        <f>IF(Receipts!$D120="","",Receipts!$D120)</f>
        <v>Surgical Masks</v>
      </c>
      <c r="B120" s="18" t="str">
        <f>IF(Receipts!$C120="","",Receipts!$C120)</f>
        <v>LV2-10040-1</v>
      </c>
      <c r="C120" s="18" t="str">
        <f>IF($A120="","",IFERROR(INDEX(Items!$B$5:$B$597,MATCH($A120,Items!$A$5:$A$597,0)),""))</f>
        <v>Masks</v>
      </c>
      <c r="D120" s="23">
        <f>IF($A120="","",N(Receipts!$G120))</f>
        <v>0</v>
      </c>
      <c r="E120" s="20">
        <f>IF($A120="","",IFERROR(INDEX(Items!$D$5:$D$597,MATCH($A120,Items!$A$5:$A$597,0)),0))</f>
        <v>0.25</v>
      </c>
      <c r="F120" s="21">
        <f t="shared" si="5"/>
        <v>0</v>
      </c>
      <c r="G120" s="25">
        <f>IF(Receipts!$I120="","",Receipts!$I120)</f>
        <v>46113</v>
      </c>
      <c r="H120" s="25">
        <f>IF(Receipts!$H120="","",Receipts!$H120)</f>
        <v>46270</v>
      </c>
      <c r="I120" s="26">
        <f t="shared" ca="1" si="6"/>
        <v>32</v>
      </c>
      <c r="J120" s="26">
        <f>IF($A120="","",COUNTIFS(tblReceipts[Item Name],$A120,tblReceipts[Expiry Date],"&lt;"&amp;$H120)+COUNTIFS(tblReceipts[Item Name],$A120,tblReceipts[Expiry Date],$H120,tblReceipts[Lot Number],"&lt;="&amp;Receipts!$C120))</f>
        <v>17</v>
      </c>
      <c r="K120" s="26">
        <f>IF($A120="","",SUMIFS(tblReceipts[Qty Received],tblReceipts[Item Name],$A120,tblReceipts[Expiry Date],"&lt;"&amp;$H120)+SUMIFS(tblReceipts[Qty Received],tblReceipts[Item Name],$A120,tblReceipts[Expiry Date],$H120,tblReceipts[Lot Number],"&lt;"&amp;Receipts!$C120))</f>
        <v>14200</v>
      </c>
      <c r="L120" s="26">
        <f>IF($A120="","",MIN($D120,MAX(0,SUMIFS(tblIssues[Qty Issued],tblIssues[Item Name],$A120)-$K120)))</f>
        <v>0</v>
      </c>
      <c r="M120" s="26">
        <f>IF($A120="","",SUMIFS(tblIssues[Qty Issued],tblIssues[Lot Number],$B120))</f>
        <v>0</v>
      </c>
      <c r="N120" s="26">
        <f t="shared" si="7"/>
        <v>0</v>
      </c>
      <c r="O120" s="26">
        <f t="shared" si="8"/>
        <v>0</v>
      </c>
      <c r="P120" s="21">
        <f t="shared" si="9"/>
        <v>0</v>
      </c>
      <c r="Q120" s="52" t="str">
        <f>IF($A120="","",IF($O120&lt;=0,"Depleted",IF($I120&lt;0,"EXPIRED",IF($I120&lt;=Settings!$C$6,"CRITICAL",IF($I120&lt;=Settings!$C$5,"Expiring","In date")))))</f>
        <v>Depleted</v>
      </c>
    </row>
    <row r="121" spans="1:17" x14ac:dyDescent="0.35">
      <c r="A121" s="90" t="str">
        <f>IF(Receipts!$D121="","",Receipts!$D121)</f>
        <v>Surgical Masks</v>
      </c>
      <c r="B121" s="18" t="str">
        <f>IF(Receipts!$C121="","",Receipts!$C121)</f>
        <v>LV2-10040-2</v>
      </c>
      <c r="C121" s="18" t="str">
        <f>IF($A121="","",IFERROR(INDEX(Items!$B$5:$B$597,MATCH($A121,Items!$A$5:$A$597,0)),""))</f>
        <v>Masks</v>
      </c>
      <c r="D121" s="23">
        <f>IF($A121="","",N(Receipts!$G121))</f>
        <v>900</v>
      </c>
      <c r="E121" s="20">
        <f>IF($A121="","",IFERROR(INDEX(Items!$D$5:$D$597,MATCH($A121,Items!$A$5:$A$597,0)),0))</f>
        <v>0.25</v>
      </c>
      <c r="F121" s="21">
        <f t="shared" si="5"/>
        <v>225</v>
      </c>
      <c r="G121" s="25">
        <f>IF(Receipts!$I121="","",Receipts!$I121)</f>
        <v>46113</v>
      </c>
      <c r="H121" s="25">
        <f>IF(Receipts!$H121="","",Receipts!$H121)</f>
        <v>46275</v>
      </c>
      <c r="I121" s="26">
        <f t="shared" ca="1" si="6"/>
        <v>37</v>
      </c>
      <c r="J121" s="26">
        <f>IF($A121="","",COUNTIFS(tblReceipts[Item Name],$A121,tblReceipts[Expiry Date],"&lt;"&amp;$H121)+COUNTIFS(tblReceipts[Item Name],$A121,tblReceipts[Expiry Date],$H121,tblReceipts[Lot Number],"&lt;="&amp;Receipts!$C121))</f>
        <v>18</v>
      </c>
      <c r="K121" s="26">
        <f>IF($A121="","",SUMIFS(tblReceipts[Qty Received],tblReceipts[Item Name],$A121,tblReceipts[Expiry Date],"&lt;"&amp;$H121)+SUMIFS(tblReceipts[Qty Received],tblReceipts[Item Name],$A121,tblReceipts[Expiry Date],$H121,tblReceipts[Lot Number],"&lt;"&amp;Receipts!$C121))</f>
        <v>14200</v>
      </c>
      <c r="L121" s="26">
        <f>IF($A121="","",MIN($D121,MAX(0,SUMIFS(tblIssues[Qty Issued],tblIssues[Item Name],$A121)-$K121)))</f>
        <v>900</v>
      </c>
      <c r="M121" s="26">
        <f>IF($A121="","",SUMIFS(tblIssues[Qty Issued],tblIssues[Lot Number],$B121))</f>
        <v>900</v>
      </c>
      <c r="N121" s="26">
        <f t="shared" si="7"/>
        <v>0</v>
      </c>
      <c r="O121" s="26">
        <f t="shared" si="8"/>
        <v>0</v>
      </c>
      <c r="P121" s="21">
        <f t="shared" si="9"/>
        <v>0</v>
      </c>
      <c r="Q121" s="52" t="str">
        <f>IF($A121="","",IF($O121&lt;=0,"Depleted",IF($I121&lt;0,"EXPIRED",IF($I121&lt;=Settings!$C$6,"CRITICAL",IF($I121&lt;=Settings!$C$5,"Expiring","In date")))))</f>
        <v>Depleted</v>
      </c>
    </row>
    <row r="122" spans="1:17" x14ac:dyDescent="0.35">
      <c r="A122" s="90" t="str">
        <f>IF(Receipts!$D122="","",Receipts!$D122)</f>
        <v>Surgical Masks</v>
      </c>
      <c r="B122" s="18" t="str">
        <f>IF(Receipts!$C122="","",Receipts!$C122)</f>
        <v>LV2-10040-3</v>
      </c>
      <c r="C122" s="18" t="str">
        <f>IF($A122="","",IFERROR(INDEX(Items!$B$5:$B$597,MATCH($A122,Items!$A$5:$A$597,0)),""))</f>
        <v>Masks</v>
      </c>
      <c r="D122" s="23">
        <f>IF($A122="","",N(Receipts!$G122))</f>
        <v>600</v>
      </c>
      <c r="E122" s="20">
        <f>IF($A122="","",IFERROR(INDEX(Items!$D$5:$D$597,MATCH($A122,Items!$A$5:$A$597,0)),0))</f>
        <v>0.25</v>
      </c>
      <c r="F122" s="21">
        <f t="shared" si="5"/>
        <v>150</v>
      </c>
      <c r="G122" s="25">
        <f>IF(Receipts!$I122="","",Receipts!$I122)</f>
        <v>46113</v>
      </c>
      <c r="H122" s="25">
        <f>IF(Receipts!$H122="","",Receipts!$H122)</f>
        <v>46283</v>
      </c>
      <c r="I122" s="26">
        <f t="shared" ca="1" si="6"/>
        <v>45</v>
      </c>
      <c r="J122" s="26">
        <f>IF($A122="","",COUNTIFS(tblReceipts[Item Name],$A122,tblReceipts[Expiry Date],"&lt;"&amp;$H122)+COUNTIFS(tblReceipts[Item Name],$A122,tblReceipts[Expiry Date],$H122,tblReceipts[Lot Number],"&lt;="&amp;Receipts!$C122))</f>
        <v>19</v>
      </c>
      <c r="K122" s="26">
        <f>IF($A122="","",SUMIFS(tblReceipts[Qty Received],tblReceipts[Item Name],$A122,tblReceipts[Expiry Date],"&lt;"&amp;$H122)+SUMIFS(tblReceipts[Qty Received],tblReceipts[Item Name],$A122,tblReceipts[Expiry Date],$H122,tblReceipts[Lot Number],"&lt;"&amp;Receipts!$C122))</f>
        <v>15100</v>
      </c>
      <c r="L122" s="26">
        <f>IF($A122="","",MIN($D122,MAX(0,SUMIFS(tblIssues[Qty Issued],tblIssues[Item Name],$A122)-$K122)))</f>
        <v>600</v>
      </c>
      <c r="M122" s="26">
        <f>IF($A122="","",SUMIFS(tblIssues[Qty Issued],tblIssues[Lot Number],$B122))</f>
        <v>600</v>
      </c>
      <c r="N122" s="26">
        <f t="shared" si="7"/>
        <v>0</v>
      </c>
      <c r="O122" s="26">
        <f t="shared" si="8"/>
        <v>0</v>
      </c>
      <c r="P122" s="21">
        <f t="shared" si="9"/>
        <v>0</v>
      </c>
      <c r="Q122" s="52" t="str">
        <f>IF($A122="","",IF($O122&lt;=0,"Depleted",IF($I122&lt;0,"EXPIRED",IF($I122&lt;=Settings!$C$6,"CRITICAL",IF($I122&lt;=Settings!$C$5,"Expiring","In date")))))</f>
        <v>Depleted</v>
      </c>
    </row>
    <row r="123" spans="1:17" x14ac:dyDescent="0.35">
      <c r="A123" s="90" t="str">
        <f>IF(Receipts!$D123="","",Receipts!$D123)</f>
        <v>Surgical Masks</v>
      </c>
      <c r="B123" s="18" t="str">
        <f>IF(Receipts!$C123="","",Receipts!$C123)</f>
        <v>LV2-10041</v>
      </c>
      <c r="C123" s="18" t="str">
        <f>IF($A123="","",IFERROR(INDEX(Items!$B$5:$B$597,MATCH($A123,Items!$A$5:$A$597,0)),""))</f>
        <v>Masks</v>
      </c>
      <c r="D123" s="23">
        <f>IF($A123="","",N(Receipts!$G123))</f>
        <v>0</v>
      </c>
      <c r="E123" s="20">
        <f>IF($A123="","",IFERROR(INDEX(Items!$D$5:$D$597,MATCH($A123,Items!$A$5:$A$597,0)),0))</f>
        <v>0.25</v>
      </c>
      <c r="F123" s="21">
        <f t="shared" si="5"/>
        <v>0</v>
      </c>
      <c r="G123" s="25">
        <f>IF(Receipts!$I123="","",Receipts!$I123)</f>
        <v>46113</v>
      </c>
      <c r="H123" s="25">
        <f>IF(Receipts!$H123="","",Receipts!$H123)</f>
        <v>46244</v>
      </c>
      <c r="I123" s="26">
        <f t="shared" ca="1" si="6"/>
        <v>6</v>
      </c>
      <c r="J123" s="26">
        <f>IF($A123="","",COUNTIFS(tblReceipts[Item Name],$A123,tblReceipts[Expiry Date],"&lt;"&amp;$H123)+COUNTIFS(tblReceipts[Item Name],$A123,tblReceipts[Expiry Date],$H123,tblReceipts[Lot Number],"&lt;="&amp;Receipts!$C123))</f>
        <v>13</v>
      </c>
      <c r="K123" s="26">
        <f>IF($A123="","",SUMIFS(tblReceipts[Qty Received],tblReceipts[Item Name],$A123,tblReceipts[Expiry Date],"&lt;"&amp;$H123)+SUMIFS(tblReceipts[Qty Received],tblReceipts[Item Name],$A123,tblReceipts[Expiry Date],$H123,tblReceipts[Lot Number],"&lt;"&amp;Receipts!$C123))</f>
        <v>11200</v>
      </c>
      <c r="L123" s="26">
        <f>IF($A123="","",MIN($D123,MAX(0,SUMIFS(tblIssues[Qty Issued],tblIssues[Item Name],$A123)-$K123)))</f>
        <v>0</v>
      </c>
      <c r="M123" s="26">
        <f>IF($A123="","",SUMIFS(tblIssues[Qty Issued],tblIssues[Lot Number],$B123))</f>
        <v>0</v>
      </c>
      <c r="N123" s="26">
        <f t="shared" si="7"/>
        <v>0</v>
      </c>
      <c r="O123" s="26">
        <f t="shared" si="8"/>
        <v>0</v>
      </c>
      <c r="P123" s="21">
        <f t="shared" si="9"/>
        <v>0</v>
      </c>
      <c r="Q123" s="52" t="str">
        <f>IF($A123="","",IF($O123&lt;=0,"Depleted",IF($I123&lt;0,"EXPIRED",IF($I123&lt;=Settings!$C$6,"CRITICAL",IF($I123&lt;=Settings!$C$5,"Expiring","In date")))))</f>
        <v>Depleted</v>
      </c>
    </row>
    <row r="124" spans="1:17" x14ac:dyDescent="0.35">
      <c r="A124" s="90" t="str">
        <f>IF(Receipts!$D124="","",Receipts!$D124)</f>
        <v>Surgical Masks</v>
      </c>
      <c r="B124" s="18" t="str">
        <f>IF(Receipts!$C124="","",Receipts!$C124)</f>
        <v>LV2-10041-0</v>
      </c>
      <c r="C124" s="18" t="str">
        <f>IF($A124="","",IFERROR(INDEX(Items!$B$5:$B$597,MATCH($A124,Items!$A$5:$A$597,0)),""))</f>
        <v>Masks</v>
      </c>
      <c r="D124" s="23">
        <f>IF($A124="","",N(Receipts!$G124))</f>
        <v>0</v>
      </c>
      <c r="E124" s="20">
        <f>IF($A124="","",IFERROR(INDEX(Items!$D$5:$D$597,MATCH($A124,Items!$A$5:$A$597,0)),0))</f>
        <v>0.25</v>
      </c>
      <c r="F124" s="21">
        <f t="shared" si="5"/>
        <v>0</v>
      </c>
      <c r="G124" s="25">
        <f>IF(Receipts!$I124="","",Receipts!$I124)</f>
        <v>46113</v>
      </c>
      <c r="H124" s="25">
        <f>IF(Receipts!$H124="","",Receipts!$H124)</f>
        <v>46252</v>
      </c>
      <c r="I124" s="26">
        <f t="shared" ca="1" si="6"/>
        <v>14</v>
      </c>
      <c r="J124" s="26">
        <f>IF($A124="","",COUNTIFS(tblReceipts[Item Name],$A124,tblReceipts[Expiry Date],"&lt;"&amp;$H124)+COUNTIFS(tblReceipts[Item Name],$A124,tblReceipts[Expiry Date],$H124,tblReceipts[Lot Number],"&lt;="&amp;Receipts!$C124))</f>
        <v>15</v>
      </c>
      <c r="K124" s="26">
        <f>IF($A124="","",SUMIFS(tblReceipts[Qty Received],tblReceipts[Item Name],$A124,tblReceipts[Expiry Date],"&lt;"&amp;$H124)+SUMIFS(tblReceipts[Qty Received],tblReceipts[Item Name],$A124,tblReceipts[Expiry Date],$H124,tblReceipts[Lot Number],"&lt;"&amp;Receipts!$C124))</f>
        <v>14200</v>
      </c>
      <c r="L124" s="26">
        <f>IF($A124="","",MIN($D124,MAX(0,SUMIFS(tblIssues[Qty Issued],tblIssues[Item Name],$A124)-$K124)))</f>
        <v>0</v>
      </c>
      <c r="M124" s="26">
        <f>IF($A124="","",SUMIFS(tblIssues[Qty Issued],tblIssues[Lot Number],$B124))</f>
        <v>0</v>
      </c>
      <c r="N124" s="26">
        <f t="shared" si="7"/>
        <v>0</v>
      </c>
      <c r="O124" s="26">
        <f t="shared" si="8"/>
        <v>0</v>
      </c>
      <c r="P124" s="21">
        <f t="shared" si="9"/>
        <v>0</v>
      </c>
      <c r="Q124" s="52" t="str">
        <f>IF($A124="","",IF($O124&lt;=0,"Depleted",IF($I124&lt;0,"EXPIRED",IF($I124&lt;=Settings!$C$6,"CRITICAL",IF($I124&lt;=Settings!$C$5,"Expiring","In date")))))</f>
        <v>Depleted</v>
      </c>
    </row>
    <row r="125" spans="1:17" x14ac:dyDescent="0.35">
      <c r="A125" s="90" t="str">
        <f>IF(Receipts!$D125="","",Receipts!$D125)</f>
        <v>Surgical Masks</v>
      </c>
      <c r="B125" s="18" t="str">
        <f>IF(Receipts!$C125="","",Receipts!$C125)</f>
        <v>SM50037199</v>
      </c>
      <c r="C125" s="18" t="str">
        <f>IF($A125="","",IFERROR(INDEX(Items!$B$5:$B$597,MATCH($A125,Items!$A$5:$A$597,0)),""))</f>
        <v>Masks</v>
      </c>
      <c r="D125" s="23">
        <f>IF($A125="","",N(Receipts!$G125))</f>
        <v>0</v>
      </c>
      <c r="E125" s="20">
        <f>IF($A125="","",IFERROR(INDEX(Items!$D$5:$D$597,MATCH($A125,Items!$A$5:$A$597,0)),0))</f>
        <v>0.25</v>
      </c>
      <c r="F125" s="21">
        <f t="shared" si="5"/>
        <v>0</v>
      </c>
      <c r="G125" s="25">
        <f>IF(Receipts!$I125="","",Receipts!$I125)</f>
        <v>46113</v>
      </c>
      <c r="H125" s="25">
        <f>IF(Receipts!$H125="","",Receipts!$H125)</f>
        <v>46318</v>
      </c>
      <c r="I125" s="26">
        <f t="shared" ca="1" si="6"/>
        <v>80</v>
      </c>
      <c r="J125" s="26">
        <f>IF($A125="","",COUNTIFS(tblReceipts[Item Name],$A125,tblReceipts[Expiry Date],"&lt;"&amp;$H125)+COUNTIFS(tblReceipts[Item Name],$A125,tblReceipts[Expiry Date],$H125,tblReceipts[Lot Number],"&lt;="&amp;Receipts!$C125))</f>
        <v>21</v>
      </c>
      <c r="K125" s="26">
        <f>IF($A125="","",SUMIFS(tblReceipts[Qty Received],tblReceipts[Item Name],$A125,tblReceipts[Expiry Date],"&lt;"&amp;$H125)+SUMIFS(tblReceipts[Qty Received],tblReceipts[Item Name],$A125,tblReceipts[Expiry Date],$H125,tblReceipts[Lot Number],"&lt;"&amp;Receipts!$C125))</f>
        <v>16700</v>
      </c>
      <c r="L125" s="26">
        <f>IF($A125="","",MIN($D125,MAX(0,SUMIFS(tblIssues[Qty Issued],tblIssues[Item Name],$A125)-$K125)))</f>
        <v>0</v>
      </c>
      <c r="M125" s="26">
        <f>IF($A125="","",SUMIFS(tblIssues[Qty Issued],tblIssues[Lot Number],$B125))</f>
        <v>0</v>
      </c>
      <c r="N125" s="26">
        <f t="shared" si="7"/>
        <v>0</v>
      </c>
      <c r="O125" s="26">
        <f t="shared" si="8"/>
        <v>0</v>
      </c>
      <c r="P125" s="21">
        <f t="shared" si="9"/>
        <v>0</v>
      </c>
      <c r="Q125" s="52" t="str">
        <f>IF($A125="","",IF($O125&lt;=0,"Depleted",IF($I125&lt;0,"EXPIRED",IF($I125&lt;=Settings!$C$6,"CRITICAL",IF($I125&lt;=Settings!$C$5,"Expiring","In date")))))</f>
        <v>Depleted</v>
      </c>
    </row>
    <row r="126" spans="1:17" x14ac:dyDescent="0.35">
      <c r="A126" s="90" t="str">
        <f>IF(Receipts!$D126="","",Receipts!$D126)</f>
        <v>Surgical Masks</v>
      </c>
      <c r="B126" s="18" t="str">
        <f>IF(Receipts!$C126="","",Receipts!$C126)</f>
        <v>SM5003720</v>
      </c>
      <c r="C126" s="18" t="str">
        <f>IF($A126="","",IFERROR(INDEX(Items!$B$5:$B$597,MATCH($A126,Items!$A$5:$A$597,0)),""))</f>
        <v>Masks</v>
      </c>
      <c r="D126" s="23">
        <f>IF($A126="","",N(Receipts!$G126))</f>
        <v>0</v>
      </c>
      <c r="E126" s="20">
        <f>IF($A126="","",IFERROR(INDEX(Items!$D$5:$D$597,MATCH($A126,Items!$A$5:$A$597,0)),0))</f>
        <v>0.25</v>
      </c>
      <c r="F126" s="21">
        <f t="shared" si="5"/>
        <v>0</v>
      </c>
      <c r="G126" s="25">
        <f>IF(Receipts!$I126="","",Receipts!$I126)</f>
        <v>46113</v>
      </c>
      <c r="H126" s="25">
        <f>IF(Receipts!$H126="","",Receipts!$H126)</f>
        <v>46140</v>
      </c>
      <c r="I126" s="26">
        <f t="shared" ca="1" si="6"/>
        <v>-98</v>
      </c>
      <c r="J126" s="26">
        <f>IF($A126="","",COUNTIFS(tblReceipts[Item Name],$A126,tblReceipts[Expiry Date],"&lt;"&amp;$H126)+COUNTIFS(tblReceipts[Item Name],$A126,tblReceipts[Expiry Date],$H126,tblReceipts[Lot Number],"&lt;="&amp;Receipts!$C126))</f>
        <v>1</v>
      </c>
      <c r="K126" s="26">
        <f>IF($A126="","",SUMIFS(tblReceipts[Qty Received],tblReceipts[Item Name],$A126,tblReceipts[Expiry Date],"&lt;"&amp;$H126)+SUMIFS(tblReceipts[Qty Received],tblReceipts[Item Name],$A126,tblReceipts[Expiry Date],$H126,tblReceipts[Lot Number],"&lt;"&amp;Receipts!$C126))</f>
        <v>0</v>
      </c>
      <c r="L126" s="26">
        <f>IF($A126="","",MIN($D126,MAX(0,SUMIFS(tblIssues[Qty Issued],tblIssues[Item Name],$A126)-$K126)))</f>
        <v>0</v>
      </c>
      <c r="M126" s="26">
        <f>IF($A126="","",SUMIFS(tblIssues[Qty Issued],tblIssues[Lot Number],$B126))</f>
        <v>0</v>
      </c>
      <c r="N126" s="26">
        <f t="shared" si="7"/>
        <v>0</v>
      </c>
      <c r="O126" s="26">
        <f t="shared" si="8"/>
        <v>0</v>
      </c>
      <c r="P126" s="21">
        <f t="shared" si="9"/>
        <v>0</v>
      </c>
      <c r="Q126" s="52" t="str">
        <f>IF($A126="","",IF($O126&lt;=0,"Depleted",IF($I126&lt;0,"EXPIRED",IF($I126&lt;=Settings!$C$6,"CRITICAL",IF($I126&lt;=Settings!$C$5,"Expiring","In date")))))</f>
        <v>Depleted</v>
      </c>
    </row>
    <row r="127" spans="1:17" x14ac:dyDescent="0.35">
      <c r="A127" s="90" t="str">
        <f>IF(Receipts!$D127="","",Receipts!$D127)</f>
        <v>Surgical Masks</v>
      </c>
      <c r="B127" s="18" t="str">
        <f>IF(Receipts!$C127="","",Receipts!$C127)</f>
        <v>SM50037200</v>
      </c>
      <c r="C127" s="18" t="str">
        <f>IF($A127="","",IFERROR(INDEX(Items!$B$5:$B$597,MATCH($A127,Items!$A$5:$A$597,0)),""))</f>
        <v>Masks</v>
      </c>
      <c r="D127" s="23">
        <f>IF($A127="","",N(Receipts!$G127))</f>
        <v>0</v>
      </c>
      <c r="E127" s="20">
        <f>IF($A127="","",IFERROR(INDEX(Items!$D$5:$D$597,MATCH($A127,Items!$A$5:$A$597,0)),0))</f>
        <v>0.25</v>
      </c>
      <c r="F127" s="21">
        <f t="shared" si="5"/>
        <v>0</v>
      </c>
      <c r="G127" s="25">
        <f>IF(Receipts!$I127="","",Receipts!$I127)</f>
        <v>46113</v>
      </c>
      <c r="H127" s="25">
        <f>IF(Receipts!$H127="","",Receipts!$H127)</f>
        <v>46147</v>
      </c>
      <c r="I127" s="26">
        <f t="shared" ca="1" si="6"/>
        <v>-91</v>
      </c>
      <c r="J127" s="26">
        <f>IF($A127="","",COUNTIFS(tblReceipts[Item Name],$A127,tblReceipts[Expiry Date],"&lt;"&amp;$H127)+COUNTIFS(tblReceipts[Item Name],$A127,tblReceipts[Expiry Date],$H127,tblReceipts[Lot Number],"&lt;="&amp;Receipts!$C127))</f>
        <v>2</v>
      </c>
      <c r="K127" s="26">
        <f>IF($A127="","",SUMIFS(tblReceipts[Qty Received],tblReceipts[Item Name],$A127,tblReceipts[Expiry Date],"&lt;"&amp;$H127)+SUMIFS(tblReceipts[Qty Received],tblReceipts[Item Name],$A127,tblReceipts[Expiry Date],$H127,tblReceipts[Lot Number],"&lt;"&amp;Receipts!$C127))</f>
        <v>0</v>
      </c>
      <c r="L127" s="26">
        <f>IF($A127="","",MIN($D127,MAX(0,SUMIFS(tblIssues[Qty Issued],tblIssues[Item Name],$A127)-$K127)))</f>
        <v>0</v>
      </c>
      <c r="M127" s="26">
        <f>IF($A127="","",SUMIFS(tblIssues[Qty Issued],tblIssues[Lot Number],$B127))</f>
        <v>0</v>
      </c>
      <c r="N127" s="26">
        <f t="shared" si="7"/>
        <v>0</v>
      </c>
      <c r="O127" s="26">
        <f t="shared" si="8"/>
        <v>0</v>
      </c>
      <c r="P127" s="21">
        <f t="shared" si="9"/>
        <v>0</v>
      </c>
      <c r="Q127" s="52" t="str">
        <f>IF($A127="","",IF($O127&lt;=0,"Depleted",IF($I127&lt;0,"EXPIRED",IF($I127&lt;=Settings!$C$6,"CRITICAL",IF($I127&lt;=Settings!$C$5,"Expiring","In date")))))</f>
        <v>Depleted</v>
      </c>
    </row>
    <row r="128" spans="1:17" x14ac:dyDescent="0.35">
      <c r="A128" s="90" t="str">
        <f>IF(Receipts!$D128="","",Receipts!$D128)</f>
        <v>Disinfectant Wipes OS</v>
      </c>
      <c r="B128" s="18" t="str">
        <f>IF(Receipts!$C128="","",Receipts!$C128)</f>
        <v>031125VXO7</v>
      </c>
      <c r="C128" s="18" t="str">
        <f>IF($A128="","",IFERROR(INDEX(Items!$B$5:$B$597,MATCH($A128,Items!$A$5:$A$597,0)),""))</f>
        <v>Wipes</v>
      </c>
      <c r="D128" s="23">
        <f>IF($A128="","",N(Receipts!$G128))</f>
        <v>3840</v>
      </c>
      <c r="E128" s="20">
        <f>IF($A128="","",IFERROR(INDEX(Items!$D$5:$D$597,MATCH($A128,Items!$A$5:$A$597,0)),0))</f>
        <v>0</v>
      </c>
      <c r="F128" s="21">
        <f t="shared" si="5"/>
        <v>0</v>
      </c>
      <c r="G128" s="25">
        <f>IF(Receipts!$I128="","",Receipts!$I128)</f>
        <v>46113</v>
      </c>
      <c r="H128" s="25">
        <f>IF(Receipts!$H128="","",Receipts!$H128)</f>
        <v>46823</v>
      </c>
      <c r="I128" s="26">
        <f t="shared" ca="1" si="6"/>
        <v>585</v>
      </c>
      <c r="J128" s="26">
        <f>IF($A128="","",COUNTIFS(tblReceipts[Item Name],$A128,tblReceipts[Expiry Date],"&lt;"&amp;$H128)+COUNTIFS(tblReceipts[Item Name],$A128,tblReceipts[Expiry Date],$H128,tblReceipts[Lot Number],"&lt;="&amp;Receipts!$C128))</f>
        <v>2</v>
      </c>
      <c r="K128" s="26">
        <f>IF($A128="","",SUMIFS(tblReceipts[Qty Received],tblReceipts[Item Name],$A128,tblReceipts[Expiry Date],"&lt;"&amp;$H128)+SUMIFS(tblReceipts[Qty Received],tblReceipts[Item Name],$A128,tblReceipts[Expiry Date],$H128,tblReceipts[Lot Number],"&lt;"&amp;Receipts!$C128))</f>
        <v>1920</v>
      </c>
      <c r="L128" s="26">
        <f>IF($A128="","",MIN($D128,MAX(0,SUMIFS(tblIssues[Qty Issued],tblIssues[Item Name],$A128)-$K128)))</f>
        <v>0</v>
      </c>
      <c r="M128" s="26">
        <f>IF($A128="","",SUMIFS(tblIssues[Qty Issued],tblIssues[Lot Number],$B128))</f>
        <v>0</v>
      </c>
      <c r="N128" s="26">
        <f t="shared" si="7"/>
        <v>0</v>
      </c>
      <c r="O128" s="26">
        <f t="shared" si="8"/>
        <v>3840</v>
      </c>
      <c r="P128" s="21">
        <f t="shared" si="9"/>
        <v>0</v>
      </c>
      <c r="Q128" s="52" t="str">
        <f ca="1">IF($A128="","",IF($O128&lt;=0,"Depleted",IF($I128&lt;0,"EXPIRED",IF($I128&lt;=Settings!$C$6,"CRITICAL",IF($I128&lt;=Settings!$C$5,"Expiring","In date")))))</f>
        <v>In date</v>
      </c>
    </row>
    <row r="129" spans="1:17" x14ac:dyDescent="0.35">
      <c r="A129" s="90" t="str">
        <f>IF(Receipts!$D129="","",Receipts!$D129)</f>
        <v>Thermometer</v>
      </c>
      <c r="B129" s="18" t="str">
        <f>IF(Receipts!$C129="","",Receipts!$C129)</f>
        <v>Therm-1</v>
      </c>
      <c r="C129" s="18" t="str">
        <f>IF($A129="","",IFERROR(INDEX(Items!$B$5:$B$597,MATCH($A129,Items!$A$5:$A$597,0)),""))</f>
        <v>Device</v>
      </c>
      <c r="D129" s="23">
        <f>IF($A129="","",N(Receipts!$G129))</f>
        <v>10</v>
      </c>
      <c r="E129" s="20">
        <f>IF($A129="","",IFERROR(INDEX(Items!$D$5:$D$597,MATCH($A129,Items!$A$5:$A$597,0)),0))</f>
        <v>8</v>
      </c>
      <c r="F129" s="21">
        <f t="shared" si="5"/>
        <v>80</v>
      </c>
      <c r="G129" s="25">
        <f>IF(Receipts!$I129="","",Receipts!$I129)</f>
        <v>46113</v>
      </c>
      <c r="H129" s="25">
        <f>IF(Receipts!$H129="","",Receipts!$H129)</f>
        <v>47209</v>
      </c>
      <c r="I129" s="26">
        <f t="shared" ca="1" si="6"/>
        <v>971</v>
      </c>
      <c r="J129" s="26">
        <f>IF($A129="","",COUNTIFS(tblReceipts[Item Name],$A129,tblReceipts[Expiry Date],"&lt;"&amp;$H129)+COUNTIFS(tblReceipts[Item Name],$A129,tblReceipts[Expiry Date],$H129,tblReceipts[Lot Number],"&lt;="&amp;Receipts!$C129))</f>
        <v>1</v>
      </c>
      <c r="K129" s="26">
        <f>IF($A129="","",SUMIFS(tblReceipts[Qty Received],tblReceipts[Item Name],$A129,tblReceipts[Expiry Date],"&lt;"&amp;$H129)+SUMIFS(tblReceipts[Qty Received],tblReceipts[Item Name],$A129,tblReceipts[Expiry Date],$H129,tblReceipts[Lot Number],"&lt;"&amp;Receipts!$C129))</f>
        <v>0</v>
      </c>
      <c r="L129" s="26">
        <f>IF($A129="","",MIN($D129,MAX(0,SUMIFS(tblIssues[Qty Issued],tblIssues[Item Name],$A129)-$K129)))</f>
        <v>1</v>
      </c>
      <c r="M129" s="26">
        <f>IF($A129="","",SUMIFS(tblIssues[Qty Issued],tblIssues[Lot Number],$B129))</f>
        <v>1</v>
      </c>
      <c r="N129" s="26">
        <f t="shared" si="7"/>
        <v>0</v>
      </c>
      <c r="O129" s="26">
        <f t="shared" si="8"/>
        <v>9</v>
      </c>
      <c r="P129" s="21">
        <f t="shared" si="9"/>
        <v>72</v>
      </c>
      <c r="Q129" s="52" t="str">
        <f ca="1">IF($A129="","",IF($O129&lt;=0,"Depleted",IF($I129&lt;0,"EXPIRED",IF($I129&lt;=Settings!$C$6,"CRITICAL",IF($I129&lt;=Settings!$C$5,"Expiring","In date")))))</f>
        <v>In date</v>
      </c>
    </row>
    <row r="130" spans="1:17" x14ac:dyDescent="0.35">
      <c r="A130" s="90" t="str">
        <f>IF(Receipts!$D130="","",Receipts!$D130)</f>
        <v>Stethscope</v>
      </c>
      <c r="B130" s="18" t="str">
        <f>IF(Receipts!$C130="","",Receipts!$C130)</f>
        <v>Steth-1</v>
      </c>
      <c r="C130" s="18" t="str">
        <f>IF($A130="","",IFERROR(INDEX(Items!$B$5:$B$597,MATCH($A130,Items!$A$5:$A$597,0)),""))</f>
        <v>Device</v>
      </c>
      <c r="D130" s="23">
        <f>IF($A130="","",N(Receipts!$G130))</f>
        <v>5</v>
      </c>
      <c r="E130" s="20">
        <f>IF($A130="","",IFERROR(INDEX(Items!$D$5:$D$597,MATCH($A130,Items!$A$5:$A$597,0)),0))</f>
        <v>12</v>
      </c>
      <c r="F130" s="21">
        <f t="shared" si="5"/>
        <v>60</v>
      </c>
      <c r="G130" s="25">
        <f>IF(Receipts!$I130="","",Receipts!$I130)</f>
        <v>46113</v>
      </c>
      <c r="H130" s="25">
        <f>IF(Receipts!$H130="","",Receipts!$H130)</f>
        <v>47209</v>
      </c>
      <c r="I130" s="26">
        <f t="shared" ca="1" si="6"/>
        <v>971</v>
      </c>
      <c r="J130" s="26">
        <f>IF($A130="","",COUNTIFS(tblReceipts[Item Name],$A130,tblReceipts[Expiry Date],"&lt;"&amp;$H130)+COUNTIFS(tblReceipts[Item Name],$A130,tblReceipts[Expiry Date],$H130,tblReceipts[Lot Number],"&lt;="&amp;Receipts!$C130))</f>
        <v>1</v>
      </c>
      <c r="K130" s="26">
        <f>IF($A130="","",SUMIFS(tblReceipts[Qty Received],tblReceipts[Item Name],$A130,tblReceipts[Expiry Date],"&lt;"&amp;$H130)+SUMIFS(tblReceipts[Qty Received],tblReceipts[Item Name],$A130,tblReceipts[Expiry Date],$H130,tblReceipts[Lot Number],"&lt;"&amp;Receipts!$C130))</f>
        <v>0</v>
      </c>
      <c r="L130" s="26">
        <f>IF($A130="","",MIN($D130,MAX(0,SUMIFS(tblIssues[Qty Issued],tblIssues[Item Name],$A130)-$K130)))</f>
        <v>1</v>
      </c>
      <c r="M130" s="26">
        <f>IF($A130="","",SUMIFS(tblIssues[Qty Issued],tblIssues[Lot Number],$B130))</f>
        <v>1</v>
      </c>
      <c r="N130" s="26">
        <f t="shared" si="7"/>
        <v>0</v>
      </c>
      <c r="O130" s="26">
        <f t="shared" si="8"/>
        <v>4</v>
      </c>
      <c r="P130" s="21">
        <f t="shared" si="9"/>
        <v>48</v>
      </c>
      <c r="Q130" s="52" t="str">
        <f ca="1">IF($A130="","",IF($O130&lt;=0,"Depleted",IF($I130&lt;0,"EXPIRED",IF($I130&lt;=Settings!$C$6,"CRITICAL",IF($I130&lt;=Settings!$C$5,"Expiring","In date")))))</f>
        <v>In date</v>
      </c>
    </row>
    <row r="131" spans="1:17" x14ac:dyDescent="0.35">
      <c r="A131" s="90" t="str">
        <f>IF(Receipts!$D131="","",Receipts!$D131)</f>
        <v>Gloves - Medium</v>
      </c>
      <c r="B131" s="18" t="str">
        <f>IF(Receipts!$C131="","",Receipts!$C131)</f>
        <v>ZIM504126040-2</v>
      </c>
      <c r="C131" s="18" t="str">
        <f>IF($A131="","",IFERROR(INDEX(Items!$B$5:$B$597,MATCH($A131,Items!$A$5:$A$597,0)),""))</f>
        <v>Gloves</v>
      </c>
      <c r="D131" s="23">
        <f>IF($A131="","",N(Receipts!$G131))</f>
        <v>7500</v>
      </c>
      <c r="E131" s="20">
        <f>IF($A131="","",IFERROR(INDEX(Items!$D$5:$D$597,MATCH($A131,Items!$A$5:$A$597,0)),0))</f>
        <v>5.5E-2</v>
      </c>
      <c r="F131" s="21">
        <f t="shared" si="5"/>
        <v>412.5</v>
      </c>
      <c r="G131" s="25">
        <f>IF(Receipts!$I131="","",Receipts!$I131)</f>
        <v>46119</v>
      </c>
      <c r="H131" s="25">
        <f>IF(Receipts!$H131="","",Receipts!$H131)</f>
        <v>46302</v>
      </c>
      <c r="I131" s="26">
        <f t="shared" ca="1" si="6"/>
        <v>64</v>
      </c>
      <c r="J131" s="26">
        <f>IF($A131="","",COUNTIFS(tblReceipts[Item Name],$A131,tblReceipts[Expiry Date],"&lt;"&amp;$H131)+COUNTIFS(tblReceipts[Item Name],$A131,tblReceipts[Expiry Date],$H131,tblReceipts[Lot Number],"&lt;="&amp;Receipts!$C131))</f>
        <v>23</v>
      </c>
      <c r="K131" s="26">
        <f>IF($A131="","",SUMIFS(tblReceipts[Qty Received],tblReceipts[Item Name],$A131,tblReceipts[Expiry Date],"&lt;"&amp;$H131)+SUMIFS(tblReceipts[Qty Received],tblReceipts[Item Name],$A131,tblReceipts[Expiry Date],$H131,tblReceipts[Lot Number],"&lt;"&amp;Receipts!$C131))</f>
        <v>27000</v>
      </c>
      <c r="L131" s="26">
        <f>IF($A131="","",MIN($D131,MAX(0,SUMIFS(tblIssues[Qty Issued],tblIssues[Item Name],$A131)-$K131)))</f>
        <v>7500</v>
      </c>
      <c r="M131" s="26">
        <f>IF($A131="","",SUMIFS(tblIssues[Qty Issued],tblIssues[Lot Number],$B131))</f>
        <v>12500</v>
      </c>
      <c r="N131" s="26">
        <f t="shared" si="7"/>
        <v>5000</v>
      </c>
      <c r="O131" s="26">
        <f t="shared" si="8"/>
        <v>0</v>
      </c>
      <c r="P131" s="21">
        <f t="shared" si="9"/>
        <v>0</v>
      </c>
      <c r="Q131" s="52" t="str">
        <f>IF($A131="","",IF($O131&lt;=0,"Depleted",IF($I131&lt;0,"EXPIRED",IF($I131&lt;=Settings!$C$6,"CRITICAL",IF($I131&lt;=Settings!$C$5,"Expiring","In date")))))</f>
        <v>Depleted</v>
      </c>
    </row>
    <row r="132" spans="1:17" x14ac:dyDescent="0.35">
      <c r="A132" s="90" t="str">
        <f>IF(Receipts!$D132="","",Receipts!$D132)</f>
        <v>Gloves - Medium</v>
      </c>
      <c r="B132" s="18" t="str">
        <f>IF(Receipts!$C132="","",Receipts!$C132)</f>
        <v>0312HIC25</v>
      </c>
      <c r="C132" s="18" t="str">
        <f>IF($A132="","",IFERROR(INDEX(Items!$B$5:$B$597,MATCH($A132,Items!$A$5:$A$597,0)),""))</f>
        <v>Gloves</v>
      </c>
      <c r="D132" s="23">
        <f>IF($A132="","",N(Receipts!$G132))</f>
        <v>12000</v>
      </c>
      <c r="E132" s="20">
        <f>IF($A132="","",IFERROR(INDEX(Items!$D$5:$D$597,MATCH($A132,Items!$A$5:$A$597,0)),0))</f>
        <v>5.5E-2</v>
      </c>
      <c r="F132" s="21">
        <f t="shared" si="5"/>
        <v>660</v>
      </c>
      <c r="G132" s="25">
        <f>IF(Receipts!$I132="","",Receipts!$I132)</f>
        <v>46121</v>
      </c>
      <c r="H132" s="25">
        <f>IF(Receipts!$H132="","",Receipts!$H132)</f>
        <v>46302</v>
      </c>
      <c r="I132" s="26">
        <f t="shared" ca="1" si="6"/>
        <v>64</v>
      </c>
      <c r="J132" s="26">
        <f>IF($A132="","",COUNTIFS(tblReceipts[Item Name],$A132,tblReceipts[Expiry Date],"&lt;"&amp;$H132)+COUNTIFS(tblReceipts[Item Name],$A132,tblReceipts[Expiry Date],$H132,tblReceipts[Lot Number],"&lt;="&amp;Receipts!$C132))</f>
        <v>22</v>
      </c>
      <c r="K132" s="26">
        <f>IF($A132="","",SUMIFS(tblReceipts[Qty Received],tblReceipts[Item Name],$A132,tblReceipts[Expiry Date],"&lt;"&amp;$H132)+SUMIFS(tblReceipts[Qty Received],tblReceipts[Item Name],$A132,tblReceipts[Expiry Date],$H132,tblReceipts[Lot Number],"&lt;"&amp;Receipts!$C132))</f>
        <v>15000</v>
      </c>
      <c r="L132" s="26">
        <f>IF($A132="","",MIN($D132,MAX(0,SUMIFS(tblIssues[Qty Issued],tblIssues[Item Name],$A132)-$K132)))</f>
        <v>12000</v>
      </c>
      <c r="M132" s="26">
        <f>IF($A132="","",SUMIFS(tblIssues[Qty Issued],tblIssues[Lot Number],$B132))</f>
        <v>12000</v>
      </c>
      <c r="N132" s="26">
        <f t="shared" si="7"/>
        <v>0</v>
      </c>
      <c r="O132" s="26">
        <f t="shared" si="8"/>
        <v>0</v>
      </c>
      <c r="P132" s="21">
        <f t="shared" si="9"/>
        <v>0</v>
      </c>
      <c r="Q132" s="52" t="str">
        <f>IF($A132="","",IF($O132&lt;=0,"Depleted",IF($I132&lt;0,"EXPIRED",IF($I132&lt;=Settings!$C$6,"CRITICAL",IF($I132&lt;=Settings!$C$5,"Expiring","In date")))))</f>
        <v>Depleted</v>
      </c>
    </row>
    <row r="133" spans="1:17" x14ac:dyDescent="0.35">
      <c r="A133" s="90" t="str">
        <f>IF(Receipts!$D133="","",Receipts!$D133)</f>
        <v>Gloves - Small</v>
      </c>
      <c r="B133" s="18" t="str">
        <f>IF(Receipts!$C133="","",Receipts!$C133)</f>
        <v>O211LIC25-0</v>
      </c>
      <c r="C133" s="18" t="str">
        <f>IF($A133="","",IFERROR(INDEX(Items!$B$5:$B$597,MATCH($A133,Items!$A$5:$A$597,0)),""))</f>
        <v>Gloves</v>
      </c>
      <c r="D133" s="23">
        <f>IF($A133="","",N(Receipts!$G133))</f>
        <v>5000</v>
      </c>
      <c r="E133" s="20">
        <f>IF($A133="","",IFERROR(INDEX(Items!$D$5:$D$597,MATCH($A133,Items!$A$5:$A$597,0)),0))</f>
        <v>5.5E-2</v>
      </c>
      <c r="F133" s="21">
        <f t="shared" ref="F133:F196" si="10">IF($A133="","",$D133*$E133)</f>
        <v>275</v>
      </c>
      <c r="G133" s="25">
        <f>IF(Receipts!$I133="","",Receipts!$I133)</f>
        <v>46121</v>
      </c>
      <c r="H133" s="25">
        <f>IF(Receipts!$H133="","",Receipts!$H133)</f>
        <v>46302</v>
      </c>
      <c r="I133" s="26">
        <f t="shared" ref="I133:I196" ca="1" si="11">IF($H133="","",$H133-TODAY())</f>
        <v>64</v>
      </c>
      <c r="J133" s="26">
        <f>IF($A133="","",COUNTIFS(tblReceipts[Item Name],$A133,tblReceipts[Expiry Date],"&lt;"&amp;$H133)+COUNTIFS(tblReceipts[Item Name],$A133,tblReceipts[Expiry Date],$H133,tblReceipts[Lot Number],"&lt;="&amp;Receipts!$C133))</f>
        <v>19</v>
      </c>
      <c r="K133" s="26">
        <f>IF($A133="","",SUMIFS(tblReceipts[Qty Received],tblReceipts[Item Name],$A133,tblReceipts[Expiry Date],"&lt;"&amp;$H133)+SUMIFS(tblReceipts[Qty Received],tblReceipts[Item Name],$A133,tblReceipts[Expiry Date],$H133,tblReceipts[Lot Number],"&lt;"&amp;Receipts!$C133))</f>
        <v>22250</v>
      </c>
      <c r="L133" s="26">
        <f>IF($A133="","",MIN($D133,MAX(0,SUMIFS(tblIssues[Qty Issued],tblIssues[Item Name],$A133)-$K133)))</f>
        <v>5000</v>
      </c>
      <c r="M133" s="26">
        <f>IF($A133="","",SUMIFS(tblIssues[Qty Issued],tblIssues[Lot Number],$B133))</f>
        <v>5000</v>
      </c>
      <c r="N133" s="26">
        <f t="shared" ref="N133:N196" si="12">IF($A133="","",$M133-$L133)</f>
        <v>0</v>
      </c>
      <c r="O133" s="26">
        <f t="shared" ref="O133:O196" si="13">IF($A133="","",$D133-$L133)</f>
        <v>0</v>
      </c>
      <c r="P133" s="21">
        <f t="shared" ref="P133:P196" si="14">IF($A133="","",$O133*$E133)</f>
        <v>0</v>
      </c>
      <c r="Q133" s="52" t="str">
        <f>IF($A133="","",IF($O133&lt;=0,"Depleted",IF($I133&lt;0,"EXPIRED",IF($I133&lt;=Settings!$C$6,"CRITICAL",IF($I133&lt;=Settings!$C$5,"Expiring","In date")))))</f>
        <v>Depleted</v>
      </c>
    </row>
    <row r="134" spans="1:17" x14ac:dyDescent="0.35">
      <c r="A134" s="90" t="str">
        <f>IF(Receipts!$D134="","",Receipts!$D134)</f>
        <v>Gloves - Large</v>
      </c>
      <c r="B134" s="18" t="str">
        <f>IF(Receipts!$C134="","",Receipts!$C134)</f>
        <v>O16705</v>
      </c>
      <c r="C134" s="18" t="str">
        <f>IF($A134="","",IFERROR(INDEX(Items!$B$5:$B$597,MATCH($A134,Items!$A$5:$A$597,0)),""))</f>
        <v>Gloves</v>
      </c>
      <c r="D134" s="23">
        <f>IF($A134="","",N(Receipts!$G134))</f>
        <v>5000</v>
      </c>
      <c r="E134" s="20">
        <f>IF($A134="","",IFERROR(INDEX(Items!$D$5:$D$597,MATCH($A134,Items!$A$5:$A$597,0)),0))</f>
        <v>5.5E-2</v>
      </c>
      <c r="F134" s="21">
        <f t="shared" si="10"/>
        <v>275</v>
      </c>
      <c r="G134" s="25">
        <f>IF(Receipts!$I134="","",Receipts!$I134)</f>
        <v>46121</v>
      </c>
      <c r="H134" s="25">
        <f>IF(Receipts!$H134="","",Receipts!$H134)</f>
        <v>46302</v>
      </c>
      <c r="I134" s="26">
        <f t="shared" ca="1" si="11"/>
        <v>64</v>
      </c>
      <c r="J134" s="26">
        <f>IF($A134="","",COUNTIFS(tblReceipts[Item Name],$A134,tblReceipts[Expiry Date],"&lt;"&amp;$H134)+COUNTIFS(tblReceipts[Item Name],$A134,tblReceipts[Expiry Date],$H134,tblReceipts[Lot Number],"&lt;="&amp;Receipts!$C134))</f>
        <v>19</v>
      </c>
      <c r="K134" s="26">
        <f>IF($A134="","",SUMIFS(tblReceipts[Qty Received],tblReceipts[Item Name],$A134,tblReceipts[Expiry Date],"&lt;"&amp;$H134)+SUMIFS(tblReceipts[Qty Received],tblReceipts[Item Name],$A134,tblReceipts[Expiry Date],$H134,tblReceipts[Lot Number],"&lt;"&amp;Receipts!$C134))</f>
        <v>24750</v>
      </c>
      <c r="L134" s="26">
        <f>IF($A134="","",MIN($D134,MAX(0,SUMIFS(tblIssues[Qty Issued],tblIssues[Item Name],$A134)-$K134)))</f>
        <v>5000</v>
      </c>
      <c r="M134" s="26">
        <f>IF($A134="","",SUMIFS(tblIssues[Qty Issued],tblIssues[Lot Number],$B134))</f>
        <v>5000</v>
      </c>
      <c r="N134" s="26">
        <f t="shared" si="12"/>
        <v>0</v>
      </c>
      <c r="O134" s="26">
        <f t="shared" si="13"/>
        <v>0</v>
      </c>
      <c r="P134" s="21">
        <f t="shared" si="14"/>
        <v>0</v>
      </c>
      <c r="Q134" s="52" t="str">
        <f>IF($A134="","",IF($O134&lt;=0,"Depleted",IF($I134&lt;0,"EXPIRED",IF($I134&lt;=Settings!$C$6,"CRITICAL",IF($I134&lt;=Settings!$C$5,"Expiring","In date")))))</f>
        <v>Depleted</v>
      </c>
    </row>
    <row r="135" spans="1:17" x14ac:dyDescent="0.35">
      <c r="A135" s="90" t="str">
        <f>IF(Receipts!$D135="","",Receipts!$D135)</f>
        <v>Surgical Masks</v>
      </c>
      <c r="B135" s="18" t="str">
        <f>IF(Receipts!$C135="","",Receipts!$C135)</f>
        <v>0125FPC24-2</v>
      </c>
      <c r="C135" s="18" t="str">
        <f>IF($A135="","",IFERROR(INDEX(Items!$B$5:$B$597,MATCH($A135,Items!$A$5:$A$597,0)),""))</f>
        <v>Masks</v>
      </c>
      <c r="D135" s="23">
        <f>IF($A135="","",N(Receipts!$G135))</f>
        <v>1000</v>
      </c>
      <c r="E135" s="20">
        <f>IF($A135="","",IFERROR(INDEX(Items!$D$5:$D$597,MATCH($A135,Items!$A$5:$A$597,0)),0))</f>
        <v>0.25</v>
      </c>
      <c r="F135" s="21">
        <f t="shared" si="10"/>
        <v>250</v>
      </c>
      <c r="G135" s="25">
        <f>IF(Receipts!$I135="","",Receipts!$I135)</f>
        <v>46121</v>
      </c>
      <c r="H135" s="25">
        <f>IF(Receipts!$H135="","",Receipts!$H135)</f>
        <v>46203</v>
      </c>
      <c r="I135" s="26">
        <f t="shared" ca="1" si="11"/>
        <v>-35</v>
      </c>
      <c r="J135" s="26">
        <f>IF($A135="","",COUNTIFS(tblReceipts[Item Name],$A135,tblReceipts[Expiry Date],"&lt;"&amp;$H135)+COUNTIFS(tblReceipts[Item Name],$A135,tblReceipts[Expiry Date],$H135,tblReceipts[Lot Number],"&lt;="&amp;Receipts!$C135))</f>
        <v>7</v>
      </c>
      <c r="K135" s="26">
        <f>IF($A135="","",SUMIFS(tblReceipts[Qty Received],tblReceipts[Item Name],$A135,tblReceipts[Expiry Date],"&lt;"&amp;$H135)+SUMIFS(tblReceipts[Qty Received],tblReceipts[Item Name],$A135,tblReceipts[Expiry Date],$H135,tblReceipts[Lot Number],"&lt;"&amp;Receipts!$C135))</f>
        <v>7200</v>
      </c>
      <c r="L135" s="26">
        <f>IF($A135="","",MIN($D135,MAX(0,SUMIFS(tblIssues[Qty Issued],tblIssues[Item Name],$A135)-$K135)))</f>
        <v>1000</v>
      </c>
      <c r="M135" s="26">
        <f>IF($A135="","",SUMIFS(tblIssues[Qty Issued],tblIssues[Lot Number],$B135))</f>
        <v>1000</v>
      </c>
      <c r="N135" s="26">
        <f t="shared" si="12"/>
        <v>0</v>
      </c>
      <c r="O135" s="26">
        <f t="shared" si="13"/>
        <v>0</v>
      </c>
      <c r="P135" s="21">
        <f t="shared" si="14"/>
        <v>0</v>
      </c>
      <c r="Q135" s="52" t="str">
        <f>IF($A135="","",IF($O135&lt;=0,"Depleted",IF($I135&lt;0,"EXPIRED",IF($I135&lt;=Settings!$C$6,"CRITICAL",IF($I135&lt;=Settings!$C$5,"Expiring","In date")))))</f>
        <v>Depleted</v>
      </c>
    </row>
    <row r="136" spans="1:17" x14ac:dyDescent="0.35">
      <c r="A136" s="90" t="str">
        <f>IF(Receipts!$D136="","",Receipts!$D136)</f>
        <v>Hand Sanitizer OS</v>
      </c>
      <c r="B136" s="18" t="str">
        <f>IF(Receipts!$C136="","",Receipts!$C136)</f>
        <v>20-21734-2</v>
      </c>
      <c r="C136" s="18" t="str">
        <f>IF($A136="","",IFERROR(INDEX(Items!$B$5:$B$597,MATCH($A136,Items!$A$5:$A$597,0)),""))</f>
        <v>Sanitizer</v>
      </c>
      <c r="D136" s="23">
        <f>IF($A136="","",N(Receipts!$G136))</f>
        <v>36</v>
      </c>
      <c r="E136" s="20">
        <f>IF($A136="","",IFERROR(INDEX(Items!$D$5:$D$597,MATCH($A136,Items!$A$5:$A$597,0)),0))</f>
        <v>1E-4</v>
      </c>
      <c r="F136" s="21">
        <f t="shared" si="10"/>
        <v>3.6000000000000003E-3</v>
      </c>
      <c r="G136" s="25">
        <f>IF(Receipts!$I136="","",Receipts!$I136)</f>
        <v>46121</v>
      </c>
      <c r="H136" s="25">
        <f>IF(Receipts!$H136="","",Receipts!$H136)</f>
        <v>46811</v>
      </c>
      <c r="I136" s="26">
        <f t="shared" ca="1" si="11"/>
        <v>573</v>
      </c>
      <c r="J136" s="26">
        <f>IF($A136="","",COUNTIFS(tblReceipts[Item Name],$A136,tblReceipts[Expiry Date],"&lt;"&amp;$H136)+COUNTIFS(tblReceipts[Item Name],$A136,tblReceipts[Expiry Date],$H136,tblReceipts[Lot Number],"&lt;="&amp;Receipts!$C136))</f>
        <v>2</v>
      </c>
      <c r="K136" s="26">
        <f>IF($A136="","",SUMIFS(tblReceipts[Qty Received],tblReceipts[Item Name],$A136,tblReceipts[Expiry Date],"&lt;"&amp;$H136)+SUMIFS(tblReceipts[Qty Received],tblReceipts[Item Name],$A136,tblReceipts[Expiry Date],$H136,tblReceipts[Lot Number],"&lt;"&amp;Receipts!$C136))</f>
        <v>36</v>
      </c>
      <c r="L136" s="26">
        <f>IF($A136="","",MIN($D136,MAX(0,SUMIFS(tblIssues[Qty Issued],tblIssues[Item Name],$A136)-$K136)))</f>
        <v>36</v>
      </c>
      <c r="M136" s="26">
        <f>IF($A136="","",SUMIFS(tblIssues[Qty Issued],tblIssues[Lot Number],$B136))</f>
        <v>36</v>
      </c>
      <c r="N136" s="26">
        <f t="shared" si="12"/>
        <v>0</v>
      </c>
      <c r="O136" s="26">
        <f t="shared" si="13"/>
        <v>0</v>
      </c>
      <c r="P136" s="21">
        <f t="shared" si="14"/>
        <v>0</v>
      </c>
      <c r="Q136" s="52" t="str">
        <f>IF($A136="","",IF($O136&lt;=0,"Depleted",IF($I136&lt;0,"EXPIRED",IF($I136&lt;=Settings!$C$6,"CRITICAL",IF($I136&lt;=Settings!$C$5,"Expiring","In date")))))</f>
        <v>Depleted</v>
      </c>
    </row>
    <row r="137" spans="1:17" x14ac:dyDescent="0.35">
      <c r="A137" s="90" t="str">
        <f>IF(Receipts!$D137="","",Receipts!$D137)</f>
        <v>Gloves - Medium</v>
      </c>
      <c r="B137" s="18" t="str">
        <f>IF(Receipts!$C137="","",Receipts!$C137)</f>
        <v>O16689</v>
      </c>
      <c r="C137" s="18" t="str">
        <f>IF($A137="","",IFERROR(INDEX(Items!$B$5:$B$597,MATCH($A137,Items!$A$5:$A$597,0)),""))</f>
        <v>Gloves</v>
      </c>
      <c r="D137" s="23">
        <f>IF($A137="","",N(Receipts!$G137))</f>
        <v>10200</v>
      </c>
      <c r="E137" s="20">
        <f>IF($A137="","",IFERROR(INDEX(Items!$D$5:$D$597,MATCH($A137,Items!$A$5:$A$597,0)),0))</f>
        <v>5.5E-2</v>
      </c>
      <c r="F137" s="21">
        <f t="shared" si="10"/>
        <v>561</v>
      </c>
      <c r="G137" s="25">
        <f>IF(Receipts!$I137="","",Receipts!$I137)</f>
        <v>46129</v>
      </c>
      <c r="H137" s="25">
        <f>IF(Receipts!$H137="","",Receipts!$H137)</f>
        <v>46312</v>
      </c>
      <c r="I137" s="26">
        <f t="shared" ca="1" si="11"/>
        <v>74</v>
      </c>
      <c r="J137" s="26">
        <f>IF($A137="","",COUNTIFS(tblReceipts[Item Name],$A137,tblReceipts[Expiry Date],"&lt;"&amp;$H137)+COUNTIFS(tblReceipts[Item Name],$A137,tblReceipts[Expiry Date],$H137,tblReceipts[Lot Number],"&lt;="&amp;Receipts!$C137))</f>
        <v>24</v>
      </c>
      <c r="K137" s="26">
        <f>IF($A137="","",SUMIFS(tblReceipts[Qty Received],tblReceipts[Item Name],$A137,tblReceipts[Expiry Date],"&lt;"&amp;$H137)+SUMIFS(tblReceipts[Qty Received],tblReceipts[Item Name],$A137,tblReceipts[Expiry Date],$H137,tblReceipts[Lot Number],"&lt;"&amp;Receipts!$C137))</f>
        <v>34500</v>
      </c>
      <c r="L137" s="26">
        <f>IF($A137="","",MIN($D137,MAX(0,SUMIFS(tblIssues[Qty Issued],tblIssues[Item Name],$A137)-$K137)))</f>
        <v>10200</v>
      </c>
      <c r="M137" s="26">
        <f>IF($A137="","",SUMIFS(tblIssues[Qty Issued],tblIssues[Lot Number],$B137))</f>
        <v>10500</v>
      </c>
      <c r="N137" s="26">
        <f t="shared" si="12"/>
        <v>300</v>
      </c>
      <c r="O137" s="26">
        <f t="shared" si="13"/>
        <v>0</v>
      </c>
      <c r="P137" s="21">
        <f t="shared" si="14"/>
        <v>0</v>
      </c>
      <c r="Q137" s="52" t="str">
        <f>IF($A137="","",IF($O137&lt;=0,"Depleted",IF($I137&lt;0,"EXPIRED",IF($I137&lt;=Settings!$C$6,"CRITICAL",IF($I137&lt;=Settings!$C$5,"Expiring","In date")))))</f>
        <v>Depleted</v>
      </c>
    </row>
    <row r="138" spans="1:17" x14ac:dyDescent="0.35">
      <c r="A138" s="90" t="str">
        <f>IF(Receipts!$D138="","",Receipts!$D138)</f>
        <v>Gloves - Small</v>
      </c>
      <c r="B138" s="18" t="str">
        <f>IF(Receipts!$C138="","",Receipts!$C138)</f>
        <v>O211LIC25-1</v>
      </c>
      <c r="C138" s="18" t="str">
        <f>IF($A138="","",IFERROR(INDEX(Items!$B$5:$B$597,MATCH($A138,Items!$A$5:$A$597,0)),""))</f>
        <v>Gloves</v>
      </c>
      <c r="D138" s="23">
        <f>IF($A138="","",N(Receipts!$G138))</f>
        <v>2500</v>
      </c>
      <c r="E138" s="20">
        <f>IF($A138="","",IFERROR(INDEX(Items!$D$5:$D$597,MATCH($A138,Items!$A$5:$A$597,0)),0))</f>
        <v>5.5E-2</v>
      </c>
      <c r="F138" s="21">
        <f t="shared" si="10"/>
        <v>137.5</v>
      </c>
      <c r="G138" s="25">
        <f>IF(Receipts!$I138="","",Receipts!$I138)</f>
        <v>46129</v>
      </c>
      <c r="H138" s="25">
        <f>IF(Receipts!$H138="","",Receipts!$H138)</f>
        <v>46312</v>
      </c>
      <c r="I138" s="26">
        <f t="shared" ca="1" si="11"/>
        <v>74</v>
      </c>
      <c r="J138" s="26">
        <f>IF($A138="","",COUNTIFS(tblReceipts[Item Name],$A138,tblReceipts[Expiry Date],"&lt;"&amp;$H138)+COUNTIFS(tblReceipts[Item Name],$A138,tblReceipts[Expiry Date],$H138,tblReceipts[Lot Number],"&lt;="&amp;Receipts!$C138))</f>
        <v>20</v>
      </c>
      <c r="K138" s="26">
        <f>IF($A138="","",SUMIFS(tblReceipts[Qty Received],tblReceipts[Item Name],$A138,tblReceipts[Expiry Date],"&lt;"&amp;$H138)+SUMIFS(tblReceipts[Qty Received],tblReceipts[Item Name],$A138,tblReceipts[Expiry Date],$H138,tblReceipts[Lot Number],"&lt;"&amp;Receipts!$C138))</f>
        <v>27250</v>
      </c>
      <c r="L138" s="26">
        <f>IF($A138="","",MIN($D138,MAX(0,SUMIFS(tblIssues[Qty Issued],tblIssues[Item Name],$A138)-$K138)))</f>
        <v>2500</v>
      </c>
      <c r="M138" s="26">
        <f>IF($A138="","",SUMIFS(tblIssues[Qty Issued],tblIssues[Lot Number],$B138))</f>
        <v>2500</v>
      </c>
      <c r="N138" s="26">
        <f t="shared" si="12"/>
        <v>0</v>
      </c>
      <c r="O138" s="26">
        <f t="shared" si="13"/>
        <v>0</v>
      </c>
      <c r="P138" s="21">
        <f t="shared" si="14"/>
        <v>0</v>
      </c>
      <c r="Q138" s="52" t="str">
        <f>IF($A138="","",IF($O138&lt;=0,"Depleted",IF($I138&lt;0,"EXPIRED",IF($I138&lt;=Settings!$C$6,"CRITICAL",IF($I138&lt;=Settings!$C$5,"Expiring","In date")))))</f>
        <v>Depleted</v>
      </c>
    </row>
    <row r="139" spans="1:17" x14ac:dyDescent="0.35">
      <c r="A139" s="90" t="str">
        <f>IF(Receipts!$D139="","",Receipts!$D139)</f>
        <v>Gloves - Large</v>
      </c>
      <c r="B139" s="18" t="str">
        <f>IF(Receipts!$C139="","",Receipts!$C139)</f>
        <v>O742HIC25</v>
      </c>
      <c r="C139" s="18" t="str">
        <f>IF($A139="","",IFERROR(INDEX(Items!$B$5:$B$597,MATCH($A139,Items!$A$5:$A$597,0)),""))</f>
        <v>Gloves</v>
      </c>
      <c r="D139" s="23">
        <f>IF($A139="","",N(Receipts!$G139))</f>
        <v>2500</v>
      </c>
      <c r="E139" s="20">
        <f>IF($A139="","",IFERROR(INDEX(Items!$D$5:$D$597,MATCH($A139,Items!$A$5:$A$597,0)),0))</f>
        <v>5.5E-2</v>
      </c>
      <c r="F139" s="21">
        <f t="shared" si="10"/>
        <v>137.5</v>
      </c>
      <c r="G139" s="25">
        <f>IF(Receipts!$I139="","",Receipts!$I139)</f>
        <v>46129</v>
      </c>
      <c r="H139" s="25">
        <f>IF(Receipts!$H139="","",Receipts!$H139)</f>
        <v>46312</v>
      </c>
      <c r="I139" s="26">
        <f t="shared" ca="1" si="11"/>
        <v>74</v>
      </c>
      <c r="J139" s="26">
        <f>IF($A139="","",COUNTIFS(tblReceipts[Item Name],$A139,tblReceipts[Expiry Date],"&lt;"&amp;$H139)+COUNTIFS(tblReceipts[Item Name],$A139,tblReceipts[Expiry Date],$H139,tblReceipts[Lot Number],"&lt;="&amp;Receipts!$C139))</f>
        <v>20</v>
      </c>
      <c r="K139" s="26">
        <f>IF($A139="","",SUMIFS(tblReceipts[Qty Received],tblReceipts[Item Name],$A139,tblReceipts[Expiry Date],"&lt;"&amp;$H139)+SUMIFS(tblReceipts[Qty Received],tblReceipts[Item Name],$A139,tblReceipts[Expiry Date],$H139,tblReceipts[Lot Number],"&lt;"&amp;Receipts!$C139))</f>
        <v>29750</v>
      </c>
      <c r="L139" s="26">
        <f>IF($A139="","",MIN($D139,MAX(0,SUMIFS(tblIssues[Qty Issued],tblIssues[Item Name],$A139)-$K139)))</f>
        <v>2500</v>
      </c>
      <c r="M139" s="26">
        <f>IF($A139="","",SUMIFS(tblIssues[Qty Issued],tblIssues[Lot Number],$B139))</f>
        <v>2500</v>
      </c>
      <c r="N139" s="26">
        <f t="shared" si="12"/>
        <v>0</v>
      </c>
      <c r="O139" s="26">
        <f t="shared" si="13"/>
        <v>0</v>
      </c>
      <c r="P139" s="21">
        <f t="shared" si="14"/>
        <v>0</v>
      </c>
      <c r="Q139" s="52" t="str">
        <f>IF($A139="","",IF($O139&lt;=0,"Depleted",IF($I139&lt;0,"EXPIRED",IF($I139&lt;=Settings!$C$6,"CRITICAL",IF($I139&lt;=Settings!$C$5,"Expiring","In date")))))</f>
        <v>Depleted</v>
      </c>
    </row>
    <row r="140" spans="1:17" x14ac:dyDescent="0.35">
      <c r="A140" s="90" t="str">
        <f>IF(Receipts!$D140="","",Receipts!$D140)</f>
        <v>Surgical Masks</v>
      </c>
      <c r="B140" s="18" t="str">
        <f>IF(Receipts!$C140="","",Receipts!$C140)</f>
        <v>0125FPC24-3</v>
      </c>
      <c r="C140" s="18" t="str">
        <f>IF($A140="","",IFERROR(INDEX(Items!$B$5:$B$597,MATCH($A140,Items!$A$5:$A$597,0)),""))</f>
        <v>Masks</v>
      </c>
      <c r="D140" s="23">
        <f>IF($A140="","",N(Receipts!$G140))</f>
        <v>1000</v>
      </c>
      <c r="E140" s="20">
        <f>IF($A140="","",IFERROR(INDEX(Items!$D$5:$D$597,MATCH($A140,Items!$A$5:$A$597,0)),0))</f>
        <v>0.25</v>
      </c>
      <c r="F140" s="21">
        <f t="shared" si="10"/>
        <v>250</v>
      </c>
      <c r="G140" s="25">
        <f>IF(Receipts!$I140="","",Receipts!$I140)</f>
        <v>46129</v>
      </c>
      <c r="H140" s="25">
        <f>IF(Receipts!$H140="","",Receipts!$H140)</f>
        <v>46312</v>
      </c>
      <c r="I140" s="26">
        <f t="shared" ca="1" si="11"/>
        <v>74</v>
      </c>
      <c r="J140" s="26">
        <f>IF($A140="","",COUNTIFS(tblReceipts[Item Name],$A140,tblReceipts[Expiry Date],"&lt;"&amp;$H140)+COUNTIFS(tblReceipts[Item Name],$A140,tblReceipts[Expiry Date],$H140,tblReceipts[Lot Number],"&lt;="&amp;Receipts!$C140))</f>
        <v>20</v>
      </c>
      <c r="K140" s="26">
        <f>IF($A140="","",SUMIFS(tblReceipts[Qty Received],tblReceipts[Item Name],$A140,tblReceipts[Expiry Date],"&lt;"&amp;$H140)+SUMIFS(tblReceipts[Qty Received],tblReceipts[Item Name],$A140,tblReceipts[Expiry Date],$H140,tblReceipts[Lot Number],"&lt;"&amp;Receipts!$C140))</f>
        <v>15700</v>
      </c>
      <c r="L140" s="26">
        <f>IF($A140="","",MIN($D140,MAX(0,SUMIFS(tblIssues[Qty Issued],tblIssues[Item Name],$A140)-$K140)))</f>
        <v>0</v>
      </c>
      <c r="M140" s="26">
        <f>IF($A140="","",SUMIFS(tblIssues[Qty Issued],tblIssues[Lot Number],$B140))</f>
        <v>0</v>
      </c>
      <c r="N140" s="26">
        <f t="shared" si="12"/>
        <v>0</v>
      </c>
      <c r="O140" s="26">
        <f t="shared" si="13"/>
        <v>1000</v>
      </c>
      <c r="P140" s="21">
        <f t="shared" si="14"/>
        <v>250</v>
      </c>
      <c r="Q140" s="52" t="str">
        <f ca="1">IF($A140="","",IF($O140&lt;=0,"Depleted",IF($I140&lt;0,"EXPIRED",IF($I140&lt;=Settings!$C$6,"CRITICAL",IF($I140&lt;=Settings!$C$5,"Expiring","In date")))))</f>
        <v>Expiring</v>
      </c>
    </row>
    <row r="141" spans="1:17" x14ac:dyDescent="0.35">
      <c r="A141" s="90" t="str">
        <f>IF(Receipts!$D141="","",Receipts!$D141)</f>
        <v>Hand Sanitizer OS</v>
      </c>
      <c r="B141" s="18" t="str">
        <f>IF(Receipts!$C141="","",Receipts!$C141)</f>
        <v>20-21734-3</v>
      </c>
      <c r="C141" s="18" t="str">
        <f>IF($A141="","",IFERROR(INDEX(Items!$B$5:$B$597,MATCH($A141,Items!$A$5:$A$597,0)),""))</f>
        <v>Sanitizer</v>
      </c>
      <c r="D141" s="23">
        <f>IF($A141="","",N(Receipts!$G141))</f>
        <v>24</v>
      </c>
      <c r="E141" s="20">
        <f>IF($A141="","",IFERROR(INDEX(Items!$D$5:$D$597,MATCH($A141,Items!$A$5:$A$597,0)),0))</f>
        <v>1E-4</v>
      </c>
      <c r="F141" s="21">
        <f t="shared" si="10"/>
        <v>2.4000000000000002E-3</v>
      </c>
      <c r="G141" s="25">
        <f>IF(Receipts!$I141="","",Receipts!$I141)</f>
        <v>46129</v>
      </c>
      <c r="H141" s="25">
        <f>IF(Receipts!$H141="","",Receipts!$H141)</f>
        <v>46811</v>
      </c>
      <c r="I141" s="26">
        <f t="shared" ca="1" si="11"/>
        <v>573</v>
      </c>
      <c r="J141" s="26">
        <f>IF($A141="","",COUNTIFS(tblReceipts[Item Name],$A141,tblReceipts[Expiry Date],"&lt;"&amp;$H141)+COUNTIFS(tblReceipts[Item Name],$A141,tblReceipts[Expiry Date],$H141,tblReceipts[Lot Number],"&lt;="&amp;Receipts!$C141))</f>
        <v>3</v>
      </c>
      <c r="K141" s="26">
        <f>IF($A141="","",SUMIFS(tblReceipts[Qty Received],tblReceipts[Item Name],$A141,tblReceipts[Expiry Date],"&lt;"&amp;$H141)+SUMIFS(tblReceipts[Qty Received],tblReceipts[Item Name],$A141,tblReceipts[Expiry Date],$H141,tblReceipts[Lot Number],"&lt;"&amp;Receipts!$C141))</f>
        <v>72</v>
      </c>
      <c r="L141" s="26">
        <f>IF($A141="","",MIN($D141,MAX(0,SUMIFS(tblIssues[Qty Issued],tblIssues[Item Name],$A141)-$K141)))</f>
        <v>24</v>
      </c>
      <c r="M141" s="26">
        <f>IF($A141="","",SUMIFS(tblIssues[Qty Issued],tblIssues[Lot Number],$B141))</f>
        <v>24</v>
      </c>
      <c r="N141" s="26">
        <f t="shared" si="12"/>
        <v>0</v>
      </c>
      <c r="O141" s="26">
        <f t="shared" si="13"/>
        <v>0</v>
      </c>
      <c r="P141" s="21">
        <f t="shared" si="14"/>
        <v>0</v>
      </c>
      <c r="Q141" s="52" t="str">
        <f>IF($A141="","",IF($O141&lt;=0,"Depleted",IF($I141&lt;0,"EXPIRED",IF($I141&lt;=Settings!$C$6,"CRITICAL",IF($I141&lt;=Settings!$C$5,"Expiring","In date")))))</f>
        <v>Depleted</v>
      </c>
    </row>
    <row r="142" spans="1:17" x14ac:dyDescent="0.35">
      <c r="A142" s="90" t="str">
        <f>IF(Receipts!$D142="","",Receipts!$D142)</f>
        <v>Gloves - X-Large</v>
      </c>
      <c r="B142" s="18" t="str">
        <f>IF(Receipts!$C142="","",Receipts!$C142)</f>
        <v>ZIM502120713</v>
      </c>
      <c r="C142" s="18" t="str">
        <f>IF($A142="","",IFERROR(INDEX(Items!$B$5:$B$597,MATCH($A142,Items!$A$5:$A$597,0)),""))</f>
        <v>Gloves</v>
      </c>
      <c r="D142" s="23">
        <f>IF($A142="","",N(Receipts!$G142))</f>
        <v>2350</v>
      </c>
      <c r="E142" s="20">
        <f>IF($A142="","",IFERROR(INDEX(Items!$D$5:$D$597,MATCH($A142,Items!$A$5:$A$597,0)),0))</f>
        <v>5.5E-2</v>
      </c>
      <c r="F142" s="21">
        <f t="shared" si="10"/>
        <v>129.25</v>
      </c>
      <c r="G142" s="25">
        <f>IF(Receipts!$I142="","",Receipts!$I142)</f>
        <v>46129</v>
      </c>
      <c r="H142" s="25">
        <f>IF(Receipts!$H142="","",Receipts!$H142)</f>
        <v>46312</v>
      </c>
      <c r="I142" s="26">
        <f t="shared" ca="1" si="11"/>
        <v>74</v>
      </c>
      <c r="J142" s="26">
        <f>IF($A142="","",COUNTIFS(tblReceipts[Item Name],$A142,tblReceipts[Expiry Date],"&lt;"&amp;$H142)+COUNTIFS(tblReceipts[Item Name],$A142,tblReceipts[Expiry Date],$H142,tblReceipts[Lot Number],"&lt;="&amp;Receipts!$C142))</f>
        <v>3</v>
      </c>
      <c r="K142" s="26">
        <f>IF($A142="","",SUMIFS(tblReceipts[Qty Received],tblReceipts[Item Name],$A142,tblReceipts[Expiry Date],"&lt;"&amp;$H142)+SUMIFS(tblReceipts[Qty Received],tblReceipts[Item Name],$A142,tblReceipts[Expiry Date],$H142,tblReceipts[Lot Number],"&lt;"&amp;Receipts!$C142))</f>
        <v>1000</v>
      </c>
      <c r="L142" s="26">
        <f>IF($A142="","",MIN($D142,MAX(0,SUMIFS(tblIssues[Qty Issued],tblIssues[Item Name],$A142)-$K142)))</f>
        <v>1000</v>
      </c>
      <c r="M142" s="26">
        <f>IF($A142="","",SUMIFS(tblIssues[Qty Issued],tblIssues[Lot Number],$B142))</f>
        <v>1000</v>
      </c>
      <c r="N142" s="26">
        <f t="shared" si="12"/>
        <v>0</v>
      </c>
      <c r="O142" s="26">
        <f t="shared" si="13"/>
        <v>1350</v>
      </c>
      <c r="P142" s="21">
        <f t="shared" si="14"/>
        <v>74.25</v>
      </c>
      <c r="Q142" s="52" t="str">
        <f ca="1">IF($A142="","",IF($O142&lt;=0,"Depleted",IF($I142&lt;0,"EXPIRED",IF($I142&lt;=Settings!$C$6,"CRITICAL",IF($I142&lt;=Settings!$C$5,"Expiring","In date")))))</f>
        <v>Expiring</v>
      </c>
    </row>
    <row r="143" spans="1:17" x14ac:dyDescent="0.35">
      <c r="A143" s="90" t="str">
        <f>IF(Receipts!$D143="","",Receipts!$D143)</f>
        <v>Gloves - Medium</v>
      </c>
      <c r="B143" s="18" t="str">
        <f>IF(Receipts!$C143="","",Receipts!$C143)</f>
        <v>ZIM504126040-4</v>
      </c>
      <c r="C143" s="18" t="str">
        <f>IF($A143="","",IFERROR(INDEX(Items!$B$5:$B$597,MATCH($A143,Items!$A$5:$A$597,0)),""))</f>
        <v>Gloves</v>
      </c>
      <c r="D143" s="23">
        <f>IF($A143="","",N(Receipts!$G143))</f>
        <v>7500</v>
      </c>
      <c r="E143" s="20">
        <f>IF($A143="","",IFERROR(INDEX(Items!$D$5:$D$597,MATCH($A143,Items!$A$5:$A$597,0)),0))</f>
        <v>5.5E-2</v>
      </c>
      <c r="F143" s="21">
        <f t="shared" si="10"/>
        <v>412.5</v>
      </c>
      <c r="G143" s="25">
        <f>IF(Receipts!$I143="","",Receipts!$I143)</f>
        <v>46139</v>
      </c>
      <c r="H143" s="25">
        <f>IF(Receipts!$H143="","",Receipts!$H143)</f>
        <v>46321</v>
      </c>
      <c r="I143" s="26">
        <f t="shared" ca="1" si="11"/>
        <v>83</v>
      </c>
      <c r="J143" s="26">
        <f>IF($A143="","",COUNTIFS(tblReceipts[Item Name],$A143,tblReceipts[Expiry Date],"&lt;"&amp;$H143)+COUNTIFS(tblReceipts[Item Name],$A143,tblReceipts[Expiry Date],$H143,tblReceipts[Lot Number],"&lt;="&amp;Receipts!$C143))</f>
        <v>25</v>
      </c>
      <c r="K143" s="26">
        <f>IF($A143="","",SUMIFS(tblReceipts[Qty Received],tblReceipts[Item Name],$A143,tblReceipts[Expiry Date],"&lt;"&amp;$H143)+SUMIFS(tblReceipts[Qty Received],tblReceipts[Item Name],$A143,tblReceipts[Expiry Date],$H143,tblReceipts[Lot Number],"&lt;"&amp;Receipts!$C143))</f>
        <v>44700</v>
      </c>
      <c r="L143" s="26">
        <f>IF($A143="","",MIN($D143,MAX(0,SUMIFS(tblIssues[Qty Issued],tblIssues[Item Name],$A143)-$K143)))</f>
        <v>7500</v>
      </c>
      <c r="M143" s="26">
        <f>IF($A143="","",SUMIFS(tblIssues[Qty Issued],tblIssues[Lot Number],$B143))</f>
        <v>7500</v>
      </c>
      <c r="N143" s="26">
        <f t="shared" si="12"/>
        <v>0</v>
      </c>
      <c r="O143" s="26">
        <f t="shared" si="13"/>
        <v>0</v>
      </c>
      <c r="P143" s="21">
        <f t="shared" si="14"/>
        <v>0</v>
      </c>
      <c r="Q143" s="52" t="str">
        <f>IF($A143="","",IF($O143&lt;=0,"Depleted",IF($I143&lt;0,"EXPIRED",IF($I143&lt;=Settings!$C$6,"CRITICAL",IF($I143&lt;=Settings!$C$5,"Expiring","In date")))))</f>
        <v>Depleted</v>
      </c>
    </row>
    <row r="144" spans="1:17" x14ac:dyDescent="0.35">
      <c r="A144" s="90" t="str">
        <f>IF(Receipts!$D144="","",Receipts!$D144)</f>
        <v>Gloves - Small</v>
      </c>
      <c r="B144" s="18" t="str">
        <f>IF(Receipts!$C144="","",Receipts!$C144)</f>
        <v>ZIM504124207-6</v>
      </c>
      <c r="C144" s="18" t="str">
        <f>IF($A144="","",IFERROR(INDEX(Items!$B$5:$B$597,MATCH($A144,Items!$A$5:$A$597,0)),""))</f>
        <v>Gloves</v>
      </c>
      <c r="D144" s="23">
        <f>IF($A144="","",N(Receipts!$G144))</f>
        <v>5000</v>
      </c>
      <c r="E144" s="20">
        <f>IF($A144="","",IFERROR(INDEX(Items!$D$5:$D$597,MATCH($A144,Items!$A$5:$A$597,0)),0))</f>
        <v>5.5E-2</v>
      </c>
      <c r="F144" s="21">
        <f t="shared" si="10"/>
        <v>275</v>
      </c>
      <c r="G144" s="25">
        <f>IF(Receipts!$I144="","",Receipts!$I144)</f>
        <v>46139</v>
      </c>
      <c r="H144" s="25">
        <f>IF(Receipts!$H144="","",Receipts!$H144)</f>
        <v>46321</v>
      </c>
      <c r="I144" s="26">
        <f t="shared" ca="1" si="11"/>
        <v>83</v>
      </c>
      <c r="J144" s="26">
        <f>IF($A144="","",COUNTIFS(tblReceipts[Item Name],$A144,tblReceipts[Expiry Date],"&lt;"&amp;$H144)+COUNTIFS(tblReceipts[Item Name],$A144,tblReceipts[Expiry Date],$H144,tblReceipts[Lot Number],"&lt;="&amp;Receipts!$C144))</f>
        <v>21</v>
      </c>
      <c r="K144" s="26">
        <f>IF($A144="","",SUMIFS(tblReceipts[Qty Received],tblReceipts[Item Name],$A144,tblReceipts[Expiry Date],"&lt;"&amp;$H144)+SUMIFS(tblReceipts[Qty Received],tblReceipts[Item Name],$A144,tblReceipts[Expiry Date],$H144,tblReceipts[Lot Number],"&lt;"&amp;Receipts!$C144))</f>
        <v>29750</v>
      </c>
      <c r="L144" s="26">
        <f>IF($A144="","",MIN($D144,MAX(0,SUMIFS(tblIssues[Qty Issued],tblIssues[Item Name],$A144)-$K144)))</f>
        <v>5000</v>
      </c>
      <c r="M144" s="26">
        <f>IF($A144="","",SUMIFS(tblIssues[Qty Issued],tblIssues[Lot Number],$B144))</f>
        <v>5000</v>
      </c>
      <c r="N144" s="26">
        <f t="shared" si="12"/>
        <v>0</v>
      </c>
      <c r="O144" s="26">
        <f t="shared" si="13"/>
        <v>0</v>
      </c>
      <c r="P144" s="21">
        <f t="shared" si="14"/>
        <v>0</v>
      </c>
      <c r="Q144" s="52" t="str">
        <f>IF($A144="","",IF($O144&lt;=0,"Depleted",IF($I144&lt;0,"EXPIRED",IF($I144&lt;=Settings!$C$6,"CRITICAL",IF($I144&lt;=Settings!$C$5,"Expiring","In date")))))</f>
        <v>Depleted</v>
      </c>
    </row>
    <row r="145" spans="1:17" x14ac:dyDescent="0.35">
      <c r="A145" s="90" t="str">
        <f>IF(Receipts!$D145="","",Receipts!$D145)</f>
        <v>Gloves - Large</v>
      </c>
      <c r="B145" s="18" t="str">
        <f>IF(Receipts!$C145="","",Receipts!$C145)</f>
        <v>ZIM511139904-2</v>
      </c>
      <c r="C145" s="18" t="str">
        <f>IF($A145="","",IFERROR(INDEX(Items!$B$5:$B$597,MATCH($A145,Items!$A$5:$A$597,0)),""))</f>
        <v>Gloves</v>
      </c>
      <c r="D145" s="23">
        <f>IF($A145="","",N(Receipts!$G145))</f>
        <v>5000</v>
      </c>
      <c r="E145" s="20">
        <f>IF($A145="","",IFERROR(INDEX(Items!$D$5:$D$597,MATCH($A145,Items!$A$5:$A$597,0)),0))</f>
        <v>5.5E-2</v>
      </c>
      <c r="F145" s="21">
        <f t="shared" si="10"/>
        <v>275</v>
      </c>
      <c r="G145" s="25">
        <f>IF(Receipts!$I145="","",Receipts!$I145)</f>
        <v>46139</v>
      </c>
      <c r="H145" s="25">
        <f>IF(Receipts!$H145="","",Receipts!$H145)</f>
        <v>46321</v>
      </c>
      <c r="I145" s="26">
        <f t="shared" ca="1" si="11"/>
        <v>83</v>
      </c>
      <c r="J145" s="26">
        <f>IF($A145="","",COUNTIFS(tblReceipts[Item Name],$A145,tblReceipts[Expiry Date],"&lt;"&amp;$H145)+COUNTIFS(tblReceipts[Item Name],$A145,tblReceipts[Expiry Date],$H145,tblReceipts[Lot Number],"&lt;="&amp;Receipts!$C145))</f>
        <v>21</v>
      </c>
      <c r="K145" s="26">
        <f>IF($A145="","",SUMIFS(tblReceipts[Qty Received],tblReceipts[Item Name],$A145,tblReceipts[Expiry Date],"&lt;"&amp;$H145)+SUMIFS(tblReceipts[Qty Received],tblReceipts[Item Name],$A145,tblReceipts[Expiry Date],$H145,tblReceipts[Lot Number],"&lt;"&amp;Receipts!$C145))</f>
        <v>32250</v>
      </c>
      <c r="L145" s="26">
        <f>IF($A145="","",MIN($D145,MAX(0,SUMIFS(tblIssues[Qty Issued],tblIssues[Item Name],$A145)-$K145)))</f>
        <v>5000</v>
      </c>
      <c r="M145" s="26">
        <f>IF($A145="","",SUMIFS(tblIssues[Qty Issued],tblIssues[Lot Number],$B145))</f>
        <v>5000</v>
      </c>
      <c r="N145" s="26">
        <f t="shared" si="12"/>
        <v>0</v>
      </c>
      <c r="O145" s="26">
        <f t="shared" si="13"/>
        <v>0</v>
      </c>
      <c r="P145" s="21">
        <f t="shared" si="14"/>
        <v>0</v>
      </c>
      <c r="Q145" s="52" t="str">
        <f>IF($A145="","",IF($O145&lt;=0,"Depleted",IF($I145&lt;0,"EXPIRED",IF($I145&lt;=Settings!$C$6,"CRITICAL",IF($I145&lt;=Settings!$C$5,"Expiring","In date")))))</f>
        <v>Depleted</v>
      </c>
    </row>
    <row r="146" spans="1:17" x14ac:dyDescent="0.35">
      <c r="A146" s="90" t="str">
        <f>IF(Receipts!$D146="","",Receipts!$D146)</f>
        <v>Gloves - Medium</v>
      </c>
      <c r="B146" s="18" t="str">
        <f>IF(Receipts!$C146="","",Receipts!$C146)</f>
        <v>ZIM510329603</v>
      </c>
      <c r="C146" s="18" t="str">
        <f>IF($A146="","",IFERROR(INDEX(Items!$B$5:$B$597,MATCH($A146,Items!$A$5:$A$597,0)),""))</f>
        <v>Gloves</v>
      </c>
      <c r="D146" s="23">
        <f>IF($A146="","",N(Receipts!$G146))</f>
        <v>5000</v>
      </c>
      <c r="E146" s="20">
        <f>IF($A146="","",IFERROR(INDEX(Items!$D$5:$D$597,MATCH($A146,Items!$A$5:$A$597,0)),0))</f>
        <v>5.5E-2</v>
      </c>
      <c r="F146" s="21">
        <f t="shared" si="10"/>
        <v>275</v>
      </c>
      <c r="G146" s="25">
        <f>IF(Receipts!$I146="","",Receipts!$I146)</f>
        <v>46146</v>
      </c>
      <c r="H146" s="25">
        <f>IF(Receipts!$H146="","",Receipts!$H146)</f>
        <v>46330</v>
      </c>
      <c r="I146" s="26">
        <f t="shared" ca="1" si="11"/>
        <v>92</v>
      </c>
      <c r="J146" s="26">
        <f>IF($A146="","",COUNTIFS(tblReceipts[Item Name],$A146,tblReceipts[Expiry Date],"&lt;"&amp;$H146)+COUNTIFS(tblReceipts[Item Name],$A146,tblReceipts[Expiry Date],$H146,tblReceipts[Lot Number],"&lt;="&amp;Receipts!$C146))</f>
        <v>26</v>
      </c>
      <c r="K146" s="26">
        <f>IF($A146="","",SUMIFS(tblReceipts[Qty Received],tblReceipts[Item Name],$A146,tblReceipts[Expiry Date],"&lt;"&amp;$H146)+SUMIFS(tblReceipts[Qty Received],tblReceipts[Item Name],$A146,tblReceipts[Expiry Date],$H146,tblReceipts[Lot Number],"&lt;"&amp;Receipts!$C146))</f>
        <v>52200</v>
      </c>
      <c r="L146" s="26">
        <f>IF($A146="","",MIN($D146,MAX(0,SUMIFS(tblIssues[Qty Issued],tblIssues[Item Name],$A146)-$K146)))</f>
        <v>5000</v>
      </c>
      <c r="M146" s="26">
        <f>IF($A146="","",SUMIFS(tblIssues[Qty Issued],tblIssues[Lot Number],$B146))</f>
        <v>5000</v>
      </c>
      <c r="N146" s="26">
        <f t="shared" si="12"/>
        <v>0</v>
      </c>
      <c r="O146" s="26">
        <f t="shared" si="13"/>
        <v>0</v>
      </c>
      <c r="P146" s="21">
        <f t="shared" si="14"/>
        <v>0</v>
      </c>
      <c r="Q146" s="52" t="str">
        <f>IF($A146="","",IF($O146&lt;=0,"Depleted",IF($I146&lt;0,"EXPIRED",IF($I146&lt;=Settings!$C$6,"CRITICAL",IF($I146&lt;=Settings!$C$5,"Expiring","In date")))))</f>
        <v>Depleted</v>
      </c>
    </row>
    <row r="147" spans="1:17" x14ac:dyDescent="0.35">
      <c r="A147" s="90" t="str">
        <f>IF(Receipts!$D147="","",Receipts!$D147)</f>
        <v>Gloves - Small</v>
      </c>
      <c r="B147" s="18" t="str">
        <f>IF(Receipts!$C147="","",Receipts!$C147)</f>
        <v>ZIM504124207-7</v>
      </c>
      <c r="C147" s="18" t="str">
        <f>IF($A147="","",IFERROR(INDEX(Items!$B$5:$B$597,MATCH($A147,Items!$A$5:$A$597,0)),""))</f>
        <v>Gloves</v>
      </c>
      <c r="D147" s="23">
        <f>IF($A147="","",N(Receipts!$G147))</f>
        <v>2500</v>
      </c>
      <c r="E147" s="20">
        <f>IF($A147="","",IFERROR(INDEX(Items!$D$5:$D$597,MATCH($A147,Items!$A$5:$A$597,0)),0))</f>
        <v>5.5E-2</v>
      </c>
      <c r="F147" s="21">
        <f t="shared" si="10"/>
        <v>137.5</v>
      </c>
      <c r="G147" s="25">
        <f>IF(Receipts!$I147="","",Receipts!$I147)</f>
        <v>46146</v>
      </c>
      <c r="H147" s="25">
        <f>IF(Receipts!$H147="","",Receipts!$H147)</f>
        <v>46330</v>
      </c>
      <c r="I147" s="26">
        <f t="shared" ca="1" si="11"/>
        <v>92</v>
      </c>
      <c r="J147" s="26">
        <f>IF($A147="","",COUNTIFS(tblReceipts[Item Name],$A147,tblReceipts[Expiry Date],"&lt;"&amp;$H147)+COUNTIFS(tblReceipts[Item Name],$A147,tblReceipts[Expiry Date],$H147,tblReceipts[Lot Number],"&lt;="&amp;Receipts!$C147))</f>
        <v>22</v>
      </c>
      <c r="K147" s="26">
        <f>IF($A147="","",SUMIFS(tblReceipts[Qty Received],tblReceipts[Item Name],$A147,tblReceipts[Expiry Date],"&lt;"&amp;$H147)+SUMIFS(tblReceipts[Qty Received],tblReceipts[Item Name],$A147,tblReceipts[Expiry Date],$H147,tblReceipts[Lot Number],"&lt;"&amp;Receipts!$C147))</f>
        <v>34750</v>
      </c>
      <c r="L147" s="26">
        <f>IF($A147="","",MIN($D147,MAX(0,SUMIFS(tblIssues[Qty Issued],tblIssues[Item Name],$A147)-$K147)))</f>
        <v>2500</v>
      </c>
      <c r="M147" s="26">
        <f>IF($A147="","",SUMIFS(tblIssues[Qty Issued],tblIssues[Lot Number],$B147))</f>
        <v>2500</v>
      </c>
      <c r="N147" s="26">
        <f t="shared" si="12"/>
        <v>0</v>
      </c>
      <c r="O147" s="26">
        <f t="shared" si="13"/>
        <v>0</v>
      </c>
      <c r="P147" s="21">
        <f t="shared" si="14"/>
        <v>0</v>
      </c>
      <c r="Q147" s="52" t="str">
        <f>IF($A147="","",IF($O147&lt;=0,"Depleted",IF($I147&lt;0,"EXPIRED",IF($I147&lt;=Settings!$C$6,"CRITICAL",IF($I147&lt;=Settings!$C$5,"Expiring","In date")))))</f>
        <v>Depleted</v>
      </c>
    </row>
    <row r="148" spans="1:17" x14ac:dyDescent="0.35">
      <c r="A148" s="90" t="str">
        <f>IF(Receipts!$D148="","",Receipts!$D148)</f>
        <v>Gloves - Large</v>
      </c>
      <c r="B148" s="18" t="str">
        <f>IF(Receipts!$C148="","",Receipts!$C148)</f>
        <v>ZIM511139904-3</v>
      </c>
      <c r="C148" s="18" t="str">
        <f>IF($A148="","",IFERROR(INDEX(Items!$B$5:$B$597,MATCH($A148,Items!$A$5:$A$597,0)),""))</f>
        <v>Gloves</v>
      </c>
      <c r="D148" s="23">
        <f>IF($A148="","",N(Receipts!$G148))</f>
        <v>2500</v>
      </c>
      <c r="E148" s="20">
        <f>IF($A148="","",IFERROR(INDEX(Items!$D$5:$D$597,MATCH($A148,Items!$A$5:$A$597,0)),0))</f>
        <v>5.5E-2</v>
      </c>
      <c r="F148" s="21">
        <f t="shared" si="10"/>
        <v>137.5</v>
      </c>
      <c r="G148" s="25">
        <f>IF(Receipts!$I148="","",Receipts!$I148)</f>
        <v>46146</v>
      </c>
      <c r="H148" s="25">
        <f>IF(Receipts!$H148="","",Receipts!$H148)</f>
        <v>46330</v>
      </c>
      <c r="I148" s="26">
        <f t="shared" ca="1" si="11"/>
        <v>92</v>
      </c>
      <c r="J148" s="26">
        <f>IF($A148="","",COUNTIFS(tblReceipts[Item Name],$A148,tblReceipts[Expiry Date],"&lt;"&amp;$H148)+COUNTIFS(tblReceipts[Item Name],$A148,tblReceipts[Expiry Date],$H148,tblReceipts[Lot Number],"&lt;="&amp;Receipts!$C148))</f>
        <v>22</v>
      </c>
      <c r="K148" s="26">
        <f>IF($A148="","",SUMIFS(tblReceipts[Qty Received],tblReceipts[Item Name],$A148,tblReceipts[Expiry Date],"&lt;"&amp;$H148)+SUMIFS(tblReceipts[Qty Received],tblReceipts[Item Name],$A148,tblReceipts[Expiry Date],$H148,tblReceipts[Lot Number],"&lt;"&amp;Receipts!$C148))</f>
        <v>37250</v>
      </c>
      <c r="L148" s="26">
        <f>IF($A148="","",MIN($D148,MAX(0,SUMIFS(tblIssues[Qty Issued],tblIssues[Item Name],$A148)-$K148)))</f>
        <v>2500</v>
      </c>
      <c r="M148" s="26">
        <f>IF($A148="","",SUMIFS(tblIssues[Qty Issued],tblIssues[Lot Number],$B148))</f>
        <v>10000</v>
      </c>
      <c r="N148" s="26">
        <f t="shared" si="12"/>
        <v>7500</v>
      </c>
      <c r="O148" s="26">
        <f t="shared" si="13"/>
        <v>0</v>
      </c>
      <c r="P148" s="21">
        <f t="shared" si="14"/>
        <v>0</v>
      </c>
      <c r="Q148" s="52" t="str">
        <f>IF($A148="","",IF($O148&lt;=0,"Depleted",IF($I148&lt;0,"EXPIRED",IF($I148&lt;=Settings!$C$6,"CRITICAL",IF($I148&lt;=Settings!$C$5,"Expiring","In date")))))</f>
        <v>Depleted</v>
      </c>
    </row>
    <row r="149" spans="1:17" x14ac:dyDescent="0.35">
      <c r="A149" s="90" t="str">
        <f>IF(Receipts!$D149="","",Receipts!$D149)</f>
        <v>CAN99</v>
      </c>
      <c r="B149" s="18" t="str">
        <f>IF(Receipts!$C149="","",Receipts!$C149)</f>
        <v>C1-22197A</v>
      </c>
      <c r="C149" s="18" t="str">
        <f>IF($A149="","",IFERROR(INDEX(Items!$B$5:$B$597,MATCH($A149,Items!$A$5:$A$597,0)),""))</f>
        <v>Masks</v>
      </c>
      <c r="D149" s="23">
        <f>IF($A149="","",N(Receipts!$G149))</f>
        <v>25</v>
      </c>
      <c r="E149" s="20">
        <f>IF($A149="","",IFERROR(INDEX(Items!$D$5:$D$597,MATCH($A149,Items!$A$5:$A$597,0)),0))</f>
        <v>1.35</v>
      </c>
      <c r="F149" s="21">
        <f t="shared" si="10"/>
        <v>33.75</v>
      </c>
      <c r="G149" s="25">
        <f>IF(Receipts!$I149="","",Receipts!$I149)</f>
        <v>46146</v>
      </c>
      <c r="H149" s="25">
        <f>IF(Receipts!$H149="","",Receipts!$H149)</f>
        <v>46599</v>
      </c>
      <c r="I149" s="26">
        <f t="shared" ca="1" si="11"/>
        <v>361</v>
      </c>
      <c r="J149" s="26">
        <f>IF($A149="","",COUNTIFS(tblReceipts[Item Name],$A149,tblReceipts[Expiry Date],"&lt;"&amp;$H149)+COUNTIFS(tblReceipts[Item Name],$A149,tblReceipts[Expiry Date],$H149,tblReceipts[Lot Number],"&lt;="&amp;Receipts!$C149))</f>
        <v>2</v>
      </c>
      <c r="K149" s="26">
        <f>IF($A149="","",SUMIFS(tblReceipts[Qty Received],tblReceipts[Item Name],$A149,tblReceipts[Expiry Date],"&lt;"&amp;$H149)+SUMIFS(tblReceipts[Qty Received],tblReceipts[Item Name],$A149,tblReceipts[Expiry Date],$H149,tblReceipts[Lot Number],"&lt;"&amp;Receipts!$C149))</f>
        <v>25</v>
      </c>
      <c r="L149" s="26">
        <f>IF($A149="","",MIN($D149,MAX(0,SUMIFS(tblIssues[Qty Issued],tblIssues[Item Name],$A149)-$K149)))</f>
        <v>0</v>
      </c>
      <c r="M149" s="26">
        <f>IF($A149="","",SUMIFS(tblIssues[Qty Issued],tblIssues[Lot Number],$B149))</f>
        <v>0</v>
      </c>
      <c r="N149" s="26">
        <f t="shared" si="12"/>
        <v>0</v>
      </c>
      <c r="O149" s="26">
        <f t="shared" si="13"/>
        <v>25</v>
      </c>
      <c r="P149" s="21">
        <f t="shared" si="14"/>
        <v>33.75</v>
      </c>
      <c r="Q149" s="52" t="str">
        <f ca="1">IF($A149="","",IF($O149&lt;=0,"Depleted",IF($I149&lt;0,"EXPIRED",IF($I149&lt;=Settings!$C$6,"CRITICAL",IF($I149&lt;=Settings!$C$5,"Expiring","In date")))))</f>
        <v>In date</v>
      </c>
    </row>
    <row r="150" spans="1:17" x14ac:dyDescent="0.35">
      <c r="A150" s="90" t="str">
        <f>IF(Receipts!$D150="","",Receipts!$D150)</f>
        <v>Gloves - Medium</v>
      </c>
      <c r="B150" s="18" t="str">
        <f>IF(Receipts!$C150="","",Receipts!$C150)</f>
        <v>ZIM510137962-0</v>
      </c>
      <c r="C150" s="18" t="str">
        <f>IF($A150="","",IFERROR(INDEX(Items!$B$5:$B$597,MATCH($A150,Items!$A$5:$A$597,0)),""))</f>
        <v>Gloves</v>
      </c>
      <c r="D150" s="23">
        <f>IF($A150="","",N(Receipts!$G150))</f>
        <v>7500</v>
      </c>
      <c r="E150" s="20">
        <f>IF($A150="","",IFERROR(INDEX(Items!$D$5:$D$597,MATCH($A150,Items!$A$5:$A$597,0)),0))</f>
        <v>5.5E-2</v>
      </c>
      <c r="F150" s="21">
        <f t="shared" si="10"/>
        <v>412.5</v>
      </c>
      <c r="G150" s="25">
        <f>IF(Receipts!$I150="","",Receipts!$I150)</f>
        <v>46156</v>
      </c>
      <c r="H150" s="25">
        <f>IF(Receipts!$H150="","",Receipts!$H150)</f>
        <v>46340</v>
      </c>
      <c r="I150" s="26">
        <f t="shared" ca="1" si="11"/>
        <v>102</v>
      </c>
      <c r="J150" s="26">
        <f>IF($A150="","",COUNTIFS(tblReceipts[Item Name],$A150,tblReceipts[Expiry Date],"&lt;"&amp;$H150)+COUNTIFS(tblReceipts[Item Name],$A150,tblReceipts[Expiry Date],$H150,tblReceipts[Lot Number],"&lt;="&amp;Receipts!$C150))</f>
        <v>27</v>
      </c>
      <c r="K150" s="26">
        <f>IF($A150="","",SUMIFS(tblReceipts[Qty Received],tblReceipts[Item Name],$A150,tblReceipts[Expiry Date],"&lt;"&amp;$H150)+SUMIFS(tblReceipts[Qty Received],tblReceipts[Item Name],$A150,tblReceipts[Expiry Date],$H150,tblReceipts[Lot Number],"&lt;"&amp;Receipts!$C150))</f>
        <v>57200</v>
      </c>
      <c r="L150" s="26">
        <f>IF($A150="","",MIN($D150,MAX(0,SUMIFS(tblIssues[Qty Issued],tblIssues[Item Name],$A150)-$K150)))</f>
        <v>7500</v>
      </c>
      <c r="M150" s="26">
        <f>IF($A150="","",SUMIFS(tblIssues[Qty Issued],tblIssues[Lot Number],$B150))</f>
        <v>7500</v>
      </c>
      <c r="N150" s="26">
        <f t="shared" si="12"/>
        <v>0</v>
      </c>
      <c r="O150" s="26">
        <f t="shared" si="13"/>
        <v>0</v>
      </c>
      <c r="P150" s="21">
        <f t="shared" si="14"/>
        <v>0</v>
      </c>
      <c r="Q150" s="52" t="str">
        <f>IF($A150="","",IF($O150&lt;=0,"Depleted",IF($I150&lt;0,"EXPIRED",IF($I150&lt;=Settings!$C$6,"CRITICAL",IF($I150&lt;=Settings!$C$5,"Expiring","In date")))))</f>
        <v>Depleted</v>
      </c>
    </row>
    <row r="151" spans="1:17" x14ac:dyDescent="0.35">
      <c r="A151" s="90" t="str">
        <f>IF(Receipts!$D151="","",Receipts!$D151)</f>
        <v>Gloves - Small</v>
      </c>
      <c r="B151" s="18" t="str">
        <f>IF(Receipts!$C151="","",Receipts!$C151)</f>
        <v>ZIM504124207-8</v>
      </c>
      <c r="C151" s="18" t="str">
        <f>IF($A151="","",IFERROR(INDEX(Items!$B$5:$B$597,MATCH($A151,Items!$A$5:$A$597,0)),""))</f>
        <v>Gloves</v>
      </c>
      <c r="D151" s="23">
        <f>IF($A151="","",N(Receipts!$G151))</f>
        <v>5000</v>
      </c>
      <c r="E151" s="20">
        <f>IF($A151="","",IFERROR(INDEX(Items!$D$5:$D$597,MATCH($A151,Items!$A$5:$A$597,0)),0))</f>
        <v>5.5E-2</v>
      </c>
      <c r="F151" s="21">
        <f t="shared" si="10"/>
        <v>275</v>
      </c>
      <c r="G151" s="25">
        <f>IF(Receipts!$I151="","",Receipts!$I151)</f>
        <v>46156</v>
      </c>
      <c r="H151" s="25">
        <f>IF(Receipts!$H151="","",Receipts!$H151)</f>
        <v>46340</v>
      </c>
      <c r="I151" s="26">
        <f t="shared" ca="1" si="11"/>
        <v>102</v>
      </c>
      <c r="J151" s="26">
        <f>IF($A151="","",COUNTIFS(tblReceipts[Item Name],$A151,tblReceipts[Expiry Date],"&lt;"&amp;$H151)+COUNTIFS(tblReceipts[Item Name],$A151,tblReceipts[Expiry Date],$H151,tblReceipts[Lot Number],"&lt;="&amp;Receipts!$C151))</f>
        <v>23</v>
      </c>
      <c r="K151" s="26">
        <f>IF($A151="","",SUMIFS(tblReceipts[Qty Received],tblReceipts[Item Name],$A151,tblReceipts[Expiry Date],"&lt;"&amp;$H151)+SUMIFS(tblReceipts[Qty Received],tblReceipts[Item Name],$A151,tblReceipts[Expiry Date],$H151,tblReceipts[Lot Number],"&lt;"&amp;Receipts!$C151))</f>
        <v>37250</v>
      </c>
      <c r="L151" s="26">
        <f>IF($A151="","",MIN($D151,MAX(0,SUMIFS(tblIssues[Qty Issued],tblIssues[Item Name],$A151)-$K151)))</f>
        <v>5000</v>
      </c>
      <c r="M151" s="26">
        <f>IF($A151="","",SUMIFS(tblIssues[Qty Issued],tblIssues[Lot Number],$B151))</f>
        <v>5000</v>
      </c>
      <c r="N151" s="26">
        <f t="shared" si="12"/>
        <v>0</v>
      </c>
      <c r="O151" s="26">
        <f t="shared" si="13"/>
        <v>0</v>
      </c>
      <c r="P151" s="21">
        <f t="shared" si="14"/>
        <v>0</v>
      </c>
      <c r="Q151" s="52" t="str">
        <f>IF($A151="","",IF($O151&lt;=0,"Depleted",IF($I151&lt;0,"EXPIRED",IF($I151&lt;=Settings!$C$6,"CRITICAL",IF($I151&lt;=Settings!$C$5,"Expiring","In date")))))</f>
        <v>Depleted</v>
      </c>
    </row>
    <row r="152" spans="1:17" x14ac:dyDescent="0.35">
      <c r="A152" s="90" t="str">
        <f>IF(Receipts!$D152="","",Receipts!$D152)</f>
        <v>Gloves - Large</v>
      </c>
      <c r="B152" s="18" t="str">
        <f>IF(Receipts!$C152="","",Receipts!$C152)</f>
        <v>ZIM511139904-3</v>
      </c>
      <c r="C152" s="18" t="str">
        <f>IF($A152="","",IFERROR(INDEX(Items!$B$5:$B$597,MATCH($A152,Items!$A$5:$A$597,0)),""))</f>
        <v>Gloves</v>
      </c>
      <c r="D152" s="23">
        <f>IF($A152="","",N(Receipts!$G152))</f>
        <v>5000</v>
      </c>
      <c r="E152" s="20">
        <f>IF($A152="","",IFERROR(INDEX(Items!$D$5:$D$597,MATCH($A152,Items!$A$5:$A$597,0)),0))</f>
        <v>5.5E-2</v>
      </c>
      <c r="F152" s="21">
        <f t="shared" si="10"/>
        <v>275</v>
      </c>
      <c r="G152" s="25">
        <f>IF(Receipts!$I152="","",Receipts!$I152)</f>
        <v>46156</v>
      </c>
      <c r="H152" s="25">
        <f>IF(Receipts!$H152="","",Receipts!$H152)</f>
        <v>46340</v>
      </c>
      <c r="I152" s="26">
        <f t="shared" ca="1" si="11"/>
        <v>102</v>
      </c>
      <c r="J152" s="26">
        <f>IF($A152="","",COUNTIFS(tblReceipts[Item Name],$A152,tblReceipts[Expiry Date],"&lt;"&amp;$H152)+COUNTIFS(tblReceipts[Item Name],$A152,tblReceipts[Expiry Date],$H152,tblReceipts[Lot Number],"&lt;="&amp;Receipts!$C152))</f>
        <v>23</v>
      </c>
      <c r="K152" s="26">
        <f>IF($A152="","",SUMIFS(tblReceipts[Qty Received],tblReceipts[Item Name],$A152,tblReceipts[Expiry Date],"&lt;"&amp;$H152)+SUMIFS(tblReceipts[Qty Received],tblReceipts[Item Name],$A152,tblReceipts[Expiry Date],$H152,tblReceipts[Lot Number],"&lt;"&amp;Receipts!$C152))</f>
        <v>39750</v>
      </c>
      <c r="L152" s="26">
        <f>IF($A152="","",MIN($D152,MAX(0,SUMIFS(tblIssues[Qty Issued],tblIssues[Item Name],$A152)-$K152)))</f>
        <v>5000</v>
      </c>
      <c r="M152" s="26">
        <f>IF($A152="","",SUMIFS(tblIssues[Qty Issued],tblIssues[Lot Number],$B152))</f>
        <v>10000</v>
      </c>
      <c r="N152" s="26">
        <f t="shared" si="12"/>
        <v>5000</v>
      </c>
      <c r="O152" s="26">
        <f t="shared" si="13"/>
        <v>0</v>
      </c>
      <c r="P152" s="21">
        <f t="shared" si="14"/>
        <v>0</v>
      </c>
      <c r="Q152" s="52" t="str">
        <f>IF($A152="","",IF($O152&lt;=0,"Depleted",IF($I152&lt;0,"EXPIRED",IF($I152&lt;=Settings!$C$6,"CRITICAL",IF($I152&lt;=Settings!$C$5,"Expiring","In date")))))</f>
        <v>Depleted</v>
      </c>
    </row>
    <row r="153" spans="1:17" x14ac:dyDescent="0.35">
      <c r="A153" s="90" t="str">
        <f>IF(Receipts!$D153="","",Receipts!$D153)</f>
        <v>Surgical Masks</v>
      </c>
      <c r="B153" s="18" t="str">
        <f>IF(Receipts!$C153="","",Receipts!$C153)</f>
        <v>24HA2050A7396</v>
      </c>
      <c r="C153" s="18" t="str">
        <f>IF($A153="","",IFERROR(INDEX(Items!$B$5:$B$597,MATCH($A153,Items!$A$5:$A$597,0)),""))</f>
        <v>Masks</v>
      </c>
      <c r="D153" s="23">
        <f>IF($A153="","",N(Receipts!$G153))</f>
        <v>3000</v>
      </c>
      <c r="E153" s="20">
        <f>IF($A153="","",IFERROR(INDEX(Items!$D$5:$D$597,MATCH($A153,Items!$A$5:$A$597,0)),0))</f>
        <v>0.25</v>
      </c>
      <c r="F153" s="21">
        <f t="shared" si="10"/>
        <v>750</v>
      </c>
      <c r="G153" s="25">
        <f>IF(Receipts!$I153="","",Receipts!$I153)</f>
        <v>46156</v>
      </c>
      <c r="H153" s="25">
        <f>IF(Receipts!$H153="","",Receipts!$H153)</f>
        <v>46246</v>
      </c>
      <c r="I153" s="26">
        <f t="shared" ca="1" si="11"/>
        <v>8</v>
      </c>
      <c r="J153" s="26">
        <f>IF($A153="","",COUNTIFS(tblReceipts[Item Name],$A153,tblReceipts[Expiry Date],"&lt;"&amp;$H153)+COUNTIFS(tblReceipts[Item Name],$A153,tblReceipts[Expiry Date],$H153,tblReceipts[Lot Number],"&lt;="&amp;Receipts!$C153))</f>
        <v>14</v>
      </c>
      <c r="K153" s="26">
        <f>IF($A153="","",SUMIFS(tblReceipts[Qty Received],tblReceipts[Item Name],$A153,tblReceipts[Expiry Date],"&lt;"&amp;$H153)+SUMIFS(tblReceipts[Qty Received],tblReceipts[Item Name],$A153,tblReceipts[Expiry Date],$H153,tblReceipts[Lot Number],"&lt;"&amp;Receipts!$C153))</f>
        <v>11200</v>
      </c>
      <c r="L153" s="26">
        <f>IF($A153="","",MIN($D153,MAX(0,SUMIFS(tblIssues[Qty Issued],tblIssues[Item Name],$A153)-$K153)))</f>
        <v>3000</v>
      </c>
      <c r="M153" s="26">
        <f>IF($A153="","",SUMIFS(tblIssues[Qty Issued],tblIssues[Lot Number],$B153))</f>
        <v>3000</v>
      </c>
      <c r="N153" s="26">
        <f t="shared" si="12"/>
        <v>0</v>
      </c>
      <c r="O153" s="26">
        <f t="shared" si="13"/>
        <v>0</v>
      </c>
      <c r="P153" s="21">
        <f t="shared" si="14"/>
        <v>0</v>
      </c>
      <c r="Q153" s="52" t="str">
        <f>IF($A153="","",IF($O153&lt;=0,"Depleted",IF($I153&lt;0,"EXPIRED",IF($I153&lt;=Settings!$C$6,"CRITICAL",IF($I153&lt;=Settings!$C$5,"Expiring","In date")))))</f>
        <v>Depleted</v>
      </c>
    </row>
    <row r="154" spans="1:17" x14ac:dyDescent="0.35">
      <c r="A154" s="90" t="str">
        <f>IF(Receipts!$D154="","",Receipts!$D154)</f>
        <v>Hand Sanitizer OS</v>
      </c>
      <c r="B154" s="18" t="str">
        <f>IF(Receipts!$C154="","",Receipts!$C154)</f>
        <v>20-21734-4</v>
      </c>
      <c r="C154" s="18" t="str">
        <f>IF($A154="","",IFERROR(INDEX(Items!$B$5:$B$597,MATCH($A154,Items!$A$5:$A$597,0)),""))</f>
        <v>Sanitizer</v>
      </c>
      <c r="D154" s="23">
        <f>IF($A154="","",N(Receipts!$G154))</f>
        <v>60</v>
      </c>
      <c r="E154" s="20">
        <f>IF($A154="","",IFERROR(INDEX(Items!$D$5:$D$597,MATCH($A154,Items!$A$5:$A$597,0)),0))</f>
        <v>1E-4</v>
      </c>
      <c r="F154" s="21">
        <f t="shared" si="10"/>
        <v>6.0000000000000001E-3</v>
      </c>
      <c r="G154" s="25">
        <f>IF(Receipts!$I154="","",Receipts!$I154)</f>
        <v>46156</v>
      </c>
      <c r="H154" s="25">
        <f>IF(Receipts!$H154="","",Receipts!$H154)</f>
        <v>46811</v>
      </c>
      <c r="I154" s="26">
        <f t="shared" ca="1" si="11"/>
        <v>573</v>
      </c>
      <c r="J154" s="26">
        <f>IF($A154="","",COUNTIFS(tblReceipts[Item Name],$A154,tblReceipts[Expiry Date],"&lt;"&amp;$H154)+COUNTIFS(tblReceipts[Item Name],$A154,tblReceipts[Expiry Date],$H154,tblReceipts[Lot Number],"&lt;="&amp;Receipts!$C154))</f>
        <v>5</v>
      </c>
      <c r="K154" s="26">
        <f>IF($A154="","",SUMIFS(tblReceipts[Qty Received],tblReceipts[Item Name],$A154,tblReceipts[Expiry Date],"&lt;"&amp;$H154)+SUMIFS(tblReceipts[Qty Received],tblReceipts[Item Name],$A154,tblReceipts[Expiry Date],$H154,tblReceipts[Lot Number],"&lt;"&amp;Receipts!$C154))</f>
        <v>96</v>
      </c>
      <c r="L154" s="26">
        <f>IF($A154="","",MIN($D154,MAX(0,SUMIFS(tblIssues[Qty Issued],tblIssues[Item Name],$A154)-$K154)))</f>
        <v>60</v>
      </c>
      <c r="M154" s="26">
        <f>IF($A154="","",SUMIFS(tblIssues[Qty Issued],tblIssues[Lot Number],$B154))</f>
        <v>60</v>
      </c>
      <c r="N154" s="26">
        <f t="shared" si="12"/>
        <v>0</v>
      </c>
      <c r="O154" s="26">
        <f t="shared" si="13"/>
        <v>0</v>
      </c>
      <c r="P154" s="21">
        <f t="shared" si="14"/>
        <v>0</v>
      </c>
      <c r="Q154" s="52" t="str">
        <f>IF($A154="","",IF($O154&lt;=0,"Depleted",IF($I154&lt;0,"EXPIRED",IF($I154&lt;=Settings!$C$6,"CRITICAL",IF($I154&lt;=Settings!$C$5,"Expiring","In date")))))</f>
        <v>Depleted</v>
      </c>
    </row>
    <row r="155" spans="1:17" x14ac:dyDescent="0.35">
      <c r="A155" s="90" t="str">
        <f>IF(Receipts!$D155="","",Receipts!$D155)</f>
        <v>Gloves - Medium</v>
      </c>
      <c r="B155" s="18" t="str">
        <f>IF(Receipts!$C155="","",Receipts!$C155)</f>
        <v>ZIM510137964</v>
      </c>
      <c r="C155" s="18" t="str">
        <f>IF($A155="","",IFERROR(INDEX(Items!$B$5:$B$597,MATCH($A155,Items!$A$5:$A$597,0)),""))</f>
        <v>Gloves</v>
      </c>
      <c r="D155" s="23">
        <f>IF($A155="","",N(Receipts!$G155))</f>
        <v>5000</v>
      </c>
      <c r="E155" s="20">
        <f>IF($A155="","",IFERROR(INDEX(Items!$D$5:$D$597,MATCH($A155,Items!$A$5:$A$597,0)),0))</f>
        <v>5.5E-2</v>
      </c>
      <c r="F155" s="21">
        <f t="shared" si="10"/>
        <v>275</v>
      </c>
      <c r="G155" s="25">
        <f>IF(Receipts!$I155="","",Receipts!$I155)</f>
        <v>46168</v>
      </c>
      <c r="H155" s="25">
        <f>IF(Receipts!$H155="","",Receipts!$H155)</f>
        <v>46352</v>
      </c>
      <c r="I155" s="26">
        <f t="shared" ca="1" si="11"/>
        <v>114</v>
      </c>
      <c r="J155" s="26">
        <f>IF($A155="","",COUNTIFS(tblReceipts[Item Name],$A155,tblReceipts[Expiry Date],"&lt;"&amp;$H155)+COUNTIFS(tblReceipts[Item Name],$A155,tblReceipts[Expiry Date],$H155,tblReceipts[Lot Number],"&lt;="&amp;Receipts!$C155))</f>
        <v>28</v>
      </c>
      <c r="K155" s="26">
        <f>IF($A155="","",SUMIFS(tblReceipts[Qty Received],tblReceipts[Item Name],$A155,tblReceipts[Expiry Date],"&lt;"&amp;$H155)+SUMIFS(tblReceipts[Qty Received],tblReceipts[Item Name],$A155,tblReceipts[Expiry Date],$H155,tblReceipts[Lot Number],"&lt;"&amp;Receipts!$C155))</f>
        <v>64700</v>
      </c>
      <c r="L155" s="26">
        <f>IF($A155="","",MIN($D155,MAX(0,SUMIFS(tblIssues[Qty Issued],tblIssues[Item Name],$A155)-$K155)))</f>
        <v>5000</v>
      </c>
      <c r="M155" s="26">
        <f>IF($A155="","",SUMIFS(tblIssues[Qty Issued],tblIssues[Lot Number],$B155))</f>
        <v>5000</v>
      </c>
      <c r="N155" s="26">
        <f t="shared" si="12"/>
        <v>0</v>
      </c>
      <c r="O155" s="26">
        <f t="shared" si="13"/>
        <v>0</v>
      </c>
      <c r="P155" s="21">
        <f t="shared" si="14"/>
        <v>0</v>
      </c>
      <c r="Q155" s="52" t="str">
        <f>IF($A155="","",IF($O155&lt;=0,"Depleted",IF($I155&lt;0,"EXPIRED",IF($I155&lt;=Settings!$C$6,"CRITICAL",IF($I155&lt;=Settings!$C$5,"Expiring","In date")))))</f>
        <v>Depleted</v>
      </c>
    </row>
    <row r="156" spans="1:17" x14ac:dyDescent="0.35">
      <c r="A156" s="90" t="str">
        <f>IF(Receipts!$D156="","",Receipts!$D156)</f>
        <v>Gloves - Small</v>
      </c>
      <c r="B156" s="18" t="str">
        <f>IF(Receipts!$C156="","",Receipts!$C156)</f>
        <v>ZIM502120291</v>
      </c>
      <c r="C156" s="18" t="str">
        <f>IF($A156="","",IFERROR(INDEX(Items!$B$5:$B$597,MATCH($A156,Items!$A$5:$A$597,0)),""))</f>
        <v>Gloves</v>
      </c>
      <c r="D156" s="23">
        <f>IF($A156="","",N(Receipts!$G156))</f>
        <v>5000</v>
      </c>
      <c r="E156" s="20">
        <f>IF($A156="","",IFERROR(INDEX(Items!$D$5:$D$597,MATCH($A156,Items!$A$5:$A$597,0)),0))</f>
        <v>5.5E-2</v>
      </c>
      <c r="F156" s="21">
        <f t="shared" si="10"/>
        <v>275</v>
      </c>
      <c r="G156" s="25">
        <f>IF(Receipts!$I156="","",Receipts!$I156)</f>
        <v>46168</v>
      </c>
      <c r="H156" s="25">
        <f>IF(Receipts!$H156="","",Receipts!$H156)</f>
        <v>46352</v>
      </c>
      <c r="I156" s="26">
        <f t="shared" ca="1" si="11"/>
        <v>114</v>
      </c>
      <c r="J156" s="26">
        <f>IF($A156="","",COUNTIFS(tblReceipts[Item Name],$A156,tblReceipts[Expiry Date],"&lt;"&amp;$H156)+COUNTIFS(tblReceipts[Item Name],$A156,tblReceipts[Expiry Date],$H156,tblReceipts[Lot Number],"&lt;="&amp;Receipts!$C156))</f>
        <v>24</v>
      </c>
      <c r="K156" s="26">
        <f>IF($A156="","",SUMIFS(tblReceipts[Qty Received],tblReceipts[Item Name],$A156,tblReceipts[Expiry Date],"&lt;"&amp;$H156)+SUMIFS(tblReceipts[Qty Received],tblReceipts[Item Name],$A156,tblReceipts[Expiry Date],$H156,tblReceipts[Lot Number],"&lt;"&amp;Receipts!$C156))</f>
        <v>42250</v>
      </c>
      <c r="L156" s="26">
        <f>IF($A156="","",MIN($D156,MAX(0,SUMIFS(tblIssues[Qty Issued],tblIssues[Item Name],$A156)-$K156)))</f>
        <v>5000</v>
      </c>
      <c r="M156" s="26">
        <f>IF($A156="","",SUMIFS(tblIssues[Qty Issued],tblIssues[Lot Number],$B156))</f>
        <v>5000</v>
      </c>
      <c r="N156" s="26">
        <f t="shared" si="12"/>
        <v>0</v>
      </c>
      <c r="O156" s="26">
        <f t="shared" si="13"/>
        <v>0</v>
      </c>
      <c r="P156" s="21">
        <f t="shared" si="14"/>
        <v>0</v>
      </c>
      <c r="Q156" s="52" t="str">
        <f>IF($A156="","",IF($O156&lt;=0,"Depleted",IF($I156&lt;0,"EXPIRED",IF($I156&lt;=Settings!$C$6,"CRITICAL",IF($I156&lt;=Settings!$C$5,"Expiring","In date")))))</f>
        <v>Depleted</v>
      </c>
    </row>
    <row r="157" spans="1:17" x14ac:dyDescent="0.35">
      <c r="A157" s="90" t="str">
        <f>IF(Receipts!$D157="","",Receipts!$D157)</f>
        <v>Gloves - Large</v>
      </c>
      <c r="B157" s="18" t="str">
        <f>IF(Receipts!$C157="","",Receipts!$C157)</f>
        <v>ZIM511139904-3</v>
      </c>
      <c r="C157" s="18" t="str">
        <f>IF($A157="","",IFERROR(INDEX(Items!$B$5:$B$597,MATCH($A157,Items!$A$5:$A$597,0)),""))</f>
        <v>Gloves</v>
      </c>
      <c r="D157" s="23">
        <f>IF($A157="","",N(Receipts!$G157))</f>
        <v>2500</v>
      </c>
      <c r="E157" s="20">
        <f>IF($A157="","",IFERROR(INDEX(Items!$D$5:$D$597,MATCH($A157,Items!$A$5:$A$597,0)),0))</f>
        <v>5.5E-2</v>
      </c>
      <c r="F157" s="21">
        <f t="shared" si="10"/>
        <v>137.5</v>
      </c>
      <c r="G157" s="25">
        <f>IF(Receipts!$I157="","",Receipts!$I157)</f>
        <v>46168</v>
      </c>
      <c r="H157" s="25">
        <f>IF(Receipts!$H157="","",Receipts!$H157)</f>
        <v>46352</v>
      </c>
      <c r="I157" s="26">
        <f t="shared" ca="1" si="11"/>
        <v>114</v>
      </c>
      <c r="J157" s="26">
        <f>IF($A157="","",COUNTIFS(tblReceipts[Item Name],$A157,tblReceipts[Expiry Date],"&lt;"&amp;$H157)+COUNTIFS(tblReceipts[Item Name],$A157,tblReceipts[Expiry Date],$H157,tblReceipts[Lot Number],"&lt;="&amp;Receipts!$C157))</f>
        <v>24</v>
      </c>
      <c r="K157" s="26">
        <f>IF($A157="","",SUMIFS(tblReceipts[Qty Received],tblReceipts[Item Name],$A157,tblReceipts[Expiry Date],"&lt;"&amp;$H157)+SUMIFS(tblReceipts[Qty Received],tblReceipts[Item Name],$A157,tblReceipts[Expiry Date],$H157,tblReceipts[Lot Number],"&lt;"&amp;Receipts!$C157))</f>
        <v>44750</v>
      </c>
      <c r="L157" s="26">
        <f>IF($A157="","",MIN($D157,MAX(0,SUMIFS(tblIssues[Qty Issued],tblIssues[Item Name],$A157)-$K157)))</f>
        <v>2500</v>
      </c>
      <c r="M157" s="26">
        <f>IF($A157="","",SUMIFS(tblIssues[Qty Issued],tblIssues[Lot Number],$B157))</f>
        <v>10000</v>
      </c>
      <c r="N157" s="26">
        <f t="shared" si="12"/>
        <v>7500</v>
      </c>
      <c r="O157" s="26">
        <f t="shared" si="13"/>
        <v>0</v>
      </c>
      <c r="P157" s="21">
        <f t="shared" si="14"/>
        <v>0</v>
      </c>
      <c r="Q157" s="52" t="str">
        <f>IF($A157="","",IF($O157&lt;=0,"Depleted",IF($I157&lt;0,"EXPIRED",IF($I157&lt;=Settings!$C$6,"CRITICAL",IF($I157&lt;=Settings!$C$5,"Expiring","In date")))))</f>
        <v>Depleted</v>
      </c>
    </row>
    <row r="158" spans="1:17" x14ac:dyDescent="0.35">
      <c r="A158" s="90" t="str">
        <f>IF(Receipts!$D158="","",Receipts!$D158)</f>
        <v>Shoe Covers</v>
      </c>
      <c r="B158" s="18">
        <f>IF(Receipts!$C158="","",Receipts!$C158)</f>
        <v>3024</v>
      </c>
      <c r="C158" s="18" t="str">
        <f>IF($A158="","",IFERROR(INDEX(Items!$B$5:$B$597,MATCH($A158,Items!$A$5:$A$597,0)),""))</f>
        <v>IPAC</v>
      </c>
      <c r="D158" s="23">
        <f>IF($A158="","",N(Receipts!$G158))</f>
        <v>300</v>
      </c>
      <c r="E158" s="20">
        <f>IF($A158="","",IFERROR(INDEX(Items!$D$5:$D$597,MATCH($A158,Items!$A$5:$A$597,0)),0))</f>
        <v>0.2</v>
      </c>
      <c r="F158" s="21">
        <f t="shared" si="10"/>
        <v>60</v>
      </c>
      <c r="G158" s="25">
        <f>IF(Receipts!$I158="","",Receipts!$I158)</f>
        <v>46169</v>
      </c>
      <c r="H158" s="25">
        <f>IF(Receipts!$H158="","",Receipts!$H158)</f>
        <v>46718</v>
      </c>
      <c r="I158" s="26">
        <f t="shared" ca="1" si="11"/>
        <v>480</v>
      </c>
      <c r="J158" s="26">
        <f>IF($A158="","",COUNTIFS(tblReceipts[Item Name],$A158,tblReceipts[Expiry Date],"&lt;"&amp;$H158)+COUNTIFS(tblReceipts[Item Name],$A158,tblReceipts[Expiry Date],$H158,tblReceipts[Lot Number],"&lt;="&amp;Receipts!$C158))</f>
        <v>2</v>
      </c>
      <c r="K158" s="26">
        <f>IF($A158="","",SUMIFS(tblReceipts[Qty Received],tblReceipts[Item Name],$A158,tblReceipts[Expiry Date],"&lt;"&amp;$H158)+SUMIFS(tblReceipts[Qty Received],tblReceipts[Item Name],$A158,tblReceipts[Expiry Date],$H158,tblReceipts[Lot Number],"&lt;"&amp;Receipts!$C158))</f>
        <v>0</v>
      </c>
      <c r="L158" s="26">
        <f>IF($A158="","",MIN($D158,MAX(0,SUMIFS(tblIssues[Qty Issued],tblIssues[Item Name],$A158)-$K158)))</f>
        <v>300</v>
      </c>
      <c r="M158" s="26">
        <f>IF($A158="","",SUMIFS(tblIssues[Qty Issued],tblIssues[Lot Number],$B158))</f>
        <v>550</v>
      </c>
      <c r="N158" s="26">
        <f t="shared" si="12"/>
        <v>250</v>
      </c>
      <c r="O158" s="26">
        <f t="shared" si="13"/>
        <v>0</v>
      </c>
      <c r="P158" s="21">
        <f t="shared" si="14"/>
        <v>0</v>
      </c>
      <c r="Q158" s="52" t="str">
        <f>IF($A158="","",IF($O158&lt;=0,"Depleted",IF($I158&lt;0,"EXPIRED",IF($I158&lt;=Settings!$C$6,"CRITICAL",IF($I158&lt;=Settings!$C$5,"Expiring","In date")))))</f>
        <v>Depleted</v>
      </c>
    </row>
    <row r="159" spans="1:17" x14ac:dyDescent="0.35">
      <c r="A159" s="90" t="str">
        <f>IF(Receipts!$D159="","",Receipts!$D159)</f>
        <v>Hand Sanitizer OS</v>
      </c>
      <c r="B159" s="18" t="str">
        <f>IF(Receipts!$C159="","",Receipts!$C159)</f>
        <v>20-21734-4</v>
      </c>
      <c r="C159" s="18" t="str">
        <f>IF($A159="","",IFERROR(INDEX(Items!$B$5:$B$597,MATCH($A159,Items!$A$5:$A$597,0)),""))</f>
        <v>Sanitizer</v>
      </c>
      <c r="D159" s="23">
        <f>IF($A159="","",N(Receipts!$G159))</f>
        <v>60</v>
      </c>
      <c r="E159" s="20">
        <f>IF($A159="","",IFERROR(INDEX(Items!$D$5:$D$597,MATCH($A159,Items!$A$5:$A$597,0)),0))</f>
        <v>1E-4</v>
      </c>
      <c r="F159" s="21">
        <f t="shared" si="10"/>
        <v>6.0000000000000001E-3</v>
      </c>
      <c r="G159" s="25">
        <f>IF(Receipts!$I159="","",Receipts!$I159)</f>
        <v>46169</v>
      </c>
      <c r="H159" s="25">
        <f>IF(Receipts!$H159="","",Receipts!$H159)</f>
        <v>46811</v>
      </c>
      <c r="I159" s="26">
        <f t="shared" ca="1" si="11"/>
        <v>573</v>
      </c>
      <c r="J159" s="26">
        <f>IF($A159="","",COUNTIFS(tblReceipts[Item Name],$A159,tblReceipts[Expiry Date],"&lt;"&amp;$H159)+COUNTIFS(tblReceipts[Item Name],$A159,tblReceipts[Expiry Date],$H159,tblReceipts[Lot Number],"&lt;="&amp;Receipts!$C159))</f>
        <v>5</v>
      </c>
      <c r="K159" s="26">
        <f>IF($A159="","",SUMIFS(tblReceipts[Qty Received],tblReceipts[Item Name],$A159,tblReceipts[Expiry Date],"&lt;"&amp;$H159)+SUMIFS(tblReceipts[Qty Received],tblReceipts[Item Name],$A159,tblReceipts[Expiry Date],$H159,tblReceipts[Lot Number],"&lt;"&amp;Receipts!$C159))</f>
        <v>96</v>
      </c>
      <c r="L159" s="26">
        <f>IF($A159="","",MIN($D159,MAX(0,SUMIFS(tblIssues[Qty Issued],tblIssues[Item Name],$A159)-$K159)))</f>
        <v>60</v>
      </c>
      <c r="M159" s="26">
        <f>IF($A159="","",SUMIFS(tblIssues[Qty Issued],tblIssues[Lot Number],$B159))</f>
        <v>60</v>
      </c>
      <c r="N159" s="26">
        <f t="shared" si="12"/>
        <v>0</v>
      </c>
      <c r="O159" s="26">
        <f t="shared" si="13"/>
        <v>0</v>
      </c>
      <c r="P159" s="21">
        <f t="shared" si="14"/>
        <v>0</v>
      </c>
      <c r="Q159" s="52" t="str">
        <f>IF($A159="","",IF($O159&lt;=0,"Depleted",IF($I159&lt;0,"EXPIRED",IF($I159&lt;=Settings!$C$6,"CRITICAL",IF($I159&lt;=Settings!$C$5,"Expiring","In date")))))</f>
        <v>Depleted</v>
      </c>
    </row>
    <row r="160" spans="1:17" x14ac:dyDescent="0.35">
      <c r="A160" s="90" t="str">
        <f>IF(Receipts!$D160="","",Receipts!$D160)</f>
        <v>Gloves - Medium</v>
      </c>
      <c r="B160" s="18" t="str">
        <f>IF(Receipts!$C160="","",Receipts!$C160)</f>
        <v>315JIC25</v>
      </c>
      <c r="C160" s="18" t="str">
        <f>IF($A160="","",IFERROR(INDEX(Items!$B$5:$B$597,MATCH($A160,Items!$A$5:$A$597,0)),""))</f>
        <v>Gloves</v>
      </c>
      <c r="D160" s="23">
        <f>IF($A160="","",N(Receipts!$G160))</f>
        <v>2500</v>
      </c>
      <c r="E160" s="20">
        <f>IF($A160="","",IFERROR(INDEX(Items!$D$5:$D$597,MATCH($A160,Items!$A$5:$A$597,0)),0))</f>
        <v>5.5E-2</v>
      </c>
      <c r="F160" s="21">
        <f t="shared" si="10"/>
        <v>137.5</v>
      </c>
      <c r="G160" s="25">
        <f>IF(Receipts!$I160="","",Receipts!$I160)</f>
        <v>46169</v>
      </c>
      <c r="H160" s="25">
        <f>IF(Receipts!$H160="","",Receipts!$H160)</f>
        <v>46353</v>
      </c>
      <c r="I160" s="26">
        <f t="shared" ca="1" si="11"/>
        <v>115</v>
      </c>
      <c r="J160" s="26">
        <f>IF($A160="","",COUNTIFS(tblReceipts[Item Name],$A160,tblReceipts[Expiry Date],"&lt;"&amp;$H160)+COUNTIFS(tblReceipts[Item Name],$A160,tblReceipts[Expiry Date],$H160,tblReceipts[Lot Number],"&lt;="&amp;Receipts!$C160))</f>
        <v>29</v>
      </c>
      <c r="K160" s="26">
        <f>IF($A160="","",SUMIFS(tblReceipts[Qty Received],tblReceipts[Item Name],$A160,tblReceipts[Expiry Date],"&lt;"&amp;$H160)+SUMIFS(tblReceipts[Qty Received],tblReceipts[Item Name],$A160,tblReceipts[Expiry Date],$H160,tblReceipts[Lot Number],"&lt;"&amp;Receipts!$C160))</f>
        <v>69700</v>
      </c>
      <c r="L160" s="26">
        <f>IF($A160="","",MIN($D160,MAX(0,SUMIFS(tblIssues[Qty Issued],tblIssues[Item Name],$A160)-$K160)))</f>
        <v>2500</v>
      </c>
      <c r="M160" s="26">
        <f>IF($A160="","",SUMIFS(tblIssues[Qty Issued],tblIssues[Lot Number],$B160))</f>
        <v>2500</v>
      </c>
      <c r="N160" s="26">
        <f t="shared" si="12"/>
        <v>0</v>
      </c>
      <c r="O160" s="26">
        <f t="shared" si="13"/>
        <v>0</v>
      </c>
      <c r="P160" s="21">
        <f t="shared" si="14"/>
        <v>0</v>
      </c>
      <c r="Q160" s="52" t="str">
        <f>IF($A160="","",IF($O160&lt;=0,"Depleted",IF($I160&lt;0,"EXPIRED",IF($I160&lt;=Settings!$C$6,"CRITICAL",IF($I160&lt;=Settings!$C$5,"Expiring","In date")))))</f>
        <v>Depleted</v>
      </c>
    </row>
    <row r="161" spans="1:17" x14ac:dyDescent="0.35">
      <c r="A161" s="90" t="str">
        <f>IF(Receipts!$D161="","",Receipts!$D161)</f>
        <v>Gloves - Medium</v>
      </c>
      <c r="B161" s="18" t="str">
        <f>IF(Receipts!$C161="","",Receipts!$C161)</f>
        <v>ZIM510137962-1</v>
      </c>
      <c r="C161" s="18" t="str">
        <f>IF($A161="","",IFERROR(INDEX(Items!$B$5:$B$597,MATCH($A161,Items!$A$5:$A$597,0)),""))</f>
        <v>Gloves</v>
      </c>
      <c r="D161" s="23">
        <f>IF($A161="","",N(Receipts!$G161))</f>
        <v>7500</v>
      </c>
      <c r="E161" s="20">
        <f>IF($A161="","",IFERROR(INDEX(Items!$D$5:$D$597,MATCH($A161,Items!$A$5:$A$597,0)),0))</f>
        <v>5.5E-2</v>
      </c>
      <c r="F161" s="21">
        <f t="shared" si="10"/>
        <v>412.5</v>
      </c>
      <c r="G161" s="25">
        <f>IF(Receipts!$I161="","",Receipts!$I161)</f>
        <v>46181</v>
      </c>
      <c r="H161" s="25">
        <f>IF(Receipts!$H161="","",Receipts!$H161)</f>
        <v>46364</v>
      </c>
      <c r="I161" s="26">
        <f t="shared" ca="1" si="11"/>
        <v>126</v>
      </c>
      <c r="J161" s="26">
        <f>IF($A161="","",COUNTIFS(tblReceipts[Item Name],$A161,tblReceipts[Expiry Date],"&lt;"&amp;$H161)+COUNTIFS(tblReceipts[Item Name],$A161,tblReceipts[Expiry Date],$H161,tblReceipts[Lot Number],"&lt;="&amp;Receipts!$C161))</f>
        <v>31</v>
      </c>
      <c r="K161" s="26">
        <f>IF($A161="","",SUMIFS(tblReceipts[Qty Received],tblReceipts[Item Name],$A161,tblReceipts[Expiry Date],"&lt;"&amp;$H161)+SUMIFS(tblReceipts[Qty Received],tblReceipts[Item Name],$A161,tblReceipts[Expiry Date],$H161,tblReceipts[Lot Number],"&lt;"&amp;Receipts!$C161))</f>
        <v>77200</v>
      </c>
      <c r="L161" s="26">
        <f>IF($A161="","",MIN($D161,MAX(0,SUMIFS(tblIssues[Qty Issued],tblIssues[Item Name],$A161)-$K161)))</f>
        <v>7500</v>
      </c>
      <c r="M161" s="26">
        <f>IF($A161="","",SUMIFS(tblIssues[Qty Issued],tblIssues[Lot Number],$B161))</f>
        <v>7500</v>
      </c>
      <c r="N161" s="26">
        <f t="shared" si="12"/>
        <v>0</v>
      </c>
      <c r="O161" s="26">
        <f t="shared" si="13"/>
        <v>0</v>
      </c>
      <c r="P161" s="21">
        <f t="shared" si="14"/>
        <v>0</v>
      </c>
      <c r="Q161" s="52" t="str">
        <f>IF($A161="","",IF($O161&lt;=0,"Depleted",IF($I161&lt;0,"EXPIRED",IF($I161&lt;=Settings!$C$6,"CRITICAL",IF($I161&lt;=Settings!$C$5,"Expiring","In date")))))</f>
        <v>Depleted</v>
      </c>
    </row>
    <row r="162" spans="1:17" x14ac:dyDescent="0.35">
      <c r="A162" s="90" t="str">
        <f>IF(Receipts!$D162="","",Receipts!$D162)</f>
        <v>Gloves - Small</v>
      </c>
      <c r="B162" s="18" t="str">
        <f>IF(Receipts!$C162="","",Receipts!$C162)</f>
        <v>ZIM601144366-0</v>
      </c>
      <c r="C162" s="18" t="str">
        <f>IF($A162="","",IFERROR(INDEX(Items!$B$5:$B$597,MATCH($A162,Items!$A$5:$A$597,0)),""))</f>
        <v>Gloves</v>
      </c>
      <c r="D162" s="23">
        <f>IF($A162="","",N(Receipts!$G162))</f>
        <v>2500</v>
      </c>
      <c r="E162" s="20">
        <f>IF($A162="","",IFERROR(INDEX(Items!$D$5:$D$597,MATCH($A162,Items!$A$5:$A$597,0)),0))</f>
        <v>5.5E-2</v>
      </c>
      <c r="F162" s="21">
        <f t="shared" si="10"/>
        <v>137.5</v>
      </c>
      <c r="G162" s="25">
        <f>IF(Receipts!$I162="","",Receipts!$I162)</f>
        <v>46181</v>
      </c>
      <c r="H162" s="25">
        <f>IF(Receipts!$H162="","",Receipts!$H162)</f>
        <v>46364</v>
      </c>
      <c r="I162" s="26">
        <f t="shared" ca="1" si="11"/>
        <v>126</v>
      </c>
      <c r="J162" s="26">
        <f>IF($A162="","",COUNTIFS(tblReceipts[Item Name],$A162,tblReceipts[Expiry Date],"&lt;"&amp;$H162)+COUNTIFS(tblReceipts[Item Name],$A162,tblReceipts[Expiry Date],$H162,tblReceipts[Lot Number],"&lt;="&amp;Receipts!$C162))</f>
        <v>26</v>
      </c>
      <c r="K162" s="26">
        <f>IF($A162="","",SUMIFS(tblReceipts[Qty Received],tblReceipts[Item Name],$A162,tblReceipts[Expiry Date],"&lt;"&amp;$H162)+SUMIFS(tblReceipts[Qty Received],tblReceipts[Item Name],$A162,tblReceipts[Expiry Date],$H162,tblReceipts[Lot Number],"&lt;"&amp;Receipts!$C162))</f>
        <v>49950</v>
      </c>
      <c r="L162" s="26">
        <f>IF($A162="","",MIN($D162,MAX(0,SUMIFS(tblIssues[Qty Issued],tblIssues[Item Name],$A162)-$K162)))</f>
        <v>2500</v>
      </c>
      <c r="M162" s="26">
        <f>IF($A162="","",SUMIFS(tblIssues[Qty Issued],tblIssues[Lot Number],$B162))</f>
        <v>2500</v>
      </c>
      <c r="N162" s="26">
        <f t="shared" si="12"/>
        <v>0</v>
      </c>
      <c r="O162" s="26">
        <f t="shared" si="13"/>
        <v>0</v>
      </c>
      <c r="P162" s="21">
        <f t="shared" si="14"/>
        <v>0</v>
      </c>
      <c r="Q162" s="52" t="str">
        <f>IF($A162="","",IF($O162&lt;=0,"Depleted",IF($I162&lt;0,"EXPIRED",IF($I162&lt;=Settings!$C$6,"CRITICAL",IF($I162&lt;=Settings!$C$5,"Expiring","In date")))))</f>
        <v>Depleted</v>
      </c>
    </row>
    <row r="163" spans="1:17" x14ac:dyDescent="0.35">
      <c r="A163" s="90" t="str">
        <f>IF(Receipts!$D163="","",Receipts!$D163)</f>
        <v>Gloves - Medium</v>
      </c>
      <c r="B163" s="18" t="str">
        <f>IF(Receipts!$C163="","",Receipts!$C163)</f>
        <v>ZIM510137962-2</v>
      </c>
      <c r="C163" s="18" t="str">
        <f>IF($A163="","",IFERROR(INDEX(Items!$B$5:$B$597,MATCH($A163,Items!$A$5:$A$597,0)),""))</f>
        <v>Gloves</v>
      </c>
      <c r="D163" s="23">
        <f>IF($A163="","",N(Receipts!$G163))</f>
        <v>12500</v>
      </c>
      <c r="E163" s="20">
        <f>IF($A163="","",IFERROR(INDEX(Items!$D$5:$D$597,MATCH($A163,Items!$A$5:$A$597,0)),0))</f>
        <v>5.5E-2</v>
      </c>
      <c r="F163" s="21">
        <f t="shared" si="10"/>
        <v>687.5</v>
      </c>
      <c r="G163" s="25">
        <f>IF(Receipts!$I163="","",Receipts!$I163)</f>
        <v>46181</v>
      </c>
      <c r="H163" s="25">
        <f>IF(Receipts!$H163="","",Receipts!$H163)</f>
        <v>46364</v>
      </c>
      <c r="I163" s="26">
        <f t="shared" ca="1" si="11"/>
        <v>126</v>
      </c>
      <c r="J163" s="26">
        <f>IF($A163="","",COUNTIFS(tblReceipts[Item Name],$A163,tblReceipts[Expiry Date],"&lt;"&amp;$H163)+COUNTIFS(tblReceipts[Item Name],$A163,tblReceipts[Expiry Date],$H163,tblReceipts[Lot Number],"&lt;="&amp;Receipts!$C163))</f>
        <v>32</v>
      </c>
      <c r="K163" s="26">
        <f>IF($A163="","",SUMIFS(tblReceipts[Qty Received],tblReceipts[Item Name],$A163,tblReceipts[Expiry Date],"&lt;"&amp;$H163)+SUMIFS(tblReceipts[Qty Received],tblReceipts[Item Name],$A163,tblReceipts[Expiry Date],$H163,tblReceipts[Lot Number],"&lt;"&amp;Receipts!$C163))</f>
        <v>84700</v>
      </c>
      <c r="L163" s="26">
        <f>IF($A163="","",MIN($D163,MAX(0,SUMIFS(tblIssues[Qty Issued],tblIssues[Item Name],$A163)-$K163)))</f>
        <v>12500</v>
      </c>
      <c r="M163" s="26">
        <f>IF($A163="","",SUMIFS(tblIssues[Qty Issued],tblIssues[Lot Number],$B163))</f>
        <v>12500</v>
      </c>
      <c r="N163" s="26">
        <f t="shared" si="12"/>
        <v>0</v>
      </c>
      <c r="O163" s="26">
        <f t="shared" si="13"/>
        <v>0</v>
      </c>
      <c r="P163" s="21">
        <f t="shared" si="14"/>
        <v>0</v>
      </c>
      <c r="Q163" s="52" t="str">
        <f>IF($A163="","",IF($O163&lt;=0,"Depleted",IF($I163&lt;0,"EXPIRED",IF($I163&lt;=Settings!$C$6,"CRITICAL",IF($I163&lt;=Settings!$C$5,"Expiring","In date")))))</f>
        <v>Depleted</v>
      </c>
    </row>
    <row r="164" spans="1:17" x14ac:dyDescent="0.35">
      <c r="A164" s="90" t="str">
        <f>IF(Receipts!$D164="","",Receipts!$D164)</f>
        <v>Gloves - Small</v>
      </c>
      <c r="B164" s="18" t="str">
        <f>IF(Receipts!$C164="","",Receipts!$C164)</f>
        <v>ZIM601144366-1</v>
      </c>
      <c r="C164" s="18" t="str">
        <f>IF($A164="","",IFERROR(INDEX(Items!$B$5:$B$597,MATCH($A164,Items!$A$5:$A$597,0)),""))</f>
        <v>Gloves</v>
      </c>
      <c r="D164" s="23">
        <f>IF($A164="","",N(Receipts!$G164))</f>
        <v>7500</v>
      </c>
      <c r="E164" s="20">
        <f>IF($A164="","",IFERROR(INDEX(Items!$D$5:$D$597,MATCH($A164,Items!$A$5:$A$597,0)),0))</f>
        <v>5.5E-2</v>
      </c>
      <c r="F164" s="21">
        <f t="shared" si="10"/>
        <v>412.5</v>
      </c>
      <c r="G164" s="25">
        <f>IF(Receipts!$I164="","",Receipts!$I164)</f>
        <v>46181</v>
      </c>
      <c r="H164" s="25">
        <f>IF(Receipts!$H164="","",Receipts!$H164)</f>
        <v>46364</v>
      </c>
      <c r="I164" s="26">
        <f t="shared" ca="1" si="11"/>
        <v>126</v>
      </c>
      <c r="J164" s="26">
        <f>IF($A164="","",COUNTIFS(tblReceipts[Item Name],$A164,tblReceipts[Expiry Date],"&lt;"&amp;$H164)+COUNTIFS(tblReceipts[Item Name],$A164,tblReceipts[Expiry Date],$H164,tblReceipts[Lot Number],"&lt;="&amp;Receipts!$C164))</f>
        <v>27</v>
      </c>
      <c r="K164" s="26">
        <f>IF($A164="","",SUMIFS(tblReceipts[Qty Received],tblReceipts[Item Name],$A164,tblReceipts[Expiry Date],"&lt;"&amp;$H164)+SUMIFS(tblReceipts[Qty Received],tblReceipts[Item Name],$A164,tblReceipts[Expiry Date],$H164,tblReceipts[Lot Number],"&lt;"&amp;Receipts!$C164))</f>
        <v>52450</v>
      </c>
      <c r="L164" s="26">
        <f>IF($A164="","",MIN($D164,MAX(0,SUMIFS(tblIssues[Qty Issued],tblIssues[Item Name],$A164)-$K164)))</f>
        <v>5050</v>
      </c>
      <c r="M164" s="26">
        <f>IF($A164="","",SUMIFS(tblIssues[Qty Issued],tblIssues[Lot Number],$B164))</f>
        <v>5000</v>
      </c>
      <c r="N164" s="26">
        <f t="shared" si="12"/>
        <v>-50</v>
      </c>
      <c r="O164" s="26">
        <f t="shared" si="13"/>
        <v>2450</v>
      </c>
      <c r="P164" s="21">
        <f t="shared" si="14"/>
        <v>134.75</v>
      </c>
      <c r="Q164" s="52" t="str">
        <f ca="1">IF($A164="","",IF($O164&lt;=0,"Depleted",IF($I164&lt;0,"EXPIRED",IF($I164&lt;=Settings!$C$6,"CRITICAL",IF($I164&lt;=Settings!$C$5,"Expiring","In date")))))</f>
        <v>Expiring</v>
      </c>
    </row>
    <row r="165" spans="1:17" x14ac:dyDescent="0.35">
      <c r="A165" s="90" t="str">
        <f>IF(Receipts!$D165="","",Receipts!$D165)</f>
        <v>Gloves - Large</v>
      </c>
      <c r="B165" s="18" t="str">
        <f>IF(Receipts!$C165="","",Receipts!$C165)</f>
        <v>ZIM512142081</v>
      </c>
      <c r="C165" s="18" t="str">
        <f>IF($A165="","",IFERROR(INDEX(Items!$B$5:$B$597,MATCH($A165,Items!$A$5:$A$597,0)),""))</f>
        <v>Gloves</v>
      </c>
      <c r="D165" s="23">
        <f>IF($A165="","",N(Receipts!$G165))</f>
        <v>5000</v>
      </c>
      <c r="E165" s="20">
        <f>IF($A165="","",IFERROR(INDEX(Items!$D$5:$D$597,MATCH($A165,Items!$A$5:$A$597,0)),0))</f>
        <v>5.5E-2</v>
      </c>
      <c r="F165" s="21">
        <f t="shared" si="10"/>
        <v>275</v>
      </c>
      <c r="G165" s="25">
        <f>IF(Receipts!$I165="","",Receipts!$I165)</f>
        <v>46181</v>
      </c>
      <c r="H165" s="25">
        <f>IF(Receipts!$H165="","",Receipts!$H165)</f>
        <v>46364</v>
      </c>
      <c r="I165" s="26">
        <f t="shared" ca="1" si="11"/>
        <v>126</v>
      </c>
      <c r="J165" s="26">
        <f>IF($A165="","",COUNTIFS(tblReceipts[Item Name],$A165,tblReceipts[Expiry Date],"&lt;"&amp;$H165)+COUNTIFS(tblReceipts[Item Name],$A165,tblReceipts[Expiry Date],$H165,tblReceipts[Lot Number],"&lt;="&amp;Receipts!$C165))</f>
        <v>26</v>
      </c>
      <c r="K165" s="26">
        <f>IF($A165="","",SUMIFS(tblReceipts[Qty Received],tblReceipts[Item Name],$A165,tblReceipts[Expiry Date],"&lt;"&amp;$H165)+SUMIFS(tblReceipts[Qty Received],tblReceipts[Item Name],$A165,tblReceipts[Expiry Date],$H165,tblReceipts[Lot Number],"&lt;"&amp;Receipts!$C165))</f>
        <v>49750</v>
      </c>
      <c r="L165" s="26">
        <f>IF($A165="","",MIN($D165,MAX(0,SUMIFS(tblIssues[Qty Issued],tblIssues[Item Name],$A165)-$K165)))</f>
        <v>2250</v>
      </c>
      <c r="M165" s="26">
        <f>IF($A165="","",SUMIFS(tblIssues[Qty Issued],tblIssues[Lot Number],$B165))</f>
        <v>2000</v>
      </c>
      <c r="N165" s="26">
        <f t="shared" si="12"/>
        <v>-250</v>
      </c>
      <c r="O165" s="26">
        <f t="shared" si="13"/>
        <v>2750</v>
      </c>
      <c r="P165" s="21">
        <f t="shared" si="14"/>
        <v>151.25</v>
      </c>
      <c r="Q165" s="52" t="str">
        <f ca="1">IF($A165="","",IF($O165&lt;=0,"Depleted",IF($I165&lt;0,"EXPIRED",IF($I165&lt;=Settings!$C$6,"CRITICAL",IF($I165&lt;=Settings!$C$5,"Expiring","In date")))))</f>
        <v>Expiring</v>
      </c>
    </row>
    <row r="166" spans="1:17" x14ac:dyDescent="0.35">
      <c r="A166" s="90" t="str">
        <f>IF(Receipts!$D166="","",Receipts!$D166)</f>
        <v>Gloves - Medium</v>
      </c>
      <c r="B166" s="18" t="str">
        <f>IF(Receipts!$C166="","",Receipts!$C166)</f>
        <v>O310LIC25</v>
      </c>
      <c r="C166" s="18" t="str">
        <f>IF($A166="","",IFERROR(INDEX(Items!$B$5:$B$597,MATCH($A166,Items!$A$5:$A$597,0)),""))</f>
        <v>Gloves</v>
      </c>
      <c r="D166" s="23">
        <f>IF($A166="","",N(Receipts!$G166))</f>
        <v>5000</v>
      </c>
      <c r="E166" s="20">
        <f>IF($A166="","",IFERROR(INDEX(Items!$D$5:$D$597,MATCH($A166,Items!$A$5:$A$597,0)),0))</f>
        <v>5.5E-2</v>
      </c>
      <c r="F166" s="21">
        <f t="shared" si="10"/>
        <v>275</v>
      </c>
      <c r="G166" s="25">
        <f>IF(Receipts!$I166="","",Receipts!$I166)</f>
        <v>46181</v>
      </c>
      <c r="H166" s="25">
        <f>IF(Receipts!$H166="","",Receipts!$H166)</f>
        <v>46364</v>
      </c>
      <c r="I166" s="26">
        <f t="shared" ca="1" si="11"/>
        <v>126</v>
      </c>
      <c r="J166" s="26">
        <f>IF($A166="","",COUNTIFS(tblReceipts[Item Name],$A166,tblReceipts[Expiry Date],"&lt;"&amp;$H166)+COUNTIFS(tblReceipts[Item Name],$A166,tblReceipts[Expiry Date],$H166,tblReceipts[Lot Number],"&lt;="&amp;Receipts!$C166))</f>
        <v>30</v>
      </c>
      <c r="K166" s="26">
        <f>IF($A166="","",SUMIFS(tblReceipts[Qty Received],tblReceipts[Item Name],$A166,tblReceipts[Expiry Date],"&lt;"&amp;$H166)+SUMIFS(tblReceipts[Qty Received],tblReceipts[Item Name],$A166,tblReceipts[Expiry Date],$H166,tblReceipts[Lot Number],"&lt;"&amp;Receipts!$C166))</f>
        <v>72200</v>
      </c>
      <c r="L166" s="26">
        <f>IF($A166="","",MIN($D166,MAX(0,SUMIFS(tblIssues[Qty Issued],tblIssues[Item Name],$A166)-$K166)))</f>
        <v>5000</v>
      </c>
      <c r="M166" s="26">
        <f>IF($A166="","",SUMIFS(tblIssues[Qty Issued],tblIssues[Lot Number],$B166))</f>
        <v>5000</v>
      </c>
      <c r="N166" s="26">
        <f t="shared" si="12"/>
        <v>0</v>
      </c>
      <c r="O166" s="26">
        <f t="shared" si="13"/>
        <v>0</v>
      </c>
      <c r="P166" s="21">
        <f t="shared" si="14"/>
        <v>0</v>
      </c>
      <c r="Q166" s="52" t="str">
        <f>IF($A166="","",IF($O166&lt;=0,"Depleted",IF($I166&lt;0,"EXPIRED",IF($I166&lt;=Settings!$C$6,"CRITICAL",IF($I166&lt;=Settings!$C$5,"Expiring","In date")))))</f>
        <v>Depleted</v>
      </c>
    </row>
    <row r="167" spans="1:17" x14ac:dyDescent="0.35">
      <c r="A167" s="90" t="str">
        <f>IF(Receipts!$D167="","",Receipts!$D167)</f>
        <v>Gloves - Small</v>
      </c>
      <c r="B167" s="18" t="str">
        <f>IF(Receipts!$C167="","",Receipts!$C167)</f>
        <v>ZIM510137942</v>
      </c>
      <c r="C167" s="18" t="str">
        <f>IF($A167="","",IFERROR(INDEX(Items!$B$5:$B$597,MATCH($A167,Items!$A$5:$A$597,0)),""))</f>
        <v>Gloves</v>
      </c>
      <c r="D167" s="23">
        <f>IF($A167="","",N(Receipts!$G167))</f>
        <v>2700</v>
      </c>
      <c r="E167" s="20">
        <f>IF($A167="","",IFERROR(INDEX(Items!$D$5:$D$597,MATCH($A167,Items!$A$5:$A$597,0)),0))</f>
        <v>5.5E-2</v>
      </c>
      <c r="F167" s="21">
        <f t="shared" si="10"/>
        <v>148.5</v>
      </c>
      <c r="G167" s="25">
        <f>IF(Receipts!$I167="","",Receipts!$I167)</f>
        <v>46181</v>
      </c>
      <c r="H167" s="25">
        <f>IF(Receipts!$H167="","",Receipts!$H167)</f>
        <v>46364</v>
      </c>
      <c r="I167" s="26">
        <f t="shared" ca="1" si="11"/>
        <v>126</v>
      </c>
      <c r="J167" s="26">
        <f>IF($A167="","",COUNTIFS(tblReceipts[Item Name],$A167,tblReceipts[Expiry Date],"&lt;"&amp;$H167)+COUNTIFS(tblReceipts[Item Name],$A167,tblReceipts[Expiry Date],$H167,tblReceipts[Lot Number],"&lt;="&amp;Receipts!$C167))</f>
        <v>25</v>
      </c>
      <c r="K167" s="26">
        <f>IF($A167="","",SUMIFS(tblReceipts[Qty Received],tblReceipts[Item Name],$A167,tblReceipts[Expiry Date],"&lt;"&amp;$H167)+SUMIFS(tblReceipts[Qty Received],tblReceipts[Item Name],$A167,tblReceipts[Expiry Date],$H167,tblReceipts[Lot Number],"&lt;"&amp;Receipts!$C167))</f>
        <v>47250</v>
      </c>
      <c r="L167" s="26">
        <f>IF($A167="","",MIN($D167,MAX(0,SUMIFS(tblIssues[Qty Issued],tblIssues[Item Name],$A167)-$K167)))</f>
        <v>2700</v>
      </c>
      <c r="M167" s="26">
        <f>IF($A167="","",SUMIFS(tblIssues[Qty Issued],tblIssues[Lot Number],$B167))</f>
        <v>2500</v>
      </c>
      <c r="N167" s="26">
        <f t="shared" si="12"/>
        <v>-200</v>
      </c>
      <c r="O167" s="26">
        <f t="shared" si="13"/>
        <v>0</v>
      </c>
      <c r="P167" s="21">
        <f t="shared" si="14"/>
        <v>0</v>
      </c>
      <c r="Q167" s="52" t="str">
        <f>IF($A167="","",IF($O167&lt;=0,"Depleted",IF($I167&lt;0,"EXPIRED",IF($I167&lt;=Settings!$C$6,"CRITICAL",IF($I167&lt;=Settings!$C$5,"Expiring","In date")))))</f>
        <v>Depleted</v>
      </c>
    </row>
    <row r="168" spans="1:17" x14ac:dyDescent="0.35">
      <c r="A168" s="90" t="str">
        <f>IF(Receipts!$D168="","",Receipts!$D168)</f>
        <v>Gloves - Large</v>
      </c>
      <c r="B168" s="18" t="str">
        <f>IF(Receipts!$C168="","",Receipts!$C168)</f>
        <v>O17103</v>
      </c>
      <c r="C168" s="18" t="str">
        <f>IF($A168="","",IFERROR(INDEX(Items!$B$5:$B$597,MATCH($A168,Items!$A$5:$A$597,0)),""))</f>
        <v>Gloves</v>
      </c>
      <c r="D168" s="23">
        <f>IF($A168="","",N(Receipts!$G168))</f>
        <v>2500</v>
      </c>
      <c r="E168" s="20">
        <f>IF($A168="","",IFERROR(INDEX(Items!$D$5:$D$597,MATCH($A168,Items!$A$5:$A$597,0)),0))</f>
        <v>5.5E-2</v>
      </c>
      <c r="F168" s="21">
        <f t="shared" si="10"/>
        <v>137.5</v>
      </c>
      <c r="G168" s="25">
        <f>IF(Receipts!$I168="","",Receipts!$I168)</f>
        <v>46181</v>
      </c>
      <c r="H168" s="25">
        <f>IF(Receipts!$H168="","",Receipts!$H168)</f>
        <v>46364</v>
      </c>
      <c r="I168" s="26">
        <f t="shared" ca="1" si="11"/>
        <v>126</v>
      </c>
      <c r="J168" s="26">
        <f>IF($A168="","",COUNTIFS(tblReceipts[Item Name],$A168,tblReceipts[Expiry Date],"&lt;"&amp;$H168)+COUNTIFS(tblReceipts[Item Name],$A168,tblReceipts[Expiry Date],$H168,tblReceipts[Lot Number],"&lt;="&amp;Receipts!$C168))</f>
        <v>25</v>
      </c>
      <c r="K168" s="26">
        <f>IF($A168="","",SUMIFS(tblReceipts[Qty Received],tblReceipts[Item Name],$A168,tblReceipts[Expiry Date],"&lt;"&amp;$H168)+SUMIFS(tblReceipts[Qty Received],tblReceipts[Item Name],$A168,tblReceipts[Expiry Date],$H168,tblReceipts[Lot Number],"&lt;"&amp;Receipts!$C168))</f>
        <v>47250</v>
      </c>
      <c r="L168" s="26">
        <f>IF($A168="","",MIN($D168,MAX(0,SUMIFS(tblIssues[Qty Issued],tblIssues[Item Name],$A168)-$K168)))</f>
        <v>2500</v>
      </c>
      <c r="M168" s="26">
        <f>IF($A168="","",SUMIFS(tblIssues[Qty Issued],tblIssues[Lot Number],$B168))</f>
        <v>2500</v>
      </c>
      <c r="N168" s="26">
        <f t="shared" si="12"/>
        <v>0</v>
      </c>
      <c r="O168" s="26">
        <f t="shared" si="13"/>
        <v>0</v>
      </c>
      <c r="P168" s="21">
        <f t="shared" si="14"/>
        <v>0</v>
      </c>
      <c r="Q168" s="52" t="str">
        <f>IF($A168="","",IF($O168&lt;=0,"Depleted",IF($I168&lt;0,"EXPIRED",IF($I168&lt;=Settings!$C$6,"CRITICAL",IF($I168&lt;=Settings!$C$5,"Expiring","In date")))))</f>
        <v>Depleted</v>
      </c>
    </row>
    <row r="169" spans="1:17" x14ac:dyDescent="0.35">
      <c r="A169" s="90" t="str">
        <f>IF(Receipts!$D169="","",Receipts!$D169)</f>
        <v>Hand Sanitizer OS</v>
      </c>
      <c r="B169" s="18" t="str">
        <f>IF(Receipts!$C169="","",Receipts!$C169)</f>
        <v>20-21734-5</v>
      </c>
      <c r="C169" s="18" t="str">
        <f>IF($A169="","",IFERROR(INDEX(Items!$B$5:$B$597,MATCH($A169,Items!$A$5:$A$597,0)),""))</f>
        <v>Sanitizer</v>
      </c>
      <c r="D169" s="23">
        <f>IF($A169="","",N(Receipts!$G169))</f>
        <v>36</v>
      </c>
      <c r="E169" s="20">
        <f>IF($A169="","",IFERROR(INDEX(Items!$D$5:$D$597,MATCH($A169,Items!$A$5:$A$597,0)),0))</f>
        <v>1E-4</v>
      </c>
      <c r="F169" s="21">
        <f t="shared" si="10"/>
        <v>3.6000000000000003E-3</v>
      </c>
      <c r="G169" s="25">
        <f>IF(Receipts!$I169="","",Receipts!$I169)</f>
        <v>46181</v>
      </c>
      <c r="H169" s="25">
        <f>IF(Receipts!$H169="","",Receipts!$H169)</f>
        <v>46811</v>
      </c>
      <c r="I169" s="26">
        <f t="shared" ca="1" si="11"/>
        <v>573</v>
      </c>
      <c r="J169" s="26">
        <f>IF($A169="","",COUNTIFS(tblReceipts[Item Name],$A169,tblReceipts[Expiry Date],"&lt;"&amp;$H169)+COUNTIFS(tblReceipts[Item Name],$A169,tblReceipts[Expiry Date],$H169,tblReceipts[Lot Number],"&lt;="&amp;Receipts!$C169))</f>
        <v>6</v>
      </c>
      <c r="K169" s="26">
        <f>IF($A169="","",SUMIFS(tblReceipts[Qty Received],tblReceipts[Item Name],$A169,tblReceipts[Expiry Date],"&lt;"&amp;$H169)+SUMIFS(tblReceipts[Qty Received],tblReceipts[Item Name],$A169,tblReceipts[Expiry Date],$H169,tblReceipts[Lot Number],"&lt;"&amp;Receipts!$C169))</f>
        <v>216</v>
      </c>
      <c r="L169" s="26">
        <f>IF($A169="","",MIN($D169,MAX(0,SUMIFS(tblIssues[Qty Issued],tblIssues[Item Name],$A169)-$K169)))</f>
        <v>36</v>
      </c>
      <c r="M169" s="26">
        <f>IF($A169="","",SUMIFS(tblIssues[Qty Issued],tblIssues[Lot Number],$B169))</f>
        <v>36</v>
      </c>
      <c r="N169" s="26">
        <f t="shared" si="12"/>
        <v>0</v>
      </c>
      <c r="O169" s="26">
        <f t="shared" si="13"/>
        <v>0</v>
      </c>
      <c r="P169" s="21">
        <f t="shared" si="14"/>
        <v>0</v>
      </c>
      <c r="Q169" s="52" t="str">
        <f>IF($A169="","",IF($O169&lt;=0,"Depleted",IF($I169&lt;0,"EXPIRED",IF($I169&lt;=Settings!$C$6,"CRITICAL",IF($I169&lt;=Settings!$C$5,"Expiring","In date")))))</f>
        <v>Depleted</v>
      </c>
    </row>
    <row r="170" spans="1:17" x14ac:dyDescent="0.35">
      <c r="A170" s="90" t="str">
        <f>IF(Receipts!$D170="","",Receipts!$D170)</f>
        <v>Gloves - Medium</v>
      </c>
      <c r="B170" s="18" t="str">
        <f>IF(Receipts!$C170="","",Receipts!$C170)</f>
        <v>ZIM604151579</v>
      </c>
      <c r="C170" s="18" t="str">
        <f>IF($A170="","",IFERROR(INDEX(Items!$B$5:$B$597,MATCH($A170,Items!$A$5:$A$597,0)),""))</f>
        <v>Gloves</v>
      </c>
      <c r="D170" s="23">
        <f>IF($A170="","",N(Receipts!$G170))</f>
        <v>12500</v>
      </c>
      <c r="E170" s="20">
        <f>IF($A170="","",IFERROR(INDEX(Items!$D$5:$D$597,MATCH($A170,Items!$A$5:$A$597,0)),0))</f>
        <v>5.5E-2</v>
      </c>
      <c r="F170" s="21">
        <f t="shared" si="10"/>
        <v>687.5</v>
      </c>
      <c r="G170" s="25">
        <f>IF(Receipts!$I170="","",Receipts!$I170)</f>
        <v>46190</v>
      </c>
      <c r="H170" s="25">
        <f>IF(Receipts!$H170="","",Receipts!$H170)</f>
        <v>46373</v>
      </c>
      <c r="I170" s="26">
        <f t="shared" ca="1" si="11"/>
        <v>135</v>
      </c>
      <c r="J170" s="26">
        <f>IF($A170="","",COUNTIFS(tblReceipts[Item Name],$A170,tblReceipts[Expiry Date],"&lt;"&amp;$H170)+COUNTIFS(tblReceipts[Item Name],$A170,tblReceipts[Expiry Date],$H170,tblReceipts[Lot Number],"&lt;="&amp;Receipts!$C170))</f>
        <v>33</v>
      </c>
      <c r="K170" s="26">
        <f>IF($A170="","",SUMIFS(tblReceipts[Qty Received],tblReceipts[Item Name],$A170,tblReceipts[Expiry Date],"&lt;"&amp;$H170)+SUMIFS(tblReceipts[Qty Received],tblReceipts[Item Name],$A170,tblReceipts[Expiry Date],$H170,tblReceipts[Lot Number],"&lt;"&amp;Receipts!$C170))</f>
        <v>97200</v>
      </c>
      <c r="L170" s="26">
        <f>IF($A170="","",MIN($D170,MAX(0,SUMIFS(tblIssues[Qty Issued],tblIssues[Item Name],$A170)-$K170)))</f>
        <v>12500</v>
      </c>
      <c r="M170" s="26">
        <f>IF($A170="","",SUMIFS(tblIssues[Qty Issued],tblIssues[Lot Number],$B170))</f>
        <v>12500</v>
      </c>
      <c r="N170" s="26">
        <f t="shared" si="12"/>
        <v>0</v>
      </c>
      <c r="O170" s="26">
        <f t="shared" si="13"/>
        <v>0</v>
      </c>
      <c r="P170" s="21">
        <f t="shared" si="14"/>
        <v>0</v>
      </c>
      <c r="Q170" s="52" t="str">
        <f>IF($A170="","",IF($O170&lt;=0,"Depleted",IF($I170&lt;0,"EXPIRED",IF($I170&lt;=Settings!$C$6,"CRITICAL",IF($I170&lt;=Settings!$C$5,"Expiring","In date")))))</f>
        <v>Depleted</v>
      </c>
    </row>
    <row r="171" spans="1:17" x14ac:dyDescent="0.35">
      <c r="A171" s="90" t="str">
        <f>IF(Receipts!$D171="","",Receipts!$D171)</f>
        <v>Gloves - Small</v>
      </c>
      <c r="B171" s="18" t="str">
        <f>IF(Receipts!$C171="","",Receipts!$C171)</f>
        <v>ZIM604151579-S</v>
      </c>
      <c r="C171" s="18" t="str">
        <f>IF($A171="","",IFERROR(INDEX(Items!$B$5:$B$597,MATCH($A171,Items!$A$5:$A$597,0)),""))</f>
        <v>Gloves</v>
      </c>
      <c r="D171" s="23">
        <f>IF($A171="","",N(Receipts!$G171))</f>
        <v>5000</v>
      </c>
      <c r="E171" s="20">
        <f>IF($A171="","",IFERROR(INDEX(Items!$D$5:$D$597,MATCH($A171,Items!$A$5:$A$597,0)),0))</f>
        <v>5.5E-2</v>
      </c>
      <c r="F171" s="21">
        <f t="shared" si="10"/>
        <v>275</v>
      </c>
      <c r="G171" s="25">
        <f>IF(Receipts!$I171="","",Receipts!$I171)</f>
        <v>46190</v>
      </c>
      <c r="H171" s="25">
        <f>IF(Receipts!$H171="","",Receipts!$H171)</f>
        <v>46373</v>
      </c>
      <c r="I171" s="26">
        <f t="shared" ca="1" si="11"/>
        <v>135</v>
      </c>
      <c r="J171" s="26">
        <f>IF($A171="","",COUNTIFS(tblReceipts[Item Name],$A171,tblReceipts[Expiry Date],"&lt;"&amp;$H171)+COUNTIFS(tblReceipts[Item Name],$A171,tblReceipts[Expiry Date],$H171,tblReceipts[Lot Number],"&lt;="&amp;Receipts!$C171))</f>
        <v>28</v>
      </c>
      <c r="K171" s="26">
        <f>IF($A171="","",SUMIFS(tblReceipts[Qty Received],tblReceipts[Item Name],$A171,tblReceipts[Expiry Date],"&lt;"&amp;$H171)+SUMIFS(tblReceipts[Qty Received],tblReceipts[Item Name],$A171,tblReceipts[Expiry Date],$H171,tblReceipts[Lot Number],"&lt;"&amp;Receipts!$C171))</f>
        <v>59950</v>
      </c>
      <c r="L171" s="26">
        <f>IF($A171="","",MIN($D171,MAX(0,SUMIFS(tblIssues[Qty Issued],tblIssues[Item Name],$A171)-$K171)))</f>
        <v>0</v>
      </c>
      <c r="M171" s="26">
        <f>IF($A171="","",SUMIFS(tblIssues[Qty Issued],tblIssues[Lot Number],$B171))</f>
        <v>0</v>
      </c>
      <c r="N171" s="26">
        <f t="shared" si="12"/>
        <v>0</v>
      </c>
      <c r="O171" s="26">
        <f t="shared" si="13"/>
        <v>5000</v>
      </c>
      <c r="P171" s="21">
        <f t="shared" si="14"/>
        <v>275</v>
      </c>
      <c r="Q171" s="52" t="str">
        <f ca="1">IF($A171="","",IF($O171&lt;=0,"Depleted",IF($I171&lt;0,"EXPIRED",IF($I171&lt;=Settings!$C$6,"CRITICAL",IF($I171&lt;=Settings!$C$5,"Expiring","In date")))))</f>
        <v>Expiring</v>
      </c>
    </row>
    <row r="172" spans="1:17" x14ac:dyDescent="0.35">
      <c r="A172" s="90" t="str">
        <f>IF(Receipts!$D172="","",Receipts!$D172)</f>
        <v>Gloves - Large</v>
      </c>
      <c r="B172" s="18" t="str">
        <f>IF(Receipts!$C172="","",Receipts!$C172)</f>
        <v>ZIM512142081-1</v>
      </c>
      <c r="C172" s="18" t="str">
        <f>IF($A172="","",IFERROR(INDEX(Items!$B$5:$B$597,MATCH($A172,Items!$A$5:$A$597,0)),""))</f>
        <v>Gloves</v>
      </c>
      <c r="D172" s="23">
        <f>IF($A172="","",N(Receipts!$G172))</f>
        <v>5000</v>
      </c>
      <c r="E172" s="20">
        <f>IF($A172="","",IFERROR(INDEX(Items!$D$5:$D$597,MATCH($A172,Items!$A$5:$A$597,0)),0))</f>
        <v>5.5E-2</v>
      </c>
      <c r="F172" s="21">
        <f t="shared" si="10"/>
        <v>275</v>
      </c>
      <c r="G172" s="25">
        <f>IF(Receipts!$I172="","",Receipts!$I172)</f>
        <v>46190</v>
      </c>
      <c r="H172" s="25">
        <f>IF(Receipts!$H172="","",Receipts!$H172)</f>
        <v>46373</v>
      </c>
      <c r="I172" s="26">
        <f t="shared" ca="1" si="11"/>
        <v>135</v>
      </c>
      <c r="J172" s="26">
        <f>IF($A172="","",COUNTIFS(tblReceipts[Item Name],$A172,tblReceipts[Expiry Date],"&lt;"&amp;$H172)+COUNTIFS(tblReceipts[Item Name],$A172,tblReceipts[Expiry Date],$H172,tblReceipts[Lot Number],"&lt;="&amp;Receipts!$C172))</f>
        <v>27</v>
      </c>
      <c r="K172" s="26">
        <f>IF($A172="","",SUMIFS(tblReceipts[Qty Received],tblReceipts[Item Name],$A172,tblReceipts[Expiry Date],"&lt;"&amp;$H172)+SUMIFS(tblReceipts[Qty Received],tblReceipts[Item Name],$A172,tblReceipts[Expiry Date],$H172,tblReceipts[Lot Number],"&lt;"&amp;Receipts!$C172))</f>
        <v>54750</v>
      </c>
      <c r="L172" s="26">
        <f>IF($A172="","",MIN($D172,MAX(0,SUMIFS(tblIssues[Qty Issued],tblIssues[Item Name],$A172)-$K172)))</f>
        <v>0</v>
      </c>
      <c r="M172" s="26">
        <f>IF($A172="","",SUMIFS(tblIssues[Qty Issued],tblIssues[Lot Number],$B172))</f>
        <v>0</v>
      </c>
      <c r="N172" s="26">
        <f t="shared" si="12"/>
        <v>0</v>
      </c>
      <c r="O172" s="26">
        <f t="shared" si="13"/>
        <v>5000</v>
      </c>
      <c r="P172" s="21">
        <f t="shared" si="14"/>
        <v>275</v>
      </c>
      <c r="Q172" s="52" t="str">
        <f ca="1">IF($A172="","",IF($O172&lt;=0,"Depleted",IF($I172&lt;0,"EXPIRED",IF($I172&lt;=Settings!$C$6,"CRITICAL",IF($I172&lt;=Settings!$C$5,"Expiring","In date")))))</f>
        <v>Expiring</v>
      </c>
    </row>
    <row r="173" spans="1:17" x14ac:dyDescent="0.35">
      <c r="A173" s="90" t="str">
        <f>IF(Receipts!$D173="","",Receipts!$D173)</f>
        <v>Gloves - Medium</v>
      </c>
      <c r="B173" s="18" t="str">
        <f>IF(Receipts!$C173="","",Receipts!$C173)</f>
        <v>ZIM511139896</v>
      </c>
      <c r="C173" s="18" t="str">
        <f>IF($A173="","",IFERROR(INDEX(Items!$B$5:$B$597,MATCH($A173,Items!$A$5:$A$597,0)),""))</f>
        <v>Gloves</v>
      </c>
      <c r="D173" s="23">
        <f>IF($A173="","",N(Receipts!$G173))</f>
        <v>2500</v>
      </c>
      <c r="E173" s="20">
        <f>IF($A173="","",IFERROR(INDEX(Items!$D$5:$D$597,MATCH($A173,Items!$A$5:$A$597,0)),0))</f>
        <v>5.5E-2</v>
      </c>
      <c r="F173" s="21">
        <f t="shared" si="10"/>
        <v>137.5</v>
      </c>
      <c r="G173" s="25">
        <f>IF(Receipts!$I173="","",Receipts!$I173)</f>
        <v>46191</v>
      </c>
      <c r="H173" s="25">
        <f>IF(Receipts!$H173="","",Receipts!$H173)</f>
        <v>46374</v>
      </c>
      <c r="I173" s="26">
        <f t="shared" ca="1" si="11"/>
        <v>136</v>
      </c>
      <c r="J173" s="26">
        <f>IF($A173="","",COUNTIFS(tblReceipts[Item Name],$A173,tblReceipts[Expiry Date],"&lt;"&amp;$H173)+COUNTIFS(tblReceipts[Item Name],$A173,tblReceipts[Expiry Date],$H173,tblReceipts[Lot Number],"&lt;="&amp;Receipts!$C173))</f>
        <v>34</v>
      </c>
      <c r="K173" s="26">
        <f>IF($A173="","",SUMIFS(tblReceipts[Qty Received],tblReceipts[Item Name],$A173,tblReceipts[Expiry Date],"&lt;"&amp;$H173)+SUMIFS(tblReceipts[Qty Received],tblReceipts[Item Name],$A173,tblReceipts[Expiry Date],$H173,tblReceipts[Lot Number],"&lt;"&amp;Receipts!$C173))</f>
        <v>109700</v>
      </c>
      <c r="L173" s="26">
        <f>IF($A173="","",MIN($D173,MAX(0,SUMIFS(tblIssues[Qty Issued],tblIssues[Item Name],$A173)-$K173)))</f>
        <v>2500</v>
      </c>
      <c r="M173" s="26">
        <f>IF($A173="","",SUMIFS(tblIssues[Qty Issued],tblIssues[Lot Number],$B173))</f>
        <v>2500</v>
      </c>
      <c r="N173" s="26">
        <f t="shared" si="12"/>
        <v>0</v>
      </c>
      <c r="O173" s="26">
        <f t="shared" si="13"/>
        <v>0</v>
      </c>
      <c r="P173" s="21">
        <f t="shared" si="14"/>
        <v>0</v>
      </c>
      <c r="Q173" s="52" t="str">
        <f>IF($A173="","",IF($O173&lt;=0,"Depleted",IF($I173&lt;0,"EXPIRED",IF($I173&lt;=Settings!$C$6,"CRITICAL",IF($I173&lt;=Settings!$C$5,"Expiring","In date")))))</f>
        <v>Depleted</v>
      </c>
    </row>
    <row r="174" spans="1:17" x14ac:dyDescent="0.35">
      <c r="A174" s="90" t="str">
        <f>IF(Receipts!$D174="","",Receipts!$D174)</f>
        <v>Disinfectant Wipes OS</v>
      </c>
      <c r="B174" s="18" t="str">
        <f>IF(Receipts!$C174="","",Receipts!$C174)</f>
        <v>22625VXO7</v>
      </c>
      <c r="C174" s="18" t="str">
        <f>IF($A174="","",IFERROR(INDEX(Items!$B$5:$B$597,MATCH($A174,Items!$A$5:$A$597,0)),""))</f>
        <v>Wipes</v>
      </c>
      <c r="D174" s="23">
        <f>IF($A174="","",N(Receipts!$G174))</f>
        <v>1920</v>
      </c>
      <c r="E174" s="20">
        <f>IF($A174="","",IFERROR(INDEX(Items!$D$5:$D$597,MATCH($A174,Items!$A$5:$A$597,0)),0))</f>
        <v>0</v>
      </c>
      <c r="F174" s="21">
        <f t="shared" si="10"/>
        <v>0</v>
      </c>
      <c r="G174" s="25">
        <f>IF(Receipts!$I174="","",Receipts!$I174)</f>
        <v>46191</v>
      </c>
      <c r="H174" s="25">
        <f>IF(Receipts!$H174="","",Receipts!$H174)</f>
        <v>46784</v>
      </c>
      <c r="I174" s="26">
        <f t="shared" ca="1" si="11"/>
        <v>546</v>
      </c>
      <c r="J174" s="26">
        <f>IF($A174="","",COUNTIFS(tblReceipts[Item Name],$A174,tblReceipts[Expiry Date],"&lt;"&amp;$H174)+COUNTIFS(tblReceipts[Item Name],$A174,tblReceipts[Expiry Date],$H174,tblReceipts[Lot Number],"&lt;="&amp;Receipts!$C174))</f>
        <v>1</v>
      </c>
      <c r="K174" s="26">
        <f>IF($A174="","",SUMIFS(tblReceipts[Qty Received],tblReceipts[Item Name],$A174,tblReceipts[Expiry Date],"&lt;"&amp;$H174)+SUMIFS(tblReceipts[Qty Received],tblReceipts[Item Name],$A174,tblReceipts[Expiry Date],$H174,tblReceipts[Lot Number],"&lt;"&amp;Receipts!$C174))</f>
        <v>0</v>
      </c>
      <c r="L174" s="26">
        <f>IF($A174="","",MIN($D174,MAX(0,SUMIFS(tblIssues[Qty Issued],tblIssues[Item Name],$A174)-$K174)))</f>
        <v>1121</v>
      </c>
      <c r="M174" s="26">
        <f>IF($A174="","",SUMIFS(tblIssues[Qty Issued],tblIssues[Lot Number],$B174))</f>
        <v>961</v>
      </c>
      <c r="N174" s="26">
        <f t="shared" si="12"/>
        <v>-160</v>
      </c>
      <c r="O174" s="26">
        <f t="shared" si="13"/>
        <v>799</v>
      </c>
      <c r="P174" s="21">
        <f t="shared" si="14"/>
        <v>0</v>
      </c>
      <c r="Q174" s="52" t="str">
        <f ca="1">IF($A174="","",IF($O174&lt;=0,"Depleted",IF($I174&lt;0,"EXPIRED",IF($I174&lt;=Settings!$C$6,"CRITICAL",IF($I174&lt;=Settings!$C$5,"Expiring","In date")))))</f>
        <v>In date</v>
      </c>
    </row>
    <row r="175" spans="1:17" x14ac:dyDescent="0.35">
      <c r="A175" s="90" t="str">
        <f>IF(Receipts!$D175="","",Receipts!$D175)</f>
        <v>Surgical Masks</v>
      </c>
      <c r="B175" s="18" t="str">
        <f>IF(Receipts!$C175="","",Receipts!$C175)</f>
        <v>102GPC24</v>
      </c>
      <c r="C175" s="18" t="str">
        <f>IF($A175="","",IFERROR(INDEX(Items!$B$5:$B$597,MATCH($A175,Items!$A$5:$A$597,0)),""))</f>
        <v>Masks</v>
      </c>
      <c r="D175" s="23">
        <f>IF($A175="","",N(Receipts!$G175))</f>
        <v>3000</v>
      </c>
      <c r="E175" s="20">
        <f>IF($A175="","",IFERROR(INDEX(Items!$D$5:$D$597,MATCH($A175,Items!$A$5:$A$597,0)),0))</f>
        <v>0.25</v>
      </c>
      <c r="F175" s="21">
        <f t="shared" si="10"/>
        <v>750</v>
      </c>
      <c r="G175" s="25">
        <f>IF(Receipts!$I175="","",Receipts!$I175)</f>
        <v>46191</v>
      </c>
      <c r="H175" s="25">
        <f>IF(Receipts!$H175="","",Receipts!$H175)</f>
        <v>46233</v>
      </c>
      <c r="I175" s="26">
        <f t="shared" ca="1" si="11"/>
        <v>-5</v>
      </c>
      <c r="J175" s="26">
        <f>IF($A175="","",COUNTIFS(tblReceipts[Item Name],$A175,tblReceipts[Expiry Date],"&lt;"&amp;$H175)+COUNTIFS(tblReceipts[Item Name],$A175,tblReceipts[Expiry Date],$H175,tblReceipts[Lot Number],"&lt;="&amp;Receipts!$C175))</f>
        <v>11</v>
      </c>
      <c r="K175" s="26">
        <f>IF($A175="","",SUMIFS(tblReceipts[Qty Received],tblReceipts[Item Name],$A175,tblReceipts[Expiry Date],"&lt;"&amp;$H175)+SUMIFS(tblReceipts[Qty Received],tblReceipts[Item Name],$A175,tblReceipts[Expiry Date],$H175,tblReceipts[Lot Number],"&lt;"&amp;Receipts!$C175))</f>
        <v>8200</v>
      </c>
      <c r="L175" s="26">
        <f>IF($A175="","",MIN($D175,MAX(0,SUMIFS(tblIssues[Qty Issued],tblIssues[Item Name],$A175)-$K175)))</f>
        <v>3000</v>
      </c>
      <c r="M175" s="26">
        <f>IF($A175="","",SUMIFS(tblIssues[Qty Issued],tblIssues[Lot Number],$B175))</f>
        <v>3000</v>
      </c>
      <c r="N175" s="26">
        <f t="shared" si="12"/>
        <v>0</v>
      </c>
      <c r="O175" s="26">
        <f t="shared" si="13"/>
        <v>0</v>
      </c>
      <c r="P175" s="21">
        <f t="shared" si="14"/>
        <v>0</v>
      </c>
      <c r="Q175" s="52" t="str">
        <f>IF($A175="","",IF($O175&lt;=0,"Depleted",IF($I175&lt;0,"EXPIRED",IF($I175&lt;=Settings!$C$6,"CRITICAL",IF($I175&lt;=Settings!$C$5,"Expiring","In date")))))</f>
        <v>Depleted</v>
      </c>
    </row>
    <row r="176" spans="1:17" x14ac:dyDescent="0.35">
      <c r="A176" s="90" t="str">
        <f>IF(Receipts!$D176="","",Receipts!$D176)</f>
        <v>Hand Sanitizer OS</v>
      </c>
      <c r="B176" s="18" t="str">
        <f>IF(Receipts!$C176="","",Receipts!$C176)</f>
        <v>20-21734-6</v>
      </c>
      <c r="C176" s="18" t="str">
        <f>IF($A176="","",IFERROR(INDEX(Items!$B$5:$B$597,MATCH($A176,Items!$A$5:$A$597,0)),""))</f>
        <v>Sanitizer</v>
      </c>
      <c r="D176" s="23">
        <f>IF($A176="","",N(Receipts!$G176))</f>
        <v>36</v>
      </c>
      <c r="E176" s="20">
        <f>IF($A176="","",IFERROR(INDEX(Items!$D$5:$D$597,MATCH($A176,Items!$A$5:$A$597,0)),0))</f>
        <v>1E-4</v>
      </c>
      <c r="F176" s="21">
        <f t="shared" si="10"/>
        <v>3.6000000000000003E-3</v>
      </c>
      <c r="G176" s="25">
        <f>IF(Receipts!$I176="","",Receipts!$I176)</f>
        <v>46191</v>
      </c>
      <c r="H176" s="25">
        <f>IF(Receipts!$H176="","",Receipts!$H176)</f>
        <v>46811</v>
      </c>
      <c r="I176" s="26">
        <f t="shared" ca="1" si="11"/>
        <v>573</v>
      </c>
      <c r="J176" s="26">
        <f>IF($A176="","",COUNTIFS(tblReceipts[Item Name],$A176,tblReceipts[Expiry Date],"&lt;"&amp;$H176)+COUNTIFS(tblReceipts[Item Name],$A176,tblReceipts[Expiry Date],$H176,tblReceipts[Lot Number],"&lt;="&amp;Receipts!$C176))</f>
        <v>8</v>
      </c>
      <c r="K176" s="26">
        <f>IF($A176="","",SUMIFS(tblReceipts[Qty Received],tblReceipts[Item Name],$A176,tblReceipts[Expiry Date],"&lt;"&amp;$H176)+SUMIFS(tblReceipts[Qty Received],tblReceipts[Item Name],$A176,tblReceipts[Expiry Date],$H176,tblReceipts[Lot Number],"&lt;"&amp;Receipts!$C176))</f>
        <v>252</v>
      </c>
      <c r="L176" s="26">
        <f>IF($A176="","",MIN($D176,MAX(0,SUMIFS(tblIssues[Qty Issued],tblIssues[Item Name],$A176)-$K176)))</f>
        <v>13</v>
      </c>
      <c r="M176" s="26">
        <f>IF($A176="","",SUMIFS(tblIssues[Qty Issued],tblIssues[Lot Number],$B176))</f>
        <v>13</v>
      </c>
      <c r="N176" s="26">
        <f t="shared" si="12"/>
        <v>0</v>
      </c>
      <c r="O176" s="26">
        <f t="shared" si="13"/>
        <v>23</v>
      </c>
      <c r="P176" s="21">
        <f t="shared" si="14"/>
        <v>2.3E-3</v>
      </c>
      <c r="Q176" s="52" t="str">
        <f ca="1">IF($A176="","",IF($O176&lt;=0,"Depleted",IF($I176&lt;0,"EXPIRED",IF($I176&lt;=Settings!$C$6,"CRITICAL",IF($I176&lt;=Settings!$C$5,"Expiring","In date")))))</f>
        <v>In date</v>
      </c>
    </row>
    <row r="177" spans="1:17" x14ac:dyDescent="0.35">
      <c r="A177" s="90" t="str">
        <f>IF(Receipts!$D177="","",Receipts!$D177)</f>
        <v>Gloves - Medium</v>
      </c>
      <c r="B177" s="18" t="str">
        <f>IF(Receipts!$C177="","",Receipts!$C177)</f>
        <v>ZIM6044151580</v>
      </c>
      <c r="C177" s="18" t="str">
        <f>IF($A177="","",IFERROR(INDEX(Items!$B$5:$B$597,MATCH($A177,Items!$A$5:$A$597,0)),""))</f>
        <v>Gloves</v>
      </c>
      <c r="D177" s="23">
        <f>IF($A177="","",N(Receipts!$G177))</f>
        <v>10000</v>
      </c>
      <c r="E177" s="20">
        <f>IF($A177="","",IFERROR(INDEX(Items!$D$5:$D$597,MATCH($A177,Items!$A$5:$A$597,0)),0))</f>
        <v>5.5E-2</v>
      </c>
      <c r="F177" s="21">
        <f t="shared" si="10"/>
        <v>550</v>
      </c>
      <c r="G177" s="25">
        <f>IF(Receipts!$I177="","",Receipts!$I177)</f>
        <v>46211</v>
      </c>
      <c r="H177" s="25">
        <f>IF(Receipts!$H177="","",Receipts!$H177)</f>
        <v>46395</v>
      </c>
      <c r="I177" s="26">
        <f t="shared" ca="1" si="11"/>
        <v>157</v>
      </c>
      <c r="J177" s="26">
        <f>IF($A177="","",COUNTIFS(tblReceipts[Item Name],$A177,tblReceipts[Expiry Date],"&lt;"&amp;$H177)+COUNTIFS(tblReceipts[Item Name],$A177,tblReceipts[Expiry Date],$H177,tblReceipts[Lot Number],"&lt;="&amp;Receipts!$C177))</f>
        <v>35</v>
      </c>
      <c r="K177" s="26">
        <f>IF($A177="","",SUMIFS(tblReceipts[Qty Received],tblReceipts[Item Name],$A177,tblReceipts[Expiry Date],"&lt;"&amp;$H177)+SUMIFS(tblReceipts[Qty Received],tblReceipts[Item Name],$A177,tblReceipts[Expiry Date],$H177,tblReceipts[Lot Number],"&lt;"&amp;Receipts!$C177))</f>
        <v>112200</v>
      </c>
      <c r="L177" s="26">
        <f>IF($A177="","",MIN($D177,MAX(0,SUMIFS(tblIssues[Qty Issued],tblIssues[Item Name],$A177)-$K177)))</f>
        <v>4300</v>
      </c>
      <c r="M177" s="26">
        <f>IF($A177="","",SUMIFS(tblIssues[Qty Issued],tblIssues[Lot Number],$B177))</f>
        <v>4000</v>
      </c>
      <c r="N177" s="26">
        <f t="shared" si="12"/>
        <v>-300</v>
      </c>
      <c r="O177" s="26">
        <f t="shared" si="13"/>
        <v>5700</v>
      </c>
      <c r="P177" s="21">
        <f t="shared" si="14"/>
        <v>313.5</v>
      </c>
      <c r="Q177" s="52" t="str">
        <f ca="1">IF($A177="","",IF($O177&lt;=0,"Depleted",IF($I177&lt;0,"EXPIRED",IF($I177&lt;=Settings!$C$6,"CRITICAL",IF($I177&lt;=Settings!$C$5,"Expiring","In date")))))</f>
        <v>Expiring</v>
      </c>
    </row>
    <row r="178" spans="1:17" x14ac:dyDescent="0.35">
      <c r="A178" s="90" t="str">
        <f>IF(Receipts!$D178="","",Receipts!$D178)</f>
        <v>Gloves - Small</v>
      </c>
      <c r="B178" s="18" t="str">
        <f>IF(Receipts!$C178="","",Receipts!$C178)</f>
        <v>ZIM511139904</v>
      </c>
      <c r="C178" s="18" t="str">
        <f>IF($A178="","",IFERROR(INDEX(Items!$B$5:$B$597,MATCH($A178,Items!$A$5:$A$597,0)),""))</f>
        <v>Gloves</v>
      </c>
      <c r="D178" s="23">
        <f>IF($A178="","",N(Receipts!$G178))</f>
        <v>5000</v>
      </c>
      <c r="E178" s="20">
        <f>IF($A178="","",IFERROR(INDEX(Items!$D$5:$D$597,MATCH($A178,Items!$A$5:$A$597,0)),0))</f>
        <v>5.5E-2</v>
      </c>
      <c r="F178" s="21">
        <f t="shared" si="10"/>
        <v>275</v>
      </c>
      <c r="G178" s="25">
        <f>IF(Receipts!$I178="","",Receipts!$I178)</f>
        <v>46211</v>
      </c>
      <c r="H178" s="25">
        <f>IF(Receipts!$H178="","",Receipts!$H178)</f>
        <v>46395</v>
      </c>
      <c r="I178" s="26">
        <f t="shared" ca="1" si="11"/>
        <v>157</v>
      </c>
      <c r="J178" s="26">
        <f>IF($A178="","",COUNTIFS(tblReceipts[Item Name],$A178,tblReceipts[Expiry Date],"&lt;"&amp;$H178)+COUNTIFS(tblReceipts[Item Name],$A178,tblReceipts[Expiry Date],$H178,tblReceipts[Lot Number],"&lt;="&amp;Receipts!$C178))</f>
        <v>29</v>
      </c>
      <c r="K178" s="26">
        <f>IF($A178="","",SUMIFS(tblReceipts[Qty Received],tblReceipts[Item Name],$A178,tblReceipts[Expiry Date],"&lt;"&amp;$H178)+SUMIFS(tblReceipts[Qty Received],tblReceipts[Item Name],$A178,tblReceipts[Expiry Date],$H178,tblReceipts[Lot Number],"&lt;"&amp;Receipts!$C178))</f>
        <v>64950</v>
      </c>
      <c r="L178" s="26">
        <f>IF($A178="","",MIN($D178,MAX(0,SUMIFS(tblIssues[Qty Issued],tblIssues[Item Name],$A178)-$K178)))</f>
        <v>0</v>
      </c>
      <c r="M178" s="26">
        <f>IF($A178="","",SUMIFS(tblIssues[Qty Issued],tblIssues[Lot Number],$B178))</f>
        <v>0</v>
      </c>
      <c r="N178" s="26">
        <f t="shared" si="12"/>
        <v>0</v>
      </c>
      <c r="O178" s="26">
        <f t="shared" si="13"/>
        <v>5000</v>
      </c>
      <c r="P178" s="21">
        <f t="shared" si="14"/>
        <v>275</v>
      </c>
      <c r="Q178" s="52" t="str">
        <f ca="1">IF($A178="","",IF($O178&lt;=0,"Depleted",IF($I178&lt;0,"EXPIRED",IF($I178&lt;=Settings!$C$6,"CRITICAL",IF($I178&lt;=Settings!$C$5,"Expiring","In date")))))</f>
        <v>Expiring</v>
      </c>
    </row>
    <row r="179" spans="1:17" x14ac:dyDescent="0.35">
      <c r="A179" s="90" t="str">
        <f>IF(Receipts!$D179="","",Receipts!$D179)</f>
        <v>Gloves - Large</v>
      </c>
      <c r="B179" s="18" t="str">
        <f>IF(Receipts!$C179="","",Receipts!$C179)</f>
        <v>ZIM512142080</v>
      </c>
      <c r="C179" s="18" t="str">
        <f>IF($A179="","",IFERROR(INDEX(Items!$B$5:$B$597,MATCH($A179,Items!$A$5:$A$597,0)),""))</f>
        <v>Gloves</v>
      </c>
      <c r="D179" s="23">
        <f>IF($A179="","",N(Receipts!$G179))</f>
        <v>5000</v>
      </c>
      <c r="E179" s="20">
        <f>IF($A179="","",IFERROR(INDEX(Items!$D$5:$D$597,MATCH($A179,Items!$A$5:$A$597,0)),0))</f>
        <v>5.5E-2</v>
      </c>
      <c r="F179" s="21">
        <f t="shared" si="10"/>
        <v>275</v>
      </c>
      <c r="G179" s="25">
        <f>IF(Receipts!$I179="","",Receipts!$I179)</f>
        <v>46211</v>
      </c>
      <c r="H179" s="25">
        <f>IF(Receipts!$H179="","",Receipts!$H179)</f>
        <v>46395</v>
      </c>
      <c r="I179" s="26">
        <f t="shared" ca="1" si="11"/>
        <v>157</v>
      </c>
      <c r="J179" s="26">
        <f>IF($A179="","",COUNTIFS(tblReceipts[Item Name],$A179,tblReceipts[Expiry Date],"&lt;"&amp;$H179)+COUNTIFS(tblReceipts[Item Name],$A179,tblReceipts[Expiry Date],$H179,tblReceipts[Lot Number],"&lt;="&amp;Receipts!$C179))</f>
        <v>28</v>
      </c>
      <c r="K179" s="26">
        <f>IF($A179="","",SUMIFS(tblReceipts[Qty Received],tblReceipts[Item Name],$A179,tblReceipts[Expiry Date],"&lt;"&amp;$H179)+SUMIFS(tblReceipts[Qty Received],tblReceipts[Item Name],$A179,tblReceipts[Expiry Date],$H179,tblReceipts[Lot Number],"&lt;"&amp;Receipts!$C179))</f>
        <v>59750</v>
      </c>
      <c r="L179" s="26">
        <f>IF($A179="","",MIN($D179,MAX(0,SUMIFS(tblIssues[Qty Issued],tblIssues[Item Name],$A179)-$K179)))</f>
        <v>0</v>
      </c>
      <c r="M179" s="26">
        <f>IF($A179="","",SUMIFS(tblIssues[Qty Issued],tblIssues[Lot Number],$B179))</f>
        <v>0</v>
      </c>
      <c r="N179" s="26">
        <f t="shared" si="12"/>
        <v>0</v>
      </c>
      <c r="O179" s="26">
        <f t="shared" si="13"/>
        <v>5000</v>
      </c>
      <c r="P179" s="21">
        <f t="shared" si="14"/>
        <v>275</v>
      </c>
      <c r="Q179" s="52" t="str">
        <f ca="1">IF($A179="","",IF($O179&lt;=0,"Depleted",IF($I179&lt;0,"EXPIRED",IF($I179&lt;=Settings!$C$6,"CRITICAL",IF($I179&lt;=Settings!$C$5,"Expiring","In date")))))</f>
        <v>Expiring</v>
      </c>
    </row>
    <row r="180" spans="1:17" x14ac:dyDescent="0.35">
      <c r="A180" s="90" t="str">
        <f>IF(Receipts!$D180="","",Receipts!$D180)</f>
        <v>Gloves - Large</v>
      </c>
      <c r="B180" s="18" t="str">
        <f>IF(Receipts!$C180="","",Receipts!$C180)</f>
        <v>ZIM511142081-L</v>
      </c>
      <c r="C180" s="18" t="str">
        <f>IF($A180="","",IFERROR(INDEX(Items!$B$5:$B$597,MATCH($A180,Items!$A$5:$A$597,0)),""))</f>
        <v>Gloves</v>
      </c>
      <c r="D180" s="23">
        <f>IF($A180="","",N(Receipts!$G180))</f>
        <v>5000</v>
      </c>
      <c r="E180" s="20">
        <f>IF($A180="","",IFERROR(INDEX(Items!$D$5:$D$597,MATCH($A180,Items!$A$5:$A$597,0)),0))</f>
        <v>5.5E-2</v>
      </c>
      <c r="F180" s="21">
        <f t="shared" si="10"/>
        <v>275</v>
      </c>
      <c r="G180" s="25">
        <f>IF(Receipts!$I180="","",Receipts!$I180)</f>
        <v>46220</v>
      </c>
      <c r="H180" s="25">
        <f>IF(Receipts!$H180="","",Receipts!$H180)</f>
        <v>46404</v>
      </c>
      <c r="I180" s="26">
        <f t="shared" ca="1" si="11"/>
        <v>166</v>
      </c>
      <c r="J180" s="26">
        <f>IF($A180="","",COUNTIFS(tblReceipts[Item Name],$A180,tblReceipts[Expiry Date],"&lt;"&amp;$H180)+COUNTIFS(tblReceipts[Item Name],$A180,tblReceipts[Expiry Date],$H180,tblReceipts[Lot Number],"&lt;="&amp;Receipts!$C180))</f>
        <v>29</v>
      </c>
      <c r="K180" s="26">
        <f>IF($A180="","",SUMIFS(tblReceipts[Qty Received],tblReceipts[Item Name],$A180,tblReceipts[Expiry Date],"&lt;"&amp;$H180)+SUMIFS(tblReceipts[Qty Received],tblReceipts[Item Name],$A180,tblReceipts[Expiry Date],$H180,tblReceipts[Lot Number],"&lt;"&amp;Receipts!$C180))</f>
        <v>64750</v>
      </c>
      <c r="L180" s="26">
        <f>IF($A180="","",MIN($D180,MAX(0,SUMIFS(tblIssues[Qty Issued],tblIssues[Item Name],$A180)-$K180)))</f>
        <v>0</v>
      </c>
      <c r="M180" s="26">
        <f>IF($A180="","",SUMIFS(tblIssues[Qty Issued],tblIssues[Lot Number],$B180))</f>
        <v>0</v>
      </c>
      <c r="N180" s="26">
        <f t="shared" si="12"/>
        <v>0</v>
      </c>
      <c r="O180" s="26">
        <f t="shared" si="13"/>
        <v>5000</v>
      </c>
      <c r="P180" s="21">
        <f t="shared" si="14"/>
        <v>275</v>
      </c>
      <c r="Q180" s="52" t="str">
        <f ca="1">IF($A180="","",IF($O180&lt;=0,"Depleted",IF($I180&lt;0,"EXPIRED",IF($I180&lt;=Settings!$C$6,"CRITICAL",IF($I180&lt;=Settings!$C$5,"Expiring","In date")))))</f>
        <v>Expiring</v>
      </c>
    </row>
    <row r="181" spans="1:17" x14ac:dyDescent="0.35">
      <c r="A181" s="90" t="str">
        <f>IF(Receipts!$D181="","",Receipts!$D181)</f>
        <v>Gloves - Small</v>
      </c>
      <c r="B181" s="18" t="str">
        <f>IF(Receipts!$C181="","",Receipts!$C181)</f>
        <v>ZIM604151579-S-2</v>
      </c>
      <c r="C181" s="18" t="str">
        <f>IF($A181="","",IFERROR(INDEX(Items!$B$5:$B$597,MATCH($A181,Items!$A$5:$A$597,0)),""))</f>
        <v>Gloves</v>
      </c>
      <c r="D181" s="23">
        <f>IF($A181="","",N(Receipts!$G181))</f>
        <v>5000</v>
      </c>
      <c r="E181" s="20">
        <f>IF($A181="","",IFERROR(INDEX(Items!$D$5:$D$597,MATCH($A181,Items!$A$5:$A$597,0)),0))</f>
        <v>5.5E-2</v>
      </c>
      <c r="F181" s="21">
        <f t="shared" si="10"/>
        <v>275</v>
      </c>
      <c r="G181" s="25">
        <f>IF(Receipts!$I181="","",Receipts!$I181)</f>
        <v>46220</v>
      </c>
      <c r="H181" s="25">
        <f>IF(Receipts!$H181="","",Receipts!$H181)</f>
        <v>46404</v>
      </c>
      <c r="I181" s="26">
        <f t="shared" ca="1" si="11"/>
        <v>166</v>
      </c>
      <c r="J181" s="26">
        <f>IF($A181="","",COUNTIFS(tblReceipts[Item Name],$A181,tblReceipts[Expiry Date],"&lt;"&amp;$H181)+COUNTIFS(tblReceipts[Item Name],$A181,tblReceipts[Expiry Date],$H181,tblReceipts[Lot Number],"&lt;="&amp;Receipts!$C181))</f>
        <v>30</v>
      </c>
      <c r="K181" s="26">
        <f>IF($A181="","",SUMIFS(tblReceipts[Qty Received],tblReceipts[Item Name],$A181,tblReceipts[Expiry Date],"&lt;"&amp;$H181)+SUMIFS(tblReceipts[Qty Received],tblReceipts[Item Name],$A181,tblReceipts[Expiry Date],$H181,tblReceipts[Lot Number],"&lt;"&amp;Receipts!$C181))</f>
        <v>69950</v>
      </c>
      <c r="L181" s="26">
        <f>IF($A181="","",MIN($D181,MAX(0,SUMIFS(tblIssues[Qty Issued],tblIssues[Item Name],$A181)-$K181)))</f>
        <v>0</v>
      </c>
      <c r="M181" s="26">
        <f>IF($A181="","",SUMIFS(tblIssues[Qty Issued],tblIssues[Lot Number],$B181))</f>
        <v>0</v>
      </c>
      <c r="N181" s="26">
        <f t="shared" si="12"/>
        <v>0</v>
      </c>
      <c r="O181" s="26">
        <f t="shared" si="13"/>
        <v>5000</v>
      </c>
      <c r="P181" s="21">
        <f t="shared" si="14"/>
        <v>275</v>
      </c>
      <c r="Q181" s="52" t="str">
        <f ca="1">IF($A181="","",IF($O181&lt;=0,"Depleted",IF($I181&lt;0,"EXPIRED",IF($I181&lt;=Settings!$C$6,"CRITICAL",IF($I181&lt;=Settings!$C$5,"Expiring","In date")))))</f>
        <v>Expiring</v>
      </c>
    </row>
    <row r="182" spans="1:17" x14ac:dyDescent="0.35">
      <c r="A182" s="90" t="str">
        <f>IF(Receipts!$D182="","",Receipts!$D182)</f>
        <v>Hand Sanitizer OS</v>
      </c>
      <c r="B182" s="18" t="str">
        <f>IF(Receipts!$C182="","",Receipts!$C182)</f>
        <v>20-21734-6</v>
      </c>
      <c r="C182" s="18" t="str">
        <f>IF($A182="","",IFERROR(INDEX(Items!$B$5:$B$597,MATCH($A182,Items!$A$5:$A$597,0)),""))</f>
        <v>Sanitizer</v>
      </c>
      <c r="D182" s="23">
        <f>IF($A182="","",N(Receipts!$G182))</f>
        <v>36</v>
      </c>
      <c r="E182" s="20">
        <f>IF($A182="","",IFERROR(INDEX(Items!$D$5:$D$597,MATCH($A182,Items!$A$5:$A$597,0)),0))</f>
        <v>1E-4</v>
      </c>
      <c r="F182" s="21">
        <f t="shared" si="10"/>
        <v>3.6000000000000003E-3</v>
      </c>
      <c r="G182" s="25">
        <f>IF(Receipts!$I182="","",Receipts!$I182)</f>
        <v>46220</v>
      </c>
      <c r="H182" s="25">
        <f>IF(Receipts!$H182="","",Receipts!$H182)</f>
        <v>46811</v>
      </c>
      <c r="I182" s="26">
        <f t="shared" ca="1" si="11"/>
        <v>573</v>
      </c>
      <c r="J182" s="26">
        <f>IF($A182="","",COUNTIFS(tblReceipts[Item Name],$A182,tblReceipts[Expiry Date],"&lt;"&amp;$H182)+COUNTIFS(tblReceipts[Item Name],$A182,tblReceipts[Expiry Date],$H182,tblReceipts[Lot Number],"&lt;="&amp;Receipts!$C182))</f>
        <v>8</v>
      </c>
      <c r="K182" s="26">
        <f>IF($A182="","",SUMIFS(tblReceipts[Qty Received],tblReceipts[Item Name],$A182,tblReceipts[Expiry Date],"&lt;"&amp;$H182)+SUMIFS(tblReceipts[Qty Received],tblReceipts[Item Name],$A182,tblReceipts[Expiry Date],$H182,tblReceipts[Lot Number],"&lt;"&amp;Receipts!$C182))</f>
        <v>252</v>
      </c>
      <c r="L182" s="26">
        <f>IF($A182="","",MIN($D182,MAX(0,SUMIFS(tblIssues[Qty Issued],tblIssues[Item Name],$A182)-$K182)))</f>
        <v>13</v>
      </c>
      <c r="M182" s="26">
        <f>IF($A182="","",SUMIFS(tblIssues[Qty Issued],tblIssues[Lot Number],$B182))</f>
        <v>13</v>
      </c>
      <c r="N182" s="26">
        <f t="shared" si="12"/>
        <v>0</v>
      </c>
      <c r="O182" s="26">
        <f t="shared" si="13"/>
        <v>23</v>
      </c>
      <c r="P182" s="21">
        <f t="shared" si="14"/>
        <v>2.3E-3</v>
      </c>
      <c r="Q182" s="52" t="str">
        <f ca="1">IF($A182="","",IF($O182&lt;=0,"Depleted",IF($I182&lt;0,"EXPIRED",IF($I182&lt;=Settings!$C$6,"CRITICAL",IF($I182&lt;=Settings!$C$5,"Expiring","In date")))))</f>
        <v>In date</v>
      </c>
    </row>
    <row r="183" spans="1:17" x14ac:dyDescent="0.35">
      <c r="A183" s="90" t="str">
        <f>IF(Receipts!$D183="","",Receipts!$D183)</f>
        <v>Hand Sanitizer 1L OS</v>
      </c>
      <c r="B183" s="18" t="str">
        <f>IF(Receipts!$C183="","",Receipts!$C183)</f>
        <v>HS1L-1</v>
      </c>
      <c r="C183" s="18" t="str">
        <f>IF($A183="","",IFERROR(INDEX(Items!$B$5:$B$597,MATCH($A183,Items!$A$5:$A$597,0)),""))</f>
        <v>PPE</v>
      </c>
      <c r="D183" s="23">
        <f>IF($A183="","",N(Receipts!$G183))</f>
        <v>12</v>
      </c>
      <c r="E183" s="20">
        <f>IF($A183="","",IFERROR(INDEX(Items!$D$5:$D$597,MATCH($A183,Items!$A$5:$A$597,0)),0))</f>
        <v>0</v>
      </c>
      <c r="F183" s="21">
        <f t="shared" si="10"/>
        <v>0</v>
      </c>
      <c r="G183" s="25">
        <f>IF(Receipts!$I183="","",Receipts!$I183)</f>
        <v>46220</v>
      </c>
      <c r="H183" s="25">
        <f>IF(Receipts!$H183="","",Receipts!$H183)</f>
        <v>46811</v>
      </c>
      <c r="I183" s="26">
        <f t="shared" ca="1" si="11"/>
        <v>573</v>
      </c>
      <c r="J183" s="26">
        <f>IF($A183="","",COUNTIFS(tblReceipts[Item Name],$A183,tblReceipts[Expiry Date],"&lt;"&amp;$H183)+COUNTIFS(tblReceipts[Item Name],$A183,tblReceipts[Expiry Date],$H183,tblReceipts[Lot Number],"&lt;="&amp;Receipts!$C183))</f>
        <v>1</v>
      </c>
      <c r="K183" s="26">
        <f>IF($A183="","",SUMIFS(tblReceipts[Qty Received],tblReceipts[Item Name],$A183,tblReceipts[Expiry Date],"&lt;"&amp;$H183)+SUMIFS(tblReceipts[Qty Received],tblReceipts[Item Name],$A183,tblReceipts[Expiry Date],$H183,tblReceipts[Lot Number],"&lt;"&amp;Receipts!$C183))</f>
        <v>0</v>
      </c>
      <c r="L183" s="26">
        <f>IF($A183="","",MIN($D183,MAX(0,SUMIFS(tblIssues[Qty Issued],tblIssues[Item Name],$A183)-$K183)))</f>
        <v>0</v>
      </c>
      <c r="M183" s="26">
        <f>IF($A183="","",SUMIFS(tblIssues[Qty Issued],tblIssues[Lot Number],$B183))</f>
        <v>0</v>
      </c>
      <c r="N183" s="26">
        <f t="shared" si="12"/>
        <v>0</v>
      </c>
      <c r="O183" s="26">
        <f t="shared" si="13"/>
        <v>12</v>
      </c>
      <c r="P183" s="21">
        <f t="shared" si="14"/>
        <v>0</v>
      </c>
      <c r="Q183" s="52" t="str">
        <f ca="1">IF($A183="","",IF($O183&lt;=0,"Depleted",IF($I183&lt;0,"EXPIRED",IF($I183&lt;=Settings!$C$6,"CRITICAL",IF($I183&lt;=Settings!$C$5,"Expiring","In date")))))</f>
        <v>In date</v>
      </c>
    </row>
    <row r="184" spans="1:17" x14ac:dyDescent="0.35">
      <c r="A184" s="90" t="str">
        <f>IF(Receipts!$D184="","",Receipts!$D184)</f>
        <v>Disinfectant Wipes 180 OS</v>
      </c>
      <c r="B184" s="18">
        <f>IF(Receipts!$C184="","",Receipts!$C184)</f>
        <v>2510611</v>
      </c>
      <c r="C184" s="18" t="str">
        <f>IF($A184="","",IFERROR(INDEX(Items!$B$5:$B$597,MATCH($A184,Items!$A$5:$A$597,0)),""))</f>
        <v>Wipes</v>
      </c>
      <c r="D184" s="23">
        <f>IF($A184="","",N(Receipts!$G184))</f>
        <v>2160</v>
      </c>
      <c r="E184" s="20">
        <f>IF($A184="","",IFERROR(INDEX(Items!$D$5:$D$597,MATCH($A184,Items!$A$5:$A$597,0)),0))</f>
        <v>0</v>
      </c>
      <c r="F184" s="21">
        <f t="shared" si="10"/>
        <v>0</v>
      </c>
      <c r="G184" s="25">
        <f>IF(Receipts!$I184="","",Receipts!$I184)</f>
        <v>46220</v>
      </c>
      <c r="H184" s="25">
        <f>IF(Receipts!$H184="","",Receipts!$H184)</f>
        <v>46555</v>
      </c>
      <c r="I184" s="26">
        <f t="shared" ca="1" si="11"/>
        <v>317</v>
      </c>
      <c r="J184" s="26">
        <f>IF($A184="","",COUNTIFS(tblReceipts[Item Name],$A184,tblReceipts[Expiry Date],"&lt;"&amp;$H184)+COUNTIFS(tblReceipts[Item Name],$A184,tblReceipts[Expiry Date],$H184,tblReceipts[Lot Number],"&lt;="&amp;Receipts!$C184))</f>
        <v>1</v>
      </c>
      <c r="K184" s="26">
        <f>IF($A184="","",SUMIFS(tblReceipts[Qty Received],tblReceipts[Item Name],$A184,tblReceipts[Expiry Date],"&lt;"&amp;$H184)+SUMIFS(tblReceipts[Qty Received],tblReceipts[Item Name],$A184,tblReceipts[Expiry Date],$H184,tblReceipts[Lot Number],"&lt;"&amp;Receipts!$C184))</f>
        <v>0</v>
      </c>
      <c r="L184" s="26">
        <f>IF($A184="","",MIN($D184,MAX(0,SUMIFS(tblIssues[Qty Issued],tblIssues[Item Name],$A184)-$K184)))</f>
        <v>0</v>
      </c>
      <c r="M184" s="26">
        <f>IF($A184="","",SUMIFS(tblIssues[Qty Issued],tblIssues[Lot Number],$B184))</f>
        <v>0</v>
      </c>
      <c r="N184" s="26">
        <f t="shared" si="12"/>
        <v>0</v>
      </c>
      <c r="O184" s="26">
        <f t="shared" si="13"/>
        <v>2160</v>
      </c>
      <c r="P184" s="21">
        <f t="shared" si="14"/>
        <v>0</v>
      </c>
      <c r="Q184" s="52" t="str">
        <f ca="1">IF($A184="","",IF($O184&lt;=0,"Depleted",IF($I184&lt;0,"EXPIRED",IF($I184&lt;=Settings!$C$6,"CRITICAL",IF($I184&lt;=Settings!$C$5,"Expiring","In date")))))</f>
        <v>In date</v>
      </c>
    </row>
    <row r="185" spans="1:17" x14ac:dyDescent="0.35">
      <c r="A185" s="90" t="str">
        <f>IF(Receipts!$D185="","",Receipts!$D185)</f>
        <v>Surgical Masks</v>
      </c>
      <c r="B185" s="18" t="str">
        <f>IF(Receipts!$C185="","",Receipts!$C185)</f>
        <v>O101KPC24</v>
      </c>
      <c r="C185" s="18" t="str">
        <f>IF($A185="","",IFERROR(INDEX(Items!$B$5:$B$597,MATCH($A185,Items!$A$5:$A$597,0)),""))</f>
        <v>Masks</v>
      </c>
      <c r="D185" s="23">
        <f>IF($A185="","",N(Receipts!$G185))</f>
        <v>3000</v>
      </c>
      <c r="E185" s="20">
        <f>IF($A185="","",IFERROR(INDEX(Items!$D$5:$D$597,MATCH($A185,Items!$A$5:$A$597,0)),0))</f>
        <v>0.25</v>
      </c>
      <c r="F185" s="21">
        <f t="shared" si="10"/>
        <v>750</v>
      </c>
      <c r="G185" s="25">
        <f>IF(Receipts!$I185="","",Receipts!$I185)</f>
        <v>46220</v>
      </c>
      <c r="H185" s="25">
        <f>IF(Receipts!$H185="","",Receipts!$H185)</f>
        <v>46325</v>
      </c>
      <c r="I185" s="26">
        <f t="shared" ca="1" si="11"/>
        <v>87</v>
      </c>
      <c r="J185" s="26">
        <f>IF($A185="","",COUNTIFS(tblReceipts[Item Name],$A185,tblReceipts[Expiry Date],"&lt;"&amp;$H185)+COUNTIFS(tblReceipts[Item Name],$A185,tblReceipts[Expiry Date],$H185,tblReceipts[Lot Number],"&lt;="&amp;Receipts!$C185))</f>
        <v>22</v>
      </c>
      <c r="K185" s="26">
        <f>IF($A185="","",SUMIFS(tblReceipts[Qty Received],tblReceipts[Item Name],$A185,tblReceipts[Expiry Date],"&lt;"&amp;$H185)+SUMIFS(tblReceipts[Qty Received],tblReceipts[Item Name],$A185,tblReceipts[Expiry Date],$H185,tblReceipts[Lot Number],"&lt;"&amp;Receipts!$C185))</f>
        <v>16700</v>
      </c>
      <c r="L185" s="26">
        <f>IF($A185="","",MIN($D185,MAX(0,SUMIFS(tblIssues[Qty Issued],tblIssues[Item Name],$A185)-$K185)))</f>
        <v>0</v>
      </c>
      <c r="M185" s="26">
        <f>IF($A185="","",SUMIFS(tblIssues[Qty Issued],tblIssues[Lot Number],$B185))</f>
        <v>0</v>
      </c>
      <c r="N185" s="26">
        <f t="shared" si="12"/>
        <v>0</v>
      </c>
      <c r="O185" s="26">
        <f t="shared" si="13"/>
        <v>3000</v>
      </c>
      <c r="P185" s="21">
        <f t="shared" si="14"/>
        <v>750</v>
      </c>
      <c r="Q185" s="52" t="str">
        <f ca="1">IF($A185="","",IF($O185&lt;=0,"Depleted",IF($I185&lt;0,"EXPIRED",IF($I185&lt;=Settings!$C$6,"CRITICAL",IF($I185&lt;=Settings!$C$5,"Expiring","In date")))))</f>
        <v>Expiring</v>
      </c>
    </row>
    <row r="186" spans="1:17" x14ac:dyDescent="0.35">
      <c r="A186" s="90" t="str">
        <f>IF(Receipts!$D186="","",Receipts!$D186)</f>
        <v>Gloves - Medium</v>
      </c>
      <c r="B186" s="18" t="str">
        <f>IF(Receipts!$C186="","",Receipts!$C186)</f>
        <v>ZIM511139896-0</v>
      </c>
      <c r="C186" s="18" t="str">
        <f>IF($A186="","",IFERROR(INDEX(Items!$B$5:$B$597,MATCH($A186,Items!$A$5:$A$597,0)),""))</f>
        <v>Gloves</v>
      </c>
      <c r="D186" s="23">
        <f>IF($A186="","",N(Receipts!$G186))</f>
        <v>10000</v>
      </c>
      <c r="E186" s="20">
        <f>IF($A186="","",IFERROR(INDEX(Items!$D$5:$D$597,MATCH($A186,Items!$A$5:$A$597,0)),0))</f>
        <v>5.5E-2</v>
      </c>
      <c r="F186" s="21">
        <f t="shared" si="10"/>
        <v>550</v>
      </c>
      <c r="G186" s="25">
        <f>IF(Receipts!$I186="","",Receipts!$I186)</f>
        <v>46227</v>
      </c>
      <c r="H186" s="25">
        <f>IF(Receipts!$H186="","",Receipts!$H186)</f>
        <v>46411</v>
      </c>
      <c r="I186" s="26">
        <f t="shared" ca="1" si="11"/>
        <v>173</v>
      </c>
      <c r="J186" s="26">
        <f>IF($A186="","",COUNTIFS(tblReceipts[Item Name],$A186,tblReceipts[Expiry Date],"&lt;"&amp;$H186)+COUNTIFS(tblReceipts[Item Name],$A186,tblReceipts[Expiry Date],$H186,tblReceipts[Lot Number],"&lt;="&amp;Receipts!$C186))</f>
        <v>36</v>
      </c>
      <c r="K186" s="26">
        <f>IF($A186="","",SUMIFS(tblReceipts[Qty Received],tblReceipts[Item Name],$A186,tblReceipts[Expiry Date],"&lt;"&amp;$H186)+SUMIFS(tblReceipts[Qty Received],tblReceipts[Item Name],$A186,tblReceipts[Expiry Date],$H186,tblReceipts[Lot Number],"&lt;"&amp;Receipts!$C186))</f>
        <v>122200</v>
      </c>
      <c r="L186" s="26">
        <f>IF($A186="","",MIN($D186,MAX(0,SUMIFS(tblIssues[Qty Issued],tblIssues[Item Name],$A186)-$K186)))</f>
        <v>0</v>
      </c>
      <c r="M186" s="26">
        <f>IF($A186="","",SUMIFS(tblIssues[Qty Issued],tblIssues[Lot Number],$B186))</f>
        <v>0</v>
      </c>
      <c r="N186" s="26">
        <f t="shared" si="12"/>
        <v>0</v>
      </c>
      <c r="O186" s="26">
        <f t="shared" si="13"/>
        <v>10000</v>
      </c>
      <c r="P186" s="21">
        <f t="shared" si="14"/>
        <v>550</v>
      </c>
      <c r="Q186" s="52" t="str">
        <f ca="1">IF($A186="","",IF($O186&lt;=0,"Depleted",IF($I186&lt;0,"EXPIRED",IF($I186&lt;=Settings!$C$6,"CRITICAL",IF($I186&lt;=Settings!$C$5,"Expiring","In date")))))</f>
        <v>Expiring</v>
      </c>
    </row>
    <row r="187" spans="1:17" x14ac:dyDescent="0.35">
      <c r="A187" s="90" t="str">
        <f>IF(Receipts!$D187="","",Receipts!$D187)</f>
        <v>Surgical Masks</v>
      </c>
      <c r="B187" s="18" t="str">
        <f>IF(Receipts!$C187="","",Receipts!$C187)</f>
        <v>241101JY320B2</v>
      </c>
      <c r="C187" s="18" t="str">
        <f>IF($A187="","",IFERROR(INDEX(Items!$B$5:$B$597,MATCH($A187,Items!$A$5:$A$597,0)),""))</f>
        <v>Masks</v>
      </c>
      <c r="D187" s="23">
        <f>IF($A187="","",N(Receipts!$G187))</f>
        <v>2000</v>
      </c>
      <c r="E187" s="20">
        <f>IF($A187="","",IFERROR(INDEX(Items!$D$5:$D$597,MATCH($A187,Items!$A$5:$A$597,0)),0))</f>
        <v>0.25</v>
      </c>
      <c r="F187" s="21">
        <f t="shared" si="10"/>
        <v>500</v>
      </c>
      <c r="G187" s="25">
        <f>IF(Receipts!$I187="","",Receipts!$I187)</f>
        <v>46227</v>
      </c>
      <c r="H187" s="25">
        <f>IF(Receipts!$H187="","",Receipts!$H187)</f>
        <v>46350</v>
      </c>
      <c r="I187" s="26">
        <f t="shared" ca="1" si="11"/>
        <v>112</v>
      </c>
      <c r="J187" s="26">
        <f>IF($A187="","",COUNTIFS(tblReceipts[Item Name],$A187,tblReceipts[Expiry Date],"&lt;"&amp;$H187)+COUNTIFS(tblReceipts[Item Name],$A187,tblReceipts[Expiry Date],$H187,tblReceipts[Lot Number],"&lt;="&amp;Receipts!$C187))</f>
        <v>23</v>
      </c>
      <c r="K187" s="26">
        <f>IF($A187="","",SUMIFS(tblReceipts[Qty Received],tblReceipts[Item Name],$A187,tblReceipts[Expiry Date],"&lt;"&amp;$H187)+SUMIFS(tblReceipts[Qty Received],tblReceipts[Item Name],$A187,tblReceipts[Expiry Date],$H187,tblReceipts[Lot Number],"&lt;"&amp;Receipts!$C187))</f>
        <v>19700</v>
      </c>
      <c r="L187" s="26">
        <f>IF($A187="","",MIN($D187,MAX(0,SUMIFS(tblIssues[Qty Issued],tblIssues[Item Name],$A187)-$K187)))</f>
        <v>0</v>
      </c>
      <c r="M187" s="26">
        <f>IF($A187="","",SUMIFS(tblIssues[Qty Issued],tblIssues[Lot Number],$B187))</f>
        <v>0</v>
      </c>
      <c r="N187" s="26">
        <f t="shared" si="12"/>
        <v>0</v>
      </c>
      <c r="O187" s="26">
        <f t="shared" si="13"/>
        <v>2000</v>
      </c>
      <c r="P187" s="21">
        <f t="shared" si="14"/>
        <v>500</v>
      </c>
      <c r="Q187" s="52" t="str">
        <f ca="1">IF($A187="","",IF($O187&lt;=0,"Depleted",IF($I187&lt;0,"EXPIRED",IF($I187&lt;=Settings!$C$6,"CRITICAL",IF($I187&lt;=Settings!$C$5,"Expiring","In date")))))</f>
        <v>Expiring</v>
      </c>
    </row>
    <row r="188" spans="1:17" x14ac:dyDescent="0.35">
      <c r="A188" s="90" t="str">
        <f>IF(Receipts!$D188="","",Receipts!$D188)</f>
        <v>Shoe Covers</v>
      </c>
      <c r="B188" s="18">
        <f>IF(Receipts!$C188="","",Receipts!$C188)</f>
        <v>3024</v>
      </c>
      <c r="C188" s="18" t="str">
        <f>IF($A188="","",IFERROR(INDEX(Items!$B$5:$B$597,MATCH($A188,Items!$A$5:$A$597,0)),""))</f>
        <v>IPAC</v>
      </c>
      <c r="D188" s="23">
        <f>IF($A188="","",N(Receipts!$G188))</f>
        <v>300</v>
      </c>
      <c r="E188" s="20">
        <f>IF($A188="","",IFERROR(INDEX(Items!$D$5:$D$597,MATCH($A188,Items!$A$5:$A$597,0)),0))</f>
        <v>0.2</v>
      </c>
      <c r="F188" s="21">
        <f t="shared" si="10"/>
        <v>60</v>
      </c>
      <c r="G188" s="25">
        <f>IF(Receipts!$I188="","",Receipts!$I188)</f>
        <v>46227</v>
      </c>
      <c r="H188" s="25">
        <f>IF(Receipts!$H188="","",Receipts!$H188)</f>
        <v>46811</v>
      </c>
      <c r="I188" s="26">
        <f t="shared" ca="1" si="11"/>
        <v>573</v>
      </c>
      <c r="J188" s="26">
        <f>IF($A188="","",COUNTIFS(tblReceipts[Item Name],$A188,tblReceipts[Expiry Date],"&lt;"&amp;$H188)+COUNTIFS(tblReceipts[Item Name],$A188,tblReceipts[Expiry Date],$H188,tblReceipts[Lot Number],"&lt;="&amp;Receipts!$C188))</f>
        <v>3</v>
      </c>
      <c r="K188" s="26">
        <f>IF($A188="","",SUMIFS(tblReceipts[Qty Received],tblReceipts[Item Name],$A188,tblReceipts[Expiry Date],"&lt;"&amp;$H188)+SUMIFS(tblReceipts[Qty Received],tblReceipts[Item Name],$A188,tblReceipts[Expiry Date],$H188,tblReceipts[Lot Number],"&lt;"&amp;Receipts!$C188))</f>
        <v>300</v>
      </c>
      <c r="L188" s="26">
        <f>IF($A188="","",MIN($D188,MAX(0,SUMIFS(tblIssues[Qty Issued],tblIssues[Item Name],$A188)-$K188)))</f>
        <v>300</v>
      </c>
      <c r="M188" s="26">
        <f>IF($A188="","",SUMIFS(tblIssues[Qty Issued],tblIssues[Lot Number],$B188))</f>
        <v>550</v>
      </c>
      <c r="N188" s="26">
        <f t="shared" si="12"/>
        <v>250</v>
      </c>
      <c r="O188" s="26">
        <f t="shared" si="13"/>
        <v>0</v>
      </c>
      <c r="P188" s="21">
        <f t="shared" si="14"/>
        <v>0</v>
      </c>
      <c r="Q188" s="52" t="str">
        <f>IF($A188="","",IF($O188&lt;=0,"Depleted",IF($I188&lt;0,"EXPIRED",IF($I188&lt;=Settings!$C$6,"CRITICAL",IF($I188&lt;=Settings!$C$5,"Expiring","In date")))))</f>
        <v>Depleted</v>
      </c>
    </row>
    <row r="189" spans="1:17" x14ac:dyDescent="0.35">
      <c r="A189" s="90" t="str">
        <f>IF(Receipts!$D189="","",Receipts!$D189)</f>
        <v>Gloves - Medium</v>
      </c>
      <c r="B189" s="18" t="str">
        <f>IF(Receipts!$C189="","",Receipts!$C189)</f>
        <v>ZIM6044151580-1</v>
      </c>
      <c r="C189" s="18" t="str">
        <f>IF($A189="","",IFERROR(INDEX(Items!$B$5:$B$597,MATCH($A189,Items!$A$5:$A$597,0)),""))</f>
        <v>Gloves</v>
      </c>
      <c r="D189" s="23">
        <f>IF($A189="","",N(Receipts!$G189))</f>
        <v>12500</v>
      </c>
      <c r="E189" s="20">
        <f>IF($A189="","",IFERROR(INDEX(Items!$D$5:$D$597,MATCH($A189,Items!$A$5:$A$597,0)),0))</f>
        <v>5.5E-2</v>
      </c>
      <c r="F189" s="21">
        <f t="shared" si="10"/>
        <v>687.5</v>
      </c>
      <c r="G189" s="25">
        <f>IF(Receipts!$I189="","",Receipts!$I189)</f>
        <v>46227</v>
      </c>
      <c r="H189" s="25">
        <f>IF(Receipts!$H189="","",Receipts!$H189)</f>
        <v>46411</v>
      </c>
      <c r="I189" s="26">
        <f t="shared" ca="1" si="11"/>
        <v>173</v>
      </c>
      <c r="J189" s="26">
        <f>IF($A189="","",COUNTIFS(tblReceipts[Item Name],$A189,tblReceipts[Expiry Date],"&lt;"&amp;$H189)+COUNTIFS(tblReceipts[Item Name],$A189,tblReceipts[Expiry Date],$H189,tblReceipts[Lot Number],"&lt;="&amp;Receipts!$C189))</f>
        <v>37</v>
      </c>
      <c r="K189" s="26">
        <f>IF($A189="","",SUMIFS(tblReceipts[Qty Received],tblReceipts[Item Name],$A189,tblReceipts[Expiry Date],"&lt;"&amp;$H189)+SUMIFS(tblReceipts[Qty Received],tblReceipts[Item Name],$A189,tblReceipts[Expiry Date],$H189,tblReceipts[Lot Number],"&lt;"&amp;Receipts!$C189))</f>
        <v>132200</v>
      </c>
      <c r="L189" s="26">
        <f>IF($A189="","",MIN($D189,MAX(0,SUMIFS(tblIssues[Qty Issued],tblIssues[Item Name],$A189)-$K189)))</f>
        <v>0</v>
      </c>
      <c r="M189" s="26">
        <f>IF($A189="","",SUMIFS(tblIssues[Qty Issued],tblIssues[Lot Number],$B189))</f>
        <v>0</v>
      </c>
      <c r="N189" s="26">
        <f t="shared" si="12"/>
        <v>0</v>
      </c>
      <c r="O189" s="26">
        <f t="shared" si="13"/>
        <v>12500</v>
      </c>
      <c r="P189" s="21">
        <f t="shared" si="14"/>
        <v>687.5</v>
      </c>
      <c r="Q189" s="52" t="str">
        <f ca="1">IF($A189="","",IF($O189&lt;=0,"Depleted",IF($I189&lt;0,"EXPIRED",IF($I189&lt;=Settings!$C$6,"CRITICAL",IF($I189&lt;=Settings!$C$5,"Expiring","In date")))))</f>
        <v>Expiring</v>
      </c>
    </row>
    <row r="190" spans="1:17" x14ac:dyDescent="0.35">
      <c r="A190" s="90" t="str">
        <f>IF(Receipts!$D193="","",Receipts!$D193)</f>
        <v/>
      </c>
      <c r="B190" s="18" t="str">
        <f>IF(Receipts!$C193="","",Receipts!$C193)</f>
        <v/>
      </c>
      <c r="C190" s="18" t="str">
        <f>IF($A190="","",IFERROR(INDEX(Items!$B$5:$B$597,MATCH($A190,Items!$A$5:$A$597,0)),""))</f>
        <v/>
      </c>
      <c r="D190" s="23" t="str">
        <f>IF($A190="","",N(Receipts!$G193))</f>
        <v/>
      </c>
      <c r="E190" s="20" t="str">
        <f>IF($A190="","",IFERROR(INDEX(Items!$D$5:$D$597,MATCH($A190,Items!$A$5:$A$597,0)),0))</f>
        <v/>
      </c>
      <c r="F190" s="21" t="str">
        <f t="shared" si="10"/>
        <v/>
      </c>
      <c r="G190" s="25" t="str">
        <f>IF(Receipts!$I193="","",Receipts!$I193)</f>
        <v/>
      </c>
      <c r="H190" s="25" t="str">
        <f>IF(Receipts!$H193="","",Receipts!$H193)</f>
        <v/>
      </c>
      <c r="I190" s="26" t="str">
        <f t="shared" ca="1" si="11"/>
        <v/>
      </c>
      <c r="J190" s="26" t="str">
        <f>IF($A190="","",COUNTIFS(tblReceipts[Item Name],$A190,tblReceipts[Expiry Date],"&lt;"&amp;$H190)+COUNTIFS(tblReceipts[Item Name],$A190,tblReceipts[Expiry Date],$H190,tblReceipts[Lot Number],"&lt;="&amp;Receipts!$C193))</f>
        <v/>
      </c>
      <c r="K190" s="26" t="str">
        <f>IF($A190="","",SUMIFS(tblReceipts[Qty Received],tblReceipts[Item Name],$A190,tblReceipts[Expiry Date],"&lt;"&amp;$H190)+SUMIFS(tblReceipts[Qty Received],tblReceipts[Item Name],$A190,tblReceipts[Expiry Date],$H190,tblReceipts[Lot Number],"&lt;"&amp;Receipts!$C193))</f>
        <v/>
      </c>
      <c r="L190" s="26" t="str">
        <f>IF($A190="","",MIN($D190,MAX(0,SUMIFS(tblIssues[Qty Issued],tblIssues[Item Name],$A190)-$K190)))</f>
        <v/>
      </c>
      <c r="M190" s="26" t="str">
        <f>IF($A190="","",SUMIFS(tblIssues[Qty Issued],tblIssues[Lot Number],$B190))</f>
        <v/>
      </c>
      <c r="N190" s="26" t="str">
        <f t="shared" si="12"/>
        <v/>
      </c>
      <c r="O190" s="26" t="str">
        <f t="shared" si="13"/>
        <v/>
      </c>
      <c r="P190" s="21" t="str">
        <f t="shared" si="14"/>
        <v/>
      </c>
      <c r="Q190" s="52" t="str">
        <f>IF($A190="","",IF($O190&lt;=0,"Depleted",IF($I190&lt;0,"EXPIRED",IF($I190&lt;=Settings!$C$6,"CRITICAL",IF($I190&lt;=Settings!$C$5,"Expiring","In date")))))</f>
        <v/>
      </c>
    </row>
    <row r="191" spans="1:17" x14ac:dyDescent="0.35">
      <c r="A191" s="90" t="str">
        <f>IF(Receipts!$D194="","",Receipts!$D194)</f>
        <v/>
      </c>
      <c r="B191" s="18" t="str">
        <f>IF(Receipts!$C194="","",Receipts!$C194)</f>
        <v/>
      </c>
      <c r="C191" s="18" t="str">
        <f>IF($A191="","",IFERROR(INDEX(Items!$B$5:$B$597,MATCH($A191,Items!$A$5:$A$597,0)),""))</f>
        <v/>
      </c>
      <c r="D191" s="23" t="str">
        <f>IF($A191="","",N(Receipts!$G194))</f>
        <v/>
      </c>
      <c r="E191" s="20" t="str">
        <f>IF($A191="","",IFERROR(INDEX(Items!$D$5:$D$597,MATCH($A191,Items!$A$5:$A$597,0)),0))</f>
        <v/>
      </c>
      <c r="F191" s="21" t="str">
        <f t="shared" si="10"/>
        <v/>
      </c>
      <c r="G191" s="25" t="str">
        <f>IF(Receipts!$I194="","",Receipts!$I194)</f>
        <v/>
      </c>
      <c r="H191" s="25" t="str">
        <f>IF(Receipts!$H194="","",Receipts!$H194)</f>
        <v/>
      </c>
      <c r="I191" s="26" t="str">
        <f t="shared" ca="1" si="11"/>
        <v/>
      </c>
      <c r="J191" s="26" t="str">
        <f>IF($A191="","",COUNTIFS(tblReceipts[Item Name],$A191,tblReceipts[Expiry Date],"&lt;"&amp;$H191)+COUNTIFS(tblReceipts[Item Name],$A191,tblReceipts[Expiry Date],$H191,tblReceipts[Lot Number],"&lt;="&amp;Receipts!$C194))</f>
        <v/>
      </c>
      <c r="K191" s="26" t="str">
        <f>IF($A191="","",SUMIFS(tblReceipts[Qty Received],tblReceipts[Item Name],$A191,tblReceipts[Expiry Date],"&lt;"&amp;$H191)+SUMIFS(tblReceipts[Qty Received],tblReceipts[Item Name],$A191,tblReceipts[Expiry Date],$H191,tblReceipts[Lot Number],"&lt;"&amp;Receipts!$C194))</f>
        <v/>
      </c>
      <c r="L191" s="26" t="str">
        <f>IF($A191="","",MIN($D191,MAX(0,SUMIFS(tblIssues[Qty Issued],tblIssues[Item Name],$A191)-$K191)))</f>
        <v/>
      </c>
      <c r="M191" s="26" t="str">
        <f>IF($A191="","",SUMIFS(tblIssues[Qty Issued],tblIssues[Lot Number],$B191))</f>
        <v/>
      </c>
      <c r="N191" s="26" t="str">
        <f t="shared" si="12"/>
        <v/>
      </c>
      <c r="O191" s="26" t="str">
        <f t="shared" si="13"/>
        <v/>
      </c>
      <c r="P191" s="21" t="str">
        <f t="shared" si="14"/>
        <v/>
      </c>
      <c r="Q191" s="52" t="str">
        <f>IF($A191="","",IF($O191&lt;=0,"Depleted",IF($I191&lt;0,"EXPIRED",IF($I191&lt;=Settings!$C$6,"CRITICAL",IF($I191&lt;=Settings!$C$5,"Expiring","In date")))))</f>
        <v/>
      </c>
    </row>
    <row r="192" spans="1:17" x14ac:dyDescent="0.35">
      <c r="A192" s="90" t="str">
        <f>IF(Receipts!$D195="","",Receipts!$D195)</f>
        <v/>
      </c>
      <c r="B192" s="18" t="str">
        <f>IF(Receipts!$C195="","",Receipts!$C195)</f>
        <v/>
      </c>
      <c r="C192" s="18" t="str">
        <f>IF($A192="","",IFERROR(INDEX(Items!$B$5:$B$597,MATCH($A192,Items!$A$5:$A$597,0)),""))</f>
        <v/>
      </c>
      <c r="D192" s="23" t="str">
        <f>IF($A192="","",N(Receipts!$G195))</f>
        <v/>
      </c>
      <c r="E192" s="20" t="str">
        <f>IF($A192="","",IFERROR(INDEX(Items!$D$5:$D$597,MATCH($A192,Items!$A$5:$A$597,0)),0))</f>
        <v/>
      </c>
      <c r="F192" s="21" t="str">
        <f t="shared" si="10"/>
        <v/>
      </c>
      <c r="G192" s="25" t="str">
        <f>IF(Receipts!$I195="","",Receipts!$I195)</f>
        <v/>
      </c>
      <c r="H192" s="25" t="str">
        <f>IF(Receipts!$H195="","",Receipts!$H195)</f>
        <v/>
      </c>
      <c r="I192" s="26" t="str">
        <f t="shared" ca="1" si="11"/>
        <v/>
      </c>
      <c r="J192" s="26" t="str">
        <f>IF($A192="","",COUNTIFS(tblReceipts[Item Name],$A192,tblReceipts[Expiry Date],"&lt;"&amp;$H192)+COUNTIFS(tblReceipts[Item Name],$A192,tblReceipts[Expiry Date],$H192,tblReceipts[Lot Number],"&lt;="&amp;Receipts!$C195))</f>
        <v/>
      </c>
      <c r="K192" s="26" t="str">
        <f>IF($A192="","",SUMIFS(tblReceipts[Qty Received],tblReceipts[Item Name],$A192,tblReceipts[Expiry Date],"&lt;"&amp;$H192)+SUMIFS(tblReceipts[Qty Received],tblReceipts[Item Name],$A192,tblReceipts[Expiry Date],$H192,tblReceipts[Lot Number],"&lt;"&amp;Receipts!$C195))</f>
        <v/>
      </c>
      <c r="L192" s="26" t="str">
        <f>IF($A192="","",MIN($D192,MAX(0,SUMIFS(tblIssues[Qty Issued],tblIssues[Item Name],$A192)-$K192)))</f>
        <v/>
      </c>
      <c r="M192" s="26" t="str">
        <f>IF($A192="","",SUMIFS(tblIssues[Qty Issued],tblIssues[Lot Number],$B192))</f>
        <v/>
      </c>
      <c r="N192" s="26" t="str">
        <f t="shared" si="12"/>
        <v/>
      </c>
      <c r="O192" s="26" t="str">
        <f t="shared" si="13"/>
        <v/>
      </c>
      <c r="P192" s="21" t="str">
        <f t="shared" si="14"/>
        <v/>
      </c>
      <c r="Q192" s="52" t="str">
        <f>IF($A192="","",IF($O192&lt;=0,"Depleted",IF($I192&lt;0,"EXPIRED",IF($I192&lt;=Settings!$C$6,"CRITICAL",IF($I192&lt;=Settings!$C$5,"Expiring","In date")))))</f>
        <v/>
      </c>
    </row>
    <row r="193" spans="1:17" x14ac:dyDescent="0.35">
      <c r="A193" s="90" t="str">
        <f>IF(Receipts!$D196="","",Receipts!$D196)</f>
        <v/>
      </c>
      <c r="B193" s="18" t="str">
        <f>IF(Receipts!$C196="","",Receipts!$C196)</f>
        <v/>
      </c>
      <c r="C193" s="18" t="str">
        <f>IF($A193="","",IFERROR(INDEX(Items!$B$5:$B$597,MATCH($A193,Items!$A$5:$A$597,0)),""))</f>
        <v/>
      </c>
      <c r="D193" s="23" t="str">
        <f>IF($A193="","",N(Receipts!$G196))</f>
        <v/>
      </c>
      <c r="E193" s="20" t="str">
        <f>IF($A193="","",IFERROR(INDEX(Items!$D$5:$D$597,MATCH($A193,Items!$A$5:$A$597,0)),0))</f>
        <v/>
      </c>
      <c r="F193" s="21" t="str">
        <f t="shared" si="10"/>
        <v/>
      </c>
      <c r="G193" s="25" t="str">
        <f>IF(Receipts!$I196="","",Receipts!$I196)</f>
        <v/>
      </c>
      <c r="H193" s="25" t="str">
        <f>IF(Receipts!$H196="","",Receipts!$H196)</f>
        <v/>
      </c>
      <c r="I193" s="26" t="str">
        <f t="shared" ca="1" si="11"/>
        <v/>
      </c>
      <c r="J193" s="26" t="str">
        <f>IF($A193="","",COUNTIFS(tblReceipts[Item Name],$A193,tblReceipts[Expiry Date],"&lt;"&amp;$H193)+COUNTIFS(tblReceipts[Item Name],$A193,tblReceipts[Expiry Date],$H193,tblReceipts[Lot Number],"&lt;="&amp;Receipts!$C196))</f>
        <v/>
      </c>
      <c r="K193" s="26" t="str">
        <f>IF($A193="","",SUMIFS(tblReceipts[Qty Received],tblReceipts[Item Name],$A193,tblReceipts[Expiry Date],"&lt;"&amp;$H193)+SUMIFS(tblReceipts[Qty Received],tblReceipts[Item Name],$A193,tblReceipts[Expiry Date],$H193,tblReceipts[Lot Number],"&lt;"&amp;Receipts!$C196))</f>
        <v/>
      </c>
      <c r="L193" s="26" t="str">
        <f>IF($A193="","",MIN($D193,MAX(0,SUMIFS(tblIssues[Qty Issued],tblIssues[Item Name],$A193)-$K193)))</f>
        <v/>
      </c>
      <c r="M193" s="26" t="str">
        <f>IF($A193="","",SUMIFS(tblIssues[Qty Issued],tblIssues[Lot Number],$B193))</f>
        <v/>
      </c>
      <c r="N193" s="26" t="str">
        <f t="shared" si="12"/>
        <v/>
      </c>
      <c r="O193" s="26" t="str">
        <f t="shared" si="13"/>
        <v/>
      </c>
      <c r="P193" s="21" t="str">
        <f t="shared" si="14"/>
        <v/>
      </c>
      <c r="Q193" s="52" t="str">
        <f>IF($A193="","",IF($O193&lt;=0,"Depleted",IF($I193&lt;0,"EXPIRED",IF($I193&lt;=Settings!$C$6,"CRITICAL",IF($I193&lt;=Settings!$C$5,"Expiring","In date")))))</f>
        <v/>
      </c>
    </row>
    <row r="194" spans="1:17" x14ac:dyDescent="0.35">
      <c r="A194" s="90" t="str">
        <f>IF(Receipts!$D197="","",Receipts!$D197)</f>
        <v/>
      </c>
      <c r="B194" s="18" t="str">
        <f>IF(Receipts!$C197="","",Receipts!$C197)</f>
        <v/>
      </c>
      <c r="C194" s="18" t="str">
        <f>IF($A194="","",IFERROR(INDEX(Items!$B$5:$B$597,MATCH($A194,Items!$A$5:$A$597,0)),""))</f>
        <v/>
      </c>
      <c r="D194" s="23" t="str">
        <f>IF($A194="","",N(Receipts!$G197))</f>
        <v/>
      </c>
      <c r="E194" s="20" t="str">
        <f>IF($A194="","",IFERROR(INDEX(Items!$D$5:$D$597,MATCH($A194,Items!$A$5:$A$597,0)),0))</f>
        <v/>
      </c>
      <c r="F194" s="21" t="str">
        <f t="shared" si="10"/>
        <v/>
      </c>
      <c r="G194" s="25" t="str">
        <f>IF(Receipts!$I197="","",Receipts!$I197)</f>
        <v/>
      </c>
      <c r="H194" s="25" t="str">
        <f>IF(Receipts!$H197="","",Receipts!$H197)</f>
        <v/>
      </c>
      <c r="I194" s="26" t="str">
        <f t="shared" ca="1" si="11"/>
        <v/>
      </c>
      <c r="J194" s="26" t="str">
        <f>IF($A194="","",COUNTIFS(tblReceipts[Item Name],$A194,tblReceipts[Expiry Date],"&lt;"&amp;$H194)+COUNTIFS(tblReceipts[Item Name],$A194,tblReceipts[Expiry Date],$H194,tblReceipts[Lot Number],"&lt;="&amp;Receipts!$C197))</f>
        <v/>
      </c>
      <c r="K194" s="26" t="str">
        <f>IF($A194="","",SUMIFS(tblReceipts[Qty Received],tblReceipts[Item Name],$A194,tblReceipts[Expiry Date],"&lt;"&amp;$H194)+SUMIFS(tblReceipts[Qty Received],tblReceipts[Item Name],$A194,tblReceipts[Expiry Date],$H194,tblReceipts[Lot Number],"&lt;"&amp;Receipts!$C197))</f>
        <v/>
      </c>
      <c r="L194" s="26" t="str">
        <f>IF($A194="","",MIN($D194,MAX(0,SUMIFS(tblIssues[Qty Issued],tblIssues[Item Name],$A194)-$K194)))</f>
        <v/>
      </c>
      <c r="M194" s="26" t="str">
        <f>IF($A194="","",SUMIFS(tblIssues[Qty Issued],tblIssues[Lot Number],$B194))</f>
        <v/>
      </c>
      <c r="N194" s="26" t="str">
        <f t="shared" si="12"/>
        <v/>
      </c>
      <c r="O194" s="26" t="str">
        <f t="shared" si="13"/>
        <v/>
      </c>
      <c r="P194" s="21" t="str">
        <f t="shared" si="14"/>
        <v/>
      </c>
      <c r="Q194" s="52" t="str">
        <f>IF($A194="","",IF($O194&lt;=0,"Depleted",IF($I194&lt;0,"EXPIRED",IF($I194&lt;=Settings!$C$6,"CRITICAL",IF($I194&lt;=Settings!$C$5,"Expiring","In date")))))</f>
        <v/>
      </c>
    </row>
    <row r="195" spans="1:17" x14ac:dyDescent="0.35">
      <c r="A195" s="90" t="str">
        <f>IF(Receipts!$D198="","",Receipts!$D198)</f>
        <v/>
      </c>
      <c r="B195" s="18" t="str">
        <f>IF(Receipts!$C198="","",Receipts!$C198)</f>
        <v/>
      </c>
      <c r="C195" s="18" t="str">
        <f>IF($A195="","",IFERROR(INDEX(Items!$B$5:$B$597,MATCH($A195,Items!$A$5:$A$597,0)),""))</f>
        <v/>
      </c>
      <c r="D195" s="23" t="str">
        <f>IF($A195="","",N(Receipts!$G198))</f>
        <v/>
      </c>
      <c r="E195" s="20" t="str">
        <f>IF($A195="","",IFERROR(INDEX(Items!$D$5:$D$597,MATCH($A195,Items!$A$5:$A$597,0)),0))</f>
        <v/>
      </c>
      <c r="F195" s="21" t="str">
        <f t="shared" si="10"/>
        <v/>
      </c>
      <c r="G195" s="25" t="str">
        <f>IF(Receipts!$I198="","",Receipts!$I198)</f>
        <v/>
      </c>
      <c r="H195" s="25" t="str">
        <f>IF(Receipts!$H198="","",Receipts!$H198)</f>
        <v/>
      </c>
      <c r="I195" s="26" t="str">
        <f t="shared" ca="1" si="11"/>
        <v/>
      </c>
      <c r="J195" s="26" t="str">
        <f>IF($A195="","",COUNTIFS(tblReceipts[Item Name],$A195,tblReceipts[Expiry Date],"&lt;"&amp;$H195)+COUNTIFS(tblReceipts[Item Name],$A195,tblReceipts[Expiry Date],$H195,tblReceipts[Lot Number],"&lt;="&amp;Receipts!$C198))</f>
        <v/>
      </c>
      <c r="K195" s="26" t="str">
        <f>IF($A195="","",SUMIFS(tblReceipts[Qty Received],tblReceipts[Item Name],$A195,tblReceipts[Expiry Date],"&lt;"&amp;$H195)+SUMIFS(tblReceipts[Qty Received],tblReceipts[Item Name],$A195,tblReceipts[Expiry Date],$H195,tblReceipts[Lot Number],"&lt;"&amp;Receipts!$C198))</f>
        <v/>
      </c>
      <c r="L195" s="26" t="str">
        <f>IF($A195="","",MIN($D195,MAX(0,SUMIFS(tblIssues[Qty Issued],tblIssues[Item Name],$A195)-$K195)))</f>
        <v/>
      </c>
      <c r="M195" s="26" t="str">
        <f>IF($A195="","",SUMIFS(tblIssues[Qty Issued],tblIssues[Lot Number],$B195))</f>
        <v/>
      </c>
      <c r="N195" s="26" t="str">
        <f t="shared" si="12"/>
        <v/>
      </c>
      <c r="O195" s="26" t="str">
        <f t="shared" si="13"/>
        <v/>
      </c>
      <c r="P195" s="21" t="str">
        <f t="shared" si="14"/>
        <v/>
      </c>
      <c r="Q195" s="52" t="str">
        <f>IF($A195="","",IF($O195&lt;=0,"Depleted",IF($I195&lt;0,"EXPIRED",IF($I195&lt;=Settings!$C$6,"CRITICAL",IF($I195&lt;=Settings!$C$5,"Expiring","In date")))))</f>
        <v/>
      </c>
    </row>
    <row r="196" spans="1:17" x14ac:dyDescent="0.35">
      <c r="A196" s="90" t="str">
        <f>IF(Receipts!$D199="","",Receipts!$D199)</f>
        <v/>
      </c>
      <c r="B196" s="18" t="str">
        <f>IF(Receipts!$C199="","",Receipts!$C199)</f>
        <v/>
      </c>
      <c r="C196" s="18" t="str">
        <f>IF($A196="","",IFERROR(INDEX(Items!$B$5:$B$597,MATCH($A196,Items!$A$5:$A$597,0)),""))</f>
        <v/>
      </c>
      <c r="D196" s="23" t="str">
        <f>IF($A196="","",N(Receipts!$G199))</f>
        <v/>
      </c>
      <c r="E196" s="20" t="str">
        <f>IF($A196="","",IFERROR(INDEX(Items!$D$5:$D$597,MATCH($A196,Items!$A$5:$A$597,0)),0))</f>
        <v/>
      </c>
      <c r="F196" s="21" t="str">
        <f t="shared" si="10"/>
        <v/>
      </c>
      <c r="G196" s="25" t="str">
        <f>IF(Receipts!$I199="","",Receipts!$I199)</f>
        <v/>
      </c>
      <c r="H196" s="25" t="str">
        <f>IF(Receipts!$H199="","",Receipts!$H199)</f>
        <v/>
      </c>
      <c r="I196" s="26" t="str">
        <f t="shared" ca="1" si="11"/>
        <v/>
      </c>
      <c r="J196" s="26" t="str">
        <f>IF($A196="","",COUNTIFS(tblReceipts[Item Name],$A196,tblReceipts[Expiry Date],"&lt;"&amp;$H196)+COUNTIFS(tblReceipts[Item Name],$A196,tblReceipts[Expiry Date],$H196,tblReceipts[Lot Number],"&lt;="&amp;Receipts!$C199))</f>
        <v/>
      </c>
      <c r="K196" s="26" t="str">
        <f>IF($A196="","",SUMIFS(tblReceipts[Qty Received],tblReceipts[Item Name],$A196,tblReceipts[Expiry Date],"&lt;"&amp;$H196)+SUMIFS(tblReceipts[Qty Received],tblReceipts[Item Name],$A196,tblReceipts[Expiry Date],$H196,tblReceipts[Lot Number],"&lt;"&amp;Receipts!$C199))</f>
        <v/>
      </c>
      <c r="L196" s="26" t="str">
        <f>IF($A196="","",MIN($D196,MAX(0,SUMIFS(tblIssues[Qty Issued],tblIssues[Item Name],$A196)-$K196)))</f>
        <v/>
      </c>
      <c r="M196" s="26" t="str">
        <f>IF($A196="","",SUMIFS(tblIssues[Qty Issued],tblIssues[Lot Number],$B196))</f>
        <v/>
      </c>
      <c r="N196" s="26" t="str">
        <f t="shared" si="12"/>
        <v/>
      </c>
      <c r="O196" s="26" t="str">
        <f t="shared" si="13"/>
        <v/>
      </c>
      <c r="P196" s="21" t="str">
        <f t="shared" si="14"/>
        <v/>
      </c>
      <c r="Q196" s="52" t="str">
        <f>IF($A196="","",IF($O196&lt;=0,"Depleted",IF($I196&lt;0,"EXPIRED",IF($I196&lt;=Settings!$C$6,"CRITICAL",IF($I196&lt;=Settings!$C$5,"Expiring","In date")))))</f>
        <v/>
      </c>
    </row>
    <row r="197" spans="1:17" x14ac:dyDescent="0.35">
      <c r="A197" s="90" t="str">
        <f>IF(Receipts!$D200="","",Receipts!$D200)</f>
        <v/>
      </c>
      <c r="B197" s="18" t="str">
        <f>IF(Receipts!$C200="","",Receipts!$C200)</f>
        <v/>
      </c>
      <c r="C197" s="18" t="str">
        <f>IF($A197="","",IFERROR(INDEX(Items!$B$5:$B$597,MATCH($A197,Items!$A$5:$A$597,0)),""))</f>
        <v/>
      </c>
      <c r="D197" s="23" t="str">
        <f>IF($A197="","",N(Receipts!$G200))</f>
        <v/>
      </c>
      <c r="E197" s="20" t="str">
        <f>IF($A197="","",IFERROR(INDEX(Items!$D$5:$D$597,MATCH($A197,Items!$A$5:$A$597,0)),0))</f>
        <v/>
      </c>
      <c r="F197" s="21" t="str">
        <f t="shared" ref="F197:F260" si="15">IF($A197="","",$D197*$E197)</f>
        <v/>
      </c>
      <c r="G197" s="25" t="str">
        <f>IF(Receipts!$I200="","",Receipts!$I200)</f>
        <v/>
      </c>
      <c r="H197" s="25" t="str">
        <f>IF(Receipts!$H200="","",Receipts!$H200)</f>
        <v/>
      </c>
      <c r="I197" s="26" t="str">
        <f t="shared" ref="I197:I260" ca="1" si="16">IF($H197="","",$H197-TODAY())</f>
        <v/>
      </c>
      <c r="J197" s="26" t="str">
        <f>IF($A197="","",COUNTIFS(tblReceipts[Item Name],$A197,tblReceipts[Expiry Date],"&lt;"&amp;$H197)+COUNTIFS(tblReceipts[Item Name],$A197,tblReceipts[Expiry Date],$H197,tblReceipts[Lot Number],"&lt;="&amp;Receipts!$C200))</f>
        <v/>
      </c>
      <c r="K197" s="26" t="str">
        <f>IF($A197="","",SUMIFS(tblReceipts[Qty Received],tblReceipts[Item Name],$A197,tblReceipts[Expiry Date],"&lt;"&amp;$H197)+SUMIFS(tblReceipts[Qty Received],tblReceipts[Item Name],$A197,tblReceipts[Expiry Date],$H197,tblReceipts[Lot Number],"&lt;"&amp;Receipts!$C200))</f>
        <v/>
      </c>
      <c r="L197" s="26" t="str">
        <f>IF($A197="","",MIN($D197,MAX(0,SUMIFS(tblIssues[Qty Issued],tblIssues[Item Name],$A197)-$K197)))</f>
        <v/>
      </c>
      <c r="M197" s="26" t="str">
        <f>IF($A197="","",SUMIFS(tblIssues[Qty Issued],tblIssues[Lot Number],$B197))</f>
        <v/>
      </c>
      <c r="N197" s="26" t="str">
        <f t="shared" ref="N197:N260" si="17">IF($A197="","",$M197-$L197)</f>
        <v/>
      </c>
      <c r="O197" s="26" t="str">
        <f t="shared" ref="O197:O260" si="18">IF($A197="","",$D197-$L197)</f>
        <v/>
      </c>
      <c r="P197" s="21" t="str">
        <f t="shared" ref="P197:P260" si="19">IF($A197="","",$O197*$E197)</f>
        <v/>
      </c>
      <c r="Q197" s="52" t="str">
        <f>IF($A197="","",IF($O197&lt;=0,"Depleted",IF($I197&lt;0,"EXPIRED",IF($I197&lt;=Settings!$C$6,"CRITICAL",IF($I197&lt;=Settings!$C$5,"Expiring","In date")))))</f>
        <v/>
      </c>
    </row>
    <row r="198" spans="1:17" x14ac:dyDescent="0.35">
      <c r="A198" s="90" t="str">
        <f>IF(Receipts!$D201="","",Receipts!$D201)</f>
        <v/>
      </c>
      <c r="B198" s="18" t="str">
        <f>IF(Receipts!$C201="","",Receipts!$C201)</f>
        <v/>
      </c>
      <c r="C198" s="18" t="str">
        <f>IF($A198="","",IFERROR(INDEX(Items!$B$5:$B$597,MATCH($A198,Items!$A$5:$A$597,0)),""))</f>
        <v/>
      </c>
      <c r="D198" s="23" t="str">
        <f>IF($A198="","",N(Receipts!$G201))</f>
        <v/>
      </c>
      <c r="E198" s="20" t="str">
        <f>IF($A198="","",IFERROR(INDEX(Items!$D$5:$D$597,MATCH($A198,Items!$A$5:$A$597,0)),0))</f>
        <v/>
      </c>
      <c r="F198" s="21" t="str">
        <f t="shared" si="15"/>
        <v/>
      </c>
      <c r="G198" s="25" t="str">
        <f>IF(Receipts!$I201="","",Receipts!$I201)</f>
        <v/>
      </c>
      <c r="H198" s="25" t="str">
        <f>IF(Receipts!$H201="","",Receipts!$H201)</f>
        <v/>
      </c>
      <c r="I198" s="26" t="str">
        <f t="shared" ca="1" si="16"/>
        <v/>
      </c>
      <c r="J198" s="26" t="str">
        <f>IF($A198="","",COUNTIFS(tblReceipts[Item Name],$A198,tblReceipts[Expiry Date],"&lt;"&amp;$H198)+COUNTIFS(tblReceipts[Item Name],$A198,tblReceipts[Expiry Date],$H198,tblReceipts[Lot Number],"&lt;="&amp;Receipts!$C201))</f>
        <v/>
      </c>
      <c r="K198" s="26" t="str">
        <f>IF($A198="","",SUMIFS(tblReceipts[Qty Received],tblReceipts[Item Name],$A198,tblReceipts[Expiry Date],"&lt;"&amp;$H198)+SUMIFS(tblReceipts[Qty Received],tblReceipts[Item Name],$A198,tblReceipts[Expiry Date],$H198,tblReceipts[Lot Number],"&lt;"&amp;Receipts!$C201))</f>
        <v/>
      </c>
      <c r="L198" s="26" t="str">
        <f>IF($A198="","",MIN($D198,MAX(0,SUMIFS(tblIssues[Qty Issued],tblIssues[Item Name],$A198)-$K198)))</f>
        <v/>
      </c>
      <c r="M198" s="26" t="str">
        <f>IF($A198="","",SUMIFS(tblIssues[Qty Issued],tblIssues[Lot Number],$B198))</f>
        <v/>
      </c>
      <c r="N198" s="26" t="str">
        <f t="shared" si="17"/>
        <v/>
      </c>
      <c r="O198" s="26" t="str">
        <f t="shared" si="18"/>
        <v/>
      </c>
      <c r="P198" s="21" t="str">
        <f t="shared" si="19"/>
        <v/>
      </c>
      <c r="Q198" s="52" t="str">
        <f>IF($A198="","",IF($O198&lt;=0,"Depleted",IF($I198&lt;0,"EXPIRED",IF($I198&lt;=Settings!$C$6,"CRITICAL",IF($I198&lt;=Settings!$C$5,"Expiring","In date")))))</f>
        <v/>
      </c>
    </row>
    <row r="199" spans="1:17" x14ac:dyDescent="0.35">
      <c r="A199" s="90" t="str">
        <f>IF(Receipts!$D202="","",Receipts!$D202)</f>
        <v/>
      </c>
      <c r="B199" s="18" t="str">
        <f>IF(Receipts!$C202="","",Receipts!$C202)</f>
        <v/>
      </c>
      <c r="C199" s="18" t="str">
        <f>IF($A199="","",IFERROR(INDEX(Items!$B$5:$B$597,MATCH($A199,Items!$A$5:$A$597,0)),""))</f>
        <v/>
      </c>
      <c r="D199" s="23" t="str">
        <f>IF($A199="","",N(Receipts!$G202))</f>
        <v/>
      </c>
      <c r="E199" s="20" t="str">
        <f>IF($A199="","",IFERROR(INDEX(Items!$D$5:$D$597,MATCH($A199,Items!$A$5:$A$597,0)),0))</f>
        <v/>
      </c>
      <c r="F199" s="21" t="str">
        <f t="shared" si="15"/>
        <v/>
      </c>
      <c r="G199" s="25" t="str">
        <f>IF(Receipts!$I202="","",Receipts!$I202)</f>
        <v/>
      </c>
      <c r="H199" s="25" t="str">
        <f>IF(Receipts!$H202="","",Receipts!$H202)</f>
        <v/>
      </c>
      <c r="I199" s="26" t="str">
        <f t="shared" ca="1" si="16"/>
        <v/>
      </c>
      <c r="J199" s="26" t="str">
        <f>IF($A199="","",COUNTIFS(tblReceipts[Item Name],$A199,tblReceipts[Expiry Date],"&lt;"&amp;$H199)+COUNTIFS(tblReceipts[Item Name],$A199,tblReceipts[Expiry Date],$H199,tblReceipts[Lot Number],"&lt;="&amp;Receipts!$C202))</f>
        <v/>
      </c>
      <c r="K199" s="26" t="str">
        <f>IF($A199="","",SUMIFS(tblReceipts[Qty Received],tblReceipts[Item Name],$A199,tblReceipts[Expiry Date],"&lt;"&amp;$H199)+SUMIFS(tblReceipts[Qty Received],tblReceipts[Item Name],$A199,tblReceipts[Expiry Date],$H199,tblReceipts[Lot Number],"&lt;"&amp;Receipts!$C202))</f>
        <v/>
      </c>
      <c r="L199" s="26" t="str">
        <f>IF($A199="","",MIN($D199,MAX(0,SUMIFS(tblIssues[Qty Issued],tblIssues[Item Name],$A199)-$K199)))</f>
        <v/>
      </c>
      <c r="M199" s="26" t="str">
        <f>IF($A199="","",SUMIFS(tblIssues[Qty Issued],tblIssues[Lot Number],$B199))</f>
        <v/>
      </c>
      <c r="N199" s="26" t="str">
        <f t="shared" si="17"/>
        <v/>
      </c>
      <c r="O199" s="26" t="str">
        <f t="shared" si="18"/>
        <v/>
      </c>
      <c r="P199" s="21" t="str">
        <f t="shared" si="19"/>
        <v/>
      </c>
      <c r="Q199" s="52" t="str">
        <f>IF($A199="","",IF($O199&lt;=0,"Depleted",IF($I199&lt;0,"EXPIRED",IF($I199&lt;=Settings!$C$6,"CRITICAL",IF($I199&lt;=Settings!$C$5,"Expiring","In date")))))</f>
        <v/>
      </c>
    </row>
    <row r="200" spans="1:17" x14ac:dyDescent="0.35">
      <c r="A200" s="90" t="str">
        <f>IF(Receipts!$D203="","",Receipts!$D203)</f>
        <v/>
      </c>
      <c r="B200" s="18" t="str">
        <f>IF(Receipts!$C203="","",Receipts!$C203)</f>
        <v/>
      </c>
      <c r="C200" s="18" t="str">
        <f>IF($A200="","",IFERROR(INDEX(Items!$B$5:$B$597,MATCH($A200,Items!$A$5:$A$597,0)),""))</f>
        <v/>
      </c>
      <c r="D200" s="23" t="str">
        <f>IF($A200="","",N(Receipts!$G203))</f>
        <v/>
      </c>
      <c r="E200" s="20" t="str">
        <f>IF($A200="","",IFERROR(INDEX(Items!$D$5:$D$597,MATCH($A200,Items!$A$5:$A$597,0)),0))</f>
        <v/>
      </c>
      <c r="F200" s="21" t="str">
        <f t="shared" si="15"/>
        <v/>
      </c>
      <c r="G200" s="25" t="str">
        <f>IF(Receipts!$I203="","",Receipts!$I203)</f>
        <v/>
      </c>
      <c r="H200" s="25" t="str">
        <f>IF(Receipts!$H203="","",Receipts!$H203)</f>
        <v/>
      </c>
      <c r="I200" s="26" t="str">
        <f t="shared" ca="1" si="16"/>
        <v/>
      </c>
      <c r="J200" s="26" t="str">
        <f>IF($A200="","",COUNTIFS(tblReceipts[Item Name],$A200,tblReceipts[Expiry Date],"&lt;"&amp;$H200)+COUNTIFS(tblReceipts[Item Name],$A200,tblReceipts[Expiry Date],$H200,tblReceipts[Lot Number],"&lt;="&amp;Receipts!$C203))</f>
        <v/>
      </c>
      <c r="K200" s="26" t="str">
        <f>IF($A200="","",SUMIFS(tblReceipts[Qty Received],tblReceipts[Item Name],$A200,tblReceipts[Expiry Date],"&lt;"&amp;$H200)+SUMIFS(tblReceipts[Qty Received],tblReceipts[Item Name],$A200,tblReceipts[Expiry Date],$H200,tblReceipts[Lot Number],"&lt;"&amp;Receipts!$C203))</f>
        <v/>
      </c>
      <c r="L200" s="26" t="str">
        <f>IF($A200="","",MIN($D200,MAX(0,SUMIFS(tblIssues[Qty Issued],tblIssues[Item Name],$A200)-$K200)))</f>
        <v/>
      </c>
      <c r="M200" s="26" t="str">
        <f>IF($A200="","",SUMIFS(tblIssues[Qty Issued],tblIssues[Lot Number],$B200))</f>
        <v/>
      </c>
      <c r="N200" s="26" t="str">
        <f t="shared" si="17"/>
        <v/>
      </c>
      <c r="O200" s="26" t="str">
        <f t="shared" si="18"/>
        <v/>
      </c>
      <c r="P200" s="21" t="str">
        <f t="shared" si="19"/>
        <v/>
      </c>
      <c r="Q200" s="52" t="str">
        <f>IF($A200="","",IF($O200&lt;=0,"Depleted",IF($I200&lt;0,"EXPIRED",IF($I200&lt;=Settings!$C$6,"CRITICAL",IF($I200&lt;=Settings!$C$5,"Expiring","In date")))))</f>
        <v/>
      </c>
    </row>
    <row r="201" spans="1:17" x14ac:dyDescent="0.35">
      <c r="A201" s="90" t="str">
        <f>IF(Receipts!$D204="","",Receipts!$D204)</f>
        <v/>
      </c>
      <c r="B201" s="18" t="str">
        <f>IF(Receipts!$C204="","",Receipts!$C204)</f>
        <v/>
      </c>
      <c r="C201" s="18" t="str">
        <f>IF($A201="","",IFERROR(INDEX(Items!$B$5:$B$597,MATCH($A201,Items!$A$5:$A$597,0)),""))</f>
        <v/>
      </c>
      <c r="D201" s="23" t="str">
        <f>IF($A201="","",N(Receipts!$G204))</f>
        <v/>
      </c>
      <c r="E201" s="20" t="str">
        <f>IF($A201="","",IFERROR(INDEX(Items!$D$5:$D$597,MATCH($A201,Items!$A$5:$A$597,0)),0))</f>
        <v/>
      </c>
      <c r="F201" s="21" t="str">
        <f t="shared" si="15"/>
        <v/>
      </c>
      <c r="G201" s="25" t="str">
        <f>IF(Receipts!$I204="","",Receipts!$I204)</f>
        <v/>
      </c>
      <c r="H201" s="25" t="str">
        <f>IF(Receipts!$H204="","",Receipts!$H204)</f>
        <v/>
      </c>
      <c r="I201" s="26" t="str">
        <f t="shared" ca="1" si="16"/>
        <v/>
      </c>
      <c r="J201" s="26" t="str">
        <f>IF($A201="","",COUNTIFS(tblReceipts[Item Name],$A201,tblReceipts[Expiry Date],"&lt;"&amp;$H201)+COUNTIFS(tblReceipts[Item Name],$A201,tblReceipts[Expiry Date],$H201,tblReceipts[Lot Number],"&lt;="&amp;Receipts!$C204))</f>
        <v/>
      </c>
      <c r="K201" s="26" t="str">
        <f>IF($A201="","",SUMIFS(tblReceipts[Qty Received],tblReceipts[Item Name],$A201,tblReceipts[Expiry Date],"&lt;"&amp;$H201)+SUMIFS(tblReceipts[Qty Received],tblReceipts[Item Name],$A201,tblReceipts[Expiry Date],$H201,tblReceipts[Lot Number],"&lt;"&amp;Receipts!$C204))</f>
        <v/>
      </c>
      <c r="L201" s="26" t="str">
        <f>IF($A201="","",MIN($D201,MAX(0,SUMIFS(tblIssues[Qty Issued],tblIssues[Item Name],$A201)-$K201)))</f>
        <v/>
      </c>
      <c r="M201" s="26" t="str">
        <f>IF($A201="","",SUMIFS(tblIssues[Qty Issued],tblIssues[Lot Number],$B201))</f>
        <v/>
      </c>
      <c r="N201" s="26" t="str">
        <f t="shared" si="17"/>
        <v/>
      </c>
      <c r="O201" s="26" t="str">
        <f t="shared" si="18"/>
        <v/>
      </c>
      <c r="P201" s="21" t="str">
        <f t="shared" si="19"/>
        <v/>
      </c>
      <c r="Q201" s="52" t="str">
        <f>IF($A201="","",IF($O201&lt;=0,"Depleted",IF($I201&lt;0,"EXPIRED",IF($I201&lt;=Settings!$C$6,"CRITICAL",IF($I201&lt;=Settings!$C$5,"Expiring","In date")))))</f>
        <v/>
      </c>
    </row>
    <row r="202" spans="1:17" x14ac:dyDescent="0.35">
      <c r="A202" s="90" t="str">
        <f>IF(Receipts!$D205="","",Receipts!$D205)</f>
        <v/>
      </c>
      <c r="B202" s="18" t="str">
        <f>IF(Receipts!$C205="","",Receipts!$C205)</f>
        <v/>
      </c>
      <c r="C202" s="18" t="str">
        <f>IF($A202="","",IFERROR(INDEX(Items!$B$5:$B$597,MATCH($A202,Items!$A$5:$A$597,0)),""))</f>
        <v/>
      </c>
      <c r="D202" s="23" t="str">
        <f>IF($A202="","",N(Receipts!$G205))</f>
        <v/>
      </c>
      <c r="E202" s="20" t="str">
        <f>IF($A202="","",IFERROR(INDEX(Items!$D$5:$D$597,MATCH($A202,Items!$A$5:$A$597,0)),0))</f>
        <v/>
      </c>
      <c r="F202" s="21" t="str">
        <f t="shared" si="15"/>
        <v/>
      </c>
      <c r="G202" s="25" t="str">
        <f>IF(Receipts!$I205="","",Receipts!$I205)</f>
        <v/>
      </c>
      <c r="H202" s="25" t="str">
        <f>IF(Receipts!$H205="","",Receipts!$H205)</f>
        <v/>
      </c>
      <c r="I202" s="26" t="str">
        <f t="shared" ca="1" si="16"/>
        <v/>
      </c>
      <c r="J202" s="26" t="str">
        <f>IF($A202="","",COUNTIFS(tblReceipts[Item Name],$A202,tblReceipts[Expiry Date],"&lt;"&amp;$H202)+COUNTIFS(tblReceipts[Item Name],$A202,tblReceipts[Expiry Date],$H202,tblReceipts[Lot Number],"&lt;="&amp;Receipts!$C205))</f>
        <v/>
      </c>
      <c r="K202" s="26" t="str">
        <f>IF($A202="","",SUMIFS(tblReceipts[Qty Received],tblReceipts[Item Name],$A202,tblReceipts[Expiry Date],"&lt;"&amp;$H202)+SUMIFS(tblReceipts[Qty Received],tblReceipts[Item Name],$A202,tblReceipts[Expiry Date],$H202,tblReceipts[Lot Number],"&lt;"&amp;Receipts!$C205))</f>
        <v/>
      </c>
      <c r="L202" s="26" t="str">
        <f>IF($A202="","",MIN($D202,MAX(0,SUMIFS(tblIssues[Qty Issued],tblIssues[Item Name],$A202)-$K202)))</f>
        <v/>
      </c>
      <c r="M202" s="26" t="str">
        <f>IF($A202="","",SUMIFS(tblIssues[Qty Issued],tblIssues[Lot Number],$B202))</f>
        <v/>
      </c>
      <c r="N202" s="26" t="str">
        <f t="shared" si="17"/>
        <v/>
      </c>
      <c r="O202" s="26" t="str">
        <f t="shared" si="18"/>
        <v/>
      </c>
      <c r="P202" s="21" t="str">
        <f t="shared" si="19"/>
        <v/>
      </c>
      <c r="Q202" s="52" t="str">
        <f>IF($A202="","",IF($O202&lt;=0,"Depleted",IF($I202&lt;0,"EXPIRED",IF($I202&lt;=Settings!$C$6,"CRITICAL",IF($I202&lt;=Settings!$C$5,"Expiring","In date")))))</f>
        <v/>
      </c>
    </row>
    <row r="203" spans="1:17" x14ac:dyDescent="0.35">
      <c r="A203" s="90" t="str">
        <f>IF(Receipts!$D206="","",Receipts!$D206)</f>
        <v/>
      </c>
      <c r="B203" s="18" t="str">
        <f>IF(Receipts!$C206="","",Receipts!$C206)</f>
        <v/>
      </c>
      <c r="C203" s="18" t="str">
        <f>IF($A203="","",IFERROR(INDEX(Items!$B$5:$B$597,MATCH($A203,Items!$A$5:$A$597,0)),""))</f>
        <v/>
      </c>
      <c r="D203" s="23" t="str">
        <f>IF($A203="","",N(Receipts!$G206))</f>
        <v/>
      </c>
      <c r="E203" s="20" t="str">
        <f>IF($A203="","",IFERROR(INDEX(Items!$D$5:$D$597,MATCH($A203,Items!$A$5:$A$597,0)),0))</f>
        <v/>
      </c>
      <c r="F203" s="21" t="str">
        <f t="shared" si="15"/>
        <v/>
      </c>
      <c r="G203" s="25" t="str">
        <f>IF(Receipts!$I206="","",Receipts!$I206)</f>
        <v/>
      </c>
      <c r="H203" s="25" t="str">
        <f>IF(Receipts!$H206="","",Receipts!$H206)</f>
        <v/>
      </c>
      <c r="I203" s="26" t="str">
        <f t="shared" ca="1" si="16"/>
        <v/>
      </c>
      <c r="J203" s="26" t="str">
        <f>IF($A203="","",COUNTIFS(tblReceipts[Item Name],$A203,tblReceipts[Expiry Date],"&lt;"&amp;$H203)+COUNTIFS(tblReceipts[Item Name],$A203,tblReceipts[Expiry Date],$H203,tblReceipts[Lot Number],"&lt;="&amp;Receipts!$C206))</f>
        <v/>
      </c>
      <c r="K203" s="26" t="str">
        <f>IF($A203="","",SUMIFS(tblReceipts[Qty Received],tblReceipts[Item Name],$A203,tblReceipts[Expiry Date],"&lt;"&amp;$H203)+SUMIFS(tblReceipts[Qty Received],tblReceipts[Item Name],$A203,tblReceipts[Expiry Date],$H203,tblReceipts[Lot Number],"&lt;"&amp;Receipts!$C206))</f>
        <v/>
      </c>
      <c r="L203" s="26" t="str">
        <f>IF($A203="","",MIN($D203,MAX(0,SUMIFS(tblIssues[Qty Issued],tblIssues[Item Name],$A203)-$K203)))</f>
        <v/>
      </c>
      <c r="M203" s="26" t="str">
        <f>IF($A203="","",SUMIFS(tblIssues[Qty Issued],tblIssues[Lot Number],$B203))</f>
        <v/>
      </c>
      <c r="N203" s="26" t="str">
        <f t="shared" si="17"/>
        <v/>
      </c>
      <c r="O203" s="26" t="str">
        <f t="shared" si="18"/>
        <v/>
      </c>
      <c r="P203" s="21" t="str">
        <f t="shared" si="19"/>
        <v/>
      </c>
      <c r="Q203" s="52" t="str">
        <f>IF($A203="","",IF($O203&lt;=0,"Depleted",IF($I203&lt;0,"EXPIRED",IF($I203&lt;=Settings!$C$6,"CRITICAL",IF($I203&lt;=Settings!$C$5,"Expiring","In date")))))</f>
        <v/>
      </c>
    </row>
    <row r="204" spans="1:17" x14ac:dyDescent="0.35">
      <c r="A204" s="90" t="str">
        <f>IF(Receipts!$D207="","",Receipts!$D207)</f>
        <v/>
      </c>
      <c r="B204" s="18" t="str">
        <f>IF(Receipts!$C207="","",Receipts!$C207)</f>
        <v/>
      </c>
      <c r="C204" s="18" t="str">
        <f>IF($A204="","",IFERROR(INDEX(Items!$B$5:$B$597,MATCH($A204,Items!$A$5:$A$597,0)),""))</f>
        <v/>
      </c>
      <c r="D204" s="23" t="str">
        <f>IF($A204="","",N(Receipts!$G207))</f>
        <v/>
      </c>
      <c r="E204" s="20" t="str">
        <f>IF($A204="","",IFERROR(INDEX(Items!$D$5:$D$597,MATCH($A204,Items!$A$5:$A$597,0)),0))</f>
        <v/>
      </c>
      <c r="F204" s="21" t="str">
        <f t="shared" si="15"/>
        <v/>
      </c>
      <c r="G204" s="25" t="str">
        <f>IF(Receipts!$I207="","",Receipts!$I207)</f>
        <v/>
      </c>
      <c r="H204" s="25" t="str">
        <f>IF(Receipts!$H207="","",Receipts!$H207)</f>
        <v/>
      </c>
      <c r="I204" s="26" t="str">
        <f t="shared" ca="1" si="16"/>
        <v/>
      </c>
      <c r="J204" s="26" t="str">
        <f>IF($A204="","",COUNTIFS(tblReceipts[Item Name],$A204,tblReceipts[Expiry Date],"&lt;"&amp;$H204)+COUNTIFS(tblReceipts[Item Name],$A204,tblReceipts[Expiry Date],$H204,tblReceipts[Lot Number],"&lt;="&amp;Receipts!$C207))</f>
        <v/>
      </c>
      <c r="K204" s="26" t="str">
        <f>IF($A204="","",SUMIFS(tblReceipts[Qty Received],tblReceipts[Item Name],$A204,tblReceipts[Expiry Date],"&lt;"&amp;$H204)+SUMIFS(tblReceipts[Qty Received],tblReceipts[Item Name],$A204,tblReceipts[Expiry Date],$H204,tblReceipts[Lot Number],"&lt;"&amp;Receipts!$C207))</f>
        <v/>
      </c>
      <c r="L204" s="26" t="str">
        <f>IF($A204="","",MIN($D204,MAX(0,SUMIFS(tblIssues[Qty Issued],tblIssues[Item Name],$A204)-$K204)))</f>
        <v/>
      </c>
      <c r="M204" s="26" t="str">
        <f>IF($A204="","",SUMIFS(tblIssues[Qty Issued],tblIssues[Lot Number],$B204))</f>
        <v/>
      </c>
      <c r="N204" s="26" t="str">
        <f t="shared" si="17"/>
        <v/>
      </c>
      <c r="O204" s="26" t="str">
        <f t="shared" si="18"/>
        <v/>
      </c>
      <c r="P204" s="21" t="str">
        <f t="shared" si="19"/>
        <v/>
      </c>
      <c r="Q204" s="52" t="str">
        <f>IF($A204="","",IF($O204&lt;=0,"Depleted",IF($I204&lt;0,"EXPIRED",IF($I204&lt;=Settings!$C$6,"CRITICAL",IF($I204&lt;=Settings!$C$5,"Expiring","In date")))))</f>
        <v/>
      </c>
    </row>
    <row r="205" spans="1:17" x14ac:dyDescent="0.35">
      <c r="A205" s="90" t="str">
        <f>IF(Receipts!$D208="","",Receipts!$D208)</f>
        <v/>
      </c>
      <c r="B205" s="18" t="str">
        <f>IF(Receipts!$C208="","",Receipts!$C208)</f>
        <v/>
      </c>
      <c r="C205" s="18" t="str">
        <f>IF($A205="","",IFERROR(INDEX(Items!$B$5:$B$597,MATCH($A205,Items!$A$5:$A$597,0)),""))</f>
        <v/>
      </c>
      <c r="D205" s="23" t="str">
        <f>IF($A205="","",N(Receipts!$G208))</f>
        <v/>
      </c>
      <c r="E205" s="20" t="str">
        <f>IF($A205="","",IFERROR(INDEX(Items!$D$5:$D$597,MATCH($A205,Items!$A$5:$A$597,0)),0))</f>
        <v/>
      </c>
      <c r="F205" s="21" t="str">
        <f t="shared" si="15"/>
        <v/>
      </c>
      <c r="G205" s="25" t="str">
        <f>IF(Receipts!$I208="","",Receipts!$I208)</f>
        <v/>
      </c>
      <c r="H205" s="25" t="str">
        <f>IF(Receipts!$H208="","",Receipts!$H208)</f>
        <v/>
      </c>
      <c r="I205" s="26" t="str">
        <f t="shared" ca="1" si="16"/>
        <v/>
      </c>
      <c r="J205" s="26" t="str">
        <f>IF($A205="","",COUNTIFS(tblReceipts[Item Name],$A205,tblReceipts[Expiry Date],"&lt;"&amp;$H205)+COUNTIFS(tblReceipts[Item Name],$A205,tblReceipts[Expiry Date],$H205,tblReceipts[Lot Number],"&lt;="&amp;Receipts!$C208))</f>
        <v/>
      </c>
      <c r="K205" s="26" t="str">
        <f>IF($A205="","",SUMIFS(tblReceipts[Qty Received],tblReceipts[Item Name],$A205,tblReceipts[Expiry Date],"&lt;"&amp;$H205)+SUMIFS(tblReceipts[Qty Received],tblReceipts[Item Name],$A205,tblReceipts[Expiry Date],$H205,tblReceipts[Lot Number],"&lt;"&amp;Receipts!$C208))</f>
        <v/>
      </c>
      <c r="L205" s="26" t="str">
        <f>IF($A205="","",MIN($D205,MAX(0,SUMIFS(tblIssues[Qty Issued],tblIssues[Item Name],$A205)-$K205)))</f>
        <v/>
      </c>
      <c r="M205" s="26" t="str">
        <f>IF($A205="","",SUMIFS(tblIssues[Qty Issued],tblIssues[Lot Number],$B205))</f>
        <v/>
      </c>
      <c r="N205" s="26" t="str">
        <f t="shared" si="17"/>
        <v/>
      </c>
      <c r="O205" s="26" t="str">
        <f t="shared" si="18"/>
        <v/>
      </c>
      <c r="P205" s="21" t="str">
        <f t="shared" si="19"/>
        <v/>
      </c>
      <c r="Q205" s="52" t="str">
        <f>IF($A205="","",IF($O205&lt;=0,"Depleted",IF($I205&lt;0,"EXPIRED",IF($I205&lt;=Settings!$C$6,"CRITICAL",IF($I205&lt;=Settings!$C$5,"Expiring","In date")))))</f>
        <v/>
      </c>
    </row>
    <row r="206" spans="1:17" x14ac:dyDescent="0.35">
      <c r="A206" s="90" t="str">
        <f>IF(Receipts!$D209="","",Receipts!$D209)</f>
        <v/>
      </c>
      <c r="B206" s="18" t="str">
        <f>IF(Receipts!$C209="","",Receipts!$C209)</f>
        <v/>
      </c>
      <c r="C206" s="18" t="str">
        <f>IF($A206="","",IFERROR(INDEX(Items!$B$5:$B$597,MATCH($A206,Items!$A$5:$A$597,0)),""))</f>
        <v/>
      </c>
      <c r="D206" s="23" t="str">
        <f>IF($A206="","",N(Receipts!$G209))</f>
        <v/>
      </c>
      <c r="E206" s="20" t="str">
        <f>IF($A206="","",IFERROR(INDEX(Items!$D$5:$D$597,MATCH($A206,Items!$A$5:$A$597,0)),0))</f>
        <v/>
      </c>
      <c r="F206" s="21" t="str">
        <f t="shared" si="15"/>
        <v/>
      </c>
      <c r="G206" s="25" t="str">
        <f>IF(Receipts!$I209="","",Receipts!$I209)</f>
        <v/>
      </c>
      <c r="H206" s="25" t="str">
        <f>IF(Receipts!$H209="","",Receipts!$H209)</f>
        <v/>
      </c>
      <c r="I206" s="26" t="str">
        <f t="shared" ca="1" si="16"/>
        <v/>
      </c>
      <c r="J206" s="26" t="str">
        <f>IF($A206="","",COUNTIFS(tblReceipts[Item Name],$A206,tblReceipts[Expiry Date],"&lt;"&amp;$H206)+COUNTIFS(tblReceipts[Item Name],$A206,tblReceipts[Expiry Date],$H206,tblReceipts[Lot Number],"&lt;="&amp;Receipts!$C209))</f>
        <v/>
      </c>
      <c r="K206" s="26" t="str">
        <f>IF($A206="","",SUMIFS(tblReceipts[Qty Received],tblReceipts[Item Name],$A206,tblReceipts[Expiry Date],"&lt;"&amp;$H206)+SUMIFS(tblReceipts[Qty Received],tblReceipts[Item Name],$A206,tblReceipts[Expiry Date],$H206,tblReceipts[Lot Number],"&lt;"&amp;Receipts!$C209))</f>
        <v/>
      </c>
      <c r="L206" s="26" t="str">
        <f>IF($A206="","",MIN($D206,MAX(0,SUMIFS(tblIssues[Qty Issued],tblIssues[Item Name],$A206)-$K206)))</f>
        <v/>
      </c>
      <c r="M206" s="26" t="str">
        <f>IF($A206="","",SUMIFS(tblIssues[Qty Issued],tblIssues[Lot Number],$B206))</f>
        <v/>
      </c>
      <c r="N206" s="26" t="str">
        <f t="shared" si="17"/>
        <v/>
      </c>
      <c r="O206" s="26" t="str">
        <f t="shared" si="18"/>
        <v/>
      </c>
      <c r="P206" s="21" t="str">
        <f t="shared" si="19"/>
        <v/>
      </c>
      <c r="Q206" s="52" t="str">
        <f>IF($A206="","",IF($O206&lt;=0,"Depleted",IF($I206&lt;0,"EXPIRED",IF($I206&lt;=Settings!$C$6,"CRITICAL",IF($I206&lt;=Settings!$C$5,"Expiring","In date")))))</f>
        <v/>
      </c>
    </row>
    <row r="207" spans="1:17" x14ac:dyDescent="0.35">
      <c r="A207" s="90" t="str">
        <f>IF(Receipts!$D210="","",Receipts!$D210)</f>
        <v/>
      </c>
      <c r="B207" s="18" t="str">
        <f>IF(Receipts!$C210="","",Receipts!$C210)</f>
        <v/>
      </c>
      <c r="C207" s="18" t="str">
        <f>IF($A207="","",IFERROR(INDEX(Items!$B$5:$B$597,MATCH($A207,Items!$A$5:$A$597,0)),""))</f>
        <v/>
      </c>
      <c r="D207" s="23" t="str">
        <f>IF($A207="","",N(Receipts!$G210))</f>
        <v/>
      </c>
      <c r="E207" s="20" t="str">
        <f>IF($A207="","",IFERROR(INDEX(Items!$D$5:$D$597,MATCH($A207,Items!$A$5:$A$597,0)),0))</f>
        <v/>
      </c>
      <c r="F207" s="21" t="str">
        <f t="shared" si="15"/>
        <v/>
      </c>
      <c r="G207" s="25" t="str">
        <f>IF(Receipts!$I210="","",Receipts!$I210)</f>
        <v/>
      </c>
      <c r="H207" s="25" t="str">
        <f>IF(Receipts!$H210="","",Receipts!$H210)</f>
        <v/>
      </c>
      <c r="I207" s="26" t="str">
        <f t="shared" ca="1" si="16"/>
        <v/>
      </c>
      <c r="J207" s="26" t="str">
        <f>IF($A207="","",COUNTIFS(tblReceipts[Item Name],$A207,tblReceipts[Expiry Date],"&lt;"&amp;$H207)+COUNTIFS(tblReceipts[Item Name],$A207,tblReceipts[Expiry Date],$H207,tblReceipts[Lot Number],"&lt;="&amp;Receipts!$C210))</f>
        <v/>
      </c>
      <c r="K207" s="26" t="str">
        <f>IF($A207="","",SUMIFS(tblReceipts[Qty Received],tblReceipts[Item Name],$A207,tblReceipts[Expiry Date],"&lt;"&amp;$H207)+SUMIFS(tblReceipts[Qty Received],tblReceipts[Item Name],$A207,tblReceipts[Expiry Date],$H207,tblReceipts[Lot Number],"&lt;"&amp;Receipts!$C210))</f>
        <v/>
      </c>
      <c r="L207" s="26" t="str">
        <f>IF($A207="","",MIN($D207,MAX(0,SUMIFS(tblIssues[Qty Issued],tblIssues[Item Name],$A207)-$K207)))</f>
        <v/>
      </c>
      <c r="M207" s="26" t="str">
        <f>IF($A207="","",SUMIFS(tblIssues[Qty Issued],tblIssues[Lot Number],$B207))</f>
        <v/>
      </c>
      <c r="N207" s="26" t="str">
        <f t="shared" si="17"/>
        <v/>
      </c>
      <c r="O207" s="26" t="str">
        <f t="shared" si="18"/>
        <v/>
      </c>
      <c r="P207" s="21" t="str">
        <f t="shared" si="19"/>
        <v/>
      </c>
      <c r="Q207" s="52" t="str">
        <f>IF($A207="","",IF($O207&lt;=0,"Depleted",IF($I207&lt;0,"EXPIRED",IF($I207&lt;=Settings!$C$6,"CRITICAL",IF($I207&lt;=Settings!$C$5,"Expiring","In date")))))</f>
        <v/>
      </c>
    </row>
    <row r="208" spans="1:17" x14ac:dyDescent="0.35">
      <c r="A208" s="90" t="str">
        <f>IF(Receipts!$D211="","",Receipts!$D211)</f>
        <v/>
      </c>
      <c r="B208" s="18" t="str">
        <f>IF(Receipts!$C211="","",Receipts!$C211)</f>
        <v/>
      </c>
      <c r="C208" s="18" t="str">
        <f>IF($A208="","",IFERROR(INDEX(Items!$B$5:$B$597,MATCH($A208,Items!$A$5:$A$597,0)),""))</f>
        <v/>
      </c>
      <c r="D208" s="23" t="str">
        <f>IF($A208="","",N(Receipts!$G211))</f>
        <v/>
      </c>
      <c r="E208" s="20" t="str">
        <f>IF($A208="","",IFERROR(INDEX(Items!$D$5:$D$597,MATCH($A208,Items!$A$5:$A$597,0)),0))</f>
        <v/>
      </c>
      <c r="F208" s="21" t="str">
        <f t="shared" si="15"/>
        <v/>
      </c>
      <c r="G208" s="25" t="str">
        <f>IF(Receipts!$I211="","",Receipts!$I211)</f>
        <v/>
      </c>
      <c r="H208" s="25" t="str">
        <f>IF(Receipts!$H211="","",Receipts!$H211)</f>
        <v/>
      </c>
      <c r="I208" s="26" t="str">
        <f t="shared" ca="1" si="16"/>
        <v/>
      </c>
      <c r="J208" s="26" t="str">
        <f>IF($A208="","",COUNTIFS(tblReceipts[Item Name],$A208,tblReceipts[Expiry Date],"&lt;"&amp;$H208)+COUNTIFS(tblReceipts[Item Name],$A208,tblReceipts[Expiry Date],$H208,tblReceipts[Lot Number],"&lt;="&amp;Receipts!$C211))</f>
        <v/>
      </c>
      <c r="K208" s="26" t="str">
        <f>IF($A208="","",SUMIFS(tblReceipts[Qty Received],tblReceipts[Item Name],$A208,tblReceipts[Expiry Date],"&lt;"&amp;$H208)+SUMIFS(tblReceipts[Qty Received],tblReceipts[Item Name],$A208,tblReceipts[Expiry Date],$H208,tblReceipts[Lot Number],"&lt;"&amp;Receipts!$C211))</f>
        <v/>
      </c>
      <c r="L208" s="26" t="str">
        <f>IF($A208="","",MIN($D208,MAX(0,SUMIFS(tblIssues[Qty Issued],tblIssues[Item Name],$A208)-$K208)))</f>
        <v/>
      </c>
      <c r="M208" s="26" t="str">
        <f>IF($A208="","",SUMIFS(tblIssues[Qty Issued],tblIssues[Lot Number],$B208))</f>
        <v/>
      </c>
      <c r="N208" s="26" t="str">
        <f t="shared" si="17"/>
        <v/>
      </c>
      <c r="O208" s="26" t="str">
        <f t="shared" si="18"/>
        <v/>
      </c>
      <c r="P208" s="21" t="str">
        <f t="shared" si="19"/>
        <v/>
      </c>
      <c r="Q208" s="52" t="str">
        <f>IF($A208="","",IF($O208&lt;=0,"Depleted",IF($I208&lt;0,"EXPIRED",IF($I208&lt;=Settings!$C$6,"CRITICAL",IF($I208&lt;=Settings!$C$5,"Expiring","In date")))))</f>
        <v/>
      </c>
    </row>
    <row r="209" spans="1:17" x14ac:dyDescent="0.35">
      <c r="A209" s="90" t="str">
        <f>IF(Receipts!$D212="","",Receipts!$D212)</f>
        <v/>
      </c>
      <c r="B209" s="18" t="str">
        <f>IF(Receipts!$C212="","",Receipts!$C212)</f>
        <v/>
      </c>
      <c r="C209" s="18" t="str">
        <f>IF($A209="","",IFERROR(INDEX(Items!$B$5:$B$597,MATCH($A209,Items!$A$5:$A$597,0)),""))</f>
        <v/>
      </c>
      <c r="D209" s="23" t="str">
        <f>IF($A209="","",N(Receipts!$G212))</f>
        <v/>
      </c>
      <c r="E209" s="20" t="str">
        <f>IF($A209="","",IFERROR(INDEX(Items!$D$5:$D$597,MATCH($A209,Items!$A$5:$A$597,0)),0))</f>
        <v/>
      </c>
      <c r="F209" s="21" t="str">
        <f t="shared" si="15"/>
        <v/>
      </c>
      <c r="G209" s="25" t="str">
        <f>IF(Receipts!$I212="","",Receipts!$I212)</f>
        <v/>
      </c>
      <c r="H209" s="25" t="str">
        <f>IF(Receipts!$H212="","",Receipts!$H212)</f>
        <v/>
      </c>
      <c r="I209" s="26" t="str">
        <f t="shared" ca="1" si="16"/>
        <v/>
      </c>
      <c r="J209" s="26" t="str">
        <f>IF($A209="","",COUNTIFS(tblReceipts[Item Name],$A209,tblReceipts[Expiry Date],"&lt;"&amp;$H209)+COUNTIFS(tblReceipts[Item Name],$A209,tblReceipts[Expiry Date],$H209,tblReceipts[Lot Number],"&lt;="&amp;Receipts!$C212))</f>
        <v/>
      </c>
      <c r="K209" s="26" t="str">
        <f>IF($A209="","",SUMIFS(tblReceipts[Qty Received],tblReceipts[Item Name],$A209,tblReceipts[Expiry Date],"&lt;"&amp;$H209)+SUMIFS(tblReceipts[Qty Received],tblReceipts[Item Name],$A209,tblReceipts[Expiry Date],$H209,tblReceipts[Lot Number],"&lt;"&amp;Receipts!$C212))</f>
        <v/>
      </c>
      <c r="L209" s="26" t="str">
        <f>IF($A209="","",MIN($D209,MAX(0,SUMIFS(tblIssues[Qty Issued],tblIssues[Item Name],$A209)-$K209)))</f>
        <v/>
      </c>
      <c r="M209" s="26" t="str">
        <f>IF($A209="","",SUMIFS(tblIssues[Qty Issued],tblIssues[Lot Number],$B209))</f>
        <v/>
      </c>
      <c r="N209" s="26" t="str">
        <f t="shared" si="17"/>
        <v/>
      </c>
      <c r="O209" s="26" t="str">
        <f t="shared" si="18"/>
        <v/>
      </c>
      <c r="P209" s="21" t="str">
        <f t="shared" si="19"/>
        <v/>
      </c>
      <c r="Q209" s="52" t="str">
        <f>IF($A209="","",IF($O209&lt;=0,"Depleted",IF($I209&lt;0,"EXPIRED",IF($I209&lt;=Settings!$C$6,"CRITICAL",IF($I209&lt;=Settings!$C$5,"Expiring","In date")))))</f>
        <v/>
      </c>
    </row>
    <row r="210" spans="1:17" x14ac:dyDescent="0.35">
      <c r="A210" s="90" t="str">
        <f>IF(Receipts!$D213="","",Receipts!$D213)</f>
        <v/>
      </c>
      <c r="B210" s="18" t="str">
        <f>IF(Receipts!$C213="","",Receipts!$C213)</f>
        <v/>
      </c>
      <c r="C210" s="18" t="str">
        <f>IF($A210="","",IFERROR(INDEX(Items!$B$5:$B$597,MATCH($A210,Items!$A$5:$A$597,0)),""))</f>
        <v/>
      </c>
      <c r="D210" s="23" t="str">
        <f>IF($A210="","",N(Receipts!$G213))</f>
        <v/>
      </c>
      <c r="E210" s="20" t="str">
        <f>IF($A210="","",IFERROR(INDEX(Items!$D$5:$D$597,MATCH($A210,Items!$A$5:$A$597,0)),0))</f>
        <v/>
      </c>
      <c r="F210" s="21" t="str">
        <f t="shared" si="15"/>
        <v/>
      </c>
      <c r="G210" s="25" t="str">
        <f>IF(Receipts!$I213="","",Receipts!$I213)</f>
        <v/>
      </c>
      <c r="H210" s="25" t="str">
        <f>IF(Receipts!$H213="","",Receipts!$H213)</f>
        <v/>
      </c>
      <c r="I210" s="26" t="str">
        <f t="shared" ca="1" si="16"/>
        <v/>
      </c>
      <c r="J210" s="26" t="str">
        <f>IF($A210="","",COUNTIFS(tblReceipts[Item Name],$A210,tblReceipts[Expiry Date],"&lt;"&amp;$H210)+COUNTIFS(tblReceipts[Item Name],$A210,tblReceipts[Expiry Date],$H210,tblReceipts[Lot Number],"&lt;="&amp;Receipts!$C213))</f>
        <v/>
      </c>
      <c r="K210" s="26" t="str">
        <f>IF($A210="","",SUMIFS(tblReceipts[Qty Received],tblReceipts[Item Name],$A210,tblReceipts[Expiry Date],"&lt;"&amp;$H210)+SUMIFS(tblReceipts[Qty Received],tblReceipts[Item Name],$A210,tblReceipts[Expiry Date],$H210,tblReceipts[Lot Number],"&lt;"&amp;Receipts!$C213))</f>
        <v/>
      </c>
      <c r="L210" s="26" t="str">
        <f>IF($A210="","",MIN($D210,MAX(0,SUMIFS(tblIssues[Qty Issued],tblIssues[Item Name],$A210)-$K210)))</f>
        <v/>
      </c>
      <c r="M210" s="26" t="str">
        <f>IF($A210="","",SUMIFS(tblIssues[Qty Issued],tblIssues[Lot Number],$B210))</f>
        <v/>
      </c>
      <c r="N210" s="26" t="str">
        <f t="shared" si="17"/>
        <v/>
      </c>
      <c r="O210" s="26" t="str">
        <f t="shared" si="18"/>
        <v/>
      </c>
      <c r="P210" s="21" t="str">
        <f t="shared" si="19"/>
        <v/>
      </c>
      <c r="Q210" s="52" t="str">
        <f>IF($A210="","",IF($O210&lt;=0,"Depleted",IF($I210&lt;0,"EXPIRED",IF($I210&lt;=Settings!$C$6,"CRITICAL",IF($I210&lt;=Settings!$C$5,"Expiring","In date")))))</f>
        <v/>
      </c>
    </row>
    <row r="211" spans="1:17" x14ac:dyDescent="0.35">
      <c r="A211" s="90" t="str">
        <f>IF(Receipts!$D214="","",Receipts!$D214)</f>
        <v/>
      </c>
      <c r="B211" s="18" t="str">
        <f>IF(Receipts!$C214="","",Receipts!$C214)</f>
        <v/>
      </c>
      <c r="C211" s="18" t="str">
        <f>IF($A211="","",IFERROR(INDEX(Items!$B$5:$B$597,MATCH($A211,Items!$A$5:$A$597,0)),""))</f>
        <v/>
      </c>
      <c r="D211" s="23" t="str">
        <f>IF($A211="","",N(Receipts!$G214))</f>
        <v/>
      </c>
      <c r="E211" s="20" t="str">
        <f>IF($A211="","",IFERROR(INDEX(Items!$D$5:$D$597,MATCH($A211,Items!$A$5:$A$597,0)),0))</f>
        <v/>
      </c>
      <c r="F211" s="21" t="str">
        <f t="shared" si="15"/>
        <v/>
      </c>
      <c r="G211" s="25" t="str">
        <f>IF(Receipts!$I214="","",Receipts!$I214)</f>
        <v/>
      </c>
      <c r="H211" s="25" t="str">
        <f>IF(Receipts!$H214="","",Receipts!$H214)</f>
        <v/>
      </c>
      <c r="I211" s="26" t="str">
        <f t="shared" ca="1" si="16"/>
        <v/>
      </c>
      <c r="J211" s="26" t="str">
        <f>IF($A211="","",COUNTIFS(tblReceipts[Item Name],$A211,tblReceipts[Expiry Date],"&lt;"&amp;$H211)+COUNTIFS(tblReceipts[Item Name],$A211,tblReceipts[Expiry Date],$H211,tblReceipts[Lot Number],"&lt;="&amp;Receipts!$C214))</f>
        <v/>
      </c>
      <c r="K211" s="26" t="str">
        <f>IF($A211="","",SUMIFS(tblReceipts[Qty Received],tblReceipts[Item Name],$A211,tblReceipts[Expiry Date],"&lt;"&amp;$H211)+SUMIFS(tblReceipts[Qty Received],tblReceipts[Item Name],$A211,tblReceipts[Expiry Date],$H211,tblReceipts[Lot Number],"&lt;"&amp;Receipts!$C214))</f>
        <v/>
      </c>
      <c r="L211" s="26" t="str">
        <f>IF($A211="","",MIN($D211,MAX(0,SUMIFS(tblIssues[Qty Issued],tblIssues[Item Name],$A211)-$K211)))</f>
        <v/>
      </c>
      <c r="M211" s="26" t="str">
        <f>IF($A211="","",SUMIFS(tblIssues[Qty Issued],tblIssues[Lot Number],$B211))</f>
        <v/>
      </c>
      <c r="N211" s="26" t="str">
        <f t="shared" si="17"/>
        <v/>
      </c>
      <c r="O211" s="26" t="str">
        <f t="shared" si="18"/>
        <v/>
      </c>
      <c r="P211" s="21" t="str">
        <f t="shared" si="19"/>
        <v/>
      </c>
      <c r="Q211" s="52" t="str">
        <f>IF($A211="","",IF($O211&lt;=0,"Depleted",IF($I211&lt;0,"EXPIRED",IF($I211&lt;=Settings!$C$6,"CRITICAL",IF($I211&lt;=Settings!$C$5,"Expiring","In date")))))</f>
        <v/>
      </c>
    </row>
    <row r="212" spans="1:17" x14ac:dyDescent="0.35">
      <c r="A212" s="90" t="str">
        <f>IF(Receipts!$D215="","",Receipts!$D215)</f>
        <v/>
      </c>
      <c r="B212" s="18" t="str">
        <f>IF(Receipts!$C215="","",Receipts!$C215)</f>
        <v/>
      </c>
      <c r="C212" s="18" t="str">
        <f>IF($A212="","",IFERROR(INDEX(Items!$B$5:$B$597,MATCH($A212,Items!$A$5:$A$597,0)),""))</f>
        <v/>
      </c>
      <c r="D212" s="23" t="str">
        <f>IF($A212="","",N(Receipts!$G215))</f>
        <v/>
      </c>
      <c r="E212" s="20" t="str">
        <f>IF($A212="","",IFERROR(INDEX(Items!$D$5:$D$597,MATCH($A212,Items!$A$5:$A$597,0)),0))</f>
        <v/>
      </c>
      <c r="F212" s="21" t="str">
        <f t="shared" si="15"/>
        <v/>
      </c>
      <c r="G212" s="25" t="str">
        <f>IF(Receipts!$I215="","",Receipts!$I215)</f>
        <v/>
      </c>
      <c r="H212" s="25" t="str">
        <f>IF(Receipts!$H215="","",Receipts!$H215)</f>
        <v/>
      </c>
      <c r="I212" s="26" t="str">
        <f t="shared" ca="1" si="16"/>
        <v/>
      </c>
      <c r="J212" s="26" t="str">
        <f>IF($A212="","",COUNTIFS(tblReceipts[Item Name],$A212,tblReceipts[Expiry Date],"&lt;"&amp;$H212)+COUNTIFS(tblReceipts[Item Name],$A212,tblReceipts[Expiry Date],$H212,tblReceipts[Lot Number],"&lt;="&amp;Receipts!$C215))</f>
        <v/>
      </c>
      <c r="K212" s="26" t="str">
        <f>IF($A212="","",SUMIFS(tblReceipts[Qty Received],tblReceipts[Item Name],$A212,tblReceipts[Expiry Date],"&lt;"&amp;$H212)+SUMIFS(tblReceipts[Qty Received],tblReceipts[Item Name],$A212,tblReceipts[Expiry Date],$H212,tblReceipts[Lot Number],"&lt;"&amp;Receipts!$C215))</f>
        <v/>
      </c>
      <c r="L212" s="26" t="str">
        <f>IF($A212="","",MIN($D212,MAX(0,SUMIFS(tblIssues[Qty Issued],tblIssues[Item Name],$A212)-$K212)))</f>
        <v/>
      </c>
      <c r="M212" s="26" t="str">
        <f>IF($A212="","",SUMIFS(tblIssues[Qty Issued],tblIssues[Lot Number],$B212))</f>
        <v/>
      </c>
      <c r="N212" s="26" t="str">
        <f t="shared" si="17"/>
        <v/>
      </c>
      <c r="O212" s="26" t="str">
        <f t="shared" si="18"/>
        <v/>
      </c>
      <c r="P212" s="21" t="str">
        <f t="shared" si="19"/>
        <v/>
      </c>
      <c r="Q212" s="52" t="str">
        <f>IF($A212="","",IF($O212&lt;=0,"Depleted",IF($I212&lt;0,"EXPIRED",IF($I212&lt;=Settings!$C$6,"CRITICAL",IF($I212&lt;=Settings!$C$5,"Expiring","In date")))))</f>
        <v/>
      </c>
    </row>
    <row r="213" spans="1:17" x14ac:dyDescent="0.35">
      <c r="A213" s="90" t="str">
        <f>IF(Receipts!$D216="","",Receipts!$D216)</f>
        <v/>
      </c>
      <c r="B213" s="18" t="str">
        <f>IF(Receipts!$C216="","",Receipts!$C216)</f>
        <v/>
      </c>
      <c r="C213" s="18" t="str">
        <f>IF($A213="","",IFERROR(INDEX(Items!$B$5:$B$597,MATCH($A213,Items!$A$5:$A$597,0)),""))</f>
        <v/>
      </c>
      <c r="D213" s="23" t="str">
        <f>IF($A213="","",N(Receipts!$G216))</f>
        <v/>
      </c>
      <c r="E213" s="20" t="str">
        <f>IF($A213="","",IFERROR(INDEX(Items!$D$5:$D$597,MATCH($A213,Items!$A$5:$A$597,0)),0))</f>
        <v/>
      </c>
      <c r="F213" s="21" t="str">
        <f t="shared" si="15"/>
        <v/>
      </c>
      <c r="G213" s="25" t="str">
        <f>IF(Receipts!$I216="","",Receipts!$I216)</f>
        <v/>
      </c>
      <c r="H213" s="25" t="str">
        <f>IF(Receipts!$H216="","",Receipts!$H216)</f>
        <v/>
      </c>
      <c r="I213" s="26" t="str">
        <f t="shared" ca="1" si="16"/>
        <v/>
      </c>
      <c r="J213" s="26" t="str">
        <f>IF($A213="","",COUNTIFS(tblReceipts[Item Name],$A213,tblReceipts[Expiry Date],"&lt;"&amp;$H213)+COUNTIFS(tblReceipts[Item Name],$A213,tblReceipts[Expiry Date],$H213,tblReceipts[Lot Number],"&lt;="&amp;Receipts!$C216))</f>
        <v/>
      </c>
      <c r="K213" s="26" t="str">
        <f>IF($A213="","",SUMIFS(tblReceipts[Qty Received],tblReceipts[Item Name],$A213,tblReceipts[Expiry Date],"&lt;"&amp;$H213)+SUMIFS(tblReceipts[Qty Received],tblReceipts[Item Name],$A213,tblReceipts[Expiry Date],$H213,tblReceipts[Lot Number],"&lt;"&amp;Receipts!$C216))</f>
        <v/>
      </c>
      <c r="L213" s="26" t="str">
        <f>IF($A213="","",MIN($D213,MAX(0,SUMIFS(tblIssues[Qty Issued],tblIssues[Item Name],$A213)-$K213)))</f>
        <v/>
      </c>
      <c r="M213" s="26" t="str">
        <f>IF($A213="","",SUMIFS(tblIssues[Qty Issued],tblIssues[Lot Number],$B213))</f>
        <v/>
      </c>
      <c r="N213" s="26" t="str">
        <f t="shared" si="17"/>
        <v/>
      </c>
      <c r="O213" s="26" t="str">
        <f t="shared" si="18"/>
        <v/>
      </c>
      <c r="P213" s="21" t="str">
        <f t="shared" si="19"/>
        <v/>
      </c>
      <c r="Q213" s="52" t="str">
        <f>IF($A213="","",IF($O213&lt;=0,"Depleted",IF($I213&lt;0,"EXPIRED",IF($I213&lt;=Settings!$C$6,"CRITICAL",IF($I213&lt;=Settings!$C$5,"Expiring","In date")))))</f>
        <v/>
      </c>
    </row>
    <row r="214" spans="1:17" x14ac:dyDescent="0.35">
      <c r="A214" s="90" t="str">
        <f>IF(Receipts!$D217="","",Receipts!$D217)</f>
        <v/>
      </c>
      <c r="B214" s="18" t="str">
        <f>IF(Receipts!$C217="","",Receipts!$C217)</f>
        <v/>
      </c>
      <c r="C214" s="18" t="str">
        <f>IF($A214="","",IFERROR(INDEX(Items!$B$5:$B$597,MATCH($A214,Items!$A$5:$A$597,0)),""))</f>
        <v/>
      </c>
      <c r="D214" s="23" t="str">
        <f>IF($A214="","",N(Receipts!$G217))</f>
        <v/>
      </c>
      <c r="E214" s="20" t="str">
        <f>IF($A214="","",IFERROR(INDEX(Items!$D$5:$D$597,MATCH($A214,Items!$A$5:$A$597,0)),0))</f>
        <v/>
      </c>
      <c r="F214" s="21" t="str">
        <f t="shared" si="15"/>
        <v/>
      </c>
      <c r="G214" s="25" t="str">
        <f>IF(Receipts!$I217="","",Receipts!$I217)</f>
        <v/>
      </c>
      <c r="H214" s="25" t="str">
        <f>IF(Receipts!$H217="","",Receipts!$H217)</f>
        <v/>
      </c>
      <c r="I214" s="26" t="str">
        <f t="shared" ca="1" si="16"/>
        <v/>
      </c>
      <c r="J214" s="26" t="str">
        <f>IF($A214="","",COUNTIFS(tblReceipts[Item Name],$A214,tblReceipts[Expiry Date],"&lt;"&amp;$H214)+COUNTIFS(tblReceipts[Item Name],$A214,tblReceipts[Expiry Date],$H214,tblReceipts[Lot Number],"&lt;="&amp;Receipts!$C217))</f>
        <v/>
      </c>
      <c r="K214" s="26" t="str">
        <f>IF($A214="","",SUMIFS(tblReceipts[Qty Received],tblReceipts[Item Name],$A214,tblReceipts[Expiry Date],"&lt;"&amp;$H214)+SUMIFS(tblReceipts[Qty Received],tblReceipts[Item Name],$A214,tblReceipts[Expiry Date],$H214,tblReceipts[Lot Number],"&lt;"&amp;Receipts!$C217))</f>
        <v/>
      </c>
      <c r="L214" s="26" t="str">
        <f>IF($A214="","",MIN($D214,MAX(0,SUMIFS(tblIssues[Qty Issued],tblIssues[Item Name],$A214)-$K214)))</f>
        <v/>
      </c>
      <c r="M214" s="26" t="str">
        <f>IF($A214="","",SUMIFS(tblIssues[Qty Issued],tblIssues[Lot Number],$B214))</f>
        <v/>
      </c>
      <c r="N214" s="26" t="str">
        <f t="shared" si="17"/>
        <v/>
      </c>
      <c r="O214" s="26" t="str">
        <f t="shared" si="18"/>
        <v/>
      </c>
      <c r="P214" s="21" t="str">
        <f t="shared" si="19"/>
        <v/>
      </c>
      <c r="Q214" s="52" t="str">
        <f>IF($A214="","",IF($O214&lt;=0,"Depleted",IF($I214&lt;0,"EXPIRED",IF($I214&lt;=Settings!$C$6,"CRITICAL",IF($I214&lt;=Settings!$C$5,"Expiring","In date")))))</f>
        <v/>
      </c>
    </row>
    <row r="215" spans="1:17" x14ac:dyDescent="0.35">
      <c r="A215" s="90" t="str">
        <f>IF(Receipts!$D218="","",Receipts!$D218)</f>
        <v/>
      </c>
      <c r="B215" s="18" t="str">
        <f>IF(Receipts!$C218="","",Receipts!$C218)</f>
        <v/>
      </c>
      <c r="C215" s="18" t="str">
        <f>IF($A215="","",IFERROR(INDEX(Items!$B$5:$B$597,MATCH($A215,Items!$A$5:$A$597,0)),""))</f>
        <v/>
      </c>
      <c r="D215" s="23" t="str">
        <f>IF($A215="","",N(Receipts!$G218))</f>
        <v/>
      </c>
      <c r="E215" s="20" t="str">
        <f>IF($A215="","",IFERROR(INDEX(Items!$D$5:$D$597,MATCH($A215,Items!$A$5:$A$597,0)),0))</f>
        <v/>
      </c>
      <c r="F215" s="21" t="str">
        <f t="shared" si="15"/>
        <v/>
      </c>
      <c r="G215" s="25" t="str">
        <f>IF(Receipts!$I218="","",Receipts!$I218)</f>
        <v/>
      </c>
      <c r="H215" s="25" t="str">
        <f>IF(Receipts!$H218="","",Receipts!$H218)</f>
        <v/>
      </c>
      <c r="I215" s="26" t="str">
        <f t="shared" ca="1" si="16"/>
        <v/>
      </c>
      <c r="J215" s="26" t="str">
        <f>IF($A215="","",COUNTIFS(tblReceipts[Item Name],$A215,tblReceipts[Expiry Date],"&lt;"&amp;$H215)+COUNTIFS(tblReceipts[Item Name],$A215,tblReceipts[Expiry Date],$H215,tblReceipts[Lot Number],"&lt;="&amp;Receipts!$C218))</f>
        <v/>
      </c>
      <c r="K215" s="26" t="str">
        <f>IF($A215="","",SUMIFS(tblReceipts[Qty Received],tblReceipts[Item Name],$A215,tblReceipts[Expiry Date],"&lt;"&amp;$H215)+SUMIFS(tblReceipts[Qty Received],tblReceipts[Item Name],$A215,tblReceipts[Expiry Date],$H215,tblReceipts[Lot Number],"&lt;"&amp;Receipts!$C218))</f>
        <v/>
      </c>
      <c r="L215" s="26" t="str">
        <f>IF($A215="","",MIN($D215,MAX(0,SUMIFS(tblIssues[Qty Issued],tblIssues[Item Name],$A215)-$K215)))</f>
        <v/>
      </c>
      <c r="M215" s="26" t="str">
        <f>IF($A215="","",SUMIFS(tblIssues[Qty Issued],tblIssues[Lot Number],$B215))</f>
        <v/>
      </c>
      <c r="N215" s="26" t="str">
        <f t="shared" si="17"/>
        <v/>
      </c>
      <c r="O215" s="26" t="str">
        <f t="shared" si="18"/>
        <v/>
      </c>
      <c r="P215" s="21" t="str">
        <f t="shared" si="19"/>
        <v/>
      </c>
      <c r="Q215" s="52" t="str">
        <f>IF($A215="","",IF($O215&lt;=0,"Depleted",IF($I215&lt;0,"EXPIRED",IF($I215&lt;=Settings!$C$6,"CRITICAL",IF($I215&lt;=Settings!$C$5,"Expiring","In date")))))</f>
        <v/>
      </c>
    </row>
    <row r="216" spans="1:17" x14ac:dyDescent="0.35">
      <c r="A216" s="90" t="str">
        <f>IF(Receipts!$D219="","",Receipts!$D219)</f>
        <v/>
      </c>
      <c r="B216" s="18" t="str">
        <f>IF(Receipts!$C219="","",Receipts!$C219)</f>
        <v/>
      </c>
      <c r="C216" s="18" t="str">
        <f>IF($A216="","",IFERROR(INDEX(Items!$B$5:$B$597,MATCH($A216,Items!$A$5:$A$597,0)),""))</f>
        <v/>
      </c>
      <c r="D216" s="23" t="str">
        <f>IF($A216="","",N(Receipts!$G219))</f>
        <v/>
      </c>
      <c r="E216" s="20" t="str">
        <f>IF($A216="","",IFERROR(INDEX(Items!$D$5:$D$597,MATCH($A216,Items!$A$5:$A$597,0)),0))</f>
        <v/>
      </c>
      <c r="F216" s="21" t="str">
        <f t="shared" si="15"/>
        <v/>
      </c>
      <c r="G216" s="25" t="str">
        <f>IF(Receipts!$I219="","",Receipts!$I219)</f>
        <v/>
      </c>
      <c r="H216" s="25" t="str">
        <f>IF(Receipts!$H219="","",Receipts!$H219)</f>
        <v/>
      </c>
      <c r="I216" s="26" t="str">
        <f t="shared" ca="1" si="16"/>
        <v/>
      </c>
      <c r="J216" s="26" t="str">
        <f>IF($A216="","",COUNTIFS(tblReceipts[Item Name],$A216,tblReceipts[Expiry Date],"&lt;"&amp;$H216)+COUNTIFS(tblReceipts[Item Name],$A216,tblReceipts[Expiry Date],$H216,tblReceipts[Lot Number],"&lt;="&amp;Receipts!$C219))</f>
        <v/>
      </c>
      <c r="K216" s="26" t="str">
        <f>IF($A216="","",SUMIFS(tblReceipts[Qty Received],tblReceipts[Item Name],$A216,tblReceipts[Expiry Date],"&lt;"&amp;$H216)+SUMIFS(tblReceipts[Qty Received],tblReceipts[Item Name],$A216,tblReceipts[Expiry Date],$H216,tblReceipts[Lot Number],"&lt;"&amp;Receipts!$C219))</f>
        <v/>
      </c>
      <c r="L216" s="26" t="str">
        <f>IF($A216="","",MIN($D216,MAX(0,SUMIFS(tblIssues[Qty Issued],tblIssues[Item Name],$A216)-$K216)))</f>
        <v/>
      </c>
      <c r="M216" s="26" t="str">
        <f>IF($A216="","",SUMIFS(tblIssues[Qty Issued],tblIssues[Lot Number],$B216))</f>
        <v/>
      </c>
      <c r="N216" s="26" t="str">
        <f t="shared" si="17"/>
        <v/>
      </c>
      <c r="O216" s="26" t="str">
        <f t="shared" si="18"/>
        <v/>
      </c>
      <c r="P216" s="21" t="str">
        <f t="shared" si="19"/>
        <v/>
      </c>
      <c r="Q216" s="52" t="str">
        <f>IF($A216="","",IF($O216&lt;=0,"Depleted",IF($I216&lt;0,"EXPIRED",IF($I216&lt;=Settings!$C$6,"CRITICAL",IF($I216&lt;=Settings!$C$5,"Expiring","In date")))))</f>
        <v/>
      </c>
    </row>
    <row r="217" spans="1:17" x14ac:dyDescent="0.35">
      <c r="A217" s="90" t="str">
        <f>IF(Receipts!$D220="","",Receipts!$D220)</f>
        <v/>
      </c>
      <c r="B217" s="18" t="str">
        <f>IF(Receipts!$C220="","",Receipts!$C220)</f>
        <v/>
      </c>
      <c r="C217" s="18" t="str">
        <f>IF($A217="","",IFERROR(INDEX(Items!$B$5:$B$597,MATCH($A217,Items!$A$5:$A$597,0)),""))</f>
        <v/>
      </c>
      <c r="D217" s="23" t="str">
        <f>IF($A217="","",N(Receipts!$G220))</f>
        <v/>
      </c>
      <c r="E217" s="20" t="str">
        <f>IF($A217="","",IFERROR(INDEX(Items!$D$5:$D$597,MATCH($A217,Items!$A$5:$A$597,0)),0))</f>
        <v/>
      </c>
      <c r="F217" s="21" t="str">
        <f t="shared" si="15"/>
        <v/>
      </c>
      <c r="G217" s="25" t="str">
        <f>IF(Receipts!$I220="","",Receipts!$I220)</f>
        <v/>
      </c>
      <c r="H217" s="25" t="str">
        <f>IF(Receipts!$H220="","",Receipts!$H220)</f>
        <v/>
      </c>
      <c r="I217" s="26" t="str">
        <f t="shared" ca="1" si="16"/>
        <v/>
      </c>
      <c r="J217" s="26" t="str">
        <f>IF($A217="","",COUNTIFS(tblReceipts[Item Name],$A217,tblReceipts[Expiry Date],"&lt;"&amp;$H217)+COUNTIFS(tblReceipts[Item Name],$A217,tblReceipts[Expiry Date],$H217,tblReceipts[Lot Number],"&lt;="&amp;Receipts!$C220))</f>
        <v/>
      </c>
      <c r="K217" s="26" t="str">
        <f>IF($A217="","",SUMIFS(tblReceipts[Qty Received],tblReceipts[Item Name],$A217,tblReceipts[Expiry Date],"&lt;"&amp;$H217)+SUMIFS(tblReceipts[Qty Received],tblReceipts[Item Name],$A217,tblReceipts[Expiry Date],$H217,tblReceipts[Lot Number],"&lt;"&amp;Receipts!$C220))</f>
        <v/>
      </c>
      <c r="L217" s="26" t="str">
        <f>IF($A217="","",MIN($D217,MAX(0,SUMIFS(tblIssues[Qty Issued],tblIssues[Item Name],$A217)-$K217)))</f>
        <v/>
      </c>
      <c r="M217" s="26" t="str">
        <f>IF($A217="","",SUMIFS(tblIssues[Qty Issued],tblIssues[Lot Number],$B217))</f>
        <v/>
      </c>
      <c r="N217" s="26" t="str">
        <f t="shared" si="17"/>
        <v/>
      </c>
      <c r="O217" s="26" t="str">
        <f t="shared" si="18"/>
        <v/>
      </c>
      <c r="P217" s="21" t="str">
        <f t="shared" si="19"/>
        <v/>
      </c>
      <c r="Q217" s="52" t="str">
        <f>IF($A217="","",IF($O217&lt;=0,"Depleted",IF($I217&lt;0,"EXPIRED",IF($I217&lt;=Settings!$C$6,"CRITICAL",IF($I217&lt;=Settings!$C$5,"Expiring","In date")))))</f>
        <v/>
      </c>
    </row>
    <row r="218" spans="1:17" x14ac:dyDescent="0.35">
      <c r="A218" s="90" t="str">
        <f>IF(Receipts!$D221="","",Receipts!$D221)</f>
        <v/>
      </c>
      <c r="B218" s="18" t="str">
        <f>IF(Receipts!$C221="","",Receipts!$C221)</f>
        <v/>
      </c>
      <c r="C218" s="18" t="str">
        <f>IF($A218="","",IFERROR(INDEX(Items!$B$5:$B$597,MATCH($A218,Items!$A$5:$A$597,0)),""))</f>
        <v/>
      </c>
      <c r="D218" s="23" t="str">
        <f>IF($A218="","",N(Receipts!$G221))</f>
        <v/>
      </c>
      <c r="E218" s="20" t="str">
        <f>IF($A218="","",IFERROR(INDEX(Items!$D$5:$D$597,MATCH($A218,Items!$A$5:$A$597,0)),0))</f>
        <v/>
      </c>
      <c r="F218" s="21" t="str">
        <f t="shared" si="15"/>
        <v/>
      </c>
      <c r="G218" s="25" t="str">
        <f>IF(Receipts!$I221="","",Receipts!$I221)</f>
        <v/>
      </c>
      <c r="H218" s="25" t="str">
        <f>IF(Receipts!$H221="","",Receipts!$H221)</f>
        <v/>
      </c>
      <c r="I218" s="26" t="str">
        <f t="shared" ca="1" si="16"/>
        <v/>
      </c>
      <c r="J218" s="26" t="str">
        <f>IF($A218="","",COUNTIFS(tblReceipts[Item Name],$A218,tblReceipts[Expiry Date],"&lt;"&amp;$H218)+COUNTIFS(tblReceipts[Item Name],$A218,tblReceipts[Expiry Date],$H218,tblReceipts[Lot Number],"&lt;="&amp;Receipts!$C221))</f>
        <v/>
      </c>
      <c r="K218" s="26" t="str">
        <f>IF($A218="","",SUMIFS(tblReceipts[Qty Received],tblReceipts[Item Name],$A218,tblReceipts[Expiry Date],"&lt;"&amp;$H218)+SUMIFS(tblReceipts[Qty Received],tblReceipts[Item Name],$A218,tblReceipts[Expiry Date],$H218,tblReceipts[Lot Number],"&lt;"&amp;Receipts!$C221))</f>
        <v/>
      </c>
      <c r="L218" s="26" t="str">
        <f>IF($A218="","",MIN($D218,MAX(0,SUMIFS(tblIssues[Qty Issued],tblIssues[Item Name],$A218)-$K218)))</f>
        <v/>
      </c>
      <c r="M218" s="26" t="str">
        <f>IF($A218="","",SUMIFS(tblIssues[Qty Issued],tblIssues[Lot Number],$B218))</f>
        <v/>
      </c>
      <c r="N218" s="26" t="str">
        <f t="shared" si="17"/>
        <v/>
      </c>
      <c r="O218" s="26" t="str">
        <f t="shared" si="18"/>
        <v/>
      </c>
      <c r="P218" s="21" t="str">
        <f t="shared" si="19"/>
        <v/>
      </c>
      <c r="Q218" s="52" t="str">
        <f>IF($A218="","",IF($O218&lt;=0,"Depleted",IF($I218&lt;0,"EXPIRED",IF($I218&lt;=Settings!$C$6,"CRITICAL",IF($I218&lt;=Settings!$C$5,"Expiring","In date")))))</f>
        <v/>
      </c>
    </row>
    <row r="219" spans="1:17" x14ac:dyDescent="0.35">
      <c r="A219" s="90" t="str">
        <f>IF(Receipts!$D222="","",Receipts!$D222)</f>
        <v/>
      </c>
      <c r="B219" s="18" t="str">
        <f>IF(Receipts!$C222="","",Receipts!$C222)</f>
        <v/>
      </c>
      <c r="C219" s="18" t="str">
        <f>IF($A219="","",IFERROR(INDEX(Items!$B$5:$B$597,MATCH($A219,Items!$A$5:$A$597,0)),""))</f>
        <v/>
      </c>
      <c r="D219" s="23" t="str">
        <f>IF($A219="","",N(Receipts!$G222))</f>
        <v/>
      </c>
      <c r="E219" s="20" t="str">
        <f>IF($A219="","",IFERROR(INDEX(Items!$D$5:$D$597,MATCH($A219,Items!$A$5:$A$597,0)),0))</f>
        <v/>
      </c>
      <c r="F219" s="21" t="str">
        <f t="shared" si="15"/>
        <v/>
      </c>
      <c r="G219" s="25" t="str">
        <f>IF(Receipts!$I222="","",Receipts!$I222)</f>
        <v/>
      </c>
      <c r="H219" s="25" t="str">
        <f>IF(Receipts!$H222="","",Receipts!$H222)</f>
        <v/>
      </c>
      <c r="I219" s="26" t="str">
        <f t="shared" ca="1" si="16"/>
        <v/>
      </c>
      <c r="J219" s="26" t="str">
        <f>IF($A219="","",COUNTIFS(tblReceipts[Item Name],$A219,tblReceipts[Expiry Date],"&lt;"&amp;$H219)+COUNTIFS(tblReceipts[Item Name],$A219,tblReceipts[Expiry Date],$H219,tblReceipts[Lot Number],"&lt;="&amp;Receipts!$C222))</f>
        <v/>
      </c>
      <c r="K219" s="26" t="str">
        <f>IF($A219="","",SUMIFS(tblReceipts[Qty Received],tblReceipts[Item Name],$A219,tblReceipts[Expiry Date],"&lt;"&amp;$H219)+SUMIFS(tblReceipts[Qty Received],tblReceipts[Item Name],$A219,tblReceipts[Expiry Date],$H219,tblReceipts[Lot Number],"&lt;"&amp;Receipts!$C222))</f>
        <v/>
      </c>
      <c r="L219" s="26" t="str">
        <f>IF($A219="","",MIN($D219,MAX(0,SUMIFS(tblIssues[Qty Issued],tblIssues[Item Name],$A219)-$K219)))</f>
        <v/>
      </c>
      <c r="M219" s="26" t="str">
        <f>IF($A219="","",SUMIFS(tblIssues[Qty Issued],tblIssues[Lot Number],$B219))</f>
        <v/>
      </c>
      <c r="N219" s="26" t="str">
        <f t="shared" si="17"/>
        <v/>
      </c>
      <c r="O219" s="26" t="str">
        <f t="shared" si="18"/>
        <v/>
      </c>
      <c r="P219" s="21" t="str">
        <f t="shared" si="19"/>
        <v/>
      </c>
      <c r="Q219" s="52" t="str">
        <f>IF($A219="","",IF($O219&lt;=0,"Depleted",IF($I219&lt;0,"EXPIRED",IF($I219&lt;=Settings!$C$6,"CRITICAL",IF($I219&lt;=Settings!$C$5,"Expiring","In date")))))</f>
        <v/>
      </c>
    </row>
    <row r="220" spans="1:17" x14ac:dyDescent="0.35">
      <c r="A220" s="90" t="str">
        <f>IF(Receipts!$D223="","",Receipts!$D223)</f>
        <v/>
      </c>
      <c r="B220" s="18" t="str">
        <f>IF(Receipts!$C223="","",Receipts!$C223)</f>
        <v/>
      </c>
      <c r="C220" s="18" t="str">
        <f>IF($A220="","",IFERROR(INDEX(Items!$B$5:$B$597,MATCH($A220,Items!$A$5:$A$597,0)),""))</f>
        <v/>
      </c>
      <c r="D220" s="23" t="str">
        <f>IF($A220="","",N(Receipts!$G223))</f>
        <v/>
      </c>
      <c r="E220" s="20" t="str">
        <f>IF($A220="","",IFERROR(INDEX(Items!$D$5:$D$597,MATCH($A220,Items!$A$5:$A$597,0)),0))</f>
        <v/>
      </c>
      <c r="F220" s="21" t="str">
        <f t="shared" si="15"/>
        <v/>
      </c>
      <c r="G220" s="25" t="str">
        <f>IF(Receipts!$I223="","",Receipts!$I223)</f>
        <v/>
      </c>
      <c r="H220" s="25" t="str">
        <f>IF(Receipts!$H223="","",Receipts!$H223)</f>
        <v/>
      </c>
      <c r="I220" s="26" t="str">
        <f t="shared" ca="1" si="16"/>
        <v/>
      </c>
      <c r="J220" s="26" t="str">
        <f>IF($A220="","",COUNTIFS(tblReceipts[Item Name],$A220,tblReceipts[Expiry Date],"&lt;"&amp;$H220)+COUNTIFS(tblReceipts[Item Name],$A220,tblReceipts[Expiry Date],$H220,tblReceipts[Lot Number],"&lt;="&amp;Receipts!$C223))</f>
        <v/>
      </c>
      <c r="K220" s="26" t="str">
        <f>IF($A220="","",SUMIFS(tblReceipts[Qty Received],tblReceipts[Item Name],$A220,tblReceipts[Expiry Date],"&lt;"&amp;$H220)+SUMIFS(tblReceipts[Qty Received],tblReceipts[Item Name],$A220,tblReceipts[Expiry Date],$H220,tblReceipts[Lot Number],"&lt;"&amp;Receipts!$C223))</f>
        <v/>
      </c>
      <c r="L220" s="26" t="str">
        <f>IF($A220="","",MIN($D220,MAX(0,SUMIFS(tblIssues[Qty Issued],tblIssues[Item Name],$A220)-$K220)))</f>
        <v/>
      </c>
      <c r="M220" s="26" t="str">
        <f>IF($A220="","",SUMIFS(tblIssues[Qty Issued],tblIssues[Lot Number],$B220))</f>
        <v/>
      </c>
      <c r="N220" s="26" t="str">
        <f t="shared" si="17"/>
        <v/>
      </c>
      <c r="O220" s="26" t="str">
        <f t="shared" si="18"/>
        <v/>
      </c>
      <c r="P220" s="21" t="str">
        <f t="shared" si="19"/>
        <v/>
      </c>
      <c r="Q220" s="52" t="str">
        <f>IF($A220="","",IF($O220&lt;=0,"Depleted",IF($I220&lt;0,"EXPIRED",IF($I220&lt;=Settings!$C$6,"CRITICAL",IF($I220&lt;=Settings!$C$5,"Expiring","In date")))))</f>
        <v/>
      </c>
    </row>
    <row r="221" spans="1:17" x14ac:dyDescent="0.35">
      <c r="A221" s="90" t="str">
        <f>IF(Receipts!$D224="","",Receipts!$D224)</f>
        <v/>
      </c>
      <c r="B221" s="18" t="str">
        <f>IF(Receipts!$C224="","",Receipts!$C224)</f>
        <v/>
      </c>
      <c r="C221" s="18" t="str">
        <f>IF($A221="","",IFERROR(INDEX(Items!$B$5:$B$597,MATCH($A221,Items!$A$5:$A$597,0)),""))</f>
        <v/>
      </c>
      <c r="D221" s="23" t="str">
        <f>IF($A221="","",N(Receipts!$G224))</f>
        <v/>
      </c>
      <c r="E221" s="20" t="str">
        <f>IF($A221="","",IFERROR(INDEX(Items!$D$5:$D$597,MATCH($A221,Items!$A$5:$A$597,0)),0))</f>
        <v/>
      </c>
      <c r="F221" s="21" t="str">
        <f t="shared" si="15"/>
        <v/>
      </c>
      <c r="G221" s="25" t="str">
        <f>IF(Receipts!$I224="","",Receipts!$I224)</f>
        <v/>
      </c>
      <c r="H221" s="25" t="str">
        <f>IF(Receipts!$H224="","",Receipts!$H224)</f>
        <v/>
      </c>
      <c r="I221" s="26" t="str">
        <f t="shared" ca="1" si="16"/>
        <v/>
      </c>
      <c r="J221" s="26" t="str">
        <f>IF($A221="","",COUNTIFS(tblReceipts[Item Name],$A221,tblReceipts[Expiry Date],"&lt;"&amp;$H221)+COUNTIFS(tblReceipts[Item Name],$A221,tblReceipts[Expiry Date],$H221,tblReceipts[Lot Number],"&lt;="&amp;Receipts!$C224))</f>
        <v/>
      </c>
      <c r="K221" s="26" t="str">
        <f>IF($A221="","",SUMIFS(tblReceipts[Qty Received],tblReceipts[Item Name],$A221,tblReceipts[Expiry Date],"&lt;"&amp;$H221)+SUMIFS(tblReceipts[Qty Received],tblReceipts[Item Name],$A221,tblReceipts[Expiry Date],$H221,tblReceipts[Lot Number],"&lt;"&amp;Receipts!$C224))</f>
        <v/>
      </c>
      <c r="L221" s="26" t="str">
        <f>IF($A221="","",MIN($D221,MAX(0,SUMIFS(tblIssues[Qty Issued],tblIssues[Item Name],$A221)-$K221)))</f>
        <v/>
      </c>
      <c r="M221" s="26" t="str">
        <f>IF($A221="","",SUMIFS(tblIssues[Qty Issued],tblIssues[Lot Number],$B221))</f>
        <v/>
      </c>
      <c r="N221" s="26" t="str">
        <f t="shared" si="17"/>
        <v/>
      </c>
      <c r="O221" s="26" t="str">
        <f t="shared" si="18"/>
        <v/>
      </c>
      <c r="P221" s="21" t="str">
        <f t="shared" si="19"/>
        <v/>
      </c>
      <c r="Q221" s="52" t="str">
        <f>IF($A221="","",IF($O221&lt;=0,"Depleted",IF($I221&lt;0,"EXPIRED",IF($I221&lt;=Settings!$C$6,"CRITICAL",IF($I221&lt;=Settings!$C$5,"Expiring","In date")))))</f>
        <v/>
      </c>
    </row>
    <row r="222" spans="1:17" x14ac:dyDescent="0.35">
      <c r="A222" s="90" t="str">
        <f>IF(Receipts!$D225="","",Receipts!$D225)</f>
        <v/>
      </c>
      <c r="B222" s="18" t="str">
        <f>IF(Receipts!$C225="","",Receipts!$C225)</f>
        <v/>
      </c>
      <c r="C222" s="18" t="str">
        <f>IF($A222="","",IFERROR(INDEX(Items!$B$5:$B$597,MATCH($A222,Items!$A$5:$A$597,0)),""))</f>
        <v/>
      </c>
      <c r="D222" s="23" t="str">
        <f>IF($A222="","",N(Receipts!$G225))</f>
        <v/>
      </c>
      <c r="E222" s="20" t="str">
        <f>IF($A222="","",IFERROR(INDEX(Items!$D$5:$D$597,MATCH($A222,Items!$A$5:$A$597,0)),0))</f>
        <v/>
      </c>
      <c r="F222" s="21" t="str">
        <f t="shared" si="15"/>
        <v/>
      </c>
      <c r="G222" s="25" t="str">
        <f>IF(Receipts!$I225="","",Receipts!$I225)</f>
        <v/>
      </c>
      <c r="H222" s="25" t="str">
        <f>IF(Receipts!$H225="","",Receipts!$H225)</f>
        <v/>
      </c>
      <c r="I222" s="26" t="str">
        <f t="shared" ca="1" si="16"/>
        <v/>
      </c>
      <c r="J222" s="26" t="str">
        <f>IF($A222="","",COUNTIFS(tblReceipts[Item Name],$A222,tblReceipts[Expiry Date],"&lt;"&amp;$H222)+COUNTIFS(tblReceipts[Item Name],$A222,tblReceipts[Expiry Date],$H222,tblReceipts[Lot Number],"&lt;="&amp;Receipts!$C225))</f>
        <v/>
      </c>
      <c r="K222" s="26" t="str">
        <f>IF($A222="","",SUMIFS(tblReceipts[Qty Received],tblReceipts[Item Name],$A222,tblReceipts[Expiry Date],"&lt;"&amp;$H222)+SUMIFS(tblReceipts[Qty Received],tblReceipts[Item Name],$A222,tblReceipts[Expiry Date],$H222,tblReceipts[Lot Number],"&lt;"&amp;Receipts!$C225))</f>
        <v/>
      </c>
      <c r="L222" s="26" t="str">
        <f>IF($A222="","",MIN($D222,MAX(0,SUMIFS(tblIssues[Qty Issued],tblIssues[Item Name],$A222)-$K222)))</f>
        <v/>
      </c>
      <c r="M222" s="26" t="str">
        <f>IF($A222="","",SUMIFS(tblIssues[Qty Issued],tblIssues[Lot Number],$B222))</f>
        <v/>
      </c>
      <c r="N222" s="26" t="str">
        <f t="shared" si="17"/>
        <v/>
      </c>
      <c r="O222" s="26" t="str">
        <f t="shared" si="18"/>
        <v/>
      </c>
      <c r="P222" s="21" t="str">
        <f t="shared" si="19"/>
        <v/>
      </c>
      <c r="Q222" s="52" t="str">
        <f>IF($A222="","",IF($O222&lt;=0,"Depleted",IF($I222&lt;0,"EXPIRED",IF($I222&lt;=Settings!$C$6,"CRITICAL",IF($I222&lt;=Settings!$C$5,"Expiring","In date")))))</f>
        <v/>
      </c>
    </row>
    <row r="223" spans="1:17" x14ac:dyDescent="0.35">
      <c r="A223" s="90" t="str">
        <f>IF(Receipts!$D226="","",Receipts!$D226)</f>
        <v/>
      </c>
      <c r="B223" s="18" t="str">
        <f>IF(Receipts!$C226="","",Receipts!$C226)</f>
        <v/>
      </c>
      <c r="C223" s="18" t="str">
        <f>IF($A223="","",IFERROR(INDEX(Items!$B$5:$B$597,MATCH($A223,Items!$A$5:$A$597,0)),""))</f>
        <v/>
      </c>
      <c r="D223" s="23" t="str">
        <f>IF($A223="","",N(Receipts!$G226))</f>
        <v/>
      </c>
      <c r="E223" s="20" t="str">
        <f>IF($A223="","",IFERROR(INDEX(Items!$D$5:$D$597,MATCH($A223,Items!$A$5:$A$597,0)),0))</f>
        <v/>
      </c>
      <c r="F223" s="21" t="str">
        <f t="shared" si="15"/>
        <v/>
      </c>
      <c r="G223" s="25" t="str">
        <f>IF(Receipts!$I226="","",Receipts!$I226)</f>
        <v/>
      </c>
      <c r="H223" s="25" t="str">
        <f>IF(Receipts!$H226="","",Receipts!$H226)</f>
        <v/>
      </c>
      <c r="I223" s="26" t="str">
        <f t="shared" ca="1" si="16"/>
        <v/>
      </c>
      <c r="J223" s="26" t="str">
        <f>IF($A223="","",COUNTIFS(tblReceipts[Item Name],$A223,tblReceipts[Expiry Date],"&lt;"&amp;$H223)+COUNTIFS(tblReceipts[Item Name],$A223,tblReceipts[Expiry Date],$H223,tblReceipts[Lot Number],"&lt;="&amp;Receipts!$C226))</f>
        <v/>
      </c>
      <c r="K223" s="26" t="str">
        <f>IF($A223="","",SUMIFS(tblReceipts[Qty Received],tblReceipts[Item Name],$A223,tblReceipts[Expiry Date],"&lt;"&amp;$H223)+SUMIFS(tblReceipts[Qty Received],tblReceipts[Item Name],$A223,tblReceipts[Expiry Date],$H223,tblReceipts[Lot Number],"&lt;"&amp;Receipts!$C226))</f>
        <v/>
      </c>
      <c r="L223" s="26" t="str">
        <f>IF($A223="","",MIN($D223,MAX(0,SUMIFS(tblIssues[Qty Issued],tblIssues[Item Name],$A223)-$K223)))</f>
        <v/>
      </c>
      <c r="M223" s="26" t="str">
        <f>IF($A223="","",SUMIFS(tblIssues[Qty Issued],tblIssues[Lot Number],$B223))</f>
        <v/>
      </c>
      <c r="N223" s="26" t="str">
        <f t="shared" si="17"/>
        <v/>
      </c>
      <c r="O223" s="26" t="str">
        <f t="shared" si="18"/>
        <v/>
      </c>
      <c r="P223" s="21" t="str">
        <f t="shared" si="19"/>
        <v/>
      </c>
      <c r="Q223" s="52" t="str">
        <f>IF($A223="","",IF($O223&lt;=0,"Depleted",IF($I223&lt;0,"EXPIRED",IF($I223&lt;=Settings!$C$6,"CRITICAL",IF($I223&lt;=Settings!$C$5,"Expiring","In date")))))</f>
        <v/>
      </c>
    </row>
    <row r="224" spans="1:17" x14ac:dyDescent="0.35">
      <c r="A224" s="90" t="str">
        <f>IF(Receipts!$D227="","",Receipts!$D227)</f>
        <v/>
      </c>
      <c r="B224" s="18" t="str">
        <f>IF(Receipts!$C227="","",Receipts!$C227)</f>
        <v/>
      </c>
      <c r="C224" s="18" t="str">
        <f>IF($A224="","",IFERROR(INDEX(Items!$B$5:$B$597,MATCH($A224,Items!$A$5:$A$597,0)),""))</f>
        <v/>
      </c>
      <c r="D224" s="23" t="str">
        <f>IF($A224="","",N(Receipts!$G227))</f>
        <v/>
      </c>
      <c r="E224" s="20" t="str">
        <f>IF($A224="","",IFERROR(INDEX(Items!$D$5:$D$597,MATCH($A224,Items!$A$5:$A$597,0)),0))</f>
        <v/>
      </c>
      <c r="F224" s="21" t="str">
        <f t="shared" si="15"/>
        <v/>
      </c>
      <c r="G224" s="25" t="str">
        <f>IF(Receipts!$I227="","",Receipts!$I227)</f>
        <v/>
      </c>
      <c r="H224" s="25" t="str">
        <f>IF(Receipts!$H227="","",Receipts!$H227)</f>
        <v/>
      </c>
      <c r="I224" s="26" t="str">
        <f t="shared" ca="1" si="16"/>
        <v/>
      </c>
      <c r="J224" s="26" t="str">
        <f>IF($A224="","",COUNTIFS(tblReceipts[Item Name],$A224,tblReceipts[Expiry Date],"&lt;"&amp;$H224)+COUNTIFS(tblReceipts[Item Name],$A224,tblReceipts[Expiry Date],$H224,tblReceipts[Lot Number],"&lt;="&amp;Receipts!$C227))</f>
        <v/>
      </c>
      <c r="K224" s="26" t="str">
        <f>IF($A224="","",SUMIFS(tblReceipts[Qty Received],tblReceipts[Item Name],$A224,tblReceipts[Expiry Date],"&lt;"&amp;$H224)+SUMIFS(tblReceipts[Qty Received],tblReceipts[Item Name],$A224,tblReceipts[Expiry Date],$H224,tblReceipts[Lot Number],"&lt;"&amp;Receipts!$C227))</f>
        <v/>
      </c>
      <c r="L224" s="26" t="str">
        <f>IF($A224="","",MIN($D224,MAX(0,SUMIFS(tblIssues[Qty Issued],tblIssues[Item Name],$A224)-$K224)))</f>
        <v/>
      </c>
      <c r="M224" s="26" t="str">
        <f>IF($A224="","",SUMIFS(tblIssues[Qty Issued],tblIssues[Lot Number],$B224))</f>
        <v/>
      </c>
      <c r="N224" s="26" t="str">
        <f t="shared" si="17"/>
        <v/>
      </c>
      <c r="O224" s="26" t="str">
        <f t="shared" si="18"/>
        <v/>
      </c>
      <c r="P224" s="21" t="str">
        <f t="shared" si="19"/>
        <v/>
      </c>
      <c r="Q224" s="52" t="str">
        <f>IF($A224="","",IF($O224&lt;=0,"Depleted",IF($I224&lt;0,"EXPIRED",IF($I224&lt;=Settings!$C$6,"CRITICAL",IF($I224&lt;=Settings!$C$5,"Expiring","In date")))))</f>
        <v/>
      </c>
    </row>
    <row r="225" spans="1:17" x14ac:dyDescent="0.35">
      <c r="A225" s="90" t="str">
        <f>IF(Receipts!$D228="","",Receipts!$D228)</f>
        <v/>
      </c>
      <c r="B225" s="18" t="str">
        <f>IF(Receipts!$C228="","",Receipts!$C228)</f>
        <v/>
      </c>
      <c r="C225" s="18" t="str">
        <f>IF($A225="","",IFERROR(INDEX(Items!$B$5:$B$597,MATCH($A225,Items!$A$5:$A$597,0)),""))</f>
        <v/>
      </c>
      <c r="D225" s="23" t="str">
        <f>IF($A225="","",N(Receipts!$G228))</f>
        <v/>
      </c>
      <c r="E225" s="20" t="str">
        <f>IF($A225="","",IFERROR(INDEX(Items!$D$5:$D$597,MATCH($A225,Items!$A$5:$A$597,0)),0))</f>
        <v/>
      </c>
      <c r="F225" s="21" t="str">
        <f t="shared" si="15"/>
        <v/>
      </c>
      <c r="G225" s="25" t="str">
        <f>IF(Receipts!$I228="","",Receipts!$I228)</f>
        <v/>
      </c>
      <c r="H225" s="25" t="str">
        <f>IF(Receipts!$H228="","",Receipts!$H228)</f>
        <v/>
      </c>
      <c r="I225" s="26" t="str">
        <f t="shared" ca="1" si="16"/>
        <v/>
      </c>
      <c r="J225" s="26" t="str">
        <f>IF($A225="","",COUNTIFS(tblReceipts[Item Name],$A225,tblReceipts[Expiry Date],"&lt;"&amp;$H225)+COUNTIFS(tblReceipts[Item Name],$A225,tblReceipts[Expiry Date],$H225,tblReceipts[Lot Number],"&lt;="&amp;Receipts!$C228))</f>
        <v/>
      </c>
      <c r="K225" s="26" t="str">
        <f>IF($A225="","",SUMIFS(tblReceipts[Qty Received],tblReceipts[Item Name],$A225,tblReceipts[Expiry Date],"&lt;"&amp;$H225)+SUMIFS(tblReceipts[Qty Received],tblReceipts[Item Name],$A225,tblReceipts[Expiry Date],$H225,tblReceipts[Lot Number],"&lt;"&amp;Receipts!$C228))</f>
        <v/>
      </c>
      <c r="L225" s="26" t="str">
        <f>IF($A225="","",MIN($D225,MAX(0,SUMIFS(tblIssues[Qty Issued],tblIssues[Item Name],$A225)-$K225)))</f>
        <v/>
      </c>
      <c r="M225" s="26" t="str">
        <f>IF($A225="","",SUMIFS(tblIssues[Qty Issued],tblIssues[Lot Number],$B225))</f>
        <v/>
      </c>
      <c r="N225" s="26" t="str">
        <f t="shared" si="17"/>
        <v/>
      </c>
      <c r="O225" s="26" t="str">
        <f t="shared" si="18"/>
        <v/>
      </c>
      <c r="P225" s="21" t="str">
        <f t="shared" si="19"/>
        <v/>
      </c>
      <c r="Q225" s="52" t="str">
        <f>IF($A225="","",IF($O225&lt;=0,"Depleted",IF($I225&lt;0,"EXPIRED",IF($I225&lt;=Settings!$C$6,"CRITICAL",IF($I225&lt;=Settings!$C$5,"Expiring","In date")))))</f>
        <v/>
      </c>
    </row>
    <row r="226" spans="1:17" x14ac:dyDescent="0.35">
      <c r="A226" s="90" t="str">
        <f>IF(Receipts!$D229="","",Receipts!$D229)</f>
        <v/>
      </c>
      <c r="B226" s="18" t="str">
        <f>IF(Receipts!$C229="","",Receipts!$C229)</f>
        <v/>
      </c>
      <c r="C226" s="18" t="str">
        <f>IF($A226="","",IFERROR(INDEX(Items!$B$5:$B$597,MATCH($A226,Items!$A$5:$A$597,0)),""))</f>
        <v/>
      </c>
      <c r="D226" s="23" t="str">
        <f>IF($A226="","",N(Receipts!$G229))</f>
        <v/>
      </c>
      <c r="E226" s="20" t="str">
        <f>IF($A226="","",IFERROR(INDEX(Items!$D$5:$D$597,MATCH($A226,Items!$A$5:$A$597,0)),0))</f>
        <v/>
      </c>
      <c r="F226" s="21" t="str">
        <f t="shared" si="15"/>
        <v/>
      </c>
      <c r="G226" s="25" t="str">
        <f>IF(Receipts!$I229="","",Receipts!$I229)</f>
        <v/>
      </c>
      <c r="H226" s="25" t="str">
        <f>IF(Receipts!$H229="","",Receipts!$H229)</f>
        <v/>
      </c>
      <c r="I226" s="26" t="str">
        <f t="shared" ca="1" si="16"/>
        <v/>
      </c>
      <c r="J226" s="26" t="str">
        <f>IF($A226="","",COUNTIFS(tblReceipts[Item Name],$A226,tblReceipts[Expiry Date],"&lt;"&amp;$H226)+COUNTIFS(tblReceipts[Item Name],$A226,tblReceipts[Expiry Date],$H226,tblReceipts[Lot Number],"&lt;="&amp;Receipts!$C229))</f>
        <v/>
      </c>
      <c r="K226" s="26" t="str">
        <f>IF($A226="","",SUMIFS(tblReceipts[Qty Received],tblReceipts[Item Name],$A226,tblReceipts[Expiry Date],"&lt;"&amp;$H226)+SUMIFS(tblReceipts[Qty Received],tblReceipts[Item Name],$A226,tblReceipts[Expiry Date],$H226,tblReceipts[Lot Number],"&lt;"&amp;Receipts!$C229))</f>
        <v/>
      </c>
      <c r="L226" s="26" t="str">
        <f>IF($A226="","",MIN($D226,MAX(0,SUMIFS(tblIssues[Qty Issued],tblIssues[Item Name],$A226)-$K226)))</f>
        <v/>
      </c>
      <c r="M226" s="26" t="str">
        <f>IF($A226="","",SUMIFS(tblIssues[Qty Issued],tblIssues[Lot Number],$B226))</f>
        <v/>
      </c>
      <c r="N226" s="26" t="str">
        <f t="shared" si="17"/>
        <v/>
      </c>
      <c r="O226" s="26" t="str">
        <f t="shared" si="18"/>
        <v/>
      </c>
      <c r="P226" s="21" t="str">
        <f t="shared" si="19"/>
        <v/>
      </c>
      <c r="Q226" s="52" t="str">
        <f>IF($A226="","",IF($O226&lt;=0,"Depleted",IF($I226&lt;0,"EXPIRED",IF($I226&lt;=Settings!$C$6,"CRITICAL",IF($I226&lt;=Settings!$C$5,"Expiring","In date")))))</f>
        <v/>
      </c>
    </row>
    <row r="227" spans="1:17" x14ac:dyDescent="0.35">
      <c r="A227" s="90" t="str">
        <f>IF(Receipts!$D230="","",Receipts!$D230)</f>
        <v/>
      </c>
      <c r="B227" s="18" t="str">
        <f>IF(Receipts!$C230="","",Receipts!$C230)</f>
        <v/>
      </c>
      <c r="C227" s="18" t="str">
        <f>IF($A227="","",IFERROR(INDEX(Items!$B$5:$B$597,MATCH($A227,Items!$A$5:$A$597,0)),""))</f>
        <v/>
      </c>
      <c r="D227" s="23" t="str">
        <f>IF($A227="","",N(Receipts!$G230))</f>
        <v/>
      </c>
      <c r="E227" s="20" t="str">
        <f>IF($A227="","",IFERROR(INDEX(Items!$D$5:$D$597,MATCH($A227,Items!$A$5:$A$597,0)),0))</f>
        <v/>
      </c>
      <c r="F227" s="21" t="str">
        <f t="shared" si="15"/>
        <v/>
      </c>
      <c r="G227" s="25" t="str">
        <f>IF(Receipts!$I230="","",Receipts!$I230)</f>
        <v/>
      </c>
      <c r="H227" s="25" t="str">
        <f>IF(Receipts!$H230="","",Receipts!$H230)</f>
        <v/>
      </c>
      <c r="I227" s="26" t="str">
        <f t="shared" ca="1" si="16"/>
        <v/>
      </c>
      <c r="J227" s="26" t="str">
        <f>IF($A227="","",COUNTIFS(tblReceipts[Item Name],$A227,tblReceipts[Expiry Date],"&lt;"&amp;$H227)+COUNTIFS(tblReceipts[Item Name],$A227,tblReceipts[Expiry Date],$H227,tblReceipts[Lot Number],"&lt;="&amp;Receipts!$C230))</f>
        <v/>
      </c>
      <c r="K227" s="26" t="str">
        <f>IF($A227="","",SUMIFS(tblReceipts[Qty Received],tblReceipts[Item Name],$A227,tblReceipts[Expiry Date],"&lt;"&amp;$H227)+SUMIFS(tblReceipts[Qty Received],tblReceipts[Item Name],$A227,tblReceipts[Expiry Date],$H227,tblReceipts[Lot Number],"&lt;"&amp;Receipts!$C230))</f>
        <v/>
      </c>
      <c r="L227" s="26" t="str">
        <f>IF($A227="","",MIN($D227,MAX(0,SUMIFS(tblIssues[Qty Issued],tblIssues[Item Name],$A227)-$K227)))</f>
        <v/>
      </c>
      <c r="M227" s="26" t="str">
        <f>IF($A227="","",SUMIFS(tblIssues[Qty Issued],tblIssues[Lot Number],$B227))</f>
        <v/>
      </c>
      <c r="N227" s="26" t="str">
        <f t="shared" si="17"/>
        <v/>
      </c>
      <c r="O227" s="26" t="str">
        <f t="shared" si="18"/>
        <v/>
      </c>
      <c r="P227" s="21" t="str">
        <f t="shared" si="19"/>
        <v/>
      </c>
      <c r="Q227" s="52" t="str">
        <f>IF($A227="","",IF($O227&lt;=0,"Depleted",IF($I227&lt;0,"EXPIRED",IF($I227&lt;=Settings!$C$6,"CRITICAL",IF($I227&lt;=Settings!$C$5,"Expiring","In date")))))</f>
        <v/>
      </c>
    </row>
    <row r="228" spans="1:17" x14ac:dyDescent="0.35">
      <c r="A228" s="90" t="str">
        <f>IF(Receipts!$D231="","",Receipts!$D231)</f>
        <v/>
      </c>
      <c r="B228" s="18" t="str">
        <f>IF(Receipts!$C231="","",Receipts!$C231)</f>
        <v/>
      </c>
      <c r="C228" s="18" t="str">
        <f>IF($A228="","",IFERROR(INDEX(Items!$B$5:$B$597,MATCH($A228,Items!$A$5:$A$597,0)),""))</f>
        <v/>
      </c>
      <c r="D228" s="23" t="str">
        <f>IF($A228="","",N(Receipts!$G231))</f>
        <v/>
      </c>
      <c r="E228" s="20" t="str">
        <f>IF($A228="","",IFERROR(INDEX(Items!$D$5:$D$597,MATCH($A228,Items!$A$5:$A$597,0)),0))</f>
        <v/>
      </c>
      <c r="F228" s="21" t="str">
        <f t="shared" si="15"/>
        <v/>
      </c>
      <c r="G228" s="25" t="str">
        <f>IF(Receipts!$I231="","",Receipts!$I231)</f>
        <v/>
      </c>
      <c r="H228" s="25" t="str">
        <f>IF(Receipts!$H231="","",Receipts!$H231)</f>
        <v/>
      </c>
      <c r="I228" s="26" t="str">
        <f t="shared" ca="1" si="16"/>
        <v/>
      </c>
      <c r="J228" s="26" t="str">
        <f>IF($A228="","",COUNTIFS(tblReceipts[Item Name],$A228,tblReceipts[Expiry Date],"&lt;"&amp;$H228)+COUNTIFS(tblReceipts[Item Name],$A228,tblReceipts[Expiry Date],$H228,tblReceipts[Lot Number],"&lt;="&amp;Receipts!$C231))</f>
        <v/>
      </c>
      <c r="K228" s="26" t="str">
        <f>IF($A228="","",SUMIFS(tblReceipts[Qty Received],tblReceipts[Item Name],$A228,tblReceipts[Expiry Date],"&lt;"&amp;$H228)+SUMIFS(tblReceipts[Qty Received],tblReceipts[Item Name],$A228,tblReceipts[Expiry Date],$H228,tblReceipts[Lot Number],"&lt;"&amp;Receipts!$C231))</f>
        <v/>
      </c>
      <c r="L228" s="26" t="str">
        <f>IF($A228="","",MIN($D228,MAX(0,SUMIFS(tblIssues[Qty Issued],tblIssues[Item Name],$A228)-$K228)))</f>
        <v/>
      </c>
      <c r="M228" s="26" t="str">
        <f>IF($A228="","",SUMIFS(tblIssues[Qty Issued],tblIssues[Lot Number],$B228))</f>
        <v/>
      </c>
      <c r="N228" s="26" t="str">
        <f t="shared" si="17"/>
        <v/>
      </c>
      <c r="O228" s="26" t="str">
        <f t="shared" si="18"/>
        <v/>
      </c>
      <c r="P228" s="21" t="str">
        <f t="shared" si="19"/>
        <v/>
      </c>
      <c r="Q228" s="52" t="str">
        <f>IF($A228="","",IF($O228&lt;=0,"Depleted",IF($I228&lt;0,"EXPIRED",IF($I228&lt;=Settings!$C$6,"CRITICAL",IF($I228&lt;=Settings!$C$5,"Expiring","In date")))))</f>
        <v/>
      </c>
    </row>
    <row r="229" spans="1:17" x14ac:dyDescent="0.35">
      <c r="A229" s="90" t="str">
        <f>IF(Receipts!$D232="","",Receipts!$D232)</f>
        <v/>
      </c>
      <c r="B229" s="18" t="str">
        <f>IF(Receipts!$C232="","",Receipts!$C232)</f>
        <v/>
      </c>
      <c r="C229" s="18" t="str">
        <f>IF($A229="","",IFERROR(INDEX(Items!$B$5:$B$597,MATCH($A229,Items!$A$5:$A$597,0)),""))</f>
        <v/>
      </c>
      <c r="D229" s="23" t="str">
        <f>IF($A229="","",N(Receipts!$G232))</f>
        <v/>
      </c>
      <c r="E229" s="20" t="str">
        <f>IF($A229="","",IFERROR(INDEX(Items!$D$5:$D$597,MATCH($A229,Items!$A$5:$A$597,0)),0))</f>
        <v/>
      </c>
      <c r="F229" s="21" t="str">
        <f t="shared" si="15"/>
        <v/>
      </c>
      <c r="G229" s="25" t="str">
        <f>IF(Receipts!$I232="","",Receipts!$I232)</f>
        <v/>
      </c>
      <c r="H229" s="25" t="str">
        <f>IF(Receipts!$H232="","",Receipts!$H232)</f>
        <v/>
      </c>
      <c r="I229" s="26" t="str">
        <f t="shared" ca="1" si="16"/>
        <v/>
      </c>
      <c r="J229" s="26" t="str">
        <f>IF($A229="","",COUNTIFS(tblReceipts[Item Name],$A229,tblReceipts[Expiry Date],"&lt;"&amp;$H229)+COUNTIFS(tblReceipts[Item Name],$A229,tblReceipts[Expiry Date],$H229,tblReceipts[Lot Number],"&lt;="&amp;Receipts!$C232))</f>
        <v/>
      </c>
      <c r="K229" s="26" t="str">
        <f>IF($A229="","",SUMIFS(tblReceipts[Qty Received],tblReceipts[Item Name],$A229,tblReceipts[Expiry Date],"&lt;"&amp;$H229)+SUMIFS(tblReceipts[Qty Received],tblReceipts[Item Name],$A229,tblReceipts[Expiry Date],$H229,tblReceipts[Lot Number],"&lt;"&amp;Receipts!$C232))</f>
        <v/>
      </c>
      <c r="L229" s="26" t="str">
        <f>IF($A229="","",MIN($D229,MAX(0,SUMIFS(tblIssues[Qty Issued],tblIssues[Item Name],$A229)-$K229)))</f>
        <v/>
      </c>
      <c r="M229" s="26" t="str">
        <f>IF($A229="","",SUMIFS(tblIssues[Qty Issued],tblIssues[Lot Number],$B229))</f>
        <v/>
      </c>
      <c r="N229" s="26" t="str">
        <f t="shared" si="17"/>
        <v/>
      </c>
      <c r="O229" s="26" t="str">
        <f t="shared" si="18"/>
        <v/>
      </c>
      <c r="P229" s="21" t="str">
        <f t="shared" si="19"/>
        <v/>
      </c>
      <c r="Q229" s="52" t="str">
        <f>IF($A229="","",IF($O229&lt;=0,"Depleted",IF($I229&lt;0,"EXPIRED",IF($I229&lt;=Settings!$C$6,"CRITICAL",IF($I229&lt;=Settings!$C$5,"Expiring","In date")))))</f>
        <v/>
      </c>
    </row>
    <row r="230" spans="1:17" x14ac:dyDescent="0.35">
      <c r="A230" s="90" t="str">
        <f>IF(Receipts!$D233="","",Receipts!$D233)</f>
        <v/>
      </c>
      <c r="B230" s="18" t="str">
        <f>IF(Receipts!$C233="","",Receipts!$C233)</f>
        <v/>
      </c>
      <c r="C230" s="18" t="str">
        <f>IF($A230="","",IFERROR(INDEX(Items!$B$5:$B$597,MATCH($A230,Items!$A$5:$A$597,0)),""))</f>
        <v/>
      </c>
      <c r="D230" s="23" t="str">
        <f>IF($A230="","",N(Receipts!$G233))</f>
        <v/>
      </c>
      <c r="E230" s="20" t="str">
        <f>IF($A230="","",IFERROR(INDEX(Items!$D$5:$D$597,MATCH($A230,Items!$A$5:$A$597,0)),0))</f>
        <v/>
      </c>
      <c r="F230" s="21" t="str">
        <f t="shared" si="15"/>
        <v/>
      </c>
      <c r="G230" s="25" t="str">
        <f>IF(Receipts!$I233="","",Receipts!$I233)</f>
        <v/>
      </c>
      <c r="H230" s="25" t="str">
        <f>IF(Receipts!$H233="","",Receipts!$H233)</f>
        <v/>
      </c>
      <c r="I230" s="26" t="str">
        <f t="shared" ca="1" si="16"/>
        <v/>
      </c>
      <c r="J230" s="26" t="str">
        <f>IF($A230="","",COUNTIFS(tblReceipts[Item Name],$A230,tblReceipts[Expiry Date],"&lt;"&amp;$H230)+COUNTIFS(tblReceipts[Item Name],$A230,tblReceipts[Expiry Date],$H230,tblReceipts[Lot Number],"&lt;="&amp;Receipts!$C233))</f>
        <v/>
      </c>
      <c r="K230" s="26" t="str">
        <f>IF($A230="","",SUMIFS(tblReceipts[Qty Received],tblReceipts[Item Name],$A230,tblReceipts[Expiry Date],"&lt;"&amp;$H230)+SUMIFS(tblReceipts[Qty Received],tblReceipts[Item Name],$A230,tblReceipts[Expiry Date],$H230,tblReceipts[Lot Number],"&lt;"&amp;Receipts!$C233))</f>
        <v/>
      </c>
      <c r="L230" s="26" t="str">
        <f>IF($A230="","",MIN($D230,MAX(0,SUMIFS(tblIssues[Qty Issued],tblIssues[Item Name],$A230)-$K230)))</f>
        <v/>
      </c>
      <c r="M230" s="26" t="str">
        <f>IF($A230="","",SUMIFS(tblIssues[Qty Issued],tblIssues[Lot Number],$B230))</f>
        <v/>
      </c>
      <c r="N230" s="26" t="str">
        <f t="shared" si="17"/>
        <v/>
      </c>
      <c r="O230" s="26" t="str">
        <f t="shared" si="18"/>
        <v/>
      </c>
      <c r="P230" s="21" t="str">
        <f t="shared" si="19"/>
        <v/>
      </c>
      <c r="Q230" s="52" t="str">
        <f>IF($A230="","",IF($O230&lt;=0,"Depleted",IF($I230&lt;0,"EXPIRED",IF($I230&lt;=Settings!$C$6,"CRITICAL",IF($I230&lt;=Settings!$C$5,"Expiring","In date")))))</f>
        <v/>
      </c>
    </row>
    <row r="231" spans="1:17" x14ac:dyDescent="0.35">
      <c r="A231" s="90" t="str">
        <f>IF(Receipts!$D234="","",Receipts!$D234)</f>
        <v/>
      </c>
      <c r="B231" s="18" t="str">
        <f>IF(Receipts!$C234="","",Receipts!$C234)</f>
        <v/>
      </c>
      <c r="C231" s="18" t="str">
        <f>IF($A231="","",IFERROR(INDEX(Items!$B$5:$B$597,MATCH($A231,Items!$A$5:$A$597,0)),""))</f>
        <v/>
      </c>
      <c r="D231" s="23" t="str">
        <f>IF($A231="","",N(Receipts!$G234))</f>
        <v/>
      </c>
      <c r="E231" s="20" t="str">
        <f>IF($A231="","",IFERROR(INDEX(Items!$D$5:$D$597,MATCH($A231,Items!$A$5:$A$597,0)),0))</f>
        <v/>
      </c>
      <c r="F231" s="21" t="str">
        <f t="shared" si="15"/>
        <v/>
      </c>
      <c r="G231" s="25" t="str">
        <f>IF(Receipts!$I234="","",Receipts!$I234)</f>
        <v/>
      </c>
      <c r="H231" s="25" t="str">
        <f>IF(Receipts!$H234="","",Receipts!$H234)</f>
        <v/>
      </c>
      <c r="I231" s="26" t="str">
        <f t="shared" ca="1" si="16"/>
        <v/>
      </c>
      <c r="J231" s="26" t="str">
        <f>IF($A231="","",COUNTIFS(tblReceipts[Item Name],$A231,tblReceipts[Expiry Date],"&lt;"&amp;$H231)+COUNTIFS(tblReceipts[Item Name],$A231,tblReceipts[Expiry Date],$H231,tblReceipts[Lot Number],"&lt;="&amp;Receipts!$C234))</f>
        <v/>
      </c>
      <c r="K231" s="26" t="str">
        <f>IF($A231="","",SUMIFS(tblReceipts[Qty Received],tblReceipts[Item Name],$A231,tblReceipts[Expiry Date],"&lt;"&amp;$H231)+SUMIFS(tblReceipts[Qty Received],tblReceipts[Item Name],$A231,tblReceipts[Expiry Date],$H231,tblReceipts[Lot Number],"&lt;"&amp;Receipts!$C234))</f>
        <v/>
      </c>
      <c r="L231" s="26" t="str">
        <f>IF($A231="","",MIN($D231,MAX(0,SUMIFS(tblIssues[Qty Issued],tblIssues[Item Name],$A231)-$K231)))</f>
        <v/>
      </c>
      <c r="M231" s="26" t="str">
        <f>IF($A231="","",SUMIFS(tblIssues[Qty Issued],tblIssues[Lot Number],$B231))</f>
        <v/>
      </c>
      <c r="N231" s="26" t="str">
        <f t="shared" si="17"/>
        <v/>
      </c>
      <c r="O231" s="26" t="str">
        <f t="shared" si="18"/>
        <v/>
      </c>
      <c r="P231" s="21" t="str">
        <f t="shared" si="19"/>
        <v/>
      </c>
      <c r="Q231" s="52" t="str">
        <f>IF($A231="","",IF($O231&lt;=0,"Depleted",IF($I231&lt;0,"EXPIRED",IF($I231&lt;=Settings!$C$6,"CRITICAL",IF($I231&lt;=Settings!$C$5,"Expiring","In date")))))</f>
        <v/>
      </c>
    </row>
    <row r="232" spans="1:17" x14ac:dyDescent="0.35">
      <c r="A232" s="90" t="str">
        <f>IF(Receipts!$D235="","",Receipts!$D235)</f>
        <v/>
      </c>
      <c r="B232" s="18" t="str">
        <f>IF(Receipts!$C235="","",Receipts!$C235)</f>
        <v/>
      </c>
      <c r="C232" s="18" t="str">
        <f>IF($A232="","",IFERROR(INDEX(Items!$B$5:$B$597,MATCH($A232,Items!$A$5:$A$597,0)),""))</f>
        <v/>
      </c>
      <c r="D232" s="23" t="str">
        <f>IF($A232="","",N(Receipts!$G235))</f>
        <v/>
      </c>
      <c r="E232" s="20" t="str">
        <f>IF($A232="","",IFERROR(INDEX(Items!$D$5:$D$597,MATCH($A232,Items!$A$5:$A$597,0)),0))</f>
        <v/>
      </c>
      <c r="F232" s="21" t="str">
        <f t="shared" si="15"/>
        <v/>
      </c>
      <c r="G232" s="25" t="str">
        <f>IF(Receipts!$I235="","",Receipts!$I235)</f>
        <v/>
      </c>
      <c r="H232" s="25" t="str">
        <f>IF(Receipts!$H235="","",Receipts!$H235)</f>
        <v/>
      </c>
      <c r="I232" s="26" t="str">
        <f t="shared" ca="1" si="16"/>
        <v/>
      </c>
      <c r="J232" s="26" t="str">
        <f>IF($A232="","",COUNTIFS(tblReceipts[Item Name],$A232,tblReceipts[Expiry Date],"&lt;"&amp;$H232)+COUNTIFS(tblReceipts[Item Name],$A232,tblReceipts[Expiry Date],$H232,tblReceipts[Lot Number],"&lt;="&amp;Receipts!$C235))</f>
        <v/>
      </c>
      <c r="K232" s="26" t="str">
        <f>IF($A232="","",SUMIFS(tblReceipts[Qty Received],tblReceipts[Item Name],$A232,tblReceipts[Expiry Date],"&lt;"&amp;$H232)+SUMIFS(tblReceipts[Qty Received],tblReceipts[Item Name],$A232,tblReceipts[Expiry Date],$H232,tblReceipts[Lot Number],"&lt;"&amp;Receipts!$C235))</f>
        <v/>
      </c>
      <c r="L232" s="26" t="str">
        <f>IF($A232="","",MIN($D232,MAX(0,SUMIFS(tblIssues[Qty Issued],tblIssues[Item Name],$A232)-$K232)))</f>
        <v/>
      </c>
      <c r="M232" s="26" t="str">
        <f>IF($A232="","",SUMIFS(tblIssues[Qty Issued],tblIssues[Lot Number],$B232))</f>
        <v/>
      </c>
      <c r="N232" s="26" t="str">
        <f t="shared" si="17"/>
        <v/>
      </c>
      <c r="O232" s="26" t="str">
        <f t="shared" si="18"/>
        <v/>
      </c>
      <c r="P232" s="21" t="str">
        <f t="shared" si="19"/>
        <v/>
      </c>
      <c r="Q232" s="52" t="str">
        <f>IF($A232="","",IF($O232&lt;=0,"Depleted",IF($I232&lt;0,"EXPIRED",IF($I232&lt;=Settings!$C$6,"CRITICAL",IF($I232&lt;=Settings!$C$5,"Expiring","In date")))))</f>
        <v/>
      </c>
    </row>
    <row r="233" spans="1:17" x14ac:dyDescent="0.35">
      <c r="A233" s="90" t="str">
        <f>IF(Receipts!$D236="","",Receipts!$D236)</f>
        <v/>
      </c>
      <c r="B233" s="18" t="str">
        <f>IF(Receipts!$C236="","",Receipts!$C236)</f>
        <v/>
      </c>
      <c r="C233" s="18" t="str">
        <f>IF($A233="","",IFERROR(INDEX(Items!$B$5:$B$597,MATCH($A233,Items!$A$5:$A$597,0)),""))</f>
        <v/>
      </c>
      <c r="D233" s="23" t="str">
        <f>IF($A233="","",N(Receipts!$G236))</f>
        <v/>
      </c>
      <c r="E233" s="20" t="str">
        <f>IF($A233="","",IFERROR(INDEX(Items!$D$5:$D$597,MATCH($A233,Items!$A$5:$A$597,0)),0))</f>
        <v/>
      </c>
      <c r="F233" s="21" t="str">
        <f t="shared" si="15"/>
        <v/>
      </c>
      <c r="G233" s="25" t="str">
        <f>IF(Receipts!$I236="","",Receipts!$I236)</f>
        <v/>
      </c>
      <c r="H233" s="25" t="str">
        <f>IF(Receipts!$H236="","",Receipts!$H236)</f>
        <v/>
      </c>
      <c r="I233" s="26" t="str">
        <f t="shared" ca="1" si="16"/>
        <v/>
      </c>
      <c r="J233" s="26" t="str">
        <f>IF($A233="","",COUNTIFS(tblReceipts[Item Name],$A233,tblReceipts[Expiry Date],"&lt;"&amp;$H233)+COUNTIFS(tblReceipts[Item Name],$A233,tblReceipts[Expiry Date],$H233,tblReceipts[Lot Number],"&lt;="&amp;Receipts!$C236))</f>
        <v/>
      </c>
      <c r="K233" s="26" t="str">
        <f>IF($A233="","",SUMIFS(tblReceipts[Qty Received],tblReceipts[Item Name],$A233,tblReceipts[Expiry Date],"&lt;"&amp;$H233)+SUMIFS(tblReceipts[Qty Received],tblReceipts[Item Name],$A233,tblReceipts[Expiry Date],$H233,tblReceipts[Lot Number],"&lt;"&amp;Receipts!$C236))</f>
        <v/>
      </c>
      <c r="L233" s="26" t="str">
        <f>IF($A233="","",MIN($D233,MAX(0,SUMIFS(tblIssues[Qty Issued],tblIssues[Item Name],$A233)-$K233)))</f>
        <v/>
      </c>
      <c r="M233" s="26" t="str">
        <f>IF($A233="","",SUMIFS(tblIssues[Qty Issued],tblIssues[Lot Number],$B233))</f>
        <v/>
      </c>
      <c r="N233" s="26" t="str">
        <f t="shared" si="17"/>
        <v/>
      </c>
      <c r="O233" s="26" t="str">
        <f t="shared" si="18"/>
        <v/>
      </c>
      <c r="P233" s="21" t="str">
        <f t="shared" si="19"/>
        <v/>
      </c>
      <c r="Q233" s="52" t="str">
        <f>IF($A233="","",IF($O233&lt;=0,"Depleted",IF($I233&lt;0,"EXPIRED",IF($I233&lt;=Settings!$C$6,"CRITICAL",IF($I233&lt;=Settings!$C$5,"Expiring","In date")))))</f>
        <v/>
      </c>
    </row>
    <row r="234" spans="1:17" x14ac:dyDescent="0.35">
      <c r="A234" s="90" t="str">
        <f>IF(Receipts!$D237="","",Receipts!$D237)</f>
        <v/>
      </c>
      <c r="B234" s="18" t="str">
        <f>IF(Receipts!$C237="","",Receipts!$C237)</f>
        <v/>
      </c>
      <c r="C234" s="18" t="str">
        <f>IF($A234="","",IFERROR(INDEX(Items!$B$5:$B$597,MATCH($A234,Items!$A$5:$A$597,0)),""))</f>
        <v/>
      </c>
      <c r="D234" s="23" t="str">
        <f>IF($A234="","",N(Receipts!$G237))</f>
        <v/>
      </c>
      <c r="E234" s="20" t="str">
        <f>IF($A234="","",IFERROR(INDEX(Items!$D$5:$D$597,MATCH($A234,Items!$A$5:$A$597,0)),0))</f>
        <v/>
      </c>
      <c r="F234" s="21" t="str">
        <f t="shared" si="15"/>
        <v/>
      </c>
      <c r="G234" s="25" t="str">
        <f>IF(Receipts!$I237="","",Receipts!$I237)</f>
        <v/>
      </c>
      <c r="H234" s="25" t="str">
        <f>IF(Receipts!$H237="","",Receipts!$H237)</f>
        <v/>
      </c>
      <c r="I234" s="26" t="str">
        <f t="shared" ca="1" si="16"/>
        <v/>
      </c>
      <c r="J234" s="26" t="str">
        <f>IF($A234="","",COUNTIFS(tblReceipts[Item Name],$A234,tblReceipts[Expiry Date],"&lt;"&amp;$H234)+COUNTIFS(tblReceipts[Item Name],$A234,tblReceipts[Expiry Date],$H234,tblReceipts[Lot Number],"&lt;="&amp;Receipts!$C237))</f>
        <v/>
      </c>
      <c r="K234" s="26" t="str">
        <f>IF($A234="","",SUMIFS(tblReceipts[Qty Received],tblReceipts[Item Name],$A234,tblReceipts[Expiry Date],"&lt;"&amp;$H234)+SUMIFS(tblReceipts[Qty Received],tblReceipts[Item Name],$A234,tblReceipts[Expiry Date],$H234,tblReceipts[Lot Number],"&lt;"&amp;Receipts!$C237))</f>
        <v/>
      </c>
      <c r="L234" s="26" t="str">
        <f>IF($A234="","",MIN($D234,MAX(0,SUMIFS(tblIssues[Qty Issued],tblIssues[Item Name],$A234)-$K234)))</f>
        <v/>
      </c>
      <c r="M234" s="26" t="str">
        <f>IF($A234="","",SUMIFS(tblIssues[Qty Issued],tblIssues[Lot Number],$B234))</f>
        <v/>
      </c>
      <c r="N234" s="26" t="str">
        <f t="shared" si="17"/>
        <v/>
      </c>
      <c r="O234" s="26" t="str">
        <f t="shared" si="18"/>
        <v/>
      </c>
      <c r="P234" s="21" t="str">
        <f t="shared" si="19"/>
        <v/>
      </c>
      <c r="Q234" s="52" t="str">
        <f>IF($A234="","",IF($O234&lt;=0,"Depleted",IF($I234&lt;0,"EXPIRED",IF($I234&lt;=Settings!$C$6,"CRITICAL",IF($I234&lt;=Settings!$C$5,"Expiring","In date")))))</f>
        <v/>
      </c>
    </row>
    <row r="235" spans="1:17" x14ac:dyDescent="0.35">
      <c r="A235" s="90" t="str">
        <f>IF(Receipts!$D238="","",Receipts!$D238)</f>
        <v/>
      </c>
      <c r="B235" s="18" t="str">
        <f>IF(Receipts!$C238="","",Receipts!$C238)</f>
        <v/>
      </c>
      <c r="C235" s="18" t="str">
        <f>IF($A235="","",IFERROR(INDEX(Items!$B$5:$B$597,MATCH($A235,Items!$A$5:$A$597,0)),""))</f>
        <v/>
      </c>
      <c r="D235" s="23" t="str">
        <f>IF($A235="","",N(Receipts!$G238))</f>
        <v/>
      </c>
      <c r="E235" s="20" t="str">
        <f>IF($A235="","",IFERROR(INDEX(Items!$D$5:$D$597,MATCH($A235,Items!$A$5:$A$597,0)),0))</f>
        <v/>
      </c>
      <c r="F235" s="21" t="str">
        <f t="shared" si="15"/>
        <v/>
      </c>
      <c r="G235" s="25" t="str">
        <f>IF(Receipts!$I238="","",Receipts!$I238)</f>
        <v/>
      </c>
      <c r="H235" s="25" t="str">
        <f>IF(Receipts!$H238="","",Receipts!$H238)</f>
        <v/>
      </c>
      <c r="I235" s="26" t="str">
        <f t="shared" ca="1" si="16"/>
        <v/>
      </c>
      <c r="J235" s="26" t="str">
        <f>IF($A235="","",COUNTIFS(tblReceipts[Item Name],$A235,tblReceipts[Expiry Date],"&lt;"&amp;$H235)+COUNTIFS(tblReceipts[Item Name],$A235,tblReceipts[Expiry Date],$H235,tblReceipts[Lot Number],"&lt;="&amp;Receipts!$C238))</f>
        <v/>
      </c>
      <c r="K235" s="26" t="str">
        <f>IF($A235="","",SUMIFS(tblReceipts[Qty Received],tblReceipts[Item Name],$A235,tblReceipts[Expiry Date],"&lt;"&amp;$H235)+SUMIFS(tblReceipts[Qty Received],tblReceipts[Item Name],$A235,tblReceipts[Expiry Date],$H235,tblReceipts[Lot Number],"&lt;"&amp;Receipts!$C238))</f>
        <v/>
      </c>
      <c r="L235" s="26" t="str">
        <f>IF($A235="","",MIN($D235,MAX(0,SUMIFS(tblIssues[Qty Issued],tblIssues[Item Name],$A235)-$K235)))</f>
        <v/>
      </c>
      <c r="M235" s="26" t="str">
        <f>IF($A235="","",SUMIFS(tblIssues[Qty Issued],tblIssues[Lot Number],$B235))</f>
        <v/>
      </c>
      <c r="N235" s="26" t="str">
        <f t="shared" si="17"/>
        <v/>
      </c>
      <c r="O235" s="26" t="str">
        <f t="shared" si="18"/>
        <v/>
      </c>
      <c r="P235" s="21" t="str">
        <f t="shared" si="19"/>
        <v/>
      </c>
      <c r="Q235" s="52" t="str">
        <f>IF($A235="","",IF($O235&lt;=0,"Depleted",IF($I235&lt;0,"EXPIRED",IF($I235&lt;=Settings!$C$6,"CRITICAL",IF($I235&lt;=Settings!$C$5,"Expiring","In date")))))</f>
        <v/>
      </c>
    </row>
    <row r="236" spans="1:17" x14ac:dyDescent="0.35">
      <c r="A236" s="90" t="str">
        <f>IF(Receipts!$D239="","",Receipts!$D239)</f>
        <v/>
      </c>
      <c r="B236" s="18" t="str">
        <f>IF(Receipts!$C239="","",Receipts!$C239)</f>
        <v/>
      </c>
      <c r="C236" s="18" t="str">
        <f>IF($A236="","",IFERROR(INDEX(Items!$B$5:$B$597,MATCH($A236,Items!$A$5:$A$597,0)),""))</f>
        <v/>
      </c>
      <c r="D236" s="23" t="str">
        <f>IF($A236="","",N(Receipts!$G239))</f>
        <v/>
      </c>
      <c r="E236" s="20" t="str">
        <f>IF($A236="","",IFERROR(INDEX(Items!$D$5:$D$597,MATCH($A236,Items!$A$5:$A$597,0)),0))</f>
        <v/>
      </c>
      <c r="F236" s="21" t="str">
        <f t="shared" si="15"/>
        <v/>
      </c>
      <c r="G236" s="25" t="str">
        <f>IF(Receipts!$I239="","",Receipts!$I239)</f>
        <v/>
      </c>
      <c r="H236" s="25" t="str">
        <f>IF(Receipts!$H239="","",Receipts!$H239)</f>
        <v/>
      </c>
      <c r="I236" s="26" t="str">
        <f t="shared" ca="1" si="16"/>
        <v/>
      </c>
      <c r="J236" s="26" t="str">
        <f>IF($A236="","",COUNTIFS(tblReceipts[Item Name],$A236,tblReceipts[Expiry Date],"&lt;"&amp;$H236)+COUNTIFS(tblReceipts[Item Name],$A236,tblReceipts[Expiry Date],$H236,tblReceipts[Lot Number],"&lt;="&amp;Receipts!$C239))</f>
        <v/>
      </c>
      <c r="K236" s="26" t="str">
        <f>IF($A236="","",SUMIFS(tblReceipts[Qty Received],tblReceipts[Item Name],$A236,tblReceipts[Expiry Date],"&lt;"&amp;$H236)+SUMIFS(tblReceipts[Qty Received],tblReceipts[Item Name],$A236,tblReceipts[Expiry Date],$H236,tblReceipts[Lot Number],"&lt;"&amp;Receipts!$C239))</f>
        <v/>
      </c>
      <c r="L236" s="26" t="str">
        <f>IF($A236="","",MIN($D236,MAX(0,SUMIFS(tblIssues[Qty Issued],tblIssues[Item Name],$A236)-$K236)))</f>
        <v/>
      </c>
      <c r="M236" s="26" t="str">
        <f>IF($A236="","",SUMIFS(tblIssues[Qty Issued],tblIssues[Lot Number],$B236))</f>
        <v/>
      </c>
      <c r="N236" s="26" t="str">
        <f t="shared" si="17"/>
        <v/>
      </c>
      <c r="O236" s="26" t="str">
        <f t="shared" si="18"/>
        <v/>
      </c>
      <c r="P236" s="21" t="str">
        <f t="shared" si="19"/>
        <v/>
      </c>
      <c r="Q236" s="52" t="str">
        <f>IF($A236="","",IF($O236&lt;=0,"Depleted",IF($I236&lt;0,"EXPIRED",IF($I236&lt;=Settings!$C$6,"CRITICAL",IF($I236&lt;=Settings!$C$5,"Expiring","In date")))))</f>
        <v/>
      </c>
    </row>
    <row r="237" spans="1:17" x14ac:dyDescent="0.35">
      <c r="A237" s="90" t="str">
        <f>IF(Receipts!$D240="","",Receipts!$D240)</f>
        <v/>
      </c>
      <c r="B237" s="18" t="str">
        <f>IF(Receipts!$C240="","",Receipts!$C240)</f>
        <v/>
      </c>
      <c r="C237" s="18" t="str">
        <f>IF($A237="","",IFERROR(INDEX(Items!$B$5:$B$597,MATCH($A237,Items!$A$5:$A$597,0)),""))</f>
        <v/>
      </c>
      <c r="D237" s="23" t="str">
        <f>IF($A237="","",N(Receipts!$G240))</f>
        <v/>
      </c>
      <c r="E237" s="20" t="str">
        <f>IF($A237="","",IFERROR(INDEX(Items!$D$5:$D$597,MATCH($A237,Items!$A$5:$A$597,0)),0))</f>
        <v/>
      </c>
      <c r="F237" s="21" t="str">
        <f t="shared" si="15"/>
        <v/>
      </c>
      <c r="G237" s="25" t="str">
        <f>IF(Receipts!$I240="","",Receipts!$I240)</f>
        <v/>
      </c>
      <c r="H237" s="25" t="str">
        <f>IF(Receipts!$H240="","",Receipts!$H240)</f>
        <v/>
      </c>
      <c r="I237" s="26" t="str">
        <f t="shared" ca="1" si="16"/>
        <v/>
      </c>
      <c r="J237" s="26" t="str">
        <f>IF($A237="","",COUNTIFS(tblReceipts[Item Name],$A237,tblReceipts[Expiry Date],"&lt;"&amp;$H237)+COUNTIFS(tblReceipts[Item Name],$A237,tblReceipts[Expiry Date],$H237,tblReceipts[Lot Number],"&lt;="&amp;Receipts!$C240))</f>
        <v/>
      </c>
      <c r="K237" s="26" t="str">
        <f>IF($A237="","",SUMIFS(tblReceipts[Qty Received],tblReceipts[Item Name],$A237,tblReceipts[Expiry Date],"&lt;"&amp;$H237)+SUMIFS(tblReceipts[Qty Received],tblReceipts[Item Name],$A237,tblReceipts[Expiry Date],$H237,tblReceipts[Lot Number],"&lt;"&amp;Receipts!$C240))</f>
        <v/>
      </c>
      <c r="L237" s="26" t="str">
        <f>IF($A237="","",MIN($D237,MAX(0,SUMIFS(tblIssues[Qty Issued],tblIssues[Item Name],$A237)-$K237)))</f>
        <v/>
      </c>
      <c r="M237" s="26" t="str">
        <f>IF($A237="","",SUMIFS(tblIssues[Qty Issued],tblIssues[Lot Number],$B237))</f>
        <v/>
      </c>
      <c r="N237" s="26" t="str">
        <f t="shared" si="17"/>
        <v/>
      </c>
      <c r="O237" s="26" t="str">
        <f t="shared" si="18"/>
        <v/>
      </c>
      <c r="P237" s="21" t="str">
        <f t="shared" si="19"/>
        <v/>
      </c>
      <c r="Q237" s="52" t="str">
        <f>IF($A237="","",IF($O237&lt;=0,"Depleted",IF($I237&lt;0,"EXPIRED",IF($I237&lt;=Settings!$C$6,"CRITICAL",IF($I237&lt;=Settings!$C$5,"Expiring","In date")))))</f>
        <v/>
      </c>
    </row>
    <row r="238" spans="1:17" x14ac:dyDescent="0.35">
      <c r="A238" s="90" t="str">
        <f>IF(Receipts!$D241="","",Receipts!$D241)</f>
        <v/>
      </c>
      <c r="B238" s="18" t="str">
        <f>IF(Receipts!$C241="","",Receipts!$C241)</f>
        <v/>
      </c>
      <c r="C238" s="18" t="str">
        <f>IF($A238="","",IFERROR(INDEX(Items!$B$5:$B$597,MATCH($A238,Items!$A$5:$A$597,0)),""))</f>
        <v/>
      </c>
      <c r="D238" s="23" t="str">
        <f>IF($A238="","",N(Receipts!$G241))</f>
        <v/>
      </c>
      <c r="E238" s="20" t="str">
        <f>IF($A238="","",IFERROR(INDEX(Items!$D$5:$D$597,MATCH($A238,Items!$A$5:$A$597,0)),0))</f>
        <v/>
      </c>
      <c r="F238" s="21" t="str">
        <f t="shared" si="15"/>
        <v/>
      </c>
      <c r="G238" s="25" t="str">
        <f>IF(Receipts!$I241="","",Receipts!$I241)</f>
        <v/>
      </c>
      <c r="H238" s="25" t="str">
        <f>IF(Receipts!$H241="","",Receipts!$H241)</f>
        <v/>
      </c>
      <c r="I238" s="26" t="str">
        <f t="shared" ca="1" si="16"/>
        <v/>
      </c>
      <c r="J238" s="26" t="str">
        <f>IF($A238="","",COUNTIFS(tblReceipts[Item Name],$A238,tblReceipts[Expiry Date],"&lt;"&amp;$H238)+COUNTIFS(tblReceipts[Item Name],$A238,tblReceipts[Expiry Date],$H238,tblReceipts[Lot Number],"&lt;="&amp;Receipts!$C241))</f>
        <v/>
      </c>
      <c r="K238" s="26" t="str">
        <f>IF($A238="","",SUMIFS(tblReceipts[Qty Received],tblReceipts[Item Name],$A238,tblReceipts[Expiry Date],"&lt;"&amp;$H238)+SUMIFS(tblReceipts[Qty Received],tblReceipts[Item Name],$A238,tblReceipts[Expiry Date],$H238,tblReceipts[Lot Number],"&lt;"&amp;Receipts!$C241))</f>
        <v/>
      </c>
      <c r="L238" s="26" t="str">
        <f>IF($A238="","",MIN($D238,MAX(0,SUMIFS(tblIssues[Qty Issued],tblIssues[Item Name],$A238)-$K238)))</f>
        <v/>
      </c>
      <c r="M238" s="26" t="str">
        <f>IF($A238="","",SUMIFS(tblIssues[Qty Issued],tblIssues[Lot Number],$B238))</f>
        <v/>
      </c>
      <c r="N238" s="26" t="str">
        <f t="shared" si="17"/>
        <v/>
      </c>
      <c r="O238" s="26" t="str">
        <f t="shared" si="18"/>
        <v/>
      </c>
      <c r="P238" s="21" t="str">
        <f t="shared" si="19"/>
        <v/>
      </c>
      <c r="Q238" s="52" t="str">
        <f>IF($A238="","",IF($O238&lt;=0,"Depleted",IF($I238&lt;0,"EXPIRED",IF($I238&lt;=Settings!$C$6,"CRITICAL",IF($I238&lt;=Settings!$C$5,"Expiring","In date")))))</f>
        <v/>
      </c>
    </row>
    <row r="239" spans="1:17" x14ac:dyDescent="0.35">
      <c r="A239" s="90" t="str">
        <f>IF(Receipts!$D242="","",Receipts!$D242)</f>
        <v/>
      </c>
      <c r="B239" s="18" t="str">
        <f>IF(Receipts!$C242="","",Receipts!$C242)</f>
        <v/>
      </c>
      <c r="C239" s="18" t="str">
        <f>IF($A239="","",IFERROR(INDEX(Items!$B$5:$B$597,MATCH($A239,Items!$A$5:$A$597,0)),""))</f>
        <v/>
      </c>
      <c r="D239" s="23" t="str">
        <f>IF($A239="","",N(Receipts!$G242))</f>
        <v/>
      </c>
      <c r="E239" s="20" t="str">
        <f>IF($A239="","",IFERROR(INDEX(Items!$D$5:$D$597,MATCH($A239,Items!$A$5:$A$597,0)),0))</f>
        <v/>
      </c>
      <c r="F239" s="21" t="str">
        <f t="shared" si="15"/>
        <v/>
      </c>
      <c r="G239" s="25" t="str">
        <f>IF(Receipts!$I242="","",Receipts!$I242)</f>
        <v/>
      </c>
      <c r="H239" s="25" t="str">
        <f>IF(Receipts!$H242="","",Receipts!$H242)</f>
        <v/>
      </c>
      <c r="I239" s="26" t="str">
        <f t="shared" ca="1" si="16"/>
        <v/>
      </c>
      <c r="J239" s="26" t="str">
        <f>IF($A239="","",COUNTIFS(tblReceipts[Item Name],$A239,tblReceipts[Expiry Date],"&lt;"&amp;$H239)+COUNTIFS(tblReceipts[Item Name],$A239,tblReceipts[Expiry Date],$H239,tblReceipts[Lot Number],"&lt;="&amp;Receipts!$C242))</f>
        <v/>
      </c>
      <c r="K239" s="26" t="str">
        <f>IF($A239="","",SUMIFS(tblReceipts[Qty Received],tblReceipts[Item Name],$A239,tblReceipts[Expiry Date],"&lt;"&amp;$H239)+SUMIFS(tblReceipts[Qty Received],tblReceipts[Item Name],$A239,tblReceipts[Expiry Date],$H239,tblReceipts[Lot Number],"&lt;"&amp;Receipts!$C242))</f>
        <v/>
      </c>
      <c r="L239" s="26" t="str">
        <f>IF($A239="","",MIN($D239,MAX(0,SUMIFS(tblIssues[Qty Issued],tblIssues[Item Name],$A239)-$K239)))</f>
        <v/>
      </c>
      <c r="M239" s="26" t="str">
        <f>IF($A239="","",SUMIFS(tblIssues[Qty Issued],tblIssues[Lot Number],$B239))</f>
        <v/>
      </c>
      <c r="N239" s="26" t="str">
        <f t="shared" si="17"/>
        <v/>
      </c>
      <c r="O239" s="26" t="str">
        <f t="shared" si="18"/>
        <v/>
      </c>
      <c r="P239" s="21" t="str">
        <f t="shared" si="19"/>
        <v/>
      </c>
      <c r="Q239" s="52" t="str">
        <f>IF($A239="","",IF($O239&lt;=0,"Depleted",IF($I239&lt;0,"EXPIRED",IF($I239&lt;=Settings!$C$6,"CRITICAL",IF($I239&lt;=Settings!$C$5,"Expiring","In date")))))</f>
        <v/>
      </c>
    </row>
    <row r="240" spans="1:17" x14ac:dyDescent="0.35">
      <c r="A240" s="90" t="str">
        <f>IF(Receipts!$D243="","",Receipts!$D243)</f>
        <v/>
      </c>
      <c r="B240" s="18" t="str">
        <f>IF(Receipts!$C243="","",Receipts!$C243)</f>
        <v/>
      </c>
      <c r="C240" s="18" t="str">
        <f>IF($A240="","",IFERROR(INDEX(Items!$B$5:$B$597,MATCH($A240,Items!$A$5:$A$597,0)),""))</f>
        <v/>
      </c>
      <c r="D240" s="23" t="str">
        <f>IF($A240="","",N(Receipts!$G243))</f>
        <v/>
      </c>
      <c r="E240" s="20" t="str">
        <f>IF($A240="","",IFERROR(INDEX(Items!$D$5:$D$597,MATCH($A240,Items!$A$5:$A$597,0)),0))</f>
        <v/>
      </c>
      <c r="F240" s="21" t="str">
        <f t="shared" si="15"/>
        <v/>
      </c>
      <c r="G240" s="25" t="str">
        <f>IF(Receipts!$I243="","",Receipts!$I243)</f>
        <v/>
      </c>
      <c r="H240" s="25" t="str">
        <f>IF(Receipts!$H243="","",Receipts!$H243)</f>
        <v/>
      </c>
      <c r="I240" s="26" t="str">
        <f t="shared" ca="1" si="16"/>
        <v/>
      </c>
      <c r="J240" s="26" t="str">
        <f>IF($A240="","",COUNTIFS(tblReceipts[Item Name],$A240,tblReceipts[Expiry Date],"&lt;"&amp;$H240)+COUNTIFS(tblReceipts[Item Name],$A240,tblReceipts[Expiry Date],$H240,tblReceipts[Lot Number],"&lt;="&amp;Receipts!$C243))</f>
        <v/>
      </c>
      <c r="K240" s="26" t="str">
        <f>IF($A240="","",SUMIFS(tblReceipts[Qty Received],tblReceipts[Item Name],$A240,tblReceipts[Expiry Date],"&lt;"&amp;$H240)+SUMIFS(tblReceipts[Qty Received],tblReceipts[Item Name],$A240,tblReceipts[Expiry Date],$H240,tblReceipts[Lot Number],"&lt;"&amp;Receipts!$C243))</f>
        <v/>
      </c>
      <c r="L240" s="26" t="str">
        <f>IF($A240="","",MIN($D240,MAX(0,SUMIFS(tblIssues[Qty Issued],tblIssues[Item Name],$A240)-$K240)))</f>
        <v/>
      </c>
      <c r="M240" s="26" t="str">
        <f>IF($A240="","",SUMIFS(tblIssues[Qty Issued],tblIssues[Lot Number],$B240))</f>
        <v/>
      </c>
      <c r="N240" s="26" t="str">
        <f t="shared" si="17"/>
        <v/>
      </c>
      <c r="O240" s="26" t="str">
        <f t="shared" si="18"/>
        <v/>
      </c>
      <c r="P240" s="21" t="str">
        <f t="shared" si="19"/>
        <v/>
      </c>
      <c r="Q240" s="52" t="str">
        <f>IF($A240="","",IF($O240&lt;=0,"Depleted",IF($I240&lt;0,"EXPIRED",IF($I240&lt;=Settings!$C$6,"CRITICAL",IF($I240&lt;=Settings!$C$5,"Expiring","In date")))))</f>
        <v/>
      </c>
    </row>
    <row r="241" spans="1:17" x14ac:dyDescent="0.35">
      <c r="A241" s="90" t="str">
        <f>IF(Receipts!$D244="","",Receipts!$D244)</f>
        <v/>
      </c>
      <c r="B241" s="18" t="str">
        <f>IF(Receipts!$C244="","",Receipts!$C244)</f>
        <v/>
      </c>
      <c r="C241" s="18" t="str">
        <f>IF($A241="","",IFERROR(INDEX(Items!$B$5:$B$597,MATCH($A241,Items!$A$5:$A$597,0)),""))</f>
        <v/>
      </c>
      <c r="D241" s="23" t="str">
        <f>IF($A241="","",N(Receipts!$G244))</f>
        <v/>
      </c>
      <c r="E241" s="20" t="str">
        <f>IF($A241="","",IFERROR(INDEX(Items!$D$5:$D$597,MATCH($A241,Items!$A$5:$A$597,0)),0))</f>
        <v/>
      </c>
      <c r="F241" s="21" t="str">
        <f t="shared" si="15"/>
        <v/>
      </c>
      <c r="G241" s="25" t="str">
        <f>IF(Receipts!$I244="","",Receipts!$I244)</f>
        <v/>
      </c>
      <c r="H241" s="25" t="str">
        <f>IF(Receipts!$H244="","",Receipts!$H244)</f>
        <v/>
      </c>
      <c r="I241" s="26" t="str">
        <f t="shared" ca="1" si="16"/>
        <v/>
      </c>
      <c r="J241" s="26" t="str">
        <f>IF($A241="","",COUNTIFS(tblReceipts[Item Name],$A241,tblReceipts[Expiry Date],"&lt;"&amp;$H241)+COUNTIFS(tblReceipts[Item Name],$A241,tblReceipts[Expiry Date],$H241,tblReceipts[Lot Number],"&lt;="&amp;Receipts!$C244))</f>
        <v/>
      </c>
      <c r="K241" s="26" t="str">
        <f>IF($A241="","",SUMIFS(tblReceipts[Qty Received],tblReceipts[Item Name],$A241,tblReceipts[Expiry Date],"&lt;"&amp;$H241)+SUMIFS(tblReceipts[Qty Received],tblReceipts[Item Name],$A241,tblReceipts[Expiry Date],$H241,tblReceipts[Lot Number],"&lt;"&amp;Receipts!$C244))</f>
        <v/>
      </c>
      <c r="L241" s="26" t="str">
        <f>IF($A241="","",MIN($D241,MAX(0,SUMIFS(tblIssues[Qty Issued],tblIssues[Item Name],$A241)-$K241)))</f>
        <v/>
      </c>
      <c r="M241" s="26" t="str">
        <f>IF($A241="","",SUMIFS(tblIssues[Qty Issued],tblIssues[Lot Number],$B241))</f>
        <v/>
      </c>
      <c r="N241" s="26" t="str">
        <f t="shared" si="17"/>
        <v/>
      </c>
      <c r="O241" s="26" t="str">
        <f t="shared" si="18"/>
        <v/>
      </c>
      <c r="P241" s="21" t="str">
        <f t="shared" si="19"/>
        <v/>
      </c>
      <c r="Q241" s="52" t="str">
        <f>IF($A241="","",IF($O241&lt;=0,"Depleted",IF($I241&lt;0,"EXPIRED",IF($I241&lt;=Settings!$C$6,"CRITICAL",IF($I241&lt;=Settings!$C$5,"Expiring","In date")))))</f>
        <v/>
      </c>
    </row>
    <row r="242" spans="1:17" x14ac:dyDescent="0.35">
      <c r="A242" s="90" t="str">
        <f>IF(Receipts!$D245="","",Receipts!$D245)</f>
        <v/>
      </c>
      <c r="B242" s="18" t="str">
        <f>IF(Receipts!$C245="","",Receipts!$C245)</f>
        <v/>
      </c>
      <c r="C242" s="18" t="str">
        <f>IF($A242="","",IFERROR(INDEX(Items!$B$5:$B$597,MATCH($A242,Items!$A$5:$A$597,0)),""))</f>
        <v/>
      </c>
      <c r="D242" s="23" t="str">
        <f>IF($A242="","",N(Receipts!$G245))</f>
        <v/>
      </c>
      <c r="E242" s="20" t="str">
        <f>IF($A242="","",IFERROR(INDEX(Items!$D$5:$D$597,MATCH($A242,Items!$A$5:$A$597,0)),0))</f>
        <v/>
      </c>
      <c r="F242" s="21" t="str">
        <f t="shared" si="15"/>
        <v/>
      </c>
      <c r="G242" s="25" t="str">
        <f>IF(Receipts!$I245="","",Receipts!$I245)</f>
        <v/>
      </c>
      <c r="H242" s="25" t="str">
        <f>IF(Receipts!$H245="","",Receipts!$H245)</f>
        <v/>
      </c>
      <c r="I242" s="26" t="str">
        <f t="shared" ca="1" si="16"/>
        <v/>
      </c>
      <c r="J242" s="26" t="str">
        <f>IF($A242="","",COUNTIFS(tblReceipts[Item Name],$A242,tblReceipts[Expiry Date],"&lt;"&amp;$H242)+COUNTIFS(tblReceipts[Item Name],$A242,tblReceipts[Expiry Date],$H242,tblReceipts[Lot Number],"&lt;="&amp;Receipts!$C245))</f>
        <v/>
      </c>
      <c r="K242" s="26" t="str">
        <f>IF($A242="","",SUMIFS(tblReceipts[Qty Received],tblReceipts[Item Name],$A242,tblReceipts[Expiry Date],"&lt;"&amp;$H242)+SUMIFS(tblReceipts[Qty Received],tblReceipts[Item Name],$A242,tblReceipts[Expiry Date],$H242,tblReceipts[Lot Number],"&lt;"&amp;Receipts!$C245))</f>
        <v/>
      </c>
      <c r="L242" s="26" t="str">
        <f>IF($A242="","",MIN($D242,MAX(0,SUMIFS(tblIssues[Qty Issued],tblIssues[Item Name],$A242)-$K242)))</f>
        <v/>
      </c>
      <c r="M242" s="26" t="str">
        <f>IF($A242="","",SUMIFS(tblIssues[Qty Issued],tblIssues[Lot Number],$B242))</f>
        <v/>
      </c>
      <c r="N242" s="26" t="str">
        <f t="shared" si="17"/>
        <v/>
      </c>
      <c r="O242" s="26" t="str">
        <f t="shared" si="18"/>
        <v/>
      </c>
      <c r="P242" s="21" t="str">
        <f t="shared" si="19"/>
        <v/>
      </c>
      <c r="Q242" s="52" t="str">
        <f>IF($A242="","",IF($O242&lt;=0,"Depleted",IF($I242&lt;0,"EXPIRED",IF($I242&lt;=Settings!$C$6,"CRITICAL",IF($I242&lt;=Settings!$C$5,"Expiring","In date")))))</f>
        <v/>
      </c>
    </row>
    <row r="243" spans="1:17" x14ac:dyDescent="0.35">
      <c r="A243" s="90" t="str">
        <f>IF(Receipts!$D246="","",Receipts!$D246)</f>
        <v/>
      </c>
      <c r="B243" s="18" t="str">
        <f>IF(Receipts!$C246="","",Receipts!$C246)</f>
        <v/>
      </c>
      <c r="C243" s="18" t="str">
        <f>IF($A243="","",IFERROR(INDEX(Items!$B$5:$B$597,MATCH($A243,Items!$A$5:$A$597,0)),""))</f>
        <v/>
      </c>
      <c r="D243" s="23" t="str">
        <f>IF($A243="","",N(Receipts!$G246))</f>
        <v/>
      </c>
      <c r="E243" s="20" t="str">
        <f>IF($A243="","",IFERROR(INDEX(Items!$D$5:$D$597,MATCH($A243,Items!$A$5:$A$597,0)),0))</f>
        <v/>
      </c>
      <c r="F243" s="21" t="str">
        <f t="shared" si="15"/>
        <v/>
      </c>
      <c r="G243" s="25" t="str">
        <f>IF(Receipts!$I246="","",Receipts!$I246)</f>
        <v/>
      </c>
      <c r="H243" s="25" t="str">
        <f>IF(Receipts!$H246="","",Receipts!$H246)</f>
        <v/>
      </c>
      <c r="I243" s="26" t="str">
        <f t="shared" ca="1" si="16"/>
        <v/>
      </c>
      <c r="J243" s="26" t="str">
        <f>IF($A243="","",COUNTIFS(tblReceipts[Item Name],$A243,tblReceipts[Expiry Date],"&lt;"&amp;$H243)+COUNTIFS(tblReceipts[Item Name],$A243,tblReceipts[Expiry Date],$H243,tblReceipts[Lot Number],"&lt;="&amp;Receipts!$C246))</f>
        <v/>
      </c>
      <c r="K243" s="26" t="str">
        <f>IF($A243="","",SUMIFS(tblReceipts[Qty Received],tblReceipts[Item Name],$A243,tblReceipts[Expiry Date],"&lt;"&amp;$H243)+SUMIFS(tblReceipts[Qty Received],tblReceipts[Item Name],$A243,tblReceipts[Expiry Date],$H243,tblReceipts[Lot Number],"&lt;"&amp;Receipts!$C246))</f>
        <v/>
      </c>
      <c r="L243" s="26" t="str">
        <f>IF($A243="","",MIN($D243,MAX(0,SUMIFS(tblIssues[Qty Issued],tblIssues[Item Name],$A243)-$K243)))</f>
        <v/>
      </c>
      <c r="M243" s="26" t="str">
        <f>IF($A243="","",SUMIFS(tblIssues[Qty Issued],tblIssues[Lot Number],$B243))</f>
        <v/>
      </c>
      <c r="N243" s="26" t="str">
        <f t="shared" si="17"/>
        <v/>
      </c>
      <c r="O243" s="26" t="str">
        <f t="shared" si="18"/>
        <v/>
      </c>
      <c r="P243" s="21" t="str">
        <f t="shared" si="19"/>
        <v/>
      </c>
      <c r="Q243" s="52" t="str">
        <f>IF($A243="","",IF($O243&lt;=0,"Depleted",IF($I243&lt;0,"EXPIRED",IF($I243&lt;=Settings!$C$6,"CRITICAL",IF($I243&lt;=Settings!$C$5,"Expiring","In date")))))</f>
        <v/>
      </c>
    </row>
    <row r="244" spans="1:17" x14ac:dyDescent="0.35">
      <c r="A244" s="90" t="str">
        <f>IF(Receipts!$D247="","",Receipts!$D247)</f>
        <v/>
      </c>
      <c r="B244" s="18" t="str">
        <f>IF(Receipts!$C247="","",Receipts!$C247)</f>
        <v/>
      </c>
      <c r="C244" s="18" t="str">
        <f>IF($A244="","",IFERROR(INDEX(Items!$B$5:$B$597,MATCH($A244,Items!$A$5:$A$597,0)),""))</f>
        <v/>
      </c>
      <c r="D244" s="23" t="str">
        <f>IF($A244="","",N(Receipts!$G247))</f>
        <v/>
      </c>
      <c r="E244" s="20" t="str">
        <f>IF($A244="","",IFERROR(INDEX(Items!$D$5:$D$597,MATCH($A244,Items!$A$5:$A$597,0)),0))</f>
        <v/>
      </c>
      <c r="F244" s="21" t="str">
        <f t="shared" si="15"/>
        <v/>
      </c>
      <c r="G244" s="25" t="str">
        <f>IF(Receipts!$I247="","",Receipts!$I247)</f>
        <v/>
      </c>
      <c r="H244" s="25" t="str">
        <f>IF(Receipts!$H247="","",Receipts!$H247)</f>
        <v/>
      </c>
      <c r="I244" s="26" t="str">
        <f t="shared" ca="1" si="16"/>
        <v/>
      </c>
      <c r="J244" s="26" t="str">
        <f>IF($A244="","",COUNTIFS(tblReceipts[Item Name],$A244,tblReceipts[Expiry Date],"&lt;"&amp;$H244)+COUNTIFS(tblReceipts[Item Name],$A244,tblReceipts[Expiry Date],$H244,tblReceipts[Lot Number],"&lt;="&amp;Receipts!$C247))</f>
        <v/>
      </c>
      <c r="K244" s="26" t="str">
        <f>IF($A244="","",SUMIFS(tblReceipts[Qty Received],tblReceipts[Item Name],$A244,tblReceipts[Expiry Date],"&lt;"&amp;$H244)+SUMIFS(tblReceipts[Qty Received],tblReceipts[Item Name],$A244,tblReceipts[Expiry Date],$H244,tblReceipts[Lot Number],"&lt;"&amp;Receipts!$C247))</f>
        <v/>
      </c>
      <c r="L244" s="26" t="str">
        <f>IF($A244="","",MIN($D244,MAX(0,SUMIFS(tblIssues[Qty Issued],tblIssues[Item Name],$A244)-$K244)))</f>
        <v/>
      </c>
      <c r="M244" s="26" t="str">
        <f>IF($A244="","",SUMIFS(tblIssues[Qty Issued],tblIssues[Lot Number],$B244))</f>
        <v/>
      </c>
      <c r="N244" s="26" t="str">
        <f t="shared" si="17"/>
        <v/>
      </c>
      <c r="O244" s="26" t="str">
        <f t="shared" si="18"/>
        <v/>
      </c>
      <c r="P244" s="21" t="str">
        <f t="shared" si="19"/>
        <v/>
      </c>
      <c r="Q244" s="52" t="str">
        <f>IF($A244="","",IF($O244&lt;=0,"Depleted",IF($I244&lt;0,"EXPIRED",IF($I244&lt;=Settings!$C$6,"CRITICAL",IF($I244&lt;=Settings!$C$5,"Expiring","In date")))))</f>
        <v/>
      </c>
    </row>
    <row r="245" spans="1:17" x14ac:dyDescent="0.35">
      <c r="A245" s="90" t="str">
        <f>IF(Receipts!$D248="","",Receipts!$D248)</f>
        <v/>
      </c>
      <c r="B245" s="18" t="str">
        <f>IF(Receipts!$C248="","",Receipts!$C248)</f>
        <v/>
      </c>
      <c r="C245" s="18" t="str">
        <f>IF($A245="","",IFERROR(INDEX(Items!$B$5:$B$597,MATCH($A245,Items!$A$5:$A$597,0)),""))</f>
        <v/>
      </c>
      <c r="D245" s="23" t="str">
        <f>IF($A245="","",N(Receipts!$G248))</f>
        <v/>
      </c>
      <c r="E245" s="20" t="str">
        <f>IF($A245="","",IFERROR(INDEX(Items!$D$5:$D$597,MATCH($A245,Items!$A$5:$A$597,0)),0))</f>
        <v/>
      </c>
      <c r="F245" s="21" t="str">
        <f t="shared" si="15"/>
        <v/>
      </c>
      <c r="G245" s="25" t="str">
        <f>IF(Receipts!$I248="","",Receipts!$I248)</f>
        <v/>
      </c>
      <c r="H245" s="25" t="str">
        <f>IF(Receipts!$H248="","",Receipts!$H248)</f>
        <v/>
      </c>
      <c r="I245" s="26" t="str">
        <f t="shared" ca="1" si="16"/>
        <v/>
      </c>
      <c r="J245" s="26" t="str">
        <f>IF($A245="","",COUNTIFS(tblReceipts[Item Name],$A245,tblReceipts[Expiry Date],"&lt;"&amp;$H245)+COUNTIFS(tblReceipts[Item Name],$A245,tblReceipts[Expiry Date],$H245,tblReceipts[Lot Number],"&lt;="&amp;Receipts!$C248))</f>
        <v/>
      </c>
      <c r="K245" s="26" t="str">
        <f>IF($A245="","",SUMIFS(tblReceipts[Qty Received],tblReceipts[Item Name],$A245,tblReceipts[Expiry Date],"&lt;"&amp;$H245)+SUMIFS(tblReceipts[Qty Received],tblReceipts[Item Name],$A245,tblReceipts[Expiry Date],$H245,tblReceipts[Lot Number],"&lt;"&amp;Receipts!$C248))</f>
        <v/>
      </c>
      <c r="L245" s="26" t="str">
        <f>IF($A245="","",MIN($D245,MAX(0,SUMIFS(tblIssues[Qty Issued],tblIssues[Item Name],$A245)-$K245)))</f>
        <v/>
      </c>
      <c r="M245" s="26" t="str">
        <f>IF($A245="","",SUMIFS(tblIssues[Qty Issued],tblIssues[Lot Number],$B245))</f>
        <v/>
      </c>
      <c r="N245" s="26" t="str">
        <f t="shared" si="17"/>
        <v/>
      </c>
      <c r="O245" s="26" t="str">
        <f t="shared" si="18"/>
        <v/>
      </c>
      <c r="P245" s="21" t="str">
        <f t="shared" si="19"/>
        <v/>
      </c>
      <c r="Q245" s="52" t="str">
        <f>IF($A245="","",IF($O245&lt;=0,"Depleted",IF($I245&lt;0,"EXPIRED",IF($I245&lt;=Settings!$C$6,"CRITICAL",IF($I245&lt;=Settings!$C$5,"Expiring","In date")))))</f>
        <v/>
      </c>
    </row>
    <row r="246" spans="1:17" x14ac:dyDescent="0.35">
      <c r="A246" s="90" t="str">
        <f>IF(Receipts!$D249="","",Receipts!$D249)</f>
        <v/>
      </c>
      <c r="B246" s="18" t="str">
        <f>IF(Receipts!$C249="","",Receipts!$C249)</f>
        <v/>
      </c>
      <c r="C246" s="18" t="str">
        <f>IF($A246="","",IFERROR(INDEX(Items!$B$5:$B$597,MATCH($A246,Items!$A$5:$A$597,0)),""))</f>
        <v/>
      </c>
      <c r="D246" s="23" t="str">
        <f>IF($A246="","",N(Receipts!$G249))</f>
        <v/>
      </c>
      <c r="E246" s="20" t="str">
        <f>IF($A246="","",IFERROR(INDEX(Items!$D$5:$D$597,MATCH($A246,Items!$A$5:$A$597,0)),0))</f>
        <v/>
      </c>
      <c r="F246" s="21" t="str">
        <f t="shared" si="15"/>
        <v/>
      </c>
      <c r="G246" s="25" t="str">
        <f>IF(Receipts!$I249="","",Receipts!$I249)</f>
        <v/>
      </c>
      <c r="H246" s="25" t="str">
        <f>IF(Receipts!$H249="","",Receipts!$H249)</f>
        <v/>
      </c>
      <c r="I246" s="26" t="str">
        <f t="shared" ca="1" si="16"/>
        <v/>
      </c>
      <c r="J246" s="26" t="str">
        <f>IF($A246="","",COUNTIFS(tblReceipts[Item Name],$A246,tblReceipts[Expiry Date],"&lt;"&amp;$H246)+COUNTIFS(tblReceipts[Item Name],$A246,tblReceipts[Expiry Date],$H246,tblReceipts[Lot Number],"&lt;="&amp;Receipts!$C249))</f>
        <v/>
      </c>
      <c r="K246" s="26" t="str">
        <f>IF($A246="","",SUMIFS(tblReceipts[Qty Received],tblReceipts[Item Name],$A246,tblReceipts[Expiry Date],"&lt;"&amp;$H246)+SUMIFS(tblReceipts[Qty Received],tblReceipts[Item Name],$A246,tblReceipts[Expiry Date],$H246,tblReceipts[Lot Number],"&lt;"&amp;Receipts!$C249))</f>
        <v/>
      </c>
      <c r="L246" s="26" t="str">
        <f>IF($A246="","",MIN($D246,MAX(0,SUMIFS(tblIssues[Qty Issued],tblIssues[Item Name],$A246)-$K246)))</f>
        <v/>
      </c>
      <c r="M246" s="26" t="str">
        <f>IF($A246="","",SUMIFS(tblIssues[Qty Issued],tblIssues[Lot Number],$B246))</f>
        <v/>
      </c>
      <c r="N246" s="26" t="str">
        <f t="shared" si="17"/>
        <v/>
      </c>
      <c r="O246" s="26" t="str">
        <f t="shared" si="18"/>
        <v/>
      </c>
      <c r="P246" s="21" t="str">
        <f t="shared" si="19"/>
        <v/>
      </c>
      <c r="Q246" s="52" t="str">
        <f>IF($A246="","",IF($O246&lt;=0,"Depleted",IF($I246&lt;0,"EXPIRED",IF($I246&lt;=Settings!$C$6,"CRITICAL",IF($I246&lt;=Settings!$C$5,"Expiring","In date")))))</f>
        <v/>
      </c>
    </row>
    <row r="247" spans="1:17" x14ac:dyDescent="0.35">
      <c r="A247" s="90" t="str">
        <f>IF(Receipts!$D250="","",Receipts!$D250)</f>
        <v/>
      </c>
      <c r="B247" s="18" t="str">
        <f>IF(Receipts!$C250="","",Receipts!$C250)</f>
        <v/>
      </c>
      <c r="C247" s="18" t="str">
        <f>IF($A247="","",IFERROR(INDEX(Items!$B$5:$B$597,MATCH($A247,Items!$A$5:$A$597,0)),""))</f>
        <v/>
      </c>
      <c r="D247" s="23" t="str">
        <f>IF($A247="","",N(Receipts!$G250))</f>
        <v/>
      </c>
      <c r="E247" s="20" t="str">
        <f>IF($A247="","",IFERROR(INDEX(Items!$D$5:$D$597,MATCH($A247,Items!$A$5:$A$597,0)),0))</f>
        <v/>
      </c>
      <c r="F247" s="21" t="str">
        <f t="shared" si="15"/>
        <v/>
      </c>
      <c r="G247" s="25" t="str">
        <f>IF(Receipts!$I250="","",Receipts!$I250)</f>
        <v/>
      </c>
      <c r="H247" s="25" t="str">
        <f>IF(Receipts!$H250="","",Receipts!$H250)</f>
        <v/>
      </c>
      <c r="I247" s="26" t="str">
        <f t="shared" ca="1" si="16"/>
        <v/>
      </c>
      <c r="J247" s="26" t="str">
        <f>IF($A247="","",COUNTIFS(tblReceipts[Item Name],$A247,tblReceipts[Expiry Date],"&lt;"&amp;$H247)+COUNTIFS(tblReceipts[Item Name],$A247,tblReceipts[Expiry Date],$H247,tblReceipts[Lot Number],"&lt;="&amp;Receipts!$C250))</f>
        <v/>
      </c>
      <c r="K247" s="26" t="str">
        <f>IF($A247="","",SUMIFS(tblReceipts[Qty Received],tblReceipts[Item Name],$A247,tblReceipts[Expiry Date],"&lt;"&amp;$H247)+SUMIFS(tblReceipts[Qty Received],tblReceipts[Item Name],$A247,tblReceipts[Expiry Date],$H247,tblReceipts[Lot Number],"&lt;"&amp;Receipts!$C250))</f>
        <v/>
      </c>
      <c r="L247" s="26" t="str">
        <f>IF($A247="","",MIN($D247,MAX(0,SUMIFS(tblIssues[Qty Issued],tblIssues[Item Name],$A247)-$K247)))</f>
        <v/>
      </c>
      <c r="M247" s="26" t="str">
        <f>IF($A247="","",SUMIFS(tblIssues[Qty Issued],tblIssues[Lot Number],$B247))</f>
        <v/>
      </c>
      <c r="N247" s="26" t="str">
        <f t="shared" si="17"/>
        <v/>
      </c>
      <c r="O247" s="26" t="str">
        <f t="shared" si="18"/>
        <v/>
      </c>
      <c r="P247" s="21" t="str">
        <f t="shared" si="19"/>
        <v/>
      </c>
      <c r="Q247" s="52" t="str">
        <f>IF($A247="","",IF($O247&lt;=0,"Depleted",IF($I247&lt;0,"EXPIRED",IF($I247&lt;=Settings!$C$6,"CRITICAL",IF($I247&lt;=Settings!$C$5,"Expiring","In date")))))</f>
        <v/>
      </c>
    </row>
    <row r="248" spans="1:17" x14ac:dyDescent="0.35">
      <c r="A248" s="90" t="str">
        <f>IF(Receipts!$D251="","",Receipts!$D251)</f>
        <v/>
      </c>
      <c r="B248" s="18" t="str">
        <f>IF(Receipts!$C251="","",Receipts!$C251)</f>
        <v/>
      </c>
      <c r="C248" s="18" t="str">
        <f>IF($A248="","",IFERROR(INDEX(Items!$B$5:$B$597,MATCH($A248,Items!$A$5:$A$597,0)),""))</f>
        <v/>
      </c>
      <c r="D248" s="23" t="str">
        <f>IF($A248="","",N(Receipts!$G251))</f>
        <v/>
      </c>
      <c r="E248" s="20" t="str">
        <f>IF($A248="","",IFERROR(INDEX(Items!$D$5:$D$597,MATCH($A248,Items!$A$5:$A$597,0)),0))</f>
        <v/>
      </c>
      <c r="F248" s="21" t="str">
        <f t="shared" si="15"/>
        <v/>
      </c>
      <c r="G248" s="25" t="str">
        <f>IF(Receipts!$I251="","",Receipts!$I251)</f>
        <v/>
      </c>
      <c r="H248" s="25" t="str">
        <f>IF(Receipts!$H251="","",Receipts!$H251)</f>
        <v/>
      </c>
      <c r="I248" s="26" t="str">
        <f t="shared" ca="1" si="16"/>
        <v/>
      </c>
      <c r="J248" s="26" t="str">
        <f>IF($A248="","",COUNTIFS(tblReceipts[Item Name],$A248,tblReceipts[Expiry Date],"&lt;"&amp;$H248)+COUNTIFS(tblReceipts[Item Name],$A248,tblReceipts[Expiry Date],$H248,tblReceipts[Lot Number],"&lt;="&amp;Receipts!$C251))</f>
        <v/>
      </c>
      <c r="K248" s="26" t="str">
        <f>IF($A248="","",SUMIFS(tblReceipts[Qty Received],tblReceipts[Item Name],$A248,tblReceipts[Expiry Date],"&lt;"&amp;$H248)+SUMIFS(tblReceipts[Qty Received],tblReceipts[Item Name],$A248,tblReceipts[Expiry Date],$H248,tblReceipts[Lot Number],"&lt;"&amp;Receipts!$C251))</f>
        <v/>
      </c>
      <c r="L248" s="26" t="str">
        <f>IF($A248="","",MIN($D248,MAX(0,SUMIFS(tblIssues[Qty Issued],tblIssues[Item Name],$A248)-$K248)))</f>
        <v/>
      </c>
      <c r="M248" s="26" t="str">
        <f>IF($A248="","",SUMIFS(tblIssues[Qty Issued],tblIssues[Lot Number],$B248))</f>
        <v/>
      </c>
      <c r="N248" s="26" t="str">
        <f t="shared" si="17"/>
        <v/>
      </c>
      <c r="O248" s="26" t="str">
        <f t="shared" si="18"/>
        <v/>
      </c>
      <c r="P248" s="21" t="str">
        <f t="shared" si="19"/>
        <v/>
      </c>
      <c r="Q248" s="52" t="str">
        <f>IF($A248="","",IF($O248&lt;=0,"Depleted",IF($I248&lt;0,"EXPIRED",IF($I248&lt;=Settings!$C$6,"CRITICAL",IF($I248&lt;=Settings!$C$5,"Expiring","In date")))))</f>
        <v/>
      </c>
    </row>
    <row r="249" spans="1:17" x14ac:dyDescent="0.35">
      <c r="A249" s="90" t="str">
        <f>IF(Receipts!$D252="","",Receipts!$D252)</f>
        <v/>
      </c>
      <c r="B249" s="18" t="str">
        <f>IF(Receipts!$C252="","",Receipts!$C252)</f>
        <v/>
      </c>
      <c r="C249" s="18" t="str">
        <f>IF($A249="","",IFERROR(INDEX(Items!$B$5:$B$597,MATCH($A249,Items!$A$5:$A$597,0)),""))</f>
        <v/>
      </c>
      <c r="D249" s="23" t="str">
        <f>IF($A249="","",N(Receipts!$G252))</f>
        <v/>
      </c>
      <c r="E249" s="20" t="str">
        <f>IF($A249="","",IFERROR(INDEX(Items!$D$5:$D$597,MATCH($A249,Items!$A$5:$A$597,0)),0))</f>
        <v/>
      </c>
      <c r="F249" s="21" t="str">
        <f t="shared" si="15"/>
        <v/>
      </c>
      <c r="G249" s="25" t="str">
        <f>IF(Receipts!$I252="","",Receipts!$I252)</f>
        <v/>
      </c>
      <c r="H249" s="25" t="str">
        <f>IF(Receipts!$H252="","",Receipts!$H252)</f>
        <v/>
      </c>
      <c r="I249" s="26" t="str">
        <f t="shared" ca="1" si="16"/>
        <v/>
      </c>
      <c r="J249" s="26" t="str">
        <f>IF($A249="","",COUNTIFS(tblReceipts[Item Name],$A249,tblReceipts[Expiry Date],"&lt;"&amp;$H249)+COUNTIFS(tblReceipts[Item Name],$A249,tblReceipts[Expiry Date],$H249,tblReceipts[Lot Number],"&lt;="&amp;Receipts!$C252))</f>
        <v/>
      </c>
      <c r="K249" s="26" t="str">
        <f>IF($A249="","",SUMIFS(tblReceipts[Qty Received],tblReceipts[Item Name],$A249,tblReceipts[Expiry Date],"&lt;"&amp;$H249)+SUMIFS(tblReceipts[Qty Received],tblReceipts[Item Name],$A249,tblReceipts[Expiry Date],$H249,tblReceipts[Lot Number],"&lt;"&amp;Receipts!$C252))</f>
        <v/>
      </c>
      <c r="L249" s="26" t="str">
        <f>IF($A249="","",MIN($D249,MAX(0,SUMIFS(tblIssues[Qty Issued],tblIssues[Item Name],$A249)-$K249)))</f>
        <v/>
      </c>
      <c r="M249" s="26" t="str">
        <f>IF($A249="","",SUMIFS(tblIssues[Qty Issued],tblIssues[Lot Number],$B249))</f>
        <v/>
      </c>
      <c r="N249" s="26" t="str">
        <f t="shared" si="17"/>
        <v/>
      </c>
      <c r="O249" s="26" t="str">
        <f t="shared" si="18"/>
        <v/>
      </c>
      <c r="P249" s="21" t="str">
        <f t="shared" si="19"/>
        <v/>
      </c>
      <c r="Q249" s="52" t="str">
        <f>IF($A249="","",IF($O249&lt;=0,"Depleted",IF($I249&lt;0,"EXPIRED",IF($I249&lt;=Settings!$C$6,"CRITICAL",IF($I249&lt;=Settings!$C$5,"Expiring","In date")))))</f>
        <v/>
      </c>
    </row>
    <row r="250" spans="1:17" x14ac:dyDescent="0.35">
      <c r="A250" s="90" t="str">
        <f>IF(Receipts!$D253="","",Receipts!$D253)</f>
        <v/>
      </c>
      <c r="B250" s="18" t="str">
        <f>IF(Receipts!$C253="","",Receipts!$C253)</f>
        <v/>
      </c>
      <c r="C250" s="18" t="str">
        <f>IF($A250="","",IFERROR(INDEX(Items!$B$5:$B$597,MATCH($A250,Items!$A$5:$A$597,0)),""))</f>
        <v/>
      </c>
      <c r="D250" s="23" t="str">
        <f>IF($A250="","",N(Receipts!$G253))</f>
        <v/>
      </c>
      <c r="E250" s="20" t="str">
        <f>IF($A250="","",IFERROR(INDEX(Items!$D$5:$D$597,MATCH($A250,Items!$A$5:$A$597,0)),0))</f>
        <v/>
      </c>
      <c r="F250" s="21" t="str">
        <f t="shared" si="15"/>
        <v/>
      </c>
      <c r="G250" s="25" t="str">
        <f>IF(Receipts!$I253="","",Receipts!$I253)</f>
        <v/>
      </c>
      <c r="H250" s="25" t="str">
        <f>IF(Receipts!$H253="","",Receipts!$H253)</f>
        <v/>
      </c>
      <c r="I250" s="26" t="str">
        <f t="shared" ca="1" si="16"/>
        <v/>
      </c>
      <c r="J250" s="26" t="str">
        <f>IF($A250="","",COUNTIFS(tblReceipts[Item Name],$A250,tblReceipts[Expiry Date],"&lt;"&amp;$H250)+COUNTIFS(tblReceipts[Item Name],$A250,tblReceipts[Expiry Date],$H250,tblReceipts[Lot Number],"&lt;="&amp;Receipts!$C253))</f>
        <v/>
      </c>
      <c r="K250" s="26" t="str">
        <f>IF($A250="","",SUMIFS(tblReceipts[Qty Received],tblReceipts[Item Name],$A250,tblReceipts[Expiry Date],"&lt;"&amp;$H250)+SUMIFS(tblReceipts[Qty Received],tblReceipts[Item Name],$A250,tblReceipts[Expiry Date],$H250,tblReceipts[Lot Number],"&lt;"&amp;Receipts!$C253))</f>
        <v/>
      </c>
      <c r="L250" s="26" t="str">
        <f>IF($A250="","",MIN($D250,MAX(0,SUMIFS(tblIssues[Qty Issued],tblIssues[Item Name],$A250)-$K250)))</f>
        <v/>
      </c>
      <c r="M250" s="26" t="str">
        <f>IF($A250="","",SUMIFS(tblIssues[Qty Issued],tblIssues[Lot Number],$B250))</f>
        <v/>
      </c>
      <c r="N250" s="26" t="str">
        <f t="shared" si="17"/>
        <v/>
      </c>
      <c r="O250" s="26" t="str">
        <f t="shared" si="18"/>
        <v/>
      </c>
      <c r="P250" s="21" t="str">
        <f t="shared" si="19"/>
        <v/>
      </c>
      <c r="Q250" s="52" t="str">
        <f>IF($A250="","",IF($O250&lt;=0,"Depleted",IF($I250&lt;0,"EXPIRED",IF($I250&lt;=Settings!$C$6,"CRITICAL",IF($I250&lt;=Settings!$C$5,"Expiring","In date")))))</f>
        <v/>
      </c>
    </row>
    <row r="251" spans="1:17" x14ac:dyDescent="0.35">
      <c r="A251" s="90" t="str">
        <f>IF(Receipts!$D254="","",Receipts!$D254)</f>
        <v/>
      </c>
      <c r="B251" s="18" t="str">
        <f>IF(Receipts!$C254="","",Receipts!$C254)</f>
        <v/>
      </c>
      <c r="C251" s="18" t="str">
        <f>IF($A251="","",IFERROR(INDEX(Items!$B$5:$B$597,MATCH($A251,Items!$A$5:$A$597,0)),""))</f>
        <v/>
      </c>
      <c r="D251" s="23" t="str">
        <f>IF($A251="","",N(Receipts!$G254))</f>
        <v/>
      </c>
      <c r="E251" s="20" t="str">
        <f>IF($A251="","",IFERROR(INDEX(Items!$D$5:$D$597,MATCH($A251,Items!$A$5:$A$597,0)),0))</f>
        <v/>
      </c>
      <c r="F251" s="21" t="str">
        <f t="shared" si="15"/>
        <v/>
      </c>
      <c r="G251" s="25" t="str">
        <f>IF(Receipts!$I254="","",Receipts!$I254)</f>
        <v/>
      </c>
      <c r="H251" s="25" t="str">
        <f>IF(Receipts!$H254="","",Receipts!$H254)</f>
        <v/>
      </c>
      <c r="I251" s="26" t="str">
        <f t="shared" ca="1" si="16"/>
        <v/>
      </c>
      <c r="J251" s="26" t="str">
        <f>IF($A251="","",COUNTIFS(tblReceipts[Item Name],$A251,tblReceipts[Expiry Date],"&lt;"&amp;$H251)+COUNTIFS(tblReceipts[Item Name],$A251,tblReceipts[Expiry Date],$H251,tblReceipts[Lot Number],"&lt;="&amp;Receipts!$C254))</f>
        <v/>
      </c>
      <c r="K251" s="26" t="str">
        <f>IF($A251="","",SUMIFS(tblReceipts[Qty Received],tblReceipts[Item Name],$A251,tblReceipts[Expiry Date],"&lt;"&amp;$H251)+SUMIFS(tblReceipts[Qty Received],tblReceipts[Item Name],$A251,tblReceipts[Expiry Date],$H251,tblReceipts[Lot Number],"&lt;"&amp;Receipts!$C254))</f>
        <v/>
      </c>
      <c r="L251" s="26" t="str">
        <f>IF($A251="","",MIN($D251,MAX(0,SUMIFS(tblIssues[Qty Issued],tblIssues[Item Name],$A251)-$K251)))</f>
        <v/>
      </c>
      <c r="M251" s="26" t="str">
        <f>IF($A251="","",SUMIFS(tblIssues[Qty Issued],tblIssues[Lot Number],$B251))</f>
        <v/>
      </c>
      <c r="N251" s="26" t="str">
        <f t="shared" si="17"/>
        <v/>
      </c>
      <c r="O251" s="26" t="str">
        <f t="shared" si="18"/>
        <v/>
      </c>
      <c r="P251" s="21" t="str">
        <f t="shared" si="19"/>
        <v/>
      </c>
      <c r="Q251" s="52" t="str">
        <f>IF($A251="","",IF($O251&lt;=0,"Depleted",IF($I251&lt;0,"EXPIRED",IF($I251&lt;=Settings!$C$6,"CRITICAL",IF($I251&lt;=Settings!$C$5,"Expiring","In date")))))</f>
        <v/>
      </c>
    </row>
    <row r="252" spans="1:17" x14ac:dyDescent="0.35">
      <c r="A252" s="90" t="str">
        <f>IF(Receipts!$D255="","",Receipts!$D255)</f>
        <v/>
      </c>
      <c r="B252" s="18" t="str">
        <f>IF(Receipts!$C255="","",Receipts!$C255)</f>
        <v/>
      </c>
      <c r="C252" s="18" t="str">
        <f>IF($A252="","",IFERROR(INDEX(Items!$B$5:$B$597,MATCH($A252,Items!$A$5:$A$597,0)),""))</f>
        <v/>
      </c>
      <c r="D252" s="23" t="str">
        <f>IF($A252="","",N(Receipts!$G255))</f>
        <v/>
      </c>
      <c r="E252" s="20" t="str">
        <f>IF($A252="","",IFERROR(INDEX(Items!$D$5:$D$597,MATCH($A252,Items!$A$5:$A$597,0)),0))</f>
        <v/>
      </c>
      <c r="F252" s="21" t="str">
        <f t="shared" si="15"/>
        <v/>
      </c>
      <c r="G252" s="25" t="str">
        <f>IF(Receipts!$I255="","",Receipts!$I255)</f>
        <v/>
      </c>
      <c r="H252" s="25" t="str">
        <f>IF(Receipts!$H255="","",Receipts!$H255)</f>
        <v/>
      </c>
      <c r="I252" s="26" t="str">
        <f t="shared" ca="1" si="16"/>
        <v/>
      </c>
      <c r="J252" s="26" t="str">
        <f>IF($A252="","",COUNTIFS(tblReceipts[Item Name],$A252,tblReceipts[Expiry Date],"&lt;"&amp;$H252)+COUNTIFS(tblReceipts[Item Name],$A252,tblReceipts[Expiry Date],$H252,tblReceipts[Lot Number],"&lt;="&amp;Receipts!$C255))</f>
        <v/>
      </c>
      <c r="K252" s="26" t="str">
        <f>IF($A252="","",SUMIFS(tblReceipts[Qty Received],tblReceipts[Item Name],$A252,tblReceipts[Expiry Date],"&lt;"&amp;$H252)+SUMIFS(tblReceipts[Qty Received],tblReceipts[Item Name],$A252,tblReceipts[Expiry Date],$H252,tblReceipts[Lot Number],"&lt;"&amp;Receipts!$C255))</f>
        <v/>
      </c>
      <c r="L252" s="26" t="str">
        <f>IF($A252="","",MIN($D252,MAX(0,SUMIFS(tblIssues[Qty Issued],tblIssues[Item Name],$A252)-$K252)))</f>
        <v/>
      </c>
      <c r="M252" s="26" t="str">
        <f>IF($A252="","",SUMIFS(tblIssues[Qty Issued],tblIssues[Lot Number],$B252))</f>
        <v/>
      </c>
      <c r="N252" s="26" t="str">
        <f t="shared" si="17"/>
        <v/>
      </c>
      <c r="O252" s="26" t="str">
        <f t="shared" si="18"/>
        <v/>
      </c>
      <c r="P252" s="21" t="str">
        <f t="shared" si="19"/>
        <v/>
      </c>
      <c r="Q252" s="52" t="str">
        <f>IF($A252="","",IF($O252&lt;=0,"Depleted",IF($I252&lt;0,"EXPIRED",IF($I252&lt;=Settings!$C$6,"CRITICAL",IF($I252&lt;=Settings!$C$5,"Expiring","In date")))))</f>
        <v/>
      </c>
    </row>
    <row r="253" spans="1:17" x14ac:dyDescent="0.35">
      <c r="A253" s="90" t="str">
        <f>IF(Receipts!$D256="","",Receipts!$D256)</f>
        <v/>
      </c>
      <c r="B253" s="18" t="str">
        <f>IF(Receipts!$C256="","",Receipts!$C256)</f>
        <v/>
      </c>
      <c r="C253" s="18" t="str">
        <f>IF($A253="","",IFERROR(INDEX(Items!$B$5:$B$597,MATCH($A253,Items!$A$5:$A$597,0)),""))</f>
        <v/>
      </c>
      <c r="D253" s="23" t="str">
        <f>IF($A253="","",N(Receipts!$G256))</f>
        <v/>
      </c>
      <c r="E253" s="20" t="str">
        <f>IF($A253="","",IFERROR(INDEX(Items!$D$5:$D$597,MATCH($A253,Items!$A$5:$A$597,0)),0))</f>
        <v/>
      </c>
      <c r="F253" s="21" t="str">
        <f t="shared" si="15"/>
        <v/>
      </c>
      <c r="G253" s="25" t="str">
        <f>IF(Receipts!$I256="","",Receipts!$I256)</f>
        <v/>
      </c>
      <c r="H253" s="25" t="str">
        <f>IF(Receipts!$H256="","",Receipts!$H256)</f>
        <v/>
      </c>
      <c r="I253" s="26" t="str">
        <f t="shared" ca="1" si="16"/>
        <v/>
      </c>
      <c r="J253" s="26" t="str">
        <f>IF($A253="","",COUNTIFS(tblReceipts[Item Name],$A253,tblReceipts[Expiry Date],"&lt;"&amp;$H253)+COUNTIFS(tblReceipts[Item Name],$A253,tblReceipts[Expiry Date],$H253,tblReceipts[Lot Number],"&lt;="&amp;Receipts!$C256))</f>
        <v/>
      </c>
      <c r="K253" s="26" t="str">
        <f>IF($A253="","",SUMIFS(tblReceipts[Qty Received],tblReceipts[Item Name],$A253,tblReceipts[Expiry Date],"&lt;"&amp;$H253)+SUMIFS(tblReceipts[Qty Received],tblReceipts[Item Name],$A253,tblReceipts[Expiry Date],$H253,tblReceipts[Lot Number],"&lt;"&amp;Receipts!$C256))</f>
        <v/>
      </c>
      <c r="L253" s="26" t="str">
        <f>IF($A253="","",MIN($D253,MAX(0,SUMIFS(tblIssues[Qty Issued],tblIssues[Item Name],$A253)-$K253)))</f>
        <v/>
      </c>
      <c r="M253" s="26" t="str">
        <f>IF($A253="","",SUMIFS(tblIssues[Qty Issued],tblIssues[Lot Number],$B253))</f>
        <v/>
      </c>
      <c r="N253" s="26" t="str">
        <f t="shared" si="17"/>
        <v/>
      </c>
      <c r="O253" s="26" t="str">
        <f t="shared" si="18"/>
        <v/>
      </c>
      <c r="P253" s="21" t="str">
        <f t="shared" si="19"/>
        <v/>
      </c>
      <c r="Q253" s="52" t="str">
        <f>IF($A253="","",IF($O253&lt;=0,"Depleted",IF($I253&lt;0,"EXPIRED",IF($I253&lt;=Settings!$C$6,"CRITICAL",IF($I253&lt;=Settings!$C$5,"Expiring","In date")))))</f>
        <v/>
      </c>
    </row>
    <row r="254" spans="1:17" x14ac:dyDescent="0.35">
      <c r="A254" s="90" t="str">
        <f>IF(Receipts!$D257="","",Receipts!$D257)</f>
        <v/>
      </c>
      <c r="B254" s="18" t="str">
        <f>IF(Receipts!$C257="","",Receipts!$C257)</f>
        <v/>
      </c>
      <c r="C254" s="18" t="str">
        <f>IF($A254="","",IFERROR(INDEX(Items!$B$5:$B$597,MATCH($A254,Items!$A$5:$A$597,0)),""))</f>
        <v/>
      </c>
      <c r="D254" s="23" t="str">
        <f>IF($A254="","",N(Receipts!$G257))</f>
        <v/>
      </c>
      <c r="E254" s="20" t="str">
        <f>IF($A254="","",IFERROR(INDEX(Items!$D$5:$D$597,MATCH($A254,Items!$A$5:$A$597,0)),0))</f>
        <v/>
      </c>
      <c r="F254" s="21" t="str">
        <f t="shared" si="15"/>
        <v/>
      </c>
      <c r="G254" s="25" t="str">
        <f>IF(Receipts!$I257="","",Receipts!$I257)</f>
        <v/>
      </c>
      <c r="H254" s="25" t="str">
        <f>IF(Receipts!$H257="","",Receipts!$H257)</f>
        <v/>
      </c>
      <c r="I254" s="26" t="str">
        <f t="shared" ca="1" si="16"/>
        <v/>
      </c>
      <c r="J254" s="26" t="str">
        <f>IF($A254="","",COUNTIFS(tblReceipts[Item Name],$A254,tblReceipts[Expiry Date],"&lt;"&amp;$H254)+COUNTIFS(tblReceipts[Item Name],$A254,tblReceipts[Expiry Date],$H254,tblReceipts[Lot Number],"&lt;="&amp;Receipts!$C257))</f>
        <v/>
      </c>
      <c r="K254" s="26" t="str">
        <f>IF($A254="","",SUMIFS(tblReceipts[Qty Received],tblReceipts[Item Name],$A254,tblReceipts[Expiry Date],"&lt;"&amp;$H254)+SUMIFS(tblReceipts[Qty Received],tblReceipts[Item Name],$A254,tblReceipts[Expiry Date],$H254,tblReceipts[Lot Number],"&lt;"&amp;Receipts!$C257))</f>
        <v/>
      </c>
      <c r="L254" s="26" t="str">
        <f>IF($A254="","",MIN($D254,MAX(0,SUMIFS(tblIssues[Qty Issued],tblIssues[Item Name],$A254)-$K254)))</f>
        <v/>
      </c>
      <c r="M254" s="26" t="str">
        <f>IF($A254="","",SUMIFS(tblIssues[Qty Issued],tblIssues[Lot Number],$B254))</f>
        <v/>
      </c>
      <c r="N254" s="26" t="str">
        <f t="shared" si="17"/>
        <v/>
      </c>
      <c r="O254" s="26" t="str">
        <f t="shared" si="18"/>
        <v/>
      </c>
      <c r="P254" s="21" t="str">
        <f t="shared" si="19"/>
        <v/>
      </c>
      <c r="Q254" s="52" t="str">
        <f>IF($A254="","",IF($O254&lt;=0,"Depleted",IF($I254&lt;0,"EXPIRED",IF($I254&lt;=Settings!$C$6,"CRITICAL",IF($I254&lt;=Settings!$C$5,"Expiring","In date")))))</f>
        <v/>
      </c>
    </row>
    <row r="255" spans="1:17" x14ac:dyDescent="0.35">
      <c r="A255" s="90" t="str">
        <f>IF(Receipts!$D258="","",Receipts!$D258)</f>
        <v/>
      </c>
      <c r="B255" s="18" t="str">
        <f>IF(Receipts!$C258="","",Receipts!$C258)</f>
        <v/>
      </c>
      <c r="C255" s="18" t="str">
        <f>IF($A255="","",IFERROR(INDEX(Items!$B$5:$B$597,MATCH($A255,Items!$A$5:$A$597,0)),""))</f>
        <v/>
      </c>
      <c r="D255" s="23" t="str">
        <f>IF($A255="","",N(Receipts!$G258))</f>
        <v/>
      </c>
      <c r="E255" s="20" t="str">
        <f>IF($A255="","",IFERROR(INDEX(Items!$D$5:$D$597,MATCH($A255,Items!$A$5:$A$597,0)),0))</f>
        <v/>
      </c>
      <c r="F255" s="21" t="str">
        <f t="shared" si="15"/>
        <v/>
      </c>
      <c r="G255" s="25" t="str">
        <f>IF(Receipts!$I258="","",Receipts!$I258)</f>
        <v/>
      </c>
      <c r="H255" s="25" t="str">
        <f>IF(Receipts!$H258="","",Receipts!$H258)</f>
        <v/>
      </c>
      <c r="I255" s="26" t="str">
        <f t="shared" ca="1" si="16"/>
        <v/>
      </c>
      <c r="J255" s="26" t="str">
        <f>IF($A255="","",COUNTIFS(tblReceipts[Item Name],$A255,tblReceipts[Expiry Date],"&lt;"&amp;$H255)+COUNTIFS(tblReceipts[Item Name],$A255,tblReceipts[Expiry Date],$H255,tblReceipts[Lot Number],"&lt;="&amp;Receipts!$C258))</f>
        <v/>
      </c>
      <c r="K255" s="26" t="str">
        <f>IF($A255="","",SUMIFS(tblReceipts[Qty Received],tblReceipts[Item Name],$A255,tblReceipts[Expiry Date],"&lt;"&amp;$H255)+SUMIFS(tblReceipts[Qty Received],tblReceipts[Item Name],$A255,tblReceipts[Expiry Date],$H255,tblReceipts[Lot Number],"&lt;"&amp;Receipts!$C258))</f>
        <v/>
      </c>
      <c r="L255" s="26" t="str">
        <f>IF($A255="","",MIN($D255,MAX(0,SUMIFS(tblIssues[Qty Issued],tblIssues[Item Name],$A255)-$K255)))</f>
        <v/>
      </c>
      <c r="M255" s="26" t="str">
        <f>IF($A255="","",SUMIFS(tblIssues[Qty Issued],tblIssues[Lot Number],$B255))</f>
        <v/>
      </c>
      <c r="N255" s="26" t="str">
        <f t="shared" si="17"/>
        <v/>
      </c>
      <c r="O255" s="26" t="str">
        <f t="shared" si="18"/>
        <v/>
      </c>
      <c r="P255" s="21" t="str">
        <f t="shared" si="19"/>
        <v/>
      </c>
      <c r="Q255" s="52" t="str">
        <f>IF($A255="","",IF($O255&lt;=0,"Depleted",IF($I255&lt;0,"EXPIRED",IF($I255&lt;=Settings!$C$6,"CRITICAL",IF($I255&lt;=Settings!$C$5,"Expiring","In date")))))</f>
        <v/>
      </c>
    </row>
    <row r="256" spans="1:17" x14ac:dyDescent="0.35">
      <c r="A256" s="90" t="str">
        <f>IF(Receipts!$D259="","",Receipts!$D259)</f>
        <v/>
      </c>
      <c r="B256" s="18" t="str">
        <f>IF(Receipts!$C259="","",Receipts!$C259)</f>
        <v/>
      </c>
      <c r="C256" s="18" t="str">
        <f>IF($A256="","",IFERROR(INDEX(Items!$B$5:$B$597,MATCH($A256,Items!$A$5:$A$597,0)),""))</f>
        <v/>
      </c>
      <c r="D256" s="23" t="str">
        <f>IF($A256="","",N(Receipts!$G259))</f>
        <v/>
      </c>
      <c r="E256" s="20" t="str">
        <f>IF($A256="","",IFERROR(INDEX(Items!$D$5:$D$597,MATCH($A256,Items!$A$5:$A$597,0)),0))</f>
        <v/>
      </c>
      <c r="F256" s="21" t="str">
        <f t="shared" si="15"/>
        <v/>
      </c>
      <c r="G256" s="25" t="str">
        <f>IF(Receipts!$I259="","",Receipts!$I259)</f>
        <v/>
      </c>
      <c r="H256" s="25" t="str">
        <f>IF(Receipts!$H259="","",Receipts!$H259)</f>
        <v/>
      </c>
      <c r="I256" s="26" t="str">
        <f t="shared" ca="1" si="16"/>
        <v/>
      </c>
      <c r="J256" s="26" t="str">
        <f>IF($A256="","",COUNTIFS(tblReceipts[Item Name],$A256,tblReceipts[Expiry Date],"&lt;"&amp;$H256)+COUNTIFS(tblReceipts[Item Name],$A256,tblReceipts[Expiry Date],$H256,tblReceipts[Lot Number],"&lt;="&amp;Receipts!$C259))</f>
        <v/>
      </c>
      <c r="K256" s="26" t="str">
        <f>IF($A256="","",SUMIFS(tblReceipts[Qty Received],tblReceipts[Item Name],$A256,tblReceipts[Expiry Date],"&lt;"&amp;$H256)+SUMIFS(tblReceipts[Qty Received],tblReceipts[Item Name],$A256,tblReceipts[Expiry Date],$H256,tblReceipts[Lot Number],"&lt;"&amp;Receipts!$C259))</f>
        <v/>
      </c>
      <c r="L256" s="26" t="str">
        <f>IF($A256="","",MIN($D256,MAX(0,SUMIFS(tblIssues[Qty Issued],tblIssues[Item Name],$A256)-$K256)))</f>
        <v/>
      </c>
      <c r="M256" s="26" t="str">
        <f>IF($A256="","",SUMIFS(tblIssues[Qty Issued],tblIssues[Lot Number],$B256))</f>
        <v/>
      </c>
      <c r="N256" s="26" t="str">
        <f t="shared" si="17"/>
        <v/>
      </c>
      <c r="O256" s="26" t="str">
        <f t="shared" si="18"/>
        <v/>
      </c>
      <c r="P256" s="21" t="str">
        <f t="shared" si="19"/>
        <v/>
      </c>
      <c r="Q256" s="52" t="str">
        <f>IF($A256="","",IF($O256&lt;=0,"Depleted",IF($I256&lt;0,"EXPIRED",IF($I256&lt;=Settings!$C$6,"CRITICAL",IF($I256&lt;=Settings!$C$5,"Expiring","In date")))))</f>
        <v/>
      </c>
    </row>
    <row r="257" spans="1:17" x14ac:dyDescent="0.35">
      <c r="A257" s="90" t="str">
        <f>IF(Receipts!$D260="","",Receipts!$D260)</f>
        <v/>
      </c>
      <c r="B257" s="18" t="str">
        <f>IF(Receipts!$C260="","",Receipts!$C260)</f>
        <v/>
      </c>
      <c r="C257" s="18" t="str">
        <f>IF($A257="","",IFERROR(INDEX(Items!$B$5:$B$597,MATCH($A257,Items!$A$5:$A$597,0)),""))</f>
        <v/>
      </c>
      <c r="D257" s="23" t="str">
        <f>IF($A257="","",N(Receipts!$G260))</f>
        <v/>
      </c>
      <c r="E257" s="20" t="str">
        <f>IF($A257="","",IFERROR(INDEX(Items!$D$5:$D$597,MATCH($A257,Items!$A$5:$A$597,0)),0))</f>
        <v/>
      </c>
      <c r="F257" s="21" t="str">
        <f t="shared" si="15"/>
        <v/>
      </c>
      <c r="G257" s="25" t="str">
        <f>IF(Receipts!$I260="","",Receipts!$I260)</f>
        <v/>
      </c>
      <c r="H257" s="25" t="str">
        <f>IF(Receipts!$H260="","",Receipts!$H260)</f>
        <v/>
      </c>
      <c r="I257" s="26" t="str">
        <f t="shared" ca="1" si="16"/>
        <v/>
      </c>
      <c r="J257" s="26" t="str">
        <f>IF($A257="","",COUNTIFS(tblReceipts[Item Name],$A257,tblReceipts[Expiry Date],"&lt;"&amp;$H257)+COUNTIFS(tblReceipts[Item Name],$A257,tblReceipts[Expiry Date],$H257,tblReceipts[Lot Number],"&lt;="&amp;Receipts!$C260))</f>
        <v/>
      </c>
      <c r="K257" s="26" t="str">
        <f>IF($A257="","",SUMIFS(tblReceipts[Qty Received],tblReceipts[Item Name],$A257,tblReceipts[Expiry Date],"&lt;"&amp;$H257)+SUMIFS(tblReceipts[Qty Received],tblReceipts[Item Name],$A257,tblReceipts[Expiry Date],$H257,tblReceipts[Lot Number],"&lt;"&amp;Receipts!$C260))</f>
        <v/>
      </c>
      <c r="L257" s="26" t="str">
        <f>IF($A257="","",MIN($D257,MAX(0,SUMIFS(tblIssues[Qty Issued],tblIssues[Item Name],$A257)-$K257)))</f>
        <v/>
      </c>
      <c r="M257" s="26" t="str">
        <f>IF($A257="","",SUMIFS(tblIssues[Qty Issued],tblIssues[Lot Number],$B257))</f>
        <v/>
      </c>
      <c r="N257" s="26" t="str">
        <f t="shared" si="17"/>
        <v/>
      </c>
      <c r="O257" s="26" t="str">
        <f t="shared" si="18"/>
        <v/>
      </c>
      <c r="P257" s="21" t="str">
        <f t="shared" si="19"/>
        <v/>
      </c>
      <c r="Q257" s="52" t="str">
        <f>IF($A257="","",IF($O257&lt;=0,"Depleted",IF($I257&lt;0,"EXPIRED",IF($I257&lt;=Settings!$C$6,"CRITICAL",IF($I257&lt;=Settings!$C$5,"Expiring","In date")))))</f>
        <v/>
      </c>
    </row>
    <row r="258" spans="1:17" x14ac:dyDescent="0.35">
      <c r="A258" s="90" t="str">
        <f>IF(Receipts!$D261="","",Receipts!$D261)</f>
        <v/>
      </c>
      <c r="B258" s="18" t="str">
        <f>IF(Receipts!$C261="","",Receipts!$C261)</f>
        <v/>
      </c>
      <c r="C258" s="18" t="str">
        <f>IF($A258="","",IFERROR(INDEX(Items!$B$5:$B$597,MATCH($A258,Items!$A$5:$A$597,0)),""))</f>
        <v/>
      </c>
      <c r="D258" s="23" t="str">
        <f>IF($A258="","",N(Receipts!$G261))</f>
        <v/>
      </c>
      <c r="E258" s="20" t="str">
        <f>IF($A258="","",IFERROR(INDEX(Items!$D$5:$D$597,MATCH($A258,Items!$A$5:$A$597,0)),0))</f>
        <v/>
      </c>
      <c r="F258" s="21" t="str">
        <f t="shared" si="15"/>
        <v/>
      </c>
      <c r="G258" s="25" t="str">
        <f>IF(Receipts!$I261="","",Receipts!$I261)</f>
        <v/>
      </c>
      <c r="H258" s="25" t="str">
        <f>IF(Receipts!$H261="","",Receipts!$H261)</f>
        <v/>
      </c>
      <c r="I258" s="26" t="str">
        <f t="shared" ca="1" si="16"/>
        <v/>
      </c>
      <c r="J258" s="26" t="str">
        <f>IF($A258="","",COUNTIFS(tblReceipts[Item Name],$A258,tblReceipts[Expiry Date],"&lt;"&amp;$H258)+COUNTIFS(tblReceipts[Item Name],$A258,tblReceipts[Expiry Date],$H258,tblReceipts[Lot Number],"&lt;="&amp;Receipts!$C261))</f>
        <v/>
      </c>
      <c r="K258" s="26" t="str">
        <f>IF($A258="","",SUMIFS(tblReceipts[Qty Received],tblReceipts[Item Name],$A258,tblReceipts[Expiry Date],"&lt;"&amp;$H258)+SUMIFS(tblReceipts[Qty Received],tblReceipts[Item Name],$A258,tblReceipts[Expiry Date],$H258,tblReceipts[Lot Number],"&lt;"&amp;Receipts!$C261))</f>
        <v/>
      </c>
      <c r="L258" s="26" t="str">
        <f>IF($A258="","",MIN($D258,MAX(0,SUMIFS(tblIssues[Qty Issued],tblIssues[Item Name],$A258)-$K258)))</f>
        <v/>
      </c>
      <c r="M258" s="26" t="str">
        <f>IF($A258="","",SUMIFS(tblIssues[Qty Issued],tblIssues[Lot Number],$B258))</f>
        <v/>
      </c>
      <c r="N258" s="26" t="str">
        <f t="shared" si="17"/>
        <v/>
      </c>
      <c r="O258" s="26" t="str">
        <f t="shared" si="18"/>
        <v/>
      </c>
      <c r="P258" s="21" t="str">
        <f t="shared" si="19"/>
        <v/>
      </c>
      <c r="Q258" s="52" t="str">
        <f>IF($A258="","",IF($O258&lt;=0,"Depleted",IF($I258&lt;0,"EXPIRED",IF($I258&lt;=Settings!$C$6,"CRITICAL",IF($I258&lt;=Settings!$C$5,"Expiring","In date")))))</f>
        <v/>
      </c>
    </row>
    <row r="259" spans="1:17" x14ac:dyDescent="0.35">
      <c r="A259" s="90" t="str">
        <f>IF(Receipts!$D262="","",Receipts!$D262)</f>
        <v/>
      </c>
      <c r="B259" s="18" t="str">
        <f>IF(Receipts!$C262="","",Receipts!$C262)</f>
        <v/>
      </c>
      <c r="C259" s="18" t="str">
        <f>IF($A259="","",IFERROR(INDEX(Items!$B$5:$B$597,MATCH($A259,Items!$A$5:$A$597,0)),""))</f>
        <v/>
      </c>
      <c r="D259" s="23" t="str">
        <f>IF($A259="","",N(Receipts!$G262))</f>
        <v/>
      </c>
      <c r="E259" s="20" t="str">
        <f>IF($A259="","",IFERROR(INDEX(Items!$D$5:$D$597,MATCH($A259,Items!$A$5:$A$597,0)),0))</f>
        <v/>
      </c>
      <c r="F259" s="21" t="str">
        <f t="shared" si="15"/>
        <v/>
      </c>
      <c r="G259" s="25" t="str">
        <f>IF(Receipts!$I262="","",Receipts!$I262)</f>
        <v/>
      </c>
      <c r="H259" s="25" t="str">
        <f>IF(Receipts!$H262="","",Receipts!$H262)</f>
        <v/>
      </c>
      <c r="I259" s="26" t="str">
        <f t="shared" ca="1" si="16"/>
        <v/>
      </c>
      <c r="J259" s="26" t="str">
        <f>IF($A259="","",COUNTIFS(tblReceipts[Item Name],$A259,tblReceipts[Expiry Date],"&lt;"&amp;$H259)+COUNTIFS(tblReceipts[Item Name],$A259,tblReceipts[Expiry Date],$H259,tblReceipts[Lot Number],"&lt;="&amp;Receipts!$C262))</f>
        <v/>
      </c>
      <c r="K259" s="26" t="str">
        <f>IF($A259="","",SUMIFS(tblReceipts[Qty Received],tblReceipts[Item Name],$A259,tblReceipts[Expiry Date],"&lt;"&amp;$H259)+SUMIFS(tblReceipts[Qty Received],tblReceipts[Item Name],$A259,tblReceipts[Expiry Date],$H259,tblReceipts[Lot Number],"&lt;"&amp;Receipts!$C262))</f>
        <v/>
      </c>
      <c r="L259" s="26" t="str">
        <f>IF($A259="","",MIN($D259,MAX(0,SUMIFS(tblIssues[Qty Issued],tblIssues[Item Name],$A259)-$K259)))</f>
        <v/>
      </c>
      <c r="M259" s="26" t="str">
        <f>IF($A259="","",SUMIFS(tblIssues[Qty Issued],tblIssues[Lot Number],$B259))</f>
        <v/>
      </c>
      <c r="N259" s="26" t="str">
        <f t="shared" si="17"/>
        <v/>
      </c>
      <c r="O259" s="26" t="str">
        <f t="shared" si="18"/>
        <v/>
      </c>
      <c r="P259" s="21" t="str">
        <f t="shared" si="19"/>
        <v/>
      </c>
      <c r="Q259" s="52" t="str">
        <f>IF($A259="","",IF($O259&lt;=0,"Depleted",IF($I259&lt;0,"EXPIRED",IF($I259&lt;=Settings!$C$6,"CRITICAL",IF($I259&lt;=Settings!$C$5,"Expiring","In date")))))</f>
        <v/>
      </c>
    </row>
    <row r="260" spans="1:17" x14ac:dyDescent="0.35">
      <c r="A260" s="90" t="str">
        <f>IF(Receipts!$D263="","",Receipts!$D263)</f>
        <v/>
      </c>
      <c r="B260" s="18" t="str">
        <f>IF(Receipts!$C263="","",Receipts!$C263)</f>
        <v/>
      </c>
      <c r="C260" s="18" t="str">
        <f>IF($A260="","",IFERROR(INDEX(Items!$B$5:$B$597,MATCH($A260,Items!$A$5:$A$597,0)),""))</f>
        <v/>
      </c>
      <c r="D260" s="23" t="str">
        <f>IF($A260="","",N(Receipts!$G263))</f>
        <v/>
      </c>
      <c r="E260" s="20" t="str">
        <f>IF($A260="","",IFERROR(INDEX(Items!$D$5:$D$597,MATCH($A260,Items!$A$5:$A$597,0)),0))</f>
        <v/>
      </c>
      <c r="F260" s="21" t="str">
        <f t="shared" si="15"/>
        <v/>
      </c>
      <c r="G260" s="25" t="str">
        <f>IF(Receipts!$I263="","",Receipts!$I263)</f>
        <v/>
      </c>
      <c r="H260" s="25" t="str">
        <f>IF(Receipts!$H263="","",Receipts!$H263)</f>
        <v/>
      </c>
      <c r="I260" s="26" t="str">
        <f t="shared" ca="1" si="16"/>
        <v/>
      </c>
      <c r="J260" s="26" t="str">
        <f>IF($A260="","",COUNTIFS(tblReceipts[Item Name],$A260,tblReceipts[Expiry Date],"&lt;"&amp;$H260)+COUNTIFS(tblReceipts[Item Name],$A260,tblReceipts[Expiry Date],$H260,tblReceipts[Lot Number],"&lt;="&amp;Receipts!$C263))</f>
        <v/>
      </c>
      <c r="K260" s="26" t="str">
        <f>IF($A260="","",SUMIFS(tblReceipts[Qty Received],tblReceipts[Item Name],$A260,tblReceipts[Expiry Date],"&lt;"&amp;$H260)+SUMIFS(tblReceipts[Qty Received],tblReceipts[Item Name],$A260,tblReceipts[Expiry Date],$H260,tblReceipts[Lot Number],"&lt;"&amp;Receipts!$C263))</f>
        <v/>
      </c>
      <c r="L260" s="26" t="str">
        <f>IF($A260="","",MIN($D260,MAX(0,SUMIFS(tblIssues[Qty Issued],tblIssues[Item Name],$A260)-$K260)))</f>
        <v/>
      </c>
      <c r="M260" s="26" t="str">
        <f>IF($A260="","",SUMIFS(tblIssues[Qty Issued],tblIssues[Lot Number],$B260))</f>
        <v/>
      </c>
      <c r="N260" s="26" t="str">
        <f t="shared" si="17"/>
        <v/>
      </c>
      <c r="O260" s="26" t="str">
        <f t="shared" si="18"/>
        <v/>
      </c>
      <c r="P260" s="21" t="str">
        <f t="shared" si="19"/>
        <v/>
      </c>
      <c r="Q260" s="52" t="str">
        <f>IF($A260="","",IF($O260&lt;=0,"Depleted",IF($I260&lt;0,"EXPIRED",IF($I260&lt;=Settings!$C$6,"CRITICAL",IF($I260&lt;=Settings!$C$5,"Expiring","In date")))))</f>
        <v/>
      </c>
    </row>
    <row r="261" spans="1:17" x14ac:dyDescent="0.35">
      <c r="A261" s="90" t="str">
        <f>IF(Receipts!$D264="","",Receipts!$D264)</f>
        <v/>
      </c>
      <c r="B261" s="18" t="str">
        <f>IF(Receipts!$C264="","",Receipts!$C264)</f>
        <v/>
      </c>
      <c r="C261" s="18" t="str">
        <f>IF($A261="","",IFERROR(INDEX(Items!$B$5:$B$597,MATCH($A261,Items!$A$5:$A$597,0)),""))</f>
        <v/>
      </c>
      <c r="D261" s="23" t="str">
        <f>IF($A261="","",N(Receipts!$G264))</f>
        <v/>
      </c>
      <c r="E261" s="20" t="str">
        <f>IF($A261="","",IFERROR(INDEX(Items!$D$5:$D$597,MATCH($A261,Items!$A$5:$A$597,0)),0))</f>
        <v/>
      </c>
      <c r="F261" s="21" t="str">
        <f t="shared" ref="F261:F324" si="20">IF($A261="","",$D261*$E261)</f>
        <v/>
      </c>
      <c r="G261" s="25" t="str">
        <f>IF(Receipts!$I264="","",Receipts!$I264)</f>
        <v/>
      </c>
      <c r="H261" s="25" t="str">
        <f>IF(Receipts!$H264="","",Receipts!$H264)</f>
        <v/>
      </c>
      <c r="I261" s="26" t="str">
        <f t="shared" ref="I261:I324" ca="1" si="21">IF($H261="","",$H261-TODAY())</f>
        <v/>
      </c>
      <c r="J261" s="26" t="str">
        <f>IF($A261="","",COUNTIFS(tblReceipts[Item Name],$A261,tblReceipts[Expiry Date],"&lt;"&amp;$H261)+COUNTIFS(tblReceipts[Item Name],$A261,tblReceipts[Expiry Date],$H261,tblReceipts[Lot Number],"&lt;="&amp;Receipts!$C264))</f>
        <v/>
      </c>
      <c r="K261" s="26" t="str">
        <f>IF($A261="","",SUMIFS(tblReceipts[Qty Received],tblReceipts[Item Name],$A261,tblReceipts[Expiry Date],"&lt;"&amp;$H261)+SUMIFS(tblReceipts[Qty Received],tblReceipts[Item Name],$A261,tblReceipts[Expiry Date],$H261,tblReceipts[Lot Number],"&lt;"&amp;Receipts!$C264))</f>
        <v/>
      </c>
      <c r="L261" s="26" t="str">
        <f>IF($A261="","",MIN($D261,MAX(0,SUMIFS(tblIssues[Qty Issued],tblIssues[Item Name],$A261)-$K261)))</f>
        <v/>
      </c>
      <c r="M261" s="26" t="str">
        <f>IF($A261="","",SUMIFS(tblIssues[Qty Issued],tblIssues[Lot Number],$B261))</f>
        <v/>
      </c>
      <c r="N261" s="26" t="str">
        <f t="shared" ref="N261:N324" si="22">IF($A261="","",$M261-$L261)</f>
        <v/>
      </c>
      <c r="O261" s="26" t="str">
        <f t="shared" ref="O261:O324" si="23">IF($A261="","",$D261-$L261)</f>
        <v/>
      </c>
      <c r="P261" s="21" t="str">
        <f t="shared" ref="P261:P324" si="24">IF($A261="","",$O261*$E261)</f>
        <v/>
      </c>
      <c r="Q261" s="52" t="str">
        <f>IF($A261="","",IF($O261&lt;=0,"Depleted",IF($I261&lt;0,"EXPIRED",IF($I261&lt;=Settings!$C$6,"CRITICAL",IF($I261&lt;=Settings!$C$5,"Expiring","In date")))))</f>
        <v/>
      </c>
    </row>
    <row r="262" spans="1:17" x14ac:dyDescent="0.35">
      <c r="A262" s="90" t="str">
        <f>IF(Receipts!$D265="","",Receipts!$D265)</f>
        <v/>
      </c>
      <c r="B262" s="18" t="str">
        <f>IF(Receipts!$C265="","",Receipts!$C265)</f>
        <v/>
      </c>
      <c r="C262" s="18" t="str">
        <f>IF($A262="","",IFERROR(INDEX(Items!$B$5:$B$597,MATCH($A262,Items!$A$5:$A$597,0)),""))</f>
        <v/>
      </c>
      <c r="D262" s="23" t="str">
        <f>IF($A262="","",N(Receipts!$G265))</f>
        <v/>
      </c>
      <c r="E262" s="20" t="str">
        <f>IF($A262="","",IFERROR(INDEX(Items!$D$5:$D$597,MATCH($A262,Items!$A$5:$A$597,0)),0))</f>
        <v/>
      </c>
      <c r="F262" s="21" t="str">
        <f t="shared" si="20"/>
        <v/>
      </c>
      <c r="G262" s="25" t="str">
        <f>IF(Receipts!$I265="","",Receipts!$I265)</f>
        <v/>
      </c>
      <c r="H262" s="25" t="str">
        <f>IF(Receipts!$H265="","",Receipts!$H265)</f>
        <v/>
      </c>
      <c r="I262" s="26" t="str">
        <f t="shared" ca="1" si="21"/>
        <v/>
      </c>
      <c r="J262" s="26" t="str">
        <f>IF($A262="","",COUNTIFS(tblReceipts[Item Name],$A262,tblReceipts[Expiry Date],"&lt;"&amp;$H262)+COUNTIFS(tblReceipts[Item Name],$A262,tblReceipts[Expiry Date],$H262,tblReceipts[Lot Number],"&lt;="&amp;Receipts!$C265))</f>
        <v/>
      </c>
      <c r="K262" s="26" t="str">
        <f>IF($A262="","",SUMIFS(tblReceipts[Qty Received],tblReceipts[Item Name],$A262,tblReceipts[Expiry Date],"&lt;"&amp;$H262)+SUMIFS(tblReceipts[Qty Received],tblReceipts[Item Name],$A262,tblReceipts[Expiry Date],$H262,tblReceipts[Lot Number],"&lt;"&amp;Receipts!$C265))</f>
        <v/>
      </c>
      <c r="L262" s="26" t="str">
        <f>IF($A262="","",MIN($D262,MAX(0,SUMIFS(tblIssues[Qty Issued],tblIssues[Item Name],$A262)-$K262)))</f>
        <v/>
      </c>
      <c r="M262" s="26" t="str">
        <f>IF($A262="","",SUMIFS(tblIssues[Qty Issued],tblIssues[Lot Number],$B262))</f>
        <v/>
      </c>
      <c r="N262" s="26" t="str">
        <f t="shared" si="22"/>
        <v/>
      </c>
      <c r="O262" s="26" t="str">
        <f t="shared" si="23"/>
        <v/>
      </c>
      <c r="P262" s="21" t="str">
        <f t="shared" si="24"/>
        <v/>
      </c>
      <c r="Q262" s="52" t="str">
        <f>IF($A262="","",IF($O262&lt;=0,"Depleted",IF($I262&lt;0,"EXPIRED",IF($I262&lt;=Settings!$C$6,"CRITICAL",IF($I262&lt;=Settings!$C$5,"Expiring","In date")))))</f>
        <v/>
      </c>
    </row>
    <row r="263" spans="1:17" x14ac:dyDescent="0.35">
      <c r="A263" s="90" t="str">
        <f>IF(Receipts!$D266="","",Receipts!$D266)</f>
        <v/>
      </c>
      <c r="B263" s="18" t="str">
        <f>IF(Receipts!$C266="","",Receipts!$C266)</f>
        <v/>
      </c>
      <c r="C263" s="18" t="str">
        <f>IF($A263="","",IFERROR(INDEX(Items!$B$5:$B$597,MATCH($A263,Items!$A$5:$A$597,0)),""))</f>
        <v/>
      </c>
      <c r="D263" s="23" t="str">
        <f>IF($A263="","",N(Receipts!$G266))</f>
        <v/>
      </c>
      <c r="E263" s="20" t="str">
        <f>IF($A263="","",IFERROR(INDEX(Items!$D$5:$D$597,MATCH($A263,Items!$A$5:$A$597,0)),0))</f>
        <v/>
      </c>
      <c r="F263" s="21" t="str">
        <f t="shared" si="20"/>
        <v/>
      </c>
      <c r="G263" s="25" t="str">
        <f>IF(Receipts!$I266="","",Receipts!$I266)</f>
        <v/>
      </c>
      <c r="H263" s="25" t="str">
        <f>IF(Receipts!$H266="","",Receipts!$H266)</f>
        <v/>
      </c>
      <c r="I263" s="26" t="str">
        <f t="shared" ca="1" si="21"/>
        <v/>
      </c>
      <c r="J263" s="26" t="str">
        <f>IF($A263="","",COUNTIFS(tblReceipts[Item Name],$A263,tblReceipts[Expiry Date],"&lt;"&amp;$H263)+COUNTIFS(tblReceipts[Item Name],$A263,tblReceipts[Expiry Date],$H263,tblReceipts[Lot Number],"&lt;="&amp;Receipts!$C266))</f>
        <v/>
      </c>
      <c r="K263" s="26" t="str">
        <f>IF($A263="","",SUMIFS(tblReceipts[Qty Received],tblReceipts[Item Name],$A263,tblReceipts[Expiry Date],"&lt;"&amp;$H263)+SUMIFS(tblReceipts[Qty Received],tblReceipts[Item Name],$A263,tblReceipts[Expiry Date],$H263,tblReceipts[Lot Number],"&lt;"&amp;Receipts!$C266))</f>
        <v/>
      </c>
      <c r="L263" s="26" t="str">
        <f>IF($A263="","",MIN($D263,MAX(0,SUMIFS(tblIssues[Qty Issued],tblIssues[Item Name],$A263)-$K263)))</f>
        <v/>
      </c>
      <c r="M263" s="26" t="str">
        <f>IF($A263="","",SUMIFS(tblIssues[Qty Issued],tblIssues[Lot Number],$B263))</f>
        <v/>
      </c>
      <c r="N263" s="26" t="str">
        <f t="shared" si="22"/>
        <v/>
      </c>
      <c r="O263" s="26" t="str">
        <f t="shared" si="23"/>
        <v/>
      </c>
      <c r="P263" s="21" t="str">
        <f t="shared" si="24"/>
        <v/>
      </c>
      <c r="Q263" s="52" t="str">
        <f>IF($A263="","",IF($O263&lt;=0,"Depleted",IF($I263&lt;0,"EXPIRED",IF($I263&lt;=Settings!$C$6,"CRITICAL",IF($I263&lt;=Settings!$C$5,"Expiring","In date")))))</f>
        <v/>
      </c>
    </row>
    <row r="264" spans="1:17" x14ac:dyDescent="0.35">
      <c r="A264" s="90" t="str">
        <f>IF(Receipts!$D267="","",Receipts!$D267)</f>
        <v/>
      </c>
      <c r="B264" s="18" t="str">
        <f>IF(Receipts!$C267="","",Receipts!$C267)</f>
        <v/>
      </c>
      <c r="C264" s="18" t="str">
        <f>IF($A264="","",IFERROR(INDEX(Items!$B$5:$B$597,MATCH($A264,Items!$A$5:$A$597,0)),""))</f>
        <v/>
      </c>
      <c r="D264" s="23" t="str">
        <f>IF($A264="","",N(Receipts!$G267))</f>
        <v/>
      </c>
      <c r="E264" s="20" t="str">
        <f>IF($A264="","",IFERROR(INDEX(Items!$D$5:$D$597,MATCH($A264,Items!$A$5:$A$597,0)),0))</f>
        <v/>
      </c>
      <c r="F264" s="21" t="str">
        <f t="shared" si="20"/>
        <v/>
      </c>
      <c r="G264" s="25" t="str">
        <f>IF(Receipts!$I267="","",Receipts!$I267)</f>
        <v/>
      </c>
      <c r="H264" s="25" t="str">
        <f>IF(Receipts!$H267="","",Receipts!$H267)</f>
        <v/>
      </c>
      <c r="I264" s="26" t="str">
        <f t="shared" ca="1" si="21"/>
        <v/>
      </c>
      <c r="J264" s="26" t="str">
        <f>IF($A264="","",COUNTIFS(tblReceipts[Item Name],$A264,tblReceipts[Expiry Date],"&lt;"&amp;$H264)+COUNTIFS(tblReceipts[Item Name],$A264,tblReceipts[Expiry Date],$H264,tblReceipts[Lot Number],"&lt;="&amp;Receipts!$C267))</f>
        <v/>
      </c>
      <c r="K264" s="26" t="str">
        <f>IF($A264="","",SUMIFS(tblReceipts[Qty Received],tblReceipts[Item Name],$A264,tblReceipts[Expiry Date],"&lt;"&amp;$H264)+SUMIFS(tblReceipts[Qty Received],tblReceipts[Item Name],$A264,tblReceipts[Expiry Date],$H264,tblReceipts[Lot Number],"&lt;"&amp;Receipts!$C267))</f>
        <v/>
      </c>
      <c r="L264" s="26" t="str">
        <f>IF($A264="","",MIN($D264,MAX(0,SUMIFS(tblIssues[Qty Issued],tblIssues[Item Name],$A264)-$K264)))</f>
        <v/>
      </c>
      <c r="M264" s="26" t="str">
        <f>IF($A264="","",SUMIFS(tblIssues[Qty Issued],tblIssues[Lot Number],$B264))</f>
        <v/>
      </c>
      <c r="N264" s="26" t="str">
        <f t="shared" si="22"/>
        <v/>
      </c>
      <c r="O264" s="26" t="str">
        <f t="shared" si="23"/>
        <v/>
      </c>
      <c r="P264" s="21" t="str">
        <f t="shared" si="24"/>
        <v/>
      </c>
      <c r="Q264" s="52" t="str">
        <f>IF($A264="","",IF($O264&lt;=0,"Depleted",IF($I264&lt;0,"EXPIRED",IF($I264&lt;=Settings!$C$6,"CRITICAL",IF($I264&lt;=Settings!$C$5,"Expiring","In date")))))</f>
        <v/>
      </c>
    </row>
    <row r="265" spans="1:17" x14ac:dyDescent="0.35">
      <c r="A265" s="90" t="str">
        <f>IF(Receipts!$D268="","",Receipts!$D268)</f>
        <v/>
      </c>
      <c r="B265" s="18" t="str">
        <f>IF(Receipts!$C268="","",Receipts!$C268)</f>
        <v/>
      </c>
      <c r="C265" s="18" t="str">
        <f>IF($A265="","",IFERROR(INDEX(Items!$B$5:$B$597,MATCH($A265,Items!$A$5:$A$597,0)),""))</f>
        <v/>
      </c>
      <c r="D265" s="23" t="str">
        <f>IF($A265="","",N(Receipts!$G268))</f>
        <v/>
      </c>
      <c r="E265" s="20" t="str">
        <f>IF($A265="","",IFERROR(INDEX(Items!$D$5:$D$597,MATCH($A265,Items!$A$5:$A$597,0)),0))</f>
        <v/>
      </c>
      <c r="F265" s="21" t="str">
        <f t="shared" si="20"/>
        <v/>
      </c>
      <c r="G265" s="25" t="str">
        <f>IF(Receipts!$I268="","",Receipts!$I268)</f>
        <v/>
      </c>
      <c r="H265" s="25" t="str">
        <f>IF(Receipts!$H268="","",Receipts!$H268)</f>
        <v/>
      </c>
      <c r="I265" s="26" t="str">
        <f t="shared" ca="1" si="21"/>
        <v/>
      </c>
      <c r="J265" s="26" t="str">
        <f>IF($A265="","",COUNTIFS(tblReceipts[Item Name],$A265,tblReceipts[Expiry Date],"&lt;"&amp;$H265)+COUNTIFS(tblReceipts[Item Name],$A265,tblReceipts[Expiry Date],$H265,tblReceipts[Lot Number],"&lt;="&amp;Receipts!$C268))</f>
        <v/>
      </c>
      <c r="K265" s="26" t="str">
        <f>IF($A265="","",SUMIFS(tblReceipts[Qty Received],tblReceipts[Item Name],$A265,tblReceipts[Expiry Date],"&lt;"&amp;$H265)+SUMIFS(tblReceipts[Qty Received],tblReceipts[Item Name],$A265,tblReceipts[Expiry Date],$H265,tblReceipts[Lot Number],"&lt;"&amp;Receipts!$C268))</f>
        <v/>
      </c>
      <c r="L265" s="26" t="str">
        <f>IF($A265="","",MIN($D265,MAX(0,SUMIFS(tblIssues[Qty Issued],tblIssues[Item Name],$A265)-$K265)))</f>
        <v/>
      </c>
      <c r="M265" s="26" t="str">
        <f>IF($A265="","",SUMIFS(tblIssues[Qty Issued],tblIssues[Lot Number],$B265))</f>
        <v/>
      </c>
      <c r="N265" s="26" t="str">
        <f t="shared" si="22"/>
        <v/>
      </c>
      <c r="O265" s="26" t="str">
        <f t="shared" si="23"/>
        <v/>
      </c>
      <c r="P265" s="21" t="str">
        <f t="shared" si="24"/>
        <v/>
      </c>
      <c r="Q265" s="52" t="str">
        <f>IF($A265="","",IF($O265&lt;=0,"Depleted",IF($I265&lt;0,"EXPIRED",IF($I265&lt;=Settings!$C$6,"CRITICAL",IF($I265&lt;=Settings!$C$5,"Expiring","In date")))))</f>
        <v/>
      </c>
    </row>
    <row r="266" spans="1:17" x14ac:dyDescent="0.35">
      <c r="A266" s="90" t="str">
        <f>IF(Receipts!$D269="","",Receipts!$D269)</f>
        <v/>
      </c>
      <c r="B266" s="18" t="str">
        <f>IF(Receipts!$C269="","",Receipts!$C269)</f>
        <v/>
      </c>
      <c r="C266" s="18" t="str">
        <f>IF($A266="","",IFERROR(INDEX(Items!$B$5:$B$597,MATCH($A266,Items!$A$5:$A$597,0)),""))</f>
        <v/>
      </c>
      <c r="D266" s="23" t="str">
        <f>IF($A266="","",N(Receipts!$G269))</f>
        <v/>
      </c>
      <c r="E266" s="20" t="str">
        <f>IF($A266="","",IFERROR(INDEX(Items!$D$5:$D$597,MATCH($A266,Items!$A$5:$A$597,0)),0))</f>
        <v/>
      </c>
      <c r="F266" s="21" t="str">
        <f t="shared" si="20"/>
        <v/>
      </c>
      <c r="G266" s="25" t="str">
        <f>IF(Receipts!$I269="","",Receipts!$I269)</f>
        <v/>
      </c>
      <c r="H266" s="25" t="str">
        <f>IF(Receipts!$H269="","",Receipts!$H269)</f>
        <v/>
      </c>
      <c r="I266" s="26" t="str">
        <f t="shared" ca="1" si="21"/>
        <v/>
      </c>
      <c r="J266" s="26" t="str">
        <f>IF($A266="","",COUNTIFS(tblReceipts[Item Name],$A266,tblReceipts[Expiry Date],"&lt;"&amp;$H266)+COUNTIFS(tblReceipts[Item Name],$A266,tblReceipts[Expiry Date],$H266,tblReceipts[Lot Number],"&lt;="&amp;Receipts!$C269))</f>
        <v/>
      </c>
      <c r="K266" s="26" t="str">
        <f>IF($A266="","",SUMIFS(tblReceipts[Qty Received],tblReceipts[Item Name],$A266,tblReceipts[Expiry Date],"&lt;"&amp;$H266)+SUMIFS(tblReceipts[Qty Received],tblReceipts[Item Name],$A266,tblReceipts[Expiry Date],$H266,tblReceipts[Lot Number],"&lt;"&amp;Receipts!$C269))</f>
        <v/>
      </c>
      <c r="L266" s="26" t="str">
        <f>IF($A266="","",MIN($D266,MAX(0,SUMIFS(tblIssues[Qty Issued],tblIssues[Item Name],$A266)-$K266)))</f>
        <v/>
      </c>
      <c r="M266" s="26" t="str">
        <f>IF($A266="","",SUMIFS(tblIssues[Qty Issued],tblIssues[Lot Number],$B266))</f>
        <v/>
      </c>
      <c r="N266" s="26" t="str">
        <f t="shared" si="22"/>
        <v/>
      </c>
      <c r="O266" s="26" t="str">
        <f t="shared" si="23"/>
        <v/>
      </c>
      <c r="P266" s="21" t="str">
        <f t="shared" si="24"/>
        <v/>
      </c>
      <c r="Q266" s="52" t="str">
        <f>IF($A266="","",IF($O266&lt;=0,"Depleted",IF($I266&lt;0,"EXPIRED",IF($I266&lt;=Settings!$C$6,"CRITICAL",IF($I266&lt;=Settings!$C$5,"Expiring","In date")))))</f>
        <v/>
      </c>
    </row>
    <row r="267" spans="1:17" x14ac:dyDescent="0.35">
      <c r="A267" s="90" t="str">
        <f>IF(Receipts!$D270="","",Receipts!$D270)</f>
        <v/>
      </c>
      <c r="B267" s="18" t="str">
        <f>IF(Receipts!$C270="","",Receipts!$C270)</f>
        <v/>
      </c>
      <c r="C267" s="18" t="str">
        <f>IF($A267="","",IFERROR(INDEX(Items!$B$5:$B$597,MATCH($A267,Items!$A$5:$A$597,0)),""))</f>
        <v/>
      </c>
      <c r="D267" s="23" t="str">
        <f>IF($A267="","",N(Receipts!$G270))</f>
        <v/>
      </c>
      <c r="E267" s="20" t="str">
        <f>IF($A267="","",IFERROR(INDEX(Items!$D$5:$D$597,MATCH($A267,Items!$A$5:$A$597,0)),0))</f>
        <v/>
      </c>
      <c r="F267" s="21" t="str">
        <f t="shared" si="20"/>
        <v/>
      </c>
      <c r="G267" s="25" t="str">
        <f>IF(Receipts!$I270="","",Receipts!$I270)</f>
        <v/>
      </c>
      <c r="H267" s="25" t="str">
        <f>IF(Receipts!$H270="","",Receipts!$H270)</f>
        <v/>
      </c>
      <c r="I267" s="26" t="str">
        <f t="shared" ca="1" si="21"/>
        <v/>
      </c>
      <c r="J267" s="26" t="str">
        <f>IF($A267="","",COUNTIFS(tblReceipts[Item Name],$A267,tblReceipts[Expiry Date],"&lt;"&amp;$H267)+COUNTIFS(tblReceipts[Item Name],$A267,tblReceipts[Expiry Date],$H267,tblReceipts[Lot Number],"&lt;="&amp;Receipts!$C270))</f>
        <v/>
      </c>
      <c r="K267" s="26" t="str">
        <f>IF($A267="","",SUMIFS(tblReceipts[Qty Received],tblReceipts[Item Name],$A267,tblReceipts[Expiry Date],"&lt;"&amp;$H267)+SUMIFS(tblReceipts[Qty Received],tblReceipts[Item Name],$A267,tblReceipts[Expiry Date],$H267,tblReceipts[Lot Number],"&lt;"&amp;Receipts!$C270))</f>
        <v/>
      </c>
      <c r="L267" s="26" t="str">
        <f>IF($A267="","",MIN($D267,MAX(0,SUMIFS(tblIssues[Qty Issued],tblIssues[Item Name],$A267)-$K267)))</f>
        <v/>
      </c>
      <c r="M267" s="26" t="str">
        <f>IF($A267="","",SUMIFS(tblIssues[Qty Issued],tblIssues[Lot Number],$B267))</f>
        <v/>
      </c>
      <c r="N267" s="26" t="str">
        <f t="shared" si="22"/>
        <v/>
      </c>
      <c r="O267" s="26" t="str">
        <f t="shared" si="23"/>
        <v/>
      </c>
      <c r="P267" s="21" t="str">
        <f t="shared" si="24"/>
        <v/>
      </c>
      <c r="Q267" s="52" t="str">
        <f>IF($A267="","",IF($O267&lt;=0,"Depleted",IF($I267&lt;0,"EXPIRED",IF($I267&lt;=Settings!$C$6,"CRITICAL",IF($I267&lt;=Settings!$C$5,"Expiring","In date")))))</f>
        <v/>
      </c>
    </row>
    <row r="268" spans="1:17" x14ac:dyDescent="0.35">
      <c r="A268" s="90" t="str">
        <f>IF(Receipts!$D271="","",Receipts!$D271)</f>
        <v/>
      </c>
      <c r="B268" s="18" t="str">
        <f>IF(Receipts!$C271="","",Receipts!$C271)</f>
        <v/>
      </c>
      <c r="C268" s="18" t="str">
        <f>IF($A268="","",IFERROR(INDEX(Items!$B$5:$B$597,MATCH($A268,Items!$A$5:$A$597,0)),""))</f>
        <v/>
      </c>
      <c r="D268" s="23" t="str">
        <f>IF($A268="","",N(Receipts!$G271))</f>
        <v/>
      </c>
      <c r="E268" s="20" t="str">
        <f>IF($A268="","",IFERROR(INDEX(Items!$D$5:$D$597,MATCH($A268,Items!$A$5:$A$597,0)),0))</f>
        <v/>
      </c>
      <c r="F268" s="21" t="str">
        <f t="shared" si="20"/>
        <v/>
      </c>
      <c r="G268" s="25" t="str">
        <f>IF(Receipts!$I271="","",Receipts!$I271)</f>
        <v/>
      </c>
      <c r="H268" s="25" t="str">
        <f>IF(Receipts!$H271="","",Receipts!$H271)</f>
        <v/>
      </c>
      <c r="I268" s="26" t="str">
        <f t="shared" ca="1" si="21"/>
        <v/>
      </c>
      <c r="J268" s="26" t="str">
        <f>IF($A268="","",COUNTIFS(tblReceipts[Item Name],$A268,tblReceipts[Expiry Date],"&lt;"&amp;$H268)+COUNTIFS(tblReceipts[Item Name],$A268,tblReceipts[Expiry Date],$H268,tblReceipts[Lot Number],"&lt;="&amp;Receipts!$C271))</f>
        <v/>
      </c>
      <c r="K268" s="26" t="str">
        <f>IF($A268="","",SUMIFS(tblReceipts[Qty Received],tblReceipts[Item Name],$A268,tblReceipts[Expiry Date],"&lt;"&amp;$H268)+SUMIFS(tblReceipts[Qty Received],tblReceipts[Item Name],$A268,tblReceipts[Expiry Date],$H268,tblReceipts[Lot Number],"&lt;"&amp;Receipts!$C271))</f>
        <v/>
      </c>
      <c r="L268" s="26" t="str">
        <f>IF($A268="","",MIN($D268,MAX(0,SUMIFS(tblIssues[Qty Issued],tblIssues[Item Name],$A268)-$K268)))</f>
        <v/>
      </c>
      <c r="M268" s="26" t="str">
        <f>IF($A268="","",SUMIFS(tblIssues[Qty Issued],tblIssues[Lot Number],$B268))</f>
        <v/>
      </c>
      <c r="N268" s="26" t="str">
        <f t="shared" si="22"/>
        <v/>
      </c>
      <c r="O268" s="26" t="str">
        <f t="shared" si="23"/>
        <v/>
      </c>
      <c r="P268" s="21" t="str">
        <f t="shared" si="24"/>
        <v/>
      </c>
      <c r="Q268" s="52" t="str">
        <f>IF($A268="","",IF($O268&lt;=0,"Depleted",IF($I268&lt;0,"EXPIRED",IF($I268&lt;=Settings!$C$6,"CRITICAL",IF($I268&lt;=Settings!$C$5,"Expiring","In date")))))</f>
        <v/>
      </c>
    </row>
    <row r="269" spans="1:17" x14ac:dyDescent="0.35">
      <c r="A269" s="90" t="str">
        <f>IF(Receipts!$D272="","",Receipts!$D272)</f>
        <v/>
      </c>
      <c r="B269" s="18" t="str">
        <f>IF(Receipts!$C272="","",Receipts!$C272)</f>
        <v/>
      </c>
      <c r="C269" s="18" t="str">
        <f>IF($A269="","",IFERROR(INDEX(Items!$B$5:$B$597,MATCH($A269,Items!$A$5:$A$597,0)),""))</f>
        <v/>
      </c>
      <c r="D269" s="23" t="str">
        <f>IF($A269="","",N(Receipts!$G272))</f>
        <v/>
      </c>
      <c r="E269" s="20" t="str">
        <f>IF($A269="","",IFERROR(INDEX(Items!$D$5:$D$597,MATCH($A269,Items!$A$5:$A$597,0)),0))</f>
        <v/>
      </c>
      <c r="F269" s="21" t="str">
        <f t="shared" si="20"/>
        <v/>
      </c>
      <c r="G269" s="25" t="str">
        <f>IF(Receipts!$I272="","",Receipts!$I272)</f>
        <v/>
      </c>
      <c r="H269" s="25" t="str">
        <f>IF(Receipts!$H272="","",Receipts!$H272)</f>
        <v/>
      </c>
      <c r="I269" s="26" t="str">
        <f t="shared" ca="1" si="21"/>
        <v/>
      </c>
      <c r="J269" s="26" t="str">
        <f>IF($A269="","",COUNTIFS(tblReceipts[Item Name],$A269,tblReceipts[Expiry Date],"&lt;"&amp;$H269)+COUNTIFS(tblReceipts[Item Name],$A269,tblReceipts[Expiry Date],$H269,tblReceipts[Lot Number],"&lt;="&amp;Receipts!$C272))</f>
        <v/>
      </c>
      <c r="K269" s="26" t="str">
        <f>IF($A269="","",SUMIFS(tblReceipts[Qty Received],tblReceipts[Item Name],$A269,tblReceipts[Expiry Date],"&lt;"&amp;$H269)+SUMIFS(tblReceipts[Qty Received],tblReceipts[Item Name],$A269,tblReceipts[Expiry Date],$H269,tblReceipts[Lot Number],"&lt;"&amp;Receipts!$C272))</f>
        <v/>
      </c>
      <c r="L269" s="26" t="str">
        <f>IF($A269="","",MIN($D269,MAX(0,SUMIFS(tblIssues[Qty Issued],tblIssues[Item Name],$A269)-$K269)))</f>
        <v/>
      </c>
      <c r="M269" s="26" t="str">
        <f>IF($A269="","",SUMIFS(tblIssues[Qty Issued],tblIssues[Lot Number],$B269))</f>
        <v/>
      </c>
      <c r="N269" s="26" t="str">
        <f t="shared" si="22"/>
        <v/>
      </c>
      <c r="O269" s="26" t="str">
        <f t="shared" si="23"/>
        <v/>
      </c>
      <c r="P269" s="21" t="str">
        <f t="shared" si="24"/>
        <v/>
      </c>
      <c r="Q269" s="52" t="str">
        <f>IF($A269="","",IF($O269&lt;=0,"Depleted",IF($I269&lt;0,"EXPIRED",IF($I269&lt;=Settings!$C$6,"CRITICAL",IF($I269&lt;=Settings!$C$5,"Expiring","In date")))))</f>
        <v/>
      </c>
    </row>
    <row r="270" spans="1:17" x14ac:dyDescent="0.35">
      <c r="A270" s="90" t="str">
        <f>IF(Receipts!$D273="","",Receipts!$D273)</f>
        <v/>
      </c>
      <c r="B270" s="18" t="str">
        <f>IF(Receipts!$C273="","",Receipts!$C273)</f>
        <v/>
      </c>
      <c r="C270" s="18" t="str">
        <f>IF($A270="","",IFERROR(INDEX(Items!$B$5:$B$597,MATCH($A270,Items!$A$5:$A$597,0)),""))</f>
        <v/>
      </c>
      <c r="D270" s="23" t="str">
        <f>IF($A270="","",N(Receipts!$G273))</f>
        <v/>
      </c>
      <c r="E270" s="20" t="str">
        <f>IF($A270="","",IFERROR(INDEX(Items!$D$5:$D$597,MATCH($A270,Items!$A$5:$A$597,0)),0))</f>
        <v/>
      </c>
      <c r="F270" s="21" t="str">
        <f t="shared" si="20"/>
        <v/>
      </c>
      <c r="G270" s="25" t="str">
        <f>IF(Receipts!$I273="","",Receipts!$I273)</f>
        <v/>
      </c>
      <c r="H270" s="25" t="str">
        <f>IF(Receipts!$H273="","",Receipts!$H273)</f>
        <v/>
      </c>
      <c r="I270" s="26" t="str">
        <f t="shared" ca="1" si="21"/>
        <v/>
      </c>
      <c r="J270" s="26" t="str">
        <f>IF($A270="","",COUNTIFS(tblReceipts[Item Name],$A270,tblReceipts[Expiry Date],"&lt;"&amp;$H270)+COUNTIFS(tblReceipts[Item Name],$A270,tblReceipts[Expiry Date],$H270,tblReceipts[Lot Number],"&lt;="&amp;Receipts!$C273))</f>
        <v/>
      </c>
      <c r="K270" s="26" t="str">
        <f>IF($A270="","",SUMIFS(tblReceipts[Qty Received],tblReceipts[Item Name],$A270,tblReceipts[Expiry Date],"&lt;"&amp;$H270)+SUMIFS(tblReceipts[Qty Received],tblReceipts[Item Name],$A270,tblReceipts[Expiry Date],$H270,tblReceipts[Lot Number],"&lt;"&amp;Receipts!$C273))</f>
        <v/>
      </c>
      <c r="L270" s="26" t="str">
        <f>IF($A270="","",MIN($D270,MAX(0,SUMIFS(tblIssues[Qty Issued],tblIssues[Item Name],$A270)-$K270)))</f>
        <v/>
      </c>
      <c r="M270" s="26" t="str">
        <f>IF($A270="","",SUMIFS(tblIssues[Qty Issued],tblIssues[Lot Number],$B270))</f>
        <v/>
      </c>
      <c r="N270" s="26" t="str">
        <f t="shared" si="22"/>
        <v/>
      </c>
      <c r="O270" s="26" t="str">
        <f t="shared" si="23"/>
        <v/>
      </c>
      <c r="P270" s="21" t="str">
        <f t="shared" si="24"/>
        <v/>
      </c>
      <c r="Q270" s="52" t="str">
        <f>IF($A270="","",IF($O270&lt;=0,"Depleted",IF($I270&lt;0,"EXPIRED",IF($I270&lt;=Settings!$C$6,"CRITICAL",IF($I270&lt;=Settings!$C$5,"Expiring","In date")))))</f>
        <v/>
      </c>
    </row>
    <row r="271" spans="1:17" x14ac:dyDescent="0.35">
      <c r="A271" s="90" t="str">
        <f>IF(Receipts!$D274="","",Receipts!$D274)</f>
        <v/>
      </c>
      <c r="B271" s="18" t="str">
        <f>IF(Receipts!$C274="","",Receipts!$C274)</f>
        <v/>
      </c>
      <c r="C271" s="18" t="str">
        <f>IF($A271="","",IFERROR(INDEX(Items!$B$5:$B$597,MATCH($A271,Items!$A$5:$A$597,0)),""))</f>
        <v/>
      </c>
      <c r="D271" s="23" t="str">
        <f>IF($A271="","",N(Receipts!$G274))</f>
        <v/>
      </c>
      <c r="E271" s="20" t="str">
        <f>IF($A271="","",IFERROR(INDEX(Items!$D$5:$D$597,MATCH($A271,Items!$A$5:$A$597,0)),0))</f>
        <v/>
      </c>
      <c r="F271" s="21" t="str">
        <f t="shared" si="20"/>
        <v/>
      </c>
      <c r="G271" s="25" t="str">
        <f>IF(Receipts!$I274="","",Receipts!$I274)</f>
        <v/>
      </c>
      <c r="H271" s="25" t="str">
        <f>IF(Receipts!$H274="","",Receipts!$H274)</f>
        <v/>
      </c>
      <c r="I271" s="26" t="str">
        <f t="shared" ca="1" si="21"/>
        <v/>
      </c>
      <c r="J271" s="26" t="str">
        <f>IF($A271="","",COUNTIFS(tblReceipts[Item Name],$A271,tblReceipts[Expiry Date],"&lt;"&amp;$H271)+COUNTIFS(tblReceipts[Item Name],$A271,tblReceipts[Expiry Date],$H271,tblReceipts[Lot Number],"&lt;="&amp;Receipts!$C274))</f>
        <v/>
      </c>
      <c r="K271" s="26" t="str">
        <f>IF($A271="","",SUMIFS(tblReceipts[Qty Received],tblReceipts[Item Name],$A271,tblReceipts[Expiry Date],"&lt;"&amp;$H271)+SUMIFS(tblReceipts[Qty Received],tblReceipts[Item Name],$A271,tblReceipts[Expiry Date],$H271,tblReceipts[Lot Number],"&lt;"&amp;Receipts!$C274))</f>
        <v/>
      </c>
      <c r="L271" s="26" t="str">
        <f>IF($A271="","",MIN($D271,MAX(0,SUMIFS(tblIssues[Qty Issued],tblIssues[Item Name],$A271)-$K271)))</f>
        <v/>
      </c>
      <c r="M271" s="26" t="str">
        <f>IF($A271="","",SUMIFS(tblIssues[Qty Issued],tblIssues[Lot Number],$B271))</f>
        <v/>
      </c>
      <c r="N271" s="26" t="str">
        <f t="shared" si="22"/>
        <v/>
      </c>
      <c r="O271" s="26" t="str">
        <f t="shared" si="23"/>
        <v/>
      </c>
      <c r="P271" s="21" t="str">
        <f t="shared" si="24"/>
        <v/>
      </c>
      <c r="Q271" s="52" t="str">
        <f>IF($A271="","",IF($O271&lt;=0,"Depleted",IF($I271&lt;0,"EXPIRED",IF($I271&lt;=Settings!$C$6,"CRITICAL",IF($I271&lt;=Settings!$C$5,"Expiring","In date")))))</f>
        <v/>
      </c>
    </row>
    <row r="272" spans="1:17" x14ac:dyDescent="0.35">
      <c r="A272" s="90" t="str">
        <f>IF(Receipts!$D275="","",Receipts!$D275)</f>
        <v/>
      </c>
      <c r="B272" s="18" t="str">
        <f>IF(Receipts!$C275="","",Receipts!$C275)</f>
        <v/>
      </c>
      <c r="C272" s="18" t="str">
        <f>IF($A272="","",IFERROR(INDEX(Items!$B$5:$B$597,MATCH($A272,Items!$A$5:$A$597,0)),""))</f>
        <v/>
      </c>
      <c r="D272" s="23" t="str">
        <f>IF($A272="","",N(Receipts!$G275))</f>
        <v/>
      </c>
      <c r="E272" s="20" t="str">
        <f>IF($A272="","",IFERROR(INDEX(Items!$D$5:$D$597,MATCH($A272,Items!$A$5:$A$597,0)),0))</f>
        <v/>
      </c>
      <c r="F272" s="21" t="str">
        <f t="shared" si="20"/>
        <v/>
      </c>
      <c r="G272" s="25" t="str">
        <f>IF(Receipts!$I275="","",Receipts!$I275)</f>
        <v/>
      </c>
      <c r="H272" s="25" t="str">
        <f>IF(Receipts!$H275="","",Receipts!$H275)</f>
        <v/>
      </c>
      <c r="I272" s="26" t="str">
        <f t="shared" ca="1" si="21"/>
        <v/>
      </c>
      <c r="J272" s="26" t="str">
        <f>IF($A272="","",COUNTIFS(tblReceipts[Item Name],$A272,tblReceipts[Expiry Date],"&lt;"&amp;$H272)+COUNTIFS(tblReceipts[Item Name],$A272,tblReceipts[Expiry Date],$H272,tblReceipts[Lot Number],"&lt;="&amp;Receipts!$C275))</f>
        <v/>
      </c>
      <c r="K272" s="26" t="str">
        <f>IF($A272="","",SUMIFS(tblReceipts[Qty Received],tblReceipts[Item Name],$A272,tblReceipts[Expiry Date],"&lt;"&amp;$H272)+SUMIFS(tblReceipts[Qty Received],tblReceipts[Item Name],$A272,tblReceipts[Expiry Date],$H272,tblReceipts[Lot Number],"&lt;"&amp;Receipts!$C275))</f>
        <v/>
      </c>
      <c r="L272" s="26" t="str">
        <f>IF($A272="","",MIN($D272,MAX(0,SUMIFS(tblIssues[Qty Issued],tblIssues[Item Name],$A272)-$K272)))</f>
        <v/>
      </c>
      <c r="M272" s="26" t="str">
        <f>IF($A272="","",SUMIFS(tblIssues[Qty Issued],tblIssues[Lot Number],$B272))</f>
        <v/>
      </c>
      <c r="N272" s="26" t="str">
        <f t="shared" si="22"/>
        <v/>
      </c>
      <c r="O272" s="26" t="str">
        <f t="shared" si="23"/>
        <v/>
      </c>
      <c r="P272" s="21" t="str">
        <f t="shared" si="24"/>
        <v/>
      </c>
      <c r="Q272" s="52" t="str">
        <f>IF($A272="","",IF($O272&lt;=0,"Depleted",IF($I272&lt;0,"EXPIRED",IF($I272&lt;=Settings!$C$6,"CRITICAL",IF($I272&lt;=Settings!$C$5,"Expiring","In date")))))</f>
        <v/>
      </c>
    </row>
    <row r="273" spans="1:17" x14ac:dyDescent="0.35">
      <c r="A273" s="90" t="str">
        <f>IF(Receipts!$D276="","",Receipts!$D276)</f>
        <v/>
      </c>
      <c r="B273" s="18" t="str">
        <f>IF(Receipts!$C276="","",Receipts!$C276)</f>
        <v/>
      </c>
      <c r="C273" s="18" t="str">
        <f>IF($A273="","",IFERROR(INDEX(Items!$B$5:$B$597,MATCH($A273,Items!$A$5:$A$597,0)),""))</f>
        <v/>
      </c>
      <c r="D273" s="23" t="str">
        <f>IF($A273="","",N(Receipts!$G276))</f>
        <v/>
      </c>
      <c r="E273" s="20" t="str">
        <f>IF($A273="","",IFERROR(INDEX(Items!$D$5:$D$597,MATCH($A273,Items!$A$5:$A$597,0)),0))</f>
        <v/>
      </c>
      <c r="F273" s="21" t="str">
        <f t="shared" si="20"/>
        <v/>
      </c>
      <c r="G273" s="25" t="str">
        <f>IF(Receipts!$I276="","",Receipts!$I276)</f>
        <v/>
      </c>
      <c r="H273" s="25" t="str">
        <f>IF(Receipts!$H276="","",Receipts!$H276)</f>
        <v/>
      </c>
      <c r="I273" s="26" t="str">
        <f t="shared" ca="1" si="21"/>
        <v/>
      </c>
      <c r="J273" s="26" t="str">
        <f>IF($A273="","",COUNTIFS(tblReceipts[Item Name],$A273,tblReceipts[Expiry Date],"&lt;"&amp;$H273)+COUNTIFS(tblReceipts[Item Name],$A273,tblReceipts[Expiry Date],$H273,tblReceipts[Lot Number],"&lt;="&amp;Receipts!$C276))</f>
        <v/>
      </c>
      <c r="K273" s="26" t="str">
        <f>IF($A273="","",SUMIFS(tblReceipts[Qty Received],tblReceipts[Item Name],$A273,tblReceipts[Expiry Date],"&lt;"&amp;$H273)+SUMIFS(tblReceipts[Qty Received],tblReceipts[Item Name],$A273,tblReceipts[Expiry Date],$H273,tblReceipts[Lot Number],"&lt;"&amp;Receipts!$C276))</f>
        <v/>
      </c>
      <c r="L273" s="26" t="str">
        <f>IF($A273="","",MIN($D273,MAX(0,SUMIFS(tblIssues[Qty Issued],tblIssues[Item Name],$A273)-$K273)))</f>
        <v/>
      </c>
      <c r="M273" s="26" t="str">
        <f>IF($A273="","",SUMIFS(tblIssues[Qty Issued],tblIssues[Lot Number],$B273))</f>
        <v/>
      </c>
      <c r="N273" s="26" t="str">
        <f t="shared" si="22"/>
        <v/>
      </c>
      <c r="O273" s="26" t="str">
        <f t="shared" si="23"/>
        <v/>
      </c>
      <c r="P273" s="21" t="str">
        <f t="shared" si="24"/>
        <v/>
      </c>
      <c r="Q273" s="52" t="str">
        <f>IF($A273="","",IF($O273&lt;=0,"Depleted",IF($I273&lt;0,"EXPIRED",IF($I273&lt;=Settings!$C$6,"CRITICAL",IF($I273&lt;=Settings!$C$5,"Expiring","In date")))))</f>
        <v/>
      </c>
    </row>
    <row r="274" spans="1:17" x14ac:dyDescent="0.35">
      <c r="A274" s="90" t="str">
        <f>IF(Receipts!$D277="","",Receipts!$D277)</f>
        <v/>
      </c>
      <c r="B274" s="18" t="str">
        <f>IF(Receipts!$C277="","",Receipts!$C277)</f>
        <v/>
      </c>
      <c r="C274" s="18" t="str">
        <f>IF($A274="","",IFERROR(INDEX(Items!$B$5:$B$597,MATCH($A274,Items!$A$5:$A$597,0)),""))</f>
        <v/>
      </c>
      <c r="D274" s="23" t="str">
        <f>IF($A274="","",N(Receipts!$G277))</f>
        <v/>
      </c>
      <c r="E274" s="20" t="str">
        <f>IF($A274="","",IFERROR(INDEX(Items!$D$5:$D$597,MATCH($A274,Items!$A$5:$A$597,0)),0))</f>
        <v/>
      </c>
      <c r="F274" s="21" t="str">
        <f t="shared" si="20"/>
        <v/>
      </c>
      <c r="G274" s="25" t="str">
        <f>IF(Receipts!$I277="","",Receipts!$I277)</f>
        <v/>
      </c>
      <c r="H274" s="25" t="str">
        <f>IF(Receipts!$H277="","",Receipts!$H277)</f>
        <v/>
      </c>
      <c r="I274" s="26" t="str">
        <f t="shared" ca="1" si="21"/>
        <v/>
      </c>
      <c r="J274" s="26" t="str">
        <f>IF($A274="","",COUNTIFS(tblReceipts[Item Name],$A274,tblReceipts[Expiry Date],"&lt;"&amp;$H274)+COUNTIFS(tblReceipts[Item Name],$A274,tblReceipts[Expiry Date],$H274,tblReceipts[Lot Number],"&lt;="&amp;Receipts!$C277))</f>
        <v/>
      </c>
      <c r="K274" s="26" t="str">
        <f>IF($A274="","",SUMIFS(tblReceipts[Qty Received],tblReceipts[Item Name],$A274,tblReceipts[Expiry Date],"&lt;"&amp;$H274)+SUMIFS(tblReceipts[Qty Received],tblReceipts[Item Name],$A274,tblReceipts[Expiry Date],$H274,tblReceipts[Lot Number],"&lt;"&amp;Receipts!$C277))</f>
        <v/>
      </c>
      <c r="L274" s="26" t="str">
        <f>IF($A274="","",MIN($D274,MAX(0,SUMIFS(tblIssues[Qty Issued],tblIssues[Item Name],$A274)-$K274)))</f>
        <v/>
      </c>
      <c r="M274" s="26" t="str">
        <f>IF($A274="","",SUMIFS(tblIssues[Qty Issued],tblIssues[Lot Number],$B274))</f>
        <v/>
      </c>
      <c r="N274" s="26" t="str">
        <f t="shared" si="22"/>
        <v/>
      </c>
      <c r="O274" s="26" t="str">
        <f t="shared" si="23"/>
        <v/>
      </c>
      <c r="P274" s="21" t="str">
        <f t="shared" si="24"/>
        <v/>
      </c>
      <c r="Q274" s="52" t="str">
        <f>IF($A274="","",IF($O274&lt;=0,"Depleted",IF($I274&lt;0,"EXPIRED",IF($I274&lt;=Settings!$C$6,"CRITICAL",IF($I274&lt;=Settings!$C$5,"Expiring","In date")))))</f>
        <v/>
      </c>
    </row>
    <row r="275" spans="1:17" x14ac:dyDescent="0.35">
      <c r="A275" s="90" t="str">
        <f>IF(Receipts!$D278="","",Receipts!$D278)</f>
        <v/>
      </c>
      <c r="B275" s="18" t="str">
        <f>IF(Receipts!$C278="","",Receipts!$C278)</f>
        <v/>
      </c>
      <c r="C275" s="18" t="str">
        <f>IF($A275="","",IFERROR(INDEX(Items!$B$5:$B$597,MATCH($A275,Items!$A$5:$A$597,0)),""))</f>
        <v/>
      </c>
      <c r="D275" s="23" t="str">
        <f>IF($A275="","",N(Receipts!$G278))</f>
        <v/>
      </c>
      <c r="E275" s="20" t="str">
        <f>IF($A275="","",IFERROR(INDEX(Items!$D$5:$D$597,MATCH($A275,Items!$A$5:$A$597,0)),0))</f>
        <v/>
      </c>
      <c r="F275" s="21" t="str">
        <f t="shared" si="20"/>
        <v/>
      </c>
      <c r="G275" s="25" t="str">
        <f>IF(Receipts!$I278="","",Receipts!$I278)</f>
        <v/>
      </c>
      <c r="H275" s="25" t="str">
        <f>IF(Receipts!$H278="","",Receipts!$H278)</f>
        <v/>
      </c>
      <c r="I275" s="26" t="str">
        <f t="shared" ca="1" si="21"/>
        <v/>
      </c>
      <c r="J275" s="26" t="str">
        <f>IF($A275="","",COUNTIFS(tblReceipts[Item Name],$A275,tblReceipts[Expiry Date],"&lt;"&amp;$H275)+COUNTIFS(tblReceipts[Item Name],$A275,tblReceipts[Expiry Date],$H275,tblReceipts[Lot Number],"&lt;="&amp;Receipts!$C278))</f>
        <v/>
      </c>
      <c r="K275" s="26" t="str">
        <f>IF($A275="","",SUMIFS(tblReceipts[Qty Received],tblReceipts[Item Name],$A275,tblReceipts[Expiry Date],"&lt;"&amp;$H275)+SUMIFS(tblReceipts[Qty Received],tblReceipts[Item Name],$A275,tblReceipts[Expiry Date],$H275,tblReceipts[Lot Number],"&lt;"&amp;Receipts!$C278))</f>
        <v/>
      </c>
      <c r="L275" s="26" t="str">
        <f>IF($A275="","",MIN($D275,MAX(0,SUMIFS(tblIssues[Qty Issued],tblIssues[Item Name],$A275)-$K275)))</f>
        <v/>
      </c>
      <c r="M275" s="26" t="str">
        <f>IF($A275="","",SUMIFS(tblIssues[Qty Issued],tblIssues[Lot Number],$B275))</f>
        <v/>
      </c>
      <c r="N275" s="26" t="str">
        <f t="shared" si="22"/>
        <v/>
      </c>
      <c r="O275" s="26" t="str">
        <f t="shared" si="23"/>
        <v/>
      </c>
      <c r="P275" s="21" t="str">
        <f t="shared" si="24"/>
        <v/>
      </c>
      <c r="Q275" s="52" t="str">
        <f>IF($A275="","",IF($O275&lt;=0,"Depleted",IF($I275&lt;0,"EXPIRED",IF($I275&lt;=Settings!$C$6,"CRITICAL",IF($I275&lt;=Settings!$C$5,"Expiring","In date")))))</f>
        <v/>
      </c>
    </row>
    <row r="276" spans="1:17" x14ac:dyDescent="0.35">
      <c r="A276" s="90" t="str">
        <f>IF(Receipts!$D279="","",Receipts!$D279)</f>
        <v/>
      </c>
      <c r="B276" s="18" t="str">
        <f>IF(Receipts!$C279="","",Receipts!$C279)</f>
        <v/>
      </c>
      <c r="C276" s="18" t="str">
        <f>IF($A276="","",IFERROR(INDEX(Items!$B$5:$B$597,MATCH($A276,Items!$A$5:$A$597,0)),""))</f>
        <v/>
      </c>
      <c r="D276" s="23" t="str">
        <f>IF($A276="","",N(Receipts!$G279))</f>
        <v/>
      </c>
      <c r="E276" s="20" t="str">
        <f>IF($A276="","",IFERROR(INDEX(Items!$D$5:$D$597,MATCH($A276,Items!$A$5:$A$597,0)),0))</f>
        <v/>
      </c>
      <c r="F276" s="21" t="str">
        <f t="shared" si="20"/>
        <v/>
      </c>
      <c r="G276" s="25" t="str">
        <f>IF(Receipts!$I279="","",Receipts!$I279)</f>
        <v/>
      </c>
      <c r="H276" s="25" t="str">
        <f>IF(Receipts!$H279="","",Receipts!$H279)</f>
        <v/>
      </c>
      <c r="I276" s="26" t="str">
        <f t="shared" ca="1" si="21"/>
        <v/>
      </c>
      <c r="J276" s="26" t="str">
        <f>IF($A276="","",COUNTIFS(tblReceipts[Item Name],$A276,tblReceipts[Expiry Date],"&lt;"&amp;$H276)+COUNTIFS(tblReceipts[Item Name],$A276,tblReceipts[Expiry Date],$H276,tblReceipts[Lot Number],"&lt;="&amp;Receipts!$C279))</f>
        <v/>
      </c>
      <c r="K276" s="26" t="str">
        <f>IF($A276="","",SUMIFS(tblReceipts[Qty Received],tblReceipts[Item Name],$A276,tblReceipts[Expiry Date],"&lt;"&amp;$H276)+SUMIFS(tblReceipts[Qty Received],tblReceipts[Item Name],$A276,tblReceipts[Expiry Date],$H276,tblReceipts[Lot Number],"&lt;"&amp;Receipts!$C279))</f>
        <v/>
      </c>
      <c r="L276" s="26" t="str">
        <f>IF($A276="","",MIN($D276,MAX(0,SUMIFS(tblIssues[Qty Issued],tblIssues[Item Name],$A276)-$K276)))</f>
        <v/>
      </c>
      <c r="M276" s="26" t="str">
        <f>IF($A276="","",SUMIFS(tblIssues[Qty Issued],tblIssues[Lot Number],$B276))</f>
        <v/>
      </c>
      <c r="N276" s="26" t="str">
        <f t="shared" si="22"/>
        <v/>
      </c>
      <c r="O276" s="26" t="str">
        <f t="shared" si="23"/>
        <v/>
      </c>
      <c r="P276" s="21" t="str">
        <f t="shared" si="24"/>
        <v/>
      </c>
      <c r="Q276" s="52" t="str">
        <f>IF($A276="","",IF($O276&lt;=0,"Depleted",IF($I276&lt;0,"EXPIRED",IF($I276&lt;=Settings!$C$6,"CRITICAL",IF($I276&lt;=Settings!$C$5,"Expiring","In date")))))</f>
        <v/>
      </c>
    </row>
    <row r="277" spans="1:17" x14ac:dyDescent="0.35">
      <c r="A277" s="90" t="str">
        <f>IF(Receipts!$D280="","",Receipts!$D280)</f>
        <v/>
      </c>
      <c r="B277" s="18" t="str">
        <f>IF(Receipts!$C280="","",Receipts!$C280)</f>
        <v/>
      </c>
      <c r="C277" s="18" t="str">
        <f>IF($A277="","",IFERROR(INDEX(Items!$B$5:$B$597,MATCH($A277,Items!$A$5:$A$597,0)),""))</f>
        <v/>
      </c>
      <c r="D277" s="23" t="str">
        <f>IF($A277="","",N(Receipts!$G280))</f>
        <v/>
      </c>
      <c r="E277" s="20" t="str">
        <f>IF($A277="","",IFERROR(INDEX(Items!$D$5:$D$597,MATCH($A277,Items!$A$5:$A$597,0)),0))</f>
        <v/>
      </c>
      <c r="F277" s="21" t="str">
        <f t="shared" si="20"/>
        <v/>
      </c>
      <c r="G277" s="25" t="str">
        <f>IF(Receipts!$I280="","",Receipts!$I280)</f>
        <v/>
      </c>
      <c r="H277" s="25" t="str">
        <f>IF(Receipts!$H280="","",Receipts!$H280)</f>
        <v/>
      </c>
      <c r="I277" s="26" t="str">
        <f t="shared" ca="1" si="21"/>
        <v/>
      </c>
      <c r="J277" s="26" t="str">
        <f>IF($A277="","",COUNTIFS(tblReceipts[Item Name],$A277,tblReceipts[Expiry Date],"&lt;"&amp;$H277)+COUNTIFS(tblReceipts[Item Name],$A277,tblReceipts[Expiry Date],$H277,tblReceipts[Lot Number],"&lt;="&amp;Receipts!$C280))</f>
        <v/>
      </c>
      <c r="K277" s="26" t="str">
        <f>IF($A277="","",SUMIFS(tblReceipts[Qty Received],tblReceipts[Item Name],$A277,tblReceipts[Expiry Date],"&lt;"&amp;$H277)+SUMIFS(tblReceipts[Qty Received],tblReceipts[Item Name],$A277,tblReceipts[Expiry Date],$H277,tblReceipts[Lot Number],"&lt;"&amp;Receipts!$C280))</f>
        <v/>
      </c>
      <c r="L277" s="26" t="str">
        <f>IF($A277="","",MIN($D277,MAX(0,SUMIFS(tblIssues[Qty Issued],tblIssues[Item Name],$A277)-$K277)))</f>
        <v/>
      </c>
      <c r="M277" s="26" t="str">
        <f>IF($A277="","",SUMIFS(tblIssues[Qty Issued],tblIssues[Lot Number],$B277))</f>
        <v/>
      </c>
      <c r="N277" s="26" t="str">
        <f t="shared" si="22"/>
        <v/>
      </c>
      <c r="O277" s="26" t="str">
        <f t="shared" si="23"/>
        <v/>
      </c>
      <c r="P277" s="21" t="str">
        <f t="shared" si="24"/>
        <v/>
      </c>
      <c r="Q277" s="52" t="str">
        <f>IF($A277="","",IF($O277&lt;=0,"Depleted",IF($I277&lt;0,"EXPIRED",IF($I277&lt;=Settings!$C$6,"CRITICAL",IF($I277&lt;=Settings!$C$5,"Expiring","In date")))))</f>
        <v/>
      </c>
    </row>
    <row r="278" spans="1:17" x14ac:dyDescent="0.35">
      <c r="A278" s="90" t="str">
        <f>IF(Receipts!$D281="","",Receipts!$D281)</f>
        <v/>
      </c>
      <c r="B278" s="18" t="str">
        <f>IF(Receipts!$C281="","",Receipts!$C281)</f>
        <v/>
      </c>
      <c r="C278" s="18" t="str">
        <f>IF($A278="","",IFERROR(INDEX(Items!$B$5:$B$597,MATCH($A278,Items!$A$5:$A$597,0)),""))</f>
        <v/>
      </c>
      <c r="D278" s="23" t="str">
        <f>IF($A278="","",N(Receipts!$G281))</f>
        <v/>
      </c>
      <c r="E278" s="20" t="str">
        <f>IF($A278="","",IFERROR(INDEX(Items!$D$5:$D$597,MATCH($A278,Items!$A$5:$A$597,0)),0))</f>
        <v/>
      </c>
      <c r="F278" s="21" t="str">
        <f t="shared" si="20"/>
        <v/>
      </c>
      <c r="G278" s="25" t="str">
        <f>IF(Receipts!$I281="","",Receipts!$I281)</f>
        <v/>
      </c>
      <c r="H278" s="25" t="str">
        <f>IF(Receipts!$H281="","",Receipts!$H281)</f>
        <v/>
      </c>
      <c r="I278" s="26" t="str">
        <f t="shared" ca="1" si="21"/>
        <v/>
      </c>
      <c r="J278" s="26" t="str">
        <f>IF($A278="","",COUNTIFS(tblReceipts[Item Name],$A278,tblReceipts[Expiry Date],"&lt;"&amp;$H278)+COUNTIFS(tblReceipts[Item Name],$A278,tblReceipts[Expiry Date],$H278,tblReceipts[Lot Number],"&lt;="&amp;Receipts!$C281))</f>
        <v/>
      </c>
      <c r="K278" s="26" t="str">
        <f>IF($A278="","",SUMIFS(tblReceipts[Qty Received],tblReceipts[Item Name],$A278,tblReceipts[Expiry Date],"&lt;"&amp;$H278)+SUMIFS(tblReceipts[Qty Received],tblReceipts[Item Name],$A278,tblReceipts[Expiry Date],$H278,tblReceipts[Lot Number],"&lt;"&amp;Receipts!$C281))</f>
        <v/>
      </c>
      <c r="L278" s="26" t="str">
        <f>IF($A278="","",MIN($D278,MAX(0,SUMIFS(tblIssues[Qty Issued],tblIssues[Item Name],$A278)-$K278)))</f>
        <v/>
      </c>
      <c r="M278" s="26" t="str">
        <f>IF($A278="","",SUMIFS(tblIssues[Qty Issued],tblIssues[Lot Number],$B278))</f>
        <v/>
      </c>
      <c r="N278" s="26" t="str">
        <f t="shared" si="22"/>
        <v/>
      </c>
      <c r="O278" s="26" t="str">
        <f t="shared" si="23"/>
        <v/>
      </c>
      <c r="P278" s="21" t="str">
        <f t="shared" si="24"/>
        <v/>
      </c>
      <c r="Q278" s="52" t="str">
        <f>IF($A278="","",IF($O278&lt;=0,"Depleted",IF($I278&lt;0,"EXPIRED",IF($I278&lt;=Settings!$C$6,"CRITICAL",IF($I278&lt;=Settings!$C$5,"Expiring","In date")))))</f>
        <v/>
      </c>
    </row>
    <row r="279" spans="1:17" x14ac:dyDescent="0.35">
      <c r="A279" s="90" t="str">
        <f>IF(Receipts!$D282="","",Receipts!$D282)</f>
        <v/>
      </c>
      <c r="B279" s="18" t="str">
        <f>IF(Receipts!$C282="","",Receipts!$C282)</f>
        <v/>
      </c>
      <c r="C279" s="18" t="str">
        <f>IF($A279="","",IFERROR(INDEX(Items!$B$5:$B$597,MATCH($A279,Items!$A$5:$A$597,0)),""))</f>
        <v/>
      </c>
      <c r="D279" s="23" t="str">
        <f>IF($A279="","",N(Receipts!$G282))</f>
        <v/>
      </c>
      <c r="E279" s="20" t="str">
        <f>IF($A279="","",IFERROR(INDEX(Items!$D$5:$D$597,MATCH($A279,Items!$A$5:$A$597,0)),0))</f>
        <v/>
      </c>
      <c r="F279" s="21" t="str">
        <f t="shared" si="20"/>
        <v/>
      </c>
      <c r="G279" s="25" t="str">
        <f>IF(Receipts!$I282="","",Receipts!$I282)</f>
        <v/>
      </c>
      <c r="H279" s="25" t="str">
        <f>IF(Receipts!$H282="","",Receipts!$H282)</f>
        <v/>
      </c>
      <c r="I279" s="26" t="str">
        <f t="shared" ca="1" si="21"/>
        <v/>
      </c>
      <c r="J279" s="26" t="str">
        <f>IF($A279="","",COUNTIFS(tblReceipts[Item Name],$A279,tblReceipts[Expiry Date],"&lt;"&amp;$H279)+COUNTIFS(tblReceipts[Item Name],$A279,tblReceipts[Expiry Date],$H279,tblReceipts[Lot Number],"&lt;="&amp;Receipts!$C282))</f>
        <v/>
      </c>
      <c r="K279" s="26" t="str">
        <f>IF($A279="","",SUMIFS(tblReceipts[Qty Received],tblReceipts[Item Name],$A279,tblReceipts[Expiry Date],"&lt;"&amp;$H279)+SUMIFS(tblReceipts[Qty Received],tblReceipts[Item Name],$A279,tblReceipts[Expiry Date],$H279,tblReceipts[Lot Number],"&lt;"&amp;Receipts!$C282))</f>
        <v/>
      </c>
      <c r="L279" s="26" t="str">
        <f>IF($A279="","",MIN($D279,MAX(0,SUMIFS(tblIssues[Qty Issued],tblIssues[Item Name],$A279)-$K279)))</f>
        <v/>
      </c>
      <c r="M279" s="26" t="str">
        <f>IF($A279="","",SUMIFS(tblIssues[Qty Issued],tblIssues[Lot Number],$B279))</f>
        <v/>
      </c>
      <c r="N279" s="26" t="str">
        <f t="shared" si="22"/>
        <v/>
      </c>
      <c r="O279" s="26" t="str">
        <f t="shared" si="23"/>
        <v/>
      </c>
      <c r="P279" s="21" t="str">
        <f t="shared" si="24"/>
        <v/>
      </c>
      <c r="Q279" s="52" t="str">
        <f>IF($A279="","",IF($O279&lt;=0,"Depleted",IF($I279&lt;0,"EXPIRED",IF($I279&lt;=Settings!$C$6,"CRITICAL",IF($I279&lt;=Settings!$C$5,"Expiring","In date")))))</f>
        <v/>
      </c>
    </row>
    <row r="280" spans="1:17" x14ac:dyDescent="0.35">
      <c r="A280" s="90" t="str">
        <f>IF(Receipts!$D283="","",Receipts!$D283)</f>
        <v/>
      </c>
      <c r="B280" s="18" t="str">
        <f>IF(Receipts!$C283="","",Receipts!$C283)</f>
        <v/>
      </c>
      <c r="C280" s="18" t="str">
        <f>IF($A280="","",IFERROR(INDEX(Items!$B$5:$B$597,MATCH($A280,Items!$A$5:$A$597,0)),""))</f>
        <v/>
      </c>
      <c r="D280" s="23" t="str">
        <f>IF($A280="","",N(Receipts!$G283))</f>
        <v/>
      </c>
      <c r="E280" s="20" t="str">
        <f>IF($A280="","",IFERROR(INDEX(Items!$D$5:$D$597,MATCH($A280,Items!$A$5:$A$597,0)),0))</f>
        <v/>
      </c>
      <c r="F280" s="21" t="str">
        <f t="shared" si="20"/>
        <v/>
      </c>
      <c r="G280" s="25" t="str">
        <f>IF(Receipts!$I283="","",Receipts!$I283)</f>
        <v/>
      </c>
      <c r="H280" s="25" t="str">
        <f>IF(Receipts!$H283="","",Receipts!$H283)</f>
        <v/>
      </c>
      <c r="I280" s="26" t="str">
        <f t="shared" ca="1" si="21"/>
        <v/>
      </c>
      <c r="J280" s="26" t="str">
        <f>IF($A280="","",COUNTIFS(tblReceipts[Item Name],$A280,tblReceipts[Expiry Date],"&lt;"&amp;$H280)+COUNTIFS(tblReceipts[Item Name],$A280,tblReceipts[Expiry Date],$H280,tblReceipts[Lot Number],"&lt;="&amp;Receipts!$C283))</f>
        <v/>
      </c>
      <c r="K280" s="26" t="str">
        <f>IF($A280="","",SUMIFS(tblReceipts[Qty Received],tblReceipts[Item Name],$A280,tblReceipts[Expiry Date],"&lt;"&amp;$H280)+SUMIFS(tblReceipts[Qty Received],tblReceipts[Item Name],$A280,tblReceipts[Expiry Date],$H280,tblReceipts[Lot Number],"&lt;"&amp;Receipts!$C283))</f>
        <v/>
      </c>
      <c r="L280" s="26" t="str">
        <f>IF($A280="","",MIN($D280,MAX(0,SUMIFS(tblIssues[Qty Issued],tblIssues[Item Name],$A280)-$K280)))</f>
        <v/>
      </c>
      <c r="M280" s="26" t="str">
        <f>IF($A280="","",SUMIFS(tblIssues[Qty Issued],tblIssues[Lot Number],$B280))</f>
        <v/>
      </c>
      <c r="N280" s="26" t="str">
        <f t="shared" si="22"/>
        <v/>
      </c>
      <c r="O280" s="26" t="str">
        <f t="shared" si="23"/>
        <v/>
      </c>
      <c r="P280" s="21" t="str">
        <f t="shared" si="24"/>
        <v/>
      </c>
      <c r="Q280" s="52" t="str">
        <f>IF($A280="","",IF($O280&lt;=0,"Depleted",IF($I280&lt;0,"EXPIRED",IF($I280&lt;=Settings!$C$6,"CRITICAL",IF($I280&lt;=Settings!$C$5,"Expiring","In date")))))</f>
        <v/>
      </c>
    </row>
    <row r="281" spans="1:17" x14ac:dyDescent="0.35">
      <c r="A281" s="90" t="str">
        <f>IF(Receipts!$D284="","",Receipts!$D284)</f>
        <v/>
      </c>
      <c r="B281" s="18" t="str">
        <f>IF(Receipts!$C284="","",Receipts!$C284)</f>
        <v/>
      </c>
      <c r="C281" s="18" t="str">
        <f>IF($A281="","",IFERROR(INDEX(Items!$B$5:$B$597,MATCH($A281,Items!$A$5:$A$597,0)),""))</f>
        <v/>
      </c>
      <c r="D281" s="23" t="str">
        <f>IF($A281="","",N(Receipts!$G284))</f>
        <v/>
      </c>
      <c r="E281" s="20" t="str">
        <f>IF($A281="","",IFERROR(INDEX(Items!$D$5:$D$597,MATCH($A281,Items!$A$5:$A$597,0)),0))</f>
        <v/>
      </c>
      <c r="F281" s="21" t="str">
        <f t="shared" si="20"/>
        <v/>
      </c>
      <c r="G281" s="25" t="str">
        <f>IF(Receipts!$I284="","",Receipts!$I284)</f>
        <v/>
      </c>
      <c r="H281" s="25" t="str">
        <f>IF(Receipts!$H284="","",Receipts!$H284)</f>
        <v/>
      </c>
      <c r="I281" s="26" t="str">
        <f t="shared" ca="1" si="21"/>
        <v/>
      </c>
      <c r="J281" s="26" t="str">
        <f>IF($A281="","",COUNTIFS(tblReceipts[Item Name],$A281,tblReceipts[Expiry Date],"&lt;"&amp;$H281)+COUNTIFS(tblReceipts[Item Name],$A281,tblReceipts[Expiry Date],$H281,tblReceipts[Lot Number],"&lt;="&amp;Receipts!$C284))</f>
        <v/>
      </c>
      <c r="K281" s="26" t="str">
        <f>IF($A281="","",SUMIFS(tblReceipts[Qty Received],tblReceipts[Item Name],$A281,tblReceipts[Expiry Date],"&lt;"&amp;$H281)+SUMIFS(tblReceipts[Qty Received],tblReceipts[Item Name],$A281,tblReceipts[Expiry Date],$H281,tblReceipts[Lot Number],"&lt;"&amp;Receipts!$C284))</f>
        <v/>
      </c>
      <c r="L281" s="26" t="str">
        <f>IF($A281="","",MIN($D281,MAX(0,SUMIFS(tblIssues[Qty Issued],tblIssues[Item Name],$A281)-$K281)))</f>
        <v/>
      </c>
      <c r="M281" s="26" t="str">
        <f>IF($A281="","",SUMIFS(tblIssues[Qty Issued],tblIssues[Lot Number],$B281))</f>
        <v/>
      </c>
      <c r="N281" s="26" t="str">
        <f t="shared" si="22"/>
        <v/>
      </c>
      <c r="O281" s="26" t="str">
        <f t="shared" si="23"/>
        <v/>
      </c>
      <c r="P281" s="21" t="str">
        <f t="shared" si="24"/>
        <v/>
      </c>
      <c r="Q281" s="52" t="str">
        <f>IF($A281="","",IF($O281&lt;=0,"Depleted",IF($I281&lt;0,"EXPIRED",IF($I281&lt;=Settings!$C$6,"CRITICAL",IF($I281&lt;=Settings!$C$5,"Expiring","In date")))))</f>
        <v/>
      </c>
    </row>
    <row r="282" spans="1:17" x14ac:dyDescent="0.35">
      <c r="A282" s="90" t="str">
        <f>IF(Receipts!$D285="","",Receipts!$D285)</f>
        <v/>
      </c>
      <c r="B282" s="18" t="str">
        <f>IF(Receipts!$C285="","",Receipts!$C285)</f>
        <v/>
      </c>
      <c r="C282" s="18" t="str">
        <f>IF($A282="","",IFERROR(INDEX(Items!$B$5:$B$597,MATCH($A282,Items!$A$5:$A$597,0)),""))</f>
        <v/>
      </c>
      <c r="D282" s="23" t="str">
        <f>IF($A282="","",N(Receipts!$G285))</f>
        <v/>
      </c>
      <c r="E282" s="20" t="str">
        <f>IF($A282="","",IFERROR(INDEX(Items!$D$5:$D$597,MATCH($A282,Items!$A$5:$A$597,0)),0))</f>
        <v/>
      </c>
      <c r="F282" s="21" t="str">
        <f t="shared" si="20"/>
        <v/>
      </c>
      <c r="G282" s="25" t="str">
        <f>IF(Receipts!$I285="","",Receipts!$I285)</f>
        <v/>
      </c>
      <c r="H282" s="25" t="str">
        <f>IF(Receipts!$H285="","",Receipts!$H285)</f>
        <v/>
      </c>
      <c r="I282" s="26" t="str">
        <f t="shared" ca="1" si="21"/>
        <v/>
      </c>
      <c r="J282" s="26" t="str">
        <f>IF($A282="","",COUNTIFS(tblReceipts[Item Name],$A282,tblReceipts[Expiry Date],"&lt;"&amp;$H282)+COUNTIFS(tblReceipts[Item Name],$A282,tblReceipts[Expiry Date],$H282,tblReceipts[Lot Number],"&lt;="&amp;Receipts!$C285))</f>
        <v/>
      </c>
      <c r="K282" s="26" t="str">
        <f>IF($A282="","",SUMIFS(tblReceipts[Qty Received],tblReceipts[Item Name],$A282,tblReceipts[Expiry Date],"&lt;"&amp;$H282)+SUMIFS(tblReceipts[Qty Received],tblReceipts[Item Name],$A282,tblReceipts[Expiry Date],$H282,tblReceipts[Lot Number],"&lt;"&amp;Receipts!$C285))</f>
        <v/>
      </c>
      <c r="L282" s="26" t="str">
        <f>IF($A282="","",MIN($D282,MAX(0,SUMIFS(tblIssues[Qty Issued],tblIssues[Item Name],$A282)-$K282)))</f>
        <v/>
      </c>
      <c r="M282" s="26" t="str">
        <f>IF($A282="","",SUMIFS(tblIssues[Qty Issued],tblIssues[Lot Number],$B282))</f>
        <v/>
      </c>
      <c r="N282" s="26" t="str">
        <f t="shared" si="22"/>
        <v/>
      </c>
      <c r="O282" s="26" t="str">
        <f t="shared" si="23"/>
        <v/>
      </c>
      <c r="P282" s="21" t="str">
        <f t="shared" si="24"/>
        <v/>
      </c>
      <c r="Q282" s="52" t="str">
        <f>IF($A282="","",IF($O282&lt;=0,"Depleted",IF($I282&lt;0,"EXPIRED",IF($I282&lt;=Settings!$C$6,"CRITICAL",IF($I282&lt;=Settings!$C$5,"Expiring","In date")))))</f>
        <v/>
      </c>
    </row>
    <row r="283" spans="1:17" x14ac:dyDescent="0.35">
      <c r="A283" s="90" t="str">
        <f>IF(Receipts!$D286="","",Receipts!$D286)</f>
        <v/>
      </c>
      <c r="B283" s="18" t="str">
        <f>IF(Receipts!$C286="","",Receipts!$C286)</f>
        <v/>
      </c>
      <c r="C283" s="18" t="str">
        <f>IF($A283="","",IFERROR(INDEX(Items!$B$5:$B$597,MATCH($A283,Items!$A$5:$A$597,0)),""))</f>
        <v/>
      </c>
      <c r="D283" s="23" t="str">
        <f>IF($A283="","",N(Receipts!$G286))</f>
        <v/>
      </c>
      <c r="E283" s="20" t="str">
        <f>IF($A283="","",IFERROR(INDEX(Items!$D$5:$D$597,MATCH($A283,Items!$A$5:$A$597,0)),0))</f>
        <v/>
      </c>
      <c r="F283" s="21" t="str">
        <f t="shared" si="20"/>
        <v/>
      </c>
      <c r="G283" s="25" t="str">
        <f>IF(Receipts!$I286="","",Receipts!$I286)</f>
        <v/>
      </c>
      <c r="H283" s="25" t="str">
        <f>IF(Receipts!$H286="","",Receipts!$H286)</f>
        <v/>
      </c>
      <c r="I283" s="26" t="str">
        <f t="shared" ca="1" si="21"/>
        <v/>
      </c>
      <c r="J283" s="26" t="str">
        <f>IF($A283="","",COUNTIFS(tblReceipts[Item Name],$A283,tblReceipts[Expiry Date],"&lt;"&amp;$H283)+COUNTIFS(tblReceipts[Item Name],$A283,tblReceipts[Expiry Date],$H283,tblReceipts[Lot Number],"&lt;="&amp;Receipts!$C286))</f>
        <v/>
      </c>
      <c r="K283" s="26" t="str">
        <f>IF($A283="","",SUMIFS(tblReceipts[Qty Received],tblReceipts[Item Name],$A283,tblReceipts[Expiry Date],"&lt;"&amp;$H283)+SUMIFS(tblReceipts[Qty Received],tblReceipts[Item Name],$A283,tblReceipts[Expiry Date],$H283,tblReceipts[Lot Number],"&lt;"&amp;Receipts!$C286))</f>
        <v/>
      </c>
      <c r="L283" s="26" t="str">
        <f>IF($A283="","",MIN($D283,MAX(0,SUMIFS(tblIssues[Qty Issued],tblIssues[Item Name],$A283)-$K283)))</f>
        <v/>
      </c>
      <c r="M283" s="26" t="str">
        <f>IF($A283="","",SUMIFS(tblIssues[Qty Issued],tblIssues[Lot Number],$B283))</f>
        <v/>
      </c>
      <c r="N283" s="26" t="str">
        <f t="shared" si="22"/>
        <v/>
      </c>
      <c r="O283" s="26" t="str">
        <f t="shared" si="23"/>
        <v/>
      </c>
      <c r="P283" s="21" t="str">
        <f t="shared" si="24"/>
        <v/>
      </c>
      <c r="Q283" s="52" t="str">
        <f>IF($A283="","",IF($O283&lt;=0,"Depleted",IF($I283&lt;0,"EXPIRED",IF($I283&lt;=Settings!$C$6,"CRITICAL",IF($I283&lt;=Settings!$C$5,"Expiring","In date")))))</f>
        <v/>
      </c>
    </row>
    <row r="284" spans="1:17" x14ac:dyDescent="0.35">
      <c r="A284" s="90" t="str">
        <f>IF(Receipts!$D287="","",Receipts!$D287)</f>
        <v/>
      </c>
      <c r="B284" s="18" t="str">
        <f>IF(Receipts!$C287="","",Receipts!$C287)</f>
        <v/>
      </c>
      <c r="C284" s="18" t="str">
        <f>IF($A284="","",IFERROR(INDEX(Items!$B$5:$B$597,MATCH($A284,Items!$A$5:$A$597,0)),""))</f>
        <v/>
      </c>
      <c r="D284" s="23" t="str">
        <f>IF($A284="","",N(Receipts!$G287))</f>
        <v/>
      </c>
      <c r="E284" s="20" t="str">
        <f>IF($A284="","",IFERROR(INDEX(Items!$D$5:$D$597,MATCH($A284,Items!$A$5:$A$597,0)),0))</f>
        <v/>
      </c>
      <c r="F284" s="21" t="str">
        <f t="shared" si="20"/>
        <v/>
      </c>
      <c r="G284" s="25" t="str">
        <f>IF(Receipts!$I287="","",Receipts!$I287)</f>
        <v/>
      </c>
      <c r="H284" s="25" t="str">
        <f>IF(Receipts!$H287="","",Receipts!$H287)</f>
        <v/>
      </c>
      <c r="I284" s="26" t="str">
        <f t="shared" ca="1" si="21"/>
        <v/>
      </c>
      <c r="J284" s="26" t="str">
        <f>IF($A284="","",COUNTIFS(tblReceipts[Item Name],$A284,tblReceipts[Expiry Date],"&lt;"&amp;$H284)+COUNTIFS(tblReceipts[Item Name],$A284,tblReceipts[Expiry Date],$H284,tblReceipts[Lot Number],"&lt;="&amp;Receipts!$C287))</f>
        <v/>
      </c>
      <c r="K284" s="26" t="str">
        <f>IF($A284="","",SUMIFS(tblReceipts[Qty Received],tblReceipts[Item Name],$A284,tblReceipts[Expiry Date],"&lt;"&amp;$H284)+SUMIFS(tblReceipts[Qty Received],tblReceipts[Item Name],$A284,tblReceipts[Expiry Date],$H284,tblReceipts[Lot Number],"&lt;"&amp;Receipts!$C287))</f>
        <v/>
      </c>
      <c r="L284" s="26" t="str">
        <f>IF($A284="","",MIN($D284,MAX(0,SUMIFS(tblIssues[Qty Issued],tblIssues[Item Name],$A284)-$K284)))</f>
        <v/>
      </c>
      <c r="M284" s="26" t="str">
        <f>IF($A284="","",SUMIFS(tblIssues[Qty Issued],tblIssues[Lot Number],$B284))</f>
        <v/>
      </c>
      <c r="N284" s="26" t="str">
        <f t="shared" si="22"/>
        <v/>
      </c>
      <c r="O284" s="26" t="str">
        <f t="shared" si="23"/>
        <v/>
      </c>
      <c r="P284" s="21" t="str">
        <f t="shared" si="24"/>
        <v/>
      </c>
      <c r="Q284" s="52" t="str">
        <f>IF($A284="","",IF($O284&lt;=0,"Depleted",IF($I284&lt;0,"EXPIRED",IF($I284&lt;=Settings!$C$6,"CRITICAL",IF($I284&lt;=Settings!$C$5,"Expiring","In date")))))</f>
        <v/>
      </c>
    </row>
    <row r="285" spans="1:17" x14ac:dyDescent="0.35">
      <c r="A285" s="90" t="str">
        <f>IF(Receipts!$D288="","",Receipts!$D288)</f>
        <v/>
      </c>
      <c r="B285" s="18" t="str">
        <f>IF(Receipts!$C288="","",Receipts!$C288)</f>
        <v/>
      </c>
      <c r="C285" s="18" t="str">
        <f>IF($A285="","",IFERROR(INDEX(Items!$B$5:$B$597,MATCH($A285,Items!$A$5:$A$597,0)),""))</f>
        <v/>
      </c>
      <c r="D285" s="23" t="str">
        <f>IF($A285="","",N(Receipts!$G288))</f>
        <v/>
      </c>
      <c r="E285" s="20" t="str">
        <f>IF($A285="","",IFERROR(INDEX(Items!$D$5:$D$597,MATCH($A285,Items!$A$5:$A$597,0)),0))</f>
        <v/>
      </c>
      <c r="F285" s="21" t="str">
        <f t="shared" si="20"/>
        <v/>
      </c>
      <c r="G285" s="25" t="str">
        <f>IF(Receipts!$I288="","",Receipts!$I288)</f>
        <v/>
      </c>
      <c r="H285" s="25" t="str">
        <f>IF(Receipts!$H288="","",Receipts!$H288)</f>
        <v/>
      </c>
      <c r="I285" s="26" t="str">
        <f t="shared" ca="1" si="21"/>
        <v/>
      </c>
      <c r="J285" s="26" t="str">
        <f>IF($A285="","",COUNTIFS(tblReceipts[Item Name],$A285,tblReceipts[Expiry Date],"&lt;"&amp;$H285)+COUNTIFS(tblReceipts[Item Name],$A285,tblReceipts[Expiry Date],$H285,tblReceipts[Lot Number],"&lt;="&amp;Receipts!$C288))</f>
        <v/>
      </c>
      <c r="K285" s="26" t="str">
        <f>IF($A285="","",SUMIFS(tblReceipts[Qty Received],tblReceipts[Item Name],$A285,tblReceipts[Expiry Date],"&lt;"&amp;$H285)+SUMIFS(tblReceipts[Qty Received],tblReceipts[Item Name],$A285,tblReceipts[Expiry Date],$H285,tblReceipts[Lot Number],"&lt;"&amp;Receipts!$C288))</f>
        <v/>
      </c>
      <c r="L285" s="26" t="str">
        <f>IF($A285="","",MIN($D285,MAX(0,SUMIFS(tblIssues[Qty Issued],tblIssues[Item Name],$A285)-$K285)))</f>
        <v/>
      </c>
      <c r="M285" s="26" t="str">
        <f>IF($A285="","",SUMIFS(tblIssues[Qty Issued],tblIssues[Lot Number],$B285))</f>
        <v/>
      </c>
      <c r="N285" s="26" t="str">
        <f t="shared" si="22"/>
        <v/>
      </c>
      <c r="O285" s="26" t="str">
        <f t="shared" si="23"/>
        <v/>
      </c>
      <c r="P285" s="21" t="str">
        <f t="shared" si="24"/>
        <v/>
      </c>
      <c r="Q285" s="52" t="str">
        <f>IF($A285="","",IF($O285&lt;=0,"Depleted",IF($I285&lt;0,"EXPIRED",IF($I285&lt;=Settings!$C$6,"CRITICAL",IF($I285&lt;=Settings!$C$5,"Expiring","In date")))))</f>
        <v/>
      </c>
    </row>
    <row r="286" spans="1:17" x14ac:dyDescent="0.35">
      <c r="A286" s="90" t="str">
        <f>IF(Receipts!$D289="","",Receipts!$D289)</f>
        <v/>
      </c>
      <c r="B286" s="18" t="str">
        <f>IF(Receipts!$C289="","",Receipts!$C289)</f>
        <v/>
      </c>
      <c r="C286" s="18" t="str">
        <f>IF($A286="","",IFERROR(INDEX(Items!$B$5:$B$597,MATCH($A286,Items!$A$5:$A$597,0)),""))</f>
        <v/>
      </c>
      <c r="D286" s="23" t="str">
        <f>IF($A286="","",N(Receipts!$G289))</f>
        <v/>
      </c>
      <c r="E286" s="20" t="str">
        <f>IF($A286="","",IFERROR(INDEX(Items!$D$5:$D$597,MATCH($A286,Items!$A$5:$A$597,0)),0))</f>
        <v/>
      </c>
      <c r="F286" s="21" t="str">
        <f t="shared" si="20"/>
        <v/>
      </c>
      <c r="G286" s="25" t="str">
        <f>IF(Receipts!$I289="","",Receipts!$I289)</f>
        <v/>
      </c>
      <c r="H286" s="25" t="str">
        <f>IF(Receipts!$H289="","",Receipts!$H289)</f>
        <v/>
      </c>
      <c r="I286" s="26" t="str">
        <f t="shared" ca="1" si="21"/>
        <v/>
      </c>
      <c r="J286" s="26" t="str">
        <f>IF($A286="","",COUNTIFS(tblReceipts[Item Name],$A286,tblReceipts[Expiry Date],"&lt;"&amp;$H286)+COUNTIFS(tblReceipts[Item Name],$A286,tblReceipts[Expiry Date],$H286,tblReceipts[Lot Number],"&lt;="&amp;Receipts!$C289))</f>
        <v/>
      </c>
      <c r="K286" s="26" t="str">
        <f>IF($A286="","",SUMIFS(tblReceipts[Qty Received],tblReceipts[Item Name],$A286,tblReceipts[Expiry Date],"&lt;"&amp;$H286)+SUMIFS(tblReceipts[Qty Received],tblReceipts[Item Name],$A286,tblReceipts[Expiry Date],$H286,tblReceipts[Lot Number],"&lt;"&amp;Receipts!$C289))</f>
        <v/>
      </c>
      <c r="L286" s="26" t="str">
        <f>IF($A286="","",MIN($D286,MAX(0,SUMIFS(tblIssues[Qty Issued],tblIssues[Item Name],$A286)-$K286)))</f>
        <v/>
      </c>
      <c r="M286" s="26" t="str">
        <f>IF($A286="","",SUMIFS(tblIssues[Qty Issued],tblIssues[Lot Number],$B286))</f>
        <v/>
      </c>
      <c r="N286" s="26" t="str">
        <f t="shared" si="22"/>
        <v/>
      </c>
      <c r="O286" s="26" t="str">
        <f t="shared" si="23"/>
        <v/>
      </c>
      <c r="P286" s="21" t="str">
        <f t="shared" si="24"/>
        <v/>
      </c>
      <c r="Q286" s="52" t="str">
        <f>IF($A286="","",IF($O286&lt;=0,"Depleted",IF($I286&lt;0,"EXPIRED",IF($I286&lt;=Settings!$C$6,"CRITICAL",IF($I286&lt;=Settings!$C$5,"Expiring","In date")))))</f>
        <v/>
      </c>
    </row>
    <row r="287" spans="1:17" x14ac:dyDescent="0.35">
      <c r="A287" s="90" t="str">
        <f>IF(Receipts!$D290="","",Receipts!$D290)</f>
        <v/>
      </c>
      <c r="B287" s="18" t="str">
        <f>IF(Receipts!$C290="","",Receipts!$C290)</f>
        <v/>
      </c>
      <c r="C287" s="18" t="str">
        <f>IF($A287="","",IFERROR(INDEX(Items!$B$5:$B$597,MATCH($A287,Items!$A$5:$A$597,0)),""))</f>
        <v/>
      </c>
      <c r="D287" s="23" t="str">
        <f>IF($A287="","",N(Receipts!$G290))</f>
        <v/>
      </c>
      <c r="E287" s="20" t="str">
        <f>IF($A287="","",IFERROR(INDEX(Items!$D$5:$D$597,MATCH($A287,Items!$A$5:$A$597,0)),0))</f>
        <v/>
      </c>
      <c r="F287" s="21" t="str">
        <f t="shared" si="20"/>
        <v/>
      </c>
      <c r="G287" s="25" t="str">
        <f>IF(Receipts!$I290="","",Receipts!$I290)</f>
        <v/>
      </c>
      <c r="H287" s="25" t="str">
        <f>IF(Receipts!$H290="","",Receipts!$H290)</f>
        <v/>
      </c>
      <c r="I287" s="26" t="str">
        <f t="shared" ca="1" si="21"/>
        <v/>
      </c>
      <c r="J287" s="26" t="str">
        <f>IF($A287="","",COUNTIFS(tblReceipts[Item Name],$A287,tblReceipts[Expiry Date],"&lt;"&amp;$H287)+COUNTIFS(tblReceipts[Item Name],$A287,tblReceipts[Expiry Date],$H287,tblReceipts[Lot Number],"&lt;="&amp;Receipts!$C290))</f>
        <v/>
      </c>
      <c r="K287" s="26" t="str">
        <f>IF($A287="","",SUMIFS(tblReceipts[Qty Received],tblReceipts[Item Name],$A287,tblReceipts[Expiry Date],"&lt;"&amp;$H287)+SUMIFS(tblReceipts[Qty Received],tblReceipts[Item Name],$A287,tblReceipts[Expiry Date],$H287,tblReceipts[Lot Number],"&lt;"&amp;Receipts!$C290))</f>
        <v/>
      </c>
      <c r="L287" s="26" t="str">
        <f>IF($A287="","",MIN($D287,MAX(0,SUMIFS(tblIssues[Qty Issued],tblIssues[Item Name],$A287)-$K287)))</f>
        <v/>
      </c>
      <c r="M287" s="26" t="str">
        <f>IF($A287="","",SUMIFS(tblIssues[Qty Issued],tblIssues[Lot Number],$B287))</f>
        <v/>
      </c>
      <c r="N287" s="26" t="str">
        <f t="shared" si="22"/>
        <v/>
      </c>
      <c r="O287" s="26" t="str">
        <f t="shared" si="23"/>
        <v/>
      </c>
      <c r="P287" s="21" t="str">
        <f t="shared" si="24"/>
        <v/>
      </c>
      <c r="Q287" s="52" t="str">
        <f>IF($A287="","",IF($O287&lt;=0,"Depleted",IF($I287&lt;0,"EXPIRED",IF($I287&lt;=Settings!$C$6,"CRITICAL",IF($I287&lt;=Settings!$C$5,"Expiring","In date")))))</f>
        <v/>
      </c>
    </row>
    <row r="288" spans="1:17" x14ac:dyDescent="0.35">
      <c r="A288" s="90" t="str">
        <f>IF(Receipts!$D291="","",Receipts!$D291)</f>
        <v/>
      </c>
      <c r="B288" s="18" t="str">
        <f>IF(Receipts!$C291="","",Receipts!$C291)</f>
        <v/>
      </c>
      <c r="C288" s="18" t="str">
        <f>IF($A288="","",IFERROR(INDEX(Items!$B$5:$B$597,MATCH($A288,Items!$A$5:$A$597,0)),""))</f>
        <v/>
      </c>
      <c r="D288" s="23" t="str">
        <f>IF($A288="","",N(Receipts!$G291))</f>
        <v/>
      </c>
      <c r="E288" s="20" t="str">
        <f>IF($A288="","",IFERROR(INDEX(Items!$D$5:$D$597,MATCH($A288,Items!$A$5:$A$597,0)),0))</f>
        <v/>
      </c>
      <c r="F288" s="21" t="str">
        <f t="shared" si="20"/>
        <v/>
      </c>
      <c r="G288" s="25" t="str">
        <f>IF(Receipts!$I291="","",Receipts!$I291)</f>
        <v/>
      </c>
      <c r="H288" s="25" t="str">
        <f>IF(Receipts!$H291="","",Receipts!$H291)</f>
        <v/>
      </c>
      <c r="I288" s="26" t="str">
        <f t="shared" ca="1" si="21"/>
        <v/>
      </c>
      <c r="J288" s="26" t="str">
        <f>IF($A288="","",COUNTIFS(tblReceipts[Item Name],$A288,tblReceipts[Expiry Date],"&lt;"&amp;$H288)+COUNTIFS(tblReceipts[Item Name],$A288,tblReceipts[Expiry Date],$H288,tblReceipts[Lot Number],"&lt;="&amp;Receipts!$C291))</f>
        <v/>
      </c>
      <c r="K288" s="26" t="str">
        <f>IF($A288="","",SUMIFS(tblReceipts[Qty Received],tblReceipts[Item Name],$A288,tblReceipts[Expiry Date],"&lt;"&amp;$H288)+SUMIFS(tblReceipts[Qty Received],tblReceipts[Item Name],$A288,tblReceipts[Expiry Date],$H288,tblReceipts[Lot Number],"&lt;"&amp;Receipts!$C291))</f>
        <v/>
      </c>
      <c r="L288" s="26" t="str">
        <f>IF($A288="","",MIN($D288,MAX(0,SUMIFS(tblIssues[Qty Issued],tblIssues[Item Name],$A288)-$K288)))</f>
        <v/>
      </c>
      <c r="M288" s="26" t="str">
        <f>IF($A288="","",SUMIFS(tblIssues[Qty Issued],tblIssues[Lot Number],$B288))</f>
        <v/>
      </c>
      <c r="N288" s="26" t="str">
        <f t="shared" si="22"/>
        <v/>
      </c>
      <c r="O288" s="26" t="str">
        <f t="shared" si="23"/>
        <v/>
      </c>
      <c r="P288" s="21" t="str">
        <f t="shared" si="24"/>
        <v/>
      </c>
      <c r="Q288" s="52" t="str">
        <f>IF($A288="","",IF($O288&lt;=0,"Depleted",IF($I288&lt;0,"EXPIRED",IF($I288&lt;=Settings!$C$6,"CRITICAL",IF($I288&lt;=Settings!$C$5,"Expiring","In date")))))</f>
        <v/>
      </c>
    </row>
    <row r="289" spans="1:17" x14ac:dyDescent="0.35">
      <c r="A289" s="90" t="str">
        <f>IF(Receipts!$D292="","",Receipts!$D292)</f>
        <v/>
      </c>
      <c r="B289" s="18" t="str">
        <f>IF(Receipts!$C292="","",Receipts!$C292)</f>
        <v/>
      </c>
      <c r="C289" s="18" t="str">
        <f>IF($A289="","",IFERROR(INDEX(Items!$B$5:$B$597,MATCH($A289,Items!$A$5:$A$597,0)),""))</f>
        <v/>
      </c>
      <c r="D289" s="23" t="str">
        <f>IF($A289="","",N(Receipts!$G292))</f>
        <v/>
      </c>
      <c r="E289" s="20" t="str">
        <f>IF($A289="","",IFERROR(INDEX(Items!$D$5:$D$597,MATCH($A289,Items!$A$5:$A$597,0)),0))</f>
        <v/>
      </c>
      <c r="F289" s="21" t="str">
        <f t="shared" si="20"/>
        <v/>
      </c>
      <c r="G289" s="25" t="str">
        <f>IF(Receipts!$I292="","",Receipts!$I292)</f>
        <v/>
      </c>
      <c r="H289" s="25" t="str">
        <f>IF(Receipts!$H292="","",Receipts!$H292)</f>
        <v/>
      </c>
      <c r="I289" s="26" t="str">
        <f t="shared" ca="1" si="21"/>
        <v/>
      </c>
      <c r="J289" s="26" t="str">
        <f>IF($A289="","",COUNTIFS(tblReceipts[Item Name],$A289,tblReceipts[Expiry Date],"&lt;"&amp;$H289)+COUNTIFS(tblReceipts[Item Name],$A289,tblReceipts[Expiry Date],$H289,tblReceipts[Lot Number],"&lt;="&amp;Receipts!$C292))</f>
        <v/>
      </c>
      <c r="K289" s="26" t="str">
        <f>IF($A289="","",SUMIFS(tblReceipts[Qty Received],tblReceipts[Item Name],$A289,tblReceipts[Expiry Date],"&lt;"&amp;$H289)+SUMIFS(tblReceipts[Qty Received],tblReceipts[Item Name],$A289,tblReceipts[Expiry Date],$H289,tblReceipts[Lot Number],"&lt;"&amp;Receipts!$C292))</f>
        <v/>
      </c>
      <c r="L289" s="26" t="str">
        <f>IF($A289="","",MIN($D289,MAX(0,SUMIFS(tblIssues[Qty Issued],tblIssues[Item Name],$A289)-$K289)))</f>
        <v/>
      </c>
      <c r="M289" s="26" t="str">
        <f>IF($A289="","",SUMIFS(tblIssues[Qty Issued],tblIssues[Lot Number],$B289))</f>
        <v/>
      </c>
      <c r="N289" s="26" t="str">
        <f t="shared" si="22"/>
        <v/>
      </c>
      <c r="O289" s="26" t="str">
        <f t="shared" si="23"/>
        <v/>
      </c>
      <c r="P289" s="21" t="str">
        <f t="shared" si="24"/>
        <v/>
      </c>
      <c r="Q289" s="52" t="str">
        <f>IF($A289="","",IF($O289&lt;=0,"Depleted",IF($I289&lt;0,"EXPIRED",IF($I289&lt;=Settings!$C$6,"CRITICAL",IF($I289&lt;=Settings!$C$5,"Expiring","In date")))))</f>
        <v/>
      </c>
    </row>
    <row r="290" spans="1:17" x14ac:dyDescent="0.35">
      <c r="A290" s="90" t="str">
        <f>IF(Receipts!$D293="","",Receipts!$D293)</f>
        <v/>
      </c>
      <c r="B290" s="18" t="str">
        <f>IF(Receipts!$C293="","",Receipts!$C293)</f>
        <v/>
      </c>
      <c r="C290" s="18" t="str">
        <f>IF($A290="","",IFERROR(INDEX(Items!$B$5:$B$597,MATCH($A290,Items!$A$5:$A$597,0)),""))</f>
        <v/>
      </c>
      <c r="D290" s="23" t="str">
        <f>IF($A290="","",N(Receipts!$G293))</f>
        <v/>
      </c>
      <c r="E290" s="20" t="str">
        <f>IF($A290="","",IFERROR(INDEX(Items!$D$5:$D$597,MATCH($A290,Items!$A$5:$A$597,0)),0))</f>
        <v/>
      </c>
      <c r="F290" s="21" t="str">
        <f t="shared" si="20"/>
        <v/>
      </c>
      <c r="G290" s="25" t="str">
        <f>IF(Receipts!$I293="","",Receipts!$I293)</f>
        <v/>
      </c>
      <c r="H290" s="25" t="str">
        <f>IF(Receipts!$H293="","",Receipts!$H293)</f>
        <v/>
      </c>
      <c r="I290" s="26" t="str">
        <f t="shared" ca="1" si="21"/>
        <v/>
      </c>
      <c r="J290" s="26" t="str">
        <f>IF($A290="","",COUNTIFS(tblReceipts[Item Name],$A290,tblReceipts[Expiry Date],"&lt;"&amp;$H290)+COUNTIFS(tblReceipts[Item Name],$A290,tblReceipts[Expiry Date],$H290,tblReceipts[Lot Number],"&lt;="&amp;Receipts!$C293))</f>
        <v/>
      </c>
      <c r="K290" s="26" t="str">
        <f>IF($A290="","",SUMIFS(tblReceipts[Qty Received],tblReceipts[Item Name],$A290,tblReceipts[Expiry Date],"&lt;"&amp;$H290)+SUMIFS(tblReceipts[Qty Received],tblReceipts[Item Name],$A290,tblReceipts[Expiry Date],$H290,tblReceipts[Lot Number],"&lt;"&amp;Receipts!$C293))</f>
        <v/>
      </c>
      <c r="L290" s="26" t="str">
        <f>IF($A290="","",MIN($D290,MAX(0,SUMIFS(tblIssues[Qty Issued],tblIssues[Item Name],$A290)-$K290)))</f>
        <v/>
      </c>
      <c r="M290" s="26" t="str">
        <f>IF($A290="","",SUMIFS(tblIssues[Qty Issued],tblIssues[Lot Number],$B290))</f>
        <v/>
      </c>
      <c r="N290" s="26" t="str">
        <f t="shared" si="22"/>
        <v/>
      </c>
      <c r="O290" s="26" t="str">
        <f t="shared" si="23"/>
        <v/>
      </c>
      <c r="P290" s="21" t="str">
        <f t="shared" si="24"/>
        <v/>
      </c>
      <c r="Q290" s="52" t="str">
        <f>IF($A290="","",IF($O290&lt;=0,"Depleted",IF($I290&lt;0,"EXPIRED",IF($I290&lt;=Settings!$C$6,"CRITICAL",IF($I290&lt;=Settings!$C$5,"Expiring","In date")))))</f>
        <v/>
      </c>
    </row>
    <row r="291" spans="1:17" x14ac:dyDescent="0.35">
      <c r="A291" s="90" t="str">
        <f>IF(Receipts!$D294="","",Receipts!$D294)</f>
        <v/>
      </c>
      <c r="B291" s="18" t="str">
        <f>IF(Receipts!$C294="","",Receipts!$C294)</f>
        <v/>
      </c>
      <c r="C291" s="18" t="str">
        <f>IF($A291="","",IFERROR(INDEX(Items!$B$5:$B$597,MATCH($A291,Items!$A$5:$A$597,0)),""))</f>
        <v/>
      </c>
      <c r="D291" s="23" t="str">
        <f>IF($A291="","",N(Receipts!$G294))</f>
        <v/>
      </c>
      <c r="E291" s="20" t="str">
        <f>IF($A291="","",IFERROR(INDEX(Items!$D$5:$D$597,MATCH($A291,Items!$A$5:$A$597,0)),0))</f>
        <v/>
      </c>
      <c r="F291" s="21" t="str">
        <f t="shared" si="20"/>
        <v/>
      </c>
      <c r="G291" s="25" t="str">
        <f>IF(Receipts!$I294="","",Receipts!$I294)</f>
        <v/>
      </c>
      <c r="H291" s="25" t="str">
        <f>IF(Receipts!$H294="","",Receipts!$H294)</f>
        <v/>
      </c>
      <c r="I291" s="26" t="str">
        <f t="shared" ca="1" si="21"/>
        <v/>
      </c>
      <c r="J291" s="26" t="str">
        <f>IF($A291="","",COUNTIFS(tblReceipts[Item Name],$A291,tblReceipts[Expiry Date],"&lt;"&amp;$H291)+COUNTIFS(tblReceipts[Item Name],$A291,tblReceipts[Expiry Date],$H291,tblReceipts[Lot Number],"&lt;="&amp;Receipts!$C294))</f>
        <v/>
      </c>
      <c r="K291" s="26" t="str">
        <f>IF($A291="","",SUMIFS(tblReceipts[Qty Received],tblReceipts[Item Name],$A291,tblReceipts[Expiry Date],"&lt;"&amp;$H291)+SUMIFS(tblReceipts[Qty Received],tblReceipts[Item Name],$A291,tblReceipts[Expiry Date],$H291,tblReceipts[Lot Number],"&lt;"&amp;Receipts!$C294))</f>
        <v/>
      </c>
      <c r="L291" s="26" t="str">
        <f>IF($A291="","",MIN($D291,MAX(0,SUMIFS(tblIssues[Qty Issued],tblIssues[Item Name],$A291)-$K291)))</f>
        <v/>
      </c>
      <c r="M291" s="26" t="str">
        <f>IF($A291="","",SUMIFS(tblIssues[Qty Issued],tblIssues[Lot Number],$B291))</f>
        <v/>
      </c>
      <c r="N291" s="26" t="str">
        <f t="shared" si="22"/>
        <v/>
      </c>
      <c r="O291" s="26" t="str">
        <f t="shared" si="23"/>
        <v/>
      </c>
      <c r="P291" s="21" t="str">
        <f t="shared" si="24"/>
        <v/>
      </c>
      <c r="Q291" s="52" t="str">
        <f>IF($A291="","",IF($O291&lt;=0,"Depleted",IF($I291&lt;0,"EXPIRED",IF($I291&lt;=Settings!$C$6,"CRITICAL",IF($I291&lt;=Settings!$C$5,"Expiring","In date")))))</f>
        <v/>
      </c>
    </row>
    <row r="292" spans="1:17" x14ac:dyDescent="0.35">
      <c r="A292" s="90" t="str">
        <f>IF(Receipts!$D295="","",Receipts!$D295)</f>
        <v/>
      </c>
      <c r="B292" s="18" t="str">
        <f>IF(Receipts!$C295="","",Receipts!$C295)</f>
        <v/>
      </c>
      <c r="C292" s="18" t="str">
        <f>IF($A292="","",IFERROR(INDEX(Items!$B$5:$B$597,MATCH($A292,Items!$A$5:$A$597,0)),""))</f>
        <v/>
      </c>
      <c r="D292" s="23" t="str">
        <f>IF($A292="","",N(Receipts!$G295))</f>
        <v/>
      </c>
      <c r="E292" s="20" t="str">
        <f>IF($A292="","",IFERROR(INDEX(Items!$D$5:$D$597,MATCH($A292,Items!$A$5:$A$597,0)),0))</f>
        <v/>
      </c>
      <c r="F292" s="21" t="str">
        <f t="shared" si="20"/>
        <v/>
      </c>
      <c r="G292" s="25" t="str">
        <f>IF(Receipts!$I295="","",Receipts!$I295)</f>
        <v/>
      </c>
      <c r="H292" s="25" t="str">
        <f>IF(Receipts!$H295="","",Receipts!$H295)</f>
        <v/>
      </c>
      <c r="I292" s="26" t="str">
        <f t="shared" ca="1" si="21"/>
        <v/>
      </c>
      <c r="J292" s="26" t="str">
        <f>IF($A292="","",COUNTIFS(tblReceipts[Item Name],$A292,tblReceipts[Expiry Date],"&lt;"&amp;$H292)+COUNTIFS(tblReceipts[Item Name],$A292,tblReceipts[Expiry Date],$H292,tblReceipts[Lot Number],"&lt;="&amp;Receipts!$C295))</f>
        <v/>
      </c>
      <c r="K292" s="26" t="str">
        <f>IF($A292="","",SUMIFS(tblReceipts[Qty Received],tblReceipts[Item Name],$A292,tblReceipts[Expiry Date],"&lt;"&amp;$H292)+SUMIFS(tblReceipts[Qty Received],tblReceipts[Item Name],$A292,tblReceipts[Expiry Date],$H292,tblReceipts[Lot Number],"&lt;"&amp;Receipts!$C295))</f>
        <v/>
      </c>
      <c r="L292" s="26" t="str">
        <f>IF($A292="","",MIN($D292,MAX(0,SUMIFS(tblIssues[Qty Issued],tblIssues[Item Name],$A292)-$K292)))</f>
        <v/>
      </c>
      <c r="M292" s="26" t="str">
        <f>IF($A292="","",SUMIFS(tblIssues[Qty Issued],tblIssues[Lot Number],$B292))</f>
        <v/>
      </c>
      <c r="N292" s="26" t="str">
        <f t="shared" si="22"/>
        <v/>
      </c>
      <c r="O292" s="26" t="str">
        <f t="shared" si="23"/>
        <v/>
      </c>
      <c r="P292" s="21" t="str">
        <f t="shared" si="24"/>
        <v/>
      </c>
      <c r="Q292" s="52" t="str">
        <f>IF($A292="","",IF($O292&lt;=0,"Depleted",IF($I292&lt;0,"EXPIRED",IF($I292&lt;=Settings!$C$6,"CRITICAL",IF($I292&lt;=Settings!$C$5,"Expiring","In date")))))</f>
        <v/>
      </c>
    </row>
    <row r="293" spans="1:17" x14ac:dyDescent="0.35">
      <c r="A293" s="90" t="str">
        <f>IF(Receipts!$D296="","",Receipts!$D296)</f>
        <v/>
      </c>
      <c r="B293" s="18" t="str">
        <f>IF(Receipts!$C296="","",Receipts!$C296)</f>
        <v/>
      </c>
      <c r="C293" s="18" t="str">
        <f>IF($A293="","",IFERROR(INDEX(Items!$B$5:$B$597,MATCH($A293,Items!$A$5:$A$597,0)),""))</f>
        <v/>
      </c>
      <c r="D293" s="23" t="str">
        <f>IF($A293="","",N(Receipts!$G296))</f>
        <v/>
      </c>
      <c r="E293" s="20" t="str">
        <f>IF($A293="","",IFERROR(INDEX(Items!$D$5:$D$597,MATCH($A293,Items!$A$5:$A$597,0)),0))</f>
        <v/>
      </c>
      <c r="F293" s="21" t="str">
        <f t="shared" si="20"/>
        <v/>
      </c>
      <c r="G293" s="25" t="str">
        <f>IF(Receipts!$I296="","",Receipts!$I296)</f>
        <v/>
      </c>
      <c r="H293" s="25" t="str">
        <f>IF(Receipts!$H296="","",Receipts!$H296)</f>
        <v/>
      </c>
      <c r="I293" s="26" t="str">
        <f t="shared" ca="1" si="21"/>
        <v/>
      </c>
      <c r="J293" s="26" t="str">
        <f>IF($A293="","",COUNTIFS(tblReceipts[Item Name],$A293,tblReceipts[Expiry Date],"&lt;"&amp;$H293)+COUNTIFS(tblReceipts[Item Name],$A293,tblReceipts[Expiry Date],$H293,tblReceipts[Lot Number],"&lt;="&amp;Receipts!$C296))</f>
        <v/>
      </c>
      <c r="K293" s="26" t="str">
        <f>IF($A293="","",SUMIFS(tblReceipts[Qty Received],tblReceipts[Item Name],$A293,tblReceipts[Expiry Date],"&lt;"&amp;$H293)+SUMIFS(tblReceipts[Qty Received],tblReceipts[Item Name],$A293,tblReceipts[Expiry Date],$H293,tblReceipts[Lot Number],"&lt;"&amp;Receipts!$C296))</f>
        <v/>
      </c>
      <c r="L293" s="26" t="str">
        <f>IF($A293="","",MIN($D293,MAX(0,SUMIFS(tblIssues[Qty Issued],tblIssues[Item Name],$A293)-$K293)))</f>
        <v/>
      </c>
      <c r="M293" s="26" t="str">
        <f>IF($A293="","",SUMIFS(tblIssues[Qty Issued],tblIssues[Lot Number],$B293))</f>
        <v/>
      </c>
      <c r="N293" s="26" t="str">
        <f t="shared" si="22"/>
        <v/>
      </c>
      <c r="O293" s="26" t="str">
        <f t="shared" si="23"/>
        <v/>
      </c>
      <c r="P293" s="21" t="str">
        <f t="shared" si="24"/>
        <v/>
      </c>
      <c r="Q293" s="52" t="str">
        <f>IF($A293="","",IF($O293&lt;=0,"Depleted",IF($I293&lt;0,"EXPIRED",IF($I293&lt;=Settings!$C$6,"CRITICAL",IF($I293&lt;=Settings!$C$5,"Expiring","In date")))))</f>
        <v/>
      </c>
    </row>
    <row r="294" spans="1:17" x14ac:dyDescent="0.35">
      <c r="A294" s="90" t="str">
        <f>IF(Receipts!$D297="","",Receipts!$D297)</f>
        <v/>
      </c>
      <c r="B294" s="18" t="str">
        <f>IF(Receipts!$C297="","",Receipts!$C297)</f>
        <v/>
      </c>
      <c r="C294" s="18" t="str">
        <f>IF($A294="","",IFERROR(INDEX(Items!$B$5:$B$597,MATCH($A294,Items!$A$5:$A$597,0)),""))</f>
        <v/>
      </c>
      <c r="D294" s="23" t="str">
        <f>IF($A294="","",N(Receipts!$G297))</f>
        <v/>
      </c>
      <c r="E294" s="20" t="str">
        <f>IF($A294="","",IFERROR(INDEX(Items!$D$5:$D$597,MATCH($A294,Items!$A$5:$A$597,0)),0))</f>
        <v/>
      </c>
      <c r="F294" s="21" t="str">
        <f t="shared" si="20"/>
        <v/>
      </c>
      <c r="G294" s="25" t="str">
        <f>IF(Receipts!$I297="","",Receipts!$I297)</f>
        <v/>
      </c>
      <c r="H294" s="25" t="str">
        <f>IF(Receipts!$H297="","",Receipts!$H297)</f>
        <v/>
      </c>
      <c r="I294" s="26" t="str">
        <f t="shared" ca="1" si="21"/>
        <v/>
      </c>
      <c r="J294" s="26" t="str">
        <f>IF($A294="","",COUNTIFS(tblReceipts[Item Name],$A294,tblReceipts[Expiry Date],"&lt;"&amp;$H294)+COUNTIFS(tblReceipts[Item Name],$A294,tblReceipts[Expiry Date],$H294,tblReceipts[Lot Number],"&lt;="&amp;Receipts!$C297))</f>
        <v/>
      </c>
      <c r="K294" s="26" t="str">
        <f>IF($A294="","",SUMIFS(tblReceipts[Qty Received],tblReceipts[Item Name],$A294,tblReceipts[Expiry Date],"&lt;"&amp;$H294)+SUMIFS(tblReceipts[Qty Received],tblReceipts[Item Name],$A294,tblReceipts[Expiry Date],$H294,tblReceipts[Lot Number],"&lt;"&amp;Receipts!$C297))</f>
        <v/>
      </c>
      <c r="L294" s="26" t="str">
        <f>IF($A294="","",MIN($D294,MAX(0,SUMIFS(tblIssues[Qty Issued],tblIssues[Item Name],$A294)-$K294)))</f>
        <v/>
      </c>
      <c r="M294" s="26" t="str">
        <f>IF($A294="","",SUMIFS(tblIssues[Qty Issued],tblIssues[Lot Number],$B294))</f>
        <v/>
      </c>
      <c r="N294" s="26" t="str">
        <f t="shared" si="22"/>
        <v/>
      </c>
      <c r="O294" s="26" t="str">
        <f t="shared" si="23"/>
        <v/>
      </c>
      <c r="P294" s="21" t="str">
        <f t="shared" si="24"/>
        <v/>
      </c>
      <c r="Q294" s="52" t="str">
        <f>IF($A294="","",IF($O294&lt;=0,"Depleted",IF($I294&lt;0,"EXPIRED",IF($I294&lt;=Settings!$C$6,"CRITICAL",IF($I294&lt;=Settings!$C$5,"Expiring","In date")))))</f>
        <v/>
      </c>
    </row>
    <row r="295" spans="1:17" x14ac:dyDescent="0.35">
      <c r="A295" s="90" t="str">
        <f>IF(Receipts!$D298="","",Receipts!$D298)</f>
        <v/>
      </c>
      <c r="B295" s="18" t="str">
        <f>IF(Receipts!$C298="","",Receipts!$C298)</f>
        <v/>
      </c>
      <c r="C295" s="18" t="str">
        <f>IF($A295="","",IFERROR(INDEX(Items!$B$5:$B$597,MATCH($A295,Items!$A$5:$A$597,0)),""))</f>
        <v/>
      </c>
      <c r="D295" s="23" t="str">
        <f>IF($A295="","",N(Receipts!$G298))</f>
        <v/>
      </c>
      <c r="E295" s="20" t="str">
        <f>IF($A295="","",IFERROR(INDEX(Items!$D$5:$D$597,MATCH($A295,Items!$A$5:$A$597,0)),0))</f>
        <v/>
      </c>
      <c r="F295" s="21" t="str">
        <f t="shared" si="20"/>
        <v/>
      </c>
      <c r="G295" s="25" t="str">
        <f>IF(Receipts!$I298="","",Receipts!$I298)</f>
        <v/>
      </c>
      <c r="H295" s="25" t="str">
        <f>IF(Receipts!$H298="","",Receipts!$H298)</f>
        <v/>
      </c>
      <c r="I295" s="26" t="str">
        <f t="shared" ca="1" si="21"/>
        <v/>
      </c>
      <c r="J295" s="26" t="str">
        <f>IF($A295="","",COUNTIFS(tblReceipts[Item Name],$A295,tblReceipts[Expiry Date],"&lt;"&amp;$H295)+COUNTIFS(tblReceipts[Item Name],$A295,tblReceipts[Expiry Date],$H295,tblReceipts[Lot Number],"&lt;="&amp;Receipts!$C298))</f>
        <v/>
      </c>
      <c r="K295" s="26" t="str">
        <f>IF($A295="","",SUMIFS(tblReceipts[Qty Received],tblReceipts[Item Name],$A295,tblReceipts[Expiry Date],"&lt;"&amp;$H295)+SUMIFS(tblReceipts[Qty Received],tblReceipts[Item Name],$A295,tblReceipts[Expiry Date],$H295,tblReceipts[Lot Number],"&lt;"&amp;Receipts!$C298))</f>
        <v/>
      </c>
      <c r="L295" s="26" t="str">
        <f>IF($A295="","",MIN($D295,MAX(0,SUMIFS(tblIssues[Qty Issued],tblIssues[Item Name],$A295)-$K295)))</f>
        <v/>
      </c>
      <c r="M295" s="26" t="str">
        <f>IF($A295="","",SUMIFS(tblIssues[Qty Issued],tblIssues[Lot Number],$B295))</f>
        <v/>
      </c>
      <c r="N295" s="26" t="str">
        <f t="shared" si="22"/>
        <v/>
      </c>
      <c r="O295" s="26" t="str">
        <f t="shared" si="23"/>
        <v/>
      </c>
      <c r="P295" s="21" t="str">
        <f t="shared" si="24"/>
        <v/>
      </c>
      <c r="Q295" s="52" t="str">
        <f>IF($A295="","",IF($O295&lt;=0,"Depleted",IF($I295&lt;0,"EXPIRED",IF($I295&lt;=Settings!$C$6,"CRITICAL",IF($I295&lt;=Settings!$C$5,"Expiring","In date")))))</f>
        <v/>
      </c>
    </row>
    <row r="296" spans="1:17" x14ac:dyDescent="0.35">
      <c r="A296" s="90" t="str">
        <f>IF(Receipts!$D299="","",Receipts!$D299)</f>
        <v/>
      </c>
      <c r="B296" s="18" t="str">
        <f>IF(Receipts!$C299="","",Receipts!$C299)</f>
        <v/>
      </c>
      <c r="C296" s="18" t="str">
        <f>IF($A296="","",IFERROR(INDEX(Items!$B$5:$B$597,MATCH($A296,Items!$A$5:$A$597,0)),""))</f>
        <v/>
      </c>
      <c r="D296" s="23" t="str">
        <f>IF($A296="","",N(Receipts!$G299))</f>
        <v/>
      </c>
      <c r="E296" s="20" t="str">
        <f>IF($A296="","",IFERROR(INDEX(Items!$D$5:$D$597,MATCH($A296,Items!$A$5:$A$597,0)),0))</f>
        <v/>
      </c>
      <c r="F296" s="21" t="str">
        <f t="shared" si="20"/>
        <v/>
      </c>
      <c r="G296" s="25" t="str">
        <f>IF(Receipts!$I299="","",Receipts!$I299)</f>
        <v/>
      </c>
      <c r="H296" s="25" t="str">
        <f>IF(Receipts!$H299="","",Receipts!$H299)</f>
        <v/>
      </c>
      <c r="I296" s="26" t="str">
        <f t="shared" ca="1" si="21"/>
        <v/>
      </c>
      <c r="J296" s="26" t="str">
        <f>IF($A296="","",COUNTIFS(tblReceipts[Item Name],$A296,tblReceipts[Expiry Date],"&lt;"&amp;$H296)+COUNTIFS(tblReceipts[Item Name],$A296,tblReceipts[Expiry Date],$H296,tblReceipts[Lot Number],"&lt;="&amp;Receipts!$C299))</f>
        <v/>
      </c>
      <c r="K296" s="26" t="str">
        <f>IF($A296="","",SUMIFS(tblReceipts[Qty Received],tblReceipts[Item Name],$A296,tblReceipts[Expiry Date],"&lt;"&amp;$H296)+SUMIFS(tblReceipts[Qty Received],tblReceipts[Item Name],$A296,tblReceipts[Expiry Date],$H296,tblReceipts[Lot Number],"&lt;"&amp;Receipts!$C299))</f>
        <v/>
      </c>
      <c r="L296" s="26" t="str">
        <f>IF($A296="","",MIN($D296,MAX(0,SUMIFS(tblIssues[Qty Issued],tblIssues[Item Name],$A296)-$K296)))</f>
        <v/>
      </c>
      <c r="M296" s="26" t="str">
        <f>IF($A296="","",SUMIFS(tblIssues[Qty Issued],tblIssues[Lot Number],$B296))</f>
        <v/>
      </c>
      <c r="N296" s="26" t="str">
        <f t="shared" si="22"/>
        <v/>
      </c>
      <c r="O296" s="26" t="str">
        <f t="shared" si="23"/>
        <v/>
      </c>
      <c r="P296" s="21" t="str">
        <f t="shared" si="24"/>
        <v/>
      </c>
      <c r="Q296" s="52" t="str">
        <f>IF($A296="","",IF($O296&lt;=0,"Depleted",IF($I296&lt;0,"EXPIRED",IF($I296&lt;=Settings!$C$6,"CRITICAL",IF($I296&lt;=Settings!$C$5,"Expiring","In date")))))</f>
        <v/>
      </c>
    </row>
    <row r="297" spans="1:17" x14ac:dyDescent="0.35">
      <c r="A297" s="90" t="str">
        <f>IF(Receipts!$D300="","",Receipts!$D300)</f>
        <v/>
      </c>
      <c r="B297" s="18" t="str">
        <f>IF(Receipts!$C300="","",Receipts!$C300)</f>
        <v/>
      </c>
      <c r="C297" s="18" t="str">
        <f>IF($A297="","",IFERROR(INDEX(Items!$B$5:$B$597,MATCH($A297,Items!$A$5:$A$597,0)),""))</f>
        <v/>
      </c>
      <c r="D297" s="23" t="str">
        <f>IF($A297="","",N(Receipts!$G300))</f>
        <v/>
      </c>
      <c r="E297" s="20" t="str">
        <f>IF($A297="","",IFERROR(INDEX(Items!$D$5:$D$597,MATCH($A297,Items!$A$5:$A$597,0)),0))</f>
        <v/>
      </c>
      <c r="F297" s="21" t="str">
        <f t="shared" si="20"/>
        <v/>
      </c>
      <c r="G297" s="25" t="str">
        <f>IF(Receipts!$I300="","",Receipts!$I300)</f>
        <v/>
      </c>
      <c r="H297" s="25" t="str">
        <f>IF(Receipts!$H300="","",Receipts!$H300)</f>
        <v/>
      </c>
      <c r="I297" s="26" t="str">
        <f t="shared" ca="1" si="21"/>
        <v/>
      </c>
      <c r="J297" s="26" t="str">
        <f>IF($A297="","",COUNTIFS(tblReceipts[Item Name],$A297,tblReceipts[Expiry Date],"&lt;"&amp;$H297)+COUNTIFS(tblReceipts[Item Name],$A297,tblReceipts[Expiry Date],$H297,tblReceipts[Lot Number],"&lt;="&amp;Receipts!$C300))</f>
        <v/>
      </c>
      <c r="K297" s="26" t="str">
        <f>IF($A297="","",SUMIFS(tblReceipts[Qty Received],tblReceipts[Item Name],$A297,tblReceipts[Expiry Date],"&lt;"&amp;$H297)+SUMIFS(tblReceipts[Qty Received],tblReceipts[Item Name],$A297,tblReceipts[Expiry Date],$H297,tblReceipts[Lot Number],"&lt;"&amp;Receipts!$C300))</f>
        <v/>
      </c>
      <c r="L297" s="26" t="str">
        <f>IF($A297="","",MIN($D297,MAX(0,SUMIFS(tblIssues[Qty Issued],tblIssues[Item Name],$A297)-$K297)))</f>
        <v/>
      </c>
      <c r="M297" s="26" t="str">
        <f>IF($A297="","",SUMIFS(tblIssues[Qty Issued],tblIssues[Lot Number],$B297))</f>
        <v/>
      </c>
      <c r="N297" s="26" t="str">
        <f t="shared" si="22"/>
        <v/>
      </c>
      <c r="O297" s="26" t="str">
        <f t="shared" si="23"/>
        <v/>
      </c>
      <c r="P297" s="21" t="str">
        <f t="shared" si="24"/>
        <v/>
      </c>
      <c r="Q297" s="52" t="str">
        <f>IF($A297="","",IF($O297&lt;=0,"Depleted",IF($I297&lt;0,"EXPIRED",IF($I297&lt;=Settings!$C$6,"CRITICAL",IF($I297&lt;=Settings!$C$5,"Expiring","In date")))))</f>
        <v/>
      </c>
    </row>
    <row r="298" spans="1:17" x14ac:dyDescent="0.35">
      <c r="A298" s="90" t="str">
        <f>IF(Receipts!$D301="","",Receipts!$D301)</f>
        <v/>
      </c>
      <c r="B298" s="18" t="str">
        <f>IF(Receipts!$C301="","",Receipts!$C301)</f>
        <v/>
      </c>
      <c r="C298" s="18" t="str">
        <f>IF($A298="","",IFERROR(INDEX(Items!$B$5:$B$597,MATCH($A298,Items!$A$5:$A$597,0)),""))</f>
        <v/>
      </c>
      <c r="D298" s="23" t="str">
        <f>IF($A298="","",N(Receipts!$G301))</f>
        <v/>
      </c>
      <c r="E298" s="20" t="str">
        <f>IF($A298="","",IFERROR(INDEX(Items!$D$5:$D$597,MATCH($A298,Items!$A$5:$A$597,0)),0))</f>
        <v/>
      </c>
      <c r="F298" s="21" t="str">
        <f t="shared" si="20"/>
        <v/>
      </c>
      <c r="G298" s="25" t="str">
        <f>IF(Receipts!$I301="","",Receipts!$I301)</f>
        <v/>
      </c>
      <c r="H298" s="25" t="str">
        <f>IF(Receipts!$H301="","",Receipts!$H301)</f>
        <v/>
      </c>
      <c r="I298" s="26" t="str">
        <f t="shared" ca="1" si="21"/>
        <v/>
      </c>
      <c r="J298" s="26" t="str">
        <f>IF($A298="","",COUNTIFS(tblReceipts[Item Name],$A298,tblReceipts[Expiry Date],"&lt;"&amp;$H298)+COUNTIFS(tblReceipts[Item Name],$A298,tblReceipts[Expiry Date],$H298,tblReceipts[Lot Number],"&lt;="&amp;Receipts!$C301))</f>
        <v/>
      </c>
      <c r="K298" s="26" t="str">
        <f>IF($A298="","",SUMIFS(tblReceipts[Qty Received],tblReceipts[Item Name],$A298,tblReceipts[Expiry Date],"&lt;"&amp;$H298)+SUMIFS(tblReceipts[Qty Received],tblReceipts[Item Name],$A298,tblReceipts[Expiry Date],$H298,tblReceipts[Lot Number],"&lt;"&amp;Receipts!$C301))</f>
        <v/>
      </c>
      <c r="L298" s="26" t="str">
        <f>IF($A298="","",MIN($D298,MAX(0,SUMIFS(tblIssues[Qty Issued],tblIssues[Item Name],$A298)-$K298)))</f>
        <v/>
      </c>
      <c r="M298" s="26" t="str">
        <f>IF($A298="","",SUMIFS(tblIssues[Qty Issued],tblIssues[Lot Number],$B298))</f>
        <v/>
      </c>
      <c r="N298" s="26" t="str">
        <f t="shared" si="22"/>
        <v/>
      </c>
      <c r="O298" s="26" t="str">
        <f t="shared" si="23"/>
        <v/>
      </c>
      <c r="P298" s="21" t="str">
        <f t="shared" si="24"/>
        <v/>
      </c>
      <c r="Q298" s="52" t="str">
        <f>IF($A298="","",IF($O298&lt;=0,"Depleted",IF($I298&lt;0,"EXPIRED",IF($I298&lt;=Settings!$C$6,"CRITICAL",IF($I298&lt;=Settings!$C$5,"Expiring","In date")))))</f>
        <v/>
      </c>
    </row>
    <row r="299" spans="1:17" x14ac:dyDescent="0.35">
      <c r="A299" s="90" t="str">
        <f>IF(Receipts!$D302="","",Receipts!$D302)</f>
        <v/>
      </c>
      <c r="B299" s="18" t="str">
        <f>IF(Receipts!$C302="","",Receipts!$C302)</f>
        <v/>
      </c>
      <c r="C299" s="18" t="str">
        <f>IF($A299="","",IFERROR(INDEX(Items!$B$5:$B$597,MATCH($A299,Items!$A$5:$A$597,0)),""))</f>
        <v/>
      </c>
      <c r="D299" s="23" t="str">
        <f>IF($A299="","",N(Receipts!$G302))</f>
        <v/>
      </c>
      <c r="E299" s="20" t="str">
        <f>IF($A299="","",IFERROR(INDEX(Items!$D$5:$D$597,MATCH($A299,Items!$A$5:$A$597,0)),0))</f>
        <v/>
      </c>
      <c r="F299" s="21" t="str">
        <f t="shared" si="20"/>
        <v/>
      </c>
      <c r="G299" s="25" t="str">
        <f>IF(Receipts!$I302="","",Receipts!$I302)</f>
        <v/>
      </c>
      <c r="H299" s="25" t="str">
        <f>IF(Receipts!$H302="","",Receipts!$H302)</f>
        <v/>
      </c>
      <c r="I299" s="26" t="str">
        <f t="shared" ca="1" si="21"/>
        <v/>
      </c>
      <c r="J299" s="26" t="str">
        <f>IF($A299="","",COUNTIFS(tblReceipts[Item Name],$A299,tblReceipts[Expiry Date],"&lt;"&amp;$H299)+COUNTIFS(tblReceipts[Item Name],$A299,tblReceipts[Expiry Date],$H299,tblReceipts[Lot Number],"&lt;="&amp;Receipts!$C302))</f>
        <v/>
      </c>
      <c r="K299" s="26" t="str">
        <f>IF($A299="","",SUMIFS(tblReceipts[Qty Received],tblReceipts[Item Name],$A299,tblReceipts[Expiry Date],"&lt;"&amp;$H299)+SUMIFS(tblReceipts[Qty Received],tblReceipts[Item Name],$A299,tblReceipts[Expiry Date],$H299,tblReceipts[Lot Number],"&lt;"&amp;Receipts!$C302))</f>
        <v/>
      </c>
      <c r="L299" s="26" t="str">
        <f>IF($A299="","",MIN($D299,MAX(0,SUMIFS(tblIssues[Qty Issued],tblIssues[Item Name],$A299)-$K299)))</f>
        <v/>
      </c>
      <c r="M299" s="26" t="str">
        <f>IF($A299="","",SUMIFS(tblIssues[Qty Issued],tblIssues[Lot Number],$B299))</f>
        <v/>
      </c>
      <c r="N299" s="26" t="str">
        <f t="shared" si="22"/>
        <v/>
      </c>
      <c r="O299" s="26" t="str">
        <f t="shared" si="23"/>
        <v/>
      </c>
      <c r="P299" s="21" t="str">
        <f t="shared" si="24"/>
        <v/>
      </c>
      <c r="Q299" s="52" t="str">
        <f>IF($A299="","",IF($O299&lt;=0,"Depleted",IF($I299&lt;0,"EXPIRED",IF($I299&lt;=Settings!$C$6,"CRITICAL",IF($I299&lt;=Settings!$C$5,"Expiring","In date")))))</f>
        <v/>
      </c>
    </row>
    <row r="300" spans="1:17" x14ac:dyDescent="0.35">
      <c r="A300" s="90" t="str">
        <f>IF(Receipts!$D303="","",Receipts!$D303)</f>
        <v/>
      </c>
      <c r="B300" s="18" t="str">
        <f>IF(Receipts!$C303="","",Receipts!$C303)</f>
        <v/>
      </c>
      <c r="C300" s="18" t="str">
        <f>IF($A300="","",IFERROR(INDEX(Items!$B$5:$B$597,MATCH($A300,Items!$A$5:$A$597,0)),""))</f>
        <v/>
      </c>
      <c r="D300" s="23" t="str">
        <f>IF($A300="","",N(Receipts!$G303))</f>
        <v/>
      </c>
      <c r="E300" s="20" t="str">
        <f>IF($A300="","",IFERROR(INDEX(Items!$D$5:$D$597,MATCH($A300,Items!$A$5:$A$597,0)),0))</f>
        <v/>
      </c>
      <c r="F300" s="21" t="str">
        <f t="shared" si="20"/>
        <v/>
      </c>
      <c r="G300" s="25" t="str">
        <f>IF(Receipts!$I303="","",Receipts!$I303)</f>
        <v/>
      </c>
      <c r="H300" s="25" t="str">
        <f>IF(Receipts!$H303="","",Receipts!$H303)</f>
        <v/>
      </c>
      <c r="I300" s="26" t="str">
        <f t="shared" ca="1" si="21"/>
        <v/>
      </c>
      <c r="J300" s="26" t="str">
        <f>IF($A300="","",COUNTIFS(tblReceipts[Item Name],$A300,tblReceipts[Expiry Date],"&lt;"&amp;$H300)+COUNTIFS(tblReceipts[Item Name],$A300,tblReceipts[Expiry Date],$H300,tblReceipts[Lot Number],"&lt;="&amp;Receipts!$C303))</f>
        <v/>
      </c>
      <c r="K300" s="26" t="str">
        <f>IF($A300="","",SUMIFS(tblReceipts[Qty Received],tblReceipts[Item Name],$A300,tblReceipts[Expiry Date],"&lt;"&amp;$H300)+SUMIFS(tblReceipts[Qty Received],tblReceipts[Item Name],$A300,tblReceipts[Expiry Date],$H300,tblReceipts[Lot Number],"&lt;"&amp;Receipts!$C303))</f>
        <v/>
      </c>
      <c r="L300" s="26" t="str">
        <f>IF($A300="","",MIN($D300,MAX(0,SUMIFS(tblIssues[Qty Issued],tblIssues[Item Name],$A300)-$K300)))</f>
        <v/>
      </c>
      <c r="M300" s="26" t="str">
        <f>IF($A300="","",SUMIFS(tblIssues[Qty Issued],tblIssues[Lot Number],$B300))</f>
        <v/>
      </c>
      <c r="N300" s="26" t="str">
        <f t="shared" si="22"/>
        <v/>
      </c>
      <c r="O300" s="26" t="str">
        <f t="shared" si="23"/>
        <v/>
      </c>
      <c r="P300" s="21" t="str">
        <f t="shared" si="24"/>
        <v/>
      </c>
      <c r="Q300" s="52" t="str">
        <f>IF($A300="","",IF($O300&lt;=0,"Depleted",IF($I300&lt;0,"EXPIRED",IF($I300&lt;=Settings!$C$6,"CRITICAL",IF($I300&lt;=Settings!$C$5,"Expiring","In date")))))</f>
        <v/>
      </c>
    </row>
    <row r="301" spans="1:17" x14ac:dyDescent="0.35">
      <c r="A301" s="90" t="str">
        <f>IF(Receipts!$D304="","",Receipts!$D304)</f>
        <v/>
      </c>
      <c r="B301" s="18" t="str">
        <f>IF(Receipts!$C304="","",Receipts!$C304)</f>
        <v/>
      </c>
      <c r="C301" s="18" t="str">
        <f>IF($A301="","",IFERROR(INDEX(Items!$B$5:$B$597,MATCH($A301,Items!$A$5:$A$597,0)),""))</f>
        <v/>
      </c>
      <c r="D301" s="23" t="str">
        <f>IF($A301="","",N(Receipts!$G304))</f>
        <v/>
      </c>
      <c r="E301" s="20" t="str">
        <f>IF($A301="","",IFERROR(INDEX(Items!$D$5:$D$597,MATCH($A301,Items!$A$5:$A$597,0)),0))</f>
        <v/>
      </c>
      <c r="F301" s="21" t="str">
        <f t="shared" si="20"/>
        <v/>
      </c>
      <c r="G301" s="25" t="str">
        <f>IF(Receipts!$I304="","",Receipts!$I304)</f>
        <v/>
      </c>
      <c r="H301" s="25" t="str">
        <f>IF(Receipts!$H304="","",Receipts!$H304)</f>
        <v/>
      </c>
      <c r="I301" s="26" t="str">
        <f t="shared" ca="1" si="21"/>
        <v/>
      </c>
      <c r="J301" s="26" t="str">
        <f>IF($A301="","",COUNTIFS(tblReceipts[Item Name],$A301,tblReceipts[Expiry Date],"&lt;"&amp;$H301)+COUNTIFS(tblReceipts[Item Name],$A301,tblReceipts[Expiry Date],$H301,tblReceipts[Lot Number],"&lt;="&amp;Receipts!$C304))</f>
        <v/>
      </c>
      <c r="K301" s="26" t="str">
        <f>IF($A301="","",SUMIFS(tblReceipts[Qty Received],tblReceipts[Item Name],$A301,tblReceipts[Expiry Date],"&lt;"&amp;$H301)+SUMIFS(tblReceipts[Qty Received],tblReceipts[Item Name],$A301,tblReceipts[Expiry Date],$H301,tblReceipts[Lot Number],"&lt;"&amp;Receipts!$C304))</f>
        <v/>
      </c>
      <c r="L301" s="26" t="str">
        <f>IF($A301="","",MIN($D301,MAX(0,SUMIFS(tblIssues[Qty Issued],tblIssues[Item Name],$A301)-$K301)))</f>
        <v/>
      </c>
      <c r="M301" s="26" t="str">
        <f>IF($A301="","",SUMIFS(tblIssues[Qty Issued],tblIssues[Lot Number],$B301))</f>
        <v/>
      </c>
      <c r="N301" s="26" t="str">
        <f t="shared" si="22"/>
        <v/>
      </c>
      <c r="O301" s="26" t="str">
        <f t="shared" si="23"/>
        <v/>
      </c>
      <c r="P301" s="21" t="str">
        <f t="shared" si="24"/>
        <v/>
      </c>
      <c r="Q301" s="52" t="str">
        <f>IF($A301="","",IF($O301&lt;=0,"Depleted",IF($I301&lt;0,"EXPIRED",IF($I301&lt;=Settings!$C$6,"CRITICAL",IF($I301&lt;=Settings!$C$5,"Expiring","In date")))))</f>
        <v/>
      </c>
    </row>
    <row r="302" spans="1:17" x14ac:dyDescent="0.35">
      <c r="A302" s="90" t="str">
        <f>IF(Receipts!$D305="","",Receipts!$D305)</f>
        <v/>
      </c>
      <c r="B302" s="18" t="str">
        <f>IF(Receipts!$C305="","",Receipts!$C305)</f>
        <v/>
      </c>
      <c r="C302" s="18" t="str">
        <f>IF($A302="","",IFERROR(INDEX(Items!$B$5:$B$597,MATCH($A302,Items!$A$5:$A$597,0)),""))</f>
        <v/>
      </c>
      <c r="D302" s="23" t="str">
        <f>IF($A302="","",N(Receipts!$G305))</f>
        <v/>
      </c>
      <c r="E302" s="20" t="str">
        <f>IF($A302="","",IFERROR(INDEX(Items!$D$5:$D$597,MATCH($A302,Items!$A$5:$A$597,0)),0))</f>
        <v/>
      </c>
      <c r="F302" s="21" t="str">
        <f t="shared" si="20"/>
        <v/>
      </c>
      <c r="G302" s="25" t="str">
        <f>IF(Receipts!$I305="","",Receipts!$I305)</f>
        <v/>
      </c>
      <c r="H302" s="25" t="str">
        <f>IF(Receipts!$H305="","",Receipts!$H305)</f>
        <v/>
      </c>
      <c r="I302" s="26" t="str">
        <f t="shared" ca="1" si="21"/>
        <v/>
      </c>
      <c r="J302" s="26" t="str">
        <f>IF($A302="","",COUNTIFS(tblReceipts[Item Name],$A302,tblReceipts[Expiry Date],"&lt;"&amp;$H302)+COUNTIFS(tblReceipts[Item Name],$A302,tblReceipts[Expiry Date],$H302,tblReceipts[Lot Number],"&lt;="&amp;Receipts!$C305))</f>
        <v/>
      </c>
      <c r="K302" s="26" t="str">
        <f>IF($A302="","",SUMIFS(tblReceipts[Qty Received],tblReceipts[Item Name],$A302,tblReceipts[Expiry Date],"&lt;"&amp;$H302)+SUMIFS(tblReceipts[Qty Received],tblReceipts[Item Name],$A302,tblReceipts[Expiry Date],$H302,tblReceipts[Lot Number],"&lt;"&amp;Receipts!$C305))</f>
        <v/>
      </c>
      <c r="L302" s="26" t="str">
        <f>IF($A302="","",MIN($D302,MAX(0,SUMIFS(tblIssues[Qty Issued],tblIssues[Item Name],$A302)-$K302)))</f>
        <v/>
      </c>
      <c r="M302" s="26" t="str">
        <f>IF($A302="","",SUMIFS(tblIssues[Qty Issued],tblIssues[Lot Number],$B302))</f>
        <v/>
      </c>
      <c r="N302" s="26" t="str">
        <f t="shared" si="22"/>
        <v/>
      </c>
      <c r="O302" s="26" t="str">
        <f t="shared" si="23"/>
        <v/>
      </c>
      <c r="P302" s="21" t="str">
        <f t="shared" si="24"/>
        <v/>
      </c>
      <c r="Q302" s="52" t="str">
        <f>IF($A302="","",IF($O302&lt;=0,"Depleted",IF($I302&lt;0,"EXPIRED",IF($I302&lt;=Settings!$C$6,"CRITICAL",IF($I302&lt;=Settings!$C$5,"Expiring","In date")))))</f>
        <v/>
      </c>
    </row>
    <row r="303" spans="1:17" x14ac:dyDescent="0.35">
      <c r="A303" s="90" t="str">
        <f>IF(Receipts!$D306="","",Receipts!$D306)</f>
        <v/>
      </c>
      <c r="B303" s="18" t="str">
        <f>IF(Receipts!$C306="","",Receipts!$C306)</f>
        <v/>
      </c>
      <c r="C303" s="18" t="str">
        <f>IF($A303="","",IFERROR(INDEX(Items!$B$5:$B$597,MATCH($A303,Items!$A$5:$A$597,0)),""))</f>
        <v/>
      </c>
      <c r="D303" s="23" t="str">
        <f>IF($A303="","",N(Receipts!$G306))</f>
        <v/>
      </c>
      <c r="E303" s="20" t="str">
        <f>IF($A303="","",IFERROR(INDEX(Items!$D$5:$D$597,MATCH($A303,Items!$A$5:$A$597,0)),0))</f>
        <v/>
      </c>
      <c r="F303" s="21" t="str">
        <f t="shared" si="20"/>
        <v/>
      </c>
      <c r="G303" s="25" t="str">
        <f>IF(Receipts!$I306="","",Receipts!$I306)</f>
        <v/>
      </c>
      <c r="H303" s="25" t="str">
        <f>IF(Receipts!$H306="","",Receipts!$H306)</f>
        <v/>
      </c>
      <c r="I303" s="26" t="str">
        <f t="shared" ca="1" si="21"/>
        <v/>
      </c>
      <c r="J303" s="26" t="str">
        <f>IF($A303="","",COUNTIFS(tblReceipts[Item Name],$A303,tblReceipts[Expiry Date],"&lt;"&amp;$H303)+COUNTIFS(tblReceipts[Item Name],$A303,tblReceipts[Expiry Date],$H303,tblReceipts[Lot Number],"&lt;="&amp;Receipts!$C306))</f>
        <v/>
      </c>
      <c r="K303" s="26" t="str">
        <f>IF($A303="","",SUMIFS(tblReceipts[Qty Received],tblReceipts[Item Name],$A303,tblReceipts[Expiry Date],"&lt;"&amp;$H303)+SUMIFS(tblReceipts[Qty Received],tblReceipts[Item Name],$A303,tblReceipts[Expiry Date],$H303,tblReceipts[Lot Number],"&lt;"&amp;Receipts!$C306))</f>
        <v/>
      </c>
      <c r="L303" s="26" t="str">
        <f>IF($A303="","",MIN($D303,MAX(0,SUMIFS(tblIssues[Qty Issued],tblIssues[Item Name],$A303)-$K303)))</f>
        <v/>
      </c>
      <c r="M303" s="26" t="str">
        <f>IF($A303="","",SUMIFS(tblIssues[Qty Issued],tblIssues[Lot Number],$B303))</f>
        <v/>
      </c>
      <c r="N303" s="26" t="str">
        <f t="shared" si="22"/>
        <v/>
      </c>
      <c r="O303" s="26" t="str">
        <f t="shared" si="23"/>
        <v/>
      </c>
      <c r="P303" s="21" t="str">
        <f t="shared" si="24"/>
        <v/>
      </c>
      <c r="Q303" s="52" t="str">
        <f>IF($A303="","",IF($O303&lt;=0,"Depleted",IF($I303&lt;0,"EXPIRED",IF($I303&lt;=Settings!$C$6,"CRITICAL",IF($I303&lt;=Settings!$C$5,"Expiring","In date")))))</f>
        <v/>
      </c>
    </row>
    <row r="304" spans="1:17" x14ac:dyDescent="0.35">
      <c r="A304" s="90" t="str">
        <f>IF(Receipts!$D307="","",Receipts!$D307)</f>
        <v/>
      </c>
      <c r="B304" s="18" t="str">
        <f>IF(Receipts!$C307="","",Receipts!$C307)</f>
        <v/>
      </c>
      <c r="C304" s="18" t="str">
        <f>IF($A304="","",IFERROR(INDEX(Items!$B$5:$B$597,MATCH($A304,Items!$A$5:$A$597,0)),""))</f>
        <v/>
      </c>
      <c r="D304" s="23" t="str">
        <f>IF($A304="","",N(Receipts!$G307))</f>
        <v/>
      </c>
      <c r="E304" s="20" t="str">
        <f>IF($A304="","",IFERROR(INDEX(Items!$D$5:$D$597,MATCH($A304,Items!$A$5:$A$597,0)),0))</f>
        <v/>
      </c>
      <c r="F304" s="21" t="str">
        <f t="shared" si="20"/>
        <v/>
      </c>
      <c r="G304" s="25" t="str">
        <f>IF(Receipts!$I307="","",Receipts!$I307)</f>
        <v/>
      </c>
      <c r="H304" s="25" t="str">
        <f>IF(Receipts!$H307="","",Receipts!$H307)</f>
        <v/>
      </c>
      <c r="I304" s="26" t="str">
        <f t="shared" ca="1" si="21"/>
        <v/>
      </c>
      <c r="J304" s="26" t="str">
        <f>IF($A304="","",COUNTIFS(tblReceipts[Item Name],$A304,tblReceipts[Expiry Date],"&lt;"&amp;$H304)+COUNTIFS(tblReceipts[Item Name],$A304,tblReceipts[Expiry Date],$H304,tblReceipts[Lot Number],"&lt;="&amp;Receipts!$C307))</f>
        <v/>
      </c>
      <c r="K304" s="26" t="str">
        <f>IF($A304="","",SUMIFS(tblReceipts[Qty Received],tblReceipts[Item Name],$A304,tblReceipts[Expiry Date],"&lt;"&amp;$H304)+SUMIFS(tblReceipts[Qty Received],tblReceipts[Item Name],$A304,tblReceipts[Expiry Date],$H304,tblReceipts[Lot Number],"&lt;"&amp;Receipts!$C307))</f>
        <v/>
      </c>
      <c r="L304" s="26" t="str">
        <f>IF($A304="","",MIN($D304,MAX(0,SUMIFS(tblIssues[Qty Issued],tblIssues[Item Name],$A304)-$K304)))</f>
        <v/>
      </c>
      <c r="M304" s="26" t="str">
        <f>IF($A304="","",SUMIFS(tblIssues[Qty Issued],tblIssues[Lot Number],$B304))</f>
        <v/>
      </c>
      <c r="N304" s="26" t="str">
        <f t="shared" si="22"/>
        <v/>
      </c>
      <c r="O304" s="26" t="str">
        <f t="shared" si="23"/>
        <v/>
      </c>
      <c r="P304" s="21" t="str">
        <f t="shared" si="24"/>
        <v/>
      </c>
      <c r="Q304" s="52" t="str">
        <f>IF($A304="","",IF($O304&lt;=0,"Depleted",IF($I304&lt;0,"EXPIRED",IF($I304&lt;=Settings!$C$6,"CRITICAL",IF($I304&lt;=Settings!$C$5,"Expiring","In date")))))</f>
        <v/>
      </c>
    </row>
    <row r="305" spans="1:17" x14ac:dyDescent="0.35">
      <c r="A305" s="90" t="str">
        <f>IF(Receipts!$D308="","",Receipts!$D308)</f>
        <v/>
      </c>
      <c r="B305" s="18" t="str">
        <f>IF(Receipts!$C308="","",Receipts!$C308)</f>
        <v/>
      </c>
      <c r="C305" s="18" t="str">
        <f>IF($A305="","",IFERROR(INDEX(Items!$B$5:$B$597,MATCH($A305,Items!$A$5:$A$597,0)),""))</f>
        <v/>
      </c>
      <c r="D305" s="23" t="str">
        <f>IF($A305="","",N(Receipts!$G308))</f>
        <v/>
      </c>
      <c r="E305" s="20" t="str">
        <f>IF($A305="","",IFERROR(INDEX(Items!$D$5:$D$597,MATCH($A305,Items!$A$5:$A$597,0)),0))</f>
        <v/>
      </c>
      <c r="F305" s="21" t="str">
        <f t="shared" si="20"/>
        <v/>
      </c>
      <c r="G305" s="25" t="str">
        <f>IF(Receipts!$I308="","",Receipts!$I308)</f>
        <v/>
      </c>
      <c r="H305" s="25" t="str">
        <f>IF(Receipts!$H308="","",Receipts!$H308)</f>
        <v/>
      </c>
      <c r="I305" s="26" t="str">
        <f t="shared" ca="1" si="21"/>
        <v/>
      </c>
      <c r="J305" s="26" t="str">
        <f>IF($A305="","",COUNTIFS(tblReceipts[Item Name],$A305,tblReceipts[Expiry Date],"&lt;"&amp;$H305)+COUNTIFS(tblReceipts[Item Name],$A305,tblReceipts[Expiry Date],$H305,tblReceipts[Lot Number],"&lt;="&amp;Receipts!$C308))</f>
        <v/>
      </c>
      <c r="K305" s="26" t="str">
        <f>IF($A305="","",SUMIFS(tblReceipts[Qty Received],tblReceipts[Item Name],$A305,tblReceipts[Expiry Date],"&lt;"&amp;$H305)+SUMIFS(tblReceipts[Qty Received],tblReceipts[Item Name],$A305,tblReceipts[Expiry Date],$H305,tblReceipts[Lot Number],"&lt;"&amp;Receipts!$C308))</f>
        <v/>
      </c>
      <c r="L305" s="26" t="str">
        <f>IF($A305="","",MIN($D305,MAX(0,SUMIFS(tblIssues[Qty Issued],tblIssues[Item Name],$A305)-$K305)))</f>
        <v/>
      </c>
      <c r="M305" s="26" t="str">
        <f>IF($A305="","",SUMIFS(tblIssues[Qty Issued],tblIssues[Lot Number],$B305))</f>
        <v/>
      </c>
      <c r="N305" s="26" t="str">
        <f t="shared" si="22"/>
        <v/>
      </c>
      <c r="O305" s="26" t="str">
        <f t="shared" si="23"/>
        <v/>
      </c>
      <c r="P305" s="21" t="str">
        <f t="shared" si="24"/>
        <v/>
      </c>
      <c r="Q305" s="52" t="str">
        <f>IF($A305="","",IF($O305&lt;=0,"Depleted",IF($I305&lt;0,"EXPIRED",IF($I305&lt;=Settings!$C$6,"CRITICAL",IF($I305&lt;=Settings!$C$5,"Expiring","In date")))))</f>
        <v/>
      </c>
    </row>
    <row r="306" spans="1:17" x14ac:dyDescent="0.35">
      <c r="A306" s="90" t="str">
        <f>IF(Receipts!$D309="","",Receipts!$D309)</f>
        <v/>
      </c>
      <c r="B306" s="18" t="str">
        <f>IF(Receipts!$C309="","",Receipts!$C309)</f>
        <v/>
      </c>
      <c r="C306" s="18" t="str">
        <f>IF($A306="","",IFERROR(INDEX(Items!$B$5:$B$597,MATCH($A306,Items!$A$5:$A$597,0)),""))</f>
        <v/>
      </c>
      <c r="D306" s="23" t="str">
        <f>IF($A306="","",N(Receipts!$G309))</f>
        <v/>
      </c>
      <c r="E306" s="20" t="str">
        <f>IF($A306="","",IFERROR(INDEX(Items!$D$5:$D$597,MATCH($A306,Items!$A$5:$A$597,0)),0))</f>
        <v/>
      </c>
      <c r="F306" s="21" t="str">
        <f t="shared" si="20"/>
        <v/>
      </c>
      <c r="G306" s="25" t="str">
        <f>IF(Receipts!$I309="","",Receipts!$I309)</f>
        <v/>
      </c>
      <c r="H306" s="25" t="str">
        <f>IF(Receipts!$H309="","",Receipts!$H309)</f>
        <v/>
      </c>
      <c r="I306" s="26" t="str">
        <f t="shared" ca="1" si="21"/>
        <v/>
      </c>
      <c r="J306" s="26" t="str">
        <f>IF($A306="","",COUNTIFS(tblReceipts[Item Name],$A306,tblReceipts[Expiry Date],"&lt;"&amp;$H306)+COUNTIFS(tblReceipts[Item Name],$A306,tblReceipts[Expiry Date],$H306,tblReceipts[Lot Number],"&lt;="&amp;Receipts!$C309))</f>
        <v/>
      </c>
      <c r="K306" s="26" t="str">
        <f>IF($A306="","",SUMIFS(tblReceipts[Qty Received],tblReceipts[Item Name],$A306,tblReceipts[Expiry Date],"&lt;"&amp;$H306)+SUMIFS(tblReceipts[Qty Received],tblReceipts[Item Name],$A306,tblReceipts[Expiry Date],$H306,tblReceipts[Lot Number],"&lt;"&amp;Receipts!$C309))</f>
        <v/>
      </c>
      <c r="L306" s="26" t="str">
        <f>IF($A306="","",MIN($D306,MAX(0,SUMIFS(tblIssues[Qty Issued],tblIssues[Item Name],$A306)-$K306)))</f>
        <v/>
      </c>
      <c r="M306" s="26" t="str">
        <f>IF($A306="","",SUMIFS(tblIssues[Qty Issued],tblIssues[Lot Number],$B306))</f>
        <v/>
      </c>
      <c r="N306" s="26" t="str">
        <f t="shared" si="22"/>
        <v/>
      </c>
      <c r="O306" s="26" t="str">
        <f t="shared" si="23"/>
        <v/>
      </c>
      <c r="P306" s="21" t="str">
        <f t="shared" si="24"/>
        <v/>
      </c>
      <c r="Q306" s="52" t="str">
        <f>IF($A306="","",IF($O306&lt;=0,"Depleted",IF($I306&lt;0,"EXPIRED",IF($I306&lt;=Settings!$C$6,"CRITICAL",IF($I306&lt;=Settings!$C$5,"Expiring","In date")))))</f>
        <v/>
      </c>
    </row>
    <row r="307" spans="1:17" x14ac:dyDescent="0.35">
      <c r="A307" s="90" t="str">
        <f>IF(Receipts!$D310="","",Receipts!$D310)</f>
        <v/>
      </c>
      <c r="B307" s="18" t="str">
        <f>IF(Receipts!$C310="","",Receipts!$C310)</f>
        <v/>
      </c>
      <c r="C307" s="18" t="str">
        <f>IF($A307="","",IFERROR(INDEX(Items!$B$5:$B$597,MATCH($A307,Items!$A$5:$A$597,0)),""))</f>
        <v/>
      </c>
      <c r="D307" s="23" t="str">
        <f>IF($A307="","",N(Receipts!$G310))</f>
        <v/>
      </c>
      <c r="E307" s="20" t="str">
        <f>IF($A307="","",IFERROR(INDEX(Items!$D$5:$D$597,MATCH($A307,Items!$A$5:$A$597,0)),0))</f>
        <v/>
      </c>
      <c r="F307" s="21" t="str">
        <f t="shared" si="20"/>
        <v/>
      </c>
      <c r="G307" s="25" t="str">
        <f>IF(Receipts!$I310="","",Receipts!$I310)</f>
        <v/>
      </c>
      <c r="H307" s="25" t="str">
        <f>IF(Receipts!$H310="","",Receipts!$H310)</f>
        <v/>
      </c>
      <c r="I307" s="26" t="str">
        <f t="shared" ca="1" si="21"/>
        <v/>
      </c>
      <c r="J307" s="26" t="str">
        <f>IF($A307="","",COUNTIFS(tblReceipts[Item Name],$A307,tblReceipts[Expiry Date],"&lt;"&amp;$H307)+COUNTIFS(tblReceipts[Item Name],$A307,tblReceipts[Expiry Date],$H307,tblReceipts[Lot Number],"&lt;="&amp;Receipts!$C310))</f>
        <v/>
      </c>
      <c r="K307" s="26" t="str">
        <f>IF($A307="","",SUMIFS(tblReceipts[Qty Received],tblReceipts[Item Name],$A307,tblReceipts[Expiry Date],"&lt;"&amp;$H307)+SUMIFS(tblReceipts[Qty Received],tblReceipts[Item Name],$A307,tblReceipts[Expiry Date],$H307,tblReceipts[Lot Number],"&lt;"&amp;Receipts!$C310))</f>
        <v/>
      </c>
      <c r="L307" s="26" t="str">
        <f>IF($A307="","",MIN($D307,MAX(0,SUMIFS(tblIssues[Qty Issued],tblIssues[Item Name],$A307)-$K307)))</f>
        <v/>
      </c>
      <c r="M307" s="26" t="str">
        <f>IF($A307="","",SUMIFS(tblIssues[Qty Issued],tblIssues[Lot Number],$B307))</f>
        <v/>
      </c>
      <c r="N307" s="26" t="str">
        <f t="shared" si="22"/>
        <v/>
      </c>
      <c r="O307" s="26" t="str">
        <f t="shared" si="23"/>
        <v/>
      </c>
      <c r="P307" s="21" t="str">
        <f t="shared" si="24"/>
        <v/>
      </c>
      <c r="Q307" s="52" t="str">
        <f>IF($A307="","",IF($O307&lt;=0,"Depleted",IF($I307&lt;0,"EXPIRED",IF($I307&lt;=Settings!$C$6,"CRITICAL",IF($I307&lt;=Settings!$C$5,"Expiring","In date")))))</f>
        <v/>
      </c>
    </row>
    <row r="308" spans="1:17" x14ac:dyDescent="0.35">
      <c r="A308" s="90" t="str">
        <f>IF(Receipts!$D311="","",Receipts!$D311)</f>
        <v/>
      </c>
      <c r="B308" s="18" t="str">
        <f>IF(Receipts!$C311="","",Receipts!$C311)</f>
        <v/>
      </c>
      <c r="C308" s="18" t="str">
        <f>IF($A308="","",IFERROR(INDEX(Items!$B$5:$B$597,MATCH($A308,Items!$A$5:$A$597,0)),""))</f>
        <v/>
      </c>
      <c r="D308" s="23" t="str">
        <f>IF($A308="","",N(Receipts!$G311))</f>
        <v/>
      </c>
      <c r="E308" s="20" t="str">
        <f>IF($A308="","",IFERROR(INDEX(Items!$D$5:$D$597,MATCH($A308,Items!$A$5:$A$597,0)),0))</f>
        <v/>
      </c>
      <c r="F308" s="21" t="str">
        <f t="shared" si="20"/>
        <v/>
      </c>
      <c r="G308" s="25" t="str">
        <f>IF(Receipts!$I311="","",Receipts!$I311)</f>
        <v/>
      </c>
      <c r="H308" s="25" t="str">
        <f>IF(Receipts!$H311="","",Receipts!$H311)</f>
        <v/>
      </c>
      <c r="I308" s="26" t="str">
        <f t="shared" ca="1" si="21"/>
        <v/>
      </c>
      <c r="J308" s="26" t="str">
        <f>IF($A308="","",COUNTIFS(tblReceipts[Item Name],$A308,tblReceipts[Expiry Date],"&lt;"&amp;$H308)+COUNTIFS(tblReceipts[Item Name],$A308,tblReceipts[Expiry Date],$H308,tblReceipts[Lot Number],"&lt;="&amp;Receipts!$C311))</f>
        <v/>
      </c>
      <c r="K308" s="26" t="str">
        <f>IF($A308="","",SUMIFS(tblReceipts[Qty Received],tblReceipts[Item Name],$A308,tblReceipts[Expiry Date],"&lt;"&amp;$H308)+SUMIFS(tblReceipts[Qty Received],tblReceipts[Item Name],$A308,tblReceipts[Expiry Date],$H308,tblReceipts[Lot Number],"&lt;"&amp;Receipts!$C311))</f>
        <v/>
      </c>
      <c r="L308" s="26" t="str">
        <f>IF($A308="","",MIN($D308,MAX(0,SUMIFS(tblIssues[Qty Issued],tblIssues[Item Name],$A308)-$K308)))</f>
        <v/>
      </c>
      <c r="M308" s="26" t="str">
        <f>IF($A308="","",SUMIFS(tblIssues[Qty Issued],tblIssues[Lot Number],$B308))</f>
        <v/>
      </c>
      <c r="N308" s="26" t="str">
        <f t="shared" si="22"/>
        <v/>
      </c>
      <c r="O308" s="26" t="str">
        <f t="shared" si="23"/>
        <v/>
      </c>
      <c r="P308" s="21" t="str">
        <f t="shared" si="24"/>
        <v/>
      </c>
      <c r="Q308" s="52" t="str">
        <f>IF($A308="","",IF($O308&lt;=0,"Depleted",IF($I308&lt;0,"EXPIRED",IF($I308&lt;=Settings!$C$6,"CRITICAL",IF($I308&lt;=Settings!$C$5,"Expiring","In date")))))</f>
        <v/>
      </c>
    </row>
    <row r="309" spans="1:17" x14ac:dyDescent="0.35">
      <c r="A309" s="90" t="str">
        <f>IF(Receipts!$D312="","",Receipts!$D312)</f>
        <v/>
      </c>
      <c r="B309" s="18" t="str">
        <f>IF(Receipts!$C312="","",Receipts!$C312)</f>
        <v/>
      </c>
      <c r="C309" s="18" t="str">
        <f>IF($A309="","",IFERROR(INDEX(Items!$B$5:$B$597,MATCH($A309,Items!$A$5:$A$597,0)),""))</f>
        <v/>
      </c>
      <c r="D309" s="23" t="str">
        <f>IF($A309="","",N(Receipts!$G312))</f>
        <v/>
      </c>
      <c r="E309" s="20" t="str">
        <f>IF($A309="","",IFERROR(INDEX(Items!$D$5:$D$597,MATCH($A309,Items!$A$5:$A$597,0)),0))</f>
        <v/>
      </c>
      <c r="F309" s="21" t="str">
        <f t="shared" si="20"/>
        <v/>
      </c>
      <c r="G309" s="25" t="str">
        <f>IF(Receipts!$I312="","",Receipts!$I312)</f>
        <v/>
      </c>
      <c r="H309" s="25" t="str">
        <f>IF(Receipts!$H312="","",Receipts!$H312)</f>
        <v/>
      </c>
      <c r="I309" s="26" t="str">
        <f t="shared" ca="1" si="21"/>
        <v/>
      </c>
      <c r="J309" s="26" t="str">
        <f>IF($A309="","",COUNTIFS(tblReceipts[Item Name],$A309,tblReceipts[Expiry Date],"&lt;"&amp;$H309)+COUNTIFS(tblReceipts[Item Name],$A309,tblReceipts[Expiry Date],$H309,tblReceipts[Lot Number],"&lt;="&amp;Receipts!$C312))</f>
        <v/>
      </c>
      <c r="K309" s="26" t="str">
        <f>IF($A309="","",SUMIFS(tblReceipts[Qty Received],tblReceipts[Item Name],$A309,tblReceipts[Expiry Date],"&lt;"&amp;$H309)+SUMIFS(tblReceipts[Qty Received],tblReceipts[Item Name],$A309,tblReceipts[Expiry Date],$H309,tblReceipts[Lot Number],"&lt;"&amp;Receipts!$C312))</f>
        <v/>
      </c>
      <c r="L309" s="26" t="str">
        <f>IF($A309="","",MIN($D309,MAX(0,SUMIFS(tblIssues[Qty Issued],tblIssues[Item Name],$A309)-$K309)))</f>
        <v/>
      </c>
      <c r="M309" s="26" t="str">
        <f>IF($A309="","",SUMIFS(tblIssues[Qty Issued],tblIssues[Lot Number],$B309))</f>
        <v/>
      </c>
      <c r="N309" s="26" t="str">
        <f t="shared" si="22"/>
        <v/>
      </c>
      <c r="O309" s="26" t="str">
        <f t="shared" si="23"/>
        <v/>
      </c>
      <c r="P309" s="21" t="str">
        <f t="shared" si="24"/>
        <v/>
      </c>
      <c r="Q309" s="52" t="str">
        <f>IF($A309="","",IF($O309&lt;=0,"Depleted",IF($I309&lt;0,"EXPIRED",IF($I309&lt;=Settings!$C$6,"CRITICAL",IF($I309&lt;=Settings!$C$5,"Expiring","In date")))))</f>
        <v/>
      </c>
    </row>
    <row r="310" spans="1:17" x14ac:dyDescent="0.35">
      <c r="A310" s="90" t="str">
        <f>IF(Receipts!$D313="","",Receipts!$D313)</f>
        <v/>
      </c>
      <c r="B310" s="18" t="str">
        <f>IF(Receipts!$C313="","",Receipts!$C313)</f>
        <v/>
      </c>
      <c r="C310" s="18" t="str">
        <f>IF($A310="","",IFERROR(INDEX(Items!$B$5:$B$597,MATCH($A310,Items!$A$5:$A$597,0)),""))</f>
        <v/>
      </c>
      <c r="D310" s="23" t="str">
        <f>IF($A310="","",N(Receipts!$G313))</f>
        <v/>
      </c>
      <c r="E310" s="20" t="str">
        <f>IF($A310="","",IFERROR(INDEX(Items!$D$5:$D$597,MATCH($A310,Items!$A$5:$A$597,0)),0))</f>
        <v/>
      </c>
      <c r="F310" s="21" t="str">
        <f t="shared" si="20"/>
        <v/>
      </c>
      <c r="G310" s="25" t="str">
        <f>IF(Receipts!$I313="","",Receipts!$I313)</f>
        <v/>
      </c>
      <c r="H310" s="25" t="str">
        <f>IF(Receipts!$H313="","",Receipts!$H313)</f>
        <v/>
      </c>
      <c r="I310" s="26" t="str">
        <f t="shared" ca="1" si="21"/>
        <v/>
      </c>
      <c r="J310" s="26" t="str">
        <f>IF($A310="","",COUNTIFS(tblReceipts[Item Name],$A310,tblReceipts[Expiry Date],"&lt;"&amp;$H310)+COUNTIFS(tblReceipts[Item Name],$A310,tblReceipts[Expiry Date],$H310,tblReceipts[Lot Number],"&lt;="&amp;Receipts!$C313))</f>
        <v/>
      </c>
      <c r="K310" s="26" t="str">
        <f>IF($A310="","",SUMIFS(tblReceipts[Qty Received],tblReceipts[Item Name],$A310,tblReceipts[Expiry Date],"&lt;"&amp;$H310)+SUMIFS(tblReceipts[Qty Received],tblReceipts[Item Name],$A310,tblReceipts[Expiry Date],$H310,tblReceipts[Lot Number],"&lt;"&amp;Receipts!$C313))</f>
        <v/>
      </c>
      <c r="L310" s="26" t="str">
        <f>IF($A310="","",MIN($D310,MAX(0,SUMIFS(tblIssues[Qty Issued],tblIssues[Item Name],$A310)-$K310)))</f>
        <v/>
      </c>
      <c r="M310" s="26" t="str">
        <f>IF($A310="","",SUMIFS(tblIssues[Qty Issued],tblIssues[Lot Number],$B310))</f>
        <v/>
      </c>
      <c r="N310" s="26" t="str">
        <f t="shared" si="22"/>
        <v/>
      </c>
      <c r="O310" s="26" t="str">
        <f t="shared" si="23"/>
        <v/>
      </c>
      <c r="P310" s="21" t="str">
        <f t="shared" si="24"/>
        <v/>
      </c>
      <c r="Q310" s="52" t="str">
        <f>IF($A310="","",IF($O310&lt;=0,"Depleted",IF($I310&lt;0,"EXPIRED",IF($I310&lt;=Settings!$C$6,"CRITICAL",IF($I310&lt;=Settings!$C$5,"Expiring","In date")))))</f>
        <v/>
      </c>
    </row>
    <row r="311" spans="1:17" x14ac:dyDescent="0.35">
      <c r="A311" s="90" t="str">
        <f>IF(Receipts!$D314="","",Receipts!$D314)</f>
        <v/>
      </c>
      <c r="B311" s="18" t="str">
        <f>IF(Receipts!$C314="","",Receipts!$C314)</f>
        <v/>
      </c>
      <c r="C311" s="18" t="str">
        <f>IF($A311="","",IFERROR(INDEX(Items!$B$5:$B$597,MATCH($A311,Items!$A$5:$A$597,0)),""))</f>
        <v/>
      </c>
      <c r="D311" s="23" t="str">
        <f>IF($A311="","",N(Receipts!$G314))</f>
        <v/>
      </c>
      <c r="E311" s="20" t="str">
        <f>IF($A311="","",IFERROR(INDEX(Items!$D$5:$D$597,MATCH($A311,Items!$A$5:$A$597,0)),0))</f>
        <v/>
      </c>
      <c r="F311" s="21" t="str">
        <f t="shared" si="20"/>
        <v/>
      </c>
      <c r="G311" s="25" t="str">
        <f>IF(Receipts!$I314="","",Receipts!$I314)</f>
        <v/>
      </c>
      <c r="H311" s="25" t="str">
        <f>IF(Receipts!$H314="","",Receipts!$H314)</f>
        <v/>
      </c>
      <c r="I311" s="26" t="str">
        <f t="shared" ca="1" si="21"/>
        <v/>
      </c>
      <c r="J311" s="26" t="str">
        <f>IF($A311="","",COUNTIFS(tblReceipts[Item Name],$A311,tblReceipts[Expiry Date],"&lt;"&amp;$H311)+COUNTIFS(tblReceipts[Item Name],$A311,tblReceipts[Expiry Date],$H311,tblReceipts[Lot Number],"&lt;="&amp;Receipts!$C314))</f>
        <v/>
      </c>
      <c r="K311" s="26" t="str">
        <f>IF($A311="","",SUMIFS(tblReceipts[Qty Received],tblReceipts[Item Name],$A311,tblReceipts[Expiry Date],"&lt;"&amp;$H311)+SUMIFS(tblReceipts[Qty Received],tblReceipts[Item Name],$A311,tblReceipts[Expiry Date],$H311,tblReceipts[Lot Number],"&lt;"&amp;Receipts!$C314))</f>
        <v/>
      </c>
      <c r="L311" s="26" t="str">
        <f>IF($A311="","",MIN($D311,MAX(0,SUMIFS(tblIssues[Qty Issued],tblIssues[Item Name],$A311)-$K311)))</f>
        <v/>
      </c>
      <c r="M311" s="26" t="str">
        <f>IF($A311="","",SUMIFS(tblIssues[Qty Issued],tblIssues[Lot Number],$B311))</f>
        <v/>
      </c>
      <c r="N311" s="26" t="str">
        <f t="shared" si="22"/>
        <v/>
      </c>
      <c r="O311" s="26" t="str">
        <f t="shared" si="23"/>
        <v/>
      </c>
      <c r="P311" s="21" t="str">
        <f t="shared" si="24"/>
        <v/>
      </c>
      <c r="Q311" s="52" t="str">
        <f>IF($A311="","",IF($O311&lt;=0,"Depleted",IF($I311&lt;0,"EXPIRED",IF($I311&lt;=Settings!$C$6,"CRITICAL",IF($I311&lt;=Settings!$C$5,"Expiring","In date")))))</f>
        <v/>
      </c>
    </row>
    <row r="312" spans="1:17" x14ac:dyDescent="0.35">
      <c r="A312" s="90" t="str">
        <f>IF(Receipts!$D315="","",Receipts!$D315)</f>
        <v/>
      </c>
      <c r="B312" s="18" t="str">
        <f>IF(Receipts!$C315="","",Receipts!$C315)</f>
        <v/>
      </c>
      <c r="C312" s="18" t="str">
        <f>IF($A312="","",IFERROR(INDEX(Items!$B$5:$B$597,MATCH($A312,Items!$A$5:$A$597,0)),""))</f>
        <v/>
      </c>
      <c r="D312" s="23" t="str">
        <f>IF($A312="","",N(Receipts!$G315))</f>
        <v/>
      </c>
      <c r="E312" s="20" t="str">
        <f>IF($A312="","",IFERROR(INDEX(Items!$D$5:$D$597,MATCH($A312,Items!$A$5:$A$597,0)),0))</f>
        <v/>
      </c>
      <c r="F312" s="21" t="str">
        <f t="shared" si="20"/>
        <v/>
      </c>
      <c r="G312" s="25" t="str">
        <f>IF(Receipts!$I315="","",Receipts!$I315)</f>
        <v/>
      </c>
      <c r="H312" s="25" t="str">
        <f>IF(Receipts!$H315="","",Receipts!$H315)</f>
        <v/>
      </c>
      <c r="I312" s="26" t="str">
        <f t="shared" ca="1" si="21"/>
        <v/>
      </c>
      <c r="J312" s="26" t="str">
        <f>IF($A312="","",COUNTIFS(tblReceipts[Item Name],$A312,tblReceipts[Expiry Date],"&lt;"&amp;$H312)+COUNTIFS(tblReceipts[Item Name],$A312,tblReceipts[Expiry Date],$H312,tblReceipts[Lot Number],"&lt;="&amp;Receipts!$C315))</f>
        <v/>
      </c>
      <c r="K312" s="26" t="str">
        <f>IF($A312="","",SUMIFS(tblReceipts[Qty Received],tblReceipts[Item Name],$A312,tblReceipts[Expiry Date],"&lt;"&amp;$H312)+SUMIFS(tblReceipts[Qty Received],tblReceipts[Item Name],$A312,tblReceipts[Expiry Date],$H312,tblReceipts[Lot Number],"&lt;"&amp;Receipts!$C315))</f>
        <v/>
      </c>
      <c r="L312" s="26" t="str">
        <f>IF($A312="","",MIN($D312,MAX(0,SUMIFS(tblIssues[Qty Issued],tblIssues[Item Name],$A312)-$K312)))</f>
        <v/>
      </c>
      <c r="M312" s="26" t="str">
        <f>IF($A312="","",SUMIFS(tblIssues[Qty Issued],tblIssues[Lot Number],$B312))</f>
        <v/>
      </c>
      <c r="N312" s="26" t="str">
        <f t="shared" si="22"/>
        <v/>
      </c>
      <c r="O312" s="26" t="str">
        <f t="shared" si="23"/>
        <v/>
      </c>
      <c r="P312" s="21" t="str">
        <f t="shared" si="24"/>
        <v/>
      </c>
      <c r="Q312" s="52" t="str">
        <f>IF($A312="","",IF($O312&lt;=0,"Depleted",IF($I312&lt;0,"EXPIRED",IF($I312&lt;=Settings!$C$6,"CRITICAL",IF($I312&lt;=Settings!$C$5,"Expiring","In date")))))</f>
        <v/>
      </c>
    </row>
    <row r="313" spans="1:17" x14ac:dyDescent="0.35">
      <c r="A313" s="90" t="str">
        <f>IF(Receipts!$D316="","",Receipts!$D316)</f>
        <v/>
      </c>
      <c r="B313" s="18" t="str">
        <f>IF(Receipts!$C316="","",Receipts!$C316)</f>
        <v/>
      </c>
      <c r="C313" s="18" t="str">
        <f>IF($A313="","",IFERROR(INDEX(Items!$B$5:$B$597,MATCH($A313,Items!$A$5:$A$597,0)),""))</f>
        <v/>
      </c>
      <c r="D313" s="23" t="str">
        <f>IF($A313="","",N(Receipts!$G316))</f>
        <v/>
      </c>
      <c r="E313" s="20" t="str">
        <f>IF($A313="","",IFERROR(INDEX(Items!$D$5:$D$597,MATCH($A313,Items!$A$5:$A$597,0)),0))</f>
        <v/>
      </c>
      <c r="F313" s="21" t="str">
        <f t="shared" si="20"/>
        <v/>
      </c>
      <c r="G313" s="25" t="str">
        <f>IF(Receipts!$I316="","",Receipts!$I316)</f>
        <v/>
      </c>
      <c r="H313" s="25" t="str">
        <f>IF(Receipts!$H316="","",Receipts!$H316)</f>
        <v/>
      </c>
      <c r="I313" s="26" t="str">
        <f t="shared" ca="1" si="21"/>
        <v/>
      </c>
      <c r="J313" s="26" t="str">
        <f>IF($A313="","",COUNTIFS(tblReceipts[Item Name],$A313,tblReceipts[Expiry Date],"&lt;"&amp;$H313)+COUNTIFS(tblReceipts[Item Name],$A313,tblReceipts[Expiry Date],$H313,tblReceipts[Lot Number],"&lt;="&amp;Receipts!$C316))</f>
        <v/>
      </c>
      <c r="K313" s="26" t="str">
        <f>IF($A313="","",SUMIFS(tblReceipts[Qty Received],tblReceipts[Item Name],$A313,tblReceipts[Expiry Date],"&lt;"&amp;$H313)+SUMIFS(tblReceipts[Qty Received],tblReceipts[Item Name],$A313,tblReceipts[Expiry Date],$H313,tblReceipts[Lot Number],"&lt;"&amp;Receipts!$C316))</f>
        <v/>
      </c>
      <c r="L313" s="26" t="str">
        <f>IF($A313="","",MIN($D313,MAX(0,SUMIFS(tblIssues[Qty Issued],tblIssues[Item Name],$A313)-$K313)))</f>
        <v/>
      </c>
      <c r="M313" s="26" t="str">
        <f>IF($A313="","",SUMIFS(tblIssues[Qty Issued],tblIssues[Lot Number],$B313))</f>
        <v/>
      </c>
      <c r="N313" s="26" t="str">
        <f t="shared" si="22"/>
        <v/>
      </c>
      <c r="O313" s="26" t="str">
        <f t="shared" si="23"/>
        <v/>
      </c>
      <c r="P313" s="21" t="str">
        <f t="shared" si="24"/>
        <v/>
      </c>
      <c r="Q313" s="52" t="str">
        <f>IF($A313="","",IF($O313&lt;=0,"Depleted",IF($I313&lt;0,"EXPIRED",IF($I313&lt;=Settings!$C$6,"CRITICAL",IF($I313&lt;=Settings!$C$5,"Expiring","In date")))))</f>
        <v/>
      </c>
    </row>
    <row r="314" spans="1:17" x14ac:dyDescent="0.35">
      <c r="A314" s="90" t="str">
        <f>IF(Receipts!$D317="","",Receipts!$D317)</f>
        <v/>
      </c>
      <c r="B314" s="18" t="str">
        <f>IF(Receipts!$C317="","",Receipts!$C317)</f>
        <v/>
      </c>
      <c r="C314" s="18" t="str">
        <f>IF($A314="","",IFERROR(INDEX(Items!$B$5:$B$597,MATCH($A314,Items!$A$5:$A$597,0)),""))</f>
        <v/>
      </c>
      <c r="D314" s="23" t="str">
        <f>IF($A314="","",N(Receipts!$G317))</f>
        <v/>
      </c>
      <c r="E314" s="20" t="str">
        <f>IF($A314="","",IFERROR(INDEX(Items!$D$5:$D$597,MATCH($A314,Items!$A$5:$A$597,0)),0))</f>
        <v/>
      </c>
      <c r="F314" s="21" t="str">
        <f t="shared" si="20"/>
        <v/>
      </c>
      <c r="G314" s="25" t="str">
        <f>IF(Receipts!$I317="","",Receipts!$I317)</f>
        <v/>
      </c>
      <c r="H314" s="25" t="str">
        <f>IF(Receipts!$H317="","",Receipts!$H317)</f>
        <v/>
      </c>
      <c r="I314" s="26" t="str">
        <f t="shared" ca="1" si="21"/>
        <v/>
      </c>
      <c r="J314" s="26" t="str">
        <f>IF($A314="","",COUNTIFS(tblReceipts[Item Name],$A314,tblReceipts[Expiry Date],"&lt;"&amp;$H314)+COUNTIFS(tblReceipts[Item Name],$A314,tblReceipts[Expiry Date],$H314,tblReceipts[Lot Number],"&lt;="&amp;Receipts!$C317))</f>
        <v/>
      </c>
      <c r="K314" s="26" t="str">
        <f>IF($A314="","",SUMIFS(tblReceipts[Qty Received],tblReceipts[Item Name],$A314,tblReceipts[Expiry Date],"&lt;"&amp;$H314)+SUMIFS(tblReceipts[Qty Received],tblReceipts[Item Name],$A314,tblReceipts[Expiry Date],$H314,tblReceipts[Lot Number],"&lt;"&amp;Receipts!$C317))</f>
        <v/>
      </c>
      <c r="L314" s="26" t="str">
        <f>IF($A314="","",MIN($D314,MAX(0,SUMIFS(tblIssues[Qty Issued],tblIssues[Item Name],$A314)-$K314)))</f>
        <v/>
      </c>
      <c r="M314" s="26" t="str">
        <f>IF($A314="","",SUMIFS(tblIssues[Qty Issued],tblIssues[Lot Number],$B314))</f>
        <v/>
      </c>
      <c r="N314" s="26" t="str">
        <f t="shared" si="22"/>
        <v/>
      </c>
      <c r="O314" s="26" t="str">
        <f t="shared" si="23"/>
        <v/>
      </c>
      <c r="P314" s="21" t="str">
        <f t="shared" si="24"/>
        <v/>
      </c>
      <c r="Q314" s="52" t="str">
        <f>IF($A314="","",IF($O314&lt;=0,"Depleted",IF($I314&lt;0,"EXPIRED",IF($I314&lt;=Settings!$C$6,"CRITICAL",IF($I314&lt;=Settings!$C$5,"Expiring","In date")))))</f>
        <v/>
      </c>
    </row>
    <row r="315" spans="1:17" x14ac:dyDescent="0.35">
      <c r="A315" s="90" t="str">
        <f>IF(Receipts!$D318="","",Receipts!$D318)</f>
        <v/>
      </c>
      <c r="B315" s="18" t="str">
        <f>IF(Receipts!$C318="","",Receipts!$C318)</f>
        <v/>
      </c>
      <c r="C315" s="18" t="str">
        <f>IF($A315="","",IFERROR(INDEX(Items!$B$5:$B$597,MATCH($A315,Items!$A$5:$A$597,0)),""))</f>
        <v/>
      </c>
      <c r="D315" s="23" t="str">
        <f>IF($A315="","",N(Receipts!$G318))</f>
        <v/>
      </c>
      <c r="E315" s="20" t="str">
        <f>IF($A315="","",IFERROR(INDEX(Items!$D$5:$D$597,MATCH($A315,Items!$A$5:$A$597,0)),0))</f>
        <v/>
      </c>
      <c r="F315" s="21" t="str">
        <f t="shared" si="20"/>
        <v/>
      </c>
      <c r="G315" s="25" t="str">
        <f>IF(Receipts!$I318="","",Receipts!$I318)</f>
        <v/>
      </c>
      <c r="H315" s="25" t="str">
        <f>IF(Receipts!$H318="","",Receipts!$H318)</f>
        <v/>
      </c>
      <c r="I315" s="26" t="str">
        <f t="shared" ca="1" si="21"/>
        <v/>
      </c>
      <c r="J315" s="26" t="str">
        <f>IF($A315="","",COUNTIFS(tblReceipts[Item Name],$A315,tblReceipts[Expiry Date],"&lt;"&amp;$H315)+COUNTIFS(tblReceipts[Item Name],$A315,tblReceipts[Expiry Date],$H315,tblReceipts[Lot Number],"&lt;="&amp;Receipts!$C318))</f>
        <v/>
      </c>
      <c r="K315" s="26" t="str">
        <f>IF($A315="","",SUMIFS(tblReceipts[Qty Received],tblReceipts[Item Name],$A315,tblReceipts[Expiry Date],"&lt;"&amp;$H315)+SUMIFS(tblReceipts[Qty Received],tblReceipts[Item Name],$A315,tblReceipts[Expiry Date],$H315,tblReceipts[Lot Number],"&lt;"&amp;Receipts!$C318))</f>
        <v/>
      </c>
      <c r="L315" s="26" t="str">
        <f>IF($A315="","",MIN($D315,MAX(0,SUMIFS(tblIssues[Qty Issued],tblIssues[Item Name],$A315)-$K315)))</f>
        <v/>
      </c>
      <c r="M315" s="26" t="str">
        <f>IF($A315="","",SUMIFS(tblIssues[Qty Issued],tblIssues[Lot Number],$B315))</f>
        <v/>
      </c>
      <c r="N315" s="26" t="str">
        <f t="shared" si="22"/>
        <v/>
      </c>
      <c r="O315" s="26" t="str">
        <f t="shared" si="23"/>
        <v/>
      </c>
      <c r="P315" s="21" t="str">
        <f t="shared" si="24"/>
        <v/>
      </c>
      <c r="Q315" s="52" t="str">
        <f>IF($A315="","",IF($O315&lt;=0,"Depleted",IF($I315&lt;0,"EXPIRED",IF($I315&lt;=Settings!$C$6,"CRITICAL",IF($I315&lt;=Settings!$C$5,"Expiring","In date")))))</f>
        <v/>
      </c>
    </row>
    <row r="316" spans="1:17" x14ac:dyDescent="0.35">
      <c r="A316" s="90" t="str">
        <f>IF(Receipts!$D319="","",Receipts!$D319)</f>
        <v/>
      </c>
      <c r="B316" s="18" t="str">
        <f>IF(Receipts!$C319="","",Receipts!$C319)</f>
        <v/>
      </c>
      <c r="C316" s="18" t="str">
        <f>IF($A316="","",IFERROR(INDEX(Items!$B$5:$B$597,MATCH($A316,Items!$A$5:$A$597,0)),""))</f>
        <v/>
      </c>
      <c r="D316" s="23" t="str">
        <f>IF($A316="","",N(Receipts!$G319))</f>
        <v/>
      </c>
      <c r="E316" s="20" t="str">
        <f>IF($A316="","",IFERROR(INDEX(Items!$D$5:$D$597,MATCH($A316,Items!$A$5:$A$597,0)),0))</f>
        <v/>
      </c>
      <c r="F316" s="21" t="str">
        <f t="shared" si="20"/>
        <v/>
      </c>
      <c r="G316" s="25" t="str">
        <f>IF(Receipts!$I319="","",Receipts!$I319)</f>
        <v/>
      </c>
      <c r="H316" s="25" t="str">
        <f>IF(Receipts!$H319="","",Receipts!$H319)</f>
        <v/>
      </c>
      <c r="I316" s="26" t="str">
        <f t="shared" ca="1" si="21"/>
        <v/>
      </c>
      <c r="J316" s="26" t="str">
        <f>IF($A316="","",COUNTIFS(tblReceipts[Item Name],$A316,tblReceipts[Expiry Date],"&lt;"&amp;$H316)+COUNTIFS(tblReceipts[Item Name],$A316,tblReceipts[Expiry Date],$H316,tblReceipts[Lot Number],"&lt;="&amp;Receipts!$C319))</f>
        <v/>
      </c>
      <c r="K316" s="26" t="str">
        <f>IF($A316="","",SUMIFS(tblReceipts[Qty Received],tblReceipts[Item Name],$A316,tblReceipts[Expiry Date],"&lt;"&amp;$H316)+SUMIFS(tblReceipts[Qty Received],tblReceipts[Item Name],$A316,tblReceipts[Expiry Date],$H316,tblReceipts[Lot Number],"&lt;"&amp;Receipts!$C319))</f>
        <v/>
      </c>
      <c r="L316" s="26" t="str">
        <f>IF($A316="","",MIN($D316,MAX(0,SUMIFS(tblIssues[Qty Issued],tblIssues[Item Name],$A316)-$K316)))</f>
        <v/>
      </c>
      <c r="M316" s="26" t="str">
        <f>IF($A316="","",SUMIFS(tblIssues[Qty Issued],tblIssues[Lot Number],$B316))</f>
        <v/>
      </c>
      <c r="N316" s="26" t="str">
        <f t="shared" si="22"/>
        <v/>
      </c>
      <c r="O316" s="26" t="str">
        <f t="shared" si="23"/>
        <v/>
      </c>
      <c r="P316" s="21" t="str">
        <f t="shared" si="24"/>
        <v/>
      </c>
      <c r="Q316" s="52" t="str">
        <f>IF($A316="","",IF($O316&lt;=0,"Depleted",IF($I316&lt;0,"EXPIRED",IF($I316&lt;=Settings!$C$6,"CRITICAL",IF($I316&lt;=Settings!$C$5,"Expiring","In date")))))</f>
        <v/>
      </c>
    </row>
    <row r="317" spans="1:17" x14ac:dyDescent="0.35">
      <c r="A317" s="90" t="str">
        <f>IF(Receipts!$D320="","",Receipts!$D320)</f>
        <v/>
      </c>
      <c r="B317" s="18" t="str">
        <f>IF(Receipts!$C320="","",Receipts!$C320)</f>
        <v/>
      </c>
      <c r="C317" s="18" t="str">
        <f>IF($A317="","",IFERROR(INDEX(Items!$B$5:$B$597,MATCH($A317,Items!$A$5:$A$597,0)),""))</f>
        <v/>
      </c>
      <c r="D317" s="23" t="str">
        <f>IF($A317="","",N(Receipts!$G320))</f>
        <v/>
      </c>
      <c r="E317" s="20" t="str">
        <f>IF($A317="","",IFERROR(INDEX(Items!$D$5:$D$597,MATCH($A317,Items!$A$5:$A$597,0)),0))</f>
        <v/>
      </c>
      <c r="F317" s="21" t="str">
        <f t="shared" si="20"/>
        <v/>
      </c>
      <c r="G317" s="25" t="str">
        <f>IF(Receipts!$I320="","",Receipts!$I320)</f>
        <v/>
      </c>
      <c r="H317" s="25" t="str">
        <f>IF(Receipts!$H320="","",Receipts!$H320)</f>
        <v/>
      </c>
      <c r="I317" s="26" t="str">
        <f t="shared" ca="1" si="21"/>
        <v/>
      </c>
      <c r="J317" s="26" t="str">
        <f>IF($A317="","",COUNTIFS(tblReceipts[Item Name],$A317,tblReceipts[Expiry Date],"&lt;"&amp;$H317)+COUNTIFS(tblReceipts[Item Name],$A317,tblReceipts[Expiry Date],$H317,tblReceipts[Lot Number],"&lt;="&amp;Receipts!$C320))</f>
        <v/>
      </c>
      <c r="K317" s="26" t="str">
        <f>IF($A317="","",SUMIFS(tblReceipts[Qty Received],tblReceipts[Item Name],$A317,tblReceipts[Expiry Date],"&lt;"&amp;$H317)+SUMIFS(tblReceipts[Qty Received],tblReceipts[Item Name],$A317,tblReceipts[Expiry Date],$H317,tblReceipts[Lot Number],"&lt;"&amp;Receipts!$C320))</f>
        <v/>
      </c>
      <c r="L317" s="26" t="str">
        <f>IF($A317="","",MIN($D317,MAX(0,SUMIFS(tblIssues[Qty Issued],tblIssues[Item Name],$A317)-$K317)))</f>
        <v/>
      </c>
      <c r="M317" s="26" t="str">
        <f>IF($A317="","",SUMIFS(tblIssues[Qty Issued],tblIssues[Lot Number],$B317))</f>
        <v/>
      </c>
      <c r="N317" s="26" t="str">
        <f t="shared" si="22"/>
        <v/>
      </c>
      <c r="O317" s="26" t="str">
        <f t="shared" si="23"/>
        <v/>
      </c>
      <c r="P317" s="21" t="str">
        <f t="shared" si="24"/>
        <v/>
      </c>
      <c r="Q317" s="52" t="str">
        <f>IF($A317="","",IF($O317&lt;=0,"Depleted",IF($I317&lt;0,"EXPIRED",IF($I317&lt;=Settings!$C$6,"CRITICAL",IF($I317&lt;=Settings!$C$5,"Expiring","In date")))))</f>
        <v/>
      </c>
    </row>
    <row r="318" spans="1:17" x14ac:dyDescent="0.35">
      <c r="A318" s="90" t="str">
        <f>IF(Receipts!$D321="","",Receipts!$D321)</f>
        <v/>
      </c>
      <c r="B318" s="18" t="str">
        <f>IF(Receipts!$C321="","",Receipts!$C321)</f>
        <v/>
      </c>
      <c r="C318" s="18" t="str">
        <f>IF($A318="","",IFERROR(INDEX(Items!$B$5:$B$597,MATCH($A318,Items!$A$5:$A$597,0)),""))</f>
        <v/>
      </c>
      <c r="D318" s="23" t="str">
        <f>IF($A318="","",N(Receipts!$G321))</f>
        <v/>
      </c>
      <c r="E318" s="20" t="str">
        <f>IF($A318="","",IFERROR(INDEX(Items!$D$5:$D$597,MATCH($A318,Items!$A$5:$A$597,0)),0))</f>
        <v/>
      </c>
      <c r="F318" s="21" t="str">
        <f t="shared" si="20"/>
        <v/>
      </c>
      <c r="G318" s="25" t="str">
        <f>IF(Receipts!$I321="","",Receipts!$I321)</f>
        <v/>
      </c>
      <c r="H318" s="25" t="str">
        <f>IF(Receipts!$H321="","",Receipts!$H321)</f>
        <v/>
      </c>
      <c r="I318" s="26" t="str">
        <f t="shared" ca="1" si="21"/>
        <v/>
      </c>
      <c r="J318" s="26" t="str">
        <f>IF($A318="","",COUNTIFS(tblReceipts[Item Name],$A318,tblReceipts[Expiry Date],"&lt;"&amp;$H318)+COUNTIFS(tblReceipts[Item Name],$A318,tblReceipts[Expiry Date],$H318,tblReceipts[Lot Number],"&lt;="&amp;Receipts!$C321))</f>
        <v/>
      </c>
      <c r="K318" s="26" t="str">
        <f>IF($A318="","",SUMIFS(tblReceipts[Qty Received],tblReceipts[Item Name],$A318,tblReceipts[Expiry Date],"&lt;"&amp;$H318)+SUMIFS(tblReceipts[Qty Received],tblReceipts[Item Name],$A318,tblReceipts[Expiry Date],$H318,tblReceipts[Lot Number],"&lt;"&amp;Receipts!$C321))</f>
        <v/>
      </c>
      <c r="L318" s="26" t="str">
        <f>IF($A318="","",MIN($D318,MAX(0,SUMIFS(tblIssues[Qty Issued],tblIssues[Item Name],$A318)-$K318)))</f>
        <v/>
      </c>
      <c r="M318" s="26" t="str">
        <f>IF($A318="","",SUMIFS(tblIssues[Qty Issued],tblIssues[Lot Number],$B318))</f>
        <v/>
      </c>
      <c r="N318" s="26" t="str">
        <f t="shared" si="22"/>
        <v/>
      </c>
      <c r="O318" s="26" t="str">
        <f t="shared" si="23"/>
        <v/>
      </c>
      <c r="P318" s="21" t="str">
        <f t="shared" si="24"/>
        <v/>
      </c>
      <c r="Q318" s="52" t="str">
        <f>IF($A318="","",IF($O318&lt;=0,"Depleted",IF($I318&lt;0,"EXPIRED",IF($I318&lt;=Settings!$C$6,"CRITICAL",IF($I318&lt;=Settings!$C$5,"Expiring","In date")))))</f>
        <v/>
      </c>
    </row>
    <row r="319" spans="1:17" x14ac:dyDescent="0.35">
      <c r="A319" s="90" t="str">
        <f>IF(Receipts!$D322="","",Receipts!$D322)</f>
        <v/>
      </c>
      <c r="B319" s="18" t="str">
        <f>IF(Receipts!$C322="","",Receipts!$C322)</f>
        <v/>
      </c>
      <c r="C319" s="18" t="str">
        <f>IF($A319="","",IFERROR(INDEX(Items!$B$5:$B$597,MATCH($A319,Items!$A$5:$A$597,0)),""))</f>
        <v/>
      </c>
      <c r="D319" s="23" t="str">
        <f>IF($A319="","",N(Receipts!$G322))</f>
        <v/>
      </c>
      <c r="E319" s="20" t="str">
        <f>IF($A319="","",IFERROR(INDEX(Items!$D$5:$D$597,MATCH($A319,Items!$A$5:$A$597,0)),0))</f>
        <v/>
      </c>
      <c r="F319" s="21" t="str">
        <f t="shared" si="20"/>
        <v/>
      </c>
      <c r="G319" s="25" t="str">
        <f>IF(Receipts!$I322="","",Receipts!$I322)</f>
        <v/>
      </c>
      <c r="H319" s="25" t="str">
        <f>IF(Receipts!$H322="","",Receipts!$H322)</f>
        <v/>
      </c>
      <c r="I319" s="26" t="str">
        <f t="shared" ca="1" si="21"/>
        <v/>
      </c>
      <c r="J319" s="26" t="str">
        <f>IF($A319="","",COUNTIFS(tblReceipts[Item Name],$A319,tblReceipts[Expiry Date],"&lt;"&amp;$H319)+COUNTIFS(tblReceipts[Item Name],$A319,tblReceipts[Expiry Date],$H319,tblReceipts[Lot Number],"&lt;="&amp;Receipts!$C322))</f>
        <v/>
      </c>
      <c r="K319" s="26" t="str">
        <f>IF($A319="","",SUMIFS(tblReceipts[Qty Received],tblReceipts[Item Name],$A319,tblReceipts[Expiry Date],"&lt;"&amp;$H319)+SUMIFS(tblReceipts[Qty Received],tblReceipts[Item Name],$A319,tblReceipts[Expiry Date],$H319,tblReceipts[Lot Number],"&lt;"&amp;Receipts!$C322))</f>
        <v/>
      </c>
      <c r="L319" s="26" t="str">
        <f>IF($A319="","",MIN($D319,MAX(0,SUMIFS(tblIssues[Qty Issued],tblIssues[Item Name],$A319)-$K319)))</f>
        <v/>
      </c>
      <c r="M319" s="26" t="str">
        <f>IF($A319="","",SUMIFS(tblIssues[Qty Issued],tblIssues[Lot Number],$B319))</f>
        <v/>
      </c>
      <c r="N319" s="26" t="str">
        <f t="shared" si="22"/>
        <v/>
      </c>
      <c r="O319" s="26" t="str">
        <f t="shared" si="23"/>
        <v/>
      </c>
      <c r="P319" s="21" t="str">
        <f t="shared" si="24"/>
        <v/>
      </c>
      <c r="Q319" s="52" t="str">
        <f>IF($A319="","",IF($O319&lt;=0,"Depleted",IF($I319&lt;0,"EXPIRED",IF($I319&lt;=Settings!$C$6,"CRITICAL",IF($I319&lt;=Settings!$C$5,"Expiring","In date")))))</f>
        <v/>
      </c>
    </row>
    <row r="320" spans="1:17" x14ac:dyDescent="0.35">
      <c r="A320" s="90" t="str">
        <f>IF(Receipts!$D323="","",Receipts!$D323)</f>
        <v/>
      </c>
      <c r="B320" s="18" t="str">
        <f>IF(Receipts!$C323="","",Receipts!$C323)</f>
        <v/>
      </c>
      <c r="C320" s="18" t="str">
        <f>IF($A320="","",IFERROR(INDEX(Items!$B$5:$B$597,MATCH($A320,Items!$A$5:$A$597,0)),""))</f>
        <v/>
      </c>
      <c r="D320" s="23" t="str">
        <f>IF($A320="","",N(Receipts!$G323))</f>
        <v/>
      </c>
      <c r="E320" s="20" t="str">
        <f>IF($A320="","",IFERROR(INDEX(Items!$D$5:$D$597,MATCH($A320,Items!$A$5:$A$597,0)),0))</f>
        <v/>
      </c>
      <c r="F320" s="21" t="str">
        <f t="shared" si="20"/>
        <v/>
      </c>
      <c r="G320" s="25" t="str">
        <f>IF(Receipts!$I323="","",Receipts!$I323)</f>
        <v/>
      </c>
      <c r="H320" s="25" t="str">
        <f>IF(Receipts!$H323="","",Receipts!$H323)</f>
        <v/>
      </c>
      <c r="I320" s="26" t="str">
        <f t="shared" ca="1" si="21"/>
        <v/>
      </c>
      <c r="J320" s="26" t="str">
        <f>IF($A320="","",COUNTIFS(tblReceipts[Item Name],$A320,tblReceipts[Expiry Date],"&lt;"&amp;$H320)+COUNTIFS(tblReceipts[Item Name],$A320,tblReceipts[Expiry Date],$H320,tblReceipts[Lot Number],"&lt;="&amp;Receipts!$C323))</f>
        <v/>
      </c>
      <c r="K320" s="26" t="str">
        <f>IF($A320="","",SUMIFS(tblReceipts[Qty Received],tblReceipts[Item Name],$A320,tblReceipts[Expiry Date],"&lt;"&amp;$H320)+SUMIFS(tblReceipts[Qty Received],tblReceipts[Item Name],$A320,tblReceipts[Expiry Date],$H320,tblReceipts[Lot Number],"&lt;"&amp;Receipts!$C323))</f>
        <v/>
      </c>
      <c r="L320" s="26" t="str">
        <f>IF($A320="","",MIN($D320,MAX(0,SUMIFS(tblIssues[Qty Issued],tblIssues[Item Name],$A320)-$K320)))</f>
        <v/>
      </c>
      <c r="M320" s="26" t="str">
        <f>IF($A320="","",SUMIFS(tblIssues[Qty Issued],tblIssues[Lot Number],$B320))</f>
        <v/>
      </c>
      <c r="N320" s="26" t="str">
        <f t="shared" si="22"/>
        <v/>
      </c>
      <c r="O320" s="26" t="str">
        <f t="shared" si="23"/>
        <v/>
      </c>
      <c r="P320" s="21" t="str">
        <f t="shared" si="24"/>
        <v/>
      </c>
      <c r="Q320" s="52" t="str">
        <f>IF($A320="","",IF($O320&lt;=0,"Depleted",IF($I320&lt;0,"EXPIRED",IF($I320&lt;=Settings!$C$6,"CRITICAL",IF($I320&lt;=Settings!$C$5,"Expiring","In date")))))</f>
        <v/>
      </c>
    </row>
    <row r="321" spans="1:17" x14ac:dyDescent="0.35">
      <c r="A321" s="90" t="str">
        <f>IF(Receipts!$D324="","",Receipts!$D324)</f>
        <v/>
      </c>
      <c r="B321" s="18" t="str">
        <f>IF(Receipts!$C324="","",Receipts!$C324)</f>
        <v/>
      </c>
      <c r="C321" s="18" t="str">
        <f>IF($A321="","",IFERROR(INDEX(Items!$B$5:$B$597,MATCH($A321,Items!$A$5:$A$597,0)),""))</f>
        <v/>
      </c>
      <c r="D321" s="23" t="str">
        <f>IF($A321="","",N(Receipts!$G324))</f>
        <v/>
      </c>
      <c r="E321" s="20" t="str">
        <f>IF($A321="","",IFERROR(INDEX(Items!$D$5:$D$597,MATCH($A321,Items!$A$5:$A$597,0)),0))</f>
        <v/>
      </c>
      <c r="F321" s="21" t="str">
        <f t="shared" si="20"/>
        <v/>
      </c>
      <c r="G321" s="25" t="str">
        <f>IF(Receipts!$I324="","",Receipts!$I324)</f>
        <v/>
      </c>
      <c r="H321" s="25" t="str">
        <f>IF(Receipts!$H324="","",Receipts!$H324)</f>
        <v/>
      </c>
      <c r="I321" s="26" t="str">
        <f t="shared" ca="1" si="21"/>
        <v/>
      </c>
      <c r="J321" s="26" t="str">
        <f>IF($A321="","",COUNTIFS(tblReceipts[Item Name],$A321,tblReceipts[Expiry Date],"&lt;"&amp;$H321)+COUNTIFS(tblReceipts[Item Name],$A321,tblReceipts[Expiry Date],$H321,tblReceipts[Lot Number],"&lt;="&amp;Receipts!$C324))</f>
        <v/>
      </c>
      <c r="K321" s="26" t="str">
        <f>IF($A321="","",SUMIFS(tblReceipts[Qty Received],tblReceipts[Item Name],$A321,tblReceipts[Expiry Date],"&lt;"&amp;$H321)+SUMIFS(tblReceipts[Qty Received],tblReceipts[Item Name],$A321,tblReceipts[Expiry Date],$H321,tblReceipts[Lot Number],"&lt;"&amp;Receipts!$C324))</f>
        <v/>
      </c>
      <c r="L321" s="26" t="str">
        <f>IF($A321="","",MIN($D321,MAX(0,SUMIFS(tblIssues[Qty Issued],tblIssues[Item Name],$A321)-$K321)))</f>
        <v/>
      </c>
      <c r="M321" s="26" t="str">
        <f>IF($A321="","",SUMIFS(tblIssues[Qty Issued],tblIssues[Lot Number],$B321))</f>
        <v/>
      </c>
      <c r="N321" s="26" t="str">
        <f t="shared" si="22"/>
        <v/>
      </c>
      <c r="O321" s="26" t="str">
        <f t="shared" si="23"/>
        <v/>
      </c>
      <c r="P321" s="21" t="str">
        <f t="shared" si="24"/>
        <v/>
      </c>
      <c r="Q321" s="52" t="str">
        <f>IF($A321="","",IF($O321&lt;=0,"Depleted",IF($I321&lt;0,"EXPIRED",IF($I321&lt;=Settings!$C$6,"CRITICAL",IF($I321&lt;=Settings!$C$5,"Expiring","In date")))))</f>
        <v/>
      </c>
    </row>
    <row r="322" spans="1:17" x14ac:dyDescent="0.35">
      <c r="A322" s="90" t="str">
        <f>IF(Receipts!$D325="","",Receipts!$D325)</f>
        <v/>
      </c>
      <c r="B322" s="18" t="str">
        <f>IF(Receipts!$C325="","",Receipts!$C325)</f>
        <v/>
      </c>
      <c r="C322" s="18" t="str">
        <f>IF($A322="","",IFERROR(INDEX(Items!$B$5:$B$597,MATCH($A322,Items!$A$5:$A$597,0)),""))</f>
        <v/>
      </c>
      <c r="D322" s="23" t="str">
        <f>IF($A322="","",N(Receipts!$G325))</f>
        <v/>
      </c>
      <c r="E322" s="20" t="str">
        <f>IF($A322="","",IFERROR(INDEX(Items!$D$5:$D$597,MATCH($A322,Items!$A$5:$A$597,0)),0))</f>
        <v/>
      </c>
      <c r="F322" s="21" t="str">
        <f t="shared" si="20"/>
        <v/>
      </c>
      <c r="G322" s="25" t="str">
        <f>IF(Receipts!$I325="","",Receipts!$I325)</f>
        <v/>
      </c>
      <c r="H322" s="25" t="str">
        <f>IF(Receipts!$H325="","",Receipts!$H325)</f>
        <v/>
      </c>
      <c r="I322" s="26" t="str">
        <f t="shared" ca="1" si="21"/>
        <v/>
      </c>
      <c r="J322" s="26" t="str">
        <f>IF($A322="","",COUNTIFS(tblReceipts[Item Name],$A322,tblReceipts[Expiry Date],"&lt;"&amp;$H322)+COUNTIFS(tblReceipts[Item Name],$A322,tblReceipts[Expiry Date],$H322,tblReceipts[Lot Number],"&lt;="&amp;Receipts!$C325))</f>
        <v/>
      </c>
      <c r="K322" s="26" t="str">
        <f>IF($A322="","",SUMIFS(tblReceipts[Qty Received],tblReceipts[Item Name],$A322,tblReceipts[Expiry Date],"&lt;"&amp;$H322)+SUMIFS(tblReceipts[Qty Received],tblReceipts[Item Name],$A322,tblReceipts[Expiry Date],$H322,tblReceipts[Lot Number],"&lt;"&amp;Receipts!$C325))</f>
        <v/>
      </c>
      <c r="L322" s="26" t="str">
        <f>IF($A322="","",MIN($D322,MAX(0,SUMIFS(tblIssues[Qty Issued],tblIssues[Item Name],$A322)-$K322)))</f>
        <v/>
      </c>
      <c r="M322" s="26" t="str">
        <f>IF($A322="","",SUMIFS(tblIssues[Qty Issued],tblIssues[Lot Number],$B322))</f>
        <v/>
      </c>
      <c r="N322" s="26" t="str">
        <f t="shared" si="22"/>
        <v/>
      </c>
      <c r="O322" s="26" t="str">
        <f t="shared" si="23"/>
        <v/>
      </c>
      <c r="P322" s="21" t="str">
        <f t="shared" si="24"/>
        <v/>
      </c>
      <c r="Q322" s="52" t="str">
        <f>IF($A322="","",IF($O322&lt;=0,"Depleted",IF($I322&lt;0,"EXPIRED",IF($I322&lt;=Settings!$C$6,"CRITICAL",IF($I322&lt;=Settings!$C$5,"Expiring","In date")))))</f>
        <v/>
      </c>
    </row>
    <row r="323" spans="1:17" x14ac:dyDescent="0.35">
      <c r="A323" s="90" t="str">
        <f>IF(Receipts!$D326="","",Receipts!$D326)</f>
        <v/>
      </c>
      <c r="B323" s="18" t="str">
        <f>IF(Receipts!$C326="","",Receipts!$C326)</f>
        <v/>
      </c>
      <c r="C323" s="18" t="str">
        <f>IF($A323="","",IFERROR(INDEX(Items!$B$5:$B$597,MATCH($A323,Items!$A$5:$A$597,0)),""))</f>
        <v/>
      </c>
      <c r="D323" s="23" t="str">
        <f>IF($A323="","",N(Receipts!$G326))</f>
        <v/>
      </c>
      <c r="E323" s="20" t="str">
        <f>IF($A323="","",IFERROR(INDEX(Items!$D$5:$D$597,MATCH($A323,Items!$A$5:$A$597,0)),0))</f>
        <v/>
      </c>
      <c r="F323" s="21" t="str">
        <f t="shared" si="20"/>
        <v/>
      </c>
      <c r="G323" s="25" t="str">
        <f>IF(Receipts!$I326="","",Receipts!$I326)</f>
        <v/>
      </c>
      <c r="H323" s="25" t="str">
        <f>IF(Receipts!$H326="","",Receipts!$H326)</f>
        <v/>
      </c>
      <c r="I323" s="26" t="str">
        <f t="shared" ca="1" si="21"/>
        <v/>
      </c>
      <c r="J323" s="26" t="str">
        <f>IF($A323="","",COUNTIFS(tblReceipts[Item Name],$A323,tblReceipts[Expiry Date],"&lt;"&amp;$H323)+COUNTIFS(tblReceipts[Item Name],$A323,tblReceipts[Expiry Date],$H323,tblReceipts[Lot Number],"&lt;="&amp;Receipts!$C326))</f>
        <v/>
      </c>
      <c r="K323" s="26" t="str">
        <f>IF($A323="","",SUMIFS(tblReceipts[Qty Received],tblReceipts[Item Name],$A323,tblReceipts[Expiry Date],"&lt;"&amp;$H323)+SUMIFS(tblReceipts[Qty Received],tblReceipts[Item Name],$A323,tblReceipts[Expiry Date],$H323,tblReceipts[Lot Number],"&lt;"&amp;Receipts!$C326))</f>
        <v/>
      </c>
      <c r="L323" s="26" t="str">
        <f>IF($A323="","",MIN($D323,MAX(0,SUMIFS(tblIssues[Qty Issued],tblIssues[Item Name],$A323)-$K323)))</f>
        <v/>
      </c>
      <c r="M323" s="26" t="str">
        <f>IF($A323="","",SUMIFS(tblIssues[Qty Issued],tblIssues[Lot Number],$B323))</f>
        <v/>
      </c>
      <c r="N323" s="26" t="str">
        <f t="shared" si="22"/>
        <v/>
      </c>
      <c r="O323" s="26" t="str">
        <f t="shared" si="23"/>
        <v/>
      </c>
      <c r="P323" s="21" t="str">
        <f t="shared" si="24"/>
        <v/>
      </c>
      <c r="Q323" s="52" t="str">
        <f>IF($A323="","",IF($O323&lt;=0,"Depleted",IF($I323&lt;0,"EXPIRED",IF($I323&lt;=Settings!$C$6,"CRITICAL",IF($I323&lt;=Settings!$C$5,"Expiring","In date")))))</f>
        <v/>
      </c>
    </row>
    <row r="324" spans="1:17" x14ac:dyDescent="0.35">
      <c r="A324" s="90" t="str">
        <f>IF(Receipts!$D327="","",Receipts!$D327)</f>
        <v/>
      </c>
      <c r="B324" s="18" t="str">
        <f>IF(Receipts!$C327="","",Receipts!$C327)</f>
        <v/>
      </c>
      <c r="C324" s="18" t="str">
        <f>IF($A324="","",IFERROR(INDEX(Items!$B$5:$B$597,MATCH($A324,Items!$A$5:$A$597,0)),""))</f>
        <v/>
      </c>
      <c r="D324" s="23" t="str">
        <f>IF($A324="","",N(Receipts!$G327))</f>
        <v/>
      </c>
      <c r="E324" s="20" t="str">
        <f>IF($A324="","",IFERROR(INDEX(Items!$D$5:$D$597,MATCH($A324,Items!$A$5:$A$597,0)),0))</f>
        <v/>
      </c>
      <c r="F324" s="21" t="str">
        <f t="shared" si="20"/>
        <v/>
      </c>
      <c r="G324" s="25" t="str">
        <f>IF(Receipts!$I327="","",Receipts!$I327)</f>
        <v/>
      </c>
      <c r="H324" s="25" t="str">
        <f>IF(Receipts!$H327="","",Receipts!$H327)</f>
        <v/>
      </c>
      <c r="I324" s="26" t="str">
        <f t="shared" ca="1" si="21"/>
        <v/>
      </c>
      <c r="J324" s="26" t="str">
        <f>IF($A324="","",COUNTIFS(tblReceipts[Item Name],$A324,tblReceipts[Expiry Date],"&lt;"&amp;$H324)+COUNTIFS(tblReceipts[Item Name],$A324,tblReceipts[Expiry Date],$H324,tblReceipts[Lot Number],"&lt;="&amp;Receipts!$C327))</f>
        <v/>
      </c>
      <c r="K324" s="26" t="str">
        <f>IF($A324="","",SUMIFS(tblReceipts[Qty Received],tblReceipts[Item Name],$A324,tblReceipts[Expiry Date],"&lt;"&amp;$H324)+SUMIFS(tblReceipts[Qty Received],tblReceipts[Item Name],$A324,tblReceipts[Expiry Date],$H324,tblReceipts[Lot Number],"&lt;"&amp;Receipts!$C327))</f>
        <v/>
      </c>
      <c r="L324" s="26" t="str">
        <f>IF($A324="","",MIN($D324,MAX(0,SUMIFS(tblIssues[Qty Issued],tblIssues[Item Name],$A324)-$K324)))</f>
        <v/>
      </c>
      <c r="M324" s="26" t="str">
        <f>IF($A324="","",SUMIFS(tblIssues[Qty Issued],tblIssues[Lot Number],$B324))</f>
        <v/>
      </c>
      <c r="N324" s="26" t="str">
        <f t="shared" si="22"/>
        <v/>
      </c>
      <c r="O324" s="26" t="str">
        <f t="shared" si="23"/>
        <v/>
      </c>
      <c r="P324" s="21" t="str">
        <f t="shared" si="24"/>
        <v/>
      </c>
      <c r="Q324" s="52" t="str">
        <f>IF($A324="","",IF($O324&lt;=0,"Depleted",IF($I324&lt;0,"EXPIRED",IF($I324&lt;=Settings!$C$6,"CRITICAL",IF($I324&lt;=Settings!$C$5,"Expiring","In date")))))</f>
        <v/>
      </c>
    </row>
    <row r="325" spans="1:17" x14ac:dyDescent="0.35">
      <c r="A325" s="90" t="str">
        <f>IF(Receipts!$D328="","",Receipts!$D328)</f>
        <v/>
      </c>
      <c r="B325" s="18" t="str">
        <f>IF(Receipts!$C328="","",Receipts!$C328)</f>
        <v/>
      </c>
      <c r="C325" s="18" t="str">
        <f>IF($A325="","",IFERROR(INDEX(Items!$B$5:$B$597,MATCH($A325,Items!$A$5:$A$597,0)),""))</f>
        <v/>
      </c>
      <c r="D325" s="23" t="str">
        <f>IF($A325="","",N(Receipts!$G328))</f>
        <v/>
      </c>
      <c r="E325" s="20" t="str">
        <f>IF($A325="","",IFERROR(INDEX(Items!$D$5:$D$597,MATCH($A325,Items!$A$5:$A$597,0)),0))</f>
        <v/>
      </c>
      <c r="F325" s="21" t="str">
        <f t="shared" ref="F325:F388" si="25">IF($A325="","",$D325*$E325)</f>
        <v/>
      </c>
      <c r="G325" s="25" t="str">
        <f>IF(Receipts!$I328="","",Receipts!$I328)</f>
        <v/>
      </c>
      <c r="H325" s="25" t="str">
        <f>IF(Receipts!$H328="","",Receipts!$H328)</f>
        <v/>
      </c>
      <c r="I325" s="26" t="str">
        <f t="shared" ref="I325:I388" ca="1" si="26">IF($H325="","",$H325-TODAY())</f>
        <v/>
      </c>
      <c r="J325" s="26" t="str">
        <f>IF($A325="","",COUNTIFS(tblReceipts[Item Name],$A325,tblReceipts[Expiry Date],"&lt;"&amp;$H325)+COUNTIFS(tblReceipts[Item Name],$A325,tblReceipts[Expiry Date],$H325,tblReceipts[Lot Number],"&lt;="&amp;Receipts!$C328))</f>
        <v/>
      </c>
      <c r="K325" s="26" t="str">
        <f>IF($A325="","",SUMIFS(tblReceipts[Qty Received],tblReceipts[Item Name],$A325,tblReceipts[Expiry Date],"&lt;"&amp;$H325)+SUMIFS(tblReceipts[Qty Received],tblReceipts[Item Name],$A325,tblReceipts[Expiry Date],$H325,tblReceipts[Lot Number],"&lt;"&amp;Receipts!$C328))</f>
        <v/>
      </c>
      <c r="L325" s="26" t="str">
        <f>IF($A325="","",MIN($D325,MAX(0,SUMIFS(tblIssues[Qty Issued],tblIssues[Item Name],$A325)-$K325)))</f>
        <v/>
      </c>
      <c r="M325" s="26" t="str">
        <f>IF($A325="","",SUMIFS(tblIssues[Qty Issued],tblIssues[Lot Number],$B325))</f>
        <v/>
      </c>
      <c r="N325" s="26" t="str">
        <f t="shared" ref="N325:N388" si="27">IF($A325="","",$M325-$L325)</f>
        <v/>
      </c>
      <c r="O325" s="26" t="str">
        <f t="shared" ref="O325:O388" si="28">IF($A325="","",$D325-$L325)</f>
        <v/>
      </c>
      <c r="P325" s="21" t="str">
        <f t="shared" ref="P325:P388" si="29">IF($A325="","",$O325*$E325)</f>
        <v/>
      </c>
      <c r="Q325" s="52" t="str">
        <f>IF($A325="","",IF($O325&lt;=0,"Depleted",IF($I325&lt;0,"EXPIRED",IF($I325&lt;=Settings!$C$6,"CRITICAL",IF($I325&lt;=Settings!$C$5,"Expiring","In date")))))</f>
        <v/>
      </c>
    </row>
    <row r="326" spans="1:17" x14ac:dyDescent="0.35">
      <c r="A326" s="90" t="str">
        <f>IF(Receipts!$D329="","",Receipts!$D329)</f>
        <v/>
      </c>
      <c r="B326" s="18" t="str">
        <f>IF(Receipts!$C329="","",Receipts!$C329)</f>
        <v/>
      </c>
      <c r="C326" s="18" t="str">
        <f>IF($A326="","",IFERROR(INDEX(Items!$B$5:$B$597,MATCH($A326,Items!$A$5:$A$597,0)),""))</f>
        <v/>
      </c>
      <c r="D326" s="23" t="str">
        <f>IF($A326="","",N(Receipts!$G329))</f>
        <v/>
      </c>
      <c r="E326" s="20" t="str">
        <f>IF($A326="","",IFERROR(INDEX(Items!$D$5:$D$597,MATCH($A326,Items!$A$5:$A$597,0)),0))</f>
        <v/>
      </c>
      <c r="F326" s="21" t="str">
        <f t="shared" si="25"/>
        <v/>
      </c>
      <c r="G326" s="25" t="str">
        <f>IF(Receipts!$I329="","",Receipts!$I329)</f>
        <v/>
      </c>
      <c r="H326" s="25" t="str">
        <f>IF(Receipts!$H329="","",Receipts!$H329)</f>
        <v/>
      </c>
      <c r="I326" s="26" t="str">
        <f t="shared" ca="1" si="26"/>
        <v/>
      </c>
      <c r="J326" s="26" t="str">
        <f>IF($A326="","",COUNTIFS(tblReceipts[Item Name],$A326,tblReceipts[Expiry Date],"&lt;"&amp;$H326)+COUNTIFS(tblReceipts[Item Name],$A326,tblReceipts[Expiry Date],$H326,tblReceipts[Lot Number],"&lt;="&amp;Receipts!$C329))</f>
        <v/>
      </c>
      <c r="K326" s="26" t="str">
        <f>IF($A326="","",SUMIFS(tblReceipts[Qty Received],tblReceipts[Item Name],$A326,tblReceipts[Expiry Date],"&lt;"&amp;$H326)+SUMIFS(tblReceipts[Qty Received],tblReceipts[Item Name],$A326,tblReceipts[Expiry Date],$H326,tblReceipts[Lot Number],"&lt;"&amp;Receipts!$C329))</f>
        <v/>
      </c>
      <c r="L326" s="26" t="str">
        <f>IF($A326="","",MIN($D326,MAX(0,SUMIFS(tblIssues[Qty Issued],tblIssues[Item Name],$A326)-$K326)))</f>
        <v/>
      </c>
      <c r="M326" s="26" t="str">
        <f>IF($A326="","",SUMIFS(tblIssues[Qty Issued],tblIssues[Lot Number],$B326))</f>
        <v/>
      </c>
      <c r="N326" s="26" t="str">
        <f t="shared" si="27"/>
        <v/>
      </c>
      <c r="O326" s="26" t="str">
        <f t="shared" si="28"/>
        <v/>
      </c>
      <c r="P326" s="21" t="str">
        <f t="shared" si="29"/>
        <v/>
      </c>
      <c r="Q326" s="52" t="str">
        <f>IF($A326="","",IF($O326&lt;=0,"Depleted",IF($I326&lt;0,"EXPIRED",IF($I326&lt;=Settings!$C$6,"CRITICAL",IF($I326&lt;=Settings!$C$5,"Expiring","In date")))))</f>
        <v/>
      </c>
    </row>
    <row r="327" spans="1:17" x14ac:dyDescent="0.35">
      <c r="A327" s="90" t="str">
        <f>IF(Receipts!$D330="","",Receipts!$D330)</f>
        <v/>
      </c>
      <c r="B327" s="18" t="str">
        <f>IF(Receipts!$C330="","",Receipts!$C330)</f>
        <v/>
      </c>
      <c r="C327" s="18" t="str">
        <f>IF($A327="","",IFERROR(INDEX(Items!$B$5:$B$597,MATCH($A327,Items!$A$5:$A$597,0)),""))</f>
        <v/>
      </c>
      <c r="D327" s="23" t="str">
        <f>IF($A327="","",N(Receipts!$G330))</f>
        <v/>
      </c>
      <c r="E327" s="20" t="str">
        <f>IF($A327="","",IFERROR(INDEX(Items!$D$5:$D$597,MATCH($A327,Items!$A$5:$A$597,0)),0))</f>
        <v/>
      </c>
      <c r="F327" s="21" t="str">
        <f t="shared" si="25"/>
        <v/>
      </c>
      <c r="G327" s="25" t="str">
        <f>IF(Receipts!$I330="","",Receipts!$I330)</f>
        <v/>
      </c>
      <c r="H327" s="25" t="str">
        <f>IF(Receipts!$H330="","",Receipts!$H330)</f>
        <v/>
      </c>
      <c r="I327" s="26" t="str">
        <f t="shared" ca="1" si="26"/>
        <v/>
      </c>
      <c r="J327" s="26" t="str">
        <f>IF($A327="","",COUNTIFS(tblReceipts[Item Name],$A327,tblReceipts[Expiry Date],"&lt;"&amp;$H327)+COUNTIFS(tblReceipts[Item Name],$A327,tblReceipts[Expiry Date],$H327,tblReceipts[Lot Number],"&lt;="&amp;Receipts!$C330))</f>
        <v/>
      </c>
      <c r="K327" s="26" t="str">
        <f>IF($A327="","",SUMIFS(tblReceipts[Qty Received],tblReceipts[Item Name],$A327,tblReceipts[Expiry Date],"&lt;"&amp;$H327)+SUMIFS(tblReceipts[Qty Received],tblReceipts[Item Name],$A327,tblReceipts[Expiry Date],$H327,tblReceipts[Lot Number],"&lt;"&amp;Receipts!$C330))</f>
        <v/>
      </c>
      <c r="L327" s="26" t="str">
        <f>IF($A327="","",MIN($D327,MAX(0,SUMIFS(tblIssues[Qty Issued],tblIssues[Item Name],$A327)-$K327)))</f>
        <v/>
      </c>
      <c r="M327" s="26" t="str">
        <f>IF($A327="","",SUMIFS(tblIssues[Qty Issued],tblIssues[Lot Number],$B327))</f>
        <v/>
      </c>
      <c r="N327" s="26" t="str">
        <f t="shared" si="27"/>
        <v/>
      </c>
      <c r="O327" s="26" t="str">
        <f t="shared" si="28"/>
        <v/>
      </c>
      <c r="P327" s="21" t="str">
        <f t="shared" si="29"/>
        <v/>
      </c>
      <c r="Q327" s="52" t="str">
        <f>IF($A327="","",IF($O327&lt;=0,"Depleted",IF($I327&lt;0,"EXPIRED",IF($I327&lt;=Settings!$C$6,"CRITICAL",IF($I327&lt;=Settings!$C$5,"Expiring","In date")))))</f>
        <v/>
      </c>
    </row>
    <row r="328" spans="1:17" x14ac:dyDescent="0.35">
      <c r="A328" s="90" t="str">
        <f>IF(Receipts!$D331="","",Receipts!$D331)</f>
        <v/>
      </c>
      <c r="B328" s="18" t="str">
        <f>IF(Receipts!$C331="","",Receipts!$C331)</f>
        <v/>
      </c>
      <c r="C328" s="18" t="str">
        <f>IF($A328="","",IFERROR(INDEX(Items!$B$5:$B$597,MATCH($A328,Items!$A$5:$A$597,0)),""))</f>
        <v/>
      </c>
      <c r="D328" s="23" t="str">
        <f>IF($A328="","",N(Receipts!$G331))</f>
        <v/>
      </c>
      <c r="E328" s="20" t="str">
        <f>IF($A328="","",IFERROR(INDEX(Items!$D$5:$D$597,MATCH($A328,Items!$A$5:$A$597,0)),0))</f>
        <v/>
      </c>
      <c r="F328" s="21" t="str">
        <f t="shared" si="25"/>
        <v/>
      </c>
      <c r="G328" s="25" t="str">
        <f>IF(Receipts!$I331="","",Receipts!$I331)</f>
        <v/>
      </c>
      <c r="H328" s="25" t="str">
        <f>IF(Receipts!$H331="","",Receipts!$H331)</f>
        <v/>
      </c>
      <c r="I328" s="26" t="str">
        <f t="shared" ca="1" si="26"/>
        <v/>
      </c>
      <c r="J328" s="26" t="str">
        <f>IF($A328="","",COUNTIFS(tblReceipts[Item Name],$A328,tblReceipts[Expiry Date],"&lt;"&amp;$H328)+COUNTIFS(tblReceipts[Item Name],$A328,tblReceipts[Expiry Date],$H328,tblReceipts[Lot Number],"&lt;="&amp;Receipts!$C331))</f>
        <v/>
      </c>
      <c r="K328" s="26" t="str">
        <f>IF($A328="","",SUMIFS(tblReceipts[Qty Received],tblReceipts[Item Name],$A328,tblReceipts[Expiry Date],"&lt;"&amp;$H328)+SUMIFS(tblReceipts[Qty Received],tblReceipts[Item Name],$A328,tblReceipts[Expiry Date],$H328,tblReceipts[Lot Number],"&lt;"&amp;Receipts!$C331))</f>
        <v/>
      </c>
      <c r="L328" s="26" t="str">
        <f>IF($A328="","",MIN($D328,MAX(0,SUMIFS(tblIssues[Qty Issued],tblIssues[Item Name],$A328)-$K328)))</f>
        <v/>
      </c>
      <c r="M328" s="26" t="str">
        <f>IF($A328="","",SUMIFS(tblIssues[Qty Issued],tblIssues[Lot Number],$B328))</f>
        <v/>
      </c>
      <c r="N328" s="26" t="str">
        <f t="shared" si="27"/>
        <v/>
      </c>
      <c r="O328" s="26" t="str">
        <f t="shared" si="28"/>
        <v/>
      </c>
      <c r="P328" s="21" t="str">
        <f t="shared" si="29"/>
        <v/>
      </c>
      <c r="Q328" s="52" t="str">
        <f>IF($A328="","",IF($O328&lt;=0,"Depleted",IF($I328&lt;0,"EXPIRED",IF($I328&lt;=Settings!$C$6,"CRITICAL",IF($I328&lt;=Settings!$C$5,"Expiring","In date")))))</f>
        <v/>
      </c>
    </row>
    <row r="329" spans="1:17" x14ac:dyDescent="0.35">
      <c r="A329" s="90" t="str">
        <f>IF(Receipts!$D332="","",Receipts!$D332)</f>
        <v/>
      </c>
      <c r="B329" s="18" t="str">
        <f>IF(Receipts!$C332="","",Receipts!$C332)</f>
        <v/>
      </c>
      <c r="C329" s="18" t="str">
        <f>IF($A329="","",IFERROR(INDEX(Items!$B$5:$B$597,MATCH($A329,Items!$A$5:$A$597,0)),""))</f>
        <v/>
      </c>
      <c r="D329" s="23" t="str">
        <f>IF($A329="","",N(Receipts!$G332))</f>
        <v/>
      </c>
      <c r="E329" s="20" t="str">
        <f>IF($A329="","",IFERROR(INDEX(Items!$D$5:$D$597,MATCH($A329,Items!$A$5:$A$597,0)),0))</f>
        <v/>
      </c>
      <c r="F329" s="21" t="str">
        <f t="shared" si="25"/>
        <v/>
      </c>
      <c r="G329" s="25" t="str">
        <f>IF(Receipts!$I332="","",Receipts!$I332)</f>
        <v/>
      </c>
      <c r="H329" s="25" t="str">
        <f>IF(Receipts!$H332="","",Receipts!$H332)</f>
        <v/>
      </c>
      <c r="I329" s="26" t="str">
        <f t="shared" ca="1" si="26"/>
        <v/>
      </c>
      <c r="J329" s="26" t="str">
        <f>IF($A329="","",COUNTIFS(tblReceipts[Item Name],$A329,tblReceipts[Expiry Date],"&lt;"&amp;$H329)+COUNTIFS(tblReceipts[Item Name],$A329,tblReceipts[Expiry Date],$H329,tblReceipts[Lot Number],"&lt;="&amp;Receipts!$C332))</f>
        <v/>
      </c>
      <c r="K329" s="26" t="str">
        <f>IF($A329="","",SUMIFS(tblReceipts[Qty Received],tblReceipts[Item Name],$A329,tblReceipts[Expiry Date],"&lt;"&amp;$H329)+SUMIFS(tblReceipts[Qty Received],tblReceipts[Item Name],$A329,tblReceipts[Expiry Date],$H329,tblReceipts[Lot Number],"&lt;"&amp;Receipts!$C332))</f>
        <v/>
      </c>
      <c r="L329" s="26" t="str">
        <f>IF($A329="","",MIN($D329,MAX(0,SUMIFS(tblIssues[Qty Issued],tblIssues[Item Name],$A329)-$K329)))</f>
        <v/>
      </c>
      <c r="M329" s="26" t="str">
        <f>IF($A329="","",SUMIFS(tblIssues[Qty Issued],tblIssues[Lot Number],$B329))</f>
        <v/>
      </c>
      <c r="N329" s="26" t="str">
        <f t="shared" si="27"/>
        <v/>
      </c>
      <c r="O329" s="26" t="str">
        <f t="shared" si="28"/>
        <v/>
      </c>
      <c r="P329" s="21" t="str">
        <f t="shared" si="29"/>
        <v/>
      </c>
      <c r="Q329" s="52" t="str">
        <f>IF($A329="","",IF($O329&lt;=0,"Depleted",IF($I329&lt;0,"EXPIRED",IF($I329&lt;=Settings!$C$6,"CRITICAL",IF($I329&lt;=Settings!$C$5,"Expiring","In date")))))</f>
        <v/>
      </c>
    </row>
    <row r="330" spans="1:17" x14ac:dyDescent="0.35">
      <c r="A330" s="90" t="str">
        <f>IF(Receipts!$D333="","",Receipts!$D333)</f>
        <v/>
      </c>
      <c r="B330" s="18" t="str">
        <f>IF(Receipts!$C333="","",Receipts!$C333)</f>
        <v/>
      </c>
      <c r="C330" s="18" t="str">
        <f>IF($A330="","",IFERROR(INDEX(Items!$B$5:$B$597,MATCH($A330,Items!$A$5:$A$597,0)),""))</f>
        <v/>
      </c>
      <c r="D330" s="23" t="str">
        <f>IF($A330="","",N(Receipts!$G333))</f>
        <v/>
      </c>
      <c r="E330" s="20" t="str">
        <f>IF($A330="","",IFERROR(INDEX(Items!$D$5:$D$597,MATCH($A330,Items!$A$5:$A$597,0)),0))</f>
        <v/>
      </c>
      <c r="F330" s="21" t="str">
        <f t="shared" si="25"/>
        <v/>
      </c>
      <c r="G330" s="25" t="str">
        <f>IF(Receipts!$I333="","",Receipts!$I333)</f>
        <v/>
      </c>
      <c r="H330" s="25" t="str">
        <f>IF(Receipts!$H333="","",Receipts!$H333)</f>
        <v/>
      </c>
      <c r="I330" s="26" t="str">
        <f t="shared" ca="1" si="26"/>
        <v/>
      </c>
      <c r="J330" s="26" t="str">
        <f>IF($A330="","",COUNTIFS(tblReceipts[Item Name],$A330,tblReceipts[Expiry Date],"&lt;"&amp;$H330)+COUNTIFS(tblReceipts[Item Name],$A330,tblReceipts[Expiry Date],$H330,tblReceipts[Lot Number],"&lt;="&amp;Receipts!$C333))</f>
        <v/>
      </c>
      <c r="K330" s="26" t="str">
        <f>IF($A330="","",SUMIFS(tblReceipts[Qty Received],tblReceipts[Item Name],$A330,tblReceipts[Expiry Date],"&lt;"&amp;$H330)+SUMIFS(tblReceipts[Qty Received],tblReceipts[Item Name],$A330,tblReceipts[Expiry Date],$H330,tblReceipts[Lot Number],"&lt;"&amp;Receipts!$C333))</f>
        <v/>
      </c>
      <c r="L330" s="26" t="str">
        <f>IF($A330="","",MIN($D330,MAX(0,SUMIFS(tblIssues[Qty Issued],tblIssues[Item Name],$A330)-$K330)))</f>
        <v/>
      </c>
      <c r="M330" s="26" t="str">
        <f>IF($A330="","",SUMIFS(tblIssues[Qty Issued],tblIssues[Lot Number],$B330))</f>
        <v/>
      </c>
      <c r="N330" s="26" t="str">
        <f t="shared" si="27"/>
        <v/>
      </c>
      <c r="O330" s="26" t="str">
        <f t="shared" si="28"/>
        <v/>
      </c>
      <c r="P330" s="21" t="str">
        <f t="shared" si="29"/>
        <v/>
      </c>
      <c r="Q330" s="52" t="str">
        <f>IF($A330="","",IF($O330&lt;=0,"Depleted",IF($I330&lt;0,"EXPIRED",IF($I330&lt;=Settings!$C$6,"CRITICAL",IF($I330&lt;=Settings!$C$5,"Expiring","In date")))))</f>
        <v/>
      </c>
    </row>
    <row r="331" spans="1:17" x14ac:dyDescent="0.35">
      <c r="A331" s="90" t="str">
        <f>IF(Receipts!$D334="","",Receipts!$D334)</f>
        <v/>
      </c>
      <c r="B331" s="18" t="str">
        <f>IF(Receipts!$C334="","",Receipts!$C334)</f>
        <v/>
      </c>
      <c r="C331" s="18" t="str">
        <f>IF($A331="","",IFERROR(INDEX(Items!$B$5:$B$597,MATCH($A331,Items!$A$5:$A$597,0)),""))</f>
        <v/>
      </c>
      <c r="D331" s="23" t="str">
        <f>IF($A331="","",N(Receipts!$G334))</f>
        <v/>
      </c>
      <c r="E331" s="20" t="str">
        <f>IF($A331="","",IFERROR(INDEX(Items!$D$5:$D$597,MATCH($A331,Items!$A$5:$A$597,0)),0))</f>
        <v/>
      </c>
      <c r="F331" s="21" t="str">
        <f t="shared" si="25"/>
        <v/>
      </c>
      <c r="G331" s="25" t="str">
        <f>IF(Receipts!$I334="","",Receipts!$I334)</f>
        <v/>
      </c>
      <c r="H331" s="25" t="str">
        <f>IF(Receipts!$H334="","",Receipts!$H334)</f>
        <v/>
      </c>
      <c r="I331" s="26" t="str">
        <f t="shared" ca="1" si="26"/>
        <v/>
      </c>
      <c r="J331" s="26" t="str">
        <f>IF($A331="","",COUNTIFS(tblReceipts[Item Name],$A331,tblReceipts[Expiry Date],"&lt;"&amp;$H331)+COUNTIFS(tblReceipts[Item Name],$A331,tblReceipts[Expiry Date],$H331,tblReceipts[Lot Number],"&lt;="&amp;Receipts!$C334))</f>
        <v/>
      </c>
      <c r="K331" s="26" t="str">
        <f>IF($A331="","",SUMIFS(tblReceipts[Qty Received],tblReceipts[Item Name],$A331,tblReceipts[Expiry Date],"&lt;"&amp;$H331)+SUMIFS(tblReceipts[Qty Received],tblReceipts[Item Name],$A331,tblReceipts[Expiry Date],$H331,tblReceipts[Lot Number],"&lt;"&amp;Receipts!$C334))</f>
        <v/>
      </c>
      <c r="L331" s="26" t="str">
        <f>IF($A331="","",MIN($D331,MAX(0,SUMIFS(tblIssues[Qty Issued],tblIssues[Item Name],$A331)-$K331)))</f>
        <v/>
      </c>
      <c r="M331" s="26" t="str">
        <f>IF($A331="","",SUMIFS(tblIssues[Qty Issued],tblIssues[Lot Number],$B331))</f>
        <v/>
      </c>
      <c r="N331" s="26" t="str">
        <f t="shared" si="27"/>
        <v/>
      </c>
      <c r="O331" s="26" t="str">
        <f t="shared" si="28"/>
        <v/>
      </c>
      <c r="P331" s="21" t="str">
        <f t="shared" si="29"/>
        <v/>
      </c>
      <c r="Q331" s="52" t="str">
        <f>IF($A331="","",IF($O331&lt;=0,"Depleted",IF($I331&lt;0,"EXPIRED",IF($I331&lt;=Settings!$C$6,"CRITICAL",IF($I331&lt;=Settings!$C$5,"Expiring","In date")))))</f>
        <v/>
      </c>
    </row>
    <row r="332" spans="1:17" x14ac:dyDescent="0.35">
      <c r="A332" s="90" t="str">
        <f>IF(Receipts!$D335="","",Receipts!$D335)</f>
        <v/>
      </c>
      <c r="B332" s="18" t="str">
        <f>IF(Receipts!$C335="","",Receipts!$C335)</f>
        <v/>
      </c>
      <c r="C332" s="18" t="str">
        <f>IF($A332="","",IFERROR(INDEX(Items!$B$5:$B$597,MATCH($A332,Items!$A$5:$A$597,0)),""))</f>
        <v/>
      </c>
      <c r="D332" s="23" t="str">
        <f>IF($A332="","",N(Receipts!$G335))</f>
        <v/>
      </c>
      <c r="E332" s="20" t="str">
        <f>IF($A332="","",IFERROR(INDEX(Items!$D$5:$D$597,MATCH($A332,Items!$A$5:$A$597,0)),0))</f>
        <v/>
      </c>
      <c r="F332" s="21" t="str">
        <f t="shared" si="25"/>
        <v/>
      </c>
      <c r="G332" s="25" t="str">
        <f>IF(Receipts!$I335="","",Receipts!$I335)</f>
        <v/>
      </c>
      <c r="H332" s="25" t="str">
        <f>IF(Receipts!$H335="","",Receipts!$H335)</f>
        <v/>
      </c>
      <c r="I332" s="26" t="str">
        <f t="shared" ca="1" si="26"/>
        <v/>
      </c>
      <c r="J332" s="26" t="str">
        <f>IF($A332="","",COUNTIFS(tblReceipts[Item Name],$A332,tblReceipts[Expiry Date],"&lt;"&amp;$H332)+COUNTIFS(tblReceipts[Item Name],$A332,tblReceipts[Expiry Date],$H332,tblReceipts[Lot Number],"&lt;="&amp;Receipts!$C335))</f>
        <v/>
      </c>
      <c r="K332" s="26" t="str">
        <f>IF($A332="","",SUMIFS(tblReceipts[Qty Received],tblReceipts[Item Name],$A332,tblReceipts[Expiry Date],"&lt;"&amp;$H332)+SUMIFS(tblReceipts[Qty Received],tblReceipts[Item Name],$A332,tblReceipts[Expiry Date],$H332,tblReceipts[Lot Number],"&lt;"&amp;Receipts!$C335))</f>
        <v/>
      </c>
      <c r="L332" s="26" t="str">
        <f>IF($A332="","",MIN($D332,MAX(0,SUMIFS(tblIssues[Qty Issued],tblIssues[Item Name],$A332)-$K332)))</f>
        <v/>
      </c>
      <c r="M332" s="26" t="str">
        <f>IF($A332="","",SUMIFS(tblIssues[Qty Issued],tblIssues[Lot Number],$B332))</f>
        <v/>
      </c>
      <c r="N332" s="26" t="str">
        <f t="shared" si="27"/>
        <v/>
      </c>
      <c r="O332" s="26" t="str">
        <f t="shared" si="28"/>
        <v/>
      </c>
      <c r="P332" s="21" t="str">
        <f t="shared" si="29"/>
        <v/>
      </c>
      <c r="Q332" s="52" t="str">
        <f>IF($A332="","",IF($O332&lt;=0,"Depleted",IF($I332&lt;0,"EXPIRED",IF($I332&lt;=Settings!$C$6,"CRITICAL",IF($I332&lt;=Settings!$C$5,"Expiring","In date")))))</f>
        <v/>
      </c>
    </row>
    <row r="333" spans="1:17" x14ac:dyDescent="0.35">
      <c r="A333" s="90" t="str">
        <f>IF(Receipts!$D336="","",Receipts!$D336)</f>
        <v/>
      </c>
      <c r="B333" s="18" t="str">
        <f>IF(Receipts!$C336="","",Receipts!$C336)</f>
        <v/>
      </c>
      <c r="C333" s="18" t="str">
        <f>IF($A333="","",IFERROR(INDEX(Items!$B$5:$B$597,MATCH($A333,Items!$A$5:$A$597,0)),""))</f>
        <v/>
      </c>
      <c r="D333" s="23" t="str">
        <f>IF($A333="","",N(Receipts!$G336))</f>
        <v/>
      </c>
      <c r="E333" s="20" t="str">
        <f>IF($A333="","",IFERROR(INDEX(Items!$D$5:$D$597,MATCH($A333,Items!$A$5:$A$597,0)),0))</f>
        <v/>
      </c>
      <c r="F333" s="21" t="str">
        <f t="shared" si="25"/>
        <v/>
      </c>
      <c r="G333" s="25" t="str">
        <f>IF(Receipts!$I336="","",Receipts!$I336)</f>
        <v/>
      </c>
      <c r="H333" s="25" t="str">
        <f>IF(Receipts!$H336="","",Receipts!$H336)</f>
        <v/>
      </c>
      <c r="I333" s="26" t="str">
        <f t="shared" ca="1" si="26"/>
        <v/>
      </c>
      <c r="J333" s="26" t="str">
        <f>IF($A333="","",COUNTIFS(tblReceipts[Item Name],$A333,tblReceipts[Expiry Date],"&lt;"&amp;$H333)+COUNTIFS(tblReceipts[Item Name],$A333,tblReceipts[Expiry Date],$H333,tblReceipts[Lot Number],"&lt;="&amp;Receipts!$C336))</f>
        <v/>
      </c>
      <c r="K333" s="26" t="str">
        <f>IF($A333="","",SUMIFS(tblReceipts[Qty Received],tblReceipts[Item Name],$A333,tblReceipts[Expiry Date],"&lt;"&amp;$H333)+SUMIFS(tblReceipts[Qty Received],tblReceipts[Item Name],$A333,tblReceipts[Expiry Date],$H333,tblReceipts[Lot Number],"&lt;"&amp;Receipts!$C336))</f>
        <v/>
      </c>
      <c r="L333" s="26" t="str">
        <f>IF($A333="","",MIN($D333,MAX(0,SUMIFS(tblIssues[Qty Issued],tblIssues[Item Name],$A333)-$K333)))</f>
        <v/>
      </c>
      <c r="M333" s="26" t="str">
        <f>IF($A333="","",SUMIFS(tblIssues[Qty Issued],tblIssues[Lot Number],$B333))</f>
        <v/>
      </c>
      <c r="N333" s="26" t="str">
        <f t="shared" si="27"/>
        <v/>
      </c>
      <c r="O333" s="26" t="str">
        <f t="shared" si="28"/>
        <v/>
      </c>
      <c r="P333" s="21" t="str">
        <f t="shared" si="29"/>
        <v/>
      </c>
      <c r="Q333" s="52" t="str">
        <f>IF($A333="","",IF($O333&lt;=0,"Depleted",IF($I333&lt;0,"EXPIRED",IF($I333&lt;=Settings!$C$6,"CRITICAL",IF($I333&lt;=Settings!$C$5,"Expiring","In date")))))</f>
        <v/>
      </c>
    </row>
    <row r="334" spans="1:17" x14ac:dyDescent="0.35">
      <c r="A334" s="90" t="str">
        <f>IF(Receipts!$D337="","",Receipts!$D337)</f>
        <v/>
      </c>
      <c r="B334" s="18" t="str">
        <f>IF(Receipts!$C337="","",Receipts!$C337)</f>
        <v/>
      </c>
      <c r="C334" s="18" t="str">
        <f>IF($A334="","",IFERROR(INDEX(Items!$B$5:$B$597,MATCH($A334,Items!$A$5:$A$597,0)),""))</f>
        <v/>
      </c>
      <c r="D334" s="23" t="str">
        <f>IF($A334="","",N(Receipts!$G337))</f>
        <v/>
      </c>
      <c r="E334" s="20" t="str">
        <f>IF($A334="","",IFERROR(INDEX(Items!$D$5:$D$597,MATCH($A334,Items!$A$5:$A$597,0)),0))</f>
        <v/>
      </c>
      <c r="F334" s="21" t="str">
        <f t="shared" si="25"/>
        <v/>
      </c>
      <c r="G334" s="25" t="str">
        <f>IF(Receipts!$I337="","",Receipts!$I337)</f>
        <v/>
      </c>
      <c r="H334" s="25" t="str">
        <f>IF(Receipts!$H337="","",Receipts!$H337)</f>
        <v/>
      </c>
      <c r="I334" s="26" t="str">
        <f t="shared" ca="1" si="26"/>
        <v/>
      </c>
      <c r="J334" s="26" t="str">
        <f>IF($A334="","",COUNTIFS(tblReceipts[Item Name],$A334,tblReceipts[Expiry Date],"&lt;"&amp;$H334)+COUNTIFS(tblReceipts[Item Name],$A334,tblReceipts[Expiry Date],$H334,tblReceipts[Lot Number],"&lt;="&amp;Receipts!$C337))</f>
        <v/>
      </c>
      <c r="K334" s="26" t="str">
        <f>IF($A334="","",SUMIFS(tblReceipts[Qty Received],tblReceipts[Item Name],$A334,tblReceipts[Expiry Date],"&lt;"&amp;$H334)+SUMIFS(tblReceipts[Qty Received],tblReceipts[Item Name],$A334,tblReceipts[Expiry Date],$H334,tblReceipts[Lot Number],"&lt;"&amp;Receipts!$C337))</f>
        <v/>
      </c>
      <c r="L334" s="26" t="str">
        <f>IF($A334="","",MIN($D334,MAX(0,SUMIFS(tblIssues[Qty Issued],tblIssues[Item Name],$A334)-$K334)))</f>
        <v/>
      </c>
      <c r="M334" s="26" t="str">
        <f>IF($A334="","",SUMIFS(tblIssues[Qty Issued],tblIssues[Lot Number],$B334))</f>
        <v/>
      </c>
      <c r="N334" s="26" t="str">
        <f t="shared" si="27"/>
        <v/>
      </c>
      <c r="O334" s="26" t="str">
        <f t="shared" si="28"/>
        <v/>
      </c>
      <c r="P334" s="21" t="str">
        <f t="shared" si="29"/>
        <v/>
      </c>
      <c r="Q334" s="52" t="str">
        <f>IF($A334="","",IF($O334&lt;=0,"Depleted",IF($I334&lt;0,"EXPIRED",IF($I334&lt;=Settings!$C$6,"CRITICAL",IF($I334&lt;=Settings!$C$5,"Expiring","In date")))))</f>
        <v/>
      </c>
    </row>
    <row r="335" spans="1:17" x14ac:dyDescent="0.35">
      <c r="A335" s="90" t="str">
        <f>IF(Receipts!$D338="","",Receipts!$D338)</f>
        <v/>
      </c>
      <c r="B335" s="18" t="str">
        <f>IF(Receipts!$C338="","",Receipts!$C338)</f>
        <v/>
      </c>
      <c r="C335" s="18" t="str">
        <f>IF($A335="","",IFERROR(INDEX(Items!$B$5:$B$597,MATCH($A335,Items!$A$5:$A$597,0)),""))</f>
        <v/>
      </c>
      <c r="D335" s="23" t="str">
        <f>IF($A335="","",N(Receipts!$G338))</f>
        <v/>
      </c>
      <c r="E335" s="20" t="str">
        <f>IF($A335="","",IFERROR(INDEX(Items!$D$5:$D$597,MATCH($A335,Items!$A$5:$A$597,0)),0))</f>
        <v/>
      </c>
      <c r="F335" s="21" t="str">
        <f t="shared" si="25"/>
        <v/>
      </c>
      <c r="G335" s="25" t="str">
        <f>IF(Receipts!$I338="","",Receipts!$I338)</f>
        <v/>
      </c>
      <c r="H335" s="25" t="str">
        <f>IF(Receipts!$H338="","",Receipts!$H338)</f>
        <v/>
      </c>
      <c r="I335" s="26" t="str">
        <f t="shared" ca="1" si="26"/>
        <v/>
      </c>
      <c r="J335" s="26" t="str">
        <f>IF($A335="","",COUNTIFS(tblReceipts[Item Name],$A335,tblReceipts[Expiry Date],"&lt;"&amp;$H335)+COUNTIFS(tblReceipts[Item Name],$A335,tblReceipts[Expiry Date],$H335,tblReceipts[Lot Number],"&lt;="&amp;Receipts!$C338))</f>
        <v/>
      </c>
      <c r="K335" s="26" t="str">
        <f>IF($A335="","",SUMIFS(tblReceipts[Qty Received],tblReceipts[Item Name],$A335,tblReceipts[Expiry Date],"&lt;"&amp;$H335)+SUMIFS(tblReceipts[Qty Received],tblReceipts[Item Name],$A335,tblReceipts[Expiry Date],$H335,tblReceipts[Lot Number],"&lt;"&amp;Receipts!$C338))</f>
        <v/>
      </c>
      <c r="L335" s="26" t="str">
        <f>IF($A335="","",MIN($D335,MAX(0,SUMIFS(tblIssues[Qty Issued],tblIssues[Item Name],$A335)-$K335)))</f>
        <v/>
      </c>
      <c r="M335" s="26" t="str">
        <f>IF($A335="","",SUMIFS(tblIssues[Qty Issued],tblIssues[Lot Number],$B335))</f>
        <v/>
      </c>
      <c r="N335" s="26" t="str">
        <f t="shared" si="27"/>
        <v/>
      </c>
      <c r="O335" s="26" t="str">
        <f t="shared" si="28"/>
        <v/>
      </c>
      <c r="P335" s="21" t="str">
        <f t="shared" si="29"/>
        <v/>
      </c>
      <c r="Q335" s="52" t="str">
        <f>IF($A335="","",IF($O335&lt;=0,"Depleted",IF($I335&lt;0,"EXPIRED",IF($I335&lt;=Settings!$C$6,"CRITICAL",IF($I335&lt;=Settings!$C$5,"Expiring","In date")))))</f>
        <v/>
      </c>
    </row>
    <row r="336" spans="1:17" x14ac:dyDescent="0.35">
      <c r="A336" s="90" t="str">
        <f>IF(Receipts!$D339="","",Receipts!$D339)</f>
        <v/>
      </c>
      <c r="B336" s="18" t="str">
        <f>IF(Receipts!$C339="","",Receipts!$C339)</f>
        <v/>
      </c>
      <c r="C336" s="18" t="str">
        <f>IF($A336="","",IFERROR(INDEX(Items!$B$5:$B$597,MATCH($A336,Items!$A$5:$A$597,0)),""))</f>
        <v/>
      </c>
      <c r="D336" s="23" t="str">
        <f>IF($A336="","",N(Receipts!$G339))</f>
        <v/>
      </c>
      <c r="E336" s="20" t="str">
        <f>IF($A336="","",IFERROR(INDEX(Items!$D$5:$D$597,MATCH($A336,Items!$A$5:$A$597,0)),0))</f>
        <v/>
      </c>
      <c r="F336" s="21" t="str">
        <f t="shared" si="25"/>
        <v/>
      </c>
      <c r="G336" s="25" t="str">
        <f>IF(Receipts!$I339="","",Receipts!$I339)</f>
        <v/>
      </c>
      <c r="H336" s="25" t="str">
        <f>IF(Receipts!$H339="","",Receipts!$H339)</f>
        <v/>
      </c>
      <c r="I336" s="26" t="str">
        <f t="shared" ca="1" si="26"/>
        <v/>
      </c>
      <c r="J336" s="26" t="str">
        <f>IF($A336="","",COUNTIFS(tblReceipts[Item Name],$A336,tblReceipts[Expiry Date],"&lt;"&amp;$H336)+COUNTIFS(tblReceipts[Item Name],$A336,tblReceipts[Expiry Date],$H336,tblReceipts[Lot Number],"&lt;="&amp;Receipts!$C339))</f>
        <v/>
      </c>
      <c r="K336" s="26" t="str">
        <f>IF($A336="","",SUMIFS(tblReceipts[Qty Received],tblReceipts[Item Name],$A336,tblReceipts[Expiry Date],"&lt;"&amp;$H336)+SUMIFS(tblReceipts[Qty Received],tblReceipts[Item Name],$A336,tblReceipts[Expiry Date],$H336,tblReceipts[Lot Number],"&lt;"&amp;Receipts!$C339))</f>
        <v/>
      </c>
      <c r="L336" s="26" t="str">
        <f>IF($A336="","",MIN($D336,MAX(0,SUMIFS(tblIssues[Qty Issued],tblIssues[Item Name],$A336)-$K336)))</f>
        <v/>
      </c>
      <c r="M336" s="26" t="str">
        <f>IF($A336="","",SUMIFS(tblIssues[Qty Issued],tblIssues[Lot Number],$B336))</f>
        <v/>
      </c>
      <c r="N336" s="26" t="str">
        <f t="shared" si="27"/>
        <v/>
      </c>
      <c r="O336" s="26" t="str">
        <f t="shared" si="28"/>
        <v/>
      </c>
      <c r="P336" s="21" t="str">
        <f t="shared" si="29"/>
        <v/>
      </c>
      <c r="Q336" s="52" t="str">
        <f>IF($A336="","",IF($O336&lt;=0,"Depleted",IF($I336&lt;0,"EXPIRED",IF($I336&lt;=Settings!$C$6,"CRITICAL",IF($I336&lt;=Settings!$C$5,"Expiring","In date")))))</f>
        <v/>
      </c>
    </row>
    <row r="337" spans="1:17" x14ac:dyDescent="0.35">
      <c r="A337" s="90" t="str">
        <f>IF(Receipts!$D340="","",Receipts!$D340)</f>
        <v/>
      </c>
      <c r="B337" s="18" t="str">
        <f>IF(Receipts!$C340="","",Receipts!$C340)</f>
        <v/>
      </c>
      <c r="C337" s="18" t="str">
        <f>IF($A337="","",IFERROR(INDEX(Items!$B$5:$B$597,MATCH($A337,Items!$A$5:$A$597,0)),""))</f>
        <v/>
      </c>
      <c r="D337" s="23" t="str">
        <f>IF($A337="","",N(Receipts!$G340))</f>
        <v/>
      </c>
      <c r="E337" s="20" t="str">
        <f>IF($A337="","",IFERROR(INDEX(Items!$D$5:$D$597,MATCH($A337,Items!$A$5:$A$597,0)),0))</f>
        <v/>
      </c>
      <c r="F337" s="21" t="str">
        <f t="shared" si="25"/>
        <v/>
      </c>
      <c r="G337" s="25" t="str">
        <f>IF(Receipts!$I340="","",Receipts!$I340)</f>
        <v/>
      </c>
      <c r="H337" s="25" t="str">
        <f>IF(Receipts!$H340="","",Receipts!$H340)</f>
        <v/>
      </c>
      <c r="I337" s="26" t="str">
        <f t="shared" ca="1" si="26"/>
        <v/>
      </c>
      <c r="J337" s="26" t="str">
        <f>IF($A337="","",COUNTIFS(tblReceipts[Item Name],$A337,tblReceipts[Expiry Date],"&lt;"&amp;$H337)+COUNTIFS(tblReceipts[Item Name],$A337,tblReceipts[Expiry Date],$H337,tblReceipts[Lot Number],"&lt;="&amp;Receipts!$C340))</f>
        <v/>
      </c>
      <c r="K337" s="26" t="str">
        <f>IF($A337="","",SUMIFS(tblReceipts[Qty Received],tblReceipts[Item Name],$A337,tblReceipts[Expiry Date],"&lt;"&amp;$H337)+SUMIFS(tblReceipts[Qty Received],tblReceipts[Item Name],$A337,tblReceipts[Expiry Date],$H337,tblReceipts[Lot Number],"&lt;"&amp;Receipts!$C340))</f>
        <v/>
      </c>
      <c r="L337" s="26" t="str">
        <f>IF($A337="","",MIN($D337,MAX(0,SUMIFS(tblIssues[Qty Issued],tblIssues[Item Name],$A337)-$K337)))</f>
        <v/>
      </c>
      <c r="M337" s="26" t="str">
        <f>IF($A337="","",SUMIFS(tblIssues[Qty Issued],tblIssues[Lot Number],$B337))</f>
        <v/>
      </c>
      <c r="N337" s="26" t="str">
        <f t="shared" si="27"/>
        <v/>
      </c>
      <c r="O337" s="26" t="str">
        <f t="shared" si="28"/>
        <v/>
      </c>
      <c r="P337" s="21" t="str">
        <f t="shared" si="29"/>
        <v/>
      </c>
      <c r="Q337" s="52" t="str">
        <f>IF($A337="","",IF($O337&lt;=0,"Depleted",IF($I337&lt;0,"EXPIRED",IF($I337&lt;=Settings!$C$6,"CRITICAL",IF($I337&lt;=Settings!$C$5,"Expiring","In date")))))</f>
        <v/>
      </c>
    </row>
    <row r="338" spans="1:17" x14ac:dyDescent="0.35">
      <c r="A338" s="90" t="str">
        <f>IF(Receipts!$D341="","",Receipts!$D341)</f>
        <v/>
      </c>
      <c r="B338" s="18" t="str">
        <f>IF(Receipts!$C341="","",Receipts!$C341)</f>
        <v/>
      </c>
      <c r="C338" s="18" t="str">
        <f>IF($A338="","",IFERROR(INDEX(Items!$B$5:$B$597,MATCH($A338,Items!$A$5:$A$597,0)),""))</f>
        <v/>
      </c>
      <c r="D338" s="23" t="str">
        <f>IF($A338="","",N(Receipts!$G341))</f>
        <v/>
      </c>
      <c r="E338" s="20" t="str">
        <f>IF($A338="","",IFERROR(INDEX(Items!$D$5:$D$597,MATCH($A338,Items!$A$5:$A$597,0)),0))</f>
        <v/>
      </c>
      <c r="F338" s="21" t="str">
        <f t="shared" si="25"/>
        <v/>
      </c>
      <c r="G338" s="25" t="str">
        <f>IF(Receipts!$I341="","",Receipts!$I341)</f>
        <v/>
      </c>
      <c r="H338" s="25" t="str">
        <f>IF(Receipts!$H341="","",Receipts!$H341)</f>
        <v/>
      </c>
      <c r="I338" s="26" t="str">
        <f t="shared" ca="1" si="26"/>
        <v/>
      </c>
      <c r="J338" s="26" t="str">
        <f>IF($A338="","",COUNTIFS(tblReceipts[Item Name],$A338,tblReceipts[Expiry Date],"&lt;"&amp;$H338)+COUNTIFS(tblReceipts[Item Name],$A338,tblReceipts[Expiry Date],$H338,tblReceipts[Lot Number],"&lt;="&amp;Receipts!$C341))</f>
        <v/>
      </c>
      <c r="K338" s="26" t="str">
        <f>IF($A338="","",SUMIFS(tblReceipts[Qty Received],tblReceipts[Item Name],$A338,tblReceipts[Expiry Date],"&lt;"&amp;$H338)+SUMIFS(tblReceipts[Qty Received],tblReceipts[Item Name],$A338,tblReceipts[Expiry Date],$H338,tblReceipts[Lot Number],"&lt;"&amp;Receipts!$C341))</f>
        <v/>
      </c>
      <c r="L338" s="26" t="str">
        <f>IF($A338="","",MIN($D338,MAX(0,SUMIFS(tblIssues[Qty Issued],tblIssues[Item Name],$A338)-$K338)))</f>
        <v/>
      </c>
      <c r="M338" s="26" t="str">
        <f>IF($A338="","",SUMIFS(tblIssues[Qty Issued],tblIssues[Lot Number],$B338))</f>
        <v/>
      </c>
      <c r="N338" s="26" t="str">
        <f t="shared" si="27"/>
        <v/>
      </c>
      <c r="O338" s="26" t="str">
        <f t="shared" si="28"/>
        <v/>
      </c>
      <c r="P338" s="21" t="str">
        <f t="shared" si="29"/>
        <v/>
      </c>
      <c r="Q338" s="52" t="str">
        <f>IF($A338="","",IF($O338&lt;=0,"Depleted",IF($I338&lt;0,"EXPIRED",IF($I338&lt;=Settings!$C$6,"CRITICAL",IF($I338&lt;=Settings!$C$5,"Expiring","In date")))))</f>
        <v/>
      </c>
    </row>
    <row r="339" spans="1:17" x14ac:dyDescent="0.35">
      <c r="A339" s="90" t="str">
        <f>IF(Receipts!$D342="","",Receipts!$D342)</f>
        <v/>
      </c>
      <c r="B339" s="18" t="str">
        <f>IF(Receipts!$C342="","",Receipts!$C342)</f>
        <v/>
      </c>
      <c r="C339" s="18" t="str">
        <f>IF($A339="","",IFERROR(INDEX(Items!$B$5:$B$597,MATCH($A339,Items!$A$5:$A$597,0)),""))</f>
        <v/>
      </c>
      <c r="D339" s="23" t="str">
        <f>IF($A339="","",N(Receipts!$G342))</f>
        <v/>
      </c>
      <c r="E339" s="20" t="str">
        <f>IF($A339="","",IFERROR(INDEX(Items!$D$5:$D$597,MATCH($A339,Items!$A$5:$A$597,0)),0))</f>
        <v/>
      </c>
      <c r="F339" s="21" t="str">
        <f t="shared" si="25"/>
        <v/>
      </c>
      <c r="G339" s="25" t="str">
        <f>IF(Receipts!$I342="","",Receipts!$I342)</f>
        <v/>
      </c>
      <c r="H339" s="25" t="str">
        <f>IF(Receipts!$H342="","",Receipts!$H342)</f>
        <v/>
      </c>
      <c r="I339" s="26" t="str">
        <f t="shared" ca="1" si="26"/>
        <v/>
      </c>
      <c r="J339" s="26" t="str">
        <f>IF($A339="","",COUNTIFS(tblReceipts[Item Name],$A339,tblReceipts[Expiry Date],"&lt;"&amp;$H339)+COUNTIFS(tblReceipts[Item Name],$A339,tblReceipts[Expiry Date],$H339,tblReceipts[Lot Number],"&lt;="&amp;Receipts!$C342))</f>
        <v/>
      </c>
      <c r="K339" s="26" t="str">
        <f>IF($A339="","",SUMIFS(tblReceipts[Qty Received],tblReceipts[Item Name],$A339,tblReceipts[Expiry Date],"&lt;"&amp;$H339)+SUMIFS(tblReceipts[Qty Received],tblReceipts[Item Name],$A339,tblReceipts[Expiry Date],$H339,tblReceipts[Lot Number],"&lt;"&amp;Receipts!$C342))</f>
        <v/>
      </c>
      <c r="L339" s="26" t="str">
        <f>IF($A339="","",MIN($D339,MAX(0,SUMIFS(tblIssues[Qty Issued],tblIssues[Item Name],$A339)-$K339)))</f>
        <v/>
      </c>
      <c r="M339" s="26" t="str">
        <f>IF($A339="","",SUMIFS(tblIssues[Qty Issued],tblIssues[Lot Number],$B339))</f>
        <v/>
      </c>
      <c r="N339" s="26" t="str">
        <f t="shared" si="27"/>
        <v/>
      </c>
      <c r="O339" s="26" t="str">
        <f t="shared" si="28"/>
        <v/>
      </c>
      <c r="P339" s="21" t="str">
        <f t="shared" si="29"/>
        <v/>
      </c>
      <c r="Q339" s="52" t="str">
        <f>IF($A339="","",IF($O339&lt;=0,"Depleted",IF($I339&lt;0,"EXPIRED",IF($I339&lt;=Settings!$C$6,"CRITICAL",IF($I339&lt;=Settings!$C$5,"Expiring","In date")))))</f>
        <v/>
      </c>
    </row>
    <row r="340" spans="1:17" x14ac:dyDescent="0.35">
      <c r="A340" s="90" t="str">
        <f>IF(Receipts!$D343="","",Receipts!$D343)</f>
        <v/>
      </c>
      <c r="B340" s="18" t="str">
        <f>IF(Receipts!$C343="","",Receipts!$C343)</f>
        <v/>
      </c>
      <c r="C340" s="18" t="str">
        <f>IF($A340="","",IFERROR(INDEX(Items!$B$5:$B$597,MATCH($A340,Items!$A$5:$A$597,0)),""))</f>
        <v/>
      </c>
      <c r="D340" s="23" t="str">
        <f>IF($A340="","",N(Receipts!$G343))</f>
        <v/>
      </c>
      <c r="E340" s="20" t="str">
        <f>IF($A340="","",IFERROR(INDEX(Items!$D$5:$D$597,MATCH($A340,Items!$A$5:$A$597,0)),0))</f>
        <v/>
      </c>
      <c r="F340" s="21" t="str">
        <f t="shared" si="25"/>
        <v/>
      </c>
      <c r="G340" s="25" t="str">
        <f>IF(Receipts!$I343="","",Receipts!$I343)</f>
        <v/>
      </c>
      <c r="H340" s="25" t="str">
        <f>IF(Receipts!$H343="","",Receipts!$H343)</f>
        <v/>
      </c>
      <c r="I340" s="26" t="str">
        <f t="shared" ca="1" si="26"/>
        <v/>
      </c>
      <c r="J340" s="26" t="str">
        <f>IF($A340="","",COUNTIFS(tblReceipts[Item Name],$A340,tblReceipts[Expiry Date],"&lt;"&amp;$H340)+COUNTIFS(tblReceipts[Item Name],$A340,tblReceipts[Expiry Date],$H340,tblReceipts[Lot Number],"&lt;="&amp;Receipts!$C343))</f>
        <v/>
      </c>
      <c r="K340" s="26" t="str">
        <f>IF($A340="","",SUMIFS(tblReceipts[Qty Received],tblReceipts[Item Name],$A340,tblReceipts[Expiry Date],"&lt;"&amp;$H340)+SUMIFS(tblReceipts[Qty Received],tblReceipts[Item Name],$A340,tblReceipts[Expiry Date],$H340,tblReceipts[Lot Number],"&lt;"&amp;Receipts!$C343))</f>
        <v/>
      </c>
      <c r="L340" s="26" t="str">
        <f>IF($A340="","",MIN($D340,MAX(0,SUMIFS(tblIssues[Qty Issued],tblIssues[Item Name],$A340)-$K340)))</f>
        <v/>
      </c>
      <c r="M340" s="26" t="str">
        <f>IF($A340="","",SUMIFS(tblIssues[Qty Issued],tblIssues[Lot Number],$B340))</f>
        <v/>
      </c>
      <c r="N340" s="26" t="str">
        <f t="shared" si="27"/>
        <v/>
      </c>
      <c r="O340" s="26" t="str">
        <f t="shared" si="28"/>
        <v/>
      </c>
      <c r="P340" s="21" t="str">
        <f t="shared" si="29"/>
        <v/>
      </c>
      <c r="Q340" s="52" t="str">
        <f>IF($A340="","",IF($O340&lt;=0,"Depleted",IF($I340&lt;0,"EXPIRED",IF($I340&lt;=Settings!$C$6,"CRITICAL",IF($I340&lt;=Settings!$C$5,"Expiring","In date")))))</f>
        <v/>
      </c>
    </row>
    <row r="341" spans="1:17" x14ac:dyDescent="0.35">
      <c r="A341" s="90" t="str">
        <f>IF(Receipts!$D344="","",Receipts!$D344)</f>
        <v/>
      </c>
      <c r="B341" s="18" t="str">
        <f>IF(Receipts!$C344="","",Receipts!$C344)</f>
        <v/>
      </c>
      <c r="C341" s="18" t="str">
        <f>IF($A341="","",IFERROR(INDEX(Items!$B$5:$B$597,MATCH($A341,Items!$A$5:$A$597,0)),""))</f>
        <v/>
      </c>
      <c r="D341" s="23" t="str">
        <f>IF($A341="","",N(Receipts!$G344))</f>
        <v/>
      </c>
      <c r="E341" s="20" t="str">
        <f>IF($A341="","",IFERROR(INDEX(Items!$D$5:$D$597,MATCH($A341,Items!$A$5:$A$597,0)),0))</f>
        <v/>
      </c>
      <c r="F341" s="21" t="str">
        <f t="shared" si="25"/>
        <v/>
      </c>
      <c r="G341" s="25" t="str">
        <f>IF(Receipts!$I344="","",Receipts!$I344)</f>
        <v/>
      </c>
      <c r="H341" s="25" t="str">
        <f>IF(Receipts!$H344="","",Receipts!$H344)</f>
        <v/>
      </c>
      <c r="I341" s="26" t="str">
        <f t="shared" ca="1" si="26"/>
        <v/>
      </c>
      <c r="J341" s="26" t="str">
        <f>IF($A341="","",COUNTIFS(tblReceipts[Item Name],$A341,tblReceipts[Expiry Date],"&lt;"&amp;$H341)+COUNTIFS(tblReceipts[Item Name],$A341,tblReceipts[Expiry Date],$H341,tblReceipts[Lot Number],"&lt;="&amp;Receipts!$C344))</f>
        <v/>
      </c>
      <c r="K341" s="26" t="str">
        <f>IF($A341="","",SUMIFS(tblReceipts[Qty Received],tblReceipts[Item Name],$A341,tblReceipts[Expiry Date],"&lt;"&amp;$H341)+SUMIFS(tblReceipts[Qty Received],tblReceipts[Item Name],$A341,tblReceipts[Expiry Date],$H341,tblReceipts[Lot Number],"&lt;"&amp;Receipts!$C344))</f>
        <v/>
      </c>
      <c r="L341" s="26" t="str">
        <f>IF($A341="","",MIN($D341,MAX(0,SUMIFS(tblIssues[Qty Issued],tblIssues[Item Name],$A341)-$K341)))</f>
        <v/>
      </c>
      <c r="M341" s="26" t="str">
        <f>IF($A341="","",SUMIFS(tblIssues[Qty Issued],tblIssues[Lot Number],$B341))</f>
        <v/>
      </c>
      <c r="N341" s="26" t="str">
        <f t="shared" si="27"/>
        <v/>
      </c>
      <c r="O341" s="26" t="str">
        <f t="shared" si="28"/>
        <v/>
      </c>
      <c r="P341" s="21" t="str">
        <f t="shared" si="29"/>
        <v/>
      </c>
      <c r="Q341" s="52" t="str">
        <f>IF($A341="","",IF($O341&lt;=0,"Depleted",IF($I341&lt;0,"EXPIRED",IF($I341&lt;=Settings!$C$6,"CRITICAL",IF($I341&lt;=Settings!$C$5,"Expiring","In date")))))</f>
        <v/>
      </c>
    </row>
    <row r="342" spans="1:17" x14ac:dyDescent="0.35">
      <c r="A342" s="90" t="str">
        <f>IF(Receipts!$D345="","",Receipts!$D345)</f>
        <v/>
      </c>
      <c r="B342" s="18" t="str">
        <f>IF(Receipts!$C345="","",Receipts!$C345)</f>
        <v/>
      </c>
      <c r="C342" s="18" t="str">
        <f>IF($A342="","",IFERROR(INDEX(Items!$B$5:$B$597,MATCH($A342,Items!$A$5:$A$597,0)),""))</f>
        <v/>
      </c>
      <c r="D342" s="23" t="str">
        <f>IF($A342="","",N(Receipts!$G345))</f>
        <v/>
      </c>
      <c r="E342" s="20" t="str">
        <f>IF($A342="","",IFERROR(INDEX(Items!$D$5:$D$597,MATCH($A342,Items!$A$5:$A$597,0)),0))</f>
        <v/>
      </c>
      <c r="F342" s="21" t="str">
        <f t="shared" si="25"/>
        <v/>
      </c>
      <c r="G342" s="25" t="str">
        <f>IF(Receipts!$I345="","",Receipts!$I345)</f>
        <v/>
      </c>
      <c r="H342" s="25" t="str">
        <f>IF(Receipts!$H345="","",Receipts!$H345)</f>
        <v/>
      </c>
      <c r="I342" s="26" t="str">
        <f t="shared" ca="1" si="26"/>
        <v/>
      </c>
      <c r="J342" s="26" t="str">
        <f>IF($A342="","",COUNTIFS(tblReceipts[Item Name],$A342,tblReceipts[Expiry Date],"&lt;"&amp;$H342)+COUNTIFS(tblReceipts[Item Name],$A342,tblReceipts[Expiry Date],$H342,tblReceipts[Lot Number],"&lt;="&amp;Receipts!$C345))</f>
        <v/>
      </c>
      <c r="K342" s="26" t="str">
        <f>IF($A342="","",SUMIFS(tblReceipts[Qty Received],tblReceipts[Item Name],$A342,tblReceipts[Expiry Date],"&lt;"&amp;$H342)+SUMIFS(tblReceipts[Qty Received],tblReceipts[Item Name],$A342,tblReceipts[Expiry Date],$H342,tblReceipts[Lot Number],"&lt;"&amp;Receipts!$C345))</f>
        <v/>
      </c>
      <c r="L342" s="26" t="str">
        <f>IF($A342="","",MIN($D342,MAX(0,SUMIFS(tblIssues[Qty Issued],tblIssues[Item Name],$A342)-$K342)))</f>
        <v/>
      </c>
      <c r="M342" s="26" t="str">
        <f>IF($A342="","",SUMIFS(tblIssues[Qty Issued],tblIssues[Lot Number],$B342))</f>
        <v/>
      </c>
      <c r="N342" s="26" t="str">
        <f t="shared" si="27"/>
        <v/>
      </c>
      <c r="O342" s="26" t="str">
        <f t="shared" si="28"/>
        <v/>
      </c>
      <c r="P342" s="21" t="str">
        <f t="shared" si="29"/>
        <v/>
      </c>
      <c r="Q342" s="52" t="str">
        <f>IF($A342="","",IF($O342&lt;=0,"Depleted",IF($I342&lt;0,"EXPIRED",IF($I342&lt;=Settings!$C$6,"CRITICAL",IF($I342&lt;=Settings!$C$5,"Expiring","In date")))))</f>
        <v/>
      </c>
    </row>
    <row r="343" spans="1:17" x14ac:dyDescent="0.35">
      <c r="A343" s="90" t="str">
        <f>IF(Receipts!$D346="","",Receipts!$D346)</f>
        <v/>
      </c>
      <c r="B343" s="18" t="str">
        <f>IF(Receipts!$C346="","",Receipts!$C346)</f>
        <v/>
      </c>
      <c r="C343" s="18" t="str">
        <f>IF($A343="","",IFERROR(INDEX(Items!$B$5:$B$597,MATCH($A343,Items!$A$5:$A$597,0)),""))</f>
        <v/>
      </c>
      <c r="D343" s="23" t="str">
        <f>IF($A343="","",N(Receipts!$G346))</f>
        <v/>
      </c>
      <c r="E343" s="20" t="str">
        <f>IF($A343="","",IFERROR(INDEX(Items!$D$5:$D$597,MATCH($A343,Items!$A$5:$A$597,0)),0))</f>
        <v/>
      </c>
      <c r="F343" s="21" t="str">
        <f t="shared" si="25"/>
        <v/>
      </c>
      <c r="G343" s="25" t="str">
        <f>IF(Receipts!$I346="","",Receipts!$I346)</f>
        <v/>
      </c>
      <c r="H343" s="25" t="str">
        <f>IF(Receipts!$H346="","",Receipts!$H346)</f>
        <v/>
      </c>
      <c r="I343" s="26" t="str">
        <f t="shared" ca="1" si="26"/>
        <v/>
      </c>
      <c r="J343" s="26" t="str">
        <f>IF($A343="","",COUNTIFS(tblReceipts[Item Name],$A343,tblReceipts[Expiry Date],"&lt;"&amp;$H343)+COUNTIFS(tblReceipts[Item Name],$A343,tblReceipts[Expiry Date],$H343,tblReceipts[Lot Number],"&lt;="&amp;Receipts!$C346))</f>
        <v/>
      </c>
      <c r="K343" s="26" t="str">
        <f>IF($A343="","",SUMIFS(tblReceipts[Qty Received],tblReceipts[Item Name],$A343,tblReceipts[Expiry Date],"&lt;"&amp;$H343)+SUMIFS(tblReceipts[Qty Received],tblReceipts[Item Name],$A343,tblReceipts[Expiry Date],$H343,tblReceipts[Lot Number],"&lt;"&amp;Receipts!$C346))</f>
        <v/>
      </c>
      <c r="L343" s="26" t="str">
        <f>IF($A343="","",MIN($D343,MAX(0,SUMIFS(tblIssues[Qty Issued],tblIssues[Item Name],$A343)-$K343)))</f>
        <v/>
      </c>
      <c r="M343" s="26" t="str">
        <f>IF($A343="","",SUMIFS(tblIssues[Qty Issued],tblIssues[Lot Number],$B343))</f>
        <v/>
      </c>
      <c r="N343" s="26" t="str">
        <f t="shared" si="27"/>
        <v/>
      </c>
      <c r="O343" s="26" t="str">
        <f t="shared" si="28"/>
        <v/>
      </c>
      <c r="P343" s="21" t="str">
        <f t="shared" si="29"/>
        <v/>
      </c>
      <c r="Q343" s="52" t="str">
        <f>IF($A343="","",IF($O343&lt;=0,"Depleted",IF($I343&lt;0,"EXPIRED",IF($I343&lt;=Settings!$C$6,"CRITICAL",IF($I343&lt;=Settings!$C$5,"Expiring","In date")))))</f>
        <v/>
      </c>
    </row>
    <row r="344" spans="1:17" x14ac:dyDescent="0.35">
      <c r="A344" s="90" t="str">
        <f>IF(Receipts!$D347="","",Receipts!$D347)</f>
        <v/>
      </c>
      <c r="B344" s="18" t="str">
        <f>IF(Receipts!$C347="","",Receipts!$C347)</f>
        <v/>
      </c>
      <c r="C344" s="18" t="str">
        <f>IF($A344="","",IFERROR(INDEX(Items!$B$5:$B$597,MATCH($A344,Items!$A$5:$A$597,0)),""))</f>
        <v/>
      </c>
      <c r="D344" s="23" t="str">
        <f>IF($A344="","",N(Receipts!$G347))</f>
        <v/>
      </c>
      <c r="E344" s="20" t="str">
        <f>IF($A344="","",IFERROR(INDEX(Items!$D$5:$D$597,MATCH($A344,Items!$A$5:$A$597,0)),0))</f>
        <v/>
      </c>
      <c r="F344" s="21" t="str">
        <f t="shared" si="25"/>
        <v/>
      </c>
      <c r="G344" s="25" t="str">
        <f>IF(Receipts!$I347="","",Receipts!$I347)</f>
        <v/>
      </c>
      <c r="H344" s="25" t="str">
        <f>IF(Receipts!$H347="","",Receipts!$H347)</f>
        <v/>
      </c>
      <c r="I344" s="26" t="str">
        <f t="shared" ca="1" si="26"/>
        <v/>
      </c>
      <c r="J344" s="26" t="str">
        <f>IF($A344="","",COUNTIFS(tblReceipts[Item Name],$A344,tblReceipts[Expiry Date],"&lt;"&amp;$H344)+COUNTIFS(tblReceipts[Item Name],$A344,tblReceipts[Expiry Date],$H344,tblReceipts[Lot Number],"&lt;="&amp;Receipts!$C347))</f>
        <v/>
      </c>
      <c r="K344" s="26" t="str">
        <f>IF($A344="","",SUMIFS(tblReceipts[Qty Received],tblReceipts[Item Name],$A344,tblReceipts[Expiry Date],"&lt;"&amp;$H344)+SUMIFS(tblReceipts[Qty Received],tblReceipts[Item Name],$A344,tblReceipts[Expiry Date],$H344,tblReceipts[Lot Number],"&lt;"&amp;Receipts!$C347))</f>
        <v/>
      </c>
      <c r="L344" s="26" t="str">
        <f>IF($A344="","",MIN($D344,MAX(0,SUMIFS(tblIssues[Qty Issued],tblIssues[Item Name],$A344)-$K344)))</f>
        <v/>
      </c>
      <c r="M344" s="26" t="str">
        <f>IF($A344="","",SUMIFS(tblIssues[Qty Issued],tblIssues[Lot Number],$B344))</f>
        <v/>
      </c>
      <c r="N344" s="26" t="str">
        <f t="shared" si="27"/>
        <v/>
      </c>
      <c r="O344" s="26" t="str">
        <f t="shared" si="28"/>
        <v/>
      </c>
      <c r="P344" s="21" t="str">
        <f t="shared" si="29"/>
        <v/>
      </c>
      <c r="Q344" s="52" t="str">
        <f>IF($A344="","",IF($O344&lt;=0,"Depleted",IF($I344&lt;0,"EXPIRED",IF($I344&lt;=Settings!$C$6,"CRITICAL",IF($I344&lt;=Settings!$C$5,"Expiring","In date")))))</f>
        <v/>
      </c>
    </row>
    <row r="345" spans="1:17" x14ac:dyDescent="0.35">
      <c r="A345" s="90" t="str">
        <f>IF(Receipts!$D348="","",Receipts!$D348)</f>
        <v/>
      </c>
      <c r="B345" s="18" t="str">
        <f>IF(Receipts!$C348="","",Receipts!$C348)</f>
        <v/>
      </c>
      <c r="C345" s="18" t="str">
        <f>IF($A345="","",IFERROR(INDEX(Items!$B$5:$B$597,MATCH($A345,Items!$A$5:$A$597,0)),""))</f>
        <v/>
      </c>
      <c r="D345" s="23" t="str">
        <f>IF($A345="","",N(Receipts!$G348))</f>
        <v/>
      </c>
      <c r="E345" s="20" t="str">
        <f>IF($A345="","",IFERROR(INDEX(Items!$D$5:$D$597,MATCH($A345,Items!$A$5:$A$597,0)),0))</f>
        <v/>
      </c>
      <c r="F345" s="21" t="str">
        <f t="shared" si="25"/>
        <v/>
      </c>
      <c r="G345" s="25" t="str">
        <f>IF(Receipts!$I348="","",Receipts!$I348)</f>
        <v/>
      </c>
      <c r="H345" s="25" t="str">
        <f>IF(Receipts!$H348="","",Receipts!$H348)</f>
        <v/>
      </c>
      <c r="I345" s="26" t="str">
        <f t="shared" ca="1" si="26"/>
        <v/>
      </c>
      <c r="J345" s="26" t="str">
        <f>IF($A345="","",COUNTIFS(tblReceipts[Item Name],$A345,tblReceipts[Expiry Date],"&lt;"&amp;$H345)+COUNTIFS(tblReceipts[Item Name],$A345,tblReceipts[Expiry Date],$H345,tblReceipts[Lot Number],"&lt;="&amp;Receipts!$C348))</f>
        <v/>
      </c>
      <c r="K345" s="26" t="str">
        <f>IF($A345="","",SUMIFS(tblReceipts[Qty Received],tblReceipts[Item Name],$A345,tblReceipts[Expiry Date],"&lt;"&amp;$H345)+SUMIFS(tblReceipts[Qty Received],tblReceipts[Item Name],$A345,tblReceipts[Expiry Date],$H345,tblReceipts[Lot Number],"&lt;"&amp;Receipts!$C348))</f>
        <v/>
      </c>
      <c r="L345" s="26" t="str">
        <f>IF($A345="","",MIN($D345,MAX(0,SUMIFS(tblIssues[Qty Issued],tblIssues[Item Name],$A345)-$K345)))</f>
        <v/>
      </c>
      <c r="M345" s="26" t="str">
        <f>IF($A345="","",SUMIFS(tblIssues[Qty Issued],tblIssues[Lot Number],$B345))</f>
        <v/>
      </c>
      <c r="N345" s="26" t="str">
        <f t="shared" si="27"/>
        <v/>
      </c>
      <c r="O345" s="26" t="str">
        <f t="shared" si="28"/>
        <v/>
      </c>
      <c r="P345" s="21" t="str">
        <f t="shared" si="29"/>
        <v/>
      </c>
      <c r="Q345" s="52" t="str">
        <f>IF($A345="","",IF($O345&lt;=0,"Depleted",IF($I345&lt;0,"EXPIRED",IF($I345&lt;=Settings!$C$6,"CRITICAL",IF($I345&lt;=Settings!$C$5,"Expiring","In date")))))</f>
        <v/>
      </c>
    </row>
    <row r="346" spans="1:17" x14ac:dyDescent="0.35">
      <c r="A346" s="90" t="str">
        <f>IF(Receipts!$D349="","",Receipts!$D349)</f>
        <v/>
      </c>
      <c r="B346" s="18" t="str">
        <f>IF(Receipts!$C349="","",Receipts!$C349)</f>
        <v/>
      </c>
      <c r="C346" s="18" t="str">
        <f>IF($A346="","",IFERROR(INDEX(Items!$B$5:$B$597,MATCH($A346,Items!$A$5:$A$597,0)),""))</f>
        <v/>
      </c>
      <c r="D346" s="23" t="str">
        <f>IF($A346="","",N(Receipts!$G349))</f>
        <v/>
      </c>
      <c r="E346" s="20" t="str">
        <f>IF($A346="","",IFERROR(INDEX(Items!$D$5:$D$597,MATCH($A346,Items!$A$5:$A$597,0)),0))</f>
        <v/>
      </c>
      <c r="F346" s="21" t="str">
        <f t="shared" si="25"/>
        <v/>
      </c>
      <c r="G346" s="25" t="str">
        <f>IF(Receipts!$I349="","",Receipts!$I349)</f>
        <v/>
      </c>
      <c r="H346" s="25" t="str">
        <f>IF(Receipts!$H349="","",Receipts!$H349)</f>
        <v/>
      </c>
      <c r="I346" s="26" t="str">
        <f t="shared" ca="1" si="26"/>
        <v/>
      </c>
      <c r="J346" s="26" t="str">
        <f>IF($A346="","",COUNTIFS(tblReceipts[Item Name],$A346,tblReceipts[Expiry Date],"&lt;"&amp;$H346)+COUNTIFS(tblReceipts[Item Name],$A346,tblReceipts[Expiry Date],$H346,tblReceipts[Lot Number],"&lt;="&amp;Receipts!$C349))</f>
        <v/>
      </c>
      <c r="K346" s="26" t="str">
        <f>IF($A346="","",SUMIFS(tblReceipts[Qty Received],tblReceipts[Item Name],$A346,tblReceipts[Expiry Date],"&lt;"&amp;$H346)+SUMIFS(tblReceipts[Qty Received],tblReceipts[Item Name],$A346,tblReceipts[Expiry Date],$H346,tblReceipts[Lot Number],"&lt;"&amp;Receipts!$C349))</f>
        <v/>
      </c>
      <c r="L346" s="26" t="str">
        <f>IF($A346="","",MIN($D346,MAX(0,SUMIFS(tblIssues[Qty Issued],tblIssues[Item Name],$A346)-$K346)))</f>
        <v/>
      </c>
      <c r="M346" s="26" t="str">
        <f>IF($A346="","",SUMIFS(tblIssues[Qty Issued],tblIssues[Lot Number],$B346))</f>
        <v/>
      </c>
      <c r="N346" s="26" t="str">
        <f t="shared" si="27"/>
        <v/>
      </c>
      <c r="O346" s="26" t="str">
        <f t="shared" si="28"/>
        <v/>
      </c>
      <c r="P346" s="21" t="str">
        <f t="shared" si="29"/>
        <v/>
      </c>
      <c r="Q346" s="52" t="str">
        <f>IF($A346="","",IF($O346&lt;=0,"Depleted",IF($I346&lt;0,"EXPIRED",IF($I346&lt;=Settings!$C$6,"CRITICAL",IF($I346&lt;=Settings!$C$5,"Expiring","In date")))))</f>
        <v/>
      </c>
    </row>
    <row r="347" spans="1:17" x14ac:dyDescent="0.35">
      <c r="A347" s="90" t="str">
        <f>IF(Receipts!$D350="","",Receipts!$D350)</f>
        <v/>
      </c>
      <c r="B347" s="18" t="str">
        <f>IF(Receipts!$C350="","",Receipts!$C350)</f>
        <v/>
      </c>
      <c r="C347" s="18" t="str">
        <f>IF($A347="","",IFERROR(INDEX(Items!$B$5:$B$597,MATCH($A347,Items!$A$5:$A$597,0)),""))</f>
        <v/>
      </c>
      <c r="D347" s="23" t="str">
        <f>IF($A347="","",N(Receipts!$G350))</f>
        <v/>
      </c>
      <c r="E347" s="20" t="str">
        <f>IF($A347="","",IFERROR(INDEX(Items!$D$5:$D$597,MATCH($A347,Items!$A$5:$A$597,0)),0))</f>
        <v/>
      </c>
      <c r="F347" s="21" t="str">
        <f t="shared" si="25"/>
        <v/>
      </c>
      <c r="G347" s="25" t="str">
        <f>IF(Receipts!$I350="","",Receipts!$I350)</f>
        <v/>
      </c>
      <c r="H347" s="25" t="str">
        <f>IF(Receipts!$H350="","",Receipts!$H350)</f>
        <v/>
      </c>
      <c r="I347" s="26" t="str">
        <f t="shared" ca="1" si="26"/>
        <v/>
      </c>
      <c r="J347" s="26" t="str">
        <f>IF($A347="","",COUNTIFS(tblReceipts[Item Name],$A347,tblReceipts[Expiry Date],"&lt;"&amp;$H347)+COUNTIFS(tblReceipts[Item Name],$A347,tblReceipts[Expiry Date],$H347,tblReceipts[Lot Number],"&lt;="&amp;Receipts!$C350))</f>
        <v/>
      </c>
      <c r="K347" s="26" t="str">
        <f>IF($A347="","",SUMIFS(tblReceipts[Qty Received],tblReceipts[Item Name],$A347,tblReceipts[Expiry Date],"&lt;"&amp;$H347)+SUMIFS(tblReceipts[Qty Received],tblReceipts[Item Name],$A347,tblReceipts[Expiry Date],$H347,tblReceipts[Lot Number],"&lt;"&amp;Receipts!$C350))</f>
        <v/>
      </c>
      <c r="L347" s="26" t="str">
        <f>IF($A347="","",MIN($D347,MAX(0,SUMIFS(tblIssues[Qty Issued],tblIssues[Item Name],$A347)-$K347)))</f>
        <v/>
      </c>
      <c r="M347" s="26" t="str">
        <f>IF($A347="","",SUMIFS(tblIssues[Qty Issued],tblIssues[Lot Number],$B347))</f>
        <v/>
      </c>
      <c r="N347" s="26" t="str">
        <f t="shared" si="27"/>
        <v/>
      </c>
      <c r="O347" s="26" t="str">
        <f t="shared" si="28"/>
        <v/>
      </c>
      <c r="P347" s="21" t="str">
        <f t="shared" si="29"/>
        <v/>
      </c>
      <c r="Q347" s="52" t="str">
        <f>IF($A347="","",IF($O347&lt;=0,"Depleted",IF($I347&lt;0,"EXPIRED",IF($I347&lt;=Settings!$C$6,"CRITICAL",IF($I347&lt;=Settings!$C$5,"Expiring","In date")))))</f>
        <v/>
      </c>
    </row>
    <row r="348" spans="1:17" x14ac:dyDescent="0.35">
      <c r="A348" s="90" t="str">
        <f>IF(Receipts!$D351="","",Receipts!$D351)</f>
        <v/>
      </c>
      <c r="B348" s="18" t="str">
        <f>IF(Receipts!$C351="","",Receipts!$C351)</f>
        <v/>
      </c>
      <c r="C348" s="18" t="str">
        <f>IF($A348="","",IFERROR(INDEX(Items!$B$5:$B$597,MATCH($A348,Items!$A$5:$A$597,0)),""))</f>
        <v/>
      </c>
      <c r="D348" s="23" t="str">
        <f>IF($A348="","",N(Receipts!$G351))</f>
        <v/>
      </c>
      <c r="E348" s="20" t="str">
        <f>IF($A348="","",IFERROR(INDEX(Items!$D$5:$D$597,MATCH($A348,Items!$A$5:$A$597,0)),0))</f>
        <v/>
      </c>
      <c r="F348" s="21" t="str">
        <f t="shared" si="25"/>
        <v/>
      </c>
      <c r="G348" s="25" t="str">
        <f>IF(Receipts!$I351="","",Receipts!$I351)</f>
        <v/>
      </c>
      <c r="H348" s="25" t="str">
        <f>IF(Receipts!$H351="","",Receipts!$H351)</f>
        <v/>
      </c>
      <c r="I348" s="26" t="str">
        <f t="shared" ca="1" si="26"/>
        <v/>
      </c>
      <c r="J348" s="26" t="str">
        <f>IF($A348="","",COUNTIFS(tblReceipts[Item Name],$A348,tblReceipts[Expiry Date],"&lt;"&amp;$H348)+COUNTIFS(tblReceipts[Item Name],$A348,tblReceipts[Expiry Date],$H348,tblReceipts[Lot Number],"&lt;="&amp;Receipts!$C351))</f>
        <v/>
      </c>
      <c r="K348" s="26" t="str">
        <f>IF($A348="","",SUMIFS(tblReceipts[Qty Received],tblReceipts[Item Name],$A348,tblReceipts[Expiry Date],"&lt;"&amp;$H348)+SUMIFS(tblReceipts[Qty Received],tblReceipts[Item Name],$A348,tblReceipts[Expiry Date],$H348,tblReceipts[Lot Number],"&lt;"&amp;Receipts!$C351))</f>
        <v/>
      </c>
      <c r="L348" s="26" t="str">
        <f>IF($A348="","",MIN($D348,MAX(0,SUMIFS(tblIssues[Qty Issued],tblIssues[Item Name],$A348)-$K348)))</f>
        <v/>
      </c>
      <c r="M348" s="26" t="str">
        <f>IF($A348="","",SUMIFS(tblIssues[Qty Issued],tblIssues[Lot Number],$B348))</f>
        <v/>
      </c>
      <c r="N348" s="26" t="str">
        <f t="shared" si="27"/>
        <v/>
      </c>
      <c r="O348" s="26" t="str">
        <f t="shared" si="28"/>
        <v/>
      </c>
      <c r="P348" s="21" t="str">
        <f t="shared" si="29"/>
        <v/>
      </c>
      <c r="Q348" s="52" t="str">
        <f>IF($A348="","",IF($O348&lt;=0,"Depleted",IF($I348&lt;0,"EXPIRED",IF($I348&lt;=Settings!$C$6,"CRITICAL",IF($I348&lt;=Settings!$C$5,"Expiring","In date")))))</f>
        <v/>
      </c>
    </row>
    <row r="349" spans="1:17" x14ac:dyDescent="0.35">
      <c r="A349" s="90" t="str">
        <f>IF(Receipts!$D352="","",Receipts!$D352)</f>
        <v/>
      </c>
      <c r="B349" s="18" t="str">
        <f>IF(Receipts!$C352="","",Receipts!$C352)</f>
        <v/>
      </c>
      <c r="C349" s="18" t="str">
        <f>IF($A349="","",IFERROR(INDEX(Items!$B$5:$B$597,MATCH($A349,Items!$A$5:$A$597,0)),""))</f>
        <v/>
      </c>
      <c r="D349" s="23" t="str">
        <f>IF($A349="","",N(Receipts!$G352))</f>
        <v/>
      </c>
      <c r="E349" s="20" t="str">
        <f>IF($A349="","",IFERROR(INDEX(Items!$D$5:$D$597,MATCH($A349,Items!$A$5:$A$597,0)),0))</f>
        <v/>
      </c>
      <c r="F349" s="21" t="str">
        <f t="shared" si="25"/>
        <v/>
      </c>
      <c r="G349" s="25" t="str">
        <f>IF(Receipts!$I352="","",Receipts!$I352)</f>
        <v/>
      </c>
      <c r="H349" s="25" t="str">
        <f>IF(Receipts!$H352="","",Receipts!$H352)</f>
        <v/>
      </c>
      <c r="I349" s="26" t="str">
        <f t="shared" ca="1" si="26"/>
        <v/>
      </c>
      <c r="J349" s="26" t="str">
        <f>IF($A349="","",COUNTIFS(tblReceipts[Item Name],$A349,tblReceipts[Expiry Date],"&lt;"&amp;$H349)+COUNTIFS(tblReceipts[Item Name],$A349,tblReceipts[Expiry Date],$H349,tblReceipts[Lot Number],"&lt;="&amp;Receipts!$C352))</f>
        <v/>
      </c>
      <c r="K349" s="26" t="str">
        <f>IF($A349="","",SUMIFS(tblReceipts[Qty Received],tblReceipts[Item Name],$A349,tblReceipts[Expiry Date],"&lt;"&amp;$H349)+SUMIFS(tblReceipts[Qty Received],tblReceipts[Item Name],$A349,tblReceipts[Expiry Date],$H349,tblReceipts[Lot Number],"&lt;"&amp;Receipts!$C352))</f>
        <v/>
      </c>
      <c r="L349" s="26" t="str">
        <f>IF($A349="","",MIN($D349,MAX(0,SUMIFS(tblIssues[Qty Issued],tblIssues[Item Name],$A349)-$K349)))</f>
        <v/>
      </c>
      <c r="M349" s="26" t="str">
        <f>IF($A349="","",SUMIFS(tblIssues[Qty Issued],tblIssues[Lot Number],$B349))</f>
        <v/>
      </c>
      <c r="N349" s="26" t="str">
        <f t="shared" si="27"/>
        <v/>
      </c>
      <c r="O349" s="26" t="str">
        <f t="shared" si="28"/>
        <v/>
      </c>
      <c r="P349" s="21" t="str">
        <f t="shared" si="29"/>
        <v/>
      </c>
      <c r="Q349" s="52" t="str">
        <f>IF($A349="","",IF($O349&lt;=0,"Depleted",IF($I349&lt;0,"EXPIRED",IF($I349&lt;=Settings!$C$6,"CRITICAL",IF($I349&lt;=Settings!$C$5,"Expiring","In date")))))</f>
        <v/>
      </c>
    </row>
    <row r="350" spans="1:17" x14ac:dyDescent="0.35">
      <c r="A350" s="90" t="str">
        <f>IF(Receipts!$D353="","",Receipts!$D353)</f>
        <v/>
      </c>
      <c r="B350" s="18" t="str">
        <f>IF(Receipts!$C353="","",Receipts!$C353)</f>
        <v/>
      </c>
      <c r="C350" s="18" t="str">
        <f>IF($A350="","",IFERROR(INDEX(Items!$B$5:$B$597,MATCH($A350,Items!$A$5:$A$597,0)),""))</f>
        <v/>
      </c>
      <c r="D350" s="23" t="str">
        <f>IF($A350="","",N(Receipts!$G353))</f>
        <v/>
      </c>
      <c r="E350" s="20" t="str">
        <f>IF($A350="","",IFERROR(INDEX(Items!$D$5:$D$597,MATCH($A350,Items!$A$5:$A$597,0)),0))</f>
        <v/>
      </c>
      <c r="F350" s="21" t="str">
        <f t="shared" si="25"/>
        <v/>
      </c>
      <c r="G350" s="25" t="str">
        <f>IF(Receipts!$I353="","",Receipts!$I353)</f>
        <v/>
      </c>
      <c r="H350" s="25" t="str">
        <f>IF(Receipts!$H353="","",Receipts!$H353)</f>
        <v/>
      </c>
      <c r="I350" s="26" t="str">
        <f t="shared" ca="1" si="26"/>
        <v/>
      </c>
      <c r="J350" s="26" t="str">
        <f>IF($A350="","",COUNTIFS(tblReceipts[Item Name],$A350,tblReceipts[Expiry Date],"&lt;"&amp;$H350)+COUNTIFS(tblReceipts[Item Name],$A350,tblReceipts[Expiry Date],$H350,tblReceipts[Lot Number],"&lt;="&amp;Receipts!$C353))</f>
        <v/>
      </c>
      <c r="K350" s="26" t="str">
        <f>IF($A350="","",SUMIFS(tblReceipts[Qty Received],tblReceipts[Item Name],$A350,tblReceipts[Expiry Date],"&lt;"&amp;$H350)+SUMIFS(tblReceipts[Qty Received],tblReceipts[Item Name],$A350,tblReceipts[Expiry Date],$H350,tblReceipts[Lot Number],"&lt;"&amp;Receipts!$C353))</f>
        <v/>
      </c>
      <c r="L350" s="26" t="str">
        <f>IF($A350="","",MIN($D350,MAX(0,SUMIFS(tblIssues[Qty Issued],tblIssues[Item Name],$A350)-$K350)))</f>
        <v/>
      </c>
      <c r="M350" s="26" t="str">
        <f>IF($A350="","",SUMIFS(tblIssues[Qty Issued],tblIssues[Lot Number],$B350))</f>
        <v/>
      </c>
      <c r="N350" s="26" t="str">
        <f t="shared" si="27"/>
        <v/>
      </c>
      <c r="O350" s="26" t="str">
        <f t="shared" si="28"/>
        <v/>
      </c>
      <c r="P350" s="21" t="str">
        <f t="shared" si="29"/>
        <v/>
      </c>
      <c r="Q350" s="52" t="str">
        <f>IF($A350="","",IF($O350&lt;=0,"Depleted",IF($I350&lt;0,"EXPIRED",IF($I350&lt;=Settings!$C$6,"CRITICAL",IF($I350&lt;=Settings!$C$5,"Expiring","In date")))))</f>
        <v/>
      </c>
    </row>
    <row r="351" spans="1:17" x14ac:dyDescent="0.35">
      <c r="A351" s="90" t="str">
        <f>IF(Receipts!$D354="","",Receipts!$D354)</f>
        <v/>
      </c>
      <c r="B351" s="18" t="str">
        <f>IF(Receipts!$C354="","",Receipts!$C354)</f>
        <v/>
      </c>
      <c r="C351" s="18" t="str">
        <f>IF($A351="","",IFERROR(INDEX(Items!$B$5:$B$597,MATCH($A351,Items!$A$5:$A$597,0)),""))</f>
        <v/>
      </c>
      <c r="D351" s="23" t="str">
        <f>IF($A351="","",N(Receipts!$G354))</f>
        <v/>
      </c>
      <c r="E351" s="20" t="str">
        <f>IF($A351="","",IFERROR(INDEX(Items!$D$5:$D$597,MATCH($A351,Items!$A$5:$A$597,0)),0))</f>
        <v/>
      </c>
      <c r="F351" s="21" t="str">
        <f t="shared" si="25"/>
        <v/>
      </c>
      <c r="G351" s="25" t="str">
        <f>IF(Receipts!$I354="","",Receipts!$I354)</f>
        <v/>
      </c>
      <c r="H351" s="25" t="str">
        <f>IF(Receipts!$H354="","",Receipts!$H354)</f>
        <v/>
      </c>
      <c r="I351" s="26" t="str">
        <f t="shared" ca="1" si="26"/>
        <v/>
      </c>
      <c r="J351" s="26" t="str">
        <f>IF($A351="","",COUNTIFS(tblReceipts[Item Name],$A351,tblReceipts[Expiry Date],"&lt;"&amp;$H351)+COUNTIFS(tblReceipts[Item Name],$A351,tblReceipts[Expiry Date],$H351,tblReceipts[Lot Number],"&lt;="&amp;Receipts!$C354))</f>
        <v/>
      </c>
      <c r="K351" s="26" t="str">
        <f>IF($A351="","",SUMIFS(tblReceipts[Qty Received],tblReceipts[Item Name],$A351,tblReceipts[Expiry Date],"&lt;"&amp;$H351)+SUMIFS(tblReceipts[Qty Received],tblReceipts[Item Name],$A351,tblReceipts[Expiry Date],$H351,tblReceipts[Lot Number],"&lt;"&amp;Receipts!$C354))</f>
        <v/>
      </c>
      <c r="L351" s="26" t="str">
        <f>IF($A351="","",MIN($D351,MAX(0,SUMIFS(tblIssues[Qty Issued],tblIssues[Item Name],$A351)-$K351)))</f>
        <v/>
      </c>
      <c r="M351" s="26" t="str">
        <f>IF($A351="","",SUMIFS(tblIssues[Qty Issued],tblIssues[Lot Number],$B351))</f>
        <v/>
      </c>
      <c r="N351" s="26" t="str">
        <f t="shared" si="27"/>
        <v/>
      </c>
      <c r="O351" s="26" t="str">
        <f t="shared" si="28"/>
        <v/>
      </c>
      <c r="P351" s="21" t="str">
        <f t="shared" si="29"/>
        <v/>
      </c>
      <c r="Q351" s="52" t="str">
        <f>IF($A351="","",IF($O351&lt;=0,"Depleted",IF($I351&lt;0,"EXPIRED",IF($I351&lt;=Settings!$C$6,"CRITICAL",IF($I351&lt;=Settings!$C$5,"Expiring","In date")))))</f>
        <v/>
      </c>
    </row>
    <row r="352" spans="1:17" x14ac:dyDescent="0.35">
      <c r="A352" s="90" t="str">
        <f>IF(Receipts!$D355="","",Receipts!$D355)</f>
        <v/>
      </c>
      <c r="B352" s="18" t="str">
        <f>IF(Receipts!$C355="","",Receipts!$C355)</f>
        <v/>
      </c>
      <c r="C352" s="18" t="str">
        <f>IF($A352="","",IFERROR(INDEX(Items!$B$5:$B$597,MATCH($A352,Items!$A$5:$A$597,0)),""))</f>
        <v/>
      </c>
      <c r="D352" s="23" t="str">
        <f>IF($A352="","",N(Receipts!$G355))</f>
        <v/>
      </c>
      <c r="E352" s="20" t="str">
        <f>IF($A352="","",IFERROR(INDEX(Items!$D$5:$D$597,MATCH($A352,Items!$A$5:$A$597,0)),0))</f>
        <v/>
      </c>
      <c r="F352" s="21" t="str">
        <f t="shared" si="25"/>
        <v/>
      </c>
      <c r="G352" s="25" t="str">
        <f>IF(Receipts!$I355="","",Receipts!$I355)</f>
        <v/>
      </c>
      <c r="H352" s="25" t="str">
        <f>IF(Receipts!$H355="","",Receipts!$H355)</f>
        <v/>
      </c>
      <c r="I352" s="26" t="str">
        <f t="shared" ca="1" si="26"/>
        <v/>
      </c>
      <c r="J352" s="26" t="str">
        <f>IF($A352="","",COUNTIFS(tblReceipts[Item Name],$A352,tblReceipts[Expiry Date],"&lt;"&amp;$H352)+COUNTIFS(tblReceipts[Item Name],$A352,tblReceipts[Expiry Date],$H352,tblReceipts[Lot Number],"&lt;="&amp;Receipts!$C355))</f>
        <v/>
      </c>
      <c r="K352" s="26" t="str">
        <f>IF($A352="","",SUMIFS(tblReceipts[Qty Received],tblReceipts[Item Name],$A352,tblReceipts[Expiry Date],"&lt;"&amp;$H352)+SUMIFS(tblReceipts[Qty Received],tblReceipts[Item Name],$A352,tblReceipts[Expiry Date],$H352,tblReceipts[Lot Number],"&lt;"&amp;Receipts!$C355))</f>
        <v/>
      </c>
      <c r="L352" s="26" t="str">
        <f>IF($A352="","",MIN($D352,MAX(0,SUMIFS(tblIssues[Qty Issued],tblIssues[Item Name],$A352)-$K352)))</f>
        <v/>
      </c>
      <c r="M352" s="26" t="str">
        <f>IF($A352="","",SUMIFS(tblIssues[Qty Issued],tblIssues[Lot Number],$B352))</f>
        <v/>
      </c>
      <c r="N352" s="26" t="str">
        <f t="shared" si="27"/>
        <v/>
      </c>
      <c r="O352" s="26" t="str">
        <f t="shared" si="28"/>
        <v/>
      </c>
      <c r="P352" s="21" t="str">
        <f t="shared" si="29"/>
        <v/>
      </c>
      <c r="Q352" s="52" t="str">
        <f>IF($A352="","",IF($O352&lt;=0,"Depleted",IF($I352&lt;0,"EXPIRED",IF($I352&lt;=Settings!$C$6,"CRITICAL",IF($I352&lt;=Settings!$C$5,"Expiring","In date")))))</f>
        <v/>
      </c>
    </row>
    <row r="353" spans="1:17" x14ac:dyDescent="0.35">
      <c r="A353" s="90" t="str">
        <f>IF(Receipts!$D356="","",Receipts!$D356)</f>
        <v/>
      </c>
      <c r="B353" s="18" t="str">
        <f>IF(Receipts!$C356="","",Receipts!$C356)</f>
        <v/>
      </c>
      <c r="C353" s="18" t="str">
        <f>IF($A353="","",IFERROR(INDEX(Items!$B$5:$B$597,MATCH($A353,Items!$A$5:$A$597,0)),""))</f>
        <v/>
      </c>
      <c r="D353" s="23" t="str">
        <f>IF($A353="","",N(Receipts!$G356))</f>
        <v/>
      </c>
      <c r="E353" s="20" t="str">
        <f>IF($A353="","",IFERROR(INDEX(Items!$D$5:$D$597,MATCH($A353,Items!$A$5:$A$597,0)),0))</f>
        <v/>
      </c>
      <c r="F353" s="21" t="str">
        <f t="shared" si="25"/>
        <v/>
      </c>
      <c r="G353" s="25" t="str">
        <f>IF(Receipts!$I356="","",Receipts!$I356)</f>
        <v/>
      </c>
      <c r="H353" s="25" t="str">
        <f>IF(Receipts!$H356="","",Receipts!$H356)</f>
        <v/>
      </c>
      <c r="I353" s="26" t="str">
        <f t="shared" ca="1" si="26"/>
        <v/>
      </c>
      <c r="J353" s="26" t="str">
        <f>IF($A353="","",COUNTIFS(tblReceipts[Item Name],$A353,tblReceipts[Expiry Date],"&lt;"&amp;$H353)+COUNTIFS(tblReceipts[Item Name],$A353,tblReceipts[Expiry Date],$H353,tblReceipts[Lot Number],"&lt;="&amp;Receipts!$C356))</f>
        <v/>
      </c>
      <c r="K353" s="26" t="str">
        <f>IF($A353="","",SUMIFS(tblReceipts[Qty Received],tblReceipts[Item Name],$A353,tblReceipts[Expiry Date],"&lt;"&amp;$H353)+SUMIFS(tblReceipts[Qty Received],tblReceipts[Item Name],$A353,tblReceipts[Expiry Date],$H353,tblReceipts[Lot Number],"&lt;"&amp;Receipts!$C356))</f>
        <v/>
      </c>
      <c r="L353" s="26" t="str">
        <f>IF($A353="","",MIN($D353,MAX(0,SUMIFS(tblIssues[Qty Issued],tblIssues[Item Name],$A353)-$K353)))</f>
        <v/>
      </c>
      <c r="M353" s="26" t="str">
        <f>IF($A353="","",SUMIFS(tblIssues[Qty Issued],tblIssues[Lot Number],$B353))</f>
        <v/>
      </c>
      <c r="N353" s="26" t="str">
        <f t="shared" si="27"/>
        <v/>
      </c>
      <c r="O353" s="26" t="str">
        <f t="shared" si="28"/>
        <v/>
      </c>
      <c r="P353" s="21" t="str">
        <f t="shared" si="29"/>
        <v/>
      </c>
      <c r="Q353" s="52" t="str">
        <f>IF($A353="","",IF($O353&lt;=0,"Depleted",IF($I353&lt;0,"EXPIRED",IF($I353&lt;=Settings!$C$6,"CRITICAL",IF($I353&lt;=Settings!$C$5,"Expiring","In date")))))</f>
        <v/>
      </c>
    </row>
    <row r="354" spans="1:17" x14ac:dyDescent="0.35">
      <c r="A354" s="90" t="str">
        <f>IF(Receipts!$D357="","",Receipts!$D357)</f>
        <v/>
      </c>
      <c r="B354" s="18" t="str">
        <f>IF(Receipts!$C357="","",Receipts!$C357)</f>
        <v/>
      </c>
      <c r="C354" s="18" t="str">
        <f>IF($A354="","",IFERROR(INDEX(Items!$B$5:$B$597,MATCH($A354,Items!$A$5:$A$597,0)),""))</f>
        <v/>
      </c>
      <c r="D354" s="23" t="str">
        <f>IF($A354="","",N(Receipts!$G357))</f>
        <v/>
      </c>
      <c r="E354" s="20" t="str">
        <f>IF($A354="","",IFERROR(INDEX(Items!$D$5:$D$597,MATCH($A354,Items!$A$5:$A$597,0)),0))</f>
        <v/>
      </c>
      <c r="F354" s="21" t="str">
        <f t="shared" si="25"/>
        <v/>
      </c>
      <c r="G354" s="25" t="str">
        <f>IF(Receipts!$I357="","",Receipts!$I357)</f>
        <v/>
      </c>
      <c r="H354" s="25" t="str">
        <f>IF(Receipts!$H357="","",Receipts!$H357)</f>
        <v/>
      </c>
      <c r="I354" s="26" t="str">
        <f t="shared" ca="1" si="26"/>
        <v/>
      </c>
      <c r="J354" s="26" t="str">
        <f>IF($A354="","",COUNTIFS(tblReceipts[Item Name],$A354,tblReceipts[Expiry Date],"&lt;"&amp;$H354)+COUNTIFS(tblReceipts[Item Name],$A354,tblReceipts[Expiry Date],$H354,tblReceipts[Lot Number],"&lt;="&amp;Receipts!$C357))</f>
        <v/>
      </c>
      <c r="K354" s="26" t="str">
        <f>IF($A354="","",SUMIFS(tblReceipts[Qty Received],tblReceipts[Item Name],$A354,tblReceipts[Expiry Date],"&lt;"&amp;$H354)+SUMIFS(tblReceipts[Qty Received],tblReceipts[Item Name],$A354,tblReceipts[Expiry Date],$H354,tblReceipts[Lot Number],"&lt;"&amp;Receipts!$C357))</f>
        <v/>
      </c>
      <c r="L354" s="26" t="str">
        <f>IF($A354="","",MIN($D354,MAX(0,SUMIFS(tblIssues[Qty Issued],tblIssues[Item Name],$A354)-$K354)))</f>
        <v/>
      </c>
      <c r="M354" s="26" t="str">
        <f>IF($A354="","",SUMIFS(tblIssues[Qty Issued],tblIssues[Lot Number],$B354))</f>
        <v/>
      </c>
      <c r="N354" s="26" t="str">
        <f t="shared" si="27"/>
        <v/>
      </c>
      <c r="O354" s="26" t="str">
        <f t="shared" si="28"/>
        <v/>
      </c>
      <c r="P354" s="21" t="str">
        <f t="shared" si="29"/>
        <v/>
      </c>
      <c r="Q354" s="52" t="str">
        <f>IF($A354="","",IF($O354&lt;=0,"Depleted",IF($I354&lt;0,"EXPIRED",IF($I354&lt;=Settings!$C$6,"CRITICAL",IF($I354&lt;=Settings!$C$5,"Expiring","In date")))))</f>
        <v/>
      </c>
    </row>
    <row r="355" spans="1:17" x14ac:dyDescent="0.35">
      <c r="A355" s="90" t="str">
        <f>IF(Receipts!$D358="","",Receipts!$D358)</f>
        <v/>
      </c>
      <c r="B355" s="18" t="str">
        <f>IF(Receipts!$C358="","",Receipts!$C358)</f>
        <v/>
      </c>
      <c r="C355" s="18" t="str">
        <f>IF($A355="","",IFERROR(INDEX(Items!$B$5:$B$597,MATCH($A355,Items!$A$5:$A$597,0)),""))</f>
        <v/>
      </c>
      <c r="D355" s="23" t="str">
        <f>IF($A355="","",N(Receipts!$G358))</f>
        <v/>
      </c>
      <c r="E355" s="20" t="str">
        <f>IF($A355="","",IFERROR(INDEX(Items!$D$5:$D$597,MATCH($A355,Items!$A$5:$A$597,0)),0))</f>
        <v/>
      </c>
      <c r="F355" s="21" t="str">
        <f t="shared" si="25"/>
        <v/>
      </c>
      <c r="G355" s="25" t="str">
        <f>IF(Receipts!$I358="","",Receipts!$I358)</f>
        <v/>
      </c>
      <c r="H355" s="25" t="str">
        <f>IF(Receipts!$H358="","",Receipts!$H358)</f>
        <v/>
      </c>
      <c r="I355" s="26" t="str">
        <f t="shared" ca="1" si="26"/>
        <v/>
      </c>
      <c r="J355" s="26" t="str">
        <f>IF($A355="","",COUNTIFS(tblReceipts[Item Name],$A355,tblReceipts[Expiry Date],"&lt;"&amp;$H355)+COUNTIFS(tblReceipts[Item Name],$A355,tblReceipts[Expiry Date],$H355,tblReceipts[Lot Number],"&lt;="&amp;Receipts!$C358))</f>
        <v/>
      </c>
      <c r="K355" s="26" t="str">
        <f>IF($A355="","",SUMIFS(tblReceipts[Qty Received],tblReceipts[Item Name],$A355,tblReceipts[Expiry Date],"&lt;"&amp;$H355)+SUMIFS(tblReceipts[Qty Received],tblReceipts[Item Name],$A355,tblReceipts[Expiry Date],$H355,tblReceipts[Lot Number],"&lt;"&amp;Receipts!$C358))</f>
        <v/>
      </c>
      <c r="L355" s="26" t="str">
        <f>IF($A355="","",MIN($D355,MAX(0,SUMIFS(tblIssues[Qty Issued],tblIssues[Item Name],$A355)-$K355)))</f>
        <v/>
      </c>
      <c r="M355" s="26" t="str">
        <f>IF($A355="","",SUMIFS(tblIssues[Qty Issued],tblIssues[Lot Number],$B355))</f>
        <v/>
      </c>
      <c r="N355" s="26" t="str">
        <f t="shared" si="27"/>
        <v/>
      </c>
      <c r="O355" s="26" t="str">
        <f t="shared" si="28"/>
        <v/>
      </c>
      <c r="P355" s="21" t="str">
        <f t="shared" si="29"/>
        <v/>
      </c>
      <c r="Q355" s="52" t="str">
        <f>IF($A355="","",IF($O355&lt;=0,"Depleted",IF($I355&lt;0,"EXPIRED",IF($I355&lt;=Settings!$C$6,"CRITICAL",IF($I355&lt;=Settings!$C$5,"Expiring","In date")))))</f>
        <v/>
      </c>
    </row>
    <row r="356" spans="1:17" x14ac:dyDescent="0.35">
      <c r="A356" s="90" t="str">
        <f>IF(Receipts!$D359="","",Receipts!$D359)</f>
        <v/>
      </c>
      <c r="B356" s="18" t="str">
        <f>IF(Receipts!$C359="","",Receipts!$C359)</f>
        <v/>
      </c>
      <c r="C356" s="18" t="str">
        <f>IF($A356="","",IFERROR(INDEX(Items!$B$5:$B$597,MATCH($A356,Items!$A$5:$A$597,0)),""))</f>
        <v/>
      </c>
      <c r="D356" s="23" t="str">
        <f>IF($A356="","",N(Receipts!$G359))</f>
        <v/>
      </c>
      <c r="E356" s="20" t="str">
        <f>IF($A356="","",IFERROR(INDEX(Items!$D$5:$D$597,MATCH($A356,Items!$A$5:$A$597,0)),0))</f>
        <v/>
      </c>
      <c r="F356" s="21" t="str">
        <f t="shared" si="25"/>
        <v/>
      </c>
      <c r="G356" s="25" t="str">
        <f>IF(Receipts!$I359="","",Receipts!$I359)</f>
        <v/>
      </c>
      <c r="H356" s="25" t="str">
        <f>IF(Receipts!$H359="","",Receipts!$H359)</f>
        <v/>
      </c>
      <c r="I356" s="26" t="str">
        <f t="shared" ca="1" si="26"/>
        <v/>
      </c>
      <c r="J356" s="26" t="str">
        <f>IF($A356="","",COUNTIFS(tblReceipts[Item Name],$A356,tblReceipts[Expiry Date],"&lt;"&amp;$H356)+COUNTIFS(tblReceipts[Item Name],$A356,tblReceipts[Expiry Date],$H356,tblReceipts[Lot Number],"&lt;="&amp;Receipts!$C359))</f>
        <v/>
      </c>
      <c r="K356" s="26" t="str">
        <f>IF($A356="","",SUMIFS(tblReceipts[Qty Received],tblReceipts[Item Name],$A356,tblReceipts[Expiry Date],"&lt;"&amp;$H356)+SUMIFS(tblReceipts[Qty Received],tblReceipts[Item Name],$A356,tblReceipts[Expiry Date],$H356,tblReceipts[Lot Number],"&lt;"&amp;Receipts!$C359))</f>
        <v/>
      </c>
      <c r="L356" s="26" t="str">
        <f>IF($A356="","",MIN($D356,MAX(0,SUMIFS(tblIssues[Qty Issued],tblIssues[Item Name],$A356)-$K356)))</f>
        <v/>
      </c>
      <c r="M356" s="26" t="str">
        <f>IF($A356="","",SUMIFS(tblIssues[Qty Issued],tblIssues[Lot Number],$B356))</f>
        <v/>
      </c>
      <c r="N356" s="26" t="str">
        <f t="shared" si="27"/>
        <v/>
      </c>
      <c r="O356" s="26" t="str">
        <f t="shared" si="28"/>
        <v/>
      </c>
      <c r="P356" s="21" t="str">
        <f t="shared" si="29"/>
        <v/>
      </c>
      <c r="Q356" s="52" t="str">
        <f>IF($A356="","",IF($O356&lt;=0,"Depleted",IF($I356&lt;0,"EXPIRED",IF($I356&lt;=Settings!$C$6,"CRITICAL",IF($I356&lt;=Settings!$C$5,"Expiring","In date")))))</f>
        <v/>
      </c>
    </row>
    <row r="357" spans="1:17" x14ac:dyDescent="0.35">
      <c r="A357" s="90" t="str">
        <f>IF(Receipts!$D360="","",Receipts!$D360)</f>
        <v/>
      </c>
      <c r="B357" s="18" t="str">
        <f>IF(Receipts!$C360="","",Receipts!$C360)</f>
        <v/>
      </c>
      <c r="C357" s="18" t="str">
        <f>IF($A357="","",IFERROR(INDEX(Items!$B$5:$B$597,MATCH($A357,Items!$A$5:$A$597,0)),""))</f>
        <v/>
      </c>
      <c r="D357" s="23" t="str">
        <f>IF($A357="","",N(Receipts!$G360))</f>
        <v/>
      </c>
      <c r="E357" s="20" t="str">
        <f>IF($A357="","",IFERROR(INDEX(Items!$D$5:$D$597,MATCH($A357,Items!$A$5:$A$597,0)),0))</f>
        <v/>
      </c>
      <c r="F357" s="21" t="str">
        <f t="shared" si="25"/>
        <v/>
      </c>
      <c r="G357" s="25" t="str">
        <f>IF(Receipts!$I360="","",Receipts!$I360)</f>
        <v/>
      </c>
      <c r="H357" s="25" t="str">
        <f>IF(Receipts!$H360="","",Receipts!$H360)</f>
        <v/>
      </c>
      <c r="I357" s="26" t="str">
        <f t="shared" ca="1" si="26"/>
        <v/>
      </c>
      <c r="J357" s="26" t="str">
        <f>IF($A357="","",COUNTIFS(tblReceipts[Item Name],$A357,tblReceipts[Expiry Date],"&lt;"&amp;$H357)+COUNTIFS(tblReceipts[Item Name],$A357,tblReceipts[Expiry Date],$H357,tblReceipts[Lot Number],"&lt;="&amp;Receipts!$C360))</f>
        <v/>
      </c>
      <c r="K357" s="26" t="str">
        <f>IF($A357="","",SUMIFS(tblReceipts[Qty Received],tblReceipts[Item Name],$A357,tblReceipts[Expiry Date],"&lt;"&amp;$H357)+SUMIFS(tblReceipts[Qty Received],tblReceipts[Item Name],$A357,tblReceipts[Expiry Date],$H357,tblReceipts[Lot Number],"&lt;"&amp;Receipts!$C360))</f>
        <v/>
      </c>
      <c r="L357" s="26" t="str">
        <f>IF($A357="","",MIN($D357,MAX(0,SUMIFS(tblIssues[Qty Issued],tblIssues[Item Name],$A357)-$K357)))</f>
        <v/>
      </c>
      <c r="M357" s="26" t="str">
        <f>IF($A357="","",SUMIFS(tblIssues[Qty Issued],tblIssues[Lot Number],$B357))</f>
        <v/>
      </c>
      <c r="N357" s="26" t="str">
        <f t="shared" si="27"/>
        <v/>
      </c>
      <c r="O357" s="26" t="str">
        <f t="shared" si="28"/>
        <v/>
      </c>
      <c r="P357" s="21" t="str">
        <f t="shared" si="29"/>
        <v/>
      </c>
      <c r="Q357" s="52" t="str">
        <f>IF($A357="","",IF($O357&lt;=0,"Depleted",IF($I357&lt;0,"EXPIRED",IF($I357&lt;=Settings!$C$6,"CRITICAL",IF($I357&lt;=Settings!$C$5,"Expiring","In date")))))</f>
        <v/>
      </c>
    </row>
    <row r="358" spans="1:17" x14ac:dyDescent="0.35">
      <c r="A358" s="90" t="str">
        <f>IF(Receipts!$D361="","",Receipts!$D361)</f>
        <v/>
      </c>
      <c r="B358" s="18" t="str">
        <f>IF(Receipts!$C361="","",Receipts!$C361)</f>
        <v/>
      </c>
      <c r="C358" s="18" t="str">
        <f>IF($A358="","",IFERROR(INDEX(Items!$B$5:$B$597,MATCH($A358,Items!$A$5:$A$597,0)),""))</f>
        <v/>
      </c>
      <c r="D358" s="23" t="str">
        <f>IF($A358="","",N(Receipts!$G361))</f>
        <v/>
      </c>
      <c r="E358" s="20" t="str">
        <f>IF($A358="","",IFERROR(INDEX(Items!$D$5:$D$597,MATCH($A358,Items!$A$5:$A$597,0)),0))</f>
        <v/>
      </c>
      <c r="F358" s="21" t="str">
        <f t="shared" si="25"/>
        <v/>
      </c>
      <c r="G358" s="25" t="str">
        <f>IF(Receipts!$I361="","",Receipts!$I361)</f>
        <v/>
      </c>
      <c r="H358" s="25" t="str">
        <f>IF(Receipts!$H361="","",Receipts!$H361)</f>
        <v/>
      </c>
      <c r="I358" s="26" t="str">
        <f t="shared" ca="1" si="26"/>
        <v/>
      </c>
      <c r="J358" s="26" t="str">
        <f>IF($A358="","",COUNTIFS(tblReceipts[Item Name],$A358,tblReceipts[Expiry Date],"&lt;"&amp;$H358)+COUNTIFS(tblReceipts[Item Name],$A358,tblReceipts[Expiry Date],$H358,tblReceipts[Lot Number],"&lt;="&amp;Receipts!$C361))</f>
        <v/>
      </c>
      <c r="K358" s="26" t="str">
        <f>IF($A358="","",SUMIFS(tblReceipts[Qty Received],tblReceipts[Item Name],$A358,tblReceipts[Expiry Date],"&lt;"&amp;$H358)+SUMIFS(tblReceipts[Qty Received],tblReceipts[Item Name],$A358,tblReceipts[Expiry Date],$H358,tblReceipts[Lot Number],"&lt;"&amp;Receipts!$C361))</f>
        <v/>
      </c>
      <c r="L358" s="26" t="str">
        <f>IF($A358="","",MIN($D358,MAX(0,SUMIFS(tblIssues[Qty Issued],tblIssues[Item Name],$A358)-$K358)))</f>
        <v/>
      </c>
      <c r="M358" s="26" t="str">
        <f>IF($A358="","",SUMIFS(tblIssues[Qty Issued],tblIssues[Lot Number],$B358))</f>
        <v/>
      </c>
      <c r="N358" s="26" t="str">
        <f t="shared" si="27"/>
        <v/>
      </c>
      <c r="O358" s="26" t="str">
        <f t="shared" si="28"/>
        <v/>
      </c>
      <c r="P358" s="21" t="str">
        <f t="shared" si="29"/>
        <v/>
      </c>
      <c r="Q358" s="52" t="str">
        <f>IF($A358="","",IF($O358&lt;=0,"Depleted",IF($I358&lt;0,"EXPIRED",IF($I358&lt;=Settings!$C$6,"CRITICAL",IF($I358&lt;=Settings!$C$5,"Expiring","In date")))))</f>
        <v/>
      </c>
    </row>
    <row r="359" spans="1:17" x14ac:dyDescent="0.35">
      <c r="A359" s="90" t="str">
        <f>IF(Receipts!$D362="","",Receipts!$D362)</f>
        <v/>
      </c>
      <c r="B359" s="18" t="str">
        <f>IF(Receipts!$C362="","",Receipts!$C362)</f>
        <v/>
      </c>
      <c r="C359" s="18" t="str">
        <f>IF($A359="","",IFERROR(INDEX(Items!$B$5:$B$597,MATCH($A359,Items!$A$5:$A$597,0)),""))</f>
        <v/>
      </c>
      <c r="D359" s="23" t="str">
        <f>IF($A359="","",N(Receipts!$G362))</f>
        <v/>
      </c>
      <c r="E359" s="20" t="str">
        <f>IF($A359="","",IFERROR(INDEX(Items!$D$5:$D$597,MATCH($A359,Items!$A$5:$A$597,0)),0))</f>
        <v/>
      </c>
      <c r="F359" s="21" t="str">
        <f t="shared" si="25"/>
        <v/>
      </c>
      <c r="G359" s="25" t="str">
        <f>IF(Receipts!$I362="","",Receipts!$I362)</f>
        <v/>
      </c>
      <c r="H359" s="25" t="str">
        <f>IF(Receipts!$H362="","",Receipts!$H362)</f>
        <v/>
      </c>
      <c r="I359" s="26" t="str">
        <f t="shared" ca="1" si="26"/>
        <v/>
      </c>
      <c r="J359" s="26" t="str">
        <f>IF($A359="","",COUNTIFS(tblReceipts[Item Name],$A359,tblReceipts[Expiry Date],"&lt;"&amp;$H359)+COUNTIFS(tblReceipts[Item Name],$A359,tblReceipts[Expiry Date],$H359,tblReceipts[Lot Number],"&lt;="&amp;Receipts!$C362))</f>
        <v/>
      </c>
      <c r="K359" s="26" t="str">
        <f>IF($A359="","",SUMIFS(tblReceipts[Qty Received],tblReceipts[Item Name],$A359,tblReceipts[Expiry Date],"&lt;"&amp;$H359)+SUMIFS(tblReceipts[Qty Received],tblReceipts[Item Name],$A359,tblReceipts[Expiry Date],$H359,tblReceipts[Lot Number],"&lt;"&amp;Receipts!$C362))</f>
        <v/>
      </c>
      <c r="L359" s="26" t="str">
        <f>IF($A359="","",MIN($D359,MAX(0,SUMIFS(tblIssues[Qty Issued],tblIssues[Item Name],$A359)-$K359)))</f>
        <v/>
      </c>
      <c r="M359" s="26" t="str">
        <f>IF($A359="","",SUMIFS(tblIssues[Qty Issued],tblIssues[Lot Number],$B359))</f>
        <v/>
      </c>
      <c r="N359" s="26" t="str">
        <f t="shared" si="27"/>
        <v/>
      </c>
      <c r="O359" s="26" t="str">
        <f t="shared" si="28"/>
        <v/>
      </c>
      <c r="P359" s="21" t="str">
        <f t="shared" si="29"/>
        <v/>
      </c>
      <c r="Q359" s="52" t="str">
        <f>IF($A359="","",IF($O359&lt;=0,"Depleted",IF($I359&lt;0,"EXPIRED",IF($I359&lt;=Settings!$C$6,"CRITICAL",IF($I359&lt;=Settings!$C$5,"Expiring","In date")))))</f>
        <v/>
      </c>
    </row>
    <row r="360" spans="1:17" x14ac:dyDescent="0.35">
      <c r="A360" s="90" t="str">
        <f>IF(Receipts!$D363="","",Receipts!$D363)</f>
        <v/>
      </c>
      <c r="B360" s="18" t="str">
        <f>IF(Receipts!$C363="","",Receipts!$C363)</f>
        <v/>
      </c>
      <c r="C360" s="18" t="str">
        <f>IF($A360="","",IFERROR(INDEX(Items!$B$5:$B$597,MATCH($A360,Items!$A$5:$A$597,0)),""))</f>
        <v/>
      </c>
      <c r="D360" s="23" t="str">
        <f>IF($A360="","",N(Receipts!$G363))</f>
        <v/>
      </c>
      <c r="E360" s="20" t="str">
        <f>IF($A360="","",IFERROR(INDEX(Items!$D$5:$D$597,MATCH($A360,Items!$A$5:$A$597,0)),0))</f>
        <v/>
      </c>
      <c r="F360" s="21" t="str">
        <f t="shared" si="25"/>
        <v/>
      </c>
      <c r="G360" s="25" t="str">
        <f>IF(Receipts!$I363="","",Receipts!$I363)</f>
        <v/>
      </c>
      <c r="H360" s="25" t="str">
        <f>IF(Receipts!$H363="","",Receipts!$H363)</f>
        <v/>
      </c>
      <c r="I360" s="26" t="str">
        <f t="shared" ca="1" si="26"/>
        <v/>
      </c>
      <c r="J360" s="26" t="str">
        <f>IF($A360="","",COUNTIFS(tblReceipts[Item Name],$A360,tblReceipts[Expiry Date],"&lt;"&amp;$H360)+COUNTIFS(tblReceipts[Item Name],$A360,tblReceipts[Expiry Date],$H360,tblReceipts[Lot Number],"&lt;="&amp;Receipts!$C363))</f>
        <v/>
      </c>
      <c r="K360" s="26" t="str">
        <f>IF($A360="","",SUMIFS(tblReceipts[Qty Received],tblReceipts[Item Name],$A360,tblReceipts[Expiry Date],"&lt;"&amp;$H360)+SUMIFS(tblReceipts[Qty Received],tblReceipts[Item Name],$A360,tblReceipts[Expiry Date],$H360,tblReceipts[Lot Number],"&lt;"&amp;Receipts!$C363))</f>
        <v/>
      </c>
      <c r="L360" s="26" t="str">
        <f>IF($A360="","",MIN($D360,MAX(0,SUMIFS(tblIssues[Qty Issued],tblIssues[Item Name],$A360)-$K360)))</f>
        <v/>
      </c>
      <c r="M360" s="26" t="str">
        <f>IF($A360="","",SUMIFS(tblIssues[Qty Issued],tblIssues[Lot Number],$B360))</f>
        <v/>
      </c>
      <c r="N360" s="26" t="str">
        <f t="shared" si="27"/>
        <v/>
      </c>
      <c r="O360" s="26" t="str">
        <f t="shared" si="28"/>
        <v/>
      </c>
      <c r="P360" s="21" t="str">
        <f t="shared" si="29"/>
        <v/>
      </c>
      <c r="Q360" s="52" t="str">
        <f>IF($A360="","",IF($O360&lt;=0,"Depleted",IF($I360&lt;0,"EXPIRED",IF($I360&lt;=Settings!$C$6,"CRITICAL",IF($I360&lt;=Settings!$C$5,"Expiring","In date")))))</f>
        <v/>
      </c>
    </row>
    <row r="361" spans="1:17" x14ac:dyDescent="0.35">
      <c r="A361" s="90" t="str">
        <f>IF(Receipts!$D364="","",Receipts!$D364)</f>
        <v/>
      </c>
      <c r="B361" s="18" t="str">
        <f>IF(Receipts!$C364="","",Receipts!$C364)</f>
        <v/>
      </c>
      <c r="C361" s="18" t="str">
        <f>IF($A361="","",IFERROR(INDEX(Items!$B$5:$B$597,MATCH($A361,Items!$A$5:$A$597,0)),""))</f>
        <v/>
      </c>
      <c r="D361" s="23" t="str">
        <f>IF($A361="","",N(Receipts!$G364))</f>
        <v/>
      </c>
      <c r="E361" s="20" t="str">
        <f>IF($A361="","",IFERROR(INDEX(Items!$D$5:$D$597,MATCH($A361,Items!$A$5:$A$597,0)),0))</f>
        <v/>
      </c>
      <c r="F361" s="21" t="str">
        <f t="shared" si="25"/>
        <v/>
      </c>
      <c r="G361" s="25" t="str">
        <f>IF(Receipts!$I364="","",Receipts!$I364)</f>
        <v/>
      </c>
      <c r="H361" s="25" t="str">
        <f>IF(Receipts!$H364="","",Receipts!$H364)</f>
        <v/>
      </c>
      <c r="I361" s="26" t="str">
        <f t="shared" ca="1" si="26"/>
        <v/>
      </c>
      <c r="J361" s="26" t="str">
        <f>IF($A361="","",COUNTIFS(tblReceipts[Item Name],$A361,tblReceipts[Expiry Date],"&lt;"&amp;$H361)+COUNTIFS(tblReceipts[Item Name],$A361,tblReceipts[Expiry Date],$H361,tblReceipts[Lot Number],"&lt;="&amp;Receipts!$C364))</f>
        <v/>
      </c>
      <c r="K361" s="26" t="str">
        <f>IF($A361="","",SUMIFS(tblReceipts[Qty Received],tblReceipts[Item Name],$A361,tblReceipts[Expiry Date],"&lt;"&amp;$H361)+SUMIFS(tblReceipts[Qty Received],tblReceipts[Item Name],$A361,tblReceipts[Expiry Date],$H361,tblReceipts[Lot Number],"&lt;"&amp;Receipts!$C364))</f>
        <v/>
      </c>
      <c r="L361" s="26" t="str">
        <f>IF($A361="","",MIN($D361,MAX(0,SUMIFS(tblIssues[Qty Issued],tblIssues[Item Name],$A361)-$K361)))</f>
        <v/>
      </c>
      <c r="M361" s="26" t="str">
        <f>IF($A361="","",SUMIFS(tblIssues[Qty Issued],tblIssues[Lot Number],$B361))</f>
        <v/>
      </c>
      <c r="N361" s="26" t="str">
        <f t="shared" si="27"/>
        <v/>
      </c>
      <c r="O361" s="26" t="str">
        <f t="shared" si="28"/>
        <v/>
      </c>
      <c r="P361" s="21" t="str">
        <f t="shared" si="29"/>
        <v/>
      </c>
      <c r="Q361" s="52" t="str">
        <f>IF($A361="","",IF($O361&lt;=0,"Depleted",IF($I361&lt;0,"EXPIRED",IF($I361&lt;=Settings!$C$6,"CRITICAL",IF($I361&lt;=Settings!$C$5,"Expiring","In date")))))</f>
        <v/>
      </c>
    </row>
    <row r="362" spans="1:17" x14ac:dyDescent="0.35">
      <c r="A362" s="90" t="str">
        <f>IF(Receipts!$D365="","",Receipts!$D365)</f>
        <v/>
      </c>
      <c r="B362" s="18" t="str">
        <f>IF(Receipts!$C365="","",Receipts!$C365)</f>
        <v/>
      </c>
      <c r="C362" s="18" t="str">
        <f>IF($A362="","",IFERROR(INDEX(Items!$B$5:$B$597,MATCH($A362,Items!$A$5:$A$597,0)),""))</f>
        <v/>
      </c>
      <c r="D362" s="23" t="str">
        <f>IF($A362="","",N(Receipts!$G365))</f>
        <v/>
      </c>
      <c r="E362" s="20" t="str">
        <f>IF($A362="","",IFERROR(INDEX(Items!$D$5:$D$597,MATCH($A362,Items!$A$5:$A$597,0)),0))</f>
        <v/>
      </c>
      <c r="F362" s="21" t="str">
        <f t="shared" si="25"/>
        <v/>
      </c>
      <c r="G362" s="25" t="str">
        <f>IF(Receipts!$I365="","",Receipts!$I365)</f>
        <v/>
      </c>
      <c r="H362" s="25" t="str">
        <f>IF(Receipts!$H365="","",Receipts!$H365)</f>
        <v/>
      </c>
      <c r="I362" s="26" t="str">
        <f t="shared" ca="1" si="26"/>
        <v/>
      </c>
      <c r="J362" s="26" t="str">
        <f>IF($A362="","",COUNTIFS(tblReceipts[Item Name],$A362,tblReceipts[Expiry Date],"&lt;"&amp;$H362)+COUNTIFS(tblReceipts[Item Name],$A362,tblReceipts[Expiry Date],$H362,tblReceipts[Lot Number],"&lt;="&amp;Receipts!$C365))</f>
        <v/>
      </c>
      <c r="K362" s="26" t="str">
        <f>IF($A362="","",SUMIFS(tblReceipts[Qty Received],tblReceipts[Item Name],$A362,tblReceipts[Expiry Date],"&lt;"&amp;$H362)+SUMIFS(tblReceipts[Qty Received],tblReceipts[Item Name],$A362,tblReceipts[Expiry Date],$H362,tblReceipts[Lot Number],"&lt;"&amp;Receipts!$C365))</f>
        <v/>
      </c>
      <c r="L362" s="26" t="str">
        <f>IF($A362="","",MIN($D362,MAX(0,SUMIFS(tblIssues[Qty Issued],tblIssues[Item Name],$A362)-$K362)))</f>
        <v/>
      </c>
      <c r="M362" s="26" t="str">
        <f>IF($A362="","",SUMIFS(tblIssues[Qty Issued],tblIssues[Lot Number],$B362))</f>
        <v/>
      </c>
      <c r="N362" s="26" t="str">
        <f t="shared" si="27"/>
        <v/>
      </c>
      <c r="O362" s="26" t="str">
        <f t="shared" si="28"/>
        <v/>
      </c>
      <c r="P362" s="21" t="str">
        <f t="shared" si="29"/>
        <v/>
      </c>
      <c r="Q362" s="52" t="str">
        <f>IF($A362="","",IF($O362&lt;=0,"Depleted",IF($I362&lt;0,"EXPIRED",IF($I362&lt;=Settings!$C$6,"CRITICAL",IF($I362&lt;=Settings!$C$5,"Expiring","In date")))))</f>
        <v/>
      </c>
    </row>
    <row r="363" spans="1:17" x14ac:dyDescent="0.35">
      <c r="A363" s="90" t="str">
        <f>IF(Receipts!$D366="","",Receipts!$D366)</f>
        <v/>
      </c>
      <c r="B363" s="18" t="str">
        <f>IF(Receipts!$C366="","",Receipts!$C366)</f>
        <v/>
      </c>
      <c r="C363" s="18" t="str">
        <f>IF($A363="","",IFERROR(INDEX(Items!$B$5:$B$597,MATCH($A363,Items!$A$5:$A$597,0)),""))</f>
        <v/>
      </c>
      <c r="D363" s="23" t="str">
        <f>IF($A363="","",N(Receipts!$G366))</f>
        <v/>
      </c>
      <c r="E363" s="20" t="str">
        <f>IF($A363="","",IFERROR(INDEX(Items!$D$5:$D$597,MATCH($A363,Items!$A$5:$A$597,0)),0))</f>
        <v/>
      </c>
      <c r="F363" s="21" t="str">
        <f t="shared" si="25"/>
        <v/>
      </c>
      <c r="G363" s="25" t="str">
        <f>IF(Receipts!$I366="","",Receipts!$I366)</f>
        <v/>
      </c>
      <c r="H363" s="25" t="str">
        <f>IF(Receipts!$H366="","",Receipts!$H366)</f>
        <v/>
      </c>
      <c r="I363" s="26" t="str">
        <f t="shared" ca="1" si="26"/>
        <v/>
      </c>
      <c r="J363" s="26" t="str">
        <f>IF($A363="","",COUNTIFS(tblReceipts[Item Name],$A363,tblReceipts[Expiry Date],"&lt;"&amp;$H363)+COUNTIFS(tblReceipts[Item Name],$A363,tblReceipts[Expiry Date],$H363,tblReceipts[Lot Number],"&lt;="&amp;Receipts!$C366))</f>
        <v/>
      </c>
      <c r="K363" s="26" t="str">
        <f>IF($A363="","",SUMIFS(tblReceipts[Qty Received],tblReceipts[Item Name],$A363,tblReceipts[Expiry Date],"&lt;"&amp;$H363)+SUMIFS(tblReceipts[Qty Received],tblReceipts[Item Name],$A363,tblReceipts[Expiry Date],$H363,tblReceipts[Lot Number],"&lt;"&amp;Receipts!$C366))</f>
        <v/>
      </c>
      <c r="L363" s="26" t="str">
        <f>IF($A363="","",MIN($D363,MAX(0,SUMIFS(tblIssues[Qty Issued],tblIssues[Item Name],$A363)-$K363)))</f>
        <v/>
      </c>
      <c r="M363" s="26" t="str">
        <f>IF($A363="","",SUMIFS(tblIssues[Qty Issued],tblIssues[Lot Number],$B363))</f>
        <v/>
      </c>
      <c r="N363" s="26" t="str">
        <f t="shared" si="27"/>
        <v/>
      </c>
      <c r="O363" s="26" t="str">
        <f t="shared" si="28"/>
        <v/>
      </c>
      <c r="P363" s="21" t="str">
        <f t="shared" si="29"/>
        <v/>
      </c>
      <c r="Q363" s="52" t="str">
        <f>IF($A363="","",IF($O363&lt;=0,"Depleted",IF($I363&lt;0,"EXPIRED",IF($I363&lt;=Settings!$C$6,"CRITICAL",IF($I363&lt;=Settings!$C$5,"Expiring","In date")))))</f>
        <v/>
      </c>
    </row>
    <row r="364" spans="1:17" x14ac:dyDescent="0.35">
      <c r="A364" s="90" t="str">
        <f>IF(Receipts!$D367="","",Receipts!$D367)</f>
        <v/>
      </c>
      <c r="B364" s="18" t="str">
        <f>IF(Receipts!$C367="","",Receipts!$C367)</f>
        <v/>
      </c>
      <c r="C364" s="18" t="str">
        <f>IF($A364="","",IFERROR(INDEX(Items!$B$5:$B$597,MATCH($A364,Items!$A$5:$A$597,0)),""))</f>
        <v/>
      </c>
      <c r="D364" s="23" t="str">
        <f>IF($A364="","",N(Receipts!$G367))</f>
        <v/>
      </c>
      <c r="E364" s="20" t="str">
        <f>IF($A364="","",IFERROR(INDEX(Items!$D$5:$D$597,MATCH($A364,Items!$A$5:$A$597,0)),0))</f>
        <v/>
      </c>
      <c r="F364" s="21" t="str">
        <f t="shared" si="25"/>
        <v/>
      </c>
      <c r="G364" s="25" t="str">
        <f>IF(Receipts!$I367="","",Receipts!$I367)</f>
        <v/>
      </c>
      <c r="H364" s="25" t="str">
        <f>IF(Receipts!$H367="","",Receipts!$H367)</f>
        <v/>
      </c>
      <c r="I364" s="26" t="str">
        <f t="shared" ca="1" si="26"/>
        <v/>
      </c>
      <c r="J364" s="26" t="str">
        <f>IF($A364="","",COUNTIFS(tblReceipts[Item Name],$A364,tblReceipts[Expiry Date],"&lt;"&amp;$H364)+COUNTIFS(tblReceipts[Item Name],$A364,tblReceipts[Expiry Date],$H364,tblReceipts[Lot Number],"&lt;="&amp;Receipts!$C367))</f>
        <v/>
      </c>
      <c r="K364" s="26" t="str">
        <f>IF($A364="","",SUMIFS(tblReceipts[Qty Received],tblReceipts[Item Name],$A364,tblReceipts[Expiry Date],"&lt;"&amp;$H364)+SUMIFS(tblReceipts[Qty Received],tblReceipts[Item Name],$A364,tblReceipts[Expiry Date],$H364,tblReceipts[Lot Number],"&lt;"&amp;Receipts!$C367))</f>
        <v/>
      </c>
      <c r="L364" s="26" t="str">
        <f>IF($A364="","",MIN($D364,MAX(0,SUMIFS(tblIssues[Qty Issued],tblIssues[Item Name],$A364)-$K364)))</f>
        <v/>
      </c>
      <c r="M364" s="26" t="str">
        <f>IF($A364="","",SUMIFS(tblIssues[Qty Issued],tblIssues[Lot Number],$B364))</f>
        <v/>
      </c>
      <c r="N364" s="26" t="str">
        <f t="shared" si="27"/>
        <v/>
      </c>
      <c r="O364" s="26" t="str">
        <f t="shared" si="28"/>
        <v/>
      </c>
      <c r="P364" s="21" t="str">
        <f t="shared" si="29"/>
        <v/>
      </c>
      <c r="Q364" s="52" t="str">
        <f>IF($A364="","",IF($O364&lt;=0,"Depleted",IF($I364&lt;0,"EXPIRED",IF($I364&lt;=Settings!$C$6,"CRITICAL",IF($I364&lt;=Settings!$C$5,"Expiring","In date")))))</f>
        <v/>
      </c>
    </row>
    <row r="365" spans="1:17" x14ac:dyDescent="0.35">
      <c r="A365" s="90" t="str">
        <f>IF(Receipts!$D368="","",Receipts!$D368)</f>
        <v/>
      </c>
      <c r="B365" s="18" t="str">
        <f>IF(Receipts!$C368="","",Receipts!$C368)</f>
        <v/>
      </c>
      <c r="C365" s="18" t="str">
        <f>IF($A365="","",IFERROR(INDEX(Items!$B$5:$B$597,MATCH($A365,Items!$A$5:$A$597,0)),""))</f>
        <v/>
      </c>
      <c r="D365" s="23" t="str">
        <f>IF($A365="","",N(Receipts!$G368))</f>
        <v/>
      </c>
      <c r="E365" s="20" t="str">
        <f>IF($A365="","",IFERROR(INDEX(Items!$D$5:$D$597,MATCH($A365,Items!$A$5:$A$597,0)),0))</f>
        <v/>
      </c>
      <c r="F365" s="21" t="str">
        <f t="shared" si="25"/>
        <v/>
      </c>
      <c r="G365" s="25" t="str">
        <f>IF(Receipts!$I368="","",Receipts!$I368)</f>
        <v/>
      </c>
      <c r="H365" s="25" t="str">
        <f>IF(Receipts!$H368="","",Receipts!$H368)</f>
        <v/>
      </c>
      <c r="I365" s="26" t="str">
        <f t="shared" ca="1" si="26"/>
        <v/>
      </c>
      <c r="J365" s="26" t="str">
        <f>IF($A365="","",COUNTIFS(tblReceipts[Item Name],$A365,tblReceipts[Expiry Date],"&lt;"&amp;$H365)+COUNTIFS(tblReceipts[Item Name],$A365,tblReceipts[Expiry Date],$H365,tblReceipts[Lot Number],"&lt;="&amp;Receipts!$C368))</f>
        <v/>
      </c>
      <c r="K365" s="26" t="str">
        <f>IF($A365="","",SUMIFS(tblReceipts[Qty Received],tblReceipts[Item Name],$A365,tblReceipts[Expiry Date],"&lt;"&amp;$H365)+SUMIFS(tblReceipts[Qty Received],tblReceipts[Item Name],$A365,tblReceipts[Expiry Date],$H365,tblReceipts[Lot Number],"&lt;"&amp;Receipts!$C368))</f>
        <v/>
      </c>
      <c r="L365" s="26" t="str">
        <f>IF($A365="","",MIN($D365,MAX(0,SUMIFS(tblIssues[Qty Issued],tblIssues[Item Name],$A365)-$K365)))</f>
        <v/>
      </c>
      <c r="M365" s="26" t="str">
        <f>IF($A365="","",SUMIFS(tblIssues[Qty Issued],tblIssues[Lot Number],$B365))</f>
        <v/>
      </c>
      <c r="N365" s="26" t="str">
        <f t="shared" si="27"/>
        <v/>
      </c>
      <c r="O365" s="26" t="str">
        <f t="shared" si="28"/>
        <v/>
      </c>
      <c r="P365" s="21" t="str">
        <f t="shared" si="29"/>
        <v/>
      </c>
      <c r="Q365" s="52" t="str">
        <f>IF($A365="","",IF($O365&lt;=0,"Depleted",IF($I365&lt;0,"EXPIRED",IF($I365&lt;=Settings!$C$6,"CRITICAL",IF($I365&lt;=Settings!$C$5,"Expiring","In date")))))</f>
        <v/>
      </c>
    </row>
    <row r="366" spans="1:17" x14ac:dyDescent="0.35">
      <c r="A366" s="90" t="str">
        <f>IF(Receipts!$D369="","",Receipts!$D369)</f>
        <v/>
      </c>
      <c r="B366" s="18" t="str">
        <f>IF(Receipts!$C369="","",Receipts!$C369)</f>
        <v/>
      </c>
      <c r="C366" s="18" t="str">
        <f>IF($A366="","",IFERROR(INDEX(Items!$B$5:$B$597,MATCH($A366,Items!$A$5:$A$597,0)),""))</f>
        <v/>
      </c>
      <c r="D366" s="23" t="str">
        <f>IF($A366="","",N(Receipts!$G369))</f>
        <v/>
      </c>
      <c r="E366" s="20" t="str">
        <f>IF($A366="","",IFERROR(INDEX(Items!$D$5:$D$597,MATCH($A366,Items!$A$5:$A$597,0)),0))</f>
        <v/>
      </c>
      <c r="F366" s="21" t="str">
        <f t="shared" si="25"/>
        <v/>
      </c>
      <c r="G366" s="25" t="str">
        <f>IF(Receipts!$I369="","",Receipts!$I369)</f>
        <v/>
      </c>
      <c r="H366" s="25" t="str">
        <f>IF(Receipts!$H369="","",Receipts!$H369)</f>
        <v/>
      </c>
      <c r="I366" s="26" t="str">
        <f t="shared" ca="1" si="26"/>
        <v/>
      </c>
      <c r="J366" s="26" t="str">
        <f>IF($A366="","",COUNTIFS(tblReceipts[Item Name],$A366,tblReceipts[Expiry Date],"&lt;"&amp;$H366)+COUNTIFS(tblReceipts[Item Name],$A366,tblReceipts[Expiry Date],$H366,tblReceipts[Lot Number],"&lt;="&amp;Receipts!$C369))</f>
        <v/>
      </c>
      <c r="K366" s="26" t="str">
        <f>IF($A366="","",SUMIFS(tblReceipts[Qty Received],tblReceipts[Item Name],$A366,tblReceipts[Expiry Date],"&lt;"&amp;$H366)+SUMIFS(tblReceipts[Qty Received],tblReceipts[Item Name],$A366,tblReceipts[Expiry Date],$H366,tblReceipts[Lot Number],"&lt;"&amp;Receipts!$C369))</f>
        <v/>
      </c>
      <c r="L366" s="26" t="str">
        <f>IF($A366="","",MIN($D366,MAX(0,SUMIFS(tblIssues[Qty Issued],tblIssues[Item Name],$A366)-$K366)))</f>
        <v/>
      </c>
      <c r="M366" s="26" t="str">
        <f>IF($A366="","",SUMIFS(tblIssues[Qty Issued],tblIssues[Lot Number],$B366))</f>
        <v/>
      </c>
      <c r="N366" s="26" t="str">
        <f t="shared" si="27"/>
        <v/>
      </c>
      <c r="O366" s="26" t="str">
        <f t="shared" si="28"/>
        <v/>
      </c>
      <c r="P366" s="21" t="str">
        <f t="shared" si="29"/>
        <v/>
      </c>
      <c r="Q366" s="52" t="str">
        <f>IF($A366="","",IF($O366&lt;=0,"Depleted",IF($I366&lt;0,"EXPIRED",IF($I366&lt;=Settings!$C$6,"CRITICAL",IF($I366&lt;=Settings!$C$5,"Expiring","In date")))))</f>
        <v/>
      </c>
    </row>
    <row r="367" spans="1:17" x14ac:dyDescent="0.35">
      <c r="A367" s="90" t="str">
        <f>IF(Receipts!$D370="","",Receipts!$D370)</f>
        <v/>
      </c>
      <c r="B367" s="18" t="str">
        <f>IF(Receipts!$C370="","",Receipts!$C370)</f>
        <v/>
      </c>
      <c r="C367" s="18" t="str">
        <f>IF($A367="","",IFERROR(INDEX(Items!$B$5:$B$597,MATCH($A367,Items!$A$5:$A$597,0)),""))</f>
        <v/>
      </c>
      <c r="D367" s="23" t="str">
        <f>IF($A367="","",N(Receipts!$G370))</f>
        <v/>
      </c>
      <c r="E367" s="20" t="str">
        <f>IF($A367="","",IFERROR(INDEX(Items!$D$5:$D$597,MATCH($A367,Items!$A$5:$A$597,0)),0))</f>
        <v/>
      </c>
      <c r="F367" s="21" t="str">
        <f t="shared" si="25"/>
        <v/>
      </c>
      <c r="G367" s="25" t="str">
        <f>IF(Receipts!$I370="","",Receipts!$I370)</f>
        <v/>
      </c>
      <c r="H367" s="25" t="str">
        <f>IF(Receipts!$H370="","",Receipts!$H370)</f>
        <v/>
      </c>
      <c r="I367" s="26" t="str">
        <f t="shared" ca="1" si="26"/>
        <v/>
      </c>
      <c r="J367" s="26" t="str">
        <f>IF($A367="","",COUNTIFS(tblReceipts[Item Name],$A367,tblReceipts[Expiry Date],"&lt;"&amp;$H367)+COUNTIFS(tblReceipts[Item Name],$A367,tblReceipts[Expiry Date],$H367,tblReceipts[Lot Number],"&lt;="&amp;Receipts!$C370))</f>
        <v/>
      </c>
      <c r="K367" s="26" t="str">
        <f>IF($A367="","",SUMIFS(tblReceipts[Qty Received],tblReceipts[Item Name],$A367,tblReceipts[Expiry Date],"&lt;"&amp;$H367)+SUMIFS(tblReceipts[Qty Received],tblReceipts[Item Name],$A367,tblReceipts[Expiry Date],$H367,tblReceipts[Lot Number],"&lt;"&amp;Receipts!$C370))</f>
        <v/>
      </c>
      <c r="L367" s="26" t="str">
        <f>IF($A367="","",MIN($D367,MAX(0,SUMIFS(tblIssues[Qty Issued],tblIssues[Item Name],$A367)-$K367)))</f>
        <v/>
      </c>
      <c r="M367" s="26" t="str">
        <f>IF($A367="","",SUMIFS(tblIssues[Qty Issued],tblIssues[Lot Number],$B367))</f>
        <v/>
      </c>
      <c r="N367" s="26" t="str">
        <f t="shared" si="27"/>
        <v/>
      </c>
      <c r="O367" s="26" t="str">
        <f t="shared" si="28"/>
        <v/>
      </c>
      <c r="P367" s="21" t="str">
        <f t="shared" si="29"/>
        <v/>
      </c>
      <c r="Q367" s="52" t="str">
        <f>IF($A367="","",IF($O367&lt;=0,"Depleted",IF($I367&lt;0,"EXPIRED",IF($I367&lt;=Settings!$C$6,"CRITICAL",IF($I367&lt;=Settings!$C$5,"Expiring","In date")))))</f>
        <v/>
      </c>
    </row>
    <row r="368" spans="1:17" x14ac:dyDescent="0.35">
      <c r="A368" s="90" t="str">
        <f>IF(Receipts!$D371="","",Receipts!$D371)</f>
        <v/>
      </c>
      <c r="B368" s="18" t="str">
        <f>IF(Receipts!$C371="","",Receipts!$C371)</f>
        <v/>
      </c>
      <c r="C368" s="18" t="str">
        <f>IF($A368="","",IFERROR(INDEX(Items!$B$5:$B$597,MATCH($A368,Items!$A$5:$A$597,0)),""))</f>
        <v/>
      </c>
      <c r="D368" s="23" t="str">
        <f>IF($A368="","",N(Receipts!$G371))</f>
        <v/>
      </c>
      <c r="E368" s="20" t="str">
        <f>IF($A368="","",IFERROR(INDEX(Items!$D$5:$D$597,MATCH($A368,Items!$A$5:$A$597,0)),0))</f>
        <v/>
      </c>
      <c r="F368" s="21" t="str">
        <f t="shared" si="25"/>
        <v/>
      </c>
      <c r="G368" s="25" t="str">
        <f>IF(Receipts!$I371="","",Receipts!$I371)</f>
        <v/>
      </c>
      <c r="H368" s="25" t="str">
        <f>IF(Receipts!$H371="","",Receipts!$H371)</f>
        <v/>
      </c>
      <c r="I368" s="26" t="str">
        <f t="shared" ca="1" si="26"/>
        <v/>
      </c>
      <c r="J368" s="26" t="str">
        <f>IF($A368="","",COUNTIFS(tblReceipts[Item Name],$A368,tblReceipts[Expiry Date],"&lt;"&amp;$H368)+COUNTIFS(tblReceipts[Item Name],$A368,tblReceipts[Expiry Date],$H368,tblReceipts[Lot Number],"&lt;="&amp;Receipts!$C371))</f>
        <v/>
      </c>
      <c r="K368" s="26" t="str">
        <f>IF($A368="","",SUMIFS(tblReceipts[Qty Received],tblReceipts[Item Name],$A368,tblReceipts[Expiry Date],"&lt;"&amp;$H368)+SUMIFS(tblReceipts[Qty Received],tblReceipts[Item Name],$A368,tblReceipts[Expiry Date],$H368,tblReceipts[Lot Number],"&lt;"&amp;Receipts!$C371))</f>
        <v/>
      </c>
      <c r="L368" s="26" t="str">
        <f>IF($A368="","",MIN($D368,MAX(0,SUMIFS(tblIssues[Qty Issued],tblIssues[Item Name],$A368)-$K368)))</f>
        <v/>
      </c>
      <c r="M368" s="26" t="str">
        <f>IF($A368="","",SUMIFS(tblIssues[Qty Issued],tblIssues[Lot Number],$B368))</f>
        <v/>
      </c>
      <c r="N368" s="26" t="str">
        <f t="shared" si="27"/>
        <v/>
      </c>
      <c r="O368" s="26" t="str">
        <f t="shared" si="28"/>
        <v/>
      </c>
      <c r="P368" s="21" t="str">
        <f t="shared" si="29"/>
        <v/>
      </c>
      <c r="Q368" s="52" t="str">
        <f>IF($A368="","",IF($O368&lt;=0,"Depleted",IF($I368&lt;0,"EXPIRED",IF($I368&lt;=Settings!$C$6,"CRITICAL",IF($I368&lt;=Settings!$C$5,"Expiring","In date")))))</f>
        <v/>
      </c>
    </row>
    <row r="369" spans="1:17" x14ac:dyDescent="0.35">
      <c r="A369" s="90" t="str">
        <f>IF(Receipts!$D372="","",Receipts!$D372)</f>
        <v/>
      </c>
      <c r="B369" s="18" t="str">
        <f>IF(Receipts!$C372="","",Receipts!$C372)</f>
        <v/>
      </c>
      <c r="C369" s="18" t="str">
        <f>IF($A369="","",IFERROR(INDEX(Items!$B$5:$B$597,MATCH($A369,Items!$A$5:$A$597,0)),""))</f>
        <v/>
      </c>
      <c r="D369" s="23" t="str">
        <f>IF($A369="","",N(Receipts!$G372))</f>
        <v/>
      </c>
      <c r="E369" s="20" t="str">
        <f>IF($A369="","",IFERROR(INDEX(Items!$D$5:$D$597,MATCH($A369,Items!$A$5:$A$597,0)),0))</f>
        <v/>
      </c>
      <c r="F369" s="21" t="str">
        <f t="shared" si="25"/>
        <v/>
      </c>
      <c r="G369" s="25" t="str">
        <f>IF(Receipts!$I372="","",Receipts!$I372)</f>
        <v/>
      </c>
      <c r="H369" s="25" t="str">
        <f>IF(Receipts!$H372="","",Receipts!$H372)</f>
        <v/>
      </c>
      <c r="I369" s="26" t="str">
        <f t="shared" ca="1" si="26"/>
        <v/>
      </c>
      <c r="J369" s="26" t="str">
        <f>IF($A369="","",COUNTIFS(tblReceipts[Item Name],$A369,tblReceipts[Expiry Date],"&lt;"&amp;$H369)+COUNTIFS(tblReceipts[Item Name],$A369,tblReceipts[Expiry Date],$H369,tblReceipts[Lot Number],"&lt;="&amp;Receipts!$C372))</f>
        <v/>
      </c>
      <c r="K369" s="26" t="str">
        <f>IF($A369="","",SUMIFS(tblReceipts[Qty Received],tblReceipts[Item Name],$A369,tblReceipts[Expiry Date],"&lt;"&amp;$H369)+SUMIFS(tblReceipts[Qty Received],tblReceipts[Item Name],$A369,tblReceipts[Expiry Date],$H369,tblReceipts[Lot Number],"&lt;"&amp;Receipts!$C372))</f>
        <v/>
      </c>
      <c r="L369" s="26" t="str">
        <f>IF($A369="","",MIN($D369,MAX(0,SUMIFS(tblIssues[Qty Issued],tblIssues[Item Name],$A369)-$K369)))</f>
        <v/>
      </c>
      <c r="M369" s="26" t="str">
        <f>IF($A369="","",SUMIFS(tblIssues[Qty Issued],tblIssues[Lot Number],$B369))</f>
        <v/>
      </c>
      <c r="N369" s="26" t="str">
        <f t="shared" si="27"/>
        <v/>
      </c>
      <c r="O369" s="26" t="str">
        <f t="shared" si="28"/>
        <v/>
      </c>
      <c r="P369" s="21" t="str">
        <f t="shared" si="29"/>
        <v/>
      </c>
      <c r="Q369" s="52" t="str">
        <f>IF($A369="","",IF($O369&lt;=0,"Depleted",IF($I369&lt;0,"EXPIRED",IF($I369&lt;=Settings!$C$6,"CRITICAL",IF($I369&lt;=Settings!$C$5,"Expiring","In date")))))</f>
        <v/>
      </c>
    </row>
    <row r="370" spans="1:17" x14ac:dyDescent="0.35">
      <c r="A370" s="90" t="str">
        <f>IF(Receipts!$D373="","",Receipts!$D373)</f>
        <v/>
      </c>
      <c r="B370" s="18" t="str">
        <f>IF(Receipts!$C373="","",Receipts!$C373)</f>
        <v/>
      </c>
      <c r="C370" s="18" t="str">
        <f>IF($A370="","",IFERROR(INDEX(Items!$B$5:$B$597,MATCH($A370,Items!$A$5:$A$597,0)),""))</f>
        <v/>
      </c>
      <c r="D370" s="23" t="str">
        <f>IF($A370="","",N(Receipts!$G373))</f>
        <v/>
      </c>
      <c r="E370" s="20" t="str">
        <f>IF($A370="","",IFERROR(INDEX(Items!$D$5:$D$597,MATCH($A370,Items!$A$5:$A$597,0)),0))</f>
        <v/>
      </c>
      <c r="F370" s="21" t="str">
        <f t="shared" si="25"/>
        <v/>
      </c>
      <c r="G370" s="25" t="str">
        <f>IF(Receipts!$I373="","",Receipts!$I373)</f>
        <v/>
      </c>
      <c r="H370" s="25" t="str">
        <f>IF(Receipts!$H373="","",Receipts!$H373)</f>
        <v/>
      </c>
      <c r="I370" s="26" t="str">
        <f t="shared" ca="1" si="26"/>
        <v/>
      </c>
      <c r="J370" s="26" t="str">
        <f>IF($A370="","",COUNTIFS(tblReceipts[Item Name],$A370,tblReceipts[Expiry Date],"&lt;"&amp;$H370)+COUNTIFS(tblReceipts[Item Name],$A370,tblReceipts[Expiry Date],$H370,tblReceipts[Lot Number],"&lt;="&amp;Receipts!$C373))</f>
        <v/>
      </c>
      <c r="K370" s="26" t="str">
        <f>IF($A370="","",SUMIFS(tblReceipts[Qty Received],tblReceipts[Item Name],$A370,tblReceipts[Expiry Date],"&lt;"&amp;$H370)+SUMIFS(tblReceipts[Qty Received],tblReceipts[Item Name],$A370,tblReceipts[Expiry Date],$H370,tblReceipts[Lot Number],"&lt;"&amp;Receipts!$C373))</f>
        <v/>
      </c>
      <c r="L370" s="26" t="str">
        <f>IF($A370="","",MIN($D370,MAX(0,SUMIFS(tblIssues[Qty Issued],tblIssues[Item Name],$A370)-$K370)))</f>
        <v/>
      </c>
      <c r="M370" s="26" t="str">
        <f>IF($A370="","",SUMIFS(tblIssues[Qty Issued],tblIssues[Lot Number],$B370))</f>
        <v/>
      </c>
      <c r="N370" s="26" t="str">
        <f t="shared" si="27"/>
        <v/>
      </c>
      <c r="O370" s="26" t="str">
        <f t="shared" si="28"/>
        <v/>
      </c>
      <c r="P370" s="21" t="str">
        <f t="shared" si="29"/>
        <v/>
      </c>
      <c r="Q370" s="52" t="str">
        <f>IF($A370="","",IF($O370&lt;=0,"Depleted",IF($I370&lt;0,"EXPIRED",IF($I370&lt;=Settings!$C$6,"CRITICAL",IF($I370&lt;=Settings!$C$5,"Expiring","In date")))))</f>
        <v/>
      </c>
    </row>
    <row r="371" spans="1:17" x14ac:dyDescent="0.35">
      <c r="A371" s="90" t="str">
        <f>IF(Receipts!$D374="","",Receipts!$D374)</f>
        <v/>
      </c>
      <c r="B371" s="18" t="str">
        <f>IF(Receipts!$C374="","",Receipts!$C374)</f>
        <v/>
      </c>
      <c r="C371" s="18" t="str">
        <f>IF($A371="","",IFERROR(INDEX(Items!$B$5:$B$597,MATCH($A371,Items!$A$5:$A$597,0)),""))</f>
        <v/>
      </c>
      <c r="D371" s="23" t="str">
        <f>IF($A371="","",N(Receipts!$G374))</f>
        <v/>
      </c>
      <c r="E371" s="20" t="str">
        <f>IF($A371="","",IFERROR(INDEX(Items!$D$5:$D$597,MATCH($A371,Items!$A$5:$A$597,0)),0))</f>
        <v/>
      </c>
      <c r="F371" s="21" t="str">
        <f t="shared" si="25"/>
        <v/>
      </c>
      <c r="G371" s="25" t="str">
        <f>IF(Receipts!$I374="","",Receipts!$I374)</f>
        <v/>
      </c>
      <c r="H371" s="25" t="str">
        <f>IF(Receipts!$H374="","",Receipts!$H374)</f>
        <v/>
      </c>
      <c r="I371" s="26" t="str">
        <f t="shared" ca="1" si="26"/>
        <v/>
      </c>
      <c r="J371" s="26" t="str">
        <f>IF($A371="","",COUNTIFS(tblReceipts[Item Name],$A371,tblReceipts[Expiry Date],"&lt;"&amp;$H371)+COUNTIFS(tblReceipts[Item Name],$A371,tblReceipts[Expiry Date],$H371,tblReceipts[Lot Number],"&lt;="&amp;Receipts!$C374))</f>
        <v/>
      </c>
      <c r="K371" s="26" t="str">
        <f>IF($A371="","",SUMIFS(tblReceipts[Qty Received],tblReceipts[Item Name],$A371,tblReceipts[Expiry Date],"&lt;"&amp;$H371)+SUMIFS(tblReceipts[Qty Received],tblReceipts[Item Name],$A371,tblReceipts[Expiry Date],$H371,tblReceipts[Lot Number],"&lt;"&amp;Receipts!$C374))</f>
        <v/>
      </c>
      <c r="L371" s="26" t="str">
        <f>IF($A371="","",MIN($D371,MAX(0,SUMIFS(tblIssues[Qty Issued],tblIssues[Item Name],$A371)-$K371)))</f>
        <v/>
      </c>
      <c r="M371" s="26" t="str">
        <f>IF($A371="","",SUMIFS(tblIssues[Qty Issued],tblIssues[Lot Number],$B371))</f>
        <v/>
      </c>
      <c r="N371" s="26" t="str">
        <f t="shared" si="27"/>
        <v/>
      </c>
      <c r="O371" s="26" t="str">
        <f t="shared" si="28"/>
        <v/>
      </c>
      <c r="P371" s="21" t="str">
        <f t="shared" si="29"/>
        <v/>
      </c>
      <c r="Q371" s="52" t="str">
        <f>IF($A371="","",IF($O371&lt;=0,"Depleted",IF($I371&lt;0,"EXPIRED",IF($I371&lt;=Settings!$C$6,"CRITICAL",IF($I371&lt;=Settings!$C$5,"Expiring","In date")))))</f>
        <v/>
      </c>
    </row>
    <row r="372" spans="1:17" x14ac:dyDescent="0.35">
      <c r="A372" s="90" t="str">
        <f>IF(Receipts!$D375="","",Receipts!$D375)</f>
        <v/>
      </c>
      <c r="B372" s="18" t="str">
        <f>IF(Receipts!$C375="","",Receipts!$C375)</f>
        <v/>
      </c>
      <c r="C372" s="18" t="str">
        <f>IF($A372="","",IFERROR(INDEX(Items!$B$5:$B$597,MATCH($A372,Items!$A$5:$A$597,0)),""))</f>
        <v/>
      </c>
      <c r="D372" s="23" t="str">
        <f>IF($A372="","",N(Receipts!$G375))</f>
        <v/>
      </c>
      <c r="E372" s="20" t="str">
        <f>IF($A372="","",IFERROR(INDEX(Items!$D$5:$D$597,MATCH($A372,Items!$A$5:$A$597,0)),0))</f>
        <v/>
      </c>
      <c r="F372" s="21" t="str">
        <f t="shared" si="25"/>
        <v/>
      </c>
      <c r="G372" s="25" t="str">
        <f>IF(Receipts!$I375="","",Receipts!$I375)</f>
        <v/>
      </c>
      <c r="H372" s="25" t="str">
        <f>IF(Receipts!$H375="","",Receipts!$H375)</f>
        <v/>
      </c>
      <c r="I372" s="26" t="str">
        <f t="shared" ca="1" si="26"/>
        <v/>
      </c>
      <c r="J372" s="26" t="str">
        <f>IF($A372="","",COUNTIFS(tblReceipts[Item Name],$A372,tblReceipts[Expiry Date],"&lt;"&amp;$H372)+COUNTIFS(tblReceipts[Item Name],$A372,tblReceipts[Expiry Date],$H372,tblReceipts[Lot Number],"&lt;="&amp;Receipts!$C375))</f>
        <v/>
      </c>
      <c r="K372" s="26" t="str">
        <f>IF($A372="","",SUMIFS(tblReceipts[Qty Received],tblReceipts[Item Name],$A372,tblReceipts[Expiry Date],"&lt;"&amp;$H372)+SUMIFS(tblReceipts[Qty Received],tblReceipts[Item Name],$A372,tblReceipts[Expiry Date],$H372,tblReceipts[Lot Number],"&lt;"&amp;Receipts!$C375))</f>
        <v/>
      </c>
      <c r="L372" s="26" t="str">
        <f>IF($A372="","",MIN($D372,MAX(0,SUMIFS(tblIssues[Qty Issued],tblIssues[Item Name],$A372)-$K372)))</f>
        <v/>
      </c>
      <c r="M372" s="26" t="str">
        <f>IF($A372="","",SUMIFS(tblIssues[Qty Issued],tblIssues[Lot Number],$B372))</f>
        <v/>
      </c>
      <c r="N372" s="26" t="str">
        <f t="shared" si="27"/>
        <v/>
      </c>
      <c r="O372" s="26" t="str">
        <f t="shared" si="28"/>
        <v/>
      </c>
      <c r="P372" s="21" t="str">
        <f t="shared" si="29"/>
        <v/>
      </c>
      <c r="Q372" s="52" t="str">
        <f>IF($A372="","",IF($O372&lt;=0,"Depleted",IF($I372&lt;0,"EXPIRED",IF($I372&lt;=Settings!$C$6,"CRITICAL",IF($I372&lt;=Settings!$C$5,"Expiring","In date")))))</f>
        <v/>
      </c>
    </row>
    <row r="373" spans="1:17" x14ac:dyDescent="0.35">
      <c r="A373" s="90" t="str">
        <f>IF(Receipts!$D376="","",Receipts!$D376)</f>
        <v/>
      </c>
      <c r="B373" s="18" t="str">
        <f>IF(Receipts!$C376="","",Receipts!$C376)</f>
        <v/>
      </c>
      <c r="C373" s="18" t="str">
        <f>IF($A373="","",IFERROR(INDEX(Items!$B$5:$B$597,MATCH($A373,Items!$A$5:$A$597,0)),""))</f>
        <v/>
      </c>
      <c r="D373" s="23" t="str">
        <f>IF($A373="","",N(Receipts!$G376))</f>
        <v/>
      </c>
      <c r="E373" s="20" t="str">
        <f>IF($A373="","",IFERROR(INDEX(Items!$D$5:$D$597,MATCH($A373,Items!$A$5:$A$597,0)),0))</f>
        <v/>
      </c>
      <c r="F373" s="21" t="str">
        <f t="shared" si="25"/>
        <v/>
      </c>
      <c r="G373" s="25" t="str">
        <f>IF(Receipts!$I376="","",Receipts!$I376)</f>
        <v/>
      </c>
      <c r="H373" s="25" t="str">
        <f>IF(Receipts!$H376="","",Receipts!$H376)</f>
        <v/>
      </c>
      <c r="I373" s="26" t="str">
        <f t="shared" ca="1" si="26"/>
        <v/>
      </c>
      <c r="J373" s="26" t="str">
        <f>IF($A373="","",COUNTIFS(tblReceipts[Item Name],$A373,tblReceipts[Expiry Date],"&lt;"&amp;$H373)+COUNTIFS(tblReceipts[Item Name],$A373,tblReceipts[Expiry Date],$H373,tblReceipts[Lot Number],"&lt;="&amp;Receipts!$C376))</f>
        <v/>
      </c>
      <c r="K373" s="26" t="str">
        <f>IF($A373="","",SUMIFS(tblReceipts[Qty Received],tblReceipts[Item Name],$A373,tblReceipts[Expiry Date],"&lt;"&amp;$H373)+SUMIFS(tblReceipts[Qty Received],tblReceipts[Item Name],$A373,tblReceipts[Expiry Date],$H373,tblReceipts[Lot Number],"&lt;"&amp;Receipts!$C376))</f>
        <v/>
      </c>
      <c r="L373" s="26" t="str">
        <f>IF($A373="","",MIN($D373,MAX(0,SUMIFS(tblIssues[Qty Issued],tblIssues[Item Name],$A373)-$K373)))</f>
        <v/>
      </c>
      <c r="M373" s="26" t="str">
        <f>IF($A373="","",SUMIFS(tblIssues[Qty Issued],tblIssues[Lot Number],$B373))</f>
        <v/>
      </c>
      <c r="N373" s="26" t="str">
        <f t="shared" si="27"/>
        <v/>
      </c>
      <c r="O373" s="26" t="str">
        <f t="shared" si="28"/>
        <v/>
      </c>
      <c r="P373" s="21" t="str">
        <f t="shared" si="29"/>
        <v/>
      </c>
      <c r="Q373" s="52" t="str">
        <f>IF($A373="","",IF($O373&lt;=0,"Depleted",IF($I373&lt;0,"EXPIRED",IF($I373&lt;=Settings!$C$6,"CRITICAL",IF($I373&lt;=Settings!$C$5,"Expiring","In date")))))</f>
        <v/>
      </c>
    </row>
    <row r="374" spans="1:17" x14ac:dyDescent="0.35">
      <c r="A374" s="90" t="str">
        <f>IF(Receipts!$D377="","",Receipts!$D377)</f>
        <v/>
      </c>
      <c r="B374" s="18" t="str">
        <f>IF(Receipts!$C377="","",Receipts!$C377)</f>
        <v/>
      </c>
      <c r="C374" s="18" t="str">
        <f>IF($A374="","",IFERROR(INDEX(Items!$B$5:$B$597,MATCH($A374,Items!$A$5:$A$597,0)),""))</f>
        <v/>
      </c>
      <c r="D374" s="23" t="str">
        <f>IF($A374="","",N(Receipts!$G377))</f>
        <v/>
      </c>
      <c r="E374" s="20" t="str">
        <f>IF($A374="","",IFERROR(INDEX(Items!$D$5:$D$597,MATCH($A374,Items!$A$5:$A$597,0)),0))</f>
        <v/>
      </c>
      <c r="F374" s="21" t="str">
        <f t="shared" si="25"/>
        <v/>
      </c>
      <c r="G374" s="25" t="str">
        <f>IF(Receipts!$I377="","",Receipts!$I377)</f>
        <v/>
      </c>
      <c r="H374" s="25" t="str">
        <f>IF(Receipts!$H377="","",Receipts!$H377)</f>
        <v/>
      </c>
      <c r="I374" s="26" t="str">
        <f t="shared" ca="1" si="26"/>
        <v/>
      </c>
      <c r="J374" s="26" t="str">
        <f>IF($A374="","",COUNTIFS(tblReceipts[Item Name],$A374,tblReceipts[Expiry Date],"&lt;"&amp;$H374)+COUNTIFS(tblReceipts[Item Name],$A374,tblReceipts[Expiry Date],$H374,tblReceipts[Lot Number],"&lt;="&amp;Receipts!$C377))</f>
        <v/>
      </c>
      <c r="K374" s="26" t="str">
        <f>IF($A374="","",SUMIFS(tblReceipts[Qty Received],tblReceipts[Item Name],$A374,tblReceipts[Expiry Date],"&lt;"&amp;$H374)+SUMIFS(tblReceipts[Qty Received],tblReceipts[Item Name],$A374,tblReceipts[Expiry Date],$H374,tblReceipts[Lot Number],"&lt;"&amp;Receipts!$C377))</f>
        <v/>
      </c>
      <c r="L374" s="26" t="str">
        <f>IF($A374="","",MIN($D374,MAX(0,SUMIFS(tblIssues[Qty Issued],tblIssues[Item Name],$A374)-$K374)))</f>
        <v/>
      </c>
      <c r="M374" s="26" t="str">
        <f>IF($A374="","",SUMIFS(tblIssues[Qty Issued],tblIssues[Lot Number],$B374))</f>
        <v/>
      </c>
      <c r="N374" s="26" t="str">
        <f t="shared" si="27"/>
        <v/>
      </c>
      <c r="O374" s="26" t="str">
        <f t="shared" si="28"/>
        <v/>
      </c>
      <c r="P374" s="21" t="str">
        <f t="shared" si="29"/>
        <v/>
      </c>
      <c r="Q374" s="52" t="str">
        <f>IF($A374="","",IF($O374&lt;=0,"Depleted",IF($I374&lt;0,"EXPIRED",IF($I374&lt;=Settings!$C$6,"CRITICAL",IF($I374&lt;=Settings!$C$5,"Expiring","In date")))))</f>
        <v/>
      </c>
    </row>
    <row r="375" spans="1:17" x14ac:dyDescent="0.35">
      <c r="A375" s="90" t="str">
        <f>IF(Receipts!$D378="","",Receipts!$D378)</f>
        <v/>
      </c>
      <c r="B375" s="18" t="str">
        <f>IF(Receipts!$C378="","",Receipts!$C378)</f>
        <v/>
      </c>
      <c r="C375" s="18" t="str">
        <f>IF($A375="","",IFERROR(INDEX(Items!$B$5:$B$597,MATCH($A375,Items!$A$5:$A$597,0)),""))</f>
        <v/>
      </c>
      <c r="D375" s="23" t="str">
        <f>IF($A375="","",N(Receipts!$G378))</f>
        <v/>
      </c>
      <c r="E375" s="20" t="str">
        <f>IF($A375="","",IFERROR(INDEX(Items!$D$5:$D$597,MATCH($A375,Items!$A$5:$A$597,0)),0))</f>
        <v/>
      </c>
      <c r="F375" s="21" t="str">
        <f t="shared" si="25"/>
        <v/>
      </c>
      <c r="G375" s="25" t="str">
        <f>IF(Receipts!$I378="","",Receipts!$I378)</f>
        <v/>
      </c>
      <c r="H375" s="25" t="str">
        <f>IF(Receipts!$H378="","",Receipts!$H378)</f>
        <v/>
      </c>
      <c r="I375" s="26" t="str">
        <f t="shared" ca="1" si="26"/>
        <v/>
      </c>
      <c r="J375" s="26" t="str">
        <f>IF($A375="","",COUNTIFS(tblReceipts[Item Name],$A375,tblReceipts[Expiry Date],"&lt;"&amp;$H375)+COUNTIFS(tblReceipts[Item Name],$A375,tblReceipts[Expiry Date],$H375,tblReceipts[Lot Number],"&lt;="&amp;Receipts!$C378))</f>
        <v/>
      </c>
      <c r="K375" s="26" t="str">
        <f>IF($A375="","",SUMIFS(tblReceipts[Qty Received],tblReceipts[Item Name],$A375,tblReceipts[Expiry Date],"&lt;"&amp;$H375)+SUMIFS(tblReceipts[Qty Received],tblReceipts[Item Name],$A375,tblReceipts[Expiry Date],$H375,tblReceipts[Lot Number],"&lt;"&amp;Receipts!$C378))</f>
        <v/>
      </c>
      <c r="L375" s="26" t="str">
        <f>IF($A375="","",MIN($D375,MAX(0,SUMIFS(tblIssues[Qty Issued],tblIssues[Item Name],$A375)-$K375)))</f>
        <v/>
      </c>
      <c r="M375" s="26" t="str">
        <f>IF($A375="","",SUMIFS(tblIssues[Qty Issued],tblIssues[Lot Number],$B375))</f>
        <v/>
      </c>
      <c r="N375" s="26" t="str">
        <f t="shared" si="27"/>
        <v/>
      </c>
      <c r="O375" s="26" t="str">
        <f t="shared" si="28"/>
        <v/>
      </c>
      <c r="P375" s="21" t="str">
        <f t="shared" si="29"/>
        <v/>
      </c>
      <c r="Q375" s="52" t="str">
        <f>IF($A375="","",IF($O375&lt;=0,"Depleted",IF($I375&lt;0,"EXPIRED",IF($I375&lt;=Settings!$C$6,"CRITICAL",IF($I375&lt;=Settings!$C$5,"Expiring","In date")))))</f>
        <v/>
      </c>
    </row>
    <row r="376" spans="1:17" x14ac:dyDescent="0.35">
      <c r="A376" s="90" t="str">
        <f>IF(Receipts!$D379="","",Receipts!$D379)</f>
        <v/>
      </c>
      <c r="B376" s="18" t="str">
        <f>IF(Receipts!$C379="","",Receipts!$C379)</f>
        <v/>
      </c>
      <c r="C376" s="18" t="str">
        <f>IF($A376="","",IFERROR(INDEX(Items!$B$5:$B$597,MATCH($A376,Items!$A$5:$A$597,0)),""))</f>
        <v/>
      </c>
      <c r="D376" s="23" t="str">
        <f>IF($A376="","",N(Receipts!$G379))</f>
        <v/>
      </c>
      <c r="E376" s="20" t="str">
        <f>IF($A376="","",IFERROR(INDEX(Items!$D$5:$D$597,MATCH($A376,Items!$A$5:$A$597,0)),0))</f>
        <v/>
      </c>
      <c r="F376" s="21" t="str">
        <f t="shared" si="25"/>
        <v/>
      </c>
      <c r="G376" s="25" t="str">
        <f>IF(Receipts!$I379="","",Receipts!$I379)</f>
        <v/>
      </c>
      <c r="H376" s="25" t="str">
        <f>IF(Receipts!$H379="","",Receipts!$H379)</f>
        <v/>
      </c>
      <c r="I376" s="26" t="str">
        <f t="shared" ca="1" si="26"/>
        <v/>
      </c>
      <c r="J376" s="26" t="str">
        <f>IF($A376="","",COUNTIFS(tblReceipts[Item Name],$A376,tblReceipts[Expiry Date],"&lt;"&amp;$H376)+COUNTIFS(tblReceipts[Item Name],$A376,tblReceipts[Expiry Date],$H376,tblReceipts[Lot Number],"&lt;="&amp;Receipts!$C379))</f>
        <v/>
      </c>
      <c r="K376" s="26" t="str">
        <f>IF($A376="","",SUMIFS(tblReceipts[Qty Received],tblReceipts[Item Name],$A376,tblReceipts[Expiry Date],"&lt;"&amp;$H376)+SUMIFS(tblReceipts[Qty Received],tblReceipts[Item Name],$A376,tblReceipts[Expiry Date],$H376,tblReceipts[Lot Number],"&lt;"&amp;Receipts!$C379))</f>
        <v/>
      </c>
      <c r="L376" s="26" t="str">
        <f>IF($A376="","",MIN($D376,MAX(0,SUMIFS(tblIssues[Qty Issued],tblIssues[Item Name],$A376)-$K376)))</f>
        <v/>
      </c>
      <c r="M376" s="26" t="str">
        <f>IF($A376="","",SUMIFS(tblIssues[Qty Issued],tblIssues[Lot Number],$B376))</f>
        <v/>
      </c>
      <c r="N376" s="26" t="str">
        <f t="shared" si="27"/>
        <v/>
      </c>
      <c r="O376" s="26" t="str">
        <f t="shared" si="28"/>
        <v/>
      </c>
      <c r="P376" s="21" t="str">
        <f t="shared" si="29"/>
        <v/>
      </c>
      <c r="Q376" s="52" t="str">
        <f>IF($A376="","",IF($O376&lt;=0,"Depleted",IF($I376&lt;0,"EXPIRED",IF($I376&lt;=Settings!$C$6,"CRITICAL",IF($I376&lt;=Settings!$C$5,"Expiring","In date")))))</f>
        <v/>
      </c>
    </row>
    <row r="377" spans="1:17" x14ac:dyDescent="0.35">
      <c r="A377" s="90" t="str">
        <f>IF(Receipts!$D380="","",Receipts!$D380)</f>
        <v/>
      </c>
      <c r="B377" s="18" t="str">
        <f>IF(Receipts!$C380="","",Receipts!$C380)</f>
        <v/>
      </c>
      <c r="C377" s="18" t="str">
        <f>IF($A377="","",IFERROR(INDEX(Items!$B$5:$B$597,MATCH($A377,Items!$A$5:$A$597,0)),""))</f>
        <v/>
      </c>
      <c r="D377" s="23" t="str">
        <f>IF($A377="","",N(Receipts!$G380))</f>
        <v/>
      </c>
      <c r="E377" s="20" t="str">
        <f>IF($A377="","",IFERROR(INDEX(Items!$D$5:$D$597,MATCH($A377,Items!$A$5:$A$597,0)),0))</f>
        <v/>
      </c>
      <c r="F377" s="21" t="str">
        <f t="shared" si="25"/>
        <v/>
      </c>
      <c r="G377" s="25" t="str">
        <f>IF(Receipts!$I380="","",Receipts!$I380)</f>
        <v/>
      </c>
      <c r="H377" s="25" t="str">
        <f>IF(Receipts!$H380="","",Receipts!$H380)</f>
        <v/>
      </c>
      <c r="I377" s="26" t="str">
        <f t="shared" ca="1" si="26"/>
        <v/>
      </c>
      <c r="J377" s="26" t="str">
        <f>IF($A377="","",COUNTIFS(tblReceipts[Item Name],$A377,tblReceipts[Expiry Date],"&lt;"&amp;$H377)+COUNTIFS(tblReceipts[Item Name],$A377,tblReceipts[Expiry Date],$H377,tblReceipts[Lot Number],"&lt;="&amp;Receipts!$C380))</f>
        <v/>
      </c>
      <c r="K377" s="26" t="str">
        <f>IF($A377="","",SUMIFS(tblReceipts[Qty Received],tblReceipts[Item Name],$A377,tblReceipts[Expiry Date],"&lt;"&amp;$H377)+SUMIFS(tblReceipts[Qty Received],tblReceipts[Item Name],$A377,tblReceipts[Expiry Date],$H377,tblReceipts[Lot Number],"&lt;"&amp;Receipts!$C380))</f>
        <v/>
      </c>
      <c r="L377" s="26" t="str">
        <f>IF($A377="","",MIN($D377,MAX(0,SUMIFS(tblIssues[Qty Issued],tblIssues[Item Name],$A377)-$K377)))</f>
        <v/>
      </c>
      <c r="M377" s="26" t="str">
        <f>IF($A377="","",SUMIFS(tblIssues[Qty Issued],tblIssues[Lot Number],$B377))</f>
        <v/>
      </c>
      <c r="N377" s="26" t="str">
        <f t="shared" si="27"/>
        <v/>
      </c>
      <c r="O377" s="26" t="str">
        <f t="shared" si="28"/>
        <v/>
      </c>
      <c r="P377" s="21" t="str">
        <f t="shared" si="29"/>
        <v/>
      </c>
      <c r="Q377" s="52" t="str">
        <f>IF($A377="","",IF($O377&lt;=0,"Depleted",IF($I377&lt;0,"EXPIRED",IF($I377&lt;=Settings!$C$6,"CRITICAL",IF($I377&lt;=Settings!$C$5,"Expiring","In date")))))</f>
        <v/>
      </c>
    </row>
    <row r="378" spans="1:17" x14ac:dyDescent="0.35">
      <c r="A378" s="90" t="str">
        <f>IF(Receipts!$D381="","",Receipts!$D381)</f>
        <v/>
      </c>
      <c r="B378" s="18" t="str">
        <f>IF(Receipts!$C381="","",Receipts!$C381)</f>
        <v/>
      </c>
      <c r="C378" s="18" t="str">
        <f>IF($A378="","",IFERROR(INDEX(Items!$B$5:$B$597,MATCH($A378,Items!$A$5:$A$597,0)),""))</f>
        <v/>
      </c>
      <c r="D378" s="23" t="str">
        <f>IF($A378="","",N(Receipts!$G381))</f>
        <v/>
      </c>
      <c r="E378" s="20" t="str">
        <f>IF($A378="","",IFERROR(INDEX(Items!$D$5:$D$597,MATCH($A378,Items!$A$5:$A$597,0)),0))</f>
        <v/>
      </c>
      <c r="F378" s="21" t="str">
        <f t="shared" si="25"/>
        <v/>
      </c>
      <c r="G378" s="25" t="str">
        <f>IF(Receipts!$I381="","",Receipts!$I381)</f>
        <v/>
      </c>
      <c r="H378" s="25" t="str">
        <f>IF(Receipts!$H381="","",Receipts!$H381)</f>
        <v/>
      </c>
      <c r="I378" s="26" t="str">
        <f t="shared" ca="1" si="26"/>
        <v/>
      </c>
      <c r="J378" s="26" t="str">
        <f>IF($A378="","",COUNTIFS(tblReceipts[Item Name],$A378,tblReceipts[Expiry Date],"&lt;"&amp;$H378)+COUNTIFS(tblReceipts[Item Name],$A378,tblReceipts[Expiry Date],$H378,tblReceipts[Lot Number],"&lt;="&amp;Receipts!$C381))</f>
        <v/>
      </c>
      <c r="K378" s="26" t="str">
        <f>IF($A378="","",SUMIFS(tblReceipts[Qty Received],tblReceipts[Item Name],$A378,tblReceipts[Expiry Date],"&lt;"&amp;$H378)+SUMIFS(tblReceipts[Qty Received],tblReceipts[Item Name],$A378,tblReceipts[Expiry Date],$H378,tblReceipts[Lot Number],"&lt;"&amp;Receipts!$C381))</f>
        <v/>
      </c>
      <c r="L378" s="26" t="str">
        <f>IF($A378="","",MIN($D378,MAX(0,SUMIFS(tblIssues[Qty Issued],tblIssues[Item Name],$A378)-$K378)))</f>
        <v/>
      </c>
      <c r="M378" s="26" t="str">
        <f>IF($A378="","",SUMIFS(tblIssues[Qty Issued],tblIssues[Lot Number],$B378))</f>
        <v/>
      </c>
      <c r="N378" s="26" t="str">
        <f t="shared" si="27"/>
        <v/>
      </c>
      <c r="O378" s="26" t="str">
        <f t="shared" si="28"/>
        <v/>
      </c>
      <c r="P378" s="21" t="str">
        <f t="shared" si="29"/>
        <v/>
      </c>
      <c r="Q378" s="52" t="str">
        <f>IF($A378="","",IF($O378&lt;=0,"Depleted",IF($I378&lt;0,"EXPIRED",IF($I378&lt;=Settings!$C$6,"CRITICAL",IF($I378&lt;=Settings!$C$5,"Expiring","In date")))))</f>
        <v/>
      </c>
    </row>
    <row r="379" spans="1:17" x14ac:dyDescent="0.35">
      <c r="A379" s="90" t="str">
        <f>IF(Receipts!$D382="","",Receipts!$D382)</f>
        <v/>
      </c>
      <c r="B379" s="18" t="str">
        <f>IF(Receipts!$C382="","",Receipts!$C382)</f>
        <v/>
      </c>
      <c r="C379" s="18" t="str">
        <f>IF($A379="","",IFERROR(INDEX(Items!$B$5:$B$597,MATCH($A379,Items!$A$5:$A$597,0)),""))</f>
        <v/>
      </c>
      <c r="D379" s="23" t="str">
        <f>IF($A379="","",N(Receipts!$G382))</f>
        <v/>
      </c>
      <c r="E379" s="20" t="str">
        <f>IF($A379="","",IFERROR(INDEX(Items!$D$5:$D$597,MATCH($A379,Items!$A$5:$A$597,0)),0))</f>
        <v/>
      </c>
      <c r="F379" s="21" t="str">
        <f t="shared" si="25"/>
        <v/>
      </c>
      <c r="G379" s="25" t="str">
        <f>IF(Receipts!$I382="","",Receipts!$I382)</f>
        <v/>
      </c>
      <c r="H379" s="25" t="str">
        <f>IF(Receipts!$H382="","",Receipts!$H382)</f>
        <v/>
      </c>
      <c r="I379" s="26" t="str">
        <f t="shared" ca="1" si="26"/>
        <v/>
      </c>
      <c r="J379" s="26" t="str">
        <f>IF($A379="","",COUNTIFS(tblReceipts[Item Name],$A379,tblReceipts[Expiry Date],"&lt;"&amp;$H379)+COUNTIFS(tblReceipts[Item Name],$A379,tblReceipts[Expiry Date],$H379,tblReceipts[Lot Number],"&lt;="&amp;Receipts!$C382))</f>
        <v/>
      </c>
      <c r="K379" s="26" t="str">
        <f>IF($A379="","",SUMIFS(tblReceipts[Qty Received],tblReceipts[Item Name],$A379,tblReceipts[Expiry Date],"&lt;"&amp;$H379)+SUMIFS(tblReceipts[Qty Received],tblReceipts[Item Name],$A379,tblReceipts[Expiry Date],$H379,tblReceipts[Lot Number],"&lt;"&amp;Receipts!$C382))</f>
        <v/>
      </c>
      <c r="L379" s="26" t="str">
        <f>IF($A379="","",MIN($D379,MAX(0,SUMIFS(tblIssues[Qty Issued],tblIssues[Item Name],$A379)-$K379)))</f>
        <v/>
      </c>
      <c r="M379" s="26" t="str">
        <f>IF($A379="","",SUMIFS(tblIssues[Qty Issued],tblIssues[Lot Number],$B379))</f>
        <v/>
      </c>
      <c r="N379" s="26" t="str">
        <f t="shared" si="27"/>
        <v/>
      </c>
      <c r="O379" s="26" t="str">
        <f t="shared" si="28"/>
        <v/>
      </c>
      <c r="P379" s="21" t="str">
        <f t="shared" si="29"/>
        <v/>
      </c>
      <c r="Q379" s="52" t="str">
        <f>IF($A379="","",IF($O379&lt;=0,"Depleted",IF($I379&lt;0,"EXPIRED",IF($I379&lt;=Settings!$C$6,"CRITICAL",IF($I379&lt;=Settings!$C$5,"Expiring","In date")))))</f>
        <v/>
      </c>
    </row>
    <row r="380" spans="1:17" x14ac:dyDescent="0.35">
      <c r="A380" s="90" t="str">
        <f>IF(Receipts!$D383="","",Receipts!$D383)</f>
        <v/>
      </c>
      <c r="B380" s="18" t="str">
        <f>IF(Receipts!$C383="","",Receipts!$C383)</f>
        <v/>
      </c>
      <c r="C380" s="18" t="str">
        <f>IF($A380="","",IFERROR(INDEX(Items!$B$5:$B$597,MATCH($A380,Items!$A$5:$A$597,0)),""))</f>
        <v/>
      </c>
      <c r="D380" s="23" t="str">
        <f>IF($A380="","",N(Receipts!$G383))</f>
        <v/>
      </c>
      <c r="E380" s="20" t="str">
        <f>IF($A380="","",IFERROR(INDEX(Items!$D$5:$D$597,MATCH($A380,Items!$A$5:$A$597,0)),0))</f>
        <v/>
      </c>
      <c r="F380" s="21" t="str">
        <f t="shared" si="25"/>
        <v/>
      </c>
      <c r="G380" s="25" t="str">
        <f>IF(Receipts!$I383="","",Receipts!$I383)</f>
        <v/>
      </c>
      <c r="H380" s="25" t="str">
        <f>IF(Receipts!$H383="","",Receipts!$H383)</f>
        <v/>
      </c>
      <c r="I380" s="26" t="str">
        <f t="shared" ca="1" si="26"/>
        <v/>
      </c>
      <c r="J380" s="26" t="str">
        <f>IF($A380="","",COUNTIFS(tblReceipts[Item Name],$A380,tblReceipts[Expiry Date],"&lt;"&amp;$H380)+COUNTIFS(tblReceipts[Item Name],$A380,tblReceipts[Expiry Date],$H380,tblReceipts[Lot Number],"&lt;="&amp;Receipts!$C383))</f>
        <v/>
      </c>
      <c r="K380" s="26" t="str">
        <f>IF($A380="","",SUMIFS(tblReceipts[Qty Received],tblReceipts[Item Name],$A380,tblReceipts[Expiry Date],"&lt;"&amp;$H380)+SUMIFS(tblReceipts[Qty Received],tblReceipts[Item Name],$A380,tblReceipts[Expiry Date],$H380,tblReceipts[Lot Number],"&lt;"&amp;Receipts!$C383))</f>
        <v/>
      </c>
      <c r="L380" s="26" t="str">
        <f>IF($A380="","",MIN($D380,MAX(0,SUMIFS(tblIssues[Qty Issued],tblIssues[Item Name],$A380)-$K380)))</f>
        <v/>
      </c>
      <c r="M380" s="26" t="str">
        <f>IF($A380="","",SUMIFS(tblIssues[Qty Issued],tblIssues[Lot Number],$B380))</f>
        <v/>
      </c>
      <c r="N380" s="26" t="str">
        <f t="shared" si="27"/>
        <v/>
      </c>
      <c r="O380" s="26" t="str">
        <f t="shared" si="28"/>
        <v/>
      </c>
      <c r="P380" s="21" t="str">
        <f t="shared" si="29"/>
        <v/>
      </c>
      <c r="Q380" s="52" t="str">
        <f>IF($A380="","",IF($O380&lt;=0,"Depleted",IF($I380&lt;0,"EXPIRED",IF($I380&lt;=Settings!$C$6,"CRITICAL",IF($I380&lt;=Settings!$C$5,"Expiring","In date")))))</f>
        <v/>
      </c>
    </row>
    <row r="381" spans="1:17" x14ac:dyDescent="0.35">
      <c r="A381" s="90" t="str">
        <f>IF(Receipts!$D384="","",Receipts!$D384)</f>
        <v/>
      </c>
      <c r="B381" s="18" t="str">
        <f>IF(Receipts!$C384="","",Receipts!$C384)</f>
        <v/>
      </c>
      <c r="C381" s="18" t="str">
        <f>IF($A381="","",IFERROR(INDEX(Items!$B$5:$B$597,MATCH($A381,Items!$A$5:$A$597,0)),""))</f>
        <v/>
      </c>
      <c r="D381" s="23" t="str">
        <f>IF($A381="","",N(Receipts!$G384))</f>
        <v/>
      </c>
      <c r="E381" s="20" t="str">
        <f>IF($A381="","",IFERROR(INDEX(Items!$D$5:$D$597,MATCH($A381,Items!$A$5:$A$597,0)),0))</f>
        <v/>
      </c>
      <c r="F381" s="21" t="str">
        <f t="shared" si="25"/>
        <v/>
      </c>
      <c r="G381" s="25" t="str">
        <f>IF(Receipts!$I384="","",Receipts!$I384)</f>
        <v/>
      </c>
      <c r="H381" s="25" t="str">
        <f>IF(Receipts!$H384="","",Receipts!$H384)</f>
        <v/>
      </c>
      <c r="I381" s="26" t="str">
        <f t="shared" ca="1" si="26"/>
        <v/>
      </c>
      <c r="J381" s="26" t="str">
        <f>IF($A381="","",COUNTIFS(tblReceipts[Item Name],$A381,tblReceipts[Expiry Date],"&lt;"&amp;$H381)+COUNTIFS(tblReceipts[Item Name],$A381,tblReceipts[Expiry Date],$H381,tblReceipts[Lot Number],"&lt;="&amp;Receipts!$C384))</f>
        <v/>
      </c>
      <c r="K381" s="26" t="str">
        <f>IF($A381="","",SUMIFS(tblReceipts[Qty Received],tblReceipts[Item Name],$A381,tblReceipts[Expiry Date],"&lt;"&amp;$H381)+SUMIFS(tblReceipts[Qty Received],tblReceipts[Item Name],$A381,tblReceipts[Expiry Date],$H381,tblReceipts[Lot Number],"&lt;"&amp;Receipts!$C384))</f>
        <v/>
      </c>
      <c r="L381" s="26" t="str">
        <f>IF($A381="","",MIN($D381,MAX(0,SUMIFS(tblIssues[Qty Issued],tblIssues[Item Name],$A381)-$K381)))</f>
        <v/>
      </c>
      <c r="M381" s="26" t="str">
        <f>IF($A381="","",SUMIFS(tblIssues[Qty Issued],tblIssues[Lot Number],$B381))</f>
        <v/>
      </c>
      <c r="N381" s="26" t="str">
        <f t="shared" si="27"/>
        <v/>
      </c>
      <c r="O381" s="26" t="str">
        <f t="shared" si="28"/>
        <v/>
      </c>
      <c r="P381" s="21" t="str">
        <f t="shared" si="29"/>
        <v/>
      </c>
      <c r="Q381" s="52" t="str">
        <f>IF($A381="","",IF($O381&lt;=0,"Depleted",IF($I381&lt;0,"EXPIRED",IF($I381&lt;=Settings!$C$6,"CRITICAL",IF($I381&lt;=Settings!$C$5,"Expiring","In date")))))</f>
        <v/>
      </c>
    </row>
    <row r="382" spans="1:17" x14ac:dyDescent="0.35">
      <c r="A382" s="90" t="str">
        <f>IF(Receipts!$D385="","",Receipts!$D385)</f>
        <v/>
      </c>
      <c r="B382" s="18" t="str">
        <f>IF(Receipts!$C385="","",Receipts!$C385)</f>
        <v/>
      </c>
      <c r="C382" s="18" t="str">
        <f>IF($A382="","",IFERROR(INDEX(Items!$B$5:$B$597,MATCH($A382,Items!$A$5:$A$597,0)),""))</f>
        <v/>
      </c>
      <c r="D382" s="23" t="str">
        <f>IF($A382="","",N(Receipts!$G385))</f>
        <v/>
      </c>
      <c r="E382" s="20" t="str">
        <f>IF($A382="","",IFERROR(INDEX(Items!$D$5:$D$597,MATCH($A382,Items!$A$5:$A$597,0)),0))</f>
        <v/>
      </c>
      <c r="F382" s="21" t="str">
        <f t="shared" si="25"/>
        <v/>
      </c>
      <c r="G382" s="25" t="str">
        <f>IF(Receipts!$I385="","",Receipts!$I385)</f>
        <v/>
      </c>
      <c r="H382" s="25" t="str">
        <f>IF(Receipts!$H385="","",Receipts!$H385)</f>
        <v/>
      </c>
      <c r="I382" s="26" t="str">
        <f t="shared" ca="1" si="26"/>
        <v/>
      </c>
      <c r="J382" s="26" t="str">
        <f>IF($A382="","",COUNTIFS(tblReceipts[Item Name],$A382,tblReceipts[Expiry Date],"&lt;"&amp;$H382)+COUNTIFS(tblReceipts[Item Name],$A382,tblReceipts[Expiry Date],$H382,tblReceipts[Lot Number],"&lt;="&amp;Receipts!$C385))</f>
        <v/>
      </c>
      <c r="K382" s="26" t="str">
        <f>IF($A382="","",SUMIFS(tblReceipts[Qty Received],tblReceipts[Item Name],$A382,tblReceipts[Expiry Date],"&lt;"&amp;$H382)+SUMIFS(tblReceipts[Qty Received],tblReceipts[Item Name],$A382,tblReceipts[Expiry Date],$H382,tblReceipts[Lot Number],"&lt;"&amp;Receipts!$C385))</f>
        <v/>
      </c>
      <c r="L382" s="26" t="str">
        <f>IF($A382="","",MIN($D382,MAX(0,SUMIFS(tblIssues[Qty Issued],tblIssues[Item Name],$A382)-$K382)))</f>
        <v/>
      </c>
      <c r="M382" s="26" t="str">
        <f>IF($A382="","",SUMIFS(tblIssues[Qty Issued],tblIssues[Lot Number],$B382))</f>
        <v/>
      </c>
      <c r="N382" s="26" t="str">
        <f t="shared" si="27"/>
        <v/>
      </c>
      <c r="O382" s="26" t="str">
        <f t="shared" si="28"/>
        <v/>
      </c>
      <c r="P382" s="21" t="str">
        <f t="shared" si="29"/>
        <v/>
      </c>
      <c r="Q382" s="52" t="str">
        <f>IF($A382="","",IF($O382&lt;=0,"Depleted",IF($I382&lt;0,"EXPIRED",IF($I382&lt;=Settings!$C$6,"CRITICAL",IF($I382&lt;=Settings!$C$5,"Expiring","In date")))))</f>
        <v/>
      </c>
    </row>
    <row r="383" spans="1:17" x14ac:dyDescent="0.35">
      <c r="A383" s="90" t="str">
        <f>IF(Receipts!$D386="","",Receipts!$D386)</f>
        <v/>
      </c>
      <c r="B383" s="18" t="str">
        <f>IF(Receipts!$C386="","",Receipts!$C386)</f>
        <v/>
      </c>
      <c r="C383" s="18" t="str">
        <f>IF($A383="","",IFERROR(INDEX(Items!$B$5:$B$597,MATCH($A383,Items!$A$5:$A$597,0)),""))</f>
        <v/>
      </c>
      <c r="D383" s="23" t="str">
        <f>IF($A383="","",N(Receipts!$G386))</f>
        <v/>
      </c>
      <c r="E383" s="20" t="str">
        <f>IF($A383="","",IFERROR(INDEX(Items!$D$5:$D$597,MATCH($A383,Items!$A$5:$A$597,0)),0))</f>
        <v/>
      </c>
      <c r="F383" s="21" t="str">
        <f t="shared" si="25"/>
        <v/>
      </c>
      <c r="G383" s="25" t="str">
        <f>IF(Receipts!$I386="","",Receipts!$I386)</f>
        <v/>
      </c>
      <c r="H383" s="25" t="str">
        <f>IF(Receipts!$H386="","",Receipts!$H386)</f>
        <v/>
      </c>
      <c r="I383" s="26" t="str">
        <f t="shared" ca="1" si="26"/>
        <v/>
      </c>
      <c r="J383" s="26" t="str">
        <f>IF($A383="","",COUNTIFS(tblReceipts[Item Name],$A383,tblReceipts[Expiry Date],"&lt;"&amp;$H383)+COUNTIFS(tblReceipts[Item Name],$A383,tblReceipts[Expiry Date],$H383,tblReceipts[Lot Number],"&lt;="&amp;Receipts!$C386))</f>
        <v/>
      </c>
      <c r="K383" s="26" t="str">
        <f>IF($A383="","",SUMIFS(tblReceipts[Qty Received],tblReceipts[Item Name],$A383,tblReceipts[Expiry Date],"&lt;"&amp;$H383)+SUMIFS(tblReceipts[Qty Received],tblReceipts[Item Name],$A383,tblReceipts[Expiry Date],$H383,tblReceipts[Lot Number],"&lt;"&amp;Receipts!$C386))</f>
        <v/>
      </c>
      <c r="L383" s="26" t="str">
        <f>IF($A383="","",MIN($D383,MAX(0,SUMIFS(tblIssues[Qty Issued],tblIssues[Item Name],$A383)-$K383)))</f>
        <v/>
      </c>
      <c r="M383" s="26" t="str">
        <f>IF($A383="","",SUMIFS(tblIssues[Qty Issued],tblIssues[Lot Number],$B383))</f>
        <v/>
      </c>
      <c r="N383" s="26" t="str">
        <f t="shared" si="27"/>
        <v/>
      </c>
      <c r="O383" s="26" t="str">
        <f t="shared" si="28"/>
        <v/>
      </c>
      <c r="P383" s="21" t="str">
        <f t="shared" si="29"/>
        <v/>
      </c>
      <c r="Q383" s="52" t="str">
        <f>IF($A383="","",IF($O383&lt;=0,"Depleted",IF($I383&lt;0,"EXPIRED",IF($I383&lt;=Settings!$C$6,"CRITICAL",IF($I383&lt;=Settings!$C$5,"Expiring","In date")))))</f>
        <v/>
      </c>
    </row>
    <row r="384" spans="1:17" x14ac:dyDescent="0.35">
      <c r="A384" s="90" t="str">
        <f>IF(Receipts!$D387="","",Receipts!$D387)</f>
        <v/>
      </c>
      <c r="B384" s="18" t="str">
        <f>IF(Receipts!$C387="","",Receipts!$C387)</f>
        <v/>
      </c>
      <c r="C384" s="18" t="str">
        <f>IF($A384="","",IFERROR(INDEX(Items!$B$5:$B$597,MATCH($A384,Items!$A$5:$A$597,0)),""))</f>
        <v/>
      </c>
      <c r="D384" s="23" t="str">
        <f>IF($A384="","",N(Receipts!$G387))</f>
        <v/>
      </c>
      <c r="E384" s="20" t="str">
        <f>IF($A384="","",IFERROR(INDEX(Items!$D$5:$D$597,MATCH($A384,Items!$A$5:$A$597,0)),0))</f>
        <v/>
      </c>
      <c r="F384" s="21" t="str">
        <f t="shared" si="25"/>
        <v/>
      </c>
      <c r="G384" s="25" t="str">
        <f>IF(Receipts!$I387="","",Receipts!$I387)</f>
        <v/>
      </c>
      <c r="H384" s="25" t="str">
        <f>IF(Receipts!$H387="","",Receipts!$H387)</f>
        <v/>
      </c>
      <c r="I384" s="26" t="str">
        <f t="shared" ca="1" si="26"/>
        <v/>
      </c>
      <c r="J384" s="26" t="str">
        <f>IF($A384="","",COUNTIFS(tblReceipts[Item Name],$A384,tblReceipts[Expiry Date],"&lt;"&amp;$H384)+COUNTIFS(tblReceipts[Item Name],$A384,tblReceipts[Expiry Date],$H384,tblReceipts[Lot Number],"&lt;="&amp;Receipts!$C387))</f>
        <v/>
      </c>
      <c r="K384" s="26" t="str">
        <f>IF($A384="","",SUMIFS(tblReceipts[Qty Received],tblReceipts[Item Name],$A384,tblReceipts[Expiry Date],"&lt;"&amp;$H384)+SUMIFS(tblReceipts[Qty Received],tblReceipts[Item Name],$A384,tblReceipts[Expiry Date],$H384,tblReceipts[Lot Number],"&lt;"&amp;Receipts!$C387))</f>
        <v/>
      </c>
      <c r="L384" s="26" t="str">
        <f>IF($A384="","",MIN($D384,MAX(0,SUMIFS(tblIssues[Qty Issued],tblIssues[Item Name],$A384)-$K384)))</f>
        <v/>
      </c>
      <c r="M384" s="26" t="str">
        <f>IF($A384="","",SUMIFS(tblIssues[Qty Issued],tblIssues[Lot Number],$B384))</f>
        <v/>
      </c>
      <c r="N384" s="26" t="str">
        <f t="shared" si="27"/>
        <v/>
      </c>
      <c r="O384" s="26" t="str">
        <f t="shared" si="28"/>
        <v/>
      </c>
      <c r="P384" s="21" t="str">
        <f t="shared" si="29"/>
        <v/>
      </c>
      <c r="Q384" s="52" t="str">
        <f>IF($A384="","",IF($O384&lt;=0,"Depleted",IF($I384&lt;0,"EXPIRED",IF($I384&lt;=Settings!$C$6,"CRITICAL",IF($I384&lt;=Settings!$C$5,"Expiring","In date")))))</f>
        <v/>
      </c>
    </row>
    <row r="385" spans="1:17" x14ac:dyDescent="0.35">
      <c r="A385" s="90" t="str">
        <f>IF(Receipts!$D388="","",Receipts!$D388)</f>
        <v/>
      </c>
      <c r="B385" s="18" t="str">
        <f>IF(Receipts!$C388="","",Receipts!$C388)</f>
        <v/>
      </c>
      <c r="C385" s="18" t="str">
        <f>IF($A385="","",IFERROR(INDEX(Items!$B$5:$B$597,MATCH($A385,Items!$A$5:$A$597,0)),""))</f>
        <v/>
      </c>
      <c r="D385" s="23" t="str">
        <f>IF($A385="","",N(Receipts!$G388))</f>
        <v/>
      </c>
      <c r="E385" s="20" t="str">
        <f>IF($A385="","",IFERROR(INDEX(Items!$D$5:$D$597,MATCH($A385,Items!$A$5:$A$597,0)),0))</f>
        <v/>
      </c>
      <c r="F385" s="21" t="str">
        <f t="shared" si="25"/>
        <v/>
      </c>
      <c r="G385" s="25" t="str">
        <f>IF(Receipts!$I388="","",Receipts!$I388)</f>
        <v/>
      </c>
      <c r="H385" s="25" t="str">
        <f>IF(Receipts!$H388="","",Receipts!$H388)</f>
        <v/>
      </c>
      <c r="I385" s="26" t="str">
        <f t="shared" ca="1" si="26"/>
        <v/>
      </c>
      <c r="J385" s="26" t="str">
        <f>IF($A385="","",COUNTIFS(tblReceipts[Item Name],$A385,tblReceipts[Expiry Date],"&lt;"&amp;$H385)+COUNTIFS(tblReceipts[Item Name],$A385,tblReceipts[Expiry Date],$H385,tblReceipts[Lot Number],"&lt;="&amp;Receipts!$C388))</f>
        <v/>
      </c>
      <c r="K385" s="26" t="str">
        <f>IF($A385="","",SUMIFS(tblReceipts[Qty Received],tblReceipts[Item Name],$A385,tblReceipts[Expiry Date],"&lt;"&amp;$H385)+SUMIFS(tblReceipts[Qty Received],tblReceipts[Item Name],$A385,tblReceipts[Expiry Date],$H385,tblReceipts[Lot Number],"&lt;"&amp;Receipts!$C388))</f>
        <v/>
      </c>
      <c r="L385" s="26" t="str">
        <f>IF($A385="","",MIN($D385,MAX(0,SUMIFS(tblIssues[Qty Issued],tblIssues[Item Name],$A385)-$K385)))</f>
        <v/>
      </c>
      <c r="M385" s="26" t="str">
        <f>IF($A385="","",SUMIFS(tblIssues[Qty Issued],tblIssues[Lot Number],$B385))</f>
        <v/>
      </c>
      <c r="N385" s="26" t="str">
        <f t="shared" si="27"/>
        <v/>
      </c>
      <c r="O385" s="26" t="str">
        <f t="shared" si="28"/>
        <v/>
      </c>
      <c r="P385" s="21" t="str">
        <f t="shared" si="29"/>
        <v/>
      </c>
      <c r="Q385" s="52" t="str">
        <f>IF($A385="","",IF($O385&lt;=0,"Depleted",IF($I385&lt;0,"EXPIRED",IF($I385&lt;=Settings!$C$6,"CRITICAL",IF($I385&lt;=Settings!$C$5,"Expiring","In date")))))</f>
        <v/>
      </c>
    </row>
    <row r="386" spans="1:17" x14ac:dyDescent="0.35">
      <c r="A386" s="90" t="str">
        <f>IF(Receipts!$D389="","",Receipts!$D389)</f>
        <v/>
      </c>
      <c r="B386" s="18" t="str">
        <f>IF(Receipts!$C389="","",Receipts!$C389)</f>
        <v/>
      </c>
      <c r="C386" s="18" t="str">
        <f>IF($A386="","",IFERROR(INDEX(Items!$B$5:$B$597,MATCH($A386,Items!$A$5:$A$597,0)),""))</f>
        <v/>
      </c>
      <c r="D386" s="23" t="str">
        <f>IF($A386="","",N(Receipts!$G389))</f>
        <v/>
      </c>
      <c r="E386" s="20" t="str">
        <f>IF($A386="","",IFERROR(INDEX(Items!$D$5:$D$597,MATCH($A386,Items!$A$5:$A$597,0)),0))</f>
        <v/>
      </c>
      <c r="F386" s="21" t="str">
        <f t="shared" si="25"/>
        <v/>
      </c>
      <c r="G386" s="25" t="str">
        <f>IF(Receipts!$I389="","",Receipts!$I389)</f>
        <v/>
      </c>
      <c r="H386" s="25" t="str">
        <f>IF(Receipts!$H389="","",Receipts!$H389)</f>
        <v/>
      </c>
      <c r="I386" s="26" t="str">
        <f t="shared" ca="1" si="26"/>
        <v/>
      </c>
      <c r="J386" s="26" t="str">
        <f>IF($A386="","",COUNTIFS(tblReceipts[Item Name],$A386,tblReceipts[Expiry Date],"&lt;"&amp;$H386)+COUNTIFS(tblReceipts[Item Name],$A386,tblReceipts[Expiry Date],$H386,tblReceipts[Lot Number],"&lt;="&amp;Receipts!$C389))</f>
        <v/>
      </c>
      <c r="K386" s="26" t="str">
        <f>IF($A386="","",SUMIFS(tblReceipts[Qty Received],tblReceipts[Item Name],$A386,tblReceipts[Expiry Date],"&lt;"&amp;$H386)+SUMIFS(tblReceipts[Qty Received],tblReceipts[Item Name],$A386,tblReceipts[Expiry Date],$H386,tblReceipts[Lot Number],"&lt;"&amp;Receipts!$C389))</f>
        <v/>
      </c>
      <c r="L386" s="26" t="str">
        <f>IF($A386="","",MIN($D386,MAX(0,SUMIFS(tblIssues[Qty Issued],tblIssues[Item Name],$A386)-$K386)))</f>
        <v/>
      </c>
      <c r="M386" s="26" t="str">
        <f>IF($A386="","",SUMIFS(tblIssues[Qty Issued],tblIssues[Lot Number],$B386))</f>
        <v/>
      </c>
      <c r="N386" s="26" t="str">
        <f t="shared" si="27"/>
        <v/>
      </c>
      <c r="O386" s="26" t="str">
        <f t="shared" si="28"/>
        <v/>
      </c>
      <c r="P386" s="21" t="str">
        <f t="shared" si="29"/>
        <v/>
      </c>
      <c r="Q386" s="52" t="str">
        <f>IF($A386="","",IF($O386&lt;=0,"Depleted",IF($I386&lt;0,"EXPIRED",IF($I386&lt;=Settings!$C$6,"CRITICAL",IF($I386&lt;=Settings!$C$5,"Expiring","In date")))))</f>
        <v/>
      </c>
    </row>
    <row r="387" spans="1:17" x14ac:dyDescent="0.35">
      <c r="A387" s="90" t="str">
        <f>IF(Receipts!$D390="","",Receipts!$D390)</f>
        <v/>
      </c>
      <c r="B387" s="18" t="str">
        <f>IF(Receipts!$C390="","",Receipts!$C390)</f>
        <v/>
      </c>
      <c r="C387" s="18" t="str">
        <f>IF($A387="","",IFERROR(INDEX(Items!$B$5:$B$597,MATCH($A387,Items!$A$5:$A$597,0)),""))</f>
        <v/>
      </c>
      <c r="D387" s="23" t="str">
        <f>IF($A387="","",N(Receipts!$G390))</f>
        <v/>
      </c>
      <c r="E387" s="20" t="str">
        <f>IF($A387="","",IFERROR(INDEX(Items!$D$5:$D$597,MATCH($A387,Items!$A$5:$A$597,0)),0))</f>
        <v/>
      </c>
      <c r="F387" s="21" t="str">
        <f t="shared" si="25"/>
        <v/>
      </c>
      <c r="G387" s="25" t="str">
        <f>IF(Receipts!$I390="","",Receipts!$I390)</f>
        <v/>
      </c>
      <c r="H387" s="25" t="str">
        <f>IF(Receipts!$H390="","",Receipts!$H390)</f>
        <v/>
      </c>
      <c r="I387" s="26" t="str">
        <f t="shared" ca="1" si="26"/>
        <v/>
      </c>
      <c r="J387" s="26" t="str">
        <f>IF($A387="","",COUNTIFS(tblReceipts[Item Name],$A387,tblReceipts[Expiry Date],"&lt;"&amp;$H387)+COUNTIFS(tblReceipts[Item Name],$A387,tblReceipts[Expiry Date],$H387,tblReceipts[Lot Number],"&lt;="&amp;Receipts!$C390))</f>
        <v/>
      </c>
      <c r="K387" s="26" t="str">
        <f>IF($A387="","",SUMIFS(tblReceipts[Qty Received],tblReceipts[Item Name],$A387,tblReceipts[Expiry Date],"&lt;"&amp;$H387)+SUMIFS(tblReceipts[Qty Received],tblReceipts[Item Name],$A387,tblReceipts[Expiry Date],$H387,tblReceipts[Lot Number],"&lt;"&amp;Receipts!$C390))</f>
        <v/>
      </c>
      <c r="L387" s="26" t="str">
        <f>IF($A387="","",MIN($D387,MAX(0,SUMIFS(tblIssues[Qty Issued],tblIssues[Item Name],$A387)-$K387)))</f>
        <v/>
      </c>
      <c r="M387" s="26" t="str">
        <f>IF($A387="","",SUMIFS(tblIssues[Qty Issued],tblIssues[Lot Number],$B387))</f>
        <v/>
      </c>
      <c r="N387" s="26" t="str">
        <f t="shared" si="27"/>
        <v/>
      </c>
      <c r="O387" s="26" t="str">
        <f t="shared" si="28"/>
        <v/>
      </c>
      <c r="P387" s="21" t="str">
        <f t="shared" si="29"/>
        <v/>
      </c>
      <c r="Q387" s="52" t="str">
        <f>IF($A387="","",IF($O387&lt;=0,"Depleted",IF($I387&lt;0,"EXPIRED",IF($I387&lt;=Settings!$C$6,"CRITICAL",IF($I387&lt;=Settings!$C$5,"Expiring","In date")))))</f>
        <v/>
      </c>
    </row>
    <row r="388" spans="1:17" x14ac:dyDescent="0.35">
      <c r="A388" s="90" t="str">
        <f>IF(Receipts!$D391="","",Receipts!$D391)</f>
        <v/>
      </c>
      <c r="B388" s="18" t="str">
        <f>IF(Receipts!$C391="","",Receipts!$C391)</f>
        <v/>
      </c>
      <c r="C388" s="18" t="str">
        <f>IF($A388="","",IFERROR(INDEX(Items!$B$5:$B$597,MATCH($A388,Items!$A$5:$A$597,0)),""))</f>
        <v/>
      </c>
      <c r="D388" s="23" t="str">
        <f>IF($A388="","",N(Receipts!$G391))</f>
        <v/>
      </c>
      <c r="E388" s="20" t="str">
        <f>IF($A388="","",IFERROR(INDEX(Items!$D$5:$D$597,MATCH($A388,Items!$A$5:$A$597,0)),0))</f>
        <v/>
      </c>
      <c r="F388" s="21" t="str">
        <f t="shared" si="25"/>
        <v/>
      </c>
      <c r="G388" s="25" t="str">
        <f>IF(Receipts!$I391="","",Receipts!$I391)</f>
        <v/>
      </c>
      <c r="H388" s="25" t="str">
        <f>IF(Receipts!$H391="","",Receipts!$H391)</f>
        <v/>
      </c>
      <c r="I388" s="26" t="str">
        <f t="shared" ca="1" si="26"/>
        <v/>
      </c>
      <c r="J388" s="26" t="str">
        <f>IF($A388="","",COUNTIFS(tblReceipts[Item Name],$A388,tblReceipts[Expiry Date],"&lt;"&amp;$H388)+COUNTIFS(tblReceipts[Item Name],$A388,tblReceipts[Expiry Date],$H388,tblReceipts[Lot Number],"&lt;="&amp;Receipts!$C391))</f>
        <v/>
      </c>
      <c r="K388" s="26" t="str">
        <f>IF($A388="","",SUMIFS(tblReceipts[Qty Received],tblReceipts[Item Name],$A388,tblReceipts[Expiry Date],"&lt;"&amp;$H388)+SUMIFS(tblReceipts[Qty Received],tblReceipts[Item Name],$A388,tblReceipts[Expiry Date],$H388,tblReceipts[Lot Number],"&lt;"&amp;Receipts!$C391))</f>
        <v/>
      </c>
      <c r="L388" s="26" t="str">
        <f>IF($A388="","",MIN($D388,MAX(0,SUMIFS(tblIssues[Qty Issued],tblIssues[Item Name],$A388)-$K388)))</f>
        <v/>
      </c>
      <c r="M388" s="26" t="str">
        <f>IF($A388="","",SUMIFS(tblIssues[Qty Issued],tblIssues[Lot Number],$B388))</f>
        <v/>
      </c>
      <c r="N388" s="26" t="str">
        <f t="shared" si="27"/>
        <v/>
      </c>
      <c r="O388" s="26" t="str">
        <f t="shared" si="28"/>
        <v/>
      </c>
      <c r="P388" s="21" t="str">
        <f t="shared" si="29"/>
        <v/>
      </c>
      <c r="Q388" s="52" t="str">
        <f>IF($A388="","",IF($O388&lt;=0,"Depleted",IF($I388&lt;0,"EXPIRED",IF($I388&lt;=Settings!$C$6,"CRITICAL",IF($I388&lt;=Settings!$C$5,"Expiring","In date")))))</f>
        <v/>
      </c>
    </row>
    <row r="389" spans="1:17" x14ac:dyDescent="0.35">
      <c r="A389" s="90" t="str">
        <f>IF(Receipts!$D392="","",Receipts!$D392)</f>
        <v/>
      </c>
      <c r="B389" s="18" t="str">
        <f>IF(Receipts!$C392="","",Receipts!$C392)</f>
        <v/>
      </c>
      <c r="C389" s="18" t="str">
        <f>IF($A389="","",IFERROR(INDEX(Items!$B$5:$B$597,MATCH($A389,Items!$A$5:$A$597,0)),""))</f>
        <v/>
      </c>
      <c r="D389" s="23" t="str">
        <f>IF($A389="","",N(Receipts!$G392))</f>
        <v/>
      </c>
      <c r="E389" s="20" t="str">
        <f>IF($A389="","",IFERROR(INDEX(Items!$D$5:$D$597,MATCH($A389,Items!$A$5:$A$597,0)),0))</f>
        <v/>
      </c>
      <c r="F389" s="21" t="str">
        <f t="shared" ref="F389:F452" si="30">IF($A389="","",$D389*$E389)</f>
        <v/>
      </c>
      <c r="G389" s="25" t="str">
        <f>IF(Receipts!$I392="","",Receipts!$I392)</f>
        <v/>
      </c>
      <c r="H389" s="25" t="str">
        <f>IF(Receipts!$H392="","",Receipts!$H392)</f>
        <v/>
      </c>
      <c r="I389" s="26" t="str">
        <f t="shared" ref="I389:I452" ca="1" si="31">IF($H389="","",$H389-TODAY())</f>
        <v/>
      </c>
      <c r="J389" s="26" t="str">
        <f>IF($A389="","",COUNTIFS(tblReceipts[Item Name],$A389,tblReceipts[Expiry Date],"&lt;"&amp;$H389)+COUNTIFS(tblReceipts[Item Name],$A389,tblReceipts[Expiry Date],$H389,tblReceipts[Lot Number],"&lt;="&amp;Receipts!$C392))</f>
        <v/>
      </c>
      <c r="K389" s="26" t="str">
        <f>IF($A389="","",SUMIFS(tblReceipts[Qty Received],tblReceipts[Item Name],$A389,tblReceipts[Expiry Date],"&lt;"&amp;$H389)+SUMIFS(tblReceipts[Qty Received],tblReceipts[Item Name],$A389,tblReceipts[Expiry Date],$H389,tblReceipts[Lot Number],"&lt;"&amp;Receipts!$C392))</f>
        <v/>
      </c>
      <c r="L389" s="26" t="str">
        <f>IF($A389="","",MIN($D389,MAX(0,SUMIFS(tblIssues[Qty Issued],tblIssues[Item Name],$A389)-$K389)))</f>
        <v/>
      </c>
      <c r="M389" s="26" t="str">
        <f>IF($A389="","",SUMIFS(tblIssues[Qty Issued],tblIssues[Lot Number],$B389))</f>
        <v/>
      </c>
      <c r="N389" s="26" t="str">
        <f t="shared" ref="N389:N452" si="32">IF($A389="","",$M389-$L389)</f>
        <v/>
      </c>
      <c r="O389" s="26" t="str">
        <f t="shared" ref="O389:O452" si="33">IF($A389="","",$D389-$L389)</f>
        <v/>
      </c>
      <c r="P389" s="21" t="str">
        <f t="shared" ref="P389:P452" si="34">IF($A389="","",$O389*$E389)</f>
        <v/>
      </c>
      <c r="Q389" s="52" t="str">
        <f>IF($A389="","",IF($O389&lt;=0,"Depleted",IF($I389&lt;0,"EXPIRED",IF($I389&lt;=Settings!$C$6,"CRITICAL",IF($I389&lt;=Settings!$C$5,"Expiring","In date")))))</f>
        <v/>
      </c>
    </row>
    <row r="390" spans="1:17" x14ac:dyDescent="0.35">
      <c r="A390" s="90" t="str">
        <f>IF(Receipts!$D393="","",Receipts!$D393)</f>
        <v/>
      </c>
      <c r="B390" s="18" t="str">
        <f>IF(Receipts!$C393="","",Receipts!$C393)</f>
        <v/>
      </c>
      <c r="C390" s="18" t="str">
        <f>IF($A390="","",IFERROR(INDEX(Items!$B$5:$B$597,MATCH($A390,Items!$A$5:$A$597,0)),""))</f>
        <v/>
      </c>
      <c r="D390" s="23" t="str">
        <f>IF($A390="","",N(Receipts!$G393))</f>
        <v/>
      </c>
      <c r="E390" s="20" t="str">
        <f>IF($A390="","",IFERROR(INDEX(Items!$D$5:$D$597,MATCH($A390,Items!$A$5:$A$597,0)),0))</f>
        <v/>
      </c>
      <c r="F390" s="21" t="str">
        <f t="shared" si="30"/>
        <v/>
      </c>
      <c r="G390" s="25" t="str">
        <f>IF(Receipts!$I393="","",Receipts!$I393)</f>
        <v/>
      </c>
      <c r="H390" s="25" t="str">
        <f>IF(Receipts!$H393="","",Receipts!$H393)</f>
        <v/>
      </c>
      <c r="I390" s="26" t="str">
        <f t="shared" ca="1" si="31"/>
        <v/>
      </c>
      <c r="J390" s="26" t="str">
        <f>IF($A390="","",COUNTIFS(tblReceipts[Item Name],$A390,tblReceipts[Expiry Date],"&lt;"&amp;$H390)+COUNTIFS(tblReceipts[Item Name],$A390,tblReceipts[Expiry Date],$H390,tblReceipts[Lot Number],"&lt;="&amp;Receipts!$C393))</f>
        <v/>
      </c>
      <c r="K390" s="26" t="str">
        <f>IF($A390="","",SUMIFS(tblReceipts[Qty Received],tblReceipts[Item Name],$A390,tblReceipts[Expiry Date],"&lt;"&amp;$H390)+SUMIFS(tblReceipts[Qty Received],tblReceipts[Item Name],$A390,tblReceipts[Expiry Date],$H390,tblReceipts[Lot Number],"&lt;"&amp;Receipts!$C393))</f>
        <v/>
      </c>
      <c r="L390" s="26" t="str">
        <f>IF($A390="","",MIN($D390,MAX(0,SUMIFS(tblIssues[Qty Issued],tblIssues[Item Name],$A390)-$K390)))</f>
        <v/>
      </c>
      <c r="M390" s="26" t="str">
        <f>IF($A390="","",SUMIFS(tblIssues[Qty Issued],tblIssues[Lot Number],$B390))</f>
        <v/>
      </c>
      <c r="N390" s="26" t="str">
        <f t="shared" si="32"/>
        <v/>
      </c>
      <c r="O390" s="26" t="str">
        <f t="shared" si="33"/>
        <v/>
      </c>
      <c r="P390" s="21" t="str">
        <f t="shared" si="34"/>
        <v/>
      </c>
      <c r="Q390" s="52" t="str">
        <f>IF($A390="","",IF($O390&lt;=0,"Depleted",IF($I390&lt;0,"EXPIRED",IF($I390&lt;=Settings!$C$6,"CRITICAL",IF($I390&lt;=Settings!$C$5,"Expiring","In date")))))</f>
        <v/>
      </c>
    </row>
    <row r="391" spans="1:17" x14ac:dyDescent="0.35">
      <c r="A391" s="90" t="str">
        <f>IF(Receipts!$D394="","",Receipts!$D394)</f>
        <v/>
      </c>
      <c r="B391" s="18" t="str">
        <f>IF(Receipts!$C394="","",Receipts!$C394)</f>
        <v/>
      </c>
      <c r="C391" s="18" t="str">
        <f>IF($A391="","",IFERROR(INDEX(Items!$B$5:$B$597,MATCH($A391,Items!$A$5:$A$597,0)),""))</f>
        <v/>
      </c>
      <c r="D391" s="23" t="str">
        <f>IF($A391="","",N(Receipts!$G394))</f>
        <v/>
      </c>
      <c r="E391" s="20" t="str">
        <f>IF($A391="","",IFERROR(INDEX(Items!$D$5:$D$597,MATCH($A391,Items!$A$5:$A$597,0)),0))</f>
        <v/>
      </c>
      <c r="F391" s="21" t="str">
        <f t="shared" si="30"/>
        <v/>
      </c>
      <c r="G391" s="25" t="str">
        <f>IF(Receipts!$I394="","",Receipts!$I394)</f>
        <v/>
      </c>
      <c r="H391" s="25" t="str">
        <f>IF(Receipts!$H394="","",Receipts!$H394)</f>
        <v/>
      </c>
      <c r="I391" s="26" t="str">
        <f t="shared" ca="1" si="31"/>
        <v/>
      </c>
      <c r="J391" s="26" t="str">
        <f>IF($A391="","",COUNTIFS(tblReceipts[Item Name],$A391,tblReceipts[Expiry Date],"&lt;"&amp;$H391)+COUNTIFS(tblReceipts[Item Name],$A391,tblReceipts[Expiry Date],$H391,tblReceipts[Lot Number],"&lt;="&amp;Receipts!$C394))</f>
        <v/>
      </c>
      <c r="K391" s="26" t="str">
        <f>IF($A391="","",SUMIFS(tblReceipts[Qty Received],tblReceipts[Item Name],$A391,tblReceipts[Expiry Date],"&lt;"&amp;$H391)+SUMIFS(tblReceipts[Qty Received],tblReceipts[Item Name],$A391,tblReceipts[Expiry Date],$H391,tblReceipts[Lot Number],"&lt;"&amp;Receipts!$C394))</f>
        <v/>
      </c>
      <c r="L391" s="26" t="str">
        <f>IF($A391="","",MIN($D391,MAX(0,SUMIFS(tblIssues[Qty Issued],tblIssues[Item Name],$A391)-$K391)))</f>
        <v/>
      </c>
      <c r="M391" s="26" t="str">
        <f>IF($A391="","",SUMIFS(tblIssues[Qty Issued],tblIssues[Lot Number],$B391))</f>
        <v/>
      </c>
      <c r="N391" s="26" t="str">
        <f t="shared" si="32"/>
        <v/>
      </c>
      <c r="O391" s="26" t="str">
        <f t="shared" si="33"/>
        <v/>
      </c>
      <c r="P391" s="21" t="str">
        <f t="shared" si="34"/>
        <v/>
      </c>
      <c r="Q391" s="52" t="str">
        <f>IF($A391="","",IF($O391&lt;=0,"Depleted",IF($I391&lt;0,"EXPIRED",IF($I391&lt;=Settings!$C$6,"CRITICAL",IF($I391&lt;=Settings!$C$5,"Expiring","In date")))))</f>
        <v/>
      </c>
    </row>
    <row r="392" spans="1:17" x14ac:dyDescent="0.35">
      <c r="A392" s="90" t="str">
        <f>IF(Receipts!$D395="","",Receipts!$D395)</f>
        <v/>
      </c>
      <c r="B392" s="18" t="str">
        <f>IF(Receipts!$C395="","",Receipts!$C395)</f>
        <v/>
      </c>
      <c r="C392" s="18" t="str">
        <f>IF($A392="","",IFERROR(INDEX(Items!$B$5:$B$597,MATCH($A392,Items!$A$5:$A$597,0)),""))</f>
        <v/>
      </c>
      <c r="D392" s="23" t="str">
        <f>IF($A392="","",N(Receipts!$G395))</f>
        <v/>
      </c>
      <c r="E392" s="20" t="str">
        <f>IF($A392="","",IFERROR(INDEX(Items!$D$5:$D$597,MATCH($A392,Items!$A$5:$A$597,0)),0))</f>
        <v/>
      </c>
      <c r="F392" s="21" t="str">
        <f t="shared" si="30"/>
        <v/>
      </c>
      <c r="G392" s="25" t="str">
        <f>IF(Receipts!$I395="","",Receipts!$I395)</f>
        <v/>
      </c>
      <c r="H392" s="25" t="str">
        <f>IF(Receipts!$H395="","",Receipts!$H395)</f>
        <v/>
      </c>
      <c r="I392" s="26" t="str">
        <f t="shared" ca="1" si="31"/>
        <v/>
      </c>
      <c r="J392" s="26" t="str">
        <f>IF($A392="","",COUNTIFS(tblReceipts[Item Name],$A392,tblReceipts[Expiry Date],"&lt;"&amp;$H392)+COUNTIFS(tblReceipts[Item Name],$A392,tblReceipts[Expiry Date],$H392,tblReceipts[Lot Number],"&lt;="&amp;Receipts!$C395))</f>
        <v/>
      </c>
      <c r="K392" s="26" t="str">
        <f>IF($A392="","",SUMIFS(tblReceipts[Qty Received],tblReceipts[Item Name],$A392,tblReceipts[Expiry Date],"&lt;"&amp;$H392)+SUMIFS(tblReceipts[Qty Received],tblReceipts[Item Name],$A392,tblReceipts[Expiry Date],$H392,tblReceipts[Lot Number],"&lt;"&amp;Receipts!$C395))</f>
        <v/>
      </c>
      <c r="L392" s="26" t="str">
        <f>IF($A392="","",MIN($D392,MAX(0,SUMIFS(tblIssues[Qty Issued],tblIssues[Item Name],$A392)-$K392)))</f>
        <v/>
      </c>
      <c r="M392" s="26" t="str">
        <f>IF($A392="","",SUMIFS(tblIssues[Qty Issued],tblIssues[Lot Number],$B392))</f>
        <v/>
      </c>
      <c r="N392" s="26" t="str">
        <f t="shared" si="32"/>
        <v/>
      </c>
      <c r="O392" s="26" t="str">
        <f t="shared" si="33"/>
        <v/>
      </c>
      <c r="P392" s="21" t="str">
        <f t="shared" si="34"/>
        <v/>
      </c>
      <c r="Q392" s="52" t="str">
        <f>IF($A392="","",IF($O392&lt;=0,"Depleted",IF($I392&lt;0,"EXPIRED",IF($I392&lt;=Settings!$C$6,"CRITICAL",IF($I392&lt;=Settings!$C$5,"Expiring","In date")))))</f>
        <v/>
      </c>
    </row>
    <row r="393" spans="1:17" x14ac:dyDescent="0.35">
      <c r="A393" s="90" t="str">
        <f>IF(Receipts!$D396="","",Receipts!$D396)</f>
        <v/>
      </c>
      <c r="B393" s="18" t="str">
        <f>IF(Receipts!$C396="","",Receipts!$C396)</f>
        <v/>
      </c>
      <c r="C393" s="18" t="str">
        <f>IF($A393="","",IFERROR(INDEX(Items!$B$5:$B$597,MATCH($A393,Items!$A$5:$A$597,0)),""))</f>
        <v/>
      </c>
      <c r="D393" s="23" t="str">
        <f>IF($A393="","",N(Receipts!$G396))</f>
        <v/>
      </c>
      <c r="E393" s="20" t="str">
        <f>IF($A393="","",IFERROR(INDEX(Items!$D$5:$D$597,MATCH($A393,Items!$A$5:$A$597,0)),0))</f>
        <v/>
      </c>
      <c r="F393" s="21" t="str">
        <f t="shared" si="30"/>
        <v/>
      </c>
      <c r="G393" s="25" t="str">
        <f>IF(Receipts!$I396="","",Receipts!$I396)</f>
        <v/>
      </c>
      <c r="H393" s="25" t="str">
        <f>IF(Receipts!$H396="","",Receipts!$H396)</f>
        <v/>
      </c>
      <c r="I393" s="26" t="str">
        <f t="shared" ca="1" si="31"/>
        <v/>
      </c>
      <c r="J393" s="26" t="str">
        <f>IF($A393="","",COUNTIFS(tblReceipts[Item Name],$A393,tblReceipts[Expiry Date],"&lt;"&amp;$H393)+COUNTIFS(tblReceipts[Item Name],$A393,tblReceipts[Expiry Date],$H393,tblReceipts[Lot Number],"&lt;="&amp;Receipts!$C396))</f>
        <v/>
      </c>
      <c r="K393" s="26" t="str">
        <f>IF($A393="","",SUMIFS(tblReceipts[Qty Received],tblReceipts[Item Name],$A393,tblReceipts[Expiry Date],"&lt;"&amp;$H393)+SUMIFS(tblReceipts[Qty Received],tblReceipts[Item Name],$A393,tblReceipts[Expiry Date],$H393,tblReceipts[Lot Number],"&lt;"&amp;Receipts!$C396))</f>
        <v/>
      </c>
      <c r="L393" s="26" t="str">
        <f>IF($A393="","",MIN($D393,MAX(0,SUMIFS(tblIssues[Qty Issued],tblIssues[Item Name],$A393)-$K393)))</f>
        <v/>
      </c>
      <c r="M393" s="26" t="str">
        <f>IF($A393="","",SUMIFS(tblIssues[Qty Issued],tblIssues[Lot Number],$B393))</f>
        <v/>
      </c>
      <c r="N393" s="26" t="str">
        <f t="shared" si="32"/>
        <v/>
      </c>
      <c r="O393" s="26" t="str">
        <f t="shared" si="33"/>
        <v/>
      </c>
      <c r="P393" s="21" t="str">
        <f t="shared" si="34"/>
        <v/>
      </c>
      <c r="Q393" s="52" t="str">
        <f>IF($A393="","",IF($O393&lt;=0,"Depleted",IF($I393&lt;0,"EXPIRED",IF($I393&lt;=Settings!$C$6,"CRITICAL",IF($I393&lt;=Settings!$C$5,"Expiring","In date")))))</f>
        <v/>
      </c>
    </row>
    <row r="394" spans="1:17" x14ac:dyDescent="0.35">
      <c r="A394" s="90" t="str">
        <f>IF(Receipts!$D397="","",Receipts!$D397)</f>
        <v/>
      </c>
      <c r="B394" s="18" t="str">
        <f>IF(Receipts!$C397="","",Receipts!$C397)</f>
        <v/>
      </c>
      <c r="C394" s="18" t="str">
        <f>IF($A394="","",IFERROR(INDEX(Items!$B$5:$B$597,MATCH($A394,Items!$A$5:$A$597,0)),""))</f>
        <v/>
      </c>
      <c r="D394" s="23" t="str">
        <f>IF($A394="","",N(Receipts!$G397))</f>
        <v/>
      </c>
      <c r="E394" s="20" t="str">
        <f>IF($A394="","",IFERROR(INDEX(Items!$D$5:$D$597,MATCH($A394,Items!$A$5:$A$597,0)),0))</f>
        <v/>
      </c>
      <c r="F394" s="21" t="str">
        <f t="shared" si="30"/>
        <v/>
      </c>
      <c r="G394" s="25" t="str">
        <f>IF(Receipts!$I397="","",Receipts!$I397)</f>
        <v/>
      </c>
      <c r="H394" s="25" t="str">
        <f>IF(Receipts!$H397="","",Receipts!$H397)</f>
        <v/>
      </c>
      <c r="I394" s="26" t="str">
        <f t="shared" ca="1" si="31"/>
        <v/>
      </c>
      <c r="J394" s="26" t="str">
        <f>IF($A394="","",COUNTIFS(tblReceipts[Item Name],$A394,tblReceipts[Expiry Date],"&lt;"&amp;$H394)+COUNTIFS(tblReceipts[Item Name],$A394,tblReceipts[Expiry Date],$H394,tblReceipts[Lot Number],"&lt;="&amp;Receipts!$C397))</f>
        <v/>
      </c>
      <c r="K394" s="26" t="str">
        <f>IF($A394="","",SUMIFS(tblReceipts[Qty Received],tblReceipts[Item Name],$A394,tblReceipts[Expiry Date],"&lt;"&amp;$H394)+SUMIFS(tblReceipts[Qty Received],tblReceipts[Item Name],$A394,tblReceipts[Expiry Date],$H394,tblReceipts[Lot Number],"&lt;"&amp;Receipts!$C397))</f>
        <v/>
      </c>
      <c r="L394" s="26" t="str">
        <f>IF($A394="","",MIN($D394,MAX(0,SUMIFS(tblIssues[Qty Issued],tblIssues[Item Name],$A394)-$K394)))</f>
        <v/>
      </c>
      <c r="M394" s="26" t="str">
        <f>IF($A394="","",SUMIFS(tblIssues[Qty Issued],tblIssues[Lot Number],$B394))</f>
        <v/>
      </c>
      <c r="N394" s="26" t="str">
        <f t="shared" si="32"/>
        <v/>
      </c>
      <c r="O394" s="26" t="str">
        <f t="shared" si="33"/>
        <v/>
      </c>
      <c r="P394" s="21" t="str">
        <f t="shared" si="34"/>
        <v/>
      </c>
      <c r="Q394" s="52" t="str">
        <f>IF($A394="","",IF($O394&lt;=0,"Depleted",IF($I394&lt;0,"EXPIRED",IF($I394&lt;=Settings!$C$6,"CRITICAL",IF($I394&lt;=Settings!$C$5,"Expiring","In date")))))</f>
        <v/>
      </c>
    </row>
    <row r="395" spans="1:17" x14ac:dyDescent="0.35">
      <c r="A395" s="90" t="str">
        <f>IF(Receipts!$D398="","",Receipts!$D398)</f>
        <v/>
      </c>
      <c r="B395" s="18" t="str">
        <f>IF(Receipts!$C398="","",Receipts!$C398)</f>
        <v/>
      </c>
      <c r="C395" s="18" t="str">
        <f>IF($A395="","",IFERROR(INDEX(Items!$B$5:$B$597,MATCH($A395,Items!$A$5:$A$597,0)),""))</f>
        <v/>
      </c>
      <c r="D395" s="23" t="str">
        <f>IF($A395="","",N(Receipts!$G398))</f>
        <v/>
      </c>
      <c r="E395" s="20" t="str">
        <f>IF($A395="","",IFERROR(INDEX(Items!$D$5:$D$597,MATCH($A395,Items!$A$5:$A$597,0)),0))</f>
        <v/>
      </c>
      <c r="F395" s="21" t="str">
        <f t="shared" si="30"/>
        <v/>
      </c>
      <c r="G395" s="25" t="str">
        <f>IF(Receipts!$I398="","",Receipts!$I398)</f>
        <v/>
      </c>
      <c r="H395" s="25" t="str">
        <f>IF(Receipts!$H398="","",Receipts!$H398)</f>
        <v/>
      </c>
      <c r="I395" s="26" t="str">
        <f t="shared" ca="1" si="31"/>
        <v/>
      </c>
      <c r="J395" s="26" t="str">
        <f>IF($A395="","",COUNTIFS(tblReceipts[Item Name],$A395,tblReceipts[Expiry Date],"&lt;"&amp;$H395)+COUNTIFS(tblReceipts[Item Name],$A395,tblReceipts[Expiry Date],$H395,tblReceipts[Lot Number],"&lt;="&amp;Receipts!$C398))</f>
        <v/>
      </c>
      <c r="K395" s="26" t="str">
        <f>IF($A395="","",SUMIFS(tblReceipts[Qty Received],tblReceipts[Item Name],$A395,tblReceipts[Expiry Date],"&lt;"&amp;$H395)+SUMIFS(tblReceipts[Qty Received],tblReceipts[Item Name],$A395,tblReceipts[Expiry Date],$H395,tblReceipts[Lot Number],"&lt;"&amp;Receipts!$C398))</f>
        <v/>
      </c>
      <c r="L395" s="26" t="str">
        <f>IF($A395="","",MIN($D395,MAX(0,SUMIFS(tblIssues[Qty Issued],tblIssues[Item Name],$A395)-$K395)))</f>
        <v/>
      </c>
      <c r="M395" s="26" t="str">
        <f>IF($A395="","",SUMIFS(tblIssues[Qty Issued],tblIssues[Lot Number],$B395))</f>
        <v/>
      </c>
      <c r="N395" s="26" t="str">
        <f t="shared" si="32"/>
        <v/>
      </c>
      <c r="O395" s="26" t="str">
        <f t="shared" si="33"/>
        <v/>
      </c>
      <c r="P395" s="21" t="str">
        <f t="shared" si="34"/>
        <v/>
      </c>
      <c r="Q395" s="52" t="str">
        <f>IF($A395="","",IF($O395&lt;=0,"Depleted",IF($I395&lt;0,"EXPIRED",IF($I395&lt;=Settings!$C$6,"CRITICAL",IF($I395&lt;=Settings!$C$5,"Expiring","In date")))))</f>
        <v/>
      </c>
    </row>
    <row r="396" spans="1:17" x14ac:dyDescent="0.35">
      <c r="A396" s="90" t="str">
        <f>IF(Receipts!$D399="","",Receipts!$D399)</f>
        <v/>
      </c>
      <c r="B396" s="18" t="str">
        <f>IF(Receipts!$C399="","",Receipts!$C399)</f>
        <v/>
      </c>
      <c r="C396" s="18" t="str">
        <f>IF($A396="","",IFERROR(INDEX(Items!$B$5:$B$597,MATCH($A396,Items!$A$5:$A$597,0)),""))</f>
        <v/>
      </c>
      <c r="D396" s="23" t="str">
        <f>IF($A396="","",N(Receipts!$G399))</f>
        <v/>
      </c>
      <c r="E396" s="20" t="str">
        <f>IF($A396="","",IFERROR(INDEX(Items!$D$5:$D$597,MATCH($A396,Items!$A$5:$A$597,0)),0))</f>
        <v/>
      </c>
      <c r="F396" s="21" t="str">
        <f t="shared" si="30"/>
        <v/>
      </c>
      <c r="G396" s="25" t="str">
        <f>IF(Receipts!$I399="","",Receipts!$I399)</f>
        <v/>
      </c>
      <c r="H396" s="25" t="str">
        <f>IF(Receipts!$H399="","",Receipts!$H399)</f>
        <v/>
      </c>
      <c r="I396" s="26" t="str">
        <f t="shared" ca="1" si="31"/>
        <v/>
      </c>
      <c r="J396" s="26" t="str">
        <f>IF($A396="","",COUNTIFS(tblReceipts[Item Name],$A396,tblReceipts[Expiry Date],"&lt;"&amp;$H396)+COUNTIFS(tblReceipts[Item Name],$A396,tblReceipts[Expiry Date],$H396,tblReceipts[Lot Number],"&lt;="&amp;Receipts!$C399))</f>
        <v/>
      </c>
      <c r="K396" s="26" t="str">
        <f>IF($A396="","",SUMIFS(tblReceipts[Qty Received],tblReceipts[Item Name],$A396,tblReceipts[Expiry Date],"&lt;"&amp;$H396)+SUMIFS(tblReceipts[Qty Received],tblReceipts[Item Name],$A396,tblReceipts[Expiry Date],$H396,tblReceipts[Lot Number],"&lt;"&amp;Receipts!$C399))</f>
        <v/>
      </c>
      <c r="L396" s="26" t="str">
        <f>IF($A396="","",MIN($D396,MAX(0,SUMIFS(tblIssues[Qty Issued],tblIssues[Item Name],$A396)-$K396)))</f>
        <v/>
      </c>
      <c r="M396" s="26" t="str">
        <f>IF($A396="","",SUMIFS(tblIssues[Qty Issued],tblIssues[Lot Number],$B396))</f>
        <v/>
      </c>
      <c r="N396" s="26" t="str">
        <f t="shared" si="32"/>
        <v/>
      </c>
      <c r="O396" s="26" t="str">
        <f t="shared" si="33"/>
        <v/>
      </c>
      <c r="P396" s="21" t="str">
        <f t="shared" si="34"/>
        <v/>
      </c>
      <c r="Q396" s="52" t="str">
        <f>IF($A396="","",IF($O396&lt;=0,"Depleted",IF($I396&lt;0,"EXPIRED",IF($I396&lt;=Settings!$C$6,"CRITICAL",IF($I396&lt;=Settings!$C$5,"Expiring","In date")))))</f>
        <v/>
      </c>
    </row>
    <row r="397" spans="1:17" x14ac:dyDescent="0.35">
      <c r="A397" s="90" t="str">
        <f>IF(Receipts!$D400="","",Receipts!$D400)</f>
        <v/>
      </c>
      <c r="B397" s="18" t="str">
        <f>IF(Receipts!$C400="","",Receipts!$C400)</f>
        <v/>
      </c>
      <c r="C397" s="18" t="str">
        <f>IF($A397="","",IFERROR(INDEX(Items!$B$5:$B$597,MATCH($A397,Items!$A$5:$A$597,0)),""))</f>
        <v/>
      </c>
      <c r="D397" s="23" t="str">
        <f>IF($A397="","",N(Receipts!$G400))</f>
        <v/>
      </c>
      <c r="E397" s="20" t="str">
        <f>IF($A397="","",IFERROR(INDEX(Items!$D$5:$D$597,MATCH($A397,Items!$A$5:$A$597,0)),0))</f>
        <v/>
      </c>
      <c r="F397" s="21" t="str">
        <f t="shared" si="30"/>
        <v/>
      </c>
      <c r="G397" s="25" t="str">
        <f>IF(Receipts!$I400="","",Receipts!$I400)</f>
        <v/>
      </c>
      <c r="H397" s="25" t="str">
        <f>IF(Receipts!$H400="","",Receipts!$H400)</f>
        <v/>
      </c>
      <c r="I397" s="26" t="str">
        <f t="shared" ca="1" si="31"/>
        <v/>
      </c>
      <c r="J397" s="26" t="str">
        <f>IF($A397="","",COUNTIFS(tblReceipts[Item Name],$A397,tblReceipts[Expiry Date],"&lt;"&amp;$H397)+COUNTIFS(tblReceipts[Item Name],$A397,tblReceipts[Expiry Date],$H397,tblReceipts[Lot Number],"&lt;="&amp;Receipts!$C400))</f>
        <v/>
      </c>
      <c r="K397" s="26" t="str">
        <f>IF($A397="","",SUMIFS(tblReceipts[Qty Received],tblReceipts[Item Name],$A397,tblReceipts[Expiry Date],"&lt;"&amp;$H397)+SUMIFS(tblReceipts[Qty Received],tblReceipts[Item Name],$A397,tblReceipts[Expiry Date],$H397,tblReceipts[Lot Number],"&lt;"&amp;Receipts!$C400))</f>
        <v/>
      </c>
      <c r="L397" s="26" t="str">
        <f>IF($A397="","",MIN($D397,MAX(0,SUMIFS(tblIssues[Qty Issued],tblIssues[Item Name],$A397)-$K397)))</f>
        <v/>
      </c>
      <c r="M397" s="26" t="str">
        <f>IF($A397="","",SUMIFS(tblIssues[Qty Issued],tblIssues[Lot Number],$B397))</f>
        <v/>
      </c>
      <c r="N397" s="26" t="str">
        <f t="shared" si="32"/>
        <v/>
      </c>
      <c r="O397" s="26" t="str">
        <f t="shared" si="33"/>
        <v/>
      </c>
      <c r="P397" s="21" t="str">
        <f t="shared" si="34"/>
        <v/>
      </c>
      <c r="Q397" s="52" t="str">
        <f>IF($A397="","",IF($O397&lt;=0,"Depleted",IF($I397&lt;0,"EXPIRED",IF($I397&lt;=Settings!$C$6,"CRITICAL",IF($I397&lt;=Settings!$C$5,"Expiring","In date")))))</f>
        <v/>
      </c>
    </row>
    <row r="398" spans="1:17" x14ac:dyDescent="0.35">
      <c r="A398" s="90" t="str">
        <f>IF(Receipts!$D401="","",Receipts!$D401)</f>
        <v/>
      </c>
      <c r="B398" s="18" t="str">
        <f>IF(Receipts!$C401="","",Receipts!$C401)</f>
        <v/>
      </c>
      <c r="C398" s="18" t="str">
        <f>IF($A398="","",IFERROR(INDEX(Items!$B$5:$B$597,MATCH($A398,Items!$A$5:$A$597,0)),""))</f>
        <v/>
      </c>
      <c r="D398" s="23" t="str">
        <f>IF($A398="","",N(Receipts!$G401))</f>
        <v/>
      </c>
      <c r="E398" s="20" t="str">
        <f>IF($A398="","",IFERROR(INDEX(Items!$D$5:$D$597,MATCH($A398,Items!$A$5:$A$597,0)),0))</f>
        <v/>
      </c>
      <c r="F398" s="21" t="str">
        <f t="shared" si="30"/>
        <v/>
      </c>
      <c r="G398" s="25" t="str">
        <f>IF(Receipts!$I401="","",Receipts!$I401)</f>
        <v/>
      </c>
      <c r="H398" s="25" t="str">
        <f>IF(Receipts!$H401="","",Receipts!$H401)</f>
        <v/>
      </c>
      <c r="I398" s="26" t="str">
        <f t="shared" ca="1" si="31"/>
        <v/>
      </c>
      <c r="J398" s="26" t="str">
        <f>IF($A398="","",COUNTIFS(tblReceipts[Item Name],$A398,tblReceipts[Expiry Date],"&lt;"&amp;$H398)+COUNTIFS(tblReceipts[Item Name],$A398,tblReceipts[Expiry Date],$H398,tblReceipts[Lot Number],"&lt;="&amp;Receipts!$C401))</f>
        <v/>
      </c>
      <c r="K398" s="26" t="str">
        <f>IF($A398="","",SUMIFS(tblReceipts[Qty Received],tblReceipts[Item Name],$A398,tblReceipts[Expiry Date],"&lt;"&amp;$H398)+SUMIFS(tblReceipts[Qty Received],tblReceipts[Item Name],$A398,tblReceipts[Expiry Date],$H398,tblReceipts[Lot Number],"&lt;"&amp;Receipts!$C401))</f>
        <v/>
      </c>
      <c r="L398" s="26" t="str">
        <f>IF($A398="","",MIN($D398,MAX(0,SUMIFS(tblIssues[Qty Issued],tblIssues[Item Name],$A398)-$K398)))</f>
        <v/>
      </c>
      <c r="M398" s="26" t="str">
        <f>IF($A398="","",SUMIFS(tblIssues[Qty Issued],tblIssues[Lot Number],$B398))</f>
        <v/>
      </c>
      <c r="N398" s="26" t="str">
        <f t="shared" si="32"/>
        <v/>
      </c>
      <c r="O398" s="26" t="str">
        <f t="shared" si="33"/>
        <v/>
      </c>
      <c r="P398" s="21" t="str">
        <f t="shared" si="34"/>
        <v/>
      </c>
      <c r="Q398" s="52" t="str">
        <f>IF($A398="","",IF($O398&lt;=0,"Depleted",IF($I398&lt;0,"EXPIRED",IF($I398&lt;=Settings!$C$6,"CRITICAL",IF($I398&lt;=Settings!$C$5,"Expiring","In date")))))</f>
        <v/>
      </c>
    </row>
    <row r="399" spans="1:17" x14ac:dyDescent="0.35">
      <c r="A399" s="90" t="str">
        <f>IF(Receipts!$D402="","",Receipts!$D402)</f>
        <v/>
      </c>
      <c r="B399" s="18" t="str">
        <f>IF(Receipts!$C402="","",Receipts!$C402)</f>
        <v/>
      </c>
      <c r="C399" s="18" t="str">
        <f>IF($A399="","",IFERROR(INDEX(Items!$B$5:$B$597,MATCH($A399,Items!$A$5:$A$597,0)),""))</f>
        <v/>
      </c>
      <c r="D399" s="23" t="str">
        <f>IF($A399="","",N(Receipts!$G402))</f>
        <v/>
      </c>
      <c r="E399" s="20" t="str">
        <f>IF($A399="","",IFERROR(INDEX(Items!$D$5:$D$597,MATCH($A399,Items!$A$5:$A$597,0)),0))</f>
        <v/>
      </c>
      <c r="F399" s="21" t="str">
        <f t="shared" si="30"/>
        <v/>
      </c>
      <c r="G399" s="25" t="str">
        <f>IF(Receipts!$I402="","",Receipts!$I402)</f>
        <v/>
      </c>
      <c r="H399" s="25" t="str">
        <f>IF(Receipts!$H402="","",Receipts!$H402)</f>
        <v/>
      </c>
      <c r="I399" s="26" t="str">
        <f t="shared" ca="1" si="31"/>
        <v/>
      </c>
      <c r="J399" s="26" t="str">
        <f>IF($A399="","",COUNTIFS(tblReceipts[Item Name],$A399,tblReceipts[Expiry Date],"&lt;"&amp;$H399)+COUNTIFS(tblReceipts[Item Name],$A399,tblReceipts[Expiry Date],$H399,tblReceipts[Lot Number],"&lt;="&amp;Receipts!$C402))</f>
        <v/>
      </c>
      <c r="K399" s="26" t="str">
        <f>IF($A399="","",SUMIFS(tblReceipts[Qty Received],tblReceipts[Item Name],$A399,tblReceipts[Expiry Date],"&lt;"&amp;$H399)+SUMIFS(tblReceipts[Qty Received],tblReceipts[Item Name],$A399,tblReceipts[Expiry Date],$H399,tblReceipts[Lot Number],"&lt;"&amp;Receipts!$C402))</f>
        <v/>
      </c>
      <c r="L399" s="26" t="str">
        <f>IF($A399="","",MIN($D399,MAX(0,SUMIFS(tblIssues[Qty Issued],tblIssues[Item Name],$A399)-$K399)))</f>
        <v/>
      </c>
      <c r="M399" s="26" t="str">
        <f>IF($A399="","",SUMIFS(tblIssues[Qty Issued],tblIssues[Lot Number],$B399))</f>
        <v/>
      </c>
      <c r="N399" s="26" t="str">
        <f t="shared" si="32"/>
        <v/>
      </c>
      <c r="O399" s="26" t="str">
        <f t="shared" si="33"/>
        <v/>
      </c>
      <c r="P399" s="21" t="str">
        <f t="shared" si="34"/>
        <v/>
      </c>
      <c r="Q399" s="52" t="str">
        <f>IF($A399="","",IF($O399&lt;=0,"Depleted",IF($I399&lt;0,"EXPIRED",IF($I399&lt;=Settings!$C$6,"CRITICAL",IF($I399&lt;=Settings!$C$5,"Expiring","In date")))))</f>
        <v/>
      </c>
    </row>
    <row r="400" spans="1:17" x14ac:dyDescent="0.35">
      <c r="A400" s="90" t="str">
        <f>IF(Receipts!$D403="","",Receipts!$D403)</f>
        <v/>
      </c>
      <c r="B400" s="18" t="str">
        <f>IF(Receipts!$C403="","",Receipts!$C403)</f>
        <v/>
      </c>
      <c r="C400" s="18" t="str">
        <f>IF($A400="","",IFERROR(INDEX(Items!$B$5:$B$597,MATCH($A400,Items!$A$5:$A$597,0)),""))</f>
        <v/>
      </c>
      <c r="D400" s="23" t="str">
        <f>IF($A400="","",N(Receipts!$G403))</f>
        <v/>
      </c>
      <c r="E400" s="20" t="str">
        <f>IF($A400="","",IFERROR(INDEX(Items!$D$5:$D$597,MATCH($A400,Items!$A$5:$A$597,0)),0))</f>
        <v/>
      </c>
      <c r="F400" s="21" t="str">
        <f t="shared" si="30"/>
        <v/>
      </c>
      <c r="G400" s="25" t="str">
        <f>IF(Receipts!$I403="","",Receipts!$I403)</f>
        <v/>
      </c>
      <c r="H400" s="25" t="str">
        <f>IF(Receipts!$H403="","",Receipts!$H403)</f>
        <v/>
      </c>
      <c r="I400" s="26" t="str">
        <f t="shared" ca="1" si="31"/>
        <v/>
      </c>
      <c r="J400" s="26" t="str">
        <f>IF($A400="","",COUNTIFS(tblReceipts[Item Name],$A400,tblReceipts[Expiry Date],"&lt;"&amp;$H400)+COUNTIFS(tblReceipts[Item Name],$A400,tblReceipts[Expiry Date],$H400,tblReceipts[Lot Number],"&lt;="&amp;Receipts!$C403))</f>
        <v/>
      </c>
      <c r="K400" s="26" t="str">
        <f>IF($A400="","",SUMIFS(tblReceipts[Qty Received],tblReceipts[Item Name],$A400,tblReceipts[Expiry Date],"&lt;"&amp;$H400)+SUMIFS(tblReceipts[Qty Received],tblReceipts[Item Name],$A400,tblReceipts[Expiry Date],$H400,tblReceipts[Lot Number],"&lt;"&amp;Receipts!$C403))</f>
        <v/>
      </c>
      <c r="L400" s="26" t="str">
        <f>IF($A400="","",MIN($D400,MAX(0,SUMIFS(tblIssues[Qty Issued],tblIssues[Item Name],$A400)-$K400)))</f>
        <v/>
      </c>
      <c r="M400" s="26" t="str">
        <f>IF($A400="","",SUMIFS(tblIssues[Qty Issued],tblIssues[Lot Number],$B400))</f>
        <v/>
      </c>
      <c r="N400" s="26" t="str">
        <f t="shared" si="32"/>
        <v/>
      </c>
      <c r="O400" s="26" t="str">
        <f t="shared" si="33"/>
        <v/>
      </c>
      <c r="P400" s="21" t="str">
        <f t="shared" si="34"/>
        <v/>
      </c>
      <c r="Q400" s="52" t="str">
        <f>IF($A400="","",IF($O400&lt;=0,"Depleted",IF($I400&lt;0,"EXPIRED",IF($I400&lt;=Settings!$C$6,"CRITICAL",IF($I400&lt;=Settings!$C$5,"Expiring","In date")))))</f>
        <v/>
      </c>
    </row>
    <row r="401" spans="1:17" x14ac:dyDescent="0.35">
      <c r="A401" s="90" t="str">
        <f>IF(Receipts!$D404="","",Receipts!$D404)</f>
        <v/>
      </c>
      <c r="B401" s="18" t="str">
        <f>IF(Receipts!$C404="","",Receipts!$C404)</f>
        <v/>
      </c>
      <c r="C401" s="18" t="str">
        <f>IF($A401="","",IFERROR(INDEX(Items!$B$5:$B$597,MATCH($A401,Items!$A$5:$A$597,0)),""))</f>
        <v/>
      </c>
      <c r="D401" s="23" t="str">
        <f>IF($A401="","",N(Receipts!$G404))</f>
        <v/>
      </c>
      <c r="E401" s="20" t="str">
        <f>IF($A401="","",IFERROR(INDEX(Items!$D$5:$D$597,MATCH($A401,Items!$A$5:$A$597,0)),0))</f>
        <v/>
      </c>
      <c r="F401" s="21" t="str">
        <f t="shared" si="30"/>
        <v/>
      </c>
      <c r="G401" s="25" t="str">
        <f>IF(Receipts!$I404="","",Receipts!$I404)</f>
        <v/>
      </c>
      <c r="H401" s="25" t="str">
        <f>IF(Receipts!$H404="","",Receipts!$H404)</f>
        <v/>
      </c>
      <c r="I401" s="26" t="str">
        <f t="shared" ca="1" si="31"/>
        <v/>
      </c>
      <c r="J401" s="26" t="str">
        <f>IF($A401="","",COUNTIFS(tblReceipts[Item Name],$A401,tblReceipts[Expiry Date],"&lt;"&amp;$H401)+COUNTIFS(tblReceipts[Item Name],$A401,tblReceipts[Expiry Date],$H401,tblReceipts[Lot Number],"&lt;="&amp;Receipts!$C404))</f>
        <v/>
      </c>
      <c r="K401" s="26" t="str">
        <f>IF($A401="","",SUMIFS(tblReceipts[Qty Received],tblReceipts[Item Name],$A401,tblReceipts[Expiry Date],"&lt;"&amp;$H401)+SUMIFS(tblReceipts[Qty Received],tblReceipts[Item Name],$A401,tblReceipts[Expiry Date],$H401,tblReceipts[Lot Number],"&lt;"&amp;Receipts!$C404))</f>
        <v/>
      </c>
      <c r="L401" s="26" t="str">
        <f>IF($A401="","",MIN($D401,MAX(0,SUMIFS(tblIssues[Qty Issued],tblIssues[Item Name],$A401)-$K401)))</f>
        <v/>
      </c>
      <c r="M401" s="26" t="str">
        <f>IF($A401="","",SUMIFS(tblIssues[Qty Issued],tblIssues[Lot Number],$B401))</f>
        <v/>
      </c>
      <c r="N401" s="26" t="str">
        <f t="shared" si="32"/>
        <v/>
      </c>
      <c r="O401" s="26" t="str">
        <f t="shared" si="33"/>
        <v/>
      </c>
      <c r="P401" s="21" t="str">
        <f t="shared" si="34"/>
        <v/>
      </c>
      <c r="Q401" s="52" t="str">
        <f>IF($A401="","",IF($O401&lt;=0,"Depleted",IF($I401&lt;0,"EXPIRED",IF($I401&lt;=Settings!$C$6,"CRITICAL",IF($I401&lt;=Settings!$C$5,"Expiring","In date")))))</f>
        <v/>
      </c>
    </row>
    <row r="402" spans="1:17" x14ac:dyDescent="0.35">
      <c r="A402" s="90" t="str">
        <f>IF(Receipts!$D405="","",Receipts!$D405)</f>
        <v/>
      </c>
      <c r="B402" s="18" t="str">
        <f>IF(Receipts!$C405="","",Receipts!$C405)</f>
        <v/>
      </c>
      <c r="C402" s="18" t="str">
        <f>IF($A402="","",IFERROR(INDEX(Items!$B$5:$B$597,MATCH($A402,Items!$A$5:$A$597,0)),""))</f>
        <v/>
      </c>
      <c r="D402" s="23" t="str">
        <f>IF($A402="","",N(Receipts!$G405))</f>
        <v/>
      </c>
      <c r="E402" s="20" t="str">
        <f>IF($A402="","",IFERROR(INDEX(Items!$D$5:$D$597,MATCH($A402,Items!$A$5:$A$597,0)),0))</f>
        <v/>
      </c>
      <c r="F402" s="21" t="str">
        <f t="shared" si="30"/>
        <v/>
      </c>
      <c r="G402" s="25" t="str">
        <f>IF(Receipts!$I405="","",Receipts!$I405)</f>
        <v/>
      </c>
      <c r="H402" s="25" t="str">
        <f>IF(Receipts!$H405="","",Receipts!$H405)</f>
        <v/>
      </c>
      <c r="I402" s="26" t="str">
        <f t="shared" ca="1" si="31"/>
        <v/>
      </c>
      <c r="J402" s="26" t="str">
        <f>IF($A402="","",COUNTIFS(tblReceipts[Item Name],$A402,tblReceipts[Expiry Date],"&lt;"&amp;$H402)+COUNTIFS(tblReceipts[Item Name],$A402,tblReceipts[Expiry Date],$H402,tblReceipts[Lot Number],"&lt;="&amp;Receipts!$C405))</f>
        <v/>
      </c>
      <c r="K402" s="26" t="str">
        <f>IF($A402="","",SUMIFS(tblReceipts[Qty Received],tblReceipts[Item Name],$A402,tblReceipts[Expiry Date],"&lt;"&amp;$H402)+SUMIFS(tblReceipts[Qty Received],tblReceipts[Item Name],$A402,tblReceipts[Expiry Date],$H402,tblReceipts[Lot Number],"&lt;"&amp;Receipts!$C405))</f>
        <v/>
      </c>
      <c r="L402" s="26" t="str">
        <f>IF($A402="","",MIN($D402,MAX(0,SUMIFS(tblIssues[Qty Issued],tblIssues[Item Name],$A402)-$K402)))</f>
        <v/>
      </c>
      <c r="M402" s="26" t="str">
        <f>IF($A402="","",SUMIFS(tblIssues[Qty Issued],tblIssues[Lot Number],$B402))</f>
        <v/>
      </c>
      <c r="N402" s="26" t="str">
        <f t="shared" si="32"/>
        <v/>
      </c>
      <c r="O402" s="26" t="str">
        <f t="shared" si="33"/>
        <v/>
      </c>
      <c r="P402" s="21" t="str">
        <f t="shared" si="34"/>
        <v/>
      </c>
      <c r="Q402" s="52" t="str">
        <f>IF($A402="","",IF($O402&lt;=0,"Depleted",IF($I402&lt;0,"EXPIRED",IF($I402&lt;=Settings!$C$6,"CRITICAL",IF($I402&lt;=Settings!$C$5,"Expiring","In date")))))</f>
        <v/>
      </c>
    </row>
    <row r="403" spans="1:17" x14ac:dyDescent="0.35">
      <c r="A403" s="90" t="str">
        <f>IF(Receipts!$D406="","",Receipts!$D406)</f>
        <v/>
      </c>
      <c r="B403" s="18" t="str">
        <f>IF(Receipts!$C406="","",Receipts!$C406)</f>
        <v/>
      </c>
      <c r="C403" s="18" t="str">
        <f>IF($A403="","",IFERROR(INDEX(Items!$B$5:$B$597,MATCH($A403,Items!$A$5:$A$597,0)),""))</f>
        <v/>
      </c>
      <c r="D403" s="23" t="str">
        <f>IF($A403="","",N(Receipts!$G406))</f>
        <v/>
      </c>
      <c r="E403" s="20" t="str">
        <f>IF($A403="","",IFERROR(INDEX(Items!$D$5:$D$597,MATCH($A403,Items!$A$5:$A$597,0)),0))</f>
        <v/>
      </c>
      <c r="F403" s="21" t="str">
        <f t="shared" si="30"/>
        <v/>
      </c>
      <c r="G403" s="25" t="str">
        <f>IF(Receipts!$I406="","",Receipts!$I406)</f>
        <v/>
      </c>
      <c r="H403" s="25" t="str">
        <f>IF(Receipts!$H406="","",Receipts!$H406)</f>
        <v/>
      </c>
      <c r="I403" s="26" t="str">
        <f t="shared" ca="1" si="31"/>
        <v/>
      </c>
      <c r="J403" s="26" t="str">
        <f>IF($A403="","",COUNTIFS(tblReceipts[Item Name],$A403,tblReceipts[Expiry Date],"&lt;"&amp;$H403)+COUNTIFS(tblReceipts[Item Name],$A403,tblReceipts[Expiry Date],$H403,tblReceipts[Lot Number],"&lt;="&amp;Receipts!$C406))</f>
        <v/>
      </c>
      <c r="K403" s="26" t="str">
        <f>IF($A403="","",SUMIFS(tblReceipts[Qty Received],tblReceipts[Item Name],$A403,tblReceipts[Expiry Date],"&lt;"&amp;$H403)+SUMIFS(tblReceipts[Qty Received],tblReceipts[Item Name],$A403,tblReceipts[Expiry Date],$H403,tblReceipts[Lot Number],"&lt;"&amp;Receipts!$C406))</f>
        <v/>
      </c>
      <c r="L403" s="26" t="str">
        <f>IF($A403="","",MIN($D403,MAX(0,SUMIFS(tblIssues[Qty Issued],tblIssues[Item Name],$A403)-$K403)))</f>
        <v/>
      </c>
      <c r="M403" s="26" t="str">
        <f>IF($A403="","",SUMIFS(tblIssues[Qty Issued],tblIssues[Lot Number],$B403))</f>
        <v/>
      </c>
      <c r="N403" s="26" t="str">
        <f t="shared" si="32"/>
        <v/>
      </c>
      <c r="O403" s="26" t="str">
        <f t="shared" si="33"/>
        <v/>
      </c>
      <c r="P403" s="21" t="str">
        <f t="shared" si="34"/>
        <v/>
      </c>
      <c r="Q403" s="52" t="str">
        <f>IF($A403="","",IF($O403&lt;=0,"Depleted",IF($I403&lt;0,"EXPIRED",IF($I403&lt;=Settings!$C$6,"CRITICAL",IF($I403&lt;=Settings!$C$5,"Expiring","In date")))))</f>
        <v/>
      </c>
    </row>
    <row r="404" spans="1:17" x14ac:dyDescent="0.35">
      <c r="A404" s="90" t="str">
        <f>IF(Receipts!$D407="","",Receipts!$D407)</f>
        <v/>
      </c>
      <c r="B404" s="18" t="str">
        <f>IF(Receipts!$C407="","",Receipts!$C407)</f>
        <v/>
      </c>
      <c r="C404" s="18" t="str">
        <f>IF($A404="","",IFERROR(INDEX(Items!$B$5:$B$597,MATCH($A404,Items!$A$5:$A$597,0)),""))</f>
        <v/>
      </c>
      <c r="D404" s="23" t="str">
        <f>IF($A404="","",N(Receipts!$G407))</f>
        <v/>
      </c>
      <c r="E404" s="20" t="str">
        <f>IF($A404="","",IFERROR(INDEX(Items!$D$5:$D$597,MATCH($A404,Items!$A$5:$A$597,0)),0))</f>
        <v/>
      </c>
      <c r="F404" s="21" t="str">
        <f t="shared" si="30"/>
        <v/>
      </c>
      <c r="G404" s="25" t="str">
        <f>IF(Receipts!$I407="","",Receipts!$I407)</f>
        <v/>
      </c>
      <c r="H404" s="25" t="str">
        <f>IF(Receipts!$H407="","",Receipts!$H407)</f>
        <v/>
      </c>
      <c r="I404" s="26" t="str">
        <f t="shared" ca="1" si="31"/>
        <v/>
      </c>
      <c r="J404" s="26" t="str">
        <f>IF($A404="","",COUNTIFS(tblReceipts[Item Name],$A404,tblReceipts[Expiry Date],"&lt;"&amp;$H404)+COUNTIFS(tblReceipts[Item Name],$A404,tblReceipts[Expiry Date],$H404,tblReceipts[Lot Number],"&lt;="&amp;Receipts!$C407))</f>
        <v/>
      </c>
      <c r="K404" s="26" t="str">
        <f>IF($A404="","",SUMIFS(tblReceipts[Qty Received],tblReceipts[Item Name],$A404,tblReceipts[Expiry Date],"&lt;"&amp;$H404)+SUMIFS(tblReceipts[Qty Received],tblReceipts[Item Name],$A404,tblReceipts[Expiry Date],$H404,tblReceipts[Lot Number],"&lt;"&amp;Receipts!$C407))</f>
        <v/>
      </c>
      <c r="L404" s="26" t="str">
        <f>IF($A404="","",MIN($D404,MAX(0,SUMIFS(tblIssues[Qty Issued],tblIssues[Item Name],$A404)-$K404)))</f>
        <v/>
      </c>
      <c r="M404" s="26" t="str">
        <f>IF($A404="","",SUMIFS(tblIssues[Qty Issued],tblIssues[Lot Number],$B404))</f>
        <v/>
      </c>
      <c r="N404" s="26" t="str">
        <f t="shared" si="32"/>
        <v/>
      </c>
      <c r="O404" s="26" t="str">
        <f t="shared" si="33"/>
        <v/>
      </c>
      <c r="P404" s="21" t="str">
        <f t="shared" si="34"/>
        <v/>
      </c>
      <c r="Q404" s="52" t="str">
        <f>IF($A404="","",IF($O404&lt;=0,"Depleted",IF($I404&lt;0,"EXPIRED",IF($I404&lt;=Settings!$C$6,"CRITICAL",IF($I404&lt;=Settings!$C$5,"Expiring","In date")))))</f>
        <v/>
      </c>
    </row>
    <row r="405" spans="1:17" x14ac:dyDescent="0.35">
      <c r="A405" s="90" t="str">
        <f>IF(Receipts!$D408="","",Receipts!$D408)</f>
        <v/>
      </c>
      <c r="B405" s="18" t="str">
        <f>IF(Receipts!$C408="","",Receipts!$C408)</f>
        <v/>
      </c>
      <c r="C405" s="18" t="str">
        <f>IF($A405="","",IFERROR(INDEX(Items!$B$5:$B$597,MATCH($A405,Items!$A$5:$A$597,0)),""))</f>
        <v/>
      </c>
      <c r="D405" s="23" t="str">
        <f>IF($A405="","",N(Receipts!$G408))</f>
        <v/>
      </c>
      <c r="E405" s="20" t="str">
        <f>IF($A405="","",IFERROR(INDEX(Items!$D$5:$D$597,MATCH($A405,Items!$A$5:$A$597,0)),0))</f>
        <v/>
      </c>
      <c r="F405" s="21" t="str">
        <f t="shared" si="30"/>
        <v/>
      </c>
      <c r="G405" s="25" t="str">
        <f>IF(Receipts!$I408="","",Receipts!$I408)</f>
        <v/>
      </c>
      <c r="H405" s="25" t="str">
        <f>IF(Receipts!$H408="","",Receipts!$H408)</f>
        <v/>
      </c>
      <c r="I405" s="26" t="str">
        <f t="shared" ca="1" si="31"/>
        <v/>
      </c>
      <c r="J405" s="26" t="str">
        <f>IF($A405="","",COUNTIFS(tblReceipts[Item Name],$A405,tblReceipts[Expiry Date],"&lt;"&amp;$H405)+COUNTIFS(tblReceipts[Item Name],$A405,tblReceipts[Expiry Date],$H405,tblReceipts[Lot Number],"&lt;="&amp;Receipts!$C408))</f>
        <v/>
      </c>
      <c r="K405" s="26" t="str">
        <f>IF($A405="","",SUMIFS(tblReceipts[Qty Received],tblReceipts[Item Name],$A405,tblReceipts[Expiry Date],"&lt;"&amp;$H405)+SUMIFS(tblReceipts[Qty Received],tblReceipts[Item Name],$A405,tblReceipts[Expiry Date],$H405,tblReceipts[Lot Number],"&lt;"&amp;Receipts!$C408))</f>
        <v/>
      </c>
      <c r="L405" s="26" t="str">
        <f>IF($A405="","",MIN($D405,MAX(0,SUMIFS(tblIssues[Qty Issued],tblIssues[Item Name],$A405)-$K405)))</f>
        <v/>
      </c>
      <c r="M405" s="26" t="str">
        <f>IF($A405="","",SUMIFS(tblIssues[Qty Issued],tblIssues[Lot Number],$B405))</f>
        <v/>
      </c>
      <c r="N405" s="26" t="str">
        <f t="shared" si="32"/>
        <v/>
      </c>
      <c r="O405" s="26" t="str">
        <f t="shared" si="33"/>
        <v/>
      </c>
      <c r="P405" s="21" t="str">
        <f t="shared" si="34"/>
        <v/>
      </c>
      <c r="Q405" s="52" t="str">
        <f>IF($A405="","",IF($O405&lt;=0,"Depleted",IF($I405&lt;0,"EXPIRED",IF($I405&lt;=Settings!$C$6,"CRITICAL",IF($I405&lt;=Settings!$C$5,"Expiring","In date")))))</f>
        <v/>
      </c>
    </row>
    <row r="406" spans="1:17" x14ac:dyDescent="0.35">
      <c r="A406" s="90" t="str">
        <f>IF(Receipts!$D409="","",Receipts!$D409)</f>
        <v/>
      </c>
      <c r="B406" s="18" t="str">
        <f>IF(Receipts!$C409="","",Receipts!$C409)</f>
        <v/>
      </c>
      <c r="C406" s="18" t="str">
        <f>IF($A406="","",IFERROR(INDEX(Items!$B$5:$B$597,MATCH($A406,Items!$A$5:$A$597,0)),""))</f>
        <v/>
      </c>
      <c r="D406" s="23" t="str">
        <f>IF($A406="","",N(Receipts!$G409))</f>
        <v/>
      </c>
      <c r="E406" s="20" t="str">
        <f>IF($A406="","",IFERROR(INDEX(Items!$D$5:$D$597,MATCH($A406,Items!$A$5:$A$597,0)),0))</f>
        <v/>
      </c>
      <c r="F406" s="21" t="str">
        <f t="shared" si="30"/>
        <v/>
      </c>
      <c r="G406" s="25" t="str">
        <f>IF(Receipts!$I409="","",Receipts!$I409)</f>
        <v/>
      </c>
      <c r="H406" s="25" t="str">
        <f>IF(Receipts!$H409="","",Receipts!$H409)</f>
        <v/>
      </c>
      <c r="I406" s="26" t="str">
        <f t="shared" ca="1" si="31"/>
        <v/>
      </c>
      <c r="J406" s="26" t="str">
        <f>IF($A406="","",COUNTIFS(tblReceipts[Item Name],$A406,tblReceipts[Expiry Date],"&lt;"&amp;$H406)+COUNTIFS(tblReceipts[Item Name],$A406,tblReceipts[Expiry Date],$H406,tblReceipts[Lot Number],"&lt;="&amp;Receipts!$C409))</f>
        <v/>
      </c>
      <c r="K406" s="26" t="str">
        <f>IF($A406="","",SUMIFS(tblReceipts[Qty Received],tblReceipts[Item Name],$A406,tblReceipts[Expiry Date],"&lt;"&amp;$H406)+SUMIFS(tblReceipts[Qty Received],tblReceipts[Item Name],$A406,tblReceipts[Expiry Date],$H406,tblReceipts[Lot Number],"&lt;"&amp;Receipts!$C409))</f>
        <v/>
      </c>
      <c r="L406" s="26" t="str">
        <f>IF($A406="","",MIN($D406,MAX(0,SUMIFS(tblIssues[Qty Issued],tblIssues[Item Name],$A406)-$K406)))</f>
        <v/>
      </c>
      <c r="M406" s="26" t="str">
        <f>IF($A406="","",SUMIFS(tblIssues[Qty Issued],tblIssues[Lot Number],$B406))</f>
        <v/>
      </c>
      <c r="N406" s="26" t="str">
        <f t="shared" si="32"/>
        <v/>
      </c>
      <c r="O406" s="26" t="str">
        <f t="shared" si="33"/>
        <v/>
      </c>
      <c r="P406" s="21" t="str">
        <f t="shared" si="34"/>
        <v/>
      </c>
      <c r="Q406" s="52" t="str">
        <f>IF($A406="","",IF($O406&lt;=0,"Depleted",IF($I406&lt;0,"EXPIRED",IF($I406&lt;=Settings!$C$6,"CRITICAL",IF($I406&lt;=Settings!$C$5,"Expiring","In date")))))</f>
        <v/>
      </c>
    </row>
    <row r="407" spans="1:17" x14ac:dyDescent="0.35">
      <c r="A407" s="90" t="str">
        <f>IF(Receipts!$D410="","",Receipts!$D410)</f>
        <v/>
      </c>
      <c r="B407" s="18" t="str">
        <f>IF(Receipts!$C410="","",Receipts!$C410)</f>
        <v/>
      </c>
      <c r="C407" s="18" t="str">
        <f>IF($A407="","",IFERROR(INDEX(Items!$B$5:$B$597,MATCH($A407,Items!$A$5:$A$597,0)),""))</f>
        <v/>
      </c>
      <c r="D407" s="23" t="str">
        <f>IF($A407="","",N(Receipts!$G410))</f>
        <v/>
      </c>
      <c r="E407" s="20" t="str">
        <f>IF($A407="","",IFERROR(INDEX(Items!$D$5:$D$597,MATCH($A407,Items!$A$5:$A$597,0)),0))</f>
        <v/>
      </c>
      <c r="F407" s="21" t="str">
        <f t="shared" si="30"/>
        <v/>
      </c>
      <c r="G407" s="25" t="str">
        <f>IF(Receipts!$I410="","",Receipts!$I410)</f>
        <v/>
      </c>
      <c r="H407" s="25" t="str">
        <f>IF(Receipts!$H410="","",Receipts!$H410)</f>
        <v/>
      </c>
      <c r="I407" s="26" t="str">
        <f t="shared" ca="1" si="31"/>
        <v/>
      </c>
      <c r="J407" s="26" t="str">
        <f>IF($A407="","",COUNTIFS(tblReceipts[Item Name],$A407,tblReceipts[Expiry Date],"&lt;"&amp;$H407)+COUNTIFS(tblReceipts[Item Name],$A407,tblReceipts[Expiry Date],$H407,tblReceipts[Lot Number],"&lt;="&amp;Receipts!$C410))</f>
        <v/>
      </c>
      <c r="K407" s="26" t="str">
        <f>IF($A407="","",SUMIFS(tblReceipts[Qty Received],tblReceipts[Item Name],$A407,tblReceipts[Expiry Date],"&lt;"&amp;$H407)+SUMIFS(tblReceipts[Qty Received],tblReceipts[Item Name],$A407,tblReceipts[Expiry Date],$H407,tblReceipts[Lot Number],"&lt;"&amp;Receipts!$C410))</f>
        <v/>
      </c>
      <c r="L407" s="26" t="str">
        <f>IF($A407="","",MIN($D407,MAX(0,SUMIFS(tblIssues[Qty Issued],tblIssues[Item Name],$A407)-$K407)))</f>
        <v/>
      </c>
      <c r="M407" s="26" t="str">
        <f>IF($A407="","",SUMIFS(tblIssues[Qty Issued],tblIssues[Lot Number],$B407))</f>
        <v/>
      </c>
      <c r="N407" s="26" t="str">
        <f t="shared" si="32"/>
        <v/>
      </c>
      <c r="O407" s="26" t="str">
        <f t="shared" si="33"/>
        <v/>
      </c>
      <c r="P407" s="21" t="str">
        <f t="shared" si="34"/>
        <v/>
      </c>
      <c r="Q407" s="52" t="str">
        <f>IF($A407="","",IF($O407&lt;=0,"Depleted",IF($I407&lt;0,"EXPIRED",IF($I407&lt;=Settings!$C$6,"CRITICAL",IF($I407&lt;=Settings!$C$5,"Expiring","In date")))))</f>
        <v/>
      </c>
    </row>
    <row r="408" spans="1:17" x14ac:dyDescent="0.35">
      <c r="A408" s="90" t="str">
        <f>IF(Receipts!$D411="","",Receipts!$D411)</f>
        <v/>
      </c>
      <c r="B408" s="18" t="str">
        <f>IF(Receipts!$C411="","",Receipts!$C411)</f>
        <v/>
      </c>
      <c r="C408" s="18" t="str">
        <f>IF($A408="","",IFERROR(INDEX(Items!$B$5:$B$597,MATCH($A408,Items!$A$5:$A$597,0)),""))</f>
        <v/>
      </c>
      <c r="D408" s="23" t="str">
        <f>IF($A408="","",N(Receipts!$G411))</f>
        <v/>
      </c>
      <c r="E408" s="20" t="str">
        <f>IF($A408="","",IFERROR(INDEX(Items!$D$5:$D$597,MATCH($A408,Items!$A$5:$A$597,0)),0))</f>
        <v/>
      </c>
      <c r="F408" s="21" t="str">
        <f t="shared" si="30"/>
        <v/>
      </c>
      <c r="G408" s="25" t="str">
        <f>IF(Receipts!$I411="","",Receipts!$I411)</f>
        <v/>
      </c>
      <c r="H408" s="25" t="str">
        <f>IF(Receipts!$H411="","",Receipts!$H411)</f>
        <v/>
      </c>
      <c r="I408" s="26" t="str">
        <f t="shared" ca="1" si="31"/>
        <v/>
      </c>
      <c r="J408" s="26" t="str">
        <f>IF($A408="","",COUNTIFS(tblReceipts[Item Name],$A408,tblReceipts[Expiry Date],"&lt;"&amp;$H408)+COUNTIFS(tblReceipts[Item Name],$A408,tblReceipts[Expiry Date],$H408,tblReceipts[Lot Number],"&lt;="&amp;Receipts!$C411))</f>
        <v/>
      </c>
      <c r="K408" s="26" t="str">
        <f>IF($A408="","",SUMIFS(tblReceipts[Qty Received],tblReceipts[Item Name],$A408,tblReceipts[Expiry Date],"&lt;"&amp;$H408)+SUMIFS(tblReceipts[Qty Received],tblReceipts[Item Name],$A408,tblReceipts[Expiry Date],$H408,tblReceipts[Lot Number],"&lt;"&amp;Receipts!$C411))</f>
        <v/>
      </c>
      <c r="L408" s="26" t="str">
        <f>IF($A408="","",MIN($D408,MAX(0,SUMIFS(tblIssues[Qty Issued],tblIssues[Item Name],$A408)-$K408)))</f>
        <v/>
      </c>
      <c r="M408" s="26" t="str">
        <f>IF($A408="","",SUMIFS(tblIssues[Qty Issued],tblIssues[Lot Number],$B408))</f>
        <v/>
      </c>
      <c r="N408" s="26" t="str">
        <f t="shared" si="32"/>
        <v/>
      </c>
      <c r="O408" s="26" t="str">
        <f t="shared" si="33"/>
        <v/>
      </c>
      <c r="P408" s="21" t="str">
        <f t="shared" si="34"/>
        <v/>
      </c>
      <c r="Q408" s="52" t="str">
        <f>IF($A408="","",IF($O408&lt;=0,"Depleted",IF($I408&lt;0,"EXPIRED",IF($I408&lt;=Settings!$C$6,"CRITICAL",IF($I408&lt;=Settings!$C$5,"Expiring","In date")))))</f>
        <v/>
      </c>
    </row>
    <row r="409" spans="1:17" x14ac:dyDescent="0.35">
      <c r="A409" s="90" t="str">
        <f>IF(Receipts!$D412="","",Receipts!$D412)</f>
        <v/>
      </c>
      <c r="B409" s="18" t="str">
        <f>IF(Receipts!$C412="","",Receipts!$C412)</f>
        <v/>
      </c>
      <c r="C409" s="18" t="str">
        <f>IF($A409="","",IFERROR(INDEX(Items!$B$5:$B$597,MATCH($A409,Items!$A$5:$A$597,0)),""))</f>
        <v/>
      </c>
      <c r="D409" s="23" t="str">
        <f>IF($A409="","",N(Receipts!$G412))</f>
        <v/>
      </c>
      <c r="E409" s="20" t="str">
        <f>IF($A409="","",IFERROR(INDEX(Items!$D$5:$D$597,MATCH($A409,Items!$A$5:$A$597,0)),0))</f>
        <v/>
      </c>
      <c r="F409" s="21" t="str">
        <f t="shared" si="30"/>
        <v/>
      </c>
      <c r="G409" s="25" t="str">
        <f>IF(Receipts!$I412="","",Receipts!$I412)</f>
        <v/>
      </c>
      <c r="H409" s="25" t="str">
        <f>IF(Receipts!$H412="","",Receipts!$H412)</f>
        <v/>
      </c>
      <c r="I409" s="26" t="str">
        <f t="shared" ca="1" si="31"/>
        <v/>
      </c>
      <c r="J409" s="26" t="str">
        <f>IF($A409="","",COUNTIFS(tblReceipts[Item Name],$A409,tblReceipts[Expiry Date],"&lt;"&amp;$H409)+COUNTIFS(tblReceipts[Item Name],$A409,tblReceipts[Expiry Date],$H409,tblReceipts[Lot Number],"&lt;="&amp;Receipts!$C412))</f>
        <v/>
      </c>
      <c r="K409" s="26" t="str">
        <f>IF($A409="","",SUMIFS(tblReceipts[Qty Received],tblReceipts[Item Name],$A409,tblReceipts[Expiry Date],"&lt;"&amp;$H409)+SUMIFS(tblReceipts[Qty Received],tblReceipts[Item Name],$A409,tblReceipts[Expiry Date],$H409,tblReceipts[Lot Number],"&lt;"&amp;Receipts!$C412))</f>
        <v/>
      </c>
      <c r="L409" s="26" t="str">
        <f>IF($A409="","",MIN($D409,MAX(0,SUMIFS(tblIssues[Qty Issued],tblIssues[Item Name],$A409)-$K409)))</f>
        <v/>
      </c>
      <c r="M409" s="26" t="str">
        <f>IF($A409="","",SUMIFS(tblIssues[Qty Issued],tblIssues[Lot Number],$B409))</f>
        <v/>
      </c>
      <c r="N409" s="26" t="str">
        <f t="shared" si="32"/>
        <v/>
      </c>
      <c r="O409" s="26" t="str">
        <f t="shared" si="33"/>
        <v/>
      </c>
      <c r="P409" s="21" t="str">
        <f t="shared" si="34"/>
        <v/>
      </c>
      <c r="Q409" s="52" t="str">
        <f>IF($A409="","",IF($O409&lt;=0,"Depleted",IF($I409&lt;0,"EXPIRED",IF($I409&lt;=Settings!$C$6,"CRITICAL",IF($I409&lt;=Settings!$C$5,"Expiring","In date")))))</f>
        <v/>
      </c>
    </row>
    <row r="410" spans="1:17" x14ac:dyDescent="0.35">
      <c r="A410" s="90" t="str">
        <f>IF(Receipts!$D413="","",Receipts!$D413)</f>
        <v/>
      </c>
      <c r="B410" s="18" t="str">
        <f>IF(Receipts!$C413="","",Receipts!$C413)</f>
        <v/>
      </c>
      <c r="C410" s="18" t="str">
        <f>IF($A410="","",IFERROR(INDEX(Items!$B$5:$B$597,MATCH($A410,Items!$A$5:$A$597,0)),""))</f>
        <v/>
      </c>
      <c r="D410" s="23" t="str">
        <f>IF($A410="","",N(Receipts!$G413))</f>
        <v/>
      </c>
      <c r="E410" s="20" t="str">
        <f>IF($A410="","",IFERROR(INDEX(Items!$D$5:$D$597,MATCH($A410,Items!$A$5:$A$597,0)),0))</f>
        <v/>
      </c>
      <c r="F410" s="21" t="str">
        <f t="shared" si="30"/>
        <v/>
      </c>
      <c r="G410" s="25" t="str">
        <f>IF(Receipts!$I413="","",Receipts!$I413)</f>
        <v/>
      </c>
      <c r="H410" s="25" t="str">
        <f>IF(Receipts!$H413="","",Receipts!$H413)</f>
        <v/>
      </c>
      <c r="I410" s="26" t="str">
        <f t="shared" ca="1" si="31"/>
        <v/>
      </c>
      <c r="J410" s="26" t="str">
        <f>IF($A410="","",COUNTIFS(tblReceipts[Item Name],$A410,tblReceipts[Expiry Date],"&lt;"&amp;$H410)+COUNTIFS(tblReceipts[Item Name],$A410,tblReceipts[Expiry Date],$H410,tblReceipts[Lot Number],"&lt;="&amp;Receipts!$C413))</f>
        <v/>
      </c>
      <c r="K410" s="26" t="str">
        <f>IF($A410="","",SUMIFS(tblReceipts[Qty Received],tblReceipts[Item Name],$A410,tblReceipts[Expiry Date],"&lt;"&amp;$H410)+SUMIFS(tblReceipts[Qty Received],tblReceipts[Item Name],$A410,tblReceipts[Expiry Date],$H410,tblReceipts[Lot Number],"&lt;"&amp;Receipts!$C413))</f>
        <v/>
      </c>
      <c r="L410" s="26" t="str">
        <f>IF($A410="","",MIN($D410,MAX(0,SUMIFS(tblIssues[Qty Issued],tblIssues[Item Name],$A410)-$K410)))</f>
        <v/>
      </c>
      <c r="M410" s="26" t="str">
        <f>IF($A410="","",SUMIFS(tblIssues[Qty Issued],tblIssues[Lot Number],$B410))</f>
        <v/>
      </c>
      <c r="N410" s="26" t="str">
        <f t="shared" si="32"/>
        <v/>
      </c>
      <c r="O410" s="26" t="str">
        <f t="shared" si="33"/>
        <v/>
      </c>
      <c r="P410" s="21" t="str">
        <f t="shared" si="34"/>
        <v/>
      </c>
      <c r="Q410" s="52" t="str">
        <f>IF($A410="","",IF($O410&lt;=0,"Depleted",IF($I410&lt;0,"EXPIRED",IF($I410&lt;=Settings!$C$6,"CRITICAL",IF($I410&lt;=Settings!$C$5,"Expiring","In date")))))</f>
        <v/>
      </c>
    </row>
    <row r="411" spans="1:17" x14ac:dyDescent="0.35">
      <c r="A411" s="90" t="str">
        <f>IF(Receipts!$D414="","",Receipts!$D414)</f>
        <v/>
      </c>
      <c r="B411" s="18" t="str">
        <f>IF(Receipts!$C414="","",Receipts!$C414)</f>
        <v/>
      </c>
      <c r="C411" s="18" t="str">
        <f>IF($A411="","",IFERROR(INDEX(Items!$B$5:$B$597,MATCH($A411,Items!$A$5:$A$597,0)),""))</f>
        <v/>
      </c>
      <c r="D411" s="23" t="str">
        <f>IF($A411="","",N(Receipts!$G414))</f>
        <v/>
      </c>
      <c r="E411" s="20" t="str">
        <f>IF($A411="","",IFERROR(INDEX(Items!$D$5:$D$597,MATCH($A411,Items!$A$5:$A$597,0)),0))</f>
        <v/>
      </c>
      <c r="F411" s="21" t="str">
        <f t="shared" si="30"/>
        <v/>
      </c>
      <c r="G411" s="25" t="str">
        <f>IF(Receipts!$I414="","",Receipts!$I414)</f>
        <v/>
      </c>
      <c r="H411" s="25" t="str">
        <f>IF(Receipts!$H414="","",Receipts!$H414)</f>
        <v/>
      </c>
      <c r="I411" s="26" t="str">
        <f t="shared" ca="1" si="31"/>
        <v/>
      </c>
      <c r="J411" s="26" t="str">
        <f>IF($A411="","",COUNTIFS(tblReceipts[Item Name],$A411,tblReceipts[Expiry Date],"&lt;"&amp;$H411)+COUNTIFS(tblReceipts[Item Name],$A411,tblReceipts[Expiry Date],$H411,tblReceipts[Lot Number],"&lt;="&amp;Receipts!$C414))</f>
        <v/>
      </c>
      <c r="K411" s="26" t="str">
        <f>IF($A411="","",SUMIFS(tblReceipts[Qty Received],tblReceipts[Item Name],$A411,tblReceipts[Expiry Date],"&lt;"&amp;$H411)+SUMIFS(tblReceipts[Qty Received],tblReceipts[Item Name],$A411,tblReceipts[Expiry Date],$H411,tblReceipts[Lot Number],"&lt;"&amp;Receipts!$C414))</f>
        <v/>
      </c>
      <c r="L411" s="26" t="str">
        <f>IF($A411="","",MIN($D411,MAX(0,SUMIFS(tblIssues[Qty Issued],tblIssues[Item Name],$A411)-$K411)))</f>
        <v/>
      </c>
      <c r="M411" s="26" t="str">
        <f>IF($A411="","",SUMIFS(tblIssues[Qty Issued],tblIssues[Lot Number],$B411))</f>
        <v/>
      </c>
      <c r="N411" s="26" t="str">
        <f t="shared" si="32"/>
        <v/>
      </c>
      <c r="O411" s="26" t="str">
        <f t="shared" si="33"/>
        <v/>
      </c>
      <c r="P411" s="21" t="str">
        <f t="shared" si="34"/>
        <v/>
      </c>
      <c r="Q411" s="52" t="str">
        <f>IF($A411="","",IF($O411&lt;=0,"Depleted",IF($I411&lt;0,"EXPIRED",IF($I411&lt;=Settings!$C$6,"CRITICAL",IF($I411&lt;=Settings!$C$5,"Expiring","In date")))))</f>
        <v/>
      </c>
    </row>
    <row r="412" spans="1:17" x14ac:dyDescent="0.35">
      <c r="A412" s="90" t="str">
        <f>IF(Receipts!$D415="","",Receipts!$D415)</f>
        <v/>
      </c>
      <c r="B412" s="18" t="str">
        <f>IF(Receipts!$C415="","",Receipts!$C415)</f>
        <v/>
      </c>
      <c r="C412" s="18" t="str">
        <f>IF($A412="","",IFERROR(INDEX(Items!$B$5:$B$597,MATCH($A412,Items!$A$5:$A$597,0)),""))</f>
        <v/>
      </c>
      <c r="D412" s="23" t="str">
        <f>IF($A412="","",N(Receipts!$G415))</f>
        <v/>
      </c>
      <c r="E412" s="20" t="str">
        <f>IF($A412="","",IFERROR(INDEX(Items!$D$5:$D$597,MATCH($A412,Items!$A$5:$A$597,0)),0))</f>
        <v/>
      </c>
      <c r="F412" s="21" t="str">
        <f t="shared" si="30"/>
        <v/>
      </c>
      <c r="G412" s="25" t="str">
        <f>IF(Receipts!$I415="","",Receipts!$I415)</f>
        <v/>
      </c>
      <c r="H412" s="25" t="str">
        <f>IF(Receipts!$H415="","",Receipts!$H415)</f>
        <v/>
      </c>
      <c r="I412" s="26" t="str">
        <f t="shared" ca="1" si="31"/>
        <v/>
      </c>
      <c r="J412" s="26" t="str">
        <f>IF($A412="","",COUNTIFS(tblReceipts[Item Name],$A412,tblReceipts[Expiry Date],"&lt;"&amp;$H412)+COUNTIFS(tblReceipts[Item Name],$A412,tblReceipts[Expiry Date],$H412,tblReceipts[Lot Number],"&lt;="&amp;Receipts!$C415))</f>
        <v/>
      </c>
      <c r="K412" s="26" t="str">
        <f>IF($A412="","",SUMIFS(tblReceipts[Qty Received],tblReceipts[Item Name],$A412,tblReceipts[Expiry Date],"&lt;"&amp;$H412)+SUMIFS(tblReceipts[Qty Received],tblReceipts[Item Name],$A412,tblReceipts[Expiry Date],$H412,tblReceipts[Lot Number],"&lt;"&amp;Receipts!$C415))</f>
        <v/>
      </c>
      <c r="L412" s="26" t="str">
        <f>IF($A412="","",MIN($D412,MAX(0,SUMIFS(tblIssues[Qty Issued],tblIssues[Item Name],$A412)-$K412)))</f>
        <v/>
      </c>
      <c r="M412" s="26" t="str">
        <f>IF($A412="","",SUMIFS(tblIssues[Qty Issued],tblIssues[Lot Number],$B412))</f>
        <v/>
      </c>
      <c r="N412" s="26" t="str">
        <f t="shared" si="32"/>
        <v/>
      </c>
      <c r="O412" s="26" t="str">
        <f t="shared" si="33"/>
        <v/>
      </c>
      <c r="P412" s="21" t="str">
        <f t="shared" si="34"/>
        <v/>
      </c>
      <c r="Q412" s="52" t="str">
        <f>IF($A412="","",IF($O412&lt;=0,"Depleted",IF($I412&lt;0,"EXPIRED",IF($I412&lt;=Settings!$C$6,"CRITICAL",IF($I412&lt;=Settings!$C$5,"Expiring","In date")))))</f>
        <v/>
      </c>
    </row>
    <row r="413" spans="1:17" x14ac:dyDescent="0.35">
      <c r="A413" s="90" t="str">
        <f>IF(Receipts!$D416="","",Receipts!$D416)</f>
        <v/>
      </c>
      <c r="B413" s="18" t="str">
        <f>IF(Receipts!$C416="","",Receipts!$C416)</f>
        <v/>
      </c>
      <c r="C413" s="18" t="str">
        <f>IF($A413="","",IFERROR(INDEX(Items!$B$5:$B$597,MATCH($A413,Items!$A$5:$A$597,0)),""))</f>
        <v/>
      </c>
      <c r="D413" s="23" t="str">
        <f>IF($A413="","",N(Receipts!$G416))</f>
        <v/>
      </c>
      <c r="E413" s="20" t="str">
        <f>IF($A413="","",IFERROR(INDEX(Items!$D$5:$D$597,MATCH($A413,Items!$A$5:$A$597,0)),0))</f>
        <v/>
      </c>
      <c r="F413" s="21" t="str">
        <f t="shared" si="30"/>
        <v/>
      </c>
      <c r="G413" s="25" t="str">
        <f>IF(Receipts!$I416="","",Receipts!$I416)</f>
        <v/>
      </c>
      <c r="H413" s="25" t="str">
        <f>IF(Receipts!$H416="","",Receipts!$H416)</f>
        <v/>
      </c>
      <c r="I413" s="26" t="str">
        <f t="shared" ca="1" si="31"/>
        <v/>
      </c>
      <c r="J413" s="26" t="str">
        <f>IF($A413="","",COUNTIFS(tblReceipts[Item Name],$A413,tblReceipts[Expiry Date],"&lt;"&amp;$H413)+COUNTIFS(tblReceipts[Item Name],$A413,tblReceipts[Expiry Date],$H413,tblReceipts[Lot Number],"&lt;="&amp;Receipts!$C416))</f>
        <v/>
      </c>
      <c r="K413" s="26" t="str">
        <f>IF($A413="","",SUMIFS(tblReceipts[Qty Received],tblReceipts[Item Name],$A413,tblReceipts[Expiry Date],"&lt;"&amp;$H413)+SUMIFS(tblReceipts[Qty Received],tblReceipts[Item Name],$A413,tblReceipts[Expiry Date],$H413,tblReceipts[Lot Number],"&lt;"&amp;Receipts!$C416))</f>
        <v/>
      </c>
      <c r="L413" s="26" t="str">
        <f>IF($A413="","",MIN($D413,MAX(0,SUMIFS(tblIssues[Qty Issued],tblIssues[Item Name],$A413)-$K413)))</f>
        <v/>
      </c>
      <c r="M413" s="26" t="str">
        <f>IF($A413="","",SUMIFS(tblIssues[Qty Issued],tblIssues[Lot Number],$B413))</f>
        <v/>
      </c>
      <c r="N413" s="26" t="str">
        <f t="shared" si="32"/>
        <v/>
      </c>
      <c r="O413" s="26" t="str">
        <f t="shared" si="33"/>
        <v/>
      </c>
      <c r="P413" s="21" t="str">
        <f t="shared" si="34"/>
        <v/>
      </c>
      <c r="Q413" s="52" t="str">
        <f>IF($A413="","",IF($O413&lt;=0,"Depleted",IF($I413&lt;0,"EXPIRED",IF($I413&lt;=Settings!$C$6,"CRITICAL",IF($I413&lt;=Settings!$C$5,"Expiring","In date")))))</f>
        <v/>
      </c>
    </row>
    <row r="414" spans="1:17" x14ac:dyDescent="0.35">
      <c r="A414" s="90" t="str">
        <f>IF(Receipts!$D417="","",Receipts!$D417)</f>
        <v/>
      </c>
      <c r="B414" s="18" t="str">
        <f>IF(Receipts!$C417="","",Receipts!$C417)</f>
        <v/>
      </c>
      <c r="C414" s="18" t="str">
        <f>IF($A414="","",IFERROR(INDEX(Items!$B$5:$B$597,MATCH($A414,Items!$A$5:$A$597,0)),""))</f>
        <v/>
      </c>
      <c r="D414" s="23" t="str">
        <f>IF($A414="","",N(Receipts!$G417))</f>
        <v/>
      </c>
      <c r="E414" s="20" t="str">
        <f>IF($A414="","",IFERROR(INDEX(Items!$D$5:$D$597,MATCH($A414,Items!$A$5:$A$597,0)),0))</f>
        <v/>
      </c>
      <c r="F414" s="21" t="str">
        <f t="shared" si="30"/>
        <v/>
      </c>
      <c r="G414" s="25" t="str">
        <f>IF(Receipts!$I417="","",Receipts!$I417)</f>
        <v/>
      </c>
      <c r="H414" s="25" t="str">
        <f>IF(Receipts!$H417="","",Receipts!$H417)</f>
        <v/>
      </c>
      <c r="I414" s="26" t="str">
        <f t="shared" ca="1" si="31"/>
        <v/>
      </c>
      <c r="J414" s="26" t="str">
        <f>IF($A414="","",COUNTIFS(tblReceipts[Item Name],$A414,tblReceipts[Expiry Date],"&lt;"&amp;$H414)+COUNTIFS(tblReceipts[Item Name],$A414,tblReceipts[Expiry Date],$H414,tblReceipts[Lot Number],"&lt;="&amp;Receipts!$C417))</f>
        <v/>
      </c>
      <c r="K414" s="26" t="str">
        <f>IF($A414="","",SUMIFS(tblReceipts[Qty Received],tblReceipts[Item Name],$A414,tblReceipts[Expiry Date],"&lt;"&amp;$H414)+SUMIFS(tblReceipts[Qty Received],tblReceipts[Item Name],$A414,tblReceipts[Expiry Date],$H414,tblReceipts[Lot Number],"&lt;"&amp;Receipts!$C417))</f>
        <v/>
      </c>
      <c r="L414" s="26" t="str">
        <f>IF($A414="","",MIN($D414,MAX(0,SUMIFS(tblIssues[Qty Issued],tblIssues[Item Name],$A414)-$K414)))</f>
        <v/>
      </c>
      <c r="M414" s="26" t="str">
        <f>IF($A414="","",SUMIFS(tblIssues[Qty Issued],tblIssues[Lot Number],$B414))</f>
        <v/>
      </c>
      <c r="N414" s="26" t="str">
        <f t="shared" si="32"/>
        <v/>
      </c>
      <c r="O414" s="26" t="str">
        <f t="shared" si="33"/>
        <v/>
      </c>
      <c r="P414" s="21" t="str">
        <f t="shared" si="34"/>
        <v/>
      </c>
      <c r="Q414" s="52" t="str">
        <f>IF($A414="","",IF($O414&lt;=0,"Depleted",IF($I414&lt;0,"EXPIRED",IF($I414&lt;=Settings!$C$6,"CRITICAL",IF($I414&lt;=Settings!$C$5,"Expiring","In date")))))</f>
        <v/>
      </c>
    </row>
    <row r="415" spans="1:17" x14ac:dyDescent="0.35">
      <c r="A415" s="90" t="str">
        <f>IF(Receipts!$D418="","",Receipts!$D418)</f>
        <v/>
      </c>
      <c r="B415" s="18" t="str">
        <f>IF(Receipts!$C418="","",Receipts!$C418)</f>
        <v/>
      </c>
      <c r="C415" s="18" t="str">
        <f>IF($A415="","",IFERROR(INDEX(Items!$B$5:$B$597,MATCH($A415,Items!$A$5:$A$597,0)),""))</f>
        <v/>
      </c>
      <c r="D415" s="23" t="str">
        <f>IF($A415="","",N(Receipts!$G418))</f>
        <v/>
      </c>
      <c r="E415" s="20" t="str">
        <f>IF($A415="","",IFERROR(INDEX(Items!$D$5:$D$597,MATCH($A415,Items!$A$5:$A$597,0)),0))</f>
        <v/>
      </c>
      <c r="F415" s="21" t="str">
        <f t="shared" si="30"/>
        <v/>
      </c>
      <c r="G415" s="25" t="str">
        <f>IF(Receipts!$I418="","",Receipts!$I418)</f>
        <v/>
      </c>
      <c r="H415" s="25" t="str">
        <f>IF(Receipts!$H418="","",Receipts!$H418)</f>
        <v/>
      </c>
      <c r="I415" s="26" t="str">
        <f t="shared" ca="1" si="31"/>
        <v/>
      </c>
      <c r="J415" s="26" t="str">
        <f>IF($A415="","",COUNTIFS(tblReceipts[Item Name],$A415,tblReceipts[Expiry Date],"&lt;"&amp;$H415)+COUNTIFS(tblReceipts[Item Name],$A415,tblReceipts[Expiry Date],$H415,tblReceipts[Lot Number],"&lt;="&amp;Receipts!$C418))</f>
        <v/>
      </c>
      <c r="K415" s="26" t="str">
        <f>IF($A415="","",SUMIFS(tblReceipts[Qty Received],tblReceipts[Item Name],$A415,tblReceipts[Expiry Date],"&lt;"&amp;$H415)+SUMIFS(tblReceipts[Qty Received],tblReceipts[Item Name],$A415,tblReceipts[Expiry Date],$H415,tblReceipts[Lot Number],"&lt;"&amp;Receipts!$C418))</f>
        <v/>
      </c>
      <c r="L415" s="26" t="str">
        <f>IF($A415="","",MIN($D415,MAX(0,SUMIFS(tblIssues[Qty Issued],tblIssues[Item Name],$A415)-$K415)))</f>
        <v/>
      </c>
      <c r="M415" s="26" t="str">
        <f>IF($A415="","",SUMIFS(tblIssues[Qty Issued],tblIssues[Lot Number],$B415))</f>
        <v/>
      </c>
      <c r="N415" s="26" t="str">
        <f t="shared" si="32"/>
        <v/>
      </c>
      <c r="O415" s="26" t="str">
        <f t="shared" si="33"/>
        <v/>
      </c>
      <c r="P415" s="21" t="str">
        <f t="shared" si="34"/>
        <v/>
      </c>
      <c r="Q415" s="52" t="str">
        <f>IF($A415="","",IF($O415&lt;=0,"Depleted",IF($I415&lt;0,"EXPIRED",IF($I415&lt;=Settings!$C$6,"CRITICAL",IF($I415&lt;=Settings!$C$5,"Expiring","In date")))))</f>
        <v/>
      </c>
    </row>
    <row r="416" spans="1:17" x14ac:dyDescent="0.35">
      <c r="A416" s="90" t="str">
        <f>IF(Receipts!$D419="","",Receipts!$D419)</f>
        <v/>
      </c>
      <c r="B416" s="18" t="str">
        <f>IF(Receipts!$C419="","",Receipts!$C419)</f>
        <v/>
      </c>
      <c r="C416" s="18" t="str">
        <f>IF($A416="","",IFERROR(INDEX(Items!$B$5:$B$597,MATCH($A416,Items!$A$5:$A$597,0)),""))</f>
        <v/>
      </c>
      <c r="D416" s="23" t="str">
        <f>IF($A416="","",N(Receipts!$G419))</f>
        <v/>
      </c>
      <c r="E416" s="20" t="str">
        <f>IF($A416="","",IFERROR(INDEX(Items!$D$5:$D$597,MATCH($A416,Items!$A$5:$A$597,0)),0))</f>
        <v/>
      </c>
      <c r="F416" s="21" t="str">
        <f t="shared" si="30"/>
        <v/>
      </c>
      <c r="G416" s="25" t="str">
        <f>IF(Receipts!$I419="","",Receipts!$I419)</f>
        <v/>
      </c>
      <c r="H416" s="25" t="str">
        <f>IF(Receipts!$H419="","",Receipts!$H419)</f>
        <v/>
      </c>
      <c r="I416" s="26" t="str">
        <f t="shared" ca="1" si="31"/>
        <v/>
      </c>
      <c r="J416" s="26" t="str">
        <f>IF($A416="","",COUNTIFS(tblReceipts[Item Name],$A416,tblReceipts[Expiry Date],"&lt;"&amp;$H416)+COUNTIFS(tblReceipts[Item Name],$A416,tblReceipts[Expiry Date],$H416,tblReceipts[Lot Number],"&lt;="&amp;Receipts!$C419))</f>
        <v/>
      </c>
      <c r="K416" s="26" t="str">
        <f>IF($A416="","",SUMIFS(tblReceipts[Qty Received],tblReceipts[Item Name],$A416,tblReceipts[Expiry Date],"&lt;"&amp;$H416)+SUMIFS(tblReceipts[Qty Received],tblReceipts[Item Name],$A416,tblReceipts[Expiry Date],$H416,tblReceipts[Lot Number],"&lt;"&amp;Receipts!$C419))</f>
        <v/>
      </c>
      <c r="L416" s="26" t="str">
        <f>IF($A416="","",MIN($D416,MAX(0,SUMIFS(tblIssues[Qty Issued],tblIssues[Item Name],$A416)-$K416)))</f>
        <v/>
      </c>
      <c r="M416" s="26" t="str">
        <f>IF($A416="","",SUMIFS(tblIssues[Qty Issued],tblIssues[Lot Number],$B416))</f>
        <v/>
      </c>
      <c r="N416" s="26" t="str">
        <f t="shared" si="32"/>
        <v/>
      </c>
      <c r="O416" s="26" t="str">
        <f t="shared" si="33"/>
        <v/>
      </c>
      <c r="P416" s="21" t="str">
        <f t="shared" si="34"/>
        <v/>
      </c>
      <c r="Q416" s="52" t="str">
        <f>IF($A416="","",IF($O416&lt;=0,"Depleted",IF($I416&lt;0,"EXPIRED",IF($I416&lt;=Settings!$C$6,"CRITICAL",IF($I416&lt;=Settings!$C$5,"Expiring","In date")))))</f>
        <v/>
      </c>
    </row>
    <row r="417" spans="1:17" x14ac:dyDescent="0.35">
      <c r="A417" s="90" t="str">
        <f>IF(Receipts!$D420="","",Receipts!$D420)</f>
        <v/>
      </c>
      <c r="B417" s="18" t="str">
        <f>IF(Receipts!$C420="","",Receipts!$C420)</f>
        <v/>
      </c>
      <c r="C417" s="18" t="str">
        <f>IF($A417="","",IFERROR(INDEX(Items!$B$5:$B$597,MATCH($A417,Items!$A$5:$A$597,0)),""))</f>
        <v/>
      </c>
      <c r="D417" s="23" t="str">
        <f>IF($A417="","",N(Receipts!$G420))</f>
        <v/>
      </c>
      <c r="E417" s="20" t="str">
        <f>IF($A417="","",IFERROR(INDEX(Items!$D$5:$D$597,MATCH($A417,Items!$A$5:$A$597,0)),0))</f>
        <v/>
      </c>
      <c r="F417" s="21" t="str">
        <f t="shared" si="30"/>
        <v/>
      </c>
      <c r="G417" s="25" t="str">
        <f>IF(Receipts!$I420="","",Receipts!$I420)</f>
        <v/>
      </c>
      <c r="H417" s="25" t="str">
        <f>IF(Receipts!$H420="","",Receipts!$H420)</f>
        <v/>
      </c>
      <c r="I417" s="26" t="str">
        <f t="shared" ca="1" si="31"/>
        <v/>
      </c>
      <c r="J417" s="26" t="str">
        <f>IF($A417="","",COUNTIFS(tblReceipts[Item Name],$A417,tblReceipts[Expiry Date],"&lt;"&amp;$H417)+COUNTIFS(tblReceipts[Item Name],$A417,tblReceipts[Expiry Date],$H417,tblReceipts[Lot Number],"&lt;="&amp;Receipts!$C420))</f>
        <v/>
      </c>
      <c r="K417" s="26" t="str">
        <f>IF($A417="","",SUMIFS(tblReceipts[Qty Received],tblReceipts[Item Name],$A417,tblReceipts[Expiry Date],"&lt;"&amp;$H417)+SUMIFS(tblReceipts[Qty Received],tblReceipts[Item Name],$A417,tblReceipts[Expiry Date],$H417,tblReceipts[Lot Number],"&lt;"&amp;Receipts!$C420))</f>
        <v/>
      </c>
      <c r="L417" s="26" t="str">
        <f>IF($A417="","",MIN($D417,MAX(0,SUMIFS(tblIssues[Qty Issued],tblIssues[Item Name],$A417)-$K417)))</f>
        <v/>
      </c>
      <c r="M417" s="26" t="str">
        <f>IF($A417="","",SUMIFS(tblIssues[Qty Issued],tblIssues[Lot Number],$B417))</f>
        <v/>
      </c>
      <c r="N417" s="26" t="str">
        <f t="shared" si="32"/>
        <v/>
      </c>
      <c r="O417" s="26" t="str">
        <f t="shared" si="33"/>
        <v/>
      </c>
      <c r="P417" s="21" t="str">
        <f t="shared" si="34"/>
        <v/>
      </c>
      <c r="Q417" s="52" t="str">
        <f>IF($A417="","",IF($O417&lt;=0,"Depleted",IF($I417&lt;0,"EXPIRED",IF($I417&lt;=Settings!$C$6,"CRITICAL",IF($I417&lt;=Settings!$C$5,"Expiring","In date")))))</f>
        <v/>
      </c>
    </row>
    <row r="418" spans="1:17" x14ac:dyDescent="0.35">
      <c r="A418" s="90" t="str">
        <f>IF(Receipts!$D421="","",Receipts!$D421)</f>
        <v/>
      </c>
      <c r="B418" s="18" t="str">
        <f>IF(Receipts!$C421="","",Receipts!$C421)</f>
        <v/>
      </c>
      <c r="C418" s="18" t="str">
        <f>IF($A418="","",IFERROR(INDEX(Items!$B$5:$B$597,MATCH($A418,Items!$A$5:$A$597,0)),""))</f>
        <v/>
      </c>
      <c r="D418" s="23" t="str">
        <f>IF($A418="","",N(Receipts!$G421))</f>
        <v/>
      </c>
      <c r="E418" s="20" t="str">
        <f>IF($A418="","",IFERROR(INDEX(Items!$D$5:$D$597,MATCH($A418,Items!$A$5:$A$597,0)),0))</f>
        <v/>
      </c>
      <c r="F418" s="21" t="str">
        <f t="shared" si="30"/>
        <v/>
      </c>
      <c r="G418" s="25" t="str">
        <f>IF(Receipts!$I421="","",Receipts!$I421)</f>
        <v/>
      </c>
      <c r="H418" s="25" t="str">
        <f>IF(Receipts!$H421="","",Receipts!$H421)</f>
        <v/>
      </c>
      <c r="I418" s="26" t="str">
        <f t="shared" ca="1" si="31"/>
        <v/>
      </c>
      <c r="J418" s="26" t="str">
        <f>IF($A418="","",COUNTIFS(tblReceipts[Item Name],$A418,tblReceipts[Expiry Date],"&lt;"&amp;$H418)+COUNTIFS(tblReceipts[Item Name],$A418,tblReceipts[Expiry Date],$H418,tblReceipts[Lot Number],"&lt;="&amp;Receipts!$C421))</f>
        <v/>
      </c>
      <c r="K418" s="26" t="str">
        <f>IF($A418="","",SUMIFS(tblReceipts[Qty Received],tblReceipts[Item Name],$A418,tblReceipts[Expiry Date],"&lt;"&amp;$H418)+SUMIFS(tblReceipts[Qty Received],tblReceipts[Item Name],$A418,tblReceipts[Expiry Date],$H418,tblReceipts[Lot Number],"&lt;"&amp;Receipts!$C421))</f>
        <v/>
      </c>
      <c r="L418" s="26" t="str">
        <f>IF($A418="","",MIN($D418,MAX(0,SUMIFS(tblIssues[Qty Issued],tblIssues[Item Name],$A418)-$K418)))</f>
        <v/>
      </c>
      <c r="M418" s="26" t="str">
        <f>IF($A418="","",SUMIFS(tblIssues[Qty Issued],tblIssues[Lot Number],$B418))</f>
        <v/>
      </c>
      <c r="N418" s="26" t="str">
        <f t="shared" si="32"/>
        <v/>
      </c>
      <c r="O418" s="26" t="str">
        <f t="shared" si="33"/>
        <v/>
      </c>
      <c r="P418" s="21" t="str">
        <f t="shared" si="34"/>
        <v/>
      </c>
      <c r="Q418" s="52" t="str">
        <f>IF($A418="","",IF($O418&lt;=0,"Depleted",IF($I418&lt;0,"EXPIRED",IF($I418&lt;=Settings!$C$6,"CRITICAL",IF($I418&lt;=Settings!$C$5,"Expiring","In date")))))</f>
        <v/>
      </c>
    </row>
    <row r="419" spans="1:17" x14ac:dyDescent="0.35">
      <c r="A419" s="90" t="str">
        <f>IF(Receipts!$D422="","",Receipts!$D422)</f>
        <v/>
      </c>
      <c r="B419" s="18" t="str">
        <f>IF(Receipts!$C422="","",Receipts!$C422)</f>
        <v/>
      </c>
      <c r="C419" s="18" t="str">
        <f>IF($A419="","",IFERROR(INDEX(Items!$B$5:$B$597,MATCH($A419,Items!$A$5:$A$597,0)),""))</f>
        <v/>
      </c>
      <c r="D419" s="23" t="str">
        <f>IF($A419="","",N(Receipts!$G422))</f>
        <v/>
      </c>
      <c r="E419" s="20" t="str">
        <f>IF($A419="","",IFERROR(INDEX(Items!$D$5:$D$597,MATCH($A419,Items!$A$5:$A$597,0)),0))</f>
        <v/>
      </c>
      <c r="F419" s="21" t="str">
        <f t="shared" si="30"/>
        <v/>
      </c>
      <c r="G419" s="25" t="str">
        <f>IF(Receipts!$I422="","",Receipts!$I422)</f>
        <v/>
      </c>
      <c r="H419" s="25" t="str">
        <f>IF(Receipts!$H422="","",Receipts!$H422)</f>
        <v/>
      </c>
      <c r="I419" s="26" t="str">
        <f t="shared" ca="1" si="31"/>
        <v/>
      </c>
      <c r="J419" s="26" t="str">
        <f>IF($A419="","",COUNTIFS(tblReceipts[Item Name],$A419,tblReceipts[Expiry Date],"&lt;"&amp;$H419)+COUNTIFS(tblReceipts[Item Name],$A419,tblReceipts[Expiry Date],$H419,tblReceipts[Lot Number],"&lt;="&amp;Receipts!$C422))</f>
        <v/>
      </c>
      <c r="K419" s="26" t="str">
        <f>IF($A419="","",SUMIFS(tblReceipts[Qty Received],tblReceipts[Item Name],$A419,tblReceipts[Expiry Date],"&lt;"&amp;$H419)+SUMIFS(tblReceipts[Qty Received],tblReceipts[Item Name],$A419,tblReceipts[Expiry Date],$H419,tblReceipts[Lot Number],"&lt;"&amp;Receipts!$C422))</f>
        <v/>
      </c>
      <c r="L419" s="26" t="str">
        <f>IF($A419="","",MIN($D419,MAX(0,SUMIFS(tblIssues[Qty Issued],tblIssues[Item Name],$A419)-$K419)))</f>
        <v/>
      </c>
      <c r="M419" s="26" t="str">
        <f>IF($A419="","",SUMIFS(tblIssues[Qty Issued],tblIssues[Lot Number],$B419))</f>
        <v/>
      </c>
      <c r="N419" s="26" t="str">
        <f t="shared" si="32"/>
        <v/>
      </c>
      <c r="O419" s="26" t="str">
        <f t="shared" si="33"/>
        <v/>
      </c>
      <c r="P419" s="21" t="str">
        <f t="shared" si="34"/>
        <v/>
      </c>
      <c r="Q419" s="52" t="str">
        <f>IF($A419="","",IF($O419&lt;=0,"Depleted",IF($I419&lt;0,"EXPIRED",IF($I419&lt;=Settings!$C$6,"CRITICAL",IF($I419&lt;=Settings!$C$5,"Expiring","In date")))))</f>
        <v/>
      </c>
    </row>
    <row r="420" spans="1:17" x14ac:dyDescent="0.35">
      <c r="A420" s="90" t="str">
        <f>IF(Receipts!$D423="","",Receipts!$D423)</f>
        <v/>
      </c>
      <c r="B420" s="18" t="str">
        <f>IF(Receipts!$C423="","",Receipts!$C423)</f>
        <v/>
      </c>
      <c r="C420" s="18" t="str">
        <f>IF($A420="","",IFERROR(INDEX(Items!$B$5:$B$597,MATCH($A420,Items!$A$5:$A$597,0)),""))</f>
        <v/>
      </c>
      <c r="D420" s="23" t="str">
        <f>IF($A420="","",N(Receipts!$G423))</f>
        <v/>
      </c>
      <c r="E420" s="20" t="str">
        <f>IF($A420="","",IFERROR(INDEX(Items!$D$5:$D$597,MATCH($A420,Items!$A$5:$A$597,0)),0))</f>
        <v/>
      </c>
      <c r="F420" s="21" t="str">
        <f t="shared" si="30"/>
        <v/>
      </c>
      <c r="G420" s="25" t="str">
        <f>IF(Receipts!$I423="","",Receipts!$I423)</f>
        <v/>
      </c>
      <c r="H420" s="25" t="str">
        <f>IF(Receipts!$H423="","",Receipts!$H423)</f>
        <v/>
      </c>
      <c r="I420" s="26" t="str">
        <f t="shared" ca="1" si="31"/>
        <v/>
      </c>
      <c r="J420" s="26" t="str">
        <f>IF($A420="","",COUNTIFS(tblReceipts[Item Name],$A420,tblReceipts[Expiry Date],"&lt;"&amp;$H420)+COUNTIFS(tblReceipts[Item Name],$A420,tblReceipts[Expiry Date],$H420,tblReceipts[Lot Number],"&lt;="&amp;Receipts!$C423))</f>
        <v/>
      </c>
      <c r="K420" s="26" t="str">
        <f>IF($A420="","",SUMIFS(tblReceipts[Qty Received],tblReceipts[Item Name],$A420,tblReceipts[Expiry Date],"&lt;"&amp;$H420)+SUMIFS(tblReceipts[Qty Received],tblReceipts[Item Name],$A420,tblReceipts[Expiry Date],$H420,tblReceipts[Lot Number],"&lt;"&amp;Receipts!$C423))</f>
        <v/>
      </c>
      <c r="L420" s="26" t="str">
        <f>IF($A420="","",MIN($D420,MAX(0,SUMIFS(tblIssues[Qty Issued],tblIssues[Item Name],$A420)-$K420)))</f>
        <v/>
      </c>
      <c r="M420" s="26" t="str">
        <f>IF($A420="","",SUMIFS(tblIssues[Qty Issued],tblIssues[Lot Number],$B420))</f>
        <v/>
      </c>
      <c r="N420" s="26" t="str">
        <f t="shared" si="32"/>
        <v/>
      </c>
      <c r="O420" s="26" t="str">
        <f t="shared" si="33"/>
        <v/>
      </c>
      <c r="P420" s="21" t="str">
        <f t="shared" si="34"/>
        <v/>
      </c>
      <c r="Q420" s="52" t="str">
        <f>IF($A420="","",IF($O420&lt;=0,"Depleted",IF($I420&lt;0,"EXPIRED",IF($I420&lt;=Settings!$C$6,"CRITICAL",IF($I420&lt;=Settings!$C$5,"Expiring","In date")))))</f>
        <v/>
      </c>
    </row>
    <row r="421" spans="1:17" x14ac:dyDescent="0.35">
      <c r="A421" s="90" t="str">
        <f>IF(Receipts!$D424="","",Receipts!$D424)</f>
        <v/>
      </c>
      <c r="B421" s="18" t="str">
        <f>IF(Receipts!$C424="","",Receipts!$C424)</f>
        <v/>
      </c>
      <c r="C421" s="18" t="str">
        <f>IF($A421="","",IFERROR(INDEX(Items!$B$5:$B$597,MATCH($A421,Items!$A$5:$A$597,0)),""))</f>
        <v/>
      </c>
      <c r="D421" s="23" t="str">
        <f>IF($A421="","",N(Receipts!$G424))</f>
        <v/>
      </c>
      <c r="E421" s="20" t="str">
        <f>IF($A421="","",IFERROR(INDEX(Items!$D$5:$D$597,MATCH($A421,Items!$A$5:$A$597,0)),0))</f>
        <v/>
      </c>
      <c r="F421" s="21" t="str">
        <f t="shared" si="30"/>
        <v/>
      </c>
      <c r="G421" s="25" t="str">
        <f>IF(Receipts!$I424="","",Receipts!$I424)</f>
        <v/>
      </c>
      <c r="H421" s="25" t="str">
        <f>IF(Receipts!$H424="","",Receipts!$H424)</f>
        <v/>
      </c>
      <c r="I421" s="26" t="str">
        <f t="shared" ca="1" si="31"/>
        <v/>
      </c>
      <c r="J421" s="26" t="str">
        <f>IF($A421="","",COUNTIFS(tblReceipts[Item Name],$A421,tblReceipts[Expiry Date],"&lt;"&amp;$H421)+COUNTIFS(tblReceipts[Item Name],$A421,tblReceipts[Expiry Date],$H421,tblReceipts[Lot Number],"&lt;="&amp;Receipts!$C424))</f>
        <v/>
      </c>
      <c r="K421" s="26" t="str">
        <f>IF($A421="","",SUMIFS(tblReceipts[Qty Received],tblReceipts[Item Name],$A421,tblReceipts[Expiry Date],"&lt;"&amp;$H421)+SUMIFS(tblReceipts[Qty Received],tblReceipts[Item Name],$A421,tblReceipts[Expiry Date],$H421,tblReceipts[Lot Number],"&lt;"&amp;Receipts!$C424))</f>
        <v/>
      </c>
      <c r="L421" s="26" t="str">
        <f>IF($A421="","",MIN($D421,MAX(0,SUMIFS(tblIssues[Qty Issued],tblIssues[Item Name],$A421)-$K421)))</f>
        <v/>
      </c>
      <c r="M421" s="26" t="str">
        <f>IF($A421="","",SUMIFS(tblIssues[Qty Issued],tblIssues[Lot Number],$B421))</f>
        <v/>
      </c>
      <c r="N421" s="26" t="str">
        <f t="shared" si="32"/>
        <v/>
      </c>
      <c r="O421" s="26" t="str">
        <f t="shared" si="33"/>
        <v/>
      </c>
      <c r="P421" s="21" t="str">
        <f t="shared" si="34"/>
        <v/>
      </c>
      <c r="Q421" s="52" t="str">
        <f>IF($A421="","",IF($O421&lt;=0,"Depleted",IF($I421&lt;0,"EXPIRED",IF($I421&lt;=Settings!$C$6,"CRITICAL",IF($I421&lt;=Settings!$C$5,"Expiring","In date")))))</f>
        <v/>
      </c>
    </row>
    <row r="422" spans="1:17" x14ac:dyDescent="0.35">
      <c r="A422" s="90" t="str">
        <f>IF(Receipts!$D425="","",Receipts!$D425)</f>
        <v/>
      </c>
      <c r="B422" s="18" t="str">
        <f>IF(Receipts!$C425="","",Receipts!$C425)</f>
        <v/>
      </c>
      <c r="C422" s="18" t="str">
        <f>IF($A422="","",IFERROR(INDEX(Items!$B$5:$B$597,MATCH($A422,Items!$A$5:$A$597,0)),""))</f>
        <v/>
      </c>
      <c r="D422" s="23" t="str">
        <f>IF($A422="","",N(Receipts!$G425))</f>
        <v/>
      </c>
      <c r="E422" s="20" t="str">
        <f>IF($A422="","",IFERROR(INDEX(Items!$D$5:$D$597,MATCH($A422,Items!$A$5:$A$597,0)),0))</f>
        <v/>
      </c>
      <c r="F422" s="21" t="str">
        <f t="shared" si="30"/>
        <v/>
      </c>
      <c r="G422" s="25" t="str">
        <f>IF(Receipts!$I425="","",Receipts!$I425)</f>
        <v/>
      </c>
      <c r="H422" s="25" t="str">
        <f>IF(Receipts!$H425="","",Receipts!$H425)</f>
        <v/>
      </c>
      <c r="I422" s="26" t="str">
        <f t="shared" ca="1" si="31"/>
        <v/>
      </c>
      <c r="J422" s="26" t="str">
        <f>IF($A422="","",COUNTIFS(tblReceipts[Item Name],$A422,tblReceipts[Expiry Date],"&lt;"&amp;$H422)+COUNTIFS(tblReceipts[Item Name],$A422,tblReceipts[Expiry Date],$H422,tblReceipts[Lot Number],"&lt;="&amp;Receipts!$C425))</f>
        <v/>
      </c>
      <c r="K422" s="26" t="str">
        <f>IF($A422="","",SUMIFS(tblReceipts[Qty Received],tblReceipts[Item Name],$A422,tblReceipts[Expiry Date],"&lt;"&amp;$H422)+SUMIFS(tblReceipts[Qty Received],tblReceipts[Item Name],$A422,tblReceipts[Expiry Date],$H422,tblReceipts[Lot Number],"&lt;"&amp;Receipts!$C425))</f>
        <v/>
      </c>
      <c r="L422" s="26" t="str">
        <f>IF($A422="","",MIN($D422,MAX(0,SUMIFS(tblIssues[Qty Issued],tblIssues[Item Name],$A422)-$K422)))</f>
        <v/>
      </c>
      <c r="M422" s="26" t="str">
        <f>IF($A422="","",SUMIFS(tblIssues[Qty Issued],tblIssues[Lot Number],$B422))</f>
        <v/>
      </c>
      <c r="N422" s="26" t="str">
        <f t="shared" si="32"/>
        <v/>
      </c>
      <c r="O422" s="26" t="str">
        <f t="shared" si="33"/>
        <v/>
      </c>
      <c r="P422" s="21" t="str">
        <f t="shared" si="34"/>
        <v/>
      </c>
      <c r="Q422" s="52" t="str">
        <f>IF($A422="","",IF($O422&lt;=0,"Depleted",IF($I422&lt;0,"EXPIRED",IF($I422&lt;=Settings!$C$6,"CRITICAL",IF($I422&lt;=Settings!$C$5,"Expiring","In date")))))</f>
        <v/>
      </c>
    </row>
    <row r="423" spans="1:17" x14ac:dyDescent="0.35">
      <c r="A423" s="90" t="str">
        <f>IF(Receipts!$D426="","",Receipts!$D426)</f>
        <v/>
      </c>
      <c r="B423" s="18" t="str">
        <f>IF(Receipts!$C426="","",Receipts!$C426)</f>
        <v/>
      </c>
      <c r="C423" s="18" t="str">
        <f>IF($A423="","",IFERROR(INDEX(Items!$B$5:$B$597,MATCH($A423,Items!$A$5:$A$597,0)),""))</f>
        <v/>
      </c>
      <c r="D423" s="23" t="str">
        <f>IF($A423="","",N(Receipts!$G426))</f>
        <v/>
      </c>
      <c r="E423" s="20" t="str">
        <f>IF($A423="","",IFERROR(INDEX(Items!$D$5:$D$597,MATCH($A423,Items!$A$5:$A$597,0)),0))</f>
        <v/>
      </c>
      <c r="F423" s="21" t="str">
        <f t="shared" si="30"/>
        <v/>
      </c>
      <c r="G423" s="25" t="str">
        <f>IF(Receipts!$I426="","",Receipts!$I426)</f>
        <v/>
      </c>
      <c r="H423" s="25" t="str">
        <f>IF(Receipts!$H426="","",Receipts!$H426)</f>
        <v/>
      </c>
      <c r="I423" s="26" t="str">
        <f t="shared" ca="1" si="31"/>
        <v/>
      </c>
      <c r="J423" s="26" t="str">
        <f>IF($A423="","",COUNTIFS(tblReceipts[Item Name],$A423,tblReceipts[Expiry Date],"&lt;"&amp;$H423)+COUNTIFS(tblReceipts[Item Name],$A423,tblReceipts[Expiry Date],$H423,tblReceipts[Lot Number],"&lt;="&amp;Receipts!$C426))</f>
        <v/>
      </c>
      <c r="K423" s="26" t="str">
        <f>IF($A423="","",SUMIFS(tblReceipts[Qty Received],tblReceipts[Item Name],$A423,tblReceipts[Expiry Date],"&lt;"&amp;$H423)+SUMIFS(tblReceipts[Qty Received],tblReceipts[Item Name],$A423,tblReceipts[Expiry Date],$H423,tblReceipts[Lot Number],"&lt;"&amp;Receipts!$C426))</f>
        <v/>
      </c>
      <c r="L423" s="26" t="str">
        <f>IF($A423="","",MIN($D423,MAX(0,SUMIFS(tblIssues[Qty Issued],tblIssues[Item Name],$A423)-$K423)))</f>
        <v/>
      </c>
      <c r="M423" s="26" t="str">
        <f>IF($A423="","",SUMIFS(tblIssues[Qty Issued],tblIssues[Lot Number],$B423))</f>
        <v/>
      </c>
      <c r="N423" s="26" t="str">
        <f t="shared" si="32"/>
        <v/>
      </c>
      <c r="O423" s="26" t="str">
        <f t="shared" si="33"/>
        <v/>
      </c>
      <c r="P423" s="21" t="str">
        <f t="shared" si="34"/>
        <v/>
      </c>
      <c r="Q423" s="52" t="str">
        <f>IF($A423="","",IF($O423&lt;=0,"Depleted",IF($I423&lt;0,"EXPIRED",IF($I423&lt;=Settings!$C$6,"CRITICAL",IF($I423&lt;=Settings!$C$5,"Expiring","In date")))))</f>
        <v/>
      </c>
    </row>
    <row r="424" spans="1:17" x14ac:dyDescent="0.35">
      <c r="A424" s="90" t="str">
        <f>IF(Receipts!$D427="","",Receipts!$D427)</f>
        <v/>
      </c>
      <c r="B424" s="18" t="str">
        <f>IF(Receipts!$C427="","",Receipts!$C427)</f>
        <v/>
      </c>
      <c r="C424" s="18" t="str">
        <f>IF($A424="","",IFERROR(INDEX(Items!$B$5:$B$597,MATCH($A424,Items!$A$5:$A$597,0)),""))</f>
        <v/>
      </c>
      <c r="D424" s="23" t="str">
        <f>IF($A424="","",N(Receipts!$G427))</f>
        <v/>
      </c>
      <c r="E424" s="20" t="str">
        <f>IF($A424="","",IFERROR(INDEX(Items!$D$5:$D$597,MATCH($A424,Items!$A$5:$A$597,0)),0))</f>
        <v/>
      </c>
      <c r="F424" s="21" t="str">
        <f t="shared" si="30"/>
        <v/>
      </c>
      <c r="G424" s="25" t="str">
        <f>IF(Receipts!$I427="","",Receipts!$I427)</f>
        <v/>
      </c>
      <c r="H424" s="25" t="str">
        <f>IF(Receipts!$H427="","",Receipts!$H427)</f>
        <v/>
      </c>
      <c r="I424" s="26" t="str">
        <f t="shared" ca="1" si="31"/>
        <v/>
      </c>
      <c r="J424" s="26" t="str">
        <f>IF($A424="","",COUNTIFS(tblReceipts[Item Name],$A424,tblReceipts[Expiry Date],"&lt;"&amp;$H424)+COUNTIFS(tblReceipts[Item Name],$A424,tblReceipts[Expiry Date],$H424,tblReceipts[Lot Number],"&lt;="&amp;Receipts!$C427))</f>
        <v/>
      </c>
      <c r="K424" s="26" t="str">
        <f>IF($A424="","",SUMIFS(tblReceipts[Qty Received],tblReceipts[Item Name],$A424,tblReceipts[Expiry Date],"&lt;"&amp;$H424)+SUMIFS(tblReceipts[Qty Received],tblReceipts[Item Name],$A424,tblReceipts[Expiry Date],$H424,tblReceipts[Lot Number],"&lt;"&amp;Receipts!$C427))</f>
        <v/>
      </c>
      <c r="L424" s="26" t="str">
        <f>IF($A424="","",MIN($D424,MAX(0,SUMIFS(tblIssues[Qty Issued],tblIssues[Item Name],$A424)-$K424)))</f>
        <v/>
      </c>
      <c r="M424" s="26" t="str">
        <f>IF($A424="","",SUMIFS(tblIssues[Qty Issued],tblIssues[Lot Number],$B424))</f>
        <v/>
      </c>
      <c r="N424" s="26" t="str">
        <f t="shared" si="32"/>
        <v/>
      </c>
      <c r="O424" s="26" t="str">
        <f t="shared" si="33"/>
        <v/>
      </c>
      <c r="P424" s="21" t="str">
        <f t="shared" si="34"/>
        <v/>
      </c>
      <c r="Q424" s="52" t="str">
        <f>IF($A424="","",IF($O424&lt;=0,"Depleted",IF($I424&lt;0,"EXPIRED",IF($I424&lt;=Settings!$C$6,"CRITICAL",IF($I424&lt;=Settings!$C$5,"Expiring","In date")))))</f>
        <v/>
      </c>
    </row>
    <row r="425" spans="1:17" x14ac:dyDescent="0.35">
      <c r="A425" s="90" t="str">
        <f>IF(Receipts!$D428="","",Receipts!$D428)</f>
        <v/>
      </c>
      <c r="B425" s="18" t="str">
        <f>IF(Receipts!$C428="","",Receipts!$C428)</f>
        <v/>
      </c>
      <c r="C425" s="18" t="str">
        <f>IF($A425="","",IFERROR(INDEX(Items!$B$5:$B$597,MATCH($A425,Items!$A$5:$A$597,0)),""))</f>
        <v/>
      </c>
      <c r="D425" s="23" t="str">
        <f>IF($A425="","",N(Receipts!$G428))</f>
        <v/>
      </c>
      <c r="E425" s="20" t="str">
        <f>IF($A425="","",IFERROR(INDEX(Items!$D$5:$D$597,MATCH($A425,Items!$A$5:$A$597,0)),0))</f>
        <v/>
      </c>
      <c r="F425" s="21" t="str">
        <f t="shared" si="30"/>
        <v/>
      </c>
      <c r="G425" s="25" t="str">
        <f>IF(Receipts!$I428="","",Receipts!$I428)</f>
        <v/>
      </c>
      <c r="H425" s="25" t="str">
        <f>IF(Receipts!$H428="","",Receipts!$H428)</f>
        <v/>
      </c>
      <c r="I425" s="26" t="str">
        <f t="shared" ca="1" si="31"/>
        <v/>
      </c>
      <c r="J425" s="26" t="str">
        <f>IF($A425="","",COUNTIFS(tblReceipts[Item Name],$A425,tblReceipts[Expiry Date],"&lt;"&amp;$H425)+COUNTIFS(tblReceipts[Item Name],$A425,tblReceipts[Expiry Date],$H425,tblReceipts[Lot Number],"&lt;="&amp;Receipts!$C428))</f>
        <v/>
      </c>
      <c r="K425" s="26" t="str">
        <f>IF($A425="","",SUMIFS(tblReceipts[Qty Received],tblReceipts[Item Name],$A425,tblReceipts[Expiry Date],"&lt;"&amp;$H425)+SUMIFS(tblReceipts[Qty Received],tblReceipts[Item Name],$A425,tblReceipts[Expiry Date],$H425,tblReceipts[Lot Number],"&lt;"&amp;Receipts!$C428))</f>
        <v/>
      </c>
      <c r="L425" s="26" t="str">
        <f>IF($A425="","",MIN($D425,MAX(0,SUMIFS(tblIssues[Qty Issued],tblIssues[Item Name],$A425)-$K425)))</f>
        <v/>
      </c>
      <c r="M425" s="26" t="str">
        <f>IF($A425="","",SUMIFS(tblIssues[Qty Issued],tblIssues[Lot Number],$B425))</f>
        <v/>
      </c>
      <c r="N425" s="26" t="str">
        <f t="shared" si="32"/>
        <v/>
      </c>
      <c r="O425" s="26" t="str">
        <f t="shared" si="33"/>
        <v/>
      </c>
      <c r="P425" s="21" t="str">
        <f t="shared" si="34"/>
        <v/>
      </c>
      <c r="Q425" s="52" t="str">
        <f>IF($A425="","",IF($O425&lt;=0,"Depleted",IF($I425&lt;0,"EXPIRED",IF($I425&lt;=Settings!$C$6,"CRITICAL",IF($I425&lt;=Settings!$C$5,"Expiring","In date")))))</f>
        <v/>
      </c>
    </row>
    <row r="426" spans="1:17" x14ac:dyDescent="0.35">
      <c r="A426" s="90" t="str">
        <f>IF(Receipts!$D429="","",Receipts!$D429)</f>
        <v/>
      </c>
      <c r="B426" s="18" t="str">
        <f>IF(Receipts!$C429="","",Receipts!$C429)</f>
        <v/>
      </c>
      <c r="C426" s="18" t="str">
        <f>IF($A426="","",IFERROR(INDEX(Items!$B$5:$B$597,MATCH($A426,Items!$A$5:$A$597,0)),""))</f>
        <v/>
      </c>
      <c r="D426" s="23" t="str">
        <f>IF($A426="","",N(Receipts!$G429))</f>
        <v/>
      </c>
      <c r="E426" s="20" t="str">
        <f>IF($A426="","",IFERROR(INDEX(Items!$D$5:$D$597,MATCH($A426,Items!$A$5:$A$597,0)),0))</f>
        <v/>
      </c>
      <c r="F426" s="21" t="str">
        <f t="shared" si="30"/>
        <v/>
      </c>
      <c r="G426" s="25" t="str">
        <f>IF(Receipts!$I429="","",Receipts!$I429)</f>
        <v/>
      </c>
      <c r="H426" s="25" t="str">
        <f>IF(Receipts!$H429="","",Receipts!$H429)</f>
        <v/>
      </c>
      <c r="I426" s="26" t="str">
        <f t="shared" ca="1" si="31"/>
        <v/>
      </c>
      <c r="J426" s="26" t="str">
        <f>IF($A426="","",COUNTIFS(tblReceipts[Item Name],$A426,tblReceipts[Expiry Date],"&lt;"&amp;$H426)+COUNTIFS(tblReceipts[Item Name],$A426,tblReceipts[Expiry Date],$H426,tblReceipts[Lot Number],"&lt;="&amp;Receipts!$C429))</f>
        <v/>
      </c>
      <c r="K426" s="26" t="str">
        <f>IF($A426="","",SUMIFS(tblReceipts[Qty Received],tblReceipts[Item Name],$A426,tblReceipts[Expiry Date],"&lt;"&amp;$H426)+SUMIFS(tblReceipts[Qty Received],tblReceipts[Item Name],$A426,tblReceipts[Expiry Date],$H426,tblReceipts[Lot Number],"&lt;"&amp;Receipts!$C429))</f>
        <v/>
      </c>
      <c r="L426" s="26" t="str">
        <f>IF($A426="","",MIN($D426,MAX(0,SUMIFS(tblIssues[Qty Issued],tblIssues[Item Name],$A426)-$K426)))</f>
        <v/>
      </c>
      <c r="M426" s="26" t="str">
        <f>IF($A426="","",SUMIFS(tblIssues[Qty Issued],tblIssues[Lot Number],$B426))</f>
        <v/>
      </c>
      <c r="N426" s="26" t="str">
        <f t="shared" si="32"/>
        <v/>
      </c>
      <c r="O426" s="26" t="str">
        <f t="shared" si="33"/>
        <v/>
      </c>
      <c r="P426" s="21" t="str">
        <f t="shared" si="34"/>
        <v/>
      </c>
      <c r="Q426" s="52" t="str">
        <f>IF($A426="","",IF($O426&lt;=0,"Depleted",IF($I426&lt;0,"EXPIRED",IF($I426&lt;=Settings!$C$6,"CRITICAL",IF($I426&lt;=Settings!$C$5,"Expiring","In date")))))</f>
        <v/>
      </c>
    </row>
    <row r="427" spans="1:17" x14ac:dyDescent="0.35">
      <c r="A427" s="90" t="str">
        <f>IF(Receipts!$D430="","",Receipts!$D430)</f>
        <v/>
      </c>
      <c r="B427" s="18" t="str">
        <f>IF(Receipts!$C430="","",Receipts!$C430)</f>
        <v/>
      </c>
      <c r="C427" s="18" t="str">
        <f>IF($A427="","",IFERROR(INDEX(Items!$B$5:$B$597,MATCH($A427,Items!$A$5:$A$597,0)),""))</f>
        <v/>
      </c>
      <c r="D427" s="23" t="str">
        <f>IF($A427="","",N(Receipts!$G430))</f>
        <v/>
      </c>
      <c r="E427" s="20" t="str">
        <f>IF($A427="","",IFERROR(INDEX(Items!$D$5:$D$597,MATCH($A427,Items!$A$5:$A$597,0)),0))</f>
        <v/>
      </c>
      <c r="F427" s="21" t="str">
        <f t="shared" si="30"/>
        <v/>
      </c>
      <c r="G427" s="25" t="str">
        <f>IF(Receipts!$I430="","",Receipts!$I430)</f>
        <v/>
      </c>
      <c r="H427" s="25" t="str">
        <f>IF(Receipts!$H430="","",Receipts!$H430)</f>
        <v/>
      </c>
      <c r="I427" s="26" t="str">
        <f t="shared" ca="1" si="31"/>
        <v/>
      </c>
      <c r="J427" s="26" t="str">
        <f>IF($A427="","",COUNTIFS(tblReceipts[Item Name],$A427,tblReceipts[Expiry Date],"&lt;"&amp;$H427)+COUNTIFS(tblReceipts[Item Name],$A427,tblReceipts[Expiry Date],$H427,tblReceipts[Lot Number],"&lt;="&amp;Receipts!$C430))</f>
        <v/>
      </c>
      <c r="K427" s="26" t="str">
        <f>IF($A427="","",SUMIFS(tblReceipts[Qty Received],tblReceipts[Item Name],$A427,tblReceipts[Expiry Date],"&lt;"&amp;$H427)+SUMIFS(tblReceipts[Qty Received],tblReceipts[Item Name],$A427,tblReceipts[Expiry Date],$H427,tblReceipts[Lot Number],"&lt;"&amp;Receipts!$C430))</f>
        <v/>
      </c>
      <c r="L427" s="26" t="str">
        <f>IF($A427="","",MIN($D427,MAX(0,SUMIFS(tblIssues[Qty Issued],tblIssues[Item Name],$A427)-$K427)))</f>
        <v/>
      </c>
      <c r="M427" s="26" t="str">
        <f>IF($A427="","",SUMIFS(tblIssues[Qty Issued],tblIssues[Lot Number],$B427))</f>
        <v/>
      </c>
      <c r="N427" s="26" t="str">
        <f t="shared" si="32"/>
        <v/>
      </c>
      <c r="O427" s="26" t="str">
        <f t="shared" si="33"/>
        <v/>
      </c>
      <c r="P427" s="21" t="str">
        <f t="shared" si="34"/>
        <v/>
      </c>
      <c r="Q427" s="52" t="str">
        <f>IF($A427="","",IF($O427&lt;=0,"Depleted",IF($I427&lt;0,"EXPIRED",IF($I427&lt;=Settings!$C$6,"CRITICAL",IF($I427&lt;=Settings!$C$5,"Expiring","In date")))))</f>
        <v/>
      </c>
    </row>
    <row r="428" spans="1:17" x14ac:dyDescent="0.35">
      <c r="A428" s="90" t="str">
        <f>IF(Receipts!$D431="","",Receipts!$D431)</f>
        <v/>
      </c>
      <c r="B428" s="18" t="str">
        <f>IF(Receipts!$C431="","",Receipts!$C431)</f>
        <v/>
      </c>
      <c r="C428" s="18" t="str">
        <f>IF($A428="","",IFERROR(INDEX(Items!$B$5:$B$597,MATCH($A428,Items!$A$5:$A$597,0)),""))</f>
        <v/>
      </c>
      <c r="D428" s="23" t="str">
        <f>IF($A428="","",N(Receipts!$G431))</f>
        <v/>
      </c>
      <c r="E428" s="20" t="str">
        <f>IF($A428="","",IFERROR(INDEX(Items!$D$5:$D$597,MATCH($A428,Items!$A$5:$A$597,0)),0))</f>
        <v/>
      </c>
      <c r="F428" s="21" t="str">
        <f t="shared" si="30"/>
        <v/>
      </c>
      <c r="G428" s="25" t="str">
        <f>IF(Receipts!$I431="","",Receipts!$I431)</f>
        <v/>
      </c>
      <c r="H428" s="25" t="str">
        <f>IF(Receipts!$H431="","",Receipts!$H431)</f>
        <v/>
      </c>
      <c r="I428" s="26" t="str">
        <f t="shared" ca="1" si="31"/>
        <v/>
      </c>
      <c r="J428" s="26" t="str">
        <f>IF($A428="","",COUNTIFS(tblReceipts[Item Name],$A428,tblReceipts[Expiry Date],"&lt;"&amp;$H428)+COUNTIFS(tblReceipts[Item Name],$A428,tblReceipts[Expiry Date],$H428,tblReceipts[Lot Number],"&lt;="&amp;Receipts!$C431))</f>
        <v/>
      </c>
      <c r="K428" s="26" t="str">
        <f>IF($A428="","",SUMIFS(tblReceipts[Qty Received],tblReceipts[Item Name],$A428,tblReceipts[Expiry Date],"&lt;"&amp;$H428)+SUMIFS(tblReceipts[Qty Received],tblReceipts[Item Name],$A428,tblReceipts[Expiry Date],$H428,tblReceipts[Lot Number],"&lt;"&amp;Receipts!$C431))</f>
        <v/>
      </c>
      <c r="L428" s="26" t="str">
        <f>IF($A428="","",MIN($D428,MAX(0,SUMIFS(tblIssues[Qty Issued],tblIssues[Item Name],$A428)-$K428)))</f>
        <v/>
      </c>
      <c r="M428" s="26" t="str">
        <f>IF($A428="","",SUMIFS(tblIssues[Qty Issued],tblIssues[Lot Number],$B428))</f>
        <v/>
      </c>
      <c r="N428" s="26" t="str">
        <f t="shared" si="32"/>
        <v/>
      </c>
      <c r="O428" s="26" t="str">
        <f t="shared" si="33"/>
        <v/>
      </c>
      <c r="P428" s="21" t="str">
        <f t="shared" si="34"/>
        <v/>
      </c>
      <c r="Q428" s="52" t="str">
        <f>IF($A428="","",IF($O428&lt;=0,"Depleted",IF($I428&lt;0,"EXPIRED",IF($I428&lt;=Settings!$C$6,"CRITICAL",IF($I428&lt;=Settings!$C$5,"Expiring","In date")))))</f>
        <v/>
      </c>
    </row>
    <row r="429" spans="1:17" x14ac:dyDescent="0.35">
      <c r="A429" s="90" t="str">
        <f>IF(Receipts!$D432="","",Receipts!$D432)</f>
        <v/>
      </c>
      <c r="B429" s="18" t="str">
        <f>IF(Receipts!$C432="","",Receipts!$C432)</f>
        <v/>
      </c>
      <c r="C429" s="18" t="str">
        <f>IF($A429="","",IFERROR(INDEX(Items!$B$5:$B$597,MATCH($A429,Items!$A$5:$A$597,0)),""))</f>
        <v/>
      </c>
      <c r="D429" s="23" t="str">
        <f>IF($A429="","",N(Receipts!$G432))</f>
        <v/>
      </c>
      <c r="E429" s="20" t="str">
        <f>IF($A429="","",IFERROR(INDEX(Items!$D$5:$D$597,MATCH($A429,Items!$A$5:$A$597,0)),0))</f>
        <v/>
      </c>
      <c r="F429" s="21" t="str">
        <f t="shared" si="30"/>
        <v/>
      </c>
      <c r="G429" s="25" t="str">
        <f>IF(Receipts!$I432="","",Receipts!$I432)</f>
        <v/>
      </c>
      <c r="H429" s="25" t="str">
        <f>IF(Receipts!$H432="","",Receipts!$H432)</f>
        <v/>
      </c>
      <c r="I429" s="26" t="str">
        <f t="shared" ca="1" si="31"/>
        <v/>
      </c>
      <c r="J429" s="26" t="str">
        <f>IF($A429="","",COUNTIFS(tblReceipts[Item Name],$A429,tblReceipts[Expiry Date],"&lt;"&amp;$H429)+COUNTIFS(tblReceipts[Item Name],$A429,tblReceipts[Expiry Date],$H429,tblReceipts[Lot Number],"&lt;="&amp;Receipts!$C432))</f>
        <v/>
      </c>
      <c r="K429" s="26" t="str">
        <f>IF($A429="","",SUMIFS(tblReceipts[Qty Received],tblReceipts[Item Name],$A429,tblReceipts[Expiry Date],"&lt;"&amp;$H429)+SUMIFS(tblReceipts[Qty Received],tblReceipts[Item Name],$A429,tblReceipts[Expiry Date],$H429,tblReceipts[Lot Number],"&lt;"&amp;Receipts!$C432))</f>
        <v/>
      </c>
      <c r="L429" s="26" t="str">
        <f>IF($A429="","",MIN($D429,MAX(0,SUMIFS(tblIssues[Qty Issued],tblIssues[Item Name],$A429)-$K429)))</f>
        <v/>
      </c>
      <c r="M429" s="26" t="str">
        <f>IF($A429="","",SUMIFS(tblIssues[Qty Issued],tblIssues[Lot Number],$B429))</f>
        <v/>
      </c>
      <c r="N429" s="26" t="str">
        <f t="shared" si="32"/>
        <v/>
      </c>
      <c r="O429" s="26" t="str">
        <f t="shared" si="33"/>
        <v/>
      </c>
      <c r="P429" s="21" t="str">
        <f t="shared" si="34"/>
        <v/>
      </c>
      <c r="Q429" s="52" t="str">
        <f>IF($A429="","",IF($O429&lt;=0,"Depleted",IF($I429&lt;0,"EXPIRED",IF($I429&lt;=Settings!$C$6,"CRITICAL",IF($I429&lt;=Settings!$C$5,"Expiring","In date")))))</f>
        <v/>
      </c>
    </row>
    <row r="430" spans="1:17" x14ac:dyDescent="0.35">
      <c r="A430" s="90" t="str">
        <f>IF(Receipts!$D433="","",Receipts!$D433)</f>
        <v/>
      </c>
      <c r="B430" s="18" t="str">
        <f>IF(Receipts!$C433="","",Receipts!$C433)</f>
        <v/>
      </c>
      <c r="C430" s="18" t="str">
        <f>IF($A430="","",IFERROR(INDEX(Items!$B$5:$B$597,MATCH($A430,Items!$A$5:$A$597,0)),""))</f>
        <v/>
      </c>
      <c r="D430" s="23" t="str">
        <f>IF($A430="","",N(Receipts!$G433))</f>
        <v/>
      </c>
      <c r="E430" s="20" t="str">
        <f>IF($A430="","",IFERROR(INDEX(Items!$D$5:$D$597,MATCH($A430,Items!$A$5:$A$597,0)),0))</f>
        <v/>
      </c>
      <c r="F430" s="21" t="str">
        <f t="shared" si="30"/>
        <v/>
      </c>
      <c r="G430" s="25" t="str">
        <f>IF(Receipts!$I433="","",Receipts!$I433)</f>
        <v/>
      </c>
      <c r="H430" s="25" t="str">
        <f>IF(Receipts!$H433="","",Receipts!$H433)</f>
        <v/>
      </c>
      <c r="I430" s="26" t="str">
        <f t="shared" ca="1" si="31"/>
        <v/>
      </c>
      <c r="J430" s="26" t="str">
        <f>IF($A430="","",COUNTIFS(tblReceipts[Item Name],$A430,tblReceipts[Expiry Date],"&lt;"&amp;$H430)+COUNTIFS(tblReceipts[Item Name],$A430,tblReceipts[Expiry Date],$H430,tblReceipts[Lot Number],"&lt;="&amp;Receipts!$C433))</f>
        <v/>
      </c>
      <c r="K430" s="26" t="str">
        <f>IF($A430="","",SUMIFS(tblReceipts[Qty Received],tblReceipts[Item Name],$A430,tblReceipts[Expiry Date],"&lt;"&amp;$H430)+SUMIFS(tblReceipts[Qty Received],tblReceipts[Item Name],$A430,tblReceipts[Expiry Date],$H430,tblReceipts[Lot Number],"&lt;"&amp;Receipts!$C433))</f>
        <v/>
      </c>
      <c r="L430" s="26" t="str">
        <f>IF($A430="","",MIN($D430,MAX(0,SUMIFS(tblIssues[Qty Issued],tblIssues[Item Name],$A430)-$K430)))</f>
        <v/>
      </c>
      <c r="M430" s="26" t="str">
        <f>IF($A430="","",SUMIFS(tblIssues[Qty Issued],tblIssues[Lot Number],$B430))</f>
        <v/>
      </c>
      <c r="N430" s="26" t="str">
        <f t="shared" si="32"/>
        <v/>
      </c>
      <c r="O430" s="26" t="str">
        <f t="shared" si="33"/>
        <v/>
      </c>
      <c r="P430" s="21" t="str">
        <f t="shared" si="34"/>
        <v/>
      </c>
      <c r="Q430" s="52" t="str">
        <f>IF($A430="","",IF($O430&lt;=0,"Depleted",IF($I430&lt;0,"EXPIRED",IF($I430&lt;=Settings!$C$6,"CRITICAL",IF($I430&lt;=Settings!$C$5,"Expiring","In date")))))</f>
        <v/>
      </c>
    </row>
    <row r="431" spans="1:17" x14ac:dyDescent="0.35">
      <c r="A431" s="90" t="str">
        <f>IF(Receipts!$D434="","",Receipts!$D434)</f>
        <v/>
      </c>
      <c r="B431" s="18" t="str">
        <f>IF(Receipts!$C434="","",Receipts!$C434)</f>
        <v/>
      </c>
      <c r="C431" s="18" t="str">
        <f>IF($A431="","",IFERROR(INDEX(Items!$B$5:$B$597,MATCH($A431,Items!$A$5:$A$597,0)),""))</f>
        <v/>
      </c>
      <c r="D431" s="23" t="str">
        <f>IF($A431="","",N(Receipts!$G434))</f>
        <v/>
      </c>
      <c r="E431" s="20" t="str">
        <f>IF($A431="","",IFERROR(INDEX(Items!$D$5:$D$597,MATCH($A431,Items!$A$5:$A$597,0)),0))</f>
        <v/>
      </c>
      <c r="F431" s="21" t="str">
        <f t="shared" si="30"/>
        <v/>
      </c>
      <c r="G431" s="25" t="str">
        <f>IF(Receipts!$I434="","",Receipts!$I434)</f>
        <v/>
      </c>
      <c r="H431" s="25" t="str">
        <f>IF(Receipts!$H434="","",Receipts!$H434)</f>
        <v/>
      </c>
      <c r="I431" s="26" t="str">
        <f t="shared" ca="1" si="31"/>
        <v/>
      </c>
      <c r="J431" s="26" t="str">
        <f>IF($A431="","",COUNTIFS(tblReceipts[Item Name],$A431,tblReceipts[Expiry Date],"&lt;"&amp;$H431)+COUNTIFS(tblReceipts[Item Name],$A431,tblReceipts[Expiry Date],$H431,tblReceipts[Lot Number],"&lt;="&amp;Receipts!$C434))</f>
        <v/>
      </c>
      <c r="K431" s="26" t="str">
        <f>IF($A431="","",SUMIFS(tblReceipts[Qty Received],tblReceipts[Item Name],$A431,tblReceipts[Expiry Date],"&lt;"&amp;$H431)+SUMIFS(tblReceipts[Qty Received],tblReceipts[Item Name],$A431,tblReceipts[Expiry Date],$H431,tblReceipts[Lot Number],"&lt;"&amp;Receipts!$C434))</f>
        <v/>
      </c>
      <c r="L431" s="26" t="str">
        <f>IF($A431="","",MIN($D431,MAX(0,SUMIFS(tblIssues[Qty Issued],tblIssues[Item Name],$A431)-$K431)))</f>
        <v/>
      </c>
      <c r="M431" s="26" t="str">
        <f>IF($A431="","",SUMIFS(tblIssues[Qty Issued],tblIssues[Lot Number],$B431))</f>
        <v/>
      </c>
      <c r="N431" s="26" t="str">
        <f t="shared" si="32"/>
        <v/>
      </c>
      <c r="O431" s="26" t="str">
        <f t="shared" si="33"/>
        <v/>
      </c>
      <c r="P431" s="21" t="str">
        <f t="shared" si="34"/>
        <v/>
      </c>
      <c r="Q431" s="52" t="str">
        <f>IF($A431="","",IF($O431&lt;=0,"Depleted",IF($I431&lt;0,"EXPIRED",IF($I431&lt;=Settings!$C$6,"CRITICAL",IF($I431&lt;=Settings!$C$5,"Expiring","In date")))))</f>
        <v/>
      </c>
    </row>
    <row r="432" spans="1:17" x14ac:dyDescent="0.35">
      <c r="A432" s="90" t="str">
        <f>IF(Receipts!$D435="","",Receipts!$D435)</f>
        <v/>
      </c>
      <c r="B432" s="18" t="str">
        <f>IF(Receipts!$C435="","",Receipts!$C435)</f>
        <v/>
      </c>
      <c r="C432" s="18" t="str">
        <f>IF($A432="","",IFERROR(INDEX(Items!$B$5:$B$597,MATCH($A432,Items!$A$5:$A$597,0)),""))</f>
        <v/>
      </c>
      <c r="D432" s="23" t="str">
        <f>IF($A432="","",N(Receipts!$G435))</f>
        <v/>
      </c>
      <c r="E432" s="20" t="str">
        <f>IF($A432="","",IFERROR(INDEX(Items!$D$5:$D$597,MATCH($A432,Items!$A$5:$A$597,0)),0))</f>
        <v/>
      </c>
      <c r="F432" s="21" t="str">
        <f t="shared" si="30"/>
        <v/>
      </c>
      <c r="G432" s="25" t="str">
        <f>IF(Receipts!$I435="","",Receipts!$I435)</f>
        <v/>
      </c>
      <c r="H432" s="25" t="str">
        <f>IF(Receipts!$H435="","",Receipts!$H435)</f>
        <v/>
      </c>
      <c r="I432" s="26" t="str">
        <f t="shared" ca="1" si="31"/>
        <v/>
      </c>
      <c r="J432" s="26" t="str">
        <f>IF($A432="","",COUNTIFS(tblReceipts[Item Name],$A432,tblReceipts[Expiry Date],"&lt;"&amp;$H432)+COUNTIFS(tblReceipts[Item Name],$A432,tblReceipts[Expiry Date],$H432,tblReceipts[Lot Number],"&lt;="&amp;Receipts!$C435))</f>
        <v/>
      </c>
      <c r="K432" s="26" t="str">
        <f>IF($A432="","",SUMIFS(tblReceipts[Qty Received],tblReceipts[Item Name],$A432,tblReceipts[Expiry Date],"&lt;"&amp;$H432)+SUMIFS(tblReceipts[Qty Received],tblReceipts[Item Name],$A432,tblReceipts[Expiry Date],$H432,tblReceipts[Lot Number],"&lt;"&amp;Receipts!$C435))</f>
        <v/>
      </c>
      <c r="L432" s="26" t="str">
        <f>IF($A432="","",MIN($D432,MAX(0,SUMIFS(tblIssues[Qty Issued],tblIssues[Item Name],$A432)-$K432)))</f>
        <v/>
      </c>
      <c r="M432" s="26" t="str">
        <f>IF($A432="","",SUMIFS(tblIssues[Qty Issued],tblIssues[Lot Number],$B432))</f>
        <v/>
      </c>
      <c r="N432" s="26" t="str">
        <f t="shared" si="32"/>
        <v/>
      </c>
      <c r="O432" s="26" t="str">
        <f t="shared" si="33"/>
        <v/>
      </c>
      <c r="P432" s="21" t="str">
        <f t="shared" si="34"/>
        <v/>
      </c>
      <c r="Q432" s="52" t="str">
        <f>IF($A432="","",IF($O432&lt;=0,"Depleted",IF($I432&lt;0,"EXPIRED",IF($I432&lt;=Settings!$C$6,"CRITICAL",IF($I432&lt;=Settings!$C$5,"Expiring","In date")))))</f>
        <v/>
      </c>
    </row>
    <row r="433" spans="1:17" x14ac:dyDescent="0.35">
      <c r="A433" s="90" t="str">
        <f>IF(Receipts!$D436="","",Receipts!$D436)</f>
        <v/>
      </c>
      <c r="B433" s="18" t="str">
        <f>IF(Receipts!$C436="","",Receipts!$C436)</f>
        <v/>
      </c>
      <c r="C433" s="18" t="str">
        <f>IF($A433="","",IFERROR(INDEX(Items!$B$5:$B$597,MATCH($A433,Items!$A$5:$A$597,0)),""))</f>
        <v/>
      </c>
      <c r="D433" s="23" t="str">
        <f>IF($A433="","",N(Receipts!$G436))</f>
        <v/>
      </c>
      <c r="E433" s="20" t="str">
        <f>IF($A433="","",IFERROR(INDEX(Items!$D$5:$D$597,MATCH($A433,Items!$A$5:$A$597,0)),0))</f>
        <v/>
      </c>
      <c r="F433" s="21" t="str">
        <f t="shared" si="30"/>
        <v/>
      </c>
      <c r="G433" s="25" t="str">
        <f>IF(Receipts!$I436="","",Receipts!$I436)</f>
        <v/>
      </c>
      <c r="H433" s="25" t="str">
        <f>IF(Receipts!$H436="","",Receipts!$H436)</f>
        <v/>
      </c>
      <c r="I433" s="26" t="str">
        <f t="shared" ca="1" si="31"/>
        <v/>
      </c>
      <c r="J433" s="26" t="str">
        <f>IF($A433="","",COUNTIFS(tblReceipts[Item Name],$A433,tblReceipts[Expiry Date],"&lt;"&amp;$H433)+COUNTIFS(tblReceipts[Item Name],$A433,tblReceipts[Expiry Date],$H433,tblReceipts[Lot Number],"&lt;="&amp;Receipts!$C436))</f>
        <v/>
      </c>
      <c r="K433" s="26" t="str">
        <f>IF($A433="","",SUMIFS(tblReceipts[Qty Received],tblReceipts[Item Name],$A433,tblReceipts[Expiry Date],"&lt;"&amp;$H433)+SUMIFS(tblReceipts[Qty Received],tblReceipts[Item Name],$A433,tblReceipts[Expiry Date],$H433,tblReceipts[Lot Number],"&lt;"&amp;Receipts!$C436))</f>
        <v/>
      </c>
      <c r="L433" s="26" t="str">
        <f>IF($A433="","",MIN($D433,MAX(0,SUMIFS(tblIssues[Qty Issued],tblIssues[Item Name],$A433)-$K433)))</f>
        <v/>
      </c>
      <c r="M433" s="26" t="str">
        <f>IF($A433="","",SUMIFS(tblIssues[Qty Issued],tblIssues[Lot Number],$B433))</f>
        <v/>
      </c>
      <c r="N433" s="26" t="str">
        <f t="shared" si="32"/>
        <v/>
      </c>
      <c r="O433" s="26" t="str">
        <f t="shared" si="33"/>
        <v/>
      </c>
      <c r="P433" s="21" t="str">
        <f t="shared" si="34"/>
        <v/>
      </c>
      <c r="Q433" s="52" t="str">
        <f>IF($A433="","",IF($O433&lt;=0,"Depleted",IF($I433&lt;0,"EXPIRED",IF($I433&lt;=Settings!$C$6,"CRITICAL",IF($I433&lt;=Settings!$C$5,"Expiring","In date")))))</f>
        <v/>
      </c>
    </row>
    <row r="434" spans="1:17" x14ac:dyDescent="0.35">
      <c r="A434" s="90" t="str">
        <f>IF(Receipts!$D437="","",Receipts!$D437)</f>
        <v/>
      </c>
      <c r="B434" s="18" t="str">
        <f>IF(Receipts!$C437="","",Receipts!$C437)</f>
        <v/>
      </c>
      <c r="C434" s="18" t="str">
        <f>IF($A434="","",IFERROR(INDEX(Items!$B$5:$B$597,MATCH($A434,Items!$A$5:$A$597,0)),""))</f>
        <v/>
      </c>
      <c r="D434" s="23" t="str">
        <f>IF($A434="","",N(Receipts!$G437))</f>
        <v/>
      </c>
      <c r="E434" s="20" t="str">
        <f>IF($A434="","",IFERROR(INDEX(Items!$D$5:$D$597,MATCH($A434,Items!$A$5:$A$597,0)),0))</f>
        <v/>
      </c>
      <c r="F434" s="21" t="str">
        <f t="shared" si="30"/>
        <v/>
      </c>
      <c r="G434" s="25" t="str">
        <f>IF(Receipts!$I437="","",Receipts!$I437)</f>
        <v/>
      </c>
      <c r="H434" s="25" t="str">
        <f>IF(Receipts!$H437="","",Receipts!$H437)</f>
        <v/>
      </c>
      <c r="I434" s="26" t="str">
        <f t="shared" ca="1" si="31"/>
        <v/>
      </c>
      <c r="J434" s="26" t="str">
        <f>IF($A434="","",COUNTIFS(tblReceipts[Item Name],$A434,tblReceipts[Expiry Date],"&lt;"&amp;$H434)+COUNTIFS(tblReceipts[Item Name],$A434,tblReceipts[Expiry Date],$H434,tblReceipts[Lot Number],"&lt;="&amp;Receipts!$C437))</f>
        <v/>
      </c>
      <c r="K434" s="26" t="str">
        <f>IF($A434="","",SUMIFS(tblReceipts[Qty Received],tblReceipts[Item Name],$A434,tblReceipts[Expiry Date],"&lt;"&amp;$H434)+SUMIFS(tblReceipts[Qty Received],tblReceipts[Item Name],$A434,tblReceipts[Expiry Date],$H434,tblReceipts[Lot Number],"&lt;"&amp;Receipts!$C437))</f>
        <v/>
      </c>
      <c r="L434" s="26" t="str">
        <f>IF($A434="","",MIN($D434,MAX(0,SUMIFS(tblIssues[Qty Issued],tblIssues[Item Name],$A434)-$K434)))</f>
        <v/>
      </c>
      <c r="M434" s="26" t="str">
        <f>IF($A434="","",SUMIFS(tblIssues[Qty Issued],tblIssues[Lot Number],$B434))</f>
        <v/>
      </c>
      <c r="N434" s="26" t="str">
        <f t="shared" si="32"/>
        <v/>
      </c>
      <c r="O434" s="26" t="str">
        <f t="shared" si="33"/>
        <v/>
      </c>
      <c r="P434" s="21" t="str">
        <f t="shared" si="34"/>
        <v/>
      </c>
      <c r="Q434" s="52" t="str">
        <f>IF($A434="","",IF($O434&lt;=0,"Depleted",IF($I434&lt;0,"EXPIRED",IF($I434&lt;=Settings!$C$6,"CRITICAL",IF($I434&lt;=Settings!$C$5,"Expiring","In date")))))</f>
        <v/>
      </c>
    </row>
    <row r="435" spans="1:17" x14ac:dyDescent="0.35">
      <c r="A435" s="90" t="str">
        <f>IF(Receipts!$D438="","",Receipts!$D438)</f>
        <v/>
      </c>
      <c r="B435" s="18" t="str">
        <f>IF(Receipts!$C438="","",Receipts!$C438)</f>
        <v/>
      </c>
      <c r="C435" s="18" t="str">
        <f>IF($A435="","",IFERROR(INDEX(Items!$B$5:$B$597,MATCH($A435,Items!$A$5:$A$597,0)),""))</f>
        <v/>
      </c>
      <c r="D435" s="23" t="str">
        <f>IF($A435="","",N(Receipts!$G438))</f>
        <v/>
      </c>
      <c r="E435" s="20" t="str">
        <f>IF($A435="","",IFERROR(INDEX(Items!$D$5:$D$597,MATCH($A435,Items!$A$5:$A$597,0)),0))</f>
        <v/>
      </c>
      <c r="F435" s="21" t="str">
        <f t="shared" si="30"/>
        <v/>
      </c>
      <c r="G435" s="25" t="str">
        <f>IF(Receipts!$I438="","",Receipts!$I438)</f>
        <v/>
      </c>
      <c r="H435" s="25" t="str">
        <f>IF(Receipts!$H438="","",Receipts!$H438)</f>
        <v/>
      </c>
      <c r="I435" s="26" t="str">
        <f t="shared" ca="1" si="31"/>
        <v/>
      </c>
      <c r="J435" s="26" t="str">
        <f>IF($A435="","",COUNTIFS(tblReceipts[Item Name],$A435,tblReceipts[Expiry Date],"&lt;"&amp;$H435)+COUNTIFS(tblReceipts[Item Name],$A435,tblReceipts[Expiry Date],$H435,tblReceipts[Lot Number],"&lt;="&amp;Receipts!$C438))</f>
        <v/>
      </c>
      <c r="K435" s="26" t="str">
        <f>IF($A435="","",SUMIFS(tblReceipts[Qty Received],tblReceipts[Item Name],$A435,tblReceipts[Expiry Date],"&lt;"&amp;$H435)+SUMIFS(tblReceipts[Qty Received],tblReceipts[Item Name],$A435,tblReceipts[Expiry Date],$H435,tblReceipts[Lot Number],"&lt;"&amp;Receipts!$C438))</f>
        <v/>
      </c>
      <c r="L435" s="26" t="str">
        <f>IF($A435="","",MIN($D435,MAX(0,SUMIFS(tblIssues[Qty Issued],tblIssues[Item Name],$A435)-$K435)))</f>
        <v/>
      </c>
      <c r="M435" s="26" t="str">
        <f>IF($A435="","",SUMIFS(tblIssues[Qty Issued],tblIssues[Lot Number],$B435))</f>
        <v/>
      </c>
      <c r="N435" s="26" t="str">
        <f t="shared" si="32"/>
        <v/>
      </c>
      <c r="O435" s="26" t="str">
        <f t="shared" si="33"/>
        <v/>
      </c>
      <c r="P435" s="21" t="str">
        <f t="shared" si="34"/>
        <v/>
      </c>
      <c r="Q435" s="52" t="str">
        <f>IF($A435="","",IF($O435&lt;=0,"Depleted",IF($I435&lt;0,"EXPIRED",IF($I435&lt;=Settings!$C$6,"CRITICAL",IF($I435&lt;=Settings!$C$5,"Expiring","In date")))))</f>
        <v/>
      </c>
    </row>
    <row r="436" spans="1:17" x14ac:dyDescent="0.35">
      <c r="A436" s="90" t="str">
        <f>IF(Receipts!$D439="","",Receipts!$D439)</f>
        <v/>
      </c>
      <c r="B436" s="18" t="str">
        <f>IF(Receipts!$C439="","",Receipts!$C439)</f>
        <v/>
      </c>
      <c r="C436" s="18" t="str">
        <f>IF($A436="","",IFERROR(INDEX(Items!$B$5:$B$597,MATCH($A436,Items!$A$5:$A$597,0)),""))</f>
        <v/>
      </c>
      <c r="D436" s="23" t="str">
        <f>IF($A436="","",N(Receipts!$G439))</f>
        <v/>
      </c>
      <c r="E436" s="20" t="str">
        <f>IF($A436="","",IFERROR(INDEX(Items!$D$5:$D$597,MATCH($A436,Items!$A$5:$A$597,0)),0))</f>
        <v/>
      </c>
      <c r="F436" s="21" t="str">
        <f t="shared" si="30"/>
        <v/>
      </c>
      <c r="G436" s="25" t="str">
        <f>IF(Receipts!$I439="","",Receipts!$I439)</f>
        <v/>
      </c>
      <c r="H436" s="25" t="str">
        <f>IF(Receipts!$H439="","",Receipts!$H439)</f>
        <v/>
      </c>
      <c r="I436" s="26" t="str">
        <f t="shared" ca="1" si="31"/>
        <v/>
      </c>
      <c r="J436" s="26" t="str">
        <f>IF($A436="","",COUNTIFS(tblReceipts[Item Name],$A436,tblReceipts[Expiry Date],"&lt;"&amp;$H436)+COUNTIFS(tblReceipts[Item Name],$A436,tblReceipts[Expiry Date],$H436,tblReceipts[Lot Number],"&lt;="&amp;Receipts!$C439))</f>
        <v/>
      </c>
      <c r="K436" s="26" t="str">
        <f>IF($A436="","",SUMIFS(tblReceipts[Qty Received],tblReceipts[Item Name],$A436,tblReceipts[Expiry Date],"&lt;"&amp;$H436)+SUMIFS(tblReceipts[Qty Received],tblReceipts[Item Name],$A436,tblReceipts[Expiry Date],$H436,tblReceipts[Lot Number],"&lt;"&amp;Receipts!$C439))</f>
        <v/>
      </c>
      <c r="L436" s="26" t="str">
        <f>IF($A436="","",MIN($D436,MAX(0,SUMIFS(tblIssues[Qty Issued],tblIssues[Item Name],$A436)-$K436)))</f>
        <v/>
      </c>
      <c r="M436" s="26" t="str">
        <f>IF($A436="","",SUMIFS(tblIssues[Qty Issued],tblIssues[Lot Number],$B436))</f>
        <v/>
      </c>
      <c r="N436" s="26" t="str">
        <f t="shared" si="32"/>
        <v/>
      </c>
      <c r="O436" s="26" t="str">
        <f t="shared" si="33"/>
        <v/>
      </c>
      <c r="P436" s="21" t="str">
        <f t="shared" si="34"/>
        <v/>
      </c>
      <c r="Q436" s="52" t="str">
        <f>IF($A436="","",IF($O436&lt;=0,"Depleted",IF($I436&lt;0,"EXPIRED",IF($I436&lt;=Settings!$C$6,"CRITICAL",IF($I436&lt;=Settings!$C$5,"Expiring","In date")))))</f>
        <v/>
      </c>
    </row>
    <row r="437" spans="1:17" x14ac:dyDescent="0.35">
      <c r="A437" s="90" t="str">
        <f>IF(Receipts!$D440="","",Receipts!$D440)</f>
        <v/>
      </c>
      <c r="B437" s="18" t="str">
        <f>IF(Receipts!$C440="","",Receipts!$C440)</f>
        <v/>
      </c>
      <c r="C437" s="18" t="str">
        <f>IF($A437="","",IFERROR(INDEX(Items!$B$5:$B$597,MATCH($A437,Items!$A$5:$A$597,0)),""))</f>
        <v/>
      </c>
      <c r="D437" s="23" t="str">
        <f>IF($A437="","",N(Receipts!$G440))</f>
        <v/>
      </c>
      <c r="E437" s="20" t="str">
        <f>IF($A437="","",IFERROR(INDEX(Items!$D$5:$D$597,MATCH($A437,Items!$A$5:$A$597,0)),0))</f>
        <v/>
      </c>
      <c r="F437" s="21" t="str">
        <f t="shared" si="30"/>
        <v/>
      </c>
      <c r="G437" s="25" t="str">
        <f>IF(Receipts!$I440="","",Receipts!$I440)</f>
        <v/>
      </c>
      <c r="H437" s="25" t="str">
        <f>IF(Receipts!$H440="","",Receipts!$H440)</f>
        <v/>
      </c>
      <c r="I437" s="26" t="str">
        <f t="shared" ca="1" si="31"/>
        <v/>
      </c>
      <c r="J437" s="26" t="str">
        <f>IF($A437="","",COUNTIFS(tblReceipts[Item Name],$A437,tblReceipts[Expiry Date],"&lt;"&amp;$H437)+COUNTIFS(tblReceipts[Item Name],$A437,tblReceipts[Expiry Date],$H437,tblReceipts[Lot Number],"&lt;="&amp;Receipts!$C440))</f>
        <v/>
      </c>
      <c r="K437" s="26" t="str">
        <f>IF($A437="","",SUMIFS(tblReceipts[Qty Received],tblReceipts[Item Name],$A437,tblReceipts[Expiry Date],"&lt;"&amp;$H437)+SUMIFS(tblReceipts[Qty Received],tblReceipts[Item Name],$A437,tblReceipts[Expiry Date],$H437,tblReceipts[Lot Number],"&lt;"&amp;Receipts!$C440))</f>
        <v/>
      </c>
      <c r="L437" s="26" t="str">
        <f>IF($A437="","",MIN($D437,MAX(0,SUMIFS(tblIssues[Qty Issued],tblIssues[Item Name],$A437)-$K437)))</f>
        <v/>
      </c>
      <c r="M437" s="26" t="str">
        <f>IF($A437="","",SUMIFS(tblIssues[Qty Issued],tblIssues[Lot Number],$B437))</f>
        <v/>
      </c>
      <c r="N437" s="26" t="str">
        <f t="shared" si="32"/>
        <v/>
      </c>
      <c r="O437" s="26" t="str">
        <f t="shared" si="33"/>
        <v/>
      </c>
      <c r="P437" s="21" t="str">
        <f t="shared" si="34"/>
        <v/>
      </c>
      <c r="Q437" s="52" t="str">
        <f>IF($A437="","",IF($O437&lt;=0,"Depleted",IF($I437&lt;0,"EXPIRED",IF($I437&lt;=Settings!$C$6,"CRITICAL",IF($I437&lt;=Settings!$C$5,"Expiring","In date")))))</f>
        <v/>
      </c>
    </row>
    <row r="438" spans="1:17" x14ac:dyDescent="0.35">
      <c r="A438" s="90" t="str">
        <f>IF(Receipts!$D441="","",Receipts!$D441)</f>
        <v/>
      </c>
      <c r="B438" s="18" t="str">
        <f>IF(Receipts!$C441="","",Receipts!$C441)</f>
        <v/>
      </c>
      <c r="C438" s="18" t="str">
        <f>IF($A438="","",IFERROR(INDEX(Items!$B$5:$B$597,MATCH($A438,Items!$A$5:$A$597,0)),""))</f>
        <v/>
      </c>
      <c r="D438" s="23" t="str">
        <f>IF($A438="","",N(Receipts!$G441))</f>
        <v/>
      </c>
      <c r="E438" s="20" t="str">
        <f>IF($A438="","",IFERROR(INDEX(Items!$D$5:$D$597,MATCH($A438,Items!$A$5:$A$597,0)),0))</f>
        <v/>
      </c>
      <c r="F438" s="21" t="str">
        <f t="shared" si="30"/>
        <v/>
      </c>
      <c r="G438" s="25" t="str">
        <f>IF(Receipts!$I441="","",Receipts!$I441)</f>
        <v/>
      </c>
      <c r="H438" s="25" t="str">
        <f>IF(Receipts!$H441="","",Receipts!$H441)</f>
        <v/>
      </c>
      <c r="I438" s="26" t="str">
        <f t="shared" ca="1" si="31"/>
        <v/>
      </c>
      <c r="J438" s="26" t="str">
        <f>IF($A438="","",COUNTIFS(tblReceipts[Item Name],$A438,tblReceipts[Expiry Date],"&lt;"&amp;$H438)+COUNTIFS(tblReceipts[Item Name],$A438,tblReceipts[Expiry Date],$H438,tblReceipts[Lot Number],"&lt;="&amp;Receipts!$C441))</f>
        <v/>
      </c>
      <c r="K438" s="26" t="str">
        <f>IF($A438="","",SUMIFS(tblReceipts[Qty Received],tblReceipts[Item Name],$A438,tblReceipts[Expiry Date],"&lt;"&amp;$H438)+SUMIFS(tblReceipts[Qty Received],tblReceipts[Item Name],$A438,tblReceipts[Expiry Date],$H438,tblReceipts[Lot Number],"&lt;"&amp;Receipts!$C441))</f>
        <v/>
      </c>
      <c r="L438" s="26" t="str">
        <f>IF($A438="","",MIN($D438,MAX(0,SUMIFS(tblIssues[Qty Issued],tblIssues[Item Name],$A438)-$K438)))</f>
        <v/>
      </c>
      <c r="M438" s="26" t="str">
        <f>IF($A438="","",SUMIFS(tblIssues[Qty Issued],tblIssues[Lot Number],$B438))</f>
        <v/>
      </c>
      <c r="N438" s="26" t="str">
        <f t="shared" si="32"/>
        <v/>
      </c>
      <c r="O438" s="26" t="str">
        <f t="shared" si="33"/>
        <v/>
      </c>
      <c r="P438" s="21" t="str">
        <f t="shared" si="34"/>
        <v/>
      </c>
      <c r="Q438" s="52" t="str">
        <f>IF($A438="","",IF($O438&lt;=0,"Depleted",IF($I438&lt;0,"EXPIRED",IF($I438&lt;=Settings!$C$6,"CRITICAL",IF($I438&lt;=Settings!$C$5,"Expiring","In date")))))</f>
        <v/>
      </c>
    </row>
    <row r="439" spans="1:17" x14ac:dyDescent="0.35">
      <c r="A439" s="90" t="str">
        <f>IF(Receipts!$D442="","",Receipts!$D442)</f>
        <v/>
      </c>
      <c r="B439" s="18" t="str">
        <f>IF(Receipts!$C442="","",Receipts!$C442)</f>
        <v/>
      </c>
      <c r="C439" s="18" t="str">
        <f>IF($A439="","",IFERROR(INDEX(Items!$B$5:$B$597,MATCH($A439,Items!$A$5:$A$597,0)),""))</f>
        <v/>
      </c>
      <c r="D439" s="23" t="str">
        <f>IF($A439="","",N(Receipts!$G442))</f>
        <v/>
      </c>
      <c r="E439" s="20" t="str">
        <f>IF($A439="","",IFERROR(INDEX(Items!$D$5:$D$597,MATCH($A439,Items!$A$5:$A$597,0)),0))</f>
        <v/>
      </c>
      <c r="F439" s="21" t="str">
        <f t="shared" si="30"/>
        <v/>
      </c>
      <c r="G439" s="25" t="str">
        <f>IF(Receipts!$I442="","",Receipts!$I442)</f>
        <v/>
      </c>
      <c r="H439" s="25" t="str">
        <f>IF(Receipts!$H442="","",Receipts!$H442)</f>
        <v/>
      </c>
      <c r="I439" s="26" t="str">
        <f t="shared" ca="1" si="31"/>
        <v/>
      </c>
      <c r="J439" s="26" t="str">
        <f>IF($A439="","",COUNTIFS(tblReceipts[Item Name],$A439,tblReceipts[Expiry Date],"&lt;"&amp;$H439)+COUNTIFS(tblReceipts[Item Name],$A439,tblReceipts[Expiry Date],$H439,tblReceipts[Lot Number],"&lt;="&amp;Receipts!$C442))</f>
        <v/>
      </c>
      <c r="K439" s="26" t="str">
        <f>IF($A439="","",SUMIFS(tblReceipts[Qty Received],tblReceipts[Item Name],$A439,tblReceipts[Expiry Date],"&lt;"&amp;$H439)+SUMIFS(tblReceipts[Qty Received],tblReceipts[Item Name],$A439,tblReceipts[Expiry Date],$H439,tblReceipts[Lot Number],"&lt;"&amp;Receipts!$C442))</f>
        <v/>
      </c>
      <c r="L439" s="26" t="str">
        <f>IF($A439="","",MIN($D439,MAX(0,SUMIFS(tblIssues[Qty Issued],tblIssues[Item Name],$A439)-$K439)))</f>
        <v/>
      </c>
      <c r="M439" s="26" t="str">
        <f>IF($A439="","",SUMIFS(tblIssues[Qty Issued],tblIssues[Lot Number],$B439))</f>
        <v/>
      </c>
      <c r="N439" s="26" t="str">
        <f t="shared" si="32"/>
        <v/>
      </c>
      <c r="O439" s="26" t="str">
        <f t="shared" si="33"/>
        <v/>
      </c>
      <c r="P439" s="21" t="str">
        <f t="shared" si="34"/>
        <v/>
      </c>
      <c r="Q439" s="52" t="str">
        <f>IF($A439="","",IF($O439&lt;=0,"Depleted",IF($I439&lt;0,"EXPIRED",IF($I439&lt;=Settings!$C$6,"CRITICAL",IF($I439&lt;=Settings!$C$5,"Expiring","In date")))))</f>
        <v/>
      </c>
    </row>
    <row r="440" spans="1:17" x14ac:dyDescent="0.35">
      <c r="A440" s="90" t="str">
        <f>IF(Receipts!$D443="","",Receipts!$D443)</f>
        <v/>
      </c>
      <c r="B440" s="18" t="str">
        <f>IF(Receipts!$C443="","",Receipts!$C443)</f>
        <v/>
      </c>
      <c r="C440" s="18" t="str">
        <f>IF($A440="","",IFERROR(INDEX(Items!$B$5:$B$597,MATCH($A440,Items!$A$5:$A$597,0)),""))</f>
        <v/>
      </c>
      <c r="D440" s="23" t="str">
        <f>IF($A440="","",N(Receipts!$G443))</f>
        <v/>
      </c>
      <c r="E440" s="20" t="str">
        <f>IF($A440="","",IFERROR(INDEX(Items!$D$5:$D$597,MATCH($A440,Items!$A$5:$A$597,0)),0))</f>
        <v/>
      </c>
      <c r="F440" s="21" t="str">
        <f t="shared" si="30"/>
        <v/>
      </c>
      <c r="G440" s="25" t="str">
        <f>IF(Receipts!$I443="","",Receipts!$I443)</f>
        <v/>
      </c>
      <c r="H440" s="25" t="str">
        <f>IF(Receipts!$H443="","",Receipts!$H443)</f>
        <v/>
      </c>
      <c r="I440" s="26" t="str">
        <f t="shared" ca="1" si="31"/>
        <v/>
      </c>
      <c r="J440" s="26" t="str">
        <f>IF($A440="","",COUNTIFS(tblReceipts[Item Name],$A440,tblReceipts[Expiry Date],"&lt;"&amp;$H440)+COUNTIFS(tblReceipts[Item Name],$A440,tblReceipts[Expiry Date],$H440,tblReceipts[Lot Number],"&lt;="&amp;Receipts!$C443))</f>
        <v/>
      </c>
      <c r="K440" s="26" t="str">
        <f>IF($A440="","",SUMIFS(tblReceipts[Qty Received],tblReceipts[Item Name],$A440,tblReceipts[Expiry Date],"&lt;"&amp;$H440)+SUMIFS(tblReceipts[Qty Received],tblReceipts[Item Name],$A440,tblReceipts[Expiry Date],$H440,tblReceipts[Lot Number],"&lt;"&amp;Receipts!$C443))</f>
        <v/>
      </c>
      <c r="L440" s="26" t="str">
        <f>IF($A440="","",MIN($D440,MAX(0,SUMIFS(tblIssues[Qty Issued],tblIssues[Item Name],$A440)-$K440)))</f>
        <v/>
      </c>
      <c r="M440" s="26" t="str">
        <f>IF($A440="","",SUMIFS(tblIssues[Qty Issued],tblIssues[Lot Number],$B440))</f>
        <v/>
      </c>
      <c r="N440" s="26" t="str">
        <f t="shared" si="32"/>
        <v/>
      </c>
      <c r="O440" s="26" t="str">
        <f t="shared" si="33"/>
        <v/>
      </c>
      <c r="P440" s="21" t="str">
        <f t="shared" si="34"/>
        <v/>
      </c>
      <c r="Q440" s="52" t="str">
        <f>IF($A440="","",IF($O440&lt;=0,"Depleted",IF($I440&lt;0,"EXPIRED",IF($I440&lt;=Settings!$C$6,"CRITICAL",IF($I440&lt;=Settings!$C$5,"Expiring","In date")))))</f>
        <v/>
      </c>
    </row>
    <row r="441" spans="1:17" x14ac:dyDescent="0.35">
      <c r="A441" s="90" t="str">
        <f>IF(Receipts!$D444="","",Receipts!$D444)</f>
        <v/>
      </c>
      <c r="B441" s="18" t="str">
        <f>IF(Receipts!$C444="","",Receipts!$C444)</f>
        <v/>
      </c>
      <c r="C441" s="18" t="str">
        <f>IF($A441="","",IFERROR(INDEX(Items!$B$5:$B$597,MATCH($A441,Items!$A$5:$A$597,0)),""))</f>
        <v/>
      </c>
      <c r="D441" s="23" t="str">
        <f>IF($A441="","",N(Receipts!$G444))</f>
        <v/>
      </c>
      <c r="E441" s="20" t="str">
        <f>IF($A441="","",IFERROR(INDEX(Items!$D$5:$D$597,MATCH($A441,Items!$A$5:$A$597,0)),0))</f>
        <v/>
      </c>
      <c r="F441" s="21" t="str">
        <f t="shared" si="30"/>
        <v/>
      </c>
      <c r="G441" s="25" t="str">
        <f>IF(Receipts!$I444="","",Receipts!$I444)</f>
        <v/>
      </c>
      <c r="H441" s="25" t="str">
        <f>IF(Receipts!$H444="","",Receipts!$H444)</f>
        <v/>
      </c>
      <c r="I441" s="26" t="str">
        <f t="shared" ca="1" si="31"/>
        <v/>
      </c>
      <c r="J441" s="26" t="str">
        <f>IF($A441="","",COUNTIFS(tblReceipts[Item Name],$A441,tblReceipts[Expiry Date],"&lt;"&amp;$H441)+COUNTIFS(tblReceipts[Item Name],$A441,tblReceipts[Expiry Date],$H441,tblReceipts[Lot Number],"&lt;="&amp;Receipts!$C444))</f>
        <v/>
      </c>
      <c r="K441" s="26" t="str">
        <f>IF($A441="","",SUMIFS(tblReceipts[Qty Received],tblReceipts[Item Name],$A441,tblReceipts[Expiry Date],"&lt;"&amp;$H441)+SUMIFS(tblReceipts[Qty Received],tblReceipts[Item Name],$A441,tblReceipts[Expiry Date],$H441,tblReceipts[Lot Number],"&lt;"&amp;Receipts!$C444))</f>
        <v/>
      </c>
      <c r="L441" s="26" t="str">
        <f>IF($A441="","",MIN($D441,MAX(0,SUMIFS(tblIssues[Qty Issued],tblIssues[Item Name],$A441)-$K441)))</f>
        <v/>
      </c>
      <c r="M441" s="26" t="str">
        <f>IF($A441="","",SUMIFS(tblIssues[Qty Issued],tblIssues[Lot Number],$B441))</f>
        <v/>
      </c>
      <c r="N441" s="26" t="str">
        <f t="shared" si="32"/>
        <v/>
      </c>
      <c r="O441" s="26" t="str">
        <f t="shared" si="33"/>
        <v/>
      </c>
      <c r="P441" s="21" t="str">
        <f t="shared" si="34"/>
        <v/>
      </c>
      <c r="Q441" s="52" t="str">
        <f>IF($A441="","",IF($O441&lt;=0,"Depleted",IF($I441&lt;0,"EXPIRED",IF($I441&lt;=Settings!$C$6,"CRITICAL",IF($I441&lt;=Settings!$C$5,"Expiring","In date")))))</f>
        <v/>
      </c>
    </row>
    <row r="442" spans="1:17" x14ac:dyDescent="0.35">
      <c r="A442" s="90" t="str">
        <f>IF(Receipts!$D445="","",Receipts!$D445)</f>
        <v/>
      </c>
      <c r="B442" s="18" t="str">
        <f>IF(Receipts!$C445="","",Receipts!$C445)</f>
        <v/>
      </c>
      <c r="C442" s="18" t="str">
        <f>IF($A442="","",IFERROR(INDEX(Items!$B$5:$B$597,MATCH($A442,Items!$A$5:$A$597,0)),""))</f>
        <v/>
      </c>
      <c r="D442" s="23" t="str">
        <f>IF($A442="","",N(Receipts!$G445))</f>
        <v/>
      </c>
      <c r="E442" s="20" t="str">
        <f>IF($A442="","",IFERROR(INDEX(Items!$D$5:$D$597,MATCH($A442,Items!$A$5:$A$597,0)),0))</f>
        <v/>
      </c>
      <c r="F442" s="21" t="str">
        <f t="shared" si="30"/>
        <v/>
      </c>
      <c r="G442" s="25" t="str">
        <f>IF(Receipts!$I445="","",Receipts!$I445)</f>
        <v/>
      </c>
      <c r="H442" s="25" t="str">
        <f>IF(Receipts!$H445="","",Receipts!$H445)</f>
        <v/>
      </c>
      <c r="I442" s="26" t="str">
        <f t="shared" ca="1" si="31"/>
        <v/>
      </c>
      <c r="J442" s="26" t="str">
        <f>IF($A442="","",COUNTIFS(tblReceipts[Item Name],$A442,tblReceipts[Expiry Date],"&lt;"&amp;$H442)+COUNTIFS(tblReceipts[Item Name],$A442,tblReceipts[Expiry Date],$H442,tblReceipts[Lot Number],"&lt;="&amp;Receipts!$C445))</f>
        <v/>
      </c>
      <c r="K442" s="26" t="str">
        <f>IF($A442="","",SUMIFS(tblReceipts[Qty Received],tblReceipts[Item Name],$A442,tblReceipts[Expiry Date],"&lt;"&amp;$H442)+SUMIFS(tblReceipts[Qty Received],tblReceipts[Item Name],$A442,tblReceipts[Expiry Date],$H442,tblReceipts[Lot Number],"&lt;"&amp;Receipts!$C445))</f>
        <v/>
      </c>
      <c r="L442" s="26" t="str">
        <f>IF($A442="","",MIN($D442,MAX(0,SUMIFS(tblIssues[Qty Issued],tblIssues[Item Name],$A442)-$K442)))</f>
        <v/>
      </c>
      <c r="M442" s="26" t="str">
        <f>IF($A442="","",SUMIFS(tblIssues[Qty Issued],tblIssues[Lot Number],$B442))</f>
        <v/>
      </c>
      <c r="N442" s="26" t="str">
        <f t="shared" si="32"/>
        <v/>
      </c>
      <c r="O442" s="26" t="str">
        <f t="shared" si="33"/>
        <v/>
      </c>
      <c r="P442" s="21" t="str">
        <f t="shared" si="34"/>
        <v/>
      </c>
      <c r="Q442" s="52" t="str">
        <f>IF($A442="","",IF($O442&lt;=0,"Depleted",IF($I442&lt;0,"EXPIRED",IF($I442&lt;=Settings!$C$6,"CRITICAL",IF($I442&lt;=Settings!$C$5,"Expiring","In date")))))</f>
        <v/>
      </c>
    </row>
    <row r="443" spans="1:17" x14ac:dyDescent="0.35">
      <c r="A443" s="90" t="str">
        <f>IF(Receipts!$D446="","",Receipts!$D446)</f>
        <v/>
      </c>
      <c r="B443" s="18" t="str">
        <f>IF(Receipts!$C446="","",Receipts!$C446)</f>
        <v/>
      </c>
      <c r="C443" s="18" t="str">
        <f>IF($A443="","",IFERROR(INDEX(Items!$B$5:$B$597,MATCH($A443,Items!$A$5:$A$597,0)),""))</f>
        <v/>
      </c>
      <c r="D443" s="23" t="str">
        <f>IF($A443="","",N(Receipts!$G446))</f>
        <v/>
      </c>
      <c r="E443" s="20" t="str">
        <f>IF($A443="","",IFERROR(INDEX(Items!$D$5:$D$597,MATCH($A443,Items!$A$5:$A$597,0)),0))</f>
        <v/>
      </c>
      <c r="F443" s="21" t="str">
        <f t="shared" si="30"/>
        <v/>
      </c>
      <c r="G443" s="25" t="str">
        <f>IF(Receipts!$I446="","",Receipts!$I446)</f>
        <v/>
      </c>
      <c r="H443" s="25" t="str">
        <f>IF(Receipts!$H446="","",Receipts!$H446)</f>
        <v/>
      </c>
      <c r="I443" s="26" t="str">
        <f t="shared" ca="1" si="31"/>
        <v/>
      </c>
      <c r="J443" s="26" t="str">
        <f>IF($A443="","",COUNTIFS(tblReceipts[Item Name],$A443,tblReceipts[Expiry Date],"&lt;"&amp;$H443)+COUNTIFS(tblReceipts[Item Name],$A443,tblReceipts[Expiry Date],$H443,tblReceipts[Lot Number],"&lt;="&amp;Receipts!$C446))</f>
        <v/>
      </c>
      <c r="K443" s="26" t="str">
        <f>IF($A443="","",SUMIFS(tblReceipts[Qty Received],tblReceipts[Item Name],$A443,tblReceipts[Expiry Date],"&lt;"&amp;$H443)+SUMIFS(tblReceipts[Qty Received],tblReceipts[Item Name],$A443,tblReceipts[Expiry Date],$H443,tblReceipts[Lot Number],"&lt;"&amp;Receipts!$C446))</f>
        <v/>
      </c>
      <c r="L443" s="26" t="str">
        <f>IF($A443="","",MIN($D443,MAX(0,SUMIFS(tblIssues[Qty Issued],tblIssues[Item Name],$A443)-$K443)))</f>
        <v/>
      </c>
      <c r="M443" s="26" t="str">
        <f>IF($A443="","",SUMIFS(tblIssues[Qty Issued],tblIssues[Lot Number],$B443))</f>
        <v/>
      </c>
      <c r="N443" s="26" t="str">
        <f t="shared" si="32"/>
        <v/>
      </c>
      <c r="O443" s="26" t="str">
        <f t="shared" si="33"/>
        <v/>
      </c>
      <c r="P443" s="21" t="str">
        <f t="shared" si="34"/>
        <v/>
      </c>
      <c r="Q443" s="52" t="str">
        <f>IF($A443="","",IF($O443&lt;=0,"Depleted",IF($I443&lt;0,"EXPIRED",IF($I443&lt;=Settings!$C$6,"CRITICAL",IF($I443&lt;=Settings!$C$5,"Expiring","In date")))))</f>
        <v/>
      </c>
    </row>
    <row r="444" spans="1:17" x14ac:dyDescent="0.35">
      <c r="A444" s="90" t="str">
        <f>IF(Receipts!$D447="","",Receipts!$D447)</f>
        <v/>
      </c>
      <c r="B444" s="18" t="str">
        <f>IF(Receipts!$C447="","",Receipts!$C447)</f>
        <v/>
      </c>
      <c r="C444" s="18" t="str">
        <f>IF($A444="","",IFERROR(INDEX(Items!$B$5:$B$597,MATCH($A444,Items!$A$5:$A$597,0)),""))</f>
        <v/>
      </c>
      <c r="D444" s="23" t="str">
        <f>IF($A444="","",N(Receipts!$G447))</f>
        <v/>
      </c>
      <c r="E444" s="20" t="str">
        <f>IF($A444="","",IFERROR(INDEX(Items!$D$5:$D$597,MATCH($A444,Items!$A$5:$A$597,0)),0))</f>
        <v/>
      </c>
      <c r="F444" s="21" t="str">
        <f t="shared" si="30"/>
        <v/>
      </c>
      <c r="G444" s="25" t="str">
        <f>IF(Receipts!$I447="","",Receipts!$I447)</f>
        <v/>
      </c>
      <c r="H444" s="25" t="str">
        <f>IF(Receipts!$H447="","",Receipts!$H447)</f>
        <v/>
      </c>
      <c r="I444" s="26" t="str">
        <f t="shared" ca="1" si="31"/>
        <v/>
      </c>
      <c r="J444" s="26" t="str">
        <f>IF($A444="","",COUNTIFS(tblReceipts[Item Name],$A444,tblReceipts[Expiry Date],"&lt;"&amp;$H444)+COUNTIFS(tblReceipts[Item Name],$A444,tblReceipts[Expiry Date],$H444,tblReceipts[Lot Number],"&lt;="&amp;Receipts!$C447))</f>
        <v/>
      </c>
      <c r="K444" s="26" t="str">
        <f>IF($A444="","",SUMIFS(tblReceipts[Qty Received],tblReceipts[Item Name],$A444,tblReceipts[Expiry Date],"&lt;"&amp;$H444)+SUMIFS(tblReceipts[Qty Received],tblReceipts[Item Name],$A444,tblReceipts[Expiry Date],$H444,tblReceipts[Lot Number],"&lt;"&amp;Receipts!$C447))</f>
        <v/>
      </c>
      <c r="L444" s="26" t="str">
        <f>IF($A444="","",MIN($D444,MAX(0,SUMIFS(tblIssues[Qty Issued],tblIssues[Item Name],$A444)-$K444)))</f>
        <v/>
      </c>
      <c r="M444" s="26" t="str">
        <f>IF($A444="","",SUMIFS(tblIssues[Qty Issued],tblIssues[Lot Number],$B444))</f>
        <v/>
      </c>
      <c r="N444" s="26" t="str">
        <f t="shared" si="32"/>
        <v/>
      </c>
      <c r="O444" s="26" t="str">
        <f t="shared" si="33"/>
        <v/>
      </c>
      <c r="P444" s="21" t="str">
        <f t="shared" si="34"/>
        <v/>
      </c>
      <c r="Q444" s="52" t="str">
        <f>IF($A444="","",IF($O444&lt;=0,"Depleted",IF($I444&lt;0,"EXPIRED",IF($I444&lt;=Settings!$C$6,"CRITICAL",IF($I444&lt;=Settings!$C$5,"Expiring","In date")))))</f>
        <v/>
      </c>
    </row>
    <row r="445" spans="1:17" x14ac:dyDescent="0.35">
      <c r="A445" s="90" t="str">
        <f>IF(Receipts!$D448="","",Receipts!$D448)</f>
        <v/>
      </c>
      <c r="B445" s="18" t="str">
        <f>IF(Receipts!$C448="","",Receipts!$C448)</f>
        <v/>
      </c>
      <c r="C445" s="18" t="str">
        <f>IF($A445="","",IFERROR(INDEX(Items!$B$5:$B$597,MATCH($A445,Items!$A$5:$A$597,0)),""))</f>
        <v/>
      </c>
      <c r="D445" s="23" t="str">
        <f>IF($A445="","",N(Receipts!$G448))</f>
        <v/>
      </c>
      <c r="E445" s="20" t="str">
        <f>IF($A445="","",IFERROR(INDEX(Items!$D$5:$D$597,MATCH($A445,Items!$A$5:$A$597,0)),0))</f>
        <v/>
      </c>
      <c r="F445" s="21" t="str">
        <f t="shared" si="30"/>
        <v/>
      </c>
      <c r="G445" s="25" t="str">
        <f>IF(Receipts!$I448="","",Receipts!$I448)</f>
        <v/>
      </c>
      <c r="H445" s="25" t="str">
        <f>IF(Receipts!$H448="","",Receipts!$H448)</f>
        <v/>
      </c>
      <c r="I445" s="26" t="str">
        <f t="shared" ca="1" si="31"/>
        <v/>
      </c>
      <c r="J445" s="26" t="str">
        <f>IF($A445="","",COUNTIFS(tblReceipts[Item Name],$A445,tblReceipts[Expiry Date],"&lt;"&amp;$H445)+COUNTIFS(tblReceipts[Item Name],$A445,tblReceipts[Expiry Date],$H445,tblReceipts[Lot Number],"&lt;="&amp;Receipts!$C448))</f>
        <v/>
      </c>
      <c r="K445" s="26" t="str">
        <f>IF($A445="","",SUMIFS(tblReceipts[Qty Received],tblReceipts[Item Name],$A445,tblReceipts[Expiry Date],"&lt;"&amp;$H445)+SUMIFS(tblReceipts[Qty Received],tblReceipts[Item Name],$A445,tblReceipts[Expiry Date],$H445,tblReceipts[Lot Number],"&lt;"&amp;Receipts!$C448))</f>
        <v/>
      </c>
      <c r="L445" s="26" t="str">
        <f>IF($A445="","",MIN($D445,MAX(0,SUMIFS(tblIssues[Qty Issued],tblIssues[Item Name],$A445)-$K445)))</f>
        <v/>
      </c>
      <c r="M445" s="26" t="str">
        <f>IF($A445="","",SUMIFS(tblIssues[Qty Issued],tblIssues[Lot Number],$B445))</f>
        <v/>
      </c>
      <c r="N445" s="26" t="str">
        <f t="shared" si="32"/>
        <v/>
      </c>
      <c r="O445" s="26" t="str">
        <f t="shared" si="33"/>
        <v/>
      </c>
      <c r="P445" s="21" t="str">
        <f t="shared" si="34"/>
        <v/>
      </c>
      <c r="Q445" s="52" t="str">
        <f>IF($A445="","",IF($O445&lt;=0,"Depleted",IF($I445&lt;0,"EXPIRED",IF($I445&lt;=Settings!$C$6,"CRITICAL",IF($I445&lt;=Settings!$C$5,"Expiring","In date")))))</f>
        <v/>
      </c>
    </row>
    <row r="446" spans="1:17" x14ac:dyDescent="0.35">
      <c r="A446" s="90" t="str">
        <f>IF(Receipts!$D449="","",Receipts!$D449)</f>
        <v/>
      </c>
      <c r="B446" s="18" t="str">
        <f>IF(Receipts!$C449="","",Receipts!$C449)</f>
        <v/>
      </c>
      <c r="C446" s="18" t="str">
        <f>IF($A446="","",IFERROR(INDEX(Items!$B$5:$B$597,MATCH($A446,Items!$A$5:$A$597,0)),""))</f>
        <v/>
      </c>
      <c r="D446" s="23" t="str">
        <f>IF($A446="","",N(Receipts!$G449))</f>
        <v/>
      </c>
      <c r="E446" s="20" t="str">
        <f>IF($A446="","",IFERROR(INDEX(Items!$D$5:$D$597,MATCH($A446,Items!$A$5:$A$597,0)),0))</f>
        <v/>
      </c>
      <c r="F446" s="21" t="str">
        <f t="shared" si="30"/>
        <v/>
      </c>
      <c r="G446" s="25" t="str">
        <f>IF(Receipts!$I449="","",Receipts!$I449)</f>
        <v/>
      </c>
      <c r="H446" s="25" t="str">
        <f>IF(Receipts!$H449="","",Receipts!$H449)</f>
        <v/>
      </c>
      <c r="I446" s="26" t="str">
        <f t="shared" ca="1" si="31"/>
        <v/>
      </c>
      <c r="J446" s="26" t="str">
        <f>IF($A446="","",COUNTIFS(tblReceipts[Item Name],$A446,tblReceipts[Expiry Date],"&lt;"&amp;$H446)+COUNTIFS(tblReceipts[Item Name],$A446,tblReceipts[Expiry Date],$H446,tblReceipts[Lot Number],"&lt;="&amp;Receipts!$C449))</f>
        <v/>
      </c>
      <c r="K446" s="26" t="str">
        <f>IF($A446="","",SUMIFS(tblReceipts[Qty Received],tblReceipts[Item Name],$A446,tblReceipts[Expiry Date],"&lt;"&amp;$H446)+SUMIFS(tblReceipts[Qty Received],tblReceipts[Item Name],$A446,tblReceipts[Expiry Date],$H446,tblReceipts[Lot Number],"&lt;"&amp;Receipts!$C449))</f>
        <v/>
      </c>
      <c r="L446" s="26" t="str">
        <f>IF($A446="","",MIN($D446,MAX(0,SUMIFS(tblIssues[Qty Issued],tblIssues[Item Name],$A446)-$K446)))</f>
        <v/>
      </c>
      <c r="M446" s="26" t="str">
        <f>IF($A446="","",SUMIFS(tblIssues[Qty Issued],tblIssues[Lot Number],$B446))</f>
        <v/>
      </c>
      <c r="N446" s="26" t="str">
        <f t="shared" si="32"/>
        <v/>
      </c>
      <c r="O446" s="26" t="str">
        <f t="shared" si="33"/>
        <v/>
      </c>
      <c r="P446" s="21" t="str">
        <f t="shared" si="34"/>
        <v/>
      </c>
      <c r="Q446" s="52" t="str">
        <f>IF($A446="","",IF($O446&lt;=0,"Depleted",IF($I446&lt;0,"EXPIRED",IF($I446&lt;=Settings!$C$6,"CRITICAL",IF($I446&lt;=Settings!$C$5,"Expiring","In date")))))</f>
        <v/>
      </c>
    </row>
    <row r="447" spans="1:17" x14ac:dyDescent="0.35">
      <c r="A447" s="90" t="str">
        <f>IF(Receipts!$D450="","",Receipts!$D450)</f>
        <v/>
      </c>
      <c r="B447" s="18" t="str">
        <f>IF(Receipts!$C450="","",Receipts!$C450)</f>
        <v/>
      </c>
      <c r="C447" s="18" t="str">
        <f>IF($A447="","",IFERROR(INDEX(Items!$B$5:$B$597,MATCH($A447,Items!$A$5:$A$597,0)),""))</f>
        <v/>
      </c>
      <c r="D447" s="23" t="str">
        <f>IF($A447="","",N(Receipts!$G450))</f>
        <v/>
      </c>
      <c r="E447" s="20" t="str">
        <f>IF($A447="","",IFERROR(INDEX(Items!$D$5:$D$597,MATCH($A447,Items!$A$5:$A$597,0)),0))</f>
        <v/>
      </c>
      <c r="F447" s="21" t="str">
        <f t="shared" si="30"/>
        <v/>
      </c>
      <c r="G447" s="25" t="str">
        <f>IF(Receipts!$I450="","",Receipts!$I450)</f>
        <v/>
      </c>
      <c r="H447" s="25" t="str">
        <f>IF(Receipts!$H450="","",Receipts!$H450)</f>
        <v/>
      </c>
      <c r="I447" s="26" t="str">
        <f t="shared" ca="1" si="31"/>
        <v/>
      </c>
      <c r="J447" s="26" t="str">
        <f>IF($A447="","",COUNTIFS(tblReceipts[Item Name],$A447,tblReceipts[Expiry Date],"&lt;"&amp;$H447)+COUNTIFS(tblReceipts[Item Name],$A447,tblReceipts[Expiry Date],$H447,tblReceipts[Lot Number],"&lt;="&amp;Receipts!$C450))</f>
        <v/>
      </c>
      <c r="K447" s="26" t="str">
        <f>IF($A447="","",SUMIFS(tblReceipts[Qty Received],tblReceipts[Item Name],$A447,tblReceipts[Expiry Date],"&lt;"&amp;$H447)+SUMIFS(tblReceipts[Qty Received],tblReceipts[Item Name],$A447,tblReceipts[Expiry Date],$H447,tblReceipts[Lot Number],"&lt;"&amp;Receipts!$C450))</f>
        <v/>
      </c>
      <c r="L447" s="26" t="str">
        <f>IF($A447="","",MIN($D447,MAX(0,SUMIFS(tblIssues[Qty Issued],tblIssues[Item Name],$A447)-$K447)))</f>
        <v/>
      </c>
      <c r="M447" s="26" t="str">
        <f>IF($A447="","",SUMIFS(tblIssues[Qty Issued],tblIssues[Lot Number],$B447))</f>
        <v/>
      </c>
      <c r="N447" s="26" t="str">
        <f t="shared" si="32"/>
        <v/>
      </c>
      <c r="O447" s="26" t="str">
        <f t="shared" si="33"/>
        <v/>
      </c>
      <c r="P447" s="21" t="str">
        <f t="shared" si="34"/>
        <v/>
      </c>
      <c r="Q447" s="52" t="str">
        <f>IF($A447="","",IF($O447&lt;=0,"Depleted",IF($I447&lt;0,"EXPIRED",IF($I447&lt;=Settings!$C$6,"CRITICAL",IF($I447&lt;=Settings!$C$5,"Expiring","In date")))))</f>
        <v/>
      </c>
    </row>
    <row r="448" spans="1:17" x14ac:dyDescent="0.35">
      <c r="A448" s="90" t="str">
        <f>IF(Receipts!$D451="","",Receipts!$D451)</f>
        <v/>
      </c>
      <c r="B448" s="18" t="str">
        <f>IF(Receipts!$C451="","",Receipts!$C451)</f>
        <v/>
      </c>
      <c r="C448" s="18" t="str">
        <f>IF($A448="","",IFERROR(INDEX(Items!$B$5:$B$597,MATCH($A448,Items!$A$5:$A$597,0)),""))</f>
        <v/>
      </c>
      <c r="D448" s="23" t="str">
        <f>IF($A448="","",N(Receipts!$G451))</f>
        <v/>
      </c>
      <c r="E448" s="20" t="str">
        <f>IF($A448="","",IFERROR(INDEX(Items!$D$5:$D$597,MATCH($A448,Items!$A$5:$A$597,0)),0))</f>
        <v/>
      </c>
      <c r="F448" s="21" t="str">
        <f t="shared" si="30"/>
        <v/>
      </c>
      <c r="G448" s="25" t="str">
        <f>IF(Receipts!$I451="","",Receipts!$I451)</f>
        <v/>
      </c>
      <c r="H448" s="25" t="str">
        <f>IF(Receipts!$H451="","",Receipts!$H451)</f>
        <v/>
      </c>
      <c r="I448" s="26" t="str">
        <f t="shared" ca="1" si="31"/>
        <v/>
      </c>
      <c r="J448" s="26" t="str">
        <f>IF($A448="","",COUNTIFS(tblReceipts[Item Name],$A448,tblReceipts[Expiry Date],"&lt;"&amp;$H448)+COUNTIFS(tblReceipts[Item Name],$A448,tblReceipts[Expiry Date],$H448,tblReceipts[Lot Number],"&lt;="&amp;Receipts!$C451))</f>
        <v/>
      </c>
      <c r="K448" s="26" t="str">
        <f>IF($A448="","",SUMIFS(tblReceipts[Qty Received],tblReceipts[Item Name],$A448,tblReceipts[Expiry Date],"&lt;"&amp;$H448)+SUMIFS(tblReceipts[Qty Received],tblReceipts[Item Name],$A448,tblReceipts[Expiry Date],$H448,tblReceipts[Lot Number],"&lt;"&amp;Receipts!$C451))</f>
        <v/>
      </c>
      <c r="L448" s="26" t="str">
        <f>IF($A448="","",MIN($D448,MAX(0,SUMIFS(tblIssues[Qty Issued],tblIssues[Item Name],$A448)-$K448)))</f>
        <v/>
      </c>
      <c r="M448" s="26" t="str">
        <f>IF($A448="","",SUMIFS(tblIssues[Qty Issued],tblIssues[Lot Number],$B448))</f>
        <v/>
      </c>
      <c r="N448" s="26" t="str">
        <f t="shared" si="32"/>
        <v/>
      </c>
      <c r="O448" s="26" t="str">
        <f t="shared" si="33"/>
        <v/>
      </c>
      <c r="P448" s="21" t="str">
        <f t="shared" si="34"/>
        <v/>
      </c>
      <c r="Q448" s="52" t="str">
        <f>IF($A448="","",IF($O448&lt;=0,"Depleted",IF($I448&lt;0,"EXPIRED",IF($I448&lt;=Settings!$C$6,"CRITICAL",IF($I448&lt;=Settings!$C$5,"Expiring","In date")))))</f>
        <v/>
      </c>
    </row>
    <row r="449" spans="1:17" x14ac:dyDescent="0.35">
      <c r="A449" s="90" t="str">
        <f>IF(Receipts!$D452="","",Receipts!$D452)</f>
        <v/>
      </c>
      <c r="B449" s="18" t="str">
        <f>IF(Receipts!$C452="","",Receipts!$C452)</f>
        <v/>
      </c>
      <c r="C449" s="18" t="str">
        <f>IF($A449="","",IFERROR(INDEX(Items!$B$5:$B$597,MATCH($A449,Items!$A$5:$A$597,0)),""))</f>
        <v/>
      </c>
      <c r="D449" s="23" t="str">
        <f>IF($A449="","",N(Receipts!$G452))</f>
        <v/>
      </c>
      <c r="E449" s="20" t="str">
        <f>IF($A449="","",IFERROR(INDEX(Items!$D$5:$D$597,MATCH($A449,Items!$A$5:$A$597,0)),0))</f>
        <v/>
      </c>
      <c r="F449" s="21" t="str">
        <f t="shared" si="30"/>
        <v/>
      </c>
      <c r="G449" s="25" t="str">
        <f>IF(Receipts!$I452="","",Receipts!$I452)</f>
        <v/>
      </c>
      <c r="H449" s="25" t="str">
        <f>IF(Receipts!$H452="","",Receipts!$H452)</f>
        <v/>
      </c>
      <c r="I449" s="26" t="str">
        <f t="shared" ca="1" si="31"/>
        <v/>
      </c>
      <c r="J449" s="26" t="str">
        <f>IF($A449="","",COUNTIFS(tblReceipts[Item Name],$A449,tblReceipts[Expiry Date],"&lt;"&amp;$H449)+COUNTIFS(tblReceipts[Item Name],$A449,tblReceipts[Expiry Date],$H449,tblReceipts[Lot Number],"&lt;="&amp;Receipts!$C452))</f>
        <v/>
      </c>
      <c r="K449" s="26" t="str">
        <f>IF($A449="","",SUMIFS(tblReceipts[Qty Received],tblReceipts[Item Name],$A449,tblReceipts[Expiry Date],"&lt;"&amp;$H449)+SUMIFS(tblReceipts[Qty Received],tblReceipts[Item Name],$A449,tblReceipts[Expiry Date],$H449,tblReceipts[Lot Number],"&lt;"&amp;Receipts!$C452))</f>
        <v/>
      </c>
      <c r="L449" s="26" t="str">
        <f>IF($A449="","",MIN($D449,MAX(0,SUMIFS(tblIssues[Qty Issued],tblIssues[Item Name],$A449)-$K449)))</f>
        <v/>
      </c>
      <c r="M449" s="26" t="str">
        <f>IF($A449="","",SUMIFS(tblIssues[Qty Issued],tblIssues[Lot Number],$B449))</f>
        <v/>
      </c>
      <c r="N449" s="26" t="str">
        <f t="shared" si="32"/>
        <v/>
      </c>
      <c r="O449" s="26" t="str">
        <f t="shared" si="33"/>
        <v/>
      </c>
      <c r="P449" s="21" t="str">
        <f t="shared" si="34"/>
        <v/>
      </c>
      <c r="Q449" s="52" t="str">
        <f>IF($A449="","",IF($O449&lt;=0,"Depleted",IF($I449&lt;0,"EXPIRED",IF($I449&lt;=Settings!$C$6,"CRITICAL",IF($I449&lt;=Settings!$C$5,"Expiring","In date")))))</f>
        <v/>
      </c>
    </row>
    <row r="450" spans="1:17" x14ac:dyDescent="0.35">
      <c r="A450" s="90" t="str">
        <f>IF(Receipts!$D453="","",Receipts!$D453)</f>
        <v/>
      </c>
      <c r="B450" s="18" t="str">
        <f>IF(Receipts!$C453="","",Receipts!$C453)</f>
        <v/>
      </c>
      <c r="C450" s="18" t="str">
        <f>IF($A450="","",IFERROR(INDEX(Items!$B$5:$B$597,MATCH($A450,Items!$A$5:$A$597,0)),""))</f>
        <v/>
      </c>
      <c r="D450" s="23" t="str">
        <f>IF($A450="","",N(Receipts!$G453))</f>
        <v/>
      </c>
      <c r="E450" s="20" t="str">
        <f>IF($A450="","",IFERROR(INDEX(Items!$D$5:$D$597,MATCH($A450,Items!$A$5:$A$597,0)),0))</f>
        <v/>
      </c>
      <c r="F450" s="21" t="str">
        <f t="shared" si="30"/>
        <v/>
      </c>
      <c r="G450" s="25" t="str">
        <f>IF(Receipts!$I453="","",Receipts!$I453)</f>
        <v/>
      </c>
      <c r="H450" s="25" t="str">
        <f>IF(Receipts!$H453="","",Receipts!$H453)</f>
        <v/>
      </c>
      <c r="I450" s="26" t="str">
        <f t="shared" ca="1" si="31"/>
        <v/>
      </c>
      <c r="J450" s="26" t="str">
        <f>IF($A450="","",COUNTIFS(tblReceipts[Item Name],$A450,tblReceipts[Expiry Date],"&lt;"&amp;$H450)+COUNTIFS(tblReceipts[Item Name],$A450,tblReceipts[Expiry Date],$H450,tblReceipts[Lot Number],"&lt;="&amp;Receipts!$C453))</f>
        <v/>
      </c>
      <c r="K450" s="26" t="str">
        <f>IF($A450="","",SUMIFS(tblReceipts[Qty Received],tblReceipts[Item Name],$A450,tblReceipts[Expiry Date],"&lt;"&amp;$H450)+SUMIFS(tblReceipts[Qty Received],tblReceipts[Item Name],$A450,tblReceipts[Expiry Date],$H450,tblReceipts[Lot Number],"&lt;"&amp;Receipts!$C453))</f>
        <v/>
      </c>
      <c r="L450" s="26" t="str">
        <f>IF($A450="","",MIN($D450,MAX(0,SUMIFS(tblIssues[Qty Issued],tblIssues[Item Name],$A450)-$K450)))</f>
        <v/>
      </c>
      <c r="M450" s="26" t="str">
        <f>IF($A450="","",SUMIFS(tblIssues[Qty Issued],tblIssues[Lot Number],$B450))</f>
        <v/>
      </c>
      <c r="N450" s="26" t="str">
        <f t="shared" si="32"/>
        <v/>
      </c>
      <c r="O450" s="26" t="str">
        <f t="shared" si="33"/>
        <v/>
      </c>
      <c r="P450" s="21" t="str">
        <f t="shared" si="34"/>
        <v/>
      </c>
      <c r="Q450" s="52" t="str">
        <f>IF($A450="","",IF($O450&lt;=0,"Depleted",IF($I450&lt;0,"EXPIRED",IF($I450&lt;=Settings!$C$6,"CRITICAL",IF($I450&lt;=Settings!$C$5,"Expiring","In date")))))</f>
        <v/>
      </c>
    </row>
    <row r="451" spans="1:17" x14ac:dyDescent="0.35">
      <c r="A451" s="90" t="str">
        <f>IF(Receipts!$D454="","",Receipts!$D454)</f>
        <v/>
      </c>
      <c r="B451" s="18" t="str">
        <f>IF(Receipts!$C454="","",Receipts!$C454)</f>
        <v/>
      </c>
      <c r="C451" s="18" t="str">
        <f>IF($A451="","",IFERROR(INDEX(Items!$B$5:$B$597,MATCH($A451,Items!$A$5:$A$597,0)),""))</f>
        <v/>
      </c>
      <c r="D451" s="23" t="str">
        <f>IF($A451="","",N(Receipts!$G454))</f>
        <v/>
      </c>
      <c r="E451" s="20" t="str">
        <f>IF($A451="","",IFERROR(INDEX(Items!$D$5:$D$597,MATCH($A451,Items!$A$5:$A$597,0)),0))</f>
        <v/>
      </c>
      <c r="F451" s="21" t="str">
        <f t="shared" si="30"/>
        <v/>
      </c>
      <c r="G451" s="25" t="str">
        <f>IF(Receipts!$I454="","",Receipts!$I454)</f>
        <v/>
      </c>
      <c r="H451" s="25" t="str">
        <f>IF(Receipts!$H454="","",Receipts!$H454)</f>
        <v/>
      </c>
      <c r="I451" s="26" t="str">
        <f t="shared" ca="1" si="31"/>
        <v/>
      </c>
      <c r="J451" s="26" t="str">
        <f>IF($A451="","",COUNTIFS(tblReceipts[Item Name],$A451,tblReceipts[Expiry Date],"&lt;"&amp;$H451)+COUNTIFS(tblReceipts[Item Name],$A451,tblReceipts[Expiry Date],$H451,tblReceipts[Lot Number],"&lt;="&amp;Receipts!$C454))</f>
        <v/>
      </c>
      <c r="K451" s="26" t="str">
        <f>IF($A451="","",SUMIFS(tblReceipts[Qty Received],tblReceipts[Item Name],$A451,tblReceipts[Expiry Date],"&lt;"&amp;$H451)+SUMIFS(tblReceipts[Qty Received],tblReceipts[Item Name],$A451,tblReceipts[Expiry Date],$H451,tblReceipts[Lot Number],"&lt;"&amp;Receipts!$C454))</f>
        <v/>
      </c>
      <c r="L451" s="26" t="str">
        <f>IF($A451="","",MIN($D451,MAX(0,SUMIFS(tblIssues[Qty Issued],tblIssues[Item Name],$A451)-$K451)))</f>
        <v/>
      </c>
      <c r="M451" s="26" t="str">
        <f>IF($A451="","",SUMIFS(tblIssues[Qty Issued],tblIssues[Lot Number],$B451))</f>
        <v/>
      </c>
      <c r="N451" s="26" t="str">
        <f t="shared" si="32"/>
        <v/>
      </c>
      <c r="O451" s="26" t="str">
        <f t="shared" si="33"/>
        <v/>
      </c>
      <c r="P451" s="21" t="str">
        <f t="shared" si="34"/>
        <v/>
      </c>
      <c r="Q451" s="52" t="str">
        <f>IF($A451="","",IF($O451&lt;=0,"Depleted",IF($I451&lt;0,"EXPIRED",IF($I451&lt;=Settings!$C$6,"CRITICAL",IF($I451&lt;=Settings!$C$5,"Expiring","In date")))))</f>
        <v/>
      </c>
    </row>
    <row r="452" spans="1:17" x14ac:dyDescent="0.35">
      <c r="A452" s="90" t="str">
        <f>IF(Receipts!$D455="","",Receipts!$D455)</f>
        <v/>
      </c>
      <c r="B452" s="18" t="str">
        <f>IF(Receipts!$C455="","",Receipts!$C455)</f>
        <v/>
      </c>
      <c r="C452" s="18" t="str">
        <f>IF($A452="","",IFERROR(INDEX(Items!$B$5:$B$597,MATCH($A452,Items!$A$5:$A$597,0)),""))</f>
        <v/>
      </c>
      <c r="D452" s="23" t="str">
        <f>IF($A452="","",N(Receipts!$G455))</f>
        <v/>
      </c>
      <c r="E452" s="20" t="str">
        <f>IF($A452="","",IFERROR(INDEX(Items!$D$5:$D$597,MATCH($A452,Items!$A$5:$A$597,0)),0))</f>
        <v/>
      </c>
      <c r="F452" s="21" t="str">
        <f t="shared" si="30"/>
        <v/>
      </c>
      <c r="G452" s="25" t="str">
        <f>IF(Receipts!$I455="","",Receipts!$I455)</f>
        <v/>
      </c>
      <c r="H452" s="25" t="str">
        <f>IF(Receipts!$H455="","",Receipts!$H455)</f>
        <v/>
      </c>
      <c r="I452" s="26" t="str">
        <f t="shared" ca="1" si="31"/>
        <v/>
      </c>
      <c r="J452" s="26" t="str">
        <f>IF($A452="","",COUNTIFS(tblReceipts[Item Name],$A452,tblReceipts[Expiry Date],"&lt;"&amp;$H452)+COUNTIFS(tblReceipts[Item Name],$A452,tblReceipts[Expiry Date],$H452,tblReceipts[Lot Number],"&lt;="&amp;Receipts!$C455))</f>
        <v/>
      </c>
      <c r="K452" s="26" t="str">
        <f>IF($A452="","",SUMIFS(tblReceipts[Qty Received],tblReceipts[Item Name],$A452,tblReceipts[Expiry Date],"&lt;"&amp;$H452)+SUMIFS(tblReceipts[Qty Received],tblReceipts[Item Name],$A452,tblReceipts[Expiry Date],$H452,tblReceipts[Lot Number],"&lt;"&amp;Receipts!$C455))</f>
        <v/>
      </c>
      <c r="L452" s="26" t="str">
        <f>IF($A452="","",MIN($D452,MAX(0,SUMIFS(tblIssues[Qty Issued],tblIssues[Item Name],$A452)-$K452)))</f>
        <v/>
      </c>
      <c r="M452" s="26" t="str">
        <f>IF($A452="","",SUMIFS(tblIssues[Qty Issued],tblIssues[Lot Number],$B452))</f>
        <v/>
      </c>
      <c r="N452" s="26" t="str">
        <f t="shared" si="32"/>
        <v/>
      </c>
      <c r="O452" s="26" t="str">
        <f t="shared" si="33"/>
        <v/>
      </c>
      <c r="P452" s="21" t="str">
        <f t="shared" si="34"/>
        <v/>
      </c>
      <c r="Q452" s="52" t="str">
        <f>IF($A452="","",IF($O452&lt;=0,"Depleted",IF($I452&lt;0,"EXPIRED",IF($I452&lt;=Settings!$C$6,"CRITICAL",IF($I452&lt;=Settings!$C$5,"Expiring","In date")))))</f>
        <v/>
      </c>
    </row>
    <row r="453" spans="1:17" x14ac:dyDescent="0.35">
      <c r="A453" s="90" t="str">
        <f>IF(Receipts!$D456="","",Receipts!$D456)</f>
        <v/>
      </c>
      <c r="B453" s="18" t="str">
        <f>IF(Receipts!$C456="","",Receipts!$C456)</f>
        <v/>
      </c>
      <c r="C453" s="18" t="str">
        <f>IF($A453="","",IFERROR(INDEX(Items!$B$5:$B$597,MATCH($A453,Items!$A$5:$A$597,0)),""))</f>
        <v/>
      </c>
      <c r="D453" s="23" t="str">
        <f>IF($A453="","",N(Receipts!$G456))</f>
        <v/>
      </c>
      <c r="E453" s="20" t="str">
        <f>IF($A453="","",IFERROR(INDEX(Items!$D$5:$D$597,MATCH($A453,Items!$A$5:$A$597,0)),0))</f>
        <v/>
      </c>
      <c r="F453" s="21" t="str">
        <f t="shared" ref="F453:F516" si="35">IF($A453="","",$D453*$E453)</f>
        <v/>
      </c>
      <c r="G453" s="25" t="str">
        <f>IF(Receipts!$I456="","",Receipts!$I456)</f>
        <v/>
      </c>
      <c r="H453" s="25" t="str">
        <f>IF(Receipts!$H456="","",Receipts!$H456)</f>
        <v/>
      </c>
      <c r="I453" s="26" t="str">
        <f t="shared" ref="I453:I516" ca="1" si="36">IF($H453="","",$H453-TODAY())</f>
        <v/>
      </c>
      <c r="J453" s="26" t="str">
        <f>IF($A453="","",COUNTIFS(tblReceipts[Item Name],$A453,tblReceipts[Expiry Date],"&lt;"&amp;$H453)+COUNTIFS(tblReceipts[Item Name],$A453,tblReceipts[Expiry Date],$H453,tblReceipts[Lot Number],"&lt;="&amp;Receipts!$C456))</f>
        <v/>
      </c>
      <c r="K453" s="26" t="str">
        <f>IF($A453="","",SUMIFS(tblReceipts[Qty Received],tblReceipts[Item Name],$A453,tblReceipts[Expiry Date],"&lt;"&amp;$H453)+SUMIFS(tblReceipts[Qty Received],tblReceipts[Item Name],$A453,tblReceipts[Expiry Date],$H453,tblReceipts[Lot Number],"&lt;"&amp;Receipts!$C456))</f>
        <v/>
      </c>
      <c r="L453" s="26" t="str">
        <f>IF($A453="","",MIN($D453,MAX(0,SUMIFS(tblIssues[Qty Issued],tblIssues[Item Name],$A453)-$K453)))</f>
        <v/>
      </c>
      <c r="M453" s="26" t="str">
        <f>IF($A453="","",SUMIFS(tblIssues[Qty Issued],tblIssues[Lot Number],$B453))</f>
        <v/>
      </c>
      <c r="N453" s="26" t="str">
        <f t="shared" ref="N453:N516" si="37">IF($A453="","",$M453-$L453)</f>
        <v/>
      </c>
      <c r="O453" s="26" t="str">
        <f t="shared" ref="O453:O516" si="38">IF($A453="","",$D453-$L453)</f>
        <v/>
      </c>
      <c r="P453" s="21" t="str">
        <f t="shared" ref="P453:P516" si="39">IF($A453="","",$O453*$E453)</f>
        <v/>
      </c>
      <c r="Q453" s="52" t="str">
        <f>IF($A453="","",IF($O453&lt;=0,"Depleted",IF($I453&lt;0,"EXPIRED",IF($I453&lt;=Settings!$C$6,"CRITICAL",IF($I453&lt;=Settings!$C$5,"Expiring","In date")))))</f>
        <v/>
      </c>
    </row>
    <row r="454" spans="1:17" x14ac:dyDescent="0.35">
      <c r="A454" s="90" t="str">
        <f>IF(Receipts!$D457="","",Receipts!$D457)</f>
        <v/>
      </c>
      <c r="B454" s="18" t="str">
        <f>IF(Receipts!$C457="","",Receipts!$C457)</f>
        <v/>
      </c>
      <c r="C454" s="18" t="str">
        <f>IF($A454="","",IFERROR(INDEX(Items!$B$5:$B$597,MATCH($A454,Items!$A$5:$A$597,0)),""))</f>
        <v/>
      </c>
      <c r="D454" s="23" t="str">
        <f>IF($A454="","",N(Receipts!$G457))</f>
        <v/>
      </c>
      <c r="E454" s="20" t="str">
        <f>IF($A454="","",IFERROR(INDEX(Items!$D$5:$D$597,MATCH($A454,Items!$A$5:$A$597,0)),0))</f>
        <v/>
      </c>
      <c r="F454" s="21" t="str">
        <f t="shared" si="35"/>
        <v/>
      </c>
      <c r="G454" s="25" t="str">
        <f>IF(Receipts!$I457="","",Receipts!$I457)</f>
        <v/>
      </c>
      <c r="H454" s="25" t="str">
        <f>IF(Receipts!$H457="","",Receipts!$H457)</f>
        <v/>
      </c>
      <c r="I454" s="26" t="str">
        <f t="shared" ca="1" si="36"/>
        <v/>
      </c>
      <c r="J454" s="26" t="str">
        <f>IF($A454="","",COUNTIFS(tblReceipts[Item Name],$A454,tblReceipts[Expiry Date],"&lt;"&amp;$H454)+COUNTIFS(tblReceipts[Item Name],$A454,tblReceipts[Expiry Date],$H454,tblReceipts[Lot Number],"&lt;="&amp;Receipts!$C457))</f>
        <v/>
      </c>
      <c r="K454" s="26" t="str">
        <f>IF($A454="","",SUMIFS(tblReceipts[Qty Received],tblReceipts[Item Name],$A454,tblReceipts[Expiry Date],"&lt;"&amp;$H454)+SUMIFS(tblReceipts[Qty Received],tblReceipts[Item Name],$A454,tblReceipts[Expiry Date],$H454,tblReceipts[Lot Number],"&lt;"&amp;Receipts!$C457))</f>
        <v/>
      </c>
      <c r="L454" s="26" t="str">
        <f>IF($A454="","",MIN($D454,MAX(0,SUMIFS(tblIssues[Qty Issued],tblIssues[Item Name],$A454)-$K454)))</f>
        <v/>
      </c>
      <c r="M454" s="26" t="str">
        <f>IF($A454="","",SUMIFS(tblIssues[Qty Issued],tblIssues[Lot Number],$B454))</f>
        <v/>
      </c>
      <c r="N454" s="26" t="str">
        <f t="shared" si="37"/>
        <v/>
      </c>
      <c r="O454" s="26" t="str">
        <f t="shared" si="38"/>
        <v/>
      </c>
      <c r="P454" s="21" t="str">
        <f t="shared" si="39"/>
        <v/>
      </c>
      <c r="Q454" s="52" t="str">
        <f>IF($A454="","",IF($O454&lt;=0,"Depleted",IF($I454&lt;0,"EXPIRED",IF($I454&lt;=Settings!$C$6,"CRITICAL",IF($I454&lt;=Settings!$C$5,"Expiring","In date")))))</f>
        <v/>
      </c>
    </row>
    <row r="455" spans="1:17" x14ac:dyDescent="0.35">
      <c r="A455" s="90" t="str">
        <f>IF(Receipts!$D458="","",Receipts!$D458)</f>
        <v/>
      </c>
      <c r="B455" s="18" t="str">
        <f>IF(Receipts!$C458="","",Receipts!$C458)</f>
        <v/>
      </c>
      <c r="C455" s="18" t="str">
        <f>IF($A455="","",IFERROR(INDEX(Items!$B$5:$B$597,MATCH($A455,Items!$A$5:$A$597,0)),""))</f>
        <v/>
      </c>
      <c r="D455" s="23" t="str">
        <f>IF($A455="","",N(Receipts!$G458))</f>
        <v/>
      </c>
      <c r="E455" s="20" t="str">
        <f>IF($A455="","",IFERROR(INDEX(Items!$D$5:$D$597,MATCH($A455,Items!$A$5:$A$597,0)),0))</f>
        <v/>
      </c>
      <c r="F455" s="21" t="str">
        <f t="shared" si="35"/>
        <v/>
      </c>
      <c r="G455" s="25" t="str">
        <f>IF(Receipts!$I458="","",Receipts!$I458)</f>
        <v/>
      </c>
      <c r="H455" s="25" t="str">
        <f>IF(Receipts!$H458="","",Receipts!$H458)</f>
        <v/>
      </c>
      <c r="I455" s="26" t="str">
        <f t="shared" ca="1" si="36"/>
        <v/>
      </c>
      <c r="J455" s="26" t="str">
        <f>IF($A455="","",COUNTIFS(tblReceipts[Item Name],$A455,tblReceipts[Expiry Date],"&lt;"&amp;$H455)+COUNTIFS(tblReceipts[Item Name],$A455,tblReceipts[Expiry Date],$H455,tblReceipts[Lot Number],"&lt;="&amp;Receipts!$C458))</f>
        <v/>
      </c>
      <c r="K455" s="26" t="str">
        <f>IF($A455="","",SUMIFS(tblReceipts[Qty Received],tblReceipts[Item Name],$A455,tblReceipts[Expiry Date],"&lt;"&amp;$H455)+SUMIFS(tblReceipts[Qty Received],tblReceipts[Item Name],$A455,tblReceipts[Expiry Date],$H455,tblReceipts[Lot Number],"&lt;"&amp;Receipts!$C458))</f>
        <v/>
      </c>
      <c r="L455" s="26" t="str">
        <f>IF($A455="","",MIN($D455,MAX(0,SUMIFS(tblIssues[Qty Issued],tblIssues[Item Name],$A455)-$K455)))</f>
        <v/>
      </c>
      <c r="M455" s="26" t="str">
        <f>IF($A455="","",SUMIFS(tblIssues[Qty Issued],tblIssues[Lot Number],$B455))</f>
        <v/>
      </c>
      <c r="N455" s="26" t="str">
        <f t="shared" si="37"/>
        <v/>
      </c>
      <c r="O455" s="26" t="str">
        <f t="shared" si="38"/>
        <v/>
      </c>
      <c r="P455" s="21" t="str">
        <f t="shared" si="39"/>
        <v/>
      </c>
      <c r="Q455" s="52" t="str">
        <f>IF($A455="","",IF($O455&lt;=0,"Depleted",IF($I455&lt;0,"EXPIRED",IF($I455&lt;=Settings!$C$6,"CRITICAL",IF($I455&lt;=Settings!$C$5,"Expiring","In date")))))</f>
        <v/>
      </c>
    </row>
    <row r="456" spans="1:17" x14ac:dyDescent="0.35">
      <c r="A456" s="90" t="str">
        <f>IF(Receipts!$D459="","",Receipts!$D459)</f>
        <v/>
      </c>
      <c r="B456" s="18" t="str">
        <f>IF(Receipts!$C459="","",Receipts!$C459)</f>
        <v/>
      </c>
      <c r="C456" s="18" t="str">
        <f>IF($A456="","",IFERROR(INDEX(Items!$B$5:$B$597,MATCH($A456,Items!$A$5:$A$597,0)),""))</f>
        <v/>
      </c>
      <c r="D456" s="23" t="str">
        <f>IF($A456="","",N(Receipts!$G459))</f>
        <v/>
      </c>
      <c r="E456" s="20" t="str">
        <f>IF($A456="","",IFERROR(INDEX(Items!$D$5:$D$597,MATCH($A456,Items!$A$5:$A$597,0)),0))</f>
        <v/>
      </c>
      <c r="F456" s="21" t="str">
        <f t="shared" si="35"/>
        <v/>
      </c>
      <c r="G456" s="25" t="str">
        <f>IF(Receipts!$I459="","",Receipts!$I459)</f>
        <v/>
      </c>
      <c r="H456" s="25" t="str">
        <f>IF(Receipts!$H459="","",Receipts!$H459)</f>
        <v/>
      </c>
      <c r="I456" s="26" t="str">
        <f t="shared" ca="1" si="36"/>
        <v/>
      </c>
      <c r="J456" s="26" t="str">
        <f>IF($A456="","",COUNTIFS(tblReceipts[Item Name],$A456,tblReceipts[Expiry Date],"&lt;"&amp;$H456)+COUNTIFS(tblReceipts[Item Name],$A456,tblReceipts[Expiry Date],$H456,tblReceipts[Lot Number],"&lt;="&amp;Receipts!$C459))</f>
        <v/>
      </c>
      <c r="K456" s="26" t="str">
        <f>IF($A456="","",SUMIFS(tblReceipts[Qty Received],tblReceipts[Item Name],$A456,tblReceipts[Expiry Date],"&lt;"&amp;$H456)+SUMIFS(tblReceipts[Qty Received],tblReceipts[Item Name],$A456,tblReceipts[Expiry Date],$H456,tblReceipts[Lot Number],"&lt;"&amp;Receipts!$C459))</f>
        <v/>
      </c>
      <c r="L456" s="26" t="str">
        <f>IF($A456="","",MIN($D456,MAX(0,SUMIFS(tblIssues[Qty Issued],tblIssues[Item Name],$A456)-$K456)))</f>
        <v/>
      </c>
      <c r="M456" s="26" t="str">
        <f>IF($A456="","",SUMIFS(tblIssues[Qty Issued],tblIssues[Lot Number],$B456))</f>
        <v/>
      </c>
      <c r="N456" s="26" t="str">
        <f t="shared" si="37"/>
        <v/>
      </c>
      <c r="O456" s="26" t="str">
        <f t="shared" si="38"/>
        <v/>
      </c>
      <c r="P456" s="21" t="str">
        <f t="shared" si="39"/>
        <v/>
      </c>
      <c r="Q456" s="52" t="str">
        <f>IF($A456="","",IF($O456&lt;=0,"Depleted",IF($I456&lt;0,"EXPIRED",IF($I456&lt;=Settings!$C$6,"CRITICAL",IF($I456&lt;=Settings!$C$5,"Expiring","In date")))))</f>
        <v/>
      </c>
    </row>
    <row r="457" spans="1:17" x14ac:dyDescent="0.35">
      <c r="A457" s="90" t="str">
        <f>IF(Receipts!$D460="","",Receipts!$D460)</f>
        <v/>
      </c>
      <c r="B457" s="18" t="str">
        <f>IF(Receipts!$C460="","",Receipts!$C460)</f>
        <v/>
      </c>
      <c r="C457" s="18" t="str">
        <f>IF($A457="","",IFERROR(INDEX(Items!$B$5:$B$597,MATCH($A457,Items!$A$5:$A$597,0)),""))</f>
        <v/>
      </c>
      <c r="D457" s="23" t="str">
        <f>IF($A457="","",N(Receipts!$G460))</f>
        <v/>
      </c>
      <c r="E457" s="20" t="str">
        <f>IF($A457="","",IFERROR(INDEX(Items!$D$5:$D$597,MATCH($A457,Items!$A$5:$A$597,0)),0))</f>
        <v/>
      </c>
      <c r="F457" s="21" t="str">
        <f t="shared" si="35"/>
        <v/>
      </c>
      <c r="G457" s="25" t="str">
        <f>IF(Receipts!$I460="","",Receipts!$I460)</f>
        <v/>
      </c>
      <c r="H457" s="25" t="str">
        <f>IF(Receipts!$H460="","",Receipts!$H460)</f>
        <v/>
      </c>
      <c r="I457" s="26" t="str">
        <f t="shared" ca="1" si="36"/>
        <v/>
      </c>
      <c r="J457" s="26" t="str">
        <f>IF($A457="","",COUNTIFS(tblReceipts[Item Name],$A457,tblReceipts[Expiry Date],"&lt;"&amp;$H457)+COUNTIFS(tblReceipts[Item Name],$A457,tblReceipts[Expiry Date],$H457,tblReceipts[Lot Number],"&lt;="&amp;Receipts!$C460))</f>
        <v/>
      </c>
      <c r="K457" s="26" t="str">
        <f>IF($A457="","",SUMIFS(tblReceipts[Qty Received],tblReceipts[Item Name],$A457,tblReceipts[Expiry Date],"&lt;"&amp;$H457)+SUMIFS(tblReceipts[Qty Received],tblReceipts[Item Name],$A457,tblReceipts[Expiry Date],$H457,tblReceipts[Lot Number],"&lt;"&amp;Receipts!$C460))</f>
        <v/>
      </c>
      <c r="L457" s="26" t="str">
        <f>IF($A457="","",MIN($D457,MAX(0,SUMIFS(tblIssues[Qty Issued],tblIssues[Item Name],$A457)-$K457)))</f>
        <v/>
      </c>
      <c r="M457" s="26" t="str">
        <f>IF($A457="","",SUMIFS(tblIssues[Qty Issued],tblIssues[Lot Number],$B457))</f>
        <v/>
      </c>
      <c r="N457" s="26" t="str">
        <f t="shared" si="37"/>
        <v/>
      </c>
      <c r="O457" s="26" t="str">
        <f t="shared" si="38"/>
        <v/>
      </c>
      <c r="P457" s="21" t="str">
        <f t="shared" si="39"/>
        <v/>
      </c>
      <c r="Q457" s="52" t="str">
        <f>IF($A457="","",IF($O457&lt;=0,"Depleted",IF($I457&lt;0,"EXPIRED",IF($I457&lt;=Settings!$C$6,"CRITICAL",IF($I457&lt;=Settings!$C$5,"Expiring","In date")))))</f>
        <v/>
      </c>
    </row>
    <row r="458" spans="1:17" x14ac:dyDescent="0.35">
      <c r="A458" s="90" t="str">
        <f>IF(Receipts!$D461="","",Receipts!$D461)</f>
        <v/>
      </c>
      <c r="B458" s="18" t="str">
        <f>IF(Receipts!$C461="","",Receipts!$C461)</f>
        <v/>
      </c>
      <c r="C458" s="18" t="str">
        <f>IF($A458="","",IFERROR(INDEX(Items!$B$5:$B$597,MATCH($A458,Items!$A$5:$A$597,0)),""))</f>
        <v/>
      </c>
      <c r="D458" s="23" t="str">
        <f>IF($A458="","",N(Receipts!$G461))</f>
        <v/>
      </c>
      <c r="E458" s="20" t="str">
        <f>IF($A458="","",IFERROR(INDEX(Items!$D$5:$D$597,MATCH($A458,Items!$A$5:$A$597,0)),0))</f>
        <v/>
      </c>
      <c r="F458" s="21" t="str">
        <f t="shared" si="35"/>
        <v/>
      </c>
      <c r="G458" s="25" t="str">
        <f>IF(Receipts!$I461="","",Receipts!$I461)</f>
        <v/>
      </c>
      <c r="H458" s="25" t="str">
        <f>IF(Receipts!$H461="","",Receipts!$H461)</f>
        <v/>
      </c>
      <c r="I458" s="26" t="str">
        <f t="shared" ca="1" si="36"/>
        <v/>
      </c>
      <c r="J458" s="26" t="str">
        <f>IF($A458="","",COUNTIFS(tblReceipts[Item Name],$A458,tblReceipts[Expiry Date],"&lt;"&amp;$H458)+COUNTIFS(tblReceipts[Item Name],$A458,tblReceipts[Expiry Date],$H458,tblReceipts[Lot Number],"&lt;="&amp;Receipts!$C461))</f>
        <v/>
      </c>
      <c r="K458" s="26" t="str">
        <f>IF($A458="","",SUMIFS(tblReceipts[Qty Received],tblReceipts[Item Name],$A458,tblReceipts[Expiry Date],"&lt;"&amp;$H458)+SUMIFS(tblReceipts[Qty Received],tblReceipts[Item Name],$A458,tblReceipts[Expiry Date],$H458,tblReceipts[Lot Number],"&lt;"&amp;Receipts!$C461))</f>
        <v/>
      </c>
      <c r="L458" s="26" t="str">
        <f>IF($A458="","",MIN($D458,MAX(0,SUMIFS(tblIssues[Qty Issued],tblIssues[Item Name],$A458)-$K458)))</f>
        <v/>
      </c>
      <c r="M458" s="26" t="str">
        <f>IF($A458="","",SUMIFS(tblIssues[Qty Issued],tblIssues[Lot Number],$B458))</f>
        <v/>
      </c>
      <c r="N458" s="26" t="str">
        <f t="shared" si="37"/>
        <v/>
      </c>
      <c r="O458" s="26" t="str">
        <f t="shared" si="38"/>
        <v/>
      </c>
      <c r="P458" s="21" t="str">
        <f t="shared" si="39"/>
        <v/>
      </c>
      <c r="Q458" s="52" t="str">
        <f>IF($A458="","",IF($O458&lt;=0,"Depleted",IF($I458&lt;0,"EXPIRED",IF($I458&lt;=Settings!$C$6,"CRITICAL",IF($I458&lt;=Settings!$C$5,"Expiring","In date")))))</f>
        <v/>
      </c>
    </row>
    <row r="459" spans="1:17" x14ac:dyDescent="0.35">
      <c r="A459" s="90" t="str">
        <f>IF(Receipts!$D462="","",Receipts!$D462)</f>
        <v/>
      </c>
      <c r="B459" s="18" t="str">
        <f>IF(Receipts!$C462="","",Receipts!$C462)</f>
        <v/>
      </c>
      <c r="C459" s="18" t="str">
        <f>IF($A459="","",IFERROR(INDEX(Items!$B$5:$B$597,MATCH($A459,Items!$A$5:$A$597,0)),""))</f>
        <v/>
      </c>
      <c r="D459" s="23" t="str">
        <f>IF($A459="","",N(Receipts!$G462))</f>
        <v/>
      </c>
      <c r="E459" s="20" t="str">
        <f>IF($A459="","",IFERROR(INDEX(Items!$D$5:$D$597,MATCH($A459,Items!$A$5:$A$597,0)),0))</f>
        <v/>
      </c>
      <c r="F459" s="21" t="str">
        <f t="shared" si="35"/>
        <v/>
      </c>
      <c r="G459" s="25" t="str">
        <f>IF(Receipts!$I462="","",Receipts!$I462)</f>
        <v/>
      </c>
      <c r="H459" s="25" t="str">
        <f>IF(Receipts!$H462="","",Receipts!$H462)</f>
        <v/>
      </c>
      <c r="I459" s="26" t="str">
        <f t="shared" ca="1" si="36"/>
        <v/>
      </c>
      <c r="J459" s="26" t="str">
        <f>IF($A459="","",COUNTIFS(tblReceipts[Item Name],$A459,tblReceipts[Expiry Date],"&lt;"&amp;$H459)+COUNTIFS(tblReceipts[Item Name],$A459,tblReceipts[Expiry Date],$H459,tblReceipts[Lot Number],"&lt;="&amp;Receipts!$C462))</f>
        <v/>
      </c>
      <c r="K459" s="26" t="str">
        <f>IF($A459="","",SUMIFS(tblReceipts[Qty Received],tblReceipts[Item Name],$A459,tblReceipts[Expiry Date],"&lt;"&amp;$H459)+SUMIFS(tblReceipts[Qty Received],tblReceipts[Item Name],$A459,tblReceipts[Expiry Date],$H459,tblReceipts[Lot Number],"&lt;"&amp;Receipts!$C462))</f>
        <v/>
      </c>
      <c r="L459" s="26" t="str">
        <f>IF($A459="","",MIN($D459,MAX(0,SUMIFS(tblIssues[Qty Issued],tblIssues[Item Name],$A459)-$K459)))</f>
        <v/>
      </c>
      <c r="M459" s="26" t="str">
        <f>IF($A459="","",SUMIFS(tblIssues[Qty Issued],tblIssues[Lot Number],$B459))</f>
        <v/>
      </c>
      <c r="N459" s="26" t="str">
        <f t="shared" si="37"/>
        <v/>
      </c>
      <c r="O459" s="26" t="str">
        <f t="shared" si="38"/>
        <v/>
      </c>
      <c r="P459" s="21" t="str">
        <f t="shared" si="39"/>
        <v/>
      </c>
      <c r="Q459" s="52" t="str">
        <f>IF($A459="","",IF($O459&lt;=0,"Depleted",IF($I459&lt;0,"EXPIRED",IF($I459&lt;=Settings!$C$6,"CRITICAL",IF($I459&lt;=Settings!$C$5,"Expiring","In date")))))</f>
        <v/>
      </c>
    </row>
    <row r="460" spans="1:17" x14ac:dyDescent="0.35">
      <c r="A460" s="90" t="str">
        <f>IF(Receipts!$D463="","",Receipts!$D463)</f>
        <v/>
      </c>
      <c r="B460" s="18" t="str">
        <f>IF(Receipts!$C463="","",Receipts!$C463)</f>
        <v/>
      </c>
      <c r="C460" s="18" t="str">
        <f>IF($A460="","",IFERROR(INDEX(Items!$B$5:$B$597,MATCH($A460,Items!$A$5:$A$597,0)),""))</f>
        <v/>
      </c>
      <c r="D460" s="23" t="str">
        <f>IF($A460="","",N(Receipts!$G463))</f>
        <v/>
      </c>
      <c r="E460" s="20" t="str">
        <f>IF($A460="","",IFERROR(INDEX(Items!$D$5:$D$597,MATCH($A460,Items!$A$5:$A$597,0)),0))</f>
        <v/>
      </c>
      <c r="F460" s="21" t="str">
        <f t="shared" si="35"/>
        <v/>
      </c>
      <c r="G460" s="25" t="str">
        <f>IF(Receipts!$I463="","",Receipts!$I463)</f>
        <v/>
      </c>
      <c r="H460" s="25" t="str">
        <f>IF(Receipts!$H463="","",Receipts!$H463)</f>
        <v/>
      </c>
      <c r="I460" s="26" t="str">
        <f t="shared" ca="1" si="36"/>
        <v/>
      </c>
      <c r="J460" s="26" t="str">
        <f>IF($A460="","",COUNTIFS(tblReceipts[Item Name],$A460,tblReceipts[Expiry Date],"&lt;"&amp;$H460)+COUNTIFS(tblReceipts[Item Name],$A460,tblReceipts[Expiry Date],$H460,tblReceipts[Lot Number],"&lt;="&amp;Receipts!$C463))</f>
        <v/>
      </c>
      <c r="K460" s="26" t="str">
        <f>IF($A460="","",SUMIFS(tblReceipts[Qty Received],tblReceipts[Item Name],$A460,tblReceipts[Expiry Date],"&lt;"&amp;$H460)+SUMIFS(tblReceipts[Qty Received],tblReceipts[Item Name],$A460,tblReceipts[Expiry Date],$H460,tblReceipts[Lot Number],"&lt;"&amp;Receipts!$C463))</f>
        <v/>
      </c>
      <c r="L460" s="26" t="str">
        <f>IF($A460="","",MIN($D460,MAX(0,SUMIFS(tblIssues[Qty Issued],tblIssues[Item Name],$A460)-$K460)))</f>
        <v/>
      </c>
      <c r="M460" s="26" t="str">
        <f>IF($A460="","",SUMIFS(tblIssues[Qty Issued],tblIssues[Lot Number],$B460))</f>
        <v/>
      </c>
      <c r="N460" s="26" t="str">
        <f t="shared" si="37"/>
        <v/>
      </c>
      <c r="O460" s="26" t="str">
        <f t="shared" si="38"/>
        <v/>
      </c>
      <c r="P460" s="21" t="str">
        <f t="shared" si="39"/>
        <v/>
      </c>
      <c r="Q460" s="52" t="str">
        <f>IF($A460="","",IF($O460&lt;=0,"Depleted",IF($I460&lt;0,"EXPIRED",IF($I460&lt;=Settings!$C$6,"CRITICAL",IF($I460&lt;=Settings!$C$5,"Expiring","In date")))))</f>
        <v/>
      </c>
    </row>
    <row r="461" spans="1:17" x14ac:dyDescent="0.35">
      <c r="A461" s="90" t="str">
        <f>IF(Receipts!$D464="","",Receipts!$D464)</f>
        <v/>
      </c>
      <c r="B461" s="18" t="str">
        <f>IF(Receipts!$C464="","",Receipts!$C464)</f>
        <v/>
      </c>
      <c r="C461" s="18" t="str">
        <f>IF($A461="","",IFERROR(INDEX(Items!$B$5:$B$597,MATCH($A461,Items!$A$5:$A$597,0)),""))</f>
        <v/>
      </c>
      <c r="D461" s="23" t="str">
        <f>IF($A461="","",N(Receipts!$G464))</f>
        <v/>
      </c>
      <c r="E461" s="20" t="str">
        <f>IF($A461="","",IFERROR(INDEX(Items!$D$5:$D$597,MATCH($A461,Items!$A$5:$A$597,0)),0))</f>
        <v/>
      </c>
      <c r="F461" s="21" t="str">
        <f t="shared" si="35"/>
        <v/>
      </c>
      <c r="G461" s="25" t="str">
        <f>IF(Receipts!$I464="","",Receipts!$I464)</f>
        <v/>
      </c>
      <c r="H461" s="25" t="str">
        <f>IF(Receipts!$H464="","",Receipts!$H464)</f>
        <v/>
      </c>
      <c r="I461" s="26" t="str">
        <f t="shared" ca="1" si="36"/>
        <v/>
      </c>
      <c r="J461" s="26" t="str">
        <f>IF($A461="","",COUNTIFS(tblReceipts[Item Name],$A461,tblReceipts[Expiry Date],"&lt;"&amp;$H461)+COUNTIFS(tblReceipts[Item Name],$A461,tblReceipts[Expiry Date],$H461,tblReceipts[Lot Number],"&lt;="&amp;Receipts!$C464))</f>
        <v/>
      </c>
      <c r="K461" s="26" t="str">
        <f>IF($A461="","",SUMIFS(tblReceipts[Qty Received],tblReceipts[Item Name],$A461,tblReceipts[Expiry Date],"&lt;"&amp;$H461)+SUMIFS(tblReceipts[Qty Received],tblReceipts[Item Name],$A461,tblReceipts[Expiry Date],$H461,tblReceipts[Lot Number],"&lt;"&amp;Receipts!$C464))</f>
        <v/>
      </c>
      <c r="L461" s="26" t="str">
        <f>IF($A461="","",MIN($D461,MAX(0,SUMIFS(tblIssues[Qty Issued],tblIssues[Item Name],$A461)-$K461)))</f>
        <v/>
      </c>
      <c r="M461" s="26" t="str">
        <f>IF($A461="","",SUMIFS(tblIssues[Qty Issued],tblIssues[Lot Number],$B461))</f>
        <v/>
      </c>
      <c r="N461" s="26" t="str">
        <f t="shared" si="37"/>
        <v/>
      </c>
      <c r="O461" s="26" t="str">
        <f t="shared" si="38"/>
        <v/>
      </c>
      <c r="P461" s="21" t="str">
        <f t="shared" si="39"/>
        <v/>
      </c>
      <c r="Q461" s="52" t="str">
        <f>IF($A461="","",IF($O461&lt;=0,"Depleted",IF($I461&lt;0,"EXPIRED",IF($I461&lt;=Settings!$C$6,"CRITICAL",IF($I461&lt;=Settings!$C$5,"Expiring","In date")))))</f>
        <v/>
      </c>
    </row>
    <row r="462" spans="1:17" x14ac:dyDescent="0.35">
      <c r="A462" s="90" t="str">
        <f>IF(Receipts!$D465="","",Receipts!$D465)</f>
        <v/>
      </c>
      <c r="B462" s="18" t="str">
        <f>IF(Receipts!$C465="","",Receipts!$C465)</f>
        <v/>
      </c>
      <c r="C462" s="18" t="str">
        <f>IF($A462="","",IFERROR(INDEX(Items!$B$5:$B$597,MATCH($A462,Items!$A$5:$A$597,0)),""))</f>
        <v/>
      </c>
      <c r="D462" s="23" t="str">
        <f>IF($A462="","",N(Receipts!$G465))</f>
        <v/>
      </c>
      <c r="E462" s="20" t="str">
        <f>IF($A462="","",IFERROR(INDEX(Items!$D$5:$D$597,MATCH($A462,Items!$A$5:$A$597,0)),0))</f>
        <v/>
      </c>
      <c r="F462" s="21" t="str">
        <f t="shared" si="35"/>
        <v/>
      </c>
      <c r="G462" s="25" t="str">
        <f>IF(Receipts!$I465="","",Receipts!$I465)</f>
        <v/>
      </c>
      <c r="H462" s="25" t="str">
        <f>IF(Receipts!$H465="","",Receipts!$H465)</f>
        <v/>
      </c>
      <c r="I462" s="26" t="str">
        <f t="shared" ca="1" si="36"/>
        <v/>
      </c>
      <c r="J462" s="26" t="str">
        <f>IF($A462="","",COUNTIFS(tblReceipts[Item Name],$A462,tblReceipts[Expiry Date],"&lt;"&amp;$H462)+COUNTIFS(tblReceipts[Item Name],$A462,tblReceipts[Expiry Date],$H462,tblReceipts[Lot Number],"&lt;="&amp;Receipts!$C465))</f>
        <v/>
      </c>
      <c r="K462" s="26" t="str">
        <f>IF($A462="","",SUMIFS(tblReceipts[Qty Received],tblReceipts[Item Name],$A462,tblReceipts[Expiry Date],"&lt;"&amp;$H462)+SUMIFS(tblReceipts[Qty Received],tblReceipts[Item Name],$A462,tblReceipts[Expiry Date],$H462,tblReceipts[Lot Number],"&lt;"&amp;Receipts!$C465))</f>
        <v/>
      </c>
      <c r="L462" s="26" t="str">
        <f>IF($A462="","",MIN($D462,MAX(0,SUMIFS(tblIssues[Qty Issued],tblIssues[Item Name],$A462)-$K462)))</f>
        <v/>
      </c>
      <c r="M462" s="26" t="str">
        <f>IF($A462="","",SUMIFS(tblIssues[Qty Issued],tblIssues[Lot Number],$B462))</f>
        <v/>
      </c>
      <c r="N462" s="26" t="str">
        <f t="shared" si="37"/>
        <v/>
      </c>
      <c r="O462" s="26" t="str">
        <f t="shared" si="38"/>
        <v/>
      </c>
      <c r="P462" s="21" t="str">
        <f t="shared" si="39"/>
        <v/>
      </c>
      <c r="Q462" s="52" t="str">
        <f>IF($A462="","",IF($O462&lt;=0,"Depleted",IF($I462&lt;0,"EXPIRED",IF($I462&lt;=Settings!$C$6,"CRITICAL",IF($I462&lt;=Settings!$C$5,"Expiring","In date")))))</f>
        <v/>
      </c>
    </row>
    <row r="463" spans="1:17" x14ac:dyDescent="0.35">
      <c r="A463" s="90" t="str">
        <f>IF(Receipts!$D466="","",Receipts!$D466)</f>
        <v/>
      </c>
      <c r="B463" s="18" t="str">
        <f>IF(Receipts!$C466="","",Receipts!$C466)</f>
        <v/>
      </c>
      <c r="C463" s="18" t="str">
        <f>IF($A463="","",IFERROR(INDEX(Items!$B$5:$B$597,MATCH($A463,Items!$A$5:$A$597,0)),""))</f>
        <v/>
      </c>
      <c r="D463" s="23" t="str">
        <f>IF($A463="","",N(Receipts!$G466))</f>
        <v/>
      </c>
      <c r="E463" s="20" t="str">
        <f>IF($A463="","",IFERROR(INDEX(Items!$D$5:$D$597,MATCH($A463,Items!$A$5:$A$597,0)),0))</f>
        <v/>
      </c>
      <c r="F463" s="21" t="str">
        <f t="shared" si="35"/>
        <v/>
      </c>
      <c r="G463" s="25" t="str">
        <f>IF(Receipts!$I466="","",Receipts!$I466)</f>
        <v/>
      </c>
      <c r="H463" s="25" t="str">
        <f>IF(Receipts!$H466="","",Receipts!$H466)</f>
        <v/>
      </c>
      <c r="I463" s="26" t="str">
        <f t="shared" ca="1" si="36"/>
        <v/>
      </c>
      <c r="J463" s="26" t="str">
        <f>IF($A463="","",COUNTIFS(tblReceipts[Item Name],$A463,tblReceipts[Expiry Date],"&lt;"&amp;$H463)+COUNTIFS(tblReceipts[Item Name],$A463,tblReceipts[Expiry Date],$H463,tblReceipts[Lot Number],"&lt;="&amp;Receipts!$C466))</f>
        <v/>
      </c>
      <c r="K463" s="26" t="str">
        <f>IF($A463="","",SUMIFS(tblReceipts[Qty Received],tblReceipts[Item Name],$A463,tblReceipts[Expiry Date],"&lt;"&amp;$H463)+SUMIFS(tblReceipts[Qty Received],tblReceipts[Item Name],$A463,tblReceipts[Expiry Date],$H463,tblReceipts[Lot Number],"&lt;"&amp;Receipts!$C466))</f>
        <v/>
      </c>
      <c r="L463" s="26" t="str">
        <f>IF($A463="","",MIN($D463,MAX(0,SUMIFS(tblIssues[Qty Issued],tblIssues[Item Name],$A463)-$K463)))</f>
        <v/>
      </c>
      <c r="M463" s="26" t="str">
        <f>IF($A463="","",SUMIFS(tblIssues[Qty Issued],tblIssues[Lot Number],$B463))</f>
        <v/>
      </c>
      <c r="N463" s="26" t="str">
        <f t="shared" si="37"/>
        <v/>
      </c>
      <c r="O463" s="26" t="str">
        <f t="shared" si="38"/>
        <v/>
      </c>
      <c r="P463" s="21" t="str">
        <f t="shared" si="39"/>
        <v/>
      </c>
      <c r="Q463" s="52" t="str">
        <f>IF($A463="","",IF($O463&lt;=0,"Depleted",IF($I463&lt;0,"EXPIRED",IF($I463&lt;=Settings!$C$6,"CRITICAL",IF($I463&lt;=Settings!$C$5,"Expiring","In date")))))</f>
        <v/>
      </c>
    </row>
    <row r="464" spans="1:17" x14ac:dyDescent="0.35">
      <c r="A464" s="90" t="str">
        <f>IF(Receipts!$D467="","",Receipts!$D467)</f>
        <v/>
      </c>
      <c r="B464" s="18" t="str">
        <f>IF(Receipts!$C467="","",Receipts!$C467)</f>
        <v/>
      </c>
      <c r="C464" s="18" t="str">
        <f>IF($A464="","",IFERROR(INDEX(Items!$B$5:$B$597,MATCH($A464,Items!$A$5:$A$597,0)),""))</f>
        <v/>
      </c>
      <c r="D464" s="23" t="str">
        <f>IF($A464="","",N(Receipts!$G467))</f>
        <v/>
      </c>
      <c r="E464" s="20" t="str">
        <f>IF($A464="","",IFERROR(INDEX(Items!$D$5:$D$597,MATCH($A464,Items!$A$5:$A$597,0)),0))</f>
        <v/>
      </c>
      <c r="F464" s="21" t="str">
        <f t="shared" si="35"/>
        <v/>
      </c>
      <c r="G464" s="25" t="str">
        <f>IF(Receipts!$I467="","",Receipts!$I467)</f>
        <v/>
      </c>
      <c r="H464" s="25" t="str">
        <f>IF(Receipts!$H467="","",Receipts!$H467)</f>
        <v/>
      </c>
      <c r="I464" s="26" t="str">
        <f t="shared" ca="1" si="36"/>
        <v/>
      </c>
      <c r="J464" s="26" t="str">
        <f>IF($A464="","",COUNTIFS(tblReceipts[Item Name],$A464,tblReceipts[Expiry Date],"&lt;"&amp;$H464)+COUNTIFS(tblReceipts[Item Name],$A464,tblReceipts[Expiry Date],$H464,tblReceipts[Lot Number],"&lt;="&amp;Receipts!$C467))</f>
        <v/>
      </c>
      <c r="K464" s="26" t="str">
        <f>IF($A464="","",SUMIFS(tblReceipts[Qty Received],tblReceipts[Item Name],$A464,tblReceipts[Expiry Date],"&lt;"&amp;$H464)+SUMIFS(tblReceipts[Qty Received],tblReceipts[Item Name],$A464,tblReceipts[Expiry Date],$H464,tblReceipts[Lot Number],"&lt;"&amp;Receipts!$C467))</f>
        <v/>
      </c>
      <c r="L464" s="26" t="str">
        <f>IF($A464="","",MIN($D464,MAX(0,SUMIFS(tblIssues[Qty Issued],tblIssues[Item Name],$A464)-$K464)))</f>
        <v/>
      </c>
      <c r="M464" s="26" t="str">
        <f>IF($A464="","",SUMIFS(tblIssues[Qty Issued],tblIssues[Lot Number],$B464))</f>
        <v/>
      </c>
      <c r="N464" s="26" t="str">
        <f t="shared" si="37"/>
        <v/>
      </c>
      <c r="O464" s="26" t="str">
        <f t="shared" si="38"/>
        <v/>
      </c>
      <c r="P464" s="21" t="str">
        <f t="shared" si="39"/>
        <v/>
      </c>
      <c r="Q464" s="52" t="str">
        <f>IF($A464="","",IF($O464&lt;=0,"Depleted",IF($I464&lt;0,"EXPIRED",IF($I464&lt;=Settings!$C$6,"CRITICAL",IF($I464&lt;=Settings!$C$5,"Expiring","In date")))))</f>
        <v/>
      </c>
    </row>
    <row r="465" spans="1:17" x14ac:dyDescent="0.35">
      <c r="A465" s="90" t="str">
        <f>IF(Receipts!$D468="","",Receipts!$D468)</f>
        <v/>
      </c>
      <c r="B465" s="18" t="str">
        <f>IF(Receipts!$C468="","",Receipts!$C468)</f>
        <v/>
      </c>
      <c r="C465" s="18" t="str">
        <f>IF($A465="","",IFERROR(INDEX(Items!$B$5:$B$597,MATCH($A465,Items!$A$5:$A$597,0)),""))</f>
        <v/>
      </c>
      <c r="D465" s="23" t="str">
        <f>IF($A465="","",N(Receipts!$G468))</f>
        <v/>
      </c>
      <c r="E465" s="20" t="str">
        <f>IF($A465="","",IFERROR(INDEX(Items!$D$5:$D$597,MATCH($A465,Items!$A$5:$A$597,0)),0))</f>
        <v/>
      </c>
      <c r="F465" s="21" t="str">
        <f t="shared" si="35"/>
        <v/>
      </c>
      <c r="G465" s="25" t="str">
        <f>IF(Receipts!$I468="","",Receipts!$I468)</f>
        <v/>
      </c>
      <c r="H465" s="25" t="str">
        <f>IF(Receipts!$H468="","",Receipts!$H468)</f>
        <v/>
      </c>
      <c r="I465" s="26" t="str">
        <f t="shared" ca="1" si="36"/>
        <v/>
      </c>
      <c r="J465" s="26" t="str">
        <f>IF($A465="","",COUNTIFS(tblReceipts[Item Name],$A465,tblReceipts[Expiry Date],"&lt;"&amp;$H465)+COUNTIFS(tblReceipts[Item Name],$A465,tblReceipts[Expiry Date],$H465,tblReceipts[Lot Number],"&lt;="&amp;Receipts!$C468))</f>
        <v/>
      </c>
      <c r="K465" s="26" t="str">
        <f>IF($A465="","",SUMIFS(tblReceipts[Qty Received],tblReceipts[Item Name],$A465,tblReceipts[Expiry Date],"&lt;"&amp;$H465)+SUMIFS(tblReceipts[Qty Received],tblReceipts[Item Name],$A465,tblReceipts[Expiry Date],$H465,tblReceipts[Lot Number],"&lt;"&amp;Receipts!$C468))</f>
        <v/>
      </c>
      <c r="L465" s="26" t="str">
        <f>IF($A465="","",MIN($D465,MAX(0,SUMIFS(tblIssues[Qty Issued],tblIssues[Item Name],$A465)-$K465)))</f>
        <v/>
      </c>
      <c r="M465" s="26" t="str">
        <f>IF($A465="","",SUMIFS(tblIssues[Qty Issued],tblIssues[Lot Number],$B465))</f>
        <v/>
      </c>
      <c r="N465" s="26" t="str">
        <f t="shared" si="37"/>
        <v/>
      </c>
      <c r="O465" s="26" t="str">
        <f t="shared" si="38"/>
        <v/>
      </c>
      <c r="P465" s="21" t="str">
        <f t="shared" si="39"/>
        <v/>
      </c>
      <c r="Q465" s="52" t="str">
        <f>IF($A465="","",IF($O465&lt;=0,"Depleted",IF($I465&lt;0,"EXPIRED",IF($I465&lt;=Settings!$C$6,"CRITICAL",IF($I465&lt;=Settings!$C$5,"Expiring","In date")))))</f>
        <v/>
      </c>
    </row>
    <row r="466" spans="1:17" x14ac:dyDescent="0.35">
      <c r="A466" s="90" t="str">
        <f>IF(Receipts!$D469="","",Receipts!$D469)</f>
        <v/>
      </c>
      <c r="B466" s="18" t="str">
        <f>IF(Receipts!$C469="","",Receipts!$C469)</f>
        <v/>
      </c>
      <c r="C466" s="18" t="str">
        <f>IF($A466="","",IFERROR(INDEX(Items!$B$5:$B$597,MATCH($A466,Items!$A$5:$A$597,0)),""))</f>
        <v/>
      </c>
      <c r="D466" s="23" t="str">
        <f>IF($A466="","",N(Receipts!$G469))</f>
        <v/>
      </c>
      <c r="E466" s="20" t="str">
        <f>IF($A466="","",IFERROR(INDEX(Items!$D$5:$D$597,MATCH($A466,Items!$A$5:$A$597,0)),0))</f>
        <v/>
      </c>
      <c r="F466" s="21" t="str">
        <f t="shared" si="35"/>
        <v/>
      </c>
      <c r="G466" s="25" t="str">
        <f>IF(Receipts!$I469="","",Receipts!$I469)</f>
        <v/>
      </c>
      <c r="H466" s="25" t="str">
        <f>IF(Receipts!$H469="","",Receipts!$H469)</f>
        <v/>
      </c>
      <c r="I466" s="26" t="str">
        <f t="shared" ca="1" si="36"/>
        <v/>
      </c>
      <c r="J466" s="26" t="str">
        <f>IF($A466="","",COUNTIFS(tblReceipts[Item Name],$A466,tblReceipts[Expiry Date],"&lt;"&amp;$H466)+COUNTIFS(tblReceipts[Item Name],$A466,tblReceipts[Expiry Date],$H466,tblReceipts[Lot Number],"&lt;="&amp;Receipts!$C469))</f>
        <v/>
      </c>
      <c r="K466" s="26" t="str">
        <f>IF($A466="","",SUMIFS(tblReceipts[Qty Received],tblReceipts[Item Name],$A466,tblReceipts[Expiry Date],"&lt;"&amp;$H466)+SUMIFS(tblReceipts[Qty Received],tblReceipts[Item Name],$A466,tblReceipts[Expiry Date],$H466,tblReceipts[Lot Number],"&lt;"&amp;Receipts!$C469))</f>
        <v/>
      </c>
      <c r="L466" s="26" t="str">
        <f>IF($A466="","",MIN($D466,MAX(0,SUMIFS(tblIssues[Qty Issued],tblIssues[Item Name],$A466)-$K466)))</f>
        <v/>
      </c>
      <c r="M466" s="26" t="str">
        <f>IF($A466="","",SUMIFS(tblIssues[Qty Issued],tblIssues[Lot Number],$B466))</f>
        <v/>
      </c>
      <c r="N466" s="26" t="str">
        <f t="shared" si="37"/>
        <v/>
      </c>
      <c r="O466" s="26" t="str">
        <f t="shared" si="38"/>
        <v/>
      </c>
      <c r="P466" s="21" t="str">
        <f t="shared" si="39"/>
        <v/>
      </c>
      <c r="Q466" s="52" t="str">
        <f>IF($A466="","",IF($O466&lt;=0,"Depleted",IF($I466&lt;0,"EXPIRED",IF($I466&lt;=Settings!$C$6,"CRITICAL",IF($I466&lt;=Settings!$C$5,"Expiring","In date")))))</f>
        <v/>
      </c>
    </row>
    <row r="467" spans="1:17" x14ac:dyDescent="0.35">
      <c r="A467" s="90" t="str">
        <f>IF(Receipts!$D470="","",Receipts!$D470)</f>
        <v/>
      </c>
      <c r="B467" s="18" t="str">
        <f>IF(Receipts!$C470="","",Receipts!$C470)</f>
        <v/>
      </c>
      <c r="C467" s="18" t="str">
        <f>IF($A467="","",IFERROR(INDEX(Items!$B$5:$B$597,MATCH($A467,Items!$A$5:$A$597,0)),""))</f>
        <v/>
      </c>
      <c r="D467" s="23" t="str">
        <f>IF($A467="","",N(Receipts!$G470))</f>
        <v/>
      </c>
      <c r="E467" s="20" t="str">
        <f>IF($A467="","",IFERROR(INDEX(Items!$D$5:$D$597,MATCH($A467,Items!$A$5:$A$597,0)),0))</f>
        <v/>
      </c>
      <c r="F467" s="21" t="str">
        <f t="shared" si="35"/>
        <v/>
      </c>
      <c r="G467" s="25" t="str">
        <f>IF(Receipts!$I470="","",Receipts!$I470)</f>
        <v/>
      </c>
      <c r="H467" s="25" t="str">
        <f>IF(Receipts!$H470="","",Receipts!$H470)</f>
        <v/>
      </c>
      <c r="I467" s="26" t="str">
        <f t="shared" ca="1" si="36"/>
        <v/>
      </c>
      <c r="J467" s="26" t="str">
        <f>IF($A467="","",COUNTIFS(tblReceipts[Item Name],$A467,tblReceipts[Expiry Date],"&lt;"&amp;$H467)+COUNTIFS(tblReceipts[Item Name],$A467,tblReceipts[Expiry Date],$H467,tblReceipts[Lot Number],"&lt;="&amp;Receipts!$C470))</f>
        <v/>
      </c>
      <c r="K467" s="26" t="str">
        <f>IF($A467="","",SUMIFS(tblReceipts[Qty Received],tblReceipts[Item Name],$A467,tblReceipts[Expiry Date],"&lt;"&amp;$H467)+SUMIFS(tblReceipts[Qty Received],tblReceipts[Item Name],$A467,tblReceipts[Expiry Date],$H467,tblReceipts[Lot Number],"&lt;"&amp;Receipts!$C470))</f>
        <v/>
      </c>
      <c r="L467" s="26" t="str">
        <f>IF($A467="","",MIN($D467,MAX(0,SUMIFS(tblIssues[Qty Issued],tblIssues[Item Name],$A467)-$K467)))</f>
        <v/>
      </c>
      <c r="M467" s="26" t="str">
        <f>IF($A467="","",SUMIFS(tblIssues[Qty Issued],tblIssues[Lot Number],$B467))</f>
        <v/>
      </c>
      <c r="N467" s="26" t="str">
        <f t="shared" si="37"/>
        <v/>
      </c>
      <c r="O467" s="26" t="str">
        <f t="shared" si="38"/>
        <v/>
      </c>
      <c r="P467" s="21" t="str">
        <f t="shared" si="39"/>
        <v/>
      </c>
      <c r="Q467" s="52" t="str">
        <f>IF($A467="","",IF($O467&lt;=0,"Depleted",IF($I467&lt;0,"EXPIRED",IF($I467&lt;=Settings!$C$6,"CRITICAL",IF($I467&lt;=Settings!$C$5,"Expiring","In date")))))</f>
        <v/>
      </c>
    </row>
    <row r="468" spans="1:17" x14ac:dyDescent="0.35">
      <c r="A468" s="90" t="str">
        <f>IF(Receipts!$D471="","",Receipts!$D471)</f>
        <v/>
      </c>
      <c r="B468" s="18" t="str">
        <f>IF(Receipts!$C471="","",Receipts!$C471)</f>
        <v/>
      </c>
      <c r="C468" s="18" t="str">
        <f>IF($A468="","",IFERROR(INDEX(Items!$B$5:$B$597,MATCH($A468,Items!$A$5:$A$597,0)),""))</f>
        <v/>
      </c>
      <c r="D468" s="23" t="str">
        <f>IF($A468="","",N(Receipts!$G471))</f>
        <v/>
      </c>
      <c r="E468" s="20" t="str">
        <f>IF($A468="","",IFERROR(INDEX(Items!$D$5:$D$597,MATCH($A468,Items!$A$5:$A$597,0)),0))</f>
        <v/>
      </c>
      <c r="F468" s="21" t="str">
        <f t="shared" si="35"/>
        <v/>
      </c>
      <c r="G468" s="25" t="str">
        <f>IF(Receipts!$I471="","",Receipts!$I471)</f>
        <v/>
      </c>
      <c r="H468" s="25" t="str">
        <f>IF(Receipts!$H471="","",Receipts!$H471)</f>
        <v/>
      </c>
      <c r="I468" s="26" t="str">
        <f t="shared" ca="1" si="36"/>
        <v/>
      </c>
      <c r="J468" s="26" t="str">
        <f>IF($A468="","",COUNTIFS(tblReceipts[Item Name],$A468,tblReceipts[Expiry Date],"&lt;"&amp;$H468)+COUNTIFS(tblReceipts[Item Name],$A468,tblReceipts[Expiry Date],$H468,tblReceipts[Lot Number],"&lt;="&amp;Receipts!$C471))</f>
        <v/>
      </c>
      <c r="K468" s="26" t="str">
        <f>IF($A468="","",SUMIFS(tblReceipts[Qty Received],tblReceipts[Item Name],$A468,tblReceipts[Expiry Date],"&lt;"&amp;$H468)+SUMIFS(tblReceipts[Qty Received],tblReceipts[Item Name],$A468,tblReceipts[Expiry Date],$H468,tblReceipts[Lot Number],"&lt;"&amp;Receipts!$C471))</f>
        <v/>
      </c>
      <c r="L468" s="26" t="str">
        <f>IF($A468="","",MIN($D468,MAX(0,SUMIFS(tblIssues[Qty Issued],tblIssues[Item Name],$A468)-$K468)))</f>
        <v/>
      </c>
      <c r="M468" s="26" t="str">
        <f>IF($A468="","",SUMIFS(tblIssues[Qty Issued],tblIssues[Lot Number],$B468))</f>
        <v/>
      </c>
      <c r="N468" s="26" t="str">
        <f t="shared" si="37"/>
        <v/>
      </c>
      <c r="O468" s="26" t="str">
        <f t="shared" si="38"/>
        <v/>
      </c>
      <c r="P468" s="21" t="str">
        <f t="shared" si="39"/>
        <v/>
      </c>
      <c r="Q468" s="52" t="str">
        <f>IF($A468="","",IF($O468&lt;=0,"Depleted",IF($I468&lt;0,"EXPIRED",IF($I468&lt;=Settings!$C$6,"CRITICAL",IF($I468&lt;=Settings!$C$5,"Expiring","In date")))))</f>
        <v/>
      </c>
    </row>
    <row r="469" spans="1:17" x14ac:dyDescent="0.35">
      <c r="A469" s="90" t="str">
        <f>IF(Receipts!$D472="","",Receipts!$D472)</f>
        <v/>
      </c>
      <c r="B469" s="18" t="str">
        <f>IF(Receipts!$C472="","",Receipts!$C472)</f>
        <v/>
      </c>
      <c r="C469" s="18" t="str">
        <f>IF($A469="","",IFERROR(INDEX(Items!$B$5:$B$597,MATCH($A469,Items!$A$5:$A$597,0)),""))</f>
        <v/>
      </c>
      <c r="D469" s="23" t="str">
        <f>IF($A469="","",N(Receipts!$G472))</f>
        <v/>
      </c>
      <c r="E469" s="20" t="str">
        <f>IF($A469="","",IFERROR(INDEX(Items!$D$5:$D$597,MATCH($A469,Items!$A$5:$A$597,0)),0))</f>
        <v/>
      </c>
      <c r="F469" s="21" t="str">
        <f t="shared" si="35"/>
        <v/>
      </c>
      <c r="G469" s="25" t="str">
        <f>IF(Receipts!$I472="","",Receipts!$I472)</f>
        <v/>
      </c>
      <c r="H469" s="25" t="str">
        <f>IF(Receipts!$H472="","",Receipts!$H472)</f>
        <v/>
      </c>
      <c r="I469" s="26" t="str">
        <f t="shared" ca="1" si="36"/>
        <v/>
      </c>
      <c r="J469" s="26" t="str">
        <f>IF($A469="","",COUNTIFS(tblReceipts[Item Name],$A469,tblReceipts[Expiry Date],"&lt;"&amp;$H469)+COUNTIFS(tblReceipts[Item Name],$A469,tblReceipts[Expiry Date],$H469,tblReceipts[Lot Number],"&lt;="&amp;Receipts!$C472))</f>
        <v/>
      </c>
      <c r="K469" s="26" t="str">
        <f>IF($A469="","",SUMIFS(tblReceipts[Qty Received],tblReceipts[Item Name],$A469,tblReceipts[Expiry Date],"&lt;"&amp;$H469)+SUMIFS(tblReceipts[Qty Received],tblReceipts[Item Name],$A469,tblReceipts[Expiry Date],$H469,tblReceipts[Lot Number],"&lt;"&amp;Receipts!$C472))</f>
        <v/>
      </c>
      <c r="L469" s="26" t="str">
        <f>IF($A469="","",MIN($D469,MAX(0,SUMIFS(tblIssues[Qty Issued],tblIssues[Item Name],$A469)-$K469)))</f>
        <v/>
      </c>
      <c r="M469" s="26" t="str">
        <f>IF($A469="","",SUMIFS(tblIssues[Qty Issued],tblIssues[Lot Number],$B469))</f>
        <v/>
      </c>
      <c r="N469" s="26" t="str">
        <f t="shared" si="37"/>
        <v/>
      </c>
      <c r="O469" s="26" t="str">
        <f t="shared" si="38"/>
        <v/>
      </c>
      <c r="P469" s="21" t="str">
        <f t="shared" si="39"/>
        <v/>
      </c>
      <c r="Q469" s="52" t="str">
        <f>IF($A469="","",IF($O469&lt;=0,"Depleted",IF($I469&lt;0,"EXPIRED",IF($I469&lt;=Settings!$C$6,"CRITICAL",IF($I469&lt;=Settings!$C$5,"Expiring","In date")))))</f>
        <v/>
      </c>
    </row>
    <row r="470" spans="1:17" x14ac:dyDescent="0.35">
      <c r="A470" s="90" t="str">
        <f>IF(Receipts!$D473="","",Receipts!$D473)</f>
        <v/>
      </c>
      <c r="B470" s="18" t="str">
        <f>IF(Receipts!$C473="","",Receipts!$C473)</f>
        <v/>
      </c>
      <c r="C470" s="18" t="str">
        <f>IF($A470="","",IFERROR(INDEX(Items!$B$5:$B$597,MATCH($A470,Items!$A$5:$A$597,0)),""))</f>
        <v/>
      </c>
      <c r="D470" s="23" t="str">
        <f>IF($A470="","",N(Receipts!$G473))</f>
        <v/>
      </c>
      <c r="E470" s="20" t="str">
        <f>IF($A470="","",IFERROR(INDEX(Items!$D$5:$D$597,MATCH($A470,Items!$A$5:$A$597,0)),0))</f>
        <v/>
      </c>
      <c r="F470" s="21" t="str">
        <f t="shared" si="35"/>
        <v/>
      </c>
      <c r="G470" s="25" t="str">
        <f>IF(Receipts!$I473="","",Receipts!$I473)</f>
        <v/>
      </c>
      <c r="H470" s="25" t="str">
        <f>IF(Receipts!$H473="","",Receipts!$H473)</f>
        <v/>
      </c>
      <c r="I470" s="26" t="str">
        <f t="shared" ca="1" si="36"/>
        <v/>
      </c>
      <c r="J470" s="26" t="str">
        <f>IF($A470="","",COUNTIFS(tblReceipts[Item Name],$A470,tblReceipts[Expiry Date],"&lt;"&amp;$H470)+COUNTIFS(tblReceipts[Item Name],$A470,tblReceipts[Expiry Date],$H470,tblReceipts[Lot Number],"&lt;="&amp;Receipts!$C473))</f>
        <v/>
      </c>
      <c r="K470" s="26" t="str">
        <f>IF($A470="","",SUMIFS(tblReceipts[Qty Received],tblReceipts[Item Name],$A470,tblReceipts[Expiry Date],"&lt;"&amp;$H470)+SUMIFS(tblReceipts[Qty Received],tblReceipts[Item Name],$A470,tblReceipts[Expiry Date],$H470,tblReceipts[Lot Number],"&lt;"&amp;Receipts!$C473))</f>
        <v/>
      </c>
      <c r="L470" s="26" t="str">
        <f>IF($A470="","",MIN($D470,MAX(0,SUMIFS(tblIssues[Qty Issued],tblIssues[Item Name],$A470)-$K470)))</f>
        <v/>
      </c>
      <c r="M470" s="26" t="str">
        <f>IF($A470="","",SUMIFS(tblIssues[Qty Issued],tblIssues[Lot Number],$B470))</f>
        <v/>
      </c>
      <c r="N470" s="26" t="str">
        <f t="shared" si="37"/>
        <v/>
      </c>
      <c r="O470" s="26" t="str">
        <f t="shared" si="38"/>
        <v/>
      </c>
      <c r="P470" s="21" t="str">
        <f t="shared" si="39"/>
        <v/>
      </c>
      <c r="Q470" s="52" t="str">
        <f>IF($A470="","",IF($O470&lt;=0,"Depleted",IF($I470&lt;0,"EXPIRED",IF($I470&lt;=Settings!$C$6,"CRITICAL",IF($I470&lt;=Settings!$C$5,"Expiring","In date")))))</f>
        <v/>
      </c>
    </row>
    <row r="471" spans="1:17" x14ac:dyDescent="0.35">
      <c r="A471" s="90" t="str">
        <f>IF(Receipts!$D474="","",Receipts!$D474)</f>
        <v/>
      </c>
      <c r="B471" s="18" t="str">
        <f>IF(Receipts!$C474="","",Receipts!$C474)</f>
        <v/>
      </c>
      <c r="C471" s="18" t="str">
        <f>IF($A471="","",IFERROR(INDEX(Items!$B$5:$B$597,MATCH($A471,Items!$A$5:$A$597,0)),""))</f>
        <v/>
      </c>
      <c r="D471" s="23" t="str">
        <f>IF($A471="","",N(Receipts!$G474))</f>
        <v/>
      </c>
      <c r="E471" s="20" t="str">
        <f>IF($A471="","",IFERROR(INDEX(Items!$D$5:$D$597,MATCH($A471,Items!$A$5:$A$597,0)),0))</f>
        <v/>
      </c>
      <c r="F471" s="21" t="str">
        <f t="shared" si="35"/>
        <v/>
      </c>
      <c r="G471" s="25" t="str">
        <f>IF(Receipts!$I474="","",Receipts!$I474)</f>
        <v/>
      </c>
      <c r="H471" s="25" t="str">
        <f>IF(Receipts!$H474="","",Receipts!$H474)</f>
        <v/>
      </c>
      <c r="I471" s="26" t="str">
        <f t="shared" ca="1" si="36"/>
        <v/>
      </c>
      <c r="J471" s="26" t="str">
        <f>IF($A471="","",COUNTIFS(tblReceipts[Item Name],$A471,tblReceipts[Expiry Date],"&lt;"&amp;$H471)+COUNTIFS(tblReceipts[Item Name],$A471,tblReceipts[Expiry Date],$H471,tblReceipts[Lot Number],"&lt;="&amp;Receipts!$C474))</f>
        <v/>
      </c>
      <c r="K471" s="26" t="str">
        <f>IF($A471="","",SUMIFS(tblReceipts[Qty Received],tblReceipts[Item Name],$A471,tblReceipts[Expiry Date],"&lt;"&amp;$H471)+SUMIFS(tblReceipts[Qty Received],tblReceipts[Item Name],$A471,tblReceipts[Expiry Date],$H471,tblReceipts[Lot Number],"&lt;"&amp;Receipts!$C474))</f>
        <v/>
      </c>
      <c r="L471" s="26" t="str">
        <f>IF($A471="","",MIN($D471,MAX(0,SUMIFS(tblIssues[Qty Issued],tblIssues[Item Name],$A471)-$K471)))</f>
        <v/>
      </c>
      <c r="M471" s="26" t="str">
        <f>IF($A471="","",SUMIFS(tblIssues[Qty Issued],tblIssues[Lot Number],$B471))</f>
        <v/>
      </c>
      <c r="N471" s="26" t="str">
        <f t="shared" si="37"/>
        <v/>
      </c>
      <c r="O471" s="26" t="str">
        <f t="shared" si="38"/>
        <v/>
      </c>
      <c r="P471" s="21" t="str">
        <f t="shared" si="39"/>
        <v/>
      </c>
      <c r="Q471" s="52" t="str">
        <f>IF($A471="","",IF($O471&lt;=0,"Depleted",IF($I471&lt;0,"EXPIRED",IF($I471&lt;=Settings!$C$6,"CRITICAL",IF($I471&lt;=Settings!$C$5,"Expiring","In date")))))</f>
        <v/>
      </c>
    </row>
    <row r="472" spans="1:17" x14ac:dyDescent="0.35">
      <c r="A472" s="90" t="str">
        <f>IF(Receipts!$D475="","",Receipts!$D475)</f>
        <v/>
      </c>
      <c r="B472" s="18" t="str">
        <f>IF(Receipts!$C475="","",Receipts!$C475)</f>
        <v/>
      </c>
      <c r="C472" s="18" t="str">
        <f>IF($A472="","",IFERROR(INDEX(Items!$B$5:$B$597,MATCH($A472,Items!$A$5:$A$597,0)),""))</f>
        <v/>
      </c>
      <c r="D472" s="23" t="str">
        <f>IF($A472="","",N(Receipts!$G475))</f>
        <v/>
      </c>
      <c r="E472" s="20" t="str">
        <f>IF($A472="","",IFERROR(INDEX(Items!$D$5:$D$597,MATCH($A472,Items!$A$5:$A$597,0)),0))</f>
        <v/>
      </c>
      <c r="F472" s="21" t="str">
        <f t="shared" si="35"/>
        <v/>
      </c>
      <c r="G472" s="25" t="str">
        <f>IF(Receipts!$I475="","",Receipts!$I475)</f>
        <v/>
      </c>
      <c r="H472" s="25" t="str">
        <f>IF(Receipts!$H475="","",Receipts!$H475)</f>
        <v/>
      </c>
      <c r="I472" s="26" t="str">
        <f t="shared" ca="1" si="36"/>
        <v/>
      </c>
      <c r="J472" s="26" t="str">
        <f>IF($A472="","",COUNTIFS(tblReceipts[Item Name],$A472,tblReceipts[Expiry Date],"&lt;"&amp;$H472)+COUNTIFS(tblReceipts[Item Name],$A472,tblReceipts[Expiry Date],$H472,tblReceipts[Lot Number],"&lt;="&amp;Receipts!$C475))</f>
        <v/>
      </c>
      <c r="K472" s="26" t="str">
        <f>IF($A472="","",SUMIFS(tblReceipts[Qty Received],tblReceipts[Item Name],$A472,tblReceipts[Expiry Date],"&lt;"&amp;$H472)+SUMIFS(tblReceipts[Qty Received],tblReceipts[Item Name],$A472,tblReceipts[Expiry Date],$H472,tblReceipts[Lot Number],"&lt;"&amp;Receipts!$C475))</f>
        <v/>
      </c>
      <c r="L472" s="26" t="str">
        <f>IF($A472="","",MIN($D472,MAX(0,SUMIFS(tblIssues[Qty Issued],tblIssues[Item Name],$A472)-$K472)))</f>
        <v/>
      </c>
      <c r="M472" s="26" t="str">
        <f>IF($A472="","",SUMIFS(tblIssues[Qty Issued],tblIssues[Lot Number],$B472))</f>
        <v/>
      </c>
      <c r="N472" s="26" t="str">
        <f t="shared" si="37"/>
        <v/>
      </c>
      <c r="O472" s="26" t="str">
        <f t="shared" si="38"/>
        <v/>
      </c>
      <c r="P472" s="21" t="str">
        <f t="shared" si="39"/>
        <v/>
      </c>
      <c r="Q472" s="52" t="str">
        <f>IF($A472="","",IF($O472&lt;=0,"Depleted",IF($I472&lt;0,"EXPIRED",IF($I472&lt;=Settings!$C$6,"CRITICAL",IF($I472&lt;=Settings!$C$5,"Expiring","In date")))))</f>
        <v/>
      </c>
    </row>
    <row r="473" spans="1:17" x14ac:dyDescent="0.35">
      <c r="A473" s="90" t="str">
        <f>IF(Receipts!$D476="","",Receipts!$D476)</f>
        <v/>
      </c>
      <c r="B473" s="18" t="str">
        <f>IF(Receipts!$C476="","",Receipts!$C476)</f>
        <v/>
      </c>
      <c r="C473" s="18" t="str">
        <f>IF($A473="","",IFERROR(INDEX(Items!$B$5:$B$597,MATCH($A473,Items!$A$5:$A$597,0)),""))</f>
        <v/>
      </c>
      <c r="D473" s="23" t="str">
        <f>IF($A473="","",N(Receipts!$G476))</f>
        <v/>
      </c>
      <c r="E473" s="20" t="str">
        <f>IF($A473="","",IFERROR(INDEX(Items!$D$5:$D$597,MATCH($A473,Items!$A$5:$A$597,0)),0))</f>
        <v/>
      </c>
      <c r="F473" s="21" t="str">
        <f t="shared" si="35"/>
        <v/>
      </c>
      <c r="G473" s="25" t="str">
        <f>IF(Receipts!$I476="","",Receipts!$I476)</f>
        <v/>
      </c>
      <c r="H473" s="25" t="str">
        <f>IF(Receipts!$H476="","",Receipts!$H476)</f>
        <v/>
      </c>
      <c r="I473" s="26" t="str">
        <f t="shared" ca="1" si="36"/>
        <v/>
      </c>
      <c r="J473" s="26" t="str">
        <f>IF($A473="","",COUNTIFS(tblReceipts[Item Name],$A473,tblReceipts[Expiry Date],"&lt;"&amp;$H473)+COUNTIFS(tblReceipts[Item Name],$A473,tblReceipts[Expiry Date],$H473,tblReceipts[Lot Number],"&lt;="&amp;Receipts!$C476))</f>
        <v/>
      </c>
      <c r="K473" s="26" t="str">
        <f>IF($A473="","",SUMIFS(tblReceipts[Qty Received],tblReceipts[Item Name],$A473,tblReceipts[Expiry Date],"&lt;"&amp;$H473)+SUMIFS(tblReceipts[Qty Received],tblReceipts[Item Name],$A473,tblReceipts[Expiry Date],$H473,tblReceipts[Lot Number],"&lt;"&amp;Receipts!$C476))</f>
        <v/>
      </c>
      <c r="L473" s="26" t="str">
        <f>IF($A473="","",MIN($D473,MAX(0,SUMIFS(tblIssues[Qty Issued],tblIssues[Item Name],$A473)-$K473)))</f>
        <v/>
      </c>
      <c r="M473" s="26" t="str">
        <f>IF($A473="","",SUMIFS(tblIssues[Qty Issued],tblIssues[Lot Number],$B473))</f>
        <v/>
      </c>
      <c r="N473" s="26" t="str">
        <f t="shared" si="37"/>
        <v/>
      </c>
      <c r="O473" s="26" t="str">
        <f t="shared" si="38"/>
        <v/>
      </c>
      <c r="P473" s="21" t="str">
        <f t="shared" si="39"/>
        <v/>
      </c>
      <c r="Q473" s="52" t="str">
        <f>IF($A473="","",IF($O473&lt;=0,"Depleted",IF($I473&lt;0,"EXPIRED",IF($I473&lt;=Settings!$C$6,"CRITICAL",IF($I473&lt;=Settings!$C$5,"Expiring","In date")))))</f>
        <v/>
      </c>
    </row>
    <row r="474" spans="1:17" x14ac:dyDescent="0.35">
      <c r="A474" s="90" t="str">
        <f>IF(Receipts!$D477="","",Receipts!$D477)</f>
        <v/>
      </c>
      <c r="B474" s="18" t="str">
        <f>IF(Receipts!$C477="","",Receipts!$C477)</f>
        <v/>
      </c>
      <c r="C474" s="18" t="str">
        <f>IF($A474="","",IFERROR(INDEX(Items!$B$5:$B$597,MATCH($A474,Items!$A$5:$A$597,0)),""))</f>
        <v/>
      </c>
      <c r="D474" s="23" t="str">
        <f>IF($A474="","",N(Receipts!$G477))</f>
        <v/>
      </c>
      <c r="E474" s="20" t="str">
        <f>IF($A474="","",IFERROR(INDEX(Items!$D$5:$D$597,MATCH($A474,Items!$A$5:$A$597,0)),0))</f>
        <v/>
      </c>
      <c r="F474" s="21" t="str">
        <f t="shared" si="35"/>
        <v/>
      </c>
      <c r="G474" s="25" t="str">
        <f>IF(Receipts!$I477="","",Receipts!$I477)</f>
        <v/>
      </c>
      <c r="H474" s="25" t="str">
        <f>IF(Receipts!$H477="","",Receipts!$H477)</f>
        <v/>
      </c>
      <c r="I474" s="26" t="str">
        <f t="shared" ca="1" si="36"/>
        <v/>
      </c>
      <c r="J474" s="26" t="str">
        <f>IF($A474="","",COUNTIFS(tblReceipts[Item Name],$A474,tblReceipts[Expiry Date],"&lt;"&amp;$H474)+COUNTIFS(tblReceipts[Item Name],$A474,tblReceipts[Expiry Date],$H474,tblReceipts[Lot Number],"&lt;="&amp;Receipts!$C477))</f>
        <v/>
      </c>
      <c r="K474" s="26" t="str">
        <f>IF($A474="","",SUMIFS(tblReceipts[Qty Received],tblReceipts[Item Name],$A474,tblReceipts[Expiry Date],"&lt;"&amp;$H474)+SUMIFS(tblReceipts[Qty Received],tblReceipts[Item Name],$A474,tblReceipts[Expiry Date],$H474,tblReceipts[Lot Number],"&lt;"&amp;Receipts!$C477))</f>
        <v/>
      </c>
      <c r="L474" s="26" t="str">
        <f>IF($A474="","",MIN($D474,MAX(0,SUMIFS(tblIssues[Qty Issued],tblIssues[Item Name],$A474)-$K474)))</f>
        <v/>
      </c>
      <c r="M474" s="26" t="str">
        <f>IF($A474="","",SUMIFS(tblIssues[Qty Issued],tblIssues[Lot Number],$B474))</f>
        <v/>
      </c>
      <c r="N474" s="26" t="str">
        <f t="shared" si="37"/>
        <v/>
      </c>
      <c r="O474" s="26" t="str">
        <f t="shared" si="38"/>
        <v/>
      </c>
      <c r="P474" s="21" t="str">
        <f t="shared" si="39"/>
        <v/>
      </c>
      <c r="Q474" s="52" t="str">
        <f>IF($A474="","",IF($O474&lt;=0,"Depleted",IF($I474&lt;0,"EXPIRED",IF($I474&lt;=Settings!$C$6,"CRITICAL",IF($I474&lt;=Settings!$C$5,"Expiring","In date")))))</f>
        <v/>
      </c>
    </row>
    <row r="475" spans="1:17" x14ac:dyDescent="0.35">
      <c r="A475" s="90" t="str">
        <f>IF(Receipts!$D478="","",Receipts!$D478)</f>
        <v/>
      </c>
      <c r="B475" s="18" t="str">
        <f>IF(Receipts!$C478="","",Receipts!$C478)</f>
        <v/>
      </c>
      <c r="C475" s="18" t="str">
        <f>IF($A475="","",IFERROR(INDEX(Items!$B$5:$B$597,MATCH($A475,Items!$A$5:$A$597,0)),""))</f>
        <v/>
      </c>
      <c r="D475" s="23" t="str">
        <f>IF($A475="","",N(Receipts!$G478))</f>
        <v/>
      </c>
      <c r="E475" s="20" t="str">
        <f>IF($A475="","",IFERROR(INDEX(Items!$D$5:$D$597,MATCH($A475,Items!$A$5:$A$597,0)),0))</f>
        <v/>
      </c>
      <c r="F475" s="21" t="str">
        <f t="shared" si="35"/>
        <v/>
      </c>
      <c r="G475" s="25" t="str">
        <f>IF(Receipts!$I478="","",Receipts!$I478)</f>
        <v/>
      </c>
      <c r="H475" s="25" t="str">
        <f>IF(Receipts!$H478="","",Receipts!$H478)</f>
        <v/>
      </c>
      <c r="I475" s="26" t="str">
        <f t="shared" ca="1" si="36"/>
        <v/>
      </c>
      <c r="J475" s="26" t="str">
        <f>IF($A475="","",COUNTIFS(tblReceipts[Item Name],$A475,tblReceipts[Expiry Date],"&lt;"&amp;$H475)+COUNTIFS(tblReceipts[Item Name],$A475,tblReceipts[Expiry Date],$H475,tblReceipts[Lot Number],"&lt;="&amp;Receipts!$C478))</f>
        <v/>
      </c>
      <c r="K475" s="26" t="str">
        <f>IF($A475="","",SUMIFS(tblReceipts[Qty Received],tblReceipts[Item Name],$A475,tblReceipts[Expiry Date],"&lt;"&amp;$H475)+SUMIFS(tblReceipts[Qty Received],tblReceipts[Item Name],$A475,tblReceipts[Expiry Date],$H475,tblReceipts[Lot Number],"&lt;"&amp;Receipts!$C478))</f>
        <v/>
      </c>
      <c r="L475" s="26" t="str">
        <f>IF($A475="","",MIN($D475,MAX(0,SUMIFS(tblIssues[Qty Issued],tblIssues[Item Name],$A475)-$K475)))</f>
        <v/>
      </c>
      <c r="M475" s="26" t="str">
        <f>IF($A475="","",SUMIFS(tblIssues[Qty Issued],tblIssues[Lot Number],$B475))</f>
        <v/>
      </c>
      <c r="N475" s="26" t="str">
        <f t="shared" si="37"/>
        <v/>
      </c>
      <c r="O475" s="26" t="str">
        <f t="shared" si="38"/>
        <v/>
      </c>
      <c r="P475" s="21" t="str">
        <f t="shared" si="39"/>
        <v/>
      </c>
      <c r="Q475" s="52" t="str">
        <f>IF($A475="","",IF($O475&lt;=0,"Depleted",IF($I475&lt;0,"EXPIRED",IF($I475&lt;=Settings!$C$6,"CRITICAL",IF($I475&lt;=Settings!$C$5,"Expiring","In date")))))</f>
        <v/>
      </c>
    </row>
    <row r="476" spans="1:17" x14ac:dyDescent="0.35">
      <c r="A476" s="90" t="str">
        <f>IF(Receipts!$D479="","",Receipts!$D479)</f>
        <v/>
      </c>
      <c r="B476" s="18" t="str">
        <f>IF(Receipts!$C479="","",Receipts!$C479)</f>
        <v/>
      </c>
      <c r="C476" s="18" t="str">
        <f>IF($A476="","",IFERROR(INDEX(Items!$B$5:$B$597,MATCH($A476,Items!$A$5:$A$597,0)),""))</f>
        <v/>
      </c>
      <c r="D476" s="23" t="str">
        <f>IF($A476="","",N(Receipts!$G479))</f>
        <v/>
      </c>
      <c r="E476" s="20" t="str">
        <f>IF($A476="","",IFERROR(INDEX(Items!$D$5:$D$597,MATCH($A476,Items!$A$5:$A$597,0)),0))</f>
        <v/>
      </c>
      <c r="F476" s="21" t="str">
        <f t="shared" si="35"/>
        <v/>
      </c>
      <c r="G476" s="25" t="str">
        <f>IF(Receipts!$I479="","",Receipts!$I479)</f>
        <v/>
      </c>
      <c r="H476" s="25" t="str">
        <f>IF(Receipts!$H479="","",Receipts!$H479)</f>
        <v/>
      </c>
      <c r="I476" s="26" t="str">
        <f t="shared" ca="1" si="36"/>
        <v/>
      </c>
      <c r="J476" s="26" t="str">
        <f>IF($A476="","",COUNTIFS(tblReceipts[Item Name],$A476,tblReceipts[Expiry Date],"&lt;"&amp;$H476)+COUNTIFS(tblReceipts[Item Name],$A476,tblReceipts[Expiry Date],$H476,tblReceipts[Lot Number],"&lt;="&amp;Receipts!$C479))</f>
        <v/>
      </c>
      <c r="K476" s="26" t="str">
        <f>IF($A476="","",SUMIFS(tblReceipts[Qty Received],tblReceipts[Item Name],$A476,tblReceipts[Expiry Date],"&lt;"&amp;$H476)+SUMIFS(tblReceipts[Qty Received],tblReceipts[Item Name],$A476,tblReceipts[Expiry Date],$H476,tblReceipts[Lot Number],"&lt;"&amp;Receipts!$C479))</f>
        <v/>
      </c>
      <c r="L476" s="26" t="str">
        <f>IF($A476="","",MIN($D476,MAX(0,SUMIFS(tblIssues[Qty Issued],tblIssues[Item Name],$A476)-$K476)))</f>
        <v/>
      </c>
      <c r="M476" s="26" t="str">
        <f>IF($A476="","",SUMIFS(tblIssues[Qty Issued],tblIssues[Lot Number],$B476))</f>
        <v/>
      </c>
      <c r="N476" s="26" t="str">
        <f t="shared" si="37"/>
        <v/>
      </c>
      <c r="O476" s="26" t="str">
        <f t="shared" si="38"/>
        <v/>
      </c>
      <c r="P476" s="21" t="str">
        <f t="shared" si="39"/>
        <v/>
      </c>
      <c r="Q476" s="52" t="str">
        <f>IF($A476="","",IF($O476&lt;=0,"Depleted",IF($I476&lt;0,"EXPIRED",IF($I476&lt;=Settings!$C$6,"CRITICAL",IF($I476&lt;=Settings!$C$5,"Expiring","In date")))))</f>
        <v/>
      </c>
    </row>
    <row r="477" spans="1:17" x14ac:dyDescent="0.35">
      <c r="A477" s="90" t="str">
        <f>IF(Receipts!$D480="","",Receipts!$D480)</f>
        <v/>
      </c>
      <c r="B477" s="18" t="str">
        <f>IF(Receipts!$C480="","",Receipts!$C480)</f>
        <v/>
      </c>
      <c r="C477" s="18" t="str">
        <f>IF($A477="","",IFERROR(INDEX(Items!$B$5:$B$597,MATCH($A477,Items!$A$5:$A$597,0)),""))</f>
        <v/>
      </c>
      <c r="D477" s="23" t="str">
        <f>IF($A477="","",N(Receipts!$G480))</f>
        <v/>
      </c>
      <c r="E477" s="20" t="str">
        <f>IF($A477="","",IFERROR(INDEX(Items!$D$5:$D$597,MATCH($A477,Items!$A$5:$A$597,0)),0))</f>
        <v/>
      </c>
      <c r="F477" s="21" t="str">
        <f t="shared" si="35"/>
        <v/>
      </c>
      <c r="G477" s="25" t="str">
        <f>IF(Receipts!$I480="","",Receipts!$I480)</f>
        <v/>
      </c>
      <c r="H477" s="25" t="str">
        <f>IF(Receipts!$H480="","",Receipts!$H480)</f>
        <v/>
      </c>
      <c r="I477" s="26" t="str">
        <f t="shared" ca="1" si="36"/>
        <v/>
      </c>
      <c r="J477" s="26" t="str">
        <f>IF($A477="","",COUNTIFS(tblReceipts[Item Name],$A477,tblReceipts[Expiry Date],"&lt;"&amp;$H477)+COUNTIFS(tblReceipts[Item Name],$A477,tblReceipts[Expiry Date],$H477,tblReceipts[Lot Number],"&lt;="&amp;Receipts!$C480))</f>
        <v/>
      </c>
      <c r="K477" s="26" t="str">
        <f>IF($A477="","",SUMIFS(tblReceipts[Qty Received],tblReceipts[Item Name],$A477,tblReceipts[Expiry Date],"&lt;"&amp;$H477)+SUMIFS(tblReceipts[Qty Received],tblReceipts[Item Name],$A477,tblReceipts[Expiry Date],$H477,tblReceipts[Lot Number],"&lt;"&amp;Receipts!$C480))</f>
        <v/>
      </c>
      <c r="L477" s="26" t="str">
        <f>IF($A477="","",MIN($D477,MAX(0,SUMIFS(tblIssues[Qty Issued],tblIssues[Item Name],$A477)-$K477)))</f>
        <v/>
      </c>
      <c r="M477" s="26" t="str">
        <f>IF($A477="","",SUMIFS(tblIssues[Qty Issued],tblIssues[Lot Number],$B477))</f>
        <v/>
      </c>
      <c r="N477" s="26" t="str">
        <f t="shared" si="37"/>
        <v/>
      </c>
      <c r="O477" s="26" t="str">
        <f t="shared" si="38"/>
        <v/>
      </c>
      <c r="P477" s="21" t="str">
        <f t="shared" si="39"/>
        <v/>
      </c>
      <c r="Q477" s="52" t="str">
        <f>IF($A477="","",IF($O477&lt;=0,"Depleted",IF($I477&lt;0,"EXPIRED",IF($I477&lt;=Settings!$C$6,"CRITICAL",IF($I477&lt;=Settings!$C$5,"Expiring","In date")))))</f>
        <v/>
      </c>
    </row>
    <row r="478" spans="1:17" x14ac:dyDescent="0.35">
      <c r="A478" s="90" t="str">
        <f>IF(Receipts!$D481="","",Receipts!$D481)</f>
        <v/>
      </c>
      <c r="B478" s="18" t="str">
        <f>IF(Receipts!$C481="","",Receipts!$C481)</f>
        <v/>
      </c>
      <c r="C478" s="18" t="str">
        <f>IF($A478="","",IFERROR(INDEX(Items!$B$5:$B$597,MATCH($A478,Items!$A$5:$A$597,0)),""))</f>
        <v/>
      </c>
      <c r="D478" s="23" t="str">
        <f>IF($A478="","",N(Receipts!$G481))</f>
        <v/>
      </c>
      <c r="E478" s="20" t="str">
        <f>IF($A478="","",IFERROR(INDEX(Items!$D$5:$D$597,MATCH($A478,Items!$A$5:$A$597,0)),0))</f>
        <v/>
      </c>
      <c r="F478" s="21" t="str">
        <f t="shared" si="35"/>
        <v/>
      </c>
      <c r="G478" s="25" t="str">
        <f>IF(Receipts!$I481="","",Receipts!$I481)</f>
        <v/>
      </c>
      <c r="H478" s="25" t="str">
        <f>IF(Receipts!$H481="","",Receipts!$H481)</f>
        <v/>
      </c>
      <c r="I478" s="26" t="str">
        <f t="shared" ca="1" si="36"/>
        <v/>
      </c>
      <c r="J478" s="26" t="str">
        <f>IF($A478="","",COUNTIFS(tblReceipts[Item Name],$A478,tblReceipts[Expiry Date],"&lt;"&amp;$H478)+COUNTIFS(tblReceipts[Item Name],$A478,tblReceipts[Expiry Date],$H478,tblReceipts[Lot Number],"&lt;="&amp;Receipts!$C481))</f>
        <v/>
      </c>
      <c r="K478" s="26" t="str">
        <f>IF($A478="","",SUMIFS(tblReceipts[Qty Received],tblReceipts[Item Name],$A478,tblReceipts[Expiry Date],"&lt;"&amp;$H478)+SUMIFS(tblReceipts[Qty Received],tblReceipts[Item Name],$A478,tblReceipts[Expiry Date],$H478,tblReceipts[Lot Number],"&lt;"&amp;Receipts!$C481))</f>
        <v/>
      </c>
      <c r="L478" s="26" t="str">
        <f>IF($A478="","",MIN($D478,MAX(0,SUMIFS(tblIssues[Qty Issued],tblIssues[Item Name],$A478)-$K478)))</f>
        <v/>
      </c>
      <c r="M478" s="26" t="str">
        <f>IF($A478="","",SUMIFS(tblIssues[Qty Issued],tblIssues[Lot Number],$B478))</f>
        <v/>
      </c>
      <c r="N478" s="26" t="str">
        <f t="shared" si="37"/>
        <v/>
      </c>
      <c r="O478" s="26" t="str">
        <f t="shared" si="38"/>
        <v/>
      </c>
      <c r="P478" s="21" t="str">
        <f t="shared" si="39"/>
        <v/>
      </c>
      <c r="Q478" s="52" t="str">
        <f>IF($A478="","",IF($O478&lt;=0,"Depleted",IF($I478&lt;0,"EXPIRED",IF($I478&lt;=Settings!$C$6,"CRITICAL",IF($I478&lt;=Settings!$C$5,"Expiring","In date")))))</f>
        <v/>
      </c>
    </row>
    <row r="479" spans="1:17" x14ac:dyDescent="0.35">
      <c r="A479" s="90" t="str">
        <f>IF(Receipts!$D482="","",Receipts!$D482)</f>
        <v/>
      </c>
      <c r="B479" s="18" t="str">
        <f>IF(Receipts!$C482="","",Receipts!$C482)</f>
        <v/>
      </c>
      <c r="C479" s="18" t="str">
        <f>IF($A479="","",IFERROR(INDEX(Items!$B$5:$B$597,MATCH($A479,Items!$A$5:$A$597,0)),""))</f>
        <v/>
      </c>
      <c r="D479" s="23" t="str">
        <f>IF($A479="","",N(Receipts!$G482))</f>
        <v/>
      </c>
      <c r="E479" s="20" t="str">
        <f>IF($A479="","",IFERROR(INDEX(Items!$D$5:$D$597,MATCH($A479,Items!$A$5:$A$597,0)),0))</f>
        <v/>
      </c>
      <c r="F479" s="21" t="str">
        <f t="shared" si="35"/>
        <v/>
      </c>
      <c r="G479" s="25" t="str">
        <f>IF(Receipts!$I482="","",Receipts!$I482)</f>
        <v/>
      </c>
      <c r="H479" s="25" t="str">
        <f>IF(Receipts!$H482="","",Receipts!$H482)</f>
        <v/>
      </c>
      <c r="I479" s="26" t="str">
        <f t="shared" ca="1" si="36"/>
        <v/>
      </c>
      <c r="J479" s="26" t="str">
        <f>IF($A479="","",COUNTIFS(tblReceipts[Item Name],$A479,tblReceipts[Expiry Date],"&lt;"&amp;$H479)+COUNTIFS(tblReceipts[Item Name],$A479,tblReceipts[Expiry Date],$H479,tblReceipts[Lot Number],"&lt;="&amp;Receipts!$C482))</f>
        <v/>
      </c>
      <c r="K479" s="26" t="str">
        <f>IF($A479="","",SUMIFS(tblReceipts[Qty Received],tblReceipts[Item Name],$A479,tblReceipts[Expiry Date],"&lt;"&amp;$H479)+SUMIFS(tblReceipts[Qty Received],tblReceipts[Item Name],$A479,tblReceipts[Expiry Date],$H479,tblReceipts[Lot Number],"&lt;"&amp;Receipts!$C482))</f>
        <v/>
      </c>
      <c r="L479" s="26" t="str">
        <f>IF($A479="","",MIN($D479,MAX(0,SUMIFS(tblIssues[Qty Issued],tblIssues[Item Name],$A479)-$K479)))</f>
        <v/>
      </c>
      <c r="M479" s="26" t="str">
        <f>IF($A479="","",SUMIFS(tblIssues[Qty Issued],tblIssues[Lot Number],$B479))</f>
        <v/>
      </c>
      <c r="N479" s="26" t="str">
        <f t="shared" si="37"/>
        <v/>
      </c>
      <c r="O479" s="26" t="str">
        <f t="shared" si="38"/>
        <v/>
      </c>
      <c r="P479" s="21" t="str">
        <f t="shared" si="39"/>
        <v/>
      </c>
      <c r="Q479" s="52" t="str">
        <f>IF($A479="","",IF($O479&lt;=0,"Depleted",IF($I479&lt;0,"EXPIRED",IF($I479&lt;=Settings!$C$6,"CRITICAL",IF($I479&lt;=Settings!$C$5,"Expiring","In date")))))</f>
        <v/>
      </c>
    </row>
    <row r="480" spans="1:17" x14ac:dyDescent="0.35">
      <c r="A480" s="90" t="str">
        <f>IF(Receipts!$D483="","",Receipts!$D483)</f>
        <v/>
      </c>
      <c r="B480" s="18" t="str">
        <f>IF(Receipts!$C483="","",Receipts!$C483)</f>
        <v/>
      </c>
      <c r="C480" s="18" t="str">
        <f>IF($A480="","",IFERROR(INDEX(Items!$B$5:$B$597,MATCH($A480,Items!$A$5:$A$597,0)),""))</f>
        <v/>
      </c>
      <c r="D480" s="23" t="str">
        <f>IF($A480="","",N(Receipts!$G483))</f>
        <v/>
      </c>
      <c r="E480" s="20" t="str">
        <f>IF($A480="","",IFERROR(INDEX(Items!$D$5:$D$597,MATCH($A480,Items!$A$5:$A$597,0)),0))</f>
        <v/>
      </c>
      <c r="F480" s="21" t="str">
        <f t="shared" si="35"/>
        <v/>
      </c>
      <c r="G480" s="25" t="str">
        <f>IF(Receipts!$I483="","",Receipts!$I483)</f>
        <v/>
      </c>
      <c r="H480" s="25" t="str">
        <f>IF(Receipts!$H483="","",Receipts!$H483)</f>
        <v/>
      </c>
      <c r="I480" s="26" t="str">
        <f t="shared" ca="1" si="36"/>
        <v/>
      </c>
      <c r="J480" s="26" t="str">
        <f>IF($A480="","",COUNTIFS(tblReceipts[Item Name],$A480,tblReceipts[Expiry Date],"&lt;"&amp;$H480)+COUNTIFS(tblReceipts[Item Name],$A480,tblReceipts[Expiry Date],$H480,tblReceipts[Lot Number],"&lt;="&amp;Receipts!$C483))</f>
        <v/>
      </c>
      <c r="K480" s="26" t="str">
        <f>IF($A480="","",SUMIFS(tblReceipts[Qty Received],tblReceipts[Item Name],$A480,tblReceipts[Expiry Date],"&lt;"&amp;$H480)+SUMIFS(tblReceipts[Qty Received],tblReceipts[Item Name],$A480,tblReceipts[Expiry Date],$H480,tblReceipts[Lot Number],"&lt;"&amp;Receipts!$C483))</f>
        <v/>
      </c>
      <c r="L480" s="26" t="str">
        <f>IF($A480="","",MIN($D480,MAX(0,SUMIFS(tblIssues[Qty Issued],tblIssues[Item Name],$A480)-$K480)))</f>
        <v/>
      </c>
      <c r="M480" s="26" t="str">
        <f>IF($A480="","",SUMIFS(tblIssues[Qty Issued],tblIssues[Lot Number],$B480))</f>
        <v/>
      </c>
      <c r="N480" s="26" t="str">
        <f t="shared" si="37"/>
        <v/>
      </c>
      <c r="O480" s="26" t="str">
        <f t="shared" si="38"/>
        <v/>
      </c>
      <c r="P480" s="21" t="str">
        <f t="shared" si="39"/>
        <v/>
      </c>
      <c r="Q480" s="52" t="str">
        <f>IF($A480="","",IF($O480&lt;=0,"Depleted",IF($I480&lt;0,"EXPIRED",IF($I480&lt;=Settings!$C$6,"CRITICAL",IF($I480&lt;=Settings!$C$5,"Expiring","In date")))))</f>
        <v/>
      </c>
    </row>
    <row r="481" spans="1:17" x14ac:dyDescent="0.35">
      <c r="A481" s="90" t="str">
        <f>IF(Receipts!$D484="","",Receipts!$D484)</f>
        <v/>
      </c>
      <c r="B481" s="18" t="str">
        <f>IF(Receipts!$C484="","",Receipts!$C484)</f>
        <v/>
      </c>
      <c r="C481" s="18" t="str">
        <f>IF($A481="","",IFERROR(INDEX(Items!$B$5:$B$597,MATCH($A481,Items!$A$5:$A$597,0)),""))</f>
        <v/>
      </c>
      <c r="D481" s="23" t="str">
        <f>IF($A481="","",N(Receipts!$G484))</f>
        <v/>
      </c>
      <c r="E481" s="20" t="str">
        <f>IF($A481="","",IFERROR(INDEX(Items!$D$5:$D$597,MATCH($A481,Items!$A$5:$A$597,0)),0))</f>
        <v/>
      </c>
      <c r="F481" s="21" t="str">
        <f t="shared" si="35"/>
        <v/>
      </c>
      <c r="G481" s="25" t="str">
        <f>IF(Receipts!$I484="","",Receipts!$I484)</f>
        <v/>
      </c>
      <c r="H481" s="25" t="str">
        <f>IF(Receipts!$H484="","",Receipts!$H484)</f>
        <v/>
      </c>
      <c r="I481" s="26" t="str">
        <f t="shared" ca="1" si="36"/>
        <v/>
      </c>
      <c r="J481" s="26" t="str">
        <f>IF($A481="","",COUNTIFS(tblReceipts[Item Name],$A481,tblReceipts[Expiry Date],"&lt;"&amp;$H481)+COUNTIFS(tblReceipts[Item Name],$A481,tblReceipts[Expiry Date],$H481,tblReceipts[Lot Number],"&lt;="&amp;Receipts!$C484))</f>
        <v/>
      </c>
      <c r="K481" s="26" t="str">
        <f>IF($A481="","",SUMIFS(tblReceipts[Qty Received],tblReceipts[Item Name],$A481,tblReceipts[Expiry Date],"&lt;"&amp;$H481)+SUMIFS(tblReceipts[Qty Received],tblReceipts[Item Name],$A481,tblReceipts[Expiry Date],$H481,tblReceipts[Lot Number],"&lt;"&amp;Receipts!$C484))</f>
        <v/>
      </c>
      <c r="L481" s="26" t="str">
        <f>IF($A481="","",MIN($D481,MAX(0,SUMIFS(tblIssues[Qty Issued],tblIssues[Item Name],$A481)-$K481)))</f>
        <v/>
      </c>
      <c r="M481" s="26" t="str">
        <f>IF($A481="","",SUMIFS(tblIssues[Qty Issued],tblIssues[Lot Number],$B481))</f>
        <v/>
      </c>
      <c r="N481" s="26" t="str">
        <f t="shared" si="37"/>
        <v/>
      </c>
      <c r="O481" s="26" t="str">
        <f t="shared" si="38"/>
        <v/>
      </c>
      <c r="P481" s="21" t="str">
        <f t="shared" si="39"/>
        <v/>
      </c>
      <c r="Q481" s="52" t="str">
        <f>IF($A481="","",IF($O481&lt;=0,"Depleted",IF($I481&lt;0,"EXPIRED",IF($I481&lt;=Settings!$C$6,"CRITICAL",IF($I481&lt;=Settings!$C$5,"Expiring","In date")))))</f>
        <v/>
      </c>
    </row>
    <row r="482" spans="1:17" x14ac:dyDescent="0.35">
      <c r="A482" s="90" t="str">
        <f>IF(Receipts!$D485="","",Receipts!$D485)</f>
        <v/>
      </c>
      <c r="B482" s="18" t="str">
        <f>IF(Receipts!$C485="","",Receipts!$C485)</f>
        <v/>
      </c>
      <c r="C482" s="18" t="str">
        <f>IF($A482="","",IFERROR(INDEX(Items!$B$5:$B$597,MATCH($A482,Items!$A$5:$A$597,0)),""))</f>
        <v/>
      </c>
      <c r="D482" s="23" t="str">
        <f>IF($A482="","",N(Receipts!$G485))</f>
        <v/>
      </c>
      <c r="E482" s="20" t="str">
        <f>IF($A482="","",IFERROR(INDEX(Items!$D$5:$D$597,MATCH($A482,Items!$A$5:$A$597,0)),0))</f>
        <v/>
      </c>
      <c r="F482" s="21" t="str">
        <f t="shared" si="35"/>
        <v/>
      </c>
      <c r="G482" s="25" t="str">
        <f>IF(Receipts!$I485="","",Receipts!$I485)</f>
        <v/>
      </c>
      <c r="H482" s="25" t="str">
        <f>IF(Receipts!$H485="","",Receipts!$H485)</f>
        <v/>
      </c>
      <c r="I482" s="26" t="str">
        <f t="shared" ca="1" si="36"/>
        <v/>
      </c>
      <c r="J482" s="26" t="str">
        <f>IF($A482="","",COUNTIFS(tblReceipts[Item Name],$A482,tblReceipts[Expiry Date],"&lt;"&amp;$H482)+COUNTIFS(tblReceipts[Item Name],$A482,tblReceipts[Expiry Date],$H482,tblReceipts[Lot Number],"&lt;="&amp;Receipts!$C485))</f>
        <v/>
      </c>
      <c r="K482" s="26" t="str">
        <f>IF($A482="","",SUMIFS(tblReceipts[Qty Received],tblReceipts[Item Name],$A482,tblReceipts[Expiry Date],"&lt;"&amp;$H482)+SUMIFS(tblReceipts[Qty Received],tblReceipts[Item Name],$A482,tblReceipts[Expiry Date],$H482,tblReceipts[Lot Number],"&lt;"&amp;Receipts!$C485))</f>
        <v/>
      </c>
      <c r="L482" s="26" t="str">
        <f>IF($A482="","",MIN($D482,MAX(0,SUMIFS(tblIssues[Qty Issued],tblIssues[Item Name],$A482)-$K482)))</f>
        <v/>
      </c>
      <c r="M482" s="26" t="str">
        <f>IF($A482="","",SUMIFS(tblIssues[Qty Issued],tblIssues[Lot Number],$B482))</f>
        <v/>
      </c>
      <c r="N482" s="26" t="str">
        <f t="shared" si="37"/>
        <v/>
      </c>
      <c r="O482" s="26" t="str">
        <f t="shared" si="38"/>
        <v/>
      </c>
      <c r="P482" s="21" t="str">
        <f t="shared" si="39"/>
        <v/>
      </c>
      <c r="Q482" s="52" t="str">
        <f>IF($A482="","",IF($O482&lt;=0,"Depleted",IF($I482&lt;0,"EXPIRED",IF($I482&lt;=Settings!$C$6,"CRITICAL",IF($I482&lt;=Settings!$C$5,"Expiring","In date")))))</f>
        <v/>
      </c>
    </row>
    <row r="483" spans="1:17" x14ac:dyDescent="0.35">
      <c r="A483" s="90" t="str">
        <f>IF(Receipts!$D486="","",Receipts!$D486)</f>
        <v/>
      </c>
      <c r="B483" s="18" t="str">
        <f>IF(Receipts!$C486="","",Receipts!$C486)</f>
        <v/>
      </c>
      <c r="C483" s="18" t="str">
        <f>IF($A483="","",IFERROR(INDEX(Items!$B$5:$B$597,MATCH($A483,Items!$A$5:$A$597,0)),""))</f>
        <v/>
      </c>
      <c r="D483" s="23" t="str">
        <f>IF($A483="","",N(Receipts!$G486))</f>
        <v/>
      </c>
      <c r="E483" s="20" t="str">
        <f>IF($A483="","",IFERROR(INDEX(Items!$D$5:$D$597,MATCH($A483,Items!$A$5:$A$597,0)),0))</f>
        <v/>
      </c>
      <c r="F483" s="21" t="str">
        <f t="shared" si="35"/>
        <v/>
      </c>
      <c r="G483" s="25" t="str">
        <f>IF(Receipts!$I486="","",Receipts!$I486)</f>
        <v/>
      </c>
      <c r="H483" s="25" t="str">
        <f>IF(Receipts!$H486="","",Receipts!$H486)</f>
        <v/>
      </c>
      <c r="I483" s="26" t="str">
        <f t="shared" ca="1" si="36"/>
        <v/>
      </c>
      <c r="J483" s="26" t="str">
        <f>IF($A483="","",COUNTIFS(tblReceipts[Item Name],$A483,tblReceipts[Expiry Date],"&lt;"&amp;$H483)+COUNTIFS(tblReceipts[Item Name],$A483,tblReceipts[Expiry Date],$H483,tblReceipts[Lot Number],"&lt;="&amp;Receipts!$C486))</f>
        <v/>
      </c>
      <c r="K483" s="26" t="str">
        <f>IF($A483="","",SUMIFS(tblReceipts[Qty Received],tblReceipts[Item Name],$A483,tblReceipts[Expiry Date],"&lt;"&amp;$H483)+SUMIFS(tblReceipts[Qty Received],tblReceipts[Item Name],$A483,tblReceipts[Expiry Date],$H483,tblReceipts[Lot Number],"&lt;"&amp;Receipts!$C486))</f>
        <v/>
      </c>
      <c r="L483" s="26" t="str">
        <f>IF($A483="","",MIN($D483,MAX(0,SUMIFS(tblIssues[Qty Issued],tblIssues[Item Name],$A483)-$K483)))</f>
        <v/>
      </c>
      <c r="M483" s="26" t="str">
        <f>IF($A483="","",SUMIFS(tblIssues[Qty Issued],tblIssues[Lot Number],$B483))</f>
        <v/>
      </c>
      <c r="N483" s="26" t="str">
        <f t="shared" si="37"/>
        <v/>
      </c>
      <c r="O483" s="26" t="str">
        <f t="shared" si="38"/>
        <v/>
      </c>
      <c r="P483" s="21" t="str">
        <f t="shared" si="39"/>
        <v/>
      </c>
      <c r="Q483" s="52" t="str">
        <f>IF($A483="","",IF($O483&lt;=0,"Depleted",IF($I483&lt;0,"EXPIRED",IF($I483&lt;=Settings!$C$6,"CRITICAL",IF($I483&lt;=Settings!$C$5,"Expiring","In date")))))</f>
        <v/>
      </c>
    </row>
    <row r="484" spans="1:17" x14ac:dyDescent="0.35">
      <c r="A484" s="90" t="str">
        <f>IF(Receipts!$D487="","",Receipts!$D487)</f>
        <v/>
      </c>
      <c r="B484" s="18" t="str">
        <f>IF(Receipts!$C487="","",Receipts!$C487)</f>
        <v/>
      </c>
      <c r="C484" s="18" t="str">
        <f>IF($A484="","",IFERROR(INDEX(Items!$B$5:$B$597,MATCH($A484,Items!$A$5:$A$597,0)),""))</f>
        <v/>
      </c>
      <c r="D484" s="23" t="str">
        <f>IF($A484="","",N(Receipts!$G487))</f>
        <v/>
      </c>
      <c r="E484" s="20" t="str">
        <f>IF($A484="","",IFERROR(INDEX(Items!$D$5:$D$597,MATCH($A484,Items!$A$5:$A$597,0)),0))</f>
        <v/>
      </c>
      <c r="F484" s="21" t="str">
        <f t="shared" si="35"/>
        <v/>
      </c>
      <c r="G484" s="25" t="str">
        <f>IF(Receipts!$I487="","",Receipts!$I487)</f>
        <v/>
      </c>
      <c r="H484" s="25" t="str">
        <f>IF(Receipts!$H487="","",Receipts!$H487)</f>
        <v/>
      </c>
      <c r="I484" s="26" t="str">
        <f t="shared" ca="1" si="36"/>
        <v/>
      </c>
      <c r="J484" s="26" t="str">
        <f>IF($A484="","",COUNTIFS(tblReceipts[Item Name],$A484,tblReceipts[Expiry Date],"&lt;"&amp;$H484)+COUNTIFS(tblReceipts[Item Name],$A484,tblReceipts[Expiry Date],$H484,tblReceipts[Lot Number],"&lt;="&amp;Receipts!$C487))</f>
        <v/>
      </c>
      <c r="K484" s="26" t="str">
        <f>IF($A484="","",SUMIFS(tblReceipts[Qty Received],tblReceipts[Item Name],$A484,tblReceipts[Expiry Date],"&lt;"&amp;$H484)+SUMIFS(tblReceipts[Qty Received],tblReceipts[Item Name],$A484,tblReceipts[Expiry Date],$H484,tblReceipts[Lot Number],"&lt;"&amp;Receipts!$C487))</f>
        <v/>
      </c>
      <c r="L484" s="26" t="str">
        <f>IF($A484="","",MIN($D484,MAX(0,SUMIFS(tblIssues[Qty Issued],tblIssues[Item Name],$A484)-$K484)))</f>
        <v/>
      </c>
      <c r="M484" s="26" t="str">
        <f>IF($A484="","",SUMIFS(tblIssues[Qty Issued],tblIssues[Lot Number],$B484))</f>
        <v/>
      </c>
      <c r="N484" s="26" t="str">
        <f t="shared" si="37"/>
        <v/>
      </c>
      <c r="O484" s="26" t="str">
        <f t="shared" si="38"/>
        <v/>
      </c>
      <c r="P484" s="21" t="str">
        <f t="shared" si="39"/>
        <v/>
      </c>
      <c r="Q484" s="52" t="str">
        <f>IF($A484="","",IF($O484&lt;=0,"Depleted",IF($I484&lt;0,"EXPIRED",IF($I484&lt;=Settings!$C$6,"CRITICAL",IF($I484&lt;=Settings!$C$5,"Expiring","In date")))))</f>
        <v/>
      </c>
    </row>
    <row r="485" spans="1:17" x14ac:dyDescent="0.35">
      <c r="A485" s="90" t="str">
        <f>IF(Receipts!$D488="","",Receipts!$D488)</f>
        <v/>
      </c>
      <c r="B485" s="18" t="str">
        <f>IF(Receipts!$C488="","",Receipts!$C488)</f>
        <v/>
      </c>
      <c r="C485" s="18" t="str">
        <f>IF($A485="","",IFERROR(INDEX(Items!$B$5:$B$597,MATCH($A485,Items!$A$5:$A$597,0)),""))</f>
        <v/>
      </c>
      <c r="D485" s="23" t="str">
        <f>IF($A485="","",N(Receipts!$G488))</f>
        <v/>
      </c>
      <c r="E485" s="20" t="str">
        <f>IF($A485="","",IFERROR(INDEX(Items!$D$5:$D$597,MATCH($A485,Items!$A$5:$A$597,0)),0))</f>
        <v/>
      </c>
      <c r="F485" s="21" t="str">
        <f t="shared" si="35"/>
        <v/>
      </c>
      <c r="G485" s="25" t="str">
        <f>IF(Receipts!$I488="","",Receipts!$I488)</f>
        <v/>
      </c>
      <c r="H485" s="25" t="str">
        <f>IF(Receipts!$H488="","",Receipts!$H488)</f>
        <v/>
      </c>
      <c r="I485" s="26" t="str">
        <f t="shared" ca="1" si="36"/>
        <v/>
      </c>
      <c r="J485" s="26" t="str">
        <f>IF($A485="","",COUNTIFS(tblReceipts[Item Name],$A485,tblReceipts[Expiry Date],"&lt;"&amp;$H485)+COUNTIFS(tblReceipts[Item Name],$A485,tblReceipts[Expiry Date],$H485,tblReceipts[Lot Number],"&lt;="&amp;Receipts!$C488))</f>
        <v/>
      </c>
      <c r="K485" s="26" t="str">
        <f>IF($A485="","",SUMIFS(tblReceipts[Qty Received],tblReceipts[Item Name],$A485,tblReceipts[Expiry Date],"&lt;"&amp;$H485)+SUMIFS(tblReceipts[Qty Received],tblReceipts[Item Name],$A485,tblReceipts[Expiry Date],$H485,tblReceipts[Lot Number],"&lt;"&amp;Receipts!$C488))</f>
        <v/>
      </c>
      <c r="L485" s="26" t="str">
        <f>IF($A485="","",MIN($D485,MAX(0,SUMIFS(tblIssues[Qty Issued],tblIssues[Item Name],$A485)-$K485)))</f>
        <v/>
      </c>
      <c r="M485" s="26" t="str">
        <f>IF($A485="","",SUMIFS(tblIssues[Qty Issued],tblIssues[Lot Number],$B485))</f>
        <v/>
      </c>
      <c r="N485" s="26" t="str">
        <f t="shared" si="37"/>
        <v/>
      </c>
      <c r="O485" s="26" t="str">
        <f t="shared" si="38"/>
        <v/>
      </c>
      <c r="P485" s="21" t="str">
        <f t="shared" si="39"/>
        <v/>
      </c>
      <c r="Q485" s="52" t="str">
        <f>IF($A485="","",IF($O485&lt;=0,"Depleted",IF($I485&lt;0,"EXPIRED",IF($I485&lt;=Settings!$C$6,"CRITICAL",IF($I485&lt;=Settings!$C$5,"Expiring","In date")))))</f>
        <v/>
      </c>
    </row>
    <row r="486" spans="1:17" x14ac:dyDescent="0.35">
      <c r="A486" s="90" t="str">
        <f>IF(Receipts!$D489="","",Receipts!$D489)</f>
        <v/>
      </c>
      <c r="B486" s="18" t="str">
        <f>IF(Receipts!$C489="","",Receipts!$C489)</f>
        <v/>
      </c>
      <c r="C486" s="18" t="str">
        <f>IF($A486="","",IFERROR(INDEX(Items!$B$5:$B$597,MATCH($A486,Items!$A$5:$A$597,0)),""))</f>
        <v/>
      </c>
      <c r="D486" s="23" t="str">
        <f>IF($A486="","",N(Receipts!$G489))</f>
        <v/>
      </c>
      <c r="E486" s="20" t="str">
        <f>IF($A486="","",IFERROR(INDEX(Items!$D$5:$D$597,MATCH($A486,Items!$A$5:$A$597,0)),0))</f>
        <v/>
      </c>
      <c r="F486" s="21" t="str">
        <f t="shared" si="35"/>
        <v/>
      </c>
      <c r="G486" s="25" t="str">
        <f>IF(Receipts!$I489="","",Receipts!$I489)</f>
        <v/>
      </c>
      <c r="H486" s="25" t="str">
        <f>IF(Receipts!$H489="","",Receipts!$H489)</f>
        <v/>
      </c>
      <c r="I486" s="26" t="str">
        <f t="shared" ca="1" si="36"/>
        <v/>
      </c>
      <c r="J486" s="26" t="str">
        <f>IF($A486="","",COUNTIFS(tblReceipts[Item Name],$A486,tblReceipts[Expiry Date],"&lt;"&amp;$H486)+COUNTIFS(tblReceipts[Item Name],$A486,tblReceipts[Expiry Date],$H486,tblReceipts[Lot Number],"&lt;="&amp;Receipts!$C489))</f>
        <v/>
      </c>
      <c r="K486" s="26" t="str">
        <f>IF($A486="","",SUMIFS(tblReceipts[Qty Received],tblReceipts[Item Name],$A486,tblReceipts[Expiry Date],"&lt;"&amp;$H486)+SUMIFS(tblReceipts[Qty Received],tblReceipts[Item Name],$A486,tblReceipts[Expiry Date],$H486,tblReceipts[Lot Number],"&lt;"&amp;Receipts!$C489))</f>
        <v/>
      </c>
      <c r="L486" s="26" t="str">
        <f>IF($A486="","",MIN($D486,MAX(0,SUMIFS(tblIssues[Qty Issued],tblIssues[Item Name],$A486)-$K486)))</f>
        <v/>
      </c>
      <c r="M486" s="26" t="str">
        <f>IF($A486="","",SUMIFS(tblIssues[Qty Issued],tblIssues[Lot Number],$B486))</f>
        <v/>
      </c>
      <c r="N486" s="26" t="str">
        <f t="shared" si="37"/>
        <v/>
      </c>
      <c r="O486" s="26" t="str">
        <f t="shared" si="38"/>
        <v/>
      </c>
      <c r="P486" s="21" t="str">
        <f t="shared" si="39"/>
        <v/>
      </c>
      <c r="Q486" s="52" t="str">
        <f>IF($A486="","",IF($O486&lt;=0,"Depleted",IF($I486&lt;0,"EXPIRED",IF($I486&lt;=Settings!$C$6,"CRITICAL",IF($I486&lt;=Settings!$C$5,"Expiring","In date")))))</f>
        <v/>
      </c>
    </row>
    <row r="487" spans="1:17" x14ac:dyDescent="0.35">
      <c r="A487" s="90" t="str">
        <f>IF(Receipts!$D490="","",Receipts!$D490)</f>
        <v/>
      </c>
      <c r="B487" s="18" t="str">
        <f>IF(Receipts!$C490="","",Receipts!$C490)</f>
        <v/>
      </c>
      <c r="C487" s="18" t="str">
        <f>IF($A487="","",IFERROR(INDEX(Items!$B$5:$B$597,MATCH($A487,Items!$A$5:$A$597,0)),""))</f>
        <v/>
      </c>
      <c r="D487" s="23" t="str">
        <f>IF($A487="","",N(Receipts!$G490))</f>
        <v/>
      </c>
      <c r="E487" s="20" t="str">
        <f>IF($A487="","",IFERROR(INDEX(Items!$D$5:$D$597,MATCH($A487,Items!$A$5:$A$597,0)),0))</f>
        <v/>
      </c>
      <c r="F487" s="21" t="str">
        <f t="shared" si="35"/>
        <v/>
      </c>
      <c r="G487" s="25" t="str">
        <f>IF(Receipts!$I490="","",Receipts!$I490)</f>
        <v/>
      </c>
      <c r="H487" s="25" t="str">
        <f>IF(Receipts!$H490="","",Receipts!$H490)</f>
        <v/>
      </c>
      <c r="I487" s="26" t="str">
        <f t="shared" ca="1" si="36"/>
        <v/>
      </c>
      <c r="J487" s="26" t="str">
        <f>IF($A487="","",COUNTIFS(tblReceipts[Item Name],$A487,tblReceipts[Expiry Date],"&lt;"&amp;$H487)+COUNTIFS(tblReceipts[Item Name],$A487,tblReceipts[Expiry Date],$H487,tblReceipts[Lot Number],"&lt;="&amp;Receipts!$C490))</f>
        <v/>
      </c>
      <c r="K487" s="26" t="str">
        <f>IF($A487="","",SUMIFS(tblReceipts[Qty Received],tblReceipts[Item Name],$A487,tblReceipts[Expiry Date],"&lt;"&amp;$H487)+SUMIFS(tblReceipts[Qty Received],tblReceipts[Item Name],$A487,tblReceipts[Expiry Date],$H487,tblReceipts[Lot Number],"&lt;"&amp;Receipts!$C490))</f>
        <v/>
      </c>
      <c r="L487" s="26" t="str">
        <f>IF($A487="","",MIN($D487,MAX(0,SUMIFS(tblIssues[Qty Issued],tblIssues[Item Name],$A487)-$K487)))</f>
        <v/>
      </c>
      <c r="M487" s="26" t="str">
        <f>IF($A487="","",SUMIFS(tblIssues[Qty Issued],tblIssues[Lot Number],$B487))</f>
        <v/>
      </c>
      <c r="N487" s="26" t="str">
        <f t="shared" si="37"/>
        <v/>
      </c>
      <c r="O487" s="26" t="str">
        <f t="shared" si="38"/>
        <v/>
      </c>
      <c r="P487" s="21" t="str">
        <f t="shared" si="39"/>
        <v/>
      </c>
      <c r="Q487" s="52" t="str">
        <f>IF($A487="","",IF($O487&lt;=0,"Depleted",IF($I487&lt;0,"EXPIRED",IF($I487&lt;=Settings!$C$6,"CRITICAL",IF($I487&lt;=Settings!$C$5,"Expiring","In date")))))</f>
        <v/>
      </c>
    </row>
    <row r="488" spans="1:17" x14ac:dyDescent="0.35">
      <c r="A488" s="90" t="str">
        <f>IF(Receipts!$D491="","",Receipts!$D491)</f>
        <v/>
      </c>
      <c r="B488" s="18" t="str">
        <f>IF(Receipts!$C491="","",Receipts!$C491)</f>
        <v/>
      </c>
      <c r="C488" s="18" t="str">
        <f>IF($A488="","",IFERROR(INDEX(Items!$B$5:$B$597,MATCH($A488,Items!$A$5:$A$597,0)),""))</f>
        <v/>
      </c>
      <c r="D488" s="23" t="str">
        <f>IF($A488="","",N(Receipts!$G491))</f>
        <v/>
      </c>
      <c r="E488" s="20" t="str">
        <f>IF($A488="","",IFERROR(INDEX(Items!$D$5:$D$597,MATCH($A488,Items!$A$5:$A$597,0)),0))</f>
        <v/>
      </c>
      <c r="F488" s="21" t="str">
        <f t="shared" si="35"/>
        <v/>
      </c>
      <c r="G488" s="25" t="str">
        <f>IF(Receipts!$I491="","",Receipts!$I491)</f>
        <v/>
      </c>
      <c r="H488" s="25" t="str">
        <f>IF(Receipts!$H491="","",Receipts!$H491)</f>
        <v/>
      </c>
      <c r="I488" s="26" t="str">
        <f t="shared" ca="1" si="36"/>
        <v/>
      </c>
      <c r="J488" s="26" t="str">
        <f>IF($A488="","",COUNTIFS(tblReceipts[Item Name],$A488,tblReceipts[Expiry Date],"&lt;"&amp;$H488)+COUNTIFS(tblReceipts[Item Name],$A488,tblReceipts[Expiry Date],$H488,tblReceipts[Lot Number],"&lt;="&amp;Receipts!$C491))</f>
        <v/>
      </c>
      <c r="K488" s="26" t="str">
        <f>IF($A488="","",SUMIFS(tblReceipts[Qty Received],tblReceipts[Item Name],$A488,tblReceipts[Expiry Date],"&lt;"&amp;$H488)+SUMIFS(tblReceipts[Qty Received],tblReceipts[Item Name],$A488,tblReceipts[Expiry Date],$H488,tblReceipts[Lot Number],"&lt;"&amp;Receipts!$C491))</f>
        <v/>
      </c>
      <c r="L488" s="26" t="str">
        <f>IF($A488="","",MIN($D488,MAX(0,SUMIFS(tblIssues[Qty Issued],tblIssues[Item Name],$A488)-$K488)))</f>
        <v/>
      </c>
      <c r="M488" s="26" t="str">
        <f>IF($A488="","",SUMIFS(tblIssues[Qty Issued],tblIssues[Lot Number],$B488))</f>
        <v/>
      </c>
      <c r="N488" s="26" t="str">
        <f t="shared" si="37"/>
        <v/>
      </c>
      <c r="O488" s="26" t="str">
        <f t="shared" si="38"/>
        <v/>
      </c>
      <c r="P488" s="21" t="str">
        <f t="shared" si="39"/>
        <v/>
      </c>
      <c r="Q488" s="52" t="str">
        <f>IF($A488="","",IF($O488&lt;=0,"Depleted",IF($I488&lt;0,"EXPIRED",IF($I488&lt;=Settings!$C$6,"CRITICAL",IF($I488&lt;=Settings!$C$5,"Expiring","In date")))))</f>
        <v/>
      </c>
    </row>
    <row r="489" spans="1:17" x14ac:dyDescent="0.35">
      <c r="A489" s="90" t="str">
        <f>IF(Receipts!$D492="","",Receipts!$D492)</f>
        <v/>
      </c>
      <c r="B489" s="18" t="str">
        <f>IF(Receipts!$C492="","",Receipts!$C492)</f>
        <v/>
      </c>
      <c r="C489" s="18" t="str">
        <f>IF($A489="","",IFERROR(INDEX(Items!$B$5:$B$597,MATCH($A489,Items!$A$5:$A$597,0)),""))</f>
        <v/>
      </c>
      <c r="D489" s="23" t="str">
        <f>IF($A489="","",N(Receipts!$G492))</f>
        <v/>
      </c>
      <c r="E489" s="20" t="str">
        <f>IF($A489="","",IFERROR(INDEX(Items!$D$5:$D$597,MATCH($A489,Items!$A$5:$A$597,0)),0))</f>
        <v/>
      </c>
      <c r="F489" s="21" t="str">
        <f t="shared" si="35"/>
        <v/>
      </c>
      <c r="G489" s="25" t="str">
        <f>IF(Receipts!$I492="","",Receipts!$I492)</f>
        <v/>
      </c>
      <c r="H489" s="25" t="str">
        <f>IF(Receipts!$H492="","",Receipts!$H492)</f>
        <v/>
      </c>
      <c r="I489" s="26" t="str">
        <f t="shared" ca="1" si="36"/>
        <v/>
      </c>
      <c r="J489" s="26" t="str">
        <f>IF($A489="","",COUNTIFS(tblReceipts[Item Name],$A489,tblReceipts[Expiry Date],"&lt;"&amp;$H489)+COUNTIFS(tblReceipts[Item Name],$A489,tblReceipts[Expiry Date],$H489,tblReceipts[Lot Number],"&lt;="&amp;Receipts!$C492))</f>
        <v/>
      </c>
      <c r="K489" s="26" t="str">
        <f>IF($A489="","",SUMIFS(tblReceipts[Qty Received],tblReceipts[Item Name],$A489,tblReceipts[Expiry Date],"&lt;"&amp;$H489)+SUMIFS(tblReceipts[Qty Received],tblReceipts[Item Name],$A489,tblReceipts[Expiry Date],$H489,tblReceipts[Lot Number],"&lt;"&amp;Receipts!$C492))</f>
        <v/>
      </c>
      <c r="L489" s="26" t="str">
        <f>IF($A489="","",MIN($D489,MAX(0,SUMIFS(tblIssues[Qty Issued],tblIssues[Item Name],$A489)-$K489)))</f>
        <v/>
      </c>
      <c r="M489" s="26" t="str">
        <f>IF($A489="","",SUMIFS(tblIssues[Qty Issued],tblIssues[Lot Number],$B489))</f>
        <v/>
      </c>
      <c r="N489" s="26" t="str">
        <f t="shared" si="37"/>
        <v/>
      </c>
      <c r="O489" s="26" t="str">
        <f t="shared" si="38"/>
        <v/>
      </c>
      <c r="P489" s="21" t="str">
        <f t="shared" si="39"/>
        <v/>
      </c>
      <c r="Q489" s="52" t="str">
        <f>IF($A489="","",IF($O489&lt;=0,"Depleted",IF($I489&lt;0,"EXPIRED",IF($I489&lt;=Settings!$C$6,"CRITICAL",IF($I489&lt;=Settings!$C$5,"Expiring","In date")))))</f>
        <v/>
      </c>
    </row>
    <row r="490" spans="1:17" x14ac:dyDescent="0.35">
      <c r="A490" s="90" t="str">
        <f>IF(Receipts!$D493="","",Receipts!$D493)</f>
        <v/>
      </c>
      <c r="B490" s="18" t="str">
        <f>IF(Receipts!$C493="","",Receipts!$C493)</f>
        <v/>
      </c>
      <c r="C490" s="18" t="str">
        <f>IF($A490="","",IFERROR(INDEX(Items!$B$5:$B$597,MATCH($A490,Items!$A$5:$A$597,0)),""))</f>
        <v/>
      </c>
      <c r="D490" s="23" t="str">
        <f>IF($A490="","",N(Receipts!$G493))</f>
        <v/>
      </c>
      <c r="E490" s="20" t="str">
        <f>IF($A490="","",IFERROR(INDEX(Items!$D$5:$D$597,MATCH($A490,Items!$A$5:$A$597,0)),0))</f>
        <v/>
      </c>
      <c r="F490" s="21" t="str">
        <f t="shared" si="35"/>
        <v/>
      </c>
      <c r="G490" s="25" t="str">
        <f>IF(Receipts!$I493="","",Receipts!$I493)</f>
        <v/>
      </c>
      <c r="H490" s="25" t="str">
        <f>IF(Receipts!$H493="","",Receipts!$H493)</f>
        <v/>
      </c>
      <c r="I490" s="26" t="str">
        <f t="shared" ca="1" si="36"/>
        <v/>
      </c>
      <c r="J490" s="26" t="str">
        <f>IF($A490="","",COUNTIFS(tblReceipts[Item Name],$A490,tblReceipts[Expiry Date],"&lt;"&amp;$H490)+COUNTIFS(tblReceipts[Item Name],$A490,tblReceipts[Expiry Date],$H490,tblReceipts[Lot Number],"&lt;="&amp;Receipts!$C493))</f>
        <v/>
      </c>
      <c r="K490" s="26" t="str">
        <f>IF($A490="","",SUMIFS(tblReceipts[Qty Received],tblReceipts[Item Name],$A490,tblReceipts[Expiry Date],"&lt;"&amp;$H490)+SUMIFS(tblReceipts[Qty Received],tblReceipts[Item Name],$A490,tblReceipts[Expiry Date],$H490,tblReceipts[Lot Number],"&lt;"&amp;Receipts!$C493))</f>
        <v/>
      </c>
      <c r="L490" s="26" t="str">
        <f>IF($A490="","",MIN($D490,MAX(0,SUMIFS(tblIssues[Qty Issued],tblIssues[Item Name],$A490)-$K490)))</f>
        <v/>
      </c>
      <c r="M490" s="26" t="str">
        <f>IF($A490="","",SUMIFS(tblIssues[Qty Issued],tblIssues[Lot Number],$B490))</f>
        <v/>
      </c>
      <c r="N490" s="26" t="str">
        <f t="shared" si="37"/>
        <v/>
      </c>
      <c r="O490" s="26" t="str">
        <f t="shared" si="38"/>
        <v/>
      </c>
      <c r="P490" s="21" t="str">
        <f t="shared" si="39"/>
        <v/>
      </c>
      <c r="Q490" s="52" t="str">
        <f>IF($A490="","",IF($O490&lt;=0,"Depleted",IF($I490&lt;0,"EXPIRED",IF($I490&lt;=Settings!$C$6,"CRITICAL",IF($I490&lt;=Settings!$C$5,"Expiring","In date")))))</f>
        <v/>
      </c>
    </row>
    <row r="491" spans="1:17" x14ac:dyDescent="0.35">
      <c r="A491" s="90" t="str">
        <f>IF(Receipts!$D494="","",Receipts!$D494)</f>
        <v/>
      </c>
      <c r="B491" s="18" t="str">
        <f>IF(Receipts!$C494="","",Receipts!$C494)</f>
        <v/>
      </c>
      <c r="C491" s="18" t="str">
        <f>IF($A491="","",IFERROR(INDEX(Items!$B$5:$B$597,MATCH($A491,Items!$A$5:$A$597,0)),""))</f>
        <v/>
      </c>
      <c r="D491" s="23" t="str">
        <f>IF($A491="","",N(Receipts!$G494))</f>
        <v/>
      </c>
      <c r="E491" s="20" t="str">
        <f>IF($A491="","",IFERROR(INDEX(Items!$D$5:$D$597,MATCH($A491,Items!$A$5:$A$597,0)),0))</f>
        <v/>
      </c>
      <c r="F491" s="21" t="str">
        <f t="shared" si="35"/>
        <v/>
      </c>
      <c r="G491" s="25" t="str">
        <f>IF(Receipts!$I494="","",Receipts!$I494)</f>
        <v/>
      </c>
      <c r="H491" s="25" t="str">
        <f>IF(Receipts!$H494="","",Receipts!$H494)</f>
        <v/>
      </c>
      <c r="I491" s="26" t="str">
        <f t="shared" ca="1" si="36"/>
        <v/>
      </c>
      <c r="J491" s="26" t="str">
        <f>IF($A491="","",COUNTIFS(tblReceipts[Item Name],$A491,tblReceipts[Expiry Date],"&lt;"&amp;$H491)+COUNTIFS(tblReceipts[Item Name],$A491,tblReceipts[Expiry Date],$H491,tblReceipts[Lot Number],"&lt;="&amp;Receipts!$C494))</f>
        <v/>
      </c>
      <c r="K491" s="26" t="str">
        <f>IF($A491="","",SUMIFS(tblReceipts[Qty Received],tblReceipts[Item Name],$A491,tblReceipts[Expiry Date],"&lt;"&amp;$H491)+SUMIFS(tblReceipts[Qty Received],tblReceipts[Item Name],$A491,tblReceipts[Expiry Date],$H491,tblReceipts[Lot Number],"&lt;"&amp;Receipts!$C494))</f>
        <v/>
      </c>
      <c r="L491" s="26" t="str">
        <f>IF($A491="","",MIN($D491,MAX(0,SUMIFS(tblIssues[Qty Issued],tblIssues[Item Name],$A491)-$K491)))</f>
        <v/>
      </c>
      <c r="M491" s="26" t="str">
        <f>IF($A491="","",SUMIFS(tblIssues[Qty Issued],tblIssues[Lot Number],$B491))</f>
        <v/>
      </c>
      <c r="N491" s="26" t="str">
        <f t="shared" si="37"/>
        <v/>
      </c>
      <c r="O491" s="26" t="str">
        <f t="shared" si="38"/>
        <v/>
      </c>
      <c r="P491" s="21" t="str">
        <f t="shared" si="39"/>
        <v/>
      </c>
      <c r="Q491" s="52" t="str">
        <f>IF($A491="","",IF($O491&lt;=0,"Depleted",IF($I491&lt;0,"EXPIRED",IF($I491&lt;=Settings!$C$6,"CRITICAL",IF($I491&lt;=Settings!$C$5,"Expiring","In date")))))</f>
        <v/>
      </c>
    </row>
    <row r="492" spans="1:17" x14ac:dyDescent="0.35">
      <c r="A492" s="90" t="str">
        <f>IF(Receipts!$D495="","",Receipts!$D495)</f>
        <v/>
      </c>
      <c r="B492" s="18" t="str">
        <f>IF(Receipts!$C495="","",Receipts!$C495)</f>
        <v/>
      </c>
      <c r="C492" s="18" t="str">
        <f>IF($A492="","",IFERROR(INDEX(Items!$B$5:$B$597,MATCH($A492,Items!$A$5:$A$597,0)),""))</f>
        <v/>
      </c>
      <c r="D492" s="23" t="str">
        <f>IF($A492="","",N(Receipts!$G495))</f>
        <v/>
      </c>
      <c r="E492" s="20" t="str">
        <f>IF($A492="","",IFERROR(INDEX(Items!$D$5:$D$597,MATCH($A492,Items!$A$5:$A$597,0)),0))</f>
        <v/>
      </c>
      <c r="F492" s="21" t="str">
        <f t="shared" si="35"/>
        <v/>
      </c>
      <c r="G492" s="25" t="str">
        <f>IF(Receipts!$I495="","",Receipts!$I495)</f>
        <v/>
      </c>
      <c r="H492" s="25" t="str">
        <f>IF(Receipts!$H495="","",Receipts!$H495)</f>
        <v/>
      </c>
      <c r="I492" s="26" t="str">
        <f t="shared" ca="1" si="36"/>
        <v/>
      </c>
      <c r="J492" s="26" t="str">
        <f>IF($A492="","",COUNTIFS(tblReceipts[Item Name],$A492,tblReceipts[Expiry Date],"&lt;"&amp;$H492)+COUNTIFS(tblReceipts[Item Name],$A492,tblReceipts[Expiry Date],$H492,tblReceipts[Lot Number],"&lt;="&amp;Receipts!$C495))</f>
        <v/>
      </c>
      <c r="K492" s="26" t="str">
        <f>IF($A492="","",SUMIFS(tblReceipts[Qty Received],tblReceipts[Item Name],$A492,tblReceipts[Expiry Date],"&lt;"&amp;$H492)+SUMIFS(tblReceipts[Qty Received],tblReceipts[Item Name],$A492,tblReceipts[Expiry Date],$H492,tblReceipts[Lot Number],"&lt;"&amp;Receipts!$C495))</f>
        <v/>
      </c>
      <c r="L492" s="26" t="str">
        <f>IF($A492="","",MIN($D492,MAX(0,SUMIFS(tblIssues[Qty Issued],tblIssues[Item Name],$A492)-$K492)))</f>
        <v/>
      </c>
      <c r="M492" s="26" t="str">
        <f>IF($A492="","",SUMIFS(tblIssues[Qty Issued],tblIssues[Lot Number],$B492))</f>
        <v/>
      </c>
      <c r="N492" s="26" t="str">
        <f t="shared" si="37"/>
        <v/>
      </c>
      <c r="O492" s="26" t="str">
        <f t="shared" si="38"/>
        <v/>
      </c>
      <c r="P492" s="21" t="str">
        <f t="shared" si="39"/>
        <v/>
      </c>
      <c r="Q492" s="52" t="str">
        <f>IF($A492="","",IF($O492&lt;=0,"Depleted",IF($I492&lt;0,"EXPIRED",IF($I492&lt;=Settings!$C$6,"CRITICAL",IF($I492&lt;=Settings!$C$5,"Expiring","In date")))))</f>
        <v/>
      </c>
    </row>
    <row r="493" spans="1:17" x14ac:dyDescent="0.35">
      <c r="A493" s="90" t="str">
        <f>IF(Receipts!$D496="","",Receipts!$D496)</f>
        <v/>
      </c>
      <c r="B493" s="18" t="str">
        <f>IF(Receipts!$C496="","",Receipts!$C496)</f>
        <v/>
      </c>
      <c r="C493" s="18" t="str">
        <f>IF($A493="","",IFERROR(INDEX(Items!$B$5:$B$597,MATCH($A493,Items!$A$5:$A$597,0)),""))</f>
        <v/>
      </c>
      <c r="D493" s="23" t="str">
        <f>IF($A493="","",N(Receipts!$G496))</f>
        <v/>
      </c>
      <c r="E493" s="20" t="str">
        <f>IF($A493="","",IFERROR(INDEX(Items!$D$5:$D$597,MATCH($A493,Items!$A$5:$A$597,0)),0))</f>
        <v/>
      </c>
      <c r="F493" s="21" t="str">
        <f t="shared" si="35"/>
        <v/>
      </c>
      <c r="G493" s="25" t="str">
        <f>IF(Receipts!$I496="","",Receipts!$I496)</f>
        <v/>
      </c>
      <c r="H493" s="25" t="str">
        <f>IF(Receipts!$H496="","",Receipts!$H496)</f>
        <v/>
      </c>
      <c r="I493" s="26" t="str">
        <f t="shared" ca="1" si="36"/>
        <v/>
      </c>
      <c r="J493" s="26" t="str">
        <f>IF($A493="","",COUNTIFS(tblReceipts[Item Name],$A493,tblReceipts[Expiry Date],"&lt;"&amp;$H493)+COUNTIFS(tblReceipts[Item Name],$A493,tblReceipts[Expiry Date],$H493,tblReceipts[Lot Number],"&lt;="&amp;Receipts!$C496))</f>
        <v/>
      </c>
      <c r="K493" s="26" t="str">
        <f>IF($A493="","",SUMIFS(tblReceipts[Qty Received],tblReceipts[Item Name],$A493,tblReceipts[Expiry Date],"&lt;"&amp;$H493)+SUMIFS(tblReceipts[Qty Received],tblReceipts[Item Name],$A493,tblReceipts[Expiry Date],$H493,tblReceipts[Lot Number],"&lt;"&amp;Receipts!$C496))</f>
        <v/>
      </c>
      <c r="L493" s="26" t="str">
        <f>IF($A493="","",MIN($D493,MAX(0,SUMIFS(tblIssues[Qty Issued],tblIssues[Item Name],$A493)-$K493)))</f>
        <v/>
      </c>
      <c r="M493" s="26" t="str">
        <f>IF($A493="","",SUMIFS(tblIssues[Qty Issued],tblIssues[Lot Number],$B493))</f>
        <v/>
      </c>
      <c r="N493" s="26" t="str">
        <f t="shared" si="37"/>
        <v/>
      </c>
      <c r="O493" s="26" t="str">
        <f t="shared" si="38"/>
        <v/>
      </c>
      <c r="P493" s="21" t="str">
        <f t="shared" si="39"/>
        <v/>
      </c>
      <c r="Q493" s="52" t="str">
        <f>IF($A493="","",IF($O493&lt;=0,"Depleted",IF($I493&lt;0,"EXPIRED",IF($I493&lt;=Settings!$C$6,"CRITICAL",IF($I493&lt;=Settings!$C$5,"Expiring","In date")))))</f>
        <v/>
      </c>
    </row>
    <row r="494" spans="1:17" x14ac:dyDescent="0.35">
      <c r="A494" s="90" t="str">
        <f>IF(Receipts!$D497="","",Receipts!$D497)</f>
        <v/>
      </c>
      <c r="B494" s="18" t="str">
        <f>IF(Receipts!$C497="","",Receipts!$C497)</f>
        <v/>
      </c>
      <c r="C494" s="18" t="str">
        <f>IF($A494="","",IFERROR(INDEX(Items!$B$5:$B$597,MATCH($A494,Items!$A$5:$A$597,0)),""))</f>
        <v/>
      </c>
      <c r="D494" s="23" t="str">
        <f>IF($A494="","",N(Receipts!$G497))</f>
        <v/>
      </c>
      <c r="E494" s="20" t="str">
        <f>IF($A494="","",IFERROR(INDEX(Items!$D$5:$D$597,MATCH($A494,Items!$A$5:$A$597,0)),0))</f>
        <v/>
      </c>
      <c r="F494" s="21" t="str">
        <f t="shared" si="35"/>
        <v/>
      </c>
      <c r="G494" s="25" t="str">
        <f>IF(Receipts!$I497="","",Receipts!$I497)</f>
        <v/>
      </c>
      <c r="H494" s="25" t="str">
        <f>IF(Receipts!$H497="","",Receipts!$H497)</f>
        <v/>
      </c>
      <c r="I494" s="26" t="str">
        <f t="shared" ca="1" si="36"/>
        <v/>
      </c>
      <c r="J494" s="26" t="str">
        <f>IF($A494="","",COUNTIFS(tblReceipts[Item Name],$A494,tblReceipts[Expiry Date],"&lt;"&amp;$H494)+COUNTIFS(tblReceipts[Item Name],$A494,tblReceipts[Expiry Date],$H494,tblReceipts[Lot Number],"&lt;="&amp;Receipts!$C497))</f>
        <v/>
      </c>
      <c r="K494" s="26" t="str">
        <f>IF($A494="","",SUMIFS(tblReceipts[Qty Received],tblReceipts[Item Name],$A494,tblReceipts[Expiry Date],"&lt;"&amp;$H494)+SUMIFS(tblReceipts[Qty Received],tblReceipts[Item Name],$A494,tblReceipts[Expiry Date],$H494,tblReceipts[Lot Number],"&lt;"&amp;Receipts!$C497))</f>
        <v/>
      </c>
      <c r="L494" s="26" t="str">
        <f>IF($A494="","",MIN($D494,MAX(0,SUMIFS(tblIssues[Qty Issued],tblIssues[Item Name],$A494)-$K494)))</f>
        <v/>
      </c>
      <c r="M494" s="26" t="str">
        <f>IF($A494="","",SUMIFS(tblIssues[Qty Issued],tblIssues[Lot Number],$B494))</f>
        <v/>
      </c>
      <c r="N494" s="26" t="str">
        <f t="shared" si="37"/>
        <v/>
      </c>
      <c r="O494" s="26" t="str">
        <f t="shared" si="38"/>
        <v/>
      </c>
      <c r="P494" s="21" t="str">
        <f t="shared" si="39"/>
        <v/>
      </c>
      <c r="Q494" s="52" t="str">
        <f>IF($A494="","",IF($O494&lt;=0,"Depleted",IF($I494&lt;0,"EXPIRED",IF($I494&lt;=Settings!$C$6,"CRITICAL",IF($I494&lt;=Settings!$C$5,"Expiring","In date")))))</f>
        <v/>
      </c>
    </row>
    <row r="495" spans="1:17" x14ac:dyDescent="0.35">
      <c r="A495" s="90" t="str">
        <f>IF(Receipts!$D498="","",Receipts!$D498)</f>
        <v/>
      </c>
      <c r="B495" s="18" t="str">
        <f>IF(Receipts!$C498="","",Receipts!$C498)</f>
        <v/>
      </c>
      <c r="C495" s="18" t="str">
        <f>IF($A495="","",IFERROR(INDEX(Items!$B$5:$B$597,MATCH($A495,Items!$A$5:$A$597,0)),""))</f>
        <v/>
      </c>
      <c r="D495" s="23" t="str">
        <f>IF($A495="","",N(Receipts!$G498))</f>
        <v/>
      </c>
      <c r="E495" s="20" t="str">
        <f>IF($A495="","",IFERROR(INDEX(Items!$D$5:$D$597,MATCH($A495,Items!$A$5:$A$597,0)),0))</f>
        <v/>
      </c>
      <c r="F495" s="21" t="str">
        <f t="shared" si="35"/>
        <v/>
      </c>
      <c r="G495" s="25" t="str">
        <f>IF(Receipts!$I498="","",Receipts!$I498)</f>
        <v/>
      </c>
      <c r="H495" s="25" t="str">
        <f>IF(Receipts!$H498="","",Receipts!$H498)</f>
        <v/>
      </c>
      <c r="I495" s="26" t="str">
        <f t="shared" ca="1" si="36"/>
        <v/>
      </c>
      <c r="J495" s="26" t="str">
        <f>IF($A495="","",COUNTIFS(tblReceipts[Item Name],$A495,tblReceipts[Expiry Date],"&lt;"&amp;$H495)+COUNTIFS(tblReceipts[Item Name],$A495,tblReceipts[Expiry Date],$H495,tblReceipts[Lot Number],"&lt;="&amp;Receipts!$C498))</f>
        <v/>
      </c>
      <c r="K495" s="26" t="str">
        <f>IF($A495="","",SUMIFS(tblReceipts[Qty Received],tblReceipts[Item Name],$A495,tblReceipts[Expiry Date],"&lt;"&amp;$H495)+SUMIFS(tblReceipts[Qty Received],tblReceipts[Item Name],$A495,tblReceipts[Expiry Date],$H495,tblReceipts[Lot Number],"&lt;"&amp;Receipts!$C498))</f>
        <v/>
      </c>
      <c r="L495" s="26" t="str">
        <f>IF($A495="","",MIN($D495,MAX(0,SUMIFS(tblIssues[Qty Issued],tblIssues[Item Name],$A495)-$K495)))</f>
        <v/>
      </c>
      <c r="M495" s="26" t="str">
        <f>IF($A495="","",SUMIFS(tblIssues[Qty Issued],tblIssues[Lot Number],$B495))</f>
        <v/>
      </c>
      <c r="N495" s="26" t="str">
        <f t="shared" si="37"/>
        <v/>
      </c>
      <c r="O495" s="26" t="str">
        <f t="shared" si="38"/>
        <v/>
      </c>
      <c r="P495" s="21" t="str">
        <f t="shared" si="39"/>
        <v/>
      </c>
      <c r="Q495" s="52" t="str">
        <f>IF($A495="","",IF($O495&lt;=0,"Depleted",IF($I495&lt;0,"EXPIRED",IF($I495&lt;=Settings!$C$6,"CRITICAL",IF($I495&lt;=Settings!$C$5,"Expiring","In date")))))</f>
        <v/>
      </c>
    </row>
    <row r="496" spans="1:17" x14ac:dyDescent="0.35">
      <c r="A496" s="90" t="str">
        <f>IF(Receipts!$D499="","",Receipts!$D499)</f>
        <v/>
      </c>
      <c r="B496" s="18" t="str">
        <f>IF(Receipts!$C499="","",Receipts!$C499)</f>
        <v/>
      </c>
      <c r="C496" s="18" t="str">
        <f>IF($A496="","",IFERROR(INDEX(Items!$B$5:$B$597,MATCH($A496,Items!$A$5:$A$597,0)),""))</f>
        <v/>
      </c>
      <c r="D496" s="23" t="str">
        <f>IF($A496="","",N(Receipts!$G499))</f>
        <v/>
      </c>
      <c r="E496" s="20" t="str">
        <f>IF($A496="","",IFERROR(INDEX(Items!$D$5:$D$597,MATCH($A496,Items!$A$5:$A$597,0)),0))</f>
        <v/>
      </c>
      <c r="F496" s="21" t="str">
        <f t="shared" si="35"/>
        <v/>
      </c>
      <c r="G496" s="25" t="str">
        <f>IF(Receipts!$I499="","",Receipts!$I499)</f>
        <v/>
      </c>
      <c r="H496" s="25" t="str">
        <f>IF(Receipts!$H499="","",Receipts!$H499)</f>
        <v/>
      </c>
      <c r="I496" s="26" t="str">
        <f t="shared" ca="1" si="36"/>
        <v/>
      </c>
      <c r="J496" s="26" t="str">
        <f>IF($A496="","",COUNTIFS(tblReceipts[Item Name],$A496,tblReceipts[Expiry Date],"&lt;"&amp;$H496)+COUNTIFS(tblReceipts[Item Name],$A496,tblReceipts[Expiry Date],$H496,tblReceipts[Lot Number],"&lt;="&amp;Receipts!$C499))</f>
        <v/>
      </c>
      <c r="K496" s="26" t="str">
        <f>IF($A496="","",SUMIFS(tblReceipts[Qty Received],tblReceipts[Item Name],$A496,tblReceipts[Expiry Date],"&lt;"&amp;$H496)+SUMIFS(tblReceipts[Qty Received],tblReceipts[Item Name],$A496,tblReceipts[Expiry Date],$H496,tblReceipts[Lot Number],"&lt;"&amp;Receipts!$C499))</f>
        <v/>
      </c>
      <c r="L496" s="26" t="str">
        <f>IF($A496="","",MIN($D496,MAX(0,SUMIFS(tblIssues[Qty Issued],tblIssues[Item Name],$A496)-$K496)))</f>
        <v/>
      </c>
      <c r="M496" s="26" t="str">
        <f>IF($A496="","",SUMIFS(tblIssues[Qty Issued],tblIssues[Lot Number],$B496))</f>
        <v/>
      </c>
      <c r="N496" s="26" t="str">
        <f t="shared" si="37"/>
        <v/>
      </c>
      <c r="O496" s="26" t="str">
        <f t="shared" si="38"/>
        <v/>
      </c>
      <c r="P496" s="21" t="str">
        <f t="shared" si="39"/>
        <v/>
      </c>
      <c r="Q496" s="52" t="str">
        <f>IF($A496="","",IF($O496&lt;=0,"Depleted",IF($I496&lt;0,"EXPIRED",IF($I496&lt;=Settings!$C$6,"CRITICAL",IF($I496&lt;=Settings!$C$5,"Expiring","In date")))))</f>
        <v/>
      </c>
    </row>
    <row r="497" spans="1:17" x14ac:dyDescent="0.35">
      <c r="A497" s="90" t="str">
        <f>IF(Receipts!$D500="","",Receipts!$D500)</f>
        <v/>
      </c>
      <c r="B497" s="18" t="str">
        <f>IF(Receipts!$C500="","",Receipts!$C500)</f>
        <v/>
      </c>
      <c r="C497" s="18" t="str">
        <f>IF($A497="","",IFERROR(INDEX(Items!$B$5:$B$597,MATCH($A497,Items!$A$5:$A$597,0)),""))</f>
        <v/>
      </c>
      <c r="D497" s="23" t="str">
        <f>IF($A497="","",N(Receipts!$G500))</f>
        <v/>
      </c>
      <c r="E497" s="20" t="str">
        <f>IF($A497="","",IFERROR(INDEX(Items!$D$5:$D$597,MATCH($A497,Items!$A$5:$A$597,0)),0))</f>
        <v/>
      </c>
      <c r="F497" s="21" t="str">
        <f t="shared" si="35"/>
        <v/>
      </c>
      <c r="G497" s="25" t="str">
        <f>IF(Receipts!$I500="","",Receipts!$I500)</f>
        <v/>
      </c>
      <c r="H497" s="25" t="str">
        <f>IF(Receipts!$H500="","",Receipts!$H500)</f>
        <v/>
      </c>
      <c r="I497" s="26" t="str">
        <f t="shared" ca="1" si="36"/>
        <v/>
      </c>
      <c r="J497" s="26" t="str">
        <f>IF($A497="","",COUNTIFS(tblReceipts[Item Name],$A497,tblReceipts[Expiry Date],"&lt;"&amp;$H497)+COUNTIFS(tblReceipts[Item Name],$A497,tblReceipts[Expiry Date],$H497,tblReceipts[Lot Number],"&lt;="&amp;Receipts!$C500))</f>
        <v/>
      </c>
      <c r="K497" s="26" t="str">
        <f>IF($A497="","",SUMIFS(tblReceipts[Qty Received],tblReceipts[Item Name],$A497,tblReceipts[Expiry Date],"&lt;"&amp;$H497)+SUMIFS(tblReceipts[Qty Received],tblReceipts[Item Name],$A497,tblReceipts[Expiry Date],$H497,tblReceipts[Lot Number],"&lt;"&amp;Receipts!$C500))</f>
        <v/>
      </c>
      <c r="L497" s="26" t="str">
        <f>IF($A497="","",MIN($D497,MAX(0,SUMIFS(tblIssues[Qty Issued],tblIssues[Item Name],$A497)-$K497)))</f>
        <v/>
      </c>
      <c r="M497" s="26" t="str">
        <f>IF($A497="","",SUMIFS(tblIssues[Qty Issued],tblIssues[Lot Number],$B497))</f>
        <v/>
      </c>
      <c r="N497" s="26" t="str">
        <f t="shared" si="37"/>
        <v/>
      </c>
      <c r="O497" s="26" t="str">
        <f t="shared" si="38"/>
        <v/>
      </c>
      <c r="P497" s="21" t="str">
        <f t="shared" si="39"/>
        <v/>
      </c>
      <c r="Q497" s="52" t="str">
        <f>IF($A497="","",IF($O497&lt;=0,"Depleted",IF($I497&lt;0,"EXPIRED",IF($I497&lt;=Settings!$C$6,"CRITICAL",IF($I497&lt;=Settings!$C$5,"Expiring","In date")))))</f>
        <v/>
      </c>
    </row>
    <row r="498" spans="1:17" x14ac:dyDescent="0.35">
      <c r="A498" s="90" t="str">
        <f>IF(Receipts!$D501="","",Receipts!$D501)</f>
        <v/>
      </c>
      <c r="B498" s="18" t="str">
        <f>IF(Receipts!$C501="","",Receipts!$C501)</f>
        <v/>
      </c>
      <c r="C498" s="18" t="str">
        <f>IF($A498="","",IFERROR(INDEX(Items!$B$5:$B$597,MATCH($A498,Items!$A$5:$A$597,0)),""))</f>
        <v/>
      </c>
      <c r="D498" s="23" t="str">
        <f>IF($A498="","",N(Receipts!$G501))</f>
        <v/>
      </c>
      <c r="E498" s="20" t="str">
        <f>IF($A498="","",IFERROR(INDEX(Items!$D$5:$D$597,MATCH($A498,Items!$A$5:$A$597,0)),0))</f>
        <v/>
      </c>
      <c r="F498" s="21" t="str">
        <f t="shared" si="35"/>
        <v/>
      </c>
      <c r="G498" s="25" t="str">
        <f>IF(Receipts!$I501="","",Receipts!$I501)</f>
        <v/>
      </c>
      <c r="H498" s="25" t="str">
        <f>IF(Receipts!$H501="","",Receipts!$H501)</f>
        <v/>
      </c>
      <c r="I498" s="26" t="str">
        <f t="shared" ca="1" si="36"/>
        <v/>
      </c>
      <c r="J498" s="26" t="str">
        <f>IF($A498="","",COUNTIFS(tblReceipts[Item Name],$A498,tblReceipts[Expiry Date],"&lt;"&amp;$H498)+COUNTIFS(tblReceipts[Item Name],$A498,tblReceipts[Expiry Date],$H498,tblReceipts[Lot Number],"&lt;="&amp;Receipts!$C501))</f>
        <v/>
      </c>
      <c r="K498" s="26" t="str">
        <f>IF($A498="","",SUMIFS(tblReceipts[Qty Received],tblReceipts[Item Name],$A498,tblReceipts[Expiry Date],"&lt;"&amp;$H498)+SUMIFS(tblReceipts[Qty Received],tblReceipts[Item Name],$A498,tblReceipts[Expiry Date],$H498,tblReceipts[Lot Number],"&lt;"&amp;Receipts!$C501))</f>
        <v/>
      </c>
      <c r="L498" s="26" t="str">
        <f>IF($A498="","",MIN($D498,MAX(0,SUMIFS(tblIssues[Qty Issued],tblIssues[Item Name],$A498)-$K498)))</f>
        <v/>
      </c>
      <c r="M498" s="26" t="str">
        <f>IF($A498="","",SUMIFS(tblIssues[Qty Issued],tblIssues[Lot Number],$B498))</f>
        <v/>
      </c>
      <c r="N498" s="26" t="str">
        <f t="shared" si="37"/>
        <v/>
      </c>
      <c r="O498" s="26" t="str">
        <f t="shared" si="38"/>
        <v/>
      </c>
      <c r="P498" s="21" t="str">
        <f t="shared" si="39"/>
        <v/>
      </c>
      <c r="Q498" s="52" t="str">
        <f>IF($A498="","",IF($O498&lt;=0,"Depleted",IF($I498&lt;0,"EXPIRED",IF($I498&lt;=Settings!$C$6,"CRITICAL",IF($I498&lt;=Settings!$C$5,"Expiring","In date")))))</f>
        <v/>
      </c>
    </row>
    <row r="499" spans="1:17" x14ac:dyDescent="0.35">
      <c r="A499" s="90" t="str">
        <f>IF(Receipts!$D502="","",Receipts!$D502)</f>
        <v/>
      </c>
      <c r="B499" s="18" t="str">
        <f>IF(Receipts!$C502="","",Receipts!$C502)</f>
        <v/>
      </c>
      <c r="C499" s="18" t="str">
        <f>IF($A499="","",IFERROR(INDEX(Items!$B$5:$B$597,MATCH($A499,Items!$A$5:$A$597,0)),""))</f>
        <v/>
      </c>
      <c r="D499" s="23" t="str">
        <f>IF($A499="","",N(Receipts!$G502))</f>
        <v/>
      </c>
      <c r="E499" s="20" t="str">
        <f>IF($A499="","",IFERROR(INDEX(Items!$D$5:$D$597,MATCH($A499,Items!$A$5:$A$597,0)),0))</f>
        <v/>
      </c>
      <c r="F499" s="21" t="str">
        <f t="shared" si="35"/>
        <v/>
      </c>
      <c r="G499" s="25" t="str">
        <f>IF(Receipts!$I502="","",Receipts!$I502)</f>
        <v/>
      </c>
      <c r="H499" s="25" t="str">
        <f>IF(Receipts!$H502="","",Receipts!$H502)</f>
        <v/>
      </c>
      <c r="I499" s="26" t="str">
        <f t="shared" ca="1" si="36"/>
        <v/>
      </c>
      <c r="J499" s="26" t="str">
        <f>IF($A499="","",COUNTIFS(tblReceipts[Item Name],$A499,tblReceipts[Expiry Date],"&lt;"&amp;$H499)+COUNTIFS(tblReceipts[Item Name],$A499,tblReceipts[Expiry Date],$H499,tblReceipts[Lot Number],"&lt;="&amp;Receipts!$C502))</f>
        <v/>
      </c>
      <c r="K499" s="26" t="str">
        <f>IF($A499="","",SUMIFS(tblReceipts[Qty Received],tblReceipts[Item Name],$A499,tblReceipts[Expiry Date],"&lt;"&amp;$H499)+SUMIFS(tblReceipts[Qty Received],tblReceipts[Item Name],$A499,tblReceipts[Expiry Date],$H499,tblReceipts[Lot Number],"&lt;"&amp;Receipts!$C502))</f>
        <v/>
      </c>
      <c r="L499" s="26" t="str">
        <f>IF($A499="","",MIN($D499,MAX(0,SUMIFS(tblIssues[Qty Issued],tblIssues[Item Name],$A499)-$K499)))</f>
        <v/>
      </c>
      <c r="M499" s="26" t="str">
        <f>IF($A499="","",SUMIFS(tblIssues[Qty Issued],tblIssues[Lot Number],$B499))</f>
        <v/>
      </c>
      <c r="N499" s="26" t="str">
        <f t="shared" si="37"/>
        <v/>
      </c>
      <c r="O499" s="26" t="str">
        <f t="shared" si="38"/>
        <v/>
      </c>
      <c r="P499" s="21" t="str">
        <f t="shared" si="39"/>
        <v/>
      </c>
      <c r="Q499" s="52" t="str">
        <f>IF($A499="","",IF($O499&lt;=0,"Depleted",IF($I499&lt;0,"EXPIRED",IF($I499&lt;=Settings!$C$6,"CRITICAL",IF($I499&lt;=Settings!$C$5,"Expiring","In date")))))</f>
        <v/>
      </c>
    </row>
    <row r="500" spans="1:17" x14ac:dyDescent="0.35">
      <c r="A500" s="90" t="str">
        <f>IF(Receipts!$D503="","",Receipts!$D503)</f>
        <v/>
      </c>
      <c r="B500" s="18" t="str">
        <f>IF(Receipts!$C503="","",Receipts!$C503)</f>
        <v/>
      </c>
      <c r="C500" s="18" t="str">
        <f>IF($A500="","",IFERROR(INDEX(Items!$B$5:$B$597,MATCH($A500,Items!$A$5:$A$597,0)),""))</f>
        <v/>
      </c>
      <c r="D500" s="23" t="str">
        <f>IF($A500="","",N(Receipts!$G503))</f>
        <v/>
      </c>
      <c r="E500" s="20" t="str">
        <f>IF($A500="","",IFERROR(INDEX(Items!$D$5:$D$597,MATCH($A500,Items!$A$5:$A$597,0)),0))</f>
        <v/>
      </c>
      <c r="F500" s="21" t="str">
        <f t="shared" si="35"/>
        <v/>
      </c>
      <c r="G500" s="25" t="str">
        <f>IF(Receipts!$I503="","",Receipts!$I503)</f>
        <v/>
      </c>
      <c r="H500" s="25" t="str">
        <f>IF(Receipts!$H503="","",Receipts!$H503)</f>
        <v/>
      </c>
      <c r="I500" s="26" t="str">
        <f t="shared" ca="1" si="36"/>
        <v/>
      </c>
      <c r="J500" s="26" t="str">
        <f>IF($A500="","",COUNTIFS(tblReceipts[Item Name],$A500,tblReceipts[Expiry Date],"&lt;"&amp;$H500)+COUNTIFS(tblReceipts[Item Name],$A500,tblReceipts[Expiry Date],$H500,tblReceipts[Lot Number],"&lt;="&amp;Receipts!$C503))</f>
        <v/>
      </c>
      <c r="K500" s="26" t="str">
        <f>IF($A500="","",SUMIFS(tblReceipts[Qty Received],tblReceipts[Item Name],$A500,tblReceipts[Expiry Date],"&lt;"&amp;$H500)+SUMIFS(tblReceipts[Qty Received],tblReceipts[Item Name],$A500,tblReceipts[Expiry Date],$H500,tblReceipts[Lot Number],"&lt;"&amp;Receipts!$C503))</f>
        <v/>
      </c>
      <c r="L500" s="26" t="str">
        <f>IF($A500="","",MIN($D500,MAX(0,SUMIFS(tblIssues[Qty Issued],tblIssues[Item Name],$A500)-$K500)))</f>
        <v/>
      </c>
      <c r="M500" s="26" t="str">
        <f>IF($A500="","",SUMIFS(tblIssues[Qty Issued],tblIssues[Lot Number],$B500))</f>
        <v/>
      </c>
      <c r="N500" s="26" t="str">
        <f t="shared" si="37"/>
        <v/>
      </c>
      <c r="O500" s="26" t="str">
        <f t="shared" si="38"/>
        <v/>
      </c>
      <c r="P500" s="21" t="str">
        <f t="shared" si="39"/>
        <v/>
      </c>
      <c r="Q500" s="52" t="str">
        <f>IF($A500="","",IF($O500&lt;=0,"Depleted",IF($I500&lt;0,"EXPIRED",IF($I500&lt;=Settings!$C$6,"CRITICAL",IF($I500&lt;=Settings!$C$5,"Expiring","In date")))))</f>
        <v/>
      </c>
    </row>
    <row r="501" spans="1:17" x14ac:dyDescent="0.35">
      <c r="A501" s="90" t="str">
        <f>IF(Receipts!$D504="","",Receipts!$D504)</f>
        <v/>
      </c>
      <c r="B501" s="18" t="str">
        <f>IF(Receipts!$C504="","",Receipts!$C504)</f>
        <v/>
      </c>
      <c r="C501" s="18" t="str">
        <f>IF($A501="","",IFERROR(INDEX(Items!$B$5:$B$597,MATCH($A501,Items!$A$5:$A$597,0)),""))</f>
        <v/>
      </c>
      <c r="D501" s="23" t="str">
        <f>IF($A501="","",N(Receipts!$G504))</f>
        <v/>
      </c>
      <c r="E501" s="20" t="str">
        <f>IF($A501="","",IFERROR(INDEX(Items!$D$5:$D$597,MATCH($A501,Items!$A$5:$A$597,0)),0))</f>
        <v/>
      </c>
      <c r="F501" s="21" t="str">
        <f t="shared" si="35"/>
        <v/>
      </c>
      <c r="G501" s="25" t="str">
        <f>IF(Receipts!$I504="","",Receipts!$I504)</f>
        <v/>
      </c>
      <c r="H501" s="25" t="str">
        <f>IF(Receipts!$H504="","",Receipts!$H504)</f>
        <v/>
      </c>
      <c r="I501" s="26" t="str">
        <f t="shared" ca="1" si="36"/>
        <v/>
      </c>
      <c r="J501" s="26" t="str">
        <f>IF($A501="","",COUNTIFS(tblReceipts[Item Name],$A501,tblReceipts[Expiry Date],"&lt;"&amp;$H501)+COUNTIFS(tblReceipts[Item Name],$A501,tblReceipts[Expiry Date],$H501,tblReceipts[Lot Number],"&lt;="&amp;Receipts!$C504))</f>
        <v/>
      </c>
      <c r="K501" s="26" t="str">
        <f>IF($A501="","",SUMIFS(tblReceipts[Qty Received],tblReceipts[Item Name],$A501,tblReceipts[Expiry Date],"&lt;"&amp;$H501)+SUMIFS(tblReceipts[Qty Received],tblReceipts[Item Name],$A501,tblReceipts[Expiry Date],$H501,tblReceipts[Lot Number],"&lt;"&amp;Receipts!$C504))</f>
        <v/>
      </c>
      <c r="L501" s="26" t="str">
        <f>IF($A501="","",MIN($D501,MAX(0,SUMIFS(tblIssues[Qty Issued],tblIssues[Item Name],$A501)-$K501)))</f>
        <v/>
      </c>
      <c r="M501" s="26" t="str">
        <f>IF($A501="","",SUMIFS(tblIssues[Qty Issued],tblIssues[Lot Number],$B501))</f>
        <v/>
      </c>
      <c r="N501" s="26" t="str">
        <f t="shared" si="37"/>
        <v/>
      </c>
      <c r="O501" s="26" t="str">
        <f t="shared" si="38"/>
        <v/>
      </c>
      <c r="P501" s="21" t="str">
        <f t="shared" si="39"/>
        <v/>
      </c>
      <c r="Q501" s="52" t="str">
        <f>IF($A501="","",IF($O501&lt;=0,"Depleted",IF($I501&lt;0,"EXPIRED",IF($I501&lt;=Settings!$C$6,"CRITICAL",IF($I501&lt;=Settings!$C$5,"Expiring","In date")))))</f>
        <v/>
      </c>
    </row>
    <row r="502" spans="1:17" x14ac:dyDescent="0.35">
      <c r="A502" s="90" t="str">
        <f>IF(Receipts!$D505="","",Receipts!$D505)</f>
        <v/>
      </c>
      <c r="B502" s="18" t="str">
        <f>IF(Receipts!$C505="","",Receipts!$C505)</f>
        <v/>
      </c>
      <c r="C502" s="18" t="str">
        <f>IF($A502="","",IFERROR(INDEX(Items!$B$5:$B$597,MATCH($A502,Items!$A$5:$A$597,0)),""))</f>
        <v/>
      </c>
      <c r="D502" s="23" t="str">
        <f>IF($A502="","",N(Receipts!$G505))</f>
        <v/>
      </c>
      <c r="E502" s="20" t="str">
        <f>IF($A502="","",IFERROR(INDEX(Items!$D$5:$D$597,MATCH($A502,Items!$A$5:$A$597,0)),0))</f>
        <v/>
      </c>
      <c r="F502" s="21" t="str">
        <f t="shared" si="35"/>
        <v/>
      </c>
      <c r="G502" s="25" t="str">
        <f>IF(Receipts!$I505="","",Receipts!$I505)</f>
        <v/>
      </c>
      <c r="H502" s="25" t="str">
        <f>IF(Receipts!$H505="","",Receipts!$H505)</f>
        <v/>
      </c>
      <c r="I502" s="26" t="str">
        <f t="shared" ca="1" si="36"/>
        <v/>
      </c>
      <c r="J502" s="26" t="str">
        <f>IF($A502="","",COUNTIFS(tblReceipts[Item Name],$A502,tblReceipts[Expiry Date],"&lt;"&amp;$H502)+COUNTIFS(tblReceipts[Item Name],$A502,tblReceipts[Expiry Date],$H502,tblReceipts[Lot Number],"&lt;="&amp;Receipts!$C505))</f>
        <v/>
      </c>
      <c r="K502" s="26" t="str">
        <f>IF($A502="","",SUMIFS(tblReceipts[Qty Received],tblReceipts[Item Name],$A502,tblReceipts[Expiry Date],"&lt;"&amp;$H502)+SUMIFS(tblReceipts[Qty Received],tblReceipts[Item Name],$A502,tblReceipts[Expiry Date],$H502,tblReceipts[Lot Number],"&lt;"&amp;Receipts!$C505))</f>
        <v/>
      </c>
      <c r="L502" s="26" t="str">
        <f>IF($A502="","",MIN($D502,MAX(0,SUMIFS(tblIssues[Qty Issued],tblIssues[Item Name],$A502)-$K502)))</f>
        <v/>
      </c>
      <c r="M502" s="26" t="str">
        <f>IF($A502="","",SUMIFS(tblIssues[Qty Issued],tblIssues[Lot Number],$B502))</f>
        <v/>
      </c>
      <c r="N502" s="26" t="str">
        <f t="shared" si="37"/>
        <v/>
      </c>
      <c r="O502" s="26" t="str">
        <f t="shared" si="38"/>
        <v/>
      </c>
      <c r="P502" s="21" t="str">
        <f t="shared" si="39"/>
        <v/>
      </c>
      <c r="Q502" s="52" t="str">
        <f>IF($A502="","",IF($O502&lt;=0,"Depleted",IF($I502&lt;0,"EXPIRED",IF($I502&lt;=Settings!$C$6,"CRITICAL",IF($I502&lt;=Settings!$C$5,"Expiring","In date")))))</f>
        <v/>
      </c>
    </row>
    <row r="503" spans="1:17" x14ac:dyDescent="0.35">
      <c r="A503" s="90" t="str">
        <f>IF(Receipts!$D506="","",Receipts!$D506)</f>
        <v/>
      </c>
      <c r="B503" s="18" t="str">
        <f>IF(Receipts!$C506="","",Receipts!$C506)</f>
        <v/>
      </c>
      <c r="C503" s="18" t="str">
        <f>IF($A503="","",IFERROR(INDEX(Items!$B$5:$B$597,MATCH($A503,Items!$A$5:$A$597,0)),""))</f>
        <v/>
      </c>
      <c r="D503" s="23" t="str">
        <f>IF($A503="","",N(Receipts!$G506))</f>
        <v/>
      </c>
      <c r="E503" s="20" t="str">
        <f>IF($A503="","",IFERROR(INDEX(Items!$D$5:$D$597,MATCH($A503,Items!$A$5:$A$597,0)),0))</f>
        <v/>
      </c>
      <c r="F503" s="21" t="str">
        <f t="shared" si="35"/>
        <v/>
      </c>
      <c r="G503" s="25" t="str">
        <f>IF(Receipts!$I506="","",Receipts!$I506)</f>
        <v/>
      </c>
      <c r="H503" s="25" t="str">
        <f>IF(Receipts!$H506="","",Receipts!$H506)</f>
        <v/>
      </c>
      <c r="I503" s="26" t="str">
        <f t="shared" ca="1" si="36"/>
        <v/>
      </c>
      <c r="J503" s="26" t="str">
        <f>IF($A503="","",COUNTIFS(tblReceipts[Item Name],$A503,tblReceipts[Expiry Date],"&lt;"&amp;$H503)+COUNTIFS(tblReceipts[Item Name],$A503,tblReceipts[Expiry Date],$H503,tblReceipts[Lot Number],"&lt;="&amp;Receipts!$C506))</f>
        <v/>
      </c>
      <c r="K503" s="26" t="str">
        <f>IF($A503="","",SUMIFS(tblReceipts[Qty Received],tblReceipts[Item Name],$A503,tblReceipts[Expiry Date],"&lt;"&amp;$H503)+SUMIFS(tblReceipts[Qty Received],tblReceipts[Item Name],$A503,tblReceipts[Expiry Date],$H503,tblReceipts[Lot Number],"&lt;"&amp;Receipts!$C506))</f>
        <v/>
      </c>
      <c r="L503" s="26" t="str">
        <f>IF($A503="","",MIN($D503,MAX(0,SUMIFS(tblIssues[Qty Issued],tblIssues[Item Name],$A503)-$K503)))</f>
        <v/>
      </c>
      <c r="M503" s="26" t="str">
        <f>IF($A503="","",SUMIFS(tblIssues[Qty Issued],tblIssues[Lot Number],$B503))</f>
        <v/>
      </c>
      <c r="N503" s="26" t="str">
        <f t="shared" si="37"/>
        <v/>
      </c>
      <c r="O503" s="26" t="str">
        <f t="shared" si="38"/>
        <v/>
      </c>
      <c r="P503" s="21" t="str">
        <f t="shared" si="39"/>
        <v/>
      </c>
      <c r="Q503" s="52" t="str">
        <f>IF($A503="","",IF($O503&lt;=0,"Depleted",IF($I503&lt;0,"EXPIRED",IF($I503&lt;=Settings!$C$6,"CRITICAL",IF($I503&lt;=Settings!$C$5,"Expiring","In date")))))</f>
        <v/>
      </c>
    </row>
    <row r="504" spans="1:17" x14ac:dyDescent="0.35">
      <c r="A504" s="90" t="str">
        <f>IF(Receipts!$D507="","",Receipts!$D507)</f>
        <v/>
      </c>
      <c r="B504" s="18" t="str">
        <f>IF(Receipts!$C507="","",Receipts!$C507)</f>
        <v/>
      </c>
      <c r="C504" s="18" t="str">
        <f>IF($A504="","",IFERROR(INDEX(Items!$B$5:$B$597,MATCH($A504,Items!$A$5:$A$597,0)),""))</f>
        <v/>
      </c>
      <c r="D504" s="23" t="str">
        <f>IF($A504="","",N(Receipts!$G507))</f>
        <v/>
      </c>
      <c r="E504" s="20" t="str">
        <f>IF($A504="","",IFERROR(INDEX(Items!$D$5:$D$597,MATCH($A504,Items!$A$5:$A$597,0)),0))</f>
        <v/>
      </c>
      <c r="F504" s="21" t="str">
        <f t="shared" si="35"/>
        <v/>
      </c>
      <c r="G504" s="25" t="str">
        <f>IF(Receipts!$I507="","",Receipts!$I507)</f>
        <v/>
      </c>
      <c r="H504" s="25" t="str">
        <f>IF(Receipts!$H507="","",Receipts!$H507)</f>
        <v/>
      </c>
      <c r="I504" s="26" t="str">
        <f t="shared" ca="1" si="36"/>
        <v/>
      </c>
      <c r="J504" s="26" t="str">
        <f>IF($A504="","",COUNTIFS(tblReceipts[Item Name],$A504,tblReceipts[Expiry Date],"&lt;"&amp;$H504)+COUNTIFS(tblReceipts[Item Name],$A504,tblReceipts[Expiry Date],$H504,tblReceipts[Lot Number],"&lt;="&amp;Receipts!$C507))</f>
        <v/>
      </c>
      <c r="K504" s="26" t="str">
        <f>IF($A504="","",SUMIFS(tblReceipts[Qty Received],tblReceipts[Item Name],$A504,tblReceipts[Expiry Date],"&lt;"&amp;$H504)+SUMIFS(tblReceipts[Qty Received],tblReceipts[Item Name],$A504,tblReceipts[Expiry Date],$H504,tblReceipts[Lot Number],"&lt;"&amp;Receipts!$C507))</f>
        <v/>
      </c>
      <c r="L504" s="26" t="str">
        <f>IF($A504="","",MIN($D504,MAX(0,SUMIFS(tblIssues[Qty Issued],tblIssues[Item Name],$A504)-$K504)))</f>
        <v/>
      </c>
      <c r="M504" s="26" t="str">
        <f>IF($A504="","",SUMIFS(tblIssues[Qty Issued],tblIssues[Lot Number],$B504))</f>
        <v/>
      </c>
      <c r="N504" s="26" t="str">
        <f t="shared" si="37"/>
        <v/>
      </c>
      <c r="O504" s="26" t="str">
        <f t="shared" si="38"/>
        <v/>
      </c>
      <c r="P504" s="21" t="str">
        <f t="shared" si="39"/>
        <v/>
      </c>
      <c r="Q504" s="52" t="str">
        <f>IF($A504="","",IF($O504&lt;=0,"Depleted",IF($I504&lt;0,"EXPIRED",IF($I504&lt;=Settings!$C$6,"CRITICAL",IF($I504&lt;=Settings!$C$5,"Expiring","In date")))))</f>
        <v/>
      </c>
    </row>
    <row r="505" spans="1:17" x14ac:dyDescent="0.35">
      <c r="A505" s="90" t="str">
        <f>IF(Receipts!$D508="","",Receipts!$D508)</f>
        <v/>
      </c>
      <c r="B505" s="18" t="str">
        <f>IF(Receipts!$C508="","",Receipts!$C508)</f>
        <v/>
      </c>
      <c r="C505" s="18" t="str">
        <f>IF($A505="","",IFERROR(INDEX(Items!$B$5:$B$597,MATCH($A505,Items!$A$5:$A$597,0)),""))</f>
        <v/>
      </c>
      <c r="D505" s="23" t="str">
        <f>IF($A505="","",N(Receipts!$G508))</f>
        <v/>
      </c>
      <c r="E505" s="20" t="str">
        <f>IF($A505="","",IFERROR(INDEX(Items!$D$5:$D$597,MATCH($A505,Items!$A$5:$A$597,0)),0))</f>
        <v/>
      </c>
      <c r="F505" s="21" t="str">
        <f t="shared" si="35"/>
        <v/>
      </c>
      <c r="G505" s="25" t="str">
        <f>IF(Receipts!$I508="","",Receipts!$I508)</f>
        <v/>
      </c>
      <c r="H505" s="25" t="str">
        <f>IF(Receipts!$H508="","",Receipts!$H508)</f>
        <v/>
      </c>
      <c r="I505" s="26" t="str">
        <f t="shared" ca="1" si="36"/>
        <v/>
      </c>
      <c r="J505" s="26" t="str">
        <f>IF($A505="","",COUNTIFS(tblReceipts[Item Name],$A505,tblReceipts[Expiry Date],"&lt;"&amp;$H505)+COUNTIFS(tblReceipts[Item Name],$A505,tblReceipts[Expiry Date],$H505,tblReceipts[Lot Number],"&lt;="&amp;Receipts!$C508))</f>
        <v/>
      </c>
      <c r="K505" s="26" t="str">
        <f>IF($A505="","",SUMIFS(tblReceipts[Qty Received],tblReceipts[Item Name],$A505,tblReceipts[Expiry Date],"&lt;"&amp;$H505)+SUMIFS(tblReceipts[Qty Received],tblReceipts[Item Name],$A505,tblReceipts[Expiry Date],$H505,tblReceipts[Lot Number],"&lt;"&amp;Receipts!$C508))</f>
        <v/>
      </c>
      <c r="L505" s="26" t="str">
        <f>IF($A505="","",MIN($D505,MAX(0,SUMIFS(tblIssues[Qty Issued],tblIssues[Item Name],$A505)-$K505)))</f>
        <v/>
      </c>
      <c r="M505" s="26" t="str">
        <f>IF($A505="","",SUMIFS(tblIssues[Qty Issued],tblIssues[Lot Number],$B505))</f>
        <v/>
      </c>
      <c r="N505" s="26" t="str">
        <f t="shared" si="37"/>
        <v/>
      </c>
      <c r="O505" s="26" t="str">
        <f t="shared" si="38"/>
        <v/>
      </c>
      <c r="P505" s="21" t="str">
        <f t="shared" si="39"/>
        <v/>
      </c>
      <c r="Q505" s="52" t="str">
        <f>IF($A505="","",IF($O505&lt;=0,"Depleted",IF($I505&lt;0,"EXPIRED",IF($I505&lt;=Settings!$C$6,"CRITICAL",IF($I505&lt;=Settings!$C$5,"Expiring","In date")))))</f>
        <v/>
      </c>
    </row>
    <row r="506" spans="1:17" x14ac:dyDescent="0.35">
      <c r="A506" s="90" t="str">
        <f>IF(Receipts!$D509="","",Receipts!$D509)</f>
        <v/>
      </c>
      <c r="B506" s="18" t="str">
        <f>IF(Receipts!$C509="","",Receipts!$C509)</f>
        <v/>
      </c>
      <c r="C506" s="18" t="str">
        <f>IF($A506="","",IFERROR(INDEX(Items!$B$5:$B$597,MATCH($A506,Items!$A$5:$A$597,0)),""))</f>
        <v/>
      </c>
      <c r="D506" s="23" t="str">
        <f>IF($A506="","",N(Receipts!$G509))</f>
        <v/>
      </c>
      <c r="E506" s="20" t="str">
        <f>IF($A506="","",IFERROR(INDEX(Items!$D$5:$D$597,MATCH($A506,Items!$A$5:$A$597,0)),0))</f>
        <v/>
      </c>
      <c r="F506" s="21" t="str">
        <f t="shared" si="35"/>
        <v/>
      </c>
      <c r="G506" s="25" t="str">
        <f>IF(Receipts!$I509="","",Receipts!$I509)</f>
        <v/>
      </c>
      <c r="H506" s="25" t="str">
        <f>IF(Receipts!$H509="","",Receipts!$H509)</f>
        <v/>
      </c>
      <c r="I506" s="26" t="str">
        <f t="shared" ca="1" si="36"/>
        <v/>
      </c>
      <c r="J506" s="26" t="str">
        <f>IF($A506="","",COUNTIFS(tblReceipts[Item Name],$A506,tblReceipts[Expiry Date],"&lt;"&amp;$H506)+COUNTIFS(tblReceipts[Item Name],$A506,tblReceipts[Expiry Date],$H506,tblReceipts[Lot Number],"&lt;="&amp;Receipts!$C509))</f>
        <v/>
      </c>
      <c r="K506" s="26" t="str">
        <f>IF($A506="","",SUMIFS(tblReceipts[Qty Received],tblReceipts[Item Name],$A506,tblReceipts[Expiry Date],"&lt;"&amp;$H506)+SUMIFS(tblReceipts[Qty Received],tblReceipts[Item Name],$A506,tblReceipts[Expiry Date],$H506,tblReceipts[Lot Number],"&lt;"&amp;Receipts!$C509))</f>
        <v/>
      </c>
      <c r="L506" s="26" t="str">
        <f>IF($A506="","",MIN($D506,MAX(0,SUMIFS(tblIssues[Qty Issued],tblIssues[Item Name],$A506)-$K506)))</f>
        <v/>
      </c>
      <c r="M506" s="26" t="str">
        <f>IF($A506="","",SUMIFS(tblIssues[Qty Issued],tblIssues[Lot Number],$B506))</f>
        <v/>
      </c>
      <c r="N506" s="26" t="str">
        <f t="shared" si="37"/>
        <v/>
      </c>
      <c r="O506" s="26" t="str">
        <f t="shared" si="38"/>
        <v/>
      </c>
      <c r="P506" s="21" t="str">
        <f t="shared" si="39"/>
        <v/>
      </c>
      <c r="Q506" s="52" t="str">
        <f>IF($A506="","",IF($O506&lt;=0,"Depleted",IF($I506&lt;0,"EXPIRED",IF($I506&lt;=Settings!$C$6,"CRITICAL",IF($I506&lt;=Settings!$C$5,"Expiring","In date")))))</f>
        <v/>
      </c>
    </row>
    <row r="507" spans="1:17" x14ac:dyDescent="0.35">
      <c r="A507" s="90" t="str">
        <f>IF(Receipts!$D510="","",Receipts!$D510)</f>
        <v/>
      </c>
      <c r="B507" s="18" t="str">
        <f>IF(Receipts!$C510="","",Receipts!$C510)</f>
        <v/>
      </c>
      <c r="C507" s="18" t="str">
        <f>IF($A507="","",IFERROR(INDEX(Items!$B$5:$B$597,MATCH($A507,Items!$A$5:$A$597,0)),""))</f>
        <v/>
      </c>
      <c r="D507" s="23" t="str">
        <f>IF($A507="","",N(Receipts!$G510))</f>
        <v/>
      </c>
      <c r="E507" s="20" t="str">
        <f>IF($A507="","",IFERROR(INDEX(Items!$D$5:$D$597,MATCH($A507,Items!$A$5:$A$597,0)),0))</f>
        <v/>
      </c>
      <c r="F507" s="21" t="str">
        <f t="shared" si="35"/>
        <v/>
      </c>
      <c r="G507" s="25" t="str">
        <f>IF(Receipts!$I510="","",Receipts!$I510)</f>
        <v/>
      </c>
      <c r="H507" s="25" t="str">
        <f>IF(Receipts!$H510="","",Receipts!$H510)</f>
        <v/>
      </c>
      <c r="I507" s="26" t="str">
        <f t="shared" ca="1" si="36"/>
        <v/>
      </c>
      <c r="J507" s="26" t="str">
        <f>IF($A507="","",COUNTIFS(tblReceipts[Item Name],$A507,tblReceipts[Expiry Date],"&lt;"&amp;$H507)+COUNTIFS(tblReceipts[Item Name],$A507,tblReceipts[Expiry Date],$H507,tblReceipts[Lot Number],"&lt;="&amp;Receipts!$C510))</f>
        <v/>
      </c>
      <c r="K507" s="26" t="str">
        <f>IF($A507="","",SUMIFS(tblReceipts[Qty Received],tblReceipts[Item Name],$A507,tblReceipts[Expiry Date],"&lt;"&amp;$H507)+SUMIFS(tblReceipts[Qty Received],tblReceipts[Item Name],$A507,tblReceipts[Expiry Date],$H507,tblReceipts[Lot Number],"&lt;"&amp;Receipts!$C510))</f>
        <v/>
      </c>
      <c r="L507" s="26" t="str">
        <f>IF($A507="","",MIN($D507,MAX(0,SUMIFS(tblIssues[Qty Issued],tblIssues[Item Name],$A507)-$K507)))</f>
        <v/>
      </c>
      <c r="M507" s="26" t="str">
        <f>IF($A507="","",SUMIFS(tblIssues[Qty Issued],tblIssues[Lot Number],$B507))</f>
        <v/>
      </c>
      <c r="N507" s="26" t="str">
        <f t="shared" si="37"/>
        <v/>
      </c>
      <c r="O507" s="26" t="str">
        <f t="shared" si="38"/>
        <v/>
      </c>
      <c r="P507" s="21" t="str">
        <f t="shared" si="39"/>
        <v/>
      </c>
      <c r="Q507" s="52" t="str">
        <f>IF($A507="","",IF($O507&lt;=0,"Depleted",IF($I507&lt;0,"EXPIRED",IF($I507&lt;=Settings!$C$6,"CRITICAL",IF($I507&lt;=Settings!$C$5,"Expiring","In date")))))</f>
        <v/>
      </c>
    </row>
    <row r="508" spans="1:17" x14ac:dyDescent="0.35">
      <c r="A508" s="90" t="str">
        <f>IF(Receipts!$D511="","",Receipts!$D511)</f>
        <v/>
      </c>
      <c r="B508" s="18" t="str">
        <f>IF(Receipts!$C511="","",Receipts!$C511)</f>
        <v/>
      </c>
      <c r="C508" s="18" t="str">
        <f>IF($A508="","",IFERROR(INDEX(Items!$B$5:$B$597,MATCH($A508,Items!$A$5:$A$597,0)),""))</f>
        <v/>
      </c>
      <c r="D508" s="23" t="str">
        <f>IF($A508="","",N(Receipts!$G511))</f>
        <v/>
      </c>
      <c r="E508" s="20" t="str">
        <f>IF($A508="","",IFERROR(INDEX(Items!$D$5:$D$597,MATCH($A508,Items!$A$5:$A$597,0)),0))</f>
        <v/>
      </c>
      <c r="F508" s="21" t="str">
        <f t="shared" si="35"/>
        <v/>
      </c>
      <c r="G508" s="25" t="str">
        <f>IF(Receipts!$I511="","",Receipts!$I511)</f>
        <v/>
      </c>
      <c r="H508" s="25" t="str">
        <f>IF(Receipts!$H511="","",Receipts!$H511)</f>
        <v/>
      </c>
      <c r="I508" s="26" t="str">
        <f t="shared" ca="1" si="36"/>
        <v/>
      </c>
      <c r="J508" s="26" t="str">
        <f>IF($A508="","",COUNTIFS(tblReceipts[Item Name],$A508,tblReceipts[Expiry Date],"&lt;"&amp;$H508)+COUNTIFS(tblReceipts[Item Name],$A508,tblReceipts[Expiry Date],$H508,tblReceipts[Lot Number],"&lt;="&amp;Receipts!$C511))</f>
        <v/>
      </c>
      <c r="K508" s="26" t="str">
        <f>IF($A508="","",SUMIFS(tblReceipts[Qty Received],tblReceipts[Item Name],$A508,tblReceipts[Expiry Date],"&lt;"&amp;$H508)+SUMIFS(tblReceipts[Qty Received],tblReceipts[Item Name],$A508,tblReceipts[Expiry Date],$H508,tblReceipts[Lot Number],"&lt;"&amp;Receipts!$C511))</f>
        <v/>
      </c>
      <c r="L508" s="26" t="str">
        <f>IF($A508="","",MIN($D508,MAX(0,SUMIFS(tblIssues[Qty Issued],tblIssues[Item Name],$A508)-$K508)))</f>
        <v/>
      </c>
      <c r="M508" s="26" t="str">
        <f>IF($A508="","",SUMIFS(tblIssues[Qty Issued],tblIssues[Lot Number],$B508))</f>
        <v/>
      </c>
      <c r="N508" s="26" t="str">
        <f t="shared" si="37"/>
        <v/>
      </c>
      <c r="O508" s="26" t="str">
        <f t="shared" si="38"/>
        <v/>
      </c>
      <c r="P508" s="21" t="str">
        <f t="shared" si="39"/>
        <v/>
      </c>
      <c r="Q508" s="52" t="str">
        <f>IF($A508="","",IF($O508&lt;=0,"Depleted",IF($I508&lt;0,"EXPIRED",IF($I508&lt;=Settings!$C$6,"CRITICAL",IF($I508&lt;=Settings!$C$5,"Expiring","In date")))))</f>
        <v/>
      </c>
    </row>
    <row r="509" spans="1:17" x14ac:dyDescent="0.35">
      <c r="A509" s="90" t="str">
        <f>IF(Receipts!$D512="","",Receipts!$D512)</f>
        <v/>
      </c>
      <c r="B509" s="18" t="str">
        <f>IF(Receipts!$C512="","",Receipts!$C512)</f>
        <v/>
      </c>
      <c r="C509" s="18" t="str">
        <f>IF($A509="","",IFERROR(INDEX(Items!$B$5:$B$597,MATCH($A509,Items!$A$5:$A$597,0)),""))</f>
        <v/>
      </c>
      <c r="D509" s="23" t="str">
        <f>IF($A509="","",N(Receipts!$G512))</f>
        <v/>
      </c>
      <c r="E509" s="20" t="str">
        <f>IF($A509="","",IFERROR(INDEX(Items!$D$5:$D$597,MATCH($A509,Items!$A$5:$A$597,0)),0))</f>
        <v/>
      </c>
      <c r="F509" s="21" t="str">
        <f t="shared" si="35"/>
        <v/>
      </c>
      <c r="G509" s="25" t="str">
        <f>IF(Receipts!$I512="","",Receipts!$I512)</f>
        <v/>
      </c>
      <c r="H509" s="25" t="str">
        <f>IF(Receipts!$H512="","",Receipts!$H512)</f>
        <v/>
      </c>
      <c r="I509" s="26" t="str">
        <f t="shared" ca="1" si="36"/>
        <v/>
      </c>
      <c r="J509" s="26" t="str">
        <f>IF($A509="","",COUNTIFS(tblReceipts[Item Name],$A509,tblReceipts[Expiry Date],"&lt;"&amp;$H509)+COUNTIFS(tblReceipts[Item Name],$A509,tblReceipts[Expiry Date],$H509,tblReceipts[Lot Number],"&lt;="&amp;Receipts!$C512))</f>
        <v/>
      </c>
      <c r="K509" s="26" t="str">
        <f>IF($A509="","",SUMIFS(tblReceipts[Qty Received],tblReceipts[Item Name],$A509,tblReceipts[Expiry Date],"&lt;"&amp;$H509)+SUMIFS(tblReceipts[Qty Received],tblReceipts[Item Name],$A509,tblReceipts[Expiry Date],$H509,tblReceipts[Lot Number],"&lt;"&amp;Receipts!$C512))</f>
        <v/>
      </c>
      <c r="L509" s="26" t="str">
        <f>IF($A509="","",MIN($D509,MAX(0,SUMIFS(tblIssues[Qty Issued],tblIssues[Item Name],$A509)-$K509)))</f>
        <v/>
      </c>
      <c r="M509" s="26" t="str">
        <f>IF($A509="","",SUMIFS(tblIssues[Qty Issued],tblIssues[Lot Number],$B509))</f>
        <v/>
      </c>
      <c r="N509" s="26" t="str">
        <f t="shared" si="37"/>
        <v/>
      </c>
      <c r="O509" s="26" t="str">
        <f t="shared" si="38"/>
        <v/>
      </c>
      <c r="P509" s="21" t="str">
        <f t="shared" si="39"/>
        <v/>
      </c>
      <c r="Q509" s="52" t="str">
        <f>IF($A509="","",IF($O509&lt;=0,"Depleted",IF($I509&lt;0,"EXPIRED",IF($I509&lt;=Settings!$C$6,"CRITICAL",IF($I509&lt;=Settings!$C$5,"Expiring","In date")))))</f>
        <v/>
      </c>
    </row>
    <row r="510" spans="1:17" x14ac:dyDescent="0.35">
      <c r="A510" s="90" t="str">
        <f>IF(Receipts!$D513="","",Receipts!$D513)</f>
        <v/>
      </c>
      <c r="B510" s="18" t="str">
        <f>IF(Receipts!$C513="","",Receipts!$C513)</f>
        <v/>
      </c>
      <c r="C510" s="18" t="str">
        <f>IF($A510="","",IFERROR(INDEX(Items!$B$5:$B$597,MATCH($A510,Items!$A$5:$A$597,0)),""))</f>
        <v/>
      </c>
      <c r="D510" s="23" t="str">
        <f>IF($A510="","",N(Receipts!$G513))</f>
        <v/>
      </c>
      <c r="E510" s="20" t="str">
        <f>IF($A510="","",IFERROR(INDEX(Items!$D$5:$D$597,MATCH($A510,Items!$A$5:$A$597,0)),0))</f>
        <v/>
      </c>
      <c r="F510" s="21" t="str">
        <f t="shared" si="35"/>
        <v/>
      </c>
      <c r="G510" s="25" t="str">
        <f>IF(Receipts!$I513="","",Receipts!$I513)</f>
        <v/>
      </c>
      <c r="H510" s="25" t="str">
        <f>IF(Receipts!$H513="","",Receipts!$H513)</f>
        <v/>
      </c>
      <c r="I510" s="26" t="str">
        <f t="shared" ca="1" si="36"/>
        <v/>
      </c>
      <c r="J510" s="26" t="str">
        <f>IF($A510="","",COUNTIFS(tblReceipts[Item Name],$A510,tblReceipts[Expiry Date],"&lt;"&amp;$H510)+COUNTIFS(tblReceipts[Item Name],$A510,tblReceipts[Expiry Date],$H510,tblReceipts[Lot Number],"&lt;="&amp;Receipts!$C513))</f>
        <v/>
      </c>
      <c r="K510" s="26" t="str">
        <f>IF($A510="","",SUMIFS(tblReceipts[Qty Received],tblReceipts[Item Name],$A510,tblReceipts[Expiry Date],"&lt;"&amp;$H510)+SUMIFS(tblReceipts[Qty Received],tblReceipts[Item Name],$A510,tblReceipts[Expiry Date],$H510,tblReceipts[Lot Number],"&lt;"&amp;Receipts!$C513))</f>
        <v/>
      </c>
      <c r="L510" s="26" t="str">
        <f>IF($A510="","",MIN($D510,MAX(0,SUMIFS(tblIssues[Qty Issued],tblIssues[Item Name],$A510)-$K510)))</f>
        <v/>
      </c>
      <c r="M510" s="26" t="str">
        <f>IF($A510="","",SUMIFS(tblIssues[Qty Issued],tblIssues[Lot Number],$B510))</f>
        <v/>
      </c>
      <c r="N510" s="26" t="str">
        <f t="shared" si="37"/>
        <v/>
      </c>
      <c r="O510" s="26" t="str">
        <f t="shared" si="38"/>
        <v/>
      </c>
      <c r="P510" s="21" t="str">
        <f t="shared" si="39"/>
        <v/>
      </c>
      <c r="Q510" s="52" t="str">
        <f>IF($A510="","",IF($O510&lt;=0,"Depleted",IF($I510&lt;0,"EXPIRED",IF($I510&lt;=Settings!$C$6,"CRITICAL",IF($I510&lt;=Settings!$C$5,"Expiring","In date")))))</f>
        <v/>
      </c>
    </row>
    <row r="511" spans="1:17" x14ac:dyDescent="0.35">
      <c r="A511" s="90" t="str">
        <f>IF(Receipts!$D514="","",Receipts!$D514)</f>
        <v/>
      </c>
      <c r="B511" s="18" t="str">
        <f>IF(Receipts!$C514="","",Receipts!$C514)</f>
        <v/>
      </c>
      <c r="C511" s="18" t="str">
        <f>IF($A511="","",IFERROR(INDEX(Items!$B$5:$B$597,MATCH($A511,Items!$A$5:$A$597,0)),""))</f>
        <v/>
      </c>
      <c r="D511" s="23" t="str">
        <f>IF($A511="","",N(Receipts!$G514))</f>
        <v/>
      </c>
      <c r="E511" s="20" t="str">
        <f>IF($A511="","",IFERROR(INDEX(Items!$D$5:$D$597,MATCH($A511,Items!$A$5:$A$597,0)),0))</f>
        <v/>
      </c>
      <c r="F511" s="21" t="str">
        <f t="shared" si="35"/>
        <v/>
      </c>
      <c r="G511" s="25" t="str">
        <f>IF(Receipts!$I514="","",Receipts!$I514)</f>
        <v/>
      </c>
      <c r="H511" s="25" t="str">
        <f>IF(Receipts!$H514="","",Receipts!$H514)</f>
        <v/>
      </c>
      <c r="I511" s="26" t="str">
        <f t="shared" ca="1" si="36"/>
        <v/>
      </c>
      <c r="J511" s="26" t="str">
        <f>IF($A511="","",COUNTIFS(tblReceipts[Item Name],$A511,tblReceipts[Expiry Date],"&lt;"&amp;$H511)+COUNTIFS(tblReceipts[Item Name],$A511,tblReceipts[Expiry Date],$H511,tblReceipts[Lot Number],"&lt;="&amp;Receipts!$C514))</f>
        <v/>
      </c>
      <c r="K511" s="26" t="str">
        <f>IF($A511="","",SUMIFS(tblReceipts[Qty Received],tblReceipts[Item Name],$A511,tblReceipts[Expiry Date],"&lt;"&amp;$H511)+SUMIFS(tblReceipts[Qty Received],tblReceipts[Item Name],$A511,tblReceipts[Expiry Date],$H511,tblReceipts[Lot Number],"&lt;"&amp;Receipts!$C514))</f>
        <v/>
      </c>
      <c r="L511" s="26" t="str">
        <f>IF($A511="","",MIN($D511,MAX(0,SUMIFS(tblIssues[Qty Issued],tblIssues[Item Name],$A511)-$K511)))</f>
        <v/>
      </c>
      <c r="M511" s="26" t="str">
        <f>IF($A511="","",SUMIFS(tblIssues[Qty Issued],tblIssues[Lot Number],$B511))</f>
        <v/>
      </c>
      <c r="N511" s="26" t="str">
        <f t="shared" si="37"/>
        <v/>
      </c>
      <c r="O511" s="26" t="str">
        <f t="shared" si="38"/>
        <v/>
      </c>
      <c r="P511" s="21" t="str">
        <f t="shared" si="39"/>
        <v/>
      </c>
      <c r="Q511" s="52" t="str">
        <f>IF($A511="","",IF($O511&lt;=0,"Depleted",IF($I511&lt;0,"EXPIRED",IF($I511&lt;=Settings!$C$6,"CRITICAL",IF($I511&lt;=Settings!$C$5,"Expiring","In date")))))</f>
        <v/>
      </c>
    </row>
    <row r="512" spans="1:17" x14ac:dyDescent="0.35">
      <c r="A512" s="90" t="str">
        <f>IF(Receipts!$D515="","",Receipts!$D515)</f>
        <v/>
      </c>
      <c r="B512" s="18" t="str">
        <f>IF(Receipts!$C515="","",Receipts!$C515)</f>
        <v/>
      </c>
      <c r="C512" s="18" t="str">
        <f>IF($A512="","",IFERROR(INDEX(Items!$B$5:$B$597,MATCH($A512,Items!$A$5:$A$597,0)),""))</f>
        <v/>
      </c>
      <c r="D512" s="23" t="str">
        <f>IF($A512="","",N(Receipts!$G515))</f>
        <v/>
      </c>
      <c r="E512" s="20" t="str">
        <f>IF($A512="","",IFERROR(INDEX(Items!$D$5:$D$597,MATCH($A512,Items!$A$5:$A$597,0)),0))</f>
        <v/>
      </c>
      <c r="F512" s="21" t="str">
        <f t="shared" si="35"/>
        <v/>
      </c>
      <c r="G512" s="25" t="str">
        <f>IF(Receipts!$I515="","",Receipts!$I515)</f>
        <v/>
      </c>
      <c r="H512" s="25" t="str">
        <f>IF(Receipts!$H515="","",Receipts!$H515)</f>
        <v/>
      </c>
      <c r="I512" s="26" t="str">
        <f t="shared" ca="1" si="36"/>
        <v/>
      </c>
      <c r="J512" s="26" t="str">
        <f>IF($A512="","",COUNTIFS(tblReceipts[Item Name],$A512,tblReceipts[Expiry Date],"&lt;"&amp;$H512)+COUNTIFS(tblReceipts[Item Name],$A512,tblReceipts[Expiry Date],$H512,tblReceipts[Lot Number],"&lt;="&amp;Receipts!$C515))</f>
        <v/>
      </c>
      <c r="K512" s="26" t="str">
        <f>IF($A512="","",SUMIFS(tblReceipts[Qty Received],tblReceipts[Item Name],$A512,tblReceipts[Expiry Date],"&lt;"&amp;$H512)+SUMIFS(tblReceipts[Qty Received],tblReceipts[Item Name],$A512,tblReceipts[Expiry Date],$H512,tblReceipts[Lot Number],"&lt;"&amp;Receipts!$C515))</f>
        <v/>
      </c>
      <c r="L512" s="26" t="str">
        <f>IF($A512="","",MIN($D512,MAX(0,SUMIFS(tblIssues[Qty Issued],tblIssues[Item Name],$A512)-$K512)))</f>
        <v/>
      </c>
      <c r="M512" s="26" t="str">
        <f>IF($A512="","",SUMIFS(tblIssues[Qty Issued],tblIssues[Lot Number],$B512))</f>
        <v/>
      </c>
      <c r="N512" s="26" t="str">
        <f t="shared" si="37"/>
        <v/>
      </c>
      <c r="O512" s="26" t="str">
        <f t="shared" si="38"/>
        <v/>
      </c>
      <c r="P512" s="21" t="str">
        <f t="shared" si="39"/>
        <v/>
      </c>
      <c r="Q512" s="52" t="str">
        <f>IF($A512="","",IF($O512&lt;=0,"Depleted",IF($I512&lt;0,"EXPIRED",IF($I512&lt;=Settings!$C$6,"CRITICAL",IF($I512&lt;=Settings!$C$5,"Expiring","In date")))))</f>
        <v/>
      </c>
    </row>
    <row r="513" spans="1:17" x14ac:dyDescent="0.35">
      <c r="A513" s="90" t="str">
        <f>IF(Receipts!$D516="","",Receipts!$D516)</f>
        <v/>
      </c>
      <c r="B513" s="18" t="str">
        <f>IF(Receipts!$C516="","",Receipts!$C516)</f>
        <v/>
      </c>
      <c r="C513" s="18" t="str">
        <f>IF($A513="","",IFERROR(INDEX(Items!$B$5:$B$597,MATCH($A513,Items!$A$5:$A$597,0)),""))</f>
        <v/>
      </c>
      <c r="D513" s="23" t="str">
        <f>IF($A513="","",N(Receipts!$G516))</f>
        <v/>
      </c>
      <c r="E513" s="20" t="str">
        <f>IF($A513="","",IFERROR(INDEX(Items!$D$5:$D$597,MATCH($A513,Items!$A$5:$A$597,0)),0))</f>
        <v/>
      </c>
      <c r="F513" s="21" t="str">
        <f t="shared" si="35"/>
        <v/>
      </c>
      <c r="G513" s="25" t="str">
        <f>IF(Receipts!$I516="","",Receipts!$I516)</f>
        <v/>
      </c>
      <c r="H513" s="25" t="str">
        <f>IF(Receipts!$H516="","",Receipts!$H516)</f>
        <v/>
      </c>
      <c r="I513" s="26" t="str">
        <f t="shared" ca="1" si="36"/>
        <v/>
      </c>
      <c r="J513" s="26" t="str">
        <f>IF($A513="","",COUNTIFS(tblReceipts[Item Name],$A513,tblReceipts[Expiry Date],"&lt;"&amp;$H513)+COUNTIFS(tblReceipts[Item Name],$A513,tblReceipts[Expiry Date],$H513,tblReceipts[Lot Number],"&lt;="&amp;Receipts!$C516))</f>
        <v/>
      </c>
      <c r="K513" s="26" t="str">
        <f>IF($A513="","",SUMIFS(tblReceipts[Qty Received],tblReceipts[Item Name],$A513,tblReceipts[Expiry Date],"&lt;"&amp;$H513)+SUMIFS(tblReceipts[Qty Received],tblReceipts[Item Name],$A513,tblReceipts[Expiry Date],$H513,tblReceipts[Lot Number],"&lt;"&amp;Receipts!$C516))</f>
        <v/>
      </c>
      <c r="L513" s="26" t="str">
        <f>IF($A513="","",MIN($D513,MAX(0,SUMIFS(tblIssues[Qty Issued],tblIssues[Item Name],$A513)-$K513)))</f>
        <v/>
      </c>
      <c r="M513" s="26" t="str">
        <f>IF($A513="","",SUMIFS(tblIssues[Qty Issued],tblIssues[Lot Number],$B513))</f>
        <v/>
      </c>
      <c r="N513" s="26" t="str">
        <f t="shared" si="37"/>
        <v/>
      </c>
      <c r="O513" s="26" t="str">
        <f t="shared" si="38"/>
        <v/>
      </c>
      <c r="P513" s="21" t="str">
        <f t="shared" si="39"/>
        <v/>
      </c>
      <c r="Q513" s="52" t="str">
        <f>IF($A513="","",IF($O513&lt;=0,"Depleted",IF($I513&lt;0,"EXPIRED",IF($I513&lt;=Settings!$C$6,"CRITICAL",IF($I513&lt;=Settings!$C$5,"Expiring","In date")))))</f>
        <v/>
      </c>
    </row>
    <row r="514" spans="1:17" x14ac:dyDescent="0.35">
      <c r="A514" s="90" t="str">
        <f>IF(Receipts!$D517="","",Receipts!$D517)</f>
        <v/>
      </c>
      <c r="B514" s="18" t="str">
        <f>IF(Receipts!$C517="","",Receipts!$C517)</f>
        <v/>
      </c>
      <c r="C514" s="18" t="str">
        <f>IF($A514="","",IFERROR(INDEX(Items!$B$5:$B$597,MATCH($A514,Items!$A$5:$A$597,0)),""))</f>
        <v/>
      </c>
      <c r="D514" s="23" t="str">
        <f>IF($A514="","",N(Receipts!$G517))</f>
        <v/>
      </c>
      <c r="E514" s="20" t="str">
        <f>IF($A514="","",IFERROR(INDEX(Items!$D$5:$D$597,MATCH($A514,Items!$A$5:$A$597,0)),0))</f>
        <v/>
      </c>
      <c r="F514" s="21" t="str">
        <f t="shared" si="35"/>
        <v/>
      </c>
      <c r="G514" s="25" t="str">
        <f>IF(Receipts!$I517="","",Receipts!$I517)</f>
        <v/>
      </c>
      <c r="H514" s="25" t="str">
        <f>IF(Receipts!$H517="","",Receipts!$H517)</f>
        <v/>
      </c>
      <c r="I514" s="26" t="str">
        <f t="shared" ca="1" si="36"/>
        <v/>
      </c>
      <c r="J514" s="26" t="str">
        <f>IF($A514="","",COUNTIFS(tblReceipts[Item Name],$A514,tblReceipts[Expiry Date],"&lt;"&amp;$H514)+COUNTIFS(tblReceipts[Item Name],$A514,tblReceipts[Expiry Date],$H514,tblReceipts[Lot Number],"&lt;="&amp;Receipts!$C517))</f>
        <v/>
      </c>
      <c r="K514" s="26" t="str">
        <f>IF($A514="","",SUMIFS(tblReceipts[Qty Received],tblReceipts[Item Name],$A514,tblReceipts[Expiry Date],"&lt;"&amp;$H514)+SUMIFS(tblReceipts[Qty Received],tblReceipts[Item Name],$A514,tblReceipts[Expiry Date],$H514,tblReceipts[Lot Number],"&lt;"&amp;Receipts!$C517))</f>
        <v/>
      </c>
      <c r="L514" s="26" t="str">
        <f>IF($A514="","",MIN($D514,MAX(0,SUMIFS(tblIssues[Qty Issued],tblIssues[Item Name],$A514)-$K514)))</f>
        <v/>
      </c>
      <c r="M514" s="26" t="str">
        <f>IF($A514="","",SUMIFS(tblIssues[Qty Issued],tblIssues[Lot Number],$B514))</f>
        <v/>
      </c>
      <c r="N514" s="26" t="str">
        <f t="shared" si="37"/>
        <v/>
      </c>
      <c r="O514" s="26" t="str">
        <f t="shared" si="38"/>
        <v/>
      </c>
      <c r="P514" s="21" t="str">
        <f t="shared" si="39"/>
        <v/>
      </c>
      <c r="Q514" s="52" t="str">
        <f>IF($A514="","",IF($O514&lt;=0,"Depleted",IF($I514&lt;0,"EXPIRED",IF($I514&lt;=Settings!$C$6,"CRITICAL",IF($I514&lt;=Settings!$C$5,"Expiring","In date")))))</f>
        <v/>
      </c>
    </row>
    <row r="515" spans="1:17" x14ac:dyDescent="0.35">
      <c r="A515" s="90" t="str">
        <f>IF(Receipts!$D518="","",Receipts!$D518)</f>
        <v/>
      </c>
      <c r="B515" s="18" t="str">
        <f>IF(Receipts!$C518="","",Receipts!$C518)</f>
        <v/>
      </c>
      <c r="C515" s="18" t="str">
        <f>IF($A515="","",IFERROR(INDEX(Items!$B$5:$B$597,MATCH($A515,Items!$A$5:$A$597,0)),""))</f>
        <v/>
      </c>
      <c r="D515" s="23" t="str">
        <f>IF($A515="","",N(Receipts!$G518))</f>
        <v/>
      </c>
      <c r="E515" s="20" t="str">
        <f>IF($A515="","",IFERROR(INDEX(Items!$D$5:$D$597,MATCH($A515,Items!$A$5:$A$597,0)),0))</f>
        <v/>
      </c>
      <c r="F515" s="21" t="str">
        <f t="shared" si="35"/>
        <v/>
      </c>
      <c r="G515" s="25" t="str">
        <f>IF(Receipts!$I518="","",Receipts!$I518)</f>
        <v/>
      </c>
      <c r="H515" s="25" t="str">
        <f>IF(Receipts!$H518="","",Receipts!$H518)</f>
        <v/>
      </c>
      <c r="I515" s="26" t="str">
        <f t="shared" ca="1" si="36"/>
        <v/>
      </c>
      <c r="J515" s="26" t="str">
        <f>IF($A515="","",COUNTIFS(tblReceipts[Item Name],$A515,tblReceipts[Expiry Date],"&lt;"&amp;$H515)+COUNTIFS(tblReceipts[Item Name],$A515,tblReceipts[Expiry Date],$H515,tblReceipts[Lot Number],"&lt;="&amp;Receipts!$C518))</f>
        <v/>
      </c>
      <c r="K515" s="26" t="str">
        <f>IF($A515="","",SUMIFS(tblReceipts[Qty Received],tblReceipts[Item Name],$A515,tblReceipts[Expiry Date],"&lt;"&amp;$H515)+SUMIFS(tblReceipts[Qty Received],tblReceipts[Item Name],$A515,tblReceipts[Expiry Date],$H515,tblReceipts[Lot Number],"&lt;"&amp;Receipts!$C518))</f>
        <v/>
      </c>
      <c r="L515" s="26" t="str">
        <f>IF($A515="","",MIN($D515,MAX(0,SUMIFS(tblIssues[Qty Issued],tblIssues[Item Name],$A515)-$K515)))</f>
        <v/>
      </c>
      <c r="M515" s="26" t="str">
        <f>IF($A515="","",SUMIFS(tblIssues[Qty Issued],tblIssues[Lot Number],$B515))</f>
        <v/>
      </c>
      <c r="N515" s="26" t="str">
        <f t="shared" si="37"/>
        <v/>
      </c>
      <c r="O515" s="26" t="str">
        <f t="shared" si="38"/>
        <v/>
      </c>
      <c r="P515" s="21" t="str">
        <f t="shared" si="39"/>
        <v/>
      </c>
      <c r="Q515" s="52" t="str">
        <f>IF($A515="","",IF($O515&lt;=0,"Depleted",IF($I515&lt;0,"EXPIRED",IF($I515&lt;=Settings!$C$6,"CRITICAL",IF($I515&lt;=Settings!$C$5,"Expiring","In date")))))</f>
        <v/>
      </c>
    </row>
    <row r="516" spans="1:17" x14ac:dyDescent="0.35">
      <c r="A516" s="90" t="str">
        <f>IF(Receipts!$D519="","",Receipts!$D519)</f>
        <v/>
      </c>
      <c r="B516" s="18" t="str">
        <f>IF(Receipts!$C519="","",Receipts!$C519)</f>
        <v/>
      </c>
      <c r="C516" s="18" t="str">
        <f>IF($A516="","",IFERROR(INDEX(Items!$B$5:$B$597,MATCH($A516,Items!$A$5:$A$597,0)),""))</f>
        <v/>
      </c>
      <c r="D516" s="23" t="str">
        <f>IF($A516="","",N(Receipts!$G519))</f>
        <v/>
      </c>
      <c r="E516" s="20" t="str">
        <f>IF($A516="","",IFERROR(INDEX(Items!$D$5:$D$597,MATCH($A516,Items!$A$5:$A$597,0)),0))</f>
        <v/>
      </c>
      <c r="F516" s="21" t="str">
        <f t="shared" si="35"/>
        <v/>
      </c>
      <c r="G516" s="25" t="str">
        <f>IF(Receipts!$I519="","",Receipts!$I519)</f>
        <v/>
      </c>
      <c r="H516" s="25" t="str">
        <f>IF(Receipts!$H519="","",Receipts!$H519)</f>
        <v/>
      </c>
      <c r="I516" s="26" t="str">
        <f t="shared" ca="1" si="36"/>
        <v/>
      </c>
      <c r="J516" s="26" t="str">
        <f>IF($A516="","",COUNTIFS(tblReceipts[Item Name],$A516,tblReceipts[Expiry Date],"&lt;"&amp;$H516)+COUNTIFS(tblReceipts[Item Name],$A516,tblReceipts[Expiry Date],$H516,tblReceipts[Lot Number],"&lt;="&amp;Receipts!$C519))</f>
        <v/>
      </c>
      <c r="K516" s="26" t="str">
        <f>IF($A516="","",SUMIFS(tblReceipts[Qty Received],tblReceipts[Item Name],$A516,tblReceipts[Expiry Date],"&lt;"&amp;$H516)+SUMIFS(tblReceipts[Qty Received],tblReceipts[Item Name],$A516,tblReceipts[Expiry Date],$H516,tblReceipts[Lot Number],"&lt;"&amp;Receipts!$C519))</f>
        <v/>
      </c>
      <c r="L516" s="26" t="str">
        <f>IF($A516="","",MIN($D516,MAX(0,SUMIFS(tblIssues[Qty Issued],tblIssues[Item Name],$A516)-$K516)))</f>
        <v/>
      </c>
      <c r="M516" s="26" t="str">
        <f>IF($A516="","",SUMIFS(tblIssues[Qty Issued],tblIssues[Lot Number],$B516))</f>
        <v/>
      </c>
      <c r="N516" s="26" t="str">
        <f t="shared" si="37"/>
        <v/>
      </c>
      <c r="O516" s="26" t="str">
        <f t="shared" si="38"/>
        <v/>
      </c>
      <c r="P516" s="21" t="str">
        <f t="shared" si="39"/>
        <v/>
      </c>
      <c r="Q516" s="52" t="str">
        <f>IF($A516="","",IF($O516&lt;=0,"Depleted",IF($I516&lt;0,"EXPIRED",IF($I516&lt;=Settings!$C$6,"CRITICAL",IF($I516&lt;=Settings!$C$5,"Expiring","In date")))))</f>
        <v/>
      </c>
    </row>
    <row r="517" spans="1:17" x14ac:dyDescent="0.35">
      <c r="A517" s="90" t="str">
        <f>IF(Receipts!$D520="","",Receipts!$D520)</f>
        <v/>
      </c>
      <c r="B517" s="18" t="str">
        <f>IF(Receipts!$C520="","",Receipts!$C520)</f>
        <v/>
      </c>
      <c r="C517" s="18" t="str">
        <f>IF($A517="","",IFERROR(INDEX(Items!$B$5:$B$597,MATCH($A517,Items!$A$5:$A$597,0)),""))</f>
        <v/>
      </c>
      <c r="D517" s="23" t="str">
        <f>IF($A517="","",N(Receipts!$G520))</f>
        <v/>
      </c>
      <c r="E517" s="20" t="str">
        <f>IF($A517="","",IFERROR(INDEX(Items!$D$5:$D$597,MATCH($A517,Items!$A$5:$A$597,0)),0))</f>
        <v/>
      </c>
      <c r="F517" s="21" t="str">
        <f t="shared" ref="F517:F580" si="40">IF($A517="","",$D517*$E517)</f>
        <v/>
      </c>
      <c r="G517" s="25" t="str">
        <f>IF(Receipts!$I520="","",Receipts!$I520)</f>
        <v/>
      </c>
      <c r="H517" s="25" t="str">
        <f>IF(Receipts!$H520="","",Receipts!$H520)</f>
        <v/>
      </c>
      <c r="I517" s="26" t="str">
        <f t="shared" ref="I517:I580" ca="1" si="41">IF($H517="","",$H517-TODAY())</f>
        <v/>
      </c>
      <c r="J517" s="26" t="str">
        <f>IF($A517="","",COUNTIFS(tblReceipts[Item Name],$A517,tblReceipts[Expiry Date],"&lt;"&amp;$H517)+COUNTIFS(tblReceipts[Item Name],$A517,tblReceipts[Expiry Date],$H517,tblReceipts[Lot Number],"&lt;="&amp;Receipts!$C520))</f>
        <v/>
      </c>
      <c r="K517" s="26" t="str">
        <f>IF($A517="","",SUMIFS(tblReceipts[Qty Received],tblReceipts[Item Name],$A517,tblReceipts[Expiry Date],"&lt;"&amp;$H517)+SUMIFS(tblReceipts[Qty Received],tblReceipts[Item Name],$A517,tblReceipts[Expiry Date],$H517,tblReceipts[Lot Number],"&lt;"&amp;Receipts!$C520))</f>
        <v/>
      </c>
      <c r="L517" s="26" t="str">
        <f>IF($A517="","",MIN($D517,MAX(0,SUMIFS(tblIssues[Qty Issued],tblIssues[Item Name],$A517)-$K517)))</f>
        <v/>
      </c>
      <c r="M517" s="26" t="str">
        <f>IF($A517="","",SUMIFS(tblIssues[Qty Issued],tblIssues[Lot Number],$B517))</f>
        <v/>
      </c>
      <c r="N517" s="26" t="str">
        <f t="shared" ref="N517:N580" si="42">IF($A517="","",$M517-$L517)</f>
        <v/>
      </c>
      <c r="O517" s="26" t="str">
        <f t="shared" ref="O517:O580" si="43">IF($A517="","",$D517-$L517)</f>
        <v/>
      </c>
      <c r="P517" s="21" t="str">
        <f t="shared" ref="P517:P580" si="44">IF($A517="","",$O517*$E517)</f>
        <v/>
      </c>
      <c r="Q517" s="52" t="str">
        <f>IF($A517="","",IF($O517&lt;=0,"Depleted",IF($I517&lt;0,"EXPIRED",IF($I517&lt;=Settings!$C$6,"CRITICAL",IF($I517&lt;=Settings!$C$5,"Expiring","In date")))))</f>
        <v/>
      </c>
    </row>
    <row r="518" spans="1:17" x14ac:dyDescent="0.35">
      <c r="A518" s="90" t="str">
        <f>IF(Receipts!$D521="","",Receipts!$D521)</f>
        <v/>
      </c>
      <c r="B518" s="18" t="str">
        <f>IF(Receipts!$C521="","",Receipts!$C521)</f>
        <v/>
      </c>
      <c r="C518" s="18" t="str">
        <f>IF($A518="","",IFERROR(INDEX(Items!$B$5:$B$597,MATCH($A518,Items!$A$5:$A$597,0)),""))</f>
        <v/>
      </c>
      <c r="D518" s="23" t="str">
        <f>IF($A518="","",N(Receipts!$G521))</f>
        <v/>
      </c>
      <c r="E518" s="20" t="str">
        <f>IF($A518="","",IFERROR(INDEX(Items!$D$5:$D$597,MATCH($A518,Items!$A$5:$A$597,0)),0))</f>
        <v/>
      </c>
      <c r="F518" s="21" t="str">
        <f t="shared" si="40"/>
        <v/>
      </c>
      <c r="G518" s="25" t="str">
        <f>IF(Receipts!$I521="","",Receipts!$I521)</f>
        <v/>
      </c>
      <c r="H518" s="25" t="str">
        <f>IF(Receipts!$H521="","",Receipts!$H521)</f>
        <v/>
      </c>
      <c r="I518" s="26" t="str">
        <f t="shared" ca="1" si="41"/>
        <v/>
      </c>
      <c r="J518" s="26" t="str">
        <f>IF($A518="","",COUNTIFS(tblReceipts[Item Name],$A518,tblReceipts[Expiry Date],"&lt;"&amp;$H518)+COUNTIFS(tblReceipts[Item Name],$A518,tblReceipts[Expiry Date],$H518,tblReceipts[Lot Number],"&lt;="&amp;Receipts!$C521))</f>
        <v/>
      </c>
      <c r="K518" s="26" t="str">
        <f>IF($A518="","",SUMIFS(tblReceipts[Qty Received],tblReceipts[Item Name],$A518,tblReceipts[Expiry Date],"&lt;"&amp;$H518)+SUMIFS(tblReceipts[Qty Received],tblReceipts[Item Name],$A518,tblReceipts[Expiry Date],$H518,tblReceipts[Lot Number],"&lt;"&amp;Receipts!$C521))</f>
        <v/>
      </c>
      <c r="L518" s="26" t="str">
        <f>IF($A518="","",MIN($D518,MAX(0,SUMIFS(tblIssues[Qty Issued],tblIssues[Item Name],$A518)-$K518)))</f>
        <v/>
      </c>
      <c r="M518" s="26" t="str">
        <f>IF($A518="","",SUMIFS(tblIssues[Qty Issued],tblIssues[Lot Number],$B518))</f>
        <v/>
      </c>
      <c r="N518" s="26" t="str">
        <f t="shared" si="42"/>
        <v/>
      </c>
      <c r="O518" s="26" t="str">
        <f t="shared" si="43"/>
        <v/>
      </c>
      <c r="P518" s="21" t="str">
        <f t="shared" si="44"/>
        <v/>
      </c>
      <c r="Q518" s="52" t="str">
        <f>IF($A518="","",IF($O518&lt;=0,"Depleted",IF($I518&lt;0,"EXPIRED",IF($I518&lt;=Settings!$C$6,"CRITICAL",IF($I518&lt;=Settings!$C$5,"Expiring","In date")))))</f>
        <v/>
      </c>
    </row>
    <row r="519" spans="1:17" x14ac:dyDescent="0.35">
      <c r="A519" s="90" t="str">
        <f>IF(Receipts!$D522="","",Receipts!$D522)</f>
        <v/>
      </c>
      <c r="B519" s="18" t="str">
        <f>IF(Receipts!$C522="","",Receipts!$C522)</f>
        <v/>
      </c>
      <c r="C519" s="18" t="str">
        <f>IF($A519="","",IFERROR(INDEX(Items!$B$5:$B$597,MATCH($A519,Items!$A$5:$A$597,0)),""))</f>
        <v/>
      </c>
      <c r="D519" s="23" t="str">
        <f>IF($A519="","",N(Receipts!$G522))</f>
        <v/>
      </c>
      <c r="E519" s="20" t="str">
        <f>IF($A519="","",IFERROR(INDEX(Items!$D$5:$D$597,MATCH($A519,Items!$A$5:$A$597,0)),0))</f>
        <v/>
      </c>
      <c r="F519" s="21" t="str">
        <f t="shared" si="40"/>
        <v/>
      </c>
      <c r="G519" s="25" t="str">
        <f>IF(Receipts!$I522="","",Receipts!$I522)</f>
        <v/>
      </c>
      <c r="H519" s="25" t="str">
        <f>IF(Receipts!$H522="","",Receipts!$H522)</f>
        <v/>
      </c>
      <c r="I519" s="26" t="str">
        <f t="shared" ca="1" si="41"/>
        <v/>
      </c>
      <c r="J519" s="26" t="str">
        <f>IF($A519="","",COUNTIFS(tblReceipts[Item Name],$A519,tblReceipts[Expiry Date],"&lt;"&amp;$H519)+COUNTIFS(tblReceipts[Item Name],$A519,tblReceipts[Expiry Date],$H519,tblReceipts[Lot Number],"&lt;="&amp;Receipts!$C522))</f>
        <v/>
      </c>
      <c r="K519" s="26" t="str">
        <f>IF($A519="","",SUMIFS(tblReceipts[Qty Received],tblReceipts[Item Name],$A519,tblReceipts[Expiry Date],"&lt;"&amp;$H519)+SUMIFS(tblReceipts[Qty Received],tblReceipts[Item Name],$A519,tblReceipts[Expiry Date],$H519,tblReceipts[Lot Number],"&lt;"&amp;Receipts!$C522))</f>
        <v/>
      </c>
      <c r="L519" s="26" t="str">
        <f>IF($A519="","",MIN($D519,MAX(0,SUMIFS(tblIssues[Qty Issued],tblIssues[Item Name],$A519)-$K519)))</f>
        <v/>
      </c>
      <c r="M519" s="26" t="str">
        <f>IF($A519="","",SUMIFS(tblIssues[Qty Issued],tblIssues[Lot Number],$B519))</f>
        <v/>
      </c>
      <c r="N519" s="26" t="str">
        <f t="shared" si="42"/>
        <v/>
      </c>
      <c r="O519" s="26" t="str">
        <f t="shared" si="43"/>
        <v/>
      </c>
      <c r="P519" s="21" t="str">
        <f t="shared" si="44"/>
        <v/>
      </c>
      <c r="Q519" s="52" t="str">
        <f>IF($A519="","",IF($O519&lt;=0,"Depleted",IF($I519&lt;0,"EXPIRED",IF($I519&lt;=Settings!$C$6,"CRITICAL",IF($I519&lt;=Settings!$C$5,"Expiring","In date")))))</f>
        <v/>
      </c>
    </row>
    <row r="520" spans="1:17" x14ac:dyDescent="0.35">
      <c r="A520" s="90" t="str">
        <f>IF(Receipts!$D523="","",Receipts!$D523)</f>
        <v/>
      </c>
      <c r="B520" s="18" t="str">
        <f>IF(Receipts!$C523="","",Receipts!$C523)</f>
        <v/>
      </c>
      <c r="C520" s="18" t="str">
        <f>IF($A520="","",IFERROR(INDEX(Items!$B$5:$B$597,MATCH($A520,Items!$A$5:$A$597,0)),""))</f>
        <v/>
      </c>
      <c r="D520" s="23" t="str">
        <f>IF($A520="","",N(Receipts!$G523))</f>
        <v/>
      </c>
      <c r="E520" s="20" t="str">
        <f>IF($A520="","",IFERROR(INDEX(Items!$D$5:$D$597,MATCH($A520,Items!$A$5:$A$597,0)),0))</f>
        <v/>
      </c>
      <c r="F520" s="21" t="str">
        <f t="shared" si="40"/>
        <v/>
      </c>
      <c r="G520" s="25" t="str">
        <f>IF(Receipts!$I523="","",Receipts!$I523)</f>
        <v/>
      </c>
      <c r="H520" s="25" t="str">
        <f>IF(Receipts!$H523="","",Receipts!$H523)</f>
        <v/>
      </c>
      <c r="I520" s="26" t="str">
        <f t="shared" ca="1" si="41"/>
        <v/>
      </c>
      <c r="J520" s="26" t="str">
        <f>IF($A520="","",COUNTIFS(tblReceipts[Item Name],$A520,tblReceipts[Expiry Date],"&lt;"&amp;$H520)+COUNTIFS(tblReceipts[Item Name],$A520,tblReceipts[Expiry Date],$H520,tblReceipts[Lot Number],"&lt;="&amp;Receipts!$C523))</f>
        <v/>
      </c>
      <c r="K520" s="26" t="str">
        <f>IF($A520="","",SUMIFS(tblReceipts[Qty Received],tblReceipts[Item Name],$A520,tblReceipts[Expiry Date],"&lt;"&amp;$H520)+SUMIFS(tblReceipts[Qty Received],tblReceipts[Item Name],$A520,tblReceipts[Expiry Date],$H520,tblReceipts[Lot Number],"&lt;"&amp;Receipts!$C523))</f>
        <v/>
      </c>
      <c r="L520" s="26" t="str">
        <f>IF($A520="","",MIN($D520,MAX(0,SUMIFS(tblIssues[Qty Issued],tblIssues[Item Name],$A520)-$K520)))</f>
        <v/>
      </c>
      <c r="M520" s="26" t="str">
        <f>IF($A520="","",SUMIFS(tblIssues[Qty Issued],tblIssues[Lot Number],$B520))</f>
        <v/>
      </c>
      <c r="N520" s="26" t="str">
        <f t="shared" si="42"/>
        <v/>
      </c>
      <c r="O520" s="26" t="str">
        <f t="shared" si="43"/>
        <v/>
      </c>
      <c r="P520" s="21" t="str">
        <f t="shared" si="44"/>
        <v/>
      </c>
      <c r="Q520" s="52" t="str">
        <f>IF($A520="","",IF($O520&lt;=0,"Depleted",IF($I520&lt;0,"EXPIRED",IF($I520&lt;=Settings!$C$6,"CRITICAL",IF($I520&lt;=Settings!$C$5,"Expiring","In date")))))</f>
        <v/>
      </c>
    </row>
    <row r="521" spans="1:17" x14ac:dyDescent="0.35">
      <c r="A521" s="90" t="str">
        <f>IF(Receipts!$D524="","",Receipts!$D524)</f>
        <v/>
      </c>
      <c r="B521" s="18" t="str">
        <f>IF(Receipts!$C524="","",Receipts!$C524)</f>
        <v/>
      </c>
      <c r="C521" s="18" t="str">
        <f>IF($A521="","",IFERROR(INDEX(Items!$B$5:$B$597,MATCH($A521,Items!$A$5:$A$597,0)),""))</f>
        <v/>
      </c>
      <c r="D521" s="23" t="str">
        <f>IF($A521="","",N(Receipts!$G524))</f>
        <v/>
      </c>
      <c r="E521" s="20" t="str">
        <f>IF($A521="","",IFERROR(INDEX(Items!$D$5:$D$597,MATCH($A521,Items!$A$5:$A$597,0)),0))</f>
        <v/>
      </c>
      <c r="F521" s="21" t="str">
        <f t="shared" si="40"/>
        <v/>
      </c>
      <c r="G521" s="25" t="str">
        <f>IF(Receipts!$I524="","",Receipts!$I524)</f>
        <v/>
      </c>
      <c r="H521" s="25" t="str">
        <f>IF(Receipts!$H524="","",Receipts!$H524)</f>
        <v/>
      </c>
      <c r="I521" s="26" t="str">
        <f t="shared" ca="1" si="41"/>
        <v/>
      </c>
      <c r="J521" s="26" t="str">
        <f>IF($A521="","",COUNTIFS(tblReceipts[Item Name],$A521,tblReceipts[Expiry Date],"&lt;"&amp;$H521)+COUNTIFS(tblReceipts[Item Name],$A521,tblReceipts[Expiry Date],$H521,tblReceipts[Lot Number],"&lt;="&amp;Receipts!$C524))</f>
        <v/>
      </c>
      <c r="K521" s="26" t="str">
        <f>IF($A521="","",SUMIFS(tblReceipts[Qty Received],tblReceipts[Item Name],$A521,tblReceipts[Expiry Date],"&lt;"&amp;$H521)+SUMIFS(tblReceipts[Qty Received],tblReceipts[Item Name],$A521,tblReceipts[Expiry Date],$H521,tblReceipts[Lot Number],"&lt;"&amp;Receipts!$C524))</f>
        <v/>
      </c>
      <c r="L521" s="26" t="str">
        <f>IF($A521="","",MIN($D521,MAX(0,SUMIFS(tblIssues[Qty Issued],tblIssues[Item Name],$A521)-$K521)))</f>
        <v/>
      </c>
      <c r="M521" s="26" t="str">
        <f>IF($A521="","",SUMIFS(tblIssues[Qty Issued],tblIssues[Lot Number],$B521))</f>
        <v/>
      </c>
      <c r="N521" s="26" t="str">
        <f t="shared" si="42"/>
        <v/>
      </c>
      <c r="O521" s="26" t="str">
        <f t="shared" si="43"/>
        <v/>
      </c>
      <c r="P521" s="21" t="str">
        <f t="shared" si="44"/>
        <v/>
      </c>
      <c r="Q521" s="52" t="str">
        <f>IF($A521="","",IF($O521&lt;=0,"Depleted",IF($I521&lt;0,"EXPIRED",IF($I521&lt;=Settings!$C$6,"CRITICAL",IF($I521&lt;=Settings!$C$5,"Expiring","In date")))))</f>
        <v/>
      </c>
    </row>
    <row r="522" spans="1:17" x14ac:dyDescent="0.35">
      <c r="A522" s="90" t="str">
        <f>IF(Receipts!$D525="","",Receipts!$D525)</f>
        <v/>
      </c>
      <c r="B522" s="18" t="str">
        <f>IF(Receipts!$C525="","",Receipts!$C525)</f>
        <v/>
      </c>
      <c r="C522" s="18" t="str">
        <f>IF($A522="","",IFERROR(INDEX(Items!$B$5:$B$597,MATCH($A522,Items!$A$5:$A$597,0)),""))</f>
        <v/>
      </c>
      <c r="D522" s="23" t="str">
        <f>IF($A522="","",N(Receipts!$G525))</f>
        <v/>
      </c>
      <c r="E522" s="20" t="str">
        <f>IF($A522="","",IFERROR(INDEX(Items!$D$5:$D$597,MATCH($A522,Items!$A$5:$A$597,0)),0))</f>
        <v/>
      </c>
      <c r="F522" s="21" t="str">
        <f t="shared" si="40"/>
        <v/>
      </c>
      <c r="G522" s="25" t="str">
        <f>IF(Receipts!$I525="","",Receipts!$I525)</f>
        <v/>
      </c>
      <c r="H522" s="25" t="str">
        <f>IF(Receipts!$H525="","",Receipts!$H525)</f>
        <v/>
      </c>
      <c r="I522" s="26" t="str">
        <f t="shared" ca="1" si="41"/>
        <v/>
      </c>
      <c r="J522" s="26" t="str">
        <f>IF($A522="","",COUNTIFS(tblReceipts[Item Name],$A522,tblReceipts[Expiry Date],"&lt;"&amp;$H522)+COUNTIFS(tblReceipts[Item Name],$A522,tblReceipts[Expiry Date],$H522,tblReceipts[Lot Number],"&lt;="&amp;Receipts!$C525))</f>
        <v/>
      </c>
      <c r="K522" s="26" t="str">
        <f>IF($A522="","",SUMIFS(tblReceipts[Qty Received],tblReceipts[Item Name],$A522,tblReceipts[Expiry Date],"&lt;"&amp;$H522)+SUMIFS(tblReceipts[Qty Received],tblReceipts[Item Name],$A522,tblReceipts[Expiry Date],$H522,tblReceipts[Lot Number],"&lt;"&amp;Receipts!$C525))</f>
        <v/>
      </c>
      <c r="L522" s="26" t="str">
        <f>IF($A522="","",MIN($D522,MAX(0,SUMIFS(tblIssues[Qty Issued],tblIssues[Item Name],$A522)-$K522)))</f>
        <v/>
      </c>
      <c r="M522" s="26" t="str">
        <f>IF($A522="","",SUMIFS(tblIssues[Qty Issued],tblIssues[Lot Number],$B522))</f>
        <v/>
      </c>
      <c r="N522" s="26" t="str">
        <f t="shared" si="42"/>
        <v/>
      </c>
      <c r="O522" s="26" t="str">
        <f t="shared" si="43"/>
        <v/>
      </c>
      <c r="P522" s="21" t="str">
        <f t="shared" si="44"/>
        <v/>
      </c>
      <c r="Q522" s="52" t="str">
        <f>IF($A522="","",IF($O522&lt;=0,"Depleted",IF($I522&lt;0,"EXPIRED",IF($I522&lt;=Settings!$C$6,"CRITICAL",IF($I522&lt;=Settings!$C$5,"Expiring","In date")))))</f>
        <v/>
      </c>
    </row>
    <row r="523" spans="1:17" x14ac:dyDescent="0.35">
      <c r="A523" s="90" t="str">
        <f>IF(Receipts!$D526="","",Receipts!$D526)</f>
        <v/>
      </c>
      <c r="B523" s="18" t="str">
        <f>IF(Receipts!$C526="","",Receipts!$C526)</f>
        <v/>
      </c>
      <c r="C523" s="18" t="str">
        <f>IF($A523="","",IFERROR(INDEX(Items!$B$5:$B$597,MATCH($A523,Items!$A$5:$A$597,0)),""))</f>
        <v/>
      </c>
      <c r="D523" s="23" t="str">
        <f>IF($A523="","",N(Receipts!$G526))</f>
        <v/>
      </c>
      <c r="E523" s="20" t="str">
        <f>IF($A523="","",IFERROR(INDEX(Items!$D$5:$D$597,MATCH($A523,Items!$A$5:$A$597,0)),0))</f>
        <v/>
      </c>
      <c r="F523" s="21" t="str">
        <f t="shared" si="40"/>
        <v/>
      </c>
      <c r="G523" s="25" t="str">
        <f>IF(Receipts!$I526="","",Receipts!$I526)</f>
        <v/>
      </c>
      <c r="H523" s="25" t="str">
        <f>IF(Receipts!$H526="","",Receipts!$H526)</f>
        <v/>
      </c>
      <c r="I523" s="26" t="str">
        <f t="shared" ca="1" si="41"/>
        <v/>
      </c>
      <c r="J523" s="26" t="str">
        <f>IF($A523="","",COUNTIFS(tblReceipts[Item Name],$A523,tblReceipts[Expiry Date],"&lt;"&amp;$H523)+COUNTIFS(tblReceipts[Item Name],$A523,tblReceipts[Expiry Date],$H523,tblReceipts[Lot Number],"&lt;="&amp;Receipts!$C526))</f>
        <v/>
      </c>
      <c r="K523" s="26" t="str">
        <f>IF($A523="","",SUMIFS(tblReceipts[Qty Received],tblReceipts[Item Name],$A523,tblReceipts[Expiry Date],"&lt;"&amp;$H523)+SUMIFS(tblReceipts[Qty Received],tblReceipts[Item Name],$A523,tblReceipts[Expiry Date],$H523,tblReceipts[Lot Number],"&lt;"&amp;Receipts!$C526))</f>
        <v/>
      </c>
      <c r="L523" s="26" t="str">
        <f>IF($A523="","",MIN($D523,MAX(0,SUMIFS(tblIssues[Qty Issued],tblIssues[Item Name],$A523)-$K523)))</f>
        <v/>
      </c>
      <c r="M523" s="26" t="str">
        <f>IF($A523="","",SUMIFS(tblIssues[Qty Issued],tblIssues[Lot Number],$B523))</f>
        <v/>
      </c>
      <c r="N523" s="26" t="str">
        <f t="shared" si="42"/>
        <v/>
      </c>
      <c r="O523" s="26" t="str">
        <f t="shared" si="43"/>
        <v/>
      </c>
      <c r="P523" s="21" t="str">
        <f t="shared" si="44"/>
        <v/>
      </c>
      <c r="Q523" s="52" t="str">
        <f>IF($A523="","",IF($O523&lt;=0,"Depleted",IF($I523&lt;0,"EXPIRED",IF($I523&lt;=Settings!$C$6,"CRITICAL",IF($I523&lt;=Settings!$C$5,"Expiring","In date")))))</f>
        <v/>
      </c>
    </row>
    <row r="524" spans="1:17" x14ac:dyDescent="0.35">
      <c r="A524" s="90" t="str">
        <f>IF(Receipts!$D527="","",Receipts!$D527)</f>
        <v/>
      </c>
      <c r="B524" s="18" t="str">
        <f>IF(Receipts!$C527="","",Receipts!$C527)</f>
        <v/>
      </c>
      <c r="C524" s="18" t="str">
        <f>IF($A524="","",IFERROR(INDEX(Items!$B$5:$B$597,MATCH($A524,Items!$A$5:$A$597,0)),""))</f>
        <v/>
      </c>
      <c r="D524" s="23" t="str">
        <f>IF($A524="","",N(Receipts!$G527))</f>
        <v/>
      </c>
      <c r="E524" s="20" t="str">
        <f>IF($A524="","",IFERROR(INDEX(Items!$D$5:$D$597,MATCH($A524,Items!$A$5:$A$597,0)),0))</f>
        <v/>
      </c>
      <c r="F524" s="21" t="str">
        <f t="shared" si="40"/>
        <v/>
      </c>
      <c r="G524" s="25" t="str">
        <f>IF(Receipts!$I527="","",Receipts!$I527)</f>
        <v/>
      </c>
      <c r="H524" s="25" t="str">
        <f>IF(Receipts!$H527="","",Receipts!$H527)</f>
        <v/>
      </c>
      <c r="I524" s="26" t="str">
        <f t="shared" ca="1" si="41"/>
        <v/>
      </c>
      <c r="J524" s="26" t="str">
        <f>IF($A524="","",COUNTIFS(tblReceipts[Item Name],$A524,tblReceipts[Expiry Date],"&lt;"&amp;$H524)+COUNTIFS(tblReceipts[Item Name],$A524,tblReceipts[Expiry Date],$H524,tblReceipts[Lot Number],"&lt;="&amp;Receipts!$C527))</f>
        <v/>
      </c>
      <c r="K524" s="26" t="str">
        <f>IF($A524="","",SUMIFS(tblReceipts[Qty Received],tblReceipts[Item Name],$A524,tblReceipts[Expiry Date],"&lt;"&amp;$H524)+SUMIFS(tblReceipts[Qty Received],tblReceipts[Item Name],$A524,tblReceipts[Expiry Date],$H524,tblReceipts[Lot Number],"&lt;"&amp;Receipts!$C527))</f>
        <v/>
      </c>
      <c r="L524" s="26" t="str">
        <f>IF($A524="","",MIN($D524,MAX(0,SUMIFS(tblIssues[Qty Issued],tblIssues[Item Name],$A524)-$K524)))</f>
        <v/>
      </c>
      <c r="M524" s="26" t="str">
        <f>IF($A524="","",SUMIFS(tblIssues[Qty Issued],tblIssues[Lot Number],$B524))</f>
        <v/>
      </c>
      <c r="N524" s="26" t="str">
        <f t="shared" si="42"/>
        <v/>
      </c>
      <c r="O524" s="26" t="str">
        <f t="shared" si="43"/>
        <v/>
      </c>
      <c r="P524" s="21" t="str">
        <f t="shared" si="44"/>
        <v/>
      </c>
      <c r="Q524" s="52" t="str">
        <f>IF($A524="","",IF($O524&lt;=0,"Depleted",IF($I524&lt;0,"EXPIRED",IF($I524&lt;=Settings!$C$6,"CRITICAL",IF($I524&lt;=Settings!$C$5,"Expiring","In date")))))</f>
        <v/>
      </c>
    </row>
    <row r="525" spans="1:17" x14ac:dyDescent="0.35">
      <c r="A525" s="90" t="str">
        <f>IF(Receipts!$D528="","",Receipts!$D528)</f>
        <v/>
      </c>
      <c r="B525" s="18" t="str">
        <f>IF(Receipts!$C528="","",Receipts!$C528)</f>
        <v/>
      </c>
      <c r="C525" s="18" t="str">
        <f>IF($A525="","",IFERROR(INDEX(Items!$B$5:$B$597,MATCH($A525,Items!$A$5:$A$597,0)),""))</f>
        <v/>
      </c>
      <c r="D525" s="23" t="str">
        <f>IF($A525="","",N(Receipts!$G528))</f>
        <v/>
      </c>
      <c r="E525" s="20" t="str">
        <f>IF($A525="","",IFERROR(INDEX(Items!$D$5:$D$597,MATCH($A525,Items!$A$5:$A$597,0)),0))</f>
        <v/>
      </c>
      <c r="F525" s="21" t="str">
        <f t="shared" si="40"/>
        <v/>
      </c>
      <c r="G525" s="25" t="str">
        <f>IF(Receipts!$I528="","",Receipts!$I528)</f>
        <v/>
      </c>
      <c r="H525" s="25" t="str">
        <f>IF(Receipts!$H528="","",Receipts!$H528)</f>
        <v/>
      </c>
      <c r="I525" s="26" t="str">
        <f t="shared" ca="1" si="41"/>
        <v/>
      </c>
      <c r="J525" s="26" t="str">
        <f>IF($A525="","",COUNTIFS(tblReceipts[Item Name],$A525,tblReceipts[Expiry Date],"&lt;"&amp;$H525)+COUNTIFS(tblReceipts[Item Name],$A525,tblReceipts[Expiry Date],$H525,tblReceipts[Lot Number],"&lt;="&amp;Receipts!$C528))</f>
        <v/>
      </c>
      <c r="K525" s="26" t="str">
        <f>IF($A525="","",SUMIFS(tblReceipts[Qty Received],tblReceipts[Item Name],$A525,tblReceipts[Expiry Date],"&lt;"&amp;$H525)+SUMIFS(tblReceipts[Qty Received],tblReceipts[Item Name],$A525,tblReceipts[Expiry Date],$H525,tblReceipts[Lot Number],"&lt;"&amp;Receipts!$C528))</f>
        <v/>
      </c>
      <c r="L525" s="26" t="str">
        <f>IF($A525="","",MIN($D525,MAX(0,SUMIFS(tblIssues[Qty Issued],tblIssues[Item Name],$A525)-$K525)))</f>
        <v/>
      </c>
      <c r="M525" s="26" t="str">
        <f>IF($A525="","",SUMIFS(tblIssues[Qty Issued],tblIssues[Lot Number],$B525))</f>
        <v/>
      </c>
      <c r="N525" s="26" t="str">
        <f t="shared" si="42"/>
        <v/>
      </c>
      <c r="O525" s="26" t="str">
        <f t="shared" si="43"/>
        <v/>
      </c>
      <c r="P525" s="21" t="str">
        <f t="shared" si="44"/>
        <v/>
      </c>
      <c r="Q525" s="52" t="str">
        <f>IF($A525="","",IF($O525&lt;=0,"Depleted",IF($I525&lt;0,"EXPIRED",IF($I525&lt;=Settings!$C$6,"CRITICAL",IF($I525&lt;=Settings!$C$5,"Expiring","In date")))))</f>
        <v/>
      </c>
    </row>
    <row r="526" spans="1:17" x14ac:dyDescent="0.35">
      <c r="A526" s="90" t="str">
        <f>IF(Receipts!$D529="","",Receipts!$D529)</f>
        <v/>
      </c>
      <c r="B526" s="18" t="str">
        <f>IF(Receipts!$C529="","",Receipts!$C529)</f>
        <v/>
      </c>
      <c r="C526" s="18" t="str">
        <f>IF($A526="","",IFERROR(INDEX(Items!$B$5:$B$597,MATCH($A526,Items!$A$5:$A$597,0)),""))</f>
        <v/>
      </c>
      <c r="D526" s="23" t="str">
        <f>IF($A526="","",N(Receipts!$G529))</f>
        <v/>
      </c>
      <c r="E526" s="20" t="str">
        <f>IF($A526="","",IFERROR(INDEX(Items!$D$5:$D$597,MATCH($A526,Items!$A$5:$A$597,0)),0))</f>
        <v/>
      </c>
      <c r="F526" s="21" t="str">
        <f t="shared" si="40"/>
        <v/>
      </c>
      <c r="G526" s="25" t="str">
        <f>IF(Receipts!$I529="","",Receipts!$I529)</f>
        <v/>
      </c>
      <c r="H526" s="25" t="str">
        <f>IF(Receipts!$H529="","",Receipts!$H529)</f>
        <v/>
      </c>
      <c r="I526" s="26" t="str">
        <f t="shared" ca="1" si="41"/>
        <v/>
      </c>
      <c r="J526" s="26" t="str">
        <f>IF($A526="","",COUNTIFS(tblReceipts[Item Name],$A526,tblReceipts[Expiry Date],"&lt;"&amp;$H526)+COUNTIFS(tblReceipts[Item Name],$A526,tblReceipts[Expiry Date],$H526,tblReceipts[Lot Number],"&lt;="&amp;Receipts!$C529))</f>
        <v/>
      </c>
      <c r="K526" s="26" t="str">
        <f>IF($A526="","",SUMIFS(tblReceipts[Qty Received],tblReceipts[Item Name],$A526,tblReceipts[Expiry Date],"&lt;"&amp;$H526)+SUMIFS(tblReceipts[Qty Received],tblReceipts[Item Name],$A526,tblReceipts[Expiry Date],$H526,tblReceipts[Lot Number],"&lt;"&amp;Receipts!$C529))</f>
        <v/>
      </c>
      <c r="L526" s="26" t="str">
        <f>IF($A526="","",MIN($D526,MAX(0,SUMIFS(tblIssues[Qty Issued],tblIssues[Item Name],$A526)-$K526)))</f>
        <v/>
      </c>
      <c r="M526" s="26" t="str">
        <f>IF($A526="","",SUMIFS(tblIssues[Qty Issued],tblIssues[Lot Number],$B526))</f>
        <v/>
      </c>
      <c r="N526" s="26" t="str">
        <f t="shared" si="42"/>
        <v/>
      </c>
      <c r="O526" s="26" t="str">
        <f t="shared" si="43"/>
        <v/>
      </c>
      <c r="P526" s="21" t="str">
        <f t="shared" si="44"/>
        <v/>
      </c>
      <c r="Q526" s="52" t="str">
        <f>IF($A526="","",IF($O526&lt;=0,"Depleted",IF($I526&lt;0,"EXPIRED",IF($I526&lt;=Settings!$C$6,"CRITICAL",IF($I526&lt;=Settings!$C$5,"Expiring","In date")))))</f>
        <v/>
      </c>
    </row>
    <row r="527" spans="1:17" x14ac:dyDescent="0.35">
      <c r="A527" s="90" t="str">
        <f>IF(Receipts!$D530="","",Receipts!$D530)</f>
        <v/>
      </c>
      <c r="B527" s="18" t="str">
        <f>IF(Receipts!$C530="","",Receipts!$C530)</f>
        <v/>
      </c>
      <c r="C527" s="18" t="str">
        <f>IF($A527="","",IFERROR(INDEX(Items!$B$5:$B$597,MATCH($A527,Items!$A$5:$A$597,0)),""))</f>
        <v/>
      </c>
      <c r="D527" s="23" t="str">
        <f>IF($A527="","",N(Receipts!$G530))</f>
        <v/>
      </c>
      <c r="E527" s="20" t="str">
        <f>IF($A527="","",IFERROR(INDEX(Items!$D$5:$D$597,MATCH($A527,Items!$A$5:$A$597,0)),0))</f>
        <v/>
      </c>
      <c r="F527" s="21" t="str">
        <f t="shared" si="40"/>
        <v/>
      </c>
      <c r="G527" s="25" t="str">
        <f>IF(Receipts!$I530="","",Receipts!$I530)</f>
        <v/>
      </c>
      <c r="H527" s="25" t="str">
        <f>IF(Receipts!$H530="","",Receipts!$H530)</f>
        <v/>
      </c>
      <c r="I527" s="26" t="str">
        <f t="shared" ca="1" si="41"/>
        <v/>
      </c>
      <c r="J527" s="26" t="str">
        <f>IF($A527="","",COUNTIFS(tblReceipts[Item Name],$A527,tblReceipts[Expiry Date],"&lt;"&amp;$H527)+COUNTIFS(tblReceipts[Item Name],$A527,tblReceipts[Expiry Date],$H527,tblReceipts[Lot Number],"&lt;="&amp;Receipts!$C530))</f>
        <v/>
      </c>
      <c r="K527" s="26" t="str">
        <f>IF($A527="","",SUMIFS(tblReceipts[Qty Received],tblReceipts[Item Name],$A527,tblReceipts[Expiry Date],"&lt;"&amp;$H527)+SUMIFS(tblReceipts[Qty Received],tblReceipts[Item Name],$A527,tblReceipts[Expiry Date],$H527,tblReceipts[Lot Number],"&lt;"&amp;Receipts!$C530))</f>
        <v/>
      </c>
      <c r="L527" s="26" t="str">
        <f>IF($A527="","",MIN($D527,MAX(0,SUMIFS(tblIssues[Qty Issued],tblIssues[Item Name],$A527)-$K527)))</f>
        <v/>
      </c>
      <c r="M527" s="26" t="str">
        <f>IF($A527="","",SUMIFS(tblIssues[Qty Issued],tblIssues[Lot Number],$B527))</f>
        <v/>
      </c>
      <c r="N527" s="26" t="str">
        <f t="shared" si="42"/>
        <v/>
      </c>
      <c r="O527" s="26" t="str">
        <f t="shared" si="43"/>
        <v/>
      </c>
      <c r="P527" s="21" t="str">
        <f t="shared" si="44"/>
        <v/>
      </c>
      <c r="Q527" s="52" t="str">
        <f>IF($A527="","",IF($O527&lt;=0,"Depleted",IF($I527&lt;0,"EXPIRED",IF($I527&lt;=Settings!$C$6,"CRITICAL",IF($I527&lt;=Settings!$C$5,"Expiring","In date")))))</f>
        <v/>
      </c>
    </row>
    <row r="528" spans="1:17" x14ac:dyDescent="0.35">
      <c r="A528" s="90" t="str">
        <f>IF(Receipts!$D531="","",Receipts!$D531)</f>
        <v/>
      </c>
      <c r="B528" s="18" t="str">
        <f>IF(Receipts!$C531="","",Receipts!$C531)</f>
        <v/>
      </c>
      <c r="C528" s="18" t="str">
        <f>IF($A528="","",IFERROR(INDEX(Items!$B$5:$B$597,MATCH($A528,Items!$A$5:$A$597,0)),""))</f>
        <v/>
      </c>
      <c r="D528" s="23" t="str">
        <f>IF($A528="","",N(Receipts!$G531))</f>
        <v/>
      </c>
      <c r="E528" s="20" t="str">
        <f>IF($A528="","",IFERROR(INDEX(Items!$D$5:$D$597,MATCH($A528,Items!$A$5:$A$597,0)),0))</f>
        <v/>
      </c>
      <c r="F528" s="21" t="str">
        <f t="shared" si="40"/>
        <v/>
      </c>
      <c r="G528" s="25" t="str">
        <f>IF(Receipts!$I531="","",Receipts!$I531)</f>
        <v/>
      </c>
      <c r="H528" s="25" t="str">
        <f>IF(Receipts!$H531="","",Receipts!$H531)</f>
        <v/>
      </c>
      <c r="I528" s="26" t="str">
        <f t="shared" ca="1" si="41"/>
        <v/>
      </c>
      <c r="J528" s="26" t="str">
        <f>IF($A528="","",COUNTIFS(tblReceipts[Item Name],$A528,tblReceipts[Expiry Date],"&lt;"&amp;$H528)+COUNTIFS(tblReceipts[Item Name],$A528,tblReceipts[Expiry Date],$H528,tblReceipts[Lot Number],"&lt;="&amp;Receipts!$C531))</f>
        <v/>
      </c>
      <c r="K528" s="26" t="str">
        <f>IF($A528="","",SUMIFS(tblReceipts[Qty Received],tblReceipts[Item Name],$A528,tblReceipts[Expiry Date],"&lt;"&amp;$H528)+SUMIFS(tblReceipts[Qty Received],tblReceipts[Item Name],$A528,tblReceipts[Expiry Date],$H528,tblReceipts[Lot Number],"&lt;"&amp;Receipts!$C531))</f>
        <v/>
      </c>
      <c r="L528" s="26" t="str">
        <f>IF($A528="","",MIN($D528,MAX(0,SUMIFS(tblIssues[Qty Issued],tblIssues[Item Name],$A528)-$K528)))</f>
        <v/>
      </c>
      <c r="M528" s="26" t="str">
        <f>IF($A528="","",SUMIFS(tblIssues[Qty Issued],tblIssues[Lot Number],$B528))</f>
        <v/>
      </c>
      <c r="N528" s="26" t="str">
        <f t="shared" si="42"/>
        <v/>
      </c>
      <c r="O528" s="26" t="str">
        <f t="shared" si="43"/>
        <v/>
      </c>
      <c r="P528" s="21" t="str">
        <f t="shared" si="44"/>
        <v/>
      </c>
      <c r="Q528" s="52" t="str">
        <f>IF($A528="","",IF($O528&lt;=0,"Depleted",IF($I528&lt;0,"EXPIRED",IF($I528&lt;=Settings!$C$6,"CRITICAL",IF($I528&lt;=Settings!$C$5,"Expiring","In date")))))</f>
        <v/>
      </c>
    </row>
    <row r="529" spans="1:17" x14ac:dyDescent="0.35">
      <c r="A529" s="90" t="str">
        <f>IF(Receipts!$D532="","",Receipts!$D532)</f>
        <v/>
      </c>
      <c r="B529" s="18" t="str">
        <f>IF(Receipts!$C532="","",Receipts!$C532)</f>
        <v/>
      </c>
      <c r="C529" s="18" t="str">
        <f>IF($A529="","",IFERROR(INDEX(Items!$B$5:$B$597,MATCH($A529,Items!$A$5:$A$597,0)),""))</f>
        <v/>
      </c>
      <c r="D529" s="23" t="str">
        <f>IF($A529="","",N(Receipts!$G532))</f>
        <v/>
      </c>
      <c r="E529" s="20" t="str">
        <f>IF($A529="","",IFERROR(INDEX(Items!$D$5:$D$597,MATCH($A529,Items!$A$5:$A$597,0)),0))</f>
        <v/>
      </c>
      <c r="F529" s="21" t="str">
        <f t="shared" si="40"/>
        <v/>
      </c>
      <c r="G529" s="25" t="str">
        <f>IF(Receipts!$I532="","",Receipts!$I532)</f>
        <v/>
      </c>
      <c r="H529" s="25" t="str">
        <f>IF(Receipts!$H532="","",Receipts!$H532)</f>
        <v/>
      </c>
      <c r="I529" s="26" t="str">
        <f t="shared" ca="1" si="41"/>
        <v/>
      </c>
      <c r="J529" s="26" t="str">
        <f>IF($A529="","",COUNTIFS(tblReceipts[Item Name],$A529,tblReceipts[Expiry Date],"&lt;"&amp;$H529)+COUNTIFS(tblReceipts[Item Name],$A529,tblReceipts[Expiry Date],$H529,tblReceipts[Lot Number],"&lt;="&amp;Receipts!$C532))</f>
        <v/>
      </c>
      <c r="K529" s="26" t="str">
        <f>IF($A529="","",SUMIFS(tblReceipts[Qty Received],tblReceipts[Item Name],$A529,tblReceipts[Expiry Date],"&lt;"&amp;$H529)+SUMIFS(tblReceipts[Qty Received],tblReceipts[Item Name],$A529,tblReceipts[Expiry Date],$H529,tblReceipts[Lot Number],"&lt;"&amp;Receipts!$C532))</f>
        <v/>
      </c>
      <c r="L529" s="26" t="str">
        <f>IF($A529="","",MIN($D529,MAX(0,SUMIFS(tblIssues[Qty Issued],tblIssues[Item Name],$A529)-$K529)))</f>
        <v/>
      </c>
      <c r="M529" s="26" t="str">
        <f>IF($A529="","",SUMIFS(tblIssues[Qty Issued],tblIssues[Lot Number],$B529))</f>
        <v/>
      </c>
      <c r="N529" s="26" t="str">
        <f t="shared" si="42"/>
        <v/>
      </c>
      <c r="O529" s="26" t="str">
        <f t="shared" si="43"/>
        <v/>
      </c>
      <c r="P529" s="21" t="str">
        <f t="shared" si="44"/>
        <v/>
      </c>
      <c r="Q529" s="52" t="str">
        <f>IF($A529="","",IF($O529&lt;=0,"Depleted",IF($I529&lt;0,"EXPIRED",IF($I529&lt;=Settings!$C$6,"CRITICAL",IF($I529&lt;=Settings!$C$5,"Expiring","In date")))))</f>
        <v/>
      </c>
    </row>
    <row r="530" spans="1:17" x14ac:dyDescent="0.35">
      <c r="A530" s="90" t="str">
        <f>IF(Receipts!$D533="","",Receipts!$D533)</f>
        <v/>
      </c>
      <c r="B530" s="18" t="str">
        <f>IF(Receipts!$C533="","",Receipts!$C533)</f>
        <v/>
      </c>
      <c r="C530" s="18" t="str">
        <f>IF($A530="","",IFERROR(INDEX(Items!$B$5:$B$597,MATCH($A530,Items!$A$5:$A$597,0)),""))</f>
        <v/>
      </c>
      <c r="D530" s="23" t="str">
        <f>IF($A530="","",N(Receipts!$G533))</f>
        <v/>
      </c>
      <c r="E530" s="20" t="str">
        <f>IF($A530="","",IFERROR(INDEX(Items!$D$5:$D$597,MATCH($A530,Items!$A$5:$A$597,0)),0))</f>
        <v/>
      </c>
      <c r="F530" s="21" t="str">
        <f t="shared" si="40"/>
        <v/>
      </c>
      <c r="G530" s="25" t="str">
        <f>IF(Receipts!$I533="","",Receipts!$I533)</f>
        <v/>
      </c>
      <c r="H530" s="25" t="str">
        <f>IF(Receipts!$H533="","",Receipts!$H533)</f>
        <v/>
      </c>
      <c r="I530" s="26" t="str">
        <f t="shared" ca="1" si="41"/>
        <v/>
      </c>
      <c r="J530" s="26" t="str">
        <f>IF($A530="","",COUNTIFS(tblReceipts[Item Name],$A530,tblReceipts[Expiry Date],"&lt;"&amp;$H530)+COUNTIFS(tblReceipts[Item Name],$A530,tblReceipts[Expiry Date],$H530,tblReceipts[Lot Number],"&lt;="&amp;Receipts!$C533))</f>
        <v/>
      </c>
      <c r="K530" s="26" t="str">
        <f>IF($A530="","",SUMIFS(tblReceipts[Qty Received],tblReceipts[Item Name],$A530,tblReceipts[Expiry Date],"&lt;"&amp;$H530)+SUMIFS(tblReceipts[Qty Received],tblReceipts[Item Name],$A530,tblReceipts[Expiry Date],$H530,tblReceipts[Lot Number],"&lt;"&amp;Receipts!$C533))</f>
        <v/>
      </c>
      <c r="L530" s="26" t="str">
        <f>IF($A530="","",MIN($D530,MAX(0,SUMIFS(tblIssues[Qty Issued],tblIssues[Item Name],$A530)-$K530)))</f>
        <v/>
      </c>
      <c r="M530" s="26" t="str">
        <f>IF($A530="","",SUMIFS(tblIssues[Qty Issued],tblIssues[Lot Number],$B530))</f>
        <v/>
      </c>
      <c r="N530" s="26" t="str">
        <f t="shared" si="42"/>
        <v/>
      </c>
      <c r="O530" s="26" t="str">
        <f t="shared" si="43"/>
        <v/>
      </c>
      <c r="P530" s="21" t="str">
        <f t="shared" si="44"/>
        <v/>
      </c>
      <c r="Q530" s="52" t="str">
        <f>IF($A530="","",IF($O530&lt;=0,"Depleted",IF($I530&lt;0,"EXPIRED",IF($I530&lt;=Settings!$C$6,"CRITICAL",IF($I530&lt;=Settings!$C$5,"Expiring","In date")))))</f>
        <v/>
      </c>
    </row>
    <row r="531" spans="1:17" x14ac:dyDescent="0.35">
      <c r="A531" s="90" t="str">
        <f>IF(Receipts!$D534="","",Receipts!$D534)</f>
        <v/>
      </c>
      <c r="B531" s="18" t="str">
        <f>IF(Receipts!$C534="","",Receipts!$C534)</f>
        <v/>
      </c>
      <c r="C531" s="18" t="str">
        <f>IF($A531="","",IFERROR(INDEX(Items!$B$5:$B$597,MATCH($A531,Items!$A$5:$A$597,0)),""))</f>
        <v/>
      </c>
      <c r="D531" s="23" t="str">
        <f>IF($A531="","",N(Receipts!$G534))</f>
        <v/>
      </c>
      <c r="E531" s="20" t="str">
        <f>IF($A531="","",IFERROR(INDEX(Items!$D$5:$D$597,MATCH($A531,Items!$A$5:$A$597,0)),0))</f>
        <v/>
      </c>
      <c r="F531" s="21" t="str">
        <f t="shared" si="40"/>
        <v/>
      </c>
      <c r="G531" s="25" t="str">
        <f>IF(Receipts!$I534="","",Receipts!$I534)</f>
        <v/>
      </c>
      <c r="H531" s="25" t="str">
        <f>IF(Receipts!$H534="","",Receipts!$H534)</f>
        <v/>
      </c>
      <c r="I531" s="26" t="str">
        <f t="shared" ca="1" si="41"/>
        <v/>
      </c>
      <c r="J531" s="26" t="str">
        <f>IF($A531="","",COUNTIFS(tblReceipts[Item Name],$A531,tblReceipts[Expiry Date],"&lt;"&amp;$H531)+COUNTIFS(tblReceipts[Item Name],$A531,tblReceipts[Expiry Date],$H531,tblReceipts[Lot Number],"&lt;="&amp;Receipts!$C534))</f>
        <v/>
      </c>
      <c r="K531" s="26" t="str">
        <f>IF($A531="","",SUMIFS(tblReceipts[Qty Received],tblReceipts[Item Name],$A531,tblReceipts[Expiry Date],"&lt;"&amp;$H531)+SUMIFS(tblReceipts[Qty Received],tblReceipts[Item Name],$A531,tblReceipts[Expiry Date],$H531,tblReceipts[Lot Number],"&lt;"&amp;Receipts!$C534))</f>
        <v/>
      </c>
      <c r="L531" s="26" t="str">
        <f>IF($A531="","",MIN($D531,MAX(0,SUMIFS(tblIssues[Qty Issued],tblIssues[Item Name],$A531)-$K531)))</f>
        <v/>
      </c>
      <c r="M531" s="26" t="str">
        <f>IF($A531="","",SUMIFS(tblIssues[Qty Issued],tblIssues[Lot Number],$B531))</f>
        <v/>
      </c>
      <c r="N531" s="26" t="str">
        <f t="shared" si="42"/>
        <v/>
      </c>
      <c r="O531" s="26" t="str">
        <f t="shared" si="43"/>
        <v/>
      </c>
      <c r="P531" s="21" t="str">
        <f t="shared" si="44"/>
        <v/>
      </c>
      <c r="Q531" s="52" t="str">
        <f>IF($A531="","",IF($O531&lt;=0,"Depleted",IF($I531&lt;0,"EXPIRED",IF($I531&lt;=Settings!$C$6,"CRITICAL",IF($I531&lt;=Settings!$C$5,"Expiring","In date")))))</f>
        <v/>
      </c>
    </row>
    <row r="532" spans="1:17" x14ac:dyDescent="0.35">
      <c r="A532" s="90" t="str">
        <f>IF(Receipts!$D535="","",Receipts!$D535)</f>
        <v/>
      </c>
      <c r="B532" s="18" t="str">
        <f>IF(Receipts!$C535="","",Receipts!$C535)</f>
        <v/>
      </c>
      <c r="C532" s="18" t="str">
        <f>IF($A532="","",IFERROR(INDEX(Items!$B$5:$B$597,MATCH($A532,Items!$A$5:$A$597,0)),""))</f>
        <v/>
      </c>
      <c r="D532" s="23" t="str">
        <f>IF($A532="","",N(Receipts!$G535))</f>
        <v/>
      </c>
      <c r="E532" s="20" t="str">
        <f>IF($A532="","",IFERROR(INDEX(Items!$D$5:$D$597,MATCH($A532,Items!$A$5:$A$597,0)),0))</f>
        <v/>
      </c>
      <c r="F532" s="21" t="str">
        <f t="shared" si="40"/>
        <v/>
      </c>
      <c r="G532" s="25" t="str">
        <f>IF(Receipts!$I535="","",Receipts!$I535)</f>
        <v/>
      </c>
      <c r="H532" s="25" t="str">
        <f>IF(Receipts!$H535="","",Receipts!$H535)</f>
        <v/>
      </c>
      <c r="I532" s="26" t="str">
        <f t="shared" ca="1" si="41"/>
        <v/>
      </c>
      <c r="J532" s="26" t="str">
        <f>IF($A532="","",COUNTIFS(tblReceipts[Item Name],$A532,tblReceipts[Expiry Date],"&lt;"&amp;$H532)+COUNTIFS(tblReceipts[Item Name],$A532,tblReceipts[Expiry Date],$H532,tblReceipts[Lot Number],"&lt;="&amp;Receipts!$C535))</f>
        <v/>
      </c>
      <c r="K532" s="26" t="str">
        <f>IF($A532="","",SUMIFS(tblReceipts[Qty Received],tblReceipts[Item Name],$A532,tblReceipts[Expiry Date],"&lt;"&amp;$H532)+SUMIFS(tblReceipts[Qty Received],tblReceipts[Item Name],$A532,tblReceipts[Expiry Date],$H532,tblReceipts[Lot Number],"&lt;"&amp;Receipts!$C535))</f>
        <v/>
      </c>
      <c r="L532" s="26" t="str">
        <f>IF($A532="","",MIN($D532,MAX(0,SUMIFS(tblIssues[Qty Issued],tblIssues[Item Name],$A532)-$K532)))</f>
        <v/>
      </c>
      <c r="M532" s="26" t="str">
        <f>IF($A532="","",SUMIFS(tblIssues[Qty Issued],tblIssues[Lot Number],$B532))</f>
        <v/>
      </c>
      <c r="N532" s="26" t="str">
        <f t="shared" si="42"/>
        <v/>
      </c>
      <c r="O532" s="26" t="str">
        <f t="shared" si="43"/>
        <v/>
      </c>
      <c r="P532" s="21" t="str">
        <f t="shared" si="44"/>
        <v/>
      </c>
      <c r="Q532" s="52" t="str">
        <f>IF($A532="","",IF($O532&lt;=0,"Depleted",IF($I532&lt;0,"EXPIRED",IF($I532&lt;=Settings!$C$6,"CRITICAL",IF($I532&lt;=Settings!$C$5,"Expiring","In date")))))</f>
        <v/>
      </c>
    </row>
    <row r="533" spans="1:17" x14ac:dyDescent="0.35">
      <c r="A533" s="90" t="str">
        <f>IF(Receipts!$D536="","",Receipts!$D536)</f>
        <v/>
      </c>
      <c r="B533" s="18" t="str">
        <f>IF(Receipts!$C536="","",Receipts!$C536)</f>
        <v/>
      </c>
      <c r="C533" s="18" t="str">
        <f>IF($A533="","",IFERROR(INDEX(Items!$B$5:$B$597,MATCH($A533,Items!$A$5:$A$597,0)),""))</f>
        <v/>
      </c>
      <c r="D533" s="23" t="str">
        <f>IF($A533="","",N(Receipts!$G536))</f>
        <v/>
      </c>
      <c r="E533" s="20" t="str">
        <f>IF($A533="","",IFERROR(INDEX(Items!$D$5:$D$597,MATCH($A533,Items!$A$5:$A$597,0)),0))</f>
        <v/>
      </c>
      <c r="F533" s="21" t="str">
        <f t="shared" si="40"/>
        <v/>
      </c>
      <c r="G533" s="25" t="str">
        <f>IF(Receipts!$I536="","",Receipts!$I536)</f>
        <v/>
      </c>
      <c r="H533" s="25" t="str">
        <f>IF(Receipts!$H536="","",Receipts!$H536)</f>
        <v/>
      </c>
      <c r="I533" s="26" t="str">
        <f t="shared" ca="1" si="41"/>
        <v/>
      </c>
      <c r="J533" s="26" t="str">
        <f>IF($A533="","",COUNTIFS(tblReceipts[Item Name],$A533,tblReceipts[Expiry Date],"&lt;"&amp;$H533)+COUNTIFS(tblReceipts[Item Name],$A533,tblReceipts[Expiry Date],$H533,tblReceipts[Lot Number],"&lt;="&amp;Receipts!$C536))</f>
        <v/>
      </c>
      <c r="K533" s="26" t="str">
        <f>IF($A533="","",SUMIFS(tblReceipts[Qty Received],tblReceipts[Item Name],$A533,tblReceipts[Expiry Date],"&lt;"&amp;$H533)+SUMIFS(tblReceipts[Qty Received],tblReceipts[Item Name],$A533,tblReceipts[Expiry Date],$H533,tblReceipts[Lot Number],"&lt;"&amp;Receipts!$C536))</f>
        <v/>
      </c>
      <c r="L533" s="26" t="str">
        <f>IF($A533="","",MIN($D533,MAX(0,SUMIFS(tblIssues[Qty Issued],tblIssues[Item Name],$A533)-$K533)))</f>
        <v/>
      </c>
      <c r="M533" s="26" t="str">
        <f>IF($A533="","",SUMIFS(tblIssues[Qty Issued],tblIssues[Lot Number],$B533))</f>
        <v/>
      </c>
      <c r="N533" s="26" t="str">
        <f t="shared" si="42"/>
        <v/>
      </c>
      <c r="O533" s="26" t="str">
        <f t="shared" si="43"/>
        <v/>
      </c>
      <c r="P533" s="21" t="str">
        <f t="shared" si="44"/>
        <v/>
      </c>
      <c r="Q533" s="52" t="str">
        <f>IF($A533="","",IF($O533&lt;=0,"Depleted",IF($I533&lt;0,"EXPIRED",IF($I533&lt;=Settings!$C$6,"CRITICAL",IF($I533&lt;=Settings!$C$5,"Expiring","In date")))))</f>
        <v/>
      </c>
    </row>
    <row r="534" spans="1:17" x14ac:dyDescent="0.35">
      <c r="A534" s="90" t="str">
        <f>IF(Receipts!$D537="","",Receipts!$D537)</f>
        <v/>
      </c>
      <c r="B534" s="18" t="str">
        <f>IF(Receipts!$C537="","",Receipts!$C537)</f>
        <v/>
      </c>
      <c r="C534" s="18" t="str">
        <f>IF($A534="","",IFERROR(INDEX(Items!$B$5:$B$597,MATCH($A534,Items!$A$5:$A$597,0)),""))</f>
        <v/>
      </c>
      <c r="D534" s="23" t="str">
        <f>IF($A534="","",N(Receipts!$G537))</f>
        <v/>
      </c>
      <c r="E534" s="20" t="str">
        <f>IF($A534="","",IFERROR(INDEX(Items!$D$5:$D$597,MATCH($A534,Items!$A$5:$A$597,0)),0))</f>
        <v/>
      </c>
      <c r="F534" s="21" t="str">
        <f t="shared" si="40"/>
        <v/>
      </c>
      <c r="G534" s="25" t="str">
        <f>IF(Receipts!$I537="","",Receipts!$I537)</f>
        <v/>
      </c>
      <c r="H534" s="25" t="str">
        <f>IF(Receipts!$H537="","",Receipts!$H537)</f>
        <v/>
      </c>
      <c r="I534" s="26" t="str">
        <f t="shared" ca="1" si="41"/>
        <v/>
      </c>
      <c r="J534" s="26" t="str">
        <f>IF($A534="","",COUNTIFS(tblReceipts[Item Name],$A534,tblReceipts[Expiry Date],"&lt;"&amp;$H534)+COUNTIFS(tblReceipts[Item Name],$A534,tblReceipts[Expiry Date],$H534,tblReceipts[Lot Number],"&lt;="&amp;Receipts!$C537))</f>
        <v/>
      </c>
      <c r="K534" s="26" t="str">
        <f>IF($A534="","",SUMIFS(tblReceipts[Qty Received],tblReceipts[Item Name],$A534,tblReceipts[Expiry Date],"&lt;"&amp;$H534)+SUMIFS(tblReceipts[Qty Received],tblReceipts[Item Name],$A534,tblReceipts[Expiry Date],$H534,tblReceipts[Lot Number],"&lt;"&amp;Receipts!$C537))</f>
        <v/>
      </c>
      <c r="L534" s="26" t="str">
        <f>IF($A534="","",MIN($D534,MAX(0,SUMIFS(tblIssues[Qty Issued],tblIssues[Item Name],$A534)-$K534)))</f>
        <v/>
      </c>
      <c r="M534" s="26" t="str">
        <f>IF($A534="","",SUMIFS(tblIssues[Qty Issued],tblIssues[Lot Number],$B534))</f>
        <v/>
      </c>
      <c r="N534" s="26" t="str">
        <f t="shared" si="42"/>
        <v/>
      </c>
      <c r="O534" s="26" t="str">
        <f t="shared" si="43"/>
        <v/>
      </c>
      <c r="P534" s="21" t="str">
        <f t="shared" si="44"/>
        <v/>
      </c>
      <c r="Q534" s="52" t="str">
        <f>IF($A534="","",IF($O534&lt;=0,"Depleted",IF($I534&lt;0,"EXPIRED",IF($I534&lt;=Settings!$C$6,"CRITICAL",IF($I534&lt;=Settings!$C$5,"Expiring","In date")))))</f>
        <v/>
      </c>
    </row>
    <row r="535" spans="1:17" x14ac:dyDescent="0.35">
      <c r="A535" s="90" t="str">
        <f>IF(Receipts!$D538="","",Receipts!$D538)</f>
        <v/>
      </c>
      <c r="B535" s="18" t="str">
        <f>IF(Receipts!$C538="","",Receipts!$C538)</f>
        <v/>
      </c>
      <c r="C535" s="18" t="str">
        <f>IF($A535="","",IFERROR(INDEX(Items!$B$5:$B$597,MATCH($A535,Items!$A$5:$A$597,0)),""))</f>
        <v/>
      </c>
      <c r="D535" s="23" t="str">
        <f>IF($A535="","",N(Receipts!$G538))</f>
        <v/>
      </c>
      <c r="E535" s="20" t="str">
        <f>IF($A535="","",IFERROR(INDEX(Items!$D$5:$D$597,MATCH($A535,Items!$A$5:$A$597,0)),0))</f>
        <v/>
      </c>
      <c r="F535" s="21" t="str">
        <f t="shared" si="40"/>
        <v/>
      </c>
      <c r="G535" s="25" t="str">
        <f>IF(Receipts!$I538="","",Receipts!$I538)</f>
        <v/>
      </c>
      <c r="H535" s="25" t="str">
        <f>IF(Receipts!$H538="","",Receipts!$H538)</f>
        <v/>
      </c>
      <c r="I535" s="26" t="str">
        <f t="shared" ca="1" si="41"/>
        <v/>
      </c>
      <c r="J535" s="26" t="str">
        <f>IF($A535="","",COUNTIFS(tblReceipts[Item Name],$A535,tblReceipts[Expiry Date],"&lt;"&amp;$H535)+COUNTIFS(tblReceipts[Item Name],$A535,tblReceipts[Expiry Date],$H535,tblReceipts[Lot Number],"&lt;="&amp;Receipts!$C538))</f>
        <v/>
      </c>
      <c r="K535" s="26" t="str">
        <f>IF($A535="","",SUMIFS(tblReceipts[Qty Received],tblReceipts[Item Name],$A535,tblReceipts[Expiry Date],"&lt;"&amp;$H535)+SUMIFS(tblReceipts[Qty Received],tblReceipts[Item Name],$A535,tblReceipts[Expiry Date],$H535,tblReceipts[Lot Number],"&lt;"&amp;Receipts!$C538))</f>
        <v/>
      </c>
      <c r="L535" s="26" t="str">
        <f>IF($A535="","",MIN($D535,MAX(0,SUMIFS(tblIssues[Qty Issued],tblIssues[Item Name],$A535)-$K535)))</f>
        <v/>
      </c>
      <c r="M535" s="26" t="str">
        <f>IF($A535="","",SUMIFS(tblIssues[Qty Issued],tblIssues[Lot Number],$B535))</f>
        <v/>
      </c>
      <c r="N535" s="26" t="str">
        <f t="shared" si="42"/>
        <v/>
      </c>
      <c r="O535" s="26" t="str">
        <f t="shared" si="43"/>
        <v/>
      </c>
      <c r="P535" s="21" t="str">
        <f t="shared" si="44"/>
        <v/>
      </c>
      <c r="Q535" s="52" t="str">
        <f>IF($A535="","",IF($O535&lt;=0,"Depleted",IF($I535&lt;0,"EXPIRED",IF($I535&lt;=Settings!$C$6,"CRITICAL",IF($I535&lt;=Settings!$C$5,"Expiring","In date")))))</f>
        <v/>
      </c>
    </row>
    <row r="536" spans="1:17" x14ac:dyDescent="0.35">
      <c r="A536" s="90" t="str">
        <f>IF(Receipts!$D539="","",Receipts!$D539)</f>
        <v/>
      </c>
      <c r="B536" s="18" t="str">
        <f>IF(Receipts!$C539="","",Receipts!$C539)</f>
        <v/>
      </c>
      <c r="C536" s="18" t="str">
        <f>IF($A536="","",IFERROR(INDEX(Items!$B$5:$B$597,MATCH($A536,Items!$A$5:$A$597,0)),""))</f>
        <v/>
      </c>
      <c r="D536" s="23" t="str">
        <f>IF($A536="","",N(Receipts!$G539))</f>
        <v/>
      </c>
      <c r="E536" s="20" t="str">
        <f>IF($A536="","",IFERROR(INDEX(Items!$D$5:$D$597,MATCH($A536,Items!$A$5:$A$597,0)),0))</f>
        <v/>
      </c>
      <c r="F536" s="21" t="str">
        <f t="shared" si="40"/>
        <v/>
      </c>
      <c r="G536" s="25" t="str">
        <f>IF(Receipts!$I539="","",Receipts!$I539)</f>
        <v/>
      </c>
      <c r="H536" s="25" t="str">
        <f>IF(Receipts!$H539="","",Receipts!$H539)</f>
        <v/>
      </c>
      <c r="I536" s="26" t="str">
        <f t="shared" ca="1" si="41"/>
        <v/>
      </c>
      <c r="J536" s="26" t="str">
        <f>IF($A536="","",COUNTIFS(tblReceipts[Item Name],$A536,tblReceipts[Expiry Date],"&lt;"&amp;$H536)+COUNTIFS(tblReceipts[Item Name],$A536,tblReceipts[Expiry Date],$H536,tblReceipts[Lot Number],"&lt;="&amp;Receipts!$C539))</f>
        <v/>
      </c>
      <c r="K536" s="26" t="str">
        <f>IF($A536="","",SUMIFS(tblReceipts[Qty Received],tblReceipts[Item Name],$A536,tblReceipts[Expiry Date],"&lt;"&amp;$H536)+SUMIFS(tblReceipts[Qty Received],tblReceipts[Item Name],$A536,tblReceipts[Expiry Date],$H536,tblReceipts[Lot Number],"&lt;"&amp;Receipts!$C539))</f>
        <v/>
      </c>
      <c r="L536" s="26" t="str">
        <f>IF($A536="","",MIN($D536,MAX(0,SUMIFS(tblIssues[Qty Issued],tblIssues[Item Name],$A536)-$K536)))</f>
        <v/>
      </c>
      <c r="M536" s="26" t="str">
        <f>IF($A536="","",SUMIFS(tblIssues[Qty Issued],tblIssues[Lot Number],$B536))</f>
        <v/>
      </c>
      <c r="N536" s="26" t="str">
        <f t="shared" si="42"/>
        <v/>
      </c>
      <c r="O536" s="26" t="str">
        <f t="shared" si="43"/>
        <v/>
      </c>
      <c r="P536" s="21" t="str">
        <f t="shared" si="44"/>
        <v/>
      </c>
      <c r="Q536" s="52" t="str">
        <f>IF($A536="","",IF($O536&lt;=0,"Depleted",IF($I536&lt;0,"EXPIRED",IF($I536&lt;=Settings!$C$6,"CRITICAL",IF($I536&lt;=Settings!$C$5,"Expiring","In date")))))</f>
        <v/>
      </c>
    </row>
    <row r="537" spans="1:17" x14ac:dyDescent="0.35">
      <c r="A537" s="90" t="str">
        <f>IF(Receipts!$D540="","",Receipts!$D540)</f>
        <v/>
      </c>
      <c r="B537" s="18" t="str">
        <f>IF(Receipts!$C540="","",Receipts!$C540)</f>
        <v/>
      </c>
      <c r="C537" s="18" t="str">
        <f>IF($A537="","",IFERROR(INDEX(Items!$B$5:$B$597,MATCH($A537,Items!$A$5:$A$597,0)),""))</f>
        <v/>
      </c>
      <c r="D537" s="23" t="str">
        <f>IF($A537="","",N(Receipts!$G540))</f>
        <v/>
      </c>
      <c r="E537" s="20" t="str">
        <f>IF($A537="","",IFERROR(INDEX(Items!$D$5:$D$597,MATCH($A537,Items!$A$5:$A$597,0)),0))</f>
        <v/>
      </c>
      <c r="F537" s="21" t="str">
        <f t="shared" si="40"/>
        <v/>
      </c>
      <c r="G537" s="25" t="str">
        <f>IF(Receipts!$I540="","",Receipts!$I540)</f>
        <v/>
      </c>
      <c r="H537" s="25" t="str">
        <f>IF(Receipts!$H540="","",Receipts!$H540)</f>
        <v/>
      </c>
      <c r="I537" s="26" t="str">
        <f t="shared" ca="1" si="41"/>
        <v/>
      </c>
      <c r="J537" s="26" t="str">
        <f>IF($A537="","",COUNTIFS(tblReceipts[Item Name],$A537,tblReceipts[Expiry Date],"&lt;"&amp;$H537)+COUNTIFS(tblReceipts[Item Name],$A537,tblReceipts[Expiry Date],$H537,tblReceipts[Lot Number],"&lt;="&amp;Receipts!$C540))</f>
        <v/>
      </c>
      <c r="K537" s="26" t="str">
        <f>IF($A537="","",SUMIFS(tblReceipts[Qty Received],tblReceipts[Item Name],$A537,tblReceipts[Expiry Date],"&lt;"&amp;$H537)+SUMIFS(tblReceipts[Qty Received],tblReceipts[Item Name],$A537,tblReceipts[Expiry Date],$H537,tblReceipts[Lot Number],"&lt;"&amp;Receipts!$C540))</f>
        <v/>
      </c>
      <c r="L537" s="26" t="str">
        <f>IF($A537="","",MIN($D537,MAX(0,SUMIFS(tblIssues[Qty Issued],tblIssues[Item Name],$A537)-$K537)))</f>
        <v/>
      </c>
      <c r="M537" s="26" t="str">
        <f>IF($A537="","",SUMIFS(tblIssues[Qty Issued],tblIssues[Lot Number],$B537))</f>
        <v/>
      </c>
      <c r="N537" s="26" t="str">
        <f t="shared" si="42"/>
        <v/>
      </c>
      <c r="O537" s="26" t="str">
        <f t="shared" si="43"/>
        <v/>
      </c>
      <c r="P537" s="21" t="str">
        <f t="shared" si="44"/>
        <v/>
      </c>
      <c r="Q537" s="52" t="str">
        <f>IF($A537="","",IF($O537&lt;=0,"Depleted",IF($I537&lt;0,"EXPIRED",IF($I537&lt;=Settings!$C$6,"CRITICAL",IF($I537&lt;=Settings!$C$5,"Expiring","In date")))))</f>
        <v/>
      </c>
    </row>
    <row r="538" spans="1:17" x14ac:dyDescent="0.35">
      <c r="A538" s="90" t="str">
        <f>IF(Receipts!$D541="","",Receipts!$D541)</f>
        <v/>
      </c>
      <c r="B538" s="18" t="str">
        <f>IF(Receipts!$C541="","",Receipts!$C541)</f>
        <v/>
      </c>
      <c r="C538" s="18" t="str">
        <f>IF($A538="","",IFERROR(INDEX(Items!$B$5:$B$597,MATCH($A538,Items!$A$5:$A$597,0)),""))</f>
        <v/>
      </c>
      <c r="D538" s="23" t="str">
        <f>IF($A538="","",N(Receipts!$G541))</f>
        <v/>
      </c>
      <c r="E538" s="20" t="str">
        <f>IF($A538="","",IFERROR(INDEX(Items!$D$5:$D$597,MATCH($A538,Items!$A$5:$A$597,0)),0))</f>
        <v/>
      </c>
      <c r="F538" s="21" t="str">
        <f t="shared" si="40"/>
        <v/>
      </c>
      <c r="G538" s="25" t="str">
        <f>IF(Receipts!$I541="","",Receipts!$I541)</f>
        <v/>
      </c>
      <c r="H538" s="25" t="str">
        <f>IF(Receipts!$H541="","",Receipts!$H541)</f>
        <v/>
      </c>
      <c r="I538" s="26" t="str">
        <f t="shared" ca="1" si="41"/>
        <v/>
      </c>
      <c r="J538" s="26" t="str">
        <f>IF($A538="","",COUNTIFS(tblReceipts[Item Name],$A538,tblReceipts[Expiry Date],"&lt;"&amp;$H538)+COUNTIFS(tblReceipts[Item Name],$A538,tblReceipts[Expiry Date],$H538,tblReceipts[Lot Number],"&lt;="&amp;Receipts!$C541))</f>
        <v/>
      </c>
      <c r="K538" s="26" t="str">
        <f>IF($A538="","",SUMIFS(tblReceipts[Qty Received],tblReceipts[Item Name],$A538,tblReceipts[Expiry Date],"&lt;"&amp;$H538)+SUMIFS(tblReceipts[Qty Received],tblReceipts[Item Name],$A538,tblReceipts[Expiry Date],$H538,tblReceipts[Lot Number],"&lt;"&amp;Receipts!$C541))</f>
        <v/>
      </c>
      <c r="L538" s="26" t="str">
        <f>IF($A538="","",MIN($D538,MAX(0,SUMIFS(tblIssues[Qty Issued],tblIssues[Item Name],$A538)-$K538)))</f>
        <v/>
      </c>
      <c r="M538" s="26" t="str">
        <f>IF($A538="","",SUMIFS(tblIssues[Qty Issued],tblIssues[Lot Number],$B538))</f>
        <v/>
      </c>
      <c r="N538" s="26" t="str">
        <f t="shared" si="42"/>
        <v/>
      </c>
      <c r="O538" s="26" t="str">
        <f t="shared" si="43"/>
        <v/>
      </c>
      <c r="P538" s="21" t="str">
        <f t="shared" si="44"/>
        <v/>
      </c>
      <c r="Q538" s="52" t="str">
        <f>IF($A538="","",IF($O538&lt;=0,"Depleted",IF($I538&lt;0,"EXPIRED",IF($I538&lt;=Settings!$C$6,"CRITICAL",IF($I538&lt;=Settings!$C$5,"Expiring","In date")))))</f>
        <v/>
      </c>
    </row>
    <row r="539" spans="1:17" x14ac:dyDescent="0.35">
      <c r="A539" s="90" t="str">
        <f>IF(Receipts!$D542="","",Receipts!$D542)</f>
        <v/>
      </c>
      <c r="B539" s="18" t="str">
        <f>IF(Receipts!$C542="","",Receipts!$C542)</f>
        <v/>
      </c>
      <c r="C539" s="18" t="str">
        <f>IF($A539="","",IFERROR(INDEX(Items!$B$5:$B$597,MATCH($A539,Items!$A$5:$A$597,0)),""))</f>
        <v/>
      </c>
      <c r="D539" s="23" t="str">
        <f>IF($A539="","",N(Receipts!$G542))</f>
        <v/>
      </c>
      <c r="E539" s="20" t="str">
        <f>IF($A539="","",IFERROR(INDEX(Items!$D$5:$D$597,MATCH($A539,Items!$A$5:$A$597,0)),0))</f>
        <v/>
      </c>
      <c r="F539" s="21" t="str">
        <f t="shared" si="40"/>
        <v/>
      </c>
      <c r="G539" s="25" t="str">
        <f>IF(Receipts!$I542="","",Receipts!$I542)</f>
        <v/>
      </c>
      <c r="H539" s="25" t="str">
        <f>IF(Receipts!$H542="","",Receipts!$H542)</f>
        <v/>
      </c>
      <c r="I539" s="26" t="str">
        <f t="shared" ca="1" si="41"/>
        <v/>
      </c>
      <c r="J539" s="26" t="str">
        <f>IF($A539="","",COUNTIFS(tblReceipts[Item Name],$A539,tblReceipts[Expiry Date],"&lt;"&amp;$H539)+COUNTIFS(tblReceipts[Item Name],$A539,tblReceipts[Expiry Date],$H539,tblReceipts[Lot Number],"&lt;="&amp;Receipts!$C542))</f>
        <v/>
      </c>
      <c r="K539" s="26" t="str">
        <f>IF($A539="","",SUMIFS(tblReceipts[Qty Received],tblReceipts[Item Name],$A539,tblReceipts[Expiry Date],"&lt;"&amp;$H539)+SUMIFS(tblReceipts[Qty Received],tblReceipts[Item Name],$A539,tblReceipts[Expiry Date],$H539,tblReceipts[Lot Number],"&lt;"&amp;Receipts!$C542))</f>
        <v/>
      </c>
      <c r="L539" s="26" t="str">
        <f>IF($A539="","",MIN($D539,MAX(0,SUMIFS(tblIssues[Qty Issued],tblIssues[Item Name],$A539)-$K539)))</f>
        <v/>
      </c>
      <c r="M539" s="26" t="str">
        <f>IF($A539="","",SUMIFS(tblIssues[Qty Issued],tblIssues[Lot Number],$B539))</f>
        <v/>
      </c>
      <c r="N539" s="26" t="str">
        <f t="shared" si="42"/>
        <v/>
      </c>
      <c r="O539" s="26" t="str">
        <f t="shared" si="43"/>
        <v/>
      </c>
      <c r="P539" s="21" t="str">
        <f t="shared" si="44"/>
        <v/>
      </c>
      <c r="Q539" s="52" t="str">
        <f>IF($A539="","",IF($O539&lt;=0,"Depleted",IF($I539&lt;0,"EXPIRED",IF($I539&lt;=Settings!$C$6,"CRITICAL",IF($I539&lt;=Settings!$C$5,"Expiring","In date")))))</f>
        <v/>
      </c>
    </row>
    <row r="540" spans="1:17" x14ac:dyDescent="0.35">
      <c r="A540" s="90" t="str">
        <f>IF(Receipts!$D543="","",Receipts!$D543)</f>
        <v/>
      </c>
      <c r="B540" s="18" t="str">
        <f>IF(Receipts!$C543="","",Receipts!$C543)</f>
        <v/>
      </c>
      <c r="C540" s="18" t="str">
        <f>IF($A540="","",IFERROR(INDEX(Items!$B$5:$B$597,MATCH($A540,Items!$A$5:$A$597,0)),""))</f>
        <v/>
      </c>
      <c r="D540" s="23" t="str">
        <f>IF($A540="","",N(Receipts!$G543))</f>
        <v/>
      </c>
      <c r="E540" s="20" t="str">
        <f>IF($A540="","",IFERROR(INDEX(Items!$D$5:$D$597,MATCH($A540,Items!$A$5:$A$597,0)),0))</f>
        <v/>
      </c>
      <c r="F540" s="21" t="str">
        <f t="shared" si="40"/>
        <v/>
      </c>
      <c r="G540" s="25" t="str">
        <f>IF(Receipts!$I543="","",Receipts!$I543)</f>
        <v/>
      </c>
      <c r="H540" s="25" t="str">
        <f>IF(Receipts!$H543="","",Receipts!$H543)</f>
        <v/>
      </c>
      <c r="I540" s="26" t="str">
        <f t="shared" ca="1" si="41"/>
        <v/>
      </c>
      <c r="J540" s="26" t="str">
        <f>IF($A540="","",COUNTIFS(tblReceipts[Item Name],$A540,tblReceipts[Expiry Date],"&lt;"&amp;$H540)+COUNTIFS(tblReceipts[Item Name],$A540,tblReceipts[Expiry Date],$H540,tblReceipts[Lot Number],"&lt;="&amp;Receipts!$C543))</f>
        <v/>
      </c>
      <c r="K540" s="26" t="str">
        <f>IF($A540="","",SUMIFS(tblReceipts[Qty Received],tblReceipts[Item Name],$A540,tblReceipts[Expiry Date],"&lt;"&amp;$H540)+SUMIFS(tblReceipts[Qty Received],tblReceipts[Item Name],$A540,tblReceipts[Expiry Date],$H540,tblReceipts[Lot Number],"&lt;"&amp;Receipts!$C543))</f>
        <v/>
      </c>
      <c r="L540" s="26" t="str">
        <f>IF($A540="","",MIN($D540,MAX(0,SUMIFS(tblIssues[Qty Issued],tblIssues[Item Name],$A540)-$K540)))</f>
        <v/>
      </c>
      <c r="M540" s="26" t="str">
        <f>IF($A540="","",SUMIFS(tblIssues[Qty Issued],tblIssues[Lot Number],$B540))</f>
        <v/>
      </c>
      <c r="N540" s="26" t="str">
        <f t="shared" si="42"/>
        <v/>
      </c>
      <c r="O540" s="26" t="str">
        <f t="shared" si="43"/>
        <v/>
      </c>
      <c r="P540" s="21" t="str">
        <f t="shared" si="44"/>
        <v/>
      </c>
      <c r="Q540" s="52" t="str">
        <f>IF($A540="","",IF($O540&lt;=0,"Depleted",IF($I540&lt;0,"EXPIRED",IF($I540&lt;=Settings!$C$6,"CRITICAL",IF($I540&lt;=Settings!$C$5,"Expiring","In date")))))</f>
        <v/>
      </c>
    </row>
    <row r="541" spans="1:17" x14ac:dyDescent="0.35">
      <c r="A541" s="90" t="str">
        <f>IF(Receipts!$D544="","",Receipts!$D544)</f>
        <v/>
      </c>
      <c r="B541" s="18" t="str">
        <f>IF(Receipts!$C544="","",Receipts!$C544)</f>
        <v/>
      </c>
      <c r="C541" s="18" t="str">
        <f>IF($A541="","",IFERROR(INDEX(Items!$B$5:$B$597,MATCH($A541,Items!$A$5:$A$597,0)),""))</f>
        <v/>
      </c>
      <c r="D541" s="23" t="str">
        <f>IF($A541="","",N(Receipts!$G544))</f>
        <v/>
      </c>
      <c r="E541" s="20" t="str">
        <f>IF($A541="","",IFERROR(INDEX(Items!$D$5:$D$597,MATCH($A541,Items!$A$5:$A$597,0)),0))</f>
        <v/>
      </c>
      <c r="F541" s="21" t="str">
        <f t="shared" si="40"/>
        <v/>
      </c>
      <c r="G541" s="25" t="str">
        <f>IF(Receipts!$I544="","",Receipts!$I544)</f>
        <v/>
      </c>
      <c r="H541" s="25" t="str">
        <f>IF(Receipts!$H544="","",Receipts!$H544)</f>
        <v/>
      </c>
      <c r="I541" s="26" t="str">
        <f t="shared" ca="1" si="41"/>
        <v/>
      </c>
      <c r="J541" s="26" t="str">
        <f>IF($A541="","",COUNTIFS(tblReceipts[Item Name],$A541,tblReceipts[Expiry Date],"&lt;"&amp;$H541)+COUNTIFS(tblReceipts[Item Name],$A541,tblReceipts[Expiry Date],$H541,tblReceipts[Lot Number],"&lt;="&amp;Receipts!$C544))</f>
        <v/>
      </c>
      <c r="K541" s="26" t="str">
        <f>IF($A541="","",SUMIFS(tblReceipts[Qty Received],tblReceipts[Item Name],$A541,tblReceipts[Expiry Date],"&lt;"&amp;$H541)+SUMIFS(tblReceipts[Qty Received],tblReceipts[Item Name],$A541,tblReceipts[Expiry Date],$H541,tblReceipts[Lot Number],"&lt;"&amp;Receipts!$C544))</f>
        <v/>
      </c>
      <c r="L541" s="26" t="str">
        <f>IF($A541="","",MIN($D541,MAX(0,SUMIFS(tblIssues[Qty Issued],tblIssues[Item Name],$A541)-$K541)))</f>
        <v/>
      </c>
      <c r="M541" s="26" t="str">
        <f>IF($A541="","",SUMIFS(tblIssues[Qty Issued],tblIssues[Lot Number],$B541))</f>
        <v/>
      </c>
      <c r="N541" s="26" t="str">
        <f t="shared" si="42"/>
        <v/>
      </c>
      <c r="O541" s="26" t="str">
        <f t="shared" si="43"/>
        <v/>
      </c>
      <c r="P541" s="21" t="str">
        <f t="shared" si="44"/>
        <v/>
      </c>
      <c r="Q541" s="52" t="str">
        <f>IF($A541="","",IF($O541&lt;=0,"Depleted",IF($I541&lt;0,"EXPIRED",IF($I541&lt;=Settings!$C$6,"CRITICAL",IF($I541&lt;=Settings!$C$5,"Expiring","In date")))))</f>
        <v/>
      </c>
    </row>
    <row r="542" spans="1:17" x14ac:dyDescent="0.35">
      <c r="A542" s="90" t="str">
        <f>IF(Receipts!$D545="","",Receipts!$D545)</f>
        <v/>
      </c>
      <c r="B542" s="18" t="str">
        <f>IF(Receipts!$C545="","",Receipts!$C545)</f>
        <v/>
      </c>
      <c r="C542" s="18" t="str">
        <f>IF($A542="","",IFERROR(INDEX(Items!$B$5:$B$597,MATCH($A542,Items!$A$5:$A$597,0)),""))</f>
        <v/>
      </c>
      <c r="D542" s="23" t="str">
        <f>IF($A542="","",N(Receipts!$G545))</f>
        <v/>
      </c>
      <c r="E542" s="20" t="str">
        <f>IF($A542="","",IFERROR(INDEX(Items!$D$5:$D$597,MATCH($A542,Items!$A$5:$A$597,0)),0))</f>
        <v/>
      </c>
      <c r="F542" s="21" t="str">
        <f t="shared" si="40"/>
        <v/>
      </c>
      <c r="G542" s="25" t="str">
        <f>IF(Receipts!$I545="","",Receipts!$I545)</f>
        <v/>
      </c>
      <c r="H542" s="25" t="str">
        <f>IF(Receipts!$H545="","",Receipts!$H545)</f>
        <v/>
      </c>
      <c r="I542" s="26" t="str">
        <f t="shared" ca="1" si="41"/>
        <v/>
      </c>
      <c r="J542" s="26" t="str">
        <f>IF($A542="","",COUNTIFS(tblReceipts[Item Name],$A542,tblReceipts[Expiry Date],"&lt;"&amp;$H542)+COUNTIFS(tblReceipts[Item Name],$A542,tblReceipts[Expiry Date],$H542,tblReceipts[Lot Number],"&lt;="&amp;Receipts!$C545))</f>
        <v/>
      </c>
      <c r="K542" s="26" t="str">
        <f>IF($A542="","",SUMIFS(tblReceipts[Qty Received],tblReceipts[Item Name],$A542,tblReceipts[Expiry Date],"&lt;"&amp;$H542)+SUMIFS(tblReceipts[Qty Received],tblReceipts[Item Name],$A542,tblReceipts[Expiry Date],$H542,tblReceipts[Lot Number],"&lt;"&amp;Receipts!$C545))</f>
        <v/>
      </c>
      <c r="L542" s="26" t="str">
        <f>IF($A542="","",MIN($D542,MAX(0,SUMIFS(tblIssues[Qty Issued],tblIssues[Item Name],$A542)-$K542)))</f>
        <v/>
      </c>
      <c r="M542" s="26" t="str">
        <f>IF($A542="","",SUMIFS(tblIssues[Qty Issued],tblIssues[Lot Number],$B542))</f>
        <v/>
      </c>
      <c r="N542" s="26" t="str">
        <f t="shared" si="42"/>
        <v/>
      </c>
      <c r="O542" s="26" t="str">
        <f t="shared" si="43"/>
        <v/>
      </c>
      <c r="P542" s="21" t="str">
        <f t="shared" si="44"/>
        <v/>
      </c>
      <c r="Q542" s="52" t="str">
        <f>IF($A542="","",IF($O542&lt;=0,"Depleted",IF($I542&lt;0,"EXPIRED",IF($I542&lt;=Settings!$C$6,"CRITICAL",IF($I542&lt;=Settings!$C$5,"Expiring","In date")))))</f>
        <v/>
      </c>
    </row>
    <row r="543" spans="1:17" x14ac:dyDescent="0.35">
      <c r="A543" s="90" t="str">
        <f>IF(Receipts!$D546="","",Receipts!$D546)</f>
        <v/>
      </c>
      <c r="B543" s="18" t="str">
        <f>IF(Receipts!$C546="","",Receipts!$C546)</f>
        <v/>
      </c>
      <c r="C543" s="18" t="str">
        <f>IF($A543="","",IFERROR(INDEX(Items!$B$5:$B$597,MATCH($A543,Items!$A$5:$A$597,0)),""))</f>
        <v/>
      </c>
      <c r="D543" s="23" t="str">
        <f>IF($A543="","",N(Receipts!$G546))</f>
        <v/>
      </c>
      <c r="E543" s="20" t="str">
        <f>IF($A543="","",IFERROR(INDEX(Items!$D$5:$D$597,MATCH($A543,Items!$A$5:$A$597,0)),0))</f>
        <v/>
      </c>
      <c r="F543" s="21" t="str">
        <f t="shared" si="40"/>
        <v/>
      </c>
      <c r="G543" s="25" t="str">
        <f>IF(Receipts!$I546="","",Receipts!$I546)</f>
        <v/>
      </c>
      <c r="H543" s="25" t="str">
        <f>IF(Receipts!$H546="","",Receipts!$H546)</f>
        <v/>
      </c>
      <c r="I543" s="26" t="str">
        <f t="shared" ca="1" si="41"/>
        <v/>
      </c>
      <c r="J543" s="26" t="str">
        <f>IF($A543="","",COUNTIFS(tblReceipts[Item Name],$A543,tblReceipts[Expiry Date],"&lt;"&amp;$H543)+COUNTIFS(tblReceipts[Item Name],$A543,tblReceipts[Expiry Date],$H543,tblReceipts[Lot Number],"&lt;="&amp;Receipts!$C546))</f>
        <v/>
      </c>
      <c r="K543" s="26" t="str">
        <f>IF($A543="","",SUMIFS(tblReceipts[Qty Received],tblReceipts[Item Name],$A543,tblReceipts[Expiry Date],"&lt;"&amp;$H543)+SUMIFS(tblReceipts[Qty Received],tblReceipts[Item Name],$A543,tblReceipts[Expiry Date],$H543,tblReceipts[Lot Number],"&lt;"&amp;Receipts!$C546))</f>
        <v/>
      </c>
      <c r="L543" s="26" t="str">
        <f>IF($A543="","",MIN($D543,MAX(0,SUMIFS(tblIssues[Qty Issued],tblIssues[Item Name],$A543)-$K543)))</f>
        <v/>
      </c>
      <c r="M543" s="26" t="str">
        <f>IF($A543="","",SUMIFS(tblIssues[Qty Issued],tblIssues[Lot Number],$B543))</f>
        <v/>
      </c>
      <c r="N543" s="26" t="str">
        <f t="shared" si="42"/>
        <v/>
      </c>
      <c r="O543" s="26" t="str">
        <f t="shared" si="43"/>
        <v/>
      </c>
      <c r="P543" s="21" t="str">
        <f t="shared" si="44"/>
        <v/>
      </c>
      <c r="Q543" s="52" t="str">
        <f>IF($A543="","",IF($O543&lt;=0,"Depleted",IF($I543&lt;0,"EXPIRED",IF($I543&lt;=Settings!$C$6,"CRITICAL",IF($I543&lt;=Settings!$C$5,"Expiring","In date")))))</f>
        <v/>
      </c>
    </row>
    <row r="544" spans="1:17" x14ac:dyDescent="0.35">
      <c r="A544" s="90" t="str">
        <f>IF(Receipts!$D547="","",Receipts!$D547)</f>
        <v/>
      </c>
      <c r="B544" s="18" t="str">
        <f>IF(Receipts!$C547="","",Receipts!$C547)</f>
        <v/>
      </c>
      <c r="C544" s="18" t="str">
        <f>IF($A544="","",IFERROR(INDEX(Items!$B$5:$B$597,MATCH($A544,Items!$A$5:$A$597,0)),""))</f>
        <v/>
      </c>
      <c r="D544" s="23" t="str">
        <f>IF($A544="","",N(Receipts!$G547))</f>
        <v/>
      </c>
      <c r="E544" s="20" t="str">
        <f>IF($A544="","",IFERROR(INDEX(Items!$D$5:$D$597,MATCH($A544,Items!$A$5:$A$597,0)),0))</f>
        <v/>
      </c>
      <c r="F544" s="21" t="str">
        <f t="shared" si="40"/>
        <v/>
      </c>
      <c r="G544" s="25" t="str">
        <f>IF(Receipts!$I547="","",Receipts!$I547)</f>
        <v/>
      </c>
      <c r="H544" s="25" t="str">
        <f>IF(Receipts!$H547="","",Receipts!$H547)</f>
        <v/>
      </c>
      <c r="I544" s="26" t="str">
        <f t="shared" ca="1" si="41"/>
        <v/>
      </c>
      <c r="J544" s="26" t="str">
        <f>IF($A544="","",COUNTIFS(tblReceipts[Item Name],$A544,tblReceipts[Expiry Date],"&lt;"&amp;$H544)+COUNTIFS(tblReceipts[Item Name],$A544,tblReceipts[Expiry Date],$H544,tblReceipts[Lot Number],"&lt;="&amp;Receipts!$C547))</f>
        <v/>
      </c>
      <c r="K544" s="26" t="str">
        <f>IF($A544="","",SUMIFS(tblReceipts[Qty Received],tblReceipts[Item Name],$A544,tblReceipts[Expiry Date],"&lt;"&amp;$H544)+SUMIFS(tblReceipts[Qty Received],tblReceipts[Item Name],$A544,tblReceipts[Expiry Date],$H544,tblReceipts[Lot Number],"&lt;"&amp;Receipts!$C547))</f>
        <v/>
      </c>
      <c r="L544" s="26" t="str">
        <f>IF($A544="","",MIN($D544,MAX(0,SUMIFS(tblIssues[Qty Issued],tblIssues[Item Name],$A544)-$K544)))</f>
        <v/>
      </c>
      <c r="M544" s="26" t="str">
        <f>IF($A544="","",SUMIFS(tblIssues[Qty Issued],tblIssues[Lot Number],$B544))</f>
        <v/>
      </c>
      <c r="N544" s="26" t="str">
        <f t="shared" si="42"/>
        <v/>
      </c>
      <c r="O544" s="26" t="str">
        <f t="shared" si="43"/>
        <v/>
      </c>
      <c r="P544" s="21" t="str">
        <f t="shared" si="44"/>
        <v/>
      </c>
      <c r="Q544" s="52" t="str">
        <f>IF($A544="","",IF($O544&lt;=0,"Depleted",IF($I544&lt;0,"EXPIRED",IF($I544&lt;=Settings!$C$6,"CRITICAL",IF($I544&lt;=Settings!$C$5,"Expiring","In date")))))</f>
        <v/>
      </c>
    </row>
    <row r="545" spans="1:17" x14ac:dyDescent="0.35">
      <c r="A545" s="90" t="str">
        <f>IF(Receipts!$D548="","",Receipts!$D548)</f>
        <v/>
      </c>
      <c r="B545" s="18" t="str">
        <f>IF(Receipts!$C548="","",Receipts!$C548)</f>
        <v/>
      </c>
      <c r="C545" s="18" t="str">
        <f>IF($A545="","",IFERROR(INDEX(Items!$B$5:$B$597,MATCH($A545,Items!$A$5:$A$597,0)),""))</f>
        <v/>
      </c>
      <c r="D545" s="23" t="str">
        <f>IF($A545="","",N(Receipts!$G548))</f>
        <v/>
      </c>
      <c r="E545" s="20" t="str">
        <f>IF($A545="","",IFERROR(INDEX(Items!$D$5:$D$597,MATCH($A545,Items!$A$5:$A$597,0)),0))</f>
        <v/>
      </c>
      <c r="F545" s="21" t="str">
        <f t="shared" si="40"/>
        <v/>
      </c>
      <c r="G545" s="25" t="str">
        <f>IF(Receipts!$I548="","",Receipts!$I548)</f>
        <v/>
      </c>
      <c r="H545" s="25" t="str">
        <f>IF(Receipts!$H548="","",Receipts!$H548)</f>
        <v/>
      </c>
      <c r="I545" s="26" t="str">
        <f t="shared" ca="1" si="41"/>
        <v/>
      </c>
      <c r="J545" s="26" t="str">
        <f>IF($A545="","",COUNTIFS(tblReceipts[Item Name],$A545,tblReceipts[Expiry Date],"&lt;"&amp;$H545)+COUNTIFS(tblReceipts[Item Name],$A545,tblReceipts[Expiry Date],$H545,tblReceipts[Lot Number],"&lt;="&amp;Receipts!$C548))</f>
        <v/>
      </c>
      <c r="K545" s="26" t="str">
        <f>IF($A545="","",SUMIFS(tblReceipts[Qty Received],tblReceipts[Item Name],$A545,tblReceipts[Expiry Date],"&lt;"&amp;$H545)+SUMIFS(tblReceipts[Qty Received],tblReceipts[Item Name],$A545,tblReceipts[Expiry Date],$H545,tblReceipts[Lot Number],"&lt;"&amp;Receipts!$C548))</f>
        <v/>
      </c>
      <c r="L545" s="26" t="str">
        <f>IF($A545="","",MIN($D545,MAX(0,SUMIFS(tblIssues[Qty Issued],tblIssues[Item Name],$A545)-$K545)))</f>
        <v/>
      </c>
      <c r="M545" s="26" t="str">
        <f>IF($A545="","",SUMIFS(tblIssues[Qty Issued],tblIssues[Lot Number],$B545))</f>
        <v/>
      </c>
      <c r="N545" s="26" t="str">
        <f t="shared" si="42"/>
        <v/>
      </c>
      <c r="O545" s="26" t="str">
        <f t="shared" si="43"/>
        <v/>
      </c>
      <c r="P545" s="21" t="str">
        <f t="shared" si="44"/>
        <v/>
      </c>
      <c r="Q545" s="52" t="str">
        <f>IF($A545="","",IF($O545&lt;=0,"Depleted",IF($I545&lt;0,"EXPIRED",IF($I545&lt;=Settings!$C$6,"CRITICAL",IF($I545&lt;=Settings!$C$5,"Expiring","In date")))))</f>
        <v/>
      </c>
    </row>
    <row r="546" spans="1:17" x14ac:dyDescent="0.35">
      <c r="A546" s="90" t="str">
        <f>IF(Receipts!$D549="","",Receipts!$D549)</f>
        <v/>
      </c>
      <c r="B546" s="18" t="str">
        <f>IF(Receipts!$C549="","",Receipts!$C549)</f>
        <v/>
      </c>
      <c r="C546" s="18" t="str">
        <f>IF($A546="","",IFERROR(INDEX(Items!$B$5:$B$597,MATCH($A546,Items!$A$5:$A$597,0)),""))</f>
        <v/>
      </c>
      <c r="D546" s="23" t="str">
        <f>IF($A546="","",N(Receipts!$G549))</f>
        <v/>
      </c>
      <c r="E546" s="20" t="str">
        <f>IF($A546="","",IFERROR(INDEX(Items!$D$5:$D$597,MATCH($A546,Items!$A$5:$A$597,0)),0))</f>
        <v/>
      </c>
      <c r="F546" s="21" t="str">
        <f t="shared" si="40"/>
        <v/>
      </c>
      <c r="G546" s="25" t="str">
        <f>IF(Receipts!$I549="","",Receipts!$I549)</f>
        <v/>
      </c>
      <c r="H546" s="25" t="str">
        <f>IF(Receipts!$H549="","",Receipts!$H549)</f>
        <v/>
      </c>
      <c r="I546" s="26" t="str">
        <f t="shared" ca="1" si="41"/>
        <v/>
      </c>
      <c r="J546" s="26" t="str">
        <f>IF($A546="","",COUNTIFS(tblReceipts[Item Name],$A546,tblReceipts[Expiry Date],"&lt;"&amp;$H546)+COUNTIFS(tblReceipts[Item Name],$A546,tblReceipts[Expiry Date],$H546,tblReceipts[Lot Number],"&lt;="&amp;Receipts!$C549))</f>
        <v/>
      </c>
      <c r="K546" s="26" t="str">
        <f>IF($A546="","",SUMIFS(tblReceipts[Qty Received],tblReceipts[Item Name],$A546,tblReceipts[Expiry Date],"&lt;"&amp;$H546)+SUMIFS(tblReceipts[Qty Received],tblReceipts[Item Name],$A546,tblReceipts[Expiry Date],$H546,tblReceipts[Lot Number],"&lt;"&amp;Receipts!$C549))</f>
        <v/>
      </c>
      <c r="L546" s="26" t="str">
        <f>IF($A546="","",MIN($D546,MAX(0,SUMIFS(tblIssues[Qty Issued],tblIssues[Item Name],$A546)-$K546)))</f>
        <v/>
      </c>
      <c r="M546" s="26" t="str">
        <f>IF($A546="","",SUMIFS(tblIssues[Qty Issued],tblIssues[Lot Number],$B546))</f>
        <v/>
      </c>
      <c r="N546" s="26" t="str">
        <f t="shared" si="42"/>
        <v/>
      </c>
      <c r="O546" s="26" t="str">
        <f t="shared" si="43"/>
        <v/>
      </c>
      <c r="P546" s="21" t="str">
        <f t="shared" si="44"/>
        <v/>
      </c>
      <c r="Q546" s="52" t="str">
        <f>IF($A546="","",IF($O546&lt;=0,"Depleted",IF($I546&lt;0,"EXPIRED",IF($I546&lt;=Settings!$C$6,"CRITICAL",IF($I546&lt;=Settings!$C$5,"Expiring","In date")))))</f>
        <v/>
      </c>
    </row>
    <row r="547" spans="1:17" x14ac:dyDescent="0.35">
      <c r="A547" s="90" t="str">
        <f>IF(Receipts!$D550="","",Receipts!$D550)</f>
        <v/>
      </c>
      <c r="B547" s="18" t="str">
        <f>IF(Receipts!$C550="","",Receipts!$C550)</f>
        <v/>
      </c>
      <c r="C547" s="18" t="str">
        <f>IF($A547="","",IFERROR(INDEX(Items!$B$5:$B$597,MATCH($A547,Items!$A$5:$A$597,0)),""))</f>
        <v/>
      </c>
      <c r="D547" s="23" t="str">
        <f>IF($A547="","",N(Receipts!$G550))</f>
        <v/>
      </c>
      <c r="E547" s="20" t="str">
        <f>IF($A547="","",IFERROR(INDEX(Items!$D$5:$D$597,MATCH($A547,Items!$A$5:$A$597,0)),0))</f>
        <v/>
      </c>
      <c r="F547" s="21" t="str">
        <f t="shared" si="40"/>
        <v/>
      </c>
      <c r="G547" s="25" t="str">
        <f>IF(Receipts!$I550="","",Receipts!$I550)</f>
        <v/>
      </c>
      <c r="H547" s="25" t="str">
        <f>IF(Receipts!$H550="","",Receipts!$H550)</f>
        <v/>
      </c>
      <c r="I547" s="26" t="str">
        <f t="shared" ca="1" si="41"/>
        <v/>
      </c>
      <c r="J547" s="26" t="str">
        <f>IF($A547="","",COUNTIFS(tblReceipts[Item Name],$A547,tblReceipts[Expiry Date],"&lt;"&amp;$H547)+COUNTIFS(tblReceipts[Item Name],$A547,tblReceipts[Expiry Date],$H547,tblReceipts[Lot Number],"&lt;="&amp;Receipts!$C550))</f>
        <v/>
      </c>
      <c r="K547" s="26" t="str">
        <f>IF($A547="","",SUMIFS(tblReceipts[Qty Received],tblReceipts[Item Name],$A547,tblReceipts[Expiry Date],"&lt;"&amp;$H547)+SUMIFS(tblReceipts[Qty Received],tblReceipts[Item Name],$A547,tblReceipts[Expiry Date],$H547,tblReceipts[Lot Number],"&lt;"&amp;Receipts!$C550))</f>
        <v/>
      </c>
      <c r="L547" s="26" t="str">
        <f>IF($A547="","",MIN($D547,MAX(0,SUMIFS(tblIssues[Qty Issued],tblIssues[Item Name],$A547)-$K547)))</f>
        <v/>
      </c>
      <c r="M547" s="26" t="str">
        <f>IF($A547="","",SUMIFS(tblIssues[Qty Issued],tblIssues[Lot Number],$B547))</f>
        <v/>
      </c>
      <c r="N547" s="26" t="str">
        <f t="shared" si="42"/>
        <v/>
      </c>
      <c r="O547" s="26" t="str">
        <f t="shared" si="43"/>
        <v/>
      </c>
      <c r="P547" s="21" t="str">
        <f t="shared" si="44"/>
        <v/>
      </c>
      <c r="Q547" s="52" t="str">
        <f>IF($A547="","",IF($O547&lt;=0,"Depleted",IF($I547&lt;0,"EXPIRED",IF($I547&lt;=Settings!$C$6,"CRITICAL",IF($I547&lt;=Settings!$C$5,"Expiring","In date")))))</f>
        <v/>
      </c>
    </row>
    <row r="548" spans="1:17" x14ac:dyDescent="0.35">
      <c r="A548" s="90" t="str">
        <f>IF(Receipts!$D551="","",Receipts!$D551)</f>
        <v/>
      </c>
      <c r="B548" s="18" t="str">
        <f>IF(Receipts!$C551="","",Receipts!$C551)</f>
        <v/>
      </c>
      <c r="C548" s="18" t="str">
        <f>IF($A548="","",IFERROR(INDEX(Items!$B$5:$B$597,MATCH($A548,Items!$A$5:$A$597,0)),""))</f>
        <v/>
      </c>
      <c r="D548" s="23" t="str">
        <f>IF($A548="","",N(Receipts!$G551))</f>
        <v/>
      </c>
      <c r="E548" s="20" t="str">
        <f>IF($A548="","",IFERROR(INDEX(Items!$D$5:$D$597,MATCH($A548,Items!$A$5:$A$597,0)),0))</f>
        <v/>
      </c>
      <c r="F548" s="21" t="str">
        <f t="shared" si="40"/>
        <v/>
      </c>
      <c r="G548" s="25" t="str">
        <f>IF(Receipts!$I551="","",Receipts!$I551)</f>
        <v/>
      </c>
      <c r="H548" s="25" t="str">
        <f>IF(Receipts!$H551="","",Receipts!$H551)</f>
        <v/>
      </c>
      <c r="I548" s="26" t="str">
        <f t="shared" ca="1" si="41"/>
        <v/>
      </c>
      <c r="J548" s="26" t="str">
        <f>IF($A548="","",COUNTIFS(tblReceipts[Item Name],$A548,tblReceipts[Expiry Date],"&lt;"&amp;$H548)+COUNTIFS(tblReceipts[Item Name],$A548,tblReceipts[Expiry Date],$H548,tblReceipts[Lot Number],"&lt;="&amp;Receipts!$C551))</f>
        <v/>
      </c>
      <c r="K548" s="26" t="str">
        <f>IF($A548="","",SUMIFS(tblReceipts[Qty Received],tblReceipts[Item Name],$A548,tblReceipts[Expiry Date],"&lt;"&amp;$H548)+SUMIFS(tblReceipts[Qty Received],tblReceipts[Item Name],$A548,tblReceipts[Expiry Date],$H548,tblReceipts[Lot Number],"&lt;"&amp;Receipts!$C551))</f>
        <v/>
      </c>
      <c r="L548" s="26" t="str">
        <f>IF($A548="","",MIN($D548,MAX(0,SUMIFS(tblIssues[Qty Issued],tblIssues[Item Name],$A548)-$K548)))</f>
        <v/>
      </c>
      <c r="M548" s="26" t="str">
        <f>IF($A548="","",SUMIFS(tblIssues[Qty Issued],tblIssues[Lot Number],$B548))</f>
        <v/>
      </c>
      <c r="N548" s="26" t="str">
        <f t="shared" si="42"/>
        <v/>
      </c>
      <c r="O548" s="26" t="str">
        <f t="shared" si="43"/>
        <v/>
      </c>
      <c r="P548" s="21" t="str">
        <f t="shared" si="44"/>
        <v/>
      </c>
      <c r="Q548" s="52" t="str">
        <f>IF($A548="","",IF($O548&lt;=0,"Depleted",IF($I548&lt;0,"EXPIRED",IF($I548&lt;=Settings!$C$6,"CRITICAL",IF($I548&lt;=Settings!$C$5,"Expiring","In date")))))</f>
        <v/>
      </c>
    </row>
    <row r="549" spans="1:17" x14ac:dyDescent="0.35">
      <c r="A549" s="90" t="str">
        <f>IF(Receipts!$D552="","",Receipts!$D552)</f>
        <v/>
      </c>
      <c r="B549" s="18" t="str">
        <f>IF(Receipts!$C552="","",Receipts!$C552)</f>
        <v/>
      </c>
      <c r="C549" s="18" t="str">
        <f>IF($A549="","",IFERROR(INDEX(Items!$B$5:$B$597,MATCH($A549,Items!$A$5:$A$597,0)),""))</f>
        <v/>
      </c>
      <c r="D549" s="23" t="str">
        <f>IF($A549="","",N(Receipts!$G552))</f>
        <v/>
      </c>
      <c r="E549" s="20" t="str">
        <f>IF($A549="","",IFERROR(INDEX(Items!$D$5:$D$597,MATCH($A549,Items!$A$5:$A$597,0)),0))</f>
        <v/>
      </c>
      <c r="F549" s="21" t="str">
        <f t="shared" si="40"/>
        <v/>
      </c>
      <c r="G549" s="25" t="str">
        <f>IF(Receipts!$I552="","",Receipts!$I552)</f>
        <v/>
      </c>
      <c r="H549" s="25" t="str">
        <f>IF(Receipts!$H552="","",Receipts!$H552)</f>
        <v/>
      </c>
      <c r="I549" s="26" t="str">
        <f t="shared" ca="1" si="41"/>
        <v/>
      </c>
      <c r="J549" s="26" t="str">
        <f>IF($A549="","",COUNTIFS(tblReceipts[Item Name],$A549,tblReceipts[Expiry Date],"&lt;"&amp;$H549)+COUNTIFS(tblReceipts[Item Name],$A549,tblReceipts[Expiry Date],$H549,tblReceipts[Lot Number],"&lt;="&amp;Receipts!$C552))</f>
        <v/>
      </c>
      <c r="K549" s="26" t="str">
        <f>IF($A549="","",SUMIFS(tblReceipts[Qty Received],tblReceipts[Item Name],$A549,tblReceipts[Expiry Date],"&lt;"&amp;$H549)+SUMIFS(tblReceipts[Qty Received],tblReceipts[Item Name],$A549,tblReceipts[Expiry Date],$H549,tblReceipts[Lot Number],"&lt;"&amp;Receipts!$C552))</f>
        <v/>
      </c>
      <c r="L549" s="26" t="str">
        <f>IF($A549="","",MIN($D549,MAX(0,SUMIFS(tblIssues[Qty Issued],tblIssues[Item Name],$A549)-$K549)))</f>
        <v/>
      </c>
      <c r="M549" s="26" t="str">
        <f>IF($A549="","",SUMIFS(tblIssues[Qty Issued],tblIssues[Lot Number],$B549))</f>
        <v/>
      </c>
      <c r="N549" s="26" t="str">
        <f t="shared" si="42"/>
        <v/>
      </c>
      <c r="O549" s="26" t="str">
        <f t="shared" si="43"/>
        <v/>
      </c>
      <c r="P549" s="21" t="str">
        <f t="shared" si="44"/>
        <v/>
      </c>
      <c r="Q549" s="52" t="str">
        <f>IF($A549="","",IF($O549&lt;=0,"Depleted",IF($I549&lt;0,"EXPIRED",IF($I549&lt;=Settings!$C$6,"CRITICAL",IF($I549&lt;=Settings!$C$5,"Expiring","In date")))))</f>
        <v/>
      </c>
    </row>
    <row r="550" spans="1:17" x14ac:dyDescent="0.35">
      <c r="A550" s="90" t="str">
        <f>IF(Receipts!$D553="","",Receipts!$D553)</f>
        <v/>
      </c>
      <c r="B550" s="18" t="str">
        <f>IF(Receipts!$C553="","",Receipts!$C553)</f>
        <v/>
      </c>
      <c r="C550" s="18" t="str">
        <f>IF($A550="","",IFERROR(INDEX(Items!$B$5:$B$597,MATCH($A550,Items!$A$5:$A$597,0)),""))</f>
        <v/>
      </c>
      <c r="D550" s="23" t="str">
        <f>IF($A550="","",N(Receipts!$G553))</f>
        <v/>
      </c>
      <c r="E550" s="20" t="str">
        <f>IF($A550="","",IFERROR(INDEX(Items!$D$5:$D$597,MATCH($A550,Items!$A$5:$A$597,0)),0))</f>
        <v/>
      </c>
      <c r="F550" s="21" t="str">
        <f t="shared" si="40"/>
        <v/>
      </c>
      <c r="G550" s="25" t="str">
        <f>IF(Receipts!$I553="","",Receipts!$I553)</f>
        <v/>
      </c>
      <c r="H550" s="25" t="str">
        <f>IF(Receipts!$H553="","",Receipts!$H553)</f>
        <v/>
      </c>
      <c r="I550" s="26" t="str">
        <f t="shared" ca="1" si="41"/>
        <v/>
      </c>
      <c r="J550" s="26" t="str">
        <f>IF($A550="","",COUNTIFS(tblReceipts[Item Name],$A550,tblReceipts[Expiry Date],"&lt;"&amp;$H550)+COUNTIFS(tblReceipts[Item Name],$A550,tblReceipts[Expiry Date],$H550,tblReceipts[Lot Number],"&lt;="&amp;Receipts!$C553))</f>
        <v/>
      </c>
      <c r="K550" s="26" t="str">
        <f>IF($A550="","",SUMIFS(tblReceipts[Qty Received],tblReceipts[Item Name],$A550,tblReceipts[Expiry Date],"&lt;"&amp;$H550)+SUMIFS(tblReceipts[Qty Received],tblReceipts[Item Name],$A550,tblReceipts[Expiry Date],$H550,tblReceipts[Lot Number],"&lt;"&amp;Receipts!$C553))</f>
        <v/>
      </c>
      <c r="L550" s="26" t="str">
        <f>IF($A550="","",MIN($D550,MAX(0,SUMIFS(tblIssues[Qty Issued],tblIssues[Item Name],$A550)-$K550)))</f>
        <v/>
      </c>
      <c r="M550" s="26" t="str">
        <f>IF($A550="","",SUMIFS(tblIssues[Qty Issued],tblIssues[Lot Number],$B550))</f>
        <v/>
      </c>
      <c r="N550" s="26" t="str">
        <f t="shared" si="42"/>
        <v/>
      </c>
      <c r="O550" s="26" t="str">
        <f t="shared" si="43"/>
        <v/>
      </c>
      <c r="P550" s="21" t="str">
        <f t="shared" si="44"/>
        <v/>
      </c>
      <c r="Q550" s="52" t="str">
        <f>IF($A550="","",IF($O550&lt;=0,"Depleted",IF($I550&lt;0,"EXPIRED",IF($I550&lt;=Settings!$C$6,"CRITICAL",IF($I550&lt;=Settings!$C$5,"Expiring","In date")))))</f>
        <v/>
      </c>
    </row>
    <row r="551" spans="1:17" x14ac:dyDescent="0.35">
      <c r="A551" s="90" t="str">
        <f>IF(Receipts!$D554="","",Receipts!$D554)</f>
        <v/>
      </c>
      <c r="B551" s="18" t="str">
        <f>IF(Receipts!$C554="","",Receipts!$C554)</f>
        <v/>
      </c>
      <c r="C551" s="18" t="str">
        <f>IF($A551="","",IFERROR(INDEX(Items!$B$5:$B$597,MATCH($A551,Items!$A$5:$A$597,0)),""))</f>
        <v/>
      </c>
      <c r="D551" s="23" t="str">
        <f>IF($A551="","",N(Receipts!$G554))</f>
        <v/>
      </c>
      <c r="E551" s="20" t="str">
        <f>IF($A551="","",IFERROR(INDEX(Items!$D$5:$D$597,MATCH($A551,Items!$A$5:$A$597,0)),0))</f>
        <v/>
      </c>
      <c r="F551" s="21" t="str">
        <f t="shared" si="40"/>
        <v/>
      </c>
      <c r="G551" s="25" t="str">
        <f>IF(Receipts!$I554="","",Receipts!$I554)</f>
        <v/>
      </c>
      <c r="H551" s="25" t="str">
        <f>IF(Receipts!$H554="","",Receipts!$H554)</f>
        <v/>
      </c>
      <c r="I551" s="26" t="str">
        <f t="shared" ca="1" si="41"/>
        <v/>
      </c>
      <c r="J551" s="26" t="str">
        <f>IF($A551="","",COUNTIFS(tblReceipts[Item Name],$A551,tblReceipts[Expiry Date],"&lt;"&amp;$H551)+COUNTIFS(tblReceipts[Item Name],$A551,tblReceipts[Expiry Date],$H551,tblReceipts[Lot Number],"&lt;="&amp;Receipts!$C554))</f>
        <v/>
      </c>
      <c r="K551" s="26" t="str">
        <f>IF($A551="","",SUMIFS(tblReceipts[Qty Received],tblReceipts[Item Name],$A551,tblReceipts[Expiry Date],"&lt;"&amp;$H551)+SUMIFS(tblReceipts[Qty Received],tblReceipts[Item Name],$A551,tblReceipts[Expiry Date],$H551,tblReceipts[Lot Number],"&lt;"&amp;Receipts!$C554))</f>
        <v/>
      </c>
      <c r="L551" s="26" t="str">
        <f>IF($A551="","",MIN($D551,MAX(0,SUMIFS(tblIssues[Qty Issued],tblIssues[Item Name],$A551)-$K551)))</f>
        <v/>
      </c>
      <c r="M551" s="26" t="str">
        <f>IF($A551="","",SUMIFS(tblIssues[Qty Issued],tblIssues[Lot Number],$B551))</f>
        <v/>
      </c>
      <c r="N551" s="26" t="str">
        <f t="shared" si="42"/>
        <v/>
      </c>
      <c r="O551" s="26" t="str">
        <f t="shared" si="43"/>
        <v/>
      </c>
      <c r="P551" s="21" t="str">
        <f t="shared" si="44"/>
        <v/>
      </c>
      <c r="Q551" s="52" t="str">
        <f>IF($A551="","",IF($O551&lt;=0,"Depleted",IF($I551&lt;0,"EXPIRED",IF($I551&lt;=Settings!$C$6,"CRITICAL",IF($I551&lt;=Settings!$C$5,"Expiring","In date")))))</f>
        <v/>
      </c>
    </row>
    <row r="552" spans="1:17" x14ac:dyDescent="0.35">
      <c r="A552" s="90" t="str">
        <f>IF(Receipts!$D555="","",Receipts!$D555)</f>
        <v/>
      </c>
      <c r="B552" s="18" t="str">
        <f>IF(Receipts!$C555="","",Receipts!$C555)</f>
        <v/>
      </c>
      <c r="C552" s="18" t="str">
        <f>IF($A552="","",IFERROR(INDEX(Items!$B$5:$B$597,MATCH($A552,Items!$A$5:$A$597,0)),""))</f>
        <v/>
      </c>
      <c r="D552" s="23" t="str">
        <f>IF($A552="","",N(Receipts!$G555))</f>
        <v/>
      </c>
      <c r="E552" s="20" t="str">
        <f>IF($A552="","",IFERROR(INDEX(Items!$D$5:$D$597,MATCH($A552,Items!$A$5:$A$597,0)),0))</f>
        <v/>
      </c>
      <c r="F552" s="21" t="str">
        <f t="shared" si="40"/>
        <v/>
      </c>
      <c r="G552" s="25" t="str">
        <f>IF(Receipts!$I555="","",Receipts!$I555)</f>
        <v/>
      </c>
      <c r="H552" s="25" t="str">
        <f>IF(Receipts!$H555="","",Receipts!$H555)</f>
        <v/>
      </c>
      <c r="I552" s="26" t="str">
        <f t="shared" ca="1" si="41"/>
        <v/>
      </c>
      <c r="J552" s="26" t="str">
        <f>IF($A552="","",COUNTIFS(tblReceipts[Item Name],$A552,tblReceipts[Expiry Date],"&lt;"&amp;$H552)+COUNTIFS(tblReceipts[Item Name],$A552,tblReceipts[Expiry Date],$H552,tblReceipts[Lot Number],"&lt;="&amp;Receipts!$C555))</f>
        <v/>
      </c>
      <c r="K552" s="26" t="str">
        <f>IF($A552="","",SUMIFS(tblReceipts[Qty Received],tblReceipts[Item Name],$A552,tblReceipts[Expiry Date],"&lt;"&amp;$H552)+SUMIFS(tblReceipts[Qty Received],tblReceipts[Item Name],$A552,tblReceipts[Expiry Date],$H552,tblReceipts[Lot Number],"&lt;"&amp;Receipts!$C555))</f>
        <v/>
      </c>
      <c r="L552" s="26" t="str">
        <f>IF($A552="","",MIN($D552,MAX(0,SUMIFS(tblIssues[Qty Issued],tblIssues[Item Name],$A552)-$K552)))</f>
        <v/>
      </c>
      <c r="M552" s="26" t="str">
        <f>IF($A552="","",SUMIFS(tblIssues[Qty Issued],tblIssues[Lot Number],$B552))</f>
        <v/>
      </c>
      <c r="N552" s="26" t="str">
        <f t="shared" si="42"/>
        <v/>
      </c>
      <c r="O552" s="26" t="str">
        <f t="shared" si="43"/>
        <v/>
      </c>
      <c r="P552" s="21" t="str">
        <f t="shared" si="44"/>
        <v/>
      </c>
      <c r="Q552" s="52" t="str">
        <f>IF($A552="","",IF($O552&lt;=0,"Depleted",IF($I552&lt;0,"EXPIRED",IF($I552&lt;=Settings!$C$6,"CRITICAL",IF($I552&lt;=Settings!$C$5,"Expiring","In date")))))</f>
        <v/>
      </c>
    </row>
    <row r="553" spans="1:17" x14ac:dyDescent="0.35">
      <c r="A553" s="90" t="str">
        <f>IF(Receipts!$D556="","",Receipts!$D556)</f>
        <v/>
      </c>
      <c r="B553" s="18" t="str">
        <f>IF(Receipts!$C556="","",Receipts!$C556)</f>
        <v/>
      </c>
      <c r="C553" s="18" t="str">
        <f>IF($A553="","",IFERROR(INDEX(Items!$B$5:$B$597,MATCH($A553,Items!$A$5:$A$597,0)),""))</f>
        <v/>
      </c>
      <c r="D553" s="23" t="str">
        <f>IF($A553="","",N(Receipts!$G556))</f>
        <v/>
      </c>
      <c r="E553" s="20" t="str">
        <f>IF($A553="","",IFERROR(INDEX(Items!$D$5:$D$597,MATCH($A553,Items!$A$5:$A$597,0)),0))</f>
        <v/>
      </c>
      <c r="F553" s="21" t="str">
        <f t="shared" si="40"/>
        <v/>
      </c>
      <c r="G553" s="25" t="str">
        <f>IF(Receipts!$I556="","",Receipts!$I556)</f>
        <v/>
      </c>
      <c r="H553" s="25" t="str">
        <f>IF(Receipts!$H556="","",Receipts!$H556)</f>
        <v/>
      </c>
      <c r="I553" s="26" t="str">
        <f t="shared" ca="1" si="41"/>
        <v/>
      </c>
      <c r="J553" s="26" t="str">
        <f>IF($A553="","",COUNTIFS(tblReceipts[Item Name],$A553,tblReceipts[Expiry Date],"&lt;"&amp;$H553)+COUNTIFS(tblReceipts[Item Name],$A553,tblReceipts[Expiry Date],$H553,tblReceipts[Lot Number],"&lt;="&amp;Receipts!$C556))</f>
        <v/>
      </c>
      <c r="K553" s="26" t="str">
        <f>IF($A553="","",SUMIFS(tblReceipts[Qty Received],tblReceipts[Item Name],$A553,tblReceipts[Expiry Date],"&lt;"&amp;$H553)+SUMIFS(tblReceipts[Qty Received],tblReceipts[Item Name],$A553,tblReceipts[Expiry Date],$H553,tblReceipts[Lot Number],"&lt;"&amp;Receipts!$C556))</f>
        <v/>
      </c>
      <c r="L553" s="26" t="str">
        <f>IF($A553="","",MIN($D553,MAX(0,SUMIFS(tblIssues[Qty Issued],tblIssues[Item Name],$A553)-$K553)))</f>
        <v/>
      </c>
      <c r="M553" s="26" t="str">
        <f>IF($A553="","",SUMIFS(tblIssues[Qty Issued],tblIssues[Lot Number],$B553))</f>
        <v/>
      </c>
      <c r="N553" s="26" t="str">
        <f t="shared" si="42"/>
        <v/>
      </c>
      <c r="O553" s="26" t="str">
        <f t="shared" si="43"/>
        <v/>
      </c>
      <c r="P553" s="21" t="str">
        <f t="shared" si="44"/>
        <v/>
      </c>
      <c r="Q553" s="52" t="str">
        <f>IF($A553="","",IF($O553&lt;=0,"Depleted",IF($I553&lt;0,"EXPIRED",IF($I553&lt;=Settings!$C$6,"CRITICAL",IF($I553&lt;=Settings!$C$5,"Expiring","In date")))))</f>
        <v/>
      </c>
    </row>
    <row r="554" spans="1:17" x14ac:dyDescent="0.35">
      <c r="A554" s="90" t="str">
        <f>IF(Receipts!$D557="","",Receipts!$D557)</f>
        <v/>
      </c>
      <c r="B554" s="18" t="str">
        <f>IF(Receipts!$C557="","",Receipts!$C557)</f>
        <v/>
      </c>
      <c r="C554" s="18" t="str">
        <f>IF($A554="","",IFERROR(INDEX(Items!$B$5:$B$597,MATCH($A554,Items!$A$5:$A$597,0)),""))</f>
        <v/>
      </c>
      <c r="D554" s="23" t="str">
        <f>IF($A554="","",N(Receipts!$G557))</f>
        <v/>
      </c>
      <c r="E554" s="20" t="str">
        <f>IF($A554="","",IFERROR(INDEX(Items!$D$5:$D$597,MATCH($A554,Items!$A$5:$A$597,0)),0))</f>
        <v/>
      </c>
      <c r="F554" s="21" t="str">
        <f t="shared" si="40"/>
        <v/>
      </c>
      <c r="G554" s="25" t="str">
        <f>IF(Receipts!$I557="","",Receipts!$I557)</f>
        <v/>
      </c>
      <c r="H554" s="25" t="str">
        <f>IF(Receipts!$H557="","",Receipts!$H557)</f>
        <v/>
      </c>
      <c r="I554" s="26" t="str">
        <f t="shared" ca="1" si="41"/>
        <v/>
      </c>
      <c r="J554" s="26" t="str">
        <f>IF($A554="","",COUNTIFS(tblReceipts[Item Name],$A554,tblReceipts[Expiry Date],"&lt;"&amp;$H554)+COUNTIFS(tblReceipts[Item Name],$A554,tblReceipts[Expiry Date],$H554,tblReceipts[Lot Number],"&lt;="&amp;Receipts!$C557))</f>
        <v/>
      </c>
      <c r="K554" s="26" t="str">
        <f>IF($A554="","",SUMIFS(tblReceipts[Qty Received],tblReceipts[Item Name],$A554,tblReceipts[Expiry Date],"&lt;"&amp;$H554)+SUMIFS(tblReceipts[Qty Received],tblReceipts[Item Name],$A554,tblReceipts[Expiry Date],$H554,tblReceipts[Lot Number],"&lt;"&amp;Receipts!$C557))</f>
        <v/>
      </c>
      <c r="L554" s="26" t="str">
        <f>IF($A554="","",MIN($D554,MAX(0,SUMIFS(tblIssues[Qty Issued],tblIssues[Item Name],$A554)-$K554)))</f>
        <v/>
      </c>
      <c r="M554" s="26" t="str">
        <f>IF($A554="","",SUMIFS(tblIssues[Qty Issued],tblIssues[Lot Number],$B554))</f>
        <v/>
      </c>
      <c r="N554" s="26" t="str">
        <f t="shared" si="42"/>
        <v/>
      </c>
      <c r="O554" s="26" t="str">
        <f t="shared" si="43"/>
        <v/>
      </c>
      <c r="P554" s="21" t="str">
        <f t="shared" si="44"/>
        <v/>
      </c>
      <c r="Q554" s="52" t="str">
        <f>IF($A554="","",IF($O554&lt;=0,"Depleted",IF($I554&lt;0,"EXPIRED",IF($I554&lt;=Settings!$C$6,"CRITICAL",IF($I554&lt;=Settings!$C$5,"Expiring","In date")))))</f>
        <v/>
      </c>
    </row>
    <row r="555" spans="1:17" x14ac:dyDescent="0.35">
      <c r="A555" s="90" t="str">
        <f>IF(Receipts!$D558="","",Receipts!$D558)</f>
        <v/>
      </c>
      <c r="B555" s="18" t="str">
        <f>IF(Receipts!$C558="","",Receipts!$C558)</f>
        <v/>
      </c>
      <c r="C555" s="18" t="str">
        <f>IF($A555="","",IFERROR(INDEX(Items!$B$5:$B$597,MATCH($A555,Items!$A$5:$A$597,0)),""))</f>
        <v/>
      </c>
      <c r="D555" s="23" t="str">
        <f>IF($A555="","",N(Receipts!$G558))</f>
        <v/>
      </c>
      <c r="E555" s="20" t="str">
        <f>IF($A555="","",IFERROR(INDEX(Items!$D$5:$D$597,MATCH($A555,Items!$A$5:$A$597,0)),0))</f>
        <v/>
      </c>
      <c r="F555" s="21" t="str">
        <f t="shared" si="40"/>
        <v/>
      </c>
      <c r="G555" s="25" t="str">
        <f>IF(Receipts!$I558="","",Receipts!$I558)</f>
        <v/>
      </c>
      <c r="H555" s="25" t="str">
        <f>IF(Receipts!$H558="","",Receipts!$H558)</f>
        <v/>
      </c>
      <c r="I555" s="26" t="str">
        <f t="shared" ca="1" si="41"/>
        <v/>
      </c>
      <c r="J555" s="26" t="str">
        <f>IF($A555="","",COUNTIFS(tblReceipts[Item Name],$A555,tblReceipts[Expiry Date],"&lt;"&amp;$H555)+COUNTIFS(tblReceipts[Item Name],$A555,tblReceipts[Expiry Date],$H555,tblReceipts[Lot Number],"&lt;="&amp;Receipts!$C558))</f>
        <v/>
      </c>
      <c r="K555" s="26" t="str">
        <f>IF($A555="","",SUMIFS(tblReceipts[Qty Received],tblReceipts[Item Name],$A555,tblReceipts[Expiry Date],"&lt;"&amp;$H555)+SUMIFS(tblReceipts[Qty Received],tblReceipts[Item Name],$A555,tblReceipts[Expiry Date],$H555,tblReceipts[Lot Number],"&lt;"&amp;Receipts!$C558))</f>
        <v/>
      </c>
      <c r="L555" s="26" t="str">
        <f>IF($A555="","",MIN($D555,MAX(0,SUMIFS(tblIssues[Qty Issued],tblIssues[Item Name],$A555)-$K555)))</f>
        <v/>
      </c>
      <c r="M555" s="26" t="str">
        <f>IF($A555="","",SUMIFS(tblIssues[Qty Issued],tblIssues[Lot Number],$B555))</f>
        <v/>
      </c>
      <c r="N555" s="26" t="str">
        <f t="shared" si="42"/>
        <v/>
      </c>
      <c r="O555" s="26" t="str">
        <f t="shared" si="43"/>
        <v/>
      </c>
      <c r="P555" s="21" t="str">
        <f t="shared" si="44"/>
        <v/>
      </c>
      <c r="Q555" s="52" t="str">
        <f>IF($A555="","",IF($O555&lt;=0,"Depleted",IF($I555&lt;0,"EXPIRED",IF($I555&lt;=Settings!$C$6,"CRITICAL",IF($I555&lt;=Settings!$C$5,"Expiring","In date")))))</f>
        <v/>
      </c>
    </row>
    <row r="556" spans="1:17" x14ac:dyDescent="0.35">
      <c r="A556" s="90" t="str">
        <f>IF(Receipts!$D559="","",Receipts!$D559)</f>
        <v/>
      </c>
      <c r="B556" s="18" t="str">
        <f>IF(Receipts!$C559="","",Receipts!$C559)</f>
        <v/>
      </c>
      <c r="C556" s="18" t="str">
        <f>IF($A556="","",IFERROR(INDEX(Items!$B$5:$B$597,MATCH($A556,Items!$A$5:$A$597,0)),""))</f>
        <v/>
      </c>
      <c r="D556" s="23" t="str">
        <f>IF($A556="","",N(Receipts!$G559))</f>
        <v/>
      </c>
      <c r="E556" s="20" t="str">
        <f>IF($A556="","",IFERROR(INDEX(Items!$D$5:$D$597,MATCH($A556,Items!$A$5:$A$597,0)),0))</f>
        <v/>
      </c>
      <c r="F556" s="21" t="str">
        <f t="shared" si="40"/>
        <v/>
      </c>
      <c r="G556" s="25" t="str">
        <f>IF(Receipts!$I559="","",Receipts!$I559)</f>
        <v/>
      </c>
      <c r="H556" s="25" t="str">
        <f>IF(Receipts!$H559="","",Receipts!$H559)</f>
        <v/>
      </c>
      <c r="I556" s="26" t="str">
        <f t="shared" ca="1" si="41"/>
        <v/>
      </c>
      <c r="J556" s="26" t="str">
        <f>IF($A556="","",COUNTIFS(tblReceipts[Item Name],$A556,tblReceipts[Expiry Date],"&lt;"&amp;$H556)+COUNTIFS(tblReceipts[Item Name],$A556,tblReceipts[Expiry Date],$H556,tblReceipts[Lot Number],"&lt;="&amp;Receipts!$C559))</f>
        <v/>
      </c>
      <c r="K556" s="26" t="str">
        <f>IF($A556="","",SUMIFS(tblReceipts[Qty Received],tblReceipts[Item Name],$A556,tblReceipts[Expiry Date],"&lt;"&amp;$H556)+SUMIFS(tblReceipts[Qty Received],tblReceipts[Item Name],$A556,tblReceipts[Expiry Date],$H556,tblReceipts[Lot Number],"&lt;"&amp;Receipts!$C559))</f>
        <v/>
      </c>
      <c r="L556" s="26" t="str">
        <f>IF($A556="","",MIN($D556,MAX(0,SUMIFS(tblIssues[Qty Issued],tblIssues[Item Name],$A556)-$K556)))</f>
        <v/>
      </c>
      <c r="M556" s="26" t="str">
        <f>IF($A556="","",SUMIFS(tblIssues[Qty Issued],tblIssues[Lot Number],$B556))</f>
        <v/>
      </c>
      <c r="N556" s="26" t="str">
        <f t="shared" si="42"/>
        <v/>
      </c>
      <c r="O556" s="26" t="str">
        <f t="shared" si="43"/>
        <v/>
      </c>
      <c r="P556" s="21" t="str">
        <f t="shared" si="44"/>
        <v/>
      </c>
      <c r="Q556" s="52" t="str">
        <f>IF($A556="","",IF($O556&lt;=0,"Depleted",IF($I556&lt;0,"EXPIRED",IF($I556&lt;=Settings!$C$6,"CRITICAL",IF($I556&lt;=Settings!$C$5,"Expiring","In date")))))</f>
        <v/>
      </c>
    </row>
    <row r="557" spans="1:17" x14ac:dyDescent="0.35">
      <c r="A557" s="90" t="str">
        <f>IF(Receipts!$D560="","",Receipts!$D560)</f>
        <v/>
      </c>
      <c r="B557" s="18" t="str">
        <f>IF(Receipts!$C560="","",Receipts!$C560)</f>
        <v/>
      </c>
      <c r="C557" s="18" t="str">
        <f>IF($A557="","",IFERROR(INDEX(Items!$B$5:$B$597,MATCH($A557,Items!$A$5:$A$597,0)),""))</f>
        <v/>
      </c>
      <c r="D557" s="23" t="str">
        <f>IF($A557="","",N(Receipts!$G560))</f>
        <v/>
      </c>
      <c r="E557" s="20" t="str">
        <f>IF($A557="","",IFERROR(INDEX(Items!$D$5:$D$597,MATCH($A557,Items!$A$5:$A$597,0)),0))</f>
        <v/>
      </c>
      <c r="F557" s="21" t="str">
        <f t="shared" si="40"/>
        <v/>
      </c>
      <c r="G557" s="25" t="str">
        <f>IF(Receipts!$I560="","",Receipts!$I560)</f>
        <v/>
      </c>
      <c r="H557" s="25" t="str">
        <f>IF(Receipts!$H560="","",Receipts!$H560)</f>
        <v/>
      </c>
      <c r="I557" s="26" t="str">
        <f t="shared" ca="1" si="41"/>
        <v/>
      </c>
      <c r="J557" s="26" t="str">
        <f>IF($A557="","",COUNTIFS(tblReceipts[Item Name],$A557,tblReceipts[Expiry Date],"&lt;"&amp;$H557)+COUNTIFS(tblReceipts[Item Name],$A557,tblReceipts[Expiry Date],$H557,tblReceipts[Lot Number],"&lt;="&amp;Receipts!$C560))</f>
        <v/>
      </c>
      <c r="K557" s="26" t="str">
        <f>IF($A557="","",SUMIFS(tblReceipts[Qty Received],tblReceipts[Item Name],$A557,tblReceipts[Expiry Date],"&lt;"&amp;$H557)+SUMIFS(tblReceipts[Qty Received],tblReceipts[Item Name],$A557,tblReceipts[Expiry Date],$H557,tblReceipts[Lot Number],"&lt;"&amp;Receipts!$C560))</f>
        <v/>
      </c>
      <c r="L557" s="26" t="str">
        <f>IF($A557="","",MIN($D557,MAX(0,SUMIFS(tblIssues[Qty Issued],tblIssues[Item Name],$A557)-$K557)))</f>
        <v/>
      </c>
      <c r="M557" s="26" t="str">
        <f>IF($A557="","",SUMIFS(tblIssues[Qty Issued],tblIssues[Lot Number],$B557))</f>
        <v/>
      </c>
      <c r="N557" s="26" t="str">
        <f t="shared" si="42"/>
        <v/>
      </c>
      <c r="O557" s="26" t="str">
        <f t="shared" si="43"/>
        <v/>
      </c>
      <c r="P557" s="21" t="str">
        <f t="shared" si="44"/>
        <v/>
      </c>
      <c r="Q557" s="52" t="str">
        <f>IF($A557="","",IF($O557&lt;=0,"Depleted",IF($I557&lt;0,"EXPIRED",IF($I557&lt;=Settings!$C$6,"CRITICAL",IF($I557&lt;=Settings!$C$5,"Expiring","In date")))))</f>
        <v/>
      </c>
    </row>
    <row r="558" spans="1:17" x14ac:dyDescent="0.35">
      <c r="A558" s="90" t="str">
        <f>IF(Receipts!$D561="","",Receipts!$D561)</f>
        <v/>
      </c>
      <c r="B558" s="18" t="str">
        <f>IF(Receipts!$C561="","",Receipts!$C561)</f>
        <v/>
      </c>
      <c r="C558" s="18" t="str">
        <f>IF($A558="","",IFERROR(INDEX(Items!$B$5:$B$597,MATCH($A558,Items!$A$5:$A$597,0)),""))</f>
        <v/>
      </c>
      <c r="D558" s="23" t="str">
        <f>IF($A558="","",N(Receipts!$G561))</f>
        <v/>
      </c>
      <c r="E558" s="20" t="str">
        <f>IF($A558="","",IFERROR(INDEX(Items!$D$5:$D$597,MATCH($A558,Items!$A$5:$A$597,0)),0))</f>
        <v/>
      </c>
      <c r="F558" s="21" t="str">
        <f t="shared" si="40"/>
        <v/>
      </c>
      <c r="G558" s="25" t="str">
        <f>IF(Receipts!$I561="","",Receipts!$I561)</f>
        <v/>
      </c>
      <c r="H558" s="25" t="str">
        <f>IF(Receipts!$H561="","",Receipts!$H561)</f>
        <v/>
      </c>
      <c r="I558" s="26" t="str">
        <f t="shared" ca="1" si="41"/>
        <v/>
      </c>
      <c r="J558" s="26" t="str">
        <f>IF($A558="","",COUNTIFS(tblReceipts[Item Name],$A558,tblReceipts[Expiry Date],"&lt;"&amp;$H558)+COUNTIFS(tblReceipts[Item Name],$A558,tblReceipts[Expiry Date],$H558,tblReceipts[Lot Number],"&lt;="&amp;Receipts!$C561))</f>
        <v/>
      </c>
      <c r="K558" s="26" t="str">
        <f>IF($A558="","",SUMIFS(tblReceipts[Qty Received],tblReceipts[Item Name],$A558,tblReceipts[Expiry Date],"&lt;"&amp;$H558)+SUMIFS(tblReceipts[Qty Received],tblReceipts[Item Name],$A558,tblReceipts[Expiry Date],$H558,tblReceipts[Lot Number],"&lt;"&amp;Receipts!$C561))</f>
        <v/>
      </c>
      <c r="L558" s="26" t="str">
        <f>IF($A558="","",MIN($D558,MAX(0,SUMIFS(tblIssues[Qty Issued],tblIssues[Item Name],$A558)-$K558)))</f>
        <v/>
      </c>
      <c r="M558" s="26" t="str">
        <f>IF($A558="","",SUMIFS(tblIssues[Qty Issued],tblIssues[Lot Number],$B558))</f>
        <v/>
      </c>
      <c r="N558" s="26" t="str">
        <f t="shared" si="42"/>
        <v/>
      </c>
      <c r="O558" s="26" t="str">
        <f t="shared" si="43"/>
        <v/>
      </c>
      <c r="P558" s="21" t="str">
        <f t="shared" si="44"/>
        <v/>
      </c>
      <c r="Q558" s="52" t="str">
        <f>IF($A558="","",IF($O558&lt;=0,"Depleted",IF($I558&lt;0,"EXPIRED",IF($I558&lt;=Settings!$C$6,"CRITICAL",IF($I558&lt;=Settings!$C$5,"Expiring","In date")))))</f>
        <v/>
      </c>
    </row>
    <row r="559" spans="1:17" x14ac:dyDescent="0.35">
      <c r="A559" s="90" t="str">
        <f>IF(Receipts!$D562="","",Receipts!$D562)</f>
        <v/>
      </c>
      <c r="B559" s="18" t="str">
        <f>IF(Receipts!$C562="","",Receipts!$C562)</f>
        <v/>
      </c>
      <c r="C559" s="18" t="str">
        <f>IF($A559="","",IFERROR(INDEX(Items!$B$5:$B$597,MATCH($A559,Items!$A$5:$A$597,0)),""))</f>
        <v/>
      </c>
      <c r="D559" s="23" t="str">
        <f>IF($A559="","",N(Receipts!$G562))</f>
        <v/>
      </c>
      <c r="E559" s="20" t="str">
        <f>IF($A559="","",IFERROR(INDEX(Items!$D$5:$D$597,MATCH($A559,Items!$A$5:$A$597,0)),0))</f>
        <v/>
      </c>
      <c r="F559" s="21" t="str">
        <f t="shared" si="40"/>
        <v/>
      </c>
      <c r="G559" s="25" t="str">
        <f>IF(Receipts!$I562="","",Receipts!$I562)</f>
        <v/>
      </c>
      <c r="H559" s="25" t="str">
        <f>IF(Receipts!$H562="","",Receipts!$H562)</f>
        <v/>
      </c>
      <c r="I559" s="26" t="str">
        <f t="shared" ca="1" si="41"/>
        <v/>
      </c>
      <c r="J559" s="26" t="str">
        <f>IF($A559="","",COUNTIFS(tblReceipts[Item Name],$A559,tblReceipts[Expiry Date],"&lt;"&amp;$H559)+COUNTIFS(tblReceipts[Item Name],$A559,tblReceipts[Expiry Date],$H559,tblReceipts[Lot Number],"&lt;="&amp;Receipts!$C562))</f>
        <v/>
      </c>
      <c r="K559" s="26" t="str">
        <f>IF($A559="","",SUMIFS(tblReceipts[Qty Received],tblReceipts[Item Name],$A559,tblReceipts[Expiry Date],"&lt;"&amp;$H559)+SUMIFS(tblReceipts[Qty Received],tblReceipts[Item Name],$A559,tblReceipts[Expiry Date],$H559,tblReceipts[Lot Number],"&lt;"&amp;Receipts!$C562))</f>
        <v/>
      </c>
      <c r="L559" s="26" t="str">
        <f>IF($A559="","",MIN($D559,MAX(0,SUMIFS(tblIssues[Qty Issued],tblIssues[Item Name],$A559)-$K559)))</f>
        <v/>
      </c>
      <c r="M559" s="26" t="str">
        <f>IF($A559="","",SUMIFS(tblIssues[Qty Issued],tblIssues[Lot Number],$B559))</f>
        <v/>
      </c>
      <c r="N559" s="26" t="str">
        <f t="shared" si="42"/>
        <v/>
      </c>
      <c r="O559" s="26" t="str">
        <f t="shared" si="43"/>
        <v/>
      </c>
      <c r="P559" s="21" t="str">
        <f t="shared" si="44"/>
        <v/>
      </c>
      <c r="Q559" s="52" t="str">
        <f>IF($A559="","",IF($O559&lt;=0,"Depleted",IF($I559&lt;0,"EXPIRED",IF($I559&lt;=Settings!$C$6,"CRITICAL",IF($I559&lt;=Settings!$C$5,"Expiring","In date")))))</f>
        <v/>
      </c>
    </row>
    <row r="560" spans="1:17" x14ac:dyDescent="0.35">
      <c r="A560" s="90" t="str">
        <f>IF(Receipts!$D563="","",Receipts!$D563)</f>
        <v/>
      </c>
      <c r="B560" s="18" t="str">
        <f>IF(Receipts!$C563="","",Receipts!$C563)</f>
        <v/>
      </c>
      <c r="C560" s="18" t="str">
        <f>IF($A560="","",IFERROR(INDEX(Items!$B$5:$B$597,MATCH($A560,Items!$A$5:$A$597,0)),""))</f>
        <v/>
      </c>
      <c r="D560" s="23" t="str">
        <f>IF($A560="","",N(Receipts!$G563))</f>
        <v/>
      </c>
      <c r="E560" s="20" t="str">
        <f>IF($A560="","",IFERROR(INDEX(Items!$D$5:$D$597,MATCH($A560,Items!$A$5:$A$597,0)),0))</f>
        <v/>
      </c>
      <c r="F560" s="21" t="str">
        <f t="shared" si="40"/>
        <v/>
      </c>
      <c r="G560" s="25" t="str">
        <f>IF(Receipts!$I563="","",Receipts!$I563)</f>
        <v/>
      </c>
      <c r="H560" s="25" t="str">
        <f>IF(Receipts!$H563="","",Receipts!$H563)</f>
        <v/>
      </c>
      <c r="I560" s="26" t="str">
        <f t="shared" ca="1" si="41"/>
        <v/>
      </c>
      <c r="J560" s="26" t="str">
        <f>IF($A560="","",COUNTIFS(tblReceipts[Item Name],$A560,tblReceipts[Expiry Date],"&lt;"&amp;$H560)+COUNTIFS(tblReceipts[Item Name],$A560,tblReceipts[Expiry Date],$H560,tblReceipts[Lot Number],"&lt;="&amp;Receipts!$C563))</f>
        <v/>
      </c>
      <c r="K560" s="26" t="str">
        <f>IF($A560="","",SUMIFS(tblReceipts[Qty Received],tblReceipts[Item Name],$A560,tblReceipts[Expiry Date],"&lt;"&amp;$H560)+SUMIFS(tblReceipts[Qty Received],tblReceipts[Item Name],$A560,tblReceipts[Expiry Date],$H560,tblReceipts[Lot Number],"&lt;"&amp;Receipts!$C563))</f>
        <v/>
      </c>
      <c r="L560" s="26" t="str">
        <f>IF($A560="","",MIN($D560,MAX(0,SUMIFS(tblIssues[Qty Issued],tblIssues[Item Name],$A560)-$K560)))</f>
        <v/>
      </c>
      <c r="M560" s="26" t="str">
        <f>IF($A560="","",SUMIFS(tblIssues[Qty Issued],tblIssues[Lot Number],$B560))</f>
        <v/>
      </c>
      <c r="N560" s="26" t="str">
        <f t="shared" si="42"/>
        <v/>
      </c>
      <c r="O560" s="26" t="str">
        <f t="shared" si="43"/>
        <v/>
      </c>
      <c r="P560" s="21" t="str">
        <f t="shared" si="44"/>
        <v/>
      </c>
      <c r="Q560" s="52" t="str">
        <f>IF($A560="","",IF($O560&lt;=0,"Depleted",IF($I560&lt;0,"EXPIRED",IF($I560&lt;=Settings!$C$6,"CRITICAL",IF($I560&lt;=Settings!$C$5,"Expiring","In date")))))</f>
        <v/>
      </c>
    </row>
    <row r="561" spans="1:17" x14ac:dyDescent="0.35">
      <c r="A561" s="90" t="str">
        <f>IF(Receipts!$D564="","",Receipts!$D564)</f>
        <v/>
      </c>
      <c r="B561" s="18" t="str">
        <f>IF(Receipts!$C564="","",Receipts!$C564)</f>
        <v/>
      </c>
      <c r="C561" s="18" t="str">
        <f>IF($A561="","",IFERROR(INDEX(Items!$B$5:$B$597,MATCH($A561,Items!$A$5:$A$597,0)),""))</f>
        <v/>
      </c>
      <c r="D561" s="23" t="str">
        <f>IF($A561="","",N(Receipts!$G564))</f>
        <v/>
      </c>
      <c r="E561" s="20" t="str">
        <f>IF($A561="","",IFERROR(INDEX(Items!$D$5:$D$597,MATCH($A561,Items!$A$5:$A$597,0)),0))</f>
        <v/>
      </c>
      <c r="F561" s="21" t="str">
        <f t="shared" si="40"/>
        <v/>
      </c>
      <c r="G561" s="25" t="str">
        <f>IF(Receipts!$I564="","",Receipts!$I564)</f>
        <v/>
      </c>
      <c r="H561" s="25" t="str">
        <f>IF(Receipts!$H564="","",Receipts!$H564)</f>
        <v/>
      </c>
      <c r="I561" s="26" t="str">
        <f t="shared" ca="1" si="41"/>
        <v/>
      </c>
      <c r="J561" s="26" t="str">
        <f>IF($A561="","",COUNTIFS(tblReceipts[Item Name],$A561,tblReceipts[Expiry Date],"&lt;"&amp;$H561)+COUNTIFS(tblReceipts[Item Name],$A561,tblReceipts[Expiry Date],$H561,tblReceipts[Lot Number],"&lt;="&amp;Receipts!$C564))</f>
        <v/>
      </c>
      <c r="K561" s="26" t="str">
        <f>IF($A561="","",SUMIFS(tblReceipts[Qty Received],tblReceipts[Item Name],$A561,tblReceipts[Expiry Date],"&lt;"&amp;$H561)+SUMIFS(tblReceipts[Qty Received],tblReceipts[Item Name],$A561,tblReceipts[Expiry Date],$H561,tblReceipts[Lot Number],"&lt;"&amp;Receipts!$C564))</f>
        <v/>
      </c>
      <c r="L561" s="26" t="str">
        <f>IF($A561="","",MIN($D561,MAX(0,SUMIFS(tblIssues[Qty Issued],tblIssues[Item Name],$A561)-$K561)))</f>
        <v/>
      </c>
      <c r="M561" s="26" t="str">
        <f>IF($A561="","",SUMIFS(tblIssues[Qty Issued],tblIssues[Lot Number],$B561))</f>
        <v/>
      </c>
      <c r="N561" s="26" t="str">
        <f t="shared" si="42"/>
        <v/>
      </c>
      <c r="O561" s="26" t="str">
        <f t="shared" si="43"/>
        <v/>
      </c>
      <c r="P561" s="21" t="str">
        <f t="shared" si="44"/>
        <v/>
      </c>
      <c r="Q561" s="52" t="str">
        <f>IF($A561="","",IF($O561&lt;=0,"Depleted",IF($I561&lt;0,"EXPIRED",IF($I561&lt;=Settings!$C$6,"CRITICAL",IF($I561&lt;=Settings!$C$5,"Expiring","In date")))))</f>
        <v/>
      </c>
    </row>
    <row r="562" spans="1:17" x14ac:dyDescent="0.35">
      <c r="A562" s="90" t="str">
        <f>IF(Receipts!$D565="","",Receipts!$D565)</f>
        <v/>
      </c>
      <c r="B562" s="18" t="str">
        <f>IF(Receipts!$C565="","",Receipts!$C565)</f>
        <v/>
      </c>
      <c r="C562" s="18" t="str">
        <f>IF($A562="","",IFERROR(INDEX(Items!$B$5:$B$597,MATCH($A562,Items!$A$5:$A$597,0)),""))</f>
        <v/>
      </c>
      <c r="D562" s="23" t="str">
        <f>IF($A562="","",N(Receipts!$G565))</f>
        <v/>
      </c>
      <c r="E562" s="20" t="str">
        <f>IF($A562="","",IFERROR(INDEX(Items!$D$5:$D$597,MATCH($A562,Items!$A$5:$A$597,0)),0))</f>
        <v/>
      </c>
      <c r="F562" s="21" t="str">
        <f t="shared" si="40"/>
        <v/>
      </c>
      <c r="G562" s="25" t="str">
        <f>IF(Receipts!$I565="","",Receipts!$I565)</f>
        <v/>
      </c>
      <c r="H562" s="25" t="str">
        <f>IF(Receipts!$H565="","",Receipts!$H565)</f>
        <v/>
      </c>
      <c r="I562" s="26" t="str">
        <f t="shared" ca="1" si="41"/>
        <v/>
      </c>
      <c r="J562" s="26" t="str">
        <f>IF($A562="","",COUNTIFS(tblReceipts[Item Name],$A562,tblReceipts[Expiry Date],"&lt;"&amp;$H562)+COUNTIFS(tblReceipts[Item Name],$A562,tblReceipts[Expiry Date],$H562,tblReceipts[Lot Number],"&lt;="&amp;Receipts!$C565))</f>
        <v/>
      </c>
      <c r="K562" s="26" t="str">
        <f>IF($A562="","",SUMIFS(tblReceipts[Qty Received],tblReceipts[Item Name],$A562,tblReceipts[Expiry Date],"&lt;"&amp;$H562)+SUMIFS(tblReceipts[Qty Received],tblReceipts[Item Name],$A562,tblReceipts[Expiry Date],$H562,tblReceipts[Lot Number],"&lt;"&amp;Receipts!$C565))</f>
        <v/>
      </c>
      <c r="L562" s="26" t="str">
        <f>IF($A562="","",MIN($D562,MAX(0,SUMIFS(tblIssues[Qty Issued],tblIssues[Item Name],$A562)-$K562)))</f>
        <v/>
      </c>
      <c r="M562" s="26" t="str">
        <f>IF($A562="","",SUMIFS(tblIssues[Qty Issued],tblIssues[Lot Number],$B562))</f>
        <v/>
      </c>
      <c r="N562" s="26" t="str">
        <f t="shared" si="42"/>
        <v/>
      </c>
      <c r="O562" s="26" t="str">
        <f t="shared" si="43"/>
        <v/>
      </c>
      <c r="P562" s="21" t="str">
        <f t="shared" si="44"/>
        <v/>
      </c>
      <c r="Q562" s="52" t="str">
        <f>IF($A562="","",IF($O562&lt;=0,"Depleted",IF($I562&lt;0,"EXPIRED",IF($I562&lt;=Settings!$C$6,"CRITICAL",IF($I562&lt;=Settings!$C$5,"Expiring","In date")))))</f>
        <v/>
      </c>
    </row>
    <row r="563" spans="1:17" x14ac:dyDescent="0.35">
      <c r="A563" s="90" t="str">
        <f>IF(Receipts!$D566="","",Receipts!$D566)</f>
        <v/>
      </c>
      <c r="B563" s="18" t="str">
        <f>IF(Receipts!$C566="","",Receipts!$C566)</f>
        <v/>
      </c>
      <c r="C563" s="18" t="str">
        <f>IF($A563="","",IFERROR(INDEX(Items!$B$5:$B$597,MATCH($A563,Items!$A$5:$A$597,0)),""))</f>
        <v/>
      </c>
      <c r="D563" s="23" t="str">
        <f>IF($A563="","",N(Receipts!$G566))</f>
        <v/>
      </c>
      <c r="E563" s="20" t="str">
        <f>IF($A563="","",IFERROR(INDEX(Items!$D$5:$D$597,MATCH($A563,Items!$A$5:$A$597,0)),0))</f>
        <v/>
      </c>
      <c r="F563" s="21" t="str">
        <f t="shared" si="40"/>
        <v/>
      </c>
      <c r="G563" s="25" t="str">
        <f>IF(Receipts!$I566="","",Receipts!$I566)</f>
        <v/>
      </c>
      <c r="H563" s="25" t="str">
        <f>IF(Receipts!$H566="","",Receipts!$H566)</f>
        <v/>
      </c>
      <c r="I563" s="26" t="str">
        <f t="shared" ca="1" si="41"/>
        <v/>
      </c>
      <c r="J563" s="26" t="str">
        <f>IF($A563="","",COUNTIFS(tblReceipts[Item Name],$A563,tblReceipts[Expiry Date],"&lt;"&amp;$H563)+COUNTIFS(tblReceipts[Item Name],$A563,tblReceipts[Expiry Date],$H563,tblReceipts[Lot Number],"&lt;="&amp;Receipts!$C566))</f>
        <v/>
      </c>
      <c r="K563" s="26" t="str">
        <f>IF($A563="","",SUMIFS(tblReceipts[Qty Received],tblReceipts[Item Name],$A563,tblReceipts[Expiry Date],"&lt;"&amp;$H563)+SUMIFS(tblReceipts[Qty Received],tblReceipts[Item Name],$A563,tblReceipts[Expiry Date],$H563,tblReceipts[Lot Number],"&lt;"&amp;Receipts!$C566))</f>
        <v/>
      </c>
      <c r="L563" s="26" t="str">
        <f>IF($A563="","",MIN($D563,MAX(0,SUMIFS(tblIssues[Qty Issued],tblIssues[Item Name],$A563)-$K563)))</f>
        <v/>
      </c>
      <c r="M563" s="26" t="str">
        <f>IF($A563="","",SUMIFS(tblIssues[Qty Issued],tblIssues[Lot Number],$B563))</f>
        <v/>
      </c>
      <c r="N563" s="26" t="str">
        <f t="shared" si="42"/>
        <v/>
      </c>
      <c r="O563" s="26" t="str">
        <f t="shared" si="43"/>
        <v/>
      </c>
      <c r="P563" s="21" t="str">
        <f t="shared" si="44"/>
        <v/>
      </c>
      <c r="Q563" s="52" t="str">
        <f>IF($A563="","",IF($O563&lt;=0,"Depleted",IF($I563&lt;0,"EXPIRED",IF($I563&lt;=Settings!$C$6,"CRITICAL",IF($I563&lt;=Settings!$C$5,"Expiring","In date")))))</f>
        <v/>
      </c>
    </row>
    <row r="564" spans="1:17" x14ac:dyDescent="0.35">
      <c r="A564" s="90" t="str">
        <f>IF(Receipts!$D567="","",Receipts!$D567)</f>
        <v/>
      </c>
      <c r="B564" s="18" t="str">
        <f>IF(Receipts!$C567="","",Receipts!$C567)</f>
        <v/>
      </c>
      <c r="C564" s="18" t="str">
        <f>IF($A564="","",IFERROR(INDEX(Items!$B$5:$B$597,MATCH($A564,Items!$A$5:$A$597,0)),""))</f>
        <v/>
      </c>
      <c r="D564" s="23" t="str">
        <f>IF($A564="","",N(Receipts!$G567))</f>
        <v/>
      </c>
      <c r="E564" s="20" t="str">
        <f>IF($A564="","",IFERROR(INDEX(Items!$D$5:$D$597,MATCH($A564,Items!$A$5:$A$597,0)),0))</f>
        <v/>
      </c>
      <c r="F564" s="21" t="str">
        <f t="shared" si="40"/>
        <v/>
      </c>
      <c r="G564" s="25" t="str">
        <f>IF(Receipts!$I567="","",Receipts!$I567)</f>
        <v/>
      </c>
      <c r="H564" s="25" t="str">
        <f>IF(Receipts!$H567="","",Receipts!$H567)</f>
        <v/>
      </c>
      <c r="I564" s="26" t="str">
        <f t="shared" ca="1" si="41"/>
        <v/>
      </c>
      <c r="J564" s="26" t="str">
        <f>IF($A564="","",COUNTIFS(tblReceipts[Item Name],$A564,tblReceipts[Expiry Date],"&lt;"&amp;$H564)+COUNTIFS(tblReceipts[Item Name],$A564,tblReceipts[Expiry Date],$H564,tblReceipts[Lot Number],"&lt;="&amp;Receipts!$C567))</f>
        <v/>
      </c>
      <c r="K564" s="26" t="str">
        <f>IF($A564="","",SUMIFS(tblReceipts[Qty Received],tblReceipts[Item Name],$A564,tblReceipts[Expiry Date],"&lt;"&amp;$H564)+SUMIFS(tblReceipts[Qty Received],tblReceipts[Item Name],$A564,tblReceipts[Expiry Date],$H564,tblReceipts[Lot Number],"&lt;"&amp;Receipts!$C567))</f>
        <v/>
      </c>
      <c r="L564" s="26" t="str">
        <f>IF($A564="","",MIN($D564,MAX(0,SUMIFS(tblIssues[Qty Issued],tblIssues[Item Name],$A564)-$K564)))</f>
        <v/>
      </c>
      <c r="M564" s="26" t="str">
        <f>IF($A564="","",SUMIFS(tblIssues[Qty Issued],tblIssues[Lot Number],$B564))</f>
        <v/>
      </c>
      <c r="N564" s="26" t="str">
        <f t="shared" si="42"/>
        <v/>
      </c>
      <c r="O564" s="26" t="str">
        <f t="shared" si="43"/>
        <v/>
      </c>
      <c r="P564" s="21" t="str">
        <f t="shared" si="44"/>
        <v/>
      </c>
      <c r="Q564" s="52" t="str">
        <f>IF($A564="","",IF($O564&lt;=0,"Depleted",IF($I564&lt;0,"EXPIRED",IF($I564&lt;=Settings!$C$6,"CRITICAL",IF($I564&lt;=Settings!$C$5,"Expiring","In date")))))</f>
        <v/>
      </c>
    </row>
    <row r="565" spans="1:17" x14ac:dyDescent="0.35">
      <c r="A565" s="90" t="str">
        <f>IF(Receipts!$D568="","",Receipts!$D568)</f>
        <v/>
      </c>
      <c r="B565" s="18" t="str">
        <f>IF(Receipts!$C568="","",Receipts!$C568)</f>
        <v/>
      </c>
      <c r="C565" s="18" t="str">
        <f>IF($A565="","",IFERROR(INDEX(Items!$B$5:$B$597,MATCH($A565,Items!$A$5:$A$597,0)),""))</f>
        <v/>
      </c>
      <c r="D565" s="23" t="str">
        <f>IF($A565="","",N(Receipts!$G568))</f>
        <v/>
      </c>
      <c r="E565" s="20" t="str">
        <f>IF($A565="","",IFERROR(INDEX(Items!$D$5:$D$597,MATCH($A565,Items!$A$5:$A$597,0)),0))</f>
        <v/>
      </c>
      <c r="F565" s="21" t="str">
        <f t="shared" si="40"/>
        <v/>
      </c>
      <c r="G565" s="25" t="str">
        <f>IF(Receipts!$I568="","",Receipts!$I568)</f>
        <v/>
      </c>
      <c r="H565" s="25" t="str">
        <f>IF(Receipts!$H568="","",Receipts!$H568)</f>
        <v/>
      </c>
      <c r="I565" s="26" t="str">
        <f t="shared" ca="1" si="41"/>
        <v/>
      </c>
      <c r="J565" s="26" t="str">
        <f>IF($A565="","",COUNTIFS(tblReceipts[Item Name],$A565,tblReceipts[Expiry Date],"&lt;"&amp;$H565)+COUNTIFS(tblReceipts[Item Name],$A565,tblReceipts[Expiry Date],$H565,tblReceipts[Lot Number],"&lt;="&amp;Receipts!$C568))</f>
        <v/>
      </c>
      <c r="K565" s="26" t="str">
        <f>IF($A565="","",SUMIFS(tblReceipts[Qty Received],tblReceipts[Item Name],$A565,tblReceipts[Expiry Date],"&lt;"&amp;$H565)+SUMIFS(tblReceipts[Qty Received],tblReceipts[Item Name],$A565,tblReceipts[Expiry Date],$H565,tblReceipts[Lot Number],"&lt;"&amp;Receipts!$C568))</f>
        <v/>
      </c>
      <c r="L565" s="26" t="str">
        <f>IF($A565="","",MIN($D565,MAX(0,SUMIFS(tblIssues[Qty Issued],tblIssues[Item Name],$A565)-$K565)))</f>
        <v/>
      </c>
      <c r="M565" s="26" t="str">
        <f>IF($A565="","",SUMIFS(tblIssues[Qty Issued],tblIssues[Lot Number],$B565))</f>
        <v/>
      </c>
      <c r="N565" s="26" t="str">
        <f t="shared" si="42"/>
        <v/>
      </c>
      <c r="O565" s="26" t="str">
        <f t="shared" si="43"/>
        <v/>
      </c>
      <c r="P565" s="21" t="str">
        <f t="shared" si="44"/>
        <v/>
      </c>
      <c r="Q565" s="52" t="str">
        <f>IF($A565="","",IF($O565&lt;=0,"Depleted",IF($I565&lt;0,"EXPIRED",IF($I565&lt;=Settings!$C$6,"CRITICAL",IF($I565&lt;=Settings!$C$5,"Expiring","In date")))))</f>
        <v/>
      </c>
    </row>
    <row r="566" spans="1:17" x14ac:dyDescent="0.35">
      <c r="A566" s="90" t="str">
        <f>IF(Receipts!$D569="","",Receipts!$D569)</f>
        <v/>
      </c>
      <c r="B566" s="18" t="str">
        <f>IF(Receipts!$C569="","",Receipts!$C569)</f>
        <v/>
      </c>
      <c r="C566" s="18" t="str">
        <f>IF($A566="","",IFERROR(INDEX(Items!$B$5:$B$597,MATCH($A566,Items!$A$5:$A$597,0)),""))</f>
        <v/>
      </c>
      <c r="D566" s="23" t="str">
        <f>IF($A566="","",N(Receipts!$G569))</f>
        <v/>
      </c>
      <c r="E566" s="20" t="str">
        <f>IF($A566="","",IFERROR(INDEX(Items!$D$5:$D$597,MATCH($A566,Items!$A$5:$A$597,0)),0))</f>
        <v/>
      </c>
      <c r="F566" s="21" t="str">
        <f t="shared" si="40"/>
        <v/>
      </c>
      <c r="G566" s="25" t="str">
        <f>IF(Receipts!$I569="","",Receipts!$I569)</f>
        <v/>
      </c>
      <c r="H566" s="25" t="str">
        <f>IF(Receipts!$H569="","",Receipts!$H569)</f>
        <v/>
      </c>
      <c r="I566" s="26" t="str">
        <f t="shared" ca="1" si="41"/>
        <v/>
      </c>
      <c r="J566" s="26" t="str">
        <f>IF($A566="","",COUNTIFS(tblReceipts[Item Name],$A566,tblReceipts[Expiry Date],"&lt;"&amp;$H566)+COUNTIFS(tblReceipts[Item Name],$A566,tblReceipts[Expiry Date],$H566,tblReceipts[Lot Number],"&lt;="&amp;Receipts!$C569))</f>
        <v/>
      </c>
      <c r="K566" s="26" t="str">
        <f>IF($A566="","",SUMIFS(tblReceipts[Qty Received],tblReceipts[Item Name],$A566,tblReceipts[Expiry Date],"&lt;"&amp;$H566)+SUMIFS(tblReceipts[Qty Received],tblReceipts[Item Name],$A566,tblReceipts[Expiry Date],$H566,tblReceipts[Lot Number],"&lt;"&amp;Receipts!$C569))</f>
        <v/>
      </c>
      <c r="L566" s="26" t="str">
        <f>IF($A566="","",MIN($D566,MAX(0,SUMIFS(tblIssues[Qty Issued],tblIssues[Item Name],$A566)-$K566)))</f>
        <v/>
      </c>
      <c r="M566" s="26" t="str">
        <f>IF($A566="","",SUMIFS(tblIssues[Qty Issued],tblIssues[Lot Number],$B566))</f>
        <v/>
      </c>
      <c r="N566" s="26" t="str">
        <f t="shared" si="42"/>
        <v/>
      </c>
      <c r="O566" s="26" t="str">
        <f t="shared" si="43"/>
        <v/>
      </c>
      <c r="P566" s="21" t="str">
        <f t="shared" si="44"/>
        <v/>
      </c>
      <c r="Q566" s="52" t="str">
        <f>IF($A566="","",IF($O566&lt;=0,"Depleted",IF($I566&lt;0,"EXPIRED",IF($I566&lt;=Settings!$C$6,"CRITICAL",IF($I566&lt;=Settings!$C$5,"Expiring","In date")))))</f>
        <v/>
      </c>
    </row>
    <row r="567" spans="1:17" x14ac:dyDescent="0.35">
      <c r="A567" s="90" t="str">
        <f>IF(Receipts!$D570="","",Receipts!$D570)</f>
        <v/>
      </c>
      <c r="B567" s="18" t="str">
        <f>IF(Receipts!$C570="","",Receipts!$C570)</f>
        <v/>
      </c>
      <c r="C567" s="18" t="str">
        <f>IF($A567="","",IFERROR(INDEX(Items!$B$5:$B$597,MATCH($A567,Items!$A$5:$A$597,0)),""))</f>
        <v/>
      </c>
      <c r="D567" s="23" t="str">
        <f>IF($A567="","",N(Receipts!$G570))</f>
        <v/>
      </c>
      <c r="E567" s="20" t="str">
        <f>IF($A567="","",IFERROR(INDEX(Items!$D$5:$D$597,MATCH($A567,Items!$A$5:$A$597,0)),0))</f>
        <v/>
      </c>
      <c r="F567" s="21" t="str">
        <f t="shared" si="40"/>
        <v/>
      </c>
      <c r="G567" s="25" t="str">
        <f>IF(Receipts!$I570="","",Receipts!$I570)</f>
        <v/>
      </c>
      <c r="H567" s="25" t="str">
        <f>IF(Receipts!$H570="","",Receipts!$H570)</f>
        <v/>
      </c>
      <c r="I567" s="26" t="str">
        <f t="shared" ca="1" si="41"/>
        <v/>
      </c>
      <c r="J567" s="26" t="str">
        <f>IF($A567="","",COUNTIFS(tblReceipts[Item Name],$A567,tblReceipts[Expiry Date],"&lt;"&amp;$H567)+COUNTIFS(tblReceipts[Item Name],$A567,tblReceipts[Expiry Date],$H567,tblReceipts[Lot Number],"&lt;="&amp;Receipts!$C570))</f>
        <v/>
      </c>
      <c r="K567" s="26" t="str">
        <f>IF($A567="","",SUMIFS(tblReceipts[Qty Received],tblReceipts[Item Name],$A567,tblReceipts[Expiry Date],"&lt;"&amp;$H567)+SUMIFS(tblReceipts[Qty Received],tblReceipts[Item Name],$A567,tblReceipts[Expiry Date],$H567,tblReceipts[Lot Number],"&lt;"&amp;Receipts!$C570))</f>
        <v/>
      </c>
      <c r="L567" s="26" t="str">
        <f>IF($A567="","",MIN($D567,MAX(0,SUMIFS(tblIssues[Qty Issued],tblIssues[Item Name],$A567)-$K567)))</f>
        <v/>
      </c>
      <c r="M567" s="26" t="str">
        <f>IF($A567="","",SUMIFS(tblIssues[Qty Issued],tblIssues[Lot Number],$B567))</f>
        <v/>
      </c>
      <c r="N567" s="26" t="str">
        <f t="shared" si="42"/>
        <v/>
      </c>
      <c r="O567" s="26" t="str">
        <f t="shared" si="43"/>
        <v/>
      </c>
      <c r="P567" s="21" t="str">
        <f t="shared" si="44"/>
        <v/>
      </c>
      <c r="Q567" s="52" t="str">
        <f>IF($A567="","",IF($O567&lt;=0,"Depleted",IF($I567&lt;0,"EXPIRED",IF($I567&lt;=Settings!$C$6,"CRITICAL",IF($I567&lt;=Settings!$C$5,"Expiring","In date")))))</f>
        <v/>
      </c>
    </row>
    <row r="568" spans="1:17" x14ac:dyDescent="0.35">
      <c r="A568" s="90" t="str">
        <f>IF(Receipts!$D571="","",Receipts!$D571)</f>
        <v/>
      </c>
      <c r="B568" s="18" t="str">
        <f>IF(Receipts!$C571="","",Receipts!$C571)</f>
        <v/>
      </c>
      <c r="C568" s="18" t="str">
        <f>IF($A568="","",IFERROR(INDEX(Items!$B$5:$B$597,MATCH($A568,Items!$A$5:$A$597,0)),""))</f>
        <v/>
      </c>
      <c r="D568" s="23" t="str">
        <f>IF($A568="","",N(Receipts!$G571))</f>
        <v/>
      </c>
      <c r="E568" s="20" t="str">
        <f>IF($A568="","",IFERROR(INDEX(Items!$D$5:$D$597,MATCH($A568,Items!$A$5:$A$597,0)),0))</f>
        <v/>
      </c>
      <c r="F568" s="21" t="str">
        <f t="shared" si="40"/>
        <v/>
      </c>
      <c r="G568" s="25" t="str">
        <f>IF(Receipts!$I571="","",Receipts!$I571)</f>
        <v/>
      </c>
      <c r="H568" s="25" t="str">
        <f>IF(Receipts!$H571="","",Receipts!$H571)</f>
        <v/>
      </c>
      <c r="I568" s="26" t="str">
        <f t="shared" ca="1" si="41"/>
        <v/>
      </c>
      <c r="J568" s="26" t="str">
        <f>IF($A568="","",COUNTIFS(tblReceipts[Item Name],$A568,tblReceipts[Expiry Date],"&lt;"&amp;$H568)+COUNTIFS(tblReceipts[Item Name],$A568,tblReceipts[Expiry Date],$H568,tblReceipts[Lot Number],"&lt;="&amp;Receipts!$C571))</f>
        <v/>
      </c>
      <c r="K568" s="26" t="str">
        <f>IF($A568="","",SUMIFS(tblReceipts[Qty Received],tblReceipts[Item Name],$A568,tblReceipts[Expiry Date],"&lt;"&amp;$H568)+SUMIFS(tblReceipts[Qty Received],tblReceipts[Item Name],$A568,tblReceipts[Expiry Date],$H568,tblReceipts[Lot Number],"&lt;"&amp;Receipts!$C571))</f>
        <v/>
      </c>
      <c r="L568" s="26" t="str">
        <f>IF($A568="","",MIN($D568,MAX(0,SUMIFS(tblIssues[Qty Issued],tblIssues[Item Name],$A568)-$K568)))</f>
        <v/>
      </c>
      <c r="M568" s="26" t="str">
        <f>IF($A568="","",SUMIFS(tblIssues[Qty Issued],tblIssues[Lot Number],$B568))</f>
        <v/>
      </c>
      <c r="N568" s="26" t="str">
        <f t="shared" si="42"/>
        <v/>
      </c>
      <c r="O568" s="26" t="str">
        <f t="shared" si="43"/>
        <v/>
      </c>
      <c r="P568" s="21" t="str">
        <f t="shared" si="44"/>
        <v/>
      </c>
      <c r="Q568" s="52" t="str">
        <f>IF($A568="","",IF($O568&lt;=0,"Depleted",IF($I568&lt;0,"EXPIRED",IF($I568&lt;=Settings!$C$6,"CRITICAL",IF($I568&lt;=Settings!$C$5,"Expiring","In date")))))</f>
        <v/>
      </c>
    </row>
    <row r="569" spans="1:17" x14ac:dyDescent="0.35">
      <c r="A569" s="90" t="str">
        <f>IF(Receipts!$D572="","",Receipts!$D572)</f>
        <v/>
      </c>
      <c r="B569" s="18" t="str">
        <f>IF(Receipts!$C572="","",Receipts!$C572)</f>
        <v/>
      </c>
      <c r="C569" s="18" t="str">
        <f>IF($A569="","",IFERROR(INDEX(Items!$B$5:$B$597,MATCH($A569,Items!$A$5:$A$597,0)),""))</f>
        <v/>
      </c>
      <c r="D569" s="23" t="str">
        <f>IF($A569="","",N(Receipts!$G572))</f>
        <v/>
      </c>
      <c r="E569" s="20" t="str">
        <f>IF($A569="","",IFERROR(INDEX(Items!$D$5:$D$597,MATCH($A569,Items!$A$5:$A$597,0)),0))</f>
        <v/>
      </c>
      <c r="F569" s="21" t="str">
        <f t="shared" si="40"/>
        <v/>
      </c>
      <c r="G569" s="25" t="str">
        <f>IF(Receipts!$I572="","",Receipts!$I572)</f>
        <v/>
      </c>
      <c r="H569" s="25" t="str">
        <f>IF(Receipts!$H572="","",Receipts!$H572)</f>
        <v/>
      </c>
      <c r="I569" s="26" t="str">
        <f t="shared" ca="1" si="41"/>
        <v/>
      </c>
      <c r="J569" s="26" t="str">
        <f>IF($A569="","",COUNTIFS(tblReceipts[Item Name],$A569,tblReceipts[Expiry Date],"&lt;"&amp;$H569)+COUNTIFS(tblReceipts[Item Name],$A569,tblReceipts[Expiry Date],$H569,tblReceipts[Lot Number],"&lt;="&amp;Receipts!$C572))</f>
        <v/>
      </c>
      <c r="K569" s="26" t="str">
        <f>IF($A569="","",SUMIFS(tblReceipts[Qty Received],tblReceipts[Item Name],$A569,tblReceipts[Expiry Date],"&lt;"&amp;$H569)+SUMIFS(tblReceipts[Qty Received],tblReceipts[Item Name],$A569,tblReceipts[Expiry Date],$H569,tblReceipts[Lot Number],"&lt;"&amp;Receipts!$C572))</f>
        <v/>
      </c>
      <c r="L569" s="26" t="str">
        <f>IF($A569="","",MIN($D569,MAX(0,SUMIFS(tblIssues[Qty Issued],tblIssues[Item Name],$A569)-$K569)))</f>
        <v/>
      </c>
      <c r="M569" s="26" t="str">
        <f>IF($A569="","",SUMIFS(tblIssues[Qty Issued],tblIssues[Lot Number],$B569))</f>
        <v/>
      </c>
      <c r="N569" s="26" t="str">
        <f t="shared" si="42"/>
        <v/>
      </c>
      <c r="O569" s="26" t="str">
        <f t="shared" si="43"/>
        <v/>
      </c>
      <c r="P569" s="21" t="str">
        <f t="shared" si="44"/>
        <v/>
      </c>
      <c r="Q569" s="52" t="str">
        <f>IF($A569="","",IF($O569&lt;=0,"Depleted",IF($I569&lt;0,"EXPIRED",IF($I569&lt;=Settings!$C$6,"CRITICAL",IF($I569&lt;=Settings!$C$5,"Expiring","In date")))))</f>
        <v/>
      </c>
    </row>
    <row r="570" spans="1:17" x14ac:dyDescent="0.35">
      <c r="A570" s="90" t="str">
        <f>IF(Receipts!$D573="","",Receipts!$D573)</f>
        <v/>
      </c>
      <c r="B570" s="18" t="str">
        <f>IF(Receipts!$C573="","",Receipts!$C573)</f>
        <v/>
      </c>
      <c r="C570" s="18" t="str">
        <f>IF($A570="","",IFERROR(INDEX(Items!$B$5:$B$597,MATCH($A570,Items!$A$5:$A$597,0)),""))</f>
        <v/>
      </c>
      <c r="D570" s="23" t="str">
        <f>IF($A570="","",N(Receipts!$G573))</f>
        <v/>
      </c>
      <c r="E570" s="20" t="str">
        <f>IF($A570="","",IFERROR(INDEX(Items!$D$5:$D$597,MATCH($A570,Items!$A$5:$A$597,0)),0))</f>
        <v/>
      </c>
      <c r="F570" s="21" t="str">
        <f t="shared" si="40"/>
        <v/>
      </c>
      <c r="G570" s="25" t="str">
        <f>IF(Receipts!$I573="","",Receipts!$I573)</f>
        <v/>
      </c>
      <c r="H570" s="25" t="str">
        <f>IF(Receipts!$H573="","",Receipts!$H573)</f>
        <v/>
      </c>
      <c r="I570" s="26" t="str">
        <f t="shared" ca="1" si="41"/>
        <v/>
      </c>
      <c r="J570" s="26" t="str">
        <f>IF($A570="","",COUNTIFS(tblReceipts[Item Name],$A570,tblReceipts[Expiry Date],"&lt;"&amp;$H570)+COUNTIFS(tblReceipts[Item Name],$A570,tblReceipts[Expiry Date],$H570,tblReceipts[Lot Number],"&lt;="&amp;Receipts!$C573))</f>
        <v/>
      </c>
      <c r="K570" s="26" t="str">
        <f>IF($A570="","",SUMIFS(tblReceipts[Qty Received],tblReceipts[Item Name],$A570,tblReceipts[Expiry Date],"&lt;"&amp;$H570)+SUMIFS(tblReceipts[Qty Received],tblReceipts[Item Name],$A570,tblReceipts[Expiry Date],$H570,tblReceipts[Lot Number],"&lt;"&amp;Receipts!$C573))</f>
        <v/>
      </c>
      <c r="L570" s="26" t="str">
        <f>IF($A570="","",MIN($D570,MAX(0,SUMIFS(tblIssues[Qty Issued],tblIssues[Item Name],$A570)-$K570)))</f>
        <v/>
      </c>
      <c r="M570" s="26" t="str">
        <f>IF($A570="","",SUMIFS(tblIssues[Qty Issued],tblIssues[Lot Number],$B570))</f>
        <v/>
      </c>
      <c r="N570" s="26" t="str">
        <f t="shared" si="42"/>
        <v/>
      </c>
      <c r="O570" s="26" t="str">
        <f t="shared" si="43"/>
        <v/>
      </c>
      <c r="P570" s="21" t="str">
        <f t="shared" si="44"/>
        <v/>
      </c>
      <c r="Q570" s="52" t="str">
        <f>IF($A570="","",IF($O570&lt;=0,"Depleted",IF($I570&lt;0,"EXPIRED",IF($I570&lt;=Settings!$C$6,"CRITICAL",IF($I570&lt;=Settings!$C$5,"Expiring","In date")))))</f>
        <v/>
      </c>
    </row>
    <row r="571" spans="1:17" x14ac:dyDescent="0.35">
      <c r="A571" s="90" t="str">
        <f>IF(Receipts!$D574="","",Receipts!$D574)</f>
        <v/>
      </c>
      <c r="B571" s="18" t="str">
        <f>IF(Receipts!$C574="","",Receipts!$C574)</f>
        <v/>
      </c>
      <c r="C571" s="18" t="str">
        <f>IF($A571="","",IFERROR(INDEX(Items!$B$5:$B$597,MATCH($A571,Items!$A$5:$A$597,0)),""))</f>
        <v/>
      </c>
      <c r="D571" s="23" t="str">
        <f>IF($A571="","",N(Receipts!$G574))</f>
        <v/>
      </c>
      <c r="E571" s="20" t="str">
        <f>IF($A571="","",IFERROR(INDEX(Items!$D$5:$D$597,MATCH($A571,Items!$A$5:$A$597,0)),0))</f>
        <v/>
      </c>
      <c r="F571" s="21" t="str">
        <f t="shared" si="40"/>
        <v/>
      </c>
      <c r="G571" s="25" t="str">
        <f>IF(Receipts!$I574="","",Receipts!$I574)</f>
        <v/>
      </c>
      <c r="H571" s="25" t="str">
        <f>IF(Receipts!$H574="","",Receipts!$H574)</f>
        <v/>
      </c>
      <c r="I571" s="26" t="str">
        <f t="shared" ca="1" si="41"/>
        <v/>
      </c>
      <c r="J571" s="26" t="str">
        <f>IF($A571="","",COUNTIFS(tblReceipts[Item Name],$A571,tblReceipts[Expiry Date],"&lt;"&amp;$H571)+COUNTIFS(tblReceipts[Item Name],$A571,tblReceipts[Expiry Date],$H571,tblReceipts[Lot Number],"&lt;="&amp;Receipts!$C574))</f>
        <v/>
      </c>
      <c r="K571" s="26" t="str">
        <f>IF($A571="","",SUMIFS(tblReceipts[Qty Received],tblReceipts[Item Name],$A571,tblReceipts[Expiry Date],"&lt;"&amp;$H571)+SUMIFS(tblReceipts[Qty Received],tblReceipts[Item Name],$A571,tblReceipts[Expiry Date],$H571,tblReceipts[Lot Number],"&lt;"&amp;Receipts!$C574))</f>
        <v/>
      </c>
      <c r="L571" s="26" t="str">
        <f>IF($A571="","",MIN($D571,MAX(0,SUMIFS(tblIssues[Qty Issued],tblIssues[Item Name],$A571)-$K571)))</f>
        <v/>
      </c>
      <c r="M571" s="26" t="str">
        <f>IF($A571="","",SUMIFS(tblIssues[Qty Issued],tblIssues[Lot Number],$B571))</f>
        <v/>
      </c>
      <c r="N571" s="26" t="str">
        <f t="shared" si="42"/>
        <v/>
      </c>
      <c r="O571" s="26" t="str">
        <f t="shared" si="43"/>
        <v/>
      </c>
      <c r="P571" s="21" t="str">
        <f t="shared" si="44"/>
        <v/>
      </c>
      <c r="Q571" s="52" t="str">
        <f>IF($A571="","",IF($O571&lt;=0,"Depleted",IF($I571&lt;0,"EXPIRED",IF($I571&lt;=Settings!$C$6,"CRITICAL",IF($I571&lt;=Settings!$C$5,"Expiring","In date")))))</f>
        <v/>
      </c>
    </row>
    <row r="572" spans="1:17" x14ac:dyDescent="0.35">
      <c r="A572" s="90" t="str">
        <f>IF(Receipts!$D575="","",Receipts!$D575)</f>
        <v/>
      </c>
      <c r="B572" s="18" t="str">
        <f>IF(Receipts!$C575="","",Receipts!$C575)</f>
        <v/>
      </c>
      <c r="C572" s="18" t="str">
        <f>IF($A572="","",IFERROR(INDEX(Items!$B$5:$B$597,MATCH($A572,Items!$A$5:$A$597,0)),""))</f>
        <v/>
      </c>
      <c r="D572" s="23" t="str">
        <f>IF($A572="","",N(Receipts!$G575))</f>
        <v/>
      </c>
      <c r="E572" s="20" t="str">
        <f>IF($A572="","",IFERROR(INDEX(Items!$D$5:$D$597,MATCH($A572,Items!$A$5:$A$597,0)),0))</f>
        <v/>
      </c>
      <c r="F572" s="21" t="str">
        <f t="shared" si="40"/>
        <v/>
      </c>
      <c r="G572" s="25" t="str">
        <f>IF(Receipts!$I575="","",Receipts!$I575)</f>
        <v/>
      </c>
      <c r="H572" s="25" t="str">
        <f>IF(Receipts!$H575="","",Receipts!$H575)</f>
        <v/>
      </c>
      <c r="I572" s="26" t="str">
        <f t="shared" ca="1" si="41"/>
        <v/>
      </c>
      <c r="J572" s="26" t="str">
        <f>IF($A572="","",COUNTIFS(tblReceipts[Item Name],$A572,tblReceipts[Expiry Date],"&lt;"&amp;$H572)+COUNTIFS(tblReceipts[Item Name],$A572,tblReceipts[Expiry Date],$H572,tblReceipts[Lot Number],"&lt;="&amp;Receipts!$C575))</f>
        <v/>
      </c>
      <c r="K572" s="26" t="str">
        <f>IF($A572="","",SUMIFS(tblReceipts[Qty Received],tblReceipts[Item Name],$A572,tblReceipts[Expiry Date],"&lt;"&amp;$H572)+SUMIFS(tblReceipts[Qty Received],tblReceipts[Item Name],$A572,tblReceipts[Expiry Date],$H572,tblReceipts[Lot Number],"&lt;"&amp;Receipts!$C575))</f>
        <v/>
      </c>
      <c r="L572" s="26" t="str">
        <f>IF($A572="","",MIN($D572,MAX(0,SUMIFS(tblIssues[Qty Issued],tblIssues[Item Name],$A572)-$K572)))</f>
        <v/>
      </c>
      <c r="M572" s="26" t="str">
        <f>IF($A572="","",SUMIFS(tblIssues[Qty Issued],tblIssues[Lot Number],$B572))</f>
        <v/>
      </c>
      <c r="N572" s="26" t="str">
        <f t="shared" si="42"/>
        <v/>
      </c>
      <c r="O572" s="26" t="str">
        <f t="shared" si="43"/>
        <v/>
      </c>
      <c r="P572" s="21" t="str">
        <f t="shared" si="44"/>
        <v/>
      </c>
      <c r="Q572" s="52" t="str">
        <f>IF($A572="","",IF($O572&lt;=0,"Depleted",IF($I572&lt;0,"EXPIRED",IF($I572&lt;=Settings!$C$6,"CRITICAL",IF($I572&lt;=Settings!$C$5,"Expiring","In date")))))</f>
        <v/>
      </c>
    </row>
    <row r="573" spans="1:17" x14ac:dyDescent="0.35">
      <c r="A573" s="90" t="str">
        <f>IF(Receipts!$D576="","",Receipts!$D576)</f>
        <v/>
      </c>
      <c r="B573" s="18" t="str">
        <f>IF(Receipts!$C576="","",Receipts!$C576)</f>
        <v/>
      </c>
      <c r="C573" s="18" t="str">
        <f>IF($A573="","",IFERROR(INDEX(Items!$B$5:$B$597,MATCH($A573,Items!$A$5:$A$597,0)),""))</f>
        <v/>
      </c>
      <c r="D573" s="23" t="str">
        <f>IF($A573="","",N(Receipts!$G576))</f>
        <v/>
      </c>
      <c r="E573" s="20" t="str">
        <f>IF($A573="","",IFERROR(INDEX(Items!$D$5:$D$597,MATCH($A573,Items!$A$5:$A$597,0)),0))</f>
        <v/>
      </c>
      <c r="F573" s="21" t="str">
        <f t="shared" si="40"/>
        <v/>
      </c>
      <c r="G573" s="25" t="str">
        <f>IF(Receipts!$I576="","",Receipts!$I576)</f>
        <v/>
      </c>
      <c r="H573" s="25" t="str">
        <f>IF(Receipts!$H576="","",Receipts!$H576)</f>
        <v/>
      </c>
      <c r="I573" s="26" t="str">
        <f t="shared" ca="1" si="41"/>
        <v/>
      </c>
      <c r="J573" s="26" t="str">
        <f>IF($A573="","",COUNTIFS(tblReceipts[Item Name],$A573,tblReceipts[Expiry Date],"&lt;"&amp;$H573)+COUNTIFS(tblReceipts[Item Name],$A573,tblReceipts[Expiry Date],$H573,tblReceipts[Lot Number],"&lt;="&amp;Receipts!$C576))</f>
        <v/>
      </c>
      <c r="K573" s="26" t="str">
        <f>IF($A573="","",SUMIFS(tblReceipts[Qty Received],tblReceipts[Item Name],$A573,tblReceipts[Expiry Date],"&lt;"&amp;$H573)+SUMIFS(tblReceipts[Qty Received],tblReceipts[Item Name],$A573,tblReceipts[Expiry Date],$H573,tblReceipts[Lot Number],"&lt;"&amp;Receipts!$C576))</f>
        <v/>
      </c>
      <c r="L573" s="26" t="str">
        <f>IF($A573="","",MIN($D573,MAX(0,SUMIFS(tblIssues[Qty Issued],tblIssues[Item Name],$A573)-$K573)))</f>
        <v/>
      </c>
      <c r="M573" s="26" t="str">
        <f>IF($A573="","",SUMIFS(tblIssues[Qty Issued],tblIssues[Lot Number],$B573))</f>
        <v/>
      </c>
      <c r="N573" s="26" t="str">
        <f t="shared" si="42"/>
        <v/>
      </c>
      <c r="O573" s="26" t="str">
        <f t="shared" si="43"/>
        <v/>
      </c>
      <c r="P573" s="21" t="str">
        <f t="shared" si="44"/>
        <v/>
      </c>
      <c r="Q573" s="52" t="str">
        <f>IF($A573="","",IF($O573&lt;=0,"Depleted",IF($I573&lt;0,"EXPIRED",IF($I573&lt;=Settings!$C$6,"CRITICAL",IF($I573&lt;=Settings!$C$5,"Expiring","In date")))))</f>
        <v/>
      </c>
    </row>
    <row r="574" spans="1:17" x14ac:dyDescent="0.35">
      <c r="A574" s="90" t="str">
        <f>IF(Receipts!$D577="","",Receipts!$D577)</f>
        <v/>
      </c>
      <c r="B574" s="18" t="str">
        <f>IF(Receipts!$C577="","",Receipts!$C577)</f>
        <v/>
      </c>
      <c r="C574" s="18" t="str">
        <f>IF($A574="","",IFERROR(INDEX(Items!$B$5:$B$597,MATCH($A574,Items!$A$5:$A$597,0)),""))</f>
        <v/>
      </c>
      <c r="D574" s="23" t="str">
        <f>IF($A574="","",N(Receipts!$G577))</f>
        <v/>
      </c>
      <c r="E574" s="20" t="str">
        <f>IF($A574="","",IFERROR(INDEX(Items!$D$5:$D$597,MATCH($A574,Items!$A$5:$A$597,0)),0))</f>
        <v/>
      </c>
      <c r="F574" s="21" t="str">
        <f t="shared" si="40"/>
        <v/>
      </c>
      <c r="G574" s="25" t="str">
        <f>IF(Receipts!$I577="","",Receipts!$I577)</f>
        <v/>
      </c>
      <c r="H574" s="25" t="str">
        <f>IF(Receipts!$H577="","",Receipts!$H577)</f>
        <v/>
      </c>
      <c r="I574" s="26" t="str">
        <f t="shared" ca="1" si="41"/>
        <v/>
      </c>
      <c r="J574" s="26" t="str">
        <f>IF($A574="","",COUNTIFS(tblReceipts[Item Name],$A574,tblReceipts[Expiry Date],"&lt;"&amp;$H574)+COUNTIFS(tblReceipts[Item Name],$A574,tblReceipts[Expiry Date],$H574,tblReceipts[Lot Number],"&lt;="&amp;Receipts!$C577))</f>
        <v/>
      </c>
      <c r="K574" s="26" t="str">
        <f>IF($A574="","",SUMIFS(tblReceipts[Qty Received],tblReceipts[Item Name],$A574,tblReceipts[Expiry Date],"&lt;"&amp;$H574)+SUMIFS(tblReceipts[Qty Received],tblReceipts[Item Name],$A574,tblReceipts[Expiry Date],$H574,tblReceipts[Lot Number],"&lt;"&amp;Receipts!$C577))</f>
        <v/>
      </c>
      <c r="L574" s="26" t="str">
        <f>IF($A574="","",MIN($D574,MAX(0,SUMIFS(tblIssues[Qty Issued],tblIssues[Item Name],$A574)-$K574)))</f>
        <v/>
      </c>
      <c r="M574" s="26" t="str">
        <f>IF($A574="","",SUMIFS(tblIssues[Qty Issued],tblIssues[Lot Number],$B574))</f>
        <v/>
      </c>
      <c r="N574" s="26" t="str">
        <f t="shared" si="42"/>
        <v/>
      </c>
      <c r="O574" s="26" t="str">
        <f t="shared" si="43"/>
        <v/>
      </c>
      <c r="P574" s="21" t="str">
        <f t="shared" si="44"/>
        <v/>
      </c>
      <c r="Q574" s="52" t="str">
        <f>IF($A574="","",IF($O574&lt;=0,"Depleted",IF($I574&lt;0,"EXPIRED",IF($I574&lt;=Settings!$C$6,"CRITICAL",IF($I574&lt;=Settings!$C$5,"Expiring","In date")))))</f>
        <v/>
      </c>
    </row>
    <row r="575" spans="1:17" x14ac:dyDescent="0.35">
      <c r="A575" s="90" t="str">
        <f>IF(Receipts!$D578="","",Receipts!$D578)</f>
        <v/>
      </c>
      <c r="B575" s="18" t="str">
        <f>IF(Receipts!$C578="","",Receipts!$C578)</f>
        <v/>
      </c>
      <c r="C575" s="18" t="str">
        <f>IF($A575="","",IFERROR(INDEX(Items!$B$5:$B$597,MATCH($A575,Items!$A$5:$A$597,0)),""))</f>
        <v/>
      </c>
      <c r="D575" s="23" t="str">
        <f>IF($A575="","",N(Receipts!$G578))</f>
        <v/>
      </c>
      <c r="E575" s="20" t="str">
        <f>IF($A575="","",IFERROR(INDEX(Items!$D$5:$D$597,MATCH($A575,Items!$A$5:$A$597,0)),0))</f>
        <v/>
      </c>
      <c r="F575" s="21" t="str">
        <f t="shared" si="40"/>
        <v/>
      </c>
      <c r="G575" s="25" t="str">
        <f>IF(Receipts!$I578="","",Receipts!$I578)</f>
        <v/>
      </c>
      <c r="H575" s="25" t="str">
        <f>IF(Receipts!$H578="","",Receipts!$H578)</f>
        <v/>
      </c>
      <c r="I575" s="26" t="str">
        <f t="shared" ca="1" si="41"/>
        <v/>
      </c>
      <c r="J575" s="26" t="str">
        <f>IF($A575="","",COUNTIFS(tblReceipts[Item Name],$A575,tblReceipts[Expiry Date],"&lt;"&amp;$H575)+COUNTIFS(tblReceipts[Item Name],$A575,tblReceipts[Expiry Date],$H575,tblReceipts[Lot Number],"&lt;="&amp;Receipts!$C578))</f>
        <v/>
      </c>
      <c r="K575" s="26" t="str">
        <f>IF($A575="","",SUMIFS(tblReceipts[Qty Received],tblReceipts[Item Name],$A575,tblReceipts[Expiry Date],"&lt;"&amp;$H575)+SUMIFS(tblReceipts[Qty Received],tblReceipts[Item Name],$A575,tblReceipts[Expiry Date],$H575,tblReceipts[Lot Number],"&lt;"&amp;Receipts!$C578))</f>
        <v/>
      </c>
      <c r="L575" s="26" t="str">
        <f>IF($A575="","",MIN($D575,MAX(0,SUMIFS(tblIssues[Qty Issued],tblIssues[Item Name],$A575)-$K575)))</f>
        <v/>
      </c>
      <c r="M575" s="26" t="str">
        <f>IF($A575="","",SUMIFS(tblIssues[Qty Issued],tblIssues[Lot Number],$B575))</f>
        <v/>
      </c>
      <c r="N575" s="26" t="str">
        <f t="shared" si="42"/>
        <v/>
      </c>
      <c r="O575" s="26" t="str">
        <f t="shared" si="43"/>
        <v/>
      </c>
      <c r="P575" s="21" t="str">
        <f t="shared" si="44"/>
        <v/>
      </c>
      <c r="Q575" s="52" t="str">
        <f>IF($A575="","",IF($O575&lt;=0,"Depleted",IF($I575&lt;0,"EXPIRED",IF($I575&lt;=Settings!$C$6,"CRITICAL",IF($I575&lt;=Settings!$C$5,"Expiring","In date")))))</f>
        <v/>
      </c>
    </row>
    <row r="576" spans="1:17" x14ac:dyDescent="0.35">
      <c r="A576" s="90" t="str">
        <f>IF(Receipts!$D579="","",Receipts!$D579)</f>
        <v/>
      </c>
      <c r="B576" s="18" t="str">
        <f>IF(Receipts!$C579="","",Receipts!$C579)</f>
        <v/>
      </c>
      <c r="C576" s="18" t="str">
        <f>IF($A576="","",IFERROR(INDEX(Items!$B$5:$B$597,MATCH($A576,Items!$A$5:$A$597,0)),""))</f>
        <v/>
      </c>
      <c r="D576" s="23" t="str">
        <f>IF($A576="","",N(Receipts!$G579))</f>
        <v/>
      </c>
      <c r="E576" s="20" t="str">
        <f>IF($A576="","",IFERROR(INDEX(Items!$D$5:$D$597,MATCH($A576,Items!$A$5:$A$597,0)),0))</f>
        <v/>
      </c>
      <c r="F576" s="21" t="str">
        <f t="shared" si="40"/>
        <v/>
      </c>
      <c r="G576" s="25" t="str">
        <f>IF(Receipts!$I579="","",Receipts!$I579)</f>
        <v/>
      </c>
      <c r="H576" s="25" t="str">
        <f>IF(Receipts!$H579="","",Receipts!$H579)</f>
        <v/>
      </c>
      <c r="I576" s="26" t="str">
        <f t="shared" ca="1" si="41"/>
        <v/>
      </c>
      <c r="J576" s="26" t="str">
        <f>IF($A576="","",COUNTIFS(tblReceipts[Item Name],$A576,tblReceipts[Expiry Date],"&lt;"&amp;$H576)+COUNTIFS(tblReceipts[Item Name],$A576,tblReceipts[Expiry Date],$H576,tblReceipts[Lot Number],"&lt;="&amp;Receipts!$C579))</f>
        <v/>
      </c>
      <c r="K576" s="26" t="str">
        <f>IF($A576="","",SUMIFS(tblReceipts[Qty Received],tblReceipts[Item Name],$A576,tblReceipts[Expiry Date],"&lt;"&amp;$H576)+SUMIFS(tblReceipts[Qty Received],tblReceipts[Item Name],$A576,tblReceipts[Expiry Date],$H576,tblReceipts[Lot Number],"&lt;"&amp;Receipts!$C579))</f>
        <v/>
      </c>
      <c r="L576" s="26" t="str">
        <f>IF($A576="","",MIN($D576,MAX(0,SUMIFS(tblIssues[Qty Issued],tblIssues[Item Name],$A576)-$K576)))</f>
        <v/>
      </c>
      <c r="M576" s="26" t="str">
        <f>IF($A576="","",SUMIFS(tblIssues[Qty Issued],tblIssues[Lot Number],$B576))</f>
        <v/>
      </c>
      <c r="N576" s="26" t="str">
        <f t="shared" si="42"/>
        <v/>
      </c>
      <c r="O576" s="26" t="str">
        <f t="shared" si="43"/>
        <v/>
      </c>
      <c r="P576" s="21" t="str">
        <f t="shared" si="44"/>
        <v/>
      </c>
      <c r="Q576" s="52" t="str">
        <f>IF($A576="","",IF($O576&lt;=0,"Depleted",IF($I576&lt;0,"EXPIRED",IF($I576&lt;=Settings!$C$6,"CRITICAL",IF($I576&lt;=Settings!$C$5,"Expiring","In date")))))</f>
        <v/>
      </c>
    </row>
    <row r="577" spans="1:17" x14ac:dyDescent="0.35">
      <c r="A577" s="90" t="str">
        <f>IF(Receipts!$D580="","",Receipts!$D580)</f>
        <v/>
      </c>
      <c r="B577" s="18" t="str">
        <f>IF(Receipts!$C580="","",Receipts!$C580)</f>
        <v/>
      </c>
      <c r="C577" s="18" t="str">
        <f>IF($A577="","",IFERROR(INDEX(Items!$B$5:$B$597,MATCH($A577,Items!$A$5:$A$597,0)),""))</f>
        <v/>
      </c>
      <c r="D577" s="23" t="str">
        <f>IF($A577="","",N(Receipts!$G580))</f>
        <v/>
      </c>
      <c r="E577" s="20" t="str">
        <f>IF($A577="","",IFERROR(INDEX(Items!$D$5:$D$597,MATCH($A577,Items!$A$5:$A$597,0)),0))</f>
        <v/>
      </c>
      <c r="F577" s="21" t="str">
        <f t="shared" si="40"/>
        <v/>
      </c>
      <c r="G577" s="25" t="str">
        <f>IF(Receipts!$I580="","",Receipts!$I580)</f>
        <v/>
      </c>
      <c r="H577" s="25" t="str">
        <f>IF(Receipts!$H580="","",Receipts!$H580)</f>
        <v/>
      </c>
      <c r="I577" s="26" t="str">
        <f t="shared" ca="1" si="41"/>
        <v/>
      </c>
      <c r="J577" s="26" t="str">
        <f>IF($A577="","",COUNTIFS(tblReceipts[Item Name],$A577,tblReceipts[Expiry Date],"&lt;"&amp;$H577)+COUNTIFS(tblReceipts[Item Name],$A577,tblReceipts[Expiry Date],$H577,tblReceipts[Lot Number],"&lt;="&amp;Receipts!$C580))</f>
        <v/>
      </c>
      <c r="K577" s="26" t="str">
        <f>IF($A577="","",SUMIFS(tblReceipts[Qty Received],tblReceipts[Item Name],$A577,tblReceipts[Expiry Date],"&lt;"&amp;$H577)+SUMIFS(tblReceipts[Qty Received],tblReceipts[Item Name],$A577,tblReceipts[Expiry Date],$H577,tblReceipts[Lot Number],"&lt;"&amp;Receipts!$C580))</f>
        <v/>
      </c>
      <c r="L577" s="26" t="str">
        <f>IF($A577="","",MIN($D577,MAX(0,SUMIFS(tblIssues[Qty Issued],tblIssues[Item Name],$A577)-$K577)))</f>
        <v/>
      </c>
      <c r="M577" s="26" t="str">
        <f>IF($A577="","",SUMIFS(tblIssues[Qty Issued],tblIssues[Lot Number],$B577))</f>
        <v/>
      </c>
      <c r="N577" s="26" t="str">
        <f t="shared" si="42"/>
        <v/>
      </c>
      <c r="O577" s="26" t="str">
        <f t="shared" si="43"/>
        <v/>
      </c>
      <c r="P577" s="21" t="str">
        <f t="shared" si="44"/>
        <v/>
      </c>
      <c r="Q577" s="52" t="str">
        <f>IF($A577="","",IF($O577&lt;=0,"Depleted",IF($I577&lt;0,"EXPIRED",IF($I577&lt;=Settings!$C$6,"CRITICAL",IF($I577&lt;=Settings!$C$5,"Expiring","In date")))))</f>
        <v/>
      </c>
    </row>
    <row r="578" spans="1:17" x14ac:dyDescent="0.35">
      <c r="A578" s="90" t="str">
        <f>IF(Receipts!$D581="","",Receipts!$D581)</f>
        <v/>
      </c>
      <c r="B578" s="18" t="str">
        <f>IF(Receipts!$C581="","",Receipts!$C581)</f>
        <v/>
      </c>
      <c r="C578" s="18" t="str">
        <f>IF($A578="","",IFERROR(INDEX(Items!$B$5:$B$597,MATCH($A578,Items!$A$5:$A$597,0)),""))</f>
        <v/>
      </c>
      <c r="D578" s="23" t="str">
        <f>IF($A578="","",N(Receipts!$G581))</f>
        <v/>
      </c>
      <c r="E578" s="20" t="str">
        <f>IF($A578="","",IFERROR(INDEX(Items!$D$5:$D$597,MATCH($A578,Items!$A$5:$A$597,0)),0))</f>
        <v/>
      </c>
      <c r="F578" s="21" t="str">
        <f t="shared" si="40"/>
        <v/>
      </c>
      <c r="G578" s="25" t="str">
        <f>IF(Receipts!$I581="","",Receipts!$I581)</f>
        <v/>
      </c>
      <c r="H578" s="25" t="str">
        <f>IF(Receipts!$H581="","",Receipts!$H581)</f>
        <v/>
      </c>
      <c r="I578" s="26" t="str">
        <f t="shared" ca="1" si="41"/>
        <v/>
      </c>
      <c r="J578" s="26" t="str">
        <f>IF($A578="","",COUNTIFS(tblReceipts[Item Name],$A578,tblReceipts[Expiry Date],"&lt;"&amp;$H578)+COUNTIFS(tblReceipts[Item Name],$A578,tblReceipts[Expiry Date],$H578,tblReceipts[Lot Number],"&lt;="&amp;Receipts!$C581))</f>
        <v/>
      </c>
      <c r="K578" s="26" t="str">
        <f>IF($A578="","",SUMIFS(tblReceipts[Qty Received],tblReceipts[Item Name],$A578,tblReceipts[Expiry Date],"&lt;"&amp;$H578)+SUMIFS(tblReceipts[Qty Received],tblReceipts[Item Name],$A578,tblReceipts[Expiry Date],$H578,tblReceipts[Lot Number],"&lt;"&amp;Receipts!$C581))</f>
        <v/>
      </c>
      <c r="L578" s="26" t="str">
        <f>IF($A578="","",MIN($D578,MAX(0,SUMIFS(tblIssues[Qty Issued],tblIssues[Item Name],$A578)-$K578)))</f>
        <v/>
      </c>
      <c r="M578" s="26" t="str">
        <f>IF($A578="","",SUMIFS(tblIssues[Qty Issued],tblIssues[Lot Number],$B578))</f>
        <v/>
      </c>
      <c r="N578" s="26" t="str">
        <f t="shared" si="42"/>
        <v/>
      </c>
      <c r="O578" s="26" t="str">
        <f t="shared" si="43"/>
        <v/>
      </c>
      <c r="P578" s="21" t="str">
        <f t="shared" si="44"/>
        <v/>
      </c>
      <c r="Q578" s="52" t="str">
        <f>IF($A578="","",IF($O578&lt;=0,"Depleted",IF($I578&lt;0,"EXPIRED",IF($I578&lt;=Settings!$C$6,"CRITICAL",IF($I578&lt;=Settings!$C$5,"Expiring","In date")))))</f>
        <v/>
      </c>
    </row>
    <row r="579" spans="1:17" x14ac:dyDescent="0.35">
      <c r="A579" s="90" t="str">
        <f>IF(Receipts!$D582="","",Receipts!$D582)</f>
        <v/>
      </c>
      <c r="B579" s="18" t="str">
        <f>IF(Receipts!$C582="","",Receipts!$C582)</f>
        <v/>
      </c>
      <c r="C579" s="18" t="str">
        <f>IF($A579="","",IFERROR(INDEX(Items!$B$5:$B$597,MATCH($A579,Items!$A$5:$A$597,0)),""))</f>
        <v/>
      </c>
      <c r="D579" s="23" t="str">
        <f>IF($A579="","",N(Receipts!$G582))</f>
        <v/>
      </c>
      <c r="E579" s="20" t="str">
        <f>IF($A579="","",IFERROR(INDEX(Items!$D$5:$D$597,MATCH($A579,Items!$A$5:$A$597,0)),0))</f>
        <v/>
      </c>
      <c r="F579" s="21" t="str">
        <f t="shared" si="40"/>
        <v/>
      </c>
      <c r="G579" s="25" t="str">
        <f>IF(Receipts!$I582="","",Receipts!$I582)</f>
        <v/>
      </c>
      <c r="H579" s="25" t="str">
        <f>IF(Receipts!$H582="","",Receipts!$H582)</f>
        <v/>
      </c>
      <c r="I579" s="26" t="str">
        <f t="shared" ca="1" si="41"/>
        <v/>
      </c>
      <c r="J579" s="26" t="str">
        <f>IF($A579="","",COUNTIFS(tblReceipts[Item Name],$A579,tblReceipts[Expiry Date],"&lt;"&amp;$H579)+COUNTIFS(tblReceipts[Item Name],$A579,tblReceipts[Expiry Date],$H579,tblReceipts[Lot Number],"&lt;="&amp;Receipts!$C582))</f>
        <v/>
      </c>
      <c r="K579" s="26" t="str">
        <f>IF($A579="","",SUMIFS(tblReceipts[Qty Received],tblReceipts[Item Name],$A579,tblReceipts[Expiry Date],"&lt;"&amp;$H579)+SUMIFS(tblReceipts[Qty Received],tblReceipts[Item Name],$A579,tblReceipts[Expiry Date],$H579,tblReceipts[Lot Number],"&lt;"&amp;Receipts!$C582))</f>
        <v/>
      </c>
      <c r="L579" s="26" t="str">
        <f>IF($A579="","",MIN($D579,MAX(0,SUMIFS(tblIssues[Qty Issued],tblIssues[Item Name],$A579)-$K579)))</f>
        <v/>
      </c>
      <c r="M579" s="26" t="str">
        <f>IF($A579="","",SUMIFS(tblIssues[Qty Issued],tblIssues[Lot Number],$B579))</f>
        <v/>
      </c>
      <c r="N579" s="26" t="str">
        <f t="shared" si="42"/>
        <v/>
      </c>
      <c r="O579" s="26" t="str">
        <f t="shared" si="43"/>
        <v/>
      </c>
      <c r="P579" s="21" t="str">
        <f t="shared" si="44"/>
        <v/>
      </c>
      <c r="Q579" s="52" t="str">
        <f>IF($A579="","",IF($O579&lt;=0,"Depleted",IF($I579&lt;0,"EXPIRED",IF($I579&lt;=Settings!$C$6,"CRITICAL",IF($I579&lt;=Settings!$C$5,"Expiring","In date")))))</f>
        <v/>
      </c>
    </row>
    <row r="580" spans="1:17" x14ac:dyDescent="0.35">
      <c r="A580" s="90" t="str">
        <f>IF(Receipts!$D583="","",Receipts!$D583)</f>
        <v/>
      </c>
      <c r="B580" s="18" t="str">
        <f>IF(Receipts!$C583="","",Receipts!$C583)</f>
        <v/>
      </c>
      <c r="C580" s="18" t="str">
        <f>IF($A580="","",IFERROR(INDEX(Items!$B$5:$B$597,MATCH($A580,Items!$A$5:$A$597,0)),""))</f>
        <v/>
      </c>
      <c r="D580" s="23" t="str">
        <f>IF($A580="","",N(Receipts!$G583))</f>
        <v/>
      </c>
      <c r="E580" s="20" t="str">
        <f>IF($A580="","",IFERROR(INDEX(Items!$D$5:$D$597,MATCH($A580,Items!$A$5:$A$597,0)),0))</f>
        <v/>
      </c>
      <c r="F580" s="21" t="str">
        <f t="shared" si="40"/>
        <v/>
      </c>
      <c r="G580" s="25" t="str">
        <f>IF(Receipts!$I583="","",Receipts!$I583)</f>
        <v/>
      </c>
      <c r="H580" s="25" t="str">
        <f>IF(Receipts!$H583="","",Receipts!$H583)</f>
        <v/>
      </c>
      <c r="I580" s="26" t="str">
        <f t="shared" ca="1" si="41"/>
        <v/>
      </c>
      <c r="J580" s="26" t="str">
        <f>IF($A580="","",COUNTIFS(tblReceipts[Item Name],$A580,tblReceipts[Expiry Date],"&lt;"&amp;$H580)+COUNTIFS(tblReceipts[Item Name],$A580,tblReceipts[Expiry Date],$H580,tblReceipts[Lot Number],"&lt;="&amp;Receipts!$C583))</f>
        <v/>
      </c>
      <c r="K580" s="26" t="str">
        <f>IF($A580="","",SUMIFS(tblReceipts[Qty Received],tblReceipts[Item Name],$A580,tblReceipts[Expiry Date],"&lt;"&amp;$H580)+SUMIFS(tblReceipts[Qty Received],tblReceipts[Item Name],$A580,tblReceipts[Expiry Date],$H580,tblReceipts[Lot Number],"&lt;"&amp;Receipts!$C583))</f>
        <v/>
      </c>
      <c r="L580" s="26" t="str">
        <f>IF($A580="","",MIN($D580,MAX(0,SUMIFS(tblIssues[Qty Issued],tblIssues[Item Name],$A580)-$K580)))</f>
        <v/>
      </c>
      <c r="M580" s="26" t="str">
        <f>IF($A580="","",SUMIFS(tblIssues[Qty Issued],tblIssues[Lot Number],$B580))</f>
        <v/>
      </c>
      <c r="N580" s="26" t="str">
        <f t="shared" si="42"/>
        <v/>
      </c>
      <c r="O580" s="26" t="str">
        <f t="shared" si="43"/>
        <v/>
      </c>
      <c r="P580" s="21" t="str">
        <f t="shared" si="44"/>
        <v/>
      </c>
      <c r="Q580" s="52" t="str">
        <f>IF($A580="","",IF($O580&lt;=0,"Depleted",IF($I580&lt;0,"EXPIRED",IF($I580&lt;=Settings!$C$6,"CRITICAL",IF($I580&lt;=Settings!$C$5,"Expiring","In date")))))</f>
        <v/>
      </c>
    </row>
    <row r="581" spans="1:17" x14ac:dyDescent="0.35">
      <c r="A581" s="90" t="str">
        <f>IF(Receipts!$D584="","",Receipts!$D584)</f>
        <v/>
      </c>
      <c r="B581" s="18" t="str">
        <f>IF(Receipts!$C584="","",Receipts!$C584)</f>
        <v/>
      </c>
      <c r="C581" s="18" t="str">
        <f>IF($A581="","",IFERROR(INDEX(Items!$B$5:$B$597,MATCH($A581,Items!$A$5:$A$597,0)),""))</f>
        <v/>
      </c>
      <c r="D581" s="23" t="str">
        <f>IF($A581="","",N(Receipts!$G584))</f>
        <v/>
      </c>
      <c r="E581" s="20" t="str">
        <f>IF($A581="","",IFERROR(INDEX(Items!$D$5:$D$597,MATCH($A581,Items!$A$5:$A$597,0)),0))</f>
        <v/>
      </c>
      <c r="F581" s="21" t="str">
        <f t="shared" ref="F581:F644" si="45">IF($A581="","",$D581*$E581)</f>
        <v/>
      </c>
      <c r="G581" s="25" t="str">
        <f>IF(Receipts!$I584="","",Receipts!$I584)</f>
        <v/>
      </c>
      <c r="H581" s="25" t="str">
        <f>IF(Receipts!$H584="","",Receipts!$H584)</f>
        <v/>
      </c>
      <c r="I581" s="26" t="str">
        <f t="shared" ref="I581:I644" ca="1" si="46">IF($H581="","",$H581-TODAY())</f>
        <v/>
      </c>
      <c r="J581" s="26" t="str">
        <f>IF($A581="","",COUNTIFS(tblReceipts[Item Name],$A581,tblReceipts[Expiry Date],"&lt;"&amp;$H581)+COUNTIFS(tblReceipts[Item Name],$A581,tblReceipts[Expiry Date],$H581,tblReceipts[Lot Number],"&lt;="&amp;Receipts!$C584))</f>
        <v/>
      </c>
      <c r="K581" s="26" t="str">
        <f>IF($A581="","",SUMIFS(tblReceipts[Qty Received],tblReceipts[Item Name],$A581,tblReceipts[Expiry Date],"&lt;"&amp;$H581)+SUMIFS(tblReceipts[Qty Received],tblReceipts[Item Name],$A581,tblReceipts[Expiry Date],$H581,tblReceipts[Lot Number],"&lt;"&amp;Receipts!$C584))</f>
        <v/>
      </c>
      <c r="L581" s="26" t="str">
        <f>IF($A581="","",MIN($D581,MAX(0,SUMIFS(tblIssues[Qty Issued],tblIssues[Item Name],$A581)-$K581)))</f>
        <v/>
      </c>
      <c r="M581" s="26" t="str">
        <f>IF($A581="","",SUMIFS(tblIssues[Qty Issued],tblIssues[Lot Number],$B581))</f>
        <v/>
      </c>
      <c r="N581" s="26" t="str">
        <f t="shared" ref="N581:N644" si="47">IF($A581="","",$M581-$L581)</f>
        <v/>
      </c>
      <c r="O581" s="26" t="str">
        <f t="shared" ref="O581:O644" si="48">IF($A581="","",$D581-$L581)</f>
        <v/>
      </c>
      <c r="P581" s="21" t="str">
        <f t="shared" ref="P581:P644" si="49">IF($A581="","",$O581*$E581)</f>
        <v/>
      </c>
      <c r="Q581" s="52" t="str">
        <f>IF($A581="","",IF($O581&lt;=0,"Depleted",IF($I581&lt;0,"EXPIRED",IF($I581&lt;=Settings!$C$6,"CRITICAL",IF($I581&lt;=Settings!$C$5,"Expiring","In date")))))</f>
        <v/>
      </c>
    </row>
    <row r="582" spans="1:17" x14ac:dyDescent="0.35">
      <c r="A582" s="90" t="str">
        <f>IF(Receipts!$D585="","",Receipts!$D585)</f>
        <v/>
      </c>
      <c r="B582" s="18" t="str">
        <f>IF(Receipts!$C585="","",Receipts!$C585)</f>
        <v/>
      </c>
      <c r="C582" s="18" t="str">
        <f>IF($A582="","",IFERROR(INDEX(Items!$B$5:$B$597,MATCH($A582,Items!$A$5:$A$597,0)),""))</f>
        <v/>
      </c>
      <c r="D582" s="23" t="str">
        <f>IF($A582="","",N(Receipts!$G585))</f>
        <v/>
      </c>
      <c r="E582" s="20" t="str">
        <f>IF($A582="","",IFERROR(INDEX(Items!$D$5:$D$597,MATCH($A582,Items!$A$5:$A$597,0)),0))</f>
        <v/>
      </c>
      <c r="F582" s="21" t="str">
        <f t="shared" si="45"/>
        <v/>
      </c>
      <c r="G582" s="25" t="str">
        <f>IF(Receipts!$I585="","",Receipts!$I585)</f>
        <v/>
      </c>
      <c r="H582" s="25" t="str">
        <f>IF(Receipts!$H585="","",Receipts!$H585)</f>
        <v/>
      </c>
      <c r="I582" s="26" t="str">
        <f t="shared" ca="1" si="46"/>
        <v/>
      </c>
      <c r="J582" s="26" t="str">
        <f>IF($A582="","",COUNTIFS(tblReceipts[Item Name],$A582,tblReceipts[Expiry Date],"&lt;"&amp;$H582)+COUNTIFS(tblReceipts[Item Name],$A582,tblReceipts[Expiry Date],$H582,tblReceipts[Lot Number],"&lt;="&amp;Receipts!$C585))</f>
        <v/>
      </c>
      <c r="K582" s="26" t="str">
        <f>IF($A582="","",SUMIFS(tblReceipts[Qty Received],tblReceipts[Item Name],$A582,tblReceipts[Expiry Date],"&lt;"&amp;$H582)+SUMIFS(tblReceipts[Qty Received],tblReceipts[Item Name],$A582,tblReceipts[Expiry Date],$H582,tblReceipts[Lot Number],"&lt;"&amp;Receipts!$C585))</f>
        <v/>
      </c>
      <c r="L582" s="26" t="str">
        <f>IF($A582="","",MIN($D582,MAX(0,SUMIFS(tblIssues[Qty Issued],tblIssues[Item Name],$A582)-$K582)))</f>
        <v/>
      </c>
      <c r="M582" s="26" t="str">
        <f>IF($A582="","",SUMIFS(tblIssues[Qty Issued],tblIssues[Lot Number],$B582))</f>
        <v/>
      </c>
      <c r="N582" s="26" t="str">
        <f t="shared" si="47"/>
        <v/>
      </c>
      <c r="O582" s="26" t="str">
        <f t="shared" si="48"/>
        <v/>
      </c>
      <c r="P582" s="21" t="str">
        <f t="shared" si="49"/>
        <v/>
      </c>
      <c r="Q582" s="52" t="str">
        <f>IF($A582="","",IF($O582&lt;=0,"Depleted",IF($I582&lt;0,"EXPIRED",IF($I582&lt;=Settings!$C$6,"CRITICAL",IF($I582&lt;=Settings!$C$5,"Expiring","In date")))))</f>
        <v/>
      </c>
    </row>
    <row r="583" spans="1:17" x14ac:dyDescent="0.35">
      <c r="A583" s="90" t="str">
        <f>IF(Receipts!$D586="","",Receipts!$D586)</f>
        <v/>
      </c>
      <c r="B583" s="18" t="str">
        <f>IF(Receipts!$C586="","",Receipts!$C586)</f>
        <v/>
      </c>
      <c r="C583" s="18" t="str">
        <f>IF($A583="","",IFERROR(INDEX(Items!$B$5:$B$597,MATCH($A583,Items!$A$5:$A$597,0)),""))</f>
        <v/>
      </c>
      <c r="D583" s="23" t="str">
        <f>IF($A583="","",N(Receipts!$G586))</f>
        <v/>
      </c>
      <c r="E583" s="20" t="str">
        <f>IF($A583="","",IFERROR(INDEX(Items!$D$5:$D$597,MATCH($A583,Items!$A$5:$A$597,0)),0))</f>
        <v/>
      </c>
      <c r="F583" s="21" t="str">
        <f t="shared" si="45"/>
        <v/>
      </c>
      <c r="G583" s="25" t="str">
        <f>IF(Receipts!$I586="","",Receipts!$I586)</f>
        <v/>
      </c>
      <c r="H583" s="25" t="str">
        <f>IF(Receipts!$H586="","",Receipts!$H586)</f>
        <v/>
      </c>
      <c r="I583" s="26" t="str">
        <f t="shared" ca="1" si="46"/>
        <v/>
      </c>
      <c r="J583" s="26" t="str">
        <f>IF($A583="","",COUNTIFS(tblReceipts[Item Name],$A583,tblReceipts[Expiry Date],"&lt;"&amp;$H583)+COUNTIFS(tblReceipts[Item Name],$A583,tblReceipts[Expiry Date],$H583,tblReceipts[Lot Number],"&lt;="&amp;Receipts!$C586))</f>
        <v/>
      </c>
      <c r="K583" s="26" t="str">
        <f>IF($A583="","",SUMIFS(tblReceipts[Qty Received],tblReceipts[Item Name],$A583,tblReceipts[Expiry Date],"&lt;"&amp;$H583)+SUMIFS(tblReceipts[Qty Received],tblReceipts[Item Name],$A583,tblReceipts[Expiry Date],$H583,tblReceipts[Lot Number],"&lt;"&amp;Receipts!$C586))</f>
        <v/>
      </c>
      <c r="L583" s="26" t="str">
        <f>IF($A583="","",MIN($D583,MAX(0,SUMIFS(tblIssues[Qty Issued],tblIssues[Item Name],$A583)-$K583)))</f>
        <v/>
      </c>
      <c r="M583" s="26" t="str">
        <f>IF($A583="","",SUMIFS(tblIssues[Qty Issued],tblIssues[Lot Number],$B583))</f>
        <v/>
      </c>
      <c r="N583" s="26" t="str">
        <f t="shared" si="47"/>
        <v/>
      </c>
      <c r="O583" s="26" t="str">
        <f t="shared" si="48"/>
        <v/>
      </c>
      <c r="P583" s="21" t="str">
        <f t="shared" si="49"/>
        <v/>
      </c>
      <c r="Q583" s="52" t="str">
        <f>IF($A583="","",IF($O583&lt;=0,"Depleted",IF($I583&lt;0,"EXPIRED",IF($I583&lt;=Settings!$C$6,"CRITICAL",IF($I583&lt;=Settings!$C$5,"Expiring","In date")))))</f>
        <v/>
      </c>
    </row>
    <row r="584" spans="1:17" x14ac:dyDescent="0.35">
      <c r="A584" s="90" t="str">
        <f>IF(Receipts!$D587="","",Receipts!$D587)</f>
        <v/>
      </c>
      <c r="B584" s="18" t="str">
        <f>IF(Receipts!$C587="","",Receipts!$C587)</f>
        <v/>
      </c>
      <c r="C584" s="18" t="str">
        <f>IF($A584="","",IFERROR(INDEX(Items!$B$5:$B$597,MATCH($A584,Items!$A$5:$A$597,0)),""))</f>
        <v/>
      </c>
      <c r="D584" s="23" t="str">
        <f>IF($A584="","",N(Receipts!$G587))</f>
        <v/>
      </c>
      <c r="E584" s="20" t="str">
        <f>IF($A584="","",IFERROR(INDEX(Items!$D$5:$D$597,MATCH($A584,Items!$A$5:$A$597,0)),0))</f>
        <v/>
      </c>
      <c r="F584" s="21" t="str">
        <f t="shared" si="45"/>
        <v/>
      </c>
      <c r="G584" s="25" t="str">
        <f>IF(Receipts!$I587="","",Receipts!$I587)</f>
        <v/>
      </c>
      <c r="H584" s="25" t="str">
        <f>IF(Receipts!$H587="","",Receipts!$H587)</f>
        <v/>
      </c>
      <c r="I584" s="26" t="str">
        <f t="shared" ca="1" si="46"/>
        <v/>
      </c>
      <c r="J584" s="26" t="str">
        <f>IF($A584="","",COUNTIFS(tblReceipts[Item Name],$A584,tblReceipts[Expiry Date],"&lt;"&amp;$H584)+COUNTIFS(tblReceipts[Item Name],$A584,tblReceipts[Expiry Date],$H584,tblReceipts[Lot Number],"&lt;="&amp;Receipts!$C587))</f>
        <v/>
      </c>
      <c r="K584" s="26" t="str">
        <f>IF($A584="","",SUMIFS(tblReceipts[Qty Received],tblReceipts[Item Name],$A584,tblReceipts[Expiry Date],"&lt;"&amp;$H584)+SUMIFS(tblReceipts[Qty Received],tblReceipts[Item Name],$A584,tblReceipts[Expiry Date],$H584,tblReceipts[Lot Number],"&lt;"&amp;Receipts!$C587))</f>
        <v/>
      </c>
      <c r="L584" s="26" t="str">
        <f>IF($A584="","",MIN($D584,MAX(0,SUMIFS(tblIssues[Qty Issued],tblIssues[Item Name],$A584)-$K584)))</f>
        <v/>
      </c>
      <c r="M584" s="26" t="str">
        <f>IF($A584="","",SUMIFS(tblIssues[Qty Issued],tblIssues[Lot Number],$B584))</f>
        <v/>
      </c>
      <c r="N584" s="26" t="str">
        <f t="shared" si="47"/>
        <v/>
      </c>
      <c r="O584" s="26" t="str">
        <f t="shared" si="48"/>
        <v/>
      </c>
      <c r="P584" s="21" t="str">
        <f t="shared" si="49"/>
        <v/>
      </c>
      <c r="Q584" s="52" t="str">
        <f>IF($A584="","",IF($O584&lt;=0,"Depleted",IF($I584&lt;0,"EXPIRED",IF($I584&lt;=Settings!$C$6,"CRITICAL",IF($I584&lt;=Settings!$C$5,"Expiring","In date")))))</f>
        <v/>
      </c>
    </row>
    <row r="585" spans="1:17" x14ac:dyDescent="0.35">
      <c r="A585" s="90" t="str">
        <f>IF(Receipts!$D588="","",Receipts!$D588)</f>
        <v/>
      </c>
      <c r="B585" s="18" t="str">
        <f>IF(Receipts!$C588="","",Receipts!$C588)</f>
        <v/>
      </c>
      <c r="C585" s="18" t="str">
        <f>IF($A585="","",IFERROR(INDEX(Items!$B$5:$B$597,MATCH($A585,Items!$A$5:$A$597,0)),""))</f>
        <v/>
      </c>
      <c r="D585" s="23" t="str">
        <f>IF($A585="","",N(Receipts!$G588))</f>
        <v/>
      </c>
      <c r="E585" s="20" t="str">
        <f>IF($A585="","",IFERROR(INDEX(Items!$D$5:$D$597,MATCH($A585,Items!$A$5:$A$597,0)),0))</f>
        <v/>
      </c>
      <c r="F585" s="21" t="str">
        <f t="shared" si="45"/>
        <v/>
      </c>
      <c r="G585" s="25" t="str">
        <f>IF(Receipts!$I588="","",Receipts!$I588)</f>
        <v/>
      </c>
      <c r="H585" s="25" t="str">
        <f>IF(Receipts!$H588="","",Receipts!$H588)</f>
        <v/>
      </c>
      <c r="I585" s="26" t="str">
        <f t="shared" ca="1" si="46"/>
        <v/>
      </c>
      <c r="J585" s="26" t="str">
        <f>IF($A585="","",COUNTIFS(tblReceipts[Item Name],$A585,tblReceipts[Expiry Date],"&lt;"&amp;$H585)+COUNTIFS(tblReceipts[Item Name],$A585,tblReceipts[Expiry Date],$H585,tblReceipts[Lot Number],"&lt;="&amp;Receipts!$C588))</f>
        <v/>
      </c>
      <c r="K585" s="26" t="str">
        <f>IF($A585="","",SUMIFS(tblReceipts[Qty Received],tblReceipts[Item Name],$A585,tblReceipts[Expiry Date],"&lt;"&amp;$H585)+SUMIFS(tblReceipts[Qty Received],tblReceipts[Item Name],$A585,tblReceipts[Expiry Date],$H585,tblReceipts[Lot Number],"&lt;"&amp;Receipts!$C588))</f>
        <v/>
      </c>
      <c r="L585" s="26" t="str">
        <f>IF($A585="","",MIN($D585,MAX(0,SUMIFS(tblIssues[Qty Issued],tblIssues[Item Name],$A585)-$K585)))</f>
        <v/>
      </c>
      <c r="M585" s="26" t="str">
        <f>IF($A585="","",SUMIFS(tblIssues[Qty Issued],tblIssues[Lot Number],$B585))</f>
        <v/>
      </c>
      <c r="N585" s="26" t="str">
        <f t="shared" si="47"/>
        <v/>
      </c>
      <c r="O585" s="26" t="str">
        <f t="shared" si="48"/>
        <v/>
      </c>
      <c r="P585" s="21" t="str">
        <f t="shared" si="49"/>
        <v/>
      </c>
      <c r="Q585" s="52" t="str">
        <f>IF($A585="","",IF($O585&lt;=0,"Depleted",IF($I585&lt;0,"EXPIRED",IF($I585&lt;=Settings!$C$6,"CRITICAL",IF($I585&lt;=Settings!$C$5,"Expiring","In date")))))</f>
        <v/>
      </c>
    </row>
    <row r="586" spans="1:17" x14ac:dyDescent="0.35">
      <c r="A586" s="90" t="str">
        <f>IF(Receipts!$D589="","",Receipts!$D589)</f>
        <v/>
      </c>
      <c r="B586" s="18" t="str">
        <f>IF(Receipts!$C589="","",Receipts!$C589)</f>
        <v/>
      </c>
      <c r="C586" s="18" t="str">
        <f>IF($A586="","",IFERROR(INDEX(Items!$B$5:$B$597,MATCH($A586,Items!$A$5:$A$597,0)),""))</f>
        <v/>
      </c>
      <c r="D586" s="23" t="str">
        <f>IF($A586="","",N(Receipts!$G589))</f>
        <v/>
      </c>
      <c r="E586" s="20" t="str">
        <f>IF($A586="","",IFERROR(INDEX(Items!$D$5:$D$597,MATCH($A586,Items!$A$5:$A$597,0)),0))</f>
        <v/>
      </c>
      <c r="F586" s="21" t="str">
        <f t="shared" si="45"/>
        <v/>
      </c>
      <c r="G586" s="25" t="str">
        <f>IF(Receipts!$I589="","",Receipts!$I589)</f>
        <v/>
      </c>
      <c r="H586" s="25" t="str">
        <f>IF(Receipts!$H589="","",Receipts!$H589)</f>
        <v/>
      </c>
      <c r="I586" s="26" t="str">
        <f t="shared" ca="1" si="46"/>
        <v/>
      </c>
      <c r="J586" s="26" t="str">
        <f>IF($A586="","",COUNTIFS(tblReceipts[Item Name],$A586,tblReceipts[Expiry Date],"&lt;"&amp;$H586)+COUNTIFS(tblReceipts[Item Name],$A586,tblReceipts[Expiry Date],$H586,tblReceipts[Lot Number],"&lt;="&amp;Receipts!$C589))</f>
        <v/>
      </c>
      <c r="K586" s="26" t="str">
        <f>IF($A586="","",SUMIFS(tblReceipts[Qty Received],tblReceipts[Item Name],$A586,tblReceipts[Expiry Date],"&lt;"&amp;$H586)+SUMIFS(tblReceipts[Qty Received],tblReceipts[Item Name],$A586,tblReceipts[Expiry Date],$H586,tblReceipts[Lot Number],"&lt;"&amp;Receipts!$C589))</f>
        <v/>
      </c>
      <c r="L586" s="26" t="str">
        <f>IF($A586="","",MIN($D586,MAX(0,SUMIFS(tblIssues[Qty Issued],tblIssues[Item Name],$A586)-$K586)))</f>
        <v/>
      </c>
      <c r="M586" s="26" t="str">
        <f>IF($A586="","",SUMIFS(tblIssues[Qty Issued],tblIssues[Lot Number],$B586))</f>
        <v/>
      </c>
      <c r="N586" s="26" t="str">
        <f t="shared" si="47"/>
        <v/>
      </c>
      <c r="O586" s="26" t="str">
        <f t="shared" si="48"/>
        <v/>
      </c>
      <c r="P586" s="21" t="str">
        <f t="shared" si="49"/>
        <v/>
      </c>
      <c r="Q586" s="52" t="str">
        <f>IF($A586="","",IF($O586&lt;=0,"Depleted",IF($I586&lt;0,"EXPIRED",IF($I586&lt;=Settings!$C$6,"CRITICAL",IF($I586&lt;=Settings!$C$5,"Expiring","In date")))))</f>
        <v/>
      </c>
    </row>
    <row r="587" spans="1:17" x14ac:dyDescent="0.35">
      <c r="A587" s="90" t="str">
        <f>IF(Receipts!$D590="","",Receipts!$D590)</f>
        <v/>
      </c>
      <c r="B587" s="18" t="str">
        <f>IF(Receipts!$C590="","",Receipts!$C590)</f>
        <v/>
      </c>
      <c r="C587" s="18" t="str">
        <f>IF($A587="","",IFERROR(INDEX(Items!$B$5:$B$597,MATCH($A587,Items!$A$5:$A$597,0)),""))</f>
        <v/>
      </c>
      <c r="D587" s="23" t="str">
        <f>IF($A587="","",N(Receipts!$G590))</f>
        <v/>
      </c>
      <c r="E587" s="20" t="str">
        <f>IF($A587="","",IFERROR(INDEX(Items!$D$5:$D$597,MATCH($A587,Items!$A$5:$A$597,0)),0))</f>
        <v/>
      </c>
      <c r="F587" s="21" t="str">
        <f t="shared" si="45"/>
        <v/>
      </c>
      <c r="G587" s="25" t="str">
        <f>IF(Receipts!$I590="","",Receipts!$I590)</f>
        <v/>
      </c>
      <c r="H587" s="25" t="str">
        <f>IF(Receipts!$H590="","",Receipts!$H590)</f>
        <v/>
      </c>
      <c r="I587" s="26" t="str">
        <f t="shared" ca="1" si="46"/>
        <v/>
      </c>
      <c r="J587" s="26" t="str">
        <f>IF($A587="","",COUNTIFS(tblReceipts[Item Name],$A587,tblReceipts[Expiry Date],"&lt;"&amp;$H587)+COUNTIFS(tblReceipts[Item Name],$A587,tblReceipts[Expiry Date],$H587,tblReceipts[Lot Number],"&lt;="&amp;Receipts!$C590))</f>
        <v/>
      </c>
      <c r="K587" s="26" t="str">
        <f>IF($A587="","",SUMIFS(tblReceipts[Qty Received],tblReceipts[Item Name],$A587,tblReceipts[Expiry Date],"&lt;"&amp;$H587)+SUMIFS(tblReceipts[Qty Received],tblReceipts[Item Name],$A587,tblReceipts[Expiry Date],$H587,tblReceipts[Lot Number],"&lt;"&amp;Receipts!$C590))</f>
        <v/>
      </c>
      <c r="L587" s="26" t="str">
        <f>IF($A587="","",MIN($D587,MAX(0,SUMIFS(tblIssues[Qty Issued],tblIssues[Item Name],$A587)-$K587)))</f>
        <v/>
      </c>
      <c r="M587" s="26" t="str">
        <f>IF($A587="","",SUMIFS(tblIssues[Qty Issued],tblIssues[Lot Number],$B587))</f>
        <v/>
      </c>
      <c r="N587" s="26" t="str">
        <f t="shared" si="47"/>
        <v/>
      </c>
      <c r="O587" s="26" t="str">
        <f t="shared" si="48"/>
        <v/>
      </c>
      <c r="P587" s="21" t="str">
        <f t="shared" si="49"/>
        <v/>
      </c>
      <c r="Q587" s="52" t="str">
        <f>IF($A587="","",IF($O587&lt;=0,"Depleted",IF($I587&lt;0,"EXPIRED",IF($I587&lt;=Settings!$C$6,"CRITICAL",IF($I587&lt;=Settings!$C$5,"Expiring","In date")))))</f>
        <v/>
      </c>
    </row>
    <row r="588" spans="1:17" x14ac:dyDescent="0.35">
      <c r="A588" s="90" t="str">
        <f>IF(Receipts!$D591="","",Receipts!$D591)</f>
        <v/>
      </c>
      <c r="B588" s="18" t="str">
        <f>IF(Receipts!$C591="","",Receipts!$C591)</f>
        <v/>
      </c>
      <c r="C588" s="18" t="str">
        <f>IF($A588="","",IFERROR(INDEX(Items!$B$5:$B$597,MATCH($A588,Items!$A$5:$A$597,0)),""))</f>
        <v/>
      </c>
      <c r="D588" s="23" t="str">
        <f>IF($A588="","",N(Receipts!$G591))</f>
        <v/>
      </c>
      <c r="E588" s="20" t="str">
        <f>IF($A588="","",IFERROR(INDEX(Items!$D$5:$D$597,MATCH($A588,Items!$A$5:$A$597,0)),0))</f>
        <v/>
      </c>
      <c r="F588" s="21" t="str">
        <f t="shared" si="45"/>
        <v/>
      </c>
      <c r="G588" s="25" t="str">
        <f>IF(Receipts!$I591="","",Receipts!$I591)</f>
        <v/>
      </c>
      <c r="H588" s="25" t="str">
        <f>IF(Receipts!$H591="","",Receipts!$H591)</f>
        <v/>
      </c>
      <c r="I588" s="26" t="str">
        <f t="shared" ca="1" si="46"/>
        <v/>
      </c>
      <c r="J588" s="26" t="str">
        <f>IF($A588="","",COUNTIFS(tblReceipts[Item Name],$A588,tblReceipts[Expiry Date],"&lt;"&amp;$H588)+COUNTIFS(tblReceipts[Item Name],$A588,tblReceipts[Expiry Date],$H588,tblReceipts[Lot Number],"&lt;="&amp;Receipts!$C591))</f>
        <v/>
      </c>
      <c r="K588" s="26" t="str">
        <f>IF($A588="","",SUMIFS(tblReceipts[Qty Received],tblReceipts[Item Name],$A588,tblReceipts[Expiry Date],"&lt;"&amp;$H588)+SUMIFS(tblReceipts[Qty Received],tblReceipts[Item Name],$A588,tblReceipts[Expiry Date],$H588,tblReceipts[Lot Number],"&lt;"&amp;Receipts!$C591))</f>
        <v/>
      </c>
      <c r="L588" s="26" t="str">
        <f>IF($A588="","",MIN($D588,MAX(0,SUMIFS(tblIssues[Qty Issued],tblIssues[Item Name],$A588)-$K588)))</f>
        <v/>
      </c>
      <c r="M588" s="26" t="str">
        <f>IF($A588="","",SUMIFS(tblIssues[Qty Issued],tblIssues[Lot Number],$B588))</f>
        <v/>
      </c>
      <c r="N588" s="26" t="str">
        <f t="shared" si="47"/>
        <v/>
      </c>
      <c r="O588" s="26" t="str">
        <f t="shared" si="48"/>
        <v/>
      </c>
      <c r="P588" s="21" t="str">
        <f t="shared" si="49"/>
        <v/>
      </c>
      <c r="Q588" s="52" t="str">
        <f>IF($A588="","",IF($O588&lt;=0,"Depleted",IF($I588&lt;0,"EXPIRED",IF($I588&lt;=Settings!$C$6,"CRITICAL",IF($I588&lt;=Settings!$C$5,"Expiring","In date")))))</f>
        <v/>
      </c>
    </row>
    <row r="589" spans="1:17" x14ac:dyDescent="0.35">
      <c r="A589" s="90" t="str">
        <f>IF(Receipts!$D592="","",Receipts!$D592)</f>
        <v/>
      </c>
      <c r="B589" s="18" t="str">
        <f>IF(Receipts!$C592="","",Receipts!$C592)</f>
        <v/>
      </c>
      <c r="C589" s="18" t="str">
        <f>IF($A589="","",IFERROR(INDEX(Items!$B$5:$B$597,MATCH($A589,Items!$A$5:$A$597,0)),""))</f>
        <v/>
      </c>
      <c r="D589" s="23" t="str">
        <f>IF($A589="","",N(Receipts!$G592))</f>
        <v/>
      </c>
      <c r="E589" s="20" t="str">
        <f>IF($A589="","",IFERROR(INDEX(Items!$D$5:$D$597,MATCH($A589,Items!$A$5:$A$597,0)),0))</f>
        <v/>
      </c>
      <c r="F589" s="21" t="str">
        <f t="shared" si="45"/>
        <v/>
      </c>
      <c r="G589" s="25" t="str">
        <f>IF(Receipts!$I592="","",Receipts!$I592)</f>
        <v/>
      </c>
      <c r="H589" s="25" t="str">
        <f>IF(Receipts!$H592="","",Receipts!$H592)</f>
        <v/>
      </c>
      <c r="I589" s="26" t="str">
        <f t="shared" ca="1" si="46"/>
        <v/>
      </c>
      <c r="J589" s="26" t="str">
        <f>IF($A589="","",COUNTIFS(tblReceipts[Item Name],$A589,tblReceipts[Expiry Date],"&lt;"&amp;$H589)+COUNTIFS(tblReceipts[Item Name],$A589,tblReceipts[Expiry Date],$H589,tblReceipts[Lot Number],"&lt;="&amp;Receipts!$C592))</f>
        <v/>
      </c>
      <c r="K589" s="26" t="str">
        <f>IF($A589="","",SUMIFS(tblReceipts[Qty Received],tblReceipts[Item Name],$A589,tblReceipts[Expiry Date],"&lt;"&amp;$H589)+SUMIFS(tblReceipts[Qty Received],tblReceipts[Item Name],$A589,tblReceipts[Expiry Date],$H589,tblReceipts[Lot Number],"&lt;"&amp;Receipts!$C592))</f>
        <v/>
      </c>
      <c r="L589" s="26" t="str">
        <f>IF($A589="","",MIN($D589,MAX(0,SUMIFS(tblIssues[Qty Issued],tblIssues[Item Name],$A589)-$K589)))</f>
        <v/>
      </c>
      <c r="M589" s="26" t="str">
        <f>IF($A589="","",SUMIFS(tblIssues[Qty Issued],tblIssues[Lot Number],$B589))</f>
        <v/>
      </c>
      <c r="N589" s="26" t="str">
        <f t="shared" si="47"/>
        <v/>
      </c>
      <c r="O589" s="26" t="str">
        <f t="shared" si="48"/>
        <v/>
      </c>
      <c r="P589" s="21" t="str">
        <f t="shared" si="49"/>
        <v/>
      </c>
      <c r="Q589" s="52" t="str">
        <f>IF($A589="","",IF($O589&lt;=0,"Depleted",IF($I589&lt;0,"EXPIRED",IF($I589&lt;=Settings!$C$6,"CRITICAL",IF($I589&lt;=Settings!$C$5,"Expiring","In date")))))</f>
        <v/>
      </c>
    </row>
    <row r="590" spans="1:17" x14ac:dyDescent="0.35">
      <c r="A590" s="90" t="str">
        <f>IF(Receipts!$D593="","",Receipts!$D593)</f>
        <v/>
      </c>
      <c r="B590" s="18" t="str">
        <f>IF(Receipts!$C593="","",Receipts!$C593)</f>
        <v/>
      </c>
      <c r="C590" s="18" t="str">
        <f>IF($A590="","",IFERROR(INDEX(Items!$B$5:$B$597,MATCH($A590,Items!$A$5:$A$597,0)),""))</f>
        <v/>
      </c>
      <c r="D590" s="23" t="str">
        <f>IF($A590="","",N(Receipts!$G593))</f>
        <v/>
      </c>
      <c r="E590" s="20" t="str">
        <f>IF($A590="","",IFERROR(INDEX(Items!$D$5:$D$597,MATCH($A590,Items!$A$5:$A$597,0)),0))</f>
        <v/>
      </c>
      <c r="F590" s="21" t="str">
        <f t="shared" si="45"/>
        <v/>
      </c>
      <c r="G590" s="25" t="str">
        <f>IF(Receipts!$I593="","",Receipts!$I593)</f>
        <v/>
      </c>
      <c r="H590" s="25" t="str">
        <f>IF(Receipts!$H593="","",Receipts!$H593)</f>
        <v/>
      </c>
      <c r="I590" s="26" t="str">
        <f t="shared" ca="1" si="46"/>
        <v/>
      </c>
      <c r="J590" s="26" t="str">
        <f>IF($A590="","",COUNTIFS(tblReceipts[Item Name],$A590,tblReceipts[Expiry Date],"&lt;"&amp;$H590)+COUNTIFS(tblReceipts[Item Name],$A590,tblReceipts[Expiry Date],$H590,tblReceipts[Lot Number],"&lt;="&amp;Receipts!$C593))</f>
        <v/>
      </c>
      <c r="K590" s="26" t="str">
        <f>IF($A590="","",SUMIFS(tblReceipts[Qty Received],tblReceipts[Item Name],$A590,tblReceipts[Expiry Date],"&lt;"&amp;$H590)+SUMIFS(tblReceipts[Qty Received],tblReceipts[Item Name],$A590,tblReceipts[Expiry Date],$H590,tblReceipts[Lot Number],"&lt;"&amp;Receipts!$C593))</f>
        <v/>
      </c>
      <c r="L590" s="26" t="str">
        <f>IF($A590="","",MIN($D590,MAX(0,SUMIFS(tblIssues[Qty Issued],tblIssues[Item Name],$A590)-$K590)))</f>
        <v/>
      </c>
      <c r="M590" s="26" t="str">
        <f>IF($A590="","",SUMIFS(tblIssues[Qty Issued],tblIssues[Lot Number],$B590))</f>
        <v/>
      </c>
      <c r="N590" s="26" t="str">
        <f t="shared" si="47"/>
        <v/>
      </c>
      <c r="O590" s="26" t="str">
        <f t="shared" si="48"/>
        <v/>
      </c>
      <c r="P590" s="21" t="str">
        <f t="shared" si="49"/>
        <v/>
      </c>
      <c r="Q590" s="52" t="str">
        <f>IF($A590="","",IF($O590&lt;=0,"Depleted",IF($I590&lt;0,"EXPIRED",IF($I590&lt;=Settings!$C$6,"CRITICAL",IF($I590&lt;=Settings!$C$5,"Expiring","In date")))))</f>
        <v/>
      </c>
    </row>
    <row r="591" spans="1:17" x14ac:dyDescent="0.35">
      <c r="A591" s="90" t="str">
        <f>IF(Receipts!$D594="","",Receipts!$D594)</f>
        <v/>
      </c>
      <c r="B591" s="18" t="str">
        <f>IF(Receipts!$C594="","",Receipts!$C594)</f>
        <v/>
      </c>
      <c r="C591" s="18" t="str">
        <f>IF($A591="","",IFERROR(INDEX(Items!$B$5:$B$597,MATCH($A591,Items!$A$5:$A$597,0)),""))</f>
        <v/>
      </c>
      <c r="D591" s="23" t="str">
        <f>IF($A591="","",N(Receipts!$G594))</f>
        <v/>
      </c>
      <c r="E591" s="20" t="str">
        <f>IF($A591="","",IFERROR(INDEX(Items!$D$5:$D$597,MATCH($A591,Items!$A$5:$A$597,0)),0))</f>
        <v/>
      </c>
      <c r="F591" s="21" t="str">
        <f t="shared" si="45"/>
        <v/>
      </c>
      <c r="G591" s="25" t="str">
        <f>IF(Receipts!$I594="","",Receipts!$I594)</f>
        <v/>
      </c>
      <c r="H591" s="25" t="str">
        <f>IF(Receipts!$H594="","",Receipts!$H594)</f>
        <v/>
      </c>
      <c r="I591" s="26" t="str">
        <f t="shared" ca="1" si="46"/>
        <v/>
      </c>
      <c r="J591" s="26" t="str">
        <f>IF($A591="","",COUNTIFS(tblReceipts[Item Name],$A591,tblReceipts[Expiry Date],"&lt;"&amp;$H591)+COUNTIFS(tblReceipts[Item Name],$A591,tblReceipts[Expiry Date],$H591,tblReceipts[Lot Number],"&lt;="&amp;Receipts!$C594))</f>
        <v/>
      </c>
      <c r="K591" s="26" t="str">
        <f>IF($A591="","",SUMIFS(tblReceipts[Qty Received],tblReceipts[Item Name],$A591,tblReceipts[Expiry Date],"&lt;"&amp;$H591)+SUMIFS(tblReceipts[Qty Received],tblReceipts[Item Name],$A591,tblReceipts[Expiry Date],$H591,tblReceipts[Lot Number],"&lt;"&amp;Receipts!$C594))</f>
        <v/>
      </c>
      <c r="L591" s="26" t="str">
        <f>IF($A591="","",MIN($D591,MAX(0,SUMIFS(tblIssues[Qty Issued],tblIssues[Item Name],$A591)-$K591)))</f>
        <v/>
      </c>
      <c r="M591" s="26" t="str">
        <f>IF($A591="","",SUMIFS(tblIssues[Qty Issued],tblIssues[Lot Number],$B591))</f>
        <v/>
      </c>
      <c r="N591" s="26" t="str">
        <f t="shared" si="47"/>
        <v/>
      </c>
      <c r="O591" s="26" t="str">
        <f t="shared" si="48"/>
        <v/>
      </c>
      <c r="P591" s="21" t="str">
        <f t="shared" si="49"/>
        <v/>
      </c>
      <c r="Q591" s="52" t="str">
        <f>IF($A591="","",IF($O591&lt;=0,"Depleted",IF($I591&lt;0,"EXPIRED",IF($I591&lt;=Settings!$C$6,"CRITICAL",IF($I591&lt;=Settings!$C$5,"Expiring","In date")))))</f>
        <v/>
      </c>
    </row>
    <row r="592" spans="1:17" x14ac:dyDescent="0.35">
      <c r="A592" s="90" t="str">
        <f>IF(Receipts!$D595="","",Receipts!$D595)</f>
        <v/>
      </c>
      <c r="B592" s="18" t="str">
        <f>IF(Receipts!$C595="","",Receipts!$C595)</f>
        <v/>
      </c>
      <c r="C592" s="18" t="str">
        <f>IF($A592="","",IFERROR(INDEX(Items!$B$5:$B$597,MATCH($A592,Items!$A$5:$A$597,0)),""))</f>
        <v/>
      </c>
      <c r="D592" s="23" t="str">
        <f>IF($A592="","",N(Receipts!$G595))</f>
        <v/>
      </c>
      <c r="E592" s="20" t="str">
        <f>IF($A592="","",IFERROR(INDEX(Items!$D$5:$D$597,MATCH($A592,Items!$A$5:$A$597,0)),0))</f>
        <v/>
      </c>
      <c r="F592" s="21" t="str">
        <f t="shared" si="45"/>
        <v/>
      </c>
      <c r="G592" s="25" t="str">
        <f>IF(Receipts!$I595="","",Receipts!$I595)</f>
        <v/>
      </c>
      <c r="H592" s="25" t="str">
        <f>IF(Receipts!$H595="","",Receipts!$H595)</f>
        <v/>
      </c>
      <c r="I592" s="26" t="str">
        <f t="shared" ca="1" si="46"/>
        <v/>
      </c>
      <c r="J592" s="26" t="str">
        <f>IF($A592="","",COUNTIFS(tblReceipts[Item Name],$A592,tblReceipts[Expiry Date],"&lt;"&amp;$H592)+COUNTIFS(tblReceipts[Item Name],$A592,tblReceipts[Expiry Date],$H592,tblReceipts[Lot Number],"&lt;="&amp;Receipts!$C595))</f>
        <v/>
      </c>
      <c r="K592" s="26" t="str">
        <f>IF($A592="","",SUMIFS(tblReceipts[Qty Received],tblReceipts[Item Name],$A592,tblReceipts[Expiry Date],"&lt;"&amp;$H592)+SUMIFS(tblReceipts[Qty Received],tblReceipts[Item Name],$A592,tblReceipts[Expiry Date],$H592,tblReceipts[Lot Number],"&lt;"&amp;Receipts!$C595))</f>
        <v/>
      </c>
      <c r="L592" s="26" t="str">
        <f>IF($A592="","",MIN($D592,MAX(0,SUMIFS(tblIssues[Qty Issued],tblIssues[Item Name],$A592)-$K592)))</f>
        <v/>
      </c>
      <c r="M592" s="26" t="str">
        <f>IF($A592="","",SUMIFS(tblIssues[Qty Issued],tblIssues[Lot Number],$B592))</f>
        <v/>
      </c>
      <c r="N592" s="26" t="str">
        <f t="shared" si="47"/>
        <v/>
      </c>
      <c r="O592" s="26" t="str">
        <f t="shared" si="48"/>
        <v/>
      </c>
      <c r="P592" s="21" t="str">
        <f t="shared" si="49"/>
        <v/>
      </c>
      <c r="Q592" s="52" t="str">
        <f>IF($A592="","",IF($O592&lt;=0,"Depleted",IF($I592&lt;0,"EXPIRED",IF($I592&lt;=Settings!$C$6,"CRITICAL",IF($I592&lt;=Settings!$C$5,"Expiring","In date")))))</f>
        <v/>
      </c>
    </row>
    <row r="593" spans="1:17" x14ac:dyDescent="0.35">
      <c r="A593" s="90" t="str">
        <f>IF(Receipts!$D596="","",Receipts!$D596)</f>
        <v/>
      </c>
      <c r="B593" s="18" t="str">
        <f>IF(Receipts!$C596="","",Receipts!$C596)</f>
        <v/>
      </c>
      <c r="C593" s="18" t="str">
        <f>IF($A593="","",IFERROR(INDEX(Items!$B$5:$B$597,MATCH($A593,Items!$A$5:$A$597,0)),""))</f>
        <v/>
      </c>
      <c r="D593" s="23" t="str">
        <f>IF($A593="","",N(Receipts!$G596))</f>
        <v/>
      </c>
      <c r="E593" s="20" t="str">
        <f>IF($A593="","",IFERROR(INDEX(Items!$D$5:$D$597,MATCH($A593,Items!$A$5:$A$597,0)),0))</f>
        <v/>
      </c>
      <c r="F593" s="21" t="str">
        <f t="shared" si="45"/>
        <v/>
      </c>
      <c r="G593" s="25" t="str">
        <f>IF(Receipts!$I596="","",Receipts!$I596)</f>
        <v/>
      </c>
      <c r="H593" s="25" t="str">
        <f>IF(Receipts!$H596="","",Receipts!$H596)</f>
        <v/>
      </c>
      <c r="I593" s="26" t="str">
        <f t="shared" ca="1" si="46"/>
        <v/>
      </c>
      <c r="J593" s="26" t="str">
        <f>IF($A593="","",COUNTIFS(tblReceipts[Item Name],$A593,tblReceipts[Expiry Date],"&lt;"&amp;$H593)+COUNTIFS(tblReceipts[Item Name],$A593,tblReceipts[Expiry Date],$H593,tblReceipts[Lot Number],"&lt;="&amp;Receipts!$C596))</f>
        <v/>
      </c>
      <c r="K593" s="26" t="str">
        <f>IF($A593="","",SUMIFS(tblReceipts[Qty Received],tblReceipts[Item Name],$A593,tblReceipts[Expiry Date],"&lt;"&amp;$H593)+SUMIFS(tblReceipts[Qty Received],tblReceipts[Item Name],$A593,tblReceipts[Expiry Date],$H593,tblReceipts[Lot Number],"&lt;"&amp;Receipts!$C596))</f>
        <v/>
      </c>
      <c r="L593" s="26" t="str">
        <f>IF($A593="","",MIN($D593,MAX(0,SUMIFS(tblIssues[Qty Issued],tblIssues[Item Name],$A593)-$K593)))</f>
        <v/>
      </c>
      <c r="M593" s="26" t="str">
        <f>IF($A593="","",SUMIFS(tblIssues[Qty Issued],tblIssues[Lot Number],$B593))</f>
        <v/>
      </c>
      <c r="N593" s="26" t="str">
        <f t="shared" si="47"/>
        <v/>
      </c>
      <c r="O593" s="26" t="str">
        <f t="shared" si="48"/>
        <v/>
      </c>
      <c r="P593" s="21" t="str">
        <f t="shared" si="49"/>
        <v/>
      </c>
      <c r="Q593" s="52" t="str">
        <f>IF($A593="","",IF($O593&lt;=0,"Depleted",IF($I593&lt;0,"EXPIRED",IF($I593&lt;=Settings!$C$6,"CRITICAL",IF($I593&lt;=Settings!$C$5,"Expiring","In date")))))</f>
        <v/>
      </c>
    </row>
    <row r="594" spans="1:17" x14ac:dyDescent="0.35">
      <c r="A594" s="90" t="str">
        <f>IF(Receipts!$D597="","",Receipts!$D597)</f>
        <v/>
      </c>
      <c r="B594" s="18" t="str">
        <f>IF(Receipts!$C597="","",Receipts!$C597)</f>
        <v/>
      </c>
      <c r="C594" s="18" t="str">
        <f>IF($A594="","",IFERROR(INDEX(Items!$B$5:$B$597,MATCH($A594,Items!$A$5:$A$597,0)),""))</f>
        <v/>
      </c>
      <c r="D594" s="23" t="str">
        <f>IF($A594="","",N(Receipts!$G597))</f>
        <v/>
      </c>
      <c r="E594" s="20" t="str">
        <f>IF($A594="","",IFERROR(INDEX(Items!$D$5:$D$597,MATCH($A594,Items!$A$5:$A$597,0)),0))</f>
        <v/>
      </c>
      <c r="F594" s="21" t="str">
        <f t="shared" si="45"/>
        <v/>
      </c>
      <c r="G594" s="25" t="str">
        <f>IF(Receipts!$I597="","",Receipts!$I597)</f>
        <v/>
      </c>
      <c r="H594" s="25" t="str">
        <f>IF(Receipts!$H597="","",Receipts!$H597)</f>
        <v/>
      </c>
      <c r="I594" s="26" t="str">
        <f t="shared" ca="1" si="46"/>
        <v/>
      </c>
      <c r="J594" s="26" t="str">
        <f>IF($A594="","",COUNTIFS(tblReceipts[Item Name],$A594,tblReceipts[Expiry Date],"&lt;"&amp;$H594)+COUNTIFS(tblReceipts[Item Name],$A594,tblReceipts[Expiry Date],$H594,tblReceipts[Lot Number],"&lt;="&amp;Receipts!$C597))</f>
        <v/>
      </c>
      <c r="K594" s="26" t="str">
        <f>IF($A594="","",SUMIFS(tblReceipts[Qty Received],tblReceipts[Item Name],$A594,tblReceipts[Expiry Date],"&lt;"&amp;$H594)+SUMIFS(tblReceipts[Qty Received],tblReceipts[Item Name],$A594,tblReceipts[Expiry Date],$H594,tblReceipts[Lot Number],"&lt;"&amp;Receipts!$C597))</f>
        <v/>
      </c>
      <c r="L594" s="26" t="str">
        <f>IF($A594="","",MIN($D594,MAX(0,SUMIFS(tblIssues[Qty Issued],tblIssues[Item Name],$A594)-$K594)))</f>
        <v/>
      </c>
      <c r="M594" s="26" t="str">
        <f>IF($A594="","",SUMIFS(tblIssues[Qty Issued],tblIssues[Lot Number],$B594))</f>
        <v/>
      </c>
      <c r="N594" s="26" t="str">
        <f t="shared" si="47"/>
        <v/>
      </c>
      <c r="O594" s="26" t="str">
        <f t="shared" si="48"/>
        <v/>
      </c>
      <c r="P594" s="21" t="str">
        <f t="shared" si="49"/>
        <v/>
      </c>
      <c r="Q594" s="52" t="str">
        <f>IF($A594="","",IF($O594&lt;=0,"Depleted",IF($I594&lt;0,"EXPIRED",IF($I594&lt;=Settings!$C$6,"CRITICAL",IF($I594&lt;=Settings!$C$5,"Expiring","In date")))))</f>
        <v/>
      </c>
    </row>
    <row r="595" spans="1:17" x14ac:dyDescent="0.35">
      <c r="A595" s="90" t="str">
        <f>IF(Receipts!$D598="","",Receipts!$D598)</f>
        <v/>
      </c>
      <c r="B595" s="18" t="str">
        <f>IF(Receipts!$C598="","",Receipts!$C598)</f>
        <v/>
      </c>
      <c r="C595" s="18" t="str">
        <f>IF($A595="","",IFERROR(INDEX(Items!$B$5:$B$597,MATCH($A595,Items!$A$5:$A$597,0)),""))</f>
        <v/>
      </c>
      <c r="D595" s="23" t="str">
        <f>IF($A595="","",N(Receipts!$G598))</f>
        <v/>
      </c>
      <c r="E595" s="20" t="str">
        <f>IF($A595="","",IFERROR(INDEX(Items!$D$5:$D$597,MATCH($A595,Items!$A$5:$A$597,0)),0))</f>
        <v/>
      </c>
      <c r="F595" s="21" t="str">
        <f t="shared" si="45"/>
        <v/>
      </c>
      <c r="G595" s="25" t="str">
        <f>IF(Receipts!$I598="","",Receipts!$I598)</f>
        <v/>
      </c>
      <c r="H595" s="25" t="str">
        <f>IF(Receipts!$H598="","",Receipts!$H598)</f>
        <v/>
      </c>
      <c r="I595" s="26" t="str">
        <f t="shared" ca="1" si="46"/>
        <v/>
      </c>
      <c r="J595" s="26" t="str">
        <f>IF($A595="","",COUNTIFS(tblReceipts[Item Name],$A595,tblReceipts[Expiry Date],"&lt;"&amp;$H595)+COUNTIFS(tblReceipts[Item Name],$A595,tblReceipts[Expiry Date],$H595,tblReceipts[Lot Number],"&lt;="&amp;Receipts!$C598))</f>
        <v/>
      </c>
      <c r="K595" s="26" t="str">
        <f>IF($A595="","",SUMIFS(tblReceipts[Qty Received],tblReceipts[Item Name],$A595,tblReceipts[Expiry Date],"&lt;"&amp;$H595)+SUMIFS(tblReceipts[Qty Received],tblReceipts[Item Name],$A595,tblReceipts[Expiry Date],$H595,tblReceipts[Lot Number],"&lt;"&amp;Receipts!$C598))</f>
        <v/>
      </c>
      <c r="L595" s="26" t="str">
        <f>IF($A595="","",MIN($D595,MAX(0,SUMIFS(tblIssues[Qty Issued],tblIssues[Item Name],$A595)-$K595)))</f>
        <v/>
      </c>
      <c r="M595" s="26" t="str">
        <f>IF($A595="","",SUMIFS(tblIssues[Qty Issued],tblIssues[Lot Number],$B595))</f>
        <v/>
      </c>
      <c r="N595" s="26" t="str">
        <f t="shared" si="47"/>
        <v/>
      </c>
      <c r="O595" s="26" t="str">
        <f t="shared" si="48"/>
        <v/>
      </c>
      <c r="P595" s="21" t="str">
        <f t="shared" si="49"/>
        <v/>
      </c>
      <c r="Q595" s="52" t="str">
        <f>IF($A595="","",IF($O595&lt;=0,"Depleted",IF($I595&lt;0,"EXPIRED",IF($I595&lt;=Settings!$C$6,"CRITICAL",IF($I595&lt;=Settings!$C$5,"Expiring","In date")))))</f>
        <v/>
      </c>
    </row>
    <row r="596" spans="1:17" x14ac:dyDescent="0.35">
      <c r="A596" s="90" t="str">
        <f>IF(Receipts!$D599="","",Receipts!$D599)</f>
        <v/>
      </c>
      <c r="B596" s="18" t="str">
        <f>IF(Receipts!$C599="","",Receipts!$C599)</f>
        <v/>
      </c>
      <c r="C596" s="18" t="str">
        <f>IF($A596="","",IFERROR(INDEX(Items!$B$5:$B$597,MATCH($A596,Items!$A$5:$A$597,0)),""))</f>
        <v/>
      </c>
      <c r="D596" s="23" t="str">
        <f>IF($A596="","",N(Receipts!$G599))</f>
        <v/>
      </c>
      <c r="E596" s="20" t="str">
        <f>IF($A596="","",IFERROR(INDEX(Items!$D$5:$D$597,MATCH($A596,Items!$A$5:$A$597,0)),0))</f>
        <v/>
      </c>
      <c r="F596" s="21" t="str">
        <f t="shared" si="45"/>
        <v/>
      </c>
      <c r="G596" s="25" t="str">
        <f>IF(Receipts!$I599="","",Receipts!$I599)</f>
        <v/>
      </c>
      <c r="H596" s="25" t="str">
        <f>IF(Receipts!$H599="","",Receipts!$H599)</f>
        <v/>
      </c>
      <c r="I596" s="26" t="str">
        <f t="shared" ca="1" si="46"/>
        <v/>
      </c>
      <c r="J596" s="26" t="str">
        <f>IF($A596="","",COUNTIFS(tblReceipts[Item Name],$A596,tblReceipts[Expiry Date],"&lt;"&amp;$H596)+COUNTIFS(tblReceipts[Item Name],$A596,tblReceipts[Expiry Date],$H596,tblReceipts[Lot Number],"&lt;="&amp;Receipts!$C599))</f>
        <v/>
      </c>
      <c r="K596" s="26" t="str">
        <f>IF($A596="","",SUMIFS(tblReceipts[Qty Received],tblReceipts[Item Name],$A596,tblReceipts[Expiry Date],"&lt;"&amp;$H596)+SUMIFS(tblReceipts[Qty Received],tblReceipts[Item Name],$A596,tblReceipts[Expiry Date],$H596,tblReceipts[Lot Number],"&lt;"&amp;Receipts!$C599))</f>
        <v/>
      </c>
      <c r="L596" s="26" t="str">
        <f>IF($A596="","",MIN($D596,MAX(0,SUMIFS(tblIssues[Qty Issued],tblIssues[Item Name],$A596)-$K596)))</f>
        <v/>
      </c>
      <c r="M596" s="26" t="str">
        <f>IF($A596="","",SUMIFS(tblIssues[Qty Issued],tblIssues[Lot Number],$B596))</f>
        <v/>
      </c>
      <c r="N596" s="26" t="str">
        <f t="shared" si="47"/>
        <v/>
      </c>
      <c r="O596" s="26" t="str">
        <f t="shared" si="48"/>
        <v/>
      </c>
      <c r="P596" s="21" t="str">
        <f t="shared" si="49"/>
        <v/>
      </c>
      <c r="Q596" s="52" t="str">
        <f>IF($A596="","",IF($O596&lt;=0,"Depleted",IF($I596&lt;0,"EXPIRED",IF($I596&lt;=Settings!$C$6,"CRITICAL",IF($I596&lt;=Settings!$C$5,"Expiring","In date")))))</f>
        <v/>
      </c>
    </row>
    <row r="597" spans="1:17" x14ac:dyDescent="0.35">
      <c r="A597" s="90" t="str">
        <f>IF(Receipts!$D600="","",Receipts!$D600)</f>
        <v/>
      </c>
      <c r="B597" s="18" t="str">
        <f>IF(Receipts!$C600="","",Receipts!$C600)</f>
        <v/>
      </c>
      <c r="C597" s="18" t="str">
        <f>IF($A597="","",IFERROR(INDEX(Items!$B$5:$B$597,MATCH($A597,Items!$A$5:$A$597,0)),""))</f>
        <v/>
      </c>
      <c r="D597" s="23" t="str">
        <f>IF($A597="","",N(Receipts!$G600))</f>
        <v/>
      </c>
      <c r="E597" s="20" t="str">
        <f>IF($A597="","",IFERROR(INDEX(Items!$D$5:$D$597,MATCH($A597,Items!$A$5:$A$597,0)),0))</f>
        <v/>
      </c>
      <c r="F597" s="21" t="str">
        <f t="shared" si="45"/>
        <v/>
      </c>
      <c r="G597" s="25" t="str">
        <f>IF(Receipts!$I600="","",Receipts!$I600)</f>
        <v/>
      </c>
      <c r="H597" s="25" t="str">
        <f>IF(Receipts!$H600="","",Receipts!$H600)</f>
        <v/>
      </c>
      <c r="I597" s="26" t="str">
        <f t="shared" ca="1" si="46"/>
        <v/>
      </c>
      <c r="J597" s="26" t="str">
        <f>IF($A597="","",COUNTIFS(tblReceipts[Item Name],$A597,tblReceipts[Expiry Date],"&lt;"&amp;$H597)+COUNTIFS(tblReceipts[Item Name],$A597,tblReceipts[Expiry Date],$H597,tblReceipts[Lot Number],"&lt;="&amp;Receipts!$C600))</f>
        <v/>
      </c>
      <c r="K597" s="26" t="str">
        <f>IF($A597="","",SUMIFS(tblReceipts[Qty Received],tblReceipts[Item Name],$A597,tblReceipts[Expiry Date],"&lt;"&amp;$H597)+SUMIFS(tblReceipts[Qty Received],tblReceipts[Item Name],$A597,tblReceipts[Expiry Date],$H597,tblReceipts[Lot Number],"&lt;"&amp;Receipts!$C600))</f>
        <v/>
      </c>
      <c r="L597" s="26" t="str">
        <f>IF($A597="","",MIN($D597,MAX(0,SUMIFS(tblIssues[Qty Issued],tblIssues[Item Name],$A597)-$K597)))</f>
        <v/>
      </c>
      <c r="M597" s="26" t="str">
        <f>IF($A597="","",SUMIFS(tblIssues[Qty Issued],tblIssues[Lot Number],$B597))</f>
        <v/>
      </c>
      <c r="N597" s="26" t="str">
        <f t="shared" si="47"/>
        <v/>
      </c>
      <c r="O597" s="26" t="str">
        <f t="shared" si="48"/>
        <v/>
      </c>
      <c r="P597" s="21" t="str">
        <f t="shared" si="49"/>
        <v/>
      </c>
      <c r="Q597" s="52" t="str">
        <f>IF($A597="","",IF($O597&lt;=0,"Depleted",IF($I597&lt;0,"EXPIRED",IF($I597&lt;=Settings!$C$6,"CRITICAL",IF($I597&lt;=Settings!$C$5,"Expiring","In date")))))</f>
        <v/>
      </c>
    </row>
    <row r="598" spans="1:17" x14ac:dyDescent="0.35">
      <c r="A598" s="90" t="str">
        <f>IF(Receipts!$D601="","",Receipts!$D601)</f>
        <v/>
      </c>
      <c r="B598" s="18" t="str">
        <f>IF(Receipts!$C601="","",Receipts!$C601)</f>
        <v/>
      </c>
      <c r="C598" s="18" t="str">
        <f>IF($A598="","",IFERROR(INDEX(Items!$B$5:$B$597,MATCH($A598,Items!$A$5:$A$597,0)),""))</f>
        <v/>
      </c>
      <c r="D598" s="23" t="str">
        <f>IF($A598="","",N(Receipts!$G601))</f>
        <v/>
      </c>
      <c r="E598" s="20" t="str">
        <f>IF($A598="","",IFERROR(INDEX(Items!$D$5:$D$597,MATCH($A598,Items!$A$5:$A$597,0)),0))</f>
        <v/>
      </c>
      <c r="F598" s="21" t="str">
        <f t="shared" si="45"/>
        <v/>
      </c>
      <c r="G598" s="25" t="str">
        <f>IF(Receipts!$I601="","",Receipts!$I601)</f>
        <v/>
      </c>
      <c r="H598" s="25" t="str">
        <f>IF(Receipts!$H601="","",Receipts!$H601)</f>
        <v/>
      </c>
      <c r="I598" s="26" t="str">
        <f t="shared" ca="1" si="46"/>
        <v/>
      </c>
      <c r="J598" s="26" t="str">
        <f>IF($A598="","",COUNTIFS(tblReceipts[Item Name],$A598,tblReceipts[Expiry Date],"&lt;"&amp;$H598)+COUNTIFS(tblReceipts[Item Name],$A598,tblReceipts[Expiry Date],$H598,tblReceipts[Lot Number],"&lt;="&amp;Receipts!$C601))</f>
        <v/>
      </c>
      <c r="K598" s="26" t="str">
        <f>IF($A598="","",SUMIFS(tblReceipts[Qty Received],tblReceipts[Item Name],$A598,tblReceipts[Expiry Date],"&lt;"&amp;$H598)+SUMIFS(tblReceipts[Qty Received],tblReceipts[Item Name],$A598,tblReceipts[Expiry Date],$H598,tblReceipts[Lot Number],"&lt;"&amp;Receipts!$C601))</f>
        <v/>
      </c>
      <c r="L598" s="26" t="str">
        <f>IF($A598="","",MIN($D598,MAX(0,SUMIFS(tblIssues[Qty Issued],tblIssues[Item Name],$A598)-$K598)))</f>
        <v/>
      </c>
      <c r="M598" s="26" t="str">
        <f>IF($A598="","",SUMIFS(tblIssues[Qty Issued],tblIssues[Lot Number],$B598))</f>
        <v/>
      </c>
      <c r="N598" s="26" t="str">
        <f t="shared" si="47"/>
        <v/>
      </c>
      <c r="O598" s="26" t="str">
        <f t="shared" si="48"/>
        <v/>
      </c>
      <c r="P598" s="21" t="str">
        <f t="shared" si="49"/>
        <v/>
      </c>
      <c r="Q598" s="52" t="str">
        <f>IF($A598="","",IF($O598&lt;=0,"Depleted",IF($I598&lt;0,"EXPIRED",IF($I598&lt;=Settings!$C$6,"CRITICAL",IF($I598&lt;=Settings!$C$5,"Expiring","In date")))))</f>
        <v/>
      </c>
    </row>
    <row r="599" spans="1:17" x14ac:dyDescent="0.35">
      <c r="A599" s="90" t="str">
        <f>IF(Receipts!$D602="","",Receipts!$D602)</f>
        <v/>
      </c>
      <c r="B599" s="18" t="str">
        <f>IF(Receipts!$C602="","",Receipts!$C602)</f>
        <v/>
      </c>
      <c r="C599" s="18" t="str">
        <f>IF($A599="","",IFERROR(INDEX(Items!$B$5:$B$597,MATCH($A599,Items!$A$5:$A$597,0)),""))</f>
        <v/>
      </c>
      <c r="D599" s="23" t="str">
        <f>IF($A599="","",N(Receipts!$G602))</f>
        <v/>
      </c>
      <c r="E599" s="20" t="str">
        <f>IF($A599="","",IFERROR(INDEX(Items!$D$5:$D$597,MATCH($A599,Items!$A$5:$A$597,0)),0))</f>
        <v/>
      </c>
      <c r="F599" s="21" t="str">
        <f t="shared" si="45"/>
        <v/>
      </c>
      <c r="G599" s="25" t="str">
        <f>IF(Receipts!$I602="","",Receipts!$I602)</f>
        <v/>
      </c>
      <c r="H599" s="25" t="str">
        <f>IF(Receipts!$H602="","",Receipts!$H602)</f>
        <v/>
      </c>
      <c r="I599" s="26" t="str">
        <f t="shared" ca="1" si="46"/>
        <v/>
      </c>
      <c r="J599" s="26" t="str">
        <f>IF($A599="","",COUNTIFS(tblReceipts[Item Name],$A599,tblReceipts[Expiry Date],"&lt;"&amp;$H599)+COUNTIFS(tblReceipts[Item Name],$A599,tblReceipts[Expiry Date],$H599,tblReceipts[Lot Number],"&lt;="&amp;Receipts!$C602))</f>
        <v/>
      </c>
      <c r="K599" s="26" t="str">
        <f>IF($A599="","",SUMIFS(tblReceipts[Qty Received],tblReceipts[Item Name],$A599,tblReceipts[Expiry Date],"&lt;"&amp;$H599)+SUMIFS(tblReceipts[Qty Received],tblReceipts[Item Name],$A599,tblReceipts[Expiry Date],$H599,tblReceipts[Lot Number],"&lt;"&amp;Receipts!$C602))</f>
        <v/>
      </c>
      <c r="L599" s="26" t="str">
        <f>IF($A599="","",MIN($D599,MAX(0,SUMIFS(tblIssues[Qty Issued],tblIssues[Item Name],$A599)-$K599)))</f>
        <v/>
      </c>
      <c r="M599" s="26" t="str">
        <f>IF($A599="","",SUMIFS(tblIssues[Qty Issued],tblIssues[Lot Number],$B599))</f>
        <v/>
      </c>
      <c r="N599" s="26" t="str">
        <f t="shared" si="47"/>
        <v/>
      </c>
      <c r="O599" s="26" t="str">
        <f t="shared" si="48"/>
        <v/>
      </c>
      <c r="P599" s="21" t="str">
        <f t="shared" si="49"/>
        <v/>
      </c>
      <c r="Q599" s="52" t="str">
        <f>IF($A599="","",IF($O599&lt;=0,"Depleted",IF($I599&lt;0,"EXPIRED",IF($I599&lt;=Settings!$C$6,"CRITICAL",IF($I599&lt;=Settings!$C$5,"Expiring","In date")))))</f>
        <v/>
      </c>
    </row>
    <row r="600" spans="1:17" x14ac:dyDescent="0.35">
      <c r="A600" s="90" t="str">
        <f>IF(Receipts!$D603="","",Receipts!$D603)</f>
        <v/>
      </c>
      <c r="B600" s="18" t="str">
        <f>IF(Receipts!$C603="","",Receipts!$C603)</f>
        <v/>
      </c>
      <c r="C600" s="18" t="str">
        <f>IF($A600="","",IFERROR(INDEX(Items!$B$5:$B$597,MATCH($A600,Items!$A$5:$A$597,0)),""))</f>
        <v/>
      </c>
      <c r="D600" s="23" t="str">
        <f>IF($A600="","",N(Receipts!$G603))</f>
        <v/>
      </c>
      <c r="E600" s="20" t="str">
        <f>IF($A600="","",IFERROR(INDEX(Items!$D$5:$D$597,MATCH($A600,Items!$A$5:$A$597,0)),0))</f>
        <v/>
      </c>
      <c r="F600" s="21" t="str">
        <f t="shared" si="45"/>
        <v/>
      </c>
      <c r="G600" s="25" t="str">
        <f>IF(Receipts!$I603="","",Receipts!$I603)</f>
        <v/>
      </c>
      <c r="H600" s="25" t="str">
        <f>IF(Receipts!$H603="","",Receipts!$H603)</f>
        <v/>
      </c>
      <c r="I600" s="26" t="str">
        <f t="shared" ca="1" si="46"/>
        <v/>
      </c>
      <c r="J600" s="26" t="str">
        <f>IF($A600="","",COUNTIFS(tblReceipts[Item Name],$A600,tblReceipts[Expiry Date],"&lt;"&amp;$H600)+COUNTIFS(tblReceipts[Item Name],$A600,tblReceipts[Expiry Date],$H600,tblReceipts[Lot Number],"&lt;="&amp;Receipts!$C603))</f>
        <v/>
      </c>
      <c r="K600" s="26" t="str">
        <f>IF($A600="","",SUMIFS(tblReceipts[Qty Received],tblReceipts[Item Name],$A600,tblReceipts[Expiry Date],"&lt;"&amp;$H600)+SUMIFS(tblReceipts[Qty Received],tblReceipts[Item Name],$A600,tblReceipts[Expiry Date],$H600,tblReceipts[Lot Number],"&lt;"&amp;Receipts!$C603))</f>
        <v/>
      </c>
      <c r="L600" s="26" t="str">
        <f>IF($A600="","",MIN($D600,MAX(0,SUMIFS(tblIssues[Qty Issued],tblIssues[Item Name],$A600)-$K600)))</f>
        <v/>
      </c>
      <c r="M600" s="26" t="str">
        <f>IF($A600="","",SUMIFS(tblIssues[Qty Issued],tblIssues[Lot Number],$B600))</f>
        <v/>
      </c>
      <c r="N600" s="26" t="str">
        <f t="shared" si="47"/>
        <v/>
      </c>
      <c r="O600" s="26" t="str">
        <f t="shared" si="48"/>
        <v/>
      </c>
      <c r="P600" s="21" t="str">
        <f t="shared" si="49"/>
        <v/>
      </c>
      <c r="Q600" s="52" t="str">
        <f>IF($A600="","",IF($O600&lt;=0,"Depleted",IF($I600&lt;0,"EXPIRED",IF($I600&lt;=Settings!$C$6,"CRITICAL",IF($I600&lt;=Settings!$C$5,"Expiring","In date")))))</f>
        <v/>
      </c>
    </row>
    <row r="601" spans="1:17" x14ac:dyDescent="0.35">
      <c r="A601" s="90" t="str">
        <f>IF(Receipts!$D604="","",Receipts!$D604)</f>
        <v/>
      </c>
      <c r="B601" s="18" t="str">
        <f>IF(Receipts!$C604="","",Receipts!$C604)</f>
        <v/>
      </c>
      <c r="C601" s="18" t="str">
        <f>IF($A601="","",IFERROR(INDEX(Items!$B$5:$B$597,MATCH($A601,Items!$A$5:$A$597,0)),""))</f>
        <v/>
      </c>
      <c r="D601" s="23" t="str">
        <f>IF($A601="","",N(Receipts!$G604))</f>
        <v/>
      </c>
      <c r="E601" s="20" t="str">
        <f>IF($A601="","",IFERROR(INDEX(Items!$D$5:$D$597,MATCH($A601,Items!$A$5:$A$597,0)),0))</f>
        <v/>
      </c>
      <c r="F601" s="21" t="str">
        <f t="shared" si="45"/>
        <v/>
      </c>
      <c r="G601" s="25" t="str">
        <f>IF(Receipts!$I604="","",Receipts!$I604)</f>
        <v/>
      </c>
      <c r="H601" s="25" t="str">
        <f>IF(Receipts!$H604="","",Receipts!$H604)</f>
        <v/>
      </c>
      <c r="I601" s="26" t="str">
        <f t="shared" ca="1" si="46"/>
        <v/>
      </c>
      <c r="J601" s="26" t="str">
        <f>IF($A601="","",COUNTIFS(tblReceipts[Item Name],$A601,tblReceipts[Expiry Date],"&lt;"&amp;$H601)+COUNTIFS(tblReceipts[Item Name],$A601,tblReceipts[Expiry Date],$H601,tblReceipts[Lot Number],"&lt;="&amp;Receipts!$C604))</f>
        <v/>
      </c>
      <c r="K601" s="26" t="str">
        <f>IF($A601="","",SUMIFS(tblReceipts[Qty Received],tblReceipts[Item Name],$A601,tblReceipts[Expiry Date],"&lt;"&amp;$H601)+SUMIFS(tblReceipts[Qty Received],tblReceipts[Item Name],$A601,tblReceipts[Expiry Date],$H601,tblReceipts[Lot Number],"&lt;"&amp;Receipts!$C604))</f>
        <v/>
      </c>
      <c r="L601" s="26" t="str">
        <f>IF($A601="","",MIN($D601,MAX(0,SUMIFS(tblIssues[Qty Issued],tblIssues[Item Name],$A601)-$K601)))</f>
        <v/>
      </c>
      <c r="M601" s="26" t="str">
        <f>IF($A601="","",SUMIFS(tblIssues[Qty Issued],tblIssues[Lot Number],$B601))</f>
        <v/>
      </c>
      <c r="N601" s="26" t="str">
        <f t="shared" si="47"/>
        <v/>
      </c>
      <c r="O601" s="26" t="str">
        <f t="shared" si="48"/>
        <v/>
      </c>
      <c r="P601" s="21" t="str">
        <f t="shared" si="49"/>
        <v/>
      </c>
      <c r="Q601" s="52" t="str">
        <f>IF($A601="","",IF($O601&lt;=0,"Depleted",IF($I601&lt;0,"EXPIRED",IF($I601&lt;=Settings!$C$6,"CRITICAL",IF($I601&lt;=Settings!$C$5,"Expiring","In date")))))</f>
        <v/>
      </c>
    </row>
    <row r="602" spans="1:17" x14ac:dyDescent="0.35">
      <c r="A602" s="90" t="str">
        <f>IF(Receipts!$D605="","",Receipts!$D605)</f>
        <v/>
      </c>
      <c r="B602" s="18" t="str">
        <f>IF(Receipts!$C605="","",Receipts!$C605)</f>
        <v/>
      </c>
      <c r="C602" s="18" t="str">
        <f>IF($A602="","",IFERROR(INDEX(Items!$B$5:$B$597,MATCH($A602,Items!$A$5:$A$597,0)),""))</f>
        <v/>
      </c>
      <c r="D602" s="23" t="str">
        <f>IF($A602="","",N(Receipts!$G605))</f>
        <v/>
      </c>
      <c r="E602" s="20" t="str">
        <f>IF($A602="","",IFERROR(INDEX(Items!$D$5:$D$597,MATCH($A602,Items!$A$5:$A$597,0)),0))</f>
        <v/>
      </c>
      <c r="F602" s="21" t="str">
        <f t="shared" si="45"/>
        <v/>
      </c>
      <c r="G602" s="25" t="str">
        <f>IF(Receipts!$I605="","",Receipts!$I605)</f>
        <v/>
      </c>
      <c r="H602" s="25" t="str">
        <f>IF(Receipts!$H605="","",Receipts!$H605)</f>
        <v/>
      </c>
      <c r="I602" s="26" t="str">
        <f t="shared" ca="1" si="46"/>
        <v/>
      </c>
      <c r="J602" s="26" t="str">
        <f>IF($A602="","",COUNTIFS(tblReceipts[Item Name],$A602,tblReceipts[Expiry Date],"&lt;"&amp;$H602)+COUNTIFS(tblReceipts[Item Name],$A602,tblReceipts[Expiry Date],$H602,tblReceipts[Lot Number],"&lt;="&amp;Receipts!$C605))</f>
        <v/>
      </c>
      <c r="K602" s="26" t="str">
        <f>IF($A602="","",SUMIFS(tblReceipts[Qty Received],tblReceipts[Item Name],$A602,tblReceipts[Expiry Date],"&lt;"&amp;$H602)+SUMIFS(tblReceipts[Qty Received],tblReceipts[Item Name],$A602,tblReceipts[Expiry Date],$H602,tblReceipts[Lot Number],"&lt;"&amp;Receipts!$C605))</f>
        <v/>
      </c>
      <c r="L602" s="26" t="str">
        <f>IF($A602="","",MIN($D602,MAX(0,SUMIFS(tblIssues[Qty Issued],tblIssues[Item Name],$A602)-$K602)))</f>
        <v/>
      </c>
      <c r="M602" s="26" t="str">
        <f>IF($A602="","",SUMIFS(tblIssues[Qty Issued],tblIssues[Lot Number],$B602))</f>
        <v/>
      </c>
      <c r="N602" s="26" t="str">
        <f t="shared" si="47"/>
        <v/>
      </c>
      <c r="O602" s="26" t="str">
        <f t="shared" si="48"/>
        <v/>
      </c>
      <c r="P602" s="21" t="str">
        <f t="shared" si="49"/>
        <v/>
      </c>
      <c r="Q602" s="52" t="str">
        <f>IF($A602="","",IF($O602&lt;=0,"Depleted",IF($I602&lt;0,"EXPIRED",IF($I602&lt;=Settings!$C$6,"CRITICAL",IF($I602&lt;=Settings!$C$5,"Expiring","In date")))))</f>
        <v/>
      </c>
    </row>
    <row r="603" spans="1:17" x14ac:dyDescent="0.35">
      <c r="A603" s="90" t="str">
        <f>IF(Receipts!$D606="","",Receipts!$D606)</f>
        <v/>
      </c>
      <c r="B603" s="18" t="str">
        <f>IF(Receipts!$C606="","",Receipts!$C606)</f>
        <v/>
      </c>
      <c r="C603" s="18" t="str">
        <f>IF($A603="","",IFERROR(INDEX(Items!$B$5:$B$597,MATCH($A603,Items!$A$5:$A$597,0)),""))</f>
        <v/>
      </c>
      <c r="D603" s="23" t="str">
        <f>IF($A603="","",N(Receipts!$G606))</f>
        <v/>
      </c>
      <c r="E603" s="20" t="str">
        <f>IF($A603="","",IFERROR(INDEX(Items!$D$5:$D$597,MATCH($A603,Items!$A$5:$A$597,0)),0))</f>
        <v/>
      </c>
      <c r="F603" s="21" t="str">
        <f t="shared" si="45"/>
        <v/>
      </c>
      <c r="G603" s="25" t="str">
        <f>IF(Receipts!$I606="","",Receipts!$I606)</f>
        <v/>
      </c>
      <c r="H603" s="25" t="str">
        <f>IF(Receipts!$H606="","",Receipts!$H606)</f>
        <v/>
      </c>
      <c r="I603" s="26" t="str">
        <f t="shared" ca="1" si="46"/>
        <v/>
      </c>
      <c r="J603" s="26" t="str">
        <f>IF($A603="","",COUNTIFS(tblReceipts[Item Name],$A603,tblReceipts[Expiry Date],"&lt;"&amp;$H603)+COUNTIFS(tblReceipts[Item Name],$A603,tblReceipts[Expiry Date],$H603,tblReceipts[Lot Number],"&lt;="&amp;Receipts!$C606))</f>
        <v/>
      </c>
      <c r="K603" s="26" t="str">
        <f>IF($A603="","",SUMIFS(tblReceipts[Qty Received],tblReceipts[Item Name],$A603,tblReceipts[Expiry Date],"&lt;"&amp;$H603)+SUMIFS(tblReceipts[Qty Received],tblReceipts[Item Name],$A603,tblReceipts[Expiry Date],$H603,tblReceipts[Lot Number],"&lt;"&amp;Receipts!$C606))</f>
        <v/>
      </c>
      <c r="L603" s="26" t="str">
        <f>IF($A603="","",MIN($D603,MAX(0,SUMIFS(tblIssues[Qty Issued],tblIssues[Item Name],$A603)-$K603)))</f>
        <v/>
      </c>
      <c r="M603" s="26" t="str">
        <f>IF($A603="","",SUMIFS(tblIssues[Qty Issued],tblIssues[Lot Number],$B603))</f>
        <v/>
      </c>
      <c r="N603" s="26" t="str">
        <f t="shared" si="47"/>
        <v/>
      </c>
      <c r="O603" s="26" t="str">
        <f t="shared" si="48"/>
        <v/>
      </c>
      <c r="P603" s="21" t="str">
        <f t="shared" si="49"/>
        <v/>
      </c>
      <c r="Q603" s="52" t="str">
        <f>IF($A603="","",IF($O603&lt;=0,"Depleted",IF($I603&lt;0,"EXPIRED",IF($I603&lt;=Settings!$C$6,"CRITICAL",IF($I603&lt;=Settings!$C$5,"Expiring","In date")))))</f>
        <v/>
      </c>
    </row>
    <row r="604" spans="1:17" x14ac:dyDescent="0.35">
      <c r="A604" s="90" t="str">
        <f>IF(Receipts!$D607="","",Receipts!$D607)</f>
        <v/>
      </c>
      <c r="B604" s="18" t="str">
        <f>IF(Receipts!$C607="","",Receipts!$C607)</f>
        <v/>
      </c>
      <c r="C604" s="18" t="str">
        <f>IF($A604="","",IFERROR(INDEX(Items!$B$5:$B$597,MATCH($A604,Items!$A$5:$A$597,0)),""))</f>
        <v/>
      </c>
      <c r="D604" s="23" t="str">
        <f>IF($A604="","",N(Receipts!$G607))</f>
        <v/>
      </c>
      <c r="E604" s="20" t="str">
        <f>IF($A604="","",IFERROR(INDEX(Items!$D$5:$D$597,MATCH($A604,Items!$A$5:$A$597,0)),0))</f>
        <v/>
      </c>
      <c r="F604" s="21" t="str">
        <f t="shared" si="45"/>
        <v/>
      </c>
      <c r="G604" s="25" t="str">
        <f>IF(Receipts!$I607="","",Receipts!$I607)</f>
        <v/>
      </c>
      <c r="H604" s="25" t="str">
        <f>IF(Receipts!$H607="","",Receipts!$H607)</f>
        <v/>
      </c>
      <c r="I604" s="26" t="str">
        <f t="shared" ca="1" si="46"/>
        <v/>
      </c>
      <c r="J604" s="26" t="str">
        <f>IF($A604="","",COUNTIFS(tblReceipts[Item Name],$A604,tblReceipts[Expiry Date],"&lt;"&amp;$H604)+COUNTIFS(tblReceipts[Item Name],$A604,tblReceipts[Expiry Date],$H604,tblReceipts[Lot Number],"&lt;="&amp;Receipts!$C607))</f>
        <v/>
      </c>
      <c r="K604" s="26" t="str">
        <f>IF($A604="","",SUMIFS(tblReceipts[Qty Received],tblReceipts[Item Name],$A604,tblReceipts[Expiry Date],"&lt;"&amp;$H604)+SUMIFS(tblReceipts[Qty Received],tblReceipts[Item Name],$A604,tblReceipts[Expiry Date],$H604,tblReceipts[Lot Number],"&lt;"&amp;Receipts!$C607))</f>
        <v/>
      </c>
      <c r="L604" s="26" t="str">
        <f>IF($A604="","",MIN($D604,MAX(0,SUMIFS(tblIssues[Qty Issued],tblIssues[Item Name],$A604)-$K604)))</f>
        <v/>
      </c>
      <c r="M604" s="26" t="str">
        <f>IF($A604="","",SUMIFS(tblIssues[Qty Issued],tblIssues[Lot Number],$B604))</f>
        <v/>
      </c>
      <c r="N604" s="26" t="str">
        <f t="shared" si="47"/>
        <v/>
      </c>
      <c r="O604" s="26" t="str">
        <f t="shared" si="48"/>
        <v/>
      </c>
      <c r="P604" s="21" t="str">
        <f t="shared" si="49"/>
        <v/>
      </c>
      <c r="Q604" s="52" t="str">
        <f>IF($A604="","",IF($O604&lt;=0,"Depleted",IF($I604&lt;0,"EXPIRED",IF($I604&lt;=Settings!$C$6,"CRITICAL",IF($I604&lt;=Settings!$C$5,"Expiring","In date")))))</f>
        <v/>
      </c>
    </row>
    <row r="605" spans="1:17" x14ac:dyDescent="0.35">
      <c r="A605" s="90" t="str">
        <f>IF(Receipts!$D608="","",Receipts!$D608)</f>
        <v/>
      </c>
      <c r="B605" s="18" t="str">
        <f>IF(Receipts!$C608="","",Receipts!$C608)</f>
        <v/>
      </c>
      <c r="C605" s="18" t="str">
        <f>IF($A605="","",IFERROR(INDEX(Items!$B$5:$B$597,MATCH($A605,Items!$A$5:$A$597,0)),""))</f>
        <v/>
      </c>
      <c r="D605" s="23" t="str">
        <f>IF($A605="","",N(Receipts!$G608))</f>
        <v/>
      </c>
      <c r="E605" s="20" t="str">
        <f>IF($A605="","",IFERROR(INDEX(Items!$D$5:$D$597,MATCH($A605,Items!$A$5:$A$597,0)),0))</f>
        <v/>
      </c>
      <c r="F605" s="21" t="str">
        <f t="shared" si="45"/>
        <v/>
      </c>
      <c r="G605" s="25" t="str">
        <f>IF(Receipts!$I608="","",Receipts!$I608)</f>
        <v/>
      </c>
      <c r="H605" s="25" t="str">
        <f>IF(Receipts!$H608="","",Receipts!$H608)</f>
        <v/>
      </c>
      <c r="I605" s="26" t="str">
        <f t="shared" ca="1" si="46"/>
        <v/>
      </c>
      <c r="J605" s="26" t="str">
        <f>IF($A605="","",COUNTIFS(tblReceipts[Item Name],$A605,tblReceipts[Expiry Date],"&lt;"&amp;$H605)+COUNTIFS(tblReceipts[Item Name],$A605,tblReceipts[Expiry Date],$H605,tblReceipts[Lot Number],"&lt;="&amp;Receipts!$C608))</f>
        <v/>
      </c>
      <c r="K605" s="26" t="str">
        <f>IF($A605="","",SUMIFS(tblReceipts[Qty Received],tblReceipts[Item Name],$A605,tblReceipts[Expiry Date],"&lt;"&amp;$H605)+SUMIFS(tblReceipts[Qty Received],tblReceipts[Item Name],$A605,tblReceipts[Expiry Date],$H605,tblReceipts[Lot Number],"&lt;"&amp;Receipts!$C608))</f>
        <v/>
      </c>
      <c r="L605" s="26" t="str">
        <f>IF($A605="","",MIN($D605,MAX(0,SUMIFS(tblIssues[Qty Issued],tblIssues[Item Name],$A605)-$K605)))</f>
        <v/>
      </c>
      <c r="M605" s="26" t="str">
        <f>IF($A605="","",SUMIFS(tblIssues[Qty Issued],tblIssues[Lot Number],$B605))</f>
        <v/>
      </c>
      <c r="N605" s="26" t="str">
        <f t="shared" si="47"/>
        <v/>
      </c>
      <c r="O605" s="26" t="str">
        <f t="shared" si="48"/>
        <v/>
      </c>
      <c r="P605" s="21" t="str">
        <f t="shared" si="49"/>
        <v/>
      </c>
      <c r="Q605" s="52" t="str">
        <f>IF($A605="","",IF($O605&lt;=0,"Depleted",IF($I605&lt;0,"EXPIRED",IF($I605&lt;=Settings!$C$6,"CRITICAL",IF($I605&lt;=Settings!$C$5,"Expiring","In date")))))</f>
        <v/>
      </c>
    </row>
    <row r="606" spans="1:17" x14ac:dyDescent="0.35">
      <c r="A606" s="90" t="str">
        <f>IF(Receipts!$D609="","",Receipts!$D609)</f>
        <v/>
      </c>
      <c r="B606" s="18" t="str">
        <f>IF(Receipts!$C609="","",Receipts!$C609)</f>
        <v/>
      </c>
      <c r="C606" s="18" t="str">
        <f>IF($A606="","",IFERROR(INDEX(Items!$B$5:$B$597,MATCH($A606,Items!$A$5:$A$597,0)),""))</f>
        <v/>
      </c>
      <c r="D606" s="23" t="str">
        <f>IF($A606="","",N(Receipts!$G609))</f>
        <v/>
      </c>
      <c r="E606" s="20" t="str">
        <f>IF($A606="","",IFERROR(INDEX(Items!$D$5:$D$597,MATCH($A606,Items!$A$5:$A$597,0)),0))</f>
        <v/>
      </c>
      <c r="F606" s="21" t="str">
        <f t="shared" si="45"/>
        <v/>
      </c>
      <c r="G606" s="25" t="str">
        <f>IF(Receipts!$I609="","",Receipts!$I609)</f>
        <v/>
      </c>
      <c r="H606" s="25" t="str">
        <f>IF(Receipts!$H609="","",Receipts!$H609)</f>
        <v/>
      </c>
      <c r="I606" s="26" t="str">
        <f t="shared" ca="1" si="46"/>
        <v/>
      </c>
      <c r="J606" s="26" t="str">
        <f>IF($A606="","",COUNTIFS(tblReceipts[Item Name],$A606,tblReceipts[Expiry Date],"&lt;"&amp;$H606)+COUNTIFS(tblReceipts[Item Name],$A606,tblReceipts[Expiry Date],$H606,tblReceipts[Lot Number],"&lt;="&amp;Receipts!$C609))</f>
        <v/>
      </c>
      <c r="K606" s="26" t="str">
        <f>IF($A606="","",SUMIFS(tblReceipts[Qty Received],tblReceipts[Item Name],$A606,tblReceipts[Expiry Date],"&lt;"&amp;$H606)+SUMIFS(tblReceipts[Qty Received],tblReceipts[Item Name],$A606,tblReceipts[Expiry Date],$H606,tblReceipts[Lot Number],"&lt;"&amp;Receipts!$C609))</f>
        <v/>
      </c>
      <c r="L606" s="26" t="str">
        <f>IF($A606="","",MIN($D606,MAX(0,SUMIFS(tblIssues[Qty Issued],tblIssues[Item Name],$A606)-$K606)))</f>
        <v/>
      </c>
      <c r="M606" s="26" t="str">
        <f>IF($A606="","",SUMIFS(tblIssues[Qty Issued],tblIssues[Lot Number],$B606))</f>
        <v/>
      </c>
      <c r="N606" s="26" t="str">
        <f t="shared" si="47"/>
        <v/>
      </c>
      <c r="O606" s="26" t="str">
        <f t="shared" si="48"/>
        <v/>
      </c>
      <c r="P606" s="21" t="str">
        <f t="shared" si="49"/>
        <v/>
      </c>
      <c r="Q606" s="52" t="str">
        <f>IF($A606="","",IF($O606&lt;=0,"Depleted",IF($I606&lt;0,"EXPIRED",IF($I606&lt;=Settings!$C$6,"CRITICAL",IF($I606&lt;=Settings!$C$5,"Expiring","In date")))))</f>
        <v/>
      </c>
    </row>
    <row r="607" spans="1:17" x14ac:dyDescent="0.35">
      <c r="A607" s="90" t="str">
        <f>IF(Receipts!$D610="","",Receipts!$D610)</f>
        <v/>
      </c>
      <c r="B607" s="18" t="str">
        <f>IF(Receipts!$C610="","",Receipts!$C610)</f>
        <v/>
      </c>
      <c r="C607" s="18" t="str">
        <f>IF($A607="","",IFERROR(INDEX(Items!$B$5:$B$597,MATCH($A607,Items!$A$5:$A$597,0)),""))</f>
        <v/>
      </c>
      <c r="D607" s="23" t="str">
        <f>IF($A607="","",N(Receipts!$G610))</f>
        <v/>
      </c>
      <c r="E607" s="20" t="str">
        <f>IF($A607="","",IFERROR(INDEX(Items!$D$5:$D$597,MATCH($A607,Items!$A$5:$A$597,0)),0))</f>
        <v/>
      </c>
      <c r="F607" s="21" t="str">
        <f t="shared" si="45"/>
        <v/>
      </c>
      <c r="G607" s="25" t="str">
        <f>IF(Receipts!$I610="","",Receipts!$I610)</f>
        <v/>
      </c>
      <c r="H607" s="25" t="str">
        <f>IF(Receipts!$H610="","",Receipts!$H610)</f>
        <v/>
      </c>
      <c r="I607" s="26" t="str">
        <f t="shared" ca="1" si="46"/>
        <v/>
      </c>
      <c r="J607" s="26" t="str">
        <f>IF($A607="","",COUNTIFS(tblReceipts[Item Name],$A607,tblReceipts[Expiry Date],"&lt;"&amp;$H607)+COUNTIFS(tblReceipts[Item Name],$A607,tblReceipts[Expiry Date],$H607,tblReceipts[Lot Number],"&lt;="&amp;Receipts!$C610))</f>
        <v/>
      </c>
      <c r="K607" s="26" t="str">
        <f>IF($A607="","",SUMIFS(tblReceipts[Qty Received],tblReceipts[Item Name],$A607,tblReceipts[Expiry Date],"&lt;"&amp;$H607)+SUMIFS(tblReceipts[Qty Received],tblReceipts[Item Name],$A607,tblReceipts[Expiry Date],$H607,tblReceipts[Lot Number],"&lt;"&amp;Receipts!$C610))</f>
        <v/>
      </c>
      <c r="L607" s="26" t="str">
        <f>IF($A607="","",MIN($D607,MAX(0,SUMIFS(tblIssues[Qty Issued],tblIssues[Item Name],$A607)-$K607)))</f>
        <v/>
      </c>
      <c r="M607" s="26" t="str">
        <f>IF($A607="","",SUMIFS(tblIssues[Qty Issued],tblIssues[Lot Number],$B607))</f>
        <v/>
      </c>
      <c r="N607" s="26" t="str">
        <f t="shared" si="47"/>
        <v/>
      </c>
      <c r="O607" s="26" t="str">
        <f t="shared" si="48"/>
        <v/>
      </c>
      <c r="P607" s="21" t="str">
        <f t="shared" si="49"/>
        <v/>
      </c>
      <c r="Q607" s="52" t="str">
        <f>IF($A607="","",IF($O607&lt;=0,"Depleted",IF($I607&lt;0,"EXPIRED",IF($I607&lt;=Settings!$C$6,"CRITICAL",IF($I607&lt;=Settings!$C$5,"Expiring","In date")))))</f>
        <v/>
      </c>
    </row>
    <row r="608" spans="1:17" x14ac:dyDescent="0.35">
      <c r="A608" s="90" t="str">
        <f>IF(Receipts!$D611="","",Receipts!$D611)</f>
        <v/>
      </c>
      <c r="B608" s="18" t="str">
        <f>IF(Receipts!$C611="","",Receipts!$C611)</f>
        <v/>
      </c>
      <c r="C608" s="18" t="str">
        <f>IF($A608="","",IFERROR(INDEX(Items!$B$5:$B$597,MATCH($A608,Items!$A$5:$A$597,0)),""))</f>
        <v/>
      </c>
      <c r="D608" s="23" t="str">
        <f>IF($A608="","",N(Receipts!$G611))</f>
        <v/>
      </c>
      <c r="E608" s="20" t="str">
        <f>IF($A608="","",IFERROR(INDEX(Items!$D$5:$D$597,MATCH($A608,Items!$A$5:$A$597,0)),0))</f>
        <v/>
      </c>
      <c r="F608" s="21" t="str">
        <f t="shared" si="45"/>
        <v/>
      </c>
      <c r="G608" s="25" t="str">
        <f>IF(Receipts!$I611="","",Receipts!$I611)</f>
        <v/>
      </c>
      <c r="H608" s="25" t="str">
        <f>IF(Receipts!$H611="","",Receipts!$H611)</f>
        <v/>
      </c>
      <c r="I608" s="26" t="str">
        <f t="shared" ca="1" si="46"/>
        <v/>
      </c>
      <c r="J608" s="26" t="str">
        <f>IF($A608="","",COUNTIFS(tblReceipts[Item Name],$A608,tblReceipts[Expiry Date],"&lt;"&amp;$H608)+COUNTIFS(tblReceipts[Item Name],$A608,tblReceipts[Expiry Date],$H608,tblReceipts[Lot Number],"&lt;="&amp;Receipts!$C611))</f>
        <v/>
      </c>
      <c r="K608" s="26" t="str">
        <f>IF($A608="","",SUMIFS(tblReceipts[Qty Received],tblReceipts[Item Name],$A608,tblReceipts[Expiry Date],"&lt;"&amp;$H608)+SUMIFS(tblReceipts[Qty Received],tblReceipts[Item Name],$A608,tblReceipts[Expiry Date],$H608,tblReceipts[Lot Number],"&lt;"&amp;Receipts!$C611))</f>
        <v/>
      </c>
      <c r="L608" s="26" t="str">
        <f>IF($A608="","",MIN($D608,MAX(0,SUMIFS(tblIssues[Qty Issued],tblIssues[Item Name],$A608)-$K608)))</f>
        <v/>
      </c>
      <c r="M608" s="26" t="str">
        <f>IF($A608="","",SUMIFS(tblIssues[Qty Issued],tblIssues[Lot Number],$B608))</f>
        <v/>
      </c>
      <c r="N608" s="26" t="str">
        <f t="shared" si="47"/>
        <v/>
      </c>
      <c r="O608" s="26" t="str">
        <f t="shared" si="48"/>
        <v/>
      </c>
      <c r="P608" s="21" t="str">
        <f t="shared" si="49"/>
        <v/>
      </c>
      <c r="Q608" s="52" t="str">
        <f>IF($A608="","",IF($O608&lt;=0,"Depleted",IF($I608&lt;0,"EXPIRED",IF($I608&lt;=Settings!$C$6,"CRITICAL",IF($I608&lt;=Settings!$C$5,"Expiring","In date")))))</f>
        <v/>
      </c>
    </row>
    <row r="609" spans="1:17" x14ac:dyDescent="0.35">
      <c r="A609" s="90" t="str">
        <f>IF(Receipts!$D612="","",Receipts!$D612)</f>
        <v/>
      </c>
      <c r="B609" s="18" t="str">
        <f>IF(Receipts!$C612="","",Receipts!$C612)</f>
        <v/>
      </c>
      <c r="C609" s="18" t="str">
        <f>IF($A609="","",IFERROR(INDEX(Items!$B$5:$B$597,MATCH($A609,Items!$A$5:$A$597,0)),""))</f>
        <v/>
      </c>
      <c r="D609" s="23" t="str">
        <f>IF($A609="","",N(Receipts!$G612))</f>
        <v/>
      </c>
      <c r="E609" s="20" t="str">
        <f>IF($A609="","",IFERROR(INDEX(Items!$D$5:$D$597,MATCH($A609,Items!$A$5:$A$597,0)),0))</f>
        <v/>
      </c>
      <c r="F609" s="21" t="str">
        <f t="shared" si="45"/>
        <v/>
      </c>
      <c r="G609" s="25" t="str">
        <f>IF(Receipts!$I612="","",Receipts!$I612)</f>
        <v/>
      </c>
      <c r="H609" s="25" t="str">
        <f>IF(Receipts!$H612="","",Receipts!$H612)</f>
        <v/>
      </c>
      <c r="I609" s="26" t="str">
        <f t="shared" ca="1" si="46"/>
        <v/>
      </c>
      <c r="J609" s="26" t="str">
        <f>IF($A609="","",COUNTIFS(tblReceipts[Item Name],$A609,tblReceipts[Expiry Date],"&lt;"&amp;$H609)+COUNTIFS(tblReceipts[Item Name],$A609,tblReceipts[Expiry Date],$H609,tblReceipts[Lot Number],"&lt;="&amp;Receipts!$C612))</f>
        <v/>
      </c>
      <c r="K609" s="26" t="str">
        <f>IF($A609="","",SUMIFS(tblReceipts[Qty Received],tblReceipts[Item Name],$A609,tblReceipts[Expiry Date],"&lt;"&amp;$H609)+SUMIFS(tblReceipts[Qty Received],tblReceipts[Item Name],$A609,tblReceipts[Expiry Date],$H609,tblReceipts[Lot Number],"&lt;"&amp;Receipts!$C612))</f>
        <v/>
      </c>
      <c r="L609" s="26" t="str">
        <f>IF($A609="","",MIN($D609,MAX(0,SUMIFS(tblIssues[Qty Issued],tblIssues[Item Name],$A609)-$K609)))</f>
        <v/>
      </c>
      <c r="M609" s="26" t="str">
        <f>IF($A609="","",SUMIFS(tblIssues[Qty Issued],tblIssues[Lot Number],$B609))</f>
        <v/>
      </c>
      <c r="N609" s="26" t="str">
        <f t="shared" si="47"/>
        <v/>
      </c>
      <c r="O609" s="26" t="str">
        <f t="shared" si="48"/>
        <v/>
      </c>
      <c r="P609" s="21" t="str">
        <f t="shared" si="49"/>
        <v/>
      </c>
      <c r="Q609" s="52" t="str">
        <f>IF($A609="","",IF($O609&lt;=0,"Depleted",IF($I609&lt;0,"EXPIRED",IF($I609&lt;=Settings!$C$6,"CRITICAL",IF($I609&lt;=Settings!$C$5,"Expiring","In date")))))</f>
        <v/>
      </c>
    </row>
    <row r="610" spans="1:17" x14ac:dyDescent="0.35">
      <c r="A610" s="90" t="str">
        <f>IF(Receipts!$D613="","",Receipts!$D613)</f>
        <v/>
      </c>
      <c r="B610" s="18" t="str">
        <f>IF(Receipts!$C613="","",Receipts!$C613)</f>
        <v/>
      </c>
      <c r="C610" s="18" t="str">
        <f>IF($A610="","",IFERROR(INDEX(Items!$B$5:$B$597,MATCH($A610,Items!$A$5:$A$597,0)),""))</f>
        <v/>
      </c>
      <c r="D610" s="23" t="str">
        <f>IF($A610="","",N(Receipts!$G613))</f>
        <v/>
      </c>
      <c r="E610" s="20" t="str">
        <f>IF($A610="","",IFERROR(INDEX(Items!$D$5:$D$597,MATCH($A610,Items!$A$5:$A$597,0)),0))</f>
        <v/>
      </c>
      <c r="F610" s="21" t="str">
        <f t="shared" si="45"/>
        <v/>
      </c>
      <c r="G610" s="25" t="str">
        <f>IF(Receipts!$I613="","",Receipts!$I613)</f>
        <v/>
      </c>
      <c r="H610" s="25" t="str">
        <f>IF(Receipts!$H613="","",Receipts!$H613)</f>
        <v/>
      </c>
      <c r="I610" s="26" t="str">
        <f t="shared" ca="1" si="46"/>
        <v/>
      </c>
      <c r="J610" s="26" t="str">
        <f>IF($A610="","",COUNTIFS(tblReceipts[Item Name],$A610,tblReceipts[Expiry Date],"&lt;"&amp;$H610)+COUNTIFS(tblReceipts[Item Name],$A610,tblReceipts[Expiry Date],$H610,tblReceipts[Lot Number],"&lt;="&amp;Receipts!$C613))</f>
        <v/>
      </c>
      <c r="K610" s="26" t="str">
        <f>IF($A610="","",SUMIFS(tblReceipts[Qty Received],tblReceipts[Item Name],$A610,tblReceipts[Expiry Date],"&lt;"&amp;$H610)+SUMIFS(tblReceipts[Qty Received],tblReceipts[Item Name],$A610,tblReceipts[Expiry Date],$H610,tblReceipts[Lot Number],"&lt;"&amp;Receipts!$C613))</f>
        <v/>
      </c>
      <c r="L610" s="26" t="str">
        <f>IF($A610="","",MIN($D610,MAX(0,SUMIFS(tblIssues[Qty Issued],tblIssues[Item Name],$A610)-$K610)))</f>
        <v/>
      </c>
      <c r="M610" s="26" t="str">
        <f>IF($A610="","",SUMIFS(tblIssues[Qty Issued],tblIssues[Lot Number],$B610))</f>
        <v/>
      </c>
      <c r="N610" s="26" t="str">
        <f t="shared" si="47"/>
        <v/>
      </c>
      <c r="O610" s="26" t="str">
        <f t="shared" si="48"/>
        <v/>
      </c>
      <c r="P610" s="21" t="str">
        <f t="shared" si="49"/>
        <v/>
      </c>
      <c r="Q610" s="52" t="str">
        <f>IF($A610="","",IF($O610&lt;=0,"Depleted",IF($I610&lt;0,"EXPIRED",IF($I610&lt;=Settings!$C$6,"CRITICAL",IF($I610&lt;=Settings!$C$5,"Expiring","In date")))))</f>
        <v/>
      </c>
    </row>
    <row r="611" spans="1:17" x14ac:dyDescent="0.35">
      <c r="A611" s="90" t="str">
        <f>IF(Receipts!$D614="","",Receipts!$D614)</f>
        <v/>
      </c>
      <c r="B611" s="18" t="str">
        <f>IF(Receipts!$C614="","",Receipts!$C614)</f>
        <v/>
      </c>
      <c r="C611" s="18" t="str">
        <f>IF($A611="","",IFERROR(INDEX(Items!$B$5:$B$597,MATCH($A611,Items!$A$5:$A$597,0)),""))</f>
        <v/>
      </c>
      <c r="D611" s="23" t="str">
        <f>IF($A611="","",N(Receipts!$G614))</f>
        <v/>
      </c>
      <c r="E611" s="20" t="str">
        <f>IF($A611="","",IFERROR(INDEX(Items!$D$5:$D$597,MATCH($A611,Items!$A$5:$A$597,0)),0))</f>
        <v/>
      </c>
      <c r="F611" s="21" t="str">
        <f t="shared" si="45"/>
        <v/>
      </c>
      <c r="G611" s="25" t="str">
        <f>IF(Receipts!$I614="","",Receipts!$I614)</f>
        <v/>
      </c>
      <c r="H611" s="25" t="str">
        <f>IF(Receipts!$H614="","",Receipts!$H614)</f>
        <v/>
      </c>
      <c r="I611" s="26" t="str">
        <f t="shared" ca="1" si="46"/>
        <v/>
      </c>
      <c r="J611" s="26" t="str">
        <f>IF($A611="","",COUNTIFS(tblReceipts[Item Name],$A611,tblReceipts[Expiry Date],"&lt;"&amp;$H611)+COUNTIFS(tblReceipts[Item Name],$A611,tblReceipts[Expiry Date],$H611,tblReceipts[Lot Number],"&lt;="&amp;Receipts!$C614))</f>
        <v/>
      </c>
      <c r="K611" s="26" t="str">
        <f>IF($A611="","",SUMIFS(tblReceipts[Qty Received],tblReceipts[Item Name],$A611,tblReceipts[Expiry Date],"&lt;"&amp;$H611)+SUMIFS(tblReceipts[Qty Received],tblReceipts[Item Name],$A611,tblReceipts[Expiry Date],$H611,tblReceipts[Lot Number],"&lt;"&amp;Receipts!$C614))</f>
        <v/>
      </c>
      <c r="L611" s="26" t="str">
        <f>IF($A611="","",MIN($D611,MAX(0,SUMIFS(tblIssues[Qty Issued],tblIssues[Item Name],$A611)-$K611)))</f>
        <v/>
      </c>
      <c r="M611" s="26" t="str">
        <f>IF($A611="","",SUMIFS(tblIssues[Qty Issued],tblIssues[Lot Number],$B611))</f>
        <v/>
      </c>
      <c r="N611" s="26" t="str">
        <f t="shared" si="47"/>
        <v/>
      </c>
      <c r="O611" s="26" t="str">
        <f t="shared" si="48"/>
        <v/>
      </c>
      <c r="P611" s="21" t="str">
        <f t="shared" si="49"/>
        <v/>
      </c>
      <c r="Q611" s="52" t="str">
        <f>IF($A611="","",IF($O611&lt;=0,"Depleted",IF($I611&lt;0,"EXPIRED",IF($I611&lt;=Settings!$C$6,"CRITICAL",IF($I611&lt;=Settings!$C$5,"Expiring","In date")))))</f>
        <v/>
      </c>
    </row>
    <row r="612" spans="1:17" x14ac:dyDescent="0.35">
      <c r="A612" s="90" t="str">
        <f>IF(Receipts!$D615="","",Receipts!$D615)</f>
        <v/>
      </c>
      <c r="B612" s="18" t="str">
        <f>IF(Receipts!$C615="","",Receipts!$C615)</f>
        <v/>
      </c>
      <c r="C612" s="18" t="str">
        <f>IF($A612="","",IFERROR(INDEX(Items!$B$5:$B$597,MATCH($A612,Items!$A$5:$A$597,0)),""))</f>
        <v/>
      </c>
      <c r="D612" s="23" t="str">
        <f>IF($A612="","",N(Receipts!$G615))</f>
        <v/>
      </c>
      <c r="E612" s="20" t="str">
        <f>IF($A612="","",IFERROR(INDEX(Items!$D$5:$D$597,MATCH($A612,Items!$A$5:$A$597,0)),0))</f>
        <v/>
      </c>
      <c r="F612" s="21" t="str">
        <f t="shared" si="45"/>
        <v/>
      </c>
      <c r="G612" s="25" t="str">
        <f>IF(Receipts!$I615="","",Receipts!$I615)</f>
        <v/>
      </c>
      <c r="H612" s="25" t="str">
        <f>IF(Receipts!$H615="","",Receipts!$H615)</f>
        <v/>
      </c>
      <c r="I612" s="26" t="str">
        <f t="shared" ca="1" si="46"/>
        <v/>
      </c>
      <c r="J612" s="26" t="str">
        <f>IF($A612="","",COUNTIFS(tblReceipts[Item Name],$A612,tblReceipts[Expiry Date],"&lt;"&amp;$H612)+COUNTIFS(tblReceipts[Item Name],$A612,tblReceipts[Expiry Date],$H612,tblReceipts[Lot Number],"&lt;="&amp;Receipts!$C615))</f>
        <v/>
      </c>
      <c r="K612" s="26" t="str">
        <f>IF($A612="","",SUMIFS(tblReceipts[Qty Received],tblReceipts[Item Name],$A612,tblReceipts[Expiry Date],"&lt;"&amp;$H612)+SUMIFS(tblReceipts[Qty Received],tblReceipts[Item Name],$A612,tblReceipts[Expiry Date],$H612,tblReceipts[Lot Number],"&lt;"&amp;Receipts!$C615))</f>
        <v/>
      </c>
      <c r="L612" s="26" t="str">
        <f>IF($A612="","",MIN($D612,MAX(0,SUMIFS(tblIssues[Qty Issued],tblIssues[Item Name],$A612)-$K612)))</f>
        <v/>
      </c>
      <c r="M612" s="26" t="str">
        <f>IF($A612="","",SUMIFS(tblIssues[Qty Issued],tblIssues[Lot Number],$B612))</f>
        <v/>
      </c>
      <c r="N612" s="26" t="str">
        <f t="shared" si="47"/>
        <v/>
      </c>
      <c r="O612" s="26" t="str">
        <f t="shared" si="48"/>
        <v/>
      </c>
      <c r="P612" s="21" t="str">
        <f t="shared" si="49"/>
        <v/>
      </c>
      <c r="Q612" s="52" t="str">
        <f>IF($A612="","",IF($O612&lt;=0,"Depleted",IF($I612&lt;0,"EXPIRED",IF($I612&lt;=Settings!$C$6,"CRITICAL",IF($I612&lt;=Settings!$C$5,"Expiring","In date")))))</f>
        <v/>
      </c>
    </row>
    <row r="613" spans="1:17" x14ac:dyDescent="0.35">
      <c r="A613" s="90" t="str">
        <f>IF(Receipts!$D616="","",Receipts!$D616)</f>
        <v/>
      </c>
      <c r="B613" s="18" t="str">
        <f>IF(Receipts!$C616="","",Receipts!$C616)</f>
        <v/>
      </c>
      <c r="C613" s="18" t="str">
        <f>IF($A613="","",IFERROR(INDEX(Items!$B$5:$B$597,MATCH($A613,Items!$A$5:$A$597,0)),""))</f>
        <v/>
      </c>
      <c r="D613" s="23" t="str">
        <f>IF($A613="","",N(Receipts!$G616))</f>
        <v/>
      </c>
      <c r="E613" s="20" t="str">
        <f>IF($A613="","",IFERROR(INDEX(Items!$D$5:$D$597,MATCH($A613,Items!$A$5:$A$597,0)),0))</f>
        <v/>
      </c>
      <c r="F613" s="21" t="str">
        <f t="shared" si="45"/>
        <v/>
      </c>
      <c r="G613" s="25" t="str">
        <f>IF(Receipts!$I616="","",Receipts!$I616)</f>
        <v/>
      </c>
      <c r="H613" s="25" t="str">
        <f>IF(Receipts!$H616="","",Receipts!$H616)</f>
        <v/>
      </c>
      <c r="I613" s="26" t="str">
        <f t="shared" ca="1" si="46"/>
        <v/>
      </c>
      <c r="J613" s="26" t="str">
        <f>IF($A613="","",COUNTIFS(tblReceipts[Item Name],$A613,tblReceipts[Expiry Date],"&lt;"&amp;$H613)+COUNTIFS(tblReceipts[Item Name],$A613,tblReceipts[Expiry Date],$H613,tblReceipts[Lot Number],"&lt;="&amp;Receipts!$C616))</f>
        <v/>
      </c>
      <c r="K613" s="26" t="str">
        <f>IF($A613="","",SUMIFS(tblReceipts[Qty Received],tblReceipts[Item Name],$A613,tblReceipts[Expiry Date],"&lt;"&amp;$H613)+SUMIFS(tblReceipts[Qty Received],tblReceipts[Item Name],$A613,tblReceipts[Expiry Date],$H613,tblReceipts[Lot Number],"&lt;"&amp;Receipts!$C616))</f>
        <v/>
      </c>
      <c r="L613" s="26" t="str">
        <f>IF($A613="","",MIN($D613,MAX(0,SUMIFS(tblIssues[Qty Issued],tblIssues[Item Name],$A613)-$K613)))</f>
        <v/>
      </c>
      <c r="M613" s="26" t="str">
        <f>IF($A613="","",SUMIFS(tblIssues[Qty Issued],tblIssues[Lot Number],$B613))</f>
        <v/>
      </c>
      <c r="N613" s="26" t="str">
        <f t="shared" si="47"/>
        <v/>
      </c>
      <c r="O613" s="26" t="str">
        <f t="shared" si="48"/>
        <v/>
      </c>
      <c r="P613" s="21" t="str">
        <f t="shared" si="49"/>
        <v/>
      </c>
      <c r="Q613" s="52" t="str">
        <f>IF($A613="","",IF($O613&lt;=0,"Depleted",IF($I613&lt;0,"EXPIRED",IF($I613&lt;=Settings!$C$6,"CRITICAL",IF($I613&lt;=Settings!$C$5,"Expiring","In date")))))</f>
        <v/>
      </c>
    </row>
    <row r="614" spans="1:17" x14ac:dyDescent="0.35">
      <c r="A614" s="90" t="str">
        <f>IF(Receipts!$D617="","",Receipts!$D617)</f>
        <v/>
      </c>
      <c r="B614" s="18" t="str">
        <f>IF(Receipts!$C617="","",Receipts!$C617)</f>
        <v/>
      </c>
      <c r="C614" s="18" t="str">
        <f>IF($A614="","",IFERROR(INDEX(Items!$B$5:$B$597,MATCH($A614,Items!$A$5:$A$597,0)),""))</f>
        <v/>
      </c>
      <c r="D614" s="23" t="str">
        <f>IF($A614="","",N(Receipts!$G617))</f>
        <v/>
      </c>
      <c r="E614" s="20" t="str">
        <f>IF($A614="","",IFERROR(INDEX(Items!$D$5:$D$597,MATCH($A614,Items!$A$5:$A$597,0)),0))</f>
        <v/>
      </c>
      <c r="F614" s="21" t="str">
        <f t="shared" si="45"/>
        <v/>
      </c>
      <c r="G614" s="25" t="str">
        <f>IF(Receipts!$I617="","",Receipts!$I617)</f>
        <v/>
      </c>
      <c r="H614" s="25" t="str">
        <f>IF(Receipts!$H617="","",Receipts!$H617)</f>
        <v/>
      </c>
      <c r="I614" s="26" t="str">
        <f t="shared" ca="1" si="46"/>
        <v/>
      </c>
      <c r="J614" s="26" t="str">
        <f>IF($A614="","",COUNTIFS(tblReceipts[Item Name],$A614,tblReceipts[Expiry Date],"&lt;"&amp;$H614)+COUNTIFS(tblReceipts[Item Name],$A614,tblReceipts[Expiry Date],$H614,tblReceipts[Lot Number],"&lt;="&amp;Receipts!$C617))</f>
        <v/>
      </c>
      <c r="K614" s="26" t="str">
        <f>IF($A614="","",SUMIFS(tblReceipts[Qty Received],tblReceipts[Item Name],$A614,tblReceipts[Expiry Date],"&lt;"&amp;$H614)+SUMIFS(tblReceipts[Qty Received],tblReceipts[Item Name],$A614,tblReceipts[Expiry Date],$H614,tblReceipts[Lot Number],"&lt;"&amp;Receipts!$C617))</f>
        <v/>
      </c>
      <c r="L614" s="26" t="str">
        <f>IF($A614="","",MIN($D614,MAX(0,SUMIFS(tblIssues[Qty Issued],tblIssues[Item Name],$A614)-$K614)))</f>
        <v/>
      </c>
      <c r="M614" s="26" t="str">
        <f>IF($A614="","",SUMIFS(tblIssues[Qty Issued],tblIssues[Lot Number],$B614))</f>
        <v/>
      </c>
      <c r="N614" s="26" t="str">
        <f t="shared" si="47"/>
        <v/>
      </c>
      <c r="O614" s="26" t="str">
        <f t="shared" si="48"/>
        <v/>
      </c>
      <c r="P614" s="21" t="str">
        <f t="shared" si="49"/>
        <v/>
      </c>
      <c r="Q614" s="52" t="str">
        <f>IF($A614="","",IF($O614&lt;=0,"Depleted",IF($I614&lt;0,"EXPIRED",IF($I614&lt;=Settings!$C$6,"CRITICAL",IF($I614&lt;=Settings!$C$5,"Expiring","In date")))))</f>
        <v/>
      </c>
    </row>
    <row r="615" spans="1:17" x14ac:dyDescent="0.35">
      <c r="A615" s="90" t="str">
        <f>IF(Receipts!$D618="","",Receipts!$D618)</f>
        <v/>
      </c>
      <c r="B615" s="18" t="str">
        <f>IF(Receipts!$C618="","",Receipts!$C618)</f>
        <v/>
      </c>
      <c r="C615" s="18" t="str">
        <f>IF($A615="","",IFERROR(INDEX(Items!$B$5:$B$597,MATCH($A615,Items!$A$5:$A$597,0)),""))</f>
        <v/>
      </c>
      <c r="D615" s="23" t="str">
        <f>IF($A615="","",N(Receipts!$G618))</f>
        <v/>
      </c>
      <c r="E615" s="20" t="str">
        <f>IF($A615="","",IFERROR(INDEX(Items!$D$5:$D$597,MATCH($A615,Items!$A$5:$A$597,0)),0))</f>
        <v/>
      </c>
      <c r="F615" s="21" t="str">
        <f t="shared" si="45"/>
        <v/>
      </c>
      <c r="G615" s="25" t="str">
        <f>IF(Receipts!$I618="","",Receipts!$I618)</f>
        <v/>
      </c>
      <c r="H615" s="25" t="str">
        <f>IF(Receipts!$H618="","",Receipts!$H618)</f>
        <v/>
      </c>
      <c r="I615" s="26" t="str">
        <f t="shared" ca="1" si="46"/>
        <v/>
      </c>
      <c r="J615" s="26" t="str">
        <f>IF($A615="","",COUNTIFS(tblReceipts[Item Name],$A615,tblReceipts[Expiry Date],"&lt;"&amp;$H615)+COUNTIFS(tblReceipts[Item Name],$A615,tblReceipts[Expiry Date],$H615,tblReceipts[Lot Number],"&lt;="&amp;Receipts!$C618))</f>
        <v/>
      </c>
      <c r="K615" s="26" t="str">
        <f>IF($A615="","",SUMIFS(tblReceipts[Qty Received],tblReceipts[Item Name],$A615,tblReceipts[Expiry Date],"&lt;"&amp;$H615)+SUMIFS(tblReceipts[Qty Received],tblReceipts[Item Name],$A615,tblReceipts[Expiry Date],$H615,tblReceipts[Lot Number],"&lt;"&amp;Receipts!$C618))</f>
        <v/>
      </c>
      <c r="L615" s="26" t="str">
        <f>IF($A615="","",MIN($D615,MAX(0,SUMIFS(tblIssues[Qty Issued],tblIssues[Item Name],$A615)-$K615)))</f>
        <v/>
      </c>
      <c r="M615" s="26" t="str">
        <f>IF($A615="","",SUMIFS(tblIssues[Qty Issued],tblIssues[Lot Number],$B615))</f>
        <v/>
      </c>
      <c r="N615" s="26" t="str">
        <f t="shared" si="47"/>
        <v/>
      </c>
      <c r="O615" s="26" t="str">
        <f t="shared" si="48"/>
        <v/>
      </c>
      <c r="P615" s="21" t="str">
        <f t="shared" si="49"/>
        <v/>
      </c>
      <c r="Q615" s="52" t="str">
        <f>IF($A615="","",IF($O615&lt;=0,"Depleted",IF($I615&lt;0,"EXPIRED",IF($I615&lt;=Settings!$C$6,"CRITICAL",IF($I615&lt;=Settings!$C$5,"Expiring","In date")))))</f>
        <v/>
      </c>
    </row>
    <row r="616" spans="1:17" x14ac:dyDescent="0.35">
      <c r="A616" s="90" t="str">
        <f>IF(Receipts!$D619="","",Receipts!$D619)</f>
        <v/>
      </c>
      <c r="B616" s="18" t="str">
        <f>IF(Receipts!$C619="","",Receipts!$C619)</f>
        <v/>
      </c>
      <c r="C616" s="18" t="str">
        <f>IF($A616="","",IFERROR(INDEX(Items!$B$5:$B$597,MATCH($A616,Items!$A$5:$A$597,0)),""))</f>
        <v/>
      </c>
      <c r="D616" s="23" t="str">
        <f>IF($A616="","",N(Receipts!$G619))</f>
        <v/>
      </c>
      <c r="E616" s="20" t="str">
        <f>IF($A616="","",IFERROR(INDEX(Items!$D$5:$D$597,MATCH($A616,Items!$A$5:$A$597,0)),0))</f>
        <v/>
      </c>
      <c r="F616" s="21" t="str">
        <f t="shared" si="45"/>
        <v/>
      </c>
      <c r="G616" s="25" t="str">
        <f>IF(Receipts!$I619="","",Receipts!$I619)</f>
        <v/>
      </c>
      <c r="H616" s="25" t="str">
        <f>IF(Receipts!$H619="","",Receipts!$H619)</f>
        <v/>
      </c>
      <c r="I616" s="26" t="str">
        <f t="shared" ca="1" si="46"/>
        <v/>
      </c>
      <c r="J616" s="26" t="str">
        <f>IF($A616="","",COUNTIFS(tblReceipts[Item Name],$A616,tblReceipts[Expiry Date],"&lt;"&amp;$H616)+COUNTIFS(tblReceipts[Item Name],$A616,tblReceipts[Expiry Date],$H616,tblReceipts[Lot Number],"&lt;="&amp;Receipts!$C619))</f>
        <v/>
      </c>
      <c r="K616" s="26" t="str">
        <f>IF($A616="","",SUMIFS(tblReceipts[Qty Received],tblReceipts[Item Name],$A616,tblReceipts[Expiry Date],"&lt;"&amp;$H616)+SUMIFS(tblReceipts[Qty Received],tblReceipts[Item Name],$A616,tblReceipts[Expiry Date],$H616,tblReceipts[Lot Number],"&lt;"&amp;Receipts!$C619))</f>
        <v/>
      </c>
      <c r="L616" s="26" t="str">
        <f>IF($A616="","",MIN($D616,MAX(0,SUMIFS(tblIssues[Qty Issued],tblIssues[Item Name],$A616)-$K616)))</f>
        <v/>
      </c>
      <c r="M616" s="26" t="str">
        <f>IF($A616="","",SUMIFS(tblIssues[Qty Issued],tblIssues[Lot Number],$B616))</f>
        <v/>
      </c>
      <c r="N616" s="26" t="str">
        <f t="shared" si="47"/>
        <v/>
      </c>
      <c r="O616" s="26" t="str">
        <f t="shared" si="48"/>
        <v/>
      </c>
      <c r="P616" s="21" t="str">
        <f t="shared" si="49"/>
        <v/>
      </c>
      <c r="Q616" s="52" t="str">
        <f>IF($A616="","",IF($O616&lt;=0,"Depleted",IF($I616&lt;0,"EXPIRED",IF($I616&lt;=Settings!$C$6,"CRITICAL",IF($I616&lt;=Settings!$C$5,"Expiring","In date")))))</f>
        <v/>
      </c>
    </row>
    <row r="617" spans="1:17" x14ac:dyDescent="0.35">
      <c r="A617" s="90" t="str">
        <f>IF(Receipts!$D620="","",Receipts!$D620)</f>
        <v/>
      </c>
      <c r="B617" s="18" t="str">
        <f>IF(Receipts!$C620="","",Receipts!$C620)</f>
        <v/>
      </c>
      <c r="C617" s="18" t="str">
        <f>IF($A617="","",IFERROR(INDEX(Items!$B$5:$B$597,MATCH($A617,Items!$A$5:$A$597,0)),""))</f>
        <v/>
      </c>
      <c r="D617" s="23" t="str">
        <f>IF($A617="","",N(Receipts!$G620))</f>
        <v/>
      </c>
      <c r="E617" s="20" t="str">
        <f>IF($A617="","",IFERROR(INDEX(Items!$D$5:$D$597,MATCH($A617,Items!$A$5:$A$597,0)),0))</f>
        <v/>
      </c>
      <c r="F617" s="21" t="str">
        <f t="shared" si="45"/>
        <v/>
      </c>
      <c r="G617" s="25" t="str">
        <f>IF(Receipts!$I620="","",Receipts!$I620)</f>
        <v/>
      </c>
      <c r="H617" s="25" t="str">
        <f>IF(Receipts!$H620="","",Receipts!$H620)</f>
        <v/>
      </c>
      <c r="I617" s="26" t="str">
        <f t="shared" ca="1" si="46"/>
        <v/>
      </c>
      <c r="J617" s="26" t="str">
        <f>IF($A617="","",COUNTIFS(tblReceipts[Item Name],$A617,tblReceipts[Expiry Date],"&lt;"&amp;$H617)+COUNTIFS(tblReceipts[Item Name],$A617,tblReceipts[Expiry Date],$H617,tblReceipts[Lot Number],"&lt;="&amp;Receipts!$C620))</f>
        <v/>
      </c>
      <c r="K617" s="26" t="str">
        <f>IF($A617="","",SUMIFS(tblReceipts[Qty Received],tblReceipts[Item Name],$A617,tblReceipts[Expiry Date],"&lt;"&amp;$H617)+SUMIFS(tblReceipts[Qty Received],tblReceipts[Item Name],$A617,tblReceipts[Expiry Date],$H617,tblReceipts[Lot Number],"&lt;"&amp;Receipts!$C620))</f>
        <v/>
      </c>
      <c r="L617" s="26" t="str">
        <f>IF($A617="","",MIN($D617,MAX(0,SUMIFS(tblIssues[Qty Issued],tblIssues[Item Name],$A617)-$K617)))</f>
        <v/>
      </c>
      <c r="M617" s="26" t="str">
        <f>IF($A617="","",SUMIFS(tblIssues[Qty Issued],tblIssues[Lot Number],$B617))</f>
        <v/>
      </c>
      <c r="N617" s="26" t="str">
        <f t="shared" si="47"/>
        <v/>
      </c>
      <c r="O617" s="26" t="str">
        <f t="shared" si="48"/>
        <v/>
      </c>
      <c r="P617" s="21" t="str">
        <f t="shared" si="49"/>
        <v/>
      </c>
      <c r="Q617" s="52" t="str">
        <f>IF($A617="","",IF($O617&lt;=0,"Depleted",IF($I617&lt;0,"EXPIRED",IF($I617&lt;=Settings!$C$6,"CRITICAL",IF($I617&lt;=Settings!$C$5,"Expiring","In date")))))</f>
        <v/>
      </c>
    </row>
    <row r="618" spans="1:17" x14ac:dyDescent="0.35">
      <c r="A618" s="90" t="str">
        <f>IF(Receipts!$D621="","",Receipts!$D621)</f>
        <v/>
      </c>
      <c r="B618" s="18" t="str">
        <f>IF(Receipts!$C621="","",Receipts!$C621)</f>
        <v/>
      </c>
      <c r="C618" s="18" t="str">
        <f>IF($A618="","",IFERROR(INDEX(Items!$B$5:$B$597,MATCH($A618,Items!$A$5:$A$597,0)),""))</f>
        <v/>
      </c>
      <c r="D618" s="23" t="str">
        <f>IF($A618="","",N(Receipts!$G621))</f>
        <v/>
      </c>
      <c r="E618" s="20" t="str">
        <f>IF($A618="","",IFERROR(INDEX(Items!$D$5:$D$597,MATCH($A618,Items!$A$5:$A$597,0)),0))</f>
        <v/>
      </c>
      <c r="F618" s="21" t="str">
        <f t="shared" si="45"/>
        <v/>
      </c>
      <c r="G618" s="25" t="str">
        <f>IF(Receipts!$I621="","",Receipts!$I621)</f>
        <v/>
      </c>
      <c r="H618" s="25" t="str">
        <f>IF(Receipts!$H621="","",Receipts!$H621)</f>
        <v/>
      </c>
      <c r="I618" s="26" t="str">
        <f t="shared" ca="1" si="46"/>
        <v/>
      </c>
      <c r="J618" s="26" t="str">
        <f>IF($A618="","",COUNTIFS(tblReceipts[Item Name],$A618,tblReceipts[Expiry Date],"&lt;"&amp;$H618)+COUNTIFS(tblReceipts[Item Name],$A618,tblReceipts[Expiry Date],$H618,tblReceipts[Lot Number],"&lt;="&amp;Receipts!$C621))</f>
        <v/>
      </c>
      <c r="K618" s="26" t="str">
        <f>IF($A618="","",SUMIFS(tblReceipts[Qty Received],tblReceipts[Item Name],$A618,tblReceipts[Expiry Date],"&lt;"&amp;$H618)+SUMIFS(tblReceipts[Qty Received],tblReceipts[Item Name],$A618,tblReceipts[Expiry Date],$H618,tblReceipts[Lot Number],"&lt;"&amp;Receipts!$C621))</f>
        <v/>
      </c>
      <c r="L618" s="26" t="str">
        <f>IF($A618="","",MIN($D618,MAX(0,SUMIFS(tblIssues[Qty Issued],tblIssues[Item Name],$A618)-$K618)))</f>
        <v/>
      </c>
      <c r="M618" s="26" t="str">
        <f>IF($A618="","",SUMIFS(tblIssues[Qty Issued],tblIssues[Lot Number],$B618))</f>
        <v/>
      </c>
      <c r="N618" s="26" t="str">
        <f t="shared" si="47"/>
        <v/>
      </c>
      <c r="O618" s="26" t="str">
        <f t="shared" si="48"/>
        <v/>
      </c>
      <c r="P618" s="21" t="str">
        <f t="shared" si="49"/>
        <v/>
      </c>
      <c r="Q618" s="52" t="str">
        <f>IF($A618="","",IF($O618&lt;=0,"Depleted",IF($I618&lt;0,"EXPIRED",IF($I618&lt;=Settings!$C$6,"CRITICAL",IF($I618&lt;=Settings!$C$5,"Expiring","In date")))))</f>
        <v/>
      </c>
    </row>
    <row r="619" spans="1:17" x14ac:dyDescent="0.35">
      <c r="A619" s="90" t="str">
        <f>IF(Receipts!$D622="","",Receipts!$D622)</f>
        <v/>
      </c>
      <c r="B619" s="18" t="str">
        <f>IF(Receipts!$C622="","",Receipts!$C622)</f>
        <v/>
      </c>
      <c r="C619" s="18" t="str">
        <f>IF($A619="","",IFERROR(INDEX(Items!$B$5:$B$597,MATCH($A619,Items!$A$5:$A$597,0)),""))</f>
        <v/>
      </c>
      <c r="D619" s="23" t="str">
        <f>IF($A619="","",N(Receipts!$G622))</f>
        <v/>
      </c>
      <c r="E619" s="20" t="str">
        <f>IF($A619="","",IFERROR(INDEX(Items!$D$5:$D$597,MATCH($A619,Items!$A$5:$A$597,0)),0))</f>
        <v/>
      </c>
      <c r="F619" s="21" t="str">
        <f t="shared" si="45"/>
        <v/>
      </c>
      <c r="G619" s="25" t="str">
        <f>IF(Receipts!$I622="","",Receipts!$I622)</f>
        <v/>
      </c>
      <c r="H619" s="25" t="str">
        <f>IF(Receipts!$H622="","",Receipts!$H622)</f>
        <v/>
      </c>
      <c r="I619" s="26" t="str">
        <f t="shared" ca="1" si="46"/>
        <v/>
      </c>
      <c r="J619" s="26" t="str">
        <f>IF($A619="","",COUNTIFS(tblReceipts[Item Name],$A619,tblReceipts[Expiry Date],"&lt;"&amp;$H619)+COUNTIFS(tblReceipts[Item Name],$A619,tblReceipts[Expiry Date],$H619,tblReceipts[Lot Number],"&lt;="&amp;Receipts!$C622))</f>
        <v/>
      </c>
      <c r="K619" s="26" t="str">
        <f>IF($A619="","",SUMIFS(tblReceipts[Qty Received],tblReceipts[Item Name],$A619,tblReceipts[Expiry Date],"&lt;"&amp;$H619)+SUMIFS(tblReceipts[Qty Received],tblReceipts[Item Name],$A619,tblReceipts[Expiry Date],$H619,tblReceipts[Lot Number],"&lt;"&amp;Receipts!$C622))</f>
        <v/>
      </c>
      <c r="L619" s="26" t="str">
        <f>IF($A619="","",MIN($D619,MAX(0,SUMIFS(tblIssues[Qty Issued],tblIssues[Item Name],$A619)-$K619)))</f>
        <v/>
      </c>
      <c r="M619" s="26" t="str">
        <f>IF($A619="","",SUMIFS(tblIssues[Qty Issued],tblIssues[Lot Number],$B619))</f>
        <v/>
      </c>
      <c r="N619" s="26" t="str">
        <f t="shared" si="47"/>
        <v/>
      </c>
      <c r="O619" s="26" t="str">
        <f t="shared" si="48"/>
        <v/>
      </c>
      <c r="P619" s="21" t="str">
        <f t="shared" si="49"/>
        <v/>
      </c>
      <c r="Q619" s="52" t="str">
        <f>IF($A619="","",IF($O619&lt;=0,"Depleted",IF($I619&lt;0,"EXPIRED",IF($I619&lt;=Settings!$C$6,"CRITICAL",IF($I619&lt;=Settings!$C$5,"Expiring","In date")))))</f>
        <v/>
      </c>
    </row>
    <row r="620" spans="1:17" x14ac:dyDescent="0.35">
      <c r="A620" s="90" t="str">
        <f>IF(Receipts!$D623="","",Receipts!$D623)</f>
        <v/>
      </c>
      <c r="B620" s="18" t="str">
        <f>IF(Receipts!$C623="","",Receipts!$C623)</f>
        <v/>
      </c>
      <c r="C620" s="18" t="str">
        <f>IF($A620="","",IFERROR(INDEX(Items!$B$5:$B$597,MATCH($A620,Items!$A$5:$A$597,0)),""))</f>
        <v/>
      </c>
      <c r="D620" s="23" t="str">
        <f>IF($A620="","",N(Receipts!$G623))</f>
        <v/>
      </c>
      <c r="E620" s="20" t="str">
        <f>IF($A620="","",IFERROR(INDEX(Items!$D$5:$D$597,MATCH($A620,Items!$A$5:$A$597,0)),0))</f>
        <v/>
      </c>
      <c r="F620" s="21" t="str">
        <f t="shared" si="45"/>
        <v/>
      </c>
      <c r="G620" s="25" t="str">
        <f>IF(Receipts!$I623="","",Receipts!$I623)</f>
        <v/>
      </c>
      <c r="H620" s="25" t="str">
        <f>IF(Receipts!$H623="","",Receipts!$H623)</f>
        <v/>
      </c>
      <c r="I620" s="26" t="str">
        <f t="shared" ca="1" si="46"/>
        <v/>
      </c>
      <c r="J620" s="26" t="str">
        <f>IF($A620="","",COUNTIFS(tblReceipts[Item Name],$A620,tblReceipts[Expiry Date],"&lt;"&amp;$H620)+COUNTIFS(tblReceipts[Item Name],$A620,tblReceipts[Expiry Date],$H620,tblReceipts[Lot Number],"&lt;="&amp;Receipts!$C623))</f>
        <v/>
      </c>
      <c r="K620" s="26" t="str">
        <f>IF($A620="","",SUMIFS(tblReceipts[Qty Received],tblReceipts[Item Name],$A620,tblReceipts[Expiry Date],"&lt;"&amp;$H620)+SUMIFS(tblReceipts[Qty Received],tblReceipts[Item Name],$A620,tblReceipts[Expiry Date],$H620,tblReceipts[Lot Number],"&lt;"&amp;Receipts!$C623))</f>
        <v/>
      </c>
      <c r="L620" s="26" t="str">
        <f>IF($A620="","",MIN($D620,MAX(0,SUMIFS(tblIssues[Qty Issued],tblIssues[Item Name],$A620)-$K620)))</f>
        <v/>
      </c>
      <c r="M620" s="26" t="str">
        <f>IF($A620="","",SUMIFS(tblIssues[Qty Issued],tblIssues[Lot Number],$B620))</f>
        <v/>
      </c>
      <c r="N620" s="26" t="str">
        <f t="shared" si="47"/>
        <v/>
      </c>
      <c r="O620" s="26" t="str">
        <f t="shared" si="48"/>
        <v/>
      </c>
      <c r="P620" s="21" t="str">
        <f t="shared" si="49"/>
        <v/>
      </c>
      <c r="Q620" s="52" t="str">
        <f>IF($A620="","",IF($O620&lt;=0,"Depleted",IF($I620&lt;0,"EXPIRED",IF($I620&lt;=Settings!$C$6,"CRITICAL",IF($I620&lt;=Settings!$C$5,"Expiring","In date")))))</f>
        <v/>
      </c>
    </row>
    <row r="621" spans="1:17" x14ac:dyDescent="0.35">
      <c r="A621" s="90" t="str">
        <f>IF(Receipts!$D624="","",Receipts!$D624)</f>
        <v/>
      </c>
      <c r="B621" s="18" t="str">
        <f>IF(Receipts!$C624="","",Receipts!$C624)</f>
        <v/>
      </c>
      <c r="C621" s="18" t="str">
        <f>IF($A621="","",IFERROR(INDEX(Items!$B$5:$B$597,MATCH($A621,Items!$A$5:$A$597,0)),""))</f>
        <v/>
      </c>
      <c r="D621" s="23" t="str">
        <f>IF($A621="","",N(Receipts!$G624))</f>
        <v/>
      </c>
      <c r="E621" s="20" t="str">
        <f>IF($A621="","",IFERROR(INDEX(Items!$D$5:$D$597,MATCH($A621,Items!$A$5:$A$597,0)),0))</f>
        <v/>
      </c>
      <c r="F621" s="21" t="str">
        <f t="shared" si="45"/>
        <v/>
      </c>
      <c r="G621" s="25" t="str">
        <f>IF(Receipts!$I624="","",Receipts!$I624)</f>
        <v/>
      </c>
      <c r="H621" s="25" t="str">
        <f>IF(Receipts!$H624="","",Receipts!$H624)</f>
        <v/>
      </c>
      <c r="I621" s="26" t="str">
        <f t="shared" ca="1" si="46"/>
        <v/>
      </c>
      <c r="J621" s="26" t="str">
        <f>IF($A621="","",COUNTIFS(tblReceipts[Item Name],$A621,tblReceipts[Expiry Date],"&lt;"&amp;$H621)+COUNTIFS(tblReceipts[Item Name],$A621,tblReceipts[Expiry Date],$H621,tblReceipts[Lot Number],"&lt;="&amp;Receipts!$C624))</f>
        <v/>
      </c>
      <c r="K621" s="26" t="str">
        <f>IF($A621="","",SUMIFS(tblReceipts[Qty Received],tblReceipts[Item Name],$A621,tblReceipts[Expiry Date],"&lt;"&amp;$H621)+SUMIFS(tblReceipts[Qty Received],tblReceipts[Item Name],$A621,tblReceipts[Expiry Date],$H621,tblReceipts[Lot Number],"&lt;"&amp;Receipts!$C624))</f>
        <v/>
      </c>
      <c r="L621" s="26" t="str">
        <f>IF($A621="","",MIN($D621,MAX(0,SUMIFS(tblIssues[Qty Issued],tblIssues[Item Name],$A621)-$K621)))</f>
        <v/>
      </c>
      <c r="M621" s="26" t="str">
        <f>IF($A621="","",SUMIFS(tblIssues[Qty Issued],tblIssues[Lot Number],$B621))</f>
        <v/>
      </c>
      <c r="N621" s="26" t="str">
        <f t="shared" si="47"/>
        <v/>
      </c>
      <c r="O621" s="26" t="str">
        <f t="shared" si="48"/>
        <v/>
      </c>
      <c r="P621" s="21" t="str">
        <f t="shared" si="49"/>
        <v/>
      </c>
      <c r="Q621" s="52" t="str">
        <f>IF($A621="","",IF($O621&lt;=0,"Depleted",IF($I621&lt;0,"EXPIRED",IF($I621&lt;=Settings!$C$6,"CRITICAL",IF($I621&lt;=Settings!$C$5,"Expiring","In date")))))</f>
        <v/>
      </c>
    </row>
    <row r="622" spans="1:17" x14ac:dyDescent="0.35">
      <c r="A622" s="90" t="str">
        <f>IF(Receipts!$D625="","",Receipts!$D625)</f>
        <v/>
      </c>
      <c r="B622" s="18" t="str">
        <f>IF(Receipts!$C625="","",Receipts!$C625)</f>
        <v/>
      </c>
      <c r="C622" s="18" t="str">
        <f>IF($A622="","",IFERROR(INDEX(Items!$B$5:$B$597,MATCH($A622,Items!$A$5:$A$597,0)),""))</f>
        <v/>
      </c>
      <c r="D622" s="23" t="str">
        <f>IF($A622="","",N(Receipts!$G625))</f>
        <v/>
      </c>
      <c r="E622" s="20" t="str">
        <f>IF($A622="","",IFERROR(INDEX(Items!$D$5:$D$597,MATCH($A622,Items!$A$5:$A$597,0)),0))</f>
        <v/>
      </c>
      <c r="F622" s="21" t="str">
        <f t="shared" si="45"/>
        <v/>
      </c>
      <c r="G622" s="25" t="str">
        <f>IF(Receipts!$I625="","",Receipts!$I625)</f>
        <v/>
      </c>
      <c r="H622" s="25" t="str">
        <f>IF(Receipts!$H625="","",Receipts!$H625)</f>
        <v/>
      </c>
      <c r="I622" s="26" t="str">
        <f t="shared" ca="1" si="46"/>
        <v/>
      </c>
      <c r="J622" s="26" t="str">
        <f>IF($A622="","",COUNTIFS(tblReceipts[Item Name],$A622,tblReceipts[Expiry Date],"&lt;"&amp;$H622)+COUNTIFS(tblReceipts[Item Name],$A622,tblReceipts[Expiry Date],$H622,tblReceipts[Lot Number],"&lt;="&amp;Receipts!$C625))</f>
        <v/>
      </c>
      <c r="K622" s="26" t="str">
        <f>IF($A622="","",SUMIFS(tblReceipts[Qty Received],tblReceipts[Item Name],$A622,tblReceipts[Expiry Date],"&lt;"&amp;$H622)+SUMIFS(tblReceipts[Qty Received],tblReceipts[Item Name],$A622,tblReceipts[Expiry Date],$H622,tblReceipts[Lot Number],"&lt;"&amp;Receipts!$C625))</f>
        <v/>
      </c>
      <c r="L622" s="26" t="str">
        <f>IF($A622="","",MIN($D622,MAX(0,SUMIFS(tblIssues[Qty Issued],tblIssues[Item Name],$A622)-$K622)))</f>
        <v/>
      </c>
      <c r="M622" s="26" t="str">
        <f>IF($A622="","",SUMIFS(tblIssues[Qty Issued],tblIssues[Lot Number],$B622))</f>
        <v/>
      </c>
      <c r="N622" s="26" t="str">
        <f t="shared" si="47"/>
        <v/>
      </c>
      <c r="O622" s="26" t="str">
        <f t="shared" si="48"/>
        <v/>
      </c>
      <c r="P622" s="21" t="str">
        <f t="shared" si="49"/>
        <v/>
      </c>
      <c r="Q622" s="52" t="str">
        <f>IF($A622="","",IF($O622&lt;=0,"Depleted",IF($I622&lt;0,"EXPIRED",IF($I622&lt;=Settings!$C$6,"CRITICAL",IF($I622&lt;=Settings!$C$5,"Expiring","In date")))))</f>
        <v/>
      </c>
    </row>
    <row r="623" spans="1:17" x14ac:dyDescent="0.35">
      <c r="A623" s="90" t="str">
        <f>IF(Receipts!$D626="","",Receipts!$D626)</f>
        <v/>
      </c>
      <c r="B623" s="18" t="str">
        <f>IF(Receipts!$C626="","",Receipts!$C626)</f>
        <v/>
      </c>
      <c r="C623" s="18" t="str">
        <f>IF($A623="","",IFERROR(INDEX(Items!$B$5:$B$597,MATCH($A623,Items!$A$5:$A$597,0)),""))</f>
        <v/>
      </c>
      <c r="D623" s="23" t="str">
        <f>IF($A623="","",N(Receipts!$G626))</f>
        <v/>
      </c>
      <c r="E623" s="20" t="str">
        <f>IF($A623="","",IFERROR(INDEX(Items!$D$5:$D$597,MATCH($A623,Items!$A$5:$A$597,0)),0))</f>
        <v/>
      </c>
      <c r="F623" s="21" t="str">
        <f t="shared" si="45"/>
        <v/>
      </c>
      <c r="G623" s="25" t="str">
        <f>IF(Receipts!$I626="","",Receipts!$I626)</f>
        <v/>
      </c>
      <c r="H623" s="25" t="str">
        <f>IF(Receipts!$H626="","",Receipts!$H626)</f>
        <v/>
      </c>
      <c r="I623" s="26" t="str">
        <f t="shared" ca="1" si="46"/>
        <v/>
      </c>
      <c r="J623" s="26" t="str">
        <f>IF($A623="","",COUNTIFS(tblReceipts[Item Name],$A623,tblReceipts[Expiry Date],"&lt;"&amp;$H623)+COUNTIFS(tblReceipts[Item Name],$A623,tblReceipts[Expiry Date],$H623,tblReceipts[Lot Number],"&lt;="&amp;Receipts!$C626))</f>
        <v/>
      </c>
      <c r="K623" s="26" t="str">
        <f>IF($A623="","",SUMIFS(tblReceipts[Qty Received],tblReceipts[Item Name],$A623,tblReceipts[Expiry Date],"&lt;"&amp;$H623)+SUMIFS(tblReceipts[Qty Received],tblReceipts[Item Name],$A623,tblReceipts[Expiry Date],$H623,tblReceipts[Lot Number],"&lt;"&amp;Receipts!$C626))</f>
        <v/>
      </c>
      <c r="L623" s="26" t="str">
        <f>IF($A623="","",MIN($D623,MAX(0,SUMIFS(tblIssues[Qty Issued],tblIssues[Item Name],$A623)-$K623)))</f>
        <v/>
      </c>
      <c r="M623" s="26" t="str">
        <f>IF($A623="","",SUMIFS(tblIssues[Qty Issued],tblIssues[Lot Number],$B623))</f>
        <v/>
      </c>
      <c r="N623" s="26" t="str">
        <f t="shared" si="47"/>
        <v/>
      </c>
      <c r="O623" s="26" t="str">
        <f t="shared" si="48"/>
        <v/>
      </c>
      <c r="P623" s="21" t="str">
        <f t="shared" si="49"/>
        <v/>
      </c>
      <c r="Q623" s="52" t="str">
        <f>IF($A623="","",IF($O623&lt;=0,"Depleted",IF($I623&lt;0,"EXPIRED",IF($I623&lt;=Settings!$C$6,"CRITICAL",IF($I623&lt;=Settings!$C$5,"Expiring","In date")))))</f>
        <v/>
      </c>
    </row>
    <row r="624" spans="1:17" x14ac:dyDescent="0.35">
      <c r="A624" s="90" t="str">
        <f>IF(Receipts!$D627="","",Receipts!$D627)</f>
        <v/>
      </c>
      <c r="B624" s="18" t="str">
        <f>IF(Receipts!$C627="","",Receipts!$C627)</f>
        <v/>
      </c>
      <c r="C624" s="18" t="str">
        <f>IF($A624="","",IFERROR(INDEX(Items!$B$5:$B$597,MATCH($A624,Items!$A$5:$A$597,0)),""))</f>
        <v/>
      </c>
      <c r="D624" s="23" t="str">
        <f>IF($A624="","",N(Receipts!$G627))</f>
        <v/>
      </c>
      <c r="E624" s="20" t="str">
        <f>IF($A624="","",IFERROR(INDEX(Items!$D$5:$D$597,MATCH($A624,Items!$A$5:$A$597,0)),0))</f>
        <v/>
      </c>
      <c r="F624" s="21" t="str">
        <f t="shared" si="45"/>
        <v/>
      </c>
      <c r="G624" s="25" t="str">
        <f>IF(Receipts!$I627="","",Receipts!$I627)</f>
        <v/>
      </c>
      <c r="H624" s="25" t="str">
        <f>IF(Receipts!$H627="","",Receipts!$H627)</f>
        <v/>
      </c>
      <c r="I624" s="26" t="str">
        <f t="shared" ca="1" si="46"/>
        <v/>
      </c>
      <c r="J624" s="26" t="str">
        <f>IF($A624="","",COUNTIFS(tblReceipts[Item Name],$A624,tblReceipts[Expiry Date],"&lt;"&amp;$H624)+COUNTIFS(tblReceipts[Item Name],$A624,tblReceipts[Expiry Date],$H624,tblReceipts[Lot Number],"&lt;="&amp;Receipts!$C627))</f>
        <v/>
      </c>
      <c r="K624" s="26" t="str">
        <f>IF($A624="","",SUMIFS(tblReceipts[Qty Received],tblReceipts[Item Name],$A624,tblReceipts[Expiry Date],"&lt;"&amp;$H624)+SUMIFS(tblReceipts[Qty Received],tblReceipts[Item Name],$A624,tblReceipts[Expiry Date],$H624,tblReceipts[Lot Number],"&lt;"&amp;Receipts!$C627))</f>
        <v/>
      </c>
      <c r="L624" s="26" t="str">
        <f>IF($A624="","",MIN($D624,MAX(0,SUMIFS(tblIssues[Qty Issued],tblIssues[Item Name],$A624)-$K624)))</f>
        <v/>
      </c>
      <c r="M624" s="26" t="str">
        <f>IF($A624="","",SUMIFS(tblIssues[Qty Issued],tblIssues[Lot Number],$B624))</f>
        <v/>
      </c>
      <c r="N624" s="26" t="str">
        <f t="shared" si="47"/>
        <v/>
      </c>
      <c r="O624" s="26" t="str">
        <f t="shared" si="48"/>
        <v/>
      </c>
      <c r="P624" s="21" t="str">
        <f t="shared" si="49"/>
        <v/>
      </c>
      <c r="Q624" s="52" t="str">
        <f>IF($A624="","",IF($O624&lt;=0,"Depleted",IF($I624&lt;0,"EXPIRED",IF($I624&lt;=Settings!$C$6,"CRITICAL",IF($I624&lt;=Settings!$C$5,"Expiring","In date")))))</f>
        <v/>
      </c>
    </row>
    <row r="625" spans="1:17" x14ac:dyDescent="0.35">
      <c r="A625" s="90" t="str">
        <f>IF(Receipts!$D628="","",Receipts!$D628)</f>
        <v/>
      </c>
      <c r="B625" s="18" t="str">
        <f>IF(Receipts!$C628="","",Receipts!$C628)</f>
        <v/>
      </c>
      <c r="C625" s="18" t="str">
        <f>IF($A625="","",IFERROR(INDEX(Items!$B$5:$B$597,MATCH($A625,Items!$A$5:$A$597,0)),""))</f>
        <v/>
      </c>
      <c r="D625" s="23" t="str">
        <f>IF($A625="","",N(Receipts!$G628))</f>
        <v/>
      </c>
      <c r="E625" s="20" t="str">
        <f>IF($A625="","",IFERROR(INDEX(Items!$D$5:$D$597,MATCH($A625,Items!$A$5:$A$597,0)),0))</f>
        <v/>
      </c>
      <c r="F625" s="21" t="str">
        <f t="shared" si="45"/>
        <v/>
      </c>
      <c r="G625" s="25" t="str">
        <f>IF(Receipts!$I628="","",Receipts!$I628)</f>
        <v/>
      </c>
      <c r="H625" s="25" t="str">
        <f>IF(Receipts!$H628="","",Receipts!$H628)</f>
        <v/>
      </c>
      <c r="I625" s="26" t="str">
        <f t="shared" ca="1" si="46"/>
        <v/>
      </c>
      <c r="J625" s="26" t="str">
        <f>IF($A625="","",COUNTIFS(tblReceipts[Item Name],$A625,tblReceipts[Expiry Date],"&lt;"&amp;$H625)+COUNTIFS(tblReceipts[Item Name],$A625,tblReceipts[Expiry Date],$H625,tblReceipts[Lot Number],"&lt;="&amp;Receipts!$C628))</f>
        <v/>
      </c>
      <c r="K625" s="26" t="str">
        <f>IF($A625="","",SUMIFS(tblReceipts[Qty Received],tblReceipts[Item Name],$A625,tblReceipts[Expiry Date],"&lt;"&amp;$H625)+SUMIFS(tblReceipts[Qty Received],tblReceipts[Item Name],$A625,tblReceipts[Expiry Date],$H625,tblReceipts[Lot Number],"&lt;"&amp;Receipts!$C628))</f>
        <v/>
      </c>
      <c r="L625" s="26" t="str">
        <f>IF($A625="","",MIN($D625,MAX(0,SUMIFS(tblIssues[Qty Issued],tblIssues[Item Name],$A625)-$K625)))</f>
        <v/>
      </c>
      <c r="M625" s="26" t="str">
        <f>IF($A625="","",SUMIFS(tblIssues[Qty Issued],tblIssues[Lot Number],$B625))</f>
        <v/>
      </c>
      <c r="N625" s="26" t="str">
        <f t="shared" si="47"/>
        <v/>
      </c>
      <c r="O625" s="26" t="str">
        <f t="shared" si="48"/>
        <v/>
      </c>
      <c r="P625" s="21" t="str">
        <f t="shared" si="49"/>
        <v/>
      </c>
      <c r="Q625" s="52" t="str">
        <f>IF($A625="","",IF($O625&lt;=0,"Depleted",IF($I625&lt;0,"EXPIRED",IF($I625&lt;=Settings!$C$6,"CRITICAL",IF($I625&lt;=Settings!$C$5,"Expiring","In date")))))</f>
        <v/>
      </c>
    </row>
    <row r="626" spans="1:17" x14ac:dyDescent="0.35">
      <c r="A626" s="90" t="str">
        <f>IF(Receipts!$D629="","",Receipts!$D629)</f>
        <v/>
      </c>
      <c r="B626" s="18" t="str">
        <f>IF(Receipts!$C629="","",Receipts!$C629)</f>
        <v/>
      </c>
      <c r="C626" s="18" t="str">
        <f>IF($A626="","",IFERROR(INDEX(Items!$B$5:$B$597,MATCH($A626,Items!$A$5:$A$597,0)),""))</f>
        <v/>
      </c>
      <c r="D626" s="23" t="str">
        <f>IF($A626="","",N(Receipts!$G629))</f>
        <v/>
      </c>
      <c r="E626" s="20" t="str">
        <f>IF($A626="","",IFERROR(INDEX(Items!$D$5:$D$597,MATCH($A626,Items!$A$5:$A$597,0)),0))</f>
        <v/>
      </c>
      <c r="F626" s="21" t="str">
        <f t="shared" si="45"/>
        <v/>
      </c>
      <c r="G626" s="25" t="str">
        <f>IF(Receipts!$I629="","",Receipts!$I629)</f>
        <v/>
      </c>
      <c r="H626" s="25" t="str">
        <f>IF(Receipts!$H629="","",Receipts!$H629)</f>
        <v/>
      </c>
      <c r="I626" s="26" t="str">
        <f t="shared" ca="1" si="46"/>
        <v/>
      </c>
      <c r="J626" s="26" t="str">
        <f>IF($A626="","",COUNTIFS(tblReceipts[Item Name],$A626,tblReceipts[Expiry Date],"&lt;"&amp;$H626)+COUNTIFS(tblReceipts[Item Name],$A626,tblReceipts[Expiry Date],$H626,tblReceipts[Lot Number],"&lt;="&amp;Receipts!$C629))</f>
        <v/>
      </c>
      <c r="K626" s="26" t="str">
        <f>IF($A626="","",SUMIFS(tblReceipts[Qty Received],tblReceipts[Item Name],$A626,tblReceipts[Expiry Date],"&lt;"&amp;$H626)+SUMIFS(tblReceipts[Qty Received],tblReceipts[Item Name],$A626,tblReceipts[Expiry Date],$H626,tblReceipts[Lot Number],"&lt;"&amp;Receipts!$C629))</f>
        <v/>
      </c>
      <c r="L626" s="26" t="str">
        <f>IF($A626="","",MIN($D626,MAX(0,SUMIFS(tblIssues[Qty Issued],tblIssues[Item Name],$A626)-$K626)))</f>
        <v/>
      </c>
      <c r="M626" s="26" t="str">
        <f>IF($A626="","",SUMIFS(tblIssues[Qty Issued],tblIssues[Lot Number],$B626))</f>
        <v/>
      </c>
      <c r="N626" s="26" t="str">
        <f t="shared" si="47"/>
        <v/>
      </c>
      <c r="O626" s="26" t="str">
        <f t="shared" si="48"/>
        <v/>
      </c>
      <c r="P626" s="21" t="str">
        <f t="shared" si="49"/>
        <v/>
      </c>
      <c r="Q626" s="52" t="str">
        <f>IF($A626="","",IF($O626&lt;=0,"Depleted",IF($I626&lt;0,"EXPIRED",IF($I626&lt;=Settings!$C$6,"CRITICAL",IF($I626&lt;=Settings!$C$5,"Expiring","In date")))))</f>
        <v/>
      </c>
    </row>
    <row r="627" spans="1:17" x14ac:dyDescent="0.35">
      <c r="A627" s="90" t="str">
        <f>IF(Receipts!$D630="","",Receipts!$D630)</f>
        <v/>
      </c>
      <c r="B627" s="18" t="str">
        <f>IF(Receipts!$C630="","",Receipts!$C630)</f>
        <v/>
      </c>
      <c r="C627" s="18" t="str">
        <f>IF($A627="","",IFERROR(INDEX(Items!$B$5:$B$597,MATCH($A627,Items!$A$5:$A$597,0)),""))</f>
        <v/>
      </c>
      <c r="D627" s="23" t="str">
        <f>IF($A627="","",N(Receipts!$G630))</f>
        <v/>
      </c>
      <c r="E627" s="20" t="str">
        <f>IF($A627="","",IFERROR(INDEX(Items!$D$5:$D$597,MATCH($A627,Items!$A$5:$A$597,0)),0))</f>
        <v/>
      </c>
      <c r="F627" s="21" t="str">
        <f t="shared" si="45"/>
        <v/>
      </c>
      <c r="G627" s="25" t="str">
        <f>IF(Receipts!$I630="","",Receipts!$I630)</f>
        <v/>
      </c>
      <c r="H627" s="25" t="str">
        <f>IF(Receipts!$H630="","",Receipts!$H630)</f>
        <v/>
      </c>
      <c r="I627" s="26" t="str">
        <f t="shared" ca="1" si="46"/>
        <v/>
      </c>
      <c r="J627" s="26" t="str">
        <f>IF($A627="","",COUNTIFS(tblReceipts[Item Name],$A627,tblReceipts[Expiry Date],"&lt;"&amp;$H627)+COUNTIFS(tblReceipts[Item Name],$A627,tblReceipts[Expiry Date],$H627,tblReceipts[Lot Number],"&lt;="&amp;Receipts!$C630))</f>
        <v/>
      </c>
      <c r="K627" s="26" t="str">
        <f>IF($A627="","",SUMIFS(tblReceipts[Qty Received],tblReceipts[Item Name],$A627,tblReceipts[Expiry Date],"&lt;"&amp;$H627)+SUMIFS(tblReceipts[Qty Received],tblReceipts[Item Name],$A627,tblReceipts[Expiry Date],$H627,tblReceipts[Lot Number],"&lt;"&amp;Receipts!$C630))</f>
        <v/>
      </c>
      <c r="L627" s="26" t="str">
        <f>IF($A627="","",MIN($D627,MAX(0,SUMIFS(tblIssues[Qty Issued],tblIssues[Item Name],$A627)-$K627)))</f>
        <v/>
      </c>
      <c r="M627" s="26" t="str">
        <f>IF($A627="","",SUMIFS(tblIssues[Qty Issued],tblIssues[Lot Number],$B627))</f>
        <v/>
      </c>
      <c r="N627" s="26" t="str">
        <f t="shared" si="47"/>
        <v/>
      </c>
      <c r="O627" s="26" t="str">
        <f t="shared" si="48"/>
        <v/>
      </c>
      <c r="P627" s="21" t="str">
        <f t="shared" si="49"/>
        <v/>
      </c>
      <c r="Q627" s="52" t="str">
        <f>IF($A627="","",IF($O627&lt;=0,"Depleted",IF($I627&lt;0,"EXPIRED",IF($I627&lt;=Settings!$C$6,"CRITICAL",IF($I627&lt;=Settings!$C$5,"Expiring","In date")))))</f>
        <v/>
      </c>
    </row>
    <row r="628" spans="1:17" x14ac:dyDescent="0.35">
      <c r="A628" s="90" t="str">
        <f>IF(Receipts!$D631="","",Receipts!$D631)</f>
        <v/>
      </c>
      <c r="B628" s="18" t="str">
        <f>IF(Receipts!$C631="","",Receipts!$C631)</f>
        <v/>
      </c>
      <c r="C628" s="18" t="str">
        <f>IF($A628="","",IFERROR(INDEX(Items!$B$5:$B$597,MATCH($A628,Items!$A$5:$A$597,0)),""))</f>
        <v/>
      </c>
      <c r="D628" s="23" t="str">
        <f>IF($A628="","",N(Receipts!$G631))</f>
        <v/>
      </c>
      <c r="E628" s="20" t="str">
        <f>IF($A628="","",IFERROR(INDEX(Items!$D$5:$D$597,MATCH($A628,Items!$A$5:$A$597,0)),0))</f>
        <v/>
      </c>
      <c r="F628" s="21" t="str">
        <f t="shared" si="45"/>
        <v/>
      </c>
      <c r="G628" s="25" t="str">
        <f>IF(Receipts!$I631="","",Receipts!$I631)</f>
        <v/>
      </c>
      <c r="H628" s="25" t="str">
        <f>IF(Receipts!$H631="","",Receipts!$H631)</f>
        <v/>
      </c>
      <c r="I628" s="26" t="str">
        <f t="shared" ca="1" si="46"/>
        <v/>
      </c>
      <c r="J628" s="26" t="str">
        <f>IF($A628="","",COUNTIFS(tblReceipts[Item Name],$A628,tblReceipts[Expiry Date],"&lt;"&amp;$H628)+COUNTIFS(tblReceipts[Item Name],$A628,tblReceipts[Expiry Date],$H628,tblReceipts[Lot Number],"&lt;="&amp;Receipts!$C631))</f>
        <v/>
      </c>
      <c r="K628" s="26" t="str">
        <f>IF($A628="","",SUMIFS(tblReceipts[Qty Received],tblReceipts[Item Name],$A628,tblReceipts[Expiry Date],"&lt;"&amp;$H628)+SUMIFS(tblReceipts[Qty Received],tblReceipts[Item Name],$A628,tblReceipts[Expiry Date],$H628,tblReceipts[Lot Number],"&lt;"&amp;Receipts!$C631))</f>
        <v/>
      </c>
      <c r="L628" s="26" t="str">
        <f>IF($A628="","",MIN($D628,MAX(0,SUMIFS(tblIssues[Qty Issued],tblIssues[Item Name],$A628)-$K628)))</f>
        <v/>
      </c>
      <c r="M628" s="26" t="str">
        <f>IF($A628="","",SUMIFS(tblIssues[Qty Issued],tblIssues[Lot Number],$B628))</f>
        <v/>
      </c>
      <c r="N628" s="26" t="str">
        <f t="shared" si="47"/>
        <v/>
      </c>
      <c r="O628" s="26" t="str">
        <f t="shared" si="48"/>
        <v/>
      </c>
      <c r="P628" s="21" t="str">
        <f t="shared" si="49"/>
        <v/>
      </c>
      <c r="Q628" s="52" t="str">
        <f>IF($A628="","",IF($O628&lt;=0,"Depleted",IF($I628&lt;0,"EXPIRED",IF($I628&lt;=Settings!$C$6,"CRITICAL",IF($I628&lt;=Settings!$C$5,"Expiring","In date")))))</f>
        <v/>
      </c>
    </row>
    <row r="629" spans="1:17" x14ac:dyDescent="0.35">
      <c r="A629" s="90" t="str">
        <f>IF(Receipts!$D632="","",Receipts!$D632)</f>
        <v/>
      </c>
      <c r="B629" s="18" t="str">
        <f>IF(Receipts!$C632="","",Receipts!$C632)</f>
        <v/>
      </c>
      <c r="C629" s="18" t="str">
        <f>IF($A629="","",IFERROR(INDEX(Items!$B$5:$B$597,MATCH($A629,Items!$A$5:$A$597,0)),""))</f>
        <v/>
      </c>
      <c r="D629" s="23" t="str">
        <f>IF($A629="","",N(Receipts!$G632))</f>
        <v/>
      </c>
      <c r="E629" s="20" t="str">
        <f>IF($A629="","",IFERROR(INDEX(Items!$D$5:$D$597,MATCH($A629,Items!$A$5:$A$597,0)),0))</f>
        <v/>
      </c>
      <c r="F629" s="21" t="str">
        <f t="shared" si="45"/>
        <v/>
      </c>
      <c r="G629" s="25" t="str">
        <f>IF(Receipts!$I632="","",Receipts!$I632)</f>
        <v/>
      </c>
      <c r="H629" s="25" t="str">
        <f>IF(Receipts!$H632="","",Receipts!$H632)</f>
        <v/>
      </c>
      <c r="I629" s="26" t="str">
        <f t="shared" ca="1" si="46"/>
        <v/>
      </c>
      <c r="J629" s="26" t="str">
        <f>IF($A629="","",COUNTIFS(tblReceipts[Item Name],$A629,tblReceipts[Expiry Date],"&lt;"&amp;$H629)+COUNTIFS(tblReceipts[Item Name],$A629,tblReceipts[Expiry Date],$H629,tblReceipts[Lot Number],"&lt;="&amp;Receipts!$C632))</f>
        <v/>
      </c>
      <c r="K629" s="26" t="str">
        <f>IF($A629="","",SUMIFS(tblReceipts[Qty Received],tblReceipts[Item Name],$A629,tblReceipts[Expiry Date],"&lt;"&amp;$H629)+SUMIFS(tblReceipts[Qty Received],tblReceipts[Item Name],$A629,tblReceipts[Expiry Date],$H629,tblReceipts[Lot Number],"&lt;"&amp;Receipts!$C632))</f>
        <v/>
      </c>
      <c r="L629" s="26" t="str">
        <f>IF($A629="","",MIN($D629,MAX(0,SUMIFS(tblIssues[Qty Issued],tblIssues[Item Name],$A629)-$K629)))</f>
        <v/>
      </c>
      <c r="M629" s="26" t="str">
        <f>IF($A629="","",SUMIFS(tblIssues[Qty Issued],tblIssues[Lot Number],$B629))</f>
        <v/>
      </c>
      <c r="N629" s="26" t="str">
        <f t="shared" si="47"/>
        <v/>
      </c>
      <c r="O629" s="26" t="str">
        <f t="shared" si="48"/>
        <v/>
      </c>
      <c r="P629" s="21" t="str">
        <f t="shared" si="49"/>
        <v/>
      </c>
      <c r="Q629" s="52" t="str">
        <f>IF($A629="","",IF($O629&lt;=0,"Depleted",IF($I629&lt;0,"EXPIRED",IF($I629&lt;=Settings!$C$6,"CRITICAL",IF($I629&lt;=Settings!$C$5,"Expiring","In date")))))</f>
        <v/>
      </c>
    </row>
    <row r="630" spans="1:17" x14ac:dyDescent="0.35">
      <c r="A630" s="90" t="str">
        <f>IF(Receipts!$D633="","",Receipts!$D633)</f>
        <v/>
      </c>
      <c r="B630" s="18" t="str">
        <f>IF(Receipts!$C633="","",Receipts!$C633)</f>
        <v/>
      </c>
      <c r="C630" s="18" t="str">
        <f>IF($A630="","",IFERROR(INDEX(Items!$B$5:$B$597,MATCH($A630,Items!$A$5:$A$597,0)),""))</f>
        <v/>
      </c>
      <c r="D630" s="23" t="str">
        <f>IF($A630="","",N(Receipts!$G633))</f>
        <v/>
      </c>
      <c r="E630" s="20" t="str">
        <f>IF($A630="","",IFERROR(INDEX(Items!$D$5:$D$597,MATCH($A630,Items!$A$5:$A$597,0)),0))</f>
        <v/>
      </c>
      <c r="F630" s="21" t="str">
        <f t="shared" si="45"/>
        <v/>
      </c>
      <c r="G630" s="25" t="str">
        <f>IF(Receipts!$I633="","",Receipts!$I633)</f>
        <v/>
      </c>
      <c r="H630" s="25" t="str">
        <f>IF(Receipts!$H633="","",Receipts!$H633)</f>
        <v/>
      </c>
      <c r="I630" s="26" t="str">
        <f t="shared" ca="1" si="46"/>
        <v/>
      </c>
      <c r="J630" s="26" t="str">
        <f>IF($A630="","",COUNTIFS(tblReceipts[Item Name],$A630,tblReceipts[Expiry Date],"&lt;"&amp;$H630)+COUNTIFS(tblReceipts[Item Name],$A630,tblReceipts[Expiry Date],$H630,tblReceipts[Lot Number],"&lt;="&amp;Receipts!$C633))</f>
        <v/>
      </c>
      <c r="K630" s="26" t="str">
        <f>IF($A630="","",SUMIFS(tblReceipts[Qty Received],tblReceipts[Item Name],$A630,tblReceipts[Expiry Date],"&lt;"&amp;$H630)+SUMIFS(tblReceipts[Qty Received],tblReceipts[Item Name],$A630,tblReceipts[Expiry Date],$H630,tblReceipts[Lot Number],"&lt;"&amp;Receipts!$C633))</f>
        <v/>
      </c>
      <c r="L630" s="26" t="str">
        <f>IF($A630="","",MIN($D630,MAX(0,SUMIFS(tblIssues[Qty Issued],tblIssues[Item Name],$A630)-$K630)))</f>
        <v/>
      </c>
      <c r="M630" s="26" t="str">
        <f>IF($A630="","",SUMIFS(tblIssues[Qty Issued],tblIssues[Lot Number],$B630))</f>
        <v/>
      </c>
      <c r="N630" s="26" t="str">
        <f t="shared" si="47"/>
        <v/>
      </c>
      <c r="O630" s="26" t="str">
        <f t="shared" si="48"/>
        <v/>
      </c>
      <c r="P630" s="21" t="str">
        <f t="shared" si="49"/>
        <v/>
      </c>
      <c r="Q630" s="52" t="str">
        <f>IF($A630="","",IF($O630&lt;=0,"Depleted",IF($I630&lt;0,"EXPIRED",IF($I630&lt;=Settings!$C$6,"CRITICAL",IF($I630&lt;=Settings!$C$5,"Expiring","In date")))))</f>
        <v/>
      </c>
    </row>
    <row r="631" spans="1:17" x14ac:dyDescent="0.35">
      <c r="A631" s="90" t="str">
        <f>IF(Receipts!$D634="","",Receipts!$D634)</f>
        <v/>
      </c>
      <c r="B631" s="18" t="str">
        <f>IF(Receipts!$C634="","",Receipts!$C634)</f>
        <v/>
      </c>
      <c r="C631" s="18" t="str">
        <f>IF($A631="","",IFERROR(INDEX(Items!$B$5:$B$597,MATCH($A631,Items!$A$5:$A$597,0)),""))</f>
        <v/>
      </c>
      <c r="D631" s="23" t="str">
        <f>IF($A631="","",N(Receipts!$G634))</f>
        <v/>
      </c>
      <c r="E631" s="20" t="str">
        <f>IF($A631="","",IFERROR(INDEX(Items!$D$5:$D$597,MATCH($A631,Items!$A$5:$A$597,0)),0))</f>
        <v/>
      </c>
      <c r="F631" s="21" t="str">
        <f t="shared" si="45"/>
        <v/>
      </c>
      <c r="G631" s="25" t="str">
        <f>IF(Receipts!$I634="","",Receipts!$I634)</f>
        <v/>
      </c>
      <c r="H631" s="25" t="str">
        <f>IF(Receipts!$H634="","",Receipts!$H634)</f>
        <v/>
      </c>
      <c r="I631" s="26" t="str">
        <f t="shared" ca="1" si="46"/>
        <v/>
      </c>
      <c r="J631" s="26" t="str">
        <f>IF($A631="","",COUNTIFS(tblReceipts[Item Name],$A631,tblReceipts[Expiry Date],"&lt;"&amp;$H631)+COUNTIFS(tblReceipts[Item Name],$A631,tblReceipts[Expiry Date],$H631,tblReceipts[Lot Number],"&lt;="&amp;Receipts!$C634))</f>
        <v/>
      </c>
      <c r="K631" s="26" t="str">
        <f>IF($A631="","",SUMIFS(tblReceipts[Qty Received],tblReceipts[Item Name],$A631,tblReceipts[Expiry Date],"&lt;"&amp;$H631)+SUMIFS(tblReceipts[Qty Received],tblReceipts[Item Name],$A631,tblReceipts[Expiry Date],$H631,tblReceipts[Lot Number],"&lt;"&amp;Receipts!$C634))</f>
        <v/>
      </c>
      <c r="L631" s="26" t="str">
        <f>IF($A631="","",MIN($D631,MAX(0,SUMIFS(tblIssues[Qty Issued],tblIssues[Item Name],$A631)-$K631)))</f>
        <v/>
      </c>
      <c r="M631" s="26" t="str">
        <f>IF($A631="","",SUMIFS(tblIssues[Qty Issued],tblIssues[Lot Number],$B631))</f>
        <v/>
      </c>
      <c r="N631" s="26" t="str">
        <f t="shared" si="47"/>
        <v/>
      </c>
      <c r="O631" s="26" t="str">
        <f t="shared" si="48"/>
        <v/>
      </c>
      <c r="P631" s="21" t="str">
        <f t="shared" si="49"/>
        <v/>
      </c>
      <c r="Q631" s="52" t="str">
        <f>IF($A631="","",IF($O631&lt;=0,"Depleted",IF($I631&lt;0,"EXPIRED",IF($I631&lt;=Settings!$C$6,"CRITICAL",IF($I631&lt;=Settings!$C$5,"Expiring","In date")))))</f>
        <v/>
      </c>
    </row>
    <row r="632" spans="1:17" x14ac:dyDescent="0.35">
      <c r="A632" s="90" t="str">
        <f>IF(Receipts!$D635="","",Receipts!$D635)</f>
        <v/>
      </c>
      <c r="B632" s="18" t="str">
        <f>IF(Receipts!$C635="","",Receipts!$C635)</f>
        <v/>
      </c>
      <c r="C632" s="18" t="str">
        <f>IF($A632="","",IFERROR(INDEX(Items!$B$5:$B$597,MATCH($A632,Items!$A$5:$A$597,0)),""))</f>
        <v/>
      </c>
      <c r="D632" s="23" t="str">
        <f>IF($A632="","",N(Receipts!$G635))</f>
        <v/>
      </c>
      <c r="E632" s="20" t="str">
        <f>IF($A632="","",IFERROR(INDEX(Items!$D$5:$D$597,MATCH($A632,Items!$A$5:$A$597,0)),0))</f>
        <v/>
      </c>
      <c r="F632" s="21" t="str">
        <f t="shared" si="45"/>
        <v/>
      </c>
      <c r="G632" s="25" t="str">
        <f>IF(Receipts!$I635="","",Receipts!$I635)</f>
        <v/>
      </c>
      <c r="H632" s="25" t="str">
        <f>IF(Receipts!$H635="","",Receipts!$H635)</f>
        <v/>
      </c>
      <c r="I632" s="26" t="str">
        <f t="shared" ca="1" si="46"/>
        <v/>
      </c>
      <c r="J632" s="26" t="str">
        <f>IF($A632="","",COUNTIFS(tblReceipts[Item Name],$A632,tblReceipts[Expiry Date],"&lt;"&amp;$H632)+COUNTIFS(tblReceipts[Item Name],$A632,tblReceipts[Expiry Date],$H632,tblReceipts[Lot Number],"&lt;="&amp;Receipts!$C635))</f>
        <v/>
      </c>
      <c r="K632" s="26" t="str">
        <f>IF($A632="","",SUMIFS(tblReceipts[Qty Received],tblReceipts[Item Name],$A632,tblReceipts[Expiry Date],"&lt;"&amp;$H632)+SUMIFS(tblReceipts[Qty Received],tblReceipts[Item Name],$A632,tblReceipts[Expiry Date],$H632,tblReceipts[Lot Number],"&lt;"&amp;Receipts!$C635))</f>
        <v/>
      </c>
      <c r="L632" s="26" t="str">
        <f>IF($A632="","",MIN($D632,MAX(0,SUMIFS(tblIssues[Qty Issued],tblIssues[Item Name],$A632)-$K632)))</f>
        <v/>
      </c>
      <c r="M632" s="26" t="str">
        <f>IF($A632="","",SUMIFS(tblIssues[Qty Issued],tblIssues[Lot Number],$B632))</f>
        <v/>
      </c>
      <c r="N632" s="26" t="str">
        <f t="shared" si="47"/>
        <v/>
      </c>
      <c r="O632" s="26" t="str">
        <f t="shared" si="48"/>
        <v/>
      </c>
      <c r="P632" s="21" t="str">
        <f t="shared" si="49"/>
        <v/>
      </c>
      <c r="Q632" s="52" t="str">
        <f>IF($A632="","",IF($O632&lt;=0,"Depleted",IF($I632&lt;0,"EXPIRED",IF($I632&lt;=Settings!$C$6,"CRITICAL",IF($I632&lt;=Settings!$C$5,"Expiring","In date")))))</f>
        <v/>
      </c>
    </row>
    <row r="633" spans="1:17" x14ac:dyDescent="0.35">
      <c r="A633" s="90" t="str">
        <f>IF(Receipts!$D636="","",Receipts!$D636)</f>
        <v/>
      </c>
      <c r="B633" s="18" t="str">
        <f>IF(Receipts!$C636="","",Receipts!$C636)</f>
        <v/>
      </c>
      <c r="C633" s="18" t="str">
        <f>IF($A633="","",IFERROR(INDEX(Items!$B$5:$B$597,MATCH($A633,Items!$A$5:$A$597,0)),""))</f>
        <v/>
      </c>
      <c r="D633" s="23" t="str">
        <f>IF($A633="","",N(Receipts!$G636))</f>
        <v/>
      </c>
      <c r="E633" s="20" t="str">
        <f>IF($A633="","",IFERROR(INDEX(Items!$D$5:$D$597,MATCH($A633,Items!$A$5:$A$597,0)),0))</f>
        <v/>
      </c>
      <c r="F633" s="21" t="str">
        <f t="shared" si="45"/>
        <v/>
      </c>
      <c r="G633" s="25" t="str">
        <f>IF(Receipts!$I636="","",Receipts!$I636)</f>
        <v/>
      </c>
      <c r="H633" s="25" t="str">
        <f>IF(Receipts!$H636="","",Receipts!$H636)</f>
        <v/>
      </c>
      <c r="I633" s="26" t="str">
        <f t="shared" ca="1" si="46"/>
        <v/>
      </c>
      <c r="J633" s="26" t="str">
        <f>IF($A633="","",COUNTIFS(tblReceipts[Item Name],$A633,tblReceipts[Expiry Date],"&lt;"&amp;$H633)+COUNTIFS(tblReceipts[Item Name],$A633,tblReceipts[Expiry Date],$H633,tblReceipts[Lot Number],"&lt;="&amp;Receipts!$C636))</f>
        <v/>
      </c>
      <c r="K633" s="26" t="str">
        <f>IF($A633="","",SUMIFS(tblReceipts[Qty Received],tblReceipts[Item Name],$A633,tblReceipts[Expiry Date],"&lt;"&amp;$H633)+SUMIFS(tblReceipts[Qty Received],tblReceipts[Item Name],$A633,tblReceipts[Expiry Date],$H633,tblReceipts[Lot Number],"&lt;"&amp;Receipts!$C636))</f>
        <v/>
      </c>
      <c r="L633" s="26" t="str">
        <f>IF($A633="","",MIN($D633,MAX(0,SUMIFS(tblIssues[Qty Issued],tblIssues[Item Name],$A633)-$K633)))</f>
        <v/>
      </c>
      <c r="M633" s="26" t="str">
        <f>IF($A633="","",SUMIFS(tblIssues[Qty Issued],tblIssues[Lot Number],$B633))</f>
        <v/>
      </c>
      <c r="N633" s="26" t="str">
        <f t="shared" si="47"/>
        <v/>
      </c>
      <c r="O633" s="26" t="str">
        <f t="shared" si="48"/>
        <v/>
      </c>
      <c r="P633" s="21" t="str">
        <f t="shared" si="49"/>
        <v/>
      </c>
      <c r="Q633" s="52" t="str">
        <f>IF($A633="","",IF($O633&lt;=0,"Depleted",IF($I633&lt;0,"EXPIRED",IF($I633&lt;=Settings!$C$6,"CRITICAL",IF($I633&lt;=Settings!$C$5,"Expiring","In date")))))</f>
        <v/>
      </c>
    </row>
    <row r="634" spans="1:17" x14ac:dyDescent="0.35">
      <c r="A634" s="90" t="str">
        <f>IF(Receipts!$D637="","",Receipts!$D637)</f>
        <v/>
      </c>
      <c r="B634" s="18" t="str">
        <f>IF(Receipts!$C637="","",Receipts!$C637)</f>
        <v/>
      </c>
      <c r="C634" s="18" t="str">
        <f>IF($A634="","",IFERROR(INDEX(Items!$B$5:$B$597,MATCH($A634,Items!$A$5:$A$597,0)),""))</f>
        <v/>
      </c>
      <c r="D634" s="23" t="str">
        <f>IF($A634="","",N(Receipts!$G637))</f>
        <v/>
      </c>
      <c r="E634" s="20" t="str">
        <f>IF($A634="","",IFERROR(INDEX(Items!$D$5:$D$597,MATCH($A634,Items!$A$5:$A$597,0)),0))</f>
        <v/>
      </c>
      <c r="F634" s="21" t="str">
        <f t="shared" si="45"/>
        <v/>
      </c>
      <c r="G634" s="25" t="str">
        <f>IF(Receipts!$I637="","",Receipts!$I637)</f>
        <v/>
      </c>
      <c r="H634" s="25" t="str">
        <f>IF(Receipts!$H637="","",Receipts!$H637)</f>
        <v/>
      </c>
      <c r="I634" s="26" t="str">
        <f t="shared" ca="1" si="46"/>
        <v/>
      </c>
      <c r="J634" s="26" t="str">
        <f>IF($A634="","",COUNTIFS(tblReceipts[Item Name],$A634,tblReceipts[Expiry Date],"&lt;"&amp;$H634)+COUNTIFS(tblReceipts[Item Name],$A634,tblReceipts[Expiry Date],$H634,tblReceipts[Lot Number],"&lt;="&amp;Receipts!$C637))</f>
        <v/>
      </c>
      <c r="K634" s="26" t="str">
        <f>IF($A634="","",SUMIFS(tblReceipts[Qty Received],tblReceipts[Item Name],$A634,tblReceipts[Expiry Date],"&lt;"&amp;$H634)+SUMIFS(tblReceipts[Qty Received],tblReceipts[Item Name],$A634,tblReceipts[Expiry Date],$H634,tblReceipts[Lot Number],"&lt;"&amp;Receipts!$C637))</f>
        <v/>
      </c>
      <c r="L634" s="26" t="str">
        <f>IF($A634="","",MIN($D634,MAX(0,SUMIFS(tblIssues[Qty Issued],tblIssues[Item Name],$A634)-$K634)))</f>
        <v/>
      </c>
      <c r="M634" s="26" t="str">
        <f>IF($A634="","",SUMIFS(tblIssues[Qty Issued],tblIssues[Lot Number],$B634))</f>
        <v/>
      </c>
      <c r="N634" s="26" t="str">
        <f t="shared" si="47"/>
        <v/>
      </c>
      <c r="O634" s="26" t="str">
        <f t="shared" si="48"/>
        <v/>
      </c>
      <c r="P634" s="21" t="str">
        <f t="shared" si="49"/>
        <v/>
      </c>
      <c r="Q634" s="52" t="str">
        <f>IF($A634="","",IF($O634&lt;=0,"Depleted",IF($I634&lt;0,"EXPIRED",IF($I634&lt;=Settings!$C$6,"CRITICAL",IF($I634&lt;=Settings!$C$5,"Expiring","In date")))))</f>
        <v/>
      </c>
    </row>
    <row r="635" spans="1:17" x14ac:dyDescent="0.35">
      <c r="A635" s="90" t="str">
        <f>IF(Receipts!$D638="","",Receipts!$D638)</f>
        <v/>
      </c>
      <c r="B635" s="18" t="str">
        <f>IF(Receipts!$C638="","",Receipts!$C638)</f>
        <v/>
      </c>
      <c r="C635" s="18" t="str">
        <f>IF($A635="","",IFERROR(INDEX(Items!$B$5:$B$597,MATCH($A635,Items!$A$5:$A$597,0)),""))</f>
        <v/>
      </c>
      <c r="D635" s="23" t="str">
        <f>IF($A635="","",N(Receipts!$G638))</f>
        <v/>
      </c>
      <c r="E635" s="20" t="str">
        <f>IF($A635="","",IFERROR(INDEX(Items!$D$5:$D$597,MATCH($A635,Items!$A$5:$A$597,0)),0))</f>
        <v/>
      </c>
      <c r="F635" s="21" t="str">
        <f t="shared" si="45"/>
        <v/>
      </c>
      <c r="G635" s="25" t="str">
        <f>IF(Receipts!$I638="","",Receipts!$I638)</f>
        <v/>
      </c>
      <c r="H635" s="25" t="str">
        <f>IF(Receipts!$H638="","",Receipts!$H638)</f>
        <v/>
      </c>
      <c r="I635" s="26" t="str">
        <f t="shared" ca="1" si="46"/>
        <v/>
      </c>
      <c r="J635" s="26" t="str">
        <f>IF($A635="","",COUNTIFS(tblReceipts[Item Name],$A635,tblReceipts[Expiry Date],"&lt;"&amp;$H635)+COUNTIFS(tblReceipts[Item Name],$A635,tblReceipts[Expiry Date],$H635,tblReceipts[Lot Number],"&lt;="&amp;Receipts!$C638))</f>
        <v/>
      </c>
      <c r="K635" s="26" t="str">
        <f>IF($A635="","",SUMIFS(tblReceipts[Qty Received],tblReceipts[Item Name],$A635,tblReceipts[Expiry Date],"&lt;"&amp;$H635)+SUMIFS(tblReceipts[Qty Received],tblReceipts[Item Name],$A635,tblReceipts[Expiry Date],$H635,tblReceipts[Lot Number],"&lt;"&amp;Receipts!$C638))</f>
        <v/>
      </c>
      <c r="L635" s="26" t="str">
        <f>IF($A635="","",MIN($D635,MAX(0,SUMIFS(tblIssues[Qty Issued],tblIssues[Item Name],$A635)-$K635)))</f>
        <v/>
      </c>
      <c r="M635" s="26" t="str">
        <f>IF($A635="","",SUMIFS(tblIssues[Qty Issued],tblIssues[Lot Number],$B635))</f>
        <v/>
      </c>
      <c r="N635" s="26" t="str">
        <f t="shared" si="47"/>
        <v/>
      </c>
      <c r="O635" s="26" t="str">
        <f t="shared" si="48"/>
        <v/>
      </c>
      <c r="P635" s="21" t="str">
        <f t="shared" si="49"/>
        <v/>
      </c>
      <c r="Q635" s="52" t="str">
        <f>IF($A635="","",IF($O635&lt;=0,"Depleted",IF($I635&lt;0,"EXPIRED",IF($I635&lt;=Settings!$C$6,"CRITICAL",IF($I635&lt;=Settings!$C$5,"Expiring","In date")))))</f>
        <v/>
      </c>
    </row>
    <row r="636" spans="1:17" x14ac:dyDescent="0.35">
      <c r="A636" s="90" t="str">
        <f>IF(Receipts!$D639="","",Receipts!$D639)</f>
        <v/>
      </c>
      <c r="B636" s="18" t="str">
        <f>IF(Receipts!$C639="","",Receipts!$C639)</f>
        <v/>
      </c>
      <c r="C636" s="18" t="str">
        <f>IF($A636="","",IFERROR(INDEX(Items!$B$5:$B$597,MATCH($A636,Items!$A$5:$A$597,0)),""))</f>
        <v/>
      </c>
      <c r="D636" s="23" t="str">
        <f>IF($A636="","",N(Receipts!$G639))</f>
        <v/>
      </c>
      <c r="E636" s="20" t="str">
        <f>IF($A636="","",IFERROR(INDEX(Items!$D$5:$D$597,MATCH($A636,Items!$A$5:$A$597,0)),0))</f>
        <v/>
      </c>
      <c r="F636" s="21" t="str">
        <f t="shared" si="45"/>
        <v/>
      </c>
      <c r="G636" s="25" t="str">
        <f>IF(Receipts!$I639="","",Receipts!$I639)</f>
        <v/>
      </c>
      <c r="H636" s="25" t="str">
        <f>IF(Receipts!$H639="","",Receipts!$H639)</f>
        <v/>
      </c>
      <c r="I636" s="26" t="str">
        <f t="shared" ca="1" si="46"/>
        <v/>
      </c>
      <c r="J636" s="26" t="str">
        <f>IF($A636="","",COUNTIFS(tblReceipts[Item Name],$A636,tblReceipts[Expiry Date],"&lt;"&amp;$H636)+COUNTIFS(tblReceipts[Item Name],$A636,tblReceipts[Expiry Date],$H636,tblReceipts[Lot Number],"&lt;="&amp;Receipts!$C639))</f>
        <v/>
      </c>
      <c r="K636" s="26" t="str">
        <f>IF($A636="","",SUMIFS(tblReceipts[Qty Received],tblReceipts[Item Name],$A636,tblReceipts[Expiry Date],"&lt;"&amp;$H636)+SUMIFS(tblReceipts[Qty Received],tblReceipts[Item Name],$A636,tblReceipts[Expiry Date],$H636,tblReceipts[Lot Number],"&lt;"&amp;Receipts!$C639))</f>
        <v/>
      </c>
      <c r="L636" s="26" t="str">
        <f>IF($A636="","",MIN($D636,MAX(0,SUMIFS(tblIssues[Qty Issued],tblIssues[Item Name],$A636)-$K636)))</f>
        <v/>
      </c>
      <c r="M636" s="26" t="str">
        <f>IF($A636="","",SUMIFS(tblIssues[Qty Issued],tblIssues[Lot Number],$B636))</f>
        <v/>
      </c>
      <c r="N636" s="26" t="str">
        <f t="shared" si="47"/>
        <v/>
      </c>
      <c r="O636" s="26" t="str">
        <f t="shared" si="48"/>
        <v/>
      </c>
      <c r="P636" s="21" t="str">
        <f t="shared" si="49"/>
        <v/>
      </c>
      <c r="Q636" s="52" t="str">
        <f>IF($A636="","",IF($O636&lt;=0,"Depleted",IF($I636&lt;0,"EXPIRED",IF($I636&lt;=Settings!$C$6,"CRITICAL",IF($I636&lt;=Settings!$C$5,"Expiring","In date")))))</f>
        <v/>
      </c>
    </row>
    <row r="637" spans="1:17" x14ac:dyDescent="0.35">
      <c r="A637" s="90" t="str">
        <f>IF(Receipts!$D640="","",Receipts!$D640)</f>
        <v/>
      </c>
      <c r="B637" s="18" t="str">
        <f>IF(Receipts!$C640="","",Receipts!$C640)</f>
        <v/>
      </c>
      <c r="C637" s="18" t="str">
        <f>IF($A637="","",IFERROR(INDEX(Items!$B$5:$B$597,MATCH($A637,Items!$A$5:$A$597,0)),""))</f>
        <v/>
      </c>
      <c r="D637" s="23" t="str">
        <f>IF($A637="","",N(Receipts!$G640))</f>
        <v/>
      </c>
      <c r="E637" s="20" t="str">
        <f>IF($A637="","",IFERROR(INDEX(Items!$D$5:$D$597,MATCH($A637,Items!$A$5:$A$597,0)),0))</f>
        <v/>
      </c>
      <c r="F637" s="21" t="str">
        <f t="shared" si="45"/>
        <v/>
      </c>
      <c r="G637" s="25" t="str">
        <f>IF(Receipts!$I640="","",Receipts!$I640)</f>
        <v/>
      </c>
      <c r="H637" s="25" t="str">
        <f>IF(Receipts!$H640="","",Receipts!$H640)</f>
        <v/>
      </c>
      <c r="I637" s="26" t="str">
        <f t="shared" ca="1" si="46"/>
        <v/>
      </c>
      <c r="J637" s="26" t="str">
        <f>IF($A637="","",COUNTIFS(tblReceipts[Item Name],$A637,tblReceipts[Expiry Date],"&lt;"&amp;$H637)+COUNTIFS(tblReceipts[Item Name],$A637,tblReceipts[Expiry Date],$H637,tblReceipts[Lot Number],"&lt;="&amp;Receipts!$C640))</f>
        <v/>
      </c>
      <c r="K637" s="26" t="str">
        <f>IF($A637="","",SUMIFS(tblReceipts[Qty Received],tblReceipts[Item Name],$A637,tblReceipts[Expiry Date],"&lt;"&amp;$H637)+SUMIFS(tblReceipts[Qty Received],tblReceipts[Item Name],$A637,tblReceipts[Expiry Date],$H637,tblReceipts[Lot Number],"&lt;"&amp;Receipts!$C640))</f>
        <v/>
      </c>
      <c r="L637" s="26" t="str">
        <f>IF($A637="","",MIN($D637,MAX(0,SUMIFS(tblIssues[Qty Issued],tblIssues[Item Name],$A637)-$K637)))</f>
        <v/>
      </c>
      <c r="M637" s="26" t="str">
        <f>IF($A637="","",SUMIFS(tblIssues[Qty Issued],tblIssues[Lot Number],$B637))</f>
        <v/>
      </c>
      <c r="N637" s="26" t="str">
        <f t="shared" si="47"/>
        <v/>
      </c>
      <c r="O637" s="26" t="str">
        <f t="shared" si="48"/>
        <v/>
      </c>
      <c r="P637" s="21" t="str">
        <f t="shared" si="49"/>
        <v/>
      </c>
      <c r="Q637" s="52" t="str">
        <f>IF($A637="","",IF($O637&lt;=0,"Depleted",IF($I637&lt;0,"EXPIRED",IF($I637&lt;=Settings!$C$6,"CRITICAL",IF($I637&lt;=Settings!$C$5,"Expiring","In date")))))</f>
        <v/>
      </c>
    </row>
    <row r="638" spans="1:17" x14ac:dyDescent="0.35">
      <c r="A638" s="90" t="str">
        <f>IF(Receipts!$D641="","",Receipts!$D641)</f>
        <v/>
      </c>
      <c r="B638" s="18" t="str">
        <f>IF(Receipts!$C641="","",Receipts!$C641)</f>
        <v/>
      </c>
      <c r="C638" s="18" t="str">
        <f>IF($A638="","",IFERROR(INDEX(Items!$B$5:$B$597,MATCH($A638,Items!$A$5:$A$597,0)),""))</f>
        <v/>
      </c>
      <c r="D638" s="23" t="str">
        <f>IF($A638="","",N(Receipts!$G641))</f>
        <v/>
      </c>
      <c r="E638" s="20" t="str">
        <f>IF($A638="","",IFERROR(INDEX(Items!$D$5:$D$597,MATCH($A638,Items!$A$5:$A$597,0)),0))</f>
        <v/>
      </c>
      <c r="F638" s="21" t="str">
        <f t="shared" si="45"/>
        <v/>
      </c>
      <c r="G638" s="25" t="str">
        <f>IF(Receipts!$I641="","",Receipts!$I641)</f>
        <v/>
      </c>
      <c r="H638" s="25" t="str">
        <f>IF(Receipts!$H641="","",Receipts!$H641)</f>
        <v/>
      </c>
      <c r="I638" s="26" t="str">
        <f t="shared" ca="1" si="46"/>
        <v/>
      </c>
      <c r="J638" s="26" t="str">
        <f>IF($A638="","",COUNTIFS(tblReceipts[Item Name],$A638,tblReceipts[Expiry Date],"&lt;"&amp;$H638)+COUNTIFS(tblReceipts[Item Name],$A638,tblReceipts[Expiry Date],$H638,tblReceipts[Lot Number],"&lt;="&amp;Receipts!$C641))</f>
        <v/>
      </c>
      <c r="K638" s="26" t="str">
        <f>IF($A638="","",SUMIFS(tblReceipts[Qty Received],tblReceipts[Item Name],$A638,tblReceipts[Expiry Date],"&lt;"&amp;$H638)+SUMIFS(tblReceipts[Qty Received],tblReceipts[Item Name],$A638,tblReceipts[Expiry Date],$H638,tblReceipts[Lot Number],"&lt;"&amp;Receipts!$C641))</f>
        <v/>
      </c>
      <c r="L638" s="26" t="str">
        <f>IF($A638="","",MIN($D638,MAX(0,SUMIFS(tblIssues[Qty Issued],tblIssues[Item Name],$A638)-$K638)))</f>
        <v/>
      </c>
      <c r="M638" s="26" t="str">
        <f>IF($A638="","",SUMIFS(tblIssues[Qty Issued],tblIssues[Lot Number],$B638))</f>
        <v/>
      </c>
      <c r="N638" s="26" t="str">
        <f t="shared" si="47"/>
        <v/>
      </c>
      <c r="O638" s="26" t="str">
        <f t="shared" si="48"/>
        <v/>
      </c>
      <c r="P638" s="21" t="str">
        <f t="shared" si="49"/>
        <v/>
      </c>
      <c r="Q638" s="52" t="str">
        <f>IF($A638="","",IF($O638&lt;=0,"Depleted",IF($I638&lt;0,"EXPIRED",IF($I638&lt;=Settings!$C$6,"CRITICAL",IF($I638&lt;=Settings!$C$5,"Expiring","In date")))))</f>
        <v/>
      </c>
    </row>
    <row r="639" spans="1:17" x14ac:dyDescent="0.35">
      <c r="A639" s="90" t="str">
        <f>IF(Receipts!$D642="","",Receipts!$D642)</f>
        <v/>
      </c>
      <c r="B639" s="18" t="str">
        <f>IF(Receipts!$C642="","",Receipts!$C642)</f>
        <v/>
      </c>
      <c r="C639" s="18" t="str">
        <f>IF($A639="","",IFERROR(INDEX(Items!$B$5:$B$597,MATCH($A639,Items!$A$5:$A$597,0)),""))</f>
        <v/>
      </c>
      <c r="D639" s="23" t="str">
        <f>IF($A639="","",N(Receipts!$G642))</f>
        <v/>
      </c>
      <c r="E639" s="20" t="str">
        <f>IF($A639="","",IFERROR(INDEX(Items!$D$5:$D$597,MATCH($A639,Items!$A$5:$A$597,0)),0))</f>
        <v/>
      </c>
      <c r="F639" s="21" t="str">
        <f t="shared" si="45"/>
        <v/>
      </c>
      <c r="G639" s="25" t="str">
        <f>IF(Receipts!$I642="","",Receipts!$I642)</f>
        <v/>
      </c>
      <c r="H639" s="25" t="str">
        <f>IF(Receipts!$H642="","",Receipts!$H642)</f>
        <v/>
      </c>
      <c r="I639" s="26" t="str">
        <f t="shared" ca="1" si="46"/>
        <v/>
      </c>
      <c r="J639" s="26" t="str">
        <f>IF($A639="","",COUNTIFS(tblReceipts[Item Name],$A639,tblReceipts[Expiry Date],"&lt;"&amp;$H639)+COUNTIFS(tblReceipts[Item Name],$A639,tblReceipts[Expiry Date],$H639,tblReceipts[Lot Number],"&lt;="&amp;Receipts!$C642))</f>
        <v/>
      </c>
      <c r="K639" s="26" t="str">
        <f>IF($A639="","",SUMIFS(tblReceipts[Qty Received],tblReceipts[Item Name],$A639,tblReceipts[Expiry Date],"&lt;"&amp;$H639)+SUMIFS(tblReceipts[Qty Received],tblReceipts[Item Name],$A639,tblReceipts[Expiry Date],$H639,tblReceipts[Lot Number],"&lt;"&amp;Receipts!$C642))</f>
        <v/>
      </c>
      <c r="L639" s="26" t="str">
        <f>IF($A639="","",MIN($D639,MAX(0,SUMIFS(tblIssues[Qty Issued],tblIssues[Item Name],$A639)-$K639)))</f>
        <v/>
      </c>
      <c r="M639" s="26" t="str">
        <f>IF($A639="","",SUMIFS(tblIssues[Qty Issued],tblIssues[Lot Number],$B639))</f>
        <v/>
      </c>
      <c r="N639" s="26" t="str">
        <f t="shared" si="47"/>
        <v/>
      </c>
      <c r="O639" s="26" t="str">
        <f t="shared" si="48"/>
        <v/>
      </c>
      <c r="P639" s="21" t="str">
        <f t="shared" si="49"/>
        <v/>
      </c>
      <c r="Q639" s="52" t="str">
        <f>IF($A639="","",IF($O639&lt;=0,"Depleted",IF($I639&lt;0,"EXPIRED",IF($I639&lt;=Settings!$C$6,"CRITICAL",IF($I639&lt;=Settings!$C$5,"Expiring","In date")))))</f>
        <v/>
      </c>
    </row>
    <row r="640" spans="1:17" x14ac:dyDescent="0.35">
      <c r="A640" s="90" t="str">
        <f>IF(Receipts!$D643="","",Receipts!$D643)</f>
        <v/>
      </c>
      <c r="B640" s="18" t="str">
        <f>IF(Receipts!$C643="","",Receipts!$C643)</f>
        <v/>
      </c>
      <c r="C640" s="18" t="str">
        <f>IF($A640="","",IFERROR(INDEX(Items!$B$5:$B$597,MATCH($A640,Items!$A$5:$A$597,0)),""))</f>
        <v/>
      </c>
      <c r="D640" s="23" t="str">
        <f>IF($A640="","",N(Receipts!$G643))</f>
        <v/>
      </c>
      <c r="E640" s="20" t="str">
        <f>IF($A640="","",IFERROR(INDEX(Items!$D$5:$D$597,MATCH($A640,Items!$A$5:$A$597,0)),0))</f>
        <v/>
      </c>
      <c r="F640" s="21" t="str">
        <f t="shared" si="45"/>
        <v/>
      </c>
      <c r="G640" s="25" t="str">
        <f>IF(Receipts!$I643="","",Receipts!$I643)</f>
        <v/>
      </c>
      <c r="H640" s="25" t="str">
        <f>IF(Receipts!$H643="","",Receipts!$H643)</f>
        <v/>
      </c>
      <c r="I640" s="26" t="str">
        <f t="shared" ca="1" si="46"/>
        <v/>
      </c>
      <c r="J640" s="26" t="str">
        <f>IF($A640="","",COUNTIFS(tblReceipts[Item Name],$A640,tblReceipts[Expiry Date],"&lt;"&amp;$H640)+COUNTIFS(tblReceipts[Item Name],$A640,tblReceipts[Expiry Date],$H640,tblReceipts[Lot Number],"&lt;="&amp;Receipts!$C643))</f>
        <v/>
      </c>
      <c r="K640" s="26" t="str">
        <f>IF($A640="","",SUMIFS(tblReceipts[Qty Received],tblReceipts[Item Name],$A640,tblReceipts[Expiry Date],"&lt;"&amp;$H640)+SUMIFS(tblReceipts[Qty Received],tblReceipts[Item Name],$A640,tblReceipts[Expiry Date],$H640,tblReceipts[Lot Number],"&lt;"&amp;Receipts!$C643))</f>
        <v/>
      </c>
      <c r="L640" s="26" t="str">
        <f>IF($A640="","",MIN($D640,MAX(0,SUMIFS(tblIssues[Qty Issued],tblIssues[Item Name],$A640)-$K640)))</f>
        <v/>
      </c>
      <c r="M640" s="26" t="str">
        <f>IF($A640="","",SUMIFS(tblIssues[Qty Issued],tblIssues[Lot Number],$B640))</f>
        <v/>
      </c>
      <c r="N640" s="26" t="str">
        <f t="shared" si="47"/>
        <v/>
      </c>
      <c r="O640" s="26" t="str">
        <f t="shared" si="48"/>
        <v/>
      </c>
      <c r="P640" s="21" t="str">
        <f t="shared" si="49"/>
        <v/>
      </c>
      <c r="Q640" s="52" t="str">
        <f>IF($A640="","",IF($O640&lt;=0,"Depleted",IF($I640&lt;0,"EXPIRED",IF($I640&lt;=Settings!$C$6,"CRITICAL",IF($I640&lt;=Settings!$C$5,"Expiring","In date")))))</f>
        <v/>
      </c>
    </row>
    <row r="641" spans="1:17" x14ac:dyDescent="0.35">
      <c r="A641" s="90" t="str">
        <f>IF(Receipts!$D644="","",Receipts!$D644)</f>
        <v/>
      </c>
      <c r="B641" s="18" t="str">
        <f>IF(Receipts!$C644="","",Receipts!$C644)</f>
        <v/>
      </c>
      <c r="C641" s="18" t="str">
        <f>IF($A641="","",IFERROR(INDEX(Items!$B$5:$B$597,MATCH($A641,Items!$A$5:$A$597,0)),""))</f>
        <v/>
      </c>
      <c r="D641" s="23" t="str">
        <f>IF($A641="","",N(Receipts!$G644))</f>
        <v/>
      </c>
      <c r="E641" s="20" t="str">
        <f>IF($A641="","",IFERROR(INDEX(Items!$D$5:$D$597,MATCH($A641,Items!$A$5:$A$597,0)),0))</f>
        <v/>
      </c>
      <c r="F641" s="21" t="str">
        <f t="shared" si="45"/>
        <v/>
      </c>
      <c r="G641" s="25" t="str">
        <f>IF(Receipts!$I644="","",Receipts!$I644)</f>
        <v/>
      </c>
      <c r="H641" s="25" t="str">
        <f>IF(Receipts!$H644="","",Receipts!$H644)</f>
        <v/>
      </c>
      <c r="I641" s="26" t="str">
        <f t="shared" ca="1" si="46"/>
        <v/>
      </c>
      <c r="J641" s="26" t="str">
        <f>IF($A641="","",COUNTIFS(tblReceipts[Item Name],$A641,tblReceipts[Expiry Date],"&lt;"&amp;$H641)+COUNTIFS(tblReceipts[Item Name],$A641,tblReceipts[Expiry Date],$H641,tblReceipts[Lot Number],"&lt;="&amp;Receipts!$C644))</f>
        <v/>
      </c>
      <c r="K641" s="26" t="str">
        <f>IF($A641="","",SUMIFS(tblReceipts[Qty Received],tblReceipts[Item Name],$A641,tblReceipts[Expiry Date],"&lt;"&amp;$H641)+SUMIFS(tblReceipts[Qty Received],tblReceipts[Item Name],$A641,tblReceipts[Expiry Date],$H641,tblReceipts[Lot Number],"&lt;"&amp;Receipts!$C644))</f>
        <v/>
      </c>
      <c r="L641" s="26" t="str">
        <f>IF($A641="","",MIN($D641,MAX(0,SUMIFS(tblIssues[Qty Issued],tblIssues[Item Name],$A641)-$K641)))</f>
        <v/>
      </c>
      <c r="M641" s="26" t="str">
        <f>IF($A641="","",SUMIFS(tblIssues[Qty Issued],tblIssues[Lot Number],$B641))</f>
        <v/>
      </c>
      <c r="N641" s="26" t="str">
        <f t="shared" si="47"/>
        <v/>
      </c>
      <c r="O641" s="26" t="str">
        <f t="shared" si="48"/>
        <v/>
      </c>
      <c r="P641" s="21" t="str">
        <f t="shared" si="49"/>
        <v/>
      </c>
      <c r="Q641" s="52" t="str">
        <f>IF($A641="","",IF($O641&lt;=0,"Depleted",IF($I641&lt;0,"EXPIRED",IF($I641&lt;=Settings!$C$6,"CRITICAL",IF($I641&lt;=Settings!$C$5,"Expiring","In date")))))</f>
        <v/>
      </c>
    </row>
    <row r="642" spans="1:17" x14ac:dyDescent="0.35">
      <c r="A642" s="90" t="str">
        <f>IF(Receipts!$D645="","",Receipts!$D645)</f>
        <v/>
      </c>
      <c r="B642" s="18" t="str">
        <f>IF(Receipts!$C645="","",Receipts!$C645)</f>
        <v/>
      </c>
      <c r="C642" s="18" t="str">
        <f>IF($A642="","",IFERROR(INDEX(Items!$B$5:$B$597,MATCH($A642,Items!$A$5:$A$597,0)),""))</f>
        <v/>
      </c>
      <c r="D642" s="23" t="str">
        <f>IF($A642="","",N(Receipts!$G645))</f>
        <v/>
      </c>
      <c r="E642" s="20" t="str">
        <f>IF($A642="","",IFERROR(INDEX(Items!$D$5:$D$597,MATCH($A642,Items!$A$5:$A$597,0)),0))</f>
        <v/>
      </c>
      <c r="F642" s="21" t="str">
        <f t="shared" si="45"/>
        <v/>
      </c>
      <c r="G642" s="25" t="str">
        <f>IF(Receipts!$I645="","",Receipts!$I645)</f>
        <v/>
      </c>
      <c r="H642" s="25" t="str">
        <f>IF(Receipts!$H645="","",Receipts!$H645)</f>
        <v/>
      </c>
      <c r="I642" s="26" t="str">
        <f t="shared" ca="1" si="46"/>
        <v/>
      </c>
      <c r="J642" s="26" t="str">
        <f>IF($A642="","",COUNTIFS(tblReceipts[Item Name],$A642,tblReceipts[Expiry Date],"&lt;"&amp;$H642)+COUNTIFS(tblReceipts[Item Name],$A642,tblReceipts[Expiry Date],$H642,tblReceipts[Lot Number],"&lt;="&amp;Receipts!$C645))</f>
        <v/>
      </c>
      <c r="K642" s="26" t="str">
        <f>IF($A642="","",SUMIFS(tblReceipts[Qty Received],tblReceipts[Item Name],$A642,tblReceipts[Expiry Date],"&lt;"&amp;$H642)+SUMIFS(tblReceipts[Qty Received],tblReceipts[Item Name],$A642,tblReceipts[Expiry Date],$H642,tblReceipts[Lot Number],"&lt;"&amp;Receipts!$C645))</f>
        <v/>
      </c>
      <c r="L642" s="26" t="str">
        <f>IF($A642="","",MIN($D642,MAX(0,SUMIFS(tblIssues[Qty Issued],tblIssues[Item Name],$A642)-$K642)))</f>
        <v/>
      </c>
      <c r="M642" s="26" t="str">
        <f>IF($A642="","",SUMIFS(tblIssues[Qty Issued],tblIssues[Lot Number],$B642))</f>
        <v/>
      </c>
      <c r="N642" s="26" t="str">
        <f t="shared" si="47"/>
        <v/>
      </c>
      <c r="O642" s="26" t="str">
        <f t="shared" si="48"/>
        <v/>
      </c>
      <c r="P642" s="21" t="str">
        <f t="shared" si="49"/>
        <v/>
      </c>
      <c r="Q642" s="52" t="str">
        <f>IF($A642="","",IF($O642&lt;=0,"Depleted",IF($I642&lt;0,"EXPIRED",IF($I642&lt;=Settings!$C$6,"CRITICAL",IF($I642&lt;=Settings!$C$5,"Expiring","In date")))))</f>
        <v/>
      </c>
    </row>
    <row r="643" spans="1:17" x14ac:dyDescent="0.35">
      <c r="A643" s="90" t="str">
        <f>IF(Receipts!$D646="","",Receipts!$D646)</f>
        <v/>
      </c>
      <c r="B643" s="18" t="str">
        <f>IF(Receipts!$C646="","",Receipts!$C646)</f>
        <v/>
      </c>
      <c r="C643" s="18" t="str">
        <f>IF($A643="","",IFERROR(INDEX(Items!$B$5:$B$597,MATCH($A643,Items!$A$5:$A$597,0)),""))</f>
        <v/>
      </c>
      <c r="D643" s="23" t="str">
        <f>IF($A643="","",N(Receipts!$G646))</f>
        <v/>
      </c>
      <c r="E643" s="20" t="str">
        <f>IF($A643="","",IFERROR(INDEX(Items!$D$5:$D$597,MATCH($A643,Items!$A$5:$A$597,0)),0))</f>
        <v/>
      </c>
      <c r="F643" s="21" t="str">
        <f t="shared" si="45"/>
        <v/>
      </c>
      <c r="G643" s="25" t="str">
        <f>IF(Receipts!$I646="","",Receipts!$I646)</f>
        <v/>
      </c>
      <c r="H643" s="25" t="str">
        <f>IF(Receipts!$H646="","",Receipts!$H646)</f>
        <v/>
      </c>
      <c r="I643" s="26" t="str">
        <f t="shared" ca="1" si="46"/>
        <v/>
      </c>
      <c r="J643" s="26" t="str">
        <f>IF($A643="","",COUNTIFS(tblReceipts[Item Name],$A643,tblReceipts[Expiry Date],"&lt;"&amp;$H643)+COUNTIFS(tblReceipts[Item Name],$A643,tblReceipts[Expiry Date],$H643,tblReceipts[Lot Number],"&lt;="&amp;Receipts!$C646))</f>
        <v/>
      </c>
      <c r="K643" s="26" t="str">
        <f>IF($A643="","",SUMIFS(tblReceipts[Qty Received],tblReceipts[Item Name],$A643,tblReceipts[Expiry Date],"&lt;"&amp;$H643)+SUMIFS(tblReceipts[Qty Received],tblReceipts[Item Name],$A643,tblReceipts[Expiry Date],$H643,tblReceipts[Lot Number],"&lt;"&amp;Receipts!$C646))</f>
        <v/>
      </c>
      <c r="L643" s="26" t="str">
        <f>IF($A643="","",MIN($D643,MAX(0,SUMIFS(tblIssues[Qty Issued],tblIssues[Item Name],$A643)-$K643)))</f>
        <v/>
      </c>
      <c r="M643" s="26" t="str">
        <f>IF($A643="","",SUMIFS(tblIssues[Qty Issued],tblIssues[Lot Number],$B643))</f>
        <v/>
      </c>
      <c r="N643" s="26" t="str">
        <f t="shared" si="47"/>
        <v/>
      </c>
      <c r="O643" s="26" t="str">
        <f t="shared" si="48"/>
        <v/>
      </c>
      <c r="P643" s="21" t="str">
        <f t="shared" si="49"/>
        <v/>
      </c>
      <c r="Q643" s="52" t="str">
        <f>IF($A643="","",IF($O643&lt;=0,"Depleted",IF($I643&lt;0,"EXPIRED",IF($I643&lt;=Settings!$C$6,"CRITICAL",IF($I643&lt;=Settings!$C$5,"Expiring","In date")))))</f>
        <v/>
      </c>
    </row>
    <row r="644" spans="1:17" x14ac:dyDescent="0.35">
      <c r="A644" s="90" t="str">
        <f>IF(Receipts!$D647="","",Receipts!$D647)</f>
        <v/>
      </c>
      <c r="B644" s="18" t="str">
        <f>IF(Receipts!$C647="","",Receipts!$C647)</f>
        <v/>
      </c>
      <c r="C644" s="18" t="str">
        <f>IF($A644="","",IFERROR(INDEX(Items!$B$5:$B$597,MATCH($A644,Items!$A$5:$A$597,0)),""))</f>
        <v/>
      </c>
      <c r="D644" s="23" t="str">
        <f>IF($A644="","",N(Receipts!$G647))</f>
        <v/>
      </c>
      <c r="E644" s="20" t="str">
        <f>IF($A644="","",IFERROR(INDEX(Items!$D$5:$D$597,MATCH($A644,Items!$A$5:$A$597,0)),0))</f>
        <v/>
      </c>
      <c r="F644" s="21" t="str">
        <f t="shared" si="45"/>
        <v/>
      </c>
      <c r="G644" s="25" t="str">
        <f>IF(Receipts!$I647="","",Receipts!$I647)</f>
        <v/>
      </c>
      <c r="H644" s="25" t="str">
        <f>IF(Receipts!$H647="","",Receipts!$H647)</f>
        <v/>
      </c>
      <c r="I644" s="26" t="str">
        <f t="shared" ca="1" si="46"/>
        <v/>
      </c>
      <c r="J644" s="26" t="str">
        <f>IF($A644="","",COUNTIFS(tblReceipts[Item Name],$A644,tblReceipts[Expiry Date],"&lt;"&amp;$H644)+COUNTIFS(tblReceipts[Item Name],$A644,tblReceipts[Expiry Date],$H644,tblReceipts[Lot Number],"&lt;="&amp;Receipts!$C647))</f>
        <v/>
      </c>
      <c r="K644" s="26" t="str">
        <f>IF($A644="","",SUMIFS(tblReceipts[Qty Received],tblReceipts[Item Name],$A644,tblReceipts[Expiry Date],"&lt;"&amp;$H644)+SUMIFS(tblReceipts[Qty Received],tblReceipts[Item Name],$A644,tblReceipts[Expiry Date],$H644,tblReceipts[Lot Number],"&lt;"&amp;Receipts!$C647))</f>
        <v/>
      </c>
      <c r="L644" s="26" t="str">
        <f>IF($A644="","",MIN($D644,MAX(0,SUMIFS(tblIssues[Qty Issued],tblIssues[Item Name],$A644)-$K644)))</f>
        <v/>
      </c>
      <c r="M644" s="26" t="str">
        <f>IF($A644="","",SUMIFS(tblIssues[Qty Issued],tblIssues[Lot Number],$B644))</f>
        <v/>
      </c>
      <c r="N644" s="26" t="str">
        <f t="shared" si="47"/>
        <v/>
      </c>
      <c r="O644" s="26" t="str">
        <f t="shared" si="48"/>
        <v/>
      </c>
      <c r="P644" s="21" t="str">
        <f t="shared" si="49"/>
        <v/>
      </c>
      <c r="Q644" s="52" t="str">
        <f>IF($A644="","",IF($O644&lt;=0,"Depleted",IF($I644&lt;0,"EXPIRED",IF($I644&lt;=Settings!$C$6,"CRITICAL",IF($I644&lt;=Settings!$C$5,"Expiring","In date")))))</f>
        <v/>
      </c>
    </row>
    <row r="645" spans="1:17" x14ac:dyDescent="0.35">
      <c r="A645" s="90" t="str">
        <f>IF(Receipts!$D648="","",Receipts!$D648)</f>
        <v/>
      </c>
      <c r="B645" s="18" t="str">
        <f>IF(Receipts!$C648="","",Receipts!$C648)</f>
        <v/>
      </c>
      <c r="C645" s="18" t="str">
        <f>IF($A645="","",IFERROR(INDEX(Items!$B$5:$B$597,MATCH($A645,Items!$A$5:$A$597,0)),""))</f>
        <v/>
      </c>
      <c r="D645" s="23" t="str">
        <f>IF($A645="","",N(Receipts!$G648))</f>
        <v/>
      </c>
      <c r="E645" s="20" t="str">
        <f>IF($A645="","",IFERROR(INDEX(Items!$D$5:$D$597,MATCH($A645,Items!$A$5:$A$597,0)),0))</f>
        <v/>
      </c>
      <c r="F645" s="21" t="str">
        <f t="shared" ref="F645:F708" si="50">IF($A645="","",$D645*$E645)</f>
        <v/>
      </c>
      <c r="G645" s="25" t="str">
        <f>IF(Receipts!$I648="","",Receipts!$I648)</f>
        <v/>
      </c>
      <c r="H645" s="25" t="str">
        <f>IF(Receipts!$H648="","",Receipts!$H648)</f>
        <v/>
      </c>
      <c r="I645" s="26" t="str">
        <f t="shared" ref="I645:I708" ca="1" si="51">IF($H645="","",$H645-TODAY())</f>
        <v/>
      </c>
      <c r="J645" s="26" t="str">
        <f>IF($A645="","",COUNTIFS(tblReceipts[Item Name],$A645,tblReceipts[Expiry Date],"&lt;"&amp;$H645)+COUNTIFS(tblReceipts[Item Name],$A645,tblReceipts[Expiry Date],$H645,tblReceipts[Lot Number],"&lt;="&amp;Receipts!$C648))</f>
        <v/>
      </c>
      <c r="K645" s="26" t="str">
        <f>IF($A645="","",SUMIFS(tblReceipts[Qty Received],tblReceipts[Item Name],$A645,tblReceipts[Expiry Date],"&lt;"&amp;$H645)+SUMIFS(tblReceipts[Qty Received],tblReceipts[Item Name],$A645,tblReceipts[Expiry Date],$H645,tblReceipts[Lot Number],"&lt;"&amp;Receipts!$C648))</f>
        <v/>
      </c>
      <c r="L645" s="26" t="str">
        <f>IF($A645="","",MIN($D645,MAX(0,SUMIFS(tblIssues[Qty Issued],tblIssues[Item Name],$A645)-$K645)))</f>
        <v/>
      </c>
      <c r="M645" s="26" t="str">
        <f>IF($A645="","",SUMIFS(tblIssues[Qty Issued],tblIssues[Lot Number],$B645))</f>
        <v/>
      </c>
      <c r="N645" s="26" t="str">
        <f t="shared" ref="N645:N708" si="52">IF($A645="","",$M645-$L645)</f>
        <v/>
      </c>
      <c r="O645" s="26" t="str">
        <f t="shared" ref="O645:O708" si="53">IF($A645="","",$D645-$L645)</f>
        <v/>
      </c>
      <c r="P645" s="21" t="str">
        <f t="shared" ref="P645:P708" si="54">IF($A645="","",$O645*$E645)</f>
        <v/>
      </c>
      <c r="Q645" s="52" t="str">
        <f>IF($A645="","",IF($O645&lt;=0,"Depleted",IF($I645&lt;0,"EXPIRED",IF($I645&lt;=Settings!$C$6,"CRITICAL",IF($I645&lt;=Settings!$C$5,"Expiring","In date")))))</f>
        <v/>
      </c>
    </row>
    <row r="646" spans="1:17" x14ac:dyDescent="0.35">
      <c r="A646" s="90" t="str">
        <f>IF(Receipts!$D649="","",Receipts!$D649)</f>
        <v/>
      </c>
      <c r="B646" s="18" t="str">
        <f>IF(Receipts!$C649="","",Receipts!$C649)</f>
        <v/>
      </c>
      <c r="C646" s="18" t="str">
        <f>IF($A646="","",IFERROR(INDEX(Items!$B$5:$B$597,MATCH($A646,Items!$A$5:$A$597,0)),""))</f>
        <v/>
      </c>
      <c r="D646" s="23" t="str">
        <f>IF($A646="","",N(Receipts!$G649))</f>
        <v/>
      </c>
      <c r="E646" s="20" t="str">
        <f>IF($A646="","",IFERROR(INDEX(Items!$D$5:$D$597,MATCH($A646,Items!$A$5:$A$597,0)),0))</f>
        <v/>
      </c>
      <c r="F646" s="21" t="str">
        <f t="shared" si="50"/>
        <v/>
      </c>
      <c r="G646" s="25" t="str">
        <f>IF(Receipts!$I649="","",Receipts!$I649)</f>
        <v/>
      </c>
      <c r="H646" s="25" t="str">
        <f>IF(Receipts!$H649="","",Receipts!$H649)</f>
        <v/>
      </c>
      <c r="I646" s="26" t="str">
        <f t="shared" ca="1" si="51"/>
        <v/>
      </c>
      <c r="J646" s="26" t="str">
        <f>IF($A646="","",COUNTIFS(tblReceipts[Item Name],$A646,tblReceipts[Expiry Date],"&lt;"&amp;$H646)+COUNTIFS(tblReceipts[Item Name],$A646,tblReceipts[Expiry Date],$H646,tblReceipts[Lot Number],"&lt;="&amp;Receipts!$C649))</f>
        <v/>
      </c>
      <c r="K646" s="26" t="str">
        <f>IF($A646="","",SUMIFS(tblReceipts[Qty Received],tblReceipts[Item Name],$A646,tblReceipts[Expiry Date],"&lt;"&amp;$H646)+SUMIFS(tblReceipts[Qty Received],tblReceipts[Item Name],$A646,tblReceipts[Expiry Date],$H646,tblReceipts[Lot Number],"&lt;"&amp;Receipts!$C649))</f>
        <v/>
      </c>
      <c r="L646" s="26" t="str">
        <f>IF($A646="","",MIN($D646,MAX(0,SUMIFS(tblIssues[Qty Issued],tblIssues[Item Name],$A646)-$K646)))</f>
        <v/>
      </c>
      <c r="M646" s="26" t="str">
        <f>IF($A646="","",SUMIFS(tblIssues[Qty Issued],tblIssues[Lot Number],$B646))</f>
        <v/>
      </c>
      <c r="N646" s="26" t="str">
        <f t="shared" si="52"/>
        <v/>
      </c>
      <c r="O646" s="26" t="str">
        <f t="shared" si="53"/>
        <v/>
      </c>
      <c r="P646" s="21" t="str">
        <f t="shared" si="54"/>
        <v/>
      </c>
      <c r="Q646" s="52" t="str">
        <f>IF($A646="","",IF($O646&lt;=0,"Depleted",IF($I646&lt;0,"EXPIRED",IF($I646&lt;=Settings!$C$6,"CRITICAL",IF($I646&lt;=Settings!$C$5,"Expiring","In date")))))</f>
        <v/>
      </c>
    </row>
    <row r="647" spans="1:17" x14ac:dyDescent="0.35">
      <c r="A647" s="90" t="str">
        <f>IF(Receipts!$D650="","",Receipts!$D650)</f>
        <v/>
      </c>
      <c r="B647" s="18" t="str">
        <f>IF(Receipts!$C650="","",Receipts!$C650)</f>
        <v/>
      </c>
      <c r="C647" s="18" t="str">
        <f>IF($A647="","",IFERROR(INDEX(Items!$B$5:$B$597,MATCH($A647,Items!$A$5:$A$597,0)),""))</f>
        <v/>
      </c>
      <c r="D647" s="23" t="str">
        <f>IF($A647="","",N(Receipts!$G650))</f>
        <v/>
      </c>
      <c r="E647" s="20" t="str">
        <f>IF($A647="","",IFERROR(INDEX(Items!$D$5:$D$597,MATCH($A647,Items!$A$5:$A$597,0)),0))</f>
        <v/>
      </c>
      <c r="F647" s="21" t="str">
        <f t="shared" si="50"/>
        <v/>
      </c>
      <c r="G647" s="25" t="str">
        <f>IF(Receipts!$I650="","",Receipts!$I650)</f>
        <v/>
      </c>
      <c r="H647" s="25" t="str">
        <f>IF(Receipts!$H650="","",Receipts!$H650)</f>
        <v/>
      </c>
      <c r="I647" s="26" t="str">
        <f t="shared" ca="1" si="51"/>
        <v/>
      </c>
      <c r="J647" s="26" t="str">
        <f>IF($A647="","",COUNTIFS(tblReceipts[Item Name],$A647,tblReceipts[Expiry Date],"&lt;"&amp;$H647)+COUNTIFS(tblReceipts[Item Name],$A647,tblReceipts[Expiry Date],$H647,tblReceipts[Lot Number],"&lt;="&amp;Receipts!$C650))</f>
        <v/>
      </c>
      <c r="K647" s="26" t="str">
        <f>IF($A647="","",SUMIFS(tblReceipts[Qty Received],tblReceipts[Item Name],$A647,tblReceipts[Expiry Date],"&lt;"&amp;$H647)+SUMIFS(tblReceipts[Qty Received],tblReceipts[Item Name],$A647,tblReceipts[Expiry Date],$H647,tblReceipts[Lot Number],"&lt;"&amp;Receipts!$C650))</f>
        <v/>
      </c>
      <c r="L647" s="26" t="str">
        <f>IF($A647="","",MIN($D647,MAX(0,SUMIFS(tblIssues[Qty Issued],tblIssues[Item Name],$A647)-$K647)))</f>
        <v/>
      </c>
      <c r="M647" s="26" t="str">
        <f>IF($A647="","",SUMIFS(tblIssues[Qty Issued],tblIssues[Lot Number],$B647))</f>
        <v/>
      </c>
      <c r="N647" s="26" t="str">
        <f t="shared" si="52"/>
        <v/>
      </c>
      <c r="O647" s="26" t="str">
        <f t="shared" si="53"/>
        <v/>
      </c>
      <c r="P647" s="21" t="str">
        <f t="shared" si="54"/>
        <v/>
      </c>
      <c r="Q647" s="52" t="str">
        <f>IF($A647="","",IF($O647&lt;=0,"Depleted",IF($I647&lt;0,"EXPIRED",IF($I647&lt;=Settings!$C$6,"CRITICAL",IF($I647&lt;=Settings!$C$5,"Expiring","In date")))))</f>
        <v/>
      </c>
    </row>
    <row r="648" spans="1:17" x14ac:dyDescent="0.35">
      <c r="A648" s="90" t="str">
        <f>IF(Receipts!$D651="","",Receipts!$D651)</f>
        <v/>
      </c>
      <c r="B648" s="18" t="str">
        <f>IF(Receipts!$C651="","",Receipts!$C651)</f>
        <v/>
      </c>
      <c r="C648" s="18" t="str">
        <f>IF($A648="","",IFERROR(INDEX(Items!$B$5:$B$597,MATCH($A648,Items!$A$5:$A$597,0)),""))</f>
        <v/>
      </c>
      <c r="D648" s="23" t="str">
        <f>IF($A648="","",N(Receipts!$G651))</f>
        <v/>
      </c>
      <c r="E648" s="20" t="str">
        <f>IF($A648="","",IFERROR(INDEX(Items!$D$5:$D$597,MATCH($A648,Items!$A$5:$A$597,0)),0))</f>
        <v/>
      </c>
      <c r="F648" s="21" t="str">
        <f t="shared" si="50"/>
        <v/>
      </c>
      <c r="G648" s="25" t="str">
        <f>IF(Receipts!$I651="","",Receipts!$I651)</f>
        <v/>
      </c>
      <c r="H648" s="25" t="str">
        <f>IF(Receipts!$H651="","",Receipts!$H651)</f>
        <v/>
      </c>
      <c r="I648" s="26" t="str">
        <f t="shared" ca="1" si="51"/>
        <v/>
      </c>
      <c r="J648" s="26" t="str">
        <f>IF($A648="","",COUNTIFS(tblReceipts[Item Name],$A648,tblReceipts[Expiry Date],"&lt;"&amp;$H648)+COUNTIFS(tblReceipts[Item Name],$A648,tblReceipts[Expiry Date],$H648,tblReceipts[Lot Number],"&lt;="&amp;Receipts!$C651))</f>
        <v/>
      </c>
      <c r="K648" s="26" t="str">
        <f>IF($A648="","",SUMIFS(tblReceipts[Qty Received],tblReceipts[Item Name],$A648,tblReceipts[Expiry Date],"&lt;"&amp;$H648)+SUMIFS(tblReceipts[Qty Received],tblReceipts[Item Name],$A648,tblReceipts[Expiry Date],$H648,tblReceipts[Lot Number],"&lt;"&amp;Receipts!$C651))</f>
        <v/>
      </c>
      <c r="L648" s="26" t="str">
        <f>IF($A648="","",MIN($D648,MAX(0,SUMIFS(tblIssues[Qty Issued],tblIssues[Item Name],$A648)-$K648)))</f>
        <v/>
      </c>
      <c r="M648" s="26" t="str">
        <f>IF($A648="","",SUMIFS(tblIssues[Qty Issued],tblIssues[Lot Number],$B648))</f>
        <v/>
      </c>
      <c r="N648" s="26" t="str">
        <f t="shared" si="52"/>
        <v/>
      </c>
      <c r="O648" s="26" t="str">
        <f t="shared" si="53"/>
        <v/>
      </c>
      <c r="P648" s="21" t="str">
        <f t="shared" si="54"/>
        <v/>
      </c>
      <c r="Q648" s="52" t="str">
        <f>IF($A648="","",IF($O648&lt;=0,"Depleted",IF($I648&lt;0,"EXPIRED",IF($I648&lt;=Settings!$C$6,"CRITICAL",IF($I648&lt;=Settings!$C$5,"Expiring","In date")))))</f>
        <v/>
      </c>
    </row>
    <row r="649" spans="1:17" x14ac:dyDescent="0.35">
      <c r="A649" s="90" t="str">
        <f>IF(Receipts!$D652="","",Receipts!$D652)</f>
        <v/>
      </c>
      <c r="B649" s="18" t="str">
        <f>IF(Receipts!$C652="","",Receipts!$C652)</f>
        <v/>
      </c>
      <c r="C649" s="18" t="str">
        <f>IF($A649="","",IFERROR(INDEX(Items!$B$5:$B$597,MATCH($A649,Items!$A$5:$A$597,0)),""))</f>
        <v/>
      </c>
      <c r="D649" s="23" t="str">
        <f>IF($A649="","",N(Receipts!$G652))</f>
        <v/>
      </c>
      <c r="E649" s="20" t="str">
        <f>IF($A649="","",IFERROR(INDEX(Items!$D$5:$D$597,MATCH($A649,Items!$A$5:$A$597,0)),0))</f>
        <v/>
      </c>
      <c r="F649" s="21" t="str">
        <f t="shared" si="50"/>
        <v/>
      </c>
      <c r="G649" s="25" t="str">
        <f>IF(Receipts!$I652="","",Receipts!$I652)</f>
        <v/>
      </c>
      <c r="H649" s="25" t="str">
        <f>IF(Receipts!$H652="","",Receipts!$H652)</f>
        <v/>
      </c>
      <c r="I649" s="26" t="str">
        <f t="shared" ca="1" si="51"/>
        <v/>
      </c>
      <c r="J649" s="26" t="str">
        <f>IF($A649="","",COUNTIFS(tblReceipts[Item Name],$A649,tblReceipts[Expiry Date],"&lt;"&amp;$H649)+COUNTIFS(tblReceipts[Item Name],$A649,tblReceipts[Expiry Date],$H649,tblReceipts[Lot Number],"&lt;="&amp;Receipts!$C652))</f>
        <v/>
      </c>
      <c r="K649" s="26" t="str">
        <f>IF($A649="","",SUMIFS(tblReceipts[Qty Received],tblReceipts[Item Name],$A649,tblReceipts[Expiry Date],"&lt;"&amp;$H649)+SUMIFS(tblReceipts[Qty Received],tblReceipts[Item Name],$A649,tblReceipts[Expiry Date],$H649,tblReceipts[Lot Number],"&lt;"&amp;Receipts!$C652))</f>
        <v/>
      </c>
      <c r="L649" s="26" t="str">
        <f>IF($A649="","",MIN($D649,MAX(0,SUMIFS(tblIssues[Qty Issued],tblIssues[Item Name],$A649)-$K649)))</f>
        <v/>
      </c>
      <c r="M649" s="26" t="str">
        <f>IF($A649="","",SUMIFS(tblIssues[Qty Issued],tblIssues[Lot Number],$B649))</f>
        <v/>
      </c>
      <c r="N649" s="26" t="str">
        <f t="shared" si="52"/>
        <v/>
      </c>
      <c r="O649" s="26" t="str">
        <f t="shared" si="53"/>
        <v/>
      </c>
      <c r="P649" s="21" t="str">
        <f t="shared" si="54"/>
        <v/>
      </c>
      <c r="Q649" s="52" t="str">
        <f>IF($A649="","",IF($O649&lt;=0,"Depleted",IF($I649&lt;0,"EXPIRED",IF($I649&lt;=Settings!$C$6,"CRITICAL",IF($I649&lt;=Settings!$C$5,"Expiring","In date")))))</f>
        <v/>
      </c>
    </row>
    <row r="650" spans="1:17" x14ac:dyDescent="0.35">
      <c r="A650" s="90" t="str">
        <f>IF(Receipts!$D653="","",Receipts!$D653)</f>
        <v/>
      </c>
      <c r="B650" s="18" t="str">
        <f>IF(Receipts!$C653="","",Receipts!$C653)</f>
        <v/>
      </c>
      <c r="C650" s="18" t="str">
        <f>IF($A650="","",IFERROR(INDEX(Items!$B$5:$B$597,MATCH($A650,Items!$A$5:$A$597,0)),""))</f>
        <v/>
      </c>
      <c r="D650" s="23" t="str">
        <f>IF($A650="","",N(Receipts!$G653))</f>
        <v/>
      </c>
      <c r="E650" s="20" t="str">
        <f>IF($A650="","",IFERROR(INDEX(Items!$D$5:$D$597,MATCH($A650,Items!$A$5:$A$597,0)),0))</f>
        <v/>
      </c>
      <c r="F650" s="21" t="str">
        <f t="shared" si="50"/>
        <v/>
      </c>
      <c r="G650" s="25" t="str">
        <f>IF(Receipts!$I653="","",Receipts!$I653)</f>
        <v/>
      </c>
      <c r="H650" s="25" t="str">
        <f>IF(Receipts!$H653="","",Receipts!$H653)</f>
        <v/>
      </c>
      <c r="I650" s="26" t="str">
        <f t="shared" ca="1" si="51"/>
        <v/>
      </c>
      <c r="J650" s="26" t="str">
        <f>IF($A650="","",COUNTIFS(tblReceipts[Item Name],$A650,tblReceipts[Expiry Date],"&lt;"&amp;$H650)+COUNTIFS(tblReceipts[Item Name],$A650,tblReceipts[Expiry Date],$H650,tblReceipts[Lot Number],"&lt;="&amp;Receipts!$C653))</f>
        <v/>
      </c>
      <c r="K650" s="26" t="str">
        <f>IF($A650="","",SUMIFS(tblReceipts[Qty Received],tblReceipts[Item Name],$A650,tblReceipts[Expiry Date],"&lt;"&amp;$H650)+SUMIFS(tblReceipts[Qty Received],tblReceipts[Item Name],$A650,tblReceipts[Expiry Date],$H650,tblReceipts[Lot Number],"&lt;"&amp;Receipts!$C653))</f>
        <v/>
      </c>
      <c r="L650" s="26" t="str">
        <f>IF($A650="","",MIN($D650,MAX(0,SUMIFS(tblIssues[Qty Issued],tblIssues[Item Name],$A650)-$K650)))</f>
        <v/>
      </c>
      <c r="M650" s="26" t="str">
        <f>IF($A650="","",SUMIFS(tblIssues[Qty Issued],tblIssues[Lot Number],$B650))</f>
        <v/>
      </c>
      <c r="N650" s="26" t="str">
        <f t="shared" si="52"/>
        <v/>
      </c>
      <c r="O650" s="26" t="str">
        <f t="shared" si="53"/>
        <v/>
      </c>
      <c r="P650" s="21" t="str">
        <f t="shared" si="54"/>
        <v/>
      </c>
      <c r="Q650" s="52" t="str">
        <f>IF($A650="","",IF($O650&lt;=0,"Depleted",IF($I650&lt;0,"EXPIRED",IF($I650&lt;=Settings!$C$6,"CRITICAL",IF($I650&lt;=Settings!$C$5,"Expiring","In date")))))</f>
        <v/>
      </c>
    </row>
    <row r="651" spans="1:17" x14ac:dyDescent="0.35">
      <c r="A651" s="90" t="str">
        <f>IF(Receipts!$D654="","",Receipts!$D654)</f>
        <v/>
      </c>
      <c r="B651" s="18" t="str">
        <f>IF(Receipts!$C654="","",Receipts!$C654)</f>
        <v/>
      </c>
      <c r="C651" s="18" t="str">
        <f>IF($A651="","",IFERROR(INDEX(Items!$B$5:$B$597,MATCH($A651,Items!$A$5:$A$597,0)),""))</f>
        <v/>
      </c>
      <c r="D651" s="23" t="str">
        <f>IF($A651="","",N(Receipts!$G654))</f>
        <v/>
      </c>
      <c r="E651" s="20" t="str">
        <f>IF($A651="","",IFERROR(INDEX(Items!$D$5:$D$597,MATCH($A651,Items!$A$5:$A$597,0)),0))</f>
        <v/>
      </c>
      <c r="F651" s="21" t="str">
        <f t="shared" si="50"/>
        <v/>
      </c>
      <c r="G651" s="25" t="str">
        <f>IF(Receipts!$I654="","",Receipts!$I654)</f>
        <v/>
      </c>
      <c r="H651" s="25" t="str">
        <f>IF(Receipts!$H654="","",Receipts!$H654)</f>
        <v/>
      </c>
      <c r="I651" s="26" t="str">
        <f t="shared" ca="1" si="51"/>
        <v/>
      </c>
      <c r="J651" s="26" t="str">
        <f>IF($A651="","",COUNTIFS(tblReceipts[Item Name],$A651,tblReceipts[Expiry Date],"&lt;"&amp;$H651)+COUNTIFS(tblReceipts[Item Name],$A651,tblReceipts[Expiry Date],$H651,tblReceipts[Lot Number],"&lt;="&amp;Receipts!$C654))</f>
        <v/>
      </c>
      <c r="K651" s="26" t="str">
        <f>IF($A651="","",SUMIFS(tblReceipts[Qty Received],tblReceipts[Item Name],$A651,tblReceipts[Expiry Date],"&lt;"&amp;$H651)+SUMIFS(tblReceipts[Qty Received],tblReceipts[Item Name],$A651,tblReceipts[Expiry Date],$H651,tblReceipts[Lot Number],"&lt;"&amp;Receipts!$C654))</f>
        <v/>
      </c>
      <c r="L651" s="26" t="str">
        <f>IF($A651="","",MIN($D651,MAX(0,SUMIFS(tblIssues[Qty Issued],tblIssues[Item Name],$A651)-$K651)))</f>
        <v/>
      </c>
      <c r="M651" s="26" t="str">
        <f>IF($A651="","",SUMIFS(tblIssues[Qty Issued],tblIssues[Lot Number],$B651))</f>
        <v/>
      </c>
      <c r="N651" s="26" t="str">
        <f t="shared" si="52"/>
        <v/>
      </c>
      <c r="O651" s="26" t="str">
        <f t="shared" si="53"/>
        <v/>
      </c>
      <c r="P651" s="21" t="str">
        <f t="shared" si="54"/>
        <v/>
      </c>
      <c r="Q651" s="52" t="str">
        <f>IF($A651="","",IF($O651&lt;=0,"Depleted",IF($I651&lt;0,"EXPIRED",IF($I651&lt;=Settings!$C$6,"CRITICAL",IF($I651&lt;=Settings!$C$5,"Expiring","In date")))))</f>
        <v/>
      </c>
    </row>
    <row r="652" spans="1:17" x14ac:dyDescent="0.35">
      <c r="A652" s="90" t="str">
        <f>IF(Receipts!$D655="","",Receipts!$D655)</f>
        <v/>
      </c>
      <c r="B652" s="18" t="str">
        <f>IF(Receipts!$C655="","",Receipts!$C655)</f>
        <v/>
      </c>
      <c r="C652" s="18" t="str">
        <f>IF($A652="","",IFERROR(INDEX(Items!$B$5:$B$597,MATCH($A652,Items!$A$5:$A$597,0)),""))</f>
        <v/>
      </c>
      <c r="D652" s="23" t="str">
        <f>IF($A652="","",N(Receipts!$G655))</f>
        <v/>
      </c>
      <c r="E652" s="20" t="str">
        <f>IF($A652="","",IFERROR(INDEX(Items!$D$5:$D$597,MATCH($A652,Items!$A$5:$A$597,0)),0))</f>
        <v/>
      </c>
      <c r="F652" s="21" t="str">
        <f t="shared" si="50"/>
        <v/>
      </c>
      <c r="G652" s="25" t="str">
        <f>IF(Receipts!$I655="","",Receipts!$I655)</f>
        <v/>
      </c>
      <c r="H652" s="25" t="str">
        <f>IF(Receipts!$H655="","",Receipts!$H655)</f>
        <v/>
      </c>
      <c r="I652" s="26" t="str">
        <f t="shared" ca="1" si="51"/>
        <v/>
      </c>
      <c r="J652" s="26" t="str">
        <f>IF($A652="","",COUNTIFS(tblReceipts[Item Name],$A652,tblReceipts[Expiry Date],"&lt;"&amp;$H652)+COUNTIFS(tblReceipts[Item Name],$A652,tblReceipts[Expiry Date],$H652,tblReceipts[Lot Number],"&lt;="&amp;Receipts!$C655))</f>
        <v/>
      </c>
      <c r="K652" s="26" t="str">
        <f>IF($A652="","",SUMIFS(tblReceipts[Qty Received],tblReceipts[Item Name],$A652,tblReceipts[Expiry Date],"&lt;"&amp;$H652)+SUMIFS(tblReceipts[Qty Received],tblReceipts[Item Name],$A652,tblReceipts[Expiry Date],$H652,tblReceipts[Lot Number],"&lt;"&amp;Receipts!$C655))</f>
        <v/>
      </c>
      <c r="L652" s="26" t="str">
        <f>IF($A652="","",MIN($D652,MAX(0,SUMIFS(tblIssues[Qty Issued],tblIssues[Item Name],$A652)-$K652)))</f>
        <v/>
      </c>
      <c r="M652" s="26" t="str">
        <f>IF($A652="","",SUMIFS(tblIssues[Qty Issued],tblIssues[Lot Number],$B652))</f>
        <v/>
      </c>
      <c r="N652" s="26" t="str">
        <f t="shared" si="52"/>
        <v/>
      </c>
      <c r="O652" s="26" t="str">
        <f t="shared" si="53"/>
        <v/>
      </c>
      <c r="P652" s="21" t="str">
        <f t="shared" si="54"/>
        <v/>
      </c>
      <c r="Q652" s="52" t="str">
        <f>IF($A652="","",IF($O652&lt;=0,"Depleted",IF($I652&lt;0,"EXPIRED",IF($I652&lt;=Settings!$C$6,"CRITICAL",IF($I652&lt;=Settings!$C$5,"Expiring","In date")))))</f>
        <v/>
      </c>
    </row>
    <row r="653" spans="1:17" x14ac:dyDescent="0.35">
      <c r="A653" s="90" t="str">
        <f>IF(Receipts!$D656="","",Receipts!$D656)</f>
        <v/>
      </c>
      <c r="B653" s="18" t="str">
        <f>IF(Receipts!$C656="","",Receipts!$C656)</f>
        <v/>
      </c>
      <c r="C653" s="18" t="str">
        <f>IF($A653="","",IFERROR(INDEX(Items!$B$5:$B$597,MATCH($A653,Items!$A$5:$A$597,0)),""))</f>
        <v/>
      </c>
      <c r="D653" s="23" t="str">
        <f>IF($A653="","",N(Receipts!$G656))</f>
        <v/>
      </c>
      <c r="E653" s="20" t="str">
        <f>IF($A653="","",IFERROR(INDEX(Items!$D$5:$D$597,MATCH($A653,Items!$A$5:$A$597,0)),0))</f>
        <v/>
      </c>
      <c r="F653" s="21" t="str">
        <f t="shared" si="50"/>
        <v/>
      </c>
      <c r="G653" s="25" t="str">
        <f>IF(Receipts!$I656="","",Receipts!$I656)</f>
        <v/>
      </c>
      <c r="H653" s="25" t="str">
        <f>IF(Receipts!$H656="","",Receipts!$H656)</f>
        <v/>
      </c>
      <c r="I653" s="26" t="str">
        <f t="shared" ca="1" si="51"/>
        <v/>
      </c>
      <c r="J653" s="26" t="str">
        <f>IF($A653="","",COUNTIFS(tblReceipts[Item Name],$A653,tblReceipts[Expiry Date],"&lt;"&amp;$H653)+COUNTIFS(tblReceipts[Item Name],$A653,tblReceipts[Expiry Date],$H653,tblReceipts[Lot Number],"&lt;="&amp;Receipts!$C656))</f>
        <v/>
      </c>
      <c r="K653" s="26" t="str">
        <f>IF($A653="","",SUMIFS(tblReceipts[Qty Received],tblReceipts[Item Name],$A653,tblReceipts[Expiry Date],"&lt;"&amp;$H653)+SUMIFS(tblReceipts[Qty Received],tblReceipts[Item Name],$A653,tblReceipts[Expiry Date],$H653,tblReceipts[Lot Number],"&lt;"&amp;Receipts!$C656))</f>
        <v/>
      </c>
      <c r="L653" s="26" t="str">
        <f>IF($A653="","",MIN($D653,MAX(0,SUMIFS(tblIssues[Qty Issued],tblIssues[Item Name],$A653)-$K653)))</f>
        <v/>
      </c>
      <c r="M653" s="26" t="str">
        <f>IF($A653="","",SUMIFS(tblIssues[Qty Issued],tblIssues[Lot Number],$B653))</f>
        <v/>
      </c>
      <c r="N653" s="26" t="str">
        <f t="shared" si="52"/>
        <v/>
      </c>
      <c r="O653" s="26" t="str">
        <f t="shared" si="53"/>
        <v/>
      </c>
      <c r="P653" s="21" t="str">
        <f t="shared" si="54"/>
        <v/>
      </c>
      <c r="Q653" s="52" t="str">
        <f>IF($A653="","",IF($O653&lt;=0,"Depleted",IF($I653&lt;0,"EXPIRED",IF($I653&lt;=Settings!$C$6,"CRITICAL",IF($I653&lt;=Settings!$C$5,"Expiring","In date")))))</f>
        <v/>
      </c>
    </row>
    <row r="654" spans="1:17" x14ac:dyDescent="0.35">
      <c r="A654" s="90" t="str">
        <f>IF(Receipts!$D657="","",Receipts!$D657)</f>
        <v/>
      </c>
      <c r="B654" s="18" t="str">
        <f>IF(Receipts!$C657="","",Receipts!$C657)</f>
        <v/>
      </c>
      <c r="C654" s="18" t="str">
        <f>IF($A654="","",IFERROR(INDEX(Items!$B$5:$B$597,MATCH($A654,Items!$A$5:$A$597,0)),""))</f>
        <v/>
      </c>
      <c r="D654" s="23" t="str">
        <f>IF($A654="","",N(Receipts!$G657))</f>
        <v/>
      </c>
      <c r="E654" s="20" t="str">
        <f>IF($A654="","",IFERROR(INDEX(Items!$D$5:$D$597,MATCH($A654,Items!$A$5:$A$597,0)),0))</f>
        <v/>
      </c>
      <c r="F654" s="21" t="str">
        <f t="shared" si="50"/>
        <v/>
      </c>
      <c r="G654" s="25" t="str">
        <f>IF(Receipts!$I657="","",Receipts!$I657)</f>
        <v/>
      </c>
      <c r="H654" s="25" t="str">
        <f>IF(Receipts!$H657="","",Receipts!$H657)</f>
        <v/>
      </c>
      <c r="I654" s="26" t="str">
        <f t="shared" ca="1" si="51"/>
        <v/>
      </c>
      <c r="J654" s="26" t="str">
        <f>IF($A654="","",COUNTIFS(tblReceipts[Item Name],$A654,tblReceipts[Expiry Date],"&lt;"&amp;$H654)+COUNTIFS(tblReceipts[Item Name],$A654,tblReceipts[Expiry Date],$H654,tblReceipts[Lot Number],"&lt;="&amp;Receipts!$C657))</f>
        <v/>
      </c>
      <c r="K654" s="26" t="str">
        <f>IF($A654="","",SUMIFS(tblReceipts[Qty Received],tblReceipts[Item Name],$A654,tblReceipts[Expiry Date],"&lt;"&amp;$H654)+SUMIFS(tblReceipts[Qty Received],tblReceipts[Item Name],$A654,tblReceipts[Expiry Date],$H654,tblReceipts[Lot Number],"&lt;"&amp;Receipts!$C657))</f>
        <v/>
      </c>
      <c r="L654" s="26" t="str">
        <f>IF($A654="","",MIN($D654,MAX(0,SUMIFS(tblIssues[Qty Issued],tblIssues[Item Name],$A654)-$K654)))</f>
        <v/>
      </c>
      <c r="M654" s="26" t="str">
        <f>IF($A654="","",SUMIFS(tblIssues[Qty Issued],tblIssues[Lot Number],$B654))</f>
        <v/>
      </c>
      <c r="N654" s="26" t="str">
        <f t="shared" si="52"/>
        <v/>
      </c>
      <c r="O654" s="26" t="str">
        <f t="shared" si="53"/>
        <v/>
      </c>
      <c r="P654" s="21" t="str">
        <f t="shared" si="54"/>
        <v/>
      </c>
      <c r="Q654" s="52" t="str">
        <f>IF($A654="","",IF($O654&lt;=0,"Depleted",IF($I654&lt;0,"EXPIRED",IF($I654&lt;=Settings!$C$6,"CRITICAL",IF($I654&lt;=Settings!$C$5,"Expiring","In date")))))</f>
        <v/>
      </c>
    </row>
    <row r="655" spans="1:17" x14ac:dyDescent="0.35">
      <c r="A655" s="90" t="str">
        <f>IF(Receipts!$D658="","",Receipts!$D658)</f>
        <v/>
      </c>
      <c r="B655" s="18" t="str">
        <f>IF(Receipts!$C658="","",Receipts!$C658)</f>
        <v/>
      </c>
      <c r="C655" s="18" t="str">
        <f>IF($A655="","",IFERROR(INDEX(Items!$B$5:$B$597,MATCH($A655,Items!$A$5:$A$597,0)),""))</f>
        <v/>
      </c>
      <c r="D655" s="23" t="str">
        <f>IF($A655="","",N(Receipts!$G658))</f>
        <v/>
      </c>
      <c r="E655" s="20" t="str">
        <f>IF($A655="","",IFERROR(INDEX(Items!$D$5:$D$597,MATCH($A655,Items!$A$5:$A$597,0)),0))</f>
        <v/>
      </c>
      <c r="F655" s="21" t="str">
        <f t="shared" si="50"/>
        <v/>
      </c>
      <c r="G655" s="25" t="str">
        <f>IF(Receipts!$I658="","",Receipts!$I658)</f>
        <v/>
      </c>
      <c r="H655" s="25" t="str">
        <f>IF(Receipts!$H658="","",Receipts!$H658)</f>
        <v/>
      </c>
      <c r="I655" s="26" t="str">
        <f t="shared" ca="1" si="51"/>
        <v/>
      </c>
      <c r="J655" s="26" t="str">
        <f>IF($A655="","",COUNTIFS(tblReceipts[Item Name],$A655,tblReceipts[Expiry Date],"&lt;"&amp;$H655)+COUNTIFS(tblReceipts[Item Name],$A655,tblReceipts[Expiry Date],$H655,tblReceipts[Lot Number],"&lt;="&amp;Receipts!$C658))</f>
        <v/>
      </c>
      <c r="K655" s="26" t="str">
        <f>IF($A655="","",SUMIFS(tblReceipts[Qty Received],tblReceipts[Item Name],$A655,tblReceipts[Expiry Date],"&lt;"&amp;$H655)+SUMIFS(tblReceipts[Qty Received],tblReceipts[Item Name],$A655,tblReceipts[Expiry Date],$H655,tblReceipts[Lot Number],"&lt;"&amp;Receipts!$C658))</f>
        <v/>
      </c>
      <c r="L655" s="26" t="str">
        <f>IF($A655="","",MIN($D655,MAX(0,SUMIFS(tblIssues[Qty Issued],tblIssues[Item Name],$A655)-$K655)))</f>
        <v/>
      </c>
      <c r="M655" s="26" t="str">
        <f>IF($A655="","",SUMIFS(tblIssues[Qty Issued],tblIssues[Lot Number],$B655))</f>
        <v/>
      </c>
      <c r="N655" s="26" t="str">
        <f t="shared" si="52"/>
        <v/>
      </c>
      <c r="O655" s="26" t="str">
        <f t="shared" si="53"/>
        <v/>
      </c>
      <c r="P655" s="21" t="str">
        <f t="shared" si="54"/>
        <v/>
      </c>
      <c r="Q655" s="52" t="str">
        <f>IF($A655="","",IF($O655&lt;=0,"Depleted",IF($I655&lt;0,"EXPIRED",IF($I655&lt;=Settings!$C$6,"CRITICAL",IF($I655&lt;=Settings!$C$5,"Expiring","In date")))))</f>
        <v/>
      </c>
    </row>
    <row r="656" spans="1:17" x14ac:dyDescent="0.35">
      <c r="A656" s="90" t="str">
        <f>IF(Receipts!$D659="","",Receipts!$D659)</f>
        <v/>
      </c>
      <c r="B656" s="18" t="str">
        <f>IF(Receipts!$C659="","",Receipts!$C659)</f>
        <v/>
      </c>
      <c r="C656" s="18" t="str">
        <f>IF($A656="","",IFERROR(INDEX(Items!$B$5:$B$597,MATCH($A656,Items!$A$5:$A$597,0)),""))</f>
        <v/>
      </c>
      <c r="D656" s="23" t="str">
        <f>IF($A656="","",N(Receipts!$G659))</f>
        <v/>
      </c>
      <c r="E656" s="20" t="str">
        <f>IF($A656="","",IFERROR(INDEX(Items!$D$5:$D$597,MATCH($A656,Items!$A$5:$A$597,0)),0))</f>
        <v/>
      </c>
      <c r="F656" s="21" t="str">
        <f t="shared" si="50"/>
        <v/>
      </c>
      <c r="G656" s="25" t="str">
        <f>IF(Receipts!$I659="","",Receipts!$I659)</f>
        <v/>
      </c>
      <c r="H656" s="25" t="str">
        <f>IF(Receipts!$H659="","",Receipts!$H659)</f>
        <v/>
      </c>
      <c r="I656" s="26" t="str">
        <f t="shared" ca="1" si="51"/>
        <v/>
      </c>
      <c r="J656" s="26" t="str">
        <f>IF($A656="","",COUNTIFS(tblReceipts[Item Name],$A656,tblReceipts[Expiry Date],"&lt;"&amp;$H656)+COUNTIFS(tblReceipts[Item Name],$A656,tblReceipts[Expiry Date],$H656,tblReceipts[Lot Number],"&lt;="&amp;Receipts!$C659))</f>
        <v/>
      </c>
      <c r="K656" s="26" t="str">
        <f>IF($A656="","",SUMIFS(tblReceipts[Qty Received],tblReceipts[Item Name],$A656,tblReceipts[Expiry Date],"&lt;"&amp;$H656)+SUMIFS(tblReceipts[Qty Received],tblReceipts[Item Name],$A656,tblReceipts[Expiry Date],$H656,tblReceipts[Lot Number],"&lt;"&amp;Receipts!$C659))</f>
        <v/>
      </c>
      <c r="L656" s="26" t="str">
        <f>IF($A656="","",MIN($D656,MAX(0,SUMIFS(tblIssues[Qty Issued],tblIssues[Item Name],$A656)-$K656)))</f>
        <v/>
      </c>
      <c r="M656" s="26" t="str">
        <f>IF($A656="","",SUMIFS(tblIssues[Qty Issued],tblIssues[Lot Number],$B656))</f>
        <v/>
      </c>
      <c r="N656" s="26" t="str">
        <f t="shared" si="52"/>
        <v/>
      </c>
      <c r="O656" s="26" t="str">
        <f t="shared" si="53"/>
        <v/>
      </c>
      <c r="P656" s="21" t="str">
        <f t="shared" si="54"/>
        <v/>
      </c>
      <c r="Q656" s="52" t="str">
        <f>IF($A656="","",IF($O656&lt;=0,"Depleted",IF($I656&lt;0,"EXPIRED",IF($I656&lt;=Settings!$C$6,"CRITICAL",IF($I656&lt;=Settings!$C$5,"Expiring","In date")))))</f>
        <v/>
      </c>
    </row>
    <row r="657" spans="1:17" x14ac:dyDescent="0.35">
      <c r="A657" s="90" t="str">
        <f>IF(Receipts!$D660="","",Receipts!$D660)</f>
        <v/>
      </c>
      <c r="B657" s="18" t="str">
        <f>IF(Receipts!$C660="","",Receipts!$C660)</f>
        <v/>
      </c>
      <c r="C657" s="18" t="str">
        <f>IF($A657="","",IFERROR(INDEX(Items!$B$5:$B$597,MATCH($A657,Items!$A$5:$A$597,0)),""))</f>
        <v/>
      </c>
      <c r="D657" s="23" t="str">
        <f>IF($A657="","",N(Receipts!$G660))</f>
        <v/>
      </c>
      <c r="E657" s="20" t="str">
        <f>IF($A657="","",IFERROR(INDEX(Items!$D$5:$D$597,MATCH($A657,Items!$A$5:$A$597,0)),0))</f>
        <v/>
      </c>
      <c r="F657" s="21" t="str">
        <f t="shared" si="50"/>
        <v/>
      </c>
      <c r="G657" s="25" t="str">
        <f>IF(Receipts!$I660="","",Receipts!$I660)</f>
        <v/>
      </c>
      <c r="H657" s="25" t="str">
        <f>IF(Receipts!$H660="","",Receipts!$H660)</f>
        <v/>
      </c>
      <c r="I657" s="26" t="str">
        <f t="shared" ca="1" si="51"/>
        <v/>
      </c>
      <c r="J657" s="26" t="str">
        <f>IF($A657="","",COUNTIFS(tblReceipts[Item Name],$A657,tblReceipts[Expiry Date],"&lt;"&amp;$H657)+COUNTIFS(tblReceipts[Item Name],$A657,tblReceipts[Expiry Date],$H657,tblReceipts[Lot Number],"&lt;="&amp;Receipts!$C660))</f>
        <v/>
      </c>
      <c r="K657" s="26" t="str">
        <f>IF($A657="","",SUMIFS(tblReceipts[Qty Received],tblReceipts[Item Name],$A657,tblReceipts[Expiry Date],"&lt;"&amp;$H657)+SUMIFS(tblReceipts[Qty Received],tblReceipts[Item Name],$A657,tblReceipts[Expiry Date],$H657,tblReceipts[Lot Number],"&lt;"&amp;Receipts!$C660))</f>
        <v/>
      </c>
      <c r="L657" s="26" t="str">
        <f>IF($A657="","",MIN($D657,MAX(0,SUMIFS(tblIssues[Qty Issued],tblIssues[Item Name],$A657)-$K657)))</f>
        <v/>
      </c>
      <c r="M657" s="26" t="str">
        <f>IF($A657="","",SUMIFS(tblIssues[Qty Issued],tblIssues[Lot Number],$B657))</f>
        <v/>
      </c>
      <c r="N657" s="26" t="str">
        <f t="shared" si="52"/>
        <v/>
      </c>
      <c r="O657" s="26" t="str">
        <f t="shared" si="53"/>
        <v/>
      </c>
      <c r="P657" s="21" t="str">
        <f t="shared" si="54"/>
        <v/>
      </c>
      <c r="Q657" s="52" t="str">
        <f>IF($A657="","",IF($O657&lt;=0,"Depleted",IF($I657&lt;0,"EXPIRED",IF($I657&lt;=Settings!$C$6,"CRITICAL",IF($I657&lt;=Settings!$C$5,"Expiring","In date")))))</f>
        <v/>
      </c>
    </row>
    <row r="658" spans="1:17" x14ac:dyDescent="0.35">
      <c r="A658" s="90" t="str">
        <f>IF(Receipts!$D661="","",Receipts!$D661)</f>
        <v/>
      </c>
      <c r="B658" s="18" t="str">
        <f>IF(Receipts!$C661="","",Receipts!$C661)</f>
        <v/>
      </c>
      <c r="C658" s="18" t="str">
        <f>IF($A658="","",IFERROR(INDEX(Items!$B$5:$B$597,MATCH($A658,Items!$A$5:$A$597,0)),""))</f>
        <v/>
      </c>
      <c r="D658" s="23" t="str">
        <f>IF($A658="","",N(Receipts!$G661))</f>
        <v/>
      </c>
      <c r="E658" s="20" t="str">
        <f>IF($A658="","",IFERROR(INDEX(Items!$D$5:$D$597,MATCH($A658,Items!$A$5:$A$597,0)),0))</f>
        <v/>
      </c>
      <c r="F658" s="21" t="str">
        <f t="shared" si="50"/>
        <v/>
      </c>
      <c r="G658" s="25" t="str">
        <f>IF(Receipts!$I661="","",Receipts!$I661)</f>
        <v/>
      </c>
      <c r="H658" s="25" t="str">
        <f>IF(Receipts!$H661="","",Receipts!$H661)</f>
        <v/>
      </c>
      <c r="I658" s="26" t="str">
        <f t="shared" ca="1" si="51"/>
        <v/>
      </c>
      <c r="J658" s="26" t="str">
        <f>IF($A658="","",COUNTIFS(tblReceipts[Item Name],$A658,tblReceipts[Expiry Date],"&lt;"&amp;$H658)+COUNTIFS(tblReceipts[Item Name],$A658,tblReceipts[Expiry Date],$H658,tblReceipts[Lot Number],"&lt;="&amp;Receipts!$C661))</f>
        <v/>
      </c>
      <c r="K658" s="26" t="str">
        <f>IF($A658="","",SUMIFS(tblReceipts[Qty Received],tblReceipts[Item Name],$A658,tblReceipts[Expiry Date],"&lt;"&amp;$H658)+SUMIFS(tblReceipts[Qty Received],tblReceipts[Item Name],$A658,tblReceipts[Expiry Date],$H658,tblReceipts[Lot Number],"&lt;"&amp;Receipts!$C661))</f>
        <v/>
      </c>
      <c r="L658" s="26" t="str">
        <f>IF($A658="","",MIN($D658,MAX(0,SUMIFS(tblIssues[Qty Issued],tblIssues[Item Name],$A658)-$K658)))</f>
        <v/>
      </c>
      <c r="M658" s="26" t="str">
        <f>IF($A658="","",SUMIFS(tblIssues[Qty Issued],tblIssues[Lot Number],$B658))</f>
        <v/>
      </c>
      <c r="N658" s="26" t="str">
        <f t="shared" si="52"/>
        <v/>
      </c>
      <c r="O658" s="26" t="str">
        <f t="shared" si="53"/>
        <v/>
      </c>
      <c r="P658" s="21" t="str">
        <f t="shared" si="54"/>
        <v/>
      </c>
      <c r="Q658" s="52" t="str">
        <f>IF($A658="","",IF($O658&lt;=0,"Depleted",IF($I658&lt;0,"EXPIRED",IF($I658&lt;=Settings!$C$6,"CRITICAL",IF($I658&lt;=Settings!$C$5,"Expiring","In date")))))</f>
        <v/>
      </c>
    </row>
    <row r="659" spans="1:17" x14ac:dyDescent="0.35">
      <c r="A659" s="90" t="str">
        <f>IF(Receipts!$D662="","",Receipts!$D662)</f>
        <v/>
      </c>
      <c r="B659" s="18" t="str">
        <f>IF(Receipts!$C662="","",Receipts!$C662)</f>
        <v/>
      </c>
      <c r="C659" s="18" t="str">
        <f>IF($A659="","",IFERROR(INDEX(Items!$B$5:$B$597,MATCH($A659,Items!$A$5:$A$597,0)),""))</f>
        <v/>
      </c>
      <c r="D659" s="23" t="str">
        <f>IF($A659="","",N(Receipts!$G662))</f>
        <v/>
      </c>
      <c r="E659" s="20" t="str">
        <f>IF($A659="","",IFERROR(INDEX(Items!$D$5:$D$597,MATCH($A659,Items!$A$5:$A$597,0)),0))</f>
        <v/>
      </c>
      <c r="F659" s="21" t="str">
        <f t="shared" si="50"/>
        <v/>
      </c>
      <c r="G659" s="25" t="str">
        <f>IF(Receipts!$I662="","",Receipts!$I662)</f>
        <v/>
      </c>
      <c r="H659" s="25" t="str">
        <f>IF(Receipts!$H662="","",Receipts!$H662)</f>
        <v/>
      </c>
      <c r="I659" s="26" t="str">
        <f t="shared" ca="1" si="51"/>
        <v/>
      </c>
      <c r="J659" s="26" t="str">
        <f>IF($A659="","",COUNTIFS(tblReceipts[Item Name],$A659,tblReceipts[Expiry Date],"&lt;"&amp;$H659)+COUNTIFS(tblReceipts[Item Name],$A659,tblReceipts[Expiry Date],$H659,tblReceipts[Lot Number],"&lt;="&amp;Receipts!$C662))</f>
        <v/>
      </c>
      <c r="K659" s="26" t="str">
        <f>IF($A659="","",SUMIFS(tblReceipts[Qty Received],tblReceipts[Item Name],$A659,tblReceipts[Expiry Date],"&lt;"&amp;$H659)+SUMIFS(tblReceipts[Qty Received],tblReceipts[Item Name],$A659,tblReceipts[Expiry Date],$H659,tblReceipts[Lot Number],"&lt;"&amp;Receipts!$C662))</f>
        <v/>
      </c>
      <c r="L659" s="26" t="str">
        <f>IF($A659="","",MIN($D659,MAX(0,SUMIFS(tblIssues[Qty Issued],tblIssues[Item Name],$A659)-$K659)))</f>
        <v/>
      </c>
      <c r="M659" s="26" t="str">
        <f>IF($A659="","",SUMIFS(tblIssues[Qty Issued],tblIssues[Lot Number],$B659))</f>
        <v/>
      </c>
      <c r="N659" s="26" t="str">
        <f t="shared" si="52"/>
        <v/>
      </c>
      <c r="O659" s="26" t="str">
        <f t="shared" si="53"/>
        <v/>
      </c>
      <c r="P659" s="21" t="str">
        <f t="shared" si="54"/>
        <v/>
      </c>
      <c r="Q659" s="52" t="str">
        <f>IF($A659="","",IF($O659&lt;=0,"Depleted",IF($I659&lt;0,"EXPIRED",IF($I659&lt;=Settings!$C$6,"CRITICAL",IF($I659&lt;=Settings!$C$5,"Expiring","In date")))))</f>
        <v/>
      </c>
    </row>
    <row r="660" spans="1:17" x14ac:dyDescent="0.35">
      <c r="A660" s="90" t="str">
        <f>IF(Receipts!$D663="","",Receipts!$D663)</f>
        <v/>
      </c>
      <c r="B660" s="18" t="str">
        <f>IF(Receipts!$C663="","",Receipts!$C663)</f>
        <v/>
      </c>
      <c r="C660" s="18" t="str">
        <f>IF($A660="","",IFERROR(INDEX(Items!$B$5:$B$597,MATCH($A660,Items!$A$5:$A$597,0)),""))</f>
        <v/>
      </c>
      <c r="D660" s="23" t="str">
        <f>IF($A660="","",N(Receipts!$G663))</f>
        <v/>
      </c>
      <c r="E660" s="20" t="str">
        <f>IF($A660="","",IFERROR(INDEX(Items!$D$5:$D$597,MATCH($A660,Items!$A$5:$A$597,0)),0))</f>
        <v/>
      </c>
      <c r="F660" s="21" t="str">
        <f t="shared" si="50"/>
        <v/>
      </c>
      <c r="G660" s="25" t="str">
        <f>IF(Receipts!$I663="","",Receipts!$I663)</f>
        <v/>
      </c>
      <c r="H660" s="25" t="str">
        <f>IF(Receipts!$H663="","",Receipts!$H663)</f>
        <v/>
      </c>
      <c r="I660" s="26" t="str">
        <f t="shared" ca="1" si="51"/>
        <v/>
      </c>
      <c r="J660" s="26" t="str">
        <f>IF($A660="","",COUNTIFS(tblReceipts[Item Name],$A660,tblReceipts[Expiry Date],"&lt;"&amp;$H660)+COUNTIFS(tblReceipts[Item Name],$A660,tblReceipts[Expiry Date],$H660,tblReceipts[Lot Number],"&lt;="&amp;Receipts!$C663))</f>
        <v/>
      </c>
      <c r="K660" s="26" t="str">
        <f>IF($A660="","",SUMIFS(tblReceipts[Qty Received],tblReceipts[Item Name],$A660,tblReceipts[Expiry Date],"&lt;"&amp;$H660)+SUMIFS(tblReceipts[Qty Received],tblReceipts[Item Name],$A660,tblReceipts[Expiry Date],$H660,tblReceipts[Lot Number],"&lt;"&amp;Receipts!$C663))</f>
        <v/>
      </c>
      <c r="L660" s="26" t="str">
        <f>IF($A660="","",MIN($D660,MAX(0,SUMIFS(tblIssues[Qty Issued],tblIssues[Item Name],$A660)-$K660)))</f>
        <v/>
      </c>
      <c r="M660" s="26" t="str">
        <f>IF($A660="","",SUMIFS(tblIssues[Qty Issued],tblIssues[Lot Number],$B660))</f>
        <v/>
      </c>
      <c r="N660" s="26" t="str">
        <f t="shared" si="52"/>
        <v/>
      </c>
      <c r="O660" s="26" t="str">
        <f t="shared" si="53"/>
        <v/>
      </c>
      <c r="P660" s="21" t="str">
        <f t="shared" si="54"/>
        <v/>
      </c>
      <c r="Q660" s="52" t="str">
        <f>IF($A660="","",IF($O660&lt;=0,"Depleted",IF($I660&lt;0,"EXPIRED",IF($I660&lt;=Settings!$C$6,"CRITICAL",IF($I660&lt;=Settings!$C$5,"Expiring","In date")))))</f>
        <v/>
      </c>
    </row>
    <row r="661" spans="1:17" x14ac:dyDescent="0.35">
      <c r="A661" s="90" t="str">
        <f>IF(Receipts!$D664="","",Receipts!$D664)</f>
        <v/>
      </c>
      <c r="B661" s="18" t="str">
        <f>IF(Receipts!$C664="","",Receipts!$C664)</f>
        <v/>
      </c>
      <c r="C661" s="18" t="str">
        <f>IF($A661="","",IFERROR(INDEX(Items!$B$5:$B$597,MATCH($A661,Items!$A$5:$A$597,0)),""))</f>
        <v/>
      </c>
      <c r="D661" s="23" t="str">
        <f>IF($A661="","",N(Receipts!$G664))</f>
        <v/>
      </c>
      <c r="E661" s="20" t="str">
        <f>IF($A661="","",IFERROR(INDEX(Items!$D$5:$D$597,MATCH($A661,Items!$A$5:$A$597,0)),0))</f>
        <v/>
      </c>
      <c r="F661" s="21" t="str">
        <f t="shared" si="50"/>
        <v/>
      </c>
      <c r="G661" s="25" t="str">
        <f>IF(Receipts!$I664="","",Receipts!$I664)</f>
        <v/>
      </c>
      <c r="H661" s="25" t="str">
        <f>IF(Receipts!$H664="","",Receipts!$H664)</f>
        <v/>
      </c>
      <c r="I661" s="26" t="str">
        <f t="shared" ca="1" si="51"/>
        <v/>
      </c>
      <c r="J661" s="26" t="str">
        <f>IF($A661="","",COUNTIFS(tblReceipts[Item Name],$A661,tblReceipts[Expiry Date],"&lt;"&amp;$H661)+COUNTIFS(tblReceipts[Item Name],$A661,tblReceipts[Expiry Date],$H661,tblReceipts[Lot Number],"&lt;="&amp;Receipts!$C664))</f>
        <v/>
      </c>
      <c r="K661" s="26" t="str">
        <f>IF($A661="","",SUMIFS(tblReceipts[Qty Received],tblReceipts[Item Name],$A661,tblReceipts[Expiry Date],"&lt;"&amp;$H661)+SUMIFS(tblReceipts[Qty Received],tblReceipts[Item Name],$A661,tblReceipts[Expiry Date],$H661,tblReceipts[Lot Number],"&lt;"&amp;Receipts!$C664))</f>
        <v/>
      </c>
      <c r="L661" s="26" t="str">
        <f>IF($A661="","",MIN($D661,MAX(0,SUMIFS(tblIssues[Qty Issued],tblIssues[Item Name],$A661)-$K661)))</f>
        <v/>
      </c>
      <c r="M661" s="26" t="str">
        <f>IF($A661="","",SUMIFS(tblIssues[Qty Issued],tblIssues[Lot Number],$B661))</f>
        <v/>
      </c>
      <c r="N661" s="26" t="str">
        <f t="shared" si="52"/>
        <v/>
      </c>
      <c r="O661" s="26" t="str">
        <f t="shared" si="53"/>
        <v/>
      </c>
      <c r="P661" s="21" t="str">
        <f t="shared" si="54"/>
        <v/>
      </c>
      <c r="Q661" s="52" t="str">
        <f>IF($A661="","",IF($O661&lt;=0,"Depleted",IF($I661&lt;0,"EXPIRED",IF($I661&lt;=Settings!$C$6,"CRITICAL",IF($I661&lt;=Settings!$C$5,"Expiring","In date")))))</f>
        <v/>
      </c>
    </row>
    <row r="662" spans="1:17" x14ac:dyDescent="0.35">
      <c r="A662" s="90" t="str">
        <f>IF(Receipts!$D665="","",Receipts!$D665)</f>
        <v/>
      </c>
      <c r="B662" s="18" t="str">
        <f>IF(Receipts!$C665="","",Receipts!$C665)</f>
        <v/>
      </c>
      <c r="C662" s="18" t="str">
        <f>IF($A662="","",IFERROR(INDEX(Items!$B$5:$B$597,MATCH($A662,Items!$A$5:$A$597,0)),""))</f>
        <v/>
      </c>
      <c r="D662" s="23" t="str">
        <f>IF($A662="","",N(Receipts!$G665))</f>
        <v/>
      </c>
      <c r="E662" s="20" t="str">
        <f>IF($A662="","",IFERROR(INDEX(Items!$D$5:$D$597,MATCH($A662,Items!$A$5:$A$597,0)),0))</f>
        <v/>
      </c>
      <c r="F662" s="21" t="str">
        <f t="shared" si="50"/>
        <v/>
      </c>
      <c r="G662" s="25" t="str">
        <f>IF(Receipts!$I665="","",Receipts!$I665)</f>
        <v/>
      </c>
      <c r="H662" s="25" t="str">
        <f>IF(Receipts!$H665="","",Receipts!$H665)</f>
        <v/>
      </c>
      <c r="I662" s="26" t="str">
        <f t="shared" ca="1" si="51"/>
        <v/>
      </c>
      <c r="J662" s="26" t="str">
        <f>IF($A662="","",COUNTIFS(tblReceipts[Item Name],$A662,tblReceipts[Expiry Date],"&lt;"&amp;$H662)+COUNTIFS(tblReceipts[Item Name],$A662,tblReceipts[Expiry Date],$H662,tblReceipts[Lot Number],"&lt;="&amp;Receipts!$C665))</f>
        <v/>
      </c>
      <c r="K662" s="26" t="str">
        <f>IF($A662="","",SUMIFS(tblReceipts[Qty Received],tblReceipts[Item Name],$A662,tblReceipts[Expiry Date],"&lt;"&amp;$H662)+SUMIFS(tblReceipts[Qty Received],tblReceipts[Item Name],$A662,tblReceipts[Expiry Date],$H662,tblReceipts[Lot Number],"&lt;"&amp;Receipts!$C665))</f>
        <v/>
      </c>
      <c r="L662" s="26" t="str">
        <f>IF($A662="","",MIN($D662,MAX(0,SUMIFS(tblIssues[Qty Issued],tblIssues[Item Name],$A662)-$K662)))</f>
        <v/>
      </c>
      <c r="M662" s="26" t="str">
        <f>IF($A662="","",SUMIFS(tblIssues[Qty Issued],tblIssues[Lot Number],$B662))</f>
        <v/>
      </c>
      <c r="N662" s="26" t="str">
        <f t="shared" si="52"/>
        <v/>
      </c>
      <c r="O662" s="26" t="str">
        <f t="shared" si="53"/>
        <v/>
      </c>
      <c r="P662" s="21" t="str">
        <f t="shared" si="54"/>
        <v/>
      </c>
      <c r="Q662" s="52" t="str">
        <f>IF($A662="","",IF($O662&lt;=0,"Depleted",IF($I662&lt;0,"EXPIRED",IF($I662&lt;=Settings!$C$6,"CRITICAL",IF($I662&lt;=Settings!$C$5,"Expiring","In date")))))</f>
        <v/>
      </c>
    </row>
    <row r="663" spans="1:17" x14ac:dyDescent="0.35">
      <c r="A663" s="90" t="str">
        <f>IF(Receipts!$D666="","",Receipts!$D666)</f>
        <v/>
      </c>
      <c r="B663" s="18" t="str">
        <f>IF(Receipts!$C666="","",Receipts!$C666)</f>
        <v/>
      </c>
      <c r="C663" s="18" t="str">
        <f>IF($A663="","",IFERROR(INDEX(Items!$B$5:$B$597,MATCH($A663,Items!$A$5:$A$597,0)),""))</f>
        <v/>
      </c>
      <c r="D663" s="23" t="str">
        <f>IF($A663="","",N(Receipts!$G666))</f>
        <v/>
      </c>
      <c r="E663" s="20" t="str">
        <f>IF($A663="","",IFERROR(INDEX(Items!$D$5:$D$597,MATCH($A663,Items!$A$5:$A$597,0)),0))</f>
        <v/>
      </c>
      <c r="F663" s="21" t="str">
        <f t="shared" si="50"/>
        <v/>
      </c>
      <c r="G663" s="25" t="str">
        <f>IF(Receipts!$I666="","",Receipts!$I666)</f>
        <v/>
      </c>
      <c r="H663" s="25" t="str">
        <f>IF(Receipts!$H666="","",Receipts!$H666)</f>
        <v/>
      </c>
      <c r="I663" s="26" t="str">
        <f t="shared" ca="1" si="51"/>
        <v/>
      </c>
      <c r="J663" s="26" t="str">
        <f>IF($A663="","",COUNTIFS(tblReceipts[Item Name],$A663,tblReceipts[Expiry Date],"&lt;"&amp;$H663)+COUNTIFS(tblReceipts[Item Name],$A663,tblReceipts[Expiry Date],$H663,tblReceipts[Lot Number],"&lt;="&amp;Receipts!$C666))</f>
        <v/>
      </c>
      <c r="K663" s="26" t="str">
        <f>IF($A663="","",SUMIFS(tblReceipts[Qty Received],tblReceipts[Item Name],$A663,tblReceipts[Expiry Date],"&lt;"&amp;$H663)+SUMIFS(tblReceipts[Qty Received],tblReceipts[Item Name],$A663,tblReceipts[Expiry Date],$H663,tblReceipts[Lot Number],"&lt;"&amp;Receipts!$C666))</f>
        <v/>
      </c>
      <c r="L663" s="26" t="str">
        <f>IF($A663="","",MIN($D663,MAX(0,SUMIFS(tblIssues[Qty Issued],tblIssues[Item Name],$A663)-$K663)))</f>
        <v/>
      </c>
      <c r="M663" s="26" t="str">
        <f>IF($A663="","",SUMIFS(tblIssues[Qty Issued],tblIssues[Lot Number],$B663))</f>
        <v/>
      </c>
      <c r="N663" s="26" t="str">
        <f t="shared" si="52"/>
        <v/>
      </c>
      <c r="O663" s="26" t="str">
        <f t="shared" si="53"/>
        <v/>
      </c>
      <c r="P663" s="21" t="str">
        <f t="shared" si="54"/>
        <v/>
      </c>
      <c r="Q663" s="52" t="str">
        <f>IF($A663="","",IF($O663&lt;=0,"Depleted",IF($I663&lt;0,"EXPIRED",IF($I663&lt;=Settings!$C$6,"CRITICAL",IF($I663&lt;=Settings!$C$5,"Expiring","In date")))))</f>
        <v/>
      </c>
    </row>
    <row r="664" spans="1:17" x14ac:dyDescent="0.35">
      <c r="A664" s="90" t="str">
        <f>IF(Receipts!$D667="","",Receipts!$D667)</f>
        <v/>
      </c>
      <c r="B664" s="18" t="str">
        <f>IF(Receipts!$C667="","",Receipts!$C667)</f>
        <v/>
      </c>
      <c r="C664" s="18" t="str">
        <f>IF($A664="","",IFERROR(INDEX(Items!$B$5:$B$597,MATCH($A664,Items!$A$5:$A$597,0)),""))</f>
        <v/>
      </c>
      <c r="D664" s="23" t="str">
        <f>IF($A664="","",N(Receipts!$G667))</f>
        <v/>
      </c>
      <c r="E664" s="20" t="str">
        <f>IF($A664="","",IFERROR(INDEX(Items!$D$5:$D$597,MATCH($A664,Items!$A$5:$A$597,0)),0))</f>
        <v/>
      </c>
      <c r="F664" s="21" t="str">
        <f t="shared" si="50"/>
        <v/>
      </c>
      <c r="G664" s="25" t="str">
        <f>IF(Receipts!$I667="","",Receipts!$I667)</f>
        <v/>
      </c>
      <c r="H664" s="25" t="str">
        <f>IF(Receipts!$H667="","",Receipts!$H667)</f>
        <v/>
      </c>
      <c r="I664" s="26" t="str">
        <f t="shared" ca="1" si="51"/>
        <v/>
      </c>
      <c r="J664" s="26" t="str">
        <f>IF($A664="","",COUNTIFS(tblReceipts[Item Name],$A664,tblReceipts[Expiry Date],"&lt;"&amp;$H664)+COUNTIFS(tblReceipts[Item Name],$A664,tblReceipts[Expiry Date],$H664,tblReceipts[Lot Number],"&lt;="&amp;Receipts!$C667))</f>
        <v/>
      </c>
      <c r="K664" s="26" t="str">
        <f>IF($A664="","",SUMIFS(tblReceipts[Qty Received],tblReceipts[Item Name],$A664,tblReceipts[Expiry Date],"&lt;"&amp;$H664)+SUMIFS(tblReceipts[Qty Received],tblReceipts[Item Name],$A664,tblReceipts[Expiry Date],$H664,tblReceipts[Lot Number],"&lt;"&amp;Receipts!$C667))</f>
        <v/>
      </c>
      <c r="L664" s="26" t="str">
        <f>IF($A664="","",MIN($D664,MAX(0,SUMIFS(tblIssues[Qty Issued],tblIssues[Item Name],$A664)-$K664)))</f>
        <v/>
      </c>
      <c r="M664" s="26" t="str">
        <f>IF($A664="","",SUMIFS(tblIssues[Qty Issued],tblIssues[Lot Number],$B664))</f>
        <v/>
      </c>
      <c r="N664" s="26" t="str">
        <f t="shared" si="52"/>
        <v/>
      </c>
      <c r="O664" s="26" t="str">
        <f t="shared" si="53"/>
        <v/>
      </c>
      <c r="P664" s="21" t="str">
        <f t="shared" si="54"/>
        <v/>
      </c>
      <c r="Q664" s="52" t="str">
        <f>IF($A664="","",IF($O664&lt;=0,"Depleted",IF($I664&lt;0,"EXPIRED",IF($I664&lt;=Settings!$C$6,"CRITICAL",IF($I664&lt;=Settings!$C$5,"Expiring","In date")))))</f>
        <v/>
      </c>
    </row>
    <row r="665" spans="1:17" x14ac:dyDescent="0.35">
      <c r="A665" s="90" t="str">
        <f>IF(Receipts!$D668="","",Receipts!$D668)</f>
        <v/>
      </c>
      <c r="B665" s="18" t="str">
        <f>IF(Receipts!$C668="","",Receipts!$C668)</f>
        <v/>
      </c>
      <c r="C665" s="18" t="str">
        <f>IF($A665="","",IFERROR(INDEX(Items!$B$5:$B$597,MATCH($A665,Items!$A$5:$A$597,0)),""))</f>
        <v/>
      </c>
      <c r="D665" s="23" t="str">
        <f>IF($A665="","",N(Receipts!$G668))</f>
        <v/>
      </c>
      <c r="E665" s="20" t="str">
        <f>IF($A665="","",IFERROR(INDEX(Items!$D$5:$D$597,MATCH($A665,Items!$A$5:$A$597,0)),0))</f>
        <v/>
      </c>
      <c r="F665" s="21" t="str">
        <f t="shared" si="50"/>
        <v/>
      </c>
      <c r="G665" s="25" t="str">
        <f>IF(Receipts!$I668="","",Receipts!$I668)</f>
        <v/>
      </c>
      <c r="H665" s="25" t="str">
        <f>IF(Receipts!$H668="","",Receipts!$H668)</f>
        <v/>
      </c>
      <c r="I665" s="26" t="str">
        <f t="shared" ca="1" si="51"/>
        <v/>
      </c>
      <c r="J665" s="26" t="str">
        <f>IF($A665="","",COUNTIFS(tblReceipts[Item Name],$A665,tblReceipts[Expiry Date],"&lt;"&amp;$H665)+COUNTIFS(tblReceipts[Item Name],$A665,tblReceipts[Expiry Date],$H665,tblReceipts[Lot Number],"&lt;="&amp;Receipts!$C668))</f>
        <v/>
      </c>
      <c r="K665" s="26" t="str">
        <f>IF($A665="","",SUMIFS(tblReceipts[Qty Received],tblReceipts[Item Name],$A665,tblReceipts[Expiry Date],"&lt;"&amp;$H665)+SUMIFS(tblReceipts[Qty Received],tblReceipts[Item Name],$A665,tblReceipts[Expiry Date],$H665,tblReceipts[Lot Number],"&lt;"&amp;Receipts!$C668))</f>
        <v/>
      </c>
      <c r="L665" s="26" t="str">
        <f>IF($A665="","",MIN($D665,MAX(0,SUMIFS(tblIssues[Qty Issued],tblIssues[Item Name],$A665)-$K665)))</f>
        <v/>
      </c>
      <c r="M665" s="26" t="str">
        <f>IF($A665="","",SUMIFS(tblIssues[Qty Issued],tblIssues[Lot Number],$B665))</f>
        <v/>
      </c>
      <c r="N665" s="26" t="str">
        <f t="shared" si="52"/>
        <v/>
      </c>
      <c r="O665" s="26" t="str">
        <f t="shared" si="53"/>
        <v/>
      </c>
      <c r="P665" s="21" t="str">
        <f t="shared" si="54"/>
        <v/>
      </c>
      <c r="Q665" s="52" t="str">
        <f>IF($A665="","",IF($O665&lt;=0,"Depleted",IF($I665&lt;0,"EXPIRED",IF($I665&lt;=Settings!$C$6,"CRITICAL",IF($I665&lt;=Settings!$C$5,"Expiring","In date")))))</f>
        <v/>
      </c>
    </row>
    <row r="666" spans="1:17" x14ac:dyDescent="0.35">
      <c r="A666" s="90" t="str">
        <f>IF(Receipts!$D669="","",Receipts!$D669)</f>
        <v/>
      </c>
      <c r="B666" s="18" t="str">
        <f>IF(Receipts!$C669="","",Receipts!$C669)</f>
        <v/>
      </c>
      <c r="C666" s="18" t="str">
        <f>IF($A666="","",IFERROR(INDEX(Items!$B$5:$B$597,MATCH($A666,Items!$A$5:$A$597,0)),""))</f>
        <v/>
      </c>
      <c r="D666" s="23" t="str">
        <f>IF($A666="","",N(Receipts!$G669))</f>
        <v/>
      </c>
      <c r="E666" s="20" t="str">
        <f>IF($A666="","",IFERROR(INDEX(Items!$D$5:$D$597,MATCH($A666,Items!$A$5:$A$597,0)),0))</f>
        <v/>
      </c>
      <c r="F666" s="21" t="str">
        <f t="shared" si="50"/>
        <v/>
      </c>
      <c r="G666" s="25" t="str">
        <f>IF(Receipts!$I669="","",Receipts!$I669)</f>
        <v/>
      </c>
      <c r="H666" s="25" t="str">
        <f>IF(Receipts!$H669="","",Receipts!$H669)</f>
        <v/>
      </c>
      <c r="I666" s="26" t="str">
        <f t="shared" ca="1" si="51"/>
        <v/>
      </c>
      <c r="J666" s="26" t="str">
        <f>IF($A666="","",COUNTIFS(tblReceipts[Item Name],$A666,tblReceipts[Expiry Date],"&lt;"&amp;$H666)+COUNTIFS(tblReceipts[Item Name],$A666,tblReceipts[Expiry Date],$H666,tblReceipts[Lot Number],"&lt;="&amp;Receipts!$C669))</f>
        <v/>
      </c>
      <c r="K666" s="26" t="str">
        <f>IF($A666="","",SUMIFS(tblReceipts[Qty Received],tblReceipts[Item Name],$A666,tblReceipts[Expiry Date],"&lt;"&amp;$H666)+SUMIFS(tblReceipts[Qty Received],tblReceipts[Item Name],$A666,tblReceipts[Expiry Date],$H666,tblReceipts[Lot Number],"&lt;"&amp;Receipts!$C669))</f>
        <v/>
      </c>
      <c r="L666" s="26" t="str">
        <f>IF($A666="","",MIN($D666,MAX(0,SUMIFS(tblIssues[Qty Issued],tblIssues[Item Name],$A666)-$K666)))</f>
        <v/>
      </c>
      <c r="M666" s="26" t="str">
        <f>IF($A666="","",SUMIFS(tblIssues[Qty Issued],tblIssues[Lot Number],$B666))</f>
        <v/>
      </c>
      <c r="N666" s="26" t="str">
        <f t="shared" si="52"/>
        <v/>
      </c>
      <c r="O666" s="26" t="str">
        <f t="shared" si="53"/>
        <v/>
      </c>
      <c r="P666" s="21" t="str">
        <f t="shared" si="54"/>
        <v/>
      </c>
      <c r="Q666" s="52" t="str">
        <f>IF($A666="","",IF($O666&lt;=0,"Depleted",IF($I666&lt;0,"EXPIRED",IF($I666&lt;=Settings!$C$6,"CRITICAL",IF($I666&lt;=Settings!$C$5,"Expiring","In date")))))</f>
        <v/>
      </c>
    </row>
    <row r="667" spans="1:17" x14ac:dyDescent="0.35">
      <c r="A667" s="90" t="str">
        <f>IF(Receipts!$D670="","",Receipts!$D670)</f>
        <v/>
      </c>
      <c r="B667" s="18" t="str">
        <f>IF(Receipts!$C670="","",Receipts!$C670)</f>
        <v/>
      </c>
      <c r="C667" s="18" t="str">
        <f>IF($A667="","",IFERROR(INDEX(Items!$B$5:$B$597,MATCH($A667,Items!$A$5:$A$597,0)),""))</f>
        <v/>
      </c>
      <c r="D667" s="23" t="str">
        <f>IF($A667="","",N(Receipts!$G670))</f>
        <v/>
      </c>
      <c r="E667" s="20" t="str">
        <f>IF($A667="","",IFERROR(INDEX(Items!$D$5:$D$597,MATCH($A667,Items!$A$5:$A$597,0)),0))</f>
        <v/>
      </c>
      <c r="F667" s="21" t="str">
        <f t="shared" si="50"/>
        <v/>
      </c>
      <c r="G667" s="25" t="str">
        <f>IF(Receipts!$I670="","",Receipts!$I670)</f>
        <v/>
      </c>
      <c r="H667" s="25" t="str">
        <f>IF(Receipts!$H670="","",Receipts!$H670)</f>
        <v/>
      </c>
      <c r="I667" s="26" t="str">
        <f t="shared" ca="1" si="51"/>
        <v/>
      </c>
      <c r="J667" s="26" t="str">
        <f>IF($A667="","",COUNTIFS(tblReceipts[Item Name],$A667,tblReceipts[Expiry Date],"&lt;"&amp;$H667)+COUNTIFS(tblReceipts[Item Name],$A667,tblReceipts[Expiry Date],$H667,tblReceipts[Lot Number],"&lt;="&amp;Receipts!$C670))</f>
        <v/>
      </c>
      <c r="K667" s="26" t="str">
        <f>IF($A667="","",SUMIFS(tblReceipts[Qty Received],tblReceipts[Item Name],$A667,tblReceipts[Expiry Date],"&lt;"&amp;$H667)+SUMIFS(tblReceipts[Qty Received],tblReceipts[Item Name],$A667,tblReceipts[Expiry Date],$H667,tblReceipts[Lot Number],"&lt;"&amp;Receipts!$C670))</f>
        <v/>
      </c>
      <c r="L667" s="26" t="str">
        <f>IF($A667="","",MIN($D667,MAX(0,SUMIFS(tblIssues[Qty Issued],tblIssues[Item Name],$A667)-$K667)))</f>
        <v/>
      </c>
      <c r="M667" s="26" t="str">
        <f>IF($A667="","",SUMIFS(tblIssues[Qty Issued],tblIssues[Lot Number],$B667))</f>
        <v/>
      </c>
      <c r="N667" s="26" t="str">
        <f t="shared" si="52"/>
        <v/>
      </c>
      <c r="O667" s="26" t="str">
        <f t="shared" si="53"/>
        <v/>
      </c>
      <c r="P667" s="21" t="str">
        <f t="shared" si="54"/>
        <v/>
      </c>
      <c r="Q667" s="52" t="str">
        <f>IF($A667="","",IF($O667&lt;=0,"Depleted",IF($I667&lt;0,"EXPIRED",IF($I667&lt;=Settings!$C$6,"CRITICAL",IF($I667&lt;=Settings!$C$5,"Expiring","In date")))))</f>
        <v/>
      </c>
    </row>
    <row r="668" spans="1:17" x14ac:dyDescent="0.35">
      <c r="A668" s="90" t="str">
        <f>IF(Receipts!$D671="","",Receipts!$D671)</f>
        <v/>
      </c>
      <c r="B668" s="18" t="str">
        <f>IF(Receipts!$C671="","",Receipts!$C671)</f>
        <v/>
      </c>
      <c r="C668" s="18" t="str">
        <f>IF($A668="","",IFERROR(INDEX(Items!$B$5:$B$597,MATCH($A668,Items!$A$5:$A$597,0)),""))</f>
        <v/>
      </c>
      <c r="D668" s="23" t="str">
        <f>IF($A668="","",N(Receipts!$G671))</f>
        <v/>
      </c>
      <c r="E668" s="20" t="str">
        <f>IF($A668="","",IFERROR(INDEX(Items!$D$5:$D$597,MATCH($A668,Items!$A$5:$A$597,0)),0))</f>
        <v/>
      </c>
      <c r="F668" s="21" t="str">
        <f t="shared" si="50"/>
        <v/>
      </c>
      <c r="G668" s="25" t="str">
        <f>IF(Receipts!$I671="","",Receipts!$I671)</f>
        <v/>
      </c>
      <c r="H668" s="25" t="str">
        <f>IF(Receipts!$H671="","",Receipts!$H671)</f>
        <v/>
      </c>
      <c r="I668" s="26" t="str">
        <f t="shared" ca="1" si="51"/>
        <v/>
      </c>
      <c r="J668" s="26" t="str">
        <f>IF($A668="","",COUNTIFS(tblReceipts[Item Name],$A668,tblReceipts[Expiry Date],"&lt;"&amp;$H668)+COUNTIFS(tblReceipts[Item Name],$A668,tblReceipts[Expiry Date],$H668,tblReceipts[Lot Number],"&lt;="&amp;Receipts!$C671))</f>
        <v/>
      </c>
      <c r="K668" s="26" t="str">
        <f>IF($A668="","",SUMIFS(tblReceipts[Qty Received],tblReceipts[Item Name],$A668,tblReceipts[Expiry Date],"&lt;"&amp;$H668)+SUMIFS(tblReceipts[Qty Received],tblReceipts[Item Name],$A668,tblReceipts[Expiry Date],$H668,tblReceipts[Lot Number],"&lt;"&amp;Receipts!$C671))</f>
        <v/>
      </c>
      <c r="L668" s="26" t="str">
        <f>IF($A668="","",MIN($D668,MAX(0,SUMIFS(tblIssues[Qty Issued],tblIssues[Item Name],$A668)-$K668)))</f>
        <v/>
      </c>
      <c r="M668" s="26" t="str">
        <f>IF($A668="","",SUMIFS(tblIssues[Qty Issued],tblIssues[Lot Number],$B668))</f>
        <v/>
      </c>
      <c r="N668" s="26" t="str">
        <f t="shared" si="52"/>
        <v/>
      </c>
      <c r="O668" s="26" t="str">
        <f t="shared" si="53"/>
        <v/>
      </c>
      <c r="P668" s="21" t="str">
        <f t="shared" si="54"/>
        <v/>
      </c>
      <c r="Q668" s="52" t="str">
        <f>IF($A668="","",IF($O668&lt;=0,"Depleted",IF($I668&lt;0,"EXPIRED",IF($I668&lt;=Settings!$C$6,"CRITICAL",IF($I668&lt;=Settings!$C$5,"Expiring","In date")))))</f>
        <v/>
      </c>
    </row>
    <row r="669" spans="1:17" x14ac:dyDescent="0.35">
      <c r="A669" s="90" t="str">
        <f>IF(Receipts!$D672="","",Receipts!$D672)</f>
        <v/>
      </c>
      <c r="B669" s="18" t="str">
        <f>IF(Receipts!$C672="","",Receipts!$C672)</f>
        <v/>
      </c>
      <c r="C669" s="18" t="str">
        <f>IF($A669="","",IFERROR(INDEX(Items!$B$5:$B$597,MATCH($A669,Items!$A$5:$A$597,0)),""))</f>
        <v/>
      </c>
      <c r="D669" s="23" t="str">
        <f>IF($A669="","",N(Receipts!$G672))</f>
        <v/>
      </c>
      <c r="E669" s="20" t="str">
        <f>IF($A669="","",IFERROR(INDEX(Items!$D$5:$D$597,MATCH($A669,Items!$A$5:$A$597,0)),0))</f>
        <v/>
      </c>
      <c r="F669" s="21" t="str">
        <f t="shared" si="50"/>
        <v/>
      </c>
      <c r="G669" s="25" t="str">
        <f>IF(Receipts!$I672="","",Receipts!$I672)</f>
        <v/>
      </c>
      <c r="H669" s="25" t="str">
        <f>IF(Receipts!$H672="","",Receipts!$H672)</f>
        <v/>
      </c>
      <c r="I669" s="26" t="str">
        <f t="shared" ca="1" si="51"/>
        <v/>
      </c>
      <c r="J669" s="26" t="str">
        <f>IF($A669="","",COUNTIFS(tblReceipts[Item Name],$A669,tblReceipts[Expiry Date],"&lt;"&amp;$H669)+COUNTIFS(tblReceipts[Item Name],$A669,tblReceipts[Expiry Date],$H669,tblReceipts[Lot Number],"&lt;="&amp;Receipts!$C672))</f>
        <v/>
      </c>
      <c r="K669" s="26" t="str">
        <f>IF($A669="","",SUMIFS(tblReceipts[Qty Received],tblReceipts[Item Name],$A669,tblReceipts[Expiry Date],"&lt;"&amp;$H669)+SUMIFS(tblReceipts[Qty Received],tblReceipts[Item Name],$A669,tblReceipts[Expiry Date],$H669,tblReceipts[Lot Number],"&lt;"&amp;Receipts!$C672))</f>
        <v/>
      </c>
      <c r="L669" s="26" t="str">
        <f>IF($A669="","",MIN($D669,MAX(0,SUMIFS(tblIssues[Qty Issued],tblIssues[Item Name],$A669)-$K669)))</f>
        <v/>
      </c>
      <c r="M669" s="26" t="str">
        <f>IF($A669="","",SUMIFS(tblIssues[Qty Issued],tblIssues[Lot Number],$B669))</f>
        <v/>
      </c>
      <c r="N669" s="26" t="str">
        <f t="shared" si="52"/>
        <v/>
      </c>
      <c r="O669" s="26" t="str">
        <f t="shared" si="53"/>
        <v/>
      </c>
      <c r="P669" s="21" t="str">
        <f t="shared" si="54"/>
        <v/>
      </c>
      <c r="Q669" s="52" t="str">
        <f>IF($A669="","",IF($O669&lt;=0,"Depleted",IF($I669&lt;0,"EXPIRED",IF($I669&lt;=Settings!$C$6,"CRITICAL",IF($I669&lt;=Settings!$C$5,"Expiring","In date")))))</f>
        <v/>
      </c>
    </row>
    <row r="670" spans="1:17" x14ac:dyDescent="0.35">
      <c r="A670" s="90" t="str">
        <f>IF(Receipts!$D673="","",Receipts!$D673)</f>
        <v/>
      </c>
      <c r="B670" s="18" t="str">
        <f>IF(Receipts!$C673="","",Receipts!$C673)</f>
        <v/>
      </c>
      <c r="C670" s="18" t="str">
        <f>IF($A670="","",IFERROR(INDEX(Items!$B$5:$B$597,MATCH($A670,Items!$A$5:$A$597,0)),""))</f>
        <v/>
      </c>
      <c r="D670" s="23" t="str">
        <f>IF($A670="","",N(Receipts!$G673))</f>
        <v/>
      </c>
      <c r="E670" s="20" t="str">
        <f>IF($A670="","",IFERROR(INDEX(Items!$D$5:$D$597,MATCH($A670,Items!$A$5:$A$597,0)),0))</f>
        <v/>
      </c>
      <c r="F670" s="21" t="str">
        <f t="shared" si="50"/>
        <v/>
      </c>
      <c r="G670" s="25" t="str">
        <f>IF(Receipts!$I673="","",Receipts!$I673)</f>
        <v/>
      </c>
      <c r="H670" s="25" t="str">
        <f>IF(Receipts!$H673="","",Receipts!$H673)</f>
        <v/>
      </c>
      <c r="I670" s="26" t="str">
        <f t="shared" ca="1" si="51"/>
        <v/>
      </c>
      <c r="J670" s="26" t="str">
        <f>IF($A670="","",COUNTIFS(tblReceipts[Item Name],$A670,tblReceipts[Expiry Date],"&lt;"&amp;$H670)+COUNTIFS(tblReceipts[Item Name],$A670,tblReceipts[Expiry Date],$H670,tblReceipts[Lot Number],"&lt;="&amp;Receipts!$C673))</f>
        <v/>
      </c>
      <c r="K670" s="26" t="str">
        <f>IF($A670="","",SUMIFS(tblReceipts[Qty Received],tblReceipts[Item Name],$A670,tblReceipts[Expiry Date],"&lt;"&amp;$H670)+SUMIFS(tblReceipts[Qty Received],tblReceipts[Item Name],$A670,tblReceipts[Expiry Date],$H670,tblReceipts[Lot Number],"&lt;"&amp;Receipts!$C673))</f>
        <v/>
      </c>
      <c r="L670" s="26" t="str">
        <f>IF($A670="","",MIN($D670,MAX(0,SUMIFS(tblIssues[Qty Issued],tblIssues[Item Name],$A670)-$K670)))</f>
        <v/>
      </c>
      <c r="M670" s="26" t="str">
        <f>IF($A670="","",SUMIFS(tblIssues[Qty Issued],tblIssues[Lot Number],$B670))</f>
        <v/>
      </c>
      <c r="N670" s="26" t="str">
        <f t="shared" si="52"/>
        <v/>
      </c>
      <c r="O670" s="26" t="str">
        <f t="shared" si="53"/>
        <v/>
      </c>
      <c r="P670" s="21" t="str">
        <f t="shared" si="54"/>
        <v/>
      </c>
      <c r="Q670" s="52" t="str">
        <f>IF($A670="","",IF($O670&lt;=0,"Depleted",IF($I670&lt;0,"EXPIRED",IF($I670&lt;=Settings!$C$6,"CRITICAL",IF($I670&lt;=Settings!$C$5,"Expiring","In date")))))</f>
        <v/>
      </c>
    </row>
    <row r="671" spans="1:17" x14ac:dyDescent="0.35">
      <c r="A671" s="90" t="str">
        <f>IF(Receipts!$D674="","",Receipts!$D674)</f>
        <v/>
      </c>
      <c r="B671" s="18" t="str">
        <f>IF(Receipts!$C674="","",Receipts!$C674)</f>
        <v/>
      </c>
      <c r="C671" s="18" t="str">
        <f>IF($A671="","",IFERROR(INDEX(Items!$B$5:$B$597,MATCH($A671,Items!$A$5:$A$597,0)),""))</f>
        <v/>
      </c>
      <c r="D671" s="23" t="str">
        <f>IF($A671="","",N(Receipts!$G674))</f>
        <v/>
      </c>
      <c r="E671" s="20" t="str">
        <f>IF($A671="","",IFERROR(INDEX(Items!$D$5:$D$597,MATCH($A671,Items!$A$5:$A$597,0)),0))</f>
        <v/>
      </c>
      <c r="F671" s="21" t="str">
        <f t="shared" si="50"/>
        <v/>
      </c>
      <c r="G671" s="25" t="str">
        <f>IF(Receipts!$I674="","",Receipts!$I674)</f>
        <v/>
      </c>
      <c r="H671" s="25" t="str">
        <f>IF(Receipts!$H674="","",Receipts!$H674)</f>
        <v/>
      </c>
      <c r="I671" s="26" t="str">
        <f t="shared" ca="1" si="51"/>
        <v/>
      </c>
      <c r="J671" s="26" t="str">
        <f>IF($A671="","",COUNTIFS(tblReceipts[Item Name],$A671,tblReceipts[Expiry Date],"&lt;"&amp;$H671)+COUNTIFS(tblReceipts[Item Name],$A671,tblReceipts[Expiry Date],$H671,tblReceipts[Lot Number],"&lt;="&amp;Receipts!$C674))</f>
        <v/>
      </c>
      <c r="K671" s="26" t="str">
        <f>IF($A671="","",SUMIFS(tblReceipts[Qty Received],tblReceipts[Item Name],$A671,tblReceipts[Expiry Date],"&lt;"&amp;$H671)+SUMIFS(tblReceipts[Qty Received],tblReceipts[Item Name],$A671,tblReceipts[Expiry Date],$H671,tblReceipts[Lot Number],"&lt;"&amp;Receipts!$C674))</f>
        <v/>
      </c>
      <c r="L671" s="26" t="str">
        <f>IF($A671="","",MIN($D671,MAX(0,SUMIFS(tblIssues[Qty Issued],tblIssues[Item Name],$A671)-$K671)))</f>
        <v/>
      </c>
      <c r="M671" s="26" t="str">
        <f>IF($A671="","",SUMIFS(tblIssues[Qty Issued],tblIssues[Lot Number],$B671))</f>
        <v/>
      </c>
      <c r="N671" s="26" t="str">
        <f t="shared" si="52"/>
        <v/>
      </c>
      <c r="O671" s="26" t="str">
        <f t="shared" si="53"/>
        <v/>
      </c>
      <c r="P671" s="21" t="str">
        <f t="shared" si="54"/>
        <v/>
      </c>
      <c r="Q671" s="52" t="str">
        <f>IF($A671="","",IF($O671&lt;=0,"Depleted",IF($I671&lt;0,"EXPIRED",IF($I671&lt;=Settings!$C$6,"CRITICAL",IF($I671&lt;=Settings!$C$5,"Expiring","In date")))))</f>
        <v/>
      </c>
    </row>
    <row r="672" spans="1:17" x14ac:dyDescent="0.35">
      <c r="A672" s="90" t="str">
        <f>IF(Receipts!$D675="","",Receipts!$D675)</f>
        <v/>
      </c>
      <c r="B672" s="18" t="str">
        <f>IF(Receipts!$C675="","",Receipts!$C675)</f>
        <v/>
      </c>
      <c r="C672" s="18" t="str">
        <f>IF($A672="","",IFERROR(INDEX(Items!$B$5:$B$597,MATCH($A672,Items!$A$5:$A$597,0)),""))</f>
        <v/>
      </c>
      <c r="D672" s="23" t="str">
        <f>IF($A672="","",N(Receipts!$G675))</f>
        <v/>
      </c>
      <c r="E672" s="20" t="str">
        <f>IF($A672="","",IFERROR(INDEX(Items!$D$5:$D$597,MATCH($A672,Items!$A$5:$A$597,0)),0))</f>
        <v/>
      </c>
      <c r="F672" s="21" t="str">
        <f t="shared" si="50"/>
        <v/>
      </c>
      <c r="G672" s="25" t="str">
        <f>IF(Receipts!$I675="","",Receipts!$I675)</f>
        <v/>
      </c>
      <c r="H672" s="25" t="str">
        <f>IF(Receipts!$H675="","",Receipts!$H675)</f>
        <v/>
      </c>
      <c r="I672" s="26" t="str">
        <f t="shared" ca="1" si="51"/>
        <v/>
      </c>
      <c r="J672" s="26" t="str">
        <f>IF($A672="","",COUNTIFS(tblReceipts[Item Name],$A672,tblReceipts[Expiry Date],"&lt;"&amp;$H672)+COUNTIFS(tblReceipts[Item Name],$A672,tblReceipts[Expiry Date],$H672,tblReceipts[Lot Number],"&lt;="&amp;Receipts!$C675))</f>
        <v/>
      </c>
      <c r="K672" s="26" t="str">
        <f>IF($A672="","",SUMIFS(tblReceipts[Qty Received],tblReceipts[Item Name],$A672,tblReceipts[Expiry Date],"&lt;"&amp;$H672)+SUMIFS(tblReceipts[Qty Received],tblReceipts[Item Name],$A672,tblReceipts[Expiry Date],$H672,tblReceipts[Lot Number],"&lt;"&amp;Receipts!$C675))</f>
        <v/>
      </c>
      <c r="L672" s="26" t="str">
        <f>IF($A672="","",MIN($D672,MAX(0,SUMIFS(tblIssues[Qty Issued],tblIssues[Item Name],$A672)-$K672)))</f>
        <v/>
      </c>
      <c r="M672" s="26" t="str">
        <f>IF($A672="","",SUMIFS(tblIssues[Qty Issued],tblIssues[Lot Number],$B672))</f>
        <v/>
      </c>
      <c r="N672" s="26" t="str">
        <f t="shared" si="52"/>
        <v/>
      </c>
      <c r="O672" s="26" t="str">
        <f t="shared" si="53"/>
        <v/>
      </c>
      <c r="P672" s="21" t="str">
        <f t="shared" si="54"/>
        <v/>
      </c>
      <c r="Q672" s="52" t="str">
        <f>IF($A672="","",IF($O672&lt;=0,"Depleted",IF($I672&lt;0,"EXPIRED",IF($I672&lt;=Settings!$C$6,"CRITICAL",IF($I672&lt;=Settings!$C$5,"Expiring","In date")))))</f>
        <v/>
      </c>
    </row>
    <row r="673" spans="1:17" x14ac:dyDescent="0.35">
      <c r="A673" s="90" t="str">
        <f>IF(Receipts!$D676="","",Receipts!$D676)</f>
        <v/>
      </c>
      <c r="B673" s="18" t="str">
        <f>IF(Receipts!$C676="","",Receipts!$C676)</f>
        <v/>
      </c>
      <c r="C673" s="18" t="str">
        <f>IF($A673="","",IFERROR(INDEX(Items!$B$5:$B$597,MATCH($A673,Items!$A$5:$A$597,0)),""))</f>
        <v/>
      </c>
      <c r="D673" s="23" t="str">
        <f>IF($A673="","",N(Receipts!$G676))</f>
        <v/>
      </c>
      <c r="E673" s="20" t="str">
        <f>IF($A673="","",IFERROR(INDEX(Items!$D$5:$D$597,MATCH($A673,Items!$A$5:$A$597,0)),0))</f>
        <v/>
      </c>
      <c r="F673" s="21" t="str">
        <f t="shared" si="50"/>
        <v/>
      </c>
      <c r="G673" s="25" t="str">
        <f>IF(Receipts!$I676="","",Receipts!$I676)</f>
        <v/>
      </c>
      <c r="H673" s="25" t="str">
        <f>IF(Receipts!$H676="","",Receipts!$H676)</f>
        <v/>
      </c>
      <c r="I673" s="26" t="str">
        <f t="shared" ca="1" si="51"/>
        <v/>
      </c>
      <c r="J673" s="26" t="str">
        <f>IF($A673="","",COUNTIFS(tblReceipts[Item Name],$A673,tblReceipts[Expiry Date],"&lt;"&amp;$H673)+COUNTIFS(tblReceipts[Item Name],$A673,tblReceipts[Expiry Date],$H673,tblReceipts[Lot Number],"&lt;="&amp;Receipts!$C676))</f>
        <v/>
      </c>
      <c r="K673" s="26" t="str">
        <f>IF($A673="","",SUMIFS(tblReceipts[Qty Received],tblReceipts[Item Name],$A673,tblReceipts[Expiry Date],"&lt;"&amp;$H673)+SUMIFS(tblReceipts[Qty Received],tblReceipts[Item Name],$A673,tblReceipts[Expiry Date],$H673,tblReceipts[Lot Number],"&lt;"&amp;Receipts!$C676))</f>
        <v/>
      </c>
      <c r="L673" s="26" t="str">
        <f>IF($A673="","",MIN($D673,MAX(0,SUMIFS(tblIssues[Qty Issued],tblIssues[Item Name],$A673)-$K673)))</f>
        <v/>
      </c>
      <c r="M673" s="26" t="str">
        <f>IF($A673="","",SUMIFS(tblIssues[Qty Issued],tblIssues[Lot Number],$B673))</f>
        <v/>
      </c>
      <c r="N673" s="26" t="str">
        <f t="shared" si="52"/>
        <v/>
      </c>
      <c r="O673" s="26" t="str">
        <f t="shared" si="53"/>
        <v/>
      </c>
      <c r="P673" s="21" t="str">
        <f t="shared" si="54"/>
        <v/>
      </c>
      <c r="Q673" s="52" t="str">
        <f>IF($A673="","",IF($O673&lt;=0,"Depleted",IF($I673&lt;0,"EXPIRED",IF($I673&lt;=Settings!$C$6,"CRITICAL",IF($I673&lt;=Settings!$C$5,"Expiring","In date")))))</f>
        <v/>
      </c>
    </row>
    <row r="674" spans="1:17" x14ac:dyDescent="0.35">
      <c r="A674" s="90" t="str">
        <f>IF(Receipts!$D677="","",Receipts!$D677)</f>
        <v/>
      </c>
      <c r="B674" s="18" t="str">
        <f>IF(Receipts!$C677="","",Receipts!$C677)</f>
        <v/>
      </c>
      <c r="C674" s="18" t="str">
        <f>IF($A674="","",IFERROR(INDEX(Items!$B$5:$B$597,MATCH($A674,Items!$A$5:$A$597,0)),""))</f>
        <v/>
      </c>
      <c r="D674" s="23" t="str">
        <f>IF($A674="","",N(Receipts!$G677))</f>
        <v/>
      </c>
      <c r="E674" s="20" t="str">
        <f>IF($A674="","",IFERROR(INDEX(Items!$D$5:$D$597,MATCH($A674,Items!$A$5:$A$597,0)),0))</f>
        <v/>
      </c>
      <c r="F674" s="21" t="str">
        <f t="shared" si="50"/>
        <v/>
      </c>
      <c r="G674" s="25" t="str">
        <f>IF(Receipts!$I677="","",Receipts!$I677)</f>
        <v/>
      </c>
      <c r="H674" s="25" t="str">
        <f>IF(Receipts!$H677="","",Receipts!$H677)</f>
        <v/>
      </c>
      <c r="I674" s="26" t="str">
        <f t="shared" ca="1" si="51"/>
        <v/>
      </c>
      <c r="J674" s="26" t="str">
        <f>IF($A674="","",COUNTIFS(tblReceipts[Item Name],$A674,tblReceipts[Expiry Date],"&lt;"&amp;$H674)+COUNTIFS(tblReceipts[Item Name],$A674,tblReceipts[Expiry Date],$H674,tblReceipts[Lot Number],"&lt;="&amp;Receipts!$C677))</f>
        <v/>
      </c>
      <c r="K674" s="26" t="str">
        <f>IF($A674="","",SUMIFS(tblReceipts[Qty Received],tblReceipts[Item Name],$A674,tblReceipts[Expiry Date],"&lt;"&amp;$H674)+SUMIFS(tblReceipts[Qty Received],tblReceipts[Item Name],$A674,tblReceipts[Expiry Date],$H674,tblReceipts[Lot Number],"&lt;"&amp;Receipts!$C677))</f>
        <v/>
      </c>
      <c r="L674" s="26" t="str">
        <f>IF($A674="","",MIN($D674,MAX(0,SUMIFS(tblIssues[Qty Issued],tblIssues[Item Name],$A674)-$K674)))</f>
        <v/>
      </c>
      <c r="M674" s="26" t="str">
        <f>IF($A674="","",SUMIFS(tblIssues[Qty Issued],tblIssues[Lot Number],$B674))</f>
        <v/>
      </c>
      <c r="N674" s="26" t="str">
        <f t="shared" si="52"/>
        <v/>
      </c>
      <c r="O674" s="26" t="str">
        <f t="shared" si="53"/>
        <v/>
      </c>
      <c r="P674" s="21" t="str">
        <f t="shared" si="54"/>
        <v/>
      </c>
      <c r="Q674" s="52" t="str">
        <f>IF($A674="","",IF($O674&lt;=0,"Depleted",IF($I674&lt;0,"EXPIRED",IF($I674&lt;=Settings!$C$6,"CRITICAL",IF($I674&lt;=Settings!$C$5,"Expiring","In date")))))</f>
        <v/>
      </c>
    </row>
    <row r="675" spans="1:17" x14ac:dyDescent="0.35">
      <c r="A675" s="90" t="str">
        <f>IF(Receipts!$D678="","",Receipts!$D678)</f>
        <v/>
      </c>
      <c r="B675" s="18" t="str">
        <f>IF(Receipts!$C678="","",Receipts!$C678)</f>
        <v/>
      </c>
      <c r="C675" s="18" t="str">
        <f>IF($A675="","",IFERROR(INDEX(Items!$B$5:$B$597,MATCH($A675,Items!$A$5:$A$597,0)),""))</f>
        <v/>
      </c>
      <c r="D675" s="23" t="str">
        <f>IF($A675="","",N(Receipts!$G678))</f>
        <v/>
      </c>
      <c r="E675" s="20" t="str">
        <f>IF($A675="","",IFERROR(INDEX(Items!$D$5:$D$597,MATCH($A675,Items!$A$5:$A$597,0)),0))</f>
        <v/>
      </c>
      <c r="F675" s="21" t="str">
        <f t="shared" si="50"/>
        <v/>
      </c>
      <c r="G675" s="25" t="str">
        <f>IF(Receipts!$I678="","",Receipts!$I678)</f>
        <v/>
      </c>
      <c r="H675" s="25" t="str">
        <f>IF(Receipts!$H678="","",Receipts!$H678)</f>
        <v/>
      </c>
      <c r="I675" s="26" t="str">
        <f t="shared" ca="1" si="51"/>
        <v/>
      </c>
      <c r="J675" s="26" t="str">
        <f>IF($A675="","",COUNTIFS(tblReceipts[Item Name],$A675,tblReceipts[Expiry Date],"&lt;"&amp;$H675)+COUNTIFS(tblReceipts[Item Name],$A675,tblReceipts[Expiry Date],$H675,tblReceipts[Lot Number],"&lt;="&amp;Receipts!$C678))</f>
        <v/>
      </c>
      <c r="K675" s="26" t="str">
        <f>IF($A675="","",SUMIFS(tblReceipts[Qty Received],tblReceipts[Item Name],$A675,tblReceipts[Expiry Date],"&lt;"&amp;$H675)+SUMIFS(tblReceipts[Qty Received],tblReceipts[Item Name],$A675,tblReceipts[Expiry Date],$H675,tblReceipts[Lot Number],"&lt;"&amp;Receipts!$C678))</f>
        <v/>
      </c>
      <c r="L675" s="26" t="str">
        <f>IF($A675="","",MIN($D675,MAX(0,SUMIFS(tblIssues[Qty Issued],tblIssues[Item Name],$A675)-$K675)))</f>
        <v/>
      </c>
      <c r="M675" s="26" t="str">
        <f>IF($A675="","",SUMIFS(tblIssues[Qty Issued],tblIssues[Lot Number],$B675))</f>
        <v/>
      </c>
      <c r="N675" s="26" t="str">
        <f t="shared" si="52"/>
        <v/>
      </c>
      <c r="O675" s="26" t="str">
        <f t="shared" si="53"/>
        <v/>
      </c>
      <c r="P675" s="21" t="str">
        <f t="shared" si="54"/>
        <v/>
      </c>
      <c r="Q675" s="52" t="str">
        <f>IF($A675="","",IF($O675&lt;=0,"Depleted",IF($I675&lt;0,"EXPIRED",IF($I675&lt;=Settings!$C$6,"CRITICAL",IF($I675&lt;=Settings!$C$5,"Expiring","In date")))))</f>
        <v/>
      </c>
    </row>
    <row r="676" spans="1:17" x14ac:dyDescent="0.35">
      <c r="A676" s="90" t="str">
        <f>IF(Receipts!$D679="","",Receipts!$D679)</f>
        <v/>
      </c>
      <c r="B676" s="18" t="str">
        <f>IF(Receipts!$C679="","",Receipts!$C679)</f>
        <v/>
      </c>
      <c r="C676" s="18" t="str">
        <f>IF($A676="","",IFERROR(INDEX(Items!$B$5:$B$597,MATCH($A676,Items!$A$5:$A$597,0)),""))</f>
        <v/>
      </c>
      <c r="D676" s="23" t="str">
        <f>IF($A676="","",N(Receipts!$G679))</f>
        <v/>
      </c>
      <c r="E676" s="20" t="str">
        <f>IF($A676="","",IFERROR(INDEX(Items!$D$5:$D$597,MATCH($A676,Items!$A$5:$A$597,0)),0))</f>
        <v/>
      </c>
      <c r="F676" s="21" t="str">
        <f t="shared" si="50"/>
        <v/>
      </c>
      <c r="G676" s="25" t="str">
        <f>IF(Receipts!$I679="","",Receipts!$I679)</f>
        <v/>
      </c>
      <c r="H676" s="25" t="str">
        <f>IF(Receipts!$H679="","",Receipts!$H679)</f>
        <v/>
      </c>
      <c r="I676" s="26" t="str">
        <f t="shared" ca="1" si="51"/>
        <v/>
      </c>
      <c r="J676" s="26" t="str">
        <f>IF($A676="","",COUNTIFS(tblReceipts[Item Name],$A676,tblReceipts[Expiry Date],"&lt;"&amp;$H676)+COUNTIFS(tblReceipts[Item Name],$A676,tblReceipts[Expiry Date],$H676,tblReceipts[Lot Number],"&lt;="&amp;Receipts!$C679))</f>
        <v/>
      </c>
      <c r="K676" s="26" t="str">
        <f>IF($A676="","",SUMIFS(tblReceipts[Qty Received],tblReceipts[Item Name],$A676,tblReceipts[Expiry Date],"&lt;"&amp;$H676)+SUMIFS(tblReceipts[Qty Received],tblReceipts[Item Name],$A676,tblReceipts[Expiry Date],$H676,tblReceipts[Lot Number],"&lt;"&amp;Receipts!$C679))</f>
        <v/>
      </c>
      <c r="L676" s="26" t="str">
        <f>IF($A676="","",MIN($D676,MAX(0,SUMIFS(tblIssues[Qty Issued],tblIssues[Item Name],$A676)-$K676)))</f>
        <v/>
      </c>
      <c r="M676" s="26" t="str">
        <f>IF($A676="","",SUMIFS(tblIssues[Qty Issued],tblIssues[Lot Number],$B676))</f>
        <v/>
      </c>
      <c r="N676" s="26" t="str">
        <f t="shared" si="52"/>
        <v/>
      </c>
      <c r="O676" s="26" t="str">
        <f t="shared" si="53"/>
        <v/>
      </c>
      <c r="P676" s="21" t="str">
        <f t="shared" si="54"/>
        <v/>
      </c>
      <c r="Q676" s="52" t="str">
        <f>IF($A676="","",IF($O676&lt;=0,"Depleted",IF($I676&lt;0,"EXPIRED",IF($I676&lt;=Settings!$C$6,"CRITICAL",IF($I676&lt;=Settings!$C$5,"Expiring","In date")))))</f>
        <v/>
      </c>
    </row>
    <row r="677" spans="1:17" x14ac:dyDescent="0.35">
      <c r="A677" s="90" t="str">
        <f>IF(Receipts!$D680="","",Receipts!$D680)</f>
        <v/>
      </c>
      <c r="B677" s="18" t="str">
        <f>IF(Receipts!$C680="","",Receipts!$C680)</f>
        <v/>
      </c>
      <c r="C677" s="18" t="str">
        <f>IF($A677="","",IFERROR(INDEX(Items!$B$5:$B$597,MATCH($A677,Items!$A$5:$A$597,0)),""))</f>
        <v/>
      </c>
      <c r="D677" s="23" t="str">
        <f>IF($A677="","",N(Receipts!$G680))</f>
        <v/>
      </c>
      <c r="E677" s="20" t="str">
        <f>IF($A677="","",IFERROR(INDEX(Items!$D$5:$D$597,MATCH($A677,Items!$A$5:$A$597,0)),0))</f>
        <v/>
      </c>
      <c r="F677" s="21" t="str">
        <f t="shared" si="50"/>
        <v/>
      </c>
      <c r="G677" s="25" t="str">
        <f>IF(Receipts!$I680="","",Receipts!$I680)</f>
        <v/>
      </c>
      <c r="H677" s="25" t="str">
        <f>IF(Receipts!$H680="","",Receipts!$H680)</f>
        <v/>
      </c>
      <c r="I677" s="26" t="str">
        <f t="shared" ca="1" si="51"/>
        <v/>
      </c>
      <c r="J677" s="26" t="str">
        <f>IF($A677="","",COUNTIFS(tblReceipts[Item Name],$A677,tblReceipts[Expiry Date],"&lt;"&amp;$H677)+COUNTIFS(tblReceipts[Item Name],$A677,tblReceipts[Expiry Date],$H677,tblReceipts[Lot Number],"&lt;="&amp;Receipts!$C680))</f>
        <v/>
      </c>
      <c r="K677" s="26" t="str">
        <f>IF($A677="","",SUMIFS(tblReceipts[Qty Received],tblReceipts[Item Name],$A677,tblReceipts[Expiry Date],"&lt;"&amp;$H677)+SUMIFS(tblReceipts[Qty Received],tblReceipts[Item Name],$A677,tblReceipts[Expiry Date],$H677,tblReceipts[Lot Number],"&lt;"&amp;Receipts!$C680))</f>
        <v/>
      </c>
      <c r="L677" s="26" t="str">
        <f>IF($A677="","",MIN($D677,MAX(0,SUMIFS(tblIssues[Qty Issued],tblIssues[Item Name],$A677)-$K677)))</f>
        <v/>
      </c>
      <c r="M677" s="26" t="str">
        <f>IF($A677="","",SUMIFS(tblIssues[Qty Issued],tblIssues[Lot Number],$B677))</f>
        <v/>
      </c>
      <c r="N677" s="26" t="str">
        <f t="shared" si="52"/>
        <v/>
      </c>
      <c r="O677" s="26" t="str">
        <f t="shared" si="53"/>
        <v/>
      </c>
      <c r="P677" s="21" t="str">
        <f t="shared" si="54"/>
        <v/>
      </c>
      <c r="Q677" s="52" t="str">
        <f>IF($A677="","",IF($O677&lt;=0,"Depleted",IF($I677&lt;0,"EXPIRED",IF($I677&lt;=Settings!$C$6,"CRITICAL",IF($I677&lt;=Settings!$C$5,"Expiring","In date")))))</f>
        <v/>
      </c>
    </row>
    <row r="678" spans="1:17" x14ac:dyDescent="0.35">
      <c r="A678" s="90" t="str">
        <f>IF(Receipts!$D681="","",Receipts!$D681)</f>
        <v/>
      </c>
      <c r="B678" s="18" t="str">
        <f>IF(Receipts!$C681="","",Receipts!$C681)</f>
        <v/>
      </c>
      <c r="C678" s="18" t="str">
        <f>IF($A678="","",IFERROR(INDEX(Items!$B$5:$B$597,MATCH($A678,Items!$A$5:$A$597,0)),""))</f>
        <v/>
      </c>
      <c r="D678" s="23" t="str">
        <f>IF($A678="","",N(Receipts!$G681))</f>
        <v/>
      </c>
      <c r="E678" s="20" t="str">
        <f>IF($A678="","",IFERROR(INDEX(Items!$D$5:$D$597,MATCH($A678,Items!$A$5:$A$597,0)),0))</f>
        <v/>
      </c>
      <c r="F678" s="21" t="str">
        <f t="shared" si="50"/>
        <v/>
      </c>
      <c r="G678" s="25" t="str">
        <f>IF(Receipts!$I681="","",Receipts!$I681)</f>
        <v/>
      </c>
      <c r="H678" s="25" t="str">
        <f>IF(Receipts!$H681="","",Receipts!$H681)</f>
        <v/>
      </c>
      <c r="I678" s="26" t="str">
        <f t="shared" ca="1" si="51"/>
        <v/>
      </c>
      <c r="J678" s="26" t="str">
        <f>IF($A678="","",COUNTIFS(tblReceipts[Item Name],$A678,tblReceipts[Expiry Date],"&lt;"&amp;$H678)+COUNTIFS(tblReceipts[Item Name],$A678,tblReceipts[Expiry Date],$H678,tblReceipts[Lot Number],"&lt;="&amp;Receipts!$C681))</f>
        <v/>
      </c>
      <c r="K678" s="26" t="str">
        <f>IF($A678="","",SUMIFS(tblReceipts[Qty Received],tblReceipts[Item Name],$A678,tblReceipts[Expiry Date],"&lt;"&amp;$H678)+SUMIFS(tblReceipts[Qty Received],tblReceipts[Item Name],$A678,tblReceipts[Expiry Date],$H678,tblReceipts[Lot Number],"&lt;"&amp;Receipts!$C681))</f>
        <v/>
      </c>
      <c r="L678" s="26" t="str">
        <f>IF($A678="","",MIN($D678,MAX(0,SUMIFS(tblIssues[Qty Issued],tblIssues[Item Name],$A678)-$K678)))</f>
        <v/>
      </c>
      <c r="M678" s="26" t="str">
        <f>IF($A678="","",SUMIFS(tblIssues[Qty Issued],tblIssues[Lot Number],$B678))</f>
        <v/>
      </c>
      <c r="N678" s="26" t="str">
        <f t="shared" si="52"/>
        <v/>
      </c>
      <c r="O678" s="26" t="str">
        <f t="shared" si="53"/>
        <v/>
      </c>
      <c r="P678" s="21" t="str">
        <f t="shared" si="54"/>
        <v/>
      </c>
      <c r="Q678" s="52" t="str">
        <f>IF($A678="","",IF($O678&lt;=0,"Depleted",IF($I678&lt;0,"EXPIRED",IF($I678&lt;=Settings!$C$6,"CRITICAL",IF($I678&lt;=Settings!$C$5,"Expiring","In date")))))</f>
        <v/>
      </c>
    </row>
    <row r="679" spans="1:17" x14ac:dyDescent="0.35">
      <c r="A679" s="90" t="str">
        <f>IF(Receipts!$D682="","",Receipts!$D682)</f>
        <v/>
      </c>
      <c r="B679" s="18" t="str">
        <f>IF(Receipts!$C682="","",Receipts!$C682)</f>
        <v/>
      </c>
      <c r="C679" s="18" t="str">
        <f>IF($A679="","",IFERROR(INDEX(Items!$B$5:$B$597,MATCH($A679,Items!$A$5:$A$597,0)),""))</f>
        <v/>
      </c>
      <c r="D679" s="23" t="str">
        <f>IF($A679="","",N(Receipts!$G682))</f>
        <v/>
      </c>
      <c r="E679" s="20" t="str">
        <f>IF($A679="","",IFERROR(INDEX(Items!$D$5:$D$597,MATCH($A679,Items!$A$5:$A$597,0)),0))</f>
        <v/>
      </c>
      <c r="F679" s="21" t="str">
        <f t="shared" si="50"/>
        <v/>
      </c>
      <c r="G679" s="25" t="str">
        <f>IF(Receipts!$I682="","",Receipts!$I682)</f>
        <v/>
      </c>
      <c r="H679" s="25" t="str">
        <f>IF(Receipts!$H682="","",Receipts!$H682)</f>
        <v/>
      </c>
      <c r="I679" s="26" t="str">
        <f t="shared" ca="1" si="51"/>
        <v/>
      </c>
      <c r="J679" s="26" t="str">
        <f>IF($A679="","",COUNTIFS(tblReceipts[Item Name],$A679,tblReceipts[Expiry Date],"&lt;"&amp;$H679)+COUNTIFS(tblReceipts[Item Name],$A679,tblReceipts[Expiry Date],$H679,tblReceipts[Lot Number],"&lt;="&amp;Receipts!$C682))</f>
        <v/>
      </c>
      <c r="K679" s="26" t="str">
        <f>IF($A679="","",SUMIFS(tblReceipts[Qty Received],tblReceipts[Item Name],$A679,tblReceipts[Expiry Date],"&lt;"&amp;$H679)+SUMIFS(tblReceipts[Qty Received],tblReceipts[Item Name],$A679,tblReceipts[Expiry Date],$H679,tblReceipts[Lot Number],"&lt;"&amp;Receipts!$C682))</f>
        <v/>
      </c>
      <c r="L679" s="26" t="str">
        <f>IF($A679="","",MIN($D679,MAX(0,SUMIFS(tblIssues[Qty Issued],tblIssues[Item Name],$A679)-$K679)))</f>
        <v/>
      </c>
      <c r="M679" s="26" t="str">
        <f>IF($A679="","",SUMIFS(tblIssues[Qty Issued],tblIssues[Lot Number],$B679))</f>
        <v/>
      </c>
      <c r="N679" s="26" t="str">
        <f t="shared" si="52"/>
        <v/>
      </c>
      <c r="O679" s="26" t="str">
        <f t="shared" si="53"/>
        <v/>
      </c>
      <c r="P679" s="21" t="str">
        <f t="shared" si="54"/>
        <v/>
      </c>
      <c r="Q679" s="52" t="str">
        <f>IF($A679="","",IF($O679&lt;=0,"Depleted",IF($I679&lt;0,"EXPIRED",IF($I679&lt;=Settings!$C$6,"CRITICAL",IF($I679&lt;=Settings!$C$5,"Expiring","In date")))))</f>
        <v/>
      </c>
    </row>
    <row r="680" spans="1:17" x14ac:dyDescent="0.35">
      <c r="A680" s="90" t="str">
        <f>IF(Receipts!$D683="","",Receipts!$D683)</f>
        <v/>
      </c>
      <c r="B680" s="18" t="str">
        <f>IF(Receipts!$C683="","",Receipts!$C683)</f>
        <v/>
      </c>
      <c r="C680" s="18" t="str">
        <f>IF($A680="","",IFERROR(INDEX(Items!$B$5:$B$597,MATCH($A680,Items!$A$5:$A$597,0)),""))</f>
        <v/>
      </c>
      <c r="D680" s="23" t="str">
        <f>IF($A680="","",N(Receipts!$G683))</f>
        <v/>
      </c>
      <c r="E680" s="20" t="str">
        <f>IF($A680="","",IFERROR(INDEX(Items!$D$5:$D$597,MATCH($A680,Items!$A$5:$A$597,0)),0))</f>
        <v/>
      </c>
      <c r="F680" s="21" t="str">
        <f t="shared" si="50"/>
        <v/>
      </c>
      <c r="G680" s="25" t="str">
        <f>IF(Receipts!$I683="","",Receipts!$I683)</f>
        <v/>
      </c>
      <c r="H680" s="25" t="str">
        <f>IF(Receipts!$H683="","",Receipts!$H683)</f>
        <v/>
      </c>
      <c r="I680" s="26" t="str">
        <f t="shared" ca="1" si="51"/>
        <v/>
      </c>
      <c r="J680" s="26" t="str">
        <f>IF($A680="","",COUNTIFS(tblReceipts[Item Name],$A680,tblReceipts[Expiry Date],"&lt;"&amp;$H680)+COUNTIFS(tblReceipts[Item Name],$A680,tblReceipts[Expiry Date],$H680,tblReceipts[Lot Number],"&lt;="&amp;Receipts!$C683))</f>
        <v/>
      </c>
      <c r="K680" s="26" t="str">
        <f>IF($A680="","",SUMIFS(tblReceipts[Qty Received],tblReceipts[Item Name],$A680,tblReceipts[Expiry Date],"&lt;"&amp;$H680)+SUMIFS(tblReceipts[Qty Received],tblReceipts[Item Name],$A680,tblReceipts[Expiry Date],$H680,tblReceipts[Lot Number],"&lt;"&amp;Receipts!$C683))</f>
        <v/>
      </c>
      <c r="L680" s="26" t="str">
        <f>IF($A680="","",MIN($D680,MAX(0,SUMIFS(tblIssues[Qty Issued],tblIssues[Item Name],$A680)-$K680)))</f>
        <v/>
      </c>
      <c r="M680" s="26" t="str">
        <f>IF($A680="","",SUMIFS(tblIssues[Qty Issued],tblIssues[Lot Number],$B680))</f>
        <v/>
      </c>
      <c r="N680" s="26" t="str">
        <f t="shared" si="52"/>
        <v/>
      </c>
      <c r="O680" s="26" t="str">
        <f t="shared" si="53"/>
        <v/>
      </c>
      <c r="P680" s="21" t="str">
        <f t="shared" si="54"/>
        <v/>
      </c>
      <c r="Q680" s="52" t="str">
        <f>IF($A680="","",IF($O680&lt;=0,"Depleted",IF($I680&lt;0,"EXPIRED",IF($I680&lt;=Settings!$C$6,"CRITICAL",IF($I680&lt;=Settings!$C$5,"Expiring","In date")))))</f>
        <v/>
      </c>
    </row>
    <row r="681" spans="1:17" x14ac:dyDescent="0.35">
      <c r="A681" s="90" t="str">
        <f>IF(Receipts!$D684="","",Receipts!$D684)</f>
        <v/>
      </c>
      <c r="B681" s="18" t="str">
        <f>IF(Receipts!$C684="","",Receipts!$C684)</f>
        <v/>
      </c>
      <c r="C681" s="18" t="str">
        <f>IF($A681="","",IFERROR(INDEX(Items!$B$5:$B$597,MATCH($A681,Items!$A$5:$A$597,0)),""))</f>
        <v/>
      </c>
      <c r="D681" s="23" t="str">
        <f>IF($A681="","",N(Receipts!$G684))</f>
        <v/>
      </c>
      <c r="E681" s="20" t="str">
        <f>IF($A681="","",IFERROR(INDEX(Items!$D$5:$D$597,MATCH($A681,Items!$A$5:$A$597,0)),0))</f>
        <v/>
      </c>
      <c r="F681" s="21" t="str">
        <f t="shared" si="50"/>
        <v/>
      </c>
      <c r="G681" s="25" t="str">
        <f>IF(Receipts!$I684="","",Receipts!$I684)</f>
        <v/>
      </c>
      <c r="H681" s="25" t="str">
        <f>IF(Receipts!$H684="","",Receipts!$H684)</f>
        <v/>
      </c>
      <c r="I681" s="26" t="str">
        <f t="shared" ca="1" si="51"/>
        <v/>
      </c>
      <c r="J681" s="26" t="str">
        <f>IF($A681="","",COUNTIFS(tblReceipts[Item Name],$A681,tblReceipts[Expiry Date],"&lt;"&amp;$H681)+COUNTIFS(tblReceipts[Item Name],$A681,tblReceipts[Expiry Date],$H681,tblReceipts[Lot Number],"&lt;="&amp;Receipts!$C684))</f>
        <v/>
      </c>
      <c r="K681" s="26" t="str">
        <f>IF($A681="","",SUMIFS(tblReceipts[Qty Received],tblReceipts[Item Name],$A681,tblReceipts[Expiry Date],"&lt;"&amp;$H681)+SUMIFS(tblReceipts[Qty Received],tblReceipts[Item Name],$A681,tblReceipts[Expiry Date],$H681,tblReceipts[Lot Number],"&lt;"&amp;Receipts!$C684))</f>
        <v/>
      </c>
      <c r="L681" s="26" t="str">
        <f>IF($A681="","",MIN($D681,MAX(0,SUMIFS(tblIssues[Qty Issued],tblIssues[Item Name],$A681)-$K681)))</f>
        <v/>
      </c>
      <c r="M681" s="26" t="str">
        <f>IF($A681="","",SUMIFS(tblIssues[Qty Issued],tblIssues[Lot Number],$B681))</f>
        <v/>
      </c>
      <c r="N681" s="26" t="str">
        <f t="shared" si="52"/>
        <v/>
      </c>
      <c r="O681" s="26" t="str">
        <f t="shared" si="53"/>
        <v/>
      </c>
      <c r="P681" s="21" t="str">
        <f t="shared" si="54"/>
        <v/>
      </c>
      <c r="Q681" s="52" t="str">
        <f>IF($A681="","",IF($O681&lt;=0,"Depleted",IF($I681&lt;0,"EXPIRED",IF($I681&lt;=Settings!$C$6,"CRITICAL",IF($I681&lt;=Settings!$C$5,"Expiring","In date")))))</f>
        <v/>
      </c>
    </row>
    <row r="682" spans="1:17" x14ac:dyDescent="0.35">
      <c r="A682" s="90" t="str">
        <f>IF(Receipts!$D685="","",Receipts!$D685)</f>
        <v/>
      </c>
      <c r="B682" s="18" t="str">
        <f>IF(Receipts!$C685="","",Receipts!$C685)</f>
        <v/>
      </c>
      <c r="C682" s="18" t="str">
        <f>IF($A682="","",IFERROR(INDEX(Items!$B$5:$B$597,MATCH($A682,Items!$A$5:$A$597,0)),""))</f>
        <v/>
      </c>
      <c r="D682" s="23" t="str">
        <f>IF($A682="","",N(Receipts!$G685))</f>
        <v/>
      </c>
      <c r="E682" s="20" t="str">
        <f>IF($A682="","",IFERROR(INDEX(Items!$D$5:$D$597,MATCH($A682,Items!$A$5:$A$597,0)),0))</f>
        <v/>
      </c>
      <c r="F682" s="21" t="str">
        <f t="shared" si="50"/>
        <v/>
      </c>
      <c r="G682" s="25" t="str">
        <f>IF(Receipts!$I685="","",Receipts!$I685)</f>
        <v/>
      </c>
      <c r="H682" s="25" t="str">
        <f>IF(Receipts!$H685="","",Receipts!$H685)</f>
        <v/>
      </c>
      <c r="I682" s="26" t="str">
        <f t="shared" ca="1" si="51"/>
        <v/>
      </c>
      <c r="J682" s="26" t="str">
        <f>IF($A682="","",COUNTIFS(tblReceipts[Item Name],$A682,tblReceipts[Expiry Date],"&lt;"&amp;$H682)+COUNTIFS(tblReceipts[Item Name],$A682,tblReceipts[Expiry Date],$H682,tblReceipts[Lot Number],"&lt;="&amp;Receipts!$C685))</f>
        <v/>
      </c>
      <c r="K682" s="26" t="str">
        <f>IF($A682="","",SUMIFS(tblReceipts[Qty Received],tblReceipts[Item Name],$A682,tblReceipts[Expiry Date],"&lt;"&amp;$H682)+SUMIFS(tblReceipts[Qty Received],tblReceipts[Item Name],$A682,tblReceipts[Expiry Date],$H682,tblReceipts[Lot Number],"&lt;"&amp;Receipts!$C685))</f>
        <v/>
      </c>
      <c r="L682" s="26" t="str">
        <f>IF($A682="","",MIN($D682,MAX(0,SUMIFS(tblIssues[Qty Issued],tblIssues[Item Name],$A682)-$K682)))</f>
        <v/>
      </c>
      <c r="M682" s="26" t="str">
        <f>IF($A682="","",SUMIFS(tblIssues[Qty Issued],tblIssues[Lot Number],$B682))</f>
        <v/>
      </c>
      <c r="N682" s="26" t="str">
        <f t="shared" si="52"/>
        <v/>
      </c>
      <c r="O682" s="26" t="str">
        <f t="shared" si="53"/>
        <v/>
      </c>
      <c r="P682" s="21" t="str">
        <f t="shared" si="54"/>
        <v/>
      </c>
      <c r="Q682" s="52" t="str">
        <f>IF($A682="","",IF($O682&lt;=0,"Depleted",IF($I682&lt;0,"EXPIRED",IF($I682&lt;=Settings!$C$6,"CRITICAL",IF($I682&lt;=Settings!$C$5,"Expiring","In date")))))</f>
        <v/>
      </c>
    </row>
    <row r="683" spans="1:17" x14ac:dyDescent="0.35">
      <c r="A683" s="90" t="str">
        <f>IF(Receipts!$D686="","",Receipts!$D686)</f>
        <v/>
      </c>
      <c r="B683" s="18" t="str">
        <f>IF(Receipts!$C686="","",Receipts!$C686)</f>
        <v/>
      </c>
      <c r="C683" s="18" t="str">
        <f>IF($A683="","",IFERROR(INDEX(Items!$B$5:$B$597,MATCH($A683,Items!$A$5:$A$597,0)),""))</f>
        <v/>
      </c>
      <c r="D683" s="23" t="str">
        <f>IF($A683="","",N(Receipts!$G686))</f>
        <v/>
      </c>
      <c r="E683" s="20" t="str">
        <f>IF($A683="","",IFERROR(INDEX(Items!$D$5:$D$597,MATCH($A683,Items!$A$5:$A$597,0)),0))</f>
        <v/>
      </c>
      <c r="F683" s="21" t="str">
        <f t="shared" si="50"/>
        <v/>
      </c>
      <c r="G683" s="25" t="str">
        <f>IF(Receipts!$I686="","",Receipts!$I686)</f>
        <v/>
      </c>
      <c r="H683" s="25" t="str">
        <f>IF(Receipts!$H686="","",Receipts!$H686)</f>
        <v/>
      </c>
      <c r="I683" s="26" t="str">
        <f t="shared" ca="1" si="51"/>
        <v/>
      </c>
      <c r="J683" s="26" t="str">
        <f>IF($A683="","",COUNTIFS(tblReceipts[Item Name],$A683,tblReceipts[Expiry Date],"&lt;"&amp;$H683)+COUNTIFS(tblReceipts[Item Name],$A683,tblReceipts[Expiry Date],$H683,tblReceipts[Lot Number],"&lt;="&amp;Receipts!$C686))</f>
        <v/>
      </c>
      <c r="K683" s="26" t="str">
        <f>IF($A683="","",SUMIFS(tblReceipts[Qty Received],tblReceipts[Item Name],$A683,tblReceipts[Expiry Date],"&lt;"&amp;$H683)+SUMIFS(tblReceipts[Qty Received],tblReceipts[Item Name],$A683,tblReceipts[Expiry Date],$H683,tblReceipts[Lot Number],"&lt;"&amp;Receipts!$C686))</f>
        <v/>
      </c>
      <c r="L683" s="26" t="str">
        <f>IF($A683="","",MIN($D683,MAX(0,SUMIFS(tblIssues[Qty Issued],tblIssues[Item Name],$A683)-$K683)))</f>
        <v/>
      </c>
      <c r="M683" s="26" t="str">
        <f>IF($A683="","",SUMIFS(tblIssues[Qty Issued],tblIssues[Lot Number],$B683))</f>
        <v/>
      </c>
      <c r="N683" s="26" t="str">
        <f t="shared" si="52"/>
        <v/>
      </c>
      <c r="O683" s="26" t="str">
        <f t="shared" si="53"/>
        <v/>
      </c>
      <c r="P683" s="21" t="str">
        <f t="shared" si="54"/>
        <v/>
      </c>
      <c r="Q683" s="52" t="str">
        <f>IF($A683="","",IF($O683&lt;=0,"Depleted",IF($I683&lt;0,"EXPIRED",IF($I683&lt;=Settings!$C$6,"CRITICAL",IF($I683&lt;=Settings!$C$5,"Expiring","In date")))))</f>
        <v/>
      </c>
    </row>
    <row r="684" spans="1:17" x14ac:dyDescent="0.35">
      <c r="A684" s="90" t="str">
        <f>IF(Receipts!$D687="","",Receipts!$D687)</f>
        <v/>
      </c>
      <c r="B684" s="18" t="str">
        <f>IF(Receipts!$C687="","",Receipts!$C687)</f>
        <v/>
      </c>
      <c r="C684" s="18" t="str">
        <f>IF($A684="","",IFERROR(INDEX(Items!$B$5:$B$597,MATCH($A684,Items!$A$5:$A$597,0)),""))</f>
        <v/>
      </c>
      <c r="D684" s="23" t="str">
        <f>IF($A684="","",N(Receipts!$G687))</f>
        <v/>
      </c>
      <c r="E684" s="20" t="str">
        <f>IF($A684="","",IFERROR(INDEX(Items!$D$5:$D$597,MATCH($A684,Items!$A$5:$A$597,0)),0))</f>
        <v/>
      </c>
      <c r="F684" s="21" t="str">
        <f t="shared" si="50"/>
        <v/>
      </c>
      <c r="G684" s="25" t="str">
        <f>IF(Receipts!$I687="","",Receipts!$I687)</f>
        <v/>
      </c>
      <c r="H684" s="25" t="str">
        <f>IF(Receipts!$H687="","",Receipts!$H687)</f>
        <v/>
      </c>
      <c r="I684" s="26" t="str">
        <f t="shared" ca="1" si="51"/>
        <v/>
      </c>
      <c r="J684" s="26" t="str">
        <f>IF($A684="","",COUNTIFS(tblReceipts[Item Name],$A684,tblReceipts[Expiry Date],"&lt;"&amp;$H684)+COUNTIFS(tblReceipts[Item Name],$A684,tblReceipts[Expiry Date],$H684,tblReceipts[Lot Number],"&lt;="&amp;Receipts!$C687))</f>
        <v/>
      </c>
      <c r="K684" s="26" t="str">
        <f>IF($A684="","",SUMIFS(tblReceipts[Qty Received],tblReceipts[Item Name],$A684,tblReceipts[Expiry Date],"&lt;"&amp;$H684)+SUMIFS(tblReceipts[Qty Received],tblReceipts[Item Name],$A684,tblReceipts[Expiry Date],$H684,tblReceipts[Lot Number],"&lt;"&amp;Receipts!$C687))</f>
        <v/>
      </c>
      <c r="L684" s="26" t="str">
        <f>IF($A684="","",MIN($D684,MAX(0,SUMIFS(tblIssues[Qty Issued],tblIssues[Item Name],$A684)-$K684)))</f>
        <v/>
      </c>
      <c r="M684" s="26" t="str">
        <f>IF($A684="","",SUMIFS(tblIssues[Qty Issued],tblIssues[Lot Number],$B684))</f>
        <v/>
      </c>
      <c r="N684" s="26" t="str">
        <f t="shared" si="52"/>
        <v/>
      </c>
      <c r="O684" s="26" t="str">
        <f t="shared" si="53"/>
        <v/>
      </c>
      <c r="P684" s="21" t="str">
        <f t="shared" si="54"/>
        <v/>
      </c>
      <c r="Q684" s="52" t="str">
        <f>IF($A684="","",IF($O684&lt;=0,"Depleted",IF($I684&lt;0,"EXPIRED",IF($I684&lt;=Settings!$C$6,"CRITICAL",IF($I684&lt;=Settings!$C$5,"Expiring","In date")))))</f>
        <v/>
      </c>
    </row>
    <row r="685" spans="1:17" x14ac:dyDescent="0.35">
      <c r="A685" s="90" t="str">
        <f>IF(Receipts!$D688="","",Receipts!$D688)</f>
        <v/>
      </c>
      <c r="B685" s="18" t="str">
        <f>IF(Receipts!$C688="","",Receipts!$C688)</f>
        <v/>
      </c>
      <c r="C685" s="18" t="str">
        <f>IF($A685="","",IFERROR(INDEX(Items!$B$5:$B$597,MATCH($A685,Items!$A$5:$A$597,0)),""))</f>
        <v/>
      </c>
      <c r="D685" s="23" t="str">
        <f>IF($A685="","",N(Receipts!$G688))</f>
        <v/>
      </c>
      <c r="E685" s="20" t="str">
        <f>IF($A685="","",IFERROR(INDEX(Items!$D$5:$D$597,MATCH($A685,Items!$A$5:$A$597,0)),0))</f>
        <v/>
      </c>
      <c r="F685" s="21" t="str">
        <f t="shared" si="50"/>
        <v/>
      </c>
      <c r="G685" s="25" t="str">
        <f>IF(Receipts!$I688="","",Receipts!$I688)</f>
        <v/>
      </c>
      <c r="H685" s="25" t="str">
        <f>IF(Receipts!$H688="","",Receipts!$H688)</f>
        <v/>
      </c>
      <c r="I685" s="26" t="str">
        <f t="shared" ca="1" si="51"/>
        <v/>
      </c>
      <c r="J685" s="26" t="str">
        <f>IF($A685="","",COUNTIFS(tblReceipts[Item Name],$A685,tblReceipts[Expiry Date],"&lt;"&amp;$H685)+COUNTIFS(tblReceipts[Item Name],$A685,tblReceipts[Expiry Date],$H685,tblReceipts[Lot Number],"&lt;="&amp;Receipts!$C688))</f>
        <v/>
      </c>
      <c r="K685" s="26" t="str">
        <f>IF($A685="","",SUMIFS(tblReceipts[Qty Received],tblReceipts[Item Name],$A685,tblReceipts[Expiry Date],"&lt;"&amp;$H685)+SUMIFS(tblReceipts[Qty Received],tblReceipts[Item Name],$A685,tblReceipts[Expiry Date],$H685,tblReceipts[Lot Number],"&lt;"&amp;Receipts!$C688))</f>
        <v/>
      </c>
      <c r="L685" s="26" t="str">
        <f>IF($A685="","",MIN($D685,MAX(0,SUMIFS(tblIssues[Qty Issued],tblIssues[Item Name],$A685)-$K685)))</f>
        <v/>
      </c>
      <c r="M685" s="26" t="str">
        <f>IF($A685="","",SUMIFS(tblIssues[Qty Issued],tblIssues[Lot Number],$B685))</f>
        <v/>
      </c>
      <c r="N685" s="26" t="str">
        <f t="shared" si="52"/>
        <v/>
      </c>
      <c r="O685" s="26" t="str">
        <f t="shared" si="53"/>
        <v/>
      </c>
      <c r="P685" s="21" t="str">
        <f t="shared" si="54"/>
        <v/>
      </c>
      <c r="Q685" s="52" t="str">
        <f>IF($A685="","",IF($O685&lt;=0,"Depleted",IF($I685&lt;0,"EXPIRED",IF($I685&lt;=Settings!$C$6,"CRITICAL",IF($I685&lt;=Settings!$C$5,"Expiring","In date")))))</f>
        <v/>
      </c>
    </row>
    <row r="686" spans="1:17" x14ac:dyDescent="0.35">
      <c r="A686" s="90" t="str">
        <f>IF(Receipts!$D689="","",Receipts!$D689)</f>
        <v/>
      </c>
      <c r="B686" s="18" t="str">
        <f>IF(Receipts!$C689="","",Receipts!$C689)</f>
        <v/>
      </c>
      <c r="C686" s="18" t="str">
        <f>IF($A686="","",IFERROR(INDEX(Items!$B$5:$B$597,MATCH($A686,Items!$A$5:$A$597,0)),""))</f>
        <v/>
      </c>
      <c r="D686" s="23" t="str">
        <f>IF($A686="","",N(Receipts!$G689))</f>
        <v/>
      </c>
      <c r="E686" s="20" t="str">
        <f>IF($A686="","",IFERROR(INDEX(Items!$D$5:$D$597,MATCH($A686,Items!$A$5:$A$597,0)),0))</f>
        <v/>
      </c>
      <c r="F686" s="21" t="str">
        <f t="shared" si="50"/>
        <v/>
      </c>
      <c r="G686" s="25" t="str">
        <f>IF(Receipts!$I689="","",Receipts!$I689)</f>
        <v/>
      </c>
      <c r="H686" s="25" t="str">
        <f>IF(Receipts!$H689="","",Receipts!$H689)</f>
        <v/>
      </c>
      <c r="I686" s="26" t="str">
        <f t="shared" ca="1" si="51"/>
        <v/>
      </c>
      <c r="J686" s="26" t="str">
        <f>IF($A686="","",COUNTIFS(tblReceipts[Item Name],$A686,tblReceipts[Expiry Date],"&lt;"&amp;$H686)+COUNTIFS(tblReceipts[Item Name],$A686,tblReceipts[Expiry Date],$H686,tblReceipts[Lot Number],"&lt;="&amp;Receipts!$C689))</f>
        <v/>
      </c>
      <c r="K686" s="26" t="str">
        <f>IF($A686="","",SUMIFS(tblReceipts[Qty Received],tblReceipts[Item Name],$A686,tblReceipts[Expiry Date],"&lt;"&amp;$H686)+SUMIFS(tblReceipts[Qty Received],tblReceipts[Item Name],$A686,tblReceipts[Expiry Date],$H686,tblReceipts[Lot Number],"&lt;"&amp;Receipts!$C689))</f>
        <v/>
      </c>
      <c r="L686" s="26" t="str">
        <f>IF($A686="","",MIN($D686,MAX(0,SUMIFS(tblIssues[Qty Issued],tblIssues[Item Name],$A686)-$K686)))</f>
        <v/>
      </c>
      <c r="M686" s="26" t="str">
        <f>IF($A686="","",SUMIFS(tblIssues[Qty Issued],tblIssues[Lot Number],$B686))</f>
        <v/>
      </c>
      <c r="N686" s="26" t="str">
        <f t="shared" si="52"/>
        <v/>
      </c>
      <c r="O686" s="26" t="str">
        <f t="shared" si="53"/>
        <v/>
      </c>
      <c r="P686" s="21" t="str">
        <f t="shared" si="54"/>
        <v/>
      </c>
      <c r="Q686" s="52" t="str">
        <f>IF($A686="","",IF($O686&lt;=0,"Depleted",IF($I686&lt;0,"EXPIRED",IF($I686&lt;=Settings!$C$6,"CRITICAL",IF($I686&lt;=Settings!$C$5,"Expiring","In date")))))</f>
        <v/>
      </c>
    </row>
    <row r="687" spans="1:17" x14ac:dyDescent="0.35">
      <c r="A687" s="90" t="str">
        <f>IF(Receipts!$D690="","",Receipts!$D690)</f>
        <v/>
      </c>
      <c r="B687" s="18" t="str">
        <f>IF(Receipts!$C690="","",Receipts!$C690)</f>
        <v/>
      </c>
      <c r="C687" s="18" t="str">
        <f>IF($A687="","",IFERROR(INDEX(Items!$B$5:$B$597,MATCH($A687,Items!$A$5:$A$597,0)),""))</f>
        <v/>
      </c>
      <c r="D687" s="23" t="str">
        <f>IF($A687="","",N(Receipts!$G690))</f>
        <v/>
      </c>
      <c r="E687" s="20" t="str">
        <f>IF($A687="","",IFERROR(INDEX(Items!$D$5:$D$597,MATCH($A687,Items!$A$5:$A$597,0)),0))</f>
        <v/>
      </c>
      <c r="F687" s="21" t="str">
        <f t="shared" si="50"/>
        <v/>
      </c>
      <c r="G687" s="25" t="str">
        <f>IF(Receipts!$I690="","",Receipts!$I690)</f>
        <v/>
      </c>
      <c r="H687" s="25" t="str">
        <f>IF(Receipts!$H690="","",Receipts!$H690)</f>
        <v/>
      </c>
      <c r="I687" s="26" t="str">
        <f t="shared" ca="1" si="51"/>
        <v/>
      </c>
      <c r="J687" s="26" t="str">
        <f>IF($A687="","",COUNTIFS(tblReceipts[Item Name],$A687,tblReceipts[Expiry Date],"&lt;"&amp;$H687)+COUNTIFS(tblReceipts[Item Name],$A687,tblReceipts[Expiry Date],$H687,tblReceipts[Lot Number],"&lt;="&amp;Receipts!$C690))</f>
        <v/>
      </c>
      <c r="K687" s="26" t="str">
        <f>IF($A687="","",SUMIFS(tblReceipts[Qty Received],tblReceipts[Item Name],$A687,tblReceipts[Expiry Date],"&lt;"&amp;$H687)+SUMIFS(tblReceipts[Qty Received],tblReceipts[Item Name],$A687,tblReceipts[Expiry Date],$H687,tblReceipts[Lot Number],"&lt;"&amp;Receipts!$C690))</f>
        <v/>
      </c>
      <c r="L687" s="26" t="str">
        <f>IF($A687="","",MIN($D687,MAX(0,SUMIFS(tblIssues[Qty Issued],tblIssues[Item Name],$A687)-$K687)))</f>
        <v/>
      </c>
      <c r="M687" s="26" t="str">
        <f>IF($A687="","",SUMIFS(tblIssues[Qty Issued],tblIssues[Lot Number],$B687))</f>
        <v/>
      </c>
      <c r="N687" s="26" t="str">
        <f t="shared" si="52"/>
        <v/>
      </c>
      <c r="O687" s="26" t="str">
        <f t="shared" si="53"/>
        <v/>
      </c>
      <c r="P687" s="21" t="str">
        <f t="shared" si="54"/>
        <v/>
      </c>
      <c r="Q687" s="52" t="str">
        <f>IF($A687="","",IF($O687&lt;=0,"Depleted",IF($I687&lt;0,"EXPIRED",IF($I687&lt;=Settings!$C$6,"CRITICAL",IF($I687&lt;=Settings!$C$5,"Expiring","In date")))))</f>
        <v/>
      </c>
    </row>
    <row r="688" spans="1:17" x14ac:dyDescent="0.35">
      <c r="A688" s="90" t="str">
        <f>IF(Receipts!$D691="","",Receipts!$D691)</f>
        <v/>
      </c>
      <c r="B688" s="18" t="str">
        <f>IF(Receipts!$C691="","",Receipts!$C691)</f>
        <v/>
      </c>
      <c r="C688" s="18" t="str">
        <f>IF($A688="","",IFERROR(INDEX(Items!$B$5:$B$597,MATCH($A688,Items!$A$5:$A$597,0)),""))</f>
        <v/>
      </c>
      <c r="D688" s="23" t="str">
        <f>IF($A688="","",N(Receipts!$G691))</f>
        <v/>
      </c>
      <c r="E688" s="20" t="str">
        <f>IF($A688="","",IFERROR(INDEX(Items!$D$5:$D$597,MATCH($A688,Items!$A$5:$A$597,0)),0))</f>
        <v/>
      </c>
      <c r="F688" s="21" t="str">
        <f t="shared" si="50"/>
        <v/>
      </c>
      <c r="G688" s="25" t="str">
        <f>IF(Receipts!$I691="","",Receipts!$I691)</f>
        <v/>
      </c>
      <c r="H688" s="25" t="str">
        <f>IF(Receipts!$H691="","",Receipts!$H691)</f>
        <v/>
      </c>
      <c r="I688" s="26" t="str">
        <f t="shared" ca="1" si="51"/>
        <v/>
      </c>
      <c r="J688" s="26" t="str">
        <f>IF($A688="","",COUNTIFS(tblReceipts[Item Name],$A688,tblReceipts[Expiry Date],"&lt;"&amp;$H688)+COUNTIFS(tblReceipts[Item Name],$A688,tblReceipts[Expiry Date],$H688,tblReceipts[Lot Number],"&lt;="&amp;Receipts!$C691))</f>
        <v/>
      </c>
      <c r="K688" s="26" t="str">
        <f>IF($A688="","",SUMIFS(tblReceipts[Qty Received],tblReceipts[Item Name],$A688,tblReceipts[Expiry Date],"&lt;"&amp;$H688)+SUMIFS(tblReceipts[Qty Received],tblReceipts[Item Name],$A688,tblReceipts[Expiry Date],$H688,tblReceipts[Lot Number],"&lt;"&amp;Receipts!$C691))</f>
        <v/>
      </c>
      <c r="L688" s="26" t="str">
        <f>IF($A688="","",MIN($D688,MAX(0,SUMIFS(tblIssues[Qty Issued],tblIssues[Item Name],$A688)-$K688)))</f>
        <v/>
      </c>
      <c r="M688" s="26" t="str">
        <f>IF($A688="","",SUMIFS(tblIssues[Qty Issued],tblIssues[Lot Number],$B688))</f>
        <v/>
      </c>
      <c r="N688" s="26" t="str">
        <f t="shared" si="52"/>
        <v/>
      </c>
      <c r="O688" s="26" t="str">
        <f t="shared" si="53"/>
        <v/>
      </c>
      <c r="P688" s="21" t="str">
        <f t="shared" si="54"/>
        <v/>
      </c>
      <c r="Q688" s="52" t="str">
        <f>IF($A688="","",IF($O688&lt;=0,"Depleted",IF($I688&lt;0,"EXPIRED",IF($I688&lt;=Settings!$C$6,"CRITICAL",IF($I688&lt;=Settings!$C$5,"Expiring","In date")))))</f>
        <v/>
      </c>
    </row>
    <row r="689" spans="1:17" x14ac:dyDescent="0.35">
      <c r="A689" s="90" t="str">
        <f>IF(Receipts!$D692="","",Receipts!$D692)</f>
        <v/>
      </c>
      <c r="B689" s="18" t="str">
        <f>IF(Receipts!$C692="","",Receipts!$C692)</f>
        <v/>
      </c>
      <c r="C689" s="18" t="str">
        <f>IF($A689="","",IFERROR(INDEX(Items!$B$5:$B$597,MATCH($A689,Items!$A$5:$A$597,0)),""))</f>
        <v/>
      </c>
      <c r="D689" s="23" t="str">
        <f>IF($A689="","",N(Receipts!$G692))</f>
        <v/>
      </c>
      <c r="E689" s="20" t="str">
        <f>IF($A689="","",IFERROR(INDEX(Items!$D$5:$D$597,MATCH($A689,Items!$A$5:$A$597,0)),0))</f>
        <v/>
      </c>
      <c r="F689" s="21" t="str">
        <f t="shared" si="50"/>
        <v/>
      </c>
      <c r="G689" s="25" t="str">
        <f>IF(Receipts!$I692="","",Receipts!$I692)</f>
        <v/>
      </c>
      <c r="H689" s="25" t="str">
        <f>IF(Receipts!$H692="","",Receipts!$H692)</f>
        <v/>
      </c>
      <c r="I689" s="26" t="str">
        <f t="shared" ca="1" si="51"/>
        <v/>
      </c>
      <c r="J689" s="26" t="str">
        <f>IF($A689="","",COUNTIFS(tblReceipts[Item Name],$A689,tblReceipts[Expiry Date],"&lt;"&amp;$H689)+COUNTIFS(tblReceipts[Item Name],$A689,tblReceipts[Expiry Date],$H689,tblReceipts[Lot Number],"&lt;="&amp;Receipts!$C692))</f>
        <v/>
      </c>
      <c r="K689" s="26" t="str">
        <f>IF($A689="","",SUMIFS(tblReceipts[Qty Received],tblReceipts[Item Name],$A689,tblReceipts[Expiry Date],"&lt;"&amp;$H689)+SUMIFS(tblReceipts[Qty Received],tblReceipts[Item Name],$A689,tblReceipts[Expiry Date],$H689,tblReceipts[Lot Number],"&lt;"&amp;Receipts!$C692))</f>
        <v/>
      </c>
      <c r="L689" s="26" t="str">
        <f>IF($A689="","",MIN($D689,MAX(0,SUMIFS(tblIssues[Qty Issued],tblIssues[Item Name],$A689)-$K689)))</f>
        <v/>
      </c>
      <c r="M689" s="26" t="str">
        <f>IF($A689="","",SUMIFS(tblIssues[Qty Issued],tblIssues[Lot Number],$B689))</f>
        <v/>
      </c>
      <c r="N689" s="26" t="str">
        <f t="shared" si="52"/>
        <v/>
      </c>
      <c r="O689" s="26" t="str">
        <f t="shared" si="53"/>
        <v/>
      </c>
      <c r="P689" s="21" t="str">
        <f t="shared" si="54"/>
        <v/>
      </c>
      <c r="Q689" s="52" t="str">
        <f>IF($A689="","",IF($O689&lt;=0,"Depleted",IF($I689&lt;0,"EXPIRED",IF($I689&lt;=Settings!$C$6,"CRITICAL",IF($I689&lt;=Settings!$C$5,"Expiring","In date")))))</f>
        <v/>
      </c>
    </row>
    <row r="690" spans="1:17" x14ac:dyDescent="0.35">
      <c r="A690" s="90" t="str">
        <f>IF(Receipts!$D693="","",Receipts!$D693)</f>
        <v/>
      </c>
      <c r="B690" s="18" t="str">
        <f>IF(Receipts!$C693="","",Receipts!$C693)</f>
        <v/>
      </c>
      <c r="C690" s="18" t="str">
        <f>IF($A690="","",IFERROR(INDEX(Items!$B$5:$B$597,MATCH($A690,Items!$A$5:$A$597,0)),""))</f>
        <v/>
      </c>
      <c r="D690" s="23" t="str">
        <f>IF($A690="","",N(Receipts!$G693))</f>
        <v/>
      </c>
      <c r="E690" s="20" t="str">
        <f>IF($A690="","",IFERROR(INDEX(Items!$D$5:$D$597,MATCH($A690,Items!$A$5:$A$597,0)),0))</f>
        <v/>
      </c>
      <c r="F690" s="21" t="str">
        <f t="shared" si="50"/>
        <v/>
      </c>
      <c r="G690" s="25" t="str">
        <f>IF(Receipts!$I693="","",Receipts!$I693)</f>
        <v/>
      </c>
      <c r="H690" s="25" t="str">
        <f>IF(Receipts!$H693="","",Receipts!$H693)</f>
        <v/>
      </c>
      <c r="I690" s="26" t="str">
        <f t="shared" ca="1" si="51"/>
        <v/>
      </c>
      <c r="J690" s="26" t="str">
        <f>IF($A690="","",COUNTIFS(tblReceipts[Item Name],$A690,tblReceipts[Expiry Date],"&lt;"&amp;$H690)+COUNTIFS(tblReceipts[Item Name],$A690,tblReceipts[Expiry Date],$H690,tblReceipts[Lot Number],"&lt;="&amp;Receipts!$C693))</f>
        <v/>
      </c>
      <c r="K690" s="26" t="str">
        <f>IF($A690="","",SUMIFS(tblReceipts[Qty Received],tblReceipts[Item Name],$A690,tblReceipts[Expiry Date],"&lt;"&amp;$H690)+SUMIFS(tblReceipts[Qty Received],tblReceipts[Item Name],$A690,tblReceipts[Expiry Date],$H690,tblReceipts[Lot Number],"&lt;"&amp;Receipts!$C693))</f>
        <v/>
      </c>
      <c r="L690" s="26" t="str">
        <f>IF($A690="","",MIN($D690,MAX(0,SUMIFS(tblIssues[Qty Issued],tblIssues[Item Name],$A690)-$K690)))</f>
        <v/>
      </c>
      <c r="M690" s="26" t="str">
        <f>IF($A690="","",SUMIFS(tblIssues[Qty Issued],tblIssues[Lot Number],$B690))</f>
        <v/>
      </c>
      <c r="N690" s="26" t="str">
        <f t="shared" si="52"/>
        <v/>
      </c>
      <c r="O690" s="26" t="str">
        <f t="shared" si="53"/>
        <v/>
      </c>
      <c r="P690" s="21" t="str">
        <f t="shared" si="54"/>
        <v/>
      </c>
      <c r="Q690" s="52" t="str">
        <f>IF($A690="","",IF($O690&lt;=0,"Depleted",IF($I690&lt;0,"EXPIRED",IF($I690&lt;=Settings!$C$6,"CRITICAL",IF($I690&lt;=Settings!$C$5,"Expiring","In date")))))</f>
        <v/>
      </c>
    </row>
    <row r="691" spans="1:17" x14ac:dyDescent="0.35">
      <c r="A691" s="90" t="str">
        <f>IF(Receipts!$D694="","",Receipts!$D694)</f>
        <v/>
      </c>
      <c r="B691" s="18" t="str">
        <f>IF(Receipts!$C694="","",Receipts!$C694)</f>
        <v/>
      </c>
      <c r="C691" s="18" t="str">
        <f>IF($A691="","",IFERROR(INDEX(Items!$B$5:$B$597,MATCH($A691,Items!$A$5:$A$597,0)),""))</f>
        <v/>
      </c>
      <c r="D691" s="23" t="str">
        <f>IF($A691="","",N(Receipts!$G694))</f>
        <v/>
      </c>
      <c r="E691" s="20" t="str">
        <f>IF($A691="","",IFERROR(INDEX(Items!$D$5:$D$597,MATCH($A691,Items!$A$5:$A$597,0)),0))</f>
        <v/>
      </c>
      <c r="F691" s="21" t="str">
        <f t="shared" si="50"/>
        <v/>
      </c>
      <c r="G691" s="25" t="str">
        <f>IF(Receipts!$I694="","",Receipts!$I694)</f>
        <v/>
      </c>
      <c r="H691" s="25" t="str">
        <f>IF(Receipts!$H694="","",Receipts!$H694)</f>
        <v/>
      </c>
      <c r="I691" s="26" t="str">
        <f t="shared" ca="1" si="51"/>
        <v/>
      </c>
      <c r="J691" s="26" t="str">
        <f>IF($A691="","",COUNTIFS(tblReceipts[Item Name],$A691,tblReceipts[Expiry Date],"&lt;"&amp;$H691)+COUNTIFS(tblReceipts[Item Name],$A691,tblReceipts[Expiry Date],$H691,tblReceipts[Lot Number],"&lt;="&amp;Receipts!$C694))</f>
        <v/>
      </c>
      <c r="K691" s="26" t="str">
        <f>IF($A691="","",SUMIFS(tblReceipts[Qty Received],tblReceipts[Item Name],$A691,tblReceipts[Expiry Date],"&lt;"&amp;$H691)+SUMIFS(tblReceipts[Qty Received],tblReceipts[Item Name],$A691,tblReceipts[Expiry Date],$H691,tblReceipts[Lot Number],"&lt;"&amp;Receipts!$C694))</f>
        <v/>
      </c>
      <c r="L691" s="26" t="str">
        <f>IF($A691="","",MIN($D691,MAX(0,SUMIFS(tblIssues[Qty Issued],tblIssues[Item Name],$A691)-$K691)))</f>
        <v/>
      </c>
      <c r="M691" s="26" t="str">
        <f>IF($A691="","",SUMIFS(tblIssues[Qty Issued],tblIssues[Lot Number],$B691))</f>
        <v/>
      </c>
      <c r="N691" s="26" t="str">
        <f t="shared" si="52"/>
        <v/>
      </c>
      <c r="O691" s="26" t="str">
        <f t="shared" si="53"/>
        <v/>
      </c>
      <c r="P691" s="21" t="str">
        <f t="shared" si="54"/>
        <v/>
      </c>
      <c r="Q691" s="52" t="str">
        <f>IF($A691="","",IF($O691&lt;=0,"Depleted",IF($I691&lt;0,"EXPIRED",IF($I691&lt;=Settings!$C$6,"CRITICAL",IF($I691&lt;=Settings!$C$5,"Expiring","In date")))))</f>
        <v/>
      </c>
    </row>
    <row r="692" spans="1:17" x14ac:dyDescent="0.35">
      <c r="A692" s="90" t="str">
        <f>IF(Receipts!$D695="","",Receipts!$D695)</f>
        <v/>
      </c>
      <c r="B692" s="18" t="str">
        <f>IF(Receipts!$C695="","",Receipts!$C695)</f>
        <v/>
      </c>
      <c r="C692" s="18" t="str">
        <f>IF($A692="","",IFERROR(INDEX(Items!$B$5:$B$597,MATCH($A692,Items!$A$5:$A$597,0)),""))</f>
        <v/>
      </c>
      <c r="D692" s="23" t="str">
        <f>IF($A692="","",N(Receipts!$G695))</f>
        <v/>
      </c>
      <c r="E692" s="20" t="str">
        <f>IF($A692="","",IFERROR(INDEX(Items!$D$5:$D$597,MATCH($A692,Items!$A$5:$A$597,0)),0))</f>
        <v/>
      </c>
      <c r="F692" s="21" t="str">
        <f t="shared" si="50"/>
        <v/>
      </c>
      <c r="G692" s="25" t="str">
        <f>IF(Receipts!$I695="","",Receipts!$I695)</f>
        <v/>
      </c>
      <c r="H692" s="25" t="str">
        <f>IF(Receipts!$H695="","",Receipts!$H695)</f>
        <v/>
      </c>
      <c r="I692" s="26" t="str">
        <f t="shared" ca="1" si="51"/>
        <v/>
      </c>
      <c r="J692" s="26" t="str">
        <f>IF($A692="","",COUNTIFS(tblReceipts[Item Name],$A692,tblReceipts[Expiry Date],"&lt;"&amp;$H692)+COUNTIFS(tblReceipts[Item Name],$A692,tblReceipts[Expiry Date],$H692,tblReceipts[Lot Number],"&lt;="&amp;Receipts!$C695))</f>
        <v/>
      </c>
      <c r="K692" s="26" t="str">
        <f>IF($A692="","",SUMIFS(tblReceipts[Qty Received],tblReceipts[Item Name],$A692,tblReceipts[Expiry Date],"&lt;"&amp;$H692)+SUMIFS(tblReceipts[Qty Received],tblReceipts[Item Name],$A692,tblReceipts[Expiry Date],$H692,tblReceipts[Lot Number],"&lt;"&amp;Receipts!$C695))</f>
        <v/>
      </c>
      <c r="L692" s="26" t="str">
        <f>IF($A692="","",MIN($D692,MAX(0,SUMIFS(tblIssues[Qty Issued],tblIssues[Item Name],$A692)-$K692)))</f>
        <v/>
      </c>
      <c r="M692" s="26" t="str">
        <f>IF($A692="","",SUMIFS(tblIssues[Qty Issued],tblIssues[Lot Number],$B692))</f>
        <v/>
      </c>
      <c r="N692" s="26" t="str">
        <f t="shared" si="52"/>
        <v/>
      </c>
      <c r="O692" s="26" t="str">
        <f t="shared" si="53"/>
        <v/>
      </c>
      <c r="P692" s="21" t="str">
        <f t="shared" si="54"/>
        <v/>
      </c>
      <c r="Q692" s="52" t="str">
        <f>IF($A692="","",IF($O692&lt;=0,"Depleted",IF($I692&lt;0,"EXPIRED",IF($I692&lt;=Settings!$C$6,"CRITICAL",IF($I692&lt;=Settings!$C$5,"Expiring","In date")))))</f>
        <v/>
      </c>
    </row>
    <row r="693" spans="1:17" x14ac:dyDescent="0.35">
      <c r="A693" s="90" t="str">
        <f>IF(Receipts!$D696="","",Receipts!$D696)</f>
        <v/>
      </c>
      <c r="B693" s="18" t="str">
        <f>IF(Receipts!$C696="","",Receipts!$C696)</f>
        <v/>
      </c>
      <c r="C693" s="18" t="str">
        <f>IF($A693="","",IFERROR(INDEX(Items!$B$5:$B$597,MATCH($A693,Items!$A$5:$A$597,0)),""))</f>
        <v/>
      </c>
      <c r="D693" s="23" t="str">
        <f>IF($A693="","",N(Receipts!$G696))</f>
        <v/>
      </c>
      <c r="E693" s="20" t="str">
        <f>IF($A693="","",IFERROR(INDEX(Items!$D$5:$D$597,MATCH($A693,Items!$A$5:$A$597,0)),0))</f>
        <v/>
      </c>
      <c r="F693" s="21" t="str">
        <f t="shared" si="50"/>
        <v/>
      </c>
      <c r="G693" s="25" t="str">
        <f>IF(Receipts!$I696="","",Receipts!$I696)</f>
        <v/>
      </c>
      <c r="H693" s="25" t="str">
        <f>IF(Receipts!$H696="","",Receipts!$H696)</f>
        <v/>
      </c>
      <c r="I693" s="26" t="str">
        <f t="shared" ca="1" si="51"/>
        <v/>
      </c>
      <c r="J693" s="26" t="str">
        <f>IF($A693="","",COUNTIFS(tblReceipts[Item Name],$A693,tblReceipts[Expiry Date],"&lt;"&amp;$H693)+COUNTIFS(tblReceipts[Item Name],$A693,tblReceipts[Expiry Date],$H693,tblReceipts[Lot Number],"&lt;="&amp;Receipts!$C696))</f>
        <v/>
      </c>
      <c r="K693" s="26" t="str">
        <f>IF($A693="","",SUMIFS(tblReceipts[Qty Received],tblReceipts[Item Name],$A693,tblReceipts[Expiry Date],"&lt;"&amp;$H693)+SUMIFS(tblReceipts[Qty Received],tblReceipts[Item Name],$A693,tblReceipts[Expiry Date],$H693,tblReceipts[Lot Number],"&lt;"&amp;Receipts!$C696))</f>
        <v/>
      </c>
      <c r="L693" s="26" t="str">
        <f>IF($A693="","",MIN($D693,MAX(0,SUMIFS(tblIssues[Qty Issued],tblIssues[Item Name],$A693)-$K693)))</f>
        <v/>
      </c>
      <c r="M693" s="26" t="str">
        <f>IF($A693="","",SUMIFS(tblIssues[Qty Issued],tblIssues[Lot Number],$B693))</f>
        <v/>
      </c>
      <c r="N693" s="26" t="str">
        <f t="shared" si="52"/>
        <v/>
      </c>
      <c r="O693" s="26" t="str">
        <f t="shared" si="53"/>
        <v/>
      </c>
      <c r="P693" s="21" t="str">
        <f t="shared" si="54"/>
        <v/>
      </c>
      <c r="Q693" s="52" t="str">
        <f>IF($A693="","",IF($O693&lt;=0,"Depleted",IF($I693&lt;0,"EXPIRED",IF($I693&lt;=Settings!$C$6,"CRITICAL",IF($I693&lt;=Settings!$C$5,"Expiring","In date")))))</f>
        <v/>
      </c>
    </row>
    <row r="694" spans="1:17" x14ac:dyDescent="0.35">
      <c r="A694" s="90" t="str">
        <f>IF(Receipts!$D697="","",Receipts!$D697)</f>
        <v/>
      </c>
      <c r="B694" s="18" t="str">
        <f>IF(Receipts!$C697="","",Receipts!$C697)</f>
        <v/>
      </c>
      <c r="C694" s="18" t="str">
        <f>IF($A694="","",IFERROR(INDEX(Items!$B$5:$B$597,MATCH($A694,Items!$A$5:$A$597,0)),""))</f>
        <v/>
      </c>
      <c r="D694" s="23" t="str">
        <f>IF($A694="","",N(Receipts!$G697))</f>
        <v/>
      </c>
      <c r="E694" s="20" t="str">
        <f>IF($A694="","",IFERROR(INDEX(Items!$D$5:$D$597,MATCH($A694,Items!$A$5:$A$597,0)),0))</f>
        <v/>
      </c>
      <c r="F694" s="21" t="str">
        <f t="shared" si="50"/>
        <v/>
      </c>
      <c r="G694" s="25" t="str">
        <f>IF(Receipts!$I697="","",Receipts!$I697)</f>
        <v/>
      </c>
      <c r="H694" s="25" t="str">
        <f>IF(Receipts!$H697="","",Receipts!$H697)</f>
        <v/>
      </c>
      <c r="I694" s="26" t="str">
        <f t="shared" ca="1" si="51"/>
        <v/>
      </c>
      <c r="J694" s="26" t="str">
        <f>IF($A694="","",COUNTIFS(tblReceipts[Item Name],$A694,tblReceipts[Expiry Date],"&lt;"&amp;$H694)+COUNTIFS(tblReceipts[Item Name],$A694,tblReceipts[Expiry Date],$H694,tblReceipts[Lot Number],"&lt;="&amp;Receipts!$C697))</f>
        <v/>
      </c>
      <c r="K694" s="26" t="str">
        <f>IF($A694="","",SUMIFS(tblReceipts[Qty Received],tblReceipts[Item Name],$A694,tblReceipts[Expiry Date],"&lt;"&amp;$H694)+SUMIFS(tblReceipts[Qty Received],tblReceipts[Item Name],$A694,tblReceipts[Expiry Date],$H694,tblReceipts[Lot Number],"&lt;"&amp;Receipts!$C697))</f>
        <v/>
      </c>
      <c r="L694" s="26" t="str">
        <f>IF($A694="","",MIN($D694,MAX(0,SUMIFS(tblIssues[Qty Issued],tblIssues[Item Name],$A694)-$K694)))</f>
        <v/>
      </c>
      <c r="M694" s="26" t="str">
        <f>IF($A694="","",SUMIFS(tblIssues[Qty Issued],tblIssues[Lot Number],$B694))</f>
        <v/>
      </c>
      <c r="N694" s="26" t="str">
        <f t="shared" si="52"/>
        <v/>
      </c>
      <c r="O694" s="26" t="str">
        <f t="shared" si="53"/>
        <v/>
      </c>
      <c r="P694" s="21" t="str">
        <f t="shared" si="54"/>
        <v/>
      </c>
      <c r="Q694" s="52" t="str">
        <f>IF($A694="","",IF($O694&lt;=0,"Depleted",IF($I694&lt;0,"EXPIRED",IF($I694&lt;=Settings!$C$6,"CRITICAL",IF($I694&lt;=Settings!$C$5,"Expiring","In date")))))</f>
        <v/>
      </c>
    </row>
    <row r="695" spans="1:17" x14ac:dyDescent="0.35">
      <c r="A695" s="90" t="str">
        <f>IF(Receipts!$D698="","",Receipts!$D698)</f>
        <v/>
      </c>
      <c r="B695" s="18" t="str">
        <f>IF(Receipts!$C698="","",Receipts!$C698)</f>
        <v/>
      </c>
      <c r="C695" s="18" t="str">
        <f>IF($A695="","",IFERROR(INDEX(Items!$B$5:$B$597,MATCH($A695,Items!$A$5:$A$597,0)),""))</f>
        <v/>
      </c>
      <c r="D695" s="23" t="str">
        <f>IF($A695="","",N(Receipts!$G698))</f>
        <v/>
      </c>
      <c r="E695" s="20" t="str">
        <f>IF($A695="","",IFERROR(INDEX(Items!$D$5:$D$597,MATCH($A695,Items!$A$5:$A$597,0)),0))</f>
        <v/>
      </c>
      <c r="F695" s="21" t="str">
        <f t="shared" si="50"/>
        <v/>
      </c>
      <c r="G695" s="25" t="str">
        <f>IF(Receipts!$I698="","",Receipts!$I698)</f>
        <v/>
      </c>
      <c r="H695" s="25" t="str">
        <f>IF(Receipts!$H698="","",Receipts!$H698)</f>
        <v/>
      </c>
      <c r="I695" s="26" t="str">
        <f t="shared" ca="1" si="51"/>
        <v/>
      </c>
      <c r="J695" s="26" t="str">
        <f>IF($A695="","",COUNTIFS(tblReceipts[Item Name],$A695,tblReceipts[Expiry Date],"&lt;"&amp;$H695)+COUNTIFS(tblReceipts[Item Name],$A695,tblReceipts[Expiry Date],$H695,tblReceipts[Lot Number],"&lt;="&amp;Receipts!$C698))</f>
        <v/>
      </c>
      <c r="K695" s="26" t="str">
        <f>IF($A695="","",SUMIFS(tblReceipts[Qty Received],tblReceipts[Item Name],$A695,tblReceipts[Expiry Date],"&lt;"&amp;$H695)+SUMIFS(tblReceipts[Qty Received],tblReceipts[Item Name],$A695,tblReceipts[Expiry Date],$H695,tblReceipts[Lot Number],"&lt;"&amp;Receipts!$C698))</f>
        <v/>
      </c>
      <c r="L695" s="26" t="str">
        <f>IF($A695="","",MIN($D695,MAX(0,SUMIFS(tblIssues[Qty Issued],tblIssues[Item Name],$A695)-$K695)))</f>
        <v/>
      </c>
      <c r="M695" s="26" t="str">
        <f>IF($A695="","",SUMIFS(tblIssues[Qty Issued],tblIssues[Lot Number],$B695))</f>
        <v/>
      </c>
      <c r="N695" s="26" t="str">
        <f t="shared" si="52"/>
        <v/>
      </c>
      <c r="O695" s="26" t="str">
        <f t="shared" si="53"/>
        <v/>
      </c>
      <c r="P695" s="21" t="str">
        <f t="shared" si="54"/>
        <v/>
      </c>
      <c r="Q695" s="52" t="str">
        <f>IF($A695="","",IF($O695&lt;=0,"Depleted",IF($I695&lt;0,"EXPIRED",IF($I695&lt;=Settings!$C$6,"CRITICAL",IF($I695&lt;=Settings!$C$5,"Expiring","In date")))))</f>
        <v/>
      </c>
    </row>
    <row r="696" spans="1:17" x14ac:dyDescent="0.35">
      <c r="A696" s="90" t="str">
        <f>IF(Receipts!$D699="","",Receipts!$D699)</f>
        <v/>
      </c>
      <c r="B696" s="18" t="str">
        <f>IF(Receipts!$C699="","",Receipts!$C699)</f>
        <v/>
      </c>
      <c r="C696" s="18" t="str">
        <f>IF($A696="","",IFERROR(INDEX(Items!$B$5:$B$597,MATCH($A696,Items!$A$5:$A$597,0)),""))</f>
        <v/>
      </c>
      <c r="D696" s="23" t="str">
        <f>IF($A696="","",N(Receipts!$G699))</f>
        <v/>
      </c>
      <c r="E696" s="20" t="str">
        <f>IF($A696="","",IFERROR(INDEX(Items!$D$5:$D$597,MATCH($A696,Items!$A$5:$A$597,0)),0))</f>
        <v/>
      </c>
      <c r="F696" s="21" t="str">
        <f t="shared" si="50"/>
        <v/>
      </c>
      <c r="G696" s="25" t="str">
        <f>IF(Receipts!$I699="","",Receipts!$I699)</f>
        <v/>
      </c>
      <c r="H696" s="25" t="str">
        <f>IF(Receipts!$H699="","",Receipts!$H699)</f>
        <v/>
      </c>
      <c r="I696" s="26" t="str">
        <f t="shared" ca="1" si="51"/>
        <v/>
      </c>
      <c r="J696" s="26" t="str">
        <f>IF($A696="","",COUNTIFS(tblReceipts[Item Name],$A696,tblReceipts[Expiry Date],"&lt;"&amp;$H696)+COUNTIFS(tblReceipts[Item Name],$A696,tblReceipts[Expiry Date],$H696,tblReceipts[Lot Number],"&lt;="&amp;Receipts!$C699))</f>
        <v/>
      </c>
      <c r="K696" s="26" t="str">
        <f>IF($A696="","",SUMIFS(tblReceipts[Qty Received],tblReceipts[Item Name],$A696,tblReceipts[Expiry Date],"&lt;"&amp;$H696)+SUMIFS(tblReceipts[Qty Received],tblReceipts[Item Name],$A696,tblReceipts[Expiry Date],$H696,tblReceipts[Lot Number],"&lt;"&amp;Receipts!$C699))</f>
        <v/>
      </c>
      <c r="L696" s="26" t="str">
        <f>IF($A696="","",MIN($D696,MAX(0,SUMIFS(tblIssues[Qty Issued],tblIssues[Item Name],$A696)-$K696)))</f>
        <v/>
      </c>
      <c r="M696" s="26" t="str">
        <f>IF($A696="","",SUMIFS(tblIssues[Qty Issued],tblIssues[Lot Number],$B696))</f>
        <v/>
      </c>
      <c r="N696" s="26" t="str">
        <f t="shared" si="52"/>
        <v/>
      </c>
      <c r="O696" s="26" t="str">
        <f t="shared" si="53"/>
        <v/>
      </c>
      <c r="P696" s="21" t="str">
        <f t="shared" si="54"/>
        <v/>
      </c>
      <c r="Q696" s="52" t="str">
        <f>IF($A696="","",IF($O696&lt;=0,"Depleted",IF($I696&lt;0,"EXPIRED",IF($I696&lt;=Settings!$C$6,"CRITICAL",IF($I696&lt;=Settings!$C$5,"Expiring","In date")))))</f>
        <v/>
      </c>
    </row>
    <row r="697" spans="1:17" x14ac:dyDescent="0.35">
      <c r="A697" s="90" t="str">
        <f>IF(Receipts!$D700="","",Receipts!$D700)</f>
        <v/>
      </c>
      <c r="B697" s="18" t="str">
        <f>IF(Receipts!$C700="","",Receipts!$C700)</f>
        <v/>
      </c>
      <c r="C697" s="18" t="str">
        <f>IF($A697="","",IFERROR(INDEX(Items!$B$5:$B$597,MATCH($A697,Items!$A$5:$A$597,0)),""))</f>
        <v/>
      </c>
      <c r="D697" s="23" t="str">
        <f>IF($A697="","",N(Receipts!$G700))</f>
        <v/>
      </c>
      <c r="E697" s="20" t="str">
        <f>IF($A697="","",IFERROR(INDEX(Items!$D$5:$D$597,MATCH($A697,Items!$A$5:$A$597,0)),0))</f>
        <v/>
      </c>
      <c r="F697" s="21" t="str">
        <f t="shared" si="50"/>
        <v/>
      </c>
      <c r="G697" s="25" t="str">
        <f>IF(Receipts!$I700="","",Receipts!$I700)</f>
        <v/>
      </c>
      <c r="H697" s="25" t="str">
        <f>IF(Receipts!$H700="","",Receipts!$H700)</f>
        <v/>
      </c>
      <c r="I697" s="26" t="str">
        <f t="shared" ca="1" si="51"/>
        <v/>
      </c>
      <c r="J697" s="26" t="str">
        <f>IF($A697="","",COUNTIFS(tblReceipts[Item Name],$A697,tblReceipts[Expiry Date],"&lt;"&amp;$H697)+COUNTIFS(tblReceipts[Item Name],$A697,tblReceipts[Expiry Date],$H697,tblReceipts[Lot Number],"&lt;="&amp;Receipts!$C700))</f>
        <v/>
      </c>
      <c r="K697" s="26" t="str">
        <f>IF($A697="","",SUMIFS(tblReceipts[Qty Received],tblReceipts[Item Name],$A697,tblReceipts[Expiry Date],"&lt;"&amp;$H697)+SUMIFS(tblReceipts[Qty Received],tblReceipts[Item Name],$A697,tblReceipts[Expiry Date],$H697,tblReceipts[Lot Number],"&lt;"&amp;Receipts!$C700))</f>
        <v/>
      </c>
      <c r="L697" s="26" t="str">
        <f>IF($A697="","",MIN($D697,MAX(0,SUMIFS(tblIssues[Qty Issued],tblIssues[Item Name],$A697)-$K697)))</f>
        <v/>
      </c>
      <c r="M697" s="26" t="str">
        <f>IF($A697="","",SUMIFS(tblIssues[Qty Issued],tblIssues[Lot Number],$B697))</f>
        <v/>
      </c>
      <c r="N697" s="26" t="str">
        <f t="shared" si="52"/>
        <v/>
      </c>
      <c r="O697" s="26" t="str">
        <f t="shared" si="53"/>
        <v/>
      </c>
      <c r="P697" s="21" t="str">
        <f t="shared" si="54"/>
        <v/>
      </c>
      <c r="Q697" s="52" t="str">
        <f>IF($A697="","",IF($O697&lt;=0,"Depleted",IF($I697&lt;0,"EXPIRED",IF($I697&lt;=Settings!$C$6,"CRITICAL",IF($I697&lt;=Settings!$C$5,"Expiring","In date")))))</f>
        <v/>
      </c>
    </row>
    <row r="698" spans="1:17" x14ac:dyDescent="0.35">
      <c r="A698" s="90" t="str">
        <f>IF(Receipts!$D701="","",Receipts!$D701)</f>
        <v/>
      </c>
      <c r="B698" s="18" t="str">
        <f>IF(Receipts!$C701="","",Receipts!$C701)</f>
        <v/>
      </c>
      <c r="C698" s="18" t="str">
        <f>IF($A698="","",IFERROR(INDEX(Items!$B$5:$B$597,MATCH($A698,Items!$A$5:$A$597,0)),""))</f>
        <v/>
      </c>
      <c r="D698" s="23" t="str">
        <f>IF($A698="","",N(Receipts!$G701))</f>
        <v/>
      </c>
      <c r="E698" s="20" t="str">
        <f>IF($A698="","",IFERROR(INDEX(Items!$D$5:$D$597,MATCH($A698,Items!$A$5:$A$597,0)),0))</f>
        <v/>
      </c>
      <c r="F698" s="21" t="str">
        <f t="shared" si="50"/>
        <v/>
      </c>
      <c r="G698" s="25" t="str">
        <f>IF(Receipts!$I701="","",Receipts!$I701)</f>
        <v/>
      </c>
      <c r="H698" s="25" t="str">
        <f>IF(Receipts!$H701="","",Receipts!$H701)</f>
        <v/>
      </c>
      <c r="I698" s="26" t="str">
        <f t="shared" ca="1" si="51"/>
        <v/>
      </c>
      <c r="J698" s="26" t="str">
        <f>IF($A698="","",COUNTIFS(tblReceipts[Item Name],$A698,tblReceipts[Expiry Date],"&lt;"&amp;$H698)+COUNTIFS(tblReceipts[Item Name],$A698,tblReceipts[Expiry Date],$H698,tblReceipts[Lot Number],"&lt;="&amp;Receipts!$C701))</f>
        <v/>
      </c>
      <c r="K698" s="26" t="str">
        <f>IF($A698="","",SUMIFS(tblReceipts[Qty Received],tblReceipts[Item Name],$A698,tblReceipts[Expiry Date],"&lt;"&amp;$H698)+SUMIFS(tblReceipts[Qty Received],tblReceipts[Item Name],$A698,tblReceipts[Expiry Date],$H698,tblReceipts[Lot Number],"&lt;"&amp;Receipts!$C701))</f>
        <v/>
      </c>
      <c r="L698" s="26" t="str">
        <f>IF($A698="","",MIN($D698,MAX(0,SUMIFS(tblIssues[Qty Issued],tblIssues[Item Name],$A698)-$K698)))</f>
        <v/>
      </c>
      <c r="M698" s="26" t="str">
        <f>IF($A698="","",SUMIFS(tblIssues[Qty Issued],tblIssues[Lot Number],$B698))</f>
        <v/>
      </c>
      <c r="N698" s="26" t="str">
        <f t="shared" si="52"/>
        <v/>
      </c>
      <c r="O698" s="26" t="str">
        <f t="shared" si="53"/>
        <v/>
      </c>
      <c r="P698" s="21" t="str">
        <f t="shared" si="54"/>
        <v/>
      </c>
      <c r="Q698" s="52" t="str">
        <f>IF($A698="","",IF($O698&lt;=0,"Depleted",IF($I698&lt;0,"EXPIRED",IF($I698&lt;=Settings!$C$6,"CRITICAL",IF($I698&lt;=Settings!$C$5,"Expiring","In date")))))</f>
        <v/>
      </c>
    </row>
    <row r="699" spans="1:17" x14ac:dyDescent="0.35">
      <c r="A699" s="90" t="str">
        <f>IF(Receipts!$D702="","",Receipts!$D702)</f>
        <v/>
      </c>
      <c r="B699" s="18" t="str">
        <f>IF(Receipts!$C702="","",Receipts!$C702)</f>
        <v/>
      </c>
      <c r="C699" s="18" t="str">
        <f>IF($A699="","",IFERROR(INDEX(Items!$B$5:$B$597,MATCH($A699,Items!$A$5:$A$597,0)),""))</f>
        <v/>
      </c>
      <c r="D699" s="23" t="str">
        <f>IF($A699="","",N(Receipts!$G702))</f>
        <v/>
      </c>
      <c r="E699" s="20" t="str">
        <f>IF($A699="","",IFERROR(INDEX(Items!$D$5:$D$597,MATCH($A699,Items!$A$5:$A$597,0)),0))</f>
        <v/>
      </c>
      <c r="F699" s="21" t="str">
        <f t="shared" si="50"/>
        <v/>
      </c>
      <c r="G699" s="25" t="str">
        <f>IF(Receipts!$I702="","",Receipts!$I702)</f>
        <v/>
      </c>
      <c r="H699" s="25" t="str">
        <f>IF(Receipts!$H702="","",Receipts!$H702)</f>
        <v/>
      </c>
      <c r="I699" s="26" t="str">
        <f t="shared" ca="1" si="51"/>
        <v/>
      </c>
      <c r="J699" s="26" t="str">
        <f>IF($A699="","",COUNTIFS(tblReceipts[Item Name],$A699,tblReceipts[Expiry Date],"&lt;"&amp;$H699)+COUNTIFS(tblReceipts[Item Name],$A699,tblReceipts[Expiry Date],$H699,tblReceipts[Lot Number],"&lt;="&amp;Receipts!$C702))</f>
        <v/>
      </c>
      <c r="K699" s="26" t="str">
        <f>IF($A699="","",SUMIFS(tblReceipts[Qty Received],tblReceipts[Item Name],$A699,tblReceipts[Expiry Date],"&lt;"&amp;$H699)+SUMIFS(tblReceipts[Qty Received],tblReceipts[Item Name],$A699,tblReceipts[Expiry Date],$H699,tblReceipts[Lot Number],"&lt;"&amp;Receipts!$C702))</f>
        <v/>
      </c>
      <c r="L699" s="26" t="str">
        <f>IF($A699="","",MIN($D699,MAX(0,SUMIFS(tblIssues[Qty Issued],tblIssues[Item Name],$A699)-$K699)))</f>
        <v/>
      </c>
      <c r="M699" s="26" t="str">
        <f>IF($A699="","",SUMIFS(tblIssues[Qty Issued],tblIssues[Lot Number],$B699))</f>
        <v/>
      </c>
      <c r="N699" s="26" t="str">
        <f t="shared" si="52"/>
        <v/>
      </c>
      <c r="O699" s="26" t="str">
        <f t="shared" si="53"/>
        <v/>
      </c>
      <c r="P699" s="21" t="str">
        <f t="shared" si="54"/>
        <v/>
      </c>
      <c r="Q699" s="52" t="str">
        <f>IF($A699="","",IF($O699&lt;=0,"Depleted",IF($I699&lt;0,"EXPIRED",IF($I699&lt;=Settings!$C$6,"CRITICAL",IF($I699&lt;=Settings!$C$5,"Expiring","In date")))))</f>
        <v/>
      </c>
    </row>
    <row r="700" spans="1:17" x14ac:dyDescent="0.35">
      <c r="A700" s="90" t="str">
        <f>IF(Receipts!$D703="","",Receipts!$D703)</f>
        <v/>
      </c>
      <c r="B700" s="18" t="str">
        <f>IF(Receipts!$C703="","",Receipts!$C703)</f>
        <v/>
      </c>
      <c r="C700" s="18" t="str">
        <f>IF($A700="","",IFERROR(INDEX(Items!$B$5:$B$597,MATCH($A700,Items!$A$5:$A$597,0)),""))</f>
        <v/>
      </c>
      <c r="D700" s="23" t="str">
        <f>IF($A700="","",N(Receipts!$G703))</f>
        <v/>
      </c>
      <c r="E700" s="20" t="str">
        <f>IF($A700="","",IFERROR(INDEX(Items!$D$5:$D$597,MATCH($A700,Items!$A$5:$A$597,0)),0))</f>
        <v/>
      </c>
      <c r="F700" s="21" t="str">
        <f t="shared" si="50"/>
        <v/>
      </c>
      <c r="G700" s="25" t="str">
        <f>IF(Receipts!$I703="","",Receipts!$I703)</f>
        <v/>
      </c>
      <c r="H700" s="25" t="str">
        <f>IF(Receipts!$H703="","",Receipts!$H703)</f>
        <v/>
      </c>
      <c r="I700" s="26" t="str">
        <f t="shared" ca="1" si="51"/>
        <v/>
      </c>
      <c r="J700" s="26" t="str">
        <f>IF($A700="","",COUNTIFS(tblReceipts[Item Name],$A700,tblReceipts[Expiry Date],"&lt;"&amp;$H700)+COUNTIFS(tblReceipts[Item Name],$A700,tblReceipts[Expiry Date],$H700,tblReceipts[Lot Number],"&lt;="&amp;Receipts!$C703))</f>
        <v/>
      </c>
      <c r="K700" s="26" t="str">
        <f>IF($A700="","",SUMIFS(tblReceipts[Qty Received],tblReceipts[Item Name],$A700,tblReceipts[Expiry Date],"&lt;"&amp;$H700)+SUMIFS(tblReceipts[Qty Received],tblReceipts[Item Name],$A700,tblReceipts[Expiry Date],$H700,tblReceipts[Lot Number],"&lt;"&amp;Receipts!$C703))</f>
        <v/>
      </c>
      <c r="L700" s="26" t="str">
        <f>IF($A700="","",MIN($D700,MAX(0,SUMIFS(tblIssues[Qty Issued],tblIssues[Item Name],$A700)-$K700)))</f>
        <v/>
      </c>
      <c r="M700" s="26" t="str">
        <f>IF($A700="","",SUMIFS(tblIssues[Qty Issued],tblIssues[Lot Number],$B700))</f>
        <v/>
      </c>
      <c r="N700" s="26" t="str">
        <f t="shared" si="52"/>
        <v/>
      </c>
      <c r="O700" s="26" t="str">
        <f t="shared" si="53"/>
        <v/>
      </c>
      <c r="P700" s="21" t="str">
        <f t="shared" si="54"/>
        <v/>
      </c>
      <c r="Q700" s="52" t="str">
        <f>IF($A700="","",IF($O700&lt;=0,"Depleted",IF($I700&lt;0,"EXPIRED",IF($I700&lt;=Settings!$C$6,"CRITICAL",IF($I700&lt;=Settings!$C$5,"Expiring","In date")))))</f>
        <v/>
      </c>
    </row>
    <row r="701" spans="1:17" x14ac:dyDescent="0.35">
      <c r="A701" s="90" t="str">
        <f>IF(Receipts!$D704="","",Receipts!$D704)</f>
        <v/>
      </c>
      <c r="B701" s="18" t="str">
        <f>IF(Receipts!$C704="","",Receipts!$C704)</f>
        <v/>
      </c>
      <c r="C701" s="18" t="str">
        <f>IF($A701="","",IFERROR(INDEX(Items!$B$5:$B$597,MATCH($A701,Items!$A$5:$A$597,0)),""))</f>
        <v/>
      </c>
      <c r="D701" s="23" t="str">
        <f>IF($A701="","",N(Receipts!$G704))</f>
        <v/>
      </c>
      <c r="E701" s="20" t="str">
        <f>IF($A701="","",IFERROR(INDEX(Items!$D$5:$D$597,MATCH($A701,Items!$A$5:$A$597,0)),0))</f>
        <v/>
      </c>
      <c r="F701" s="21" t="str">
        <f t="shared" si="50"/>
        <v/>
      </c>
      <c r="G701" s="25" t="str">
        <f>IF(Receipts!$I704="","",Receipts!$I704)</f>
        <v/>
      </c>
      <c r="H701" s="25" t="str">
        <f>IF(Receipts!$H704="","",Receipts!$H704)</f>
        <v/>
      </c>
      <c r="I701" s="26" t="str">
        <f t="shared" ca="1" si="51"/>
        <v/>
      </c>
      <c r="J701" s="26" t="str">
        <f>IF($A701="","",COUNTIFS(tblReceipts[Item Name],$A701,tblReceipts[Expiry Date],"&lt;"&amp;$H701)+COUNTIFS(tblReceipts[Item Name],$A701,tblReceipts[Expiry Date],$H701,tblReceipts[Lot Number],"&lt;="&amp;Receipts!$C704))</f>
        <v/>
      </c>
      <c r="K701" s="26" t="str">
        <f>IF($A701="","",SUMIFS(tblReceipts[Qty Received],tblReceipts[Item Name],$A701,tblReceipts[Expiry Date],"&lt;"&amp;$H701)+SUMIFS(tblReceipts[Qty Received],tblReceipts[Item Name],$A701,tblReceipts[Expiry Date],$H701,tblReceipts[Lot Number],"&lt;"&amp;Receipts!$C704))</f>
        <v/>
      </c>
      <c r="L701" s="26" t="str">
        <f>IF($A701="","",MIN($D701,MAX(0,SUMIFS(tblIssues[Qty Issued],tblIssues[Item Name],$A701)-$K701)))</f>
        <v/>
      </c>
      <c r="M701" s="26" t="str">
        <f>IF($A701="","",SUMIFS(tblIssues[Qty Issued],tblIssues[Lot Number],$B701))</f>
        <v/>
      </c>
      <c r="N701" s="26" t="str">
        <f t="shared" si="52"/>
        <v/>
      </c>
      <c r="O701" s="26" t="str">
        <f t="shared" si="53"/>
        <v/>
      </c>
      <c r="P701" s="21" t="str">
        <f t="shared" si="54"/>
        <v/>
      </c>
      <c r="Q701" s="52" t="str">
        <f>IF($A701="","",IF($O701&lt;=0,"Depleted",IF($I701&lt;0,"EXPIRED",IF($I701&lt;=Settings!$C$6,"CRITICAL",IF($I701&lt;=Settings!$C$5,"Expiring","In date")))))</f>
        <v/>
      </c>
    </row>
    <row r="702" spans="1:17" x14ac:dyDescent="0.35">
      <c r="A702" s="90" t="str">
        <f>IF(Receipts!$D705="","",Receipts!$D705)</f>
        <v/>
      </c>
      <c r="B702" s="18" t="str">
        <f>IF(Receipts!$C705="","",Receipts!$C705)</f>
        <v/>
      </c>
      <c r="C702" s="18" t="str">
        <f>IF($A702="","",IFERROR(INDEX(Items!$B$5:$B$597,MATCH($A702,Items!$A$5:$A$597,0)),""))</f>
        <v/>
      </c>
      <c r="D702" s="23" t="str">
        <f>IF($A702="","",N(Receipts!$G705))</f>
        <v/>
      </c>
      <c r="E702" s="20" t="str">
        <f>IF($A702="","",IFERROR(INDEX(Items!$D$5:$D$597,MATCH($A702,Items!$A$5:$A$597,0)),0))</f>
        <v/>
      </c>
      <c r="F702" s="21" t="str">
        <f t="shared" si="50"/>
        <v/>
      </c>
      <c r="G702" s="25" t="str">
        <f>IF(Receipts!$I705="","",Receipts!$I705)</f>
        <v/>
      </c>
      <c r="H702" s="25" t="str">
        <f>IF(Receipts!$H705="","",Receipts!$H705)</f>
        <v/>
      </c>
      <c r="I702" s="26" t="str">
        <f t="shared" ca="1" si="51"/>
        <v/>
      </c>
      <c r="J702" s="26" t="str">
        <f>IF($A702="","",COUNTIFS(tblReceipts[Item Name],$A702,tblReceipts[Expiry Date],"&lt;"&amp;$H702)+COUNTIFS(tblReceipts[Item Name],$A702,tblReceipts[Expiry Date],$H702,tblReceipts[Lot Number],"&lt;="&amp;Receipts!$C705))</f>
        <v/>
      </c>
      <c r="K702" s="26" t="str">
        <f>IF($A702="","",SUMIFS(tblReceipts[Qty Received],tblReceipts[Item Name],$A702,tblReceipts[Expiry Date],"&lt;"&amp;$H702)+SUMIFS(tblReceipts[Qty Received],tblReceipts[Item Name],$A702,tblReceipts[Expiry Date],$H702,tblReceipts[Lot Number],"&lt;"&amp;Receipts!$C705))</f>
        <v/>
      </c>
      <c r="L702" s="26" t="str">
        <f>IF($A702="","",MIN($D702,MAX(0,SUMIFS(tblIssues[Qty Issued],tblIssues[Item Name],$A702)-$K702)))</f>
        <v/>
      </c>
      <c r="M702" s="26" t="str">
        <f>IF($A702="","",SUMIFS(tblIssues[Qty Issued],tblIssues[Lot Number],$B702))</f>
        <v/>
      </c>
      <c r="N702" s="26" t="str">
        <f t="shared" si="52"/>
        <v/>
      </c>
      <c r="O702" s="26" t="str">
        <f t="shared" si="53"/>
        <v/>
      </c>
      <c r="P702" s="21" t="str">
        <f t="shared" si="54"/>
        <v/>
      </c>
      <c r="Q702" s="52" t="str">
        <f>IF($A702="","",IF($O702&lt;=0,"Depleted",IF($I702&lt;0,"EXPIRED",IF($I702&lt;=Settings!$C$6,"CRITICAL",IF($I702&lt;=Settings!$C$5,"Expiring","In date")))))</f>
        <v/>
      </c>
    </row>
    <row r="703" spans="1:17" x14ac:dyDescent="0.35">
      <c r="A703" s="90" t="str">
        <f>IF(Receipts!$D706="","",Receipts!$D706)</f>
        <v/>
      </c>
      <c r="B703" s="18" t="str">
        <f>IF(Receipts!$C706="","",Receipts!$C706)</f>
        <v/>
      </c>
      <c r="C703" s="18" t="str">
        <f>IF($A703="","",IFERROR(INDEX(Items!$B$5:$B$597,MATCH($A703,Items!$A$5:$A$597,0)),""))</f>
        <v/>
      </c>
      <c r="D703" s="23" t="str">
        <f>IF($A703="","",N(Receipts!$G706))</f>
        <v/>
      </c>
      <c r="E703" s="20" t="str">
        <f>IF($A703="","",IFERROR(INDEX(Items!$D$5:$D$597,MATCH($A703,Items!$A$5:$A$597,0)),0))</f>
        <v/>
      </c>
      <c r="F703" s="21" t="str">
        <f t="shared" si="50"/>
        <v/>
      </c>
      <c r="G703" s="25" t="str">
        <f>IF(Receipts!$I706="","",Receipts!$I706)</f>
        <v/>
      </c>
      <c r="H703" s="25" t="str">
        <f>IF(Receipts!$H706="","",Receipts!$H706)</f>
        <v/>
      </c>
      <c r="I703" s="26" t="str">
        <f t="shared" ca="1" si="51"/>
        <v/>
      </c>
      <c r="J703" s="26" t="str">
        <f>IF($A703="","",COUNTIFS(tblReceipts[Item Name],$A703,tblReceipts[Expiry Date],"&lt;"&amp;$H703)+COUNTIFS(tblReceipts[Item Name],$A703,tblReceipts[Expiry Date],$H703,tblReceipts[Lot Number],"&lt;="&amp;Receipts!$C706))</f>
        <v/>
      </c>
      <c r="K703" s="26" t="str">
        <f>IF($A703="","",SUMIFS(tblReceipts[Qty Received],tblReceipts[Item Name],$A703,tblReceipts[Expiry Date],"&lt;"&amp;$H703)+SUMIFS(tblReceipts[Qty Received],tblReceipts[Item Name],$A703,tblReceipts[Expiry Date],$H703,tblReceipts[Lot Number],"&lt;"&amp;Receipts!$C706))</f>
        <v/>
      </c>
      <c r="L703" s="26" t="str">
        <f>IF($A703="","",MIN($D703,MAX(0,SUMIFS(tblIssues[Qty Issued],tblIssues[Item Name],$A703)-$K703)))</f>
        <v/>
      </c>
      <c r="M703" s="26" t="str">
        <f>IF($A703="","",SUMIFS(tblIssues[Qty Issued],tblIssues[Lot Number],$B703))</f>
        <v/>
      </c>
      <c r="N703" s="26" t="str">
        <f t="shared" si="52"/>
        <v/>
      </c>
      <c r="O703" s="26" t="str">
        <f t="shared" si="53"/>
        <v/>
      </c>
      <c r="P703" s="21" t="str">
        <f t="shared" si="54"/>
        <v/>
      </c>
      <c r="Q703" s="52" t="str">
        <f>IF($A703="","",IF($O703&lt;=0,"Depleted",IF($I703&lt;0,"EXPIRED",IF($I703&lt;=Settings!$C$6,"CRITICAL",IF($I703&lt;=Settings!$C$5,"Expiring","In date")))))</f>
        <v/>
      </c>
    </row>
    <row r="704" spans="1:17" x14ac:dyDescent="0.35">
      <c r="A704" s="90" t="str">
        <f>IF(Receipts!$D707="","",Receipts!$D707)</f>
        <v/>
      </c>
      <c r="B704" s="18" t="str">
        <f>IF(Receipts!$C707="","",Receipts!$C707)</f>
        <v/>
      </c>
      <c r="C704" s="18" t="str">
        <f>IF($A704="","",IFERROR(INDEX(Items!$B$5:$B$597,MATCH($A704,Items!$A$5:$A$597,0)),""))</f>
        <v/>
      </c>
      <c r="D704" s="23" t="str">
        <f>IF($A704="","",N(Receipts!$G707))</f>
        <v/>
      </c>
      <c r="E704" s="20" t="str">
        <f>IF($A704="","",IFERROR(INDEX(Items!$D$5:$D$597,MATCH($A704,Items!$A$5:$A$597,0)),0))</f>
        <v/>
      </c>
      <c r="F704" s="21" t="str">
        <f t="shared" si="50"/>
        <v/>
      </c>
      <c r="G704" s="25" t="str">
        <f>IF(Receipts!$I707="","",Receipts!$I707)</f>
        <v/>
      </c>
      <c r="H704" s="25" t="str">
        <f>IF(Receipts!$H707="","",Receipts!$H707)</f>
        <v/>
      </c>
      <c r="I704" s="26" t="str">
        <f t="shared" ca="1" si="51"/>
        <v/>
      </c>
      <c r="J704" s="26" t="str">
        <f>IF($A704="","",COUNTIFS(tblReceipts[Item Name],$A704,tblReceipts[Expiry Date],"&lt;"&amp;$H704)+COUNTIFS(tblReceipts[Item Name],$A704,tblReceipts[Expiry Date],$H704,tblReceipts[Lot Number],"&lt;="&amp;Receipts!$C707))</f>
        <v/>
      </c>
      <c r="K704" s="26" t="str">
        <f>IF($A704="","",SUMIFS(tblReceipts[Qty Received],tblReceipts[Item Name],$A704,tblReceipts[Expiry Date],"&lt;"&amp;$H704)+SUMIFS(tblReceipts[Qty Received],tblReceipts[Item Name],$A704,tblReceipts[Expiry Date],$H704,tblReceipts[Lot Number],"&lt;"&amp;Receipts!$C707))</f>
        <v/>
      </c>
      <c r="L704" s="26" t="str">
        <f>IF($A704="","",MIN($D704,MAX(0,SUMIFS(tblIssues[Qty Issued],tblIssues[Item Name],$A704)-$K704)))</f>
        <v/>
      </c>
      <c r="M704" s="26" t="str">
        <f>IF($A704="","",SUMIFS(tblIssues[Qty Issued],tblIssues[Lot Number],$B704))</f>
        <v/>
      </c>
      <c r="N704" s="26" t="str">
        <f t="shared" si="52"/>
        <v/>
      </c>
      <c r="O704" s="26" t="str">
        <f t="shared" si="53"/>
        <v/>
      </c>
      <c r="P704" s="21" t="str">
        <f t="shared" si="54"/>
        <v/>
      </c>
      <c r="Q704" s="52" t="str">
        <f>IF($A704="","",IF($O704&lt;=0,"Depleted",IF($I704&lt;0,"EXPIRED",IF($I704&lt;=Settings!$C$6,"CRITICAL",IF($I704&lt;=Settings!$C$5,"Expiring","In date")))))</f>
        <v/>
      </c>
    </row>
    <row r="705" spans="1:17" x14ac:dyDescent="0.35">
      <c r="A705" s="90" t="str">
        <f>IF(Receipts!$D708="","",Receipts!$D708)</f>
        <v/>
      </c>
      <c r="B705" s="18" t="str">
        <f>IF(Receipts!$C708="","",Receipts!$C708)</f>
        <v/>
      </c>
      <c r="C705" s="18" t="str">
        <f>IF($A705="","",IFERROR(INDEX(Items!$B$5:$B$597,MATCH($A705,Items!$A$5:$A$597,0)),""))</f>
        <v/>
      </c>
      <c r="D705" s="23" t="str">
        <f>IF($A705="","",N(Receipts!$G708))</f>
        <v/>
      </c>
      <c r="E705" s="20" t="str">
        <f>IF($A705="","",IFERROR(INDEX(Items!$D$5:$D$597,MATCH($A705,Items!$A$5:$A$597,0)),0))</f>
        <v/>
      </c>
      <c r="F705" s="21" t="str">
        <f t="shared" si="50"/>
        <v/>
      </c>
      <c r="G705" s="25" t="str">
        <f>IF(Receipts!$I708="","",Receipts!$I708)</f>
        <v/>
      </c>
      <c r="H705" s="25" t="str">
        <f>IF(Receipts!$H708="","",Receipts!$H708)</f>
        <v/>
      </c>
      <c r="I705" s="26" t="str">
        <f t="shared" ca="1" si="51"/>
        <v/>
      </c>
      <c r="J705" s="26" t="str">
        <f>IF($A705="","",COUNTIFS(tblReceipts[Item Name],$A705,tblReceipts[Expiry Date],"&lt;"&amp;$H705)+COUNTIFS(tblReceipts[Item Name],$A705,tblReceipts[Expiry Date],$H705,tblReceipts[Lot Number],"&lt;="&amp;Receipts!$C708))</f>
        <v/>
      </c>
      <c r="K705" s="26" t="str">
        <f>IF($A705="","",SUMIFS(tblReceipts[Qty Received],tblReceipts[Item Name],$A705,tblReceipts[Expiry Date],"&lt;"&amp;$H705)+SUMIFS(tblReceipts[Qty Received],tblReceipts[Item Name],$A705,tblReceipts[Expiry Date],$H705,tblReceipts[Lot Number],"&lt;"&amp;Receipts!$C708))</f>
        <v/>
      </c>
      <c r="L705" s="26" t="str">
        <f>IF($A705="","",MIN($D705,MAX(0,SUMIFS(tblIssues[Qty Issued],tblIssues[Item Name],$A705)-$K705)))</f>
        <v/>
      </c>
      <c r="M705" s="26" t="str">
        <f>IF($A705="","",SUMIFS(tblIssues[Qty Issued],tblIssues[Lot Number],$B705))</f>
        <v/>
      </c>
      <c r="N705" s="26" t="str">
        <f t="shared" si="52"/>
        <v/>
      </c>
      <c r="O705" s="26" t="str">
        <f t="shared" si="53"/>
        <v/>
      </c>
      <c r="P705" s="21" t="str">
        <f t="shared" si="54"/>
        <v/>
      </c>
      <c r="Q705" s="52" t="str">
        <f>IF($A705="","",IF($O705&lt;=0,"Depleted",IF($I705&lt;0,"EXPIRED",IF($I705&lt;=Settings!$C$6,"CRITICAL",IF($I705&lt;=Settings!$C$5,"Expiring","In date")))))</f>
        <v/>
      </c>
    </row>
    <row r="706" spans="1:17" x14ac:dyDescent="0.35">
      <c r="A706" s="90" t="str">
        <f>IF(Receipts!$D709="","",Receipts!$D709)</f>
        <v/>
      </c>
      <c r="B706" s="18" t="str">
        <f>IF(Receipts!$C709="","",Receipts!$C709)</f>
        <v/>
      </c>
      <c r="C706" s="18" t="str">
        <f>IF($A706="","",IFERROR(INDEX(Items!$B$5:$B$597,MATCH($A706,Items!$A$5:$A$597,0)),""))</f>
        <v/>
      </c>
      <c r="D706" s="23" t="str">
        <f>IF($A706="","",N(Receipts!$G709))</f>
        <v/>
      </c>
      <c r="E706" s="20" t="str">
        <f>IF($A706="","",IFERROR(INDEX(Items!$D$5:$D$597,MATCH($A706,Items!$A$5:$A$597,0)),0))</f>
        <v/>
      </c>
      <c r="F706" s="21" t="str">
        <f t="shared" si="50"/>
        <v/>
      </c>
      <c r="G706" s="25" t="str">
        <f>IF(Receipts!$I709="","",Receipts!$I709)</f>
        <v/>
      </c>
      <c r="H706" s="25" t="str">
        <f>IF(Receipts!$H709="","",Receipts!$H709)</f>
        <v/>
      </c>
      <c r="I706" s="26" t="str">
        <f t="shared" ca="1" si="51"/>
        <v/>
      </c>
      <c r="J706" s="26" t="str">
        <f>IF($A706="","",COUNTIFS(tblReceipts[Item Name],$A706,tblReceipts[Expiry Date],"&lt;"&amp;$H706)+COUNTIFS(tblReceipts[Item Name],$A706,tblReceipts[Expiry Date],$H706,tblReceipts[Lot Number],"&lt;="&amp;Receipts!$C709))</f>
        <v/>
      </c>
      <c r="K706" s="26" t="str">
        <f>IF($A706="","",SUMIFS(tblReceipts[Qty Received],tblReceipts[Item Name],$A706,tblReceipts[Expiry Date],"&lt;"&amp;$H706)+SUMIFS(tblReceipts[Qty Received],tblReceipts[Item Name],$A706,tblReceipts[Expiry Date],$H706,tblReceipts[Lot Number],"&lt;"&amp;Receipts!$C709))</f>
        <v/>
      </c>
      <c r="L706" s="26" t="str">
        <f>IF($A706="","",MIN($D706,MAX(0,SUMIFS(tblIssues[Qty Issued],tblIssues[Item Name],$A706)-$K706)))</f>
        <v/>
      </c>
      <c r="M706" s="26" t="str">
        <f>IF($A706="","",SUMIFS(tblIssues[Qty Issued],tblIssues[Lot Number],$B706))</f>
        <v/>
      </c>
      <c r="N706" s="26" t="str">
        <f t="shared" si="52"/>
        <v/>
      </c>
      <c r="O706" s="26" t="str">
        <f t="shared" si="53"/>
        <v/>
      </c>
      <c r="P706" s="21" t="str">
        <f t="shared" si="54"/>
        <v/>
      </c>
      <c r="Q706" s="52" t="str">
        <f>IF($A706="","",IF($O706&lt;=0,"Depleted",IF($I706&lt;0,"EXPIRED",IF($I706&lt;=Settings!$C$6,"CRITICAL",IF($I706&lt;=Settings!$C$5,"Expiring","In date")))))</f>
        <v/>
      </c>
    </row>
    <row r="707" spans="1:17" x14ac:dyDescent="0.35">
      <c r="A707" s="90" t="str">
        <f>IF(Receipts!$D710="","",Receipts!$D710)</f>
        <v/>
      </c>
      <c r="B707" s="18" t="str">
        <f>IF(Receipts!$C710="","",Receipts!$C710)</f>
        <v/>
      </c>
      <c r="C707" s="18" t="str">
        <f>IF($A707="","",IFERROR(INDEX(Items!$B$5:$B$597,MATCH($A707,Items!$A$5:$A$597,0)),""))</f>
        <v/>
      </c>
      <c r="D707" s="23" t="str">
        <f>IF($A707="","",N(Receipts!$G710))</f>
        <v/>
      </c>
      <c r="E707" s="20" t="str">
        <f>IF($A707="","",IFERROR(INDEX(Items!$D$5:$D$597,MATCH($A707,Items!$A$5:$A$597,0)),0))</f>
        <v/>
      </c>
      <c r="F707" s="21" t="str">
        <f t="shared" si="50"/>
        <v/>
      </c>
      <c r="G707" s="25" t="str">
        <f>IF(Receipts!$I710="","",Receipts!$I710)</f>
        <v/>
      </c>
      <c r="H707" s="25" t="str">
        <f>IF(Receipts!$H710="","",Receipts!$H710)</f>
        <v/>
      </c>
      <c r="I707" s="26" t="str">
        <f t="shared" ca="1" si="51"/>
        <v/>
      </c>
      <c r="J707" s="26" t="str">
        <f>IF($A707="","",COUNTIFS(tblReceipts[Item Name],$A707,tblReceipts[Expiry Date],"&lt;"&amp;$H707)+COUNTIFS(tblReceipts[Item Name],$A707,tblReceipts[Expiry Date],$H707,tblReceipts[Lot Number],"&lt;="&amp;Receipts!$C710))</f>
        <v/>
      </c>
      <c r="K707" s="26" t="str">
        <f>IF($A707="","",SUMIFS(tblReceipts[Qty Received],tblReceipts[Item Name],$A707,tblReceipts[Expiry Date],"&lt;"&amp;$H707)+SUMIFS(tblReceipts[Qty Received],tblReceipts[Item Name],$A707,tblReceipts[Expiry Date],$H707,tblReceipts[Lot Number],"&lt;"&amp;Receipts!$C710))</f>
        <v/>
      </c>
      <c r="L707" s="26" t="str">
        <f>IF($A707="","",MIN($D707,MAX(0,SUMIFS(tblIssues[Qty Issued],tblIssues[Item Name],$A707)-$K707)))</f>
        <v/>
      </c>
      <c r="M707" s="26" t="str">
        <f>IF($A707="","",SUMIFS(tblIssues[Qty Issued],tblIssues[Lot Number],$B707))</f>
        <v/>
      </c>
      <c r="N707" s="26" t="str">
        <f t="shared" si="52"/>
        <v/>
      </c>
      <c r="O707" s="26" t="str">
        <f t="shared" si="53"/>
        <v/>
      </c>
      <c r="P707" s="21" t="str">
        <f t="shared" si="54"/>
        <v/>
      </c>
      <c r="Q707" s="52" t="str">
        <f>IF($A707="","",IF($O707&lt;=0,"Depleted",IF($I707&lt;0,"EXPIRED",IF($I707&lt;=Settings!$C$6,"CRITICAL",IF($I707&lt;=Settings!$C$5,"Expiring","In date")))))</f>
        <v/>
      </c>
    </row>
    <row r="708" spans="1:17" x14ac:dyDescent="0.35">
      <c r="A708" s="90" t="str">
        <f>IF(Receipts!$D711="","",Receipts!$D711)</f>
        <v/>
      </c>
      <c r="B708" s="18" t="str">
        <f>IF(Receipts!$C711="","",Receipts!$C711)</f>
        <v/>
      </c>
      <c r="C708" s="18" t="str">
        <f>IF($A708="","",IFERROR(INDEX(Items!$B$5:$B$597,MATCH($A708,Items!$A$5:$A$597,0)),""))</f>
        <v/>
      </c>
      <c r="D708" s="23" t="str">
        <f>IF($A708="","",N(Receipts!$G711))</f>
        <v/>
      </c>
      <c r="E708" s="20" t="str">
        <f>IF($A708="","",IFERROR(INDEX(Items!$D$5:$D$597,MATCH($A708,Items!$A$5:$A$597,0)),0))</f>
        <v/>
      </c>
      <c r="F708" s="21" t="str">
        <f t="shared" si="50"/>
        <v/>
      </c>
      <c r="G708" s="25" t="str">
        <f>IF(Receipts!$I711="","",Receipts!$I711)</f>
        <v/>
      </c>
      <c r="H708" s="25" t="str">
        <f>IF(Receipts!$H711="","",Receipts!$H711)</f>
        <v/>
      </c>
      <c r="I708" s="26" t="str">
        <f t="shared" ca="1" si="51"/>
        <v/>
      </c>
      <c r="J708" s="26" t="str">
        <f>IF($A708="","",COUNTIFS(tblReceipts[Item Name],$A708,tblReceipts[Expiry Date],"&lt;"&amp;$H708)+COUNTIFS(tblReceipts[Item Name],$A708,tblReceipts[Expiry Date],$H708,tblReceipts[Lot Number],"&lt;="&amp;Receipts!$C711))</f>
        <v/>
      </c>
      <c r="K708" s="26" t="str">
        <f>IF($A708="","",SUMIFS(tblReceipts[Qty Received],tblReceipts[Item Name],$A708,tblReceipts[Expiry Date],"&lt;"&amp;$H708)+SUMIFS(tblReceipts[Qty Received],tblReceipts[Item Name],$A708,tblReceipts[Expiry Date],$H708,tblReceipts[Lot Number],"&lt;"&amp;Receipts!$C711))</f>
        <v/>
      </c>
      <c r="L708" s="26" t="str">
        <f>IF($A708="","",MIN($D708,MAX(0,SUMIFS(tblIssues[Qty Issued],tblIssues[Item Name],$A708)-$K708)))</f>
        <v/>
      </c>
      <c r="M708" s="26" t="str">
        <f>IF($A708="","",SUMIFS(tblIssues[Qty Issued],tblIssues[Lot Number],$B708))</f>
        <v/>
      </c>
      <c r="N708" s="26" t="str">
        <f t="shared" si="52"/>
        <v/>
      </c>
      <c r="O708" s="26" t="str">
        <f t="shared" si="53"/>
        <v/>
      </c>
      <c r="P708" s="21" t="str">
        <f t="shared" si="54"/>
        <v/>
      </c>
      <c r="Q708" s="52" t="str">
        <f>IF($A708="","",IF($O708&lt;=0,"Depleted",IF($I708&lt;0,"EXPIRED",IF($I708&lt;=Settings!$C$6,"CRITICAL",IF($I708&lt;=Settings!$C$5,"Expiring","In date")))))</f>
        <v/>
      </c>
    </row>
    <row r="709" spans="1:17" x14ac:dyDescent="0.35">
      <c r="A709" s="90" t="str">
        <f>IF(Receipts!$D712="","",Receipts!$D712)</f>
        <v/>
      </c>
      <c r="B709" s="18" t="str">
        <f>IF(Receipts!$C712="","",Receipts!$C712)</f>
        <v/>
      </c>
      <c r="C709" s="18" t="str">
        <f>IF($A709="","",IFERROR(INDEX(Items!$B$5:$B$597,MATCH($A709,Items!$A$5:$A$597,0)),""))</f>
        <v/>
      </c>
      <c r="D709" s="23" t="str">
        <f>IF($A709="","",N(Receipts!$G712))</f>
        <v/>
      </c>
      <c r="E709" s="20" t="str">
        <f>IF($A709="","",IFERROR(INDEX(Items!$D$5:$D$597,MATCH($A709,Items!$A$5:$A$597,0)),0))</f>
        <v/>
      </c>
      <c r="F709" s="21" t="str">
        <f t="shared" ref="F709:F772" si="55">IF($A709="","",$D709*$E709)</f>
        <v/>
      </c>
      <c r="G709" s="25" t="str">
        <f>IF(Receipts!$I712="","",Receipts!$I712)</f>
        <v/>
      </c>
      <c r="H709" s="25" t="str">
        <f>IF(Receipts!$H712="","",Receipts!$H712)</f>
        <v/>
      </c>
      <c r="I709" s="26" t="str">
        <f t="shared" ref="I709:I772" ca="1" si="56">IF($H709="","",$H709-TODAY())</f>
        <v/>
      </c>
      <c r="J709" s="26" t="str">
        <f>IF($A709="","",COUNTIFS(tblReceipts[Item Name],$A709,tblReceipts[Expiry Date],"&lt;"&amp;$H709)+COUNTIFS(tblReceipts[Item Name],$A709,tblReceipts[Expiry Date],$H709,tblReceipts[Lot Number],"&lt;="&amp;Receipts!$C712))</f>
        <v/>
      </c>
      <c r="K709" s="26" t="str">
        <f>IF($A709="","",SUMIFS(tblReceipts[Qty Received],tblReceipts[Item Name],$A709,tblReceipts[Expiry Date],"&lt;"&amp;$H709)+SUMIFS(tblReceipts[Qty Received],tblReceipts[Item Name],$A709,tblReceipts[Expiry Date],$H709,tblReceipts[Lot Number],"&lt;"&amp;Receipts!$C712))</f>
        <v/>
      </c>
      <c r="L709" s="26" t="str">
        <f>IF($A709="","",MIN($D709,MAX(0,SUMIFS(tblIssues[Qty Issued],tblIssues[Item Name],$A709)-$K709)))</f>
        <v/>
      </c>
      <c r="M709" s="26" t="str">
        <f>IF($A709="","",SUMIFS(tblIssues[Qty Issued],tblIssues[Lot Number],$B709))</f>
        <v/>
      </c>
      <c r="N709" s="26" t="str">
        <f t="shared" ref="N709:N772" si="57">IF($A709="","",$M709-$L709)</f>
        <v/>
      </c>
      <c r="O709" s="26" t="str">
        <f t="shared" ref="O709:O772" si="58">IF($A709="","",$D709-$L709)</f>
        <v/>
      </c>
      <c r="P709" s="21" t="str">
        <f t="shared" ref="P709:P772" si="59">IF($A709="","",$O709*$E709)</f>
        <v/>
      </c>
      <c r="Q709" s="52" t="str">
        <f>IF($A709="","",IF($O709&lt;=0,"Depleted",IF($I709&lt;0,"EXPIRED",IF($I709&lt;=Settings!$C$6,"CRITICAL",IF($I709&lt;=Settings!$C$5,"Expiring","In date")))))</f>
        <v/>
      </c>
    </row>
    <row r="710" spans="1:17" x14ac:dyDescent="0.35">
      <c r="A710" s="90" t="str">
        <f>IF(Receipts!$D713="","",Receipts!$D713)</f>
        <v/>
      </c>
      <c r="B710" s="18" t="str">
        <f>IF(Receipts!$C713="","",Receipts!$C713)</f>
        <v/>
      </c>
      <c r="C710" s="18" t="str">
        <f>IF($A710="","",IFERROR(INDEX(Items!$B$5:$B$597,MATCH($A710,Items!$A$5:$A$597,0)),""))</f>
        <v/>
      </c>
      <c r="D710" s="23" t="str">
        <f>IF($A710="","",N(Receipts!$G713))</f>
        <v/>
      </c>
      <c r="E710" s="20" t="str">
        <f>IF($A710="","",IFERROR(INDEX(Items!$D$5:$D$597,MATCH($A710,Items!$A$5:$A$597,0)),0))</f>
        <v/>
      </c>
      <c r="F710" s="21" t="str">
        <f t="shared" si="55"/>
        <v/>
      </c>
      <c r="G710" s="25" t="str">
        <f>IF(Receipts!$I713="","",Receipts!$I713)</f>
        <v/>
      </c>
      <c r="H710" s="25" t="str">
        <f>IF(Receipts!$H713="","",Receipts!$H713)</f>
        <v/>
      </c>
      <c r="I710" s="26" t="str">
        <f t="shared" ca="1" si="56"/>
        <v/>
      </c>
      <c r="J710" s="26" t="str">
        <f>IF($A710="","",COUNTIFS(tblReceipts[Item Name],$A710,tblReceipts[Expiry Date],"&lt;"&amp;$H710)+COUNTIFS(tblReceipts[Item Name],$A710,tblReceipts[Expiry Date],$H710,tblReceipts[Lot Number],"&lt;="&amp;Receipts!$C713))</f>
        <v/>
      </c>
      <c r="K710" s="26" t="str">
        <f>IF($A710="","",SUMIFS(tblReceipts[Qty Received],tblReceipts[Item Name],$A710,tblReceipts[Expiry Date],"&lt;"&amp;$H710)+SUMIFS(tblReceipts[Qty Received],tblReceipts[Item Name],$A710,tblReceipts[Expiry Date],$H710,tblReceipts[Lot Number],"&lt;"&amp;Receipts!$C713))</f>
        <v/>
      </c>
      <c r="L710" s="26" t="str">
        <f>IF($A710="","",MIN($D710,MAX(0,SUMIFS(tblIssues[Qty Issued],tblIssues[Item Name],$A710)-$K710)))</f>
        <v/>
      </c>
      <c r="M710" s="26" t="str">
        <f>IF($A710="","",SUMIFS(tblIssues[Qty Issued],tblIssues[Lot Number],$B710))</f>
        <v/>
      </c>
      <c r="N710" s="26" t="str">
        <f t="shared" si="57"/>
        <v/>
      </c>
      <c r="O710" s="26" t="str">
        <f t="shared" si="58"/>
        <v/>
      </c>
      <c r="P710" s="21" t="str">
        <f t="shared" si="59"/>
        <v/>
      </c>
      <c r="Q710" s="52" t="str">
        <f>IF($A710="","",IF($O710&lt;=0,"Depleted",IF($I710&lt;0,"EXPIRED",IF($I710&lt;=Settings!$C$6,"CRITICAL",IF($I710&lt;=Settings!$C$5,"Expiring","In date")))))</f>
        <v/>
      </c>
    </row>
    <row r="711" spans="1:17" x14ac:dyDescent="0.35">
      <c r="A711" s="90" t="str">
        <f>IF(Receipts!$D714="","",Receipts!$D714)</f>
        <v/>
      </c>
      <c r="B711" s="18" t="str">
        <f>IF(Receipts!$C714="","",Receipts!$C714)</f>
        <v/>
      </c>
      <c r="C711" s="18" t="str">
        <f>IF($A711="","",IFERROR(INDEX(Items!$B$5:$B$597,MATCH($A711,Items!$A$5:$A$597,0)),""))</f>
        <v/>
      </c>
      <c r="D711" s="23" t="str">
        <f>IF($A711="","",N(Receipts!$G714))</f>
        <v/>
      </c>
      <c r="E711" s="20" t="str">
        <f>IF($A711="","",IFERROR(INDEX(Items!$D$5:$D$597,MATCH($A711,Items!$A$5:$A$597,0)),0))</f>
        <v/>
      </c>
      <c r="F711" s="21" t="str">
        <f t="shared" si="55"/>
        <v/>
      </c>
      <c r="G711" s="25" t="str">
        <f>IF(Receipts!$I714="","",Receipts!$I714)</f>
        <v/>
      </c>
      <c r="H711" s="25" t="str">
        <f>IF(Receipts!$H714="","",Receipts!$H714)</f>
        <v/>
      </c>
      <c r="I711" s="26" t="str">
        <f t="shared" ca="1" si="56"/>
        <v/>
      </c>
      <c r="J711" s="26" t="str">
        <f>IF($A711="","",COUNTIFS(tblReceipts[Item Name],$A711,tblReceipts[Expiry Date],"&lt;"&amp;$H711)+COUNTIFS(tblReceipts[Item Name],$A711,tblReceipts[Expiry Date],$H711,tblReceipts[Lot Number],"&lt;="&amp;Receipts!$C714))</f>
        <v/>
      </c>
      <c r="K711" s="26" t="str">
        <f>IF($A711="","",SUMIFS(tblReceipts[Qty Received],tblReceipts[Item Name],$A711,tblReceipts[Expiry Date],"&lt;"&amp;$H711)+SUMIFS(tblReceipts[Qty Received],tblReceipts[Item Name],$A711,tblReceipts[Expiry Date],$H711,tblReceipts[Lot Number],"&lt;"&amp;Receipts!$C714))</f>
        <v/>
      </c>
      <c r="L711" s="26" t="str">
        <f>IF($A711="","",MIN($D711,MAX(0,SUMIFS(tblIssues[Qty Issued],tblIssues[Item Name],$A711)-$K711)))</f>
        <v/>
      </c>
      <c r="M711" s="26" t="str">
        <f>IF($A711="","",SUMIFS(tblIssues[Qty Issued],tblIssues[Lot Number],$B711))</f>
        <v/>
      </c>
      <c r="N711" s="26" t="str">
        <f t="shared" si="57"/>
        <v/>
      </c>
      <c r="O711" s="26" t="str">
        <f t="shared" si="58"/>
        <v/>
      </c>
      <c r="P711" s="21" t="str">
        <f t="shared" si="59"/>
        <v/>
      </c>
      <c r="Q711" s="52" t="str">
        <f>IF($A711="","",IF($O711&lt;=0,"Depleted",IF($I711&lt;0,"EXPIRED",IF($I711&lt;=Settings!$C$6,"CRITICAL",IF($I711&lt;=Settings!$C$5,"Expiring","In date")))))</f>
        <v/>
      </c>
    </row>
    <row r="712" spans="1:17" x14ac:dyDescent="0.35">
      <c r="A712" s="90" t="str">
        <f>IF(Receipts!$D715="","",Receipts!$D715)</f>
        <v/>
      </c>
      <c r="B712" s="18" t="str">
        <f>IF(Receipts!$C715="","",Receipts!$C715)</f>
        <v/>
      </c>
      <c r="C712" s="18" t="str">
        <f>IF($A712="","",IFERROR(INDEX(Items!$B$5:$B$597,MATCH($A712,Items!$A$5:$A$597,0)),""))</f>
        <v/>
      </c>
      <c r="D712" s="23" t="str">
        <f>IF($A712="","",N(Receipts!$G715))</f>
        <v/>
      </c>
      <c r="E712" s="20" t="str">
        <f>IF($A712="","",IFERROR(INDEX(Items!$D$5:$D$597,MATCH($A712,Items!$A$5:$A$597,0)),0))</f>
        <v/>
      </c>
      <c r="F712" s="21" t="str">
        <f t="shared" si="55"/>
        <v/>
      </c>
      <c r="G712" s="25" t="str">
        <f>IF(Receipts!$I715="","",Receipts!$I715)</f>
        <v/>
      </c>
      <c r="H712" s="25" t="str">
        <f>IF(Receipts!$H715="","",Receipts!$H715)</f>
        <v/>
      </c>
      <c r="I712" s="26" t="str">
        <f t="shared" ca="1" si="56"/>
        <v/>
      </c>
      <c r="J712" s="26" t="str">
        <f>IF($A712="","",COUNTIFS(tblReceipts[Item Name],$A712,tblReceipts[Expiry Date],"&lt;"&amp;$H712)+COUNTIFS(tblReceipts[Item Name],$A712,tblReceipts[Expiry Date],$H712,tblReceipts[Lot Number],"&lt;="&amp;Receipts!$C715))</f>
        <v/>
      </c>
      <c r="K712" s="26" t="str">
        <f>IF($A712="","",SUMIFS(tblReceipts[Qty Received],tblReceipts[Item Name],$A712,tblReceipts[Expiry Date],"&lt;"&amp;$H712)+SUMIFS(tblReceipts[Qty Received],tblReceipts[Item Name],$A712,tblReceipts[Expiry Date],$H712,tblReceipts[Lot Number],"&lt;"&amp;Receipts!$C715))</f>
        <v/>
      </c>
      <c r="L712" s="26" t="str">
        <f>IF($A712="","",MIN($D712,MAX(0,SUMIFS(tblIssues[Qty Issued],tblIssues[Item Name],$A712)-$K712)))</f>
        <v/>
      </c>
      <c r="M712" s="26" t="str">
        <f>IF($A712="","",SUMIFS(tblIssues[Qty Issued],tblIssues[Lot Number],$B712))</f>
        <v/>
      </c>
      <c r="N712" s="26" t="str">
        <f t="shared" si="57"/>
        <v/>
      </c>
      <c r="O712" s="26" t="str">
        <f t="shared" si="58"/>
        <v/>
      </c>
      <c r="P712" s="21" t="str">
        <f t="shared" si="59"/>
        <v/>
      </c>
      <c r="Q712" s="52" t="str">
        <f>IF($A712="","",IF($O712&lt;=0,"Depleted",IF($I712&lt;0,"EXPIRED",IF($I712&lt;=Settings!$C$6,"CRITICAL",IF($I712&lt;=Settings!$C$5,"Expiring","In date")))))</f>
        <v/>
      </c>
    </row>
    <row r="713" spans="1:17" x14ac:dyDescent="0.35">
      <c r="A713" s="90" t="str">
        <f>IF(Receipts!$D716="","",Receipts!$D716)</f>
        <v/>
      </c>
      <c r="B713" s="18" t="str">
        <f>IF(Receipts!$C716="","",Receipts!$C716)</f>
        <v/>
      </c>
      <c r="C713" s="18" t="str">
        <f>IF($A713="","",IFERROR(INDEX(Items!$B$5:$B$597,MATCH($A713,Items!$A$5:$A$597,0)),""))</f>
        <v/>
      </c>
      <c r="D713" s="23" t="str">
        <f>IF($A713="","",N(Receipts!$G716))</f>
        <v/>
      </c>
      <c r="E713" s="20" t="str">
        <f>IF($A713="","",IFERROR(INDEX(Items!$D$5:$D$597,MATCH($A713,Items!$A$5:$A$597,0)),0))</f>
        <v/>
      </c>
      <c r="F713" s="21" t="str">
        <f t="shared" si="55"/>
        <v/>
      </c>
      <c r="G713" s="25" t="str">
        <f>IF(Receipts!$I716="","",Receipts!$I716)</f>
        <v/>
      </c>
      <c r="H713" s="25" t="str">
        <f>IF(Receipts!$H716="","",Receipts!$H716)</f>
        <v/>
      </c>
      <c r="I713" s="26" t="str">
        <f t="shared" ca="1" si="56"/>
        <v/>
      </c>
      <c r="J713" s="26" t="str">
        <f>IF($A713="","",COUNTIFS(tblReceipts[Item Name],$A713,tblReceipts[Expiry Date],"&lt;"&amp;$H713)+COUNTIFS(tblReceipts[Item Name],$A713,tblReceipts[Expiry Date],$H713,tblReceipts[Lot Number],"&lt;="&amp;Receipts!$C716))</f>
        <v/>
      </c>
      <c r="K713" s="26" t="str">
        <f>IF($A713="","",SUMIFS(tblReceipts[Qty Received],tblReceipts[Item Name],$A713,tblReceipts[Expiry Date],"&lt;"&amp;$H713)+SUMIFS(tblReceipts[Qty Received],tblReceipts[Item Name],$A713,tblReceipts[Expiry Date],$H713,tblReceipts[Lot Number],"&lt;"&amp;Receipts!$C716))</f>
        <v/>
      </c>
      <c r="L713" s="26" t="str">
        <f>IF($A713="","",MIN($D713,MAX(0,SUMIFS(tblIssues[Qty Issued],tblIssues[Item Name],$A713)-$K713)))</f>
        <v/>
      </c>
      <c r="M713" s="26" t="str">
        <f>IF($A713="","",SUMIFS(tblIssues[Qty Issued],tblIssues[Lot Number],$B713))</f>
        <v/>
      </c>
      <c r="N713" s="26" t="str">
        <f t="shared" si="57"/>
        <v/>
      </c>
      <c r="O713" s="26" t="str">
        <f t="shared" si="58"/>
        <v/>
      </c>
      <c r="P713" s="21" t="str">
        <f t="shared" si="59"/>
        <v/>
      </c>
      <c r="Q713" s="52" t="str">
        <f>IF($A713="","",IF($O713&lt;=0,"Depleted",IF($I713&lt;0,"EXPIRED",IF($I713&lt;=Settings!$C$6,"CRITICAL",IF($I713&lt;=Settings!$C$5,"Expiring","In date")))))</f>
        <v/>
      </c>
    </row>
    <row r="714" spans="1:17" x14ac:dyDescent="0.35">
      <c r="A714" s="90" t="str">
        <f>IF(Receipts!$D717="","",Receipts!$D717)</f>
        <v/>
      </c>
      <c r="B714" s="18" t="str">
        <f>IF(Receipts!$C717="","",Receipts!$C717)</f>
        <v/>
      </c>
      <c r="C714" s="18" t="str">
        <f>IF($A714="","",IFERROR(INDEX(Items!$B$5:$B$597,MATCH($A714,Items!$A$5:$A$597,0)),""))</f>
        <v/>
      </c>
      <c r="D714" s="23" t="str">
        <f>IF($A714="","",N(Receipts!$G717))</f>
        <v/>
      </c>
      <c r="E714" s="20" t="str">
        <f>IF($A714="","",IFERROR(INDEX(Items!$D$5:$D$597,MATCH($A714,Items!$A$5:$A$597,0)),0))</f>
        <v/>
      </c>
      <c r="F714" s="21" t="str">
        <f t="shared" si="55"/>
        <v/>
      </c>
      <c r="G714" s="25" t="str">
        <f>IF(Receipts!$I717="","",Receipts!$I717)</f>
        <v/>
      </c>
      <c r="H714" s="25" t="str">
        <f>IF(Receipts!$H717="","",Receipts!$H717)</f>
        <v/>
      </c>
      <c r="I714" s="26" t="str">
        <f t="shared" ca="1" si="56"/>
        <v/>
      </c>
      <c r="J714" s="26" t="str">
        <f>IF($A714="","",COUNTIFS(tblReceipts[Item Name],$A714,tblReceipts[Expiry Date],"&lt;"&amp;$H714)+COUNTIFS(tblReceipts[Item Name],$A714,tblReceipts[Expiry Date],$H714,tblReceipts[Lot Number],"&lt;="&amp;Receipts!$C717))</f>
        <v/>
      </c>
      <c r="K714" s="26" t="str">
        <f>IF($A714="","",SUMIFS(tblReceipts[Qty Received],tblReceipts[Item Name],$A714,tblReceipts[Expiry Date],"&lt;"&amp;$H714)+SUMIFS(tblReceipts[Qty Received],tblReceipts[Item Name],$A714,tblReceipts[Expiry Date],$H714,tblReceipts[Lot Number],"&lt;"&amp;Receipts!$C717))</f>
        <v/>
      </c>
      <c r="L714" s="26" t="str">
        <f>IF($A714="","",MIN($D714,MAX(0,SUMIFS(tblIssues[Qty Issued],tblIssues[Item Name],$A714)-$K714)))</f>
        <v/>
      </c>
      <c r="M714" s="26" t="str">
        <f>IF($A714="","",SUMIFS(tblIssues[Qty Issued],tblIssues[Lot Number],$B714))</f>
        <v/>
      </c>
      <c r="N714" s="26" t="str">
        <f t="shared" si="57"/>
        <v/>
      </c>
      <c r="O714" s="26" t="str">
        <f t="shared" si="58"/>
        <v/>
      </c>
      <c r="P714" s="21" t="str">
        <f t="shared" si="59"/>
        <v/>
      </c>
      <c r="Q714" s="52" t="str">
        <f>IF($A714="","",IF($O714&lt;=0,"Depleted",IF($I714&lt;0,"EXPIRED",IF($I714&lt;=Settings!$C$6,"CRITICAL",IF($I714&lt;=Settings!$C$5,"Expiring","In date")))))</f>
        <v/>
      </c>
    </row>
    <row r="715" spans="1:17" x14ac:dyDescent="0.35">
      <c r="A715" s="90" t="str">
        <f>IF(Receipts!$D718="","",Receipts!$D718)</f>
        <v/>
      </c>
      <c r="B715" s="18" t="str">
        <f>IF(Receipts!$C718="","",Receipts!$C718)</f>
        <v/>
      </c>
      <c r="C715" s="18" t="str">
        <f>IF($A715="","",IFERROR(INDEX(Items!$B$5:$B$597,MATCH($A715,Items!$A$5:$A$597,0)),""))</f>
        <v/>
      </c>
      <c r="D715" s="23" t="str">
        <f>IF($A715="","",N(Receipts!$G718))</f>
        <v/>
      </c>
      <c r="E715" s="20" t="str">
        <f>IF($A715="","",IFERROR(INDEX(Items!$D$5:$D$597,MATCH($A715,Items!$A$5:$A$597,0)),0))</f>
        <v/>
      </c>
      <c r="F715" s="21" t="str">
        <f t="shared" si="55"/>
        <v/>
      </c>
      <c r="G715" s="25" t="str">
        <f>IF(Receipts!$I718="","",Receipts!$I718)</f>
        <v/>
      </c>
      <c r="H715" s="25" t="str">
        <f>IF(Receipts!$H718="","",Receipts!$H718)</f>
        <v/>
      </c>
      <c r="I715" s="26" t="str">
        <f t="shared" ca="1" si="56"/>
        <v/>
      </c>
      <c r="J715" s="26" t="str">
        <f>IF($A715="","",COUNTIFS(tblReceipts[Item Name],$A715,tblReceipts[Expiry Date],"&lt;"&amp;$H715)+COUNTIFS(tblReceipts[Item Name],$A715,tblReceipts[Expiry Date],$H715,tblReceipts[Lot Number],"&lt;="&amp;Receipts!$C718))</f>
        <v/>
      </c>
      <c r="K715" s="26" t="str">
        <f>IF($A715="","",SUMIFS(tblReceipts[Qty Received],tblReceipts[Item Name],$A715,tblReceipts[Expiry Date],"&lt;"&amp;$H715)+SUMIFS(tblReceipts[Qty Received],tblReceipts[Item Name],$A715,tblReceipts[Expiry Date],$H715,tblReceipts[Lot Number],"&lt;"&amp;Receipts!$C718))</f>
        <v/>
      </c>
      <c r="L715" s="26" t="str">
        <f>IF($A715="","",MIN($D715,MAX(0,SUMIFS(tblIssues[Qty Issued],tblIssues[Item Name],$A715)-$K715)))</f>
        <v/>
      </c>
      <c r="M715" s="26" t="str">
        <f>IF($A715="","",SUMIFS(tblIssues[Qty Issued],tblIssues[Lot Number],$B715))</f>
        <v/>
      </c>
      <c r="N715" s="26" t="str">
        <f t="shared" si="57"/>
        <v/>
      </c>
      <c r="O715" s="26" t="str">
        <f t="shared" si="58"/>
        <v/>
      </c>
      <c r="P715" s="21" t="str">
        <f t="shared" si="59"/>
        <v/>
      </c>
      <c r="Q715" s="52" t="str">
        <f>IF($A715="","",IF($O715&lt;=0,"Depleted",IF($I715&lt;0,"EXPIRED",IF($I715&lt;=Settings!$C$6,"CRITICAL",IF($I715&lt;=Settings!$C$5,"Expiring","In date")))))</f>
        <v/>
      </c>
    </row>
    <row r="716" spans="1:17" x14ac:dyDescent="0.35">
      <c r="A716" s="90" t="str">
        <f>IF(Receipts!$D719="","",Receipts!$D719)</f>
        <v/>
      </c>
      <c r="B716" s="18" t="str">
        <f>IF(Receipts!$C719="","",Receipts!$C719)</f>
        <v/>
      </c>
      <c r="C716" s="18" t="str">
        <f>IF($A716="","",IFERROR(INDEX(Items!$B$5:$B$597,MATCH($A716,Items!$A$5:$A$597,0)),""))</f>
        <v/>
      </c>
      <c r="D716" s="23" t="str">
        <f>IF($A716="","",N(Receipts!$G719))</f>
        <v/>
      </c>
      <c r="E716" s="20" t="str">
        <f>IF($A716="","",IFERROR(INDEX(Items!$D$5:$D$597,MATCH($A716,Items!$A$5:$A$597,0)),0))</f>
        <v/>
      </c>
      <c r="F716" s="21" t="str">
        <f t="shared" si="55"/>
        <v/>
      </c>
      <c r="G716" s="25" t="str">
        <f>IF(Receipts!$I719="","",Receipts!$I719)</f>
        <v/>
      </c>
      <c r="H716" s="25" t="str">
        <f>IF(Receipts!$H719="","",Receipts!$H719)</f>
        <v/>
      </c>
      <c r="I716" s="26" t="str">
        <f t="shared" ca="1" si="56"/>
        <v/>
      </c>
      <c r="J716" s="26" t="str">
        <f>IF($A716="","",COUNTIFS(tblReceipts[Item Name],$A716,tblReceipts[Expiry Date],"&lt;"&amp;$H716)+COUNTIFS(tblReceipts[Item Name],$A716,tblReceipts[Expiry Date],$H716,tblReceipts[Lot Number],"&lt;="&amp;Receipts!$C719))</f>
        <v/>
      </c>
      <c r="K716" s="26" t="str">
        <f>IF($A716="","",SUMIFS(tblReceipts[Qty Received],tblReceipts[Item Name],$A716,tblReceipts[Expiry Date],"&lt;"&amp;$H716)+SUMIFS(tblReceipts[Qty Received],tblReceipts[Item Name],$A716,tblReceipts[Expiry Date],$H716,tblReceipts[Lot Number],"&lt;"&amp;Receipts!$C719))</f>
        <v/>
      </c>
      <c r="L716" s="26" t="str">
        <f>IF($A716="","",MIN($D716,MAX(0,SUMIFS(tblIssues[Qty Issued],tblIssues[Item Name],$A716)-$K716)))</f>
        <v/>
      </c>
      <c r="M716" s="26" t="str">
        <f>IF($A716="","",SUMIFS(tblIssues[Qty Issued],tblIssues[Lot Number],$B716))</f>
        <v/>
      </c>
      <c r="N716" s="26" t="str">
        <f t="shared" si="57"/>
        <v/>
      </c>
      <c r="O716" s="26" t="str">
        <f t="shared" si="58"/>
        <v/>
      </c>
      <c r="P716" s="21" t="str">
        <f t="shared" si="59"/>
        <v/>
      </c>
      <c r="Q716" s="52" t="str">
        <f>IF($A716="","",IF($O716&lt;=0,"Depleted",IF($I716&lt;0,"EXPIRED",IF($I716&lt;=Settings!$C$6,"CRITICAL",IF($I716&lt;=Settings!$C$5,"Expiring","In date")))))</f>
        <v/>
      </c>
    </row>
    <row r="717" spans="1:17" x14ac:dyDescent="0.35">
      <c r="A717" s="90" t="str">
        <f>IF(Receipts!$D720="","",Receipts!$D720)</f>
        <v/>
      </c>
      <c r="B717" s="18" t="str">
        <f>IF(Receipts!$C720="","",Receipts!$C720)</f>
        <v/>
      </c>
      <c r="C717" s="18" t="str">
        <f>IF($A717="","",IFERROR(INDEX(Items!$B$5:$B$597,MATCH($A717,Items!$A$5:$A$597,0)),""))</f>
        <v/>
      </c>
      <c r="D717" s="23" t="str">
        <f>IF($A717="","",N(Receipts!$G720))</f>
        <v/>
      </c>
      <c r="E717" s="20" t="str">
        <f>IF($A717="","",IFERROR(INDEX(Items!$D$5:$D$597,MATCH($A717,Items!$A$5:$A$597,0)),0))</f>
        <v/>
      </c>
      <c r="F717" s="21" t="str">
        <f t="shared" si="55"/>
        <v/>
      </c>
      <c r="G717" s="25" t="str">
        <f>IF(Receipts!$I720="","",Receipts!$I720)</f>
        <v/>
      </c>
      <c r="H717" s="25" t="str">
        <f>IF(Receipts!$H720="","",Receipts!$H720)</f>
        <v/>
      </c>
      <c r="I717" s="26" t="str">
        <f t="shared" ca="1" si="56"/>
        <v/>
      </c>
      <c r="J717" s="26" t="str">
        <f>IF($A717="","",COUNTIFS(tblReceipts[Item Name],$A717,tblReceipts[Expiry Date],"&lt;"&amp;$H717)+COUNTIFS(tblReceipts[Item Name],$A717,tblReceipts[Expiry Date],$H717,tblReceipts[Lot Number],"&lt;="&amp;Receipts!$C720))</f>
        <v/>
      </c>
      <c r="K717" s="26" t="str">
        <f>IF($A717="","",SUMIFS(tblReceipts[Qty Received],tblReceipts[Item Name],$A717,tblReceipts[Expiry Date],"&lt;"&amp;$H717)+SUMIFS(tblReceipts[Qty Received],tblReceipts[Item Name],$A717,tblReceipts[Expiry Date],$H717,tblReceipts[Lot Number],"&lt;"&amp;Receipts!$C720))</f>
        <v/>
      </c>
      <c r="L717" s="26" t="str">
        <f>IF($A717="","",MIN($D717,MAX(0,SUMIFS(tblIssues[Qty Issued],tblIssues[Item Name],$A717)-$K717)))</f>
        <v/>
      </c>
      <c r="M717" s="26" t="str">
        <f>IF($A717="","",SUMIFS(tblIssues[Qty Issued],tblIssues[Lot Number],$B717))</f>
        <v/>
      </c>
      <c r="N717" s="26" t="str">
        <f t="shared" si="57"/>
        <v/>
      </c>
      <c r="O717" s="26" t="str">
        <f t="shared" si="58"/>
        <v/>
      </c>
      <c r="P717" s="21" t="str">
        <f t="shared" si="59"/>
        <v/>
      </c>
      <c r="Q717" s="52" t="str">
        <f>IF($A717="","",IF($O717&lt;=0,"Depleted",IF($I717&lt;0,"EXPIRED",IF($I717&lt;=Settings!$C$6,"CRITICAL",IF($I717&lt;=Settings!$C$5,"Expiring","In date")))))</f>
        <v/>
      </c>
    </row>
    <row r="718" spans="1:17" x14ac:dyDescent="0.35">
      <c r="A718" s="90" t="str">
        <f>IF(Receipts!$D721="","",Receipts!$D721)</f>
        <v/>
      </c>
      <c r="B718" s="18" t="str">
        <f>IF(Receipts!$C721="","",Receipts!$C721)</f>
        <v/>
      </c>
      <c r="C718" s="18" t="str">
        <f>IF($A718="","",IFERROR(INDEX(Items!$B$5:$B$597,MATCH($A718,Items!$A$5:$A$597,0)),""))</f>
        <v/>
      </c>
      <c r="D718" s="23" t="str">
        <f>IF($A718="","",N(Receipts!$G721))</f>
        <v/>
      </c>
      <c r="E718" s="20" t="str">
        <f>IF($A718="","",IFERROR(INDEX(Items!$D$5:$D$597,MATCH($A718,Items!$A$5:$A$597,0)),0))</f>
        <v/>
      </c>
      <c r="F718" s="21" t="str">
        <f t="shared" si="55"/>
        <v/>
      </c>
      <c r="G718" s="25" t="str">
        <f>IF(Receipts!$I721="","",Receipts!$I721)</f>
        <v/>
      </c>
      <c r="H718" s="25" t="str">
        <f>IF(Receipts!$H721="","",Receipts!$H721)</f>
        <v/>
      </c>
      <c r="I718" s="26" t="str">
        <f t="shared" ca="1" si="56"/>
        <v/>
      </c>
      <c r="J718" s="26" t="str">
        <f>IF($A718="","",COUNTIFS(tblReceipts[Item Name],$A718,tblReceipts[Expiry Date],"&lt;"&amp;$H718)+COUNTIFS(tblReceipts[Item Name],$A718,tblReceipts[Expiry Date],$H718,tblReceipts[Lot Number],"&lt;="&amp;Receipts!$C721))</f>
        <v/>
      </c>
      <c r="K718" s="26" t="str">
        <f>IF($A718="","",SUMIFS(tblReceipts[Qty Received],tblReceipts[Item Name],$A718,tblReceipts[Expiry Date],"&lt;"&amp;$H718)+SUMIFS(tblReceipts[Qty Received],tblReceipts[Item Name],$A718,tblReceipts[Expiry Date],$H718,tblReceipts[Lot Number],"&lt;"&amp;Receipts!$C721))</f>
        <v/>
      </c>
      <c r="L718" s="26" t="str">
        <f>IF($A718="","",MIN($D718,MAX(0,SUMIFS(tblIssues[Qty Issued],tblIssues[Item Name],$A718)-$K718)))</f>
        <v/>
      </c>
      <c r="M718" s="26" t="str">
        <f>IF($A718="","",SUMIFS(tblIssues[Qty Issued],tblIssues[Lot Number],$B718))</f>
        <v/>
      </c>
      <c r="N718" s="26" t="str">
        <f t="shared" si="57"/>
        <v/>
      </c>
      <c r="O718" s="26" t="str">
        <f t="shared" si="58"/>
        <v/>
      </c>
      <c r="P718" s="21" t="str">
        <f t="shared" si="59"/>
        <v/>
      </c>
      <c r="Q718" s="52" t="str">
        <f>IF($A718="","",IF($O718&lt;=0,"Depleted",IF($I718&lt;0,"EXPIRED",IF($I718&lt;=Settings!$C$6,"CRITICAL",IF($I718&lt;=Settings!$C$5,"Expiring","In date")))))</f>
        <v/>
      </c>
    </row>
    <row r="719" spans="1:17" x14ac:dyDescent="0.35">
      <c r="A719" s="90" t="str">
        <f>IF(Receipts!$D722="","",Receipts!$D722)</f>
        <v/>
      </c>
      <c r="B719" s="18" t="str">
        <f>IF(Receipts!$C722="","",Receipts!$C722)</f>
        <v/>
      </c>
      <c r="C719" s="18" t="str">
        <f>IF($A719="","",IFERROR(INDEX(Items!$B$5:$B$597,MATCH($A719,Items!$A$5:$A$597,0)),""))</f>
        <v/>
      </c>
      <c r="D719" s="23" t="str">
        <f>IF($A719="","",N(Receipts!$G722))</f>
        <v/>
      </c>
      <c r="E719" s="20" t="str">
        <f>IF($A719="","",IFERROR(INDEX(Items!$D$5:$D$597,MATCH($A719,Items!$A$5:$A$597,0)),0))</f>
        <v/>
      </c>
      <c r="F719" s="21" t="str">
        <f t="shared" si="55"/>
        <v/>
      </c>
      <c r="G719" s="25" t="str">
        <f>IF(Receipts!$I722="","",Receipts!$I722)</f>
        <v/>
      </c>
      <c r="H719" s="25" t="str">
        <f>IF(Receipts!$H722="","",Receipts!$H722)</f>
        <v/>
      </c>
      <c r="I719" s="26" t="str">
        <f t="shared" ca="1" si="56"/>
        <v/>
      </c>
      <c r="J719" s="26" t="str">
        <f>IF($A719="","",COUNTIFS(tblReceipts[Item Name],$A719,tblReceipts[Expiry Date],"&lt;"&amp;$H719)+COUNTIFS(tblReceipts[Item Name],$A719,tblReceipts[Expiry Date],$H719,tblReceipts[Lot Number],"&lt;="&amp;Receipts!$C722))</f>
        <v/>
      </c>
      <c r="K719" s="26" t="str">
        <f>IF($A719="","",SUMIFS(tblReceipts[Qty Received],tblReceipts[Item Name],$A719,tblReceipts[Expiry Date],"&lt;"&amp;$H719)+SUMIFS(tblReceipts[Qty Received],tblReceipts[Item Name],$A719,tblReceipts[Expiry Date],$H719,tblReceipts[Lot Number],"&lt;"&amp;Receipts!$C722))</f>
        <v/>
      </c>
      <c r="L719" s="26" t="str">
        <f>IF($A719="","",MIN($D719,MAX(0,SUMIFS(tblIssues[Qty Issued],tblIssues[Item Name],$A719)-$K719)))</f>
        <v/>
      </c>
      <c r="M719" s="26" t="str">
        <f>IF($A719="","",SUMIFS(tblIssues[Qty Issued],tblIssues[Lot Number],$B719))</f>
        <v/>
      </c>
      <c r="N719" s="26" t="str">
        <f t="shared" si="57"/>
        <v/>
      </c>
      <c r="O719" s="26" t="str">
        <f t="shared" si="58"/>
        <v/>
      </c>
      <c r="P719" s="21" t="str">
        <f t="shared" si="59"/>
        <v/>
      </c>
      <c r="Q719" s="52" t="str">
        <f>IF($A719="","",IF($O719&lt;=0,"Depleted",IF($I719&lt;0,"EXPIRED",IF($I719&lt;=Settings!$C$6,"CRITICAL",IF($I719&lt;=Settings!$C$5,"Expiring","In date")))))</f>
        <v/>
      </c>
    </row>
    <row r="720" spans="1:17" x14ac:dyDescent="0.35">
      <c r="A720" s="90" t="str">
        <f>IF(Receipts!$D723="","",Receipts!$D723)</f>
        <v/>
      </c>
      <c r="B720" s="18" t="str">
        <f>IF(Receipts!$C723="","",Receipts!$C723)</f>
        <v/>
      </c>
      <c r="C720" s="18" t="str">
        <f>IF($A720="","",IFERROR(INDEX(Items!$B$5:$B$597,MATCH($A720,Items!$A$5:$A$597,0)),""))</f>
        <v/>
      </c>
      <c r="D720" s="23" t="str">
        <f>IF($A720="","",N(Receipts!$G723))</f>
        <v/>
      </c>
      <c r="E720" s="20" t="str">
        <f>IF($A720="","",IFERROR(INDEX(Items!$D$5:$D$597,MATCH($A720,Items!$A$5:$A$597,0)),0))</f>
        <v/>
      </c>
      <c r="F720" s="21" t="str">
        <f t="shared" si="55"/>
        <v/>
      </c>
      <c r="G720" s="25" t="str">
        <f>IF(Receipts!$I723="","",Receipts!$I723)</f>
        <v/>
      </c>
      <c r="H720" s="25" t="str">
        <f>IF(Receipts!$H723="","",Receipts!$H723)</f>
        <v/>
      </c>
      <c r="I720" s="26" t="str">
        <f t="shared" ca="1" si="56"/>
        <v/>
      </c>
      <c r="J720" s="26" t="str">
        <f>IF($A720="","",COUNTIFS(tblReceipts[Item Name],$A720,tblReceipts[Expiry Date],"&lt;"&amp;$H720)+COUNTIFS(tblReceipts[Item Name],$A720,tblReceipts[Expiry Date],$H720,tblReceipts[Lot Number],"&lt;="&amp;Receipts!$C723))</f>
        <v/>
      </c>
      <c r="K720" s="26" t="str">
        <f>IF($A720="","",SUMIFS(tblReceipts[Qty Received],tblReceipts[Item Name],$A720,tblReceipts[Expiry Date],"&lt;"&amp;$H720)+SUMIFS(tblReceipts[Qty Received],tblReceipts[Item Name],$A720,tblReceipts[Expiry Date],$H720,tblReceipts[Lot Number],"&lt;"&amp;Receipts!$C723))</f>
        <v/>
      </c>
      <c r="L720" s="26" t="str">
        <f>IF($A720="","",MIN($D720,MAX(0,SUMIFS(tblIssues[Qty Issued],tblIssues[Item Name],$A720)-$K720)))</f>
        <v/>
      </c>
      <c r="M720" s="26" t="str">
        <f>IF($A720="","",SUMIFS(tblIssues[Qty Issued],tblIssues[Lot Number],$B720))</f>
        <v/>
      </c>
      <c r="N720" s="26" t="str">
        <f t="shared" si="57"/>
        <v/>
      </c>
      <c r="O720" s="26" t="str">
        <f t="shared" si="58"/>
        <v/>
      </c>
      <c r="P720" s="21" t="str">
        <f t="shared" si="59"/>
        <v/>
      </c>
      <c r="Q720" s="52" t="str">
        <f>IF($A720="","",IF($O720&lt;=0,"Depleted",IF($I720&lt;0,"EXPIRED",IF($I720&lt;=Settings!$C$6,"CRITICAL",IF($I720&lt;=Settings!$C$5,"Expiring","In date")))))</f>
        <v/>
      </c>
    </row>
    <row r="721" spans="1:17" x14ac:dyDescent="0.35">
      <c r="A721" s="90" t="str">
        <f>IF(Receipts!$D724="","",Receipts!$D724)</f>
        <v/>
      </c>
      <c r="B721" s="18" t="str">
        <f>IF(Receipts!$C724="","",Receipts!$C724)</f>
        <v/>
      </c>
      <c r="C721" s="18" t="str">
        <f>IF($A721="","",IFERROR(INDEX(Items!$B$5:$B$597,MATCH($A721,Items!$A$5:$A$597,0)),""))</f>
        <v/>
      </c>
      <c r="D721" s="23" t="str">
        <f>IF($A721="","",N(Receipts!$G724))</f>
        <v/>
      </c>
      <c r="E721" s="20" t="str">
        <f>IF($A721="","",IFERROR(INDEX(Items!$D$5:$D$597,MATCH($A721,Items!$A$5:$A$597,0)),0))</f>
        <v/>
      </c>
      <c r="F721" s="21" t="str">
        <f t="shared" si="55"/>
        <v/>
      </c>
      <c r="G721" s="25" t="str">
        <f>IF(Receipts!$I724="","",Receipts!$I724)</f>
        <v/>
      </c>
      <c r="H721" s="25" t="str">
        <f>IF(Receipts!$H724="","",Receipts!$H724)</f>
        <v/>
      </c>
      <c r="I721" s="26" t="str">
        <f t="shared" ca="1" si="56"/>
        <v/>
      </c>
      <c r="J721" s="26" t="str">
        <f>IF($A721="","",COUNTIFS(tblReceipts[Item Name],$A721,tblReceipts[Expiry Date],"&lt;"&amp;$H721)+COUNTIFS(tblReceipts[Item Name],$A721,tblReceipts[Expiry Date],$H721,tblReceipts[Lot Number],"&lt;="&amp;Receipts!$C724))</f>
        <v/>
      </c>
      <c r="K721" s="26" t="str">
        <f>IF($A721="","",SUMIFS(tblReceipts[Qty Received],tblReceipts[Item Name],$A721,tblReceipts[Expiry Date],"&lt;"&amp;$H721)+SUMIFS(tblReceipts[Qty Received],tblReceipts[Item Name],$A721,tblReceipts[Expiry Date],$H721,tblReceipts[Lot Number],"&lt;"&amp;Receipts!$C724))</f>
        <v/>
      </c>
      <c r="L721" s="26" t="str">
        <f>IF($A721="","",MIN($D721,MAX(0,SUMIFS(tblIssues[Qty Issued],tblIssues[Item Name],$A721)-$K721)))</f>
        <v/>
      </c>
      <c r="M721" s="26" t="str">
        <f>IF($A721="","",SUMIFS(tblIssues[Qty Issued],tblIssues[Lot Number],$B721))</f>
        <v/>
      </c>
      <c r="N721" s="26" t="str">
        <f t="shared" si="57"/>
        <v/>
      </c>
      <c r="O721" s="26" t="str">
        <f t="shared" si="58"/>
        <v/>
      </c>
      <c r="P721" s="21" t="str">
        <f t="shared" si="59"/>
        <v/>
      </c>
      <c r="Q721" s="52" t="str">
        <f>IF($A721="","",IF($O721&lt;=0,"Depleted",IF($I721&lt;0,"EXPIRED",IF($I721&lt;=Settings!$C$6,"CRITICAL",IF($I721&lt;=Settings!$C$5,"Expiring","In date")))))</f>
        <v/>
      </c>
    </row>
    <row r="722" spans="1:17" x14ac:dyDescent="0.35">
      <c r="A722" s="90" t="str">
        <f>IF(Receipts!$D725="","",Receipts!$D725)</f>
        <v/>
      </c>
      <c r="B722" s="18" t="str">
        <f>IF(Receipts!$C725="","",Receipts!$C725)</f>
        <v/>
      </c>
      <c r="C722" s="18" t="str">
        <f>IF($A722="","",IFERROR(INDEX(Items!$B$5:$B$597,MATCH($A722,Items!$A$5:$A$597,0)),""))</f>
        <v/>
      </c>
      <c r="D722" s="23" t="str">
        <f>IF($A722="","",N(Receipts!$G725))</f>
        <v/>
      </c>
      <c r="E722" s="20" t="str">
        <f>IF($A722="","",IFERROR(INDEX(Items!$D$5:$D$597,MATCH($A722,Items!$A$5:$A$597,0)),0))</f>
        <v/>
      </c>
      <c r="F722" s="21" t="str">
        <f t="shared" si="55"/>
        <v/>
      </c>
      <c r="G722" s="25" t="str">
        <f>IF(Receipts!$I725="","",Receipts!$I725)</f>
        <v/>
      </c>
      <c r="H722" s="25" t="str">
        <f>IF(Receipts!$H725="","",Receipts!$H725)</f>
        <v/>
      </c>
      <c r="I722" s="26" t="str">
        <f t="shared" ca="1" si="56"/>
        <v/>
      </c>
      <c r="J722" s="26" t="str">
        <f>IF($A722="","",COUNTIFS(tblReceipts[Item Name],$A722,tblReceipts[Expiry Date],"&lt;"&amp;$H722)+COUNTIFS(tblReceipts[Item Name],$A722,tblReceipts[Expiry Date],$H722,tblReceipts[Lot Number],"&lt;="&amp;Receipts!$C725))</f>
        <v/>
      </c>
      <c r="K722" s="26" t="str">
        <f>IF($A722="","",SUMIFS(tblReceipts[Qty Received],tblReceipts[Item Name],$A722,tblReceipts[Expiry Date],"&lt;"&amp;$H722)+SUMIFS(tblReceipts[Qty Received],tblReceipts[Item Name],$A722,tblReceipts[Expiry Date],$H722,tblReceipts[Lot Number],"&lt;"&amp;Receipts!$C725))</f>
        <v/>
      </c>
      <c r="L722" s="26" t="str">
        <f>IF($A722="","",MIN($D722,MAX(0,SUMIFS(tblIssues[Qty Issued],tblIssues[Item Name],$A722)-$K722)))</f>
        <v/>
      </c>
      <c r="M722" s="26" t="str">
        <f>IF($A722="","",SUMIFS(tblIssues[Qty Issued],tblIssues[Lot Number],$B722))</f>
        <v/>
      </c>
      <c r="N722" s="26" t="str">
        <f t="shared" si="57"/>
        <v/>
      </c>
      <c r="O722" s="26" t="str">
        <f t="shared" si="58"/>
        <v/>
      </c>
      <c r="P722" s="21" t="str">
        <f t="shared" si="59"/>
        <v/>
      </c>
      <c r="Q722" s="52" t="str">
        <f>IF($A722="","",IF($O722&lt;=0,"Depleted",IF($I722&lt;0,"EXPIRED",IF($I722&lt;=Settings!$C$6,"CRITICAL",IF($I722&lt;=Settings!$C$5,"Expiring","In date")))))</f>
        <v/>
      </c>
    </row>
    <row r="723" spans="1:17" x14ac:dyDescent="0.35">
      <c r="A723" s="90" t="str">
        <f>IF(Receipts!$D726="","",Receipts!$D726)</f>
        <v/>
      </c>
      <c r="B723" s="18" t="str">
        <f>IF(Receipts!$C726="","",Receipts!$C726)</f>
        <v/>
      </c>
      <c r="C723" s="18" t="str">
        <f>IF($A723="","",IFERROR(INDEX(Items!$B$5:$B$597,MATCH($A723,Items!$A$5:$A$597,0)),""))</f>
        <v/>
      </c>
      <c r="D723" s="23" t="str">
        <f>IF($A723="","",N(Receipts!$G726))</f>
        <v/>
      </c>
      <c r="E723" s="20" t="str">
        <f>IF($A723="","",IFERROR(INDEX(Items!$D$5:$D$597,MATCH($A723,Items!$A$5:$A$597,0)),0))</f>
        <v/>
      </c>
      <c r="F723" s="21" t="str">
        <f t="shared" si="55"/>
        <v/>
      </c>
      <c r="G723" s="25" t="str">
        <f>IF(Receipts!$I726="","",Receipts!$I726)</f>
        <v/>
      </c>
      <c r="H723" s="25" t="str">
        <f>IF(Receipts!$H726="","",Receipts!$H726)</f>
        <v/>
      </c>
      <c r="I723" s="26" t="str">
        <f t="shared" ca="1" si="56"/>
        <v/>
      </c>
      <c r="J723" s="26" t="str">
        <f>IF($A723="","",COUNTIFS(tblReceipts[Item Name],$A723,tblReceipts[Expiry Date],"&lt;"&amp;$H723)+COUNTIFS(tblReceipts[Item Name],$A723,tblReceipts[Expiry Date],$H723,tblReceipts[Lot Number],"&lt;="&amp;Receipts!$C726))</f>
        <v/>
      </c>
      <c r="K723" s="26" t="str">
        <f>IF($A723="","",SUMIFS(tblReceipts[Qty Received],tblReceipts[Item Name],$A723,tblReceipts[Expiry Date],"&lt;"&amp;$H723)+SUMIFS(tblReceipts[Qty Received],tblReceipts[Item Name],$A723,tblReceipts[Expiry Date],$H723,tblReceipts[Lot Number],"&lt;"&amp;Receipts!$C726))</f>
        <v/>
      </c>
      <c r="L723" s="26" t="str">
        <f>IF($A723="","",MIN($D723,MAX(0,SUMIFS(tblIssues[Qty Issued],tblIssues[Item Name],$A723)-$K723)))</f>
        <v/>
      </c>
      <c r="M723" s="26" t="str">
        <f>IF($A723="","",SUMIFS(tblIssues[Qty Issued],tblIssues[Lot Number],$B723))</f>
        <v/>
      </c>
      <c r="N723" s="26" t="str">
        <f t="shared" si="57"/>
        <v/>
      </c>
      <c r="O723" s="26" t="str">
        <f t="shared" si="58"/>
        <v/>
      </c>
      <c r="P723" s="21" t="str">
        <f t="shared" si="59"/>
        <v/>
      </c>
      <c r="Q723" s="52" t="str">
        <f>IF($A723="","",IF($O723&lt;=0,"Depleted",IF($I723&lt;0,"EXPIRED",IF($I723&lt;=Settings!$C$6,"CRITICAL",IF($I723&lt;=Settings!$C$5,"Expiring","In date")))))</f>
        <v/>
      </c>
    </row>
    <row r="724" spans="1:17" x14ac:dyDescent="0.35">
      <c r="A724" s="90" t="str">
        <f>IF(Receipts!$D727="","",Receipts!$D727)</f>
        <v/>
      </c>
      <c r="B724" s="18" t="str">
        <f>IF(Receipts!$C727="","",Receipts!$C727)</f>
        <v/>
      </c>
      <c r="C724" s="18" t="str">
        <f>IF($A724="","",IFERROR(INDEX(Items!$B$5:$B$597,MATCH($A724,Items!$A$5:$A$597,0)),""))</f>
        <v/>
      </c>
      <c r="D724" s="23" t="str">
        <f>IF($A724="","",N(Receipts!$G727))</f>
        <v/>
      </c>
      <c r="E724" s="20" t="str">
        <f>IF($A724="","",IFERROR(INDEX(Items!$D$5:$D$597,MATCH($A724,Items!$A$5:$A$597,0)),0))</f>
        <v/>
      </c>
      <c r="F724" s="21" t="str">
        <f t="shared" si="55"/>
        <v/>
      </c>
      <c r="G724" s="25" t="str">
        <f>IF(Receipts!$I727="","",Receipts!$I727)</f>
        <v/>
      </c>
      <c r="H724" s="25" t="str">
        <f>IF(Receipts!$H727="","",Receipts!$H727)</f>
        <v/>
      </c>
      <c r="I724" s="26" t="str">
        <f t="shared" ca="1" si="56"/>
        <v/>
      </c>
      <c r="J724" s="26" t="str">
        <f>IF($A724="","",COUNTIFS(tblReceipts[Item Name],$A724,tblReceipts[Expiry Date],"&lt;"&amp;$H724)+COUNTIFS(tblReceipts[Item Name],$A724,tblReceipts[Expiry Date],$H724,tblReceipts[Lot Number],"&lt;="&amp;Receipts!$C727))</f>
        <v/>
      </c>
      <c r="K724" s="26" t="str">
        <f>IF($A724="","",SUMIFS(tblReceipts[Qty Received],tblReceipts[Item Name],$A724,tblReceipts[Expiry Date],"&lt;"&amp;$H724)+SUMIFS(tblReceipts[Qty Received],tblReceipts[Item Name],$A724,tblReceipts[Expiry Date],$H724,tblReceipts[Lot Number],"&lt;"&amp;Receipts!$C727))</f>
        <v/>
      </c>
      <c r="L724" s="26" t="str">
        <f>IF($A724="","",MIN($D724,MAX(0,SUMIFS(tblIssues[Qty Issued],tblIssues[Item Name],$A724)-$K724)))</f>
        <v/>
      </c>
      <c r="M724" s="26" t="str">
        <f>IF($A724="","",SUMIFS(tblIssues[Qty Issued],tblIssues[Lot Number],$B724))</f>
        <v/>
      </c>
      <c r="N724" s="26" t="str">
        <f t="shared" si="57"/>
        <v/>
      </c>
      <c r="O724" s="26" t="str">
        <f t="shared" si="58"/>
        <v/>
      </c>
      <c r="P724" s="21" t="str">
        <f t="shared" si="59"/>
        <v/>
      </c>
      <c r="Q724" s="52" t="str">
        <f>IF($A724="","",IF($O724&lt;=0,"Depleted",IF($I724&lt;0,"EXPIRED",IF($I724&lt;=Settings!$C$6,"CRITICAL",IF($I724&lt;=Settings!$C$5,"Expiring","In date")))))</f>
        <v/>
      </c>
    </row>
    <row r="725" spans="1:17" x14ac:dyDescent="0.35">
      <c r="A725" s="90" t="str">
        <f>IF(Receipts!$D728="","",Receipts!$D728)</f>
        <v/>
      </c>
      <c r="B725" s="18" t="str">
        <f>IF(Receipts!$C728="","",Receipts!$C728)</f>
        <v/>
      </c>
      <c r="C725" s="18" t="str">
        <f>IF($A725="","",IFERROR(INDEX(Items!$B$5:$B$597,MATCH($A725,Items!$A$5:$A$597,0)),""))</f>
        <v/>
      </c>
      <c r="D725" s="23" t="str">
        <f>IF($A725="","",N(Receipts!$G728))</f>
        <v/>
      </c>
      <c r="E725" s="20" t="str">
        <f>IF($A725="","",IFERROR(INDEX(Items!$D$5:$D$597,MATCH($A725,Items!$A$5:$A$597,0)),0))</f>
        <v/>
      </c>
      <c r="F725" s="21" t="str">
        <f t="shared" si="55"/>
        <v/>
      </c>
      <c r="G725" s="25" t="str">
        <f>IF(Receipts!$I728="","",Receipts!$I728)</f>
        <v/>
      </c>
      <c r="H725" s="25" t="str">
        <f>IF(Receipts!$H728="","",Receipts!$H728)</f>
        <v/>
      </c>
      <c r="I725" s="26" t="str">
        <f t="shared" ca="1" si="56"/>
        <v/>
      </c>
      <c r="J725" s="26" t="str">
        <f>IF($A725="","",COUNTIFS(tblReceipts[Item Name],$A725,tblReceipts[Expiry Date],"&lt;"&amp;$H725)+COUNTIFS(tblReceipts[Item Name],$A725,tblReceipts[Expiry Date],$H725,tblReceipts[Lot Number],"&lt;="&amp;Receipts!$C728))</f>
        <v/>
      </c>
      <c r="K725" s="26" t="str">
        <f>IF($A725="","",SUMIFS(tblReceipts[Qty Received],tblReceipts[Item Name],$A725,tblReceipts[Expiry Date],"&lt;"&amp;$H725)+SUMIFS(tblReceipts[Qty Received],tblReceipts[Item Name],$A725,tblReceipts[Expiry Date],$H725,tblReceipts[Lot Number],"&lt;"&amp;Receipts!$C728))</f>
        <v/>
      </c>
      <c r="L725" s="26" t="str">
        <f>IF($A725="","",MIN($D725,MAX(0,SUMIFS(tblIssues[Qty Issued],tblIssues[Item Name],$A725)-$K725)))</f>
        <v/>
      </c>
      <c r="M725" s="26" t="str">
        <f>IF($A725="","",SUMIFS(tblIssues[Qty Issued],tblIssues[Lot Number],$B725))</f>
        <v/>
      </c>
      <c r="N725" s="26" t="str">
        <f t="shared" si="57"/>
        <v/>
      </c>
      <c r="O725" s="26" t="str">
        <f t="shared" si="58"/>
        <v/>
      </c>
      <c r="P725" s="21" t="str">
        <f t="shared" si="59"/>
        <v/>
      </c>
      <c r="Q725" s="52" t="str">
        <f>IF($A725="","",IF($O725&lt;=0,"Depleted",IF($I725&lt;0,"EXPIRED",IF($I725&lt;=Settings!$C$6,"CRITICAL",IF($I725&lt;=Settings!$C$5,"Expiring","In date")))))</f>
        <v/>
      </c>
    </row>
    <row r="726" spans="1:17" x14ac:dyDescent="0.35">
      <c r="A726" s="90" t="str">
        <f>IF(Receipts!$D729="","",Receipts!$D729)</f>
        <v/>
      </c>
      <c r="B726" s="18" t="str">
        <f>IF(Receipts!$C729="","",Receipts!$C729)</f>
        <v/>
      </c>
      <c r="C726" s="18" t="str">
        <f>IF($A726="","",IFERROR(INDEX(Items!$B$5:$B$597,MATCH($A726,Items!$A$5:$A$597,0)),""))</f>
        <v/>
      </c>
      <c r="D726" s="23" t="str">
        <f>IF($A726="","",N(Receipts!$G729))</f>
        <v/>
      </c>
      <c r="E726" s="20" t="str">
        <f>IF($A726="","",IFERROR(INDEX(Items!$D$5:$D$597,MATCH($A726,Items!$A$5:$A$597,0)),0))</f>
        <v/>
      </c>
      <c r="F726" s="21" t="str">
        <f t="shared" si="55"/>
        <v/>
      </c>
      <c r="G726" s="25" t="str">
        <f>IF(Receipts!$I729="","",Receipts!$I729)</f>
        <v/>
      </c>
      <c r="H726" s="25" t="str">
        <f>IF(Receipts!$H729="","",Receipts!$H729)</f>
        <v/>
      </c>
      <c r="I726" s="26" t="str">
        <f t="shared" ca="1" si="56"/>
        <v/>
      </c>
      <c r="J726" s="26" t="str">
        <f>IF($A726="","",COUNTIFS(tblReceipts[Item Name],$A726,tblReceipts[Expiry Date],"&lt;"&amp;$H726)+COUNTIFS(tblReceipts[Item Name],$A726,tblReceipts[Expiry Date],$H726,tblReceipts[Lot Number],"&lt;="&amp;Receipts!$C729))</f>
        <v/>
      </c>
      <c r="K726" s="26" t="str">
        <f>IF($A726="","",SUMIFS(tblReceipts[Qty Received],tblReceipts[Item Name],$A726,tblReceipts[Expiry Date],"&lt;"&amp;$H726)+SUMIFS(tblReceipts[Qty Received],tblReceipts[Item Name],$A726,tblReceipts[Expiry Date],$H726,tblReceipts[Lot Number],"&lt;"&amp;Receipts!$C729))</f>
        <v/>
      </c>
      <c r="L726" s="26" t="str">
        <f>IF($A726="","",MIN($D726,MAX(0,SUMIFS(tblIssues[Qty Issued],tblIssues[Item Name],$A726)-$K726)))</f>
        <v/>
      </c>
      <c r="M726" s="26" t="str">
        <f>IF($A726="","",SUMIFS(tblIssues[Qty Issued],tblIssues[Lot Number],$B726))</f>
        <v/>
      </c>
      <c r="N726" s="26" t="str">
        <f t="shared" si="57"/>
        <v/>
      </c>
      <c r="O726" s="26" t="str">
        <f t="shared" si="58"/>
        <v/>
      </c>
      <c r="P726" s="21" t="str">
        <f t="shared" si="59"/>
        <v/>
      </c>
      <c r="Q726" s="52" t="str">
        <f>IF($A726="","",IF($O726&lt;=0,"Depleted",IF($I726&lt;0,"EXPIRED",IF($I726&lt;=Settings!$C$6,"CRITICAL",IF($I726&lt;=Settings!$C$5,"Expiring","In date")))))</f>
        <v/>
      </c>
    </row>
    <row r="727" spans="1:17" x14ac:dyDescent="0.35">
      <c r="A727" s="90" t="str">
        <f>IF(Receipts!$D730="","",Receipts!$D730)</f>
        <v/>
      </c>
      <c r="B727" s="18" t="str">
        <f>IF(Receipts!$C730="","",Receipts!$C730)</f>
        <v/>
      </c>
      <c r="C727" s="18" t="str">
        <f>IF($A727="","",IFERROR(INDEX(Items!$B$5:$B$597,MATCH($A727,Items!$A$5:$A$597,0)),""))</f>
        <v/>
      </c>
      <c r="D727" s="23" t="str">
        <f>IF($A727="","",N(Receipts!$G730))</f>
        <v/>
      </c>
      <c r="E727" s="20" t="str">
        <f>IF($A727="","",IFERROR(INDEX(Items!$D$5:$D$597,MATCH($A727,Items!$A$5:$A$597,0)),0))</f>
        <v/>
      </c>
      <c r="F727" s="21" t="str">
        <f t="shared" si="55"/>
        <v/>
      </c>
      <c r="G727" s="25" t="str">
        <f>IF(Receipts!$I730="","",Receipts!$I730)</f>
        <v/>
      </c>
      <c r="H727" s="25" t="str">
        <f>IF(Receipts!$H730="","",Receipts!$H730)</f>
        <v/>
      </c>
      <c r="I727" s="26" t="str">
        <f t="shared" ca="1" si="56"/>
        <v/>
      </c>
      <c r="J727" s="26" t="str">
        <f>IF($A727="","",COUNTIFS(tblReceipts[Item Name],$A727,tblReceipts[Expiry Date],"&lt;"&amp;$H727)+COUNTIFS(tblReceipts[Item Name],$A727,tblReceipts[Expiry Date],$H727,tblReceipts[Lot Number],"&lt;="&amp;Receipts!$C730))</f>
        <v/>
      </c>
      <c r="K727" s="26" t="str">
        <f>IF($A727="","",SUMIFS(tblReceipts[Qty Received],tblReceipts[Item Name],$A727,tblReceipts[Expiry Date],"&lt;"&amp;$H727)+SUMIFS(tblReceipts[Qty Received],tblReceipts[Item Name],$A727,tblReceipts[Expiry Date],$H727,tblReceipts[Lot Number],"&lt;"&amp;Receipts!$C730))</f>
        <v/>
      </c>
      <c r="L727" s="26" t="str">
        <f>IF($A727="","",MIN($D727,MAX(0,SUMIFS(tblIssues[Qty Issued],tblIssues[Item Name],$A727)-$K727)))</f>
        <v/>
      </c>
      <c r="M727" s="26" t="str">
        <f>IF($A727="","",SUMIFS(tblIssues[Qty Issued],tblIssues[Lot Number],$B727))</f>
        <v/>
      </c>
      <c r="N727" s="26" t="str">
        <f t="shared" si="57"/>
        <v/>
      </c>
      <c r="O727" s="26" t="str">
        <f t="shared" si="58"/>
        <v/>
      </c>
      <c r="P727" s="21" t="str">
        <f t="shared" si="59"/>
        <v/>
      </c>
      <c r="Q727" s="52" t="str">
        <f>IF($A727="","",IF($O727&lt;=0,"Depleted",IF($I727&lt;0,"EXPIRED",IF($I727&lt;=Settings!$C$6,"CRITICAL",IF($I727&lt;=Settings!$C$5,"Expiring","In date")))))</f>
        <v/>
      </c>
    </row>
    <row r="728" spans="1:17" x14ac:dyDescent="0.35">
      <c r="A728" s="90" t="str">
        <f>IF(Receipts!$D731="","",Receipts!$D731)</f>
        <v/>
      </c>
      <c r="B728" s="18" t="str">
        <f>IF(Receipts!$C731="","",Receipts!$C731)</f>
        <v/>
      </c>
      <c r="C728" s="18" t="str">
        <f>IF($A728="","",IFERROR(INDEX(Items!$B$5:$B$597,MATCH($A728,Items!$A$5:$A$597,0)),""))</f>
        <v/>
      </c>
      <c r="D728" s="23" t="str">
        <f>IF($A728="","",N(Receipts!$G731))</f>
        <v/>
      </c>
      <c r="E728" s="20" t="str">
        <f>IF($A728="","",IFERROR(INDEX(Items!$D$5:$D$597,MATCH($A728,Items!$A$5:$A$597,0)),0))</f>
        <v/>
      </c>
      <c r="F728" s="21" t="str">
        <f t="shared" si="55"/>
        <v/>
      </c>
      <c r="G728" s="25" t="str">
        <f>IF(Receipts!$I731="","",Receipts!$I731)</f>
        <v/>
      </c>
      <c r="H728" s="25" t="str">
        <f>IF(Receipts!$H731="","",Receipts!$H731)</f>
        <v/>
      </c>
      <c r="I728" s="26" t="str">
        <f t="shared" ca="1" si="56"/>
        <v/>
      </c>
      <c r="J728" s="26" t="str">
        <f>IF($A728="","",COUNTIFS(tblReceipts[Item Name],$A728,tblReceipts[Expiry Date],"&lt;"&amp;$H728)+COUNTIFS(tblReceipts[Item Name],$A728,tblReceipts[Expiry Date],$H728,tblReceipts[Lot Number],"&lt;="&amp;Receipts!$C731))</f>
        <v/>
      </c>
      <c r="K728" s="26" t="str">
        <f>IF($A728="","",SUMIFS(tblReceipts[Qty Received],tblReceipts[Item Name],$A728,tblReceipts[Expiry Date],"&lt;"&amp;$H728)+SUMIFS(tblReceipts[Qty Received],tblReceipts[Item Name],$A728,tblReceipts[Expiry Date],$H728,tblReceipts[Lot Number],"&lt;"&amp;Receipts!$C731))</f>
        <v/>
      </c>
      <c r="L728" s="26" t="str">
        <f>IF($A728="","",MIN($D728,MAX(0,SUMIFS(tblIssues[Qty Issued],tblIssues[Item Name],$A728)-$K728)))</f>
        <v/>
      </c>
      <c r="M728" s="26" t="str">
        <f>IF($A728="","",SUMIFS(tblIssues[Qty Issued],tblIssues[Lot Number],$B728))</f>
        <v/>
      </c>
      <c r="N728" s="26" t="str">
        <f t="shared" si="57"/>
        <v/>
      </c>
      <c r="O728" s="26" t="str">
        <f t="shared" si="58"/>
        <v/>
      </c>
      <c r="P728" s="21" t="str">
        <f t="shared" si="59"/>
        <v/>
      </c>
      <c r="Q728" s="52" t="str">
        <f>IF($A728="","",IF($O728&lt;=0,"Depleted",IF($I728&lt;0,"EXPIRED",IF($I728&lt;=Settings!$C$6,"CRITICAL",IF($I728&lt;=Settings!$C$5,"Expiring","In date")))))</f>
        <v/>
      </c>
    </row>
    <row r="729" spans="1:17" x14ac:dyDescent="0.35">
      <c r="A729" s="90" t="str">
        <f>IF(Receipts!$D732="","",Receipts!$D732)</f>
        <v/>
      </c>
      <c r="B729" s="18" t="str">
        <f>IF(Receipts!$C732="","",Receipts!$C732)</f>
        <v/>
      </c>
      <c r="C729" s="18" t="str">
        <f>IF($A729="","",IFERROR(INDEX(Items!$B$5:$B$597,MATCH($A729,Items!$A$5:$A$597,0)),""))</f>
        <v/>
      </c>
      <c r="D729" s="23" t="str">
        <f>IF($A729="","",N(Receipts!$G732))</f>
        <v/>
      </c>
      <c r="E729" s="20" t="str">
        <f>IF($A729="","",IFERROR(INDEX(Items!$D$5:$D$597,MATCH($A729,Items!$A$5:$A$597,0)),0))</f>
        <v/>
      </c>
      <c r="F729" s="21" t="str">
        <f t="shared" si="55"/>
        <v/>
      </c>
      <c r="G729" s="25" t="str">
        <f>IF(Receipts!$I732="","",Receipts!$I732)</f>
        <v/>
      </c>
      <c r="H729" s="25" t="str">
        <f>IF(Receipts!$H732="","",Receipts!$H732)</f>
        <v/>
      </c>
      <c r="I729" s="26" t="str">
        <f t="shared" ca="1" si="56"/>
        <v/>
      </c>
      <c r="J729" s="26" t="str">
        <f>IF($A729="","",COUNTIFS(tblReceipts[Item Name],$A729,tblReceipts[Expiry Date],"&lt;"&amp;$H729)+COUNTIFS(tblReceipts[Item Name],$A729,tblReceipts[Expiry Date],$H729,tblReceipts[Lot Number],"&lt;="&amp;Receipts!$C732))</f>
        <v/>
      </c>
      <c r="K729" s="26" t="str">
        <f>IF($A729="","",SUMIFS(tblReceipts[Qty Received],tblReceipts[Item Name],$A729,tblReceipts[Expiry Date],"&lt;"&amp;$H729)+SUMIFS(tblReceipts[Qty Received],tblReceipts[Item Name],$A729,tblReceipts[Expiry Date],$H729,tblReceipts[Lot Number],"&lt;"&amp;Receipts!$C732))</f>
        <v/>
      </c>
      <c r="L729" s="26" t="str">
        <f>IF($A729="","",MIN($D729,MAX(0,SUMIFS(tblIssues[Qty Issued],tblIssues[Item Name],$A729)-$K729)))</f>
        <v/>
      </c>
      <c r="M729" s="26" t="str">
        <f>IF($A729="","",SUMIFS(tblIssues[Qty Issued],tblIssues[Lot Number],$B729))</f>
        <v/>
      </c>
      <c r="N729" s="26" t="str">
        <f t="shared" si="57"/>
        <v/>
      </c>
      <c r="O729" s="26" t="str">
        <f t="shared" si="58"/>
        <v/>
      </c>
      <c r="P729" s="21" t="str">
        <f t="shared" si="59"/>
        <v/>
      </c>
      <c r="Q729" s="52" t="str">
        <f>IF($A729="","",IF($O729&lt;=0,"Depleted",IF($I729&lt;0,"EXPIRED",IF($I729&lt;=Settings!$C$6,"CRITICAL",IF($I729&lt;=Settings!$C$5,"Expiring","In date")))))</f>
        <v/>
      </c>
    </row>
    <row r="730" spans="1:17" x14ac:dyDescent="0.35">
      <c r="A730" s="90" t="str">
        <f>IF(Receipts!$D733="","",Receipts!$D733)</f>
        <v/>
      </c>
      <c r="B730" s="18" t="str">
        <f>IF(Receipts!$C733="","",Receipts!$C733)</f>
        <v/>
      </c>
      <c r="C730" s="18" t="str">
        <f>IF($A730="","",IFERROR(INDEX(Items!$B$5:$B$597,MATCH($A730,Items!$A$5:$A$597,0)),""))</f>
        <v/>
      </c>
      <c r="D730" s="23" t="str">
        <f>IF($A730="","",N(Receipts!$G733))</f>
        <v/>
      </c>
      <c r="E730" s="20" t="str">
        <f>IF($A730="","",IFERROR(INDEX(Items!$D$5:$D$597,MATCH($A730,Items!$A$5:$A$597,0)),0))</f>
        <v/>
      </c>
      <c r="F730" s="21" t="str">
        <f t="shared" si="55"/>
        <v/>
      </c>
      <c r="G730" s="25" t="str">
        <f>IF(Receipts!$I733="","",Receipts!$I733)</f>
        <v/>
      </c>
      <c r="H730" s="25" t="str">
        <f>IF(Receipts!$H733="","",Receipts!$H733)</f>
        <v/>
      </c>
      <c r="I730" s="26" t="str">
        <f t="shared" ca="1" si="56"/>
        <v/>
      </c>
      <c r="J730" s="26" t="str">
        <f>IF($A730="","",COUNTIFS(tblReceipts[Item Name],$A730,tblReceipts[Expiry Date],"&lt;"&amp;$H730)+COUNTIFS(tblReceipts[Item Name],$A730,tblReceipts[Expiry Date],$H730,tblReceipts[Lot Number],"&lt;="&amp;Receipts!$C733))</f>
        <v/>
      </c>
      <c r="K730" s="26" t="str">
        <f>IF($A730="","",SUMIFS(tblReceipts[Qty Received],tblReceipts[Item Name],$A730,tblReceipts[Expiry Date],"&lt;"&amp;$H730)+SUMIFS(tblReceipts[Qty Received],tblReceipts[Item Name],$A730,tblReceipts[Expiry Date],$H730,tblReceipts[Lot Number],"&lt;"&amp;Receipts!$C733))</f>
        <v/>
      </c>
      <c r="L730" s="26" t="str">
        <f>IF($A730="","",MIN($D730,MAX(0,SUMIFS(tblIssues[Qty Issued],tblIssues[Item Name],$A730)-$K730)))</f>
        <v/>
      </c>
      <c r="M730" s="26" t="str">
        <f>IF($A730="","",SUMIFS(tblIssues[Qty Issued],tblIssues[Lot Number],$B730))</f>
        <v/>
      </c>
      <c r="N730" s="26" t="str">
        <f t="shared" si="57"/>
        <v/>
      </c>
      <c r="O730" s="26" t="str">
        <f t="shared" si="58"/>
        <v/>
      </c>
      <c r="P730" s="21" t="str">
        <f t="shared" si="59"/>
        <v/>
      </c>
      <c r="Q730" s="52" t="str">
        <f>IF($A730="","",IF($O730&lt;=0,"Depleted",IF($I730&lt;0,"EXPIRED",IF($I730&lt;=Settings!$C$6,"CRITICAL",IF($I730&lt;=Settings!$C$5,"Expiring","In date")))))</f>
        <v/>
      </c>
    </row>
    <row r="731" spans="1:17" x14ac:dyDescent="0.35">
      <c r="A731" s="90" t="str">
        <f>IF(Receipts!$D734="","",Receipts!$D734)</f>
        <v/>
      </c>
      <c r="B731" s="18" t="str">
        <f>IF(Receipts!$C734="","",Receipts!$C734)</f>
        <v/>
      </c>
      <c r="C731" s="18" t="str">
        <f>IF($A731="","",IFERROR(INDEX(Items!$B$5:$B$597,MATCH($A731,Items!$A$5:$A$597,0)),""))</f>
        <v/>
      </c>
      <c r="D731" s="23" t="str">
        <f>IF($A731="","",N(Receipts!$G734))</f>
        <v/>
      </c>
      <c r="E731" s="20" t="str">
        <f>IF($A731="","",IFERROR(INDEX(Items!$D$5:$D$597,MATCH($A731,Items!$A$5:$A$597,0)),0))</f>
        <v/>
      </c>
      <c r="F731" s="21" t="str">
        <f t="shared" si="55"/>
        <v/>
      </c>
      <c r="G731" s="25" t="str">
        <f>IF(Receipts!$I734="","",Receipts!$I734)</f>
        <v/>
      </c>
      <c r="H731" s="25" t="str">
        <f>IF(Receipts!$H734="","",Receipts!$H734)</f>
        <v/>
      </c>
      <c r="I731" s="26" t="str">
        <f t="shared" ca="1" si="56"/>
        <v/>
      </c>
      <c r="J731" s="26" t="str">
        <f>IF($A731="","",COUNTIFS(tblReceipts[Item Name],$A731,tblReceipts[Expiry Date],"&lt;"&amp;$H731)+COUNTIFS(tblReceipts[Item Name],$A731,tblReceipts[Expiry Date],$H731,tblReceipts[Lot Number],"&lt;="&amp;Receipts!$C734))</f>
        <v/>
      </c>
      <c r="K731" s="26" t="str">
        <f>IF($A731="","",SUMIFS(tblReceipts[Qty Received],tblReceipts[Item Name],$A731,tblReceipts[Expiry Date],"&lt;"&amp;$H731)+SUMIFS(tblReceipts[Qty Received],tblReceipts[Item Name],$A731,tblReceipts[Expiry Date],$H731,tblReceipts[Lot Number],"&lt;"&amp;Receipts!$C734))</f>
        <v/>
      </c>
      <c r="L731" s="26" t="str">
        <f>IF($A731="","",MIN($D731,MAX(0,SUMIFS(tblIssues[Qty Issued],tblIssues[Item Name],$A731)-$K731)))</f>
        <v/>
      </c>
      <c r="M731" s="26" t="str">
        <f>IF($A731="","",SUMIFS(tblIssues[Qty Issued],tblIssues[Lot Number],$B731))</f>
        <v/>
      </c>
      <c r="N731" s="26" t="str">
        <f t="shared" si="57"/>
        <v/>
      </c>
      <c r="O731" s="26" t="str">
        <f t="shared" si="58"/>
        <v/>
      </c>
      <c r="P731" s="21" t="str">
        <f t="shared" si="59"/>
        <v/>
      </c>
      <c r="Q731" s="52" t="str">
        <f>IF($A731="","",IF($O731&lt;=0,"Depleted",IF($I731&lt;0,"EXPIRED",IF($I731&lt;=Settings!$C$6,"CRITICAL",IF($I731&lt;=Settings!$C$5,"Expiring","In date")))))</f>
        <v/>
      </c>
    </row>
    <row r="732" spans="1:17" x14ac:dyDescent="0.35">
      <c r="A732" s="90" t="str">
        <f>IF(Receipts!$D735="","",Receipts!$D735)</f>
        <v/>
      </c>
      <c r="B732" s="18" t="str">
        <f>IF(Receipts!$C735="","",Receipts!$C735)</f>
        <v/>
      </c>
      <c r="C732" s="18" t="str">
        <f>IF($A732="","",IFERROR(INDEX(Items!$B$5:$B$597,MATCH($A732,Items!$A$5:$A$597,0)),""))</f>
        <v/>
      </c>
      <c r="D732" s="23" t="str">
        <f>IF($A732="","",N(Receipts!$G735))</f>
        <v/>
      </c>
      <c r="E732" s="20" t="str">
        <f>IF($A732="","",IFERROR(INDEX(Items!$D$5:$D$597,MATCH($A732,Items!$A$5:$A$597,0)),0))</f>
        <v/>
      </c>
      <c r="F732" s="21" t="str">
        <f t="shared" si="55"/>
        <v/>
      </c>
      <c r="G732" s="25" t="str">
        <f>IF(Receipts!$I735="","",Receipts!$I735)</f>
        <v/>
      </c>
      <c r="H732" s="25" t="str">
        <f>IF(Receipts!$H735="","",Receipts!$H735)</f>
        <v/>
      </c>
      <c r="I732" s="26" t="str">
        <f t="shared" ca="1" si="56"/>
        <v/>
      </c>
      <c r="J732" s="26" t="str">
        <f>IF($A732="","",COUNTIFS(tblReceipts[Item Name],$A732,tblReceipts[Expiry Date],"&lt;"&amp;$H732)+COUNTIFS(tblReceipts[Item Name],$A732,tblReceipts[Expiry Date],$H732,tblReceipts[Lot Number],"&lt;="&amp;Receipts!$C735))</f>
        <v/>
      </c>
      <c r="K732" s="26" t="str">
        <f>IF($A732="","",SUMIFS(tblReceipts[Qty Received],tblReceipts[Item Name],$A732,tblReceipts[Expiry Date],"&lt;"&amp;$H732)+SUMIFS(tblReceipts[Qty Received],tblReceipts[Item Name],$A732,tblReceipts[Expiry Date],$H732,tblReceipts[Lot Number],"&lt;"&amp;Receipts!$C735))</f>
        <v/>
      </c>
      <c r="L732" s="26" t="str">
        <f>IF($A732="","",MIN($D732,MAX(0,SUMIFS(tblIssues[Qty Issued],tblIssues[Item Name],$A732)-$K732)))</f>
        <v/>
      </c>
      <c r="M732" s="26" t="str">
        <f>IF($A732="","",SUMIFS(tblIssues[Qty Issued],tblIssues[Lot Number],$B732))</f>
        <v/>
      </c>
      <c r="N732" s="26" t="str">
        <f t="shared" si="57"/>
        <v/>
      </c>
      <c r="O732" s="26" t="str">
        <f t="shared" si="58"/>
        <v/>
      </c>
      <c r="P732" s="21" t="str">
        <f t="shared" si="59"/>
        <v/>
      </c>
      <c r="Q732" s="52" t="str">
        <f>IF($A732="","",IF($O732&lt;=0,"Depleted",IF($I732&lt;0,"EXPIRED",IF($I732&lt;=Settings!$C$6,"CRITICAL",IF($I732&lt;=Settings!$C$5,"Expiring","In date")))))</f>
        <v/>
      </c>
    </row>
    <row r="733" spans="1:17" x14ac:dyDescent="0.35">
      <c r="A733" s="90" t="str">
        <f>IF(Receipts!$D736="","",Receipts!$D736)</f>
        <v/>
      </c>
      <c r="B733" s="18" t="str">
        <f>IF(Receipts!$C736="","",Receipts!$C736)</f>
        <v/>
      </c>
      <c r="C733" s="18" t="str">
        <f>IF($A733="","",IFERROR(INDEX(Items!$B$5:$B$597,MATCH($A733,Items!$A$5:$A$597,0)),""))</f>
        <v/>
      </c>
      <c r="D733" s="23" t="str">
        <f>IF($A733="","",N(Receipts!$G736))</f>
        <v/>
      </c>
      <c r="E733" s="20" t="str">
        <f>IF($A733="","",IFERROR(INDEX(Items!$D$5:$D$597,MATCH($A733,Items!$A$5:$A$597,0)),0))</f>
        <v/>
      </c>
      <c r="F733" s="21" t="str">
        <f t="shared" si="55"/>
        <v/>
      </c>
      <c r="G733" s="25" t="str">
        <f>IF(Receipts!$I736="","",Receipts!$I736)</f>
        <v/>
      </c>
      <c r="H733" s="25" t="str">
        <f>IF(Receipts!$H736="","",Receipts!$H736)</f>
        <v/>
      </c>
      <c r="I733" s="26" t="str">
        <f t="shared" ca="1" si="56"/>
        <v/>
      </c>
      <c r="J733" s="26" t="str">
        <f>IF($A733="","",COUNTIFS(tblReceipts[Item Name],$A733,tblReceipts[Expiry Date],"&lt;"&amp;$H733)+COUNTIFS(tblReceipts[Item Name],$A733,tblReceipts[Expiry Date],$H733,tblReceipts[Lot Number],"&lt;="&amp;Receipts!$C736))</f>
        <v/>
      </c>
      <c r="K733" s="26" t="str">
        <f>IF($A733="","",SUMIFS(tblReceipts[Qty Received],tblReceipts[Item Name],$A733,tblReceipts[Expiry Date],"&lt;"&amp;$H733)+SUMIFS(tblReceipts[Qty Received],tblReceipts[Item Name],$A733,tblReceipts[Expiry Date],$H733,tblReceipts[Lot Number],"&lt;"&amp;Receipts!$C736))</f>
        <v/>
      </c>
      <c r="L733" s="26" t="str">
        <f>IF($A733="","",MIN($D733,MAX(0,SUMIFS(tblIssues[Qty Issued],tblIssues[Item Name],$A733)-$K733)))</f>
        <v/>
      </c>
      <c r="M733" s="26" t="str">
        <f>IF($A733="","",SUMIFS(tblIssues[Qty Issued],tblIssues[Lot Number],$B733))</f>
        <v/>
      </c>
      <c r="N733" s="26" t="str">
        <f t="shared" si="57"/>
        <v/>
      </c>
      <c r="O733" s="26" t="str">
        <f t="shared" si="58"/>
        <v/>
      </c>
      <c r="P733" s="21" t="str">
        <f t="shared" si="59"/>
        <v/>
      </c>
      <c r="Q733" s="52" t="str">
        <f>IF($A733="","",IF($O733&lt;=0,"Depleted",IF($I733&lt;0,"EXPIRED",IF($I733&lt;=Settings!$C$6,"CRITICAL",IF($I733&lt;=Settings!$C$5,"Expiring","In date")))))</f>
        <v/>
      </c>
    </row>
    <row r="734" spans="1:17" x14ac:dyDescent="0.35">
      <c r="A734" s="90" t="str">
        <f>IF(Receipts!$D737="","",Receipts!$D737)</f>
        <v/>
      </c>
      <c r="B734" s="18" t="str">
        <f>IF(Receipts!$C737="","",Receipts!$C737)</f>
        <v/>
      </c>
      <c r="C734" s="18" t="str">
        <f>IF($A734="","",IFERROR(INDEX(Items!$B$5:$B$597,MATCH($A734,Items!$A$5:$A$597,0)),""))</f>
        <v/>
      </c>
      <c r="D734" s="23" t="str">
        <f>IF($A734="","",N(Receipts!$G737))</f>
        <v/>
      </c>
      <c r="E734" s="20" t="str">
        <f>IF($A734="","",IFERROR(INDEX(Items!$D$5:$D$597,MATCH($A734,Items!$A$5:$A$597,0)),0))</f>
        <v/>
      </c>
      <c r="F734" s="21" t="str">
        <f t="shared" si="55"/>
        <v/>
      </c>
      <c r="G734" s="25" t="str">
        <f>IF(Receipts!$I737="","",Receipts!$I737)</f>
        <v/>
      </c>
      <c r="H734" s="25" t="str">
        <f>IF(Receipts!$H737="","",Receipts!$H737)</f>
        <v/>
      </c>
      <c r="I734" s="26" t="str">
        <f t="shared" ca="1" si="56"/>
        <v/>
      </c>
      <c r="J734" s="26" t="str">
        <f>IF($A734="","",COUNTIFS(tblReceipts[Item Name],$A734,tblReceipts[Expiry Date],"&lt;"&amp;$H734)+COUNTIFS(tblReceipts[Item Name],$A734,tblReceipts[Expiry Date],$H734,tblReceipts[Lot Number],"&lt;="&amp;Receipts!$C737))</f>
        <v/>
      </c>
      <c r="K734" s="26" t="str">
        <f>IF($A734="","",SUMIFS(tblReceipts[Qty Received],tblReceipts[Item Name],$A734,tblReceipts[Expiry Date],"&lt;"&amp;$H734)+SUMIFS(tblReceipts[Qty Received],tblReceipts[Item Name],$A734,tblReceipts[Expiry Date],$H734,tblReceipts[Lot Number],"&lt;"&amp;Receipts!$C737))</f>
        <v/>
      </c>
      <c r="L734" s="26" t="str">
        <f>IF($A734="","",MIN($D734,MAX(0,SUMIFS(tblIssues[Qty Issued],tblIssues[Item Name],$A734)-$K734)))</f>
        <v/>
      </c>
      <c r="M734" s="26" t="str">
        <f>IF($A734="","",SUMIFS(tblIssues[Qty Issued],tblIssues[Lot Number],$B734))</f>
        <v/>
      </c>
      <c r="N734" s="26" t="str">
        <f t="shared" si="57"/>
        <v/>
      </c>
      <c r="O734" s="26" t="str">
        <f t="shared" si="58"/>
        <v/>
      </c>
      <c r="P734" s="21" t="str">
        <f t="shared" si="59"/>
        <v/>
      </c>
      <c r="Q734" s="52" t="str">
        <f>IF($A734="","",IF($O734&lt;=0,"Depleted",IF($I734&lt;0,"EXPIRED",IF($I734&lt;=Settings!$C$6,"CRITICAL",IF($I734&lt;=Settings!$C$5,"Expiring","In date")))))</f>
        <v/>
      </c>
    </row>
    <row r="735" spans="1:17" x14ac:dyDescent="0.35">
      <c r="A735" s="90" t="str">
        <f>IF(Receipts!$D738="","",Receipts!$D738)</f>
        <v/>
      </c>
      <c r="B735" s="18" t="str">
        <f>IF(Receipts!$C738="","",Receipts!$C738)</f>
        <v/>
      </c>
      <c r="C735" s="18" t="str">
        <f>IF($A735="","",IFERROR(INDEX(Items!$B$5:$B$597,MATCH($A735,Items!$A$5:$A$597,0)),""))</f>
        <v/>
      </c>
      <c r="D735" s="23" t="str">
        <f>IF($A735="","",N(Receipts!$G738))</f>
        <v/>
      </c>
      <c r="E735" s="20" t="str">
        <f>IF($A735="","",IFERROR(INDEX(Items!$D$5:$D$597,MATCH($A735,Items!$A$5:$A$597,0)),0))</f>
        <v/>
      </c>
      <c r="F735" s="21" t="str">
        <f t="shared" si="55"/>
        <v/>
      </c>
      <c r="G735" s="25" t="str">
        <f>IF(Receipts!$I738="","",Receipts!$I738)</f>
        <v/>
      </c>
      <c r="H735" s="25" t="str">
        <f>IF(Receipts!$H738="","",Receipts!$H738)</f>
        <v/>
      </c>
      <c r="I735" s="26" t="str">
        <f t="shared" ca="1" si="56"/>
        <v/>
      </c>
      <c r="J735" s="26" t="str">
        <f>IF($A735="","",COUNTIFS(tblReceipts[Item Name],$A735,tblReceipts[Expiry Date],"&lt;"&amp;$H735)+COUNTIFS(tblReceipts[Item Name],$A735,tblReceipts[Expiry Date],$H735,tblReceipts[Lot Number],"&lt;="&amp;Receipts!$C738))</f>
        <v/>
      </c>
      <c r="K735" s="26" t="str">
        <f>IF($A735="","",SUMIFS(tblReceipts[Qty Received],tblReceipts[Item Name],$A735,tblReceipts[Expiry Date],"&lt;"&amp;$H735)+SUMIFS(tblReceipts[Qty Received],tblReceipts[Item Name],$A735,tblReceipts[Expiry Date],$H735,tblReceipts[Lot Number],"&lt;"&amp;Receipts!$C738))</f>
        <v/>
      </c>
      <c r="L735" s="26" t="str">
        <f>IF($A735="","",MIN($D735,MAX(0,SUMIFS(tblIssues[Qty Issued],tblIssues[Item Name],$A735)-$K735)))</f>
        <v/>
      </c>
      <c r="M735" s="26" t="str">
        <f>IF($A735="","",SUMIFS(tblIssues[Qty Issued],tblIssues[Lot Number],$B735))</f>
        <v/>
      </c>
      <c r="N735" s="26" t="str">
        <f t="shared" si="57"/>
        <v/>
      </c>
      <c r="O735" s="26" t="str">
        <f t="shared" si="58"/>
        <v/>
      </c>
      <c r="P735" s="21" t="str">
        <f t="shared" si="59"/>
        <v/>
      </c>
      <c r="Q735" s="52" t="str">
        <f>IF($A735="","",IF($O735&lt;=0,"Depleted",IF($I735&lt;0,"EXPIRED",IF($I735&lt;=Settings!$C$6,"CRITICAL",IF($I735&lt;=Settings!$C$5,"Expiring","In date")))))</f>
        <v/>
      </c>
    </row>
    <row r="736" spans="1:17" x14ac:dyDescent="0.35">
      <c r="A736" s="90" t="str">
        <f>IF(Receipts!$D739="","",Receipts!$D739)</f>
        <v/>
      </c>
      <c r="B736" s="18" t="str">
        <f>IF(Receipts!$C739="","",Receipts!$C739)</f>
        <v/>
      </c>
      <c r="C736" s="18" t="str">
        <f>IF($A736="","",IFERROR(INDEX(Items!$B$5:$B$597,MATCH($A736,Items!$A$5:$A$597,0)),""))</f>
        <v/>
      </c>
      <c r="D736" s="23" t="str">
        <f>IF($A736="","",N(Receipts!$G739))</f>
        <v/>
      </c>
      <c r="E736" s="20" t="str">
        <f>IF($A736="","",IFERROR(INDEX(Items!$D$5:$D$597,MATCH($A736,Items!$A$5:$A$597,0)),0))</f>
        <v/>
      </c>
      <c r="F736" s="21" t="str">
        <f t="shared" si="55"/>
        <v/>
      </c>
      <c r="G736" s="25" t="str">
        <f>IF(Receipts!$I739="","",Receipts!$I739)</f>
        <v/>
      </c>
      <c r="H736" s="25" t="str">
        <f>IF(Receipts!$H739="","",Receipts!$H739)</f>
        <v/>
      </c>
      <c r="I736" s="26" t="str">
        <f t="shared" ca="1" si="56"/>
        <v/>
      </c>
      <c r="J736" s="26" t="str">
        <f>IF($A736="","",COUNTIFS(tblReceipts[Item Name],$A736,tblReceipts[Expiry Date],"&lt;"&amp;$H736)+COUNTIFS(tblReceipts[Item Name],$A736,tblReceipts[Expiry Date],$H736,tblReceipts[Lot Number],"&lt;="&amp;Receipts!$C739))</f>
        <v/>
      </c>
      <c r="K736" s="26" t="str">
        <f>IF($A736="","",SUMIFS(tblReceipts[Qty Received],tblReceipts[Item Name],$A736,tblReceipts[Expiry Date],"&lt;"&amp;$H736)+SUMIFS(tblReceipts[Qty Received],tblReceipts[Item Name],$A736,tblReceipts[Expiry Date],$H736,tblReceipts[Lot Number],"&lt;"&amp;Receipts!$C739))</f>
        <v/>
      </c>
      <c r="L736" s="26" t="str">
        <f>IF($A736="","",MIN($D736,MAX(0,SUMIFS(tblIssues[Qty Issued],tblIssues[Item Name],$A736)-$K736)))</f>
        <v/>
      </c>
      <c r="M736" s="26" t="str">
        <f>IF($A736="","",SUMIFS(tblIssues[Qty Issued],tblIssues[Lot Number],$B736))</f>
        <v/>
      </c>
      <c r="N736" s="26" t="str">
        <f t="shared" si="57"/>
        <v/>
      </c>
      <c r="O736" s="26" t="str">
        <f t="shared" si="58"/>
        <v/>
      </c>
      <c r="P736" s="21" t="str">
        <f t="shared" si="59"/>
        <v/>
      </c>
      <c r="Q736" s="52" t="str">
        <f>IF($A736="","",IF($O736&lt;=0,"Depleted",IF($I736&lt;0,"EXPIRED",IF($I736&lt;=Settings!$C$6,"CRITICAL",IF($I736&lt;=Settings!$C$5,"Expiring","In date")))))</f>
        <v/>
      </c>
    </row>
    <row r="737" spans="1:17" x14ac:dyDescent="0.35">
      <c r="A737" s="90" t="str">
        <f>IF(Receipts!$D740="","",Receipts!$D740)</f>
        <v/>
      </c>
      <c r="B737" s="18" t="str">
        <f>IF(Receipts!$C740="","",Receipts!$C740)</f>
        <v/>
      </c>
      <c r="C737" s="18" t="str">
        <f>IF($A737="","",IFERROR(INDEX(Items!$B$5:$B$597,MATCH($A737,Items!$A$5:$A$597,0)),""))</f>
        <v/>
      </c>
      <c r="D737" s="23" t="str">
        <f>IF($A737="","",N(Receipts!$G740))</f>
        <v/>
      </c>
      <c r="E737" s="20" t="str">
        <f>IF($A737="","",IFERROR(INDEX(Items!$D$5:$D$597,MATCH($A737,Items!$A$5:$A$597,0)),0))</f>
        <v/>
      </c>
      <c r="F737" s="21" t="str">
        <f t="shared" si="55"/>
        <v/>
      </c>
      <c r="G737" s="25" t="str">
        <f>IF(Receipts!$I740="","",Receipts!$I740)</f>
        <v/>
      </c>
      <c r="H737" s="25" t="str">
        <f>IF(Receipts!$H740="","",Receipts!$H740)</f>
        <v/>
      </c>
      <c r="I737" s="26" t="str">
        <f t="shared" ca="1" si="56"/>
        <v/>
      </c>
      <c r="J737" s="26" t="str">
        <f>IF($A737="","",COUNTIFS(tblReceipts[Item Name],$A737,tblReceipts[Expiry Date],"&lt;"&amp;$H737)+COUNTIFS(tblReceipts[Item Name],$A737,tblReceipts[Expiry Date],$H737,tblReceipts[Lot Number],"&lt;="&amp;Receipts!$C740))</f>
        <v/>
      </c>
      <c r="K737" s="26" t="str">
        <f>IF($A737="","",SUMIFS(tblReceipts[Qty Received],tblReceipts[Item Name],$A737,tblReceipts[Expiry Date],"&lt;"&amp;$H737)+SUMIFS(tblReceipts[Qty Received],tblReceipts[Item Name],$A737,tblReceipts[Expiry Date],$H737,tblReceipts[Lot Number],"&lt;"&amp;Receipts!$C740))</f>
        <v/>
      </c>
      <c r="L737" s="26" t="str">
        <f>IF($A737="","",MIN($D737,MAX(0,SUMIFS(tblIssues[Qty Issued],tblIssues[Item Name],$A737)-$K737)))</f>
        <v/>
      </c>
      <c r="M737" s="26" t="str">
        <f>IF($A737="","",SUMIFS(tblIssues[Qty Issued],tblIssues[Lot Number],$B737))</f>
        <v/>
      </c>
      <c r="N737" s="26" t="str">
        <f t="shared" si="57"/>
        <v/>
      </c>
      <c r="O737" s="26" t="str">
        <f t="shared" si="58"/>
        <v/>
      </c>
      <c r="P737" s="21" t="str">
        <f t="shared" si="59"/>
        <v/>
      </c>
      <c r="Q737" s="52" t="str">
        <f>IF($A737="","",IF($O737&lt;=0,"Depleted",IF($I737&lt;0,"EXPIRED",IF($I737&lt;=Settings!$C$6,"CRITICAL",IF($I737&lt;=Settings!$C$5,"Expiring","In date")))))</f>
        <v/>
      </c>
    </row>
    <row r="738" spans="1:17" x14ac:dyDescent="0.35">
      <c r="A738" s="90" t="str">
        <f>IF(Receipts!$D741="","",Receipts!$D741)</f>
        <v/>
      </c>
      <c r="B738" s="18" t="str">
        <f>IF(Receipts!$C741="","",Receipts!$C741)</f>
        <v/>
      </c>
      <c r="C738" s="18" t="str">
        <f>IF($A738="","",IFERROR(INDEX(Items!$B$5:$B$597,MATCH($A738,Items!$A$5:$A$597,0)),""))</f>
        <v/>
      </c>
      <c r="D738" s="23" t="str">
        <f>IF($A738="","",N(Receipts!$G741))</f>
        <v/>
      </c>
      <c r="E738" s="20" t="str">
        <f>IF($A738="","",IFERROR(INDEX(Items!$D$5:$D$597,MATCH($A738,Items!$A$5:$A$597,0)),0))</f>
        <v/>
      </c>
      <c r="F738" s="21" t="str">
        <f t="shared" si="55"/>
        <v/>
      </c>
      <c r="G738" s="25" t="str">
        <f>IF(Receipts!$I741="","",Receipts!$I741)</f>
        <v/>
      </c>
      <c r="H738" s="25" t="str">
        <f>IF(Receipts!$H741="","",Receipts!$H741)</f>
        <v/>
      </c>
      <c r="I738" s="26" t="str">
        <f t="shared" ca="1" si="56"/>
        <v/>
      </c>
      <c r="J738" s="26" t="str">
        <f>IF($A738="","",COUNTIFS(tblReceipts[Item Name],$A738,tblReceipts[Expiry Date],"&lt;"&amp;$H738)+COUNTIFS(tblReceipts[Item Name],$A738,tblReceipts[Expiry Date],$H738,tblReceipts[Lot Number],"&lt;="&amp;Receipts!$C741))</f>
        <v/>
      </c>
      <c r="K738" s="26" t="str">
        <f>IF($A738="","",SUMIFS(tblReceipts[Qty Received],tblReceipts[Item Name],$A738,tblReceipts[Expiry Date],"&lt;"&amp;$H738)+SUMIFS(tblReceipts[Qty Received],tblReceipts[Item Name],$A738,tblReceipts[Expiry Date],$H738,tblReceipts[Lot Number],"&lt;"&amp;Receipts!$C741))</f>
        <v/>
      </c>
      <c r="L738" s="26" t="str">
        <f>IF($A738="","",MIN($D738,MAX(0,SUMIFS(tblIssues[Qty Issued],tblIssues[Item Name],$A738)-$K738)))</f>
        <v/>
      </c>
      <c r="M738" s="26" t="str">
        <f>IF($A738="","",SUMIFS(tblIssues[Qty Issued],tblIssues[Lot Number],$B738))</f>
        <v/>
      </c>
      <c r="N738" s="26" t="str">
        <f t="shared" si="57"/>
        <v/>
      </c>
      <c r="O738" s="26" t="str">
        <f t="shared" si="58"/>
        <v/>
      </c>
      <c r="P738" s="21" t="str">
        <f t="shared" si="59"/>
        <v/>
      </c>
      <c r="Q738" s="52" t="str">
        <f>IF($A738="","",IF($O738&lt;=0,"Depleted",IF($I738&lt;0,"EXPIRED",IF($I738&lt;=Settings!$C$6,"CRITICAL",IF($I738&lt;=Settings!$C$5,"Expiring","In date")))))</f>
        <v/>
      </c>
    </row>
    <row r="739" spans="1:17" x14ac:dyDescent="0.35">
      <c r="A739" s="90" t="str">
        <f>IF(Receipts!$D742="","",Receipts!$D742)</f>
        <v/>
      </c>
      <c r="B739" s="18" t="str">
        <f>IF(Receipts!$C742="","",Receipts!$C742)</f>
        <v/>
      </c>
      <c r="C739" s="18" t="str">
        <f>IF($A739="","",IFERROR(INDEX(Items!$B$5:$B$597,MATCH($A739,Items!$A$5:$A$597,0)),""))</f>
        <v/>
      </c>
      <c r="D739" s="23" t="str">
        <f>IF($A739="","",N(Receipts!$G742))</f>
        <v/>
      </c>
      <c r="E739" s="20" t="str">
        <f>IF($A739="","",IFERROR(INDEX(Items!$D$5:$D$597,MATCH($A739,Items!$A$5:$A$597,0)),0))</f>
        <v/>
      </c>
      <c r="F739" s="21" t="str">
        <f t="shared" si="55"/>
        <v/>
      </c>
      <c r="G739" s="25" t="str">
        <f>IF(Receipts!$I742="","",Receipts!$I742)</f>
        <v/>
      </c>
      <c r="H739" s="25" t="str">
        <f>IF(Receipts!$H742="","",Receipts!$H742)</f>
        <v/>
      </c>
      <c r="I739" s="26" t="str">
        <f t="shared" ca="1" si="56"/>
        <v/>
      </c>
      <c r="J739" s="26" t="str">
        <f>IF($A739="","",COUNTIFS(tblReceipts[Item Name],$A739,tblReceipts[Expiry Date],"&lt;"&amp;$H739)+COUNTIFS(tblReceipts[Item Name],$A739,tblReceipts[Expiry Date],$H739,tblReceipts[Lot Number],"&lt;="&amp;Receipts!$C742))</f>
        <v/>
      </c>
      <c r="K739" s="26" t="str">
        <f>IF($A739="","",SUMIFS(tblReceipts[Qty Received],tblReceipts[Item Name],$A739,tblReceipts[Expiry Date],"&lt;"&amp;$H739)+SUMIFS(tblReceipts[Qty Received],tblReceipts[Item Name],$A739,tblReceipts[Expiry Date],$H739,tblReceipts[Lot Number],"&lt;"&amp;Receipts!$C742))</f>
        <v/>
      </c>
      <c r="L739" s="26" t="str">
        <f>IF($A739="","",MIN($D739,MAX(0,SUMIFS(tblIssues[Qty Issued],tblIssues[Item Name],$A739)-$K739)))</f>
        <v/>
      </c>
      <c r="M739" s="26" t="str">
        <f>IF($A739="","",SUMIFS(tblIssues[Qty Issued],tblIssues[Lot Number],$B739))</f>
        <v/>
      </c>
      <c r="N739" s="26" t="str">
        <f t="shared" si="57"/>
        <v/>
      </c>
      <c r="O739" s="26" t="str">
        <f t="shared" si="58"/>
        <v/>
      </c>
      <c r="P739" s="21" t="str">
        <f t="shared" si="59"/>
        <v/>
      </c>
      <c r="Q739" s="52" t="str">
        <f>IF($A739="","",IF($O739&lt;=0,"Depleted",IF($I739&lt;0,"EXPIRED",IF($I739&lt;=Settings!$C$6,"CRITICAL",IF($I739&lt;=Settings!$C$5,"Expiring","In date")))))</f>
        <v/>
      </c>
    </row>
    <row r="740" spans="1:17" x14ac:dyDescent="0.35">
      <c r="A740" s="90" t="str">
        <f>IF(Receipts!$D743="","",Receipts!$D743)</f>
        <v/>
      </c>
      <c r="B740" s="18" t="str">
        <f>IF(Receipts!$C743="","",Receipts!$C743)</f>
        <v/>
      </c>
      <c r="C740" s="18" t="str">
        <f>IF($A740="","",IFERROR(INDEX(Items!$B$5:$B$597,MATCH($A740,Items!$A$5:$A$597,0)),""))</f>
        <v/>
      </c>
      <c r="D740" s="23" t="str">
        <f>IF($A740="","",N(Receipts!$G743))</f>
        <v/>
      </c>
      <c r="E740" s="20" t="str">
        <f>IF($A740="","",IFERROR(INDEX(Items!$D$5:$D$597,MATCH($A740,Items!$A$5:$A$597,0)),0))</f>
        <v/>
      </c>
      <c r="F740" s="21" t="str">
        <f t="shared" si="55"/>
        <v/>
      </c>
      <c r="G740" s="25" t="str">
        <f>IF(Receipts!$I743="","",Receipts!$I743)</f>
        <v/>
      </c>
      <c r="H740" s="25" t="str">
        <f>IF(Receipts!$H743="","",Receipts!$H743)</f>
        <v/>
      </c>
      <c r="I740" s="26" t="str">
        <f t="shared" ca="1" si="56"/>
        <v/>
      </c>
      <c r="J740" s="26" t="str">
        <f>IF($A740="","",COUNTIFS(tblReceipts[Item Name],$A740,tblReceipts[Expiry Date],"&lt;"&amp;$H740)+COUNTIFS(tblReceipts[Item Name],$A740,tblReceipts[Expiry Date],$H740,tblReceipts[Lot Number],"&lt;="&amp;Receipts!$C743))</f>
        <v/>
      </c>
      <c r="K740" s="26" t="str">
        <f>IF($A740="","",SUMIFS(tblReceipts[Qty Received],tblReceipts[Item Name],$A740,tblReceipts[Expiry Date],"&lt;"&amp;$H740)+SUMIFS(tblReceipts[Qty Received],tblReceipts[Item Name],$A740,tblReceipts[Expiry Date],$H740,tblReceipts[Lot Number],"&lt;"&amp;Receipts!$C743))</f>
        <v/>
      </c>
      <c r="L740" s="26" t="str">
        <f>IF($A740="","",MIN($D740,MAX(0,SUMIFS(tblIssues[Qty Issued],tblIssues[Item Name],$A740)-$K740)))</f>
        <v/>
      </c>
      <c r="M740" s="26" t="str">
        <f>IF($A740="","",SUMIFS(tblIssues[Qty Issued],tblIssues[Lot Number],$B740))</f>
        <v/>
      </c>
      <c r="N740" s="26" t="str">
        <f t="shared" si="57"/>
        <v/>
      </c>
      <c r="O740" s="26" t="str">
        <f t="shared" si="58"/>
        <v/>
      </c>
      <c r="P740" s="21" t="str">
        <f t="shared" si="59"/>
        <v/>
      </c>
      <c r="Q740" s="52" t="str">
        <f>IF($A740="","",IF($O740&lt;=0,"Depleted",IF($I740&lt;0,"EXPIRED",IF($I740&lt;=Settings!$C$6,"CRITICAL",IF($I740&lt;=Settings!$C$5,"Expiring","In date")))))</f>
        <v/>
      </c>
    </row>
    <row r="741" spans="1:17" x14ac:dyDescent="0.35">
      <c r="A741" s="90" t="str">
        <f>IF(Receipts!$D744="","",Receipts!$D744)</f>
        <v/>
      </c>
      <c r="B741" s="18" t="str">
        <f>IF(Receipts!$C744="","",Receipts!$C744)</f>
        <v/>
      </c>
      <c r="C741" s="18" t="str">
        <f>IF($A741="","",IFERROR(INDEX(Items!$B$5:$B$597,MATCH($A741,Items!$A$5:$A$597,0)),""))</f>
        <v/>
      </c>
      <c r="D741" s="23" t="str">
        <f>IF($A741="","",N(Receipts!$G744))</f>
        <v/>
      </c>
      <c r="E741" s="20" t="str">
        <f>IF($A741="","",IFERROR(INDEX(Items!$D$5:$D$597,MATCH($A741,Items!$A$5:$A$597,0)),0))</f>
        <v/>
      </c>
      <c r="F741" s="21" t="str">
        <f t="shared" si="55"/>
        <v/>
      </c>
      <c r="G741" s="25" t="str">
        <f>IF(Receipts!$I744="","",Receipts!$I744)</f>
        <v/>
      </c>
      <c r="H741" s="25" t="str">
        <f>IF(Receipts!$H744="","",Receipts!$H744)</f>
        <v/>
      </c>
      <c r="I741" s="26" t="str">
        <f t="shared" ca="1" si="56"/>
        <v/>
      </c>
      <c r="J741" s="26" t="str">
        <f>IF($A741="","",COUNTIFS(tblReceipts[Item Name],$A741,tblReceipts[Expiry Date],"&lt;"&amp;$H741)+COUNTIFS(tblReceipts[Item Name],$A741,tblReceipts[Expiry Date],$H741,tblReceipts[Lot Number],"&lt;="&amp;Receipts!$C744))</f>
        <v/>
      </c>
      <c r="K741" s="26" t="str">
        <f>IF($A741="","",SUMIFS(tblReceipts[Qty Received],tblReceipts[Item Name],$A741,tblReceipts[Expiry Date],"&lt;"&amp;$H741)+SUMIFS(tblReceipts[Qty Received],tblReceipts[Item Name],$A741,tblReceipts[Expiry Date],$H741,tblReceipts[Lot Number],"&lt;"&amp;Receipts!$C744))</f>
        <v/>
      </c>
      <c r="L741" s="26" t="str">
        <f>IF($A741="","",MIN($D741,MAX(0,SUMIFS(tblIssues[Qty Issued],tblIssues[Item Name],$A741)-$K741)))</f>
        <v/>
      </c>
      <c r="M741" s="26" t="str">
        <f>IF($A741="","",SUMIFS(tblIssues[Qty Issued],tblIssues[Lot Number],$B741))</f>
        <v/>
      </c>
      <c r="N741" s="26" t="str">
        <f t="shared" si="57"/>
        <v/>
      </c>
      <c r="O741" s="26" t="str">
        <f t="shared" si="58"/>
        <v/>
      </c>
      <c r="P741" s="21" t="str">
        <f t="shared" si="59"/>
        <v/>
      </c>
      <c r="Q741" s="52" t="str">
        <f>IF($A741="","",IF($O741&lt;=0,"Depleted",IF($I741&lt;0,"EXPIRED",IF($I741&lt;=Settings!$C$6,"CRITICAL",IF($I741&lt;=Settings!$C$5,"Expiring","In date")))))</f>
        <v/>
      </c>
    </row>
    <row r="742" spans="1:17" x14ac:dyDescent="0.35">
      <c r="A742" s="90" t="str">
        <f>IF(Receipts!$D745="","",Receipts!$D745)</f>
        <v/>
      </c>
      <c r="B742" s="18" t="str">
        <f>IF(Receipts!$C745="","",Receipts!$C745)</f>
        <v/>
      </c>
      <c r="C742" s="18" t="str">
        <f>IF($A742="","",IFERROR(INDEX(Items!$B$5:$B$597,MATCH($A742,Items!$A$5:$A$597,0)),""))</f>
        <v/>
      </c>
      <c r="D742" s="23" t="str">
        <f>IF($A742="","",N(Receipts!$G745))</f>
        <v/>
      </c>
      <c r="E742" s="20" t="str">
        <f>IF($A742="","",IFERROR(INDEX(Items!$D$5:$D$597,MATCH($A742,Items!$A$5:$A$597,0)),0))</f>
        <v/>
      </c>
      <c r="F742" s="21" t="str">
        <f t="shared" si="55"/>
        <v/>
      </c>
      <c r="G742" s="25" t="str">
        <f>IF(Receipts!$I745="","",Receipts!$I745)</f>
        <v/>
      </c>
      <c r="H742" s="25" t="str">
        <f>IF(Receipts!$H745="","",Receipts!$H745)</f>
        <v/>
      </c>
      <c r="I742" s="26" t="str">
        <f t="shared" ca="1" si="56"/>
        <v/>
      </c>
      <c r="J742" s="26" t="str">
        <f>IF($A742="","",COUNTIFS(tblReceipts[Item Name],$A742,tblReceipts[Expiry Date],"&lt;"&amp;$H742)+COUNTIFS(tblReceipts[Item Name],$A742,tblReceipts[Expiry Date],$H742,tblReceipts[Lot Number],"&lt;="&amp;Receipts!$C745))</f>
        <v/>
      </c>
      <c r="K742" s="26" t="str">
        <f>IF($A742="","",SUMIFS(tblReceipts[Qty Received],tblReceipts[Item Name],$A742,tblReceipts[Expiry Date],"&lt;"&amp;$H742)+SUMIFS(tblReceipts[Qty Received],tblReceipts[Item Name],$A742,tblReceipts[Expiry Date],$H742,tblReceipts[Lot Number],"&lt;"&amp;Receipts!$C745))</f>
        <v/>
      </c>
      <c r="L742" s="26" t="str">
        <f>IF($A742="","",MIN($D742,MAX(0,SUMIFS(tblIssues[Qty Issued],tblIssues[Item Name],$A742)-$K742)))</f>
        <v/>
      </c>
      <c r="M742" s="26" t="str">
        <f>IF($A742="","",SUMIFS(tblIssues[Qty Issued],tblIssues[Lot Number],$B742))</f>
        <v/>
      </c>
      <c r="N742" s="26" t="str">
        <f t="shared" si="57"/>
        <v/>
      </c>
      <c r="O742" s="26" t="str">
        <f t="shared" si="58"/>
        <v/>
      </c>
      <c r="P742" s="21" t="str">
        <f t="shared" si="59"/>
        <v/>
      </c>
      <c r="Q742" s="52" t="str">
        <f>IF($A742="","",IF($O742&lt;=0,"Depleted",IF($I742&lt;0,"EXPIRED",IF($I742&lt;=Settings!$C$6,"CRITICAL",IF($I742&lt;=Settings!$C$5,"Expiring","In date")))))</f>
        <v/>
      </c>
    </row>
    <row r="743" spans="1:17" x14ac:dyDescent="0.35">
      <c r="A743" s="90" t="str">
        <f>IF(Receipts!$D746="","",Receipts!$D746)</f>
        <v/>
      </c>
      <c r="B743" s="18" t="str">
        <f>IF(Receipts!$C746="","",Receipts!$C746)</f>
        <v/>
      </c>
      <c r="C743" s="18" t="str">
        <f>IF($A743="","",IFERROR(INDEX(Items!$B$5:$B$597,MATCH($A743,Items!$A$5:$A$597,0)),""))</f>
        <v/>
      </c>
      <c r="D743" s="23" t="str">
        <f>IF($A743="","",N(Receipts!$G746))</f>
        <v/>
      </c>
      <c r="E743" s="20" t="str">
        <f>IF($A743="","",IFERROR(INDEX(Items!$D$5:$D$597,MATCH($A743,Items!$A$5:$A$597,0)),0))</f>
        <v/>
      </c>
      <c r="F743" s="21" t="str">
        <f t="shared" si="55"/>
        <v/>
      </c>
      <c r="G743" s="25" t="str">
        <f>IF(Receipts!$I746="","",Receipts!$I746)</f>
        <v/>
      </c>
      <c r="H743" s="25" t="str">
        <f>IF(Receipts!$H746="","",Receipts!$H746)</f>
        <v/>
      </c>
      <c r="I743" s="26" t="str">
        <f t="shared" ca="1" si="56"/>
        <v/>
      </c>
      <c r="J743" s="26" t="str">
        <f>IF($A743="","",COUNTIFS(tblReceipts[Item Name],$A743,tblReceipts[Expiry Date],"&lt;"&amp;$H743)+COUNTIFS(tblReceipts[Item Name],$A743,tblReceipts[Expiry Date],$H743,tblReceipts[Lot Number],"&lt;="&amp;Receipts!$C746))</f>
        <v/>
      </c>
      <c r="K743" s="26" t="str">
        <f>IF($A743="","",SUMIFS(tblReceipts[Qty Received],tblReceipts[Item Name],$A743,tblReceipts[Expiry Date],"&lt;"&amp;$H743)+SUMIFS(tblReceipts[Qty Received],tblReceipts[Item Name],$A743,tblReceipts[Expiry Date],$H743,tblReceipts[Lot Number],"&lt;"&amp;Receipts!$C746))</f>
        <v/>
      </c>
      <c r="L743" s="26" t="str">
        <f>IF($A743="","",MIN($D743,MAX(0,SUMIFS(tblIssues[Qty Issued],tblIssues[Item Name],$A743)-$K743)))</f>
        <v/>
      </c>
      <c r="M743" s="26" t="str">
        <f>IF($A743="","",SUMIFS(tblIssues[Qty Issued],tblIssues[Lot Number],$B743))</f>
        <v/>
      </c>
      <c r="N743" s="26" t="str">
        <f t="shared" si="57"/>
        <v/>
      </c>
      <c r="O743" s="26" t="str">
        <f t="shared" si="58"/>
        <v/>
      </c>
      <c r="P743" s="21" t="str">
        <f t="shared" si="59"/>
        <v/>
      </c>
      <c r="Q743" s="52" t="str">
        <f>IF($A743="","",IF($O743&lt;=0,"Depleted",IF($I743&lt;0,"EXPIRED",IF($I743&lt;=Settings!$C$6,"CRITICAL",IF($I743&lt;=Settings!$C$5,"Expiring","In date")))))</f>
        <v/>
      </c>
    </row>
    <row r="744" spans="1:17" x14ac:dyDescent="0.35">
      <c r="A744" s="90" t="str">
        <f>IF(Receipts!$D747="","",Receipts!$D747)</f>
        <v/>
      </c>
      <c r="B744" s="18" t="str">
        <f>IF(Receipts!$C747="","",Receipts!$C747)</f>
        <v/>
      </c>
      <c r="C744" s="18" t="str">
        <f>IF($A744="","",IFERROR(INDEX(Items!$B$5:$B$597,MATCH($A744,Items!$A$5:$A$597,0)),""))</f>
        <v/>
      </c>
      <c r="D744" s="23" t="str">
        <f>IF($A744="","",N(Receipts!$G747))</f>
        <v/>
      </c>
      <c r="E744" s="20" t="str">
        <f>IF($A744="","",IFERROR(INDEX(Items!$D$5:$D$597,MATCH($A744,Items!$A$5:$A$597,0)),0))</f>
        <v/>
      </c>
      <c r="F744" s="21" t="str">
        <f t="shared" si="55"/>
        <v/>
      </c>
      <c r="G744" s="25" t="str">
        <f>IF(Receipts!$I747="","",Receipts!$I747)</f>
        <v/>
      </c>
      <c r="H744" s="25" t="str">
        <f>IF(Receipts!$H747="","",Receipts!$H747)</f>
        <v/>
      </c>
      <c r="I744" s="26" t="str">
        <f t="shared" ca="1" si="56"/>
        <v/>
      </c>
      <c r="J744" s="26" t="str">
        <f>IF($A744="","",COUNTIFS(tblReceipts[Item Name],$A744,tblReceipts[Expiry Date],"&lt;"&amp;$H744)+COUNTIFS(tblReceipts[Item Name],$A744,tblReceipts[Expiry Date],$H744,tblReceipts[Lot Number],"&lt;="&amp;Receipts!$C747))</f>
        <v/>
      </c>
      <c r="K744" s="26" t="str">
        <f>IF($A744="","",SUMIFS(tblReceipts[Qty Received],tblReceipts[Item Name],$A744,tblReceipts[Expiry Date],"&lt;"&amp;$H744)+SUMIFS(tblReceipts[Qty Received],tblReceipts[Item Name],$A744,tblReceipts[Expiry Date],$H744,tblReceipts[Lot Number],"&lt;"&amp;Receipts!$C747))</f>
        <v/>
      </c>
      <c r="L744" s="26" t="str">
        <f>IF($A744="","",MIN($D744,MAX(0,SUMIFS(tblIssues[Qty Issued],tblIssues[Item Name],$A744)-$K744)))</f>
        <v/>
      </c>
      <c r="M744" s="26" t="str">
        <f>IF($A744="","",SUMIFS(tblIssues[Qty Issued],tblIssues[Lot Number],$B744))</f>
        <v/>
      </c>
      <c r="N744" s="26" t="str">
        <f t="shared" si="57"/>
        <v/>
      </c>
      <c r="O744" s="26" t="str">
        <f t="shared" si="58"/>
        <v/>
      </c>
      <c r="P744" s="21" t="str">
        <f t="shared" si="59"/>
        <v/>
      </c>
      <c r="Q744" s="52" t="str">
        <f>IF($A744="","",IF($O744&lt;=0,"Depleted",IF($I744&lt;0,"EXPIRED",IF($I744&lt;=Settings!$C$6,"CRITICAL",IF($I744&lt;=Settings!$C$5,"Expiring","In date")))))</f>
        <v/>
      </c>
    </row>
    <row r="745" spans="1:17" x14ac:dyDescent="0.35">
      <c r="A745" s="90" t="str">
        <f>IF(Receipts!$D748="","",Receipts!$D748)</f>
        <v/>
      </c>
      <c r="B745" s="18" t="str">
        <f>IF(Receipts!$C748="","",Receipts!$C748)</f>
        <v/>
      </c>
      <c r="C745" s="18" t="str">
        <f>IF($A745="","",IFERROR(INDEX(Items!$B$5:$B$597,MATCH($A745,Items!$A$5:$A$597,0)),""))</f>
        <v/>
      </c>
      <c r="D745" s="23" t="str">
        <f>IF($A745="","",N(Receipts!$G748))</f>
        <v/>
      </c>
      <c r="E745" s="20" t="str">
        <f>IF($A745="","",IFERROR(INDEX(Items!$D$5:$D$597,MATCH($A745,Items!$A$5:$A$597,0)),0))</f>
        <v/>
      </c>
      <c r="F745" s="21" t="str">
        <f t="shared" si="55"/>
        <v/>
      </c>
      <c r="G745" s="25" t="str">
        <f>IF(Receipts!$I748="","",Receipts!$I748)</f>
        <v/>
      </c>
      <c r="H745" s="25" t="str">
        <f>IF(Receipts!$H748="","",Receipts!$H748)</f>
        <v/>
      </c>
      <c r="I745" s="26" t="str">
        <f t="shared" ca="1" si="56"/>
        <v/>
      </c>
      <c r="J745" s="26" t="str">
        <f>IF($A745="","",COUNTIFS(tblReceipts[Item Name],$A745,tblReceipts[Expiry Date],"&lt;"&amp;$H745)+COUNTIFS(tblReceipts[Item Name],$A745,tblReceipts[Expiry Date],$H745,tblReceipts[Lot Number],"&lt;="&amp;Receipts!$C748))</f>
        <v/>
      </c>
      <c r="K745" s="26" t="str">
        <f>IF($A745="","",SUMIFS(tblReceipts[Qty Received],tblReceipts[Item Name],$A745,tblReceipts[Expiry Date],"&lt;"&amp;$H745)+SUMIFS(tblReceipts[Qty Received],tblReceipts[Item Name],$A745,tblReceipts[Expiry Date],$H745,tblReceipts[Lot Number],"&lt;"&amp;Receipts!$C748))</f>
        <v/>
      </c>
      <c r="L745" s="26" t="str">
        <f>IF($A745="","",MIN($D745,MAX(0,SUMIFS(tblIssues[Qty Issued],tblIssues[Item Name],$A745)-$K745)))</f>
        <v/>
      </c>
      <c r="M745" s="26" t="str">
        <f>IF($A745="","",SUMIFS(tblIssues[Qty Issued],tblIssues[Lot Number],$B745))</f>
        <v/>
      </c>
      <c r="N745" s="26" t="str">
        <f t="shared" si="57"/>
        <v/>
      </c>
      <c r="O745" s="26" t="str">
        <f t="shared" si="58"/>
        <v/>
      </c>
      <c r="P745" s="21" t="str">
        <f t="shared" si="59"/>
        <v/>
      </c>
      <c r="Q745" s="52" t="str">
        <f>IF($A745="","",IF($O745&lt;=0,"Depleted",IF($I745&lt;0,"EXPIRED",IF($I745&lt;=Settings!$C$6,"CRITICAL",IF($I745&lt;=Settings!$C$5,"Expiring","In date")))))</f>
        <v/>
      </c>
    </row>
    <row r="746" spans="1:17" x14ac:dyDescent="0.35">
      <c r="A746" s="90" t="str">
        <f>IF(Receipts!$D749="","",Receipts!$D749)</f>
        <v/>
      </c>
      <c r="B746" s="18" t="str">
        <f>IF(Receipts!$C749="","",Receipts!$C749)</f>
        <v/>
      </c>
      <c r="C746" s="18" t="str">
        <f>IF($A746="","",IFERROR(INDEX(Items!$B$5:$B$597,MATCH($A746,Items!$A$5:$A$597,0)),""))</f>
        <v/>
      </c>
      <c r="D746" s="23" t="str">
        <f>IF($A746="","",N(Receipts!$G749))</f>
        <v/>
      </c>
      <c r="E746" s="20" t="str">
        <f>IF($A746="","",IFERROR(INDEX(Items!$D$5:$D$597,MATCH($A746,Items!$A$5:$A$597,0)),0))</f>
        <v/>
      </c>
      <c r="F746" s="21" t="str">
        <f t="shared" si="55"/>
        <v/>
      </c>
      <c r="G746" s="25" t="str">
        <f>IF(Receipts!$I749="","",Receipts!$I749)</f>
        <v/>
      </c>
      <c r="H746" s="25" t="str">
        <f>IF(Receipts!$H749="","",Receipts!$H749)</f>
        <v/>
      </c>
      <c r="I746" s="26" t="str">
        <f t="shared" ca="1" si="56"/>
        <v/>
      </c>
      <c r="J746" s="26" t="str">
        <f>IF($A746="","",COUNTIFS(tblReceipts[Item Name],$A746,tblReceipts[Expiry Date],"&lt;"&amp;$H746)+COUNTIFS(tblReceipts[Item Name],$A746,tblReceipts[Expiry Date],$H746,tblReceipts[Lot Number],"&lt;="&amp;Receipts!$C749))</f>
        <v/>
      </c>
      <c r="K746" s="26" t="str">
        <f>IF($A746="","",SUMIFS(tblReceipts[Qty Received],tblReceipts[Item Name],$A746,tblReceipts[Expiry Date],"&lt;"&amp;$H746)+SUMIFS(tblReceipts[Qty Received],tblReceipts[Item Name],$A746,tblReceipts[Expiry Date],$H746,tblReceipts[Lot Number],"&lt;"&amp;Receipts!$C749))</f>
        <v/>
      </c>
      <c r="L746" s="26" t="str">
        <f>IF($A746="","",MIN($D746,MAX(0,SUMIFS(tblIssues[Qty Issued],tblIssues[Item Name],$A746)-$K746)))</f>
        <v/>
      </c>
      <c r="M746" s="26" t="str">
        <f>IF($A746="","",SUMIFS(tblIssues[Qty Issued],tblIssues[Lot Number],$B746))</f>
        <v/>
      </c>
      <c r="N746" s="26" t="str">
        <f t="shared" si="57"/>
        <v/>
      </c>
      <c r="O746" s="26" t="str">
        <f t="shared" si="58"/>
        <v/>
      </c>
      <c r="P746" s="21" t="str">
        <f t="shared" si="59"/>
        <v/>
      </c>
      <c r="Q746" s="52" t="str">
        <f>IF($A746="","",IF($O746&lt;=0,"Depleted",IF($I746&lt;0,"EXPIRED",IF($I746&lt;=Settings!$C$6,"CRITICAL",IF($I746&lt;=Settings!$C$5,"Expiring","In date")))))</f>
        <v/>
      </c>
    </row>
    <row r="747" spans="1:17" x14ac:dyDescent="0.35">
      <c r="A747" s="90" t="str">
        <f>IF(Receipts!$D750="","",Receipts!$D750)</f>
        <v/>
      </c>
      <c r="B747" s="18" t="str">
        <f>IF(Receipts!$C750="","",Receipts!$C750)</f>
        <v/>
      </c>
      <c r="C747" s="18" t="str">
        <f>IF($A747="","",IFERROR(INDEX(Items!$B$5:$B$597,MATCH($A747,Items!$A$5:$A$597,0)),""))</f>
        <v/>
      </c>
      <c r="D747" s="23" t="str">
        <f>IF($A747="","",N(Receipts!$G750))</f>
        <v/>
      </c>
      <c r="E747" s="20" t="str">
        <f>IF($A747="","",IFERROR(INDEX(Items!$D$5:$D$597,MATCH($A747,Items!$A$5:$A$597,0)),0))</f>
        <v/>
      </c>
      <c r="F747" s="21" t="str">
        <f t="shared" si="55"/>
        <v/>
      </c>
      <c r="G747" s="25" t="str">
        <f>IF(Receipts!$I750="","",Receipts!$I750)</f>
        <v/>
      </c>
      <c r="H747" s="25" t="str">
        <f>IF(Receipts!$H750="","",Receipts!$H750)</f>
        <v/>
      </c>
      <c r="I747" s="26" t="str">
        <f t="shared" ca="1" si="56"/>
        <v/>
      </c>
      <c r="J747" s="26" t="str">
        <f>IF($A747="","",COUNTIFS(tblReceipts[Item Name],$A747,tblReceipts[Expiry Date],"&lt;"&amp;$H747)+COUNTIFS(tblReceipts[Item Name],$A747,tblReceipts[Expiry Date],$H747,tblReceipts[Lot Number],"&lt;="&amp;Receipts!$C750))</f>
        <v/>
      </c>
      <c r="K747" s="26" t="str">
        <f>IF($A747="","",SUMIFS(tblReceipts[Qty Received],tblReceipts[Item Name],$A747,tblReceipts[Expiry Date],"&lt;"&amp;$H747)+SUMIFS(tblReceipts[Qty Received],tblReceipts[Item Name],$A747,tblReceipts[Expiry Date],$H747,tblReceipts[Lot Number],"&lt;"&amp;Receipts!$C750))</f>
        <v/>
      </c>
      <c r="L747" s="26" t="str">
        <f>IF($A747="","",MIN($D747,MAX(0,SUMIFS(tblIssues[Qty Issued],tblIssues[Item Name],$A747)-$K747)))</f>
        <v/>
      </c>
      <c r="M747" s="26" t="str">
        <f>IF($A747="","",SUMIFS(tblIssues[Qty Issued],tblIssues[Lot Number],$B747))</f>
        <v/>
      </c>
      <c r="N747" s="26" t="str">
        <f t="shared" si="57"/>
        <v/>
      </c>
      <c r="O747" s="26" t="str">
        <f t="shared" si="58"/>
        <v/>
      </c>
      <c r="P747" s="21" t="str">
        <f t="shared" si="59"/>
        <v/>
      </c>
      <c r="Q747" s="52" t="str">
        <f>IF($A747="","",IF($O747&lt;=0,"Depleted",IF($I747&lt;0,"EXPIRED",IF($I747&lt;=Settings!$C$6,"CRITICAL",IF($I747&lt;=Settings!$C$5,"Expiring","In date")))))</f>
        <v/>
      </c>
    </row>
    <row r="748" spans="1:17" x14ac:dyDescent="0.35">
      <c r="A748" s="90" t="str">
        <f>IF(Receipts!$D751="","",Receipts!$D751)</f>
        <v/>
      </c>
      <c r="B748" s="18" t="str">
        <f>IF(Receipts!$C751="","",Receipts!$C751)</f>
        <v/>
      </c>
      <c r="C748" s="18" t="str">
        <f>IF($A748="","",IFERROR(INDEX(Items!$B$5:$B$597,MATCH($A748,Items!$A$5:$A$597,0)),""))</f>
        <v/>
      </c>
      <c r="D748" s="23" t="str">
        <f>IF($A748="","",N(Receipts!$G751))</f>
        <v/>
      </c>
      <c r="E748" s="20" t="str">
        <f>IF($A748="","",IFERROR(INDEX(Items!$D$5:$D$597,MATCH($A748,Items!$A$5:$A$597,0)),0))</f>
        <v/>
      </c>
      <c r="F748" s="21" t="str">
        <f t="shared" si="55"/>
        <v/>
      </c>
      <c r="G748" s="25" t="str">
        <f>IF(Receipts!$I751="","",Receipts!$I751)</f>
        <v/>
      </c>
      <c r="H748" s="25" t="str">
        <f>IF(Receipts!$H751="","",Receipts!$H751)</f>
        <v/>
      </c>
      <c r="I748" s="26" t="str">
        <f t="shared" ca="1" si="56"/>
        <v/>
      </c>
      <c r="J748" s="26" t="str">
        <f>IF($A748="","",COUNTIFS(tblReceipts[Item Name],$A748,tblReceipts[Expiry Date],"&lt;"&amp;$H748)+COUNTIFS(tblReceipts[Item Name],$A748,tblReceipts[Expiry Date],$H748,tblReceipts[Lot Number],"&lt;="&amp;Receipts!$C751))</f>
        <v/>
      </c>
      <c r="K748" s="26" t="str">
        <f>IF($A748="","",SUMIFS(tblReceipts[Qty Received],tblReceipts[Item Name],$A748,tblReceipts[Expiry Date],"&lt;"&amp;$H748)+SUMIFS(tblReceipts[Qty Received],tblReceipts[Item Name],$A748,tblReceipts[Expiry Date],$H748,tblReceipts[Lot Number],"&lt;"&amp;Receipts!$C751))</f>
        <v/>
      </c>
      <c r="L748" s="26" t="str">
        <f>IF($A748="","",MIN($D748,MAX(0,SUMIFS(tblIssues[Qty Issued],tblIssues[Item Name],$A748)-$K748)))</f>
        <v/>
      </c>
      <c r="M748" s="26" t="str">
        <f>IF($A748="","",SUMIFS(tblIssues[Qty Issued],tblIssues[Lot Number],$B748))</f>
        <v/>
      </c>
      <c r="N748" s="26" t="str">
        <f t="shared" si="57"/>
        <v/>
      </c>
      <c r="O748" s="26" t="str">
        <f t="shared" si="58"/>
        <v/>
      </c>
      <c r="P748" s="21" t="str">
        <f t="shared" si="59"/>
        <v/>
      </c>
      <c r="Q748" s="52" t="str">
        <f>IF($A748="","",IF($O748&lt;=0,"Depleted",IF($I748&lt;0,"EXPIRED",IF($I748&lt;=Settings!$C$6,"CRITICAL",IF($I748&lt;=Settings!$C$5,"Expiring","In date")))))</f>
        <v/>
      </c>
    </row>
    <row r="749" spans="1:17" x14ac:dyDescent="0.35">
      <c r="A749" s="90" t="str">
        <f>IF(Receipts!$D752="","",Receipts!$D752)</f>
        <v/>
      </c>
      <c r="B749" s="18" t="str">
        <f>IF(Receipts!$C752="","",Receipts!$C752)</f>
        <v/>
      </c>
      <c r="C749" s="18" t="str">
        <f>IF($A749="","",IFERROR(INDEX(Items!$B$5:$B$597,MATCH($A749,Items!$A$5:$A$597,0)),""))</f>
        <v/>
      </c>
      <c r="D749" s="23" t="str">
        <f>IF($A749="","",N(Receipts!$G752))</f>
        <v/>
      </c>
      <c r="E749" s="20" t="str">
        <f>IF($A749="","",IFERROR(INDEX(Items!$D$5:$D$597,MATCH($A749,Items!$A$5:$A$597,0)),0))</f>
        <v/>
      </c>
      <c r="F749" s="21" t="str">
        <f t="shared" si="55"/>
        <v/>
      </c>
      <c r="G749" s="25" t="str">
        <f>IF(Receipts!$I752="","",Receipts!$I752)</f>
        <v/>
      </c>
      <c r="H749" s="25" t="str">
        <f>IF(Receipts!$H752="","",Receipts!$H752)</f>
        <v/>
      </c>
      <c r="I749" s="26" t="str">
        <f t="shared" ca="1" si="56"/>
        <v/>
      </c>
      <c r="J749" s="26" t="str">
        <f>IF($A749="","",COUNTIFS(tblReceipts[Item Name],$A749,tblReceipts[Expiry Date],"&lt;"&amp;$H749)+COUNTIFS(tblReceipts[Item Name],$A749,tblReceipts[Expiry Date],$H749,tblReceipts[Lot Number],"&lt;="&amp;Receipts!$C752))</f>
        <v/>
      </c>
      <c r="K749" s="26" t="str">
        <f>IF($A749="","",SUMIFS(tblReceipts[Qty Received],tblReceipts[Item Name],$A749,tblReceipts[Expiry Date],"&lt;"&amp;$H749)+SUMIFS(tblReceipts[Qty Received],tblReceipts[Item Name],$A749,tblReceipts[Expiry Date],$H749,tblReceipts[Lot Number],"&lt;"&amp;Receipts!$C752))</f>
        <v/>
      </c>
      <c r="L749" s="26" t="str">
        <f>IF($A749="","",MIN($D749,MAX(0,SUMIFS(tblIssues[Qty Issued],tblIssues[Item Name],$A749)-$K749)))</f>
        <v/>
      </c>
      <c r="M749" s="26" t="str">
        <f>IF($A749="","",SUMIFS(tblIssues[Qty Issued],tblIssues[Lot Number],$B749))</f>
        <v/>
      </c>
      <c r="N749" s="26" t="str">
        <f t="shared" si="57"/>
        <v/>
      </c>
      <c r="O749" s="26" t="str">
        <f t="shared" si="58"/>
        <v/>
      </c>
      <c r="P749" s="21" t="str">
        <f t="shared" si="59"/>
        <v/>
      </c>
      <c r="Q749" s="52" t="str">
        <f>IF($A749="","",IF($O749&lt;=0,"Depleted",IF($I749&lt;0,"EXPIRED",IF($I749&lt;=Settings!$C$6,"CRITICAL",IF($I749&lt;=Settings!$C$5,"Expiring","In date")))))</f>
        <v/>
      </c>
    </row>
    <row r="750" spans="1:17" x14ac:dyDescent="0.35">
      <c r="A750" s="90" t="str">
        <f>IF(Receipts!$D753="","",Receipts!$D753)</f>
        <v/>
      </c>
      <c r="B750" s="18" t="str">
        <f>IF(Receipts!$C753="","",Receipts!$C753)</f>
        <v/>
      </c>
      <c r="C750" s="18" t="str">
        <f>IF($A750="","",IFERROR(INDEX(Items!$B$5:$B$597,MATCH($A750,Items!$A$5:$A$597,0)),""))</f>
        <v/>
      </c>
      <c r="D750" s="23" t="str">
        <f>IF($A750="","",N(Receipts!$G753))</f>
        <v/>
      </c>
      <c r="E750" s="20" t="str">
        <f>IF($A750="","",IFERROR(INDEX(Items!$D$5:$D$597,MATCH($A750,Items!$A$5:$A$597,0)),0))</f>
        <v/>
      </c>
      <c r="F750" s="21" t="str">
        <f t="shared" si="55"/>
        <v/>
      </c>
      <c r="G750" s="25" t="str">
        <f>IF(Receipts!$I753="","",Receipts!$I753)</f>
        <v/>
      </c>
      <c r="H750" s="25" t="str">
        <f>IF(Receipts!$H753="","",Receipts!$H753)</f>
        <v/>
      </c>
      <c r="I750" s="26" t="str">
        <f t="shared" ca="1" si="56"/>
        <v/>
      </c>
      <c r="J750" s="26" t="str">
        <f>IF($A750="","",COUNTIFS(tblReceipts[Item Name],$A750,tblReceipts[Expiry Date],"&lt;"&amp;$H750)+COUNTIFS(tblReceipts[Item Name],$A750,tblReceipts[Expiry Date],$H750,tblReceipts[Lot Number],"&lt;="&amp;Receipts!$C753))</f>
        <v/>
      </c>
      <c r="K750" s="26" t="str">
        <f>IF($A750="","",SUMIFS(tblReceipts[Qty Received],tblReceipts[Item Name],$A750,tblReceipts[Expiry Date],"&lt;"&amp;$H750)+SUMIFS(tblReceipts[Qty Received],tblReceipts[Item Name],$A750,tblReceipts[Expiry Date],$H750,tblReceipts[Lot Number],"&lt;"&amp;Receipts!$C753))</f>
        <v/>
      </c>
      <c r="L750" s="26" t="str">
        <f>IF($A750="","",MIN($D750,MAX(0,SUMIFS(tblIssues[Qty Issued],tblIssues[Item Name],$A750)-$K750)))</f>
        <v/>
      </c>
      <c r="M750" s="26" t="str">
        <f>IF($A750="","",SUMIFS(tblIssues[Qty Issued],tblIssues[Lot Number],$B750))</f>
        <v/>
      </c>
      <c r="N750" s="26" t="str">
        <f t="shared" si="57"/>
        <v/>
      </c>
      <c r="O750" s="26" t="str">
        <f t="shared" si="58"/>
        <v/>
      </c>
      <c r="P750" s="21" t="str">
        <f t="shared" si="59"/>
        <v/>
      </c>
      <c r="Q750" s="52" t="str">
        <f>IF($A750="","",IF($O750&lt;=0,"Depleted",IF($I750&lt;0,"EXPIRED",IF($I750&lt;=Settings!$C$6,"CRITICAL",IF($I750&lt;=Settings!$C$5,"Expiring","In date")))))</f>
        <v/>
      </c>
    </row>
    <row r="751" spans="1:17" x14ac:dyDescent="0.35">
      <c r="A751" s="90" t="str">
        <f>IF(Receipts!$D754="","",Receipts!$D754)</f>
        <v/>
      </c>
      <c r="B751" s="18" t="str">
        <f>IF(Receipts!$C754="","",Receipts!$C754)</f>
        <v/>
      </c>
      <c r="C751" s="18" t="str">
        <f>IF($A751="","",IFERROR(INDEX(Items!$B$5:$B$597,MATCH($A751,Items!$A$5:$A$597,0)),""))</f>
        <v/>
      </c>
      <c r="D751" s="23" t="str">
        <f>IF($A751="","",N(Receipts!$G754))</f>
        <v/>
      </c>
      <c r="E751" s="20" t="str">
        <f>IF($A751="","",IFERROR(INDEX(Items!$D$5:$D$597,MATCH($A751,Items!$A$5:$A$597,0)),0))</f>
        <v/>
      </c>
      <c r="F751" s="21" t="str">
        <f t="shared" si="55"/>
        <v/>
      </c>
      <c r="G751" s="25" t="str">
        <f>IF(Receipts!$I754="","",Receipts!$I754)</f>
        <v/>
      </c>
      <c r="H751" s="25" t="str">
        <f>IF(Receipts!$H754="","",Receipts!$H754)</f>
        <v/>
      </c>
      <c r="I751" s="26" t="str">
        <f t="shared" ca="1" si="56"/>
        <v/>
      </c>
      <c r="J751" s="26" t="str">
        <f>IF($A751="","",COUNTIFS(tblReceipts[Item Name],$A751,tblReceipts[Expiry Date],"&lt;"&amp;$H751)+COUNTIFS(tblReceipts[Item Name],$A751,tblReceipts[Expiry Date],$H751,tblReceipts[Lot Number],"&lt;="&amp;Receipts!$C754))</f>
        <v/>
      </c>
      <c r="K751" s="26" t="str">
        <f>IF($A751="","",SUMIFS(tblReceipts[Qty Received],tblReceipts[Item Name],$A751,tblReceipts[Expiry Date],"&lt;"&amp;$H751)+SUMIFS(tblReceipts[Qty Received],tblReceipts[Item Name],$A751,tblReceipts[Expiry Date],$H751,tblReceipts[Lot Number],"&lt;"&amp;Receipts!$C754))</f>
        <v/>
      </c>
      <c r="L751" s="26" t="str">
        <f>IF($A751="","",MIN($D751,MAX(0,SUMIFS(tblIssues[Qty Issued],tblIssues[Item Name],$A751)-$K751)))</f>
        <v/>
      </c>
      <c r="M751" s="26" t="str">
        <f>IF($A751="","",SUMIFS(tblIssues[Qty Issued],tblIssues[Lot Number],$B751))</f>
        <v/>
      </c>
      <c r="N751" s="26" t="str">
        <f t="shared" si="57"/>
        <v/>
      </c>
      <c r="O751" s="26" t="str">
        <f t="shared" si="58"/>
        <v/>
      </c>
      <c r="P751" s="21" t="str">
        <f t="shared" si="59"/>
        <v/>
      </c>
      <c r="Q751" s="52" t="str">
        <f>IF($A751="","",IF($O751&lt;=0,"Depleted",IF($I751&lt;0,"EXPIRED",IF($I751&lt;=Settings!$C$6,"CRITICAL",IF($I751&lt;=Settings!$C$5,"Expiring","In date")))))</f>
        <v/>
      </c>
    </row>
    <row r="752" spans="1:17" x14ac:dyDescent="0.35">
      <c r="A752" s="90" t="str">
        <f>IF(Receipts!$D755="","",Receipts!$D755)</f>
        <v/>
      </c>
      <c r="B752" s="18" t="str">
        <f>IF(Receipts!$C755="","",Receipts!$C755)</f>
        <v/>
      </c>
      <c r="C752" s="18" t="str">
        <f>IF($A752="","",IFERROR(INDEX(Items!$B$5:$B$597,MATCH($A752,Items!$A$5:$A$597,0)),""))</f>
        <v/>
      </c>
      <c r="D752" s="23" t="str">
        <f>IF($A752="","",N(Receipts!$G755))</f>
        <v/>
      </c>
      <c r="E752" s="20" t="str">
        <f>IF($A752="","",IFERROR(INDEX(Items!$D$5:$D$597,MATCH($A752,Items!$A$5:$A$597,0)),0))</f>
        <v/>
      </c>
      <c r="F752" s="21" t="str">
        <f t="shared" si="55"/>
        <v/>
      </c>
      <c r="G752" s="25" t="str">
        <f>IF(Receipts!$I755="","",Receipts!$I755)</f>
        <v/>
      </c>
      <c r="H752" s="25" t="str">
        <f>IF(Receipts!$H755="","",Receipts!$H755)</f>
        <v/>
      </c>
      <c r="I752" s="26" t="str">
        <f t="shared" ca="1" si="56"/>
        <v/>
      </c>
      <c r="J752" s="26" t="str">
        <f>IF($A752="","",COUNTIFS(tblReceipts[Item Name],$A752,tblReceipts[Expiry Date],"&lt;"&amp;$H752)+COUNTIFS(tblReceipts[Item Name],$A752,tblReceipts[Expiry Date],$H752,tblReceipts[Lot Number],"&lt;="&amp;Receipts!$C755))</f>
        <v/>
      </c>
      <c r="K752" s="26" t="str">
        <f>IF($A752="","",SUMIFS(tblReceipts[Qty Received],tblReceipts[Item Name],$A752,tblReceipts[Expiry Date],"&lt;"&amp;$H752)+SUMIFS(tblReceipts[Qty Received],tblReceipts[Item Name],$A752,tblReceipts[Expiry Date],$H752,tblReceipts[Lot Number],"&lt;"&amp;Receipts!$C755))</f>
        <v/>
      </c>
      <c r="L752" s="26" t="str">
        <f>IF($A752="","",MIN($D752,MAX(0,SUMIFS(tblIssues[Qty Issued],tblIssues[Item Name],$A752)-$K752)))</f>
        <v/>
      </c>
      <c r="M752" s="26" t="str">
        <f>IF($A752="","",SUMIFS(tblIssues[Qty Issued],tblIssues[Lot Number],$B752))</f>
        <v/>
      </c>
      <c r="N752" s="26" t="str">
        <f t="shared" si="57"/>
        <v/>
      </c>
      <c r="O752" s="26" t="str">
        <f t="shared" si="58"/>
        <v/>
      </c>
      <c r="P752" s="21" t="str">
        <f t="shared" si="59"/>
        <v/>
      </c>
      <c r="Q752" s="52" t="str">
        <f>IF($A752="","",IF($O752&lt;=0,"Depleted",IF($I752&lt;0,"EXPIRED",IF($I752&lt;=Settings!$C$6,"CRITICAL",IF($I752&lt;=Settings!$C$5,"Expiring","In date")))))</f>
        <v/>
      </c>
    </row>
    <row r="753" spans="1:17" x14ac:dyDescent="0.35">
      <c r="A753" s="90" t="str">
        <f>IF(Receipts!$D756="","",Receipts!$D756)</f>
        <v/>
      </c>
      <c r="B753" s="18" t="str">
        <f>IF(Receipts!$C756="","",Receipts!$C756)</f>
        <v/>
      </c>
      <c r="C753" s="18" t="str">
        <f>IF($A753="","",IFERROR(INDEX(Items!$B$5:$B$597,MATCH($A753,Items!$A$5:$A$597,0)),""))</f>
        <v/>
      </c>
      <c r="D753" s="23" t="str">
        <f>IF($A753="","",N(Receipts!$G756))</f>
        <v/>
      </c>
      <c r="E753" s="20" t="str">
        <f>IF($A753="","",IFERROR(INDEX(Items!$D$5:$D$597,MATCH($A753,Items!$A$5:$A$597,0)),0))</f>
        <v/>
      </c>
      <c r="F753" s="21" t="str">
        <f t="shared" si="55"/>
        <v/>
      </c>
      <c r="G753" s="25" t="str">
        <f>IF(Receipts!$I756="","",Receipts!$I756)</f>
        <v/>
      </c>
      <c r="H753" s="25" t="str">
        <f>IF(Receipts!$H756="","",Receipts!$H756)</f>
        <v/>
      </c>
      <c r="I753" s="26" t="str">
        <f t="shared" ca="1" si="56"/>
        <v/>
      </c>
      <c r="J753" s="26" t="str">
        <f>IF($A753="","",COUNTIFS(tblReceipts[Item Name],$A753,tblReceipts[Expiry Date],"&lt;"&amp;$H753)+COUNTIFS(tblReceipts[Item Name],$A753,tblReceipts[Expiry Date],$H753,tblReceipts[Lot Number],"&lt;="&amp;Receipts!$C756))</f>
        <v/>
      </c>
      <c r="K753" s="26" t="str">
        <f>IF($A753="","",SUMIFS(tblReceipts[Qty Received],tblReceipts[Item Name],$A753,tblReceipts[Expiry Date],"&lt;"&amp;$H753)+SUMIFS(tblReceipts[Qty Received],tblReceipts[Item Name],$A753,tblReceipts[Expiry Date],$H753,tblReceipts[Lot Number],"&lt;"&amp;Receipts!$C756))</f>
        <v/>
      </c>
      <c r="L753" s="26" t="str">
        <f>IF($A753="","",MIN($D753,MAX(0,SUMIFS(tblIssues[Qty Issued],tblIssues[Item Name],$A753)-$K753)))</f>
        <v/>
      </c>
      <c r="M753" s="26" t="str">
        <f>IF($A753="","",SUMIFS(tblIssues[Qty Issued],tblIssues[Lot Number],$B753))</f>
        <v/>
      </c>
      <c r="N753" s="26" t="str">
        <f t="shared" si="57"/>
        <v/>
      </c>
      <c r="O753" s="26" t="str">
        <f t="shared" si="58"/>
        <v/>
      </c>
      <c r="P753" s="21" t="str">
        <f t="shared" si="59"/>
        <v/>
      </c>
      <c r="Q753" s="52" t="str">
        <f>IF($A753="","",IF($O753&lt;=0,"Depleted",IF($I753&lt;0,"EXPIRED",IF($I753&lt;=Settings!$C$6,"CRITICAL",IF($I753&lt;=Settings!$C$5,"Expiring","In date")))))</f>
        <v/>
      </c>
    </row>
    <row r="754" spans="1:17" x14ac:dyDescent="0.35">
      <c r="A754" s="90" t="str">
        <f>IF(Receipts!$D757="","",Receipts!$D757)</f>
        <v/>
      </c>
      <c r="B754" s="18" t="str">
        <f>IF(Receipts!$C757="","",Receipts!$C757)</f>
        <v/>
      </c>
      <c r="C754" s="18" t="str">
        <f>IF($A754="","",IFERROR(INDEX(Items!$B$5:$B$597,MATCH($A754,Items!$A$5:$A$597,0)),""))</f>
        <v/>
      </c>
      <c r="D754" s="23" t="str">
        <f>IF($A754="","",N(Receipts!$G757))</f>
        <v/>
      </c>
      <c r="E754" s="20" t="str">
        <f>IF($A754="","",IFERROR(INDEX(Items!$D$5:$D$597,MATCH($A754,Items!$A$5:$A$597,0)),0))</f>
        <v/>
      </c>
      <c r="F754" s="21" t="str">
        <f t="shared" si="55"/>
        <v/>
      </c>
      <c r="G754" s="25" t="str">
        <f>IF(Receipts!$I757="","",Receipts!$I757)</f>
        <v/>
      </c>
      <c r="H754" s="25" t="str">
        <f>IF(Receipts!$H757="","",Receipts!$H757)</f>
        <v/>
      </c>
      <c r="I754" s="26" t="str">
        <f t="shared" ca="1" si="56"/>
        <v/>
      </c>
      <c r="J754" s="26" t="str">
        <f>IF($A754="","",COUNTIFS(tblReceipts[Item Name],$A754,tblReceipts[Expiry Date],"&lt;"&amp;$H754)+COUNTIFS(tblReceipts[Item Name],$A754,tblReceipts[Expiry Date],$H754,tblReceipts[Lot Number],"&lt;="&amp;Receipts!$C757))</f>
        <v/>
      </c>
      <c r="K754" s="26" t="str">
        <f>IF($A754="","",SUMIFS(tblReceipts[Qty Received],tblReceipts[Item Name],$A754,tblReceipts[Expiry Date],"&lt;"&amp;$H754)+SUMIFS(tblReceipts[Qty Received],tblReceipts[Item Name],$A754,tblReceipts[Expiry Date],$H754,tblReceipts[Lot Number],"&lt;"&amp;Receipts!$C757))</f>
        <v/>
      </c>
      <c r="L754" s="26" t="str">
        <f>IF($A754="","",MIN($D754,MAX(0,SUMIFS(tblIssues[Qty Issued],tblIssues[Item Name],$A754)-$K754)))</f>
        <v/>
      </c>
      <c r="M754" s="26" t="str">
        <f>IF($A754="","",SUMIFS(tblIssues[Qty Issued],tblIssues[Lot Number],$B754))</f>
        <v/>
      </c>
      <c r="N754" s="26" t="str">
        <f t="shared" si="57"/>
        <v/>
      </c>
      <c r="O754" s="26" t="str">
        <f t="shared" si="58"/>
        <v/>
      </c>
      <c r="P754" s="21" t="str">
        <f t="shared" si="59"/>
        <v/>
      </c>
      <c r="Q754" s="52" t="str">
        <f>IF($A754="","",IF($O754&lt;=0,"Depleted",IF($I754&lt;0,"EXPIRED",IF($I754&lt;=Settings!$C$6,"CRITICAL",IF($I754&lt;=Settings!$C$5,"Expiring","In date")))))</f>
        <v/>
      </c>
    </row>
    <row r="755" spans="1:17" x14ac:dyDescent="0.35">
      <c r="A755" s="90" t="str">
        <f>IF(Receipts!$D758="","",Receipts!$D758)</f>
        <v/>
      </c>
      <c r="B755" s="18" t="str">
        <f>IF(Receipts!$C758="","",Receipts!$C758)</f>
        <v/>
      </c>
      <c r="C755" s="18" t="str">
        <f>IF($A755="","",IFERROR(INDEX(Items!$B$5:$B$597,MATCH($A755,Items!$A$5:$A$597,0)),""))</f>
        <v/>
      </c>
      <c r="D755" s="23" t="str">
        <f>IF($A755="","",N(Receipts!$G758))</f>
        <v/>
      </c>
      <c r="E755" s="20" t="str">
        <f>IF($A755="","",IFERROR(INDEX(Items!$D$5:$D$597,MATCH($A755,Items!$A$5:$A$597,0)),0))</f>
        <v/>
      </c>
      <c r="F755" s="21" t="str">
        <f t="shared" si="55"/>
        <v/>
      </c>
      <c r="G755" s="25" t="str">
        <f>IF(Receipts!$I758="","",Receipts!$I758)</f>
        <v/>
      </c>
      <c r="H755" s="25" t="str">
        <f>IF(Receipts!$H758="","",Receipts!$H758)</f>
        <v/>
      </c>
      <c r="I755" s="26" t="str">
        <f t="shared" ca="1" si="56"/>
        <v/>
      </c>
      <c r="J755" s="26" t="str">
        <f>IF($A755="","",COUNTIFS(tblReceipts[Item Name],$A755,tblReceipts[Expiry Date],"&lt;"&amp;$H755)+COUNTIFS(tblReceipts[Item Name],$A755,tblReceipts[Expiry Date],$H755,tblReceipts[Lot Number],"&lt;="&amp;Receipts!$C758))</f>
        <v/>
      </c>
      <c r="K755" s="26" t="str">
        <f>IF($A755="","",SUMIFS(tblReceipts[Qty Received],tblReceipts[Item Name],$A755,tblReceipts[Expiry Date],"&lt;"&amp;$H755)+SUMIFS(tblReceipts[Qty Received],tblReceipts[Item Name],$A755,tblReceipts[Expiry Date],$H755,tblReceipts[Lot Number],"&lt;"&amp;Receipts!$C758))</f>
        <v/>
      </c>
      <c r="L755" s="26" t="str">
        <f>IF($A755="","",MIN($D755,MAX(0,SUMIFS(tblIssues[Qty Issued],tblIssues[Item Name],$A755)-$K755)))</f>
        <v/>
      </c>
      <c r="M755" s="26" t="str">
        <f>IF($A755="","",SUMIFS(tblIssues[Qty Issued],tblIssues[Lot Number],$B755))</f>
        <v/>
      </c>
      <c r="N755" s="26" t="str">
        <f t="shared" si="57"/>
        <v/>
      </c>
      <c r="O755" s="26" t="str">
        <f t="shared" si="58"/>
        <v/>
      </c>
      <c r="P755" s="21" t="str">
        <f t="shared" si="59"/>
        <v/>
      </c>
      <c r="Q755" s="52" t="str">
        <f>IF($A755="","",IF($O755&lt;=0,"Depleted",IF($I755&lt;0,"EXPIRED",IF($I755&lt;=Settings!$C$6,"CRITICAL",IF($I755&lt;=Settings!$C$5,"Expiring","In date")))))</f>
        <v/>
      </c>
    </row>
    <row r="756" spans="1:17" x14ac:dyDescent="0.35">
      <c r="A756" s="90" t="str">
        <f>IF(Receipts!$D759="","",Receipts!$D759)</f>
        <v/>
      </c>
      <c r="B756" s="18" t="str">
        <f>IF(Receipts!$C759="","",Receipts!$C759)</f>
        <v/>
      </c>
      <c r="C756" s="18" t="str">
        <f>IF($A756="","",IFERROR(INDEX(Items!$B$5:$B$597,MATCH($A756,Items!$A$5:$A$597,0)),""))</f>
        <v/>
      </c>
      <c r="D756" s="23" t="str">
        <f>IF($A756="","",N(Receipts!$G759))</f>
        <v/>
      </c>
      <c r="E756" s="20" t="str">
        <f>IF($A756="","",IFERROR(INDEX(Items!$D$5:$D$597,MATCH($A756,Items!$A$5:$A$597,0)),0))</f>
        <v/>
      </c>
      <c r="F756" s="21" t="str">
        <f t="shared" si="55"/>
        <v/>
      </c>
      <c r="G756" s="25" t="str">
        <f>IF(Receipts!$I759="","",Receipts!$I759)</f>
        <v/>
      </c>
      <c r="H756" s="25" t="str">
        <f>IF(Receipts!$H759="","",Receipts!$H759)</f>
        <v/>
      </c>
      <c r="I756" s="26" t="str">
        <f t="shared" ca="1" si="56"/>
        <v/>
      </c>
      <c r="J756" s="26" t="str">
        <f>IF($A756="","",COUNTIFS(tblReceipts[Item Name],$A756,tblReceipts[Expiry Date],"&lt;"&amp;$H756)+COUNTIFS(tblReceipts[Item Name],$A756,tblReceipts[Expiry Date],$H756,tblReceipts[Lot Number],"&lt;="&amp;Receipts!$C759))</f>
        <v/>
      </c>
      <c r="K756" s="26" t="str">
        <f>IF($A756="","",SUMIFS(tblReceipts[Qty Received],tblReceipts[Item Name],$A756,tblReceipts[Expiry Date],"&lt;"&amp;$H756)+SUMIFS(tblReceipts[Qty Received],tblReceipts[Item Name],$A756,tblReceipts[Expiry Date],$H756,tblReceipts[Lot Number],"&lt;"&amp;Receipts!$C759))</f>
        <v/>
      </c>
      <c r="L756" s="26" t="str">
        <f>IF($A756="","",MIN($D756,MAX(0,SUMIFS(tblIssues[Qty Issued],tblIssues[Item Name],$A756)-$K756)))</f>
        <v/>
      </c>
      <c r="M756" s="26" t="str">
        <f>IF($A756="","",SUMIFS(tblIssues[Qty Issued],tblIssues[Lot Number],$B756))</f>
        <v/>
      </c>
      <c r="N756" s="26" t="str">
        <f t="shared" si="57"/>
        <v/>
      </c>
      <c r="O756" s="26" t="str">
        <f t="shared" si="58"/>
        <v/>
      </c>
      <c r="P756" s="21" t="str">
        <f t="shared" si="59"/>
        <v/>
      </c>
      <c r="Q756" s="52" t="str">
        <f>IF($A756="","",IF($O756&lt;=0,"Depleted",IF($I756&lt;0,"EXPIRED",IF($I756&lt;=Settings!$C$6,"CRITICAL",IF($I756&lt;=Settings!$C$5,"Expiring","In date")))))</f>
        <v/>
      </c>
    </row>
    <row r="757" spans="1:17" x14ac:dyDescent="0.35">
      <c r="A757" s="90" t="str">
        <f>IF(Receipts!$D760="","",Receipts!$D760)</f>
        <v/>
      </c>
      <c r="B757" s="18" t="str">
        <f>IF(Receipts!$C760="","",Receipts!$C760)</f>
        <v/>
      </c>
      <c r="C757" s="18" t="str">
        <f>IF($A757="","",IFERROR(INDEX(Items!$B$5:$B$597,MATCH($A757,Items!$A$5:$A$597,0)),""))</f>
        <v/>
      </c>
      <c r="D757" s="23" t="str">
        <f>IF($A757="","",N(Receipts!$G760))</f>
        <v/>
      </c>
      <c r="E757" s="20" t="str">
        <f>IF($A757="","",IFERROR(INDEX(Items!$D$5:$D$597,MATCH($A757,Items!$A$5:$A$597,0)),0))</f>
        <v/>
      </c>
      <c r="F757" s="21" t="str">
        <f t="shared" si="55"/>
        <v/>
      </c>
      <c r="G757" s="25" t="str">
        <f>IF(Receipts!$I760="","",Receipts!$I760)</f>
        <v/>
      </c>
      <c r="H757" s="25" t="str">
        <f>IF(Receipts!$H760="","",Receipts!$H760)</f>
        <v/>
      </c>
      <c r="I757" s="26" t="str">
        <f t="shared" ca="1" si="56"/>
        <v/>
      </c>
      <c r="J757" s="26" t="str">
        <f>IF($A757="","",COUNTIFS(tblReceipts[Item Name],$A757,tblReceipts[Expiry Date],"&lt;"&amp;$H757)+COUNTIFS(tblReceipts[Item Name],$A757,tblReceipts[Expiry Date],$H757,tblReceipts[Lot Number],"&lt;="&amp;Receipts!$C760))</f>
        <v/>
      </c>
      <c r="K757" s="26" t="str">
        <f>IF($A757="","",SUMIFS(tblReceipts[Qty Received],tblReceipts[Item Name],$A757,tblReceipts[Expiry Date],"&lt;"&amp;$H757)+SUMIFS(tblReceipts[Qty Received],tblReceipts[Item Name],$A757,tblReceipts[Expiry Date],$H757,tblReceipts[Lot Number],"&lt;"&amp;Receipts!$C760))</f>
        <v/>
      </c>
      <c r="L757" s="26" t="str">
        <f>IF($A757="","",MIN($D757,MAX(0,SUMIFS(tblIssues[Qty Issued],tblIssues[Item Name],$A757)-$K757)))</f>
        <v/>
      </c>
      <c r="M757" s="26" t="str">
        <f>IF($A757="","",SUMIFS(tblIssues[Qty Issued],tblIssues[Lot Number],$B757))</f>
        <v/>
      </c>
      <c r="N757" s="26" t="str">
        <f t="shared" si="57"/>
        <v/>
      </c>
      <c r="O757" s="26" t="str">
        <f t="shared" si="58"/>
        <v/>
      </c>
      <c r="P757" s="21" t="str">
        <f t="shared" si="59"/>
        <v/>
      </c>
      <c r="Q757" s="52" t="str">
        <f>IF($A757="","",IF($O757&lt;=0,"Depleted",IF($I757&lt;0,"EXPIRED",IF($I757&lt;=Settings!$C$6,"CRITICAL",IF($I757&lt;=Settings!$C$5,"Expiring","In date")))))</f>
        <v/>
      </c>
    </row>
    <row r="758" spans="1:17" x14ac:dyDescent="0.35">
      <c r="A758" s="90" t="str">
        <f>IF(Receipts!$D761="","",Receipts!$D761)</f>
        <v/>
      </c>
      <c r="B758" s="18" t="str">
        <f>IF(Receipts!$C761="","",Receipts!$C761)</f>
        <v/>
      </c>
      <c r="C758" s="18" t="str">
        <f>IF($A758="","",IFERROR(INDEX(Items!$B$5:$B$597,MATCH($A758,Items!$A$5:$A$597,0)),""))</f>
        <v/>
      </c>
      <c r="D758" s="23" t="str">
        <f>IF($A758="","",N(Receipts!$G761))</f>
        <v/>
      </c>
      <c r="E758" s="20" t="str">
        <f>IF($A758="","",IFERROR(INDEX(Items!$D$5:$D$597,MATCH($A758,Items!$A$5:$A$597,0)),0))</f>
        <v/>
      </c>
      <c r="F758" s="21" t="str">
        <f t="shared" si="55"/>
        <v/>
      </c>
      <c r="G758" s="25" t="str">
        <f>IF(Receipts!$I761="","",Receipts!$I761)</f>
        <v/>
      </c>
      <c r="H758" s="25" t="str">
        <f>IF(Receipts!$H761="","",Receipts!$H761)</f>
        <v/>
      </c>
      <c r="I758" s="26" t="str">
        <f t="shared" ca="1" si="56"/>
        <v/>
      </c>
      <c r="J758" s="26" t="str">
        <f>IF($A758="","",COUNTIFS(tblReceipts[Item Name],$A758,tblReceipts[Expiry Date],"&lt;"&amp;$H758)+COUNTIFS(tblReceipts[Item Name],$A758,tblReceipts[Expiry Date],$H758,tblReceipts[Lot Number],"&lt;="&amp;Receipts!$C761))</f>
        <v/>
      </c>
      <c r="K758" s="26" t="str">
        <f>IF($A758="","",SUMIFS(tblReceipts[Qty Received],tblReceipts[Item Name],$A758,tblReceipts[Expiry Date],"&lt;"&amp;$H758)+SUMIFS(tblReceipts[Qty Received],tblReceipts[Item Name],$A758,tblReceipts[Expiry Date],$H758,tblReceipts[Lot Number],"&lt;"&amp;Receipts!$C761))</f>
        <v/>
      </c>
      <c r="L758" s="26" t="str">
        <f>IF($A758="","",MIN($D758,MAX(0,SUMIFS(tblIssues[Qty Issued],tblIssues[Item Name],$A758)-$K758)))</f>
        <v/>
      </c>
      <c r="M758" s="26" t="str">
        <f>IF($A758="","",SUMIFS(tblIssues[Qty Issued],tblIssues[Lot Number],$B758))</f>
        <v/>
      </c>
      <c r="N758" s="26" t="str">
        <f t="shared" si="57"/>
        <v/>
      </c>
      <c r="O758" s="26" t="str">
        <f t="shared" si="58"/>
        <v/>
      </c>
      <c r="P758" s="21" t="str">
        <f t="shared" si="59"/>
        <v/>
      </c>
      <c r="Q758" s="52" t="str">
        <f>IF($A758="","",IF($O758&lt;=0,"Depleted",IF($I758&lt;0,"EXPIRED",IF($I758&lt;=Settings!$C$6,"CRITICAL",IF($I758&lt;=Settings!$C$5,"Expiring","In date")))))</f>
        <v/>
      </c>
    </row>
    <row r="759" spans="1:17" x14ac:dyDescent="0.35">
      <c r="A759" s="90" t="str">
        <f>IF(Receipts!$D762="","",Receipts!$D762)</f>
        <v/>
      </c>
      <c r="B759" s="18" t="str">
        <f>IF(Receipts!$C762="","",Receipts!$C762)</f>
        <v/>
      </c>
      <c r="C759" s="18" t="str">
        <f>IF($A759="","",IFERROR(INDEX(Items!$B$5:$B$597,MATCH($A759,Items!$A$5:$A$597,0)),""))</f>
        <v/>
      </c>
      <c r="D759" s="23" t="str">
        <f>IF($A759="","",N(Receipts!$G762))</f>
        <v/>
      </c>
      <c r="E759" s="20" t="str">
        <f>IF($A759="","",IFERROR(INDEX(Items!$D$5:$D$597,MATCH($A759,Items!$A$5:$A$597,0)),0))</f>
        <v/>
      </c>
      <c r="F759" s="21" t="str">
        <f t="shared" si="55"/>
        <v/>
      </c>
      <c r="G759" s="25" t="str">
        <f>IF(Receipts!$I762="","",Receipts!$I762)</f>
        <v/>
      </c>
      <c r="H759" s="25" t="str">
        <f>IF(Receipts!$H762="","",Receipts!$H762)</f>
        <v/>
      </c>
      <c r="I759" s="26" t="str">
        <f t="shared" ca="1" si="56"/>
        <v/>
      </c>
      <c r="J759" s="26" t="str">
        <f>IF($A759="","",COUNTIFS(tblReceipts[Item Name],$A759,tblReceipts[Expiry Date],"&lt;"&amp;$H759)+COUNTIFS(tblReceipts[Item Name],$A759,tblReceipts[Expiry Date],$H759,tblReceipts[Lot Number],"&lt;="&amp;Receipts!$C762))</f>
        <v/>
      </c>
      <c r="K759" s="26" t="str">
        <f>IF($A759="","",SUMIFS(tblReceipts[Qty Received],tblReceipts[Item Name],$A759,tblReceipts[Expiry Date],"&lt;"&amp;$H759)+SUMIFS(tblReceipts[Qty Received],tblReceipts[Item Name],$A759,tblReceipts[Expiry Date],$H759,tblReceipts[Lot Number],"&lt;"&amp;Receipts!$C762))</f>
        <v/>
      </c>
      <c r="L759" s="26" t="str">
        <f>IF($A759="","",MIN($D759,MAX(0,SUMIFS(tblIssues[Qty Issued],tblIssues[Item Name],$A759)-$K759)))</f>
        <v/>
      </c>
      <c r="M759" s="26" t="str">
        <f>IF($A759="","",SUMIFS(tblIssues[Qty Issued],tblIssues[Lot Number],$B759))</f>
        <v/>
      </c>
      <c r="N759" s="26" t="str">
        <f t="shared" si="57"/>
        <v/>
      </c>
      <c r="O759" s="26" t="str">
        <f t="shared" si="58"/>
        <v/>
      </c>
      <c r="P759" s="21" t="str">
        <f t="shared" si="59"/>
        <v/>
      </c>
      <c r="Q759" s="52" t="str">
        <f>IF($A759="","",IF($O759&lt;=0,"Depleted",IF($I759&lt;0,"EXPIRED",IF($I759&lt;=Settings!$C$6,"CRITICAL",IF($I759&lt;=Settings!$C$5,"Expiring","In date")))))</f>
        <v/>
      </c>
    </row>
    <row r="760" spans="1:17" x14ac:dyDescent="0.35">
      <c r="A760" s="90" t="str">
        <f>IF(Receipts!$D763="","",Receipts!$D763)</f>
        <v/>
      </c>
      <c r="B760" s="18" t="str">
        <f>IF(Receipts!$C763="","",Receipts!$C763)</f>
        <v/>
      </c>
      <c r="C760" s="18" t="str">
        <f>IF($A760="","",IFERROR(INDEX(Items!$B$5:$B$597,MATCH($A760,Items!$A$5:$A$597,0)),""))</f>
        <v/>
      </c>
      <c r="D760" s="23" t="str">
        <f>IF($A760="","",N(Receipts!$G763))</f>
        <v/>
      </c>
      <c r="E760" s="20" t="str">
        <f>IF($A760="","",IFERROR(INDEX(Items!$D$5:$D$597,MATCH($A760,Items!$A$5:$A$597,0)),0))</f>
        <v/>
      </c>
      <c r="F760" s="21" t="str">
        <f t="shared" si="55"/>
        <v/>
      </c>
      <c r="G760" s="25" t="str">
        <f>IF(Receipts!$I763="","",Receipts!$I763)</f>
        <v/>
      </c>
      <c r="H760" s="25" t="str">
        <f>IF(Receipts!$H763="","",Receipts!$H763)</f>
        <v/>
      </c>
      <c r="I760" s="26" t="str">
        <f t="shared" ca="1" si="56"/>
        <v/>
      </c>
      <c r="J760" s="26" t="str">
        <f>IF($A760="","",COUNTIFS(tblReceipts[Item Name],$A760,tblReceipts[Expiry Date],"&lt;"&amp;$H760)+COUNTIFS(tblReceipts[Item Name],$A760,tblReceipts[Expiry Date],$H760,tblReceipts[Lot Number],"&lt;="&amp;Receipts!$C763))</f>
        <v/>
      </c>
      <c r="K760" s="26" t="str">
        <f>IF($A760="","",SUMIFS(tblReceipts[Qty Received],tblReceipts[Item Name],$A760,tblReceipts[Expiry Date],"&lt;"&amp;$H760)+SUMIFS(tblReceipts[Qty Received],tblReceipts[Item Name],$A760,tblReceipts[Expiry Date],$H760,tblReceipts[Lot Number],"&lt;"&amp;Receipts!$C763))</f>
        <v/>
      </c>
      <c r="L760" s="26" t="str">
        <f>IF($A760="","",MIN($D760,MAX(0,SUMIFS(tblIssues[Qty Issued],tblIssues[Item Name],$A760)-$K760)))</f>
        <v/>
      </c>
      <c r="M760" s="26" t="str">
        <f>IF($A760="","",SUMIFS(tblIssues[Qty Issued],tblIssues[Lot Number],$B760))</f>
        <v/>
      </c>
      <c r="N760" s="26" t="str">
        <f t="shared" si="57"/>
        <v/>
      </c>
      <c r="O760" s="26" t="str">
        <f t="shared" si="58"/>
        <v/>
      </c>
      <c r="P760" s="21" t="str">
        <f t="shared" si="59"/>
        <v/>
      </c>
      <c r="Q760" s="52" t="str">
        <f>IF($A760="","",IF($O760&lt;=0,"Depleted",IF($I760&lt;0,"EXPIRED",IF($I760&lt;=Settings!$C$6,"CRITICAL",IF($I760&lt;=Settings!$C$5,"Expiring","In date")))))</f>
        <v/>
      </c>
    </row>
    <row r="761" spans="1:17" x14ac:dyDescent="0.35">
      <c r="A761" s="90" t="str">
        <f>IF(Receipts!$D764="","",Receipts!$D764)</f>
        <v/>
      </c>
      <c r="B761" s="18" t="str">
        <f>IF(Receipts!$C764="","",Receipts!$C764)</f>
        <v/>
      </c>
      <c r="C761" s="18" t="str">
        <f>IF($A761="","",IFERROR(INDEX(Items!$B$5:$B$597,MATCH($A761,Items!$A$5:$A$597,0)),""))</f>
        <v/>
      </c>
      <c r="D761" s="23" t="str">
        <f>IF($A761="","",N(Receipts!$G764))</f>
        <v/>
      </c>
      <c r="E761" s="20" t="str">
        <f>IF($A761="","",IFERROR(INDEX(Items!$D$5:$D$597,MATCH($A761,Items!$A$5:$A$597,0)),0))</f>
        <v/>
      </c>
      <c r="F761" s="21" t="str">
        <f t="shared" si="55"/>
        <v/>
      </c>
      <c r="G761" s="25" t="str">
        <f>IF(Receipts!$I764="","",Receipts!$I764)</f>
        <v/>
      </c>
      <c r="H761" s="25" t="str">
        <f>IF(Receipts!$H764="","",Receipts!$H764)</f>
        <v/>
      </c>
      <c r="I761" s="26" t="str">
        <f t="shared" ca="1" si="56"/>
        <v/>
      </c>
      <c r="J761" s="26" t="str">
        <f>IF($A761="","",COUNTIFS(tblReceipts[Item Name],$A761,tblReceipts[Expiry Date],"&lt;"&amp;$H761)+COUNTIFS(tblReceipts[Item Name],$A761,tblReceipts[Expiry Date],$H761,tblReceipts[Lot Number],"&lt;="&amp;Receipts!$C764))</f>
        <v/>
      </c>
      <c r="K761" s="26" t="str">
        <f>IF($A761="","",SUMIFS(tblReceipts[Qty Received],tblReceipts[Item Name],$A761,tblReceipts[Expiry Date],"&lt;"&amp;$H761)+SUMIFS(tblReceipts[Qty Received],tblReceipts[Item Name],$A761,tblReceipts[Expiry Date],$H761,tblReceipts[Lot Number],"&lt;"&amp;Receipts!$C764))</f>
        <v/>
      </c>
      <c r="L761" s="26" t="str">
        <f>IF($A761="","",MIN($D761,MAX(0,SUMIFS(tblIssues[Qty Issued],tblIssues[Item Name],$A761)-$K761)))</f>
        <v/>
      </c>
      <c r="M761" s="26" t="str">
        <f>IF($A761="","",SUMIFS(tblIssues[Qty Issued],tblIssues[Lot Number],$B761))</f>
        <v/>
      </c>
      <c r="N761" s="26" t="str">
        <f t="shared" si="57"/>
        <v/>
      </c>
      <c r="O761" s="26" t="str">
        <f t="shared" si="58"/>
        <v/>
      </c>
      <c r="P761" s="21" t="str">
        <f t="shared" si="59"/>
        <v/>
      </c>
      <c r="Q761" s="52" t="str">
        <f>IF($A761="","",IF($O761&lt;=0,"Depleted",IF($I761&lt;0,"EXPIRED",IF($I761&lt;=Settings!$C$6,"CRITICAL",IF($I761&lt;=Settings!$C$5,"Expiring","In date")))))</f>
        <v/>
      </c>
    </row>
    <row r="762" spans="1:17" x14ac:dyDescent="0.35">
      <c r="A762" s="90" t="str">
        <f>IF(Receipts!$D765="","",Receipts!$D765)</f>
        <v/>
      </c>
      <c r="B762" s="18" t="str">
        <f>IF(Receipts!$C765="","",Receipts!$C765)</f>
        <v/>
      </c>
      <c r="C762" s="18" t="str">
        <f>IF($A762="","",IFERROR(INDEX(Items!$B$5:$B$597,MATCH($A762,Items!$A$5:$A$597,0)),""))</f>
        <v/>
      </c>
      <c r="D762" s="23" t="str">
        <f>IF($A762="","",N(Receipts!$G765))</f>
        <v/>
      </c>
      <c r="E762" s="20" t="str">
        <f>IF($A762="","",IFERROR(INDEX(Items!$D$5:$D$597,MATCH($A762,Items!$A$5:$A$597,0)),0))</f>
        <v/>
      </c>
      <c r="F762" s="21" t="str">
        <f t="shared" si="55"/>
        <v/>
      </c>
      <c r="G762" s="25" t="str">
        <f>IF(Receipts!$I765="","",Receipts!$I765)</f>
        <v/>
      </c>
      <c r="H762" s="25" t="str">
        <f>IF(Receipts!$H765="","",Receipts!$H765)</f>
        <v/>
      </c>
      <c r="I762" s="26" t="str">
        <f t="shared" ca="1" si="56"/>
        <v/>
      </c>
      <c r="J762" s="26" t="str">
        <f>IF($A762="","",COUNTIFS(tblReceipts[Item Name],$A762,tblReceipts[Expiry Date],"&lt;"&amp;$H762)+COUNTIFS(tblReceipts[Item Name],$A762,tblReceipts[Expiry Date],$H762,tblReceipts[Lot Number],"&lt;="&amp;Receipts!$C765))</f>
        <v/>
      </c>
      <c r="K762" s="26" t="str">
        <f>IF($A762="","",SUMIFS(tblReceipts[Qty Received],tblReceipts[Item Name],$A762,tblReceipts[Expiry Date],"&lt;"&amp;$H762)+SUMIFS(tblReceipts[Qty Received],tblReceipts[Item Name],$A762,tblReceipts[Expiry Date],$H762,tblReceipts[Lot Number],"&lt;"&amp;Receipts!$C765))</f>
        <v/>
      </c>
      <c r="L762" s="26" t="str">
        <f>IF($A762="","",MIN($D762,MAX(0,SUMIFS(tblIssues[Qty Issued],tblIssues[Item Name],$A762)-$K762)))</f>
        <v/>
      </c>
      <c r="M762" s="26" t="str">
        <f>IF($A762="","",SUMIFS(tblIssues[Qty Issued],tblIssues[Lot Number],$B762))</f>
        <v/>
      </c>
      <c r="N762" s="26" t="str">
        <f t="shared" si="57"/>
        <v/>
      </c>
      <c r="O762" s="26" t="str">
        <f t="shared" si="58"/>
        <v/>
      </c>
      <c r="P762" s="21" t="str">
        <f t="shared" si="59"/>
        <v/>
      </c>
      <c r="Q762" s="52" t="str">
        <f>IF($A762="","",IF($O762&lt;=0,"Depleted",IF($I762&lt;0,"EXPIRED",IF($I762&lt;=Settings!$C$6,"CRITICAL",IF($I762&lt;=Settings!$C$5,"Expiring","In date")))))</f>
        <v/>
      </c>
    </row>
    <row r="763" spans="1:17" x14ac:dyDescent="0.35">
      <c r="A763" s="90" t="str">
        <f>IF(Receipts!$D766="","",Receipts!$D766)</f>
        <v/>
      </c>
      <c r="B763" s="18" t="str">
        <f>IF(Receipts!$C766="","",Receipts!$C766)</f>
        <v/>
      </c>
      <c r="C763" s="18" t="str">
        <f>IF($A763="","",IFERROR(INDEX(Items!$B$5:$B$597,MATCH($A763,Items!$A$5:$A$597,0)),""))</f>
        <v/>
      </c>
      <c r="D763" s="23" t="str">
        <f>IF($A763="","",N(Receipts!$G766))</f>
        <v/>
      </c>
      <c r="E763" s="20" t="str">
        <f>IF($A763="","",IFERROR(INDEX(Items!$D$5:$D$597,MATCH($A763,Items!$A$5:$A$597,0)),0))</f>
        <v/>
      </c>
      <c r="F763" s="21" t="str">
        <f t="shared" si="55"/>
        <v/>
      </c>
      <c r="G763" s="25" t="str">
        <f>IF(Receipts!$I766="","",Receipts!$I766)</f>
        <v/>
      </c>
      <c r="H763" s="25" t="str">
        <f>IF(Receipts!$H766="","",Receipts!$H766)</f>
        <v/>
      </c>
      <c r="I763" s="26" t="str">
        <f t="shared" ca="1" si="56"/>
        <v/>
      </c>
      <c r="J763" s="26" t="str">
        <f>IF($A763="","",COUNTIFS(tblReceipts[Item Name],$A763,tblReceipts[Expiry Date],"&lt;"&amp;$H763)+COUNTIFS(tblReceipts[Item Name],$A763,tblReceipts[Expiry Date],$H763,tblReceipts[Lot Number],"&lt;="&amp;Receipts!$C766))</f>
        <v/>
      </c>
      <c r="K763" s="26" t="str">
        <f>IF($A763="","",SUMIFS(tblReceipts[Qty Received],tblReceipts[Item Name],$A763,tblReceipts[Expiry Date],"&lt;"&amp;$H763)+SUMIFS(tblReceipts[Qty Received],tblReceipts[Item Name],$A763,tblReceipts[Expiry Date],$H763,tblReceipts[Lot Number],"&lt;"&amp;Receipts!$C766))</f>
        <v/>
      </c>
      <c r="L763" s="26" t="str">
        <f>IF($A763="","",MIN($D763,MAX(0,SUMIFS(tblIssues[Qty Issued],tblIssues[Item Name],$A763)-$K763)))</f>
        <v/>
      </c>
      <c r="M763" s="26" t="str">
        <f>IF($A763="","",SUMIFS(tblIssues[Qty Issued],tblIssues[Lot Number],$B763))</f>
        <v/>
      </c>
      <c r="N763" s="26" t="str">
        <f t="shared" si="57"/>
        <v/>
      </c>
      <c r="O763" s="26" t="str">
        <f t="shared" si="58"/>
        <v/>
      </c>
      <c r="P763" s="21" t="str">
        <f t="shared" si="59"/>
        <v/>
      </c>
      <c r="Q763" s="52" t="str">
        <f>IF($A763="","",IF($O763&lt;=0,"Depleted",IF($I763&lt;0,"EXPIRED",IF($I763&lt;=Settings!$C$6,"CRITICAL",IF($I763&lt;=Settings!$C$5,"Expiring","In date")))))</f>
        <v/>
      </c>
    </row>
    <row r="764" spans="1:17" x14ac:dyDescent="0.35">
      <c r="A764" s="90" t="str">
        <f>IF(Receipts!$D767="","",Receipts!$D767)</f>
        <v/>
      </c>
      <c r="B764" s="18" t="str">
        <f>IF(Receipts!$C767="","",Receipts!$C767)</f>
        <v/>
      </c>
      <c r="C764" s="18" t="str">
        <f>IF($A764="","",IFERROR(INDEX(Items!$B$5:$B$597,MATCH($A764,Items!$A$5:$A$597,0)),""))</f>
        <v/>
      </c>
      <c r="D764" s="23" t="str">
        <f>IF($A764="","",N(Receipts!$G767))</f>
        <v/>
      </c>
      <c r="E764" s="20" t="str">
        <f>IF($A764="","",IFERROR(INDEX(Items!$D$5:$D$597,MATCH($A764,Items!$A$5:$A$597,0)),0))</f>
        <v/>
      </c>
      <c r="F764" s="21" t="str">
        <f t="shared" si="55"/>
        <v/>
      </c>
      <c r="G764" s="25" t="str">
        <f>IF(Receipts!$I767="","",Receipts!$I767)</f>
        <v/>
      </c>
      <c r="H764" s="25" t="str">
        <f>IF(Receipts!$H767="","",Receipts!$H767)</f>
        <v/>
      </c>
      <c r="I764" s="26" t="str">
        <f t="shared" ca="1" si="56"/>
        <v/>
      </c>
      <c r="J764" s="26" t="str">
        <f>IF($A764="","",COUNTIFS(tblReceipts[Item Name],$A764,tblReceipts[Expiry Date],"&lt;"&amp;$H764)+COUNTIFS(tblReceipts[Item Name],$A764,tblReceipts[Expiry Date],$H764,tblReceipts[Lot Number],"&lt;="&amp;Receipts!$C767))</f>
        <v/>
      </c>
      <c r="K764" s="26" t="str">
        <f>IF($A764="","",SUMIFS(tblReceipts[Qty Received],tblReceipts[Item Name],$A764,tblReceipts[Expiry Date],"&lt;"&amp;$H764)+SUMIFS(tblReceipts[Qty Received],tblReceipts[Item Name],$A764,tblReceipts[Expiry Date],$H764,tblReceipts[Lot Number],"&lt;"&amp;Receipts!$C767))</f>
        <v/>
      </c>
      <c r="L764" s="26" t="str">
        <f>IF($A764="","",MIN($D764,MAX(0,SUMIFS(tblIssues[Qty Issued],tblIssues[Item Name],$A764)-$K764)))</f>
        <v/>
      </c>
      <c r="M764" s="26" t="str">
        <f>IF($A764="","",SUMIFS(tblIssues[Qty Issued],tblIssues[Lot Number],$B764))</f>
        <v/>
      </c>
      <c r="N764" s="26" t="str">
        <f t="shared" si="57"/>
        <v/>
      </c>
      <c r="O764" s="26" t="str">
        <f t="shared" si="58"/>
        <v/>
      </c>
      <c r="P764" s="21" t="str">
        <f t="shared" si="59"/>
        <v/>
      </c>
      <c r="Q764" s="52" t="str">
        <f>IF($A764="","",IF($O764&lt;=0,"Depleted",IF($I764&lt;0,"EXPIRED",IF($I764&lt;=Settings!$C$6,"CRITICAL",IF($I764&lt;=Settings!$C$5,"Expiring","In date")))))</f>
        <v/>
      </c>
    </row>
    <row r="765" spans="1:17" x14ac:dyDescent="0.35">
      <c r="A765" s="90" t="str">
        <f>IF(Receipts!$D768="","",Receipts!$D768)</f>
        <v/>
      </c>
      <c r="B765" s="18" t="str">
        <f>IF(Receipts!$C768="","",Receipts!$C768)</f>
        <v/>
      </c>
      <c r="C765" s="18" t="str">
        <f>IF($A765="","",IFERROR(INDEX(Items!$B$5:$B$597,MATCH($A765,Items!$A$5:$A$597,0)),""))</f>
        <v/>
      </c>
      <c r="D765" s="23" t="str">
        <f>IF($A765="","",N(Receipts!$G768))</f>
        <v/>
      </c>
      <c r="E765" s="20" t="str">
        <f>IF($A765="","",IFERROR(INDEX(Items!$D$5:$D$597,MATCH($A765,Items!$A$5:$A$597,0)),0))</f>
        <v/>
      </c>
      <c r="F765" s="21" t="str">
        <f t="shared" si="55"/>
        <v/>
      </c>
      <c r="G765" s="25" t="str">
        <f>IF(Receipts!$I768="","",Receipts!$I768)</f>
        <v/>
      </c>
      <c r="H765" s="25" t="str">
        <f>IF(Receipts!$H768="","",Receipts!$H768)</f>
        <v/>
      </c>
      <c r="I765" s="26" t="str">
        <f t="shared" ca="1" si="56"/>
        <v/>
      </c>
      <c r="J765" s="26" t="str">
        <f>IF($A765="","",COUNTIFS(tblReceipts[Item Name],$A765,tblReceipts[Expiry Date],"&lt;"&amp;$H765)+COUNTIFS(tblReceipts[Item Name],$A765,tblReceipts[Expiry Date],$H765,tblReceipts[Lot Number],"&lt;="&amp;Receipts!$C768))</f>
        <v/>
      </c>
      <c r="K765" s="26" t="str">
        <f>IF($A765="","",SUMIFS(tblReceipts[Qty Received],tblReceipts[Item Name],$A765,tblReceipts[Expiry Date],"&lt;"&amp;$H765)+SUMIFS(tblReceipts[Qty Received],tblReceipts[Item Name],$A765,tblReceipts[Expiry Date],$H765,tblReceipts[Lot Number],"&lt;"&amp;Receipts!$C768))</f>
        <v/>
      </c>
      <c r="L765" s="26" t="str">
        <f>IF($A765="","",MIN($D765,MAX(0,SUMIFS(tblIssues[Qty Issued],tblIssues[Item Name],$A765)-$K765)))</f>
        <v/>
      </c>
      <c r="M765" s="26" t="str">
        <f>IF($A765="","",SUMIFS(tblIssues[Qty Issued],tblIssues[Lot Number],$B765))</f>
        <v/>
      </c>
      <c r="N765" s="26" t="str">
        <f t="shared" si="57"/>
        <v/>
      </c>
      <c r="O765" s="26" t="str">
        <f t="shared" si="58"/>
        <v/>
      </c>
      <c r="P765" s="21" t="str">
        <f t="shared" si="59"/>
        <v/>
      </c>
      <c r="Q765" s="52" t="str">
        <f>IF($A765="","",IF($O765&lt;=0,"Depleted",IF($I765&lt;0,"EXPIRED",IF($I765&lt;=Settings!$C$6,"CRITICAL",IF($I765&lt;=Settings!$C$5,"Expiring","In date")))))</f>
        <v/>
      </c>
    </row>
    <row r="766" spans="1:17" x14ac:dyDescent="0.35">
      <c r="A766" s="90" t="str">
        <f>IF(Receipts!$D769="","",Receipts!$D769)</f>
        <v/>
      </c>
      <c r="B766" s="18" t="str">
        <f>IF(Receipts!$C769="","",Receipts!$C769)</f>
        <v/>
      </c>
      <c r="C766" s="18" t="str">
        <f>IF($A766="","",IFERROR(INDEX(Items!$B$5:$B$597,MATCH($A766,Items!$A$5:$A$597,0)),""))</f>
        <v/>
      </c>
      <c r="D766" s="23" t="str">
        <f>IF($A766="","",N(Receipts!$G769))</f>
        <v/>
      </c>
      <c r="E766" s="20" t="str">
        <f>IF($A766="","",IFERROR(INDEX(Items!$D$5:$D$597,MATCH($A766,Items!$A$5:$A$597,0)),0))</f>
        <v/>
      </c>
      <c r="F766" s="21" t="str">
        <f t="shared" si="55"/>
        <v/>
      </c>
      <c r="G766" s="25" t="str">
        <f>IF(Receipts!$I769="","",Receipts!$I769)</f>
        <v/>
      </c>
      <c r="H766" s="25" t="str">
        <f>IF(Receipts!$H769="","",Receipts!$H769)</f>
        <v/>
      </c>
      <c r="I766" s="26" t="str">
        <f t="shared" ca="1" si="56"/>
        <v/>
      </c>
      <c r="J766" s="26" t="str">
        <f>IF($A766="","",COUNTIFS(tblReceipts[Item Name],$A766,tblReceipts[Expiry Date],"&lt;"&amp;$H766)+COUNTIFS(tblReceipts[Item Name],$A766,tblReceipts[Expiry Date],$H766,tblReceipts[Lot Number],"&lt;="&amp;Receipts!$C769))</f>
        <v/>
      </c>
      <c r="K766" s="26" t="str">
        <f>IF($A766="","",SUMIFS(tblReceipts[Qty Received],tblReceipts[Item Name],$A766,tblReceipts[Expiry Date],"&lt;"&amp;$H766)+SUMIFS(tblReceipts[Qty Received],tblReceipts[Item Name],$A766,tblReceipts[Expiry Date],$H766,tblReceipts[Lot Number],"&lt;"&amp;Receipts!$C769))</f>
        <v/>
      </c>
      <c r="L766" s="26" t="str">
        <f>IF($A766="","",MIN($D766,MAX(0,SUMIFS(tblIssues[Qty Issued],tblIssues[Item Name],$A766)-$K766)))</f>
        <v/>
      </c>
      <c r="M766" s="26" t="str">
        <f>IF($A766="","",SUMIFS(tblIssues[Qty Issued],tblIssues[Lot Number],$B766))</f>
        <v/>
      </c>
      <c r="N766" s="26" t="str">
        <f t="shared" si="57"/>
        <v/>
      </c>
      <c r="O766" s="26" t="str">
        <f t="shared" si="58"/>
        <v/>
      </c>
      <c r="P766" s="21" t="str">
        <f t="shared" si="59"/>
        <v/>
      </c>
      <c r="Q766" s="52" t="str">
        <f>IF($A766="","",IF($O766&lt;=0,"Depleted",IF($I766&lt;0,"EXPIRED",IF($I766&lt;=Settings!$C$6,"CRITICAL",IF($I766&lt;=Settings!$C$5,"Expiring","In date")))))</f>
        <v/>
      </c>
    </row>
    <row r="767" spans="1:17" x14ac:dyDescent="0.35">
      <c r="A767" s="90" t="str">
        <f>IF(Receipts!$D770="","",Receipts!$D770)</f>
        <v/>
      </c>
      <c r="B767" s="18" t="str">
        <f>IF(Receipts!$C770="","",Receipts!$C770)</f>
        <v/>
      </c>
      <c r="C767" s="18" t="str">
        <f>IF($A767="","",IFERROR(INDEX(Items!$B$5:$B$597,MATCH($A767,Items!$A$5:$A$597,0)),""))</f>
        <v/>
      </c>
      <c r="D767" s="23" t="str">
        <f>IF($A767="","",N(Receipts!$G770))</f>
        <v/>
      </c>
      <c r="E767" s="20" t="str">
        <f>IF($A767="","",IFERROR(INDEX(Items!$D$5:$D$597,MATCH($A767,Items!$A$5:$A$597,0)),0))</f>
        <v/>
      </c>
      <c r="F767" s="21" t="str">
        <f t="shared" si="55"/>
        <v/>
      </c>
      <c r="G767" s="25" t="str">
        <f>IF(Receipts!$I770="","",Receipts!$I770)</f>
        <v/>
      </c>
      <c r="H767" s="25" t="str">
        <f>IF(Receipts!$H770="","",Receipts!$H770)</f>
        <v/>
      </c>
      <c r="I767" s="26" t="str">
        <f t="shared" ca="1" si="56"/>
        <v/>
      </c>
      <c r="J767" s="26" t="str">
        <f>IF($A767="","",COUNTIFS(tblReceipts[Item Name],$A767,tblReceipts[Expiry Date],"&lt;"&amp;$H767)+COUNTIFS(tblReceipts[Item Name],$A767,tblReceipts[Expiry Date],$H767,tblReceipts[Lot Number],"&lt;="&amp;Receipts!$C770))</f>
        <v/>
      </c>
      <c r="K767" s="26" t="str">
        <f>IF($A767="","",SUMIFS(tblReceipts[Qty Received],tblReceipts[Item Name],$A767,tblReceipts[Expiry Date],"&lt;"&amp;$H767)+SUMIFS(tblReceipts[Qty Received],tblReceipts[Item Name],$A767,tblReceipts[Expiry Date],$H767,tblReceipts[Lot Number],"&lt;"&amp;Receipts!$C770))</f>
        <v/>
      </c>
      <c r="L767" s="26" t="str">
        <f>IF($A767="","",MIN($D767,MAX(0,SUMIFS(tblIssues[Qty Issued],tblIssues[Item Name],$A767)-$K767)))</f>
        <v/>
      </c>
      <c r="M767" s="26" t="str">
        <f>IF($A767="","",SUMIFS(tblIssues[Qty Issued],tblIssues[Lot Number],$B767))</f>
        <v/>
      </c>
      <c r="N767" s="26" t="str">
        <f t="shared" si="57"/>
        <v/>
      </c>
      <c r="O767" s="26" t="str">
        <f t="shared" si="58"/>
        <v/>
      </c>
      <c r="P767" s="21" t="str">
        <f t="shared" si="59"/>
        <v/>
      </c>
      <c r="Q767" s="52" t="str">
        <f>IF($A767="","",IF($O767&lt;=0,"Depleted",IF($I767&lt;0,"EXPIRED",IF($I767&lt;=Settings!$C$6,"CRITICAL",IF($I767&lt;=Settings!$C$5,"Expiring","In date")))))</f>
        <v/>
      </c>
    </row>
    <row r="768" spans="1:17" x14ac:dyDescent="0.35">
      <c r="A768" s="90" t="str">
        <f>IF(Receipts!$D771="","",Receipts!$D771)</f>
        <v/>
      </c>
      <c r="B768" s="18" t="str">
        <f>IF(Receipts!$C771="","",Receipts!$C771)</f>
        <v/>
      </c>
      <c r="C768" s="18" t="str">
        <f>IF($A768="","",IFERROR(INDEX(Items!$B$5:$B$597,MATCH($A768,Items!$A$5:$A$597,0)),""))</f>
        <v/>
      </c>
      <c r="D768" s="23" t="str">
        <f>IF($A768="","",N(Receipts!$G771))</f>
        <v/>
      </c>
      <c r="E768" s="20" t="str">
        <f>IF($A768="","",IFERROR(INDEX(Items!$D$5:$D$597,MATCH($A768,Items!$A$5:$A$597,0)),0))</f>
        <v/>
      </c>
      <c r="F768" s="21" t="str">
        <f t="shared" si="55"/>
        <v/>
      </c>
      <c r="G768" s="25" t="str">
        <f>IF(Receipts!$I771="","",Receipts!$I771)</f>
        <v/>
      </c>
      <c r="H768" s="25" t="str">
        <f>IF(Receipts!$H771="","",Receipts!$H771)</f>
        <v/>
      </c>
      <c r="I768" s="26" t="str">
        <f t="shared" ca="1" si="56"/>
        <v/>
      </c>
      <c r="J768" s="26" t="str">
        <f>IF($A768="","",COUNTIFS(tblReceipts[Item Name],$A768,tblReceipts[Expiry Date],"&lt;"&amp;$H768)+COUNTIFS(tblReceipts[Item Name],$A768,tblReceipts[Expiry Date],$H768,tblReceipts[Lot Number],"&lt;="&amp;Receipts!$C771))</f>
        <v/>
      </c>
      <c r="K768" s="26" t="str">
        <f>IF($A768="","",SUMIFS(tblReceipts[Qty Received],tblReceipts[Item Name],$A768,tblReceipts[Expiry Date],"&lt;"&amp;$H768)+SUMIFS(tblReceipts[Qty Received],tblReceipts[Item Name],$A768,tblReceipts[Expiry Date],$H768,tblReceipts[Lot Number],"&lt;"&amp;Receipts!$C771))</f>
        <v/>
      </c>
      <c r="L768" s="26" t="str">
        <f>IF($A768="","",MIN($D768,MAX(0,SUMIFS(tblIssues[Qty Issued],tblIssues[Item Name],$A768)-$K768)))</f>
        <v/>
      </c>
      <c r="M768" s="26" t="str">
        <f>IF($A768="","",SUMIFS(tblIssues[Qty Issued],tblIssues[Lot Number],$B768))</f>
        <v/>
      </c>
      <c r="N768" s="26" t="str">
        <f t="shared" si="57"/>
        <v/>
      </c>
      <c r="O768" s="26" t="str">
        <f t="shared" si="58"/>
        <v/>
      </c>
      <c r="P768" s="21" t="str">
        <f t="shared" si="59"/>
        <v/>
      </c>
      <c r="Q768" s="52" t="str">
        <f>IF($A768="","",IF($O768&lt;=0,"Depleted",IF($I768&lt;0,"EXPIRED",IF($I768&lt;=Settings!$C$6,"CRITICAL",IF($I768&lt;=Settings!$C$5,"Expiring","In date")))))</f>
        <v/>
      </c>
    </row>
    <row r="769" spans="1:17" x14ac:dyDescent="0.35">
      <c r="A769" s="90" t="str">
        <f>IF(Receipts!$D772="","",Receipts!$D772)</f>
        <v/>
      </c>
      <c r="B769" s="18" t="str">
        <f>IF(Receipts!$C772="","",Receipts!$C772)</f>
        <v/>
      </c>
      <c r="C769" s="18" t="str">
        <f>IF($A769="","",IFERROR(INDEX(Items!$B$5:$B$597,MATCH($A769,Items!$A$5:$A$597,0)),""))</f>
        <v/>
      </c>
      <c r="D769" s="23" t="str">
        <f>IF($A769="","",N(Receipts!$G772))</f>
        <v/>
      </c>
      <c r="E769" s="20" t="str">
        <f>IF($A769="","",IFERROR(INDEX(Items!$D$5:$D$597,MATCH($A769,Items!$A$5:$A$597,0)),0))</f>
        <v/>
      </c>
      <c r="F769" s="21" t="str">
        <f t="shared" si="55"/>
        <v/>
      </c>
      <c r="G769" s="25" t="str">
        <f>IF(Receipts!$I772="","",Receipts!$I772)</f>
        <v/>
      </c>
      <c r="H769" s="25" t="str">
        <f>IF(Receipts!$H772="","",Receipts!$H772)</f>
        <v/>
      </c>
      <c r="I769" s="26" t="str">
        <f t="shared" ca="1" si="56"/>
        <v/>
      </c>
      <c r="J769" s="26" t="str">
        <f>IF($A769="","",COUNTIFS(tblReceipts[Item Name],$A769,tblReceipts[Expiry Date],"&lt;"&amp;$H769)+COUNTIFS(tblReceipts[Item Name],$A769,tblReceipts[Expiry Date],$H769,tblReceipts[Lot Number],"&lt;="&amp;Receipts!$C772))</f>
        <v/>
      </c>
      <c r="K769" s="26" t="str">
        <f>IF($A769="","",SUMIFS(tblReceipts[Qty Received],tblReceipts[Item Name],$A769,tblReceipts[Expiry Date],"&lt;"&amp;$H769)+SUMIFS(tblReceipts[Qty Received],tblReceipts[Item Name],$A769,tblReceipts[Expiry Date],$H769,tblReceipts[Lot Number],"&lt;"&amp;Receipts!$C772))</f>
        <v/>
      </c>
      <c r="L769" s="26" t="str">
        <f>IF($A769="","",MIN($D769,MAX(0,SUMIFS(tblIssues[Qty Issued],tblIssues[Item Name],$A769)-$K769)))</f>
        <v/>
      </c>
      <c r="M769" s="26" t="str">
        <f>IF($A769="","",SUMIFS(tblIssues[Qty Issued],tblIssues[Lot Number],$B769))</f>
        <v/>
      </c>
      <c r="N769" s="26" t="str">
        <f t="shared" si="57"/>
        <v/>
      </c>
      <c r="O769" s="26" t="str">
        <f t="shared" si="58"/>
        <v/>
      </c>
      <c r="P769" s="21" t="str">
        <f t="shared" si="59"/>
        <v/>
      </c>
      <c r="Q769" s="52" t="str">
        <f>IF($A769="","",IF($O769&lt;=0,"Depleted",IF($I769&lt;0,"EXPIRED",IF($I769&lt;=Settings!$C$6,"CRITICAL",IF($I769&lt;=Settings!$C$5,"Expiring","In date")))))</f>
        <v/>
      </c>
    </row>
    <row r="770" spans="1:17" x14ac:dyDescent="0.35">
      <c r="A770" s="90" t="str">
        <f>IF(Receipts!$D773="","",Receipts!$D773)</f>
        <v/>
      </c>
      <c r="B770" s="18" t="str">
        <f>IF(Receipts!$C773="","",Receipts!$C773)</f>
        <v/>
      </c>
      <c r="C770" s="18" t="str">
        <f>IF($A770="","",IFERROR(INDEX(Items!$B$5:$B$597,MATCH($A770,Items!$A$5:$A$597,0)),""))</f>
        <v/>
      </c>
      <c r="D770" s="23" t="str">
        <f>IF($A770="","",N(Receipts!$G773))</f>
        <v/>
      </c>
      <c r="E770" s="20" t="str">
        <f>IF($A770="","",IFERROR(INDEX(Items!$D$5:$D$597,MATCH($A770,Items!$A$5:$A$597,0)),0))</f>
        <v/>
      </c>
      <c r="F770" s="21" t="str">
        <f t="shared" si="55"/>
        <v/>
      </c>
      <c r="G770" s="25" t="str">
        <f>IF(Receipts!$I773="","",Receipts!$I773)</f>
        <v/>
      </c>
      <c r="H770" s="25" t="str">
        <f>IF(Receipts!$H773="","",Receipts!$H773)</f>
        <v/>
      </c>
      <c r="I770" s="26" t="str">
        <f t="shared" ca="1" si="56"/>
        <v/>
      </c>
      <c r="J770" s="26" t="str">
        <f>IF($A770="","",COUNTIFS(tblReceipts[Item Name],$A770,tblReceipts[Expiry Date],"&lt;"&amp;$H770)+COUNTIFS(tblReceipts[Item Name],$A770,tblReceipts[Expiry Date],$H770,tblReceipts[Lot Number],"&lt;="&amp;Receipts!$C773))</f>
        <v/>
      </c>
      <c r="K770" s="26" t="str">
        <f>IF($A770="","",SUMIFS(tblReceipts[Qty Received],tblReceipts[Item Name],$A770,tblReceipts[Expiry Date],"&lt;"&amp;$H770)+SUMIFS(tblReceipts[Qty Received],tblReceipts[Item Name],$A770,tblReceipts[Expiry Date],$H770,tblReceipts[Lot Number],"&lt;"&amp;Receipts!$C773))</f>
        <v/>
      </c>
      <c r="L770" s="26" t="str">
        <f>IF($A770="","",MIN($D770,MAX(0,SUMIFS(tblIssues[Qty Issued],tblIssues[Item Name],$A770)-$K770)))</f>
        <v/>
      </c>
      <c r="M770" s="26" t="str">
        <f>IF($A770="","",SUMIFS(tblIssues[Qty Issued],tblIssues[Lot Number],$B770))</f>
        <v/>
      </c>
      <c r="N770" s="26" t="str">
        <f t="shared" si="57"/>
        <v/>
      </c>
      <c r="O770" s="26" t="str">
        <f t="shared" si="58"/>
        <v/>
      </c>
      <c r="P770" s="21" t="str">
        <f t="shared" si="59"/>
        <v/>
      </c>
      <c r="Q770" s="52" t="str">
        <f>IF($A770="","",IF($O770&lt;=0,"Depleted",IF($I770&lt;0,"EXPIRED",IF($I770&lt;=Settings!$C$6,"CRITICAL",IF($I770&lt;=Settings!$C$5,"Expiring","In date")))))</f>
        <v/>
      </c>
    </row>
    <row r="771" spans="1:17" x14ac:dyDescent="0.35">
      <c r="A771" s="90" t="str">
        <f>IF(Receipts!$D774="","",Receipts!$D774)</f>
        <v/>
      </c>
      <c r="B771" s="18" t="str">
        <f>IF(Receipts!$C774="","",Receipts!$C774)</f>
        <v/>
      </c>
      <c r="C771" s="18" t="str">
        <f>IF($A771="","",IFERROR(INDEX(Items!$B$5:$B$597,MATCH($A771,Items!$A$5:$A$597,0)),""))</f>
        <v/>
      </c>
      <c r="D771" s="23" t="str">
        <f>IF($A771="","",N(Receipts!$G774))</f>
        <v/>
      </c>
      <c r="E771" s="20" t="str">
        <f>IF($A771="","",IFERROR(INDEX(Items!$D$5:$D$597,MATCH($A771,Items!$A$5:$A$597,0)),0))</f>
        <v/>
      </c>
      <c r="F771" s="21" t="str">
        <f t="shared" si="55"/>
        <v/>
      </c>
      <c r="G771" s="25" t="str">
        <f>IF(Receipts!$I774="","",Receipts!$I774)</f>
        <v/>
      </c>
      <c r="H771" s="25" t="str">
        <f>IF(Receipts!$H774="","",Receipts!$H774)</f>
        <v/>
      </c>
      <c r="I771" s="26" t="str">
        <f t="shared" ca="1" si="56"/>
        <v/>
      </c>
      <c r="J771" s="26" t="str">
        <f>IF($A771="","",COUNTIFS(tblReceipts[Item Name],$A771,tblReceipts[Expiry Date],"&lt;"&amp;$H771)+COUNTIFS(tblReceipts[Item Name],$A771,tblReceipts[Expiry Date],$H771,tblReceipts[Lot Number],"&lt;="&amp;Receipts!$C774))</f>
        <v/>
      </c>
      <c r="K771" s="26" t="str">
        <f>IF($A771="","",SUMIFS(tblReceipts[Qty Received],tblReceipts[Item Name],$A771,tblReceipts[Expiry Date],"&lt;"&amp;$H771)+SUMIFS(tblReceipts[Qty Received],tblReceipts[Item Name],$A771,tblReceipts[Expiry Date],$H771,tblReceipts[Lot Number],"&lt;"&amp;Receipts!$C774))</f>
        <v/>
      </c>
      <c r="L771" s="26" t="str">
        <f>IF($A771="","",MIN($D771,MAX(0,SUMIFS(tblIssues[Qty Issued],tblIssues[Item Name],$A771)-$K771)))</f>
        <v/>
      </c>
      <c r="M771" s="26" t="str">
        <f>IF($A771="","",SUMIFS(tblIssues[Qty Issued],tblIssues[Lot Number],$B771))</f>
        <v/>
      </c>
      <c r="N771" s="26" t="str">
        <f t="shared" si="57"/>
        <v/>
      </c>
      <c r="O771" s="26" t="str">
        <f t="shared" si="58"/>
        <v/>
      </c>
      <c r="P771" s="21" t="str">
        <f t="shared" si="59"/>
        <v/>
      </c>
      <c r="Q771" s="52" t="str">
        <f>IF($A771="","",IF($O771&lt;=0,"Depleted",IF($I771&lt;0,"EXPIRED",IF($I771&lt;=Settings!$C$6,"CRITICAL",IF($I771&lt;=Settings!$C$5,"Expiring","In date")))))</f>
        <v/>
      </c>
    </row>
    <row r="772" spans="1:17" x14ac:dyDescent="0.35">
      <c r="A772" s="90" t="str">
        <f>IF(Receipts!$D775="","",Receipts!$D775)</f>
        <v/>
      </c>
      <c r="B772" s="18" t="str">
        <f>IF(Receipts!$C775="","",Receipts!$C775)</f>
        <v/>
      </c>
      <c r="C772" s="18" t="str">
        <f>IF($A772="","",IFERROR(INDEX(Items!$B$5:$B$597,MATCH($A772,Items!$A$5:$A$597,0)),""))</f>
        <v/>
      </c>
      <c r="D772" s="23" t="str">
        <f>IF($A772="","",N(Receipts!$G775))</f>
        <v/>
      </c>
      <c r="E772" s="20" t="str">
        <f>IF($A772="","",IFERROR(INDEX(Items!$D$5:$D$597,MATCH($A772,Items!$A$5:$A$597,0)),0))</f>
        <v/>
      </c>
      <c r="F772" s="21" t="str">
        <f t="shared" si="55"/>
        <v/>
      </c>
      <c r="G772" s="25" t="str">
        <f>IF(Receipts!$I775="","",Receipts!$I775)</f>
        <v/>
      </c>
      <c r="H772" s="25" t="str">
        <f>IF(Receipts!$H775="","",Receipts!$H775)</f>
        <v/>
      </c>
      <c r="I772" s="26" t="str">
        <f t="shared" ca="1" si="56"/>
        <v/>
      </c>
      <c r="J772" s="26" t="str">
        <f>IF($A772="","",COUNTIFS(tblReceipts[Item Name],$A772,tblReceipts[Expiry Date],"&lt;"&amp;$H772)+COUNTIFS(tblReceipts[Item Name],$A772,tblReceipts[Expiry Date],$H772,tblReceipts[Lot Number],"&lt;="&amp;Receipts!$C775))</f>
        <v/>
      </c>
      <c r="K772" s="26" t="str">
        <f>IF($A772="","",SUMIFS(tblReceipts[Qty Received],tblReceipts[Item Name],$A772,tblReceipts[Expiry Date],"&lt;"&amp;$H772)+SUMIFS(tblReceipts[Qty Received],tblReceipts[Item Name],$A772,tblReceipts[Expiry Date],$H772,tblReceipts[Lot Number],"&lt;"&amp;Receipts!$C775))</f>
        <v/>
      </c>
      <c r="L772" s="26" t="str">
        <f>IF($A772="","",MIN($D772,MAX(0,SUMIFS(tblIssues[Qty Issued],tblIssues[Item Name],$A772)-$K772)))</f>
        <v/>
      </c>
      <c r="M772" s="26" t="str">
        <f>IF($A772="","",SUMIFS(tblIssues[Qty Issued],tblIssues[Lot Number],$B772))</f>
        <v/>
      </c>
      <c r="N772" s="26" t="str">
        <f t="shared" si="57"/>
        <v/>
      </c>
      <c r="O772" s="26" t="str">
        <f t="shared" si="58"/>
        <v/>
      </c>
      <c r="P772" s="21" t="str">
        <f t="shared" si="59"/>
        <v/>
      </c>
      <c r="Q772" s="52" t="str">
        <f>IF($A772="","",IF($O772&lt;=0,"Depleted",IF($I772&lt;0,"EXPIRED",IF($I772&lt;=Settings!$C$6,"CRITICAL",IF($I772&lt;=Settings!$C$5,"Expiring","In date")))))</f>
        <v/>
      </c>
    </row>
    <row r="773" spans="1:17" x14ac:dyDescent="0.35">
      <c r="A773" s="90" t="str">
        <f>IF(Receipts!$D776="","",Receipts!$D776)</f>
        <v/>
      </c>
      <c r="B773" s="18" t="str">
        <f>IF(Receipts!$C776="","",Receipts!$C776)</f>
        <v/>
      </c>
      <c r="C773" s="18" t="str">
        <f>IF($A773="","",IFERROR(INDEX(Items!$B$5:$B$597,MATCH($A773,Items!$A$5:$A$597,0)),""))</f>
        <v/>
      </c>
      <c r="D773" s="23" t="str">
        <f>IF($A773="","",N(Receipts!$G776))</f>
        <v/>
      </c>
      <c r="E773" s="20" t="str">
        <f>IF($A773="","",IFERROR(INDEX(Items!$D$5:$D$597,MATCH($A773,Items!$A$5:$A$597,0)),0))</f>
        <v/>
      </c>
      <c r="F773" s="21" t="str">
        <f t="shared" ref="F773:F836" si="60">IF($A773="","",$D773*$E773)</f>
        <v/>
      </c>
      <c r="G773" s="25" t="str">
        <f>IF(Receipts!$I776="","",Receipts!$I776)</f>
        <v/>
      </c>
      <c r="H773" s="25" t="str">
        <f>IF(Receipts!$H776="","",Receipts!$H776)</f>
        <v/>
      </c>
      <c r="I773" s="26" t="str">
        <f t="shared" ref="I773:I836" ca="1" si="61">IF($H773="","",$H773-TODAY())</f>
        <v/>
      </c>
      <c r="J773" s="26" t="str">
        <f>IF($A773="","",COUNTIFS(tblReceipts[Item Name],$A773,tblReceipts[Expiry Date],"&lt;"&amp;$H773)+COUNTIFS(tblReceipts[Item Name],$A773,tblReceipts[Expiry Date],$H773,tblReceipts[Lot Number],"&lt;="&amp;Receipts!$C776))</f>
        <v/>
      </c>
      <c r="K773" s="26" t="str">
        <f>IF($A773="","",SUMIFS(tblReceipts[Qty Received],tblReceipts[Item Name],$A773,tblReceipts[Expiry Date],"&lt;"&amp;$H773)+SUMIFS(tblReceipts[Qty Received],tblReceipts[Item Name],$A773,tblReceipts[Expiry Date],$H773,tblReceipts[Lot Number],"&lt;"&amp;Receipts!$C776))</f>
        <v/>
      </c>
      <c r="L773" s="26" t="str">
        <f>IF($A773="","",MIN($D773,MAX(0,SUMIFS(tblIssues[Qty Issued],tblIssues[Item Name],$A773)-$K773)))</f>
        <v/>
      </c>
      <c r="M773" s="26" t="str">
        <f>IF($A773="","",SUMIFS(tblIssues[Qty Issued],tblIssues[Lot Number],$B773))</f>
        <v/>
      </c>
      <c r="N773" s="26" t="str">
        <f t="shared" ref="N773:N836" si="62">IF($A773="","",$M773-$L773)</f>
        <v/>
      </c>
      <c r="O773" s="26" t="str">
        <f t="shared" ref="O773:O836" si="63">IF($A773="","",$D773-$L773)</f>
        <v/>
      </c>
      <c r="P773" s="21" t="str">
        <f t="shared" ref="P773:P836" si="64">IF($A773="","",$O773*$E773)</f>
        <v/>
      </c>
      <c r="Q773" s="52" t="str">
        <f>IF($A773="","",IF($O773&lt;=0,"Depleted",IF($I773&lt;0,"EXPIRED",IF($I773&lt;=Settings!$C$6,"CRITICAL",IF($I773&lt;=Settings!$C$5,"Expiring","In date")))))</f>
        <v/>
      </c>
    </row>
    <row r="774" spans="1:17" x14ac:dyDescent="0.35">
      <c r="A774" s="90" t="str">
        <f>IF(Receipts!$D777="","",Receipts!$D777)</f>
        <v/>
      </c>
      <c r="B774" s="18" t="str">
        <f>IF(Receipts!$C777="","",Receipts!$C777)</f>
        <v/>
      </c>
      <c r="C774" s="18" t="str">
        <f>IF($A774="","",IFERROR(INDEX(Items!$B$5:$B$597,MATCH($A774,Items!$A$5:$A$597,0)),""))</f>
        <v/>
      </c>
      <c r="D774" s="23" t="str">
        <f>IF($A774="","",N(Receipts!$G777))</f>
        <v/>
      </c>
      <c r="E774" s="20" t="str">
        <f>IF($A774="","",IFERROR(INDEX(Items!$D$5:$D$597,MATCH($A774,Items!$A$5:$A$597,0)),0))</f>
        <v/>
      </c>
      <c r="F774" s="21" t="str">
        <f t="shared" si="60"/>
        <v/>
      </c>
      <c r="G774" s="25" t="str">
        <f>IF(Receipts!$I777="","",Receipts!$I777)</f>
        <v/>
      </c>
      <c r="H774" s="25" t="str">
        <f>IF(Receipts!$H777="","",Receipts!$H777)</f>
        <v/>
      </c>
      <c r="I774" s="26" t="str">
        <f t="shared" ca="1" si="61"/>
        <v/>
      </c>
      <c r="J774" s="26" t="str">
        <f>IF($A774="","",COUNTIFS(tblReceipts[Item Name],$A774,tblReceipts[Expiry Date],"&lt;"&amp;$H774)+COUNTIFS(tblReceipts[Item Name],$A774,tblReceipts[Expiry Date],$H774,tblReceipts[Lot Number],"&lt;="&amp;Receipts!$C777))</f>
        <v/>
      </c>
      <c r="K774" s="26" t="str">
        <f>IF($A774="","",SUMIFS(tblReceipts[Qty Received],tblReceipts[Item Name],$A774,tblReceipts[Expiry Date],"&lt;"&amp;$H774)+SUMIFS(tblReceipts[Qty Received],tblReceipts[Item Name],$A774,tblReceipts[Expiry Date],$H774,tblReceipts[Lot Number],"&lt;"&amp;Receipts!$C777))</f>
        <v/>
      </c>
      <c r="L774" s="26" t="str">
        <f>IF($A774="","",MIN($D774,MAX(0,SUMIFS(tblIssues[Qty Issued],tblIssues[Item Name],$A774)-$K774)))</f>
        <v/>
      </c>
      <c r="M774" s="26" t="str">
        <f>IF($A774="","",SUMIFS(tblIssues[Qty Issued],tblIssues[Lot Number],$B774))</f>
        <v/>
      </c>
      <c r="N774" s="26" t="str">
        <f t="shared" si="62"/>
        <v/>
      </c>
      <c r="O774" s="26" t="str">
        <f t="shared" si="63"/>
        <v/>
      </c>
      <c r="P774" s="21" t="str">
        <f t="shared" si="64"/>
        <v/>
      </c>
      <c r="Q774" s="52" t="str">
        <f>IF($A774="","",IF($O774&lt;=0,"Depleted",IF($I774&lt;0,"EXPIRED",IF($I774&lt;=Settings!$C$6,"CRITICAL",IF($I774&lt;=Settings!$C$5,"Expiring","In date")))))</f>
        <v/>
      </c>
    </row>
    <row r="775" spans="1:17" x14ac:dyDescent="0.35">
      <c r="A775" s="90" t="str">
        <f>IF(Receipts!$D778="","",Receipts!$D778)</f>
        <v/>
      </c>
      <c r="B775" s="18" t="str">
        <f>IF(Receipts!$C778="","",Receipts!$C778)</f>
        <v/>
      </c>
      <c r="C775" s="18" t="str">
        <f>IF($A775="","",IFERROR(INDEX(Items!$B$5:$B$597,MATCH($A775,Items!$A$5:$A$597,0)),""))</f>
        <v/>
      </c>
      <c r="D775" s="23" t="str">
        <f>IF($A775="","",N(Receipts!$G778))</f>
        <v/>
      </c>
      <c r="E775" s="20" t="str">
        <f>IF($A775="","",IFERROR(INDEX(Items!$D$5:$D$597,MATCH($A775,Items!$A$5:$A$597,0)),0))</f>
        <v/>
      </c>
      <c r="F775" s="21" t="str">
        <f t="shared" si="60"/>
        <v/>
      </c>
      <c r="G775" s="25" t="str">
        <f>IF(Receipts!$I778="","",Receipts!$I778)</f>
        <v/>
      </c>
      <c r="H775" s="25" t="str">
        <f>IF(Receipts!$H778="","",Receipts!$H778)</f>
        <v/>
      </c>
      <c r="I775" s="26" t="str">
        <f t="shared" ca="1" si="61"/>
        <v/>
      </c>
      <c r="J775" s="26" t="str">
        <f>IF($A775="","",COUNTIFS(tblReceipts[Item Name],$A775,tblReceipts[Expiry Date],"&lt;"&amp;$H775)+COUNTIFS(tblReceipts[Item Name],$A775,tblReceipts[Expiry Date],$H775,tblReceipts[Lot Number],"&lt;="&amp;Receipts!$C778))</f>
        <v/>
      </c>
      <c r="K775" s="26" t="str">
        <f>IF($A775="","",SUMIFS(tblReceipts[Qty Received],tblReceipts[Item Name],$A775,tblReceipts[Expiry Date],"&lt;"&amp;$H775)+SUMIFS(tblReceipts[Qty Received],tblReceipts[Item Name],$A775,tblReceipts[Expiry Date],$H775,tblReceipts[Lot Number],"&lt;"&amp;Receipts!$C778))</f>
        <v/>
      </c>
      <c r="L775" s="26" t="str">
        <f>IF($A775="","",MIN($D775,MAX(0,SUMIFS(tblIssues[Qty Issued],tblIssues[Item Name],$A775)-$K775)))</f>
        <v/>
      </c>
      <c r="M775" s="26" t="str">
        <f>IF($A775="","",SUMIFS(tblIssues[Qty Issued],tblIssues[Lot Number],$B775))</f>
        <v/>
      </c>
      <c r="N775" s="26" t="str">
        <f t="shared" si="62"/>
        <v/>
      </c>
      <c r="O775" s="26" t="str">
        <f t="shared" si="63"/>
        <v/>
      </c>
      <c r="P775" s="21" t="str">
        <f t="shared" si="64"/>
        <v/>
      </c>
      <c r="Q775" s="52" t="str">
        <f>IF($A775="","",IF($O775&lt;=0,"Depleted",IF($I775&lt;0,"EXPIRED",IF($I775&lt;=Settings!$C$6,"CRITICAL",IF($I775&lt;=Settings!$C$5,"Expiring","In date")))))</f>
        <v/>
      </c>
    </row>
    <row r="776" spans="1:17" x14ac:dyDescent="0.35">
      <c r="A776" s="90" t="str">
        <f>IF(Receipts!$D779="","",Receipts!$D779)</f>
        <v/>
      </c>
      <c r="B776" s="18" t="str">
        <f>IF(Receipts!$C779="","",Receipts!$C779)</f>
        <v/>
      </c>
      <c r="C776" s="18" t="str">
        <f>IF($A776="","",IFERROR(INDEX(Items!$B$5:$B$597,MATCH($A776,Items!$A$5:$A$597,0)),""))</f>
        <v/>
      </c>
      <c r="D776" s="23" t="str">
        <f>IF($A776="","",N(Receipts!$G779))</f>
        <v/>
      </c>
      <c r="E776" s="20" t="str">
        <f>IF($A776="","",IFERROR(INDEX(Items!$D$5:$D$597,MATCH($A776,Items!$A$5:$A$597,0)),0))</f>
        <v/>
      </c>
      <c r="F776" s="21" t="str">
        <f t="shared" si="60"/>
        <v/>
      </c>
      <c r="G776" s="25" t="str">
        <f>IF(Receipts!$I779="","",Receipts!$I779)</f>
        <v/>
      </c>
      <c r="H776" s="25" t="str">
        <f>IF(Receipts!$H779="","",Receipts!$H779)</f>
        <v/>
      </c>
      <c r="I776" s="26" t="str">
        <f t="shared" ca="1" si="61"/>
        <v/>
      </c>
      <c r="J776" s="26" t="str">
        <f>IF($A776="","",COUNTIFS(tblReceipts[Item Name],$A776,tblReceipts[Expiry Date],"&lt;"&amp;$H776)+COUNTIFS(tblReceipts[Item Name],$A776,tblReceipts[Expiry Date],$H776,tblReceipts[Lot Number],"&lt;="&amp;Receipts!$C779))</f>
        <v/>
      </c>
      <c r="K776" s="26" t="str">
        <f>IF($A776="","",SUMIFS(tblReceipts[Qty Received],tblReceipts[Item Name],$A776,tblReceipts[Expiry Date],"&lt;"&amp;$H776)+SUMIFS(tblReceipts[Qty Received],tblReceipts[Item Name],$A776,tblReceipts[Expiry Date],$H776,tblReceipts[Lot Number],"&lt;"&amp;Receipts!$C779))</f>
        <v/>
      </c>
      <c r="L776" s="26" t="str">
        <f>IF($A776="","",MIN($D776,MAX(0,SUMIFS(tblIssues[Qty Issued],tblIssues[Item Name],$A776)-$K776)))</f>
        <v/>
      </c>
      <c r="M776" s="26" t="str">
        <f>IF($A776="","",SUMIFS(tblIssues[Qty Issued],tblIssues[Lot Number],$B776))</f>
        <v/>
      </c>
      <c r="N776" s="26" t="str">
        <f t="shared" si="62"/>
        <v/>
      </c>
      <c r="O776" s="26" t="str">
        <f t="shared" si="63"/>
        <v/>
      </c>
      <c r="P776" s="21" t="str">
        <f t="shared" si="64"/>
        <v/>
      </c>
      <c r="Q776" s="52" t="str">
        <f>IF($A776="","",IF($O776&lt;=0,"Depleted",IF($I776&lt;0,"EXPIRED",IF($I776&lt;=Settings!$C$6,"CRITICAL",IF($I776&lt;=Settings!$C$5,"Expiring","In date")))))</f>
        <v/>
      </c>
    </row>
    <row r="777" spans="1:17" x14ac:dyDescent="0.35">
      <c r="A777" s="90" t="str">
        <f>IF(Receipts!$D780="","",Receipts!$D780)</f>
        <v/>
      </c>
      <c r="B777" s="18" t="str">
        <f>IF(Receipts!$C780="","",Receipts!$C780)</f>
        <v/>
      </c>
      <c r="C777" s="18" t="str">
        <f>IF($A777="","",IFERROR(INDEX(Items!$B$5:$B$597,MATCH($A777,Items!$A$5:$A$597,0)),""))</f>
        <v/>
      </c>
      <c r="D777" s="23" t="str">
        <f>IF($A777="","",N(Receipts!$G780))</f>
        <v/>
      </c>
      <c r="E777" s="20" t="str">
        <f>IF($A777="","",IFERROR(INDEX(Items!$D$5:$D$597,MATCH($A777,Items!$A$5:$A$597,0)),0))</f>
        <v/>
      </c>
      <c r="F777" s="21" t="str">
        <f t="shared" si="60"/>
        <v/>
      </c>
      <c r="G777" s="25" t="str">
        <f>IF(Receipts!$I780="","",Receipts!$I780)</f>
        <v/>
      </c>
      <c r="H777" s="25" t="str">
        <f>IF(Receipts!$H780="","",Receipts!$H780)</f>
        <v/>
      </c>
      <c r="I777" s="26" t="str">
        <f t="shared" ca="1" si="61"/>
        <v/>
      </c>
      <c r="J777" s="26" t="str">
        <f>IF($A777="","",COUNTIFS(tblReceipts[Item Name],$A777,tblReceipts[Expiry Date],"&lt;"&amp;$H777)+COUNTIFS(tblReceipts[Item Name],$A777,tblReceipts[Expiry Date],$H777,tblReceipts[Lot Number],"&lt;="&amp;Receipts!$C780))</f>
        <v/>
      </c>
      <c r="K777" s="26" t="str">
        <f>IF($A777="","",SUMIFS(tblReceipts[Qty Received],tblReceipts[Item Name],$A777,tblReceipts[Expiry Date],"&lt;"&amp;$H777)+SUMIFS(tblReceipts[Qty Received],tblReceipts[Item Name],$A777,tblReceipts[Expiry Date],$H777,tblReceipts[Lot Number],"&lt;"&amp;Receipts!$C780))</f>
        <v/>
      </c>
      <c r="L777" s="26" t="str">
        <f>IF($A777="","",MIN($D777,MAX(0,SUMIFS(tblIssues[Qty Issued],tblIssues[Item Name],$A777)-$K777)))</f>
        <v/>
      </c>
      <c r="M777" s="26" t="str">
        <f>IF($A777="","",SUMIFS(tblIssues[Qty Issued],tblIssues[Lot Number],$B777))</f>
        <v/>
      </c>
      <c r="N777" s="26" t="str">
        <f t="shared" si="62"/>
        <v/>
      </c>
      <c r="O777" s="26" t="str">
        <f t="shared" si="63"/>
        <v/>
      </c>
      <c r="P777" s="21" t="str">
        <f t="shared" si="64"/>
        <v/>
      </c>
      <c r="Q777" s="52" t="str">
        <f>IF($A777="","",IF($O777&lt;=0,"Depleted",IF($I777&lt;0,"EXPIRED",IF($I777&lt;=Settings!$C$6,"CRITICAL",IF($I777&lt;=Settings!$C$5,"Expiring","In date")))))</f>
        <v/>
      </c>
    </row>
    <row r="778" spans="1:17" x14ac:dyDescent="0.35">
      <c r="A778" s="90" t="str">
        <f>IF(Receipts!$D781="","",Receipts!$D781)</f>
        <v/>
      </c>
      <c r="B778" s="18" t="str">
        <f>IF(Receipts!$C781="","",Receipts!$C781)</f>
        <v/>
      </c>
      <c r="C778" s="18" t="str">
        <f>IF($A778="","",IFERROR(INDEX(Items!$B$5:$B$597,MATCH($A778,Items!$A$5:$A$597,0)),""))</f>
        <v/>
      </c>
      <c r="D778" s="23" t="str">
        <f>IF($A778="","",N(Receipts!$G781))</f>
        <v/>
      </c>
      <c r="E778" s="20" t="str">
        <f>IF($A778="","",IFERROR(INDEX(Items!$D$5:$D$597,MATCH($A778,Items!$A$5:$A$597,0)),0))</f>
        <v/>
      </c>
      <c r="F778" s="21" t="str">
        <f t="shared" si="60"/>
        <v/>
      </c>
      <c r="G778" s="25" t="str">
        <f>IF(Receipts!$I781="","",Receipts!$I781)</f>
        <v/>
      </c>
      <c r="H778" s="25" t="str">
        <f>IF(Receipts!$H781="","",Receipts!$H781)</f>
        <v/>
      </c>
      <c r="I778" s="26" t="str">
        <f t="shared" ca="1" si="61"/>
        <v/>
      </c>
      <c r="J778" s="26" t="str">
        <f>IF($A778="","",COUNTIFS(tblReceipts[Item Name],$A778,tblReceipts[Expiry Date],"&lt;"&amp;$H778)+COUNTIFS(tblReceipts[Item Name],$A778,tblReceipts[Expiry Date],$H778,tblReceipts[Lot Number],"&lt;="&amp;Receipts!$C781))</f>
        <v/>
      </c>
      <c r="K778" s="26" t="str">
        <f>IF($A778="","",SUMIFS(tblReceipts[Qty Received],tblReceipts[Item Name],$A778,tblReceipts[Expiry Date],"&lt;"&amp;$H778)+SUMIFS(tblReceipts[Qty Received],tblReceipts[Item Name],$A778,tblReceipts[Expiry Date],$H778,tblReceipts[Lot Number],"&lt;"&amp;Receipts!$C781))</f>
        <v/>
      </c>
      <c r="L778" s="26" t="str">
        <f>IF($A778="","",MIN($D778,MAX(0,SUMIFS(tblIssues[Qty Issued],tblIssues[Item Name],$A778)-$K778)))</f>
        <v/>
      </c>
      <c r="M778" s="26" t="str">
        <f>IF($A778="","",SUMIFS(tblIssues[Qty Issued],tblIssues[Lot Number],$B778))</f>
        <v/>
      </c>
      <c r="N778" s="26" t="str">
        <f t="shared" si="62"/>
        <v/>
      </c>
      <c r="O778" s="26" t="str">
        <f t="shared" si="63"/>
        <v/>
      </c>
      <c r="P778" s="21" t="str">
        <f t="shared" si="64"/>
        <v/>
      </c>
      <c r="Q778" s="52" t="str">
        <f>IF($A778="","",IF($O778&lt;=0,"Depleted",IF($I778&lt;0,"EXPIRED",IF($I778&lt;=Settings!$C$6,"CRITICAL",IF($I778&lt;=Settings!$C$5,"Expiring","In date")))))</f>
        <v/>
      </c>
    </row>
    <row r="779" spans="1:17" x14ac:dyDescent="0.35">
      <c r="A779" s="90" t="str">
        <f>IF(Receipts!$D782="","",Receipts!$D782)</f>
        <v/>
      </c>
      <c r="B779" s="18" t="str">
        <f>IF(Receipts!$C782="","",Receipts!$C782)</f>
        <v/>
      </c>
      <c r="C779" s="18" t="str">
        <f>IF($A779="","",IFERROR(INDEX(Items!$B$5:$B$597,MATCH($A779,Items!$A$5:$A$597,0)),""))</f>
        <v/>
      </c>
      <c r="D779" s="23" t="str">
        <f>IF($A779="","",N(Receipts!$G782))</f>
        <v/>
      </c>
      <c r="E779" s="20" t="str">
        <f>IF($A779="","",IFERROR(INDEX(Items!$D$5:$D$597,MATCH($A779,Items!$A$5:$A$597,0)),0))</f>
        <v/>
      </c>
      <c r="F779" s="21" t="str">
        <f t="shared" si="60"/>
        <v/>
      </c>
      <c r="G779" s="25" t="str">
        <f>IF(Receipts!$I782="","",Receipts!$I782)</f>
        <v/>
      </c>
      <c r="H779" s="25" t="str">
        <f>IF(Receipts!$H782="","",Receipts!$H782)</f>
        <v/>
      </c>
      <c r="I779" s="26" t="str">
        <f t="shared" ca="1" si="61"/>
        <v/>
      </c>
      <c r="J779" s="26" t="str">
        <f>IF($A779="","",COUNTIFS(tblReceipts[Item Name],$A779,tblReceipts[Expiry Date],"&lt;"&amp;$H779)+COUNTIFS(tblReceipts[Item Name],$A779,tblReceipts[Expiry Date],$H779,tblReceipts[Lot Number],"&lt;="&amp;Receipts!$C782))</f>
        <v/>
      </c>
      <c r="K779" s="26" t="str">
        <f>IF($A779="","",SUMIFS(tblReceipts[Qty Received],tblReceipts[Item Name],$A779,tblReceipts[Expiry Date],"&lt;"&amp;$H779)+SUMIFS(tblReceipts[Qty Received],tblReceipts[Item Name],$A779,tblReceipts[Expiry Date],$H779,tblReceipts[Lot Number],"&lt;"&amp;Receipts!$C782))</f>
        <v/>
      </c>
      <c r="L779" s="26" t="str">
        <f>IF($A779="","",MIN($D779,MAX(0,SUMIFS(tblIssues[Qty Issued],tblIssues[Item Name],$A779)-$K779)))</f>
        <v/>
      </c>
      <c r="M779" s="26" t="str">
        <f>IF($A779="","",SUMIFS(tblIssues[Qty Issued],tblIssues[Lot Number],$B779))</f>
        <v/>
      </c>
      <c r="N779" s="26" t="str">
        <f t="shared" si="62"/>
        <v/>
      </c>
      <c r="O779" s="26" t="str">
        <f t="shared" si="63"/>
        <v/>
      </c>
      <c r="P779" s="21" t="str">
        <f t="shared" si="64"/>
        <v/>
      </c>
      <c r="Q779" s="52" t="str">
        <f>IF($A779="","",IF($O779&lt;=0,"Depleted",IF($I779&lt;0,"EXPIRED",IF($I779&lt;=Settings!$C$6,"CRITICAL",IF($I779&lt;=Settings!$C$5,"Expiring","In date")))))</f>
        <v/>
      </c>
    </row>
    <row r="780" spans="1:17" x14ac:dyDescent="0.35">
      <c r="A780" s="90" t="str">
        <f>IF(Receipts!$D783="","",Receipts!$D783)</f>
        <v/>
      </c>
      <c r="B780" s="18" t="str">
        <f>IF(Receipts!$C783="","",Receipts!$C783)</f>
        <v/>
      </c>
      <c r="C780" s="18" t="str">
        <f>IF($A780="","",IFERROR(INDEX(Items!$B$5:$B$597,MATCH($A780,Items!$A$5:$A$597,0)),""))</f>
        <v/>
      </c>
      <c r="D780" s="23" t="str">
        <f>IF($A780="","",N(Receipts!$G783))</f>
        <v/>
      </c>
      <c r="E780" s="20" t="str">
        <f>IF($A780="","",IFERROR(INDEX(Items!$D$5:$D$597,MATCH($A780,Items!$A$5:$A$597,0)),0))</f>
        <v/>
      </c>
      <c r="F780" s="21" t="str">
        <f t="shared" si="60"/>
        <v/>
      </c>
      <c r="G780" s="25" t="str">
        <f>IF(Receipts!$I783="","",Receipts!$I783)</f>
        <v/>
      </c>
      <c r="H780" s="25" t="str">
        <f>IF(Receipts!$H783="","",Receipts!$H783)</f>
        <v/>
      </c>
      <c r="I780" s="26" t="str">
        <f t="shared" ca="1" si="61"/>
        <v/>
      </c>
      <c r="J780" s="26" t="str">
        <f>IF($A780="","",COUNTIFS(tblReceipts[Item Name],$A780,tblReceipts[Expiry Date],"&lt;"&amp;$H780)+COUNTIFS(tblReceipts[Item Name],$A780,tblReceipts[Expiry Date],$H780,tblReceipts[Lot Number],"&lt;="&amp;Receipts!$C783))</f>
        <v/>
      </c>
      <c r="K780" s="26" t="str">
        <f>IF($A780="","",SUMIFS(tblReceipts[Qty Received],tblReceipts[Item Name],$A780,tblReceipts[Expiry Date],"&lt;"&amp;$H780)+SUMIFS(tblReceipts[Qty Received],tblReceipts[Item Name],$A780,tblReceipts[Expiry Date],$H780,tblReceipts[Lot Number],"&lt;"&amp;Receipts!$C783))</f>
        <v/>
      </c>
      <c r="L780" s="26" t="str">
        <f>IF($A780="","",MIN($D780,MAX(0,SUMIFS(tblIssues[Qty Issued],tblIssues[Item Name],$A780)-$K780)))</f>
        <v/>
      </c>
      <c r="M780" s="26" t="str">
        <f>IF($A780="","",SUMIFS(tblIssues[Qty Issued],tblIssues[Lot Number],$B780))</f>
        <v/>
      </c>
      <c r="N780" s="26" t="str">
        <f t="shared" si="62"/>
        <v/>
      </c>
      <c r="O780" s="26" t="str">
        <f t="shared" si="63"/>
        <v/>
      </c>
      <c r="P780" s="21" t="str">
        <f t="shared" si="64"/>
        <v/>
      </c>
      <c r="Q780" s="52" t="str">
        <f>IF($A780="","",IF($O780&lt;=0,"Depleted",IF($I780&lt;0,"EXPIRED",IF($I780&lt;=Settings!$C$6,"CRITICAL",IF($I780&lt;=Settings!$C$5,"Expiring","In date")))))</f>
        <v/>
      </c>
    </row>
    <row r="781" spans="1:17" x14ac:dyDescent="0.35">
      <c r="A781" s="90" t="str">
        <f>IF(Receipts!$D784="","",Receipts!$D784)</f>
        <v/>
      </c>
      <c r="B781" s="18" t="str">
        <f>IF(Receipts!$C784="","",Receipts!$C784)</f>
        <v/>
      </c>
      <c r="C781" s="18" t="str">
        <f>IF($A781="","",IFERROR(INDEX(Items!$B$5:$B$597,MATCH($A781,Items!$A$5:$A$597,0)),""))</f>
        <v/>
      </c>
      <c r="D781" s="23" t="str">
        <f>IF($A781="","",N(Receipts!$G784))</f>
        <v/>
      </c>
      <c r="E781" s="20" t="str">
        <f>IF($A781="","",IFERROR(INDEX(Items!$D$5:$D$597,MATCH($A781,Items!$A$5:$A$597,0)),0))</f>
        <v/>
      </c>
      <c r="F781" s="21" t="str">
        <f t="shared" si="60"/>
        <v/>
      </c>
      <c r="G781" s="25" t="str">
        <f>IF(Receipts!$I784="","",Receipts!$I784)</f>
        <v/>
      </c>
      <c r="H781" s="25" t="str">
        <f>IF(Receipts!$H784="","",Receipts!$H784)</f>
        <v/>
      </c>
      <c r="I781" s="26" t="str">
        <f t="shared" ca="1" si="61"/>
        <v/>
      </c>
      <c r="J781" s="26" t="str">
        <f>IF($A781="","",COUNTIFS(tblReceipts[Item Name],$A781,tblReceipts[Expiry Date],"&lt;"&amp;$H781)+COUNTIFS(tblReceipts[Item Name],$A781,tblReceipts[Expiry Date],$H781,tblReceipts[Lot Number],"&lt;="&amp;Receipts!$C784))</f>
        <v/>
      </c>
      <c r="K781" s="26" t="str">
        <f>IF($A781="","",SUMIFS(tblReceipts[Qty Received],tblReceipts[Item Name],$A781,tblReceipts[Expiry Date],"&lt;"&amp;$H781)+SUMIFS(tblReceipts[Qty Received],tblReceipts[Item Name],$A781,tblReceipts[Expiry Date],$H781,tblReceipts[Lot Number],"&lt;"&amp;Receipts!$C784))</f>
        <v/>
      </c>
      <c r="L781" s="26" t="str">
        <f>IF($A781="","",MIN($D781,MAX(0,SUMIFS(tblIssues[Qty Issued],tblIssues[Item Name],$A781)-$K781)))</f>
        <v/>
      </c>
      <c r="M781" s="26" t="str">
        <f>IF($A781="","",SUMIFS(tblIssues[Qty Issued],tblIssues[Lot Number],$B781))</f>
        <v/>
      </c>
      <c r="N781" s="26" t="str">
        <f t="shared" si="62"/>
        <v/>
      </c>
      <c r="O781" s="26" t="str">
        <f t="shared" si="63"/>
        <v/>
      </c>
      <c r="P781" s="21" t="str">
        <f t="shared" si="64"/>
        <v/>
      </c>
      <c r="Q781" s="52" t="str">
        <f>IF($A781="","",IF($O781&lt;=0,"Depleted",IF($I781&lt;0,"EXPIRED",IF($I781&lt;=Settings!$C$6,"CRITICAL",IF($I781&lt;=Settings!$C$5,"Expiring","In date")))))</f>
        <v/>
      </c>
    </row>
    <row r="782" spans="1:17" x14ac:dyDescent="0.35">
      <c r="A782" s="90" t="str">
        <f>IF(Receipts!$D785="","",Receipts!$D785)</f>
        <v/>
      </c>
      <c r="B782" s="18" t="str">
        <f>IF(Receipts!$C785="","",Receipts!$C785)</f>
        <v/>
      </c>
      <c r="C782" s="18" t="str">
        <f>IF($A782="","",IFERROR(INDEX(Items!$B$5:$B$597,MATCH($A782,Items!$A$5:$A$597,0)),""))</f>
        <v/>
      </c>
      <c r="D782" s="23" t="str">
        <f>IF($A782="","",N(Receipts!$G785))</f>
        <v/>
      </c>
      <c r="E782" s="20" t="str">
        <f>IF($A782="","",IFERROR(INDEX(Items!$D$5:$D$597,MATCH($A782,Items!$A$5:$A$597,0)),0))</f>
        <v/>
      </c>
      <c r="F782" s="21" t="str">
        <f t="shared" si="60"/>
        <v/>
      </c>
      <c r="G782" s="25" t="str">
        <f>IF(Receipts!$I785="","",Receipts!$I785)</f>
        <v/>
      </c>
      <c r="H782" s="25" t="str">
        <f>IF(Receipts!$H785="","",Receipts!$H785)</f>
        <v/>
      </c>
      <c r="I782" s="26" t="str">
        <f t="shared" ca="1" si="61"/>
        <v/>
      </c>
      <c r="J782" s="26" t="str">
        <f>IF($A782="","",COUNTIFS(tblReceipts[Item Name],$A782,tblReceipts[Expiry Date],"&lt;"&amp;$H782)+COUNTIFS(tblReceipts[Item Name],$A782,tblReceipts[Expiry Date],$H782,tblReceipts[Lot Number],"&lt;="&amp;Receipts!$C785))</f>
        <v/>
      </c>
      <c r="K782" s="26" t="str">
        <f>IF($A782="","",SUMIFS(tblReceipts[Qty Received],tblReceipts[Item Name],$A782,tblReceipts[Expiry Date],"&lt;"&amp;$H782)+SUMIFS(tblReceipts[Qty Received],tblReceipts[Item Name],$A782,tblReceipts[Expiry Date],$H782,tblReceipts[Lot Number],"&lt;"&amp;Receipts!$C785))</f>
        <v/>
      </c>
      <c r="L782" s="26" t="str">
        <f>IF($A782="","",MIN($D782,MAX(0,SUMIFS(tblIssues[Qty Issued],tblIssues[Item Name],$A782)-$K782)))</f>
        <v/>
      </c>
      <c r="M782" s="26" t="str">
        <f>IF($A782="","",SUMIFS(tblIssues[Qty Issued],tblIssues[Lot Number],$B782))</f>
        <v/>
      </c>
      <c r="N782" s="26" t="str">
        <f t="shared" si="62"/>
        <v/>
      </c>
      <c r="O782" s="26" t="str">
        <f t="shared" si="63"/>
        <v/>
      </c>
      <c r="P782" s="21" t="str">
        <f t="shared" si="64"/>
        <v/>
      </c>
      <c r="Q782" s="52" t="str">
        <f>IF($A782="","",IF($O782&lt;=0,"Depleted",IF($I782&lt;0,"EXPIRED",IF($I782&lt;=Settings!$C$6,"CRITICAL",IF($I782&lt;=Settings!$C$5,"Expiring","In date")))))</f>
        <v/>
      </c>
    </row>
    <row r="783" spans="1:17" x14ac:dyDescent="0.35">
      <c r="A783" s="90" t="str">
        <f>IF(Receipts!$D786="","",Receipts!$D786)</f>
        <v/>
      </c>
      <c r="B783" s="18" t="str">
        <f>IF(Receipts!$C786="","",Receipts!$C786)</f>
        <v/>
      </c>
      <c r="C783" s="18" t="str">
        <f>IF($A783="","",IFERROR(INDEX(Items!$B$5:$B$597,MATCH($A783,Items!$A$5:$A$597,0)),""))</f>
        <v/>
      </c>
      <c r="D783" s="23" t="str">
        <f>IF($A783="","",N(Receipts!$G786))</f>
        <v/>
      </c>
      <c r="E783" s="20" t="str">
        <f>IF($A783="","",IFERROR(INDEX(Items!$D$5:$D$597,MATCH($A783,Items!$A$5:$A$597,0)),0))</f>
        <v/>
      </c>
      <c r="F783" s="21" t="str">
        <f t="shared" si="60"/>
        <v/>
      </c>
      <c r="G783" s="25" t="str">
        <f>IF(Receipts!$I786="","",Receipts!$I786)</f>
        <v/>
      </c>
      <c r="H783" s="25" t="str">
        <f>IF(Receipts!$H786="","",Receipts!$H786)</f>
        <v/>
      </c>
      <c r="I783" s="26" t="str">
        <f t="shared" ca="1" si="61"/>
        <v/>
      </c>
      <c r="J783" s="26" t="str">
        <f>IF($A783="","",COUNTIFS(tblReceipts[Item Name],$A783,tblReceipts[Expiry Date],"&lt;"&amp;$H783)+COUNTIFS(tblReceipts[Item Name],$A783,tblReceipts[Expiry Date],$H783,tblReceipts[Lot Number],"&lt;="&amp;Receipts!$C786))</f>
        <v/>
      </c>
      <c r="K783" s="26" t="str">
        <f>IF($A783="","",SUMIFS(tblReceipts[Qty Received],tblReceipts[Item Name],$A783,tblReceipts[Expiry Date],"&lt;"&amp;$H783)+SUMIFS(tblReceipts[Qty Received],tblReceipts[Item Name],$A783,tblReceipts[Expiry Date],$H783,tblReceipts[Lot Number],"&lt;"&amp;Receipts!$C786))</f>
        <v/>
      </c>
      <c r="L783" s="26" t="str">
        <f>IF($A783="","",MIN($D783,MAX(0,SUMIFS(tblIssues[Qty Issued],tblIssues[Item Name],$A783)-$K783)))</f>
        <v/>
      </c>
      <c r="M783" s="26" t="str">
        <f>IF($A783="","",SUMIFS(tblIssues[Qty Issued],tblIssues[Lot Number],$B783))</f>
        <v/>
      </c>
      <c r="N783" s="26" t="str">
        <f t="shared" si="62"/>
        <v/>
      </c>
      <c r="O783" s="26" t="str">
        <f t="shared" si="63"/>
        <v/>
      </c>
      <c r="P783" s="21" t="str">
        <f t="shared" si="64"/>
        <v/>
      </c>
      <c r="Q783" s="52" t="str">
        <f>IF($A783="","",IF($O783&lt;=0,"Depleted",IF($I783&lt;0,"EXPIRED",IF($I783&lt;=Settings!$C$6,"CRITICAL",IF($I783&lt;=Settings!$C$5,"Expiring","In date")))))</f>
        <v/>
      </c>
    </row>
    <row r="784" spans="1:17" x14ac:dyDescent="0.35">
      <c r="A784" s="90" t="str">
        <f>IF(Receipts!$D787="","",Receipts!$D787)</f>
        <v/>
      </c>
      <c r="B784" s="18" t="str">
        <f>IF(Receipts!$C787="","",Receipts!$C787)</f>
        <v/>
      </c>
      <c r="C784" s="18" t="str">
        <f>IF($A784="","",IFERROR(INDEX(Items!$B$5:$B$597,MATCH($A784,Items!$A$5:$A$597,0)),""))</f>
        <v/>
      </c>
      <c r="D784" s="23" t="str">
        <f>IF($A784="","",N(Receipts!$G787))</f>
        <v/>
      </c>
      <c r="E784" s="20" t="str">
        <f>IF($A784="","",IFERROR(INDEX(Items!$D$5:$D$597,MATCH($A784,Items!$A$5:$A$597,0)),0))</f>
        <v/>
      </c>
      <c r="F784" s="21" t="str">
        <f t="shared" si="60"/>
        <v/>
      </c>
      <c r="G784" s="25" t="str">
        <f>IF(Receipts!$I787="","",Receipts!$I787)</f>
        <v/>
      </c>
      <c r="H784" s="25" t="str">
        <f>IF(Receipts!$H787="","",Receipts!$H787)</f>
        <v/>
      </c>
      <c r="I784" s="26" t="str">
        <f t="shared" ca="1" si="61"/>
        <v/>
      </c>
      <c r="J784" s="26" t="str">
        <f>IF($A784="","",COUNTIFS(tblReceipts[Item Name],$A784,tblReceipts[Expiry Date],"&lt;"&amp;$H784)+COUNTIFS(tblReceipts[Item Name],$A784,tblReceipts[Expiry Date],$H784,tblReceipts[Lot Number],"&lt;="&amp;Receipts!$C787))</f>
        <v/>
      </c>
      <c r="K784" s="26" t="str">
        <f>IF($A784="","",SUMIFS(tblReceipts[Qty Received],tblReceipts[Item Name],$A784,tblReceipts[Expiry Date],"&lt;"&amp;$H784)+SUMIFS(tblReceipts[Qty Received],tblReceipts[Item Name],$A784,tblReceipts[Expiry Date],$H784,tblReceipts[Lot Number],"&lt;"&amp;Receipts!$C787))</f>
        <v/>
      </c>
      <c r="L784" s="26" t="str">
        <f>IF($A784="","",MIN($D784,MAX(0,SUMIFS(tblIssues[Qty Issued],tblIssues[Item Name],$A784)-$K784)))</f>
        <v/>
      </c>
      <c r="M784" s="26" t="str">
        <f>IF($A784="","",SUMIFS(tblIssues[Qty Issued],tblIssues[Lot Number],$B784))</f>
        <v/>
      </c>
      <c r="N784" s="26" t="str">
        <f t="shared" si="62"/>
        <v/>
      </c>
      <c r="O784" s="26" t="str">
        <f t="shared" si="63"/>
        <v/>
      </c>
      <c r="P784" s="21" t="str">
        <f t="shared" si="64"/>
        <v/>
      </c>
      <c r="Q784" s="52" t="str">
        <f>IF($A784="","",IF($O784&lt;=0,"Depleted",IF($I784&lt;0,"EXPIRED",IF($I784&lt;=Settings!$C$6,"CRITICAL",IF($I784&lt;=Settings!$C$5,"Expiring","In date")))))</f>
        <v/>
      </c>
    </row>
    <row r="785" spans="1:17" x14ac:dyDescent="0.35">
      <c r="A785" s="90" t="str">
        <f>IF(Receipts!$D788="","",Receipts!$D788)</f>
        <v/>
      </c>
      <c r="B785" s="18" t="str">
        <f>IF(Receipts!$C788="","",Receipts!$C788)</f>
        <v/>
      </c>
      <c r="C785" s="18" t="str">
        <f>IF($A785="","",IFERROR(INDEX(Items!$B$5:$B$597,MATCH($A785,Items!$A$5:$A$597,0)),""))</f>
        <v/>
      </c>
      <c r="D785" s="23" t="str">
        <f>IF($A785="","",N(Receipts!$G788))</f>
        <v/>
      </c>
      <c r="E785" s="20" t="str">
        <f>IF($A785="","",IFERROR(INDEX(Items!$D$5:$D$597,MATCH($A785,Items!$A$5:$A$597,0)),0))</f>
        <v/>
      </c>
      <c r="F785" s="21" t="str">
        <f t="shared" si="60"/>
        <v/>
      </c>
      <c r="G785" s="25" t="str">
        <f>IF(Receipts!$I788="","",Receipts!$I788)</f>
        <v/>
      </c>
      <c r="H785" s="25" t="str">
        <f>IF(Receipts!$H788="","",Receipts!$H788)</f>
        <v/>
      </c>
      <c r="I785" s="26" t="str">
        <f t="shared" ca="1" si="61"/>
        <v/>
      </c>
      <c r="J785" s="26" t="str">
        <f>IF($A785="","",COUNTIFS(tblReceipts[Item Name],$A785,tblReceipts[Expiry Date],"&lt;"&amp;$H785)+COUNTIFS(tblReceipts[Item Name],$A785,tblReceipts[Expiry Date],$H785,tblReceipts[Lot Number],"&lt;="&amp;Receipts!$C788))</f>
        <v/>
      </c>
      <c r="K785" s="26" t="str">
        <f>IF($A785="","",SUMIFS(tblReceipts[Qty Received],tblReceipts[Item Name],$A785,tblReceipts[Expiry Date],"&lt;"&amp;$H785)+SUMIFS(tblReceipts[Qty Received],tblReceipts[Item Name],$A785,tblReceipts[Expiry Date],$H785,tblReceipts[Lot Number],"&lt;"&amp;Receipts!$C788))</f>
        <v/>
      </c>
      <c r="L785" s="26" t="str">
        <f>IF($A785="","",MIN($D785,MAX(0,SUMIFS(tblIssues[Qty Issued],tblIssues[Item Name],$A785)-$K785)))</f>
        <v/>
      </c>
      <c r="M785" s="26" t="str">
        <f>IF($A785="","",SUMIFS(tblIssues[Qty Issued],tblIssues[Lot Number],$B785))</f>
        <v/>
      </c>
      <c r="N785" s="26" t="str">
        <f t="shared" si="62"/>
        <v/>
      </c>
      <c r="O785" s="26" t="str">
        <f t="shared" si="63"/>
        <v/>
      </c>
      <c r="P785" s="21" t="str">
        <f t="shared" si="64"/>
        <v/>
      </c>
      <c r="Q785" s="52" t="str">
        <f>IF($A785="","",IF($O785&lt;=0,"Depleted",IF($I785&lt;0,"EXPIRED",IF($I785&lt;=Settings!$C$6,"CRITICAL",IF($I785&lt;=Settings!$C$5,"Expiring","In date")))))</f>
        <v/>
      </c>
    </row>
    <row r="786" spans="1:17" x14ac:dyDescent="0.35">
      <c r="A786" s="90" t="str">
        <f>IF(Receipts!$D789="","",Receipts!$D789)</f>
        <v/>
      </c>
      <c r="B786" s="18" t="str">
        <f>IF(Receipts!$C789="","",Receipts!$C789)</f>
        <v/>
      </c>
      <c r="C786" s="18" t="str">
        <f>IF($A786="","",IFERROR(INDEX(Items!$B$5:$B$597,MATCH($A786,Items!$A$5:$A$597,0)),""))</f>
        <v/>
      </c>
      <c r="D786" s="23" t="str">
        <f>IF($A786="","",N(Receipts!$G789))</f>
        <v/>
      </c>
      <c r="E786" s="20" t="str">
        <f>IF($A786="","",IFERROR(INDEX(Items!$D$5:$D$597,MATCH($A786,Items!$A$5:$A$597,0)),0))</f>
        <v/>
      </c>
      <c r="F786" s="21" t="str">
        <f t="shared" si="60"/>
        <v/>
      </c>
      <c r="G786" s="25" t="str">
        <f>IF(Receipts!$I789="","",Receipts!$I789)</f>
        <v/>
      </c>
      <c r="H786" s="25" t="str">
        <f>IF(Receipts!$H789="","",Receipts!$H789)</f>
        <v/>
      </c>
      <c r="I786" s="26" t="str">
        <f t="shared" ca="1" si="61"/>
        <v/>
      </c>
      <c r="J786" s="26" t="str">
        <f>IF($A786="","",COUNTIFS(tblReceipts[Item Name],$A786,tblReceipts[Expiry Date],"&lt;"&amp;$H786)+COUNTIFS(tblReceipts[Item Name],$A786,tblReceipts[Expiry Date],$H786,tblReceipts[Lot Number],"&lt;="&amp;Receipts!$C789))</f>
        <v/>
      </c>
      <c r="K786" s="26" t="str">
        <f>IF($A786="","",SUMIFS(tblReceipts[Qty Received],tblReceipts[Item Name],$A786,tblReceipts[Expiry Date],"&lt;"&amp;$H786)+SUMIFS(tblReceipts[Qty Received],tblReceipts[Item Name],$A786,tblReceipts[Expiry Date],$H786,tblReceipts[Lot Number],"&lt;"&amp;Receipts!$C789))</f>
        <v/>
      </c>
      <c r="L786" s="26" t="str">
        <f>IF($A786="","",MIN($D786,MAX(0,SUMIFS(tblIssues[Qty Issued],tblIssues[Item Name],$A786)-$K786)))</f>
        <v/>
      </c>
      <c r="M786" s="26" t="str">
        <f>IF($A786="","",SUMIFS(tblIssues[Qty Issued],tblIssues[Lot Number],$B786))</f>
        <v/>
      </c>
      <c r="N786" s="26" t="str">
        <f t="shared" si="62"/>
        <v/>
      </c>
      <c r="O786" s="26" t="str">
        <f t="shared" si="63"/>
        <v/>
      </c>
      <c r="P786" s="21" t="str">
        <f t="shared" si="64"/>
        <v/>
      </c>
      <c r="Q786" s="52" t="str">
        <f>IF($A786="","",IF($O786&lt;=0,"Depleted",IF($I786&lt;0,"EXPIRED",IF($I786&lt;=Settings!$C$6,"CRITICAL",IF($I786&lt;=Settings!$C$5,"Expiring","In date")))))</f>
        <v/>
      </c>
    </row>
    <row r="787" spans="1:17" x14ac:dyDescent="0.35">
      <c r="A787" s="90" t="str">
        <f>IF(Receipts!$D790="","",Receipts!$D790)</f>
        <v/>
      </c>
      <c r="B787" s="18" t="str">
        <f>IF(Receipts!$C790="","",Receipts!$C790)</f>
        <v/>
      </c>
      <c r="C787" s="18" t="str">
        <f>IF($A787="","",IFERROR(INDEX(Items!$B$5:$B$597,MATCH($A787,Items!$A$5:$A$597,0)),""))</f>
        <v/>
      </c>
      <c r="D787" s="23" t="str">
        <f>IF($A787="","",N(Receipts!$G790))</f>
        <v/>
      </c>
      <c r="E787" s="20" t="str">
        <f>IF($A787="","",IFERROR(INDEX(Items!$D$5:$D$597,MATCH($A787,Items!$A$5:$A$597,0)),0))</f>
        <v/>
      </c>
      <c r="F787" s="21" t="str">
        <f t="shared" si="60"/>
        <v/>
      </c>
      <c r="G787" s="25" t="str">
        <f>IF(Receipts!$I790="","",Receipts!$I790)</f>
        <v/>
      </c>
      <c r="H787" s="25" t="str">
        <f>IF(Receipts!$H790="","",Receipts!$H790)</f>
        <v/>
      </c>
      <c r="I787" s="26" t="str">
        <f t="shared" ca="1" si="61"/>
        <v/>
      </c>
      <c r="J787" s="26" t="str">
        <f>IF($A787="","",COUNTIFS(tblReceipts[Item Name],$A787,tblReceipts[Expiry Date],"&lt;"&amp;$H787)+COUNTIFS(tblReceipts[Item Name],$A787,tblReceipts[Expiry Date],$H787,tblReceipts[Lot Number],"&lt;="&amp;Receipts!$C790))</f>
        <v/>
      </c>
      <c r="K787" s="26" t="str">
        <f>IF($A787="","",SUMIFS(tblReceipts[Qty Received],tblReceipts[Item Name],$A787,tblReceipts[Expiry Date],"&lt;"&amp;$H787)+SUMIFS(tblReceipts[Qty Received],tblReceipts[Item Name],$A787,tblReceipts[Expiry Date],$H787,tblReceipts[Lot Number],"&lt;"&amp;Receipts!$C790))</f>
        <v/>
      </c>
      <c r="L787" s="26" t="str">
        <f>IF($A787="","",MIN($D787,MAX(0,SUMIFS(tblIssues[Qty Issued],tblIssues[Item Name],$A787)-$K787)))</f>
        <v/>
      </c>
      <c r="M787" s="26" t="str">
        <f>IF($A787="","",SUMIFS(tblIssues[Qty Issued],tblIssues[Lot Number],$B787))</f>
        <v/>
      </c>
      <c r="N787" s="26" t="str">
        <f t="shared" si="62"/>
        <v/>
      </c>
      <c r="O787" s="26" t="str">
        <f t="shared" si="63"/>
        <v/>
      </c>
      <c r="P787" s="21" t="str">
        <f t="shared" si="64"/>
        <v/>
      </c>
      <c r="Q787" s="52" t="str">
        <f>IF($A787="","",IF($O787&lt;=0,"Depleted",IF($I787&lt;0,"EXPIRED",IF($I787&lt;=Settings!$C$6,"CRITICAL",IF($I787&lt;=Settings!$C$5,"Expiring","In date")))))</f>
        <v/>
      </c>
    </row>
    <row r="788" spans="1:17" x14ac:dyDescent="0.35">
      <c r="A788" s="90" t="str">
        <f>IF(Receipts!$D791="","",Receipts!$D791)</f>
        <v/>
      </c>
      <c r="B788" s="18" t="str">
        <f>IF(Receipts!$C791="","",Receipts!$C791)</f>
        <v/>
      </c>
      <c r="C788" s="18" t="str">
        <f>IF($A788="","",IFERROR(INDEX(Items!$B$5:$B$597,MATCH($A788,Items!$A$5:$A$597,0)),""))</f>
        <v/>
      </c>
      <c r="D788" s="23" t="str">
        <f>IF($A788="","",N(Receipts!$G791))</f>
        <v/>
      </c>
      <c r="E788" s="20" t="str">
        <f>IF($A788="","",IFERROR(INDEX(Items!$D$5:$D$597,MATCH($A788,Items!$A$5:$A$597,0)),0))</f>
        <v/>
      </c>
      <c r="F788" s="21" t="str">
        <f t="shared" si="60"/>
        <v/>
      </c>
      <c r="G788" s="25" t="str">
        <f>IF(Receipts!$I791="","",Receipts!$I791)</f>
        <v/>
      </c>
      <c r="H788" s="25" t="str">
        <f>IF(Receipts!$H791="","",Receipts!$H791)</f>
        <v/>
      </c>
      <c r="I788" s="26" t="str">
        <f t="shared" ca="1" si="61"/>
        <v/>
      </c>
      <c r="J788" s="26" t="str">
        <f>IF($A788="","",COUNTIFS(tblReceipts[Item Name],$A788,tblReceipts[Expiry Date],"&lt;"&amp;$H788)+COUNTIFS(tblReceipts[Item Name],$A788,tblReceipts[Expiry Date],$H788,tblReceipts[Lot Number],"&lt;="&amp;Receipts!$C791))</f>
        <v/>
      </c>
      <c r="K788" s="26" t="str">
        <f>IF($A788="","",SUMIFS(tblReceipts[Qty Received],tblReceipts[Item Name],$A788,tblReceipts[Expiry Date],"&lt;"&amp;$H788)+SUMIFS(tblReceipts[Qty Received],tblReceipts[Item Name],$A788,tblReceipts[Expiry Date],$H788,tblReceipts[Lot Number],"&lt;"&amp;Receipts!$C791))</f>
        <v/>
      </c>
      <c r="L788" s="26" t="str">
        <f>IF($A788="","",MIN($D788,MAX(0,SUMIFS(tblIssues[Qty Issued],tblIssues[Item Name],$A788)-$K788)))</f>
        <v/>
      </c>
      <c r="M788" s="26" t="str">
        <f>IF($A788="","",SUMIFS(tblIssues[Qty Issued],tblIssues[Lot Number],$B788))</f>
        <v/>
      </c>
      <c r="N788" s="26" t="str">
        <f t="shared" si="62"/>
        <v/>
      </c>
      <c r="O788" s="26" t="str">
        <f t="shared" si="63"/>
        <v/>
      </c>
      <c r="P788" s="21" t="str">
        <f t="shared" si="64"/>
        <v/>
      </c>
      <c r="Q788" s="52" t="str">
        <f>IF($A788="","",IF($O788&lt;=0,"Depleted",IF($I788&lt;0,"EXPIRED",IF($I788&lt;=Settings!$C$6,"CRITICAL",IF($I788&lt;=Settings!$C$5,"Expiring","In date")))))</f>
        <v/>
      </c>
    </row>
    <row r="789" spans="1:17" x14ac:dyDescent="0.35">
      <c r="A789" s="90" t="str">
        <f>IF(Receipts!$D792="","",Receipts!$D792)</f>
        <v/>
      </c>
      <c r="B789" s="18" t="str">
        <f>IF(Receipts!$C792="","",Receipts!$C792)</f>
        <v/>
      </c>
      <c r="C789" s="18" t="str">
        <f>IF($A789="","",IFERROR(INDEX(Items!$B$5:$B$597,MATCH($A789,Items!$A$5:$A$597,0)),""))</f>
        <v/>
      </c>
      <c r="D789" s="23" t="str">
        <f>IF($A789="","",N(Receipts!$G792))</f>
        <v/>
      </c>
      <c r="E789" s="20" t="str">
        <f>IF($A789="","",IFERROR(INDEX(Items!$D$5:$D$597,MATCH($A789,Items!$A$5:$A$597,0)),0))</f>
        <v/>
      </c>
      <c r="F789" s="21" t="str">
        <f t="shared" si="60"/>
        <v/>
      </c>
      <c r="G789" s="25" t="str">
        <f>IF(Receipts!$I792="","",Receipts!$I792)</f>
        <v/>
      </c>
      <c r="H789" s="25" t="str">
        <f>IF(Receipts!$H792="","",Receipts!$H792)</f>
        <v/>
      </c>
      <c r="I789" s="26" t="str">
        <f t="shared" ca="1" si="61"/>
        <v/>
      </c>
      <c r="J789" s="26" t="str">
        <f>IF($A789="","",COUNTIFS(tblReceipts[Item Name],$A789,tblReceipts[Expiry Date],"&lt;"&amp;$H789)+COUNTIFS(tblReceipts[Item Name],$A789,tblReceipts[Expiry Date],$H789,tblReceipts[Lot Number],"&lt;="&amp;Receipts!$C792))</f>
        <v/>
      </c>
      <c r="K789" s="26" t="str">
        <f>IF($A789="","",SUMIFS(tblReceipts[Qty Received],tblReceipts[Item Name],$A789,tblReceipts[Expiry Date],"&lt;"&amp;$H789)+SUMIFS(tblReceipts[Qty Received],tblReceipts[Item Name],$A789,tblReceipts[Expiry Date],$H789,tblReceipts[Lot Number],"&lt;"&amp;Receipts!$C792))</f>
        <v/>
      </c>
      <c r="L789" s="26" t="str">
        <f>IF($A789="","",MIN($D789,MAX(0,SUMIFS(tblIssues[Qty Issued],tblIssues[Item Name],$A789)-$K789)))</f>
        <v/>
      </c>
      <c r="M789" s="26" t="str">
        <f>IF($A789="","",SUMIFS(tblIssues[Qty Issued],tblIssues[Lot Number],$B789))</f>
        <v/>
      </c>
      <c r="N789" s="26" t="str">
        <f t="shared" si="62"/>
        <v/>
      </c>
      <c r="O789" s="26" t="str">
        <f t="shared" si="63"/>
        <v/>
      </c>
      <c r="P789" s="21" t="str">
        <f t="shared" si="64"/>
        <v/>
      </c>
      <c r="Q789" s="52" t="str">
        <f>IF($A789="","",IF($O789&lt;=0,"Depleted",IF($I789&lt;0,"EXPIRED",IF($I789&lt;=Settings!$C$6,"CRITICAL",IF($I789&lt;=Settings!$C$5,"Expiring","In date")))))</f>
        <v/>
      </c>
    </row>
    <row r="790" spans="1:17" x14ac:dyDescent="0.35">
      <c r="A790" s="90" t="str">
        <f>IF(Receipts!$D793="","",Receipts!$D793)</f>
        <v/>
      </c>
      <c r="B790" s="18" t="str">
        <f>IF(Receipts!$C793="","",Receipts!$C793)</f>
        <v/>
      </c>
      <c r="C790" s="18" t="str">
        <f>IF($A790="","",IFERROR(INDEX(Items!$B$5:$B$597,MATCH($A790,Items!$A$5:$A$597,0)),""))</f>
        <v/>
      </c>
      <c r="D790" s="23" t="str">
        <f>IF($A790="","",N(Receipts!$G793))</f>
        <v/>
      </c>
      <c r="E790" s="20" t="str">
        <f>IF($A790="","",IFERROR(INDEX(Items!$D$5:$D$597,MATCH($A790,Items!$A$5:$A$597,0)),0))</f>
        <v/>
      </c>
      <c r="F790" s="21" t="str">
        <f t="shared" si="60"/>
        <v/>
      </c>
      <c r="G790" s="25" t="str">
        <f>IF(Receipts!$I793="","",Receipts!$I793)</f>
        <v/>
      </c>
      <c r="H790" s="25" t="str">
        <f>IF(Receipts!$H793="","",Receipts!$H793)</f>
        <v/>
      </c>
      <c r="I790" s="26" t="str">
        <f t="shared" ca="1" si="61"/>
        <v/>
      </c>
      <c r="J790" s="26" t="str">
        <f>IF($A790="","",COUNTIFS(tblReceipts[Item Name],$A790,tblReceipts[Expiry Date],"&lt;"&amp;$H790)+COUNTIFS(tblReceipts[Item Name],$A790,tblReceipts[Expiry Date],$H790,tblReceipts[Lot Number],"&lt;="&amp;Receipts!$C793))</f>
        <v/>
      </c>
      <c r="K790" s="26" t="str">
        <f>IF($A790="","",SUMIFS(tblReceipts[Qty Received],tblReceipts[Item Name],$A790,tblReceipts[Expiry Date],"&lt;"&amp;$H790)+SUMIFS(tblReceipts[Qty Received],tblReceipts[Item Name],$A790,tblReceipts[Expiry Date],$H790,tblReceipts[Lot Number],"&lt;"&amp;Receipts!$C793))</f>
        <v/>
      </c>
      <c r="L790" s="26" t="str">
        <f>IF($A790="","",MIN($D790,MAX(0,SUMIFS(tblIssues[Qty Issued],tblIssues[Item Name],$A790)-$K790)))</f>
        <v/>
      </c>
      <c r="M790" s="26" t="str">
        <f>IF($A790="","",SUMIFS(tblIssues[Qty Issued],tblIssues[Lot Number],$B790))</f>
        <v/>
      </c>
      <c r="N790" s="26" t="str">
        <f t="shared" si="62"/>
        <v/>
      </c>
      <c r="O790" s="26" t="str">
        <f t="shared" si="63"/>
        <v/>
      </c>
      <c r="P790" s="21" t="str">
        <f t="shared" si="64"/>
        <v/>
      </c>
      <c r="Q790" s="52" t="str">
        <f>IF($A790="","",IF($O790&lt;=0,"Depleted",IF($I790&lt;0,"EXPIRED",IF($I790&lt;=Settings!$C$6,"CRITICAL",IF($I790&lt;=Settings!$C$5,"Expiring","In date")))))</f>
        <v/>
      </c>
    </row>
    <row r="791" spans="1:17" x14ac:dyDescent="0.35">
      <c r="A791" s="90" t="str">
        <f>IF(Receipts!$D794="","",Receipts!$D794)</f>
        <v/>
      </c>
      <c r="B791" s="18" t="str">
        <f>IF(Receipts!$C794="","",Receipts!$C794)</f>
        <v/>
      </c>
      <c r="C791" s="18" t="str">
        <f>IF($A791="","",IFERROR(INDEX(Items!$B$5:$B$597,MATCH($A791,Items!$A$5:$A$597,0)),""))</f>
        <v/>
      </c>
      <c r="D791" s="23" t="str">
        <f>IF($A791="","",N(Receipts!$G794))</f>
        <v/>
      </c>
      <c r="E791" s="20" t="str">
        <f>IF($A791="","",IFERROR(INDEX(Items!$D$5:$D$597,MATCH($A791,Items!$A$5:$A$597,0)),0))</f>
        <v/>
      </c>
      <c r="F791" s="21" t="str">
        <f t="shared" si="60"/>
        <v/>
      </c>
      <c r="G791" s="25" t="str">
        <f>IF(Receipts!$I794="","",Receipts!$I794)</f>
        <v/>
      </c>
      <c r="H791" s="25" t="str">
        <f>IF(Receipts!$H794="","",Receipts!$H794)</f>
        <v/>
      </c>
      <c r="I791" s="26" t="str">
        <f t="shared" ca="1" si="61"/>
        <v/>
      </c>
      <c r="J791" s="26" t="str">
        <f>IF($A791="","",COUNTIFS(tblReceipts[Item Name],$A791,tblReceipts[Expiry Date],"&lt;"&amp;$H791)+COUNTIFS(tblReceipts[Item Name],$A791,tblReceipts[Expiry Date],$H791,tblReceipts[Lot Number],"&lt;="&amp;Receipts!$C794))</f>
        <v/>
      </c>
      <c r="K791" s="26" t="str">
        <f>IF($A791="","",SUMIFS(tblReceipts[Qty Received],tblReceipts[Item Name],$A791,tblReceipts[Expiry Date],"&lt;"&amp;$H791)+SUMIFS(tblReceipts[Qty Received],tblReceipts[Item Name],$A791,tblReceipts[Expiry Date],$H791,tblReceipts[Lot Number],"&lt;"&amp;Receipts!$C794))</f>
        <v/>
      </c>
      <c r="L791" s="26" t="str">
        <f>IF($A791="","",MIN($D791,MAX(0,SUMIFS(tblIssues[Qty Issued],tblIssues[Item Name],$A791)-$K791)))</f>
        <v/>
      </c>
      <c r="M791" s="26" t="str">
        <f>IF($A791="","",SUMIFS(tblIssues[Qty Issued],tblIssues[Lot Number],$B791))</f>
        <v/>
      </c>
      <c r="N791" s="26" t="str">
        <f t="shared" si="62"/>
        <v/>
      </c>
      <c r="O791" s="26" t="str">
        <f t="shared" si="63"/>
        <v/>
      </c>
      <c r="P791" s="21" t="str">
        <f t="shared" si="64"/>
        <v/>
      </c>
      <c r="Q791" s="52" t="str">
        <f>IF($A791="","",IF($O791&lt;=0,"Depleted",IF($I791&lt;0,"EXPIRED",IF($I791&lt;=Settings!$C$6,"CRITICAL",IF($I791&lt;=Settings!$C$5,"Expiring","In date")))))</f>
        <v/>
      </c>
    </row>
    <row r="792" spans="1:17" x14ac:dyDescent="0.35">
      <c r="A792" s="90" t="str">
        <f>IF(Receipts!$D795="","",Receipts!$D795)</f>
        <v/>
      </c>
      <c r="B792" s="18" t="str">
        <f>IF(Receipts!$C795="","",Receipts!$C795)</f>
        <v/>
      </c>
      <c r="C792" s="18" t="str">
        <f>IF($A792="","",IFERROR(INDEX(Items!$B$5:$B$597,MATCH($A792,Items!$A$5:$A$597,0)),""))</f>
        <v/>
      </c>
      <c r="D792" s="23" t="str">
        <f>IF($A792="","",N(Receipts!$G795))</f>
        <v/>
      </c>
      <c r="E792" s="20" t="str">
        <f>IF($A792="","",IFERROR(INDEX(Items!$D$5:$D$597,MATCH($A792,Items!$A$5:$A$597,0)),0))</f>
        <v/>
      </c>
      <c r="F792" s="21" t="str">
        <f t="shared" si="60"/>
        <v/>
      </c>
      <c r="G792" s="25" t="str">
        <f>IF(Receipts!$I795="","",Receipts!$I795)</f>
        <v/>
      </c>
      <c r="H792" s="25" t="str">
        <f>IF(Receipts!$H795="","",Receipts!$H795)</f>
        <v/>
      </c>
      <c r="I792" s="26" t="str">
        <f t="shared" ca="1" si="61"/>
        <v/>
      </c>
      <c r="J792" s="26" t="str">
        <f>IF($A792="","",COUNTIFS(tblReceipts[Item Name],$A792,tblReceipts[Expiry Date],"&lt;"&amp;$H792)+COUNTIFS(tblReceipts[Item Name],$A792,tblReceipts[Expiry Date],$H792,tblReceipts[Lot Number],"&lt;="&amp;Receipts!$C795))</f>
        <v/>
      </c>
      <c r="K792" s="26" t="str">
        <f>IF($A792="","",SUMIFS(tblReceipts[Qty Received],tblReceipts[Item Name],$A792,tblReceipts[Expiry Date],"&lt;"&amp;$H792)+SUMIFS(tblReceipts[Qty Received],tblReceipts[Item Name],$A792,tblReceipts[Expiry Date],$H792,tblReceipts[Lot Number],"&lt;"&amp;Receipts!$C795))</f>
        <v/>
      </c>
      <c r="L792" s="26" t="str">
        <f>IF($A792="","",MIN($D792,MAX(0,SUMIFS(tblIssues[Qty Issued],tblIssues[Item Name],$A792)-$K792)))</f>
        <v/>
      </c>
      <c r="M792" s="26" t="str">
        <f>IF($A792="","",SUMIFS(tblIssues[Qty Issued],tblIssues[Lot Number],$B792))</f>
        <v/>
      </c>
      <c r="N792" s="26" t="str">
        <f t="shared" si="62"/>
        <v/>
      </c>
      <c r="O792" s="26" t="str">
        <f t="shared" si="63"/>
        <v/>
      </c>
      <c r="P792" s="21" t="str">
        <f t="shared" si="64"/>
        <v/>
      </c>
      <c r="Q792" s="52" t="str">
        <f>IF($A792="","",IF($O792&lt;=0,"Depleted",IF($I792&lt;0,"EXPIRED",IF($I792&lt;=Settings!$C$6,"CRITICAL",IF($I792&lt;=Settings!$C$5,"Expiring","In date")))))</f>
        <v/>
      </c>
    </row>
    <row r="793" spans="1:17" x14ac:dyDescent="0.35">
      <c r="A793" s="90" t="str">
        <f>IF(Receipts!$D796="","",Receipts!$D796)</f>
        <v/>
      </c>
      <c r="B793" s="18" t="str">
        <f>IF(Receipts!$C796="","",Receipts!$C796)</f>
        <v/>
      </c>
      <c r="C793" s="18" t="str">
        <f>IF($A793="","",IFERROR(INDEX(Items!$B$5:$B$597,MATCH($A793,Items!$A$5:$A$597,0)),""))</f>
        <v/>
      </c>
      <c r="D793" s="23" t="str">
        <f>IF($A793="","",N(Receipts!$G796))</f>
        <v/>
      </c>
      <c r="E793" s="20" t="str">
        <f>IF($A793="","",IFERROR(INDEX(Items!$D$5:$D$597,MATCH($A793,Items!$A$5:$A$597,0)),0))</f>
        <v/>
      </c>
      <c r="F793" s="21" t="str">
        <f t="shared" si="60"/>
        <v/>
      </c>
      <c r="G793" s="25" t="str">
        <f>IF(Receipts!$I796="","",Receipts!$I796)</f>
        <v/>
      </c>
      <c r="H793" s="25" t="str">
        <f>IF(Receipts!$H796="","",Receipts!$H796)</f>
        <v/>
      </c>
      <c r="I793" s="26" t="str">
        <f t="shared" ca="1" si="61"/>
        <v/>
      </c>
      <c r="J793" s="26" t="str">
        <f>IF($A793="","",COUNTIFS(tblReceipts[Item Name],$A793,tblReceipts[Expiry Date],"&lt;"&amp;$H793)+COUNTIFS(tblReceipts[Item Name],$A793,tblReceipts[Expiry Date],$H793,tblReceipts[Lot Number],"&lt;="&amp;Receipts!$C796))</f>
        <v/>
      </c>
      <c r="K793" s="26" t="str">
        <f>IF($A793="","",SUMIFS(tblReceipts[Qty Received],tblReceipts[Item Name],$A793,tblReceipts[Expiry Date],"&lt;"&amp;$H793)+SUMIFS(tblReceipts[Qty Received],tblReceipts[Item Name],$A793,tblReceipts[Expiry Date],$H793,tblReceipts[Lot Number],"&lt;"&amp;Receipts!$C796))</f>
        <v/>
      </c>
      <c r="L793" s="26" t="str">
        <f>IF($A793="","",MIN($D793,MAX(0,SUMIFS(tblIssues[Qty Issued],tblIssues[Item Name],$A793)-$K793)))</f>
        <v/>
      </c>
      <c r="M793" s="26" t="str">
        <f>IF($A793="","",SUMIFS(tblIssues[Qty Issued],tblIssues[Lot Number],$B793))</f>
        <v/>
      </c>
      <c r="N793" s="26" t="str">
        <f t="shared" si="62"/>
        <v/>
      </c>
      <c r="O793" s="26" t="str">
        <f t="shared" si="63"/>
        <v/>
      </c>
      <c r="P793" s="21" t="str">
        <f t="shared" si="64"/>
        <v/>
      </c>
      <c r="Q793" s="52" t="str">
        <f>IF($A793="","",IF($O793&lt;=0,"Depleted",IF($I793&lt;0,"EXPIRED",IF($I793&lt;=Settings!$C$6,"CRITICAL",IF($I793&lt;=Settings!$C$5,"Expiring","In date")))))</f>
        <v/>
      </c>
    </row>
    <row r="794" spans="1:17" x14ac:dyDescent="0.35">
      <c r="A794" s="90" t="str">
        <f>IF(Receipts!$D797="","",Receipts!$D797)</f>
        <v/>
      </c>
      <c r="B794" s="18" t="str">
        <f>IF(Receipts!$C797="","",Receipts!$C797)</f>
        <v/>
      </c>
      <c r="C794" s="18" t="str">
        <f>IF($A794="","",IFERROR(INDEX(Items!$B$5:$B$597,MATCH($A794,Items!$A$5:$A$597,0)),""))</f>
        <v/>
      </c>
      <c r="D794" s="23" t="str">
        <f>IF($A794="","",N(Receipts!$G797))</f>
        <v/>
      </c>
      <c r="E794" s="20" t="str">
        <f>IF($A794="","",IFERROR(INDEX(Items!$D$5:$D$597,MATCH($A794,Items!$A$5:$A$597,0)),0))</f>
        <v/>
      </c>
      <c r="F794" s="21" t="str">
        <f t="shared" si="60"/>
        <v/>
      </c>
      <c r="G794" s="25" t="str">
        <f>IF(Receipts!$I797="","",Receipts!$I797)</f>
        <v/>
      </c>
      <c r="H794" s="25" t="str">
        <f>IF(Receipts!$H797="","",Receipts!$H797)</f>
        <v/>
      </c>
      <c r="I794" s="26" t="str">
        <f t="shared" ca="1" si="61"/>
        <v/>
      </c>
      <c r="J794" s="26" t="str">
        <f>IF($A794="","",COUNTIFS(tblReceipts[Item Name],$A794,tblReceipts[Expiry Date],"&lt;"&amp;$H794)+COUNTIFS(tblReceipts[Item Name],$A794,tblReceipts[Expiry Date],$H794,tblReceipts[Lot Number],"&lt;="&amp;Receipts!$C797))</f>
        <v/>
      </c>
      <c r="K794" s="26" t="str">
        <f>IF($A794="","",SUMIFS(tblReceipts[Qty Received],tblReceipts[Item Name],$A794,tblReceipts[Expiry Date],"&lt;"&amp;$H794)+SUMIFS(tblReceipts[Qty Received],tblReceipts[Item Name],$A794,tblReceipts[Expiry Date],$H794,tblReceipts[Lot Number],"&lt;"&amp;Receipts!$C797))</f>
        <v/>
      </c>
      <c r="L794" s="26" t="str">
        <f>IF($A794="","",MIN($D794,MAX(0,SUMIFS(tblIssues[Qty Issued],tblIssues[Item Name],$A794)-$K794)))</f>
        <v/>
      </c>
      <c r="M794" s="26" t="str">
        <f>IF($A794="","",SUMIFS(tblIssues[Qty Issued],tblIssues[Lot Number],$B794))</f>
        <v/>
      </c>
      <c r="N794" s="26" t="str">
        <f t="shared" si="62"/>
        <v/>
      </c>
      <c r="O794" s="26" t="str">
        <f t="shared" si="63"/>
        <v/>
      </c>
      <c r="P794" s="21" t="str">
        <f t="shared" si="64"/>
        <v/>
      </c>
      <c r="Q794" s="52" t="str">
        <f>IF($A794="","",IF($O794&lt;=0,"Depleted",IF($I794&lt;0,"EXPIRED",IF($I794&lt;=Settings!$C$6,"CRITICAL",IF($I794&lt;=Settings!$C$5,"Expiring","In date")))))</f>
        <v/>
      </c>
    </row>
    <row r="795" spans="1:17" x14ac:dyDescent="0.35">
      <c r="A795" s="90" t="str">
        <f>IF(Receipts!$D798="","",Receipts!$D798)</f>
        <v/>
      </c>
      <c r="B795" s="18" t="str">
        <f>IF(Receipts!$C798="","",Receipts!$C798)</f>
        <v/>
      </c>
      <c r="C795" s="18" t="str">
        <f>IF($A795="","",IFERROR(INDEX(Items!$B$5:$B$597,MATCH($A795,Items!$A$5:$A$597,0)),""))</f>
        <v/>
      </c>
      <c r="D795" s="23" t="str">
        <f>IF($A795="","",N(Receipts!$G798))</f>
        <v/>
      </c>
      <c r="E795" s="20" t="str">
        <f>IF($A795="","",IFERROR(INDEX(Items!$D$5:$D$597,MATCH($A795,Items!$A$5:$A$597,0)),0))</f>
        <v/>
      </c>
      <c r="F795" s="21" t="str">
        <f t="shared" si="60"/>
        <v/>
      </c>
      <c r="G795" s="25" t="str">
        <f>IF(Receipts!$I798="","",Receipts!$I798)</f>
        <v/>
      </c>
      <c r="H795" s="25" t="str">
        <f>IF(Receipts!$H798="","",Receipts!$H798)</f>
        <v/>
      </c>
      <c r="I795" s="26" t="str">
        <f t="shared" ca="1" si="61"/>
        <v/>
      </c>
      <c r="J795" s="26" t="str">
        <f>IF($A795="","",COUNTIFS(tblReceipts[Item Name],$A795,tblReceipts[Expiry Date],"&lt;"&amp;$H795)+COUNTIFS(tblReceipts[Item Name],$A795,tblReceipts[Expiry Date],$H795,tblReceipts[Lot Number],"&lt;="&amp;Receipts!$C798))</f>
        <v/>
      </c>
      <c r="K795" s="26" t="str">
        <f>IF($A795="","",SUMIFS(tblReceipts[Qty Received],tblReceipts[Item Name],$A795,tblReceipts[Expiry Date],"&lt;"&amp;$H795)+SUMIFS(tblReceipts[Qty Received],tblReceipts[Item Name],$A795,tblReceipts[Expiry Date],$H795,tblReceipts[Lot Number],"&lt;"&amp;Receipts!$C798))</f>
        <v/>
      </c>
      <c r="L795" s="26" t="str">
        <f>IF($A795="","",MIN($D795,MAX(0,SUMIFS(tblIssues[Qty Issued],tblIssues[Item Name],$A795)-$K795)))</f>
        <v/>
      </c>
      <c r="M795" s="26" t="str">
        <f>IF($A795="","",SUMIFS(tblIssues[Qty Issued],tblIssues[Lot Number],$B795))</f>
        <v/>
      </c>
      <c r="N795" s="26" t="str">
        <f t="shared" si="62"/>
        <v/>
      </c>
      <c r="O795" s="26" t="str">
        <f t="shared" si="63"/>
        <v/>
      </c>
      <c r="P795" s="21" t="str">
        <f t="shared" si="64"/>
        <v/>
      </c>
      <c r="Q795" s="52" t="str">
        <f>IF($A795="","",IF($O795&lt;=0,"Depleted",IF($I795&lt;0,"EXPIRED",IF($I795&lt;=Settings!$C$6,"CRITICAL",IF($I795&lt;=Settings!$C$5,"Expiring","In date")))))</f>
        <v/>
      </c>
    </row>
    <row r="796" spans="1:17" x14ac:dyDescent="0.35">
      <c r="A796" s="90" t="str">
        <f>IF(Receipts!$D799="","",Receipts!$D799)</f>
        <v/>
      </c>
      <c r="B796" s="18" t="str">
        <f>IF(Receipts!$C799="","",Receipts!$C799)</f>
        <v/>
      </c>
      <c r="C796" s="18" t="str">
        <f>IF($A796="","",IFERROR(INDEX(Items!$B$5:$B$597,MATCH($A796,Items!$A$5:$A$597,0)),""))</f>
        <v/>
      </c>
      <c r="D796" s="23" t="str">
        <f>IF($A796="","",N(Receipts!$G799))</f>
        <v/>
      </c>
      <c r="E796" s="20" t="str">
        <f>IF($A796="","",IFERROR(INDEX(Items!$D$5:$D$597,MATCH($A796,Items!$A$5:$A$597,0)),0))</f>
        <v/>
      </c>
      <c r="F796" s="21" t="str">
        <f t="shared" si="60"/>
        <v/>
      </c>
      <c r="G796" s="25" t="str">
        <f>IF(Receipts!$I799="","",Receipts!$I799)</f>
        <v/>
      </c>
      <c r="H796" s="25" t="str">
        <f>IF(Receipts!$H799="","",Receipts!$H799)</f>
        <v/>
      </c>
      <c r="I796" s="26" t="str">
        <f t="shared" ca="1" si="61"/>
        <v/>
      </c>
      <c r="J796" s="26" t="str">
        <f>IF($A796="","",COUNTIFS(tblReceipts[Item Name],$A796,tblReceipts[Expiry Date],"&lt;"&amp;$H796)+COUNTIFS(tblReceipts[Item Name],$A796,tblReceipts[Expiry Date],$H796,tblReceipts[Lot Number],"&lt;="&amp;Receipts!$C799))</f>
        <v/>
      </c>
      <c r="K796" s="26" t="str">
        <f>IF($A796="","",SUMIFS(tblReceipts[Qty Received],tblReceipts[Item Name],$A796,tblReceipts[Expiry Date],"&lt;"&amp;$H796)+SUMIFS(tblReceipts[Qty Received],tblReceipts[Item Name],$A796,tblReceipts[Expiry Date],$H796,tblReceipts[Lot Number],"&lt;"&amp;Receipts!$C799))</f>
        <v/>
      </c>
      <c r="L796" s="26" t="str">
        <f>IF($A796="","",MIN($D796,MAX(0,SUMIFS(tblIssues[Qty Issued],tblIssues[Item Name],$A796)-$K796)))</f>
        <v/>
      </c>
      <c r="M796" s="26" t="str">
        <f>IF($A796="","",SUMIFS(tblIssues[Qty Issued],tblIssues[Lot Number],$B796))</f>
        <v/>
      </c>
      <c r="N796" s="26" t="str">
        <f t="shared" si="62"/>
        <v/>
      </c>
      <c r="O796" s="26" t="str">
        <f t="shared" si="63"/>
        <v/>
      </c>
      <c r="P796" s="21" t="str">
        <f t="shared" si="64"/>
        <v/>
      </c>
      <c r="Q796" s="52" t="str">
        <f>IF($A796="","",IF($O796&lt;=0,"Depleted",IF($I796&lt;0,"EXPIRED",IF($I796&lt;=Settings!$C$6,"CRITICAL",IF($I796&lt;=Settings!$C$5,"Expiring","In date")))))</f>
        <v/>
      </c>
    </row>
    <row r="797" spans="1:17" x14ac:dyDescent="0.35">
      <c r="A797" s="90" t="str">
        <f>IF(Receipts!$D800="","",Receipts!$D800)</f>
        <v/>
      </c>
      <c r="B797" s="18" t="str">
        <f>IF(Receipts!$C800="","",Receipts!$C800)</f>
        <v/>
      </c>
      <c r="C797" s="18" t="str">
        <f>IF($A797="","",IFERROR(INDEX(Items!$B$5:$B$597,MATCH($A797,Items!$A$5:$A$597,0)),""))</f>
        <v/>
      </c>
      <c r="D797" s="23" t="str">
        <f>IF($A797="","",N(Receipts!$G800))</f>
        <v/>
      </c>
      <c r="E797" s="20" t="str">
        <f>IF($A797="","",IFERROR(INDEX(Items!$D$5:$D$597,MATCH($A797,Items!$A$5:$A$597,0)),0))</f>
        <v/>
      </c>
      <c r="F797" s="21" t="str">
        <f t="shared" si="60"/>
        <v/>
      </c>
      <c r="G797" s="25" t="str">
        <f>IF(Receipts!$I800="","",Receipts!$I800)</f>
        <v/>
      </c>
      <c r="H797" s="25" t="str">
        <f>IF(Receipts!$H800="","",Receipts!$H800)</f>
        <v/>
      </c>
      <c r="I797" s="26" t="str">
        <f t="shared" ca="1" si="61"/>
        <v/>
      </c>
      <c r="J797" s="26" t="str">
        <f>IF($A797="","",COUNTIFS(tblReceipts[Item Name],$A797,tblReceipts[Expiry Date],"&lt;"&amp;$H797)+COUNTIFS(tblReceipts[Item Name],$A797,tblReceipts[Expiry Date],$H797,tblReceipts[Lot Number],"&lt;="&amp;Receipts!$C800))</f>
        <v/>
      </c>
      <c r="K797" s="26" t="str">
        <f>IF($A797="","",SUMIFS(tblReceipts[Qty Received],tblReceipts[Item Name],$A797,tblReceipts[Expiry Date],"&lt;"&amp;$H797)+SUMIFS(tblReceipts[Qty Received],tblReceipts[Item Name],$A797,tblReceipts[Expiry Date],$H797,tblReceipts[Lot Number],"&lt;"&amp;Receipts!$C800))</f>
        <v/>
      </c>
      <c r="L797" s="26" t="str">
        <f>IF($A797="","",MIN($D797,MAX(0,SUMIFS(tblIssues[Qty Issued],tblIssues[Item Name],$A797)-$K797)))</f>
        <v/>
      </c>
      <c r="M797" s="26" t="str">
        <f>IF($A797="","",SUMIFS(tblIssues[Qty Issued],tblIssues[Lot Number],$B797))</f>
        <v/>
      </c>
      <c r="N797" s="26" t="str">
        <f t="shared" si="62"/>
        <v/>
      </c>
      <c r="O797" s="26" t="str">
        <f t="shared" si="63"/>
        <v/>
      </c>
      <c r="P797" s="21" t="str">
        <f t="shared" si="64"/>
        <v/>
      </c>
      <c r="Q797" s="52" t="str">
        <f>IF($A797="","",IF($O797&lt;=0,"Depleted",IF($I797&lt;0,"EXPIRED",IF($I797&lt;=Settings!$C$6,"CRITICAL",IF($I797&lt;=Settings!$C$5,"Expiring","In date")))))</f>
        <v/>
      </c>
    </row>
    <row r="798" spans="1:17" x14ac:dyDescent="0.35">
      <c r="A798" s="90" t="str">
        <f>IF(Receipts!$D801="","",Receipts!$D801)</f>
        <v/>
      </c>
      <c r="B798" s="18" t="str">
        <f>IF(Receipts!$C801="","",Receipts!$C801)</f>
        <v/>
      </c>
      <c r="C798" s="18" t="str">
        <f>IF($A798="","",IFERROR(INDEX(Items!$B$5:$B$597,MATCH($A798,Items!$A$5:$A$597,0)),""))</f>
        <v/>
      </c>
      <c r="D798" s="23" t="str">
        <f>IF($A798="","",N(Receipts!$G801))</f>
        <v/>
      </c>
      <c r="E798" s="20" t="str">
        <f>IF($A798="","",IFERROR(INDEX(Items!$D$5:$D$597,MATCH($A798,Items!$A$5:$A$597,0)),0))</f>
        <v/>
      </c>
      <c r="F798" s="21" t="str">
        <f t="shared" si="60"/>
        <v/>
      </c>
      <c r="G798" s="25" t="str">
        <f>IF(Receipts!$I801="","",Receipts!$I801)</f>
        <v/>
      </c>
      <c r="H798" s="25" t="str">
        <f>IF(Receipts!$H801="","",Receipts!$H801)</f>
        <v/>
      </c>
      <c r="I798" s="26" t="str">
        <f t="shared" ca="1" si="61"/>
        <v/>
      </c>
      <c r="J798" s="26" t="str">
        <f>IF($A798="","",COUNTIFS(tblReceipts[Item Name],$A798,tblReceipts[Expiry Date],"&lt;"&amp;$H798)+COUNTIFS(tblReceipts[Item Name],$A798,tblReceipts[Expiry Date],$H798,tblReceipts[Lot Number],"&lt;="&amp;Receipts!$C801))</f>
        <v/>
      </c>
      <c r="K798" s="26" t="str">
        <f>IF($A798="","",SUMIFS(tblReceipts[Qty Received],tblReceipts[Item Name],$A798,tblReceipts[Expiry Date],"&lt;"&amp;$H798)+SUMIFS(tblReceipts[Qty Received],tblReceipts[Item Name],$A798,tblReceipts[Expiry Date],$H798,tblReceipts[Lot Number],"&lt;"&amp;Receipts!$C801))</f>
        <v/>
      </c>
      <c r="L798" s="26" t="str">
        <f>IF($A798="","",MIN($D798,MAX(0,SUMIFS(tblIssues[Qty Issued],tblIssues[Item Name],$A798)-$K798)))</f>
        <v/>
      </c>
      <c r="M798" s="26" t="str">
        <f>IF($A798="","",SUMIFS(tblIssues[Qty Issued],tblIssues[Lot Number],$B798))</f>
        <v/>
      </c>
      <c r="N798" s="26" t="str">
        <f t="shared" si="62"/>
        <v/>
      </c>
      <c r="O798" s="26" t="str">
        <f t="shared" si="63"/>
        <v/>
      </c>
      <c r="P798" s="21" t="str">
        <f t="shared" si="64"/>
        <v/>
      </c>
      <c r="Q798" s="52" t="str">
        <f>IF($A798="","",IF($O798&lt;=0,"Depleted",IF($I798&lt;0,"EXPIRED",IF($I798&lt;=Settings!$C$6,"CRITICAL",IF($I798&lt;=Settings!$C$5,"Expiring","In date")))))</f>
        <v/>
      </c>
    </row>
    <row r="799" spans="1:17" x14ac:dyDescent="0.35">
      <c r="A799" s="90" t="str">
        <f>IF(Receipts!$D802="","",Receipts!$D802)</f>
        <v/>
      </c>
      <c r="B799" s="18" t="str">
        <f>IF(Receipts!$C802="","",Receipts!$C802)</f>
        <v/>
      </c>
      <c r="C799" s="18" t="str">
        <f>IF($A799="","",IFERROR(INDEX(Items!$B$5:$B$597,MATCH($A799,Items!$A$5:$A$597,0)),""))</f>
        <v/>
      </c>
      <c r="D799" s="23" t="str">
        <f>IF($A799="","",N(Receipts!$G802))</f>
        <v/>
      </c>
      <c r="E799" s="20" t="str">
        <f>IF($A799="","",IFERROR(INDEX(Items!$D$5:$D$597,MATCH($A799,Items!$A$5:$A$597,0)),0))</f>
        <v/>
      </c>
      <c r="F799" s="21" t="str">
        <f t="shared" si="60"/>
        <v/>
      </c>
      <c r="G799" s="25" t="str">
        <f>IF(Receipts!$I802="","",Receipts!$I802)</f>
        <v/>
      </c>
      <c r="H799" s="25" t="str">
        <f>IF(Receipts!$H802="","",Receipts!$H802)</f>
        <v/>
      </c>
      <c r="I799" s="26" t="str">
        <f t="shared" ca="1" si="61"/>
        <v/>
      </c>
      <c r="J799" s="26" t="str">
        <f>IF($A799="","",COUNTIFS(tblReceipts[Item Name],$A799,tblReceipts[Expiry Date],"&lt;"&amp;$H799)+COUNTIFS(tblReceipts[Item Name],$A799,tblReceipts[Expiry Date],$H799,tblReceipts[Lot Number],"&lt;="&amp;Receipts!$C802))</f>
        <v/>
      </c>
      <c r="K799" s="26" t="str">
        <f>IF($A799="","",SUMIFS(tblReceipts[Qty Received],tblReceipts[Item Name],$A799,tblReceipts[Expiry Date],"&lt;"&amp;$H799)+SUMIFS(tblReceipts[Qty Received],tblReceipts[Item Name],$A799,tblReceipts[Expiry Date],$H799,tblReceipts[Lot Number],"&lt;"&amp;Receipts!$C802))</f>
        <v/>
      </c>
      <c r="L799" s="26" t="str">
        <f>IF($A799="","",MIN($D799,MAX(0,SUMIFS(tblIssues[Qty Issued],tblIssues[Item Name],$A799)-$K799)))</f>
        <v/>
      </c>
      <c r="M799" s="26" t="str">
        <f>IF($A799="","",SUMIFS(tblIssues[Qty Issued],tblIssues[Lot Number],$B799))</f>
        <v/>
      </c>
      <c r="N799" s="26" t="str">
        <f t="shared" si="62"/>
        <v/>
      </c>
      <c r="O799" s="26" t="str">
        <f t="shared" si="63"/>
        <v/>
      </c>
      <c r="P799" s="21" t="str">
        <f t="shared" si="64"/>
        <v/>
      </c>
      <c r="Q799" s="52" t="str">
        <f>IF($A799="","",IF($O799&lt;=0,"Depleted",IF($I799&lt;0,"EXPIRED",IF($I799&lt;=Settings!$C$6,"CRITICAL",IF($I799&lt;=Settings!$C$5,"Expiring","In date")))))</f>
        <v/>
      </c>
    </row>
    <row r="800" spans="1:17" x14ac:dyDescent="0.35">
      <c r="A800" s="90" t="str">
        <f>IF(Receipts!$D803="","",Receipts!$D803)</f>
        <v/>
      </c>
      <c r="B800" s="18" t="str">
        <f>IF(Receipts!$C803="","",Receipts!$C803)</f>
        <v/>
      </c>
      <c r="C800" s="18" t="str">
        <f>IF($A800="","",IFERROR(INDEX(Items!$B$5:$B$597,MATCH($A800,Items!$A$5:$A$597,0)),""))</f>
        <v/>
      </c>
      <c r="D800" s="23" t="str">
        <f>IF($A800="","",N(Receipts!$G803))</f>
        <v/>
      </c>
      <c r="E800" s="20" t="str">
        <f>IF($A800="","",IFERROR(INDEX(Items!$D$5:$D$597,MATCH($A800,Items!$A$5:$A$597,0)),0))</f>
        <v/>
      </c>
      <c r="F800" s="21" t="str">
        <f t="shared" si="60"/>
        <v/>
      </c>
      <c r="G800" s="25" t="str">
        <f>IF(Receipts!$I803="","",Receipts!$I803)</f>
        <v/>
      </c>
      <c r="H800" s="25" t="str">
        <f>IF(Receipts!$H803="","",Receipts!$H803)</f>
        <v/>
      </c>
      <c r="I800" s="26" t="str">
        <f t="shared" ca="1" si="61"/>
        <v/>
      </c>
      <c r="J800" s="26" t="str">
        <f>IF($A800="","",COUNTIFS(tblReceipts[Item Name],$A800,tblReceipts[Expiry Date],"&lt;"&amp;$H800)+COUNTIFS(tblReceipts[Item Name],$A800,tblReceipts[Expiry Date],$H800,tblReceipts[Lot Number],"&lt;="&amp;Receipts!$C803))</f>
        <v/>
      </c>
      <c r="K800" s="26" t="str">
        <f>IF($A800="","",SUMIFS(tblReceipts[Qty Received],tblReceipts[Item Name],$A800,tblReceipts[Expiry Date],"&lt;"&amp;$H800)+SUMIFS(tblReceipts[Qty Received],tblReceipts[Item Name],$A800,tblReceipts[Expiry Date],$H800,tblReceipts[Lot Number],"&lt;"&amp;Receipts!$C803))</f>
        <v/>
      </c>
      <c r="L800" s="26" t="str">
        <f>IF($A800="","",MIN($D800,MAX(0,SUMIFS(tblIssues[Qty Issued],tblIssues[Item Name],$A800)-$K800)))</f>
        <v/>
      </c>
      <c r="M800" s="26" t="str">
        <f>IF($A800="","",SUMIFS(tblIssues[Qty Issued],tblIssues[Lot Number],$B800))</f>
        <v/>
      </c>
      <c r="N800" s="26" t="str">
        <f t="shared" si="62"/>
        <v/>
      </c>
      <c r="O800" s="26" t="str">
        <f t="shared" si="63"/>
        <v/>
      </c>
      <c r="P800" s="21" t="str">
        <f t="shared" si="64"/>
        <v/>
      </c>
      <c r="Q800" s="52" t="str">
        <f>IF($A800="","",IF($O800&lt;=0,"Depleted",IF($I800&lt;0,"EXPIRED",IF($I800&lt;=Settings!$C$6,"CRITICAL",IF($I800&lt;=Settings!$C$5,"Expiring","In date")))))</f>
        <v/>
      </c>
    </row>
    <row r="801" spans="1:17" x14ac:dyDescent="0.35">
      <c r="A801" s="90" t="str">
        <f>IF(Receipts!$D804="","",Receipts!$D804)</f>
        <v/>
      </c>
      <c r="B801" s="18" t="str">
        <f>IF(Receipts!$C804="","",Receipts!$C804)</f>
        <v/>
      </c>
      <c r="C801" s="18" t="str">
        <f>IF($A801="","",IFERROR(INDEX(Items!$B$5:$B$597,MATCH($A801,Items!$A$5:$A$597,0)),""))</f>
        <v/>
      </c>
      <c r="D801" s="23" t="str">
        <f>IF($A801="","",N(Receipts!$G804))</f>
        <v/>
      </c>
      <c r="E801" s="20" t="str">
        <f>IF($A801="","",IFERROR(INDEX(Items!$D$5:$D$597,MATCH($A801,Items!$A$5:$A$597,0)),0))</f>
        <v/>
      </c>
      <c r="F801" s="21" t="str">
        <f t="shared" si="60"/>
        <v/>
      </c>
      <c r="G801" s="25" t="str">
        <f>IF(Receipts!$I804="","",Receipts!$I804)</f>
        <v/>
      </c>
      <c r="H801" s="25" t="str">
        <f>IF(Receipts!$H804="","",Receipts!$H804)</f>
        <v/>
      </c>
      <c r="I801" s="26" t="str">
        <f t="shared" ca="1" si="61"/>
        <v/>
      </c>
      <c r="J801" s="26" t="str">
        <f>IF($A801="","",COUNTIFS(tblReceipts[Item Name],$A801,tblReceipts[Expiry Date],"&lt;"&amp;$H801)+COUNTIFS(tblReceipts[Item Name],$A801,tblReceipts[Expiry Date],$H801,tblReceipts[Lot Number],"&lt;="&amp;Receipts!$C804))</f>
        <v/>
      </c>
      <c r="K801" s="26" t="str">
        <f>IF($A801="","",SUMIFS(tblReceipts[Qty Received],tblReceipts[Item Name],$A801,tblReceipts[Expiry Date],"&lt;"&amp;$H801)+SUMIFS(tblReceipts[Qty Received],tblReceipts[Item Name],$A801,tblReceipts[Expiry Date],$H801,tblReceipts[Lot Number],"&lt;"&amp;Receipts!$C804))</f>
        <v/>
      </c>
      <c r="L801" s="26" t="str">
        <f>IF($A801="","",MIN($D801,MAX(0,SUMIFS(tblIssues[Qty Issued],tblIssues[Item Name],$A801)-$K801)))</f>
        <v/>
      </c>
      <c r="M801" s="26" t="str">
        <f>IF($A801="","",SUMIFS(tblIssues[Qty Issued],tblIssues[Lot Number],$B801))</f>
        <v/>
      </c>
      <c r="N801" s="26" t="str">
        <f t="shared" si="62"/>
        <v/>
      </c>
      <c r="O801" s="26" t="str">
        <f t="shared" si="63"/>
        <v/>
      </c>
      <c r="P801" s="21" t="str">
        <f t="shared" si="64"/>
        <v/>
      </c>
      <c r="Q801" s="52" t="str">
        <f>IF($A801="","",IF($O801&lt;=0,"Depleted",IF($I801&lt;0,"EXPIRED",IF($I801&lt;=Settings!$C$6,"CRITICAL",IF($I801&lt;=Settings!$C$5,"Expiring","In date")))))</f>
        <v/>
      </c>
    </row>
    <row r="802" spans="1:17" x14ac:dyDescent="0.35">
      <c r="A802" s="90" t="str">
        <f>IF(Receipts!$D805="","",Receipts!$D805)</f>
        <v/>
      </c>
      <c r="B802" s="18" t="str">
        <f>IF(Receipts!$C805="","",Receipts!$C805)</f>
        <v/>
      </c>
      <c r="C802" s="18" t="str">
        <f>IF($A802="","",IFERROR(INDEX(Items!$B$5:$B$597,MATCH($A802,Items!$A$5:$A$597,0)),""))</f>
        <v/>
      </c>
      <c r="D802" s="23" t="str">
        <f>IF($A802="","",N(Receipts!$G805))</f>
        <v/>
      </c>
      <c r="E802" s="20" t="str">
        <f>IF($A802="","",IFERROR(INDEX(Items!$D$5:$D$597,MATCH($A802,Items!$A$5:$A$597,0)),0))</f>
        <v/>
      </c>
      <c r="F802" s="21" t="str">
        <f t="shared" si="60"/>
        <v/>
      </c>
      <c r="G802" s="25" t="str">
        <f>IF(Receipts!$I805="","",Receipts!$I805)</f>
        <v/>
      </c>
      <c r="H802" s="25" t="str">
        <f>IF(Receipts!$H805="","",Receipts!$H805)</f>
        <v/>
      </c>
      <c r="I802" s="26" t="str">
        <f t="shared" ca="1" si="61"/>
        <v/>
      </c>
      <c r="J802" s="26" t="str">
        <f>IF($A802="","",COUNTIFS(tblReceipts[Item Name],$A802,tblReceipts[Expiry Date],"&lt;"&amp;$H802)+COUNTIFS(tblReceipts[Item Name],$A802,tblReceipts[Expiry Date],$H802,tblReceipts[Lot Number],"&lt;="&amp;Receipts!$C805))</f>
        <v/>
      </c>
      <c r="K802" s="26" t="str">
        <f>IF($A802="","",SUMIFS(tblReceipts[Qty Received],tblReceipts[Item Name],$A802,tblReceipts[Expiry Date],"&lt;"&amp;$H802)+SUMIFS(tblReceipts[Qty Received],tblReceipts[Item Name],$A802,tblReceipts[Expiry Date],$H802,tblReceipts[Lot Number],"&lt;"&amp;Receipts!$C805))</f>
        <v/>
      </c>
      <c r="L802" s="26" t="str">
        <f>IF($A802="","",MIN($D802,MAX(0,SUMIFS(tblIssues[Qty Issued],tblIssues[Item Name],$A802)-$K802)))</f>
        <v/>
      </c>
      <c r="M802" s="26" t="str">
        <f>IF($A802="","",SUMIFS(tblIssues[Qty Issued],tblIssues[Lot Number],$B802))</f>
        <v/>
      </c>
      <c r="N802" s="26" t="str">
        <f t="shared" si="62"/>
        <v/>
      </c>
      <c r="O802" s="26" t="str">
        <f t="shared" si="63"/>
        <v/>
      </c>
      <c r="P802" s="21" t="str">
        <f t="shared" si="64"/>
        <v/>
      </c>
      <c r="Q802" s="52" t="str">
        <f>IF($A802="","",IF($O802&lt;=0,"Depleted",IF($I802&lt;0,"EXPIRED",IF($I802&lt;=Settings!$C$6,"CRITICAL",IF($I802&lt;=Settings!$C$5,"Expiring","In date")))))</f>
        <v/>
      </c>
    </row>
    <row r="803" spans="1:17" x14ac:dyDescent="0.35">
      <c r="A803" s="90" t="str">
        <f>IF(Receipts!$D806="","",Receipts!$D806)</f>
        <v/>
      </c>
      <c r="B803" s="18" t="str">
        <f>IF(Receipts!$C806="","",Receipts!$C806)</f>
        <v/>
      </c>
      <c r="C803" s="18" t="str">
        <f>IF($A803="","",IFERROR(INDEX(Items!$B$5:$B$597,MATCH($A803,Items!$A$5:$A$597,0)),""))</f>
        <v/>
      </c>
      <c r="D803" s="23" t="str">
        <f>IF($A803="","",N(Receipts!$G806))</f>
        <v/>
      </c>
      <c r="E803" s="20" t="str">
        <f>IF($A803="","",IFERROR(INDEX(Items!$D$5:$D$597,MATCH($A803,Items!$A$5:$A$597,0)),0))</f>
        <v/>
      </c>
      <c r="F803" s="21" t="str">
        <f t="shared" si="60"/>
        <v/>
      </c>
      <c r="G803" s="25" t="str">
        <f>IF(Receipts!$I806="","",Receipts!$I806)</f>
        <v/>
      </c>
      <c r="H803" s="25" t="str">
        <f>IF(Receipts!$H806="","",Receipts!$H806)</f>
        <v/>
      </c>
      <c r="I803" s="26" t="str">
        <f t="shared" ca="1" si="61"/>
        <v/>
      </c>
      <c r="J803" s="26" t="str">
        <f>IF($A803="","",COUNTIFS(tblReceipts[Item Name],$A803,tblReceipts[Expiry Date],"&lt;"&amp;$H803)+COUNTIFS(tblReceipts[Item Name],$A803,tblReceipts[Expiry Date],$H803,tblReceipts[Lot Number],"&lt;="&amp;Receipts!$C806))</f>
        <v/>
      </c>
      <c r="K803" s="26" t="str">
        <f>IF($A803="","",SUMIFS(tblReceipts[Qty Received],tblReceipts[Item Name],$A803,tblReceipts[Expiry Date],"&lt;"&amp;$H803)+SUMIFS(tblReceipts[Qty Received],tblReceipts[Item Name],$A803,tblReceipts[Expiry Date],$H803,tblReceipts[Lot Number],"&lt;"&amp;Receipts!$C806))</f>
        <v/>
      </c>
      <c r="L803" s="26" t="str">
        <f>IF($A803="","",MIN($D803,MAX(0,SUMIFS(tblIssues[Qty Issued],tblIssues[Item Name],$A803)-$K803)))</f>
        <v/>
      </c>
      <c r="M803" s="26" t="str">
        <f>IF($A803="","",SUMIFS(tblIssues[Qty Issued],tblIssues[Lot Number],$B803))</f>
        <v/>
      </c>
      <c r="N803" s="26" t="str">
        <f t="shared" si="62"/>
        <v/>
      </c>
      <c r="O803" s="26" t="str">
        <f t="shared" si="63"/>
        <v/>
      </c>
      <c r="P803" s="21" t="str">
        <f t="shared" si="64"/>
        <v/>
      </c>
      <c r="Q803" s="52" t="str">
        <f>IF($A803="","",IF($O803&lt;=0,"Depleted",IF($I803&lt;0,"EXPIRED",IF($I803&lt;=Settings!$C$6,"CRITICAL",IF($I803&lt;=Settings!$C$5,"Expiring","In date")))))</f>
        <v/>
      </c>
    </row>
    <row r="804" spans="1:17" x14ac:dyDescent="0.35">
      <c r="A804" s="90" t="str">
        <f>IF(Receipts!$D807="","",Receipts!$D807)</f>
        <v/>
      </c>
      <c r="B804" s="18" t="str">
        <f>IF(Receipts!$C807="","",Receipts!$C807)</f>
        <v/>
      </c>
      <c r="C804" s="18" t="str">
        <f>IF($A804="","",IFERROR(INDEX(Items!$B$5:$B$597,MATCH($A804,Items!$A$5:$A$597,0)),""))</f>
        <v/>
      </c>
      <c r="D804" s="23" t="str">
        <f>IF($A804="","",N(Receipts!$G807))</f>
        <v/>
      </c>
      <c r="E804" s="20" t="str">
        <f>IF($A804="","",IFERROR(INDEX(Items!$D$5:$D$597,MATCH($A804,Items!$A$5:$A$597,0)),0))</f>
        <v/>
      </c>
      <c r="F804" s="21" t="str">
        <f t="shared" si="60"/>
        <v/>
      </c>
      <c r="G804" s="25" t="str">
        <f>IF(Receipts!$I807="","",Receipts!$I807)</f>
        <v/>
      </c>
      <c r="H804" s="25" t="str">
        <f>IF(Receipts!$H807="","",Receipts!$H807)</f>
        <v/>
      </c>
      <c r="I804" s="26" t="str">
        <f t="shared" ca="1" si="61"/>
        <v/>
      </c>
      <c r="J804" s="26" t="str">
        <f>IF($A804="","",COUNTIFS(tblReceipts[Item Name],$A804,tblReceipts[Expiry Date],"&lt;"&amp;$H804)+COUNTIFS(tblReceipts[Item Name],$A804,tblReceipts[Expiry Date],$H804,tblReceipts[Lot Number],"&lt;="&amp;Receipts!$C807))</f>
        <v/>
      </c>
      <c r="K804" s="26" t="str">
        <f>IF($A804="","",SUMIFS(tblReceipts[Qty Received],tblReceipts[Item Name],$A804,tblReceipts[Expiry Date],"&lt;"&amp;$H804)+SUMIFS(tblReceipts[Qty Received],tblReceipts[Item Name],$A804,tblReceipts[Expiry Date],$H804,tblReceipts[Lot Number],"&lt;"&amp;Receipts!$C807))</f>
        <v/>
      </c>
      <c r="L804" s="26" t="str">
        <f>IF($A804="","",MIN($D804,MAX(0,SUMIFS(tblIssues[Qty Issued],tblIssues[Item Name],$A804)-$K804)))</f>
        <v/>
      </c>
      <c r="M804" s="26" t="str">
        <f>IF($A804="","",SUMIFS(tblIssues[Qty Issued],tblIssues[Lot Number],$B804))</f>
        <v/>
      </c>
      <c r="N804" s="26" t="str">
        <f t="shared" si="62"/>
        <v/>
      </c>
      <c r="O804" s="26" t="str">
        <f t="shared" si="63"/>
        <v/>
      </c>
      <c r="P804" s="21" t="str">
        <f t="shared" si="64"/>
        <v/>
      </c>
      <c r="Q804" s="52" t="str">
        <f>IF($A804="","",IF($O804&lt;=0,"Depleted",IF($I804&lt;0,"EXPIRED",IF($I804&lt;=Settings!$C$6,"CRITICAL",IF($I804&lt;=Settings!$C$5,"Expiring","In date")))))</f>
        <v/>
      </c>
    </row>
    <row r="805" spans="1:17" x14ac:dyDescent="0.35">
      <c r="A805" s="90" t="str">
        <f>IF(Receipts!$D808="","",Receipts!$D808)</f>
        <v/>
      </c>
      <c r="B805" s="18" t="str">
        <f>IF(Receipts!$C808="","",Receipts!$C808)</f>
        <v/>
      </c>
      <c r="C805" s="18" t="str">
        <f>IF($A805="","",IFERROR(INDEX(Items!$B$5:$B$597,MATCH($A805,Items!$A$5:$A$597,0)),""))</f>
        <v/>
      </c>
      <c r="D805" s="23" t="str">
        <f>IF($A805="","",N(Receipts!$G808))</f>
        <v/>
      </c>
      <c r="E805" s="20" t="str">
        <f>IF($A805="","",IFERROR(INDEX(Items!$D$5:$D$597,MATCH($A805,Items!$A$5:$A$597,0)),0))</f>
        <v/>
      </c>
      <c r="F805" s="21" t="str">
        <f t="shared" si="60"/>
        <v/>
      </c>
      <c r="G805" s="25" t="str">
        <f>IF(Receipts!$I808="","",Receipts!$I808)</f>
        <v/>
      </c>
      <c r="H805" s="25" t="str">
        <f>IF(Receipts!$H808="","",Receipts!$H808)</f>
        <v/>
      </c>
      <c r="I805" s="26" t="str">
        <f t="shared" ca="1" si="61"/>
        <v/>
      </c>
      <c r="J805" s="26" t="str">
        <f>IF($A805="","",COUNTIFS(tblReceipts[Item Name],$A805,tblReceipts[Expiry Date],"&lt;"&amp;$H805)+COUNTIFS(tblReceipts[Item Name],$A805,tblReceipts[Expiry Date],$H805,tblReceipts[Lot Number],"&lt;="&amp;Receipts!$C808))</f>
        <v/>
      </c>
      <c r="K805" s="26" t="str">
        <f>IF($A805="","",SUMIFS(tblReceipts[Qty Received],tblReceipts[Item Name],$A805,tblReceipts[Expiry Date],"&lt;"&amp;$H805)+SUMIFS(tblReceipts[Qty Received],tblReceipts[Item Name],$A805,tblReceipts[Expiry Date],$H805,tblReceipts[Lot Number],"&lt;"&amp;Receipts!$C808))</f>
        <v/>
      </c>
      <c r="L805" s="26" t="str">
        <f>IF($A805="","",MIN($D805,MAX(0,SUMIFS(tblIssues[Qty Issued],tblIssues[Item Name],$A805)-$K805)))</f>
        <v/>
      </c>
      <c r="M805" s="26" t="str">
        <f>IF($A805="","",SUMIFS(tblIssues[Qty Issued],tblIssues[Lot Number],$B805))</f>
        <v/>
      </c>
      <c r="N805" s="26" t="str">
        <f t="shared" si="62"/>
        <v/>
      </c>
      <c r="O805" s="26" t="str">
        <f t="shared" si="63"/>
        <v/>
      </c>
      <c r="P805" s="21" t="str">
        <f t="shared" si="64"/>
        <v/>
      </c>
      <c r="Q805" s="52" t="str">
        <f>IF($A805="","",IF($O805&lt;=0,"Depleted",IF($I805&lt;0,"EXPIRED",IF($I805&lt;=Settings!$C$6,"CRITICAL",IF($I805&lt;=Settings!$C$5,"Expiring","In date")))))</f>
        <v/>
      </c>
    </row>
    <row r="806" spans="1:17" x14ac:dyDescent="0.35">
      <c r="A806" s="90" t="str">
        <f>IF(Receipts!$D809="","",Receipts!$D809)</f>
        <v/>
      </c>
      <c r="B806" s="18" t="str">
        <f>IF(Receipts!$C809="","",Receipts!$C809)</f>
        <v/>
      </c>
      <c r="C806" s="18" t="str">
        <f>IF($A806="","",IFERROR(INDEX(Items!$B$5:$B$597,MATCH($A806,Items!$A$5:$A$597,0)),""))</f>
        <v/>
      </c>
      <c r="D806" s="23" t="str">
        <f>IF($A806="","",N(Receipts!$G809))</f>
        <v/>
      </c>
      <c r="E806" s="20" t="str">
        <f>IF($A806="","",IFERROR(INDEX(Items!$D$5:$D$597,MATCH($A806,Items!$A$5:$A$597,0)),0))</f>
        <v/>
      </c>
      <c r="F806" s="21" t="str">
        <f t="shared" si="60"/>
        <v/>
      </c>
      <c r="G806" s="25" t="str">
        <f>IF(Receipts!$I809="","",Receipts!$I809)</f>
        <v/>
      </c>
      <c r="H806" s="25" t="str">
        <f>IF(Receipts!$H809="","",Receipts!$H809)</f>
        <v/>
      </c>
      <c r="I806" s="26" t="str">
        <f t="shared" ca="1" si="61"/>
        <v/>
      </c>
      <c r="J806" s="26" t="str">
        <f>IF($A806="","",COUNTIFS(tblReceipts[Item Name],$A806,tblReceipts[Expiry Date],"&lt;"&amp;$H806)+COUNTIFS(tblReceipts[Item Name],$A806,tblReceipts[Expiry Date],$H806,tblReceipts[Lot Number],"&lt;="&amp;Receipts!$C809))</f>
        <v/>
      </c>
      <c r="K806" s="26" t="str">
        <f>IF($A806="","",SUMIFS(tblReceipts[Qty Received],tblReceipts[Item Name],$A806,tblReceipts[Expiry Date],"&lt;"&amp;$H806)+SUMIFS(tblReceipts[Qty Received],tblReceipts[Item Name],$A806,tblReceipts[Expiry Date],$H806,tblReceipts[Lot Number],"&lt;"&amp;Receipts!$C809))</f>
        <v/>
      </c>
      <c r="L806" s="26" t="str">
        <f>IF($A806="","",MIN($D806,MAX(0,SUMIFS(tblIssues[Qty Issued],tblIssues[Item Name],$A806)-$K806)))</f>
        <v/>
      </c>
      <c r="M806" s="26" t="str">
        <f>IF($A806="","",SUMIFS(tblIssues[Qty Issued],tblIssues[Lot Number],$B806))</f>
        <v/>
      </c>
      <c r="N806" s="26" t="str">
        <f t="shared" si="62"/>
        <v/>
      </c>
      <c r="O806" s="26" t="str">
        <f t="shared" si="63"/>
        <v/>
      </c>
      <c r="P806" s="21" t="str">
        <f t="shared" si="64"/>
        <v/>
      </c>
      <c r="Q806" s="52" t="str">
        <f>IF($A806="","",IF($O806&lt;=0,"Depleted",IF($I806&lt;0,"EXPIRED",IF($I806&lt;=Settings!$C$6,"CRITICAL",IF($I806&lt;=Settings!$C$5,"Expiring","In date")))))</f>
        <v/>
      </c>
    </row>
    <row r="807" spans="1:17" x14ac:dyDescent="0.35">
      <c r="A807" s="90" t="str">
        <f>IF(Receipts!$D810="","",Receipts!$D810)</f>
        <v/>
      </c>
      <c r="B807" s="18" t="str">
        <f>IF(Receipts!$C810="","",Receipts!$C810)</f>
        <v/>
      </c>
      <c r="C807" s="18" t="str">
        <f>IF($A807="","",IFERROR(INDEX(Items!$B$5:$B$597,MATCH($A807,Items!$A$5:$A$597,0)),""))</f>
        <v/>
      </c>
      <c r="D807" s="23" t="str">
        <f>IF($A807="","",N(Receipts!$G810))</f>
        <v/>
      </c>
      <c r="E807" s="20" t="str">
        <f>IF($A807="","",IFERROR(INDEX(Items!$D$5:$D$597,MATCH($A807,Items!$A$5:$A$597,0)),0))</f>
        <v/>
      </c>
      <c r="F807" s="21" t="str">
        <f t="shared" si="60"/>
        <v/>
      </c>
      <c r="G807" s="25" t="str">
        <f>IF(Receipts!$I810="","",Receipts!$I810)</f>
        <v/>
      </c>
      <c r="H807" s="25" t="str">
        <f>IF(Receipts!$H810="","",Receipts!$H810)</f>
        <v/>
      </c>
      <c r="I807" s="26" t="str">
        <f t="shared" ca="1" si="61"/>
        <v/>
      </c>
      <c r="J807" s="26" t="str">
        <f>IF($A807="","",COUNTIFS(tblReceipts[Item Name],$A807,tblReceipts[Expiry Date],"&lt;"&amp;$H807)+COUNTIFS(tblReceipts[Item Name],$A807,tblReceipts[Expiry Date],$H807,tblReceipts[Lot Number],"&lt;="&amp;Receipts!$C810))</f>
        <v/>
      </c>
      <c r="K807" s="26" t="str">
        <f>IF($A807="","",SUMIFS(tblReceipts[Qty Received],tblReceipts[Item Name],$A807,tblReceipts[Expiry Date],"&lt;"&amp;$H807)+SUMIFS(tblReceipts[Qty Received],tblReceipts[Item Name],$A807,tblReceipts[Expiry Date],$H807,tblReceipts[Lot Number],"&lt;"&amp;Receipts!$C810))</f>
        <v/>
      </c>
      <c r="L807" s="26" t="str">
        <f>IF($A807="","",MIN($D807,MAX(0,SUMIFS(tblIssues[Qty Issued],tblIssues[Item Name],$A807)-$K807)))</f>
        <v/>
      </c>
      <c r="M807" s="26" t="str">
        <f>IF($A807="","",SUMIFS(tblIssues[Qty Issued],tblIssues[Lot Number],$B807))</f>
        <v/>
      </c>
      <c r="N807" s="26" t="str">
        <f t="shared" si="62"/>
        <v/>
      </c>
      <c r="O807" s="26" t="str">
        <f t="shared" si="63"/>
        <v/>
      </c>
      <c r="P807" s="21" t="str">
        <f t="shared" si="64"/>
        <v/>
      </c>
      <c r="Q807" s="52" t="str">
        <f>IF($A807="","",IF($O807&lt;=0,"Depleted",IF($I807&lt;0,"EXPIRED",IF($I807&lt;=Settings!$C$6,"CRITICAL",IF($I807&lt;=Settings!$C$5,"Expiring","In date")))))</f>
        <v/>
      </c>
    </row>
    <row r="808" spans="1:17" x14ac:dyDescent="0.35">
      <c r="A808" s="90" t="str">
        <f>IF(Receipts!$D811="","",Receipts!$D811)</f>
        <v/>
      </c>
      <c r="B808" s="18" t="str">
        <f>IF(Receipts!$C811="","",Receipts!$C811)</f>
        <v/>
      </c>
      <c r="C808" s="18" t="str">
        <f>IF($A808="","",IFERROR(INDEX(Items!$B$5:$B$597,MATCH($A808,Items!$A$5:$A$597,0)),""))</f>
        <v/>
      </c>
      <c r="D808" s="23" t="str">
        <f>IF($A808="","",N(Receipts!$G811))</f>
        <v/>
      </c>
      <c r="E808" s="20" t="str">
        <f>IF($A808="","",IFERROR(INDEX(Items!$D$5:$D$597,MATCH($A808,Items!$A$5:$A$597,0)),0))</f>
        <v/>
      </c>
      <c r="F808" s="21" t="str">
        <f t="shared" si="60"/>
        <v/>
      </c>
      <c r="G808" s="25" t="str">
        <f>IF(Receipts!$I811="","",Receipts!$I811)</f>
        <v/>
      </c>
      <c r="H808" s="25" t="str">
        <f>IF(Receipts!$H811="","",Receipts!$H811)</f>
        <v/>
      </c>
      <c r="I808" s="26" t="str">
        <f t="shared" ca="1" si="61"/>
        <v/>
      </c>
      <c r="J808" s="26" t="str">
        <f>IF($A808="","",COUNTIFS(tblReceipts[Item Name],$A808,tblReceipts[Expiry Date],"&lt;"&amp;$H808)+COUNTIFS(tblReceipts[Item Name],$A808,tblReceipts[Expiry Date],$H808,tblReceipts[Lot Number],"&lt;="&amp;Receipts!$C811))</f>
        <v/>
      </c>
      <c r="K808" s="26" t="str">
        <f>IF($A808="","",SUMIFS(tblReceipts[Qty Received],tblReceipts[Item Name],$A808,tblReceipts[Expiry Date],"&lt;"&amp;$H808)+SUMIFS(tblReceipts[Qty Received],tblReceipts[Item Name],$A808,tblReceipts[Expiry Date],$H808,tblReceipts[Lot Number],"&lt;"&amp;Receipts!$C811))</f>
        <v/>
      </c>
      <c r="L808" s="26" t="str">
        <f>IF($A808="","",MIN($D808,MAX(0,SUMIFS(tblIssues[Qty Issued],tblIssues[Item Name],$A808)-$K808)))</f>
        <v/>
      </c>
      <c r="M808" s="26" t="str">
        <f>IF($A808="","",SUMIFS(tblIssues[Qty Issued],tblIssues[Lot Number],$B808))</f>
        <v/>
      </c>
      <c r="N808" s="26" t="str">
        <f t="shared" si="62"/>
        <v/>
      </c>
      <c r="O808" s="26" t="str">
        <f t="shared" si="63"/>
        <v/>
      </c>
      <c r="P808" s="21" t="str">
        <f t="shared" si="64"/>
        <v/>
      </c>
      <c r="Q808" s="52" t="str">
        <f>IF($A808="","",IF($O808&lt;=0,"Depleted",IF($I808&lt;0,"EXPIRED",IF($I808&lt;=Settings!$C$6,"CRITICAL",IF($I808&lt;=Settings!$C$5,"Expiring","In date")))))</f>
        <v/>
      </c>
    </row>
    <row r="809" spans="1:17" x14ac:dyDescent="0.35">
      <c r="A809" s="90" t="str">
        <f>IF(Receipts!$D812="","",Receipts!$D812)</f>
        <v/>
      </c>
      <c r="B809" s="18" t="str">
        <f>IF(Receipts!$C812="","",Receipts!$C812)</f>
        <v/>
      </c>
      <c r="C809" s="18" t="str">
        <f>IF($A809="","",IFERROR(INDEX(Items!$B$5:$B$597,MATCH($A809,Items!$A$5:$A$597,0)),""))</f>
        <v/>
      </c>
      <c r="D809" s="23" t="str">
        <f>IF($A809="","",N(Receipts!$G812))</f>
        <v/>
      </c>
      <c r="E809" s="20" t="str">
        <f>IF($A809="","",IFERROR(INDEX(Items!$D$5:$D$597,MATCH($A809,Items!$A$5:$A$597,0)),0))</f>
        <v/>
      </c>
      <c r="F809" s="21" t="str">
        <f t="shared" si="60"/>
        <v/>
      </c>
      <c r="G809" s="25" t="str">
        <f>IF(Receipts!$I812="","",Receipts!$I812)</f>
        <v/>
      </c>
      <c r="H809" s="25" t="str">
        <f>IF(Receipts!$H812="","",Receipts!$H812)</f>
        <v/>
      </c>
      <c r="I809" s="26" t="str">
        <f t="shared" ca="1" si="61"/>
        <v/>
      </c>
      <c r="J809" s="26" t="str">
        <f>IF($A809="","",COUNTIFS(tblReceipts[Item Name],$A809,tblReceipts[Expiry Date],"&lt;"&amp;$H809)+COUNTIFS(tblReceipts[Item Name],$A809,tblReceipts[Expiry Date],$H809,tblReceipts[Lot Number],"&lt;="&amp;Receipts!$C812))</f>
        <v/>
      </c>
      <c r="K809" s="26" t="str">
        <f>IF($A809="","",SUMIFS(tblReceipts[Qty Received],tblReceipts[Item Name],$A809,tblReceipts[Expiry Date],"&lt;"&amp;$H809)+SUMIFS(tblReceipts[Qty Received],tblReceipts[Item Name],$A809,tblReceipts[Expiry Date],$H809,tblReceipts[Lot Number],"&lt;"&amp;Receipts!$C812))</f>
        <v/>
      </c>
      <c r="L809" s="26" t="str">
        <f>IF($A809="","",MIN($D809,MAX(0,SUMIFS(tblIssues[Qty Issued],tblIssues[Item Name],$A809)-$K809)))</f>
        <v/>
      </c>
      <c r="M809" s="26" t="str">
        <f>IF($A809="","",SUMIFS(tblIssues[Qty Issued],tblIssues[Lot Number],$B809))</f>
        <v/>
      </c>
      <c r="N809" s="26" t="str">
        <f t="shared" si="62"/>
        <v/>
      </c>
      <c r="O809" s="26" t="str">
        <f t="shared" si="63"/>
        <v/>
      </c>
      <c r="P809" s="21" t="str">
        <f t="shared" si="64"/>
        <v/>
      </c>
      <c r="Q809" s="52" t="str">
        <f>IF($A809="","",IF($O809&lt;=0,"Depleted",IF($I809&lt;0,"EXPIRED",IF($I809&lt;=Settings!$C$6,"CRITICAL",IF($I809&lt;=Settings!$C$5,"Expiring","In date")))))</f>
        <v/>
      </c>
    </row>
    <row r="810" spans="1:17" x14ac:dyDescent="0.35">
      <c r="A810" s="90" t="str">
        <f>IF(Receipts!$D813="","",Receipts!$D813)</f>
        <v/>
      </c>
      <c r="B810" s="18" t="str">
        <f>IF(Receipts!$C813="","",Receipts!$C813)</f>
        <v/>
      </c>
      <c r="C810" s="18" t="str">
        <f>IF($A810="","",IFERROR(INDEX(Items!$B$5:$B$597,MATCH($A810,Items!$A$5:$A$597,0)),""))</f>
        <v/>
      </c>
      <c r="D810" s="23" t="str">
        <f>IF($A810="","",N(Receipts!$G813))</f>
        <v/>
      </c>
      <c r="E810" s="20" t="str">
        <f>IF($A810="","",IFERROR(INDEX(Items!$D$5:$D$597,MATCH($A810,Items!$A$5:$A$597,0)),0))</f>
        <v/>
      </c>
      <c r="F810" s="21" t="str">
        <f t="shared" si="60"/>
        <v/>
      </c>
      <c r="G810" s="25" t="str">
        <f>IF(Receipts!$I813="","",Receipts!$I813)</f>
        <v/>
      </c>
      <c r="H810" s="25" t="str">
        <f>IF(Receipts!$H813="","",Receipts!$H813)</f>
        <v/>
      </c>
      <c r="I810" s="26" t="str">
        <f t="shared" ca="1" si="61"/>
        <v/>
      </c>
      <c r="J810" s="26" t="str">
        <f>IF($A810="","",COUNTIFS(tblReceipts[Item Name],$A810,tblReceipts[Expiry Date],"&lt;"&amp;$H810)+COUNTIFS(tblReceipts[Item Name],$A810,tblReceipts[Expiry Date],$H810,tblReceipts[Lot Number],"&lt;="&amp;Receipts!$C813))</f>
        <v/>
      </c>
      <c r="K810" s="26" t="str">
        <f>IF($A810="","",SUMIFS(tblReceipts[Qty Received],tblReceipts[Item Name],$A810,tblReceipts[Expiry Date],"&lt;"&amp;$H810)+SUMIFS(tblReceipts[Qty Received],tblReceipts[Item Name],$A810,tblReceipts[Expiry Date],$H810,tblReceipts[Lot Number],"&lt;"&amp;Receipts!$C813))</f>
        <v/>
      </c>
      <c r="L810" s="26" t="str">
        <f>IF($A810="","",MIN($D810,MAX(0,SUMIFS(tblIssues[Qty Issued],tblIssues[Item Name],$A810)-$K810)))</f>
        <v/>
      </c>
      <c r="M810" s="26" t="str">
        <f>IF($A810="","",SUMIFS(tblIssues[Qty Issued],tblIssues[Lot Number],$B810))</f>
        <v/>
      </c>
      <c r="N810" s="26" t="str">
        <f t="shared" si="62"/>
        <v/>
      </c>
      <c r="O810" s="26" t="str">
        <f t="shared" si="63"/>
        <v/>
      </c>
      <c r="P810" s="21" t="str">
        <f t="shared" si="64"/>
        <v/>
      </c>
      <c r="Q810" s="52" t="str">
        <f>IF($A810="","",IF($O810&lt;=0,"Depleted",IF($I810&lt;0,"EXPIRED",IF($I810&lt;=Settings!$C$6,"CRITICAL",IF($I810&lt;=Settings!$C$5,"Expiring","In date")))))</f>
        <v/>
      </c>
    </row>
    <row r="811" spans="1:17" x14ac:dyDescent="0.35">
      <c r="A811" s="90" t="str">
        <f>IF(Receipts!$D814="","",Receipts!$D814)</f>
        <v/>
      </c>
      <c r="B811" s="18" t="str">
        <f>IF(Receipts!$C814="","",Receipts!$C814)</f>
        <v/>
      </c>
      <c r="C811" s="18" t="str">
        <f>IF($A811="","",IFERROR(INDEX(Items!$B$5:$B$597,MATCH($A811,Items!$A$5:$A$597,0)),""))</f>
        <v/>
      </c>
      <c r="D811" s="23" t="str">
        <f>IF($A811="","",N(Receipts!$G814))</f>
        <v/>
      </c>
      <c r="E811" s="20" t="str">
        <f>IF($A811="","",IFERROR(INDEX(Items!$D$5:$D$597,MATCH($A811,Items!$A$5:$A$597,0)),0))</f>
        <v/>
      </c>
      <c r="F811" s="21" t="str">
        <f t="shared" si="60"/>
        <v/>
      </c>
      <c r="G811" s="25" t="str">
        <f>IF(Receipts!$I814="","",Receipts!$I814)</f>
        <v/>
      </c>
      <c r="H811" s="25" t="str">
        <f>IF(Receipts!$H814="","",Receipts!$H814)</f>
        <v/>
      </c>
      <c r="I811" s="26" t="str">
        <f t="shared" ca="1" si="61"/>
        <v/>
      </c>
      <c r="J811" s="26" t="str">
        <f>IF($A811="","",COUNTIFS(tblReceipts[Item Name],$A811,tblReceipts[Expiry Date],"&lt;"&amp;$H811)+COUNTIFS(tblReceipts[Item Name],$A811,tblReceipts[Expiry Date],$H811,tblReceipts[Lot Number],"&lt;="&amp;Receipts!$C814))</f>
        <v/>
      </c>
      <c r="K811" s="26" t="str">
        <f>IF($A811="","",SUMIFS(tblReceipts[Qty Received],tblReceipts[Item Name],$A811,tblReceipts[Expiry Date],"&lt;"&amp;$H811)+SUMIFS(tblReceipts[Qty Received],tblReceipts[Item Name],$A811,tblReceipts[Expiry Date],$H811,tblReceipts[Lot Number],"&lt;"&amp;Receipts!$C814))</f>
        <v/>
      </c>
      <c r="L811" s="26" t="str">
        <f>IF($A811="","",MIN($D811,MAX(0,SUMIFS(tblIssues[Qty Issued],tblIssues[Item Name],$A811)-$K811)))</f>
        <v/>
      </c>
      <c r="M811" s="26" t="str">
        <f>IF($A811="","",SUMIFS(tblIssues[Qty Issued],tblIssues[Lot Number],$B811))</f>
        <v/>
      </c>
      <c r="N811" s="26" t="str">
        <f t="shared" si="62"/>
        <v/>
      </c>
      <c r="O811" s="26" t="str">
        <f t="shared" si="63"/>
        <v/>
      </c>
      <c r="P811" s="21" t="str">
        <f t="shared" si="64"/>
        <v/>
      </c>
      <c r="Q811" s="52" t="str">
        <f>IF($A811="","",IF($O811&lt;=0,"Depleted",IF($I811&lt;0,"EXPIRED",IF($I811&lt;=Settings!$C$6,"CRITICAL",IF($I811&lt;=Settings!$C$5,"Expiring","In date")))))</f>
        <v/>
      </c>
    </row>
    <row r="812" spans="1:17" x14ac:dyDescent="0.35">
      <c r="A812" s="90" t="str">
        <f>IF(Receipts!$D815="","",Receipts!$D815)</f>
        <v/>
      </c>
      <c r="B812" s="18" t="str">
        <f>IF(Receipts!$C815="","",Receipts!$C815)</f>
        <v/>
      </c>
      <c r="C812" s="18" t="str">
        <f>IF($A812="","",IFERROR(INDEX(Items!$B$5:$B$597,MATCH($A812,Items!$A$5:$A$597,0)),""))</f>
        <v/>
      </c>
      <c r="D812" s="23" t="str">
        <f>IF($A812="","",N(Receipts!$G815))</f>
        <v/>
      </c>
      <c r="E812" s="20" t="str">
        <f>IF($A812="","",IFERROR(INDEX(Items!$D$5:$D$597,MATCH($A812,Items!$A$5:$A$597,0)),0))</f>
        <v/>
      </c>
      <c r="F812" s="21" t="str">
        <f t="shared" si="60"/>
        <v/>
      </c>
      <c r="G812" s="25" t="str">
        <f>IF(Receipts!$I815="","",Receipts!$I815)</f>
        <v/>
      </c>
      <c r="H812" s="25" t="str">
        <f>IF(Receipts!$H815="","",Receipts!$H815)</f>
        <v/>
      </c>
      <c r="I812" s="26" t="str">
        <f t="shared" ca="1" si="61"/>
        <v/>
      </c>
      <c r="J812" s="26" t="str">
        <f>IF($A812="","",COUNTIFS(tblReceipts[Item Name],$A812,tblReceipts[Expiry Date],"&lt;"&amp;$H812)+COUNTIFS(tblReceipts[Item Name],$A812,tblReceipts[Expiry Date],$H812,tblReceipts[Lot Number],"&lt;="&amp;Receipts!$C815))</f>
        <v/>
      </c>
      <c r="K812" s="26" t="str">
        <f>IF($A812="","",SUMIFS(tblReceipts[Qty Received],tblReceipts[Item Name],$A812,tblReceipts[Expiry Date],"&lt;"&amp;$H812)+SUMIFS(tblReceipts[Qty Received],tblReceipts[Item Name],$A812,tblReceipts[Expiry Date],$H812,tblReceipts[Lot Number],"&lt;"&amp;Receipts!$C815))</f>
        <v/>
      </c>
      <c r="L812" s="26" t="str">
        <f>IF($A812="","",MIN($D812,MAX(0,SUMIFS(tblIssues[Qty Issued],tblIssues[Item Name],$A812)-$K812)))</f>
        <v/>
      </c>
      <c r="M812" s="26" t="str">
        <f>IF($A812="","",SUMIFS(tblIssues[Qty Issued],tblIssues[Lot Number],$B812))</f>
        <v/>
      </c>
      <c r="N812" s="26" t="str">
        <f t="shared" si="62"/>
        <v/>
      </c>
      <c r="O812" s="26" t="str">
        <f t="shared" si="63"/>
        <v/>
      </c>
      <c r="P812" s="21" t="str">
        <f t="shared" si="64"/>
        <v/>
      </c>
      <c r="Q812" s="52" t="str">
        <f>IF($A812="","",IF($O812&lt;=0,"Depleted",IF($I812&lt;0,"EXPIRED",IF($I812&lt;=Settings!$C$6,"CRITICAL",IF($I812&lt;=Settings!$C$5,"Expiring","In date")))))</f>
        <v/>
      </c>
    </row>
    <row r="813" spans="1:17" x14ac:dyDescent="0.35">
      <c r="A813" s="90" t="str">
        <f>IF(Receipts!$D816="","",Receipts!$D816)</f>
        <v/>
      </c>
      <c r="B813" s="18" t="str">
        <f>IF(Receipts!$C816="","",Receipts!$C816)</f>
        <v/>
      </c>
      <c r="C813" s="18" t="str">
        <f>IF($A813="","",IFERROR(INDEX(Items!$B$5:$B$597,MATCH($A813,Items!$A$5:$A$597,0)),""))</f>
        <v/>
      </c>
      <c r="D813" s="23" t="str">
        <f>IF($A813="","",N(Receipts!$G816))</f>
        <v/>
      </c>
      <c r="E813" s="20" t="str">
        <f>IF($A813="","",IFERROR(INDEX(Items!$D$5:$D$597,MATCH($A813,Items!$A$5:$A$597,0)),0))</f>
        <v/>
      </c>
      <c r="F813" s="21" t="str">
        <f t="shared" si="60"/>
        <v/>
      </c>
      <c r="G813" s="25" t="str">
        <f>IF(Receipts!$I816="","",Receipts!$I816)</f>
        <v/>
      </c>
      <c r="H813" s="25" t="str">
        <f>IF(Receipts!$H816="","",Receipts!$H816)</f>
        <v/>
      </c>
      <c r="I813" s="26" t="str">
        <f t="shared" ca="1" si="61"/>
        <v/>
      </c>
      <c r="J813" s="26" t="str">
        <f>IF($A813="","",COUNTIFS(tblReceipts[Item Name],$A813,tblReceipts[Expiry Date],"&lt;"&amp;$H813)+COUNTIFS(tblReceipts[Item Name],$A813,tblReceipts[Expiry Date],$H813,tblReceipts[Lot Number],"&lt;="&amp;Receipts!$C816))</f>
        <v/>
      </c>
      <c r="K813" s="26" t="str">
        <f>IF($A813="","",SUMIFS(tblReceipts[Qty Received],tblReceipts[Item Name],$A813,tblReceipts[Expiry Date],"&lt;"&amp;$H813)+SUMIFS(tblReceipts[Qty Received],tblReceipts[Item Name],$A813,tblReceipts[Expiry Date],$H813,tblReceipts[Lot Number],"&lt;"&amp;Receipts!$C816))</f>
        <v/>
      </c>
      <c r="L813" s="26" t="str">
        <f>IF($A813="","",MIN($D813,MAX(0,SUMIFS(tblIssues[Qty Issued],tblIssues[Item Name],$A813)-$K813)))</f>
        <v/>
      </c>
      <c r="M813" s="26" t="str">
        <f>IF($A813="","",SUMIFS(tblIssues[Qty Issued],tblIssues[Lot Number],$B813))</f>
        <v/>
      </c>
      <c r="N813" s="26" t="str">
        <f t="shared" si="62"/>
        <v/>
      </c>
      <c r="O813" s="26" t="str">
        <f t="shared" si="63"/>
        <v/>
      </c>
      <c r="P813" s="21" t="str">
        <f t="shared" si="64"/>
        <v/>
      </c>
      <c r="Q813" s="52" t="str">
        <f>IF($A813="","",IF($O813&lt;=0,"Depleted",IF($I813&lt;0,"EXPIRED",IF($I813&lt;=Settings!$C$6,"CRITICAL",IF($I813&lt;=Settings!$C$5,"Expiring","In date")))))</f>
        <v/>
      </c>
    </row>
    <row r="814" spans="1:17" x14ac:dyDescent="0.35">
      <c r="A814" s="90" t="str">
        <f>IF(Receipts!$D817="","",Receipts!$D817)</f>
        <v/>
      </c>
      <c r="B814" s="18" t="str">
        <f>IF(Receipts!$C817="","",Receipts!$C817)</f>
        <v/>
      </c>
      <c r="C814" s="18" t="str">
        <f>IF($A814="","",IFERROR(INDEX(Items!$B$5:$B$597,MATCH($A814,Items!$A$5:$A$597,0)),""))</f>
        <v/>
      </c>
      <c r="D814" s="23" t="str">
        <f>IF($A814="","",N(Receipts!$G817))</f>
        <v/>
      </c>
      <c r="E814" s="20" t="str">
        <f>IF($A814="","",IFERROR(INDEX(Items!$D$5:$D$597,MATCH($A814,Items!$A$5:$A$597,0)),0))</f>
        <v/>
      </c>
      <c r="F814" s="21" t="str">
        <f t="shared" si="60"/>
        <v/>
      </c>
      <c r="G814" s="25" t="str">
        <f>IF(Receipts!$I817="","",Receipts!$I817)</f>
        <v/>
      </c>
      <c r="H814" s="25" t="str">
        <f>IF(Receipts!$H817="","",Receipts!$H817)</f>
        <v/>
      </c>
      <c r="I814" s="26" t="str">
        <f t="shared" ca="1" si="61"/>
        <v/>
      </c>
      <c r="J814" s="26" t="str">
        <f>IF($A814="","",COUNTIFS(tblReceipts[Item Name],$A814,tblReceipts[Expiry Date],"&lt;"&amp;$H814)+COUNTIFS(tblReceipts[Item Name],$A814,tblReceipts[Expiry Date],$H814,tblReceipts[Lot Number],"&lt;="&amp;Receipts!$C817))</f>
        <v/>
      </c>
      <c r="K814" s="26" t="str">
        <f>IF($A814="","",SUMIFS(tblReceipts[Qty Received],tblReceipts[Item Name],$A814,tblReceipts[Expiry Date],"&lt;"&amp;$H814)+SUMIFS(tblReceipts[Qty Received],tblReceipts[Item Name],$A814,tblReceipts[Expiry Date],$H814,tblReceipts[Lot Number],"&lt;"&amp;Receipts!$C817))</f>
        <v/>
      </c>
      <c r="L814" s="26" t="str">
        <f>IF($A814="","",MIN($D814,MAX(0,SUMIFS(tblIssues[Qty Issued],tblIssues[Item Name],$A814)-$K814)))</f>
        <v/>
      </c>
      <c r="M814" s="26" t="str">
        <f>IF($A814="","",SUMIFS(tblIssues[Qty Issued],tblIssues[Lot Number],$B814))</f>
        <v/>
      </c>
      <c r="N814" s="26" t="str">
        <f t="shared" si="62"/>
        <v/>
      </c>
      <c r="O814" s="26" t="str">
        <f t="shared" si="63"/>
        <v/>
      </c>
      <c r="P814" s="21" t="str">
        <f t="shared" si="64"/>
        <v/>
      </c>
      <c r="Q814" s="52" t="str">
        <f>IF($A814="","",IF($O814&lt;=0,"Depleted",IF($I814&lt;0,"EXPIRED",IF($I814&lt;=Settings!$C$6,"CRITICAL",IF($I814&lt;=Settings!$C$5,"Expiring","In date")))))</f>
        <v/>
      </c>
    </row>
    <row r="815" spans="1:17" x14ac:dyDescent="0.35">
      <c r="A815" s="90" t="str">
        <f>IF(Receipts!$D818="","",Receipts!$D818)</f>
        <v/>
      </c>
      <c r="B815" s="18" t="str">
        <f>IF(Receipts!$C818="","",Receipts!$C818)</f>
        <v/>
      </c>
      <c r="C815" s="18" t="str">
        <f>IF($A815="","",IFERROR(INDEX(Items!$B$5:$B$597,MATCH($A815,Items!$A$5:$A$597,0)),""))</f>
        <v/>
      </c>
      <c r="D815" s="23" t="str">
        <f>IF($A815="","",N(Receipts!$G818))</f>
        <v/>
      </c>
      <c r="E815" s="20" t="str">
        <f>IF($A815="","",IFERROR(INDEX(Items!$D$5:$D$597,MATCH($A815,Items!$A$5:$A$597,0)),0))</f>
        <v/>
      </c>
      <c r="F815" s="21" t="str">
        <f t="shared" si="60"/>
        <v/>
      </c>
      <c r="G815" s="25" t="str">
        <f>IF(Receipts!$I818="","",Receipts!$I818)</f>
        <v/>
      </c>
      <c r="H815" s="25" t="str">
        <f>IF(Receipts!$H818="","",Receipts!$H818)</f>
        <v/>
      </c>
      <c r="I815" s="26" t="str">
        <f t="shared" ca="1" si="61"/>
        <v/>
      </c>
      <c r="J815" s="26" t="str">
        <f>IF($A815="","",COUNTIFS(tblReceipts[Item Name],$A815,tblReceipts[Expiry Date],"&lt;"&amp;$H815)+COUNTIFS(tblReceipts[Item Name],$A815,tblReceipts[Expiry Date],$H815,tblReceipts[Lot Number],"&lt;="&amp;Receipts!$C818))</f>
        <v/>
      </c>
      <c r="K815" s="26" t="str">
        <f>IF($A815="","",SUMIFS(tblReceipts[Qty Received],tblReceipts[Item Name],$A815,tblReceipts[Expiry Date],"&lt;"&amp;$H815)+SUMIFS(tblReceipts[Qty Received],tblReceipts[Item Name],$A815,tblReceipts[Expiry Date],$H815,tblReceipts[Lot Number],"&lt;"&amp;Receipts!$C818))</f>
        <v/>
      </c>
      <c r="L815" s="26" t="str">
        <f>IF($A815="","",MIN($D815,MAX(0,SUMIFS(tblIssues[Qty Issued],tblIssues[Item Name],$A815)-$K815)))</f>
        <v/>
      </c>
      <c r="M815" s="26" t="str">
        <f>IF($A815="","",SUMIFS(tblIssues[Qty Issued],tblIssues[Lot Number],$B815))</f>
        <v/>
      </c>
      <c r="N815" s="26" t="str">
        <f t="shared" si="62"/>
        <v/>
      </c>
      <c r="O815" s="26" t="str">
        <f t="shared" si="63"/>
        <v/>
      </c>
      <c r="P815" s="21" t="str">
        <f t="shared" si="64"/>
        <v/>
      </c>
      <c r="Q815" s="52" t="str">
        <f>IF($A815="","",IF($O815&lt;=0,"Depleted",IF($I815&lt;0,"EXPIRED",IF($I815&lt;=Settings!$C$6,"CRITICAL",IF($I815&lt;=Settings!$C$5,"Expiring","In date")))))</f>
        <v/>
      </c>
    </row>
    <row r="816" spans="1:17" x14ac:dyDescent="0.35">
      <c r="A816" s="90" t="str">
        <f>IF(Receipts!$D819="","",Receipts!$D819)</f>
        <v/>
      </c>
      <c r="B816" s="18" t="str">
        <f>IF(Receipts!$C819="","",Receipts!$C819)</f>
        <v/>
      </c>
      <c r="C816" s="18" t="str">
        <f>IF($A816="","",IFERROR(INDEX(Items!$B$5:$B$597,MATCH($A816,Items!$A$5:$A$597,0)),""))</f>
        <v/>
      </c>
      <c r="D816" s="23" t="str">
        <f>IF($A816="","",N(Receipts!$G819))</f>
        <v/>
      </c>
      <c r="E816" s="20" t="str">
        <f>IF($A816="","",IFERROR(INDEX(Items!$D$5:$D$597,MATCH($A816,Items!$A$5:$A$597,0)),0))</f>
        <v/>
      </c>
      <c r="F816" s="21" t="str">
        <f t="shared" si="60"/>
        <v/>
      </c>
      <c r="G816" s="25" t="str">
        <f>IF(Receipts!$I819="","",Receipts!$I819)</f>
        <v/>
      </c>
      <c r="H816" s="25" t="str">
        <f>IF(Receipts!$H819="","",Receipts!$H819)</f>
        <v/>
      </c>
      <c r="I816" s="26" t="str">
        <f t="shared" ca="1" si="61"/>
        <v/>
      </c>
      <c r="J816" s="26" t="str">
        <f>IF($A816="","",COUNTIFS(tblReceipts[Item Name],$A816,tblReceipts[Expiry Date],"&lt;"&amp;$H816)+COUNTIFS(tblReceipts[Item Name],$A816,tblReceipts[Expiry Date],$H816,tblReceipts[Lot Number],"&lt;="&amp;Receipts!$C819))</f>
        <v/>
      </c>
      <c r="K816" s="26" t="str">
        <f>IF($A816="","",SUMIFS(tblReceipts[Qty Received],tblReceipts[Item Name],$A816,tblReceipts[Expiry Date],"&lt;"&amp;$H816)+SUMIFS(tblReceipts[Qty Received],tblReceipts[Item Name],$A816,tblReceipts[Expiry Date],$H816,tblReceipts[Lot Number],"&lt;"&amp;Receipts!$C819))</f>
        <v/>
      </c>
      <c r="L816" s="26" t="str">
        <f>IF($A816="","",MIN($D816,MAX(0,SUMIFS(tblIssues[Qty Issued],tblIssues[Item Name],$A816)-$K816)))</f>
        <v/>
      </c>
      <c r="M816" s="26" t="str">
        <f>IF($A816="","",SUMIFS(tblIssues[Qty Issued],tblIssues[Lot Number],$B816))</f>
        <v/>
      </c>
      <c r="N816" s="26" t="str">
        <f t="shared" si="62"/>
        <v/>
      </c>
      <c r="O816" s="26" t="str">
        <f t="shared" si="63"/>
        <v/>
      </c>
      <c r="P816" s="21" t="str">
        <f t="shared" si="64"/>
        <v/>
      </c>
      <c r="Q816" s="52" t="str">
        <f>IF($A816="","",IF($O816&lt;=0,"Depleted",IF($I816&lt;0,"EXPIRED",IF($I816&lt;=Settings!$C$6,"CRITICAL",IF($I816&lt;=Settings!$C$5,"Expiring","In date")))))</f>
        <v/>
      </c>
    </row>
    <row r="817" spans="1:17" x14ac:dyDescent="0.35">
      <c r="A817" s="90" t="str">
        <f>IF(Receipts!$D820="","",Receipts!$D820)</f>
        <v/>
      </c>
      <c r="B817" s="18" t="str">
        <f>IF(Receipts!$C820="","",Receipts!$C820)</f>
        <v/>
      </c>
      <c r="C817" s="18" t="str">
        <f>IF($A817="","",IFERROR(INDEX(Items!$B$5:$B$597,MATCH($A817,Items!$A$5:$A$597,0)),""))</f>
        <v/>
      </c>
      <c r="D817" s="23" t="str">
        <f>IF($A817="","",N(Receipts!$G820))</f>
        <v/>
      </c>
      <c r="E817" s="20" t="str">
        <f>IF($A817="","",IFERROR(INDEX(Items!$D$5:$D$597,MATCH($A817,Items!$A$5:$A$597,0)),0))</f>
        <v/>
      </c>
      <c r="F817" s="21" t="str">
        <f t="shared" si="60"/>
        <v/>
      </c>
      <c r="G817" s="25" t="str">
        <f>IF(Receipts!$I820="","",Receipts!$I820)</f>
        <v/>
      </c>
      <c r="H817" s="25" t="str">
        <f>IF(Receipts!$H820="","",Receipts!$H820)</f>
        <v/>
      </c>
      <c r="I817" s="26" t="str">
        <f t="shared" ca="1" si="61"/>
        <v/>
      </c>
      <c r="J817" s="26" t="str">
        <f>IF($A817="","",COUNTIFS(tblReceipts[Item Name],$A817,tblReceipts[Expiry Date],"&lt;"&amp;$H817)+COUNTIFS(tblReceipts[Item Name],$A817,tblReceipts[Expiry Date],$H817,tblReceipts[Lot Number],"&lt;="&amp;Receipts!$C820))</f>
        <v/>
      </c>
      <c r="K817" s="26" t="str">
        <f>IF($A817="","",SUMIFS(tblReceipts[Qty Received],tblReceipts[Item Name],$A817,tblReceipts[Expiry Date],"&lt;"&amp;$H817)+SUMIFS(tblReceipts[Qty Received],tblReceipts[Item Name],$A817,tblReceipts[Expiry Date],$H817,tblReceipts[Lot Number],"&lt;"&amp;Receipts!$C820))</f>
        <v/>
      </c>
      <c r="L817" s="26" t="str">
        <f>IF($A817="","",MIN($D817,MAX(0,SUMIFS(tblIssues[Qty Issued],tblIssues[Item Name],$A817)-$K817)))</f>
        <v/>
      </c>
      <c r="M817" s="26" t="str">
        <f>IF($A817="","",SUMIFS(tblIssues[Qty Issued],tblIssues[Lot Number],$B817))</f>
        <v/>
      </c>
      <c r="N817" s="26" t="str">
        <f t="shared" si="62"/>
        <v/>
      </c>
      <c r="O817" s="26" t="str">
        <f t="shared" si="63"/>
        <v/>
      </c>
      <c r="P817" s="21" t="str">
        <f t="shared" si="64"/>
        <v/>
      </c>
      <c r="Q817" s="52" t="str">
        <f>IF($A817="","",IF($O817&lt;=0,"Depleted",IF($I817&lt;0,"EXPIRED",IF($I817&lt;=Settings!$C$6,"CRITICAL",IF($I817&lt;=Settings!$C$5,"Expiring","In date")))))</f>
        <v/>
      </c>
    </row>
    <row r="818" spans="1:17" x14ac:dyDescent="0.35">
      <c r="A818" s="90" t="str">
        <f>IF(Receipts!$D821="","",Receipts!$D821)</f>
        <v/>
      </c>
      <c r="B818" s="18" t="str">
        <f>IF(Receipts!$C821="","",Receipts!$C821)</f>
        <v/>
      </c>
      <c r="C818" s="18" t="str">
        <f>IF($A818="","",IFERROR(INDEX(Items!$B$5:$B$597,MATCH($A818,Items!$A$5:$A$597,0)),""))</f>
        <v/>
      </c>
      <c r="D818" s="23" t="str">
        <f>IF($A818="","",N(Receipts!$G821))</f>
        <v/>
      </c>
      <c r="E818" s="20" t="str">
        <f>IF($A818="","",IFERROR(INDEX(Items!$D$5:$D$597,MATCH($A818,Items!$A$5:$A$597,0)),0))</f>
        <v/>
      </c>
      <c r="F818" s="21" t="str">
        <f t="shared" si="60"/>
        <v/>
      </c>
      <c r="G818" s="25" t="str">
        <f>IF(Receipts!$I821="","",Receipts!$I821)</f>
        <v/>
      </c>
      <c r="H818" s="25" t="str">
        <f>IF(Receipts!$H821="","",Receipts!$H821)</f>
        <v/>
      </c>
      <c r="I818" s="26" t="str">
        <f t="shared" ca="1" si="61"/>
        <v/>
      </c>
      <c r="J818" s="26" t="str">
        <f>IF($A818="","",COUNTIFS(tblReceipts[Item Name],$A818,tblReceipts[Expiry Date],"&lt;"&amp;$H818)+COUNTIFS(tblReceipts[Item Name],$A818,tblReceipts[Expiry Date],$H818,tblReceipts[Lot Number],"&lt;="&amp;Receipts!$C821))</f>
        <v/>
      </c>
      <c r="K818" s="26" t="str">
        <f>IF($A818="","",SUMIFS(tblReceipts[Qty Received],tblReceipts[Item Name],$A818,tblReceipts[Expiry Date],"&lt;"&amp;$H818)+SUMIFS(tblReceipts[Qty Received],tblReceipts[Item Name],$A818,tblReceipts[Expiry Date],$H818,tblReceipts[Lot Number],"&lt;"&amp;Receipts!$C821))</f>
        <v/>
      </c>
      <c r="L818" s="26" t="str">
        <f>IF($A818="","",MIN($D818,MAX(0,SUMIFS(tblIssues[Qty Issued],tblIssues[Item Name],$A818)-$K818)))</f>
        <v/>
      </c>
      <c r="M818" s="26" t="str">
        <f>IF($A818="","",SUMIFS(tblIssues[Qty Issued],tblIssues[Lot Number],$B818))</f>
        <v/>
      </c>
      <c r="N818" s="26" t="str">
        <f t="shared" si="62"/>
        <v/>
      </c>
      <c r="O818" s="26" t="str">
        <f t="shared" si="63"/>
        <v/>
      </c>
      <c r="P818" s="21" t="str">
        <f t="shared" si="64"/>
        <v/>
      </c>
      <c r="Q818" s="52" t="str">
        <f>IF($A818="","",IF($O818&lt;=0,"Depleted",IF($I818&lt;0,"EXPIRED",IF($I818&lt;=Settings!$C$6,"CRITICAL",IF($I818&lt;=Settings!$C$5,"Expiring","In date")))))</f>
        <v/>
      </c>
    </row>
    <row r="819" spans="1:17" x14ac:dyDescent="0.35">
      <c r="A819" s="90" t="str">
        <f>IF(Receipts!$D822="","",Receipts!$D822)</f>
        <v/>
      </c>
      <c r="B819" s="18" t="str">
        <f>IF(Receipts!$C822="","",Receipts!$C822)</f>
        <v/>
      </c>
      <c r="C819" s="18" t="str">
        <f>IF($A819="","",IFERROR(INDEX(Items!$B$5:$B$597,MATCH($A819,Items!$A$5:$A$597,0)),""))</f>
        <v/>
      </c>
      <c r="D819" s="23" t="str">
        <f>IF($A819="","",N(Receipts!$G822))</f>
        <v/>
      </c>
      <c r="E819" s="20" t="str">
        <f>IF($A819="","",IFERROR(INDEX(Items!$D$5:$D$597,MATCH($A819,Items!$A$5:$A$597,0)),0))</f>
        <v/>
      </c>
      <c r="F819" s="21" t="str">
        <f t="shared" si="60"/>
        <v/>
      </c>
      <c r="G819" s="25" t="str">
        <f>IF(Receipts!$I822="","",Receipts!$I822)</f>
        <v/>
      </c>
      <c r="H819" s="25" t="str">
        <f>IF(Receipts!$H822="","",Receipts!$H822)</f>
        <v/>
      </c>
      <c r="I819" s="26" t="str">
        <f t="shared" ca="1" si="61"/>
        <v/>
      </c>
      <c r="J819" s="26" t="str">
        <f>IF($A819="","",COUNTIFS(tblReceipts[Item Name],$A819,tblReceipts[Expiry Date],"&lt;"&amp;$H819)+COUNTIFS(tblReceipts[Item Name],$A819,tblReceipts[Expiry Date],$H819,tblReceipts[Lot Number],"&lt;="&amp;Receipts!$C822))</f>
        <v/>
      </c>
      <c r="K819" s="26" t="str">
        <f>IF($A819="","",SUMIFS(tblReceipts[Qty Received],tblReceipts[Item Name],$A819,tblReceipts[Expiry Date],"&lt;"&amp;$H819)+SUMIFS(tblReceipts[Qty Received],tblReceipts[Item Name],$A819,tblReceipts[Expiry Date],$H819,tblReceipts[Lot Number],"&lt;"&amp;Receipts!$C822))</f>
        <v/>
      </c>
      <c r="L819" s="26" t="str">
        <f>IF($A819="","",MIN($D819,MAX(0,SUMIFS(tblIssues[Qty Issued],tblIssues[Item Name],$A819)-$K819)))</f>
        <v/>
      </c>
      <c r="M819" s="26" t="str">
        <f>IF($A819="","",SUMIFS(tblIssues[Qty Issued],tblIssues[Lot Number],$B819))</f>
        <v/>
      </c>
      <c r="N819" s="26" t="str">
        <f t="shared" si="62"/>
        <v/>
      </c>
      <c r="O819" s="26" t="str">
        <f t="shared" si="63"/>
        <v/>
      </c>
      <c r="P819" s="21" t="str">
        <f t="shared" si="64"/>
        <v/>
      </c>
      <c r="Q819" s="52" t="str">
        <f>IF($A819="","",IF($O819&lt;=0,"Depleted",IF($I819&lt;0,"EXPIRED",IF($I819&lt;=Settings!$C$6,"CRITICAL",IF($I819&lt;=Settings!$C$5,"Expiring","In date")))))</f>
        <v/>
      </c>
    </row>
    <row r="820" spans="1:17" x14ac:dyDescent="0.35">
      <c r="A820" s="90" t="str">
        <f>IF(Receipts!$D823="","",Receipts!$D823)</f>
        <v/>
      </c>
      <c r="B820" s="18" t="str">
        <f>IF(Receipts!$C823="","",Receipts!$C823)</f>
        <v/>
      </c>
      <c r="C820" s="18" t="str">
        <f>IF($A820="","",IFERROR(INDEX(Items!$B$5:$B$597,MATCH($A820,Items!$A$5:$A$597,0)),""))</f>
        <v/>
      </c>
      <c r="D820" s="23" t="str">
        <f>IF($A820="","",N(Receipts!$G823))</f>
        <v/>
      </c>
      <c r="E820" s="20" t="str">
        <f>IF($A820="","",IFERROR(INDEX(Items!$D$5:$D$597,MATCH($A820,Items!$A$5:$A$597,0)),0))</f>
        <v/>
      </c>
      <c r="F820" s="21" t="str">
        <f t="shared" si="60"/>
        <v/>
      </c>
      <c r="G820" s="25" t="str">
        <f>IF(Receipts!$I823="","",Receipts!$I823)</f>
        <v/>
      </c>
      <c r="H820" s="25" t="str">
        <f>IF(Receipts!$H823="","",Receipts!$H823)</f>
        <v/>
      </c>
      <c r="I820" s="26" t="str">
        <f t="shared" ca="1" si="61"/>
        <v/>
      </c>
      <c r="J820" s="26" t="str">
        <f>IF($A820="","",COUNTIFS(tblReceipts[Item Name],$A820,tblReceipts[Expiry Date],"&lt;"&amp;$H820)+COUNTIFS(tblReceipts[Item Name],$A820,tblReceipts[Expiry Date],$H820,tblReceipts[Lot Number],"&lt;="&amp;Receipts!$C823))</f>
        <v/>
      </c>
      <c r="K820" s="26" t="str">
        <f>IF($A820="","",SUMIFS(tblReceipts[Qty Received],tblReceipts[Item Name],$A820,tblReceipts[Expiry Date],"&lt;"&amp;$H820)+SUMIFS(tblReceipts[Qty Received],tblReceipts[Item Name],$A820,tblReceipts[Expiry Date],$H820,tblReceipts[Lot Number],"&lt;"&amp;Receipts!$C823))</f>
        <v/>
      </c>
      <c r="L820" s="26" t="str">
        <f>IF($A820="","",MIN($D820,MAX(0,SUMIFS(tblIssues[Qty Issued],tblIssues[Item Name],$A820)-$K820)))</f>
        <v/>
      </c>
      <c r="M820" s="26" t="str">
        <f>IF($A820="","",SUMIFS(tblIssues[Qty Issued],tblIssues[Lot Number],$B820))</f>
        <v/>
      </c>
      <c r="N820" s="26" t="str">
        <f t="shared" si="62"/>
        <v/>
      </c>
      <c r="O820" s="26" t="str">
        <f t="shared" si="63"/>
        <v/>
      </c>
      <c r="P820" s="21" t="str">
        <f t="shared" si="64"/>
        <v/>
      </c>
      <c r="Q820" s="52" t="str">
        <f>IF($A820="","",IF($O820&lt;=0,"Depleted",IF($I820&lt;0,"EXPIRED",IF($I820&lt;=Settings!$C$6,"CRITICAL",IF($I820&lt;=Settings!$C$5,"Expiring","In date")))))</f>
        <v/>
      </c>
    </row>
    <row r="821" spans="1:17" x14ac:dyDescent="0.35">
      <c r="A821" s="90" t="str">
        <f>IF(Receipts!$D824="","",Receipts!$D824)</f>
        <v/>
      </c>
      <c r="B821" s="18" t="str">
        <f>IF(Receipts!$C824="","",Receipts!$C824)</f>
        <v/>
      </c>
      <c r="C821" s="18" t="str">
        <f>IF($A821="","",IFERROR(INDEX(Items!$B$5:$B$597,MATCH($A821,Items!$A$5:$A$597,0)),""))</f>
        <v/>
      </c>
      <c r="D821" s="23" t="str">
        <f>IF($A821="","",N(Receipts!$G824))</f>
        <v/>
      </c>
      <c r="E821" s="20" t="str">
        <f>IF($A821="","",IFERROR(INDEX(Items!$D$5:$D$597,MATCH($A821,Items!$A$5:$A$597,0)),0))</f>
        <v/>
      </c>
      <c r="F821" s="21" t="str">
        <f t="shared" si="60"/>
        <v/>
      </c>
      <c r="G821" s="25" t="str">
        <f>IF(Receipts!$I824="","",Receipts!$I824)</f>
        <v/>
      </c>
      <c r="H821" s="25" t="str">
        <f>IF(Receipts!$H824="","",Receipts!$H824)</f>
        <v/>
      </c>
      <c r="I821" s="26" t="str">
        <f t="shared" ca="1" si="61"/>
        <v/>
      </c>
      <c r="J821" s="26" t="str">
        <f>IF($A821="","",COUNTIFS(tblReceipts[Item Name],$A821,tblReceipts[Expiry Date],"&lt;"&amp;$H821)+COUNTIFS(tblReceipts[Item Name],$A821,tblReceipts[Expiry Date],$H821,tblReceipts[Lot Number],"&lt;="&amp;Receipts!$C824))</f>
        <v/>
      </c>
      <c r="K821" s="26" t="str">
        <f>IF($A821="","",SUMIFS(tblReceipts[Qty Received],tblReceipts[Item Name],$A821,tblReceipts[Expiry Date],"&lt;"&amp;$H821)+SUMIFS(tblReceipts[Qty Received],tblReceipts[Item Name],$A821,tblReceipts[Expiry Date],$H821,tblReceipts[Lot Number],"&lt;"&amp;Receipts!$C824))</f>
        <v/>
      </c>
      <c r="L821" s="26" t="str">
        <f>IF($A821="","",MIN($D821,MAX(0,SUMIFS(tblIssues[Qty Issued],tblIssues[Item Name],$A821)-$K821)))</f>
        <v/>
      </c>
      <c r="M821" s="26" t="str">
        <f>IF($A821="","",SUMIFS(tblIssues[Qty Issued],tblIssues[Lot Number],$B821))</f>
        <v/>
      </c>
      <c r="N821" s="26" t="str">
        <f t="shared" si="62"/>
        <v/>
      </c>
      <c r="O821" s="26" t="str">
        <f t="shared" si="63"/>
        <v/>
      </c>
      <c r="P821" s="21" t="str">
        <f t="shared" si="64"/>
        <v/>
      </c>
      <c r="Q821" s="52" t="str">
        <f>IF($A821="","",IF($O821&lt;=0,"Depleted",IF($I821&lt;0,"EXPIRED",IF($I821&lt;=Settings!$C$6,"CRITICAL",IF($I821&lt;=Settings!$C$5,"Expiring","In date")))))</f>
        <v/>
      </c>
    </row>
    <row r="822" spans="1:17" x14ac:dyDescent="0.35">
      <c r="A822" s="90" t="str">
        <f>IF(Receipts!$D825="","",Receipts!$D825)</f>
        <v/>
      </c>
      <c r="B822" s="18" t="str">
        <f>IF(Receipts!$C825="","",Receipts!$C825)</f>
        <v/>
      </c>
      <c r="C822" s="18" t="str">
        <f>IF($A822="","",IFERROR(INDEX(Items!$B$5:$B$597,MATCH($A822,Items!$A$5:$A$597,0)),""))</f>
        <v/>
      </c>
      <c r="D822" s="23" t="str">
        <f>IF($A822="","",N(Receipts!$G825))</f>
        <v/>
      </c>
      <c r="E822" s="20" t="str">
        <f>IF($A822="","",IFERROR(INDEX(Items!$D$5:$D$597,MATCH($A822,Items!$A$5:$A$597,0)),0))</f>
        <v/>
      </c>
      <c r="F822" s="21" t="str">
        <f t="shared" si="60"/>
        <v/>
      </c>
      <c r="G822" s="25" t="str">
        <f>IF(Receipts!$I825="","",Receipts!$I825)</f>
        <v/>
      </c>
      <c r="H822" s="25" t="str">
        <f>IF(Receipts!$H825="","",Receipts!$H825)</f>
        <v/>
      </c>
      <c r="I822" s="26" t="str">
        <f t="shared" ca="1" si="61"/>
        <v/>
      </c>
      <c r="J822" s="26" t="str">
        <f>IF($A822="","",COUNTIFS(tblReceipts[Item Name],$A822,tblReceipts[Expiry Date],"&lt;"&amp;$H822)+COUNTIFS(tblReceipts[Item Name],$A822,tblReceipts[Expiry Date],$H822,tblReceipts[Lot Number],"&lt;="&amp;Receipts!$C825))</f>
        <v/>
      </c>
      <c r="K822" s="26" t="str">
        <f>IF($A822="","",SUMIFS(tblReceipts[Qty Received],tblReceipts[Item Name],$A822,tblReceipts[Expiry Date],"&lt;"&amp;$H822)+SUMIFS(tblReceipts[Qty Received],tblReceipts[Item Name],$A822,tblReceipts[Expiry Date],$H822,tblReceipts[Lot Number],"&lt;"&amp;Receipts!$C825))</f>
        <v/>
      </c>
      <c r="L822" s="26" t="str">
        <f>IF($A822="","",MIN($D822,MAX(0,SUMIFS(tblIssues[Qty Issued],tblIssues[Item Name],$A822)-$K822)))</f>
        <v/>
      </c>
      <c r="M822" s="26" t="str">
        <f>IF($A822="","",SUMIFS(tblIssues[Qty Issued],tblIssues[Lot Number],$B822))</f>
        <v/>
      </c>
      <c r="N822" s="26" t="str">
        <f t="shared" si="62"/>
        <v/>
      </c>
      <c r="O822" s="26" t="str">
        <f t="shared" si="63"/>
        <v/>
      </c>
      <c r="P822" s="21" t="str">
        <f t="shared" si="64"/>
        <v/>
      </c>
      <c r="Q822" s="52" t="str">
        <f>IF($A822="","",IF($O822&lt;=0,"Depleted",IF($I822&lt;0,"EXPIRED",IF($I822&lt;=Settings!$C$6,"CRITICAL",IF($I822&lt;=Settings!$C$5,"Expiring","In date")))))</f>
        <v/>
      </c>
    </row>
    <row r="823" spans="1:17" x14ac:dyDescent="0.35">
      <c r="A823" s="90" t="str">
        <f>IF(Receipts!$D826="","",Receipts!$D826)</f>
        <v/>
      </c>
      <c r="B823" s="18" t="str">
        <f>IF(Receipts!$C826="","",Receipts!$C826)</f>
        <v/>
      </c>
      <c r="C823" s="18" t="str">
        <f>IF($A823="","",IFERROR(INDEX(Items!$B$5:$B$597,MATCH($A823,Items!$A$5:$A$597,0)),""))</f>
        <v/>
      </c>
      <c r="D823" s="23" t="str">
        <f>IF($A823="","",N(Receipts!$G826))</f>
        <v/>
      </c>
      <c r="E823" s="20" t="str">
        <f>IF($A823="","",IFERROR(INDEX(Items!$D$5:$D$597,MATCH($A823,Items!$A$5:$A$597,0)),0))</f>
        <v/>
      </c>
      <c r="F823" s="21" t="str">
        <f t="shared" si="60"/>
        <v/>
      </c>
      <c r="G823" s="25" t="str">
        <f>IF(Receipts!$I826="","",Receipts!$I826)</f>
        <v/>
      </c>
      <c r="H823" s="25" t="str">
        <f>IF(Receipts!$H826="","",Receipts!$H826)</f>
        <v/>
      </c>
      <c r="I823" s="26" t="str">
        <f t="shared" ca="1" si="61"/>
        <v/>
      </c>
      <c r="J823" s="26" t="str">
        <f>IF($A823="","",COUNTIFS(tblReceipts[Item Name],$A823,tblReceipts[Expiry Date],"&lt;"&amp;$H823)+COUNTIFS(tblReceipts[Item Name],$A823,tblReceipts[Expiry Date],$H823,tblReceipts[Lot Number],"&lt;="&amp;Receipts!$C826))</f>
        <v/>
      </c>
      <c r="K823" s="26" t="str">
        <f>IF($A823="","",SUMIFS(tblReceipts[Qty Received],tblReceipts[Item Name],$A823,tblReceipts[Expiry Date],"&lt;"&amp;$H823)+SUMIFS(tblReceipts[Qty Received],tblReceipts[Item Name],$A823,tblReceipts[Expiry Date],$H823,tblReceipts[Lot Number],"&lt;"&amp;Receipts!$C826))</f>
        <v/>
      </c>
      <c r="L823" s="26" t="str">
        <f>IF($A823="","",MIN($D823,MAX(0,SUMIFS(tblIssues[Qty Issued],tblIssues[Item Name],$A823)-$K823)))</f>
        <v/>
      </c>
      <c r="M823" s="26" t="str">
        <f>IF($A823="","",SUMIFS(tblIssues[Qty Issued],tblIssues[Lot Number],$B823))</f>
        <v/>
      </c>
      <c r="N823" s="26" t="str">
        <f t="shared" si="62"/>
        <v/>
      </c>
      <c r="O823" s="26" t="str">
        <f t="shared" si="63"/>
        <v/>
      </c>
      <c r="P823" s="21" t="str">
        <f t="shared" si="64"/>
        <v/>
      </c>
      <c r="Q823" s="52" t="str">
        <f>IF($A823="","",IF($O823&lt;=0,"Depleted",IF($I823&lt;0,"EXPIRED",IF($I823&lt;=Settings!$C$6,"CRITICAL",IF($I823&lt;=Settings!$C$5,"Expiring","In date")))))</f>
        <v/>
      </c>
    </row>
    <row r="824" spans="1:17" x14ac:dyDescent="0.35">
      <c r="A824" s="90" t="str">
        <f>IF(Receipts!$D827="","",Receipts!$D827)</f>
        <v/>
      </c>
      <c r="B824" s="18" t="str">
        <f>IF(Receipts!$C827="","",Receipts!$C827)</f>
        <v/>
      </c>
      <c r="C824" s="18" t="str">
        <f>IF($A824="","",IFERROR(INDEX(Items!$B$5:$B$597,MATCH($A824,Items!$A$5:$A$597,0)),""))</f>
        <v/>
      </c>
      <c r="D824" s="23" t="str">
        <f>IF($A824="","",N(Receipts!$G827))</f>
        <v/>
      </c>
      <c r="E824" s="20" t="str">
        <f>IF($A824="","",IFERROR(INDEX(Items!$D$5:$D$597,MATCH($A824,Items!$A$5:$A$597,0)),0))</f>
        <v/>
      </c>
      <c r="F824" s="21" t="str">
        <f t="shared" si="60"/>
        <v/>
      </c>
      <c r="G824" s="25" t="str">
        <f>IF(Receipts!$I827="","",Receipts!$I827)</f>
        <v/>
      </c>
      <c r="H824" s="25" t="str">
        <f>IF(Receipts!$H827="","",Receipts!$H827)</f>
        <v/>
      </c>
      <c r="I824" s="26" t="str">
        <f t="shared" ca="1" si="61"/>
        <v/>
      </c>
      <c r="J824" s="26" t="str">
        <f>IF($A824="","",COUNTIFS(tblReceipts[Item Name],$A824,tblReceipts[Expiry Date],"&lt;"&amp;$H824)+COUNTIFS(tblReceipts[Item Name],$A824,tblReceipts[Expiry Date],$H824,tblReceipts[Lot Number],"&lt;="&amp;Receipts!$C827))</f>
        <v/>
      </c>
      <c r="K824" s="26" t="str">
        <f>IF($A824="","",SUMIFS(tblReceipts[Qty Received],tblReceipts[Item Name],$A824,tblReceipts[Expiry Date],"&lt;"&amp;$H824)+SUMIFS(tblReceipts[Qty Received],tblReceipts[Item Name],$A824,tblReceipts[Expiry Date],$H824,tblReceipts[Lot Number],"&lt;"&amp;Receipts!$C827))</f>
        <v/>
      </c>
      <c r="L824" s="26" t="str">
        <f>IF($A824="","",MIN($D824,MAX(0,SUMIFS(tblIssues[Qty Issued],tblIssues[Item Name],$A824)-$K824)))</f>
        <v/>
      </c>
      <c r="M824" s="26" t="str">
        <f>IF($A824="","",SUMIFS(tblIssues[Qty Issued],tblIssues[Lot Number],$B824))</f>
        <v/>
      </c>
      <c r="N824" s="26" t="str">
        <f t="shared" si="62"/>
        <v/>
      </c>
      <c r="O824" s="26" t="str">
        <f t="shared" si="63"/>
        <v/>
      </c>
      <c r="P824" s="21" t="str">
        <f t="shared" si="64"/>
        <v/>
      </c>
      <c r="Q824" s="52" t="str">
        <f>IF($A824="","",IF($O824&lt;=0,"Depleted",IF($I824&lt;0,"EXPIRED",IF($I824&lt;=Settings!$C$6,"CRITICAL",IF($I824&lt;=Settings!$C$5,"Expiring","In date")))))</f>
        <v/>
      </c>
    </row>
    <row r="825" spans="1:17" x14ac:dyDescent="0.35">
      <c r="A825" s="90" t="str">
        <f>IF(Receipts!$D828="","",Receipts!$D828)</f>
        <v/>
      </c>
      <c r="B825" s="18" t="str">
        <f>IF(Receipts!$C828="","",Receipts!$C828)</f>
        <v/>
      </c>
      <c r="C825" s="18" t="str">
        <f>IF($A825="","",IFERROR(INDEX(Items!$B$5:$B$597,MATCH($A825,Items!$A$5:$A$597,0)),""))</f>
        <v/>
      </c>
      <c r="D825" s="23" t="str">
        <f>IF($A825="","",N(Receipts!$G828))</f>
        <v/>
      </c>
      <c r="E825" s="20" t="str">
        <f>IF($A825="","",IFERROR(INDEX(Items!$D$5:$D$597,MATCH($A825,Items!$A$5:$A$597,0)),0))</f>
        <v/>
      </c>
      <c r="F825" s="21" t="str">
        <f t="shared" si="60"/>
        <v/>
      </c>
      <c r="G825" s="25" t="str">
        <f>IF(Receipts!$I828="","",Receipts!$I828)</f>
        <v/>
      </c>
      <c r="H825" s="25" t="str">
        <f>IF(Receipts!$H828="","",Receipts!$H828)</f>
        <v/>
      </c>
      <c r="I825" s="26" t="str">
        <f t="shared" ca="1" si="61"/>
        <v/>
      </c>
      <c r="J825" s="26" t="str">
        <f>IF($A825="","",COUNTIFS(tblReceipts[Item Name],$A825,tblReceipts[Expiry Date],"&lt;"&amp;$H825)+COUNTIFS(tblReceipts[Item Name],$A825,tblReceipts[Expiry Date],$H825,tblReceipts[Lot Number],"&lt;="&amp;Receipts!$C828))</f>
        <v/>
      </c>
      <c r="K825" s="26" t="str">
        <f>IF($A825="","",SUMIFS(tblReceipts[Qty Received],tblReceipts[Item Name],$A825,tblReceipts[Expiry Date],"&lt;"&amp;$H825)+SUMIFS(tblReceipts[Qty Received],tblReceipts[Item Name],$A825,tblReceipts[Expiry Date],$H825,tblReceipts[Lot Number],"&lt;"&amp;Receipts!$C828))</f>
        <v/>
      </c>
      <c r="L825" s="26" t="str">
        <f>IF($A825="","",MIN($D825,MAX(0,SUMIFS(tblIssues[Qty Issued],tblIssues[Item Name],$A825)-$K825)))</f>
        <v/>
      </c>
      <c r="M825" s="26" t="str">
        <f>IF($A825="","",SUMIFS(tblIssues[Qty Issued],tblIssues[Lot Number],$B825))</f>
        <v/>
      </c>
      <c r="N825" s="26" t="str">
        <f t="shared" si="62"/>
        <v/>
      </c>
      <c r="O825" s="26" t="str">
        <f t="shared" si="63"/>
        <v/>
      </c>
      <c r="P825" s="21" t="str">
        <f t="shared" si="64"/>
        <v/>
      </c>
      <c r="Q825" s="52" t="str">
        <f>IF($A825="","",IF($O825&lt;=0,"Depleted",IF($I825&lt;0,"EXPIRED",IF($I825&lt;=Settings!$C$6,"CRITICAL",IF($I825&lt;=Settings!$C$5,"Expiring","In date")))))</f>
        <v/>
      </c>
    </row>
    <row r="826" spans="1:17" x14ac:dyDescent="0.35">
      <c r="A826" s="90" t="str">
        <f>IF(Receipts!$D829="","",Receipts!$D829)</f>
        <v/>
      </c>
      <c r="B826" s="18" t="str">
        <f>IF(Receipts!$C829="","",Receipts!$C829)</f>
        <v/>
      </c>
      <c r="C826" s="18" t="str">
        <f>IF($A826="","",IFERROR(INDEX(Items!$B$5:$B$597,MATCH($A826,Items!$A$5:$A$597,0)),""))</f>
        <v/>
      </c>
      <c r="D826" s="23" t="str">
        <f>IF($A826="","",N(Receipts!$G829))</f>
        <v/>
      </c>
      <c r="E826" s="20" t="str">
        <f>IF($A826="","",IFERROR(INDEX(Items!$D$5:$D$597,MATCH($A826,Items!$A$5:$A$597,0)),0))</f>
        <v/>
      </c>
      <c r="F826" s="21" t="str">
        <f t="shared" si="60"/>
        <v/>
      </c>
      <c r="G826" s="25" t="str">
        <f>IF(Receipts!$I829="","",Receipts!$I829)</f>
        <v/>
      </c>
      <c r="H826" s="25" t="str">
        <f>IF(Receipts!$H829="","",Receipts!$H829)</f>
        <v/>
      </c>
      <c r="I826" s="26" t="str">
        <f t="shared" ca="1" si="61"/>
        <v/>
      </c>
      <c r="J826" s="26" t="str">
        <f>IF($A826="","",COUNTIFS(tblReceipts[Item Name],$A826,tblReceipts[Expiry Date],"&lt;"&amp;$H826)+COUNTIFS(tblReceipts[Item Name],$A826,tblReceipts[Expiry Date],$H826,tblReceipts[Lot Number],"&lt;="&amp;Receipts!$C829))</f>
        <v/>
      </c>
      <c r="K826" s="26" t="str">
        <f>IF($A826="","",SUMIFS(tblReceipts[Qty Received],tblReceipts[Item Name],$A826,tblReceipts[Expiry Date],"&lt;"&amp;$H826)+SUMIFS(tblReceipts[Qty Received],tblReceipts[Item Name],$A826,tblReceipts[Expiry Date],$H826,tblReceipts[Lot Number],"&lt;"&amp;Receipts!$C829))</f>
        <v/>
      </c>
      <c r="L826" s="26" t="str">
        <f>IF($A826="","",MIN($D826,MAX(0,SUMIFS(tblIssues[Qty Issued],tblIssues[Item Name],$A826)-$K826)))</f>
        <v/>
      </c>
      <c r="M826" s="26" t="str">
        <f>IF($A826="","",SUMIFS(tblIssues[Qty Issued],tblIssues[Lot Number],$B826))</f>
        <v/>
      </c>
      <c r="N826" s="26" t="str">
        <f t="shared" si="62"/>
        <v/>
      </c>
      <c r="O826" s="26" t="str">
        <f t="shared" si="63"/>
        <v/>
      </c>
      <c r="P826" s="21" t="str">
        <f t="shared" si="64"/>
        <v/>
      </c>
      <c r="Q826" s="52" t="str">
        <f>IF($A826="","",IF($O826&lt;=0,"Depleted",IF($I826&lt;0,"EXPIRED",IF($I826&lt;=Settings!$C$6,"CRITICAL",IF($I826&lt;=Settings!$C$5,"Expiring","In date")))))</f>
        <v/>
      </c>
    </row>
    <row r="827" spans="1:17" x14ac:dyDescent="0.35">
      <c r="A827" s="90" t="str">
        <f>IF(Receipts!$D830="","",Receipts!$D830)</f>
        <v/>
      </c>
      <c r="B827" s="18" t="str">
        <f>IF(Receipts!$C830="","",Receipts!$C830)</f>
        <v/>
      </c>
      <c r="C827" s="18" t="str">
        <f>IF($A827="","",IFERROR(INDEX(Items!$B$5:$B$597,MATCH($A827,Items!$A$5:$A$597,0)),""))</f>
        <v/>
      </c>
      <c r="D827" s="23" t="str">
        <f>IF($A827="","",N(Receipts!$G830))</f>
        <v/>
      </c>
      <c r="E827" s="20" t="str">
        <f>IF($A827="","",IFERROR(INDEX(Items!$D$5:$D$597,MATCH($A827,Items!$A$5:$A$597,0)),0))</f>
        <v/>
      </c>
      <c r="F827" s="21" t="str">
        <f t="shared" si="60"/>
        <v/>
      </c>
      <c r="G827" s="25" t="str">
        <f>IF(Receipts!$I830="","",Receipts!$I830)</f>
        <v/>
      </c>
      <c r="H827" s="25" t="str">
        <f>IF(Receipts!$H830="","",Receipts!$H830)</f>
        <v/>
      </c>
      <c r="I827" s="26" t="str">
        <f t="shared" ca="1" si="61"/>
        <v/>
      </c>
      <c r="J827" s="26" t="str">
        <f>IF($A827="","",COUNTIFS(tblReceipts[Item Name],$A827,tblReceipts[Expiry Date],"&lt;"&amp;$H827)+COUNTIFS(tblReceipts[Item Name],$A827,tblReceipts[Expiry Date],$H827,tblReceipts[Lot Number],"&lt;="&amp;Receipts!$C830))</f>
        <v/>
      </c>
      <c r="K827" s="26" t="str">
        <f>IF($A827="","",SUMIFS(tblReceipts[Qty Received],tblReceipts[Item Name],$A827,tblReceipts[Expiry Date],"&lt;"&amp;$H827)+SUMIFS(tblReceipts[Qty Received],tblReceipts[Item Name],$A827,tblReceipts[Expiry Date],$H827,tblReceipts[Lot Number],"&lt;"&amp;Receipts!$C830))</f>
        <v/>
      </c>
      <c r="L827" s="26" t="str">
        <f>IF($A827="","",MIN($D827,MAX(0,SUMIFS(tblIssues[Qty Issued],tblIssues[Item Name],$A827)-$K827)))</f>
        <v/>
      </c>
      <c r="M827" s="26" t="str">
        <f>IF($A827="","",SUMIFS(tblIssues[Qty Issued],tblIssues[Lot Number],$B827))</f>
        <v/>
      </c>
      <c r="N827" s="26" t="str">
        <f t="shared" si="62"/>
        <v/>
      </c>
      <c r="O827" s="26" t="str">
        <f t="shared" si="63"/>
        <v/>
      </c>
      <c r="P827" s="21" t="str">
        <f t="shared" si="64"/>
        <v/>
      </c>
      <c r="Q827" s="52" t="str">
        <f>IF($A827="","",IF($O827&lt;=0,"Depleted",IF($I827&lt;0,"EXPIRED",IF($I827&lt;=Settings!$C$6,"CRITICAL",IF($I827&lt;=Settings!$C$5,"Expiring","In date")))))</f>
        <v/>
      </c>
    </row>
    <row r="828" spans="1:17" x14ac:dyDescent="0.35">
      <c r="A828" s="90" t="str">
        <f>IF(Receipts!$D831="","",Receipts!$D831)</f>
        <v/>
      </c>
      <c r="B828" s="18" t="str">
        <f>IF(Receipts!$C831="","",Receipts!$C831)</f>
        <v/>
      </c>
      <c r="C828" s="18" t="str">
        <f>IF($A828="","",IFERROR(INDEX(Items!$B$5:$B$597,MATCH($A828,Items!$A$5:$A$597,0)),""))</f>
        <v/>
      </c>
      <c r="D828" s="23" t="str">
        <f>IF($A828="","",N(Receipts!$G831))</f>
        <v/>
      </c>
      <c r="E828" s="20" t="str">
        <f>IF($A828="","",IFERROR(INDEX(Items!$D$5:$D$597,MATCH($A828,Items!$A$5:$A$597,0)),0))</f>
        <v/>
      </c>
      <c r="F828" s="21" t="str">
        <f t="shared" si="60"/>
        <v/>
      </c>
      <c r="G828" s="25" t="str">
        <f>IF(Receipts!$I831="","",Receipts!$I831)</f>
        <v/>
      </c>
      <c r="H828" s="25" t="str">
        <f>IF(Receipts!$H831="","",Receipts!$H831)</f>
        <v/>
      </c>
      <c r="I828" s="26" t="str">
        <f t="shared" ca="1" si="61"/>
        <v/>
      </c>
      <c r="J828" s="26" t="str">
        <f>IF($A828="","",COUNTIFS(tblReceipts[Item Name],$A828,tblReceipts[Expiry Date],"&lt;"&amp;$H828)+COUNTIFS(tblReceipts[Item Name],$A828,tblReceipts[Expiry Date],$H828,tblReceipts[Lot Number],"&lt;="&amp;Receipts!$C831))</f>
        <v/>
      </c>
      <c r="K828" s="26" t="str">
        <f>IF($A828="","",SUMIFS(tblReceipts[Qty Received],tblReceipts[Item Name],$A828,tblReceipts[Expiry Date],"&lt;"&amp;$H828)+SUMIFS(tblReceipts[Qty Received],tblReceipts[Item Name],$A828,tblReceipts[Expiry Date],$H828,tblReceipts[Lot Number],"&lt;"&amp;Receipts!$C831))</f>
        <v/>
      </c>
      <c r="L828" s="26" t="str">
        <f>IF($A828="","",MIN($D828,MAX(0,SUMIFS(tblIssues[Qty Issued],tblIssues[Item Name],$A828)-$K828)))</f>
        <v/>
      </c>
      <c r="M828" s="26" t="str">
        <f>IF($A828="","",SUMIFS(tblIssues[Qty Issued],tblIssues[Lot Number],$B828))</f>
        <v/>
      </c>
      <c r="N828" s="26" t="str">
        <f t="shared" si="62"/>
        <v/>
      </c>
      <c r="O828" s="26" t="str">
        <f t="shared" si="63"/>
        <v/>
      </c>
      <c r="P828" s="21" t="str">
        <f t="shared" si="64"/>
        <v/>
      </c>
      <c r="Q828" s="52" t="str">
        <f>IF($A828="","",IF($O828&lt;=0,"Depleted",IF($I828&lt;0,"EXPIRED",IF($I828&lt;=Settings!$C$6,"CRITICAL",IF($I828&lt;=Settings!$C$5,"Expiring","In date")))))</f>
        <v/>
      </c>
    </row>
    <row r="829" spans="1:17" x14ac:dyDescent="0.35">
      <c r="A829" s="90" t="str">
        <f>IF(Receipts!$D832="","",Receipts!$D832)</f>
        <v/>
      </c>
      <c r="B829" s="18" t="str">
        <f>IF(Receipts!$C832="","",Receipts!$C832)</f>
        <v/>
      </c>
      <c r="C829" s="18" t="str">
        <f>IF($A829="","",IFERROR(INDEX(Items!$B$5:$B$597,MATCH($A829,Items!$A$5:$A$597,0)),""))</f>
        <v/>
      </c>
      <c r="D829" s="23" t="str">
        <f>IF($A829="","",N(Receipts!$G832))</f>
        <v/>
      </c>
      <c r="E829" s="20" t="str">
        <f>IF($A829="","",IFERROR(INDEX(Items!$D$5:$D$597,MATCH($A829,Items!$A$5:$A$597,0)),0))</f>
        <v/>
      </c>
      <c r="F829" s="21" t="str">
        <f t="shared" si="60"/>
        <v/>
      </c>
      <c r="G829" s="25" t="str">
        <f>IF(Receipts!$I832="","",Receipts!$I832)</f>
        <v/>
      </c>
      <c r="H829" s="25" t="str">
        <f>IF(Receipts!$H832="","",Receipts!$H832)</f>
        <v/>
      </c>
      <c r="I829" s="26" t="str">
        <f t="shared" ca="1" si="61"/>
        <v/>
      </c>
      <c r="J829" s="26" t="str">
        <f>IF($A829="","",COUNTIFS(tblReceipts[Item Name],$A829,tblReceipts[Expiry Date],"&lt;"&amp;$H829)+COUNTIFS(tblReceipts[Item Name],$A829,tblReceipts[Expiry Date],$H829,tblReceipts[Lot Number],"&lt;="&amp;Receipts!$C832))</f>
        <v/>
      </c>
      <c r="K829" s="26" t="str">
        <f>IF($A829="","",SUMIFS(tblReceipts[Qty Received],tblReceipts[Item Name],$A829,tblReceipts[Expiry Date],"&lt;"&amp;$H829)+SUMIFS(tblReceipts[Qty Received],tblReceipts[Item Name],$A829,tblReceipts[Expiry Date],$H829,tblReceipts[Lot Number],"&lt;"&amp;Receipts!$C832))</f>
        <v/>
      </c>
      <c r="L829" s="26" t="str">
        <f>IF($A829="","",MIN($D829,MAX(0,SUMIFS(tblIssues[Qty Issued],tblIssues[Item Name],$A829)-$K829)))</f>
        <v/>
      </c>
      <c r="M829" s="26" t="str">
        <f>IF($A829="","",SUMIFS(tblIssues[Qty Issued],tblIssues[Lot Number],$B829))</f>
        <v/>
      </c>
      <c r="N829" s="26" t="str">
        <f t="shared" si="62"/>
        <v/>
      </c>
      <c r="O829" s="26" t="str">
        <f t="shared" si="63"/>
        <v/>
      </c>
      <c r="P829" s="21" t="str">
        <f t="shared" si="64"/>
        <v/>
      </c>
      <c r="Q829" s="52" t="str">
        <f>IF($A829="","",IF($O829&lt;=0,"Depleted",IF($I829&lt;0,"EXPIRED",IF($I829&lt;=Settings!$C$6,"CRITICAL",IF($I829&lt;=Settings!$C$5,"Expiring","In date")))))</f>
        <v/>
      </c>
    </row>
    <row r="830" spans="1:17" x14ac:dyDescent="0.35">
      <c r="A830" s="90" t="str">
        <f>IF(Receipts!$D833="","",Receipts!$D833)</f>
        <v/>
      </c>
      <c r="B830" s="18" t="str">
        <f>IF(Receipts!$C833="","",Receipts!$C833)</f>
        <v/>
      </c>
      <c r="C830" s="18" t="str">
        <f>IF($A830="","",IFERROR(INDEX(Items!$B$5:$B$597,MATCH($A830,Items!$A$5:$A$597,0)),""))</f>
        <v/>
      </c>
      <c r="D830" s="23" t="str">
        <f>IF($A830="","",N(Receipts!$G833))</f>
        <v/>
      </c>
      <c r="E830" s="20" t="str">
        <f>IF($A830="","",IFERROR(INDEX(Items!$D$5:$D$597,MATCH($A830,Items!$A$5:$A$597,0)),0))</f>
        <v/>
      </c>
      <c r="F830" s="21" t="str">
        <f t="shared" si="60"/>
        <v/>
      </c>
      <c r="G830" s="25" t="str">
        <f>IF(Receipts!$I833="","",Receipts!$I833)</f>
        <v/>
      </c>
      <c r="H830" s="25" t="str">
        <f>IF(Receipts!$H833="","",Receipts!$H833)</f>
        <v/>
      </c>
      <c r="I830" s="26" t="str">
        <f t="shared" ca="1" si="61"/>
        <v/>
      </c>
      <c r="J830" s="26" t="str">
        <f>IF($A830="","",COUNTIFS(tblReceipts[Item Name],$A830,tblReceipts[Expiry Date],"&lt;"&amp;$H830)+COUNTIFS(tblReceipts[Item Name],$A830,tblReceipts[Expiry Date],$H830,tblReceipts[Lot Number],"&lt;="&amp;Receipts!$C833))</f>
        <v/>
      </c>
      <c r="K830" s="26" t="str">
        <f>IF($A830="","",SUMIFS(tblReceipts[Qty Received],tblReceipts[Item Name],$A830,tblReceipts[Expiry Date],"&lt;"&amp;$H830)+SUMIFS(tblReceipts[Qty Received],tblReceipts[Item Name],$A830,tblReceipts[Expiry Date],$H830,tblReceipts[Lot Number],"&lt;"&amp;Receipts!$C833))</f>
        <v/>
      </c>
      <c r="L830" s="26" t="str">
        <f>IF($A830="","",MIN($D830,MAX(0,SUMIFS(tblIssues[Qty Issued],tblIssues[Item Name],$A830)-$K830)))</f>
        <v/>
      </c>
      <c r="M830" s="26" t="str">
        <f>IF($A830="","",SUMIFS(tblIssues[Qty Issued],tblIssues[Lot Number],$B830))</f>
        <v/>
      </c>
      <c r="N830" s="26" t="str">
        <f t="shared" si="62"/>
        <v/>
      </c>
      <c r="O830" s="26" t="str">
        <f t="shared" si="63"/>
        <v/>
      </c>
      <c r="P830" s="21" t="str">
        <f t="shared" si="64"/>
        <v/>
      </c>
      <c r="Q830" s="52" t="str">
        <f>IF($A830="","",IF($O830&lt;=0,"Depleted",IF($I830&lt;0,"EXPIRED",IF($I830&lt;=Settings!$C$6,"CRITICAL",IF($I830&lt;=Settings!$C$5,"Expiring","In date")))))</f>
        <v/>
      </c>
    </row>
    <row r="831" spans="1:17" x14ac:dyDescent="0.35">
      <c r="A831" s="90" t="str">
        <f>IF(Receipts!$D834="","",Receipts!$D834)</f>
        <v/>
      </c>
      <c r="B831" s="18" t="str">
        <f>IF(Receipts!$C834="","",Receipts!$C834)</f>
        <v/>
      </c>
      <c r="C831" s="18" t="str">
        <f>IF($A831="","",IFERROR(INDEX(Items!$B$5:$B$597,MATCH($A831,Items!$A$5:$A$597,0)),""))</f>
        <v/>
      </c>
      <c r="D831" s="23" t="str">
        <f>IF($A831="","",N(Receipts!$G834))</f>
        <v/>
      </c>
      <c r="E831" s="20" t="str">
        <f>IF($A831="","",IFERROR(INDEX(Items!$D$5:$D$597,MATCH($A831,Items!$A$5:$A$597,0)),0))</f>
        <v/>
      </c>
      <c r="F831" s="21" t="str">
        <f t="shared" si="60"/>
        <v/>
      </c>
      <c r="G831" s="25" t="str">
        <f>IF(Receipts!$I834="","",Receipts!$I834)</f>
        <v/>
      </c>
      <c r="H831" s="25" t="str">
        <f>IF(Receipts!$H834="","",Receipts!$H834)</f>
        <v/>
      </c>
      <c r="I831" s="26" t="str">
        <f t="shared" ca="1" si="61"/>
        <v/>
      </c>
      <c r="J831" s="26" t="str">
        <f>IF($A831="","",COUNTIFS(tblReceipts[Item Name],$A831,tblReceipts[Expiry Date],"&lt;"&amp;$H831)+COUNTIFS(tblReceipts[Item Name],$A831,tblReceipts[Expiry Date],$H831,tblReceipts[Lot Number],"&lt;="&amp;Receipts!$C834))</f>
        <v/>
      </c>
      <c r="K831" s="26" t="str">
        <f>IF($A831="","",SUMIFS(tblReceipts[Qty Received],tblReceipts[Item Name],$A831,tblReceipts[Expiry Date],"&lt;"&amp;$H831)+SUMIFS(tblReceipts[Qty Received],tblReceipts[Item Name],$A831,tblReceipts[Expiry Date],$H831,tblReceipts[Lot Number],"&lt;"&amp;Receipts!$C834))</f>
        <v/>
      </c>
      <c r="L831" s="26" t="str">
        <f>IF($A831="","",MIN($D831,MAX(0,SUMIFS(tblIssues[Qty Issued],tblIssues[Item Name],$A831)-$K831)))</f>
        <v/>
      </c>
      <c r="M831" s="26" t="str">
        <f>IF($A831="","",SUMIFS(tblIssues[Qty Issued],tblIssues[Lot Number],$B831))</f>
        <v/>
      </c>
      <c r="N831" s="26" t="str">
        <f t="shared" si="62"/>
        <v/>
      </c>
      <c r="O831" s="26" t="str">
        <f t="shared" si="63"/>
        <v/>
      </c>
      <c r="P831" s="21" t="str">
        <f t="shared" si="64"/>
        <v/>
      </c>
      <c r="Q831" s="52" t="str">
        <f>IF($A831="","",IF($O831&lt;=0,"Depleted",IF($I831&lt;0,"EXPIRED",IF($I831&lt;=Settings!$C$6,"CRITICAL",IF($I831&lt;=Settings!$C$5,"Expiring","In date")))))</f>
        <v/>
      </c>
    </row>
    <row r="832" spans="1:17" x14ac:dyDescent="0.35">
      <c r="A832" s="90" t="str">
        <f>IF(Receipts!$D835="","",Receipts!$D835)</f>
        <v/>
      </c>
      <c r="B832" s="18" t="str">
        <f>IF(Receipts!$C835="","",Receipts!$C835)</f>
        <v/>
      </c>
      <c r="C832" s="18" t="str">
        <f>IF($A832="","",IFERROR(INDEX(Items!$B$5:$B$597,MATCH($A832,Items!$A$5:$A$597,0)),""))</f>
        <v/>
      </c>
      <c r="D832" s="23" t="str">
        <f>IF($A832="","",N(Receipts!$G835))</f>
        <v/>
      </c>
      <c r="E832" s="20" t="str">
        <f>IF($A832="","",IFERROR(INDEX(Items!$D$5:$D$597,MATCH($A832,Items!$A$5:$A$597,0)),0))</f>
        <v/>
      </c>
      <c r="F832" s="21" t="str">
        <f t="shared" si="60"/>
        <v/>
      </c>
      <c r="G832" s="25" t="str">
        <f>IF(Receipts!$I835="","",Receipts!$I835)</f>
        <v/>
      </c>
      <c r="H832" s="25" t="str">
        <f>IF(Receipts!$H835="","",Receipts!$H835)</f>
        <v/>
      </c>
      <c r="I832" s="26" t="str">
        <f t="shared" ca="1" si="61"/>
        <v/>
      </c>
      <c r="J832" s="26" t="str">
        <f>IF($A832="","",COUNTIFS(tblReceipts[Item Name],$A832,tblReceipts[Expiry Date],"&lt;"&amp;$H832)+COUNTIFS(tblReceipts[Item Name],$A832,tblReceipts[Expiry Date],$H832,tblReceipts[Lot Number],"&lt;="&amp;Receipts!$C835))</f>
        <v/>
      </c>
      <c r="K832" s="26" t="str">
        <f>IF($A832="","",SUMIFS(tblReceipts[Qty Received],tblReceipts[Item Name],$A832,tblReceipts[Expiry Date],"&lt;"&amp;$H832)+SUMIFS(tblReceipts[Qty Received],tblReceipts[Item Name],$A832,tblReceipts[Expiry Date],$H832,tblReceipts[Lot Number],"&lt;"&amp;Receipts!$C835))</f>
        <v/>
      </c>
      <c r="L832" s="26" t="str">
        <f>IF($A832="","",MIN($D832,MAX(0,SUMIFS(tblIssues[Qty Issued],tblIssues[Item Name],$A832)-$K832)))</f>
        <v/>
      </c>
      <c r="M832" s="26" t="str">
        <f>IF($A832="","",SUMIFS(tblIssues[Qty Issued],tblIssues[Lot Number],$B832))</f>
        <v/>
      </c>
      <c r="N832" s="26" t="str">
        <f t="shared" si="62"/>
        <v/>
      </c>
      <c r="O832" s="26" t="str">
        <f t="shared" si="63"/>
        <v/>
      </c>
      <c r="P832" s="21" t="str">
        <f t="shared" si="64"/>
        <v/>
      </c>
      <c r="Q832" s="52" t="str">
        <f>IF($A832="","",IF($O832&lt;=0,"Depleted",IF($I832&lt;0,"EXPIRED",IF($I832&lt;=Settings!$C$6,"CRITICAL",IF($I832&lt;=Settings!$C$5,"Expiring","In date")))))</f>
        <v/>
      </c>
    </row>
    <row r="833" spans="1:17" x14ac:dyDescent="0.35">
      <c r="A833" s="90" t="str">
        <f>IF(Receipts!$D836="","",Receipts!$D836)</f>
        <v/>
      </c>
      <c r="B833" s="18" t="str">
        <f>IF(Receipts!$C836="","",Receipts!$C836)</f>
        <v/>
      </c>
      <c r="C833" s="18" t="str">
        <f>IF($A833="","",IFERROR(INDEX(Items!$B$5:$B$597,MATCH($A833,Items!$A$5:$A$597,0)),""))</f>
        <v/>
      </c>
      <c r="D833" s="23" t="str">
        <f>IF($A833="","",N(Receipts!$G836))</f>
        <v/>
      </c>
      <c r="E833" s="20" t="str">
        <f>IF($A833="","",IFERROR(INDEX(Items!$D$5:$D$597,MATCH($A833,Items!$A$5:$A$597,0)),0))</f>
        <v/>
      </c>
      <c r="F833" s="21" t="str">
        <f t="shared" si="60"/>
        <v/>
      </c>
      <c r="G833" s="25" t="str">
        <f>IF(Receipts!$I836="","",Receipts!$I836)</f>
        <v/>
      </c>
      <c r="H833" s="25" t="str">
        <f>IF(Receipts!$H836="","",Receipts!$H836)</f>
        <v/>
      </c>
      <c r="I833" s="26" t="str">
        <f t="shared" ca="1" si="61"/>
        <v/>
      </c>
      <c r="J833" s="26" t="str">
        <f>IF($A833="","",COUNTIFS(tblReceipts[Item Name],$A833,tblReceipts[Expiry Date],"&lt;"&amp;$H833)+COUNTIFS(tblReceipts[Item Name],$A833,tblReceipts[Expiry Date],$H833,tblReceipts[Lot Number],"&lt;="&amp;Receipts!$C836))</f>
        <v/>
      </c>
      <c r="K833" s="26" t="str">
        <f>IF($A833="","",SUMIFS(tblReceipts[Qty Received],tblReceipts[Item Name],$A833,tblReceipts[Expiry Date],"&lt;"&amp;$H833)+SUMIFS(tblReceipts[Qty Received],tblReceipts[Item Name],$A833,tblReceipts[Expiry Date],$H833,tblReceipts[Lot Number],"&lt;"&amp;Receipts!$C836))</f>
        <v/>
      </c>
      <c r="L833" s="26" t="str">
        <f>IF($A833="","",MIN($D833,MAX(0,SUMIFS(tblIssues[Qty Issued],tblIssues[Item Name],$A833)-$K833)))</f>
        <v/>
      </c>
      <c r="M833" s="26" t="str">
        <f>IF($A833="","",SUMIFS(tblIssues[Qty Issued],tblIssues[Lot Number],$B833))</f>
        <v/>
      </c>
      <c r="N833" s="26" t="str">
        <f t="shared" si="62"/>
        <v/>
      </c>
      <c r="O833" s="26" t="str">
        <f t="shared" si="63"/>
        <v/>
      </c>
      <c r="P833" s="21" t="str">
        <f t="shared" si="64"/>
        <v/>
      </c>
      <c r="Q833" s="52" t="str">
        <f>IF($A833="","",IF($O833&lt;=0,"Depleted",IF($I833&lt;0,"EXPIRED",IF($I833&lt;=Settings!$C$6,"CRITICAL",IF($I833&lt;=Settings!$C$5,"Expiring","In date")))))</f>
        <v/>
      </c>
    </row>
    <row r="834" spans="1:17" x14ac:dyDescent="0.35">
      <c r="A834" s="90" t="str">
        <f>IF(Receipts!$D837="","",Receipts!$D837)</f>
        <v/>
      </c>
      <c r="B834" s="18" t="str">
        <f>IF(Receipts!$C837="","",Receipts!$C837)</f>
        <v/>
      </c>
      <c r="C834" s="18" t="str">
        <f>IF($A834="","",IFERROR(INDEX(Items!$B$5:$B$597,MATCH($A834,Items!$A$5:$A$597,0)),""))</f>
        <v/>
      </c>
      <c r="D834" s="23" t="str">
        <f>IF($A834="","",N(Receipts!$G837))</f>
        <v/>
      </c>
      <c r="E834" s="20" t="str">
        <f>IF($A834="","",IFERROR(INDEX(Items!$D$5:$D$597,MATCH($A834,Items!$A$5:$A$597,0)),0))</f>
        <v/>
      </c>
      <c r="F834" s="21" t="str">
        <f t="shared" si="60"/>
        <v/>
      </c>
      <c r="G834" s="25" t="str">
        <f>IF(Receipts!$I837="","",Receipts!$I837)</f>
        <v/>
      </c>
      <c r="H834" s="25" t="str">
        <f>IF(Receipts!$H837="","",Receipts!$H837)</f>
        <v/>
      </c>
      <c r="I834" s="26" t="str">
        <f t="shared" ca="1" si="61"/>
        <v/>
      </c>
      <c r="J834" s="26" t="str">
        <f>IF($A834="","",COUNTIFS(tblReceipts[Item Name],$A834,tblReceipts[Expiry Date],"&lt;"&amp;$H834)+COUNTIFS(tblReceipts[Item Name],$A834,tblReceipts[Expiry Date],$H834,tblReceipts[Lot Number],"&lt;="&amp;Receipts!$C837))</f>
        <v/>
      </c>
      <c r="K834" s="26" t="str">
        <f>IF($A834="","",SUMIFS(tblReceipts[Qty Received],tblReceipts[Item Name],$A834,tblReceipts[Expiry Date],"&lt;"&amp;$H834)+SUMIFS(tblReceipts[Qty Received],tblReceipts[Item Name],$A834,tblReceipts[Expiry Date],$H834,tblReceipts[Lot Number],"&lt;"&amp;Receipts!$C837))</f>
        <v/>
      </c>
      <c r="L834" s="26" t="str">
        <f>IF($A834="","",MIN($D834,MAX(0,SUMIFS(tblIssues[Qty Issued],tblIssues[Item Name],$A834)-$K834)))</f>
        <v/>
      </c>
      <c r="M834" s="26" t="str">
        <f>IF($A834="","",SUMIFS(tblIssues[Qty Issued],tblIssues[Lot Number],$B834))</f>
        <v/>
      </c>
      <c r="N834" s="26" t="str">
        <f t="shared" si="62"/>
        <v/>
      </c>
      <c r="O834" s="26" t="str">
        <f t="shared" si="63"/>
        <v/>
      </c>
      <c r="P834" s="21" t="str">
        <f t="shared" si="64"/>
        <v/>
      </c>
      <c r="Q834" s="52" t="str">
        <f>IF($A834="","",IF($O834&lt;=0,"Depleted",IF($I834&lt;0,"EXPIRED",IF($I834&lt;=Settings!$C$6,"CRITICAL",IF($I834&lt;=Settings!$C$5,"Expiring","In date")))))</f>
        <v/>
      </c>
    </row>
    <row r="835" spans="1:17" x14ac:dyDescent="0.35">
      <c r="A835" s="90" t="str">
        <f>IF(Receipts!$D838="","",Receipts!$D838)</f>
        <v/>
      </c>
      <c r="B835" s="18" t="str">
        <f>IF(Receipts!$C838="","",Receipts!$C838)</f>
        <v/>
      </c>
      <c r="C835" s="18" t="str">
        <f>IF($A835="","",IFERROR(INDEX(Items!$B$5:$B$597,MATCH($A835,Items!$A$5:$A$597,0)),""))</f>
        <v/>
      </c>
      <c r="D835" s="23" t="str">
        <f>IF($A835="","",N(Receipts!$G838))</f>
        <v/>
      </c>
      <c r="E835" s="20" t="str">
        <f>IF($A835="","",IFERROR(INDEX(Items!$D$5:$D$597,MATCH($A835,Items!$A$5:$A$597,0)),0))</f>
        <v/>
      </c>
      <c r="F835" s="21" t="str">
        <f t="shared" si="60"/>
        <v/>
      </c>
      <c r="G835" s="25" t="str">
        <f>IF(Receipts!$I838="","",Receipts!$I838)</f>
        <v/>
      </c>
      <c r="H835" s="25" t="str">
        <f>IF(Receipts!$H838="","",Receipts!$H838)</f>
        <v/>
      </c>
      <c r="I835" s="26" t="str">
        <f t="shared" ca="1" si="61"/>
        <v/>
      </c>
      <c r="J835" s="26" t="str">
        <f>IF($A835="","",COUNTIFS(tblReceipts[Item Name],$A835,tblReceipts[Expiry Date],"&lt;"&amp;$H835)+COUNTIFS(tblReceipts[Item Name],$A835,tblReceipts[Expiry Date],$H835,tblReceipts[Lot Number],"&lt;="&amp;Receipts!$C838))</f>
        <v/>
      </c>
      <c r="K835" s="26" t="str">
        <f>IF($A835="","",SUMIFS(tblReceipts[Qty Received],tblReceipts[Item Name],$A835,tblReceipts[Expiry Date],"&lt;"&amp;$H835)+SUMIFS(tblReceipts[Qty Received],tblReceipts[Item Name],$A835,tblReceipts[Expiry Date],$H835,tblReceipts[Lot Number],"&lt;"&amp;Receipts!$C838))</f>
        <v/>
      </c>
      <c r="L835" s="26" t="str">
        <f>IF($A835="","",MIN($D835,MAX(0,SUMIFS(tblIssues[Qty Issued],tblIssues[Item Name],$A835)-$K835)))</f>
        <v/>
      </c>
      <c r="M835" s="26" t="str">
        <f>IF($A835="","",SUMIFS(tblIssues[Qty Issued],tblIssues[Lot Number],$B835))</f>
        <v/>
      </c>
      <c r="N835" s="26" t="str">
        <f t="shared" si="62"/>
        <v/>
      </c>
      <c r="O835" s="26" t="str">
        <f t="shared" si="63"/>
        <v/>
      </c>
      <c r="P835" s="21" t="str">
        <f t="shared" si="64"/>
        <v/>
      </c>
      <c r="Q835" s="52" t="str">
        <f>IF($A835="","",IF($O835&lt;=0,"Depleted",IF($I835&lt;0,"EXPIRED",IF($I835&lt;=Settings!$C$6,"CRITICAL",IF($I835&lt;=Settings!$C$5,"Expiring","In date")))))</f>
        <v/>
      </c>
    </row>
    <row r="836" spans="1:17" x14ac:dyDescent="0.35">
      <c r="A836" s="90" t="str">
        <f>IF(Receipts!$D839="","",Receipts!$D839)</f>
        <v/>
      </c>
      <c r="B836" s="18" t="str">
        <f>IF(Receipts!$C839="","",Receipts!$C839)</f>
        <v/>
      </c>
      <c r="C836" s="18" t="str">
        <f>IF($A836="","",IFERROR(INDEX(Items!$B$5:$B$597,MATCH($A836,Items!$A$5:$A$597,0)),""))</f>
        <v/>
      </c>
      <c r="D836" s="23" t="str">
        <f>IF($A836="","",N(Receipts!$G839))</f>
        <v/>
      </c>
      <c r="E836" s="20" t="str">
        <f>IF($A836="","",IFERROR(INDEX(Items!$D$5:$D$597,MATCH($A836,Items!$A$5:$A$597,0)),0))</f>
        <v/>
      </c>
      <c r="F836" s="21" t="str">
        <f t="shared" si="60"/>
        <v/>
      </c>
      <c r="G836" s="25" t="str">
        <f>IF(Receipts!$I839="","",Receipts!$I839)</f>
        <v/>
      </c>
      <c r="H836" s="25" t="str">
        <f>IF(Receipts!$H839="","",Receipts!$H839)</f>
        <v/>
      </c>
      <c r="I836" s="26" t="str">
        <f t="shared" ca="1" si="61"/>
        <v/>
      </c>
      <c r="J836" s="26" t="str">
        <f>IF($A836="","",COUNTIFS(tblReceipts[Item Name],$A836,tblReceipts[Expiry Date],"&lt;"&amp;$H836)+COUNTIFS(tblReceipts[Item Name],$A836,tblReceipts[Expiry Date],$H836,tblReceipts[Lot Number],"&lt;="&amp;Receipts!$C839))</f>
        <v/>
      </c>
      <c r="K836" s="26" t="str">
        <f>IF($A836="","",SUMIFS(tblReceipts[Qty Received],tblReceipts[Item Name],$A836,tblReceipts[Expiry Date],"&lt;"&amp;$H836)+SUMIFS(tblReceipts[Qty Received],tblReceipts[Item Name],$A836,tblReceipts[Expiry Date],$H836,tblReceipts[Lot Number],"&lt;"&amp;Receipts!$C839))</f>
        <v/>
      </c>
      <c r="L836" s="26" t="str">
        <f>IF($A836="","",MIN($D836,MAX(0,SUMIFS(tblIssues[Qty Issued],tblIssues[Item Name],$A836)-$K836)))</f>
        <v/>
      </c>
      <c r="M836" s="26" t="str">
        <f>IF($A836="","",SUMIFS(tblIssues[Qty Issued],tblIssues[Lot Number],$B836))</f>
        <v/>
      </c>
      <c r="N836" s="26" t="str">
        <f t="shared" si="62"/>
        <v/>
      </c>
      <c r="O836" s="26" t="str">
        <f t="shared" si="63"/>
        <v/>
      </c>
      <c r="P836" s="21" t="str">
        <f t="shared" si="64"/>
        <v/>
      </c>
      <c r="Q836" s="52" t="str">
        <f>IF($A836="","",IF($O836&lt;=0,"Depleted",IF($I836&lt;0,"EXPIRED",IF($I836&lt;=Settings!$C$6,"CRITICAL",IF($I836&lt;=Settings!$C$5,"Expiring","In date")))))</f>
        <v/>
      </c>
    </row>
    <row r="837" spans="1:17" x14ac:dyDescent="0.35">
      <c r="A837" s="90" t="str">
        <f>IF(Receipts!$D840="","",Receipts!$D840)</f>
        <v/>
      </c>
      <c r="B837" s="18" t="str">
        <f>IF(Receipts!$C840="","",Receipts!$C840)</f>
        <v/>
      </c>
      <c r="C837" s="18" t="str">
        <f>IF($A837="","",IFERROR(INDEX(Items!$B$5:$B$597,MATCH($A837,Items!$A$5:$A$597,0)),""))</f>
        <v/>
      </c>
      <c r="D837" s="23" t="str">
        <f>IF($A837="","",N(Receipts!$G840))</f>
        <v/>
      </c>
      <c r="E837" s="20" t="str">
        <f>IF($A837="","",IFERROR(INDEX(Items!$D$5:$D$597,MATCH($A837,Items!$A$5:$A$597,0)),0))</f>
        <v/>
      </c>
      <c r="F837" s="21" t="str">
        <f t="shared" ref="F837:F900" si="65">IF($A837="","",$D837*$E837)</f>
        <v/>
      </c>
      <c r="G837" s="25" t="str">
        <f>IF(Receipts!$I840="","",Receipts!$I840)</f>
        <v/>
      </c>
      <c r="H837" s="25" t="str">
        <f>IF(Receipts!$H840="","",Receipts!$H840)</f>
        <v/>
      </c>
      <c r="I837" s="26" t="str">
        <f t="shared" ref="I837:I900" ca="1" si="66">IF($H837="","",$H837-TODAY())</f>
        <v/>
      </c>
      <c r="J837" s="26" t="str">
        <f>IF($A837="","",COUNTIFS(tblReceipts[Item Name],$A837,tblReceipts[Expiry Date],"&lt;"&amp;$H837)+COUNTIFS(tblReceipts[Item Name],$A837,tblReceipts[Expiry Date],$H837,tblReceipts[Lot Number],"&lt;="&amp;Receipts!$C840))</f>
        <v/>
      </c>
      <c r="K837" s="26" t="str">
        <f>IF($A837="","",SUMIFS(tblReceipts[Qty Received],tblReceipts[Item Name],$A837,tblReceipts[Expiry Date],"&lt;"&amp;$H837)+SUMIFS(tblReceipts[Qty Received],tblReceipts[Item Name],$A837,tblReceipts[Expiry Date],$H837,tblReceipts[Lot Number],"&lt;"&amp;Receipts!$C840))</f>
        <v/>
      </c>
      <c r="L837" s="26" t="str">
        <f>IF($A837="","",MIN($D837,MAX(0,SUMIFS(tblIssues[Qty Issued],tblIssues[Item Name],$A837)-$K837)))</f>
        <v/>
      </c>
      <c r="M837" s="26" t="str">
        <f>IF($A837="","",SUMIFS(tblIssues[Qty Issued],tblIssues[Lot Number],$B837))</f>
        <v/>
      </c>
      <c r="N837" s="26" t="str">
        <f t="shared" ref="N837:N900" si="67">IF($A837="","",$M837-$L837)</f>
        <v/>
      </c>
      <c r="O837" s="26" t="str">
        <f t="shared" ref="O837:O900" si="68">IF($A837="","",$D837-$L837)</f>
        <v/>
      </c>
      <c r="P837" s="21" t="str">
        <f t="shared" ref="P837:P900" si="69">IF($A837="","",$O837*$E837)</f>
        <v/>
      </c>
      <c r="Q837" s="52" t="str">
        <f>IF($A837="","",IF($O837&lt;=0,"Depleted",IF($I837&lt;0,"EXPIRED",IF($I837&lt;=Settings!$C$6,"CRITICAL",IF($I837&lt;=Settings!$C$5,"Expiring","In date")))))</f>
        <v/>
      </c>
    </row>
    <row r="838" spans="1:17" x14ac:dyDescent="0.35">
      <c r="A838" s="90" t="str">
        <f>IF(Receipts!$D841="","",Receipts!$D841)</f>
        <v/>
      </c>
      <c r="B838" s="18" t="str">
        <f>IF(Receipts!$C841="","",Receipts!$C841)</f>
        <v/>
      </c>
      <c r="C838" s="18" t="str">
        <f>IF($A838="","",IFERROR(INDEX(Items!$B$5:$B$597,MATCH($A838,Items!$A$5:$A$597,0)),""))</f>
        <v/>
      </c>
      <c r="D838" s="23" t="str">
        <f>IF($A838="","",N(Receipts!$G841))</f>
        <v/>
      </c>
      <c r="E838" s="20" t="str">
        <f>IF($A838="","",IFERROR(INDEX(Items!$D$5:$D$597,MATCH($A838,Items!$A$5:$A$597,0)),0))</f>
        <v/>
      </c>
      <c r="F838" s="21" t="str">
        <f t="shared" si="65"/>
        <v/>
      </c>
      <c r="G838" s="25" t="str">
        <f>IF(Receipts!$I841="","",Receipts!$I841)</f>
        <v/>
      </c>
      <c r="H838" s="25" t="str">
        <f>IF(Receipts!$H841="","",Receipts!$H841)</f>
        <v/>
      </c>
      <c r="I838" s="26" t="str">
        <f t="shared" ca="1" si="66"/>
        <v/>
      </c>
      <c r="J838" s="26" t="str">
        <f>IF($A838="","",COUNTIFS(tblReceipts[Item Name],$A838,tblReceipts[Expiry Date],"&lt;"&amp;$H838)+COUNTIFS(tblReceipts[Item Name],$A838,tblReceipts[Expiry Date],$H838,tblReceipts[Lot Number],"&lt;="&amp;Receipts!$C841))</f>
        <v/>
      </c>
      <c r="K838" s="26" t="str">
        <f>IF($A838="","",SUMIFS(tblReceipts[Qty Received],tblReceipts[Item Name],$A838,tblReceipts[Expiry Date],"&lt;"&amp;$H838)+SUMIFS(tblReceipts[Qty Received],tblReceipts[Item Name],$A838,tblReceipts[Expiry Date],$H838,tblReceipts[Lot Number],"&lt;"&amp;Receipts!$C841))</f>
        <v/>
      </c>
      <c r="L838" s="26" t="str">
        <f>IF($A838="","",MIN($D838,MAX(0,SUMIFS(tblIssues[Qty Issued],tblIssues[Item Name],$A838)-$K838)))</f>
        <v/>
      </c>
      <c r="M838" s="26" t="str">
        <f>IF($A838="","",SUMIFS(tblIssues[Qty Issued],tblIssues[Lot Number],$B838))</f>
        <v/>
      </c>
      <c r="N838" s="26" t="str">
        <f t="shared" si="67"/>
        <v/>
      </c>
      <c r="O838" s="26" t="str">
        <f t="shared" si="68"/>
        <v/>
      </c>
      <c r="P838" s="21" t="str">
        <f t="shared" si="69"/>
        <v/>
      </c>
      <c r="Q838" s="52" t="str">
        <f>IF($A838="","",IF($O838&lt;=0,"Depleted",IF($I838&lt;0,"EXPIRED",IF($I838&lt;=Settings!$C$6,"CRITICAL",IF($I838&lt;=Settings!$C$5,"Expiring","In date")))))</f>
        <v/>
      </c>
    </row>
    <row r="839" spans="1:17" x14ac:dyDescent="0.35">
      <c r="A839" s="90" t="str">
        <f>IF(Receipts!$D842="","",Receipts!$D842)</f>
        <v/>
      </c>
      <c r="B839" s="18" t="str">
        <f>IF(Receipts!$C842="","",Receipts!$C842)</f>
        <v/>
      </c>
      <c r="C839" s="18" t="str">
        <f>IF($A839="","",IFERROR(INDEX(Items!$B$5:$B$597,MATCH($A839,Items!$A$5:$A$597,0)),""))</f>
        <v/>
      </c>
      <c r="D839" s="23" t="str">
        <f>IF($A839="","",N(Receipts!$G842))</f>
        <v/>
      </c>
      <c r="E839" s="20" t="str">
        <f>IF($A839="","",IFERROR(INDEX(Items!$D$5:$D$597,MATCH($A839,Items!$A$5:$A$597,0)),0))</f>
        <v/>
      </c>
      <c r="F839" s="21" t="str">
        <f t="shared" si="65"/>
        <v/>
      </c>
      <c r="G839" s="25" t="str">
        <f>IF(Receipts!$I842="","",Receipts!$I842)</f>
        <v/>
      </c>
      <c r="H839" s="25" t="str">
        <f>IF(Receipts!$H842="","",Receipts!$H842)</f>
        <v/>
      </c>
      <c r="I839" s="26" t="str">
        <f t="shared" ca="1" si="66"/>
        <v/>
      </c>
      <c r="J839" s="26" t="str">
        <f>IF($A839="","",COUNTIFS(tblReceipts[Item Name],$A839,tblReceipts[Expiry Date],"&lt;"&amp;$H839)+COUNTIFS(tblReceipts[Item Name],$A839,tblReceipts[Expiry Date],$H839,tblReceipts[Lot Number],"&lt;="&amp;Receipts!$C842))</f>
        <v/>
      </c>
      <c r="K839" s="26" t="str">
        <f>IF($A839="","",SUMIFS(tblReceipts[Qty Received],tblReceipts[Item Name],$A839,tblReceipts[Expiry Date],"&lt;"&amp;$H839)+SUMIFS(tblReceipts[Qty Received],tblReceipts[Item Name],$A839,tblReceipts[Expiry Date],$H839,tblReceipts[Lot Number],"&lt;"&amp;Receipts!$C842))</f>
        <v/>
      </c>
      <c r="L839" s="26" t="str">
        <f>IF($A839="","",MIN($D839,MAX(0,SUMIFS(tblIssues[Qty Issued],tblIssues[Item Name],$A839)-$K839)))</f>
        <v/>
      </c>
      <c r="M839" s="26" t="str">
        <f>IF($A839="","",SUMIFS(tblIssues[Qty Issued],tblIssues[Lot Number],$B839))</f>
        <v/>
      </c>
      <c r="N839" s="26" t="str">
        <f t="shared" si="67"/>
        <v/>
      </c>
      <c r="O839" s="26" t="str">
        <f t="shared" si="68"/>
        <v/>
      </c>
      <c r="P839" s="21" t="str">
        <f t="shared" si="69"/>
        <v/>
      </c>
      <c r="Q839" s="52" t="str">
        <f>IF($A839="","",IF($O839&lt;=0,"Depleted",IF($I839&lt;0,"EXPIRED",IF($I839&lt;=Settings!$C$6,"CRITICAL",IF($I839&lt;=Settings!$C$5,"Expiring","In date")))))</f>
        <v/>
      </c>
    </row>
    <row r="840" spans="1:17" x14ac:dyDescent="0.35">
      <c r="A840" s="90" t="str">
        <f>IF(Receipts!$D843="","",Receipts!$D843)</f>
        <v/>
      </c>
      <c r="B840" s="18" t="str">
        <f>IF(Receipts!$C843="","",Receipts!$C843)</f>
        <v/>
      </c>
      <c r="C840" s="18" t="str">
        <f>IF($A840="","",IFERROR(INDEX(Items!$B$5:$B$597,MATCH($A840,Items!$A$5:$A$597,0)),""))</f>
        <v/>
      </c>
      <c r="D840" s="23" t="str">
        <f>IF($A840="","",N(Receipts!$G843))</f>
        <v/>
      </c>
      <c r="E840" s="20" t="str">
        <f>IF($A840="","",IFERROR(INDEX(Items!$D$5:$D$597,MATCH($A840,Items!$A$5:$A$597,0)),0))</f>
        <v/>
      </c>
      <c r="F840" s="21" t="str">
        <f t="shared" si="65"/>
        <v/>
      </c>
      <c r="G840" s="25" t="str">
        <f>IF(Receipts!$I843="","",Receipts!$I843)</f>
        <v/>
      </c>
      <c r="H840" s="25" t="str">
        <f>IF(Receipts!$H843="","",Receipts!$H843)</f>
        <v/>
      </c>
      <c r="I840" s="26" t="str">
        <f t="shared" ca="1" si="66"/>
        <v/>
      </c>
      <c r="J840" s="26" t="str">
        <f>IF($A840="","",COUNTIFS(tblReceipts[Item Name],$A840,tblReceipts[Expiry Date],"&lt;"&amp;$H840)+COUNTIFS(tblReceipts[Item Name],$A840,tblReceipts[Expiry Date],$H840,tblReceipts[Lot Number],"&lt;="&amp;Receipts!$C843))</f>
        <v/>
      </c>
      <c r="K840" s="26" t="str">
        <f>IF($A840="","",SUMIFS(tblReceipts[Qty Received],tblReceipts[Item Name],$A840,tblReceipts[Expiry Date],"&lt;"&amp;$H840)+SUMIFS(tblReceipts[Qty Received],tblReceipts[Item Name],$A840,tblReceipts[Expiry Date],$H840,tblReceipts[Lot Number],"&lt;"&amp;Receipts!$C843))</f>
        <v/>
      </c>
      <c r="L840" s="26" t="str">
        <f>IF($A840="","",MIN($D840,MAX(0,SUMIFS(tblIssues[Qty Issued],tblIssues[Item Name],$A840)-$K840)))</f>
        <v/>
      </c>
      <c r="M840" s="26" t="str">
        <f>IF($A840="","",SUMIFS(tblIssues[Qty Issued],tblIssues[Lot Number],$B840))</f>
        <v/>
      </c>
      <c r="N840" s="26" t="str">
        <f t="shared" si="67"/>
        <v/>
      </c>
      <c r="O840" s="26" t="str">
        <f t="shared" si="68"/>
        <v/>
      </c>
      <c r="P840" s="21" t="str">
        <f t="shared" si="69"/>
        <v/>
      </c>
      <c r="Q840" s="52" t="str">
        <f>IF($A840="","",IF($O840&lt;=0,"Depleted",IF($I840&lt;0,"EXPIRED",IF($I840&lt;=Settings!$C$6,"CRITICAL",IF($I840&lt;=Settings!$C$5,"Expiring","In date")))))</f>
        <v/>
      </c>
    </row>
    <row r="841" spans="1:17" x14ac:dyDescent="0.35">
      <c r="A841" s="90" t="str">
        <f>IF(Receipts!$D844="","",Receipts!$D844)</f>
        <v/>
      </c>
      <c r="B841" s="18" t="str">
        <f>IF(Receipts!$C844="","",Receipts!$C844)</f>
        <v/>
      </c>
      <c r="C841" s="18" t="str">
        <f>IF($A841="","",IFERROR(INDEX(Items!$B$5:$B$597,MATCH($A841,Items!$A$5:$A$597,0)),""))</f>
        <v/>
      </c>
      <c r="D841" s="23" t="str">
        <f>IF($A841="","",N(Receipts!$G844))</f>
        <v/>
      </c>
      <c r="E841" s="20" t="str">
        <f>IF($A841="","",IFERROR(INDEX(Items!$D$5:$D$597,MATCH($A841,Items!$A$5:$A$597,0)),0))</f>
        <v/>
      </c>
      <c r="F841" s="21" t="str">
        <f t="shared" si="65"/>
        <v/>
      </c>
      <c r="G841" s="25" t="str">
        <f>IF(Receipts!$I844="","",Receipts!$I844)</f>
        <v/>
      </c>
      <c r="H841" s="25" t="str">
        <f>IF(Receipts!$H844="","",Receipts!$H844)</f>
        <v/>
      </c>
      <c r="I841" s="26" t="str">
        <f t="shared" ca="1" si="66"/>
        <v/>
      </c>
      <c r="J841" s="26" t="str">
        <f>IF($A841="","",COUNTIFS(tblReceipts[Item Name],$A841,tblReceipts[Expiry Date],"&lt;"&amp;$H841)+COUNTIFS(tblReceipts[Item Name],$A841,tblReceipts[Expiry Date],$H841,tblReceipts[Lot Number],"&lt;="&amp;Receipts!$C844))</f>
        <v/>
      </c>
      <c r="K841" s="26" t="str">
        <f>IF($A841="","",SUMIFS(tblReceipts[Qty Received],tblReceipts[Item Name],$A841,tblReceipts[Expiry Date],"&lt;"&amp;$H841)+SUMIFS(tblReceipts[Qty Received],tblReceipts[Item Name],$A841,tblReceipts[Expiry Date],$H841,tblReceipts[Lot Number],"&lt;"&amp;Receipts!$C844))</f>
        <v/>
      </c>
      <c r="L841" s="26" t="str">
        <f>IF($A841="","",MIN($D841,MAX(0,SUMIFS(tblIssues[Qty Issued],tblIssues[Item Name],$A841)-$K841)))</f>
        <v/>
      </c>
      <c r="M841" s="26" t="str">
        <f>IF($A841="","",SUMIFS(tblIssues[Qty Issued],tblIssues[Lot Number],$B841))</f>
        <v/>
      </c>
      <c r="N841" s="26" t="str">
        <f t="shared" si="67"/>
        <v/>
      </c>
      <c r="O841" s="26" t="str">
        <f t="shared" si="68"/>
        <v/>
      </c>
      <c r="P841" s="21" t="str">
        <f t="shared" si="69"/>
        <v/>
      </c>
      <c r="Q841" s="52" t="str">
        <f>IF($A841="","",IF($O841&lt;=0,"Depleted",IF($I841&lt;0,"EXPIRED",IF($I841&lt;=Settings!$C$6,"CRITICAL",IF($I841&lt;=Settings!$C$5,"Expiring","In date")))))</f>
        <v/>
      </c>
    </row>
    <row r="842" spans="1:17" x14ac:dyDescent="0.35">
      <c r="A842" s="90" t="str">
        <f>IF(Receipts!$D845="","",Receipts!$D845)</f>
        <v/>
      </c>
      <c r="B842" s="18" t="str">
        <f>IF(Receipts!$C845="","",Receipts!$C845)</f>
        <v/>
      </c>
      <c r="C842" s="18" t="str">
        <f>IF($A842="","",IFERROR(INDEX(Items!$B$5:$B$597,MATCH($A842,Items!$A$5:$A$597,0)),""))</f>
        <v/>
      </c>
      <c r="D842" s="23" t="str">
        <f>IF($A842="","",N(Receipts!$G845))</f>
        <v/>
      </c>
      <c r="E842" s="20" t="str">
        <f>IF($A842="","",IFERROR(INDEX(Items!$D$5:$D$597,MATCH($A842,Items!$A$5:$A$597,0)),0))</f>
        <v/>
      </c>
      <c r="F842" s="21" t="str">
        <f t="shared" si="65"/>
        <v/>
      </c>
      <c r="G842" s="25" t="str">
        <f>IF(Receipts!$I845="","",Receipts!$I845)</f>
        <v/>
      </c>
      <c r="H842" s="25" t="str">
        <f>IF(Receipts!$H845="","",Receipts!$H845)</f>
        <v/>
      </c>
      <c r="I842" s="26" t="str">
        <f t="shared" ca="1" si="66"/>
        <v/>
      </c>
      <c r="J842" s="26" t="str">
        <f>IF($A842="","",COUNTIFS(tblReceipts[Item Name],$A842,tblReceipts[Expiry Date],"&lt;"&amp;$H842)+COUNTIFS(tblReceipts[Item Name],$A842,tblReceipts[Expiry Date],$H842,tblReceipts[Lot Number],"&lt;="&amp;Receipts!$C845))</f>
        <v/>
      </c>
      <c r="K842" s="26" t="str">
        <f>IF($A842="","",SUMIFS(tblReceipts[Qty Received],tblReceipts[Item Name],$A842,tblReceipts[Expiry Date],"&lt;"&amp;$H842)+SUMIFS(tblReceipts[Qty Received],tblReceipts[Item Name],$A842,tblReceipts[Expiry Date],$H842,tblReceipts[Lot Number],"&lt;"&amp;Receipts!$C845))</f>
        <v/>
      </c>
      <c r="L842" s="26" t="str">
        <f>IF($A842="","",MIN($D842,MAX(0,SUMIFS(tblIssues[Qty Issued],tblIssues[Item Name],$A842)-$K842)))</f>
        <v/>
      </c>
      <c r="M842" s="26" t="str">
        <f>IF($A842="","",SUMIFS(tblIssues[Qty Issued],tblIssues[Lot Number],$B842))</f>
        <v/>
      </c>
      <c r="N842" s="26" t="str">
        <f t="shared" si="67"/>
        <v/>
      </c>
      <c r="O842" s="26" t="str">
        <f t="shared" si="68"/>
        <v/>
      </c>
      <c r="P842" s="21" t="str">
        <f t="shared" si="69"/>
        <v/>
      </c>
      <c r="Q842" s="52" t="str">
        <f>IF($A842="","",IF($O842&lt;=0,"Depleted",IF($I842&lt;0,"EXPIRED",IF($I842&lt;=Settings!$C$6,"CRITICAL",IF($I842&lt;=Settings!$C$5,"Expiring","In date")))))</f>
        <v/>
      </c>
    </row>
    <row r="843" spans="1:17" x14ac:dyDescent="0.35">
      <c r="A843" s="90" t="str">
        <f>IF(Receipts!$D846="","",Receipts!$D846)</f>
        <v/>
      </c>
      <c r="B843" s="18" t="str">
        <f>IF(Receipts!$C846="","",Receipts!$C846)</f>
        <v/>
      </c>
      <c r="C843" s="18" t="str">
        <f>IF($A843="","",IFERROR(INDEX(Items!$B$5:$B$597,MATCH($A843,Items!$A$5:$A$597,0)),""))</f>
        <v/>
      </c>
      <c r="D843" s="23" t="str">
        <f>IF($A843="","",N(Receipts!$G846))</f>
        <v/>
      </c>
      <c r="E843" s="20" t="str">
        <f>IF($A843="","",IFERROR(INDEX(Items!$D$5:$D$597,MATCH($A843,Items!$A$5:$A$597,0)),0))</f>
        <v/>
      </c>
      <c r="F843" s="21" t="str">
        <f t="shared" si="65"/>
        <v/>
      </c>
      <c r="G843" s="25" t="str">
        <f>IF(Receipts!$I846="","",Receipts!$I846)</f>
        <v/>
      </c>
      <c r="H843" s="25" t="str">
        <f>IF(Receipts!$H846="","",Receipts!$H846)</f>
        <v/>
      </c>
      <c r="I843" s="26" t="str">
        <f t="shared" ca="1" si="66"/>
        <v/>
      </c>
      <c r="J843" s="26" t="str">
        <f>IF($A843="","",COUNTIFS(tblReceipts[Item Name],$A843,tblReceipts[Expiry Date],"&lt;"&amp;$H843)+COUNTIFS(tblReceipts[Item Name],$A843,tblReceipts[Expiry Date],$H843,tblReceipts[Lot Number],"&lt;="&amp;Receipts!$C846))</f>
        <v/>
      </c>
      <c r="K843" s="26" t="str">
        <f>IF($A843="","",SUMIFS(tblReceipts[Qty Received],tblReceipts[Item Name],$A843,tblReceipts[Expiry Date],"&lt;"&amp;$H843)+SUMIFS(tblReceipts[Qty Received],tblReceipts[Item Name],$A843,tblReceipts[Expiry Date],$H843,tblReceipts[Lot Number],"&lt;"&amp;Receipts!$C846))</f>
        <v/>
      </c>
      <c r="L843" s="26" t="str">
        <f>IF($A843="","",MIN($D843,MAX(0,SUMIFS(tblIssues[Qty Issued],tblIssues[Item Name],$A843)-$K843)))</f>
        <v/>
      </c>
      <c r="M843" s="26" t="str">
        <f>IF($A843="","",SUMIFS(tblIssues[Qty Issued],tblIssues[Lot Number],$B843))</f>
        <v/>
      </c>
      <c r="N843" s="26" t="str">
        <f t="shared" si="67"/>
        <v/>
      </c>
      <c r="O843" s="26" t="str">
        <f t="shared" si="68"/>
        <v/>
      </c>
      <c r="P843" s="21" t="str">
        <f t="shared" si="69"/>
        <v/>
      </c>
      <c r="Q843" s="52" t="str">
        <f>IF($A843="","",IF($O843&lt;=0,"Depleted",IF($I843&lt;0,"EXPIRED",IF($I843&lt;=Settings!$C$6,"CRITICAL",IF($I843&lt;=Settings!$C$5,"Expiring","In date")))))</f>
        <v/>
      </c>
    </row>
    <row r="844" spans="1:17" x14ac:dyDescent="0.35">
      <c r="A844" s="90" t="str">
        <f>IF(Receipts!$D847="","",Receipts!$D847)</f>
        <v/>
      </c>
      <c r="B844" s="18" t="str">
        <f>IF(Receipts!$C847="","",Receipts!$C847)</f>
        <v/>
      </c>
      <c r="C844" s="18" t="str">
        <f>IF($A844="","",IFERROR(INDEX(Items!$B$5:$B$597,MATCH($A844,Items!$A$5:$A$597,0)),""))</f>
        <v/>
      </c>
      <c r="D844" s="23" t="str">
        <f>IF($A844="","",N(Receipts!$G847))</f>
        <v/>
      </c>
      <c r="E844" s="20" t="str">
        <f>IF($A844="","",IFERROR(INDEX(Items!$D$5:$D$597,MATCH($A844,Items!$A$5:$A$597,0)),0))</f>
        <v/>
      </c>
      <c r="F844" s="21" t="str">
        <f t="shared" si="65"/>
        <v/>
      </c>
      <c r="G844" s="25" t="str">
        <f>IF(Receipts!$I847="","",Receipts!$I847)</f>
        <v/>
      </c>
      <c r="H844" s="25" t="str">
        <f>IF(Receipts!$H847="","",Receipts!$H847)</f>
        <v/>
      </c>
      <c r="I844" s="26" t="str">
        <f t="shared" ca="1" si="66"/>
        <v/>
      </c>
      <c r="J844" s="26" t="str">
        <f>IF($A844="","",COUNTIFS(tblReceipts[Item Name],$A844,tblReceipts[Expiry Date],"&lt;"&amp;$H844)+COUNTIFS(tblReceipts[Item Name],$A844,tblReceipts[Expiry Date],$H844,tblReceipts[Lot Number],"&lt;="&amp;Receipts!$C847))</f>
        <v/>
      </c>
      <c r="K844" s="26" t="str">
        <f>IF($A844="","",SUMIFS(tblReceipts[Qty Received],tblReceipts[Item Name],$A844,tblReceipts[Expiry Date],"&lt;"&amp;$H844)+SUMIFS(tblReceipts[Qty Received],tblReceipts[Item Name],$A844,tblReceipts[Expiry Date],$H844,tblReceipts[Lot Number],"&lt;"&amp;Receipts!$C847))</f>
        <v/>
      </c>
      <c r="L844" s="26" t="str">
        <f>IF($A844="","",MIN($D844,MAX(0,SUMIFS(tblIssues[Qty Issued],tblIssues[Item Name],$A844)-$K844)))</f>
        <v/>
      </c>
      <c r="M844" s="26" t="str">
        <f>IF($A844="","",SUMIFS(tblIssues[Qty Issued],tblIssues[Lot Number],$B844))</f>
        <v/>
      </c>
      <c r="N844" s="26" t="str">
        <f t="shared" si="67"/>
        <v/>
      </c>
      <c r="O844" s="26" t="str">
        <f t="shared" si="68"/>
        <v/>
      </c>
      <c r="P844" s="21" t="str">
        <f t="shared" si="69"/>
        <v/>
      </c>
      <c r="Q844" s="52" t="str">
        <f>IF($A844="","",IF($O844&lt;=0,"Depleted",IF($I844&lt;0,"EXPIRED",IF($I844&lt;=Settings!$C$6,"CRITICAL",IF($I844&lt;=Settings!$C$5,"Expiring","In date")))))</f>
        <v/>
      </c>
    </row>
    <row r="845" spans="1:17" x14ac:dyDescent="0.35">
      <c r="A845" s="90" t="str">
        <f>IF(Receipts!$D848="","",Receipts!$D848)</f>
        <v/>
      </c>
      <c r="B845" s="18" t="str">
        <f>IF(Receipts!$C848="","",Receipts!$C848)</f>
        <v/>
      </c>
      <c r="C845" s="18" t="str">
        <f>IF($A845="","",IFERROR(INDEX(Items!$B$5:$B$597,MATCH($A845,Items!$A$5:$A$597,0)),""))</f>
        <v/>
      </c>
      <c r="D845" s="23" t="str">
        <f>IF($A845="","",N(Receipts!$G848))</f>
        <v/>
      </c>
      <c r="E845" s="20" t="str">
        <f>IF($A845="","",IFERROR(INDEX(Items!$D$5:$D$597,MATCH($A845,Items!$A$5:$A$597,0)),0))</f>
        <v/>
      </c>
      <c r="F845" s="21" t="str">
        <f t="shared" si="65"/>
        <v/>
      </c>
      <c r="G845" s="25" t="str">
        <f>IF(Receipts!$I848="","",Receipts!$I848)</f>
        <v/>
      </c>
      <c r="H845" s="25" t="str">
        <f>IF(Receipts!$H848="","",Receipts!$H848)</f>
        <v/>
      </c>
      <c r="I845" s="26" t="str">
        <f t="shared" ca="1" si="66"/>
        <v/>
      </c>
      <c r="J845" s="26" t="str">
        <f>IF($A845="","",COUNTIFS(tblReceipts[Item Name],$A845,tblReceipts[Expiry Date],"&lt;"&amp;$H845)+COUNTIFS(tblReceipts[Item Name],$A845,tblReceipts[Expiry Date],$H845,tblReceipts[Lot Number],"&lt;="&amp;Receipts!$C848))</f>
        <v/>
      </c>
      <c r="K845" s="26" t="str">
        <f>IF($A845="","",SUMIFS(tblReceipts[Qty Received],tblReceipts[Item Name],$A845,tblReceipts[Expiry Date],"&lt;"&amp;$H845)+SUMIFS(tblReceipts[Qty Received],tblReceipts[Item Name],$A845,tblReceipts[Expiry Date],$H845,tblReceipts[Lot Number],"&lt;"&amp;Receipts!$C848))</f>
        <v/>
      </c>
      <c r="L845" s="26" t="str">
        <f>IF($A845="","",MIN($D845,MAX(0,SUMIFS(tblIssues[Qty Issued],tblIssues[Item Name],$A845)-$K845)))</f>
        <v/>
      </c>
      <c r="M845" s="26" t="str">
        <f>IF($A845="","",SUMIFS(tblIssues[Qty Issued],tblIssues[Lot Number],$B845))</f>
        <v/>
      </c>
      <c r="N845" s="26" t="str">
        <f t="shared" si="67"/>
        <v/>
      </c>
      <c r="O845" s="26" t="str">
        <f t="shared" si="68"/>
        <v/>
      </c>
      <c r="P845" s="21" t="str">
        <f t="shared" si="69"/>
        <v/>
      </c>
      <c r="Q845" s="52" t="str">
        <f>IF($A845="","",IF($O845&lt;=0,"Depleted",IF($I845&lt;0,"EXPIRED",IF($I845&lt;=Settings!$C$6,"CRITICAL",IF($I845&lt;=Settings!$C$5,"Expiring","In date")))))</f>
        <v/>
      </c>
    </row>
    <row r="846" spans="1:17" x14ac:dyDescent="0.35">
      <c r="A846" s="90" t="str">
        <f>IF(Receipts!$D849="","",Receipts!$D849)</f>
        <v/>
      </c>
      <c r="B846" s="18" t="str">
        <f>IF(Receipts!$C849="","",Receipts!$C849)</f>
        <v/>
      </c>
      <c r="C846" s="18" t="str">
        <f>IF($A846="","",IFERROR(INDEX(Items!$B$5:$B$597,MATCH($A846,Items!$A$5:$A$597,0)),""))</f>
        <v/>
      </c>
      <c r="D846" s="23" t="str">
        <f>IF($A846="","",N(Receipts!$G849))</f>
        <v/>
      </c>
      <c r="E846" s="20" t="str">
        <f>IF($A846="","",IFERROR(INDEX(Items!$D$5:$D$597,MATCH($A846,Items!$A$5:$A$597,0)),0))</f>
        <v/>
      </c>
      <c r="F846" s="21" t="str">
        <f t="shared" si="65"/>
        <v/>
      </c>
      <c r="G846" s="25" t="str">
        <f>IF(Receipts!$I849="","",Receipts!$I849)</f>
        <v/>
      </c>
      <c r="H846" s="25" t="str">
        <f>IF(Receipts!$H849="","",Receipts!$H849)</f>
        <v/>
      </c>
      <c r="I846" s="26" t="str">
        <f t="shared" ca="1" si="66"/>
        <v/>
      </c>
      <c r="J846" s="26" t="str">
        <f>IF($A846="","",COUNTIFS(tblReceipts[Item Name],$A846,tblReceipts[Expiry Date],"&lt;"&amp;$H846)+COUNTIFS(tblReceipts[Item Name],$A846,tblReceipts[Expiry Date],$H846,tblReceipts[Lot Number],"&lt;="&amp;Receipts!$C849))</f>
        <v/>
      </c>
      <c r="K846" s="26" t="str">
        <f>IF($A846="","",SUMIFS(tblReceipts[Qty Received],tblReceipts[Item Name],$A846,tblReceipts[Expiry Date],"&lt;"&amp;$H846)+SUMIFS(tblReceipts[Qty Received],tblReceipts[Item Name],$A846,tblReceipts[Expiry Date],$H846,tblReceipts[Lot Number],"&lt;"&amp;Receipts!$C849))</f>
        <v/>
      </c>
      <c r="L846" s="26" t="str">
        <f>IF($A846="","",MIN($D846,MAX(0,SUMIFS(tblIssues[Qty Issued],tblIssues[Item Name],$A846)-$K846)))</f>
        <v/>
      </c>
      <c r="M846" s="26" t="str">
        <f>IF($A846="","",SUMIFS(tblIssues[Qty Issued],tblIssues[Lot Number],$B846))</f>
        <v/>
      </c>
      <c r="N846" s="26" t="str">
        <f t="shared" si="67"/>
        <v/>
      </c>
      <c r="O846" s="26" t="str">
        <f t="shared" si="68"/>
        <v/>
      </c>
      <c r="P846" s="21" t="str">
        <f t="shared" si="69"/>
        <v/>
      </c>
      <c r="Q846" s="52" t="str">
        <f>IF($A846="","",IF($O846&lt;=0,"Depleted",IF($I846&lt;0,"EXPIRED",IF($I846&lt;=Settings!$C$6,"CRITICAL",IF($I846&lt;=Settings!$C$5,"Expiring","In date")))))</f>
        <v/>
      </c>
    </row>
    <row r="847" spans="1:17" x14ac:dyDescent="0.35">
      <c r="A847" s="90" t="str">
        <f>IF(Receipts!$D850="","",Receipts!$D850)</f>
        <v/>
      </c>
      <c r="B847" s="18" t="str">
        <f>IF(Receipts!$C850="","",Receipts!$C850)</f>
        <v/>
      </c>
      <c r="C847" s="18" t="str">
        <f>IF($A847="","",IFERROR(INDEX(Items!$B$5:$B$597,MATCH($A847,Items!$A$5:$A$597,0)),""))</f>
        <v/>
      </c>
      <c r="D847" s="23" t="str">
        <f>IF($A847="","",N(Receipts!$G850))</f>
        <v/>
      </c>
      <c r="E847" s="20" t="str">
        <f>IF($A847="","",IFERROR(INDEX(Items!$D$5:$D$597,MATCH($A847,Items!$A$5:$A$597,0)),0))</f>
        <v/>
      </c>
      <c r="F847" s="21" t="str">
        <f t="shared" si="65"/>
        <v/>
      </c>
      <c r="G847" s="25" t="str">
        <f>IF(Receipts!$I850="","",Receipts!$I850)</f>
        <v/>
      </c>
      <c r="H847" s="25" t="str">
        <f>IF(Receipts!$H850="","",Receipts!$H850)</f>
        <v/>
      </c>
      <c r="I847" s="26" t="str">
        <f t="shared" ca="1" si="66"/>
        <v/>
      </c>
      <c r="J847" s="26" t="str">
        <f>IF($A847="","",COUNTIFS(tblReceipts[Item Name],$A847,tblReceipts[Expiry Date],"&lt;"&amp;$H847)+COUNTIFS(tblReceipts[Item Name],$A847,tblReceipts[Expiry Date],$H847,tblReceipts[Lot Number],"&lt;="&amp;Receipts!$C850))</f>
        <v/>
      </c>
      <c r="K847" s="26" t="str">
        <f>IF($A847="","",SUMIFS(tblReceipts[Qty Received],tblReceipts[Item Name],$A847,tblReceipts[Expiry Date],"&lt;"&amp;$H847)+SUMIFS(tblReceipts[Qty Received],tblReceipts[Item Name],$A847,tblReceipts[Expiry Date],$H847,tblReceipts[Lot Number],"&lt;"&amp;Receipts!$C850))</f>
        <v/>
      </c>
      <c r="L847" s="26" t="str">
        <f>IF($A847="","",MIN($D847,MAX(0,SUMIFS(tblIssues[Qty Issued],tblIssues[Item Name],$A847)-$K847)))</f>
        <v/>
      </c>
      <c r="M847" s="26" t="str">
        <f>IF($A847="","",SUMIFS(tblIssues[Qty Issued],tblIssues[Lot Number],$B847))</f>
        <v/>
      </c>
      <c r="N847" s="26" t="str">
        <f t="shared" si="67"/>
        <v/>
      </c>
      <c r="O847" s="26" t="str">
        <f t="shared" si="68"/>
        <v/>
      </c>
      <c r="P847" s="21" t="str">
        <f t="shared" si="69"/>
        <v/>
      </c>
      <c r="Q847" s="52" t="str">
        <f>IF($A847="","",IF($O847&lt;=0,"Depleted",IF($I847&lt;0,"EXPIRED",IF($I847&lt;=Settings!$C$6,"CRITICAL",IF($I847&lt;=Settings!$C$5,"Expiring","In date")))))</f>
        <v/>
      </c>
    </row>
    <row r="848" spans="1:17" x14ac:dyDescent="0.35">
      <c r="A848" s="90" t="str">
        <f>IF(Receipts!$D851="","",Receipts!$D851)</f>
        <v/>
      </c>
      <c r="B848" s="18" t="str">
        <f>IF(Receipts!$C851="","",Receipts!$C851)</f>
        <v/>
      </c>
      <c r="C848" s="18" t="str">
        <f>IF($A848="","",IFERROR(INDEX(Items!$B$5:$B$597,MATCH($A848,Items!$A$5:$A$597,0)),""))</f>
        <v/>
      </c>
      <c r="D848" s="23" t="str">
        <f>IF($A848="","",N(Receipts!$G851))</f>
        <v/>
      </c>
      <c r="E848" s="20" t="str">
        <f>IF($A848="","",IFERROR(INDEX(Items!$D$5:$D$597,MATCH($A848,Items!$A$5:$A$597,0)),0))</f>
        <v/>
      </c>
      <c r="F848" s="21" t="str">
        <f t="shared" si="65"/>
        <v/>
      </c>
      <c r="G848" s="25" t="str">
        <f>IF(Receipts!$I851="","",Receipts!$I851)</f>
        <v/>
      </c>
      <c r="H848" s="25" t="str">
        <f>IF(Receipts!$H851="","",Receipts!$H851)</f>
        <v/>
      </c>
      <c r="I848" s="26" t="str">
        <f t="shared" ca="1" si="66"/>
        <v/>
      </c>
      <c r="J848" s="26" t="str">
        <f>IF($A848="","",COUNTIFS(tblReceipts[Item Name],$A848,tblReceipts[Expiry Date],"&lt;"&amp;$H848)+COUNTIFS(tblReceipts[Item Name],$A848,tblReceipts[Expiry Date],$H848,tblReceipts[Lot Number],"&lt;="&amp;Receipts!$C851))</f>
        <v/>
      </c>
      <c r="K848" s="26" t="str">
        <f>IF($A848="","",SUMIFS(tblReceipts[Qty Received],tblReceipts[Item Name],$A848,tblReceipts[Expiry Date],"&lt;"&amp;$H848)+SUMIFS(tblReceipts[Qty Received],tblReceipts[Item Name],$A848,tblReceipts[Expiry Date],$H848,tblReceipts[Lot Number],"&lt;"&amp;Receipts!$C851))</f>
        <v/>
      </c>
      <c r="L848" s="26" t="str">
        <f>IF($A848="","",MIN($D848,MAX(0,SUMIFS(tblIssues[Qty Issued],tblIssues[Item Name],$A848)-$K848)))</f>
        <v/>
      </c>
      <c r="M848" s="26" t="str">
        <f>IF($A848="","",SUMIFS(tblIssues[Qty Issued],tblIssues[Lot Number],$B848))</f>
        <v/>
      </c>
      <c r="N848" s="26" t="str">
        <f t="shared" si="67"/>
        <v/>
      </c>
      <c r="O848" s="26" t="str">
        <f t="shared" si="68"/>
        <v/>
      </c>
      <c r="P848" s="21" t="str">
        <f t="shared" si="69"/>
        <v/>
      </c>
      <c r="Q848" s="52" t="str">
        <f>IF($A848="","",IF($O848&lt;=0,"Depleted",IF($I848&lt;0,"EXPIRED",IF($I848&lt;=Settings!$C$6,"CRITICAL",IF($I848&lt;=Settings!$C$5,"Expiring","In date")))))</f>
        <v/>
      </c>
    </row>
    <row r="849" spans="1:17" x14ac:dyDescent="0.35">
      <c r="A849" s="90" t="str">
        <f>IF(Receipts!$D852="","",Receipts!$D852)</f>
        <v/>
      </c>
      <c r="B849" s="18" t="str">
        <f>IF(Receipts!$C852="","",Receipts!$C852)</f>
        <v/>
      </c>
      <c r="C849" s="18" t="str">
        <f>IF($A849="","",IFERROR(INDEX(Items!$B$5:$B$597,MATCH($A849,Items!$A$5:$A$597,0)),""))</f>
        <v/>
      </c>
      <c r="D849" s="23" t="str">
        <f>IF($A849="","",N(Receipts!$G852))</f>
        <v/>
      </c>
      <c r="E849" s="20" t="str">
        <f>IF($A849="","",IFERROR(INDEX(Items!$D$5:$D$597,MATCH($A849,Items!$A$5:$A$597,0)),0))</f>
        <v/>
      </c>
      <c r="F849" s="21" t="str">
        <f t="shared" si="65"/>
        <v/>
      </c>
      <c r="G849" s="25" t="str">
        <f>IF(Receipts!$I852="","",Receipts!$I852)</f>
        <v/>
      </c>
      <c r="H849" s="25" t="str">
        <f>IF(Receipts!$H852="","",Receipts!$H852)</f>
        <v/>
      </c>
      <c r="I849" s="26" t="str">
        <f t="shared" ca="1" si="66"/>
        <v/>
      </c>
      <c r="J849" s="26" t="str">
        <f>IF($A849="","",COUNTIFS(tblReceipts[Item Name],$A849,tblReceipts[Expiry Date],"&lt;"&amp;$H849)+COUNTIFS(tblReceipts[Item Name],$A849,tblReceipts[Expiry Date],$H849,tblReceipts[Lot Number],"&lt;="&amp;Receipts!$C852))</f>
        <v/>
      </c>
      <c r="K849" s="26" t="str">
        <f>IF($A849="","",SUMIFS(tblReceipts[Qty Received],tblReceipts[Item Name],$A849,tblReceipts[Expiry Date],"&lt;"&amp;$H849)+SUMIFS(tblReceipts[Qty Received],tblReceipts[Item Name],$A849,tblReceipts[Expiry Date],$H849,tblReceipts[Lot Number],"&lt;"&amp;Receipts!$C852))</f>
        <v/>
      </c>
      <c r="L849" s="26" t="str">
        <f>IF($A849="","",MIN($D849,MAX(0,SUMIFS(tblIssues[Qty Issued],tblIssues[Item Name],$A849)-$K849)))</f>
        <v/>
      </c>
      <c r="M849" s="26" t="str">
        <f>IF($A849="","",SUMIFS(tblIssues[Qty Issued],tblIssues[Lot Number],$B849))</f>
        <v/>
      </c>
      <c r="N849" s="26" t="str">
        <f t="shared" si="67"/>
        <v/>
      </c>
      <c r="O849" s="26" t="str">
        <f t="shared" si="68"/>
        <v/>
      </c>
      <c r="P849" s="21" t="str">
        <f t="shared" si="69"/>
        <v/>
      </c>
      <c r="Q849" s="52" t="str">
        <f>IF($A849="","",IF($O849&lt;=0,"Depleted",IF($I849&lt;0,"EXPIRED",IF($I849&lt;=Settings!$C$6,"CRITICAL",IF($I849&lt;=Settings!$C$5,"Expiring","In date")))))</f>
        <v/>
      </c>
    </row>
    <row r="850" spans="1:17" x14ac:dyDescent="0.35">
      <c r="A850" s="90" t="str">
        <f>IF(Receipts!$D853="","",Receipts!$D853)</f>
        <v/>
      </c>
      <c r="B850" s="18" t="str">
        <f>IF(Receipts!$C853="","",Receipts!$C853)</f>
        <v/>
      </c>
      <c r="C850" s="18" t="str">
        <f>IF($A850="","",IFERROR(INDEX(Items!$B$5:$B$597,MATCH($A850,Items!$A$5:$A$597,0)),""))</f>
        <v/>
      </c>
      <c r="D850" s="23" t="str">
        <f>IF($A850="","",N(Receipts!$G853))</f>
        <v/>
      </c>
      <c r="E850" s="20" t="str">
        <f>IF($A850="","",IFERROR(INDEX(Items!$D$5:$D$597,MATCH($A850,Items!$A$5:$A$597,0)),0))</f>
        <v/>
      </c>
      <c r="F850" s="21" t="str">
        <f t="shared" si="65"/>
        <v/>
      </c>
      <c r="G850" s="25" t="str">
        <f>IF(Receipts!$I853="","",Receipts!$I853)</f>
        <v/>
      </c>
      <c r="H850" s="25" t="str">
        <f>IF(Receipts!$H853="","",Receipts!$H853)</f>
        <v/>
      </c>
      <c r="I850" s="26" t="str">
        <f t="shared" ca="1" si="66"/>
        <v/>
      </c>
      <c r="J850" s="26" t="str">
        <f>IF($A850="","",COUNTIFS(tblReceipts[Item Name],$A850,tblReceipts[Expiry Date],"&lt;"&amp;$H850)+COUNTIFS(tblReceipts[Item Name],$A850,tblReceipts[Expiry Date],$H850,tblReceipts[Lot Number],"&lt;="&amp;Receipts!$C853))</f>
        <v/>
      </c>
      <c r="K850" s="26" t="str">
        <f>IF($A850="","",SUMIFS(tblReceipts[Qty Received],tblReceipts[Item Name],$A850,tblReceipts[Expiry Date],"&lt;"&amp;$H850)+SUMIFS(tblReceipts[Qty Received],tblReceipts[Item Name],$A850,tblReceipts[Expiry Date],$H850,tblReceipts[Lot Number],"&lt;"&amp;Receipts!$C853))</f>
        <v/>
      </c>
      <c r="L850" s="26" t="str">
        <f>IF($A850="","",MIN($D850,MAX(0,SUMIFS(tblIssues[Qty Issued],tblIssues[Item Name],$A850)-$K850)))</f>
        <v/>
      </c>
      <c r="M850" s="26" t="str">
        <f>IF($A850="","",SUMIFS(tblIssues[Qty Issued],tblIssues[Lot Number],$B850))</f>
        <v/>
      </c>
      <c r="N850" s="26" t="str">
        <f t="shared" si="67"/>
        <v/>
      </c>
      <c r="O850" s="26" t="str">
        <f t="shared" si="68"/>
        <v/>
      </c>
      <c r="P850" s="21" t="str">
        <f t="shared" si="69"/>
        <v/>
      </c>
      <c r="Q850" s="52" t="str">
        <f>IF($A850="","",IF($O850&lt;=0,"Depleted",IF($I850&lt;0,"EXPIRED",IF($I850&lt;=Settings!$C$6,"CRITICAL",IF($I850&lt;=Settings!$C$5,"Expiring","In date")))))</f>
        <v/>
      </c>
    </row>
    <row r="851" spans="1:17" x14ac:dyDescent="0.35">
      <c r="A851" s="90" t="str">
        <f>IF(Receipts!$D854="","",Receipts!$D854)</f>
        <v/>
      </c>
      <c r="B851" s="18" t="str">
        <f>IF(Receipts!$C854="","",Receipts!$C854)</f>
        <v/>
      </c>
      <c r="C851" s="18" t="str">
        <f>IF($A851="","",IFERROR(INDEX(Items!$B$5:$B$597,MATCH($A851,Items!$A$5:$A$597,0)),""))</f>
        <v/>
      </c>
      <c r="D851" s="23" t="str">
        <f>IF($A851="","",N(Receipts!$G854))</f>
        <v/>
      </c>
      <c r="E851" s="20" t="str">
        <f>IF($A851="","",IFERROR(INDEX(Items!$D$5:$D$597,MATCH($A851,Items!$A$5:$A$597,0)),0))</f>
        <v/>
      </c>
      <c r="F851" s="21" t="str">
        <f t="shared" si="65"/>
        <v/>
      </c>
      <c r="G851" s="25" t="str">
        <f>IF(Receipts!$I854="","",Receipts!$I854)</f>
        <v/>
      </c>
      <c r="H851" s="25" t="str">
        <f>IF(Receipts!$H854="","",Receipts!$H854)</f>
        <v/>
      </c>
      <c r="I851" s="26" t="str">
        <f t="shared" ca="1" si="66"/>
        <v/>
      </c>
      <c r="J851" s="26" t="str">
        <f>IF($A851="","",COUNTIFS(tblReceipts[Item Name],$A851,tblReceipts[Expiry Date],"&lt;"&amp;$H851)+COUNTIFS(tblReceipts[Item Name],$A851,tblReceipts[Expiry Date],$H851,tblReceipts[Lot Number],"&lt;="&amp;Receipts!$C854))</f>
        <v/>
      </c>
      <c r="K851" s="26" t="str">
        <f>IF($A851="","",SUMIFS(tblReceipts[Qty Received],tblReceipts[Item Name],$A851,tblReceipts[Expiry Date],"&lt;"&amp;$H851)+SUMIFS(tblReceipts[Qty Received],tblReceipts[Item Name],$A851,tblReceipts[Expiry Date],$H851,tblReceipts[Lot Number],"&lt;"&amp;Receipts!$C854))</f>
        <v/>
      </c>
      <c r="L851" s="26" t="str">
        <f>IF($A851="","",MIN($D851,MAX(0,SUMIFS(tblIssues[Qty Issued],tblIssues[Item Name],$A851)-$K851)))</f>
        <v/>
      </c>
      <c r="M851" s="26" t="str">
        <f>IF($A851="","",SUMIFS(tblIssues[Qty Issued],tblIssues[Lot Number],$B851))</f>
        <v/>
      </c>
      <c r="N851" s="26" t="str">
        <f t="shared" si="67"/>
        <v/>
      </c>
      <c r="O851" s="26" t="str">
        <f t="shared" si="68"/>
        <v/>
      </c>
      <c r="P851" s="21" t="str">
        <f t="shared" si="69"/>
        <v/>
      </c>
      <c r="Q851" s="52" t="str">
        <f>IF($A851="","",IF($O851&lt;=0,"Depleted",IF($I851&lt;0,"EXPIRED",IF($I851&lt;=Settings!$C$6,"CRITICAL",IF($I851&lt;=Settings!$C$5,"Expiring","In date")))))</f>
        <v/>
      </c>
    </row>
    <row r="852" spans="1:17" x14ac:dyDescent="0.35">
      <c r="A852" s="90" t="str">
        <f>IF(Receipts!$D855="","",Receipts!$D855)</f>
        <v/>
      </c>
      <c r="B852" s="18" t="str">
        <f>IF(Receipts!$C855="","",Receipts!$C855)</f>
        <v/>
      </c>
      <c r="C852" s="18" t="str">
        <f>IF($A852="","",IFERROR(INDEX(Items!$B$5:$B$597,MATCH($A852,Items!$A$5:$A$597,0)),""))</f>
        <v/>
      </c>
      <c r="D852" s="23" t="str">
        <f>IF($A852="","",N(Receipts!$G855))</f>
        <v/>
      </c>
      <c r="E852" s="20" t="str">
        <f>IF($A852="","",IFERROR(INDEX(Items!$D$5:$D$597,MATCH($A852,Items!$A$5:$A$597,0)),0))</f>
        <v/>
      </c>
      <c r="F852" s="21" t="str">
        <f t="shared" si="65"/>
        <v/>
      </c>
      <c r="G852" s="25" t="str">
        <f>IF(Receipts!$I855="","",Receipts!$I855)</f>
        <v/>
      </c>
      <c r="H852" s="25" t="str">
        <f>IF(Receipts!$H855="","",Receipts!$H855)</f>
        <v/>
      </c>
      <c r="I852" s="26" t="str">
        <f t="shared" ca="1" si="66"/>
        <v/>
      </c>
      <c r="J852" s="26" t="str">
        <f>IF($A852="","",COUNTIFS(tblReceipts[Item Name],$A852,tblReceipts[Expiry Date],"&lt;"&amp;$H852)+COUNTIFS(tblReceipts[Item Name],$A852,tblReceipts[Expiry Date],$H852,tblReceipts[Lot Number],"&lt;="&amp;Receipts!$C855))</f>
        <v/>
      </c>
      <c r="K852" s="26" t="str">
        <f>IF($A852="","",SUMIFS(tblReceipts[Qty Received],tblReceipts[Item Name],$A852,tblReceipts[Expiry Date],"&lt;"&amp;$H852)+SUMIFS(tblReceipts[Qty Received],tblReceipts[Item Name],$A852,tblReceipts[Expiry Date],$H852,tblReceipts[Lot Number],"&lt;"&amp;Receipts!$C855))</f>
        <v/>
      </c>
      <c r="L852" s="26" t="str">
        <f>IF($A852="","",MIN($D852,MAX(0,SUMIFS(tblIssues[Qty Issued],tblIssues[Item Name],$A852)-$K852)))</f>
        <v/>
      </c>
      <c r="M852" s="26" t="str">
        <f>IF($A852="","",SUMIFS(tblIssues[Qty Issued],tblIssues[Lot Number],$B852))</f>
        <v/>
      </c>
      <c r="N852" s="26" t="str">
        <f t="shared" si="67"/>
        <v/>
      </c>
      <c r="O852" s="26" t="str">
        <f t="shared" si="68"/>
        <v/>
      </c>
      <c r="P852" s="21" t="str">
        <f t="shared" si="69"/>
        <v/>
      </c>
      <c r="Q852" s="52" t="str">
        <f>IF($A852="","",IF($O852&lt;=0,"Depleted",IF($I852&lt;0,"EXPIRED",IF($I852&lt;=Settings!$C$6,"CRITICAL",IF($I852&lt;=Settings!$C$5,"Expiring","In date")))))</f>
        <v/>
      </c>
    </row>
    <row r="853" spans="1:17" x14ac:dyDescent="0.35">
      <c r="A853" s="90" t="str">
        <f>IF(Receipts!$D856="","",Receipts!$D856)</f>
        <v/>
      </c>
      <c r="B853" s="18" t="str">
        <f>IF(Receipts!$C856="","",Receipts!$C856)</f>
        <v/>
      </c>
      <c r="C853" s="18" t="str">
        <f>IF($A853="","",IFERROR(INDEX(Items!$B$5:$B$597,MATCH($A853,Items!$A$5:$A$597,0)),""))</f>
        <v/>
      </c>
      <c r="D853" s="23" t="str">
        <f>IF($A853="","",N(Receipts!$G856))</f>
        <v/>
      </c>
      <c r="E853" s="20" t="str">
        <f>IF($A853="","",IFERROR(INDEX(Items!$D$5:$D$597,MATCH($A853,Items!$A$5:$A$597,0)),0))</f>
        <v/>
      </c>
      <c r="F853" s="21" t="str">
        <f t="shared" si="65"/>
        <v/>
      </c>
      <c r="G853" s="25" t="str">
        <f>IF(Receipts!$I856="","",Receipts!$I856)</f>
        <v/>
      </c>
      <c r="H853" s="25" t="str">
        <f>IF(Receipts!$H856="","",Receipts!$H856)</f>
        <v/>
      </c>
      <c r="I853" s="26" t="str">
        <f t="shared" ca="1" si="66"/>
        <v/>
      </c>
      <c r="J853" s="26" t="str">
        <f>IF($A853="","",COUNTIFS(tblReceipts[Item Name],$A853,tblReceipts[Expiry Date],"&lt;"&amp;$H853)+COUNTIFS(tblReceipts[Item Name],$A853,tblReceipts[Expiry Date],$H853,tblReceipts[Lot Number],"&lt;="&amp;Receipts!$C856))</f>
        <v/>
      </c>
      <c r="K853" s="26" t="str">
        <f>IF($A853="","",SUMIFS(tblReceipts[Qty Received],tblReceipts[Item Name],$A853,tblReceipts[Expiry Date],"&lt;"&amp;$H853)+SUMIFS(tblReceipts[Qty Received],tblReceipts[Item Name],$A853,tblReceipts[Expiry Date],$H853,tblReceipts[Lot Number],"&lt;"&amp;Receipts!$C856))</f>
        <v/>
      </c>
      <c r="L853" s="26" t="str">
        <f>IF($A853="","",MIN($D853,MAX(0,SUMIFS(tblIssues[Qty Issued],tblIssues[Item Name],$A853)-$K853)))</f>
        <v/>
      </c>
      <c r="M853" s="26" t="str">
        <f>IF($A853="","",SUMIFS(tblIssues[Qty Issued],tblIssues[Lot Number],$B853))</f>
        <v/>
      </c>
      <c r="N853" s="26" t="str">
        <f t="shared" si="67"/>
        <v/>
      </c>
      <c r="O853" s="26" t="str">
        <f t="shared" si="68"/>
        <v/>
      </c>
      <c r="P853" s="21" t="str">
        <f t="shared" si="69"/>
        <v/>
      </c>
      <c r="Q853" s="52" t="str">
        <f>IF($A853="","",IF($O853&lt;=0,"Depleted",IF($I853&lt;0,"EXPIRED",IF($I853&lt;=Settings!$C$6,"CRITICAL",IF($I853&lt;=Settings!$C$5,"Expiring","In date")))))</f>
        <v/>
      </c>
    </row>
    <row r="854" spans="1:17" x14ac:dyDescent="0.35">
      <c r="A854" s="90" t="str">
        <f>IF(Receipts!$D857="","",Receipts!$D857)</f>
        <v/>
      </c>
      <c r="B854" s="18" t="str">
        <f>IF(Receipts!$C857="","",Receipts!$C857)</f>
        <v/>
      </c>
      <c r="C854" s="18" t="str">
        <f>IF($A854="","",IFERROR(INDEX(Items!$B$5:$B$597,MATCH($A854,Items!$A$5:$A$597,0)),""))</f>
        <v/>
      </c>
      <c r="D854" s="23" t="str">
        <f>IF($A854="","",N(Receipts!$G857))</f>
        <v/>
      </c>
      <c r="E854" s="20" t="str">
        <f>IF($A854="","",IFERROR(INDEX(Items!$D$5:$D$597,MATCH($A854,Items!$A$5:$A$597,0)),0))</f>
        <v/>
      </c>
      <c r="F854" s="21" t="str">
        <f t="shared" si="65"/>
        <v/>
      </c>
      <c r="G854" s="25" t="str">
        <f>IF(Receipts!$I857="","",Receipts!$I857)</f>
        <v/>
      </c>
      <c r="H854" s="25" t="str">
        <f>IF(Receipts!$H857="","",Receipts!$H857)</f>
        <v/>
      </c>
      <c r="I854" s="26" t="str">
        <f t="shared" ca="1" si="66"/>
        <v/>
      </c>
      <c r="J854" s="26" t="str">
        <f>IF($A854="","",COUNTIFS(tblReceipts[Item Name],$A854,tblReceipts[Expiry Date],"&lt;"&amp;$H854)+COUNTIFS(tblReceipts[Item Name],$A854,tblReceipts[Expiry Date],$H854,tblReceipts[Lot Number],"&lt;="&amp;Receipts!$C857))</f>
        <v/>
      </c>
      <c r="K854" s="26" t="str">
        <f>IF($A854="","",SUMIFS(tblReceipts[Qty Received],tblReceipts[Item Name],$A854,tblReceipts[Expiry Date],"&lt;"&amp;$H854)+SUMIFS(tblReceipts[Qty Received],tblReceipts[Item Name],$A854,tblReceipts[Expiry Date],$H854,tblReceipts[Lot Number],"&lt;"&amp;Receipts!$C857))</f>
        <v/>
      </c>
      <c r="L854" s="26" t="str">
        <f>IF($A854="","",MIN($D854,MAX(0,SUMIFS(tblIssues[Qty Issued],tblIssues[Item Name],$A854)-$K854)))</f>
        <v/>
      </c>
      <c r="M854" s="26" t="str">
        <f>IF($A854="","",SUMIFS(tblIssues[Qty Issued],tblIssues[Lot Number],$B854))</f>
        <v/>
      </c>
      <c r="N854" s="26" t="str">
        <f t="shared" si="67"/>
        <v/>
      </c>
      <c r="O854" s="26" t="str">
        <f t="shared" si="68"/>
        <v/>
      </c>
      <c r="P854" s="21" t="str">
        <f t="shared" si="69"/>
        <v/>
      </c>
      <c r="Q854" s="52" t="str">
        <f>IF($A854="","",IF($O854&lt;=0,"Depleted",IF($I854&lt;0,"EXPIRED",IF($I854&lt;=Settings!$C$6,"CRITICAL",IF($I854&lt;=Settings!$C$5,"Expiring","In date")))))</f>
        <v/>
      </c>
    </row>
    <row r="855" spans="1:17" x14ac:dyDescent="0.35">
      <c r="A855" s="90" t="str">
        <f>IF(Receipts!$D858="","",Receipts!$D858)</f>
        <v/>
      </c>
      <c r="B855" s="18" t="str">
        <f>IF(Receipts!$C858="","",Receipts!$C858)</f>
        <v/>
      </c>
      <c r="C855" s="18" t="str">
        <f>IF($A855="","",IFERROR(INDEX(Items!$B$5:$B$597,MATCH($A855,Items!$A$5:$A$597,0)),""))</f>
        <v/>
      </c>
      <c r="D855" s="23" t="str">
        <f>IF($A855="","",N(Receipts!$G858))</f>
        <v/>
      </c>
      <c r="E855" s="20" t="str">
        <f>IF($A855="","",IFERROR(INDEX(Items!$D$5:$D$597,MATCH($A855,Items!$A$5:$A$597,0)),0))</f>
        <v/>
      </c>
      <c r="F855" s="21" t="str">
        <f t="shared" si="65"/>
        <v/>
      </c>
      <c r="G855" s="25" t="str">
        <f>IF(Receipts!$I858="","",Receipts!$I858)</f>
        <v/>
      </c>
      <c r="H855" s="25" t="str">
        <f>IF(Receipts!$H858="","",Receipts!$H858)</f>
        <v/>
      </c>
      <c r="I855" s="26" t="str">
        <f t="shared" ca="1" si="66"/>
        <v/>
      </c>
      <c r="J855" s="26" t="str">
        <f>IF($A855="","",COUNTIFS(tblReceipts[Item Name],$A855,tblReceipts[Expiry Date],"&lt;"&amp;$H855)+COUNTIFS(tblReceipts[Item Name],$A855,tblReceipts[Expiry Date],$H855,tblReceipts[Lot Number],"&lt;="&amp;Receipts!$C858))</f>
        <v/>
      </c>
      <c r="K855" s="26" t="str">
        <f>IF($A855="","",SUMIFS(tblReceipts[Qty Received],tblReceipts[Item Name],$A855,tblReceipts[Expiry Date],"&lt;"&amp;$H855)+SUMIFS(tblReceipts[Qty Received],tblReceipts[Item Name],$A855,tblReceipts[Expiry Date],$H855,tblReceipts[Lot Number],"&lt;"&amp;Receipts!$C858))</f>
        <v/>
      </c>
      <c r="L855" s="26" t="str">
        <f>IF($A855="","",MIN($D855,MAX(0,SUMIFS(tblIssues[Qty Issued],tblIssues[Item Name],$A855)-$K855)))</f>
        <v/>
      </c>
      <c r="M855" s="26" t="str">
        <f>IF($A855="","",SUMIFS(tblIssues[Qty Issued],tblIssues[Lot Number],$B855))</f>
        <v/>
      </c>
      <c r="N855" s="26" t="str">
        <f t="shared" si="67"/>
        <v/>
      </c>
      <c r="O855" s="26" t="str">
        <f t="shared" si="68"/>
        <v/>
      </c>
      <c r="P855" s="21" t="str">
        <f t="shared" si="69"/>
        <v/>
      </c>
      <c r="Q855" s="52" t="str">
        <f>IF($A855="","",IF($O855&lt;=0,"Depleted",IF($I855&lt;0,"EXPIRED",IF($I855&lt;=Settings!$C$6,"CRITICAL",IF($I855&lt;=Settings!$C$5,"Expiring","In date")))))</f>
        <v/>
      </c>
    </row>
    <row r="856" spans="1:17" x14ac:dyDescent="0.35">
      <c r="A856" s="90" t="str">
        <f>IF(Receipts!$D859="","",Receipts!$D859)</f>
        <v/>
      </c>
      <c r="B856" s="18" t="str">
        <f>IF(Receipts!$C859="","",Receipts!$C859)</f>
        <v/>
      </c>
      <c r="C856" s="18" t="str">
        <f>IF($A856="","",IFERROR(INDEX(Items!$B$5:$B$597,MATCH($A856,Items!$A$5:$A$597,0)),""))</f>
        <v/>
      </c>
      <c r="D856" s="23" t="str">
        <f>IF($A856="","",N(Receipts!$G859))</f>
        <v/>
      </c>
      <c r="E856" s="20" t="str">
        <f>IF($A856="","",IFERROR(INDEX(Items!$D$5:$D$597,MATCH($A856,Items!$A$5:$A$597,0)),0))</f>
        <v/>
      </c>
      <c r="F856" s="21" t="str">
        <f t="shared" si="65"/>
        <v/>
      </c>
      <c r="G856" s="25" t="str">
        <f>IF(Receipts!$I859="","",Receipts!$I859)</f>
        <v/>
      </c>
      <c r="H856" s="25" t="str">
        <f>IF(Receipts!$H859="","",Receipts!$H859)</f>
        <v/>
      </c>
      <c r="I856" s="26" t="str">
        <f t="shared" ca="1" si="66"/>
        <v/>
      </c>
      <c r="J856" s="26" t="str">
        <f>IF($A856="","",COUNTIFS(tblReceipts[Item Name],$A856,tblReceipts[Expiry Date],"&lt;"&amp;$H856)+COUNTIFS(tblReceipts[Item Name],$A856,tblReceipts[Expiry Date],$H856,tblReceipts[Lot Number],"&lt;="&amp;Receipts!$C859))</f>
        <v/>
      </c>
      <c r="K856" s="26" t="str">
        <f>IF($A856="","",SUMIFS(tblReceipts[Qty Received],tblReceipts[Item Name],$A856,tblReceipts[Expiry Date],"&lt;"&amp;$H856)+SUMIFS(tblReceipts[Qty Received],tblReceipts[Item Name],$A856,tblReceipts[Expiry Date],$H856,tblReceipts[Lot Number],"&lt;"&amp;Receipts!$C859))</f>
        <v/>
      </c>
      <c r="L856" s="26" t="str">
        <f>IF($A856="","",MIN($D856,MAX(0,SUMIFS(tblIssues[Qty Issued],tblIssues[Item Name],$A856)-$K856)))</f>
        <v/>
      </c>
      <c r="M856" s="26" t="str">
        <f>IF($A856="","",SUMIFS(tblIssues[Qty Issued],tblIssues[Lot Number],$B856))</f>
        <v/>
      </c>
      <c r="N856" s="26" t="str">
        <f t="shared" si="67"/>
        <v/>
      </c>
      <c r="O856" s="26" t="str">
        <f t="shared" si="68"/>
        <v/>
      </c>
      <c r="P856" s="21" t="str">
        <f t="shared" si="69"/>
        <v/>
      </c>
      <c r="Q856" s="52" t="str">
        <f>IF($A856="","",IF($O856&lt;=0,"Depleted",IF($I856&lt;0,"EXPIRED",IF($I856&lt;=Settings!$C$6,"CRITICAL",IF($I856&lt;=Settings!$C$5,"Expiring","In date")))))</f>
        <v/>
      </c>
    </row>
    <row r="857" spans="1:17" x14ac:dyDescent="0.35">
      <c r="A857" s="90" t="str">
        <f>IF(Receipts!$D860="","",Receipts!$D860)</f>
        <v/>
      </c>
      <c r="B857" s="18" t="str">
        <f>IF(Receipts!$C860="","",Receipts!$C860)</f>
        <v/>
      </c>
      <c r="C857" s="18" t="str">
        <f>IF($A857="","",IFERROR(INDEX(Items!$B$5:$B$597,MATCH($A857,Items!$A$5:$A$597,0)),""))</f>
        <v/>
      </c>
      <c r="D857" s="23" t="str">
        <f>IF($A857="","",N(Receipts!$G860))</f>
        <v/>
      </c>
      <c r="E857" s="20" t="str">
        <f>IF($A857="","",IFERROR(INDEX(Items!$D$5:$D$597,MATCH($A857,Items!$A$5:$A$597,0)),0))</f>
        <v/>
      </c>
      <c r="F857" s="21" t="str">
        <f t="shared" si="65"/>
        <v/>
      </c>
      <c r="G857" s="25" t="str">
        <f>IF(Receipts!$I860="","",Receipts!$I860)</f>
        <v/>
      </c>
      <c r="H857" s="25" t="str">
        <f>IF(Receipts!$H860="","",Receipts!$H860)</f>
        <v/>
      </c>
      <c r="I857" s="26" t="str">
        <f t="shared" ca="1" si="66"/>
        <v/>
      </c>
      <c r="J857" s="26" t="str">
        <f>IF($A857="","",COUNTIFS(tblReceipts[Item Name],$A857,tblReceipts[Expiry Date],"&lt;"&amp;$H857)+COUNTIFS(tblReceipts[Item Name],$A857,tblReceipts[Expiry Date],$H857,tblReceipts[Lot Number],"&lt;="&amp;Receipts!$C860))</f>
        <v/>
      </c>
      <c r="K857" s="26" t="str">
        <f>IF($A857="","",SUMIFS(tblReceipts[Qty Received],tblReceipts[Item Name],$A857,tblReceipts[Expiry Date],"&lt;"&amp;$H857)+SUMIFS(tblReceipts[Qty Received],tblReceipts[Item Name],$A857,tblReceipts[Expiry Date],$H857,tblReceipts[Lot Number],"&lt;"&amp;Receipts!$C860))</f>
        <v/>
      </c>
      <c r="L857" s="26" t="str">
        <f>IF($A857="","",MIN($D857,MAX(0,SUMIFS(tblIssues[Qty Issued],tblIssues[Item Name],$A857)-$K857)))</f>
        <v/>
      </c>
      <c r="M857" s="26" t="str">
        <f>IF($A857="","",SUMIFS(tblIssues[Qty Issued],tblIssues[Lot Number],$B857))</f>
        <v/>
      </c>
      <c r="N857" s="26" t="str">
        <f t="shared" si="67"/>
        <v/>
      </c>
      <c r="O857" s="26" t="str">
        <f t="shared" si="68"/>
        <v/>
      </c>
      <c r="P857" s="21" t="str">
        <f t="shared" si="69"/>
        <v/>
      </c>
      <c r="Q857" s="52" t="str">
        <f>IF($A857="","",IF($O857&lt;=0,"Depleted",IF($I857&lt;0,"EXPIRED",IF($I857&lt;=Settings!$C$6,"CRITICAL",IF($I857&lt;=Settings!$C$5,"Expiring","In date")))))</f>
        <v/>
      </c>
    </row>
    <row r="858" spans="1:17" x14ac:dyDescent="0.35">
      <c r="A858" s="90" t="str">
        <f>IF(Receipts!$D861="","",Receipts!$D861)</f>
        <v/>
      </c>
      <c r="B858" s="18" t="str">
        <f>IF(Receipts!$C861="","",Receipts!$C861)</f>
        <v/>
      </c>
      <c r="C858" s="18" t="str">
        <f>IF($A858="","",IFERROR(INDEX(Items!$B$5:$B$597,MATCH($A858,Items!$A$5:$A$597,0)),""))</f>
        <v/>
      </c>
      <c r="D858" s="23" t="str">
        <f>IF($A858="","",N(Receipts!$G861))</f>
        <v/>
      </c>
      <c r="E858" s="20" t="str">
        <f>IF($A858="","",IFERROR(INDEX(Items!$D$5:$D$597,MATCH($A858,Items!$A$5:$A$597,0)),0))</f>
        <v/>
      </c>
      <c r="F858" s="21" t="str">
        <f t="shared" si="65"/>
        <v/>
      </c>
      <c r="G858" s="25" t="str">
        <f>IF(Receipts!$I861="","",Receipts!$I861)</f>
        <v/>
      </c>
      <c r="H858" s="25" t="str">
        <f>IF(Receipts!$H861="","",Receipts!$H861)</f>
        <v/>
      </c>
      <c r="I858" s="26" t="str">
        <f t="shared" ca="1" si="66"/>
        <v/>
      </c>
      <c r="J858" s="26" t="str">
        <f>IF($A858="","",COUNTIFS(tblReceipts[Item Name],$A858,tblReceipts[Expiry Date],"&lt;"&amp;$H858)+COUNTIFS(tblReceipts[Item Name],$A858,tblReceipts[Expiry Date],$H858,tblReceipts[Lot Number],"&lt;="&amp;Receipts!$C861))</f>
        <v/>
      </c>
      <c r="K858" s="26" t="str">
        <f>IF($A858="","",SUMIFS(tblReceipts[Qty Received],tblReceipts[Item Name],$A858,tblReceipts[Expiry Date],"&lt;"&amp;$H858)+SUMIFS(tblReceipts[Qty Received],tblReceipts[Item Name],$A858,tblReceipts[Expiry Date],$H858,tblReceipts[Lot Number],"&lt;"&amp;Receipts!$C861))</f>
        <v/>
      </c>
      <c r="L858" s="26" t="str">
        <f>IF($A858="","",MIN($D858,MAX(0,SUMIFS(tblIssues[Qty Issued],tblIssues[Item Name],$A858)-$K858)))</f>
        <v/>
      </c>
      <c r="M858" s="26" t="str">
        <f>IF($A858="","",SUMIFS(tblIssues[Qty Issued],tblIssues[Lot Number],$B858))</f>
        <v/>
      </c>
      <c r="N858" s="26" t="str">
        <f t="shared" si="67"/>
        <v/>
      </c>
      <c r="O858" s="26" t="str">
        <f t="shared" si="68"/>
        <v/>
      </c>
      <c r="P858" s="21" t="str">
        <f t="shared" si="69"/>
        <v/>
      </c>
      <c r="Q858" s="52" t="str">
        <f>IF($A858="","",IF($O858&lt;=0,"Depleted",IF($I858&lt;0,"EXPIRED",IF($I858&lt;=Settings!$C$6,"CRITICAL",IF($I858&lt;=Settings!$C$5,"Expiring","In date")))))</f>
        <v/>
      </c>
    </row>
    <row r="859" spans="1:17" x14ac:dyDescent="0.35">
      <c r="A859" s="90" t="str">
        <f>IF(Receipts!$D862="","",Receipts!$D862)</f>
        <v/>
      </c>
      <c r="B859" s="18" t="str">
        <f>IF(Receipts!$C862="","",Receipts!$C862)</f>
        <v/>
      </c>
      <c r="C859" s="18" t="str">
        <f>IF($A859="","",IFERROR(INDEX(Items!$B$5:$B$597,MATCH($A859,Items!$A$5:$A$597,0)),""))</f>
        <v/>
      </c>
      <c r="D859" s="23" t="str">
        <f>IF($A859="","",N(Receipts!$G862))</f>
        <v/>
      </c>
      <c r="E859" s="20" t="str">
        <f>IF($A859="","",IFERROR(INDEX(Items!$D$5:$D$597,MATCH($A859,Items!$A$5:$A$597,0)),0))</f>
        <v/>
      </c>
      <c r="F859" s="21" t="str">
        <f t="shared" si="65"/>
        <v/>
      </c>
      <c r="G859" s="25" t="str">
        <f>IF(Receipts!$I862="","",Receipts!$I862)</f>
        <v/>
      </c>
      <c r="H859" s="25" t="str">
        <f>IF(Receipts!$H862="","",Receipts!$H862)</f>
        <v/>
      </c>
      <c r="I859" s="26" t="str">
        <f t="shared" ca="1" si="66"/>
        <v/>
      </c>
      <c r="J859" s="26" t="str">
        <f>IF($A859="","",COUNTIFS(tblReceipts[Item Name],$A859,tblReceipts[Expiry Date],"&lt;"&amp;$H859)+COUNTIFS(tblReceipts[Item Name],$A859,tblReceipts[Expiry Date],$H859,tblReceipts[Lot Number],"&lt;="&amp;Receipts!$C862))</f>
        <v/>
      </c>
      <c r="K859" s="26" t="str">
        <f>IF($A859="","",SUMIFS(tblReceipts[Qty Received],tblReceipts[Item Name],$A859,tblReceipts[Expiry Date],"&lt;"&amp;$H859)+SUMIFS(tblReceipts[Qty Received],tblReceipts[Item Name],$A859,tblReceipts[Expiry Date],$H859,tblReceipts[Lot Number],"&lt;"&amp;Receipts!$C862))</f>
        <v/>
      </c>
      <c r="L859" s="26" t="str">
        <f>IF($A859="","",MIN($D859,MAX(0,SUMIFS(tblIssues[Qty Issued],tblIssues[Item Name],$A859)-$K859)))</f>
        <v/>
      </c>
      <c r="M859" s="26" t="str">
        <f>IF($A859="","",SUMIFS(tblIssues[Qty Issued],tblIssues[Lot Number],$B859))</f>
        <v/>
      </c>
      <c r="N859" s="26" t="str">
        <f t="shared" si="67"/>
        <v/>
      </c>
      <c r="O859" s="26" t="str">
        <f t="shared" si="68"/>
        <v/>
      </c>
      <c r="P859" s="21" t="str">
        <f t="shared" si="69"/>
        <v/>
      </c>
      <c r="Q859" s="52" t="str">
        <f>IF($A859="","",IF($O859&lt;=0,"Depleted",IF($I859&lt;0,"EXPIRED",IF($I859&lt;=Settings!$C$6,"CRITICAL",IF($I859&lt;=Settings!$C$5,"Expiring","In date")))))</f>
        <v/>
      </c>
    </row>
    <row r="860" spans="1:17" x14ac:dyDescent="0.35">
      <c r="A860" s="90" t="str">
        <f>IF(Receipts!$D863="","",Receipts!$D863)</f>
        <v/>
      </c>
      <c r="B860" s="18" t="str">
        <f>IF(Receipts!$C863="","",Receipts!$C863)</f>
        <v/>
      </c>
      <c r="C860" s="18" t="str">
        <f>IF($A860="","",IFERROR(INDEX(Items!$B$5:$B$597,MATCH($A860,Items!$A$5:$A$597,0)),""))</f>
        <v/>
      </c>
      <c r="D860" s="23" t="str">
        <f>IF($A860="","",N(Receipts!$G863))</f>
        <v/>
      </c>
      <c r="E860" s="20" t="str">
        <f>IF($A860="","",IFERROR(INDEX(Items!$D$5:$D$597,MATCH($A860,Items!$A$5:$A$597,0)),0))</f>
        <v/>
      </c>
      <c r="F860" s="21" t="str">
        <f t="shared" si="65"/>
        <v/>
      </c>
      <c r="G860" s="25" t="str">
        <f>IF(Receipts!$I863="","",Receipts!$I863)</f>
        <v/>
      </c>
      <c r="H860" s="25" t="str">
        <f>IF(Receipts!$H863="","",Receipts!$H863)</f>
        <v/>
      </c>
      <c r="I860" s="26" t="str">
        <f t="shared" ca="1" si="66"/>
        <v/>
      </c>
      <c r="J860" s="26" t="str">
        <f>IF($A860="","",COUNTIFS(tblReceipts[Item Name],$A860,tblReceipts[Expiry Date],"&lt;"&amp;$H860)+COUNTIFS(tblReceipts[Item Name],$A860,tblReceipts[Expiry Date],$H860,tblReceipts[Lot Number],"&lt;="&amp;Receipts!$C863))</f>
        <v/>
      </c>
      <c r="K860" s="26" t="str">
        <f>IF($A860="","",SUMIFS(tblReceipts[Qty Received],tblReceipts[Item Name],$A860,tblReceipts[Expiry Date],"&lt;"&amp;$H860)+SUMIFS(tblReceipts[Qty Received],tblReceipts[Item Name],$A860,tblReceipts[Expiry Date],$H860,tblReceipts[Lot Number],"&lt;"&amp;Receipts!$C863))</f>
        <v/>
      </c>
      <c r="L860" s="26" t="str">
        <f>IF($A860="","",MIN($D860,MAX(0,SUMIFS(tblIssues[Qty Issued],tblIssues[Item Name],$A860)-$K860)))</f>
        <v/>
      </c>
      <c r="M860" s="26" t="str">
        <f>IF($A860="","",SUMIFS(tblIssues[Qty Issued],tblIssues[Lot Number],$B860))</f>
        <v/>
      </c>
      <c r="N860" s="26" t="str">
        <f t="shared" si="67"/>
        <v/>
      </c>
      <c r="O860" s="26" t="str">
        <f t="shared" si="68"/>
        <v/>
      </c>
      <c r="P860" s="21" t="str">
        <f t="shared" si="69"/>
        <v/>
      </c>
      <c r="Q860" s="52" t="str">
        <f>IF($A860="","",IF($O860&lt;=0,"Depleted",IF($I860&lt;0,"EXPIRED",IF($I860&lt;=Settings!$C$6,"CRITICAL",IF($I860&lt;=Settings!$C$5,"Expiring","In date")))))</f>
        <v/>
      </c>
    </row>
    <row r="861" spans="1:17" x14ac:dyDescent="0.35">
      <c r="A861" s="90" t="str">
        <f>IF(Receipts!$D864="","",Receipts!$D864)</f>
        <v/>
      </c>
      <c r="B861" s="18" t="str">
        <f>IF(Receipts!$C864="","",Receipts!$C864)</f>
        <v/>
      </c>
      <c r="C861" s="18" t="str">
        <f>IF($A861="","",IFERROR(INDEX(Items!$B$5:$B$597,MATCH($A861,Items!$A$5:$A$597,0)),""))</f>
        <v/>
      </c>
      <c r="D861" s="23" t="str">
        <f>IF($A861="","",N(Receipts!$G864))</f>
        <v/>
      </c>
      <c r="E861" s="20" t="str">
        <f>IF($A861="","",IFERROR(INDEX(Items!$D$5:$D$597,MATCH($A861,Items!$A$5:$A$597,0)),0))</f>
        <v/>
      </c>
      <c r="F861" s="21" t="str">
        <f t="shared" si="65"/>
        <v/>
      </c>
      <c r="G861" s="25" t="str">
        <f>IF(Receipts!$I864="","",Receipts!$I864)</f>
        <v/>
      </c>
      <c r="H861" s="25" t="str">
        <f>IF(Receipts!$H864="","",Receipts!$H864)</f>
        <v/>
      </c>
      <c r="I861" s="26" t="str">
        <f t="shared" ca="1" si="66"/>
        <v/>
      </c>
      <c r="J861" s="26" t="str">
        <f>IF($A861="","",COUNTIFS(tblReceipts[Item Name],$A861,tblReceipts[Expiry Date],"&lt;"&amp;$H861)+COUNTIFS(tblReceipts[Item Name],$A861,tblReceipts[Expiry Date],$H861,tblReceipts[Lot Number],"&lt;="&amp;Receipts!$C864))</f>
        <v/>
      </c>
      <c r="K861" s="26" t="str">
        <f>IF($A861="","",SUMIFS(tblReceipts[Qty Received],tblReceipts[Item Name],$A861,tblReceipts[Expiry Date],"&lt;"&amp;$H861)+SUMIFS(tblReceipts[Qty Received],tblReceipts[Item Name],$A861,tblReceipts[Expiry Date],$H861,tblReceipts[Lot Number],"&lt;"&amp;Receipts!$C864))</f>
        <v/>
      </c>
      <c r="L861" s="26" t="str">
        <f>IF($A861="","",MIN($D861,MAX(0,SUMIFS(tblIssues[Qty Issued],tblIssues[Item Name],$A861)-$K861)))</f>
        <v/>
      </c>
      <c r="M861" s="26" t="str">
        <f>IF($A861="","",SUMIFS(tblIssues[Qty Issued],tblIssues[Lot Number],$B861))</f>
        <v/>
      </c>
      <c r="N861" s="26" t="str">
        <f t="shared" si="67"/>
        <v/>
      </c>
      <c r="O861" s="26" t="str">
        <f t="shared" si="68"/>
        <v/>
      </c>
      <c r="P861" s="21" t="str">
        <f t="shared" si="69"/>
        <v/>
      </c>
      <c r="Q861" s="52" t="str">
        <f>IF($A861="","",IF($O861&lt;=0,"Depleted",IF($I861&lt;0,"EXPIRED",IF($I861&lt;=Settings!$C$6,"CRITICAL",IF($I861&lt;=Settings!$C$5,"Expiring","In date")))))</f>
        <v/>
      </c>
    </row>
    <row r="862" spans="1:17" x14ac:dyDescent="0.35">
      <c r="A862" s="90" t="str">
        <f>IF(Receipts!$D865="","",Receipts!$D865)</f>
        <v/>
      </c>
      <c r="B862" s="18" t="str">
        <f>IF(Receipts!$C865="","",Receipts!$C865)</f>
        <v/>
      </c>
      <c r="C862" s="18" t="str">
        <f>IF($A862="","",IFERROR(INDEX(Items!$B$5:$B$597,MATCH($A862,Items!$A$5:$A$597,0)),""))</f>
        <v/>
      </c>
      <c r="D862" s="23" t="str">
        <f>IF($A862="","",N(Receipts!$G865))</f>
        <v/>
      </c>
      <c r="E862" s="20" t="str">
        <f>IF($A862="","",IFERROR(INDEX(Items!$D$5:$D$597,MATCH($A862,Items!$A$5:$A$597,0)),0))</f>
        <v/>
      </c>
      <c r="F862" s="21" t="str">
        <f t="shared" si="65"/>
        <v/>
      </c>
      <c r="G862" s="25" t="str">
        <f>IF(Receipts!$I865="","",Receipts!$I865)</f>
        <v/>
      </c>
      <c r="H862" s="25" t="str">
        <f>IF(Receipts!$H865="","",Receipts!$H865)</f>
        <v/>
      </c>
      <c r="I862" s="26" t="str">
        <f t="shared" ca="1" si="66"/>
        <v/>
      </c>
      <c r="J862" s="26" t="str">
        <f>IF($A862="","",COUNTIFS(tblReceipts[Item Name],$A862,tblReceipts[Expiry Date],"&lt;"&amp;$H862)+COUNTIFS(tblReceipts[Item Name],$A862,tblReceipts[Expiry Date],$H862,tblReceipts[Lot Number],"&lt;="&amp;Receipts!$C865))</f>
        <v/>
      </c>
      <c r="K862" s="26" t="str">
        <f>IF($A862="","",SUMIFS(tblReceipts[Qty Received],tblReceipts[Item Name],$A862,tblReceipts[Expiry Date],"&lt;"&amp;$H862)+SUMIFS(tblReceipts[Qty Received],tblReceipts[Item Name],$A862,tblReceipts[Expiry Date],$H862,tblReceipts[Lot Number],"&lt;"&amp;Receipts!$C865))</f>
        <v/>
      </c>
      <c r="L862" s="26" t="str">
        <f>IF($A862="","",MIN($D862,MAX(0,SUMIFS(tblIssues[Qty Issued],tblIssues[Item Name],$A862)-$K862)))</f>
        <v/>
      </c>
      <c r="M862" s="26" t="str">
        <f>IF($A862="","",SUMIFS(tblIssues[Qty Issued],tblIssues[Lot Number],$B862))</f>
        <v/>
      </c>
      <c r="N862" s="26" t="str">
        <f t="shared" si="67"/>
        <v/>
      </c>
      <c r="O862" s="26" t="str">
        <f t="shared" si="68"/>
        <v/>
      </c>
      <c r="P862" s="21" t="str">
        <f t="shared" si="69"/>
        <v/>
      </c>
      <c r="Q862" s="52" t="str">
        <f>IF($A862="","",IF($O862&lt;=0,"Depleted",IF($I862&lt;0,"EXPIRED",IF($I862&lt;=Settings!$C$6,"CRITICAL",IF($I862&lt;=Settings!$C$5,"Expiring","In date")))))</f>
        <v/>
      </c>
    </row>
    <row r="863" spans="1:17" x14ac:dyDescent="0.35">
      <c r="A863" s="90" t="str">
        <f>IF(Receipts!$D866="","",Receipts!$D866)</f>
        <v/>
      </c>
      <c r="B863" s="18" t="str">
        <f>IF(Receipts!$C866="","",Receipts!$C866)</f>
        <v/>
      </c>
      <c r="C863" s="18" t="str">
        <f>IF($A863="","",IFERROR(INDEX(Items!$B$5:$B$597,MATCH($A863,Items!$A$5:$A$597,0)),""))</f>
        <v/>
      </c>
      <c r="D863" s="23" t="str">
        <f>IF($A863="","",N(Receipts!$G866))</f>
        <v/>
      </c>
      <c r="E863" s="20" t="str">
        <f>IF($A863="","",IFERROR(INDEX(Items!$D$5:$D$597,MATCH($A863,Items!$A$5:$A$597,0)),0))</f>
        <v/>
      </c>
      <c r="F863" s="21" t="str">
        <f t="shared" si="65"/>
        <v/>
      </c>
      <c r="G863" s="25" t="str">
        <f>IF(Receipts!$I866="","",Receipts!$I866)</f>
        <v/>
      </c>
      <c r="H863" s="25" t="str">
        <f>IF(Receipts!$H866="","",Receipts!$H866)</f>
        <v/>
      </c>
      <c r="I863" s="26" t="str">
        <f t="shared" ca="1" si="66"/>
        <v/>
      </c>
      <c r="J863" s="26" t="str">
        <f>IF($A863="","",COUNTIFS(tblReceipts[Item Name],$A863,tblReceipts[Expiry Date],"&lt;"&amp;$H863)+COUNTIFS(tblReceipts[Item Name],$A863,tblReceipts[Expiry Date],$H863,tblReceipts[Lot Number],"&lt;="&amp;Receipts!$C866))</f>
        <v/>
      </c>
      <c r="K863" s="26" t="str">
        <f>IF($A863="","",SUMIFS(tblReceipts[Qty Received],tblReceipts[Item Name],$A863,tblReceipts[Expiry Date],"&lt;"&amp;$H863)+SUMIFS(tblReceipts[Qty Received],tblReceipts[Item Name],$A863,tblReceipts[Expiry Date],$H863,tblReceipts[Lot Number],"&lt;"&amp;Receipts!$C866))</f>
        <v/>
      </c>
      <c r="L863" s="26" t="str">
        <f>IF($A863="","",MIN($D863,MAX(0,SUMIFS(tblIssues[Qty Issued],tblIssues[Item Name],$A863)-$K863)))</f>
        <v/>
      </c>
      <c r="M863" s="26" t="str">
        <f>IF($A863="","",SUMIFS(tblIssues[Qty Issued],tblIssues[Lot Number],$B863))</f>
        <v/>
      </c>
      <c r="N863" s="26" t="str">
        <f t="shared" si="67"/>
        <v/>
      </c>
      <c r="O863" s="26" t="str">
        <f t="shared" si="68"/>
        <v/>
      </c>
      <c r="P863" s="21" t="str">
        <f t="shared" si="69"/>
        <v/>
      </c>
      <c r="Q863" s="52" t="str">
        <f>IF($A863="","",IF($O863&lt;=0,"Depleted",IF($I863&lt;0,"EXPIRED",IF($I863&lt;=Settings!$C$6,"CRITICAL",IF($I863&lt;=Settings!$C$5,"Expiring","In date")))))</f>
        <v/>
      </c>
    </row>
    <row r="864" spans="1:17" x14ac:dyDescent="0.35">
      <c r="A864" s="90" t="str">
        <f>IF(Receipts!$D867="","",Receipts!$D867)</f>
        <v/>
      </c>
      <c r="B864" s="18" t="str">
        <f>IF(Receipts!$C867="","",Receipts!$C867)</f>
        <v/>
      </c>
      <c r="C864" s="18" t="str">
        <f>IF($A864="","",IFERROR(INDEX(Items!$B$5:$B$597,MATCH($A864,Items!$A$5:$A$597,0)),""))</f>
        <v/>
      </c>
      <c r="D864" s="23" t="str">
        <f>IF($A864="","",N(Receipts!$G867))</f>
        <v/>
      </c>
      <c r="E864" s="20" t="str">
        <f>IF($A864="","",IFERROR(INDEX(Items!$D$5:$D$597,MATCH($A864,Items!$A$5:$A$597,0)),0))</f>
        <v/>
      </c>
      <c r="F864" s="21" t="str">
        <f t="shared" si="65"/>
        <v/>
      </c>
      <c r="G864" s="25" t="str">
        <f>IF(Receipts!$I867="","",Receipts!$I867)</f>
        <v/>
      </c>
      <c r="H864" s="25" t="str">
        <f>IF(Receipts!$H867="","",Receipts!$H867)</f>
        <v/>
      </c>
      <c r="I864" s="26" t="str">
        <f t="shared" ca="1" si="66"/>
        <v/>
      </c>
      <c r="J864" s="26" t="str">
        <f>IF($A864="","",COUNTIFS(tblReceipts[Item Name],$A864,tblReceipts[Expiry Date],"&lt;"&amp;$H864)+COUNTIFS(tblReceipts[Item Name],$A864,tblReceipts[Expiry Date],$H864,tblReceipts[Lot Number],"&lt;="&amp;Receipts!$C867))</f>
        <v/>
      </c>
      <c r="K864" s="26" t="str">
        <f>IF($A864="","",SUMIFS(tblReceipts[Qty Received],tblReceipts[Item Name],$A864,tblReceipts[Expiry Date],"&lt;"&amp;$H864)+SUMIFS(tblReceipts[Qty Received],tblReceipts[Item Name],$A864,tblReceipts[Expiry Date],$H864,tblReceipts[Lot Number],"&lt;"&amp;Receipts!$C867))</f>
        <v/>
      </c>
      <c r="L864" s="26" t="str">
        <f>IF($A864="","",MIN($D864,MAX(0,SUMIFS(tblIssues[Qty Issued],tblIssues[Item Name],$A864)-$K864)))</f>
        <v/>
      </c>
      <c r="M864" s="26" t="str">
        <f>IF($A864="","",SUMIFS(tblIssues[Qty Issued],tblIssues[Lot Number],$B864))</f>
        <v/>
      </c>
      <c r="N864" s="26" t="str">
        <f t="shared" si="67"/>
        <v/>
      </c>
      <c r="O864" s="26" t="str">
        <f t="shared" si="68"/>
        <v/>
      </c>
      <c r="P864" s="21" t="str">
        <f t="shared" si="69"/>
        <v/>
      </c>
      <c r="Q864" s="52" t="str">
        <f>IF($A864="","",IF($O864&lt;=0,"Depleted",IF($I864&lt;0,"EXPIRED",IF($I864&lt;=Settings!$C$6,"CRITICAL",IF($I864&lt;=Settings!$C$5,"Expiring","In date")))))</f>
        <v/>
      </c>
    </row>
    <row r="865" spans="1:17" x14ac:dyDescent="0.35">
      <c r="A865" s="90" t="str">
        <f>IF(Receipts!$D868="","",Receipts!$D868)</f>
        <v/>
      </c>
      <c r="B865" s="18" t="str">
        <f>IF(Receipts!$C868="","",Receipts!$C868)</f>
        <v/>
      </c>
      <c r="C865" s="18" t="str">
        <f>IF($A865="","",IFERROR(INDEX(Items!$B$5:$B$597,MATCH($A865,Items!$A$5:$A$597,0)),""))</f>
        <v/>
      </c>
      <c r="D865" s="23" t="str">
        <f>IF($A865="","",N(Receipts!$G868))</f>
        <v/>
      </c>
      <c r="E865" s="20" t="str">
        <f>IF($A865="","",IFERROR(INDEX(Items!$D$5:$D$597,MATCH($A865,Items!$A$5:$A$597,0)),0))</f>
        <v/>
      </c>
      <c r="F865" s="21" t="str">
        <f t="shared" si="65"/>
        <v/>
      </c>
      <c r="G865" s="25" t="str">
        <f>IF(Receipts!$I868="","",Receipts!$I868)</f>
        <v/>
      </c>
      <c r="H865" s="25" t="str">
        <f>IF(Receipts!$H868="","",Receipts!$H868)</f>
        <v/>
      </c>
      <c r="I865" s="26" t="str">
        <f t="shared" ca="1" si="66"/>
        <v/>
      </c>
      <c r="J865" s="26" t="str">
        <f>IF($A865="","",COUNTIFS(tblReceipts[Item Name],$A865,tblReceipts[Expiry Date],"&lt;"&amp;$H865)+COUNTIFS(tblReceipts[Item Name],$A865,tblReceipts[Expiry Date],$H865,tblReceipts[Lot Number],"&lt;="&amp;Receipts!$C868))</f>
        <v/>
      </c>
      <c r="K865" s="26" t="str">
        <f>IF($A865="","",SUMIFS(tblReceipts[Qty Received],tblReceipts[Item Name],$A865,tblReceipts[Expiry Date],"&lt;"&amp;$H865)+SUMIFS(tblReceipts[Qty Received],tblReceipts[Item Name],$A865,tblReceipts[Expiry Date],$H865,tblReceipts[Lot Number],"&lt;"&amp;Receipts!$C868))</f>
        <v/>
      </c>
      <c r="L865" s="26" t="str">
        <f>IF($A865="","",MIN($D865,MAX(0,SUMIFS(tblIssues[Qty Issued],tblIssues[Item Name],$A865)-$K865)))</f>
        <v/>
      </c>
      <c r="M865" s="26" t="str">
        <f>IF($A865="","",SUMIFS(tblIssues[Qty Issued],tblIssues[Lot Number],$B865))</f>
        <v/>
      </c>
      <c r="N865" s="26" t="str">
        <f t="shared" si="67"/>
        <v/>
      </c>
      <c r="O865" s="26" t="str">
        <f t="shared" si="68"/>
        <v/>
      </c>
      <c r="P865" s="21" t="str">
        <f t="shared" si="69"/>
        <v/>
      </c>
      <c r="Q865" s="52" t="str">
        <f>IF($A865="","",IF($O865&lt;=0,"Depleted",IF($I865&lt;0,"EXPIRED",IF($I865&lt;=Settings!$C$6,"CRITICAL",IF($I865&lt;=Settings!$C$5,"Expiring","In date")))))</f>
        <v/>
      </c>
    </row>
    <row r="866" spans="1:17" x14ac:dyDescent="0.35">
      <c r="A866" s="90" t="str">
        <f>IF(Receipts!$D869="","",Receipts!$D869)</f>
        <v/>
      </c>
      <c r="B866" s="18" t="str">
        <f>IF(Receipts!$C869="","",Receipts!$C869)</f>
        <v/>
      </c>
      <c r="C866" s="18" t="str">
        <f>IF($A866="","",IFERROR(INDEX(Items!$B$5:$B$597,MATCH($A866,Items!$A$5:$A$597,0)),""))</f>
        <v/>
      </c>
      <c r="D866" s="23" t="str">
        <f>IF($A866="","",N(Receipts!$G869))</f>
        <v/>
      </c>
      <c r="E866" s="20" t="str">
        <f>IF($A866="","",IFERROR(INDEX(Items!$D$5:$D$597,MATCH($A866,Items!$A$5:$A$597,0)),0))</f>
        <v/>
      </c>
      <c r="F866" s="21" t="str">
        <f t="shared" si="65"/>
        <v/>
      </c>
      <c r="G866" s="25" t="str">
        <f>IF(Receipts!$I869="","",Receipts!$I869)</f>
        <v/>
      </c>
      <c r="H866" s="25" t="str">
        <f>IF(Receipts!$H869="","",Receipts!$H869)</f>
        <v/>
      </c>
      <c r="I866" s="26" t="str">
        <f t="shared" ca="1" si="66"/>
        <v/>
      </c>
      <c r="J866" s="26" t="str">
        <f>IF($A866="","",COUNTIFS(tblReceipts[Item Name],$A866,tblReceipts[Expiry Date],"&lt;"&amp;$H866)+COUNTIFS(tblReceipts[Item Name],$A866,tblReceipts[Expiry Date],$H866,tblReceipts[Lot Number],"&lt;="&amp;Receipts!$C869))</f>
        <v/>
      </c>
      <c r="K866" s="26" t="str">
        <f>IF($A866="","",SUMIFS(tblReceipts[Qty Received],tblReceipts[Item Name],$A866,tblReceipts[Expiry Date],"&lt;"&amp;$H866)+SUMIFS(tblReceipts[Qty Received],tblReceipts[Item Name],$A866,tblReceipts[Expiry Date],$H866,tblReceipts[Lot Number],"&lt;"&amp;Receipts!$C869))</f>
        <v/>
      </c>
      <c r="L866" s="26" t="str">
        <f>IF($A866="","",MIN($D866,MAX(0,SUMIFS(tblIssues[Qty Issued],tblIssues[Item Name],$A866)-$K866)))</f>
        <v/>
      </c>
      <c r="M866" s="26" t="str">
        <f>IF($A866="","",SUMIFS(tblIssues[Qty Issued],tblIssues[Lot Number],$B866))</f>
        <v/>
      </c>
      <c r="N866" s="26" t="str">
        <f t="shared" si="67"/>
        <v/>
      </c>
      <c r="O866" s="26" t="str">
        <f t="shared" si="68"/>
        <v/>
      </c>
      <c r="P866" s="21" t="str">
        <f t="shared" si="69"/>
        <v/>
      </c>
      <c r="Q866" s="52" t="str">
        <f>IF($A866="","",IF($O866&lt;=0,"Depleted",IF($I866&lt;0,"EXPIRED",IF($I866&lt;=Settings!$C$6,"CRITICAL",IF($I866&lt;=Settings!$C$5,"Expiring","In date")))))</f>
        <v/>
      </c>
    </row>
    <row r="867" spans="1:17" x14ac:dyDescent="0.35">
      <c r="A867" s="90" t="str">
        <f>IF(Receipts!$D870="","",Receipts!$D870)</f>
        <v/>
      </c>
      <c r="B867" s="18" t="str">
        <f>IF(Receipts!$C870="","",Receipts!$C870)</f>
        <v/>
      </c>
      <c r="C867" s="18" t="str">
        <f>IF($A867="","",IFERROR(INDEX(Items!$B$5:$B$597,MATCH($A867,Items!$A$5:$A$597,0)),""))</f>
        <v/>
      </c>
      <c r="D867" s="23" t="str">
        <f>IF($A867="","",N(Receipts!$G870))</f>
        <v/>
      </c>
      <c r="E867" s="20" t="str">
        <f>IF($A867="","",IFERROR(INDEX(Items!$D$5:$D$597,MATCH($A867,Items!$A$5:$A$597,0)),0))</f>
        <v/>
      </c>
      <c r="F867" s="21" t="str">
        <f t="shared" si="65"/>
        <v/>
      </c>
      <c r="G867" s="25" t="str">
        <f>IF(Receipts!$I870="","",Receipts!$I870)</f>
        <v/>
      </c>
      <c r="H867" s="25" t="str">
        <f>IF(Receipts!$H870="","",Receipts!$H870)</f>
        <v/>
      </c>
      <c r="I867" s="26" t="str">
        <f t="shared" ca="1" si="66"/>
        <v/>
      </c>
      <c r="J867" s="26" t="str">
        <f>IF($A867="","",COUNTIFS(tblReceipts[Item Name],$A867,tblReceipts[Expiry Date],"&lt;"&amp;$H867)+COUNTIFS(tblReceipts[Item Name],$A867,tblReceipts[Expiry Date],$H867,tblReceipts[Lot Number],"&lt;="&amp;Receipts!$C870))</f>
        <v/>
      </c>
      <c r="K867" s="26" t="str">
        <f>IF($A867="","",SUMIFS(tblReceipts[Qty Received],tblReceipts[Item Name],$A867,tblReceipts[Expiry Date],"&lt;"&amp;$H867)+SUMIFS(tblReceipts[Qty Received],tblReceipts[Item Name],$A867,tblReceipts[Expiry Date],$H867,tblReceipts[Lot Number],"&lt;"&amp;Receipts!$C870))</f>
        <v/>
      </c>
      <c r="L867" s="26" t="str">
        <f>IF($A867="","",MIN($D867,MAX(0,SUMIFS(tblIssues[Qty Issued],tblIssues[Item Name],$A867)-$K867)))</f>
        <v/>
      </c>
      <c r="M867" s="26" t="str">
        <f>IF($A867="","",SUMIFS(tblIssues[Qty Issued],tblIssues[Lot Number],$B867))</f>
        <v/>
      </c>
      <c r="N867" s="26" t="str">
        <f t="shared" si="67"/>
        <v/>
      </c>
      <c r="O867" s="26" t="str">
        <f t="shared" si="68"/>
        <v/>
      </c>
      <c r="P867" s="21" t="str">
        <f t="shared" si="69"/>
        <v/>
      </c>
      <c r="Q867" s="52" t="str">
        <f>IF($A867="","",IF($O867&lt;=0,"Depleted",IF($I867&lt;0,"EXPIRED",IF($I867&lt;=Settings!$C$6,"CRITICAL",IF($I867&lt;=Settings!$C$5,"Expiring","In date")))))</f>
        <v/>
      </c>
    </row>
    <row r="868" spans="1:17" x14ac:dyDescent="0.35">
      <c r="A868" s="90" t="str">
        <f>IF(Receipts!$D871="","",Receipts!$D871)</f>
        <v/>
      </c>
      <c r="B868" s="18" t="str">
        <f>IF(Receipts!$C871="","",Receipts!$C871)</f>
        <v/>
      </c>
      <c r="C868" s="18" t="str">
        <f>IF($A868="","",IFERROR(INDEX(Items!$B$5:$B$597,MATCH($A868,Items!$A$5:$A$597,0)),""))</f>
        <v/>
      </c>
      <c r="D868" s="23" t="str">
        <f>IF($A868="","",N(Receipts!$G871))</f>
        <v/>
      </c>
      <c r="E868" s="20" t="str">
        <f>IF($A868="","",IFERROR(INDEX(Items!$D$5:$D$597,MATCH($A868,Items!$A$5:$A$597,0)),0))</f>
        <v/>
      </c>
      <c r="F868" s="21" t="str">
        <f t="shared" si="65"/>
        <v/>
      </c>
      <c r="G868" s="25" t="str">
        <f>IF(Receipts!$I871="","",Receipts!$I871)</f>
        <v/>
      </c>
      <c r="H868" s="25" t="str">
        <f>IF(Receipts!$H871="","",Receipts!$H871)</f>
        <v/>
      </c>
      <c r="I868" s="26" t="str">
        <f t="shared" ca="1" si="66"/>
        <v/>
      </c>
      <c r="J868" s="26" t="str">
        <f>IF($A868="","",COUNTIFS(tblReceipts[Item Name],$A868,tblReceipts[Expiry Date],"&lt;"&amp;$H868)+COUNTIFS(tblReceipts[Item Name],$A868,tblReceipts[Expiry Date],$H868,tblReceipts[Lot Number],"&lt;="&amp;Receipts!$C871))</f>
        <v/>
      </c>
      <c r="K868" s="26" t="str">
        <f>IF($A868="","",SUMIFS(tblReceipts[Qty Received],tblReceipts[Item Name],$A868,tblReceipts[Expiry Date],"&lt;"&amp;$H868)+SUMIFS(tblReceipts[Qty Received],tblReceipts[Item Name],$A868,tblReceipts[Expiry Date],$H868,tblReceipts[Lot Number],"&lt;"&amp;Receipts!$C871))</f>
        <v/>
      </c>
      <c r="L868" s="26" t="str">
        <f>IF($A868="","",MIN($D868,MAX(0,SUMIFS(tblIssues[Qty Issued],tblIssues[Item Name],$A868)-$K868)))</f>
        <v/>
      </c>
      <c r="M868" s="26" t="str">
        <f>IF($A868="","",SUMIFS(tblIssues[Qty Issued],tblIssues[Lot Number],$B868))</f>
        <v/>
      </c>
      <c r="N868" s="26" t="str">
        <f t="shared" si="67"/>
        <v/>
      </c>
      <c r="O868" s="26" t="str">
        <f t="shared" si="68"/>
        <v/>
      </c>
      <c r="P868" s="21" t="str">
        <f t="shared" si="69"/>
        <v/>
      </c>
      <c r="Q868" s="52" t="str">
        <f>IF($A868="","",IF($O868&lt;=0,"Depleted",IF($I868&lt;0,"EXPIRED",IF($I868&lt;=Settings!$C$6,"CRITICAL",IF($I868&lt;=Settings!$C$5,"Expiring","In date")))))</f>
        <v/>
      </c>
    </row>
    <row r="869" spans="1:17" x14ac:dyDescent="0.35">
      <c r="A869" s="90" t="str">
        <f>IF(Receipts!$D872="","",Receipts!$D872)</f>
        <v/>
      </c>
      <c r="B869" s="18" t="str">
        <f>IF(Receipts!$C872="","",Receipts!$C872)</f>
        <v/>
      </c>
      <c r="C869" s="18" t="str">
        <f>IF($A869="","",IFERROR(INDEX(Items!$B$5:$B$597,MATCH($A869,Items!$A$5:$A$597,0)),""))</f>
        <v/>
      </c>
      <c r="D869" s="23" t="str">
        <f>IF($A869="","",N(Receipts!$G872))</f>
        <v/>
      </c>
      <c r="E869" s="20" t="str">
        <f>IF($A869="","",IFERROR(INDEX(Items!$D$5:$D$597,MATCH($A869,Items!$A$5:$A$597,0)),0))</f>
        <v/>
      </c>
      <c r="F869" s="21" t="str">
        <f t="shared" si="65"/>
        <v/>
      </c>
      <c r="G869" s="25" t="str">
        <f>IF(Receipts!$I872="","",Receipts!$I872)</f>
        <v/>
      </c>
      <c r="H869" s="25" t="str">
        <f>IF(Receipts!$H872="","",Receipts!$H872)</f>
        <v/>
      </c>
      <c r="I869" s="26" t="str">
        <f t="shared" ca="1" si="66"/>
        <v/>
      </c>
      <c r="J869" s="26" t="str">
        <f>IF($A869="","",COUNTIFS(tblReceipts[Item Name],$A869,tblReceipts[Expiry Date],"&lt;"&amp;$H869)+COUNTIFS(tblReceipts[Item Name],$A869,tblReceipts[Expiry Date],$H869,tblReceipts[Lot Number],"&lt;="&amp;Receipts!$C872))</f>
        <v/>
      </c>
      <c r="K869" s="26" t="str">
        <f>IF($A869="","",SUMIFS(tblReceipts[Qty Received],tblReceipts[Item Name],$A869,tblReceipts[Expiry Date],"&lt;"&amp;$H869)+SUMIFS(tblReceipts[Qty Received],tblReceipts[Item Name],$A869,tblReceipts[Expiry Date],$H869,tblReceipts[Lot Number],"&lt;"&amp;Receipts!$C872))</f>
        <v/>
      </c>
      <c r="L869" s="26" t="str">
        <f>IF($A869="","",MIN($D869,MAX(0,SUMIFS(tblIssues[Qty Issued],tblIssues[Item Name],$A869)-$K869)))</f>
        <v/>
      </c>
      <c r="M869" s="26" t="str">
        <f>IF($A869="","",SUMIFS(tblIssues[Qty Issued],tblIssues[Lot Number],$B869))</f>
        <v/>
      </c>
      <c r="N869" s="26" t="str">
        <f t="shared" si="67"/>
        <v/>
      </c>
      <c r="O869" s="26" t="str">
        <f t="shared" si="68"/>
        <v/>
      </c>
      <c r="P869" s="21" t="str">
        <f t="shared" si="69"/>
        <v/>
      </c>
      <c r="Q869" s="52" t="str">
        <f>IF($A869="","",IF($O869&lt;=0,"Depleted",IF($I869&lt;0,"EXPIRED",IF($I869&lt;=Settings!$C$6,"CRITICAL",IF($I869&lt;=Settings!$C$5,"Expiring","In date")))))</f>
        <v/>
      </c>
    </row>
    <row r="870" spans="1:17" x14ac:dyDescent="0.35">
      <c r="A870" s="90" t="str">
        <f>IF(Receipts!$D873="","",Receipts!$D873)</f>
        <v/>
      </c>
      <c r="B870" s="18" t="str">
        <f>IF(Receipts!$C873="","",Receipts!$C873)</f>
        <v/>
      </c>
      <c r="C870" s="18" t="str">
        <f>IF($A870="","",IFERROR(INDEX(Items!$B$5:$B$597,MATCH($A870,Items!$A$5:$A$597,0)),""))</f>
        <v/>
      </c>
      <c r="D870" s="23" t="str">
        <f>IF($A870="","",N(Receipts!$G873))</f>
        <v/>
      </c>
      <c r="E870" s="20" t="str">
        <f>IF($A870="","",IFERROR(INDEX(Items!$D$5:$D$597,MATCH($A870,Items!$A$5:$A$597,0)),0))</f>
        <v/>
      </c>
      <c r="F870" s="21" t="str">
        <f t="shared" si="65"/>
        <v/>
      </c>
      <c r="G870" s="25" t="str">
        <f>IF(Receipts!$I873="","",Receipts!$I873)</f>
        <v/>
      </c>
      <c r="H870" s="25" t="str">
        <f>IF(Receipts!$H873="","",Receipts!$H873)</f>
        <v/>
      </c>
      <c r="I870" s="26" t="str">
        <f t="shared" ca="1" si="66"/>
        <v/>
      </c>
      <c r="J870" s="26" t="str">
        <f>IF($A870="","",COUNTIFS(tblReceipts[Item Name],$A870,tblReceipts[Expiry Date],"&lt;"&amp;$H870)+COUNTIFS(tblReceipts[Item Name],$A870,tblReceipts[Expiry Date],$H870,tblReceipts[Lot Number],"&lt;="&amp;Receipts!$C873))</f>
        <v/>
      </c>
      <c r="K870" s="26" t="str">
        <f>IF($A870="","",SUMIFS(tblReceipts[Qty Received],tblReceipts[Item Name],$A870,tblReceipts[Expiry Date],"&lt;"&amp;$H870)+SUMIFS(tblReceipts[Qty Received],tblReceipts[Item Name],$A870,tblReceipts[Expiry Date],$H870,tblReceipts[Lot Number],"&lt;"&amp;Receipts!$C873))</f>
        <v/>
      </c>
      <c r="L870" s="26" t="str">
        <f>IF($A870="","",MIN($D870,MAX(0,SUMIFS(tblIssues[Qty Issued],tblIssues[Item Name],$A870)-$K870)))</f>
        <v/>
      </c>
      <c r="M870" s="26" t="str">
        <f>IF($A870="","",SUMIFS(tblIssues[Qty Issued],tblIssues[Lot Number],$B870))</f>
        <v/>
      </c>
      <c r="N870" s="26" t="str">
        <f t="shared" si="67"/>
        <v/>
      </c>
      <c r="O870" s="26" t="str">
        <f t="shared" si="68"/>
        <v/>
      </c>
      <c r="P870" s="21" t="str">
        <f t="shared" si="69"/>
        <v/>
      </c>
      <c r="Q870" s="52" t="str">
        <f>IF($A870="","",IF($O870&lt;=0,"Depleted",IF($I870&lt;0,"EXPIRED",IF($I870&lt;=Settings!$C$6,"CRITICAL",IF($I870&lt;=Settings!$C$5,"Expiring","In date")))))</f>
        <v/>
      </c>
    </row>
    <row r="871" spans="1:17" x14ac:dyDescent="0.35">
      <c r="A871" s="90" t="str">
        <f>IF(Receipts!$D874="","",Receipts!$D874)</f>
        <v/>
      </c>
      <c r="B871" s="18" t="str">
        <f>IF(Receipts!$C874="","",Receipts!$C874)</f>
        <v/>
      </c>
      <c r="C871" s="18" t="str">
        <f>IF($A871="","",IFERROR(INDEX(Items!$B$5:$B$597,MATCH($A871,Items!$A$5:$A$597,0)),""))</f>
        <v/>
      </c>
      <c r="D871" s="23" t="str">
        <f>IF($A871="","",N(Receipts!$G874))</f>
        <v/>
      </c>
      <c r="E871" s="20" t="str">
        <f>IF($A871="","",IFERROR(INDEX(Items!$D$5:$D$597,MATCH($A871,Items!$A$5:$A$597,0)),0))</f>
        <v/>
      </c>
      <c r="F871" s="21" t="str">
        <f t="shared" si="65"/>
        <v/>
      </c>
      <c r="G871" s="25" t="str">
        <f>IF(Receipts!$I874="","",Receipts!$I874)</f>
        <v/>
      </c>
      <c r="H871" s="25" t="str">
        <f>IF(Receipts!$H874="","",Receipts!$H874)</f>
        <v/>
      </c>
      <c r="I871" s="26" t="str">
        <f t="shared" ca="1" si="66"/>
        <v/>
      </c>
      <c r="J871" s="26" t="str">
        <f>IF($A871="","",COUNTIFS(tblReceipts[Item Name],$A871,tblReceipts[Expiry Date],"&lt;"&amp;$H871)+COUNTIFS(tblReceipts[Item Name],$A871,tblReceipts[Expiry Date],$H871,tblReceipts[Lot Number],"&lt;="&amp;Receipts!$C874))</f>
        <v/>
      </c>
      <c r="K871" s="26" t="str">
        <f>IF($A871="","",SUMIFS(tblReceipts[Qty Received],tblReceipts[Item Name],$A871,tblReceipts[Expiry Date],"&lt;"&amp;$H871)+SUMIFS(tblReceipts[Qty Received],tblReceipts[Item Name],$A871,tblReceipts[Expiry Date],$H871,tblReceipts[Lot Number],"&lt;"&amp;Receipts!$C874))</f>
        <v/>
      </c>
      <c r="L871" s="26" t="str">
        <f>IF($A871="","",MIN($D871,MAX(0,SUMIFS(tblIssues[Qty Issued],tblIssues[Item Name],$A871)-$K871)))</f>
        <v/>
      </c>
      <c r="M871" s="26" t="str">
        <f>IF($A871="","",SUMIFS(tblIssues[Qty Issued],tblIssues[Lot Number],$B871))</f>
        <v/>
      </c>
      <c r="N871" s="26" t="str">
        <f t="shared" si="67"/>
        <v/>
      </c>
      <c r="O871" s="26" t="str">
        <f t="shared" si="68"/>
        <v/>
      </c>
      <c r="P871" s="21" t="str">
        <f t="shared" si="69"/>
        <v/>
      </c>
      <c r="Q871" s="52" t="str">
        <f>IF($A871="","",IF($O871&lt;=0,"Depleted",IF($I871&lt;0,"EXPIRED",IF($I871&lt;=Settings!$C$6,"CRITICAL",IF($I871&lt;=Settings!$C$5,"Expiring","In date")))))</f>
        <v/>
      </c>
    </row>
    <row r="872" spans="1:17" x14ac:dyDescent="0.35">
      <c r="A872" s="90" t="str">
        <f>IF(Receipts!$D875="","",Receipts!$D875)</f>
        <v/>
      </c>
      <c r="B872" s="18" t="str">
        <f>IF(Receipts!$C875="","",Receipts!$C875)</f>
        <v/>
      </c>
      <c r="C872" s="18" t="str">
        <f>IF($A872="","",IFERROR(INDEX(Items!$B$5:$B$597,MATCH($A872,Items!$A$5:$A$597,0)),""))</f>
        <v/>
      </c>
      <c r="D872" s="23" t="str">
        <f>IF($A872="","",N(Receipts!$G875))</f>
        <v/>
      </c>
      <c r="E872" s="20" t="str">
        <f>IF($A872="","",IFERROR(INDEX(Items!$D$5:$D$597,MATCH($A872,Items!$A$5:$A$597,0)),0))</f>
        <v/>
      </c>
      <c r="F872" s="21" t="str">
        <f t="shared" si="65"/>
        <v/>
      </c>
      <c r="G872" s="25" t="str">
        <f>IF(Receipts!$I875="","",Receipts!$I875)</f>
        <v/>
      </c>
      <c r="H872" s="25" t="str">
        <f>IF(Receipts!$H875="","",Receipts!$H875)</f>
        <v/>
      </c>
      <c r="I872" s="26" t="str">
        <f t="shared" ca="1" si="66"/>
        <v/>
      </c>
      <c r="J872" s="26" t="str">
        <f>IF($A872="","",COUNTIFS(tblReceipts[Item Name],$A872,tblReceipts[Expiry Date],"&lt;"&amp;$H872)+COUNTIFS(tblReceipts[Item Name],$A872,tblReceipts[Expiry Date],$H872,tblReceipts[Lot Number],"&lt;="&amp;Receipts!$C875))</f>
        <v/>
      </c>
      <c r="K872" s="26" t="str">
        <f>IF($A872="","",SUMIFS(tblReceipts[Qty Received],tblReceipts[Item Name],$A872,tblReceipts[Expiry Date],"&lt;"&amp;$H872)+SUMIFS(tblReceipts[Qty Received],tblReceipts[Item Name],$A872,tblReceipts[Expiry Date],$H872,tblReceipts[Lot Number],"&lt;"&amp;Receipts!$C875))</f>
        <v/>
      </c>
      <c r="L872" s="26" t="str">
        <f>IF($A872="","",MIN($D872,MAX(0,SUMIFS(tblIssues[Qty Issued],tblIssues[Item Name],$A872)-$K872)))</f>
        <v/>
      </c>
      <c r="M872" s="26" t="str">
        <f>IF($A872="","",SUMIFS(tblIssues[Qty Issued],tblIssues[Lot Number],$B872))</f>
        <v/>
      </c>
      <c r="N872" s="26" t="str">
        <f t="shared" si="67"/>
        <v/>
      </c>
      <c r="O872" s="26" t="str">
        <f t="shared" si="68"/>
        <v/>
      </c>
      <c r="P872" s="21" t="str">
        <f t="shared" si="69"/>
        <v/>
      </c>
      <c r="Q872" s="52" t="str">
        <f>IF($A872="","",IF($O872&lt;=0,"Depleted",IF($I872&lt;0,"EXPIRED",IF($I872&lt;=Settings!$C$6,"CRITICAL",IF($I872&lt;=Settings!$C$5,"Expiring","In date")))))</f>
        <v/>
      </c>
    </row>
    <row r="873" spans="1:17" x14ac:dyDescent="0.35">
      <c r="A873" s="90" t="str">
        <f>IF(Receipts!$D876="","",Receipts!$D876)</f>
        <v/>
      </c>
      <c r="B873" s="18" t="str">
        <f>IF(Receipts!$C876="","",Receipts!$C876)</f>
        <v/>
      </c>
      <c r="C873" s="18" t="str">
        <f>IF($A873="","",IFERROR(INDEX(Items!$B$5:$B$597,MATCH($A873,Items!$A$5:$A$597,0)),""))</f>
        <v/>
      </c>
      <c r="D873" s="23" t="str">
        <f>IF($A873="","",N(Receipts!$G876))</f>
        <v/>
      </c>
      <c r="E873" s="20" t="str">
        <f>IF($A873="","",IFERROR(INDEX(Items!$D$5:$D$597,MATCH($A873,Items!$A$5:$A$597,0)),0))</f>
        <v/>
      </c>
      <c r="F873" s="21" t="str">
        <f t="shared" si="65"/>
        <v/>
      </c>
      <c r="G873" s="25" t="str">
        <f>IF(Receipts!$I876="","",Receipts!$I876)</f>
        <v/>
      </c>
      <c r="H873" s="25" t="str">
        <f>IF(Receipts!$H876="","",Receipts!$H876)</f>
        <v/>
      </c>
      <c r="I873" s="26" t="str">
        <f t="shared" ca="1" si="66"/>
        <v/>
      </c>
      <c r="J873" s="26" t="str">
        <f>IF($A873="","",COUNTIFS(tblReceipts[Item Name],$A873,tblReceipts[Expiry Date],"&lt;"&amp;$H873)+COUNTIFS(tblReceipts[Item Name],$A873,tblReceipts[Expiry Date],$H873,tblReceipts[Lot Number],"&lt;="&amp;Receipts!$C876))</f>
        <v/>
      </c>
      <c r="K873" s="26" t="str">
        <f>IF($A873="","",SUMIFS(tblReceipts[Qty Received],tblReceipts[Item Name],$A873,tblReceipts[Expiry Date],"&lt;"&amp;$H873)+SUMIFS(tblReceipts[Qty Received],tblReceipts[Item Name],$A873,tblReceipts[Expiry Date],$H873,tblReceipts[Lot Number],"&lt;"&amp;Receipts!$C876))</f>
        <v/>
      </c>
      <c r="L873" s="26" t="str">
        <f>IF($A873="","",MIN($D873,MAX(0,SUMIFS(tblIssues[Qty Issued],tblIssues[Item Name],$A873)-$K873)))</f>
        <v/>
      </c>
      <c r="M873" s="26" t="str">
        <f>IF($A873="","",SUMIFS(tblIssues[Qty Issued],tblIssues[Lot Number],$B873))</f>
        <v/>
      </c>
      <c r="N873" s="26" t="str">
        <f t="shared" si="67"/>
        <v/>
      </c>
      <c r="O873" s="26" t="str">
        <f t="shared" si="68"/>
        <v/>
      </c>
      <c r="P873" s="21" t="str">
        <f t="shared" si="69"/>
        <v/>
      </c>
      <c r="Q873" s="52" t="str">
        <f>IF($A873="","",IF($O873&lt;=0,"Depleted",IF($I873&lt;0,"EXPIRED",IF($I873&lt;=Settings!$C$6,"CRITICAL",IF($I873&lt;=Settings!$C$5,"Expiring","In date")))))</f>
        <v/>
      </c>
    </row>
    <row r="874" spans="1:17" x14ac:dyDescent="0.35">
      <c r="A874" s="90" t="str">
        <f>IF(Receipts!$D877="","",Receipts!$D877)</f>
        <v/>
      </c>
      <c r="B874" s="18" t="str">
        <f>IF(Receipts!$C877="","",Receipts!$C877)</f>
        <v/>
      </c>
      <c r="C874" s="18" t="str">
        <f>IF($A874="","",IFERROR(INDEX(Items!$B$5:$B$597,MATCH($A874,Items!$A$5:$A$597,0)),""))</f>
        <v/>
      </c>
      <c r="D874" s="23" t="str">
        <f>IF($A874="","",N(Receipts!$G877))</f>
        <v/>
      </c>
      <c r="E874" s="20" t="str">
        <f>IF($A874="","",IFERROR(INDEX(Items!$D$5:$D$597,MATCH($A874,Items!$A$5:$A$597,0)),0))</f>
        <v/>
      </c>
      <c r="F874" s="21" t="str">
        <f t="shared" si="65"/>
        <v/>
      </c>
      <c r="G874" s="25" t="str">
        <f>IF(Receipts!$I877="","",Receipts!$I877)</f>
        <v/>
      </c>
      <c r="H874" s="25" t="str">
        <f>IF(Receipts!$H877="","",Receipts!$H877)</f>
        <v/>
      </c>
      <c r="I874" s="26" t="str">
        <f t="shared" ca="1" si="66"/>
        <v/>
      </c>
      <c r="J874" s="26" t="str">
        <f>IF($A874="","",COUNTIFS(tblReceipts[Item Name],$A874,tblReceipts[Expiry Date],"&lt;"&amp;$H874)+COUNTIFS(tblReceipts[Item Name],$A874,tblReceipts[Expiry Date],$H874,tblReceipts[Lot Number],"&lt;="&amp;Receipts!$C877))</f>
        <v/>
      </c>
      <c r="K874" s="26" t="str">
        <f>IF($A874="","",SUMIFS(tblReceipts[Qty Received],tblReceipts[Item Name],$A874,tblReceipts[Expiry Date],"&lt;"&amp;$H874)+SUMIFS(tblReceipts[Qty Received],tblReceipts[Item Name],$A874,tblReceipts[Expiry Date],$H874,tblReceipts[Lot Number],"&lt;"&amp;Receipts!$C877))</f>
        <v/>
      </c>
      <c r="L874" s="26" t="str">
        <f>IF($A874="","",MIN($D874,MAX(0,SUMIFS(tblIssues[Qty Issued],tblIssues[Item Name],$A874)-$K874)))</f>
        <v/>
      </c>
      <c r="M874" s="26" t="str">
        <f>IF($A874="","",SUMIFS(tblIssues[Qty Issued],tblIssues[Lot Number],$B874))</f>
        <v/>
      </c>
      <c r="N874" s="26" t="str">
        <f t="shared" si="67"/>
        <v/>
      </c>
      <c r="O874" s="26" t="str">
        <f t="shared" si="68"/>
        <v/>
      </c>
      <c r="P874" s="21" t="str">
        <f t="shared" si="69"/>
        <v/>
      </c>
      <c r="Q874" s="52" t="str">
        <f>IF($A874="","",IF($O874&lt;=0,"Depleted",IF($I874&lt;0,"EXPIRED",IF($I874&lt;=Settings!$C$6,"CRITICAL",IF($I874&lt;=Settings!$C$5,"Expiring","In date")))))</f>
        <v/>
      </c>
    </row>
    <row r="875" spans="1:17" x14ac:dyDescent="0.35">
      <c r="A875" s="90" t="str">
        <f>IF(Receipts!$D878="","",Receipts!$D878)</f>
        <v/>
      </c>
      <c r="B875" s="18" t="str">
        <f>IF(Receipts!$C878="","",Receipts!$C878)</f>
        <v/>
      </c>
      <c r="C875" s="18" t="str">
        <f>IF($A875="","",IFERROR(INDEX(Items!$B$5:$B$597,MATCH($A875,Items!$A$5:$A$597,0)),""))</f>
        <v/>
      </c>
      <c r="D875" s="23" t="str">
        <f>IF($A875="","",N(Receipts!$G878))</f>
        <v/>
      </c>
      <c r="E875" s="20" t="str">
        <f>IF($A875="","",IFERROR(INDEX(Items!$D$5:$D$597,MATCH($A875,Items!$A$5:$A$597,0)),0))</f>
        <v/>
      </c>
      <c r="F875" s="21" t="str">
        <f t="shared" si="65"/>
        <v/>
      </c>
      <c r="G875" s="25" t="str">
        <f>IF(Receipts!$I878="","",Receipts!$I878)</f>
        <v/>
      </c>
      <c r="H875" s="25" t="str">
        <f>IF(Receipts!$H878="","",Receipts!$H878)</f>
        <v/>
      </c>
      <c r="I875" s="26" t="str">
        <f t="shared" ca="1" si="66"/>
        <v/>
      </c>
      <c r="J875" s="26" t="str">
        <f>IF($A875="","",COUNTIFS(tblReceipts[Item Name],$A875,tblReceipts[Expiry Date],"&lt;"&amp;$H875)+COUNTIFS(tblReceipts[Item Name],$A875,tblReceipts[Expiry Date],$H875,tblReceipts[Lot Number],"&lt;="&amp;Receipts!$C878))</f>
        <v/>
      </c>
      <c r="K875" s="26" t="str">
        <f>IF($A875="","",SUMIFS(tblReceipts[Qty Received],tblReceipts[Item Name],$A875,tblReceipts[Expiry Date],"&lt;"&amp;$H875)+SUMIFS(tblReceipts[Qty Received],tblReceipts[Item Name],$A875,tblReceipts[Expiry Date],$H875,tblReceipts[Lot Number],"&lt;"&amp;Receipts!$C878))</f>
        <v/>
      </c>
      <c r="L875" s="26" t="str">
        <f>IF($A875="","",MIN($D875,MAX(0,SUMIFS(tblIssues[Qty Issued],tblIssues[Item Name],$A875)-$K875)))</f>
        <v/>
      </c>
      <c r="M875" s="26" t="str">
        <f>IF($A875="","",SUMIFS(tblIssues[Qty Issued],tblIssues[Lot Number],$B875))</f>
        <v/>
      </c>
      <c r="N875" s="26" t="str">
        <f t="shared" si="67"/>
        <v/>
      </c>
      <c r="O875" s="26" t="str">
        <f t="shared" si="68"/>
        <v/>
      </c>
      <c r="P875" s="21" t="str">
        <f t="shared" si="69"/>
        <v/>
      </c>
      <c r="Q875" s="52" t="str">
        <f>IF($A875="","",IF($O875&lt;=0,"Depleted",IF($I875&lt;0,"EXPIRED",IF($I875&lt;=Settings!$C$6,"CRITICAL",IF($I875&lt;=Settings!$C$5,"Expiring","In date")))))</f>
        <v/>
      </c>
    </row>
    <row r="876" spans="1:17" x14ac:dyDescent="0.35">
      <c r="A876" s="90" t="str">
        <f>IF(Receipts!$D879="","",Receipts!$D879)</f>
        <v/>
      </c>
      <c r="B876" s="18" t="str">
        <f>IF(Receipts!$C879="","",Receipts!$C879)</f>
        <v/>
      </c>
      <c r="C876" s="18" t="str">
        <f>IF($A876="","",IFERROR(INDEX(Items!$B$5:$B$597,MATCH($A876,Items!$A$5:$A$597,0)),""))</f>
        <v/>
      </c>
      <c r="D876" s="23" t="str">
        <f>IF($A876="","",N(Receipts!$G879))</f>
        <v/>
      </c>
      <c r="E876" s="20" t="str">
        <f>IF($A876="","",IFERROR(INDEX(Items!$D$5:$D$597,MATCH($A876,Items!$A$5:$A$597,0)),0))</f>
        <v/>
      </c>
      <c r="F876" s="21" t="str">
        <f t="shared" si="65"/>
        <v/>
      </c>
      <c r="G876" s="25" t="str">
        <f>IF(Receipts!$I879="","",Receipts!$I879)</f>
        <v/>
      </c>
      <c r="H876" s="25" t="str">
        <f>IF(Receipts!$H879="","",Receipts!$H879)</f>
        <v/>
      </c>
      <c r="I876" s="26" t="str">
        <f t="shared" ca="1" si="66"/>
        <v/>
      </c>
      <c r="J876" s="26" t="str">
        <f>IF($A876="","",COUNTIFS(tblReceipts[Item Name],$A876,tblReceipts[Expiry Date],"&lt;"&amp;$H876)+COUNTIFS(tblReceipts[Item Name],$A876,tblReceipts[Expiry Date],$H876,tblReceipts[Lot Number],"&lt;="&amp;Receipts!$C879))</f>
        <v/>
      </c>
      <c r="K876" s="26" t="str">
        <f>IF($A876="","",SUMIFS(tblReceipts[Qty Received],tblReceipts[Item Name],$A876,tblReceipts[Expiry Date],"&lt;"&amp;$H876)+SUMIFS(tblReceipts[Qty Received],tblReceipts[Item Name],$A876,tblReceipts[Expiry Date],$H876,tblReceipts[Lot Number],"&lt;"&amp;Receipts!$C879))</f>
        <v/>
      </c>
      <c r="L876" s="26" t="str">
        <f>IF($A876="","",MIN($D876,MAX(0,SUMIFS(tblIssues[Qty Issued],tblIssues[Item Name],$A876)-$K876)))</f>
        <v/>
      </c>
      <c r="M876" s="26" t="str">
        <f>IF($A876="","",SUMIFS(tblIssues[Qty Issued],tblIssues[Lot Number],$B876))</f>
        <v/>
      </c>
      <c r="N876" s="26" t="str">
        <f t="shared" si="67"/>
        <v/>
      </c>
      <c r="O876" s="26" t="str">
        <f t="shared" si="68"/>
        <v/>
      </c>
      <c r="P876" s="21" t="str">
        <f t="shared" si="69"/>
        <v/>
      </c>
      <c r="Q876" s="52" t="str">
        <f>IF($A876="","",IF($O876&lt;=0,"Depleted",IF($I876&lt;0,"EXPIRED",IF($I876&lt;=Settings!$C$6,"CRITICAL",IF($I876&lt;=Settings!$C$5,"Expiring","In date")))))</f>
        <v/>
      </c>
    </row>
    <row r="877" spans="1:17" x14ac:dyDescent="0.35">
      <c r="A877" s="90" t="str">
        <f>IF(Receipts!$D880="","",Receipts!$D880)</f>
        <v/>
      </c>
      <c r="B877" s="18" t="str">
        <f>IF(Receipts!$C880="","",Receipts!$C880)</f>
        <v/>
      </c>
      <c r="C877" s="18" t="str">
        <f>IF($A877="","",IFERROR(INDEX(Items!$B$5:$B$597,MATCH($A877,Items!$A$5:$A$597,0)),""))</f>
        <v/>
      </c>
      <c r="D877" s="23" t="str">
        <f>IF($A877="","",N(Receipts!$G880))</f>
        <v/>
      </c>
      <c r="E877" s="20" t="str">
        <f>IF($A877="","",IFERROR(INDEX(Items!$D$5:$D$597,MATCH($A877,Items!$A$5:$A$597,0)),0))</f>
        <v/>
      </c>
      <c r="F877" s="21" t="str">
        <f t="shared" si="65"/>
        <v/>
      </c>
      <c r="G877" s="25" t="str">
        <f>IF(Receipts!$I880="","",Receipts!$I880)</f>
        <v/>
      </c>
      <c r="H877" s="25" t="str">
        <f>IF(Receipts!$H880="","",Receipts!$H880)</f>
        <v/>
      </c>
      <c r="I877" s="26" t="str">
        <f t="shared" ca="1" si="66"/>
        <v/>
      </c>
      <c r="J877" s="26" t="str">
        <f>IF($A877="","",COUNTIFS(tblReceipts[Item Name],$A877,tblReceipts[Expiry Date],"&lt;"&amp;$H877)+COUNTIFS(tblReceipts[Item Name],$A877,tblReceipts[Expiry Date],$H877,tblReceipts[Lot Number],"&lt;="&amp;Receipts!$C880))</f>
        <v/>
      </c>
      <c r="K877" s="26" t="str">
        <f>IF($A877="","",SUMIFS(tblReceipts[Qty Received],tblReceipts[Item Name],$A877,tblReceipts[Expiry Date],"&lt;"&amp;$H877)+SUMIFS(tblReceipts[Qty Received],tblReceipts[Item Name],$A877,tblReceipts[Expiry Date],$H877,tblReceipts[Lot Number],"&lt;"&amp;Receipts!$C880))</f>
        <v/>
      </c>
      <c r="L877" s="26" t="str">
        <f>IF($A877="","",MIN($D877,MAX(0,SUMIFS(tblIssues[Qty Issued],tblIssues[Item Name],$A877)-$K877)))</f>
        <v/>
      </c>
      <c r="M877" s="26" t="str">
        <f>IF($A877="","",SUMIFS(tblIssues[Qty Issued],tblIssues[Lot Number],$B877))</f>
        <v/>
      </c>
      <c r="N877" s="26" t="str">
        <f t="shared" si="67"/>
        <v/>
      </c>
      <c r="O877" s="26" t="str">
        <f t="shared" si="68"/>
        <v/>
      </c>
      <c r="P877" s="21" t="str">
        <f t="shared" si="69"/>
        <v/>
      </c>
      <c r="Q877" s="52" t="str">
        <f>IF($A877="","",IF($O877&lt;=0,"Depleted",IF($I877&lt;0,"EXPIRED",IF($I877&lt;=Settings!$C$6,"CRITICAL",IF($I877&lt;=Settings!$C$5,"Expiring","In date")))))</f>
        <v/>
      </c>
    </row>
    <row r="878" spans="1:17" x14ac:dyDescent="0.35">
      <c r="A878" s="90" t="str">
        <f>IF(Receipts!$D881="","",Receipts!$D881)</f>
        <v/>
      </c>
      <c r="B878" s="18" t="str">
        <f>IF(Receipts!$C881="","",Receipts!$C881)</f>
        <v/>
      </c>
      <c r="C878" s="18" t="str">
        <f>IF($A878="","",IFERROR(INDEX(Items!$B$5:$B$597,MATCH($A878,Items!$A$5:$A$597,0)),""))</f>
        <v/>
      </c>
      <c r="D878" s="23" t="str">
        <f>IF($A878="","",N(Receipts!$G881))</f>
        <v/>
      </c>
      <c r="E878" s="20" t="str">
        <f>IF($A878="","",IFERROR(INDEX(Items!$D$5:$D$597,MATCH($A878,Items!$A$5:$A$597,0)),0))</f>
        <v/>
      </c>
      <c r="F878" s="21" t="str">
        <f t="shared" si="65"/>
        <v/>
      </c>
      <c r="G878" s="25" t="str">
        <f>IF(Receipts!$I881="","",Receipts!$I881)</f>
        <v/>
      </c>
      <c r="H878" s="25" t="str">
        <f>IF(Receipts!$H881="","",Receipts!$H881)</f>
        <v/>
      </c>
      <c r="I878" s="26" t="str">
        <f t="shared" ca="1" si="66"/>
        <v/>
      </c>
      <c r="J878" s="26" t="str">
        <f>IF($A878="","",COUNTIFS(tblReceipts[Item Name],$A878,tblReceipts[Expiry Date],"&lt;"&amp;$H878)+COUNTIFS(tblReceipts[Item Name],$A878,tblReceipts[Expiry Date],$H878,tblReceipts[Lot Number],"&lt;="&amp;Receipts!$C881))</f>
        <v/>
      </c>
      <c r="K878" s="26" t="str">
        <f>IF($A878="","",SUMIFS(tblReceipts[Qty Received],tblReceipts[Item Name],$A878,tblReceipts[Expiry Date],"&lt;"&amp;$H878)+SUMIFS(tblReceipts[Qty Received],tblReceipts[Item Name],$A878,tblReceipts[Expiry Date],$H878,tblReceipts[Lot Number],"&lt;"&amp;Receipts!$C881))</f>
        <v/>
      </c>
      <c r="L878" s="26" t="str">
        <f>IF($A878="","",MIN($D878,MAX(0,SUMIFS(tblIssues[Qty Issued],tblIssues[Item Name],$A878)-$K878)))</f>
        <v/>
      </c>
      <c r="M878" s="26" t="str">
        <f>IF($A878="","",SUMIFS(tblIssues[Qty Issued],tblIssues[Lot Number],$B878))</f>
        <v/>
      </c>
      <c r="N878" s="26" t="str">
        <f t="shared" si="67"/>
        <v/>
      </c>
      <c r="O878" s="26" t="str">
        <f t="shared" si="68"/>
        <v/>
      </c>
      <c r="P878" s="21" t="str">
        <f t="shared" si="69"/>
        <v/>
      </c>
      <c r="Q878" s="52" t="str">
        <f>IF($A878="","",IF($O878&lt;=0,"Depleted",IF($I878&lt;0,"EXPIRED",IF($I878&lt;=Settings!$C$6,"CRITICAL",IF($I878&lt;=Settings!$C$5,"Expiring","In date")))))</f>
        <v/>
      </c>
    </row>
    <row r="879" spans="1:17" x14ac:dyDescent="0.35">
      <c r="A879" s="90" t="str">
        <f>IF(Receipts!$D882="","",Receipts!$D882)</f>
        <v/>
      </c>
      <c r="B879" s="18" t="str">
        <f>IF(Receipts!$C882="","",Receipts!$C882)</f>
        <v/>
      </c>
      <c r="C879" s="18" t="str">
        <f>IF($A879="","",IFERROR(INDEX(Items!$B$5:$B$597,MATCH($A879,Items!$A$5:$A$597,0)),""))</f>
        <v/>
      </c>
      <c r="D879" s="23" t="str">
        <f>IF($A879="","",N(Receipts!$G882))</f>
        <v/>
      </c>
      <c r="E879" s="20" t="str">
        <f>IF($A879="","",IFERROR(INDEX(Items!$D$5:$D$597,MATCH($A879,Items!$A$5:$A$597,0)),0))</f>
        <v/>
      </c>
      <c r="F879" s="21" t="str">
        <f t="shared" si="65"/>
        <v/>
      </c>
      <c r="G879" s="25" t="str">
        <f>IF(Receipts!$I882="","",Receipts!$I882)</f>
        <v/>
      </c>
      <c r="H879" s="25" t="str">
        <f>IF(Receipts!$H882="","",Receipts!$H882)</f>
        <v/>
      </c>
      <c r="I879" s="26" t="str">
        <f t="shared" ca="1" si="66"/>
        <v/>
      </c>
      <c r="J879" s="26" t="str">
        <f>IF($A879="","",COUNTIFS(tblReceipts[Item Name],$A879,tblReceipts[Expiry Date],"&lt;"&amp;$H879)+COUNTIFS(tblReceipts[Item Name],$A879,tblReceipts[Expiry Date],$H879,tblReceipts[Lot Number],"&lt;="&amp;Receipts!$C882))</f>
        <v/>
      </c>
      <c r="K879" s="26" t="str">
        <f>IF($A879="","",SUMIFS(tblReceipts[Qty Received],tblReceipts[Item Name],$A879,tblReceipts[Expiry Date],"&lt;"&amp;$H879)+SUMIFS(tblReceipts[Qty Received],tblReceipts[Item Name],$A879,tblReceipts[Expiry Date],$H879,tblReceipts[Lot Number],"&lt;"&amp;Receipts!$C882))</f>
        <v/>
      </c>
      <c r="L879" s="26" t="str">
        <f>IF($A879="","",MIN($D879,MAX(0,SUMIFS(tblIssues[Qty Issued],tblIssues[Item Name],$A879)-$K879)))</f>
        <v/>
      </c>
      <c r="M879" s="26" t="str">
        <f>IF($A879="","",SUMIFS(tblIssues[Qty Issued],tblIssues[Lot Number],$B879))</f>
        <v/>
      </c>
      <c r="N879" s="26" t="str">
        <f t="shared" si="67"/>
        <v/>
      </c>
      <c r="O879" s="26" t="str">
        <f t="shared" si="68"/>
        <v/>
      </c>
      <c r="P879" s="21" t="str">
        <f t="shared" si="69"/>
        <v/>
      </c>
      <c r="Q879" s="52" t="str">
        <f>IF($A879="","",IF($O879&lt;=0,"Depleted",IF($I879&lt;0,"EXPIRED",IF($I879&lt;=Settings!$C$6,"CRITICAL",IF($I879&lt;=Settings!$C$5,"Expiring","In date")))))</f>
        <v/>
      </c>
    </row>
    <row r="880" spans="1:17" x14ac:dyDescent="0.35">
      <c r="A880" s="90" t="str">
        <f>IF(Receipts!$D883="","",Receipts!$D883)</f>
        <v/>
      </c>
      <c r="B880" s="18" t="str">
        <f>IF(Receipts!$C883="","",Receipts!$C883)</f>
        <v/>
      </c>
      <c r="C880" s="18" t="str">
        <f>IF($A880="","",IFERROR(INDEX(Items!$B$5:$B$597,MATCH($A880,Items!$A$5:$A$597,0)),""))</f>
        <v/>
      </c>
      <c r="D880" s="23" t="str">
        <f>IF($A880="","",N(Receipts!$G883))</f>
        <v/>
      </c>
      <c r="E880" s="20" t="str">
        <f>IF($A880="","",IFERROR(INDEX(Items!$D$5:$D$597,MATCH($A880,Items!$A$5:$A$597,0)),0))</f>
        <v/>
      </c>
      <c r="F880" s="21" t="str">
        <f t="shared" si="65"/>
        <v/>
      </c>
      <c r="G880" s="25" t="str">
        <f>IF(Receipts!$I883="","",Receipts!$I883)</f>
        <v/>
      </c>
      <c r="H880" s="25" t="str">
        <f>IF(Receipts!$H883="","",Receipts!$H883)</f>
        <v/>
      </c>
      <c r="I880" s="26" t="str">
        <f t="shared" ca="1" si="66"/>
        <v/>
      </c>
      <c r="J880" s="26" t="str">
        <f>IF($A880="","",COUNTIFS(tblReceipts[Item Name],$A880,tblReceipts[Expiry Date],"&lt;"&amp;$H880)+COUNTIFS(tblReceipts[Item Name],$A880,tblReceipts[Expiry Date],$H880,tblReceipts[Lot Number],"&lt;="&amp;Receipts!$C883))</f>
        <v/>
      </c>
      <c r="K880" s="26" t="str">
        <f>IF($A880="","",SUMIFS(tblReceipts[Qty Received],tblReceipts[Item Name],$A880,tblReceipts[Expiry Date],"&lt;"&amp;$H880)+SUMIFS(tblReceipts[Qty Received],tblReceipts[Item Name],$A880,tblReceipts[Expiry Date],$H880,tblReceipts[Lot Number],"&lt;"&amp;Receipts!$C883))</f>
        <v/>
      </c>
      <c r="L880" s="26" t="str">
        <f>IF($A880="","",MIN($D880,MAX(0,SUMIFS(tblIssues[Qty Issued],tblIssues[Item Name],$A880)-$K880)))</f>
        <v/>
      </c>
      <c r="M880" s="26" t="str">
        <f>IF($A880="","",SUMIFS(tblIssues[Qty Issued],tblIssues[Lot Number],$B880))</f>
        <v/>
      </c>
      <c r="N880" s="26" t="str">
        <f t="shared" si="67"/>
        <v/>
      </c>
      <c r="O880" s="26" t="str">
        <f t="shared" si="68"/>
        <v/>
      </c>
      <c r="P880" s="21" t="str">
        <f t="shared" si="69"/>
        <v/>
      </c>
      <c r="Q880" s="52" t="str">
        <f>IF($A880="","",IF($O880&lt;=0,"Depleted",IF($I880&lt;0,"EXPIRED",IF($I880&lt;=Settings!$C$6,"CRITICAL",IF($I880&lt;=Settings!$C$5,"Expiring","In date")))))</f>
        <v/>
      </c>
    </row>
    <row r="881" spans="1:17" x14ac:dyDescent="0.35">
      <c r="A881" s="90" t="str">
        <f>IF(Receipts!$D884="","",Receipts!$D884)</f>
        <v/>
      </c>
      <c r="B881" s="18" t="str">
        <f>IF(Receipts!$C884="","",Receipts!$C884)</f>
        <v/>
      </c>
      <c r="C881" s="18" t="str">
        <f>IF($A881="","",IFERROR(INDEX(Items!$B$5:$B$597,MATCH($A881,Items!$A$5:$A$597,0)),""))</f>
        <v/>
      </c>
      <c r="D881" s="23" t="str">
        <f>IF($A881="","",N(Receipts!$G884))</f>
        <v/>
      </c>
      <c r="E881" s="20" t="str">
        <f>IF($A881="","",IFERROR(INDEX(Items!$D$5:$D$597,MATCH($A881,Items!$A$5:$A$597,0)),0))</f>
        <v/>
      </c>
      <c r="F881" s="21" t="str">
        <f t="shared" si="65"/>
        <v/>
      </c>
      <c r="G881" s="25" t="str">
        <f>IF(Receipts!$I884="","",Receipts!$I884)</f>
        <v/>
      </c>
      <c r="H881" s="25" t="str">
        <f>IF(Receipts!$H884="","",Receipts!$H884)</f>
        <v/>
      </c>
      <c r="I881" s="26" t="str">
        <f t="shared" ca="1" si="66"/>
        <v/>
      </c>
      <c r="J881" s="26" t="str">
        <f>IF($A881="","",COUNTIFS(tblReceipts[Item Name],$A881,tblReceipts[Expiry Date],"&lt;"&amp;$H881)+COUNTIFS(tblReceipts[Item Name],$A881,tblReceipts[Expiry Date],$H881,tblReceipts[Lot Number],"&lt;="&amp;Receipts!$C884))</f>
        <v/>
      </c>
      <c r="K881" s="26" t="str">
        <f>IF($A881="","",SUMIFS(tblReceipts[Qty Received],tblReceipts[Item Name],$A881,tblReceipts[Expiry Date],"&lt;"&amp;$H881)+SUMIFS(tblReceipts[Qty Received],tblReceipts[Item Name],$A881,tblReceipts[Expiry Date],$H881,tblReceipts[Lot Number],"&lt;"&amp;Receipts!$C884))</f>
        <v/>
      </c>
      <c r="L881" s="26" t="str">
        <f>IF($A881="","",MIN($D881,MAX(0,SUMIFS(tblIssues[Qty Issued],tblIssues[Item Name],$A881)-$K881)))</f>
        <v/>
      </c>
      <c r="M881" s="26" t="str">
        <f>IF($A881="","",SUMIFS(tblIssues[Qty Issued],tblIssues[Lot Number],$B881))</f>
        <v/>
      </c>
      <c r="N881" s="26" t="str">
        <f t="shared" si="67"/>
        <v/>
      </c>
      <c r="O881" s="26" t="str">
        <f t="shared" si="68"/>
        <v/>
      </c>
      <c r="P881" s="21" t="str">
        <f t="shared" si="69"/>
        <v/>
      </c>
      <c r="Q881" s="52" t="str">
        <f>IF($A881="","",IF($O881&lt;=0,"Depleted",IF($I881&lt;0,"EXPIRED",IF($I881&lt;=Settings!$C$6,"CRITICAL",IF($I881&lt;=Settings!$C$5,"Expiring","In date")))))</f>
        <v/>
      </c>
    </row>
    <row r="882" spans="1:17" x14ac:dyDescent="0.35">
      <c r="A882" s="90" t="str">
        <f>IF(Receipts!$D885="","",Receipts!$D885)</f>
        <v/>
      </c>
      <c r="B882" s="18" t="str">
        <f>IF(Receipts!$C885="","",Receipts!$C885)</f>
        <v/>
      </c>
      <c r="C882" s="18" t="str">
        <f>IF($A882="","",IFERROR(INDEX(Items!$B$5:$B$597,MATCH($A882,Items!$A$5:$A$597,0)),""))</f>
        <v/>
      </c>
      <c r="D882" s="23" t="str">
        <f>IF($A882="","",N(Receipts!$G885))</f>
        <v/>
      </c>
      <c r="E882" s="20" t="str">
        <f>IF($A882="","",IFERROR(INDEX(Items!$D$5:$D$597,MATCH($A882,Items!$A$5:$A$597,0)),0))</f>
        <v/>
      </c>
      <c r="F882" s="21" t="str">
        <f t="shared" si="65"/>
        <v/>
      </c>
      <c r="G882" s="25" t="str">
        <f>IF(Receipts!$I885="","",Receipts!$I885)</f>
        <v/>
      </c>
      <c r="H882" s="25" t="str">
        <f>IF(Receipts!$H885="","",Receipts!$H885)</f>
        <v/>
      </c>
      <c r="I882" s="26" t="str">
        <f t="shared" ca="1" si="66"/>
        <v/>
      </c>
      <c r="J882" s="26" t="str">
        <f>IF($A882="","",COUNTIFS(tblReceipts[Item Name],$A882,tblReceipts[Expiry Date],"&lt;"&amp;$H882)+COUNTIFS(tblReceipts[Item Name],$A882,tblReceipts[Expiry Date],$H882,tblReceipts[Lot Number],"&lt;="&amp;Receipts!$C885))</f>
        <v/>
      </c>
      <c r="K882" s="26" t="str">
        <f>IF($A882="","",SUMIFS(tblReceipts[Qty Received],tblReceipts[Item Name],$A882,tblReceipts[Expiry Date],"&lt;"&amp;$H882)+SUMIFS(tblReceipts[Qty Received],tblReceipts[Item Name],$A882,tblReceipts[Expiry Date],$H882,tblReceipts[Lot Number],"&lt;"&amp;Receipts!$C885))</f>
        <v/>
      </c>
      <c r="L882" s="26" t="str">
        <f>IF($A882="","",MIN($D882,MAX(0,SUMIFS(tblIssues[Qty Issued],tblIssues[Item Name],$A882)-$K882)))</f>
        <v/>
      </c>
      <c r="M882" s="26" t="str">
        <f>IF($A882="","",SUMIFS(tblIssues[Qty Issued],tblIssues[Lot Number],$B882))</f>
        <v/>
      </c>
      <c r="N882" s="26" t="str">
        <f t="shared" si="67"/>
        <v/>
      </c>
      <c r="O882" s="26" t="str">
        <f t="shared" si="68"/>
        <v/>
      </c>
      <c r="P882" s="21" t="str">
        <f t="shared" si="69"/>
        <v/>
      </c>
      <c r="Q882" s="52" t="str">
        <f>IF($A882="","",IF($O882&lt;=0,"Depleted",IF($I882&lt;0,"EXPIRED",IF($I882&lt;=Settings!$C$6,"CRITICAL",IF($I882&lt;=Settings!$C$5,"Expiring","In date")))))</f>
        <v/>
      </c>
    </row>
    <row r="883" spans="1:17" x14ac:dyDescent="0.35">
      <c r="A883" s="90" t="str">
        <f>IF(Receipts!$D886="","",Receipts!$D886)</f>
        <v/>
      </c>
      <c r="B883" s="18" t="str">
        <f>IF(Receipts!$C886="","",Receipts!$C886)</f>
        <v/>
      </c>
      <c r="C883" s="18" t="str">
        <f>IF($A883="","",IFERROR(INDEX(Items!$B$5:$B$597,MATCH($A883,Items!$A$5:$A$597,0)),""))</f>
        <v/>
      </c>
      <c r="D883" s="23" t="str">
        <f>IF($A883="","",N(Receipts!$G886))</f>
        <v/>
      </c>
      <c r="E883" s="20" t="str">
        <f>IF($A883="","",IFERROR(INDEX(Items!$D$5:$D$597,MATCH($A883,Items!$A$5:$A$597,0)),0))</f>
        <v/>
      </c>
      <c r="F883" s="21" t="str">
        <f t="shared" si="65"/>
        <v/>
      </c>
      <c r="G883" s="25" t="str">
        <f>IF(Receipts!$I886="","",Receipts!$I886)</f>
        <v/>
      </c>
      <c r="H883" s="25" t="str">
        <f>IF(Receipts!$H886="","",Receipts!$H886)</f>
        <v/>
      </c>
      <c r="I883" s="26" t="str">
        <f t="shared" ca="1" si="66"/>
        <v/>
      </c>
      <c r="J883" s="26" t="str">
        <f>IF($A883="","",COUNTIFS(tblReceipts[Item Name],$A883,tblReceipts[Expiry Date],"&lt;"&amp;$H883)+COUNTIFS(tblReceipts[Item Name],$A883,tblReceipts[Expiry Date],$H883,tblReceipts[Lot Number],"&lt;="&amp;Receipts!$C886))</f>
        <v/>
      </c>
      <c r="K883" s="26" t="str">
        <f>IF($A883="","",SUMIFS(tblReceipts[Qty Received],tblReceipts[Item Name],$A883,tblReceipts[Expiry Date],"&lt;"&amp;$H883)+SUMIFS(tblReceipts[Qty Received],tblReceipts[Item Name],$A883,tblReceipts[Expiry Date],$H883,tblReceipts[Lot Number],"&lt;"&amp;Receipts!$C886))</f>
        <v/>
      </c>
      <c r="L883" s="26" t="str">
        <f>IF($A883="","",MIN($D883,MAX(0,SUMIFS(tblIssues[Qty Issued],tblIssues[Item Name],$A883)-$K883)))</f>
        <v/>
      </c>
      <c r="M883" s="26" t="str">
        <f>IF($A883="","",SUMIFS(tblIssues[Qty Issued],tblIssues[Lot Number],$B883))</f>
        <v/>
      </c>
      <c r="N883" s="26" t="str">
        <f t="shared" si="67"/>
        <v/>
      </c>
      <c r="O883" s="26" t="str">
        <f t="shared" si="68"/>
        <v/>
      </c>
      <c r="P883" s="21" t="str">
        <f t="shared" si="69"/>
        <v/>
      </c>
      <c r="Q883" s="52" t="str">
        <f>IF($A883="","",IF($O883&lt;=0,"Depleted",IF($I883&lt;0,"EXPIRED",IF($I883&lt;=Settings!$C$6,"CRITICAL",IF($I883&lt;=Settings!$C$5,"Expiring","In date")))))</f>
        <v/>
      </c>
    </row>
    <row r="884" spans="1:17" x14ac:dyDescent="0.35">
      <c r="A884" s="90" t="str">
        <f>IF(Receipts!$D887="","",Receipts!$D887)</f>
        <v/>
      </c>
      <c r="B884" s="18" t="str">
        <f>IF(Receipts!$C887="","",Receipts!$C887)</f>
        <v/>
      </c>
      <c r="C884" s="18" t="str">
        <f>IF($A884="","",IFERROR(INDEX(Items!$B$5:$B$597,MATCH($A884,Items!$A$5:$A$597,0)),""))</f>
        <v/>
      </c>
      <c r="D884" s="23" t="str">
        <f>IF($A884="","",N(Receipts!$G887))</f>
        <v/>
      </c>
      <c r="E884" s="20" t="str">
        <f>IF($A884="","",IFERROR(INDEX(Items!$D$5:$D$597,MATCH($A884,Items!$A$5:$A$597,0)),0))</f>
        <v/>
      </c>
      <c r="F884" s="21" t="str">
        <f t="shared" si="65"/>
        <v/>
      </c>
      <c r="G884" s="25" t="str">
        <f>IF(Receipts!$I887="","",Receipts!$I887)</f>
        <v/>
      </c>
      <c r="H884" s="25" t="str">
        <f>IF(Receipts!$H887="","",Receipts!$H887)</f>
        <v/>
      </c>
      <c r="I884" s="26" t="str">
        <f t="shared" ca="1" si="66"/>
        <v/>
      </c>
      <c r="J884" s="26" t="str">
        <f>IF($A884="","",COUNTIFS(tblReceipts[Item Name],$A884,tblReceipts[Expiry Date],"&lt;"&amp;$H884)+COUNTIFS(tblReceipts[Item Name],$A884,tblReceipts[Expiry Date],$H884,tblReceipts[Lot Number],"&lt;="&amp;Receipts!$C887))</f>
        <v/>
      </c>
      <c r="K884" s="26" t="str">
        <f>IF($A884="","",SUMIFS(tblReceipts[Qty Received],tblReceipts[Item Name],$A884,tblReceipts[Expiry Date],"&lt;"&amp;$H884)+SUMIFS(tblReceipts[Qty Received],tblReceipts[Item Name],$A884,tblReceipts[Expiry Date],$H884,tblReceipts[Lot Number],"&lt;"&amp;Receipts!$C887))</f>
        <v/>
      </c>
      <c r="L884" s="26" t="str">
        <f>IF($A884="","",MIN($D884,MAX(0,SUMIFS(tblIssues[Qty Issued],tblIssues[Item Name],$A884)-$K884)))</f>
        <v/>
      </c>
      <c r="M884" s="26" t="str">
        <f>IF($A884="","",SUMIFS(tblIssues[Qty Issued],tblIssues[Lot Number],$B884))</f>
        <v/>
      </c>
      <c r="N884" s="26" t="str">
        <f t="shared" si="67"/>
        <v/>
      </c>
      <c r="O884" s="26" t="str">
        <f t="shared" si="68"/>
        <v/>
      </c>
      <c r="P884" s="21" t="str">
        <f t="shared" si="69"/>
        <v/>
      </c>
      <c r="Q884" s="52" t="str">
        <f>IF($A884="","",IF($O884&lt;=0,"Depleted",IF($I884&lt;0,"EXPIRED",IF($I884&lt;=Settings!$C$6,"CRITICAL",IF($I884&lt;=Settings!$C$5,"Expiring","In date")))))</f>
        <v/>
      </c>
    </row>
    <row r="885" spans="1:17" x14ac:dyDescent="0.35">
      <c r="A885" s="90" t="str">
        <f>IF(Receipts!$D888="","",Receipts!$D888)</f>
        <v/>
      </c>
      <c r="B885" s="18" t="str">
        <f>IF(Receipts!$C888="","",Receipts!$C888)</f>
        <v/>
      </c>
      <c r="C885" s="18" t="str">
        <f>IF($A885="","",IFERROR(INDEX(Items!$B$5:$B$597,MATCH($A885,Items!$A$5:$A$597,0)),""))</f>
        <v/>
      </c>
      <c r="D885" s="23" t="str">
        <f>IF($A885="","",N(Receipts!$G888))</f>
        <v/>
      </c>
      <c r="E885" s="20" t="str">
        <f>IF($A885="","",IFERROR(INDEX(Items!$D$5:$D$597,MATCH($A885,Items!$A$5:$A$597,0)),0))</f>
        <v/>
      </c>
      <c r="F885" s="21" t="str">
        <f t="shared" si="65"/>
        <v/>
      </c>
      <c r="G885" s="25" t="str">
        <f>IF(Receipts!$I888="","",Receipts!$I888)</f>
        <v/>
      </c>
      <c r="H885" s="25" t="str">
        <f>IF(Receipts!$H888="","",Receipts!$H888)</f>
        <v/>
      </c>
      <c r="I885" s="26" t="str">
        <f t="shared" ca="1" si="66"/>
        <v/>
      </c>
      <c r="J885" s="26" t="str">
        <f>IF($A885="","",COUNTIFS(tblReceipts[Item Name],$A885,tblReceipts[Expiry Date],"&lt;"&amp;$H885)+COUNTIFS(tblReceipts[Item Name],$A885,tblReceipts[Expiry Date],$H885,tblReceipts[Lot Number],"&lt;="&amp;Receipts!$C888))</f>
        <v/>
      </c>
      <c r="K885" s="26" t="str">
        <f>IF($A885="","",SUMIFS(tblReceipts[Qty Received],tblReceipts[Item Name],$A885,tblReceipts[Expiry Date],"&lt;"&amp;$H885)+SUMIFS(tblReceipts[Qty Received],tblReceipts[Item Name],$A885,tblReceipts[Expiry Date],$H885,tblReceipts[Lot Number],"&lt;"&amp;Receipts!$C888))</f>
        <v/>
      </c>
      <c r="L885" s="26" t="str">
        <f>IF($A885="","",MIN($D885,MAX(0,SUMIFS(tblIssues[Qty Issued],tblIssues[Item Name],$A885)-$K885)))</f>
        <v/>
      </c>
      <c r="M885" s="26" t="str">
        <f>IF($A885="","",SUMIFS(tblIssues[Qty Issued],tblIssues[Lot Number],$B885))</f>
        <v/>
      </c>
      <c r="N885" s="26" t="str">
        <f t="shared" si="67"/>
        <v/>
      </c>
      <c r="O885" s="26" t="str">
        <f t="shared" si="68"/>
        <v/>
      </c>
      <c r="P885" s="21" t="str">
        <f t="shared" si="69"/>
        <v/>
      </c>
      <c r="Q885" s="52" t="str">
        <f>IF($A885="","",IF($O885&lt;=0,"Depleted",IF($I885&lt;0,"EXPIRED",IF($I885&lt;=Settings!$C$6,"CRITICAL",IF($I885&lt;=Settings!$C$5,"Expiring","In date")))))</f>
        <v/>
      </c>
    </row>
    <row r="886" spans="1:17" x14ac:dyDescent="0.35">
      <c r="A886" s="90" t="str">
        <f>IF(Receipts!$D889="","",Receipts!$D889)</f>
        <v/>
      </c>
      <c r="B886" s="18" t="str">
        <f>IF(Receipts!$C889="","",Receipts!$C889)</f>
        <v/>
      </c>
      <c r="C886" s="18" t="str">
        <f>IF($A886="","",IFERROR(INDEX(Items!$B$5:$B$597,MATCH($A886,Items!$A$5:$A$597,0)),""))</f>
        <v/>
      </c>
      <c r="D886" s="23" t="str">
        <f>IF($A886="","",N(Receipts!$G889))</f>
        <v/>
      </c>
      <c r="E886" s="20" t="str">
        <f>IF($A886="","",IFERROR(INDEX(Items!$D$5:$D$597,MATCH($A886,Items!$A$5:$A$597,0)),0))</f>
        <v/>
      </c>
      <c r="F886" s="21" t="str">
        <f t="shared" si="65"/>
        <v/>
      </c>
      <c r="G886" s="25" t="str">
        <f>IF(Receipts!$I889="","",Receipts!$I889)</f>
        <v/>
      </c>
      <c r="H886" s="25" t="str">
        <f>IF(Receipts!$H889="","",Receipts!$H889)</f>
        <v/>
      </c>
      <c r="I886" s="26" t="str">
        <f t="shared" ca="1" si="66"/>
        <v/>
      </c>
      <c r="J886" s="26" t="str">
        <f>IF($A886="","",COUNTIFS(tblReceipts[Item Name],$A886,tblReceipts[Expiry Date],"&lt;"&amp;$H886)+COUNTIFS(tblReceipts[Item Name],$A886,tblReceipts[Expiry Date],$H886,tblReceipts[Lot Number],"&lt;="&amp;Receipts!$C889))</f>
        <v/>
      </c>
      <c r="K886" s="26" t="str">
        <f>IF($A886="","",SUMIFS(tblReceipts[Qty Received],tblReceipts[Item Name],$A886,tblReceipts[Expiry Date],"&lt;"&amp;$H886)+SUMIFS(tblReceipts[Qty Received],tblReceipts[Item Name],$A886,tblReceipts[Expiry Date],$H886,tblReceipts[Lot Number],"&lt;"&amp;Receipts!$C889))</f>
        <v/>
      </c>
      <c r="L886" s="26" t="str">
        <f>IF($A886="","",MIN($D886,MAX(0,SUMIFS(tblIssues[Qty Issued],tblIssues[Item Name],$A886)-$K886)))</f>
        <v/>
      </c>
      <c r="M886" s="26" t="str">
        <f>IF($A886="","",SUMIFS(tblIssues[Qty Issued],tblIssues[Lot Number],$B886))</f>
        <v/>
      </c>
      <c r="N886" s="26" t="str">
        <f t="shared" si="67"/>
        <v/>
      </c>
      <c r="O886" s="26" t="str">
        <f t="shared" si="68"/>
        <v/>
      </c>
      <c r="P886" s="21" t="str">
        <f t="shared" si="69"/>
        <v/>
      </c>
      <c r="Q886" s="52" t="str">
        <f>IF($A886="","",IF($O886&lt;=0,"Depleted",IF($I886&lt;0,"EXPIRED",IF($I886&lt;=Settings!$C$6,"CRITICAL",IF($I886&lt;=Settings!$C$5,"Expiring","In date")))))</f>
        <v/>
      </c>
    </row>
    <row r="887" spans="1:17" x14ac:dyDescent="0.35">
      <c r="A887" s="90" t="str">
        <f>IF(Receipts!$D890="","",Receipts!$D890)</f>
        <v/>
      </c>
      <c r="B887" s="18" t="str">
        <f>IF(Receipts!$C890="","",Receipts!$C890)</f>
        <v/>
      </c>
      <c r="C887" s="18" t="str">
        <f>IF($A887="","",IFERROR(INDEX(Items!$B$5:$B$597,MATCH($A887,Items!$A$5:$A$597,0)),""))</f>
        <v/>
      </c>
      <c r="D887" s="23" t="str">
        <f>IF($A887="","",N(Receipts!$G890))</f>
        <v/>
      </c>
      <c r="E887" s="20" t="str">
        <f>IF($A887="","",IFERROR(INDEX(Items!$D$5:$D$597,MATCH($A887,Items!$A$5:$A$597,0)),0))</f>
        <v/>
      </c>
      <c r="F887" s="21" t="str">
        <f t="shared" si="65"/>
        <v/>
      </c>
      <c r="G887" s="25" t="str">
        <f>IF(Receipts!$I890="","",Receipts!$I890)</f>
        <v/>
      </c>
      <c r="H887" s="25" t="str">
        <f>IF(Receipts!$H890="","",Receipts!$H890)</f>
        <v/>
      </c>
      <c r="I887" s="26" t="str">
        <f t="shared" ca="1" si="66"/>
        <v/>
      </c>
      <c r="J887" s="26" t="str">
        <f>IF($A887="","",COUNTIFS(tblReceipts[Item Name],$A887,tblReceipts[Expiry Date],"&lt;"&amp;$H887)+COUNTIFS(tblReceipts[Item Name],$A887,tblReceipts[Expiry Date],$H887,tblReceipts[Lot Number],"&lt;="&amp;Receipts!$C890))</f>
        <v/>
      </c>
      <c r="K887" s="26" t="str">
        <f>IF($A887="","",SUMIFS(tblReceipts[Qty Received],tblReceipts[Item Name],$A887,tblReceipts[Expiry Date],"&lt;"&amp;$H887)+SUMIFS(tblReceipts[Qty Received],tblReceipts[Item Name],$A887,tblReceipts[Expiry Date],$H887,tblReceipts[Lot Number],"&lt;"&amp;Receipts!$C890))</f>
        <v/>
      </c>
      <c r="L887" s="26" t="str">
        <f>IF($A887="","",MIN($D887,MAX(0,SUMIFS(tblIssues[Qty Issued],tblIssues[Item Name],$A887)-$K887)))</f>
        <v/>
      </c>
      <c r="M887" s="26" t="str">
        <f>IF($A887="","",SUMIFS(tblIssues[Qty Issued],tblIssues[Lot Number],$B887))</f>
        <v/>
      </c>
      <c r="N887" s="26" t="str">
        <f t="shared" si="67"/>
        <v/>
      </c>
      <c r="O887" s="26" t="str">
        <f t="shared" si="68"/>
        <v/>
      </c>
      <c r="P887" s="21" t="str">
        <f t="shared" si="69"/>
        <v/>
      </c>
      <c r="Q887" s="52" t="str">
        <f>IF($A887="","",IF($O887&lt;=0,"Depleted",IF($I887&lt;0,"EXPIRED",IF($I887&lt;=Settings!$C$6,"CRITICAL",IF($I887&lt;=Settings!$C$5,"Expiring","In date")))))</f>
        <v/>
      </c>
    </row>
    <row r="888" spans="1:17" x14ac:dyDescent="0.35">
      <c r="A888" s="90" t="str">
        <f>IF(Receipts!$D891="","",Receipts!$D891)</f>
        <v/>
      </c>
      <c r="B888" s="18" t="str">
        <f>IF(Receipts!$C891="","",Receipts!$C891)</f>
        <v/>
      </c>
      <c r="C888" s="18" t="str">
        <f>IF($A888="","",IFERROR(INDEX(Items!$B$5:$B$597,MATCH($A888,Items!$A$5:$A$597,0)),""))</f>
        <v/>
      </c>
      <c r="D888" s="23" t="str">
        <f>IF($A888="","",N(Receipts!$G891))</f>
        <v/>
      </c>
      <c r="E888" s="20" t="str">
        <f>IF($A888="","",IFERROR(INDEX(Items!$D$5:$D$597,MATCH($A888,Items!$A$5:$A$597,0)),0))</f>
        <v/>
      </c>
      <c r="F888" s="21" t="str">
        <f t="shared" si="65"/>
        <v/>
      </c>
      <c r="G888" s="25" t="str">
        <f>IF(Receipts!$I891="","",Receipts!$I891)</f>
        <v/>
      </c>
      <c r="H888" s="25" t="str">
        <f>IF(Receipts!$H891="","",Receipts!$H891)</f>
        <v/>
      </c>
      <c r="I888" s="26" t="str">
        <f t="shared" ca="1" si="66"/>
        <v/>
      </c>
      <c r="J888" s="26" t="str">
        <f>IF($A888="","",COUNTIFS(tblReceipts[Item Name],$A888,tblReceipts[Expiry Date],"&lt;"&amp;$H888)+COUNTIFS(tblReceipts[Item Name],$A888,tblReceipts[Expiry Date],$H888,tblReceipts[Lot Number],"&lt;="&amp;Receipts!$C891))</f>
        <v/>
      </c>
      <c r="K888" s="26" t="str">
        <f>IF($A888="","",SUMIFS(tblReceipts[Qty Received],tblReceipts[Item Name],$A888,tblReceipts[Expiry Date],"&lt;"&amp;$H888)+SUMIFS(tblReceipts[Qty Received],tblReceipts[Item Name],$A888,tblReceipts[Expiry Date],$H888,tblReceipts[Lot Number],"&lt;"&amp;Receipts!$C891))</f>
        <v/>
      </c>
      <c r="L888" s="26" t="str">
        <f>IF($A888="","",MIN($D888,MAX(0,SUMIFS(tblIssues[Qty Issued],tblIssues[Item Name],$A888)-$K888)))</f>
        <v/>
      </c>
      <c r="M888" s="26" t="str">
        <f>IF($A888="","",SUMIFS(tblIssues[Qty Issued],tblIssues[Lot Number],$B888))</f>
        <v/>
      </c>
      <c r="N888" s="26" t="str">
        <f t="shared" si="67"/>
        <v/>
      </c>
      <c r="O888" s="26" t="str">
        <f t="shared" si="68"/>
        <v/>
      </c>
      <c r="P888" s="21" t="str">
        <f t="shared" si="69"/>
        <v/>
      </c>
      <c r="Q888" s="52" t="str">
        <f>IF($A888="","",IF($O888&lt;=0,"Depleted",IF($I888&lt;0,"EXPIRED",IF($I888&lt;=Settings!$C$6,"CRITICAL",IF($I888&lt;=Settings!$C$5,"Expiring","In date")))))</f>
        <v/>
      </c>
    </row>
    <row r="889" spans="1:17" x14ac:dyDescent="0.35">
      <c r="A889" s="90" t="str">
        <f>IF(Receipts!$D892="","",Receipts!$D892)</f>
        <v/>
      </c>
      <c r="B889" s="18" t="str">
        <f>IF(Receipts!$C892="","",Receipts!$C892)</f>
        <v/>
      </c>
      <c r="C889" s="18" t="str">
        <f>IF($A889="","",IFERROR(INDEX(Items!$B$5:$B$597,MATCH($A889,Items!$A$5:$A$597,0)),""))</f>
        <v/>
      </c>
      <c r="D889" s="23" t="str">
        <f>IF($A889="","",N(Receipts!$G892))</f>
        <v/>
      </c>
      <c r="E889" s="20" t="str">
        <f>IF($A889="","",IFERROR(INDEX(Items!$D$5:$D$597,MATCH($A889,Items!$A$5:$A$597,0)),0))</f>
        <v/>
      </c>
      <c r="F889" s="21" t="str">
        <f t="shared" si="65"/>
        <v/>
      </c>
      <c r="G889" s="25" t="str">
        <f>IF(Receipts!$I892="","",Receipts!$I892)</f>
        <v/>
      </c>
      <c r="H889" s="25" t="str">
        <f>IF(Receipts!$H892="","",Receipts!$H892)</f>
        <v/>
      </c>
      <c r="I889" s="26" t="str">
        <f t="shared" ca="1" si="66"/>
        <v/>
      </c>
      <c r="J889" s="26" t="str">
        <f>IF($A889="","",COUNTIFS(tblReceipts[Item Name],$A889,tblReceipts[Expiry Date],"&lt;"&amp;$H889)+COUNTIFS(tblReceipts[Item Name],$A889,tblReceipts[Expiry Date],$H889,tblReceipts[Lot Number],"&lt;="&amp;Receipts!$C892))</f>
        <v/>
      </c>
      <c r="K889" s="26" t="str">
        <f>IF($A889="","",SUMIFS(tblReceipts[Qty Received],tblReceipts[Item Name],$A889,tblReceipts[Expiry Date],"&lt;"&amp;$H889)+SUMIFS(tblReceipts[Qty Received],tblReceipts[Item Name],$A889,tblReceipts[Expiry Date],$H889,tblReceipts[Lot Number],"&lt;"&amp;Receipts!$C892))</f>
        <v/>
      </c>
      <c r="L889" s="26" t="str">
        <f>IF($A889="","",MIN($D889,MAX(0,SUMIFS(tblIssues[Qty Issued],tblIssues[Item Name],$A889)-$K889)))</f>
        <v/>
      </c>
      <c r="M889" s="26" t="str">
        <f>IF($A889="","",SUMIFS(tblIssues[Qty Issued],tblIssues[Lot Number],$B889))</f>
        <v/>
      </c>
      <c r="N889" s="26" t="str">
        <f t="shared" si="67"/>
        <v/>
      </c>
      <c r="O889" s="26" t="str">
        <f t="shared" si="68"/>
        <v/>
      </c>
      <c r="P889" s="21" t="str">
        <f t="shared" si="69"/>
        <v/>
      </c>
      <c r="Q889" s="52" t="str">
        <f>IF($A889="","",IF($O889&lt;=0,"Depleted",IF($I889&lt;0,"EXPIRED",IF($I889&lt;=Settings!$C$6,"CRITICAL",IF($I889&lt;=Settings!$C$5,"Expiring","In date")))))</f>
        <v/>
      </c>
    </row>
    <row r="890" spans="1:17" x14ac:dyDescent="0.35">
      <c r="A890" s="90" t="str">
        <f>IF(Receipts!$D893="","",Receipts!$D893)</f>
        <v/>
      </c>
      <c r="B890" s="18" t="str">
        <f>IF(Receipts!$C893="","",Receipts!$C893)</f>
        <v/>
      </c>
      <c r="C890" s="18" t="str">
        <f>IF($A890="","",IFERROR(INDEX(Items!$B$5:$B$597,MATCH($A890,Items!$A$5:$A$597,0)),""))</f>
        <v/>
      </c>
      <c r="D890" s="23" t="str">
        <f>IF($A890="","",N(Receipts!$G893))</f>
        <v/>
      </c>
      <c r="E890" s="20" t="str">
        <f>IF($A890="","",IFERROR(INDEX(Items!$D$5:$D$597,MATCH($A890,Items!$A$5:$A$597,0)),0))</f>
        <v/>
      </c>
      <c r="F890" s="21" t="str">
        <f t="shared" si="65"/>
        <v/>
      </c>
      <c r="G890" s="25" t="str">
        <f>IF(Receipts!$I893="","",Receipts!$I893)</f>
        <v/>
      </c>
      <c r="H890" s="25" t="str">
        <f>IF(Receipts!$H893="","",Receipts!$H893)</f>
        <v/>
      </c>
      <c r="I890" s="26" t="str">
        <f t="shared" ca="1" si="66"/>
        <v/>
      </c>
      <c r="J890" s="26" t="str">
        <f>IF($A890="","",COUNTIFS(tblReceipts[Item Name],$A890,tblReceipts[Expiry Date],"&lt;"&amp;$H890)+COUNTIFS(tblReceipts[Item Name],$A890,tblReceipts[Expiry Date],$H890,tblReceipts[Lot Number],"&lt;="&amp;Receipts!$C893))</f>
        <v/>
      </c>
      <c r="K890" s="26" t="str">
        <f>IF($A890="","",SUMIFS(tblReceipts[Qty Received],tblReceipts[Item Name],$A890,tblReceipts[Expiry Date],"&lt;"&amp;$H890)+SUMIFS(tblReceipts[Qty Received],tblReceipts[Item Name],$A890,tblReceipts[Expiry Date],$H890,tblReceipts[Lot Number],"&lt;"&amp;Receipts!$C893))</f>
        <v/>
      </c>
      <c r="L890" s="26" t="str">
        <f>IF($A890="","",MIN($D890,MAX(0,SUMIFS(tblIssues[Qty Issued],tblIssues[Item Name],$A890)-$K890)))</f>
        <v/>
      </c>
      <c r="M890" s="26" t="str">
        <f>IF($A890="","",SUMIFS(tblIssues[Qty Issued],tblIssues[Lot Number],$B890))</f>
        <v/>
      </c>
      <c r="N890" s="26" t="str">
        <f t="shared" si="67"/>
        <v/>
      </c>
      <c r="O890" s="26" t="str">
        <f t="shared" si="68"/>
        <v/>
      </c>
      <c r="P890" s="21" t="str">
        <f t="shared" si="69"/>
        <v/>
      </c>
      <c r="Q890" s="52" t="str">
        <f>IF($A890="","",IF($O890&lt;=0,"Depleted",IF($I890&lt;0,"EXPIRED",IF($I890&lt;=Settings!$C$6,"CRITICAL",IF($I890&lt;=Settings!$C$5,"Expiring","In date")))))</f>
        <v/>
      </c>
    </row>
    <row r="891" spans="1:17" x14ac:dyDescent="0.35">
      <c r="A891" s="90" t="str">
        <f>IF(Receipts!$D894="","",Receipts!$D894)</f>
        <v/>
      </c>
      <c r="B891" s="18" t="str">
        <f>IF(Receipts!$C894="","",Receipts!$C894)</f>
        <v/>
      </c>
      <c r="C891" s="18" t="str">
        <f>IF($A891="","",IFERROR(INDEX(Items!$B$5:$B$597,MATCH($A891,Items!$A$5:$A$597,0)),""))</f>
        <v/>
      </c>
      <c r="D891" s="23" t="str">
        <f>IF($A891="","",N(Receipts!$G894))</f>
        <v/>
      </c>
      <c r="E891" s="20" t="str">
        <f>IF($A891="","",IFERROR(INDEX(Items!$D$5:$D$597,MATCH($A891,Items!$A$5:$A$597,0)),0))</f>
        <v/>
      </c>
      <c r="F891" s="21" t="str">
        <f t="shared" si="65"/>
        <v/>
      </c>
      <c r="G891" s="25" t="str">
        <f>IF(Receipts!$I894="","",Receipts!$I894)</f>
        <v/>
      </c>
      <c r="H891" s="25" t="str">
        <f>IF(Receipts!$H894="","",Receipts!$H894)</f>
        <v/>
      </c>
      <c r="I891" s="26" t="str">
        <f t="shared" ca="1" si="66"/>
        <v/>
      </c>
      <c r="J891" s="26" t="str">
        <f>IF($A891="","",COUNTIFS(tblReceipts[Item Name],$A891,tblReceipts[Expiry Date],"&lt;"&amp;$H891)+COUNTIFS(tblReceipts[Item Name],$A891,tblReceipts[Expiry Date],$H891,tblReceipts[Lot Number],"&lt;="&amp;Receipts!$C894))</f>
        <v/>
      </c>
      <c r="K891" s="26" t="str">
        <f>IF($A891="","",SUMIFS(tblReceipts[Qty Received],tblReceipts[Item Name],$A891,tblReceipts[Expiry Date],"&lt;"&amp;$H891)+SUMIFS(tblReceipts[Qty Received],tblReceipts[Item Name],$A891,tblReceipts[Expiry Date],$H891,tblReceipts[Lot Number],"&lt;"&amp;Receipts!$C894))</f>
        <v/>
      </c>
      <c r="L891" s="26" t="str">
        <f>IF($A891="","",MIN($D891,MAX(0,SUMIFS(tblIssues[Qty Issued],tblIssues[Item Name],$A891)-$K891)))</f>
        <v/>
      </c>
      <c r="M891" s="26" t="str">
        <f>IF($A891="","",SUMIFS(tblIssues[Qty Issued],tblIssues[Lot Number],$B891))</f>
        <v/>
      </c>
      <c r="N891" s="26" t="str">
        <f t="shared" si="67"/>
        <v/>
      </c>
      <c r="O891" s="26" t="str">
        <f t="shared" si="68"/>
        <v/>
      </c>
      <c r="P891" s="21" t="str">
        <f t="shared" si="69"/>
        <v/>
      </c>
      <c r="Q891" s="52" t="str">
        <f>IF($A891="","",IF($O891&lt;=0,"Depleted",IF($I891&lt;0,"EXPIRED",IF($I891&lt;=Settings!$C$6,"CRITICAL",IF($I891&lt;=Settings!$C$5,"Expiring","In date")))))</f>
        <v/>
      </c>
    </row>
    <row r="892" spans="1:17" x14ac:dyDescent="0.35">
      <c r="A892" s="90" t="str">
        <f>IF(Receipts!$D895="","",Receipts!$D895)</f>
        <v/>
      </c>
      <c r="B892" s="18" t="str">
        <f>IF(Receipts!$C895="","",Receipts!$C895)</f>
        <v/>
      </c>
      <c r="C892" s="18" t="str">
        <f>IF($A892="","",IFERROR(INDEX(Items!$B$5:$B$597,MATCH($A892,Items!$A$5:$A$597,0)),""))</f>
        <v/>
      </c>
      <c r="D892" s="23" t="str">
        <f>IF($A892="","",N(Receipts!$G895))</f>
        <v/>
      </c>
      <c r="E892" s="20" t="str">
        <f>IF($A892="","",IFERROR(INDEX(Items!$D$5:$D$597,MATCH($A892,Items!$A$5:$A$597,0)),0))</f>
        <v/>
      </c>
      <c r="F892" s="21" t="str">
        <f t="shared" si="65"/>
        <v/>
      </c>
      <c r="G892" s="25" t="str">
        <f>IF(Receipts!$I895="","",Receipts!$I895)</f>
        <v/>
      </c>
      <c r="H892" s="25" t="str">
        <f>IF(Receipts!$H895="","",Receipts!$H895)</f>
        <v/>
      </c>
      <c r="I892" s="26" t="str">
        <f t="shared" ca="1" si="66"/>
        <v/>
      </c>
      <c r="J892" s="26" t="str">
        <f>IF($A892="","",COUNTIFS(tblReceipts[Item Name],$A892,tblReceipts[Expiry Date],"&lt;"&amp;$H892)+COUNTIFS(tblReceipts[Item Name],$A892,tblReceipts[Expiry Date],$H892,tblReceipts[Lot Number],"&lt;="&amp;Receipts!$C895))</f>
        <v/>
      </c>
      <c r="K892" s="26" t="str">
        <f>IF($A892="","",SUMIFS(tblReceipts[Qty Received],tblReceipts[Item Name],$A892,tblReceipts[Expiry Date],"&lt;"&amp;$H892)+SUMIFS(tblReceipts[Qty Received],tblReceipts[Item Name],$A892,tblReceipts[Expiry Date],$H892,tblReceipts[Lot Number],"&lt;"&amp;Receipts!$C895))</f>
        <v/>
      </c>
      <c r="L892" s="26" t="str">
        <f>IF($A892="","",MIN($D892,MAX(0,SUMIFS(tblIssues[Qty Issued],tblIssues[Item Name],$A892)-$K892)))</f>
        <v/>
      </c>
      <c r="M892" s="26" t="str">
        <f>IF($A892="","",SUMIFS(tblIssues[Qty Issued],tblIssues[Lot Number],$B892))</f>
        <v/>
      </c>
      <c r="N892" s="26" t="str">
        <f t="shared" si="67"/>
        <v/>
      </c>
      <c r="O892" s="26" t="str">
        <f t="shared" si="68"/>
        <v/>
      </c>
      <c r="P892" s="21" t="str">
        <f t="shared" si="69"/>
        <v/>
      </c>
      <c r="Q892" s="52" t="str">
        <f>IF($A892="","",IF($O892&lt;=0,"Depleted",IF($I892&lt;0,"EXPIRED",IF($I892&lt;=Settings!$C$6,"CRITICAL",IF($I892&lt;=Settings!$C$5,"Expiring","In date")))))</f>
        <v/>
      </c>
    </row>
    <row r="893" spans="1:17" x14ac:dyDescent="0.35">
      <c r="A893" s="90" t="str">
        <f>IF(Receipts!$D896="","",Receipts!$D896)</f>
        <v/>
      </c>
      <c r="B893" s="18" t="str">
        <f>IF(Receipts!$C896="","",Receipts!$C896)</f>
        <v/>
      </c>
      <c r="C893" s="18" t="str">
        <f>IF($A893="","",IFERROR(INDEX(Items!$B$5:$B$597,MATCH($A893,Items!$A$5:$A$597,0)),""))</f>
        <v/>
      </c>
      <c r="D893" s="23" t="str">
        <f>IF($A893="","",N(Receipts!$G896))</f>
        <v/>
      </c>
      <c r="E893" s="20" t="str">
        <f>IF($A893="","",IFERROR(INDEX(Items!$D$5:$D$597,MATCH($A893,Items!$A$5:$A$597,0)),0))</f>
        <v/>
      </c>
      <c r="F893" s="21" t="str">
        <f t="shared" si="65"/>
        <v/>
      </c>
      <c r="G893" s="25" t="str">
        <f>IF(Receipts!$I896="","",Receipts!$I896)</f>
        <v/>
      </c>
      <c r="H893" s="25" t="str">
        <f>IF(Receipts!$H896="","",Receipts!$H896)</f>
        <v/>
      </c>
      <c r="I893" s="26" t="str">
        <f t="shared" ca="1" si="66"/>
        <v/>
      </c>
      <c r="J893" s="26" t="str">
        <f>IF($A893="","",COUNTIFS(tblReceipts[Item Name],$A893,tblReceipts[Expiry Date],"&lt;"&amp;$H893)+COUNTIFS(tblReceipts[Item Name],$A893,tblReceipts[Expiry Date],$H893,tblReceipts[Lot Number],"&lt;="&amp;Receipts!$C896))</f>
        <v/>
      </c>
      <c r="K893" s="26" t="str">
        <f>IF($A893="","",SUMIFS(tblReceipts[Qty Received],tblReceipts[Item Name],$A893,tblReceipts[Expiry Date],"&lt;"&amp;$H893)+SUMIFS(tblReceipts[Qty Received],tblReceipts[Item Name],$A893,tblReceipts[Expiry Date],$H893,tblReceipts[Lot Number],"&lt;"&amp;Receipts!$C896))</f>
        <v/>
      </c>
      <c r="L893" s="26" t="str">
        <f>IF($A893="","",MIN($D893,MAX(0,SUMIFS(tblIssues[Qty Issued],tblIssues[Item Name],$A893)-$K893)))</f>
        <v/>
      </c>
      <c r="M893" s="26" t="str">
        <f>IF($A893="","",SUMIFS(tblIssues[Qty Issued],tblIssues[Lot Number],$B893))</f>
        <v/>
      </c>
      <c r="N893" s="26" t="str">
        <f t="shared" si="67"/>
        <v/>
      </c>
      <c r="O893" s="26" t="str">
        <f t="shared" si="68"/>
        <v/>
      </c>
      <c r="P893" s="21" t="str">
        <f t="shared" si="69"/>
        <v/>
      </c>
      <c r="Q893" s="52" t="str">
        <f>IF($A893="","",IF($O893&lt;=0,"Depleted",IF($I893&lt;0,"EXPIRED",IF($I893&lt;=Settings!$C$6,"CRITICAL",IF($I893&lt;=Settings!$C$5,"Expiring","In date")))))</f>
        <v/>
      </c>
    </row>
    <row r="894" spans="1:17" x14ac:dyDescent="0.35">
      <c r="A894" s="90" t="str">
        <f>IF(Receipts!$D897="","",Receipts!$D897)</f>
        <v/>
      </c>
      <c r="B894" s="18" t="str">
        <f>IF(Receipts!$C897="","",Receipts!$C897)</f>
        <v/>
      </c>
      <c r="C894" s="18" t="str">
        <f>IF($A894="","",IFERROR(INDEX(Items!$B$5:$B$597,MATCH($A894,Items!$A$5:$A$597,0)),""))</f>
        <v/>
      </c>
      <c r="D894" s="23" t="str">
        <f>IF($A894="","",N(Receipts!$G897))</f>
        <v/>
      </c>
      <c r="E894" s="20" t="str">
        <f>IF($A894="","",IFERROR(INDEX(Items!$D$5:$D$597,MATCH($A894,Items!$A$5:$A$597,0)),0))</f>
        <v/>
      </c>
      <c r="F894" s="21" t="str">
        <f t="shared" si="65"/>
        <v/>
      </c>
      <c r="G894" s="25" t="str">
        <f>IF(Receipts!$I897="","",Receipts!$I897)</f>
        <v/>
      </c>
      <c r="H894" s="25" t="str">
        <f>IF(Receipts!$H897="","",Receipts!$H897)</f>
        <v/>
      </c>
      <c r="I894" s="26" t="str">
        <f t="shared" ca="1" si="66"/>
        <v/>
      </c>
      <c r="J894" s="26" t="str">
        <f>IF($A894="","",COUNTIFS(tblReceipts[Item Name],$A894,tblReceipts[Expiry Date],"&lt;"&amp;$H894)+COUNTIFS(tblReceipts[Item Name],$A894,tblReceipts[Expiry Date],$H894,tblReceipts[Lot Number],"&lt;="&amp;Receipts!$C897))</f>
        <v/>
      </c>
      <c r="K894" s="26" t="str">
        <f>IF($A894="","",SUMIFS(tblReceipts[Qty Received],tblReceipts[Item Name],$A894,tblReceipts[Expiry Date],"&lt;"&amp;$H894)+SUMIFS(tblReceipts[Qty Received],tblReceipts[Item Name],$A894,tblReceipts[Expiry Date],$H894,tblReceipts[Lot Number],"&lt;"&amp;Receipts!$C897))</f>
        <v/>
      </c>
      <c r="L894" s="26" t="str">
        <f>IF($A894="","",MIN($D894,MAX(0,SUMIFS(tblIssues[Qty Issued],tblIssues[Item Name],$A894)-$K894)))</f>
        <v/>
      </c>
      <c r="M894" s="26" t="str">
        <f>IF($A894="","",SUMIFS(tblIssues[Qty Issued],tblIssues[Lot Number],$B894))</f>
        <v/>
      </c>
      <c r="N894" s="26" t="str">
        <f t="shared" si="67"/>
        <v/>
      </c>
      <c r="O894" s="26" t="str">
        <f t="shared" si="68"/>
        <v/>
      </c>
      <c r="P894" s="21" t="str">
        <f t="shared" si="69"/>
        <v/>
      </c>
      <c r="Q894" s="52" t="str">
        <f>IF($A894="","",IF($O894&lt;=0,"Depleted",IF($I894&lt;0,"EXPIRED",IF($I894&lt;=Settings!$C$6,"CRITICAL",IF($I894&lt;=Settings!$C$5,"Expiring","In date")))))</f>
        <v/>
      </c>
    </row>
    <row r="895" spans="1:17" x14ac:dyDescent="0.35">
      <c r="A895" s="90" t="str">
        <f>IF(Receipts!$D898="","",Receipts!$D898)</f>
        <v/>
      </c>
      <c r="B895" s="18" t="str">
        <f>IF(Receipts!$C898="","",Receipts!$C898)</f>
        <v/>
      </c>
      <c r="C895" s="18" t="str">
        <f>IF($A895="","",IFERROR(INDEX(Items!$B$5:$B$597,MATCH($A895,Items!$A$5:$A$597,0)),""))</f>
        <v/>
      </c>
      <c r="D895" s="23" t="str">
        <f>IF($A895="","",N(Receipts!$G898))</f>
        <v/>
      </c>
      <c r="E895" s="20" t="str">
        <f>IF($A895="","",IFERROR(INDEX(Items!$D$5:$D$597,MATCH($A895,Items!$A$5:$A$597,0)),0))</f>
        <v/>
      </c>
      <c r="F895" s="21" t="str">
        <f t="shared" si="65"/>
        <v/>
      </c>
      <c r="G895" s="25" t="str">
        <f>IF(Receipts!$I898="","",Receipts!$I898)</f>
        <v/>
      </c>
      <c r="H895" s="25" t="str">
        <f>IF(Receipts!$H898="","",Receipts!$H898)</f>
        <v/>
      </c>
      <c r="I895" s="26" t="str">
        <f t="shared" ca="1" si="66"/>
        <v/>
      </c>
      <c r="J895" s="26" t="str">
        <f>IF($A895="","",COUNTIFS(tblReceipts[Item Name],$A895,tblReceipts[Expiry Date],"&lt;"&amp;$H895)+COUNTIFS(tblReceipts[Item Name],$A895,tblReceipts[Expiry Date],$H895,tblReceipts[Lot Number],"&lt;="&amp;Receipts!$C898))</f>
        <v/>
      </c>
      <c r="K895" s="26" t="str">
        <f>IF($A895="","",SUMIFS(tblReceipts[Qty Received],tblReceipts[Item Name],$A895,tblReceipts[Expiry Date],"&lt;"&amp;$H895)+SUMIFS(tblReceipts[Qty Received],tblReceipts[Item Name],$A895,tblReceipts[Expiry Date],$H895,tblReceipts[Lot Number],"&lt;"&amp;Receipts!$C898))</f>
        <v/>
      </c>
      <c r="L895" s="26" t="str">
        <f>IF($A895="","",MIN($D895,MAX(0,SUMIFS(tblIssues[Qty Issued],tblIssues[Item Name],$A895)-$K895)))</f>
        <v/>
      </c>
      <c r="M895" s="26" t="str">
        <f>IF($A895="","",SUMIFS(tblIssues[Qty Issued],tblIssues[Lot Number],$B895))</f>
        <v/>
      </c>
      <c r="N895" s="26" t="str">
        <f t="shared" si="67"/>
        <v/>
      </c>
      <c r="O895" s="26" t="str">
        <f t="shared" si="68"/>
        <v/>
      </c>
      <c r="P895" s="21" t="str">
        <f t="shared" si="69"/>
        <v/>
      </c>
      <c r="Q895" s="52" t="str">
        <f>IF($A895="","",IF($O895&lt;=0,"Depleted",IF($I895&lt;0,"EXPIRED",IF($I895&lt;=Settings!$C$6,"CRITICAL",IF($I895&lt;=Settings!$C$5,"Expiring","In date")))))</f>
        <v/>
      </c>
    </row>
    <row r="896" spans="1:17" x14ac:dyDescent="0.35">
      <c r="A896" s="90" t="str">
        <f>IF(Receipts!$D899="","",Receipts!$D899)</f>
        <v/>
      </c>
      <c r="B896" s="18" t="str">
        <f>IF(Receipts!$C899="","",Receipts!$C899)</f>
        <v/>
      </c>
      <c r="C896" s="18" t="str">
        <f>IF($A896="","",IFERROR(INDEX(Items!$B$5:$B$597,MATCH($A896,Items!$A$5:$A$597,0)),""))</f>
        <v/>
      </c>
      <c r="D896" s="23" t="str">
        <f>IF($A896="","",N(Receipts!$G899))</f>
        <v/>
      </c>
      <c r="E896" s="20" t="str">
        <f>IF($A896="","",IFERROR(INDEX(Items!$D$5:$D$597,MATCH($A896,Items!$A$5:$A$597,0)),0))</f>
        <v/>
      </c>
      <c r="F896" s="21" t="str">
        <f t="shared" si="65"/>
        <v/>
      </c>
      <c r="G896" s="25" t="str">
        <f>IF(Receipts!$I899="","",Receipts!$I899)</f>
        <v/>
      </c>
      <c r="H896" s="25" t="str">
        <f>IF(Receipts!$H899="","",Receipts!$H899)</f>
        <v/>
      </c>
      <c r="I896" s="26" t="str">
        <f t="shared" ca="1" si="66"/>
        <v/>
      </c>
      <c r="J896" s="26" t="str">
        <f>IF($A896="","",COUNTIFS(tblReceipts[Item Name],$A896,tblReceipts[Expiry Date],"&lt;"&amp;$H896)+COUNTIFS(tblReceipts[Item Name],$A896,tblReceipts[Expiry Date],$H896,tblReceipts[Lot Number],"&lt;="&amp;Receipts!$C899))</f>
        <v/>
      </c>
      <c r="K896" s="26" t="str">
        <f>IF($A896="","",SUMIFS(tblReceipts[Qty Received],tblReceipts[Item Name],$A896,tblReceipts[Expiry Date],"&lt;"&amp;$H896)+SUMIFS(tblReceipts[Qty Received],tblReceipts[Item Name],$A896,tblReceipts[Expiry Date],$H896,tblReceipts[Lot Number],"&lt;"&amp;Receipts!$C899))</f>
        <v/>
      </c>
      <c r="L896" s="26" t="str">
        <f>IF($A896="","",MIN($D896,MAX(0,SUMIFS(tblIssues[Qty Issued],tblIssues[Item Name],$A896)-$K896)))</f>
        <v/>
      </c>
      <c r="M896" s="26" t="str">
        <f>IF($A896="","",SUMIFS(tblIssues[Qty Issued],tblIssues[Lot Number],$B896))</f>
        <v/>
      </c>
      <c r="N896" s="26" t="str">
        <f t="shared" si="67"/>
        <v/>
      </c>
      <c r="O896" s="26" t="str">
        <f t="shared" si="68"/>
        <v/>
      </c>
      <c r="P896" s="21" t="str">
        <f t="shared" si="69"/>
        <v/>
      </c>
      <c r="Q896" s="52" t="str">
        <f>IF($A896="","",IF($O896&lt;=0,"Depleted",IF($I896&lt;0,"EXPIRED",IF($I896&lt;=Settings!$C$6,"CRITICAL",IF($I896&lt;=Settings!$C$5,"Expiring","In date")))))</f>
        <v/>
      </c>
    </row>
    <row r="897" spans="1:17" x14ac:dyDescent="0.35">
      <c r="A897" s="90" t="str">
        <f>IF(Receipts!$D900="","",Receipts!$D900)</f>
        <v/>
      </c>
      <c r="B897" s="18" t="str">
        <f>IF(Receipts!$C900="","",Receipts!$C900)</f>
        <v/>
      </c>
      <c r="C897" s="18" t="str">
        <f>IF($A897="","",IFERROR(INDEX(Items!$B$5:$B$597,MATCH($A897,Items!$A$5:$A$597,0)),""))</f>
        <v/>
      </c>
      <c r="D897" s="23" t="str">
        <f>IF($A897="","",N(Receipts!$G900))</f>
        <v/>
      </c>
      <c r="E897" s="20" t="str">
        <f>IF($A897="","",IFERROR(INDEX(Items!$D$5:$D$597,MATCH($A897,Items!$A$5:$A$597,0)),0))</f>
        <v/>
      </c>
      <c r="F897" s="21" t="str">
        <f t="shared" si="65"/>
        <v/>
      </c>
      <c r="G897" s="25" t="str">
        <f>IF(Receipts!$I900="","",Receipts!$I900)</f>
        <v/>
      </c>
      <c r="H897" s="25" t="str">
        <f>IF(Receipts!$H900="","",Receipts!$H900)</f>
        <v/>
      </c>
      <c r="I897" s="26" t="str">
        <f t="shared" ca="1" si="66"/>
        <v/>
      </c>
      <c r="J897" s="26" t="str">
        <f>IF($A897="","",COUNTIFS(tblReceipts[Item Name],$A897,tblReceipts[Expiry Date],"&lt;"&amp;$H897)+COUNTIFS(tblReceipts[Item Name],$A897,tblReceipts[Expiry Date],$H897,tblReceipts[Lot Number],"&lt;="&amp;Receipts!$C900))</f>
        <v/>
      </c>
      <c r="K897" s="26" t="str">
        <f>IF($A897="","",SUMIFS(tblReceipts[Qty Received],tblReceipts[Item Name],$A897,tblReceipts[Expiry Date],"&lt;"&amp;$H897)+SUMIFS(tblReceipts[Qty Received],tblReceipts[Item Name],$A897,tblReceipts[Expiry Date],$H897,tblReceipts[Lot Number],"&lt;"&amp;Receipts!$C900))</f>
        <v/>
      </c>
      <c r="L897" s="26" t="str">
        <f>IF($A897="","",MIN($D897,MAX(0,SUMIFS(tblIssues[Qty Issued],tblIssues[Item Name],$A897)-$K897)))</f>
        <v/>
      </c>
      <c r="M897" s="26" t="str">
        <f>IF($A897="","",SUMIFS(tblIssues[Qty Issued],tblIssues[Lot Number],$B897))</f>
        <v/>
      </c>
      <c r="N897" s="26" t="str">
        <f t="shared" si="67"/>
        <v/>
      </c>
      <c r="O897" s="26" t="str">
        <f t="shared" si="68"/>
        <v/>
      </c>
      <c r="P897" s="21" t="str">
        <f t="shared" si="69"/>
        <v/>
      </c>
      <c r="Q897" s="52" t="str">
        <f>IF($A897="","",IF($O897&lt;=0,"Depleted",IF($I897&lt;0,"EXPIRED",IF($I897&lt;=Settings!$C$6,"CRITICAL",IF($I897&lt;=Settings!$C$5,"Expiring","In date")))))</f>
        <v/>
      </c>
    </row>
    <row r="898" spans="1:17" x14ac:dyDescent="0.35">
      <c r="A898" s="90" t="str">
        <f>IF(Receipts!$D901="","",Receipts!$D901)</f>
        <v/>
      </c>
      <c r="B898" s="18" t="str">
        <f>IF(Receipts!$C901="","",Receipts!$C901)</f>
        <v/>
      </c>
      <c r="C898" s="18" t="str">
        <f>IF($A898="","",IFERROR(INDEX(Items!$B$5:$B$597,MATCH($A898,Items!$A$5:$A$597,0)),""))</f>
        <v/>
      </c>
      <c r="D898" s="23" t="str">
        <f>IF($A898="","",N(Receipts!$G901))</f>
        <v/>
      </c>
      <c r="E898" s="20" t="str">
        <f>IF($A898="","",IFERROR(INDEX(Items!$D$5:$D$597,MATCH($A898,Items!$A$5:$A$597,0)),0))</f>
        <v/>
      </c>
      <c r="F898" s="21" t="str">
        <f t="shared" si="65"/>
        <v/>
      </c>
      <c r="G898" s="25" t="str">
        <f>IF(Receipts!$I901="","",Receipts!$I901)</f>
        <v/>
      </c>
      <c r="H898" s="25" t="str">
        <f>IF(Receipts!$H901="","",Receipts!$H901)</f>
        <v/>
      </c>
      <c r="I898" s="26" t="str">
        <f t="shared" ca="1" si="66"/>
        <v/>
      </c>
      <c r="J898" s="26" t="str">
        <f>IF($A898="","",COUNTIFS(tblReceipts[Item Name],$A898,tblReceipts[Expiry Date],"&lt;"&amp;$H898)+COUNTIFS(tblReceipts[Item Name],$A898,tblReceipts[Expiry Date],$H898,tblReceipts[Lot Number],"&lt;="&amp;Receipts!$C901))</f>
        <v/>
      </c>
      <c r="K898" s="26" t="str">
        <f>IF($A898="","",SUMIFS(tblReceipts[Qty Received],tblReceipts[Item Name],$A898,tblReceipts[Expiry Date],"&lt;"&amp;$H898)+SUMIFS(tblReceipts[Qty Received],tblReceipts[Item Name],$A898,tblReceipts[Expiry Date],$H898,tblReceipts[Lot Number],"&lt;"&amp;Receipts!$C901))</f>
        <v/>
      </c>
      <c r="L898" s="26" t="str">
        <f>IF($A898="","",MIN($D898,MAX(0,SUMIFS(tblIssues[Qty Issued],tblIssues[Item Name],$A898)-$K898)))</f>
        <v/>
      </c>
      <c r="M898" s="26" t="str">
        <f>IF($A898="","",SUMIFS(tblIssues[Qty Issued],tblIssues[Lot Number],$B898))</f>
        <v/>
      </c>
      <c r="N898" s="26" t="str">
        <f t="shared" si="67"/>
        <v/>
      </c>
      <c r="O898" s="26" t="str">
        <f t="shared" si="68"/>
        <v/>
      </c>
      <c r="P898" s="21" t="str">
        <f t="shared" si="69"/>
        <v/>
      </c>
      <c r="Q898" s="52" t="str">
        <f>IF($A898="","",IF($O898&lt;=0,"Depleted",IF($I898&lt;0,"EXPIRED",IF($I898&lt;=Settings!$C$6,"CRITICAL",IF($I898&lt;=Settings!$C$5,"Expiring","In date")))))</f>
        <v/>
      </c>
    </row>
    <row r="899" spans="1:17" x14ac:dyDescent="0.35">
      <c r="A899" s="90" t="str">
        <f>IF(Receipts!$D902="","",Receipts!$D902)</f>
        <v/>
      </c>
      <c r="B899" s="18" t="str">
        <f>IF(Receipts!$C902="","",Receipts!$C902)</f>
        <v/>
      </c>
      <c r="C899" s="18" t="str">
        <f>IF($A899="","",IFERROR(INDEX(Items!$B$5:$B$597,MATCH($A899,Items!$A$5:$A$597,0)),""))</f>
        <v/>
      </c>
      <c r="D899" s="23" t="str">
        <f>IF($A899="","",N(Receipts!$G902))</f>
        <v/>
      </c>
      <c r="E899" s="20" t="str">
        <f>IF($A899="","",IFERROR(INDEX(Items!$D$5:$D$597,MATCH($A899,Items!$A$5:$A$597,0)),0))</f>
        <v/>
      </c>
      <c r="F899" s="21" t="str">
        <f t="shared" si="65"/>
        <v/>
      </c>
      <c r="G899" s="25" t="str">
        <f>IF(Receipts!$I902="","",Receipts!$I902)</f>
        <v/>
      </c>
      <c r="H899" s="25" t="str">
        <f>IF(Receipts!$H902="","",Receipts!$H902)</f>
        <v/>
      </c>
      <c r="I899" s="26" t="str">
        <f t="shared" ca="1" si="66"/>
        <v/>
      </c>
      <c r="J899" s="26" t="str">
        <f>IF($A899="","",COUNTIFS(tblReceipts[Item Name],$A899,tblReceipts[Expiry Date],"&lt;"&amp;$H899)+COUNTIFS(tblReceipts[Item Name],$A899,tblReceipts[Expiry Date],$H899,tblReceipts[Lot Number],"&lt;="&amp;Receipts!$C902))</f>
        <v/>
      </c>
      <c r="K899" s="26" t="str">
        <f>IF($A899="","",SUMIFS(tblReceipts[Qty Received],tblReceipts[Item Name],$A899,tblReceipts[Expiry Date],"&lt;"&amp;$H899)+SUMIFS(tblReceipts[Qty Received],tblReceipts[Item Name],$A899,tblReceipts[Expiry Date],$H899,tblReceipts[Lot Number],"&lt;"&amp;Receipts!$C902))</f>
        <v/>
      </c>
      <c r="L899" s="26" t="str">
        <f>IF($A899="","",MIN($D899,MAX(0,SUMIFS(tblIssues[Qty Issued],tblIssues[Item Name],$A899)-$K899)))</f>
        <v/>
      </c>
      <c r="M899" s="26" t="str">
        <f>IF($A899="","",SUMIFS(tblIssues[Qty Issued],tblIssues[Lot Number],$B899))</f>
        <v/>
      </c>
      <c r="N899" s="26" t="str">
        <f t="shared" si="67"/>
        <v/>
      </c>
      <c r="O899" s="26" t="str">
        <f t="shared" si="68"/>
        <v/>
      </c>
      <c r="P899" s="21" t="str">
        <f t="shared" si="69"/>
        <v/>
      </c>
      <c r="Q899" s="52" t="str">
        <f>IF($A899="","",IF($O899&lt;=0,"Depleted",IF($I899&lt;0,"EXPIRED",IF($I899&lt;=Settings!$C$6,"CRITICAL",IF($I899&lt;=Settings!$C$5,"Expiring","In date")))))</f>
        <v/>
      </c>
    </row>
    <row r="900" spans="1:17" x14ac:dyDescent="0.35">
      <c r="A900" s="90" t="str">
        <f>IF(Receipts!$D903="","",Receipts!$D903)</f>
        <v/>
      </c>
      <c r="B900" s="18" t="str">
        <f>IF(Receipts!$C903="","",Receipts!$C903)</f>
        <v/>
      </c>
      <c r="C900" s="18" t="str">
        <f>IF($A900="","",IFERROR(INDEX(Items!$B$5:$B$597,MATCH($A900,Items!$A$5:$A$597,0)),""))</f>
        <v/>
      </c>
      <c r="D900" s="23" t="str">
        <f>IF($A900="","",N(Receipts!$G903))</f>
        <v/>
      </c>
      <c r="E900" s="20" t="str">
        <f>IF($A900="","",IFERROR(INDEX(Items!$D$5:$D$597,MATCH($A900,Items!$A$5:$A$597,0)),0))</f>
        <v/>
      </c>
      <c r="F900" s="21" t="str">
        <f t="shared" si="65"/>
        <v/>
      </c>
      <c r="G900" s="25" t="str">
        <f>IF(Receipts!$I903="","",Receipts!$I903)</f>
        <v/>
      </c>
      <c r="H900" s="25" t="str">
        <f>IF(Receipts!$H903="","",Receipts!$H903)</f>
        <v/>
      </c>
      <c r="I900" s="26" t="str">
        <f t="shared" ca="1" si="66"/>
        <v/>
      </c>
      <c r="J900" s="26" t="str">
        <f>IF($A900="","",COUNTIFS(tblReceipts[Item Name],$A900,tblReceipts[Expiry Date],"&lt;"&amp;$H900)+COUNTIFS(tblReceipts[Item Name],$A900,tblReceipts[Expiry Date],$H900,tblReceipts[Lot Number],"&lt;="&amp;Receipts!$C903))</f>
        <v/>
      </c>
      <c r="K900" s="26" t="str">
        <f>IF($A900="","",SUMIFS(tblReceipts[Qty Received],tblReceipts[Item Name],$A900,tblReceipts[Expiry Date],"&lt;"&amp;$H900)+SUMIFS(tblReceipts[Qty Received],tblReceipts[Item Name],$A900,tblReceipts[Expiry Date],$H900,tblReceipts[Lot Number],"&lt;"&amp;Receipts!$C903))</f>
        <v/>
      </c>
      <c r="L900" s="26" t="str">
        <f>IF($A900="","",MIN($D900,MAX(0,SUMIFS(tblIssues[Qty Issued],tblIssues[Item Name],$A900)-$K900)))</f>
        <v/>
      </c>
      <c r="M900" s="26" t="str">
        <f>IF($A900="","",SUMIFS(tblIssues[Qty Issued],tblIssues[Lot Number],$B900))</f>
        <v/>
      </c>
      <c r="N900" s="26" t="str">
        <f t="shared" si="67"/>
        <v/>
      </c>
      <c r="O900" s="26" t="str">
        <f t="shared" si="68"/>
        <v/>
      </c>
      <c r="P900" s="21" t="str">
        <f t="shared" si="69"/>
        <v/>
      </c>
      <c r="Q900" s="52" t="str">
        <f>IF($A900="","",IF($O900&lt;=0,"Depleted",IF($I900&lt;0,"EXPIRED",IF($I900&lt;=Settings!$C$6,"CRITICAL",IF($I900&lt;=Settings!$C$5,"Expiring","In date")))))</f>
        <v/>
      </c>
    </row>
    <row r="901" spans="1:17" x14ac:dyDescent="0.35">
      <c r="A901" s="90" t="str">
        <f>IF(Receipts!$D904="","",Receipts!$D904)</f>
        <v/>
      </c>
      <c r="B901" s="18" t="str">
        <f>IF(Receipts!$C904="","",Receipts!$C904)</f>
        <v/>
      </c>
      <c r="C901" s="18" t="str">
        <f>IF($A901="","",IFERROR(INDEX(Items!$B$5:$B$597,MATCH($A901,Items!$A$5:$A$597,0)),""))</f>
        <v/>
      </c>
      <c r="D901" s="23" t="str">
        <f>IF($A901="","",N(Receipts!$G904))</f>
        <v/>
      </c>
      <c r="E901" s="20" t="str">
        <f>IF($A901="","",IFERROR(INDEX(Items!$D$5:$D$597,MATCH($A901,Items!$A$5:$A$597,0)),0))</f>
        <v/>
      </c>
      <c r="F901" s="21" t="str">
        <f t="shared" ref="F901:F964" si="70">IF($A901="","",$D901*$E901)</f>
        <v/>
      </c>
      <c r="G901" s="25" t="str">
        <f>IF(Receipts!$I904="","",Receipts!$I904)</f>
        <v/>
      </c>
      <c r="H901" s="25" t="str">
        <f>IF(Receipts!$H904="","",Receipts!$H904)</f>
        <v/>
      </c>
      <c r="I901" s="26" t="str">
        <f t="shared" ref="I901:I964" ca="1" si="71">IF($H901="","",$H901-TODAY())</f>
        <v/>
      </c>
      <c r="J901" s="26" t="str">
        <f>IF($A901="","",COUNTIFS(tblReceipts[Item Name],$A901,tblReceipts[Expiry Date],"&lt;"&amp;$H901)+COUNTIFS(tblReceipts[Item Name],$A901,tblReceipts[Expiry Date],$H901,tblReceipts[Lot Number],"&lt;="&amp;Receipts!$C904))</f>
        <v/>
      </c>
      <c r="K901" s="26" t="str">
        <f>IF($A901="","",SUMIFS(tblReceipts[Qty Received],tblReceipts[Item Name],$A901,tblReceipts[Expiry Date],"&lt;"&amp;$H901)+SUMIFS(tblReceipts[Qty Received],tblReceipts[Item Name],$A901,tblReceipts[Expiry Date],$H901,tblReceipts[Lot Number],"&lt;"&amp;Receipts!$C904))</f>
        <v/>
      </c>
      <c r="L901" s="26" t="str">
        <f>IF($A901="","",MIN($D901,MAX(0,SUMIFS(tblIssues[Qty Issued],tblIssues[Item Name],$A901)-$K901)))</f>
        <v/>
      </c>
      <c r="M901" s="26" t="str">
        <f>IF($A901="","",SUMIFS(tblIssues[Qty Issued],tblIssues[Lot Number],$B901))</f>
        <v/>
      </c>
      <c r="N901" s="26" t="str">
        <f t="shared" ref="N901:N964" si="72">IF($A901="","",$M901-$L901)</f>
        <v/>
      </c>
      <c r="O901" s="26" t="str">
        <f t="shared" ref="O901:O964" si="73">IF($A901="","",$D901-$L901)</f>
        <v/>
      </c>
      <c r="P901" s="21" t="str">
        <f t="shared" ref="P901:P964" si="74">IF($A901="","",$O901*$E901)</f>
        <v/>
      </c>
      <c r="Q901" s="52" t="str">
        <f>IF($A901="","",IF($O901&lt;=0,"Depleted",IF($I901&lt;0,"EXPIRED",IF($I901&lt;=Settings!$C$6,"CRITICAL",IF($I901&lt;=Settings!$C$5,"Expiring","In date")))))</f>
        <v/>
      </c>
    </row>
    <row r="902" spans="1:17" x14ac:dyDescent="0.35">
      <c r="A902" s="90" t="str">
        <f>IF(Receipts!$D905="","",Receipts!$D905)</f>
        <v/>
      </c>
      <c r="B902" s="18" t="str">
        <f>IF(Receipts!$C905="","",Receipts!$C905)</f>
        <v/>
      </c>
      <c r="C902" s="18" t="str">
        <f>IF($A902="","",IFERROR(INDEX(Items!$B$5:$B$597,MATCH($A902,Items!$A$5:$A$597,0)),""))</f>
        <v/>
      </c>
      <c r="D902" s="23" t="str">
        <f>IF($A902="","",N(Receipts!$G905))</f>
        <v/>
      </c>
      <c r="E902" s="20" t="str">
        <f>IF($A902="","",IFERROR(INDEX(Items!$D$5:$D$597,MATCH($A902,Items!$A$5:$A$597,0)),0))</f>
        <v/>
      </c>
      <c r="F902" s="21" t="str">
        <f t="shared" si="70"/>
        <v/>
      </c>
      <c r="G902" s="25" t="str">
        <f>IF(Receipts!$I905="","",Receipts!$I905)</f>
        <v/>
      </c>
      <c r="H902" s="25" t="str">
        <f>IF(Receipts!$H905="","",Receipts!$H905)</f>
        <v/>
      </c>
      <c r="I902" s="26" t="str">
        <f t="shared" ca="1" si="71"/>
        <v/>
      </c>
      <c r="J902" s="26" t="str">
        <f>IF($A902="","",COUNTIFS(tblReceipts[Item Name],$A902,tblReceipts[Expiry Date],"&lt;"&amp;$H902)+COUNTIFS(tblReceipts[Item Name],$A902,tblReceipts[Expiry Date],$H902,tblReceipts[Lot Number],"&lt;="&amp;Receipts!$C905))</f>
        <v/>
      </c>
      <c r="K902" s="26" t="str">
        <f>IF($A902="","",SUMIFS(tblReceipts[Qty Received],tblReceipts[Item Name],$A902,tblReceipts[Expiry Date],"&lt;"&amp;$H902)+SUMIFS(tblReceipts[Qty Received],tblReceipts[Item Name],$A902,tblReceipts[Expiry Date],$H902,tblReceipts[Lot Number],"&lt;"&amp;Receipts!$C905))</f>
        <v/>
      </c>
      <c r="L902" s="26" t="str">
        <f>IF($A902="","",MIN($D902,MAX(0,SUMIFS(tblIssues[Qty Issued],tblIssues[Item Name],$A902)-$K902)))</f>
        <v/>
      </c>
      <c r="M902" s="26" t="str">
        <f>IF($A902="","",SUMIFS(tblIssues[Qty Issued],tblIssues[Lot Number],$B902))</f>
        <v/>
      </c>
      <c r="N902" s="26" t="str">
        <f t="shared" si="72"/>
        <v/>
      </c>
      <c r="O902" s="26" t="str">
        <f t="shared" si="73"/>
        <v/>
      </c>
      <c r="P902" s="21" t="str">
        <f t="shared" si="74"/>
        <v/>
      </c>
      <c r="Q902" s="52" t="str">
        <f>IF($A902="","",IF($O902&lt;=0,"Depleted",IF($I902&lt;0,"EXPIRED",IF($I902&lt;=Settings!$C$6,"CRITICAL",IF($I902&lt;=Settings!$C$5,"Expiring","In date")))))</f>
        <v/>
      </c>
    </row>
    <row r="903" spans="1:17" x14ac:dyDescent="0.35">
      <c r="A903" s="90" t="str">
        <f>IF(Receipts!$D906="","",Receipts!$D906)</f>
        <v/>
      </c>
      <c r="B903" s="18" t="str">
        <f>IF(Receipts!$C906="","",Receipts!$C906)</f>
        <v/>
      </c>
      <c r="C903" s="18" t="str">
        <f>IF($A903="","",IFERROR(INDEX(Items!$B$5:$B$597,MATCH($A903,Items!$A$5:$A$597,0)),""))</f>
        <v/>
      </c>
      <c r="D903" s="23" t="str">
        <f>IF($A903="","",N(Receipts!$G906))</f>
        <v/>
      </c>
      <c r="E903" s="20" t="str">
        <f>IF($A903="","",IFERROR(INDEX(Items!$D$5:$D$597,MATCH($A903,Items!$A$5:$A$597,0)),0))</f>
        <v/>
      </c>
      <c r="F903" s="21" t="str">
        <f t="shared" si="70"/>
        <v/>
      </c>
      <c r="G903" s="25" t="str">
        <f>IF(Receipts!$I906="","",Receipts!$I906)</f>
        <v/>
      </c>
      <c r="H903" s="25" t="str">
        <f>IF(Receipts!$H906="","",Receipts!$H906)</f>
        <v/>
      </c>
      <c r="I903" s="26" t="str">
        <f t="shared" ca="1" si="71"/>
        <v/>
      </c>
      <c r="J903" s="26" t="str">
        <f>IF($A903="","",COUNTIFS(tblReceipts[Item Name],$A903,tblReceipts[Expiry Date],"&lt;"&amp;$H903)+COUNTIFS(tblReceipts[Item Name],$A903,tblReceipts[Expiry Date],$H903,tblReceipts[Lot Number],"&lt;="&amp;Receipts!$C906))</f>
        <v/>
      </c>
      <c r="K903" s="26" t="str">
        <f>IF($A903="","",SUMIFS(tblReceipts[Qty Received],tblReceipts[Item Name],$A903,tblReceipts[Expiry Date],"&lt;"&amp;$H903)+SUMIFS(tblReceipts[Qty Received],tblReceipts[Item Name],$A903,tblReceipts[Expiry Date],$H903,tblReceipts[Lot Number],"&lt;"&amp;Receipts!$C906))</f>
        <v/>
      </c>
      <c r="L903" s="26" t="str">
        <f>IF($A903="","",MIN($D903,MAX(0,SUMIFS(tblIssues[Qty Issued],tblIssues[Item Name],$A903)-$K903)))</f>
        <v/>
      </c>
      <c r="M903" s="26" t="str">
        <f>IF($A903="","",SUMIFS(tblIssues[Qty Issued],tblIssues[Lot Number],$B903))</f>
        <v/>
      </c>
      <c r="N903" s="26" t="str">
        <f t="shared" si="72"/>
        <v/>
      </c>
      <c r="O903" s="26" t="str">
        <f t="shared" si="73"/>
        <v/>
      </c>
      <c r="P903" s="21" t="str">
        <f t="shared" si="74"/>
        <v/>
      </c>
      <c r="Q903" s="52" t="str">
        <f>IF($A903="","",IF($O903&lt;=0,"Depleted",IF($I903&lt;0,"EXPIRED",IF($I903&lt;=Settings!$C$6,"CRITICAL",IF($I903&lt;=Settings!$C$5,"Expiring","In date")))))</f>
        <v/>
      </c>
    </row>
    <row r="904" spans="1:17" x14ac:dyDescent="0.35">
      <c r="A904" s="90" t="str">
        <f>IF(Receipts!$D907="","",Receipts!$D907)</f>
        <v/>
      </c>
      <c r="B904" s="18" t="str">
        <f>IF(Receipts!$C907="","",Receipts!$C907)</f>
        <v/>
      </c>
      <c r="C904" s="18" t="str">
        <f>IF($A904="","",IFERROR(INDEX(Items!$B$5:$B$597,MATCH($A904,Items!$A$5:$A$597,0)),""))</f>
        <v/>
      </c>
      <c r="D904" s="23" t="str">
        <f>IF($A904="","",N(Receipts!$G907))</f>
        <v/>
      </c>
      <c r="E904" s="20" t="str">
        <f>IF($A904="","",IFERROR(INDEX(Items!$D$5:$D$597,MATCH($A904,Items!$A$5:$A$597,0)),0))</f>
        <v/>
      </c>
      <c r="F904" s="21" t="str">
        <f t="shared" si="70"/>
        <v/>
      </c>
      <c r="G904" s="25" t="str">
        <f>IF(Receipts!$I907="","",Receipts!$I907)</f>
        <v/>
      </c>
      <c r="H904" s="25" t="str">
        <f>IF(Receipts!$H907="","",Receipts!$H907)</f>
        <v/>
      </c>
      <c r="I904" s="26" t="str">
        <f t="shared" ca="1" si="71"/>
        <v/>
      </c>
      <c r="J904" s="26" t="str">
        <f>IF($A904="","",COUNTIFS(tblReceipts[Item Name],$A904,tblReceipts[Expiry Date],"&lt;"&amp;$H904)+COUNTIFS(tblReceipts[Item Name],$A904,tblReceipts[Expiry Date],$H904,tblReceipts[Lot Number],"&lt;="&amp;Receipts!$C907))</f>
        <v/>
      </c>
      <c r="K904" s="26" t="str">
        <f>IF($A904="","",SUMIFS(tblReceipts[Qty Received],tblReceipts[Item Name],$A904,tblReceipts[Expiry Date],"&lt;"&amp;$H904)+SUMIFS(tblReceipts[Qty Received],tblReceipts[Item Name],$A904,tblReceipts[Expiry Date],$H904,tblReceipts[Lot Number],"&lt;"&amp;Receipts!$C907))</f>
        <v/>
      </c>
      <c r="L904" s="26" t="str">
        <f>IF($A904="","",MIN($D904,MAX(0,SUMIFS(tblIssues[Qty Issued],tblIssues[Item Name],$A904)-$K904)))</f>
        <v/>
      </c>
      <c r="M904" s="26" t="str">
        <f>IF($A904="","",SUMIFS(tblIssues[Qty Issued],tblIssues[Lot Number],$B904))</f>
        <v/>
      </c>
      <c r="N904" s="26" t="str">
        <f t="shared" si="72"/>
        <v/>
      </c>
      <c r="O904" s="26" t="str">
        <f t="shared" si="73"/>
        <v/>
      </c>
      <c r="P904" s="21" t="str">
        <f t="shared" si="74"/>
        <v/>
      </c>
      <c r="Q904" s="52" t="str">
        <f>IF($A904="","",IF($O904&lt;=0,"Depleted",IF($I904&lt;0,"EXPIRED",IF($I904&lt;=Settings!$C$6,"CRITICAL",IF($I904&lt;=Settings!$C$5,"Expiring","In date")))))</f>
        <v/>
      </c>
    </row>
    <row r="905" spans="1:17" x14ac:dyDescent="0.35">
      <c r="A905" s="90" t="str">
        <f>IF(Receipts!$D908="","",Receipts!$D908)</f>
        <v/>
      </c>
      <c r="B905" s="18" t="str">
        <f>IF(Receipts!$C908="","",Receipts!$C908)</f>
        <v/>
      </c>
      <c r="C905" s="18" t="str">
        <f>IF($A905="","",IFERROR(INDEX(Items!$B$5:$B$597,MATCH($A905,Items!$A$5:$A$597,0)),""))</f>
        <v/>
      </c>
      <c r="D905" s="23" t="str">
        <f>IF($A905="","",N(Receipts!$G908))</f>
        <v/>
      </c>
      <c r="E905" s="20" t="str">
        <f>IF($A905="","",IFERROR(INDEX(Items!$D$5:$D$597,MATCH($A905,Items!$A$5:$A$597,0)),0))</f>
        <v/>
      </c>
      <c r="F905" s="21" t="str">
        <f t="shared" si="70"/>
        <v/>
      </c>
      <c r="G905" s="25" t="str">
        <f>IF(Receipts!$I908="","",Receipts!$I908)</f>
        <v/>
      </c>
      <c r="H905" s="25" t="str">
        <f>IF(Receipts!$H908="","",Receipts!$H908)</f>
        <v/>
      </c>
      <c r="I905" s="26" t="str">
        <f t="shared" ca="1" si="71"/>
        <v/>
      </c>
      <c r="J905" s="26" t="str">
        <f>IF($A905="","",COUNTIFS(tblReceipts[Item Name],$A905,tblReceipts[Expiry Date],"&lt;"&amp;$H905)+COUNTIFS(tblReceipts[Item Name],$A905,tblReceipts[Expiry Date],$H905,tblReceipts[Lot Number],"&lt;="&amp;Receipts!$C908))</f>
        <v/>
      </c>
      <c r="K905" s="26" t="str">
        <f>IF($A905="","",SUMIFS(tblReceipts[Qty Received],tblReceipts[Item Name],$A905,tblReceipts[Expiry Date],"&lt;"&amp;$H905)+SUMIFS(tblReceipts[Qty Received],tblReceipts[Item Name],$A905,tblReceipts[Expiry Date],$H905,tblReceipts[Lot Number],"&lt;"&amp;Receipts!$C908))</f>
        <v/>
      </c>
      <c r="L905" s="26" t="str">
        <f>IF($A905="","",MIN($D905,MAX(0,SUMIFS(tblIssues[Qty Issued],tblIssues[Item Name],$A905)-$K905)))</f>
        <v/>
      </c>
      <c r="M905" s="26" t="str">
        <f>IF($A905="","",SUMIFS(tblIssues[Qty Issued],tblIssues[Lot Number],$B905))</f>
        <v/>
      </c>
      <c r="N905" s="26" t="str">
        <f t="shared" si="72"/>
        <v/>
      </c>
      <c r="O905" s="26" t="str">
        <f t="shared" si="73"/>
        <v/>
      </c>
      <c r="P905" s="21" t="str">
        <f t="shared" si="74"/>
        <v/>
      </c>
      <c r="Q905" s="52" t="str">
        <f>IF($A905="","",IF($O905&lt;=0,"Depleted",IF($I905&lt;0,"EXPIRED",IF($I905&lt;=Settings!$C$6,"CRITICAL",IF($I905&lt;=Settings!$C$5,"Expiring","In date")))))</f>
        <v/>
      </c>
    </row>
    <row r="906" spans="1:17" x14ac:dyDescent="0.35">
      <c r="A906" s="90" t="str">
        <f>IF(Receipts!$D909="","",Receipts!$D909)</f>
        <v/>
      </c>
      <c r="B906" s="18" t="str">
        <f>IF(Receipts!$C909="","",Receipts!$C909)</f>
        <v/>
      </c>
      <c r="C906" s="18" t="str">
        <f>IF($A906="","",IFERROR(INDEX(Items!$B$5:$B$597,MATCH($A906,Items!$A$5:$A$597,0)),""))</f>
        <v/>
      </c>
      <c r="D906" s="23" t="str">
        <f>IF($A906="","",N(Receipts!$G909))</f>
        <v/>
      </c>
      <c r="E906" s="20" t="str">
        <f>IF($A906="","",IFERROR(INDEX(Items!$D$5:$D$597,MATCH($A906,Items!$A$5:$A$597,0)),0))</f>
        <v/>
      </c>
      <c r="F906" s="21" t="str">
        <f t="shared" si="70"/>
        <v/>
      </c>
      <c r="G906" s="25" t="str">
        <f>IF(Receipts!$I909="","",Receipts!$I909)</f>
        <v/>
      </c>
      <c r="H906" s="25" t="str">
        <f>IF(Receipts!$H909="","",Receipts!$H909)</f>
        <v/>
      </c>
      <c r="I906" s="26" t="str">
        <f t="shared" ca="1" si="71"/>
        <v/>
      </c>
      <c r="J906" s="26" t="str">
        <f>IF($A906="","",COUNTIFS(tblReceipts[Item Name],$A906,tblReceipts[Expiry Date],"&lt;"&amp;$H906)+COUNTIFS(tblReceipts[Item Name],$A906,tblReceipts[Expiry Date],$H906,tblReceipts[Lot Number],"&lt;="&amp;Receipts!$C909))</f>
        <v/>
      </c>
      <c r="K906" s="26" t="str">
        <f>IF($A906="","",SUMIFS(tblReceipts[Qty Received],tblReceipts[Item Name],$A906,tblReceipts[Expiry Date],"&lt;"&amp;$H906)+SUMIFS(tblReceipts[Qty Received],tblReceipts[Item Name],$A906,tblReceipts[Expiry Date],$H906,tblReceipts[Lot Number],"&lt;"&amp;Receipts!$C909))</f>
        <v/>
      </c>
      <c r="L906" s="26" t="str">
        <f>IF($A906="","",MIN($D906,MAX(0,SUMIFS(tblIssues[Qty Issued],tblIssues[Item Name],$A906)-$K906)))</f>
        <v/>
      </c>
      <c r="M906" s="26" t="str">
        <f>IF($A906="","",SUMIFS(tblIssues[Qty Issued],tblIssues[Lot Number],$B906))</f>
        <v/>
      </c>
      <c r="N906" s="26" t="str">
        <f t="shared" si="72"/>
        <v/>
      </c>
      <c r="O906" s="26" t="str">
        <f t="shared" si="73"/>
        <v/>
      </c>
      <c r="P906" s="21" t="str">
        <f t="shared" si="74"/>
        <v/>
      </c>
      <c r="Q906" s="52" t="str">
        <f>IF($A906="","",IF($O906&lt;=0,"Depleted",IF($I906&lt;0,"EXPIRED",IF($I906&lt;=Settings!$C$6,"CRITICAL",IF($I906&lt;=Settings!$C$5,"Expiring","In date")))))</f>
        <v/>
      </c>
    </row>
    <row r="907" spans="1:17" x14ac:dyDescent="0.35">
      <c r="A907" s="90" t="str">
        <f>IF(Receipts!$D910="","",Receipts!$D910)</f>
        <v/>
      </c>
      <c r="B907" s="18" t="str">
        <f>IF(Receipts!$C910="","",Receipts!$C910)</f>
        <v/>
      </c>
      <c r="C907" s="18" t="str">
        <f>IF($A907="","",IFERROR(INDEX(Items!$B$5:$B$597,MATCH($A907,Items!$A$5:$A$597,0)),""))</f>
        <v/>
      </c>
      <c r="D907" s="23" t="str">
        <f>IF($A907="","",N(Receipts!$G910))</f>
        <v/>
      </c>
      <c r="E907" s="20" t="str">
        <f>IF($A907="","",IFERROR(INDEX(Items!$D$5:$D$597,MATCH($A907,Items!$A$5:$A$597,0)),0))</f>
        <v/>
      </c>
      <c r="F907" s="21" t="str">
        <f t="shared" si="70"/>
        <v/>
      </c>
      <c r="G907" s="25" t="str">
        <f>IF(Receipts!$I910="","",Receipts!$I910)</f>
        <v/>
      </c>
      <c r="H907" s="25" t="str">
        <f>IF(Receipts!$H910="","",Receipts!$H910)</f>
        <v/>
      </c>
      <c r="I907" s="26" t="str">
        <f t="shared" ca="1" si="71"/>
        <v/>
      </c>
      <c r="J907" s="26" t="str">
        <f>IF($A907="","",COUNTIFS(tblReceipts[Item Name],$A907,tblReceipts[Expiry Date],"&lt;"&amp;$H907)+COUNTIFS(tblReceipts[Item Name],$A907,tblReceipts[Expiry Date],$H907,tblReceipts[Lot Number],"&lt;="&amp;Receipts!$C910))</f>
        <v/>
      </c>
      <c r="K907" s="26" t="str">
        <f>IF($A907="","",SUMIFS(tblReceipts[Qty Received],tblReceipts[Item Name],$A907,tblReceipts[Expiry Date],"&lt;"&amp;$H907)+SUMIFS(tblReceipts[Qty Received],tblReceipts[Item Name],$A907,tblReceipts[Expiry Date],$H907,tblReceipts[Lot Number],"&lt;"&amp;Receipts!$C910))</f>
        <v/>
      </c>
      <c r="L907" s="26" t="str">
        <f>IF($A907="","",MIN($D907,MAX(0,SUMIFS(tblIssues[Qty Issued],tblIssues[Item Name],$A907)-$K907)))</f>
        <v/>
      </c>
      <c r="M907" s="26" t="str">
        <f>IF($A907="","",SUMIFS(tblIssues[Qty Issued],tblIssues[Lot Number],$B907))</f>
        <v/>
      </c>
      <c r="N907" s="26" t="str">
        <f t="shared" si="72"/>
        <v/>
      </c>
      <c r="O907" s="26" t="str">
        <f t="shared" si="73"/>
        <v/>
      </c>
      <c r="P907" s="21" t="str">
        <f t="shared" si="74"/>
        <v/>
      </c>
      <c r="Q907" s="52" t="str">
        <f>IF($A907="","",IF($O907&lt;=0,"Depleted",IF($I907&lt;0,"EXPIRED",IF($I907&lt;=Settings!$C$6,"CRITICAL",IF($I907&lt;=Settings!$C$5,"Expiring","In date")))))</f>
        <v/>
      </c>
    </row>
    <row r="908" spans="1:17" x14ac:dyDescent="0.35">
      <c r="A908" s="90" t="str">
        <f>IF(Receipts!$D911="","",Receipts!$D911)</f>
        <v/>
      </c>
      <c r="B908" s="18" t="str">
        <f>IF(Receipts!$C911="","",Receipts!$C911)</f>
        <v/>
      </c>
      <c r="C908" s="18" t="str">
        <f>IF($A908="","",IFERROR(INDEX(Items!$B$5:$B$597,MATCH($A908,Items!$A$5:$A$597,0)),""))</f>
        <v/>
      </c>
      <c r="D908" s="23" t="str">
        <f>IF($A908="","",N(Receipts!$G911))</f>
        <v/>
      </c>
      <c r="E908" s="20" t="str">
        <f>IF($A908="","",IFERROR(INDEX(Items!$D$5:$D$597,MATCH($A908,Items!$A$5:$A$597,0)),0))</f>
        <v/>
      </c>
      <c r="F908" s="21" t="str">
        <f t="shared" si="70"/>
        <v/>
      </c>
      <c r="G908" s="25" t="str">
        <f>IF(Receipts!$I911="","",Receipts!$I911)</f>
        <v/>
      </c>
      <c r="H908" s="25" t="str">
        <f>IF(Receipts!$H911="","",Receipts!$H911)</f>
        <v/>
      </c>
      <c r="I908" s="26" t="str">
        <f t="shared" ca="1" si="71"/>
        <v/>
      </c>
      <c r="J908" s="26" t="str">
        <f>IF($A908="","",COUNTIFS(tblReceipts[Item Name],$A908,tblReceipts[Expiry Date],"&lt;"&amp;$H908)+COUNTIFS(tblReceipts[Item Name],$A908,tblReceipts[Expiry Date],$H908,tblReceipts[Lot Number],"&lt;="&amp;Receipts!$C911))</f>
        <v/>
      </c>
      <c r="K908" s="26" t="str">
        <f>IF($A908="","",SUMIFS(tblReceipts[Qty Received],tblReceipts[Item Name],$A908,tblReceipts[Expiry Date],"&lt;"&amp;$H908)+SUMIFS(tblReceipts[Qty Received],tblReceipts[Item Name],$A908,tblReceipts[Expiry Date],$H908,tblReceipts[Lot Number],"&lt;"&amp;Receipts!$C911))</f>
        <v/>
      </c>
      <c r="L908" s="26" t="str">
        <f>IF($A908="","",MIN($D908,MAX(0,SUMIFS(tblIssues[Qty Issued],tblIssues[Item Name],$A908)-$K908)))</f>
        <v/>
      </c>
      <c r="M908" s="26" t="str">
        <f>IF($A908="","",SUMIFS(tblIssues[Qty Issued],tblIssues[Lot Number],$B908))</f>
        <v/>
      </c>
      <c r="N908" s="26" t="str">
        <f t="shared" si="72"/>
        <v/>
      </c>
      <c r="O908" s="26" t="str">
        <f t="shared" si="73"/>
        <v/>
      </c>
      <c r="P908" s="21" t="str">
        <f t="shared" si="74"/>
        <v/>
      </c>
      <c r="Q908" s="52" t="str">
        <f>IF($A908="","",IF($O908&lt;=0,"Depleted",IF($I908&lt;0,"EXPIRED",IF($I908&lt;=Settings!$C$6,"CRITICAL",IF($I908&lt;=Settings!$C$5,"Expiring","In date")))))</f>
        <v/>
      </c>
    </row>
    <row r="909" spans="1:17" x14ac:dyDescent="0.35">
      <c r="A909" s="90" t="str">
        <f>IF(Receipts!$D912="","",Receipts!$D912)</f>
        <v/>
      </c>
      <c r="B909" s="18" t="str">
        <f>IF(Receipts!$C912="","",Receipts!$C912)</f>
        <v/>
      </c>
      <c r="C909" s="18" t="str">
        <f>IF($A909="","",IFERROR(INDEX(Items!$B$5:$B$597,MATCH($A909,Items!$A$5:$A$597,0)),""))</f>
        <v/>
      </c>
      <c r="D909" s="23" t="str">
        <f>IF($A909="","",N(Receipts!$G912))</f>
        <v/>
      </c>
      <c r="E909" s="20" t="str">
        <f>IF($A909="","",IFERROR(INDEX(Items!$D$5:$D$597,MATCH($A909,Items!$A$5:$A$597,0)),0))</f>
        <v/>
      </c>
      <c r="F909" s="21" t="str">
        <f t="shared" si="70"/>
        <v/>
      </c>
      <c r="G909" s="25" t="str">
        <f>IF(Receipts!$I912="","",Receipts!$I912)</f>
        <v/>
      </c>
      <c r="H909" s="25" t="str">
        <f>IF(Receipts!$H912="","",Receipts!$H912)</f>
        <v/>
      </c>
      <c r="I909" s="26" t="str">
        <f t="shared" ca="1" si="71"/>
        <v/>
      </c>
      <c r="J909" s="26" t="str">
        <f>IF($A909="","",COUNTIFS(tblReceipts[Item Name],$A909,tblReceipts[Expiry Date],"&lt;"&amp;$H909)+COUNTIFS(tblReceipts[Item Name],$A909,tblReceipts[Expiry Date],$H909,tblReceipts[Lot Number],"&lt;="&amp;Receipts!$C912))</f>
        <v/>
      </c>
      <c r="K909" s="26" t="str">
        <f>IF($A909="","",SUMIFS(tblReceipts[Qty Received],tblReceipts[Item Name],$A909,tblReceipts[Expiry Date],"&lt;"&amp;$H909)+SUMIFS(tblReceipts[Qty Received],tblReceipts[Item Name],$A909,tblReceipts[Expiry Date],$H909,tblReceipts[Lot Number],"&lt;"&amp;Receipts!$C912))</f>
        <v/>
      </c>
      <c r="L909" s="26" t="str">
        <f>IF($A909="","",MIN($D909,MAX(0,SUMIFS(tblIssues[Qty Issued],tblIssues[Item Name],$A909)-$K909)))</f>
        <v/>
      </c>
      <c r="M909" s="26" t="str">
        <f>IF($A909="","",SUMIFS(tblIssues[Qty Issued],tblIssues[Lot Number],$B909))</f>
        <v/>
      </c>
      <c r="N909" s="26" t="str">
        <f t="shared" si="72"/>
        <v/>
      </c>
      <c r="O909" s="26" t="str">
        <f t="shared" si="73"/>
        <v/>
      </c>
      <c r="P909" s="21" t="str">
        <f t="shared" si="74"/>
        <v/>
      </c>
      <c r="Q909" s="52" t="str">
        <f>IF($A909="","",IF($O909&lt;=0,"Depleted",IF($I909&lt;0,"EXPIRED",IF($I909&lt;=Settings!$C$6,"CRITICAL",IF($I909&lt;=Settings!$C$5,"Expiring","In date")))))</f>
        <v/>
      </c>
    </row>
    <row r="910" spans="1:17" x14ac:dyDescent="0.35">
      <c r="A910" s="90" t="str">
        <f>IF(Receipts!$D913="","",Receipts!$D913)</f>
        <v/>
      </c>
      <c r="B910" s="18" t="str">
        <f>IF(Receipts!$C913="","",Receipts!$C913)</f>
        <v/>
      </c>
      <c r="C910" s="18" t="str">
        <f>IF($A910="","",IFERROR(INDEX(Items!$B$5:$B$597,MATCH($A910,Items!$A$5:$A$597,0)),""))</f>
        <v/>
      </c>
      <c r="D910" s="23" t="str">
        <f>IF($A910="","",N(Receipts!$G913))</f>
        <v/>
      </c>
      <c r="E910" s="20" t="str">
        <f>IF($A910="","",IFERROR(INDEX(Items!$D$5:$D$597,MATCH($A910,Items!$A$5:$A$597,0)),0))</f>
        <v/>
      </c>
      <c r="F910" s="21" t="str">
        <f t="shared" si="70"/>
        <v/>
      </c>
      <c r="G910" s="25" t="str">
        <f>IF(Receipts!$I913="","",Receipts!$I913)</f>
        <v/>
      </c>
      <c r="H910" s="25" t="str">
        <f>IF(Receipts!$H913="","",Receipts!$H913)</f>
        <v/>
      </c>
      <c r="I910" s="26" t="str">
        <f t="shared" ca="1" si="71"/>
        <v/>
      </c>
      <c r="J910" s="26" t="str">
        <f>IF($A910="","",COUNTIFS(tblReceipts[Item Name],$A910,tblReceipts[Expiry Date],"&lt;"&amp;$H910)+COUNTIFS(tblReceipts[Item Name],$A910,tblReceipts[Expiry Date],$H910,tblReceipts[Lot Number],"&lt;="&amp;Receipts!$C913))</f>
        <v/>
      </c>
      <c r="K910" s="26" t="str">
        <f>IF($A910="","",SUMIFS(tblReceipts[Qty Received],tblReceipts[Item Name],$A910,tblReceipts[Expiry Date],"&lt;"&amp;$H910)+SUMIFS(tblReceipts[Qty Received],tblReceipts[Item Name],$A910,tblReceipts[Expiry Date],$H910,tblReceipts[Lot Number],"&lt;"&amp;Receipts!$C913))</f>
        <v/>
      </c>
      <c r="L910" s="26" t="str">
        <f>IF($A910="","",MIN($D910,MAX(0,SUMIFS(tblIssues[Qty Issued],tblIssues[Item Name],$A910)-$K910)))</f>
        <v/>
      </c>
      <c r="M910" s="26" t="str">
        <f>IF($A910="","",SUMIFS(tblIssues[Qty Issued],tblIssues[Lot Number],$B910))</f>
        <v/>
      </c>
      <c r="N910" s="26" t="str">
        <f t="shared" si="72"/>
        <v/>
      </c>
      <c r="O910" s="26" t="str">
        <f t="shared" si="73"/>
        <v/>
      </c>
      <c r="P910" s="21" t="str">
        <f t="shared" si="74"/>
        <v/>
      </c>
      <c r="Q910" s="52" t="str">
        <f>IF($A910="","",IF($O910&lt;=0,"Depleted",IF($I910&lt;0,"EXPIRED",IF($I910&lt;=Settings!$C$6,"CRITICAL",IF($I910&lt;=Settings!$C$5,"Expiring","In date")))))</f>
        <v/>
      </c>
    </row>
    <row r="911" spans="1:17" x14ac:dyDescent="0.35">
      <c r="A911" s="90" t="str">
        <f>IF(Receipts!$D914="","",Receipts!$D914)</f>
        <v/>
      </c>
      <c r="B911" s="18" t="str">
        <f>IF(Receipts!$C914="","",Receipts!$C914)</f>
        <v/>
      </c>
      <c r="C911" s="18" t="str">
        <f>IF($A911="","",IFERROR(INDEX(Items!$B$5:$B$597,MATCH($A911,Items!$A$5:$A$597,0)),""))</f>
        <v/>
      </c>
      <c r="D911" s="23" t="str">
        <f>IF($A911="","",N(Receipts!$G914))</f>
        <v/>
      </c>
      <c r="E911" s="20" t="str">
        <f>IF($A911="","",IFERROR(INDEX(Items!$D$5:$D$597,MATCH($A911,Items!$A$5:$A$597,0)),0))</f>
        <v/>
      </c>
      <c r="F911" s="21" t="str">
        <f t="shared" si="70"/>
        <v/>
      </c>
      <c r="G911" s="25" t="str">
        <f>IF(Receipts!$I914="","",Receipts!$I914)</f>
        <v/>
      </c>
      <c r="H911" s="25" t="str">
        <f>IF(Receipts!$H914="","",Receipts!$H914)</f>
        <v/>
      </c>
      <c r="I911" s="26" t="str">
        <f t="shared" ca="1" si="71"/>
        <v/>
      </c>
      <c r="J911" s="26" t="str">
        <f>IF($A911="","",COUNTIFS(tblReceipts[Item Name],$A911,tblReceipts[Expiry Date],"&lt;"&amp;$H911)+COUNTIFS(tblReceipts[Item Name],$A911,tblReceipts[Expiry Date],$H911,tblReceipts[Lot Number],"&lt;="&amp;Receipts!$C914))</f>
        <v/>
      </c>
      <c r="K911" s="26" t="str">
        <f>IF($A911="","",SUMIFS(tblReceipts[Qty Received],tblReceipts[Item Name],$A911,tblReceipts[Expiry Date],"&lt;"&amp;$H911)+SUMIFS(tblReceipts[Qty Received],tblReceipts[Item Name],$A911,tblReceipts[Expiry Date],$H911,tblReceipts[Lot Number],"&lt;"&amp;Receipts!$C914))</f>
        <v/>
      </c>
      <c r="L911" s="26" t="str">
        <f>IF($A911="","",MIN($D911,MAX(0,SUMIFS(tblIssues[Qty Issued],tblIssues[Item Name],$A911)-$K911)))</f>
        <v/>
      </c>
      <c r="M911" s="26" t="str">
        <f>IF($A911="","",SUMIFS(tblIssues[Qty Issued],tblIssues[Lot Number],$B911))</f>
        <v/>
      </c>
      <c r="N911" s="26" t="str">
        <f t="shared" si="72"/>
        <v/>
      </c>
      <c r="O911" s="26" t="str">
        <f t="shared" si="73"/>
        <v/>
      </c>
      <c r="P911" s="21" t="str">
        <f t="shared" si="74"/>
        <v/>
      </c>
      <c r="Q911" s="52" t="str">
        <f>IF($A911="","",IF($O911&lt;=0,"Depleted",IF($I911&lt;0,"EXPIRED",IF($I911&lt;=Settings!$C$6,"CRITICAL",IF($I911&lt;=Settings!$C$5,"Expiring","In date")))))</f>
        <v/>
      </c>
    </row>
    <row r="912" spans="1:17" x14ac:dyDescent="0.35">
      <c r="A912" s="90" t="str">
        <f>IF(Receipts!$D915="","",Receipts!$D915)</f>
        <v/>
      </c>
      <c r="B912" s="18" t="str">
        <f>IF(Receipts!$C915="","",Receipts!$C915)</f>
        <v/>
      </c>
      <c r="C912" s="18" t="str">
        <f>IF($A912="","",IFERROR(INDEX(Items!$B$5:$B$597,MATCH($A912,Items!$A$5:$A$597,0)),""))</f>
        <v/>
      </c>
      <c r="D912" s="23" t="str">
        <f>IF($A912="","",N(Receipts!$G915))</f>
        <v/>
      </c>
      <c r="E912" s="20" t="str">
        <f>IF($A912="","",IFERROR(INDEX(Items!$D$5:$D$597,MATCH($A912,Items!$A$5:$A$597,0)),0))</f>
        <v/>
      </c>
      <c r="F912" s="21" t="str">
        <f t="shared" si="70"/>
        <v/>
      </c>
      <c r="G912" s="25" t="str">
        <f>IF(Receipts!$I915="","",Receipts!$I915)</f>
        <v/>
      </c>
      <c r="H912" s="25" t="str">
        <f>IF(Receipts!$H915="","",Receipts!$H915)</f>
        <v/>
      </c>
      <c r="I912" s="26" t="str">
        <f t="shared" ca="1" si="71"/>
        <v/>
      </c>
      <c r="J912" s="26" t="str">
        <f>IF($A912="","",COUNTIFS(tblReceipts[Item Name],$A912,tblReceipts[Expiry Date],"&lt;"&amp;$H912)+COUNTIFS(tblReceipts[Item Name],$A912,tblReceipts[Expiry Date],$H912,tblReceipts[Lot Number],"&lt;="&amp;Receipts!$C915))</f>
        <v/>
      </c>
      <c r="K912" s="26" t="str">
        <f>IF($A912="","",SUMIFS(tblReceipts[Qty Received],tblReceipts[Item Name],$A912,tblReceipts[Expiry Date],"&lt;"&amp;$H912)+SUMIFS(tblReceipts[Qty Received],tblReceipts[Item Name],$A912,tblReceipts[Expiry Date],$H912,tblReceipts[Lot Number],"&lt;"&amp;Receipts!$C915))</f>
        <v/>
      </c>
      <c r="L912" s="26" t="str">
        <f>IF($A912="","",MIN($D912,MAX(0,SUMIFS(tblIssues[Qty Issued],tblIssues[Item Name],$A912)-$K912)))</f>
        <v/>
      </c>
      <c r="M912" s="26" t="str">
        <f>IF($A912="","",SUMIFS(tblIssues[Qty Issued],tblIssues[Lot Number],$B912))</f>
        <v/>
      </c>
      <c r="N912" s="26" t="str">
        <f t="shared" si="72"/>
        <v/>
      </c>
      <c r="O912" s="26" t="str">
        <f t="shared" si="73"/>
        <v/>
      </c>
      <c r="P912" s="21" t="str">
        <f t="shared" si="74"/>
        <v/>
      </c>
      <c r="Q912" s="52" t="str">
        <f>IF($A912="","",IF($O912&lt;=0,"Depleted",IF($I912&lt;0,"EXPIRED",IF($I912&lt;=Settings!$C$6,"CRITICAL",IF($I912&lt;=Settings!$C$5,"Expiring","In date")))))</f>
        <v/>
      </c>
    </row>
    <row r="913" spans="1:17" x14ac:dyDescent="0.35">
      <c r="A913" s="90" t="str">
        <f>IF(Receipts!$D916="","",Receipts!$D916)</f>
        <v/>
      </c>
      <c r="B913" s="18" t="str">
        <f>IF(Receipts!$C916="","",Receipts!$C916)</f>
        <v/>
      </c>
      <c r="C913" s="18" t="str">
        <f>IF($A913="","",IFERROR(INDEX(Items!$B$5:$B$597,MATCH($A913,Items!$A$5:$A$597,0)),""))</f>
        <v/>
      </c>
      <c r="D913" s="23" t="str">
        <f>IF($A913="","",N(Receipts!$G916))</f>
        <v/>
      </c>
      <c r="E913" s="20" t="str">
        <f>IF($A913="","",IFERROR(INDEX(Items!$D$5:$D$597,MATCH($A913,Items!$A$5:$A$597,0)),0))</f>
        <v/>
      </c>
      <c r="F913" s="21" t="str">
        <f t="shared" si="70"/>
        <v/>
      </c>
      <c r="G913" s="25" t="str">
        <f>IF(Receipts!$I916="","",Receipts!$I916)</f>
        <v/>
      </c>
      <c r="H913" s="25" t="str">
        <f>IF(Receipts!$H916="","",Receipts!$H916)</f>
        <v/>
      </c>
      <c r="I913" s="26" t="str">
        <f t="shared" ca="1" si="71"/>
        <v/>
      </c>
      <c r="J913" s="26" t="str">
        <f>IF($A913="","",COUNTIFS(tblReceipts[Item Name],$A913,tblReceipts[Expiry Date],"&lt;"&amp;$H913)+COUNTIFS(tblReceipts[Item Name],$A913,tblReceipts[Expiry Date],$H913,tblReceipts[Lot Number],"&lt;="&amp;Receipts!$C916))</f>
        <v/>
      </c>
      <c r="K913" s="26" t="str">
        <f>IF($A913="","",SUMIFS(tblReceipts[Qty Received],tblReceipts[Item Name],$A913,tblReceipts[Expiry Date],"&lt;"&amp;$H913)+SUMIFS(tblReceipts[Qty Received],tblReceipts[Item Name],$A913,tblReceipts[Expiry Date],$H913,tblReceipts[Lot Number],"&lt;"&amp;Receipts!$C916))</f>
        <v/>
      </c>
      <c r="L913" s="26" t="str">
        <f>IF($A913="","",MIN($D913,MAX(0,SUMIFS(tblIssues[Qty Issued],tblIssues[Item Name],$A913)-$K913)))</f>
        <v/>
      </c>
      <c r="M913" s="26" t="str">
        <f>IF($A913="","",SUMIFS(tblIssues[Qty Issued],tblIssues[Lot Number],$B913))</f>
        <v/>
      </c>
      <c r="N913" s="26" t="str">
        <f t="shared" si="72"/>
        <v/>
      </c>
      <c r="O913" s="26" t="str">
        <f t="shared" si="73"/>
        <v/>
      </c>
      <c r="P913" s="21" t="str">
        <f t="shared" si="74"/>
        <v/>
      </c>
      <c r="Q913" s="52" t="str">
        <f>IF($A913="","",IF($O913&lt;=0,"Depleted",IF($I913&lt;0,"EXPIRED",IF($I913&lt;=Settings!$C$6,"CRITICAL",IF($I913&lt;=Settings!$C$5,"Expiring","In date")))))</f>
        <v/>
      </c>
    </row>
    <row r="914" spans="1:17" x14ac:dyDescent="0.35">
      <c r="A914" s="90" t="str">
        <f>IF(Receipts!$D917="","",Receipts!$D917)</f>
        <v/>
      </c>
      <c r="B914" s="18" t="str">
        <f>IF(Receipts!$C917="","",Receipts!$C917)</f>
        <v/>
      </c>
      <c r="C914" s="18" t="str">
        <f>IF($A914="","",IFERROR(INDEX(Items!$B$5:$B$597,MATCH($A914,Items!$A$5:$A$597,0)),""))</f>
        <v/>
      </c>
      <c r="D914" s="23" t="str">
        <f>IF($A914="","",N(Receipts!$G917))</f>
        <v/>
      </c>
      <c r="E914" s="20" t="str">
        <f>IF($A914="","",IFERROR(INDEX(Items!$D$5:$D$597,MATCH($A914,Items!$A$5:$A$597,0)),0))</f>
        <v/>
      </c>
      <c r="F914" s="21" t="str">
        <f t="shared" si="70"/>
        <v/>
      </c>
      <c r="G914" s="25" t="str">
        <f>IF(Receipts!$I917="","",Receipts!$I917)</f>
        <v/>
      </c>
      <c r="H914" s="25" t="str">
        <f>IF(Receipts!$H917="","",Receipts!$H917)</f>
        <v/>
      </c>
      <c r="I914" s="26" t="str">
        <f t="shared" ca="1" si="71"/>
        <v/>
      </c>
      <c r="J914" s="26" t="str">
        <f>IF($A914="","",COUNTIFS(tblReceipts[Item Name],$A914,tblReceipts[Expiry Date],"&lt;"&amp;$H914)+COUNTIFS(tblReceipts[Item Name],$A914,tblReceipts[Expiry Date],$H914,tblReceipts[Lot Number],"&lt;="&amp;Receipts!$C917))</f>
        <v/>
      </c>
      <c r="K914" s="26" t="str">
        <f>IF($A914="","",SUMIFS(tblReceipts[Qty Received],tblReceipts[Item Name],$A914,tblReceipts[Expiry Date],"&lt;"&amp;$H914)+SUMIFS(tblReceipts[Qty Received],tblReceipts[Item Name],$A914,tblReceipts[Expiry Date],$H914,tblReceipts[Lot Number],"&lt;"&amp;Receipts!$C917))</f>
        <v/>
      </c>
      <c r="L914" s="26" t="str">
        <f>IF($A914="","",MIN($D914,MAX(0,SUMIFS(tblIssues[Qty Issued],tblIssues[Item Name],$A914)-$K914)))</f>
        <v/>
      </c>
      <c r="M914" s="26" t="str">
        <f>IF($A914="","",SUMIFS(tblIssues[Qty Issued],tblIssues[Lot Number],$B914))</f>
        <v/>
      </c>
      <c r="N914" s="26" t="str">
        <f t="shared" si="72"/>
        <v/>
      </c>
      <c r="O914" s="26" t="str">
        <f t="shared" si="73"/>
        <v/>
      </c>
      <c r="P914" s="21" t="str">
        <f t="shared" si="74"/>
        <v/>
      </c>
      <c r="Q914" s="52" t="str">
        <f>IF($A914="","",IF($O914&lt;=0,"Depleted",IF($I914&lt;0,"EXPIRED",IF($I914&lt;=Settings!$C$6,"CRITICAL",IF($I914&lt;=Settings!$C$5,"Expiring","In date")))))</f>
        <v/>
      </c>
    </row>
    <row r="915" spans="1:17" x14ac:dyDescent="0.35">
      <c r="A915" s="90" t="str">
        <f>IF(Receipts!$D918="","",Receipts!$D918)</f>
        <v/>
      </c>
      <c r="B915" s="18" t="str">
        <f>IF(Receipts!$C918="","",Receipts!$C918)</f>
        <v/>
      </c>
      <c r="C915" s="18" t="str">
        <f>IF($A915="","",IFERROR(INDEX(Items!$B$5:$B$597,MATCH($A915,Items!$A$5:$A$597,0)),""))</f>
        <v/>
      </c>
      <c r="D915" s="23" t="str">
        <f>IF($A915="","",N(Receipts!$G918))</f>
        <v/>
      </c>
      <c r="E915" s="20" t="str">
        <f>IF($A915="","",IFERROR(INDEX(Items!$D$5:$D$597,MATCH($A915,Items!$A$5:$A$597,0)),0))</f>
        <v/>
      </c>
      <c r="F915" s="21" t="str">
        <f t="shared" si="70"/>
        <v/>
      </c>
      <c r="G915" s="25" t="str">
        <f>IF(Receipts!$I918="","",Receipts!$I918)</f>
        <v/>
      </c>
      <c r="H915" s="25" t="str">
        <f>IF(Receipts!$H918="","",Receipts!$H918)</f>
        <v/>
      </c>
      <c r="I915" s="26" t="str">
        <f t="shared" ca="1" si="71"/>
        <v/>
      </c>
      <c r="J915" s="26" t="str">
        <f>IF($A915="","",COUNTIFS(tblReceipts[Item Name],$A915,tblReceipts[Expiry Date],"&lt;"&amp;$H915)+COUNTIFS(tblReceipts[Item Name],$A915,tblReceipts[Expiry Date],$H915,tblReceipts[Lot Number],"&lt;="&amp;Receipts!$C918))</f>
        <v/>
      </c>
      <c r="K915" s="26" t="str">
        <f>IF($A915="","",SUMIFS(tblReceipts[Qty Received],tblReceipts[Item Name],$A915,tblReceipts[Expiry Date],"&lt;"&amp;$H915)+SUMIFS(tblReceipts[Qty Received],tblReceipts[Item Name],$A915,tblReceipts[Expiry Date],$H915,tblReceipts[Lot Number],"&lt;"&amp;Receipts!$C918))</f>
        <v/>
      </c>
      <c r="L915" s="26" t="str">
        <f>IF($A915="","",MIN($D915,MAX(0,SUMIFS(tblIssues[Qty Issued],tblIssues[Item Name],$A915)-$K915)))</f>
        <v/>
      </c>
      <c r="M915" s="26" t="str">
        <f>IF($A915="","",SUMIFS(tblIssues[Qty Issued],tblIssues[Lot Number],$B915))</f>
        <v/>
      </c>
      <c r="N915" s="26" t="str">
        <f t="shared" si="72"/>
        <v/>
      </c>
      <c r="O915" s="26" t="str">
        <f t="shared" si="73"/>
        <v/>
      </c>
      <c r="P915" s="21" t="str">
        <f t="shared" si="74"/>
        <v/>
      </c>
      <c r="Q915" s="52" t="str">
        <f>IF($A915="","",IF($O915&lt;=0,"Depleted",IF($I915&lt;0,"EXPIRED",IF($I915&lt;=Settings!$C$6,"CRITICAL",IF($I915&lt;=Settings!$C$5,"Expiring","In date")))))</f>
        <v/>
      </c>
    </row>
    <row r="916" spans="1:17" x14ac:dyDescent="0.35">
      <c r="A916" s="90" t="str">
        <f>IF(Receipts!$D919="","",Receipts!$D919)</f>
        <v/>
      </c>
      <c r="B916" s="18" t="str">
        <f>IF(Receipts!$C919="","",Receipts!$C919)</f>
        <v/>
      </c>
      <c r="C916" s="18" t="str">
        <f>IF($A916="","",IFERROR(INDEX(Items!$B$5:$B$597,MATCH($A916,Items!$A$5:$A$597,0)),""))</f>
        <v/>
      </c>
      <c r="D916" s="23" t="str">
        <f>IF($A916="","",N(Receipts!$G919))</f>
        <v/>
      </c>
      <c r="E916" s="20" t="str">
        <f>IF($A916="","",IFERROR(INDEX(Items!$D$5:$D$597,MATCH($A916,Items!$A$5:$A$597,0)),0))</f>
        <v/>
      </c>
      <c r="F916" s="21" t="str">
        <f t="shared" si="70"/>
        <v/>
      </c>
      <c r="G916" s="25" t="str">
        <f>IF(Receipts!$I919="","",Receipts!$I919)</f>
        <v/>
      </c>
      <c r="H916" s="25" t="str">
        <f>IF(Receipts!$H919="","",Receipts!$H919)</f>
        <v/>
      </c>
      <c r="I916" s="26" t="str">
        <f t="shared" ca="1" si="71"/>
        <v/>
      </c>
      <c r="J916" s="26" t="str">
        <f>IF($A916="","",COUNTIFS(tblReceipts[Item Name],$A916,tblReceipts[Expiry Date],"&lt;"&amp;$H916)+COUNTIFS(tblReceipts[Item Name],$A916,tblReceipts[Expiry Date],$H916,tblReceipts[Lot Number],"&lt;="&amp;Receipts!$C919))</f>
        <v/>
      </c>
      <c r="K916" s="26" t="str">
        <f>IF($A916="","",SUMIFS(tblReceipts[Qty Received],tblReceipts[Item Name],$A916,tblReceipts[Expiry Date],"&lt;"&amp;$H916)+SUMIFS(tblReceipts[Qty Received],tblReceipts[Item Name],$A916,tblReceipts[Expiry Date],$H916,tblReceipts[Lot Number],"&lt;"&amp;Receipts!$C919))</f>
        <v/>
      </c>
      <c r="L916" s="26" t="str">
        <f>IF($A916="","",MIN($D916,MAX(0,SUMIFS(tblIssues[Qty Issued],tblIssues[Item Name],$A916)-$K916)))</f>
        <v/>
      </c>
      <c r="M916" s="26" t="str">
        <f>IF($A916="","",SUMIFS(tblIssues[Qty Issued],tblIssues[Lot Number],$B916))</f>
        <v/>
      </c>
      <c r="N916" s="26" t="str">
        <f t="shared" si="72"/>
        <v/>
      </c>
      <c r="O916" s="26" t="str">
        <f t="shared" si="73"/>
        <v/>
      </c>
      <c r="P916" s="21" t="str">
        <f t="shared" si="74"/>
        <v/>
      </c>
      <c r="Q916" s="52" t="str">
        <f>IF($A916="","",IF($O916&lt;=0,"Depleted",IF($I916&lt;0,"EXPIRED",IF($I916&lt;=Settings!$C$6,"CRITICAL",IF($I916&lt;=Settings!$C$5,"Expiring","In date")))))</f>
        <v/>
      </c>
    </row>
    <row r="917" spans="1:17" x14ac:dyDescent="0.35">
      <c r="A917" s="90" t="str">
        <f>IF(Receipts!$D920="","",Receipts!$D920)</f>
        <v/>
      </c>
      <c r="B917" s="18" t="str">
        <f>IF(Receipts!$C920="","",Receipts!$C920)</f>
        <v/>
      </c>
      <c r="C917" s="18" t="str">
        <f>IF($A917="","",IFERROR(INDEX(Items!$B$5:$B$597,MATCH($A917,Items!$A$5:$A$597,0)),""))</f>
        <v/>
      </c>
      <c r="D917" s="23" t="str">
        <f>IF($A917="","",N(Receipts!$G920))</f>
        <v/>
      </c>
      <c r="E917" s="20" t="str">
        <f>IF($A917="","",IFERROR(INDEX(Items!$D$5:$D$597,MATCH($A917,Items!$A$5:$A$597,0)),0))</f>
        <v/>
      </c>
      <c r="F917" s="21" t="str">
        <f t="shared" si="70"/>
        <v/>
      </c>
      <c r="G917" s="25" t="str">
        <f>IF(Receipts!$I920="","",Receipts!$I920)</f>
        <v/>
      </c>
      <c r="H917" s="25" t="str">
        <f>IF(Receipts!$H920="","",Receipts!$H920)</f>
        <v/>
      </c>
      <c r="I917" s="26" t="str">
        <f t="shared" ca="1" si="71"/>
        <v/>
      </c>
      <c r="J917" s="26" t="str">
        <f>IF($A917="","",COUNTIFS(tblReceipts[Item Name],$A917,tblReceipts[Expiry Date],"&lt;"&amp;$H917)+COUNTIFS(tblReceipts[Item Name],$A917,tblReceipts[Expiry Date],$H917,tblReceipts[Lot Number],"&lt;="&amp;Receipts!$C920))</f>
        <v/>
      </c>
      <c r="K917" s="26" t="str">
        <f>IF($A917="","",SUMIFS(tblReceipts[Qty Received],tblReceipts[Item Name],$A917,tblReceipts[Expiry Date],"&lt;"&amp;$H917)+SUMIFS(tblReceipts[Qty Received],tblReceipts[Item Name],$A917,tblReceipts[Expiry Date],$H917,tblReceipts[Lot Number],"&lt;"&amp;Receipts!$C920))</f>
        <v/>
      </c>
      <c r="L917" s="26" t="str">
        <f>IF($A917="","",MIN($D917,MAX(0,SUMIFS(tblIssues[Qty Issued],tblIssues[Item Name],$A917)-$K917)))</f>
        <v/>
      </c>
      <c r="M917" s="26" t="str">
        <f>IF($A917="","",SUMIFS(tblIssues[Qty Issued],tblIssues[Lot Number],$B917))</f>
        <v/>
      </c>
      <c r="N917" s="26" t="str">
        <f t="shared" si="72"/>
        <v/>
      </c>
      <c r="O917" s="26" t="str">
        <f t="shared" si="73"/>
        <v/>
      </c>
      <c r="P917" s="21" t="str">
        <f t="shared" si="74"/>
        <v/>
      </c>
      <c r="Q917" s="52" t="str">
        <f>IF($A917="","",IF($O917&lt;=0,"Depleted",IF($I917&lt;0,"EXPIRED",IF($I917&lt;=Settings!$C$6,"CRITICAL",IF($I917&lt;=Settings!$C$5,"Expiring","In date")))))</f>
        <v/>
      </c>
    </row>
    <row r="918" spans="1:17" x14ac:dyDescent="0.35">
      <c r="A918" s="90" t="str">
        <f>IF(Receipts!$D921="","",Receipts!$D921)</f>
        <v/>
      </c>
      <c r="B918" s="18" t="str">
        <f>IF(Receipts!$C921="","",Receipts!$C921)</f>
        <v/>
      </c>
      <c r="C918" s="18" t="str">
        <f>IF($A918="","",IFERROR(INDEX(Items!$B$5:$B$597,MATCH($A918,Items!$A$5:$A$597,0)),""))</f>
        <v/>
      </c>
      <c r="D918" s="23" t="str">
        <f>IF($A918="","",N(Receipts!$G921))</f>
        <v/>
      </c>
      <c r="E918" s="20" t="str">
        <f>IF($A918="","",IFERROR(INDEX(Items!$D$5:$D$597,MATCH($A918,Items!$A$5:$A$597,0)),0))</f>
        <v/>
      </c>
      <c r="F918" s="21" t="str">
        <f t="shared" si="70"/>
        <v/>
      </c>
      <c r="G918" s="25" t="str">
        <f>IF(Receipts!$I921="","",Receipts!$I921)</f>
        <v/>
      </c>
      <c r="H918" s="25" t="str">
        <f>IF(Receipts!$H921="","",Receipts!$H921)</f>
        <v/>
      </c>
      <c r="I918" s="26" t="str">
        <f t="shared" ca="1" si="71"/>
        <v/>
      </c>
      <c r="J918" s="26" t="str">
        <f>IF($A918="","",COUNTIFS(tblReceipts[Item Name],$A918,tblReceipts[Expiry Date],"&lt;"&amp;$H918)+COUNTIFS(tblReceipts[Item Name],$A918,tblReceipts[Expiry Date],$H918,tblReceipts[Lot Number],"&lt;="&amp;Receipts!$C921))</f>
        <v/>
      </c>
      <c r="K918" s="26" t="str">
        <f>IF($A918="","",SUMIFS(tblReceipts[Qty Received],tblReceipts[Item Name],$A918,tblReceipts[Expiry Date],"&lt;"&amp;$H918)+SUMIFS(tblReceipts[Qty Received],tblReceipts[Item Name],$A918,tblReceipts[Expiry Date],$H918,tblReceipts[Lot Number],"&lt;"&amp;Receipts!$C921))</f>
        <v/>
      </c>
      <c r="L918" s="26" t="str">
        <f>IF($A918="","",MIN($D918,MAX(0,SUMIFS(tblIssues[Qty Issued],tblIssues[Item Name],$A918)-$K918)))</f>
        <v/>
      </c>
      <c r="M918" s="26" t="str">
        <f>IF($A918="","",SUMIFS(tblIssues[Qty Issued],tblIssues[Lot Number],$B918))</f>
        <v/>
      </c>
      <c r="N918" s="26" t="str">
        <f t="shared" si="72"/>
        <v/>
      </c>
      <c r="O918" s="26" t="str">
        <f t="shared" si="73"/>
        <v/>
      </c>
      <c r="P918" s="21" t="str">
        <f t="shared" si="74"/>
        <v/>
      </c>
      <c r="Q918" s="52" t="str">
        <f>IF($A918="","",IF($O918&lt;=0,"Depleted",IF($I918&lt;0,"EXPIRED",IF($I918&lt;=Settings!$C$6,"CRITICAL",IF($I918&lt;=Settings!$C$5,"Expiring","In date")))))</f>
        <v/>
      </c>
    </row>
    <row r="919" spans="1:17" x14ac:dyDescent="0.35">
      <c r="A919" s="90" t="str">
        <f>IF(Receipts!$D922="","",Receipts!$D922)</f>
        <v/>
      </c>
      <c r="B919" s="18" t="str">
        <f>IF(Receipts!$C922="","",Receipts!$C922)</f>
        <v/>
      </c>
      <c r="C919" s="18" t="str">
        <f>IF($A919="","",IFERROR(INDEX(Items!$B$5:$B$597,MATCH($A919,Items!$A$5:$A$597,0)),""))</f>
        <v/>
      </c>
      <c r="D919" s="23" t="str">
        <f>IF($A919="","",N(Receipts!$G922))</f>
        <v/>
      </c>
      <c r="E919" s="20" t="str">
        <f>IF($A919="","",IFERROR(INDEX(Items!$D$5:$D$597,MATCH($A919,Items!$A$5:$A$597,0)),0))</f>
        <v/>
      </c>
      <c r="F919" s="21" t="str">
        <f t="shared" si="70"/>
        <v/>
      </c>
      <c r="G919" s="25" t="str">
        <f>IF(Receipts!$I922="","",Receipts!$I922)</f>
        <v/>
      </c>
      <c r="H919" s="25" t="str">
        <f>IF(Receipts!$H922="","",Receipts!$H922)</f>
        <v/>
      </c>
      <c r="I919" s="26" t="str">
        <f t="shared" ca="1" si="71"/>
        <v/>
      </c>
      <c r="J919" s="26" t="str">
        <f>IF($A919="","",COUNTIFS(tblReceipts[Item Name],$A919,tblReceipts[Expiry Date],"&lt;"&amp;$H919)+COUNTIFS(tblReceipts[Item Name],$A919,tblReceipts[Expiry Date],$H919,tblReceipts[Lot Number],"&lt;="&amp;Receipts!$C922))</f>
        <v/>
      </c>
      <c r="K919" s="26" t="str">
        <f>IF($A919="","",SUMIFS(tblReceipts[Qty Received],tblReceipts[Item Name],$A919,tblReceipts[Expiry Date],"&lt;"&amp;$H919)+SUMIFS(tblReceipts[Qty Received],tblReceipts[Item Name],$A919,tblReceipts[Expiry Date],$H919,tblReceipts[Lot Number],"&lt;"&amp;Receipts!$C922))</f>
        <v/>
      </c>
      <c r="L919" s="26" t="str">
        <f>IF($A919="","",MIN($D919,MAX(0,SUMIFS(tblIssues[Qty Issued],tblIssues[Item Name],$A919)-$K919)))</f>
        <v/>
      </c>
      <c r="M919" s="26" t="str">
        <f>IF($A919="","",SUMIFS(tblIssues[Qty Issued],tblIssues[Lot Number],$B919))</f>
        <v/>
      </c>
      <c r="N919" s="26" t="str">
        <f t="shared" si="72"/>
        <v/>
      </c>
      <c r="O919" s="26" t="str">
        <f t="shared" si="73"/>
        <v/>
      </c>
      <c r="P919" s="21" t="str">
        <f t="shared" si="74"/>
        <v/>
      </c>
      <c r="Q919" s="52" t="str">
        <f>IF($A919="","",IF($O919&lt;=0,"Depleted",IF($I919&lt;0,"EXPIRED",IF($I919&lt;=Settings!$C$6,"CRITICAL",IF($I919&lt;=Settings!$C$5,"Expiring","In date")))))</f>
        <v/>
      </c>
    </row>
    <row r="920" spans="1:17" x14ac:dyDescent="0.35">
      <c r="A920" s="90" t="str">
        <f>IF(Receipts!$D923="","",Receipts!$D923)</f>
        <v/>
      </c>
      <c r="B920" s="18" t="str">
        <f>IF(Receipts!$C923="","",Receipts!$C923)</f>
        <v/>
      </c>
      <c r="C920" s="18" t="str">
        <f>IF($A920="","",IFERROR(INDEX(Items!$B$5:$B$597,MATCH($A920,Items!$A$5:$A$597,0)),""))</f>
        <v/>
      </c>
      <c r="D920" s="23" t="str">
        <f>IF($A920="","",N(Receipts!$G923))</f>
        <v/>
      </c>
      <c r="E920" s="20" t="str">
        <f>IF($A920="","",IFERROR(INDEX(Items!$D$5:$D$597,MATCH($A920,Items!$A$5:$A$597,0)),0))</f>
        <v/>
      </c>
      <c r="F920" s="21" t="str">
        <f t="shared" si="70"/>
        <v/>
      </c>
      <c r="G920" s="25" t="str">
        <f>IF(Receipts!$I923="","",Receipts!$I923)</f>
        <v/>
      </c>
      <c r="H920" s="25" t="str">
        <f>IF(Receipts!$H923="","",Receipts!$H923)</f>
        <v/>
      </c>
      <c r="I920" s="26" t="str">
        <f t="shared" ca="1" si="71"/>
        <v/>
      </c>
      <c r="J920" s="26" t="str">
        <f>IF($A920="","",COUNTIFS(tblReceipts[Item Name],$A920,tblReceipts[Expiry Date],"&lt;"&amp;$H920)+COUNTIFS(tblReceipts[Item Name],$A920,tblReceipts[Expiry Date],$H920,tblReceipts[Lot Number],"&lt;="&amp;Receipts!$C923))</f>
        <v/>
      </c>
      <c r="K920" s="26" t="str">
        <f>IF($A920="","",SUMIFS(tblReceipts[Qty Received],tblReceipts[Item Name],$A920,tblReceipts[Expiry Date],"&lt;"&amp;$H920)+SUMIFS(tblReceipts[Qty Received],tblReceipts[Item Name],$A920,tblReceipts[Expiry Date],$H920,tblReceipts[Lot Number],"&lt;"&amp;Receipts!$C923))</f>
        <v/>
      </c>
      <c r="L920" s="26" t="str">
        <f>IF($A920="","",MIN($D920,MAX(0,SUMIFS(tblIssues[Qty Issued],tblIssues[Item Name],$A920)-$K920)))</f>
        <v/>
      </c>
      <c r="M920" s="26" t="str">
        <f>IF($A920="","",SUMIFS(tblIssues[Qty Issued],tblIssues[Lot Number],$B920))</f>
        <v/>
      </c>
      <c r="N920" s="26" t="str">
        <f t="shared" si="72"/>
        <v/>
      </c>
      <c r="O920" s="26" t="str">
        <f t="shared" si="73"/>
        <v/>
      </c>
      <c r="P920" s="21" t="str">
        <f t="shared" si="74"/>
        <v/>
      </c>
      <c r="Q920" s="52" t="str">
        <f>IF($A920="","",IF($O920&lt;=0,"Depleted",IF($I920&lt;0,"EXPIRED",IF($I920&lt;=Settings!$C$6,"CRITICAL",IF($I920&lt;=Settings!$C$5,"Expiring","In date")))))</f>
        <v/>
      </c>
    </row>
    <row r="921" spans="1:17" x14ac:dyDescent="0.35">
      <c r="A921" s="90" t="str">
        <f>IF(Receipts!$D924="","",Receipts!$D924)</f>
        <v/>
      </c>
      <c r="B921" s="18" t="str">
        <f>IF(Receipts!$C924="","",Receipts!$C924)</f>
        <v/>
      </c>
      <c r="C921" s="18" t="str">
        <f>IF($A921="","",IFERROR(INDEX(Items!$B$5:$B$597,MATCH($A921,Items!$A$5:$A$597,0)),""))</f>
        <v/>
      </c>
      <c r="D921" s="23" t="str">
        <f>IF($A921="","",N(Receipts!$G924))</f>
        <v/>
      </c>
      <c r="E921" s="20" t="str">
        <f>IF($A921="","",IFERROR(INDEX(Items!$D$5:$D$597,MATCH($A921,Items!$A$5:$A$597,0)),0))</f>
        <v/>
      </c>
      <c r="F921" s="21" t="str">
        <f t="shared" si="70"/>
        <v/>
      </c>
      <c r="G921" s="25" t="str">
        <f>IF(Receipts!$I924="","",Receipts!$I924)</f>
        <v/>
      </c>
      <c r="H921" s="25" t="str">
        <f>IF(Receipts!$H924="","",Receipts!$H924)</f>
        <v/>
      </c>
      <c r="I921" s="26" t="str">
        <f t="shared" ca="1" si="71"/>
        <v/>
      </c>
      <c r="J921" s="26" t="str">
        <f>IF($A921="","",COUNTIFS(tblReceipts[Item Name],$A921,tblReceipts[Expiry Date],"&lt;"&amp;$H921)+COUNTIFS(tblReceipts[Item Name],$A921,tblReceipts[Expiry Date],$H921,tblReceipts[Lot Number],"&lt;="&amp;Receipts!$C924))</f>
        <v/>
      </c>
      <c r="K921" s="26" t="str">
        <f>IF($A921="","",SUMIFS(tblReceipts[Qty Received],tblReceipts[Item Name],$A921,tblReceipts[Expiry Date],"&lt;"&amp;$H921)+SUMIFS(tblReceipts[Qty Received],tblReceipts[Item Name],$A921,tblReceipts[Expiry Date],$H921,tblReceipts[Lot Number],"&lt;"&amp;Receipts!$C924))</f>
        <v/>
      </c>
      <c r="L921" s="26" t="str">
        <f>IF($A921="","",MIN($D921,MAX(0,SUMIFS(tblIssues[Qty Issued],tblIssues[Item Name],$A921)-$K921)))</f>
        <v/>
      </c>
      <c r="M921" s="26" t="str">
        <f>IF($A921="","",SUMIFS(tblIssues[Qty Issued],tblIssues[Lot Number],$B921))</f>
        <v/>
      </c>
      <c r="N921" s="26" t="str">
        <f t="shared" si="72"/>
        <v/>
      </c>
      <c r="O921" s="26" t="str">
        <f t="shared" si="73"/>
        <v/>
      </c>
      <c r="P921" s="21" t="str">
        <f t="shared" si="74"/>
        <v/>
      </c>
      <c r="Q921" s="52" t="str">
        <f>IF($A921="","",IF($O921&lt;=0,"Depleted",IF($I921&lt;0,"EXPIRED",IF($I921&lt;=Settings!$C$6,"CRITICAL",IF($I921&lt;=Settings!$C$5,"Expiring","In date")))))</f>
        <v/>
      </c>
    </row>
    <row r="922" spans="1:17" x14ac:dyDescent="0.35">
      <c r="A922" s="90" t="str">
        <f>IF(Receipts!$D925="","",Receipts!$D925)</f>
        <v/>
      </c>
      <c r="B922" s="18" t="str">
        <f>IF(Receipts!$C925="","",Receipts!$C925)</f>
        <v/>
      </c>
      <c r="C922" s="18" t="str">
        <f>IF($A922="","",IFERROR(INDEX(Items!$B$5:$B$597,MATCH($A922,Items!$A$5:$A$597,0)),""))</f>
        <v/>
      </c>
      <c r="D922" s="23" t="str">
        <f>IF($A922="","",N(Receipts!$G925))</f>
        <v/>
      </c>
      <c r="E922" s="20" t="str">
        <f>IF($A922="","",IFERROR(INDEX(Items!$D$5:$D$597,MATCH($A922,Items!$A$5:$A$597,0)),0))</f>
        <v/>
      </c>
      <c r="F922" s="21" t="str">
        <f t="shared" si="70"/>
        <v/>
      </c>
      <c r="G922" s="25" t="str">
        <f>IF(Receipts!$I925="","",Receipts!$I925)</f>
        <v/>
      </c>
      <c r="H922" s="25" t="str">
        <f>IF(Receipts!$H925="","",Receipts!$H925)</f>
        <v/>
      </c>
      <c r="I922" s="26" t="str">
        <f t="shared" ca="1" si="71"/>
        <v/>
      </c>
      <c r="J922" s="26" t="str">
        <f>IF($A922="","",COUNTIFS(tblReceipts[Item Name],$A922,tblReceipts[Expiry Date],"&lt;"&amp;$H922)+COUNTIFS(tblReceipts[Item Name],$A922,tblReceipts[Expiry Date],$H922,tblReceipts[Lot Number],"&lt;="&amp;Receipts!$C925))</f>
        <v/>
      </c>
      <c r="K922" s="26" t="str">
        <f>IF($A922="","",SUMIFS(tblReceipts[Qty Received],tblReceipts[Item Name],$A922,tblReceipts[Expiry Date],"&lt;"&amp;$H922)+SUMIFS(tblReceipts[Qty Received],tblReceipts[Item Name],$A922,tblReceipts[Expiry Date],$H922,tblReceipts[Lot Number],"&lt;"&amp;Receipts!$C925))</f>
        <v/>
      </c>
      <c r="L922" s="26" t="str">
        <f>IF($A922="","",MIN($D922,MAX(0,SUMIFS(tblIssues[Qty Issued],tblIssues[Item Name],$A922)-$K922)))</f>
        <v/>
      </c>
      <c r="M922" s="26" t="str">
        <f>IF($A922="","",SUMIFS(tblIssues[Qty Issued],tblIssues[Lot Number],$B922))</f>
        <v/>
      </c>
      <c r="N922" s="26" t="str">
        <f t="shared" si="72"/>
        <v/>
      </c>
      <c r="O922" s="26" t="str">
        <f t="shared" si="73"/>
        <v/>
      </c>
      <c r="P922" s="21" t="str">
        <f t="shared" si="74"/>
        <v/>
      </c>
      <c r="Q922" s="52" t="str">
        <f>IF($A922="","",IF($O922&lt;=0,"Depleted",IF($I922&lt;0,"EXPIRED",IF($I922&lt;=Settings!$C$6,"CRITICAL",IF($I922&lt;=Settings!$C$5,"Expiring","In date")))))</f>
        <v/>
      </c>
    </row>
    <row r="923" spans="1:17" x14ac:dyDescent="0.35">
      <c r="A923" s="90" t="str">
        <f>IF(Receipts!$D926="","",Receipts!$D926)</f>
        <v/>
      </c>
      <c r="B923" s="18" t="str">
        <f>IF(Receipts!$C926="","",Receipts!$C926)</f>
        <v/>
      </c>
      <c r="C923" s="18" t="str">
        <f>IF($A923="","",IFERROR(INDEX(Items!$B$5:$B$597,MATCH($A923,Items!$A$5:$A$597,0)),""))</f>
        <v/>
      </c>
      <c r="D923" s="23" t="str">
        <f>IF($A923="","",N(Receipts!$G926))</f>
        <v/>
      </c>
      <c r="E923" s="20" t="str">
        <f>IF($A923="","",IFERROR(INDEX(Items!$D$5:$D$597,MATCH($A923,Items!$A$5:$A$597,0)),0))</f>
        <v/>
      </c>
      <c r="F923" s="21" t="str">
        <f t="shared" si="70"/>
        <v/>
      </c>
      <c r="G923" s="25" t="str">
        <f>IF(Receipts!$I926="","",Receipts!$I926)</f>
        <v/>
      </c>
      <c r="H923" s="25" t="str">
        <f>IF(Receipts!$H926="","",Receipts!$H926)</f>
        <v/>
      </c>
      <c r="I923" s="26" t="str">
        <f t="shared" ca="1" si="71"/>
        <v/>
      </c>
      <c r="J923" s="26" t="str">
        <f>IF($A923="","",COUNTIFS(tblReceipts[Item Name],$A923,tblReceipts[Expiry Date],"&lt;"&amp;$H923)+COUNTIFS(tblReceipts[Item Name],$A923,tblReceipts[Expiry Date],$H923,tblReceipts[Lot Number],"&lt;="&amp;Receipts!$C926))</f>
        <v/>
      </c>
      <c r="K923" s="26" t="str">
        <f>IF($A923="","",SUMIFS(tblReceipts[Qty Received],tblReceipts[Item Name],$A923,tblReceipts[Expiry Date],"&lt;"&amp;$H923)+SUMIFS(tblReceipts[Qty Received],tblReceipts[Item Name],$A923,tblReceipts[Expiry Date],$H923,tblReceipts[Lot Number],"&lt;"&amp;Receipts!$C926))</f>
        <v/>
      </c>
      <c r="L923" s="26" t="str">
        <f>IF($A923="","",MIN($D923,MAX(0,SUMIFS(tblIssues[Qty Issued],tblIssues[Item Name],$A923)-$K923)))</f>
        <v/>
      </c>
      <c r="M923" s="26" t="str">
        <f>IF($A923="","",SUMIFS(tblIssues[Qty Issued],tblIssues[Lot Number],$B923))</f>
        <v/>
      </c>
      <c r="N923" s="26" t="str">
        <f t="shared" si="72"/>
        <v/>
      </c>
      <c r="O923" s="26" t="str">
        <f t="shared" si="73"/>
        <v/>
      </c>
      <c r="P923" s="21" t="str">
        <f t="shared" si="74"/>
        <v/>
      </c>
      <c r="Q923" s="52" t="str">
        <f>IF($A923="","",IF($O923&lt;=0,"Depleted",IF($I923&lt;0,"EXPIRED",IF($I923&lt;=Settings!$C$6,"CRITICAL",IF($I923&lt;=Settings!$C$5,"Expiring","In date")))))</f>
        <v/>
      </c>
    </row>
    <row r="924" spans="1:17" x14ac:dyDescent="0.35">
      <c r="A924" s="90" t="str">
        <f>IF(Receipts!$D927="","",Receipts!$D927)</f>
        <v/>
      </c>
      <c r="B924" s="18" t="str">
        <f>IF(Receipts!$C927="","",Receipts!$C927)</f>
        <v/>
      </c>
      <c r="C924" s="18" t="str">
        <f>IF($A924="","",IFERROR(INDEX(Items!$B$5:$B$597,MATCH($A924,Items!$A$5:$A$597,0)),""))</f>
        <v/>
      </c>
      <c r="D924" s="23" t="str">
        <f>IF($A924="","",N(Receipts!$G927))</f>
        <v/>
      </c>
      <c r="E924" s="20" t="str">
        <f>IF($A924="","",IFERROR(INDEX(Items!$D$5:$D$597,MATCH($A924,Items!$A$5:$A$597,0)),0))</f>
        <v/>
      </c>
      <c r="F924" s="21" t="str">
        <f t="shared" si="70"/>
        <v/>
      </c>
      <c r="G924" s="25" t="str">
        <f>IF(Receipts!$I927="","",Receipts!$I927)</f>
        <v/>
      </c>
      <c r="H924" s="25" t="str">
        <f>IF(Receipts!$H927="","",Receipts!$H927)</f>
        <v/>
      </c>
      <c r="I924" s="26" t="str">
        <f t="shared" ca="1" si="71"/>
        <v/>
      </c>
      <c r="J924" s="26" t="str">
        <f>IF($A924="","",COUNTIFS(tblReceipts[Item Name],$A924,tblReceipts[Expiry Date],"&lt;"&amp;$H924)+COUNTIFS(tblReceipts[Item Name],$A924,tblReceipts[Expiry Date],$H924,tblReceipts[Lot Number],"&lt;="&amp;Receipts!$C927))</f>
        <v/>
      </c>
      <c r="K924" s="26" t="str">
        <f>IF($A924="","",SUMIFS(tblReceipts[Qty Received],tblReceipts[Item Name],$A924,tblReceipts[Expiry Date],"&lt;"&amp;$H924)+SUMIFS(tblReceipts[Qty Received],tblReceipts[Item Name],$A924,tblReceipts[Expiry Date],$H924,tblReceipts[Lot Number],"&lt;"&amp;Receipts!$C927))</f>
        <v/>
      </c>
      <c r="L924" s="26" t="str">
        <f>IF($A924="","",MIN($D924,MAX(0,SUMIFS(tblIssues[Qty Issued],tblIssues[Item Name],$A924)-$K924)))</f>
        <v/>
      </c>
      <c r="M924" s="26" t="str">
        <f>IF($A924="","",SUMIFS(tblIssues[Qty Issued],tblIssues[Lot Number],$B924))</f>
        <v/>
      </c>
      <c r="N924" s="26" t="str">
        <f t="shared" si="72"/>
        <v/>
      </c>
      <c r="O924" s="26" t="str">
        <f t="shared" si="73"/>
        <v/>
      </c>
      <c r="P924" s="21" t="str">
        <f t="shared" si="74"/>
        <v/>
      </c>
      <c r="Q924" s="52" t="str">
        <f>IF($A924="","",IF($O924&lt;=0,"Depleted",IF($I924&lt;0,"EXPIRED",IF($I924&lt;=Settings!$C$6,"CRITICAL",IF($I924&lt;=Settings!$C$5,"Expiring","In date")))))</f>
        <v/>
      </c>
    </row>
    <row r="925" spans="1:17" x14ac:dyDescent="0.35">
      <c r="A925" s="90" t="str">
        <f>IF(Receipts!$D928="","",Receipts!$D928)</f>
        <v/>
      </c>
      <c r="B925" s="18" t="str">
        <f>IF(Receipts!$C928="","",Receipts!$C928)</f>
        <v/>
      </c>
      <c r="C925" s="18" t="str">
        <f>IF($A925="","",IFERROR(INDEX(Items!$B$5:$B$597,MATCH($A925,Items!$A$5:$A$597,0)),""))</f>
        <v/>
      </c>
      <c r="D925" s="23" t="str">
        <f>IF($A925="","",N(Receipts!$G928))</f>
        <v/>
      </c>
      <c r="E925" s="20" t="str">
        <f>IF($A925="","",IFERROR(INDEX(Items!$D$5:$D$597,MATCH($A925,Items!$A$5:$A$597,0)),0))</f>
        <v/>
      </c>
      <c r="F925" s="21" t="str">
        <f t="shared" si="70"/>
        <v/>
      </c>
      <c r="G925" s="25" t="str">
        <f>IF(Receipts!$I928="","",Receipts!$I928)</f>
        <v/>
      </c>
      <c r="H925" s="25" t="str">
        <f>IF(Receipts!$H928="","",Receipts!$H928)</f>
        <v/>
      </c>
      <c r="I925" s="26" t="str">
        <f t="shared" ca="1" si="71"/>
        <v/>
      </c>
      <c r="J925" s="26" t="str">
        <f>IF($A925="","",COUNTIFS(tblReceipts[Item Name],$A925,tblReceipts[Expiry Date],"&lt;"&amp;$H925)+COUNTIFS(tblReceipts[Item Name],$A925,tblReceipts[Expiry Date],$H925,tblReceipts[Lot Number],"&lt;="&amp;Receipts!$C928))</f>
        <v/>
      </c>
      <c r="K925" s="26" t="str">
        <f>IF($A925="","",SUMIFS(tblReceipts[Qty Received],tblReceipts[Item Name],$A925,tblReceipts[Expiry Date],"&lt;"&amp;$H925)+SUMIFS(tblReceipts[Qty Received],tblReceipts[Item Name],$A925,tblReceipts[Expiry Date],$H925,tblReceipts[Lot Number],"&lt;"&amp;Receipts!$C928))</f>
        <v/>
      </c>
      <c r="L925" s="26" t="str">
        <f>IF($A925="","",MIN($D925,MAX(0,SUMIFS(tblIssues[Qty Issued],tblIssues[Item Name],$A925)-$K925)))</f>
        <v/>
      </c>
      <c r="M925" s="26" t="str">
        <f>IF($A925="","",SUMIFS(tblIssues[Qty Issued],tblIssues[Lot Number],$B925))</f>
        <v/>
      </c>
      <c r="N925" s="26" t="str">
        <f t="shared" si="72"/>
        <v/>
      </c>
      <c r="O925" s="26" t="str">
        <f t="shared" si="73"/>
        <v/>
      </c>
      <c r="P925" s="21" t="str">
        <f t="shared" si="74"/>
        <v/>
      </c>
      <c r="Q925" s="52" t="str">
        <f>IF($A925="","",IF($O925&lt;=0,"Depleted",IF($I925&lt;0,"EXPIRED",IF($I925&lt;=Settings!$C$6,"CRITICAL",IF($I925&lt;=Settings!$C$5,"Expiring","In date")))))</f>
        <v/>
      </c>
    </row>
    <row r="926" spans="1:17" x14ac:dyDescent="0.35">
      <c r="A926" s="90" t="str">
        <f>IF(Receipts!$D929="","",Receipts!$D929)</f>
        <v/>
      </c>
      <c r="B926" s="18" t="str">
        <f>IF(Receipts!$C929="","",Receipts!$C929)</f>
        <v/>
      </c>
      <c r="C926" s="18" t="str">
        <f>IF($A926="","",IFERROR(INDEX(Items!$B$5:$B$597,MATCH($A926,Items!$A$5:$A$597,0)),""))</f>
        <v/>
      </c>
      <c r="D926" s="23" t="str">
        <f>IF($A926="","",N(Receipts!$G929))</f>
        <v/>
      </c>
      <c r="E926" s="20" t="str">
        <f>IF($A926="","",IFERROR(INDEX(Items!$D$5:$D$597,MATCH($A926,Items!$A$5:$A$597,0)),0))</f>
        <v/>
      </c>
      <c r="F926" s="21" t="str">
        <f t="shared" si="70"/>
        <v/>
      </c>
      <c r="G926" s="25" t="str">
        <f>IF(Receipts!$I929="","",Receipts!$I929)</f>
        <v/>
      </c>
      <c r="H926" s="25" t="str">
        <f>IF(Receipts!$H929="","",Receipts!$H929)</f>
        <v/>
      </c>
      <c r="I926" s="26" t="str">
        <f t="shared" ca="1" si="71"/>
        <v/>
      </c>
      <c r="J926" s="26" t="str">
        <f>IF($A926="","",COUNTIFS(tblReceipts[Item Name],$A926,tblReceipts[Expiry Date],"&lt;"&amp;$H926)+COUNTIFS(tblReceipts[Item Name],$A926,tblReceipts[Expiry Date],$H926,tblReceipts[Lot Number],"&lt;="&amp;Receipts!$C929))</f>
        <v/>
      </c>
      <c r="K926" s="26" t="str">
        <f>IF($A926="","",SUMIFS(tblReceipts[Qty Received],tblReceipts[Item Name],$A926,tblReceipts[Expiry Date],"&lt;"&amp;$H926)+SUMIFS(tblReceipts[Qty Received],tblReceipts[Item Name],$A926,tblReceipts[Expiry Date],$H926,tblReceipts[Lot Number],"&lt;"&amp;Receipts!$C929))</f>
        <v/>
      </c>
      <c r="L926" s="26" t="str">
        <f>IF($A926="","",MIN($D926,MAX(0,SUMIFS(tblIssues[Qty Issued],tblIssues[Item Name],$A926)-$K926)))</f>
        <v/>
      </c>
      <c r="M926" s="26" t="str">
        <f>IF($A926="","",SUMIFS(tblIssues[Qty Issued],tblIssues[Lot Number],$B926))</f>
        <v/>
      </c>
      <c r="N926" s="26" t="str">
        <f t="shared" si="72"/>
        <v/>
      </c>
      <c r="O926" s="26" t="str">
        <f t="shared" si="73"/>
        <v/>
      </c>
      <c r="P926" s="21" t="str">
        <f t="shared" si="74"/>
        <v/>
      </c>
      <c r="Q926" s="52" t="str">
        <f>IF($A926="","",IF($O926&lt;=0,"Depleted",IF($I926&lt;0,"EXPIRED",IF($I926&lt;=Settings!$C$6,"CRITICAL",IF($I926&lt;=Settings!$C$5,"Expiring","In date")))))</f>
        <v/>
      </c>
    </row>
    <row r="927" spans="1:17" x14ac:dyDescent="0.35">
      <c r="A927" s="90" t="str">
        <f>IF(Receipts!$D930="","",Receipts!$D930)</f>
        <v/>
      </c>
      <c r="B927" s="18" t="str">
        <f>IF(Receipts!$C930="","",Receipts!$C930)</f>
        <v/>
      </c>
      <c r="C927" s="18" t="str">
        <f>IF($A927="","",IFERROR(INDEX(Items!$B$5:$B$597,MATCH($A927,Items!$A$5:$A$597,0)),""))</f>
        <v/>
      </c>
      <c r="D927" s="23" t="str">
        <f>IF($A927="","",N(Receipts!$G930))</f>
        <v/>
      </c>
      <c r="E927" s="20" t="str">
        <f>IF($A927="","",IFERROR(INDEX(Items!$D$5:$D$597,MATCH($A927,Items!$A$5:$A$597,0)),0))</f>
        <v/>
      </c>
      <c r="F927" s="21" t="str">
        <f t="shared" si="70"/>
        <v/>
      </c>
      <c r="G927" s="25" t="str">
        <f>IF(Receipts!$I930="","",Receipts!$I930)</f>
        <v/>
      </c>
      <c r="H927" s="25" t="str">
        <f>IF(Receipts!$H930="","",Receipts!$H930)</f>
        <v/>
      </c>
      <c r="I927" s="26" t="str">
        <f t="shared" ca="1" si="71"/>
        <v/>
      </c>
      <c r="J927" s="26" t="str">
        <f>IF($A927="","",COUNTIFS(tblReceipts[Item Name],$A927,tblReceipts[Expiry Date],"&lt;"&amp;$H927)+COUNTIFS(tblReceipts[Item Name],$A927,tblReceipts[Expiry Date],$H927,tblReceipts[Lot Number],"&lt;="&amp;Receipts!$C930))</f>
        <v/>
      </c>
      <c r="K927" s="26" t="str">
        <f>IF($A927="","",SUMIFS(tblReceipts[Qty Received],tblReceipts[Item Name],$A927,tblReceipts[Expiry Date],"&lt;"&amp;$H927)+SUMIFS(tblReceipts[Qty Received],tblReceipts[Item Name],$A927,tblReceipts[Expiry Date],$H927,tblReceipts[Lot Number],"&lt;"&amp;Receipts!$C930))</f>
        <v/>
      </c>
      <c r="L927" s="26" t="str">
        <f>IF($A927="","",MIN($D927,MAX(0,SUMIFS(tblIssues[Qty Issued],tblIssues[Item Name],$A927)-$K927)))</f>
        <v/>
      </c>
      <c r="M927" s="26" t="str">
        <f>IF($A927="","",SUMIFS(tblIssues[Qty Issued],tblIssues[Lot Number],$B927))</f>
        <v/>
      </c>
      <c r="N927" s="26" t="str">
        <f t="shared" si="72"/>
        <v/>
      </c>
      <c r="O927" s="26" t="str">
        <f t="shared" si="73"/>
        <v/>
      </c>
      <c r="P927" s="21" t="str">
        <f t="shared" si="74"/>
        <v/>
      </c>
      <c r="Q927" s="52" t="str">
        <f>IF($A927="","",IF($O927&lt;=0,"Depleted",IF($I927&lt;0,"EXPIRED",IF($I927&lt;=Settings!$C$6,"CRITICAL",IF($I927&lt;=Settings!$C$5,"Expiring","In date")))))</f>
        <v/>
      </c>
    </row>
    <row r="928" spans="1:17" x14ac:dyDescent="0.35">
      <c r="A928" s="90" t="str">
        <f>IF(Receipts!$D931="","",Receipts!$D931)</f>
        <v/>
      </c>
      <c r="B928" s="18" t="str">
        <f>IF(Receipts!$C931="","",Receipts!$C931)</f>
        <v/>
      </c>
      <c r="C928" s="18" t="str">
        <f>IF($A928="","",IFERROR(INDEX(Items!$B$5:$B$597,MATCH($A928,Items!$A$5:$A$597,0)),""))</f>
        <v/>
      </c>
      <c r="D928" s="23" t="str">
        <f>IF($A928="","",N(Receipts!$G931))</f>
        <v/>
      </c>
      <c r="E928" s="20" t="str">
        <f>IF($A928="","",IFERROR(INDEX(Items!$D$5:$D$597,MATCH($A928,Items!$A$5:$A$597,0)),0))</f>
        <v/>
      </c>
      <c r="F928" s="21" t="str">
        <f t="shared" si="70"/>
        <v/>
      </c>
      <c r="G928" s="25" t="str">
        <f>IF(Receipts!$I931="","",Receipts!$I931)</f>
        <v/>
      </c>
      <c r="H928" s="25" t="str">
        <f>IF(Receipts!$H931="","",Receipts!$H931)</f>
        <v/>
      </c>
      <c r="I928" s="26" t="str">
        <f t="shared" ca="1" si="71"/>
        <v/>
      </c>
      <c r="J928" s="26" t="str">
        <f>IF($A928="","",COUNTIFS(tblReceipts[Item Name],$A928,tblReceipts[Expiry Date],"&lt;"&amp;$H928)+COUNTIFS(tblReceipts[Item Name],$A928,tblReceipts[Expiry Date],$H928,tblReceipts[Lot Number],"&lt;="&amp;Receipts!$C931))</f>
        <v/>
      </c>
      <c r="K928" s="26" t="str">
        <f>IF($A928="","",SUMIFS(tblReceipts[Qty Received],tblReceipts[Item Name],$A928,tblReceipts[Expiry Date],"&lt;"&amp;$H928)+SUMIFS(tblReceipts[Qty Received],tblReceipts[Item Name],$A928,tblReceipts[Expiry Date],$H928,tblReceipts[Lot Number],"&lt;"&amp;Receipts!$C931))</f>
        <v/>
      </c>
      <c r="L928" s="26" t="str">
        <f>IF($A928="","",MIN($D928,MAX(0,SUMIFS(tblIssues[Qty Issued],tblIssues[Item Name],$A928)-$K928)))</f>
        <v/>
      </c>
      <c r="M928" s="26" t="str">
        <f>IF($A928="","",SUMIFS(tblIssues[Qty Issued],tblIssues[Lot Number],$B928))</f>
        <v/>
      </c>
      <c r="N928" s="26" t="str">
        <f t="shared" si="72"/>
        <v/>
      </c>
      <c r="O928" s="26" t="str">
        <f t="shared" si="73"/>
        <v/>
      </c>
      <c r="P928" s="21" t="str">
        <f t="shared" si="74"/>
        <v/>
      </c>
      <c r="Q928" s="52" t="str">
        <f>IF($A928="","",IF($O928&lt;=0,"Depleted",IF($I928&lt;0,"EXPIRED",IF($I928&lt;=Settings!$C$6,"CRITICAL",IF($I928&lt;=Settings!$C$5,"Expiring","In date")))))</f>
        <v/>
      </c>
    </row>
    <row r="929" spans="1:17" x14ac:dyDescent="0.35">
      <c r="A929" s="90" t="str">
        <f>IF(Receipts!$D932="","",Receipts!$D932)</f>
        <v/>
      </c>
      <c r="B929" s="18" t="str">
        <f>IF(Receipts!$C932="","",Receipts!$C932)</f>
        <v/>
      </c>
      <c r="C929" s="18" t="str">
        <f>IF($A929="","",IFERROR(INDEX(Items!$B$5:$B$597,MATCH($A929,Items!$A$5:$A$597,0)),""))</f>
        <v/>
      </c>
      <c r="D929" s="23" t="str">
        <f>IF($A929="","",N(Receipts!$G932))</f>
        <v/>
      </c>
      <c r="E929" s="20" t="str">
        <f>IF($A929="","",IFERROR(INDEX(Items!$D$5:$D$597,MATCH($A929,Items!$A$5:$A$597,0)),0))</f>
        <v/>
      </c>
      <c r="F929" s="21" t="str">
        <f t="shared" si="70"/>
        <v/>
      </c>
      <c r="G929" s="25" t="str">
        <f>IF(Receipts!$I932="","",Receipts!$I932)</f>
        <v/>
      </c>
      <c r="H929" s="25" t="str">
        <f>IF(Receipts!$H932="","",Receipts!$H932)</f>
        <v/>
      </c>
      <c r="I929" s="26" t="str">
        <f t="shared" ca="1" si="71"/>
        <v/>
      </c>
      <c r="J929" s="26" t="str">
        <f>IF($A929="","",COUNTIFS(tblReceipts[Item Name],$A929,tblReceipts[Expiry Date],"&lt;"&amp;$H929)+COUNTIFS(tblReceipts[Item Name],$A929,tblReceipts[Expiry Date],$H929,tblReceipts[Lot Number],"&lt;="&amp;Receipts!$C932))</f>
        <v/>
      </c>
      <c r="K929" s="26" t="str">
        <f>IF($A929="","",SUMIFS(tblReceipts[Qty Received],tblReceipts[Item Name],$A929,tblReceipts[Expiry Date],"&lt;"&amp;$H929)+SUMIFS(tblReceipts[Qty Received],tblReceipts[Item Name],$A929,tblReceipts[Expiry Date],$H929,tblReceipts[Lot Number],"&lt;"&amp;Receipts!$C932))</f>
        <v/>
      </c>
      <c r="L929" s="26" t="str">
        <f>IF($A929="","",MIN($D929,MAX(0,SUMIFS(tblIssues[Qty Issued],tblIssues[Item Name],$A929)-$K929)))</f>
        <v/>
      </c>
      <c r="M929" s="26" t="str">
        <f>IF($A929="","",SUMIFS(tblIssues[Qty Issued],tblIssues[Lot Number],$B929))</f>
        <v/>
      </c>
      <c r="N929" s="26" t="str">
        <f t="shared" si="72"/>
        <v/>
      </c>
      <c r="O929" s="26" t="str">
        <f t="shared" si="73"/>
        <v/>
      </c>
      <c r="P929" s="21" t="str">
        <f t="shared" si="74"/>
        <v/>
      </c>
      <c r="Q929" s="52" t="str">
        <f>IF($A929="","",IF($O929&lt;=0,"Depleted",IF($I929&lt;0,"EXPIRED",IF($I929&lt;=Settings!$C$6,"CRITICAL",IF($I929&lt;=Settings!$C$5,"Expiring","In date")))))</f>
        <v/>
      </c>
    </row>
    <row r="930" spans="1:17" x14ac:dyDescent="0.35">
      <c r="A930" s="90" t="str">
        <f>IF(Receipts!$D933="","",Receipts!$D933)</f>
        <v/>
      </c>
      <c r="B930" s="18" t="str">
        <f>IF(Receipts!$C933="","",Receipts!$C933)</f>
        <v/>
      </c>
      <c r="C930" s="18" t="str">
        <f>IF($A930="","",IFERROR(INDEX(Items!$B$5:$B$597,MATCH($A930,Items!$A$5:$A$597,0)),""))</f>
        <v/>
      </c>
      <c r="D930" s="23" t="str">
        <f>IF($A930="","",N(Receipts!$G933))</f>
        <v/>
      </c>
      <c r="E930" s="20" t="str">
        <f>IF($A930="","",IFERROR(INDEX(Items!$D$5:$D$597,MATCH($A930,Items!$A$5:$A$597,0)),0))</f>
        <v/>
      </c>
      <c r="F930" s="21" t="str">
        <f t="shared" si="70"/>
        <v/>
      </c>
      <c r="G930" s="25" t="str">
        <f>IF(Receipts!$I933="","",Receipts!$I933)</f>
        <v/>
      </c>
      <c r="H930" s="25" t="str">
        <f>IF(Receipts!$H933="","",Receipts!$H933)</f>
        <v/>
      </c>
      <c r="I930" s="26" t="str">
        <f t="shared" ca="1" si="71"/>
        <v/>
      </c>
      <c r="J930" s="26" t="str">
        <f>IF($A930="","",COUNTIFS(tblReceipts[Item Name],$A930,tblReceipts[Expiry Date],"&lt;"&amp;$H930)+COUNTIFS(tblReceipts[Item Name],$A930,tblReceipts[Expiry Date],$H930,tblReceipts[Lot Number],"&lt;="&amp;Receipts!$C933))</f>
        <v/>
      </c>
      <c r="K930" s="26" t="str">
        <f>IF($A930="","",SUMIFS(tblReceipts[Qty Received],tblReceipts[Item Name],$A930,tblReceipts[Expiry Date],"&lt;"&amp;$H930)+SUMIFS(tblReceipts[Qty Received],tblReceipts[Item Name],$A930,tblReceipts[Expiry Date],$H930,tblReceipts[Lot Number],"&lt;"&amp;Receipts!$C933))</f>
        <v/>
      </c>
      <c r="L930" s="26" t="str">
        <f>IF($A930="","",MIN($D930,MAX(0,SUMIFS(tblIssues[Qty Issued],tblIssues[Item Name],$A930)-$K930)))</f>
        <v/>
      </c>
      <c r="M930" s="26" t="str">
        <f>IF($A930="","",SUMIFS(tblIssues[Qty Issued],tblIssues[Lot Number],$B930))</f>
        <v/>
      </c>
      <c r="N930" s="26" t="str">
        <f t="shared" si="72"/>
        <v/>
      </c>
      <c r="O930" s="26" t="str">
        <f t="shared" si="73"/>
        <v/>
      </c>
      <c r="P930" s="21" t="str">
        <f t="shared" si="74"/>
        <v/>
      </c>
      <c r="Q930" s="52" t="str">
        <f>IF($A930="","",IF($O930&lt;=0,"Depleted",IF($I930&lt;0,"EXPIRED",IF($I930&lt;=Settings!$C$6,"CRITICAL",IF($I930&lt;=Settings!$C$5,"Expiring","In date")))))</f>
        <v/>
      </c>
    </row>
    <row r="931" spans="1:17" x14ac:dyDescent="0.35">
      <c r="A931" s="90" t="str">
        <f>IF(Receipts!$D934="","",Receipts!$D934)</f>
        <v/>
      </c>
      <c r="B931" s="18" t="str">
        <f>IF(Receipts!$C934="","",Receipts!$C934)</f>
        <v/>
      </c>
      <c r="C931" s="18" t="str">
        <f>IF($A931="","",IFERROR(INDEX(Items!$B$5:$B$597,MATCH($A931,Items!$A$5:$A$597,0)),""))</f>
        <v/>
      </c>
      <c r="D931" s="23" t="str">
        <f>IF($A931="","",N(Receipts!$G934))</f>
        <v/>
      </c>
      <c r="E931" s="20" t="str">
        <f>IF($A931="","",IFERROR(INDEX(Items!$D$5:$D$597,MATCH($A931,Items!$A$5:$A$597,0)),0))</f>
        <v/>
      </c>
      <c r="F931" s="21" t="str">
        <f t="shared" si="70"/>
        <v/>
      </c>
      <c r="G931" s="25" t="str">
        <f>IF(Receipts!$I934="","",Receipts!$I934)</f>
        <v/>
      </c>
      <c r="H931" s="25" t="str">
        <f>IF(Receipts!$H934="","",Receipts!$H934)</f>
        <v/>
      </c>
      <c r="I931" s="26" t="str">
        <f t="shared" ca="1" si="71"/>
        <v/>
      </c>
      <c r="J931" s="26" t="str">
        <f>IF($A931="","",COUNTIFS(tblReceipts[Item Name],$A931,tblReceipts[Expiry Date],"&lt;"&amp;$H931)+COUNTIFS(tblReceipts[Item Name],$A931,tblReceipts[Expiry Date],$H931,tblReceipts[Lot Number],"&lt;="&amp;Receipts!$C934))</f>
        <v/>
      </c>
      <c r="K931" s="26" t="str">
        <f>IF($A931="","",SUMIFS(tblReceipts[Qty Received],tblReceipts[Item Name],$A931,tblReceipts[Expiry Date],"&lt;"&amp;$H931)+SUMIFS(tblReceipts[Qty Received],tblReceipts[Item Name],$A931,tblReceipts[Expiry Date],$H931,tblReceipts[Lot Number],"&lt;"&amp;Receipts!$C934))</f>
        <v/>
      </c>
      <c r="L931" s="26" t="str">
        <f>IF($A931="","",MIN($D931,MAX(0,SUMIFS(tblIssues[Qty Issued],tblIssues[Item Name],$A931)-$K931)))</f>
        <v/>
      </c>
      <c r="M931" s="26" t="str">
        <f>IF($A931="","",SUMIFS(tblIssues[Qty Issued],tblIssues[Lot Number],$B931))</f>
        <v/>
      </c>
      <c r="N931" s="26" t="str">
        <f t="shared" si="72"/>
        <v/>
      </c>
      <c r="O931" s="26" t="str">
        <f t="shared" si="73"/>
        <v/>
      </c>
      <c r="P931" s="21" t="str">
        <f t="shared" si="74"/>
        <v/>
      </c>
      <c r="Q931" s="52" t="str">
        <f>IF($A931="","",IF($O931&lt;=0,"Depleted",IF($I931&lt;0,"EXPIRED",IF($I931&lt;=Settings!$C$6,"CRITICAL",IF($I931&lt;=Settings!$C$5,"Expiring","In date")))))</f>
        <v/>
      </c>
    </row>
    <row r="932" spans="1:17" x14ac:dyDescent="0.35">
      <c r="A932" s="90" t="str">
        <f>IF(Receipts!$D935="","",Receipts!$D935)</f>
        <v/>
      </c>
      <c r="B932" s="18" t="str">
        <f>IF(Receipts!$C935="","",Receipts!$C935)</f>
        <v/>
      </c>
      <c r="C932" s="18" t="str">
        <f>IF($A932="","",IFERROR(INDEX(Items!$B$5:$B$597,MATCH($A932,Items!$A$5:$A$597,0)),""))</f>
        <v/>
      </c>
      <c r="D932" s="23" t="str">
        <f>IF($A932="","",N(Receipts!$G935))</f>
        <v/>
      </c>
      <c r="E932" s="20" t="str">
        <f>IF($A932="","",IFERROR(INDEX(Items!$D$5:$D$597,MATCH($A932,Items!$A$5:$A$597,0)),0))</f>
        <v/>
      </c>
      <c r="F932" s="21" t="str">
        <f t="shared" si="70"/>
        <v/>
      </c>
      <c r="G932" s="25" t="str">
        <f>IF(Receipts!$I935="","",Receipts!$I935)</f>
        <v/>
      </c>
      <c r="H932" s="25" t="str">
        <f>IF(Receipts!$H935="","",Receipts!$H935)</f>
        <v/>
      </c>
      <c r="I932" s="26" t="str">
        <f t="shared" ca="1" si="71"/>
        <v/>
      </c>
      <c r="J932" s="26" t="str">
        <f>IF($A932="","",COUNTIFS(tblReceipts[Item Name],$A932,tblReceipts[Expiry Date],"&lt;"&amp;$H932)+COUNTIFS(tblReceipts[Item Name],$A932,tblReceipts[Expiry Date],$H932,tblReceipts[Lot Number],"&lt;="&amp;Receipts!$C935))</f>
        <v/>
      </c>
      <c r="K932" s="26" t="str">
        <f>IF($A932="","",SUMIFS(tblReceipts[Qty Received],tblReceipts[Item Name],$A932,tblReceipts[Expiry Date],"&lt;"&amp;$H932)+SUMIFS(tblReceipts[Qty Received],tblReceipts[Item Name],$A932,tblReceipts[Expiry Date],$H932,tblReceipts[Lot Number],"&lt;"&amp;Receipts!$C935))</f>
        <v/>
      </c>
      <c r="L932" s="26" t="str">
        <f>IF($A932="","",MIN($D932,MAX(0,SUMIFS(tblIssues[Qty Issued],tblIssues[Item Name],$A932)-$K932)))</f>
        <v/>
      </c>
      <c r="M932" s="26" t="str">
        <f>IF($A932="","",SUMIFS(tblIssues[Qty Issued],tblIssues[Lot Number],$B932))</f>
        <v/>
      </c>
      <c r="N932" s="26" t="str">
        <f t="shared" si="72"/>
        <v/>
      </c>
      <c r="O932" s="26" t="str">
        <f t="shared" si="73"/>
        <v/>
      </c>
      <c r="P932" s="21" t="str">
        <f t="shared" si="74"/>
        <v/>
      </c>
      <c r="Q932" s="52" t="str">
        <f>IF($A932="","",IF($O932&lt;=0,"Depleted",IF($I932&lt;0,"EXPIRED",IF($I932&lt;=Settings!$C$6,"CRITICAL",IF($I932&lt;=Settings!$C$5,"Expiring","In date")))))</f>
        <v/>
      </c>
    </row>
    <row r="933" spans="1:17" x14ac:dyDescent="0.35">
      <c r="A933" s="90" t="str">
        <f>IF(Receipts!$D936="","",Receipts!$D936)</f>
        <v/>
      </c>
      <c r="B933" s="18" t="str">
        <f>IF(Receipts!$C936="","",Receipts!$C936)</f>
        <v/>
      </c>
      <c r="C933" s="18" t="str">
        <f>IF($A933="","",IFERROR(INDEX(Items!$B$5:$B$597,MATCH($A933,Items!$A$5:$A$597,0)),""))</f>
        <v/>
      </c>
      <c r="D933" s="23" t="str">
        <f>IF($A933="","",N(Receipts!$G936))</f>
        <v/>
      </c>
      <c r="E933" s="20" t="str">
        <f>IF($A933="","",IFERROR(INDEX(Items!$D$5:$D$597,MATCH($A933,Items!$A$5:$A$597,0)),0))</f>
        <v/>
      </c>
      <c r="F933" s="21" t="str">
        <f t="shared" si="70"/>
        <v/>
      </c>
      <c r="G933" s="25" t="str">
        <f>IF(Receipts!$I936="","",Receipts!$I936)</f>
        <v/>
      </c>
      <c r="H933" s="25" t="str">
        <f>IF(Receipts!$H936="","",Receipts!$H936)</f>
        <v/>
      </c>
      <c r="I933" s="26" t="str">
        <f t="shared" ca="1" si="71"/>
        <v/>
      </c>
      <c r="J933" s="26" t="str">
        <f>IF($A933="","",COUNTIFS(tblReceipts[Item Name],$A933,tblReceipts[Expiry Date],"&lt;"&amp;$H933)+COUNTIFS(tblReceipts[Item Name],$A933,tblReceipts[Expiry Date],$H933,tblReceipts[Lot Number],"&lt;="&amp;Receipts!$C936))</f>
        <v/>
      </c>
      <c r="K933" s="26" t="str">
        <f>IF($A933="","",SUMIFS(tblReceipts[Qty Received],tblReceipts[Item Name],$A933,tblReceipts[Expiry Date],"&lt;"&amp;$H933)+SUMIFS(tblReceipts[Qty Received],tblReceipts[Item Name],$A933,tblReceipts[Expiry Date],$H933,tblReceipts[Lot Number],"&lt;"&amp;Receipts!$C936))</f>
        <v/>
      </c>
      <c r="L933" s="26" t="str">
        <f>IF($A933="","",MIN($D933,MAX(0,SUMIFS(tblIssues[Qty Issued],tblIssues[Item Name],$A933)-$K933)))</f>
        <v/>
      </c>
      <c r="M933" s="26" t="str">
        <f>IF($A933="","",SUMIFS(tblIssues[Qty Issued],tblIssues[Lot Number],$B933))</f>
        <v/>
      </c>
      <c r="N933" s="26" t="str">
        <f t="shared" si="72"/>
        <v/>
      </c>
      <c r="O933" s="26" t="str">
        <f t="shared" si="73"/>
        <v/>
      </c>
      <c r="P933" s="21" t="str">
        <f t="shared" si="74"/>
        <v/>
      </c>
      <c r="Q933" s="52" t="str">
        <f>IF($A933="","",IF($O933&lt;=0,"Depleted",IF($I933&lt;0,"EXPIRED",IF($I933&lt;=Settings!$C$6,"CRITICAL",IF($I933&lt;=Settings!$C$5,"Expiring","In date")))))</f>
        <v/>
      </c>
    </row>
    <row r="934" spans="1:17" x14ac:dyDescent="0.35">
      <c r="A934" s="90" t="str">
        <f>IF(Receipts!$D937="","",Receipts!$D937)</f>
        <v/>
      </c>
      <c r="B934" s="18" t="str">
        <f>IF(Receipts!$C937="","",Receipts!$C937)</f>
        <v/>
      </c>
      <c r="C934" s="18" t="str">
        <f>IF($A934="","",IFERROR(INDEX(Items!$B$5:$B$597,MATCH($A934,Items!$A$5:$A$597,0)),""))</f>
        <v/>
      </c>
      <c r="D934" s="23" t="str">
        <f>IF($A934="","",N(Receipts!$G937))</f>
        <v/>
      </c>
      <c r="E934" s="20" t="str">
        <f>IF($A934="","",IFERROR(INDEX(Items!$D$5:$D$597,MATCH($A934,Items!$A$5:$A$597,0)),0))</f>
        <v/>
      </c>
      <c r="F934" s="21" t="str">
        <f t="shared" si="70"/>
        <v/>
      </c>
      <c r="G934" s="25" t="str">
        <f>IF(Receipts!$I937="","",Receipts!$I937)</f>
        <v/>
      </c>
      <c r="H934" s="25" t="str">
        <f>IF(Receipts!$H937="","",Receipts!$H937)</f>
        <v/>
      </c>
      <c r="I934" s="26" t="str">
        <f t="shared" ca="1" si="71"/>
        <v/>
      </c>
      <c r="J934" s="26" t="str">
        <f>IF($A934="","",COUNTIFS(tblReceipts[Item Name],$A934,tblReceipts[Expiry Date],"&lt;"&amp;$H934)+COUNTIFS(tblReceipts[Item Name],$A934,tblReceipts[Expiry Date],$H934,tblReceipts[Lot Number],"&lt;="&amp;Receipts!$C937))</f>
        <v/>
      </c>
      <c r="K934" s="26" t="str">
        <f>IF($A934="","",SUMIFS(tblReceipts[Qty Received],tblReceipts[Item Name],$A934,tblReceipts[Expiry Date],"&lt;"&amp;$H934)+SUMIFS(tblReceipts[Qty Received],tblReceipts[Item Name],$A934,tblReceipts[Expiry Date],$H934,tblReceipts[Lot Number],"&lt;"&amp;Receipts!$C937))</f>
        <v/>
      </c>
      <c r="L934" s="26" t="str">
        <f>IF($A934="","",MIN($D934,MAX(0,SUMIFS(tblIssues[Qty Issued],tblIssues[Item Name],$A934)-$K934)))</f>
        <v/>
      </c>
      <c r="M934" s="26" t="str">
        <f>IF($A934="","",SUMIFS(tblIssues[Qty Issued],tblIssues[Lot Number],$B934))</f>
        <v/>
      </c>
      <c r="N934" s="26" t="str">
        <f t="shared" si="72"/>
        <v/>
      </c>
      <c r="O934" s="26" t="str">
        <f t="shared" si="73"/>
        <v/>
      </c>
      <c r="P934" s="21" t="str">
        <f t="shared" si="74"/>
        <v/>
      </c>
      <c r="Q934" s="52" t="str">
        <f>IF($A934="","",IF($O934&lt;=0,"Depleted",IF($I934&lt;0,"EXPIRED",IF($I934&lt;=Settings!$C$6,"CRITICAL",IF($I934&lt;=Settings!$C$5,"Expiring","In date")))))</f>
        <v/>
      </c>
    </row>
    <row r="935" spans="1:17" x14ac:dyDescent="0.35">
      <c r="A935" s="90" t="str">
        <f>IF(Receipts!$D938="","",Receipts!$D938)</f>
        <v/>
      </c>
      <c r="B935" s="18" t="str">
        <f>IF(Receipts!$C938="","",Receipts!$C938)</f>
        <v/>
      </c>
      <c r="C935" s="18" t="str">
        <f>IF($A935="","",IFERROR(INDEX(Items!$B$5:$B$597,MATCH($A935,Items!$A$5:$A$597,0)),""))</f>
        <v/>
      </c>
      <c r="D935" s="23" t="str">
        <f>IF($A935="","",N(Receipts!$G938))</f>
        <v/>
      </c>
      <c r="E935" s="20" t="str">
        <f>IF($A935="","",IFERROR(INDEX(Items!$D$5:$D$597,MATCH($A935,Items!$A$5:$A$597,0)),0))</f>
        <v/>
      </c>
      <c r="F935" s="21" t="str">
        <f t="shared" si="70"/>
        <v/>
      </c>
      <c r="G935" s="25" t="str">
        <f>IF(Receipts!$I938="","",Receipts!$I938)</f>
        <v/>
      </c>
      <c r="H935" s="25" t="str">
        <f>IF(Receipts!$H938="","",Receipts!$H938)</f>
        <v/>
      </c>
      <c r="I935" s="26" t="str">
        <f t="shared" ca="1" si="71"/>
        <v/>
      </c>
      <c r="J935" s="26" t="str">
        <f>IF($A935="","",COUNTIFS(tblReceipts[Item Name],$A935,tblReceipts[Expiry Date],"&lt;"&amp;$H935)+COUNTIFS(tblReceipts[Item Name],$A935,tblReceipts[Expiry Date],$H935,tblReceipts[Lot Number],"&lt;="&amp;Receipts!$C938))</f>
        <v/>
      </c>
      <c r="K935" s="26" t="str">
        <f>IF($A935="","",SUMIFS(tblReceipts[Qty Received],tblReceipts[Item Name],$A935,tblReceipts[Expiry Date],"&lt;"&amp;$H935)+SUMIFS(tblReceipts[Qty Received],tblReceipts[Item Name],$A935,tblReceipts[Expiry Date],$H935,tblReceipts[Lot Number],"&lt;"&amp;Receipts!$C938))</f>
        <v/>
      </c>
      <c r="L935" s="26" t="str">
        <f>IF($A935="","",MIN($D935,MAX(0,SUMIFS(tblIssues[Qty Issued],tblIssues[Item Name],$A935)-$K935)))</f>
        <v/>
      </c>
      <c r="M935" s="26" t="str">
        <f>IF($A935="","",SUMIFS(tblIssues[Qty Issued],tblIssues[Lot Number],$B935))</f>
        <v/>
      </c>
      <c r="N935" s="26" t="str">
        <f t="shared" si="72"/>
        <v/>
      </c>
      <c r="O935" s="26" t="str">
        <f t="shared" si="73"/>
        <v/>
      </c>
      <c r="P935" s="21" t="str">
        <f t="shared" si="74"/>
        <v/>
      </c>
      <c r="Q935" s="52" t="str">
        <f>IF($A935="","",IF($O935&lt;=0,"Depleted",IF($I935&lt;0,"EXPIRED",IF($I935&lt;=Settings!$C$6,"CRITICAL",IF($I935&lt;=Settings!$C$5,"Expiring","In date")))))</f>
        <v/>
      </c>
    </row>
    <row r="936" spans="1:17" x14ac:dyDescent="0.35">
      <c r="A936" s="90" t="str">
        <f>IF(Receipts!$D939="","",Receipts!$D939)</f>
        <v/>
      </c>
      <c r="B936" s="18" t="str">
        <f>IF(Receipts!$C939="","",Receipts!$C939)</f>
        <v/>
      </c>
      <c r="C936" s="18" t="str">
        <f>IF($A936="","",IFERROR(INDEX(Items!$B$5:$B$597,MATCH($A936,Items!$A$5:$A$597,0)),""))</f>
        <v/>
      </c>
      <c r="D936" s="23" t="str">
        <f>IF($A936="","",N(Receipts!$G939))</f>
        <v/>
      </c>
      <c r="E936" s="20" t="str">
        <f>IF($A936="","",IFERROR(INDEX(Items!$D$5:$D$597,MATCH($A936,Items!$A$5:$A$597,0)),0))</f>
        <v/>
      </c>
      <c r="F936" s="21" t="str">
        <f t="shared" si="70"/>
        <v/>
      </c>
      <c r="G936" s="25" t="str">
        <f>IF(Receipts!$I939="","",Receipts!$I939)</f>
        <v/>
      </c>
      <c r="H936" s="25" t="str">
        <f>IF(Receipts!$H939="","",Receipts!$H939)</f>
        <v/>
      </c>
      <c r="I936" s="26" t="str">
        <f t="shared" ca="1" si="71"/>
        <v/>
      </c>
      <c r="J936" s="26" t="str">
        <f>IF($A936="","",COUNTIFS(tblReceipts[Item Name],$A936,tblReceipts[Expiry Date],"&lt;"&amp;$H936)+COUNTIFS(tblReceipts[Item Name],$A936,tblReceipts[Expiry Date],$H936,tblReceipts[Lot Number],"&lt;="&amp;Receipts!$C939))</f>
        <v/>
      </c>
      <c r="K936" s="26" t="str">
        <f>IF($A936="","",SUMIFS(tblReceipts[Qty Received],tblReceipts[Item Name],$A936,tblReceipts[Expiry Date],"&lt;"&amp;$H936)+SUMIFS(tblReceipts[Qty Received],tblReceipts[Item Name],$A936,tblReceipts[Expiry Date],$H936,tblReceipts[Lot Number],"&lt;"&amp;Receipts!$C939))</f>
        <v/>
      </c>
      <c r="L936" s="26" t="str">
        <f>IF($A936="","",MIN($D936,MAX(0,SUMIFS(tblIssues[Qty Issued],tblIssues[Item Name],$A936)-$K936)))</f>
        <v/>
      </c>
      <c r="M936" s="26" t="str">
        <f>IF($A936="","",SUMIFS(tblIssues[Qty Issued],tblIssues[Lot Number],$B936))</f>
        <v/>
      </c>
      <c r="N936" s="26" t="str">
        <f t="shared" si="72"/>
        <v/>
      </c>
      <c r="O936" s="26" t="str">
        <f t="shared" si="73"/>
        <v/>
      </c>
      <c r="P936" s="21" t="str">
        <f t="shared" si="74"/>
        <v/>
      </c>
      <c r="Q936" s="52" t="str">
        <f>IF($A936="","",IF($O936&lt;=0,"Depleted",IF($I936&lt;0,"EXPIRED",IF($I936&lt;=Settings!$C$6,"CRITICAL",IF($I936&lt;=Settings!$C$5,"Expiring","In date")))))</f>
        <v/>
      </c>
    </row>
    <row r="937" spans="1:17" x14ac:dyDescent="0.35">
      <c r="A937" s="90" t="str">
        <f>IF(Receipts!$D940="","",Receipts!$D940)</f>
        <v/>
      </c>
      <c r="B937" s="18" t="str">
        <f>IF(Receipts!$C940="","",Receipts!$C940)</f>
        <v/>
      </c>
      <c r="C937" s="18" t="str">
        <f>IF($A937="","",IFERROR(INDEX(Items!$B$5:$B$597,MATCH($A937,Items!$A$5:$A$597,0)),""))</f>
        <v/>
      </c>
      <c r="D937" s="23" t="str">
        <f>IF($A937="","",N(Receipts!$G940))</f>
        <v/>
      </c>
      <c r="E937" s="20" t="str">
        <f>IF($A937="","",IFERROR(INDEX(Items!$D$5:$D$597,MATCH($A937,Items!$A$5:$A$597,0)),0))</f>
        <v/>
      </c>
      <c r="F937" s="21" t="str">
        <f t="shared" si="70"/>
        <v/>
      </c>
      <c r="G937" s="25" t="str">
        <f>IF(Receipts!$I940="","",Receipts!$I940)</f>
        <v/>
      </c>
      <c r="H937" s="25" t="str">
        <f>IF(Receipts!$H940="","",Receipts!$H940)</f>
        <v/>
      </c>
      <c r="I937" s="26" t="str">
        <f t="shared" ca="1" si="71"/>
        <v/>
      </c>
      <c r="J937" s="26" t="str">
        <f>IF($A937="","",COUNTIFS(tblReceipts[Item Name],$A937,tblReceipts[Expiry Date],"&lt;"&amp;$H937)+COUNTIFS(tblReceipts[Item Name],$A937,tblReceipts[Expiry Date],$H937,tblReceipts[Lot Number],"&lt;="&amp;Receipts!$C940))</f>
        <v/>
      </c>
      <c r="K937" s="26" t="str">
        <f>IF($A937="","",SUMIFS(tblReceipts[Qty Received],tblReceipts[Item Name],$A937,tblReceipts[Expiry Date],"&lt;"&amp;$H937)+SUMIFS(tblReceipts[Qty Received],tblReceipts[Item Name],$A937,tblReceipts[Expiry Date],$H937,tblReceipts[Lot Number],"&lt;"&amp;Receipts!$C940))</f>
        <v/>
      </c>
      <c r="L937" s="26" t="str">
        <f>IF($A937="","",MIN($D937,MAX(0,SUMIFS(tblIssues[Qty Issued],tblIssues[Item Name],$A937)-$K937)))</f>
        <v/>
      </c>
      <c r="M937" s="26" t="str">
        <f>IF($A937="","",SUMIFS(tblIssues[Qty Issued],tblIssues[Lot Number],$B937))</f>
        <v/>
      </c>
      <c r="N937" s="26" t="str">
        <f t="shared" si="72"/>
        <v/>
      </c>
      <c r="O937" s="26" t="str">
        <f t="shared" si="73"/>
        <v/>
      </c>
      <c r="P937" s="21" t="str">
        <f t="shared" si="74"/>
        <v/>
      </c>
      <c r="Q937" s="52" t="str">
        <f>IF($A937="","",IF($O937&lt;=0,"Depleted",IF($I937&lt;0,"EXPIRED",IF($I937&lt;=Settings!$C$6,"CRITICAL",IF($I937&lt;=Settings!$C$5,"Expiring","In date")))))</f>
        <v/>
      </c>
    </row>
    <row r="938" spans="1:17" x14ac:dyDescent="0.35">
      <c r="A938" s="90" t="str">
        <f>IF(Receipts!$D941="","",Receipts!$D941)</f>
        <v/>
      </c>
      <c r="B938" s="18" t="str">
        <f>IF(Receipts!$C941="","",Receipts!$C941)</f>
        <v/>
      </c>
      <c r="C938" s="18" t="str">
        <f>IF($A938="","",IFERROR(INDEX(Items!$B$5:$B$597,MATCH($A938,Items!$A$5:$A$597,0)),""))</f>
        <v/>
      </c>
      <c r="D938" s="23" t="str">
        <f>IF($A938="","",N(Receipts!$G941))</f>
        <v/>
      </c>
      <c r="E938" s="20" t="str">
        <f>IF($A938="","",IFERROR(INDEX(Items!$D$5:$D$597,MATCH($A938,Items!$A$5:$A$597,0)),0))</f>
        <v/>
      </c>
      <c r="F938" s="21" t="str">
        <f t="shared" si="70"/>
        <v/>
      </c>
      <c r="G938" s="25" t="str">
        <f>IF(Receipts!$I941="","",Receipts!$I941)</f>
        <v/>
      </c>
      <c r="H938" s="25" t="str">
        <f>IF(Receipts!$H941="","",Receipts!$H941)</f>
        <v/>
      </c>
      <c r="I938" s="26" t="str">
        <f t="shared" ca="1" si="71"/>
        <v/>
      </c>
      <c r="J938" s="26" t="str">
        <f>IF($A938="","",COUNTIFS(tblReceipts[Item Name],$A938,tblReceipts[Expiry Date],"&lt;"&amp;$H938)+COUNTIFS(tblReceipts[Item Name],$A938,tblReceipts[Expiry Date],$H938,tblReceipts[Lot Number],"&lt;="&amp;Receipts!$C941))</f>
        <v/>
      </c>
      <c r="K938" s="26" t="str">
        <f>IF($A938="","",SUMIFS(tblReceipts[Qty Received],tblReceipts[Item Name],$A938,tblReceipts[Expiry Date],"&lt;"&amp;$H938)+SUMIFS(tblReceipts[Qty Received],tblReceipts[Item Name],$A938,tblReceipts[Expiry Date],$H938,tblReceipts[Lot Number],"&lt;"&amp;Receipts!$C941))</f>
        <v/>
      </c>
      <c r="L938" s="26" t="str">
        <f>IF($A938="","",MIN($D938,MAX(0,SUMIFS(tblIssues[Qty Issued],tblIssues[Item Name],$A938)-$K938)))</f>
        <v/>
      </c>
      <c r="M938" s="26" t="str">
        <f>IF($A938="","",SUMIFS(tblIssues[Qty Issued],tblIssues[Lot Number],$B938))</f>
        <v/>
      </c>
      <c r="N938" s="26" t="str">
        <f t="shared" si="72"/>
        <v/>
      </c>
      <c r="O938" s="26" t="str">
        <f t="shared" si="73"/>
        <v/>
      </c>
      <c r="P938" s="21" t="str">
        <f t="shared" si="74"/>
        <v/>
      </c>
      <c r="Q938" s="52" t="str">
        <f>IF($A938="","",IF($O938&lt;=0,"Depleted",IF($I938&lt;0,"EXPIRED",IF($I938&lt;=Settings!$C$6,"CRITICAL",IF($I938&lt;=Settings!$C$5,"Expiring","In date")))))</f>
        <v/>
      </c>
    </row>
    <row r="939" spans="1:17" x14ac:dyDescent="0.35">
      <c r="A939" s="90" t="str">
        <f>IF(Receipts!$D942="","",Receipts!$D942)</f>
        <v/>
      </c>
      <c r="B939" s="18" t="str">
        <f>IF(Receipts!$C942="","",Receipts!$C942)</f>
        <v/>
      </c>
      <c r="C939" s="18" t="str">
        <f>IF($A939="","",IFERROR(INDEX(Items!$B$5:$B$597,MATCH($A939,Items!$A$5:$A$597,0)),""))</f>
        <v/>
      </c>
      <c r="D939" s="23" t="str">
        <f>IF($A939="","",N(Receipts!$G942))</f>
        <v/>
      </c>
      <c r="E939" s="20" t="str">
        <f>IF($A939="","",IFERROR(INDEX(Items!$D$5:$D$597,MATCH($A939,Items!$A$5:$A$597,0)),0))</f>
        <v/>
      </c>
      <c r="F939" s="21" t="str">
        <f t="shared" si="70"/>
        <v/>
      </c>
      <c r="G939" s="25" t="str">
        <f>IF(Receipts!$I942="","",Receipts!$I942)</f>
        <v/>
      </c>
      <c r="H939" s="25" t="str">
        <f>IF(Receipts!$H942="","",Receipts!$H942)</f>
        <v/>
      </c>
      <c r="I939" s="26" t="str">
        <f t="shared" ca="1" si="71"/>
        <v/>
      </c>
      <c r="J939" s="26" t="str">
        <f>IF($A939="","",COUNTIFS(tblReceipts[Item Name],$A939,tblReceipts[Expiry Date],"&lt;"&amp;$H939)+COUNTIFS(tblReceipts[Item Name],$A939,tblReceipts[Expiry Date],$H939,tblReceipts[Lot Number],"&lt;="&amp;Receipts!$C942))</f>
        <v/>
      </c>
      <c r="K939" s="26" t="str">
        <f>IF($A939="","",SUMIFS(tblReceipts[Qty Received],tblReceipts[Item Name],$A939,tblReceipts[Expiry Date],"&lt;"&amp;$H939)+SUMIFS(tblReceipts[Qty Received],tblReceipts[Item Name],$A939,tblReceipts[Expiry Date],$H939,tblReceipts[Lot Number],"&lt;"&amp;Receipts!$C942))</f>
        <v/>
      </c>
      <c r="L939" s="26" t="str">
        <f>IF($A939="","",MIN($D939,MAX(0,SUMIFS(tblIssues[Qty Issued],tblIssues[Item Name],$A939)-$K939)))</f>
        <v/>
      </c>
      <c r="M939" s="26" t="str">
        <f>IF($A939="","",SUMIFS(tblIssues[Qty Issued],tblIssues[Lot Number],$B939))</f>
        <v/>
      </c>
      <c r="N939" s="26" t="str">
        <f t="shared" si="72"/>
        <v/>
      </c>
      <c r="O939" s="26" t="str">
        <f t="shared" si="73"/>
        <v/>
      </c>
      <c r="P939" s="21" t="str">
        <f t="shared" si="74"/>
        <v/>
      </c>
      <c r="Q939" s="52" t="str">
        <f>IF($A939="","",IF($O939&lt;=0,"Depleted",IF($I939&lt;0,"EXPIRED",IF($I939&lt;=Settings!$C$6,"CRITICAL",IF($I939&lt;=Settings!$C$5,"Expiring","In date")))))</f>
        <v/>
      </c>
    </row>
    <row r="940" spans="1:17" x14ac:dyDescent="0.35">
      <c r="A940" s="90" t="str">
        <f>IF(Receipts!$D943="","",Receipts!$D943)</f>
        <v/>
      </c>
      <c r="B940" s="18" t="str">
        <f>IF(Receipts!$C943="","",Receipts!$C943)</f>
        <v/>
      </c>
      <c r="C940" s="18" t="str">
        <f>IF($A940="","",IFERROR(INDEX(Items!$B$5:$B$597,MATCH($A940,Items!$A$5:$A$597,0)),""))</f>
        <v/>
      </c>
      <c r="D940" s="23" t="str">
        <f>IF($A940="","",N(Receipts!$G943))</f>
        <v/>
      </c>
      <c r="E940" s="20" t="str">
        <f>IF($A940="","",IFERROR(INDEX(Items!$D$5:$D$597,MATCH($A940,Items!$A$5:$A$597,0)),0))</f>
        <v/>
      </c>
      <c r="F940" s="21" t="str">
        <f t="shared" si="70"/>
        <v/>
      </c>
      <c r="G940" s="25" t="str">
        <f>IF(Receipts!$I943="","",Receipts!$I943)</f>
        <v/>
      </c>
      <c r="H940" s="25" t="str">
        <f>IF(Receipts!$H943="","",Receipts!$H943)</f>
        <v/>
      </c>
      <c r="I940" s="26" t="str">
        <f t="shared" ca="1" si="71"/>
        <v/>
      </c>
      <c r="J940" s="26" t="str">
        <f>IF($A940="","",COUNTIFS(tblReceipts[Item Name],$A940,tblReceipts[Expiry Date],"&lt;"&amp;$H940)+COUNTIFS(tblReceipts[Item Name],$A940,tblReceipts[Expiry Date],$H940,tblReceipts[Lot Number],"&lt;="&amp;Receipts!$C943))</f>
        <v/>
      </c>
      <c r="K940" s="26" t="str">
        <f>IF($A940="","",SUMIFS(tblReceipts[Qty Received],tblReceipts[Item Name],$A940,tblReceipts[Expiry Date],"&lt;"&amp;$H940)+SUMIFS(tblReceipts[Qty Received],tblReceipts[Item Name],$A940,tblReceipts[Expiry Date],$H940,tblReceipts[Lot Number],"&lt;"&amp;Receipts!$C943))</f>
        <v/>
      </c>
      <c r="L940" s="26" t="str">
        <f>IF($A940="","",MIN($D940,MAX(0,SUMIFS(tblIssues[Qty Issued],tblIssues[Item Name],$A940)-$K940)))</f>
        <v/>
      </c>
      <c r="M940" s="26" t="str">
        <f>IF($A940="","",SUMIFS(tblIssues[Qty Issued],tblIssues[Lot Number],$B940))</f>
        <v/>
      </c>
      <c r="N940" s="26" t="str">
        <f t="shared" si="72"/>
        <v/>
      </c>
      <c r="O940" s="26" t="str">
        <f t="shared" si="73"/>
        <v/>
      </c>
      <c r="P940" s="21" t="str">
        <f t="shared" si="74"/>
        <v/>
      </c>
      <c r="Q940" s="52" t="str">
        <f>IF($A940="","",IF($O940&lt;=0,"Depleted",IF($I940&lt;0,"EXPIRED",IF($I940&lt;=Settings!$C$6,"CRITICAL",IF($I940&lt;=Settings!$C$5,"Expiring","In date")))))</f>
        <v/>
      </c>
    </row>
    <row r="941" spans="1:17" x14ac:dyDescent="0.35">
      <c r="A941" s="90" t="str">
        <f>IF(Receipts!$D944="","",Receipts!$D944)</f>
        <v/>
      </c>
      <c r="B941" s="18" t="str">
        <f>IF(Receipts!$C944="","",Receipts!$C944)</f>
        <v/>
      </c>
      <c r="C941" s="18" t="str">
        <f>IF($A941="","",IFERROR(INDEX(Items!$B$5:$B$597,MATCH($A941,Items!$A$5:$A$597,0)),""))</f>
        <v/>
      </c>
      <c r="D941" s="23" t="str">
        <f>IF($A941="","",N(Receipts!$G944))</f>
        <v/>
      </c>
      <c r="E941" s="20" t="str">
        <f>IF($A941="","",IFERROR(INDEX(Items!$D$5:$D$597,MATCH($A941,Items!$A$5:$A$597,0)),0))</f>
        <v/>
      </c>
      <c r="F941" s="21" t="str">
        <f t="shared" si="70"/>
        <v/>
      </c>
      <c r="G941" s="25" t="str">
        <f>IF(Receipts!$I944="","",Receipts!$I944)</f>
        <v/>
      </c>
      <c r="H941" s="25" t="str">
        <f>IF(Receipts!$H944="","",Receipts!$H944)</f>
        <v/>
      </c>
      <c r="I941" s="26" t="str">
        <f t="shared" ca="1" si="71"/>
        <v/>
      </c>
      <c r="J941" s="26" t="str">
        <f>IF($A941="","",COUNTIFS(tblReceipts[Item Name],$A941,tblReceipts[Expiry Date],"&lt;"&amp;$H941)+COUNTIFS(tblReceipts[Item Name],$A941,tblReceipts[Expiry Date],$H941,tblReceipts[Lot Number],"&lt;="&amp;Receipts!$C944))</f>
        <v/>
      </c>
      <c r="K941" s="26" t="str">
        <f>IF($A941="","",SUMIFS(tblReceipts[Qty Received],tblReceipts[Item Name],$A941,tblReceipts[Expiry Date],"&lt;"&amp;$H941)+SUMIFS(tblReceipts[Qty Received],tblReceipts[Item Name],$A941,tblReceipts[Expiry Date],$H941,tblReceipts[Lot Number],"&lt;"&amp;Receipts!$C944))</f>
        <v/>
      </c>
      <c r="L941" s="26" t="str">
        <f>IF($A941="","",MIN($D941,MAX(0,SUMIFS(tblIssues[Qty Issued],tblIssues[Item Name],$A941)-$K941)))</f>
        <v/>
      </c>
      <c r="M941" s="26" t="str">
        <f>IF($A941="","",SUMIFS(tblIssues[Qty Issued],tblIssues[Lot Number],$B941))</f>
        <v/>
      </c>
      <c r="N941" s="26" t="str">
        <f t="shared" si="72"/>
        <v/>
      </c>
      <c r="O941" s="26" t="str">
        <f t="shared" si="73"/>
        <v/>
      </c>
      <c r="P941" s="21" t="str">
        <f t="shared" si="74"/>
        <v/>
      </c>
      <c r="Q941" s="52" t="str">
        <f>IF($A941="","",IF($O941&lt;=0,"Depleted",IF($I941&lt;0,"EXPIRED",IF($I941&lt;=Settings!$C$6,"CRITICAL",IF($I941&lt;=Settings!$C$5,"Expiring","In date")))))</f>
        <v/>
      </c>
    </row>
    <row r="942" spans="1:17" x14ac:dyDescent="0.35">
      <c r="A942" s="90" t="str">
        <f>IF(Receipts!$D945="","",Receipts!$D945)</f>
        <v/>
      </c>
      <c r="B942" s="18" t="str">
        <f>IF(Receipts!$C945="","",Receipts!$C945)</f>
        <v/>
      </c>
      <c r="C942" s="18" t="str">
        <f>IF($A942="","",IFERROR(INDEX(Items!$B$5:$B$597,MATCH($A942,Items!$A$5:$A$597,0)),""))</f>
        <v/>
      </c>
      <c r="D942" s="23" t="str">
        <f>IF($A942="","",N(Receipts!$G945))</f>
        <v/>
      </c>
      <c r="E942" s="20" t="str">
        <f>IF($A942="","",IFERROR(INDEX(Items!$D$5:$D$597,MATCH($A942,Items!$A$5:$A$597,0)),0))</f>
        <v/>
      </c>
      <c r="F942" s="21" t="str">
        <f t="shared" si="70"/>
        <v/>
      </c>
      <c r="G942" s="25" t="str">
        <f>IF(Receipts!$I945="","",Receipts!$I945)</f>
        <v/>
      </c>
      <c r="H942" s="25" t="str">
        <f>IF(Receipts!$H945="","",Receipts!$H945)</f>
        <v/>
      </c>
      <c r="I942" s="26" t="str">
        <f t="shared" ca="1" si="71"/>
        <v/>
      </c>
      <c r="J942" s="26" t="str">
        <f>IF($A942="","",COUNTIFS(tblReceipts[Item Name],$A942,tblReceipts[Expiry Date],"&lt;"&amp;$H942)+COUNTIFS(tblReceipts[Item Name],$A942,tblReceipts[Expiry Date],$H942,tblReceipts[Lot Number],"&lt;="&amp;Receipts!$C945))</f>
        <v/>
      </c>
      <c r="K942" s="26" t="str">
        <f>IF($A942="","",SUMIFS(tblReceipts[Qty Received],tblReceipts[Item Name],$A942,tblReceipts[Expiry Date],"&lt;"&amp;$H942)+SUMIFS(tblReceipts[Qty Received],tblReceipts[Item Name],$A942,tblReceipts[Expiry Date],$H942,tblReceipts[Lot Number],"&lt;"&amp;Receipts!$C945))</f>
        <v/>
      </c>
      <c r="L942" s="26" t="str">
        <f>IF($A942="","",MIN($D942,MAX(0,SUMIFS(tblIssues[Qty Issued],tblIssues[Item Name],$A942)-$K942)))</f>
        <v/>
      </c>
      <c r="M942" s="26" t="str">
        <f>IF($A942="","",SUMIFS(tblIssues[Qty Issued],tblIssues[Lot Number],$B942))</f>
        <v/>
      </c>
      <c r="N942" s="26" t="str">
        <f t="shared" si="72"/>
        <v/>
      </c>
      <c r="O942" s="26" t="str">
        <f t="shared" si="73"/>
        <v/>
      </c>
      <c r="P942" s="21" t="str">
        <f t="shared" si="74"/>
        <v/>
      </c>
      <c r="Q942" s="52" t="str">
        <f>IF($A942="","",IF($O942&lt;=0,"Depleted",IF($I942&lt;0,"EXPIRED",IF($I942&lt;=Settings!$C$6,"CRITICAL",IF($I942&lt;=Settings!$C$5,"Expiring","In date")))))</f>
        <v/>
      </c>
    </row>
    <row r="943" spans="1:17" x14ac:dyDescent="0.35">
      <c r="A943" s="90" t="str">
        <f>IF(Receipts!$D946="","",Receipts!$D946)</f>
        <v/>
      </c>
      <c r="B943" s="18" t="str">
        <f>IF(Receipts!$C946="","",Receipts!$C946)</f>
        <v/>
      </c>
      <c r="C943" s="18" t="str">
        <f>IF($A943="","",IFERROR(INDEX(Items!$B$5:$B$597,MATCH($A943,Items!$A$5:$A$597,0)),""))</f>
        <v/>
      </c>
      <c r="D943" s="23" t="str">
        <f>IF($A943="","",N(Receipts!$G946))</f>
        <v/>
      </c>
      <c r="E943" s="20" t="str">
        <f>IF($A943="","",IFERROR(INDEX(Items!$D$5:$D$597,MATCH($A943,Items!$A$5:$A$597,0)),0))</f>
        <v/>
      </c>
      <c r="F943" s="21" t="str">
        <f t="shared" si="70"/>
        <v/>
      </c>
      <c r="G943" s="25" t="str">
        <f>IF(Receipts!$I946="","",Receipts!$I946)</f>
        <v/>
      </c>
      <c r="H943" s="25" t="str">
        <f>IF(Receipts!$H946="","",Receipts!$H946)</f>
        <v/>
      </c>
      <c r="I943" s="26" t="str">
        <f t="shared" ca="1" si="71"/>
        <v/>
      </c>
      <c r="J943" s="26" t="str">
        <f>IF($A943="","",COUNTIFS(tblReceipts[Item Name],$A943,tblReceipts[Expiry Date],"&lt;"&amp;$H943)+COUNTIFS(tblReceipts[Item Name],$A943,tblReceipts[Expiry Date],$H943,tblReceipts[Lot Number],"&lt;="&amp;Receipts!$C946))</f>
        <v/>
      </c>
      <c r="K943" s="26" t="str">
        <f>IF($A943="","",SUMIFS(tblReceipts[Qty Received],tblReceipts[Item Name],$A943,tblReceipts[Expiry Date],"&lt;"&amp;$H943)+SUMIFS(tblReceipts[Qty Received],tblReceipts[Item Name],$A943,tblReceipts[Expiry Date],$H943,tblReceipts[Lot Number],"&lt;"&amp;Receipts!$C946))</f>
        <v/>
      </c>
      <c r="L943" s="26" t="str">
        <f>IF($A943="","",MIN($D943,MAX(0,SUMIFS(tblIssues[Qty Issued],tblIssues[Item Name],$A943)-$K943)))</f>
        <v/>
      </c>
      <c r="M943" s="26" t="str">
        <f>IF($A943="","",SUMIFS(tblIssues[Qty Issued],tblIssues[Lot Number],$B943))</f>
        <v/>
      </c>
      <c r="N943" s="26" t="str">
        <f t="shared" si="72"/>
        <v/>
      </c>
      <c r="O943" s="26" t="str">
        <f t="shared" si="73"/>
        <v/>
      </c>
      <c r="P943" s="21" t="str">
        <f t="shared" si="74"/>
        <v/>
      </c>
      <c r="Q943" s="52" t="str">
        <f>IF($A943="","",IF($O943&lt;=0,"Depleted",IF($I943&lt;0,"EXPIRED",IF($I943&lt;=Settings!$C$6,"CRITICAL",IF($I943&lt;=Settings!$C$5,"Expiring","In date")))))</f>
        <v/>
      </c>
    </row>
    <row r="944" spans="1:17" x14ac:dyDescent="0.35">
      <c r="A944" s="90" t="str">
        <f>IF(Receipts!$D947="","",Receipts!$D947)</f>
        <v/>
      </c>
      <c r="B944" s="18" t="str">
        <f>IF(Receipts!$C947="","",Receipts!$C947)</f>
        <v/>
      </c>
      <c r="C944" s="18" t="str">
        <f>IF($A944="","",IFERROR(INDEX(Items!$B$5:$B$597,MATCH($A944,Items!$A$5:$A$597,0)),""))</f>
        <v/>
      </c>
      <c r="D944" s="23" t="str">
        <f>IF($A944="","",N(Receipts!$G947))</f>
        <v/>
      </c>
      <c r="E944" s="20" t="str">
        <f>IF($A944="","",IFERROR(INDEX(Items!$D$5:$D$597,MATCH($A944,Items!$A$5:$A$597,0)),0))</f>
        <v/>
      </c>
      <c r="F944" s="21" t="str">
        <f t="shared" si="70"/>
        <v/>
      </c>
      <c r="G944" s="25" t="str">
        <f>IF(Receipts!$I947="","",Receipts!$I947)</f>
        <v/>
      </c>
      <c r="H944" s="25" t="str">
        <f>IF(Receipts!$H947="","",Receipts!$H947)</f>
        <v/>
      </c>
      <c r="I944" s="26" t="str">
        <f t="shared" ca="1" si="71"/>
        <v/>
      </c>
      <c r="J944" s="26" t="str">
        <f>IF($A944="","",COUNTIFS(tblReceipts[Item Name],$A944,tblReceipts[Expiry Date],"&lt;"&amp;$H944)+COUNTIFS(tblReceipts[Item Name],$A944,tblReceipts[Expiry Date],$H944,tblReceipts[Lot Number],"&lt;="&amp;Receipts!$C947))</f>
        <v/>
      </c>
      <c r="K944" s="26" t="str">
        <f>IF($A944="","",SUMIFS(tblReceipts[Qty Received],tblReceipts[Item Name],$A944,tblReceipts[Expiry Date],"&lt;"&amp;$H944)+SUMIFS(tblReceipts[Qty Received],tblReceipts[Item Name],$A944,tblReceipts[Expiry Date],$H944,tblReceipts[Lot Number],"&lt;"&amp;Receipts!$C947))</f>
        <v/>
      </c>
      <c r="L944" s="26" t="str">
        <f>IF($A944="","",MIN($D944,MAX(0,SUMIFS(tblIssues[Qty Issued],tblIssues[Item Name],$A944)-$K944)))</f>
        <v/>
      </c>
      <c r="M944" s="26" t="str">
        <f>IF($A944="","",SUMIFS(tblIssues[Qty Issued],tblIssues[Lot Number],$B944))</f>
        <v/>
      </c>
      <c r="N944" s="26" t="str">
        <f t="shared" si="72"/>
        <v/>
      </c>
      <c r="O944" s="26" t="str">
        <f t="shared" si="73"/>
        <v/>
      </c>
      <c r="P944" s="21" t="str">
        <f t="shared" si="74"/>
        <v/>
      </c>
      <c r="Q944" s="52" t="str">
        <f>IF($A944="","",IF($O944&lt;=0,"Depleted",IF($I944&lt;0,"EXPIRED",IF($I944&lt;=Settings!$C$6,"CRITICAL",IF($I944&lt;=Settings!$C$5,"Expiring","In date")))))</f>
        <v/>
      </c>
    </row>
    <row r="945" spans="1:17" x14ac:dyDescent="0.35">
      <c r="A945" s="90" t="str">
        <f>IF(Receipts!$D948="","",Receipts!$D948)</f>
        <v/>
      </c>
      <c r="B945" s="18" t="str">
        <f>IF(Receipts!$C948="","",Receipts!$C948)</f>
        <v/>
      </c>
      <c r="C945" s="18" t="str">
        <f>IF($A945="","",IFERROR(INDEX(Items!$B$5:$B$597,MATCH($A945,Items!$A$5:$A$597,0)),""))</f>
        <v/>
      </c>
      <c r="D945" s="23" t="str">
        <f>IF($A945="","",N(Receipts!$G948))</f>
        <v/>
      </c>
      <c r="E945" s="20" t="str">
        <f>IF($A945="","",IFERROR(INDEX(Items!$D$5:$D$597,MATCH($A945,Items!$A$5:$A$597,0)),0))</f>
        <v/>
      </c>
      <c r="F945" s="21" t="str">
        <f t="shared" si="70"/>
        <v/>
      </c>
      <c r="G945" s="25" t="str">
        <f>IF(Receipts!$I948="","",Receipts!$I948)</f>
        <v/>
      </c>
      <c r="H945" s="25" t="str">
        <f>IF(Receipts!$H948="","",Receipts!$H948)</f>
        <v/>
      </c>
      <c r="I945" s="26" t="str">
        <f t="shared" ca="1" si="71"/>
        <v/>
      </c>
      <c r="J945" s="26" t="str">
        <f>IF($A945="","",COUNTIFS(tblReceipts[Item Name],$A945,tblReceipts[Expiry Date],"&lt;"&amp;$H945)+COUNTIFS(tblReceipts[Item Name],$A945,tblReceipts[Expiry Date],$H945,tblReceipts[Lot Number],"&lt;="&amp;Receipts!$C948))</f>
        <v/>
      </c>
      <c r="K945" s="26" t="str">
        <f>IF($A945="","",SUMIFS(tblReceipts[Qty Received],tblReceipts[Item Name],$A945,tblReceipts[Expiry Date],"&lt;"&amp;$H945)+SUMIFS(tblReceipts[Qty Received],tblReceipts[Item Name],$A945,tblReceipts[Expiry Date],$H945,tblReceipts[Lot Number],"&lt;"&amp;Receipts!$C948))</f>
        <v/>
      </c>
      <c r="L945" s="26" t="str">
        <f>IF($A945="","",MIN($D945,MAX(0,SUMIFS(tblIssues[Qty Issued],tblIssues[Item Name],$A945)-$K945)))</f>
        <v/>
      </c>
      <c r="M945" s="26" t="str">
        <f>IF($A945="","",SUMIFS(tblIssues[Qty Issued],tblIssues[Lot Number],$B945))</f>
        <v/>
      </c>
      <c r="N945" s="26" t="str">
        <f t="shared" si="72"/>
        <v/>
      </c>
      <c r="O945" s="26" t="str">
        <f t="shared" si="73"/>
        <v/>
      </c>
      <c r="P945" s="21" t="str">
        <f t="shared" si="74"/>
        <v/>
      </c>
      <c r="Q945" s="52" t="str">
        <f>IF($A945="","",IF($O945&lt;=0,"Depleted",IF($I945&lt;0,"EXPIRED",IF($I945&lt;=Settings!$C$6,"CRITICAL",IF($I945&lt;=Settings!$C$5,"Expiring","In date")))))</f>
        <v/>
      </c>
    </row>
    <row r="946" spans="1:17" x14ac:dyDescent="0.35">
      <c r="A946" s="90" t="str">
        <f>IF(Receipts!$D949="","",Receipts!$D949)</f>
        <v/>
      </c>
      <c r="B946" s="18" t="str">
        <f>IF(Receipts!$C949="","",Receipts!$C949)</f>
        <v/>
      </c>
      <c r="C946" s="18" t="str">
        <f>IF($A946="","",IFERROR(INDEX(Items!$B$5:$B$597,MATCH($A946,Items!$A$5:$A$597,0)),""))</f>
        <v/>
      </c>
      <c r="D946" s="23" t="str">
        <f>IF($A946="","",N(Receipts!$G949))</f>
        <v/>
      </c>
      <c r="E946" s="20" t="str">
        <f>IF($A946="","",IFERROR(INDEX(Items!$D$5:$D$597,MATCH($A946,Items!$A$5:$A$597,0)),0))</f>
        <v/>
      </c>
      <c r="F946" s="21" t="str">
        <f t="shared" si="70"/>
        <v/>
      </c>
      <c r="G946" s="25" t="str">
        <f>IF(Receipts!$I949="","",Receipts!$I949)</f>
        <v/>
      </c>
      <c r="H946" s="25" t="str">
        <f>IF(Receipts!$H949="","",Receipts!$H949)</f>
        <v/>
      </c>
      <c r="I946" s="26" t="str">
        <f t="shared" ca="1" si="71"/>
        <v/>
      </c>
      <c r="J946" s="26" t="str">
        <f>IF($A946="","",COUNTIFS(tblReceipts[Item Name],$A946,tblReceipts[Expiry Date],"&lt;"&amp;$H946)+COUNTIFS(tblReceipts[Item Name],$A946,tblReceipts[Expiry Date],$H946,tblReceipts[Lot Number],"&lt;="&amp;Receipts!$C949))</f>
        <v/>
      </c>
      <c r="K946" s="26" t="str">
        <f>IF($A946="","",SUMIFS(tblReceipts[Qty Received],tblReceipts[Item Name],$A946,tblReceipts[Expiry Date],"&lt;"&amp;$H946)+SUMIFS(tblReceipts[Qty Received],tblReceipts[Item Name],$A946,tblReceipts[Expiry Date],$H946,tblReceipts[Lot Number],"&lt;"&amp;Receipts!$C949))</f>
        <v/>
      </c>
      <c r="L946" s="26" t="str">
        <f>IF($A946="","",MIN($D946,MAX(0,SUMIFS(tblIssues[Qty Issued],tblIssues[Item Name],$A946)-$K946)))</f>
        <v/>
      </c>
      <c r="M946" s="26" t="str">
        <f>IF($A946="","",SUMIFS(tblIssues[Qty Issued],tblIssues[Lot Number],$B946))</f>
        <v/>
      </c>
      <c r="N946" s="26" t="str">
        <f t="shared" si="72"/>
        <v/>
      </c>
      <c r="O946" s="26" t="str">
        <f t="shared" si="73"/>
        <v/>
      </c>
      <c r="P946" s="21" t="str">
        <f t="shared" si="74"/>
        <v/>
      </c>
      <c r="Q946" s="52" t="str">
        <f>IF($A946="","",IF($O946&lt;=0,"Depleted",IF($I946&lt;0,"EXPIRED",IF($I946&lt;=Settings!$C$6,"CRITICAL",IF($I946&lt;=Settings!$C$5,"Expiring","In date")))))</f>
        <v/>
      </c>
    </row>
    <row r="947" spans="1:17" x14ac:dyDescent="0.35">
      <c r="A947" s="90" t="str">
        <f>IF(Receipts!$D950="","",Receipts!$D950)</f>
        <v/>
      </c>
      <c r="B947" s="18" t="str">
        <f>IF(Receipts!$C950="","",Receipts!$C950)</f>
        <v/>
      </c>
      <c r="C947" s="18" t="str">
        <f>IF($A947="","",IFERROR(INDEX(Items!$B$5:$B$597,MATCH($A947,Items!$A$5:$A$597,0)),""))</f>
        <v/>
      </c>
      <c r="D947" s="23" t="str">
        <f>IF($A947="","",N(Receipts!$G950))</f>
        <v/>
      </c>
      <c r="E947" s="20" t="str">
        <f>IF($A947="","",IFERROR(INDEX(Items!$D$5:$D$597,MATCH($A947,Items!$A$5:$A$597,0)),0))</f>
        <v/>
      </c>
      <c r="F947" s="21" t="str">
        <f t="shared" si="70"/>
        <v/>
      </c>
      <c r="G947" s="25" t="str">
        <f>IF(Receipts!$I950="","",Receipts!$I950)</f>
        <v/>
      </c>
      <c r="H947" s="25" t="str">
        <f>IF(Receipts!$H950="","",Receipts!$H950)</f>
        <v/>
      </c>
      <c r="I947" s="26" t="str">
        <f t="shared" ca="1" si="71"/>
        <v/>
      </c>
      <c r="J947" s="26" t="str">
        <f>IF($A947="","",COUNTIFS(tblReceipts[Item Name],$A947,tblReceipts[Expiry Date],"&lt;"&amp;$H947)+COUNTIFS(tblReceipts[Item Name],$A947,tblReceipts[Expiry Date],$H947,tblReceipts[Lot Number],"&lt;="&amp;Receipts!$C950))</f>
        <v/>
      </c>
      <c r="K947" s="26" t="str">
        <f>IF($A947="","",SUMIFS(tblReceipts[Qty Received],tblReceipts[Item Name],$A947,tblReceipts[Expiry Date],"&lt;"&amp;$H947)+SUMIFS(tblReceipts[Qty Received],tblReceipts[Item Name],$A947,tblReceipts[Expiry Date],$H947,tblReceipts[Lot Number],"&lt;"&amp;Receipts!$C950))</f>
        <v/>
      </c>
      <c r="L947" s="26" t="str">
        <f>IF($A947="","",MIN($D947,MAX(0,SUMIFS(tblIssues[Qty Issued],tblIssues[Item Name],$A947)-$K947)))</f>
        <v/>
      </c>
      <c r="M947" s="26" t="str">
        <f>IF($A947="","",SUMIFS(tblIssues[Qty Issued],tblIssues[Lot Number],$B947))</f>
        <v/>
      </c>
      <c r="N947" s="26" t="str">
        <f t="shared" si="72"/>
        <v/>
      </c>
      <c r="O947" s="26" t="str">
        <f t="shared" si="73"/>
        <v/>
      </c>
      <c r="P947" s="21" t="str">
        <f t="shared" si="74"/>
        <v/>
      </c>
      <c r="Q947" s="52" t="str">
        <f>IF($A947="","",IF($O947&lt;=0,"Depleted",IF($I947&lt;0,"EXPIRED",IF($I947&lt;=Settings!$C$6,"CRITICAL",IF($I947&lt;=Settings!$C$5,"Expiring","In date")))))</f>
        <v/>
      </c>
    </row>
    <row r="948" spans="1:17" x14ac:dyDescent="0.35">
      <c r="A948" s="90" t="str">
        <f>IF(Receipts!$D951="","",Receipts!$D951)</f>
        <v/>
      </c>
      <c r="B948" s="18" t="str">
        <f>IF(Receipts!$C951="","",Receipts!$C951)</f>
        <v/>
      </c>
      <c r="C948" s="18" t="str">
        <f>IF($A948="","",IFERROR(INDEX(Items!$B$5:$B$597,MATCH($A948,Items!$A$5:$A$597,0)),""))</f>
        <v/>
      </c>
      <c r="D948" s="23" t="str">
        <f>IF($A948="","",N(Receipts!$G951))</f>
        <v/>
      </c>
      <c r="E948" s="20" t="str">
        <f>IF($A948="","",IFERROR(INDEX(Items!$D$5:$D$597,MATCH($A948,Items!$A$5:$A$597,0)),0))</f>
        <v/>
      </c>
      <c r="F948" s="21" t="str">
        <f t="shared" si="70"/>
        <v/>
      </c>
      <c r="G948" s="25" t="str">
        <f>IF(Receipts!$I951="","",Receipts!$I951)</f>
        <v/>
      </c>
      <c r="H948" s="25" t="str">
        <f>IF(Receipts!$H951="","",Receipts!$H951)</f>
        <v/>
      </c>
      <c r="I948" s="26" t="str">
        <f t="shared" ca="1" si="71"/>
        <v/>
      </c>
      <c r="J948" s="26" t="str">
        <f>IF($A948="","",COUNTIFS(tblReceipts[Item Name],$A948,tblReceipts[Expiry Date],"&lt;"&amp;$H948)+COUNTIFS(tblReceipts[Item Name],$A948,tblReceipts[Expiry Date],$H948,tblReceipts[Lot Number],"&lt;="&amp;Receipts!$C951))</f>
        <v/>
      </c>
      <c r="K948" s="26" t="str">
        <f>IF($A948="","",SUMIFS(tblReceipts[Qty Received],tblReceipts[Item Name],$A948,tblReceipts[Expiry Date],"&lt;"&amp;$H948)+SUMIFS(tblReceipts[Qty Received],tblReceipts[Item Name],$A948,tblReceipts[Expiry Date],$H948,tblReceipts[Lot Number],"&lt;"&amp;Receipts!$C951))</f>
        <v/>
      </c>
      <c r="L948" s="26" t="str">
        <f>IF($A948="","",MIN($D948,MAX(0,SUMIFS(tblIssues[Qty Issued],tblIssues[Item Name],$A948)-$K948)))</f>
        <v/>
      </c>
      <c r="M948" s="26" t="str">
        <f>IF($A948="","",SUMIFS(tblIssues[Qty Issued],tblIssues[Lot Number],$B948))</f>
        <v/>
      </c>
      <c r="N948" s="26" t="str">
        <f t="shared" si="72"/>
        <v/>
      </c>
      <c r="O948" s="26" t="str">
        <f t="shared" si="73"/>
        <v/>
      </c>
      <c r="P948" s="21" t="str">
        <f t="shared" si="74"/>
        <v/>
      </c>
      <c r="Q948" s="52" t="str">
        <f>IF($A948="","",IF($O948&lt;=0,"Depleted",IF($I948&lt;0,"EXPIRED",IF($I948&lt;=Settings!$C$6,"CRITICAL",IF($I948&lt;=Settings!$C$5,"Expiring","In date")))))</f>
        <v/>
      </c>
    </row>
    <row r="949" spans="1:17" x14ac:dyDescent="0.35">
      <c r="A949" s="90" t="str">
        <f>IF(Receipts!$D952="","",Receipts!$D952)</f>
        <v/>
      </c>
      <c r="B949" s="18" t="str">
        <f>IF(Receipts!$C952="","",Receipts!$C952)</f>
        <v/>
      </c>
      <c r="C949" s="18" t="str">
        <f>IF($A949="","",IFERROR(INDEX(Items!$B$5:$B$597,MATCH($A949,Items!$A$5:$A$597,0)),""))</f>
        <v/>
      </c>
      <c r="D949" s="23" t="str">
        <f>IF($A949="","",N(Receipts!$G952))</f>
        <v/>
      </c>
      <c r="E949" s="20" t="str">
        <f>IF($A949="","",IFERROR(INDEX(Items!$D$5:$D$597,MATCH($A949,Items!$A$5:$A$597,0)),0))</f>
        <v/>
      </c>
      <c r="F949" s="21" t="str">
        <f t="shared" si="70"/>
        <v/>
      </c>
      <c r="G949" s="25" t="str">
        <f>IF(Receipts!$I952="","",Receipts!$I952)</f>
        <v/>
      </c>
      <c r="H949" s="25" t="str">
        <f>IF(Receipts!$H952="","",Receipts!$H952)</f>
        <v/>
      </c>
      <c r="I949" s="26" t="str">
        <f t="shared" ca="1" si="71"/>
        <v/>
      </c>
      <c r="J949" s="26" t="str">
        <f>IF($A949="","",COUNTIFS(tblReceipts[Item Name],$A949,tblReceipts[Expiry Date],"&lt;"&amp;$H949)+COUNTIFS(tblReceipts[Item Name],$A949,tblReceipts[Expiry Date],$H949,tblReceipts[Lot Number],"&lt;="&amp;Receipts!$C952))</f>
        <v/>
      </c>
      <c r="K949" s="26" t="str">
        <f>IF($A949="","",SUMIFS(tblReceipts[Qty Received],tblReceipts[Item Name],$A949,tblReceipts[Expiry Date],"&lt;"&amp;$H949)+SUMIFS(tblReceipts[Qty Received],tblReceipts[Item Name],$A949,tblReceipts[Expiry Date],$H949,tblReceipts[Lot Number],"&lt;"&amp;Receipts!$C952))</f>
        <v/>
      </c>
      <c r="L949" s="26" t="str">
        <f>IF($A949="","",MIN($D949,MAX(0,SUMIFS(tblIssues[Qty Issued],tblIssues[Item Name],$A949)-$K949)))</f>
        <v/>
      </c>
      <c r="M949" s="26" t="str">
        <f>IF($A949="","",SUMIFS(tblIssues[Qty Issued],tblIssues[Lot Number],$B949))</f>
        <v/>
      </c>
      <c r="N949" s="26" t="str">
        <f t="shared" si="72"/>
        <v/>
      </c>
      <c r="O949" s="26" t="str">
        <f t="shared" si="73"/>
        <v/>
      </c>
      <c r="P949" s="21" t="str">
        <f t="shared" si="74"/>
        <v/>
      </c>
      <c r="Q949" s="52" t="str">
        <f>IF($A949="","",IF($O949&lt;=0,"Depleted",IF($I949&lt;0,"EXPIRED",IF($I949&lt;=Settings!$C$6,"CRITICAL",IF($I949&lt;=Settings!$C$5,"Expiring","In date")))))</f>
        <v/>
      </c>
    </row>
    <row r="950" spans="1:17" x14ac:dyDescent="0.35">
      <c r="A950" s="90" t="str">
        <f>IF(Receipts!$D953="","",Receipts!$D953)</f>
        <v/>
      </c>
      <c r="B950" s="18" t="str">
        <f>IF(Receipts!$C953="","",Receipts!$C953)</f>
        <v/>
      </c>
      <c r="C950" s="18" t="str">
        <f>IF($A950="","",IFERROR(INDEX(Items!$B$5:$B$597,MATCH($A950,Items!$A$5:$A$597,0)),""))</f>
        <v/>
      </c>
      <c r="D950" s="23" t="str">
        <f>IF($A950="","",N(Receipts!$G953))</f>
        <v/>
      </c>
      <c r="E950" s="20" t="str">
        <f>IF($A950="","",IFERROR(INDEX(Items!$D$5:$D$597,MATCH($A950,Items!$A$5:$A$597,0)),0))</f>
        <v/>
      </c>
      <c r="F950" s="21" t="str">
        <f t="shared" si="70"/>
        <v/>
      </c>
      <c r="G950" s="25" t="str">
        <f>IF(Receipts!$I953="","",Receipts!$I953)</f>
        <v/>
      </c>
      <c r="H950" s="25" t="str">
        <f>IF(Receipts!$H953="","",Receipts!$H953)</f>
        <v/>
      </c>
      <c r="I950" s="26" t="str">
        <f t="shared" ca="1" si="71"/>
        <v/>
      </c>
      <c r="J950" s="26" t="str">
        <f>IF($A950="","",COUNTIFS(tblReceipts[Item Name],$A950,tblReceipts[Expiry Date],"&lt;"&amp;$H950)+COUNTIFS(tblReceipts[Item Name],$A950,tblReceipts[Expiry Date],$H950,tblReceipts[Lot Number],"&lt;="&amp;Receipts!$C953))</f>
        <v/>
      </c>
      <c r="K950" s="26" t="str">
        <f>IF($A950="","",SUMIFS(tblReceipts[Qty Received],tblReceipts[Item Name],$A950,tblReceipts[Expiry Date],"&lt;"&amp;$H950)+SUMIFS(tblReceipts[Qty Received],tblReceipts[Item Name],$A950,tblReceipts[Expiry Date],$H950,tblReceipts[Lot Number],"&lt;"&amp;Receipts!$C953))</f>
        <v/>
      </c>
      <c r="L950" s="26" t="str">
        <f>IF($A950="","",MIN($D950,MAX(0,SUMIFS(tblIssues[Qty Issued],tblIssues[Item Name],$A950)-$K950)))</f>
        <v/>
      </c>
      <c r="M950" s="26" t="str">
        <f>IF($A950="","",SUMIFS(tblIssues[Qty Issued],tblIssues[Lot Number],$B950))</f>
        <v/>
      </c>
      <c r="N950" s="26" t="str">
        <f t="shared" si="72"/>
        <v/>
      </c>
      <c r="O950" s="26" t="str">
        <f t="shared" si="73"/>
        <v/>
      </c>
      <c r="P950" s="21" t="str">
        <f t="shared" si="74"/>
        <v/>
      </c>
      <c r="Q950" s="52" t="str">
        <f>IF($A950="","",IF($O950&lt;=0,"Depleted",IF($I950&lt;0,"EXPIRED",IF($I950&lt;=Settings!$C$6,"CRITICAL",IF($I950&lt;=Settings!$C$5,"Expiring","In date")))))</f>
        <v/>
      </c>
    </row>
    <row r="951" spans="1:17" x14ac:dyDescent="0.35">
      <c r="A951" s="90" t="str">
        <f>IF(Receipts!$D954="","",Receipts!$D954)</f>
        <v/>
      </c>
      <c r="B951" s="18" t="str">
        <f>IF(Receipts!$C954="","",Receipts!$C954)</f>
        <v/>
      </c>
      <c r="C951" s="18" t="str">
        <f>IF($A951="","",IFERROR(INDEX(Items!$B$5:$B$597,MATCH($A951,Items!$A$5:$A$597,0)),""))</f>
        <v/>
      </c>
      <c r="D951" s="23" t="str">
        <f>IF($A951="","",N(Receipts!$G954))</f>
        <v/>
      </c>
      <c r="E951" s="20" t="str">
        <f>IF($A951="","",IFERROR(INDEX(Items!$D$5:$D$597,MATCH($A951,Items!$A$5:$A$597,0)),0))</f>
        <v/>
      </c>
      <c r="F951" s="21" t="str">
        <f t="shared" si="70"/>
        <v/>
      </c>
      <c r="G951" s="25" t="str">
        <f>IF(Receipts!$I954="","",Receipts!$I954)</f>
        <v/>
      </c>
      <c r="H951" s="25" t="str">
        <f>IF(Receipts!$H954="","",Receipts!$H954)</f>
        <v/>
      </c>
      <c r="I951" s="26" t="str">
        <f t="shared" ca="1" si="71"/>
        <v/>
      </c>
      <c r="J951" s="26" t="str">
        <f>IF($A951="","",COUNTIFS(tblReceipts[Item Name],$A951,tblReceipts[Expiry Date],"&lt;"&amp;$H951)+COUNTIFS(tblReceipts[Item Name],$A951,tblReceipts[Expiry Date],$H951,tblReceipts[Lot Number],"&lt;="&amp;Receipts!$C954))</f>
        <v/>
      </c>
      <c r="K951" s="26" t="str">
        <f>IF($A951="","",SUMIFS(tblReceipts[Qty Received],tblReceipts[Item Name],$A951,tblReceipts[Expiry Date],"&lt;"&amp;$H951)+SUMIFS(tblReceipts[Qty Received],tblReceipts[Item Name],$A951,tblReceipts[Expiry Date],$H951,tblReceipts[Lot Number],"&lt;"&amp;Receipts!$C954))</f>
        <v/>
      </c>
      <c r="L951" s="26" t="str">
        <f>IF($A951="","",MIN($D951,MAX(0,SUMIFS(tblIssues[Qty Issued],tblIssues[Item Name],$A951)-$K951)))</f>
        <v/>
      </c>
      <c r="M951" s="26" t="str">
        <f>IF($A951="","",SUMIFS(tblIssues[Qty Issued],tblIssues[Lot Number],$B951))</f>
        <v/>
      </c>
      <c r="N951" s="26" t="str">
        <f t="shared" si="72"/>
        <v/>
      </c>
      <c r="O951" s="26" t="str">
        <f t="shared" si="73"/>
        <v/>
      </c>
      <c r="P951" s="21" t="str">
        <f t="shared" si="74"/>
        <v/>
      </c>
      <c r="Q951" s="52" t="str">
        <f>IF($A951="","",IF($O951&lt;=0,"Depleted",IF($I951&lt;0,"EXPIRED",IF($I951&lt;=Settings!$C$6,"CRITICAL",IF($I951&lt;=Settings!$C$5,"Expiring","In date")))))</f>
        <v/>
      </c>
    </row>
    <row r="952" spans="1:17" x14ac:dyDescent="0.35">
      <c r="A952" s="90" t="str">
        <f>IF(Receipts!$D955="","",Receipts!$D955)</f>
        <v/>
      </c>
      <c r="B952" s="18" t="str">
        <f>IF(Receipts!$C955="","",Receipts!$C955)</f>
        <v/>
      </c>
      <c r="C952" s="18" t="str">
        <f>IF($A952="","",IFERROR(INDEX(Items!$B$5:$B$597,MATCH($A952,Items!$A$5:$A$597,0)),""))</f>
        <v/>
      </c>
      <c r="D952" s="23" t="str">
        <f>IF($A952="","",N(Receipts!$G955))</f>
        <v/>
      </c>
      <c r="E952" s="20" t="str">
        <f>IF($A952="","",IFERROR(INDEX(Items!$D$5:$D$597,MATCH($A952,Items!$A$5:$A$597,0)),0))</f>
        <v/>
      </c>
      <c r="F952" s="21" t="str">
        <f t="shared" si="70"/>
        <v/>
      </c>
      <c r="G952" s="25" t="str">
        <f>IF(Receipts!$I955="","",Receipts!$I955)</f>
        <v/>
      </c>
      <c r="H952" s="25" t="str">
        <f>IF(Receipts!$H955="","",Receipts!$H955)</f>
        <v/>
      </c>
      <c r="I952" s="26" t="str">
        <f t="shared" ca="1" si="71"/>
        <v/>
      </c>
      <c r="J952" s="26" t="str">
        <f>IF($A952="","",COUNTIFS(tblReceipts[Item Name],$A952,tblReceipts[Expiry Date],"&lt;"&amp;$H952)+COUNTIFS(tblReceipts[Item Name],$A952,tblReceipts[Expiry Date],$H952,tblReceipts[Lot Number],"&lt;="&amp;Receipts!$C955))</f>
        <v/>
      </c>
      <c r="K952" s="26" t="str">
        <f>IF($A952="","",SUMIFS(tblReceipts[Qty Received],tblReceipts[Item Name],$A952,tblReceipts[Expiry Date],"&lt;"&amp;$H952)+SUMIFS(tblReceipts[Qty Received],tblReceipts[Item Name],$A952,tblReceipts[Expiry Date],$H952,tblReceipts[Lot Number],"&lt;"&amp;Receipts!$C955))</f>
        <v/>
      </c>
      <c r="L952" s="26" t="str">
        <f>IF($A952="","",MIN($D952,MAX(0,SUMIFS(tblIssues[Qty Issued],tblIssues[Item Name],$A952)-$K952)))</f>
        <v/>
      </c>
      <c r="M952" s="26" t="str">
        <f>IF($A952="","",SUMIFS(tblIssues[Qty Issued],tblIssues[Lot Number],$B952))</f>
        <v/>
      </c>
      <c r="N952" s="26" t="str">
        <f t="shared" si="72"/>
        <v/>
      </c>
      <c r="O952" s="26" t="str">
        <f t="shared" si="73"/>
        <v/>
      </c>
      <c r="P952" s="21" t="str">
        <f t="shared" si="74"/>
        <v/>
      </c>
      <c r="Q952" s="52" t="str">
        <f>IF($A952="","",IF($O952&lt;=0,"Depleted",IF($I952&lt;0,"EXPIRED",IF($I952&lt;=Settings!$C$6,"CRITICAL",IF($I952&lt;=Settings!$C$5,"Expiring","In date")))))</f>
        <v/>
      </c>
    </row>
    <row r="953" spans="1:17" x14ac:dyDescent="0.35">
      <c r="A953" s="90" t="str">
        <f>IF(Receipts!$D956="","",Receipts!$D956)</f>
        <v/>
      </c>
      <c r="B953" s="18" t="str">
        <f>IF(Receipts!$C956="","",Receipts!$C956)</f>
        <v/>
      </c>
      <c r="C953" s="18" t="str">
        <f>IF($A953="","",IFERROR(INDEX(Items!$B$5:$B$597,MATCH($A953,Items!$A$5:$A$597,0)),""))</f>
        <v/>
      </c>
      <c r="D953" s="23" t="str">
        <f>IF($A953="","",N(Receipts!$G956))</f>
        <v/>
      </c>
      <c r="E953" s="20" t="str">
        <f>IF($A953="","",IFERROR(INDEX(Items!$D$5:$D$597,MATCH($A953,Items!$A$5:$A$597,0)),0))</f>
        <v/>
      </c>
      <c r="F953" s="21" t="str">
        <f t="shared" si="70"/>
        <v/>
      </c>
      <c r="G953" s="25" t="str">
        <f>IF(Receipts!$I956="","",Receipts!$I956)</f>
        <v/>
      </c>
      <c r="H953" s="25" t="str">
        <f>IF(Receipts!$H956="","",Receipts!$H956)</f>
        <v/>
      </c>
      <c r="I953" s="26" t="str">
        <f t="shared" ca="1" si="71"/>
        <v/>
      </c>
      <c r="J953" s="26" t="str">
        <f>IF($A953="","",COUNTIFS(tblReceipts[Item Name],$A953,tblReceipts[Expiry Date],"&lt;"&amp;$H953)+COUNTIFS(tblReceipts[Item Name],$A953,tblReceipts[Expiry Date],$H953,tblReceipts[Lot Number],"&lt;="&amp;Receipts!$C956))</f>
        <v/>
      </c>
      <c r="K953" s="26" t="str">
        <f>IF($A953="","",SUMIFS(tblReceipts[Qty Received],tblReceipts[Item Name],$A953,tblReceipts[Expiry Date],"&lt;"&amp;$H953)+SUMIFS(tblReceipts[Qty Received],tblReceipts[Item Name],$A953,tblReceipts[Expiry Date],$H953,tblReceipts[Lot Number],"&lt;"&amp;Receipts!$C956))</f>
        <v/>
      </c>
      <c r="L953" s="26" t="str">
        <f>IF($A953="","",MIN($D953,MAX(0,SUMIFS(tblIssues[Qty Issued],tblIssues[Item Name],$A953)-$K953)))</f>
        <v/>
      </c>
      <c r="M953" s="26" t="str">
        <f>IF($A953="","",SUMIFS(tblIssues[Qty Issued],tblIssues[Lot Number],$B953))</f>
        <v/>
      </c>
      <c r="N953" s="26" t="str">
        <f t="shared" si="72"/>
        <v/>
      </c>
      <c r="O953" s="26" t="str">
        <f t="shared" si="73"/>
        <v/>
      </c>
      <c r="P953" s="21" t="str">
        <f t="shared" si="74"/>
        <v/>
      </c>
      <c r="Q953" s="52" t="str">
        <f>IF($A953="","",IF($O953&lt;=0,"Depleted",IF($I953&lt;0,"EXPIRED",IF($I953&lt;=Settings!$C$6,"CRITICAL",IF($I953&lt;=Settings!$C$5,"Expiring","In date")))))</f>
        <v/>
      </c>
    </row>
    <row r="954" spans="1:17" x14ac:dyDescent="0.35">
      <c r="A954" s="90" t="str">
        <f>IF(Receipts!$D957="","",Receipts!$D957)</f>
        <v/>
      </c>
      <c r="B954" s="18" t="str">
        <f>IF(Receipts!$C957="","",Receipts!$C957)</f>
        <v/>
      </c>
      <c r="C954" s="18" t="str">
        <f>IF($A954="","",IFERROR(INDEX(Items!$B$5:$B$597,MATCH($A954,Items!$A$5:$A$597,0)),""))</f>
        <v/>
      </c>
      <c r="D954" s="23" t="str">
        <f>IF($A954="","",N(Receipts!$G957))</f>
        <v/>
      </c>
      <c r="E954" s="20" t="str">
        <f>IF($A954="","",IFERROR(INDEX(Items!$D$5:$D$597,MATCH($A954,Items!$A$5:$A$597,0)),0))</f>
        <v/>
      </c>
      <c r="F954" s="21" t="str">
        <f t="shared" si="70"/>
        <v/>
      </c>
      <c r="G954" s="25" t="str">
        <f>IF(Receipts!$I957="","",Receipts!$I957)</f>
        <v/>
      </c>
      <c r="H954" s="25" t="str">
        <f>IF(Receipts!$H957="","",Receipts!$H957)</f>
        <v/>
      </c>
      <c r="I954" s="26" t="str">
        <f t="shared" ca="1" si="71"/>
        <v/>
      </c>
      <c r="J954" s="26" t="str">
        <f>IF($A954="","",COUNTIFS(tblReceipts[Item Name],$A954,tblReceipts[Expiry Date],"&lt;"&amp;$H954)+COUNTIFS(tblReceipts[Item Name],$A954,tblReceipts[Expiry Date],$H954,tblReceipts[Lot Number],"&lt;="&amp;Receipts!$C957))</f>
        <v/>
      </c>
      <c r="K954" s="26" t="str">
        <f>IF($A954="","",SUMIFS(tblReceipts[Qty Received],tblReceipts[Item Name],$A954,tblReceipts[Expiry Date],"&lt;"&amp;$H954)+SUMIFS(tblReceipts[Qty Received],tblReceipts[Item Name],$A954,tblReceipts[Expiry Date],$H954,tblReceipts[Lot Number],"&lt;"&amp;Receipts!$C957))</f>
        <v/>
      </c>
      <c r="L954" s="26" t="str">
        <f>IF($A954="","",MIN($D954,MAX(0,SUMIFS(tblIssues[Qty Issued],tblIssues[Item Name],$A954)-$K954)))</f>
        <v/>
      </c>
      <c r="M954" s="26" t="str">
        <f>IF($A954="","",SUMIFS(tblIssues[Qty Issued],tblIssues[Lot Number],$B954))</f>
        <v/>
      </c>
      <c r="N954" s="26" t="str">
        <f t="shared" si="72"/>
        <v/>
      </c>
      <c r="O954" s="26" t="str">
        <f t="shared" si="73"/>
        <v/>
      </c>
      <c r="P954" s="21" t="str">
        <f t="shared" si="74"/>
        <v/>
      </c>
      <c r="Q954" s="52" t="str">
        <f>IF($A954="","",IF($O954&lt;=0,"Depleted",IF($I954&lt;0,"EXPIRED",IF($I954&lt;=Settings!$C$6,"CRITICAL",IF($I954&lt;=Settings!$C$5,"Expiring","In date")))))</f>
        <v/>
      </c>
    </row>
    <row r="955" spans="1:17" x14ac:dyDescent="0.35">
      <c r="A955" s="90" t="str">
        <f>IF(Receipts!$D958="","",Receipts!$D958)</f>
        <v/>
      </c>
      <c r="B955" s="18" t="str">
        <f>IF(Receipts!$C958="","",Receipts!$C958)</f>
        <v/>
      </c>
      <c r="C955" s="18" t="str">
        <f>IF($A955="","",IFERROR(INDEX(Items!$B$5:$B$597,MATCH($A955,Items!$A$5:$A$597,0)),""))</f>
        <v/>
      </c>
      <c r="D955" s="23" t="str">
        <f>IF($A955="","",N(Receipts!$G958))</f>
        <v/>
      </c>
      <c r="E955" s="20" t="str">
        <f>IF($A955="","",IFERROR(INDEX(Items!$D$5:$D$597,MATCH($A955,Items!$A$5:$A$597,0)),0))</f>
        <v/>
      </c>
      <c r="F955" s="21" t="str">
        <f t="shared" si="70"/>
        <v/>
      </c>
      <c r="G955" s="25" t="str">
        <f>IF(Receipts!$I958="","",Receipts!$I958)</f>
        <v/>
      </c>
      <c r="H955" s="25" t="str">
        <f>IF(Receipts!$H958="","",Receipts!$H958)</f>
        <v/>
      </c>
      <c r="I955" s="26" t="str">
        <f t="shared" ca="1" si="71"/>
        <v/>
      </c>
      <c r="J955" s="26" t="str">
        <f>IF($A955="","",COUNTIFS(tblReceipts[Item Name],$A955,tblReceipts[Expiry Date],"&lt;"&amp;$H955)+COUNTIFS(tblReceipts[Item Name],$A955,tblReceipts[Expiry Date],$H955,tblReceipts[Lot Number],"&lt;="&amp;Receipts!$C958))</f>
        <v/>
      </c>
      <c r="K955" s="26" t="str">
        <f>IF($A955="","",SUMIFS(tblReceipts[Qty Received],tblReceipts[Item Name],$A955,tblReceipts[Expiry Date],"&lt;"&amp;$H955)+SUMIFS(tblReceipts[Qty Received],tblReceipts[Item Name],$A955,tblReceipts[Expiry Date],$H955,tblReceipts[Lot Number],"&lt;"&amp;Receipts!$C958))</f>
        <v/>
      </c>
      <c r="L955" s="26" t="str">
        <f>IF($A955="","",MIN($D955,MAX(0,SUMIFS(tblIssues[Qty Issued],tblIssues[Item Name],$A955)-$K955)))</f>
        <v/>
      </c>
      <c r="M955" s="26" t="str">
        <f>IF($A955="","",SUMIFS(tblIssues[Qty Issued],tblIssues[Lot Number],$B955))</f>
        <v/>
      </c>
      <c r="N955" s="26" t="str">
        <f t="shared" si="72"/>
        <v/>
      </c>
      <c r="O955" s="26" t="str">
        <f t="shared" si="73"/>
        <v/>
      </c>
      <c r="P955" s="21" t="str">
        <f t="shared" si="74"/>
        <v/>
      </c>
      <c r="Q955" s="52" t="str">
        <f>IF($A955="","",IF($O955&lt;=0,"Depleted",IF($I955&lt;0,"EXPIRED",IF($I955&lt;=Settings!$C$6,"CRITICAL",IF($I955&lt;=Settings!$C$5,"Expiring","In date")))))</f>
        <v/>
      </c>
    </row>
    <row r="956" spans="1:17" x14ac:dyDescent="0.35">
      <c r="A956" s="90" t="str">
        <f>IF(Receipts!$D959="","",Receipts!$D959)</f>
        <v/>
      </c>
      <c r="B956" s="18" t="str">
        <f>IF(Receipts!$C959="","",Receipts!$C959)</f>
        <v/>
      </c>
      <c r="C956" s="18" t="str">
        <f>IF($A956="","",IFERROR(INDEX(Items!$B$5:$B$597,MATCH($A956,Items!$A$5:$A$597,0)),""))</f>
        <v/>
      </c>
      <c r="D956" s="23" t="str">
        <f>IF($A956="","",N(Receipts!$G959))</f>
        <v/>
      </c>
      <c r="E956" s="20" t="str">
        <f>IF($A956="","",IFERROR(INDEX(Items!$D$5:$D$597,MATCH($A956,Items!$A$5:$A$597,0)),0))</f>
        <v/>
      </c>
      <c r="F956" s="21" t="str">
        <f t="shared" si="70"/>
        <v/>
      </c>
      <c r="G956" s="25" t="str">
        <f>IF(Receipts!$I959="","",Receipts!$I959)</f>
        <v/>
      </c>
      <c r="H956" s="25" t="str">
        <f>IF(Receipts!$H959="","",Receipts!$H959)</f>
        <v/>
      </c>
      <c r="I956" s="26" t="str">
        <f t="shared" ca="1" si="71"/>
        <v/>
      </c>
      <c r="J956" s="26" t="str">
        <f>IF($A956="","",COUNTIFS(tblReceipts[Item Name],$A956,tblReceipts[Expiry Date],"&lt;"&amp;$H956)+COUNTIFS(tblReceipts[Item Name],$A956,tblReceipts[Expiry Date],$H956,tblReceipts[Lot Number],"&lt;="&amp;Receipts!$C959))</f>
        <v/>
      </c>
      <c r="K956" s="26" t="str">
        <f>IF($A956="","",SUMIFS(tblReceipts[Qty Received],tblReceipts[Item Name],$A956,tblReceipts[Expiry Date],"&lt;"&amp;$H956)+SUMIFS(tblReceipts[Qty Received],tblReceipts[Item Name],$A956,tblReceipts[Expiry Date],$H956,tblReceipts[Lot Number],"&lt;"&amp;Receipts!$C959))</f>
        <v/>
      </c>
      <c r="L956" s="26" t="str">
        <f>IF($A956="","",MIN($D956,MAX(0,SUMIFS(tblIssues[Qty Issued],tblIssues[Item Name],$A956)-$K956)))</f>
        <v/>
      </c>
      <c r="M956" s="26" t="str">
        <f>IF($A956="","",SUMIFS(tblIssues[Qty Issued],tblIssues[Lot Number],$B956))</f>
        <v/>
      </c>
      <c r="N956" s="26" t="str">
        <f t="shared" si="72"/>
        <v/>
      </c>
      <c r="O956" s="26" t="str">
        <f t="shared" si="73"/>
        <v/>
      </c>
      <c r="P956" s="21" t="str">
        <f t="shared" si="74"/>
        <v/>
      </c>
      <c r="Q956" s="52" t="str">
        <f>IF($A956="","",IF($O956&lt;=0,"Depleted",IF($I956&lt;0,"EXPIRED",IF($I956&lt;=Settings!$C$6,"CRITICAL",IF($I956&lt;=Settings!$C$5,"Expiring","In date")))))</f>
        <v/>
      </c>
    </row>
    <row r="957" spans="1:17" x14ac:dyDescent="0.35">
      <c r="A957" s="90" t="str">
        <f>IF(Receipts!$D960="","",Receipts!$D960)</f>
        <v/>
      </c>
      <c r="B957" s="18" t="str">
        <f>IF(Receipts!$C960="","",Receipts!$C960)</f>
        <v/>
      </c>
      <c r="C957" s="18" t="str">
        <f>IF($A957="","",IFERROR(INDEX(Items!$B$5:$B$597,MATCH($A957,Items!$A$5:$A$597,0)),""))</f>
        <v/>
      </c>
      <c r="D957" s="23" t="str">
        <f>IF($A957="","",N(Receipts!$G960))</f>
        <v/>
      </c>
      <c r="E957" s="20" t="str">
        <f>IF($A957="","",IFERROR(INDEX(Items!$D$5:$D$597,MATCH($A957,Items!$A$5:$A$597,0)),0))</f>
        <v/>
      </c>
      <c r="F957" s="21" t="str">
        <f t="shared" si="70"/>
        <v/>
      </c>
      <c r="G957" s="25" t="str">
        <f>IF(Receipts!$I960="","",Receipts!$I960)</f>
        <v/>
      </c>
      <c r="H957" s="25" t="str">
        <f>IF(Receipts!$H960="","",Receipts!$H960)</f>
        <v/>
      </c>
      <c r="I957" s="26" t="str">
        <f t="shared" ca="1" si="71"/>
        <v/>
      </c>
      <c r="J957" s="26" t="str">
        <f>IF($A957="","",COUNTIFS(tblReceipts[Item Name],$A957,tblReceipts[Expiry Date],"&lt;"&amp;$H957)+COUNTIFS(tblReceipts[Item Name],$A957,tblReceipts[Expiry Date],$H957,tblReceipts[Lot Number],"&lt;="&amp;Receipts!$C960))</f>
        <v/>
      </c>
      <c r="K957" s="26" t="str">
        <f>IF($A957="","",SUMIFS(tblReceipts[Qty Received],tblReceipts[Item Name],$A957,tblReceipts[Expiry Date],"&lt;"&amp;$H957)+SUMIFS(tblReceipts[Qty Received],tblReceipts[Item Name],$A957,tblReceipts[Expiry Date],$H957,tblReceipts[Lot Number],"&lt;"&amp;Receipts!$C960))</f>
        <v/>
      </c>
      <c r="L957" s="26" t="str">
        <f>IF($A957="","",MIN($D957,MAX(0,SUMIFS(tblIssues[Qty Issued],tblIssues[Item Name],$A957)-$K957)))</f>
        <v/>
      </c>
      <c r="M957" s="26" t="str">
        <f>IF($A957="","",SUMIFS(tblIssues[Qty Issued],tblIssues[Lot Number],$B957))</f>
        <v/>
      </c>
      <c r="N957" s="26" t="str">
        <f t="shared" si="72"/>
        <v/>
      </c>
      <c r="O957" s="26" t="str">
        <f t="shared" si="73"/>
        <v/>
      </c>
      <c r="P957" s="21" t="str">
        <f t="shared" si="74"/>
        <v/>
      </c>
      <c r="Q957" s="52" t="str">
        <f>IF($A957="","",IF($O957&lt;=0,"Depleted",IF($I957&lt;0,"EXPIRED",IF($I957&lt;=Settings!$C$6,"CRITICAL",IF($I957&lt;=Settings!$C$5,"Expiring","In date")))))</f>
        <v/>
      </c>
    </row>
    <row r="958" spans="1:17" x14ac:dyDescent="0.35">
      <c r="A958" s="90" t="str">
        <f>IF(Receipts!$D961="","",Receipts!$D961)</f>
        <v/>
      </c>
      <c r="B958" s="18" t="str">
        <f>IF(Receipts!$C961="","",Receipts!$C961)</f>
        <v/>
      </c>
      <c r="C958" s="18" t="str">
        <f>IF($A958="","",IFERROR(INDEX(Items!$B$5:$B$597,MATCH($A958,Items!$A$5:$A$597,0)),""))</f>
        <v/>
      </c>
      <c r="D958" s="23" t="str">
        <f>IF($A958="","",N(Receipts!$G961))</f>
        <v/>
      </c>
      <c r="E958" s="20" t="str">
        <f>IF($A958="","",IFERROR(INDEX(Items!$D$5:$D$597,MATCH($A958,Items!$A$5:$A$597,0)),0))</f>
        <v/>
      </c>
      <c r="F958" s="21" t="str">
        <f t="shared" si="70"/>
        <v/>
      </c>
      <c r="G958" s="25" t="str">
        <f>IF(Receipts!$I961="","",Receipts!$I961)</f>
        <v/>
      </c>
      <c r="H958" s="25" t="str">
        <f>IF(Receipts!$H961="","",Receipts!$H961)</f>
        <v/>
      </c>
      <c r="I958" s="26" t="str">
        <f t="shared" ca="1" si="71"/>
        <v/>
      </c>
      <c r="J958" s="26" t="str">
        <f>IF($A958="","",COUNTIFS(tblReceipts[Item Name],$A958,tblReceipts[Expiry Date],"&lt;"&amp;$H958)+COUNTIFS(tblReceipts[Item Name],$A958,tblReceipts[Expiry Date],$H958,tblReceipts[Lot Number],"&lt;="&amp;Receipts!$C961))</f>
        <v/>
      </c>
      <c r="K958" s="26" t="str">
        <f>IF($A958="","",SUMIFS(tblReceipts[Qty Received],tblReceipts[Item Name],$A958,tblReceipts[Expiry Date],"&lt;"&amp;$H958)+SUMIFS(tblReceipts[Qty Received],tblReceipts[Item Name],$A958,tblReceipts[Expiry Date],$H958,tblReceipts[Lot Number],"&lt;"&amp;Receipts!$C961))</f>
        <v/>
      </c>
      <c r="L958" s="26" t="str">
        <f>IF($A958="","",MIN($D958,MAX(0,SUMIFS(tblIssues[Qty Issued],tblIssues[Item Name],$A958)-$K958)))</f>
        <v/>
      </c>
      <c r="M958" s="26" t="str">
        <f>IF($A958="","",SUMIFS(tblIssues[Qty Issued],tblIssues[Lot Number],$B958))</f>
        <v/>
      </c>
      <c r="N958" s="26" t="str">
        <f t="shared" si="72"/>
        <v/>
      </c>
      <c r="O958" s="26" t="str">
        <f t="shared" si="73"/>
        <v/>
      </c>
      <c r="P958" s="21" t="str">
        <f t="shared" si="74"/>
        <v/>
      </c>
      <c r="Q958" s="52" t="str">
        <f>IF($A958="","",IF($O958&lt;=0,"Depleted",IF($I958&lt;0,"EXPIRED",IF($I958&lt;=Settings!$C$6,"CRITICAL",IF($I958&lt;=Settings!$C$5,"Expiring","In date")))))</f>
        <v/>
      </c>
    </row>
    <row r="959" spans="1:17" x14ac:dyDescent="0.35">
      <c r="A959" s="90" t="str">
        <f>IF(Receipts!$D962="","",Receipts!$D962)</f>
        <v/>
      </c>
      <c r="B959" s="18" t="str">
        <f>IF(Receipts!$C962="","",Receipts!$C962)</f>
        <v/>
      </c>
      <c r="C959" s="18" t="str">
        <f>IF($A959="","",IFERROR(INDEX(Items!$B$5:$B$597,MATCH($A959,Items!$A$5:$A$597,0)),""))</f>
        <v/>
      </c>
      <c r="D959" s="23" t="str">
        <f>IF($A959="","",N(Receipts!$G962))</f>
        <v/>
      </c>
      <c r="E959" s="20" t="str">
        <f>IF($A959="","",IFERROR(INDEX(Items!$D$5:$D$597,MATCH($A959,Items!$A$5:$A$597,0)),0))</f>
        <v/>
      </c>
      <c r="F959" s="21" t="str">
        <f t="shared" si="70"/>
        <v/>
      </c>
      <c r="G959" s="25" t="str">
        <f>IF(Receipts!$I962="","",Receipts!$I962)</f>
        <v/>
      </c>
      <c r="H959" s="25" t="str">
        <f>IF(Receipts!$H962="","",Receipts!$H962)</f>
        <v/>
      </c>
      <c r="I959" s="26" t="str">
        <f t="shared" ca="1" si="71"/>
        <v/>
      </c>
      <c r="J959" s="26" t="str">
        <f>IF($A959="","",COUNTIFS(tblReceipts[Item Name],$A959,tblReceipts[Expiry Date],"&lt;"&amp;$H959)+COUNTIFS(tblReceipts[Item Name],$A959,tblReceipts[Expiry Date],$H959,tblReceipts[Lot Number],"&lt;="&amp;Receipts!$C962))</f>
        <v/>
      </c>
      <c r="K959" s="26" t="str">
        <f>IF($A959="","",SUMIFS(tblReceipts[Qty Received],tblReceipts[Item Name],$A959,tblReceipts[Expiry Date],"&lt;"&amp;$H959)+SUMIFS(tblReceipts[Qty Received],tblReceipts[Item Name],$A959,tblReceipts[Expiry Date],$H959,tblReceipts[Lot Number],"&lt;"&amp;Receipts!$C962))</f>
        <v/>
      </c>
      <c r="L959" s="26" t="str">
        <f>IF($A959="","",MIN($D959,MAX(0,SUMIFS(tblIssues[Qty Issued],tblIssues[Item Name],$A959)-$K959)))</f>
        <v/>
      </c>
      <c r="M959" s="26" t="str">
        <f>IF($A959="","",SUMIFS(tblIssues[Qty Issued],tblIssues[Lot Number],$B959))</f>
        <v/>
      </c>
      <c r="N959" s="26" t="str">
        <f t="shared" si="72"/>
        <v/>
      </c>
      <c r="O959" s="26" t="str">
        <f t="shared" si="73"/>
        <v/>
      </c>
      <c r="P959" s="21" t="str">
        <f t="shared" si="74"/>
        <v/>
      </c>
      <c r="Q959" s="52" t="str">
        <f>IF($A959="","",IF($O959&lt;=0,"Depleted",IF($I959&lt;0,"EXPIRED",IF($I959&lt;=Settings!$C$6,"CRITICAL",IF($I959&lt;=Settings!$C$5,"Expiring","In date")))))</f>
        <v/>
      </c>
    </row>
    <row r="960" spans="1:17" x14ac:dyDescent="0.35">
      <c r="A960" s="90" t="str">
        <f>IF(Receipts!$D963="","",Receipts!$D963)</f>
        <v/>
      </c>
      <c r="B960" s="18" t="str">
        <f>IF(Receipts!$C963="","",Receipts!$C963)</f>
        <v/>
      </c>
      <c r="C960" s="18" t="str">
        <f>IF($A960="","",IFERROR(INDEX(Items!$B$5:$B$597,MATCH($A960,Items!$A$5:$A$597,0)),""))</f>
        <v/>
      </c>
      <c r="D960" s="23" t="str">
        <f>IF($A960="","",N(Receipts!$G963))</f>
        <v/>
      </c>
      <c r="E960" s="20" t="str">
        <f>IF($A960="","",IFERROR(INDEX(Items!$D$5:$D$597,MATCH($A960,Items!$A$5:$A$597,0)),0))</f>
        <v/>
      </c>
      <c r="F960" s="21" t="str">
        <f t="shared" si="70"/>
        <v/>
      </c>
      <c r="G960" s="25" t="str">
        <f>IF(Receipts!$I963="","",Receipts!$I963)</f>
        <v/>
      </c>
      <c r="H960" s="25" t="str">
        <f>IF(Receipts!$H963="","",Receipts!$H963)</f>
        <v/>
      </c>
      <c r="I960" s="26" t="str">
        <f t="shared" ca="1" si="71"/>
        <v/>
      </c>
      <c r="J960" s="26" t="str">
        <f>IF($A960="","",COUNTIFS(tblReceipts[Item Name],$A960,tblReceipts[Expiry Date],"&lt;"&amp;$H960)+COUNTIFS(tblReceipts[Item Name],$A960,tblReceipts[Expiry Date],$H960,tblReceipts[Lot Number],"&lt;="&amp;Receipts!$C963))</f>
        <v/>
      </c>
      <c r="K960" s="26" t="str">
        <f>IF($A960="","",SUMIFS(tblReceipts[Qty Received],tblReceipts[Item Name],$A960,tblReceipts[Expiry Date],"&lt;"&amp;$H960)+SUMIFS(tblReceipts[Qty Received],tblReceipts[Item Name],$A960,tblReceipts[Expiry Date],$H960,tblReceipts[Lot Number],"&lt;"&amp;Receipts!$C963))</f>
        <v/>
      </c>
      <c r="L960" s="26" t="str">
        <f>IF($A960="","",MIN($D960,MAX(0,SUMIFS(tblIssues[Qty Issued],tblIssues[Item Name],$A960)-$K960)))</f>
        <v/>
      </c>
      <c r="M960" s="26" t="str">
        <f>IF($A960="","",SUMIFS(tblIssues[Qty Issued],tblIssues[Lot Number],$B960))</f>
        <v/>
      </c>
      <c r="N960" s="26" t="str">
        <f t="shared" si="72"/>
        <v/>
      </c>
      <c r="O960" s="26" t="str">
        <f t="shared" si="73"/>
        <v/>
      </c>
      <c r="P960" s="21" t="str">
        <f t="shared" si="74"/>
        <v/>
      </c>
      <c r="Q960" s="52" t="str">
        <f>IF($A960="","",IF($O960&lt;=0,"Depleted",IF($I960&lt;0,"EXPIRED",IF($I960&lt;=Settings!$C$6,"CRITICAL",IF($I960&lt;=Settings!$C$5,"Expiring","In date")))))</f>
        <v/>
      </c>
    </row>
    <row r="961" spans="1:17" x14ac:dyDescent="0.35">
      <c r="A961" s="90" t="str">
        <f>IF(Receipts!$D964="","",Receipts!$D964)</f>
        <v/>
      </c>
      <c r="B961" s="18" t="str">
        <f>IF(Receipts!$C964="","",Receipts!$C964)</f>
        <v/>
      </c>
      <c r="C961" s="18" t="str">
        <f>IF($A961="","",IFERROR(INDEX(Items!$B$5:$B$597,MATCH($A961,Items!$A$5:$A$597,0)),""))</f>
        <v/>
      </c>
      <c r="D961" s="23" t="str">
        <f>IF($A961="","",N(Receipts!$G964))</f>
        <v/>
      </c>
      <c r="E961" s="20" t="str">
        <f>IF($A961="","",IFERROR(INDEX(Items!$D$5:$D$597,MATCH($A961,Items!$A$5:$A$597,0)),0))</f>
        <v/>
      </c>
      <c r="F961" s="21" t="str">
        <f t="shared" si="70"/>
        <v/>
      </c>
      <c r="G961" s="25" t="str">
        <f>IF(Receipts!$I964="","",Receipts!$I964)</f>
        <v/>
      </c>
      <c r="H961" s="25" t="str">
        <f>IF(Receipts!$H964="","",Receipts!$H964)</f>
        <v/>
      </c>
      <c r="I961" s="26" t="str">
        <f t="shared" ca="1" si="71"/>
        <v/>
      </c>
      <c r="J961" s="26" t="str">
        <f>IF($A961="","",COUNTIFS(tblReceipts[Item Name],$A961,tblReceipts[Expiry Date],"&lt;"&amp;$H961)+COUNTIFS(tblReceipts[Item Name],$A961,tblReceipts[Expiry Date],$H961,tblReceipts[Lot Number],"&lt;="&amp;Receipts!$C964))</f>
        <v/>
      </c>
      <c r="K961" s="26" t="str">
        <f>IF($A961="","",SUMIFS(tblReceipts[Qty Received],tblReceipts[Item Name],$A961,tblReceipts[Expiry Date],"&lt;"&amp;$H961)+SUMIFS(tblReceipts[Qty Received],tblReceipts[Item Name],$A961,tblReceipts[Expiry Date],$H961,tblReceipts[Lot Number],"&lt;"&amp;Receipts!$C964))</f>
        <v/>
      </c>
      <c r="L961" s="26" t="str">
        <f>IF($A961="","",MIN($D961,MAX(0,SUMIFS(tblIssues[Qty Issued],tblIssues[Item Name],$A961)-$K961)))</f>
        <v/>
      </c>
      <c r="M961" s="26" t="str">
        <f>IF($A961="","",SUMIFS(tblIssues[Qty Issued],tblIssues[Lot Number],$B961))</f>
        <v/>
      </c>
      <c r="N961" s="26" t="str">
        <f t="shared" si="72"/>
        <v/>
      </c>
      <c r="O961" s="26" t="str">
        <f t="shared" si="73"/>
        <v/>
      </c>
      <c r="P961" s="21" t="str">
        <f t="shared" si="74"/>
        <v/>
      </c>
      <c r="Q961" s="52" t="str">
        <f>IF($A961="","",IF($O961&lt;=0,"Depleted",IF($I961&lt;0,"EXPIRED",IF($I961&lt;=Settings!$C$6,"CRITICAL",IF($I961&lt;=Settings!$C$5,"Expiring","In date")))))</f>
        <v/>
      </c>
    </row>
    <row r="962" spans="1:17" x14ac:dyDescent="0.35">
      <c r="A962" s="90" t="str">
        <f>IF(Receipts!$D965="","",Receipts!$D965)</f>
        <v/>
      </c>
      <c r="B962" s="18" t="str">
        <f>IF(Receipts!$C965="","",Receipts!$C965)</f>
        <v/>
      </c>
      <c r="C962" s="18" t="str">
        <f>IF($A962="","",IFERROR(INDEX(Items!$B$5:$B$597,MATCH($A962,Items!$A$5:$A$597,0)),""))</f>
        <v/>
      </c>
      <c r="D962" s="23" t="str">
        <f>IF($A962="","",N(Receipts!$G965))</f>
        <v/>
      </c>
      <c r="E962" s="20" t="str">
        <f>IF($A962="","",IFERROR(INDEX(Items!$D$5:$D$597,MATCH($A962,Items!$A$5:$A$597,0)),0))</f>
        <v/>
      </c>
      <c r="F962" s="21" t="str">
        <f t="shared" si="70"/>
        <v/>
      </c>
      <c r="G962" s="25" t="str">
        <f>IF(Receipts!$I965="","",Receipts!$I965)</f>
        <v/>
      </c>
      <c r="H962" s="25" t="str">
        <f>IF(Receipts!$H965="","",Receipts!$H965)</f>
        <v/>
      </c>
      <c r="I962" s="26" t="str">
        <f t="shared" ca="1" si="71"/>
        <v/>
      </c>
      <c r="J962" s="26" t="str">
        <f>IF($A962="","",COUNTIFS(tblReceipts[Item Name],$A962,tblReceipts[Expiry Date],"&lt;"&amp;$H962)+COUNTIFS(tblReceipts[Item Name],$A962,tblReceipts[Expiry Date],$H962,tblReceipts[Lot Number],"&lt;="&amp;Receipts!$C965))</f>
        <v/>
      </c>
      <c r="K962" s="26" t="str">
        <f>IF($A962="","",SUMIFS(tblReceipts[Qty Received],tblReceipts[Item Name],$A962,tblReceipts[Expiry Date],"&lt;"&amp;$H962)+SUMIFS(tblReceipts[Qty Received],tblReceipts[Item Name],$A962,tblReceipts[Expiry Date],$H962,tblReceipts[Lot Number],"&lt;"&amp;Receipts!$C965))</f>
        <v/>
      </c>
      <c r="L962" s="26" t="str">
        <f>IF($A962="","",MIN($D962,MAX(0,SUMIFS(tblIssues[Qty Issued],tblIssues[Item Name],$A962)-$K962)))</f>
        <v/>
      </c>
      <c r="M962" s="26" t="str">
        <f>IF($A962="","",SUMIFS(tblIssues[Qty Issued],tblIssues[Lot Number],$B962))</f>
        <v/>
      </c>
      <c r="N962" s="26" t="str">
        <f t="shared" si="72"/>
        <v/>
      </c>
      <c r="O962" s="26" t="str">
        <f t="shared" si="73"/>
        <v/>
      </c>
      <c r="P962" s="21" t="str">
        <f t="shared" si="74"/>
        <v/>
      </c>
      <c r="Q962" s="52" t="str">
        <f>IF($A962="","",IF($O962&lt;=0,"Depleted",IF($I962&lt;0,"EXPIRED",IF($I962&lt;=Settings!$C$6,"CRITICAL",IF($I962&lt;=Settings!$C$5,"Expiring","In date")))))</f>
        <v/>
      </c>
    </row>
    <row r="963" spans="1:17" x14ac:dyDescent="0.35">
      <c r="A963" s="90" t="str">
        <f>IF(Receipts!$D966="","",Receipts!$D966)</f>
        <v/>
      </c>
      <c r="B963" s="18" t="str">
        <f>IF(Receipts!$C966="","",Receipts!$C966)</f>
        <v/>
      </c>
      <c r="C963" s="18" t="str">
        <f>IF($A963="","",IFERROR(INDEX(Items!$B$5:$B$597,MATCH($A963,Items!$A$5:$A$597,0)),""))</f>
        <v/>
      </c>
      <c r="D963" s="23" t="str">
        <f>IF($A963="","",N(Receipts!$G966))</f>
        <v/>
      </c>
      <c r="E963" s="20" t="str">
        <f>IF($A963="","",IFERROR(INDEX(Items!$D$5:$D$597,MATCH($A963,Items!$A$5:$A$597,0)),0))</f>
        <v/>
      </c>
      <c r="F963" s="21" t="str">
        <f t="shared" si="70"/>
        <v/>
      </c>
      <c r="G963" s="25" t="str">
        <f>IF(Receipts!$I966="","",Receipts!$I966)</f>
        <v/>
      </c>
      <c r="H963" s="25" t="str">
        <f>IF(Receipts!$H966="","",Receipts!$H966)</f>
        <v/>
      </c>
      <c r="I963" s="26" t="str">
        <f t="shared" ca="1" si="71"/>
        <v/>
      </c>
      <c r="J963" s="26" t="str">
        <f>IF($A963="","",COUNTIFS(tblReceipts[Item Name],$A963,tblReceipts[Expiry Date],"&lt;"&amp;$H963)+COUNTIFS(tblReceipts[Item Name],$A963,tblReceipts[Expiry Date],$H963,tblReceipts[Lot Number],"&lt;="&amp;Receipts!$C966))</f>
        <v/>
      </c>
      <c r="K963" s="26" t="str">
        <f>IF($A963="","",SUMIFS(tblReceipts[Qty Received],tblReceipts[Item Name],$A963,tblReceipts[Expiry Date],"&lt;"&amp;$H963)+SUMIFS(tblReceipts[Qty Received],tblReceipts[Item Name],$A963,tblReceipts[Expiry Date],$H963,tblReceipts[Lot Number],"&lt;"&amp;Receipts!$C966))</f>
        <v/>
      </c>
      <c r="L963" s="26" t="str">
        <f>IF($A963="","",MIN($D963,MAX(0,SUMIFS(tblIssues[Qty Issued],tblIssues[Item Name],$A963)-$K963)))</f>
        <v/>
      </c>
      <c r="M963" s="26" t="str">
        <f>IF($A963="","",SUMIFS(tblIssues[Qty Issued],tblIssues[Lot Number],$B963))</f>
        <v/>
      </c>
      <c r="N963" s="26" t="str">
        <f t="shared" si="72"/>
        <v/>
      </c>
      <c r="O963" s="26" t="str">
        <f t="shared" si="73"/>
        <v/>
      </c>
      <c r="P963" s="21" t="str">
        <f t="shared" si="74"/>
        <v/>
      </c>
      <c r="Q963" s="52" t="str">
        <f>IF($A963="","",IF($O963&lt;=0,"Depleted",IF($I963&lt;0,"EXPIRED",IF($I963&lt;=Settings!$C$6,"CRITICAL",IF($I963&lt;=Settings!$C$5,"Expiring","In date")))))</f>
        <v/>
      </c>
    </row>
    <row r="964" spans="1:17" x14ac:dyDescent="0.35">
      <c r="A964" s="90" t="str">
        <f>IF(Receipts!$D967="","",Receipts!$D967)</f>
        <v/>
      </c>
      <c r="B964" s="18" t="str">
        <f>IF(Receipts!$C967="","",Receipts!$C967)</f>
        <v/>
      </c>
      <c r="C964" s="18" t="str">
        <f>IF($A964="","",IFERROR(INDEX(Items!$B$5:$B$597,MATCH($A964,Items!$A$5:$A$597,0)),""))</f>
        <v/>
      </c>
      <c r="D964" s="23" t="str">
        <f>IF($A964="","",N(Receipts!$G967))</f>
        <v/>
      </c>
      <c r="E964" s="20" t="str">
        <f>IF($A964="","",IFERROR(INDEX(Items!$D$5:$D$597,MATCH($A964,Items!$A$5:$A$597,0)),0))</f>
        <v/>
      </c>
      <c r="F964" s="21" t="str">
        <f t="shared" si="70"/>
        <v/>
      </c>
      <c r="G964" s="25" t="str">
        <f>IF(Receipts!$I967="","",Receipts!$I967)</f>
        <v/>
      </c>
      <c r="H964" s="25" t="str">
        <f>IF(Receipts!$H967="","",Receipts!$H967)</f>
        <v/>
      </c>
      <c r="I964" s="26" t="str">
        <f t="shared" ca="1" si="71"/>
        <v/>
      </c>
      <c r="J964" s="26" t="str">
        <f>IF($A964="","",COUNTIFS(tblReceipts[Item Name],$A964,tblReceipts[Expiry Date],"&lt;"&amp;$H964)+COUNTIFS(tblReceipts[Item Name],$A964,tblReceipts[Expiry Date],$H964,tblReceipts[Lot Number],"&lt;="&amp;Receipts!$C967))</f>
        <v/>
      </c>
      <c r="K964" s="26" t="str">
        <f>IF($A964="","",SUMIFS(tblReceipts[Qty Received],tblReceipts[Item Name],$A964,tblReceipts[Expiry Date],"&lt;"&amp;$H964)+SUMIFS(tblReceipts[Qty Received],tblReceipts[Item Name],$A964,tblReceipts[Expiry Date],$H964,tblReceipts[Lot Number],"&lt;"&amp;Receipts!$C967))</f>
        <v/>
      </c>
      <c r="L964" s="26" t="str">
        <f>IF($A964="","",MIN($D964,MAX(0,SUMIFS(tblIssues[Qty Issued],tblIssues[Item Name],$A964)-$K964)))</f>
        <v/>
      </c>
      <c r="M964" s="26" t="str">
        <f>IF($A964="","",SUMIFS(tblIssues[Qty Issued],tblIssues[Lot Number],$B964))</f>
        <v/>
      </c>
      <c r="N964" s="26" t="str">
        <f t="shared" si="72"/>
        <v/>
      </c>
      <c r="O964" s="26" t="str">
        <f t="shared" si="73"/>
        <v/>
      </c>
      <c r="P964" s="21" t="str">
        <f t="shared" si="74"/>
        <v/>
      </c>
      <c r="Q964" s="52" t="str">
        <f>IF($A964="","",IF($O964&lt;=0,"Depleted",IF($I964&lt;0,"EXPIRED",IF($I964&lt;=Settings!$C$6,"CRITICAL",IF($I964&lt;=Settings!$C$5,"Expiring","In date")))))</f>
        <v/>
      </c>
    </row>
    <row r="965" spans="1:17" x14ac:dyDescent="0.35">
      <c r="A965" s="90" t="str">
        <f>IF(Receipts!$D968="","",Receipts!$D968)</f>
        <v/>
      </c>
      <c r="B965" s="18" t="str">
        <f>IF(Receipts!$C968="","",Receipts!$C968)</f>
        <v/>
      </c>
      <c r="C965" s="18" t="str">
        <f>IF($A965="","",IFERROR(INDEX(Items!$B$5:$B$597,MATCH($A965,Items!$A$5:$A$597,0)),""))</f>
        <v/>
      </c>
      <c r="D965" s="23" t="str">
        <f>IF($A965="","",N(Receipts!$G968))</f>
        <v/>
      </c>
      <c r="E965" s="20" t="str">
        <f>IF($A965="","",IFERROR(INDEX(Items!$D$5:$D$597,MATCH($A965,Items!$A$5:$A$597,0)),0))</f>
        <v/>
      </c>
      <c r="F965" s="21" t="str">
        <f t="shared" ref="F965:F1028" si="75">IF($A965="","",$D965*$E965)</f>
        <v/>
      </c>
      <c r="G965" s="25" t="str">
        <f>IF(Receipts!$I968="","",Receipts!$I968)</f>
        <v/>
      </c>
      <c r="H965" s="25" t="str">
        <f>IF(Receipts!$H968="","",Receipts!$H968)</f>
        <v/>
      </c>
      <c r="I965" s="26" t="str">
        <f t="shared" ref="I965:I1028" ca="1" si="76">IF($H965="","",$H965-TODAY())</f>
        <v/>
      </c>
      <c r="J965" s="26" t="str">
        <f>IF($A965="","",COUNTIFS(tblReceipts[Item Name],$A965,tblReceipts[Expiry Date],"&lt;"&amp;$H965)+COUNTIFS(tblReceipts[Item Name],$A965,tblReceipts[Expiry Date],$H965,tblReceipts[Lot Number],"&lt;="&amp;Receipts!$C968))</f>
        <v/>
      </c>
      <c r="K965" s="26" t="str">
        <f>IF($A965="","",SUMIFS(tblReceipts[Qty Received],tblReceipts[Item Name],$A965,tblReceipts[Expiry Date],"&lt;"&amp;$H965)+SUMIFS(tblReceipts[Qty Received],tblReceipts[Item Name],$A965,tblReceipts[Expiry Date],$H965,tblReceipts[Lot Number],"&lt;"&amp;Receipts!$C968))</f>
        <v/>
      </c>
      <c r="L965" s="26" t="str">
        <f>IF($A965="","",MIN($D965,MAX(0,SUMIFS(tblIssues[Qty Issued],tblIssues[Item Name],$A965)-$K965)))</f>
        <v/>
      </c>
      <c r="M965" s="26" t="str">
        <f>IF($A965="","",SUMIFS(tblIssues[Qty Issued],tblIssues[Lot Number],$B965))</f>
        <v/>
      </c>
      <c r="N965" s="26" t="str">
        <f t="shared" ref="N965:N1028" si="77">IF($A965="","",$M965-$L965)</f>
        <v/>
      </c>
      <c r="O965" s="26" t="str">
        <f t="shared" ref="O965:O1028" si="78">IF($A965="","",$D965-$L965)</f>
        <v/>
      </c>
      <c r="P965" s="21" t="str">
        <f t="shared" ref="P965:P1028" si="79">IF($A965="","",$O965*$E965)</f>
        <v/>
      </c>
      <c r="Q965" s="52" t="str">
        <f>IF($A965="","",IF($O965&lt;=0,"Depleted",IF($I965&lt;0,"EXPIRED",IF($I965&lt;=Settings!$C$6,"CRITICAL",IF($I965&lt;=Settings!$C$5,"Expiring","In date")))))</f>
        <v/>
      </c>
    </row>
    <row r="966" spans="1:17" x14ac:dyDescent="0.35">
      <c r="A966" s="90" t="str">
        <f>IF(Receipts!$D969="","",Receipts!$D969)</f>
        <v/>
      </c>
      <c r="B966" s="18" t="str">
        <f>IF(Receipts!$C969="","",Receipts!$C969)</f>
        <v/>
      </c>
      <c r="C966" s="18" t="str">
        <f>IF($A966="","",IFERROR(INDEX(Items!$B$5:$B$597,MATCH($A966,Items!$A$5:$A$597,0)),""))</f>
        <v/>
      </c>
      <c r="D966" s="23" t="str">
        <f>IF($A966="","",N(Receipts!$G969))</f>
        <v/>
      </c>
      <c r="E966" s="20" t="str">
        <f>IF($A966="","",IFERROR(INDEX(Items!$D$5:$D$597,MATCH($A966,Items!$A$5:$A$597,0)),0))</f>
        <v/>
      </c>
      <c r="F966" s="21" t="str">
        <f t="shared" si="75"/>
        <v/>
      </c>
      <c r="G966" s="25" t="str">
        <f>IF(Receipts!$I969="","",Receipts!$I969)</f>
        <v/>
      </c>
      <c r="H966" s="25" t="str">
        <f>IF(Receipts!$H969="","",Receipts!$H969)</f>
        <v/>
      </c>
      <c r="I966" s="26" t="str">
        <f t="shared" ca="1" si="76"/>
        <v/>
      </c>
      <c r="J966" s="26" t="str">
        <f>IF($A966="","",COUNTIFS(tblReceipts[Item Name],$A966,tblReceipts[Expiry Date],"&lt;"&amp;$H966)+COUNTIFS(tblReceipts[Item Name],$A966,tblReceipts[Expiry Date],$H966,tblReceipts[Lot Number],"&lt;="&amp;Receipts!$C969))</f>
        <v/>
      </c>
      <c r="K966" s="26" t="str">
        <f>IF($A966="","",SUMIFS(tblReceipts[Qty Received],tblReceipts[Item Name],$A966,tblReceipts[Expiry Date],"&lt;"&amp;$H966)+SUMIFS(tblReceipts[Qty Received],tblReceipts[Item Name],$A966,tblReceipts[Expiry Date],$H966,tblReceipts[Lot Number],"&lt;"&amp;Receipts!$C969))</f>
        <v/>
      </c>
      <c r="L966" s="26" t="str">
        <f>IF($A966="","",MIN($D966,MAX(0,SUMIFS(tblIssues[Qty Issued],tblIssues[Item Name],$A966)-$K966)))</f>
        <v/>
      </c>
      <c r="M966" s="26" t="str">
        <f>IF($A966="","",SUMIFS(tblIssues[Qty Issued],tblIssues[Lot Number],$B966))</f>
        <v/>
      </c>
      <c r="N966" s="26" t="str">
        <f t="shared" si="77"/>
        <v/>
      </c>
      <c r="O966" s="26" t="str">
        <f t="shared" si="78"/>
        <v/>
      </c>
      <c r="P966" s="21" t="str">
        <f t="shared" si="79"/>
        <v/>
      </c>
      <c r="Q966" s="52" t="str">
        <f>IF($A966="","",IF($O966&lt;=0,"Depleted",IF($I966&lt;0,"EXPIRED",IF($I966&lt;=Settings!$C$6,"CRITICAL",IF($I966&lt;=Settings!$C$5,"Expiring","In date")))))</f>
        <v/>
      </c>
    </row>
    <row r="967" spans="1:17" x14ac:dyDescent="0.35">
      <c r="A967" s="90" t="str">
        <f>IF(Receipts!$D970="","",Receipts!$D970)</f>
        <v/>
      </c>
      <c r="B967" s="18" t="str">
        <f>IF(Receipts!$C970="","",Receipts!$C970)</f>
        <v/>
      </c>
      <c r="C967" s="18" t="str">
        <f>IF($A967="","",IFERROR(INDEX(Items!$B$5:$B$597,MATCH($A967,Items!$A$5:$A$597,0)),""))</f>
        <v/>
      </c>
      <c r="D967" s="23" t="str">
        <f>IF($A967="","",N(Receipts!$G970))</f>
        <v/>
      </c>
      <c r="E967" s="20" t="str">
        <f>IF($A967="","",IFERROR(INDEX(Items!$D$5:$D$597,MATCH($A967,Items!$A$5:$A$597,0)),0))</f>
        <v/>
      </c>
      <c r="F967" s="21" t="str">
        <f t="shared" si="75"/>
        <v/>
      </c>
      <c r="G967" s="25" t="str">
        <f>IF(Receipts!$I970="","",Receipts!$I970)</f>
        <v/>
      </c>
      <c r="H967" s="25" t="str">
        <f>IF(Receipts!$H970="","",Receipts!$H970)</f>
        <v/>
      </c>
      <c r="I967" s="26" t="str">
        <f t="shared" ca="1" si="76"/>
        <v/>
      </c>
      <c r="J967" s="26" t="str">
        <f>IF($A967="","",COUNTIFS(tblReceipts[Item Name],$A967,tblReceipts[Expiry Date],"&lt;"&amp;$H967)+COUNTIFS(tblReceipts[Item Name],$A967,tblReceipts[Expiry Date],$H967,tblReceipts[Lot Number],"&lt;="&amp;Receipts!$C970))</f>
        <v/>
      </c>
      <c r="K967" s="26" t="str">
        <f>IF($A967="","",SUMIFS(tblReceipts[Qty Received],tblReceipts[Item Name],$A967,tblReceipts[Expiry Date],"&lt;"&amp;$H967)+SUMIFS(tblReceipts[Qty Received],tblReceipts[Item Name],$A967,tblReceipts[Expiry Date],$H967,tblReceipts[Lot Number],"&lt;"&amp;Receipts!$C970))</f>
        <v/>
      </c>
      <c r="L967" s="26" t="str">
        <f>IF($A967="","",MIN($D967,MAX(0,SUMIFS(tblIssues[Qty Issued],tblIssues[Item Name],$A967)-$K967)))</f>
        <v/>
      </c>
      <c r="M967" s="26" t="str">
        <f>IF($A967="","",SUMIFS(tblIssues[Qty Issued],tblIssues[Lot Number],$B967))</f>
        <v/>
      </c>
      <c r="N967" s="26" t="str">
        <f t="shared" si="77"/>
        <v/>
      </c>
      <c r="O967" s="26" t="str">
        <f t="shared" si="78"/>
        <v/>
      </c>
      <c r="P967" s="21" t="str">
        <f t="shared" si="79"/>
        <v/>
      </c>
      <c r="Q967" s="52" t="str">
        <f>IF($A967="","",IF($O967&lt;=0,"Depleted",IF($I967&lt;0,"EXPIRED",IF($I967&lt;=Settings!$C$6,"CRITICAL",IF($I967&lt;=Settings!$C$5,"Expiring","In date")))))</f>
        <v/>
      </c>
    </row>
    <row r="968" spans="1:17" x14ac:dyDescent="0.35">
      <c r="A968" s="90" t="str">
        <f>IF(Receipts!$D971="","",Receipts!$D971)</f>
        <v/>
      </c>
      <c r="B968" s="18" t="str">
        <f>IF(Receipts!$C971="","",Receipts!$C971)</f>
        <v/>
      </c>
      <c r="C968" s="18" t="str">
        <f>IF($A968="","",IFERROR(INDEX(Items!$B$5:$B$597,MATCH($A968,Items!$A$5:$A$597,0)),""))</f>
        <v/>
      </c>
      <c r="D968" s="23" t="str">
        <f>IF($A968="","",N(Receipts!$G971))</f>
        <v/>
      </c>
      <c r="E968" s="20" t="str">
        <f>IF($A968="","",IFERROR(INDEX(Items!$D$5:$D$597,MATCH($A968,Items!$A$5:$A$597,0)),0))</f>
        <v/>
      </c>
      <c r="F968" s="21" t="str">
        <f t="shared" si="75"/>
        <v/>
      </c>
      <c r="G968" s="25" t="str">
        <f>IF(Receipts!$I971="","",Receipts!$I971)</f>
        <v/>
      </c>
      <c r="H968" s="25" t="str">
        <f>IF(Receipts!$H971="","",Receipts!$H971)</f>
        <v/>
      </c>
      <c r="I968" s="26" t="str">
        <f t="shared" ca="1" si="76"/>
        <v/>
      </c>
      <c r="J968" s="26" t="str">
        <f>IF($A968="","",COUNTIFS(tblReceipts[Item Name],$A968,tblReceipts[Expiry Date],"&lt;"&amp;$H968)+COUNTIFS(tblReceipts[Item Name],$A968,tblReceipts[Expiry Date],$H968,tblReceipts[Lot Number],"&lt;="&amp;Receipts!$C971))</f>
        <v/>
      </c>
      <c r="K968" s="26" t="str">
        <f>IF($A968="","",SUMIFS(tblReceipts[Qty Received],tblReceipts[Item Name],$A968,tblReceipts[Expiry Date],"&lt;"&amp;$H968)+SUMIFS(tblReceipts[Qty Received],tblReceipts[Item Name],$A968,tblReceipts[Expiry Date],$H968,tblReceipts[Lot Number],"&lt;"&amp;Receipts!$C971))</f>
        <v/>
      </c>
      <c r="L968" s="26" t="str">
        <f>IF($A968="","",MIN($D968,MAX(0,SUMIFS(tblIssues[Qty Issued],tblIssues[Item Name],$A968)-$K968)))</f>
        <v/>
      </c>
      <c r="M968" s="26" t="str">
        <f>IF($A968="","",SUMIFS(tblIssues[Qty Issued],tblIssues[Lot Number],$B968))</f>
        <v/>
      </c>
      <c r="N968" s="26" t="str">
        <f t="shared" si="77"/>
        <v/>
      </c>
      <c r="O968" s="26" t="str">
        <f t="shared" si="78"/>
        <v/>
      </c>
      <c r="P968" s="21" t="str">
        <f t="shared" si="79"/>
        <v/>
      </c>
      <c r="Q968" s="52" t="str">
        <f>IF($A968="","",IF($O968&lt;=0,"Depleted",IF($I968&lt;0,"EXPIRED",IF($I968&lt;=Settings!$C$6,"CRITICAL",IF($I968&lt;=Settings!$C$5,"Expiring","In date")))))</f>
        <v/>
      </c>
    </row>
    <row r="969" spans="1:17" x14ac:dyDescent="0.35">
      <c r="A969" s="90" t="str">
        <f>IF(Receipts!$D972="","",Receipts!$D972)</f>
        <v/>
      </c>
      <c r="B969" s="18" t="str">
        <f>IF(Receipts!$C972="","",Receipts!$C972)</f>
        <v/>
      </c>
      <c r="C969" s="18" t="str">
        <f>IF($A969="","",IFERROR(INDEX(Items!$B$5:$B$597,MATCH($A969,Items!$A$5:$A$597,0)),""))</f>
        <v/>
      </c>
      <c r="D969" s="23" t="str">
        <f>IF($A969="","",N(Receipts!$G972))</f>
        <v/>
      </c>
      <c r="E969" s="20" t="str">
        <f>IF($A969="","",IFERROR(INDEX(Items!$D$5:$D$597,MATCH($A969,Items!$A$5:$A$597,0)),0))</f>
        <v/>
      </c>
      <c r="F969" s="21" t="str">
        <f t="shared" si="75"/>
        <v/>
      </c>
      <c r="G969" s="25" t="str">
        <f>IF(Receipts!$I972="","",Receipts!$I972)</f>
        <v/>
      </c>
      <c r="H969" s="25" t="str">
        <f>IF(Receipts!$H972="","",Receipts!$H972)</f>
        <v/>
      </c>
      <c r="I969" s="26" t="str">
        <f t="shared" ca="1" si="76"/>
        <v/>
      </c>
      <c r="J969" s="26" t="str">
        <f>IF($A969="","",COUNTIFS(tblReceipts[Item Name],$A969,tblReceipts[Expiry Date],"&lt;"&amp;$H969)+COUNTIFS(tblReceipts[Item Name],$A969,tblReceipts[Expiry Date],$H969,tblReceipts[Lot Number],"&lt;="&amp;Receipts!$C972))</f>
        <v/>
      </c>
      <c r="K969" s="26" t="str">
        <f>IF($A969="","",SUMIFS(tblReceipts[Qty Received],tblReceipts[Item Name],$A969,tblReceipts[Expiry Date],"&lt;"&amp;$H969)+SUMIFS(tblReceipts[Qty Received],tblReceipts[Item Name],$A969,tblReceipts[Expiry Date],$H969,tblReceipts[Lot Number],"&lt;"&amp;Receipts!$C972))</f>
        <v/>
      </c>
      <c r="L969" s="26" t="str">
        <f>IF($A969="","",MIN($D969,MAX(0,SUMIFS(tblIssues[Qty Issued],tblIssues[Item Name],$A969)-$K969)))</f>
        <v/>
      </c>
      <c r="M969" s="26" t="str">
        <f>IF($A969="","",SUMIFS(tblIssues[Qty Issued],tblIssues[Lot Number],$B969))</f>
        <v/>
      </c>
      <c r="N969" s="26" t="str">
        <f t="shared" si="77"/>
        <v/>
      </c>
      <c r="O969" s="26" t="str">
        <f t="shared" si="78"/>
        <v/>
      </c>
      <c r="P969" s="21" t="str">
        <f t="shared" si="79"/>
        <v/>
      </c>
      <c r="Q969" s="52" t="str">
        <f>IF($A969="","",IF($O969&lt;=0,"Depleted",IF($I969&lt;0,"EXPIRED",IF($I969&lt;=Settings!$C$6,"CRITICAL",IF($I969&lt;=Settings!$C$5,"Expiring","In date")))))</f>
        <v/>
      </c>
    </row>
    <row r="970" spans="1:17" x14ac:dyDescent="0.35">
      <c r="A970" s="90" t="str">
        <f>IF(Receipts!$D973="","",Receipts!$D973)</f>
        <v/>
      </c>
      <c r="B970" s="18" t="str">
        <f>IF(Receipts!$C973="","",Receipts!$C973)</f>
        <v/>
      </c>
      <c r="C970" s="18" t="str">
        <f>IF($A970="","",IFERROR(INDEX(Items!$B$5:$B$597,MATCH($A970,Items!$A$5:$A$597,0)),""))</f>
        <v/>
      </c>
      <c r="D970" s="23" t="str">
        <f>IF($A970="","",N(Receipts!$G973))</f>
        <v/>
      </c>
      <c r="E970" s="20" t="str">
        <f>IF($A970="","",IFERROR(INDEX(Items!$D$5:$D$597,MATCH($A970,Items!$A$5:$A$597,0)),0))</f>
        <v/>
      </c>
      <c r="F970" s="21" t="str">
        <f t="shared" si="75"/>
        <v/>
      </c>
      <c r="G970" s="25" t="str">
        <f>IF(Receipts!$I973="","",Receipts!$I973)</f>
        <v/>
      </c>
      <c r="H970" s="25" t="str">
        <f>IF(Receipts!$H973="","",Receipts!$H973)</f>
        <v/>
      </c>
      <c r="I970" s="26" t="str">
        <f t="shared" ca="1" si="76"/>
        <v/>
      </c>
      <c r="J970" s="26" t="str">
        <f>IF($A970="","",COUNTIFS(tblReceipts[Item Name],$A970,tblReceipts[Expiry Date],"&lt;"&amp;$H970)+COUNTIFS(tblReceipts[Item Name],$A970,tblReceipts[Expiry Date],$H970,tblReceipts[Lot Number],"&lt;="&amp;Receipts!$C973))</f>
        <v/>
      </c>
      <c r="K970" s="26" t="str">
        <f>IF($A970="","",SUMIFS(tblReceipts[Qty Received],tblReceipts[Item Name],$A970,tblReceipts[Expiry Date],"&lt;"&amp;$H970)+SUMIFS(tblReceipts[Qty Received],tblReceipts[Item Name],$A970,tblReceipts[Expiry Date],$H970,tblReceipts[Lot Number],"&lt;"&amp;Receipts!$C973))</f>
        <v/>
      </c>
      <c r="L970" s="26" t="str">
        <f>IF($A970="","",MIN($D970,MAX(0,SUMIFS(tblIssues[Qty Issued],tblIssues[Item Name],$A970)-$K970)))</f>
        <v/>
      </c>
      <c r="M970" s="26" t="str">
        <f>IF($A970="","",SUMIFS(tblIssues[Qty Issued],tblIssues[Lot Number],$B970))</f>
        <v/>
      </c>
      <c r="N970" s="26" t="str">
        <f t="shared" si="77"/>
        <v/>
      </c>
      <c r="O970" s="26" t="str">
        <f t="shared" si="78"/>
        <v/>
      </c>
      <c r="P970" s="21" t="str">
        <f t="shared" si="79"/>
        <v/>
      </c>
      <c r="Q970" s="52" t="str">
        <f>IF($A970="","",IF($O970&lt;=0,"Depleted",IF($I970&lt;0,"EXPIRED",IF($I970&lt;=Settings!$C$6,"CRITICAL",IF($I970&lt;=Settings!$C$5,"Expiring","In date")))))</f>
        <v/>
      </c>
    </row>
    <row r="971" spans="1:17" x14ac:dyDescent="0.35">
      <c r="A971" s="90" t="str">
        <f>IF(Receipts!$D974="","",Receipts!$D974)</f>
        <v/>
      </c>
      <c r="B971" s="18" t="str">
        <f>IF(Receipts!$C974="","",Receipts!$C974)</f>
        <v/>
      </c>
      <c r="C971" s="18" t="str">
        <f>IF($A971="","",IFERROR(INDEX(Items!$B$5:$B$597,MATCH($A971,Items!$A$5:$A$597,0)),""))</f>
        <v/>
      </c>
      <c r="D971" s="23" t="str">
        <f>IF($A971="","",N(Receipts!$G974))</f>
        <v/>
      </c>
      <c r="E971" s="20" t="str">
        <f>IF($A971="","",IFERROR(INDEX(Items!$D$5:$D$597,MATCH($A971,Items!$A$5:$A$597,0)),0))</f>
        <v/>
      </c>
      <c r="F971" s="21" t="str">
        <f t="shared" si="75"/>
        <v/>
      </c>
      <c r="G971" s="25" t="str">
        <f>IF(Receipts!$I974="","",Receipts!$I974)</f>
        <v/>
      </c>
      <c r="H971" s="25" t="str">
        <f>IF(Receipts!$H974="","",Receipts!$H974)</f>
        <v/>
      </c>
      <c r="I971" s="26" t="str">
        <f t="shared" ca="1" si="76"/>
        <v/>
      </c>
      <c r="J971" s="26" t="str">
        <f>IF($A971="","",COUNTIFS(tblReceipts[Item Name],$A971,tblReceipts[Expiry Date],"&lt;"&amp;$H971)+COUNTIFS(tblReceipts[Item Name],$A971,tblReceipts[Expiry Date],$H971,tblReceipts[Lot Number],"&lt;="&amp;Receipts!$C974))</f>
        <v/>
      </c>
      <c r="K971" s="26" t="str">
        <f>IF($A971="","",SUMIFS(tblReceipts[Qty Received],tblReceipts[Item Name],$A971,tblReceipts[Expiry Date],"&lt;"&amp;$H971)+SUMIFS(tblReceipts[Qty Received],tblReceipts[Item Name],$A971,tblReceipts[Expiry Date],$H971,tblReceipts[Lot Number],"&lt;"&amp;Receipts!$C974))</f>
        <v/>
      </c>
      <c r="L971" s="26" t="str">
        <f>IF($A971="","",MIN($D971,MAX(0,SUMIFS(tblIssues[Qty Issued],tblIssues[Item Name],$A971)-$K971)))</f>
        <v/>
      </c>
      <c r="M971" s="26" t="str">
        <f>IF($A971="","",SUMIFS(tblIssues[Qty Issued],tblIssues[Lot Number],$B971))</f>
        <v/>
      </c>
      <c r="N971" s="26" t="str">
        <f t="shared" si="77"/>
        <v/>
      </c>
      <c r="O971" s="26" t="str">
        <f t="shared" si="78"/>
        <v/>
      </c>
      <c r="P971" s="21" t="str">
        <f t="shared" si="79"/>
        <v/>
      </c>
      <c r="Q971" s="52" t="str">
        <f>IF($A971="","",IF($O971&lt;=0,"Depleted",IF($I971&lt;0,"EXPIRED",IF($I971&lt;=Settings!$C$6,"CRITICAL",IF($I971&lt;=Settings!$C$5,"Expiring","In date")))))</f>
        <v/>
      </c>
    </row>
    <row r="972" spans="1:17" x14ac:dyDescent="0.35">
      <c r="A972" s="90" t="str">
        <f>IF(Receipts!$D975="","",Receipts!$D975)</f>
        <v/>
      </c>
      <c r="B972" s="18" t="str">
        <f>IF(Receipts!$C975="","",Receipts!$C975)</f>
        <v/>
      </c>
      <c r="C972" s="18" t="str">
        <f>IF($A972="","",IFERROR(INDEX(Items!$B$5:$B$597,MATCH($A972,Items!$A$5:$A$597,0)),""))</f>
        <v/>
      </c>
      <c r="D972" s="23" t="str">
        <f>IF($A972="","",N(Receipts!$G975))</f>
        <v/>
      </c>
      <c r="E972" s="20" t="str">
        <f>IF($A972="","",IFERROR(INDEX(Items!$D$5:$D$597,MATCH($A972,Items!$A$5:$A$597,0)),0))</f>
        <v/>
      </c>
      <c r="F972" s="21" t="str">
        <f t="shared" si="75"/>
        <v/>
      </c>
      <c r="G972" s="25" t="str">
        <f>IF(Receipts!$I975="","",Receipts!$I975)</f>
        <v/>
      </c>
      <c r="H972" s="25" t="str">
        <f>IF(Receipts!$H975="","",Receipts!$H975)</f>
        <v/>
      </c>
      <c r="I972" s="26" t="str">
        <f t="shared" ca="1" si="76"/>
        <v/>
      </c>
      <c r="J972" s="26" t="str">
        <f>IF($A972="","",COUNTIFS(tblReceipts[Item Name],$A972,tblReceipts[Expiry Date],"&lt;"&amp;$H972)+COUNTIFS(tblReceipts[Item Name],$A972,tblReceipts[Expiry Date],$H972,tblReceipts[Lot Number],"&lt;="&amp;Receipts!$C975))</f>
        <v/>
      </c>
      <c r="K972" s="26" t="str">
        <f>IF($A972="","",SUMIFS(tblReceipts[Qty Received],tblReceipts[Item Name],$A972,tblReceipts[Expiry Date],"&lt;"&amp;$H972)+SUMIFS(tblReceipts[Qty Received],tblReceipts[Item Name],$A972,tblReceipts[Expiry Date],$H972,tblReceipts[Lot Number],"&lt;"&amp;Receipts!$C975))</f>
        <v/>
      </c>
      <c r="L972" s="26" t="str">
        <f>IF($A972="","",MIN($D972,MAX(0,SUMIFS(tblIssues[Qty Issued],tblIssues[Item Name],$A972)-$K972)))</f>
        <v/>
      </c>
      <c r="M972" s="26" t="str">
        <f>IF($A972="","",SUMIFS(tblIssues[Qty Issued],tblIssues[Lot Number],$B972))</f>
        <v/>
      </c>
      <c r="N972" s="26" t="str">
        <f t="shared" si="77"/>
        <v/>
      </c>
      <c r="O972" s="26" t="str">
        <f t="shared" si="78"/>
        <v/>
      </c>
      <c r="P972" s="21" t="str">
        <f t="shared" si="79"/>
        <v/>
      </c>
      <c r="Q972" s="52" t="str">
        <f>IF($A972="","",IF($O972&lt;=0,"Depleted",IF($I972&lt;0,"EXPIRED",IF($I972&lt;=Settings!$C$6,"CRITICAL",IF($I972&lt;=Settings!$C$5,"Expiring","In date")))))</f>
        <v/>
      </c>
    </row>
    <row r="973" spans="1:17" x14ac:dyDescent="0.35">
      <c r="A973" s="90" t="str">
        <f>IF(Receipts!$D976="","",Receipts!$D976)</f>
        <v/>
      </c>
      <c r="B973" s="18" t="str">
        <f>IF(Receipts!$C976="","",Receipts!$C976)</f>
        <v/>
      </c>
      <c r="C973" s="18" t="str">
        <f>IF($A973="","",IFERROR(INDEX(Items!$B$5:$B$597,MATCH($A973,Items!$A$5:$A$597,0)),""))</f>
        <v/>
      </c>
      <c r="D973" s="23" t="str">
        <f>IF($A973="","",N(Receipts!$G976))</f>
        <v/>
      </c>
      <c r="E973" s="20" t="str">
        <f>IF($A973="","",IFERROR(INDEX(Items!$D$5:$D$597,MATCH($A973,Items!$A$5:$A$597,0)),0))</f>
        <v/>
      </c>
      <c r="F973" s="21" t="str">
        <f t="shared" si="75"/>
        <v/>
      </c>
      <c r="G973" s="25" t="str">
        <f>IF(Receipts!$I976="","",Receipts!$I976)</f>
        <v/>
      </c>
      <c r="H973" s="25" t="str">
        <f>IF(Receipts!$H976="","",Receipts!$H976)</f>
        <v/>
      </c>
      <c r="I973" s="26" t="str">
        <f t="shared" ca="1" si="76"/>
        <v/>
      </c>
      <c r="J973" s="26" t="str">
        <f>IF($A973="","",COUNTIFS(tblReceipts[Item Name],$A973,tblReceipts[Expiry Date],"&lt;"&amp;$H973)+COUNTIFS(tblReceipts[Item Name],$A973,tblReceipts[Expiry Date],$H973,tblReceipts[Lot Number],"&lt;="&amp;Receipts!$C976))</f>
        <v/>
      </c>
      <c r="K973" s="26" t="str">
        <f>IF($A973="","",SUMIFS(tblReceipts[Qty Received],tblReceipts[Item Name],$A973,tblReceipts[Expiry Date],"&lt;"&amp;$H973)+SUMIFS(tblReceipts[Qty Received],tblReceipts[Item Name],$A973,tblReceipts[Expiry Date],$H973,tblReceipts[Lot Number],"&lt;"&amp;Receipts!$C976))</f>
        <v/>
      </c>
      <c r="L973" s="26" t="str">
        <f>IF($A973="","",MIN($D973,MAX(0,SUMIFS(tblIssues[Qty Issued],tblIssues[Item Name],$A973)-$K973)))</f>
        <v/>
      </c>
      <c r="M973" s="26" t="str">
        <f>IF($A973="","",SUMIFS(tblIssues[Qty Issued],tblIssues[Lot Number],$B973))</f>
        <v/>
      </c>
      <c r="N973" s="26" t="str">
        <f t="shared" si="77"/>
        <v/>
      </c>
      <c r="O973" s="26" t="str">
        <f t="shared" si="78"/>
        <v/>
      </c>
      <c r="P973" s="21" t="str">
        <f t="shared" si="79"/>
        <v/>
      </c>
      <c r="Q973" s="52" t="str">
        <f>IF($A973="","",IF($O973&lt;=0,"Depleted",IF($I973&lt;0,"EXPIRED",IF($I973&lt;=Settings!$C$6,"CRITICAL",IF($I973&lt;=Settings!$C$5,"Expiring","In date")))))</f>
        <v/>
      </c>
    </row>
    <row r="974" spans="1:17" x14ac:dyDescent="0.35">
      <c r="A974" s="90" t="str">
        <f>IF(Receipts!$D977="","",Receipts!$D977)</f>
        <v/>
      </c>
      <c r="B974" s="18" t="str">
        <f>IF(Receipts!$C977="","",Receipts!$C977)</f>
        <v/>
      </c>
      <c r="C974" s="18" t="str">
        <f>IF($A974="","",IFERROR(INDEX(Items!$B$5:$B$597,MATCH($A974,Items!$A$5:$A$597,0)),""))</f>
        <v/>
      </c>
      <c r="D974" s="23" t="str">
        <f>IF($A974="","",N(Receipts!$G977))</f>
        <v/>
      </c>
      <c r="E974" s="20" t="str">
        <f>IF($A974="","",IFERROR(INDEX(Items!$D$5:$D$597,MATCH($A974,Items!$A$5:$A$597,0)),0))</f>
        <v/>
      </c>
      <c r="F974" s="21" t="str">
        <f t="shared" si="75"/>
        <v/>
      </c>
      <c r="G974" s="25" t="str">
        <f>IF(Receipts!$I977="","",Receipts!$I977)</f>
        <v/>
      </c>
      <c r="H974" s="25" t="str">
        <f>IF(Receipts!$H977="","",Receipts!$H977)</f>
        <v/>
      </c>
      <c r="I974" s="26" t="str">
        <f t="shared" ca="1" si="76"/>
        <v/>
      </c>
      <c r="J974" s="26" t="str">
        <f>IF($A974="","",COUNTIFS(tblReceipts[Item Name],$A974,tblReceipts[Expiry Date],"&lt;"&amp;$H974)+COUNTIFS(tblReceipts[Item Name],$A974,tblReceipts[Expiry Date],$H974,tblReceipts[Lot Number],"&lt;="&amp;Receipts!$C977))</f>
        <v/>
      </c>
      <c r="K974" s="26" t="str">
        <f>IF($A974="","",SUMIFS(tblReceipts[Qty Received],tblReceipts[Item Name],$A974,tblReceipts[Expiry Date],"&lt;"&amp;$H974)+SUMIFS(tblReceipts[Qty Received],tblReceipts[Item Name],$A974,tblReceipts[Expiry Date],$H974,tblReceipts[Lot Number],"&lt;"&amp;Receipts!$C977))</f>
        <v/>
      </c>
      <c r="L974" s="26" t="str">
        <f>IF($A974="","",MIN($D974,MAX(0,SUMIFS(tblIssues[Qty Issued],tblIssues[Item Name],$A974)-$K974)))</f>
        <v/>
      </c>
      <c r="M974" s="26" t="str">
        <f>IF($A974="","",SUMIFS(tblIssues[Qty Issued],tblIssues[Lot Number],$B974))</f>
        <v/>
      </c>
      <c r="N974" s="26" t="str">
        <f t="shared" si="77"/>
        <v/>
      </c>
      <c r="O974" s="26" t="str">
        <f t="shared" si="78"/>
        <v/>
      </c>
      <c r="P974" s="21" t="str">
        <f t="shared" si="79"/>
        <v/>
      </c>
      <c r="Q974" s="52" t="str">
        <f>IF($A974="","",IF($O974&lt;=0,"Depleted",IF($I974&lt;0,"EXPIRED",IF($I974&lt;=Settings!$C$6,"CRITICAL",IF($I974&lt;=Settings!$C$5,"Expiring","In date")))))</f>
        <v/>
      </c>
    </row>
    <row r="975" spans="1:17" x14ac:dyDescent="0.35">
      <c r="A975" s="90" t="str">
        <f>IF(Receipts!$D978="","",Receipts!$D978)</f>
        <v/>
      </c>
      <c r="B975" s="18" t="str">
        <f>IF(Receipts!$C978="","",Receipts!$C978)</f>
        <v/>
      </c>
      <c r="C975" s="18" t="str">
        <f>IF($A975="","",IFERROR(INDEX(Items!$B$5:$B$597,MATCH($A975,Items!$A$5:$A$597,0)),""))</f>
        <v/>
      </c>
      <c r="D975" s="23" t="str">
        <f>IF($A975="","",N(Receipts!$G978))</f>
        <v/>
      </c>
      <c r="E975" s="20" t="str">
        <f>IF($A975="","",IFERROR(INDEX(Items!$D$5:$D$597,MATCH($A975,Items!$A$5:$A$597,0)),0))</f>
        <v/>
      </c>
      <c r="F975" s="21" t="str">
        <f t="shared" si="75"/>
        <v/>
      </c>
      <c r="G975" s="25" t="str">
        <f>IF(Receipts!$I978="","",Receipts!$I978)</f>
        <v/>
      </c>
      <c r="H975" s="25" t="str">
        <f>IF(Receipts!$H978="","",Receipts!$H978)</f>
        <v/>
      </c>
      <c r="I975" s="26" t="str">
        <f t="shared" ca="1" si="76"/>
        <v/>
      </c>
      <c r="J975" s="26" t="str">
        <f>IF($A975="","",COUNTIFS(tblReceipts[Item Name],$A975,tblReceipts[Expiry Date],"&lt;"&amp;$H975)+COUNTIFS(tblReceipts[Item Name],$A975,tblReceipts[Expiry Date],$H975,tblReceipts[Lot Number],"&lt;="&amp;Receipts!$C978))</f>
        <v/>
      </c>
      <c r="K975" s="26" t="str">
        <f>IF($A975="","",SUMIFS(tblReceipts[Qty Received],tblReceipts[Item Name],$A975,tblReceipts[Expiry Date],"&lt;"&amp;$H975)+SUMIFS(tblReceipts[Qty Received],tblReceipts[Item Name],$A975,tblReceipts[Expiry Date],$H975,tblReceipts[Lot Number],"&lt;"&amp;Receipts!$C978))</f>
        <v/>
      </c>
      <c r="L975" s="26" t="str">
        <f>IF($A975="","",MIN($D975,MAX(0,SUMIFS(tblIssues[Qty Issued],tblIssues[Item Name],$A975)-$K975)))</f>
        <v/>
      </c>
      <c r="M975" s="26" t="str">
        <f>IF($A975="","",SUMIFS(tblIssues[Qty Issued],tblIssues[Lot Number],$B975))</f>
        <v/>
      </c>
      <c r="N975" s="26" t="str">
        <f t="shared" si="77"/>
        <v/>
      </c>
      <c r="O975" s="26" t="str">
        <f t="shared" si="78"/>
        <v/>
      </c>
      <c r="P975" s="21" t="str">
        <f t="shared" si="79"/>
        <v/>
      </c>
      <c r="Q975" s="52" t="str">
        <f>IF($A975="","",IF($O975&lt;=0,"Depleted",IF($I975&lt;0,"EXPIRED",IF($I975&lt;=Settings!$C$6,"CRITICAL",IF($I975&lt;=Settings!$C$5,"Expiring","In date")))))</f>
        <v/>
      </c>
    </row>
    <row r="976" spans="1:17" x14ac:dyDescent="0.35">
      <c r="A976" s="90" t="str">
        <f>IF(Receipts!$D979="","",Receipts!$D979)</f>
        <v/>
      </c>
      <c r="B976" s="18" t="str">
        <f>IF(Receipts!$C979="","",Receipts!$C979)</f>
        <v/>
      </c>
      <c r="C976" s="18" t="str">
        <f>IF($A976="","",IFERROR(INDEX(Items!$B$5:$B$597,MATCH($A976,Items!$A$5:$A$597,0)),""))</f>
        <v/>
      </c>
      <c r="D976" s="23" t="str">
        <f>IF($A976="","",N(Receipts!$G979))</f>
        <v/>
      </c>
      <c r="E976" s="20" t="str">
        <f>IF($A976="","",IFERROR(INDEX(Items!$D$5:$D$597,MATCH($A976,Items!$A$5:$A$597,0)),0))</f>
        <v/>
      </c>
      <c r="F976" s="21" t="str">
        <f t="shared" si="75"/>
        <v/>
      </c>
      <c r="G976" s="25" t="str">
        <f>IF(Receipts!$I979="","",Receipts!$I979)</f>
        <v/>
      </c>
      <c r="H976" s="25" t="str">
        <f>IF(Receipts!$H979="","",Receipts!$H979)</f>
        <v/>
      </c>
      <c r="I976" s="26" t="str">
        <f t="shared" ca="1" si="76"/>
        <v/>
      </c>
      <c r="J976" s="26" t="str">
        <f>IF($A976="","",COUNTIFS(tblReceipts[Item Name],$A976,tblReceipts[Expiry Date],"&lt;"&amp;$H976)+COUNTIFS(tblReceipts[Item Name],$A976,tblReceipts[Expiry Date],$H976,tblReceipts[Lot Number],"&lt;="&amp;Receipts!$C979))</f>
        <v/>
      </c>
      <c r="K976" s="26" t="str">
        <f>IF($A976="","",SUMIFS(tblReceipts[Qty Received],tblReceipts[Item Name],$A976,tblReceipts[Expiry Date],"&lt;"&amp;$H976)+SUMIFS(tblReceipts[Qty Received],tblReceipts[Item Name],$A976,tblReceipts[Expiry Date],$H976,tblReceipts[Lot Number],"&lt;"&amp;Receipts!$C979))</f>
        <v/>
      </c>
      <c r="L976" s="26" t="str">
        <f>IF($A976="","",MIN($D976,MAX(0,SUMIFS(tblIssues[Qty Issued],tblIssues[Item Name],$A976)-$K976)))</f>
        <v/>
      </c>
      <c r="M976" s="26" t="str">
        <f>IF($A976="","",SUMIFS(tblIssues[Qty Issued],tblIssues[Lot Number],$B976))</f>
        <v/>
      </c>
      <c r="N976" s="26" t="str">
        <f t="shared" si="77"/>
        <v/>
      </c>
      <c r="O976" s="26" t="str">
        <f t="shared" si="78"/>
        <v/>
      </c>
      <c r="P976" s="21" t="str">
        <f t="shared" si="79"/>
        <v/>
      </c>
      <c r="Q976" s="52" t="str">
        <f>IF($A976="","",IF($O976&lt;=0,"Depleted",IF($I976&lt;0,"EXPIRED",IF($I976&lt;=Settings!$C$6,"CRITICAL",IF($I976&lt;=Settings!$C$5,"Expiring","In date")))))</f>
        <v/>
      </c>
    </row>
    <row r="977" spans="1:17" x14ac:dyDescent="0.35">
      <c r="A977" s="90" t="str">
        <f>IF(Receipts!$D980="","",Receipts!$D980)</f>
        <v/>
      </c>
      <c r="B977" s="18" t="str">
        <f>IF(Receipts!$C980="","",Receipts!$C980)</f>
        <v/>
      </c>
      <c r="C977" s="18" t="str">
        <f>IF($A977="","",IFERROR(INDEX(Items!$B$5:$B$597,MATCH($A977,Items!$A$5:$A$597,0)),""))</f>
        <v/>
      </c>
      <c r="D977" s="23" t="str">
        <f>IF($A977="","",N(Receipts!$G980))</f>
        <v/>
      </c>
      <c r="E977" s="20" t="str">
        <f>IF($A977="","",IFERROR(INDEX(Items!$D$5:$D$597,MATCH($A977,Items!$A$5:$A$597,0)),0))</f>
        <v/>
      </c>
      <c r="F977" s="21" t="str">
        <f t="shared" si="75"/>
        <v/>
      </c>
      <c r="G977" s="25" t="str">
        <f>IF(Receipts!$I980="","",Receipts!$I980)</f>
        <v/>
      </c>
      <c r="H977" s="25" t="str">
        <f>IF(Receipts!$H980="","",Receipts!$H980)</f>
        <v/>
      </c>
      <c r="I977" s="26" t="str">
        <f t="shared" ca="1" si="76"/>
        <v/>
      </c>
      <c r="J977" s="26" t="str">
        <f>IF($A977="","",COUNTIFS(tblReceipts[Item Name],$A977,tblReceipts[Expiry Date],"&lt;"&amp;$H977)+COUNTIFS(tblReceipts[Item Name],$A977,tblReceipts[Expiry Date],$H977,tblReceipts[Lot Number],"&lt;="&amp;Receipts!$C980))</f>
        <v/>
      </c>
      <c r="K977" s="26" t="str">
        <f>IF($A977="","",SUMIFS(tblReceipts[Qty Received],tblReceipts[Item Name],$A977,tblReceipts[Expiry Date],"&lt;"&amp;$H977)+SUMIFS(tblReceipts[Qty Received],tblReceipts[Item Name],$A977,tblReceipts[Expiry Date],$H977,tblReceipts[Lot Number],"&lt;"&amp;Receipts!$C980))</f>
        <v/>
      </c>
      <c r="L977" s="26" t="str">
        <f>IF($A977="","",MIN($D977,MAX(0,SUMIFS(tblIssues[Qty Issued],tblIssues[Item Name],$A977)-$K977)))</f>
        <v/>
      </c>
      <c r="M977" s="26" t="str">
        <f>IF($A977="","",SUMIFS(tblIssues[Qty Issued],tblIssues[Lot Number],$B977))</f>
        <v/>
      </c>
      <c r="N977" s="26" t="str">
        <f t="shared" si="77"/>
        <v/>
      </c>
      <c r="O977" s="26" t="str">
        <f t="shared" si="78"/>
        <v/>
      </c>
      <c r="P977" s="21" t="str">
        <f t="shared" si="79"/>
        <v/>
      </c>
      <c r="Q977" s="52" t="str">
        <f>IF($A977="","",IF($O977&lt;=0,"Depleted",IF($I977&lt;0,"EXPIRED",IF($I977&lt;=Settings!$C$6,"CRITICAL",IF($I977&lt;=Settings!$C$5,"Expiring","In date")))))</f>
        <v/>
      </c>
    </row>
    <row r="978" spans="1:17" x14ac:dyDescent="0.35">
      <c r="A978" s="90" t="str">
        <f>IF(Receipts!$D981="","",Receipts!$D981)</f>
        <v/>
      </c>
      <c r="B978" s="18" t="str">
        <f>IF(Receipts!$C981="","",Receipts!$C981)</f>
        <v/>
      </c>
      <c r="C978" s="18" t="str">
        <f>IF($A978="","",IFERROR(INDEX(Items!$B$5:$B$597,MATCH($A978,Items!$A$5:$A$597,0)),""))</f>
        <v/>
      </c>
      <c r="D978" s="23" t="str">
        <f>IF($A978="","",N(Receipts!$G981))</f>
        <v/>
      </c>
      <c r="E978" s="20" t="str">
        <f>IF($A978="","",IFERROR(INDEX(Items!$D$5:$D$597,MATCH($A978,Items!$A$5:$A$597,0)),0))</f>
        <v/>
      </c>
      <c r="F978" s="21" t="str">
        <f t="shared" si="75"/>
        <v/>
      </c>
      <c r="G978" s="25" t="str">
        <f>IF(Receipts!$I981="","",Receipts!$I981)</f>
        <v/>
      </c>
      <c r="H978" s="25" t="str">
        <f>IF(Receipts!$H981="","",Receipts!$H981)</f>
        <v/>
      </c>
      <c r="I978" s="26" t="str">
        <f t="shared" ca="1" si="76"/>
        <v/>
      </c>
      <c r="J978" s="26" t="str">
        <f>IF($A978="","",COUNTIFS(tblReceipts[Item Name],$A978,tblReceipts[Expiry Date],"&lt;"&amp;$H978)+COUNTIFS(tblReceipts[Item Name],$A978,tblReceipts[Expiry Date],$H978,tblReceipts[Lot Number],"&lt;="&amp;Receipts!$C981))</f>
        <v/>
      </c>
      <c r="K978" s="26" t="str">
        <f>IF($A978="","",SUMIFS(tblReceipts[Qty Received],tblReceipts[Item Name],$A978,tblReceipts[Expiry Date],"&lt;"&amp;$H978)+SUMIFS(tblReceipts[Qty Received],tblReceipts[Item Name],$A978,tblReceipts[Expiry Date],$H978,tblReceipts[Lot Number],"&lt;"&amp;Receipts!$C981))</f>
        <v/>
      </c>
      <c r="L978" s="26" t="str">
        <f>IF($A978="","",MIN($D978,MAX(0,SUMIFS(tblIssues[Qty Issued],tblIssues[Item Name],$A978)-$K978)))</f>
        <v/>
      </c>
      <c r="M978" s="26" t="str">
        <f>IF($A978="","",SUMIFS(tblIssues[Qty Issued],tblIssues[Lot Number],$B978))</f>
        <v/>
      </c>
      <c r="N978" s="26" t="str">
        <f t="shared" si="77"/>
        <v/>
      </c>
      <c r="O978" s="26" t="str">
        <f t="shared" si="78"/>
        <v/>
      </c>
      <c r="P978" s="21" t="str">
        <f t="shared" si="79"/>
        <v/>
      </c>
      <c r="Q978" s="52" t="str">
        <f>IF($A978="","",IF($O978&lt;=0,"Depleted",IF($I978&lt;0,"EXPIRED",IF($I978&lt;=Settings!$C$6,"CRITICAL",IF($I978&lt;=Settings!$C$5,"Expiring","In date")))))</f>
        <v/>
      </c>
    </row>
    <row r="979" spans="1:17" x14ac:dyDescent="0.35">
      <c r="A979" s="90" t="str">
        <f>IF(Receipts!$D982="","",Receipts!$D982)</f>
        <v/>
      </c>
      <c r="B979" s="18" t="str">
        <f>IF(Receipts!$C982="","",Receipts!$C982)</f>
        <v/>
      </c>
      <c r="C979" s="18" t="str">
        <f>IF($A979="","",IFERROR(INDEX(Items!$B$5:$B$597,MATCH($A979,Items!$A$5:$A$597,0)),""))</f>
        <v/>
      </c>
      <c r="D979" s="23" t="str">
        <f>IF($A979="","",N(Receipts!$G982))</f>
        <v/>
      </c>
      <c r="E979" s="20" t="str">
        <f>IF($A979="","",IFERROR(INDEX(Items!$D$5:$D$597,MATCH($A979,Items!$A$5:$A$597,0)),0))</f>
        <v/>
      </c>
      <c r="F979" s="21" t="str">
        <f t="shared" si="75"/>
        <v/>
      </c>
      <c r="G979" s="25" t="str">
        <f>IF(Receipts!$I982="","",Receipts!$I982)</f>
        <v/>
      </c>
      <c r="H979" s="25" t="str">
        <f>IF(Receipts!$H982="","",Receipts!$H982)</f>
        <v/>
      </c>
      <c r="I979" s="26" t="str">
        <f t="shared" ca="1" si="76"/>
        <v/>
      </c>
      <c r="J979" s="26" t="str">
        <f>IF($A979="","",COUNTIFS(tblReceipts[Item Name],$A979,tblReceipts[Expiry Date],"&lt;"&amp;$H979)+COUNTIFS(tblReceipts[Item Name],$A979,tblReceipts[Expiry Date],$H979,tblReceipts[Lot Number],"&lt;="&amp;Receipts!$C982))</f>
        <v/>
      </c>
      <c r="K979" s="26" t="str">
        <f>IF($A979="","",SUMIFS(tblReceipts[Qty Received],tblReceipts[Item Name],$A979,tblReceipts[Expiry Date],"&lt;"&amp;$H979)+SUMIFS(tblReceipts[Qty Received],tblReceipts[Item Name],$A979,tblReceipts[Expiry Date],$H979,tblReceipts[Lot Number],"&lt;"&amp;Receipts!$C982))</f>
        <v/>
      </c>
      <c r="L979" s="26" t="str">
        <f>IF($A979="","",MIN($D979,MAX(0,SUMIFS(tblIssues[Qty Issued],tblIssues[Item Name],$A979)-$K979)))</f>
        <v/>
      </c>
      <c r="M979" s="26" t="str">
        <f>IF($A979="","",SUMIFS(tblIssues[Qty Issued],tblIssues[Lot Number],$B979))</f>
        <v/>
      </c>
      <c r="N979" s="26" t="str">
        <f t="shared" si="77"/>
        <v/>
      </c>
      <c r="O979" s="26" t="str">
        <f t="shared" si="78"/>
        <v/>
      </c>
      <c r="P979" s="21" t="str">
        <f t="shared" si="79"/>
        <v/>
      </c>
      <c r="Q979" s="52" t="str">
        <f>IF($A979="","",IF($O979&lt;=0,"Depleted",IF($I979&lt;0,"EXPIRED",IF($I979&lt;=Settings!$C$6,"CRITICAL",IF($I979&lt;=Settings!$C$5,"Expiring","In date")))))</f>
        <v/>
      </c>
    </row>
    <row r="980" spans="1:17" x14ac:dyDescent="0.35">
      <c r="A980" s="90" t="str">
        <f>IF(Receipts!$D983="","",Receipts!$D983)</f>
        <v/>
      </c>
      <c r="B980" s="18" t="str">
        <f>IF(Receipts!$C983="","",Receipts!$C983)</f>
        <v/>
      </c>
      <c r="C980" s="18" t="str">
        <f>IF($A980="","",IFERROR(INDEX(Items!$B$5:$B$597,MATCH($A980,Items!$A$5:$A$597,0)),""))</f>
        <v/>
      </c>
      <c r="D980" s="23" t="str">
        <f>IF($A980="","",N(Receipts!$G983))</f>
        <v/>
      </c>
      <c r="E980" s="20" t="str">
        <f>IF($A980="","",IFERROR(INDEX(Items!$D$5:$D$597,MATCH($A980,Items!$A$5:$A$597,0)),0))</f>
        <v/>
      </c>
      <c r="F980" s="21" t="str">
        <f t="shared" si="75"/>
        <v/>
      </c>
      <c r="G980" s="25" t="str">
        <f>IF(Receipts!$I983="","",Receipts!$I983)</f>
        <v/>
      </c>
      <c r="H980" s="25" t="str">
        <f>IF(Receipts!$H983="","",Receipts!$H983)</f>
        <v/>
      </c>
      <c r="I980" s="26" t="str">
        <f t="shared" ca="1" si="76"/>
        <v/>
      </c>
      <c r="J980" s="26" t="str">
        <f>IF($A980="","",COUNTIFS(tblReceipts[Item Name],$A980,tblReceipts[Expiry Date],"&lt;"&amp;$H980)+COUNTIFS(tblReceipts[Item Name],$A980,tblReceipts[Expiry Date],$H980,tblReceipts[Lot Number],"&lt;="&amp;Receipts!$C983))</f>
        <v/>
      </c>
      <c r="K980" s="26" t="str">
        <f>IF($A980="","",SUMIFS(tblReceipts[Qty Received],tblReceipts[Item Name],$A980,tblReceipts[Expiry Date],"&lt;"&amp;$H980)+SUMIFS(tblReceipts[Qty Received],tblReceipts[Item Name],$A980,tblReceipts[Expiry Date],$H980,tblReceipts[Lot Number],"&lt;"&amp;Receipts!$C983))</f>
        <v/>
      </c>
      <c r="L980" s="26" t="str">
        <f>IF($A980="","",MIN($D980,MAX(0,SUMIFS(tblIssues[Qty Issued],tblIssues[Item Name],$A980)-$K980)))</f>
        <v/>
      </c>
      <c r="M980" s="26" t="str">
        <f>IF($A980="","",SUMIFS(tblIssues[Qty Issued],tblIssues[Lot Number],$B980))</f>
        <v/>
      </c>
      <c r="N980" s="26" t="str">
        <f t="shared" si="77"/>
        <v/>
      </c>
      <c r="O980" s="26" t="str">
        <f t="shared" si="78"/>
        <v/>
      </c>
      <c r="P980" s="21" t="str">
        <f t="shared" si="79"/>
        <v/>
      </c>
      <c r="Q980" s="52" t="str">
        <f>IF($A980="","",IF($O980&lt;=0,"Depleted",IF($I980&lt;0,"EXPIRED",IF($I980&lt;=Settings!$C$6,"CRITICAL",IF($I980&lt;=Settings!$C$5,"Expiring","In date")))))</f>
        <v/>
      </c>
    </row>
    <row r="981" spans="1:17" x14ac:dyDescent="0.35">
      <c r="A981" s="90" t="str">
        <f>IF(Receipts!$D984="","",Receipts!$D984)</f>
        <v/>
      </c>
      <c r="B981" s="18" t="str">
        <f>IF(Receipts!$C984="","",Receipts!$C984)</f>
        <v/>
      </c>
      <c r="C981" s="18" t="str">
        <f>IF($A981="","",IFERROR(INDEX(Items!$B$5:$B$597,MATCH($A981,Items!$A$5:$A$597,0)),""))</f>
        <v/>
      </c>
      <c r="D981" s="23" t="str">
        <f>IF($A981="","",N(Receipts!$G984))</f>
        <v/>
      </c>
      <c r="E981" s="20" t="str">
        <f>IF($A981="","",IFERROR(INDEX(Items!$D$5:$D$597,MATCH($A981,Items!$A$5:$A$597,0)),0))</f>
        <v/>
      </c>
      <c r="F981" s="21" t="str">
        <f t="shared" si="75"/>
        <v/>
      </c>
      <c r="G981" s="25" t="str">
        <f>IF(Receipts!$I984="","",Receipts!$I984)</f>
        <v/>
      </c>
      <c r="H981" s="25" t="str">
        <f>IF(Receipts!$H984="","",Receipts!$H984)</f>
        <v/>
      </c>
      <c r="I981" s="26" t="str">
        <f t="shared" ca="1" si="76"/>
        <v/>
      </c>
      <c r="J981" s="26" t="str">
        <f>IF($A981="","",COUNTIFS(tblReceipts[Item Name],$A981,tblReceipts[Expiry Date],"&lt;"&amp;$H981)+COUNTIFS(tblReceipts[Item Name],$A981,tblReceipts[Expiry Date],$H981,tblReceipts[Lot Number],"&lt;="&amp;Receipts!$C984))</f>
        <v/>
      </c>
      <c r="K981" s="26" t="str">
        <f>IF($A981="","",SUMIFS(tblReceipts[Qty Received],tblReceipts[Item Name],$A981,tblReceipts[Expiry Date],"&lt;"&amp;$H981)+SUMIFS(tblReceipts[Qty Received],tblReceipts[Item Name],$A981,tblReceipts[Expiry Date],$H981,tblReceipts[Lot Number],"&lt;"&amp;Receipts!$C984))</f>
        <v/>
      </c>
      <c r="L981" s="26" t="str">
        <f>IF($A981="","",MIN($D981,MAX(0,SUMIFS(tblIssues[Qty Issued],tblIssues[Item Name],$A981)-$K981)))</f>
        <v/>
      </c>
      <c r="M981" s="26" t="str">
        <f>IF($A981="","",SUMIFS(tblIssues[Qty Issued],tblIssues[Lot Number],$B981))</f>
        <v/>
      </c>
      <c r="N981" s="26" t="str">
        <f t="shared" si="77"/>
        <v/>
      </c>
      <c r="O981" s="26" t="str">
        <f t="shared" si="78"/>
        <v/>
      </c>
      <c r="P981" s="21" t="str">
        <f t="shared" si="79"/>
        <v/>
      </c>
      <c r="Q981" s="52" t="str">
        <f>IF($A981="","",IF($O981&lt;=0,"Depleted",IF($I981&lt;0,"EXPIRED",IF($I981&lt;=Settings!$C$6,"CRITICAL",IF($I981&lt;=Settings!$C$5,"Expiring","In date")))))</f>
        <v/>
      </c>
    </row>
    <row r="982" spans="1:17" x14ac:dyDescent="0.35">
      <c r="A982" s="90" t="str">
        <f>IF(Receipts!$D985="","",Receipts!$D985)</f>
        <v/>
      </c>
      <c r="B982" s="18" t="str">
        <f>IF(Receipts!$C985="","",Receipts!$C985)</f>
        <v/>
      </c>
      <c r="C982" s="18" t="str">
        <f>IF($A982="","",IFERROR(INDEX(Items!$B$5:$B$597,MATCH($A982,Items!$A$5:$A$597,0)),""))</f>
        <v/>
      </c>
      <c r="D982" s="23" t="str">
        <f>IF($A982="","",N(Receipts!$G985))</f>
        <v/>
      </c>
      <c r="E982" s="20" t="str">
        <f>IF($A982="","",IFERROR(INDEX(Items!$D$5:$D$597,MATCH($A982,Items!$A$5:$A$597,0)),0))</f>
        <v/>
      </c>
      <c r="F982" s="21" t="str">
        <f t="shared" si="75"/>
        <v/>
      </c>
      <c r="G982" s="25" t="str">
        <f>IF(Receipts!$I985="","",Receipts!$I985)</f>
        <v/>
      </c>
      <c r="H982" s="25" t="str">
        <f>IF(Receipts!$H985="","",Receipts!$H985)</f>
        <v/>
      </c>
      <c r="I982" s="26" t="str">
        <f t="shared" ca="1" si="76"/>
        <v/>
      </c>
      <c r="J982" s="26" t="str">
        <f>IF($A982="","",COUNTIFS(tblReceipts[Item Name],$A982,tblReceipts[Expiry Date],"&lt;"&amp;$H982)+COUNTIFS(tblReceipts[Item Name],$A982,tblReceipts[Expiry Date],$H982,tblReceipts[Lot Number],"&lt;="&amp;Receipts!$C985))</f>
        <v/>
      </c>
      <c r="K982" s="26" t="str">
        <f>IF($A982="","",SUMIFS(tblReceipts[Qty Received],tblReceipts[Item Name],$A982,tblReceipts[Expiry Date],"&lt;"&amp;$H982)+SUMIFS(tblReceipts[Qty Received],tblReceipts[Item Name],$A982,tblReceipts[Expiry Date],$H982,tblReceipts[Lot Number],"&lt;"&amp;Receipts!$C985))</f>
        <v/>
      </c>
      <c r="L982" s="26" t="str">
        <f>IF($A982="","",MIN($D982,MAX(0,SUMIFS(tblIssues[Qty Issued],tblIssues[Item Name],$A982)-$K982)))</f>
        <v/>
      </c>
      <c r="M982" s="26" t="str">
        <f>IF($A982="","",SUMIFS(tblIssues[Qty Issued],tblIssues[Lot Number],$B982))</f>
        <v/>
      </c>
      <c r="N982" s="26" t="str">
        <f t="shared" si="77"/>
        <v/>
      </c>
      <c r="O982" s="26" t="str">
        <f t="shared" si="78"/>
        <v/>
      </c>
      <c r="P982" s="21" t="str">
        <f t="shared" si="79"/>
        <v/>
      </c>
      <c r="Q982" s="52" t="str">
        <f>IF($A982="","",IF($O982&lt;=0,"Depleted",IF($I982&lt;0,"EXPIRED",IF($I982&lt;=Settings!$C$6,"CRITICAL",IF($I982&lt;=Settings!$C$5,"Expiring","In date")))))</f>
        <v/>
      </c>
    </row>
    <row r="983" spans="1:17" x14ac:dyDescent="0.35">
      <c r="A983" s="90" t="str">
        <f>IF(Receipts!$D986="","",Receipts!$D986)</f>
        <v/>
      </c>
      <c r="B983" s="18" t="str">
        <f>IF(Receipts!$C986="","",Receipts!$C986)</f>
        <v/>
      </c>
      <c r="C983" s="18" t="str">
        <f>IF($A983="","",IFERROR(INDEX(Items!$B$5:$B$597,MATCH($A983,Items!$A$5:$A$597,0)),""))</f>
        <v/>
      </c>
      <c r="D983" s="23" t="str">
        <f>IF($A983="","",N(Receipts!$G986))</f>
        <v/>
      </c>
      <c r="E983" s="20" t="str">
        <f>IF($A983="","",IFERROR(INDEX(Items!$D$5:$D$597,MATCH($A983,Items!$A$5:$A$597,0)),0))</f>
        <v/>
      </c>
      <c r="F983" s="21" t="str">
        <f t="shared" si="75"/>
        <v/>
      </c>
      <c r="G983" s="25" t="str">
        <f>IF(Receipts!$I986="","",Receipts!$I986)</f>
        <v/>
      </c>
      <c r="H983" s="25" t="str">
        <f>IF(Receipts!$H986="","",Receipts!$H986)</f>
        <v/>
      </c>
      <c r="I983" s="26" t="str">
        <f t="shared" ca="1" si="76"/>
        <v/>
      </c>
      <c r="J983" s="26" t="str">
        <f>IF($A983="","",COUNTIFS(tblReceipts[Item Name],$A983,tblReceipts[Expiry Date],"&lt;"&amp;$H983)+COUNTIFS(tblReceipts[Item Name],$A983,tblReceipts[Expiry Date],$H983,tblReceipts[Lot Number],"&lt;="&amp;Receipts!$C986))</f>
        <v/>
      </c>
      <c r="K983" s="26" t="str">
        <f>IF($A983="","",SUMIFS(tblReceipts[Qty Received],tblReceipts[Item Name],$A983,tblReceipts[Expiry Date],"&lt;"&amp;$H983)+SUMIFS(tblReceipts[Qty Received],tblReceipts[Item Name],$A983,tblReceipts[Expiry Date],$H983,tblReceipts[Lot Number],"&lt;"&amp;Receipts!$C986))</f>
        <v/>
      </c>
      <c r="L983" s="26" t="str">
        <f>IF($A983="","",MIN($D983,MAX(0,SUMIFS(tblIssues[Qty Issued],tblIssues[Item Name],$A983)-$K983)))</f>
        <v/>
      </c>
      <c r="M983" s="26" t="str">
        <f>IF($A983="","",SUMIFS(tblIssues[Qty Issued],tblIssues[Lot Number],$B983))</f>
        <v/>
      </c>
      <c r="N983" s="26" t="str">
        <f t="shared" si="77"/>
        <v/>
      </c>
      <c r="O983" s="26" t="str">
        <f t="shared" si="78"/>
        <v/>
      </c>
      <c r="P983" s="21" t="str">
        <f t="shared" si="79"/>
        <v/>
      </c>
      <c r="Q983" s="52" t="str">
        <f>IF($A983="","",IF($O983&lt;=0,"Depleted",IF($I983&lt;0,"EXPIRED",IF($I983&lt;=Settings!$C$6,"CRITICAL",IF($I983&lt;=Settings!$C$5,"Expiring","In date")))))</f>
        <v/>
      </c>
    </row>
    <row r="984" spans="1:17" x14ac:dyDescent="0.35">
      <c r="A984" s="90" t="str">
        <f>IF(Receipts!$D987="","",Receipts!$D987)</f>
        <v/>
      </c>
      <c r="B984" s="18" t="str">
        <f>IF(Receipts!$C987="","",Receipts!$C987)</f>
        <v/>
      </c>
      <c r="C984" s="18" t="str">
        <f>IF($A984="","",IFERROR(INDEX(Items!$B$5:$B$597,MATCH($A984,Items!$A$5:$A$597,0)),""))</f>
        <v/>
      </c>
      <c r="D984" s="23" t="str">
        <f>IF($A984="","",N(Receipts!$G987))</f>
        <v/>
      </c>
      <c r="E984" s="20" t="str">
        <f>IF($A984="","",IFERROR(INDEX(Items!$D$5:$D$597,MATCH($A984,Items!$A$5:$A$597,0)),0))</f>
        <v/>
      </c>
      <c r="F984" s="21" t="str">
        <f t="shared" si="75"/>
        <v/>
      </c>
      <c r="G984" s="25" t="str">
        <f>IF(Receipts!$I987="","",Receipts!$I987)</f>
        <v/>
      </c>
      <c r="H984" s="25" t="str">
        <f>IF(Receipts!$H987="","",Receipts!$H987)</f>
        <v/>
      </c>
      <c r="I984" s="26" t="str">
        <f t="shared" ca="1" si="76"/>
        <v/>
      </c>
      <c r="J984" s="26" t="str">
        <f>IF($A984="","",COUNTIFS(tblReceipts[Item Name],$A984,tblReceipts[Expiry Date],"&lt;"&amp;$H984)+COUNTIFS(tblReceipts[Item Name],$A984,tblReceipts[Expiry Date],$H984,tblReceipts[Lot Number],"&lt;="&amp;Receipts!$C987))</f>
        <v/>
      </c>
      <c r="K984" s="26" t="str">
        <f>IF($A984="","",SUMIFS(tblReceipts[Qty Received],tblReceipts[Item Name],$A984,tblReceipts[Expiry Date],"&lt;"&amp;$H984)+SUMIFS(tblReceipts[Qty Received],tblReceipts[Item Name],$A984,tblReceipts[Expiry Date],$H984,tblReceipts[Lot Number],"&lt;"&amp;Receipts!$C987))</f>
        <v/>
      </c>
      <c r="L984" s="26" t="str">
        <f>IF($A984="","",MIN($D984,MAX(0,SUMIFS(tblIssues[Qty Issued],tblIssues[Item Name],$A984)-$K984)))</f>
        <v/>
      </c>
      <c r="M984" s="26" t="str">
        <f>IF($A984="","",SUMIFS(tblIssues[Qty Issued],tblIssues[Lot Number],$B984))</f>
        <v/>
      </c>
      <c r="N984" s="26" t="str">
        <f t="shared" si="77"/>
        <v/>
      </c>
      <c r="O984" s="26" t="str">
        <f t="shared" si="78"/>
        <v/>
      </c>
      <c r="P984" s="21" t="str">
        <f t="shared" si="79"/>
        <v/>
      </c>
      <c r="Q984" s="52" t="str">
        <f>IF($A984="","",IF($O984&lt;=0,"Depleted",IF($I984&lt;0,"EXPIRED",IF($I984&lt;=Settings!$C$6,"CRITICAL",IF($I984&lt;=Settings!$C$5,"Expiring","In date")))))</f>
        <v/>
      </c>
    </row>
    <row r="985" spans="1:17" x14ac:dyDescent="0.35">
      <c r="A985" s="90" t="str">
        <f>IF(Receipts!$D988="","",Receipts!$D988)</f>
        <v/>
      </c>
      <c r="B985" s="18" t="str">
        <f>IF(Receipts!$C988="","",Receipts!$C988)</f>
        <v/>
      </c>
      <c r="C985" s="18" t="str">
        <f>IF($A985="","",IFERROR(INDEX(Items!$B$5:$B$597,MATCH($A985,Items!$A$5:$A$597,0)),""))</f>
        <v/>
      </c>
      <c r="D985" s="23" t="str">
        <f>IF($A985="","",N(Receipts!$G988))</f>
        <v/>
      </c>
      <c r="E985" s="20" t="str">
        <f>IF($A985="","",IFERROR(INDEX(Items!$D$5:$D$597,MATCH($A985,Items!$A$5:$A$597,0)),0))</f>
        <v/>
      </c>
      <c r="F985" s="21" t="str">
        <f t="shared" si="75"/>
        <v/>
      </c>
      <c r="G985" s="25" t="str">
        <f>IF(Receipts!$I988="","",Receipts!$I988)</f>
        <v/>
      </c>
      <c r="H985" s="25" t="str">
        <f>IF(Receipts!$H988="","",Receipts!$H988)</f>
        <v/>
      </c>
      <c r="I985" s="26" t="str">
        <f t="shared" ca="1" si="76"/>
        <v/>
      </c>
      <c r="J985" s="26" t="str">
        <f>IF($A985="","",COUNTIFS(tblReceipts[Item Name],$A985,tblReceipts[Expiry Date],"&lt;"&amp;$H985)+COUNTIFS(tblReceipts[Item Name],$A985,tblReceipts[Expiry Date],$H985,tblReceipts[Lot Number],"&lt;="&amp;Receipts!$C988))</f>
        <v/>
      </c>
      <c r="K985" s="26" t="str">
        <f>IF($A985="","",SUMIFS(tblReceipts[Qty Received],tblReceipts[Item Name],$A985,tblReceipts[Expiry Date],"&lt;"&amp;$H985)+SUMIFS(tblReceipts[Qty Received],tblReceipts[Item Name],$A985,tblReceipts[Expiry Date],$H985,tblReceipts[Lot Number],"&lt;"&amp;Receipts!$C988))</f>
        <v/>
      </c>
      <c r="L985" s="26" t="str">
        <f>IF($A985="","",MIN($D985,MAX(0,SUMIFS(tblIssues[Qty Issued],tblIssues[Item Name],$A985)-$K985)))</f>
        <v/>
      </c>
      <c r="M985" s="26" t="str">
        <f>IF($A985="","",SUMIFS(tblIssues[Qty Issued],tblIssues[Lot Number],$B985))</f>
        <v/>
      </c>
      <c r="N985" s="26" t="str">
        <f t="shared" si="77"/>
        <v/>
      </c>
      <c r="O985" s="26" t="str">
        <f t="shared" si="78"/>
        <v/>
      </c>
      <c r="P985" s="21" t="str">
        <f t="shared" si="79"/>
        <v/>
      </c>
      <c r="Q985" s="52" t="str">
        <f>IF($A985="","",IF($O985&lt;=0,"Depleted",IF($I985&lt;0,"EXPIRED",IF($I985&lt;=Settings!$C$6,"CRITICAL",IF($I985&lt;=Settings!$C$5,"Expiring","In date")))))</f>
        <v/>
      </c>
    </row>
    <row r="986" spans="1:17" x14ac:dyDescent="0.35">
      <c r="A986" s="90" t="str">
        <f>IF(Receipts!$D989="","",Receipts!$D989)</f>
        <v/>
      </c>
      <c r="B986" s="18" t="str">
        <f>IF(Receipts!$C989="","",Receipts!$C989)</f>
        <v/>
      </c>
      <c r="C986" s="18" t="str">
        <f>IF($A986="","",IFERROR(INDEX(Items!$B$5:$B$597,MATCH($A986,Items!$A$5:$A$597,0)),""))</f>
        <v/>
      </c>
      <c r="D986" s="23" t="str">
        <f>IF($A986="","",N(Receipts!$G989))</f>
        <v/>
      </c>
      <c r="E986" s="20" t="str">
        <f>IF($A986="","",IFERROR(INDEX(Items!$D$5:$D$597,MATCH($A986,Items!$A$5:$A$597,0)),0))</f>
        <v/>
      </c>
      <c r="F986" s="21" t="str">
        <f t="shared" si="75"/>
        <v/>
      </c>
      <c r="G986" s="25" t="str">
        <f>IF(Receipts!$I989="","",Receipts!$I989)</f>
        <v/>
      </c>
      <c r="H986" s="25" t="str">
        <f>IF(Receipts!$H989="","",Receipts!$H989)</f>
        <v/>
      </c>
      <c r="I986" s="26" t="str">
        <f t="shared" ca="1" si="76"/>
        <v/>
      </c>
      <c r="J986" s="26" t="str">
        <f>IF($A986="","",COUNTIFS(tblReceipts[Item Name],$A986,tblReceipts[Expiry Date],"&lt;"&amp;$H986)+COUNTIFS(tblReceipts[Item Name],$A986,tblReceipts[Expiry Date],$H986,tblReceipts[Lot Number],"&lt;="&amp;Receipts!$C989))</f>
        <v/>
      </c>
      <c r="K986" s="26" t="str">
        <f>IF($A986="","",SUMIFS(tblReceipts[Qty Received],tblReceipts[Item Name],$A986,tblReceipts[Expiry Date],"&lt;"&amp;$H986)+SUMIFS(tblReceipts[Qty Received],tblReceipts[Item Name],$A986,tblReceipts[Expiry Date],$H986,tblReceipts[Lot Number],"&lt;"&amp;Receipts!$C989))</f>
        <v/>
      </c>
      <c r="L986" s="26" t="str">
        <f>IF($A986="","",MIN($D986,MAX(0,SUMIFS(tblIssues[Qty Issued],tblIssues[Item Name],$A986)-$K986)))</f>
        <v/>
      </c>
      <c r="M986" s="26" t="str">
        <f>IF($A986="","",SUMIFS(tblIssues[Qty Issued],tblIssues[Lot Number],$B986))</f>
        <v/>
      </c>
      <c r="N986" s="26" t="str">
        <f t="shared" si="77"/>
        <v/>
      </c>
      <c r="O986" s="26" t="str">
        <f t="shared" si="78"/>
        <v/>
      </c>
      <c r="P986" s="21" t="str">
        <f t="shared" si="79"/>
        <v/>
      </c>
      <c r="Q986" s="52" t="str">
        <f>IF($A986="","",IF($O986&lt;=0,"Depleted",IF($I986&lt;0,"EXPIRED",IF($I986&lt;=Settings!$C$6,"CRITICAL",IF($I986&lt;=Settings!$C$5,"Expiring","In date")))))</f>
        <v/>
      </c>
    </row>
    <row r="987" spans="1:17" x14ac:dyDescent="0.35">
      <c r="A987" s="90" t="str">
        <f>IF(Receipts!$D990="","",Receipts!$D990)</f>
        <v/>
      </c>
      <c r="B987" s="18" t="str">
        <f>IF(Receipts!$C990="","",Receipts!$C990)</f>
        <v/>
      </c>
      <c r="C987" s="18" t="str">
        <f>IF($A987="","",IFERROR(INDEX(Items!$B$5:$B$597,MATCH($A987,Items!$A$5:$A$597,0)),""))</f>
        <v/>
      </c>
      <c r="D987" s="23" t="str">
        <f>IF($A987="","",N(Receipts!$G990))</f>
        <v/>
      </c>
      <c r="E987" s="20" t="str">
        <f>IF($A987="","",IFERROR(INDEX(Items!$D$5:$D$597,MATCH($A987,Items!$A$5:$A$597,0)),0))</f>
        <v/>
      </c>
      <c r="F987" s="21" t="str">
        <f t="shared" si="75"/>
        <v/>
      </c>
      <c r="G987" s="25" t="str">
        <f>IF(Receipts!$I990="","",Receipts!$I990)</f>
        <v/>
      </c>
      <c r="H987" s="25" t="str">
        <f>IF(Receipts!$H990="","",Receipts!$H990)</f>
        <v/>
      </c>
      <c r="I987" s="26" t="str">
        <f t="shared" ca="1" si="76"/>
        <v/>
      </c>
      <c r="J987" s="26" t="str">
        <f>IF($A987="","",COUNTIFS(tblReceipts[Item Name],$A987,tblReceipts[Expiry Date],"&lt;"&amp;$H987)+COUNTIFS(tblReceipts[Item Name],$A987,tblReceipts[Expiry Date],$H987,tblReceipts[Lot Number],"&lt;="&amp;Receipts!$C990))</f>
        <v/>
      </c>
      <c r="K987" s="26" t="str">
        <f>IF($A987="","",SUMIFS(tblReceipts[Qty Received],tblReceipts[Item Name],$A987,tblReceipts[Expiry Date],"&lt;"&amp;$H987)+SUMIFS(tblReceipts[Qty Received],tblReceipts[Item Name],$A987,tblReceipts[Expiry Date],$H987,tblReceipts[Lot Number],"&lt;"&amp;Receipts!$C990))</f>
        <v/>
      </c>
      <c r="L987" s="26" t="str">
        <f>IF($A987="","",MIN($D987,MAX(0,SUMIFS(tblIssues[Qty Issued],tblIssues[Item Name],$A987)-$K987)))</f>
        <v/>
      </c>
      <c r="M987" s="26" t="str">
        <f>IF($A987="","",SUMIFS(tblIssues[Qty Issued],tblIssues[Lot Number],$B987))</f>
        <v/>
      </c>
      <c r="N987" s="26" t="str">
        <f t="shared" si="77"/>
        <v/>
      </c>
      <c r="O987" s="26" t="str">
        <f t="shared" si="78"/>
        <v/>
      </c>
      <c r="P987" s="21" t="str">
        <f t="shared" si="79"/>
        <v/>
      </c>
      <c r="Q987" s="52" t="str">
        <f>IF($A987="","",IF($O987&lt;=0,"Depleted",IF($I987&lt;0,"EXPIRED",IF($I987&lt;=Settings!$C$6,"CRITICAL",IF($I987&lt;=Settings!$C$5,"Expiring","In date")))))</f>
        <v/>
      </c>
    </row>
    <row r="988" spans="1:17" x14ac:dyDescent="0.35">
      <c r="A988" s="90" t="str">
        <f>IF(Receipts!$D991="","",Receipts!$D991)</f>
        <v/>
      </c>
      <c r="B988" s="18" t="str">
        <f>IF(Receipts!$C991="","",Receipts!$C991)</f>
        <v/>
      </c>
      <c r="C988" s="18" t="str">
        <f>IF($A988="","",IFERROR(INDEX(Items!$B$5:$B$597,MATCH($A988,Items!$A$5:$A$597,0)),""))</f>
        <v/>
      </c>
      <c r="D988" s="23" t="str">
        <f>IF($A988="","",N(Receipts!$G991))</f>
        <v/>
      </c>
      <c r="E988" s="20" t="str">
        <f>IF($A988="","",IFERROR(INDEX(Items!$D$5:$D$597,MATCH($A988,Items!$A$5:$A$597,0)),0))</f>
        <v/>
      </c>
      <c r="F988" s="21" t="str">
        <f t="shared" si="75"/>
        <v/>
      </c>
      <c r="G988" s="25" t="str">
        <f>IF(Receipts!$I991="","",Receipts!$I991)</f>
        <v/>
      </c>
      <c r="H988" s="25" t="str">
        <f>IF(Receipts!$H991="","",Receipts!$H991)</f>
        <v/>
      </c>
      <c r="I988" s="26" t="str">
        <f t="shared" ca="1" si="76"/>
        <v/>
      </c>
      <c r="J988" s="26" t="str">
        <f>IF($A988="","",COUNTIFS(tblReceipts[Item Name],$A988,tblReceipts[Expiry Date],"&lt;"&amp;$H988)+COUNTIFS(tblReceipts[Item Name],$A988,tblReceipts[Expiry Date],$H988,tblReceipts[Lot Number],"&lt;="&amp;Receipts!$C991))</f>
        <v/>
      </c>
      <c r="K988" s="26" t="str">
        <f>IF($A988="","",SUMIFS(tblReceipts[Qty Received],tblReceipts[Item Name],$A988,tblReceipts[Expiry Date],"&lt;"&amp;$H988)+SUMIFS(tblReceipts[Qty Received],tblReceipts[Item Name],$A988,tblReceipts[Expiry Date],$H988,tblReceipts[Lot Number],"&lt;"&amp;Receipts!$C991))</f>
        <v/>
      </c>
      <c r="L988" s="26" t="str">
        <f>IF($A988="","",MIN($D988,MAX(0,SUMIFS(tblIssues[Qty Issued],tblIssues[Item Name],$A988)-$K988)))</f>
        <v/>
      </c>
      <c r="M988" s="26" t="str">
        <f>IF($A988="","",SUMIFS(tblIssues[Qty Issued],tblIssues[Lot Number],$B988))</f>
        <v/>
      </c>
      <c r="N988" s="26" t="str">
        <f t="shared" si="77"/>
        <v/>
      </c>
      <c r="O988" s="26" t="str">
        <f t="shared" si="78"/>
        <v/>
      </c>
      <c r="P988" s="21" t="str">
        <f t="shared" si="79"/>
        <v/>
      </c>
      <c r="Q988" s="52" t="str">
        <f>IF($A988="","",IF($O988&lt;=0,"Depleted",IF($I988&lt;0,"EXPIRED",IF($I988&lt;=Settings!$C$6,"CRITICAL",IF($I988&lt;=Settings!$C$5,"Expiring","In date")))))</f>
        <v/>
      </c>
    </row>
    <row r="989" spans="1:17" x14ac:dyDescent="0.35">
      <c r="A989" s="90" t="str">
        <f>IF(Receipts!$D992="","",Receipts!$D992)</f>
        <v/>
      </c>
      <c r="B989" s="18" t="str">
        <f>IF(Receipts!$C992="","",Receipts!$C992)</f>
        <v/>
      </c>
      <c r="C989" s="18" t="str">
        <f>IF($A989="","",IFERROR(INDEX(Items!$B$5:$B$597,MATCH($A989,Items!$A$5:$A$597,0)),""))</f>
        <v/>
      </c>
      <c r="D989" s="23" t="str">
        <f>IF($A989="","",N(Receipts!$G992))</f>
        <v/>
      </c>
      <c r="E989" s="20" t="str">
        <f>IF($A989="","",IFERROR(INDEX(Items!$D$5:$D$597,MATCH($A989,Items!$A$5:$A$597,0)),0))</f>
        <v/>
      </c>
      <c r="F989" s="21" t="str">
        <f t="shared" si="75"/>
        <v/>
      </c>
      <c r="G989" s="25" t="str">
        <f>IF(Receipts!$I992="","",Receipts!$I992)</f>
        <v/>
      </c>
      <c r="H989" s="25" t="str">
        <f>IF(Receipts!$H992="","",Receipts!$H992)</f>
        <v/>
      </c>
      <c r="I989" s="26" t="str">
        <f t="shared" ca="1" si="76"/>
        <v/>
      </c>
      <c r="J989" s="26" t="str">
        <f>IF($A989="","",COUNTIFS(tblReceipts[Item Name],$A989,tblReceipts[Expiry Date],"&lt;"&amp;$H989)+COUNTIFS(tblReceipts[Item Name],$A989,tblReceipts[Expiry Date],$H989,tblReceipts[Lot Number],"&lt;="&amp;Receipts!$C992))</f>
        <v/>
      </c>
      <c r="K989" s="26" t="str">
        <f>IF($A989="","",SUMIFS(tblReceipts[Qty Received],tblReceipts[Item Name],$A989,tblReceipts[Expiry Date],"&lt;"&amp;$H989)+SUMIFS(tblReceipts[Qty Received],tblReceipts[Item Name],$A989,tblReceipts[Expiry Date],$H989,tblReceipts[Lot Number],"&lt;"&amp;Receipts!$C992))</f>
        <v/>
      </c>
      <c r="L989" s="26" t="str">
        <f>IF($A989="","",MIN($D989,MAX(0,SUMIFS(tblIssues[Qty Issued],tblIssues[Item Name],$A989)-$K989)))</f>
        <v/>
      </c>
      <c r="M989" s="26" t="str">
        <f>IF($A989="","",SUMIFS(tblIssues[Qty Issued],tblIssues[Lot Number],$B989))</f>
        <v/>
      </c>
      <c r="N989" s="26" t="str">
        <f t="shared" si="77"/>
        <v/>
      </c>
      <c r="O989" s="26" t="str">
        <f t="shared" si="78"/>
        <v/>
      </c>
      <c r="P989" s="21" t="str">
        <f t="shared" si="79"/>
        <v/>
      </c>
      <c r="Q989" s="52" t="str">
        <f>IF($A989="","",IF($O989&lt;=0,"Depleted",IF($I989&lt;0,"EXPIRED",IF($I989&lt;=Settings!$C$6,"CRITICAL",IF($I989&lt;=Settings!$C$5,"Expiring","In date")))))</f>
        <v/>
      </c>
    </row>
    <row r="990" spans="1:17" x14ac:dyDescent="0.35">
      <c r="A990" s="90" t="str">
        <f>IF(Receipts!$D993="","",Receipts!$D993)</f>
        <v/>
      </c>
      <c r="B990" s="18" t="str">
        <f>IF(Receipts!$C993="","",Receipts!$C993)</f>
        <v/>
      </c>
      <c r="C990" s="18" t="str">
        <f>IF($A990="","",IFERROR(INDEX(Items!$B$5:$B$597,MATCH($A990,Items!$A$5:$A$597,0)),""))</f>
        <v/>
      </c>
      <c r="D990" s="23" t="str">
        <f>IF($A990="","",N(Receipts!$G993))</f>
        <v/>
      </c>
      <c r="E990" s="20" t="str">
        <f>IF($A990="","",IFERROR(INDEX(Items!$D$5:$D$597,MATCH($A990,Items!$A$5:$A$597,0)),0))</f>
        <v/>
      </c>
      <c r="F990" s="21" t="str">
        <f t="shared" si="75"/>
        <v/>
      </c>
      <c r="G990" s="25" t="str">
        <f>IF(Receipts!$I993="","",Receipts!$I993)</f>
        <v/>
      </c>
      <c r="H990" s="25" t="str">
        <f>IF(Receipts!$H993="","",Receipts!$H993)</f>
        <v/>
      </c>
      <c r="I990" s="26" t="str">
        <f t="shared" ca="1" si="76"/>
        <v/>
      </c>
      <c r="J990" s="26" t="str">
        <f>IF($A990="","",COUNTIFS(tblReceipts[Item Name],$A990,tblReceipts[Expiry Date],"&lt;"&amp;$H990)+COUNTIFS(tblReceipts[Item Name],$A990,tblReceipts[Expiry Date],$H990,tblReceipts[Lot Number],"&lt;="&amp;Receipts!$C993))</f>
        <v/>
      </c>
      <c r="K990" s="26" t="str">
        <f>IF($A990="","",SUMIFS(tblReceipts[Qty Received],tblReceipts[Item Name],$A990,tblReceipts[Expiry Date],"&lt;"&amp;$H990)+SUMIFS(tblReceipts[Qty Received],tblReceipts[Item Name],$A990,tblReceipts[Expiry Date],$H990,tblReceipts[Lot Number],"&lt;"&amp;Receipts!$C993))</f>
        <v/>
      </c>
      <c r="L990" s="26" t="str">
        <f>IF($A990="","",MIN($D990,MAX(0,SUMIFS(tblIssues[Qty Issued],tblIssues[Item Name],$A990)-$K990)))</f>
        <v/>
      </c>
      <c r="M990" s="26" t="str">
        <f>IF($A990="","",SUMIFS(tblIssues[Qty Issued],tblIssues[Lot Number],$B990))</f>
        <v/>
      </c>
      <c r="N990" s="26" t="str">
        <f t="shared" si="77"/>
        <v/>
      </c>
      <c r="O990" s="26" t="str">
        <f t="shared" si="78"/>
        <v/>
      </c>
      <c r="P990" s="21" t="str">
        <f t="shared" si="79"/>
        <v/>
      </c>
      <c r="Q990" s="52" t="str">
        <f>IF($A990="","",IF($O990&lt;=0,"Depleted",IF($I990&lt;0,"EXPIRED",IF($I990&lt;=Settings!$C$6,"CRITICAL",IF($I990&lt;=Settings!$C$5,"Expiring","In date")))))</f>
        <v/>
      </c>
    </row>
    <row r="991" spans="1:17" x14ac:dyDescent="0.35">
      <c r="A991" s="90" t="str">
        <f>IF(Receipts!$D994="","",Receipts!$D994)</f>
        <v/>
      </c>
      <c r="B991" s="18" t="str">
        <f>IF(Receipts!$C994="","",Receipts!$C994)</f>
        <v/>
      </c>
      <c r="C991" s="18" t="str">
        <f>IF($A991="","",IFERROR(INDEX(Items!$B$5:$B$597,MATCH($A991,Items!$A$5:$A$597,0)),""))</f>
        <v/>
      </c>
      <c r="D991" s="23" t="str">
        <f>IF($A991="","",N(Receipts!$G994))</f>
        <v/>
      </c>
      <c r="E991" s="20" t="str">
        <f>IF($A991="","",IFERROR(INDEX(Items!$D$5:$D$597,MATCH($A991,Items!$A$5:$A$597,0)),0))</f>
        <v/>
      </c>
      <c r="F991" s="21" t="str">
        <f t="shared" si="75"/>
        <v/>
      </c>
      <c r="G991" s="25" t="str">
        <f>IF(Receipts!$I994="","",Receipts!$I994)</f>
        <v/>
      </c>
      <c r="H991" s="25" t="str">
        <f>IF(Receipts!$H994="","",Receipts!$H994)</f>
        <v/>
      </c>
      <c r="I991" s="26" t="str">
        <f t="shared" ca="1" si="76"/>
        <v/>
      </c>
      <c r="J991" s="26" t="str">
        <f>IF($A991="","",COUNTIFS(tblReceipts[Item Name],$A991,tblReceipts[Expiry Date],"&lt;"&amp;$H991)+COUNTIFS(tblReceipts[Item Name],$A991,tblReceipts[Expiry Date],$H991,tblReceipts[Lot Number],"&lt;="&amp;Receipts!$C994))</f>
        <v/>
      </c>
      <c r="K991" s="26" t="str">
        <f>IF($A991="","",SUMIFS(tblReceipts[Qty Received],tblReceipts[Item Name],$A991,tblReceipts[Expiry Date],"&lt;"&amp;$H991)+SUMIFS(tblReceipts[Qty Received],tblReceipts[Item Name],$A991,tblReceipts[Expiry Date],$H991,tblReceipts[Lot Number],"&lt;"&amp;Receipts!$C994))</f>
        <v/>
      </c>
      <c r="L991" s="26" t="str">
        <f>IF($A991="","",MIN($D991,MAX(0,SUMIFS(tblIssues[Qty Issued],tblIssues[Item Name],$A991)-$K991)))</f>
        <v/>
      </c>
      <c r="M991" s="26" t="str">
        <f>IF($A991="","",SUMIFS(tblIssues[Qty Issued],tblIssues[Lot Number],$B991))</f>
        <v/>
      </c>
      <c r="N991" s="26" t="str">
        <f t="shared" si="77"/>
        <v/>
      </c>
      <c r="O991" s="26" t="str">
        <f t="shared" si="78"/>
        <v/>
      </c>
      <c r="P991" s="21" t="str">
        <f t="shared" si="79"/>
        <v/>
      </c>
      <c r="Q991" s="52" t="str">
        <f>IF($A991="","",IF($O991&lt;=0,"Depleted",IF($I991&lt;0,"EXPIRED",IF($I991&lt;=Settings!$C$6,"CRITICAL",IF($I991&lt;=Settings!$C$5,"Expiring","In date")))))</f>
        <v/>
      </c>
    </row>
    <row r="992" spans="1:17" x14ac:dyDescent="0.35">
      <c r="A992" s="90" t="str">
        <f>IF(Receipts!$D995="","",Receipts!$D995)</f>
        <v/>
      </c>
      <c r="B992" s="18" t="str">
        <f>IF(Receipts!$C995="","",Receipts!$C995)</f>
        <v/>
      </c>
      <c r="C992" s="18" t="str">
        <f>IF($A992="","",IFERROR(INDEX(Items!$B$5:$B$597,MATCH($A992,Items!$A$5:$A$597,0)),""))</f>
        <v/>
      </c>
      <c r="D992" s="23" t="str">
        <f>IF($A992="","",N(Receipts!$G995))</f>
        <v/>
      </c>
      <c r="E992" s="20" t="str">
        <f>IF($A992="","",IFERROR(INDEX(Items!$D$5:$D$597,MATCH($A992,Items!$A$5:$A$597,0)),0))</f>
        <v/>
      </c>
      <c r="F992" s="21" t="str">
        <f t="shared" si="75"/>
        <v/>
      </c>
      <c r="G992" s="25" t="str">
        <f>IF(Receipts!$I995="","",Receipts!$I995)</f>
        <v/>
      </c>
      <c r="H992" s="25" t="str">
        <f>IF(Receipts!$H995="","",Receipts!$H995)</f>
        <v/>
      </c>
      <c r="I992" s="26" t="str">
        <f t="shared" ca="1" si="76"/>
        <v/>
      </c>
      <c r="J992" s="26" t="str">
        <f>IF($A992="","",COUNTIFS(tblReceipts[Item Name],$A992,tblReceipts[Expiry Date],"&lt;"&amp;$H992)+COUNTIFS(tblReceipts[Item Name],$A992,tblReceipts[Expiry Date],$H992,tblReceipts[Lot Number],"&lt;="&amp;Receipts!$C995))</f>
        <v/>
      </c>
      <c r="K992" s="26" t="str">
        <f>IF($A992="","",SUMIFS(tblReceipts[Qty Received],tblReceipts[Item Name],$A992,tblReceipts[Expiry Date],"&lt;"&amp;$H992)+SUMIFS(tblReceipts[Qty Received],tblReceipts[Item Name],$A992,tblReceipts[Expiry Date],$H992,tblReceipts[Lot Number],"&lt;"&amp;Receipts!$C995))</f>
        <v/>
      </c>
      <c r="L992" s="26" t="str">
        <f>IF($A992="","",MIN($D992,MAX(0,SUMIFS(tblIssues[Qty Issued],tblIssues[Item Name],$A992)-$K992)))</f>
        <v/>
      </c>
      <c r="M992" s="26" t="str">
        <f>IF($A992="","",SUMIFS(tblIssues[Qty Issued],tblIssues[Lot Number],$B992))</f>
        <v/>
      </c>
      <c r="N992" s="26" t="str">
        <f t="shared" si="77"/>
        <v/>
      </c>
      <c r="O992" s="26" t="str">
        <f t="shared" si="78"/>
        <v/>
      </c>
      <c r="P992" s="21" t="str">
        <f t="shared" si="79"/>
        <v/>
      </c>
      <c r="Q992" s="52" t="str">
        <f>IF($A992="","",IF($O992&lt;=0,"Depleted",IF($I992&lt;0,"EXPIRED",IF($I992&lt;=Settings!$C$6,"CRITICAL",IF($I992&lt;=Settings!$C$5,"Expiring","In date")))))</f>
        <v/>
      </c>
    </row>
    <row r="993" spans="1:17" x14ac:dyDescent="0.35">
      <c r="A993" s="90" t="str">
        <f>IF(Receipts!$D996="","",Receipts!$D996)</f>
        <v/>
      </c>
      <c r="B993" s="18" t="str">
        <f>IF(Receipts!$C996="","",Receipts!$C996)</f>
        <v/>
      </c>
      <c r="C993" s="18" t="str">
        <f>IF($A993="","",IFERROR(INDEX(Items!$B$5:$B$597,MATCH($A993,Items!$A$5:$A$597,0)),""))</f>
        <v/>
      </c>
      <c r="D993" s="23" t="str">
        <f>IF($A993="","",N(Receipts!$G996))</f>
        <v/>
      </c>
      <c r="E993" s="20" t="str">
        <f>IF($A993="","",IFERROR(INDEX(Items!$D$5:$D$597,MATCH($A993,Items!$A$5:$A$597,0)),0))</f>
        <v/>
      </c>
      <c r="F993" s="21" t="str">
        <f t="shared" si="75"/>
        <v/>
      </c>
      <c r="G993" s="25" t="str">
        <f>IF(Receipts!$I996="","",Receipts!$I996)</f>
        <v/>
      </c>
      <c r="H993" s="25" t="str">
        <f>IF(Receipts!$H996="","",Receipts!$H996)</f>
        <v/>
      </c>
      <c r="I993" s="26" t="str">
        <f t="shared" ca="1" si="76"/>
        <v/>
      </c>
      <c r="J993" s="26" t="str">
        <f>IF($A993="","",COUNTIFS(tblReceipts[Item Name],$A993,tblReceipts[Expiry Date],"&lt;"&amp;$H993)+COUNTIFS(tblReceipts[Item Name],$A993,tblReceipts[Expiry Date],$H993,tblReceipts[Lot Number],"&lt;="&amp;Receipts!$C996))</f>
        <v/>
      </c>
      <c r="K993" s="26" t="str">
        <f>IF($A993="","",SUMIFS(tblReceipts[Qty Received],tblReceipts[Item Name],$A993,tblReceipts[Expiry Date],"&lt;"&amp;$H993)+SUMIFS(tblReceipts[Qty Received],tblReceipts[Item Name],$A993,tblReceipts[Expiry Date],$H993,tblReceipts[Lot Number],"&lt;"&amp;Receipts!$C996))</f>
        <v/>
      </c>
      <c r="L993" s="26" t="str">
        <f>IF($A993="","",MIN($D993,MAX(0,SUMIFS(tblIssues[Qty Issued],tblIssues[Item Name],$A993)-$K993)))</f>
        <v/>
      </c>
      <c r="M993" s="26" t="str">
        <f>IF($A993="","",SUMIFS(tblIssues[Qty Issued],tblIssues[Lot Number],$B993))</f>
        <v/>
      </c>
      <c r="N993" s="26" t="str">
        <f t="shared" si="77"/>
        <v/>
      </c>
      <c r="O993" s="26" t="str">
        <f t="shared" si="78"/>
        <v/>
      </c>
      <c r="P993" s="21" t="str">
        <f t="shared" si="79"/>
        <v/>
      </c>
      <c r="Q993" s="52" t="str">
        <f>IF($A993="","",IF($O993&lt;=0,"Depleted",IF($I993&lt;0,"EXPIRED",IF($I993&lt;=Settings!$C$6,"CRITICAL",IF($I993&lt;=Settings!$C$5,"Expiring","In date")))))</f>
        <v/>
      </c>
    </row>
    <row r="994" spans="1:17" x14ac:dyDescent="0.35">
      <c r="A994" s="90" t="str">
        <f>IF(Receipts!$D997="","",Receipts!$D997)</f>
        <v/>
      </c>
      <c r="B994" s="18" t="str">
        <f>IF(Receipts!$C997="","",Receipts!$C997)</f>
        <v/>
      </c>
      <c r="C994" s="18" t="str">
        <f>IF($A994="","",IFERROR(INDEX(Items!$B$5:$B$597,MATCH($A994,Items!$A$5:$A$597,0)),""))</f>
        <v/>
      </c>
      <c r="D994" s="23" t="str">
        <f>IF($A994="","",N(Receipts!$G997))</f>
        <v/>
      </c>
      <c r="E994" s="20" t="str">
        <f>IF($A994="","",IFERROR(INDEX(Items!$D$5:$D$597,MATCH($A994,Items!$A$5:$A$597,0)),0))</f>
        <v/>
      </c>
      <c r="F994" s="21" t="str">
        <f t="shared" si="75"/>
        <v/>
      </c>
      <c r="G994" s="25" t="str">
        <f>IF(Receipts!$I997="","",Receipts!$I997)</f>
        <v/>
      </c>
      <c r="H994" s="25" t="str">
        <f>IF(Receipts!$H997="","",Receipts!$H997)</f>
        <v/>
      </c>
      <c r="I994" s="26" t="str">
        <f t="shared" ca="1" si="76"/>
        <v/>
      </c>
      <c r="J994" s="26" t="str">
        <f>IF($A994="","",COUNTIFS(tblReceipts[Item Name],$A994,tblReceipts[Expiry Date],"&lt;"&amp;$H994)+COUNTIFS(tblReceipts[Item Name],$A994,tblReceipts[Expiry Date],$H994,tblReceipts[Lot Number],"&lt;="&amp;Receipts!$C997))</f>
        <v/>
      </c>
      <c r="K994" s="26" t="str">
        <f>IF($A994="","",SUMIFS(tblReceipts[Qty Received],tblReceipts[Item Name],$A994,tblReceipts[Expiry Date],"&lt;"&amp;$H994)+SUMIFS(tblReceipts[Qty Received],tblReceipts[Item Name],$A994,tblReceipts[Expiry Date],$H994,tblReceipts[Lot Number],"&lt;"&amp;Receipts!$C997))</f>
        <v/>
      </c>
      <c r="L994" s="26" t="str">
        <f>IF($A994="","",MIN($D994,MAX(0,SUMIFS(tblIssues[Qty Issued],tblIssues[Item Name],$A994)-$K994)))</f>
        <v/>
      </c>
      <c r="M994" s="26" t="str">
        <f>IF($A994="","",SUMIFS(tblIssues[Qty Issued],tblIssues[Lot Number],$B994))</f>
        <v/>
      </c>
      <c r="N994" s="26" t="str">
        <f t="shared" si="77"/>
        <v/>
      </c>
      <c r="O994" s="26" t="str">
        <f t="shared" si="78"/>
        <v/>
      </c>
      <c r="P994" s="21" t="str">
        <f t="shared" si="79"/>
        <v/>
      </c>
      <c r="Q994" s="52" t="str">
        <f>IF($A994="","",IF($O994&lt;=0,"Depleted",IF($I994&lt;0,"EXPIRED",IF($I994&lt;=Settings!$C$6,"CRITICAL",IF($I994&lt;=Settings!$C$5,"Expiring","In date")))))</f>
        <v/>
      </c>
    </row>
    <row r="995" spans="1:17" x14ac:dyDescent="0.35">
      <c r="A995" s="90" t="str">
        <f>IF(Receipts!$D998="","",Receipts!$D998)</f>
        <v/>
      </c>
      <c r="B995" s="18" t="str">
        <f>IF(Receipts!$C998="","",Receipts!$C998)</f>
        <v/>
      </c>
      <c r="C995" s="18" t="str">
        <f>IF($A995="","",IFERROR(INDEX(Items!$B$5:$B$597,MATCH($A995,Items!$A$5:$A$597,0)),""))</f>
        <v/>
      </c>
      <c r="D995" s="23" t="str">
        <f>IF($A995="","",N(Receipts!$G998))</f>
        <v/>
      </c>
      <c r="E995" s="20" t="str">
        <f>IF($A995="","",IFERROR(INDEX(Items!$D$5:$D$597,MATCH($A995,Items!$A$5:$A$597,0)),0))</f>
        <v/>
      </c>
      <c r="F995" s="21" t="str">
        <f t="shared" si="75"/>
        <v/>
      </c>
      <c r="G995" s="25" t="str">
        <f>IF(Receipts!$I998="","",Receipts!$I998)</f>
        <v/>
      </c>
      <c r="H995" s="25" t="str">
        <f>IF(Receipts!$H998="","",Receipts!$H998)</f>
        <v/>
      </c>
      <c r="I995" s="26" t="str">
        <f t="shared" ca="1" si="76"/>
        <v/>
      </c>
      <c r="J995" s="26" t="str">
        <f>IF($A995="","",COUNTIFS(tblReceipts[Item Name],$A995,tblReceipts[Expiry Date],"&lt;"&amp;$H995)+COUNTIFS(tblReceipts[Item Name],$A995,tblReceipts[Expiry Date],$H995,tblReceipts[Lot Number],"&lt;="&amp;Receipts!$C998))</f>
        <v/>
      </c>
      <c r="K995" s="26" t="str">
        <f>IF($A995="","",SUMIFS(tblReceipts[Qty Received],tblReceipts[Item Name],$A995,tblReceipts[Expiry Date],"&lt;"&amp;$H995)+SUMIFS(tblReceipts[Qty Received],tblReceipts[Item Name],$A995,tblReceipts[Expiry Date],$H995,tblReceipts[Lot Number],"&lt;"&amp;Receipts!$C998))</f>
        <v/>
      </c>
      <c r="L995" s="26" t="str">
        <f>IF($A995="","",MIN($D995,MAX(0,SUMIFS(tblIssues[Qty Issued],tblIssues[Item Name],$A995)-$K995)))</f>
        <v/>
      </c>
      <c r="M995" s="26" t="str">
        <f>IF($A995="","",SUMIFS(tblIssues[Qty Issued],tblIssues[Lot Number],$B995))</f>
        <v/>
      </c>
      <c r="N995" s="26" t="str">
        <f t="shared" si="77"/>
        <v/>
      </c>
      <c r="O995" s="26" t="str">
        <f t="shared" si="78"/>
        <v/>
      </c>
      <c r="P995" s="21" t="str">
        <f t="shared" si="79"/>
        <v/>
      </c>
      <c r="Q995" s="52" t="str">
        <f>IF($A995="","",IF($O995&lt;=0,"Depleted",IF($I995&lt;0,"EXPIRED",IF($I995&lt;=Settings!$C$6,"CRITICAL",IF($I995&lt;=Settings!$C$5,"Expiring","In date")))))</f>
        <v/>
      </c>
    </row>
    <row r="996" spans="1:17" x14ac:dyDescent="0.35">
      <c r="A996" s="90" t="str">
        <f>IF(Receipts!$D999="","",Receipts!$D999)</f>
        <v/>
      </c>
      <c r="B996" s="18" t="str">
        <f>IF(Receipts!$C999="","",Receipts!$C999)</f>
        <v/>
      </c>
      <c r="C996" s="18" t="str">
        <f>IF($A996="","",IFERROR(INDEX(Items!$B$5:$B$597,MATCH($A996,Items!$A$5:$A$597,0)),""))</f>
        <v/>
      </c>
      <c r="D996" s="23" t="str">
        <f>IF($A996="","",N(Receipts!$G999))</f>
        <v/>
      </c>
      <c r="E996" s="20" t="str">
        <f>IF($A996="","",IFERROR(INDEX(Items!$D$5:$D$597,MATCH($A996,Items!$A$5:$A$597,0)),0))</f>
        <v/>
      </c>
      <c r="F996" s="21" t="str">
        <f t="shared" si="75"/>
        <v/>
      </c>
      <c r="G996" s="25" t="str">
        <f>IF(Receipts!$I999="","",Receipts!$I999)</f>
        <v/>
      </c>
      <c r="H996" s="25" t="str">
        <f>IF(Receipts!$H999="","",Receipts!$H999)</f>
        <v/>
      </c>
      <c r="I996" s="26" t="str">
        <f t="shared" ca="1" si="76"/>
        <v/>
      </c>
      <c r="J996" s="26" t="str">
        <f>IF($A996="","",COUNTIFS(tblReceipts[Item Name],$A996,tblReceipts[Expiry Date],"&lt;"&amp;$H996)+COUNTIFS(tblReceipts[Item Name],$A996,tblReceipts[Expiry Date],$H996,tblReceipts[Lot Number],"&lt;="&amp;Receipts!$C999))</f>
        <v/>
      </c>
      <c r="K996" s="26" t="str">
        <f>IF($A996="","",SUMIFS(tblReceipts[Qty Received],tblReceipts[Item Name],$A996,tblReceipts[Expiry Date],"&lt;"&amp;$H996)+SUMIFS(tblReceipts[Qty Received],tblReceipts[Item Name],$A996,tblReceipts[Expiry Date],$H996,tblReceipts[Lot Number],"&lt;"&amp;Receipts!$C999))</f>
        <v/>
      </c>
      <c r="L996" s="26" t="str">
        <f>IF($A996="","",MIN($D996,MAX(0,SUMIFS(tblIssues[Qty Issued],tblIssues[Item Name],$A996)-$K996)))</f>
        <v/>
      </c>
      <c r="M996" s="26" t="str">
        <f>IF($A996="","",SUMIFS(tblIssues[Qty Issued],tblIssues[Lot Number],$B996))</f>
        <v/>
      </c>
      <c r="N996" s="26" t="str">
        <f t="shared" si="77"/>
        <v/>
      </c>
      <c r="O996" s="26" t="str">
        <f t="shared" si="78"/>
        <v/>
      </c>
      <c r="P996" s="21" t="str">
        <f t="shared" si="79"/>
        <v/>
      </c>
      <c r="Q996" s="52" t="str">
        <f>IF($A996="","",IF($O996&lt;=0,"Depleted",IF($I996&lt;0,"EXPIRED",IF($I996&lt;=Settings!$C$6,"CRITICAL",IF($I996&lt;=Settings!$C$5,"Expiring","In date")))))</f>
        <v/>
      </c>
    </row>
    <row r="997" spans="1:17" x14ac:dyDescent="0.35">
      <c r="A997" s="90" t="str">
        <f>IF(Receipts!$D1000="","",Receipts!$D1000)</f>
        <v/>
      </c>
      <c r="B997" s="18" t="str">
        <f>IF(Receipts!$C1000="","",Receipts!$C1000)</f>
        <v/>
      </c>
      <c r="C997" s="18" t="str">
        <f>IF($A997="","",IFERROR(INDEX(Items!$B$5:$B$597,MATCH($A997,Items!$A$5:$A$597,0)),""))</f>
        <v/>
      </c>
      <c r="D997" s="23" t="str">
        <f>IF($A997="","",N(Receipts!$G1000))</f>
        <v/>
      </c>
      <c r="E997" s="20" t="str">
        <f>IF($A997="","",IFERROR(INDEX(Items!$D$5:$D$597,MATCH($A997,Items!$A$5:$A$597,0)),0))</f>
        <v/>
      </c>
      <c r="F997" s="21" t="str">
        <f t="shared" si="75"/>
        <v/>
      </c>
      <c r="G997" s="25" t="str">
        <f>IF(Receipts!$I1000="","",Receipts!$I1000)</f>
        <v/>
      </c>
      <c r="H997" s="25" t="str">
        <f>IF(Receipts!$H1000="","",Receipts!$H1000)</f>
        <v/>
      </c>
      <c r="I997" s="26" t="str">
        <f t="shared" ca="1" si="76"/>
        <v/>
      </c>
      <c r="J997" s="26" t="str">
        <f>IF($A997="","",COUNTIFS(tblReceipts[Item Name],$A997,tblReceipts[Expiry Date],"&lt;"&amp;$H997)+COUNTIFS(tblReceipts[Item Name],$A997,tblReceipts[Expiry Date],$H997,tblReceipts[Lot Number],"&lt;="&amp;Receipts!$C1000))</f>
        <v/>
      </c>
      <c r="K997" s="26" t="str">
        <f>IF($A997="","",SUMIFS(tblReceipts[Qty Received],tblReceipts[Item Name],$A997,tblReceipts[Expiry Date],"&lt;"&amp;$H997)+SUMIFS(tblReceipts[Qty Received],tblReceipts[Item Name],$A997,tblReceipts[Expiry Date],$H997,tblReceipts[Lot Number],"&lt;"&amp;Receipts!$C1000))</f>
        <v/>
      </c>
      <c r="L997" s="26" t="str">
        <f>IF($A997="","",MIN($D997,MAX(0,SUMIFS(tblIssues[Qty Issued],tblIssues[Item Name],$A997)-$K997)))</f>
        <v/>
      </c>
      <c r="M997" s="26" t="str">
        <f>IF($A997="","",SUMIFS(tblIssues[Qty Issued],tblIssues[Lot Number],$B997))</f>
        <v/>
      </c>
      <c r="N997" s="26" t="str">
        <f t="shared" si="77"/>
        <v/>
      </c>
      <c r="O997" s="26" t="str">
        <f t="shared" si="78"/>
        <v/>
      </c>
      <c r="P997" s="21" t="str">
        <f t="shared" si="79"/>
        <v/>
      </c>
      <c r="Q997" s="52" t="str">
        <f>IF($A997="","",IF($O997&lt;=0,"Depleted",IF($I997&lt;0,"EXPIRED",IF($I997&lt;=Settings!$C$6,"CRITICAL",IF($I997&lt;=Settings!$C$5,"Expiring","In date")))))</f>
        <v/>
      </c>
    </row>
    <row r="998" spans="1:17" x14ac:dyDescent="0.35">
      <c r="A998" s="90" t="str">
        <f>IF(Receipts!$D1001="","",Receipts!$D1001)</f>
        <v/>
      </c>
      <c r="B998" s="18" t="str">
        <f>IF(Receipts!$C1001="","",Receipts!$C1001)</f>
        <v/>
      </c>
      <c r="C998" s="18" t="str">
        <f>IF($A998="","",IFERROR(INDEX(Items!$B$5:$B$597,MATCH($A998,Items!$A$5:$A$597,0)),""))</f>
        <v/>
      </c>
      <c r="D998" s="23" t="str">
        <f>IF($A998="","",N(Receipts!$G1001))</f>
        <v/>
      </c>
      <c r="E998" s="20" t="str">
        <f>IF($A998="","",IFERROR(INDEX(Items!$D$5:$D$597,MATCH($A998,Items!$A$5:$A$597,0)),0))</f>
        <v/>
      </c>
      <c r="F998" s="21" t="str">
        <f t="shared" si="75"/>
        <v/>
      </c>
      <c r="G998" s="25" t="str">
        <f>IF(Receipts!$I1001="","",Receipts!$I1001)</f>
        <v/>
      </c>
      <c r="H998" s="25" t="str">
        <f>IF(Receipts!$H1001="","",Receipts!$H1001)</f>
        <v/>
      </c>
      <c r="I998" s="26" t="str">
        <f t="shared" ca="1" si="76"/>
        <v/>
      </c>
      <c r="J998" s="26" t="str">
        <f>IF($A998="","",COUNTIFS(tblReceipts[Item Name],$A998,tblReceipts[Expiry Date],"&lt;"&amp;$H998)+COUNTIFS(tblReceipts[Item Name],$A998,tblReceipts[Expiry Date],$H998,tblReceipts[Lot Number],"&lt;="&amp;Receipts!$C1001))</f>
        <v/>
      </c>
      <c r="K998" s="26" t="str">
        <f>IF($A998="","",SUMIFS(tblReceipts[Qty Received],tblReceipts[Item Name],$A998,tblReceipts[Expiry Date],"&lt;"&amp;$H998)+SUMIFS(tblReceipts[Qty Received],tblReceipts[Item Name],$A998,tblReceipts[Expiry Date],$H998,tblReceipts[Lot Number],"&lt;"&amp;Receipts!$C1001))</f>
        <v/>
      </c>
      <c r="L998" s="26" t="str">
        <f>IF($A998="","",MIN($D998,MAX(0,SUMIFS(tblIssues[Qty Issued],tblIssues[Item Name],$A998)-$K998)))</f>
        <v/>
      </c>
      <c r="M998" s="26" t="str">
        <f>IF($A998="","",SUMIFS(tblIssues[Qty Issued],tblIssues[Lot Number],$B998))</f>
        <v/>
      </c>
      <c r="N998" s="26" t="str">
        <f t="shared" si="77"/>
        <v/>
      </c>
      <c r="O998" s="26" t="str">
        <f t="shared" si="78"/>
        <v/>
      </c>
      <c r="P998" s="21" t="str">
        <f t="shared" si="79"/>
        <v/>
      </c>
      <c r="Q998" s="52" t="str">
        <f>IF($A998="","",IF($O998&lt;=0,"Depleted",IF($I998&lt;0,"EXPIRED",IF($I998&lt;=Settings!$C$6,"CRITICAL",IF($I998&lt;=Settings!$C$5,"Expiring","In date")))))</f>
        <v/>
      </c>
    </row>
    <row r="999" spans="1:17" x14ac:dyDescent="0.35">
      <c r="A999" s="90" t="str">
        <f>IF(Receipts!$D1002="","",Receipts!$D1002)</f>
        <v/>
      </c>
      <c r="B999" s="18" t="str">
        <f>IF(Receipts!$C1002="","",Receipts!$C1002)</f>
        <v/>
      </c>
      <c r="C999" s="18" t="str">
        <f>IF($A999="","",IFERROR(INDEX(Items!$B$5:$B$597,MATCH($A999,Items!$A$5:$A$597,0)),""))</f>
        <v/>
      </c>
      <c r="D999" s="23" t="str">
        <f>IF($A999="","",N(Receipts!$G1002))</f>
        <v/>
      </c>
      <c r="E999" s="20" t="str">
        <f>IF($A999="","",IFERROR(INDEX(Items!$D$5:$D$597,MATCH($A999,Items!$A$5:$A$597,0)),0))</f>
        <v/>
      </c>
      <c r="F999" s="21" t="str">
        <f t="shared" si="75"/>
        <v/>
      </c>
      <c r="G999" s="25" t="str">
        <f>IF(Receipts!$I1002="","",Receipts!$I1002)</f>
        <v/>
      </c>
      <c r="H999" s="25" t="str">
        <f>IF(Receipts!$H1002="","",Receipts!$H1002)</f>
        <v/>
      </c>
      <c r="I999" s="26" t="str">
        <f t="shared" ca="1" si="76"/>
        <v/>
      </c>
      <c r="J999" s="26" t="str">
        <f>IF($A999="","",COUNTIFS(tblReceipts[Item Name],$A999,tblReceipts[Expiry Date],"&lt;"&amp;$H999)+COUNTIFS(tblReceipts[Item Name],$A999,tblReceipts[Expiry Date],$H999,tblReceipts[Lot Number],"&lt;="&amp;Receipts!$C1002))</f>
        <v/>
      </c>
      <c r="K999" s="26" t="str">
        <f>IF($A999="","",SUMIFS(tblReceipts[Qty Received],tblReceipts[Item Name],$A999,tblReceipts[Expiry Date],"&lt;"&amp;$H999)+SUMIFS(tblReceipts[Qty Received],tblReceipts[Item Name],$A999,tblReceipts[Expiry Date],$H999,tblReceipts[Lot Number],"&lt;"&amp;Receipts!$C1002))</f>
        <v/>
      </c>
      <c r="L999" s="26" t="str">
        <f>IF($A999="","",MIN($D999,MAX(0,SUMIFS(tblIssues[Qty Issued],tblIssues[Item Name],$A999)-$K999)))</f>
        <v/>
      </c>
      <c r="M999" s="26" t="str">
        <f>IF($A999="","",SUMIFS(tblIssues[Qty Issued],tblIssues[Lot Number],$B999))</f>
        <v/>
      </c>
      <c r="N999" s="26" t="str">
        <f t="shared" si="77"/>
        <v/>
      </c>
      <c r="O999" s="26" t="str">
        <f t="shared" si="78"/>
        <v/>
      </c>
      <c r="P999" s="21" t="str">
        <f t="shared" si="79"/>
        <v/>
      </c>
      <c r="Q999" s="52" t="str">
        <f>IF($A999="","",IF($O999&lt;=0,"Depleted",IF($I999&lt;0,"EXPIRED",IF($I999&lt;=Settings!$C$6,"CRITICAL",IF($I999&lt;=Settings!$C$5,"Expiring","In date")))))</f>
        <v/>
      </c>
    </row>
    <row r="1000" spans="1:17" x14ac:dyDescent="0.35">
      <c r="A1000" s="90" t="str">
        <f>IF(Receipts!$D1003="","",Receipts!$D1003)</f>
        <v/>
      </c>
      <c r="B1000" s="18" t="str">
        <f>IF(Receipts!$C1003="","",Receipts!$C1003)</f>
        <v/>
      </c>
      <c r="C1000" s="18" t="str">
        <f>IF($A1000="","",IFERROR(INDEX(Items!$B$5:$B$597,MATCH($A1000,Items!$A$5:$A$597,0)),""))</f>
        <v/>
      </c>
      <c r="D1000" s="23" t="str">
        <f>IF($A1000="","",N(Receipts!$G1003))</f>
        <v/>
      </c>
      <c r="E1000" s="20" t="str">
        <f>IF($A1000="","",IFERROR(INDEX(Items!$D$5:$D$597,MATCH($A1000,Items!$A$5:$A$597,0)),0))</f>
        <v/>
      </c>
      <c r="F1000" s="21" t="str">
        <f t="shared" si="75"/>
        <v/>
      </c>
      <c r="G1000" s="25" t="str">
        <f>IF(Receipts!$I1003="","",Receipts!$I1003)</f>
        <v/>
      </c>
      <c r="H1000" s="25" t="str">
        <f>IF(Receipts!$H1003="","",Receipts!$H1003)</f>
        <v/>
      </c>
      <c r="I1000" s="26" t="str">
        <f t="shared" ca="1" si="76"/>
        <v/>
      </c>
      <c r="J1000" s="26" t="str">
        <f>IF($A1000="","",COUNTIFS(tblReceipts[Item Name],$A1000,tblReceipts[Expiry Date],"&lt;"&amp;$H1000)+COUNTIFS(tblReceipts[Item Name],$A1000,tblReceipts[Expiry Date],$H1000,tblReceipts[Lot Number],"&lt;="&amp;Receipts!$C1003))</f>
        <v/>
      </c>
      <c r="K1000" s="26" t="str">
        <f>IF($A1000="","",SUMIFS(tblReceipts[Qty Received],tblReceipts[Item Name],$A1000,tblReceipts[Expiry Date],"&lt;"&amp;$H1000)+SUMIFS(tblReceipts[Qty Received],tblReceipts[Item Name],$A1000,tblReceipts[Expiry Date],$H1000,tblReceipts[Lot Number],"&lt;"&amp;Receipts!$C1003))</f>
        <v/>
      </c>
      <c r="L1000" s="26" t="str">
        <f>IF($A1000="","",MIN($D1000,MAX(0,SUMIFS(tblIssues[Qty Issued],tblIssues[Item Name],$A1000)-$K1000)))</f>
        <v/>
      </c>
      <c r="M1000" s="26" t="str">
        <f>IF($A1000="","",SUMIFS(tblIssues[Qty Issued],tblIssues[Lot Number],$B1000))</f>
        <v/>
      </c>
      <c r="N1000" s="26" t="str">
        <f t="shared" si="77"/>
        <v/>
      </c>
      <c r="O1000" s="26" t="str">
        <f t="shared" si="78"/>
        <v/>
      </c>
      <c r="P1000" s="21" t="str">
        <f t="shared" si="79"/>
        <v/>
      </c>
      <c r="Q1000" s="52" t="str">
        <f>IF($A1000="","",IF($O1000&lt;=0,"Depleted",IF($I1000&lt;0,"EXPIRED",IF($I1000&lt;=Settings!$C$6,"CRITICAL",IF($I1000&lt;=Settings!$C$5,"Expiring","In date")))))</f>
        <v/>
      </c>
    </row>
    <row r="1001" spans="1:17" x14ac:dyDescent="0.35">
      <c r="A1001" s="90" t="str">
        <f>IF(Receipts!$D1004="","",Receipts!$D1004)</f>
        <v/>
      </c>
      <c r="B1001" s="18" t="str">
        <f>IF(Receipts!$C1004="","",Receipts!$C1004)</f>
        <v/>
      </c>
      <c r="C1001" s="18" t="str">
        <f>IF($A1001="","",IFERROR(INDEX(Items!$B$5:$B$597,MATCH($A1001,Items!$A$5:$A$597,0)),""))</f>
        <v/>
      </c>
      <c r="D1001" s="23" t="str">
        <f>IF($A1001="","",N(Receipts!$G1004))</f>
        <v/>
      </c>
      <c r="E1001" s="20" t="str">
        <f>IF($A1001="","",IFERROR(INDEX(Items!$D$5:$D$597,MATCH($A1001,Items!$A$5:$A$597,0)),0))</f>
        <v/>
      </c>
      <c r="F1001" s="21" t="str">
        <f t="shared" si="75"/>
        <v/>
      </c>
      <c r="G1001" s="25" t="str">
        <f>IF(Receipts!$I1004="","",Receipts!$I1004)</f>
        <v/>
      </c>
      <c r="H1001" s="25" t="str">
        <f>IF(Receipts!$H1004="","",Receipts!$H1004)</f>
        <v/>
      </c>
      <c r="I1001" s="26" t="str">
        <f t="shared" ca="1" si="76"/>
        <v/>
      </c>
      <c r="J1001" s="26" t="str">
        <f>IF($A1001="","",COUNTIFS(tblReceipts[Item Name],$A1001,tblReceipts[Expiry Date],"&lt;"&amp;$H1001)+COUNTIFS(tblReceipts[Item Name],$A1001,tblReceipts[Expiry Date],$H1001,tblReceipts[Lot Number],"&lt;="&amp;Receipts!$C1004))</f>
        <v/>
      </c>
      <c r="K1001" s="26" t="str">
        <f>IF($A1001="","",SUMIFS(tblReceipts[Qty Received],tblReceipts[Item Name],$A1001,tblReceipts[Expiry Date],"&lt;"&amp;$H1001)+SUMIFS(tblReceipts[Qty Received],tblReceipts[Item Name],$A1001,tblReceipts[Expiry Date],$H1001,tblReceipts[Lot Number],"&lt;"&amp;Receipts!$C1004))</f>
        <v/>
      </c>
      <c r="L1001" s="26" t="str">
        <f>IF($A1001="","",MIN($D1001,MAX(0,SUMIFS(tblIssues[Qty Issued],tblIssues[Item Name],$A1001)-$K1001)))</f>
        <v/>
      </c>
      <c r="M1001" s="26" t="str">
        <f>IF($A1001="","",SUMIFS(tblIssues[Qty Issued],tblIssues[Lot Number],$B1001))</f>
        <v/>
      </c>
      <c r="N1001" s="26" t="str">
        <f t="shared" si="77"/>
        <v/>
      </c>
      <c r="O1001" s="26" t="str">
        <f t="shared" si="78"/>
        <v/>
      </c>
      <c r="P1001" s="21" t="str">
        <f t="shared" si="79"/>
        <v/>
      </c>
      <c r="Q1001" s="52" t="str">
        <f>IF($A1001="","",IF($O1001&lt;=0,"Depleted",IF($I1001&lt;0,"EXPIRED",IF($I1001&lt;=Settings!$C$6,"CRITICAL",IF($I1001&lt;=Settings!$C$5,"Expiring","In date")))))</f>
        <v/>
      </c>
    </row>
    <row r="1002" spans="1:17" x14ac:dyDescent="0.35">
      <c r="A1002" s="90" t="str">
        <f>IF(Receipts!$D1005="","",Receipts!$D1005)</f>
        <v/>
      </c>
      <c r="B1002" s="18" t="str">
        <f>IF(Receipts!$C1005="","",Receipts!$C1005)</f>
        <v/>
      </c>
      <c r="C1002" s="18" t="str">
        <f>IF($A1002="","",IFERROR(INDEX(Items!$B$5:$B$597,MATCH($A1002,Items!$A$5:$A$597,0)),""))</f>
        <v/>
      </c>
      <c r="D1002" s="23" t="str">
        <f>IF($A1002="","",N(Receipts!$G1005))</f>
        <v/>
      </c>
      <c r="E1002" s="20" t="str">
        <f>IF($A1002="","",IFERROR(INDEX(Items!$D$5:$D$597,MATCH($A1002,Items!$A$5:$A$597,0)),0))</f>
        <v/>
      </c>
      <c r="F1002" s="21" t="str">
        <f t="shared" si="75"/>
        <v/>
      </c>
      <c r="G1002" s="25" t="str">
        <f>IF(Receipts!$I1005="","",Receipts!$I1005)</f>
        <v/>
      </c>
      <c r="H1002" s="25" t="str">
        <f>IF(Receipts!$H1005="","",Receipts!$H1005)</f>
        <v/>
      </c>
      <c r="I1002" s="26" t="str">
        <f t="shared" ca="1" si="76"/>
        <v/>
      </c>
      <c r="J1002" s="26" t="str">
        <f>IF($A1002="","",COUNTIFS(tblReceipts[Item Name],$A1002,tblReceipts[Expiry Date],"&lt;"&amp;$H1002)+COUNTIFS(tblReceipts[Item Name],$A1002,tblReceipts[Expiry Date],$H1002,tblReceipts[Lot Number],"&lt;="&amp;Receipts!$C1005))</f>
        <v/>
      </c>
      <c r="K1002" s="26" t="str">
        <f>IF($A1002="","",SUMIFS(tblReceipts[Qty Received],tblReceipts[Item Name],$A1002,tblReceipts[Expiry Date],"&lt;"&amp;$H1002)+SUMIFS(tblReceipts[Qty Received],tblReceipts[Item Name],$A1002,tblReceipts[Expiry Date],$H1002,tblReceipts[Lot Number],"&lt;"&amp;Receipts!$C1005))</f>
        <v/>
      </c>
      <c r="L1002" s="26" t="str">
        <f>IF($A1002="","",MIN($D1002,MAX(0,SUMIFS(tblIssues[Qty Issued],tblIssues[Item Name],$A1002)-$K1002)))</f>
        <v/>
      </c>
      <c r="M1002" s="26" t="str">
        <f>IF($A1002="","",SUMIFS(tblIssues[Qty Issued],tblIssues[Lot Number],$B1002))</f>
        <v/>
      </c>
      <c r="N1002" s="26" t="str">
        <f t="shared" si="77"/>
        <v/>
      </c>
      <c r="O1002" s="26" t="str">
        <f t="shared" si="78"/>
        <v/>
      </c>
      <c r="P1002" s="21" t="str">
        <f t="shared" si="79"/>
        <v/>
      </c>
      <c r="Q1002" s="52" t="str">
        <f>IF($A1002="","",IF($O1002&lt;=0,"Depleted",IF($I1002&lt;0,"EXPIRED",IF($I1002&lt;=Settings!$C$6,"CRITICAL",IF($I1002&lt;=Settings!$C$5,"Expiring","In date")))))</f>
        <v/>
      </c>
    </row>
    <row r="1003" spans="1:17" x14ac:dyDescent="0.35">
      <c r="A1003" s="90" t="str">
        <f>IF(Receipts!$D1006="","",Receipts!$D1006)</f>
        <v/>
      </c>
      <c r="B1003" s="18" t="str">
        <f>IF(Receipts!$C1006="","",Receipts!$C1006)</f>
        <v/>
      </c>
      <c r="C1003" s="18" t="str">
        <f>IF($A1003="","",IFERROR(INDEX(Items!$B$5:$B$597,MATCH($A1003,Items!$A$5:$A$597,0)),""))</f>
        <v/>
      </c>
      <c r="D1003" s="23" t="str">
        <f>IF($A1003="","",N(Receipts!$G1006))</f>
        <v/>
      </c>
      <c r="E1003" s="20" t="str">
        <f>IF($A1003="","",IFERROR(INDEX(Items!$D$5:$D$597,MATCH($A1003,Items!$A$5:$A$597,0)),0))</f>
        <v/>
      </c>
      <c r="F1003" s="21" t="str">
        <f t="shared" si="75"/>
        <v/>
      </c>
      <c r="G1003" s="25" t="str">
        <f>IF(Receipts!$I1006="","",Receipts!$I1006)</f>
        <v/>
      </c>
      <c r="H1003" s="25" t="str">
        <f>IF(Receipts!$H1006="","",Receipts!$H1006)</f>
        <v/>
      </c>
      <c r="I1003" s="26" t="str">
        <f t="shared" ca="1" si="76"/>
        <v/>
      </c>
      <c r="J1003" s="26" t="str">
        <f>IF($A1003="","",COUNTIFS(tblReceipts[Item Name],$A1003,tblReceipts[Expiry Date],"&lt;"&amp;$H1003)+COUNTIFS(tblReceipts[Item Name],$A1003,tblReceipts[Expiry Date],$H1003,tblReceipts[Lot Number],"&lt;="&amp;Receipts!$C1006))</f>
        <v/>
      </c>
      <c r="K1003" s="26" t="str">
        <f>IF($A1003="","",SUMIFS(tblReceipts[Qty Received],tblReceipts[Item Name],$A1003,tblReceipts[Expiry Date],"&lt;"&amp;$H1003)+SUMIFS(tblReceipts[Qty Received],tblReceipts[Item Name],$A1003,tblReceipts[Expiry Date],$H1003,tblReceipts[Lot Number],"&lt;"&amp;Receipts!$C1006))</f>
        <v/>
      </c>
      <c r="L1003" s="26" t="str">
        <f>IF($A1003="","",MIN($D1003,MAX(0,SUMIFS(tblIssues[Qty Issued],tblIssues[Item Name],$A1003)-$K1003)))</f>
        <v/>
      </c>
      <c r="M1003" s="26" t="str">
        <f>IF($A1003="","",SUMIFS(tblIssues[Qty Issued],tblIssues[Lot Number],$B1003))</f>
        <v/>
      </c>
      <c r="N1003" s="26" t="str">
        <f t="shared" si="77"/>
        <v/>
      </c>
      <c r="O1003" s="26" t="str">
        <f t="shared" si="78"/>
        <v/>
      </c>
      <c r="P1003" s="21" t="str">
        <f t="shared" si="79"/>
        <v/>
      </c>
      <c r="Q1003" s="52" t="str">
        <f>IF($A1003="","",IF($O1003&lt;=0,"Depleted",IF($I1003&lt;0,"EXPIRED",IF($I1003&lt;=Settings!$C$6,"CRITICAL",IF($I1003&lt;=Settings!$C$5,"Expiring","In date")))))</f>
        <v/>
      </c>
    </row>
    <row r="1004" spans="1:17" x14ac:dyDescent="0.35">
      <c r="A1004" s="90" t="str">
        <f>IF(Receipts!$D1007="","",Receipts!$D1007)</f>
        <v/>
      </c>
      <c r="B1004" s="18" t="str">
        <f>IF(Receipts!$C1007="","",Receipts!$C1007)</f>
        <v/>
      </c>
      <c r="C1004" s="18" t="str">
        <f>IF($A1004="","",IFERROR(INDEX(Items!$B$5:$B$597,MATCH($A1004,Items!$A$5:$A$597,0)),""))</f>
        <v/>
      </c>
      <c r="D1004" s="23" t="str">
        <f>IF($A1004="","",N(Receipts!$G1007))</f>
        <v/>
      </c>
      <c r="E1004" s="20" t="str">
        <f>IF($A1004="","",IFERROR(INDEX(Items!$D$5:$D$597,MATCH($A1004,Items!$A$5:$A$597,0)),0))</f>
        <v/>
      </c>
      <c r="F1004" s="21" t="str">
        <f t="shared" si="75"/>
        <v/>
      </c>
      <c r="G1004" s="25" t="str">
        <f>IF(Receipts!$I1007="","",Receipts!$I1007)</f>
        <v/>
      </c>
      <c r="H1004" s="25" t="str">
        <f>IF(Receipts!$H1007="","",Receipts!$H1007)</f>
        <v/>
      </c>
      <c r="I1004" s="26" t="str">
        <f t="shared" ca="1" si="76"/>
        <v/>
      </c>
      <c r="J1004" s="26" t="str">
        <f>IF($A1004="","",COUNTIFS(tblReceipts[Item Name],$A1004,tblReceipts[Expiry Date],"&lt;"&amp;$H1004)+COUNTIFS(tblReceipts[Item Name],$A1004,tblReceipts[Expiry Date],$H1004,tblReceipts[Lot Number],"&lt;="&amp;Receipts!$C1007))</f>
        <v/>
      </c>
      <c r="K1004" s="26" t="str">
        <f>IF($A1004="","",SUMIFS(tblReceipts[Qty Received],tblReceipts[Item Name],$A1004,tblReceipts[Expiry Date],"&lt;"&amp;$H1004)+SUMIFS(tblReceipts[Qty Received],tblReceipts[Item Name],$A1004,tblReceipts[Expiry Date],$H1004,tblReceipts[Lot Number],"&lt;"&amp;Receipts!$C1007))</f>
        <v/>
      </c>
      <c r="L1004" s="26" t="str">
        <f>IF($A1004="","",MIN($D1004,MAX(0,SUMIFS(tblIssues[Qty Issued],tblIssues[Item Name],$A1004)-$K1004)))</f>
        <v/>
      </c>
      <c r="M1004" s="26" t="str">
        <f>IF($A1004="","",SUMIFS(tblIssues[Qty Issued],tblIssues[Lot Number],$B1004))</f>
        <v/>
      </c>
      <c r="N1004" s="26" t="str">
        <f t="shared" si="77"/>
        <v/>
      </c>
      <c r="O1004" s="26" t="str">
        <f t="shared" si="78"/>
        <v/>
      </c>
      <c r="P1004" s="21" t="str">
        <f t="shared" si="79"/>
        <v/>
      </c>
      <c r="Q1004" s="52" t="str">
        <f>IF($A1004="","",IF($O1004&lt;=0,"Depleted",IF($I1004&lt;0,"EXPIRED",IF($I1004&lt;=Settings!$C$6,"CRITICAL",IF($I1004&lt;=Settings!$C$5,"Expiring","In date")))))</f>
        <v/>
      </c>
    </row>
    <row r="1005" spans="1:17" x14ac:dyDescent="0.35">
      <c r="A1005" s="90" t="str">
        <f>IF(Receipts!$D1008="","",Receipts!$D1008)</f>
        <v/>
      </c>
      <c r="B1005" s="18" t="str">
        <f>IF(Receipts!$C1008="","",Receipts!$C1008)</f>
        <v/>
      </c>
      <c r="C1005" s="18" t="str">
        <f>IF($A1005="","",IFERROR(INDEX(Items!$B$5:$B$597,MATCH($A1005,Items!$A$5:$A$597,0)),""))</f>
        <v/>
      </c>
      <c r="D1005" s="23" t="str">
        <f>IF($A1005="","",N(Receipts!$G1008))</f>
        <v/>
      </c>
      <c r="E1005" s="20" t="str">
        <f>IF($A1005="","",IFERROR(INDEX(Items!$D$5:$D$597,MATCH($A1005,Items!$A$5:$A$597,0)),0))</f>
        <v/>
      </c>
      <c r="F1005" s="21" t="str">
        <f t="shared" si="75"/>
        <v/>
      </c>
      <c r="G1005" s="25" t="str">
        <f>IF(Receipts!$I1008="","",Receipts!$I1008)</f>
        <v/>
      </c>
      <c r="H1005" s="25" t="str">
        <f>IF(Receipts!$H1008="","",Receipts!$H1008)</f>
        <v/>
      </c>
      <c r="I1005" s="26" t="str">
        <f t="shared" ca="1" si="76"/>
        <v/>
      </c>
      <c r="J1005" s="26" t="str">
        <f>IF($A1005="","",COUNTIFS(tblReceipts[Item Name],$A1005,tblReceipts[Expiry Date],"&lt;"&amp;$H1005)+COUNTIFS(tblReceipts[Item Name],$A1005,tblReceipts[Expiry Date],$H1005,tblReceipts[Lot Number],"&lt;="&amp;Receipts!$C1008))</f>
        <v/>
      </c>
      <c r="K1005" s="26" t="str">
        <f>IF($A1005="","",SUMIFS(tblReceipts[Qty Received],tblReceipts[Item Name],$A1005,tblReceipts[Expiry Date],"&lt;"&amp;$H1005)+SUMIFS(tblReceipts[Qty Received],tblReceipts[Item Name],$A1005,tblReceipts[Expiry Date],$H1005,tblReceipts[Lot Number],"&lt;"&amp;Receipts!$C1008))</f>
        <v/>
      </c>
      <c r="L1005" s="26" t="str">
        <f>IF($A1005="","",MIN($D1005,MAX(0,SUMIFS(tblIssues[Qty Issued],tblIssues[Item Name],$A1005)-$K1005)))</f>
        <v/>
      </c>
      <c r="M1005" s="26" t="str">
        <f>IF($A1005="","",SUMIFS(tblIssues[Qty Issued],tblIssues[Lot Number],$B1005))</f>
        <v/>
      </c>
      <c r="N1005" s="26" t="str">
        <f t="shared" si="77"/>
        <v/>
      </c>
      <c r="O1005" s="26" t="str">
        <f t="shared" si="78"/>
        <v/>
      </c>
      <c r="P1005" s="21" t="str">
        <f t="shared" si="79"/>
        <v/>
      </c>
      <c r="Q1005" s="52" t="str">
        <f>IF($A1005="","",IF($O1005&lt;=0,"Depleted",IF($I1005&lt;0,"EXPIRED",IF($I1005&lt;=Settings!$C$6,"CRITICAL",IF($I1005&lt;=Settings!$C$5,"Expiring","In date")))))</f>
        <v/>
      </c>
    </row>
    <row r="1006" spans="1:17" x14ac:dyDescent="0.35">
      <c r="A1006" s="90" t="str">
        <f>IF(Receipts!$D1009="","",Receipts!$D1009)</f>
        <v/>
      </c>
      <c r="B1006" s="18" t="str">
        <f>IF(Receipts!$C1009="","",Receipts!$C1009)</f>
        <v/>
      </c>
      <c r="C1006" s="18" t="str">
        <f>IF($A1006="","",IFERROR(INDEX(Items!$B$5:$B$597,MATCH($A1006,Items!$A$5:$A$597,0)),""))</f>
        <v/>
      </c>
      <c r="D1006" s="23" t="str">
        <f>IF($A1006="","",N(Receipts!$G1009))</f>
        <v/>
      </c>
      <c r="E1006" s="20" t="str">
        <f>IF($A1006="","",IFERROR(INDEX(Items!$D$5:$D$597,MATCH($A1006,Items!$A$5:$A$597,0)),0))</f>
        <v/>
      </c>
      <c r="F1006" s="21" t="str">
        <f t="shared" si="75"/>
        <v/>
      </c>
      <c r="G1006" s="25" t="str">
        <f>IF(Receipts!$I1009="","",Receipts!$I1009)</f>
        <v/>
      </c>
      <c r="H1006" s="25" t="str">
        <f>IF(Receipts!$H1009="","",Receipts!$H1009)</f>
        <v/>
      </c>
      <c r="I1006" s="26" t="str">
        <f t="shared" ca="1" si="76"/>
        <v/>
      </c>
      <c r="J1006" s="26" t="str">
        <f>IF($A1006="","",COUNTIFS(tblReceipts[Item Name],$A1006,tblReceipts[Expiry Date],"&lt;"&amp;$H1006)+COUNTIFS(tblReceipts[Item Name],$A1006,tblReceipts[Expiry Date],$H1006,tblReceipts[Lot Number],"&lt;="&amp;Receipts!$C1009))</f>
        <v/>
      </c>
      <c r="K1006" s="26" t="str">
        <f>IF($A1006="","",SUMIFS(tblReceipts[Qty Received],tblReceipts[Item Name],$A1006,tblReceipts[Expiry Date],"&lt;"&amp;$H1006)+SUMIFS(tblReceipts[Qty Received],tblReceipts[Item Name],$A1006,tblReceipts[Expiry Date],$H1006,tblReceipts[Lot Number],"&lt;"&amp;Receipts!$C1009))</f>
        <v/>
      </c>
      <c r="L1006" s="26" t="str">
        <f>IF($A1006="","",MIN($D1006,MAX(0,SUMIFS(tblIssues[Qty Issued],tblIssues[Item Name],$A1006)-$K1006)))</f>
        <v/>
      </c>
      <c r="M1006" s="26" t="str">
        <f>IF($A1006="","",SUMIFS(tblIssues[Qty Issued],tblIssues[Lot Number],$B1006))</f>
        <v/>
      </c>
      <c r="N1006" s="26" t="str">
        <f t="shared" si="77"/>
        <v/>
      </c>
      <c r="O1006" s="26" t="str">
        <f t="shared" si="78"/>
        <v/>
      </c>
      <c r="P1006" s="21" t="str">
        <f t="shared" si="79"/>
        <v/>
      </c>
      <c r="Q1006" s="52" t="str">
        <f>IF($A1006="","",IF($O1006&lt;=0,"Depleted",IF($I1006&lt;0,"EXPIRED",IF($I1006&lt;=Settings!$C$6,"CRITICAL",IF($I1006&lt;=Settings!$C$5,"Expiring","In date")))))</f>
        <v/>
      </c>
    </row>
    <row r="1007" spans="1:17" x14ac:dyDescent="0.35">
      <c r="A1007" s="90" t="str">
        <f>IF(Receipts!$D1010="","",Receipts!$D1010)</f>
        <v/>
      </c>
      <c r="B1007" s="18" t="str">
        <f>IF(Receipts!$C1010="","",Receipts!$C1010)</f>
        <v/>
      </c>
      <c r="C1007" s="18" t="str">
        <f>IF($A1007="","",IFERROR(INDEX(Items!$B$5:$B$597,MATCH($A1007,Items!$A$5:$A$597,0)),""))</f>
        <v/>
      </c>
      <c r="D1007" s="23" t="str">
        <f>IF($A1007="","",N(Receipts!$G1010))</f>
        <v/>
      </c>
      <c r="E1007" s="20" t="str">
        <f>IF($A1007="","",IFERROR(INDEX(Items!$D$5:$D$597,MATCH($A1007,Items!$A$5:$A$597,0)),0))</f>
        <v/>
      </c>
      <c r="F1007" s="21" t="str">
        <f t="shared" si="75"/>
        <v/>
      </c>
      <c r="G1007" s="25" t="str">
        <f>IF(Receipts!$I1010="","",Receipts!$I1010)</f>
        <v/>
      </c>
      <c r="H1007" s="25" t="str">
        <f>IF(Receipts!$H1010="","",Receipts!$H1010)</f>
        <v/>
      </c>
      <c r="I1007" s="26" t="str">
        <f t="shared" ca="1" si="76"/>
        <v/>
      </c>
      <c r="J1007" s="26" t="str">
        <f>IF($A1007="","",COUNTIFS(tblReceipts[Item Name],$A1007,tblReceipts[Expiry Date],"&lt;"&amp;$H1007)+COUNTIFS(tblReceipts[Item Name],$A1007,tblReceipts[Expiry Date],$H1007,tblReceipts[Lot Number],"&lt;="&amp;Receipts!$C1010))</f>
        <v/>
      </c>
      <c r="K1007" s="26" t="str">
        <f>IF($A1007="","",SUMIFS(tblReceipts[Qty Received],tblReceipts[Item Name],$A1007,tblReceipts[Expiry Date],"&lt;"&amp;$H1007)+SUMIFS(tblReceipts[Qty Received],tblReceipts[Item Name],$A1007,tblReceipts[Expiry Date],$H1007,tblReceipts[Lot Number],"&lt;"&amp;Receipts!$C1010))</f>
        <v/>
      </c>
      <c r="L1007" s="26" t="str">
        <f>IF($A1007="","",MIN($D1007,MAX(0,SUMIFS(tblIssues[Qty Issued],tblIssues[Item Name],$A1007)-$K1007)))</f>
        <v/>
      </c>
      <c r="M1007" s="26" t="str">
        <f>IF($A1007="","",SUMIFS(tblIssues[Qty Issued],tblIssues[Lot Number],$B1007))</f>
        <v/>
      </c>
      <c r="N1007" s="26" t="str">
        <f t="shared" si="77"/>
        <v/>
      </c>
      <c r="O1007" s="26" t="str">
        <f t="shared" si="78"/>
        <v/>
      </c>
      <c r="P1007" s="21" t="str">
        <f t="shared" si="79"/>
        <v/>
      </c>
      <c r="Q1007" s="52" t="str">
        <f>IF($A1007="","",IF($O1007&lt;=0,"Depleted",IF($I1007&lt;0,"EXPIRED",IF($I1007&lt;=Settings!$C$6,"CRITICAL",IF($I1007&lt;=Settings!$C$5,"Expiring","In date")))))</f>
        <v/>
      </c>
    </row>
    <row r="1008" spans="1:17" x14ac:dyDescent="0.35">
      <c r="A1008" s="90" t="str">
        <f>IF(Receipts!$D1011="","",Receipts!$D1011)</f>
        <v/>
      </c>
      <c r="B1008" s="18" t="str">
        <f>IF(Receipts!$C1011="","",Receipts!$C1011)</f>
        <v/>
      </c>
      <c r="C1008" s="18" t="str">
        <f>IF($A1008="","",IFERROR(INDEX(Items!$B$5:$B$597,MATCH($A1008,Items!$A$5:$A$597,0)),""))</f>
        <v/>
      </c>
      <c r="D1008" s="23" t="str">
        <f>IF($A1008="","",N(Receipts!$G1011))</f>
        <v/>
      </c>
      <c r="E1008" s="20" t="str">
        <f>IF($A1008="","",IFERROR(INDEX(Items!$D$5:$D$597,MATCH($A1008,Items!$A$5:$A$597,0)),0))</f>
        <v/>
      </c>
      <c r="F1008" s="21" t="str">
        <f t="shared" si="75"/>
        <v/>
      </c>
      <c r="G1008" s="25" t="str">
        <f>IF(Receipts!$I1011="","",Receipts!$I1011)</f>
        <v/>
      </c>
      <c r="H1008" s="25" t="str">
        <f>IF(Receipts!$H1011="","",Receipts!$H1011)</f>
        <v/>
      </c>
      <c r="I1008" s="26" t="str">
        <f t="shared" ca="1" si="76"/>
        <v/>
      </c>
      <c r="J1008" s="26" t="str">
        <f>IF($A1008="","",COUNTIFS(tblReceipts[Item Name],$A1008,tblReceipts[Expiry Date],"&lt;"&amp;$H1008)+COUNTIFS(tblReceipts[Item Name],$A1008,tblReceipts[Expiry Date],$H1008,tblReceipts[Lot Number],"&lt;="&amp;Receipts!$C1011))</f>
        <v/>
      </c>
      <c r="K1008" s="26" t="str">
        <f>IF($A1008="","",SUMIFS(tblReceipts[Qty Received],tblReceipts[Item Name],$A1008,tblReceipts[Expiry Date],"&lt;"&amp;$H1008)+SUMIFS(tblReceipts[Qty Received],tblReceipts[Item Name],$A1008,tblReceipts[Expiry Date],$H1008,tblReceipts[Lot Number],"&lt;"&amp;Receipts!$C1011))</f>
        <v/>
      </c>
      <c r="L1008" s="26" t="str">
        <f>IF($A1008="","",MIN($D1008,MAX(0,SUMIFS(tblIssues[Qty Issued],tblIssues[Item Name],$A1008)-$K1008)))</f>
        <v/>
      </c>
      <c r="M1008" s="26" t="str">
        <f>IF($A1008="","",SUMIFS(tblIssues[Qty Issued],tblIssues[Lot Number],$B1008))</f>
        <v/>
      </c>
      <c r="N1008" s="26" t="str">
        <f t="shared" si="77"/>
        <v/>
      </c>
      <c r="O1008" s="26" t="str">
        <f t="shared" si="78"/>
        <v/>
      </c>
      <c r="P1008" s="21" t="str">
        <f t="shared" si="79"/>
        <v/>
      </c>
      <c r="Q1008" s="52" t="str">
        <f>IF($A1008="","",IF($O1008&lt;=0,"Depleted",IF($I1008&lt;0,"EXPIRED",IF($I1008&lt;=Settings!$C$6,"CRITICAL",IF($I1008&lt;=Settings!$C$5,"Expiring","In date")))))</f>
        <v/>
      </c>
    </row>
    <row r="1009" spans="1:17" x14ac:dyDescent="0.35">
      <c r="A1009" s="90" t="str">
        <f>IF(Receipts!$D1012="","",Receipts!$D1012)</f>
        <v/>
      </c>
      <c r="B1009" s="18" t="str">
        <f>IF(Receipts!$C1012="","",Receipts!$C1012)</f>
        <v/>
      </c>
      <c r="C1009" s="18" t="str">
        <f>IF($A1009="","",IFERROR(INDEX(Items!$B$5:$B$597,MATCH($A1009,Items!$A$5:$A$597,0)),""))</f>
        <v/>
      </c>
      <c r="D1009" s="23" t="str">
        <f>IF($A1009="","",N(Receipts!$G1012))</f>
        <v/>
      </c>
      <c r="E1009" s="20" t="str">
        <f>IF($A1009="","",IFERROR(INDEX(Items!$D$5:$D$597,MATCH($A1009,Items!$A$5:$A$597,0)),0))</f>
        <v/>
      </c>
      <c r="F1009" s="21" t="str">
        <f t="shared" si="75"/>
        <v/>
      </c>
      <c r="G1009" s="25" t="str">
        <f>IF(Receipts!$I1012="","",Receipts!$I1012)</f>
        <v/>
      </c>
      <c r="H1009" s="25" t="str">
        <f>IF(Receipts!$H1012="","",Receipts!$H1012)</f>
        <v/>
      </c>
      <c r="I1009" s="26" t="str">
        <f t="shared" ca="1" si="76"/>
        <v/>
      </c>
      <c r="J1009" s="26" t="str">
        <f>IF($A1009="","",COUNTIFS(tblReceipts[Item Name],$A1009,tblReceipts[Expiry Date],"&lt;"&amp;$H1009)+COUNTIFS(tblReceipts[Item Name],$A1009,tblReceipts[Expiry Date],$H1009,tblReceipts[Lot Number],"&lt;="&amp;Receipts!$C1012))</f>
        <v/>
      </c>
      <c r="K1009" s="26" t="str">
        <f>IF($A1009="","",SUMIFS(tblReceipts[Qty Received],tblReceipts[Item Name],$A1009,tblReceipts[Expiry Date],"&lt;"&amp;$H1009)+SUMIFS(tblReceipts[Qty Received],tblReceipts[Item Name],$A1009,tblReceipts[Expiry Date],$H1009,tblReceipts[Lot Number],"&lt;"&amp;Receipts!$C1012))</f>
        <v/>
      </c>
      <c r="L1009" s="26" t="str">
        <f>IF($A1009="","",MIN($D1009,MAX(0,SUMIFS(tblIssues[Qty Issued],tblIssues[Item Name],$A1009)-$K1009)))</f>
        <v/>
      </c>
      <c r="M1009" s="26" t="str">
        <f>IF($A1009="","",SUMIFS(tblIssues[Qty Issued],tblIssues[Lot Number],$B1009))</f>
        <v/>
      </c>
      <c r="N1009" s="26" t="str">
        <f t="shared" si="77"/>
        <v/>
      </c>
      <c r="O1009" s="26" t="str">
        <f t="shared" si="78"/>
        <v/>
      </c>
      <c r="P1009" s="21" t="str">
        <f t="shared" si="79"/>
        <v/>
      </c>
      <c r="Q1009" s="52" t="str">
        <f>IF($A1009="","",IF($O1009&lt;=0,"Depleted",IF($I1009&lt;0,"EXPIRED",IF($I1009&lt;=Settings!$C$6,"CRITICAL",IF($I1009&lt;=Settings!$C$5,"Expiring","In date")))))</f>
        <v/>
      </c>
    </row>
    <row r="1010" spans="1:17" x14ac:dyDescent="0.35">
      <c r="A1010" s="90" t="str">
        <f>IF(Receipts!$D1013="","",Receipts!$D1013)</f>
        <v/>
      </c>
      <c r="B1010" s="18" t="str">
        <f>IF(Receipts!$C1013="","",Receipts!$C1013)</f>
        <v/>
      </c>
      <c r="C1010" s="18" t="str">
        <f>IF($A1010="","",IFERROR(INDEX(Items!$B$5:$B$597,MATCH($A1010,Items!$A$5:$A$597,0)),""))</f>
        <v/>
      </c>
      <c r="D1010" s="23" t="str">
        <f>IF($A1010="","",N(Receipts!$G1013))</f>
        <v/>
      </c>
      <c r="E1010" s="20" t="str">
        <f>IF($A1010="","",IFERROR(INDEX(Items!$D$5:$D$597,MATCH($A1010,Items!$A$5:$A$597,0)),0))</f>
        <v/>
      </c>
      <c r="F1010" s="21" t="str">
        <f t="shared" si="75"/>
        <v/>
      </c>
      <c r="G1010" s="25" t="str">
        <f>IF(Receipts!$I1013="","",Receipts!$I1013)</f>
        <v/>
      </c>
      <c r="H1010" s="25" t="str">
        <f>IF(Receipts!$H1013="","",Receipts!$H1013)</f>
        <v/>
      </c>
      <c r="I1010" s="26" t="str">
        <f t="shared" ca="1" si="76"/>
        <v/>
      </c>
      <c r="J1010" s="26" t="str">
        <f>IF($A1010="","",COUNTIFS(tblReceipts[Item Name],$A1010,tblReceipts[Expiry Date],"&lt;"&amp;$H1010)+COUNTIFS(tblReceipts[Item Name],$A1010,tblReceipts[Expiry Date],$H1010,tblReceipts[Lot Number],"&lt;="&amp;Receipts!$C1013))</f>
        <v/>
      </c>
      <c r="K1010" s="26" t="str">
        <f>IF($A1010="","",SUMIFS(tblReceipts[Qty Received],tblReceipts[Item Name],$A1010,tblReceipts[Expiry Date],"&lt;"&amp;$H1010)+SUMIFS(tblReceipts[Qty Received],tblReceipts[Item Name],$A1010,tblReceipts[Expiry Date],$H1010,tblReceipts[Lot Number],"&lt;"&amp;Receipts!$C1013))</f>
        <v/>
      </c>
      <c r="L1010" s="26" t="str">
        <f>IF($A1010="","",MIN($D1010,MAX(0,SUMIFS(tblIssues[Qty Issued],tblIssues[Item Name],$A1010)-$K1010)))</f>
        <v/>
      </c>
      <c r="M1010" s="26" t="str">
        <f>IF($A1010="","",SUMIFS(tblIssues[Qty Issued],tblIssues[Lot Number],$B1010))</f>
        <v/>
      </c>
      <c r="N1010" s="26" t="str">
        <f t="shared" si="77"/>
        <v/>
      </c>
      <c r="O1010" s="26" t="str">
        <f t="shared" si="78"/>
        <v/>
      </c>
      <c r="P1010" s="21" t="str">
        <f t="shared" si="79"/>
        <v/>
      </c>
      <c r="Q1010" s="52" t="str">
        <f>IF($A1010="","",IF($O1010&lt;=0,"Depleted",IF($I1010&lt;0,"EXPIRED",IF($I1010&lt;=Settings!$C$6,"CRITICAL",IF($I1010&lt;=Settings!$C$5,"Expiring","In date")))))</f>
        <v/>
      </c>
    </row>
    <row r="1011" spans="1:17" x14ac:dyDescent="0.35">
      <c r="A1011" s="90" t="str">
        <f>IF(Receipts!$D1014="","",Receipts!$D1014)</f>
        <v/>
      </c>
      <c r="B1011" s="18" t="str">
        <f>IF(Receipts!$C1014="","",Receipts!$C1014)</f>
        <v/>
      </c>
      <c r="C1011" s="18" t="str">
        <f>IF($A1011="","",IFERROR(INDEX(Items!$B$5:$B$597,MATCH($A1011,Items!$A$5:$A$597,0)),""))</f>
        <v/>
      </c>
      <c r="D1011" s="23" t="str">
        <f>IF($A1011="","",N(Receipts!$G1014))</f>
        <v/>
      </c>
      <c r="E1011" s="20" t="str">
        <f>IF($A1011="","",IFERROR(INDEX(Items!$D$5:$D$597,MATCH($A1011,Items!$A$5:$A$597,0)),0))</f>
        <v/>
      </c>
      <c r="F1011" s="21" t="str">
        <f t="shared" si="75"/>
        <v/>
      </c>
      <c r="G1011" s="25" t="str">
        <f>IF(Receipts!$I1014="","",Receipts!$I1014)</f>
        <v/>
      </c>
      <c r="H1011" s="25" t="str">
        <f>IF(Receipts!$H1014="","",Receipts!$H1014)</f>
        <v/>
      </c>
      <c r="I1011" s="26" t="str">
        <f t="shared" ca="1" si="76"/>
        <v/>
      </c>
      <c r="J1011" s="26" t="str">
        <f>IF($A1011="","",COUNTIFS(tblReceipts[Item Name],$A1011,tblReceipts[Expiry Date],"&lt;"&amp;$H1011)+COUNTIFS(tblReceipts[Item Name],$A1011,tblReceipts[Expiry Date],$H1011,tblReceipts[Lot Number],"&lt;="&amp;Receipts!$C1014))</f>
        <v/>
      </c>
      <c r="K1011" s="26" t="str">
        <f>IF($A1011="","",SUMIFS(tblReceipts[Qty Received],tblReceipts[Item Name],$A1011,tblReceipts[Expiry Date],"&lt;"&amp;$H1011)+SUMIFS(tblReceipts[Qty Received],tblReceipts[Item Name],$A1011,tblReceipts[Expiry Date],$H1011,tblReceipts[Lot Number],"&lt;"&amp;Receipts!$C1014))</f>
        <v/>
      </c>
      <c r="L1011" s="26" t="str">
        <f>IF($A1011="","",MIN($D1011,MAX(0,SUMIFS(tblIssues[Qty Issued],tblIssues[Item Name],$A1011)-$K1011)))</f>
        <v/>
      </c>
      <c r="M1011" s="26" t="str">
        <f>IF($A1011="","",SUMIFS(tblIssues[Qty Issued],tblIssues[Lot Number],$B1011))</f>
        <v/>
      </c>
      <c r="N1011" s="26" t="str">
        <f t="shared" si="77"/>
        <v/>
      </c>
      <c r="O1011" s="26" t="str">
        <f t="shared" si="78"/>
        <v/>
      </c>
      <c r="P1011" s="21" t="str">
        <f t="shared" si="79"/>
        <v/>
      </c>
      <c r="Q1011" s="52" t="str">
        <f>IF($A1011="","",IF($O1011&lt;=0,"Depleted",IF($I1011&lt;0,"EXPIRED",IF($I1011&lt;=Settings!$C$6,"CRITICAL",IF($I1011&lt;=Settings!$C$5,"Expiring","In date")))))</f>
        <v/>
      </c>
    </row>
    <row r="1012" spans="1:17" x14ac:dyDescent="0.35">
      <c r="A1012" s="90" t="str">
        <f>IF(Receipts!$D1015="","",Receipts!$D1015)</f>
        <v/>
      </c>
      <c r="B1012" s="18" t="str">
        <f>IF(Receipts!$C1015="","",Receipts!$C1015)</f>
        <v/>
      </c>
      <c r="C1012" s="18" t="str">
        <f>IF($A1012="","",IFERROR(INDEX(Items!$B$5:$B$597,MATCH($A1012,Items!$A$5:$A$597,0)),""))</f>
        <v/>
      </c>
      <c r="D1012" s="23" t="str">
        <f>IF($A1012="","",N(Receipts!$G1015))</f>
        <v/>
      </c>
      <c r="E1012" s="20" t="str">
        <f>IF($A1012="","",IFERROR(INDEX(Items!$D$5:$D$597,MATCH($A1012,Items!$A$5:$A$597,0)),0))</f>
        <v/>
      </c>
      <c r="F1012" s="21" t="str">
        <f t="shared" si="75"/>
        <v/>
      </c>
      <c r="G1012" s="25" t="str">
        <f>IF(Receipts!$I1015="","",Receipts!$I1015)</f>
        <v/>
      </c>
      <c r="H1012" s="25" t="str">
        <f>IF(Receipts!$H1015="","",Receipts!$H1015)</f>
        <v/>
      </c>
      <c r="I1012" s="26" t="str">
        <f t="shared" ca="1" si="76"/>
        <v/>
      </c>
      <c r="J1012" s="26" t="str">
        <f>IF($A1012="","",COUNTIFS(tblReceipts[Item Name],$A1012,tblReceipts[Expiry Date],"&lt;"&amp;$H1012)+COUNTIFS(tblReceipts[Item Name],$A1012,tblReceipts[Expiry Date],$H1012,tblReceipts[Lot Number],"&lt;="&amp;Receipts!$C1015))</f>
        <v/>
      </c>
      <c r="K1012" s="26" t="str">
        <f>IF($A1012="","",SUMIFS(tblReceipts[Qty Received],tblReceipts[Item Name],$A1012,tblReceipts[Expiry Date],"&lt;"&amp;$H1012)+SUMIFS(tblReceipts[Qty Received],tblReceipts[Item Name],$A1012,tblReceipts[Expiry Date],$H1012,tblReceipts[Lot Number],"&lt;"&amp;Receipts!$C1015))</f>
        <v/>
      </c>
      <c r="L1012" s="26" t="str">
        <f>IF($A1012="","",MIN($D1012,MAX(0,SUMIFS(tblIssues[Qty Issued],tblIssues[Item Name],$A1012)-$K1012)))</f>
        <v/>
      </c>
      <c r="M1012" s="26" t="str">
        <f>IF($A1012="","",SUMIFS(tblIssues[Qty Issued],tblIssues[Lot Number],$B1012))</f>
        <v/>
      </c>
      <c r="N1012" s="26" t="str">
        <f t="shared" si="77"/>
        <v/>
      </c>
      <c r="O1012" s="26" t="str">
        <f t="shared" si="78"/>
        <v/>
      </c>
      <c r="P1012" s="21" t="str">
        <f t="shared" si="79"/>
        <v/>
      </c>
      <c r="Q1012" s="52" t="str">
        <f>IF($A1012="","",IF($O1012&lt;=0,"Depleted",IF($I1012&lt;0,"EXPIRED",IF($I1012&lt;=Settings!$C$6,"CRITICAL",IF($I1012&lt;=Settings!$C$5,"Expiring","In date")))))</f>
        <v/>
      </c>
    </row>
    <row r="1013" spans="1:17" x14ac:dyDescent="0.35">
      <c r="A1013" s="90" t="str">
        <f>IF(Receipts!$D1016="","",Receipts!$D1016)</f>
        <v/>
      </c>
      <c r="B1013" s="18" t="str">
        <f>IF(Receipts!$C1016="","",Receipts!$C1016)</f>
        <v/>
      </c>
      <c r="C1013" s="18" t="str">
        <f>IF($A1013="","",IFERROR(INDEX(Items!$B$5:$B$597,MATCH($A1013,Items!$A$5:$A$597,0)),""))</f>
        <v/>
      </c>
      <c r="D1013" s="23" t="str">
        <f>IF($A1013="","",N(Receipts!$G1016))</f>
        <v/>
      </c>
      <c r="E1013" s="20" t="str">
        <f>IF($A1013="","",IFERROR(INDEX(Items!$D$5:$D$597,MATCH($A1013,Items!$A$5:$A$597,0)),0))</f>
        <v/>
      </c>
      <c r="F1013" s="21" t="str">
        <f t="shared" si="75"/>
        <v/>
      </c>
      <c r="G1013" s="25" t="str">
        <f>IF(Receipts!$I1016="","",Receipts!$I1016)</f>
        <v/>
      </c>
      <c r="H1013" s="25" t="str">
        <f>IF(Receipts!$H1016="","",Receipts!$H1016)</f>
        <v/>
      </c>
      <c r="I1013" s="26" t="str">
        <f t="shared" ca="1" si="76"/>
        <v/>
      </c>
      <c r="J1013" s="26" t="str">
        <f>IF($A1013="","",COUNTIFS(tblReceipts[Item Name],$A1013,tblReceipts[Expiry Date],"&lt;"&amp;$H1013)+COUNTIFS(tblReceipts[Item Name],$A1013,tblReceipts[Expiry Date],$H1013,tblReceipts[Lot Number],"&lt;="&amp;Receipts!$C1016))</f>
        <v/>
      </c>
      <c r="K1013" s="26" t="str">
        <f>IF($A1013="","",SUMIFS(tblReceipts[Qty Received],tblReceipts[Item Name],$A1013,tblReceipts[Expiry Date],"&lt;"&amp;$H1013)+SUMIFS(tblReceipts[Qty Received],tblReceipts[Item Name],$A1013,tblReceipts[Expiry Date],$H1013,tblReceipts[Lot Number],"&lt;"&amp;Receipts!$C1016))</f>
        <v/>
      </c>
      <c r="L1013" s="26" t="str">
        <f>IF($A1013="","",MIN($D1013,MAX(0,SUMIFS(tblIssues[Qty Issued],tblIssues[Item Name],$A1013)-$K1013)))</f>
        <v/>
      </c>
      <c r="M1013" s="26" t="str">
        <f>IF($A1013="","",SUMIFS(tblIssues[Qty Issued],tblIssues[Lot Number],$B1013))</f>
        <v/>
      </c>
      <c r="N1013" s="26" t="str">
        <f t="shared" si="77"/>
        <v/>
      </c>
      <c r="O1013" s="26" t="str">
        <f t="shared" si="78"/>
        <v/>
      </c>
      <c r="P1013" s="21" t="str">
        <f t="shared" si="79"/>
        <v/>
      </c>
      <c r="Q1013" s="52" t="str">
        <f>IF($A1013="","",IF($O1013&lt;=0,"Depleted",IF($I1013&lt;0,"EXPIRED",IF($I1013&lt;=Settings!$C$6,"CRITICAL",IF($I1013&lt;=Settings!$C$5,"Expiring","In date")))))</f>
        <v/>
      </c>
    </row>
    <row r="1014" spans="1:17" x14ac:dyDescent="0.35">
      <c r="A1014" s="90" t="str">
        <f>IF(Receipts!$D1017="","",Receipts!$D1017)</f>
        <v/>
      </c>
      <c r="B1014" s="18" t="str">
        <f>IF(Receipts!$C1017="","",Receipts!$C1017)</f>
        <v/>
      </c>
      <c r="C1014" s="18" t="str">
        <f>IF($A1014="","",IFERROR(INDEX(Items!$B$5:$B$597,MATCH($A1014,Items!$A$5:$A$597,0)),""))</f>
        <v/>
      </c>
      <c r="D1014" s="23" t="str">
        <f>IF($A1014="","",N(Receipts!$G1017))</f>
        <v/>
      </c>
      <c r="E1014" s="20" t="str">
        <f>IF($A1014="","",IFERROR(INDEX(Items!$D$5:$D$597,MATCH($A1014,Items!$A$5:$A$597,0)),0))</f>
        <v/>
      </c>
      <c r="F1014" s="21" t="str">
        <f t="shared" si="75"/>
        <v/>
      </c>
      <c r="G1014" s="25" t="str">
        <f>IF(Receipts!$I1017="","",Receipts!$I1017)</f>
        <v/>
      </c>
      <c r="H1014" s="25" t="str">
        <f>IF(Receipts!$H1017="","",Receipts!$H1017)</f>
        <v/>
      </c>
      <c r="I1014" s="26" t="str">
        <f t="shared" ca="1" si="76"/>
        <v/>
      </c>
      <c r="J1014" s="26" t="str">
        <f>IF($A1014="","",COUNTIFS(tblReceipts[Item Name],$A1014,tblReceipts[Expiry Date],"&lt;"&amp;$H1014)+COUNTIFS(tblReceipts[Item Name],$A1014,tblReceipts[Expiry Date],$H1014,tblReceipts[Lot Number],"&lt;="&amp;Receipts!$C1017))</f>
        <v/>
      </c>
      <c r="K1014" s="26" t="str">
        <f>IF($A1014="","",SUMIFS(tblReceipts[Qty Received],tblReceipts[Item Name],$A1014,tblReceipts[Expiry Date],"&lt;"&amp;$H1014)+SUMIFS(tblReceipts[Qty Received],tblReceipts[Item Name],$A1014,tblReceipts[Expiry Date],$H1014,tblReceipts[Lot Number],"&lt;"&amp;Receipts!$C1017))</f>
        <v/>
      </c>
      <c r="L1014" s="26" t="str">
        <f>IF($A1014="","",MIN($D1014,MAX(0,SUMIFS(tblIssues[Qty Issued],tblIssues[Item Name],$A1014)-$K1014)))</f>
        <v/>
      </c>
      <c r="M1014" s="26" t="str">
        <f>IF($A1014="","",SUMIFS(tblIssues[Qty Issued],tblIssues[Lot Number],$B1014))</f>
        <v/>
      </c>
      <c r="N1014" s="26" t="str">
        <f t="shared" si="77"/>
        <v/>
      </c>
      <c r="O1014" s="26" t="str">
        <f t="shared" si="78"/>
        <v/>
      </c>
      <c r="P1014" s="21" t="str">
        <f t="shared" si="79"/>
        <v/>
      </c>
      <c r="Q1014" s="52" t="str">
        <f>IF($A1014="","",IF($O1014&lt;=0,"Depleted",IF($I1014&lt;0,"EXPIRED",IF($I1014&lt;=Settings!$C$6,"CRITICAL",IF($I1014&lt;=Settings!$C$5,"Expiring","In date")))))</f>
        <v/>
      </c>
    </row>
    <row r="1015" spans="1:17" x14ac:dyDescent="0.35">
      <c r="A1015" s="90" t="str">
        <f>IF(Receipts!$D1018="","",Receipts!$D1018)</f>
        <v/>
      </c>
      <c r="B1015" s="18" t="str">
        <f>IF(Receipts!$C1018="","",Receipts!$C1018)</f>
        <v/>
      </c>
      <c r="C1015" s="18" t="str">
        <f>IF($A1015="","",IFERROR(INDEX(Items!$B$5:$B$597,MATCH($A1015,Items!$A$5:$A$597,0)),""))</f>
        <v/>
      </c>
      <c r="D1015" s="23" t="str">
        <f>IF($A1015="","",N(Receipts!$G1018))</f>
        <v/>
      </c>
      <c r="E1015" s="20" t="str">
        <f>IF($A1015="","",IFERROR(INDEX(Items!$D$5:$D$597,MATCH($A1015,Items!$A$5:$A$597,0)),0))</f>
        <v/>
      </c>
      <c r="F1015" s="21" t="str">
        <f t="shared" si="75"/>
        <v/>
      </c>
      <c r="G1015" s="25" t="str">
        <f>IF(Receipts!$I1018="","",Receipts!$I1018)</f>
        <v/>
      </c>
      <c r="H1015" s="25" t="str">
        <f>IF(Receipts!$H1018="","",Receipts!$H1018)</f>
        <v/>
      </c>
      <c r="I1015" s="26" t="str">
        <f t="shared" ca="1" si="76"/>
        <v/>
      </c>
      <c r="J1015" s="26" t="str">
        <f>IF($A1015="","",COUNTIFS(tblReceipts[Item Name],$A1015,tblReceipts[Expiry Date],"&lt;"&amp;$H1015)+COUNTIFS(tblReceipts[Item Name],$A1015,tblReceipts[Expiry Date],$H1015,tblReceipts[Lot Number],"&lt;="&amp;Receipts!$C1018))</f>
        <v/>
      </c>
      <c r="K1015" s="26" t="str">
        <f>IF($A1015="","",SUMIFS(tblReceipts[Qty Received],tblReceipts[Item Name],$A1015,tblReceipts[Expiry Date],"&lt;"&amp;$H1015)+SUMIFS(tblReceipts[Qty Received],tblReceipts[Item Name],$A1015,tblReceipts[Expiry Date],$H1015,tblReceipts[Lot Number],"&lt;"&amp;Receipts!$C1018))</f>
        <v/>
      </c>
      <c r="L1015" s="26" t="str">
        <f>IF($A1015="","",MIN($D1015,MAX(0,SUMIFS(tblIssues[Qty Issued],tblIssues[Item Name],$A1015)-$K1015)))</f>
        <v/>
      </c>
      <c r="M1015" s="26" t="str">
        <f>IF($A1015="","",SUMIFS(tblIssues[Qty Issued],tblIssues[Lot Number],$B1015))</f>
        <v/>
      </c>
      <c r="N1015" s="26" t="str">
        <f t="shared" si="77"/>
        <v/>
      </c>
      <c r="O1015" s="26" t="str">
        <f t="shared" si="78"/>
        <v/>
      </c>
      <c r="P1015" s="21" t="str">
        <f t="shared" si="79"/>
        <v/>
      </c>
      <c r="Q1015" s="52" t="str">
        <f>IF($A1015="","",IF($O1015&lt;=0,"Depleted",IF($I1015&lt;0,"EXPIRED",IF($I1015&lt;=Settings!$C$6,"CRITICAL",IF($I1015&lt;=Settings!$C$5,"Expiring","In date")))))</f>
        <v/>
      </c>
    </row>
    <row r="1016" spans="1:17" x14ac:dyDescent="0.35">
      <c r="A1016" s="90" t="str">
        <f>IF(Receipts!$D1019="","",Receipts!$D1019)</f>
        <v/>
      </c>
      <c r="B1016" s="18" t="str">
        <f>IF(Receipts!$C1019="","",Receipts!$C1019)</f>
        <v/>
      </c>
      <c r="C1016" s="18" t="str">
        <f>IF($A1016="","",IFERROR(INDEX(Items!$B$5:$B$597,MATCH($A1016,Items!$A$5:$A$597,0)),""))</f>
        <v/>
      </c>
      <c r="D1016" s="23" t="str">
        <f>IF($A1016="","",N(Receipts!$G1019))</f>
        <v/>
      </c>
      <c r="E1016" s="20" t="str">
        <f>IF($A1016="","",IFERROR(INDEX(Items!$D$5:$D$597,MATCH($A1016,Items!$A$5:$A$597,0)),0))</f>
        <v/>
      </c>
      <c r="F1016" s="21" t="str">
        <f t="shared" si="75"/>
        <v/>
      </c>
      <c r="G1016" s="25" t="str">
        <f>IF(Receipts!$I1019="","",Receipts!$I1019)</f>
        <v/>
      </c>
      <c r="H1016" s="25" t="str">
        <f>IF(Receipts!$H1019="","",Receipts!$H1019)</f>
        <v/>
      </c>
      <c r="I1016" s="26" t="str">
        <f t="shared" ca="1" si="76"/>
        <v/>
      </c>
      <c r="J1016" s="26" t="str">
        <f>IF($A1016="","",COUNTIFS(tblReceipts[Item Name],$A1016,tblReceipts[Expiry Date],"&lt;"&amp;$H1016)+COUNTIFS(tblReceipts[Item Name],$A1016,tblReceipts[Expiry Date],$H1016,tblReceipts[Lot Number],"&lt;="&amp;Receipts!$C1019))</f>
        <v/>
      </c>
      <c r="K1016" s="26" t="str">
        <f>IF($A1016="","",SUMIFS(tblReceipts[Qty Received],tblReceipts[Item Name],$A1016,tblReceipts[Expiry Date],"&lt;"&amp;$H1016)+SUMIFS(tblReceipts[Qty Received],tblReceipts[Item Name],$A1016,tblReceipts[Expiry Date],$H1016,tblReceipts[Lot Number],"&lt;"&amp;Receipts!$C1019))</f>
        <v/>
      </c>
      <c r="L1016" s="26" t="str">
        <f>IF($A1016="","",MIN($D1016,MAX(0,SUMIFS(tblIssues[Qty Issued],tblIssues[Item Name],$A1016)-$K1016)))</f>
        <v/>
      </c>
      <c r="M1016" s="26" t="str">
        <f>IF($A1016="","",SUMIFS(tblIssues[Qty Issued],tblIssues[Lot Number],$B1016))</f>
        <v/>
      </c>
      <c r="N1016" s="26" t="str">
        <f t="shared" si="77"/>
        <v/>
      </c>
      <c r="O1016" s="26" t="str">
        <f t="shared" si="78"/>
        <v/>
      </c>
      <c r="P1016" s="21" t="str">
        <f t="shared" si="79"/>
        <v/>
      </c>
      <c r="Q1016" s="52" t="str">
        <f>IF($A1016="","",IF($O1016&lt;=0,"Depleted",IF($I1016&lt;0,"EXPIRED",IF($I1016&lt;=Settings!$C$6,"CRITICAL",IF($I1016&lt;=Settings!$C$5,"Expiring","In date")))))</f>
        <v/>
      </c>
    </row>
    <row r="1017" spans="1:17" x14ac:dyDescent="0.35">
      <c r="A1017" s="90" t="str">
        <f>IF(Receipts!$D1020="","",Receipts!$D1020)</f>
        <v/>
      </c>
      <c r="B1017" s="18" t="str">
        <f>IF(Receipts!$C1020="","",Receipts!$C1020)</f>
        <v/>
      </c>
      <c r="C1017" s="18" t="str">
        <f>IF($A1017="","",IFERROR(INDEX(Items!$B$5:$B$597,MATCH($A1017,Items!$A$5:$A$597,0)),""))</f>
        <v/>
      </c>
      <c r="D1017" s="23" t="str">
        <f>IF($A1017="","",N(Receipts!$G1020))</f>
        <v/>
      </c>
      <c r="E1017" s="20" t="str">
        <f>IF($A1017="","",IFERROR(INDEX(Items!$D$5:$D$597,MATCH($A1017,Items!$A$5:$A$597,0)),0))</f>
        <v/>
      </c>
      <c r="F1017" s="21" t="str">
        <f t="shared" si="75"/>
        <v/>
      </c>
      <c r="G1017" s="25" t="str">
        <f>IF(Receipts!$I1020="","",Receipts!$I1020)</f>
        <v/>
      </c>
      <c r="H1017" s="25" t="str">
        <f>IF(Receipts!$H1020="","",Receipts!$H1020)</f>
        <v/>
      </c>
      <c r="I1017" s="26" t="str">
        <f t="shared" ca="1" si="76"/>
        <v/>
      </c>
      <c r="J1017" s="26" t="str">
        <f>IF($A1017="","",COUNTIFS(tblReceipts[Item Name],$A1017,tblReceipts[Expiry Date],"&lt;"&amp;$H1017)+COUNTIFS(tblReceipts[Item Name],$A1017,tblReceipts[Expiry Date],$H1017,tblReceipts[Lot Number],"&lt;="&amp;Receipts!$C1020))</f>
        <v/>
      </c>
      <c r="K1017" s="26" t="str">
        <f>IF($A1017="","",SUMIFS(tblReceipts[Qty Received],tblReceipts[Item Name],$A1017,tblReceipts[Expiry Date],"&lt;"&amp;$H1017)+SUMIFS(tblReceipts[Qty Received],tblReceipts[Item Name],$A1017,tblReceipts[Expiry Date],$H1017,tblReceipts[Lot Number],"&lt;"&amp;Receipts!$C1020))</f>
        <v/>
      </c>
      <c r="L1017" s="26" t="str">
        <f>IF($A1017="","",MIN($D1017,MAX(0,SUMIFS(tblIssues[Qty Issued],tblIssues[Item Name],$A1017)-$K1017)))</f>
        <v/>
      </c>
      <c r="M1017" s="26" t="str">
        <f>IF($A1017="","",SUMIFS(tblIssues[Qty Issued],tblIssues[Lot Number],$B1017))</f>
        <v/>
      </c>
      <c r="N1017" s="26" t="str">
        <f t="shared" si="77"/>
        <v/>
      </c>
      <c r="O1017" s="26" t="str">
        <f t="shared" si="78"/>
        <v/>
      </c>
      <c r="P1017" s="21" t="str">
        <f t="shared" si="79"/>
        <v/>
      </c>
      <c r="Q1017" s="52" t="str">
        <f>IF($A1017="","",IF($O1017&lt;=0,"Depleted",IF($I1017&lt;0,"EXPIRED",IF($I1017&lt;=Settings!$C$6,"CRITICAL",IF($I1017&lt;=Settings!$C$5,"Expiring","In date")))))</f>
        <v/>
      </c>
    </row>
    <row r="1018" spans="1:17" x14ac:dyDescent="0.35">
      <c r="A1018" s="90" t="str">
        <f>IF(Receipts!$D1021="","",Receipts!$D1021)</f>
        <v/>
      </c>
      <c r="B1018" s="18" t="str">
        <f>IF(Receipts!$C1021="","",Receipts!$C1021)</f>
        <v/>
      </c>
      <c r="C1018" s="18" t="str">
        <f>IF($A1018="","",IFERROR(INDEX(Items!$B$5:$B$597,MATCH($A1018,Items!$A$5:$A$597,0)),""))</f>
        <v/>
      </c>
      <c r="D1018" s="23" t="str">
        <f>IF($A1018="","",N(Receipts!$G1021))</f>
        <v/>
      </c>
      <c r="E1018" s="20" t="str">
        <f>IF($A1018="","",IFERROR(INDEX(Items!$D$5:$D$597,MATCH($A1018,Items!$A$5:$A$597,0)),0))</f>
        <v/>
      </c>
      <c r="F1018" s="21" t="str">
        <f t="shared" si="75"/>
        <v/>
      </c>
      <c r="G1018" s="25" t="str">
        <f>IF(Receipts!$I1021="","",Receipts!$I1021)</f>
        <v/>
      </c>
      <c r="H1018" s="25" t="str">
        <f>IF(Receipts!$H1021="","",Receipts!$H1021)</f>
        <v/>
      </c>
      <c r="I1018" s="26" t="str">
        <f t="shared" ca="1" si="76"/>
        <v/>
      </c>
      <c r="J1018" s="26" t="str">
        <f>IF($A1018="","",COUNTIFS(tblReceipts[Item Name],$A1018,tblReceipts[Expiry Date],"&lt;"&amp;$H1018)+COUNTIFS(tblReceipts[Item Name],$A1018,tblReceipts[Expiry Date],$H1018,tblReceipts[Lot Number],"&lt;="&amp;Receipts!$C1021))</f>
        <v/>
      </c>
      <c r="K1018" s="26" t="str">
        <f>IF($A1018="","",SUMIFS(tblReceipts[Qty Received],tblReceipts[Item Name],$A1018,tblReceipts[Expiry Date],"&lt;"&amp;$H1018)+SUMIFS(tblReceipts[Qty Received],tblReceipts[Item Name],$A1018,tblReceipts[Expiry Date],$H1018,tblReceipts[Lot Number],"&lt;"&amp;Receipts!$C1021))</f>
        <v/>
      </c>
      <c r="L1018" s="26" t="str">
        <f>IF($A1018="","",MIN($D1018,MAX(0,SUMIFS(tblIssues[Qty Issued],tblIssues[Item Name],$A1018)-$K1018)))</f>
        <v/>
      </c>
      <c r="M1018" s="26" t="str">
        <f>IF($A1018="","",SUMIFS(tblIssues[Qty Issued],tblIssues[Lot Number],$B1018))</f>
        <v/>
      </c>
      <c r="N1018" s="26" t="str">
        <f t="shared" si="77"/>
        <v/>
      </c>
      <c r="O1018" s="26" t="str">
        <f t="shared" si="78"/>
        <v/>
      </c>
      <c r="P1018" s="21" t="str">
        <f t="shared" si="79"/>
        <v/>
      </c>
      <c r="Q1018" s="52" t="str">
        <f>IF($A1018="","",IF($O1018&lt;=0,"Depleted",IF($I1018&lt;0,"EXPIRED",IF($I1018&lt;=Settings!$C$6,"CRITICAL",IF($I1018&lt;=Settings!$C$5,"Expiring","In date")))))</f>
        <v/>
      </c>
    </row>
    <row r="1019" spans="1:17" x14ac:dyDescent="0.35">
      <c r="A1019" s="90" t="str">
        <f>IF(Receipts!$D1022="","",Receipts!$D1022)</f>
        <v/>
      </c>
      <c r="B1019" s="18" t="str">
        <f>IF(Receipts!$C1022="","",Receipts!$C1022)</f>
        <v/>
      </c>
      <c r="C1019" s="18" t="str">
        <f>IF($A1019="","",IFERROR(INDEX(Items!$B$5:$B$597,MATCH($A1019,Items!$A$5:$A$597,0)),""))</f>
        <v/>
      </c>
      <c r="D1019" s="23" t="str">
        <f>IF($A1019="","",N(Receipts!$G1022))</f>
        <v/>
      </c>
      <c r="E1019" s="20" t="str">
        <f>IF($A1019="","",IFERROR(INDEX(Items!$D$5:$D$597,MATCH($A1019,Items!$A$5:$A$597,0)),0))</f>
        <v/>
      </c>
      <c r="F1019" s="21" t="str">
        <f t="shared" si="75"/>
        <v/>
      </c>
      <c r="G1019" s="25" t="str">
        <f>IF(Receipts!$I1022="","",Receipts!$I1022)</f>
        <v/>
      </c>
      <c r="H1019" s="25" t="str">
        <f>IF(Receipts!$H1022="","",Receipts!$H1022)</f>
        <v/>
      </c>
      <c r="I1019" s="26" t="str">
        <f t="shared" ca="1" si="76"/>
        <v/>
      </c>
      <c r="J1019" s="26" t="str">
        <f>IF($A1019="","",COUNTIFS(tblReceipts[Item Name],$A1019,tblReceipts[Expiry Date],"&lt;"&amp;$H1019)+COUNTIFS(tblReceipts[Item Name],$A1019,tblReceipts[Expiry Date],$H1019,tblReceipts[Lot Number],"&lt;="&amp;Receipts!$C1022))</f>
        <v/>
      </c>
      <c r="K1019" s="26" t="str">
        <f>IF($A1019="","",SUMIFS(tblReceipts[Qty Received],tblReceipts[Item Name],$A1019,tblReceipts[Expiry Date],"&lt;"&amp;$H1019)+SUMIFS(tblReceipts[Qty Received],tblReceipts[Item Name],$A1019,tblReceipts[Expiry Date],$H1019,tblReceipts[Lot Number],"&lt;"&amp;Receipts!$C1022))</f>
        <v/>
      </c>
      <c r="L1019" s="26" t="str">
        <f>IF($A1019="","",MIN($D1019,MAX(0,SUMIFS(tblIssues[Qty Issued],tblIssues[Item Name],$A1019)-$K1019)))</f>
        <v/>
      </c>
      <c r="M1019" s="26" t="str">
        <f>IF($A1019="","",SUMIFS(tblIssues[Qty Issued],tblIssues[Lot Number],$B1019))</f>
        <v/>
      </c>
      <c r="N1019" s="26" t="str">
        <f t="shared" si="77"/>
        <v/>
      </c>
      <c r="O1019" s="26" t="str">
        <f t="shared" si="78"/>
        <v/>
      </c>
      <c r="P1019" s="21" t="str">
        <f t="shared" si="79"/>
        <v/>
      </c>
      <c r="Q1019" s="52" t="str">
        <f>IF($A1019="","",IF($O1019&lt;=0,"Depleted",IF($I1019&lt;0,"EXPIRED",IF($I1019&lt;=Settings!$C$6,"CRITICAL",IF($I1019&lt;=Settings!$C$5,"Expiring","In date")))))</f>
        <v/>
      </c>
    </row>
    <row r="1020" spans="1:17" x14ac:dyDescent="0.35">
      <c r="A1020" s="90" t="str">
        <f>IF(Receipts!$D1023="","",Receipts!$D1023)</f>
        <v/>
      </c>
      <c r="B1020" s="18" t="str">
        <f>IF(Receipts!$C1023="","",Receipts!$C1023)</f>
        <v/>
      </c>
      <c r="C1020" s="18" t="str">
        <f>IF($A1020="","",IFERROR(INDEX(Items!$B$5:$B$597,MATCH($A1020,Items!$A$5:$A$597,0)),""))</f>
        <v/>
      </c>
      <c r="D1020" s="23" t="str">
        <f>IF($A1020="","",N(Receipts!$G1023))</f>
        <v/>
      </c>
      <c r="E1020" s="20" t="str">
        <f>IF($A1020="","",IFERROR(INDEX(Items!$D$5:$D$597,MATCH($A1020,Items!$A$5:$A$597,0)),0))</f>
        <v/>
      </c>
      <c r="F1020" s="21" t="str">
        <f t="shared" si="75"/>
        <v/>
      </c>
      <c r="G1020" s="25" t="str">
        <f>IF(Receipts!$I1023="","",Receipts!$I1023)</f>
        <v/>
      </c>
      <c r="H1020" s="25" t="str">
        <f>IF(Receipts!$H1023="","",Receipts!$H1023)</f>
        <v/>
      </c>
      <c r="I1020" s="26" t="str">
        <f t="shared" ca="1" si="76"/>
        <v/>
      </c>
      <c r="J1020" s="26" t="str">
        <f>IF($A1020="","",COUNTIFS(tblReceipts[Item Name],$A1020,tblReceipts[Expiry Date],"&lt;"&amp;$H1020)+COUNTIFS(tblReceipts[Item Name],$A1020,tblReceipts[Expiry Date],$H1020,tblReceipts[Lot Number],"&lt;="&amp;Receipts!$C1023))</f>
        <v/>
      </c>
      <c r="K1020" s="26" t="str">
        <f>IF($A1020="","",SUMIFS(tblReceipts[Qty Received],tblReceipts[Item Name],$A1020,tblReceipts[Expiry Date],"&lt;"&amp;$H1020)+SUMIFS(tblReceipts[Qty Received],tblReceipts[Item Name],$A1020,tblReceipts[Expiry Date],$H1020,tblReceipts[Lot Number],"&lt;"&amp;Receipts!$C1023))</f>
        <v/>
      </c>
      <c r="L1020" s="26" t="str">
        <f>IF($A1020="","",MIN($D1020,MAX(0,SUMIFS(tblIssues[Qty Issued],tblIssues[Item Name],$A1020)-$K1020)))</f>
        <v/>
      </c>
      <c r="M1020" s="26" t="str">
        <f>IF($A1020="","",SUMIFS(tblIssues[Qty Issued],tblIssues[Lot Number],$B1020))</f>
        <v/>
      </c>
      <c r="N1020" s="26" t="str">
        <f t="shared" si="77"/>
        <v/>
      </c>
      <c r="O1020" s="26" t="str">
        <f t="shared" si="78"/>
        <v/>
      </c>
      <c r="P1020" s="21" t="str">
        <f t="shared" si="79"/>
        <v/>
      </c>
      <c r="Q1020" s="52" t="str">
        <f>IF($A1020="","",IF($O1020&lt;=0,"Depleted",IF($I1020&lt;0,"EXPIRED",IF($I1020&lt;=Settings!$C$6,"CRITICAL",IF($I1020&lt;=Settings!$C$5,"Expiring","In date")))))</f>
        <v/>
      </c>
    </row>
    <row r="1021" spans="1:17" x14ac:dyDescent="0.35">
      <c r="A1021" s="90" t="str">
        <f>IF(Receipts!$D1024="","",Receipts!$D1024)</f>
        <v/>
      </c>
      <c r="B1021" s="18" t="str">
        <f>IF(Receipts!$C1024="","",Receipts!$C1024)</f>
        <v/>
      </c>
      <c r="C1021" s="18" t="str">
        <f>IF($A1021="","",IFERROR(INDEX(Items!$B$5:$B$597,MATCH($A1021,Items!$A$5:$A$597,0)),""))</f>
        <v/>
      </c>
      <c r="D1021" s="23" t="str">
        <f>IF($A1021="","",N(Receipts!$G1024))</f>
        <v/>
      </c>
      <c r="E1021" s="20" t="str">
        <f>IF($A1021="","",IFERROR(INDEX(Items!$D$5:$D$597,MATCH($A1021,Items!$A$5:$A$597,0)),0))</f>
        <v/>
      </c>
      <c r="F1021" s="21" t="str">
        <f t="shared" si="75"/>
        <v/>
      </c>
      <c r="G1021" s="25" t="str">
        <f>IF(Receipts!$I1024="","",Receipts!$I1024)</f>
        <v/>
      </c>
      <c r="H1021" s="25" t="str">
        <f>IF(Receipts!$H1024="","",Receipts!$H1024)</f>
        <v/>
      </c>
      <c r="I1021" s="26" t="str">
        <f t="shared" ca="1" si="76"/>
        <v/>
      </c>
      <c r="J1021" s="26" t="str">
        <f>IF($A1021="","",COUNTIFS(tblReceipts[Item Name],$A1021,tblReceipts[Expiry Date],"&lt;"&amp;$H1021)+COUNTIFS(tblReceipts[Item Name],$A1021,tblReceipts[Expiry Date],$H1021,tblReceipts[Lot Number],"&lt;="&amp;Receipts!$C1024))</f>
        <v/>
      </c>
      <c r="K1021" s="26" t="str">
        <f>IF($A1021="","",SUMIFS(tblReceipts[Qty Received],tblReceipts[Item Name],$A1021,tblReceipts[Expiry Date],"&lt;"&amp;$H1021)+SUMIFS(tblReceipts[Qty Received],tblReceipts[Item Name],$A1021,tblReceipts[Expiry Date],$H1021,tblReceipts[Lot Number],"&lt;"&amp;Receipts!$C1024))</f>
        <v/>
      </c>
      <c r="L1021" s="26" t="str">
        <f>IF($A1021="","",MIN($D1021,MAX(0,SUMIFS(tblIssues[Qty Issued],tblIssues[Item Name],$A1021)-$K1021)))</f>
        <v/>
      </c>
      <c r="M1021" s="26" t="str">
        <f>IF($A1021="","",SUMIFS(tblIssues[Qty Issued],tblIssues[Lot Number],$B1021))</f>
        <v/>
      </c>
      <c r="N1021" s="26" t="str">
        <f t="shared" si="77"/>
        <v/>
      </c>
      <c r="O1021" s="26" t="str">
        <f t="shared" si="78"/>
        <v/>
      </c>
      <c r="P1021" s="21" t="str">
        <f t="shared" si="79"/>
        <v/>
      </c>
      <c r="Q1021" s="52" t="str">
        <f>IF($A1021="","",IF($O1021&lt;=0,"Depleted",IF($I1021&lt;0,"EXPIRED",IF($I1021&lt;=Settings!$C$6,"CRITICAL",IF($I1021&lt;=Settings!$C$5,"Expiring","In date")))))</f>
        <v/>
      </c>
    </row>
    <row r="1022" spans="1:17" x14ac:dyDescent="0.35">
      <c r="A1022" s="90" t="str">
        <f>IF(Receipts!$D1025="","",Receipts!$D1025)</f>
        <v/>
      </c>
      <c r="B1022" s="18" t="str">
        <f>IF(Receipts!$C1025="","",Receipts!$C1025)</f>
        <v/>
      </c>
      <c r="C1022" s="18" t="str">
        <f>IF($A1022="","",IFERROR(INDEX(Items!$B$5:$B$597,MATCH($A1022,Items!$A$5:$A$597,0)),""))</f>
        <v/>
      </c>
      <c r="D1022" s="23" t="str">
        <f>IF($A1022="","",N(Receipts!$G1025))</f>
        <v/>
      </c>
      <c r="E1022" s="20" t="str">
        <f>IF($A1022="","",IFERROR(INDEX(Items!$D$5:$D$597,MATCH($A1022,Items!$A$5:$A$597,0)),0))</f>
        <v/>
      </c>
      <c r="F1022" s="21" t="str">
        <f t="shared" si="75"/>
        <v/>
      </c>
      <c r="G1022" s="25" t="str">
        <f>IF(Receipts!$I1025="","",Receipts!$I1025)</f>
        <v/>
      </c>
      <c r="H1022" s="25" t="str">
        <f>IF(Receipts!$H1025="","",Receipts!$H1025)</f>
        <v/>
      </c>
      <c r="I1022" s="26" t="str">
        <f t="shared" ca="1" si="76"/>
        <v/>
      </c>
      <c r="J1022" s="26" t="str">
        <f>IF($A1022="","",COUNTIFS(tblReceipts[Item Name],$A1022,tblReceipts[Expiry Date],"&lt;"&amp;$H1022)+COUNTIFS(tblReceipts[Item Name],$A1022,tblReceipts[Expiry Date],$H1022,tblReceipts[Lot Number],"&lt;="&amp;Receipts!$C1025))</f>
        <v/>
      </c>
      <c r="K1022" s="26" t="str">
        <f>IF($A1022="","",SUMIFS(tblReceipts[Qty Received],tblReceipts[Item Name],$A1022,tblReceipts[Expiry Date],"&lt;"&amp;$H1022)+SUMIFS(tblReceipts[Qty Received],tblReceipts[Item Name],$A1022,tblReceipts[Expiry Date],$H1022,tblReceipts[Lot Number],"&lt;"&amp;Receipts!$C1025))</f>
        <v/>
      </c>
      <c r="L1022" s="26" t="str">
        <f>IF($A1022="","",MIN($D1022,MAX(0,SUMIFS(tblIssues[Qty Issued],tblIssues[Item Name],$A1022)-$K1022)))</f>
        <v/>
      </c>
      <c r="M1022" s="26" t="str">
        <f>IF($A1022="","",SUMIFS(tblIssues[Qty Issued],tblIssues[Lot Number],$B1022))</f>
        <v/>
      </c>
      <c r="N1022" s="26" t="str">
        <f t="shared" si="77"/>
        <v/>
      </c>
      <c r="O1022" s="26" t="str">
        <f t="shared" si="78"/>
        <v/>
      </c>
      <c r="P1022" s="21" t="str">
        <f t="shared" si="79"/>
        <v/>
      </c>
      <c r="Q1022" s="52" t="str">
        <f>IF($A1022="","",IF($O1022&lt;=0,"Depleted",IF($I1022&lt;0,"EXPIRED",IF($I1022&lt;=Settings!$C$6,"CRITICAL",IF($I1022&lt;=Settings!$C$5,"Expiring","In date")))))</f>
        <v/>
      </c>
    </row>
    <row r="1023" spans="1:17" x14ac:dyDescent="0.35">
      <c r="A1023" s="90" t="str">
        <f>IF(Receipts!$D1026="","",Receipts!$D1026)</f>
        <v/>
      </c>
      <c r="B1023" s="18" t="str">
        <f>IF(Receipts!$C1026="","",Receipts!$C1026)</f>
        <v/>
      </c>
      <c r="C1023" s="18" t="str">
        <f>IF($A1023="","",IFERROR(INDEX(Items!$B$5:$B$597,MATCH($A1023,Items!$A$5:$A$597,0)),""))</f>
        <v/>
      </c>
      <c r="D1023" s="23" t="str">
        <f>IF($A1023="","",N(Receipts!$G1026))</f>
        <v/>
      </c>
      <c r="E1023" s="20" t="str">
        <f>IF($A1023="","",IFERROR(INDEX(Items!$D$5:$D$597,MATCH($A1023,Items!$A$5:$A$597,0)),0))</f>
        <v/>
      </c>
      <c r="F1023" s="21" t="str">
        <f t="shared" si="75"/>
        <v/>
      </c>
      <c r="G1023" s="25" t="str">
        <f>IF(Receipts!$I1026="","",Receipts!$I1026)</f>
        <v/>
      </c>
      <c r="H1023" s="25" t="str">
        <f>IF(Receipts!$H1026="","",Receipts!$H1026)</f>
        <v/>
      </c>
      <c r="I1023" s="26" t="str">
        <f t="shared" ca="1" si="76"/>
        <v/>
      </c>
      <c r="J1023" s="26" t="str">
        <f>IF($A1023="","",COUNTIFS(tblReceipts[Item Name],$A1023,tblReceipts[Expiry Date],"&lt;"&amp;$H1023)+COUNTIFS(tblReceipts[Item Name],$A1023,tblReceipts[Expiry Date],$H1023,tblReceipts[Lot Number],"&lt;="&amp;Receipts!$C1026))</f>
        <v/>
      </c>
      <c r="K1023" s="26" t="str">
        <f>IF($A1023="","",SUMIFS(tblReceipts[Qty Received],tblReceipts[Item Name],$A1023,tblReceipts[Expiry Date],"&lt;"&amp;$H1023)+SUMIFS(tblReceipts[Qty Received],tblReceipts[Item Name],$A1023,tblReceipts[Expiry Date],$H1023,tblReceipts[Lot Number],"&lt;"&amp;Receipts!$C1026))</f>
        <v/>
      </c>
      <c r="L1023" s="26" t="str">
        <f>IF($A1023="","",MIN($D1023,MAX(0,SUMIFS(tblIssues[Qty Issued],tblIssues[Item Name],$A1023)-$K1023)))</f>
        <v/>
      </c>
      <c r="M1023" s="26" t="str">
        <f>IF($A1023="","",SUMIFS(tblIssues[Qty Issued],tblIssues[Lot Number],$B1023))</f>
        <v/>
      </c>
      <c r="N1023" s="26" t="str">
        <f t="shared" si="77"/>
        <v/>
      </c>
      <c r="O1023" s="26" t="str">
        <f t="shared" si="78"/>
        <v/>
      </c>
      <c r="P1023" s="21" t="str">
        <f t="shared" si="79"/>
        <v/>
      </c>
      <c r="Q1023" s="52" t="str">
        <f>IF($A1023="","",IF($O1023&lt;=0,"Depleted",IF($I1023&lt;0,"EXPIRED",IF($I1023&lt;=Settings!$C$6,"CRITICAL",IF($I1023&lt;=Settings!$C$5,"Expiring","In date")))))</f>
        <v/>
      </c>
    </row>
    <row r="1024" spans="1:17" x14ac:dyDescent="0.35">
      <c r="A1024" s="90" t="str">
        <f>IF(Receipts!$D1027="","",Receipts!$D1027)</f>
        <v/>
      </c>
      <c r="B1024" s="18" t="str">
        <f>IF(Receipts!$C1027="","",Receipts!$C1027)</f>
        <v/>
      </c>
      <c r="C1024" s="18" t="str">
        <f>IF($A1024="","",IFERROR(INDEX(Items!$B$5:$B$597,MATCH($A1024,Items!$A$5:$A$597,0)),""))</f>
        <v/>
      </c>
      <c r="D1024" s="23" t="str">
        <f>IF($A1024="","",N(Receipts!$G1027))</f>
        <v/>
      </c>
      <c r="E1024" s="20" t="str">
        <f>IF($A1024="","",IFERROR(INDEX(Items!$D$5:$D$597,MATCH($A1024,Items!$A$5:$A$597,0)),0))</f>
        <v/>
      </c>
      <c r="F1024" s="21" t="str">
        <f t="shared" si="75"/>
        <v/>
      </c>
      <c r="G1024" s="25" t="str">
        <f>IF(Receipts!$I1027="","",Receipts!$I1027)</f>
        <v/>
      </c>
      <c r="H1024" s="25" t="str">
        <f>IF(Receipts!$H1027="","",Receipts!$H1027)</f>
        <v/>
      </c>
      <c r="I1024" s="26" t="str">
        <f t="shared" ca="1" si="76"/>
        <v/>
      </c>
      <c r="J1024" s="26" t="str">
        <f>IF($A1024="","",COUNTIFS(tblReceipts[Item Name],$A1024,tblReceipts[Expiry Date],"&lt;"&amp;$H1024)+COUNTIFS(tblReceipts[Item Name],$A1024,tblReceipts[Expiry Date],$H1024,tblReceipts[Lot Number],"&lt;="&amp;Receipts!$C1027))</f>
        <v/>
      </c>
      <c r="K1024" s="26" t="str">
        <f>IF($A1024="","",SUMIFS(tblReceipts[Qty Received],tblReceipts[Item Name],$A1024,tblReceipts[Expiry Date],"&lt;"&amp;$H1024)+SUMIFS(tblReceipts[Qty Received],tblReceipts[Item Name],$A1024,tblReceipts[Expiry Date],$H1024,tblReceipts[Lot Number],"&lt;"&amp;Receipts!$C1027))</f>
        <v/>
      </c>
      <c r="L1024" s="26" t="str">
        <f>IF($A1024="","",MIN($D1024,MAX(0,SUMIFS(tblIssues[Qty Issued],tblIssues[Item Name],$A1024)-$K1024)))</f>
        <v/>
      </c>
      <c r="M1024" s="26" t="str">
        <f>IF($A1024="","",SUMIFS(tblIssues[Qty Issued],tblIssues[Lot Number],$B1024))</f>
        <v/>
      </c>
      <c r="N1024" s="26" t="str">
        <f t="shared" si="77"/>
        <v/>
      </c>
      <c r="O1024" s="26" t="str">
        <f t="shared" si="78"/>
        <v/>
      </c>
      <c r="P1024" s="21" t="str">
        <f t="shared" si="79"/>
        <v/>
      </c>
      <c r="Q1024" s="52" t="str">
        <f>IF($A1024="","",IF($O1024&lt;=0,"Depleted",IF($I1024&lt;0,"EXPIRED",IF($I1024&lt;=Settings!$C$6,"CRITICAL",IF($I1024&lt;=Settings!$C$5,"Expiring","In date")))))</f>
        <v/>
      </c>
    </row>
    <row r="1025" spans="1:17" x14ac:dyDescent="0.35">
      <c r="A1025" s="90" t="str">
        <f>IF(Receipts!$D1028="","",Receipts!$D1028)</f>
        <v/>
      </c>
      <c r="B1025" s="18" t="str">
        <f>IF(Receipts!$C1028="","",Receipts!$C1028)</f>
        <v/>
      </c>
      <c r="C1025" s="18" t="str">
        <f>IF($A1025="","",IFERROR(INDEX(Items!$B$5:$B$597,MATCH($A1025,Items!$A$5:$A$597,0)),""))</f>
        <v/>
      </c>
      <c r="D1025" s="23" t="str">
        <f>IF($A1025="","",N(Receipts!$G1028))</f>
        <v/>
      </c>
      <c r="E1025" s="20" t="str">
        <f>IF($A1025="","",IFERROR(INDEX(Items!$D$5:$D$597,MATCH($A1025,Items!$A$5:$A$597,0)),0))</f>
        <v/>
      </c>
      <c r="F1025" s="21" t="str">
        <f t="shared" si="75"/>
        <v/>
      </c>
      <c r="G1025" s="25" t="str">
        <f>IF(Receipts!$I1028="","",Receipts!$I1028)</f>
        <v/>
      </c>
      <c r="H1025" s="25" t="str">
        <f>IF(Receipts!$H1028="","",Receipts!$H1028)</f>
        <v/>
      </c>
      <c r="I1025" s="26" t="str">
        <f t="shared" ca="1" si="76"/>
        <v/>
      </c>
      <c r="J1025" s="26" t="str">
        <f>IF($A1025="","",COUNTIFS(tblReceipts[Item Name],$A1025,tblReceipts[Expiry Date],"&lt;"&amp;$H1025)+COUNTIFS(tblReceipts[Item Name],$A1025,tblReceipts[Expiry Date],$H1025,tblReceipts[Lot Number],"&lt;="&amp;Receipts!$C1028))</f>
        <v/>
      </c>
      <c r="K1025" s="26" t="str">
        <f>IF($A1025="","",SUMIFS(tblReceipts[Qty Received],tblReceipts[Item Name],$A1025,tblReceipts[Expiry Date],"&lt;"&amp;$H1025)+SUMIFS(tblReceipts[Qty Received],tblReceipts[Item Name],$A1025,tblReceipts[Expiry Date],$H1025,tblReceipts[Lot Number],"&lt;"&amp;Receipts!$C1028))</f>
        <v/>
      </c>
      <c r="L1025" s="26" t="str">
        <f>IF($A1025="","",MIN($D1025,MAX(0,SUMIFS(tblIssues[Qty Issued],tblIssues[Item Name],$A1025)-$K1025)))</f>
        <v/>
      </c>
      <c r="M1025" s="26" t="str">
        <f>IF($A1025="","",SUMIFS(tblIssues[Qty Issued],tblIssues[Lot Number],$B1025))</f>
        <v/>
      </c>
      <c r="N1025" s="26" t="str">
        <f t="shared" si="77"/>
        <v/>
      </c>
      <c r="O1025" s="26" t="str">
        <f t="shared" si="78"/>
        <v/>
      </c>
      <c r="P1025" s="21" t="str">
        <f t="shared" si="79"/>
        <v/>
      </c>
      <c r="Q1025" s="52" t="str">
        <f>IF($A1025="","",IF($O1025&lt;=0,"Depleted",IF($I1025&lt;0,"EXPIRED",IF($I1025&lt;=Settings!$C$6,"CRITICAL",IF($I1025&lt;=Settings!$C$5,"Expiring","In date")))))</f>
        <v/>
      </c>
    </row>
    <row r="1026" spans="1:17" x14ac:dyDescent="0.35">
      <c r="A1026" s="90" t="str">
        <f>IF(Receipts!$D1029="","",Receipts!$D1029)</f>
        <v/>
      </c>
      <c r="B1026" s="18" t="str">
        <f>IF(Receipts!$C1029="","",Receipts!$C1029)</f>
        <v/>
      </c>
      <c r="C1026" s="18" t="str">
        <f>IF($A1026="","",IFERROR(INDEX(Items!$B$5:$B$597,MATCH($A1026,Items!$A$5:$A$597,0)),""))</f>
        <v/>
      </c>
      <c r="D1026" s="23" t="str">
        <f>IF($A1026="","",N(Receipts!$G1029))</f>
        <v/>
      </c>
      <c r="E1026" s="20" t="str">
        <f>IF($A1026="","",IFERROR(INDEX(Items!$D$5:$D$597,MATCH($A1026,Items!$A$5:$A$597,0)),0))</f>
        <v/>
      </c>
      <c r="F1026" s="21" t="str">
        <f t="shared" si="75"/>
        <v/>
      </c>
      <c r="G1026" s="25" t="str">
        <f>IF(Receipts!$I1029="","",Receipts!$I1029)</f>
        <v/>
      </c>
      <c r="H1026" s="25" t="str">
        <f>IF(Receipts!$H1029="","",Receipts!$H1029)</f>
        <v/>
      </c>
      <c r="I1026" s="26" t="str">
        <f t="shared" ca="1" si="76"/>
        <v/>
      </c>
      <c r="J1026" s="26" t="str">
        <f>IF($A1026="","",COUNTIFS(tblReceipts[Item Name],$A1026,tblReceipts[Expiry Date],"&lt;"&amp;$H1026)+COUNTIFS(tblReceipts[Item Name],$A1026,tblReceipts[Expiry Date],$H1026,tblReceipts[Lot Number],"&lt;="&amp;Receipts!$C1029))</f>
        <v/>
      </c>
      <c r="K1026" s="26" t="str">
        <f>IF($A1026="","",SUMIFS(tblReceipts[Qty Received],tblReceipts[Item Name],$A1026,tblReceipts[Expiry Date],"&lt;"&amp;$H1026)+SUMIFS(tblReceipts[Qty Received],tblReceipts[Item Name],$A1026,tblReceipts[Expiry Date],$H1026,tblReceipts[Lot Number],"&lt;"&amp;Receipts!$C1029))</f>
        <v/>
      </c>
      <c r="L1026" s="26" t="str">
        <f>IF($A1026="","",MIN($D1026,MAX(0,SUMIFS(tblIssues[Qty Issued],tblIssues[Item Name],$A1026)-$K1026)))</f>
        <v/>
      </c>
      <c r="M1026" s="26" t="str">
        <f>IF($A1026="","",SUMIFS(tblIssues[Qty Issued],tblIssues[Lot Number],$B1026))</f>
        <v/>
      </c>
      <c r="N1026" s="26" t="str">
        <f t="shared" si="77"/>
        <v/>
      </c>
      <c r="O1026" s="26" t="str">
        <f t="shared" si="78"/>
        <v/>
      </c>
      <c r="P1026" s="21" t="str">
        <f t="shared" si="79"/>
        <v/>
      </c>
      <c r="Q1026" s="52" t="str">
        <f>IF($A1026="","",IF($O1026&lt;=0,"Depleted",IF($I1026&lt;0,"EXPIRED",IF($I1026&lt;=Settings!$C$6,"CRITICAL",IF($I1026&lt;=Settings!$C$5,"Expiring","In date")))))</f>
        <v/>
      </c>
    </row>
    <row r="1027" spans="1:17" x14ac:dyDescent="0.35">
      <c r="A1027" s="90" t="str">
        <f>IF(Receipts!$D1030="","",Receipts!$D1030)</f>
        <v/>
      </c>
      <c r="B1027" s="18" t="str">
        <f>IF(Receipts!$C1030="","",Receipts!$C1030)</f>
        <v/>
      </c>
      <c r="C1027" s="18" t="str">
        <f>IF($A1027="","",IFERROR(INDEX(Items!$B$5:$B$597,MATCH($A1027,Items!$A$5:$A$597,0)),""))</f>
        <v/>
      </c>
      <c r="D1027" s="23" t="str">
        <f>IF($A1027="","",N(Receipts!$G1030))</f>
        <v/>
      </c>
      <c r="E1027" s="20" t="str">
        <f>IF($A1027="","",IFERROR(INDEX(Items!$D$5:$D$597,MATCH($A1027,Items!$A$5:$A$597,0)),0))</f>
        <v/>
      </c>
      <c r="F1027" s="21" t="str">
        <f t="shared" si="75"/>
        <v/>
      </c>
      <c r="G1027" s="25" t="str">
        <f>IF(Receipts!$I1030="","",Receipts!$I1030)</f>
        <v/>
      </c>
      <c r="H1027" s="25" t="str">
        <f>IF(Receipts!$H1030="","",Receipts!$H1030)</f>
        <v/>
      </c>
      <c r="I1027" s="26" t="str">
        <f t="shared" ca="1" si="76"/>
        <v/>
      </c>
      <c r="J1027" s="26" t="str">
        <f>IF($A1027="","",COUNTIFS(tblReceipts[Item Name],$A1027,tblReceipts[Expiry Date],"&lt;"&amp;$H1027)+COUNTIFS(tblReceipts[Item Name],$A1027,tblReceipts[Expiry Date],$H1027,tblReceipts[Lot Number],"&lt;="&amp;Receipts!$C1030))</f>
        <v/>
      </c>
      <c r="K1027" s="26" t="str">
        <f>IF($A1027="","",SUMIFS(tblReceipts[Qty Received],tblReceipts[Item Name],$A1027,tblReceipts[Expiry Date],"&lt;"&amp;$H1027)+SUMIFS(tblReceipts[Qty Received],tblReceipts[Item Name],$A1027,tblReceipts[Expiry Date],$H1027,tblReceipts[Lot Number],"&lt;"&amp;Receipts!$C1030))</f>
        <v/>
      </c>
      <c r="L1027" s="26" t="str">
        <f>IF($A1027="","",MIN($D1027,MAX(0,SUMIFS(tblIssues[Qty Issued],tblIssues[Item Name],$A1027)-$K1027)))</f>
        <v/>
      </c>
      <c r="M1027" s="26" t="str">
        <f>IF($A1027="","",SUMIFS(tblIssues[Qty Issued],tblIssues[Lot Number],$B1027))</f>
        <v/>
      </c>
      <c r="N1027" s="26" t="str">
        <f t="shared" si="77"/>
        <v/>
      </c>
      <c r="O1027" s="26" t="str">
        <f t="shared" si="78"/>
        <v/>
      </c>
      <c r="P1027" s="21" t="str">
        <f t="shared" si="79"/>
        <v/>
      </c>
      <c r="Q1027" s="52" t="str">
        <f>IF($A1027="","",IF($O1027&lt;=0,"Depleted",IF($I1027&lt;0,"EXPIRED",IF($I1027&lt;=Settings!$C$6,"CRITICAL",IF($I1027&lt;=Settings!$C$5,"Expiring","In date")))))</f>
        <v/>
      </c>
    </row>
    <row r="1028" spans="1:17" x14ac:dyDescent="0.35">
      <c r="A1028" s="90" t="str">
        <f>IF(Receipts!$D1031="","",Receipts!$D1031)</f>
        <v/>
      </c>
      <c r="B1028" s="18" t="str">
        <f>IF(Receipts!$C1031="","",Receipts!$C1031)</f>
        <v/>
      </c>
      <c r="C1028" s="18" t="str">
        <f>IF($A1028="","",IFERROR(INDEX(Items!$B$5:$B$597,MATCH($A1028,Items!$A$5:$A$597,0)),""))</f>
        <v/>
      </c>
      <c r="D1028" s="23" t="str">
        <f>IF($A1028="","",N(Receipts!$G1031))</f>
        <v/>
      </c>
      <c r="E1028" s="20" t="str">
        <f>IF($A1028="","",IFERROR(INDEX(Items!$D$5:$D$597,MATCH($A1028,Items!$A$5:$A$597,0)),0))</f>
        <v/>
      </c>
      <c r="F1028" s="21" t="str">
        <f t="shared" si="75"/>
        <v/>
      </c>
      <c r="G1028" s="25" t="str">
        <f>IF(Receipts!$I1031="","",Receipts!$I1031)</f>
        <v/>
      </c>
      <c r="H1028" s="25" t="str">
        <f>IF(Receipts!$H1031="","",Receipts!$H1031)</f>
        <v/>
      </c>
      <c r="I1028" s="26" t="str">
        <f t="shared" ca="1" si="76"/>
        <v/>
      </c>
      <c r="J1028" s="26" t="str">
        <f>IF($A1028="","",COUNTIFS(tblReceipts[Item Name],$A1028,tblReceipts[Expiry Date],"&lt;"&amp;$H1028)+COUNTIFS(tblReceipts[Item Name],$A1028,tblReceipts[Expiry Date],$H1028,tblReceipts[Lot Number],"&lt;="&amp;Receipts!$C1031))</f>
        <v/>
      </c>
      <c r="K1028" s="26" t="str">
        <f>IF($A1028="","",SUMIFS(tblReceipts[Qty Received],tblReceipts[Item Name],$A1028,tblReceipts[Expiry Date],"&lt;"&amp;$H1028)+SUMIFS(tblReceipts[Qty Received],tblReceipts[Item Name],$A1028,tblReceipts[Expiry Date],$H1028,tblReceipts[Lot Number],"&lt;"&amp;Receipts!$C1031))</f>
        <v/>
      </c>
      <c r="L1028" s="26" t="str">
        <f>IF($A1028="","",MIN($D1028,MAX(0,SUMIFS(tblIssues[Qty Issued],tblIssues[Item Name],$A1028)-$K1028)))</f>
        <v/>
      </c>
      <c r="M1028" s="26" t="str">
        <f>IF($A1028="","",SUMIFS(tblIssues[Qty Issued],tblIssues[Lot Number],$B1028))</f>
        <v/>
      </c>
      <c r="N1028" s="26" t="str">
        <f t="shared" si="77"/>
        <v/>
      </c>
      <c r="O1028" s="26" t="str">
        <f t="shared" si="78"/>
        <v/>
      </c>
      <c r="P1028" s="21" t="str">
        <f t="shared" si="79"/>
        <v/>
      </c>
      <c r="Q1028" s="52" t="str">
        <f>IF($A1028="","",IF($O1028&lt;=0,"Depleted",IF($I1028&lt;0,"EXPIRED",IF($I1028&lt;=Settings!$C$6,"CRITICAL",IF($I1028&lt;=Settings!$C$5,"Expiring","In date")))))</f>
        <v/>
      </c>
    </row>
    <row r="1029" spans="1:17" x14ac:dyDescent="0.35">
      <c r="A1029" s="90" t="str">
        <f>IF(Receipts!$D1032="","",Receipts!$D1032)</f>
        <v/>
      </c>
      <c r="B1029" s="18" t="str">
        <f>IF(Receipts!$C1032="","",Receipts!$C1032)</f>
        <v/>
      </c>
      <c r="C1029" s="18" t="str">
        <f>IF($A1029="","",IFERROR(INDEX(Items!$B$5:$B$597,MATCH($A1029,Items!$A$5:$A$597,0)),""))</f>
        <v/>
      </c>
      <c r="D1029" s="23" t="str">
        <f>IF($A1029="","",N(Receipts!$G1032))</f>
        <v/>
      </c>
      <c r="E1029" s="20" t="str">
        <f>IF($A1029="","",IFERROR(INDEX(Items!$D$5:$D$597,MATCH($A1029,Items!$A$5:$A$597,0)),0))</f>
        <v/>
      </c>
      <c r="F1029" s="21" t="str">
        <f t="shared" ref="F1029:F1092" si="80">IF($A1029="","",$D1029*$E1029)</f>
        <v/>
      </c>
      <c r="G1029" s="25" t="str">
        <f>IF(Receipts!$I1032="","",Receipts!$I1032)</f>
        <v/>
      </c>
      <c r="H1029" s="25" t="str">
        <f>IF(Receipts!$H1032="","",Receipts!$H1032)</f>
        <v/>
      </c>
      <c r="I1029" s="26" t="str">
        <f t="shared" ref="I1029:I1092" ca="1" si="81">IF($H1029="","",$H1029-TODAY())</f>
        <v/>
      </c>
      <c r="J1029" s="26" t="str">
        <f>IF($A1029="","",COUNTIFS(tblReceipts[Item Name],$A1029,tblReceipts[Expiry Date],"&lt;"&amp;$H1029)+COUNTIFS(tblReceipts[Item Name],$A1029,tblReceipts[Expiry Date],$H1029,tblReceipts[Lot Number],"&lt;="&amp;Receipts!$C1032))</f>
        <v/>
      </c>
      <c r="K1029" s="26" t="str">
        <f>IF($A1029="","",SUMIFS(tblReceipts[Qty Received],tblReceipts[Item Name],$A1029,tblReceipts[Expiry Date],"&lt;"&amp;$H1029)+SUMIFS(tblReceipts[Qty Received],tblReceipts[Item Name],$A1029,tblReceipts[Expiry Date],$H1029,tblReceipts[Lot Number],"&lt;"&amp;Receipts!$C1032))</f>
        <v/>
      </c>
      <c r="L1029" s="26" t="str">
        <f>IF($A1029="","",MIN($D1029,MAX(0,SUMIFS(tblIssues[Qty Issued],tblIssues[Item Name],$A1029)-$K1029)))</f>
        <v/>
      </c>
      <c r="M1029" s="26" t="str">
        <f>IF($A1029="","",SUMIFS(tblIssues[Qty Issued],tblIssues[Lot Number],$B1029))</f>
        <v/>
      </c>
      <c r="N1029" s="26" t="str">
        <f t="shared" ref="N1029:N1092" si="82">IF($A1029="","",$M1029-$L1029)</f>
        <v/>
      </c>
      <c r="O1029" s="26" t="str">
        <f t="shared" ref="O1029:O1092" si="83">IF($A1029="","",$D1029-$L1029)</f>
        <v/>
      </c>
      <c r="P1029" s="21" t="str">
        <f t="shared" ref="P1029:P1092" si="84">IF($A1029="","",$O1029*$E1029)</f>
        <v/>
      </c>
      <c r="Q1029" s="52" t="str">
        <f>IF($A1029="","",IF($O1029&lt;=0,"Depleted",IF($I1029&lt;0,"EXPIRED",IF($I1029&lt;=Settings!$C$6,"CRITICAL",IF($I1029&lt;=Settings!$C$5,"Expiring","In date")))))</f>
        <v/>
      </c>
    </row>
    <row r="1030" spans="1:17" x14ac:dyDescent="0.35">
      <c r="A1030" s="90" t="str">
        <f>IF(Receipts!$D1033="","",Receipts!$D1033)</f>
        <v/>
      </c>
      <c r="B1030" s="18" t="str">
        <f>IF(Receipts!$C1033="","",Receipts!$C1033)</f>
        <v/>
      </c>
      <c r="C1030" s="18" t="str">
        <f>IF($A1030="","",IFERROR(INDEX(Items!$B$5:$B$597,MATCH($A1030,Items!$A$5:$A$597,0)),""))</f>
        <v/>
      </c>
      <c r="D1030" s="23" t="str">
        <f>IF($A1030="","",N(Receipts!$G1033))</f>
        <v/>
      </c>
      <c r="E1030" s="20" t="str">
        <f>IF($A1030="","",IFERROR(INDEX(Items!$D$5:$D$597,MATCH($A1030,Items!$A$5:$A$597,0)),0))</f>
        <v/>
      </c>
      <c r="F1030" s="21" t="str">
        <f t="shared" si="80"/>
        <v/>
      </c>
      <c r="G1030" s="25" t="str">
        <f>IF(Receipts!$I1033="","",Receipts!$I1033)</f>
        <v/>
      </c>
      <c r="H1030" s="25" t="str">
        <f>IF(Receipts!$H1033="","",Receipts!$H1033)</f>
        <v/>
      </c>
      <c r="I1030" s="26" t="str">
        <f t="shared" ca="1" si="81"/>
        <v/>
      </c>
      <c r="J1030" s="26" t="str">
        <f>IF($A1030="","",COUNTIFS(tblReceipts[Item Name],$A1030,tblReceipts[Expiry Date],"&lt;"&amp;$H1030)+COUNTIFS(tblReceipts[Item Name],$A1030,tblReceipts[Expiry Date],$H1030,tblReceipts[Lot Number],"&lt;="&amp;Receipts!$C1033))</f>
        <v/>
      </c>
      <c r="K1030" s="26" t="str">
        <f>IF($A1030="","",SUMIFS(tblReceipts[Qty Received],tblReceipts[Item Name],$A1030,tblReceipts[Expiry Date],"&lt;"&amp;$H1030)+SUMIFS(tblReceipts[Qty Received],tblReceipts[Item Name],$A1030,tblReceipts[Expiry Date],$H1030,tblReceipts[Lot Number],"&lt;"&amp;Receipts!$C1033))</f>
        <v/>
      </c>
      <c r="L1030" s="26" t="str">
        <f>IF($A1030="","",MIN($D1030,MAX(0,SUMIFS(tblIssues[Qty Issued],tblIssues[Item Name],$A1030)-$K1030)))</f>
        <v/>
      </c>
      <c r="M1030" s="26" t="str">
        <f>IF($A1030="","",SUMIFS(tblIssues[Qty Issued],tblIssues[Lot Number],$B1030))</f>
        <v/>
      </c>
      <c r="N1030" s="26" t="str">
        <f t="shared" si="82"/>
        <v/>
      </c>
      <c r="O1030" s="26" t="str">
        <f t="shared" si="83"/>
        <v/>
      </c>
      <c r="P1030" s="21" t="str">
        <f t="shared" si="84"/>
        <v/>
      </c>
      <c r="Q1030" s="52" t="str">
        <f>IF($A1030="","",IF($O1030&lt;=0,"Depleted",IF($I1030&lt;0,"EXPIRED",IF($I1030&lt;=Settings!$C$6,"CRITICAL",IF($I1030&lt;=Settings!$C$5,"Expiring","In date")))))</f>
        <v/>
      </c>
    </row>
    <row r="1031" spans="1:17" x14ac:dyDescent="0.35">
      <c r="A1031" s="90" t="str">
        <f>IF(Receipts!$D1034="","",Receipts!$D1034)</f>
        <v/>
      </c>
      <c r="B1031" s="18" t="str">
        <f>IF(Receipts!$C1034="","",Receipts!$C1034)</f>
        <v/>
      </c>
      <c r="C1031" s="18" t="str">
        <f>IF($A1031="","",IFERROR(INDEX(Items!$B$5:$B$597,MATCH($A1031,Items!$A$5:$A$597,0)),""))</f>
        <v/>
      </c>
      <c r="D1031" s="23" t="str">
        <f>IF($A1031="","",N(Receipts!$G1034))</f>
        <v/>
      </c>
      <c r="E1031" s="20" t="str">
        <f>IF($A1031="","",IFERROR(INDEX(Items!$D$5:$D$597,MATCH($A1031,Items!$A$5:$A$597,0)),0))</f>
        <v/>
      </c>
      <c r="F1031" s="21" t="str">
        <f t="shared" si="80"/>
        <v/>
      </c>
      <c r="G1031" s="25" t="str">
        <f>IF(Receipts!$I1034="","",Receipts!$I1034)</f>
        <v/>
      </c>
      <c r="H1031" s="25" t="str">
        <f>IF(Receipts!$H1034="","",Receipts!$H1034)</f>
        <v/>
      </c>
      <c r="I1031" s="26" t="str">
        <f t="shared" ca="1" si="81"/>
        <v/>
      </c>
      <c r="J1031" s="26" t="str">
        <f>IF($A1031="","",COUNTIFS(tblReceipts[Item Name],$A1031,tblReceipts[Expiry Date],"&lt;"&amp;$H1031)+COUNTIFS(tblReceipts[Item Name],$A1031,tblReceipts[Expiry Date],$H1031,tblReceipts[Lot Number],"&lt;="&amp;Receipts!$C1034))</f>
        <v/>
      </c>
      <c r="K1031" s="26" t="str">
        <f>IF($A1031="","",SUMIFS(tblReceipts[Qty Received],tblReceipts[Item Name],$A1031,tblReceipts[Expiry Date],"&lt;"&amp;$H1031)+SUMIFS(tblReceipts[Qty Received],tblReceipts[Item Name],$A1031,tblReceipts[Expiry Date],$H1031,tblReceipts[Lot Number],"&lt;"&amp;Receipts!$C1034))</f>
        <v/>
      </c>
      <c r="L1031" s="26" t="str">
        <f>IF($A1031="","",MIN($D1031,MAX(0,SUMIFS(tblIssues[Qty Issued],tblIssues[Item Name],$A1031)-$K1031)))</f>
        <v/>
      </c>
      <c r="M1031" s="26" t="str">
        <f>IF($A1031="","",SUMIFS(tblIssues[Qty Issued],tblIssues[Lot Number],$B1031))</f>
        <v/>
      </c>
      <c r="N1031" s="26" t="str">
        <f t="shared" si="82"/>
        <v/>
      </c>
      <c r="O1031" s="26" t="str">
        <f t="shared" si="83"/>
        <v/>
      </c>
      <c r="P1031" s="21" t="str">
        <f t="shared" si="84"/>
        <v/>
      </c>
      <c r="Q1031" s="52" t="str">
        <f>IF($A1031="","",IF($O1031&lt;=0,"Depleted",IF($I1031&lt;0,"EXPIRED",IF($I1031&lt;=Settings!$C$6,"CRITICAL",IF($I1031&lt;=Settings!$C$5,"Expiring","In date")))))</f>
        <v/>
      </c>
    </row>
    <row r="1032" spans="1:17" x14ac:dyDescent="0.35">
      <c r="A1032" s="90" t="str">
        <f>IF(Receipts!$D1035="","",Receipts!$D1035)</f>
        <v/>
      </c>
      <c r="B1032" s="18" t="str">
        <f>IF(Receipts!$C1035="","",Receipts!$C1035)</f>
        <v/>
      </c>
      <c r="C1032" s="18" t="str">
        <f>IF($A1032="","",IFERROR(INDEX(Items!$B$5:$B$597,MATCH($A1032,Items!$A$5:$A$597,0)),""))</f>
        <v/>
      </c>
      <c r="D1032" s="23" t="str">
        <f>IF($A1032="","",N(Receipts!$G1035))</f>
        <v/>
      </c>
      <c r="E1032" s="20" t="str">
        <f>IF($A1032="","",IFERROR(INDEX(Items!$D$5:$D$597,MATCH($A1032,Items!$A$5:$A$597,0)),0))</f>
        <v/>
      </c>
      <c r="F1032" s="21" t="str">
        <f t="shared" si="80"/>
        <v/>
      </c>
      <c r="G1032" s="25" t="str">
        <f>IF(Receipts!$I1035="","",Receipts!$I1035)</f>
        <v/>
      </c>
      <c r="H1032" s="25" t="str">
        <f>IF(Receipts!$H1035="","",Receipts!$H1035)</f>
        <v/>
      </c>
      <c r="I1032" s="26" t="str">
        <f t="shared" ca="1" si="81"/>
        <v/>
      </c>
      <c r="J1032" s="26" t="str">
        <f>IF($A1032="","",COUNTIFS(tblReceipts[Item Name],$A1032,tblReceipts[Expiry Date],"&lt;"&amp;$H1032)+COUNTIFS(tblReceipts[Item Name],$A1032,tblReceipts[Expiry Date],$H1032,tblReceipts[Lot Number],"&lt;="&amp;Receipts!$C1035))</f>
        <v/>
      </c>
      <c r="K1032" s="26" t="str">
        <f>IF($A1032="","",SUMIFS(tblReceipts[Qty Received],tblReceipts[Item Name],$A1032,tblReceipts[Expiry Date],"&lt;"&amp;$H1032)+SUMIFS(tblReceipts[Qty Received],tblReceipts[Item Name],$A1032,tblReceipts[Expiry Date],$H1032,tblReceipts[Lot Number],"&lt;"&amp;Receipts!$C1035))</f>
        <v/>
      </c>
      <c r="L1032" s="26" t="str">
        <f>IF($A1032="","",MIN($D1032,MAX(0,SUMIFS(tblIssues[Qty Issued],tblIssues[Item Name],$A1032)-$K1032)))</f>
        <v/>
      </c>
      <c r="M1032" s="26" t="str">
        <f>IF($A1032="","",SUMIFS(tblIssues[Qty Issued],tblIssues[Lot Number],$B1032))</f>
        <v/>
      </c>
      <c r="N1032" s="26" t="str">
        <f t="shared" si="82"/>
        <v/>
      </c>
      <c r="O1032" s="26" t="str">
        <f t="shared" si="83"/>
        <v/>
      </c>
      <c r="P1032" s="21" t="str">
        <f t="shared" si="84"/>
        <v/>
      </c>
      <c r="Q1032" s="52" t="str">
        <f>IF($A1032="","",IF($O1032&lt;=0,"Depleted",IF($I1032&lt;0,"EXPIRED",IF($I1032&lt;=Settings!$C$6,"CRITICAL",IF($I1032&lt;=Settings!$C$5,"Expiring","In date")))))</f>
        <v/>
      </c>
    </row>
    <row r="1033" spans="1:17" x14ac:dyDescent="0.35">
      <c r="A1033" s="90" t="str">
        <f>IF(Receipts!$D1036="","",Receipts!$D1036)</f>
        <v/>
      </c>
      <c r="B1033" s="18" t="str">
        <f>IF(Receipts!$C1036="","",Receipts!$C1036)</f>
        <v/>
      </c>
      <c r="C1033" s="18" t="str">
        <f>IF($A1033="","",IFERROR(INDEX(Items!$B$5:$B$597,MATCH($A1033,Items!$A$5:$A$597,0)),""))</f>
        <v/>
      </c>
      <c r="D1033" s="23" t="str">
        <f>IF($A1033="","",N(Receipts!$G1036))</f>
        <v/>
      </c>
      <c r="E1033" s="20" t="str">
        <f>IF($A1033="","",IFERROR(INDEX(Items!$D$5:$D$597,MATCH($A1033,Items!$A$5:$A$597,0)),0))</f>
        <v/>
      </c>
      <c r="F1033" s="21" t="str">
        <f t="shared" si="80"/>
        <v/>
      </c>
      <c r="G1033" s="25" t="str">
        <f>IF(Receipts!$I1036="","",Receipts!$I1036)</f>
        <v/>
      </c>
      <c r="H1033" s="25" t="str">
        <f>IF(Receipts!$H1036="","",Receipts!$H1036)</f>
        <v/>
      </c>
      <c r="I1033" s="26" t="str">
        <f t="shared" ca="1" si="81"/>
        <v/>
      </c>
      <c r="J1033" s="26" t="str">
        <f>IF($A1033="","",COUNTIFS(tblReceipts[Item Name],$A1033,tblReceipts[Expiry Date],"&lt;"&amp;$H1033)+COUNTIFS(tblReceipts[Item Name],$A1033,tblReceipts[Expiry Date],$H1033,tblReceipts[Lot Number],"&lt;="&amp;Receipts!$C1036))</f>
        <v/>
      </c>
      <c r="K1033" s="26" t="str">
        <f>IF($A1033="","",SUMIFS(tblReceipts[Qty Received],tblReceipts[Item Name],$A1033,tblReceipts[Expiry Date],"&lt;"&amp;$H1033)+SUMIFS(tblReceipts[Qty Received],tblReceipts[Item Name],$A1033,tblReceipts[Expiry Date],$H1033,tblReceipts[Lot Number],"&lt;"&amp;Receipts!$C1036))</f>
        <v/>
      </c>
      <c r="L1033" s="26" t="str">
        <f>IF($A1033="","",MIN($D1033,MAX(0,SUMIFS(tblIssues[Qty Issued],tblIssues[Item Name],$A1033)-$K1033)))</f>
        <v/>
      </c>
      <c r="M1033" s="26" t="str">
        <f>IF($A1033="","",SUMIFS(tblIssues[Qty Issued],tblIssues[Lot Number],$B1033))</f>
        <v/>
      </c>
      <c r="N1033" s="26" t="str">
        <f t="shared" si="82"/>
        <v/>
      </c>
      <c r="O1033" s="26" t="str">
        <f t="shared" si="83"/>
        <v/>
      </c>
      <c r="P1033" s="21" t="str">
        <f t="shared" si="84"/>
        <v/>
      </c>
      <c r="Q1033" s="52" t="str">
        <f>IF($A1033="","",IF($O1033&lt;=0,"Depleted",IF($I1033&lt;0,"EXPIRED",IF($I1033&lt;=Settings!$C$6,"CRITICAL",IF($I1033&lt;=Settings!$C$5,"Expiring","In date")))))</f>
        <v/>
      </c>
    </row>
    <row r="1034" spans="1:17" x14ac:dyDescent="0.35">
      <c r="A1034" s="90" t="str">
        <f>IF(Receipts!$D1037="","",Receipts!$D1037)</f>
        <v/>
      </c>
      <c r="B1034" s="18" t="str">
        <f>IF(Receipts!$C1037="","",Receipts!$C1037)</f>
        <v/>
      </c>
      <c r="C1034" s="18" t="str">
        <f>IF($A1034="","",IFERROR(INDEX(Items!$B$5:$B$597,MATCH($A1034,Items!$A$5:$A$597,0)),""))</f>
        <v/>
      </c>
      <c r="D1034" s="23" t="str">
        <f>IF($A1034="","",N(Receipts!$G1037))</f>
        <v/>
      </c>
      <c r="E1034" s="20" t="str">
        <f>IF($A1034="","",IFERROR(INDEX(Items!$D$5:$D$597,MATCH($A1034,Items!$A$5:$A$597,0)),0))</f>
        <v/>
      </c>
      <c r="F1034" s="21" t="str">
        <f t="shared" si="80"/>
        <v/>
      </c>
      <c r="G1034" s="25" t="str">
        <f>IF(Receipts!$I1037="","",Receipts!$I1037)</f>
        <v/>
      </c>
      <c r="H1034" s="25" t="str">
        <f>IF(Receipts!$H1037="","",Receipts!$H1037)</f>
        <v/>
      </c>
      <c r="I1034" s="26" t="str">
        <f t="shared" ca="1" si="81"/>
        <v/>
      </c>
      <c r="J1034" s="26" t="str">
        <f>IF($A1034="","",COUNTIFS(tblReceipts[Item Name],$A1034,tblReceipts[Expiry Date],"&lt;"&amp;$H1034)+COUNTIFS(tblReceipts[Item Name],$A1034,tblReceipts[Expiry Date],$H1034,tblReceipts[Lot Number],"&lt;="&amp;Receipts!$C1037))</f>
        <v/>
      </c>
      <c r="K1034" s="26" t="str">
        <f>IF($A1034="","",SUMIFS(tblReceipts[Qty Received],tblReceipts[Item Name],$A1034,tblReceipts[Expiry Date],"&lt;"&amp;$H1034)+SUMIFS(tblReceipts[Qty Received],tblReceipts[Item Name],$A1034,tblReceipts[Expiry Date],$H1034,tblReceipts[Lot Number],"&lt;"&amp;Receipts!$C1037))</f>
        <v/>
      </c>
      <c r="L1034" s="26" t="str">
        <f>IF($A1034="","",MIN($D1034,MAX(0,SUMIFS(tblIssues[Qty Issued],tblIssues[Item Name],$A1034)-$K1034)))</f>
        <v/>
      </c>
      <c r="M1034" s="26" t="str">
        <f>IF($A1034="","",SUMIFS(tblIssues[Qty Issued],tblIssues[Lot Number],$B1034))</f>
        <v/>
      </c>
      <c r="N1034" s="26" t="str">
        <f t="shared" si="82"/>
        <v/>
      </c>
      <c r="O1034" s="26" t="str">
        <f t="shared" si="83"/>
        <v/>
      </c>
      <c r="P1034" s="21" t="str">
        <f t="shared" si="84"/>
        <v/>
      </c>
      <c r="Q1034" s="52" t="str">
        <f>IF($A1034="","",IF($O1034&lt;=0,"Depleted",IF($I1034&lt;0,"EXPIRED",IF($I1034&lt;=Settings!$C$6,"CRITICAL",IF($I1034&lt;=Settings!$C$5,"Expiring","In date")))))</f>
        <v/>
      </c>
    </row>
    <row r="1035" spans="1:17" x14ac:dyDescent="0.35">
      <c r="A1035" s="90" t="str">
        <f>IF(Receipts!$D1038="","",Receipts!$D1038)</f>
        <v/>
      </c>
      <c r="B1035" s="18" t="str">
        <f>IF(Receipts!$C1038="","",Receipts!$C1038)</f>
        <v/>
      </c>
      <c r="C1035" s="18" t="str">
        <f>IF($A1035="","",IFERROR(INDEX(Items!$B$5:$B$597,MATCH($A1035,Items!$A$5:$A$597,0)),""))</f>
        <v/>
      </c>
      <c r="D1035" s="23" t="str">
        <f>IF($A1035="","",N(Receipts!$G1038))</f>
        <v/>
      </c>
      <c r="E1035" s="20" t="str">
        <f>IF($A1035="","",IFERROR(INDEX(Items!$D$5:$D$597,MATCH($A1035,Items!$A$5:$A$597,0)),0))</f>
        <v/>
      </c>
      <c r="F1035" s="21" t="str">
        <f t="shared" si="80"/>
        <v/>
      </c>
      <c r="G1035" s="25" t="str">
        <f>IF(Receipts!$I1038="","",Receipts!$I1038)</f>
        <v/>
      </c>
      <c r="H1035" s="25" t="str">
        <f>IF(Receipts!$H1038="","",Receipts!$H1038)</f>
        <v/>
      </c>
      <c r="I1035" s="26" t="str">
        <f t="shared" ca="1" si="81"/>
        <v/>
      </c>
      <c r="J1035" s="26" t="str">
        <f>IF($A1035="","",COUNTIFS(tblReceipts[Item Name],$A1035,tblReceipts[Expiry Date],"&lt;"&amp;$H1035)+COUNTIFS(tblReceipts[Item Name],$A1035,tblReceipts[Expiry Date],$H1035,tblReceipts[Lot Number],"&lt;="&amp;Receipts!$C1038))</f>
        <v/>
      </c>
      <c r="K1035" s="26" t="str">
        <f>IF($A1035="","",SUMIFS(tblReceipts[Qty Received],tblReceipts[Item Name],$A1035,tblReceipts[Expiry Date],"&lt;"&amp;$H1035)+SUMIFS(tblReceipts[Qty Received],tblReceipts[Item Name],$A1035,tblReceipts[Expiry Date],$H1035,tblReceipts[Lot Number],"&lt;"&amp;Receipts!$C1038))</f>
        <v/>
      </c>
      <c r="L1035" s="26" t="str">
        <f>IF($A1035="","",MIN($D1035,MAX(0,SUMIFS(tblIssues[Qty Issued],tblIssues[Item Name],$A1035)-$K1035)))</f>
        <v/>
      </c>
      <c r="M1035" s="26" t="str">
        <f>IF($A1035="","",SUMIFS(tblIssues[Qty Issued],tblIssues[Lot Number],$B1035))</f>
        <v/>
      </c>
      <c r="N1035" s="26" t="str">
        <f t="shared" si="82"/>
        <v/>
      </c>
      <c r="O1035" s="26" t="str">
        <f t="shared" si="83"/>
        <v/>
      </c>
      <c r="P1035" s="21" t="str">
        <f t="shared" si="84"/>
        <v/>
      </c>
      <c r="Q1035" s="52" t="str">
        <f>IF($A1035="","",IF($O1035&lt;=0,"Depleted",IF($I1035&lt;0,"EXPIRED",IF($I1035&lt;=Settings!$C$6,"CRITICAL",IF($I1035&lt;=Settings!$C$5,"Expiring","In date")))))</f>
        <v/>
      </c>
    </row>
    <row r="1036" spans="1:17" x14ac:dyDescent="0.35">
      <c r="A1036" s="90" t="str">
        <f>IF(Receipts!$D1039="","",Receipts!$D1039)</f>
        <v/>
      </c>
      <c r="B1036" s="18" t="str">
        <f>IF(Receipts!$C1039="","",Receipts!$C1039)</f>
        <v/>
      </c>
      <c r="C1036" s="18" t="str">
        <f>IF($A1036="","",IFERROR(INDEX(Items!$B$5:$B$597,MATCH($A1036,Items!$A$5:$A$597,0)),""))</f>
        <v/>
      </c>
      <c r="D1036" s="23" t="str">
        <f>IF($A1036="","",N(Receipts!$G1039))</f>
        <v/>
      </c>
      <c r="E1036" s="20" t="str">
        <f>IF($A1036="","",IFERROR(INDEX(Items!$D$5:$D$597,MATCH($A1036,Items!$A$5:$A$597,0)),0))</f>
        <v/>
      </c>
      <c r="F1036" s="21" t="str">
        <f t="shared" si="80"/>
        <v/>
      </c>
      <c r="G1036" s="25" t="str">
        <f>IF(Receipts!$I1039="","",Receipts!$I1039)</f>
        <v/>
      </c>
      <c r="H1036" s="25" t="str">
        <f>IF(Receipts!$H1039="","",Receipts!$H1039)</f>
        <v/>
      </c>
      <c r="I1036" s="26" t="str">
        <f t="shared" ca="1" si="81"/>
        <v/>
      </c>
      <c r="J1036" s="26" t="str">
        <f>IF($A1036="","",COUNTIFS(tblReceipts[Item Name],$A1036,tblReceipts[Expiry Date],"&lt;"&amp;$H1036)+COUNTIFS(tblReceipts[Item Name],$A1036,tblReceipts[Expiry Date],$H1036,tblReceipts[Lot Number],"&lt;="&amp;Receipts!$C1039))</f>
        <v/>
      </c>
      <c r="K1036" s="26" t="str">
        <f>IF($A1036="","",SUMIFS(tblReceipts[Qty Received],tblReceipts[Item Name],$A1036,tblReceipts[Expiry Date],"&lt;"&amp;$H1036)+SUMIFS(tblReceipts[Qty Received],tblReceipts[Item Name],$A1036,tblReceipts[Expiry Date],$H1036,tblReceipts[Lot Number],"&lt;"&amp;Receipts!$C1039))</f>
        <v/>
      </c>
      <c r="L1036" s="26" t="str">
        <f>IF($A1036="","",MIN($D1036,MAX(0,SUMIFS(tblIssues[Qty Issued],tblIssues[Item Name],$A1036)-$K1036)))</f>
        <v/>
      </c>
      <c r="M1036" s="26" t="str">
        <f>IF($A1036="","",SUMIFS(tblIssues[Qty Issued],tblIssues[Lot Number],$B1036))</f>
        <v/>
      </c>
      <c r="N1036" s="26" t="str">
        <f t="shared" si="82"/>
        <v/>
      </c>
      <c r="O1036" s="26" t="str">
        <f t="shared" si="83"/>
        <v/>
      </c>
      <c r="P1036" s="21" t="str">
        <f t="shared" si="84"/>
        <v/>
      </c>
      <c r="Q1036" s="52" t="str">
        <f>IF($A1036="","",IF($O1036&lt;=0,"Depleted",IF($I1036&lt;0,"EXPIRED",IF($I1036&lt;=Settings!$C$6,"CRITICAL",IF($I1036&lt;=Settings!$C$5,"Expiring","In date")))))</f>
        <v/>
      </c>
    </row>
    <row r="1037" spans="1:17" x14ac:dyDescent="0.35">
      <c r="A1037" s="90" t="str">
        <f>IF(Receipts!$D1040="","",Receipts!$D1040)</f>
        <v/>
      </c>
      <c r="B1037" s="18" t="str">
        <f>IF(Receipts!$C1040="","",Receipts!$C1040)</f>
        <v/>
      </c>
      <c r="C1037" s="18" t="str">
        <f>IF($A1037="","",IFERROR(INDEX(Items!$B$5:$B$597,MATCH($A1037,Items!$A$5:$A$597,0)),""))</f>
        <v/>
      </c>
      <c r="D1037" s="23" t="str">
        <f>IF($A1037="","",N(Receipts!$G1040))</f>
        <v/>
      </c>
      <c r="E1037" s="20" t="str">
        <f>IF($A1037="","",IFERROR(INDEX(Items!$D$5:$D$597,MATCH($A1037,Items!$A$5:$A$597,0)),0))</f>
        <v/>
      </c>
      <c r="F1037" s="21" t="str">
        <f t="shared" si="80"/>
        <v/>
      </c>
      <c r="G1037" s="25" t="str">
        <f>IF(Receipts!$I1040="","",Receipts!$I1040)</f>
        <v/>
      </c>
      <c r="H1037" s="25" t="str">
        <f>IF(Receipts!$H1040="","",Receipts!$H1040)</f>
        <v/>
      </c>
      <c r="I1037" s="26" t="str">
        <f t="shared" ca="1" si="81"/>
        <v/>
      </c>
      <c r="J1037" s="26" t="str">
        <f>IF($A1037="","",COUNTIFS(tblReceipts[Item Name],$A1037,tblReceipts[Expiry Date],"&lt;"&amp;$H1037)+COUNTIFS(tblReceipts[Item Name],$A1037,tblReceipts[Expiry Date],$H1037,tblReceipts[Lot Number],"&lt;="&amp;Receipts!$C1040))</f>
        <v/>
      </c>
      <c r="K1037" s="26" t="str">
        <f>IF($A1037="","",SUMIFS(tblReceipts[Qty Received],tblReceipts[Item Name],$A1037,tblReceipts[Expiry Date],"&lt;"&amp;$H1037)+SUMIFS(tblReceipts[Qty Received],tblReceipts[Item Name],$A1037,tblReceipts[Expiry Date],$H1037,tblReceipts[Lot Number],"&lt;"&amp;Receipts!$C1040))</f>
        <v/>
      </c>
      <c r="L1037" s="26" t="str">
        <f>IF($A1037="","",MIN($D1037,MAX(0,SUMIFS(tblIssues[Qty Issued],tblIssues[Item Name],$A1037)-$K1037)))</f>
        <v/>
      </c>
      <c r="M1037" s="26" t="str">
        <f>IF($A1037="","",SUMIFS(tblIssues[Qty Issued],tblIssues[Lot Number],$B1037))</f>
        <v/>
      </c>
      <c r="N1037" s="26" t="str">
        <f t="shared" si="82"/>
        <v/>
      </c>
      <c r="O1037" s="26" t="str">
        <f t="shared" si="83"/>
        <v/>
      </c>
      <c r="P1037" s="21" t="str">
        <f t="shared" si="84"/>
        <v/>
      </c>
      <c r="Q1037" s="52" t="str">
        <f>IF($A1037="","",IF($O1037&lt;=0,"Depleted",IF($I1037&lt;0,"EXPIRED",IF($I1037&lt;=Settings!$C$6,"CRITICAL",IF($I1037&lt;=Settings!$C$5,"Expiring","In date")))))</f>
        <v/>
      </c>
    </row>
    <row r="1038" spans="1:17" x14ac:dyDescent="0.35">
      <c r="A1038" s="90" t="str">
        <f>IF(Receipts!$D1041="","",Receipts!$D1041)</f>
        <v/>
      </c>
      <c r="B1038" s="18" t="str">
        <f>IF(Receipts!$C1041="","",Receipts!$C1041)</f>
        <v/>
      </c>
      <c r="C1038" s="18" t="str">
        <f>IF($A1038="","",IFERROR(INDEX(Items!$B$5:$B$597,MATCH($A1038,Items!$A$5:$A$597,0)),""))</f>
        <v/>
      </c>
      <c r="D1038" s="23" t="str">
        <f>IF($A1038="","",N(Receipts!$G1041))</f>
        <v/>
      </c>
      <c r="E1038" s="20" t="str">
        <f>IF($A1038="","",IFERROR(INDEX(Items!$D$5:$D$597,MATCH($A1038,Items!$A$5:$A$597,0)),0))</f>
        <v/>
      </c>
      <c r="F1038" s="21" t="str">
        <f t="shared" si="80"/>
        <v/>
      </c>
      <c r="G1038" s="25" t="str">
        <f>IF(Receipts!$I1041="","",Receipts!$I1041)</f>
        <v/>
      </c>
      <c r="H1038" s="25" t="str">
        <f>IF(Receipts!$H1041="","",Receipts!$H1041)</f>
        <v/>
      </c>
      <c r="I1038" s="26" t="str">
        <f t="shared" ca="1" si="81"/>
        <v/>
      </c>
      <c r="J1038" s="26" t="str">
        <f>IF($A1038="","",COUNTIFS(tblReceipts[Item Name],$A1038,tblReceipts[Expiry Date],"&lt;"&amp;$H1038)+COUNTIFS(tblReceipts[Item Name],$A1038,tblReceipts[Expiry Date],$H1038,tblReceipts[Lot Number],"&lt;="&amp;Receipts!$C1041))</f>
        <v/>
      </c>
      <c r="K1038" s="26" t="str">
        <f>IF($A1038="","",SUMIFS(tblReceipts[Qty Received],tblReceipts[Item Name],$A1038,tblReceipts[Expiry Date],"&lt;"&amp;$H1038)+SUMIFS(tblReceipts[Qty Received],tblReceipts[Item Name],$A1038,tblReceipts[Expiry Date],$H1038,tblReceipts[Lot Number],"&lt;"&amp;Receipts!$C1041))</f>
        <v/>
      </c>
      <c r="L1038" s="26" t="str">
        <f>IF($A1038="","",MIN($D1038,MAX(0,SUMIFS(tblIssues[Qty Issued],tblIssues[Item Name],$A1038)-$K1038)))</f>
        <v/>
      </c>
      <c r="M1038" s="26" t="str">
        <f>IF($A1038="","",SUMIFS(tblIssues[Qty Issued],tblIssues[Lot Number],$B1038))</f>
        <v/>
      </c>
      <c r="N1038" s="26" t="str">
        <f t="shared" si="82"/>
        <v/>
      </c>
      <c r="O1038" s="26" t="str">
        <f t="shared" si="83"/>
        <v/>
      </c>
      <c r="P1038" s="21" t="str">
        <f t="shared" si="84"/>
        <v/>
      </c>
      <c r="Q1038" s="52" t="str">
        <f>IF($A1038="","",IF($O1038&lt;=0,"Depleted",IF($I1038&lt;0,"EXPIRED",IF($I1038&lt;=Settings!$C$6,"CRITICAL",IF($I1038&lt;=Settings!$C$5,"Expiring","In date")))))</f>
        <v/>
      </c>
    </row>
    <row r="1039" spans="1:17" x14ac:dyDescent="0.35">
      <c r="A1039" s="90" t="str">
        <f>IF(Receipts!$D1042="","",Receipts!$D1042)</f>
        <v/>
      </c>
      <c r="B1039" s="18" t="str">
        <f>IF(Receipts!$C1042="","",Receipts!$C1042)</f>
        <v/>
      </c>
      <c r="C1039" s="18" t="str">
        <f>IF($A1039="","",IFERROR(INDEX(Items!$B$5:$B$597,MATCH($A1039,Items!$A$5:$A$597,0)),""))</f>
        <v/>
      </c>
      <c r="D1039" s="23" t="str">
        <f>IF($A1039="","",N(Receipts!$G1042))</f>
        <v/>
      </c>
      <c r="E1039" s="20" t="str">
        <f>IF($A1039="","",IFERROR(INDEX(Items!$D$5:$D$597,MATCH($A1039,Items!$A$5:$A$597,0)),0))</f>
        <v/>
      </c>
      <c r="F1039" s="21" t="str">
        <f t="shared" si="80"/>
        <v/>
      </c>
      <c r="G1039" s="25" t="str">
        <f>IF(Receipts!$I1042="","",Receipts!$I1042)</f>
        <v/>
      </c>
      <c r="H1039" s="25" t="str">
        <f>IF(Receipts!$H1042="","",Receipts!$H1042)</f>
        <v/>
      </c>
      <c r="I1039" s="26" t="str">
        <f t="shared" ca="1" si="81"/>
        <v/>
      </c>
      <c r="J1039" s="26" t="str">
        <f>IF($A1039="","",COUNTIFS(tblReceipts[Item Name],$A1039,tblReceipts[Expiry Date],"&lt;"&amp;$H1039)+COUNTIFS(tblReceipts[Item Name],$A1039,tblReceipts[Expiry Date],$H1039,tblReceipts[Lot Number],"&lt;="&amp;Receipts!$C1042))</f>
        <v/>
      </c>
      <c r="K1039" s="26" t="str">
        <f>IF($A1039="","",SUMIFS(tblReceipts[Qty Received],tblReceipts[Item Name],$A1039,tblReceipts[Expiry Date],"&lt;"&amp;$H1039)+SUMIFS(tblReceipts[Qty Received],tblReceipts[Item Name],$A1039,tblReceipts[Expiry Date],$H1039,tblReceipts[Lot Number],"&lt;"&amp;Receipts!$C1042))</f>
        <v/>
      </c>
      <c r="L1039" s="26" t="str">
        <f>IF($A1039="","",MIN($D1039,MAX(0,SUMIFS(tblIssues[Qty Issued],tblIssues[Item Name],$A1039)-$K1039)))</f>
        <v/>
      </c>
      <c r="M1039" s="26" t="str">
        <f>IF($A1039="","",SUMIFS(tblIssues[Qty Issued],tblIssues[Lot Number],$B1039))</f>
        <v/>
      </c>
      <c r="N1039" s="26" t="str">
        <f t="shared" si="82"/>
        <v/>
      </c>
      <c r="O1039" s="26" t="str">
        <f t="shared" si="83"/>
        <v/>
      </c>
      <c r="P1039" s="21" t="str">
        <f t="shared" si="84"/>
        <v/>
      </c>
      <c r="Q1039" s="52" t="str">
        <f>IF($A1039="","",IF($O1039&lt;=0,"Depleted",IF($I1039&lt;0,"EXPIRED",IF($I1039&lt;=Settings!$C$6,"CRITICAL",IF($I1039&lt;=Settings!$C$5,"Expiring","In date")))))</f>
        <v/>
      </c>
    </row>
    <row r="1040" spans="1:17" x14ac:dyDescent="0.35">
      <c r="A1040" s="90" t="str">
        <f>IF(Receipts!$D1043="","",Receipts!$D1043)</f>
        <v/>
      </c>
      <c r="B1040" s="18" t="str">
        <f>IF(Receipts!$C1043="","",Receipts!$C1043)</f>
        <v/>
      </c>
      <c r="C1040" s="18" t="str">
        <f>IF($A1040="","",IFERROR(INDEX(Items!$B$5:$B$597,MATCH($A1040,Items!$A$5:$A$597,0)),""))</f>
        <v/>
      </c>
      <c r="D1040" s="23" t="str">
        <f>IF($A1040="","",N(Receipts!$G1043))</f>
        <v/>
      </c>
      <c r="E1040" s="20" t="str">
        <f>IF($A1040="","",IFERROR(INDEX(Items!$D$5:$D$597,MATCH($A1040,Items!$A$5:$A$597,0)),0))</f>
        <v/>
      </c>
      <c r="F1040" s="21" t="str">
        <f t="shared" si="80"/>
        <v/>
      </c>
      <c r="G1040" s="25" t="str">
        <f>IF(Receipts!$I1043="","",Receipts!$I1043)</f>
        <v/>
      </c>
      <c r="H1040" s="25" t="str">
        <f>IF(Receipts!$H1043="","",Receipts!$H1043)</f>
        <v/>
      </c>
      <c r="I1040" s="26" t="str">
        <f t="shared" ca="1" si="81"/>
        <v/>
      </c>
      <c r="J1040" s="26" t="str">
        <f>IF($A1040="","",COUNTIFS(tblReceipts[Item Name],$A1040,tblReceipts[Expiry Date],"&lt;"&amp;$H1040)+COUNTIFS(tblReceipts[Item Name],$A1040,tblReceipts[Expiry Date],$H1040,tblReceipts[Lot Number],"&lt;="&amp;Receipts!$C1043))</f>
        <v/>
      </c>
      <c r="K1040" s="26" t="str">
        <f>IF($A1040="","",SUMIFS(tblReceipts[Qty Received],tblReceipts[Item Name],$A1040,tblReceipts[Expiry Date],"&lt;"&amp;$H1040)+SUMIFS(tblReceipts[Qty Received],tblReceipts[Item Name],$A1040,tblReceipts[Expiry Date],$H1040,tblReceipts[Lot Number],"&lt;"&amp;Receipts!$C1043))</f>
        <v/>
      </c>
      <c r="L1040" s="26" t="str">
        <f>IF($A1040="","",MIN($D1040,MAX(0,SUMIFS(tblIssues[Qty Issued],tblIssues[Item Name],$A1040)-$K1040)))</f>
        <v/>
      </c>
      <c r="M1040" s="26" t="str">
        <f>IF($A1040="","",SUMIFS(tblIssues[Qty Issued],tblIssues[Lot Number],$B1040))</f>
        <v/>
      </c>
      <c r="N1040" s="26" t="str">
        <f t="shared" si="82"/>
        <v/>
      </c>
      <c r="O1040" s="26" t="str">
        <f t="shared" si="83"/>
        <v/>
      </c>
      <c r="P1040" s="21" t="str">
        <f t="shared" si="84"/>
        <v/>
      </c>
      <c r="Q1040" s="52" t="str">
        <f>IF($A1040="","",IF($O1040&lt;=0,"Depleted",IF($I1040&lt;0,"EXPIRED",IF($I1040&lt;=Settings!$C$6,"CRITICAL",IF($I1040&lt;=Settings!$C$5,"Expiring","In date")))))</f>
        <v/>
      </c>
    </row>
    <row r="1041" spans="1:17" x14ac:dyDescent="0.35">
      <c r="A1041" s="90" t="str">
        <f>IF(Receipts!$D1044="","",Receipts!$D1044)</f>
        <v/>
      </c>
      <c r="B1041" s="18" t="str">
        <f>IF(Receipts!$C1044="","",Receipts!$C1044)</f>
        <v/>
      </c>
      <c r="C1041" s="18" t="str">
        <f>IF($A1041="","",IFERROR(INDEX(Items!$B$5:$B$597,MATCH($A1041,Items!$A$5:$A$597,0)),""))</f>
        <v/>
      </c>
      <c r="D1041" s="23" t="str">
        <f>IF($A1041="","",N(Receipts!$G1044))</f>
        <v/>
      </c>
      <c r="E1041" s="20" t="str">
        <f>IF($A1041="","",IFERROR(INDEX(Items!$D$5:$D$597,MATCH($A1041,Items!$A$5:$A$597,0)),0))</f>
        <v/>
      </c>
      <c r="F1041" s="21" t="str">
        <f t="shared" si="80"/>
        <v/>
      </c>
      <c r="G1041" s="25" t="str">
        <f>IF(Receipts!$I1044="","",Receipts!$I1044)</f>
        <v/>
      </c>
      <c r="H1041" s="25" t="str">
        <f>IF(Receipts!$H1044="","",Receipts!$H1044)</f>
        <v/>
      </c>
      <c r="I1041" s="26" t="str">
        <f t="shared" ca="1" si="81"/>
        <v/>
      </c>
      <c r="J1041" s="26" t="str">
        <f>IF($A1041="","",COUNTIFS(tblReceipts[Item Name],$A1041,tblReceipts[Expiry Date],"&lt;"&amp;$H1041)+COUNTIFS(tblReceipts[Item Name],$A1041,tblReceipts[Expiry Date],$H1041,tblReceipts[Lot Number],"&lt;="&amp;Receipts!$C1044))</f>
        <v/>
      </c>
      <c r="K1041" s="26" t="str">
        <f>IF($A1041="","",SUMIFS(tblReceipts[Qty Received],tblReceipts[Item Name],$A1041,tblReceipts[Expiry Date],"&lt;"&amp;$H1041)+SUMIFS(tblReceipts[Qty Received],tblReceipts[Item Name],$A1041,tblReceipts[Expiry Date],$H1041,tblReceipts[Lot Number],"&lt;"&amp;Receipts!$C1044))</f>
        <v/>
      </c>
      <c r="L1041" s="26" t="str">
        <f>IF($A1041="","",MIN($D1041,MAX(0,SUMIFS(tblIssues[Qty Issued],tblIssues[Item Name],$A1041)-$K1041)))</f>
        <v/>
      </c>
      <c r="M1041" s="26" t="str">
        <f>IF($A1041="","",SUMIFS(tblIssues[Qty Issued],tblIssues[Lot Number],$B1041))</f>
        <v/>
      </c>
      <c r="N1041" s="26" t="str">
        <f t="shared" si="82"/>
        <v/>
      </c>
      <c r="O1041" s="26" t="str">
        <f t="shared" si="83"/>
        <v/>
      </c>
      <c r="P1041" s="21" t="str">
        <f t="shared" si="84"/>
        <v/>
      </c>
      <c r="Q1041" s="52" t="str">
        <f>IF($A1041="","",IF($O1041&lt;=0,"Depleted",IF($I1041&lt;0,"EXPIRED",IF($I1041&lt;=Settings!$C$6,"CRITICAL",IF($I1041&lt;=Settings!$C$5,"Expiring","In date")))))</f>
        <v/>
      </c>
    </row>
    <row r="1042" spans="1:17" x14ac:dyDescent="0.35">
      <c r="A1042" s="90" t="str">
        <f>IF(Receipts!$D1045="","",Receipts!$D1045)</f>
        <v/>
      </c>
      <c r="B1042" s="18" t="str">
        <f>IF(Receipts!$C1045="","",Receipts!$C1045)</f>
        <v/>
      </c>
      <c r="C1042" s="18" t="str">
        <f>IF($A1042="","",IFERROR(INDEX(Items!$B$5:$B$597,MATCH($A1042,Items!$A$5:$A$597,0)),""))</f>
        <v/>
      </c>
      <c r="D1042" s="23" t="str">
        <f>IF($A1042="","",N(Receipts!$G1045))</f>
        <v/>
      </c>
      <c r="E1042" s="20" t="str">
        <f>IF($A1042="","",IFERROR(INDEX(Items!$D$5:$D$597,MATCH($A1042,Items!$A$5:$A$597,0)),0))</f>
        <v/>
      </c>
      <c r="F1042" s="21" t="str">
        <f t="shared" si="80"/>
        <v/>
      </c>
      <c r="G1042" s="25" t="str">
        <f>IF(Receipts!$I1045="","",Receipts!$I1045)</f>
        <v/>
      </c>
      <c r="H1042" s="25" t="str">
        <f>IF(Receipts!$H1045="","",Receipts!$H1045)</f>
        <v/>
      </c>
      <c r="I1042" s="26" t="str">
        <f t="shared" ca="1" si="81"/>
        <v/>
      </c>
      <c r="J1042" s="26" t="str">
        <f>IF($A1042="","",COUNTIFS(tblReceipts[Item Name],$A1042,tblReceipts[Expiry Date],"&lt;"&amp;$H1042)+COUNTIFS(tblReceipts[Item Name],$A1042,tblReceipts[Expiry Date],$H1042,tblReceipts[Lot Number],"&lt;="&amp;Receipts!$C1045))</f>
        <v/>
      </c>
      <c r="K1042" s="26" t="str">
        <f>IF($A1042="","",SUMIFS(tblReceipts[Qty Received],tblReceipts[Item Name],$A1042,tblReceipts[Expiry Date],"&lt;"&amp;$H1042)+SUMIFS(tblReceipts[Qty Received],tblReceipts[Item Name],$A1042,tblReceipts[Expiry Date],$H1042,tblReceipts[Lot Number],"&lt;"&amp;Receipts!$C1045))</f>
        <v/>
      </c>
      <c r="L1042" s="26" t="str">
        <f>IF($A1042="","",MIN($D1042,MAX(0,SUMIFS(tblIssues[Qty Issued],tblIssues[Item Name],$A1042)-$K1042)))</f>
        <v/>
      </c>
      <c r="M1042" s="26" t="str">
        <f>IF($A1042="","",SUMIFS(tblIssues[Qty Issued],tblIssues[Lot Number],$B1042))</f>
        <v/>
      </c>
      <c r="N1042" s="26" t="str">
        <f t="shared" si="82"/>
        <v/>
      </c>
      <c r="O1042" s="26" t="str">
        <f t="shared" si="83"/>
        <v/>
      </c>
      <c r="P1042" s="21" t="str">
        <f t="shared" si="84"/>
        <v/>
      </c>
      <c r="Q1042" s="52" t="str">
        <f>IF($A1042="","",IF($O1042&lt;=0,"Depleted",IF($I1042&lt;0,"EXPIRED",IF($I1042&lt;=Settings!$C$6,"CRITICAL",IF($I1042&lt;=Settings!$C$5,"Expiring","In date")))))</f>
        <v/>
      </c>
    </row>
    <row r="1043" spans="1:17" x14ac:dyDescent="0.35">
      <c r="A1043" s="90" t="str">
        <f>IF(Receipts!$D1046="","",Receipts!$D1046)</f>
        <v/>
      </c>
      <c r="B1043" s="18" t="str">
        <f>IF(Receipts!$C1046="","",Receipts!$C1046)</f>
        <v/>
      </c>
      <c r="C1043" s="18" t="str">
        <f>IF($A1043="","",IFERROR(INDEX(Items!$B$5:$B$597,MATCH($A1043,Items!$A$5:$A$597,0)),""))</f>
        <v/>
      </c>
      <c r="D1043" s="23" t="str">
        <f>IF($A1043="","",N(Receipts!$G1046))</f>
        <v/>
      </c>
      <c r="E1043" s="20" t="str">
        <f>IF($A1043="","",IFERROR(INDEX(Items!$D$5:$D$597,MATCH($A1043,Items!$A$5:$A$597,0)),0))</f>
        <v/>
      </c>
      <c r="F1043" s="21" t="str">
        <f t="shared" si="80"/>
        <v/>
      </c>
      <c r="G1043" s="25" t="str">
        <f>IF(Receipts!$I1046="","",Receipts!$I1046)</f>
        <v/>
      </c>
      <c r="H1043" s="25" t="str">
        <f>IF(Receipts!$H1046="","",Receipts!$H1046)</f>
        <v/>
      </c>
      <c r="I1043" s="26" t="str">
        <f t="shared" ca="1" si="81"/>
        <v/>
      </c>
      <c r="J1043" s="26" t="str">
        <f>IF($A1043="","",COUNTIFS(tblReceipts[Item Name],$A1043,tblReceipts[Expiry Date],"&lt;"&amp;$H1043)+COUNTIFS(tblReceipts[Item Name],$A1043,tblReceipts[Expiry Date],$H1043,tblReceipts[Lot Number],"&lt;="&amp;Receipts!$C1046))</f>
        <v/>
      </c>
      <c r="K1043" s="26" t="str">
        <f>IF($A1043="","",SUMIFS(tblReceipts[Qty Received],tblReceipts[Item Name],$A1043,tblReceipts[Expiry Date],"&lt;"&amp;$H1043)+SUMIFS(tblReceipts[Qty Received],tblReceipts[Item Name],$A1043,tblReceipts[Expiry Date],$H1043,tblReceipts[Lot Number],"&lt;"&amp;Receipts!$C1046))</f>
        <v/>
      </c>
      <c r="L1043" s="26" t="str">
        <f>IF($A1043="","",MIN($D1043,MAX(0,SUMIFS(tblIssues[Qty Issued],tblIssues[Item Name],$A1043)-$K1043)))</f>
        <v/>
      </c>
      <c r="M1043" s="26" t="str">
        <f>IF($A1043="","",SUMIFS(tblIssues[Qty Issued],tblIssues[Lot Number],$B1043))</f>
        <v/>
      </c>
      <c r="N1043" s="26" t="str">
        <f t="shared" si="82"/>
        <v/>
      </c>
      <c r="O1043" s="26" t="str">
        <f t="shared" si="83"/>
        <v/>
      </c>
      <c r="P1043" s="21" t="str">
        <f t="shared" si="84"/>
        <v/>
      </c>
      <c r="Q1043" s="52" t="str">
        <f>IF($A1043="","",IF($O1043&lt;=0,"Depleted",IF($I1043&lt;0,"EXPIRED",IF($I1043&lt;=Settings!$C$6,"CRITICAL",IF($I1043&lt;=Settings!$C$5,"Expiring","In date")))))</f>
        <v/>
      </c>
    </row>
    <row r="1044" spans="1:17" x14ac:dyDescent="0.35">
      <c r="A1044" s="90" t="str">
        <f>IF(Receipts!$D1047="","",Receipts!$D1047)</f>
        <v/>
      </c>
      <c r="B1044" s="18" t="str">
        <f>IF(Receipts!$C1047="","",Receipts!$C1047)</f>
        <v/>
      </c>
      <c r="C1044" s="18" t="str">
        <f>IF($A1044="","",IFERROR(INDEX(Items!$B$5:$B$597,MATCH($A1044,Items!$A$5:$A$597,0)),""))</f>
        <v/>
      </c>
      <c r="D1044" s="23" t="str">
        <f>IF($A1044="","",N(Receipts!$G1047))</f>
        <v/>
      </c>
      <c r="E1044" s="20" t="str">
        <f>IF($A1044="","",IFERROR(INDEX(Items!$D$5:$D$597,MATCH($A1044,Items!$A$5:$A$597,0)),0))</f>
        <v/>
      </c>
      <c r="F1044" s="21" t="str">
        <f t="shared" si="80"/>
        <v/>
      </c>
      <c r="G1044" s="25" t="str">
        <f>IF(Receipts!$I1047="","",Receipts!$I1047)</f>
        <v/>
      </c>
      <c r="H1044" s="25" t="str">
        <f>IF(Receipts!$H1047="","",Receipts!$H1047)</f>
        <v/>
      </c>
      <c r="I1044" s="26" t="str">
        <f t="shared" ca="1" si="81"/>
        <v/>
      </c>
      <c r="J1044" s="26" t="str">
        <f>IF($A1044="","",COUNTIFS(tblReceipts[Item Name],$A1044,tblReceipts[Expiry Date],"&lt;"&amp;$H1044)+COUNTIFS(tblReceipts[Item Name],$A1044,tblReceipts[Expiry Date],$H1044,tblReceipts[Lot Number],"&lt;="&amp;Receipts!$C1047))</f>
        <v/>
      </c>
      <c r="K1044" s="26" t="str">
        <f>IF($A1044="","",SUMIFS(tblReceipts[Qty Received],tblReceipts[Item Name],$A1044,tblReceipts[Expiry Date],"&lt;"&amp;$H1044)+SUMIFS(tblReceipts[Qty Received],tblReceipts[Item Name],$A1044,tblReceipts[Expiry Date],$H1044,tblReceipts[Lot Number],"&lt;"&amp;Receipts!$C1047))</f>
        <v/>
      </c>
      <c r="L1044" s="26" t="str">
        <f>IF($A1044="","",MIN($D1044,MAX(0,SUMIFS(tblIssues[Qty Issued],tblIssues[Item Name],$A1044)-$K1044)))</f>
        <v/>
      </c>
      <c r="M1044" s="26" t="str">
        <f>IF($A1044="","",SUMIFS(tblIssues[Qty Issued],tblIssues[Lot Number],$B1044))</f>
        <v/>
      </c>
      <c r="N1044" s="26" t="str">
        <f t="shared" si="82"/>
        <v/>
      </c>
      <c r="O1044" s="26" t="str">
        <f t="shared" si="83"/>
        <v/>
      </c>
      <c r="P1044" s="21" t="str">
        <f t="shared" si="84"/>
        <v/>
      </c>
      <c r="Q1044" s="52" t="str">
        <f>IF($A1044="","",IF($O1044&lt;=0,"Depleted",IF($I1044&lt;0,"EXPIRED",IF($I1044&lt;=Settings!$C$6,"CRITICAL",IF($I1044&lt;=Settings!$C$5,"Expiring","In date")))))</f>
        <v/>
      </c>
    </row>
    <row r="1045" spans="1:17" x14ac:dyDescent="0.35">
      <c r="A1045" s="90" t="str">
        <f>IF(Receipts!$D1048="","",Receipts!$D1048)</f>
        <v/>
      </c>
      <c r="B1045" s="18" t="str">
        <f>IF(Receipts!$C1048="","",Receipts!$C1048)</f>
        <v/>
      </c>
      <c r="C1045" s="18" t="str">
        <f>IF($A1045="","",IFERROR(INDEX(Items!$B$5:$B$597,MATCH($A1045,Items!$A$5:$A$597,0)),""))</f>
        <v/>
      </c>
      <c r="D1045" s="23" t="str">
        <f>IF($A1045="","",N(Receipts!$G1048))</f>
        <v/>
      </c>
      <c r="E1045" s="20" t="str">
        <f>IF($A1045="","",IFERROR(INDEX(Items!$D$5:$D$597,MATCH($A1045,Items!$A$5:$A$597,0)),0))</f>
        <v/>
      </c>
      <c r="F1045" s="21" t="str">
        <f t="shared" si="80"/>
        <v/>
      </c>
      <c r="G1045" s="25" t="str">
        <f>IF(Receipts!$I1048="","",Receipts!$I1048)</f>
        <v/>
      </c>
      <c r="H1045" s="25" t="str">
        <f>IF(Receipts!$H1048="","",Receipts!$H1048)</f>
        <v/>
      </c>
      <c r="I1045" s="26" t="str">
        <f t="shared" ca="1" si="81"/>
        <v/>
      </c>
      <c r="J1045" s="26" t="str">
        <f>IF($A1045="","",COUNTIFS(tblReceipts[Item Name],$A1045,tblReceipts[Expiry Date],"&lt;"&amp;$H1045)+COUNTIFS(tblReceipts[Item Name],$A1045,tblReceipts[Expiry Date],$H1045,tblReceipts[Lot Number],"&lt;="&amp;Receipts!$C1048))</f>
        <v/>
      </c>
      <c r="K1045" s="26" t="str">
        <f>IF($A1045="","",SUMIFS(tblReceipts[Qty Received],tblReceipts[Item Name],$A1045,tblReceipts[Expiry Date],"&lt;"&amp;$H1045)+SUMIFS(tblReceipts[Qty Received],tblReceipts[Item Name],$A1045,tblReceipts[Expiry Date],$H1045,tblReceipts[Lot Number],"&lt;"&amp;Receipts!$C1048))</f>
        <v/>
      </c>
      <c r="L1045" s="26" t="str">
        <f>IF($A1045="","",MIN($D1045,MAX(0,SUMIFS(tblIssues[Qty Issued],tblIssues[Item Name],$A1045)-$K1045)))</f>
        <v/>
      </c>
      <c r="M1045" s="26" t="str">
        <f>IF($A1045="","",SUMIFS(tblIssues[Qty Issued],tblIssues[Lot Number],$B1045))</f>
        <v/>
      </c>
      <c r="N1045" s="26" t="str">
        <f t="shared" si="82"/>
        <v/>
      </c>
      <c r="O1045" s="26" t="str">
        <f t="shared" si="83"/>
        <v/>
      </c>
      <c r="P1045" s="21" t="str">
        <f t="shared" si="84"/>
        <v/>
      </c>
      <c r="Q1045" s="52" t="str">
        <f>IF($A1045="","",IF($O1045&lt;=0,"Depleted",IF($I1045&lt;0,"EXPIRED",IF($I1045&lt;=Settings!$C$6,"CRITICAL",IF($I1045&lt;=Settings!$C$5,"Expiring","In date")))))</f>
        <v/>
      </c>
    </row>
    <row r="1046" spans="1:17" x14ac:dyDescent="0.35">
      <c r="A1046" s="90" t="str">
        <f>IF(Receipts!$D1049="","",Receipts!$D1049)</f>
        <v/>
      </c>
      <c r="B1046" s="18" t="str">
        <f>IF(Receipts!$C1049="","",Receipts!$C1049)</f>
        <v/>
      </c>
      <c r="C1046" s="18" t="str">
        <f>IF($A1046="","",IFERROR(INDEX(Items!$B$5:$B$597,MATCH($A1046,Items!$A$5:$A$597,0)),""))</f>
        <v/>
      </c>
      <c r="D1046" s="23" t="str">
        <f>IF($A1046="","",N(Receipts!$G1049))</f>
        <v/>
      </c>
      <c r="E1046" s="20" t="str">
        <f>IF($A1046="","",IFERROR(INDEX(Items!$D$5:$D$597,MATCH($A1046,Items!$A$5:$A$597,0)),0))</f>
        <v/>
      </c>
      <c r="F1046" s="21" t="str">
        <f t="shared" si="80"/>
        <v/>
      </c>
      <c r="G1046" s="25" t="str">
        <f>IF(Receipts!$I1049="","",Receipts!$I1049)</f>
        <v/>
      </c>
      <c r="H1046" s="25" t="str">
        <f>IF(Receipts!$H1049="","",Receipts!$H1049)</f>
        <v/>
      </c>
      <c r="I1046" s="26" t="str">
        <f t="shared" ca="1" si="81"/>
        <v/>
      </c>
      <c r="J1046" s="26" t="str">
        <f>IF($A1046="","",COUNTIFS(tblReceipts[Item Name],$A1046,tblReceipts[Expiry Date],"&lt;"&amp;$H1046)+COUNTIFS(tblReceipts[Item Name],$A1046,tblReceipts[Expiry Date],$H1046,tblReceipts[Lot Number],"&lt;="&amp;Receipts!$C1049))</f>
        <v/>
      </c>
      <c r="K1046" s="26" t="str">
        <f>IF($A1046="","",SUMIFS(tblReceipts[Qty Received],tblReceipts[Item Name],$A1046,tblReceipts[Expiry Date],"&lt;"&amp;$H1046)+SUMIFS(tblReceipts[Qty Received],tblReceipts[Item Name],$A1046,tblReceipts[Expiry Date],$H1046,tblReceipts[Lot Number],"&lt;"&amp;Receipts!$C1049))</f>
        <v/>
      </c>
      <c r="L1046" s="26" t="str">
        <f>IF($A1046="","",MIN($D1046,MAX(0,SUMIFS(tblIssues[Qty Issued],tblIssues[Item Name],$A1046)-$K1046)))</f>
        <v/>
      </c>
      <c r="M1046" s="26" t="str">
        <f>IF($A1046="","",SUMIFS(tblIssues[Qty Issued],tblIssues[Lot Number],$B1046))</f>
        <v/>
      </c>
      <c r="N1046" s="26" t="str">
        <f t="shared" si="82"/>
        <v/>
      </c>
      <c r="O1046" s="26" t="str">
        <f t="shared" si="83"/>
        <v/>
      </c>
      <c r="P1046" s="21" t="str">
        <f t="shared" si="84"/>
        <v/>
      </c>
      <c r="Q1046" s="52" t="str">
        <f>IF($A1046="","",IF($O1046&lt;=0,"Depleted",IF($I1046&lt;0,"EXPIRED",IF($I1046&lt;=Settings!$C$6,"CRITICAL",IF($I1046&lt;=Settings!$C$5,"Expiring","In date")))))</f>
        <v/>
      </c>
    </row>
    <row r="1047" spans="1:17" x14ac:dyDescent="0.35">
      <c r="A1047" s="90" t="str">
        <f>IF(Receipts!$D1050="","",Receipts!$D1050)</f>
        <v/>
      </c>
      <c r="B1047" s="18" t="str">
        <f>IF(Receipts!$C1050="","",Receipts!$C1050)</f>
        <v/>
      </c>
      <c r="C1047" s="18" t="str">
        <f>IF($A1047="","",IFERROR(INDEX(Items!$B$5:$B$597,MATCH($A1047,Items!$A$5:$A$597,0)),""))</f>
        <v/>
      </c>
      <c r="D1047" s="23" t="str">
        <f>IF($A1047="","",N(Receipts!$G1050))</f>
        <v/>
      </c>
      <c r="E1047" s="20" t="str">
        <f>IF($A1047="","",IFERROR(INDEX(Items!$D$5:$D$597,MATCH($A1047,Items!$A$5:$A$597,0)),0))</f>
        <v/>
      </c>
      <c r="F1047" s="21" t="str">
        <f t="shared" si="80"/>
        <v/>
      </c>
      <c r="G1047" s="25" t="str">
        <f>IF(Receipts!$I1050="","",Receipts!$I1050)</f>
        <v/>
      </c>
      <c r="H1047" s="25" t="str">
        <f>IF(Receipts!$H1050="","",Receipts!$H1050)</f>
        <v/>
      </c>
      <c r="I1047" s="26" t="str">
        <f t="shared" ca="1" si="81"/>
        <v/>
      </c>
      <c r="J1047" s="26" t="str">
        <f>IF($A1047="","",COUNTIFS(tblReceipts[Item Name],$A1047,tblReceipts[Expiry Date],"&lt;"&amp;$H1047)+COUNTIFS(tblReceipts[Item Name],$A1047,tblReceipts[Expiry Date],$H1047,tblReceipts[Lot Number],"&lt;="&amp;Receipts!$C1050))</f>
        <v/>
      </c>
      <c r="K1047" s="26" t="str">
        <f>IF($A1047="","",SUMIFS(tblReceipts[Qty Received],tblReceipts[Item Name],$A1047,tblReceipts[Expiry Date],"&lt;"&amp;$H1047)+SUMIFS(tblReceipts[Qty Received],tblReceipts[Item Name],$A1047,tblReceipts[Expiry Date],$H1047,tblReceipts[Lot Number],"&lt;"&amp;Receipts!$C1050))</f>
        <v/>
      </c>
      <c r="L1047" s="26" t="str">
        <f>IF($A1047="","",MIN($D1047,MAX(0,SUMIFS(tblIssues[Qty Issued],tblIssues[Item Name],$A1047)-$K1047)))</f>
        <v/>
      </c>
      <c r="M1047" s="26" t="str">
        <f>IF($A1047="","",SUMIFS(tblIssues[Qty Issued],tblIssues[Lot Number],$B1047))</f>
        <v/>
      </c>
      <c r="N1047" s="26" t="str">
        <f t="shared" si="82"/>
        <v/>
      </c>
      <c r="O1047" s="26" t="str">
        <f t="shared" si="83"/>
        <v/>
      </c>
      <c r="P1047" s="21" t="str">
        <f t="shared" si="84"/>
        <v/>
      </c>
      <c r="Q1047" s="52" t="str">
        <f>IF($A1047="","",IF($O1047&lt;=0,"Depleted",IF($I1047&lt;0,"EXPIRED",IF($I1047&lt;=Settings!$C$6,"CRITICAL",IF($I1047&lt;=Settings!$C$5,"Expiring","In date")))))</f>
        <v/>
      </c>
    </row>
    <row r="1048" spans="1:17" x14ac:dyDescent="0.35">
      <c r="A1048" s="90" t="str">
        <f>IF(Receipts!$D1051="","",Receipts!$D1051)</f>
        <v/>
      </c>
      <c r="B1048" s="18" t="str">
        <f>IF(Receipts!$C1051="","",Receipts!$C1051)</f>
        <v/>
      </c>
      <c r="C1048" s="18" t="str">
        <f>IF($A1048="","",IFERROR(INDEX(Items!$B$5:$B$597,MATCH($A1048,Items!$A$5:$A$597,0)),""))</f>
        <v/>
      </c>
      <c r="D1048" s="23" t="str">
        <f>IF($A1048="","",N(Receipts!$G1051))</f>
        <v/>
      </c>
      <c r="E1048" s="20" t="str">
        <f>IF($A1048="","",IFERROR(INDEX(Items!$D$5:$D$597,MATCH($A1048,Items!$A$5:$A$597,0)),0))</f>
        <v/>
      </c>
      <c r="F1048" s="21" t="str">
        <f t="shared" si="80"/>
        <v/>
      </c>
      <c r="G1048" s="25" t="str">
        <f>IF(Receipts!$I1051="","",Receipts!$I1051)</f>
        <v/>
      </c>
      <c r="H1048" s="25" t="str">
        <f>IF(Receipts!$H1051="","",Receipts!$H1051)</f>
        <v/>
      </c>
      <c r="I1048" s="26" t="str">
        <f t="shared" ca="1" si="81"/>
        <v/>
      </c>
      <c r="J1048" s="26" t="str">
        <f>IF($A1048="","",COUNTIFS(tblReceipts[Item Name],$A1048,tblReceipts[Expiry Date],"&lt;"&amp;$H1048)+COUNTIFS(tblReceipts[Item Name],$A1048,tblReceipts[Expiry Date],$H1048,tblReceipts[Lot Number],"&lt;="&amp;Receipts!$C1051))</f>
        <v/>
      </c>
      <c r="K1048" s="26" t="str">
        <f>IF($A1048="","",SUMIFS(tblReceipts[Qty Received],tblReceipts[Item Name],$A1048,tblReceipts[Expiry Date],"&lt;"&amp;$H1048)+SUMIFS(tblReceipts[Qty Received],tblReceipts[Item Name],$A1048,tblReceipts[Expiry Date],$H1048,tblReceipts[Lot Number],"&lt;"&amp;Receipts!$C1051))</f>
        <v/>
      </c>
      <c r="L1048" s="26" t="str">
        <f>IF($A1048="","",MIN($D1048,MAX(0,SUMIFS(tblIssues[Qty Issued],tblIssues[Item Name],$A1048)-$K1048)))</f>
        <v/>
      </c>
      <c r="M1048" s="26" t="str">
        <f>IF($A1048="","",SUMIFS(tblIssues[Qty Issued],tblIssues[Lot Number],$B1048))</f>
        <v/>
      </c>
      <c r="N1048" s="26" t="str">
        <f t="shared" si="82"/>
        <v/>
      </c>
      <c r="O1048" s="26" t="str">
        <f t="shared" si="83"/>
        <v/>
      </c>
      <c r="P1048" s="21" t="str">
        <f t="shared" si="84"/>
        <v/>
      </c>
      <c r="Q1048" s="52" t="str">
        <f>IF($A1048="","",IF($O1048&lt;=0,"Depleted",IF($I1048&lt;0,"EXPIRED",IF($I1048&lt;=Settings!$C$6,"CRITICAL",IF($I1048&lt;=Settings!$C$5,"Expiring","In date")))))</f>
        <v/>
      </c>
    </row>
    <row r="1049" spans="1:17" x14ac:dyDescent="0.35">
      <c r="A1049" s="90" t="str">
        <f>IF(Receipts!$D1052="","",Receipts!$D1052)</f>
        <v/>
      </c>
      <c r="B1049" s="18" t="str">
        <f>IF(Receipts!$C1052="","",Receipts!$C1052)</f>
        <v/>
      </c>
      <c r="C1049" s="18" t="str">
        <f>IF($A1049="","",IFERROR(INDEX(Items!$B$5:$B$597,MATCH($A1049,Items!$A$5:$A$597,0)),""))</f>
        <v/>
      </c>
      <c r="D1049" s="23" t="str">
        <f>IF($A1049="","",N(Receipts!$G1052))</f>
        <v/>
      </c>
      <c r="E1049" s="20" t="str">
        <f>IF($A1049="","",IFERROR(INDEX(Items!$D$5:$D$597,MATCH($A1049,Items!$A$5:$A$597,0)),0))</f>
        <v/>
      </c>
      <c r="F1049" s="21" t="str">
        <f t="shared" si="80"/>
        <v/>
      </c>
      <c r="G1049" s="25" t="str">
        <f>IF(Receipts!$I1052="","",Receipts!$I1052)</f>
        <v/>
      </c>
      <c r="H1049" s="25" t="str">
        <f>IF(Receipts!$H1052="","",Receipts!$H1052)</f>
        <v/>
      </c>
      <c r="I1049" s="26" t="str">
        <f t="shared" ca="1" si="81"/>
        <v/>
      </c>
      <c r="J1049" s="26" t="str">
        <f>IF($A1049="","",COUNTIFS(tblReceipts[Item Name],$A1049,tblReceipts[Expiry Date],"&lt;"&amp;$H1049)+COUNTIFS(tblReceipts[Item Name],$A1049,tblReceipts[Expiry Date],$H1049,tblReceipts[Lot Number],"&lt;="&amp;Receipts!$C1052))</f>
        <v/>
      </c>
      <c r="K1049" s="26" t="str">
        <f>IF($A1049="","",SUMIFS(tblReceipts[Qty Received],tblReceipts[Item Name],$A1049,tblReceipts[Expiry Date],"&lt;"&amp;$H1049)+SUMIFS(tblReceipts[Qty Received],tblReceipts[Item Name],$A1049,tblReceipts[Expiry Date],$H1049,tblReceipts[Lot Number],"&lt;"&amp;Receipts!$C1052))</f>
        <v/>
      </c>
      <c r="L1049" s="26" t="str">
        <f>IF($A1049="","",MIN($D1049,MAX(0,SUMIFS(tblIssues[Qty Issued],tblIssues[Item Name],$A1049)-$K1049)))</f>
        <v/>
      </c>
      <c r="M1049" s="26" t="str">
        <f>IF($A1049="","",SUMIFS(tblIssues[Qty Issued],tblIssues[Lot Number],$B1049))</f>
        <v/>
      </c>
      <c r="N1049" s="26" t="str">
        <f t="shared" si="82"/>
        <v/>
      </c>
      <c r="O1049" s="26" t="str">
        <f t="shared" si="83"/>
        <v/>
      </c>
      <c r="P1049" s="21" t="str">
        <f t="shared" si="84"/>
        <v/>
      </c>
      <c r="Q1049" s="52" t="str">
        <f>IF($A1049="","",IF($O1049&lt;=0,"Depleted",IF($I1049&lt;0,"EXPIRED",IF($I1049&lt;=Settings!$C$6,"CRITICAL",IF($I1049&lt;=Settings!$C$5,"Expiring","In date")))))</f>
        <v/>
      </c>
    </row>
    <row r="1050" spans="1:17" x14ac:dyDescent="0.35">
      <c r="A1050" s="90" t="str">
        <f>IF(Receipts!$D1053="","",Receipts!$D1053)</f>
        <v/>
      </c>
      <c r="B1050" s="18" t="str">
        <f>IF(Receipts!$C1053="","",Receipts!$C1053)</f>
        <v/>
      </c>
      <c r="C1050" s="18" t="str">
        <f>IF($A1050="","",IFERROR(INDEX(Items!$B$5:$B$597,MATCH($A1050,Items!$A$5:$A$597,0)),""))</f>
        <v/>
      </c>
      <c r="D1050" s="23" t="str">
        <f>IF($A1050="","",N(Receipts!$G1053))</f>
        <v/>
      </c>
      <c r="E1050" s="20" t="str">
        <f>IF($A1050="","",IFERROR(INDEX(Items!$D$5:$D$597,MATCH($A1050,Items!$A$5:$A$597,0)),0))</f>
        <v/>
      </c>
      <c r="F1050" s="21" t="str">
        <f t="shared" si="80"/>
        <v/>
      </c>
      <c r="G1050" s="25" t="str">
        <f>IF(Receipts!$I1053="","",Receipts!$I1053)</f>
        <v/>
      </c>
      <c r="H1050" s="25" t="str">
        <f>IF(Receipts!$H1053="","",Receipts!$H1053)</f>
        <v/>
      </c>
      <c r="I1050" s="26" t="str">
        <f t="shared" ca="1" si="81"/>
        <v/>
      </c>
      <c r="J1050" s="26" t="str">
        <f>IF($A1050="","",COUNTIFS(tblReceipts[Item Name],$A1050,tblReceipts[Expiry Date],"&lt;"&amp;$H1050)+COUNTIFS(tblReceipts[Item Name],$A1050,tblReceipts[Expiry Date],$H1050,tblReceipts[Lot Number],"&lt;="&amp;Receipts!$C1053))</f>
        <v/>
      </c>
      <c r="K1050" s="26" t="str">
        <f>IF($A1050="","",SUMIFS(tblReceipts[Qty Received],tblReceipts[Item Name],$A1050,tblReceipts[Expiry Date],"&lt;"&amp;$H1050)+SUMIFS(tblReceipts[Qty Received],tblReceipts[Item Name],$A1050,tblReceipts[Expiry Date],$H1050,tblReceipts[Lot Number],"&lt;"&amp;Receipts!$C1053))</f>
        <v/>
      </c>
      <c r="L1050" s="26" t="str">
        <f>IF($A1050="","",MIN($D1050,MAX(0,SUMIFS(tblIssues[Qty Issued],tblIssues[Item Name],$A1050)-$K1050)))</f>
        <v/>
      </c>
      <c r="M1050" s="26" t="str">
        <f>IF($A1050="","",SUMIFS(tblIssues[Qty Issued],tblIssues[Lot Number],$B1050))</f>
        <v/>
      </c>
      <c r="N1050" s="26" t="str">
        <f t="shared" si="82"/>
        <v/>
      </c>
      <c r="O1050" s="26" t="str">
        <f t="shared" si="83"/>
        <v/>
      </c>
      <c r="P1050" s="21" t="str">
        <f t="shared" si="84"/>
        <v/>
      </c>
      <c r="Q1050" s="52" t="str">
        <f>IF($A1050="","",IF($O1050&lt;=0,"Depleted",IF($I1050&lt;0,"EXPIRED",IF($I1050&lt;=Settings!$C$6,"CRITICAL",IF($I1050&lt;=Settings!$C$5,"Expiring","In date")))))</f>
        <v/>
      </c>
    </row>
    <row r="1051" spans="1:17" x14ac:dyDescent="0.35">
      <c r="A1051" s="90" t="str">
        <f>IF(Receipts!$D1054="","",Receipts!$D1054)</f>
        <v/>
      </c>
      <c r="B1051" s="18" t="str">
        <f>IF(Receipts!$C1054="","",Receipts!$C1054)</f>
        <v/>
      </c>
      <c r="C1051" s="18" t="str">
        <f>IF($A1051="","",IFERROR(INDEX(Items!$B$5:$B$597,MATCH($A1051,Items!$A$5:$A$597,0)),""))</f>
        <v/>
      </c>
      <c r="D1051" s="23" t="str">
        <f>IF($A1051="","",N(Receipts!$G1054))</f>
        <v/>
      </c>
      <c r="E1051" s="20" t="str">
        <f>IF($A1051="","",IFERROR(INDEX(Items!$D$5:$D$597,MATCH($A1051,Items!$A$5:$A$597,0)),0))</f>
        <v/>
      </c>
      <c r="F1051" s="21" t="str">
        <f t="shared" si="80"/>
        <v/>
      </c>
      <c r="G1051" s="25" t="str">
        <f>IF(Receipts!$I1054="","",Receipts!$I1054)</f>
        <v/>
      </c>
      <c r="H1051" s="25" t="str">
        <f>IF(Receipts!$H1054="","",Receipts!$H1054)</f>
        <v/>
      </c>
      <c r="I1051" s="26" t="str">
        <f t="shared" ca="1" si="81"/>
        <v/>
      </c>
      <c r="J1051" s="26" t="str">
        <f>IF($A1051="","",COUNTIFS(tblReceipts[Item Name],$A1051,tblReceipts[Expiry Date],"&lt;"&amp;$H1051)+COUNTIFS(tblReceipts[Item Name],$A1051,tblReceipts[Expiry Date],$H1051,tblReceipts[Lot Number],"&lt;="&amp;Receipts!$C1054))</f>
        <v/>
      </c>
      <c r="K1051" s="26" t="str">
        <f>IF($A1051="","",SUMIFS(tblReceipts[Qty Received],tblReceipts[Item Name],$A1051,tblReceipts[Expiry Date],"&lt;"&amp;$H1051)+SUMIFS(tblReceipts[Qty Received],tblReceipts[Item Name],$A1051,tblReceipts[Expiry Date],$H1051,tblReceipts[Lot Number],"&lt;"&amp;Receipts!$C1054))</f>
        <v/>
      </c>
      <c r="L1051" s="26" t="str">
        <f>IF($A1051="","",MIN($D1051,MAX(0,SUMIFS(tblIssues[Qty Issued],tblIssues[Item Name],$A1051)-$K1051)))</f>
        <v/>
      </c>
      <c r="M1051" s="26" t="str">
        <f>IF($A1051="","",SUMIFS(tblIssues[Qty Issued],tblIssues[Lot Number],$B1051))</f>
        <v/>
      </c>
      <c r="N1051" s="26" t="str">
        <f t="shared" si="82"/>
        <v/>
      </c>
      <c r="O1051" s="26" t="str">
        <f t="shared" si="83"/>
        <v/>
      </c>
      <c r="P1051" s="21" t="str">
        <f t="shared" si="84"/>
        <v/>
      </c>
      <c r="Q1051" s="52" t="str">
        <f>IF($A1051="","",IF($O1051&lt;=0,"Depleted",IF($I1051&lt;0,"EXPIRED",IF($I1051&lt;=Settings!$C$6,"CRITICAL",IF($I1051&lt;=Settings!$C$5,"Expiring","In date")))))</f>
        <v/>
      </c>
    </row>
    <row r="1052" spans="1:17" x14ac:dyDescent="0.35">
      <c r="A1052" s="90" t="str">
        <f>IF(Receipts!$D1055="","",Receipts!$D1055)</f>
        <v/>
      </c>
      <c r="B1052" s="18" t="str">
        <f>IF(Receipts!$C1055="","",Receipts!$C1055)</f>
        <v/>
      </c>
      <c r="C1052" s="18" t="str">
        <f>IF($A1052="","",IFERROR(INDEX(Items!$B$5:$B$597,MATCH($A1052,Items!$A$5:$A$597,0)),""))</f>
        <v/>
      </c>
      <c r="D1052" s="23" t="str">
        <f>IF($A1052="","",N(Receipts!$G1055))</f>
        <v/>
      </c>
      <c r="E1052" s="20" t="str">
        <f>IF($A1052="","",IFERROR(INDEX(Items!$D$5:$D$597,MATCH($A1052,Items!$A$5:$A$597,0)),0))</f>
        <v/>
      </c>
      <c r="F1052" s="21" t="str">
        <f t="shared" si="80"/>
        <v/>
      </c>
      <c r="G1052" s="25" t="str">
        <f>IF(Receipts!$I1055="","",Receipts!$I1055)</f>
        <v/>
      </c>
      <c r="H1052" s="25" t="str">
        <f>IF(Receipts!$H1055="","",Receipts!$H1055)</f>
        <v/>
      </c>
      <c r="I1052" s="26" t="str">
        <f t="shared" ca="1" si="81"/>
        <v/>
      </c>
      <c r="J1052" s="26" t="str">
        <f>IF($A1052="","",COUNTIFS(tblReceipts[Item Name],$A1052,tblReceipts[Expiry Date],"&lt;"&amp;$H1052)+COUNTIFS(tblReceipts[Item Name],$A1052,tblReceipts[Expiry Date],$H1052,tblReceipts[Lot Number],"&lt;="&amp;Receipts!$C1055))</f>
        <v/>
      </c>
      <c r="K1052" s="26" t="str">
        <f>IF($A1052="","",SUMIFS(tblReceipts[Qty Received],tblReceipts[Item Name],$A1052,tblReceipts[Expiry Date],"&lt;"&amp;$H1052)+SUMIFS(tblReceipts[Qty Received],tblReceipts[Item Name],$A1052,tblReceipts[Expiry Date],$H1052,tblReceipts[Lot Number],"&lt;"&amp;Receipts!$C1055))</f>
        <v/>
      </c>
      <c r="L1052" s="26" t="str">
        <f>IF($A1052="","",MIN($D1052,MAX(0,SUMIFS(tblIssues[Qty Issued],tblIssues[Item Name],$A1052)-$K1052)))</f>
        <v/>
      </c>
      <c r="M1052" s="26" t="str">
        <f>IF($A1052="","",SUMIFS(tblIssues[Qty Issued],tblIssues[Lot Number],$B1052))</f>
        <v/>
      </c>
      <c r="N1052" s="26" t="str">
        <f t="shared" si="82"/>
        <v/>
      </c>
      <c r="O1052" s="26" t="str">
        <f t="shared" si="83"/>
        <v/>
      </c>
      <c r="P1052" s="21" t="str">
        <f t="shared" si="84"/>
        <v/>
      </c>
      <c r="Q1052" s="52" t="str">
        <f>IF($A1052="","",IF($O1052&lt;=0,"Depleted",IF($I1052&lt;0,"EXPIRED",IF($I1052&lt;=Settings!$C$6,"CRITICAL",IF($I1052&lt;=Settings!$C$5,"Expiring","In date")))))</f>
        <v/>
      </c>
    </row>
    <row r="1053" spans="1:17" x14ac:dyDescent="0.35">
      <c r="A1053" s="90" t="str">
        <f>IF(Receipts!$D1056="","",Receipts!$D1056)</f>
        <v/>
      </c>
      <c r="B1053" s="18" t="str">
        <f>IF(Receipts!$C1056="","",Receipts!$C1056)</f>
        <v/>
      </c>
      <c r="C1053" s="18" t="str">
        <f>IF($A1053="","",IFERROR(INDEX(Items!$B$5:$B$597,MATCH($A1053,Items!$A$5:$A$597,0)),""))</f>
        <v/>
      </c>
      <c r="D1053" s="23" t="str">
        <f>IF($A1053="","",N(Receipts!$G1056))</f>
        <v/>
      </c>
      <c r="E1053" s="20" t="str">
        <f>IF($A1053="","",IFERROR(INDEX(Items!$D$5:$D$597,MATCH($A1053,Items!$A$5:$A$597,0)),0))</f>
        <v/>
      </c>
      <c r="F1053" s="21" t="str">
        <f t="shared" si="80"/>
        <v/>
      </c>
      <c r="G1053" s="25" t="str">
        <f>IF(Receipts!$I1056="","",Receipts!$I1056)</f>
        <v/>
      </c>
      <c r="H1053" s="25" t="str">
        <f>IF(Receipts!$H1056="","",Receipts!$H1056)</f>
        <v/>
      </c>
      <c r="I1053" s="26" t="str">
        <f t="shared" ca="1" si="81"/>
        <v/>
      </c>
      <c r="J1053" s="26" t="str">
        <f>IF($A1053="","",COUNTIFS(tblReceipts[Item Name],$A1053,tblReceipts[Expiry Date],"&lt;"&amp;$H1053)+COUNTIFS(tblReceipts[Item Name],$A1053,tblReceipts[Expiry Date],$H1053,tblReceipts[Lot Number],"&lt;="&amp;Receipts!$C1056))</f>
        <v/>
      </c>
      <c r="K1053" s="26" t="str">
        <f>IF($A1053="","",SUMIFS(tblReceipts[Qty Received],tblReceipts[Item Name],$A1053,tblReceipts[Expiry Date],"&lt;"&amp;$H1053)+SUMIFS(tblReceipts[Qty Received],tblReceipts[Item Name],$A1053,tblReceipts[Expiry Date],$H1053,tblReceipts[Lot Number],"&lt;"&amp;Receipts!$C1056))</f>
        <v/>
      </c>
      <c r="L1053" s="26" t="str">
        <f>IF($A1053="","",MIN($D1053,MAX(0,SUMIFS(tblIssues[Qty Issued],tblIssues[Item Name],$A1053)-$K1053)))</f>
        <v/>
      </c>
      <c r="M1053" s="26" t="str">
        <f>IF($A1053="","",SUMIFS(tblIssues[Qty Issued],tblIssues[Lot Number],$B1053))</f>
        <v/>
      </c>
      <c r="N1053" s="26" t="str">
        <f t="shared" si="82"/>
        <v/>
      </c>
      <c r="O1053" s="26" t="str">
        <f t="shared" si="83"/>
        <v/>
      </c>
      <c r="P1053" s="21" t="str">
        <f t="shared" si="84"/>
        <v/>
      </c>
      <c r="Q1053" s="52" t="str">
        <f>IF($A1053="","",IF($O1053&lt;=0,"Depleted",IF($I1053&lt;0,"EXPIRED",IF($I1053&lt;=Settings!$C$6,"CRITICAL",IF($I1053&lt;=Settings!$C$5,"Expiring","In date")))))</f>
        <v/>
      </c>
    </row>
    <row r="1054" spans="1:17" x14ac:dyDescent="0.35">
      <c r="A1054" s="90" t="str">
        <f>IF(Receipts!$D1057="","",Receipts!$D1057)</f>
        <v/>
      </c>
      <c r="B1054" s="18" t="str">
        <f>IF(Receipts!$C1057="","",Receipts!$C1057)</f>
        <v/>
      </c>
      <c r="C1054" s="18" t="str">
        <f>IF($A1054="","",IFERROR(INDEX(Items!$B$5:$B$597,MATCH($A1054,Items!$A$5:$A$597,0)),""))</f>
        <v/>
      </c>
      <c r="D1054" s="23" t="str">
        <f>IF($A1054="","",N(Receipts!$G1057))</f>
        <v/>
      </c>
      <c r="E1054" s="20" t="str">
        <f>IF($A1054="","",IFERROR(INDEX(Items!$D$5:$D$597,MATCH($A1054,Items!$A$5:$A$597,0)),0))</f>
        <v/>
      </c>
      <c r="F1054" s="21" t="str">
        <f t="shared" si="80"/>
        <v/>
      </c>
      <c r="G1054" s="25" t="str">
        <f>IF(Receipts!$I1057="","",Receipts!$I1057)</f>
        <v/>
      </c>
      <c r="H1054" s="25" t="str">
        <f>IF(Receipts!$H1057="","",Receipts!$H1057)</f>
        <v/>
      </c>
      <c r="I1054" s="26" t="str">
        <f t="shared" ca="1" si="81"/>
        <v/>
      </c>
      <c r="J1054" s="26" t="str">
        <f>IF($A1054="","",COUNTIFS(tblReceipts[Item Name],$A1054,tblReceipts[Expiry Date],"&lt;"&amp;$H1054)+COUNTIFS(tblReceipts[Item Name],$A1054,tblReceipts[Expiry Date],$H1054,tblReceipts[Lot Number],"&lt;="&amp;Receipts!$C1057))</f>
        <v/>
      </c>
      <c r="K1054" s="26" t="str">
        <f>IF($A1054="","",SUMIFS(tblReceipts[Qty Received],tblReceipts[Item Name],$A1054,tblReceipts[Expiry Date],"&lt;"&amp;$H1054)+SUMIFS(tblReceipts[Qty Received],tblReceipts[Item Name],$A1054,tblReceipts[Expiry Date],$H1054,tblReceipts[Lot Number],"&lt;"&amp;Receipts!$C1057))</f>
        <v/>
      </c>
      <c r="L1054" s="26" t="str">
        <f>IF($A1054="","",MIN($D1054,MAX(0,SUMIFS(tblIssues[Qty Issued],tblIssues[Item Name],$A1054)-$K1054)))</f>
        <v/>
      </c>
      <c r="M1054" s="26" t="str">
        <f>IF($A1054="","",SUMIFS(tblIssues[Qty Issued],tblIssues[Lot Number],$B1054))</f>
        <v/>
      </c>
      <c r="N1054" s="26" t="str">
        <f t="shared" si="82"/>
        <v/>
      </c>
      <c r="O1054" s="26" t="str">
        <f t="shared" si="83"/>
        <v/>
      </c>
      <c r="P1054" s="21" t="str">
        <f t="shared" si="84"/>
        <v/>
      </c>
      <c r="Q1054" s="52" t="str">
        <f>IF($A1054="","",IF($O1054&lt;=0,"Depleted",IF($I1054&lt;0,"EXPIRED",IF($I1054&lt;=Settings!$C$6,"CRITICAL",IF($I1054&lt;=Settings!$C$5,"Expiring","In date")))))</f>
        <v/>
      </c>
    </row>
    <row r="1055" spans="1:17" x14ac:dyDescent="0.35">
      <c r="A1055" s="90" t="str">
        <f>IF(Receipts!$D1058="","",Receipts!$D1058)</f>
        <v/>
      </c>
      <c r="B1055" s="18" t="str">
        <f>IF(Receipts!$C1058="","",Receipts!$C1058)</f>
        <v/>
      </c>
      <c r="C1055" s="18" t="str">
        <f>IF($A1055="","",IFERROR(INDEX(Items!$B$5:$B$597,MATCH($A1055,Items!$A$5:$A$597,0)),""))</f>
        <v/>
      </c>
      <c r="D1055" s="23" t="str">
        <f>IF($A1055="","",N(Receipts!$G1058))</f>
        <v/>
      </c>
      <c r="E1055" s="20" t="str">
        <f>IF($A1055="","",IFERROR(INDEX(Items!$D$5:$D$597,MATCH($A1055,Items!$A$5:$A$597,0)),0))</f>
        <v/>
      </c>
      <c r="F1055" s="21" t="str">
        <f t="shared" si="80"/>
        <v/>
      </c>
      <c r="G1055" s="25" t="str">
        <f>IF(Receipts!$I1058="","",Receipts!$I1058)</f>
        <v/>
      </c>
      <c r="H1055" s="25" t="str">
        <f>IF(Receipts!$H1058="","",Receipts!$H1058)</f>
        <v/>
      </c>
      <c r="I1055" s="26" t="str">
        <f t="shared" ca="1" si="81"/>
        <v/>
      </c>
      <c r="J1055" s="26" t="str">
        <f>IF($A1055="","",COUNTIFS(tblReceipts[Item Name],$A1055,tblReceipts[Expiry Date],"&lt;"&amp;$H1055)+COUNTIFS(tblReceipts[Item Name],$A1055,tblReceipts[Expiry Date],$H1055,tblReceipts[Lot Number],"&lt;="&amp;Receipts!$C1058))</f>
        <v/>
      </c>
      <c r="K1055" s="26" t="str">
        <f>IF($A1055="","",SUMIFS(tblReceipts[Qty Received],tblReceipts[Item Name],$A1055,tblReceipts[Expiry Date],"&lt;"&amp;$H1055)+SUMIFS(tblReceipts[Qty Received],tblReceipts[Item Name],$A1055,tblReceipts[Expiry Date],$H1055,tblReceipts[Lot Number],"&lt;"&amp;Receipts!$C1058))</f>
        <v/>
      </c>
      <c r="L1055" s="26" t="str">
        <f>IF($A1055="","",MIN($D1055,MAX(0,SUMIFS(tblIssues[Qty Issued],tblIssues[Item Name],$A1055)-$K1055)))</f>
        <v/>
      </c>
      <c r="M1055" s="26" t="str">
        <f>IF($A1055="","",SUMIFS(tblIssues[Qty Issued],tblIssues[Lot Number],$B1055))</f>
        <v/>
      </c>
      <c r="N1055" s="26" t="str">
        <f t="shared" si="82"/>
        <v/>
      </c>
      <c r="O1055" s="26" t="str">
        <f t="shared" si="83"/>
        <v/>
      </c>
      <c r="P1055" s="21" t="str">
        <f t="shared" si="84"/>
        <v/>
      </c>
      <c r="Q1055" s="52" t="str">
        <f>IF($A1055="","",IF($O1055&lt;=0,"Depleted",IF($I1055&lt;0,"EXPIRED",IF($I1055&lt;=Settings!$C$6,"CRITICAL",IF($I1055&lt;=Settings!$C$5,"Expiring","In date")))))</f>
        <v/>
      </c>
    </row>
    <row r="1056" spans="1:17" x14ac:dyDescent="0.35">
      <c r="A1056" s="90" t="str">
        <f>IF(Receipts!$D1059="","",Receipts!$D1059)</f>
        <v/>
      </c>
      <c r="B1056" s="18" t="str">
        <f>IF(Receipts!$C1059="","",Receipts!$C1059)</f>
        <v/>
      </c>
      <c r="C1056" s="18" t="str">
        <f>IF($A1056="","",IFERROR(INDEX(Items!$B$5:$B$597,MATCH($A1056,Items!$A$5:$A$597,0)),""))</f>
        <v/>
      </c>
      <c r="D1056" s="23" t="str">
        <f>IF($A1056="","",N(Receipts!$G1059))</f>
        <v/>
      </c>
      <c r="E1056" s="20" t="str">
        <f>IF($A1056="","",IFERROR(INDEX(Items!$D$5:$D$597,MATCH($A1056,Items!$A$5:$A$597,0)),0))</f>
        <v/>
      </c>
      <c r="F1056" s="21" t="str">
        <f t="shared" si="80"/>
        <v/>
      </c>
      <c r="G1056" s="25" t="str">
        <f>IF(Receipts!$I1059="","",Receipts!$I1059)</f>
        <v/>
      </c>
      <c r="H1056" s="25" t="str">
        <f>IF(Receipts!$H1059="","",Receipts!$H1059)</f>
        <v/>
      </c>
      <c r="I1056" s="26" t="str">
        <f t="shared" ca="1" si="81"/>
        <v/>
      </c>
      <c r="J1056" s="26" t="str">
        <f>IF($A1056="","",COUNTIFS(tblReceipts[Item Name],$A1056,tblReceipts[Expiry Date],"&lt;"&amp;$H1056)+COUNTIFS(tblReceipts[Item Name],$A1056,tblReceipts[Expiry Date],$H1056,tblReceipts[Lot Number],"&lt;="&amp;Receipts!$C1059))</f>
        <v/>
      </c>
      <c r="K1056" s="26" t="str">
        <f>IF($A1056="","",SUMIFS(tblReceipts[Qty Received],tblReceipts[Item Name],$A1056,tblReceipts[Expiry Date],"&lt;"&amp;$H1056)+SUMIFS(tblReceipts[Qty Received],tblReceipts[Item Name],$A1056,tblReceipts[Expiry Date],$H1056,tblReceipts[Lot Number],"&lt;"&amp;Receipts!$C1059))</f>
        <v/>
      </c>
      <c r="L1056" s="26" t="str">
        <f>IF($A1056="","",MIN($D1056,MAX(0,SUMIFS(tblIssues[Qty Issued],tblIssues[Item Name],$A1056)-$K1056)))</f>
        <v/>
      </c>
      <c r="M1056" s="26" t="str">
        <f>IF($A1056="","",SUMIFS(tblIssues[Qty Issued],tblIssues[Lot Number],$B1056))</f>
        <v/>
      </c>
      <c r="N1056" s="26" t="str">
        <f t="shared" si="82"/>
        <v/>
      </c>
      <c r="O1056" s="26" t="str">
        <f t="shared" si="83"/>
        <v/>
      </c>
      <c r="P1056" s="21" t="str">
        <f t="shared" si="84"/>
        <v/>
      </c>
      <c r="Q1056" s="52" t="str">
        <f>IF($A1056="","",IF($O1056&lt;=0,"Depleted",IF($I1056&lt;0,"EXPIRED",IF($I1056&lt;=Settings!$C$6,"CRITICAL",IF($I1056&lt;=Settings!$C$5,"Expiring","In date")))))</f>
        <v/>
      </c>
    </row>
    <row r="1057" spans="1:17" x14ac:dyDescent="0.35">
      <c r="A1057" s="90" t="str">
        <f>IF(Receipts!$D1060="","",Receipts!$D1060)</f>
        <v/>
      </c>
      <c r="B1057" s="18" t="str">
        <f>IF(Receipts!$C1060="","",Receipts!$C1060)</f>
        <v/>
      </c>
      <c r="C1057" s="18" t="str">
        <f>IF($A1057="","",IFERROR(INDEX(Items!$B$5:$B$597,MATCH($A1057,Items!$A$5:$A$597,0)),""))</f>
        <v/>
      </c>
      <c r="D1057" s="23" t="str">
        <f>IF($A1057="","",N(Receipts!$G1060))</f>
        <v/>
      </c>
      <c r="E1057" s="20" t="str">
        <f>IF($A1057="","",IFERROR(INDEX(Items!$D$5:$D$597,MATCH($A1057,Items!$A$5:$A$597,0)),0))</f>
        <v/>
      </c>
      <c r="F1057" s="21" t="str">
        <f t="shared" si="80"/>
        <v/>
      </c>
      <c r="G1057" s="25" t="str">
        <f>IF(Receipts!$I1060="","",Receipts!$I1060)</f>
        <v/>
      </c>
      <c r="H1057" s="25" t="str">
        <f>IF(Receipts!$H1060="","",Receipts!$H1060)</f>
        <v/>
      </c>
      <c r="I1057" s="26" t="str">
        <f t="shared" ca="1" si="81"/>
        <v/>
      </c>
      <c r="J1057" s="26" t="str">
        <f>IF($A1057="","",COUNTIFS(tblReceipts[Item Name],$A1057,tblReceipts[Expiry Date],"&lt;"&amp;$H1057)+COUNTIFS(tblReceipts[Item Name],$A1057,tblReceipts[Expiry Date],$H1057,tblReceipts[Lot Number],"&lt;="&amp;Receipts!$C1060))</f>
        <v/>
      </c>
      <c r="K1057" s="26" t="str">
        <f>IF($A1057="","",SUMIFS(tblReceipts[Qty Received],tblReceipts[Item Name],$A1057,tblReceipts[Expiry Date],"&lt;"&amp;$H1057)+SUMIFS(tblReceipts[Qty Received],tblReceipts[Item Name],$A1057,tblReceipts[Expiry Date],$H1057,tblReceipts[Lot Number],"&lt;"&amp;Receipts!$C1060))</f>
        <v/>
      </c>
      <c r="L1057" s="26" t="str">
        <f>IF($A1057="","",MIN($D1057,MAX(0,SUMIFS(tblIssues[Qty Issued],tblIssues[Item Name],$A1057)-$K1057)))</f>
        <v/>
      </c>
      <c r="M1057" s="26" t="str">
        <f>IF($A1057="","",SUMIFS(tblIssues[Qty Issued],tblIssues[Lot Number],$B1057))</f>
        <v/>
      </c>
      <c r="N1057" s="26" t="str">
        <f t="shared" si="82"/>
        <v/>
      </c>
      <c r="O1057" s="26" t="str">
        <f t="shared" si="83"/>
        <v/>
      </c>
      <c r="P1057" s="21" t="str">
        <f t="shared" si="84"/>
        <v/>
      </c>
      <c r="Q1057" s="52" t="str">
        <f>IF($A1057="","",IF($O1057&lt;=0,"Depleted",IF($I1057&lt;0,"EXPIRED",IF($I1057&lt;=Settings!$C$6,"CRITICAL",IF($I1057&lt;=Settings!$C$5,"Expiring","In date")))))</f>
        <v/>
      </c>
    </row>
    <row r="1058" spans="1:17" x14ac:dyDescent="0.35">
      <c r="A1058" s="90" t="str">
        <f>IF(Receipts!$D1061="","",Receipts!$D1061)</f>
        <v/>
      </c>
      <c r="B1058" s="18" t="str">
        <f>IF(Receipts!$C1061="","",Receipts!$C1061)</f>
        <v/>
      </c>
      <c r="C1058" s="18" t="str">
        <f>IF($A1058="","",IFERROR(INDEX(Items!$B$5:$B$597,MATCH($A1058,Items!$A$5:$A$597,0)),""))</f>
        <v/>
      </c>
      <c r="D1058" s="23" t="str">
        <f>IF($A1058="","",N(Receipts!$G1061))</f>
        <v/>
      </c>
      <c r="E1058" s="20" t="str">
        <f>IF($A1058="","",IFERROR(INDEX(Items!$D$5:$D$597,MATCH($A1058,Items!$A$5:$A$597,0)),0))</f>
        <v/>
      </c>
      <c r="F1058" s="21" t="str">
        <f t="shared" si="80"/>
        <v/>
      </c>
      <c r="G1058" s="25" t="str">
        <f>IF(Receipts!$I1061="","",Receipts!$I1061)</f>
        <v/>
      </c>
      <c r="H1058" s="25" t="str">
        <f>IF(Receipts!$H1061="","",Receipts!$H1061)</f>
        <v/>
      </c>
      <c r="I1058" s="26" t="str">
        <f t="shared" ca="1" si="81"/>
        <v/>
      </c>
      <c r="J1058" s="26" t="str">
        <f>IF($A1058="","",COUNTIFS(tblReceipts[Item Name],$A1058,tblReceipts[Expiry Date],"&lt;"&amp;$H1058)+COUNTIFS(tblReceipts[Item Name],$A1058,tblReceipts[Expiry Date],$H1058,tblReceipts[Lot Number],"&lt;="&amp;Receipts!$C1061))</f>
        <v/>
      </c>
      <c r="K1058" s="26" t="str">
        <f>IF($A1058="","",SUMIFS(tblReceipts[Qty Received],tblReceipts[Item Name],$A1058,tblReceipts[Expiry Date],"&lt;"&amp;$H1058)+SUMIFS(tblReceipts[Qty Received],tblReceipts[Item Name],$A1058,tblReceipts[Expiry Date],$H1058,tblReceipts[Lot Number],"&lt;"&amp;Receipts!$C1061))</f>
        <v/>
      </c>
      <c r="L1058" s="26" t="str">
        <f>IF($A1058="","",MIN($D1058,MAX(0,SUMIFS(tblIssues[Qty Issued],tblIssues[Item Name],$A1058)-$K1058)))</f>
        <v/>
      </c>
      <c r="M1058" s="26" t="str">
        <f>IF($A1058="","",SUMIFS(tblIssues[Qty Issued],tblIssues[Lot Number],$B1058))</f>
        <v/>
      </c>
      <c r="N1058" s="26" t="str">
        <f t="shared" si="82"/>
        <v/>
      </c>
      <c r="O1058" s="26" t="str">
        <f t="shared" si="83"/>
        <v/>
      </c>
      <c r="P1058" s="21" t="str">
        <f t="shared" si="84"/>
        <v/>
      </c>
      <c r="Q1058" s="52" t="str">
        <f>IF($A1058="","",IF($O1058&lt;=0,"Depleted",IF($I1058&lt;0,"EXPIRED",IF($I1058&lt;=Settings!$C$6,"CRITICAL",IF($I1058&lt;=Settings!$C$5,"Expiring","In date")))))</f>
        <v/>
      </c>
    </row>
    <row r="1059" spans="1:17" x14ac:dyDescent="0.35">
      <c r="A1059" s="90" t="str">
        <f>IF(Receipts!$D1062="","",Receipts!$D1062)</f>
        <v/>
      </c>
      <c r="B1059" s="18" t="str">
        <f>IF(Receipts!$C1062="","",Receipts!$C1062)</f>
        <v/>
      </c>
      <c r="C1059" s="18" t="str">
        <f>IF($A1059="","",IFERROR(INDEX(Items!$B$5:$B$597,MATCH($A1059,Items!$A$5:$A$597,0)),""))</f>
        <v/>
      </c>
      <c r="D1059" s="23" t="str">
        <f>IF($A1059="","",N(Receipts!$G1062))</f>
        <v/>
      </c>
      <c r="E1059" s="20" t="str">
        <f>IF($A1059="","",IFERROR(INDEX(Items!$D$5:$D$597,MATCH($A1059,Items!$A$5:$A$597,0)),0))</f>
        <v/>
      </c>
      <c r="F1059" s="21" t="str">
        <f t="shared" si="80"/>
        <v/>
      </c>
      <c r="G1059" s="25" t="str">
        <f>IF(Receipts!$I1062="","",Receipts!$I1062)</f>
        <v/>
      </c>
      <c r="H1059" s="25" t="str">
        <f>IF(Receipts!$H1062="","",Receipts!$H1062)</f>
        <v/>
      </c>
      <c r="I1059" s="26" t="str">
        <f t="shared" ca="1" si="81"/>
        <v/>
      </c>
      <c r="J1059" s="26" t="str">
        <f>IF($A1059="","",COUNTIFS(tblReceipts[Item Name],$A1059,tblReceipts[Expiry Date],"&lt;"&amp;$H1059)+COUNTIFS(tblReceipts[Item Name],$A1059,tblReceipts[Expiry Date],$H1059,tblReceipts[Lot Number],"&lt;="&amp;Receipts!$C1062))</f>
        <v/>
      </c>
      <c r="K1059" s="26" t="str">
        <f>IF($A1059="","",SUMIFS(tblReceipts[Qty Received],tblReceipts[Item Name],$A1059,tblReceipts[Expiry Date],"&lt;"&amp;$H1059)+SUMIFS(tblReceipts[Qty Received],tblReceipts[Item Name],$A1059,tblReceipts[Expiry Date],$H1059,tblReceipts[Lot Number],"&lt;"&amp;Receipts!$C1062))</f>
        <v/>
      </c>
      <c r="L1059" s="26" t="str">
        <f>IF($A1059="","",MIN($D1059,MAX(0,SUMIFS(tblIssues[Qty Issued],tblIssues[Item Name],$A1059)-$K1059)))</f>
        <v/>
      </c>
      <c r="M1059" s="26" t="str">
        <f>IF($A1059="","",SUMIFS(tblIssues[Qty Issued],tblIssues[Lot Number],$B1059))</f>
        <v/>
      </c>
      <c r="N1059" s="26" t="str">
        <f t="shared" si="82"/>
        <v/>
      </c>
      <c r="O1059" s="26" t="str">
        <f t="shared" si="83"/>
        <v/>
      </c>
      <c r="P1059" s="21" t="str">
        <f t="shared" si="84"/>
        <v/>
      </c>
      <c r="Q1059" s="52" t="str">
        <f>IF($A1059="","",IF($O1059&lt;=0,"Depleted",IF($I1059&lt;0,"EXPIRED",IF($I1059&lt;=Settings!$C$6,"CRITICAL",IF($I1059&lt;=Settings!$C$5,"Expiring","In date")))))</f>
        <v/>
      </c>
    </row>
    <row r="1060" spans="1:17" x14ac:dyDescent="0.35">
      <c r="A1060" s="90" t="str">
        <f>IF(Receipts!$D1063="","",Receipts!$D1063)</f>
        <v/>
      </c>
      <c r="B1060" s="18" t="str">
        <f>IF(Receipts!$C1063="","",Receipts!$C1063)</f>
        <v/>
      </c>
      <c r="C1060" s="18" t="str">
        <f>IF($A1060="","",IFERROR(INDEX(Items!$B$5:$B$597,MATCH($A1060,Items!$A$5:$A$597,0)),""))</f>
        <v/>
      </c>
      <c r="D1060" s="23" t="str">
        <f>IF($A1060="","",N(Receipts!$G1063))</f>
        <v/>
      </c>
      <c r="E1060" s="20" t="str">
        <f>IF($A1060="","",IFERROR(INDEX(Items!$D$5:$D$597,MATCH($A1060,Items!$A$5:$A$597,0)),0))</f>
        <v/>
      </c>
      <c r="F1060" s="21" t="str">
        <f t="shared" si="80"/>
        <v/>
      </c>
      <c r="G1060" s="25" t="str">
        <f>IF(Receipts!$I1063="","",Receipts!$I1063)</f>
        <v/>
      </c>
      <c r="H1060" s="25" t="str">
        <f>IF(Receipts!$H1063="","",Receipts!$H1063)</f>
        <v/>
      </c>
      <c r="I1060" s="26" t="str">
        <f t="shared" ca="1" si="81"/>
        <v/>
      </c>
      <c r="J1060" s="26" t="str">
        <f>IF($A1060="","",COUNTIFS(tblReceipts[Item Name],$A1060,tblReceipts[Expiry Date],"&lt;"&amp;$H1060)+COUNTIFS(tblReceipts[Item Name],$A1060,tblReceipts[Expiry Date],$H1060,tblReceipts[Lot Number],"&lt;="&amp;Receipts!$C1063))</f>
        <v/>
      </c>
      <c r="K1060" s="26" t="str">
        <f>IF($A1060="","",SUMIFS(tblReceipts[Qty Received],tblReceipts[Item Name],$A1060,tblReceipts[Expiry Date],"&lt;"&amp;$H1060)+SUMIFS(tblReceipts[Qty Received],tblReceipts[Item Name],$A1060,tblReceipts[Expiry Date],$H1060,tblReceipts[Lot Number],"&lt;"&amp;Receipts!$C1063))</f>
        <v/>
      </c>
      <c r="L1060" s="26" t="str">
        <f>IF($A1060="","",MIN($D1060,MAX(0,SUMIFS(tblIssues[Qty Issued],tblIssues[Item Name],$A1060)-$K1060)))</f>
        <v/>
      </c>
      <c r="M1060" s="26" t="str">
        <f>IF($A1060="","",SUMIFS(tblIssues[Qty Issued],tblIssues[Lot Number],$B1060))</f>
        <v/>
      </c>
      <c r="N1060" s="26" t="str">
        <f t="shared" si="82"/>
        <v/>
      </c>
      <c r="O1060" s="26" t="str">
        <f t="shared" si="83"/>
        <v/>
      </c>
      <c r="P1060" s="21" t="str">
        <f t="shared" si="84"/>
        <v/>
      </c>
      <c r="Q1060" s="52" t="str">
        <f>IF($A1060="","",IF($O1060&lt;=0,"Depleted",IF($I1060&lt;0,"EXPIRED",IF($I1060&lt;=Settings!$C$6,"CRITICAL",IF($I1060&lt;=Settings!$C$5,"Expiring","In date")))))</f>
        <v/>
      </c>
    </row>
    <row r="1061" spans="1:17" x14ac:dyDescent="0.35">
      <c r="A1061" s="90" t="str">
        <f>IF(Receipts!$D1064="","",Receipts!$D1064)</f>
        <v/>
      </c>
      <c r="B1061" s="18" t="str">
        <f>IF(Receipts!$C1064="","",Receipts!$C1064)</f>
        <v/>
      </c>
      <c r="C1061" s="18" t="str">
        <f>IF($A1061="","",IFERROR(INDEX(Items!$B$5:$B$597,MATCH($A1061,Items!$A$5:$A$597,0)),""))</f>
        <v/>
      </c>
      <c r="D1061" s="23" t="str">
        <f>IF($A1061="","",N(Receipts!$G1064))</f>
        <v/>
      </c>
      <c r="E1061" s="20" t="str">
        <f>IF($A1061="","",IFERROR(INDEX(Items!$D$5:$D$597,MATCH($A1061,Items!$A$5:$A$597,0)),0))</f>
        <v/>
      </c>
      <c r="F1061" s="21" t="str">
        <f t="shared" si="80"/>
        <v/>
      </c>
      <c r="G1061" s="25" t="str">
        <f>IF(Receipts!$I1064="","",Receipts!$I1064)</f>
        <v/>
      </c>
      <c r="H1061" s="25" t="str">
        <f>IF(Receipts!$H1064="","",Receipts!$H1064)</f>
        <v/>
      </c>
      <c r="I1061" s="26" t="str">
        <f t="shared" ca="1" si="81"/>
        <v/>
      </c>
      <c r="J1061" s="26" t="str">
        <f>IF($A1061="","",COUNTIFS(tblReceipts[Item Name],$A1061,tblReceipts[Expiry Date],"&lt;"&amp;$H1061)+COUNTIFS(tblReceipts[Item Name],$A1061,tblReceipts[Expiry Date],$H1061,tblReceipts[Lot Number],"&lt;="&amp;Receipts!$C1064))</f>
        <v/>
      </c>
      <c r="K1061" s="26" t="str">
        <f>IF($A1061="","",SUMIFS(tblReceipts[Qty Received],tblReceipts[Item Name],$A1061,tblReceipts[Expiry Date],"&lt;"&amp;$H1061)+SUMIFS(tblReceipts[Qty Received],tblReceipts[Item Name],$A1061,tblReceipts[Expiry Date],$H1061,tblReceipts[Lot Number],"&lt;"&amp;Receipts!$C1064))</f>
        <v/>
      </c>
      <c r="L1061" s="26" t="str">
        <f>IF($A1061="","",MIN($D1061,MAX(0,SUMIFS(tblIssues[Qty Issued],tblIssues[Item Name],$A1061)-$K1061)))</f>
        <v/>
      </c>
      <c r="M1061" s="26" t="str">
        <f>IF($A1061="","",SUMIFS(tblIssues[Qty Issued],tblIssues[Lot Number],$B1061))</f>
        <v/>
      </c>
      <c r="N1061" s="26" t="str">
        <f t="shared" si="82"/>
        <v/>
      </c>
      <c r="O1061" s="26" t="str">
        <f t="shared" si="83"/>
        <v/>
      </c>
      <c r="P1061" s="21" t="str">
        <f t="shared" si="84"/>
        <v/>
      </c>
      <c r="Q1061" s="52" t="str">
        <f>IF($A1061="","",IF($O1061&lt;=0,"Depleted",IF($I1061&lt;0,"EXPIRED",IF($I1061&lt;=Settings!$C$6,"CRITICAL",IF($I1061&lt;=Settings!$C$5,"Expiring","In date")))))</f>
        <v/>
      </c>
    </row>
    <row r="1062" spans="1:17" x14ac:dyDescent="0.35">
      <c r="A1062" s="90" t="str">
        <f>IF(Receipts!$D1065="","",Receipts!$D1065)</f>
        <v/>
      </c>
      <c r="B1062" s="18" t="str">
        <f>IF(Receipts!$C1065="","",Receipts!$C1065)</f>
        <v/>
      </c>
      <c r="C1062" s="18" t="str">
        <f>IF($A1062="","",IFERROR(INDEX(Items!$B$5:$B$597,MATCH($A1062,Items!$A$5:$A$597,0)),""))</f>
        <v/>
      </c>
      <c r="D1062" s="23" t="str">
        <f>IF($A1062="","",N(Receipts!$G1065))</f>
        <v/>
      </c>
      <c r="E1062" s="20" t="str">
        <f>IF($A1062="","",IFERROR(INDEX(Items!$D$5:$D$597,MATCH($A1062,Items!$A$5:$A$597,0)),0))</f>
        <v/>
      </c>
      <c r="F1062" s="21" t="str">
        <f t="shared" si="80"/>
        <v/>
      </c>
      <c r="G1062" s="25" t="str">
        <f>IF(Receipts!$I1065="","",Receipts!$I1065)</f>
        <v/>
      </c>
      <c r="H1062" s="25" t="str">
        <f>IF(Receipts!$H1065="","",Receipts!$H1065)</f>
        <v/>
      </c>
      <c r="I1062" s="26" t="str">
        <f t="shared" ca="1" si="81"/>
        <v/>
      </c>
      <c r="J1062" s="26" t="str">
        <f>IF($A1062="","",COUNTIFS(tblReceipts[Item Name],$A1062,tblReceipts[Expiry Date],"&lt;"&amp;$H1062)+COUNTIFS(tblReceipts[Item Name],$A1062,tblReceipts[Expiry Date],$H1062,tblReceipts[Lot Number],"&lt;="&amp;Receipts!$C1065))</f>
        <v/>
      </c>
      <c r="K1062" s="26" t="str">
        <f>IF($A1062="","",SUMIFS(tblReceipts[Qty Received],tblReceipts[Item Name],$A1062,tblReceipts[Expiry Date],"&lt;"&amp;$H1062)+SUMIFS(tblReceipts[Qty Received],tblReceipts[Item Name],$A1062,tblReceipts[Expiry Date],$H1062,tblReceipts[Lot Number],"&lt;"&amp;Receipts!$C1065))</f>
        <v/>
      </c>
      <c r="L1062" s="26" t="str">
        <f>IF($A1062="","",MIN($D1062,MAX(0,SUMIFS(tblIssues[Qty Issued],tblIssues[Item Name],$A1062)-$K1062)))</f>
        <v/>
      </c>
      <c r="M1062" s="26" t="str">
        <f>IF($A1062="","",SUMIFS(tblIssues[Qty Issued],tblIssues[Lot Number],$B1062))</f>
        <v/>
      </c>
      <c r="N1062" s="26" t="str">
        <f t="shared" si="82"/>
        <v/>
      </c>
      <c r="O1062" s="26" t="str">
        <f t="shared" si="83"/>
        <v/>
      </c>
      <c r="P1062" s="21" t="str">
        <f t="shared" si="84"/>
        <v/>
      </c>
      <c r="Q1062" s="52" t="str">
        <f>IF($A1062="","",IF($O1062&lt;=0,"Depleted",IF($I1062&lt;0,"EXPIRED",IF($I1062&lt;=Settings!$C$6,"CRITICAL",IF($I1062&lt;=Settings!$C$5,"Expiring","In date")))))</f>
        <v/>
      </c>
    </row>
    <row r="1063" spans="1:17" x14ac:dyDescent="0.35">
      <c r="A1063" s="90" t="str">
        <f>IF(Receipts!$D1066="","",Receipts!$D1066)</f>
        <v/>
      </c>
      <c r="B1063" s="18" t="str">
        <f>IF(Receipts!$C1066="","",Receipts!$C1066)</f>
        <v/>
      </c>
      <c r="C1063" s="18" t="str">
        <f>IF($A1063="","",IFERROR(INDEX(Items!$B$5:$B$597,MATCH($A1063,Items!$A$5:$A$597,0)),""))</f>
        <v/>
      </c>
      <c r="D1063" s="23" t="str">
        <f>IF($A1063="","",N(Receipts!$G1066))</f>
        <v/>
      </c>
      <c r="E1063" s="20" t="str">
        <f>IF($A1063="","",IFERROR(INDEX(Items!$D$5:$D$597,MATCH($A1063,Items!$A$5:$A$597,0)),0))</f>
        <v/>
      </c>
      <c r="F1063" s="21" t="str">
        <f t="shared" si="80"/>
        <v/>
      </c>
      <c r="G1063" s="25" t="str">
        <f>IF(Receipts!$I1066="","",Receipts!$I1066)</f>
        <v/>
      </c>
      <c r="H1063" s="25" t="str">
        <f>IF(Receipts!$H1066="","",Receipts!$H1066)</f>
        <v/>
      </c>
      <c r="I1063" s="26" t="str">
        <f t="shared" ca="1" si="81"/>
        <v/>
      </c>
      <c r="J1063" s="26" t="str">
        <f>IF($A1063="","",COUNTIFS(tblReceipts[Item Name],$A1063,tblReceipts[Expiry Date],"&lt;"&amp;$H1063)+COUNTIFS(tblReceipts[Item Name],$A1063,tblReceipts[Expiry Date],$H1063,tblReceipts[Lot Number],"&lt;="&amp;Receipts!$C1066))</f>
        <v/>
      </c>
      <c r="K1063" s="26" t="str">
        <f>IF($A1063="","",SUMIFS(tblReceipts[Qty Received],tblReceipts[Item Name],$A1063,tblReceipts[Expiry Date],"&lt;"&amp;$H1063)+SUMIFS(tblReceipts[Qty Received],tblReceipts[Item Name],$A1063,tblReceipts[Expiry Date],$H1063,tblReceipts[Lot Number],"&lt;"&amp;Receipts!$C1066))</f>
        <v/>
      </c>
      <c r="L1063" s="26" t="str">
        <f>IF($A1063="","",MIN($D1063,MAX(0,SUMIFS(tblIssues[Qty Issued],tblIssues[Item Name],$A1063)-$K1063)))</f>
        <v/>
      </c>
      <c r="M1063" s="26" t="str">
        <f>IF($A1063="","",SUMIFS(tblIssues[Qty Issued],tblIssues[Lot Number],$B1063))</f>
        <v/>
      </c>
      <c r="N1063" s="26" t="str">
        <f t="shared" si="82"/>
        <v/>
      </c>
      <c r="O1063" s="26" t="str">
        <f t="shared" si="83"/>
        <v/>
      </c>
      <c r="P1063" s="21" t="str">
        <f t="shared" si="84"/>
        <v/>
      </c>
      <c r="Q1063" s="52" t="str">
        <f>IF($A1063="","",IF($O1063&lt;=0,"Depleted",IF($I1063&lt;0,"EXPIRED",IF($I1063&lt;=Settings!$C$6,"CRITICAL",IF($I1063&lt;=Settings!$C$5,"Expiring","In date")))))</f>
        <v/>
      </c>
    </row>
    <row r="1064" spans="1:17" x14ac:dyDescent="0.35">
      <c r="A1064" s="90" t="str">
        <f>IF(Receipts!$D1067="","",Receipts!$D1067)</f>
        <v/>
      </c>
      <c r="B1064" s="18" t="str">
        <f>IF(Receipts!$C1067="","",Receipts!$C1067)</f>
        <v/>
      </c>
      <c r="C1064" s="18" t="str">
        <f>IF($A1064="","",IFERROR(INDEX(Items!$B$5:$B$597,MATCH($A1064,Items!$A$5:$A$597,0)),""))</f>
        <v/>
      </c>
      <c r="D1064" s="23" t="str">
        <f>IF($A1064="","",N(Receipts!$G1067))</f>
        <v/>
      </c>
      <c r="E1064" s="20" t="str">
        <f>IF($A1064="","",IFERROR(INDEX(Items!$D$5:$D$597,MATCH($A1064,Items!$A$5:$A$597,0)),0))</f>
        <v/>
      </c>
      <c r="F1064" s="21" t="str">
        <f t="shared" si="80"/>
        <v/>
      </c>
      <c r="G1064" s="25" t="str">
        <f>IF(Receipts!$I1067="","",Receipts!$I1067)</f>
        <v/>
      </c>
      <c r="H1064" s="25" t="str">
        <f>IF(Receipts!$H1067="","",Receipts!$H1067)</f>
        <v/>
      </c>
      <c r="I1064" s="26" t="str">
        <f t="shared" ca="1" si="81"/>
        <v/>
      </c>
      <c r="J1064" s="26" t="str">
        <f>IF($A1064="","",COUNTIFS(tblReceipts[Item Name],$A1064,tblReceipts[Expiry Date],"&lt;"&amp;$H1064)+COUNTIFS(tblReceipts[Item Name],$A1064,tblReceipts[Expiry Date],$H1064,tblReceipts[Lot Number],"&lt;="&amp;Receipts!$C1067))</f>
        <v/>
      </c>
      <c r="K1064" s="26" t="str">
        <f>IF($A1064="","",SUMIFS(tblReceipts[Qty Received],tblReceipts[Item Name],$A1064,tblReceipts[Expiry Date],"&lt;"&amp;$H1064)+SUMIFS(tblReceipts[Qty Received],tblReceipts[Item Name],$A1064,tblReceipts[Expiry Date],$H1064,tblReceipts[Lot Number],"&lt;"&amp;Receipts!$C1067))</f>
        <v/>
      </c>
      <c r="L1064" s="26" t="str">
        <f>IF($A1064="","",MIN($D1064,MAX(0,SUMIFS(tblIssues[Qty Issued],tblIssues[Item Name],$A1064)-$K1064)))</f>
        <v/>
      </c>
      <c r="M1064" s="26" t="str">
        <f>IF($A1064="","",SUMIFS(tblIssues[Qty Issued],tblIssues[Lot Number],$B1064))</f>
        <v/>
      </c>
      <c r="N1064" s="26" t="str">
        <f t="shared" si="82"/>
        <v/>
      </c>
      <c r="O1064" s="26" t="str">
        <f t="shared" si="83"/>
        <v/>
      </c>
      <c r="P1064" s="21" t="str">
        <f t="shared" si="84"/>
        <v/>
      </c>
      <c r="Q1064" s="52" t="str">
        <f>IF($A1064="","",IF($O1064&lt;=0,"Depleted",IF($I1064&lt;0,"EXPIRED",IF($I1064&lt;=Settings!$C$6,"CRITICAL",IF($I1064&lt;=Settings!$C$5,"Expiring","In date")))))</f>
        <v/>
      </c>
    </row>
    <row r="1065" spans="1:17" x14ac:dyDescent="0.35">
      <c r="A1065" s="90" t="str">
        <f>IF(Receipts!$D1068="","",Receipts!$D1068)</f>
        <v/>
      </c>
      <c r="B1065" s="18" t="str">
        <f>IF(Receipts!$C1068="","",Receipts!$C1068)</f>
        <v/>
      </c>
      <c r="C1065" s="18" t="str">
        <f>IF($A1065="","",IFERROR(INDEX(Items!$B$5:$B$597,MATCH($A1065,Items!$A$5:$A$597,0)),""))</f>
        <v/>
      </c>
      <c r="D1065" s="23" t="str">
        <f>IF($A1065="","",N(Receipts!$G1068))</f>
        <v/>
      </c>
      <c r="E1065" s="20" t="str">
        <f>IF($A1065="","",IFERROR(INDEX(Items!$D$5:$D$597,MATCH($A1065,Items!$A$5:$A$597,0)),0))</f>
        <v/>
      </c>
      <c r="F1065" s="21" t="str">
        <f t="shared" si="80"/>
        <v/>
      </c>
      <c r="G1065" s="25" t="str">
        <f>IF(Receipts!$I1068="","",Receipts!$I1068)</f>
        <v/>
      </c>
      <c r="H1065" s="25" t="str">
        <f>IF(Receipts!$H1068="","",Receipts!$H1068)</f>
        <v/>
      </c>
      <c r="I1065" s="26" t="str">
        <f t="shared" ca="1" si="81"/>
        <v/>
      </c>
      <c r="J1065" s="26" t="str">
        <f>IF($A1065="","",COUNTIFS(tblReceipts[Item Name],$A1065,tblReceipts[Expiry Date],"&lt;"&amp;$H1065)+COUNTIFS(tblReceipts[Item Name],$A1065,tblReceipts[Expiry Date],$H1065,tblReceipts[Lot Number],"&lt;="&amp;Receipts!$C1068))</f>
        <v/>
      </c>
      <c r="K1065" s="26" t="str">
        <f>IF($A1065="","",SUMIFS(tblReceipts[Qty Received],tblReceipts[Item Name],$A1065,tblReceipts[Expiry Date],"&lt;"&amp;$H1065)+SUMIFS(tblReceipts[Qty Received],tblReceipts[Item Name],$A1065,tblReceipts[Expiry Date],$H1065,tblReceipts[Lot Number],"&lt;"&amp;Receipts!$C1068))</f>
        <v/>
      </c>
      <c r="L1065" s="26" t="str">
        <f>IF($A1065="","",MIN($D1065,MAX(0,SUMIFS(tblIssues[Qty Issued],tblIssues[Item Name],$A1065)-$K1065)))</f>
        <v/>
      </c>
      <c r="M1065" s="26" t="str">
        <f>IF($A1065="","",SUMIFS(tblIssues[Qty Issued],tblIssues[Lot Number],$B1065))</f>
        <v/>
      </c>
      <c r="N1065" s="26" t="str">
        <f t="shared" si="82"/>
        <v/>
      </c>
      <c r="O1065" s="26" t="str">
        <f t="shared" si="83"/>
        <v/>
      </c>
      <c r="P1065" s="21" t="str">
        <f t="shared" si="84"/>
        <v/>
      </c>
      <c r="Q1065" s="52" t="str">
        <f>IF($A1065="","",IF($O1065&lt;=0,"Depleted",IF($I1065&lt;0,"EXPIRED",IF($I1065&lt;=Settings!$C$6,"CRITICAL",IF($I1065&lt;=Settings!$C$5,"Expiring","In date")))))</f>
        <v/>
      </c>
    </row>
    <row r="1066" spans="1:17" x14ac:dyDescent="0.35">
      <c r="A1066" s="90" t="str">
        <f>IF(Receipts!$D1069="","",Receipts!$D1069)</f>
        <v/>
      </c>
      <c r="B1066" s="18" t="str">
        <f>IF(Receipts!$C1069="","",Receipts!$C1069)</f>
        <v/>
      </c>
      <c r="C1066" s="18" t="str">
        <f>IF($A1066="","",IFERROR(INDEX(Items!$B$5:$B$597,MATCH($A1066,Items!$A$5:$A$597,0)),""))</f>
        <v/>
      </c>
      <c r="D1066" s="23" t="str">
        <f>IF($A1066="","",N(Receipts!$G1069))</f>
        <v/>
      </c>
      <c r="E1066" s="20" t="str">
        <f>IF($A1066="","",IFERROR(INDEX(Items!$D$5:$D$597,MATCH($A1066,Items!$A$5:$A$597,0)),0))</f>
        <v/>
      </c>
      <c r="F1066" s="21" t="str">
        <f t="shared" si="80"/>
        <v/>
      </c>
      <c r="G1066" s="25" t="str">
        <f>IF(Receipts!$I1069="","",Receipts!$I1069)</f>
        <v/>
      </c>
      <c r="H1066" s="25" t="str">
        <f>IF(Receipts!$H1069="","",Receipts!$H1069)</f>
        <v/>
      </c>
      <c r="I1066" s="26" t="str">
        <f t="shared" ca="1" si="81"/>
        <v/>
      </c>
      <c r="J1066" s="26" t="str">
        <f>IF($A1066="","",COUNTIFS(tblReceipts[Item Name],$A1066,tblReceipts[Expiry Date],"&lt;"&amp;$H1066)+COUNTIFS(tblReceipts[Item Name],$A1066,tblReceipts[Expiry Date],$H1066,tblReceipts[Lot Number],"&lt;="&amp;Receipts!$C1069))</f>
        <v/>
      </c>
      <c r="K1066" s="26" t="str">
        <f>IF($A1066="","",SUMIFS(tblReceipts[Qty Received],tblReceipts[Item Name],$A1066,tblReceipts[Expiry Date],"&lt;"&amp;$H1066)+SUMIFS(tblReceipts[Qty Received],tblReceipts[Item Name],$A1066,tblReceipts[Expiry Date],$H1066,tblReceipts[Lot Number],"&lt;"&amp;Receipts!$C1069))</f>
        <v/>
      </c>
      <c r="L1066" s="26" t="str">
        <f>IF($A1066="","",MIN($D1066,MAX(0,SUMIFS(tblIssues[Qty Issued],tblIssues[Item Name],$A1066)-$K1066)))</f>
        <v/>
      </c>
      <c r="M1066" s="26" t="str">
        <f>IF($A1066="","",SUMIFS(tblIssues[Qty Issued],tblIssues[Lot Number],$B1066))</f>
        <v/>
      </c>
      <c r="N1066" s="26" t="str">
        <f t="shared" si="82"/>
        <v/>
      </c>
      <c r="O1066" s="26" t="str">
        <f t="shared" si="83"/>
        <v/>
      </c>
      <c r="P1066" s="21" t="str">
        <f t="shared" si="84"/>
        <v/>
      </c>
      <c r="Q1066" s="52" t="str">
        <f>IF($A1066="","",IF($O1066&lt;=0,"Depleted",IF($I1066&lt;0,"EXPIRED",IF($I1066&lt;=Settings!$C$6,"CRITICAL",IF($I1066&lt;=Settings!$C$5,"Expiring","In date")))))</f>
        <v/>
      </c>
    </row>
    <row r="1067" spans="1:17" x14ac:dyDescent="0.35">
      <c r="A1067" s="90" t="str">
        <f>IF(Receipts!$D1070="","",Receipts!$D1070)</f>
        <v/>
      </c>
      <c r="B1067" s="18" t="str">
        <f>IF(Receipts!$C1070="","",Receipts!$C1070)</f>
        <v/>
      </c>
      <c r="C1067" s="18" t="str">
        <f>IF($A1067="","",IFERROR(INDEX(Items!$B$5:$B$597,MATCH($A1067,Items!$A$5:$A$597,0)),""))</f>
        <v/>
      </c>
      <c r="D1067" s="23" t="str">
        <f>IF($A1067="","",N(Receipts!$G1070))</f>
        <v/>
      </c>
      <c r="E1067" s="20" t="str">
        <f>IF($A1067="","",IFERROR(INDEX(Items!$D$5:$D$597,MATCH($A1067,Items!$A$5:$A$597,0)),0))</f>
        <v/>
      </c>
      <c r="F1067" s="21" t="str">
        <f t="shared" si="80"/>
        <v/>
      </c>
      <c r="G1067" s="25" t="str">
        <f>IF(Receipts!$I1070="","",Receipts!$I1070)</f>
        <v/>
      </c>
      <c r="H1067" s="25" t="str">
        <f>IF(Receipts!$H1070="","",Receipts!$H1070)</f>
        <v/>
      </c>
      <c r="I1067" s="26" t="str">
        <f t="shared" ca="1" si="81"/>
        <v/>
      </c>
      <c r="J1067" s="26" t="str">
        <f>IF($A1067="","",COUNTIFS(tblReceipts[Item Name],$A1067,tblReceipts[Expiry Date],"&lt;"&amp;$H1067)+COUNTIFS(tblReceipts[Item Name],$A1067,tblReceipts[Expiry Date],$H1067,tblReceipts[Lot Number],"&lt;="&amp;Receipts!$C1070))</f>
        <v/>
      </c>
      <c r="K1067" s="26" t="str">
        <f>IF($A1067="","",SUMIFS(tblReceipts[Qty Received],tblReceipts[Item Name],$A1067,tblReceipts[Expiry Date],"&lt;"&amp;$H1067)+SUMIFS(tblReceipts[Qty Received],tblReceipts[Item Name],$A1067,tblReceipts[Expiry Date],$H1067,tblReceipts[Lot Number],"&lt;"&amp;Receipts!$C1070))</f>
        <v/>
      </c>
      <c r="L1067" s="26" t="str">
        <f>IF($A1067="","",MIN($D1067,MAX(0,SUMIFS(tblIssues[Qty Issued],tblIssues[Item Name],$A1067)-$K1067)))</f>
        <v/>
      </c>
      <c r="M1067" s="26" t="str">
        <f>IF($A1067="","",SUMIFS(tblIssues[Qty Issued],tblIssues[Lot Number],$B1067))</f>
        <v/>
      </c>
      <c r="N1067" s="26" t="str">
        <f t="shared" si="82"/>
        <v/>
      </c>
      <c r="O1067" s="26" t="str">
        <f t="shared" si="83"/>
        <v/>
      </c>
      <c r="P1067" s="21" t="str">
        <f t="shared" si="84"/>
        <v/>
      </c>
      <c r="Q1067" s="52" t="str">
        <f>IF($A1067="","",IF($O1067&lt;=0,"Depleted",IF($I1067&lt;0,"EXPIRED",IF($I1067&lt;=Settings!$C$6,"CRITICAL",IF($I1067&lt;=Settings!$C$5,"Expiring","In date")))))</f>
        <v/>
      </c>
    </row>
    <row r="1068" spans="1:17" x14ac:dyDescent="0.35">
      <c r="A1068" s="90" t="str">
        <f>IF(Receipts!$D1071="","",Receipts!$D1071)</f>
        <v/>
      </c>
      <c r="B1068" s="18" t="str">
        <f>IF(Receipts!$C1071="","",Receipts!$C1071)</f>
        <v/>
      </c>
      <c r="C1068" s="18" t="str">
        <f>IF($A1068="","",IFERROR(INDEX(Items!$B$5:$B$597,MATCH($A1068,Items!$A$5:$A$597,0)),""))</f>
        <v/>
      </c>
      <c r="D1068" s="23" t="str">
        <f>IF($A1068="","",N(Receipts!$G1071))</f>
        <v/>
      </c>
      <c r="E1068" s="20" t="str">
        <f>IF($A1068="","",IFERROR(INDEX(Items!$D$5:$D$597,MATCH($A1068,Items!$A$5:$A$597,0)),0))</f>
        <v/>
      </c>
      <c r="F1068" s="21" t="str">
        <f t="shared" si="80"/>
        <v/>
      </c>
      <c r="G1068" s="25" t="str">
        <f>IF(Receipts!$I1071="","",Receipts!$I1071)</f>
        <v/>
      </c>
      <c r="H1068" s="25" t="str">
        <f>IF(Receipts!$H1071="","",Receipts!$H1071)</f>
        <v/>
      </c>
      <c r="I1068" s="26" t="str">
        <f t="shared" ca="1" si="81"/>
        <v/>
      </c>
      <c r="J1068" s="26" t="str">
        <f>IF($A1068="","",COUNTIFS(tblReceipts[Item Name],$A1068,tblReceipts[Expiry Date],"&lt;"&amp;$H1068)+COUNTIFS(tblReceipts[Item Name],$A1068,tblReceipts[Expiry Date],$H1068,tblReceipts[Lot Number],"&lt;="&amp;Receipts!$C1071))</f>
        <v/>
      </c>
      <c r="K1068" s="26" t="str">
        <f>IF($A1068="","",SUMIFS(tblReceipts[Qty Received],tblReceipts[Item Name],$A1068,tblReceipts[Expiry Date],"&lt;"&amp;$H1068)+SUMIFS(tblReceipts[Qty Received],tblReceipts[Item Name],$A1068,tblReceipts[Expiry Date],$H1068,tblReceipts[Lot Number],"&lt;"&amp;Receipts!$C1071))</f>
        <v/>
      </c>
      <c r="L1068" s="26" t="str">
        <f>IF($A1068="","",MIN($D1068,MAX(0,SUMIFS(tblIssues[Qty Issued],tblIssues[Item Name],$A1068)-$K1068)))</f>
        <v/>
      </c>
      <c r="M1068" s="26" t="str">
        <f>IF($A1068="","",SUMIFS(tblIssues[Qty Issued],tblIssues[Lot Number],$B1068))</f>
        <v/>
      </c>
      <c r="N1068" s="26" t="str">
        <f t="shared" si="82"/>
        <v/>
      </c>
      <c r="O1068" s="26" t="str">
        <f t="shared" si="83"/>
        <v/>
      </c>
      <c r="P1068" s="21" t="str">
        <f t="shared" si="84"/>
        <v/>
      </c>
      <c r="Q1068" s="52" t="str">
        <f>IF($A1068="","",IF($O1068&lt;=0,"Depleted",IF($I1068&lt;0,"EXPIRED",IF($I1068&lt;=Settings!$C$6,"CRITICAL",IF($I1068&lt;=Settings!$C$5,"Expiring","In date")))))</f>
        <v/>
      </c>
    </row>
    <row r="1069" spans="1:17" x14ac:dyDescent="0.35">
      <c r="A1069" s="90" t="str">
        <f>IF(Receipts!$D1072="","",Receipts!$D1072)</f>
        <v/>
      </c>
      <c r="B1069" s="18" t="str">
        <f>IF(Receipts!$C1072="","",Receipts!$C1072)</f>
        <v/>
      </c>
      <c r="C1069" s="18" t="str">
        <f>IF($A1069="","",IFERROR(INDEX(Items!$B$5:$B$597,MATCH($A1069,Items!$A$5:$A$597,0)),""))</f>
        <v/>
      </c>
      <c r="D1069" s="23" t="str">
        <f>IF($A1069="","",N(Receipts!$G1072))</f>
        <v/>
      </c>
      <c r="E1069" s="20" t="str">
        <f>IF($A1069="","",IFERROR(INDEX(Items!$D$5:$D$597,MATCH($A1069,Items!$A$5:$A$597,0)),0))</f>
        <v/>
      </c>
      <c r="F1069" s="21" t="str">
        <f t="shared" si="80"/>
        <v/>
      </c>
      <c r="G1069" s="25" t="str">
        <f>IF(Receipts!$I1072="","",Receipts!$I1072)</f>
        <v/>
      </c>
      <c r="H1069" s="25" t="str">
        <f>IF(Receipts!$H1072="","",Receipts!$H1072)</f>
        <v/>
      </c>
      <c r="I1069" s="26" t="str">
        <f t="shared" ca="1" si="81"/>
        <v/>
      </c>
      <c r="J1069" s="26" t="str">
        <f>IF($A1069="","",COUNTIFS(tblReceipts[Item Name],$A1069,tblReceipts[Expiry Date],"&lt;"&amp;$H1069)+COUNTIFS(tblReceipts[Item Name],$A1069,tblReceipts[Expiry Date],$H1069,tblReceipts[Lot Number],"&lt;="&amp;Receipts!$C1072))</f>
        <v/>
      </c>
      <c r="K1069" s="26" t="str">
        <f>IF($A1069="","",SUMIFS(tblReceipts[Qty Received],tblReceipts[Item Name],$A1069,tblReceipts[Expiry Date],"&lt;"&amp;$H1069)+SUMIFS(tblReceipts[Qty Received],tblReceipts[Item Name],$A1069,tblReceipts[Expiry Date],$H1069,tblReceipts[Lot Number],"&lt;"&amp;Receipts!$C1072))</f>
        <v/>
      </c>
      <c r="L1069" s="26" t="str">
        <f>IF($A1069="","",MIN($D1069,MAX(0,SUMIFS(tblIssues[Qty Issued],tblIssues[Item Name],$A1069)-$K1069)))</f>
        <v/>
      </c>
      <c r="M1069" s="26" t="str">
        <f>IF($A1069="","",SUMIFS(tblIssues[Qty Issued],tblIssues[Lot Number],$B1069))</f>
        <v/>
      </c>
      <c r="N1069" s="26" t="str">
        <f t="shared" si="82"/>
        <v/>
      </c>
      <c r="O1069" s="26" t="str">
        <f t="shared" si="83"/>
        <v/>
      </c>
      <c r="P1069" s="21" t="str">
        <f t="shared" si="84"/>
        <v/>
      </c>
      <c r="Q1069" s="52" t="str">
        <f>IF($A1069="","",IF($O1069&lt;=0,"Depleted",IF($I1069&lt;0,"EXPIRED",IF($I1069&lt;=Settings!$C$6,"CRITICAL",IF($I1069&lt;=Settings!$C$5,"Expiring","In date")))))</f>
        <v/>
      </c>
    </row>
    <row r="1070" spans="1:17" x14ac:dyDescent="0.35">
      <c r="A1070" s="90" t="str">
        <f>IF(Receipts!$D1073="","",Receipts!$D1073)</f>
        <v/>
      </c>
      <c r="B1070" s="18" t="str">
        <f>IF(Receipts!$C1073="","",Receipts!$C1073)</f>
        <v/>
      </c>
      <c r="C1070" s="18" t="str">
        <f>IF($A1070="","",IFERROR(INDEX(Items!$B$5:$B$597,MATCH($A1070,Items!$A$5:$A$597,0)),""))</f>
        <v/>
      </c>
      <c r="D1070" s="23" t="str">
        <f>IF($A1070="","",N(Receipts!$G1073))</f>
        <v/>
      </c>
      <c r="E1070" s="20" t="str">
        <f>IF($A1070="","",IFERROR(INDEX(Items!$D$5:$D$597,MATCH($A1070,Items!$A$5:$A$597,0)),0))</f>
        <v/>
      </c>
      <c r="F1070" s="21" t="str">
        <f t="shared" si="80"/>
        <v/>
      </c>
      <c r="G1070" s="25" t="str">
        <f>IF(Receipts!$I1073="","",Receipts!$I1073)</f>
        <v/>
      </c>
      <c r="H1070" s="25" t="str">
        <f>IF(Receipts!$H1073="","",Receipts!$H1073)</f>
        <v/>
      </c>
      <c r="I1070" s="26" t="str">
        <f t="shared" ca="1" si="81"/>
        <v/>
      </c>
      <c r="J1070" s="26" t="str">
        <f>IF($A1070="","",COUNTIFS(tblReceipts[Item Name],$A1070,tblReceipts[Expiry Date],"&lt;"&amp;$H1070)+COUNTIFS(tblReceipts[Item Name],$A1070,tblReceipts[Expiry Date],$H1070,tblReceipts[Lot Number],"&lt;="&amp;Receipts!$C1073))</f>
        <v/>
      </c>
      <c r="K1070" s="26" t="str">
        <f>IF($A1070="","",SUMIFS(tblReceipts[Qty Received],tblReceipts[Item Name],$A1070,tblReceipts[Expiry Date],"&lt;"&amp;$H1070)+SUMIFS(tblReceipts[Qty Received],tblReceipts[Item Name],$A1070,tblReceipts[Expiry Date],$H1070,tblReceipts[Lot Number],"&lt;"&amp;Receipts!$C1073))</f>
        <v/>
      </c>
      <c r="L1070" s="26" t="str">
        <f>IF($A1070="","",MIN($D1070,MAX(0,SUMIFS(tblIssues[Qty Issued],tblIssues[Item Name],$A1070)-$K1070)))</f>
        <v/>
      </c>
      <c r="M1070" s="26" t="str">
        <f>IF($A1070="","",SUMIFS(tblIssues[Qty Issued],tblIssues[Lot Number],$B1070))</f>
        <v/>
      </c>
      <c r="N1070" s="26" t="str">
        <f t="shared" si="82"/>
        <v/>
      </c>
      <c r="O1070" s="26" t="str">
        <f t="shared" si="83"/>
        <v/>
      </c>
      <c r="P1070" s="21" t="str">
        <f t="shared" si="84"/>
        <v/>
      </c>
      <c r="Q1070" s="52" t="str">
        <f>IF($A1070="","",IF($O1070&lt;=0,"Depleted",IF($I1070&lt;0,"EXPIRED",IF($I1070&lt;=Settings!$C$6,"CRITICAL",IF($I1070&lt;=Settings!$C$5,"Expiring","In date")))))</f>
        <v/>
      </c>
    </row>
    <row r="1071" spans="1:17" x14ac:dyDescent="0.35">
      <c r="A1071" s="90" t="str">
        <f>IF(Receipts!$D1074="","",Receipts!$D1074)</f>
        <v/>
      </c>
      <c r="B1071" s="18" t="str">
        <f>IF(Receipts!$C1074="","",Receipts!$C1074)</f>
        <v/>
      </c>
      <c r="C1071" s="18" t="str">
        <f>IF($A1071="","",IFERROR(INDEX(Items!$B$5:$B$597,MATCH($A1071,Items!$A$5:$A$597,0)),""))</f>
        <v/>
      </c>
      <c r="D1071" s="23" t="str">
        <f>IF($A1071="","",N(Receipts!$G1074))</f>
        <v/>
      </c>
      <c r="E1071" s="20" t="str">
        <f>IF($A1071="","",IFERROR(INDEX(Items!$D$5:$D$597,MATCH($A1071,Items!$A$5:$A$597,0)),0))</f>
        <v/>
      </c>
      <c r="F1071" s="21" t="str">
        <f t="shared" si="80"/>
        <v/>
      </c>
      <c r="G1071" s="25" t="str">
        <f>IF(Receipts!$I1074="","",Receipts!$I1074)</f>
        <v/>
      </c>
      <c r="H1071" s="25" t="str">
        <f>IF(Receipts!$H1074="","",Receipts!$H1074)</f>
        <v/>
      </c>
      <c r="I1071" s="26" t="str">
        <f t="shared" ca="1" si="81"/>
        <v/>
      </c>
      <c r="J1071" s="26" t="str">
        <f>IF($A1071="","",COUNTIFS(tblReceipts[Item Name],$A1071,tblReceipts[Expiry Date],"&lt;"&amp;$H1071)+COUNTIFS(tblReceipts[Item Name],$A1071,tblReceipts[Expiry Date],$H1071,tblReceipts[Lot Number],"&lt;="&amp;Receipts!$C1074))</f>
        <v/>
      </c>
      <c r="K1071" s="26" t="str">
        <f>IF($A1071="","",SUMIFS(tblReceipts[Qty Received],tblReceipts[Item Name],$A1071,tblReceipts[Expiry Date],"&lt;"&amp;$H1071)+SUMIFS(tblReceipts[Qty Received],tblReceipts[Item Name],$A1071,tblReceipts[Expiry Date],$H1071,tblReceipts[Lot Number],"&lt;"&amp;Receipts!$C1074))</f>
        <v/>
      </c>
      <c r="L1071" s="26" t="str">
        <f>IF($A1071="","",MIN($D1071,MAX(0,SUMIFS(tblIssues[Qty Issued],tblIssues[Item Name],$A1071)-$K1071)))</f>
        <v/>
      </c>
      <c r="M1071" s="26" t="str">
        <f>IF($A1071="","",SUMIFS(tblIssues[Qty Issued],tblIssues[Lot Number],$B1071))</f>
        <v/>
      </c>
      <c r="N1071" s="26" t="str">
        <f t="shared" si="82"/>
        <v/>
      </c>
      <c r="O1071" s="26" t="str">
        <f t="shared" si="83"/>
        <v/>
      </c>
      <c r="P1071" s="21" t="str">
        <f t="shared" si="84"/>
        <v/>
      </c>
      <c r="Q1071" s="52" t="str">
        <f>IF($A1071="","",IF($O1071&lt;=0,"Depleted",IF($I1071&lt;0,"EXPIRED",IF($I1071&lt;=Settings!$C$6,"CRITICAL",IF($I1071&lt;=Settings!$C$5,"Expiring","In date")))))</f>
        <v/>
      </c>
    </row>
    <row r="1072" spans="1:17" x14ac:dyDescent="0.35">
      <c r="A1072" s="90" t="str">
        <f>IF(Receipts!$D1075="","",Receipts!$D1075)</f>
        <v/>
      </c>
      <c r="B1072" s="18" t="str">
        <f>IF(Receipts!$C1075="","",Receipts!$C1075)</f>
        <v/>
      </c>
      <c r="C1072" s="18" t="str">
        <f>IF($A1072="","",IFERROR(INDEX(Items!$B$5:$B$597,MATCH($A1072,Items!$A$5:$A$597,0)),""))</f>
        <v/>
      </c>
      <c r="D1072" s="23" t="str">
        <f>IF($A1072="","",N(Receipts!$G1075))</f>
        <v/>
      </c>
      <c r="E1072" s="20" t="str">
        <f>IF($A1072="","",IFERROR(INDEX(Items!$D$5:$D$597,MATCH($A1072,Items!$A$5:$A$597,0)),0))</f>
        <v/>
      </c>
      <c r="F1072" s="21" t="str">
        <f t="shared" si="80"/>
        <v/>
      </c>
      <c r="G1072" s="25" t="str">
        <f>IF(Receipts!$I1075="","",Receipts!$I1075)</f>
        <v/>
      </c>
      <c r="H1072" s="25" t="str">
        <f>IF(Receipts!$H1075="","",Receipts!$H1075)</f>
        <v/>
      </c>
      <c r="I1072" s="26" t="str">
        <f t="shared" ca="1" si="81"/>
        <v/>
      </c>
      <c r="J1072" s="26" t="str">
        <f>IF($A1072="","",COUNTIFS(tblReceipts[Item Name],$A1072,tblReceipts[Expiry Date],"&lt;"&amp;$H1072)+COUNTIFS(tblReceipts[Item Name],$A1072,tblReceipts[Expiry Date],$H1072,tblReceipts[Lot Number],"&lt;="&amp;Receipts!$C1075))</f>
        <v/>
      </c>
      <c r="K1072" s="26" t="str">
        <f>IF($A1072="","",SUMIFS(tblReceipts[Qty Received],tblReceipts[Item Name],$A1072,tblReceipts[Expiry Date],"&lt;"&amp;$H1072)+SUMIFS(tblReceipts[Qty Received],tblReceipts[Item Name],$A1072,tblReceipts[Expiry Date],$H1072,tblReceipts[Lot Number],"&lt;"&amp;Receipts!$C1075))</f>
        <v/>
      </c>
      <c r="L1072" s="26" t="str">
        <f>IF($A1072="","",MIN($D1072,MAX(0,SUMIFS(tblIssues[Qty Issued],tblIssues[Item Name],$A1072)-$K1072)))</f>
        <v/>
      </c>
      <c r="M1072" s="26" t="str">
        <f>IF($A1072="","",SUMIFS(tblIssues[Qty Issued],tblIssues[Lot Number],$B1072))</f>
        <v/>
      </c>
      <c r="N1072" s="26" t="str">
        <f t="shared" si="82"/>
        <v/>
      </c>
      <c r="O1072" s="26" t="str">
        <f t="shared" si="83"/>
        <v/>
      </c>
      <c r="P1072" s="21" t="str">
        <f t="shared" si="84"/>
        <v/>
      </c>
      <c r="Q1072" s="52" t="str">
        <f>IF($A1072="","",IF($O1072&lt;=0,"Depleted",IF($I1072&lt;0,"EXPIRED",IF($I1072&lt;=Settings!$C$6,"CRITICAL",IF($I1072&lt;=Settings!$C$5,"Expiring","In date")))))</f>
        <v/>
      </c>
    </row>
    <row r="1073" spans="1:17" x14ac:dyDescent="0.35">
      <c r="A1073" s="90" t="str">
        <f>IF(Receipts!$D1076="","",Receipts!$D1076)</f>
        <v/>
      </c>
      <c r="B1073" s="18" t="str">
        <f>IF(Receipts!$C1076="","",Receipts!$C1076)</f>
        <v/>
      </c>
      <c r="C1073" s="18" t="str">
        <f>IF($A1073="","",IFERROR(INDEX(Items!$B$5:$B$597,MATCH($A1073,Items!$A$5:$A$597,0)),""))</f>
        <v/>
      </c>
      <c r="D1073" s="23" t="str">
        <f>IF($A1073="","",N(Receipts!$G1076))</f>
        <v/>
      </c>
      <c r="E1073" s="20" t="str">
        <f>IF($A1073="","",IFERROR(INDEX(Items!$D$5:$D$597,MATCH($A1073,Items!$A$5:$A$597,0)),0))</f>
        <v/>
      </c>
      <c r="F1073" s="21" t="str">
        <f t="shared" si="80"/>
        <v/>
      </c>
      <c r="G1073" s="25" t="str">
        <f>IF(Receipts!$I1076="","",Receipts!$I1076)</f>
        <v/>
      </c>
      <c r="H1073" s="25" t="str">
        <f>IF(Receipts!$H1076="","",Receipts!$H1076)</f>
        <v/>
      </c>
      <c r="I1073" s="26" t="str">
        <f t="shared" ca="1" si="81"/>
        <v/>
      </c>
      <c r="J1073" s="26" t="str">
        <f>IF($A1073="","",COUNTIFS(tblReceipts[Item Name],$A1073,tblReceipts[Expiry Date],"&lt;"&amp;$H1073)+COUNTIFS(tblReceipts[Item Name],$A1073,tblReceipts[Expiry Date],$H1073,tblReceipts[Lot Number],"&lt;="&amp;Receipts!$C1076))</f>
        <v/>
      </c>
      <c r="K1073" s="26" t="str">
        <f>IF($A1073="","",SUMIFS(tblReceipts[Qty Received],tblReceipts[Item Name],$A1073,tblReceipts[Expiry Date],"&lt;"&amp;$H1073)+SUMIFS(tblReceipts[Qty Received],tblReceipts[Item Name],$A1073,tblReceipts[Expiry Date],$H1073,tblReceipts[Lot Number],"&lt;"&amp;Receipts!$C1076))</f>
        <v/>
      </c>
      <c r="L1073" s="26" t="str">
        <f>IF($A1073="","",MIN($D1073,MAX(0,SUMIFS(tblIssues[Qty Issued],tblIssues[Item Name],$A1073)-$K1073)))</f>
        <v/>
      </c>
      <c r="M1073" s="26" t="str">
        <f>IF($A1073="","",SUMIFS(tblIssues[Qty Issued],tblIssues[Lot Number],$B1073))</f>
        <v/>
      </c>
      <c r="N1073" s="26" t="str">
        <f t="shared" si="82"/>
        <v/>
      </c>
      <c r="O1073" s="26" t="str">
        <f t="shared" si="83"/>
        <v/>
      </c>
      <c r="P1073" s="21" t="str">
        <f t="shared" si="84"/>
        <v/>
      </c>
      <c r="Q1073" s="52" t="str">
        <f>IF($A1073="","",IF($O1073&lt;=0,"Depleted",IF($I1073&lt;0,"EXPIRED",IF($I1073&lt;=Settings!$C$6,"CRITICAL",IF($I1073&lt;=Settings!$C$5,"Expiring","In date")))))</f>
        <v/>
      </c>
    </row>
    <row r="1074" spans="1:17" x14ac:dyDescent="0.35">
      <c r="A1074" s="90" t="str">
        <f>IF(Receipts!$D1077="","",Receipts!$D1077)</f>
        <v/>
      </c>
      <c r="B1074" s="18" t="str">
        <f>IF(Receipts!$C1077="","",Receipts!$C1077)</f>
        <v/>
      </c>
      <c r="C1074" s="18" t="str">
        <f>IF($A1074="","",IFERROR(INDEX(Items!$B$5:$B$597,MATCH($A1074,Items!$A$5:$A$597,0)),""))</f>
        <v/>
      </c>
      <c r="D1074" s="23" t="str">
        <f>IF($A1074="","",N(Receipts!$G1077))</f>
        <v/>
      </c>
      <c r="E1074" s="20" t="str">
        <f>IF($A1074="","",IFERROR(INDEX(Items!$D$5:$D$597,MATCH($A1074,Items!$A$5:$A$597,0)),0))</f>
        <v/>
      </c>
      <c r="F1074" s="21" t="str">
        <f t="shared" si="80"/>
        <v/>
      </c>
      <c r="G1074" s="25" t="str">
        <f>IF(Receipts!$I1077="","",Receipts!$I1077)</f>
        <v/>
      </c>
      <c r="H1074" s="25" t="str">
        <f>IF(Receipts!$H1077="","",Receipts!$H1077)</f>
        <v/>
      </c>
      <c r="I1074" s="26" t="str">
        <f t="shared" ca="1" si="81"/>
        <v/>
      </c>
      <c r="J1074" s="26" t="str">
        <f>IF($A1074="","",COUNTIFS(tblReceipts[Item Name],$A1074,tblReceipts[Expiry Date],"&lt;"&amp;$H1074)+COUNTIFS(tblReceipts[Item Name],$A1074,tblReceipts[Expiry Date],$H1074,tblReceipts[Lot Number],"&lt;="&amp;Receipts!$C1077))</f>
        <v/>
      </c>
      <c r="K1074" s="26" t="str">
        <f>IF($A1074="","",SUMIFS(tblReceipts[Qty Received],tblReceipts[Item Name],$A1074,tblReceipts[Expiry Date],"&lt;"&amp;$H1074)+SUMIFS(tblReceipts[Qty Received],tblReceipts[Item Name],$A1074,tblReceipts[Expiry Date],$H1074,tblReceipts[Lot Number],"&lt;"&amp;Receipts!$C1077))</f>
        <v/>
      </c>
      <c r="L1074" s="26" t="str">
        <f>IF($A1074="","",MIN($D1074,MAX(0,SUMIFS(tblIssues[Qty Issued],tblIssues[Item Name],$A1074)-$K1074)))</f>
        <v/>
      </c>
      <c r="M1074" s="26" t="str">
        <f>IF($A1074="","",SUMIFS(tblIssues[Qty Issued],tblIssues[Lot Number],$B1074))</f>
        <v/>
      </c>
      <c r="N1074" s="26" t="str">
        <f t="shared" si="82"/>
        <v/>
      </c>
      <c r="O1074" s="26" t="str">
        <f t="shared" si="83"/>
        <v/>
      </c>
      <c r="P1074" s="21" t="str">
        <f t="shared" si="84"/>
        <v/>
      </c>
      <c r="Q1074" s="52" t="str">
        <f>IF($A1074="","",IF($O1074&lt;=0,"Depleted",IF($I1074&lt;0,"EXPIRED",IF($I1074&lt;=Settings!$C$6,"CRITICAL",IF($I1074&lt;=Settings!$C$5,"Expiring","In date")))))</f>
        <v/>
      </c>
    </row>
    <row r="1075" spans="1:17" x14ac:dyDescent="0.35">
      <c r="A1075" s="90" t="str">
        <f>IF(Receipts!$D1078="","",Receipts!$D1078)</f>
        <v/>
      </c>
      <c r="B1075" s="18" t="str">
        <f>IF(Receipts!$C1078="","",Receipts!$C1078)</f>
        <v/>
      </c>
      <c r="C1075" s="18" t="str">
        <f>IF($A1075="","",IFERROR(INDEX(Items!$B$5:$B$597,MATCH($A1075,Items!$A$5:$A$597,0)),""))</f>
        <v/>
      </c>
      <c r="D1075" s="23" t="str">
        <f>IF($A1075="","",N(Receipts!$G1078))</f>
        <v/>
      </c>
      <c r="E1075" s="20" t="str">
        <f>IF($A1075="","",IFERROR(INDEX(Items!$D$5:$D$597,MATCH($A1075,Items!$A$5:$A$597,0)),0))</f>
        <v/>
      </c>
      <c r="F1075" s="21" t="str">
        <f t="shared" si="80"/>
        <v/>
      </c>
      <c r="G1075" s="25" t="str">
        <f>IF(Receipts!$I1078="","",Receipts!$I1078)</f>
        <v/>
      </c>
      <c r="H1075" s="25" t="str">
        <f>IF(Receipts!$H1078="","",Receipts!$H1078)</f>
        <v/>
      </c>
      <c r="I1075" s="26" t="str">
        <f t="shared" ca="1" si="81"/>
        <v/>
      </c>
      <c r="J1075" s="26" t="str">
        <f>IF($A1075="","",COUNTIFS(tblReceipts[Item Name],$A1075,tblReceipts[Expiry Date],"&lt;"&amp;$H1075)+COUNTIFS(tblReceipts[Item Name],$A1075,tblReceipts[Expiry Date],$H1075,tblReceipts[Lot Number],"&lt;="&amp;Receipts!$C1078))</f>
        <v/>
      </c>
      <c r="K1075" s="26" t="str">
        <f>IF($A1075="","",SUMIFS(tblReceipts[Qty Received],tblReceipts[Item Name],$A1075,tblReceipts[Expiry Date],"&lt;"&amp;$H1075)+SUMIFS(tblReceipts[Qty Received],tblReceipts[Item Name],$A1075,tblReceipts[Expiry Date],$H1075,tblReceipts[Lot Number],"&lt;"&amp;Receipts!$C1078))</f>
        <v/>
      </c>
      <c r="L1075" s="26" t="str">
        <f>IF($A1075="","",MIN($D1075,MAX(0,SUMIFS(tblIssues[Qty Issued],tblIssues[Item Name],$A1075)-$K1075)))</f>
        <v/>
      </c>
      <c r="M1075" s="26" t="str">
        <f>IF($A1075="","",SUMIFS(tblIssues[Qty Issued],tblIssues[Lot Number],$B1075))</f>
        <v/>
      </c>
      <c r="N1075" s="26" t="str">
        <f t="shared" si="82"/>
        <v/>
      </c>
      <c r="O1075" s="26" t="str">
        <f t="shared" si="83"/>
        <v/>
      </c>
      <c r="P1075" s="21" t="str">
        <f t="shared" si="84"/>
        <v/>
      </c>
      <c r="Q1075" s="52" t="str">
        <f>IF($A1075="","",IF($O1075&lt;=0,"Depleted",IF($I1075&lt;0,"EXPIRED",IF($I1075&lt;=Settings!$C$6,"CRITICAL",IF($I1075&lt;=Settings!$C$5,"Expiring","In date")))))</f>
        <v/>
      </c>
    </row>
    <row r="1076" spans="1:17" x14ac:dyDescent="0.35">
      <c r="A1076" s="90" t="str">
        <f>IF(Receipts!$D1079="","",Receipts!$D1079)</f>
        <v/>
      </c>
      <c r="B1076" s="18" t="str">
        <f>IF(Receipts!$C1079="","",Receipts!$C1079)</f>
        <v/>
      </c>
      <c r="C1076" s="18" t="str">
        <f>IF($A1076="","",IFERROR(INDEX(Items!$B$5:$B$597,MATCH($A1076,Items!$A$5:$A$597,0)),""))</f>
        <v/>
      </c>
      <c r="D1076" s="23" t="str">
        <f>IF($A1076="","",N(Receipts!$G1079))</f>
        <v/>
      </c>
      <c r="E1076" s="20" t="str">
        <f>IF($A1076="","",IFERROR(INDEX(Items!$D$5:$D$597,MATCH($A1076,Items!$A$5:$A$597,0)),0))</f>
        <v/>
      </c>
      <c r="F1076" s="21" t="str">
        <f t="shared" si="80"/>
        <v/>
      </c>
      <c r="G1076" s="25" t="str">
        <f>IF(Receipts!$I1079="","",Receipts!$I1079)</f>
        <v/>
      </c>
      <c r="H1076" s="25" t="str">
        <f>IF(Receipts!$H1079="","",Receipts!$H1079)</f>
        <v/>
      </c>
      <c r="I1076" s="26" t="str">
        <f t="shared" ca="1" si="81"/>
        <v/>
      </c>
      <c r="J1076" s="26" t="str">
        <f>IF($A1076="","",COUNTIFS(tblReceipts[Item Name],$A1076,tblReceipts[Expiry Date],"&lt;"&amp;$H1076)+COUNTIFS(tblReceipts[Item Name],$A1076,tblReceipts[Expiry Date],$H1076,tblReceipts[Lot Number],"&lt;="&amp;Receipts!$C1079))</f>
        <v/>
      </c>
      <c r="K1076" s="26" t="str">
        <f>IF($A1076="","",SUMIFS(tblReceipts[Qty Received],tblReceipts[Item Name],$A1076,tblReceipts[Expiry Date],"&lt;"&amp;$H1076)+SUMIFS(tblReceipts[Qty Received],tblReceipts[Item Name],$A1076,tblReceipts[Expiry Date],$H1076,tblReceipts[Lot Number],"&lt;"&amp;Receipts!$C1079))</f>
        <v/>
      </c>
      <c r="L1076" s="26" t="str">
        <f>IF($A1076="","",MIN($D1076,MAX(0,SUMIFS(tblIssues[Qty Issued],tblIssues[Item Name],$A1076)-$K1076)))</f>
        <v/>
      </c>
      <c r="M1076" s="26" t="str">
        <f>IF($A1076="","",SUMIFS(tblIssues[Qty Issued],tblIssues[Lot Number],$B1076))</f>
        <v/>
      </c>
      <c r="N1076" s="26" t="str">
        <f t="shared" si="82"/>
        <v/>
      </c>
      <c r="O1076" s="26" t="str">
        <f t="shared" si="83"/>
        <v/>
      </c>
      <c r="P1076" s="21" t="str">
        <f t="shared" si="84"/>
        <v/>
      </c>
      <c r="Q1076" s="52" t="str">
        <f>IF($A1076="","",IF($O1076&lt;=0,"Depleted",IF($I1076&lt;0,"EXPIRED",IF($I1076&lt;=Settings!$C$6,"CRITICAL",IF($I1076&lt;=Settings!$C$5,"Expiring","In date")))))</f>
        <v/>
      </c>
    </row>
    <row r="1077" spans="1:17" x14ac:dyDescent="0.35">
      <c r="A1077" s="90" t="str">
        <f>IF(Receipts!$D1080="","",Receipts!$D1080)</f>
        <v/>
      </c>
      <c r="B1077" s="18" t="str">
        <f>IF(Receipts!$C1080="","",Receipts!$C1080)</f>
        <v/>
      </c>
      <c r="C1077" s="18" t="str">
        <f>IF($A1077="","",IFERROR(INDEX(Items!$B$5:$B$597,MATCH($A1077,Items!$A$5:$A$597,0)),""))</f>
        <v/>
      </c>
      <c r="D1077" s="23" t="str">
        <f>IF($A1077="","",N(Receipts!$G1080))</f>
        <v/>
      </c>
      <c r="E1077" s="20" t="str">
        <f>IF($A1077="","",IFERROR(INDEX(Items!$D$5:$D$597,MATCH($A1077,Items!$A$5:$A$597,0)),0))</f>
        <v/>
      </c>
      <c r="F1077" s="21" t="str">
        <f t="shared" si="80"/>
        <v/>
      </c>
      <c r="G1077" s="25" t="str">
        <f>IF(Receipts!$I1080="","",Receipts!$I1080)</f>
        <v/>
      </c>
      <c r="H1077" s="25" t="str">
        <f>IF(Receipts!$H1080="","",Receipts!$H1080)</f>
        <v/>
      </c>
      <c r="I1077" s="26" t="str">
        <f t="shared" ca="1" si="81"/>
        <v/>
      </c>
      <c r="J1077" s="26" t="str">
        <f>IF($A1077="","",COUNTIFS(tblReceipts[Item Name],$A1077,tblReceipts[Expiry Date],"&lt;"&amp;$H1077)+COUNTIFS(tblReceipts[Item Name],$A1077,tblReceipts[Expiry Date],$H1077,tblReceipts[Lot Number],"&lt;="&amp;Receipts!$C1080))</f>
        <v/>
      </c>
      <c r="K1077" s="26" t="str">
        <f>IF($A1077="","",SUMIFS(tblReceipts[Qty Received],tblReceipts[Item Name],$A1077,tblReceipts[Expiry Date],"&lt;"&amp;$H1077)+SUMIFS(tblReceipts[Qty Received],tblReceipts[Item Name],$A1077,tblReceipts[Expiry Date],$H1077,tblReceipts[Lot Number],"&lt;"&amp;Receipts!$C1080))</f>
        <v/>
      </c>
      <c r="L1077" s="26" t="str">
        <f>IF($A1077="","",MIN($D1077,MAX(0,SUMIFS(tblIssues[Qty Issued],tblIssues[Item Name],$A1077)-$K1077)))</f>
        <v/>
      </c>
      <c r="M1077" s="26" t="str">
        <f>IF($A1077="","",SUMIFS(tblIssues[Qty Issued],tblIssues[Lot Number],$B1077))</f>
        <v/>
      </c>
      <c r="N1077" s="26" t="str">
        <f t="shared" si="82"/>
        <v/>
      </c>
      <c r="O1077" s="26" t="str">
        <f t="shared" si="83"/>
        <v/>
      </c>
      <c r="P1077" s="21" t="str">
        <f t="shared" si="84"/>
        <v/>
      </c>
      <c r="Q1077" s="52" t="str">
        <f>IF($A1077="","",IF($O1077&lt;=0,"Depleted",IF($I1077&lt;0,"EXPIRED",IF($I1077&lt;=Settings!$C$6,"CRITICAL",IF($I1077&lt;=Settings!$C$5,"Expiring","In date")))))</f>
        <v/>
      </c>
    </row>
    <row r="1078" spans="1:17" x14ac:dyDescent="0.35">
      <c r="A1078" s="90" t="str">
        <f>IF(Receipts!$D1081="","",Receipts!$D1081)</f>
        <v/>
      </c>
      <c r="B1078" s="18" t="str">
        <f>IF(Receipts!$C1081="","",Receipts!$C1081)</f>
        <v/>
      </c>
      <c r="C1078" s="18" t="str">
        <f>IF($A1078="","",IFERROR(INDEX(Items!$B$5:$B$597,MATCH($A1078,Items!$A$5:$A$597,0)),""))</f>
        <v/>
      </c>
      <c r="D1078" s="23" t="str">
        <f>IF($A1078="","",N(Receipts!$G1081))</f>
        <v/>
      </c>
      <c r="E1078" s="20" t="str">
        <f>IF($A1078="","",IFERROR(INDEX(Items!$D$5:$D$597,MATCH($A1078,Items!$A$5:$A$597,0)),0))</f>
        <v/>
      </c>
      <c r="F1078" s="21" t="str">
        <f t="shared" si="80"/>
        <v/>
      </c>
      <c r="G1078" s="25" t="str">
        <f>IF(Receipts!$I1081="","",Receipts!$I1081)</f>
        <v/>
      </c>
      <c r="H1078" s="25" t="str">
        <f>IF(Receipts!$H1081="","",Receipts!$H1081)</f>
        <v/>
      </c>
      <c r="I1078" s="26" t="str">
        <f t="shared" ca="1" si="81"/>
        <v/>
      </c>
      <c r="J1078" s="26" t="str">
        <f>IF($A1078="","",COUNTIFS(tblReceipts[Item Name],$A1078,tblReceipts[Expiry Date],"&lt;"&amp;$H1078)+COUNTIFS(tblReceipts[Item Name],$A1078,tblReceipts[Expiry Date],$H1078,tblReceipts[Lot Number],"&lt;="&amp;Receipts!$C1081))</f>
        <v/>
      </c>
      <c r="K1078" s="26" t="str">
        <f>IF($A1078="","",SUMIFS(tblReceipts[Qty Received],tblReceipts[Item Name],$A1078,tblReceipts[Expiry Date],"&lt;"&amp;$H1078)+SUMIFS(tblReceipts[Qty Received],tblReceipts[Item Name],$A1078,tblReceipts[Expiry Date],$H1078,tblReceipts[Lot Number],"&lt;"&amp;Receipts!$C1081))</f>
        <v/>
      </c>
      <c r="L1078" s="26" t="str">
        <f>IF($A1078="","",MIN($D1078,MAX(0,SUMIFS(tblIssues[Qty Issued],tblIssues[Item Name],$A1078)-$K1078)))</f>
        <v/>
      </c>
      <c r="M1078" s="26" t="str">
        <f>IF($A1078="","",SUMIFS(tblIssues[Qty Issued],tblIssues[Lot Number],$B1078))</f>
        <v/>
      </c>
      <c r="N1078" s="26" t="str">
        <f t="shared" si="82"/>
        <v/>
      </c>
      <c r="O1078" s="26" t="str">
        <f t="shared" si="83"/>
        <v/>
      </c>
      <c r="P1078" s="21" t="str">
        <f t="shared" si="84"/>
        <v/>
      </c>
      <c r="Q1078" s="52" t="str">
        <f>IF($A1078="","",IF($O1078&lt;=0,"Depleted",IF($I1078&lt;0,"EXPIRED",IF($I1078&lt;=Settings!$C$6,"CRITICAL",IF($I1078&lt;=Settings!$C$5,"Expiring","In date")))))</f>
        <v/>
      </c>
    </row>
    <row r="1079" spans="1:17" x14ac:dyDescent="0.35">
      <c r="A1079" s="90" t="str">
        <f>IF(Receipts!$D1082="","",Receipts!$D1082)</f>
        <v/>
      </c>
      <c r="B1079" s="18" t="str">
        <f>IF(Receipts!$C1082="","",Receipts!$C1082)</f>
        <v/>
      </c>
      <c r="C1079" s="18" t="str">
        <f>IF($A1079="","",IFERROR(INDEX(Items!$B$5:$B$597,MATCH($A1079,Items!$A$5:$A$597,0)),""))</f>
        <v/>
      </c>
      <c r="D1079" s="23" t="str">
        <f>IF($A1079="","",N(Receipts!$G1082))</f>
        <v/>
      </c>
      <c r="E1079" s="20" t="str">
        <f>IF($A1079="","",IFERROR(INDEX(Items!$D$5:$D$597,MATCH($A1079,Items!$A$5:$A$597,0)),0))</f>
        <v/>
      </c>
      <c r="F1079" s="21" t="str">
        <f t="shared" si="80"/>
        <v/>
      </c>
      <c r="G1079" s="25" t="str">
        <f>IF(Receipts!$I1082="","",Receipts!$I1082)</f>
        <v/>
      </c>
      <c r="H1079" s="25" t="str">
        <f>IF(Receipts!$H1082="","",Receipts!$H1082)</f>
        <v/>
      </c>
      <c r="I1079" s="26" t="str">
        <f t="shared" ca="1" si="81"/>
        <v/>
      </c>
      <c r="J1079" s="26" t="str">
        <f>IF($A1079="","",COUNTIFS(tblReceipts[Item Name],$A1079,tblReceipts[Expiry Date],"&lt;"&amp;$H1079)+COUNTIFS(tblReceipts[Item Name],$A1079,tblReceipts[Expiry Date],$H1079,tblReceipts[Lot Number],"&lt;="&amp;Receipts!$C1082))</f>
        <v/>
      </c>
      <c r="K1079" s="26" t="str">
        <f>IF($A1079="","",SUMIFS(tblReceipts[Qty Received],tblReceipts[Item Name],$A1079,tblReceipts[Expiry Date],"&lt;"&amp;$H1079)+SUMIFS(tblReceipts[Qty Received],tblReceipts[Item Name],$A1079,tblReceipts[Expiry Date],$H1079,tblReceipts[Lot Number],"&lt;"&amp;Receipts!$C1082))</f>
        <v/>
      </c>
      <c r="L1079" s="26" t="str">
        <f>IF($A1079="","",MIN($D1079,MAX(0,SUMIFS(tblIssues[Qty Issued],tblIssues[Item Name],$A1079)-$K1079)))</f>
        <v/>
      </c>
      <c r="M1079" s="26" t="str">
        <f>IF($A1079="","",SUMIFS(tblIssues[Qty Issued],tblIssues[Lot Number],$B1079))</f>
        <v/>
      </c>
      <c r="N1079" s="26" t="str">
        <f t="shared" si="82"/>
        <v/>
      </c>
      <c r="O1079" s="26" t="str">
        <f t="shared" si="83"/>
        <v/>
      </c>
      <c r="P1079" s="21" t="str">
        <f t="shared" si="84"/>
        <v/>
      </c>
      <c r="Q1079" s="52" t="str">
        <f>IF($A1079="","",IF($O1079&lt;=0,"Depleted",IF($I1079&lt;0,"EXPIRED",IF($I1079&lt;=Settings!$C$6,"CRITICAL",IF($I1079&lt;=Settings!$C$5,"Expiring","In date")))))</f>
        <v/>
      </c>
    </row>
    <row r="1080" spans="1:17" x14ac:dyDescent="0.35">
      <c r="A1080" s="90" t="str">
        <f>IF(Receipts!$D1083="","",Receipts!$D1083)</f>
        <v/>
      </c>
      <c r="B1080" s="18" t="str">
        <f>IF(Receipts!$C1083="","",Receipts!$C1083)</f>
        <v/>
      </c>
      <c r="C1080" s="18" t="str">
        <f>IF($A1080="","",IFERROR(INDEX(Items!$B$5:$B$597,MATCH($A1080,Items!$A$5:$A$597,0)),""))</f>
        <v/>
      </c>
      <c r="D1080" s="23" t="str">
        <f>IF($A1080="","",N(Receipts!$G1083))</f>
        <v/>
      </c>
      <c r="E1080" s="20" t="str">
        <f>IF($A1080="","",IFERROR(INDEX(Items!$D$5:$D$597,MATCH($A1080,Items!$A$5:$A$597,0)),0))</f>
        <v/>
      </c>
      <c r="F1080" s="21" t="str">
        <f t="shared" si="80"/>
        <v/>
      </c>
      <c r="G1080" s="25" t="str">
        <f>IF(Receipts!$I1083="","",Receipts!$I1083)</f>
        <v/>
      </c>
      <c r="H1080" s="25" t="str">
        <f>IF(Receipts!$H1083="","",Receipts!$H1083)</f>
        <v/>
      </c>
      <c r="I1080" s="26" t="str">
        <f t="shared" ca="1" si="81"/>
        <v/>
      </c>
      <c r="J1080" s="26" t="str">
        <f>IF($A1080="","",COUNTIFS(tblReceipts[Item Name],$A1080,tblReceipts[Expiry Date],"&lt;"&amp;$H1080)+COUNTIFS(tblReceipts[Item Name],$A1080,tblReceipts[Expiry Date],$H1080,tblReceipts[Lot Number],"&lt;="&amp;Receipts!$C1083))</f>
        <v/>
      </c>
      <c r="K1080" s="26" t="str">
        <f>IF($A1080="","",SUMIFS(tblReceipts[Qty Received],tblReceipts[Item Name],$A1080,tblReceipts[Expiry Date],"&lt;"&amp;$H1080)+SUMIFS(tblReceipts[Qty Received],tblReceipts[Item Name],$A1080,tblReceipts[Expiry Date],$H1080,tblReceipts[Lot Number],"&lt;"&amp;Receipts!$C1083))</f>
        <v/>
      </c>
      <c r="L1080" s="26" t="str">
        <f>IF($A1080="","",MIN($D1080,MAX(0,SUMIFS(tblIssues[Qty Issued],tblIssues[Item Name],$A1080)-$K1080)))</f>
        <v/>
      </c>
      <c r="M1080" s="26" t="str">
        <f>IF($A1080="","",SUMIFS(tblIssues[Qty Issued],tblIssues[Lot Number],$B1080))</f>
        <v/>
      </c>
      <c r="N1080" s="26" t="str">
        <f t="shared" si="82"/>
        <v/>
      </c>
      <c r="O1080" s="26" t="str">
        <f t="shared" si="83"/>
        <v/>
      </c>
      <c r="P1080" s="21" t="str">
        <f t="shared" si="84"/>
        <v/>
      </c>
      <c r="Q1080" s="52" t="str">
        <f>IF($A1080="","",IF($O1080&lt;=0,"Depleted",IF($I1080&lt;0,"EXPIRED",IF($I1080&lt;=Settings!$C$6,"CRITICAL",IF($I1080&lt;=Settings!$C$5,"Expiring","In date")))))</f>
        <v/>
      </c>
    </row>
    <row r="1081" spans="1:17" x14ac:dyDescent="0.35">
      <c r="A1081" s="90" t="str">
        <f>IF(Receipts!$D1084="","",Receipts!$D1084)</f>
        <v/>
      </c>
      <c r="B1081" s="18" t="str">
        <f>IF(Receipts!$C1084="","",Receipts!$C1084)</f>
        <v/>
      </c>
      <c r="C1081" s="18" t="str">
        <f>IF($A1081="","",IFERROR(INDEX(Items!$B$5:$B$597,MATCH($A1081,Items!$A$5:$A$597,0)),""))</f>
        <v/>
      </c>
      <c r="D1081" s="23" t="str">
        <f>IF($A1081="","",N(Receipts!$G1084))</f>
        <v/>
      </c>
      <c r="E1081" s="20" t="str">
        <f>IF($A1081="","",IFERROR(INDEX(Items!$D$5:$D$597,MATCH($A1081,Items!$A$5:$A$597,0)),0))</f>
        <v/>
      </c>
      <c r="F1081" s="21" t="str">
        <f t="shared" si="80"/>
        <v/>
      </c>
      <c r="G1081" s="25" t="str">
        <f>IF(Receipts!$I1084="","",Receipts!$I1084)</f>
        <v/>
      </c>
      <c r="H1081" s="25" t="str">
        <f>IF(Receipts!$H1084="","",Receipts!$H1084)</f>
        <v/>
      </c>
      <c r="I1081" s="26" t="str">
        <f t="shared" ca="1" si="81"/>
        <v/>
      </c>
      <c r="J1081" s="26" t="str">
        <f>IF($A1081="","",COUNTIFS(tblReceipts[Item Name],$A1081,tblReceipts[Expiry Date],"&lt;"&amp;$H1081)+COUNTIFS(tblReceipts[Item Name],$A1081,tblReceipts[Expiry Date],$H1081,tblReceipts[Lot Number],"&lt;="&amp;Receipts!$C1084))</f>
        <v/>
      </c>
      <c r="K1081" s="26" t="str">
        <f>IF($A1081="","",SUMIFS(tblReceipts[Qty Received],tblReceipts[Item Name],$A1081,tblReceipts[Expiry Date],"&lt;"&amp;$H1081)+SUMIFS(tblReceipts[Qty Received],tblReceipts[Item Name],$A1081,tblReceipts[Expiry Date],$H1081,tblReceipts[Lot Number],"&lt;"&amp;Receipts!$C1084))</f>
        <v/>
      </c>
      <c r="L1081" s="26" t="str">
        <f>IF($A1081="","",MIN($D1081,MAX(0,SUMIFS(tblIssues[Qty Issued],tblIssues[Item Name],$A1081)-$K1081)))</f>
        <v/>
      </c>
      <c r="M1081" s="26" t="str">
        <f>IF($A1081="","",SUMIFS(tblIssues[Qty Issued],tblIssues[Lot Number],$B1081))</f>
        <v/>
      </c>
      <c r="N1081" s="26" t="str">
        <f t="shared" si="82"/>
        <v/>
      </c>
      <c r="O1081" s="26" t="str">
        <f t="shared" si="83"/>
        <v/>
      </c>
      <c r="P1081" s="21" t="str">
        <f t="shared" si="84"/>
        <v/>
      </c>
      <c r="Q1081" s="52" t="str">
        <f>IF($A1081="","",IF($O1081&lt;=0,"Depleted",IF($I1081&lt;0,"EXPIRED",IF($I1081&lt;=Settings!$C$6,"CRITICAL",IF($I1081&lt;=Settings!$C$5,"Expiring","In date")))))</f>
        <v/>
      </c>
    </row>
    <row r="1082" spans="1:17" x14ac:dyDescent="0.35">
      <c r="A1082" s="90" t="str">
        <f>IF(Receipts!$D1085="","",Receipts!$D1085)</f>
        <v/>
      </c>
      <c r="B1082" s="18" t="str">
        <f>IF(Receipts!$C1085="","",Receipts!$C1085)</f>
        <v/>
      </c>
      <c r="C1082" s="18" t="str">
        <f>IF($A1082="","",IFERROR(INDEX(Items!$B$5:$B$597,MATCH($A1082,Items!$A$5:$A$597,0)),""))</f>
        <v/>
      </c>
      <c r="D1082" s="23" t="str">
        <f>IF($A1082="","",N(Receipts!$G1085))</f>
        <v/>
      </c>
      <c r="E1082" s="20" t="str">
        <f>IF($A1082="","",IFERROR(INDEX(Items!$D$5:$D$597,MATCH($A1082,Items!$A$5:$A$597,0)),0))</f>
        <v/>
      </c>
      <c r="F1082" s="21" t="str">
        <f t="shared" si="80"/>
        <v/>
      </c>
      <c r="G1082" s="25" t="str">
        <f>IF(Receipts!$I1085="","",Receipts!$I1085)</f>
        <v/>
      </c>
      <c r="H1082" s="25" t="str">
        <f>IF(Receipts!$H1085="","",Receipts!$H1085)</f>
        <v/>
      </c>
      <c r="I1082" s="26" t="str">
        <f t="shared" ca="1" si="81"/>
        <v/>
      </c>
      <c r="J1082" s="26" t="str">
        <f>IF($A1082="","",COUNTIFS(tblReceipts[Item Name],$A1082,tblReceipts[Expiry Date],"&lt;"&amp;$H1082)+COUNTIFS(tblReceipts[Item Name],$A1082,tblReceipts[Expiry Date],$H1082,tblReceipts[Lot Number],"&lt;="&amp;Receipts!$C1085))</f>
        <v/>
      </c>
      <c r="K1082" s="26" t="str">
        <f>IF($A1082="","",SUMIFS(tblReceipts[Qty Received],tblReceipts[Item Name],$A1082,tblReceipts[Expiry Date],"&lt;"&amp;$H1082)+SUMIFS(tblReceipts[Qty Received],tblReceipts[Item Name],$A1082,tblReceipts[Expiry Date],$H1082,tblReceipts[Lot Number],"&lt;"&amp;Receipts!$C1085))</f>
        <v/>
      </c>
      <c r="L1082" s="26" t="str">
        <f>IF($A1082="","",MIN($D1082,MAX(0,SUMIFS(tblIssues[Qty Issued],tblIssues[Item Name],$A1082)-$K1082)))</f>
        <v/>
      </c>
      <c r="M1082" s="26" t="str">
        <f>IF($A1082="","",SUMIFS(tblIssues[Qty Issued],tblIssues[Lot Number],$B1082))</f>
        <v/>
      </c>
      <c r="N1082" s="26" t="str">
        <f t="shared" si="82"/>
        <v/>
      </c>
      <c r="O1082" s="26" t="str">
        <f t="shared" si="83"/>
        <v/>
      </c>
      <c r="P1082" s="21" t="str">
        <f t="shared" si="84"/>
        <v/>
      </c>
      <c r="Q1082" s="52" t="str">
        <f>IF($A1082="","",IF($O1082&lt;=0,"Depleted",IF($I1082&lt;0,"EXPIRED",IF($I1082&lt;=Settings!$C$6,"CRITICAL",IF($I1082&lt;=Settings!$C$5,"Expiring","In date")))))</f>
        <v/>
      </c>
    </row>
    <row r="1083" spans="1:17" x14ac:dyDescent="0.35">
      <c r="A1083" s="90" t="str">
        <f>IF(Receipts!$D1086="","",Receipts!$D1086)</f>
        <v/>
      </c>
      <c r="B1083" s="18" t="str">
        <f>IF(Receipts!$C1086="","",Receipts!$C1086)</f>
        <v/>
      </c>
      <c r="C1083" s="18" t="str">
        <f>IF($A1083="","",IFERROR(INDEX(Items!$B$5:$B$597,MATCH($A1083,Items!$A$5:$A$597,0)),""))</f>
        <v/>
      </c>
      <c r="D1083" s="23" t="str">
        <f>IF($A1083="","",N(Receipts!$G1086))</f>
        <v/>
      </c>
      <c r="E1083" s="20" t="str">
        <f>IF($A1083="","",IFERROR(INDEX(Items!$D$5:$D$597,MATCH($A1083,Items!$A$5:$A$597,0)),0))</f>
        <v/>
      </c>
      <c r="F1083" s="21" t="str">
        <f t="shared" si="80"/>
        <v/>
      </c>
      <c r="G1083" s="25" t="str">
        <f>IF(Receipts!$I1086="","",Receipts!$I1086)</f>
        <v/>
      </c>
      <c r="H1083" s="25" t="str">
        <f>IF(Receipts!$H1086="","",Receipts!$H1086)</f>
        <v/>
      </c>
      <c r="I1083" s="26" t="str">
        <f t="shared" ca="1" si="81"/>
        <v/>
      </c>
      <c r="J1083" s="26" t="str">
        <f>IF($A1083="","",COUNTIFS(tblReceipts[Item Name],$A1083,tblReceipts[Expiry Date],"&lt;"&amp;$H1083)+COUNTIFS(tblReceipts[Item Name],$A1083,tblReceipts[Expiry Date],$H1083,tblReceipts[Lot Number],"&lt;="&amp;Receipts!$C1086))</f>
        <v/>
      </c>
      <c r="K1083" s="26" t="str">
        <f>IF($A1083="","",SUMIFS(tblReceipts[Qty Received],tblReceipts[Item Name],$A1083,tblReceipts[Expiry Date],"&lt;"&amp;$H1083)+SUMIFS(tblReceipts[Qty Received],tblReceipts[Item Name],$A1083,tblReceipts[Expiry Date],$H1083,tblReceipts[Lot Number],"&lt;"&amp;Receipts!$C1086))</f>
        <v/>
      </c>
      <c r="L1083" s="26" t="str">
        <f>IF($A1083="","",MIN($D1083,MAX(0,SUMIFS(tblIssues[Qty Issued],tblIssues[Item Name],$A1083)-$K1083)))</f>
        <v/>
      </c>
      <c r="M1083" s="26" t="str">
        <f>IF($A1083="","",SUMIFS(tblIssues[Qty Issued],tblIssues[Lot Number],$B1083))</f>
        <v/>
      </c>
      <c r="N1083" s="26" t="str">
        <f t="shared" si="82"/>
        <v/>
      </c>
      <c r="O1083" s="26" t="str">
        <f t="shared" si="83"/>
        <v/>
      </c>
      <c r="P1083" s="21" t="str">
        <f t="shared" si="84"/>
        <v/>
      </c>
      <c r="Q1083" s="52" t="str">
        <f>IF($A1083="","",IF($O1083&lt;=0,"Depleted",IF($I1083&lt;0,"EXPIRED",IF($I1083&lt;=Settings!$C$6,"CRITICAL",IF($I1083&lt;=Settings!$C$5,"Expiring","In date")))))</f>
        <v/>
      </c>
    </row>
    <row r="1084" spans="1:17" x14ac:dyDescent="0.35">
      <c r="A1084" s="90" t="str">
        <f>IF(Receipts!$D1087="","",Receipts!$D1087)</f>
        <v/>
      </c>
      <c r="B1084" s="18" t="str">
        <f>IF(Receipts!$C1087="","",Receipts!$C1087)</f>
        <v/>
      </c>
      <c r="C1084" s="18" t="str">
        <f>IF($A1084="","",IFERROR(INDEX(Items!$B$5:$B$597,MATCH($A1084,Items!$A$5:$A$597,0)),""))</f>
        <v/>
      </c>
      <c r="D1084" s="23" t="str">
        <f>IF($A1084="","",N(Receipts!$G1087))</f>
        <v/>
      </c>
      <c r="E1084" s="20" t="str">
        <f>IF($A1084="","",IFERROR(INDEX(Items!$D$5:$D$597,MATCH($A1084,Items!$A$5:$A$597,0)),0))</f>
        <v/>
      </c>
      <c r="F1084" s="21" t="str">
        <f t="shared" si="80"/>
        <v/>
      </c>
      <c r="G1084" s="25" t="str">
        <f>IF(Receipts!$I1087="","",Receipts!$I1087)</f>
        <v/>
      </c>
      <c r="H1084" s="25" t="str">
        <f>IF(Receipts!$H1087="","",Receipts!$H1087)</f>
        <v/>
      </c>
      <c r="I1084" s="26" t="str">
        <f t="shared" ca="1" si="81"/>
        <v/>
      </c>
      <c r="J1084" s="26" t="str">
        <f>IF($A1084="","",COUNTIFS(tblReceipts[Item Name],$A1084,tblReceipts[Expiry Date],"&lt;"&amp;$H1084)+COUNTIFS(tblReceipts[Item Name],$A1084,tblReceipts[Expiry Date],$H1084,tblReceipts[Lot Number],"&lt;="&amp;Receipts!$C1087))</f>
        <v/>
      </c>
      <c r="K1084" s="26" t="str">
        <f>IF($A1084="","",SUMIFS(tblReceipts[Qty Received],tblReceipts[Item Name],$A1084,tblReceipts[Expiry Date],"&lt;"&amp;$H1084)+SUMIFS(tblReceipts[Qty Received],tblReceipts[Item Name],$A1084,tblReceipts[Expiry Date],$H1084,tblReceipts[Lot Number],"&lt;"&amp;Receipts!$C1087))</f>
        <v/>
      </c>
      <c r="L1084" s="26" t="str">
        <f>IF($A1084="","",MIN($D1084,MAX(0,SUMIFS(tblIssues[Qty Issued],tblIssues[Item Name],$A1084)-$K1084)))</f>
        <v/>
      </c>
      <c r="M1084" s="26" t="str">
        <f>IF($A1084="","",SUMIFS(tblIssues[Qty Issued],tblIssues[Lot Number],$B1084))</f>
        <v/>
      </c>
      <c r="N1084" s="26" t="str">
        <f t="shared" si="82"/>
        <v/>
      </c>
      <c r="O1084" s="26" t="str">
        <f t="shared" si="83"/>
        <v/>
      </c>
      <c r="P1084" s="21" t="str">
        <f t="shared" si="84"/>
        <v/>
      </c>
      <c r="Q1084" s="52" t="str">
        <f>IF($A1084="","",IF($O1084&lt;=0,"Depleted",IF($I1084&lt;0,"EXPIRED",IF($I1084&lt;=Settings!$C$6,"CRITICAL",IF($I1084&lt;=Settings!$C$5,"Expiring","In date")))))</f>
        <v/>
      </c>
    </row>
    <row r="1085" spans="1:17" x14ac:dyDescent="0.35">
      <c r="A1085" s="90" t="str">
        <f>IF(Receipts!$D1088="","",Receipts!$D1088)</f>
        <v/>
      </c>
      <c r="B1085" s="18" t="str">
        <f>IF(Receipts!$C1088="","",Receipts!$C1088)</f>
        <v/>
      </c>
      <c r="C1085" s="18" t="str">
        <f>IF($A1085="","",IFERROR(INDEX(Items!$B$5:$B$597,MATCH($A1085,Items!$A$5:$A$597,0)),""))</f>
        <v/>
      </c>
      <c r="D1085" s="23" t="str">
        <f>IF($A1085="","",N(Receipts!$G1088))</f>
        <v/>
      </c>
      <c r="E1085" s="20" t="str">
        <f>IF($A1085="","",IFERROR(INDEX(Items!$D$5:$D$597,MATCH($A1085,Items!$A$5:$A$597,0)),0))</f>
        <v/>
      </c>
      <c r="F1085" s="21" t="str">
        <f t="shared" si="80"/>
        <v/>
      </c>
      <c r="G1085" s="25" t="str">
        <f>IF(Receipts!$I1088="","",Receipts!$I1088)</f>
        <v/>
      </c>
      <c r="H1085" s="25" t="str">
        <f>IF(Receipts!$H1088="","",Receipts!$H1088)</f>
        <v/>
      </c>
      <c r="I1085" s="26" t="str">
        <f t="shared" ca="1" si="81"/>
        <v/>
      </c>
      <c r="J1085" s="26" t="str">
        <f>IF($A1085="","",COUNTIFS(tblReceipts[Item Name],$A1085,tblReceipts[Expiry Date],"&lt;"&amp;$H1085)+COUNTIFS(tblReceipts[Item Name],$A1085,tblReceipts[Expiry Date],$H1085,tblReceipts[Lot Number],"&lt;="&amp;Receipts!$C1088))</f>
        <v/>
      </c>
      <c r="K1085" s="26" t="str">
        <f>IF($A1085="","",SUMIFS(tblReceipts[Qty Received],tblReceipts[Item Name],$A1085,tblReceipts[Expiry Date],"&lt;"&amp;$H1085)+SUMIFS(tblReceipts[Qty Received],tblReceipts[Item Name],$A1085,tblReceipts[Expiry Date],$H1085,tblReceipts[Lot Number],"&lt;"&amp;Receipts!$C1088))</f>
        <v/>
      </c>
      <c r="L1085" s="26" t="str">
        <f>IF($A1085="","",MIN($D1085,MAX(0,SUMIFS(tblIssues[Qty Issued],tblIssues[Item Name],$A1085)-$K1085)))</f>
        <v/>
      </c>
      <c r="M1085" s="26" t="str">
        <f>IF($A1085="","",SUMIFS(tblIssues[Qty Issued],tblIssues[Lot Number],$B1085))</f>
        <v/>
      </c>
      <c r="N1085" s="26" t="str">
        <f t="shared" si="82"/>
        <v/>
      </c>
      <c r="O1085" s="26" t="str">
        <f t="shared" si="83"/>
        <v/>
      </c>
      <c r="P1085" s="21" t="str">
        <f t="shared" si="84"/>
        <v/>
      </c>
      <c r="Q1085" s="52" t="str">
        <f>IF($A1085="","",IF($O1085&lt;=0,"Depleted",IF($I1085&lt;0,"EXPIRED",IF($I1085&lt;=Settings!$C$6,"CRITICAL",IF($I1085&lt;=Settings!$C$5,"Expiring","In date")))))</f>
        <v/>
      </c>
    </row>
    <row r="1086" spans="1:17" x14ac:dyDescent="0.35">
      <c r="A1086" s="90" t="str">
        <f>IF(Receipts!$D1089="","",Receipts!$D1089)</f>
        <v/>
      </c>
      <c r="B1086" s="18" t="str">
        <f>IF(Receipts!$C1089="","",Receipts!$C1089)</f>
        <v/>
      </c>
      <c r="C1086" s="18" t="str">
        <f>IF($A1086="","",IFERROR(INDEX(Items!$B$5:$B$597,MATCH($A1086,Items!$A$5:$A$597,0)),""))</f>
        <v/>
      </c>
      <c r="D1086" s="23" t="str">
        <f>IF($A1086="","",N(Receipts!$G1089))</f>
        <v/>
      </c>
      <c r="E1086" s="20" t="str">
        <f>IF($A1086="","",IFERROR(INDEX(Items!$D$5:$D$597,MATCH($A1086,Items!$A$5:$A$597,0)),0))</f>
        <v/>
      </c>
      <c r="F1086" s="21" t="str">
        <f t="shared" si="80"/>
        <v/>
      </c>
      <c r="G1086" s="25" t="str">
        <f>IF(Receipts!$I1089="","",Receipts!$I1089)</f>
        <v/>
      </c>
      <c r="H1086" s="25" t="str">
        <f>IF(Receipts!$H1089="","",Receipts!$H1089)</f>
        <v/>
      </c>
      <c r="I1086" s="26" t="str">
        <f t="shared" ca="1" si="81"/>
        <v/>
      </c>
      <c r="J1086" s="26" t="str">
        <f>IF($A1086="","",COUNTIFS(tblReceipts[Item Name],$A1086,tblReceipts[Expiry Date],"&lt;"&amp;$H1086)+COUNTIFS(tblReceipts[Item Name],$A1086,tblReceipts[Expiry Date],$H1086,tblReceipts[Lot Number],"&lt;="&amp;Receipts!$C1089))</f>
        <v/>
      </c>
      <c r="K1086" s="26" t="str">
        <f>IF($A1086="","",SUMIFS(tblReceipts[Qty Received],tblReceipts[Item Name],$A1086,tblReceipts[Expiry Date],"&lt;"&amp;$H1086)+SUMIFS(tblReceipts[Qty Received],tblReceipts[Item Name],$A1086,tblReceipts[Expiry Date],$H1086,tblReceipts[Lot Number],"&lt;"&amp;Receipts!$C1089))</f>
        <v/>
      </c>
      <c r="L1086" s="26" t="str">
        <f>IF($A1086="","",MIN($D1086,MAX(0,SUMIFS(tblIssues[Qty Issued],tblIssues[Item Name],$A1086)-$K1086)))</f>
        <v/>
      </c>
      <c r="M1086" s="26" t="str">
        <f>IF($A1086="","",SUMIFS(tblIssues[Qty Issued],tblIssues[Lot Number],$B1086))</f>
        <v/>
      </c>
      <c r="N1086" s="26" t="str">
        <f t="shared" si="82"/>
        <v/>
      </c>
      <c r="O1086" s="26" t="str">
        <f t="shared" si="83"/>
        <v/>
      </c>
      <c r="P1086" s="21" t="str">
        <f t="shared" si="84"/>
        <v/>
      </c>
      <c r="Q1086" s="52" t="str">
        <f>IF($A1086="","",IF($O1086&lt;=0,"Depleted",IF($I1086&lt;0,"EXPIRED",IF($I1086&lt;=Settings!$C$6,"CRITICAL",IF($I1086&lt;=Settings!$C$5,"Expiring","In date")))))</f>
        <v/>
      </c>
    </row>
    <row r="1087" spans="1:17" x14ac:dyDescent="0.35">
      <c r="A1087" s="90" t="str">
        <f>IF(Receipts!$D1090="","",Receipts!$D1090)</f>
        <v/>
      </c>
      <c r="B1087" s="18" t="str">
        <f>IF(Receipts!$C1090="","",Receipts!$C1090)</f>
        <v/>
      </c>
      <c r="C1087" s="18" t="str">
        <f>IF($A1087="","",IFERROR(INDEX(Items!$B$5:$B$597,MATCH($A1087,Items!$A$5:$A$597,0)),""))</f>
        <v/>
      </c>
      <c r="D1087" s="23" t="str">
        <f>IF($A1087="","",N(Receipts!$G1090))</f>
        <v/>
      </c>
      <c r="E1087" s="20" t="str">
        <f>IF($A1087="","",IFERROR(INDEX(Items!$D$5:$D$597,MATCH($A1087,Items!$A$5:$A$597,0)),0))</f>
        <v/>
      </c>
      <c r="F1087" s="21" t="str">
        <f t="shared" si="80"/>
        <v/>
      </c>
      <c r="G1087" s="25" t="str">
        <f>IF(Receipts!$I1090="","",Receipts!$I1090)</f>
        <v/>
      </c>
      <c r="H1087" s="25" t="str">
        <f>IF(Receipts!$H1090="","",Receipts!$H1090)</f>
        <v/>
      </c>
      <c r="I1087" s="26" t="str">
        <f t="shared" ca="1" si="81"/>
        <v/>
      </c>
      <c r="J1087" s="26" t="str">
        <f>IF($A1087="","",COUNTIFS(tblReceipts[Item Name],$A1087,tblReceipts[Expiry Date],"&lt;"&amp;$H1087)+COUNTIFS(tblReceipts[Item Name],$A1087,tblReceipts[Expiry Date],$H1087,tblReceipts[Lot Number],"&lt;="&amp;Receipts!$C1090))</f>
        <v/>
      </c>
      <c r="K1087" s="26" t="str">
        <f>IF($A1087="","",SUMIFS(tblReceipts[Qty Received],tblReceipts[Item Name],$A1087,tblReceipts[Expiry Date],"&lt;"&amp;$H1087)+SUMIFS(tblReceipts[Qty Received],tblReceipts[Item Name],$A1087,tblReceipts[Expiry Date],$H1087,tblReceipts[Lot Number],"&lt;"&amp;Receipts!$C1090))</f>
        <v/>
      </c>
      <c r="L1087" s="26" t="str">
        <f>IF($A1087="","",MIN($D1087,MAX(0,SUMIFS(tblIssues[Qty Issued],tblIssues[Item Name],$A1087)-$K1087)))</f>
        <v/>
      </c>
      <c r="M1087" s="26" t="str">
        <f>IF($A1087="","",SUMIFS(tblIssues[Qty Issued],tblIssues[Lot Number],$B1087))</f>
        <v/>
      </c>
      <c r="N1087" s="26" t="str">
        <f t="shared" si="82"/>
        <v/>
      </c>
      <c r="O1087" s="26" t="str">
        <f t="shared" si="83"/>
        <v/>
      </c>
      <c r="P1087" s="21" t="str">
        <f t="shared" si="84"/>
        <v/>
      </c>
      <c r="Q1087" s="52" t="str">
        <f>IF($A1087="","",IF($O1087&lt;=0,"Depleted",IF($I1087&lt;0,"EXPIRED",IF($I1087&lt;=Settings!$C$6,"CRITICAL",IF($I1087&lt;=Settings!$C$5,"Expiring","In date")))))</f>
        <v/>
      </c>
    </row>
    <row r="1088" spans="1:17" x14ac:dyDescent="0.35">
      <c r="A1088" s="90" t="str">
        <f>IF(Receipts!$D1091="","",Receipts!$D1091)</f>
        <v/>
      </c>
      <c r="B1088" s="18" t="str">
        <f>IF(Receipts!$C1091="","",Receipts!$C1091)</f>
        <v/>
      </c>
      <c r="C1088" s="18" t="str">
        <f>IF($A1088="","",IFERROR(INDEX(Items!$B$5:$B$597,MATCH($A1088,Items!$A$5:$A$597,0)),""))</f>
        <v/>
      </c>
      <c r="D1088" s="23" t="str">
        <f>IF($A1088="","",N(Receipts!$G1091))</f>
        <v/>
      </c>
      <c r="E1088" s="20" t="str">
        <f>IF($A1088="","",IFERROR(INDEX(Items!$D$5:$D$597,MATCH($A1088,Items!$A$5:$A$597,0)),0))</f>
        <v/>
      </c>
      <c r="F1088" s="21" t="str">
        <f t="shared" si="80"/>
        <v/>
      </c>
      <c r="G1088" s="25" t="str">
        <f>IF(Receipts!$I1091="","",Receipts!$I1091)</f>
        <v/>
      </c>
      <c r="H1088" s="25" t="str">
        <f>IF(Receipts!$H1091="","",Receipts!$H1091)</f>
        <v/>
      </c>
      <c r="I1088" s="26" t="str">
        <f t="shared" ca="1" si="81"/>
        <v/>
      </c>
      <c r="J1088" s="26" t="str">
        <f>IF($A1088="","",COUNTIFS(tblReceipts[Item Name],$A1088,tblReceipts[Expiry Date],"&lt;"&amp;$H1088)+COUNTIFS(tblReceipts[Item Name],$A1088,tblReceipts[Expiry Date],$H1088,tblReceipts[Lot Number],"&lt;="&amp;Receipts!$C1091))</f>
        <v/>
      </c>
      <c r="K1088" s="26" t="str">
        <f>IF($A1088="","",SUMIFS(tblReceipts[Qty Received],tblReceipts[Item Name],$A1088,tblReceipts[Expiry Date],"&lt;"&amp;$H1088)+SUMIFS(tblReceipts[Qty Received],tblReceipts[Item Name],$A1088,tblReceipts[Expiry Date],$H1088,tblReceipts[Lot Number],"&lt;"&amp;Receipts!$C1091))</f>
        <v/>
      </c>
      <c r="L1088" s="26" t="str">
        <f>IF($A1088="","",MIN($D1088,MAX(0,SUMIFS(tblIssues[Qty Issued],tblIssues[Item Name],$A1088)-$K1088)))</f>
        <v/>
      </c>
      <c r="M1088" s="26" t="str">
        <f>IF($A1088="","",SUMIFS(tblIssues[Qty Issued],tblIssues[Lot Number],$B1088))</f>
        <v/>
      </c>
      <c r="N1088" s="26" t="str">
        <f t="shared" si="82"/>
        <v/>
      </c>
      <c r="O1088" s="26" t="str">
        <f t="shared" si="83"/>
        <v/>
      </c>
      <c r="P1088" s="21" t="str">
        <f t="shared" si="84"/>
        <v/>
      </c>
      <c r="Q1088" s="52" t="str">
        <f>IF($A1088="","",IF($O1088&lt;=0,"Depleted",IF($I1088&lt;0,"EXPIRED",IF($I1088&lt;=Settings!$C$6,"CRITICAL",IF($I1088&lt;=Settings!$C$5,"Expiring","In date")))))</f>
        <v/>
      </c>
    </row>
    <row r="1089" spans="1:17" x14ac:dyDescent="0.35">
      <c r="A1089" s="90" t="str">
        <f>IF(Receipts!$D1092="","",Receipts!$D1092)</f>
        <v/>
      </c>
      <c r="B1089" s="18" t="str">
        <f>IF(Receipts!$C1092="","",Receipts!$C1092)</f>
        <v/>
      </c>
      <c r="C1089" s="18" t="str">
        <f>IF($A1089="","",IFERROR(INDEX(Items!$B$5:$B$597,MATCH($A1089,Items!$A$5:$A$597,0)),""))</f>
        <v/>
      </c>
      <c r="D1089" s="23" t="str">
        <f>IF($A1089="","",N(Receipts!$G1092))</f>
        <v/>
      </c>
      <c r="E1089" s="20" t="str">
        <f>IF($A1089="","",IFERROR(INDEX(Items!$D$5:$D$597,MATCH($A1089,Items!$A$5:$A$597,0)),0))</f>
        <v/>
      </c>
      <c r="F1089" s="21" t="str">
        <f t="shared" si="80"/>
        <v/>
      </c>
      <c r="G1089" s="25" t="str">
        <f>IF(Receipts!$I1092="","",Receipts!$I1092)</f>
        <v/>
      </c>
      <c r="H1089" s="25" t="str">
        <f>IF(Receipts!$H1092="","",Receipts!$H1092)</f>
        <v/>
      </c>
      <c r="I1089" s="26" t="str">
        <f t="shared" ca="1" si="81"/>
        <v/>
      </c>
      <c r="J1089" s="26" t="str">
        <f>IF($A1089="","",COUNTIFS(tblReceipts[Item Name],$A1089,tblReceipts[Expiry Date],"&lt;"&amp;$H1089)+COUNTIFS(tblReceipts[Item Name],$A1089,tblReceipts[Expiry Date],$H1089,tblReceipts[Lot Number],"&lt;="&amp;Receipts!$C1092))</f>
        <v/>
      </c>
      <c r="K1089" s="26" t="str">
        <f>IF($A1089="","",SUMIFS(tblReceipts[Qty Received],tblReceipts[Item Name],$A1089,tblReceipts[Expiry Date],"&lt;"&amp;$H1089)+SUMIFS(tblReceipts[Qty Received],tblReceipts[Item Name],$A1089,tblReceipts[Expiry Date],$H1089,tblReceipts[Lot Number],"&lt;"&amp;Receipts!$C1092))</f>
        <v/>
      </c>
      <c r="L1089" s="26" t="str">
        <f>IF($A1089="","",MIN($D1089,MAX(0,SUMIFS(tblIssues[Qty Issued],tblIssues[Item Name],$A1089)-$K1089)))</f>
        <v/>
      </c>
      <c r="M1089" s="26" t="str">
        <f>IF($A1089="","",SUMIFS(tblIssues[Qty Issued],tblIssues[Lot Number],$B1089))</f>
        <v/>
      </c>
      <c r="N1089" s="26" t="str">
        <f t="shared" si="82"/>
        <v/>
      </c>
      <c r="O1089" s="26" t="str">
        <f t="shared" si="83"/>
        <v/>
      </c>
      <c r="P1089" s="21" t="str">
        <f t="shared" si="84"/>
        <v/>
      </c>
      <c r="Q1089" s="52" t="str">
        <f>IF($A1089="","",IF($O1089&lt;=0,"Depleted",IF($I1089&lt;0,"EXPIRED",IF($I1089&lt;=Settings!$C$6,"CRITICAL",IF($I1089&lt;=Settings!$C$5,"Expiring","In date")))))</f>
        <v/>
      </c>
    </row>
    <row r="1090" spans="1:17" x14ac:dyDescent="0.35">
      <c r="A1090" s="90" t="str">
        <f>IF(Receipts!$D1093="","",Receipts!$D1093)</f>
        <v/>
      </c>
      <c r="B1090" s="18" t="str">
        <f>IF(Receipts!$C1093="","",Receipts!$C1093)</f>
        <v/>
      </c>
      <c r="C1090" s="18" t="str">
        <f>IF($A1090="","",IFERROR(INDEX(Items!$B$5:$B$597,MATCH($A1090,Items!$A$5:$A$597,0)),""))</f>
        <v/>
      </c>
      <c r="D1090" s="23" t="str">
        <f>IF($A1090="","",N(Receipts!$G1093))</f>
        <v/>
      </c>
      <c r="E1090" s="20" t="str">
        <f>IF($A1090="","",IFERROR(INDEX(Items!$D$5:$D$597,MATCH($A1090,Items!$A$5:$A$597,0)),0))</f>
        <v/>
      </c>
      <c r="F1090" s="21" t="str">
        <f t="shared" si="80"/>
        <v/>
      </c>
      <c r="G1090" s="25" t="str">
        <f>IF(Receipts!$I1093="","",Receipts!$I1093)</f>
        <v/>
      </c>
      <c r="H1090" s="25" t="str">
        <f>IF(Receipts!$H1093="","",Receipts!$H1093)</f>
        <v/>
      </c>
      <c r="I1090" s="26" t="str">
        <f t="shared" ca="1" si="81"/>
        <v/>
      </c>
      <c r="J1090" s="26" t="str">
        <f>IF($A1090="","",COUNTIFS(tblReceipts[Item Name],$A1090,tblReceipts[Expiry Date],"&lt;"&amp;$H1090)+COUNTIFS(tblReceipts[Item Name],$A1090,tblReceipts[Expiry Date],$H1090,tblReceipts[Lot Number],"&lt;="&amp;Receipts!$C1093))</f>
        <v/>
      </c>
      <c r="K1090" s="26" t="str">
        <f>IF($A1090="","",SUMIFS(tblReceipts[Qty Received],tblReceipts[Item Name],$A1090,tblReceipts[Expiry Date],"&lt;"&amp;$H1090)+SUMIFS(tblReceipts[Qty Received],tblReceipts[Item Name],$A1090,tblReceipts[Expiry Date],$H1090,tblReceipts[Lot Number],"&lt;"&amp;Receipts!$C1093))</f>
        <v/>
      </c>
      <c r="L1090" s="26" t="str">
        <f>IF($A1090="","",MIN($D1090,MAX(0,SUMIFS(tblIssues[Qty Issued],tblIssues[Item Name],$A1090)-$K1090)))</f>
        <v/>
      </c>
      <c r="M1090" s="26" t="str">
        <f>IF($A1090="","",SUMIFS(tblIssues[Qty Issued],tblIssues[Lot Number],$B1090))</f>
        <v/>
      </c>
      <c r="N1090" s="26" t="str">
        <f t="shared" si="82"/>
        <v/>
      </c>
      <c r="O1090" s="26" t="str">
        <f t="shared" si="83"/>
        <v/>
      </c>
      <c r="P1090" s="21" t="str">
        <f t="shared" si="84"/>
        <v/>
      </c>
      <c r="Q1090" s="52" t="str">
        <f>IF($A1090="","",IF($O1090&lt;=0,"Depleted",IF($I1090&lt;0,"EXPIRED",IF($I1090&lt;=Settings!$C$6,"CRITICAL",IF($I1090&lt;=Settings!$C$5,"Expiring","In date")))))</f>
        <v/>
      </c>
    </row>
    <row r="1091" spans="1:17" x14ac:dyDescent="0.35">
      <c r="A1091" s="90" t="str">
        <f>IF(Receipts!$D1094="","",Receipts!$D1094)</f>
        <v/>
      </c>
      <c r="B1091" s="18" t="str">
        <f>IF(Receipts!$C1094="","",Receipts!$C1094)</f>
        <v/>
      </c>
      <c r="C1091" s="18" t="str">
        <f>IF($A1091="","",IFERROR(INDEX(Items!$B$5:$B$597,MATCH($A1091,Items!$A$5:$A$597,0)),""))</f>
        <v/>
      </c>
      <c r="D1091" s="23" t="str">
        <f>IF($A1091="","",N(Receipts!$G1094))</f>
        <v/>
      </c>
      <c r="E1091" s="20" t="str">
        <f>IF($A1091="","",IFERROR(INDEX(Items!$D$5:$D$597,MATCH($A1091,Items!$A$5:$A$597,0)),0))</f>
        <v/>
      </c>
      <c r="F1091" s="21" t="str">
        <f t="shared" si="80"/>
        <v/>
      </c>
      <c r="G1091" s="25" t="str">
        <f>IF(Receipts!$I1094="","",Receipts!$I1094)</f>
        <v/>
      </c>
      <c r="H1091" s="25" t="str">
        <f>IF(Receipts!$H1094="","",Receipts!$H1094)</f>
        <v/>
      </c>
      <c r="I1091" s="26" t="str">
        <f t="shared" ca="1" si="81"/>
        <v/>
      </c>
      <c r="J1091" s="26" t="str">
        <f>IF($A1091="","",COUNTIFS(tblReceipts[Item Name],$A1091,tblReceipts[Expiry Date],"&lt;"&amp;$H1091)+COUNTIFS(tblReceipts[Item Name],$A1091,tblReceipts[Expiry Date],$H1091,tblReceipts[Lot Number],"&lt;="&amp;Receipts!$C1094))</f>
        <v/>
      </c>
      <c r="K1091" s="26" t="str">
        <f>IF($A1091="","",SUMIFS(tblReceipts[Qty Received],tblReceipts[Item Name],$A1091,tblReceipts[Expiry Date],"&lt;"&amp;$H1091)+SUMIFS(tblReceipts[Qty Received],tblReceipts[Item Name],$A1091,tblReceipts[Expiry Date],$H1091,tblReceipts[Lot Number],"&lt;"&amp;Receipts!$C1094))</f>
        <v/>
      </c>
      <c r="L1091" s="26" t="str">
        <f>IF($A1091="","",MIN($D1091,MAX(0,SUMIFS(tblIssues[Qty Issued],tblIssues[Item Name],$A1091)-$K1091)))</f>
        <v/>
      </c>
      <c r="M1091" s="26" t="str">
        <f>IF($A1091="","",SUMIFS(tblIssues[Qty Issued],tblIssues[Lot Number],$B1091))</f>
        <v/>
      </c>
      <c r="N1091" s="26" t="str">
        <f t="shared" si="82"/>
        <v/>
      </c>
      <c r="O1091" s="26" t="str">
        <f t="shared" si="83"/>
        <v/>
      </c>
      <c r="P1091" s="21" t="str">
        <f t="shared" si="84"/>
        <v/>
      </c>
      <c r="Q1091" s="52" t="str">
        <f>IF($A1091="","",IF($O1091&lt;=0,"Depleted",IF($I1091&lt;0,"EXPIRED",IF($I1091&lt;=Settings!$C$6,"CRITICAL",IF($I1091&lt;=Settings!$C$5,"Expiring","In date")))))</f>
        <v/>
      </c>
    </row>
    <row r="1092" spans="1:17" x14ac:dyDescent="0.35">
      <c r="A1092" s="90" t="str">
        <f>IF(Receipts!$D1095="","",Receipts!$D1095)</f>
        <v/>
      </c>
      <c r="B1092" s="18" t="str">
        <f>IF(Receipts!$C1095="","",Receipts!$C1095)</f>
        <v/>
      </c>
      <c r="C1092" s="18" t="str">
        <f>IF($A1092="","",IFERROR(INDEX(Items!$B$5:$B$597,MATCH($A1092,Items!$A$5:$A$597,0)),""))</f>
        <v/>
      </c>
      <c r="D1092" s="23" t="str">
        <f>IF($A1092="","",N(Receipts!$G1095))</f>
        <v/>
      </c>
      <c r="E1092" s="20" t="str">
        <f>IF($A1092="","",IFERROR(INDEX(Items!$D$5:$D$597,MATCH($A1092,Items!$A$5:$A$597,0)),0))</f>
        <v/>
      </c>
      <c r="F1092" s="21" t="str">
        <f t="shared" si="80"/>
        <v/>
      </c>
      <c r="G1092" s="25" t="str">
        <f>IF(Receipts!$I1095="","",Receipts!$I1095)</f>
        <v/>
      </c>
      <c r="H1092" s="25" t="str">
        <f>IF(Receipts!$H1095="","",Receipts!$H1095)</f>
        <v/>
      </c>
      <c r="I1092" s="26" t="str">
        <f t="shared" ca="1" si="81"/>
        <v/>
      </c>
      <c r="J1092" s="26" t="str">
        <f>IF($A1092="","",COUNTIFS(tblReceipts[Item Name],$A1092,tblReceipts[Expiry Date],"&lt;"&amp;$H1092)+COUNTIFS(tblReceipts[Item Name],$A1092,tblReceipts[Expiry Date],$H1092,tblReceipts[Lot Number],"&lt;="&amp;Receipts!$C1095))</f>
        <v/>
      </c>
      <c r="K1092" s="26" t="str">
        <f>IF($A1092="","",SUMIFS(tblReceipts[Qty Received],tblReceipts[Item Name],$A1092,tblReceipts[Expiry Date],"&lt;"&amp;$H1092)+SUMIFS(tblReceipts[Qty Received],tblReceipts[Item Name],$A1092,tblReceipts[Expiry Date],$H1092,tblReceipts[Lot Number],"&lt;"&amp;Receipts!$C1095))</f>
        <v/>
      </c>
      <c r="L1092" s="26" t="str">
        <f>IF($A1092="","",MIN($D1092,MAX(0,SUMIFS(tblIssues[Qty Issued],tblIssues[Item Name],$A1092)-$K1092)))</f>
        <v/>
      </c>
      <c r="M1092" s="26" t="str">
        <f>IF($A1092="","",SUMIFS(tblIssues[Qty Issued],tblIssues[Lot Number],$B1092))</f>
        <v/>
      </c>
      <c r="N1092" s="26" t="str">
        <f t="shared" si="82"/>
        <v/>
      </c>
      <c r="O1092" s="26" t="str">
        <f t="shared" si="83"/>
        <v/>
      </c>
      <c r="P1092" s="21" t="str">
        <f t="shared" si="84"/>
        <v/>
      </c>
      <c r="Q1092" s="52" t="str">
        <f>IF($A1092="","",IF($O1092&lt;=0,"Depleted",IF($I1092&lt;0,"EXPIRED",IF($I1092&lt;=Settings!$C$6,"CRITICAL",IF($I1092&lt;=Settings!$C$5,"Expiring","In date")))))</f>
        <v/>
      </c>
    </row>
    <row r="1093" spans="1:17" x14ac:dyDescent="0.35">
      <c r="A1093" s="90" t="str">
        <f>IF(Receipts!$D1096="","",Receipts!$D1096)</f>
        <v/>
      </c>
      <c r="B1093" s="18" t="str">
        <f>IF(Receipts!$C1096="","",Receipts!$C1096)</f>
        <v/>
      </c>
      <c r="C1093" s="18" t="str">
        <f>IF($A1093="","",IFERROR(INDEX(Items!$B$5:$B$597,MATCH($A1093,Items!$A$5:$A$597,0)),""))</f>
        <v/>
      </c>
      <c r="D1093" s="23" t="str">
        <f>IF($A1093="","",N(Receipts!$G1096))</f>
        <v/>
      </c>
      <c r="E1093" s="20" t="str">
        <f>IF($A1093="","",IFERROR(INDEX(Items!$D$5:$D$597,MATCH($A1093,Items!$A$5:$A$597,0)),0))</f>
        <v/>
      </c>
      <c r="F1093" s="21" t="str">
        <f t="shared" ref="F1093:F1156" si="85">IF($A1093="","",$D1093*$E1093)</f>
        <v/>
      </c>
      <c r="G1093" s="25" t="str">
        <f>IF(Receipts!$I1096="","",Receipts!$I1096)</f>
        <v/>
      </c>
      <c r="H1093" s="25" t="str">
        <f>IF(Receipts!$H1096="","",Receipts!$H1096)</f>
        <v/>
      </c>
      <c r="I1093" s="26" t="str">
        <f t="shared" ref="I1093:I1156" ca="1" si="86">IF($H1093="","",$H1093-TODAY())</f>
        <v/>
      </c>
      <c r="J1093" s="26" t="str">
        <f>IF($A1093="","",COUNTIFS(tblReceipts[Item Name],$A1093,tblReceipts[Expiry Date],"&lt;"&amp;$H1093)+COUNTIFS(tblReceipts[Item Name],$A1093,tblReceipts[Expiry Date],$H1093,tblReceipts[Lot Number],"&lt;="&amp;Receipts!$C1096))</f>
        <v/>
      </c>
      <c r="K1093" s="26" t="str">
        <f>IF($A1093="","",SUMIFS(tblReceipts[Qty Received],tblReceipts[Item Name],$A1093,tblReceipts[Expiry Date],"&lt;"&amp;$H1093)+SUMIFS(tblReceipts[Qty Received],tblReceipts[Item Name],$A1093,tblReceipts[Expiry Date],$H1093,tblReceipts[Lot Number],"&lt;"&amp;Receipts!$C1096))</f>
        <v/>
      </c>
      <c r="L1093" s="26" t="str">
        <f>IF($A1093="","",MIN($D1093,MAX(0,SUMIFS(tblIssues[Qty Issued],tblIssues[Item Name],$A1093)-$K1093)))</f>
        <v/>
      </c>
      <c r="M1093" s="26" t="str">
        <f>IF($A1093="","",SUMIFS(tblIssues[Qty Issued],tblIssues[Lot Number],$B1093))</f>
        <v/>
      </c>
      <c r="N1093" s="26" t="str">
        <f t="shared" ref="N1093:N1156" si="87">IF($A1093="","",$M1093-$L1093)</f>
        <v/>
      </c>
      <c r="O1093" s="26" t="str">
        <f t="shared" ref="O1093:O1156" si="88">IF($A1093="","",$D1093-$L1093)</f>
        <v/>
      </c>
      <c r="P1093" s="21" t="str">
        <f t="shared" ref="P1093:P1156" si="89">IF($A1093="","",$O1093*$E1093)</f>
        <v/>
      </c>
      <c r="Q1093" s="52" t="str">
        <f>IF($A1093="","",IF($O1093&lt;=0,"Depleted",IF($I1093&lt;0,"EXPIRED",IF($I1093&lt;=Settings!$C$6,"CRITICAL",IF($I1093&lt;=Settings!$C$5,"Expiring","In date")))))</f>
        <v/>
      </c>
    </row>
    <row r="1094" spans="1:17" x14ac:dyDescent="0.35">
      <c r="A1094" s="90" t="str">
        <f>IF(Receipts!$D1097="","",Receipts!$D1097)</f>
        <v/>
      </c>
      <c r="B1094" s="18" t="str">
        <f>IF(Receipts!$C1097="","",Receipts!$C1097)</f>
        <v/>
      </c>
      <c r="C1094" s="18" t="str">
        <f>IF($A1094="","",IFERROR(INDEX(Items!$B$5:$B$597,MATCH($A1094,Items!$A$5:$A$597,0)),""))</f>
        <v/>
      </c>
      <c r="D1094" s="23" t="str">
        <f>IF($A1094="","",N(Receipts!$G1097))</f>
        <v/>
      </c>
      <c r="E1094" s="20" t="str">
        <f>IF($A1094="","",IFERROR(INDEX(Items!$D$5:$D$597,MATCH($A1094,Items!$A$5:$A$597,0)),0))</f>
        <v/>
      </c>
      <c r="F1094" s="21" t="str">
        <f t="shared" si="85"/>
        <v/>
      </c>
      <c r="G1094" s="25" t="str">
        <f>IF(Receipts!$I1097="","",Receipts!$I1097)</f>
        <v/>
      </c>
      <c r="H1094" s="25" t="str">
        <f>IF(Receipts!$H1097="","",Receipts!$H1097)</f>
        <v/>
      </c>
      <c r="I1094" s="26" t="str">
        <f t="shared" ca="1" si="86"/>
        <v/>
      </c>
      <c r="J1094" s="26" t="str">
        <f>IF($A1094="","",COUNTIFS(tblReceipts[Item Name],$A1094,tblReceipts[Expiry Date],"&lt;"&amp;$H1094)+COUNTIFS(tblReceipts[Item Name],$A1094,tblReceipts[Expiry Date],$H1094,tblReceipts[Lot Number],"&lt;="&amp;Receipts!$C1097))</f>
        <v/>
      </c>
      <c r="K1094" s="26" t="str">
        <f>IF($A1094="","",SUMIFS(tblReceipts[Qty Received],tblReceipts[Item Name],$A1094,tblReceipts[Expiry Date],"&lt;"&amp;$H1094)+SUMIFS(tblReceipts[Qty Received],tblReceipts[Item Name],$A1094,tblReceipts[Expiry Date],$H1094,tblReceipts[Lot Number],"&lt;"&amp;Receipts!$C1097))</f>
        <v/>
      </c>
      <c r="L1094" s="26" t="str">
        <f>IF($A1094="","",MIN($D1094,MAX(0,SUMIFS(tblIssues[Qty Issued],tblIssues[Item Name],$A1094)-$K1094)))</f>
        <v/>
      </c>
      <c r="M1094" s="26" t="str">
        <f>IF($A1094="","",SUMIFS(tblIssues[Qty Issued],tblIssues[Lot Number],$B1094))</f>
        <v/>
      </c>
      <c r="N1094" s="26" t="str">
        <f t="shared" si="87"/>
        <v/>
      </c>
      <c r="O1094" s="26" t="str">
        <f t="shared" si="88"/>
        <v/>
      </c>
      <c r="P1094" s="21" t="str">
        <f t="shared" si="89"/>
        <v/>
      </c>
      <c r="Q1094" s="52" t="str">
        <f>IF($A1094="","",IF($O1094&lt;=0,"Depleted",IF($I1094&lt;0,"EXPIRED",IF($I1094&lt;=Settings!$C$6,"CRITICAL",IF($I1094&lt;=Settings!$C$5,"Expiring","In date")))))</f>
        <v/>
      </c>
    </row>
    <row r="1095" spans="1:17" x14ac:dyDescent="0.35">
      <c r="A1095" s="90" t="str">
        <f>IF(Receipts!$D1098="","",Receipts!$D1098)</f>
        <v/>
      </c>
      <c r="B1095" s="18" t="str">
        <f>IF(Receipts!$C1098="","",Receipts!$C1098)</f>
        <v/>
      </c>
      <c r="C1095" s="18" t="str">
        <f>IF($A1095="","",IFERROR(INDEX(Items!$B$5:$B$597,MATCH($A1095,Items!$A$5:$A$597,0)),""))</f>
        <v/>
      </c>
      <c r="D1095" s="23" t="str">
        <f>IF($A1095="","",N(Receipts!$G1098))</f>
        <v/>
      </c>
      <c r="E1095" s="20" t="str">
        <f>IF($A1095="","",IFERROR(INDEX(Items!$D$5:$D$597,MATCH($A1095,Items!$A$5:$A$597,0)),0))</f>
        <v/>
      </c>
      <c r="F1095" s="21" t="str">
        <f t="shared" si="85"/>
        <v/>
      </c>
      <c r="G1095" s="25" t="str">
        <f>IF(Receipts!$I1098="","",Receipts!$I1098)</f>
        <v/>
      </c>
      <c r="H1095" s="25" t="str">
        <f>IF(Receipts!$H1098="","",Receipts!$H1098)</f>
        <v/>
      </c>
      <c r="I1095" s="26" t="str">
        <f t="shared" ca="1" si="86"/>
        <v/>
      </c>
      <c r="J1095" s="26" t="str">
        <f>IF($A1095="","",COUNTIFS(tblReceipts[Item Name],$A1095,tblReceipts[Expiry Date],"&lt;"&amp;$H1095)+COUNTIFS(tblReceipts[Item Name],$A1095,tblReceipts[Expiry Date],$H1095,tblReceipts[Lot Number],"&lt;="&amp;Receipts!$C1098))</f>
        <v/>
      </c>
      <c r="K1095" s="26" t="str">
        <f>IF($A1095="","",SUMIFS(tblReceipts[Qty Received],tblReceipts[Item Name],$A1095,tblReceipts[Expiry Date],"&lt;"&amp;$H1095)+SUMIFS(tblReceipts[Qty Received],tblReceipts[Item Name],$A1095,tblReceipts[Expiry Date],$H1095,tblReceipts[Lot Number],"&lt;"&amp;Receipts!$C1098))</f>
        <v/>
      </c>
      <c r="L1095" s="26" t="str">
        <f>IF($A1095="","",MIN($D1095,MAX(0,SUMIFS(tblIssues[Qty Issued],tblIssues[Item Name],$A1095)-$K1095)))</f>
        <v/>
      </c>
      <c r="M1095" s="26" t="str">
        <f>IF($A1095="","",SUMIFS(tblIssues[Qty Issued],tblIssues[Lot Number],$B1095))</f>
        <v/>
      </c>
      <c r="N1095" s="26" t="str">
        <f t="shared" si="87"/>
        <v/>
      </c>
      <c r="O1095" s="26" t="str">
        <f t="shared" si="88"/>
        <v/>
      </c>
      <c r="P1095" s="21" t="str">
        <f t="shared" si="89"/>
        <v/>
      </c>
      <c r="Q1095" s="52" t="str">
        <f>IF($A1095="","",IF($O1095&lt;=0,"Depleted",IF($I1095&lt;0,"EXPIRED",IF($I1095&lt;=Settings!$C$6,"CRITICAL",IF($I1095&lt;=Settings!$C$5,"Expiring","In date")))))</f>
        <v/>
      </c>
    </row>
    <row r="1096" spans="1:17" x14ac:dyDescent="0.35">
      <c r="A1096" s="90" t="str">
        <f>IF(Receipts!$D1099="","",Receipts!$D1099)</f>
        <v/>
      </c>
      <c r="B1096" s="18" t="str">
        <f>IF(Receipts!$C1099="","",Receipts!$C1099)</f>
        <v/>
      </c>
      <c r="C1096" s="18" t="str">
        <f>IF($A1096="","",IFERROR(INDEX(Items!$B$5:$B$597,MATCH($A1096,Items!$A$5:$A$597,0)),""))</f>
        <v/>
      </c>
      <c r="D1096" s="23" t="str">
        <f>IF($A1096="","",N(Receipts!$G1099))</f>
        <v/>
      </c>
      <c r="E1096" s="20" t="str">
        <f>IF($A1096="","",IFERROR(INDEX(Items!$D$5:$D$597,MATCH($A1096,Items!$A$5:$A$597,0)),0))</f>
        <v/>
      </c>
      <c r="F1096" s="21" t="str">
        <f t="shared" si="85"/>
        <v/>
      </c>
      <c r="G1096" s="25" t="str">
        <f>IF(Receipts!$I1099="","",Receipts!$I1099)</f>
        <v/>
      </c>
      <c r="H1096" s="25" t="str">
        <f>IF(Receipts!$H1099="","",Receipts!$H1099)</f>
        <v/>
      </c>
      <c r="I1096" s="26" t="str">
        <f t="shared" ca="1" si="86"/>
        <v/>
      </c>
      <c r="J1096" s="26" t="str">
        <f>IF($A1096="","",COUNTIFS(tblReceipts[Item Name],$A1096,tblReceipts[Expiry Date],"&lt;"&amp;$H1096)+COUNTIFS(tblReceipts[Item Name],$A1096,tblReceipts[Expiry Date],$H1096,tblReceipts[Lot Number],"&lt;="&amp;Receipts!$C1099))</f>
        <v/>
      </c>
      <c r="K1096" s="26" t="str">
        <f>IF($A1096="","",SUMIFS(tblReceipts[Qty Received],tblReceipts[Item Name],$A1096,tblReceipts[Expiry Date],"&lt;"&amp;$H1096)+SUMIFS(tblReceipts[Qty Received],tblReceipts[Item Name],$A1096,tblReceipts[Expiry Date],$H1096,tblReceipts[Lot Number],"&lt;"&amp;Receipts!$C1099))</f>
        <v/>
      </c>
      <c r="L1096" s="26" t="str">
        <f>IF($A1096="","",MIN($D1096,MAX(0,SUMIFS(tblIssues[Qty Issued],tblIssues[Item Name],$A1096)-$K1096)))</f>
        <v/>
      </c>
      <c r="M1096" s="26" t="str">
        <f>IF($A1096="","",SUMIFS(tblIssues[Qty Issued],tblIssues[Lot Number],$B1096))</f>
        <v/>
      </c>
      <c r="N1096" s="26" t="str">
        <f t="shared" si="87"/>
        <v/>
      </c>
      <c r="O1096" s="26" t="str">
        <f t="shared" si="88"/>
        <v/>
      </c>
      <c r="P1096" s="21" t="str">
        <f t="shared" si="89"/>
        <v/>
      </c>
      <c r="Q1096" s="52" t="str">
        <f>IF($A1096="","",IF($O1096&lt;=0,"Depleted",IF($I1096&lt;0,"EXPIRED",IF($I1096&lt;=Settings!$C$6,"CRITICAL",IF($I1096&lt;=Settings!$C$5,"Expiring","In date")))))</f>
        <v/>
      </c>
    </row>
    <row r="1097" spans="1:17" x14ac:dyDescent="0.35">
      <c r="A1097" s="90" t="str">
        <f>IF(Receipts!$D1100="","",Receipts!$D1100)</f>
        <v/>
      </c>
      <c r="B1097" s="18" t="str">
        <f>IF(Receipts!$C1100="","",Receipts!$C1100)</f>
        <v/>
      </c>
      <c r="C1097" s="18" t="str">
        <f>IF($A1097="","",IFERROR(INDEX(Items!$B$5:$B$597,MATCH($A1097,Items!$A$5:$A$597,0)),""))</f>
        <v/>
      </c>
      <c r="D1097" s="23" t="str">
        <f>IF($A1097="","",N(Receipts!$G1100))</f>
        <v/>
      </c>
      <c r="E1097" s="20" t="str">
        <f>IF($A1097="","",IFERROR(INDEX(Items!$D$5:$D$597,MATCH($A1097,Items!$A$5:$A$597,0)),0))</f>
        <v/>
      </c>
      <c r="F1097" s="21" t="str">
        <f t="shared" si="85"/>
        <v/>
      </c>
      <c r="G1097" s="25" t="str">
        <f>IF(Receipts!$I1100="","",Receipts!$I1100)</f>
        <v/>
      </c>
      <c r="H1097" s="25" t="str">
        <f>IF(Receipts!$H1100="","",Receipts!$H1100)</f>
        <v/>
      </c>
      <c r="I1097" s="26" t="str">
        <f t="shared" ca="1" si="86"/>
        <v/>
      </c>
      <c r="J1097" s="26" t="str">
        <f>IF($A1097="","",COUNTIFS(tblReceipts[Item Name],$A1097,tblReceipts[Expiry Date],"&lt;"&amp;$H1097)+COUNTIFS(tblReceipts[Item Name],$A1097,tblReceipts[Expiry Date],$H1097,tblReceipts[Lot Number],"&lt;="&amp;Receipts!$C1100))</f>
        <v/>
      </c>
      <c r="K1097" s="26" t="str">
        <f>IF($A1097="","",SUMIFS(tblReceipts[Qty Received],tblReceipts[Item Name],$A1097,tblReceipts[Expiry Date],"&lt;"&amp;$H1097)+SUMIFS(tblReceipts[Qty Received],tblReceipts[Item Name],$A1097,tblReceipts[Expiry Date],$H1097,tblReceipts[Lot Number],"&lt;"&amp;Receipts!$C1100))</f>
        <v/>
      </c>
      <c r="L1097" s="26" t="str">
        <f>IF($A1097="","",MIN($D1097,MAX(0,SUMIFS(tblIssues[Qty Issued],tblIssues[Item Name],$A1097)-$K1097)))</f>
        <v/>
      </c>
      <c r="M1097" s="26" t="str">
        <f>IF($A1097="","",SUMIFS(tblIssues[Qty Issued],tblIssues[Lot Number],$B1097))</f>
        <v/>
      </c>
      <c r="N1097" s="26" t="str">
        <f t="shared" si="87"/>
        <v/>
      </c>
      <c r="O1097" s="26" t="str">
        <f t="shared" si="88"/>
        <v/>
      </c>
      <c r="P1097" s="21" t="str">
        <f t="shared" si="89"/>
        <v/>
      </c>
      <c r="Q1097" s="52" t="str">
        <f>IF($A1097="","",IF($O1097&lt;=0,"Depleted",IF($I1097&lt;0,"EXPIRED",IF($I1097&lt;=Settings!$C$6,"CRITICAL",IF($I1097&lt;=Settings!$C$5,"Expiring","In date")))))</f>
        <v/>
      </c>
    </row>
    <row r="1098" spans="1:17" x14ac:dyDescent="0.35">
      <c r="A1098" s="90" t="str">
        <f>IF(Receipts!$D1101="","",Receipts!$D1101)</f>
        <v/>
      </c>
      <c r="B1098" s="18" t="str">
        <f>IF(Receipts!$C1101="","",Receipts!$C1101)</f>
        <v/>
      </c>
      <c r="C1098" s="18" t="str">
        <f>IF($A1098="","",IFERROR(INDEX(Items!$B$5:$B$597,MATCH($A1098,Items!$A$5:$A$597,0)),""))</f>
        <v/>
      </c>
      <c r="D1098" s="23" t="str">
        <f>IF($A1098="","",N(Receipts!$G1101))</f>
        <v/>
      </c>
      <c r="E1098" s="20" t="str">
        <f>IF($A1098="","",IFERROR(INDEX(Items!$D$5:$D$597,MATCH($A1098,Items!$A$5:$A$597,0)),0))</f>
        <v/>
      </c>
      <c r="F1098" s="21" t="str">
        <f t="shared" si="85"/>
        <v/>
      </c>
      <c r="G1098" s="25" t="str">
        <f>IF(Receipts!$I1101="","",Receipts!$I1101)</f>
        <v/>
      </c>
      <c r="H1098" s="25" t="str">
        <f>IF(Receipts!$H1101="","",Receipts!$H1101)</f>
        <v/>
      </c>
      <c r="I1098" s="26" t="str">
        <f t="shared" ca="1" si="86"/>
        <v/>
      </c>
      <c r="J1098" s="26" t="str">
        <f>IF($A1098="","",COUNTIFS(tblReceipts[Item Name],$A1098,tblReceipts[Expiry Date],"&lt;"&amp;$H1098)+COUNTIFS(tblReceipts[Item Name],$A1098,tblReceipts[Expiry Date],$H1098,tblReceipts[Lot Number],"&lt;="&amp;Receipts!$C1101))</f>
        <v/>
      </c>
      <c r="K1098" s="26" t="str">
        <f>IF($A1098="","",SUMIFS(tblReceipts[Qty Received],tblReceipts[Item Name],$A1098,tblReceipts[Expiry Date],"&lt;"&amp;$H1098)+SUMIFS(tblReceipts[Qty Received],tblReceipts[Item Name],$A1098,tblReceipts[Expiry Date],$H1098,tblReceipts[Lot Number],"&lt;"&amp;Receipts!$C1101))</f>
        <v/>
      </c>
      <c r="L1098" s="26" t="str">
        <f>IF($A1098="","",MIN($D1098,MAX(0,SUMIFS(tblIssues[Qty Issued],tblIssues[Item Name],$A1098)-$K1098)))</f>
        <v/>
      </c>
      <c r="M1098" s="26" t="str">
        <f>IF($A1098="","",SUMIFS(tblIssues[Qty Issued],tblIssues[Lot Number],$B1098))</f>
        <v/>
      </c>
      <c r="N1098" s="26" t="str">
        <f t="shared" si="87"/>
        <v/>
      </c>
      <c r="O1098" s="26" t="str">
        <f t="shared" si="88"/>
        <v/>
      </c>
      <c r="P1098" s="21" t="str">
        <f t="shared" si="89"/>
        <v/>
      </c>
      <c r="Q1098" s="52" t="str">
        <f>IF($A1098="","",IF($O1098&lt;=0,"Depleted",IF($I1098&lt;0,"EXPIRED",IF($I1098&lt;=Settings!$C$6,"CRITICAL",IF($I1098&lt;=Settings!$C$5,"Expiring","In date")))))</f>
        <v/>
      </c>
    </row>
    <row r="1099" spans="1:17" x14ac:dyDescent="0.35">
      <c r="A1099" s="90" t="str">
        <f>IF(Receipts!$D1102="","",Receipts!$D1102)</f>
        <v/>
      </c>
      <c r="B1099" s="18" t="str">
        <f>IF(Receipts!$C1102="","",Receipts!$C1102)</f>
        <v/>
      </c>
      <c r="C1099" s="18" t="str">
        <f>IF($A1099="","",IFERROR(INDEX(Items!$B$5:$B$597,MATCH($A1099,Items!$A$5:$A$597,0)),""))</f>
        <v/>
      </c>
      <c r="D1099" s="23" t="str">
        <f>IF($A1099="","",N(Receipts!$G1102))</f>
        <v/>
      </c>
      <c r="E1099" s="20" t="str">
        <f>IF($A1099="","",IFERROR(INDEX(Items!$D$5:$D$597,MATCH($A1099,Items!$A$5:$A$597,0)),0))</f>
        <v/>
      </c>
      <c r="F1099" s="21" t="str">
        <f t="shared" si="85"/>
        <v/>
      </c>
      <c r="G1099" s="25" t="str">
        <f>IF(Receipts!$I1102="","",Receipts!$I1102)</f>
        <v/>
      </c>
      <c r="H1099" s="25" t="str">
        <f>IF(Receipts!$H1102="","",Receipts!$H1102)</f>
        <v/>
      </c>
      <c r="I1099" s="26" t="str">
        <f t="shared" ca="1" si="86"/>
        <v/>
      </c>
      <c r="J1099" s="26" t="str">
        <f>IF($A1099="","",COUNTIFS(tblReceipts[Item Name],$A1099,tblReceipts[Expiry Date],"&lt;"&amp;$H1099)+COUNTIFS(tblReceipts[Item Name],$A1099,tblReceipts[Expiry Date],$H1099,tblReceipts[Lot Number],"&lt;="&amp;Receipts!$C1102))</f>
        <v/>
      </c>
      <c r="K1099" s="26" t="str">
        <f>IF($A1099="","",SUMIFS(tblReceipts[Qty Received],tblReceipts[Item Name],$A1099,tblReceipts[Expiry Date],"&lt;"&amp;$H1099)+SUMIFS(tblReceipts[Qty Received],tblReceipts[Item Name],$A1099,tblReceipts[Expiry Date],$H1099,tblReceipts[Lot Number],"&lt;"&amp;Receipts!$C1102))</f>
        <v/>
      </c>
      <c r="L1099" s="26" t="str">
        <f>IF($A1099="","",MIN($D1099,MAX(0,SUMIFS(tblIssues[Qty Issued],tblIssues[Item Name],$A1099)-$K1099)))</f>
        <v/>
      </c>
      <c r="M1099" s="26" t="str">
        <f>IF($A1099="","",SUMIFS(tblIssues[Qty Issued],tblIssues[Lot Number],$B1099))</f>
        <v/>
      </c>
      <c r="N1099" s="26" t="str">
        <f t="shared" si="87"/>
        <v/>
      </c>
      <c r="O1099" s="26" t="str">
        <f t="shared" si="88"/>
        <v/>
      </c>
      <c r="P1099" s="21" t="str">
        <f t="shared" si="89"/>
        <v/>
      </c>
      <c r="Q1099" s="52" t="str">
        <f>IF($A1099="","",IF($O1099&lt;=0,"Depleted",IF($I1099&lt;0,"EXPIRED",IF($I1099&lt;=Settings!$C$6,"CRITICAL",IF($I1099&lt;=Settings!$C$5,"Expiring","In date")))))</f>
        <v/>
      </c>
    </row>
    <row r="1100" spans="1:17" x14ac:dyDescent="0.35">
      <c r="A1100" s="90" t="str">
        <f>IF(Receipts!$D1103="","",Receipts!$D1103)</f>
        <v/>
      </c>
      <c r="B1100" s="18" t="str">
        <f>IF(Receipts!$C1103="","",Receipts!$C1103)</f>
        <v/>
      </c>
      <c r="C1100" s="18" t="str">
        <f>IF($A1100="","",IFERROR(INDEX(Items!$B$5:$B$597,MATCH($A1100,Items!$A$5:$A$597,0)),""))</f>
        <v/>
      </c>
      <c r="D1100" s="23" t="str">
        <f>IF($A1100="","",N(Receipts!$G1103))</f>
        <v/>
      </c>
      <c r="E1100" s="20" t="str">
        <f>IF($A1100="","",IFERROR(INDEX(Items!$D$5:$D$597,MATCH($A1100,Items!$A$5:$A$597,0)),0))</f>
        <v/>
      </c>
      <c r="F1100" s="21" t="str">
        <f t="shared" si="85"/>
        <v/>
      </c>
      <c r="G1100" s="25" t="str">
        <f>IF(Receipts!$I1103="","",Receipts!$I1103)</f>
        <v/>
      </c>
      <c r="H1100" s="25" t="str">
        <f>IF(Receipts!$H1103="","",Receipts!$H1103)</f>
        <v/>
      </c>
      <c r="I1100" s="26" t="str">
        <f t="shared" ca="1" si="86"/>
        <v/>
      </c>
      <c r="J1100" s="26" t="str">
        <f>IF($A1100="","",COUNTIFS(tblReceipts[Item Name],$A1100,tblReceipts[Expiry Date],"&lt;"&amp;$H1100)+COUNTIFS(tblReceipts[Item Name],$A1100,tblReceipts[Expiry Date],$H1100,tblReceipts[Lot Number],"&lt;="&amp;Receipts!$C1103))</f>
        <v/>
      </c>
      <c r="K1100" s="26" t="str">
        <f>IF($A1100="","",SUMIFS(tblReceipts[Qty Received],tblReceipts[Item Name],$A1100,tblReceipts[Expiry Date],"&lt;"&amp;$H1100)+SUMIFS(tblReceipts[Qty Received],tblReceipts[Item Name],$A1100,tblReceipts[Expiry Date],$H1100,tblReceipts[Lot Number],"&lt;"&amp;Receipts!$C1103))</f>
        <v/>
      </c>
      <c r="L1100" s="26" t="str">
        <f>IF($A1100="","",MIN($D1100,MAX(0,SUMIFS(tblIssues[Qty Issued],tblIssues[Item Name],$A1100)-$K1100)))</f>
        <v/>
      </c>
      <c r="M1100" s="26" t="str">
        <f>IF($A1100="","",SUMIFS(tblIssues[Qty Issued],tblIssues[Lot Number],$B1100))</f>
        <v/>
      </c>
      <c r="N1100" s="26" t="str">
        <f t="shared" si="87"/>
        <v/>
      </c>
      <c r="O1100" s="26" t="str">
        <f t="shared" si="88"/>
        <v/>
      </c>
      <c r="P1100" s="21" t="str">
        <f t="shared" si="89"/>
        <v/>
      </c>
      <c r="Q1100" s="52" t="str">
        <f>IF($A1100="","",IF($O1100&lt;=0,"Depleted",IF($I1100&lt;0,"EXPIRED",IF($I1100&lt;=Settings!$C$6,"CRITICAL",IF($I1100&lt;=Settings!$C$5,"Expiring","In date")))))</f>
        <v/>
      </c>
    </row>
    <row r="1101" spans="1:17" x14ac:dyDescent="0.35">
      <c r="A1101" s="90" t="str">
        <f>IF(Receipts!$D1104="","",Receipts!$D1104)</f>
        <v/>
      </c>
      <c r="B1101" s="18" t="str">
        <f>IF(Receipts!$C1104="","",Receipts!$C1104)</f>
        <v/>
      </c>
      <c r="C1101" s="18" t="str">
        <f>IF($A1101="","",IFERROR(INDEX(Items!$B$5:$B$597,MATCH($A1101,Items!$A$5:$A$597,0)),""))</f>
        <v/>
      </c>
      <c r="D1101" s="23" t="str">
        <f>IF($A1101="","",N(Receipts!$G1104))</f>
        <v/>
      </c>
      <c r="E1101" s="20" t="str">
        <f>IF($A1101="","",IFERROR(INDEX(Items!$D$5:$D$597,MATCH($A1101,Items!$A$5:$A$597,0)),0))</f>
        <v/>
      </c>
      <c r="F1101" s="21" t="str">
        <f t="shared" si="85"/>
        <v/>
      </c>
      <c r="G1101" s="25" t="str">
        <f>IF(Receipts!$I1104="","",Receipts!$I1104)</f>
        <v/>
      </c>
      <c r="H1101" s="25" t="str">
        <f>IF(Receipts!$H1104="","",Receipts!$H1104)</f>
        <v/>
      </c>
      <c r="I1101" s="26" t="str">
        <f t="shared" ca="1" si="86"/>
        <v/>
      </c>
      <c r="J1101" s="26" t="str">
        <f>IF($A1101="","",COUNTIFS(tblReceipts[Item Name],$A1101,tblReceipts[Expiry Date],"&lt;"&amp;$H1101)+COUNTIFS(tblReceipts[Item Name],$A1101,tblReceipts[Expiry Date],$H1101,tblReceipts[Lot Number],"&lt;="&amp;Receipts!$C1104))</f>
        <v/>
      </c>
      <c r="K1101" s="26" t="str">
        <f>IF($A1101="","",SUMIFS(tblReceipts[Qty Received],tblReceipts[Item Name],$A1101,tblReceipts[Expiry Date],"&lt;"&amp;$H1101)+SUMIFS(tblReceipts[Qty Received],tblReceipts[Item Name],$A1101,tblReceipts[Expiry Date],$H1101,tblReceipts[Lot Number],"&lt;"&amp;Receipts!$C1104))</f>
        <v/>
      </c>
      <c r="L1101" s="26" t="str">
        <f>IF($A1101="","",MIN($D1101,MAX(0,SUMIFS(tblIssues[Qty Issued],tblIssues[Item Name],$A1101)-$K1101)))</f>
        <v/>
      </c>
      <c r="M1101" s="26" t="str">
        <f>IF($A1101="","",SUMIFS(tblIssues[Qty Issued],tblIssues[Lot Number],$B1101))</f>
        <v/>
      </c>
      <c r="N1101" s="26" t="str">
        <f t="shared" si="87"/>
        <v/>
      </c>
      <c r="O1101" s="26" t="str">
        <f t="shared" si="88"/>
        <v/>
      </c>
      <c r="P1101" s="21" t="str">
        <f t="shared" si="89"/>
        <v/>
      </c>
      <c r="Q1101" s="52" t="str">
        <f>IF($A1101="","",IF($O1101&lt;=0,"Depleted",IF($I1101&lt;0,"EXPIRED",IF($I1101&lt;=Settings!$C$6,"CRITICAL",IF($I1101&lt;=Settings!$C$5,"Expiring","In date")))))</f>
        <v/>
      </c>
    </row>
    <row r="1102" spans="1:17" x14ac:dyDescent="0.35">
      <c r="A1102" s="90" t="str">
        <f>IF(Receipts!$D1105="","",Receipts!$D1105)</f>
        <v/>
      </c>
      <c r="B1102" s="18" t="str">
        <f>IF(Receipts!$C1105="","",Receipts!$C1105)</f>
        <v/>
      </c>
      <c r="C1102" s="18" t="str">
        <f>IF($A1102="","",IFERROR(INDEX(Items!$B$5:$B$597,MATCH($A1102,Items!$A$5:$A$597,0)),""))</f>
        <v/>
      </c>
      <c r="D1102" s="23" t="str">
        <f>IF($A1102="","",N(Receipts!$G1105))</f>
        <v/>
      </c>
      <c r="E1102" s="20" t="str">
        <f>IF($A1102="","",IFERROR(INDEX(Items!$D$5:$D$597,MATCH($A1102,Items!$A$5:$A$597,0)),0))</f>
        <v/>
      </c>
      <c r="F1102" s="21" t="str">
        <f t="shared" si="85"/>
        <v/>
      </c>
      <c r="G1102" s="25" t="str">
        <f>IF(Receipts!$I1105="","",Receipts!$I1105)</f>
        <v/>
      </c>
      <c r="H1102" s="25" t="str">
        <f>IF(Receipts!$H1105="","",Receipts!$H1105)</f>
        <v/>
      </c>
      <c r="I1102" s="26" t="str">
        <f t="shared" ca="1" si="86"/>
        <v/>
      </c>
      <c r="J1102" s="26" t="str">
        <f>IF($A1102="","",COUNTIFS(tblReceipts[Item Name],$A1102,tblReceipts[Expiry Date],"&lt;"&amp;$H1102)+COUNTIFS(tblReceipts[Item Name],$A1102,tblReceipts[Expiry Date],$H1102,tblReceipts[Lot Number],"&lt;="&amp;Receipts!$C1105))</f>
        <v/>
      </c>
      <c r="K1102" s="26" t="str">
        <f>IF($A1102="","",SUMIFS(tblReceipts[Qty Received],tblReceipts[Item Name],$A1102,tblReceipts[Expiry Date],"&lt;"&amp;$H1102)+SUMIFS(tblReceipts[Qty Received],tblReceipts[Item Name],$A1102,tblReceipts[Expiry Date],$H1102,tblReceipts[Lot Number],"&lt;"&amp;Receipts!$C1105))</f>
        <v/>
      </c>
      <c r="L1102" s="26" t="str">
        <f>IF($A1102="","",MIN($D1102,MAX(0,SUMIFS(tblIssues[Qty Issued],tblIssues[Item Name],$A1102)-$K1102)))</f>
        <v/>
      </c>
      <c r="M1102" s="26" t="str">
        <f>IF($A1102="","",SUMIFS(tblIssues[Qty Issued],tblIssues[Lot Number],$B1102))</f>
        <v/>
      </c>
      <c r="N1102" s="26" t="str">
        <f t="shared" si="87"/>
        <v/>
      </c>
      <c r="O1102" s="26" t="str">
        <f t="shared" si="88"/>
        <v/>
      </c>
      <c r="P1102" s="21" t="str">
        <f t="shared" si="89"/>
        <v/>
      </c>
      <c r="Q1102" s="52" t="str">
        <f>IF($A1102="","",IF($O1102&lt;=0,"Depleted",IF($I1102&lt;0,"EXPIRED",IF($I1102&lt;=Settings!$C$6,"CRITICAL",IF($I1102&lt;=Settings!$C$5,"Expiring","In date")))))</f>
        <v/>
      </c>
    </row>
    <row r="1103" spans="1:17" x14ac:dyDescent="0.35">
      <c r="A1103" s="90" t="str">
        <f>IF(Receipts!$D1106="","",Receipts!$D1106)</f>
        <v/>
      </c>
      <c r="B1103" s="18" t="str">
        <f>IF(Receipts!$C1106="","",Receipts!$C1106)</f>
        <v/>
      </c>
      <c r="C1103" s="18" t="str">
        <f>IF($A1103="","",IFERROR(INDEX(Items!$B$5:$B$597,MATCH($A1103,Items!$A$5:$A$597,0)),""))</f>
        <v/>
      </c>
      <c r="D1103" s="23" t="str">
        <f>IF($A1103="","",N(Receipts!$G1106))</f>
        <v/>
      </c>
      <c r="E1103" s="20" t="str">
        <f>IF($A1103="","",IFERROR(INDEX(Items!$D$5:$D$597,MATCH($A1103,Items!$A$5:$A$597,0)),0))</f>
        <v/>
      </c>
      <c r="F1103" s="21" t="str">
        <f t="shared" si="85"/>
        <v/>
      </c>
      <c r="G1103" s="25" t="str">
        <f>IF(Receipts!$I1106="","",Receipts!$I1106)</f>
        <v/>
      </c>
      <c r="H1103" s="25" t="str">
        <f>IF(Receipts!$H1106="","",Receipts!$H1106)</f>
        <v/>
      </c>
      <c r="I1103" s="26" t="str">
        <f t="shared" ca="1" si="86"/>
        <v/>
      </c>
      <c r="J1103" s="26" t="str">
        <f>IF($A1103="","",COUNTIFS(tblReceipts[Item Name],$A1103,tblReceipts[Expiry Date],"&lt;"&amp;$H1103)+COUNTIFS(tblReceipts[Item Name],$A1103,tblReceipts[Expiry Date],$H1103,tblReceipts[Lot Number],"&lt;="&amp;Receipts!$C1106))</f>
        <v/>
      </c>
      <c r="K1103" s="26" t="str">
        <f>IF($A1103="","",SUMIFS(tblReceipts[Qty Received],tblReceipts[Item Name],$A1103,tblReceipts[Expiry Date],"&lt;"&amp;$H1103)+SUMIFS(tblReceipts[Qty Received],tblReceipts[Item Name],$A1103,tblReceipts[Expiry Date],$H1103,tblReceipts[Lot Number],"&lt;"&amp;Receipts!$C1106))</f>
        <v/>
      </c>
      <c r="L1103" s="26" t="str">
        <f>IF($A1103="","",MIN($D1103,MAX(0,SUMIFS(tblIssues[Qty Issued],tblIssues[Item Name],$A1103)-$K1103)))</f>
        <v/>
      </c>
      <c r="M1103" s="26" t="str">
        <f>IF($A1103="","",SUMIFS(tblIssues[Qty Issued],tblIssues[Lot Number],$B1103))</f>
        <v/>
      </c>
      <c r="N1103" s="26" t="str">
        <f t="shared" si="87"/>
        <v/>
      </c>
      <c r="O1103" s="26" t="str">
        <f t="shared" si="88"/>
        <v/>
      </c>
      <c r="P1103" s="21" t="str">
        <f t="shared" si="89"/>
        <v/>
      </c>
      <c r="Q1103" s="52" t="str">
        <f>IF($A1103="","",IF($O1103&lt;=0,"Depleted",IF($I1103&lt;0,"EXPIRED",IF($I1103&lt;=Settings!$C$6,"CRITICAL",IF($I1103&lt;=Settings!$C$5,"Expiring","In date")))))</f>
        <v/>
      </c>
    </row>
    <row r="1104" spans="1:17" x14ac:dyDescent="0.35">
      <c r="A1104" s="90" t="str">
        <f>IF(Receipts!$D1107="","",Receipts!$D1107)</f>
        <v/>
      </c>
      <c r="B1104" s="18" t="str">
        <f>IF(Receipts!$C1107="","",Receipts!$C1107)</f>
        <v/>
      </c>
      <c r="C1104" s="18" t="str">
        <f>IF($A1104="","",IFERROR(INDEX(Items!$B$5:$B$597,MATCH($A1104,Items!$A$5:$A$597,0)),""))</f>
        <v/>
      </c>
      <c r="D1104" s="23" t="str">
        <f>IF($A1104="","",N(Receipts!$G1107))</f>
        <v/>
      </c>
      <c r="E1104" s="20" t="str">
        <f>IF($A1104="","",IFERROR(INDEX(Items!$D$5:$D$597,MATCH($A1104,Items!$A$5:$A$597,0)),0))</f>
        <v/>
      </c>
      <c r="F1104" s="21" t="str">
        <f t="shared" si="85"/>
        <v/>
      </c>
      <c r="G1104" s="25" t="str">
        <f>IF(Receipts!$I1107="","",Receipts!$I1107)</f>
        <v/>
      </c>
      <c r="H1104" s="25" t="str">
        <f>IF(Receipts!$H1107="","",Receipts!$H1107)</f>
        <v/>
      </c>
      <c r="I1104" s="26" t="str">
        <f t="shared" ca="1" si="86"/>
        <v/>
      </c>
      <c r="J1104" s="26" t="str">
        <f>IF($A1104="","",COUNTIFS(tblReceipts[Item Name],$A1104,tblReceipts[Expiry Date],"&lt;"&amp;$H1104)+COUNTIFS(tblReceipts[Item Name],$A1104,tblReceipts[Expiry Date],$H1104,tblReceipts[Lot Number],"&lt;="&amp;Receipts!$C1107))</f>
        <v/>
      </c>
      <c r="K1104" s="26" t="str">
        <f>IF($A1104="","",SUMIFS(tblReceipts[Qty Received],tblReceipts[Item Name],$A1104,tblReceipts[Expiry Date],"&lt;"&amp;$H1104)+SUMIFS(tblReceipts[Qty Received],tblReceipts[Item Name],$A1104,tblReceipts[Expiry Date],$H1104,tblReceipts[Lot Number],"&lt;"&amp;Receipts!$C1107))</f>
        <v/>
      </c>
      <c r="L1104" s="26" t="str">
        <f>IF($A1104="","",MIN($D1104,MAX(0,SUMIFS(tblIssues[Qty Issued],tblIssues[Item Name],$A1104)-$K1104)))</f>
        <v/>
      </c>
      <c r="M1104" s="26" t="str">
        <f>IF($A1104="","",SUMIFS(tblIssues[Qty Issued],tblIssues[Lot Number],$B1104))</f>
        <v/>
      </c>
      <c r="N1104" s="26" t="str">
        <f t="shared" si="87"/>
        <v/>
      </c>
      <c r="O1104" s="26" t="str">
        <f t="shared" si="88"/>
        <v/>
      </c>
      <c r="P1104" s="21" t="str">
        <f t="shared" si="89"/>
        <v/>
      </c>
      <c r="Q1104" s="52" t="str">
        <f>IF($A1104="","",IF($O1104&lt;=0,"Depleted",IF($I1104&lt;0,"EXPIRED",IF($I1104&lt;=Settings!$C$6,"CRITICAL",IF($I1104&lt;=Settings!$C$5,"Expiring","In date")))))</f>
        <v/>
      </c>
    </row>
    <row r="1105" spans="1:17" x14ac:dyDescent="0.35">
      <c r="A1105" s="90" t="str">
        <f>IF(Receipts!$D1108="","",Receipts!$D1108)</f>
        <v/>
      </c>
      <c r="B1105" s="18" t="str">
        <f>IF(Receipts!$C1108="","",Receipts!$C1108)</f>
        <v/>
      </c>
      <c r="C1105" s="18" t="str">
        <f>IF($A1105="","",IFERROR(INDEX(Items!$B$5:$B$597,MATCH($A1105,Items!$A$5:$A$597,0)),""))</f>
        <v/>
      </c>
      <c r="D1105" s="23" t="str">
        <f>IF($A1105="","",N(Receipts!$G1108))</f>
        <v/>
      </c>
      <c r="E1105" s="20" t="str">
        <f>IF($A1105="","",IFERROR(INDEX(Items!$D$5:$D$597,MATCH($A1105,Items!$A$5:$A$597,0)),0))</f>
        <v/>
      </c>
      <c r="F1105" s="21" t="str">
        <f t="shared" si="85"/>
        <v/>
      </c>
      <c r="G1105" s="25" t="str">
        <f>IF(Receipts!$I1108="","",Receipts!$I1108)</f>
        <v/>
      </c>
      <c r="H1105" s="25" t="str">
        <f>IF(Receipts!$H1108="","",Receipts!$H1108)</f>
        <v/>
      </c>
      <c r="I1105" s="26" t="str">
        <f t="shared" ca="1" si="86"/>
        <v/>
      </c>
      <c r="J1105" s="26" t="str">
        <f>IF($A1105="","",COUNTIFS(tblReceipts[Item Name],$A1105,tblReceipts[Expiry Date],"&lt;"&amp;$H1105)+COUNTIFS(tblReceipts[Item Name],$A1105,tblReceipts[Expiry Date],$H1105,tblReceipts[Lot Number],"&lt;="&amp;Receipts!$C1108))</f>
        <v/>
      </c>
      <c r="K1105" s="26" t="str">
        <f>IF($A1105="","",SUMIFS(tblReceipts[Qty Received],tblReceipts[Item Name],$A1105,tblReceipts[Expiry Date],"&lt;"&amp;$H1105)+SUMIFS(tblReceipts[Qty Received],tblReceipts[Item Name],$A1105,tblReceipts[Expiry Date],$H1105,tblReceipts[Lot Number],"&lt;"&amp;Receipts!$C1108))</f>
        <v/>
      </c>
      <c r="L1105" s="26" t="str">
        <f>IF($A1105="","",MIN($D1105,MAX(0,SUMIFS(tblIssues[Qty Issued],tblIssues[Item Name],$A1105)-$K1105)))</f>
        <v/>
      </c>
      <c r="M1105" s="26" t="str">
        <f>IF($A1105="","",SUMIFS(tblIssues[Qty Issued],tblIssues[Lot Number],$B1105))</f>
        <v/>
      </c>
      <c r="N1105" s="26" t="str">
        <f t="shared" si="87"/>
        <v/>
      </c>
      <c r="O1105" s="26" t="str">
        <f t="shared" si="88"/>
        <v/>
      </c>
      <c r="P1105" s="21" t="str">
        <f t="shared" si="89"/>
        <v/>
      </c>
      <c r="Q1105" s="52" t="str">
        <f>IF($A1105="","",IF($O1105&lt;=0,"Depleted",IF($I1105&lt;0,"EXPIRED",IF($I1105&lt;=Settings!$C$6,"CRITICAL",IF($I1105&lt;=Settings!$C$5,"Expiring","In date")))))</f>
        <v/>
      </c>
    </row>
    <row r="1106" spans="1:17" x14ac:dyDescent="0.35">
      <c r="A1106" s="90" t="str">
        <f>IF(Receipts!$D1109="","",Receipts!$D1109)</f>
        <v/>
      </c>
      <c r="B1106" s="18" t="str">
        <f>IF(Receipts!$C1109="","",Receipts!$C1109)</f>
        <v/>
      </c>
      <c r="C1106" s="18" t="str">
        <f>IF($A1106="","",IFERROR(INDEX(Items!$B$5:$B$597,MATCH($A1106,Items!$A$5:$A$597,0)),""))</f>
        <v/>
      </c>
      <c r="D1106" s="23" t="str">
        <f>IF($A1106="","",N(Receipts!$G1109))</f>
        <v/>
      </c>
      <c r="E1106" s="20" t="str">
        <f>IF($A1106="","",IFERROR(INDEX(Items!$D$5:$D$597,MATCH($A1106,Items!$A$5:$A$597,0)),0))</f>
        <v/>
      </c>
      <c r="F1106" s="21" t="str">
        <f t="shared" si="85"/>
        <v/>
      </c>
      <c r="G1106" s="25" t="str">
        <f>IF(Receipts!$I1109="","",Receipts!$I1109)</f>
        <v/>
      </c>
      <c r="H1106" s="25" t="str">
        <f>IF(Receipts!$H1109="","",Receipts!$H1109)</f>
        <v/>
      </c>
      <c r="I1106" s="26" t="str">
        <f t="shared" ca="1" si="86"/>
        <v/>
      </c>
      <c r="J1106" s="26" t="str">
        <f>IF($A1106="","",COUNTIFS(tblReceipts[Item Name],$A1106,tblReceipts[Expiry Date],"&lt;"&amp;$H1106)+COUNTIFS(tblReceipts[Item Name],$A1106,tblReceipts[Expiry Date],$H1106,tblReceipts[Lot Number],"&lt;="&amp;Receipts!$C1109))</f>
        <v/>
      </c>
      <c r="K1106" s="26" t="str">
        <f>IF($A1106="","",SUMIFS(tblReceipts[Qty Received],tblReceipts[Item Name],$A1106,tblReceipts[Expiry Date],"&lt;"&amp;$H1106)+SUMIFS(tblReceipts[Qty Received],tblReceipts[Item Name],$A1106,tblReceipts[Expiry Date],$H1106,tblReceipts[Lot Number],"&lt;"&amp;Receipts!$C1109))</f>
        <v/>
      </c>
      <c r="L1106" s="26" t="str">
        <f>IF($A1106="","",MIN($D1106,MAX(0,SUMIFS(tblIssues[Qty Issued],tblIssues[Item Name],$A1106)-$K1106)))</f>
        <v/>
      </c>
      <c r="M1106" s="26" t="str">
        <f>IF($A1106="","",SUMIFS(tblIssues[Qty Issued],tblIssues[Lot Number],$B1106))</f>
        <v/>
      </c>
      <c r="N1106" s="26" t="str">
        <f t="shared" si="87"/>
        <v/>
      </c>
      <c r="O1106" s="26" t="str">
        <f t="shared" si="88"/>
        <v/>
      </c>
      <c r="P1106" s="21" t="str">
        <f t="shared" si="89"/>
        <v/>
      </c>
      <c r="Q1106" s="52" t="str">
        <f>IF($A1106="","",IF($O1106&lt;=0,"Depleted",IF($I1106&lt;0,"EXPIRED",IF($I1106&lt;=Settings!$C$6,"CRITICAL",IF($I1106&lt;=Settings!$C$5,"Expiring","In date")))))</f>
        <v/>
      </c>
    </row>
    <row r="1107" spans="1:17" x14ac:dyDescent="0.35">
      <c r="A1107" s="90" t="str">
        <f>IF(Receipts!$D1110="","",Receipts!$D1110)</f>
        <v/>
      </c>
      <c r="B1107" s="18" t="str">
        <f>IF(Receipts!$C1110="","",Receipts!$C1110)</f>
        <v/>
      </c>
      <c r="C1107" s="18" t="str">
        <f>IF($A1107="","",IFERROR(INDEX(Items!$B$5:$B$597,MATCH($A1107,Items!$A$5:$A$597,0)),""))</f>
        <v/>
      </c>
      <c r="D1107" s="23" t="str">
        <f>IF($A1107="","",N(Receipts!$G1110))</f>
        <v/>
      </c>
      <c r="E1107" s="20" t="str">
        <f>IF($A1107="","",IFERROR(INDEX(Items!$D$5:$D$597,MATCH($A1107,Items!$A$5:$A$597,0)),0))</f>
        <v/>
      </c>
      <c r="F1107" s="21" t="str">
        <f t="shared" si="85"/>
        <v/>
      </c>
      <c r="G1107" s="25" t="str">
        <f>IF(Receipts!$I1110="","",Receipts!$I1110)</f>
        <v/>
      </c>
      <c r="H1107" s="25" t="str">
        <f>IF(Receipts!$H1110="","",Receipts!$H1110)</f>
        <v/>
      </c>
      <c r="I1107" s="26" t="str">
        <f t="shared" ca="1" si="86"/>
        <v/>
      </c>
      <c r="J1107" s="26" t="str">
        <f>IF($A1107="","",COUNTIFS(tblReceipts[Item Name],$A1107,tblReceipts[Expiry Date],"&lt;"&amp;$H1107)+COUNTIFS(tblReceipts[Item Name],$A1107,tblReceipts[Expiry Date],$H1107,tblReceipts[Lot Number],"&lt;="&amp;Receipts!$C1110))</f>
        <v/>
      </c>
      <c r="K1107" s="26" t="str">
        <f>IF($A1107="","",SUMIFS(tblReceipts[Qty Received],tblReceipts[Item Name],$A1107,tblReceipts[Expiry Date],"&lt;"&amp;$H1107)+SUMIFS(tblReceipts[Qty Received],tblReceipts[Item Name],$A1107,tblReceipts[Expiry Date],$H1107,tblReceipts[Lot Number],"&lt;"&amp;Receipts!$C1110))</f>
        <v/>
      </c>
      <c r="L1107" s="26" t="str">
        <f>IF($A1107="","",MIN($D1107,MAX(0,SUMIFS(tblIssues[Qty Issued],tblIssues[Item Name],$A1107)-$K1107)))</f>
        <v/>
      </c>
      <c r="M1107" s="26" t="str">
        <f>IF($A1107="","",SUMIFS(tblIssues[Qty Issued],tblIssues[Lot Number],$B1107))</f>
        <v/>
      </c>
      <c r="N1107" s="26" t="str">
        <f t="shared" si="87"/>
        <v/>
      </c>
      <c r="O1107" s="26" t="str">
        <f t="shared" si="88"/>
        <v/>
      </c>
      <c r="P1107" s="21" t="str">
        <f t="shared" si="89"/>
        <v/>
      </c>
      <c r="Q1107" s="52" t="str">
        <f>IF($A1107="","",IF($O1107&lt;=0,"Depleted",IF($I1107&lt;0,"EXPIRED",IF($I1107&lt;=Settings!$C$6,"CRITICAL",IF($I1107&lt;=Settings!$C$5,"Expiring","In date")))))</f>
        <v/>
      </c>
    </row>
    <row r="1108" spans="1:17" x14ac:dyDescent="0.35">
      <c r="A1108" s="90" t="str">
        <f>IF(Receipts!$D1111="","",Receipts!$D1111)</f>
        <v/>
      </c>
      <c r="B1108" s="18" t="str">
        <f>IF(Receipts!$C1111="","",Receipts!$C1111)</f>
        <v/>
      </c>
      <c r="C1108" s="18" t="str">
        <f>IF($A1108="","",IFERROR(INDEX(Items!$B$5:$B$597,MATCH($A1108,Items!$A$5:$A$597,0)),""))</f>
        <v/>
      </c>
      <c r="D1108" s="23" t="str">
        <f>IF($A1108="","",N(Receipts!$G1111))</f>
        <v/>
      </c>
      <c r="E1108" s="20" t="str">
        <f>IF($A1108="","",IFERROR(INDEX(Items!$D$5:$D$597,MATCH($A1108,Items!$A$5:$A$597,0)),0))</f>
        <v/>
      </c>
      <c r="F1108" s="21" t="str">
        <f t="shared" si="85"/>
        <v/>
      </c>
      <c r="G1108" s="25" t="str">
        <f>IF(Receipts!$I1111="","",Receipts!$I1111)</f>
        <v/>
      </c>
      <c r="H1108" s="25" t="str">
        <f>IF(Receipts!$H1111="","",Receipts!$H1111)</f>
        <v/>
      </c>
      <c r="I1108" s="26" t="str">
        <f t="shared" ca="1" si="86"/>
        <v/>
      </c>
      <c r="J1108" s="26" t="str">
        <f>IF($A1108="","",COUNTIFS(tblReceipts[Item Name],$A1108,tblReceipts[Expiry Date],"&lt;"&amp;$H1108)+COUNTIFS(tblReceipts[Item Name],$A1108,tblReceipts[Expiry Date],$H1108,tblReceipts[Lot Number],"&lt;="&amp;Receipts!$C1111))</f>
        <v/>
      </c>
      <c r="K1108" s="26" t="str">
        <f>IF($A1108="","",SUMIFS(tblReceipts[Qty Received],tblReceipts[Item Name],$A1108,tblReceipts[Expiry Date],"&lt;"&amp;$H1108)+SUMIFS(tblReceipts[Qty Received],tblReceipts[Item Name],$A1108,tblReceipts[Expiry Date],$H1108,tblReceipts[Lot Number],"&lt;"&amp;Receipts!$C1111))</f>
        <v/>
      </c>
      <c r="L1108" s="26" t="str">
        <f>IF($A1108="","",MIN($D1108,MAX(0,SUMIFS(tblIssues[Qty Issued],tblIssues[Item Name],$A1108)-$K1108)))</f>
        <v/>
      </c>
      <c r="M1108" s="26" t="str">
        <f>IF($A1108="","",SUMIFS(tblIssues[Qty Issued],tblIssues[Lot Number],$B1108))</f>
        <v/>
      </c>
      <c r="N1108" s="26" t="str">
        <f t="shared" si="87"/>
        <v/>
      </c>
      <c r="O1108" s="26" t="str">
        <f t="shared" si="88"/>
        <v/>
      </c>
      <c r="P1108" s="21" t="str">
        <f t="shared" si="89"/>
        <v/>
      </c>
      <c r="Q1108" s="52" t="str">
        <f>IF($A1108="","",IF($O1108&lt;=0,"Depleted",IF($I1108&lt;0,"EXPIRED",IF($I1108&lt;=Settings!$C$6,"CRITICAL",IF($I1108&lt;=Settings!$C$5,"Expiring","In date")))))</f>
        <v/>
      </c>
    </row>
    <row r="1109" spans="1:17" x14ac:dyDescent="0.35">
      <c r="A1109" s="90" t="str">
        <f>IF(Receipts!$D1112="","",Receipts!$D1112)</f>
        <v/>
      </c>
      <c r="B1109" s="18" t="str">
        <f>IF(Receipts!$C1112="","",Receipts!$C1112)</f>
        <v/>
      </c>
      <c r="C1109" s="18" t="str">
        <f>IF($A1109="","",IFERROR(INDEX(Items!$B$5:$B$597,MATCH($A1109,Items!$A$5:$A$597,0)),""))</f>
        <v/>
      </c>
      <c r="D1109" s="23" t="str">
        <f>IF($A1109="","",N(Receipts!$G1112))</f>
        <v/>
      </c>
      <c r="E1109" s="20" t="str">
        <f>IF($A1109="","",IFERROR(INDEX(Items!$D$5:$D$597,MATCH($A1109,Items!$A$5:$A$597,0)),0))</f>
        <v/>
      </c>
      <c r="F1109" s="21" t="str">
        <f t="shared" si="85"/>
        <v/>
      </c>
      <c r="G1109" s="25" t="str">
        <f>IF(Receipts!$I1112="","",Receipts!$I1112)</f>
        <v/>
      </c>
      <c r="H1109" s="25" t="str">
        <f>IF(Receipts!$H1112="","",Receipts!$H1112)</f>
        <v/>
      </c>
      <c r="I1109" s="26" t="str">
        <f t="shared" ca="1" si="86"/>
        <v/>
      </c>
      <c r="J1109" s="26" t="str">
        <f>IF($A1109="","",COUNTIFS(tblReceipts[Item Name],$A1109,tblReceipts[Expiry Date],"&lt;"&amp;$H1109)+COUNTIFS(tblReceipts[Item Name],$A1109,tblReceipts[Expiry Date],$H1109,tblReceipts[Lot Number],"&lt;="&amp;Receipts!$C1112))</f>
        <v/>
      </c>
      <c r="K1109" s="26" t="str">
        <f>IF($A1109="","",SUMIFS(tblReceipts[Qty Received],tblReceipts[Item Name],$A1109,tblReceipts[Expiry Date],"&lt;"&amp;$H1109)+SUMIFS(tblReceipts[Qty Received],tblReceipts[Item Name],$A1109,tblReceipts[Expiry Date],$H1109,tblReceipts[Lot Number],"&lt;"&amp;Receipts!$C1112))</f>
        <v/>
      </c>
      <c r="L1109" s="26" t="str">
        <f>IF($A1109="","",MIN($D1109,MAX(0,SUMIFS(tblIssues[Qty Issued],tblIssues[Item Name],$A1109)-$K1109)))</f>
        <v/>
      </c>
      <c r="M1109" s="26" t="str">
        <f>IF($A1109="","",SUMIFS(tblIssues[Qty Issued],tblIssues[Lot Number],$B1109))</f>
        <v/>
      </c>
      <c r="N1109" s="26" t="str">
        <f t="shared" si="87"/>
        <v/>
      </c>
      <c r="O1109" s="26" t="str">
        <f t="shared" si="88"/>
        <v/>
      </c>
      <c r="P1109" s="21" t="str">
        <f t="shared" si="89"/>
        <v/>
      </c>
      <c r="Q1109" s="52" t="str">
        <f>IF($A1109="","",IF($O1109&lt;=0,"Depleted",IF($I1109&lt;0,"EXPIRED",IF($I1109&lt;=Settings!$C$6,"CRITICAL",IF($I1109&lt;=Settings!$C$5,"Expiring","In date")))))</f>
        <v/>
      </c>
    </row>
    <row r="1110" spans="1:17" x14ac:dyDescent="0.35">
      <c r="A1110" s="90" t="str">
        <f>IF(Receipts!$D1113="","",Receipts!$D1113)</f>
        <v/>
      </c>
      <c r="B1110" s="18" t="str">
        <f>IF(Receipts!$C1113="","",Receipts!$C1113)</f>
        <v/>
      </c>
      <c r="C1110" s="18" t="str">
        <f>IF($A1110="","",IFERROR(INDEX(Items!$B$5:$B$597,MATCH($A1110,Items!$A$5:$A$597,0)),""))</f>
        <v/>
      </c>
      <c r="D1110" s="23" t="str">
        <f>IF($A1110="","",N(Receipts!$G1113))</f>
        <v/>
      </c>
      <c r="E1110" s="20" t="str">
        <f>IF($A1110="","",IFERROR(INDEX(Items!$D$5:$D$597,MATCH($A1110,Items!$A$5:$A$597,0)),0))</f>
        <v/>
      </c>
      <c r="F1110" s="21" t="str">
        <f t="shared" si="85"/>
        <v/>
      </c>
      <c r="G1110" s="25" t="str">
        <f>IF(Receipts!$I1113="","",Receipts!$I1113)</f>
        <v/>
      </c>
      <c r="H1110" s="25" t="str">
        <f>IF(Receipts!$H1113="","",Receipts!$H1113)</f>
        <v/>
      </c>
      <c r="I1110" s="26" t="str">
        <f t="shared" ca="1" si="86"/>
        <v/>
      </c>
      <c r="J1110" s="26" t="str">
        <f>IF($A1110="","",COUNTIFS(tblReceipts[Item Name],$A1110,tblReceipts[Expiry Date],"&lt;"&amp;$H1110)+COUNTIFS(tblReceipts[Item Name],$A1110,tblReceipts[Expiry Date],$H1110,tblReceipts[Lot Number],"&lt;="&amp;Receipts!$C1113))</f>
        <v/>
      </c>
      <c r="K1110" s="26" t="str">
        <f>IF($A1110="","",SUMIFS(tblReceipts[Qty Received],tblReceipts[Item Name],$A1110,tblReceipts[Expiry Date],"&lt;"&amp;$H1110)+SUMIFS(tblReceipts[Qty Received],tblReceipts[Item Name],$A1110,tblReceipts[Expiry Date],$H1110,tblReceipts[Lot Number],"&lt;"&amp;Receipts!$C1113))</f>
        <v/>
      </c>
      <c r="L1110" s="26" t="str">
        <f>IF($A1110="","",MIN($D1110,MAX(0,SUMIFS(tblIssues[Qty Issued],tblIssues[Item Name],$A1110)-$K1110)))</f>
        <v/>
      </c>
      <c r="M1110" s="26" t="str">
        <f>IF($A1110="","",SUMIFS(tblIssues[Qty Issued],tblIssues[Lot Number],$B1110))</f>
        <v/>
      </c>
      <c r="N1110" s="26" t="str">
        <f t="shared" si="87"/>
        <v/>
      </c>
      <c r="O1110" s="26" t="str">
        <f t="shared" si="88"/>
        <v/>
      </c>
      <c r="P1110" s="21" t="str">
        <f t="shared" si="89"/>
        <v/>
      </c>
      <c r="Q1110" s="52" t="str">
        <f>IF($A1110="","",IF($O1110&lt;=0,"Depleted",IF($I1110&lt;0,"EXPIRED",IF($I1110&lt;=Settings!$C$6,"CRITICAL",IF($I1110&lt;=Settings!$C$5,"Expiring","In date")))))</f>
        <v/>
      </c>
    </row>
    <row r="1111" spans="1:17" x14ac:dyDescent="0.35">
      <c r="A1111" s="90" t="str">
        <f>IF(Receipts!$D1114="","",Receipts!$D1114)</f>
        <v/>
      </c>
      <c r="B1111" s="18" t="str">
        <f>IF(Receipts!$C1114="","",Receipts!$C1114)</f>
        <v/>
      </c>
      <c r="C1111" s="18" t="str">
        <f>IF($A1111="","",IFERROR(INDEX(Items!$B$5:$B$597,MATCH($A1111,Items!$A$5:$A$597,0)),""))</f>
        <v/>
      </c>
      <c r="D1111" s="23" t="str">
        <f>IF($A1111="","",N(Receipts!$G1114))</f>
        <v/>
      </c>
      <c r="E1111" s="20" t="str">
        <f>IF($A1111="","",IFERROR(INDEX(Items!$D$5:$D$597,MATCH($A1111,Items!$A$5:$A$597,0)),0))</f>
        <v/>
      </c>
      <c r="F1111" s="21" t="str">
        <f t="shared" si="85"/>
        <v/>
      </c>
      <c r="G1111" s="25" t="str">
        <f>IF(Receipts!$I1114="","",Receipts!$I1114)</f>
        <v/>
      </c>
      <c r="H1111" s="25" t="str">
        <f>IF(Receipts!$H1114="","",Receipts!$H1114)</f>
        <v/>
      </c>
      <c r="I1111" s="26" t="str">
        <f t="shared" ca="1" si="86"/>
        <v/>
      </c>
      <c r="J1111" s="26" t="str">
        <f>IF($A1111="","",COUNTIFS(tblReceipts[Item Name],$A1111,tblReceipts[Expiry Date],"&lt;"&amp;$H1111)+COUNTIFS(tblReceipts[Item Name],$A1111,tblReceipts[Expiry Date],$H1111,tblReceipts[Lot Number],"&lt;="&amp;Receipts!$C1114))</f>
        <v/>
      </c>
      <c r="K1111" s="26" t="str">
        <f>IF($A1111="","",SUMIFS(tblReceipts[Qty Received],tblReceipts[Item Name],$A1111,tblReceipts[Expiry Date],"&lt;"&amp;$H1111)+SUMIFS(tblReceipts[Qty Received],tblReceipts[Item Name],$A1111,tblReceipts[Expiry Date],$H1111,tblReceipts[Lot Number],"&lt;"&amp;Receipts!$C1114))</f>
        <v/>
      </c>
      <c r="L1111" s="26" t="str">
        <f>IF($A1111="","",MIN($D1111,MAX(0,SUMIFS(tblIssues[Qty Issued],tblIssues[Item Name],$A1111)-$K1111)))</f>
        <v/>
      </c>
      <c r="M1111" s="26" t="str">
        <f>IF($A1111="","",SUMIFS(tblIssues[Qty Issued],tblIssues[Lot Number],$B1111))</f>
        <v/>
      </c>
      <c r="N1111" s="26" t="str">
        <f t="shared" si="87"/>
        <v/>
      </c>
      <c r="O1111" s="26" t="str">
        <f t="shared" si="88"/>
        <v/>
      </c>
      <c r="P1111" s="21" t="str">
        <f t="shared" si="89"/>
        <v/>
      </c>
      <c r="Q1111" s="52" t="str">
        <f>IF($A1111="","",IF($O1111&lt;=0,"Depleted",IF($I1111&lt;0,"EXPIRED",IF($I1111&lt;=Settings!$C$6,"CRITICAL",IF($I1111&lt;=Settings!$C$5,"Expiring","In date")))))</f>
        <v/>
      </c>
    </row>
    <row r="1112" spans="1:17" x14ac:dyDescent="0.35">
      <c r="A1112" s="90" t="str">
        <f>IF(Receipts!$D1115="","",Receipts!$D1115)</f>
        <v/>
      </c>
      <c r="B1112" s="18" t="str">
        <f>IF(Receipts!$C1115="","",Receipts!$C1115)</f>
        <v/>
      </c>
      <c r="C1112" s="18" t="str">
        <f>IF($A1112="","",IFERROR(INDEX(Items!$B$5:$B$597,MATCH($A1112,Items!$A$5:$A$597,0)),""))</f>
        <v/>
      </c>
      <c r="D1112" s="23" t="str">
        <f>IF($A1112="","",N(Receipts!$G1115))</f>
        <v/>
      </c>
      <c r="E1112" s="20" t="str">
        <f>IF($A1112="","",IFERROR(INDEX(Items!$D$5:$D$597,MATCH($A1112,Items!$A$5:$A$597,0)),0))</f>
        <v/>
      </c>
      <c r="F1112" s="21" t="str">
        <f t="shared" si="85"/>
        <v/>
      </c>
      <c r="G1112" s="25" t="str">
        <f>IF(Receipts!$I1115="","",Receipts!$I1115)</f>
        <v/>
      </c>
      <c r="H1112" s="25" t="str">
        <f>IF(Receipts!$H1115="","",Receipts!$H1115)</f>
        <v/>
      </c>
      <c r="I1112" s="26" t="str">
        <f t="shared" ca="1" si="86"/>
        <v/>
      </c>
      <c r="J1112" s="26" t="str">
        <f>IF($A1112="","",COUNTIFS(tblReceipts[Item Name],$A1112,tblReceipts[Expiry Date],"&lt;"&amp;$H1112)+COUNTIFS(tblReceipts[Item Name],$A1112,tblReceipts[Expiry Date],$H1112,tblReceipts[Lot Number],"&lt;="&amp;Receipts!$C1115))</f>
        <v/>
      </c>
      <c r="K1112" s="26" t="str">
        <f>IF($A1112="","",SUMIFS(tblReceipts[Qty Received],tblReceipts[Item Name],$A1112,tblReceipts[Expiry Date],"&lt;"&amp;$H1112)+SUMIFS(tblReceipts[Qty Received],tblReceipts[Item Name],$A1112,tblReceipts[Expiry Date],$H1112,tblReceipts[Lot Number],"&lt;"&amp;Receipts!$C1115))</f>
        <v/>
      </c>
      <c r="L1112" s="26" t="str">
        <f>IF($A1112="","",MIN($D1112,MAX(0,SUMIFS(tblIssues[Qty Issued],tblIssues[Item Name],$A1112)-$K1112)))</f>
        <v/>
      </c>
      <c r="M1112" s="26" t="str">
        <f>IF($A1112="","",SUMIFS(tblIssues[Qty Issued],tblIssues[Lot Number],$B1112))</f>
        <v/>
      </c>
      <c r="N1112" s="26" t="str">
        <f t="shared" si="87"/>
        <v/>
      </c>
      <c r="O1112" s="26" t="str">
        <f t="shared" si="88"/>
        <v/>
      </c>
      <c r="P1112" s="21" t="str">
        <f t="shared" si="89"/>
        <v/>
      </c>
      <c r="Q1112" s="52" t="str">
        <f>IF($A1112="","",IF($O1112&lt;=0,"Depleted",IF($I1112&lt;0,"EXPIRED",IF($I1112&lt;=Settings!$C$6,"CRITICAL",IF($I1112&lt;=Settings!$C$5,"Expiring","In date")))))</f>
        <v/>
      </c>
    </row>
    <row r="1113" spans="1:17" x14ac:dyDescent="0.35">
      <c r="A1113" s="90" t="str">
        <f>IF(Receipts!$D1116="","",Receipts!$D1116)</f>
        <v/>
      </c>
      <c r="B1113" s="18" t="str">
        <f>IF(Receipts!$C1116="","",Receipts!$C1116)</f>
        <v/>
      </c>
      <c r="C1113" s="18" t="str">
        <f>IF($A1113="","",IFERROR(INDEX(Items!$B$5:$B$597,MATCH($A1113,Items!$A$5:$A$597,0)),""))</f>
        <v/>
      </c>
      <c r="D1113" s="23" t="str">
        <f>IF($A1113="","",N(Receipts!$G1116))</f>
        <v/>
      </c>
      <c r="E1113" s="20" t="str">
        <f>IF($A1113="","",IFERROR(INDEX(Items!$D$5:$D$597,MATCH($A1113,Items!$A$5:$A$597,0)),0))</f>
        <v/>
      </c>
      <c r="F1113" s="21" t="str">
        <f t="shared" si="85"/>
        <v/>
      </c>
      <c r="G1113" s="25" t="str">
        <f>IF(Receipts!$I1116="","",Receipts!$I1116)</f>
        <v/>
      </c>
      <c r="H1113" s="25" t="str">
        <f>IF(Receipts!$H1116="","",Receipts!$H1116)</f>
        <v/>
      </c>
      <c r="I1113" s="26" t="str">
        <f t="shared" ca="1" si="86"/>
        <v/>
      </c>
      <c r="J1113" s="26" t="str">
        <f>IF($A1113="","",COUNTIFS(tblReceipts[Item Name],$A1113,tblReceipts[Expiry Date],"&lt;"&amp;$H1113)+COUNTIFS(tblReceipts[Item Name],$A1113,tblReceipts[Expiry Date],$H1113,tblReceipts[Lot Number],"&lt;="&amp;Receipts!$C1116))</f>
        <v/>
      </c>
      <c r="K1113" s="26" t="str">
        <f>IF($A1113="","",SUMIFS(tblReceipts[Qty Received],tblReceipts[Item Name],$A1113,tblReceipts[Expiry Date],"&lt;"&amp;$H1113)+SUMIFS(tblReceipts[Qty Received],tblReceipts[Item Name],$A1113,tblReceipts[Expiry Date],$H1113,tblReceipts[Lot Number],"&lt;"&amp;Receipts!$C1116))</f>
        <v/>
      </c>
      <c r="L1113" s="26" t="str">
        <f>IF($A1113="","",MIN($D1113,MAX(0,SUMIFS(tblIssues[Qty Issued],tblIssues[Item Name],$A1113)-$K1113)))</f>
        <v/>
      </c>
      <c r="M1113" s="26" t="str">
        <f>IF($A1113="","",SUMIFS(tblIssues[Qty Issued],tblIssues[Lot Number],$B1113))</f>
        <v/>
      </c>
      <c r="N1113" s="26" t="str">
        <f t="shared" si="87"/>
        <v/>
      </c>
      <c r="O1113" s="26" t="str">
        <f t="shared" si="88"/>
        <v/>
      </c>
      <c r="P1113" s="21" t="str">
        <f t="shared" si="89"/>
        <v/>
      </c>
      <c r="Q1113" s="52" t="str">
        <f>IF($A1113="","",IF($O1113&lt;=0,"Depleted",IF($I1113&lt;0,"EXPIRED",IF($I1113&lt;=Settings!$C$6,"CRITICAL",IF($I1113&lt;=Settings!$C$5,"Expiring","In date")))))</f>
        <v/>
      </c>
    </row>
    <row r="1114" spans="1:17" x14ac:dyDescent="0.35">
      <c r="A1114" s="90" t="str">
        <f>IF(Receipts!$D1117="","",Receipts!$D1117)</f>
        <v/>
      </c>
      <c r="B1114" s="18" t="str">
        <f>IF(Receipts!$C1117="","",Receipts!$C1117)</f>
        <v/>
      </c>
      <c r="C1114" s="18" t="str">
        <f>IF($A1114="","",IFERROR(INDEX(Items!$B$5:$B$597,MATCH($A1114,Items!$A$5:$A$597,0)),""))</f>
        <v/>
      </c>
      <c r="D1114" s="23" t="str">
        <f>IF($A1114="","",N(Receipts!$G1117))</f>
        <v/>
      </c>
      <c r="E1114" s="20" t="str">
        <f>IF($A1114="","",IFERROR(INDEX(Items!$D$5:$D$597,MATCH($A1114,Items!$A$5:$A$597,0)),0))</f>
        <v/>
      </c>
      <c r="F1114" s="21" t="str">
        <f t="shared" si="85"/>
        <v/>
      </c>
      <c r="G1114" s="25" t="str">
        <f>IF(Receipts!$I1117="","",Receipts!$I1117)</f>
        <v/>
      </c>
      <c r="H1114" s="25" t="str">
        <f>IF(Receipts!$H1117="","",Receipts!$H1117)</f>
        <v/>
      </c>
      <c r="I1114" s="26" t="str">
        <f t="shared" ca="1" si="86"/>
        <v/>
      </c>
      <c r="J1114" s="26" t="str">
        <f>IF($A1114="","",COUNTIFS(tblReceipts[Item Name],$A1114,tblReceipts[Expiry Date],"&lt;"&amp;$H1114)+COUNTIFS(tblReceipts[Item Name],$A1114,tblReceipts[Expiry Date],$H1114,tblReceipts[Lot Number],"&lt;="&amp;Receipts!$C1117))</f>
        <v/>
      </c>
      <c r="K1114" s="26" t="str">
        <f>IF($A1114="","",SUMIFS(tblReceipts[Qty Received],tblReceipts[Item Name],$A1114,tblReceipts[Expiry Date],"&lt;"&amp;$H1114)+SUMIFS(tblReceipts[Qty Received],tblReceipts[Item Name],$A1114,tblReceipts[Expiry Date],$H1114,tblReceipts[Lot Number],"&lt;"&amp;Receipts!$C1117))</f>
        <v/>
      </c>
      <c r="L1114" s="26" t="str">
        <f>IF($A1114="","",MIN($D1114,MAX(0,SUMIFS(tblIssues[Qty Issued],tblIssues[Item Name],$A1114)-$K1114)))</f>
        <v/>
      </c>
      <c r="M1114" s="26" t="str">
        <f>IF($A1114="","",SUMIFS(tblIssues[Qty Issued],tblIssues[Lot Number],$B1114))</f>
        <v/>
      </c>
      <c r="N1114" s="26" t="str">
        <f t="shared" si="87"/>
        <v/>
      </c>
      <c r="O1114" s="26" t="str">
        <f t="shared" si="88"/>
        <v/>
      </c>
      <c r="P1114" s="21" t="str">
        <f t="shared" si="89"/>
        <v/>
      </c>
      <c r="Q1114" s="52" t="str">
        <f>IF($A1114="","",IF($O1114&lt;=0,"Depleted",IF($I1114&lt;0,"EXPIRED",IF($I1114&lt;=Settings!$C$6,"CRITICAL",IF($I1114&lt;=Settings!$C$5,"Expiring","In date")))))</f>
        <v/>
      </c>
    </row>
    <row r="1115" spans="1:17" x14ac:dyDescent="0.35">
      <c r="A1115" s="90" t="str">
        <f>IF(Receipts!$D1118="","",Receipts!$D1118)</f>
        <v/>
      </c>
      <c r="B1115" s="18" t="str">
        <f>IF(Receipts!$C1118="","",Receipts!$C1118)</f>
        <v/>
      </c>
      <c r="C1115" s="18" t="str">
        <f>IF($A1115="","",IFERROR(INDEX(Items!$B$5:$B$597,MATCH($A1115,Items!$A$5:$A$597,0)),""))</f>
        <v/>
      </c>
      <c r="D1115" s="23" t="str">
        <f>IF($A1115="","",N(Receipts!$G1118))</f>
        <v/>
      </c>
      <c r="E1115" s="20" t="str">
        <f>IF($A1115="","",IFERROR(INDEX(Items!$D$5:$D$597,MATCH($A1115,Items!$A$5:$A$597,0)),0))</f>
        <v/>
      </c>
      <c r="F1115" s="21" t="str">
        <f t="shared" si="85"/>
        <v/>
      </c>
      <c r="G1115" s="25" t="str">
        <f>IF(Receipts!$I1118="","",Receipts!$I1118)</f>
        <v/>
      </c>
      <c r="H1115" s="25" t="str">
        <f>IF(Receipts!$H1118="","",Receipts!$H1118)</f>
        <v/>
      </c>
      <c r="I1115" s="26" t="str">
        <f t="shared" ca="1" si="86"/>
        <v/>
      </c>
      <c r="J1115" s="26" t="str">
        <f>IF($A1115="","",COUNTIFS(tblReceipts[Item Name],$A1115,tblReceipts[Expiry Date],"&lt;"&amp;$H1115)+COUNTIFS(tblReceipts[Item Name],$A1115,tblReceipts[Expiry Date],$H1115,tblReceipts[Lot Number],"&lt;="&amp;Receipts!$C1118))</f>
        <v/>
      </c>
      <c r="K1115" s="26" t="str">
        <f>IF($A1115="","",SUMIFS(tblReceipts[Qty Received],tblReceipts[Item Name],$A1115,tblReceipts[Expiry Date],"&lt;"&amp;$H1115)+SUMIFS(tblReceipts[Qty Received],tblReceipts[Item Name],$A1115,tblReceipts[Expiry Date],$H1115,tblReceipts[Lot Number],"&lt;"&amp;Receipts!$C1118))</f>
        <v/>
      </c>
      <c r="L1115" s="26" t="str">
        <f>IF($A1115="","",MIN($D1115,MAX(0,SUMIFS(tblIssues[Qty Issued],tblIssues[Item Name],$A1115)-$K1115)))</f>
        <v/>
      </c>
      <c r="M1115" s="26" t="str">
        <f>IF($A1115="","",SUMIFS(tblIssues[Qty Issued],tblIssues[Lot Number],$B1115))</f>
        <v/>
      </c>
      <c r="N1115" s="26" t="str">
        <f t="shared" si="87"/>
        <v/>
      </c>
      <c r="O1115" s="26" t="str">
        <f t="shared" si="88"/>
        <v/>
      </c>
      <c r="P1115" s="21" t="str">
        <f t="shared" si="89"/>
        <v/>
      </c>
      <c r="Q1115" s="52" t="str">
        <f>IF($A1115="","",IF($O1115&lt;=0,"Depleted",IF($I1115&lt;0,"EXPIRED",IF($I1115&lt;=Settings!$C$6,"CRITICAL",IF($I1115&lt;=Settings!$C$5,"Expiring","In date")))))</f>
        <v/>
      </c>
    </row>
    <row r="1116" spans="1:17" x14ac:dyDescent="0.35">
      <c r="A1116" s="90" t="str">
        <f>IF(Receipts!$D1119="","",Receipts!$D1119)</f>
        <v/>
      </c>
      <c r="B1116" s="18" t="str">
        <f>IF(Receipts!$C1119="","",Receipts!$C1119)</f>
        <v/>
      </c>
      <c r="C1116" s="18" t="str">
        <f>IF($A1116="","",IFERROR(INDEX(Items!$B$5:$B$597,MATCH($A1116,Items!$A$5:$A$597,0)),""))</f>
        <v/>
      </c>
      <c r="D1116" s="23" t="str">
        <f>IF($A1116="","",N(Receipts!$G1119))</f>
        <v/>
      </c>
      <c r="E1116" s="20" t="str">
        <f>IF($A1116="","",IFERROR(INDEX(Items!$D$5:$D$597,MATCH($A1116,Items!$A$5:$A$597,0)),0))</f>
        <v/>
      </c>
      <c r="F1116" s="21" t="str">
        <f t="shared" si="85"/>
        <v/>
      </c>
      <c r="G1116" s="25" t="str">
        <f>IF(Receipts!$I1119="","",Receipts!$I1119)</f>
        <v/>
      </c>
      <c r="H1116" s="25" t="str">
        <f>IF(Receipts!$H1119="","",Receipts!$H1119)</f>
        <v/>
      </c>
      <c r="I1116" s="26" t="str">
        <f t="shared" ca="1" si="86"/>
        <v/>
      </c>
      <c r="J1116" s="26" t="str">
        <f>IF($A1116="","",COUNTIFS(tblReceipts[Item Name],$A1116,tblReceipts[Expiry Date],"&lt;"&amp;$H1116)+COUNTIFS(tblReceipts[Item Name],$A1116,tblReceipts[Expiry Date],$H1116,tblReceipts[Lot Number],"&lt;="&amp;Receipts!$C1119))</f>
        <v/>
      </c>
      <c r="K1116" s="26" t="str">
        <f>IF($A1116="","",SUMIFS(tblReceipts[Qty Received],tblReceipts[Item Name],$A1116,tblReceipts[Expiry Date],"&lt;"&amp;$H1116)+SUMIFS(tblReceipts[Qty Received],tblReceipts[Item Name],$A1116,tblReceipts[Expiry Date],$H1116,tblReceipts[Lot Number],"&lt;"&amp;Receipts!$C1119))</f>
        <v/>
      </c>
      <c r="L1116" s="26" t="str">
        <f>IF($A1116="","",MIN($D1116,MAX(0,SUMIFS(tblIssues[Qty Issued],tblIssues[Item Name],$A1116)-$K1116)))</f>
        <v/>
      </c>
      <c r="M1116" s="26" t="str">
        <f>IF($A1116="","",SUMIFS(tblIssues[Qty Issued],tblIssues[Lot Number],$B1116))</f>
        <v/>
      </c>
      <c r="N1116" s="26" t="str">
        <f t="shared" si="87"/>
        <v/>
      </c>
      <c r="O1116" s="26" t="str">
        <f t="shared" si="88"/>
        <v/>
      </c>
      <c r="P1116" s="21" t="str">
        <f t="shared" si="89"/>
        <v/>
      </c>
      <c r="Q1116" s="52" t="str">
        <f>IF($A1116="","",IF($O1116&lt;=0,"Depleted",IF($I1116&lt;0,"EXPIRED",IF($I1116&lt;=Settings!$C$6,"CRITICAL",IF($I1116&lt;=Settings!$C$5,"Expiring","In date")))))</f>
        <v/>
      </c>
    </row>
    <row r="1117" spans="1:17" x14ac:dyDescent="0.35">
      <c r="A1117" s="90" t="str">
        <f>IF(Receipts!$D1120="","",Receipts!$D1120)</f>
        <v/>
      </c>
      <c r="B1117" s="18" t="str">
        <f>IF(Receipts!$C1120="","",Receipts!$C1120)</f>
        <v/>
      </c>
      <c r="C1117" s="18" t="str">
        <f>IF($A1117="","",IFERROR(INDEX(Items!$B$5:$B$597,MATCH($A1117,Items!$A$5:$A$597,0)),""))</f>
        <v/>
      </c>
      <c r="D1117" s="23" t="str">
        <f>IF($A1117="","",N(Receipts!$G1120))</f>
        <v/>
      </c>
      <c r="E1117" s="20" t="str">
        <f>IF($A1117="","",IFERROR(INDEX(Items!$D$5:$D$597,MATCH($A1117,Items!$A$5:$A$597,0)),0))</f>
        <v/>
      </c>
      <c r="F1117" s="21" t="str">
        <f t="shared" si="85"/>
        <v/>
      </c>
      <c r="G1117" s="25" t="str">
        <f>IF(Receipts!$I1120="","",Receipts!$I1120)</f>
        <v/>
      </c>
      <c r="H1117" s="25" t="str">
        <f>IF(Receipts!$H1120="","",Receipts!$H1120)</f>
        <v/>
      </c>
      <c r="I1117" s="26" t="str">
        <f t="shared" ca="1" si="86"/>
        <v/>
      </c>
      <c r="J1117" s="26" t="str">
        <f>IF($A1117="","",COUNTIFS(tblReceipts[Item Name],$A1117,tblReceipts[Expiry Date],"&lt;"&amp;$H1117)+COUNTIFS(tblReceipts[Item Name],$A1117,tblReceipts[Expiry Date],$H1117,tblReceipts[Lot Number],"&lt;="&amp;Receipts!$C1120))</f>
        <v/>
      </c>
      <c r="K1117" s="26" t="str">
        <f>IF($A1117="","",SUMIFS(tblReceipts[Qty Received],tblReceipts[Item Name],$A1117,tblReceipts[Expiry Date],"&lt;"&amp;$H1117)+SUMIFS(tblReceipts[Qty Received],tblReceipts[Item Name],$A1117,tblReceipts[Expiry Date],$H1117,tblReceipts[Lot Number],"&lt;"&amp;Receipts!$C1120))</f>
        <v/>
      </c>
      <c r="L1117" s="26" t="str">
        <f>IF($A1117="","",MIN($D1117,MAX(0,SUMIFS(tblIssues[Qty Issued],tblIssues[Item Name],$A1117)-$K1117)))</f>
        <v/>
      </c>
      <c r="M1117" s="26" t="str">
        <f>IF($A1117="","",SUMIFS(tblIssues[Qty Issued],tblIssues[Lot Number],$B1117))</f>
        <v/>
      </c>
      <c r="N1117" s="26" t="str">
        <f t="shared" si="87"/>
        <v/>
      </c>
      <c r="O1117" s="26" t="str">
        <f t="shared" si="88"/>
        <v/>
      </c>
      <c r="P1117" s="21" t="str">
        <f t="shared" si="89"/>
        <v/>
      </c>
      <c r="Q1117" s="52" t="str">
        <f>IF($A1117="","",IF($O1117&lt;=0,"Depleted",IF($I1117&lt;0,"EXPIRED",IF($I1117&lt;=Settings!$C$6,"CRITICAL",IF($I1117&lt;=Settings!$C$5,"Expiring","In date")))))</f>
        <v/>
      </c>
    </row>
    <row r="1118" spans="1:17" x14ac:dyDescent="0.35">
      <c r="A1118" s="90" t="str">
        <f>IF(Receipts!$D1121="","",Receipts!$D1121)</f>
        <v/>
      </c>
      <c r="B1118" s="18" t="str">
        <f>IF(Receipts!$C1121="","",Receipts!$C1121)</f>
        <v/>
      </c>
      <c r="C1118" s="18" t="str">
        <f>IF($A1118="","",IFERROR(INDEX(Items!$B$5:$B$597,MATCH($A1118,Items!$A$5:$A$597,0)),""))</f>
        <v/>
      </c>
      <c r="D1118" s="23" t="str">
        <f>IF($A1118="","",N(Receipts!$G1121))</f>
        <v/>
      </c>
      <c r="E1118" s="20" t="str">
        <f>IF($A1118="","",IFERROR(INDEX(Items!$D$5:$D$597,MATCH($A1118,Items!$A$5:$A$597,0)),0))</f>
        <v/>
      </c>
      <c r="F1118" s="21" t="str">
        <f t="shared" si="85"/>
        <v/>
      </c>
      <c r="G1118" s="25" t="str">
        <f>IF(Receipts!$I1121="","",Receipts!$I1121)</f>
        <v/>
      </c>
      <c r="H1118" s="25" t="str">
        <f>IF(Receipts!$H1121="","",Receipts!$H1121)</f>
        <v/>
      </c>
      <c r="I1118" s="26" t="str">
        <f t="shared" ca="1" si="86"/>
        <v/>
      </c>
      <c r="J1118" s="26" t="str">
        <f>IF($A1118="","",COUNTIFS(tblReceipts[Item Name],$A1118,tblReceipts[Expiry Date],"&lt;"&amp;$H1118)+COUNTIFS(tblReceipts[Item Name],$A1118,tblReceipts[Expiry Date],$H1118,tblReceipts[Lot Number],"&lt;="&amp;Receipts!$C1121))</f>
        <v/>
      </c>
      <c r="K1118" s="26" t="str">
        <f>IF($A1118="","",SUMIFS(tblReceipts[Qty Received],tblReceipts[Item Name],$A1118,tblReceipts[Expiry Date],"&lt;"&amp;$H1118)+SUMIFS(tblReceipts[Qty Received],tblReceipts[Item Name],$A1118,tblReceipts[Expiry Date],$H1118,tblReceipts[Lot Number],"&lt;"&amp;Receipts!$C1121))</f>
        <v/>
      </c>
      <c r="L1118" s="26" t="str">
        <f>IF($A1118="","",MIN($D1118,MAX(0,SUMIFS(tblIssues[Qty Issued],tblIssues[Item Name],$A1118)-$K1118)))</f>
        <v/>
      </c>
      <c r="M1118" s="26" t="str">
        <f>IF($A1118="","",SUMIFS(tblIssues[Qty Issued],tblIssues[Lot Number],$B1118))</f>
        <v/>
      </c>
      <c r="N1118" s="26" t="str">
        <f t="shared" si="87"/>
        <v/>
      </c>
      <c r="O1118" s="26" t="str">
        <f t="shared" si="88"/>
        <v/>
      </c>
      <c r="P1118" s="21" t="str">
        <f t="shared" si="89"/>
        <v/>
      </c>
      <c r="Q1118" s="52" t="str">
        <f>IF($A1118="","",IF($O1118&lt;=0,"Depleted",IF($I1118&lt;0,"EXPIRED",IF($I1118&lt;=Settings!$C$6,"CRITICAL",IF($I1118&lt;=Settings!$C$5,"Expiring","In date")))))</f>
        <v/>
      </c>
    </row>
    <row r="1119" spans="1:17" x14ac:dyDescent="0.35">
      <c r="A1119" s="90" t="str">
        <f>IF(Receipts!$D1122="","",Receipts!$D1122)</f>
        <v/>
      </c>
      <c r="B1119" s="18" t="str">
        <f>IF(Receipts!$C1122="","",Receipts!$C1122)</f>
        <v/>
      </c>
      <c r="C1119" s="18" t="str">
        <f>IF($A1119="","",IFERROR(INDEX(Items!$B$5:$B$597,MATCH($A1119,Items!$A$5:$A$597,0)),""))</f>
        <v/>
      </c>
      <c r="D1119" s="23" t="str">
        <f>IF($A1119="","",N(Receipts!$G1122))</f>
        <v/>
      </c>
      <c r="E1119" s="20" t="str">
        <f>IF($A1119="","",IFERROR(INDEX(Items!$D$5:$D$597,MATCH($A1119,Items!$A$5:$A$597,0)),0))</f>
        <v/>
      </c>
      <c r="F1119" s="21" t="str">
        <f t="shared" si="85"/>
        <v/>
      </c>
      <c r="G1119" s="25" t="str">
        <f>IF(Receipts!$I1122="","",Receipts!$I1122)</f>
        <v/>
      </c>
      <c r="H1119" s="25" t="str">
        <f>IF(Receipts!$H1122="","",Receipts!$H1122)</f>
        <v/>
      </c>
      <c r="I1119" s="26" t="str">
        <f t="shared" ca="1" si="86"/>
        <v/>
      </c>
      <c r="J1119" s="26" t="str">
        <f>IF($A1119="","",COUNTIFS(tblReceipts[Item Name],$A1119,tblReceipts[Expiry Date],"&lt;"&amp;$H1119)+COUNTIFS(tblReceipts[Item Name],$A1119,tblReceipts[Expiry Date],$H1119,tblReceipts[Lot Number],"&lt;="&amp;Receipts!$C1122))</f>
        <v/>
      </c>
      <c r="K1119" s="26" t="str">
        <f>IF($A1119="","",SUMIFS(tblReceipts[Qty Received],tblReceipts[Item Name],$A1119,tblReceipts[Expiry Date],"&lt;"&amp;$H1119)+SUMIFS(tblReceipts[Qty Received],tblReceipts[Item Name],$A1119,tblReceipts[Expiry Date],$H1119,tblReceipts[Lot Number],"&lt;"&amp;Receipts!$C1122))</f>
        <v/>
      </c>
      <c r="L1119" s="26" t="str">
        <f>IF($A1119="","",MIN($D1119,MAX(0,SUMIFS(tblIssues[Qty Issued],tblIssues[Item Name],$A1119)-$K1119)))</f>
        <v/>
      </c>
      <c r="M1119" s="26" t="str">
        <f>IF($A1119="","",SUMIFS(tblIssues[Qty Issued],tblIssues[Lot Number],$B1119))</f>
        <v/>
      </c>
      <c r="N1119" s="26" t="str">
        <f t="shared" si="87"/>
        <v/>
      </c>
      <c r="O1119" s="26" t="str">
        <f t="shared" si="88"/>
        <v/>
      </c>
      <c r="P1119" s="21" t="str">
        <f t="shared" si="89"/>
        <v/>
      </c>
      <c r="Q1119" s="52" t="str">
        <f>IF($A1119="","",IF($O1119&lt;=0,"Depleted",IF($I1119&lt;0,"EXPIRED",IF($I1119&lt;=Settings!$C$6,"CRITICAL",IF($I1119&lt;=Settings!$C$5,"Expiring","In date")))))</f>
        <v/>
      </c>
    </row>
    <row r="1120" spans="1:17" x14ac:dyDescent="0.35">
      <c r="A1120" s="90" t="str">
        <f>IF(Receipts!$D1123="","",Receipts!$D1123)</f>
        <v/>
      </c>
      <c r="B1120" s="18" t="str">
        <f>IF(Receipts!$C1123="","",Receipts!$C1123)</f>
        <v/>
      </c>
      <c r="C1120" s="18" t="str">
        <f>IF($A1120="","",IFERROR(INDEX(Items!$B$5:$B$597,MATCH($A1120,Items!$A$5:$A$597,0)),""))</f>
        <v/>
      </c>
      <c r="D1120" s="23" t="str">
        <f>IF($A1120="","",N(Receipts!$G1123))</f>
        <v/>
      </c>
      <c r="E1120" s="20" t="str">
        <f>IF($A1120="","",IFERROR(INDEX(Items!$D$5:$D$597,MATCH($A1120,Items!$A$5:$A$597,0)),0))</f>
        <v/>
      </c>
      <c r="F1120" s="21" t="str">
        <f t="shared" si="85"/>
        <v/>
      </c>
      <c r="G1120" s="25" t="str">
        <f>IF(Receipts!$I1123="","",Receipts!$I1123)</f>
        <v/>
      </c>
      <c r="H1120" s="25" t="str">
        <f>IF(Receipts!$H1123="","",Receipts!$H1123)</f>
        <v/>
      </c>
      <c r="I1120" s="26" t="str">
        <f t="shared" ca="1" si="86"/>
        <v/>
      </c>
      <c r="J1120" s="26" t="str">
        <f>IF($A1120="","",COUNTIFS(tblReceipts[Item Name],$A1120,tblReceipts[Expiry Date],"&lt;"&amp;$H1120)+COUNTIFS(tblReceipts[Item Name],$A1120,tblReceipts[Expiry Date],$H1120,tblReceipts[Lot Number],"&lt;="&amp;Receipts!$C1123))</f>
        <v/>
      </c>
      <c r="K1120" s="26" t="str">
        <f>IF($A1120="","",SUMIFS(tblReceipts[Qty Received],tblReceipts[Item Name],$A1120,tblReceipts[Expiry Date],"&lt;"&amp;$H1120)+SUMIFS(tblReceipts[Qty Received],tblReceipts[Item Name],$A1120,tblReceipts[Expiry Date],$H1120,tblReceipts[Lot Number],"&lt;"&amp;Receipts!$C1123))</f>
        <v/>
      </c>
      <c r="L1120" s="26" t="str">
        <f>IF($A1120="","",MIN($D1120,MAX(0,SUMIFS(tblIssues[Qty Issued],tblIssues[Item Name],$A1120)-$K1120)))</f>
        <v/>
      </c>
      <c r="M1120" s="26" t="str">
        <f>IF($A1120="","",SUMIFS(tblIssues[Qty Issued],tblIssues[Lot Number],$B1120))</f>
        <v/>
      </c>
      <c r="N1120" s="26" t="str">
        <f t="shared" si="87"/>
        <v/>
      </c>
      <c r="O1120" s="26" t="str">
        <f t="shared" si="88"/>
        <v/>
      </c>
      <c r="P1120" s="21" t="str">
        <f t="shared" si="89"/>
        <v/>
      </c>
      <c r="Q1120" s="52" t="str">
        <f>IF($A1120="","",IF($O1120&lt;=0,"Depleted",IF($I1120&lt;0,"EXPIRED",IF($I1120&lt;=Settings!$C$6,"CRITICAL",IF($I1120&lt;=Settings!$C$5,"Expiring","In date")))))</f>
        <v/>
      </c>
    </row>
    <row r="1121" spans="1:17" x14ac:dyDescent="0.35">
      <c r="A1121" s="90" t="str">
        <f>IF(Receipts!$D1124="","",Receipts!$D1124)</f>
        <v/>
      </c>
      <c r="B1121" s="18" t="str">
        <f>IF(Receipts!$C1124="","",Receipts!$C1124)</f>
        <v/>
      </c>
      <c r="C1121" s="18" t="str">
        <f>IF($A1121="","",IFERROR(INDEX(Items!$B$5:$B$597,MATCH($A1121,Items!$A$5:$A$597,0)),""))</f>
        <v/>
      </c>
      <c r="D1121" s="23" t="str">
        <f>IF($A1121="","",N(Receipts!$G1124))</f>
        <v/>
      </c>
      <c r="E1121" s="20" t="str">
        <f>IF($A1121="","",IFERROR(INDEX(Items!$D$5:$D$597,MATCH($A1121,Items!$A$5:$A$597,0)),0))</f>
        <v/>
      </c>
      <c r="F1121" s="21" t="str">
        <f t="shared" si="85"/>
        <v/>
      </c>
      <c r="G1121" s="25" t="str">
        <f>IF(Receipts!$I1124="","",Receipts!$I1124)</f>
        <v/>
      </c>
      <c r="H1121" s="25" t="str">
        <f>IF(Receipts!$H1124="","",Receipts!$H1124)</f>
        <v/>
      </c>
      <c r="I1121" s="26" t="str">
        <f t="shared" ca="1" si="86"/>
        <v/>
      </c>
      <c r="J1121" s="26" t="str">
        <f>IF($A1121="","",COUNTIFS(tblReceipts[Item Name],$A1121,tblReceipts[Expiry Date],"&lt;"&amp;$H1121)+COUNTIFS(tblReceipts[Item Name],$A1121,tblReceipts[Expiry Date],$H1121,tblReceipts[Lot Number],"&lt;="&amp;Receipts!$C1124))</f>
        <v/>
      </c>
      <c r="K1121" s="26" t="str">
        <f>IF($A1121="","",SUMIFS(tblReceipts[Qty Received],tblReceipts[Item Name],$A1121,tblReceipts[Expiry Date],"&lt;"&amp;$H1121)+SUMIFS(tblReceipts[Qty Received],tblReceipts[Item Name],$A1121,tblReceipts[Expiry Date],$H1121,tblReceipts[Lot Number],"&lt;"&amp;Receipts!$C1124))</f>
        <v/>
      </c>
      <c r="L1121" s="26" t="str">
        <f>IF($A1121="","",MIN($D1121,MAX(0,SUMIFS(tblIssues[Qty Issued],tblIssues[Item Name],$A1121)-$K1121)))</f>
        <v/>
      </c>
      <c r="M1121" s="26" t="str">
        <f>IF($A1121="","",SUMIFS(tblIssues[Qty Issued],tblIssues[Lot Number],$B1121))</f>
        <v/>
      </c>
      <c r="N1121" s="26" t="str">
        <f t="shared" si="87"/>
        <v/>
      </c>
      <c r="O1121" s="26" t="str">
        <f t="shared" si="88"/>
        <v/>
      </c>
      <c r="P1121" s="21" t="str">
        <f t="shared" si="89"/>
        <v/>
      </c>
      <c r="Q1121" s="52" t="str">
        <f>IF($A1121="","",IF($O1121&lt;=0,"Depleted",IF($I1121&lt;0,"EXPIRED",IF($I1121&lt;=Settings!$C$6,"CRITICAL",IF($I1121&lt;=Settings!$C$5,"Expiring","In date")))))</f>
        <v/>
      </c>
    </row>
    <row r="1122" spans="1:17" x14ac:dyDescent="0.35">
      <c r="A1122" s="90" t="str">
        <f>IF(Receipts!$D1125="","",Receipts!$D1125)</f>
        <v/>
      </c>
      <c r="B1122" s="18" t="str">
        <f>IF(Receipts!$C1125="","",Receipts!$C1125)</f>
        <v/>
      </c>
      <c r="C1122" s="18" t="str">
        <f>IF($A1122="","",IFERROR(INDEX(Items!$B$5:$B$597,MATCH($A1122,Items!$A$5:$A$597,0)),""))</f>
        <v/>
      </c>
      <c r="D1122" s="23" t="str">
        <f>IF($A1122="","",N(Receipts!$G1125))</f>
        <v/>
      </c>
      <c r="E1122" s="20" t="str">
        <f>IF($A1122="","",IFERROR(INDEX(Items!$D$5:$D$597,MATCH($A1122,Items!$A$5:$A$597,0)),0))</f>
        <v/>
      </c>
      <c r="F1122" s="21" t="str">
        <f t="shared" si="85"/>
        <v/>
      </c>
      <c r="G1122" s="25" t="str">
        <f>IF(Receipts!$I1125="","",Receipts!$I1125)</f>
        <v/>
      </c>
      <c r="H1122" s="25" t="str">
        <f>IF(Receipts!$H1125="","",Receipts!$H1125)</f>
        <v/>
      </c>
      <c r="I1122" s="26" t="str">
        <f t="shared" ca="1" si="86"/>
        <v/>
      </c>
      <c r="J1122" s="26" t="str">
        <f>IF($A1122="","",COUNTIFS(tblReceipts[Item Name],$A1122,tblReceipts[Expiry Date],"&lt;"&amp;$H1122)+COUNTIFS(tblReceipts[Item Name],$A1122,tblReceipts[Expiry Date],$H1122,tblReceipts[Lot Number],"&lt;="&amp;Receipts!$C1125))</f>
        <v/>
      </c>
      <c r="K1122" s="26" t="str">
        <f>IF($A1122="","",SUMIFS(tblReceipts[Qty Received],tblReceipts[Item Name],$A1122,tblReceipts[Expiry Date],"&lt;"&amp;$H1122)+SUMIFS(tblReceipts[Qty Received],tblReceipts[Item Name],$A1122,tblReceipts[Expiry Date],$H1122,tblReceipts[Lot Number],"&lt;"&amp;Receipts!$C1125))</f>
        <v/>
      </c>
      <c r="L1122" s="26" t="str">
        <f>IF($A1122="","",MIN($D1122,MAX(0,SUMIFS(tblIssues[Qty Issued],tblIssues[Item Name],$A1122)-$K1122)))</f>
        <v/>
      </c>
      <c r="M1122" s="26" t="str">
        <f>IF($A1122="","",SUMIFS(tblIssues[Qty Issued],tblIssues[Lot Number],$B1122))</f>
        <v/>
      </c>
      <c r="N1122" s="26" t="str">
        <f t="shared" si="87"/>
        <v/>
      </c>
      <c r="O1122" s="26" t="str">
        <f t="shared" si="88"/>
        <v/>
      </c>
      <c r="P1122" s="21" t="str">
        <f t="shared" si="89"/>
        <v/>
      </c>
      <c r="Q1122" s="52" t="str">
        <f>IF($A1122="","",IF($O1122&lt;=0,"Depleted",IF($I1122&lt;0,"EXPIRED",IF($I1122&lt;=Settings!$C$6,"CRITICAL",IF($I1122&lt;=Settings!$C$5,"Expiring","In date")))))</f>
        <v/>
      </c>
    </row>
    <row r="1123" spans="1:17" x14ac:dyDescent="0.35">
      <c r="A1123" s="90" t="str">
        <f>IF(Receipts!$D1126="","",Receipts!$D1126)</f>
        <v/>
      </c>
      <c r="B1123" s="18" t="str">
        <f>IF(Receipts!$C1126="","",Receipts!$C1126)</f>
        <v/>
      </c>
      <c r="C1123" s="18" t="str">
        <f>IF($A1123="","",IFERROR(INDEX(Items!$B$5:$B$597,MATCH($A1123,Items!$A$5:$A$597,0)),""))</f>
        <v/>
      </c>
      <c r="D1123" s="23" t="str">
        <f>IF($A1123="","",N(Receipts!$G1126))</f>
        <v/>
      </c>
      <c r="E1123" s="20" t="str">
        <f>IF($A1123="","",IFERROR(INDEX(Items!$D$5:$D$597,MATCH($A1123,Items!$A$5:$A$597,0)),0))</f>
        <v/>
      </c>
      <c r="F1123" s="21" t="str">
        <f t="shared" si="85"/>
        <v/>
      </c>
      <c r="G1123" s="25" t="str">
        <f>IF(Receipts!$I1126="","",Receipts!$I1126)</f>
        <v/>
      </c>
      <c r="H1123" s="25" t="str">
        <f>IF(Receipts!$H1126="","",Receipts!$H1126)</f>
        <v/>
      </c>
      <c r="I1123" s="26" t="str">
        <f t="shared" ca="1" si="86"/>
        <v/>
      </c>
      <c r="J1123" s="26" t="str">
        <f>IF($A1123="","",COUNTIFS(tblReceipts[Item Name],$A1123,tblReceipts[Expiry Date],"&lt;"&amp;$H1123)+COUNTIFS(tblReceipts[Item Name],$A1123,tblReceipts[Expiry Date],$H1123,tblReceipts[Lot Number],"&lt;="&amp;Receipts!$C1126))</f>
        <v/>
      </c>
      <c r="K1123" s="26" t="str">
        <f>IF($A1123="","",SUMIFS(tblReceipts[Qty Received],tblReceipts[Item Name],$A1123,tblReceipts[Expiry Date],"&lt;"&amp;$H1123)+SUMIFS(tblReceipts[Qty Received],tblReceipts[Item Name],$A1123,tblReceipts[Expiry Date],$H1123,tblReceipts[Lot Number],"&lt;"&amp;Receipts!$C1126))</f>
        <v/>
      </c>
      <c r="L1123" s="26" t="str">
        <f>IF($A1123="","",MIN($D1123,MAX(0,SUMIFS(tblIssues[Qty Issued],tblIssues[Item Name],$A1123)-$K1123)))</f>
        <v/>
      </c>
      <c r="M1123" s="26" t="str">
        <f>IF($A1123="","",SUMIFS(tblIssues[Qty Issued],tblIssues[Lot Number],$B1123))</f>
        <v/>
      </c>
      <c r="N1123" s="26" t="str">
        <f t="shared" si="87"/>
        <v/>
      </c>
      <c r="O1123" s="26" t="str">
        <f t="shared" si="88"/>
        <v/>
      </c>
      <c r="P1123" s="21" t="str">
        <f t="shared" si="89"/>
        <v/>
      </c>
      <c r="Q1123" s="52" t="str">
        <f>IF($A1123="","",IF($O1123&lt;=0,"Depleted",IF($I1123&lt;0,"EXPIRED",IF($I1123&lt;=Settings!$C$6,"CRITICAL",IF($I1123&lt;=Settings!$C$5,"Expiring","In date")))))</f>
        <v/>
      </c>
    </row>
    <row r="1124" spans="1:17" x14ac:dyDescent="0.35">
      <c r="A1124" s="90" t="str">
        <f>IF(Receipts!$D1127="","",Receipts!$D1127)</f>
        <v/>
      </c>
      <c r="B1124" s="18" t="str">
        <f>IF(Receipts!$C1127="","",Receipts!$C1127)</f>
        <v/>
      </c>
      <c r="C1124" s="18" t="str">
        <f>IF($A1124="","",IFERROR(INDEX(Items!$B$5:$B$597,MATCH($A1124,Items!$A$5:$A$597,0)),""))</f>
        <v/>
      </c>
      <c r="D1124" s="23" t="str">
        <f>IF($A1124="","",N(Receipts!$G1127))</f>
        <v/>
      </c>
      <c r="E1124" s="20" t="str">
        <f>IF($A1124="","",IFERROR(INDEX(Items!$D$5:$D$597,MATCH($A1124,Items!$A$5:$A$597,0)),0))</f>
        <v/>
      </c>
      <c r="F1124" s="21" t="str">
        <f t="shared" si="85"/>
        <v/>
      </c>
      <c r="G1124" s="25" t="str">
        <f>IF(Receipts!$I1127="","",Receipts!$I1127)</f>
        <v/>
      </c>
      <c r="H1124" s="25" t="str">
        <f>IF(Receipts!$H1127="","",Receipts!$H1127)</f>
        <v/>
      </c>
      <c r="I1124" s="26" t="str">
        <f t="shared" ca="1" si="86"/>
        <v/>
      </c>
      <c r="J1124" s="26" t="str">
        <f>IF($A1124="","",COUNTIFS(tblReceipts[Item Name],$A1124,tblReceipts[Expiry Date],"&lt;"&amp;$H1124)+COUNTIFS(tblReceipts[Item Name],$A1124,tblReceipts[Expiry Date],$H1124,tblReceipts[Lot Number],"&lt;="&amp;Receipts!$C1127))</f>
        <v/>
      </c>
      <c r="K1124" s="26" t="str">
        <f>IF($A1124="","",SUMIFS(tblReceipts[Qty Received],tblReceipts[Item Name],$A1124,tblReceipts[Expiry Date],"&lt;"&amp;$H1124)+SUMIFS(tblReceipts[Qty Received],tblReceipts[Item Name],$A1124,tblReceipts[Expiry Date],$H1124,tblReceipts[Lot Number],"&lt;"&amp;Receipts!$C1127))</f>
        <v/>
      </c>
      <c r="L1124" s="26" t="str">
        <f>IF($A1124="","",MIN($D1124,MAX(0,SUMIFS(tblIssues[Qty Issued],tblIssues[Item Name],$A1124)-$K1124)))</f>
        <v/>
      </c>
      <c r="M1124" s="26" t="str">
        <f>IF($A1124="","",SUMIFS(tblIssues[Qty Issued],tblIssues[Lot Number],$B1124))</f>
        <v/>
      </c>
      <c r="N1124" s="26" t="str">
        <f t="shared" si="87"/>
        <v/>
      </c>
      <c r="O1124" s="26" t="str">
        <f t="shared" si="88"/>
        <v/>
      </c>
      <c r="P1124" s="21" t="str">
        <f t="shared" si="89"/>
        <v/>
      </c>
      <c r="Q1124" s="52" t="str">
        <f>IF($A1124="","",IF($O1124&lt;=0,"Depleted",IF($I1124&lt;0,"EXPIRED",IF($I1124&lt;=Settings!$C$6,"CRITICAL",IF($I1124&lt;=Settings!$C$5,"Expiring","In date")))))</f>
        <v/>
      </c>
    </row>
    <row r="1125" spans="1:17" x14ac:dyDescent="0.35">
      <c r="A1125" s="90" t="str">
        <f>IF(Receipts!$D1128="","",Receipts!$D1128)</f>
        <v/>
      </c>
      <c r="B1125" s="18" t="str">
        <f>IF(Receipts!$C1128="","",Receipts!$C1128)</f>
        <v/>
      </c>
      <c r="C1125" s="18" t="str">
        <f>IF($A1125="","",IFERROR(INDEX(Items!$B$5:$B$597,MATCH($A1125,Items!$A$5:$A$597,0)),""))</f>
        <v/>
      </c>
      <c r="D1125" s="23" t="str">
        <f>IF($A1125="","",N(Receipts!$G1128))</f>
        <v/>
      </c>
      <c r="E1125" s="20" t="str">
        <f>IF($A1125="","",IFERROR(INDEX(Items!$D$5:$D$597,MATCH($A1125,Items!$A$5:$A$597,0)),0))</f>
        <v/>
      </c>
      <c r="F1125" s="21" t="str">
        <f t="shared" si="85"/>
        <v/>
      </c>
      <c r="G1125" s="25" t="str">
        <f>IF(Receipts!$I1128="","",Receipts!$I1128)</f>
        <v/>
      </c>
      <c r="H1125" s="25" t="str">
        <f>IF(Receipts!$H1128="","",Receipts!$H1128)</f>
        <v/>
      </c>
      <c r="I1125" s="26" t="str">
        <f t="shared" ca="1" si="86"/>
        <v/>
      </c>
      <c r="J1125" s="26" t="str">
        <f>IF($A1125="","",COUNTIFS(tblReceipts[Item Name],$A1125,tblReceipts[Expiry Date],"&lt;"&amp;$H1125)+COUNTIFS(tblReceipts[Item Name],$A1125,tblReceipts[Expiry Date],$H1125,tblReceipts[Lot Number],"&lt;="&amp;Receipts!$C1128))</f>
        <v/>
      </c>
      <c r="K1125" s="26" t="str">
        <f>IF($A1125="","",SUMIFS(tblReceipts[Qty Received],tblReceipts[Item Name],$A1125,tblReceipts[Expiry Date],"&lt;"&amp;$H1125)+SUMIFS(tblReceipts[Qty Received],tblReceipts[Item Name],$A1125,tblReceipts[Expiry Date],$H1125,tblReceipts[Lot Number],"&lt;"&amp;Receipts!$C1128))</f>
        <v/>
      </c>
      <c r="L1125" s="26" t="str">
        <f>IF($A1125="","",MIN($D1125,MAX(0,SUMIFS(tblIssues[Qty Issued],tblIssues[Item Name],$A1125)-$K1125)))</f>
        <v/>
      </c>
      <c r="M1125" s="26" t="str">
        <f>IF($A1125="","",SUMIFS(tblIssues[Qty Issued],tblIssues[Lot Number],$B1125))</f>
        <v/>
      </c>
      <c r="N1125" s="26" t="str">
        <f t="shared" si="87"/>
        <v/>
      </c>
      <c r="O1125" s="26" t="str">
        <f t="shared" si="88"/>
        <v/>
      </c>
      <c r="P1125" s="21" t="str">
        <f t="shared" si="89"/>
        <v/>
      </c>
      <c r="Q1125" s="52" t="str">
        <f>IF($A1125="","",IF($O1125&lt;=0,"Depleted",IF($I1125&lt;0,"EXPIRED",IF($I1125&lt;=Settings!$C$6,"CRITICAL",IF($I1125&lt;=Settings!$C$5,"Expiring","In date")))))</f>
        <v/>
      </c>
    </row>
    <row r="1126" spans="1:17" x14ac:dyDescent="0.35">
      <c r="A1126" s="90" t="str">
        <f>IF(Receipts!$D1129="","",Receipts!$D1129)</f>
        <v/>
      </c>
      <c r="B1126" s="18" t="str">
        <f>IF(Receipts!$C1129="","",Receipts!$C1129)</f>
        <v/>
      </c>
      <c r="C1126" s="18" t="str">
        <f>IF($A1126="","",IFERROR(INDEX(Items!$B$5:$B$597,MATCH($A1126,Items!$A$5:$A$597,0)),""))</f>
        <v/>
      </c>
      <c r="D1126" s="23" t="str">
        <f>IF($A1126="","",N(Receipts!$G1129))</f>
        <v/>
      </c>
      <c r="E1126" s="20" t="str">
        <f>IF($A1126="","",IFERROR(INDEX(Items!$D$5:$D$597,MATCH($A1126,Items!$A$5:$A$597,0)),0))</f>
        <v/>
      </c>
      <c r="F1126" s="21" t="str">
        <f t="shared" si="85"/>
        <v/>
      </c>
      <c r="G1126" s="25" t="str">
        <f>IF(Receipts!$I1129="","",Receipts!$I1129)</f>
        <v/>
      </c>
      <c r="H1126" s="25" t="str">
        <f>IF(Receipts!$H1129="","",Receipts!$H1129)</f>
        <v/>
      </c>
      <c r="I1126" s="26" t="str">
        <f t="shared" ca="1" si="86"/>
        <v/>
      </c>
      <c r="J1126" s="26" t="str">
        <f>IF($A1126="","",COUNTIFS(tblReceipts[Item Name],$A1126,tblReceipts[Expiry Date],"&lt;"&amp;$H1126)+COUNTIFS(tblReceipts[Item Name],$A1126,tblReceipts[Expiry Date],$H1126,tblReceipts[Lot Number],"&lt;="&amp;Receipts!$C1129))</f>
        <v/>
      </c>
      <c r="K1126" s="26" t="str">
        <f>IF($A1126="","",SUMIFS(tblReceipts[Qty Received],tblReceipts[Item Name],$A1126,tblReceipts[Expiry Date],"&lt;"&amp;$H1126)+SUMIFS(tblReceipts[Qty Received],tblReceipts[Item Name],$A1126,tblReceipts[Expiry Date],$H1126,tblReceipts[Lot Number],"&lt;"&amp;Receipts!$C1129))</f>
        <v/>
      </c>
      <c r="L1126" s="26" t="str">
        <f>IF($A1126="","",MIN($D1126,MAX(0,SUMIFS(tblIssues[Qty Issued],tblIssues[Item Name],$A1126)-$K1126)))</f>
        <v/>
      </c>
      <c r="M1126" s="26" t="str">
        <f>IF($A1126="","",SUMIFS(tblIssues[Qty Issued],tblIssues[Lot Number],$B1126))</f>
        <v/>
      </c>
      <c r="N1126" s="26" t="str">
        <f t="shared" si="87"/>
        <v/>
      </c>
      <c r="O1126" s="26" t="str">
        <f t="shared" si="88"/>
        <v/>
      </c>
      <c r="P1126" s="21" t="str">
        <f t="shared" si="89"/>
        <v/>
      </c>
      <c r="Q1126" s="52" t="str">
        <f>IF($A1126="","",IF($O1126&lt;=0,"Depleted",IF($I1126&lt;0,"EXPIRED",IF($I1126&lt;=Settings!$C$6,"CRITICAL",IF($I1126&lt;=Settings!$C$5,"Expiring","In date")))))</f>
        <v/>
      </c>
    </row>
    <row r="1127" spans="1:17" x14ac:dyDescent="0.35">
      <c r="A1127" s="90" t="str">
        <f>IF(Receipts!$D1130="","",Receipts!$D1130)</f>
        <v/>
      </c>
      <c r="B1127" s="18" t="str">
        <f>IF(Receipts!$C1130="","",Receipts!$C1130)</f>
        <v/>
      </c>
      <c r="C1127" s="18" t="str">
        <f>IF($A1127="","",IFERROR(INDEX(Items!$B$5:$B$597,MATCH($A1127,Items!$A$5:$A$597,0)),""))</f>
        <v/>
      </c>
      <c r="D1127" s="23" t="str">
        <f>IF($A1127="","",N(Receipts!$G1130))</f>
        <v/>
      </c>
      <c r="E1127" s="20" t="str">
        <f>IF($A1127="","",IFERROR(INDEX(Items!$D$5:$D$597,MATCH($A1127,Items!$A$5:$A$597,0)),0))</f>
        <v/>
      </c>
      <c r="F1127" s="21" t="str">
        <f t="shared" si="85"/>
        <v/>
      </c>
      <c r="G1127" s="25" t="str">
        <f>IF(Receipts!$I1130="","",Receipts!$I1130)</f>
        <v/>
      </c>
      <c r="H1127" s="25" t="str">
        <f>IF(Receipts!$H1130="","",Receipts!$H1130)</f>
        <v/>
      </c>
      <c r="I1127" s="26" t="str">
        <f t="shared" ca="1" si="86"/>
        <v/>
      </c>
      <c r="J1127" s="26" t="str">
        <f>IF($A1127="","",COUNTIFS(tblReceipts[Item Name],$A1127,tblReceipts[Expiry Date],"&lt;"&amp;$H1127)+COUNTIFS(tblReceipts[Item Name],$A1127,tblReceipts[Expiry Date],$H1127,tblReceipts[Lot Number],"&lt;="&amp;Receipts!$C1130))</f>
        <v/>
      </c>
      <c r="K1127" s="26" t="str">
        <f>IF($A1127="","",SUMIFS(tblReceipts[Qty Received],tblReceipts[Item Name],$A1127,tblReceipts[Expiry Date],"&lt;"&amp;$H1127)+SUMIFS(tblReceipts[Qty Received],tblReceipts[Item Name],$A1127,tblReceipts[Expiry Date],$H1127,tblReceipts[Lot Number],"&lt;"&amp;Receipts!$C1130))</f>
        <v/>
      </c>
      <c r="L1127" s="26" t="str">
        <f>IF($A1127="","",MIN($D1127,MAX(0,SUMIFS(tblIssues[Qty Issued],tblIssues[Item Name],$A1127)-$K1127)))</f>
        <v/>
      </c>
      <c r="M1127" s="26" t="str">
        <f>IF($A1127="","",SUMIFS(tblIssues[Qty Issued],tblIssues[Lot Number],$B1127))</f>
        <v/>
      </c>
      <c r="N1127" s="26" t="str">
        <f t="shared" si="87"/>
        <v/>
      </c>
      <c r="O1127" s="26" t="str">
        <f t="shared" si="88"/>
        <v/>
      </c>
      <c r="P1127" s="21" t="str">
        <f t="shared" si="89"/>
        <v/>
      </c>
      <c r="Q1127" s="52" t="str">
        <f>IF($A1127="","",IF($O1127&lt;=0,"Depleted",IF($I1127&lt;0,"EXPIRED",IF($I1127&lt;=Settings!$C$6,"CRITICAL",IF($I1127&lt;=Settings!$C$5,"Expiring","In date")))))</f>
        <v/>
      </c>
    </row>
    <row r="1128" spans="1:17" x14ac:dyDescent="0.35">
      <c r="A1128" s="90" t="str">
        <f>IF(Receipts!$D1131="","",Receipts!$D1131)</f>
        <v/>
      </c>
      <c r="B1128" s="18" t="str">
        <f>IF(Receipts!$C1131="","",Receipts!$C1131)</f>
        <v/>
      </c>
      <c r="C1128" s="18" t="str">
        <f>IF($A1128="","",IFERROR(INDEX(Items!$B$5:$B$597,MATCH($A1128,Items!$A$5:$A$597,0)),""))</f>
        <v/>
      </c>
      <c r="D1128" s="23" t="str">
        <f>IF($A1128="","",N(Receipts!$G1131))</f>
        <v/>
      </c>
      <c r="E1128" s="20" t="str">
        <f>IF($A1128="","",IFERROR(INDEX(Items!$D$5:$D$597,MATCH($A1128,Items!$A$5:$A$597,0)),0))</f>
        <v/>
      </c>
      <c r="F1128" s="21" t="str">
        <f t="shared" si="85"/>
        <v/>
      </c>
      <c r="G1128" s="25" t="str">
        <f>IF(Receipts!$I1131="","",Receipts!$I1131)</f>
        <v/>
      </c>
      <c r="H1128" s="25" t="str">
        <f>IF(Receipts!$H1131="","",Receipts!$H1131)</f>
        <v/>
      </c>
      <c r="I1128" s="26" t="str">
        <f t="shared" ca="1" si="86"/>
        <v/>
      </c>
      <c r="J1128" s="26" t="str">
        <f>IF($A1128="","",COUNTIFS(tblReceipts[Item Name],$A1128,tblReceipts[Expiry Date],"&lt;"&amp;$H1128)+COUNTIFS(tblReceipts[Item Name],$A1128,tblReceipts[Expiry Date],$H1128,tblReceipts[Lot Number],"&lt;="&amp;Receipts!$C1131))</f>
        <v/>
      </c>
      <c r="K1128" s="26" t="str">
        <f>IF($A1128="","",SUMIFS(tblReceipts[Qty Received],tblReceipts[Item Name],$A1128,tblReceipts[Expiry Date],"&lt;"&amp;$H1128)+SUMIFS(tblReceipts[Qty Received],tblReceipts[Item Name],$A1128,tblReceipts[Expiry Date],$H1128,tblReceipts[Lot Number],"&lt;"&amp;Receipts!$C1131))</f>
        <v/>
      </c>
      <c r="L1128" s="26" t="str">
        <f>IF($A1128="","",MIN($D1128,MAX(0,SUMIFS(tblIssues[Qty Issued],tblIssues[Item Name],$A1128)-$K1128)))</f>
        <v/>
      </c>
      <c r="M1128" s="26" t="str">
        <f>IF($A1128="","",SUMIFS(tblIssues[Qty Issued],tblIssues[Lot Number],$B1128))</f>
        <v/>
      </c>
      <c r="N1128" s="26" t="str">
        <f t="shared" si="87"/>
        <v/>
      </c>
      <c r="O1128" s="26" t="str">
        <f t="shared" si="88"/>
        <v/>
      </c>
      <c r="P1128" s="21" t="str">
        <f t="shared" si="89"/>
        <v/>
      </c>
      <c r="Q1128" s="52" t="str">
        <f>IF($A1128="","",IF($O1128&lt;=0,"Depleted",IF($I1128&lt;0,"EXPIRED",IF($I1128&lt;=Settings!$C$6,"CRITICAL",IF($I1128&lt;=Settings!$C$5,"Expiring","In date")))))</f>
        <v/>
      </c>
    </row>
    <row r="1129" spans="1:17" x14ac:dyDescent="0.35">
      <c r="A1129" s="90" t="str">
        <f>IF(Receipts!$D1132="","",Receipts!$D1132)</f>
        <v/>
      </c>
      <c r="B1129" s="18" t="str">
        <f>IF(Receipts!$C1132="","",Receipts!$C1132)</f>
        <v/>
      </c>
      <c r="C1129" s="18" t="str">
        <f>IF($A1129="","",IFERROR(INDEX(Items!$B$5:$B$597,MATCH($A1129,Items!$A$5:$A$597,0)),""))</f>
        <v/>
      </c>
      <c r="D1129" s="23" t="str">
        <f>IF($A1129="","",N(Receipts!$G1132))</f>
        <v/>
      </c>
      <c r="E1129" s="20" t="str">
        <f>IF($A1129="","",IFERROR(INDEX(Items!$D$5:$D$597,MATCH($A1129,Items!$A$5:$A$597,0)),0))</f>
        <v/>
      </c>
      <c r="F1129" s="21" t="str">
        <f t="shared" si="85"/>
        <v/>
      </c>
      <c r="G1129" s="25" t="str">
        <f>IF(Receipts!$I1132="","",Receipts!$I1132)</f>
        <v/>
      </c>
      <c r="H1129" s="25" t="str">
        <f>IF(Receipts!$H1132="","",Receipts!$H1132)</f>
        <v/>
      </c>
      <c r="I1129" s="26" t="str">
        <f t="shared" ca="1" si="86"/>
        <v/>
      </c>
      <c r="J1129" s="26" t="str">
        <f>IF($A1129="","",COUNTIFS(tblReceipts[Item Name],$A1129,tblReceipts[Expiry Date],"&lt;"&amp;$H1129)+COUNTIFS(tblReceipts[Item Name],$A1129,tblReceipts[Expiry Date],$H1129,tblReceipts[Lot Number],"&lt;="&amp;Receipts!$C1132))</f>
        <v/>
      </c>
      <c r="K1129" s="26" t="str">
        <f>IF($A1129="","",SUMIFS(tblReceipts[Qty Received],tblReceipts[Item Name],$A1129,tblReceipts[Expiry Date],"&lt;"&amp;$H1129)+SUMIFS(tblReceipts[Qty Received],tblReceipts[Item Name],$A1129,tblReceipts[Expiry Date],$H1129,tblReceipts[Lot Number],"&lt;"&amp;Receipts!$C1132))</f>
        <v/>
      </c>
      <c r="L1129" s="26" t="str">
        <f>IF($A1129="","",MIN($D1129,MAX(0,SUMIFS(tblIssues[Qty Issued],tblIssues[Item Name],$A1129)-$K1129)))</f>
        <v/>
      </c>
      <c r="M1129" s="26" t="str">
        <f>IF($A1129="","",SUMIFS(tblIssues[Qty Issued],tblIssues[Lot Number],$B1129))</f>
        <v/>
      </c>
      <c r="N1129" s="26" t="str">
        <f t="shared" si="87"/>
        <v/>
      </c>
      <c r="O1129" s="26" t="str">
        <f t="shared" si="88"/>
        <v/>
      </c>
      <c r="P1129" s="21" t="str">
        <f t="shared" si="89"/>
        <v/>
      </c>
      <c r="Q1129" s="52" t="str">
        <f>IF($A1129="","",IF($O1129&lt;=0,"Depleted",IF($I1129&lt;0,"EXPIRED",IF($I1129&lt;=Settings!$C$6,"CRITICAL",IF($I1129&lt;=Settings!$C$5,"Expiring","In date")))))</f>
        <v/>
      </c>
    </row>
    <row r="1130" spans="1:17" x14ac:dyDescent="0.35">
      <c r="A1130" s="90" t="str">
        <f>IF(Receipts!$D1133="","",Receipts!$D1133)</f>
        <v/>
      </c>
      <c r="B1130" s="18" t="str">
        <f>IF(Receipts!$C1133="","",Receipts!$C1133)</f>
        <v/>
      </c>
      <c r="C1130" s="18" t="str">
        <f>IF($A1130="","",IFERROR(INDEX(Items!$B$5:$B$597,MATCH($A1130,Items!$A$5:$A$597,0)),""))</f>
        <v/>
      </c>
      <c r="D1130" s="23" t="str">
        <f>IF($A1130="","",N(Receipts!$G1133))</f>
        <v/>
      </c>
      <c r="E1130" s="20" t="str">
        <f>IF($A1130="","",IFERROR(INDEX(Items!$D$5:$D$597,MATCH($A1130,Items!$A$5:$A$597,0)),0))</f>
        <v/>
      </c>
      <c r="F1130" s="21" t="str">
        <f t="shared" si="85"/>
        <v/>
      </c>
      <c r="G1130" s="25" t="str">
        <f>IF(Receipts!$I1133="","",Receipts!$I1133)</f>
        <v/>
      </c>
      <c r="H1130" s="25" t="str">
        <f>IF(Receipts!$H1133="","",Receipts!$H1133)</f>
        <v/>
      </c>
      <c r="I1130" s="26" t="str">
        <f t="shared" ca="1" si="86"/>
        <v/>
      </c>
      <c r="J1130" s="26" t="str">
        <f>IF($A1130="","",COUNTIFS(tblReceipts[Item Name],$A1130,tblReceipts[Expiry Date],"&lt;"&amp;$H1130)+COUNTIFS(tblReceipts[Item Name],$A1130,tblReceipts[Expiry Date],$H1130,tblReceipts[Lot Number],"&lt;="&amp;Receipts!$C1133))</f>
        <v/>
      </c>
      <c r="K1130" s="26" t="str">
        <f>IF($A1130="","",SUMIFS(tblReceipts[Qty Received],tblReceipts[Item Name],$A1130,tblReceipts[Expiry Date],"&lt;"&amp;$H1130)+SUMIFS(tblReceipts[Qty Received],tblReceipts[Item Name],$A1130,tblReceipts[Expiry Date],$H1130,tblReceipts[Lot Number],"&lt;"&amp;Receipts!$C1133))</f>
        <v/>
      </c>
      <c r="L1130" s="26" t="str">
        <f>IF($A1130="","",MIN($D1130,MAX(0,SUMIFS(tblIssues[Qty Issued],tblIssues[Item Name],$A1130)-$K1130)))</f>
        <v/>
      </c>
      <c r="M1130" s="26" t="str">
        <f>IF($A1130="","",SUMIFS(tblIssues[Qty Issued],tblIssues[Lot Number],$B1130))</f>
        <v/>
      </c>
      <c r="N1130" s="26" t="str">
        <f t="shared" si="87"/>
        <v/>
      </c>
      <c r="O1130" s="26" t="str">
        <f t="shared" si="88"/>
        <v/>
      </c>
      <c r="P1130" s="21" t="str">
        <f t="shared" si="89"/>
        <v/>
      </c>
      <c r="Q1130" s="52" t="str">
        <f>IF($A1130="","",IF($O1130&lt;=0,"Depleted",IF($I1130&lt;0,"EXPIRED",IF($I1130&lt;=Settings!$C$6,"CRITICAL",IF($I1130&lt;=Settings!$C$5,"Expiring","In date")))))</f>
        <v/>
      </c>
    </row>
    <row r="1131" spans="1:17" x14ac:dyDescent="0.35">
      <c r="A1131" s="90" t="str">
        <f>IF(Receipts!$D1134="","",Receipts!$D1134)</f>
        <v/>
      </c>
      <c r="B1131" s="18" t="str">
        <f>IF(Receipts!$C1134="","",Receipts!$C1134)</f>
        <v/>
      </c>
      <c r="C1131" s="18" t="str">
        <f>IF($A1131="","",IFERROR(INDEX(Items!$B$5:$B$597,MATCH($A1131,Items!$A$5:$A$597,0)),""))</f>
        <v/>
      </c>
      <c r="D1131" s="23" t="str">
        <f>IF($A1131="","",N(Receipts!$G1134))</f>
        <v/>
      </c>
      <c r="E1131" s="20" t="str">
        <f>IF($A1131="","",IFERROR(INDEX(Items!$D$5:$D$597,MATCH($A1131,Items!$A$5:$A$597,0)),0))</f>
        <v/>
      </c>
      <c r="F1131" s="21" t="str">
        <f t="shared" si="85"/>
        <v/>
      </c>
      <c r="G1131" s="25" t="str">
        <f>IF(Receipts!$I1134="","",Receipts!$I1134)</f>
        <v/>
      </c>
      <c r="H1131" s="25" t="str">
        <f>IF(Receipts!$H1134="","",Receipts!$H1134)</f>
        <v/>
      </c>
      <c r="I1131" s="26" t="str">
        <f t="shared" ca="1" si="86"/>
        <v/>
      </c>
      <c r="J1131" s="26" t="str">
        <f>IF($A1131="","",COUNTIFS(tblReceipts[Item Name],$A1131,tblReceipts[Expiry Date],"&lt;"&amp;$H1131)+COUNTIFS(tblReceipts[Item Name],$A1131,tblReceipts[Expiry Date],$H1131,tblReceipts[Lot Number],"&lt;="&amp;Receipts!$C1134))</f>
        <v/>
      </c>
      <c r="K1131" s="26" t="str">
        <f>IF($A1131="","",SUMIFS(tblReceipts[Qty Received],tblReceipts[Item Name],$A1131,tblReceipts[Expiry Date],"&lt;"&amp;$H1131)+SUMIFS(tblReceipts[Qty Received],tblReceipts[Item Name],$A1131,tblReceipts[Expiry Date],$H1131,tblReceipts[Lot Number],"&lt;"&amp;Receipts!$C1134))</f>
        <v/>
      </c>
      <c r="L1131" s="26" t="str">
        <f>IF($A1131="","",MIN($D1131,MAX(0,SUMIFS(tblIssues[Qty Issued],tblIssues[Item Name],$A1131)-$K1131)))</f>
        <v/>
      </c>
      <c r="M1131" s="26" t="str">
        <f>IF($A1131="","",SUMIFS(tblIssues[Qty Issued],tblIssues[Lot Number],$B1131))</f>
        <v/>
      </c>
      <c r="N1131" s="26" t="str">
        <f t="shared" si="87"/>
        <v/>
      </c>
      <c r="O1131" s="26" t="str">
        <f t="shared" si="88"/>
        <v/>
      </c>
      <c r="P1131" s="21" t="str">
        <f t="shared" si="89"/>
        <v/>
      </c>
      <c r="Q1131" s="52" t="str">
        <f>IF($A1131="","",IF($O1131&lt;=0,"Depleted",IF($I1131&lt;0,"EXPIRED",IF($I1131&lt;=Settings!$C$6,"CRITICAL",IF($I1131&lt;=Settings!$C$5,"Expiring","In date")))))</f>
        <v/>
      </c>
    </row>
    <row r="1132" spans="1:17" x14ac:dyDescent="0.35">
      <c r="A1132" s="90" t="str">
        <f>IF(Receipts!$D1135="","",Receipts!$D1135)</f>
        <v/>
      </c>
      <c r="B1132" s="18" t="str">
        <f>IF(Receipts!$C1135="","",Receipts!$C1135)</f>
        <v/>
      </c>
      <c r="C1132" s="18" t="str">
        <f>IF($A1132="","",IFERROR(INDEX(Items!$B$5:$B$597,MATCH($A1132,Items!$A$5:$A$597,0)),""))</f>
        <v/>
      </c>
      <c r="D1132" s="23" t="str">
        <f>IF($A1132="","",N(Receipts!$G1135))</f>
        <v/>
      </c>
      <c r="E1132" s="20" t="str">
        <f>IF($A1132="","",IFERROR(INDEX(Items!$D$5:$D$597,MATCH($A1132,Items!$A$5:$A$597,0)),0))</f>
        <v/>
      </c>
      <c r="F1132" s="21" t="str">
        <f t="shared" si="85"/>
        <v/>
      </c>
      <c r="G1132" s="25" t="str">
        <f>IF(Receipts!$I1135="","",Receipts!$I1135)</f>
        <v/>
      </c>
      <c r="H1132" s="25" t="str">
        <f>IF(Receipts!$H1135="","",Receipts!$H1135)</f>
        <v/>
      </c>
      <c r="I1132" s="26" t="str">
        <f t="shared" ca="1" si="86"/>
        <v/>
      </c>
      <c r="J1132" s="26" t="str">
        <f>IF($A1132="","",COUNTIFS(tblReceipts[Item Name],$A1132,tblReceipts[Expiry Date],"&lt;"&amp;$H1132)+COUNTIFS(tblReceipts[Item Name],$A1132,tblReceipts[Expiry Date],$H1132,tblReceipts[Lot Number],"&lt;="&amp;Receipts!$C1135))</f>
        <v/>
      </c>
      <c r="K1132" s="26" t="str">
        <f>IF($A1132="","",SUMIFS(tblReceipts[Qty Received],tblReceipts[Item Name],$A1132,tblReceipts[Expiry Date],"&lt;"&amp;$H1132)+SUMIFS(tblReceipts[Qty Received],tblReceipts[Item Name],$A1132,tblReceipts[Expiry Date],$H1132,tblReceipts[Lot Number],"&lt;"&amp;Receipts!$C1135))</f>
        <v/>
      </c>
      <c r="L1132" s="26" t="str">
        <f>IF($A1132="","",MIN($D1132,MAX(0,SUMIFS(tblIssues[Qty Issued],tblIssues[Item Name],$A1132)-$K1132)))</f>
        <v/>
      </c>
      <c r="M1132" s="26" t="str">
        <f>IF($A1132="","",SUMIFS(tblIssues[Qty Issued],tblIssues[Lot Number],$B1132))</f>
        <v/>
      </c>
      <c r="N1132" s="26" t="str">
        <f t="shared" si="87"/>
        <v/>
      </c>
      <c r="O1132" s="26" t="str">
        <f t="shared" si="88"/>
        <v/>
      </c>
      <c r="P1132" s="21" t="str">
        <f t="shared" si="89"/>
        <v/>
      </c>
      <c r="Q1132" s="52" t="str">
        <f>IF($A1132="","",IF($O1132&lt;=0,"Depleted",IF($I1132&lt;0,"EXPIRED",IF($I1132&lt;=Settings!$C$6,"CRITICAL",IF($I1132&lt;=Settings!$C$5,"Expiring","In date")))))</f>
        <v/>
      </c>
    </row>
    <row r="1133" spans="1:17" x14ac:dyDescent="0.35">
      <c r="A1133" s="90" t="str">
        <f>IF(Receipts!$D1136="","",Receipts!$D1136)</f>
        <v/>
      </c>
      <c r="B1133" s="18" t="str">
        <f>IF(Receipts!$C1136="","",Receipts!$C1136)</f>
        <v/>
      </c>
      <c r="C1133" s="18" t="str">
        <f>IF($A1133="","",IFERROR(INDEX(Items!$B$5:$B$597,MATCH($A1133,Items!$A$5:$A$597,0)),""))</f>
        <v/>
      </c>
      <c r="D1133" s="23" t="str">
        <f>IF($A1133="","",N(Receipts!$G1136))</f>
        <v/>
      </c>
      <c r="E1133" s="20" t="str">
        <f>IF($A1133="","",IFERROR(INDEX(Items!$D$5:$D$597,MATCH($A1133,Items!$A$5:$A$597,0)),0))</f>
        <v/>
      </c>
      <c r="F1133" s="21" t="str">
        <f t="shared" si="85"/>
        <v/>
      </c>
      <c r="G1133" s="25" t="str">
        <f>IF(Receipts!$I1136="","",Receipts!$I1136)</f>
        <v/>
      </c>
      <c r="H1133" s="25" t="str">
        <f>IF(Receipts!$H1136="","",Receipts!$H1136)</f>
        <v/>
      </c>
      <c r="I1133" s="26" t="str">
        <f t="shared" ca="1" si="86"/>
        <v/>
      </c>
      <c r="J1133" s="26" t="str">
        <f>IF($A1133="","",COUNTIFS(tblReceipts[Item Name],$A1133,tblReceipts[Expiry Date],"&lt;"&amp;$H1133)+COUNTIFS(tblReceipts[Item Name],$A1133,tblReceipts[Expiry Date],$H1133,tblReceipts[Lot Number],"&lt;="&amp;Receipts!$C1136))</f>
        <v/>
      </c>
      <c r="K1133" s="26" t="str">
        <f>IF($A1133="","",SUMIFS(tblReceipts[Qty Received],tblReceipts[Item Name],$A1133,tblReceipts[Expiry Date],"&lt;"&amp;$H1133)+SUMIFS(tblReceipts[Qty Received],tblReceipts[Item Name],$A1133,tblReceipts[Expiry Date],$H1133,tblReceipts[Lot Number],"&lt;"&amp;Receipts!$C1136))</f>
        <v/>
      </c>
      <c r="L1133" s="26" t="str">
        <f>IF($A1133="","",MIN($D1133,MAX(0,SUMIFS(tblIssues[Qty Issued],tblIssues[Item Name],$A1133)-$K1133)))</f>
        <v/>
      </c>
      <c r="M1133" s="26" t="str">
        <f>IF($A1133="","",SUMIFS(tblIssues[Qty Issued],tblIssues[Lot Number],$B1133))</f>
        <v/>
      </c>
      <c r="N1133" s="26" t="str">
        <f t="shared" si="87"/>
        <v/>
      </c>
      <c r="O1133" s="26" t="str">
        <f t="shared" si="88"/>
        <v/>
      </c>
      <c r="P1133" s="21" t="str">
        <f t="shared" si="89"/>
        <v/>
      </c>
      <c r="Q1133" s="52" t="str">
        <f>IF($A1133="","",IF($O1133&lt;=0,"Depleted",IF($I1133&lt;0,"EXPIRED",IF($I1133&lt;=Settings!$C$6,"CRITICAL",IF($I1133&lt;=Settings!$C$5,"Expiring","In date")))))</f>
        <v/>
      </c>
    </row>
    <row r="1134" spans="1:17" x14ac:dyDescent="0.35">
      <c r="A1134" s="90" t="str">
        <f>IF(Receipts!$D1137="","",Receipts!$D1137)</f>
        <v/>
      </c>
      <c r="B1134" s="18" t="str">
        <f>IF(Receipts!$C1137="","",Receipts!$C1137)</f>
        <v/>
      </c>
      <c r="C1134" s="18" t="str">
        <f>IF($A1134="","",IFERROR(INDEX(Items!$B$5:$B$597,MATCH($A1134,Items!$A$5:$A$597,0)),""))</f>
        <v/>
      </c>
      <c r="D1134" s="23" t="str">
        <f>IF($A1134="","",N(Receipts!$G1137))</f>
        <v/>
      </c>
      <c r="E1134" s="20" t="str">
        <f>IF($A1134="","",IFERROR(INDEX(Items!$D$5:$D$597,MATCH($A1134,Items!$A$5:$A$597,0)),0))</f>
        <v/>
      </c>
      <c r="F1134" s="21" t="str">
        <f t="shared" si="85"/>
        <v/>
      </c>
      <c r="G1134" s="25" t="str">
        <f>IF(Receipts!$I1137="","",Receipts!$I1137)</f>
        <v/>
      </c>
      <c r="H1134" s="25" t="str">
        <f>IF(Receipts!$H1137="","",Receipts!$H1137)</f>
        <v/>
      </c>
      <c r="I1134" s="26" t="str">
        <f t="shared" ca="1" si="86"/>
        <v/>
      </c>
      <c r="J1134" s="26" t="str">
        <f>IF($A1134="","",COUNTIFS(tblReceipts[Item Name],$A1134,tblReceipts[Expiry Date],"&lt;"&amp;$H1134)+COUNTIFS(tblReceipts[Item Name],$A1134,tblReceipts[Expiry Date],$H1134,tblReceipts[Lot Number],"&lt;="&amp;Receipts!$C1137))</f>
        <v/>
      </c>
      <c r="K1134" s="26" t="str">
        <f>IF($A1134="","",SUMIFS(tblReceipts[Qty Received],tblReceipts[Item Name],$A1134,tblReceipts[Expiry Date],"&lt;"&amp;$H1134)+SUMIFS(tblReceipts[Qty Received],tblReceipts[Item Name],$A1134,tblReceipts[Expiry Date],$H1134,tblReceipts[Lot Number],"&lt;"&amp;Receipts!$C1137))</f>
        <v/>
      </c>
      <c r="L1134" s="26" t="str">
        <f>IF($A1134="","",MIN($D1134,MAX(0,SUMIFS(tblIssues[Qty Issued],tblIssues[Item Name],$A1134)-$K1134)))</f>
        <v/>
      </c>
      <c r="M1134" s="26" t="str">
        <f>IF($A1134="","",SUMIFS(tblIssues[Qty Issued],tblIssues[Lot Number],$B1134))</f>
        <v/>
      </c>
      <c r="N1134" s="26" t="str">
        <f t="shared" si="87"/>
        <v/>
      </c>
      <c r="O1134" s="26" t="str">
        <f t="shared" si="88"/>
        <v/>
      </c>
      <c r="P1134" s="21" t="str">
        <f t="shared" si="89"/>
        <v/>
      </c>
      <c r="Q1134" s="52" t="str">
        <f>IF($A1134="","",IF($O1134&lt;=0,"Depleted",IF($I1134&lt;0,"EXPIRED",IF($I1134&lt;=Settings!$C$6,"CRITICAL",IF($I1134&lt;=Settings!$C$5,"Expiring","In date")))))</f>
        <v/>
      </c>
    </row>
    <row r="1135" spans="1:17" x14ac:dyDescent="0.35">
      <c r="A1135" s="90" t="str">
        <f>IF(Receipts!$D1138="","",Receipts!$D1138)</f>
        <v/>
      </c>
      <c r="B1135" s="18" t="str">
        <f>IF(Receipts!$C1138="","",Receipts!$C1138)</f>
        <v/>
      </c>
      <c r="C1135" s="18" t="str">
        <f>IF($A1135="","",IFERROR(INDEX(Items!$B$5:$B$597,MATCH($A1135,Items!$A$5:$A$597,0)),""))</f>
        <v/>
      </c>
      <c r="D1135" s="23" t="str">
        <f>IF($A1135="","",N(Receipts!$G1138))</f>
        <v/>
      </c>
      <c r="E1135" s="20" t="str">
        <f>IF($A1135="","",IFERROR(INDEX(Items!$D$5:$D$597,MATCH($A1135,Items!$A$5:$A$597,0)),0))</f>
        <v/>
      </c>
      <c r="F1135" s="21" t="str">
        <f t="shared" si="85"/>
        <v/>
      </c>
      <c r="G1135" s="25" t="str">
        <f>IF(Receipts!$I1138="","",Receipts!$I1138)</f>
        <v/>
      </c>
      <c r="H1135" s="25" t="str">
        <f>IF(Receipts!$H1138="","",Receipts!$H1138)</f>
        <v/>
      </c>
      <c r="I1135" s="26" t="str">
        <f t="shared" ca="1" si="86"/>
        <v/>
      </c>
      <c r="J1135" s="26" t="str">
        <f>IF($A1135="","",COUNTIFS(tblReceipts[Item Name],$A1135,tblReceipts[Expiry Date],"&lt;"&amp;$H1135)+COUNTIFS(tblReceipts[Item Name],$A1135,tblReceipts[Expiry Date],$H1135,tblReceipts[Lot Number],"&lt;="&amp;Receipts!$C1138))</f>
        <v/>
      </c>
      <c r="K1135" s="26" t="str">
        <f>IF($A1135="","",SUMIFS(tblReceipts[Qty Received],tblReceipts[Item Name],$A1135,tblReceipts[Expiry Date],"&lt;"&amp;$H1135)+SUMIFS(tblReceipts[Qty Received],tblReceipts[Item Name],$A1135,tblReceipts[Expiry Date],$H1135,tblReceipts[Lot Number],"&lt;"&amp;Receipts!$C1138))</f>
        <v/>
      </c>
      <c r="L1135" s="26" t="str">
        <f>IF($A1135="","",MIN($D1135,MAX(0,SUMIFS(tblIssues[Qty Issued],tblIssues[Item Name],$A1135)-$K1135)))</f>
        <v/>
      </c>
      <c r="M1135" s="26" t="str">
        <f>IF($A1135="","",SUMIFS(tblIssues[Qty Issued],tblIssues[Lot Number],$B1135))</f>
        <v/>
      </c>
      <c r="N1135" s="26" t="str">
        <f t="shared" si="87"/>
        <v/>
      </c>
      <c r="O1135" s="26" t="str">
        <f t="shared" si="88"/>
        <v/>
      </c>
      <c r="P1135" s="21" t="str">
        <f t="shared" si="89"/>
        <v/>
      </c>
      <c r="Q1135" s="52" t="str">
        <f>IF($A1135="","",IF($O1135&lt;=0,"Depleted",IF($I1135&lt;0,"EXPIRED",IF($I1135&lt;=Settings!$C$6,"CRITICAL",IF($I1135&lt;=Settings!$C$5,"Expiring","In date")))))</f>
        <v/>
      </c>
    </row>
    <row r="1136" spans="1:17" x14ac:dyDescent="0.35">
      <c r="A1136" s="90" t="str">
        <f>IF(Receipts!$D1139="","",Receipts!$D1139)</f>
        <v/>
      </c>
      <c r="B1136" s="18" t="str">
        <f>IF(Receipts!$C1139="","",Receipts!$C1139)</f>
        <v/>
      </c>
      <c r="C1136" s="18" t="str">
        <f>IF($A1136="","",IFERROR(INDEX(Items!$B$5:$B$597,MATCH($A1136,Items!$A$5:$A$597,0)),""))</f>
        <v/>
      </c>
      <c r="D1136" s="23" t="str">
        <f>IF($A1136="","",N(Receipts!$G1139))</f>
        <v/>
      </c>
      <c r="E1136" s="20" t="str">
        <f>IF($A1136="","",IFERROR(INDEX(Items!$D$5:$D$597,MATCH($A1136,Items!$A$5:$A$597,0)),0))</f>
        <v/>
      </c>
      <c r="F1136" s="21" t="str">
        <f t="shared" si="85"/>
        <v/>
      </c>
      <c r="G1136" s="25" t="str">
        <f>IF(Receipts!$I1139="","",Receipts!$I1139)</f>
        <v/>
      </c>
      <c r="H1136" s="25" t="str">
        <f>IF(Receipts!$H1139="","",Receipts!$H1139)</f>
        <v/>
      </c>
      <c r="I1136" s="26" t="str">
        <f t="shared" ca="1" si="86"/>
        <v/>
      </c>
      <c r="J1136" s="26" t="str">
        <f>IF($A1136="","",COUNTIFS(tblReceipts[Item Name],$A1136,tblReceipts[Expiry Date],"&lt;"&amp;$H1136)+COUNTIFS(tblReceipts[Item Name],$A1136,tblReceipts[Expiry Date],$H1136,tblReceipts[Lot Number],"&lt;="&amp;Receipts!$C1139))</f>
        <v/>
      </c>
      <c r="K1136" s="26" t="str">
        <f>IF($A1136="","",SUMIFS(tblReceipts[Qty Received],tblReceipts[Item Name],$A1136,tblReceipts[Expiry Date],"&lt;"&amp;$H1136)+SUMIFS(tblReceipts[Qty Received],tblReceipts[Item Name],$A1136,tblReceipts[Expiry Date],$H1136,tblReceipts[Lot Number],"&lt;"&amp;Receipts!$C1139))</f>
        <v/>
      </c>
      <c r="L1136" s="26" t="str">
        <f>IF($A1136="","",MIN($D1136,MAX(0,SUMIFS(tblIssues[Qty Issued],tblIssues[Item Name],$A1136)-$K1136)))</f>
        <v/>
      </c>
      <c r="M1136" s="26" t="str">
        <f>IF($A1136="","",SUMIFS(tblIssues[Qty Issued],tblIssues[Lot Number],$B1136))</f>
        <v/>
      </c>
      <c r="N1136" s="26" t="str">
        <f t="shared" si="87"/>
        <v/>
      </c>
      <c r="O1136" s="26" t="str">
        <f t="shared" si="88"/>
        <v/>
      </c>
      <c r="P1136" s="21" t="str">
        <f t="shared" si="89"/>
        <v/>
      </c>
      <c r="Q1136" s="52" t="str">
        <f>IF($A1136="","",IF($O1136&lt;=0,"Depleted",IF($I1136&lt;0,"EXPIRED",IF($I1136&lt;=Settings!$C$6,"CRITICAL",IF($I1136&lt;=Settings!$C$5,"Expiring","In date")))))</f>
        <v/>
      </c>
    </row>
    <row r="1137" spans="1:17" x14ac:dyDescent="0.35">
      <c r="A1137" s="90" t="str">
        <f>IF(Receipts!$D1140="","",Receipts!$D1140)</f>
        <v/>
      </c>
      <c r="B1137" s="18" t="str">
        <f>IF(Receipts!$C1140="","",Receipts!$C1140)</f>
        <v/>
      </c>
      <c r="C1137" s="18" t="str">
        <f>IF($A1137="","",IFERROR(INDEX(Items!$B$5:$B$597,MATCH($A1137,Items!$A$5:$A$597,0)),""))</f>
        <v/>
      </c>
      <c r="D1137" s="23" t="str">
        <f>IF($A1137="","",N(Receipts!$G1140))</f>
        <v/>
      </c>
      <c r="E1137" s="20" t="str">
        <f>IF($A1137="","",IFERROR(INDEX(Items!$D$5:$D$597,MATCH($A1137,Items!$A$5:$A$597,0)),0))</f>
        <v/>
      </c>
      <c r="F1137" s="21" t="str">
        <f t="shared" si="85"/>
        <v/>
      </c>
      <c r="G1137" s="25" t="str">
        <f>IF(Receipts!$I1140="","",Receipts!$I1140)</f>
        <v/>
      </c>
      <c r="H1137" s="25" t="str">
        <f>IF(Receipts!$H1140="","",Receipts!$H1140)</f>
        <v/>
      </c>
      <c r="I1137" s="26" t="str">
        <f t="shared" ca="1" si="86"/>
        <v/>
      </c>
      <c r="J1137" s="26" t="str">
        <f>IF($A1137="","",COUNTIFS(tblReceipts[Item Name],$A1137,tblReceipts[Expiry Date],"&lt;"&amp;$H1137)+COUNTIFS(tblReceipts[Item Name],$A1137,tblReceipts[Expiry Date],$H1137,tblReceipts[Lot Number],"&lt;="&amp;Receipts!$C1140))</f>
        <v/>
      </c>
      <c r="K1137" s="26" t="str">
        <f>IF($A1137="","",SUMIFS(tblReceipts[Qty Received],tblReceipts[Item Name],$A1137,tblReceipts[Expiry Date],"&lt;"&amp;$H1137)+SUMIFS(tblReceipts[Qty Received],tblReceipts[Item Name],$A1137,tblReceipts[Expiry Date],$H1137,tblReceipts[Lot Number],"&lt;"&amp;Receipts!$C1140))</f>
        <v/>
      </c>
      <c r="L1137" s="26" t="str">
        <f>IF($A1137="","",MIN($D1137,MAX(0,SUMIFS(tblIssues[Qty Issued],tblIssues[Item Name],$A1137)-$K1137)))</f>
        <v/>
      </c>
      <c r="M1137" s="26" t="str">
        <f>IF($A1137="","",SUMIFS(tblIssues[Qty Issued],tblIssues[Lot Number],$B1137))</f>
        <v/>
      </c>
      <c r="N1137" s="26" t="str">
        <f t="shared" si="87"/>
        <v/>
      </c>
      <c r="O1137" s="26" t="str">
        <f t="shared" si="88"/>
        <v/>
      </c>
      <c r="P1137" s="21" t="str">
        <f t="shared" si="89"/>
        <v/>
      </c>
      <c r="Q1137" s="52" t="str">
        <f>IF($A1137="","",IF($O1137&lt;=0,"Depleted",IF($I1137&lt;0,"EXPIRED",IF($I1137&lt;=Settings!$C$6,"CRITICAL",IF($I1137&lt;=Settings!$C$5,"Expiring","In date")))))</f>
        <v/>
      </c>
    </row>
    <row r="1138" spans="1:17" x14ac:dyDescent="0.35">
      <c r="A1138" s="90" t="str">
        <f>IF(Receipts!$D1141="","",Receipts!$D1141)</f>
        <v/>
      </c>
      <c r="B1138" s="18" t="str">
        <f>IF(Receipts!$C1141="","",Receipts!$C1141)</f>
        <v/>
      </c>
      <c r="C1138" s="18" t="str">
        <f>IF($A1138="","",IFERROR(INDEX(Items!$B$5:$B$597,MATCH($A1138,Items!$A$5:$A$597,0)),""))</f>
        <v/>
      </c>
      <c r="D1138" s="23" t="str">
        <f>IF($A1138="","",N(Receipts!$G1141))</f>
        <v/>
      </c>
      <c r="E1138" s="20" t="str">
        <f>IF($A1138="","",IFERROR(INDEX(Items!$D$5:$D$597,MATCH($A1138,Items!$A$5:$A$597,0)),0))</f>
        <v/>
      </c>
      <c r="F1138" s="21" t="str">
        <f t="shared" si="85"/>
        <v/>
      </c>
      <c r="G1138" s="25" t="str">
        <f>IF(Receipts!$I1141="","",Receipts!$I1141)</f>
        <v/>
      </c>
      <c r="H1138" s="25" t="str">
        <f>IF(Receipts!$H1141="","",Receipts!$H1141)</f>
        <v/>
      </c>
      <c r="I1138" s="26" t="str">
        <f t="shared" ca="1" si="86"/>
        <v/>
      </c>
      <c r="J1138" s="26" t="str">
        <f>IF($A1138="","",COUNTIFS(tblReceipts[Item Name],$A1138,tblReceipts[Expiry Date],"&lt;"&amp;$H1138)+COUNTIFS(tblReceipts[Item Name],$A1138,tblReceipts[Expiry Date],$H1138,tblReceipts[Lot Number],"&lt;="&amp;Receipts!$C1141))</f>
        <v/>
      </c>
      <c r="K1138" s="26" t="str">
        <f>IF($A1138="","",SUMIFS(tblReceipts[Qty Received],tblReceipts[Item Name],$A1138,tblReceipts[Expiry Date],"&lt;"&amp;$H1138)+SUMIFS(tblReceipts[Qty Received],tblReceipts[Item Name],$A1138,tblReceipts[Expiry Date],$H1138,tblReceipts[Lot Number],"&lt;"&amp;Receipts!$C1141))</f>
        <v/>
      </c>
      <c r="L1138" s="26" t="str">
        <f>IF($A1138="","",MIN($D1138,MAX(0,SUMIFS(tblIssues[Qty Issued],tblIssues[Item Name],$A1138)-$K1138)))</f>
        <v/>
      </c>
      <c r="M1138" s="26" t="str">
        <f>IF($A1138="","",SUMIFS(tblIssues[Qty Issued],tblIssues[Lot Number],$B1138))</f>
        <v/>
      </c>
      <c r="N1138" s="26" t="str">
        <f t="shared" si="87"/>
        <v/>
      </c>
      <c r="O1138" s="26" t="str">
        <f t="shared" si="88"/>
        <v/>
      </c>
      <c r="P1138" s="21" t="str">
        <f t="shared" si="89"/>
        <v/>
      </c>
      <c r="Q1138" s="52" t="str">
        <f>IF($A1138="","",IF($O1138&lt;=0,"Depleted",IF($I1138&lt;0,"EXPIRED",IF($I1138&lt;=Settings!$C$6,"CRITICAL",IF($I1138&lt;=Settings!$C$5,"Expiring","In date")))))</f>
        <v/>
      </c>
    </row>
    <row r="1139" spans="1:17" x14ac:dyDescent="0.35">
      <c r="A1139" s="90" t="str">
        <f>IF(Receipts!$D1142="","",Receipts!$D1142)</f>
        <v/>
      </c>
      <c r="B1139" s="18" t="str">
        <f>IF(Receipts!$C1142="","",Receipts!$C1142)</f>
        <v/>
      </c>
      <c r="C1139" s="18" t="str">
        <f>IF($A1139="","",IFERROR(INDEX(Items!$B$5:$B$597,MATCH($A1139,Items!$A$5:$A$597,0)),""))</f>
        <v/>
      </c>
      <c r="D1139" s="23" t="str">
        <f>IF($A1139="","",N(Receipts!$G1142))</f>
        <v/>
      </c>
      <c r="E1139" s="20" t="str">
        <f>IF($A1139="","",IFERROR(INDEX(Items!$D$5:$D$597,MATCH($A1139,Items!$A$5:$A$597,0)),0))</f>
        <v/>
      </c>
      <c r="F1139" s="21" t="str">
        <f t="shared" si="85"/>
        <v/>
      </c>
      <c r="G1139" s="25" t="str">
        <f>IF(Receipts!$I1142="","",Receipts!$I1142)</f>
        <v/>
      </c>
      <c r="H1139" s="25" t="str">
        <f>IF(Receipts!$H1142="","",Receipts!$H1142)</f>
        <v/>
      </c>
      <c r="I1139" s="26" t="str">
        <f t="shared" ca="1" si="86"/>
        <v/>
      </c>
      <c r="J1139" s="26" t="str">
        <f>IF($A1139="","",COUNTIFS(tblReceipts[Item Name],$A1139,tblReceipts[Expiry Date],"&lt;"&amp;$H1139)+COUNTIFS(tblReceipts[Item Name],$A1139,tblReceipts[Expiry Date],$H1139,tblReceipts[Lot Number],"&lt;="&amp;Receipts!$C1142))</f>
        <v/>
      </c>
      <c r="K1139" s="26" t="str">
        <f>IF($A1139="","",SUMIFS(tblReceipts[Qty Received],tblReceipts[Item Name],$A1139,tblReceipts[Expiry Date],"&lt;"&amp;$H1139)+SUMIFS(tblReceipts[Qty Received],tblReceipts[Item Name],$A1139,tblReceipts[Expiry Date],$H1139,tblReceipts[Lot Number],"&lt;"&amp;Receipts!$C1142))</f>
        <v/>
      </c>
      <c r="L1139" s="26" t="str">
        <f>IF($A1139="","",MIN($D1139,MAX(0,SUMIFS(tblIssues[Qty Issued],tblIssues[Item Name],$A1139)-$K1139)))</f>
        <v/>
      </c>
      <c r="M1139" s="26" t="str">
        <f>IF($A1139="","",SUMIFS(tblIssues[Qty Issued],tblIssues[Lot Number],$B1139))</f>
        <v/>
      </c>
      <c r="N1139" s="26" t="str">
        <f t="shared" si="87"/>
        <v/>
      </c>
      <c r="O1139" s="26" t="str">
        <f t="shared" si="88"/>
        <v/>
      </c>
      <c r="P1139" s="21" t="str">
        <f t="shared" si="89"/>
        <v/>
      </c>
      <c r="Q1139" s="52" t="str">
        <f>IF($A1139="","",IF($O1139&lt;=0,"Depleted",IF($I1139&lt;0,"EXPIRED",IF($I1139&lt;=Settings!$C$6,"CRITICAL",IF($I1139&lt;=Settings!$C$5,"Expiring","In date")))))</f>
        <v/>
      </c>
    </row>
    <row r="1140" spans="1:17" x14ac:dyDescent="0.35">
      <c r="A1140" s="90" t="str">
        <f>IF(Receipts!$D1143="","",Receipts!$D1143)</f>
        <v/>
      </c>
      <c r="B1140" s="18" t="str">
        <f>IF(Receipts!$C1143="","",Receipts!$C1143)</f>
        <v/>
      </c>
      <c r="C1140" s="18" t="str">
        <f>IF($A1140="","",IFERROR(INDEX(Items!$B$5:$B$597,MATCH($A1140,Items!$A$5:$A$597,0)),""))</f>
        <v/>
      </c>
      <c r="D1140" s="23" t="str">
        <f>IF($A1140="","",N(Receipts!$G1143))</f>
        <v/>
      </c>
      <c r="E1140" s="20" t="str">
        <f>IF($A1140="","",IFERROR(INDEX(Items!$D$5:$D$597,MATCH($A1140,Items!$A$5:$A$597,0)),0))</f>
        <v/>
      </c>
      <c r="F1140" s="21" t="str">
        <f t="shared" si="85"/>
        <v/>
      </c>
      <c r="G1140" s="25" t="str">
        <f>IF(Receipts!$I1143="","",Receipts!$I1143)</f>
        <v/>
      </c>
      <c r="H1140" s="25" t="str">
        <f>IF(Receipts!$H1143="","",Receipts!$H1143)</f>
        <v/>
      </c>
      <c r="I1140" s="26" t="str">
        <f t="shared" ca="1" si="86"/>
        <v/>
      </c>
      <c r="J1140" s="26" t="str">
        <f>IF($A1140="","",COUNTIFS(tblReceipts[Item Name],$A1140,tblReceipts[Expiry Date],"&lt;"&amp;$H1140)+COUNTIFS(tblReceipts[Item Name],$A1140,tblReceipts[Expiry Date],$H1140,tblReceipts[Lot Number],"&lt;="&amp;Receipts!$C1143))</f>
        <v/>
      </c>
      <c r="K1140" s="26" t="str">
        <f>IF($A1140="","",SUMIFS(tblReceipts[Qty Received],tblReceipts[Item Name],$A1140,tblReceipts[Expiry Date],"&lt;"&amp;$H1140)+SUMIFS(tblReceipts[Qty Received],tblReceipts[Item Name],$A1140,tblReceipts[Expiry Date],$H1140,tblReceipts[Lot Number],"&lt;"&amp;Receipts!$C1143))</f>
        <v/>
      </c>
      <c r="L1140" s="26" t="str">
        <f>IF($A1140="","",MIN($D1140,MAX(0,SUMIFS(tblIssues[Qty Issued],tblIssues[Item Name],$A1140)-$K1140)))</f>
        <v/>
      </c>
      <c r="M1140" s="26" t="str">
        <f>IF($A1140="","",SUMIFS(tblIssues[Qty Issued],tblIssues[Lot Number],$B1140))</f>
        <v/>
      </c>
      <c r="N1140" s="26" t="str">
        <f t="shared" si="87"/>
        <v/>
      </c>
      <c r="O1140" s="26" t="str">
        <f t="shared" si="88"/>
        <v/>
      </c>
      <c r="P1140" s="21" t="str">
        <f t="shared" si="89"/>
        <v/>
      </c>
      <c r="Q1140" s="52" t="str">
        <f>IF($A1140="","",IF($O1140&lt;=0,"Depleted",IF($I1140&lt;0,"EXPIRED",IF($I1140&lt;=Settings!$C$6,"CRITICAL",IF($I1140&lt;=Settings!$C$5,"Expiring","In date")))))</f>
        <v/>
      </c>
    </row>
    <row r="1141" spans="1:17" x14ac:dyDescent="0.35">
      <c r="A1141" s="90" t="str">
        <f>IF(Receipts!$D1144="","",Receipts!$D1144)</f>
        <v/>
      </c>
      <c r="B1141" s="18" t="str">
        <f>IF(Receipts!$C1144="","",Receipts!$C1144)</f>
        <v/>
      </c>
      <c r="C1141" s="18" t="str">
        <f>IF($A1141="","",IFERROR(INDEX(Items!$B$5:$B$597,MATCH($A1141,Items!$A$5:$A$597,0)),""))</f>
        <v/>
      </c>
      <c r="D1141" s="23" t="str">
        <f>IF($A1141="","",N(Receipts!$G1144))</f>
        <v/>
      </c>
      <c r="E1141" s="20" t="str">
        <f>IF($A1141="","",IFERROR(INDEX(Items!$D$5:$D$597,MATCH($A1141,Items!$A$5:$A$597,0)),0))</f>
        <v/>
      </c>
      <c r="F1141" s="21" t="str">
        <f t="shared" si="85"/>
        <v/>
      </c>
      <c r="G1141" s="25" t="str">
        <f>IF(Receipts!$I1144="","",Receipts!$I1144)</f>
        <v/>
      </c>
      <c r="H1141" s="25" t="str">
        <f>IF(Receipts!$H1144="","",Receipts!$H1144)</f>
        <v/>
      </c>
      <c r="I1141" s="26" t="str">
        <f t="shared" ca="1" si="86"/>
        <v/>
      </c>
      <c r="J1141" s="26" t="str">
        <f>IF($A1141="","",COUNTIFS(tblReceipts[Item Name],$A1141,tblReceipts[Expiry Date],"&lt;"&amp;$H1141)+COUNTIFS(tblReceipts[Item Name],$A1141,tblReceipts[Expiry Date],$H1141,tblReceipts[Lot Number],"&lt;="&amp;Receipts!$C1144))</f>
        <v/>
      </c>
      <c r="K1141" s="26" t="str">
        <f>IF($A1141="","",SUMIFS(tblReceipts[Qty Received],tblReceipts[Item Name],$A1141,tblReceipts[Expiry Date],"&lt;"&amp;$H1141)+SUMIFS(tblReceipts[Qty Received],tblReceipts[Item Name],$A1141,tblReceipts[Expiry Date],$H1141,tblReceipts[Lot Number],"&lt;"&amp;Receipts!$C1144))</f>
        <v/>
      </c>
      <c r="L1141" s="26" t="str">
        <f>IF($A1141="","",MIN($D1141,MAX(0,SUMIFS(tblIssues[Qty Issued],tblIssues[Item Name],$A1141)-$K1141)))</f>
        <v/>
      </c>
      <c r="M1141" s="26" t="str">
        <f>IF($A1141="","",SUMIFS(tblIssues[Qty Issued],tblIssues[Lot Number],$B1141))</f>
        <v/>
      </c>
      <c r="N1141" s="26" t="str">
        <f t="shared" si="87"/>
        <v/>
      </c>
      <c r="O1141" s="26" t="str">
        <f t="shared" si="88"/>
        <v/>
      </c>
      <c r="P1141" s="21" t="str">
        <f t="shared" si="89"/>
        <v/>
      </c>
      <c r="Q1141" s="52" t="str">
        <f>IF($A1141="","",IF($O1141&lt;=0,"Depleted",IF($I1141&lt;0,"EXPIRED",IF($I1141&lt;=Settings!$C$6,"CRITICAL",IF($I1141&lt;=Settings!$C$5,"Expiring","In date")))))</f>
        <v/>
      </c>
    </row>
    <row r="1142" spans="1:17" x14ac:dyDescent="0.35">
      <c r="A1142" s="90" t="str">
        <f>IF(Receipts!$D1145="","",Receipts!$D1145)</f>
        <v/>
      </c>
      <c r="B1142" s="18" t="str">
        <f>IF(Receipts!$C1145="","",Receipts!$C1145)</f>
        <v/>
      </c>
      <c r="C1142" s="18" t="str">
        <f>IF($A1142="","",IFERROR(INDEX(Items!$B$5:$B$597,MATCH($A1142,Items!$A$5:$A$597,0)),""))</f>
        <v/>
      </c>
      <c r="D1142" s="23" t="str">
        <f>IF($A1142="","",N(Receipts!$G1145))</f>
        <v/>
      </c>
      <c r="E1142" s="20" t="str">
        <f>IF($A1142="","",IFERROR(INDEX(Items!$D$5:$D$597,MATCH($A1142,Items!$A$5:$A$597,0)),0))</f>
        <v/>
      </c>
      <c r="F1142" s="21" t="str">
        <f t="shared" si="85"/>
        <v/>
      </c>
      <c r="G1142" s="25" t="str">
        <f>IF(Receipts!$I1145="","",Receipts!$I1145)</f>
        <v/>
      </c>
      <c r="H1142" s="25" t="str">
        <f>IF(Receipts!$H1145="","",Receipts!$H1145)</f>
        <v/>
      </c>
      <c r="I1142" s="26" t="str">
        <f t="shared" ca="1" si="86"/>
        <v/>
      </c>
      <c r="J1142" s="26" t="str">
        <f>IF($A1142="","",COUNTIFS(tblReceipts[Item Name],$A1142,tblReceipts[Expiry Date],"&lt;"&amp;$H1142)+COUNTIFS(tblReceipts[Item Name],$A1142,tblReceipts[Expiry Date],$H1142,tblReceipts[Lot Number],"&lt;="&amp;Receipts!$C1145))</f>
        <v/>
      </c>
      <c r="K1142" s="26" t="str">
        <f>IF($A1142="","",SUMIFS(tblReceipts[Qty Received],tblReceipts[Item Name],$A1142,tblReceipts[Expiry Date],"&lt;"&amp;$H1142)+SUMIFS(tblReceipts[Qty Received],tblReceipts[Item Name],$A1142,tblReceipts[Expiry Date],$H1142,tblReceipts[Lot Number],"&lt;"&amp;Receipts!$C1145))</f>
        <v/>
      </c>
      <c r="L1142" s="26" t="str">
        <f>IF($A1142="","",MIN($D1142,MAX(0,SUMIFS(tblIssues[Qty Issued],tblIssues[Item Name],$A1142)-$K1142)))</f>
        <v/>
      </c>
      <c r="M1142" s="26" t="str">
        <f>IF($A1142="","",SUMIFS(tblIssues[Qty Issued],tblIssues[Lot Number],$B1142))</f>
        <v/>
      </c>
      <c r="N1142" s="26" t="str">
        <f t="shared" si="87"/>
        <v/>
      </c>
      <c r="O1142" s="26" t="str">
        <f t="shared" si="88"/>
        <v/>
      </c>
      <c r="P1142" s="21" t="str">
        <f t="shared" si="89"/>
        <v/>
      </c>
      <c r="Q1142" s="52" t="str">
        <f>IF($A1142="","",IF($O1142&lt;=0,"Depleted",IF($I1142&lt;0,"EXPIRED",IF($I1142&lt;=Settings!$C$6,"CRITICAL",IF($I1142&lt;=Settings!$C$5,"Expiring","In date")))))</f>
        <v/>
      </c>
    </row>
    <row r="1143" spans="1:17" x14ac:dyDescent="0.35">
      <c r="A1143" s="90" t="str">
        <f>IF(Receipts!$D1146="","",Receipts!$D1146)</f>
        <v/>
      </c>
      <c r="B1143" s="18" t="str">
        <f>IF(Receipts!$C1146="","",Receipts!$C1146)</f>
        <v/>
      </c>
      <c r="C1143" s="18" t="str">
        <f>IF($A1143="","",IFERROR(INDEX(Items!$B$5:$B$597,MATCH($A1143,Items!$A$5:$A$597,0)),""))</f>
        <v/>
      </c>
      <c r="D1143" s="23" t="str">
        <f>IF($A1143="","",N(Receipts!$G1146))</f>
        <v/>
      </c>
      <c r="E1143" s="20" t="str">
        <f>IF($A1143="","",IFERROR(INDEX(Items!$D$5:$D$597,MATCH($A1143,Items!$A$5:$A$597,0)),0))</f>
        <v/>
      </c>
      <c r="F1143" s="21" t="str">
        <f t="shared" si="85"/>
        <v/>
      </c>
      <c r="G1143" s="25" t="str">
        <f>IF(Receipts!$I1146="","",Receipts!$I1146)</f>
        <v/>
      </c>
      <c r="H1143" s="25" t="str">
        <f>IF(Receipts!$H1146="","",Receipts!$H1146)</f>
        <v/>
      </c>
      <c r="I1143" s="26" t="str">
        <f t="shared" ca="1" si="86"/>
        <v/>
      </c>
      <c r="J1143" s="26" t="str">
        <f>IF($A1143="","",COUNTIFS(tblReceipts[Item Name],$A1143,tblReceipts[Expiry Date],"&lt;"&amp;$H1143)+COUNTIFS(tblReceipts[Item Name],$A1143,tblReceipts[Expiry Date],$H1143,tblReceipts[Lot Number],"&lt;="&amp;Receipts!$C1146))</f>
        <v/>
      </c>
      <c r="K1143" s="26" t="str">
        <f>IF($A1143="","",SUMIFS(tblReceipts[Qty Received],tblReceipts[Item Name],$A1143,tblReceipts[Expiry Date],"&lt;"&amp;$H1143)+SUMIFS(tblReceipts[Qty Received],tblReceipts[Item Name],$A1143,tblReceipts[Expiry Date],$H1143,tblReceipts[Lot Number],"&lt;"&amp;Receipts!$C1146))</f>
        <v/>
      </c>
      <c r="L1143" s="26" t="str">
        <f>IF($A1143="","",MIN($D1143,MAX(0,SUMIFS(tblIssues[Qty Issued],tblIssues[Item Name],$A1143)-$K1143)))</f>
        <v/>
      </c>
      <c r="M1143" s="26" t="str">
        <f>IF($A1143="","",SUMIFS(tblIssues[Qty Issued],tblIssues[Lot Number],$B1143))</f>
        <v/>
      </c>
      <c r="N1143" s="26" t="str">
        <f t="shared" si="87"/>
        <v/>
      </c>
      <c r="O1143" s="26" t="str">
        <f t="shared" si="88"/>
        <v/>
      </c>
      <c r="P1143" s="21" t="str">
        <f t="shared" si="89"/>
        <v/>
      </c>
      <c r="Q1143" s="52" t="str">
        <f>IF($A1143="","",IF($O1143&lt;=0,"Depleted",IF($I1143&lt;0,"EXPIRED",IF($I1143&lt;=Settings!$C$6,"CRITICAL",IF($I1143&lt;=Settings!$C$5,"Expiring","In date")))))</f>
        <v/>
      </c>
    </row>
    <row r="1144" spans="1:17" x14ac:dyDescent="0.35">
      <c r="A1144" s="90" t="str">
        <f>IF(Receipts!$D1147="","",Receipts!$D1147)</f>
        <v/>
      </c>
      <c r="B1144" s="18" t="str">
        <f>IF(Receipts!$C1147="","",Receipts!$C1147)</f>
        <v/>
      </c>
      <c r="C1144" s="18" t="str">
        <f>IF($A1144="","",IFERROR(INDEX(Items!$B$5:$B$597,MATCH($A1144,Items!$A$5:$A$597,0)),""))</f>
        <v/>
      </c>
      <c r="D1144" s="23" t="str">
        <f>IF($A1144="","",N(Receipts!$G1147))</f>
        <v/>
      </c>
      <c r="E1144" s="20" t="str">
        <f>IF($A1144="","",IFERROR(INDEX(Items!$D$5:$D$597,MATCH($A1144,Items!$A$5:$A$597,0)),0))</f>
        <v/>
      </c>
      <c r="F1144" s="21" t="str">
        <f t="shared" si="85"/>
        <v/>
      </c>
      <c r="G1144" s="25" t="str">
        <f>IF(Receipts!$I1147="","",Receipts!$I1147)</f>
        <v/>
      </c>
      <c r="H1144" s="25" t="str">
        <f>IF(Receipts!$H1147="","",Receipts!$H1147)</f>
        <v/>
      </c>
      <c r="I1144" s="26" t="str">
        <f t="shared" ca="1" si="86"/>
        <v/>
      </c>
      <c r="J1144" s="26" t="str">
        <f>IF($A1144="","",COUNTIFS(tblReceipts[Item Name],$A1144,tblReceipts[Expiry Date],"&lt;"&amp;$H1144)+COUNTIFS(tblReceipts[Item Name],$A1144,tblReceipts[Expiry Date],$H1144,tblReceipts[Lot Number],"&lt;="&amp;Receipts!$C1147))</f>
        <v/>
      </c>
      <c r="K1144" s="26" t="str">
        <f>IF($A1144="","",SUMIFS(tblReceipts[Qty Received],tblReceipts[Item Name],$A1144,tblReceipts[Expiry Date],"&lt;"&amp;$H1144)+SUMIFS(tblReceipts[Qty Received],tblReceipts[Item Name],$A1144,tblReceipts[Expiry Date],$H1144,tblReceipts[Lot Number],"&lt;"&amp;Receipts!$C1147))</f>
        <v/>
      </c>
      <c r="L1144" s="26" t="str">
        <f>IF($A1144="","",MIN($D1144,MAX(0,SUMIFS(tblIssues[Qty Issued],tblIssues[Item Name],$A1144)-$K1144)))</f>
        <v/>
      </c>
      <c r="M1144" s="26" t="str">
        <f>IF($A1144="","",SUMIFS(tblIssues[Qty Issued],tblIssues[Lot Number],$B1144))</f>
        <v/>
      </c>
      <c r="N1144" s="26" t="str">
        <f t="shared" si="87"/>
        <v/>
      </c>
      <c r="O1144" s="26" t="str">
        <f t="shared" si="88"/>
        <v/>
      </c>
      <c r="P1144" s="21" t="str">
        <f t="shared" si="89"/>
        <v/>
      </c>
      <c r="Q1144" s="52" t="str">
        <f>IF($A1144="","",IF($O1144&lt;=0,"Depleted",IF($I1144&lt;0,"EXPIRED",IF($I1144&lt;=Settings!$C$6,"CRITICAL",IF($I1144&lt;=Settings!$C$5,"Expiring","In date")))))</f>
        <v/>
      </c>
    </row>
    <row r="1145" spans="1:17" x14ac:dyDescent="0.35">
      <c r="A1145" s="90" t="str">
        <f>IF(Receipts!$D1148="","",Receipts!$D1148)</f>
        <v/>
      </c>
      <c r="B1145" s="18" t="str">
        <f>IF(Receipts!$C1148="","",Receipts!$C1148)</f>
        <v/>
      </c>
      <c r="C1145" s="18" t="str">
        <f>IF($A1145="","",IFERROR(INDEX(Items!$B$5:$B$597,MATCH($A1145,Items!$A$5:$A$597,0)),""))</f>
        <v/>
      </c>
      <c r="D1145" s="23" t="str">
        <f>IF($A1145="","",N(Receipts!$G1148))</f>
        <v/>
      </c>
      <c r="E1145" s="20" t="str">
        <f>IF($A1145="","",IFERROR(INDEX(Items!$D$5:$D$597,MATCH($A1145,Items!$A$5:$A$597,0)),0))</f>
        <v/>
      </c>
      <c r="F1145" s="21" t="str">
        <f t="shared" si="85"/>
        <v/>
      </c>
      <c r="G1145" s="25" t="str">
        <f>IF(Receipts!$I1148="","",Receipts!$I1148)</f>
        <v/>
      </c>
      <c r="H1145" s="25" t="str">
        <f>IF(Receipts!$H1148="","",Receipts!$H1148)</f>
        <v/>
      </c>
      <c r="I1145" s="26" t="str">
        <f t="shared" ca="1" si="86"/>
        <v/>
      </c>
      <c r="J1145" s="26" t="str">
        <f>IF($A1145="","",COUNTIFS(tblReceipts[Item Name],$A1145,tblReceipts[Expiry Date],"&lt;"&amp;$H1145)+COUNTIFS(tblReceipts[Item Name],$A1145,tblReceipts[Expiry Date],$H1145,tblReceipts[Lot Number],"&lt;="&amp;Receipts!$C1148))</f>
        <v/>
      </c>
      <c r="K1145" s="26" t="str">
        <f>IF($A1145="","",SUMIFS(tblReceipts[Qty Received],tblReceipts[Item Name],$A1145,tblReceipts[Expiry Date],"&lt;"&amp;$H1145)+SUMIFS(tblReceipts[Qty Received],tblReceipts[Item Name],$A1145,tblReceipts[Expiry Date],$H1145,tblReceipts[Lot Number],"&lt;"&amp;Receipts!$C1148))</f>
        <v/>
      </c>
      <c r="L1145" s="26" t="str">
        <f>IF($A1145="","",MIN($D1145,MAX(0,SUMIFS(tblIssues[Qty Issued],tblIssues[Item Name],$A1145)-$K1145)))</f>
        <v/>
      </c>
      <c r="M1145" s="26" t="str">
        <f>IF($A1145="","",SUMIFS(tblIssues[Qty Issued],tblIssues[Lot Number],$B1145))</f>
        <v/>
      </c>
      <c r="N1145" s="26" t="str">
        <f t="shared" si="87"/>
        <v/>
      </c>
      <c r="O1145" s="26" t="str">
        <f t="shared" si="88"/>
        <v/>
      </c>
      <c r="P1145" s="21" t="str">
        <f t="shared" si="89"/>
        <v/>
      </c>
      <c r="Q1145" s="52" t="str">
        <f>IF($A1145="","",IF($O1145&lt;=0,"Depleted",IF($I1145&lt;0,"EXPIRED",IF($I1145&lt;=Settings!$C$6,"CRITICAL",IF($I1145&lt;=Settings!$C$5,"Expiring","In date")))))</f>
        <v/>
      </c>
    </row>
    <row r="1146" spans="1:17" x14ac:dyDescent="0.35">
      <c r="A1146" s="90" t="str">
        <f>IF(Receipts!$D1149="","",Receipts!$D1149)</f>
        <v/>
      </c>
      <c r="B1146" s="18" t="str">
        <f>IF(Receipts!$C1149="","",Receipts!$C1149)</f>
        <v/>
      </c>
      <c r="C1146" s="18" t="str">
        <f>IF($A1146="","",IFERROR(INDEX(Items!$B$5:$B$597,MATCH($A1146,Items!$A$5:$A$597,0)),""))</f>
        <v/>
      </c>
      <c r="D1146" s="23" t="str">
        <f>IF($A1146="","",N(Receipts!$G1149))</f>
        <v/>
      </c>
      <c r="E1146" s="20" t="str">
        <f>IF($A1146="","",IFERROR(INDEX(Items!$D$5:$D$597,MATCH($A1146,Items!$A$5:$A$597,0)),0))</f>
        <v/>
      </c>
      <c r="F1146" s="21" t="str">
        <f t="shared" si="85"/>
        <v/>
      </c>
      <c r="G1146" s="25" t="str">
        <f>IF(Receipts!$I1149="","",Receipts!$I1149)</f>
        <v/>
      </c>
      <c r="H1146" s="25" t="str">
        <f>IF(Receipts!$H1149="","",Receipts!$H1149)</f>
        <v/>
      </c>
      <c r="I1146" s="26" t="str">
        <f t="shared" ca="1" si="86"/>
        <v/>
      </c>
      <c r="J1146" s="26" t="str">
        <f>IF($A1146="","",COUNTIFS(tblReceipts[Item Name],$A1146,tblReceipts[Expiry Date],"&lt;"&amp;$H1146)+COUNTIFS(tblReceipts[Item Name],$A1146,tblReceipts[Expiry Date],$H1146,tblReceipts[Lot Number],"&lt;="&amp;Receipts!$C1149))</f>
        <v/>
      </c>
      <c r="K1146" s="26" t="str">
        <f>IF($A1146="","",SUMIFS(tblReceipts[Qty Received],tblReceipts[Item Name],$A1146,tblReceipts[Expiry Date],"&lt;"&amp;$H1146)+SUMIFS(tblReceipts[Qty Received],tblReceipts[Item Name],$A1146,tblReceipts[Expiry Date],$H1146,tblReceipts[Lot Number],"&lt;"&amp;Receipts!$C1149))</f>
        <v/>
      </c>
      <c r="L1146" s="26" t="str">
        <f>IF($A1146="","",MIN($D1146,MAX(0,SUMIFS(tblIssues[Qty Issued],tblIssues[Item Name],$A1146)-$K1146)))</f>
        <v/>
      </c>
      <c r="M1146" s="26" t="str">
        <f>IF($A1146="","",SUMIFS(tblIssues[Qty Issued],tblIssues[Lot Number],$B1146))</f>
        <v/>
      </c>
      <c r="N1146" s="26" t="str">
        <f t="shared" si="87"/>
        <v/>
      </c>
      <c r="O1146" s="26" t="str">
        <f t="shared" si="88"/>
        <v/>
      </c>
      <c r="P1146" s="21" t="str">
        <f t="shared" si="89"/>
        <v/>
      </c>
      <c r="Q1146" s="52" t="str">
        <f>IF($A1146="","",IF($O1146&lt;=0,"Depleted",IF($I1146&lt;0,"EXPIRED",IF($I1146&lt;=Settings!$C$6,"CRITICAL",IF($I1146&lt;=Settings!$C$5,"Expiring","In date")))))</f>
        <v/>
      </c>
    </row>
    <row r="1147" spans="1:17" x14ac:dyDescent="0.35">
      <c r="A1147" s="90" t="str">
        <f>IF(Receipts!$D1150="","",Receipts!$D1150)</f>
        <v/>
      </c>
      <c r="B1147" s="18" t="str">
        <f>IF(Receipts!$C1150="","",Receipts!$C1150)</f>
        <v/>
      </c>
      <c r="C1147" s="18" t="str">
        <f>IF($A1147="","",IFERROR(INDEX(Items!$B$5:$B$597,MATCH($A1147,Items!$A$5:$A$597,0)),""))</f>
        <v/>
      </c>
      <c r="D1147" s="23" t="str">
        <f>IF($A1147="","",N(Receipts!$G1150))</f>
        <v/>
      </c>
      <c r="E1147" s="20" t="str">
        <f>IF($A1147="","",IFERROR(INDEX(Items!$D$5:$D$597,MATCH($A1147,Items!$A$5:$A$597,0)),0))</f>
        <v/>
      </c>
      <c r="F1147" s="21" t="str">
        <f t="shared" si="85"/>
        <v/>
      </c>
      <c r="G1147" s="25" t="str">
        <f>IF(Receipts!$I1150="","",Receipts!$I1150)</f>
        <v/>
      </c>
      <c r="H1147" s="25" t="str">
        <f>IF(Receipts!$H1150="","",Receipts!$H1150)</f>
        <v/>
      </c>
      <c r="I1147" s="26" t="str">
        <f t="shared" ca="1" si="86"/>
        <v/>
      </c>
      <c r="J1147" s="26" t="str">
        <f>IF($A1147="","",COUNTIFS(tblReceipts[Item Name],$A1147,tblReceipts[Expiry Date],"&lt;"&amp;$H1147)+COUNTIFS(tblReceipts[Item Name],$A1147,tblReceipts[Expiry Date],$H1147,tblReceipts[Lot Number],"&lt;="&amp;Receipts!$C1150))</f>
        <v/>
      </c>
      <c r="K1147" s="26" t="str">
        <f>IF($A1147="","",SUMIFS(tblReceipts[Qty Received],tblReceipts[Item Name],$A1147,tblReceipts[Expiry Date],"&lt;"&amp;$H1147)+SUMIFS(tblReceipts[Qty Received],tblReceipts[Item Name],$A1147,tblReceipts[Expiry Date],$H1147,tblReceipts[Lot Number],"&lt;"&amp;Receipts!$C1150))</f>
        <v/>
      </c>
      <c r="L1147" s="26" t="str">
        <f>IF($A1147="","",MIN($D1147,MAX(0,SUMIFS(tblIssues[Qty Issued],tblIssues[Item Name],$A1147)-$K1147)))</f>
        <v/>
      </c>
      <c r="M1147" s="26" t="str">
        <f>IF($A1147="","",SUMIFS(tblIssues[Qty Issued],tblIssues[Lot Number],$B1147))</f>
        <v/>
      </c>
      <c r="N1147" s="26" t="str">
        <f t="shared" si="87"/>
        <v/>
      </c>
      <c r="O1147" s="26" t="str">
        <f t="shared" si="88"/>
        <v/>
      </c>
      <c r="P1147" s="21" t="str">
        <f t="shared" si="89"/>
        <v/>
      </c>
      <c r="Q1147" s="52" t="str">
        <f>IF($A1147="","",IF($O1147&lt;=0,"Depleted",IF($I1147&lt;0,"EXPIRED",IF($I1147&lt;=Settings!$C$6,"CRITICAL",IF($I1147&lt;=Settings!$C$5,"Expiring","In date")))))</f>
        <v/>
      </c>
    </row>
    <row r="1148" spans="1:17" x14ac:dyDescent="0.35">
      <c r="A1148" s="90" t="str">
        <f>IF(Receipts!$D1151="","",Receipts!$D1151)</f>
        <v/>
      </c>
      <c r="B1148" s="18" t="str">
        <f>IF(Receipts!$C1151="","",Receipts!$C1151)</f>
        <v/>
      </c>
      <c r="C1148" s="18" t="str">
        <f>IF($A1148="","",IFERROR(INDEX(Items!$B$5:$B$597,MATCH($A1148,Items!$A$5:$A$597,0)),""))</f>
        <v/>
      </c>
      <c r="D1148" s="23" t="str">
        <f>IF($A1148="","",N(Receipts!$G1151))</f>
        <v/>
      </c>
      <c r="E1148" s="20" t="str">
        <f>IF($A1148="","",IFERROR(INDEX(Items!$D$5:$D$597,MATCH($A1148,Items!$A$5:$A$597,0)),0))</f>
        <v/>
      </c>
      <c r="F1148" s="21" t="str">
        <f t="shared" si="85"/>
        <v/>
      </c>
      <c r="G1148" s="25" t="str">
        <f>IF(Receipts!$I1151="","",Receipts!$I1151)</f>
        <v/>
      </c>
      <c r="H1148" s="25" t="str">
        <f>IF(Receipts!$H1151="","",Receipts!$H1151)</f>
        <v/>
      </c>
      <c r="I1148" s="26" t="str">
        <f t="shared" ca="1" si="86"/>
        <v/>
      </c>
      <c r="J1148" s="26" t="str">
        <f>IF($A1148="","",COUNTIFS(tblReceipts[Item Name],$A1148,tblReceipts[Expiry Date],"&lt;"&amp;$H1148)+COUNTIFS(tblReceipts[Item Name],$A1148,tblReceipts[Expiry Date],$H1148,tblReceipts[Lot Number],"&lt;="&amp;Receipts!$C1151))</f>
        <v/>
      </c>
      <c r="K1148" s="26" t="str">
        <f>IF($A1148="","",SUMIFS(tblReceipts[Qty Received],tblReceipts[Item Name],$A1148,tblReceipts[Expiry Date],"&lt;"&amp;$H1148)+SUMIFS(tblReceipts[Qty Received],tblReceipts[Item Name],$A1148,tblReceipts[Expiry Date],$H1148,tblReceipts[Lot Number],"&lt;"&amp;Receipts!$C1151))</f>
        <v/>
      </c>
      <c r="L1148" s="26" t="str">
        <f>IF($A1148="","",MIN($D1148,MAX(0,SUMIFS(tblIssues[Qty Issued],tblIssues[Item Name],$A1148)-$K1148)))</f>
        <v/>
      </c>
      <c r="M1148" s="26" t="str">
        <f>IF($A1148="","",SUMIFS(tblIssues[Qty Issued],tblIssues[Lot Number],$B1148))</f>
        <v/>
      </c>
      <c r="N1148" s="26" t="str">
        <f t="shared" si="87"/>
        <v/>
      </c>
      <c r="O1148" s="26" t="str">
        <f t="shared" si="88"/>
        <v/>
      </c>
      <c r="P1148" s="21" t="str">
        <f t="shared" si="89"/>
        <v/>
      </c>
      <c r="Q1148" s="52" t="str">
        <f>IF($A1148="","",IF($O1148&lt;=0,"Depleted",IF($I1148&lt;0,"EXPIRED",IF($I1148&lt;=Settings!$C$6,"CRITICAL",IF($I1148&lt;=Settings!$C$5,"Expiring","In date")))))</f>
        <v/>
      </c>
    </row>
    <row r="1149" spans="1:17" x14ac:dyDescent="0.35">
      <c r="A1149" s="90" t="str">
        <f>IF(Receipts!$D1152="","",Receipts!$D1152)</f>
        <v/>
      </c>
      <c r="B1149" s="18" t="str">
        <f>IF(Receipts!$C1152="","",Receipts!$C1152)</f>
        <v/>
      </c>
      <c r="C1149" s="18" t="str">
        <f>IF($A1149="","",IFERROR(INDEX(Items!$B$5:$B$597,MATCH($A1149,Items!$A$5:$A$597,0)),""))</f>
        <v/>
      </c>
      <c r="D1149" s="23" t="str">
        <f>IF($A1149="","",N(Receipts!$G1152))</f>
        <v/>
      </c>
      <c r="E1149" s="20" t="str">
        <f>IF($A1149="","",IFERROR(INDEX(Items!$D$5:$D$597,MATCH($A1149,Items!$A$5:$A$597,0)),0))</f>
        <v/>
      </c>
      <c r="F1149" s="21" t="str">
        <f t="shared" si="85"/>
        <v/>
      </c>
      <c r="G1149" s="25" t="str">
        <f>IF(Receipts!$I1152="","",Receipts!$I1152)</f>
        <v/>
      </c>
      <c r="H1149" s="25" t="str">
        <f>IF(Receipts!$H1152="","",Receipts!$H1152)</f>
        <v/>
      </c>
      <c r="I1149" s="26" t="str">
        <f t="shared" ca="1" si="86"/>
        <v/>
      </c>
      <c r="J1149" s="26" t="str">
        <f>IF($A1149="","",COUNTIFS(tblReceipts[Item Name],$A1149,tblReceipts[Expiry Date],"&lt;"&amp;$H1149)+COUNTIFS(tblReceipts[Item Name],$A1149,tblReceipts[Expiry Date],$H1149,tblReceipts[Lot Number],"&lt;="&amp;Receipts!$C1152))</f>
        <v/>
      </c>
      <c r="K1149" s="26" t="str">
        <f>IF($A1149="","",SUMIFS(tblReceipts[Qty Received],tblReceipts[Item Name],$A1149,tblReceipts[Expiry Date],"&lt;"&amp;$H1149)+SUMIFS(tblReceipts[Qty Received],tblReceipts[Item Name],$A1149,tblReceipts[Expiry Date],$H1149,tblReceipts[Lot Number],"&lt;"&amp;Receipts!$C1152))</f>
        <v/>
      </c>
      <c r="L1149" s="26" t="str">
        <f>IF($A1149="","",MIN($D1149,MAX(0,SUMIFS(tblIssues[Qty Issued],tblIssues[Item Name],$A1149)-$K1149)))</f>
        <v/>
      </c>
      <c r="M1149" s="26" t="str">
        <f>IF($A1149="","",SUMIFS(tblIssues[Qty Issued],tblIssues[Lot Number],$B1149))</f>
        <v/>
      </c>
      <c r="N1149" s="26" t="str">
        <f t="shared" si="87"/>
        <v/>
      </c>
      <c r="O1149" s="26" t="str">
        <f t="shared" si="88"/>
        <v/>
      </c>
      <c r="P1149" s="21" t="str">
        <f t="shared" si="89"/>
        <v/>
      </c>
      <c r="Q1149" s="52" t="str">
        <f>IF($A1149="","",IF($O1149&lt;=0,"Depleted",IF($I1149&lt;0,"EXPIRED",IF($I1149&lt;=Settings!$C$6,"CRITICAL",IF($I1149&lt;=Settings!$C$5,"Expiring","In date")))))</f>
        <v/>
      </c>
    </row>
    <row r="1150" spans="1:17" x14ac:dyDescent="0.35">
      <c r="A1150" s="90" t="str">
        <f>IF(Receipts!$D1153="","",Receipts!$D1153)</f>
        <v/>
      </c>
      <c r="B1150" s="18" t="str">
        <f>IF(Receipts!$C1153="","",Receipts!$C1153)</f>
        <v/>
      </c>
      <c r="C1150" s="18" t="str">
        <f>IF($A1150="","",IFERROR(INDEX(Items!$B$5:$B$597,MATCH($A1150,Items!$A$5:$A$597,0)),""))</f>
        <v/>
      </c>
      <c r="D1150" s="23" t="str">
        <f>IF($A1150="","",N(Receipts!$G1153))</f>
        <v/>
      </c>
      <c r="E1150" s="20" t="str">
        <f>IF($A1150="","",IFERROR(INDEX(Items!$D$5:$D$597,MATCH($A1150,Items!$A$5:$A$597,0)),0))</f>
        <v/>
      </c>
      <c r="F1150" s="21" t="str">
        <f t="shared" si="85"/>
        <v/>
      </c>
      <c r="G1150" s="25" t="str">
        <f>IF(Receipts!$I1153="","",Receipts!$I1153)</f>
        <v/>
      </c>
      <c r="H1150" s="25" t="str">
        <f>IF(Receipts!$H1153="","",Receipts!$H1153)</f>
        <v/>
      </c>
      <c r="I1150" s="26" t="str">
        <f t="shared" ca="1" si="86"/>
        <v/>
      </c>
      <c r="J1150" s="26" t="str">
        <f>IF($A1150="","",COUNTIFS(tblReceipts[Item Name],$A1150,tblReceipts[Expiry Date],"&lt;"&amp;$H1150)+COUNTIFS(tblReceipts[Item Name],$A1150,tblReceipts[Expiry Date],$H1150,tblReceipts[Lot Number],"&lt;="&amp;Receipts!$C1153))</f>
        <v/>
      </c>
      <c r="K1150" s="26" t="str">
        <f>IF($A1150="","",SUMIFS(tblReceipts[Qty Received],tblReceipts[Item Name],$A1150,tblReceipts[Expiry Date],"&lt;"&amp;$H1150)+SUMIFS(tblReceipts[Qty Received],tblReceipts[Item Name],$A1150,tblReceipts[Expiry Date],$H1150,tblReceipts[Lot Number],"&lt;"&amp;Receipts!$C1153))</f>
        <v/>
      </c>
      <c r="L1150" s="26" t="str">
        <f>IF($A1150="","",MIN($D1150,MAX(0,SUMIFS(tblIssues[Qty Issued],tblIssues[Item Name],$A1150)-$K1150)))</f>
        <v/>
      </c>
      <c r="M1150" s="26" t="str">
        <f>IF($A1150="","",SUMIFS(tblIssues[Qty Issued],tblIssues[Lot Number],$B1150))</f>
        <v/>
      </c>
      <c r="N1150" s="26" t="str">
        <f t="shared" si="87"/>
        <v/>
      </c>
      <c r="O1150" s="26" t="str">
        <f t="shared" si="88"/>
        <v/>
      </c>
      <c r="P1150" s="21" t="str">
        <f t="shared" si="89"/>
        <v/>
      </c>
      <c r="Q1150" s="52" t="str">
        <f>IF($A1150="","",IF($O1150&lt;=0,"Depleted",IF($I1150&lt;0,"EXPIRED",IF($I1150&lt;=Settings!$C$6,"CRITICAL",IF($I1150&lt;=Settings!$C$5,"Expiring","In date")))))</f>
        <v/>
      </c>
    </row>
    <row r="1151" spans="1:17" x14ac:dyDescent="0.35">
      <c r="A1151" s="90" t="str">
        <f>IF(Receipts!$D1154="","",Receipts!$D1154)</f>
        <v/>
      </c>
      <c r="B1151" s="18" t="str">
        <f>IF(Receipts!$C1154="","",Receipts!$C1154)</f>
        <v/>
      </c>
      <c r="C1151" s="18" t="str">
        <f>IF($A1151="","",IFERROR(INDEX(Items!$B$5:$B$597,MATCH($A1151,Items!$A$5:$A$597,0)),""))</f>
        <v/>
      </c>
      <c r="D1151" s="23" t="str">
        <f>IF($A1151="","",N(Receipts!$G1154))</f>
        <v/>
      </c>
      <c r="E1151" s="20" t="str">
        <f>IF($A1151="","",IFERROR(INDEX(Items!$D$5:$D$597,MATCH($A1151,Items!$A$5:$A$597,0)),0))</f>
        <v/>
      </c>
      <c r="F1151" s="21" t="str">
        <f t="shared" si="85"/>
        <v/>
      </c>
      <c r="G1151" s="25" t="str">
        <f>IF(Receipts!$I1154="","",Receipts!$I1154)</f>
        <v/>
      </c>
      <c r="H1151" s="25" t="str">
        <f>IF(Receipts!$H1154="","",Receipts!$H1154)</f>
        <v/>
      </c>
      <c r="I1151" s="26" t="str">
        <f t="shared" ca="1" si="86"/>
        <v/>
      </c>
      <c r="J1151" s="26" t="str">
        <f>IF($A1151="","",COUNTIFS(tblReceipts[Item Name],$A1151,tblReceipts[Expiry Date],"&lt;"&amp;$H1151)+COUNTIFS(tblReceipts[Item Name],$A1151,tblReceipts[Expiry Date],$H1151,tblReceipts[Lot Number],"&lt;="&amp;Receipts!$C1154))</f>
        <v/>
      </c>
      <c r="K1151" s="26" t="str">
        <f>IF($A1151="","",SUMIFS(tblReceipts[Qty Received],tblReceipts[Item Name],$A1151,tblReceipts[Expiry Date],"&lt;"&amp;$H1151)+SUMIFS(tblReceipts[Qty Received],tblReceipts[Item Name],$A1151,tblReceipts[Expiry Date],$H1151,tblReceipts[Lot Number],"&lt;"&amp;Receipts!$C1154))</f>
        <v/>
      </c>
      <c r="L1151" s="26" t="str">
        <f>IF($A1151="","",MIN($D1151,MAX(0,SUMIFS(tblIssues[Qty Issued],tblIssues[Item Name],$A1151)-$K1151)))</f>
        <v/>
      </c>
      <c r="M1151" s="26" t="str">
        <f>IF($A1151="","",SUMIFS(tblIssues[Qty Issued],tblIssues[Lot Number],$B1151))</f>
        <v/>
      </c>
      <c r="N1151" s="26" t="str">
        <f t="shared" si="87"/>
        <v/>
      </c>
      <c r="O1151" s="26" t="str">
        <f t="shared" si="88"/>
        <v/>
      </c>
      <c r="P1151" s="21" t="str">
        <f t="shared" si="89"/>
        <v/>
      </c>
      <c r="Q1151" s="52" t="str">
        <f>IF($A1151="","",IF($O1151&lt;=0,"Depleted",IF($I1151&lt;0,"EXPIRED",IF($I1151&lt;=Settings!$C$6,"CRITICAL",IF($I1151&lt;=Settings!$C$5,"Expiring","In date")))))</f>
        <v/>
      </c>
    </row>
    <row r="1152" spans="1:17" x14ac:dyDescent="0.35">
      <c r="A1152" s="90" t="str">
        <f>IF(Receipts!$D1155="","",Receipts!$D1155)</f>
        <v/>
      </c>
      <c r="B1152" s="18" t="str">
        <f>IF(Receipts!$C1155="","",Receipts!$C1155)</f>
        <v/>
      </c>
      <c r="C1152" s="18" t="str">
        <f>IF($A1152="","",IFERROR(INDEX(Items!$B$5:$B$597,MATCH($A1152,Items!$A$5:$A$597,0)),""))</f>
        <v/>
      </c>
      <c r="D1152" s="23" t="str">
        <f>IF($A1152="","",N(Receipts!$G1155))</f>
        <v/>
      </c>
      <c r="E1152" s="20" t="str">
        <f>IF($A1152="","",IFERROR(INDEX(Items!$D$5:$D$597,MATCH($A1152,Items!$A$5:$A$597,0)),0))</f>
        <v/>
      </c>
      <c r="F1152" s="21" t="str">
        <f t="shared" si="85"/>
        <v/>
      </c>
      <c r="G1152" s="25" t="str">
        <f>IF(Receipts!$I1155="","",Receipts!$I1155)</f>
        <v/>
      </c>
      <c r="H1152" s="25" t="str">
        <f>IF(Receipts!$H1155="","",Receipts!$H1155)</f>
        <v/>
      </c>
      <c r="I1152" s="26" t="str">
        <f t="shared" ca="1" si="86"/>
        <v/>
      </c>
      <c r="J1152" s="26" t="str">
        <f>IF($A1152="","",COUNTIFS(tblReceipts[Item Name],$A1152,tblReceipts[Expiry Date],"&lt;"&amp;$H1152)+COUNTIFS(tblReceipts[Item Name],$A1152,tblReceipts[Expiry Date],$H1152,tblReceipts[Lot Number],"&lt;="&amp;Receipts!$C1155))</f>
        <v/>
      </c>
      <c r="K1152" s="26" t="str">
        <f>IF($A1152="","",SUMIFS(tblReceipts[Qty Received],tblReceipts[Item Name],$A1152,tblReceipts[Expiry Date],"&lt;"&amp;$H1152)+SUMIFS(tblReceipts[Qty Received],tblReceipts[Item Name],$A1152,tblReceipts[Expiry Date],$H1152,tblReceipts[Lot Number],"&lt;"&amp;Receipts!$C1155))</f>
        <v/>
      </c>
      <c r="L1152" s="26" t="str">
        <f>IF($A1152="","",MIN($D1152,MAX(0,SUMIFS(tblIssues[Qty Issued],tblIssues[Item Name],$A1152)-$K1152)))</f>
        <v/>
      </c>
      <c r="M1152" s="26" t="str">
        <f>IF($A1152="","",SUMIFS(tblIssues[Qty Issued],tblIssues[Lot Number],$B1152))</f>
        <v/>
      </c>
      <c r="N1152" s="26" t="str">
        <f t="shared" si="87"/>
        <v/>
      </c>
      <c r="O1152" s="26" t="str">
        <f t="shared" si="88"/>
        <v/>
      </c>
      <c r="P1152" s="21" t="str">
        <f t="shared" si="89"/>
        <v/>
      </c>
      <c r="Q1152" s="52" t="str">
        <f>IF($A1152="","",IF($O1152&lt;=0,"Depleted",IF($I1152&lt;0,"EXPIRED",IF($I1152&lt;=Settings!$C$6,"CRITICAL",IF($I1152&lt;=Settings!$C$5,"Expiring","In date")))))</f>
        <v/>
      </c>
    </row>
    <row r="1153" spans="1:17" x14ac:dyDescent="0.35">
      <c r="A1153" s="90" t="str">
        <f>IF(Receipts!$D1156="","",Receipts!$D1156)</f>
        <v/>
      </c>
      <c r="B1153" s="18" t="str">
        <f>IF(Receipts!$C1156="","",Receipts!$C1156)</f>
        <v/>
      </c>
      <c r="C1153" s="18" t="str">
        <f>IF($A1153="","",IFERROR(INDEX(Items!$B$5:$B$597,MATCH($A1153,Items!$A$5:$A$597,0)),""))</f>
        <v/>
      </c>
      <c r="D1153" s="23" t="str">
        <f>IF($A1153="","",N(Receipts!$G1156))</f>
        <v/>
      </c>
      <c r="E1153" s="20" t="str">
        <f>IF($A1153="","",IFERROR(INDEX(Items!$D$5:$D$597,MATCH($A1153,Items!$A$5:$A$597,0)),0))</f>
        <v/>
      </c>
      <c r="F1153" s="21" t="str">
        <f t="shared" si="85"/>
        <v/>
      </c>
      <c r="G1153" s="25" t="str">
        <f>IF(Receipts!$I1156="","",Receipts!$I1156)</f>
        <v/>
      </c>
      <c r="H1153" s="25" t="str">
        <f>IF(Receipts!$H1156="","",Receipts!$H1156)</f>
        <v/>
      </c>
      <c r="I1153" s="26" t="str">
        <f t="shared" ca="1" si="86"/>
        <v/>
      </c>
      <c r="J1153" s="26" t="str">
        <f>IF($A1153="","",COUNTIFS(tblReceipts[Item Name],$A1153,tblReceipts[Expiry Date],"&lt;"&amp;$H1153)+COUNTIFS(tblReceipts[Item Name],$A1153,tblReceipts[Expiry Date],$H1153,tblReceipts[Lot Number],"&lt;="&amp;Receipts!$C1156))</f>
        <v/>
      </c>
      <c r="K1153" s="26" t="str">
        <f>IF($A1153="","",SUMIFS(tblReceipts[Qty Received],tblReceipts[Item Name],$A1153,tblReceipts[Expiry Date],"&lt;"&amp;$H1153)+SUMIFS(tblReceipts[Qty Received],tblReceipts[Item Name],$A1153,tblReceipts[Expiry Date],$H1153,tblReceipts[Lot Number],"&lt;"&amp;Receipts!$C1156))</f>
        <v/>
      </c>
      <c r="L1153" s="26" t="str">
        <f>IF($A1153="","",MIN($D1153,MAX(0,SUMIFS(tblIssues[Qty Issued],tblIssues[Item Name],$A1153)-$K1153)))</f>
        <v/>
      </c>
      <c r="M1153" s="26" t="str">
        <f>IF($A1153="","",SUMIFS(tblIssues[Qty Issued],tblIssues[Lot Number],$B1153))</f>
        <v/>
      </c>
      <c r="N1153" s="26" t="str">
        <f t="shared" si="87"/>
        <v/>
      </c>
      <c r="O1153" s="26" t="str">
        <f t="shared" si="88"/>
        <v/>
      </c>
      <c r="P1153" s="21" t="str">
        <f t="shared" si="89"/>
        <v/>
      </c>
      <c r="Q1153" s="52" t="str">
        <f>IF($A1153="","",IF($O1153&lt;=0,"Depleted",IF($I1153&lt;0,"EXPIRED",IF($I1153&lt;=Settings!$C$6,"CRITICAL",IF($I1153&lt;=Settings!$C$5,"Expiring","In date")))))</f>
        <v/>
      </c>
    </row>
    <row r="1154" spans="1:17" x14ac:dyDescent="0.35">
      <c r="A1154" s="90" t="str">
        <f>IF(Receipts!$D1157="","",Receipts!$D1157)</f>
        <v/>
      </c>
      <c r="B1154" s="18" t="str">
        <f>IF(Receipts!$C1157="","",Receipts!$C1157)</f>
        <v/>
      </c>
      <c r="C1154" s="18" t="str">
        <f>IF($A1154="","",IFERROR(INDEX(Items!$B$5:$B$597,MATCH($A1154,Items!$A$5:$A$597,0)),""))</f>
        <v/>
      </c>
      <c r="D1154" s="23" t="str">
        <f>IF($A1154="","",N(Receipts!$G1157))</f>
        <v/>
      </c>
      <c r="E1154" s="20" t="str">
        <f>IF($A1154="","",IFERROR(INDEX(Items!$D$5:$D$597,MATCH($A1154,Items!$A$5:$A$597,0)),0))</f>
        <v/>
      </c>
      <c r="F1154" s="21" t="str">
        <f t="shared" si="85"/>
        <v/>
      </c>
      <c r="G1154" s="25" t="str">
        <f>IF(Receipts!$I1157="","",Receipts!$I1157)</f>
        <v/>
      </c>
      <c r="H1154" s="25" t="str">
        <f>IF(Receipts!$H1157="","",Receipts!$H1157)</f>
        <v/>
      </c>
      <c r="I1154" s="26" t="str">
        <f t="shared" ca="1" si="86"/>
        <v/>
      </c>
      <c r="J1154" s="26" t="str">
        <f>IF($A1154="","",COUNTIFS(tblReceipts[Item Name],$A1154,tblReceipts[Expiry Date],"&lt;"&amp;$H1154)+COUNTIFS(tblReceipts[Item Name],$A1154,tblReceipts[Expiry Date],$H1154,tblReceipts[Lot Number],"&lt;="&amp;Receipts!$C1157))</f>
        <v/>
      </c>
      <c r="K1154" s="26" t="str">
        <f>IF($A1154="","",SUMIFS(tblReceipts[Qty Received],tblReceipts[Item Name],$A1154,tblReceipts[Expiry Date],"&lt;"&amp;$H1154)+SUMIFS(tblReceipts[Qty Received],tblReceipts[Item Name],$A1154,tblReceipts[Expiry Date],$H1154,tblReceipts[Lot Number],"&lt;"&amp;Receipts!$C1157))</f>
        <v/>
      </c>
      <c r="L1154" s="26" t="str">
        <f>IF($A1154="","",MIN($D1154,MAX(0,SUMIFS(tblIssues[Qty Issued],tblIssues[Item Name],$A1154)-$K1154)))</f>
        <v/>
      </c>
      <c r="M1154" s="26" t="str">
        <f>IF($A1154="","",SUMIFS(tblIssues[Qty Issued],tblIssues[Lot Number],$B1154))</f>
        <v/>
      </c>
      <c r="N1154" s="26" t="str">
        <f t="shared" si="87"/>
        <v/>
      </c>
      <c r="O1154" s="26" t="str">
        <f t="shared" si="88"/>
        <v/>
      </c>
      <c r="P1154" s="21" t="str">
        <f t="shared" si="89"/>
        <v/>
      </c>
      <c r="Q1154" s="52" t="str">
        <f>IF($A1154="","",IF($O1154&lt;=0,"Depleted",IF($I1154&lt;0,"EXPIRED",IF($I1154&lt;=Settings!$C$6,"CRITICAL",IF($I1154&lt;=Settings!$C$5,"Expiring","In date")))))</f>
        <v/>
      </c>
    </row>
    <row r="1155" spans="1:17" x14ac:dyDescent="0.35">
      <c r="A1155" s="90" t="str">
        <f>IF(Receipts!$D1158="","",Receipts!$D1158)</f>
        <v/>
      </c>
      <c r="B1155" s="18" t="str">
        <f>IF(Receipts!$C1158="","",Receipts!$C1158)</f>
        <v/>
      </c>
      <c r="C1155" s="18" t="str">
        <f>IF($A1155="","",IFERROR(INDEX(Items!$B$5:$B$597,MATCH($A1155,Items!$A$5:$A$597,0)),""))</f>
        <v/>
      </c>
      <c r="D1155" s="23" t="str">
        <f>IF($A1155="","",N(Receipts!$G1158))</f>
        <v/>
      </c>
      <c r="E1155" s="20" t="str">
        <f>IF($A1155="","",IFERROR(INDEX(Items!$D$5:$D$597,MATCH($A1155,Items!$A$5:$A$597,0)),0))</f>
        <v/>
      </c>
      <c r="F1155" s="21" t="str">
        <f t="shared" si="85"/>
        <v/>
      </c>
      <c r="G1155" s="25" t="str">
        <f>IF(Receipts!$I1158="","",Receipts!$I1158)</f>
        <v/>
      </c>
      <c r="H1155" s="25" t="str">
        <f>IF(Receipts!$H1158="","",Receipts!$H1158)</f>
        <v/>
      </c>
      <c r="I1155" s="26" t="str">
        <f t="shared" ca="1" si="86"/>
        <v/>
      </c>
      <c r="J1155" s="26" t="str">
        <f>IF($A1155="","",COUNTIFS(tblReceipts[Item Name],$A1155,tblReceipts[Expiry Date],"&lt;"&amp;$H1155)+COUNTIFS(tblReceipts[Item Name],$A1155,tblReceipts[Expiry Date],$H1155,tblReceipts[Lot Number],"&lt;="&amp;Receipts!$C1158))</f>
        <v/>
      </c>
      <c r="K1155" s="26" t="str">
        <f>IF($A1155="","",SUMIFS(tblReceipts[Qty Received],tblReceipts[Item Name],$A1155,tblReceipts[Expiry Date],"&lt;"&amp;$H1155)+SUMIFS(tblReceipts[Qty Received],tblReceipts[Item Name],$A1155,tblReceipts[Expiry Date],$H1155,tblReceipts[Lot Number],"&lt;"&amp;Receipts!$C1158))</f>
        <v/>
      </c>
      <c r="L1155" s="26" t="str">
        <f>IF($A1155="","",MIN($D1155,MAX(0,SUMIFS(tblIssues[Qty Issued],tblIssues[Item Name],$A1155)-$K1155)))</f>
        <v/>
      </c>
      <c r="M1155" s="26" t="str">
        <f>IF($A1155="","",SUMIFS(tblIssues[Qty Issued],tblIssues[Lot Number],$B1155))</f>
        <v/>
      </c>
      <c r="N1155" s="26" t="str">
        <f t="shared" si="87"/>
        <v/>
      </c>
      <c r="O1155" s="26" t="str">
        <f t="shared" si="88"/>
        <v/>
      </c>
      <c r="P1155" s="21" t="str">
        <f t="shared" si="89"/>
        <v/>
      </c>
      <c r="Q1155" s="52" t="str">
        <f>IF($A1155="","",IF($O1155&lt;=0,"Depleted",IF($I1155&lt;0,"EXPIRED",IF($I1155&lt;=Settings!$C$6,"CRITICAL",IF($I1155&lt;=Settings!$C$5,"Expiring","In date")))))</f>
        <v/>
      </c>
    </row>
    <row r="1156" spans="1:17" x14ac:dyDescent="0.35">
      <c r="A1156" s="90" t="str">
        <f>IF(Receipts!$D1159="","",Receipts!$D1159)</f>
        <v/>
      </c>
      <c r="B1156" s="18" t="str">
        <f>IF(Receipts!$C1159="","",Receipts!$C1159)</f>
        <v/>
      </c>
      <c r="C1156" s="18" t="str">
        <f>IF($A1156="","",IFERROR(INDEX(Items!$B$5:$B$597,MATCH($A1156,Items!$A$5:$A$597,0)),""))</f>
        <v/>
      </c>
      <c r="D1156" s="23" t="str">
        <f>IF($A1156="","",N(Receipts!$G1159))</f>
        <v/>
      </c>
      <c r="E1156" s="20" t="str">
        <f>IF($A1156="","",IFERROR(INDEX(Items!$D$5:$D$597,MATCH($A1156,Items!$A$5:$A$597,0)),0))</f>
        <v/>
      </c>
      <c r="F1156" s="21" t="str">
        <f t="shared" si="85"/>
        <v/>
      </c>
      <c r="G1156" s="25" t="str">
        <f>IF(Receipts!$I1159="","",Receipts!$I1159)</f>
        <v/>
      </c>
      <c r="H1156" s="25" t="str">
        <f>IF(Receipts!$H1159="","",Receipts!$H1159)</f>
        <v/>
      </c>
      <c r="I1156" s="26" t="str">
        <f t="shared" ca="1" si="86"/>
        <v/>
      </c>
      <c r="J1156" s="26" t="str">
        <f>IF($A1156="","",COUNTIFS(tblReceipts[Item Name],$A1156,tblReceipts[Expiry Date],"&lt;"&amp;$H1156)+COUNTIFS(tblReceipts[Item Name],$A1156,tblReceipts[Expiry Date],$H1156,tblReceipts[Lot Number],"&lt;="&amp;Receipts!$C1159))</f>
        <v/>
      </c>
      <c r="K1156" s="26" t="str">
        <f>IF($A1156="","",SUMIFS(tblReceipts[Qty Received],tblReceipts[Item Name],$A1156,tblReceipts[Expiry Date],"&lt;"&amp;$H1156)+SUMIFS(tblReceipts[Qty Received],tblReceipts[Item Name],$A1156,tblReceipts[Expiry Date],$H1156,tblReceipts[Lot Number],"&lt;"&amp;Receipts!$C1159))</f>
        <v/>
      </c>
      <c r="L1156" s="26" t="str">
        <f>IF($A1156="","",MIN($D1156,MAX(0,SUMIFS(tblIssues[Qty Issued],tblIssues[Item Name],$A1156)-$K1156)))</f>
        <v/>
      </c>
      <c r="M1156" s="26" t="str">
        <f>IF($A1156="","",SUMIFS(tblIssues[Qty Issued],tblIssues[Lot Number],$B1156))</f>
        <v/>
      </c>
      <c r="N1156" s="26" t="str">
        <f t="shared" si="87"/>
        <v/>
      </c>
      <c r="O1156" s="26" t="str">
        <f t="shared" si="88"/>
        <v/>
      </c>
      <c r="P1156" s="21" t="str">
        <f t="shared" si="89"/>
        <v/>
      </c>
      <c r="Q1156" s="52" t="str">
        <f>IF($A1156="","",IF($O1156&lt;=0,"Depleted",IF($I1156&lt;0,"EXPIRED",IF($I1156&lt;=Settings!$C$6,"CRITICAL",IF($I1156&lt;=Settings!$C$5,"Expiring","In date")))))</f>
        <v/>
      </c>
    </row>
    <row r="1157" spans="1:17" x14ac:dyDescent="0.35">
      <c r="A1157" s="90" t="str">
        <f>IF(Receipts!$D1160="","",Receipts!$D1160)</f>
        <v/>
      </c>
      <c r="B1157" s="18" t="str">
        <f>IF(Receipts!$C1160="","",Receipts!$C1160)</f>
        <v/>
      </c>
      <c r="C1157" s="18" t="str">
        <f>IF($A1157="","",IFERROR(INDEX(Items!$B$5:$B$597,MATCH($A1157,Items!$A$5:$A$597,0)),""))</f>
        <v/>
      </c>
      <c r="D1157" s="23" t="str">
        <f>IF($A1157="","",N(Receipts!$G1160))</f>
        <v/>
      </c>
      <c r="E1157" s="20" t="str">
        <f>IF($A1157="","",IFERROR(INDEX(Items!$D$5:$D$597,MATCH($A1157,Items!$A$5:$A$597,0)),0))</f>
        <v/>
      </c>
      <c r="F1157" s="21" t="str">
        <f t="shared" ref="F1157:F1220" si="90">IF($A1157="","",$D1157*$E1157)</f>
        <v/>
      </c>
      <c r="G1157" s="25" t="str">
        <f>IF(Receipts!$I1160="","",Receipts!$I1160)</f>
        <v/>
      </c>
      <c r="H1157" s="25" t="str">
        <f>IF(Receipts!$H1160="","",Receipts!$H1160)</f>
        <v/>
      </c>
      <c r="I1157" s="26" t="str">
        <f t="shared" ref="I1157:I1220" ca="1" si="91">IF($H1157="","",$H1157-TODAY())</f>
        <v/>
      </c>
      <c r="J1157" s="26" t="str">
        <f>IF($A1157="","",COUNTIFS(tblReceipts[Item Name],$A1157,tblReceipts[Expiry Date],"&lt;"&amp;$H1157)+COUNTIFS(tblReceipts[Item Name],$A1157,tblReceipts[Expiry Date],$H1157,tblReceipts[Lot Number],"&lt;="&amp;Receipts!$C1160))</f>
        <v/>
      </c>
      <c r="K1157" s="26" t="str">
        <f>IF($A1157="","",SUMIFS(tblReceipts[Qty Received],tblReceipts[Item Name],$A1157,tblReceipts[Expiry Date],"&lt;"&amp;$H1157)+SUMIFS(tblReceipts[Qty Received],tblReceipts[Item Name],$A1157,tblReceipts[Expiry Date],$H1157,tblReceipts[Lot Number],"&lt;"&amp;Receipts!$C1160))</f>
        <v/>
      </c>
      <c r="L1157" s="26" t="str">
        <f>IF($A1157="","",MIN($D1157,MAX(0,SUMIFS(tblIssues[Qty Issued],tblIssues[Item Name],$A1157)-$K1157)))</f>
        <v/>
      </c>
      <c r="M1157" s="26" t="str">
        <f>IF($A1157="","",SUMIFS(tblIssues[Qty Issued],tblIssues[Lot Number],$B1157))</f>
        <v/>
      </c>
      <c r="N1157" s="26" t="str">
        <f t="shared" ref="N1157:N1220" si="92">IF($A1157="","",$M1157-$L1157)</f>
        <v/>
      </c>
      <c r="O1157" s="26" t="str">
        <f t="shared" ref="O1157:O1220" si="93">IF($A1157="","",$D1157-$L1157)</f>
        <v/>
      </c>
      <c r="P1157" s="21" t="str">
        <f t="shared" ref="P1157:P1220" si="94">IF($A1157="","",$O1157*$E1157)</f>
        <v/>
      </c>
      <c r="Q1157" s="52" t="str">
        <f>IF($A1157="","",IF($O1157&lt;=0,"Depleted",IF($I1157&lt;0,"EXPIRED",IF($I1157&lt;=Settings!$C$6,"CRITICAL",IF($I1157&lt;=Settings!$C$5,"Expiring","In date")))))</f>
        <v/>
      </c>
    </row>
    <row r="1158" spans="1:17" x14ac:dyDescent="0.35">
      <c r="A1158" s="90" t="str">
        <f>IF(Receipts!$D1161="","",Receipts!$D1161)</f>
        <v/>
      </c>
      <c r="B1158" s="18" t="str">
        <f>IF(Receipts!$C1161="","",Receipts!$C1161)</f>
        <v/>
      </c>
      <c r="C1158" s="18" t="str">
        <f>IF($A1158="","",IFERROR(INDEX(Items!$B$5:$B$597,MATCH($A1158,Items!$A$5:$A$597,0)),""))</f>
        <v/>
      </c>
      <c r="D1158" s="23" t="str">
        <f>IF($A1158="","",N(Receipts!$G1161))</f>
        <v/>
      </c>
      <c r="E1158" s="20" t="str">
        <f>IF($A1158="","",IFERROR(INDEX(Items!$D$5:$D$597,MATCH($A1158,Items!$A$5:$A$597,0)),0))</f>
        <v/>
      </c>
      <c r="F1158" s="21" t="str">
        <f t="shared" si="90"/>
        <v/>
      </c>
      <c r="G1158" s="25" t="str">
        <f>IF(Receipts!$I1161="","",Receipts!$I1161)</f>
        <v/>
      </c>
      <c r="H1158" s="25" t="str">
        <f>IF(Receipts!$H1161="","",Receipts!$H1161)</f>
        <v/>
      </c>
      <c r="I1158" s="26" t="str">
        <f t="shared" ca="1" si="91"/>
        <v/>
      </c>
      <c r="J1158" s="26" t="str">
        <f>IF($A1158="","",COUNTIFS(tblReceipts[Item Name],$A1158,tblReceipts[Expiry Date],"&lt;"&amp;$H1158)+COUNTIFS(tblReceipts[Item Name],$A1158,tblReceipts[Expiry Date],$H1158,tblReceipts[Lot Number],"&lt;="&amp;Receipts!$C1161))</f>
        <v/>
      </c>
      <c r="K1158" s="26" t="str">
        <f>IF($A1158="","",SUMIFS(tblReceipts[Qty Received],tblReceipts[Item Name],$A1158,tblReceipts[Expiry Date],"&lt;"&amp;$H1158)+SUMIFS(tblReceipts[Qty Received],tblReceipts[Item Name],$A1158,tblReceipts[Expiry Date],$H1158,tblReceipts[Lot Number],"&lt;"&amp;Receipts!$C1161))</f>
        <v/>
      </c>
      <c r="L1158" s="26" t="str">
        <f>IF($A1158="","",MIN($D1158,MAX(0,SUMIFS(tblIssues[Qty Issued],tblIssues[Item Name],$A1158)-$K1158)))</f>
        <v/>
      </c>
      <c r="M1158" s="26" t="str">
        <f>IF($A1158="","",SUMIFS(tblIssues[Qty Issued],tblIssues[Lot Number],$B1158))</f>
        <v/>
      </c>
      <c r="N1158" s="26" t="str">
        <f t="shared" si="92"/>
        <v/>
      </c>
      <c r="O1158" s="26" t="str">
        <f t="shared" si="93"/>
        <v/>
      </c>
      <c r="P1158" s="21" t="str">
        <f t="shared" si="94"/>
        <v/>
      </c>
      <c r="Q1158" s="52" t="str">
        <f>IF($A1158="","",IF($O1158&lt;=0,"Depleted",IF($I1158&lt;0,"EXPIRED",IF($I1158&lt;=Settings!$C$6,"CRITICAL",IF($I1158&lt;=Settings!$C$5,"Expiring","In date")))))</f>
        <v/>
      </c>
    </row>
    <row r="1159" spans="1:17" x14ac:dyDescent="0.35">
      <c r="A1159" s="90" t="str">
        <f>IF(Receipts!$D1162="","",Receipts!$D1162)</f>
        <v/>
      </c>
      <c r="B1159" s="18" t="str">
        <f>IF(Receipts!$C1162="","",Receipts!$C1162)</f>
        <v/>
      </c>
      <c r="C1159" s="18" t="str">
        <f>IF($A1159="","",IFERROR(INDEX(Items!$B$5:$B$597,MATCH($A1159,Items!$A$5:$A$597,0)),""))</f>
        <v/>
      </c>
      <c r="D1159" s="23" t="str">
        <f>IF($A1159="","",N(Receipts!$G1162))</f>
        <v/>
      </c>
      <c r="E1159" s="20" t="str">
        <f>IF($A1159="","",IFERROR(INDEX(Items!$D$5:$D$597,MATCH($A1159,Items!$A$5:$A$597,0)),0))</f>
        <v/>
      </c>
      <c r="F1159" s="21" t="str">
        <f t="shared" si="90"/>
        <v/>
      </c>
      <c r="G1159" s="25" t="str">
        <f>IF(Receipts!$I1162="","",Receipts!$I1162)</f>
        <v/>
      </c>
      <c r="H1159" s="25" t="str">
        <f>IF(Receipts!$H1162="","",Receipts!$H1162)</f>
        <v/>
      </c>
      <c r="I1159" s="26" t="str">
        <f t="shared" ca="1" si="91"/>
        <v/>
      </c>
      <c r="J1159" s="26" t="str">
        <f>IF($A1159="","",COUNTIFS(tblReceipts[Item Name],$A1159,tblReceipts[Expiry Date],"&lt;"&amp;$H1159)+COUNTIFS(tblReceipts[Item Name],$A1159,tblReceipts[Expiry Date],$H1159,tblReceipts[Lot Number],"&lt;="&amp;Receipts!$C1162))</f>
        <v/>
      </c>
      <c r="K1159" s="26" t="str">
        <f>IF($A1159="","",SUMIFS(tblReceipts[Qty Received],tblReceipts[Item Name],$A1159,tblReceipts[Expiry Date],"&lt;"&amp;$H1159)+SUMIFS(tblReceipts[Qty Received],tblReceipts[Item Name],$A1159,tblReceipts[Expiry Date],$H1159,tblReceipts[Lot Number],"&lt;"&amp;Receipts!$C1162))</f>
        <v/>
      </c>
      <c r="L1159" s="26" t="str">
        <f>IF($A1159="","",MIN($D1159,MAX(0,SUMIFS(tblIssues[Qty Issued],tblIssues[Item Name],$A1159)-$K1159)))</f>
        <v/>
      </c>
      <c r="M1159" s="26" t="str">
        <f>IF($A1159="","",SUMIFS(tblIssues[Qty Issued],tblIssues[Lot Number],$B1159))</f>
        <v/>
      </c>
      <c r="N1159" s="26" t="str">
        <f t="shared" si="92"/>
        <v/>
      </c>
      <c r="O1159" s="26" t="str">
        <f t="shared" si="93"/>
        <v/>
      </c>
      <c r="P1159" s="21" t="str">
        <f t="shared" si="94"/>
        <v/>
      </c>
      <c r="Q1159" s="52" t="str">
        <f>IF($A1159="","",IF($O1159&lt;=0,"Depleted",IF($I1159&lt;0,"EXPIRED",IF($I1159&lt;=Settings!$C$6,"CRITICAL",IF($I1159&lt;=Settings!$C$5,"Expiring","In date")))))</f>
        <v/>
      </c>
    </row>
    <row r="1160" spans="1:17" x14ac:dyDescent="0.35">
      <c r="A1160" s="90" t="str">
        <f>IF(Receipts!$D1163="","",Receipts!$D1163)</f>
        <v/>
      </c>
      <c r="B1160" s="18" t="str">
        <f>IF(Receipts!$C1163="","",Receipts!$C1163)</f>
        <v/>
      </c>
      <c r="C1160" s="18" t="str">
        <f>IF($A1160="","",IFERROR(INDEX(Items!$B$5:$B$597,MATCH($A1160,Items!$A$5:$A$597,0)),""))</f>
        <v/>
      </c>
      <c r="D1160" s="23" t="str">
        <f>IF($A1160="","",N(Receipts!$G1163))</f>
        <v/>
      </c>
      <c r="E1160" s="20" t="str">
        <f>IF($A1160="","",IFERROR(INDEX(Items!$D$5:$D$597,MATCH($A1160,Items!$A$5:$A$597,0)),0))</f>
        <v/>
      </c>
      <c r="F1160" s="21" t="str">
        <f t="shared" si="90"/>
        <v/>
      </c>
      <c r="G1160" s="25" t="str">
        <f>IF(Receipts!$I1163="","",Receipts!$I1163)</f>
        <v/>
      </c>
      <c r="H1160" s="25" t="str">
        <f>IF(Receipts!$H1163="","",Receipts!$H1163)</f>
        <v/>
      </c>
      <c r="I1160" s="26" t="str">
        <f t="shared" ca="1" si="91"/>
        <v/>
      </c>
      <c r="J1160" s="26" t="str">
        <f>IF($A1160="","",COUNTIFS(tblReceipts[Item Name],$A1160,tblReceipts[Expiry Date],"&lt;"&amp;$H1160)+COUNTIFS(tblReceipts[Item Name],$A1160,tblReceipts[Expiry Date],$H1160,tblReceipts[Lot Number],"&lt;="&amp;Receipts!$C1163))</f>
        <v/>
      </c>
      <c r="K1160" s="26" t="str">
        <f>IF($A1160="","",SUMIFS(tblReceipts[Qty Received],tblReceipts[Item Name],$A1160,tblReceipts[Expiry Date],"&lt;"&amp;$H1160)+SUMIFS(tblReceipts[Qty Received],tblReceipts[Item Name],$A1160,tblReceipts[Expiry Date],$H1160,tblReceipts[Lot Number],"&lt;"&amp;Receipts!$C1163))</f>
        <v/>
      </c>
      <c r="L1160" s="26" t="str">
        <f>IF($A1160="","",MIN($D1160,MAX(0,SUMIFS(tblIssues[Qty Issued],tblIssues[Item Name],$A1160)-$K1160)))</f>
        <v/>
      </c>
      <c r="M1160" s="26" t="str">
        <f>IF($A1160="","",SUMIFS(tblIssues[Qty Issued],tblIssues[Lot Number],$B1160))</f>
        <v/>
      </c>
      <c r="N1160" s="26" t="str">
        <f t="shared" si="92"/>
        <v/>
      </c>
      <c r="O1160" s="26" t="str">
        <f t="shared" si="93"/>
        <v/>
      </c>
      <c r="P1160" s="21" t="str">
        <f t="shared" si="94"/>
        <v/>
      </c>
      <c r="Q1160" s="52" t="str">
        <f>IF($A1160="","",IF($O1160&lt;=0,"Depleted",IF($I1160&lt;0,"EXPIRED",IF($I1160&lt;=Settings!$C$6,"CRITICAL",IF($I1160&lt;=Settings!$C$5,"Expiring","In date")))))</f>
        <v/>
      </c>
    </row>
    <row r="1161" spans="1:17" x14ac:dyDescent="0.35">
      <c r="A1161" s="90" t="str">
        <f>IF(Receipts!$D1164="","",Receipts!$D1164)</f>
        <v/>
      </c>
      <c r="B1161" s="18" t="str">
        <f>IF(Receipts!$C1164="","",Receipts!$C1164)</f>
        <v/>
      </c>
      <c r="C1161" s="18" t="str">
        <f>IF($A1161="","",IFERROR(INDEX(Items!$B$5:$B$597,MATCH($A1161,Items!$A$5:$A$597,0)),""))</f>
        <v/>
      </c>
      <c r="D1161" s="23" t="str">
        <f>IF($A1161="","",N(Receipts!$G1164))</f>
        <v/>
      </c>
      <c r="E1161" s="20" t="str">
        <f>IF($A1161="","",IFERROR(INDEX(Items!$D$5:$D$597,MATCH($A1161,Items!$A$5:$A$597,0)),0))</f>
        <v/>
      </c>
      <c r="F1161" s="21" t="str">
        <f t="shared" si="90"/>
        <v/>
      </c>
      <c r="G1161" s="25" t="str">
        <f>IF(Receipts!$I1164="","",Receipts!$I1164)</f>
        <v/>
      </c>
      <c r="H1161" s="25" t="str">
        <f>IF(Receipts!$H1164="","",Receipts!$H1164)</f>
        <v/>
      </c>
      <c r="I1161" s="26" t="str">
        <f t="shared" ca="1" si="91"/>
        <v/>
      </c>
      <c r="J1161" s="26" t="str">
        <f>IF($A1161="","",COUNTIFS(tblReceipts[Item Name],$A1161,tblReceipts[Expiry Date],"&lt;"&amp;$H1161)+COUNTIFS(tblReceipts[Item Name],$A1161,tblReceipts[Expiry Date],$H1161,tblReceipts[Lot Number],"&lt;="&amp;Receipts!$C1164))</f>
        <v/>
      </c>
      <c r="K1161" s="26" t="str">
        <f>IF($A1161="","",SUMIFS(tblReceipts[Qty Received],tblReceipts[Item Name],$A1161,tblReceipts[Expiry Date],"&lt;"&amp;$H1161)+SUMIFS(tblReceipts[Qty Received],tblReceipts[Item Name],$A1161,tblReceipts[Expiry Date],$H1161,tblReceipts[Lot Number],"&lt;"&amp;Receipts!$C1164))</f>
        <v/>
      </c>
      <c r="L1161" s="26" t="str">
        <f>IF($A1161="","",MIN($D1161,MAX(0,SUMIFS(tblIssues[Qty Issued],tblIssues[Item Name],$A1161)-$K1161)))</f>
        <v/>
      </c>
      <c r="M1161" s="26" t="str">
        <f>IF($A1161="","",SUMIFS(tblIssues[Qty Issued],tblIssues[Lot Number],$B1161))</f>
        <v/>
      </c>
      <c r="N1161" s="26" t="str">
        <f t="shared" si="92"/>
        <v/>
      </c>
      <c r="O1161" s="26" t="str">
        <f t="shared" si="93"/>
        <v/>
      </c>
      <c r="P1161" s="21" t="str">
        <f t="shared" si="94"/>
        <v/>
      </c>
      <c r="Q1161" s="52" t="str">
        <f>IF($A1161="","",IF($O1161&lt;=0,"Depleted",IF($I1161&lt;0,"EXPIRED",IF($I1161&lt;=Settings!$C$6,"CRITICAL",IF($I1161&lt;=Settings!$C$5,"Expiring","In date")))))</f>
        <v/>
      </c>
    </row>
    <row r="1162" spans="1:17" x14ac:dyDescent="0.35">
      <c r="A1162" s="90" t="str">
        <f>IF(Receipts!$D1165="","",Receipts!$D1165)</f>
        <v/>
      </c>
      <c r="B1162" s="18" t="str">
        <f>IF(Receipts!$C1165="","",Receipts!$C1165)</f>
        <v/>
      </c>
      <c r="C1162" s="18" t="str">
        <f>IF($A1162="","",IFERROR(INDEX(Items!$B$5:$B$597,MATCH($A1162,Items!$A$5:$A$597,0)),""))</f>
        <v/>
      </c>
      <c r="D1162" s="23" t="str">
        <f>IF($A1162="","",N(Receipts!$G1165))</f>
        <v/>
      </c>
      <c r="E1162" s="20" t="str">
        <f>IF($A1162="","",IFERROR(INDEX(Items!$D$5:$D$597,MATCH($A1162,Items!$A$5:$A$597,0)),0))</f>
        <v/>
      </c>
      <c r="F1162" s="21" t="str">
        <f t="shared" si="90"/>
        <v/>
      </c>
      <c r="G1162" s="25" t="str">
        <f>IF(Receipts!$I1165="","",Receipts!$I1165)</f>
        <v/>
      </c>
      <c r="H1162" s="25" t="str">
        <f>IF(Receipts!$H1165="","",Receipts!$H1165)</f>
        <v/>
      </c>
      <c r="I1162" s="26" t="str">
        <f t="shared" ca="1" si="91"/>
        <v/>
      </c>
      <c r="J1162" s="26" t="str">
        <f>IF($A1162="","",COUNTIFS(tblReceipts[Item Name],$A1162,tblReceipts[Expiry Date],"&lt;"&amp;$H1162)+COUNTIFS(tblReceipts[Item Name],$A1162,tblReceipts[Expiry Date],$H1162,tblReceipts[Lot Number],"&lt;="&amp;Receipts!$C1165))</f>
        <v/>
      </c>
      <c r="K1162" s="26" t="str">
        <f>IF($A1162="","",SUMIFS(tblReceipts[Qty Received],tblReceipts[Item Name],$A1162,tblReceipts[Expiry Date],"&lt;"&amp;$H1162)+SUMIFS(tblReceipts[Qty Received],tblReceipts[Item Name],$A1162,tblReceipts[Expiry Date],$H1162,tblReceipts[Lot Number],"&lt;"&amp;Receipts!$C1165))</f>
        <v/>
      </c>
      <c r="L1162" s="26" t="str">
        <f>IF($A1162="","",MIN($D1162,MAX(0,SUMIFS(tblIssues[Qty Issued],tblIssues[Item Name],$A1162)-$K1162)))</f>
        <v/>
      </c>
      <c r="M1162" s="26" t="str">
        <f>IF($A1162="","",SUMIFS(tblIssues[Qty Issued],tblIssues[Lot Number],$B1162))</f>
        <v/>
      </c>
      <c r="N1162" s="26" t="str">
        <f t="shared" si="92"/>
        <v/>
      </c>
      <c r="O1162" s="26" t="str">
        <f t="shared" si="93"/>
        <v/>
      </c>
      <c r="P1162" s="21" t="str">
        <f t="shared" si="94"/>
        <v/>
      </c>
      <c r="Q1162" s="52" t="str">
        <f>IF($A1162="","",IF($O1162&lt;=0,"Depleted",IF($I1162&lt;0,"EXPIRED",IF($I1162&lt;=Settings!$C$6,"CRITICAL",IF($I1162&lt;=Settings!$C$5,"Expiring","In date")))))</f>
        <v/>
      </c>
    </row>
    <row r="1163" spans="1:17" x14ac:dyDescent="0.35">
      <c r="A1163" s="90" t="str">
        <f>IF(Receipts!$D1166="","",Receipts!$D1166)</f>
        <v/>
      </c>
      <c r="B1163" s="18" t="str">
        <f>IF(Receipts!$C1166="","",Receipts!$C1166)</f>
        <v/>
      </c>
      <c r="C1163" s="18" t="str">
        <f>IF($A1163="","",IFERROR(INDEX(Items!$B$5:$B$597,MATCH($A1163,Items!$A$5:$A$597,0)),""))</f>
        <v/>
      </c>
      <c r="D1163" s="23" t="str">
        <f>IF($A1163="","",N(Receipts!$G1166))</f>
        <v/>
      </c>
      <c r="E1163" s="20" t="str">
        <f>IF($A1163="","",IFERROR(INDEX(Items!$D$5:$D$597,MATCH($A1163,Items!$A$5:$A$597,0)),0))</f>
        <v/>
      </c>
      <c r="F1163" s="21" t="str">
        <f t="shared" si="90"/>
        <v/>
      </c>
      <c r="G1163" s="25" t="str">
        <f>IF(Receipts!$I1166="","",Receipts!$I1166)</f>
        <v/>
      </c>
      <c r="H1163" s="25" t="str">
        <f>IF(Receipts!$H1166="","",Receipts!$H1166)</f>
        <v/>
      </c>
      <c r="I1163" s="26" t="str">
        <f t="shared" ca="1" si="91"/>
        <v/>
      </c>
      <c r="J1163" s="26" t="str">
        <f>IF($A1163="","",COUNTIFS(tblReceipts[Item Name],$A1163,tblReceipts[Expiry Date],"&lt;"&amp;$H1163)+COUNTIFS(tblReceipts[Item Name],$A1163,tblReceipts[Expiry Date],$H1163,tblReceipts[Lot Number],"&lt;="&amp;Receipts!$C1166))</f>
        <v/>
      </c>
      <c r="K1163" s="26" t="str">
        <f>IF($A1163="","",SUMIFS(tblReceipts[Qty Received],tblReceipts[Item Name],$A1163,tblReceipts[Expiry Date],"&lt;"&amp;$H1163)+SUMIFS(tblReceipts[Qty Received],tblReceipts[Item Name],$A1163,tblReceipts[Expiry Date],$H1163,tblReceipts[Lot Number],"&lt;"&amp;Receipts!$C1166))</f>
        <v/>
      </c>
      <c r="L1163" s="26" t="str">
        <f>IF($A1163="","",MIN($D1163,MAX(0,SUMIFS(tblIssues[Qty Issued],tblIssues[Item Name],$A1163)-$K1163)))</f>
        <v/>
      </c>
      <c r="M1163" s="26" t="str">
        <f>IF($A1163="","",SUMIFS(tblIssues[Qty Issued],tblIssues[Lot Number],$B1163))</f>
        <v/>
      </c>
      <c r="N1163" s="26" t="str">
        <f t="shared" si="92"/>
        <v/>
      </c>
      <c r="O1163" s="26" t="str">
        <f t="shared" si="93"/>
        <v/>
      </c>
      <c r="P1163" s="21" t="str">
        <f t="shared" si="94"/>
        <v/>
      </c>
      <c r="Q1163" s="52" t="str">
        <f>IF($A1163="","",IF($O1163&lt;=0,"Depleted",IF($I1163&lt;0,"EXPIRED",IF($I1163&lt;=Settings!$C$6,"CRITICAL",IF($I1163&lt;=Settings!$C$5,"Expiring","In date")))))</f>
        <v/>
      </c>
    </row>
    <row r="1164" spans="1:17" x14ac:dyDescent="0.35">
      <c r="A1164" s="90" t="str">
        <f>IF(Receipts!$D1167="","",Receipts!$D1167)</f>
        <v/>
      </c>
      <c r="B1164" s="18" t="str">
        <f>IF(Receipts!$C1167="","",Receipts!$C1167)</f>
        <v/>
      </c>
      <c r="C1164" s="18" t="str">
        <f>IF($A1164="","",IFERROR(INDEX(Items!$B$5:$B$597,MATCH($A1164,Items!$A$5:$A$597,0)),""))</f>
        <v/>
      </c>
      <c r="D1164" s="23" t="str">
        <f>IF($A1164="","",N(Receipts!$G1167))</f>
        <v/>
      </c>
      <c r="E1164" s="20" t="str">
        <f>IF($A1164="","",IFERROR(INDEX(Items!$D$5:$D$597,MATCH($A1164,Items!$A$5:$A$597,0)),0))</f>
        <v/>
      </c>
      <c r="F1164" s="21" t="str">
        <f t="shared" si="90"/>
        <v/>
      </c>
      <c r="G1164" s="25" t="str">
        <f>IF(Receipts!$I1167="","",Receipts!$I1167)</f>
        <v/>
      </c>
      <c r="H1164" s="25" t="str">
        <f>IF(Receipts!$H1167="","",Receipts!$H1167)</f>
        <v/>
      </c>
      <c r="I1164" s="26" t="str">
        <f t="shared" ca="1" si="91"/>
        <v/>
      </c>
      <c r="J1164" s="26" t="str">
        <f>IF($A1164="","",COUNTIFS(tblReceipts[Item Name],$A1164,tblReceipts[Expiry Date],"&lt;"&amp;$H1164)+COUNTIFS(tblReceipts[Item Name],$A1164,tblReceipts[Expiry Date],$H1164,tblReceipts[Lot Number],"&lt;="&amp;Receipts!$C1167))</f>
        <v/>
      </c>
      <c r="K1164" s="26" t="str">
        <f>IF($A1164="","",SUMIFS(tblReceipts[Qty Received],tblReceipts[Item Name],$A1164,tblReceipts[Expiry Date],"&lt;"&amp;$H1164)+SUMIFS(tblReceipts[Qty Received],tblReceipts[Item Name],$A1164,tblReceipts[Expiry Date],$H1164,tblReceipts[Lot Number],"&lt;"&amp;Receipts!$C1167))</f>
        <v/>
      </c>
      <c r="L1164" s="26" t="str">
        <f>IF($A1164="","",MIN($D1164,MAX(0,SUMIFS(tblIssues[Qty Issued],tblIssues[Item Name],$A1164)-$K1164)))</f>
        <v/>
      </c>
      <c r="M1164" s="26" t="str">
        <f>IF($A1164="","",SUMIFS(tblIssues[Qty Issued],tblIssues[Lot Number],$B1164))</f>
        <v/>
      </c>
      <c r="N1164" s="26" t="str">
        <f t="shared" si="92"/>
        <v/>
      </c>
      <c r="O1164" s="26" t="str">
        <f t="shared" si="93"/>
        <v/>
      </c>
      <c r="P1164" s="21" t="str">
        <f t="shared" si="94"/>
        <v/>
      </c>
      <c r="Q1164" s="52" t="str">
        <f>IF($A1164="","",IF($O1164&lt;=0,"Depleted",IF($I1164&lt;0,"EXPIRED",IF($I1164&lt;=Settings!$C$6,"CRITICAL",IF($I1164&lt;=Settings!$C$5,"Expiring","In date")))))</f>
        <v/>
      </c>
    </row>
    <row r="1165" spans="1:17" x14ac:dyDescent="0.35">
      <c r="A1165" s="90" t="str">
        <f>IF(Receipts!$D1168="","",Receipts!$D1168)</f>
        <v/>
      </c>
      <c r="B1165" s="18" t="str">
        <f>IF(Receipts!$C1168="","",Receipts!$C1168)</f>
        <v/>
      </c>
      <c r="C1165" s="18" t="str">
        <f>IF($A1165="","",IFERROR(INDEX(Items!$B$5:$B$597,MATCH($A1165,Items!$A$5:$A$597,0)),""))</f>
        <v/>
      </c>
      <c r="D1165" s="23" t="str">
        <f>IF($A1165="","",N(Receipts!$G1168))</f>
        <v/>
      </c>
      <c r="E1165" s="20" t="str">
        <f>IF($A1165="","",IFERROR(INDEX(Items!$D$5:$D$597,MATCH($A1165,Items!$A$5:$A$597,0)),0))</f>
        <v/>
      </c>
      <c r="F1165" s="21" t="str">
        <f t="shared" si="90"/>
        <v/>
      </c>
      <c r="G1165" s="25" t="str">
        <f>IF(Receipts!$I1168="","",Receipts!$I1168)</f>
        <v/>
      </c>
      <c r="H1165" s="25" t="str">
        <f>IF(Receipts!$H1168="","",Receipts!$H1168)</f>
        <v/>
      </c>
      <c r="I1165" s="26" t="str">
        <f t="shared" ca="1" si="91"/>
        <v/>
      </c>
      <c r="J1165" s="26" t="str">
        <f>IF($A1165="","",COUNTIFS(tblReceipts[Item Name],$A1165,tblReceipts[Expiry Date],"&lt;"&amp;$H1165)+COUNTIFS(tblReceipts[Item Name],$A1165,tblReceipts[Expiry Date],$H1165,tblReceipts[Lot Number],"&lt;="&amp;Receipts!$C1168))</f>
        <v/>
      </c>
      <c r="K1165" s="26" t="str">
        <f>IF($A1165="","",SUMIFS(tblReceipts[Qty Received],tblReceipts[Item Name],$A1165,tblReceipts[Expiry Date],"&lt;"&amp;$H1165)+SUMIFS(tblReceipts[Qty Received],tblReceipts[Item Name],$A1165,tblReceipts[Expiry Date],$H1165,tblReceipts[Lot Number],"&lt;"&amp;Receipts!$C1168))</f>
        <v/>
      </c>
      <c r="L1165" s="26" t="str">
        <f>IF($A1165="","",MIN($D1165,MAX(0,SUMIFS(tblIssues[Qty Issued],tblIssues[Item Name],$A1165)-$K1165)))</f>
        <v/>
      </c>
      <c r="M1165" s="26" t="str">
        <f>IF($A1165="","",SUMIFS(tblIssues[Qty Issued],tblIssues[Lot Number],$B1165))</f>
        <v/>
      </c>
      <c r="N1165" s="26" t="str">
        <f t="shared" si="92"/>
        <v/>
      </c>
      <c r="O1165" s="26" t="str">
        <f t="shared" si="93"/>
        <v/>
      </c>
      <c r="P1165" s="21" t="str">
        <f t="shared" si="94"/>
        <v/>
      </c>
      <c r="Q1165" s="52" t="str">
        <f>IF($A1165="","",IF($O1165&lt;=0,"Depleted",IF($I1165&lt;0,"EXPIRED",IF($I1165&lt;=Settings!$C$6,"CRITICAL",IF($I1165&lt;=Settings!$C$5,"Expiring","In date")))))</f>
        <v/>
      </c>
    </row>
    <row r="1166" spans="1:17" x14ac:dyDescent="0.35">
      <c r="A1166" s="90" t="str">
        <f>IF(Receipts!$D1169="","",Receipts!$D1169)</f>
        <v/>
      </c>
      <c r="B1166" s="18" t="str">
        <f>IF(Receipts!$C1169="","",Receipts!$C1169)</f>
        <v/>
      </c>
      <c r="C1166" s="18" t="str">
        <f>IF($A1166="","",IFERROR(INDEX(Items!$B$5:$B$597,MATCH($A1166,Items!$A$5:$A$597,0)),""))</f>
        <v/>
      </c>
      <c r="D1166" s="23" t="str">
        <f>IF($A1166="","",N(Receipts!$G1169))</f>
        <v/>
      </c>
      <c r="E1166" s="20" t="str">
        <f>IF($A1166="","",IFERROR(INDEX(Items!$D$5:$D$597,MATCH($A1166,Items!$A$5:$A$597,0)),0))</f>
        <v/>
      </c>
      <c r="F1166" s="21" t="str">
        <f t="shared" si="90"/>
        <v/>
      </c>
      <c r="G1166" s="25" t="str">
        <f>IF(Receipts!$I1169="","",Receipts!$I1169)</f>
        <v/>
      </c>
      <c r="H1166" s="25" t="str">
        <f>IF(Receipts!$H1169="","",Receipts!$H1169)</f>
        <v/>
      </c>
      <c r="I1166" s="26" t="str">
        <f t="shared" ca="1" si="91"/>
        <v/>
      </c>
      <c r="J1166" s="26" t="str">
        <f>IF($A1166="","",COUNTIFS(tblReceipts[Item Name],$A1166,tblReceipts[Expiry Date],"&lt;"&amp;$H1166)+COUNTIFS(tblReceipts[Item Name],$A1166,tblReceipts[Expiry Date],$H1166,tblReceipts[Lot Number],"&lt;="&amp;Receipts!$C1169))</f>
        <v/>
      </c>
      <c r="K1166" s="26" t="str">
        <f>IF($A1166="","",SUMIFS(tblReceipts[Qty Received],tblReceipts[Item Name],$A1166,tblReceipts[Expiry Date],"&lt;"&amp;$H1166)+SUMIFS(tblReceipts[Qty Received],tblReceipts[Item Name],$A1166,tblReceipts[Expiry Date],$H1166,tblReceipts[Lot Number],"&lt;"&amp;Receipts!$C1169))</f>
        <v/>
      </c>
      <c r="L1166" s="26" t="str">
        <f>IF($A1166="","",MIN($D1166,MAX(0,SUMIFS(tblIssues[Qty Issued],tblIssues[Item Name],$A1166)-$K1166)))</f>
        <v/>
      </c>
      <c r="M1166" s="26" t="str">
        <f>IF($A1166="","",SUMIFS(tblIssues[Qty Issued],tblIssues[Lot Number],$B1166))</f>
        <v/>
      </c>
      <c r="N1166" s="26" t="str">
        <f t="shared" si="92"/>
        <v/>
      </c>
      <c r="O1166" s="26" t="str">
        <f t="shared" si="93"/>
        <v/>
      </c>
      <c r="P1166" s="21" t="str">
        <f t="shared" si="94"/>
        <v/>
      </c>
      <c r="Q1166" s="52" t="str">
        <f>IF($A1166="","",IF($O1166&lt;=0,"Depleted",IF($I1166&lt;0,"EXPIRED",IF($I1166&lt;=Settings!$C$6,"CRITICAL",IF($I1166&lt;=Settings!$C$5,"Expiring","In date")))))</f>
        <v/>
      </c>
    </row>
    <row r="1167" spans="1:17" x14ac:dyDescent="0.35">
      <c r="A1167" s="90" t="str">
        <f>IF(Receipts!$D1170="","",Receipts!$D1170)</f>
        <v/>
      </c>
      <c r="B1167" s="18" t="str">
        <f>IF(Receipts!$C1170="","",Receipts!$C1170)</f>
        <v/>
      </c>
      <c r="C1167" s="18" t="str">
        <f>IF($A1167="","",IFERROR(INDEX(Items!$B$5:$B$597,MATCH($A1167,Items!$A$5:$A$597,0)),""))</f>
        <v/>
      </c>
      <c r="D1167" s="23" t="str">
        <f>IF($A1167="","",N(Receipts!$G1170))</f>
        <v/>
      </c>
      <c r="E1167" s="20" t="str">
        <f>IF($A1167="","",IFERROR(INDEX(Items!$D$5:$D$597,MATCH($A1167,Items!$A$5:$A$597,0)),0))</f>
        <v/>
      </c>
      <c r="F1167" s="21" t="str">
        <f t="shared" si="90"/>
        <v/>
      </c>
      <c r="G1167" s="25" t="str">
        <f>IF(Receipts!$I1170="","",Receipts!$I1170)</f>
        <v/>
      </c>
      <c r="H1167" s="25" t="str">
        <f>IF(Receipts!$H1170="","",Receipts!$H1170)</f>
        <v/>
      </c>
      <c r="I1167" s="26" t="str">
        <f t="shared" ca="1" si="91"/>
        <v/>
      </c>
      <c r="J1167" s="26" t="str">
        <f>IF($A1167="","",COUNTIFS(tblReceipts[Item Name],$A1167,tblReceipts[Expiry Date],"&lt;"&amp;$H1167)+COUNTIFS(tblReceipts[Item Name],$A1167,tblReceipts[Expiry Date],$H1167,tblReceipts[Lot Number],"&lt;="&amp;Receipts!$C1170))</f>
        <v/>
      </c>
      <c r="K1167" s="26" t="str">
        <f>IF($A1167="","",SUMIFS(tblReceipts[Qty Received],tblReceipts[Item Name],$A1167,tblReceipts[Expiry Date],"&lt;"&amp;$H1167)+SUMIFS(tblReceipts[Qty Received],tblReceipts[Item Name],$A1167,tblReceipts[Expiry Date],$H1167,tblReceipts[Lot Number],"&lt;"&amp;Receipts!$C1170))</f>
        <v/>
      </c>
      <c r="L1167" s="26" t="str">
        <f>IF($A1167="","",MIN($D1167,MAX(0,SUMIFS(tblIssues[Qty Issued],tblIssues[Item Name],$A1167)-$K1167)))</f>
        <v/>
      </c>
      <c r="M1167" s="26" t="str">
        <f>IF($A1167="","",SUMIFS(tblIssues[Qty Issued],tblIssues[Lot Number],$B1167))</f>
        <v/>
      </c>
      <c r="N1167" s="26" t="str">
        <f t="shared" si="92"/>
        <v/>
      </c>
      <c r="O1167" s="26" t="str">
        <f t="shared" si="93"/>
        <v/>
      </c>
      <c r="P1167" s="21" t="str">
        <f t="shared" si="94"/>
        <v/>
      </c>
      <c r="Q1167" s="52" t="str">
        <f>IF($A1167="","",IF($O1167&lt;=0,"Depleted",IF($I1167&lt;0,"EXPIRED",IF($I1167&lt;=Settings!$C$6,"CRITICAL",IF($I1167&lt;=Settings!$C$5,"Expiring","In date")))))</f>
        <v/>
      </c>
    </row>
    <row r="1168" spans="1:17" x14ac:dyDescent="0.35">
      <c r="A1168" s="90" t="str">
        <f>IF(Receipts!$D1171="","",Receipts!$D1171)</f>
        <v/>
      </c>
      <c r="B1168" s="18" t="str">
        <f>IF(Receipts!$C1171="","",Receipts!$C1171)</f>
        <v/>
      </c>
      <c r="C1168" s="18" t="str">
        <f>IF($A1168="","",IFERROR(INDEX(Items!$B$5:$B$597,MATCH($A1168,Items!$A$5:$A$597,0)),""))</f>
        <v/>
      </c>
      <c r="D1168" s="23" t="str">
        <f>IF($A1168="","",N(Receipts!$G1171))</f>
        <v/>
      </c>
      <c r="E1168" s="20" t="str">
        <f>IF($A1168="","",IFERROR(INDEX(Items!$D$5:$D$597,MATCH($A1168,Items!$A$5:$A$597,0)),0))</f>
        <v/>
      </c>
      <c r="F1168" s="21" t="str">
        <f t="shared" si="90"/>
        <v/>
      </c>
      <c r="G1168" s="25" t="str">
        <f>IF(Receipts!$I1171="","",Receipts!$I1171)</f>
        <v/>
      </c>
      <c r="H1168" s="25" t="str">
        <f>IF(Receipts!$H1171="","",Receipts!$H1171)</f>
        <v/>
      </c>
      <c r="I1168" s="26" t="str">
        <f t="shared" ca="1" si="91"/>
        <v/>
      </c>
      <c r="J1168" s="26" t="str">
        <f>IF($A1168="","",COUNTIFS(tblReceipts[Item Name],$A1168,tblReceipts[Expiry Date],"&lt;"&amp;$H1168)+COUNTIFS(tblReceipts[Item Name],$A1168,tblReceipts[Expiry Date],$H1168,tblReceipts[Lot Number],"&lt;="&amp;Receipts!$C1171))</f>
        <v/>
      </c>
      <c r="K1168" s="26" t="str">
        <f>IF($A1168="","",SUMIFS(tblReceipts[Qty Received],tblReceipts[Item Name],$A1168,tblReceipts[Expiry Date],"&lt;"&amp;$H1168)+SUMIFS(tblReceipts[Qty Received],tblReceipts[Item Name],$A1168,tblReceipts[Expiry Date],$H1168,tblReceipts[Lot Number],"&lt;"&amp;Receipts!$C1171))</f>
        <v/>
      </c>
      <c r="L1168" s="26" t="str">
        <f>IF($A1168="","",MIN($D1168,MAX(0,SUMIFS(tblIssues[Qty Issued],tblIssues[Item Name],$A1168)-$K1168)))</f>
        <v/>
      </c>
      <c r="M1168" s="26" t="str">
        <f>IF($A1168="","",SUMIFS(tblIssues[Qty Issued],tblIssues[Lot Number],$B1168))</f>
        <v/>
      </c>
      <c r="N1168" s="26" t="str">
        <f t="shared" si="92"/>
        <v/>
      </c>
      <c r="O1168" s="26" t="str">
        <f t="shared" si="93"/>
        <v/>
      </c>
      <c r="P1168" s="21" t="str">
        <f t="shared" si="94"/>
        <v/>
      </c>
      <c r="Q1168" s="52" t="str">
        <f>IF($A1168="","",IF($O1168&lt;=0,"Depleted",IF($I1168&lt;0,"EXPIRED",IF($I1168&lt;=Settings!$C$6,"CRITICAL",IF($I1168&lt;=Settings!$C$5,"Expiring","In date")))))</f>
        <v/>
      </c>
    </row>
    <row r="1169" spans="1:17" x14ac:dyDescent="0.35">
      <c r="A1169" s="90" t="str">
        <f>IF(Receipts!$D1172="","",Receipts!$D1172)</f>
        <v/>
      </c>
      <c r="B1169" s="18" t="str">
        <f>IF(Receipts!$C1172="","",Receipts!$C1172)</f>
        <v/>
      </c>
      <c r="C1169" s="18" t="str">
        <f>IF($A1169="","",IFERROR(INDEX(Items!$B$5:$B$597,MATCH($A1169,Items!$A$5:$A$597,0)),""))</f>
        <v/>
      </c>
      <c r="D1169" s="23" t="str">
        <f>IF($A1169="","",N(Receipts!$G1172))</f>
        <v/>
      </c>
      <c r="E1169" s="20" t="str">
        <f>IF($A1169="","",IFERROR(INDEX(Items!$D$5:$D$597,MATCH($A1169,Items!$A$5:$A$597,0)),0))</f>
        <v/>
      </c>
      <c r="F1169" s="21" t="str">
        <f t="shared" si="90"/>
        <v/>
      </c>
      <c r="G1169" s="25" t="str">
        <f>IF(Receipts!$I1172="","",Receipts!$I1172)</f>
        <v/>
      </c>
      <c r="H1169" s="25" t="str">
        <f>IF(Receipts!$H1172="","",Receipts!$H1172)</f>
        <v/>
      </c>
      <c r="I1169" s="26" t="str">
        <f t="shared" ca="1" si="91"/>
        <v/>
      </c>
      <c r="J1169" s="26" t="str">
        <f>IF($A1169="","",COUNTIFS(tblReceipts[Item Name],$A1169,tblReceipts[Expiry Date],"&lt;"&amp;$H1169)+COUNTIFS(tblReceipts[Item Name],$A1169,tblReceipts[Expiry Date],$H1169,tblReceipts[Lot Number],"&lt;="&amp;Receipts!$C1172))</f>
        <v/>
      </c>
      <c r="K1169" s="26" t="str">
        <f>IF($A1169="","",SUMIFS(tblReceipts[Qty Received],tblReceipts[Item Name],$A1169,tblReceipts[Expiry Date],"&lt;"&amp;$H1169)+SUMIFS(tblReceipts[Qty Received],tblReceipts[Item Name],$A1169,tblReceipts[Expiry Date],$H1169,tblReceipts[Lot Number],"&lt;"&amp;Receipts!$C1172))</f>
        <v/>
      </c>
      <c r="L1169" s="26" t="str">
        <f>IF($A1169="","",MIN($D1169,MAX(0,SUMIFS(tblIssues[Qty Issued],tblIssues[Item Name],$A1169)-$K1169)))</f>
        <v/>
      </c>
      <c r="M1169" s="26" t="str">
        <f>IF($A1169="","",SUMIFS(tblIssues[Qty Issued],tblIssues[Lot Number],$B1169))</f>
        <v/>
      </c>
      <c r="N1169" s="26" t="str">
        <f t="shared" si="92"/>
        <v/>
      </c>
      <c r="O1169" s="26" t="str">
        <f t="shared" si="93"/>
        <v/>
      </c>
      <c r="P1169" s="21" t="str">
        <f t="shared" si="94"/>
        <v/>
      </c>
      <c r="Q1169" s="52" t="str">
        <f>IF($A1169="","",IF($O1169&lt;=0,"Depleted",IF($I1169&lt;0,"EXPIRED",IF($I1169&lt;=Settings!$C$6,"CRITICAL",IF($I1169&lt;=Settings!$C$5,"Expiring","In date")))))</f>
        <v/>
      </c>
    </row>
    <row r="1170" spans="1:17" x14ac:dyDescent="0.35">
      <c r="A1170" s="90" t="str">
        <f>IF(Receipts!$D1173="","",Receipts!$D1173)</f>
        <v/>
      </c>
      <c r="B1170" s="18" t="str">
        <f>IF(Receipts!$C1173="","",Receipts!$C1173)</f>
        <v/>
      </c>
      <c r="C1170" s="18" t="str">
        <f>IF($A1170="","",IFERROR(INDEX(Items!$B$5:$B$597,MATCH($A1170,Items!$A$5:$A$597,0)),""))</f>
        <v/>
      </c>
      <c r="D1170" s="23" t="str">
        <f>IF($A1170="","",N(Receipts!$G1173))</f>
        <v/>
      </c>
      <c r="E1170" s="20" t="str">
        <f>IF($A1170="","",IFERROR(INDEX(Items!$D$5:$D$597,MATCH($A1170,Items!$A$5:$A$597,0)),0))</f>
        <v/>
      </c>
      <c r="F1170" s="21" t="str">
        <f t="shared" si="90"/>
        <v/>
      </c>
      <c r="G1170" s="25" t="str">
        <f>IF(Receipts!$I1173="","",Receipts!$I1173)</f>
        <v/>
      </c>
      <c r="H1170" s="25" t="str">
        <f>IF(Receipts!$H1173="","",Receipts!$H1173)</f>
        <v/>
      </c>
      <c r="I1170" s="26" t="str">
        <f t="shared" ca="1" si="91"/>
        <v/>
      </c>
      <c r="J1170" s="26" t="str">
        <f>IF($A1170="","",COUNTIFS(tblReceipts[Item Name],$A1170,tblReceipts[Expiry Date],"&lt;"&amp;$H1170)+COUNTIFS(tblReceipts[Item Name],$A1170,tblReceipts[Expiry Date],$H1170,tblReceipts[Lot Number],"&lt;="&amp;Receipts!$C1173))</f>
        <v/>
      </c>
      <c r="K1170" s="26" t="str">
        <f>IF($A1170="","",SUMIFS(tblReceipts[Qty Received],tblReceipts[Item Name],$A1170,tblReceipts[Expiry Date],"&lt;"&amp;$H1170)+SUMIFS(tblReceipts[Qty Received],tblReceipts[Item Name],$A1170,tblReceipts[Expiry Date],$H1170,tblReceipts[Lot Number],"&lt;"&amp;Receipts!$C1173))</f>
        <v/>
      </c>
      <c r="L1170" s="26" t="str">
        <f>IF($A1170="","",MIN($D1170,MAX(0,SUMIFS(tblIssues[Qty Issued],tblIssues[Item Name],$A1170)-$K1170)))</f>
        <v/>
      </c>
      <c r="M1170" s="26" t="str">
        <f>IF($A1170="","",SUMIFS(tblIssues[Qty Issued],tblIssues[Lot Number],$B1170))</f>
        <v/>
      </c>
      <c r="N1170" s="26" t="str">
        <f t="shared" si="92"/>
        <v/>
      </c>
      <c r="O1170" s="26" t="str">
        <f t="shared" si="93"/>
        <v/>
      </c>
      <c r="P1170" s="21" t="str">
        <f t="shared" si="94"/>
        <v/>
      </c>
      <c r="Q1170" s="52" t="str">
        <f>IF($A1170="","",IF($O1170&lt;=0,"Depleted",IF($I1170&lt;0,"EXPIRED",IF($I1170&lt;=Settings!$C$6,"CRITICAL",IF($I1170&lt;=Settings!$C$5,"Expiring","In date")))))</f>
        <v/>
      </c>
    </row>
    <row r="1171" spans="1:17" x14ac:dyDescent="0.35">
      <c r="A1171" s="90" t="str">
        <f>IF(Receipts!$D1174="","",Receipts!$D1174)</f>
        <v/>
      </c>
      <c r="B1171" s="18" t="str">
        <f>IF(Receipts!$C1174="","",Receipts!$C1174)</f>
        <v/>
      </c>
      <c r="C1171" s="18" t="str">
        <f>IF($A1171="","",IFERROR(INDEX(Items!$B$5:$B$597,MATCH($A1171,Items!$A$5:$A$597,0)),""))</f>
        <v/>
      </c>
      <c r="D1171" s="23" t="str">
        <f>IF($A1171="","",N(Receipts!$G1174))</f>
        <v/>
      </c>
      <c r="E1171" s="20" t="str">
        <f>IF($A1171="","",IFERROR(INDEX(Items!$D$5:$D$597,MATCH($A1171,Items!$A$5:$A$597,0)),0))</f>
        <v/>
      </c>
      <c r="F1171" s="21" t="str">
        <f t="shared" si="90"/>
        <v/>
      </c>
      <c r="G1171" s="25" t="str">
        <f>IF(Receipts!$I1174="","",Receipts!$I1174)</f>
        <v/>
      </c>
      <c r="H1171" s="25" t="str">
        <f>IF(Receipts!$H1174="","",Receipts!$H1174)</f>
        <v/>
      </c>
      <c r="I1171" s="26" t="str">
        <f t="shared" ca="1" si="91"/>
        <v/>
      </c>
      <c r="J1171" s="26" t="str">
        <f>IF($A1171="","",COUNTIFS(tblReceipts[Item Name],$A1171,tblReceipts[Expiry Date],"&lt;"&amp;$H1171)+COUNTIFS(tblReceipts[Item Name],$A1171,tblReceipts[Expiry Date],$H1171,tblReceipts[Lot Number],"&lt;="&amp;Receipts!$C1174))</f>
        <v/>
      </c>
      <c r="K1171" s="26" t="str">
        <f>IF($A1171="","",SUMIFS(tblReceipts[Qty Received],tblReceipts[Item Name],$A1171,tblReceipts[Expiry Date],"&lt;"&amp;$H1171)+SUMIFS(tblReceipts[Qty Received],tblReceipts[Item Name],$A1171,tblReceipts[Expiry Date],$H1171,tblReceipts[Lot Number],"&lt;"&amp;Receipts!$C1174))</f>
        <v/>
      </c>
      <c r="L1171" s="26" t="str">
        <f>IF($A1171="","",MIN($D1171,MAX(0,SUMIFS(tblIssues[Qty Issued],tblIssues[Item Name],$A1171)-$K1171)))</f>
        <v/>
      </c>
      <c r="M1171" s="26" t="str">
        <f>IF($A1171="","",SUMIFS(tblIssues[Qty Issued],tblIssues[Lot Number],$B1171))</f>
        <v/>
      </c>
      <c r="N1171" s="26" t="str">
        <f t="shared" si="92"/>
        <v/>
      </c>
      <c r="O1171" s="26" t="str">
        <f t="shared" si="93"/>
        <v/>
      </c>
      <c r="P1171" s="21" t="str">
        <f t="shared" si="94"/>
        <v/>
      </c>
      <c r="Q1171" s="52" t="str">
        <f>IF($A1171="","",IF($O1171&lt;=0,"Depleted",IF($I1171&lt;0,"EXPIRED",IF($I1171&lt;=Settings!$C$6,"CRITICAL",IF($I1171&lt;=Settings!$C$5,"Expiring","In date")))))</f>
        <v/>
      </c>
    </row>
    <row r="1172" spans="1:17" x14ac:dyDescent="0.35">
      <c r="A1172" s="90" t="str">
        <f>IF(Receipts!$D1175="","",Receipts!$D1175)</f>
        <v/>
      </c>
      <c r="B1172" s="18" t="str">
        <f>IF(Receipts!$C1175="","",Receipts!$C1175)</f>
        <v/>
      </c>
      <c r="C1172" s="18" t="str">
        <f>IF($A1172="","",IFERROR(INDEX(Items!$B$5:$B$597,MATCH($A1172,Items!$A$5:$A$597,0)),""))</f>
        <v/>
      </c>
      <c r="D1172" s="23" t="str">
        <f>IF($A1172="","",N(Receipts!$G1175))</f>
        <v/>
      </c>
      <c r="E1172" s="20" t="str">
        <f>IF($A1172="","",IFERROR(INDEX(Items!$D$5:$D$597,MATCH($A1172,Items!$A$5:$A$597,0)),0))</f>
        <v/>
      </c>
      <c r="F1172" s="21" t="str">
        <f t="shared" si="90"/>
        <v/>
      </c>
      <c r="G1172" s="25" t="str">
        <f>IF(Receipts!$I1175="","",Receipts!$I1175)</f>
        <v/>
      </c>
      <c r="H1172" s="25" t="str">
        <f>IF(Receipts!$H1175="","",Receipts!$H1175)</f>
        <v/>
      </c>
      <c r="I1172" s="26" t="str">
        <f t="shared" ca="1" si="91"/>
        <v/>
      </c>
      <c r="J1172" s="26" t="str">
        <f>IF($A1172="","",COUNTIFS(tblReceipts[Item Name],$A1172,tblReceipts[Expiry Date],"&lt;"&amp;$H1172)+COUNTIFS(tblReceipts[Item Name],$A1172,tblReceipts[Expiry Date],$H1172,tblReceipts[Lot Number],"&lt;="&amp;Receipts!$C1175))</f>
        <v/>
      </c>
      <c r="K1172" s="26" t="str">
        <f>IF($A1172="","",SUMIFS(tblReceipts[Qty Received],tblReceipts[Item Name],$A1172,tblReceipts[Expiry Date],"&lt;"&amp;$H1172)+SUMIFS(tblReceipts[Qty Received],tblReceipts[Item Name],$A1172,tblReceipts[Expiry Date],$H1172,tblReceipts[Lot Number],"&lt;"&amp;Receipts!$C1175))</f>
        <v/>
      </c>
      <c r="L1172" s="26" t="str">
        <f>IF($A1172="","",MIN($D1172,MAX(0,SUMIFS(tblIssues[Qty Issued],tblIssues[Item Name],$A1172)-$K1172)))</f>
        <v/>
      </c>
      <c r="M1172" s="26" t="str">
        <f>IF($A1172="","",SUMIFS(tblIssues[Qty Issued],tblIssues[Lot Number],$B1172))</f>
        <v/>
      </c>
      <c r="N1172" s="26" t="str">
        <f t="shared" si="92"/>
        <v/>
      </c>
      <c r="O1172" s="26" t="str">
        <f t="shared" si="93"/>
        <v/>
      </c>
      <c r="P1172" s="21" t="str">
        <f t="shared" si="94"/>
        <v/>
      </c>
      <c r="Q1172" s="52" t="str">
        <f>IF($A1172="","",IF($O1172&lt;=0,"Depleted",IF($I1172&lt;0,"EXPIRED",IF($I1172&lt;=Settings!$C$6,"CRITICAL",IF($I1172&lt;=Settings!$C$5,"Expiring","In date")))))</f>
        <v/>
      </c>
    </row>
    <row r="1173" spans="1:17" x14ac:dyDescent="0.35">
      <c r="A1173" s="90" t="str">
        <f>IF(Receipts!$D1176="","",Receipts!$D1176)</f>
        <v/>
      </c>
      <c r="B1173" s="18" t="str">
        <f>IF(Receipts!$C1176="","",Receipts!$C1176)</f>
        <v/>
      </c>
      <c r="C1173" s="18" t="str">
        <f>IF($A1173="","",IFERROR(INDEX(Items!$B$5:$B$597,MATCH($A1173,Items!$A$5:$A$597,0)),""))</f>
        <v/>
      </c>
      <c r="D1173" s="23" t="str">
        <f>IF($A1173="","",N(Receipts!$G1176))</f>
        <v/>
      </c>
      <c r="E1173" s="20" t="str">
        <f>IF($A1173="","",IFERROR(INDEX(Items!$D$5:$D$597,MATCH($A1173,Items!$A$5:$A$597,0)),0))</f>
        <v/>
      </c>
      <c r="F1173" s="21" t="str">
        <f t="shared" si="90"/>
        <v/>
      </c>
      <c r="G1173" s="25" t="str">
        <f>IF(Receipts!$I1176="","",Receipts!$I1176)</f>
        <v/>
      </c>
      <c r="H1173" s="25" t="str">
        <f>IF(Receipts!$H1176="","",Receipts!$H1176)</f>
        <v/>
      </c>
      <c r="I1173" s="26" t="str">
        <f t="shared" ca="1" si="91"/>
        <v/>
      </c>
      <c r="J1173" s="26" t="str">
        <f>IF($A1173="","",COUNTIFS(tblReceipts[Item Name],$A1173,tblReceipts[Expiry Date],"&lt;"&amp;$H1173)+COUNTIFS(tblReceipts[Item Name],$A1173,tblReceipts[Expiry Date],$H1173,tblReceipts[Lot Number],"&lt;="&amp;Receipts!$C1176))</f>
        <v/>
      </c>
      <c r="K1173" s="26" t="str">
        <f>IF($A1173="","",SUMIFS(tblReceipts[Qty Received],tblReceipts[Item Name],$A1173,tblReceipts[Expiry Date],"&lt;"&amp;$H1173)+SUMIFS(tblReceipts[Qty Received],tblReceipts[Item Name],$A1173,tblReceipts[Expiry Date],$H1173,tblReceipts[Lot Number],"&lt;"&amp;Receipts!$C1176))</f>
        <v/>
      </c>
      <c r="L1173" s="26" t="str">
        <f>IF($A1173="","",MIN($D1173,MAX(0,SUMIFS(tblIssues[Qty Issued],tblIssues[Item Name],$A1173)-$K1173)))</f>
        <v/>
      </c>
      <c r="M1173" s="26" t="str">
        <f>IF($A1173="","",SUMIFS(tblIssues[Qty Issued],tblIssues[Lot Number],$B1173))</f>
        <v/>
      </c>
      <c r="N1173" s="26" t="str">
        <f t="shared" si="92"/>
        <v/>
      </c>
      <c r="O1173" s="26" t="str">
        <f t="shared" si="93"/>
        <v/>
      </c>
      <c r="P1173" s="21" t="str">
        <f t="shared" si="94"/>
        <v/>
      </c>
      <c r="Q1173" s="52" t="str">
        <f>IF($A1173="","",IF($O1173&lt;=0,"Depleted",IF($I1173&lt;0,"EXPIRED",IF($I1173&lt;=Settings!$C$6,"CRITICAL",IF($I1173&lt;=Settings!$C$5,"Expiring","In date")))))</f>
        <v/>
      </c>
    </row>
    <row r="1174" spans="1:17" x14ac:dyDescent="0.35">
      <c r="A1174" s="90" t="str">
        <f>IF(Receipts!$D1177="","",Receipts!$D1177)</f>
        <v/>
      </c>
      <c r="B1174" s="18" t="str">
        <f>IF(Receipts!$C1177="","",Receipts!$C1177)</f>
        <v/>
      </c>
      <c r="C1174" s="18" t="str">
        <f>IF($A1174="","",IFERROR(INDEX(Items!$B$5:$B$597,MATCH($A1174,Items!$A$5:$A$597,0)),""))</f>
        <v/>
      </c>
      <c r="D1174" s="23" t="str">
        <f>IF($A1174="","",N(Receipts!$G1177))</f>
        <v/>
      </c>
      <c r="E1174" s="20" t="str">
        <f>IF($A1174="","",IFERROR(INDEX(Items!$D$5:$D$597,MATCH($A1174,Items!$A$5:$A$597,0)),0))</f>
        <v/>
      </c>
      <c r="F1174" s="21" t="str">
        <f t="shared" si="90"/>
        <v/>
      </c>
      <c r="G1174" s="25" t="str">
        <f>IF(Receipts!$I1177="","",Receipts!$I1177)</f>
        <v/>
      </c>
      <c r="H1174" s="25" t="str">
        <f>IF(Receipts!$H1177="","",Receipts!$H1177)</f>
        <v/>
      </c>
      <c r="I1174" s="26" t="str">
        <f t="shared" ca="1" si="91"/>
        <v/>
      </c>
      <c r="J1174" s="26" t="str">
        <f>IF($A1174="","",COUNTIFS(tblReceipts[Item Name],$A1174,tblReceipts[Expiry Date],"&lt;"&amp;$H1174)+COUNTIFS(tblReceipts[Item Name],$A1174,tblReceipts[Expiry Date],$H1174,tblReceipts[Lot Number],"&lt;="&amp;Receipts!$C1177))</f>
        <v/>
      </c>
      <c r="K1174" s="26" t="str">
        <f>IF($A1174="","",SUMIFS(tblReceipts[Qty Received],tblReceipts[Item Name],$A1174,tblReceipts[Expiry Date],"&lt;"&amp;$H1174)+SUMIFS(tblReceipts[Qty Received],tblReceipts[Item Name],$A1174,tblReceipts[Expiry Date],$H1174,tblReceipts[Lot Number],"&lt;"&amp;Receipts!$C1177))</f>
        <v/>
      </c>
      <c r="L1174" s="26" t="str">
        <f>IF($A1174="","",MIN($D1174,MAX(0,SUMIFS(tblIssues[Qty Issued],tblIssues[Item Name],$A1174)-$K1174)))</f>
        <v/>
      </c>
      <c r="M1174" s="26" t="str">
        <f>IF($A1174="","",SUMIFS(tblIssues[Qty Issued],tblIssues[Lot Number],$B1174))</f>
        <v/>
      </c>
      <c r="N1174" s="26" t="str">
        <f t="shared" si="92"/>
        <v/>
      </c>
      <c r="O1174" s="26" t="str">
        <f t="shared" si="93"/>
        <v/>
      </c>
      <c r="P1174" s="21" t="str">
        <f t="shared" si="94"/>
        <v/>
      </c>
      <c r="Q1174" s="52" t="str">
        <f>IF($A1174="","",IF($O1174&lt;=0,"Depleted",IF($I1174&lt;0,"EXPIRED",IF($I1174&lt;=Settings!$C$6,"CRITICAL",IF($I1174&lt;=Settings!$C$5,"Expiring","In date")))))</f>
        <v/>
      </c>
    </row>
    <row r="1175" spans="1:17" x14ac:dyDescent="0.35">
      <c r="A1175" s="90" t="str">
        <f>IF(Receipts!$D1178="","",Receipts!$D1178)</f>
        <v/>
      </c>
      <c r="B1175" s="18" t="str">
        <f>IF(Receipts!$C1178="","",Receipts!$C1178)</f>
        <v/>
      </c>
      <c r="C1175" s="18" t="str">
        <f>IF($A1175="","",IFERROR(INDEX(Items!$B$5:$B$597,MATCH($A1175,Items!$A$5:$A$597,0)),""))</f>
        <v/>
      </c>
      <c r="D1175" s="23" t="str">
        <f>IF($A1175="","",N(Receipts!$G1178))</f>
        <v/>
      </c>
      <c r="E1175" s="20" t="str">
        <f>IF($A1175="","",IFERROR(INDEX(Items!$D$5:$D$597,MATCH($A1175,Items!$A$5:$A$597,0)),0))</f>
        <v/>
      </c>
      <c r="F1175" s="21" t="str">
        <f t="shared" si="90"/>
        <v/>
      </c>
      <c r="G1175" s="25" t="str">
        <f>IF(Receipts!$I1178="","",Receipts!$I1178)</f>
        <v/>
      </c>
      <c r="H1175" s="25" t="str">
        <f>IF(Receipts!$H1178="","",Receipts!$H1178)</f>
        <v/>
      </c>
      <c r="I1175" s="26" t="str">
        <f t="shared" ca="1" si="91"/>
        <v/>
      </c>
      <c r="J1175" s="26" t="str">
        <f>IF($A1175="","",COUNTIFS(tblReceipts[Item Name],$A1175,tblReceipts[Expiry Date],"&lt;"&amp;$H1175)+COUNTIFS(tblReceipts[Item Name],$A1175,tblReceipts[Expiry Date],$H1175,tblReceipts[Lot Number],"&lt;="&amp;Receipts!$C1178))</f>
        <v/>
      </c>
      <c r="K1175" s="26" t="str">
        <f>IF($A1175="","",SUMIFS(tblReceipts[Qty Received],tblReceipts[Item Name],$A1175,tblReceipts[Expiry Date],"&lt;"&amp;$H1175)+SUMIFS(tblReceipts[Qty Received],tblReceipts[Item Name],$A1175,tblReceipts[Expiry Date],$H1175,tblReceipts[Lot Number],"&lt;"&amp;Receipts!$C1178))</f>
        <v/>
      </c>
      <c r="L1175" s="26" t="str">
        <f>IF($A1175="","",MIN($D1175,MAX(0,SUMIFS(tblIssues[Qty Issued],tblIssues[Item Name],$A1175)-$K1175)))</f>
        <v/>
      </c>
      <c r="M1175" s="26" t="str">
        <f>IF($A1175="","",SUMIFS(tblIssues[Qty Issued],tblIssues[Lot Number],$B1175))</f>
        <v/>
      </c>
      <c r="N1175" s="26" t="str">
        <f t="shared" si="92"/>
        <v/>
      </c>
      <c r="O1175" s="26" t="str">
        <f t="shared" si="93"/>
        <v/>
      </c>
      <c r="P1175" s="21" t="str">
        <f t="shared" si="94"/>
        <v/>
      </c>
      <c r="Q1175" s="52" t="str">
        <f>IF($A1175="","",IF($O1175&lt;=0,"Depleted",IF($I1175&lt;0,"EXPIRED",IF($I1175&lt;=Settings!$C$6,"CRITICAL",IF($I1175&lt;=Settings!$C$5,"Expiring","In date")))))</f>
        <v/>
      </c>
    </row>
    <row r="1176" spans="1:17" x14ac:dyDescent="0.35">
      <c r="A1176" s="90" t="str">
        <f>IF(Receipts!$D1179="","",Receipts!$D1179)</f>
        <v/>
      </c>
      <c r="B1176" s="18" t="str">
        <f>IF(Receipts!$C1179="","",Receipts!$C1179)</f>
        <v/>
      </c>
      <c r="C1176" s="18" t="str">
        <f>IF($A1176="","",IFERROR(INDEX(Items!$B$5:$B$597,MATCH($A1176,Items!$A$5:$A$597,0)),""))</f>
        <v/>
      </c>
      <c r="D1176" s="23" t="str">
        <f>IF($A1176="","",N(Receipts!$G1179))</f>
        <v/>
      </c>
      <c r="E1176" s="20" t="str">
        <f>IF($A1176="","",IFERROR(INDEX(Items!$D$5:$D$597,MATCH($A1176,Items!$A$5:$A$597,0)),0))</f>
        <v/>
      </c>
      <c r="F1176" s="21" t="str">
        <f t="shared" si="90"/>
        <v/>
      </c>
      <c r="G1176" s="25" t="str">
        <f>IF(Receipts!$I1179="","",Receipts!$I1179)</f>
        <v/>
      </c>
      <c r="H1176" s="25" t="str">
        <f>IF(Receipts!$H1179="","",Receipts!$H1179)</f>
        <v/>
      </c>
      <c r="I1176" s="26" t="str">
        <f t="shared" ca="1" si="91"/>
        <v/>
      </c>
      <c r="J1176" s="26" t="str">
        <f>IF($A1176="","",COUNTIFS(tblReceipts[Item Name],$A1176,tblReceipts[Expiry Date],"&lt;"&amp;$H1176)+COUNTIFS(tblReceipts[Item Name],$A1176,tblReceipts[Expiry Date],$H1176,tblReceipts[Lot Number],"&lt;="&amp;Receipts!$C1179))</f>
        <v/>
      </c>
      <c r="K1176" s="26" t="str">
        <f>IF($A1176="","",SUMIFS(tblReceipts[Qty Received],tblReceipts[Item Name],$A1176,tblReceipts[Expiry Date],"&lt;"&amp;$H1176)+SUMIFS(tblReceipts[Qty Received],tblReceipts[Item Name],$A1176,tblReceipts[Expiry Date],$H1176,tblReceipts[Lot Number],"&lt;"&amp;Receipts!$C1179))</f>
        <v/>
      </c>
      <c r="L1176" s="26" t="str">
        <f>IF($A1176="","",MIN($D1176,MAX(0,SUMIFS(tblIssues[Qty Issued],tblIssues[Item Name],$A1176)-$K1176)))</f>
        <v/>
      </c>
      <c r="M1176" s="26" t="str">
        <f>IF($A1176="","",SUMIFS(tblIssues[Qty Issued],tblIssues[Lot Number],$B1176))</f>
        <v/>
      </c>
      <c r="N1176" s="26" t="str">
        <f t="shared" si="92"/>
        <v/>
      </c>
      <c r="O1176" s="26" t="str">
        <f t="shared" si="93"/>
        <v/>
      </c>
      <c r="P1176" s="21" t="str">
        <f t="shared" si="94"/>
        <v/>
      </c>
      <c r="Q1176" s="52" t="str">
        <f>IF($A1176="","",IF($O1176&lt;=0,"Depleted",IF($I1176&lt;0,"EXPIRED",IF($I1176&lt;=Settings!$C$6,"CRITICAL",IF($I1176&lt;=Settings!$C$5,"Expiring","In date")))))</f>
        <v/>
      </c>
    </row>
    <row r="1177" spans="1:17" x14ac:dyDescent="0.35">
      <c r="A1177" s="90" t="str">
        <f>IF(Receipts!$D1180="","",Receipts!$D1180)</f>
        <v/>
      </c>
      <c r="B1177" s="18" t="str">
        <f>IF(Receipts!$C1180="","",Receipts!$C1180)</f>
        <v/>
      </c>
      <c r="C1177" s="18" t="str">
        <f>IF($A1177="","",IFERROR(INDEX(Items!$B$5:$B$597,MATCH($A1177,Items!$A$5:$A$597,0)),""))</f>
        <v/>
      </c>
      <c r="D1177" s="23" t="str">
        <f>IF($A1177="","",N(Receipts!$G1180))</f>
        <v/>
      </c>
      <c r="E1177" s="20" t="str">
        <f>IF($A1177="","",IFERROR(INDEX(Items!$D$5:$D$597,MATCH($A1177,Items!$A$5:$A$597,0)),0))</f>
        <v/>
      </c>
      <c r="F1177" s="21" t="str">
        <f t="shared" si="90"/>
        <v/>
      </c>
      <c r="G1177" s="25" t="str">
        <f>IF(Receipts!$I1180="","",Receipts!$I1180)</f>
        <v/>
      </c>
      <c r="H1177" s="25" t="str">
        <f>IF(Receipts!$H1180="","",Receipts!$H1180)</f>
        <v/>
      </c>
      <c r="I1177" s="26" t="str">
        <f t="shared" ca="1" si="91"/>
        <v/>
      </c>
      <c r="J1177" s="26" t="str">
        <f>IF($A1177="","",COUNTIFS(tblReceipts[Item Name],$A1177,tblReceipts[Expiry Date],"&lt;"&amp;$H1177)+COUNTIFS(tblReceipts[Item Name],$A1177,tblReceipts[Expiry Date],$H1177,tblReceipts[Lot Number],"&lt;="&amp;Receipts!$C1180))</f>
        <v/>
      </c>
      <c r="K1177" s="26" t="str">
        <f>IF($A1177="","",SUMIFS(tblReceipts[Qty Received],tblReceipts[Item Name],$A1177,tblReceipts[Expiry Date],"&lt;"&amp;$H1177)+SUMIFS(tblReceipts[Qty Received],tblReceipts[Item Name],$A1177,tblReceipts[Expiry Date],$H1177,tblReceipts[Lot Number],"&lt;"&amp;Receipts!$C1180))</f>
        <v/>
      </c>
      <c r="L1177" s="26" t="str">
        <f>IF($A1177="","",MIN($D1177,MAX(0,SUMIFS(tblIssues[Qty Issued],tblIssues[Item Name],$A1177)-$K1177)))</f>
        <v/>
      </c>
      <c r="M1177" s="26" t="str">
        <f>IF($A1177="","",SUMIFS(tblIssues[Qty Issued],tblIssues[Lot Number],$B1177))</f>
        <v/>
      </c>
      <c r="N1177" s="26" t="str">
        <f t="shared" si="92"/>
        <v/>
      </c>
      <c r="O1177" s="26" t="str">
        <f t="shared" si="93"/>
        <v/>
      </c>
      <c r="P1177" s="21" t="str">
        <f t="shared" si="94"/>
        <v/>
      </c>
      <c r="Q1177" s="52" t="str">
        <f>IF($A1177="","",IF($O1177&lt;=0,"Depleted",IF($I1177&lt;0,"EXPIRED",IF($I1177&lt;=Settings!$C$6,"CRITICAL",IF($I1177&lt;=Settings!$C$5,"Expiring","In date")))))</f>
        <v/>
      </c>
    </row>
    <row r="1178" spans="1:17" x14ac:dyDescent="0.35">
      <c r="A1178" s="90" t="str">
        <f>IF(Receipts!$D1181="","",Receipts!$D1181)</f>
        <v/>
      </c>
      <c r="B1178" s="18" t="str">
        <f>IF(Receipts!$C1181="","",Receipts!$C1181)</f>
        <v/>
      </c>
      <c r="C1178" s="18" t="str">
        <f>IF($A1178="","",IFERROR(INDEX(Items!$B$5:$B$597,MATCH($A1178,Items!$A$5:$A$597,0)),""))</f>
        <v/>
      </c>
      <c r="D1178" s="23" t="str">
        <f>IF($A1178="","",N(Receipts!$G1181))</f>
        <v/>
      </c>
      <c r="E1178" s="20" t="str">
        <f>IF($A1178="","",IFERROR(INDEX(Items!$D$5:$D$597,MATCH($A1178,Items!$A$5:$A$597,0)),0))</f>
        <v/>
      </c>
      <c r="F1178" s="21" t="str">
        <f t="shared" si="90"/>
        <v/>
      </c>
      <c r="G1178" s="25" t="str">
        <f>IF(Receipts!$I1181="","",Receipts!$I1181)</f>
        <v/>
      </c>
      <c r="H1178" s="25" t="str">
        <f>IF(Receipts!$H1181="","",Receipts!$H1181)</f>
        <v/>
      </c>
      <c r="I1178" s="26" t="str">
        <f t="shared" ca="1" si="91"/>
        <v/>
      </c>
      <c r="J1178" s="26" t="str">
        <f>IF($A1178="","",COUNTIFS(tblReceipts[Item Name],$A1178,tblReceipts[Expiry Date],"&lt;"&amp;$H1178)+COUNTIFS(tblReceipts[Item Name],$A1178,tblReceipts[Expiry Date],$H1178,tblReceipts[Lot Number],"&lt;="&amp;Receipts!$C1181))</f>
        <v/>
      </c>
      <c r="K1178" s="26" t="str">
        <f>IF($A1178="","",SUMIFS(tblReceipts[Qty Received],tblReceipts[Item Name],$A1178,tblReceipts[Expiry Date],"&lt;"&amp;$H1178)+SUMIFS(tblReceipts[Qty Received],tblReceipts[Item Name],$A1178,tblReceipts[Expiry Date],$H1178,tblReceipts[Lot Number],"&lt;"&amp;Receipts!$C1181))</f>
        <v/>
      </c>
      <c r="L1178" s="26" t="str">
        <f>IF($A1178="","",MIN($D1178,MAX(0,SUMIFS(tblIssues[Qty Issued],tblIssues[Item Name],$A1178)-$K1178)))</f>
        <v/>
      </c>
      <c r="M1178" s="26" t="str">
        <f>IF($A1178="","",SUMIFS(tblIssues[Qty Issued],tblIssues[Lot Number],$B1178))</f>
        <v/>
      </c>
      <c r="N1178" s="26" t="str">
        <f t="shared" si="92"/>
        <v/>
      </c>
      <c r="O1178" s="26" t="str">
        <f t="shared" si="93"/>
        <v/>
      </c>
      <c r="P1178" s="21" t="str">
        <f t="shared" si="94"/>
        <v/>
      </c>
      <c r="Q1178" s="52" t="str">
        <f>IF($A1178="","",IF($O1178&lt;=0,"Depleted",IF($I1178&lt;0,"EXPIRED",IF($I1178&lt;=Settings!$C$6,"CRITICAL",IF($I1178&lt;=Settings!$C$5,"Expiring","In date")))))</f>
        <v/>
      </c>
    </row>
    <row r="1179" spans="1:17" x14ac:dyDescent="0.35">
      <c r="A1179" s="90" t="str">
        <f>IF(Receipts!$D1182="","",Receipts!$D1182)</f>
        <v/>
      </c>
      <c r="B1179" s="18" t="str">
        <f>IF(Receipts!$C1182="","",Receipts!$C1182)</f>
        <v/>
      </c>
      <c r="C1179" s="18" t="str">
        <f>IF($A1179="","",IFERROR(INDEX(Items!$B$5:$B$597,MATCH($A1179,Items!$A$5:$A$597,0)),""))</f>
        <v/>
      </c>
      <c r="D1179" s="23" t="str">
        <f>IF($A1179="","",N(Receipts!$G1182))</f>
        <v/>
      </c>
      <c r="E1179" s="20" t="str">
        <f>IF($A1179="","",IFERROR(INDEX(Items!$D$5:$D$597,MATCH($A1179,Items!$A$5:$A$597,0)),0))</f>
        <v/>
      </c>
      <c r="F1179" s="21" t="str">
        <f t="shared" si="90"/>
        <v/>
      </c>
      <c r="G1179" s="25" t="str">
        <f>IF(Receipts!$I1182="","",Receipts!$I1182)</f>
        <v/>
      </c>
      <c r="H1179" s="25" t="str">
        <f>IF(Receipts!$H1182="","",Receipts!$H1182)</f>
        <v/>
      </c>
      <c r="I1179" s="26" t="str">
        <f t="shared" ca="1" si="91"/>
        <v/>
      </c>
      <c r="J1179" s="26" t="str">
        <f>IF($A1179="","",COUNTIFS(tblReceipts[Item Name],$A1179,tblReceipts[Expiry Date],"&lt;"&amp;$H1179)+COUNTIFS(tblReceipts[Item Name],$A1179,tblReceipts[Expiry Date],$H1179,tblReceipts[Lot Number],"&lt;="&amp;Receipts!$C1182))</f>
        <v/>
      </c>
      <c r="K1179" s="26" t="str">
        <f>IF($A1179="","",SUMIFS(tblReceipts[Qty Received],tblReceipts[Item Name],$A1179,tblReceipts[Expiry Date],"&lt;"&amp;$H1179)+SUMIFS(tblReceipts[Qty Received],tblReceipts[Item Name],$A1179,tblReceipts[Expiry Date],$H1179,tblReceipts[Lot Number],"&lt;"&amp;Receipts!$C1182))</f>
        <v/>
      </c>
      <c r="L1179" s="26" t="str">
        <f>IF($A1179="","",MIN($D1179,MAX(0,SUMIFS(tblIssues[Qty Issued],tblIssues[Item Name],$A1179)-$K1179)))</f>
        <v/>
      </c>
      <c r="M1179" s="26" t="str">
        <f>IF($A1179="","",SUMIFS(tblIssues[Qty Issued],tblIssues[Lot Number],$B1179))</f>
        <v/>
      </c>
      <c r="N1179" s="26" t="str">
        <f t="shared" si="92"/>
        <v/>
      </c>
      <c r="O1179" s="26" t="str">
        <f t="shared" si="93"/>
        <v/>
      </c>
      <c r="P1179" s="21" t="str">
        <f t="shared" si="94"/>
        <v/>
      </c>
      <c r="Q1179" s="52" t="str">
        <f>IF($A1179="","",IF($O1179&lt;=0,"Depleted",IF($I1179&lt;0,"EXPIRED",IF($I1179&lt;=Settings!$C$6,"CRITICAL",IF($I1179&lt;=Settings!$C$5,"Expiring","In date")))))</f>
        <v/>
      </c>
    </row>
    <row r="1180" spans="1:17" x14ac:dyDescent="0.35">
      <c r="A1180" s="90" t="str">
        <f>IF(Receipts!$D1183="","",Receipts!$D1183)</f>
        <v/>
      </c>
      <c r="B1180" s="18" t="str">
        <f>IF(Receipts!$C1183="","",Receipts!$C1183)</f>
        <v/>
      </c>
      <c r="C1180" s="18" t="str">
        <f>IF($A1180="","",IFERROR(INDEX(Items!$B$5:$B$597,MATCH($A1180,Items!$A$5:$A$597,0)),""))</f>
        <v/>
      </c>
      <c r="D1180" s="23" t="str">
        <f>IF($A1180="","",N(Receipts!$G1183))</f>
        <v/>
      </c>
      <c r="E1180" s="20" t="str">
        <f>IF($A1180="","",IFERROR(INDEX(Items!$D$5:$D$597,MATCH($A1180,Items!$A$5:$A$597,0)),0))</f>
        <v/>
      </c>
      <c r="F1180" s="21" t="str">
        <f t="shared" si="90"/>
        <v/>
      </c>
      <c r="G1180" s="25" t="str">
        <f>IF(Receipts!$I1183="","",Receipts!$I1183)</f>
        <v/>
      </c>
      <c r="H1180" s="25" t="str">
        <f>IF(Receipts!$H1183="","",Receipts!$H1183)</f>
        <v/>
      </c>
      <c r="I1180" s="26" t="str">
        <f t="shared" ca="1" si="91"/>
        <v/>
      </c>
      <c r="J1180" s="26" t="str">
        <f>IF($A1180="","",COUNTIFS(tblReceipts[Item Name],$A1180,tblReceipts[Expiry Date],"&lt;"&amp;$H1180)+COUNTIFS(tblReceipts[Item Name],$A1180,tblReceipts[Expiry Date],$H1180,tblReceipts[Lot Number],"&lt;="&amp;Receipts!$C1183))</f>
        <v/>
      </c>
      <c r="K1180" s="26" t="str">
        <f>IF($A1180="","",SUMIFS(tblReceipts[Qty Received],tblReceipts[Item Name],$A1180,tblReceipts[Expiry Date],"&lt;"&amp;$H1180)+SUMIFS(tblReceipts[Qty Received],tblReceipts[Item Name],$A1180,tblReceipts[Expiry Date],$H1180,tblReceipts[Lot Number],"&lt;"&amp;Receipts!$C1183))</f>
        <v/>
      </c>
      <c r="L1180" s="26" t="str">
        <f>IF($A1180="","",MIN($D1180,MAX(0,SUMIFS(tblIssues[Qty Issued],tblIssues[Item Name],$A1180)-$K1180)))</f>
        <v/>
      </c>
      <c r="M1180" s="26" t="str">
        <f>IF($A1180="","",SUMIFS(tblIssues[Qty Issued],tblIssues[Lot Number],$B1180))</f>
        <v/>
      </c>
      <c r="N1180" s="26" t="str">
        <f t="shared" si="92"/>
        <v/>
      </c>
      <c r="O1180" s="26" t="str">
        <f t="shared" si="93"/>
        <v/>
      </c>
      <c r="P1180" s="21" t="str">
        <f t="shared" si="94"/>
        <v/>
      </c>
      <c r="Q1180" s="52" t="str">
        <f>IF($A1180="","",IF($O1180&lt;=0,"Depleted",IF($I1180&lt;0,"EXPIRED",IF($I1180&lt;=Settings!$C$6,"CRITICAL",IF($I1180&lt;=Settings!$C$5,"Expiring","In date")))))</f>
        <v/>
      </c>
    </row>
    <row r="1181" spans="1:17" x14ac:dyDescent="0.35">
      <c r="A1181" s="90" t="str">
        <f>IF(Receipts!$D1184="","",Receipts!$D1184)</f>
        <v/>
      </c>
      <c r="B1181" s="18" t="str">
        <f>IF(Receipts!$C1184="","",Receipts!$C1184)</f>
        <v/>
      </c>
      <c r="C1181" s="18" t="str">
        <f>IF($A1181="","",IFERROR(INDEX(Items!$B$5:$B$597,MATCH($A1181,Items!$A$5:$A$597,0)),""))</f>
        <v/>
      </c>
      <c r="D1181" s="23" t="str">
        <f>IF($A1181="","",N(Receipts!$G1184))</f>
        <v/>
      </c>
      <c r="E1181" s="20" t="str">
        <f>IF($A1181="","",IFERROR(INDEX(Items!$D$5:$D$597,MATCH($A1181,Items!$A$5:$A$597,0)),0))</f>
        <v/>
      </c>
      <c r="F1181" s="21" t="str">
        <f t="shared" si="90"/>
        <v/>
      </c>
      <c r="G1181" s="25" t="str">
        <f>IF(Receipts!$I1184="","",Receipts!$I1184)</f>
        <v/>
      </c>
      <c r="H1181" s="25" t="str">
        <f>IF(Receipts!$H1184="","",Receipts!$H1184)</f>
        <v/>
      </c>
      <c r="I1181" s="26" t="str">
        <f t="shared" ca="1" si="91"/>
        <v/>
      </c>
      <c r="J1181" s="26" t="str">
        <f>IF($A1181="","",COUNTIFS(tblReceipts[Item Name],$A1181,tblReceipts[Expiry Date],"&lt;"&amp;$H1181)+COUNTIFS(tblReceipts[Item Name],$A1181,tblReceipts[Expiry Date],$H1181,tblReceipts[Lot Number],"&lt;="&amp;Receipts!$C1184))</f>
        <v/>
      </c>
      <c r="K1181" s="26" t="str">
        <f>IF($A1181="","",SUMIFS(tblReceipts[Qty Received],tblReceipts[Item Name],$A1181,tblReceipts[Expiry Date],"&lt;"&amp;$H1181)+SUMIFS(tblReceipts[Qty Received],tblReceipts[Item Name],$A1181,tblReceipts[Expiry Date],$H1181,tblReceipts[Lot Number],"&lt;"&amp;Receipts!$C1184))</f>
        <v/>
      </c>
      <c r="L1181" s="26" t="str">
        <f>IF($A1181="","",MIN($D1181,MAX(0,SUMIFS(tblIssues[Qty Issued],tblIssues[Item Name],$A1181)-$K1181)))</f>
        <v/>
      </c>
      <c r="M1181" s="26" t="str">
        <f>IF($A1181="","",SUMIFS(tblIssues[Qty Issued],tblIssues[Lot Number],$B1181))</f>
        <v/>
      </c>
      <c r="N1181" s="26" t="str">
        <f t="shared" si="92"/>
        <v/>
      </c>
      <c r="O1181" s="26" t="str">
        <f t="shared" si="93"/>
        <v/>
      </c>
      <c r="P1181" s="21" t="str">
        <f t="shared" si="94"/>
        <v/>
      </c>
      <c r="Q1181" s="52" t="str">
        <f>IF($A1181="","",IF($O1181&lt;=0,"Depleted",IF($I1181&lt;0,"EXPIRED",IF($I1181&lt;=Settings!$C$6,"CRITICAL",IF($I1181&lt;=Settings!$C$5,"Expiring","In date")))))</f>
        <v/>
      </c>
    </row>
    <row r="1182" spans="1:17" x14ac:dyDescent="0.35">
      <c r="A1182" s="90" t="str">
        <f>IF(Receipts!$D1185="","",Receipts!$D1185)</f>
        <v/>
      </c>
      <c r="B1182" s="18" t="str">
        <f>IF(Receipts!$C1185="","",Receipts!$C1185)</f>
        <v/>
      </c>
      <c r="C1182" s="18" t="str">
        <f>IF($A1182="","",IFERROR(INDEX(Items!$B$5:$B$597,MATCH($A1182,Items!$A$5:$A$597,0)),""))</f>
        <v/>
      </c>
      <c r="D1182" s="23" t="str">
        <f>IF($A1182="","",N(Receipts!$G1185))</f>
        <v/>
      </c>
      <c r="E1182" s="20" t="str">
        <f>IF($A1182="","",IFERROR(INDEX(Items!$D$5:$D$597,MATCH($A1182,Items!$A$5:$A$597,0)),0))</f>
        <v/>
      </c>
      <c r="F1182" s="21" t="str">
        <f t="shared" si="90"/>
        <v/>
      </c>
      <c r="G1182" s="25" t="str">
        <f>IF(Receipts!$I1185="","",Receipts!$I1185)</f>
        <v/>
      </c>
      <c r="H1182" s="25" t="str">
        <f>IF(Receipts!$H1185="","",Receipts!$H1185)</f>
        <v/>
      </c>
      <c r="I1182" s="26" t="str">
        <f t="shared" ca="1" si="91"/>
        <v/>
      </c>
      <c r="J1182" s="26" t="str">
        <f>IF($A1182="","",COUNTIFS(tblReceipts[Item Name],$A1182,tblReceipts[Expiry Date],"&lt;"&amp;$H1182)+COUNTIFS(tblReceipts[Item Name],$A1182,tblReceipts[Expiry Date],$H1182,tblReceipts[Lot Number],"&lt;="&amp;Receipts!$C1185))</f>
        <v/>
      </c>
      <c r="K1182" s="26" t="str">
        <f>IF($A1182="","",SUMIFS(tblReceipts[Qty Received],tblReceipts[Item Name],$A1182,tblReceipts[Expiry Date],"&lt;"&amp;$H1182)+SUMIFS(tblReceipts[Qty Received],tblReceipts[Item Name],$A1182,tblReceipts[Expiry Date],$H1182,tblReceipts[Lot Number],"&lt;"&amp;Receipts!$C1185))</f>
        <v/>
      </c>
      <c r="L1182" s="26" t="str">
        <f>IF($A1182="","",MIN($D1182,MAX(0,SUMIFS(tblIssues[Qty Issued],tblIssues[Item Name],$A1182)-$K1182)))</f>
        <v/>
      </c>
      <c r="M1182" s="26" t="str">
        <f>IF($A1182="","",SUMIFS(tblIssues[Qty Issued],tblIssues[Lot Number],$B1182))</f>
        <v/>
      </c>
      <c r="N1182" s="26" t="str">
        <f t="shared" si="92"/>
        <v/>
      </c>
      <c r="O1182" s="26" t="str">
        <f t="shared" si="93"/>
        <v/>
      </c>
      <c r="P1182" s="21" t="str">
        <f t="shared" si="94"/>
        <v/>
      </c>
      <c r="Q1182" s="52" t="str">
        <f>IF($A1182="","",IF($O1182&lt;=0,"Depleted",IF($I1182&lt;0,"EXPIRED",IF($I1182&lt;=Settings!$C$6,"CRITICAL",IF($I1182&lt;=Settings!$C$5,"Expiring","In date")))))</f>
        <v/>
      </c>
    </row>
    <row r="1183" spans="1:17" x14ac:dyDescent="0.35">
      <c r="A1183" s="90" t="str">
        <f>IF(Receipts!$D1186="","",Receipts!$D1186)</f>
        <v/>
      </c>
      <c r="B1183" s="18" t="str">
        <f>IF(Receipts!$C1186="","",Receipts!$C1186)</f>
        <v/>
      </c>
      <c r="C1183" s="18" t="str">
        <f>IF($A1183="","",IFERROR(INDEX(Items!$B$5:$B$597,MATCH($A1183,Items!$A$5:$A$597,0)),""))</f>
        <v/>
      </c>
      <c r="D1183" s="23" t="str">
        <f>IF($A1183="","",N(Receipts!$G1186))</f>
        <v/>
      </c>
      <c r="E1183" s="20" t="str">
        <f>IF($A1183="","",IFERROR(INDEX(Items!$D$5:$D$597,MATCH($A1183,Items!$A$5:$A$597,0)),0))</f>
        <v/>
      </c>
      <c r="F1183" s="21" t="str">
        <f t="shared" si="90"/>
        <v/>
      </c>
      <c r="G1183" s="25" t="str">
        <f>IF(Receipts!$I1186="","",Receipts!$I1186)</f>
        <v/>
      </c>
      <c r="H1183" s="25" t="str">
        <f>IF(Receipts!$H1186="","",Receipts!$H1186)</f>
        <v/>
      </c>
      <c r="I1183" s="26" t="str">
        <f t="shared" ca="1" si="91"/>
        <v/>
      </c>
      <c r="J1183" s="26" t="str">
        <f>IF($A1183="","",COUNTIFS(tblReceipts[Item Name],$A1183,tblReceipts[Expiry Date],"&lt;"&amp;$H1183)+COUNTIFS(tblReceipts[Item Name],$A1183,tblReceipts[Expiry Date],$H1183,tblReceipts[Lot Number],"&lt;="&amp;Receipts!$C1186))</f>
        <v/>
      </c>
      <c r="K1183" s="26" t="str">
        <f>IF($A1183="","",SUMIFS(tblReceipts[Qty Received],tblReceipts[Item Name],$A1183,tblReceipts[Expiry Date],"&lt;"&amp;$H1183)+SUMIFS(tblReceipts[Qty Received],tblReceipts[Item Name],$A1183,tblReceipts[Expiry Date],$H1183,tblReceipts[Lot Number],"&lt;"&amp;Receipts!$C1186))</f>
        <v/>
      </c>
      <c r="L1183" s="26" t="str">
        <f>IF($A1183="","",MIN($D1183,MAX(0,SUMIFS(tblIssues[Qty Issued],tblIssues[Item Name],$A1183)-$K1183)))</f>
        <v/>
      </c>
      <c r="M1183" s="26" t="str">
        <f>IF($A1183="","",SUMIFS(tblIssues[Qty Issued],tblIssues[Lot Number],$B1183))</f>
        <v/>
      </c>
      <c r="N1183" s="26" t="str">
        <f t="shared" si="92"/>
        <v/>
      </c>
      <c r="O1183" s="26" t="str">
        <f t="shared" si="93"/>
        <v/>
      </c>
      <c r="P1183" s="21" t="str">
        <f t="shared" si="94"/>
        <v/>
      </c>
      <c r="Q1183" s="52" t="str">
        <f>IF($A1183="","",IF($O1183&lt;=0,"Depleted",IF($I1183&lt;0,"EXPIRED",IF($I1183&lt;=Settings!$C$6,"CRITICAL",IF($I1183&lt;=Settings!$C$5,"Expiring","In date")))))</f>
        <v/>
      </c>
    </row>
    <row r="1184" spans="1:17" x14ac:dyDescent="0.35">
      <c r="A1184" s="90" t="str">
        <f>IF(Receipts!$D1187="","",Receipts!$D1187)</f>
        <v/>
      </c>
      <c r="B1184" s="18" t="str">
        <f>IF(Receipts!$C1187="","",Receipts!$C1187)</f>
        <v/>
      </c>
      <c r="C1184" s="18" t="str">
        <f>IF($A1184="","",IFERROR(INDEX(Items!$B$5:$B$597,MATCH($A1184,Items!$A$5:$A$597,0)),""))</f>
        <v/>
      </c>
      <c r="D1184" s="23" t="str">
        <f>IF($A1184="","",N(Receipts!$G1187))</f>
        <v/>
      </c>
      <c r="E1184" s="20" t="str">
        <f>IF($A1184="","",IFERROR(INDEX(Items!$D$5:$D$597,MATCH($A1184,Items!$A$5:$A$597,0)),0))</f>
        <v/>
      </c>
      <c r="F1184" s="21" t="str">
        <f t="shared" si="90"/>
        <v/>
      </c>
      <c r="G1184" s="25" t="str">
        <f>IF(Receipts!$I1187="","",Receipts!$I1187)</f>
        <v/>
      </c>
      <c r="H1184" s="25" t="str">
        <f>IF(Receipts!$H1187="","",Receipts!$H1187)</f>
        <v/>
      </c>
      <c r="I1184" s="26" t="str">
        <f t="shared" ca="1" si="91"/>
        <v/>
      </c>
      <c r="J1184" s="26" t="str">
        <f>IF($A1184="","",COUNTIFS(tblReceipts[Item Name],$A1184,tblReceipts[Expiry Date],"&lt;"&amp;$H1184)+COUNTIFS(tblReceipts[Item Name],$A1184,tblReceipts[Expiry Date],$H1184,tblReceipts[Lot Number],"&lt;="&amp;Receipts!$C1187))</f>
        <v/>
      </c>
      <c r="K1184" s="26" t="str">
        <f>IF($A1184="","",SUMIFS(tblReceipts[Qty Received],tblReceipts[Item Name],$A1184,tblReceipts[Expiry Date],"&lt;"&amp;$H1184)+SUMIFS(tblReceipts[Qty Received],tblReceipts[Item Name],$A1184,tblReceipts[Expiry Date],$H1184,tblReceipts[Lot Number],"&lt;"&amp;Receipts!$C1187))</f>
        <v/>
      </c>
      <c r="L1184" s="26" t="str">
        <f>IF($A1184="","",MIN($D1184,MAX(0,SUMIFS(tblIssues[Qty Issued],tblIssues[Item Name],$A1184)-$K1184)))</f>
        <v/>
      </c>
      <c r="M1184" s="26" t="str">
        <f>IF($A1184="","",SUMIFS(tblIssues[Qty Issued],tblIssues[Lot Number],$B1184))</f>
        <v/>
      </c>
      <c r="N1184" s="26" t="str">
        <f t="shared" si="92"/>
        <v/>
      </c>
      <c r="O1184" s="26" t="str">
        <f t="shared" si="93"/>
        <v/>
      </c>
      <c r="P1184" s="21" t="str">
        <f t="shared" si="94"/>
        <v/>
      </c>
      <c r="Q1184" s="52" t="str">
        <f>IF($A1184="","",IF($O1184&lt;=0,"Depleted",IF($I1184&lt;0,"EXPIRED",IF($I1184&lt;=Settings!$C$6,"CRITICAL",IF($I1184&lt;=Settings!$C$5,"Expiring","In date")))))</f>
        <v/>
      </c>
    </row>
    <row r="1185" spans="1:17" x14ac:dyDescent="0.35">
      <c r="A1185" s="90" t="str">
        <f>IF(Receipts!$D1188="","",Receipts!$D1188)</f>
        <v/>
      </c>
      <c r="B1185" s="18" t="str">
        <f>IF(Receipts!$C1188="","",Receipts!$C1188)</f>
        <v/>
      </c>
      <c r="C1185" s="18" t="str">
        <f>IF($A1185="","",IFERROR(INDEX(Items!$B$5:$B$597,MATCH($A1185,Items!$A$5:$A$597,0)),""))</f>
        <v/>
      </c>
      <c r="D1185" s="23" t="str">
        <f>IF($A1185="","",N(Receipts!$G1188))</f>
        <v/>
      </c>
      <c r="E1185" s="20" t="str">
        <f>IF($A1185="","",IFERROR(INDEX(Items!$D$5:$D$597,MATCH($A1185,Items!$A$5:$A$597,0)),0))</f>
        <v/>
      </c>
      <c r="F1185" s="21" t="str">
        <f t="shared" si="90"/>
        <v/>
      </c>
      <c r="G1185" s="25" t="str">
        <f>IF(Receipts!$I1188="","",Receipts!$I1188)</f>
        <v/>
      </c>
      <c r="H1185" s="25" t="str">
        <f>IF(Receipts!$H1188="","",Receipts!$H1188)</f>
        <v/>
      </c>
      <c r="I1185" s="26" t="str">
        <f t="shared" ca="1" si="91"/>
        <v/>
      </c>
      <c r="J1185" s="26" t="str">
        <f>IF($A1185="","",COUNTIFS(tblReceipts[Item Name],$A1185,tblReceipts[Expiry Date],"&lt;"&amp;$H1185)+COUNTIFS(tblReceipts[Item Name],$A1185,tblReceipts[Expiry Date],$H1185,tblReceipts[Lot Number],"&lt;="&amp;Receipts!$C1188))</f>
        <v/>
      </c>
      <c r="K1185" s="26" t="str">
        <f>IF($A1185="","",SUMIFS(tblReceipts[Qty Received],tblReceipts[Item Name],$A1185,tblReceipts[Expiry Date],"&lt;"&amp;$H1185)+SUMIFS(tblReceipts[Qty Received],tblReceipts[Item Name],$A1185,tblReceipts[Expiry Date],$H1185,tblReceipts[Lot Number],"&lt;"&amp;Receipts!$C1188))</f>
        <v/>
      </c>
      <c r="L1185" s="26" t="str">
        <f>IF($A1185="","",MIN($D1185,MAX(0,SUMIFS(tblIssues[Qty Issued],tblIssues[Item Name],$A1185)-$K1185)))</f>
        <v/>
      </c>
      <c r="M1185" s="26" t="str">
        <f>IF($A1185="","",SUMIFS(tblIssues[Qty Issued],tblIssues[Lot Number],$B1185))</f>
        <v/>
      </c>
      <c r="N1185" s="26" t="str">
        <f t="shared" si="92"/>
        <v/>
      </c>
      <c r="O1185" s="26" t="str">
        <f t="shared" si="93"/>
        <v/>
      </c>
      <c r="P1185" s="21" t="str">
        <f t="shared" si="94"/>
        <v/>
      </c>
      <c r="Q1185" s="52" t="str">
        <f>IF($A1185="","",IF($O1185&lt;=0,"Depleted",IF($I1185&lt;0,"EXPIRED",IF($I1185&lt;=Settings!$C$6,"CRITICAL",IF($I1185&lt;=Settings!$C$5,"Expiring","In date")))))</f>
        <v/>
      </c>
    </row>
    <row r="1186" spans="1:17" x14ac:dyDescent="0.35">
      <c r="A1186" s="90" t="str">
        <f>IF(Receipts!$D1189="","",Receipts!$D1189)</f>
        <v/>
      </c>
      <c r="B1186" s="18" t="str">
        <f>IF(Receipts!$C1189="","",Receipts!$C1189)</f>
        <v/>
      </c>
      <c r="C1186" s="18" t="str">
        <f>IF($A1186="","",IFERROR(INDEX(Items!$B$5:$B$597,MATCH($A1186,Items!$A$5:$A$597,0)),""))</f>
        <v/>
      </c>
      <c r="D1186" s="23" t="str">
        <f>IF($A1186="","",N(Receipts!$G1189))</f>
        <v/>
      </c>
      <c r="E1186" s="20" t="str">
        <f>IF($A1186="","",IFERROR(INDEX(Items!$D$5:$D$597,MATCH($A1186,Items!$A$5:$A$597,0)),0))</f>
        <v/>
      </c>
      <c r="F1186" s="21" t="str">
        <f t="shared" si="90"/>
        <v/>
      </c>
      <c r="G1186" s="25" t="str">
        <f>IF(Receipts!$I1189="","",Receipts!$I1189)</f>
        <v/>
      </c>
      <c r="H1186" s="25" t="str">
        <f>IF(Receipts!$H1189="","",Receipts!$H1189)</f>
        <v/>
      </c>
      <c r="I1186" s="26" t="str">
        <f t="shared" ca="1" si="91"/>
        <v/>
      </c>
      <c r="J1186" s="26" t="str">
        <f>IF($A1186="","",COUNTIFS(tblReceipts[Item Name],$A1186,tblReceipts[Expiry Date],"&lt;"&amp;$H1186)+COUNTIFS(tblReceipts[Item Name],$A1186,tblReceipts[Expiry Date],$H1186,tblReceipts[Lot Number],"&lt;="&amp;Receipts!$C1189))</f>
        <v/>
      </c>
      <c r="K1186" s="26" t="str">
        <f>IF($A1186="","",SUMIFS(tblReceipts[Qty Received],tblReceipts[Item Name],$A1186,tblReceipts[Expiry Date],"&lt;"&amp;$H1186)+SUMIFS(tblReceipts[Qty Received],tblReceipts[Item Name],$A1186,tblReceipts[Expiry Date],$H1186,tblReceipts[Lot Number],"&lt;"&amp;Receipts!$C1189))</f>
        <v/>
      </c>
      <c r="L1186" s="26" t="str">
        <f>IF($A1186="","",MIN($D1186,MAX(0,SUMIFS(tblIssues[Qty Issued],tblIssues[Item Name],$A1186)-$K1186)))</f>
        <v/>
      </c>
      <c r="M1186" s="26" t="str">
        <f>IF($A1186="","",SUMIFS(tblIssues[Qty Issued],tblIssues[Lot Number],$B1186))</f>
        <v/>
      </c>
      <c r="N1186" s="26" t="str">
        <f t="shared" si="92"/>
        <v/>
      </c>
      <c r="O1186" s="26" t="str">
        <f t="shared" si="93"/>
        <v/>
      </c>
      <c r="P1186" s="21" t="str">
        <f t="shared" si="94"/>
        <v/>
      </c>
      <c r="Q1186" s="52" t="str">
        <f>IF($A1186="","",IF($O1186&lt;=0,"Depleted",IF($I1186&lt;0,"EXPIRED",IF($I1186&lt;=Settings!$C$6,"CRITICAL",IF($I1186&lt;=Settings!$C$5,"Expiring","In date")))))</f>
        <v/>
      </c>
    </row>
    <row r="1187" spans="1:17" x14ac:dyDescent="0.35">
      <c r="A1187" s="90" t="str">
        <f>IF(Receipts!$D1190="","",Receipts!$D1190)</f>
        <v/>
      </c>
      <c r="B1187" s="18" t="str">
        <f>IF(Receipts!$C1190="","",Receipts!$C1190)</f>
        <v/>
      </c>
      <c r="C1187" s="18" t="str">
        <f>IF($A1187="","",IFERROR(INDEX(Items!$B$5:$B$597,MATCH($A1187,Items!$A$5:$A$597,0)),""))</f>
        <v/>
      </c>
      <c r="D1187" s="23" t="str">
        <f>IF($A1187="","",N(Receipts!$G1190))</f>
        <v/>
      </c>
      <c r="E1187" s="20" t="str">
        <f>IF($A1187="","",IFERROR(INDEX(Items!$D$5:$D$597,MATCH($A1187,Items!$A$5:$A$597,0)),0))</f>
        <v/>
      </c>
      <c r="F1187" s="21" t="str">
        <f t="shared" si="90"/>
        <v/>
      </c>
      <c r="G1187" s="25" t="str">
        <f>IF(Receipts!$I1190="","",Receipts!$I1190)</f>
        <v/>
      </c>
      <c r="H1187" s="25" t="str">
        <f>IF(Receipts!$H1190="","",Receipts!$H1190)</f>
        <v/>
      </c>
      <c r="I1187" s="26" t="str">
        <f t="shared" ca="1" si="91"/>
        <v/>
      </c>
      <c r="J1187" s="26" t="str">
        <f>IF($A1187="","",COUNTIFS(tblReceipts[Item Name],$A1187,tblReceipts[Expiry Date],"&lt;"&amp;$H1187)+COUNTIFS(tblReceipts[Item Name],$A1187,tblReceipts[Expiry Date],$H1187,tblReceipts[Lot Number],"&lt;="&amp;Receipts!$C1190))</f>
        <v/>
      </c>
      <c r="K1187" s="26" t="str">
        <f>IF($A1187="","",SUMIFS(tblReceipts[Qty Received],tblReceipts[Item Name],$A1187,tblReceipts[Expiry Date],"&lt;"&amp;$H1187)+SUMIFS(tblReceipts[Qty Received],tblReceipts[Item Name],$A1187,tblReceipts[Expiry Date],$H1187,tblReceipts[Lot Number],"&lt;"&amp;Receipts!$C1190))</f>
        <v/>
      </c>
      <c r="L1187" s="26" t="str">
        <f>IF($A1187="","",MIN($D1187,MAX(0,SUMIFS(tblIssues[Qty Issued],tblIssues[Item Name],$A1187)-$K1187)))</f>
        <v/>
      </c>
      <c r="M1187" s="26" t="str">
        <f>IF($A1187="","",SUMIFS(tblIssues[Qty Issued],tblIssues[Lot Number],$B1187))</f>
        <v/>
      </c>
      <c r="N1187" s="26" t="str">
        <f t="shared" si="92"/>
        <v/>
      </c>
      <c r="O1187" s="26" t="str">
        <f t="shared" si="93"/>
        <v/>
      </c>
      <c r="P1187" s="21" t="str">
        <f t="shared" si="94"/>
        <v/>
      </c>
      <c r="Q1187" s="52" t="str">
        <f>IF($A1187="","",IF($O1187&lt;=0,"Depleted",IF($I1187&lt;0,"EXPIRED",IF($I1187&lt;=Settings!$C$6,"CRITICAL",IF($I1187&lt;=Settings!$C$5,"Expiring","In date")))))</f>
        <v/>
      </c>
    </row>
    <row r="1188" spans="1:17" x14ac:dyDescent="0.35">
      <c r="A1188" s="90" t="str">
        <f>IF(Receipts!$D1191="","",Receipts!$D1191)</f>
        <v/>
      </c>
      <c r="B1188" s="18" t="str">
        <f>IF(Receipts!$C1191="","",Receipts!$C1191)</f>
        <v/>
      </c>
      <c r="C1188" s="18" t="str">
        <f>IF($A1188="","",IFERROR(INDEX(Items!$B$5:$B$597,MATCH($A1188,Items!$A$5:$A$597,0)),""))</f>
        <v/>
      </c>
      <c r="D1188" s="23" t="str">
        <f>IF($A1188="","",N(Receipts!$G1191))</f>
        <v/>
      </c>
      <c r="E1188" s="20" t="str">
        <f>IF($A1188="","",IFERROR(INDEX(Items!$D$5:$D$597,MATCH($A1188,Items!$A$5:$A$597,0)),0))</f>
        <v/>
      </c>
      <c r="F1188" s="21" t="str">
        <f t="shared" si="90"/>
        <v/>
      </c>
      <c r="G1188" s="25" t="str">
        <f>IF(Receipts!$I1191="","",Receipts!$I1191)</f>
        <v/>
      </c>
      <c r="H1188" s="25" t="str">
        <f>IF(Receipts!$H1191="","",Receipts!$H1191)</f>
        <v/>
      </c>
      <c r="I1188" s="26" t="str">
        <f t="shared" ca="1" si="91"/>
        <v/>
      </c>
      <c r="J1188" s="26" t="str">
        <f>IF($A1188="","",COUNTIFS(tblReceipts[Item Name],$A1188,tblReceipts[Expiry Date],"&lt;"&amp;$H1188)+COUNTIFS(tblReceipts[Item Name],$A1188,tblReceipts[Expiry Date],$H1188,tblReceipts[Lot Number],"&lt;="&amp;Receipts!$C1191))</f>
        <v/>
      </c>
      <c r="K1188" s="26" t="str">
        <f>IF($A1188="","",SUMIFS(tblReceipts[Qty Received],tblReceipts[Item Name],$A1188,tblReceipts[Expiry Date],"&lt;"&amp;$H1188)+SUMIFS(tblReceipts[Qty Received],tblReceipts[Item Name],$A1188,tblReceipts[Expiry Date],$H1188,tblReceipts[Lot Number],"&lt;"&amp;Receipts!$C1191))</f>
        <v/>
      </c>
      <c r="L1188" s="26" t="str">
        <f>IF($A1188="","",MIN($D1188,MAX(0,SUMIFS(tblIssues[Qty Issued],tblIssues[Item Name],$A1188)-$K1188)))</f>
        <v/>
      </c>
      <c r="M1188" s="26" t="str">
        <f>IF($A1188="","",SUMIFS(tblIssues[Qty Issued],tblIssues[Lot Number],$B1188))</f>
        <v/>
      </c>
      <c r="N1188" s="26" t="str">
        <f t="shared" si="92"/>
        <v/>
      </c>
      <c r="O1188" s="26" t="str">
        <f t="shared" si="93"/>
        <v/>
      </c>
      <c r="P1188" s="21" t="str">
        <f t="shared" si="94"/>
        <v/>
      </c>
      <c r="Q1188" s="52" t="str">
        <f>IF($A1188="","",IF($O1188&lt;=0,"Depleted",IF($I1188&lt;0,"EXPIRED",IF($I1188&lt;=Settings!$C$6,"CRITICAL",IF($I1188&lt;=Settings!$C$5,"Expiring","In date")))))</f>
        <v/>
      </c>
    </row>
    <row r="1189" spans="1:17" x14ac:dyDescent="0.35">
      <c r="A1189" s="90" t="str">
        <f>IF(Receipts!$D1192="","",Receipts!$D1192)</f>
        <v/>
      </c>
      <c r="B1189" s="18" t="str">
        <f>IF(Receipts!$C1192="","",Receipts!$C1192)</f>
        <v/>
      </c>
      <c r="C1189" s="18" t="str">
        <f>IF($A1189="","",IFERROR(INDEX(Items!$B$5:$B$597,MATCH($A1189,Items!$A$5:$A$597,0)),""))</f>
        <v/>
      </c>
      <c r="D1189" s="23" t="str">
        <f>IF($A1189="","",N(Receipts!$G1192))</f>
        <v/>
      </c>
      <c r="E1189" s="20" t="str">
        <f>IF($A1189="","",IFERROR(INDEX(Items!$D$5:$D$597,MATCH($A1189,Items!$A$5:$A$597,0)),0))</f>
        <v/>
      </c>
      <c r="F1189" s="21" t="str">
        <f t="shared" si="90"/>
        <v/>
      </c>
      <c r="G1189" s="25" t="str">
        <f>IF(Receipts!$I1192="","",Receipts!$I1192)</f>
        <v/>
      </c>
      <c r="H1189" s="25" t="str">
        <f>IF(Receipts!$H1192="","",Receipts!$H1192)</f>
        <v/>
      </c>
      <c r="I1189" s="26" t="str">
        <f t="shared" ca="1" si="91"/>
        <v/>
      </c>
      <c r="J1189" s="26" t="str">
        <f>IF($A1189="","",COUNTIFS(tblReceipts[Item Name],$A1189,tblReceipts[Expiry Date],"&lt;"&amp;$H1189)+COUNTIFS(tblReceipts[Item Name],$A1189,tblReceipts[Expiry Date],$H1189,tblReceipts[Lot Number],"&lt;="&amp;Receipts!$C1192))</f>
        <v/>
      </c>
      <c r="K1189" s="26" t="str">
        <f>IF($A1189="","",SUMIFS(tblReceipts[Qty Received],tblReceipts[Item Name],$A1189,tblReceipts[Expiry Date],"&lt;"&amp;$H1189)+SUMIFS(tblReceipts[Qty Received],tblReceipts[Item Name],$A1189,tblReceipts[Expiry Date],$H1189,tblReceipts[Lot Number],"&lt;"&amp;Receipts!$C1192))</f>
        <v/>
      </c>
      <c r="L1189" s="26" t="str">
        <f>IF($A1189="","",MIN($D1189,MAX(0,SUMIFS(tblIssues[Qty Issued],tblIssues[Item Name],$A1189)-$K1189)))</f>
        <v/>
      </c>
      <c r="M1189" s="26" t="str">
        <f>IF($A1189="","",SUMIFS(tblIssues[Qty Issued],tblIssues[Lot Number],$B1189))</f>
        <v/>
      </c>
      <c r="N1189" s="26" t="str">
        <f t="shared" si="92"/>
        <v/>
      </c>
      <c r="O1189" s="26" t="str">
        <f t="shared" si="93"/>
        <v/>
      </c>
      <c r="P1189" s="21" t="str">
        <f t="shared" si="94"/>
        <v/>
      </c>
      <c r="Q1189" s="52" t="str">
        <f>IF($A1189="","",IF($O1189&lt;=0,"Depleted",IF($I1189&lt;0,"EXPIRED",IF($I1189&lt;=Settings!$C$6,"CRITICAL",IF($I1189&lt;=Settings!$C$5,"Expiring","In date")))))</f>
        <v/>
      </c>
    </row>
    <row r="1190" spans="1:17" x14ac:dyDescent="0.35">
      <c r="A1190" s="90" t="str">
        <f>IF(Receipts!$D1193="","",Receipts!$D1193)</f>
        <v/>
      </c>
      <c r="B1190" s="18" t="str">
        <f>IF(Receipts!$C1193="","",Receipts!$C1193)</f>
        <v/>
      </c>
      <c r="C1190" s="18" t="str">
        <f>IF($A1190="","",IFERROR(INDEX(Items!$B$5:$B$597,MATCH($A1190,Items!$A$5:$A$597,0)),""))</f>
        <v/>
      </c>
      <c r="D1190" s="23" t="str">
        <f>IF($A1190="","",N(Receipts!$G1193))</f>
        <v/>
      </c>
      <c r="E1190" s="20" t="str">
        <f>IF($A1190="","",IFERROR(INDEX(Items!$D$5:$D$597,MATCH($A1190,Items!$A$5:$A$597,0)),0))</f>
        <v/>
      </c>
      <c r="F1190" s="21" t="str">
        <f t="shared" si="90"/>
        <v/>
      </c>
      <c r="G1190" s="25" t="str">
        <f>IF(Receipts!$I1193="","",Receipts!$I1193)</f>
        <v/>
      </c>
      <c r="H1190" s="25" t="str">
        <f>IF(Receipts!$H1193="","",Receipts!$H1193)</f>
        <v/>
      </c>
      <c r="I1190" s="26" t="str">
        <f t="shared" ca="1" si="91"/>
        <v/>
      </c>
      <c r="J1190" s="26" t="str">
        <f>IF($A1190="","",COUNTIFS(tblReceipts[Item Name],$A1190,tblReceipts[Expiry Date],"&lt;"&amp;$H1190)+COUNTIFS(tblReceipts[Item Name],$A1190,tblReceipts[Expiry Date],$H1190,tblReceipts[Lot Number],"&lt;="&amp;Receipts!$C1193))</f>
        <v/>
      </c>
      <c r="K1190" s="26" t="str">
        <f>IF($A1190="","",SUMIFS(tblReceipts[Qty Received],tblReceipts[Item Name],$A1190,tblReceipts[Expiry Date],"&lt;"&amp;$H1190)+SUMIFS(tblReceipts[Qty Received],tblReceipts[Item Name],$A1190,tblReceipts[Expiry Date],$H1190,tblReceipts[Lot Number],"&lt;"&amp;Receipts!$C1193))</f>
        <v/>
      </c>
      <c r="L1190" s="26" t="str">
        <f>IF($A1190="","",MIN($D1190,MAX(0,SUMIFS(tblIssues[Qty Issued],tblIssues[Item Name],$A1190)-$K1190)))</f>
        <v/>
      </c>
      <c r="M1190" s="26" t="str">
        <f>IF($A1190="","",SUMIFS(tblIssues[Qty Issued],tblIssues[Lot Number],$B1190))</f>
        <v/>
      </c>
      <c r="N1190" s="26" t="str">
        <f t="shared" si="92"/>
        <v/>
      </c>
      <c r="O1190" s="26" t="str">
        <f t="shared" si="93"/>
        <v/>
      </c>
      <c r="P1190" s="21" t="str">
        <f t="shared" si="94"/>
        <v/>
      </c>
      <c r="Q1190" s="52" t="str">
        <f>IF($A1190="","",IF($O1190&lt;=0,"Depleted",IF($I1190&lt;0,"EXPIRED",IF($I1190&lt;=Settings!$C$6,"CRITICAL",IF($I1190&lt;=Settings!$C$5,"Expiring","In date")))))</f>
        <v/>
      </c>
    </row>
    <row r="1191" spans="1:17" x14ac:dyDescent="0.35">
      <c r="A1191" s="90" t="str">
        <f>IF(Receipts!$D1194="","",Receipts!$D1194)</f>
        <v/>
      </c>
      <c r="B1191" s="18" t="str">
        <f>IF(Receipts!$C1194="","",Receipts!$C1194)</f>
        <v/>
      </c>
      <c r="C1191" s="18" t="str">
        <f>IF($A1191="","",IFERROR(INDEX(Items!$B$5:$B$597,MATCH($A1191,Items!$A$5:$A$597,0)),""))</f>
        <v/>
      </c>
      <c r="D1191" s="23" t="str">
        <f>IF($A1191="","",N(Receipts!$G1194))</f>
        <v/>
      </c>
      <c r="E1191" s="20" t="str">
        <f>IF($A1191="","",IFERROR(INDEX(Items!$D$5:$D$597,MATCH($A1191,Items!$A$5:$A$597,0)),0))</f>
        <v/>
      </c>
      <c r="F1191" s="21" t="str">
        <f t="shared" si="90"/>
        <v/>
      </c>
      <c r="G1191" s="25" t="str">
        <f>IF(Receipts!$I1194="","",Receipts!$I1194)</f>
        <v/>
      </c>
      <c r="H1191" s="25" t="str">
        <f>IF(Receipts!$H1194="","",Receipts!$H1194)</f>
        <v/>
      </c>
      <c r="I1191" s="26" t="str">
        <f t="shared" ca="1" si="91"/>
        <v/>
      </c>
      <c r="J1191" s="26" t="str">
        <f>IF($A1191="","",COUNTIFS(tblReceipts[Item Name],$A1191,tblReceipts[Expiry Date],"&lt;"&amp;$H1191)+COUNTIFS(tblReceipts[Item Name],$A1191,tblReceipts[Expiry Date],$H1191,tblReceipts[Lot Number],"&lt;="&amp;Receipts!$C1194))</f>
        <v/>
      </c>
      <c r="K1191" s="26" t="str">
        <f>IF($A1191="","",SUMIFS(tblReceipts[Qty Received],tblReceipts[Item Name],$A1191,tblReceipts[Expiry Date],"&lt;"&amp;$H1191)+SUMIFS(tblReceipts[Qty Received],tblReceipts[Item Name],$A1191,tblReceipts[Expiry Date],$H1191,tblReceipts[Lot Number],"&lt;"&amp;Receipts!$C1194))</f>
        <v/>
      </c>
      <c r="L1191" s="26" t="str">
        <f>IF($A1191="","",MIN($D1191,MAX(0,SUMIFS(tblIssues[Qty Issued],tblIssues[Item Name],$A1191)-$K1191)))</f>
        <v/>
      </c>
      <c r="M1191" s="26" t="str">
        <f>IF($A1191="","",SUMIFS(tblIssues[Qty Issued],tblIssues[Lot Number],$B1191))</f>
        <v/>
      </c>
      <c r="N1191" s="26" t="str">
        <f t="shared" si="92"/>
        <v/>
      </c>
      <c r="O1191" s="26" t="str">
        <f t="shared" si="93"/>
        <v/>
      </c>
      <c r="P1191" s="21" t="str">
        <f t="shared" si="94"/>
        <v/>
      </c>
      <c r="Q1191" s="52" t="str">
        <f>IF($A1191="","",IF($O1191&lt;=0,"Depleted",IF($I1191&lt;0,"EXPIRED",IF($I1191&lt;=Settings!$C$6,"CRITICAL",IF($I1191&lt;=Settings!$C$5,"Expiring","In date")))))</f>
        <v/>
      </c>
    </row>
    <row r="1192" spans="1:17" x14ac:dyDescent="0.35">
      <c r="A1192" s="90" t="str">
        <f>IF(Receipts!$D1195="","",Receipts!$D1195)</f>
        <v/>
      </c>
      <c r="B1192" s="18" t="str">
        <f>IF(Receipts!$C1195="","",Receipts!$C1195)</f>
        <v/>
      </c>
      <c r="C1192" s="18" t="str">
        <f>IF($A1192="","",IFERROR(INDEX(Items!$B$5:$B$597,MATCH($A1192,Items!$A$5:$A$597,0)),""))</f>
        <v/>
      </c>
      <c r="D1192" s="23" t="str">
        <f>IF($A1192="","",N(Receipts!$G1195))</f>
        <v/>
      </c>
      <c r="E1192" s="20" t="str">
        <f>IF($A1192="","",IFERROR(INDEX(Items!$D$5:$D$597,MATCH($A1192,Items!$A$5:$A$597,0)),0))</f>
        <v/>
      </c>
      <c r="F1192" s="21" t="str">
        <f t="shared" si="90"/>
        <v/>
      </c>
      <c r="G1192" s="25" t="str">
        <f>IF(Receipts!$I1195="","",Receipts!$I1195)</f>
        <v/>
      </c>
      <c r="H1192" s="25" t="str">
        <f>IF(Receipts!$H1195="","",Receipts!$H1195)</f>
        <v/>
      </c>
      <c r="I1192" s="26" t="str">
        <f t="shared" ca="1" si="91"/>
        <v/>
      </c>
      <c r="J1192" s="26" t="str">
        <f>IF($A1192="","",COUNTIFS(tblReceipts[Item Name],$A1192,tblReceipts[Expiry Date],"&lt;"&amp;$H1192)+COUNTIFS(tblReceipts[Item Name],$A1192,tblReceipts[Expiry Date],$H1192,tblReceipts[Lot Number],"&lt;="&amp;Receipts!$C1195))</f>
        <v/>
      </c>
      <c r="K1192" s="26" t="str">
        <f>IF($A1192="","",SUMIFS(tblReceipts[Qty Received],tblReceipts[Item Name],$A1192,tblReceipts[Expiry Date],"&lt;"&amp;$H1192)+SUMIFS(tblReceipts[Qty Received],tblReceipts[Item Name],$A1192,tblReceipts[Expiry Date],$H1192,tblReceipts[Lot Number],"&lt;"&amp;Receipts!$C1195))</f>
        <v/>
      </c>
      <c r="L1192" s="26" t="str">
        <f>IF($A1192="","",MIN($D1192,MAX(0,SUMIFS(tblIssues[Qty Issued],tblIssues[Item Name],$A1192)-$K1192)))</f>
        <v/>
      </c>
      <c r="M1192" s="26" t="str">
        <f>IF($A1192="","",SUMIFS(tblIssues[Qty Issued],tblIssues[Lot Number],$B1192))</f>
        <v/>
      </c>
      <c r="N1192" s="26" t="str">
        <f t="shared" si="92"/>
        <v/>
      </c>
      <c r="O1192" s="26" t="str">
        <f t="shared" si="93"/>
        <v/>
      </c>
      <c r="P1192" s="21" t="str">
        <f t="shared" si="94"/>
        <v/>
      </c>
      <c r="Q1192" s="52" t="str">
        <f>IF($A1192="","",IF($O1192&lt;=0,"Depleted",IF($I1192&lt;0,"EXPIRED",IF($I1192&lt;=Settings!$C$6,"CRITICAL",IF($I1192&lt;=Settings!$C$5,"Expiring","In date")))))</f>
        <v/>
      </c>
    </row>
    <row r="1193" spans="1:17" x14ac:dyDescent="0.35">
      <c r="A1193" s="90" t="str">
        <f>IF(Receipts!$D1196="","",Receipts!$D1196)</f>
        <v/>
      </c>
      <c r="B1193" s="18" t="str">
        <f>IF(Receipts!$C1196="","",Receipts!$C1196)</f>
        <v/>
      </c>
      <c r="C1193" s="18" t="str">
        <f>IF($A1193="","",IFERROR(INDEX(Items!$B$5:$B$597,MATCH($A1193,Items!$A$5:$A$597,0)),""))</f>
        <v/>
      </c>
      <c r="D1193" s="23" t="str">
        <f>IF($A1193="","",N(Receipts!$G1196))</f>
        <v/>
      </c>
      <c r="E1193" s="20" t="str">
        <f>IF($A1193="","",IFERROR(INDEX(Items!$D$5:$D$597,MATCH($A1193,Items!$A$5:$A$597,0)),0))</f>
        <v/>
      </c>
      <c r="F1193" s="21" t="str">
        <f t="shared" si="90"/>
        <v/>
      </c>
      <c r="G1193" s="25" t="str">
        <f>IF(Receipts!$I1196="","",Receipts!$I1196)</f>
        <v/>
      </c>
      <c r="H1193" s="25" t="str">
        <f>IF(Receipts!$H1196="","",Receipts!$H1196)</f>
        <v/>
      </c>
      <c r="I1193" s="26" t="str">
        <f t="shared" ca="1" si="91"/>
        <v/>
      </c>
      <c r="J1193" s="26" t="str">
        <f>IF($A1193="","",COUNTIFS(tblReceipts[Item Name],$A1193,tblReceipts[Expiry Date],"&lt;"&amp;$H1193)+COUNTIFS(tblReceipts[Item Name],$A1193,tblReceipts[Expiry Date],$H1193,tblReceipts[Lot Number],"&lt;="&amp;Receipts!$C1196))</f>
        <v/>
      </c>
      <c r="K1193" s="26" t="str">
        <f>IF($A1193="","",SUMIFS(tblReceipts[Qty Received],tblReceipts[Item Name],$A1193,tblReceipts[Expiry Date],"&lt;"&amp;$H1193)+SUMIFS(tblReceipts[Qty Received],tblReceipts[Item Name],$A1193,tblReceipts[Expiry Date],$H1193,tblReceipts[Lot Number],"&lt;"&amp;Receipts!$C1196))</f>
        <v/>
      </c>
      <c r="L1193" s="26" t="str">
        <f>IF($A1193="","",MIN($D1193,MAX(0,SUMIFS(tblIssues[Qty Issued],tblIssues[Item Name],$A1193)-$K1193)))</f>
        <v/>
      </c>
      <c r="M1193" s="26" t="str">
        <f>IF($A1193="","",SUMIFS(tblIssues[Qty Issued],tblIssues[Lot Number],$B1193))</f>
        <v/>
      </c>
      <c r="N1193" s="26" t="str">
        <f t="shared" si="92"/>
        <v/>
      </c>
      <c r="O1193" s="26" t="str">
        <f t="shared" si="93"/>
        <v/>
      </c>
      <c r="P1193" s="21" t="str">
        <f t="shared" si="94"/>
        <v/>
      </c>
      <c r="Q1193" s="52" t="str">
        <f>IF($A1193="","",IF($O1193&lt;=0,"Depleted",IF($I1193&lt;0,"EXPIRED",IF($I1193&lt;=Settings!$C$6,"CRITICAL",IF($I1193&lt;=Settings!$C$5,"Expiring","In date")))))</f>
        <v/>
      </c>
    </row>
    <row r="1194" spans="1:17" x14ac:dyDescent="0.35">
      <c r="A1194" s="90" t="str">
        <f>IF(Receipts!$D1197="","",Receipts!$D1197)</f>
        <v/>
      </c>
      <c r="B1194" s="18" t="str">
        <f>IF(Receipts!$C1197="","",Receipts!$C1197)</f>
        <v/>
      </c>
      <c r="C1194" s="18" t="str">
        <f>IF($A1194="","",IFERROR(INDEX(Items!$B$5:$B$597,MATCH($A1194,Items!$A$5:$A$597,0)),""))</f>
        <v/>
      </c>
      <c r="D1194" s="23" t="str">
        <f>IF($A1194="","",N(Receipts!$G1197))</f>
        <v/>
      </c>
      <c r="E1194" s="20" t="str">
        <f>IF($A1194="","",IFERROR(INDEX(Items!$D$5:$D$597,MATCH($A1194,Items!$A$5:$A$597,0)),0))</f>
        <v/>
      </c>
      <c r="F1194" s="21" t="str">
        <f t="shared" si="90"/>
        <v/>
      </c>
      <c r="G1194" s="25" t="str">
        <f>IF(Receipts!$I1197="","",Receipts!$I1197)</f>
        <v/>
      </c>
      <c r="H1194" s="25" t="str">
        <f>IF(Receipts!$H1197="","",Receipts!$H1197)</f>
        <v/>
      </c>
      <c r="I1194" s="26" t="str">
        <f t="shared" ca="1" si="91"/>
        <v/>
      </c>
      <c r="J1194" s="26" t="str">
        <f>IF($A1194="","",COUNTIFS(tblReceipts[Item Name],$A1194,tblReceipts[Expiry Date],"&lt;"&amp;$H1194)+COUNTIFS(tblReceipts[Item Name],$A1194,tblReceipts[Expiry Date],$H1194,tblReceipts[Lot Number],"&lt;="&amp;Receipts!$C1197))</f>
        <v/>
      </c>
      <c r="K1194" s="26" t="str">
        <f>IF($A1194="","",SUMIFS(tblReceipts[Qty Received],tblReceipts[Item Name],$A1194,tblReceipts[Expiry Date],"&lt;"&amp;$H1194)+SUMIFS(tblReceipts[Qty Received],tblReceipts[Item Name],$A1194,tblReceipts[Expiry Date],$H1194,tblReceipts[Lot Number],"&lt;"&amp;Receipts!$C1197))</f>
        <v/>
      </c>
      <c r="L1194" s="26" t="str">
        <f>IF($A1194="","",MIN($D1194,MAX(0,SUMIFS(tblIssues[Qty Issued],tblIssues[Item Name],$A1194)-$K1194)))</f>
        <v/>
      </c>
      <c r="M1194" s="26" t="str">
        <f>IF($A1194="","",SUMIFS(tblIssues[Qty Issued],tblIssues[Lot Number],$B1194))</f>
        <v/>
      </c>
      <c r="N1194" s="26" t="str">
        <f t="shared" si="92"/>
        <v/>
      </c>
      <c r="O1194" s="26" t="str">
        <f t="shared" si="93"/>
        <v/>
      </c>
      <c r="P1194" s="21" t="str">
        <f t="shared" si="94"/>
        <v/>
      </c>
      <c r="Q1194" s="52" t="str">
        <f>IF($A1194="","",IF($O1194&lt;=0,"Depleted",IF($I1194&lt;0,"EXPIRED",IF($I1194&lt;=Settings!$C$6,"CRITICAL",IF($I1194&lt;=Settings!$C$5,"Expiring","In date")))))</f>
        <v/>
      </c>
    </row>
    <row r="1195" spans="1:17" x14ac:dyDescent="0.35">
      <c r="A1195" s="90" t="str">
        <f>IF(Receipts!$D1198="","",Receipts!$D1198)</f>
        <v/>
      </c>
      <c r="B1195" s="18" t="str">
        <f>IF(Receipts!$C1198="","",Receipts!$C1198)</f>
        <v/>
      </c>
      <c r="C1195" s="18" t="str">
        <f>IF($A1195="","",IFERROR(INDEX(Items!$B$5:$B$597,MATCH($A1195,Items!$A$5:$A$597,0)),""))</f>
        <v/>
      </c>
      <c r="D1195" s="23" t="str">
        <f>IF($A1195="","",N(Receipts!$G1198))</f>
        <v/>
      </c>
      <c r="E1195" s="20" t="str">
        <f>IF($A1195="","",IFERROR(INDEX(Items!$D$5:$D$597,MATCH($A1195,Items!$A$5:$A$597,0)),0))</f>
        <v/>
      </c>
      <c r="F1195" s="21" t="str">
        <f t="shared" si="90"/>
        <v/>
      </c>
      <c r="G1195" s="25" t="str">
        <f>IF(Receipts!$I1198="","",Receipts!$I1198)</f>
        <v/>
      </c>
      <c r="H1195" s="25" t="str">
        <f>IF(Receipts!$H1198="","",Receipts!$H1198)</f>
        <v/>
      </c>
      <c r="I1195" s="26" t="str">
        <f t="shared" ca="1" si="91"/>
        <v/>
      </c>
      <c r="J1195" s="26" t="str">
        <f>IF($A1195="","",COUNTIFS(tblReceipts[Item Name],$A1195,tblReceipts[Expiry Date],"&lt;"&amp;$H1195)+COUNTIFS(tblReceipts[Item Name],$A1195,tblReceipts[Expiry Date],$H1195,tblReceipts[Lot Number],"&lt;="&amp;Receipts!$C1198))</f>
        <v/>
      </c>
      <c r="K1195" s="26" t="str">
        <f>IF($A1195="","",SUMIFS(tblReceipts[Qty Received],tblReceipts[Item Name],$A1195,tblReceipts[Expiry Date],"&lt;"&amp;$H1195)+SUMIFS(tblReceipts[Qty Received],tblReceipts[Item Name],$A1195,tblReceipts[Expiry Date],$H1195,tblReceipts[Lot Number],"&lt;"&amp;Receipts!$C1198))</f>
        <v/>
      </c>
      <c r="L1195" s="26" t="str">
        <f>IF($A1195="","",MIN($D1195,MAX(0,SUMIFS(tblIssues[Qty Issued],tblIssues[Item Name],$A1195)-$K1195)))</f>
        <v/>
      </c>
      <c r="M1195" s="26" t="str">
        <f>IF($A1195="","",SUMIFS(tblIssues[Qty Issued],tblIssues[Lot Number],$B1195))</f>
        <v/>
      </c>
      <c r="N1195" s="26" t="str">
        <f t="shared" si="92"/>
        <v/>
      </c>
      <c r="O1195" s="26" t="str">
        <f t="shared" si="93"/>
        <v/>
      </c>
      <c r="P1195" s="21" t="str">
        <f t="shared" si="94"/>
        <v/>
      </c>
      <c r="Q1195" s="52" t="str">
        <f>IF($A1195="","",IF($O1195&lt;=0,"Depleted",IF($I1195&lt;0,"EXPIRED",IF($I1195&lt;=Settings!$C$6,"CRITICAL",IF($I1195&lt;=Settings!$C$5,"Expiring","In date")))))</f>
        <v/>
      </c>
    </row>
    <row r="1196" spans="1:17" x14ac:dyDescent="0.35">
      <c r="A1196" s="90" t="str">
        <f>IF(Receipts!$D1199="","",Receipts!$D1199)</f>
        <v/>
      </c>
      <c r="B1196" s="18" t="str">
        <f>IF(Receipts!$C1199="","",Receipts!$C1199)</f>
        <v/>
      </c>
      <c r="C1196" s="18" t="str">
        <f>IF($A1196="","",IFERROR(INDEX(Items!$B$5:$B$597,MATCH($A1196,Items!$A$5:$A$597,0)),""))</f>
        <v/>
      </c>
      <c r="D1196" s="23" t="str">
        <f>IF($A1196="","",N(Receipts!$G1199))</f>
        <v/>
      </c>
      <c r="E1196" s="20" t="str">
        <f>IF($A1196="","",IFERROR(INDEX(Items!$D$5:$D$597,MATCH($A1196,Items!$A$5:$A$597,0)),0))</f>
        <v/>
      </c>
      <c r="F1196" s="21" t="str">
        <f t="shared" si="90"/>
        <v/>
      </c>
      <c r="G1196" s="25" t="str">
        <f>IF(Receipts!$I1199="","",Receipts!$I1199)</f>
        <v/>
      </c>
      <c r="H1196" s="25" t="str">
        <f>IF(Receipts!$H1199="","",Receipts!$H1199)</f>
        <v/>
      </c>
      <c r="I1196" s="26" t="str">
        <f t="shared" ca="1" si="91"/>
        <v/>
      </c>
      <c r="J1196" s="26" t="str">
        <f>IF($A1196="","",COUNTIFS(tblReceipts[Item Name],$A1196,tblReceipts[Expiry Date],"&lt;"&amp;$H1196)+COUNTIFS(tblReceipts[Item Name],$A1196,tblReceipts[Expiry Date],$H1196,tblReceipts[Lot Number],"&lt;="&amp;Receipts!$C1199))</f>
        <v/>
      </c>
      <c r="K1196" s="26" t="str">
        <f>IF($A1196="","",SUMIFS(tblReceipts[Qty Received],tblReceipts[Item Name],$A1196,tblReceipts[Expiry Date],"&lt;"&amp;$H1196)+SUMIFS(tblReceipts[Qty Received],tblReceipts[Item Name],$A1196,tblReceipts[Expiry Date],$H1196,tblReceipts[Lot Number],"&lt;"&amp;Receipts!$C1199))</f>
        <v/>
      </c>
      <c r="L1196" s="26" t="str">
        <f>IF($A1196="","",MIN($D1196,MAX(0,SUMIFS(tblIssues[Qty Issued],tblIssues[Item Name],$A1196)-$K1196)))</f>
        <v/>
      </c>
      <c r="M1196" s="26" t="str">
        <f>IF($A1196="","",SUMIFS(tblIssues[Qty Issued],tblIssues[Lot Number],$B1196))</f>
        <v/>
      </c>
      <c r="N1196" s="26" t="str">
        <f t="shared" si="92"/>
        <v/>
      </c>
      <c r="O1196" s="26" t="str">
        <f t="shared" si="93"/>
        <v/>
      </c>
      <c r="P1196" s="21" t="str">
        <f t="shared" si="94"/>
        <v/>
      </c>
      <c r="Q1196" s="52" t="str">
        <f>IF($A1196="","",IF($O1196&lt;=0,"Depleted",IF($I1196&lt;0,"EXPIRED",IF($I1196&lt;=Settings!$C$6,"CRITICAL",IF($I1196&lt;=Settings!$C$5,"Expiring","In date")))))</f>
        <v/>
      </c>
    </row>
    <row r="1197" spans="1:17" x14ac:dyDescent="0.35">
      <c r="A1197" s="90" t="str">
        <f>IF(Receipts!$D1200="","",Receipts!$D1200)</f>
        <v/>
      </c>
      <c r="B1197" s="18" t="str">
        <f>IF(Receipts!$C1200="","",Receipts!$C1200)</f>
        <v/>
      </c>
      <c r="C1197" s="18" t="str">
        <f>IF($A1197="","",IFERROR(INDEX(Items!$B$5:$B$597,MATCH($A1197,Items!$A$5:$A$597,0)),""))</f>
        <v/>
      </c>
      <c r="D1197" s="23" t="str">
        <f>IF($A1197="","",N(Receipts!$G1200))</f>
        <v/>
      </c>
      <c r="E1197" s="20" t="str">
        <f>IF($A1197="","",IFERROR(INDEX(Items!$D$5:$D$597,MATCH($A1197,Items!$A$5:$A$597,0)),0))</f>
        <v/>
      </c>
      <c r="F1197" s="21" t="str">
        <f t="shared" si="90"/>
        <v/>
      </c>
      <c r="G1197" s="25" t="str">
        <f>IF(Receipts!$I1200="","",Receipts!$I1200)</f>
        <v/>
      </c>
      <c r="H1197" s="25" t="str">
        <f>IF(Receipts!$H1200="","",Receipts!$H1200)</f>
        <v/>
      </c>
      <c r="I1197" s="26" t="str">
        <f t="shared" ca="1" si="91"/>
        <v/>
      </c>
      <c r="J1197" s="26" t="str">
        <f>IF($A1197="","",COUNTIFS(tblReceipts[Item Name],$A1197,tblReceipts[Expiry Date],"&lt;"&amp;$H1197)+COUNTIFS(tblReceipts[Item Name],$A1197,tblReceipts[Expiry Date],$H1197,tblReceipts[Lot Number],"&lt;="&amp;Receipts!$C1200))</f>
        <v/>
      </c>
      <c r="K1197" s="26" t="str">
        <f>IF($A1197="","",SUMIFS(tblReceipts[Qty Received],tblReceipts[Item Name],$A1197,tblReceipts[Expiry Date],"&lt;"&amp;$H1197)+SUMIFS(tblReceipts[Qty Received],tblReceipts[Item Name],$A1197,tblReceipts[Expiry Date],$H1197,tblReceipts[Lot Number],"&lt;"&amp;Receipts!$C1200))</f>
        <v/>
      </c>
      <c r="L1197" s="26" t="str">
        <f>IF($A1197="","",MIN($D1197,MAX(0,SUMIFS(tblIssues[Qty Issued],tblIssues[Item Name],$A1197)-$K1197)))</f>
        <v/>
      </c>
      <c r="M1197" s="26" t="str">
        <f>IF($A1197="","",SUMIFS(tblIssues[Qty Issued],tblIssues[Lot Number],$B1197))</f>
        <v/>
      </c>
      <c r="N1197" s="26" t="str">
        <f t="shared" si="92"/>
        <v/>
      </c>
      <c r="O1197" s="26" t="str">
        <f t="shared" si="93"/>
        <v/>
      </c>
      <c r="P1197" s="21" t="str">
        <f t="shared" si="94"/>
        <v/>
      </c>
      <c r="Q1197" s="52" t="str">
        <f>IF($A1197="","",IF($O1197&lt;=0,"Depleted",IF($I1197&lt;0,"EXPIRED",IF($I1197&lt;=Settings!$C$6,"CRITICAL",IF($I1197&lt;=Settings!$C$5,"Expiring","In date")))))</f>
        <v/>
      </c>
    </row>
    <row r="1198" spans="1:17" x14ac:dyDescent="0.35">
      <c r="A1198" s="90" t="str">
        <f>IF(Receipts!$D1201="","",Receipts!$D1201)</f>
        <v/>
      </c>
      <c r="B1198" s="18" t="str">
        <f>IF(Receipts!$C1201="","",Receipts!$C1201)</f>
        <v/>
      </c>
      <c r="C1198" s="18" t="str">
        <f>IF($A1198="","",IFERROR(INDEX(Items!$B$5:$B$597,MATCH($A1198,Items!$A$5:$A$597,0)),""))</f>
        <v/>
      </c>
      <c r="D1198" s="23" t="str">
        <f>IF($A1198="","",N(Receipts!$G1201))</f>
        <v/>
      </c>
      <c r="E1198" s="20" t="str">
        <f>IF($A1198="","",IFERROR(INDEX(Items!$D$5:$D$597,MATCH($A1198,Items!$A$5:$A$597,0)),0))</f>
        <v/>
      </c>
      <c r="F1198" s="21" t="str">
        <f t="shared" si="90"/>
        <v/>
      </c>
      <c r="G1198" s="25" t="str">
        <f>IF(Receipts!$I1201="","",Receipts!$I1201)</f>
        <v/>
      </c>
      <c r="H1198" s="25" t="str">
        <f>IF(Receipts!$H1201="","",Receipts!$H1201)</f>
        <v/>
      </c>
      <c r="I1198" s="26" t="str">
        <f t="shared" ca="1" si="91"/>
        <v/>
      </c>
      <c r="J1198" s="26" t="str">
        <f>IF($A1198="","",COUNTIFS(tblReceipts[Item Name],$A1198,tblReceipts[Expiry Date],"&lt;"&amp;$H1198)+COUNTIFS(tblReceipts[Item Name],$A1198,tblReceipts[Expiry Date],$H1198,tblReceipts[Lot Number],"&lt;="&amp;Receipts!$C1201))</f>
        <v/>
      </c>
      <c r="K1198" s="26" t="str">
        <f>IF($A1198="","",SUMIFS(tblReceipts[Qty Received],tblReceipts[Item Name],$A1198,tblReceipts[Expiry Date],"&lt;"&amp;$H1198)+SUMIFS(tblReceipts[Qty Received],tblReceipts[Item Name],$A1198,tblReceipts[Expiry Date],$H1198,tblReceipts[Lot Number],"&lt;"&amp;Receipts!$C1201))</f>
        <v/>
      </c>
      <c r="L1198" s="26" t="str">
        <f>IF($A1198="","",MIN($D1198,MAX(0,SUMIFS(tblIssues[Qty Issued],tblIssues[Item Name],$A1198)-$K1198)))</f>
        <v/>
      </c>
      <c r="M1198" s="26" t="str">
        <f>IF($A1198="","",SUMIFS(tblIssues[Qty Issued],tblIssues[Lot Number],$B1198))</f>
        <v/>
      </c>
      <c r="N1198" s="26" t="str">
        <f t="shared" si="92"/>
        <v/>
      </c>
      <c r="O1198" s="26" t="str">
        <f t="shared" si="93"/>
        <v/>
      </c>
      <c r="P1198" s="21" t="str">
        <f t="shared" si="94"/>
        <v/>
      </c>
      <c r="Q1198" s="52" t="str">
        <f>IF($A1198="","",IF($O1198&lt;=0,"Depleted",IF($I1198&lt;0,"EXPIRED",IF($I1198&lt;=Settings!$C$6,"CRITICAL",IF($I1198&lt;=Settings!$C$5,"Expiring","In date")))))</f>
        <v/>
      </c>
    </row>
    <row r="1199" spans="1:17" x14ac:dyDescent="0.35">
      <c r="A1199" s="90" t="str">
        <f>IF(Receipts!$D1202="","",Receipts!$D1202)</f>
        <v/>
      </c>
      <c r="B1199" s="18" t="str">
        <f>IF(Receipts!$C1202="","",Receipts!$C1202)</f>
        <v/>
      </c>
      <c r="C1199" s="18" t="str">
        <f>IF($A1199="","",IFERROR(INDEX(Items!$B$5:$B$597,MATCH($A1199,Items!$A$5:$A$597,0)),""))</f>
        <v/>
      </c>
      <c r="D1199" s="23" t="str">
        <f>IF($A1199="","",N(Receipts!$G1202))</f>
        <v/>
      </c>
      <c r="E1199" s="20" t="str">
        <f>IF($A1199="","",IFERROR(INDEX(Items!$D$5:$D$597,MATCH($A1199,Items!$A$5:$A$597,0)),0))</f>
        <v/>
      </c>
      <c r="F1199" s="21" t="str">
        <f t="shared" si="90"/>
        <v/>
      </c>
      <c r="G1199" s="25" t="str">
        <f>IF(Receipts!$I1202="","",Receipts!$I1202)</f>
        <v/>
      </c>
      <c r="H1199" s="25" t="str">
        <f>IF(Receipts!$H1202="","",Receipts!$H1202)</f>
        <v/>
      </c>
      <c r="I1199" s="26" t="str">
        <f t="shared" ca="1" si="91"/>
        <v/>
      </c>
      <c r="J1199" s="26" t="str">
        <f>IF($A1199="","",COUNTIFS(tblReceipts[Item Name],$A1199,tblReceipts[Expiry Date],"&lt;"&amp;$H1199)+COUNTIFS(tblReceipts[Item Name],$A1199,tblReceipts[Expiry Date],$H1199,tblReceipts[Lot Number],"&lt;="&amp;Receipts!$C1202))</f>
        <v/>
      </c>
      <c r="K1199" s="26" t="str">
        <f>IF($A1199="","",SUMIFS(tblReceipts[Qty Received],tblReceipts[Item Name],$A1199,tblReceipts[Expiry Date],"&lt;"&amp;$H1199)+SUMIFS(tblReceipts[Qty Received],tblReceipts[Item Name],$A1199,tblReceipts[Expiry Date],$H1199,tblReceipts[Lot Number],"&lt;"&amp;Receipts!$C1202))</f>
        <v/>
      </c>
      <c r="L1199" s="26" t="str">
        <f>IF($A1199="","",MIN($D1199,MAX(0,SUMIFS(tblIssues[Qty Issued],tblIssues[Item Name],$A1199)-$K1199)))</f>
        <v/>
      </c>
      <c r="M1199" s="26" t="str">
        <f>IF($A1199="","",SUMIFS(tblIssues[Qty Issued],tblIssues[Lot Number],$B1199))</f>
        <v/>
      </c>
      <c r="N1199" s="26" t="str">
        <f t="shared" si="92"/>
        <v/>
      </c>
      <c r="O1199" s="26" t="str">
        <f t="shared" si="93"/>
        <v/>
      </c>
      <c r="P1199" s="21" t="str">
        <f t="shared" si="94"/>
        <v/>
      </c>
      <c r="Q1199" s="52" t="str">
        <f>IF($A1199="","",IF($O1199&lt;=0,"Depleted",IF($I1199&lt;0,"EXPIRED",IF($I1199&lt;=Settings!$C$6,"CRITICAL",IF($I1199&lt;=Settings!$C$5,"Expiring","In date")))))</f>
        <v/>
      </c>
    </row>
    <row r="1200" spans="1:17" x14ac:dyDescent="0.35">
      <c r="A1200" s="90" t="str">
        <f>IF(Receipts!$D1203="","",Receipts!$D1203)</f>
        <v/>
      </c>
      <c r="B1200" s="18" t="str">
        <f>IF(Receipts!$C1203="","",Receipts!$C1203)</f>
        <v/>
      </c>
      <c r="C1200" s="18" t="str">
        <f>IF($A1200="","",IFERROR(INDEX(Items!$B$5:$B$597,MATCH($A1200,Items!$A$5:$A$597,0)),""))</f>
        <v/>
      </c>
      <c r="D1200" s="23" t="str">
        <f>IF($A1200="","",N(Receipts!$G1203))</f>
        <v/>
      </c>
      <c r="E1200" s="20" t="str">
        <f>IF($A1200="","",IFERROR(INDEX(Items!$D$5:$D$597,MATCH($A1200,Items!$A$5:$A$597,0)),0))</f>
        <v/>
      </c>
      <c r="F1200" s="21" t="str">
        <f t="shared" si="90"/>
        <v/>
      </c>
      <c r="G1200" s="25" t="str">
        <f>IF(Receipts!$I1203="","",Receipts!$I1203)</f>
        <v/>
      </c>
      <c r="H1200" s="25" t="str">
        <f>IF(Receipts!$H1203="","",Receipts!$H1203)</f>
        <v/>
      </c>
      <c r="I1200" s="26" t="str">
        <f t="shared" ca="1" si="91"/>
        <v/>
      </c>
      <c r="J1200" s="26" t="str">
        <f>IF($A1200="","",COUNTIFS(tblReceipts[Item Name],$A1200,tblReceipts[Expiry Date],"&lt;"&amp;$H1200)+COUNTIFS(tblReceipts[Item Name],$A1200,tblReceipts[Expiry Date],$H1200,tblReceipts[Lot Number],"&lt;="&amp;Receipts!$C1203))</f>
        <v/>
      </c>
      <c r="K1200" s="26" t="str">
        <f>IF($A1200="","",SUMIFS(tblReceipts[Qty Received],tblReceipts[Item Name],$A1200,tblReceipts[Expiry Date],"&lt;"&amp;$H1200)+SUMIFS(tblReceipts[Qty Received],tblReceipts[Item Name],$A1200,tblReceipts[Expiry Date],$H1200,tblReceipts[Lot Number],"&lt;"&amp;Receipts!$C1203))</f>
        <v/>
      </c>
      <c r="L1200" s="26" t="str">
        <f>IF($A1200="","",MIN($D1200,MAX(0,SUMIFS(tblIssues[Qty Issued],tblIssues[Item Name],$A1200)-$K1200)))</f>
        <v/>
      </c>
      <c r="M1200" s="26" t="str">
        <f>IF($A1200="","",SUMIFS(tblIssues[Qty Issued],tblIssues[Lot Number],$B1200))</f>
        <v/>
      </c>
      <c r="N1200" s="26" t="str">
        <f t="shared" si="92"/>
        <v/>
      </c>
      <c r="O1200" s="26" t="str">
        <f t="shared" si="93"/>
        <v/>
      </c>
      <c r="P1200" s="21" t="str">
        <f t="shared" si="94"/>
        <v/>
      </c>
      <c r="Q1200" s="52" t="str">
        <f>IF($A1200="","",IF($O1200&lt;=0,"Depleted",IF($I1200&lt;0,"EXPIRED",IF($I1200&lt;=Settings!$C$6,"CRITICAL",IF($I1200&lt;=Settings!$C$5,"Expiring","In date")))))</f>
        <v/>
      </c>
    </row>
    <row r="1201" spans="1:17" x14ac:dyDescent="0.35">
      <c r="A1201" s="90" t="str">
        <f>IF(Receipts!$D1204="","",Receipts!$D1204)</f>
        <v/>
      </c>
      <c r="B1201" s="18" t="str">
        <f>IF(Receipts!$C1204="","",Receipts!$C1204)</f>
        <v/>
      </c>
      <c r="C1201" s="18" t="str">
        <f>IF($A1201="","",IFERROR(INDEX(Items!$B$5:$B$597,MATCH($A1201,Items!$A$5:$A$597,0)),""))</f>
        <v/>
      </c>
      <c r="D1201" s="23" t="str">
        <f>IF($A1201="","",N(Receipts!$G1204))</f>
        <v/>
      </c>
      <c r="E1201" s="20" t="str">
        <f>IF($A1201="","",IFERROR(INDEX(Items!$D$5:$D$597,MATCH($A1201,Items!$A$5:$A$597,0)),0))</f>
        <v/>
      </c>
      <c r="F1201" s="21" t="str">
        <f t="shared" si="90"/>
        <v/>
      </c>
      <c r="G1201" s="25" t="str">
        <f>IF(Receipts!$I1204="","",Receipts!$I1204)</f>
        <v/>
      </c>
      <c r="H1201" s="25" t="str">
        <f>IF(Receipts!$H1204="","",Receipts!$H1204)</f>
        <v/>
      </c>
      <c r="I1201" s="26" t="str">
        <f t="shared" ca="1" si="91"/>
        <v/>
      </c>
      <c r="J1201" s="26" t="str">
        <f>IF($A1201="","",COUNTIFS(tblReceipts[Item Name],$A1201,tblReceipts[Expiry Date],"&lt;"&amp;$H1201)+COUNTIFS(tblReceipts[Item Name],$A1201,tblReceipts[Expiry Date],$H1201,tblReceipts[Lot Number],"&lt;="&amp;Receipts!$C1204))</f>
        <v/>
      </c>
      <c r="K1201" s="26" t="str">
        <f>IF($A1201="","",SUMIFS(tblReceipts[Qty Received],tblReceipts[Item Name],$A1201,tblReceipts[Expiry Date],"&lt;"&amp;$H1201)+SUMIFS(tblReceipts[Qty Received],tblReceipts[Item Name],$A1201,tblReceipts[Expiry Date],$H1201,tblReceipts[Lot Number],"&lt;"&amp;Receipts!$C1204))</f>
        <v/>
      </c>
      <c r="L1201" s="26" t="str">
        <f>IF($A1201="","",MIN($D1201,MAX(0,SUMIFS(tblIssues[Qty Issued],tblIssues[Item Name],$A1201)-$K1201)))</f>
        <v/>
      </c>
      <c r="M1201" s="26" t="str">
        <f>IF($A1201="","",SUMIFS(tblIssues[Qty Issued],tblIssues[Lot Number],$B1201))</f>
        <v/>
      </c>
      <c r="N1201" s="26" t="str">
        <f t="shared" si="92"/>
        <v/>
      </c>
      <c r="O1201" s="26" t="str">
        <f t="shared" si="93"/>
        <v/>
      </c>
      <c r="P1201" s="21" t="str">
        <f t="shared" si="94"/>
        <v/>
      </c>
      <c r="Q1201" s="52" t="str">
        <f>IF($A1201="","",IF($O1201&lt;=0,"Depleted",IF($I1201&lt;0,"EXPIRED",IF($I1201&lt;=Settings!$C$6,"CRITICAL",IF($I1201&lt;=Settings!$C$5,"Expiring","In date")))))</f>
        <v/>
      </c>
    </row>
    <row r="1202" spans="1:17" x14ac:dyDescent="0.35">
      <c r="A1202" s="90" t="str">
        <f>IF(Receipts!$D1205="","",Receipts!$D1205)</f>
        <v/>
      </c>
      <c r="B1202" s="18" t="str">
        <f>IF(Receipts!$C1205="","",Receipts!$C1205)</f>
        <v/>
      </c>
      <c r="C1202" s="18" t="str">
        <f>IF($A1202="","",IFERROR(INDEX(Items!$B$5:$B$597,MATCH($A1202,Items!$A$5:$A$597,0)),""))</f>
        <v/>
      </c>
      <c r="D1202" s="23" t="str">
        <f>IF($A1202="","",N(Receipts!$G1205))</f>
        <v/>
      </c>
      <c r="E1202" s="20" t="str">
        <f>IF($A1202="","",IFERROR(INDEX(Items!$D$5:$D$597,MATCH($A1202,Items!$A$5:$A$597,0)),0))</f>
        <v/>
      </c>
      <c r="F1202" s="21" t="str">
        <f t="shared" si="90"/>
        <v/>
      </c>
      <c r="G1202" s="25" t="str">
        <f>IF(Receipts!$I1205="","",Receipts!$I1205)</f>
        <v/>
      </c>
      <c r="H1202" s="25" t="str">
        <f>IF(Receipts!$H1205="","",Receipts!$H1205)</f>
        <v/>
      </c>
      <c r="I1202" s="26" t="str">
        <f t="shared" ca="1" si="91"/>
        <v/>
      </c>
      <c r="J1202" s="26" t="str">
        <f>IF($A1202="","",COUNTIFS(tblReceipts[Item Name],$A1202,tblReceipts[Expiry Date],"&lt;"&amp;$H1202)+COUNTIFS(tblReceipts[Item Name],$A1202,tblReceipts[Expiry Date],$H1202,tblReceipts[Lot Number],"&lt;="&amp;Receipts!$C1205))</f>
        <v/>
      </c>
      <c r="K1202" s="26" t="str">
        <f>IF($A1202="","",SUMIFS(tblReceipts[Qty Received],tblReceipts[Item Name],$A1202,tblReceipts[Expiry Date],"&lt;"&amp;$H1202)+SUMIFS(tblReceipts[Qty Received],tblReceipts[Item Name],$A1202,tblReceipts[Expiry Date],$H1202,tblReceipts[Lot Number],"&lt;"&amp;Receipts!$C1205))</f>
        <v/>
      </c>
      <c r="L1202" s="26" t="str">
        <f>IF($A1202="","",MIN($D1202,MAX(0,SUMIFS(tblIssues[Qty Issued],tblIssues[Item Name],$A1202)-$K1202)))</f>
        <v/>
      </c>
      <c r="M1202" s="26" t="str">
        <f>IF($A1202="","",SUMIFS(tblIssues[Qty Issued],tblIssues[Lot Number],$B1202))</f>
        <v/>
      </c>
      <c r="N1202" s="26" t="str">
        <f t="shared" si="92"/>
        <v/>
      </c>
      <c r="O1202" s="26" t="str">
        <f t="shared" si="93"/>
        <v/>
      </c>
      <c r="P1202" s="21" t="str">
        <f t="shared" si="94"/>
        <v/>
      </c>
      <c r="Q1202" s="52" t="str">
        <f>IF($A1202="","",IF($O1202&lt;=0,"Depleted",IF($I1202&lt;0,"EXPIRED",IF($I1202&lt;=Settings!$C$6,"CRITICAL",IF($I1202&lt;=Settings!$C$5,"Expiring","In date")))))</f>
        <v/>
      </c>
    </row>
    <row r="1203" spans="1:17" x14ac:dyDescent="0.35">
      <c r="A1203" s="90" t="str">
        <f>IF(Receipts!$D1206="","",Receipts!$D1206)</f>
        <v/>
      </c>
      <c r="B1203" s="18" t="str">
        <f>IF(Receipts!$C1206="","",Receipts!$C1206)</f>
        <v/>
      </c>
      <c r="C1203" s="18" t="str">
        <f>IF($A1203="","",IFERROR(INDEX(Items!$B$5:$B$597,MATCH($A1203,Items!$A$5:$A$597,0)),""))</f>
        <v/>
      </c>
      <c r="D1203" s="23" t="str">
        <f>IF($A1203="","",N(Receipts!$G1206))</f>
        <v/>
      </c>
      <c r="E1203" s="20" t="str">
        <f>IF($A1203="","",IFERROR(INDEX(Items!$D$5:$D$597,MATCH($A1203,Items!$A$5:$A$597,0)),0))</f>
        <v/>
      </c>
      <c r="F1203" s="21" t="str">
        <f t="shared" si="90"/>
        <v/>
      </c>
      <c r="G1203" s="25" t="str">
        <f>IF(Receipts!$I1206="","",Receipts!$I1206)</f>
        <v/>
      </c>
      <c r="H1203" s="25" t="str">
        <f>IF(Receipts!$H1206="","",Receipts!$H1206)</f>
        <v/>
      </c>
      <c r="I1203" s="26" t="str">
        <f t="shared" ca="1" si="91"/>
        <v/>
      </c>
      <c r="J1203" s="26" t="str">
        <f>IF($A1203="","",COUNTIFS(tblReceipts[Item Name],$A1203,tblReceipts[Expiry Date],"&lt;"&amp;$H1203)+COUNTIFS(tblReceipts[Item Name],$A1203,tblReceipts[Expiry Date],$H1203,tblReceipts[Lot Number],"&lt;="&amp;Receipts!$C1206))</f>
        <v/>
      </c>
      <c r="K1203" s="26" t="str">
        <f>IF($A1203="","",SUMIFS(tblReceipts[Qty Received],tblReceipts[Item Name],$A1203,tblReceipts[Expiry Date],"&lt;"&amp;$H1203)+SUMIFS(tblReceipts[Qty Received],tblReceipts[Item Name],$A1203,tblReceipts[Expiry Date],$H1203,tblReceipts[Lot Number],"&lt;"&amp;Receipts!$C1206))</f>
        <v/>
      </c>
      <c r="L1203" s="26" t="str">
        <f>IF($A1203="","",MIN($D1203,MAX(0,SUMIFS(tblIssues[Qty Issued],tblIssues[Item Name],$A1203)-$K1203)))</f>
        <v/>
      </c>
      <c r="M1203" s="26" t="str">
        <f>IF($A1203="","",SUMIFS(tblIssues[Qty Issued],tblIssues[Lot Number],$B1203))</f>
        <v/>
      </c>
      <c r="N1203" s="26" t="str">
        <f t="shared" si="92"/>
        <v/>
      </c>
      <c r="O1203" s="26" t="str">
        <f t="shared" si="93"/>
        <v/>
      </c>
      <c r="P1203" s="21" t="str">
        <f t="shared" si="94"/>
        <v/>
      </c>
      <c r="Q1203" s="52" t="str">
        <f>IF($A1203="","",IF($O1203&lt;=0,"Depleted",IF($I1203&lt;0,"EXPIRED",IF($I1203&lt;=Settings!$C$6,"CRITICAL",IF($I1203&lt;=Settings!$C$5,"Expiring","In date")))))</f>
        <v/>
      </c>
    </row>
    <row r="1204" spans="1:17" x14ac:dyDescent="0.35">
      <c r="A1204" s="90" t="str">
        <f>IF(Receipts!$D1207="","",Receipts!$D1207)</f>
        <v/>
      </c>
      <c r="B1204" s="18" t="str">
        <f>IF(Receipts!$C1207="","",Receipts!$C1207)</f>
        <v/>
      </c>
      <c r="C1204" s="18" t="str">
        <f>IF($A1204="","",IFERROR(INDEX(Items!$B$5:$B$597,MATCH($A1204,Items!$A$5:$A$597,0)),""))</f>
        <v/>
      </c>
      <c r="D1204" s="23" t="str">
        <f>IF($A1204="","",N(Receipts!$G1207))</f>
        <v/>
      </c>
      <c r="E1204" s="20" t="str">
        <f>IF($A1204="","",IFERROR(INDEX(Items!$D$5:$D$597,MATCH($A1204,Items!$A$5:$A$597,0)),0))</f>
        <v/>
      </c>
      <c r="F1204" s="21" t="str">
        <f t="shared" si="90"/>
        <v/>
      </c>
      <c r="G1204" s="25" t="str">
        <f>IF(Receipts!$I1207="","",Receipts!$I1207)</f>
        <v/>
      </c>
      <c r="H1204" s="25" t="str">
        <f>IF(Receipts!$H1207="","",Receipts!$H1207)</f>
        <v/>
      </c>
      <c r="I1204" s="26" t="str">
        <f t="shared" ca="1" si="91"/>
        <v/>
      </c>
      <c r="J1204" s="26" t="str">
        <f>IF($A1204="","",COUNTIFS(tblReceipts[Item Name],$A1204,tblReceipts[Expiry Date],"&lt;"&amp;$H1204)+COUNTIFS(tblReceipts[Item Name],$A1204,tblReceipts[Expiry Date],$H1204,tblReceipts[Lot Number],"&lt;="&amp;Receipts!$C1207))</f>
        <v/>
      </c>
      <c r="K1204" s="26" t="str">
        <f>IF($A1204="","",SUMIFS(tblReceipts[Qty Received],tblReceipts[Item Name],$A1204,tblReceipts[Expiry Date],"&lt;"&amp;$H1204)+SUMIFS(tblReceipts[Qty Received],tblReceipts[Item Name],$A1204,tblReceipts[Expiry Date],$H1204,tblReceipts[Lot Number],"&lt;"&amp;Receipts!$C1207))</f>
        <v/>
      </c>
      <c r="L1204" s="26" t="str">
        <f>IF($A1204="","",MIN($D1204,MAX(0,SUMIFS(tblIssues[Qty Issued],tblIssues[Item Name],$A1204)-$K1204)))</f>
        <v/>
      </c>
      <c r="M1204" s="26" t="str">
        <f>IF($A1204="","",SUMIFS(tblIssues[Qty Issued],tblIssues[Lot Number],$B1204))</f>
        <v/>
      </c>
      <c r="N1204" s="26" t="str">
        <f t="shared" si="92"/>
        <v/>
      </c>
      <c r="O1204" s="26" t="str">
        <f t="shared" si="93"/>
        <v/>
      </c>
      <c r="P1204" s="21" t="str">
        <f t="shared" si="94"/>
        <v/>
      </c>
      <c r="Q1204" s="52" t="str">
        <f>IF($A1204="","",IF($O1204&lt;=0,"Depleted",IF($I1204&lt;0,"EXPIRED",IF($I1204&lt;=Settings!$C$6,"CRITICAL",IF($I1204&lt;=Settings!$C$5,"Expiring","In date")))))</f>
        <v/>
      </c>
    </row>
    <row r="1205" spans="1:17" x14ac:dyDescent="0.35">
      <c r="A1205" s="90" t="str">
        <f>IF(Receipts!$D1208="","",Receipts!$D1208)</f>
        <v/>
      </c>
      <c r="B1205" s="18" t="str">
        <f>IF(Receipts!$C1208="","",Receipts!$C1208)</f>
        <v/>
      </c>
      <c r="C1205" s="18" t="str">
        <f>IF($A1205="","",IFERROR(INDEX(Items!$B$5:$B$597,MATCH($A1205,Items!$A$5:$A$597,0)),""))</f>
        <v/>
      </c>
      <c r="D1205" s="23" t="str">
        <f>IF($A1205="","",N(Receipts!$G1208))</f>
        <v/>
      </c>
      <c r="E1205" s="20" t="str">
        <f>IF($A1205="","",IFERROR(INDEX(Items!$D$5:$D$597,MATCH($A1205,Items!$A$5:$A$597,0)),0))</f>
        <v/>
      </c>
      <c r="F1205" s="21" t="str">
        <f t="shared" si="90"/>
        <v/>
      </c>
      <c r="G1205" s="25" t="str">
        <f>IF(Receipts!$I1208="","",Receipts!$I1208)</f>
        <v/>
      </c>
      <c r="H1205" s="25" t="str">
        <f>IF(Receipts!$H1208="","",Receipts!$H1208)</f>
        <v/>
      </c>
      <c r="I1205" s="26" t="str">
        <f t="shared" ca="1" si="91"/>
        <v/>
      </c>
      <c r="J1205" s="26" t="str">
        <f>IF($A1205="","",COUNTIFS(tblReceipts[Item Name],$A1205,tblReceipts[Expiry Date],"&lt;"&amp;$H1205)+COUNTIFS(tblReceipts[Item Name],$A1205,tblReceipts[Expiry Date],$H1205,tblReceipts[Lot Number],"&lt;="&amp;Receipts!$C1208))</f>
        <v/>
      </c>
      <c r="K1205" s="26" t="str">
        <f>IF($A1205="","",SUMIFS(tblReceipts[Qty Received],tblReceipts[Item Name],$A1205,tblReceipts[Expiry Date],"&lt;"&amp;$H1205)+SUMIFS(tblReceipts[Qty Received],tblReceipts[Item Name],$A1205,tblReceipts[Expiry Date],$H1205,tblReceipts[Lot Number],"&lt;"&amp;Receipts!$C1208))</f>
        <v/>
      </c>
      <c r="L1205" s="26" t="str">
        <f>IF($A1205="","",MIN($D1205,MAX(0,SUMIFS(tblIssues[Qty Issued],tblIssues[Item Name],$A1205)-$K1205)))</f>
        <v/>
      </c>
      <c r="M1205" s="26" t="str">
        <f>IF($A1205="","",SUMIFS(tblIssues[Qty Issued],tblIssues[Lot Number],$B1205))</f>
        <v/>
      </c>
      <c r="N1205" s="26" t="str">
        <f t="shared" si="92"/>
        <v/>
      </c>
      <c r="O1205" s="26" t="str">
        <f t="shared" si="93"/>
        <v/>
      </c>
      <c r="P1205" s="21" t="str">
        <f t="shared" si="94"/>
        <v/>
      </c>
      <c r="Q1205" s="52" t="str">
        <f>IF($A1205="","",IF($O1205&lt;=0,"Depleted",IF($I1205&lt;0,"EXPIRED",IF($I1205&lt;=Settings!$C$6,"CRITICAL",IF($I1205&lt;=Settings!$C$5,"Expiring","In date")))))</f>
        <v/>
      </c>
    </row>
    <row r="1206" spans="1:17" x14ac:dyDescent="0.35">
      <c r="A1206" s="90" t="str">
        <f>IF(Receipts!$D1209="","",Receipts!$D1209)</f>
        <v/>
      </c>
      <c r="B1206" s="18" t="str">
        <f>IF(Receipts!$C1209="","",Receipts!$C1209)</f>
        <v/>
      </c>
      <c r="C1206" s="18" t="str">
        <f>IF($A1206="","",IFERROR(INDEX(Items!$B$5:$B$597,MATCH($A1206,Items!$A$5:$A$597,0)),""))</f>
        <v/>
      </c>
      <c r="D1206" s="23" t="str">
        <f>IF($A1206="","",N(Receipts!$G1209))</f>
        <v/>
      </c>
      <c r="E1206" s="20" t="str">
        <f>IF($A1206="","",IFERROR(INDEX(Items!$D$5:$D$597,MATCH($A1206,Items!$A$5:$A$597,0)),0))</f>
        <v/>
      </c>
      <c r="F1206" s="21" t="str">
        <f t="shared" si="90"/>
        <v/>
      </c>
      <c r="G1206" s="25" t="str">
        <f>IF(Receipts!$I1209="","",Receipts!$I1209)</f>
        <v/>
      </c>
      <c r="H1206" s="25" t="str">
        <f>IF(Receipts!$H1209="","",Receipts!$H1209)</f>
        <v/>
      </c>
      <c r="I1206" s="26" t="str">
        <f t="shared" ca="1" si="91"/>
        <v/>
      </c>
      <c r="J1206" s="26" t="str">
        <f>IF($A1206="","",COUNTIFS(tblReceipts[Item Name],$A1206,tblReceipts[Expiry Date],"&lt;"&amp;$H1206)+COUNTIFS(tblReceipts[Item Name],$A1206,tblReceipts[Expiry Date],$H1206,tblReceipts[Lot Number],"&lt;="&amp;Receipts!$C1209))</f>
        <v/>
      </c>
      <c r="K1206" s="26" t="str">
        <f>IF($A1206="","",SUMIFS(tblReceipts[Qty Received],tblReceipts[Item Name],$A1206,tblReceipts[Expiry Date],"&lt;"&amp;$H1206)+SUMIFS(tblReceipts[Qty Received],tblReceipts[Item Name],$A1206,tblReceipts[Expiry Date],$H1206,tblReceipts[Lot Number],"&lt;"&amp;Receipts!$C1209))</f>
        <v/>
      </c>
      <c r="L1206" s="26" t="str">
        <f>IF($A1206="","",MIN($D1206,MAX(0,SUMIFS(tblIssues[Qty Issued],tblIssues[Item Name],$A1206)-$K1206)))</f>
        <v/>
      </c>
      <c r="M1206" s="26" t="str">
        <f>IF($A1206="","",SUMIFS(tblIssues[Qty Issued],tblIssues[Lot Number],$B1206))</f>
        <v/>
      </c>
      <c r="N1206" s="26" t="str">
        <f t="shared" si="92"/>
        <v/>
      </c>
      <c r="O1206" s="26" t="str">
        <f t="shared" si="93"/>
        <v/>
      </c>
      <c r="P1206" s="21" t="str">
        <f t="shared" si="94"/>
        <v/>
      </c>
      <c r="Q1206" s="52" t="str">
        <f>IF($A1206="","",IF($O1206&lt;=0,"Depleted",IF($I1206&lt;0,"EXPIRED",IF($I1206&lt;=Settings!$C$6,"CRITICAL",IF($I1206&lt;=Settings!$C$5,"Expiring","In date")))))</f>
        <v/>
      </c>
    </row>
    <row r="1207" spans="1:17" x14ac:dyDescent="0.35">
      <c r="A1207" s="90" t="str">
        <f>IF(Receipts!$D1210="","",Receipts!$D1210)</f>
        <v/>
      </c>
      <c r="B1207" s="18" t="str">
        <f>IF(Receipts!$C1210="","",Receipts!$C1210)</f>
        <v/>
      </c>
      <c r="C1207" s="18" t="str">
        <f>IF($A1207="","",IFERROR(INDEX(Items!$B$5:$B$597,MATCH($A1207,Items!$A$5:$A$597,0)),""))</f>
        <v/>
      </c>
      <c r="D1207" s="23" t="str">
        <f>IF($A1207="","",N(Receipts!$G1210))</f>
        <v/>
      </c>
      <c r="E1207" s="20" t="str">
        <f>IF($A1207="","",IFERROR(INDEX(Items!$D$5:$D$597,MATCH($A1207,Items!$A$5:$A$597,0)),0))</f>
        <v/>
      </c>
      <c r="F1207" s="21" t="str">
        <f t="shared" si="90"/>
        <v/>
      </c>
      <c r="G1207" s="25" t="str">
        <f>IF(Receipts!$I1210="","",Receipts!$I1210)</f>
        <v/>
      </c>
      <c r="H1207" s="25" t="str">
        <f>IF(Receipts!$H1210="","",Receipts!$H1210)</f>
        <v/>
      </c>
      <c r="I1207" s="26" t="str">
        <f t="shared" ca="1" si="91"/>
        <v/>
      </c>
      <c r="J1207" s="26" t="str">
        <f>IF($A1207="","",COUNTIFS(tblReceipts[Item Name],$A1207,tblReceipts[Expiry Date],"&lt;"&amp;$H1207)+COUNTIFS(tblReceipts[Item Name],$A1207,tblReceipts[Expiry Date],$H1207,tblReceipts[Lot Number],"&lt;="&amp;Receipts!$C1210))</f>
        <v/>
      </c>
      <c r="K1207" s="26" t="str">
        <f>IF($A1207="","",SUMIFS(tblReceipts[Qty Received],tblReceipts[Item Name],$A1207,tblReceipts[Expiry Date],"&lt;"&amp;$H1207)+SUMIFS(tblReceipts[Qty Received],tblReceipts[Item Name],$A1207,tblReceipts[Expiry Date],$H1207,tblReceipts[Lot Number],"&lt;"&amp;Receipts!$C1210))</f>
        <v/>
      </c>
      <c r="L1207" s="26" t="str">
        <f>IF($A1207="","",MIN($D1207,MAX(0,SUMIFS(tblIssues[Qty Issued],tblIssues[Item Name],$A1207)-$K1207)))</f>
        <v/>
      </c>
      <c r="M1207" s="26" t="str">
        <f>IF($A1207="","",SUMIFS(tblIssues[Qty Issued],tblIssues[Lot Number],$B1207))</f>
        <v/>
      </c>
      <c r="N1207" s="26" t="str">
        <f t="shared" si="92"/>
        <v/>
      </c>
      <c r="O1207" s="26" t="str">
        <f t="shared" si="93"/>
        <v/>
      </c>
      <c r="P1207" s="21" t="str">
        <f t="shared" si="94"/>
        <v/>
      </c>
      <c r="Q1207" s="52" t="str">
        <f>IF($A1207="","",IF($O1207&lt;=0,"Depleted",IF($I1207&lt;0,"EXPIRED",IF($I1207&lt;=Settings!$C$6,"CRITICAL",IF($I1207&lt;=Settings!$C$5,"Expiring","In date")))))</f>
        <v/>
      </c>
    </row>
    <row r="1208" spans="1:17" x14ac:dyDescent="0.35">
      <c r="A1208" s="90" t="str">
        <f>IF(Receipts!$D1211="","",Receipts!$D1211)</f>
        <v/>
      </c>
      <c r="B1208" s="18" t="str">
        <f>IF(Receipts!$C1211="","",Receipts!$C1211)</f>
        <v/>
      </c>
      <c r="C1208" s="18" t="str">
        <f>IF($A1208="","",IFERROR(INDEX(Items!$B$5:$B$597,MATCH($A1208,Items!$A$5:$A$597,0)),""))</f>
        <v/>
      </c>
      <c r="D1208" s="23" t="str">
        <f>IF($A1208="","",N(Receipts!$G1211))</f>
        <v/>
      </c>
      <c r="E1208" s="20" t="str">
        <f>IF($A1208="","",IFERROR(INDEX(Items!$D$5:$D$597,MATCH($A1208,Items!$A$5:$A$597,0)),0))</f>
        <v/>
      </c>
      <c r="F1208" s="21" t="str">
        <f t="shared" si="90"/>
        <v/>
      </c>
      <c r="G1208" s="25" t="str">
        <f>IF(Receipts!$I1211="","",Receipts!$I1211)</f>
        <v/>
      </c>
      <c r="H1208" s="25" t="str">
        <f>IF(Receipts!$H1211="","",Receipts!$H1211)</f>
        <v/>
      </c>
      <c r="I1208" s="26" t="str">
        <f t="shared" ca="1" si="91"/>
        <v/>
      </c>
      <c r="J1208" s="26" t="str">
        <f>IF($A1208="","",COUNTIFS(tblReceipts[Item Name],$A1208,tblReceipts[Expiry Date],"&lt;"&amp;$H1208)+COUNTIFS(tblReceipts[Item Name],$A1208,tblReceipts[Expiry Date],$H1208,tblReceipts[Lot Number],"&lt;="&amp;Receipts!$C1211))</f>
        <v/>
      </c>
      <c r="K1208" s="26" t="str">
        <f>IF($A1208="","",SUMIFS(tblReceipts[Qty Received],tblReceipts[Item Name],$A1208,tblReceipts[Expiry Date],"&lt;"&amp;$H1208)+SUMIFS(tblReceipts[Qty Received],tblReceipts[Item Name],$A1208,tblReceipts[Expiry Date],$H1208,tblReceipts[Lot Number],"&lt;"&amp;Receipts!$C1211))</f>
        <v/>
      </c>
      <c r="L1208" s="26" t="str">
        <f>IF($A1208="","",MIN($D1208,MAX(0,SUMIFS(tblIssues[Qty Issued],tblIssues[Item Name],$A1208)-$K1208)))</f>
        <v/>
      </c>
      <c r="M1208" s="26" t="str">
        <f>IF($A1208="","",SUMIFS(tblIssues[Qty Issued],tblIssues[Lot Number],$B1208))</f>
        <v/>
      </c>
      <c r="N1208" s="26" t="str">
        <f t="shared" si="92"/>
        <v/>
      </c>
      <c r="O1208" s="26" t="str">
        <f t="shared" si="93"/>
        <v/>
      </c>
      <c r="P1208" s="21" t="str">
        <f t="shared" si="94"/>
        <v/>
      </c>
      <c r="Q1208" s="52" t="str">
        <f>IF($A1208="","",IF($O1208&lt;=0,"Depleted",IF($I1208&lt;0,"EXPIRED",IF($I1208&lt;=Settings!$C$6,"CRITICAL",IF($I1208&lt;=Settings!$C$5,"Expiring","In date")))))</f>
        <v/>
      </c>
    </row>
    <row r="1209" spans="1:17" x14ac:dyDescent="0.35">
      <c r="A1209" s="90" t="str">
        <f>IF(Receipts!$D1212="","",Receipts!$D1212)</f>
        <v/>
      </c>
      <c r="B1209" s="18" t="str">
        <f>IF(Receipts!$C1212="","",Receipts!$C1212)</f>
        <v/>
      </c>
      <c r="C1209" s="18" t="str">
        <f>IF($A1209="","",IFERROR(INDEX(Items!$B$5:$B$597,MATCH($A1209,Items!$A$5:$A$597,0)),""))</f>
        <v/>
      </c>
      <c r="D1209" s="23" t="str">
        <f>IF($A1209="","",N(Receipts!$G1212))</f>
        <v/>
      </c>
      <c r="E1209" s="20" t="str">
        <f>IF($A1209="","",IFERROR(INDEX(Items!$D$5:$D$597,MATCH($A1209,Items!$A$5:$A$597,0)),0))</f>
        <v/>
      </c>
      <c r="F1209" s="21" t="str">
        <f t="shared" si="90"/>
        <v/>
      </c>
      <c r="G1209" s="25" t="str">
        <f>IF(Receipts!$I1212="","",Receipts!$I1212)</f>
        <v/>
      </c>
      <c r="H1209" s="25" t="str">
        <f>IF(Receipts!$H1212="","",Receipts!$H1212)</f>
        <v/>
      </c>
      <c r="I1209" s="26" t="str">
        <f t="shared" ca="1" si="91"/>
        <v/>
      </c>
      <c r="J1209" s="26" t="str">
        <f>IF($A1209="","",COUNTIFS(tblReceipts[Item Name],$A1209,tblReceipts[Expiry Date],"&lt;"&amp;$H1209)+COUNTIFS(tblReceipts[Item Name],$A1209,tblReceipts[Expiry Date],$H1209,tblReceipts[Lot Number],"&lt;="&amp;Receipts!$C1212))</f>
        <v/>
      </c>
      <c r="K1209" s="26" t="str">
        <f>IF($A1209="","",SUMIFS(tblReceipts[Qty Received],tblReceipts[Item Name],$A1209,tblReceipts[Expiry Date],"&lt;"&amp;$H1209)+SUMIFS(tblReceipts[Qty Received],tblReceipts[Item Name],$A1209,tblReceipts[Expiry Date],$H1209,tblReceipts[Lot Number],"&lt;"&amp;Receipts!$C1212))</f>
        <v/>
      </c>
      <c r="L1209" s="26" t="str">
        <f>IF($A1209="","",MIN($D1209,MAX(0,SUMIFS(tblIssues[Qty Issued],tblIssues[Item Name],$A1209)-$K1209)))</f>
        <v/>
      </c>
      <c r="M1209" s="26" t="str">
        <f>IF($A1209="","",SUMIFS(tblIssues[Qty Issued],tblIssues[Lot Number],$B1209))</f>
        <v/>
      </c>
      <c r="N1209" s="26" t="str">
        <f t="shared" si="92"/>
        <v/>
      </c>
      <c r="O1209" s="26" t="str">
        <f t="shared" si="93"/>
        <v/>
      </c>
      <c r="P1209" s="21" t="str">
        <f t="shared" si="94"/>
        <v/>
      </c>
      <c r="Q1209" s="52" t="str">
        <f>IF($A1209="","",IF($O1209&lt;=0,"Depleted",IF($I1209&lt;0,"EXPIRED",IF($I1209&lt;=Settings!$C$6,"CRITICAL",IF($I1209&lt;=Settings!$C$5,"Expiring","In date")))))</f>
        <v/>
      </c>
    </row>
    <row r="1210" spans="1:17" x14ac:dyDescent="0.35">
      <c r="A1210" s="90" t="str">
        <f>IF(Receipts!$D1213="","",Receipts!$D1213)</f>
        <v/>
      </c>
      <c r="B1210" s="18" t="str">
        <f>IF(Receipts!$C1213="","",Receipts!$C1213)</f>
        <v/>
      </c>
      <c r="C1210" s="18" t="str">
        <f>IF($A1210="","",IFERROR(INDEX(Items!$B$5:$B$597,MATCH($A1210,Items!$A$5:$A$597,0)),""))</f>
        <v/>
      </c>
      <c r="D1210" s="23" t="str">
        <f>IF($A1210="","",N(Receipts!$G1213))</f>
        <v/>
      </c>
      <c r="E1210" s="20" t="str">
        <f>IF($A1210="","",IFERROR(INDEX(Items!$D$5:$D$597,MATCH($A1210,Items!$A$5:$A$597,0)),0))</f>
        <v/>
      </c>
      <c r="F1210" s="21" t="str">
        <f t="shared" si="90"/>
        <v/>
      </c>
      <c r="G1210" s="25" t="str">
        <f>IF(Receipts!$I1213="","",Receipts!$I1213)</f>
        <v/>
      </c>
      <c r="H1210" s="25" t="str">
        <f>IF(Receipts!$H1213="","",Receipts!$H1213)</f>
        <v/>
      </c>
      <c r="I1210" s="26" t="str">
        <f t="shared" ca="1" si="91"/>
        <v/>
      </c>
      <c r="J1210" s="26" t="str">
        <f>IF($A1210="","",COUNTIFS(tblReceipts[Item Name],$A1210,tblReceipts[Expiry Date],"&lt;"&amp;$H1210)+COUNTIFS(tblReceipts[Item Name],$A1210,tblReceipts[Expiry Date],$H1210,tblReceipts[Lot Number],"&lt;="&amp;Receipts!$C1213))</f>
        <v/>
      </c>
      <c r="K1210" s="26" t="str">
        <f>IF($A1210="","",SUMIFS(tblReceipts[Qty Received],tblReceipts[Item Name],$A1210,tblReceipts[Expiry Date],"&lt;"&amp;$H1210)+SUMIFS(tblReceipts[Qty Received],tblReceipts[Item Name],$A1210,tblReceipts[Expiry Date],$H1210,tblReceipts[Lot Number],"&lt;"&amp;Receipts!$C1213))</f>
        <v/>
      </c>
      <c r="L1210" s="26" t="str">
        <f>IF($A1210="","",MIN($D1210,MAX(0,SUMIFS(tblIssues[Qty Issued],tblIssues[Item Name],$A1210)-$K1210)))</f>
        <v/>
      </c>
      <c r="M1210" s="26" t="str">
        <f>IF($A1210="","",SUMIFS(tblIssues[Qty Issued],tblIssues[Lot Number],$B1210))</f>
        <v/>
      </c>
      <c r="N1210" s="26" t="str">
        <f t="shared" si="92"/>
        <v/>
      </c>
      <c r="O1210" s="26" t="str">
        <f t="shared" si="93"/>
        <v/>
      </c>
      <c r="P1210" s="21" t="str">
        <f t="shared" si="94"/>
        <v/>
      </c>
      <c r="Q1210" s="52" t="str">
        <f>IF($A1210="","",IF($O1210&lt;=0,"Depleted",IF($I1210&lt;0,"EXPIRED",IF($I1210&lt;=Settings!$C$6,"CRITICAL",IF($I1210&lt;=Settings!$C$5,"Expiring","In date")))))</f>
        <v/>
      </c>
    </row>
    <row r="1211" spans="1:17" x14ac:dyDescent="0.35">
      <c r="A1211" s="90" t="str">
        <f>IF(Receipts!$D1214="","",Receipts!$D1214)</f>
        <v/>
      </c>
      <c r="B1211" s="18" t="str">
        <f>IF(Receipts!$C1214="","",Receipts!$C1214)</f>
        <v/>
      </c>
      <c r="C1211" s="18" t="str">
        <f>IF($A1211="","",IFERROR(INDEX(Items!$B$5:$B$597,MATCH($A1211,Items!$A$5:$A$597,0)),""))</f>
        <v/>
      </c>
      <c r="D1211" s="23" t="str">
        <f>IF($A1211="","",N(Receipts!$G1214))</f>
        <v/>
      </c>
      <c r="E1211" s="20" t="str">
        <f>IF($A1211="","",IFERROR(INDEX(Items!$D$5:$D$597,MATCH($A1211,Items!$A$5:$A$597,0)),0))</f>
        <v/>
      </c>
      <c r="F1211" s="21" t="str">
        <f t="shared" si="90"/>
        <v/>
      </c>
      <c r="G1211" s="25" t="str">
        <f>IF(Receipts!$I1214="","",Receipts!$I1214)</f>
        <v/>
      </c>
      <c r="H1211" s="25" t="str">
        <f>IF(Receipts!$H1214="","",Receipts!$H1214)</f>
        <v/>
      </c>
      <c r="I1211" s="26" t="str">
        <f t="shared" ca="1" si="91"/>
        <v/>
      </c>
      <c r="J1211" s="26" t="str">
        <f>IF($A1211="","",COUNTIFS(tblReceipts[Item Name],$A1211,tblReceipts[Expiry Date],"&lt;"&amp;$H1211)+COUNTIFS(tblReceipts[Item Name],$A1211,tblReceipts[Expiry Date],$H1211,tblReceipts[Lot Number],"&lt;="&amp;Receipts!$C1214))</f>
        <v/>
      </c>
      <c r="K1211" s="26" t="str">
        <f>IF($A1211="","",SUMIFS(tblReceipts[Qty Received],tblReceipts[Item Name],$A1211,tblReceipts[Expiry Date],"&lt;"&amp;$H1211)+SUMIFS(tblReceipts[Qty Received],tblReceipts[Item Name],$A1211,tblReceipts[Expiry Date],$H1211,tblReceipts[Lot Number],"&lt;"&amp;Receipts!$C1214))</f>
        <v/>
      </c>
      <c r="L1211" s="26" t="str">
        <f>IF($A1211="","",MIN($D1211,MAX(0,SUMIFS(tblIssues[Qty Issued],tblIssues[Item Name],$A1211)-$K1211)))</f>
        <v/>
      </c>
      <c r="M1211" s="26" t="str">
        <f>IF($A1211="","",SUMIFS(tblIssues[Qty Issued],tblIssues[Lot Number],$B1211))</f>
        <v/>
      </c>
      <c r="N1211" s="26" t="str">
        <f t="shared" si="92"/>
        <v/>
      </c>
      <c r="O1211" s="26" t="str">
        <f t="shared" si="93"/>
        <v/>
      </c>
      <c r="P1211" s="21" t="str">
        <f t="shared" si="94"/>
        <v/>
      </c>
      <c r="Q1211" s="52" t="str">
        <f>IF($A1211="","",IF($O1211&lt;=0,"Depleted",IF($I1211&lt;0,"EXPIRED",IF($I1211&lt;=Settings!$C$6,"CRITICAL",IF($I1211&lt;=Settings!$C$5,"Expiring","In date")))))</f>
        <v/>
      </c>
    </row>
    <row r="1212" spans="1:17" x14ac:dyDescent="0.35">
      <c r="A1212" s="90" t="str">
        <f>IF(Receipts!$D1215="","",Receipts!$D1215)</f>
        <v/>
      </c>
      <c r="B1212" s="18" t="str">
        <f>IF(Receipts!$C1215="","",Receipts!$C1215)</f>
        <v/>
      </c>
      <c r="C1212" s="18" t="str">
        <f>IF($A1212="","",IFERROR(INDEX(Items!$B$5:$B$597,MATCH($A1212,Items!$A$5:$A$597,0)),""))</f>
        <v/>
      </c>
      <c r="D1212" s="23" t="str">
        <f>IF($A1212="","",N(Receipts!$G1215))</f>
        <v/>
      </c>
      <c r="E1212" s="20" t="str">
        <f>IF($A1212="","",IFERROR(INDEX(Items!$D$5:$D$597,MATCH($A1212,Items!$A$5:$A$597,0)),0))</f>
        <v/>
      </c>
      <c r="F1212" s="21" t="str">
        <f t="shared" si="90"/>
        <v/>
      </c>
      <c r="G1212" s="25" t="str">
        <f>IF(Receipts!$I1215="","",Receipts!$I1215)</f>
        <v/>
      </c>
      <c r="H1212" s="25" t="str">
        <f>IF(Receipts!$H1215="","",Receipts!$H1215)</f>
        <v/>
      </c>
      <c r="I1212" s="26" t="str">
        <f t="shared" ca="1" si="91"/>
        <v/>
      </c>
      <c r="J1212" s="26" t="str">
        <f>IF($A1212="","",COUNTIFS(tblReceipts[Item Name],$A1212,tblReceipts[Expiry Date],"&lt;"&amp;$H1212)+COUNTIFS(tblReceipts[Item Name],$A1212,tblReceipts[Expiry Date],$H1212,tblReceipts[Lot Number],"&lt;="&amp;Receipts!$C1215))</f>
        <v/>
      </c>
      <c r="K1212" s="26" t="str">
        <f>IF($A1212="","",SUMIFS(tblReceipts[Qty Received],tblReceipts[Item Name],$A1212,tblReceipts[Expiry Date],"&lt;"&amp;$H1212)+SUMIFS(tblReceipts[Qty Received],tblReceipts[Item Name],$A1212,tblReceipts[Expiry Date],$H1212,tblReceipts[Lot Number],"&lt;"&amp;Receipts!$C1215))</f>
        <v/>
      </c>
      <c r="L1212" s="26" t="str">
        <f>IF($A1212="","",MIN($D1212,MAX(0,SUMIFS(tblIssues[Qty Issued],tblIssues[Item Name],$A1212)-$K1212)))</f>
        <v/>
      </c>
      <c r="M1212" s="26" t="str">
        <f>IF($A1212="","",SUMIFS(tblIssues[Qty Issued],tblIssues[Lot Number],$B1212))</f>
        <v/>
      </c>
      <c r="N1212" s="26" t="str">
        <f t="shared" si="92"/>
        <v/>
      </c>
      <c r="O1212" s="26" t="str">
        <f t="shared" si="93"/>
        <v/>
      </c>
      <c r="P1212" s="21" t="str">
        <f t="shared" si="94"/>
        <v/>
      </c>
      <c r="Q1212" s="52" t="str">
        <f>IF($A1212="","",IF($O1212&lt;=0,"Depleted",IF($I1212&lt;0,"EXPIRED",IF($I1212&lt;=Settings!$C$6,"CRITICAL",IF($I1212&lt;=Settings!$C$5,"Expiring","In date")))))</f>
        <v/>
      </c>
    </row>
    <row r="1213" spans="1:17" x14ac:dyDescent="0.35">
      <c r="A1213" s="90" t="str">
        <f>IF(Receipts!$D1216="","",Receipts!$D1216)</f>
        <v/>
      </c>
      <c r="B1213" s="18" t="str">
        <f>IF(Receipts!$C1216="","",Receipts!$C1216)</f>
        <v/>
      </c>
      <c r="C1213" s="18" t="str">
        <f>IF($A1213="","",IFERROR(INDEX(Items!$B$5:$B$597,MATCH($A1213,Items!$A$5:$A$597,0)),""))</f>
        <v/>
      </c>
      <c r="D1213" s="23" t="str">
        <f>IF($A1213="","",N(Receipts!$G1216))</f>
        <v/>
      </c>
      <c r="E1213" s="20" t="str">
        <f>IF($A1213="","",IFERROR(INDEX(Items!$D$5:$D$597,MATCH($A1213,Items!$A$5:$A$597,0)),0))</f>
        <v/>
      </c>
      <c r="F1213" s="21" t="str">
        <f t="shared" si="90"/>
        <v/>
      </c>
      <c r="G1213" s="25" t="str">
        <f>IF(Receipts!$I1216="","",Receipts!$I1216)</f>
        <v/>
      </c>
      <c r="H1213" s="25" t="str">
        <f>IF(Receipts!$H1216="","",Receipts!$H1216)</f>
        <v/>
      </c>
      <c r="I1213" s="26" t="str">
        <f t="shared" ca="1" si="91"/>
        <v/>
      </c>
      <c r="J1213" s="26" t="str">
        <f>IF($A1213="","",COUNTIFS(tblReceipts[Item Name],$A1213,tblReceipts[Expiry Date],"&lt;"&amp;$H1213)+COUNTIFS(tblReceipts[Item Name],$A1213,tblReceipts[Expiry Date],$H1213,tblReceipts[Lot Number],"&lt;="&amp;Receipts!$C1216))</f>
        <v/>
      </c>
      <c r="K1213" s="26" t="str">
        <f>IF($A1213="","",SUMIFS(tblReceipts[Qty Received],tblReceipts[Item Name],$A1213,tblReceipts[Expiry Date],"&lt;"&amp;$H1213)+SUMIFS(tblReceipts[Qty Received],tblReceipts[Item Name],$A1213,tblReceipts[Expiry Date],$H1213,tblReceipts[Lot Number],"&lt;"&amp;Receipts!$C1216))</f>
        <v/>
      </c>
      <c r="L1213" s="26" t="str">
        <f>IF($A1213="","",MIN($D1213,MAX(0,SUMIFS(tblIssues[Qty Issued],tblIssues[Item Name],$A1213)-$K1213)))</f>
        <v/>
      </c>
      <c r="M1213" s="26" t="str">
        <f>IF($A1213="","",SUMIFS(tblIssues[Qty Issued],tblIssues[Lot Number],$B1213))</f>
        <v/>
      </c>
      <c r="N1213" s="26" t="str">
        <f t="shared" si="92"/>
        <v/>
      </c>
      <c r="O1213" s="26" t="str">
        <f t="shared" si="93"/>
        <v/>
      </c>
      <c r="P1213" s="21" t="str">
        <f t="shared" si="94"/>
        <v/>
      </c>
      <c r="Q1213" s="52" t="str">
        <f>IF($A1213="","",IF($O1213&lt;=0,"Depleted",IF($I1213&lt;0,"EXPIRED",IF($I1213&lt;=Settings!$C$6,"CRITICAL",IF($I1213&lt;=Settings!$C$5,"Expiring","In date")))))</f>
        <v/>
      </c>
    </row>
    <row r="1214" spans="1:17" x14ac:dyDescent="0.35">
      <c r="A1214" s="90" t="str">
        <f>IF(Receipts!$D1217="","",Receipts!$D1217)</f>
        <v/>
      </c>
      <c r="B1214" s="18" t="str">
        <f>IF(Receipts!$C1217="","",Receipts!$C1217)</f>
        <v/>
      </c>
      <c r="C1214" s="18" t="str">
        <f>IF($A1214="","",IFERROR(INDEX(Items!$B$5:$B$597,MATCH($A1214,Items!$A$5:$A$597,0)),""))</f>
        <v/>
      </c>
      <c r="D1214" s="23" t="str">
        <f>IF($A1214="","",N(Receipts!$G1217))</f>
        <v/>
      </c>
      <c r="E1214" s="20" t="str">
        <f>IF($A1214="","",IFERROR(INDEX(Items!$D$5:$D$597,MATCH($A1214,Items!$A$5:$A$597,0)),0))</f>
        <v/>
      </c>
      <c r="F1214" s="21" t="str">
        <f t="shared" si="90"/>
        <v/>
      </c>
      <c r="G1214" s="25" t="str">
        <f>IF(Receipts!$I1217="","",Receipts!$I1217)</f>
        <v/>
      </c>
      <c r="H1214" s="25" t="str">
        <f>IF(Receipts!$H1217="","",Receipts!$H1217)</f>
        <v/>
      </c>
      <c r="I1214" s="26" t="str">
        <f t="shared" ca="1" si="91"/>
        <v/>
      </c>
      <c r="J1214" s="26" t="str">
        <f>IF($A1214="","",COUNTIFS(tblReceipts[Item Name],$A1214,tblReceipts[Expiry Date],"&lt;"&amp;$H1214)+COUNTIFS(tblReceipts[Item Name],$A1214,tblReceipts[Expiry Date],$H1214,tblReceipts[Lot Number],"&lt;="&amp;Receipts!$C1217))</f>
        <v/>
      </c>
      <c r="K1214" s="26" t="str">
        <f>IF($A1214="","",SUMIFS(tblReceipts[Qty Received],tblReceipts[Item Name],$A1214,tblReceipts[Expiry Date],"&lt;"&amp;$H1214)+SUMIFS(tblReceipts[Qty Received],tblReceipts[Item Name],$A1214,tblReceipts[Expiry Date],$H1214,tblReceipts[Lot Number],"&lt;"&amp;Receipts!$C1217))</f>
        <v/>
      </c>
      <c r="L1214" s="26" t="str">
        <f>IF($A1214="","",MIN($D1214,MAX(0,SUMIFS(tblIssues[Qty Issued],tblIssues[Item Name],$A1214)-$K1214)))</f>
        <v/>
      </c>
      <c r="M1214" s="26" t="str">
        <f>IF($A1214="","",SUMIFS(tblIssues[Qty Issued],tblIssues[Lot Number],$B1214))</f>
        <v/>
      </c>
      <c r="N1214" s="26" t="str">
        <f t="shared" si="92"/>
        <v/>
      </c>
      <c r="O1214" s="26" t="str">
        <f t="shared" si="93"/>
        <v/>
      </c>
      <c r="P1214" s="21" t="str">
        <f t="shared" si="94"/>
        <v/>
      </c>
      <c r="Q1214" s="52" t="str">
        <f>IF($A1214="","",IF($O1214&lt;=0,"Depleted",IF($I1214&lt;0,"EXPIRED",IF($I1214&lt;=Settings!$C$6,"CRITICAL",IF($I1214&lt;=Settings!$C$5,"Expiring","In date")))))</f>
        <v/>
      </c>
    </row>
    <row r="1215" spans="1:17" x14ac:dyDescent="0.35">
      <c r="A1215" s="90" t="str">
        <f>IF(Receipts!$D1218="","",Receipts!$D1218)</f>
        <v/>
      </c>
      <c r="B1215" s="18" t="str">
        <f>IF(Receipts!$C1218="","",Receipts!$C1218)</f>
        <v/>
      </c>
      <c r="C1215" s="18" t="str">
        <f>IF($A1215="","",IFERROR(INDEX(Items!$B$5:$B$597,MATCH($A1215,Items!$A$5:$A$597,0)),""))</f>
        <v/>
      </c>
      <c r="D1215" s="23" t="str">
        <f>IF($A1215="","",N(Receipts!$G1218))</f>
        <v/>
      </c>
      <c r="E1215" s="20" t="str">
        <f>IF($A1215="","",IFERROR(INDEX(Items!$D$5:$D$597,MATCH($A1215,Items!$A$5:$A$597,0)),0))</f>
        <v/>
      </c>
      <c r="F1215" s="21" t="str">
        <f t="shared" si="90"/>
        <v/>
      </c>
      <c r="G1215" s="25" t="str">
        <f>IF(Receipts!$I1218="","",Receipts!$I1218)</f>
        <v/>
      </c>
      <c r="H1215" s="25" t="str">
        <f>IF(Receipts!$H1218="","",Receipts!$H1218)</f>
        <v/>
      </c>
      <c r="I1215" s="26" t="str">
        <f t="shared" ca="1" si="91"/>
        <v/>
      </c>
      <c r="J1215" s="26" t="str">
        <f>IF($A1215="","",COUNTIFS(tblReceipts[Item Name],$A1215,tblReceipts[Expiry Date],"&lt;"&amp;$H1215)+COUNTIFS(tblReceipts[Item Name],$A1215,tblReceipts[Expiry Date],$H1215,tblReceipts[Lot Number],"&lt;="&amp;Receipts!$C1218))</f>
        <v/>
      </c>
      <c r="K1215" s="26" t="str">
        <f>IF($A1215="","",SUMIFS(tblReceipts[Qty Received],tblReceipts[Item Name],$A1215,tblReceipts[Expiry Date],"&lt;"&amp;$H1215)+SUMIFS(tblReceipts[Qty Received],tblReceipts[Item Name],$A1215,tblReceipts[Expiry Date],$H1215,tblReceipts[Lot Number],"&lt;"&amp;Receipts!$C1218))</f>
        <v/>
      </c>
      <c r="L1215" s="26" t="str">
        <f>IF($A1215="","",MIN($D1215,MAX(0,SUMIFS(tblIssues[Qty Issued],tblIssues[Item Name],$A1215)-$K1215)))</f>
        <v/>
      </c>
      <c r="M1215" s="26" t="str">
        <f>IF($A1215="","",SUMIFS(tblIssues[Qty Issued],tblIssues[Lot Number],$B1215))</f>
        <v/>
      </c>
      <c r="N1215" s="26" t="str">
        <f t="shared" si="92"/>
        <v/>
      </c>
      <c r="O1215" s="26" t="str">
        <f t="shared" si="93"/>
        <v/>
      </c>
      <c r="P1215" s="21" t="str">
        <f t="shared" si="94"/>
        <v/>
      </c>
      <c r="Q1215" s="52" t="str">
        <f>IF($A1215="","",IF($O1215&lt;=0,"Depleted",IF($I1215&lt;0,"EXPIRED",IF($I1215&lt;=Settings!$C$6,"CRITICAL",IF($I1215&lt;=Settings!$C$5,"Expiring","In date")))))</f>
        <v/>
      </c>
    </row>
    <row r="1216" spans="1:17" x14ac:dyDescent="0.35">
      <c r="A1216" s="90" t="str">
        <f>IF(Receipts!$D1219="","",Receipts!$D1219)</f>
        <v/>
      </c>
      <c r="B1216" s="18" t="str">
        <f>IF(Receipts!$C1219="","",Receipts!$C1219)</f>
        <v/>
      </c>
      <c r="C1216" s="18" t="str">
        <f>IF($A1216="","",IFERROR(INDEX(Items!$B$5:$B$597,MATCH($A1216,Items!$A$5:$A$597,0)),""))</f>
        <v/>
      </c>
      <c r="D1216" s="23" t="str">
        <f>IF($A1216="","",N(Receipts!$G1219))</f>
        <v/>
      </c>
      <c r="E1216" s="20" t="str">
        <f>IF($A1216="","",IFERROR(INDEX(Items!$D$5:$D$597,MATCH($A1216,Items!$A$5:$A$597,0)),0))</f>
        <v/>
      </c>
      <c r="F1216" s="21" t="str">
        <f t="shared" si="90"/>
        <v/>
      </c>
      <c r="G1216" s="25" t="str">
        <f>IF(Receipts!$I1219="","",Receipts!$I1219)</f>
        <v/>
      </c>
      <c r="H1216" s="25" t="str">
        <f>IF(Receipts!$H1219="","",Receipts!$H1219)</f>
        <v/>
      </c>
      <c r="I1216" s="26" t="str">
        <f t="shared" ca="1" si="91"/>
        <v/>
      </c>
      <c r="J1216" s="26" t="str">
        <f>IF($A1216="","",COUNTIFS(tblReceipts[Item Name],$A1216,tblReceipts[Expiry Date],"&lt;"&amp;$H1216)+COUNTIFS(tblReceipts[Item Name],$A1216,tblReceipts[Expiry Date],$H1216,tblReceipts[Lot Number],"&lt;="&amp;Receipts!$C1219))</f>
        <v/>
      </c>
      <c r="K1216" s="26" t="str">
        <f>IF($A1216="","",SUMIFS(tblReceipts[Qty Received],tblReceipts[Item Name],$A1216,tblReceipts[Expiry Date],"&lt;"&amp;$H1216)+SUMIFS(tblReceipts[Qty Received],tblReceipts[Item Name],$A1216,tblReceipts[Expiry Date],$H1216,tblReceipts[Lot Number],"&lt;"&amp;Receipts!$C1219))</f>
        <v/>
      </c>
      <c r="L1216" s="26" t="str">
        <f>IF($A1216="","",MIN($D1216,MAX(0,SUMIFS(tblIssues[Qty Issued],tblIssues[Item Name],$A1216)-$K1216)))</f>
        <v/>
      </c>
      <c r="M1216" s="26" t="str">
        <f>IF($A1216="","",SUMIFS(tblIssues[Qty Issued],tblIssues[Lot Number],$B1216))</f>
        <v/>
      </c>
      <c r="N1216" s="26" t="str">
        <f t="shared" si="92"/>
        <v/>
      </c>
      <c r="O1216" s="26" t="str">
        <f t="shared" si="93"/>
        <v/>
      </c>
      <c r="P1216" s="21" t="str">
        <f t="shared" si="94"/>
        <v/>
      </c>
      <c r="Q1216" s="52" t="str">
        <f>IF($A1216="","",IF($O1216&lt;=0,"Depleted",IF($I1216&lt;0,"EXPIRED",IF($I1216&lt;=Settings!$C$6,"CRITICAL",IF($I1216&lt;=Settings!$C$5,"Expiring","In date")))))</f>
        <v/>
      </c>
    </row>
    <row r="1217" spans="1:17" x14ac:dyDescent="0.35">
      <c r="A1217" s="90" t="str">
        <f>IF(Receipts!$D1220="","",Receipts!$D1220)</f>
        <v/>
      </c>
      <c r="B1217" s="18" t="str">
        <f>IF(Receipts!$C1220="","",Receipts!$C1220)</f>
        <v/>
      </c>
      <c r="C1217" s="18" t="str">
        <f>IF($A1217="","",IFERROR(INDEX(Items!$B$5:$B$597,MATCH($A1217,Items!$A$5:$A$597,0)),""))</f>
        <v/>
      </c>
      <c r="D1217" s="23" t="str">
        <f>IF($A1217="","",N(Receipts!$G1220))</f>
        <v/>
      </c>
      <c r="E1217" s="20" t="str">
        <f>IF($A1217="","",IFERROR(INDEX(Items!$D$5:$D$597,MATCH($A1217,Items!$A$5:$A$597,0)),0))</f>
        <v/>
      </c>
      <c r="F1217" s="21" t="str">
        <f t="shared" si="90"/>
        <v/>
      </c>
      <c r="G1217" s="25" t="str">
        <f>IF(Receipts!$I1220="","",Receipts!$I1220)</f>
        <v/>
      </c>
      <c r="H1217" s="25" t="str">
        <f>IF(Receipts!$H1220="","",Receipts!$H1220)</f>
        <v/>
      </c>
      <c r="I1217" s="26" t="str">
        <f t="shared" ca="1" si="91"/>
        <v/>
      </c>
      <c r="J1217" s="26" t="str">
        <f>IF($A1217="","",COUNTIFS(tblReceipts[Item Name],$A1217,tblReceipts[Expiry Date],"&lt;"&amp;$H1217)+COUNTIFS(tblReceipts[Item Name],$A1217,tblReceipts[Expiry Date],$H1217,tblReceipts[Lot Number],"&lt;="&amp;Receipts!$C1220))</f>
        <v/>
      </c>
      <c r="K1217" s="26" t="str">
        <f>IF($A1217="","",SUMIFS(tblReceipts[Qty Received],tblReceipts[Item Name],$A1217,tblReceipts[Expiry Date],"&lt;"&amp;$H1217)+SUMIFS(tblReceipts[Qty Received],tblReceipts[Item Name],$A1217,tblReceipts[Expiry Date],$H1217,tblReceipts[Lot Number],"&lt;"&amp;Receipts!$C1220))</f>
        <v/>
      </c>
      <c r="L1217" s="26" t="str">
        <f>IF($A1217="","",MIN($D1217,MAX(0,SUMIFS(tblIssues[Qty Issued],tblIssues[Item Name],$A1217)-$K1217)))</f>
        <v/>
      </c>
      <c r="M1217" s="26" t="str">
        <f>IF($A1217="","",SUMIFS(tblIssues[Qty Issued],tblIssues[Lot Number],$B1217))</f>
        <v/>
      </c>
      <c r="N1217" s="26" t="str">
        <f t="shared" si="92"/>
        <v/>
      </c>
      <c r="O1217" s="26" t="str">
        <f t="shared" si="93"/>
        <v/>
      </c>
      <c r="P1217" s="21" t="str">
        <f t="shared" si="94"/>
        <v/>
      </c>
      <c r="Q1217" s="52" t="str">
        <f>IF($A1217="","",IF($O1217&lt;=0,"Depleted",IF($I1217&lt;0,"EXPIRED",IF($I1217&lt;=Settings!$C$6,"CRITICAL",IF($I1217&lt;=Settings!$C$5,"Expiring","In date")))))</f>
        <v/>
      </c>
    </row>
    <row r="1218" spans="1:17" x14ac:dyDescent="0.35">
      <c r="A1218" s="90" t="str">
        <f>IF(Receipts!$D1221="","",Receipts!$D1221)</f>
        <v/>
      </c>
      <c r="B1218" s="18" t="str">
        <f>IF(Receipts!$C1221="","",Receipts!$C1221)</f>
        <v/>
      </c>
      <c r="C1218" s="18" t="str">
        <f>IF($A1218="","",IFERROR(INDEX(Items!$B$5:$B$597,MATCH($A1218,Items!$A$5:$A$597,0)),""))</f>
        <v/>
      </c>
      <c r="D1218" s="23" t="str">
        <f>IF($A1218="","",N(Receipts!$G1221))</f>
        <v/>
      </c>
      <c r="E1218" s="20" t="str">
        <f>IF($A1218="","",IFERROR(INDEX(Items!$D$5:$D$597,MATCH($A1218,Items!$A$5:$A$597,0)),0))</f>
        <v/>
      </c>
      <c r="F1218" s="21" t="str">
        <f t="shared" si="90"/>
        <v/>
      </c>
      <c r="G1218" s="25" t="str">
        <f>IF(Receipts!$I1221="","",Receipts!$I1221)</f>
        <v/>
      </c>
      <c r="H1218" s="25" t="str">
        <f>IF(Receipts!$H1221="","",Receipts!$H1221)</f>
        <v/>
      </c>
      <c r="I1218" s="26" t="str">
        <f t="shared" ca="1" si="91"/>
        <v/>
      </c>
      <c r="J1218" s="26" t="str">
        <f>IF($A1218="","",COUNTIFS(tblReceipts[Item Name],$A1218,tblReceipts[Expiry Date],"&lt;"&amp;$H1218)+COUNTIFS(tblReceipts[Item Name],$A1218,tblReceipts[Expiry Date],$H1218,tblReceipts[Lot Number],"&lt;="&amp;Receipts!$C1221))</f>
        <v/>
      </c>
      <c r="K1218" s="26" t="str">
        <f>IF($A1218="","",SUMIFS(tblReceipts[Qty Received],tblReceipts[Item Name],$A1218,tblReceipts[Expiry Date],"&lt;"&amp;$H1218)+SUMIFS(tblReceipts[Qty Received],tblReceipts[Item Name],$A1218,tblReceipts[Expiry Date],$H1218,tblReceipts[Lot Number],"&lt;"&amp;Receipts!$C1221))</f>
        <v/>
      </c>
      <c r="L1218" s="26" t="str">
        <f>IF($A1218="","",MIN($D1218,MAX(0,SUMIFS(tblIssues[Qty Issued],tblIssues[Item Name],$A1218)-$K1218)))</f>
        <v/>
      </c>
      <c r="M1218" s="26" t="str">
        <f>IF($A1218="","",SUMIFS(tblIssues[Qty Issued],tblIssues[Lot Number],$B1218))</f>
        <v/>
      </c>
      <c r="N1218" s="26" t="str">
        <f t="shared" si="92"/>
        <v/>
      </c>
      <c r="O1218" s="26" t="str">
        <f t="shared" si="93"/>
        <v/>
      </c>
      <c r="P1218" s="21" t="str">
        <f t="shared" si="94"/>
        <v/>
      </c>
      <c r="Q1218" s="52" t="str">
        <f>IF($A1218="","",IF($O1218&lt;=0,"Depleted",IF($I1218&lt;0,"EXPIRED",IF($I1218&lt;=Settings!$C$6,"CRITICAL",IF($I1218&lt;=Settings!$C$5,"Expiring","In date")))))</f>
        <v/>
      </c>
    </row>
    <row r="1219" spans="1:17" x14ac:dyDescent="0.35">
      <c r="A1219" s="90" t="str">
        <f>IF(Receipts!$D1222="","",Receipts!$D1222)</f>
        <v/>
      </c>
      <c r="B1219" s="18" t="str">
        <f>IF(Receipts!$C1222="","",Receipts!$C1222)</f>
        <v/>
      </c>
      <c r="C1219" s="18" t="str">
        <f>IF($A1219="","",IFERROR(INDEX(Items!$B$5:$B$597,MATCH($A1219,Items!$A$5:$A$597,0)),""))</f>
        <v/>
      </c>
      <c r="D1219" s="23" t="str">
        <f>IF($A1219="","",N(Receipts!$G1222))</f>
        <v/>
      </c>
      <c r="E1219" s="20" t="str">
        <f>IF($A1219="","",IFERROR(INDEX(Items!$D$5:$D$597,MATCH($A1219,Items!$A$5:$A$597,0)),0))</f>
        <v/>
      </c>
      <c r="F1219" s="21" t="str">
        <f t="shared" si="90"/>
        <v/>
      </c>
      <c r="G1219" s="25" t="str">
        <f>IF(Receipts!$I1222="","",Receipts!$I1222)</f>
        <v/>
      </c>
      <c r="H1219" s="25" t="str">
        <f>IF(Receipts!$H1222="","",Receipts!$H1222)</f>
        <v/>
      </c>
      <c r="I1219" s="26" t="str">
        <f t="shared" ca="1" si="91"/>
        <v/>
      </c>
      <c r="J1219" s="26" t="str">
        <f>IF($A1219="","",COUNTIFS(tblReceipts[Item Name],$A1219,tblReceipts[Expiry Date],"&lt;"&amp;$H1219)+COUNTIFS(tblReceipts[Item Name],$A1219,tblReceipts[Expiry Date],$H1219,tblReceipts[Lot Number],"&lt;="&amp;Receipts!$C1222))</f>
        <v/>
      </c>
      <c r="K1219" s="26" t="str">
        <f>IF($A1219="","",SUMIFS(tblReceipts[Qty Received],tblReceipts[Item Name],$A1219,tblReceipts[Expiry Date],"&lt;"&amp;$H1219)+SUMIFS(tblReceipts[Qty Received],tblReceipts[Item Name],$A1219,tblReceipts[Expiry Date],$H1219,tblReceipts[Lot Number],"&lt;"&amp;Receipts!$C1222))</f>
        <v/>
      </c>
      <c r="L1219" s="26" t="str">
        <f>IF($A1219="","",MIN($D1219,MAX(0,SUMIFS(tblIssues[Qty Issued],tblIssues[Item Name],$A1219)-$K1219)))</f>
        <v/>
      </c>
      <c r="M1219" s="26" t="str">
        <f>IF($A1219="","",SUMIFS(tblIssues[Qty Issued],tblIssues[Lot Number],$B1219))</f>
        <v/>
      </c>
      <c r="N1219" s="26" t="str">
        <f t="shared" si="92"/>
        <v/>
      </c>
      <c r="O1219" s="26" t="str">
        <f t="shared" si="93"/>
        <v/>
      </c>
      <c r="P1219" s="21" t="str">
        <f t="shared" si="94"/>
        <v/>
      </c>
      <c r="Q1219" s="52" t="str">
        <f>IF($A1219="","",IF($O1219&lt;=0,"Depleted",IF($I1219&lt;0,"EXPIRED",IF($I1219&lt;=Settings!$C$6,"CRITICAL",IF($I1219&lt;=Settings!$C$5,"Expiring","In date")))))</f>
        <v/>
      </c>
    </row>
    <row r="1220" spans="1:17" x14ac:dyDescent="0.35">
      <c r="A1220" s="90" t="str">
        <f>IF(Receipts!$D1223="","",Receipts!$D1223)</f>
        <v/>
      </c>
      <c r="B1220" s="18" t="str">
        <f>IF(Receipts!$C1223="","",Receipts!$C1223)</f>
        <v/>
      </c>
      <c r="C1220" s="18" t="str">
        <f>IF($A1220="","",IFERROR(INDEX(Items!$B$5:$B$597,MATCH($A1220,Items!$A$5:$A$597,0)),""))</f>
        <v/>
      </c>
      <c r="D1220" s="23" t="str">
        <f>IF($A1220="","",N(Receipts!$G1223))</f>
        <v/>
      </c>
      <c r="E1220" s="20" t="str">
        <f>IF($A1220="","",IFERROR(INDEX(Items!$D$5:$D$597,MATCH($A1220,Items!$A$5:$A$597,0)),0))</f>
        <v/>
      </c>
      <c r="F1220" s="21" t="str">
        <f t="shared" si="90"/>
        <v/>
      </c>
      <c r="G1220" s="25" t="str">
        <f>IF(Receipts!$I1223="","",Receipts!$I1223)</f>
        <v/>
      </c>
      <c r="H1220" s="25" t="str">
        <f>IF(Receipts!$H1223="","",Receipts!$H1223)</f>
        <v/>
      </c>
      <c r="I1220" s="26" t="str">
        <f t="shared" ca="1" si="91"/>
        <v/>
      </c>
      <c r="J1220" s="26" t="str">
        <f>IF($A1220="","",COUNTIFS(tblReceipts[Item Name],$A1220,tblReceipts[Expiry Date],"&lt;"&amp;$H1220)+COUNTIFS(tblReceipts[Item Name],$A1220,tblReceipts[Expiry Date],$H1220,tblReceipts[Lot Number],"&lt;="&amp;Receipts!$C1223))</f>
        <v/>
      </c>
      <c r="K1220" s="26" t="str">
        <f>IF($A1220="","",SUMIFS(tblReceipts[Qty Received],tblReceipts[Item Name],$A1220,tblReceipts[Expiry Date],"&lt;"&amp;$H1220)+SUMIFS(tblReceipts[Qty Received],tblReceipts[Item Name],$A1220,tblReceipts[Expiry Date],$H1220,tblReceipts[Lot Number],"&lt;"&amp;Receipts!$C1223))</f>
        <v/>
      </c>
      <c r="L1220" s="26" t="str">
        <f>IF($A1220="","",MIN($D1220,MAX(0,SUMIFS(tblIssues[Qty Issued],tblIssues[Item Name],$A1220)-$K1220)))</f>
        <v/>
      </c>
      <c r="M1220" s="26" t="str">
        <f>IF($A1220="","",SUMIFS(tblIssues[Qty Issued],tblIssues[Lot Number],$B1220))</f>
        <v/>
      </c>
      <c r="N1220" s="26" t="str">
        <f t="shared" si="92"/>
        <v/>
      </c>
      <c r="O1220" s="26" t="str">
        <f t="shared" si="93"/>
        <v/>
      </c>
      <c r="P1220" s="21" t="str">
        <f t="shared" si="94"/>
        <v/>
      </c>
      <c r="Q1220" s="52" t="str">
        <f>IF($A1220="","",IF($O1220&lt;=0,"Depleted",IF($I1220&lt;0,"EXPIRED",IF($I1220&lt;=Settings!$C$6,"CRITICAL",IF($I1220&lt;=Settings!$C$5,"Expiring","In date")))))</f>
        <v/>
      </c>
    </row>
    <row r="1221" spans="1:17" x14ac:dyDescent="0.35">
      <c r="A1221" s="90" t="str">
        <f>IF(Receipts!$D1224="","",Receipts!$D1224)</f>
        <v/>
      </c>
      <c r="B1221" s="18" t="str">
        <f>IF(Receipts!$C1224="","",Receipts!$C1224)</f>
        <v/>
      </c>
      <c r="C1221" s="18" t="str">
        <f>IF($A1221="","",IFERROR(INDEX(Items!$B$5:$B$597,MATCH($A1221,Items!$A$5:$A$597,0)),""))</f>
        <v/>
      </c>
      <c r="D1221" s="23" t="str">
        <f>IF($A1221="","",N(Receipts!$G1224))</f>
        <v/>
      </c>
      <c r="E1221" s="20" t="str">
        <f>IF($A1221="","",IFERROR(INDEX(Items!$D$5:$D$597,MATCH($A1221,Items!$A$5:$A$597,0)),0))</f>
        <v/>
      </c>
      <c r="F1221" s="21" t="str">
        <f t="shared" ref="F1221:F1284" si="95">IF($A1221="","",$D1221*$E1221)</f>
        <v/>
      </c>
      <c r="G1221" s="25" t="str">
        <f>IF(Receipts!$I1224="","",Receipts!$I1224)</f>
        <v/>
      </c>
      <c r="H1221" s="25" t="str">
        <f>IF(Receipts!$H1224="","",Receipts!$H1224)</f>
        <v/>
      </c>
      <c r="I1221" s="26" t="str">
        <f t="shared" ref="I1221:I1284" ca="1" si="96">IF($H1221="","",$H1221-TODAY())</f>
        <v/>
      </c>
      <c r="J1221" s="26" t="str">
        <f>IF($A1221="","",COUNTIFS(tblReceipts[Item Name],$A1221,tblReceipts[Expiry Date],"&lt;"&amp;$H1221)+COUNTIFS(tblReceipts[Item Name],$A1221,tblReceipts[Expiry Date],$H1221,tblReceipts[Lot Number],"&lt;="&amp;Receipts!$C1224))</f>
        <v/>
      </c>
      <c r="K1221" s="26" t="str">
        <f>IF($A1221="","",SUMIFS(tblReceipts[Qty Received],tblReceipts[Item Name],$A1221,tblReceipts[Expiry Date],"&lt;"&amp;$H1221)+SUMIFS(tblReceipts[Qty Received],tblReceipts[Item Name],$A1221,tblReceipts[Expiry Date],$H1221,tblReceipts[Lot Number],"&lt;"&amp;Receipts!$C1224))</f>
        <v/>
      </c>
      <c r="L1221" s="26" t="str">
        <f>IF($A1221="","",MIN($D1221,MAX(0,SUMIFS(tblIssues[Qty Issued],tblIssues[Item Name],$A1221)-$K1221)))</f>
        <v/>
      </c>
      <c r="M1221" s="26" t="str">
        <f>IF($A1221="","",SUMIFS(tblIssues[Qty Issued],tblIssues[Lot Number],$B1221))</f>
        <v/>
      </c>
      <c r="N1221" s="26" t="str">
        <f t="shared" ref="N1221:N1284" si="97">IF($A1221="","",$M1221-$L1221)</f>
        <v/>
      </c>
      <c r="O1221" s="26" t="str">
        <f t="shared" ref="O1221:O1284" si="98">IF($A1221="","",$D1221-$L1221)</f>
        <v/>
      </c>
      <c r="P1221" s="21" t="str">
        <f t="shared" ref="P1221:P1284" si="99">IF($A1221="","",$O1221*$E1221)</f>
        <v/>
      </c>
      <c r="Q1221" s="52" t="str">
        <f>IF($A1221="","",IF($O1221&lt;=0,"Depleted",IF($I1221&lt;0,"EXPIRED",IF($I1221&lt;=Settings!$C$6,"CRITICAL",IF($I1221&lt;=Settings!$C$5,"Expiring","In date")))))</f>
        <v/>
      </c>
    </row>
    <row r="1222" spans="1:17" x14ac:dyDescent="0.35">
      <c r="A1222" s="90" t="str">
        <f>IF(Receipts!$D1225="","",Receipts!$D1225)</f>
        <v/>
      </c>
      <c r="B1222" s="18" t="str">
        <f>IF(Receipts!$C1225="","",Receipts!$C1225)</f>
        <v/>
      </c>
      <c r="C1222" s="18" t="str">
        <f>IF($A1222="","",IFERROR(INDEX(Items!$B$5:$B$597,MATCH($A1222,Items!$A$5:$A$597,0)),""))</f>
        <v/>
      </c>
      <c r="D1222" s="23" t="str">
        <f>IF($A1222="","",N(Receipts!$G1225))</f>
        <v/>
      </c>
      <c r="E1222" s="20" t="str">
        <f>IF($A1222="","",IFERROR(INDEX(Items!$D$5:$D$597,MATCH($A1222,Items!$A$5:$A$597,0)),0))</f>
        <v/>
      </c>
      <c r="F1222" s="21" t="str">
        <f t="shared" si="95"/>
        <v/>
      </c>
      <c r="G1222" s="25" t="str">
        <f>IF(Receipts!$I1225="","",Receipts!$I1225)</f>
        <v/>
      </c>
      <c r="H1222" s="25" t="str">
        <f>IF(Receipts!$H1225="","",Receipts!$H1225)</f>
        <v/>
      </c>
      <c r="I1222" s="26" t="str">
        <f t="shared" ca="1" si="96"/>
        <v/>
      </c>
      <c r="J1222" s="26" t="str">
        <f>IF($A1222="","",COUNTIFS(tblReceipts[Item Name],$A1222,tblReceipts[Expiry Date],"&lt;"&amp;$H1222)+COUNTIFS(tblReceipts[Item Name],$A1222,tblReceipts[Expiry Date],$H1222,tblReceipts[Lot Number],"&lt;="&amp;Receipts!$C1225))</f>
        <v/>
      </c>
      <c r="K1222" s="26" t="str">
        <f>IF($A1222="","",SUMIFS(tblReceipts[Qty Received],tblReceipts[Item Name],$A1222,tblReceipts[Expiry Date],"&lt;"&amp;$H1222)+SUMIFS(tblReceipts[Qty Received],tblReceipts[Item Name],$A1222,tblReceipts[Expiry Date],$H1222,tblReceipts[Lot Number],"&lt;"&amp;Receipts!$C1225))</f>
        <v/>
      </c>
      <c r="L1222" s="26" t="str">
        <f>IF($A1222="","",MIN($D1222,MAX(0,SUMIFS(tblIssues[Qty Issued],tblIssues[Item Name],$A1222)-$K1222)))</f>
        <v/>
      </c>
      <c r="M1222" s="26" t="str">
        <f>IF($A1222="","",SUMIFS(tblIssues[Qty Issued],tblIssues[Lot Number],$B1222))</f>
        <v/>
      </c>
      <c r="N1222" s="26" t="str">
        <f t="shared" si="97"/>
        <v/>
      </c>
      <c r="O1222" s="26" t="str">
        <f t="shared" si="98"/>
        <v/>
      </c>
      <c r="P1222" s="21" t="str">
        <f t="shared" si="99"/>
        <v/>
      </c>
      <c r="Q1222" s="52" t="str">
        <f>IF($A1222="","",IF($O1222&lt;=0,"Depleted",IF($I1222&lt;0,"EXPIRED",IF($I1222&lt;=Settings!$C$6,"CRITICAL",IF($I1222&lt;=Settings!$C$5,"Expiring","In date")))))</f>
        <v/>
      </c>
    </row>
    <row r="1223" spans="1:17" x14ac:dyDescent="0.35">
      <c r="A1223" s="90" t="str">
        <f>IF(Receipts!$D1226="","",Receipts!$D1226)</f>
        <v/>
      </c>
      <c r="B1223" s="18" t="str">
        <f>IF(Receipts!$C1226="","",Receipts!$C1226)</f>
        <v/>
      </c>
      <c r="C1223" s="18" t="str">
        <f>IF($A1223="","",IFERROR(INDEX(Items!$B$5:$B$597,MATCH($A1223,Items!$A$5:$A$597,0)),""))</f>
        <v/>
      </c>
      <c r="D1223" s="23" t="str">
        <f>IF($A1223="","",N(Receipts!$G1226))</f>
        <v/>
      </c>
      <c r="E1223" s="20" t="str">
        <f>IF($A1223="","",IFERROR(INDEX(Items!$D$5:$D$597,MATCH($A1223,Items!$A$5:$A$597,0)),0))</f>
        <v/>
      </c>
      <c r="F1223" s="21" t="str">
        <f t="shared" si="95"/>
        <v/>
      </c>
      <c r="G1223" s="25" t="str">
        <f>IF(Receipts!$I1226="","",Receipts!$I1226)</f>
        <v/>
      </c>
      <c r="H1223" s="25" t="str">
        <f>IF(Receipts!$H1226="","",Receipts!$H1226)</f>
        <v/>
      </c>
      <c r="I1223" s="26" t="str">
        <f t="shared" ca="1" si="96"/>
        <v/>
      </c>
      <c r="J1223" s="26" t="str">
        <f>IF($A1223="","",COUNTIFS(tblReceipts[Item Name],$A1223,tblReceipts[Expiry Date],"&lt;"&amp;$H1223)+COUNTIFS(tblReceipts[Item Name],$A1223,tblReceipts[Expiry Date],$H1223,tblReceipts[Lot Number],"&lt;="&amp;Receipts!$C1226))</f>
        <v/>
      </c>
      <c r="K1223" s="26" t="str">
        <f>IF($A1223="","",SUMIFS(tblReceipts[Qty Received],tblReceipts[Item Name],$A1223,tblReceipts[Expiry Date],"&lt;"&amp;$H1223)+SUMIFS(tblReceipts[Qty Received],tblReceipts[Item Name],$A1223,tblReceipts[Expiry Date],$H1223,tblReceipts[Lot Number],"&lt;"&amp;Receipts!$C1226))</f>
        <v/>
      </c>
      <c r="L1223" s="26" t="str">
        <f>IF($A1223="","",MIN($D1223,MAX(0,SUMIFS(tblIssues[Qty Issued],tblIssues[Item Name],$A1223)-$K1223)))</f>
        <v/>
      </c>
      <c r="M1223" s="26" t="str">
        <f>IF($A1223="","",SUMIFS(tblIssues[Qty Issued],tblIssues[Lot Number],$B1223))</f>
        <v/>
      </c>
      <c r="N1223" s="26" t="str">
        <f t="shared" si="97"/>
        <v/>
      </c>
      <c r="O1223" s="26" t="str">
        <f t="shared" si="98"/>
        <v/>
      </c>
      <c r="P1223" s="21" t="str">
        <f t="shared" si="99"/>
        <v/>
      </c>
      <c r="Q1223" s="52" t="str">
        <f>IF($A1223="","",IF($O1223&lt;=0,"Depleted",IF($I1223&lt;0,"EXPIRED",IF($I1223&lt;=Settings!$C$6,"CRITICAL",IF($I1223&lt;=Settings!$C$5,"Expiring","In date")))))</f>
        <v/>
      </c>
    </row>
    <row r="1224" spans="1:17" x14ac:dyDescent="0.35">
      <c r="A1224" s="90" t="str">
        <f>IF(Receipts!$D1227="","",Receipts!$D1227)</f>
        <v/>
      </c>
      <c r="B1224" s="18" t="str">
        <f>IF(Receipts!$C1227="","",Receipts!$C1227)</f>
        <v/>
      </c>
      <c r="C1224" s="18" t="str">
        <f>IF($A1224="","",IFERROR(INDEX(Items!$B$5:$B$597,MATCH($A1224,Items!$A$5:$A$597,0)),""))</f>
        <v/>
      </c>
      <c r="D1224" s="23" t="str">
        <f>IF($A1224="","",N(Receipts!$G1227))</f>
        <v/>
      </c>
      <c r="E1224" s="20" t="str">
        <f>IF($A1224="","",IFERROR(INDEX(Items!$D$5:$D$597,MATCH($A1224,Items!$A$5:$A$597,0)),0))</f>
        <v/>
      </c>
      <c r="F1224" s="21" t="str">
        <f t="shared" si="95"/>
        <v/>
      </c>
      <c r="G1224" s="25" t="str">
        <f>IF(Receipts!$I1227="","",Receipts!$I1227)</f>
        <v/>
      </c>
      <c r="H1224" s="25" t="str">
        <f>IF(Receipts!$H1227="","",Receipts!$H1227)</f>
        <v/>
      </c>
      <c r="I1224" s="26" t="str">
        <f t="shared" ca="1" si="96"/>
        <v/>
      </c>
      <c r="J1224" s="26" t="str">
        <f>IF($A1224="","",COUNTIFS(tblReceipts[Item Name],$A1224,tblReceipts[Expiry Date],"&lt;"&amp;$H1224)+COUNTIFS(tblReceipts[Item Name],$A1224,tblReceipts[Expiry Date],$H1224,tblReceipts[Lot Number],"&lt;="&amp;Receipts!$C1227))</f>
        <v/>
      </c>
      <c r="K1224" s="26" t="str">
        <f>IF($A1224="","",SUMIFS(tblReceipts[Qty Received],tblReceipts[Item Name],$A1224,tblReceipts[Expiry Date],"&lt;"&amp;$H1224)+SUMIFS(tblReceipts[Qty Received],tblReceipts[Item Name],$A1224,tblReceipts[Expiry Date],$H1224,tblReceipts[Lot Number],"&lt;"&amp;Receipts!$C1227))</f>
        <v/>
      </c>
      <c r="L1224" s="26" t="str">
        <f>IF($A1224="","",MIN($D1224,MAX(0,SUMIFS(tblIssues[Qty Issued],tblIssues[Item Name],$A1224)-$K1224)))</f>
        <v/>
      </c>
      <c r="M1224" s="26" t="str">
        <f>IF($A1224="","",SUMIFS(tblIssues[Qty Issued],tblIssues[Lot Number],$B1224))</f>
        <v/>
      </c>
      <c r="N1224" s="26" t="str">
        <f t="shared" si="97"/>
        <v/>
      </c>
      <c r="O1224" s="26" t="str">
        <f t="shared" si="98"/>
        <v/>
      </c>
      <c r="P1224" s="21" t="str">
        <f t="shared" si="99"/>
        <v/>
      </c>
      <c r="Q1224" s="52" t="str">
        <f>IF($A1224="","",IF($O1224&lt;=0,"Depleted",IF($I1224&lt;0,"EXPIRED",IF($I1224&lt;=Settings!$C$6,"CRITICAL",IF($I1224&lt;=Settings!$C$5,"Expiring","In date")))))</f>
        <v/>
      </c>
    </row>
    <row r="1225" spans="1:17" x14ac:dyDescent="0.35">
      <c r="A1225" s="90" t="str">
        <f>IF(Receipts!$D1228="","",Receipts!$D1228)</f>
        <v/>
      </c>
      <c r="B1225" s="18" t="str">
        <f>IF(Receipts!$C1228="","",Receipts!$C1228)</f>
        <v/>
      </c>
      <c r="C1225" s="18" t="str">
        <f>IF($A1225="","",IFERROR(INDEX(Items!$B$5:$B$597,MATCH($A1225,Items!$A$5:$A$597,0)),""))</f>
        <v/>
      </c>
      <c r="D1225" s="23" t="str">
        <f>IF($A1225="","",N(Receipts!$G1228))</f>
        <v/>
      </c>
      <c r="E1225" s="20" t="str">
        <f>IF($A1225="","",IFERROR(INDEX(Items!$D$5:$D$597,MATCH($A1225,Items!$A$5:$A$597,0)),0))</f>
        <v/>
      </c>
      <c r="F1225" s="21" t="str">
        <f t="shared" si="95"/>
        <v/>
      </c>
      <c r="G1225" s="25" t="str">
        <f>IF(Receipts!$I1228="","",Receipts!$I1228)</f>
        <v/>
      </c>
      <c r="H1225" s="25" t="str">
        <f>IF(Receipts!$H1228="","",Receipts!$H1228)</f>
        <v/>
      </c>
      <c r="I1225" s="26" t="str">
        <f t="shared" ca="1" si="96"/>
        <v/>
      </c>
      <c r="J1225" s="26" t="str">
        <f>IF($A1225="","",COUNTIFS(tblReceipts[Item Name],$A1225,tblReceipts[Expiry Date],"&lt;"&amp;$H1225)+COUNTIFS(tblReceipts[Item Name],$A1225,tblReceipts[Expiry Date],$H1225,tblReceipts[Lot Number],"&lt;="&amp;Receipts!$C1228))</f>
        <v/>
      </c>
      <c r="K1225" s="26" t="str">
        <f>IF($A1225="","",SUMIFS(tblReceipts[Qty Received],tblReceipts[Item Name],$A1225,tblReceipts[Expiry Date],"&lt;"&amp;$H1225)+SUMIFS(tblReceipts[Qty Received],tblReceipts[Item Name],$A1225,tblReceipts[Expiry Date],$H1225,tblReceipts[Lot Number],"&lt;"&amp;Receipts!$C1228))</f>
        <v/>
      </c>
      <c r="L1225" s="26" t="str">
        <f>IF($A1225="","",MIN($D1225,MAX(0,SUMIFS(tblIssues[Qty Issued],tblIssues[Item Name],$A1225)-$K1225)))</f>
        <v/>
      </c>
      <c r="M1225" s="26" t="str">
        <f>IF($A1225="","",SUMIFS(tblIssues[Qty Issued],tblIssues[Lot Number],$B1225))</f>
        <v/>
      </c>
      <c r="N1225" s="26" t="str">
        <f t="shared" si="97"/>
        <v/>
      </c>
      <c r="O1225" s="26" t="str">
        <f t="shared" si="98"/>
        <v/>
      </c>
      <c r="P1225" s="21" t="str">
        <f t="shared" si="99"/>
        <v/>
      </c>
      <c r="Q1225" s="52" t="str">
        <f>IF($A1225="","",IF($O1225&lt;=0,"Depleted",IF($I1225&lt;0,"EXPIRED",IF($I1225&lt;=Settings!$C$6,"CRITICAL",IF($I1225&lt;=Settings!$C$5,"Expiring","In date")))))</f>
        <v/>
      </c>
    </row>
    <row r="1226" spans="1:17" x14ac:dyDescent="0.35">
      <c r="A1226" s="90" t="str">
        <f>IF(Receipts!$D1229="","",Receipts!$D1229)</f>
        <v/>
      </c>
      <c r="B1226" s="18" t="str">
        <f>IF(Receipts!$C1229="","",Receipts!$C1229)</f>
        <v/>
      </c>
      <c r="C1226" s="18" t="str">
        <f>IF($A1226="","",IFERROR(INDEX(Items!$B$5:$B$597,MATCH($A1226,Items!$A$5:$A$597,0)),""))</f>
        <v/>
      </c>
      <c r="D1226" s="23" t="str">
        <f>IF($A1226="","",N(Receipts!$G1229))</f>
        <v/>
      </c>
      <c r="E1226" s="20" t="str">
        <f>IF($A1226="","",IFERROR(INDEX(Items!$D$5:$D$597,MATCH($A1226,Items!$A$5:$A$597,0)),0))</f>
        <v/>
      </c>
      <c r="F1226" s="21" t="str">
        <f t="shared" si="95"/>
        <v/>
      </c>
      <c r="G1226" s="25" t="str">
        <f>IF(Receipts!$I1229="","",Receipts!$I1229)</f>
        <v/>
      </c>
      <c r="H1226" s="25" t="str">
        <f>IF(Receipts!$H1229="","",Receipts!$H1229)</f>
        <v/>
      </c>
      <c r="I1226" s="26" t="str">
        <f t="shared" ca="1" si="96"/>
        <v/>
      </c>
      <c r="J1226" s="26" t="str">
        <f>IF($A1226="","",COUNTIFS(tblReceipts[Item Name],$A1226,tblReceipts[Expiry Date],"&lt;"&amp;$H1226)+COUNTIFS(tblReceipts[Item Name],$A1226,tblReceipts[Expiry Date],$H1226,tblReceipts[Lot Number],"&lt;="&amp;Receipts!$C1229))</f>
        <v/>
      </c>
      <c r="K1226" s="26" t="str">
        <f>IF($A1226="","",SUMIFS(tblReceipts[Qty Received],tblReceipts[Item Name],$A1226,tblReceipts[Expiry Date],"&lt;"&amp;$H1226)+SUMIFS(tblReceipts[Qty Received],tblReceipts[Item Name],$A1226,tblReceipts[Expiry Date],$H1226,tblReceipts[Lot Number],"&lt;"&amp;Receipts!$C1229))</f>
        <v/>
      </c>
      <c r="L1226" s="26" t="str">
        <f>IF($A1226="","",MIN($D1226,MAX(0,SUMIFS(tblIssues[Qty Issued],tblIssues[Item Name],$A1226)-$K1226)))</f>
        <v/>
      </c>
      <c r="M1226" s="26" t="str">
        <f>IF($A1226="","",SUMIFS(tblIssues[Qty Issued],tblIssues[Lot Number],$B1226))</f>
        <v/>
      </c>
      <c r="N1226" s="26" t="str">
        <f t="shared" si="97"/>
        <v/>
      </c>
      <c r="O1226" s="26" t="str">
        <f t="shared" si="98"/>
        <v/>
      </c>
      <c r="P1226" s="21" t="str">
        <f t="shared" si="99"/>
        <v/>
      </c>
      <c r="Q1226" s="52" t="str">
        <f>IF($A1226="","",IF($O1226&lt;=0,"Depleted",IF($I1226&lt;0,"EXPIRED",IF($I1226&lt;=Settings!$C$6,"CRITICAL",IF($I1226&lt;=Settings!$C$5,"Expiring","In date")))))</f>
        <v/>
      </c>
    </row>
    <row r="1227" spans="1:17" x14ac:dyDescent="0.35">
      <c r="A1227" s="90" t="str">
        <f>IF(Receipts!$D1230="","",Receipts!$D1230)</f>
        <v/>
      </c>
      <c r="B1227" s="18" t="str">
        <f>IF(Receipts!$C1230="","",Receipts!$C1230)</f>
        <v/>
      </c>
      <c r="C1227" s="18" t="str">
        <f>IF($A1227="","",IFERROR(INDEX(Items!$B$5:$B$597,MATCH($A1227,Items!$A$5:$A$597,0)),""))</f>
        <v/>
      </c>
      <c r="D1227" s="23" t="str">
        <f>IF($A1227="","",N(Receipts!$G1230))</f>
        <v/>
      </c>
      <c r="E1227" s="20" t="str">
        <f>IF($A1227="","",IFERROR(INDEX(Items!$D$5:$D$597,MATCH($A1227,Items!$A$5:$A$597,0)),0))</f>
        <v/>
      </c>
      <c r="F1227" s="21" t="str">
        <f t="shared" si="95"/>
        <v/>
      </c>
      <c r="G1227" s="25" t="str">
        <f>IF(Receipts!$I1230="","",Receipts!$I1230)</f>
        <v/>
      </c>
      <c r="H1227" s="25" t="str">
        <f>IF(Receipts!$H1230="","",Receipts!$H1230)</f>
        <v/>
      </c>
      <c r="I1227" s="26" t="str">
        <f t="shared" ca="1" si="96"/>
        <v/>
      </c>
      <c r="J1227" s="26" t="str">
        <f>IF($A1227="","",COUNTIFS(tblReceipts[Item Name],$A1227,tblReceipts[Expiry Date],"&lt;"&amp;$H1227)+COUNTIFS(tblReceipts[Item Name],$A1227,tblReceipts[Expiry Date],$H1227,tblReceipts[Lot Number],"&lt;="&amp;Receipts!$C1230))</f>
        <v/>
      </c>
      <c r="K1227" s="26" t="str">
        <f>IF($A1227="","",SUMIFS(tblReceipts[Qty Received],tblReceipts[Item Name],$A1227,tblReceipts[Expiry Date],"&lt;"&amp;$H1227)+SUMIFS(tblReceipts[Qty Received],tblReceipts[Item Name],$A1227,tblReceipts[Expiry Date],$H1227,tblReceipts[Lot Number],"&lt;"&amp;Receipts!$C1230))</f>
        <v/>
      </c>
      <c r="L1227" s="26" t="str">
        <f>IF($A1227="","",MIN($D1227,MAX(0,SUMIFS(tblIssues[Qty Issued],tblIssues[Item Name],$A1227)-$K1227)))</f>
        <v/>
      </c>
      <c r="M1227" s="26" t="str">
        <f>IF($A1227="","",SUMIFS(tblIssues[Qty Issued],tblIssues[Lot Number],$B1227))</f>
        <v/>
      </c>
      <c r="N1227" s="26" t="str">
        <f t="shared" si="97"/>
        <v/>
      </c>
      <c r="O1227" s="26" t="str">
        <f t="shared" si="98"/>
        <v/>
      </c>
      <c r="P1227" s="21" t="str">
        <f t="shared" si="99"/>
        <v/>
      </c>
      <c r="Q1227" s="52" t="str">
        <f>IF($A1227="","",IF($O1227&lt;=0,"Depleted",IF($I1227&lt;0,"EXPIRED",IF($I1227&lt;=Settings!$C$6,"CRITICAL",IF($I1227&lt;=Settings!$C$5,"Expiring","In date")))))</f>
        <v/>
      </c>
    </row>
    <row r="1228" spans="1:17" x14ac:dyDescent="0.35">
      <c r="A1228" s="90" t="str">
        <f>IF(Receipts!$D1231="","",Receipts!$D1231)</f>
        <v/>
      </c>
      <c r="B1228" s="18" t="str">
        <f>IF(Receipts!$C1231="","",Receipts!$C1231)</f>
        <v/>
      </c>
      <c r="C1228" s="18" t="str">
        <f>IF($A1228="","",IFERROR(INDEX(Items!$B$5:$B$597,MATCH($A1228,Items!$A$5:$A$597,0)),""))</f>
        <v/>
      </c>
      <c r="D1228" s="23" t="str">
        <f>IF($A1228="","",N(Receipts!$G1231))</f>
        <v/>
      </c>
      <c r="E1228" s="20" t="str">
        <f>IF($A1228="","",IFERROR(INDEX(Items!$D$5:$D$597,MATCH($A1228,Items!$A$5:$A$597,0)),0))</f>
        <v/>
      </c>
      <c r="F1228" s="21" t="str">
        <f t="shared" si="95"/>
        <v/>
      </c>
      <c r="G1228" s="25" t="str">
        <f>IF(Receipts!$I1231="","",Receipts!$I1231)</f>
        <v/>
      </c>
      <c r="H1228" s="25" t="str">
        <f>IF(Receipts!$H1231="","",Receipts!$H1231)</f>
        <v/>
      </c>
      <c r="I1228" s="26" t="str">
        <f t="shared" ca="1" si="96"/>
        <v/>
      </c>
      <c r="J1228" s="26" t="str">
        <f>IF($A1228="","",COUNTIFS(tblReceipts[Item Name],$A1228,tblReceipts[Expiry Date],"&lt;"&amp;$H1228)+COUNTIFS(tblReceipts[Item Name],$A1228,tblReceipts[Expiry Date],$H1228,tblReceipts[Lot Number],"&lt;="&amp;Receipts!$C1231))</f>
        <v/>
      </c>
      <c r="K1228" s="26" t="str">
        <f>IF($A1228="","",SUMIFS(tblReceipts[Qty Received],tblReceipts[Item Name],$A1228,tblReceipts[Expiry Date],"&lt;"&amp;$H1228)+SUMIFS(tblReceipts[Qty Received],tblReceipts[Item Name],$A1228,tblReceipts[Expiry Date],$H1228,tblReceipts[Lot Number],"&lt;"&amp;Receipts!$C1231))</f>
        <v/>
      </c>
      <c r="L1228" s="26" t="str">
        <f>IF($A1228="","",MIN($D1228,MAX(0,SUMIFS(tblIssues[Qty Issued],tblIssues[Item Name],$A1228)-$K1228)))</f>
        <v/>
      </c>
      <c r="M1228" s="26" t="str">
        <f>IF($A1228="","",SUMIFS(tblIssues[Qty Issued],tblIssues[Lot Number],$B1228))</f>
        <v/>
      </c>
      <c r="N1228" s="26" t="str">
        <f t="shared" si="97"/>
        <v/>
      </c>
      <c r="O1228" s="26" t="str">
        <f t="shared" si="98"/>
        <v/>
      </c>
      <c r="P1228" s="21" t="str">
        <f t="shared" si="99"/>
        <v/>
      </c>
      <c r="Q1228" s="52" t="str">
        <f>IF($A1228="","",IF($O1228&lt;=0,"Depleted",IF($I1228&lt;0,"EXPIRED",IF($I1228&lt;=Settings!$C$6,"CRITICAL",IF($I1228&lt;=Settings!$C$5,"Expiring","In date")))))</f>
        <v/>
      </c>
    </row>
    <row r="1229" spans="1:17" x14ac:dyDescent="0.35">
      <c r="A1229" s="90" t="str">
        <f>IF(Receipts!$D1232="","",Receipts!$D1232)</f>
        <v/>
      </c>
      <c r="B1229" s="18" t="str">
        <f>IF(Receipts!$C1232="","",Receipts!$C1232)</f>
        <v/>
      </c>
      <c r="C1229" s="18" t="str">
        <f>IF($A1229="","",IFERROR(INDEX(Items!$B$5:$B$597,MATCH($A1229,Items!$A$5:$A$597,0)),""))</f>
        <v/>
      </c>
      <c r="D1229" s="23" t="str">
        <f>IF($A1229="","",N(Receipts!$G1232))</f>
        <v/>
      </c>
      <c r="E1229" s="20" t="str">
        <f>IF($A1229="","",IFERROR(INDEX(Items!$D$5:$D$597,MATCH($A1229,Items!$A$5:$A$597,0)),0))</f>
        <v/>
      </c>
      <c r="F1229" s="21" t="str">
        <f t="shared" si="95"/>
        <v/>
      </c>
      <c r="G1229" s="25" t="str">
        <f>IF(Receipts!$I1232="","",Receipts!$I1232)</f>
        <v/>
      </c>
      <c r="H1229" s="25" t="str">
        <f>IF(Receipts!$H1232="","",Receipts!$H1232)</f>
        <v/>
      </c>
      <c r="I1229" s="26" t="str">
        <f t="shared" ca="1" si="96"/>
        <v/>
      </c>
      <c r="J1229" s="26" t="str">
        <f>IF($A1229="","",COUNTIFS(tblReceipts[Item Name],$A1229,tblReceipts[Expiry Date],"&lt;"&amp;$H1229)+COUNTIFS(tblReceipts[Item Name],$A1229,tblReceipts[Expiry Date],$H1229,tblReceipts[Lot Number],"&lt;="&amp;Receipts!$C1232))</f>
        <v/>
      </c>
      <c r="K1229" s="26" t="str">
        <f>IF($A1229="","",SUMIFS(tblReceipts[Qty Received],tblReceipts[Item Name],$A1229,tblReceipts[Expiry Date],"&lt;"&amp;$H1229)+SUMIFS(tblReceipts[Qty Received],tblReceipts[Item Name],$A1229,tblReceipts[Expiry Date],$H1229,tblReceipts[Lot Number],"&lt;"&amp;Receipts!$C1232))</f>
        <v/>
      </c>
      <c r="L1229" s="26" t="str">
        <f>IF($A1229="","",MIN($D1229,MAX(0,SUMIFS(tblIssues[Qty Issued],tblIssues[Item Name],$A1229)-$K1229)))</f>
        <v/>
      </c>
      <c r="M1229" s="26" t="str">
        <f>IF($A1229="","",SUMIFS(tblIssues[Qty Issued],tblIssues[Lot Number],$B1229))</f>
        <v/>
      </c>
      <c r="N1229" s="26" t="str">
        <f t="shared" si="97"/>
        <v/>
      </c>
      <c r="O1229" s="26" t="str">
        <f t="shared" si="98"/>
        <v/>
      </c>
      <c r="P1229" s="21" t="str">
        <f t="shared" si="99"/>
        <v/>
      </c>
      <c r="Q1229" s="52" t="str">
        <f>IF($A1229="","",IF($O1229&lt;=0,"Depleted",IF($I1229&lt;0,"EXPIRED",IF($I1229&lt;=Settings!$C$6,"CRITICAL",IF($I1229&lt;=Settings!$C$5,"Expiring","In date")))))</f>
        <v/>
      </c>
    </row>
    <row r="1230" spans="1:17" x14ac:dyDescent="0.35">
      <c r="A1230" s="90" t="str">
        <f>IF(Receipts!$D1233="","",Receipts!$D1233)</f>
        <v/>
      </c>
      <c r="B1230" s="18" t="str">
        <f>IF(Receipts!$C1233="","",Receipts!$C1233)</f>
        <v/>
      </c>
      <c r="C1230" s="18" t="str">
        <f>IF($A1230="","",IFERROR(INDEX(Items!$B$5:$B$597,MATCH($A1230,Items!$A$5:$A$597,0)),""))</f>
        <v/>
      </c>
      <c r="D1230" s="23" t="str">
        <f>IF($A1230="","",N(Receipts!$G1233))</f>
        <v/>
      </c>
      <c r="E1230" s="20" t="str">
        <f>IF($A1230="","",IFERROR(INDEX(Items!$D$5:$D$597,MATCH($A1230,Items!$A$5:$A$597,0)),0))</f>
        <v/>
      </c>
      <c r="F1230" s="21" t="str">
        <f t="shared" si="95"/>
        <v/>
      </c>
      <c r="G1230" s="25" t="str">
        <f>IF(Receipts!$I1233="","",Receipts!$I1233)</f>
        <v/>
      </c>
      <c r="H1230" s="25" t="str">
        <f>IF(Receipts!$H1233="","",Receipts!$H1233)</f>
        <v/>
      </c>
      <c r="I1230" s="26" t="str">
        <f t="shared" ca="1" si="96"/>
        <v/>
      </c>
      <c r="J1230" s="26" t="str">
        <f>IF($A1230="","",COUNTIFS(tblReceipts[Item Name],$A1230,tblReceipts[Expiry Date],"&lt;"&amp;$H1230)+COUNTIFS(tblReceipts[Item Name],$A1230,tblReceipts[Expiry Date],$H1230,tblReceipts[Lot Number],"&lt;="&amp;Receipts!$C1233))</f>
        <v/>
      </c>
      <c r="K1230" s="26" t="str">
        <f>IF($A1230="","",SUMIFS(tblReceipts[Qty Received],tblReceipts[Item Name],$A1230,tblReceipts[Expiry Date],"&lt;"&amp;$H1230)+SUMIFS(tblReceipts[Qty Received],tblReceipts[Item Name],$A1230,tblReceipts[Expiry Date],$H1230,tblReceipts[Lot Number],"&lt;"&amp;Receipts!$C1233))</f>
        <v/>
      </c>
      <c r="L1230" s="26" t="str">
        <f>IF($A1230="","",MIN($D1230,MAX(0,SUMIFS(tblIssues[Qty Issued],tblIssues[Item Name],$A1230)-$K1230)))</f>
        <v/>
      </c>
      <c r="M1230" s="26" t="str">
        <f>IF($A1230="","",SUMIFS(tblIssues[Qty Issued],tblIssues[Lot Number],$B1230))</f>
        <v/>
      </c>
      <c r="N1230" s="26" t="str">
        <f t="shared" si="97"/>
        <v/>
      </c>
      <c r="O1230" s="26" t="str">
        <f t="shared" si="98"/>
        <v/>
      </c>
      <c r="P1230" s="21" t="str">
        <f t="shared" si="99"/>
        <v/>
      </c>
      <c r="Q1230" s="52" t="str">
        <f>IF($A1230="","",IF($O1230&lt;=0,"Depleted",IF($I1230&lt;0,"EXPIRED",IF($I1230&lt;=Settings!$C$6,"CRITICAL",IF($I1230&lt;=Settings!$C$5,"Expiring","In date")))))</f>
        <v/>
      </c>
    </row>
    <row r="1231" spans="1:17" x14ac:dyDescent="0.35">
      <c r="A1231" s="90" t="str">
        <f>IF(Receipts!$D1234="","",Receipts!$D1234)</f>
        <v/>
      </c>
      <c r="B1231" s="18" t="str">
        <f>IF(Receipts!$C1234="","",Receipts!$C1234)</f>
        <v/>
      </c>
      <c r="C1231" s="18" t="str">
        <f>IF($A1231="","",IFERROR(INDEX(Items!$B$5:$B$597,MATCH($A1231,Items!$A$5:$A$597,0)),""))</f>
        <v/>
      </c>
      <c r="D1231" s="23" t="str">
        <f>IF($A1231="","",N(Receipts!$G1234))</f>
        <v/>
      </c>
      <c r="E1231" s="20" t="str">
        <f>IF($A1231="","",IFERROR(INDEX(Items!$D$5:$D$597,MATCH($A1231,Items!$A$5:$A$597,0)),0))</f>
        <v/>
      </c>
      <c r="F1231" s="21" t="str">
        <f t="shared" si="95"/>
        <v/>
      </c>
      <c r="G1231" s="25" t="str">
        <f>IF(Receipts!$I1234="","",Receipts!$I1234)</f>
        <v/>
      </c>
      <c r="H1231" s="25" t="str">
        <f>IF(Receipts!$H1234="","",Receipts!$H1234)</f>
        <v/>
      </c>
      <c r="I1231" s="26" t="str">
        <f t="shared" ca="1" si="96"/>
        <v/>
      </c>
      <c r="J1231" s="26" t="str">
        <f>IF($A1231="","",COUNTIFS(tblReceipts[Item Name],$A1231,tblReceipts[Expiry Date],"&lt;"&amp;$H1231)+COUNTIFS(tblReceipts[Item Name],$A1231,tblReceipts[Expiry Date],$H1231,tblReceipts[Lot Number],"&lt;="&amp;Receipts!$C1234))</f>
        <v/>
      </c>
      <c r="K1231" s="26" t="str">
        <f>IF($A1231="","",SUMIFS(tblReceipts[Qty Received],tblReceipts[Item Name],$A1231,tblReceipts[Expiry Date],"&lt;"&amp;$H1231)+SUMIFS(tblReceipts[Qty Received],tblReceipts[Item Name],$A1231,tblReceipts[Expiry Date],$H1231,tblReceipts[Lot Number],"&lt;"&amp;Receipts!$C1234))</f>
        <v/>
      </c>
      <c r="L1231" s="26" t="str">
        <f>IF($A1231="","",MIN($D1231,MAX(0,SUMIFS(tblIssues[Qty Issued],tblIssues[Item Name],$A1231)-$K1231)))</f>
        <v/>
      </c>
      <c r="M1231" s="26" t="str">
        <f>IF($A1231="","",SUMIFS(tblIssues[Qty Issued],tblIssues[Lot Number],$B1231))</f>
        <v/>
      </c>
      <c r="N1231" s="26" t="str">
        <f t="shared" si="97"/>
        <v/>
      </c>
      <c r="O1231" s="26" t="str">
        <f t="shared" si="98"/>
        <v/>
      </c>
      <c r="P1231" s="21" t="str">
        <f t="shared" si="99"/>
        <v/>
      </c>
      <c r="Q1231" s="52" t="str">
        <f>IF($A1231="","",IF($O1231&lt;=0,"Depleted",IF($I1231&lt;0,"EXPIRED",IF($I1231&lt;=Settings!$C$6,"CRITICAL",IF($I1231&lt;=Settings!$C$5,"Expiring","In date")))))</f>
        <v/>
      </c>
    </row>
    <row r="1232" spans="1:17" x14ac:dyDescent="0.35">
      <c r="A1232" s="90" t="str">
        <f>IF(Receipts!$D1235="","",Receipts!$D1235)</f>
        <v/>
      </c>
      <c r="B1232" s="18" t="str">
        <f>IF(Receipts!$C1235="","",Receipts!$C1235)</f>
        <v/>
      </c>
      <c r="C1232" s="18" t="str">
        <f>IF($A1232="","",IFERROR(INDEX(Items!$B$5:$B$597,MATCH($A1232,Items!$A$5:$A$597,0)),""))</f>
        <v/>
      </c>
      <c r="D1232" s="23" t="str">
        <f>IF($A1232="","",N(Receipts!$G1235))</f>
        <v/>
      </c>
      <c r="E1232" s="20" t="str">
        <f>IF($A1232="","",IFERROR(INDEX(Items!$D$5:$D$597,MATCH($A1232,Items!$A$5:$A$597,0)),0))</f>
        <v/>
      </c>
      <c r="F1232" s="21" t="str">
        <f t="shared" si="95"/>
        <v/>
      </c>
      <c r="G1232" s="25" t="str">
        <f>IF(Receipts!$I1235="","",Receipts!$I1235)</f>
        <v/>
      </c>
      <c r="H1232" s="25" t="str">
        <f>IF(Receipts!$H1235="","",Receipts!$H1235)</f>
        <v/>
      </c>
      <c r="I1232" s="26" t="str">
        <f t="shared" ca="1" si="96"/>
        <v/>
      </c>
      <c r="J1232" s="26" t="str">
        <f>IF($A1232="","",COUNTIFS(tblReceipts[Item Name],$A1232,tblReceipts[Expiry Date],"&lt;"&amp;$H1232)+COUNTIFS(tblReceipts[Item Name],$A1232,tblReceipts[Expiry Date],$H1232,tblReceipts[Lot Number],"&lt;="&amp;Receipts!$C1235))</f>
        <v/>
      </c>
      <c r="K1232" s="26" t="str">
        <f>IF($A1232="","",SUMIFS(tblReceipts[Qty Received],tblReceipts[Item Name],$A1232,tblReceipts[Expiry Date],"&lt;"&amp;$H1232)+SUMIFS(tblReceipts[Qty Received],tblReceipts[Item Name],$A1232,tblReceipts[Expiry Date],$H1232,tblReceipts[Lot Number],"&lt;"&amp;Receipts!$C1235))</f>
        <v/>
      </c>
      <c r="L1232" s="26" t="str">
        <f>IF($A1232="","",MIN($D1232,MAX(0,SUMIFS(tblIssues[Qty Issued],tblIssues[Item Name],$A1232)-$K1232)))</f>
        <v/>
      </c>
      <c r="M1232" s="26" t="str">
        <f>IF($A1232="","",SUMIFS(tblIssues[Qty Issued],tblIssues[Lot Number],$B1232))</f>
        <v/>
      </c>
      <c r="N1232" s="26" t="str">
        <f t="shared" si="97"/>
        <v/>
      </c>
      <c r="O1232" s="26" t="str">
        <f t="shared" si="98"/>
        <v/>
      </c>
      <c r="P1232" s="21" t="str">
        <f t="shared" si="99"/>
        <v/>
      </c>
      <c r="Q1232" s="52" t="str">
        <f>IF($A1232="","",IF($O1232&lt;=0,"Depleted",IF($I1232&lt;0,"EXPIRED",IF($I1232&lt;=Settings!$C$6,"CRITICAL",IF($I1232&lt;=Settings!$C$5,"Expiring","In date")))))</f>
        <v/>
      </c>
    </row>
    <row r="1233" spans="1:17" x14ac:dyDescent="0.35">
      <c r="A1233" s="90" t="str">
        <f>IF(Receipts!$D1236="","",Receipts!$D1236)</f>
        <v/>
      </c>
      <c r="B1233" s="18" t="str">
        <f>IF(Receipts!$C1236="","",Receipts!$C1236)</f>
        <v/>
      </c>
      <c r="C1233" s="18" t="str">
        <f>IF($A1233="","",IFERROR(INDEX(Items!$B$5:$B$597,MATCH($A1233,Items!$A$5:$A$597,0)),""))</f>
        <v/>
      </c>
      <c r="D1233" s="23" t="str">
        <f>IF($A1233="","",N(Receipts!$G1236))</f>
        <v/>
      </c>
      <c r="E1233" s="20" t="str">
        <f>IF($A1233="","",IFERROR(INDEX(Items!$D$5:$D$597,MATCH($A1233,Items!$A$5:$A$597,0)),0))</f>
        <v/>
      </c>
      <c r="F1233" s="21" t="str">
        <f t="shared" si="95"/>
        <v/>
      </c>
      <c r="G1233" s="25" t="str">
        <f>IF(Receipts!$I1236="","",Receipts!$I1236)</f>
        <v/>
      </c>
      <c r="H1233" s="25" t="str">
        <f>IF(Receipts!$H1236="","",Receipts!$H1236)</f>
        <v/>
      </c>
      <c r="I1233" s="26" t="str">
        <f t="shared" ca="1" si="96"/>
        <v/>
      </c>
      <c r="J1233" s="26" t="str">
        <f>IF($A1233="","",COUNTIFS(tblReceipts[Item Name],$A1233,tblReceipts[Expiry Date],"&lt;"&amp;$H1233)+COUNTIFS(tblReceipts[Item Name],$A1233,tblReceipts[Expiry Date],$H1233,tblReceipts[Lot Number],"&lt;="&amp;Receipts!$C1236))</f>
        <v/>
      </c>
      <c r="K1233" s="26" t="str">
        <f>IF($A1233="","",SUMIFS(tblReceipts[Qty Received],tblReceipts[Item Name],$A1233,tblReceipts[Expiry Date],"&lt;"&amp;$H1233)+SUMIFS(tblReceipts[Qty Received],tblReceipts[Item Name],$A1233,tblReceipts[Expiry Date],$H1233,tblReceipts[Lot Number],"&lt;"&amp;Receipts!$C1236))</f>
        <v/>
      </c>
      <c r="L1233" s="26" t="str">
        <f>IF($A1233="","",MIN($D1233,MAX(0,SUMIFS(tblIssues[Qty Issued],tblIssues[Item Name],$A1233)-$K1233)))</f>
        <v/>
      </c>
      <c r="M1233" s="26" t="str">
        <f>IF($A1233="","",SUMIFS(tblIssues[Qty Issued],tblIssues[Lot Number],$B1233))</f>
        <v/>
      </c>
      <c r="N1233" s="26" t="str">
        <f t="shared" si="97"/>
        <v/>
      </c>
      <c r="O1233" s="26" t="str">
        <f t="shared" si="98"/>
        <v/>
      </c>
      <c r="P1233" s="21" t="str">
        <f t="shared" si="99"/>
        <v/>
      </c>
      <c r="Q1233" s="52" t="str">
        <f>IF($A1233="","",IF($O1233&lt;=0,"Depleted",IF($I1233&lt;0,"EXPIRED",IF($I1233&lt;=Settings!$C$6,"CRITICAL",IF($I1233&lt;=Settings!$C$5,"Expiring","In date")))))</f>
        <v/>
      </c>
    </row>
    <row r="1234" spans="1:17" x14ac:dyDescent="0.35">
      <c r="A1234" s="90" t="str">
        <f>IF(Receipts!$D1237="","",Receipts!$D1237)</f>
        <v/>
      </c>
      <c r="B1234" s="18" t="str">
        <f>IF(Receipts!$C1237="","",Receipts!$C1237)</f>
        <v/>
      </c>
      <c r="C1234" s="18" t="str">
        <f>IF($A1234="","",IFERROR(INDEX(Items!$B$5:$B$597,MATCH($A1234,Items!$A$5:$A$597,0)),""))</f>
        <v/>
      </c>
      <c r="D1234" s="23" t="str">
        <f>IF($A1234="","",N(Receipts!$G1237))</f>
        <v/>
      </c>
      <c r="E1234" s="20" t="str">
        <f>IF($A1234="","",IFERROR(INDEX(Items!$D$5:$D$597,MATCH($A1234,Items!$A$5:$A$597,0)),0))</f>
        <v/>
      </c>
      <c r="F1234" s="21" t="str">
        <f t="shared" si="95"/>
        <v/>
      </c>
      <c r="G1234" s="25" t="str">
        <f>IF(Receipts!$I1237="","",Receipts!$I1237)</f>
        <v/>
      </c>
      <c r="H1234" s="25" t="str">
        <f>IF(Receipts!$H1237="","",Receipts!$H1237)</f>
        <v/>
      </c>
      <c r="I1234" s="26" t="str">
        <f t="shared" ca="1" si="96"/>
        <v/>
      </c>
      <c r="J1234" s="26" t="str">
        <f>IF($A1234="","",COUNTIFS(tblReceipts[Item Name],$A1234,tblReceipts[Expiry Date],"&lt;"&amp;$H1234)+COUNTIFS(tblReceipts[Item Name],$A1234,tblReceipts[Expiry Date],$H1234,tblReceipts[Lot Number],"&lt;="&amp;Receipts!$C1237))</f>
        <v/>
      </c>
      <c r="K1234" s="26" t="str">
        <f>IF($A1234="","",SUMIFS(tblReceipts[Qty Received],tblReceipts[Item Name],$A1234,tblReceipts[Expiry Date],"&lt;"&amp;$H1234)+SUMIFS(tblReceipts[Qty Received],tblReceipts[Item Name],$A1234,tblReceipts[Expiry Date],$H1234,tblReceipts[Lot Number],"&lt;"&amp;Receipts!$C1237))</f>
        <v/>
      </c>
      <c r="L1234" s="26" t="str">
        <f>IF($A1234="","",MIN($D1234,MAX(0,SUMIFS(tblIssues[Qty Issued],tblIssues[Item Name],$A1234)-$K1234)))</f>
        <v/>
      </c>
      <c r="M1234" s="26" t="str">
        <f>IF($A1234="","",SUMIFS(tblIssues[Qty Issued],tblIssues[Lot Number],$B1234))</f>
        <v/>
      </c>
      <c r="N1234" s="26" t="str">
        <f t="shared" si="97"/>
        <v/>
      </c>
      <c r="O1234" s="26" t="str">
        <f t="shared" si="98"/>
        <v/>
      </c>
      <c r="P1234" s="21" t="str">
        <f t="shared" si="99"/>
        <v/>
      </c>
      <c r="Q1234" s="52" t="str">
        <f>IF($A1234="","",IF($O1234&lt;=0,"Depleted",IF($I1234&lt;0,"EXPIRED",IF($I1234&lt;=Settings!$C$6,"CRITICAL",IF($I1234&lt;=Settings!$C$5,"Expiring","In date")))))</f>
        <v/>
      </c>
    </row>
    <row r="1235" spans="1:17" x14ac:dyDescent="0.35">
      <c r="A1235" s="90" t="str">
        <f>IF(Receipts!$D1238="","",Receipts!$D1238)</f>
        <v/>
      </c>
      <c r="B1235" s="18" t="str">
        <f>IF(Receipts!$C1238="","",Receipts!$C1238)</f>
        <v/>
      </c>
      <c r="C1235" s="18" t="str">
        <f>IF($A1235="","",IFERROR(INDEX(Items!$B$5:$B$597,MATCH($A1235,Items!$A$5:$A$597,0)),""))</f>
        <v/>
      </c>
      <c r="D1235" s="23" t="str">
        <f>IF($A1235="","",N(Receipts!$G1238))</f>
        <v/>
      </c>
      <c r="E1235" s="20" t="str">
        <f>IF($A1235="","",IFERROR(INDEX(Items!$D$5:$D$597,MATCH($A1235,Items!$A$5:$A$597,0)),0))</f>
        <v/>
      </c>
      <c r="F1235" s="21" t="str">
        <f t="shared" si="95"/>
        <v/>
      </c>
      <c r="G1235" s="25" t="str">
        <f>IF(Receipts!$I1238="","",Receipts!$I1238)</f>
        <v/>
      </c>
      <c r="H1235" s="25" t="str">
        <f>IF(Receipts!$H1238="","",Receipts!$H1238)</f>
        <v/>
      </c>
      <c r="I1235" s="26" t="str">
        <f t="shared" ca="1" si="96"/>
        <v/>
      </c>
      <c r="J1235" s="26" t="str">
        <f>IF($A1235="","",COUNTIFS(tblReceipts[Item Name],$A1235,tblReceipts[Expiry Date],"&lt;"&amp;$H1235)+COUNTIFS(tblReceipts[Item Name],$A1235,tblReceipts[Expiry Date],$H1235,tblReceipts[Lot Number],"&lt;="&amp;Receipts!$C1238))</f>
        <v/>
      </c>
      <c r="K1235" s="26" t="str">
        <f>IF($A1235="","",SUMIFS(tblReceipts[Qty Received],tblReceipts[Item Name],$A1235,tblReceipts[Expiry Date],"&lt;"&amp;$H1235)+SUMIFS(tblReceipts[Qty Received],tblReceipts[Item Name],$A1235,tblReceipts[Expiry Date],$H1235,tblReceipts[Lot Number],"&lt;"&amp;Receipts!$C1238))</f>
        <v/>
      </c>
      <c r="L1235" s="26" t="str">
        <f>IF($A1235="","",MIN($D1235,MAX(0,SUMIFS(tblIssues[Qty Issued],tblIssues[Item Name],$A1235)-$K1235)))</f>
        <v/>
      </c>
      <c r="M1235" s="26" t="str">
        <f>IF($A1235="","",SUMIFS(tblIssues[Qty Issued],tblIssues[Lot Number],$B1235))</f>
        <v/>
      </c>
      <c r="N1235" s="26" t="str">
        <f t="shared" si="97"/>
        <v/>
      </c>
      <c r="O1235" s="26" t="str">
        <f t="shared" si="98"/>
        <v/>
      </c>
      <c r="P1235" s="21" t="str">
        <f t="shared" si="99"/>
        <v/>
      </c>
      <c r="Q1235" s="52" t="str">
        <f>IF($A1235="","",IF($O1235&lt;=0,"Depleted",IF($I1235&lt;0,"EXPIRED",IF($I1235&lt;=Settings!$C$6,"CRITICAL",IF($I1235&lt;=Settings!$C$5,"Expiring","In date")))))</f>
        <v/>
      </c>
    </row>
    <row r="1236" spans="1:17" x14ac:dyDescent="0.35">
      <c r="A1236" s="90" t="str">
        <f>IF(Receipts!$D1239="","",Receipts!$D1239)</f>
        <v/>
      </c>
      <c r="B1236" s="18" t="str">
        <f>IF(Receipts!$C1239="","",Receipts!$C1239)</f>
        <v/>
      </c>
      <c r="C1236" s="18" t="str">
        <f>IF($A1236="","",IFERROR(INDEX(Items!$B$5:$B$597,MATCH($A1236,Items!$A$5:$A$597,0)),""))</f>
        <v/>
      </c>
      <c r="D1236" s="23" t="str">
        <f>IF($A1236="","",N(Receipts!$G1239))</f>
        <v/>
      </c>
      <c r="E1236" s="20" t="str">
        <f>IF($A1236="","",IFERROR(INDEX(Items!$D$5:$D$597,MATCH($A1236,Items!$A$5:$A$597,0)),0))</f>
        <v/>
      </c>
      <c r="F1236" s="21" t="str">
        <f t="shared" si="95"/>
        <v/>
      </c>
      <c r="G1236" s="25" t="str">
        <f>IF(Receipts!$I1239="","",Receipts!$I1239)</f>
        <v/>
      </c>
      <c r="H1236" s="25" t="str">
        <f>IF(Receipts!$H1239="","",Receipts!$H1239)</f>
        <v/>
      </c>
      <c r="I1236" s="26" t="str">
        <f t="shared" ca="1" si="96"/>
        <v/>
      </c>
      <c r="J1236" s="26" t="str">
        <f>IF($A1236="","",COUNTIFS(tblReceipts[Item Name],$A1236,tblReceipts[Expiry Date],"&lt;"&amp;$H1236)+COUNTIFS(tblReceipts[Item Name],$A1236,tblReceipts[Expiry Date],$H1236,tblReceipts[Lot Number],"&lt;="&amp;Receipts!$C1239))</f>
        <v/>
      </c>
      <c r="K1236" s="26" t="str">
        <f>IF($A1236="","",SUMIFS(tblReceipts[Qty Received],tblReceipts[Item Name],$A1236,tblReceipts[Expiry Date],"&lt;"&amp;$H1236)+SUMIFS(tblReceipts[Qty Received],tblReceipts[Item Name],$A1236,tblReceipts[Expiry Date],$H1236,tblReceipts[Lot Number],"&lt;"&amp;Receipts!$C1239))</f>
        <v/>
      </c>
      <c r="L1236" s="26" t="str">
        <f>IF($A1236="","",MIN($D1236,MAX(0,SUMIFS(tblIssues[Qty Issued],tblIssues[Item Name],$A1236)-$K1236)))</f>
        <v/>
      </c>
      <c r="M1236" s="26" t="str">
        <f>IF($A1236="","",SUMIFS(tblIssues[Qty Issued],tblIssues[Lot Number],$B1236))</f>
        <v/>
      </c>
      <c r="N1236" s="26" t="str">
        <f t="shared" si="97"/>
        <v/>
      </c>
      <c r="O1236" s="26" t="str">
        <f t="shared" si="98"/>
        <v/>
      </c>
      <c r="P1236" s="21" t="str">
        <f t="shared" si="99"/>
        <v/>
      </c>
      <c r="Q1236" s="52" t="str">
        <f>IF($A1236="","",IF($O1236&lt;=0,"Depleted",IF($I1236&lt;0,"EXPIRED",IF($I1236&lt;=Settings!$C$6,"CRITICAL",IF($I1236&lt;=Settings!$C$5,"Expiring","In date")))))</f>
        <v/>
      </c>
    </row>
    <row r="1237" spans="1:17" x14ac:dyDescent="0.35">
      <c r="A1237" s="90" t="str">
        <f>IF(Receipts!$D1240="","",Receipts!$D1240)</f>
        <v/>
      </c>
      <c r="B1237" s="18" t="str">
        <f>IF(Receipts!$C1240="","",Receipts!$C1240)</f>
        <v/>
      </c>
      <c r="C1237" s="18" t="str">
        <f>IF($A1237="","",IFERROR(INDEX(Items!$B$5:$B$597,MATCH($A1237,Items!$A$5:$A$597,0)),""))</f>
        <v/>
      </c>
      <c r="D1237" s="23" t="str">
        <f>IF($A1237="","",N(Receipts!$G1240))</f>
        <v/>
      </c>
      <c r="E1237" s="20" t="str">
        <f>IF($A1237="","",IFERROR(INDEX(Items!$D$5:$D$597,MATCH($A1237,Items!$A$5:$A$597,0)),0))</f>
        <v/>
      </c>
      <c r="F1237" s="21" t="str">
        <f t="shared" si="95"/>
        <v/>
      </c>
      <c r="G1237" s="25" t="str">
        <f>IF(Receipts!$I1240="","",Receipts!$I1240)</f>
        <v/>
      </c>
      <c r="H1237" s="25" t="str">
        <f>IF(Receipts!$H1240="","",Receipts!$H1240)</f>
        <v/>
      </c>
      <c r="I1237" s="26" t="str">
        <f t="shared" ca="1" si="96"/>
        <v/>
      </c>
      <c r="J1237" s="26" t="str">
        <f>IF($A1237="","",COUNTIFS(tblReceipts[Item Name],$A1237,tblReceipts[Expiry Date],"&lt;"&amp;$H1237)+COUNTIFS(tblReceipts[Item Name],$A1237,tblReceipts[Expiry Date],$H1237,tblReceipts[Lot Number],"&lt;="&amp;Receipts!$C1240))</f>
        <v/>
      </c>
      <c r="K1237" s="26" t="str">
        <f>IF($A1237="","",SUMIFS(tblReceipts[Qty Received],tblReceipts[Item Name],$A1237,tblReceipts[Expiry Date],"&lt;"&amp;$H1237)+SUMIFS(tblReceipts[Qty Received],tblReceipts[Item Name],$A1237,tblReceipts[Expiry Date],$H1237,tblReceipts[Lot Number],"&lt;"&amp;Receipts!$C1240))</f>
        <v/>
      </c>
      <c r="L1237" s="26" t="str">
        <f>IF($A1237="","",MIN($D1237,MAX(0,SUMIFS(tblIssues[Qty Issued],tblIssues[Item Name],$A1237)-$K1237)))</f>
        <v/>
      </c>
      <c r="M1237" s="26" t="str">
        <f>IF($A1237="","",SUMIFS(tblIssues[Qty Issued],tblIssues[Lot Number],$B1237))</f>
        <v/>
      </c>
      <c r="N1237" s="26" t="str">
        <f t="shared" si="97"/>
        <v/>
      </c>
      <c r="O1237" s="26" t="str">
        <f t="shared" si="98"/>
        <v/>
      </c>
      <c r="P1237" s="21" t="str">
        <f t="shared" si="99"/>
        <v/>
      </c>
      <c r="Q1237" s="52" t="str">
        <f>IF($A1237="","",IF($O1237&lt;=0,"Depleted",IF($I1237&lt;0,"EXPIRED",IF($I1237&lt;=Settings!$C$6,"CRITICAL",IF($I1237&lt;=Settings!$C$5,"Expiring","In date")))))</f>
        <v/>
      </c>
    </row>
    <row r="1238" spans="1:17" x14ac:dyDescent="0.35">
      <c r="A1238" s="90" t="str">
        <f>IF(Receipts!$D1241="","",Receipts!$D1241)</f>
        <v/>
      </c>
      <c r="B1238" s="18" t="str">
        <f>IF(Receipts!$C1241="","",Receipts!$C1241)</f>
        <v/>
      </c>
      <c r="C1238" s="18" t="str">
        <f>IF($A1238="","",IFERROR(INDEX(Items!$B$5:$B$597,MATCH($A1238,Items!$A$5:$A$597,0)),""))</f>
        <v/>
      </c>
      <c r="D1238" s="23" t="str">
        <f>IF($A1238="","",N(Receipts!$G1241))</f>
        <v/>
      </c>
      <c r="E1238" s="20" t="str">
        <f>IF($A1238="","",IFERROR(INDEX(Items!$D$5:$D$597,MATCH($A1238,Items!$A$5:$A$597,0)),0))</f>
        <v/>
      </c>
      <c r="F1238" s="21" t="str">
        <f t="shared" si="95"/>
        <v/>
      </c>
      <c r="G1238" s="25" t="str">
        <f>IF(Receipts!$I1241="","",Receipts!$I1241)</f>
        <v/>
      </c>
      <c r="H1238" s="25" t="str">
        <f>IF(Receipts!$H1241="","",Receipts!$H1241)</f>
        <v/>
      </c>
      <c r="I1238" s="26" t="str">
        <f t="shared" ca="1" si="96"/>
        <v/>
      </c>
      <c r="J1238" s="26" t="str">
        <f>IF($A1238="","",COUNTIFS(tblReceipts[Item Name],$A1238,tblReceipts[Expiry Date],"&lt;"&amp;$H1238)+COUNTIFS(tblReceipts[Item Name],$A1238,tblReceipts[Expiry Date],$H1238,tblReceipts[Lot Number],"&lt;="&amp;Receipts!$C1241))</f>
        <v/>
      </c>
      <c r="K1238" s="26" t="str">
        <f>IF($A1238="","",SUMIFS(tblReceipts[Qty Received],tblReceipts[Item Name],$A1238,tblReceipts[Expiry Date],"&lt;"&amp;$H1238)+SUMIFS(tblReceipts[Qty Received],tblReceipts[Item Name],$A1238,tblReceipts[Expiry Date],$H1238,tblReceipts[Lot Number],"&lt;"&amp;Receipts!$C1241))</f>
        <v/>
      </c>
      <c r="L1238" s="26" t="str">
        <f>IF($A1238="","",MIN($D1238,MAX(0,SUMIFS(tblIssues[Qty Issued],tblIssues[Item Name],$A1238)-$K1238)))</f>
        <v/>
      </c>
      <c r="M1238" s="26" t="str">
        <f>IF($A1238="","",SUMIFS(tblIssues[Qty Issued],tblIssues[Lot Number],$B1238))</f>
        <v/>
      </c>
      <c r="N1238" s="26" t="str">
        <f t="shared" si="97"/>
        <v/>
      </c>
      <c r="O1238" s="26" t="str">
        <f t="shared" si="98"/>
        <v/>
      </c>
      <c r="P1238" s="21" t="str">
        <f t="shared" si="99"/>
        <v/>
      </c>
      <c r="Q1238" s="52" t="str">
        <f>IF($A1238="","",IF($O1238&lt;=0,"Depleted",IF($I1238&lt;0,"EXPIRED",IF($I1238&lt;=Settings!$C$6,"CRITICAL",IF($I1238&lt;=Settings!$C$5,"Expiring","In date")))))</f>
        <v/>
      </c>
    </row>
    <row r="1239" spans="1:17" x14ac:dyDescent="0.35">
      <c r="A1239" s="90" t="str">
        <f>IF(Receipts!$D1242="","",Receipts!$D1242)</f>
        <v/>
      </c>
      <c r="B1239" s="18" t="str">
        <f>IF(Receipts!$C1242="","",Receipts!$C1242)</f>
        <v/>
      </c>
      <c r="C1239" s="18" t="str">
        <f>IF($A1239="","",IFERROR(INDEX(Items!$B$5:$B$597,MATCH($A1239,Items!$A$5:$A$597,0)),""))</f>
        <v/>
      </c>
      <c r="D1239" s="23" t="str">
        <f>IF($A1239="","",N(Receipts!$G1242))</f>
        <v/>
      </c>
      <c r="E1239" s="20" t="str">
        <f>IF($A1239="","",IFERROR(INDEX(Items!$D$5:$D$597,MATCH($A1239,Items!$A$5:$A$597,0)),0))</f>
        <v/>
      </c>
      <c r="F1239" s="21" t="str">
        <f t="shared" si="95"/>
        <v/>
      </c>
      <c r="G1239" s="25" t="str">
        <f>IF(Receipts!$I1242="","",Receipts!$I1242)</f>
        <v/>
      </c>
      <c r="H1239" s="25" t="str">
        <f>IF(Receipts!$H1242="","",Receipts!$H1242)</f>
        <v/>
      </c>
      <c r="I1239" s="26" t="str">
        <f t="shared" ca="1" si="96"/>
        <v/>
      </c>
      <c r="J1239" s="26" t="str">
        <f>IF($A1239="","",COUNTIFS(tblReceipts[Item Name],$A1239,tblReceipts[Expiry Date],"&lt;"&amp;$H1239)+COUNTIFS(tblReceipts[Item Name],$A1239,tblReceipts[Expiry Date],$H1239,tblReceipts[Lot Number],"&lt;="&amp;Receipts!$C1242))</f>
        <v/>
      </c>
      <c r="K1239" s="26" t="str">
        <f>IF($A1239="","",SUMIFS(tblReceipts[Qty Received],tblReceipts[Item Name],$A1239,tblReceipts[Expiry Date],"&lt;"&amp;$H1239)+SUMIFS(tblReceipts[Qty Received],tblReceipts[Item Name],$A1239,tblReceipts[Expiry Date],$H1239,tblReceipts[Lot Number],"&lt;"&amp;Receipts!$C1242))</f>
        <v/>
      </c>
      <c r="L1239" s="26" t="str">
        <f>IF($A1239="","",MIN($D1239,MAX(0,SUMIFS(tblIssues[Qty Issued],tblIssues[Item Name],$A1239)-$K1239)))</f>
        <v/>
      </c>
      <c r="M1239" s="26" t="str">
        <f>IF($A1239="","",SUMIFS(tblIssues[Qty Issued],tblIssues[Lot Number],$B1239))</f>
        <v/>
      </c>
      <c r="N1239" s="26" t="str">
        <f t="shared" si="97"/>
        <v/>
      </c>
      <c r="O1239" s="26" t="str">
        <f t="shared" si="98"/>
        <v/>
      </c>
      <c r="P1239" s="21" t="str">
        <f t="shared" si="99"/>
        <v/>
      </c>
      <c r="Q1239" s="52" t="str">
        <f>IF($A1239="","",IF($O1239&lt;=0,"Depleted",IF($I1239&lt;0,"EXPIRED",IF($I1239&lt;=Settings!$C$6,"CRITICAL",IF($I1239&lt;=Settings!$C$5,"Expiring","In date")))))</f>
        <v/>
      </c>
    </row>
    <row r="1240" spans="1:17" x14ac:dyDescent="0.35">
      <c r="A1240" s="90" t="str">
        <f>IF(Receipts!$D1243="","",Receipts!$D1243)</f>
        <v/>
      </c>
      <c r="B1240" s="18" t="str">
        <f>IF(Receipts!$C1243="","",Receipts!$C1243)</f>
        <v/>
      </c>
      <c r="C1240" s="18" t="str">
        <f>IF($A1240="","",IFERROR(INDEX(Items!$B$5:$B$597,MATCH($A1240,Items!$A$5:$A$597,0)),""))</f>
        <v/>
      </c>
      <c r="D1240" s="23" t="str">
        <f>IF($A1240="","",N(Receipts!$G1243))</f>
        <v/>
      </c>
      <c r="E1240" s="20" t="str">
        <f>IF($A1240="","",IFERROR(INDEX(Items!$D$5:$D$597,MATCH($A1240,Items!$A$5:$A$597,0)),0))</f>
        <v/>
      </c>
      <c r="F1240" s="21" t="str">
        <f t="shared" si="95"/>
        <v/>
      </c>
      <c r="G1240" s="25" t="str">
        <f>IF(Receipts!$I1243="","",Receipts!$I1243)</f>
        <v/>
      </c>
      <c r="H1240" s="25" t="str">
        <f>IF(Receipts!$H1243="","",Receipts!$H1243)</f>
        <v/>
      </c>
      <c r="I1240" s="26" t="str">
        <f t="shared" ca="1" si="96"/>
        <v/>
      </c>
      <c r="J1240" s="26" t="str">
        <f>IF($A1240="","",COUNTIFS(tblReceipts[Item Name],$A1240,tblReceipts[Expiry Date],"&lt;"&amp;$H1240)+COUNTIFS(tblReceipts[Item Name],$A1240,tblReceipts[Expiry Date],$H1240,tblReceipts[Lot Number],"&lt;="&amp;Receipts!$C1243))</f>
        <v/>
      </c>
      <c r="K1240" s="26" t="str">
        <f>IF($A1240="","",SUMIFS(tblReceipts[Qty Received],tblReceipts[Item Name],$A1240,tblReceipts[Expiry Date],"&lt;"&amp;$H1240)+SUMIFS(tblReceipts[Qty Received],tblReceipts[Item Name],$A1240,tblReceipts[Expiry Date],$H1240,tblReceipts[Lot Number],"&lt;"&amp;Receipts!$C1243))</f>
        <v/>
      </c>
      <c r="L1240" s="26" t="str">
        <f>IF($A1240="","",MIN($D1240,MAX(0,SUMIFS(tblIssues[Qty Issued],tblIssues[Item Name],$A1240)-$K1240)))</f>
        <v/>
      </c>
      <c r="M1240" s="26" t="str">
        <f>IF($A1240="","",SUMIFS(tblIssues[Qty Issued],tblIssues[Lot Number],$B1240))</f>
        <v/>
      </c>
      <c r="N1240" s="26" t="str">
        <f t="shared" si="97"/>
        <v/>
      </c>
      <c r="O1240" s="26" t="str">
        <f t="shared" si="98"/>
        <v/>
      </c>
      <c r="P1240" s="21" t="str">
        <f t="shared" si="99"/>
        <v/>
      </c>
      <c r="Q1240" s="52" t="str">
        <f>IF($A1240="","",IF($O1240&lt;=0,"Depleted",IF($I1240&lt;0,"EXPIRED",IF($I1240&lt;=Settings!$C$6,"CRITICAL",IF($I1240&lt;=Settings!$C$5,"Expiring","In date")))))</f>
        <v/>
      </c>
    </row>
    <row r="1241" spans="1:17" x14ac:dyDescent="0.35">
      <c r="A1241" s="90" t="str">
        <f>IF(Receipts!$D1244="","",Receipts!$D1244)</f>
        <v/>
      </c>
      <c r="B1241" s="18" t="str">
        <f>IF(Receipts!$C1244="","",Receipts!$C1244)</f>
        <v/>
      </c>
      <c r="C1241" s="18" t="str">
        <f>IF($A1241="","",IFERROR(INDEX(Items!$B$5:$B$597,MATCH($A1241,Items!$A$5:$A$597,0)),""))</f>
        <v/>
      </c>
      <c r="D1241" s="23" t="str">
        <f>IF($A1241="","",N(Receipts!$G1244))</f>
        <v/>
      </c>
      <c r="E1241" s="20" t="str">
        <f>IF($A1241="","",IFERROR(INDEX(Items!$D$5:$D$597,MATCH($A1241,Items!$A$5:$A$597,0)),0))</f>
        <v/>
      </c>
      <c r="F1241" s="21" t="str">
        <f t="shared" si="95"/>
        <v/>
      </c>
      <c r="G1241" s="25" t="str">
        <f>IF(Receipts!$I1244="","",Receipts!$I1244)</f>
        <v/>
      </c>
      <c r="H1241" s="25" t="str">
        <f>IF(Receipts!$H1244="","",Receipts!$H1244)</f>
        <v/>
      </c>
      <c r="I1241" s="26" t="str">
        <f t="shared" ca="1" si="96"/>
        <v/>
      </c>
      <c r="J1241" s="26" t="str">
        <f>IF($A1241="","",COUNTIFS(tblReceipts[Item Name],$A1241,tblReceipts[Expiry Date],"&lt;"&amp;$H1241)+COUNTIFS(tblReceipts[Item Name],$A1241,tblReceipts[Expiry Date],$H1241,tblReceipts[Lot Number],"&lt;="&amp;Receipts!$C1244))</f>
        <v/>
      </c>
      <c r="K1241" s="26" t="str">
        <f>IF($A1241="","",SUMIFS(tblReceipts[Qty Received],tblReceipts[Item Name],$A1241,tblReceipts[Expiry Date],"&lt;"&amp;$H1241)+SUMIFS(tblReceipts[Qty Received],tblReceipts[Item Name],$A1241,tblReceipts[Expiry Date],$H1241,tblReceipts[Lot Number],"&lt;"&amp;Receipts!$C1244))</f>
        <v/>
      </c>
      <c r="L1241" s="26" t="str">
        <f>IF($A1241="","",MIN($D1241,MAX(0,SUMIFS(tblIssues[Qty Issued],tblIssues[Item Name],$A1241)-$K1241)))</f>
        <v/>
      </c>
      <c r="M1241" s="26" t="str">
        <f>IF($A1241="","",SUMIFS(tblIssues[Qty Issued],tblIssues[Lot Number],$B1241))</f>
        <v/>
      </c>
      <c r="N1241" s="26" t="str">
        <f t="shared" si="97"/>
        <v/>
      </c>
      <c r="O1241" s="26" t="str">
        <f t="shared" si="98"/>
        <v/>
      </c>
      <c r="P1241" s="21" t="str">
        <f t="shared" si="99"/>
        <v/>
      </c>
      <c r="Q1241" s="52" t="str">
        <f>IF($A1241="","",IF($O1241&lt;=0,"Depleted",IF($I1241&lt;0,"EXPIRED",IF($I1241&lt;=Settings!$C$6,"CRITICAL",IF($I1241&lt;=Settings!$C$5,"Expiring","In date")))))</f>
        <v/>
      </c>
    </row>
    <row r="1242" spans="1:17" x14ac:dyDescent="0.35">
      <c r="A1242" s="90" t="str">
        <f>IF(Receipts!$D1245="","",Receipts!$D1245)</f>
        <v/>
      </c>
      <c r="B1242" s="18" t="str">
        <f>IF(Receipts!$C1245="","",Receipts!$C1245)</f>
        <v/>
      </c>
      <c r="C1242" s="18" t="str">
        <f>IF($A1242="","",IFERROR(INDEX(Items!$B$5:$B$597,MATCH($A1242,Items!$A$5:$A$597,0)),""))</f>
        <v/>
      </c>
      <c r="D1242" s="23" t="str">
        <f>IF($A1242="","",N(Receipts!$G1245))</f>
        <v/>
      </c>
      <c r="E1242" s="20" t="str">
        <f>IF($A1242="","",IFERROR(INDEX(Items!$D$5:$D$597,MATCH($A1242,Items!$A$5:$A$597,0)),0))</f>
        <v/>
      </c>
      <c r="F1242" s="21" t="str">
        <f t="shared" si="95"/>
        <v/>
      </c>
      <c r="G1242" s="25" t="str">
        <f>IF(Receipts!$I1245="","",Receipts!$I1245)</f>
        <v/>
      </c>
      <c r="H1242" s="25" t="str">
        <f>IF(Receipts!$H1245="","",Receipts!$H1245)</f>
        <v/>
      </c>
      <c r="I1242" s="26" t="str">
        <f t="shared" ca="1" si="96"/>
        <v/>
      </c>
      <c r="J1242" s="26" t="str">
        <f>IF($A1242="","",COUNTIFS(tblReceipts[Item Name],$A1242,tblReceipts[Expiry Date],"&lt;"&amp;$H1242)+COUNTIFS(tblReceipts[Item Name],$A1242,tblReceipts[Expiry Date],$H1242,tblReceipts[Lot Number],"&lt;="&amp;Receipts!$C1245))</f>
        <v/>
      </c>
      <c r="K1242" s="26" t="str">
        <f>IF($A1242="","",SUMIFS(tblReceipts[Qty Received],tblReceipts[Item Name],$A1242,tblReceipts[Expiry Date],"&lt;"&amp;$H1242)+SUMIFS(tblReceipts[Qty Received],tblReceipts[Item Name],$A1242,tblReceipts[Expiry Date],$H1242,tblReceipts[Lot Number],"&lt;"&amp;Receipts!$C1245))</f>
        <v/>
      </c>
      <c r="L1242" s="26" t="str">
        <f>IF($A1242="","",MIN($D1242,MAX(0,SUMIFS(tblIssues[Qty Issued],tblIssues[Item Name],$A1242)-$K1242)))</f>
        <v/>
      </c>
      <c r="M1242" s="26" t="str">
        <f>IF($A1242="","",SUMIFS(tblIssues[Qty Issued],tblIssues[Lot Number],$B1242))</f>
        <v/>
      </c>
      <c r="N1242" s="26" t="str">
        <f t="shared" si="97"/>
        <v/>
      </c>
      <c r="O1242" s="26" t="str">
        <f t="shared" si="98"/>
        <v/>
      </c>
      <c r="P1242" s="21" t="str">
        <f t="shared" si="99"/>
        <v/>
      </c>
      <c r="Q1242" s="52" t="str">
        <f>IF($A1242="","",IF($O1242&lt;=0,"Depleted",IF($I1242&lt;0,"EXPIRED",IF($I1242&lt;=Settings!$C$6,"CRITICAL",IF($I1242&lt;=Settings!$C$5,"Expiring","In date")))))</f>
        <v/>
      </c>
    </row>
    <row r="1243" spans="1:17" x14ac:dyDescent="0.35">
      <c r="A1243" s="90" t="str">
        <f>IF(Receipts!$D1246="","",Receipts!$D1246)</f>
        <v/>
      </c>
      <c r="B1243" s="18" t="str">
        <f>IF(Receipts!$C1246="","",Receipts!$C1246)</f>
        <v/>
      </c>
      <c r="C1243" s="18" t="str">
        <f>IF($A1243="","",IFERROR(INDEX(Items!$B$5:$B$597,MATCH($A1243,Items!$A$5:$A$597,0)),""))</f>
        <v/>
      </c>
      <c r="D1243" s="23" t="str">
        <f>IF($A1243="","",N(Receipts!$G1246))</f>
        <v/>
      </c>
      <c r="E1243" s="20" t="str">
        <f>IF($A1243="","",IFERROR(INDEX(Items!$D$5:$D$597,MATCH($A1243,Items!$A$5:$A$597,0)),0))</f>
        <v/>
      </c>
      <c r="F1243" s="21" t="str">
        <f t="shared" si="95"/>
        <v/>
      </c>
      <c r="G1243" s="25" t="str">
        <f>IF(Receipts!$I1246="","",Receipts!$I1246)</f>
        <v/>
      </c>
      <c r="H1243" s="25" t="str">
        <f>IF(Receipts!$H1246="","",Receipts!$H1246)</f>
        <v/>
      </c>
      <c r="I1243" s="26" t="str">
        <f t="shared" ca="1" si="96"/>
        <v/>
      </c>
      <c r="J1243" s="26" t="str">
        <f>IF($A1243="","",COUNTIFS(tblReceipts[Item Name],$A1243,tblReceipts[Expiry Date],"&lt;"&amp;$H1243)+COUNTIFS(tblReceipts[Item Name],$A1243,tblReceipts[Expiry Date],$H1243,tblReceipts[Lot Number],"&lt;="&amp;Receipts!$C1246))</f>
        <v/>
      </c>
      <c r="K1243" s="26" t="str">
        <f>IF($A1243="","",SUMIFS(tblReceipts[Qty Received],tblReceipts[Item Name],$A1243,tblReceipts[Expiry Date],"&lt;"&amp;$H1243)+SUMIFS(tblReceipts[Qty Received],tblReceipts[Item Name],$A1243,tblReceipts[Expiry Date],$H1243,tblReceipts[Lot Number],"&lt;"&amp;Receipts!$C1246))</f>
        <v/>
      </c>
      <c r="L1243" s="26" t="str">
        <f>IF($A1243="","",MIN($D1243,MAX(0,SUMIFS(tblIssues[Qty Issued],tblIssues[Item Name],$A1243)-$K1243)))</f>
        <v/>
      </c>
      <c r="M1243" s="26" t="str">
        <f>IF($A1243="","",SUMIFS(tblIssues[Qty Issued],tblIssues[Lot Number],$B1243))</f>
        <v/>
      </c>
      <c r="N1243" s="26" t="str">
        <f t="shared" si="97"/>
        <v/>
      </c>
      <c r="O1243" s="26" t="str">
        <f t="shared" si="98"/>
        <v/>
      </c>
      <c r="P1243" s="21" t="str">
        <f t="shared" si="99"/>
        <v/>
      </c>
      <c r="Q1243" s="52" t="str">
        <f>IF($A1243="","",IF($O1243&lt;=0,"Depleted",IF($I1243&lt;0,"EXPIRED",IF($I1243&lt;=Settings!$C$6,"CRITICAL",IF($I1243&lt;=Settings!$C$5,"Expiring","In date")))))</f>
        <v/>
      </c>
    </row>
    <row r="1244" spans="1:17" x14ac:dyDescent="0.35">
      <c r="A1244" s="90" t="str">
        <f>IF(Receipts!$D1247="","",Receipts!$D1247)</f>
        <v/>
      </c>
      <c r="B1244" s="18" t="str">
        <f>IF(Receipts!$C1247="","",Receipts!$C1247)</f>
        <v/>
      </c>
      <c r="C1244" s="18" t="str">
        <f>IF($A1244="","",IFERROR(INDEX(Items!$B$5:$B$597,MATCH($A1244,Items!$A$5:$A$597,0)),""))</f>
        <v/>
      </c>
      <c r="D1244" s="23" t="str">
        <f>IF($A1244="","",N(Receipts!$G1247))</f>
        <v/>
      </c>
      <c r="E1244" s="20" t="str">
        <f>IF($A1244="","",IFERROR(INDEX(Items!$D$5:$D$597,MATCH($A1244,Items!$A$5:$A$597,0)),0))</f>
        <v/>
      </c>
      <c r="F1244" s="21" t="str">
        <f t="shared" si="95"/>
        <v/>
      </c>
      <c r="G1244" s="25" t="str">
        <f>IF(Receipts!$I1247="","",Receipts!$I1247)</f>
        <v/>
      </c>
      <c r="H1244" s="25" t="str">
        <f>IF(Receipts!$H1247="","",Receipts!$H1247)</f>
        <v/>
      </c>
      <c r="I1244" s="26" t="str">
        <f t="shared" ca="1" si="96"/>
        <v/>
      </c>
      <c r="J1244" s="26" t="str">
        <f>IF($A1244="","",COUNTIFS(tblReceipts[Item Name],$A1244,tblReceipts[Expiry Date],"&lt;"&amp;$H1244)+COUNTIFS(tblReceipts[Item Name],$A1244,tblReceipts[Expiry Date],$H1244,tblReceipts[Lot Number],"&lt;="&amp;Receipts!$C1247))</f>
        <v/>
      </c>
      <c r="K1244" s="26" t="str">
        <f>IF($A1244="","",SUMIFS(tblReceipts[Qty Received],tblReceipts[Item Name],$A1244,tblReceipts[Expiry Date],"&lt;"&amp;$H1244)+SUMIFS(tblReceipts[Qty Received],tblReceipts[Item Name],$A1244,tblReceipts[Expiry Date],$H1244,tblReceipts[Lot Number],"&lt;"&amp;Receipts!$C1247))</f>
        <v/>
      </c>
      <c r="L1244" s="26" t="str">
        <f>IF($A1244="","",MIN($D1244,MAX(0,SUMIFS(tblIssues[Qty Issued],tblIssues[Item Name],$A1244)-$K1244)))</f>
        <v/>
      </c>
      <c r="M1244" s="26" t="str">
        <f>IF($A1244="","",SUMIFS(tblIssues[Qty Issued],tblIssues[Lot Number],$B1244))</f>
        <v/>
      </c>
      <c r="N1244" s="26" t="str">
        <f t="shared" si="97"/>
        <v/>
      </c>
      <c r="O1244" s="26" t="str">
        <f t="shared" si="98"/>
        <v/>
      </c>
      <c r="P1244" s="21" t="str">
        <f t="shared" si="99"/>
        <v/>
      </c>
      <c r="Q1244" s="52" t="str">
        <f>IF($A1244="","",IF($O1244&lt;=0,"Depleted",IF($I1244&lt;0,"EXPIRED",IF($I1244&lt;=Settings!$C$6,"CRITICAL",IF($I1244&lt;=Settings!$C$5,"Expiring","In date")))))</f>
        <v/>
      </c>
    </row>
    <row r="1245" spans="1:17" x14ac:dyDescent="0.35">
      <c r="A1245" s="90" t="str">
        <f>IF(Receipts!$D1248="","",Receipts!$D1248)</f>
        <v/>
      </c>
      <c r="B1245" s="18" t="str">
        <f>IF(Receipts!$C1248="","",Receipts!$C1248)</f>
        <v/>
      </c>
      <c r="C1245" s="18" t="str">
        <f>IF($A1245="","",IFERROR(INDEX(Items!$B$5:$B$597,MATCH($A1245,Items!$A$5:$A$597,0)),""))</f>
        <v/>
      </c>
      <c r="D1245" s="23" t="str">
        <f>IF($A1245="","",N(Receipts!$G1248))</f>
        <v/>
      </c>
      <c r="E1245" s="20" t="str">
        <f>IF($A1245="","",IFERROR(INDEX(Items!$D$5:$D$597,MATCH($A1245,Items!$A$5:$A$597,0)),0))</f>
        <v/>
      </c>
      <c r="F1245" s="21" t="str">
        <f t="shared" si="95"/>
        <v/>
      </c>
      <c r="G1245" s="25" t="str">
        <f>IF(Receipts!$I1248="","",Receipts!$I1248)</f>
        <v/>
      </c>
      <c r="H1245" s="25" t="str">
        <f>IF(Receipts!$H1248="","",Receipts!$H1248)</f>
        <v/>
      </c>
      <c r="I1245" s="26" t="str">
        <f t="shared" ca="1" si="96"/>
        <v/>
      </c>
      <c r="J1245" s="26" t="str">
        <f>IF($A1245="","",COUNTIFS(tblReceipts[Item Name],$A1245,tblReceipts[Expiry Date],"&lt;"&amp;$H1245)+COUNTIFS(tblReceipts[Item Name],$A1245,tblReceipts[Expiry Date],$H1245,tblReceipts[Lot Number],"&lt;="&amp;Receipts!$C1248))</f>
        <v/>
      </c>
      <c r="K1245" s="26" t="str">
        <f>IF($A1245="","",SUMIFS(tblReceipts[Qty Received],tblReceipts[Item Name],$A1245,tblReceipts[Expiry Date],"&lt;"&amp;$H1245)+SUMIFS(tblReceipts[Qty Received],tblReceipts[Item Name],$A1245,tblReceipts[Expiry Date],$H1245,tblReceipts[Lot Number],"&lt;"&amp;Receipts!$C1248))</f>
        <v/>
      </c>
      <c r="L1245" s="26" t="str">
        <f>IF($A1245="","",MIN($D1245,MAX(0,SUMIFS(tblIssues[Qty Issued],tblIssues[Item Name],$A1245)-$K1245)))</f>
        <v/>
      </c>
      <c r="M1245" s="26" t="str">
        <f>IF($A1245="","",SUMIFS(tblIssues[Qty Issued],tblIssues[Lot Number],$B1245))</f>
        <v/>
      </c>
      <c r="N1245" s="26" t="str">
        <f t="shared" si="97"/>
        <v/>
      </c>
      <c r="O1245" s="26" t="str">
        <f t="shared" si="98"/>
        <v/>
      </c>
      <c r="P1245" s="21" t="str">
        <f t="shared" si="99"/>
        <v/>
      </c>
      <c r="Q1245" s="52" t="str">
        <f>IF($A1245="","",IF($O1245&lt;=0,"Depleted",IF($I1245&lt;0,"EXPIRED",IF($I1245&lt;=Settings!$C$6,"CRITICAL",IF($I1245&lt;=Settings!$C$5,"Expiring","In date")))))</f>
        <v/>
      </c>
    </row>
    <row r="1246" spans="1:17" x14ac:dyDescent="0.35">
      <c r="A1246" s="90" t="str">
        <f>IF(Receipts!$D1249="","",Receipts!$D1249)</f>
        <v/>
      </c>
      <c r="B1246" s="18" t="str">
        <f>IF(Receipts!$C1249="","",Receipts!$C1249)</f>
        <v/>
      </c>
      <c r="C1246" s="18" t="str">
        <f>IF($A1246="","",IFERROR(INDEX(Items!$B$5:$B$597,MATCH($A1246,Items!$A$5:$A$597,0)),""))</f>
        <v/>
      </c>
      <c r="D1246" s="23" t="str">
        <f>IF($A1246="","",N(Receipts!$G1249))</f>
        <v/>
      </c>
      <c r="E1246" s="20" t="str">
        <f>IF($A1246="","",IFERROR(INDEX(Items!$D$5:$D$597,MATCH($A1246,Items!$A$5:$A$597,0)),0))</f>
        <v/>
      </c>
      <c r="F1246" s="21" t="str">
        <f t="shared" si="95"/>
        <v/>
      </c>
      <c r="G1246" s="25" t="str">
        <f>IF(Receipts!$I1249="","",Receipts!$I1249)</f>
        <v/>
      </c>
      <c r="H1246" s="25" t="str">
        <f>IF(Receipts!$H1249="","",Receipts!$H1249)</f>
        <v/>
      </c>
      <c r="I1246" s="26" t="str">
        <f t="shared" ca="1" si="96"/>
        <v/>
      </c>
      <c r="J1246" s="26" t="str">
        <f>IF($A1246="","",COUNTIFS(tblReceipts[Item Name],$A1246,tblReceipts[Expiry Date],"&lt;"&amp;$H1246)+COUNTIFS(tblReceipts[Item Name],$A1246,tblReceipts[Expiry Date],$H1246,tblReceipts[Lot Number],"&lt;="&amp;Receipts!$C1249))</f>
        <v/>
      </c>
      <c r="K1246" s="26" t="str">
        <f>IF($A1246="","",SUMIFS(tblReceipts[Qty Received],tblReceipts[Item Name],$A1246,tblReceipts[Expiry Date],"&lt;"&amp;$H1246)+SUMIFS(tblReceipts[Qty Received],tblReceipts[Item Name],$A1246,tblReceipts[Expiry Date],$H1246,tblReceipts[Lot Number],"&lt;"&amp;Receipts!$C1249))</f>
        <v/>
      </c>
      <c r="L1246" s="26" t="str">
        <f>IF($A1246="","",MIN($D1246,MAX(0,SUMIFS(tblIssues[Qty Issued],tblIssues[Item Name],$A1246)-$K1246)))</f>
        <v/>
      </c>
      <c r="M1246" s="26" t="str">
        <f>IF($A1246="","",SUMIFS(tblIssues[Qty Issued],tblIssues[Lot Number],$B1246))</f>
        <v/>
      </c>
      <c r="N1246" s="26" t="str">
        <f t="shared" si="97"/>
        <v/>
      </c>
      <c r="O1246" s="26" t="str">
        <f t="shared" si="98"/>
        <v/>
      </c>
      <c r="P1246" s="21" t="str">
        <f t="shared" si="99"/>
        <v/>
      </c>
      <c r="Q1246" s="52" t="str">
        <f>IF($A1246="","",IF($O1246&lt;=0,"Depleted",IF($I1246&lt;0,"EXPIRED",IF($I1246&lt;=Settings!$C$6,"CRITICAL",IF($I1246&lt;=Settings!$C$5,"Expiring","In date")))))</f>
        <v/>
      </c>
    </row>
    <row r="1247" spans="1:17" x14ac:dyDescent="0.35">
      <c r="A1247" s="90" t="str">
        <f>IF(Receipts!$D1250="","",Receipts!$D1250)</f>
        <v/>
      </c>
      <c r="B1247" s="18" t="str">
        <f>IF(Receipts!$C1250="","",Receipts!$C1250)</f>
        <v/>
      </c>
      <c r="C1247" s="18" t="str">
        <f>IF($A1247="","",IFERROR(INDEX(Items!$B$5:$B$597,MATCH($A1247,Items!$A$5:$A$597,0)),""))</f>
        <v/>
      </c>
      <c r="D1247" s="23" t="str">
        <f>IF($A1247="","",N(Receipts!$G1250))</f>
        <v/>
      </c>
      <c r="E1247" s="20" t="str">
        <f>IF($A1247="","",IFERROR(INDEX(Items!$D$5:$D$597,MATCH($A1247,Items!$A$5:$A$597,0)),0))</f>
        <v/>
      </c>
      <c r="F1247" s="21" t="str">
        <f t="shared" si="95"/>
        <v/>
      </c>
      <c r="G1247" s="25" t="str">
        <f>IF(Receipts!$I1250="","",Receipts!$I1250)</f>
        <v/>
      </c>
      <c r="H1247" s="25" t="str">
        <f>IF(Receipts!$H1250="","",Receipts!$H1250)</f>
        <v/>
      </c>
      <c r="I1247" s="26" t="str">
        <f t="shared" ca="1" si="96"/>
        <v/>
      </c>
      <c r="J1247" s="26" t="str">
        <f>IF($A1247="","",COUNTIFS(tblReceipts[Item Name],$A1247,tblReceipts[Expiry Date],"&lt;"&amp;$H1247)+COUNTIFS(tblReceipts[Item Name],$A1247,tblReceipts[Expiry Date],$H1247,tblReceipts[Lot Number],"&lt;="&amp;Receipts!$C1250))</f>
        <v/>
      </c>
      <c r="K1247" s="26" t="str">
        <f>IF($A1247="","",SUMIFS(tblReceipts[Qty Received],tblReceipts[Item Name],$A1247,tblReceipts[Expiry Date],"&lt;"&amp;$H1247)+SUMIFS(tblReceipts[Qty Received],tblReceipts[Item Name],$A1247,tblReceipts[Expiry Date],$H1247,tblReceipts[Lot Number],"&lt;"&amp;Receipts!$C1250))</f>
        <v/>
      </c>
      <c r="L1247" s="26" t="str">
        <f>IF($A1247="","",MIN($D1247,MAX(0,SUMIFS(tblIssues[Qty Issued],tblIssues[Item Name],$A1247)-$K1247)))</f>
        <v/>
      </c>
      <c r="M1247" s="26" t="str">
        <f>IF($A1247="","",SUMIFS(tblIssues[Qty Issued],tblIssues[Lot Number],$B1247))</f>
        <v/>
      </c>
      <c r="N1247" s="26" t="str">
        <f t="shared" si="97"/>
        <v/>
      </c>
      <c r="O1247" s="26" t="str">
        <f t="shared" si="98"/>
        <v/>
      </c>
      <c r="P1247" s="21" t="str">
        <f t="shared" si="99"/>
        <v/>
      </c>
      <c r="Q1247" s="52" t="str">
        <f>IF($A1247="","",IF($O1247&lt;=0,"Depleted",IF($I1247&lt;0,"EXPIRED",IF($I1247&lt;=Settings!$C$6,"CRITICAL",IF($I1247&lt;=Settings!$C$5,"Expiring","In date")))))</f>
        <v/>
      </c>
    </row>
    <row r="1248" spans="1:17" x14ac:dyDescent="0.35">
      <c r="A1248" s="90" t="str">
        <f>IF(Receipts!$D1251="","",Receipts!$D1251)</f>
        <v/>
      </c>
      <c r="B1248" s="18" t="str">
        <f>IF(Receipts!$C1251="","",Receipts!$C1251)</f>
        <v/>
      </c>
      <c r="C1248" s="18" t="str">
        <f>IF($A1248="","",IFERROR(INDEX(Items!$B$5:$B$597,MATCH($A1248,Items!$A$5:$A$597,0)),""))</f>
        <v/>
      </c>
      <c r="D1248" s="23" t="str">
        <f>IF($A1248="","",N(Receipts!$G1251))</f>
        <v/>
      </c>
      <c r="E1248" s="20" t="str">
        <f>IF($A1248="","",IFERROR(INDEX(Items!$D$5:$D$597,MATCH($A1248,Items!$A$5:$A$597,0)),0))</f>
        <v/>
      </c>
      <c r="F1248" s="21" t="str">
        <f t="shared" si="95"/>
        <v/>
      </c>
      <c r="G1248" s="25" t="str">
        <f>IF(Receipts!$I1251="","",Receipts!$I1251)</f>
        <v/>
      </c>
      <c r="H1248" s="25" t="str">
        <f>IF(Receipts!$H1251="","",Receipts!$H1251)</f>
        <v/>
      </c>
      <c r="I1248" s="26" t="str">
        <f t="shared" ca="1" si="96"/>
        <v/>
      </c>
      <c r="J1248" s="26" t="str">
        <f>IF($A1248="","",COUNTIFS(tblReceipts[Item Name],$A1248,tblReceipts[Expiry Date],"&lt;"&amp;$H1248)+COUNTIFS(tblReceipts[Item Name],$A1248,tblReceipts[Expiry Date],$H1248,tblReceipts[Lot Number],"&lt;="&amp;Receipts!$C1251))</f>
        <v/>
      </c>
      <c r="K1248" s="26" t="str">
        <f>IF($A1248="","",SUMIFS(tblReceipts[Qty Received],tblReceipts[Item Name],$A1248,tblReceipts[Expiry Date],"&lt;"&amp;$H1248)+SUMIFS(tblReceipts[Qty Received],tblReceipts[Item Name],$A1248,tblReceipts[Expiry Date],$H1248,tblReceipts[Lot Number],"&lt;"&amp;Receipts!$C1251))</f>
        <v/>
      </c>
      <c r="L1248" s="26" t="str">
        <f>IF($A1248="","",MIN($D1248,MAX(0,SUMIFS(tblIssues[Qty Issued],tblIssues[Item Name],$A1248)-$K1248)))</f>
        <v/>
      </c>
      <c r="M1248" s="26" t="str">
        <f>IF($A1248="","",SUMIFS(tblIssues[Qty Issued],tblIssues[Lot Number],$B1248))</f>
        <v/>
      </c>
      <c r="N1248" s="26" t="str">
        <f t="shared" si="97"/>
        <v/>
      </c>
      <c r="O1248" s="26" t="str">
        <f t="shared" si="98"/>
        <v/>
      </c>
      <c r="P1248" s="21" t="str">
        <f t="shared" si="99"/>
        <v/>
      </c>
      <c r="Q1248" s="52" t="str">
        <f>IF($A1248="","",IF($O1248&lt;=0,"Depleted",IF($I1248&lt;0,"EXPIRED",IF($I1248&lt;=Settings!$C$6,"CRITICAL",IF($I1248&lt;=Settings!$C$5,"Expiring","In date")))))</f>
        <v/>
      </c>
    </row>
    <row r="1249" spans="1:17" x14ac:dyDescent="0.35">
      <c r="A1249" s="90" t="str">
        <f>IF(Receipts!$D1252="","",Receipts!$D1252)</f>
        <v/>
      </c>
      <c r="B1249" s="18" t="str">
        <f>IF(Receipts!$C1252="","",Receipts!$C1252)</f>
        <v/>
      </c>
      <c r="C1249" s="18" t="str">
        <f>IF($A1249="","",IFERROR(INDEX(Items!$B$5:$B$597,MATCH($A1249,Items!$A$5:$A$597,0)),""))</f>
        <v/>
      </c>
      <c r="D1249" s="23" t="str">
        <f>IF($A1249="","",N(Receipts!$G1252))</f>
        <v/>
      </c>
      <c r="E1249" s="20" t="str">
        <f>IF($A1249="","",IFERROR(INDEX(Items!$D$5:$D$597,MATCH($A1249,Items!$A$5:$A$597,0)),0))</f>
        <v/>
      </c>
      <c r="F1249" s="21" t="str">
        <f t="shared" si="95"/>
        <v/>
      </c>
      <c r="G1249" s="25" t="str">
        <f>IF(Receipts!$I1252="","",Receipts!$I1252)</f>
        <v/>
      </c>
      <c r="H1249" s="25" t="str">
        <f>IF(Receipts!$H1252="","",Receipts!$H1252)</f>
        <v/>
      </c>
      <c r="I1249" s="26" t="str">
        <f t="shared" ca="1" si="96"/>
        <v/>
      </c>
      <c r="J1249" s="26" t="str">
        <f>IF($A1249="","",COUNTIFS(tblReceipts[Item Name],$A1249,tblReceipts[Expiry Date],"&lt;"&amp;$H1249)+COUNTIFS(tblReceipts[Item Name],$A1249,tblReceipts[Expiry Date],$H1249,tblReceipts[Lot Number],"&lt;="&amp;Receipts!$C1252))</f>
        <v/>
      </c>
      <c r="K1249" s="26" t="str">
        <f>IF($A1249="","",SUMIFS(tblReceipts[Qty Received],tblReceipts[Item Name],$A1249,tblReceipts[Expiry Date],"&lt;"&amp;$H1249)+SUMIFS(tblReceipts[Qty Received],tblReceipts[Item Name],$A1249,tblReceipts[Expiry Date],$H1249,tblReceipts[Lot Number],"&lt;"&amp;Receipts!$C1252))</f>
        <v/>
      </c>
      <c r="L1249" s="26" t="str">
        <f>IF($A1249="","",MIN($D1249,MAX(0,SUMIFS(tblIssues[Qty Issued],tblIssues[Item Name],$A1249)-$K1249)))</f>
        <v/>
      </c>
      <c r="M1249" s="26" t="str">
        <f>IF($A1249="","",SUMIFS(tblIssues[Qty Issued],tblIssues[Lot Number],$B1249))</f>
        <v/>
      </c>
      <c r="N1249" s="26" t="str">
        <f t="shared" si="97"/>
        <v/>
      </c>
      <c r="O1249" s="26" t="str">
        <f t="shared" si="98"/>
        <v/>
      </c>
      <c r="P1249" s="21" t="str">
        <f t="shared" si="99"/>
        <v/>
      </c>
      <c r="Q1249" s="52" t="str">
        <f>IF($A1249="","",IF($O1249&lt;=0,"Depleted",IF($I1249&lt;0,"EXPIRED",IF($I1249&lt;=Settings!$C$6,"CRITICAL",IF($I1249&lt;=Settings!$C$5,"Expiring","In date")))))</f>
        <v/>
      </c>
    </row>
    <row r="1250" spans="1:17" x14ac:dyDescent="0.35">
      <c r="A1250" s="90" t="str">
        <f>IF(Receipts!$D1253="","",Receipts!$D1253)</f>
        <v/>
      </c>
      <c r="B1250" s="18" t="str">
        <f>IF(Receipts!$C1253="","",Receipts!$C1253)</f>
        <v/>
      </c>
      <c r="C1250" s="18" t="str">
        <f>IF($A1250="","",IFERROR(INDEX(Items!$B$5:$B$597,MATCH($A1250,Items!$A$5:$A$597,0)),""))</f>
        <v/>
      </c>
      <c r="D1250" s="23" t="str">
        <f>IF($A1250="","",N(Receipts!$G1253))</f>
        <v/>
      </c>
      <c r="E1250" s="20" t="str">
        <f>IF($A1250="","",IFERROR(INDEX(Items!$D$5:$D$597,MATCH($A1250,Items!$A$5:$A$597,0)),0))</f>
        <v/>
      </c>
      <c r="F1250" s="21" t="str">
        <f t="shared" si="95"/>
        <v/>
      </c>
      <c r="G1250" s="25" t="str">
        <f>IF(Receipts!$I1253="","",Receipts!$I1253)</f>
        <v/>
      </c>
      <c r="H1250" s="25" t="str">
        <f>IF(Receipts!$H1253="","",Receipts!$H1253)</f>
        <v/>
      </c>
      <c r="I1250" s="26" t="str">
        <f t="shared" ca="1" si="96"/>
        <v/>
      </c>
      <c r="J1250" s="26" t="str">
        <f>IF($A1250="","",COUNTIFS(tblReceipts[Item Name],$A1250,tblReceipts[Expiry Date],"&lt;"&amp;$H1250)+COUNTIFS(tblReceipts[Item Name],$A1250,tblReceipts[Expiry Date],$H1250,tblReceipts[Lot Number],"&lt;="&amp;Receipts!$C1253))</f>
        <v/>
      </c>
      <c r="K1250" s="26" t="str">
        <f>IF($A1250="","",SUMIFS(tblReceipts[Qty Received],tblReceipts[Item Name],$A1250,tblReceipts[Expiry Date],"&lt;"&amp;$H1250)+SUMIFS(tblReceipts[Qty Received],tblReceipts[Item Name],$A1250,tblReceipts[Expiry Date],$H1250,tblReceipts[Lot Number],"&lt;"&amp;Receipts!$C1253))</f>
        <v/>
      </c>
      <c r="L1250" s="26" t="str">
        <f>IF($A1250="","",MIN($D1250,MAX(0,SUMIFS(tblIssues[Qty Issued],tblIssues[Item Name],$A1250)-$K1250)))</f>
        <v/>
      </c>
      <c r="M1250" s="26" t="str">
        <f>IF($A1250="","",SUMIFS(tblIssues[Qty Issued],tblIssues[Lot Number],$B1250))</f>
        <v/>
      </c>
      <c r="N1250" s="26" t="str">
        <f t="shared" si="97"/>
        <v/>
      </c>
      <c r="O1250" s="26" t="str">
        <f t="shared" si="98"/>
        <v/>
      </c>
      <c r="P1250" s="21" t="str">
        <f t="shared" si="99"/>
        <v/>
      </c>
      <c r="Q1250" s="52" t="str">
        <f>IF($A1250="","",IF($O1250&lt;=0,"Depleted",IF($I1250&lt;0,"EXPIRED",IF($I1250&lt;=Settings!$C$6,"CRITICAL",IF($I1250&lt;=Settings!$C$5,"Expiring","In date")))))</f>
        <v/>
      </c>
    </row>
    <row r="1251" spans="1:17" x14ac:dyDescent="0.35">
      <c r="A1251" s="90" t="str">
        <f>IF(Receipts!$D1254="","",Receipts!$D1254)</f>
        <v/>
      </c>
      <c r="B1251" s="18" t="str">
        <f>IF(Receipts!$C1254="","",Receipts!$C1254)</f>
        <v/>
      </c>
      <c r="C1251" s="18" t="str">
        <f>IF($A1251="","",IFERROR(INDEX(Items!$B$5:$B$597,MATCH($A1251,Items!$A$5:$A$597,0)),""))</f>
        <v/>
      </c>
      <c r="D1251" s="23" t="str">
        <f>IF($A1251="","",N(Receipts!$G1254))</f>
        <v/>
      </c>
      <c r="E1251" s="20" t="str">
        <f>IF($A1251="","",IFERROR(INDEX(Items!$D$5:$D$597,MATCH($A1251,Items!$A$5:$A$597,0)),0))</f>
        <v/>
      </c>
      <c r="F1251" s="21" t="str">
        <f t="shared" si="95"/>
        <v/>
      </c>
      <c r="G1251" s="25" t="str">
        <f>IF(Receipts!$I1254="","",Receipts!$I1254)</f>
        <v/>
      </c>
      <c r="H1251" s="25" t="str">
        <f>IF(Receipts!$H1254="","",Receipts!$H1254)</f>
        <v/>
      </c>
      <c r="I1251" s="26" t="str">
        <f t="shared" ca="1" si="96"/>
        <v/>
      </c>
      <c r="J1251" s="26" t="str">
        <f>IF($A1251="","",COUNTIFS(tblReceipts[Item Name],$A1251,tblReceipts[Expiry Date],"&lt;"&amp;$H1251)+COUNTIFS(tblReceipts[Item Name],$A1251,tblReceipts[Expiry Date],$H1251,tblReceipts[Lot Number],"&lt;="&amp;Receipts!$C1254))</f>
        <v/>
      </c>
      <c r="K1251" s="26" t="str">
        <f>IF($A1251="","",SUMIFS(tblReceipts[Qty Received],tblReceipts[Item Name],$A1251,tblReceipts[Expiry Date],"&lt;"&amp;$H1251)+SUMIFS(tblReceipts[Qty Received],tblReceipts[Item Name],$A1251,tblReceipts[Expiry Date],$H1251,tblReceipts[Lot Number],"&lt;"&amp;Receipts!$C1254))</f>
        <v/>
      </c>
      <c r="L1251" s="26" t="str">
        <f>IF($A1251="","",MIN($D1251,MAX(0,SUMIFS(tblIssues[Qty Issued],tblIssues[Item Name],$A1251)-$K1251)))</f>
        <v/>
      </c>
      <c r="M1251" s="26" t="str">
        <f>IF($A1251="","",SUMIFS(tblIssues[Qty Issued],tblIssues[Lot Number],$B1251))</f>
        <v/>
      </c>
      <c r="N1251" s="26" t="str">
        <f t="shared" si="97"/>
        <v/>
      </c>
      <c r="O1251" s="26" t="str">
        <f t="shared" si="98"/>
        <v/>
      </c>
      <c r="P1251" s="21" t="str">
        <f t="shared" si="99"/>
        <v/>
      </c>
      <c r="Q1251" s="52" t="str">
        <f>IF($A1251="","",IF($O1251&lt;=0,"Depleted",IF($I1251&lt;0,"EXPIRED",IF($I1251&lt;=Settings!$C$6,"CRITICAL",IF($I1251&lt;=Settings!$C$5,"Expiring","In date")))))</f>
        <v/>
      </c>
    </row>
    <row r="1252" spans="1:17" x14ac:dyDescent="0.35">
      <c r="A1252" s="90" t="str">
        <f>IF(Receipts!$D1255="","",Receipts!$D1255)</f>
        <v/>
      </c>
      <c r="B1252" s="18" t="str">
        <f>IF(Receipts!$C1255="","",Receipts!$C1255)</f>
        <v/>
      </c>
      <c r="C1252" s="18" t="str">
        <f>IF($A1252="","",IFERROR(INDEX(Items!$B$5:$B$597,MATCH($A1252,Items!$A$5:$A$597,0)),""))</f>
        <v/>
      </c>
      <c r="D1252" s="23" t="str">
        <f>IF($A1252="","",N(Receipts!$G1255))</f>
        <v/>
      </c>
      <c r="E1252" s="20" t="str">
        <f>IF($A1252="","",IFERROR(INDEX(Items!$D$5:$D$597,MATCH($A1252,Items!$A$5:$A$597,0)),0))</f>
        <v/>
      </c>
      <c r="F1252" s="21" t="str">
        <f t="shared" si="95"/>
        <v/>
      </c>
      <c r="G1252" s="25" t="str">
        <f>IF(Receipts!$I1255="","",Receipts!$I1255)</f>
        <v/>
      </c>
      <c r="H1252" s="25" t="str">
        <f>IF(Receipts!$H1255="","",Receipts!$H1255)</f>
        <v/>
      </c>
      <c r="I1252" s="26" t="str">
        <f t="shared" ca="1" si="96"/>
        <v/>
      </c>
      <c r="J1252" s="26" t="str">
        <f>IF($A1252="","",COUNTIFS(tblReceipts[Item Name],$A1252,tblReceipts[Expiry Date],"&lt;"&amp;$H1252)+COUNTIFS(tblReceipts[Item Name],$A1252,tblReceipts[Expiry Date],$H1252,tblReceipts[Lot Number],"&lt;="&amp;Receipts!$C1255))</f>
        <v/>
      </c>
      <c r="K1252" s="26" t="str">
        <f>IF($A1252="","",SUMIFS(tblReceipts[Qty Received],tblReceipts[Item Name],$A1252,tblReceipts[Expiry Date],"&lt;"&amp;$H1252)+SUMIFS(tblReceipts[Qty Received],tblReceipts[Item Name],$A1252,tblReceipts[Expiry Date],$H1252,tblReceipts[Lot Number],"&lt;"&amp;Receipts!$C1255))</f>
        <v/>
      </c>
      <c r="L1252" s="26" t="str">
        <f>IF($A1252="","",MIN($D1252,MAX(0,SUMIFS(tblIssues[Qty Issued],tblIssues[Item Name],$A1252)-$K1252)))</f>
        <v/>
      </c>
      <c r="M1252" s="26" t="str">
        <f>IF($A1252="","",SUMIFS(tblIssues[Qty Issued],tblIssues[Lot Number],$B1252))</f>
        <v/>
      </c>
      <c r="N1252" s="26" t="str">
        <f t="shared" si="97"/>
        <v/>
      </c>
      <c r="O1252" s="26" t="str">
        <f t="shared" si="98"/>
        <v/>
      </c>
      <c r="P1252" s="21" t="str">
        <f t="shared" si="99"/>
        <v/>
      </c>
      <c r="Q1252" s="52" t="str">
        <f>IF($A1252="","",IF($O1252&lt;=0,"Depleted",IF($I1252&lt;0,"EXPIRED",IF($I1252&lt;=Settings!$C$6,"CRITICAL",IF($I1252&lt;=Settings!$C$5,"Expiring","In date")))))</f>
        <v/>
      </c>
    </row>
    <row r="1253" spans="1:17" x14ac:dyDescent="0.35">
      <c r="A1253" s="90" t="str">
        <f>IF(Receipts!$D1256="","",Receipts!$D1256)</f>
        <v/>
      </c>
      <c r="B1253" s="18" t="str">
        <f>IF(Receipts!$C1256="","",Receipts!$C1256)</f>
        <v/>
      </c>
      <c r="C1253" s="18" t="str">
        <f>IF($A1253="","",IFERROR(INDEX(Items!$B$5:$B$597,MATCH($A1253,Items!$A$5:$A$597,0)),""))</f>
        <v/>
      </c>
      <c r="D1253" s="23" t="str">
        <f>IF($A1253="","",N(Receipts!$G1256))</f>
        <v/>
      </c>
      <c r="E1253" s="20" t="str">
        <f>IF($A1253="","",IFERROR(INDEX(Items!$D$5:$D$597,MATCH($A1253,Items!$A$5:$A$597,0)),0))</f>
        <v/>
      </c>
      <c r="F1253" s="21" t="str">
        <f t="shared" si="95"/>
        <v/>
      </c>
      <c r="G1253" s="25" t="str">
        <f>IF(Receipts!$I1256="","",Receipts!$I1256)</f>
        <v/>
      </c>
      <c r="H1253" s="25" t="str">
        <f>IF(Receipts!$H1256="","",Receipts!$H1256)</f>
        <v/>
      </c>
      <c r="I1253" s="26" t="str">
        <f t="shared" ca="1" si="96"/>
        <v/>
      </c>
      <c r="J1253" s="26" t="str">
        <f>IF($A1253="","",COUNTIFS(tblReceipts[Item Name],$A1253,tblReceipts[Expiry Date],"&lt;"&amp;$H1253)+COUNTIFS(tblReceipts[Item Name],$A1253,tblReceipts[Expiry Date],$H1253,tblReceipts[Lot Number],"&lt;="&amp;Receipts!$C1256))</f>
        <v/>
      </c>
      <c r="K1253" s="26" t="str">
        <f>IF($A1253="","",SUMIFS(tblReceipts[Qty Received],tblReceipts[Item Name],$A1253,tblReceipts[Expiry Date],"&lt;"&amp;$H1253)+SUMIFS(tblReceipts[Qty Received],tblReceipts[Item Name],$A1253,tblReceipts[Expiry Date],$H1253,tblReceipts[Lot Number],"&lt;"&amp;Receipts!$C1256))</f>
        <v/>
      </c>
      <c r="L1253" s="26" t="str">
        <f>IF($A1253="","",MIN($D1253,MAX(0,SUMIFS(tblIssues[Qty Issued],tblIssues[Item Name],$A1253)-$K1253)))</f>
        <v/>
      </c>
      <c r="M1253" s="26" t="str">
        <f>IF($A1253="","",SUMIFS(tblIssues[Qty Issued],tblIssues[Lot Number],$B1253))</f>
        <v/>
      </c>
      <c r="N1253" s="26" t="str">
        <f t="shared" si="97"/>
        <v/>
      </c>
      <c r="O1253" s="26" t="str">
        <f t="shared" si="98"/>
        <v/>
      </c>
      <c r="P1253" s="21" t="str">
        <f t="shared" si="99"/>
        <v/>
      </c>
      <c r="Q1253" s="52" t="str">
        <f>IF($A1253="","",IF($O1253&lt;=0,"Depleted",IF($I1253&lt;0,"EXPIRED",IF($I1253&lt;=Settings!$C$6,"CRITICAL",IF($I1253&lt;=Settings!$C$5,"Expiring","In date")))))</f>
        <v/>
      </c>
    </row>
    <row r="1254" spans="1:17" x14ac:dyDescent="0.35">
      <c r="A1254" s="90" t="str">
        <f>IF(Receipts!$D1257="","",Receipts!$D1257)</f>
        <v/>
      </c>
      <c r="B1254" s="18" t="str">
        <f>IF(Receipts!$C1257="","",Receipts!$C1257)</f>
        <v/>
      </c>
      <c r="C1254" s="18" t="str">
        <f>IF($A1254="","",IFERROR(INDEX(Items!$B$5:$B$597,MATCH($A1254,Items!$A$5:$A$597,0)),""))</f>
        <v/>
      </c>
      <c r="D1254" s="23" t="str">
        <f>IF($A1254="","",N(Receipts!$G1257))</f>
        <v/>
      </c>
      <c r="E1254" s="20" t="str">
        <f>IF($A1254="","",IFERROR(INDEX(Items!$D$5:$D$597,MATCH($A1254,Items!$A$5:$A$597,0)),0))</f>
        <v/>
      </c>
      <c r="F1254" s="21" t="str">
        <f t="shared" si="95"/>
        <v/>
      </c>
      <c r="G1254" s="25" t="str">
        <f>IF(Receipts!$I1257="","",Receipts!$I1257)</f>
        <v/>
      </c>
      <c r="H1254" s="25" t="str">
        <f>IF(Receipts!$H1257="","",Receipts!$H1257)</f>
        <v/>
      </c>
      <c r="I1254" s="26" t="str">
        <f t="shared" ca="1" si="96"/>
        <v/>
      </c>
      <c r="J1254" s="26" t="str">
        <f>IF($A1254="","",COUNTIFS(tblReceipts[Item Name],$A1254,tblReceipts[Expiry Date],"&lt;"&amp;$H1254)+COUNTIFS(tblReceipts[Item Name],$A1254,tblReceipts[Expiry Date],$H1254,tblReceipts[Lot Number],"&lt;="&amp;Receipts!$C1257))</f>
        <v/>
      </c>
      <c r="K1254" s="26" t="str">
        <f>IF($A1254="","",SUMIFS(tblReceipts[Qty Received],tblReceipts[Item Name],$A1254,tblReceipts[Expiry Date],"&lt;"&amp;$H1254)+SUMIFS(tblReceipts[Qty Received],tblReceipts[Item Name],$A1254,tblReceipts[Expiry Date],$H1254,tblReceipts[Lot Number],"&lt;"&amp;Receipts!$C1257))</f>
        <v/>
      </c>
      <c r="L1254" s="26" t="str">
        <f>IF($A1254="","",MIN($D1254,MAX(0,SUMIFS(tblIssues[Qty Issued],tblIssues[Item Name],$A1254)-$K1254)))</f>
        <v/>
      </c>
      <c r="M1254" s="26" t="str">
        <f>IF($A1254="","",SUMIFS(tblIssues[Qty Issued],tblIssues[Lot Number],$B1254))</f>
        <v/>
      </c>
      <c r="N1254" s="26" t="str">
        <f t="shared" si="97"/>
        <v/>
      </c>
      <c r="O1254" s="26" t="str">
        <f t="shared" si="98"/>
        <v/>
      </c>
      <c r="P1254" s="21" t="str">
        <f t="shared" si="99"/>
        <v/>
      </c>
      <c r="Q1254" s="52" t="str">
        <f>IF($A1254="","",IF($O1254&lt;=0,"Depleted",IF($I1254&lt;0,"EXPIRED",IF($I1254&lt;=Settings!$C$6,"CRITICAL",IF($I1254&lt;=Settings!$C$5,"Expiring","In date")))))</f>
        <v/>
      </c>
    </row>
    <row r="1255" spans="1:17" x14ac:dyDescent="0.35">
      <c r="A1255" s="90" t="str">
        <f>IF(Receipts!$D1258="","",Receipts!$D1258)</f>
        <v/>
      </c>
      <c r="B1255" s="18" t="str">
        <f>IF(Receipts!$C1258="","",Receipts!$C1258)</f>
        <v/>
      </c>
      <c r="C1255" s="18" t="str">
        <f>IF($A1255="","",IFERROR(INDEX(Items!$B$5:$B$597,MATCH($A1255,Items!$A$5:$A$597,0)),""))</f>
        <v/>
      </c>
      <c r="D1255" s="23" t="str">
        <f>IF($A1255="","",N(Receipts!$G1258))</f>
        <v/>
      </c>
      <c r="E1255" s="20" t="str">
        <f>IF($A1255="","",IFERROR(INDEX(Items!$D$5:$D$597,MATCH($A1255,Items!$A$5:$A$597,0)),0))</f>
        <v/>
      </c>
      <c r="F1255" s="21" t="str">
        <f t="shared" si="95"/>
        <v/>
      </c>
      <c r="G1255" s="25" t="str">
        <f>IF(Receipts!$I1258="","",Receipts!$I1258)</f>
        <v/>
      </c>
      <c r="H1255" s="25" t="str">
        <f>IF(Receipts!$H1258="","",Receipts!$H1258)</f>
        <v/>
      </c>
      <c r="I1255" s="26" t="str">
        <f t="shared" ca="1" si="96"/>
        <v/>
      </c>
      <c r="J1255" s="26" t="str">
        <f>IF($A1255="","",COUNTIFS(tblReceipts[Item Name],$A1255,tblReceipts[Expiry Date],"&lt;"&amp;$H1255)+COUNTIFS(tblReceipts[Item Name],$A1255,tblReceipts[Expiry Date],$H1255,tblReceipts[Lot Number],"&lt;="&amp;Receipts!$C1258))</f>
        <v/>
      </c>
      <c r="K1255" s="26" t="str">
        <f>IF($A1255="","",SUMIFS(tblReceipts[Qty Received],tblReceipts[Item Name],$A1255,tblReceipts[Expiry Date],"&lt;"&amp;$H1255)+SUMIFS(tblReceipts[Qty Received],tblReceipts[Item Name],$A1255,tblReceipts[Expiry Date],$H1255,tblReceipts[Lot Number],"&lt;"&amp;Receipts!$C1258))</f>
        <v/>
      </c>
      <c r="L1255" s="26" t="str">
        <f>IF($A1255="","",MIN($D1255,MAX(0,SUMIFS(tblIssues[Qty Issued],tblIssues[Item Name],$A1255)-$K1255)))</f>
        <v/>
      </c>
      <c r="M1255" s="26" t="str">
        <f>IF($A1255="","",SUMIFS(tblIssues[Qty Issued],tblIssues[Lot Number],$B1255))</f>
        <v/>
      </c>
      <c r="N1255" s="26" t="str">
        <f t="shared" si="97"/>
        <v/>
      </c>
      <c r="O1255" s="26" t="str">
        <f t="shared" si="98"/>
        <v/>
      </c>
      <c r="P1255" s="21" t="str">
        <f t="shared" si="99"/>
        <v/>
      </c>
      <c r="Q1255" s="52" t="str">
        <f>IF($A1255="","",IF($O1255&lt;=0,"Depleted",IF($I1255&lt;0,"EXPIRED",IF($I1255&lt;=Settings!$C$6,"CRITICAL",IF($I1255&lt;=Settings!$C$5,"Expiring","In date")))))</f>
        <v/>
      </c>
    </row>
    <row r="1256" spans="1:17" x14ac:dyDescent="0.35">
      <c r="A1256" s="90" t="str">
        <f>IF(Receipts!$D1259="","",Receipts!$D1259)</f>
        <v/>
      </c>
      <c r="B1256" s="18" t="str">
        <f>IF(Receipts!$C1259="","",Receipts!$C1259)</f>
        <v/>
      </c>
      <c r="C1256" s="18" t="str">
        <f>IF($A1256="","",IFERROR(INDEX(Items!$B$5:$B$597,MATCH($A1256,Items!$A$5:$A$597,0)),""))</f>
        <v/>
      </c>
      <c r="D1256" s="23" t="str">
        <f>IF($A1256="","",N(Receipts!$G1259))</f>
        <v/>
      </c>
      <c r="E1256" s="20" t="str">
        <f>IF($A1256="","",IFERROR(INDEX(Items!$D$5:$D$597,MATCH($A1256,Items!$A$5:$A$597,0)),0))</f>
        <v/>
      </c>
      <c r="F1256" s="21" t="str">
        <f t="shared" si="95"/>
        <v/>
      </c>
      <c r="G1256" s="25" t="str">
        <f>IF(Receipts!$I1259="","",Receipts!$I1259)</f>
        <v/>
      </c>
      <c r="H1256" s="25" t="str">
        <f>IF(Receipts!$H1259="","",Receipts!$H1259)</f>
        <v/>
      </c>
      <c r="I1256" s="26" t="str">
        <f t="shared" ca="1" si="96"/>
        <v/>
      </c>
      <c r="J1256" s="26" t="str">
        <f>IF($A1256="","",COUNTIFS(tblReceipts[Item Name],$A1256,tblReceipts[Expiry Date],"&lt;"&amp;$H1256)+COUNTIFS(tblReceipts[Item Name],$A1256,tblReceipts[Expiry Date],$H1256,tblReceipts[Lot Number],"&lt;="&amp;Receipts!$C1259))</f>
        <v/>
      </c>
      <c r="K1256" s="26" t="str">
        <f>IF($A1256="","",SUMIFS(tblReceipts[Qty Received],tblReceipts[Item Name],$A1256,tblReceipts[Expiry Date],"&lt;"&amp;$H1256)+SUMIFS(tblReceipts[Qty Received],tblReceipts[Item Name],$A1256,tblReceipts[Expiry Date],$H1256,tblReceipts[Lot Number],"&lt;"&amp;Receipts!$C1259))</f>
        <v/>
      </c>
      <c r="L1256" s="26" t="str">
        <f>IF($A1256="","",MIN($D1256,MAX(0,SUMIFS(tblIssues[Qty Issued],tblIssues[Item Name],$A1256)-$K1256)))</f>
        <v/>
      </c>
      <c r="M1256" s="26" t="str">
        <f>IF($A1256="","",SUMIFS(tblIssues[Qty Issued],tblIssues[Lot Number],$B1256))</f>
        <v/>
      </c>
      <c r="N1256" s="26" t="str">
        <f t="shared" si="97"/>
        <v/>
      </c>
      <c r="O1256" s="26" t="str">
        <f t="shared" si="98"/>
        <v/>
      </c>
      <c r="P1256" s="21" t="str">
        <f t="shared" si="99"/>
        <v/>
      </c>
      <c r="Q1256" s="52" t="str">
        <f>IF($A1256="","",IF($O1256&lt;=0,"Depleted",IF($I1256&lt;0,"EXPIRED",IF($I1256&lt;=Settings!$C$6,"CRITICAL",IF($I1256&lt;=Settings!$C$5,"Expiring","In date")))))</f>
        <v/>
      </c>
    </row>
    <row r="1257" spans="1:17" x14ac:dyDescent="0.35">
      <c r="A1257" s="90" t="str">
        <f>IF(Receipts!$D1260="","",Receipts!$D1260)</f>
        <v/>
      </c>
      <c r="B1257" s="18" t="str">
        <f>IF(Receipts!$C1260="","",Receipts!$C1260)</f>
        <v/>
      </c>
      <c r="C1257" s="18" t="str">
        <f>IF($A1257="","",IFERROR(INDEX(Items!$B$5:$B$597,MATCH($A1257,Items!$A$5:$A$597,0)),""))</f>
        <v/>
      </c>
      <c r="D1257" s="23" t="str">
        <f>IF($A1257="","",N(Receipts!$G1260))</f>
        <v/>
      </c>
      <c r="E1257" s="20" t="str">
        <f>IF($A1257="","",IFERROR(INDEX(Items!$D$5:$D$597,MATCH($A1257,Items!$A$5:$A$597,0)),0))</f>
        <v/>
      </c>
      <c r="F1257" s="21" t="str">
        <f t="shared" si="95"/>
        <v/>
      </c>
      <c r="G1257" s="25" t="str">
        <f>IF(Receipts!$I1260="","",Receipts!$I1260)</f>
        <v/>
      </c>
      <c r="H1257" s="25" t="str">
        <f>IF(Receipts!$H1260="","",Receipts!$H1260)</f>
        <v/>
      </c>
      <c r="I1257" s="26" t="str">
        <f t="shared" ca="1" si="96"/>
        <v/>
      </c>
      <c r="J1257" s="26" t="str">
        <f>IF($A1257="","",COUNTIFS(tblReceipts[Item Name],$A1257,tblReceipts[Expiry Date],"&lt;"&amp;$H1257)+COUNTIFS(tblReceipts[Item Name],$A1257,tblReceipts[Expiry Date],$H1257,tblReceipts[Lot Number],"&lt;="&amp;Receipts!$C1260))</f>
        <v/>
      </c>
      <c r="K1257" s="26" t="str">
        <f>IF($A1257="","",SUMIFS(tblReceipts[Qty Received],tblReceipts[Item Name],$A1257,tblReceipts[Expiry Date],"&lt;"&amp;$H1257)+SUMIFS(tblReceipts[Qty Received],tblReceipts[Item Name],$A1257,tblReceipts[Expiry Date],$H1257,tblReceipts[Lot Number],"&lt;"&amp;Receipts!$C1260))</f>
        <v/>
      </c>
      <c r="L1257" s="26" t="str">
        <f>IF($A1257="","",MIN($D1257,MAX(0,SUMIFS(tblIssues[Qty Issued],tblIssues[Item Name],$A1257)-$K1257)))</f>
        <v/>
      </c>
      <c r="M1257" s="26" t="str">
        <f>IF($A1257="","",SUMIFS(tblIssues[Qty Issued],tblIssues[Lot Number],$B1257))</f>
        <v/>
      </c>
      <c r="N1257" s="26" t="str">
        <f t="shared" si="97"/>
        <v/>
      </c>
      <c r="O1257" s="26" t="str">
        <f t="shared" si="98"/>
        <v/>
      </c>
      <c r="P1257" s="21" t="str">
        <f t="shared" si="99"/>
        <v/>
      </c>
      <c r="Q1257" s="52" t="str">
        <f>IF($A1257="","",IF($O1257&lt;=0,"Depleted",IF($I1257&lt;0,"EXPIRED",IF($I1257&lt;=Settings!$C$6,"CRITICAL",IF($I1257&lt;=Settings!$C$5,"Expiring","In date")))))</f>
        <v/>
      </c>
    </row>
    <row r="1258" spans="1:17" x14ac:dyDescent="0.35">
      <c r="A1258" s="90" t="str">
        <f>IF(Receipts!$D1261="","",Receipts!$D1261)</f>
        <v/>
      </c>
      <c r="B1258" s="18" t="str">
        <f>IF(Receipts!$C1261="","",Receipts!$C1261)</f>
        <v/>
      </c>
      <c r="C1258" s="18" t="str">
        <f>IF($A1258="","",IFERROR(INDEX(Items!$B$5:$B$597,MATCH($A1258,Items!$A$5:$A$597,0)),""))</f>
        <v/>
      </c>
      <c r="D1258" s="23" t="str">
        <f>IF($A1258="","",N(Receipts!$G1261))</f>
        <v/>
      </c>
      <c r="E1258" s="20" t="str">
        <f>IF($A1258="","",IFERROR(INDEX(Items!$D$5:$D$597,MATCH($A1258,Items!$A$5:$A$597,0)),0))</f>
        <v/>
      </c>
      <c r="F1258" s="21" t="str">
        <f t="shared" si="95"/>
        <v/>
      </c>
      <c r="G1258" s="25" t="str">
        <f>IF(Receipts!$I1261="","",Receipts!$I1261)</f>
        <v/>
      </c>
      <c r="H1258" s="25" t="str">
        <f>IF(Receipts!$H1261="","",Receipts!$H1261)</f>
        <v/>
      </c>
      <c r="I1258" s="26" t="str">
        <f t="shared" ca="1" si="96"/>
        <v/>
      </c>
      <c r="J1258" s="26" t="str">
        <f>IF($A1258="","",COUNTIFS(tblReceipts[Item Name],$A1258,tblReceipts[Expiry Date],"&lt;"&amp;$H1258)+COUNTIFS(tblReceipts[Item Name],$A1258,tblReceipts[Expiry Date],$H1258,tblReceipts[Lot Number],"&lt;="&amp;Receipts!$C1261))</f>
        <v/>
      </c>
      <c r="K1258" s="26" t="str">
        <f>IF($A1258="","",SUMIFS(tblReceipts[Qty Received],tblReceipts[Item Name],$A1258,tblReceipts[Expiry Date],"&lt;"&amp;$H1258)+SUMIFS(tblReceipts[Qty Received],tblReceipts[Item Name],$A1258,tblReceipts[Expiry Date],$H1258,tblReceipts[Lot Number],"&lt;"&amp;Receipts!$C1261))</f>
        <v/>
      </c>
      <c r="L1258" s="26" t="str">
        <f>IF($A1258="","",MIN($D1258,MAX(0,SUMIFS(tblIssues[Qty Issued],tblIssues[Item Name],$A1258)-$K1258)))</f>
        <v/>
      </c>
      <c r="M1258" s="26" t="str">
        <f>IF($A1258="","",SUMIFS(tblIssues[Qty Issued],tblIssues[Lot Number],$B1258))</f>
        <v/>
      </c>
      <c r="N1258" s="26" t="str">
        <f t="shared" si="97"/>
        <v/>
      </c>
      <c r="O1258" s="26" t="str">
        <f t="shared" si="98"/>
        <v/>
      </c>
      <c r="P1258" s="21" t="str">
        <f t="shared" si="99"/>
        <v/>
      </c>
      <c r="Q1258" s="52" t="str">
        <f>IF($A1258="","",IF($O1258&lt;=0,"Depleted",IF($I1258&lt;0,"EXPIRED",IF($I1258&lt;=Settings!$C$6,"CRITICAL",IF($I1258&lt;=Settings!$C$5,"Expiring","In date")))))</f>
        <v/>
      </c>
    </row>
    <row r="1259" spans="1:17" x14ac:dyDescent="0.35">
      <c r="A1259" s="90" t="str">
        <f>IF(Receipts!$D1262="","",Receipts!$D1262)</f>
        <v/>
      </c>
      <c r="B1259" s="18" t="str">
        <f>IF(Receipts!$C1262="","",Receipts!$C1262)</f>
        <v/>
      </c>
      <c r="C1259" s="18" t="str">
        <f>IF($A1259="","",IFERROR(INDEX(Items!$B$5:$B$597,MATCH($A1259,Items!$A$5:$A$597,0)),""))</f>
        <v/>
      </c>
      <c r="D1259" s="23" t="str">
        <f>IF($A1259="","",N(Receipts!$G1262))</f>
        <v/>
      </c>
      <c r="E1259" s="20" t="str">
        <f>IF($A1259="","",IFERROR(INDEX(Items!$D$5:$D$597,MATCH($A1259,Items!$A$5:$A$597,0)),0))</f>
        <v/>
      </c>
      <c r="F1259" s="21" t="str">
        <f t="shared" si="95"/>
        <v/>
      </c>
      <c r="G1259" s="25" t="str">
        <f>IF(Receipts!$I1262="","",Receipts!$I1262)</f>
        <v/>
      </c>
      <c r="H1259" s="25" t="str">
        <f>IF(Receipts!$H1262="","",Receipts!$H1262)</f>
        <v/>
      </c>
      <c r="I1259" s="26" t="str">
        <f t="shared" ca="1" si="96"/>
        <v/>
      </c>
      <c r="J1259" s="26" t="str">
        <f>IF($A1259="","",COUNTIFS(tblReceipts[Item Name],$A1259,tblReceipts[Expiry Date],"&lt;"&amp;$H1259)+COUNTIFS(tblReceipts[Item Name],$A1259,tblReceipts[Expiry Date],$H1259,tblReceipts[Lot Number],"&lt;="&amp;Receipts!$C1262))</f>
        <v/>
      </c>
      <c r="K1259" s="26" t="str">
        <f>IF($A1259="","",SUMIFS(tblReceipts[Qty Received],tblReceipts[Item Name],$A1259,tblReceipts[Expiry Date],"&lt;"&amp;$H1259)+SUMIFS(tblReceipts[Qty Received],tblReceipts[Item Name],$A1259,tblReceipts[Expiry Date],$H1259,tblReceipts[Lot Number],"&lt;"&amp;Receipts!$C1262))</f>
        <v/>
      </c>
      <c r="L1259" s="26" t="str">
        <f>IF($A1259="","",MIN($D1259,MAX(0,SUMIFS(tblIssues[Qty Issued],tblIssues[Item Name],$A1259)-$K1259)))</f>
        <v/>
      </c>
      <c r="M1259" s="26" t="str">
        <f>IF($A1259="","",SUMIFS(tblIssues[Qty Issued],tblIssues[Lot Number],$B1259))</f>
        <v/>
      </c>
      <c r="N1259" s="26" t="str">
        <f t="shared" si="97"/>
        <v/>
      </c>
      <c r="O1259" s="26" t="str">
        <f t="shared" si="98"/>
        <v/>
      </c>
      <c r="P1259" s="21" t="str">
        <f t="shared" si="99"/>
        <v/>
      </c>
      <c r="Q1259" s="52" t="str">
        <f>IF($A1259="","",IF($O1259&lt;=0,"Depleted",IF($I1259&lt;0,"EXPIRED",IF($I1259&lt;=Settings!$C$6,"CRITICAL",IF($I1259&lt;=Settings!$C$5,"Expiring","In date")))))</f>
        <v/>
      </c>
    </row>
    <row r="1260" spans="1:17" x14ac:dyDescent="0.35">
      <c r="A1260" s="90" t="str">
        <f>IF(Receipts!$D1263="","",Receipts!$D1263)</f>
        <v/>
      </c>
      <c r="B1260" s="18" t="str">
        <f>IF(Receipts!$C1263="","",Receipts!$C1263)</f>
        <v/>
      </c>
      <c r="C1260" s="18" t="str">
        <f>IF($A1260="","",IFERROR(INDEX(Items!$B$5:$B$597,MATCH($A1260,Items!$A$5:$A$597,0)),""))</f>
        <v/>
      </c>
      <c r="D1260" s="23" t="str">
        <f>IF($A1260="","",N(Receipts!$G1263))</f>
        <v/>
      </c>
      <c r="E1260" s="20" t="str">
        <f>IF($A1260="","",IFERROR(INDEX(Items!$D$5:$D$597,MATCH($A1260,Items!$A$5:$A$597,0)),0))</f>
        <v/>
      </c>
      <c r="F1260" s="21" t="str">
        <f t="shared" si="95"/>
        <v/>
      </c>
      <c r="G1260" s="25" t="str">
        <f>IF(Receipts!$I1263="","",Receipts!$I1263)</f>
        <v/>
      </c>
      <c r="H1260" s="25" t="str">
        <f>IF(Receipts!$H1263="","",Receipts!$H1263)</f>
        <v/>
      </c>
      <c r="I1260" s="26" t="str">
        <f t="shared" ca="1" si="96"/>
        <v/>
      </c>
      <c r="J1260" s="26" t="str">
        <f>IF($A1260="","",COUNTIFS(tblReceipts[Item Name],$A1260,tblReceipts[Expiry Date],"&lt;"&amp;$H1260)+COUNTIFS(tblReceipts[Item Name],$A1260,tblReceipts[Expiry Date],$H1260,tblReceipts[Lot Number],"&lt;="&amp;Receipts!$C1263))</f>
        <v/>
      </c>
      <c r="K1260" s="26" t="str">
        <f>IF($A1260="","",SUMIFS(tblReceipts[Qty Received],tblReceipts[Item Name],$A1260,tblReceipts[Expiry Date],"&lt;"&amp;$H1260)+SUMIFS(tblReceipts[Qty Received],tblReceipts[Item Name],$A1260,tblReceipts[Expiry Date],$H1260,tblReceipts[Lot Number],"&lt;"&amp;Receipts!$C1263))</f>
        <v/>
      </c>
      <c r="L1260" s="26" t="str">
        <f>IF($A1260="","",MIN($D1260,MAX(0,SUMIFS(tblIssues[Qty Issued],tblIssues[Item Name],$A1260)-$K1260)))</f>
        <v/>
      </c>
      <c r="M1260" s="26" t="str">
        <f>IF($A1260="","",SUMIFS(tblIssues[Qty Issued],tblIssues[Lot Number],$B1260))</f>
        <v/>
      </c>
      <c r="N1260" s="26" t="str">
        <f t="shared" si="97"/>
        <v/>
      </c>
      <c r="O1260" s="26" t="str">
        <f t="shared" si="98"/>
        <v/>
      </c>
      <c r="P1260" s="21" t="str">
        <f t="shared" si="99"/>
        <v/>
      </c>
      <c r="Q1260" s="52" t="str">
        <f>IF($A1260="","",IF($O1260&lt;=0,"Depleted",IF($I1260&lt;0,"EXPIRED",IF($I1260&lt;=Settings!$C$6,"CRITICAL",IF($I1260&lt;=Settings!$C$5,"Expiring","In date")))))</f>
        <v/>
      </c>
    </row>
    <row r="1261" spans="1:17" x14ac:dyDescent="0.35">
      <c r="A1261" s="90" t="str">
        <f>IF(Receipts!$D1264="","",Receipts!$D1264)</f>
        <v/>
      </c>
      <c r="B1261" s="18" t="str">
        <f>IF(Receipts!$C1264="","",Receipts!$C1264)</f>
        <v/>
      </c>
      <c r="C1261" s="18" t="str">
        <f>IF($A1261="","",IFERROR(INDEX(Items!$B$5:$B$597,MATCH($A1261,Items!$A$5:$A$597,0)),""))</f>
        <v/>
      </c>
      <c r="D1261" s="23" t="str">
        <f>IF($A1261="","",N(Receipts!$G1264))</f>
        <v/>
      </c>
      <c r="E1261" s="20" t="str">
        <f>IF($A1261="","",IFERROR(INDEX(Items!$D$5:$D$597,MATCH($A1261,Items!$A$5:$A$597,0)),0))</f>
        <v/>
      </c>
      <c r="F1261" s="21" t="str">
        <f t="shared" si="95"/>
        <v/>
      </c>
      <c r="G1261" s="25" t="str">
        <f>IF(Receipts!$I1264="","",Receipts!$I1264)</f>
        <v/>
      </c>
      <c r="H1261" s="25" t="str">
        <f>IF(Receipts!$H1264="","",Receipts!$H1264)</f>
        <v/>
      </c>
      <c r="I1261" s="26" t="str">
        <f t="shared" ca="1" si="96"/>
        <v/>
      </c>
      <c r="J1261" s="26" t="str">
        <f>IF($A1261="","",COUNTIFS(tblReceipts[Item Name],$A1261,tblReceipts[Expiry Date],"&lt;"&amp;$H1261)+COUNTIFS(tblReceipts[Item Name],$A1261,tblReceipts[Expiry Date],$H1261,tblReceipts[Lot Number],"&lt;="&amp;Receipts!$C1264))</f>
        <v/>
      </c>
      <c r="K1261" s="26" t="str">
        <f>IF($A1261="","",SUMIFS(tblReceipts[Qty Received],tblReceipts[Item Name],$A1261,tblReceipts[Expiry Date],"&lt;"&amp;$H1261)+SUMIFS(tblReceipts[Qty Received],tblReceipts[Item Name],$A1261,tblReceipts[Expiry Date],$H1261,tblReceipts[Lot Number],"&lt;"&amp;Receipts!$C1264))</f>
        <v/>
      </c>
      <c r="L1261" s="26" t="str">
        <f>IF($A1261="","",MIN($D1261,MAX(0,SUMIFS(tblIssues[Qty Issued],tblIssues[Item Name],$A1261)-$K1261)))</f>
        <v/>
      </c>
      <c r="M1261" s="26" t="str">
        <f>IF($A1261="","",SUMIFS(tblIssues[Qty Issued],tblIssues[Lot Number],$B1261))</f>
        <v/>
      </c>
      <c r="N1261" s="26" t="str">
        <f t="shared" si="97"/>
        <v/>
      </c>
      <c r="O1261" s="26" t="str">
        <f t="shared" si="98"/>
        <v/>
      </c>
      <c r="P1261" s="21" t="str">
        <f t="shared" si="99"/>
        <v/>
      </c>
      <c r="Q1261" s="52" t="str">
        <f>IF($A1261="","",IF($O1261&lt;=0,"Depleted",IF($I1261&lt;0,"EXPIRED",IF($I1261&lt;=Settings!$C$6,"CRITICAL",IF($I1261&lt;=Settings!$C$5,"Expiring","In date")))))</f>
        <v/>
      </c>
    </row>
    <row r="1262" spans="1:17" x14ac:dyDescent="0.35">
      <c r="A1262" s="90" t="str">
        <f>IF(Receipts!$D1265="","",Receipts!$D1265)</f>
        <v/>
      </c>
      <c r="B1262" s="18" t="str">
        <f>IF(Receipts!$C1265="","",Receipts!$C1265)</f>
        <v/>
      </c>
      <c r="C1262" s="18" t="str">
        <f>IF($A1262="","",IFERROR(INDEX(Items!$B$5:$B$597,MATCH($A1262,Items!$A$5:$A$597,0)),""))</f>
        <v/>
      </c>
      <c r="D1262" s="23" t="str">
        <f>IF($A1262="","",N(Receipts!$G1265))</f>
        <v/>
      </c>
      <c r="E1262" s="20" t="str">
        <f>IF($A1262="","",IFERROR(INDEX(Items!$D$5:$D$597,MATCH($A1262,Items!$A$5:$A$597,0)),0))</f>
        <v/>
      </c>
      <c r="F1262" s="21" t="str">
        <f t="shared" si="95"/>
        <v/>
      </c>
      <c r="G1262" s="25" t="str">
        <f>IF(Receipts!$I1265="","",Receipts!$I1265)</f>
        <v/>
      </c>
      <c r="H1262" s="25" t="str">
        <f>IF(Receipts!$H1265="","",Receipts!$H1265)</f>
        <v/>
      </c>
      <c r="I1262" s="26" t="str">
        <f t="shared" ca="1" si="96"/>
        <v/>
      </c>
      <c r="J1262" s="26" t="str">
        <f>IF($A1262="","",COUNTIFS(tblReceipts[Item Name],$A1262,tblReceipts[Expiry Date],"&lt;"&amp;$H1262)+COUNTIFS(tblReceipts[Item Name],$A1262,tblReceipts[Expiry Date],$H1262,tblReceipts[Lot Number],"&lt;="&amp;Receipts!$C1265))</f>
        <v/>
      </c>
      <c r="K1262" s="26" t="str">
        <f>IF($A1262="","",SUMIFS(tblReceipts[Qty Received],tblReceipts[Item Name],$A1262,tblReceipts[Expiry Date],"&lt;"&amp;$H1262)+SUMIFS(tblReceipts[Qty Received],tblReceipts[Item Name],$A1262,tblReceipts[Expiry Date],$H1262,tblReceipts[Lot Number],"&lt;"&amp;Receipts!$C1265))</f>
        <v/>
      </c>
      <c r="L1262" s="26" t="str">
        <f>IF($A1262="","",MIN($D1262,MAX(0,SUMIFS(tblIssues[Qty Issued],tblIssues[Item Name],$A1262)-$K1262)))</f>
        <v/>
      </c>
      <c r="M1262" s="26" t="str">
        <f>IF($A1262="","",SUMIFS(tblIssues[Qty Issued],tblIssues[Lot Number],$B1262))</f>
        <v/>
      </c>
      <c r="N1262" s="26" t="str">
        <f t="shared" si="97"/>
        <v/>
      </c>
      <c r="O1262" s="26" t="str">
        <f t="shared" si="98"/>
        <v/>
      </c>
      <c r="P1262" s="21" t="str">
        <f t="shared" si="99"/>
        <v/>
      </c>
      <c r="Q1262" s="52" t="str">
        <f>IF($A1262="","",IF($O1262&lt;=0,"Depleted",IF($I1262&lt;0,"EXPIRED",IF($I1262&lt;=Settings!$C$6,"CRITICAL",IF($I1262&lt;=Settings!$C$5,"Expiring","In date")))))</f>
        <v/>
      </c>
    </row>
    <row r="1263" spans="1:17" x14ac:dyDescent="0.35">
      <c r="A1263" s="90" t="str">
        <f>IF(Receipts!$D1266="","",Receipts!$D1266)</f>
        <v/>
      </c>
      <c r="B1263" s="18" t="str">
        <f>IF(Receipts!$C1266="","",Receipts!$C1266)</f>
        <v/>
      </c>
      <c r="C1263" s="18" t="str">
        <f>IF($A1263="","",IFERROR(INDEX(Items!$B$5:$B$597,MATCH($A1263,Items!$A$5:$A$597,0)),""))</f>
        <v/>
      </c>
      <c r="D1263" s="23" t="str">
        <f>IF($A1263="","",N(Receipts!$G1266))</f>
        <v/>
      </c>
      <c r="E1263" s="20" t="str">
        <f>IF($A1263="","",IFERROR(INDEX(Items!$D$5:$D$597,MATCH($A1263,Items!$A$5:$A$597,0)),0))</f>
        <v/>
      </c>
      <c r="F1263" s="21" t="str">
        <f t="shared" si="95"/>
        <v/>
      </c>
      <c r="G1263" s="25" t="str">
        <f>IF(Receipts!$I1266="","",Receipts!$I1266)</f>
        <v/>
      </c>
      <c r="H1263" s="25" t="str">
        <f>IF(Receipts!$H1266="","",Receipts!$H1266)</f>
        <v/>
      </c>
      <c r="I1263" s="26" t="str">
        <f t="shared" ca="1" si="96"/>
        <v/>
      </c>
      <c r="J1263" s="26" t="str">
        <f>IF($A1263="","",COUNTIFS(tblReceipts[Item Name],$A1263,tblReceipts[Expiry Date],"&lt;"&amp;$H1263)+COUNTIFS(tblReceipts[Item Name],$A1263,tblReceipts[Expiry Date],$H1263,tblReceipts[Lot Number],"&lt;="&amp;Receipts!$C1266))</f>
        <v/>
      </c>
      <c r="K1263" s="26" t="str">
        <f>IF($A1263="","",SUMIFS(tblReceipts[Qty Received],tblReceipts[Item Name],$A1263,tblReceipts[Expiry Date],"&lt;"&amp;$H1263)+SUMIFS(tblReceipts[Qty Received],tblReceipts[Item Name],$A1263,tblReceipts[Expiry Date],$H1263,tblReceipts[Lot Number],"&lt;"&amp;Receipts!$C1266))</f>
        <v/>
      </c>
      <c r="L1263" s="26" t="str">
        <f>IF($A1263="","",MIN($D1263,MAX(0,SUMIFS(tblIssues[Qty Issued],tblIssues[Item Name],$A1263)-$K1263)))</f>
        <v/>
      </c>
      <c r="M1263" s="26" t="str">
        <f>IF($A1263="","",SUMIFS(tblIssues[Qty Issued],tblIssues[Lot Number],$B1263))</f>
        <v/>
      </c>
      <c r="N1263" s="26" t="str">
        <f t="shared" si="97"/>
        <v/>
      </c>
      <c r="O1263" s="26" t="str">
        <f t="shared" si="98"/>
        <v/>
      </c>
      <c r="P1263" s="21" t="str">
        <f t="shared" si="99"/>
        <v/>
      </c>
      <c r="Q1263" s="52" t="str">
        <f>IF($A1263="","",IF($O1263&lt;=0,"Depleted",IF($I1263&lt;0,"EXPIRED",IF($I1263&lt;=Settings!$C$6,"CRITICAL",IF($I1263&lt;=Settings!$C$5,"Expiring","In date")))))</f>
        <v/>
      </c>
    </row>
    <row r="1264" spans="1:17" x14ac:dyDescent="0.35">
      <c r="A1264" s="90" t="str">
        <f>IF(Receipts!$D1267="","",Receipts!$D1267)</f>
        <v/>
      </c>
      <c r="B1264" s="18" t="str">
        <f>IF(Receipts!$C1267="","",Receipts!$C1267)</f>
        <v/>
      </c>
      <c r="C1264" s="18" t="str">
        <f>IF($A1264="","",IFERROR(INDEX(Items!$B$5:$B$597,MATCH($A1264,Items!$A$5:$A$597,0)),""))</f>
        <v/>
      </c>
      <c r="D1264" s="23" t="str">
        <f>IF($A1264="","",N(Receipts!$G1267))</f>
        <v/>
      </c>
      <c r="E1264" s="20" t="str">
        <f>IF($A1264="","",IFERROR(INDEX(Items!$D$5:$D$597,MATCH($A1264,Items!$A$5:$A$597,0)),0))</f>
        <v/>
      </c>
      <c r="F1264" s="21" t="str">
        <f t="shared" si="95"/>
        <v/>
      </c>
      <c r="G1264" s="25" t="str">
        <f>IF(Receipts!$I1267="","",Receipts!$I1267)</f>
        <v/>
      </c>
      <c r="H1264" s="25" t="str">
        <f>IF(Receipts!$H1267="","",Receipts!$H1267)</f>
        <v/>
      </c>
      <c r="I1264" s="26" t="str">
        <f t="shared" ca="1" si="96"/>
        <v/>
      </c>
      <c r="J1264" s="26" t="str">
        <f>IF($A1264="","",COUNTIFS(tblReceipts[Item Name],$A1264,tblReceipts[Expiry Date],"&lt;"&amp;$H1264)+COUNTIFS(tblReceipts[Item Name],$A1264,tblReceipts[Expiry Date],$H1264,tblReceipts[Lot Number],"&lt;="&amp;Receipts!$C1267))</f>
        <v/>
      </c>
      <c r="K1264" s="26" t="str">
        <f>IF($A1264="","",SUMIFS(tblReceipts[Qty Received],tblReceipts[Item Name],$A1264,tblReceipts[Expiry Date],"&lt;"&amp;$H1264)+SUMIFS(tblReceipts[Qty Received],tblReceipts[Item Name],$A1264,tblReceipts[Expiry Date],$H1264,tblReceipts[Lot Number],"&lt;"&amp;Receipts!$C1267))</f>
        <v/>
      </c>
      <c r="L1264" s="26" t="str">
        <f>IF($A1264="","",MIN($D1264,MAX(0,SUMIFS(tblIssues[Qty Issued],tblIssues[Item Name],$A1264)-$K1264)))</f>
        <v/>
      </c>
      <c r="M1264" s="26" t="str">
        <f>IF($A1264="","",SUMIFS(tblIssues[Qty Issued],tblIssues[Lot Number],$B1264))</f>
        <v/>
      </c>
      <c r="N1264" s="26" t="str">
        <f t="shared" si="97"/>
        <v/>
      </c>
      <c r="O1264" s="26" t="str">
        <f t="shared" si="98"/>
        <v/>
      </c>
      <c r="P1264" s="21" t="str">
        <f t="shared" si="99"/>
        <v/>
      </c>
      <c r="Q1264" s="52" t="str">
        <f>IF($A1264="","",IF($O1264&lt;=0,"Depleted",IF($I1264&lt;0,"EXPIRED",IF($I1264&lt;=Settings!$C$6,"CRITICAL",IF($I1264&lt;=Settings!$C$5,"Expiring","In date")))))</f>
        <v/>
      </c>
    </row>
    <row r="1265" spans="1:17" x14ac:dyDescent="0.35">
      <c r="A1265" s="90" t="str">
        <f>IF(Receipts!$D1268="","",Receipts!$D1268)</f>
        <v/>
      </c>
      <c r="B1265" s="18" t="str">
        <f>IF(Receipts!$C1268="","",Receipts!$C1268)</f>
        <v/>
      </c>
      <c r="C1265" s="18" t="str">
        <f>IF($A1265="","",IFERROR(INDEX(Items!$B$5:$B$597,MATCH($A1265,Items!$A$5:$A$597,0)),""))</f>
        <v/>
      </c>
      <c r="D1265" s="23" t="str">
        <f>IF($A1265="","",N(Receipts!$G1268))</f>
        <v/>
      </c>
      <c r="E1265" s="20" t="str">
        <f>IF($A1265="","",IFERROR(INDEX(Items!$D$5:$D$597,MATCH($A1265,Items!$A$5:$A$597,0)),0))</f>
        <v/>
      </c>
      <c r="F1265" s="21" t="str">
        <f t="shared" si="95"/>
        <v/>
      </c>
      <c r="G1265" s="25" t="str">
        <f>IF(Receipts!$I1268="","",Receipts!$I1268)</f>
        <v/>
      </c>
      <c r="H1265" s="25" t="str">
        <f>IF(Receipts!$H1268="","",Receipts!$H1268)</f>
        <v/>
      </c>
      <c r="I1265" s="26" t="str">
        <f t="shared" ca="1" si="96"/>
        <v/>
      </c>
      <c r="J1265" s="26" t="str">
        <f>IF($A1265="","",COUNTIFS(tblReceipts[Item Name],$A1265,tblReceipts[Expiry Date],"&lt;"&amp;$H1265)+COUNTIFS(tblReceipts[Item Name],$A1265,tblReceipts[Expiry Date],$H1265,tblReceipts[Lot Number],"&lt;="&amp;Receipts!$C1268))</f>
        <v/>
      </c>
      <c r="K1265" s="26" t="str">
        <f>IF($A1265="","",SUMIFS(tblReceipts[Qty Received],tblReceipts[Item Name],$A1265,tblReceipts[Expiry Date],"&lt;"&amp;$H1265)+SUMIFS(tblReceipts[Qty Received],tblReceipts[Item Name],$A1265,tblReceipts[Expiry Date],$H1265,tblReceipts[Lot Number],"&lt;"&amp;Receipts!$C1268))</f>
        <v/>
      </c>
      <c r="L1265" s="26" t="str">
        <f>IF($A1265="","",MIN($D1265,MAX(0,SUMIFS(tblIssues[Qty Issued],tblIssues[Item Name],$A1265)-$K1265)))</f>
        <v/>
      </c>
      <c r="M1265" s="26" t="str">
        <f>IF($A1265="","",SUMIFS(tblIssues[Qty Issued],tblIssues[Lot Number],$B1265))</f>
        <v/>
      </c>
      <c r="N1265" s="26" t="str">
        <f t="shared" si="97"/>
        <v/>
      </c>
      <c r="O1265" s="26" t="str">
        <f t="shared" si="98"/>
        <v/>
      </c>
      <c r="P1265" s="21" t="str">
        <f t="shared" si="99"/>
        <v/>
      </c>
      <c r="Q1265" s="52" t="str">
        <f>IF($A1265="","",IF($O1265&lt;=0,"Depleted",IF($I1265&lt;0,"EXPIRED",IF($I1265&lt;=Settings!$C$6,"CRITICAL",IF($I1265&lt;=Settings!$C$5,"Expiring","In date")))))</f>
        <v/>
      </c>
    </row>
    <row r="1266" spans="1:17" x14ac:dyDescent="0.35">
      <c r="A1266" s="90" t="str">
        <f>IF(Receipts!$D1269="","",Receipts!$D1269)</f>
        <v/>
      </c>
      <c r="B1266" s="18" t="str">
        <f>IF(Receipts!$C1269="","",Receipts!$C1269)</f>
        <v/>
      </c>
      <c r="C1266" s="18" t="str">
        <f>IF($A1266="","",IFERROR(INDEX(Items!$B$5:$B$597,MATCH($A1266,Items!$A$5:$A$597,0)),""))</f>
        <v/>
      </c>
      <c r="D1266" s="23" t="str">
        <f>IF($A1266="","",N(Receipts!$G1269))</f>
        <v/>
      </c>
      <c r="E1266" s="20" t="str">
        <f>IF($A1266="","",IFERROR(INDEX(Items!$D$5:$D$597,MATCH($A1266,Items!$A$5:$A$597,0)),0))</f>
        <v/>
      </c>
      <c r="F1266" s="21" t="str">
        <f t="shared" si="95"/>
        <v/>
      </c>
      <c r="G1266" s="25" t="str">
        <f>IF(Receipts!$I1269="","",Receipts!$I1269)</f>
        <v/>
      </c>
      <c r="H1266" s="25" t="str">
        <f>IF(Receipts!$H1269="","",Receipts!$H1269)</f>
        <v/>
      </c>
      <c r="I1266" s="26" t="str">
        <f t="shared" ca="1" si="96"/>
        <v/>
      </c>
      <c r="J1266" s="26" t="str">
        <f>IF($A1266="","",COUNTIFS(tblReceipts[Item Name],$A1266,tblReceipts[Expiry Date],"&lt;"&amp;$H1266)+COUNTIFS(tblReceipts[Item Name],$A1266,tblReceipts[Expiry Date],$H1266,tblReceipts[Lot Number],"&lt;="&amp;Receipts!$C1269))</f>
        <v/>
      </c>
      <c r="K1266" s="26" t="str">
        <f>IF($A1266="","",SUMIFS(tblReceipts[Qty Received],tblReceipts[Item Name],$A1266,tblReceipts[Expiry Date],"&lt;"&amp;$H1266)+SUMIFS(tblReceipts[Qty Received],tblReceipts[Item Name],$A1266,tblReceipts[Expiry Date],$H1266,tblReceipts[Lot Number],"&lt;"&amp;Receipts!$C1269))</f>
        <v/>
      </c>
      <c r="L1266" s="26" t="str">
        <f>IF($A1266="","",MIN($D1266,MAX(0,SUMIFS(tblIssues[Qty Issued],tblIssues[Item Name],$A1266)-$K1266)))</f>
        <v/>
      </c>
      <c r="M1266" s="26" t="str">
        <f>IF($A1266="","",SUMIFS(tblIssues[Qty Issued],tblIssues[Lot Number],$B1266))</f>
        <v/>
      </c>
      <c r="N1266" s="26" t="str">
        <f t="shared" si="97"/>
        <v/>
      </c>
      <c r="O1266" s="26" t="str">
        <f t="shared" si="98"/>
        <v/>
      </c>
      <c r="P1266" s="21" t="str">
        <f t="shared" si="99"/>
        <v/>
      </c>
      <c r="Q1266" s="52" t="str">
        <f>IF($A1266="","",IF($O1266&lt;=0,"Depleted",IF($I1266&lt;0,"EXPIRED",IF($I1266&lt;=Settings!$C$6,"CRITICAL",IF($I1266&lt;=Settings!$C$5,"Expiring","In date")))))</f>
        <v/>
      </c>
    </row>
    <row r="1267" spans="1:17" x14ac:dyDescent="0.35">
      <c r="A1267" s="90" t="str">
        <f>IF(Receipts!$D1270="","",Receipts!$D1270)</f>
        <v/>
      </c>
      <c r="B1267" s="18" t="str">
        <f>IF(Receipts!$C1270="","",Receipts!$C1270)</f>
        <v/>
      </c>
      <c r="C1267" s="18" t="str">
        <f>IF($A1267="","",IFERROR(INDEX(Items!$B$5:$B$597,MATCH($A1267,Items!$A$5:$A$597,0)),""))</f>
        <v/>
      </c>
      <c r="D1267" s="23" t="str">
        <f>IF($A1267="","",N(Receipts!$G1270))</f>
        <v/>
      </c>
      <c r="E1267" s="20" t="str">
        <f>IF($A1267="","",IFERROR(INDEX(Items!$D$5:$D$597,MATCH($A1267,Items!$A$5:$A$597,0)),0))</f>
        <v/>
      </c>
      <c r="F1267" s="21" t="str">
        <f t="shared" si="95"/>
        <v/>
      </c>
      <c r="G1267" s="25" t="str">
        <f>IF(Receipts!$I1270="","",Receipts!$I1270)</f>
        <v/>
      </c>
      <c r="H1267" s="25" t="str">
        <f>IF(Receipts!$H1270="","",Receipts!$H1270)</f>
        <v/>
      </c>
      <c r="I1267" s="26" t="str">
        <f t="shared" ca="1" si="96"/>
        <v/>
      </c>
      <c r="J1267" s="26" t="str">
        <f>IF($A1267="","",COUNTIFS(tblReceipts[Item Name],$A1267,tblReceipts[Expiry Date],"&lt;"&amp;$H1267)+COUNTIFS(tblReceipts[Item Name],$A1267,tblReceipts[Expiry Date],$H1267,tblReceipts[Lot Number],"&lt;="&amp;Receipts!$C1270))</f>
        <v/>
      </c>
      <c r="K1267" s="26" t="str">
        <f>IF($A1267="","",SUMIFS(tblReceipts[Qty Received],tblReceipts[Item Name],$A1267,tblReceipts[Expiry Date],"&lt;"&amp;$H1267)+SUMIFS(tblReceipts[Qty Received],tblReceipts[Item Name],$A1267,tblReceipts[Expiry Date],$H1267,tblReceipts[Lot Number],"&lt;"&amp;Receipts!$C1270))</f>
        <v/>
      </c>
      <c r="L1267" s="26" t="str">
        <f>IF($A1267="","",MIN($D1267,MAX(0,SUMIFS(tblIssues[Qty Issued],tblIssues[Item Name],$A1267)-$K1267)))</f>
        <v/>
      </c>
      <c r="M1267" s="26" t="str">
        <f>IF($A1267="","",SUMIFS(tblIssues[Qty Issued],tblIssues[Lot Number],$B1267))</f>
        <v/>
      </c>
      <c r="N1267" s="26" t="str">
        <f t="shared" si="97"/>
        <v/>
      </c>
      <c r="O1267" s="26" t="str">
        <f t="shared" si="98"/>
        <v/>
      </c>
      <c r="P1267" s="21" t="str">
        <f t="shared" si="99"/>
        <v/>
      </c>
      <c r="Q1267" s="52" t="str">
        <f>IF($A1267="","",IF($O1267&lt;=0,"Depleted",IF($I1267&lt;0,"EXPIRED",IF($I1267&lt;=Settings!$C$6,"CRITICAL",IF($I1267&lt;=Settings!$C$5,"Expiring","In date")))))</f>
        <v/>
      </c>
    </row>
    <row r="1268" spans="1:17" x14ac:dyDescent="0.35">
      <c r="A1268" s="90" t="str">
        <f>IF(Receipts!$D1271="","",Receipts!$D1271)</f>
        <v/>
      </c>
      <c r="B1268" s="18" t="str">
        <f>IF(Receipts!$C1271="","",Receipts!$C1271)</f>
        <v/>
      </c>
      <c r="C1268" s="18" t="str">
        <f>IF($A1268="","",IFERROR(INDEX(Items!$B$5:$B$597,MATCH($A1268,Items!$A$5:$A$597,0)),""))</f>
        <v/>
      </c>
      <c r="D1268" s="23" t="str">
        <f>IF($A1268="","",N(Receipts!$G1271))</f>
        <v/>
      </c>
      <c r="E1268" s="20" t="str">
        <f>IF($A1268="","",IFERROR(INDEX(Items!$D$5:$D$597,MATCH($A1268,Items!$A$5:$A$597,0)),0))</f>
        <v/>
      </c>
      <c r="F1268" s="21" t="str">
        <f t="shared" si="95"/>
        <v/>
      </c>
      <c r="G1268" s="25" t="str">
        <f>IF(Receipts!$I1271="","",Receipts!$I1271)</f>
        <v/>
      </c>
      <c r="H1268" s="25" t="str">
        <f>IF(Receipts!$H1271="","",Receipts!$H1271)</f>
        <v/>
      </c>
      <c r="I1268" s="26" t="str">
        <f t="shared" ca="1" si="96"/>
        <v/>
      </c>
      <c r="J1268" s="26" t="str">
        <f>IF($A1268="","",COUNTIFS(tblReceipts[Item Name],$A1268,tblReceipts[Expiry Date],"&lt;"&amp;$H1268)+COUNTIFS(tblReceipts[Item Name],$A1268,tblReceipts[Expiry Date],$H1268,tblReceipts[Lot Number],"&lt;="&amp;Receipts!$C1271))</f>
        <v/>
      </c>
      <c r="K1268" s="26" t="str">
        <f>IF($A1268="","",SUMIFS(tblReceipts[Qty Received],tblReceipts[Item Name],$A1268,tblReceipts[Expiry Date],"&lt;"&amp;$H1268)+SUMIFS(tblReceipts[Qty Received],tblReceipts[Item Name],$A1268,tblReceipts[Expiry Date],$H1268,tblReceipts[Lot Number],"&lt;"&amp;Receipts!$C1271))</f>
        <v/>
      </c>
      <c r="L1268" s="26" t="str">
        <f>IF($A1268="","",MIN($D1268,MAX(0,SUMIFS(tblIssues[Qty Issued],tblIssues[Item Name],$A1268)-$K1268)))</f>
        <v/>
      </c>
      <c r="M1268" s="26" t="str">
        <f>IF($A1268="","",SUMIFS(tblIssues[Qty Issued],tblIssues[Lot Number],$B1268))</f>
        <v/>
      </c>
      <c r="N1268" s="26" t="str">
        <f t="shared" si="97"/>
        <v/>
      </c>
      <c r="O1268" s="26" t="str">
        <f t="shared" si="98"/>
        <v/>
      </c>
      <c r="P1268" s="21" t="str">
        <f t="shared" si="99"/>
        <v/>
      </c>
      <c r="Q1268" s="52" t="str">
        <f>IF($A1268="","",IF($O1268&lt;=0,"Depleted",IF($I1268&lt;0,"EXPIRED",IF($I1268&lt;=Settings!$C$6,"CRITICAL",IF($I1268&lt;=Settings!$C$5,"Expiring","In date")))))</f>
        <v/>
      </c>
    </row>
    <row r="1269" spans="1:17" x14ac:dyDescent="0.35">
      <c r="A1269" s="90" t="str">
        <f>IF(Receipts!$D1272="","",Receipts!$D1272)</f>
        <v/>
      </c>
      <c r="B1269" s="18" t="str">
        <f>IF(Receipts!$C1272="","",Receipts!$C1272)</f>
        <v/>
      </c>
      <c r="C1269" s="18" t="str">
        <f>IF($A1269="","",IFERROR(INDEX(Items!$B$5:$B$597,MATCH($A1269,Items!$A$5:$A$597,0)),""))</f>
        <v/>
      </c>
      <c r="D1269" s="23" t="str">
        <f>IF($A1269="","",N(Receipts!$G1272))</f>
        <v/>
      </c>
      <c r="E1269" s="20" t="str">
        <f>IF($A1269="","",IFERROR(INDEX(Items!$D$5:$D$597,MATCH($A1269,Items!$A$5:$A$597,0)),0))</f>
        <v/>
      </c>
      <c r="F1269" s="21" t="str">
        <f t="shared" si="95"/>
        <v/>
      </c>
      <c r="G1269" s="25" t="str">
        <f>IF(Receipts!$I1272="","",Receipts!$I1272)</f>
        <v/>
      </c>
      <c r="H1269" s="25" t="str">
        <f>IF(Receipts!$H1272="","",Receipts!$H1272)</f>
        <v/>
      </c>
      <c r="I1269" s="26" t="str">
        <f t="shared" ca="1" si="96"/>
        <v/>
      </c>
      <c r="J1269" s="26" t="str">
        <f>IF($A1269="","",COUNTIFS(tblReceipts[Item Name],$A1269,tblReceipts[Expiry Date],"&lt;"&amp;$H1269)+COUNTIFS(tblReceipts[Item Name],$A1269,tblReceipts[Expiry Date],$H1269,tblReceipts[Lot Number],"&lt;="&amp;Receipts!$C1272))</f>
        <v/>
      </c>
      <c r="K1269" s="26" t="str">
        <f>IF($A1269="","",SUMIFS(tblReceipts[Qty Received],tblReceipts[Item Name],$A1269,tblReceipts[Expiry Date],"&lt;"&amp;$H1269)+SUMIFS(tblReceipts[Qty Received],tblReceipts[Item Name],$A1269,tblReceipts[Expiry Date],$H1269,tblReceipts[Lot Number],"&lt;"&amp;Receipts!$C1272))</f>
        <v/>
      </c>
      <c r="L1269" s="26" t="str">
        <f>IF($A1269="","",MIN($D1269,MAX(0,SUMIFS(tblIssues[Qty Issued],tblIssues[Item Name],$A1269)-$K1269)))</f>
        <v/>
      </c>
      <c r="M1269" s="26" t="str">
        <f>IF($A1269="","",SUMIFS(tblIssues[Qty Issued],tblIssues[Lot Number],$B1269))</f>
        <v/>
      </c>
      <c r="N1269" s="26" t="str">
        <f t="shared" si="97"/>
        <v/>
      </c>
      <c r="O1269" s="26" t="str">
        <f t="shared" si="98"/>
        <v/>
      </c>
      <c r="P1269" s="21" t="str">
        <f t="shared" si="99"/>
        <v/>
      </c>
      <c r="Q1269" s="52" t="str">
        <f>IF($A1269="","",IF($O1269&lt;=0,"Depleted",IF($I1269&lt;0,"EXPIRED",IF($I1269&lt;=Settings!$C$6,"CRITICAL",IF($I1269&lt;=Settings!$C$5,"Expiring","In date")))))</f>
        <v/>
      </c>
    </row>
    <row r="1270" spans="1:17" x14ac:dyDescent="0.35">
      <c r="A1270" s="90" t="str">
        <f>IF(Receipts!$D1273="","",Receipts!$D1273)</f>
        <v/>
      </c>
      <c r="B1270" s="18" t="str">
        <f>IF(Receipts!$C1273="","",Receipts!$C1273)</f>
        <v/>
      </c>
      <c r="C1270" s="18" t="str">
        <f>IF($A1270="","",IFERROR(INDEX(Items!$B$5:$B$597,MATCH($A1270,Items!$A$5:$A$597,0)),""))</f>
        <v/>
      </c>
      <c r="D1270" s="23" t="str">
        <f>IF($A1270="","",N(Receipts!$G1273))</f>
        <v/>
      </c>
      <c r="E1270" s="20" t="str">
        <f>IF($A1270="","",IFERROR(INDEX(Items!$D$5:$D$597,MATCH($A1270,Items!$A$5:$A$597,0)),0))</f>
        <v/>
      </c>
      <c r="F1270" s="21" t="str">
        <f t="shared" si="95"/>
        <v/>
      </c>
      <c r="G1270" s="25" t="str">
        <f>IF(Receipts!$I1273="","",Receipts!$I1273)</f>
        <v/>
      </c>
      <c r="H1270" s="25" t="str">
        <f>IF(Receipts!$H1273="","",Receipts!$H1273)</f>
        <v/>
      </c>
      <c r="I1270" s="26" t="str">
        <f t="shared" ca="1" si="96"/>
        <v/>
      </c>
      <c r="J1270" s="26" t="str">
        <f>IF($A1270="","",COUNTIFS(tblReceipts[Item Name],$A1270,tblReceipts[Expiry Date],"&lt;"&amp;$H1270)+COUNTIFS(tblReceipts[Item Name],$A1270,tblReceipts[Expiry Date],$H1270,tblReceipts[Lot Number],"&lt;="&amp;Receipts!$C1273))</f>
        <v/>
      </c>
      <c r="K1270" s="26" t="str">
        <f>IF($A1270="","",SUMIFS(tblReceipts[Qty Received],tblReceipts[Item Name],$A1270,tblReceipts[Expiry Date],"&lt;"&amp;$H1270)+SUMIFS(tblReceipts[Qty Received],tblReceipts[Item Name],$A1270,tblReceipts[Expiry Date],$H1270,tblReceipts[Lot Number],"&lt;"&amp;Receipts!$C1273))</f>
        <v/>
      </c>
      <c r="L1270" s="26" t="str">
        <f>IF($A1270="","",MIN($D1270,MAX(0,SUMIFS(tblIssues[Qty Issued],tblIssues[Item Name],$A1270)-$K1270)))</f>
        <v/>
      </c>
      <c r="M1270" s="26" t="str">
        <f>IF($A1270="","",SUMIFS(tblIssues[Qty Issued],tblIssues[Lot Number],$B1270))</f>
        <v/>
      </c>
      <c r="N1270" s="26" t="str">
        <f t="shared" si="97"/>
        <v/>
      </c>
      <c r="O1270" s="26" t="str">
        <f t="shared" si="98"/>
        <v/>
      </c>
      <c r="P1270" s="21" t="str">
        <f t="shared" si="99"/>
        <v/>
      </c>
      <c r="Q1270" s="52" t="str">
        <f>IF($A1270="","",IF($O1270&lt;=0,"Depleted",IF($I1270&lt;0,"EXPIRED",IF($I1270&lt;=Settings!$C$6,"CRITICAL",IF($I1270&lt;=Settings!$C$5,"Expiring","In date")))))</f>
        <v/>
      </c>
    </row>
    <row r="1271" spans="1:17" x14ac:dyDescent="0.35">
      <c r="A1271" s="90" t="str">
        <f>IF(Receipts!$D1274="","",Receipts!$D1274)</f>
        <v/>
      </c>
      <c r="B1271" s="18" t="str">
        <f>IF(Receipts!$C1274="","",Receipts!$C1274)</f>
        <v/>
      </c>
      <c r="C1271" s="18" t="str">
        <f>IF($A1271="","",IFERROR(INDEX(Items!$B$5:$B$597,MATCH($A1271,Items!$A$5:$A$597,0)),""))</f>
        <v/>
      </c>
      <c r="D1271" s="23" t="str">
        <f>IF($A1271="","",N(Receipts!$G1274))</f>
        <v/>
      </c>
      <c r="E1271" s="20" t="str">
        <f>IF($A1271="","",IFERROR(INDEX(Items!$D$5:$D$597,MATCH($A1271,Items!$A$5:$A$597,0)),0))</f>
        <v/>
      </c>
      <c r="F1271" s="21" t="str">
        <f t="shared" si="95"/>
        <v/>
      </c>
      <c r="G1271" s="25" t="str">
        <f>IF(Receipts!$I1274="","",Receipts!$I1274)</f>
        <v/>
      </c>
      <c r="H1271" s="25" t="str">
        <f>IF(Receipts!$H1274="","",Receipts!$H1274)</f>
        <v/>
      </c>
      <c r="I1271" s="26" t="str">
        <f t="shared" ca="1" si="96"/>
        <v/>
      </c>
      <c r="J1271" s="26" t="str">
        <f>IF($A1271="","",COUNTIFS(tblReceipts[Item Name],$A1271,tblReceipts[Expiry Date],"&lt;"&amp;$H1271)+COUNTIFS(tblReceipts[Item Name],$A1271,tblReceipts[Expiry Date],$H1271,tblReceipts[Lot Number],"&lt;="&amp;Receipts!$C1274))</f>
        <v/>
      </c>
      <c r="K1271" s="26" t="str">
        <f>IF($A1271="","",SUMIFS(tblReceipts[Qty Received],tblReceipts[Item Name],$A1271,tblReceipts[Expiry Date],"&lt;"&amp;$H1271)+SUMIFS(tblReceipts[Qty Received],tblReceipts[Item Name],$A1271,tblReceipts[Expiry Date],$H1271,tblReceipts[Lot Number],"&lt;"&amp;Receipts!$C1274))</f>
        <v/>
      </c>
      <c r="L1271" s="26" t="str">
        <f>IF($A1271="","",MIN($D1271,MAX(0,SUMIFS(tblIssues[Qty Issued],tblIssues[Item Name],$A1271)-$K1271)))</f>
        <v/>
      </c>
      <c r="M1271" s="26" t="str">
        <f>IF($A1271="","",SUMIFS(tblIssues[Qty Issued],tblIssues[Lot Number],$B1271))</f>
        <v/>
      </c>
      <c r="N1271" s="26" t="str">
        <f t="shared" si="97"/>
        <v/>
      </c>
      <c r="O1271" s="26" t="str">
        <f t="shared" si="98"/>
        <v/>
      </c>
      <c r="P1271" s="21" t="str">
        <f t="shared" si="99"/>
        <v/>
      </c>
      <c r="Q1271" s="52" t="str">
        <f>IF($A1271="","",IF($O1271&lt;=0,"Depleted",IF($I1271&lt;0,"EXPIRED",IF($I1271&lt;=Settings!$C$6,"CRITICAL",IF($I1271&lt;=Settings!$C$5,"Expiring","In date")))))</f>
        <v/>
      </c>
    </row>
    <row r="1272" spans="1:17" x14ac:dyDescent="0.35">
      <c r="A1272" s="90" t="str">
        <f>IF(Receipts!$D1275="","",Receipts!$D1275)</f>
        <v/>
      </c>
      <c r="B1272" s="18" t="str">
        <f>IF(Receipts!$C1275="","",Receipts!$C1275)</f>
        <v/>
      </c>
      <c r="C1272" s="18" t="str">
        <f>IF($A1272="","",IFERROR(INDEX(Items!$B$5:$B$597,MATCH($A1272,Items!$A$5:$A$597,0)),""))</f>
        <v/>
      </c>
      <c r="D1272" s="23" t="str">
        <f>IF($A1272="","",N(Receipts!$G1275))</f>
        <v/>
      </c>
      <c r="E1272" s="20" t="str">
        <f>IF($A1272="","",IFERROR(INDEX(Items!$D$5:$D$597,MATCH($A1272,Items!$A$5:$A$597,0)),0))</f>
        <v/>
      </c>
      <c r="F1272" s="21" t="str">
        <f t="shared" si="95"/>
        <v/>
      </c>
      <c r="G1272" s="25" t="str">
        <f>IF(Receipts!$I1275="","",Receipts!$I1275)</f>
        <v/>
      </c>
      <c r="H1272" s="25" t="str">
        <f>IF(Receipts!$H1275="","",Receipts!$H1275)</f>
        <v/>
      </c>
      <c r="I1272" s="26" t="str">
        <f t="shared" ca="1" si="96"/>
        <v/>
      </c>
      <c r="J1272" s="26" t="str">
        <f>IF($A1272="","",COUNTIFS(tblReceipts[Item Name],$A1272,tblReceipts[Expiry Date],"&lt;"&amp;$H1272)+COUNTIFS(tblReceipts[Item Name],$A1272,tblReceipts[Expiry Date],$H1272,tblReceipts[Lot Number],"&lt;="&amp;Receipts!$C1275))</f>
        <v/>
      </c>
      <c r="K1272" s="26" t="str">
        <f>IF($A1272="","",SUMIFS(tblReceipts[Qty Received],tblReceipts[Item Name],$A1272,tblReceipts[Expiry Date],"&lt;"&amp;$H1272)+SUMIFS(tblReceipts[Qty Received],tblReceipts[Item Name],$A1272,tblReceipts[Expiry Date],$H1272,tblReceipts[Lot Number],"&lt;"&amp;Receipts!$C1275))</f>
        <v/>
      </c>
      <c r="L1272" s="26" t="str">
        <f>IF($A1272="","",MIN($D1272,MAX(0,SUMIFS(tblIssues[Qty Issued],tblIssues[Item Name],$A1272)-$K1272)))</f>
        <v/>
      </c>
      <c r="M1272" s="26" t="str">
        <f>IF($A1272="","",SUMIFS(tblIssues[Qty Issued],tblIssues[Lot Number],$B1272))</f>
        <v/>
      </c>
      <c r="N1272" s="26" t="str">
        <f t="shared" si="97"/>
        <v/>
      </c>
      <c r="O1272" s="26" t="str">
        <f t="shared" si="98"/>
        <v/>
      </c>
      <c r="P1272" s="21" t="str">
        <f t="shared" si="99"/>
        <v/>
      </c>
      <c r="Q1272" s="52" t="str">
        <f>IF($A1272="","",IF($O1272&lt;=0,"Depleted",IF($I1272&lt;0,"EXPIRED",IF($I1272&lt;=Settings!$C$6,"CRITICAL",IF($I1272&lt;=Settings!$C$5,"Expiring","In date")))))</f>
        <v/>
      </c>
    </row>
    <row r="1273" spans="1:17" x14ac:dyDescent="0.35">
      <c r="A1273" s="90" t="str">
        <f>IF(Receipts!$D1276="","",Receipts!$D1276)</f>
        <v/>
      </c>
      <c r="B1273" s="18" t="str">
        <f>IF(Receipts!$C1276="","",Receipts!$C1276)</f>
        <v/>
      </c>
      <c r="C1273" s="18" t="str">
        <f>IF($A1273="","",IFERROR(INDEX(Items!$B$5:$B$597,MATCH($A1273,Items!$A$5:$A$597,0)),""))</f>
        <v/>
      </c>
      <c r="D1273" s="23" t="str">
        <f>IF($A1273="","",N(Receipts!$G1276))</f>
        <v/>
      </c>
      <c r="E1273" s="20" t="str">
        <f>IF($A1273="","",IFERROR(INDEX(Items!$D$5:$D$597,MATCH($A1273,Items!$A$5:$A$597,0)),0))</f>
        <v/>
      </c>
      <c r="F1273" s="21" t="str">
        <f t="shared" si="95"/>
        <v/>
      </c>
      <c r="G1273" s="25" t="str">
        <f>IF(Receipts!$I1276="","",Receipts!$I1276)</f>
        <v/>
      </c>
      <c r="H1273" s="25" t="str">
        <f>IF(Receipts!$H1276="","",Receipts!$H1276)</f>
        <v/>
      </c>
      <c r="I1273" s="26" t="str">
        <f t="shared" ca="1" si="96"/>
        <v/>
      </c>
      <c r="J1273" s="26" t="str">
        <f>IF($A1273="","",COUNTIFS(tblReceipts[Item Name],$A1273,tblReceipts[Expiry Date],"&lt;"&amp;$H1273)+COUNTIFS(tblReceipts[Item Name],$A1273,tblReceipts[Expiry Date],$H1273,tblReceipts[Lot Number],"&lt;="&amp;Receipts!$C1276))</f>
        <v/>
      </c>
      <c r="K1273" s="26" t="str">
        <f>IF($A1273="","",SUMIFS(tblReceipts[Qty Received],tblReceipts[Item Name],$A1273,tblReceipts[Expiry Date],"&lt;"&amp;$H1273)+SUMIFS(tblReceipts[Qty Received],tblReceipts[Item Name],$A1273,tblReceipts[Expiry Date],$H1273,tblReceipts[Lot Number],"&lt;"&amp;Receipts!$C1276))</f>
        <v/>
      </c>
      <c r="L1273" s="26" t="str">
        <f>IF($A1273="","",MIN($D1273,MAX(0,SUMIFS(tblIssues[Qty Issued],tblIssues[Item Name],$A1273)-$K1273)))</f>
        <v/>
      </c>
      <c r="M1273" s="26" t="str">
        <f>IF($A1273="","",SUMIFS(tblIssues[Qty Issued],tblIssues[Lot Number],$B1273))</f>
        <v/>
      </c>
      <c r="N1273" s="26" t="str">
        <f t="shared" si="97"/>
        <v/>
      </c>
      <c r="O1273" s="26" t="str">
        <f t="shared" si="98"/>
        <v/>
      </c>
      <c r="P1273" s="21" t="str">
        <f t="shared" si="99"/>
        <v/>
      </c>
      <c r="Q1273" s="52" t="str">
        <f>IF($A1273="","",IF($O1273&lt;=0,"Depleted",IF($I1273&lt;0,"EXPIRED",IF($I1273&lt;=Settings!$C$6,"CRITICAL",IF($I1273&lt;=Settings!$C$5,"Expiring","In date")))))</f>
        <v/>
      </c>
    </row>
    <row r="1274" spans="1:17" x14ac:dyDescent="0.35">
      <c r="A1274" s="90" t="str">
        <f>IF(Receipts!$D1277="","",Receipts!$D1277)</f>
        <v/>
      </c>
      <c r="B1274" s="18" t="str">
        <f>IF(Receipts!$C1277="","",Receipts!$C1277)</f>
        <v/>
      </c>
      <c r="C1274" s="18" t="str">
        <f>IF($A1274="","",IFERROR(INDEX(Items!$B$5:$B$597,MATCH($A1274,Items!$A$5:$A$597,0)),""))</f>
        <v/>
      </c>
      <c r="D1274" s="23" t="str">
        <f>IF($A1274="","",N(Receipts!$G1277))</f>
        <v/>
      </c>
      <c r="E1274" s="20" t="str">
        <f>IF($A1274="","",IFERROR(INDEX(Items!$D$5:$D$597,MATCH($A1274,Items!$A$5:$A$597,0)),0))</f>
        <v/>
      </c>
      <c r="F1274" s="21" t="str">
        <f t="shared" si="95"/>
        <v/>
      </c>
      <c r="G1274" s="25" t="str">
        <f>IF(Receipts!$I1277="","",Receipts!$I1277)</f>
        <v/>
      </c>
      <c r="H1274" s="25" t="str">
        <f>IF(Receipts!$H1277="","",Receipts!$H1277)</f>
        <v/>
      </c>
      <c r="I1274" s="26" t="str">
        <f t="shared" ca="1" si="96"/>
        <v/>
      </c>
      <c r="J1274" s="26" t="str">
        <f>IF($A1274="","",COUNTIFS(tblReceipts[Item Name],$A1274,tblReceipts[Expiry Date],"&lt;"&amp;$H1274)+COUNTIFS(tblReceipts[Item Name],$A1274,tblReceipts[Expiry Date],$H1274,tblReceipts[Lot Number],"&lt;="&amp;Receipts!$C1277))</f>
        <v/>
      </c>
      <c r="K1274" s="26" t="str">
        <f>IF($A1274="","",SUMIFS(tblReceipts[Qty Received],tblReceipts[Item Name],$A1274,tblReceipts[Expiry Date],"&lt;"&amp;$H1274)+SUMIFS(tblReceipts[Qty Received],tblReceipts[Item Name],$A1274,tblReceipts[Expiry Date],$H1274,tblReceipts[Lot Number],"&lt;"&amp;Receipts!$C1277))</f>
        <v/>
      </c>
      <c r="L1274" s="26" t="str">
        <f>IF($A1274="","",MIN($D1274,MAX(0,SUMIFS(tblIssues[Qty Issued],tblIssues[Item Name],$A1274)-$K1274)))</f>
        <v/>
      </c>
      <c r="M1274" s="26" t="str">
        <f>IF($A1274="","",SUMIFS(tblIssues[Qty Issued],tblIssues[Lot Number],$B1274))</f>
        <v/>
      </c>
      <c r="N1274" s="26" t="str">
        <f t="shared" si="97"/>
        <v/>
      </c>
      <c r="O1274" s="26" t="str">
        <f t="shared" si="98"/>
        <v/>
      </c>
      <c r="P1274" s="21" t="str">
        <f t="shared" si="99"/>
        <v/>
      </c>
      <c r="Q1274" s="52" t="str">
        <f>IF($A1274="","",IF($O1274&lt;=0,"Depleted",IF($I1274&lt;0,"EXPIRED",IF($I1274&lt;=Settings!$C$6,"CRITICAL",IF($I1274&lt;=Settings!$C$5,"Expiring","In date")))))</f>
        <v/>
      </c>
    </row>
    <row r="1275" spans="1:17" x14ac:dyDescent="0.35">
      <c r="A1275" s="90" t="str">
        <f>IF(Receipts!$D1278="","",Receipts!$D1278)</f>
        <v/>
      </c>
      <c r="B1275" s="18" t="str">
        <f>IF(Receipts!$C1278="","",Receipts!$C1278)</f>
        <v/>
      </c>
      <c r="C1275" s="18" t="str">
        <f>IF($A1275="","",IFERROR(INDEX(Items!$B$5:$B$597,MATCH($A1275,Items!$A$5:$A$597,0)),""))</f>
        <v/>
      </c>
      <c r="D1275" s="23" t="str">
        <f>IF($A1275="","",N(Receipts!$G1278))</f>
        <v/>
      </c>
      <c r="E1275" s="20" t="str">
        <f>IF($A1275="","",IFERROR(INDEX(Items!$D$5:$D$597,MATCH($A1275,Items!$A$5:$A$597,0)),0))</f>
        <v/>
      </c>
      <c r="F1275" s="21" t="str">
        <f t="shared" si="95"/>
        <v/>
      </c>
      <c r="G1275" s="25" t="str">
        <f>IF(Receipts!$I1278="","",Receipts!$I1278)</f>
        <v/>
      </c>
      <c r="H1275" s="25" t="str">
        <f>IF(Receipts!$H1278="","",Receipts!$H1278)</f>
        <v/>
      </c>
      <c r="I1275" s="26" t="str">
        <f t="shared" ca="1" si="96"/>
        <v/>
      </c>
      <c r="J1275" s="26" t="str">
        <f>IF($A1275="","",COUNTIFS(tblReceipts[Item Name],$A1275,tblReceipts[Expiry Date],"&lt;"&amp;$H1275)+COUNTIFS(tblReceipts[Item Name],$A1275,tblReceipts[Expiry Date],$H1275,tblReceipts[Lot Number],"&lt;="&amp;Receipts!$C1278))</f>
        <v/>
      </c>
      <c r="K1275" s="26" t="str">
        <f>IF($A1275="","",SUMIFS(tblReceipts[Qty Received],tblReceipts[Item Name],$A1275,tblReceipts[Expiry Date],"&lt;"&amp;$H1275)+SUMIFS(tblReceipts[Qty Received],tblReceipts[Item Name],$A1275,tblReceipts[Expiry Date],$H1275,tblReceipts[Lot Number],"&lt;"&amp;Receipts!$C1278))</f>
        <v/>
      </c>
      <c r="L1275" s="26" t="str">
        <f>IF($A1275="","",MIN($D1275,MAX(0,SUMIFS(tblIssues[Qty Issued],tblIssues[Item Name],$A1275)-$K1275)))</f>
        <v/>
      </c>
      <c r="M1275" s="26" t="str">
        <f>IF($A1275="","",SUMIFS(tblIssues[Qty Issued],tblIssues[Lot Number],$B1275))</f>
        <v/>
      </c>
      <c r="N1275" s="26" t="str">
        <f t="shared" si="97"/>
        <v/>
      </c>
      <c r="O1275" s="26" t="str">
        <f t="shared" si="98"/>
        <v/>
      </c>
      <c r="P1275" s="21" t="str">
        <f t="shared" si="99"/>
        <v/>
      </c>
      <c r="Q1275" s="52" t="str">
        <f>IF($A1275="","",IF($O1275&lt;=0,"Depleted",IF($I1275&lt;0,"EXPIRED",IF($I1275&lt;=Settings!$C$6,"CRITICAL",IF($I1275&lt;=Settings!$C$5,"Expiring","In date")))))</f>
        <v/>
      </c>
    </row>
    <row r="1276" spans="1:17" x14ac:dyDescent="0.35">
      <c r="A1276" s="90" t="str">
        <f>IF(Receipts!$D1279="","",Receipts!$D1279)</f>
        <v/>
      </c>
      <c r="B1276" s="18" t="str">
        <f>IF(Receipts!$C1279="","",Receipts!$C1279)</f>
        <v/>
      </c>
      <c r="C1276" s="18" t="str">
        <f>IF($A1276="","",IFERROR(INDEX(Items!$B$5:$B$597,MATCH($A1276,Items!$A$5:$A$597,0)),""))</f>
        <v/>
      </c>
      <c r="D1276" s="23" t="str">
        <f>IF($A1276="","",N(Receipts!$G1279))</f>
        <v/>
      </c>
      <c r="E1276" s="20" t="str">
        <f>IF($A1276="","",IFERROR(INDEX(Items!$D$5:$D$597,MATCH($A1276,Items!$A$5:$A$597,0)),0))</f>
        <v/>
      </c>
      <c r="F1276" s="21" t="str">
        <f t="shared" si="95"/>
        <v/>
      </c>
      <c r="G1276" s="25" t="str">
        <f>IF(Receipts!$I1279="","",Receipts!$I1279)</f>
        <v/>
      </c>
      <c r="H1276" s="25" t="str">
        <f>IF(Receipts!$H1279="","",Receipts!$H1279)</f>
        <v/>
      </c>
      <c r="I1276" s="26" t="str">
        <f t="shared" ca="1" si="96"/>
        <v/>
      </c>
      <c r="J1276" s="26" t="str">
        <f>IF($A1276="","",COUNTIFS(tblReceipts[Item Name],$A1276,tblReceipts[Expiry Date],"&lt;"&amp;$H1276)+COUNTIFS(tblReceipts[Item Name],$A1276,tblReceipts[Expiry Date],$H1276,tblReceipts[Lot Number],"&lt;="&amp;Receipts!$C1279))</f>
        <v/>
      </c>
      <c r="K1276" s="26" t="str">
        <f>IF($A1276="","",SUMIFS(tblReceipts[Qty Received],tblReceipts[Item Name],$A1276,tblReceipts[Expiry Date],"&lt;"&amp;$H1276)+SUMIFS(tblReceipts[Qty Received],tblReceipts[Item Name],$A1276,tblReceipts[Expiry Date],$H1276,tblReceipts[Lot Number],"&lt;"&amp;Receipts!$C1279))</f>
        <v/>
      </c>
      <c r="L1276" s="26" t="str">
        <f>IF($A1276="","",MIN($D1276,MAX(0,SUMIFS(tblIssues[Qty Issued],tblIssues[Item Name],$A1276)-$K1276)))</f>
        <v/>
      </c>
      <c r="M1276" s="26" t="str">
        <f>IF($A1276="","",SUMIFS(tblIssues[Qty Issued],tblIssues[Lot Number],$B1276))</f>
        <v/>
      </c>
      <c r="N1276" s="26" t="str">
        <f t="shared" si="97"/>
        <v/>
      </c>
      <c r="O1276" s="26" t="str">
        <f t="shared" si="98"/>
        <v/>
      </c>
      <c r="P1276" s="21" t="str">
        <f t="shared" si="99"/>
        <v/>
      </c>
      <c r="Q1276" s="52" t="str">
        <f>IF($A1276="","",IF($O1276&lt;=0,"Depleted",IF($I1276&lt;0,"EXPIRED",IF($I1276&lt;=Settings!$C$6,"CRITICAL",IF($I1276&lt;=Settings!$C$5,"Expiring","In date")))))</f>
        <v/>
      </c>
    </row>
    <row r="1277" spans="1:17" x14ac:dyDescent="0.35">
      <c r="A1277" s="90" t="str">
        <f>IF(Receipts!$D1280="","",Receipts!$D1280)</f>
        <v/>
      </c>
      <c r="B1277" s="18" t="str">
        <f>IF(Receipts!$C1280="","",Receipts!$C1280)</f>
        <v/>
      </c>
      <c r="C1277" s="18" t="str">
        <f>IF($A1277="","",IFERROR(INDEX(Items!$B$5:$B$597,MATCH($A1277,Items!$A$5:$A$597,0)),""))</f>
        <v/>
      </c>
      <c r="D1277" s="23" t="str">
        <f>IF($A1277="","",N(Receipts!$G1280))</f>
        <v/>
      </c>
      <c r="E1277" s="20" t="str">
        <f>IF($A1277="","",IFERROR(INDEX(Items!$D$5:$D$597,MATCH($A1277,Items!$A$5:$A$597,0)),0))</f>
        <v/>
      </c>
      <c r="F1277" s="21" t="str">
        <f t="shared" si="95"/>
        <v/>
      </c>
      <c r="G1277" s="25" t="str">
        <f>IF(Receipts!$I1280="","",Receipts!$I1280)</f>
        <v/>
      </c>
      <c r="H1277" s="25" t="str">
        <f>IF(Receipts!$H1280="","",Receipts!$H1280)</f>
        <v/>
      </c>
      <c r="I1277" s="26" t="str">
        <f t="shared" ca="1" si="96"/>
        <v/>
      </c>
      <c r="J1277" s="26" t="str">
        <f>IF($A1277="","",COUNTIFS(tblReceipts[Item Name],$A1277,tblReceipts[Expiry Date],"&lt;"&amp;$H1277)+COUNTIFS(tblReceipts[Item Name],$A1277,tblReceipts[Expiry Date],$H1277,tblReceipts[Lot Number],"&lt;="&amp;Receipts!$C1280))</f>
        <v/>
      </c>
      <c r="K1277" s="26" t="str">
        <f>IF($A1277="","",SUMIFS(tblReceipts[Qty Received],tblReceipts[Item Name],$A1277,tblReceipts[Expiry Date],"&lt;"&amp;$H1277)+SUMIFS(tblReceipts[Qty Received],tblReceipts[Item Name],$A1277,tblReceipts[Expiry Date],$H1277,tblReceipts[Lot Number],"&lt;"&amp;Receipts!$C1280))</f>
        <v/>
      </c>
      <c r="L1277" s="26" t="str">
        <f>IF($A1277="","",MIN($D1277,MAX(0,SUMIFS(tblIssues[Qty Issued],tblIssues[Item Name],$A1277)-$K1277)))</f>
        <v/>
      </c>
      <c r="M1277" s="26" t="str">
        <f>IF($A1277="","",SUMIFS(tblIssues[Qty Issued],tblIssues[Lot Number],$B1277))</f>
        <v/>
      </c>
      <c r="N1277" s="26" t="str">
        <f t="shared" si="97"/>
        <v/>
      </c>
      <c r="O1277" s="26" t="str">
        <f t="shared" si="98"/>
        <v/>
      </c>
      <c r="P1277" s="21" t="str">
        <f t="shared" si="99"/>
        <v/>
      </c>
      <c r="Q1277" s="52" t="str">
        <f>IF($A1277="","",IF($O1277&lt;=0,"Depleted",IF($I1277&lt;0,"EXPIRED",IF($I1277&lt;=Settings!$C$6,"CRITICAL",IF($I1277&lt;=Settings!$C$5,"Expiring","In date")))))</f>
        <v/>
      </c>
    </row>
    <row r="1278" spans="1:17" x14ac:dyDescent="0.35">
      <c r="A1278" s="90" t="str">
        <f>IF(Receipts!$D1281="","",Receipts!$D1281)</f>
        <v/>
      </c>
      <c r="B1278" s="18" t="str">
        <f>IF(Receipts!$C1281="","",Receipts!$C1281)</f>
        <v/>
      </c>
      <c r="C1278" s="18" t="str">
        <f>IF($A1278="","",IFERROR(INDEX(Items!$B$5:$B$597,MATCH($A1278,Items!$A$5:$A$597,0)),""))</f>
        <v/>
      </c>
      <c r="D1278" s="23" t="str">
        <f>IF($A1278="","",N(Receipts!$G1281))</f>
        <v/>
      </c>
      <c r="E1278" s="20" t="str">
        <f>IF($A1278="","",IFERROR(INDEX(Items!$D$5:$D$597,MATCH($A1278,Items!$A$5:$A$597,0)),0))</f>
        <v/>
      </c>
      <c r="F1278" s="21" t="str">
        <f t="shared" si="95"/>
        <v/>
      </c>
      <c r="G1278" s="25" t="str">
        <f>IF(Receipts!$I1281="","",Receipts!$I1281)</f>
        <v/>
      </c>
      <c r="H1278" s="25" t="str">
        <f>IF(Receipts!$H1281="","",Receipts!$H1281)</f>
        <v/>
      </c>
      <c r="I1278" s="26" t="str">
        <f t="shared" ca="1" si="96"/>
        <v/>
      </c>
      <c r="J1278" s="26" t="str">
        <f>IF($A1278="","",COUNTIFS(tblReceipts[Item Name],$A1278,tblReceipts[Expiry Date],"&lt;"&amp;$H1278)+COUNTIFS(tblReceipts[Item Name],$A1278,tblReceipts[Expiry Date],$H1278,tblReceipts[Lot Number],"&lt;="&amp;Receipts!$C1281))</f>
        <v/>
      </c>
      <c r="K1278" s="26" t="str">
        <f>IF($A1278="","",SUMIFS(tblReceipts[Qty Received],tblReceipts[Item Name],$A1278,tblReceipts[Expiry Date],"&lt;"&amp;$H1278)+SUMIFS(tblReceipts[Qty Received],tblReceipts[Item Name],$A1278,tblReceipts[Expiry Date],$H1278,tblReceipts[Lot Number],"&lt;"&amp;Receipts!$C1281))</f>
        <v/>
      </c>
      <c r="L1278" s="26" t="str">
        <f>IF($A1278="","",MIN($D1278,MAX(0,SUMIFS(tblIssues[Qty Issued],tblIssues[Item Name],$A1278)-$K1278)))</f>
        <v/>
      </c>
      <c r="M1278" s="26" t="str">
        <f>IF($A1278="","",SUMIFS(tblIssues[Qty Issued],tblIssues[Lot Number],$B1278))</f>
        <v/>
      </c>
      <c r="N1278" s="26" t="str">
        <f t="shared" si="97"/>
        <v/>
      </c>
      <c r="O1278" s="26" t="str">
        <f t="shared" si="98"/>
        <v/>
      </c>
      <c r="P1278" s="21" t="str">
        <f t="shared" si="99"/>
        <v/>
      </c>
      <c r="Q1278" s="52" t="str">
        <f>IF($A1278="","",IF($O1278&lt;=0,"Depleted",IF($I1278&lt;0,"EXPIRED",IF($I1278&lt;=Settings!$C$6,"CRITICAL",IF($I1278&lt;=Settings!$C$5,"Expiring","In date")))))</f>
        <v/>
      </c>
    </row>
    <row r="1279" spans="1:17" x14ac:dyDescent="0.35">
      <c r="A1279" s="90" t="str">
        <f>IF(Receipts!$D1282="","",Receipts!$D1282)</f>
        <v/>
      </c>
      <c r="B1279" s="18" t="str">
        <f>IF(Receipts!$C1282="","",Receipts!$C1282)</f>
        <v/>
      </c>
      <c r="C1279" s="18" t="str">
        <f>IF($A1279="","",IFERROR(INDEX(Items!$B$5:$B$597,MATCH($A1279,Items!$A$5:$A$597,0)),""))</f>
        <v/>
      </c>
      <c r="D1279" s="23" t="str">
        <f>IF($A1279="","",N(Receipts!$G1282))</f>
        <v/>
      </c>
      <c r="E1279" s="20" t="str">
        <f>IF($A1279="","",IFERROR(INDEX(Items!$D$5:$D$597,MATCH($A1279,Items!$A$5:$A$597,0)),0))</f>
        <v/>
      </c>
      <c r="F1279" s="21" t="str">
        <f t="shared" si="95"/>
        <v/>
      </c>
      <c r="G1279" s="25" t="str">
        <f>IF(Receipts!$I1282="","",Receipts!$I1282)</f>
        <v/>
      </c>
      <c r="H1279" s="25" t="str">
        <f>IF(Receipts!$H1282="","",Receipts!$H1282)</f>
        <v/>
      </c>
      <c r="I1279" s="26" t="str">
        <f t="shared" ca="1" si="96"/>
        <v/>
      </c>
      <c r="J1279" s="26" t="str">
        <f>IF($A1279="","",COUNTIFS(tblReceipts[Item Name],$A1279,tblReceipts[Expiry Date],"&lt;"&amp;$H1279)+COUNTIFS(tblReceipts[Item Name],$A1279,tblReceipts[Expiry Date],$H1279,tblReceipts[Lot Number],"&lt;="&amp;Receipts!$C1282))</f>
        <v/>
      </c>
      <c r="K1279" s="26" t="str">
        <f>IF($A1279="","",SUMIFS(tblReceipts[Qty Received],tblReceipts[Item Name],$A1279,tblReceipts[Expiry Date],"&lt;"&amp;$H1279)+SUMIFS(tblReceipts[Qty Received],tblReceipts[Item Name],$A1279,tblReceipts[Expiry Date],$H1279,tblReceipts[Lot Number],"&lt;"&amp;Receipts!$C1282))</f>
        <v/>
      </c>
      <c r="L1279" s="26" t="str">
        <f>IF($A1279="","",MIN($D1279,MAX(0,SUMIFS(tblIssues[Qty Issued],tblIssues[Item Name],$A1279)-$K1279)))</f>
        <v/>
      </c>
      <c r="M1279" s="26" t="str">
        <f>IF($A1279="","",SUMIFS(tblIssues[Qty Issued],tblIssues[Lot Number],$B1279))</f>
        <v/>
      </c>
      <c r="N1279" s="26" t="str">
        <f t="shared" si="97"/>
        <v/>
      </c>
      <c r="O1279" s="26" t="str">
        <f t="shared" si="98"/>
        <v/>
      </c>
      <c r="P1279" s="21" t="str">
        <f t="shared" si="99"/>
        <v/>
      </c>
      <c r="Q1279" s="52" t="str">
        <f>IF($A1279="","",IF($O1279&lt;=0,"Depleted",IF($I1279&lt;0,"EXPIRED",IF($I1279&lt;=Settings!$C$6,"CRITICAL",IF($I1279&lt;=Settings!$C$5,"Expiring","In date")))))</f>
        <v/>
      </c>
    </row>
    <row r="1280" spans="1:17" x14ac:dyDescent="0.35">
      <c r="A1280" s="90" t="str">
        <f>IF(Receipts!$D1283="","",Receipts!$D1283)</f>
        <v/>
      </c>
      <c r="B1280" s="18" t="str">
        <f>IF(Receipts!$C1283="","",Receipts!$C1283)</f>
        <v/>
      </c>
      <c r="C1280" s="18" t="str">
        <f>IF($A1280="","",IFERROR(INDEX(Items!$B$5:$B$597,MATCH($A1280,Items!$A$5:$A$597,0)),""))</f>
        <v/>
      </c>
      <c r="D1280" s="23" t="str">
        <f>IF($A1280="","",N(Receipts!$G1283))</f>
        <v/>
      </c>
      <c r="E1280" s="20" t="str">
        <f>IF($A1280="","",IFERROR(INDEX(Items!$D$5:$D$597,MATCH($A1280,Items!$A$5:$A$597,0)),0))</f>
        <v/>
      </c>
      <c r="F1280" s="21" t="str">
        <f t="shared" si="95"/>
        <v/>
      </c>
      <c r="G1280" s="25" t="str">
        <f>IF(Receipts!$I1283="","",Receipts!$I1283)</f>
        <v/>
      </c>
      <c r="H1280" s="25" t="str">
        <f>IF(Receipts!$H1283="","",Receipts!$H1283)</f>
        <v/>
      </c>
      <c r="I1280" s="26" t="str">
        <f t="shared" ca="1" si="96"/>
        <v/>
      </c>
      <c r="J1280" s="26" t="str">
        <f>IF($A1280="","",COUNTIFS(tblReceipts[Item Name],$A1280,tblReceipts[Expiry Date],"&lt;"&amp;$H1280)+COUNTIFS(tblReceipts[Item Name],$A1280,tblReceipts[Expiry Date],$H1280,tblReceipts[Lot Number],"&lt;="&amp;Receipts!$C1283))</f>
        <v/>
      </c>
      <c r="K1280" s="26" t="str">
        <f>IF($A1280="","",SUMIFS(tblReceipts[Qty Received],tblReceipts[Item Name],$A1280,tblReceipts[Expiry Date],"&lt;"&amp;$H1280)+SUMIFS(tblReceipts[Qty Received],tblReceipts[Item Name],$A1280,tblReceipts[Expiry Date],$H1280,tblReceipts[Lot Number],"&lt;"&amp;Receipts!$C1283))</f>
        <v/>
      </c>
      <c r="L1280" s="26" t="str">
        <f>IF($A1280="","",MIN($D1280,MAX(0,SUMIFS(tblIssues[Qty Issued],tblIssues[Item Name],$A1280)-$K1280)))</f>
        <v/>
      </c>
      <c r="M1280" s="26" t="str">
        <f>IF($A1280="","",SUMIFS(tblIssues[Qty Issued],tblIssues[Lot Number],$B1280))</f>
        <v/>
      </c>
      <c r="N1280" s="26" t="str">
        <f t="shared" si="97"/>
        <v/>
      </c>
      <c r="O1280" s="26" t="str">
        <f t="shared" si="98"/>
        <v/>
      </c>
      <c r="P1280" s="21" t="str">
        <f t="shared" si="99"/>
        <v/>
      </c>
      <c r="Q1280" s="52" t="str">
        <f>IF($A1280="","",IF($O1280&lt;=0,"Depleted",IF($I1280&lt;0,"EXPIRED",IF($I1280&lt;=Settings!$C$6,"CRITICAL",IF($I1280&lt;=Settings!$C$5,"Expiring","In date")))))</f>
        <v/>
      </c>
    </row>
    <row r="1281" spans="1:17" x14ac:dyDescent="0.35">
      <c r="A1281" s="90" t="str">
        <f>IF(Receipts!$D1284="","",Receipts!$D1284)</f>
        <v/>
      </c>
      <c r="B1281" s="18" t="str">
        <f>IF(Receipts!$C1284="","",Receipts!$C1284)</f>
        <v/>
      </c>
      <c r="C1281" s="18" t="str">
        <f>IF($A1281="","",IFERROR(INDEX(Items!$B$5:$B$597,MATCH($A1281,Items!$A$5:$A$597,0)),""))</f>
        <v/>
      </c>
      <c r="D1281" s="23" t="str">
        <f>IF($A1281="","",N(Receipts!$G1284))</f>
        <v/>
      </c>
      <c r="E1281" s="20" t="str">
        <f>IF($A1281="","",IFERROR(INDEX(Items!$D$5:$D$597,MATCH($A1281,Items!$A$5:$A$597,0)),0))</f>
        <v/>
      </c>
      <c r="F1281" s="21" t="str">
        <f t="shared" si="95"/>
        <v/>
      </c>
      <c r="G1281" s="25" t="str">
        <f>IF(Receipts!$I1284="","",Receipts!$I1284)</f>
        <v/>
      </c>
      <c r="H1281" s="25" t="str">
        <f>IF(Receipts!$H1284="","",Receipts!$H1284)</f>
        <v/>
      </c>
      <c r="I1281" s="26" t="str">
        <f t="shared" ca="1" si="96"/>
        <v/>
      </c>
      <c r="J1281" s="26" t="str">
        <f>IF($A1281="","",COUNTIFS(tblReceipts[Item Name],$A1281,tblReceipts[Expiry Date],"&lt;"&amp;$H1281)+COUNTIFS(tblReceipts[Item Name],$A1281,tblReceipts[Expiry Date],$H1281,tblReceipts[Lot Number],"&lt;="&amp;Receipts!$C1284))</f>
        <v/>
      </c>
      <c r="K1281" s="26" t="str">
        <f>IF($A1281="","",SUMIFS(tblReceipts[Qty Received],tblReceipts[Item Name],$A1281,tblReceipts[Expiry Date],"&lt;"&amp;$H1281)+SUMIFS(tblReceipts[Qty Received],tblReceipts[Item Name],$A1281,tblReceipts[Expiry Date],$H1281,tblReceipts[Lot Number],"&lt;"&amp;Receipts!$C1284))</f>
        <v/>
      </c>
      <c r="L1281" s="26" t="str">
        <f>IF($A1281="","",MIN($D1281,MAX(0,SUMIFS(tblIssues[Qty Issued],tblIssues[Item Name],$A1281)-$K1281)))</f>
        <v/>
      </c>
      <c r="M1281" s="26" t="str">
        <f>IF($A1281="","",SUMIFS(tblIssues[Qty Issued],tblIssues[Lot Number],$B1281))</f>
        <v/>
      </c>
      <c r="N1281" s="26" t="str">
        <f t="shared" si="97"/>
        <v/>
      </c>
      <c r="O1281" s="26" t="str">
        <f t="shared" si="98"/>
        <v/>
      </c>
      <c r="P1281" s="21" t="str">
        <f t="shared" si="99"/>
        <v/>
      </c>
      <c r="Q1281" s="52" t="str">
        <f>IF($A1281="","",IF($O1281&lt;=0,"Depleted",IF($I1281&lt;0,"EXPIRED",IF($I1281&lt;=Settings!$C$6,"CRITICAL",IF($I1281&lt;=Settings!$C$5,"Expiring","In date")))))</f>
        <v/>
      </c>
    </row>
    <row r="1282" spans="1:17" x14ac:dyDescent="0.35">
      <c r="A1282" s="90" t="str">
        <f>IF(Receipts!$D1285="","",Receipts!$D1285)</f>
        <v/>
      </c>
      <c r="B1282" s="18" t="str">
        <f>IF(Receipts!$C1285="","",Receipts!$C1285)</f>
        <v/>
      </c>
      <c r="C1282" s="18" t="str">
        <f>IF($A1282="","",IFERROR(INDEX(Items!$B$5:$B$597,MATCH($A1282,Items!$A$5:$A$597,0)),""))</f>
        <v/>
      </c>
      <c r="D1282" s="23" t="str">
        <f>IF($A1282="","",N(Receipts!$G1285))</f>
        <v/>
      </c>
      <c r="E1282" s="20" t="str">
        <f>IF($A1282="","",IFERROR(INDEX(Items!$D$5:$D$597,MATCH($A1282,Items!$A$5:$A$597,0)),0))</f>
        <v/>
      </c>
      <c r="F1282" s="21" t="str">
        <f t="shared" si="95"/>
        <v/>
      </c>
      <c r="G1282" s="25" t="str">
        <f>IF(Receipts!$I1285="","",Receipts!$I1285)</f>
        <v/>
      </c>
      <c r="H1282" s="25" t="str">
        <f>IF(Receipts!$H1285="","",Receipts!$H1285)</f>
        <v/>
      </c>
      <c r="I1282" s="26" t="str">
        <f t="shared" ca="1" si="96"/>
        <v/>
      </c>
      <c r="J1282" s="26" t="str">
        <f>IF($A1282="","",COUNTIFS(tblReceipts[Item Name],$A1282,tblReceipts[Expiry Date],"&lt;"&amp;$H1282)+COUNTIFS(tblReceipts[Item Name],$A1282,tblReceipts[Expiry Date],$H1282,tblReceipts[Lot Number],"&lt;="&amp;Receipts!$C1285))</f>
        <v/>
      </c>
      <c r="K1282" s="26" t="str">
        <f>IF($A1282="","",SUMIFS(tblReceipts[Qty Received],tblReceipts[Item Name],$A1282,tblReceipts[Expiry Date],"&lt;"&amp;$H1282)+SUMIFS(tblReceipts[Qty Received],tblReceipts[Item Name],$A1282,tblReceipts[Expiry Date],$H1282,tblReceipts[Lot Number],"&lt;"&amp;Receipts!$C1285))</f>
        <v/>
      </c>
      <c r="L1282" s="26" t="str">
        <f>IF($A1282="","",MIN($D1282,MAX(0,SUMIFS(tblIssues[Qty Issued],tblIssues[Item Name],$A1282)-$K1282)))</f>
        <v/>
      </c>
      <c r="M1282" s="26" t="str">
        <f>IF($A1282="","",SUMIFS(tblIssues[Qty Issued],tblIssues[Lot Number],$B1282))</f>
        <v/>
      </c>
      <c r="N1282" s="26" t="str">
        <f t="shared" si="97"/>
        <v/>
      </c>
      <c r="O1282" s="26" t="str">
        <f t="shared" si="98"/>
        <v/>
      </c>
      <c r="P1282" s="21" t="str">
        <f t="shared" si="99"/>
        <v/>
      </c>
      <c r="Q1282" s="52" t="str">
        <f>IF($A1282="","",IF($O1282&lt;=0,"Depleted",IF($I1282&lt;0,"EXPIRED",IF($I1282&lt;=Settings!$C$6,"CRITICAL",IF($I1282&lt;=Settings!$C$5,"Expiring","In date")))))</f>
        <v/>
      </c>
    </row>
    <row r="1283" spans="1:17" x14ac:dyDescent="0.35">
      <c r="A1283" s="90" t="str">
        <f>IF(Receipts!$D1286="","",Receipts!$D1286)</f>
        <v/>
      </c>
      <c r="B1283" s="18" t="str">
        <f>IF(Receipts!$C1286="","",Receipts!$C1286)</f>
        <v/>
      </c>
      <c r="C1283" s="18" t="str">
        <f>IF($A1283="","",IFERROR(INDEX(Items!$B$5:$B$597,MATCH($A1283,Items!$A$5:$A$597,0)),""))</f>
        <v/>
      </c>
      <c r="D1283" s="23" t="str">
        <f>IF($A1283="","",N(Receipts!$G1286))</f>
        <v/>
      </c>
      <c r="E1283" s="20" t="str">
        <f>IF($A1283="","",IFERROR(INDEX(Items!$D$5:$D$597,MATCH($A1283,Items!$A$5:$A$597,0)),0))</f>
        <v/>
      </c>
      <c r="F1283" s="21" t="str">
        <f t="shared" si="95"/>
        <v/>
      </c>
      <c r="G1283" s="25" t="str">
        <f>IF(Receipts!$I1286="","",Receipts!$I1286)</f>
        <v/>
      </c>
      <c r="H1283" s="25" t="str">
        <f>IF(Receipts!$H1286="","",Receipts!$H1286)</f>
        <v/>
      </c>
      <c r="I1283" s="26" t="str">
        <f t="shared" ca="1" si="96"/>
        <v/>
      </c>
      <c r="J1283" s="26" t="str">
        <f>IF($A1283="","",COUNTIFS(tblReceipts[Item Name],$A1283,tblReceipts[Expiry Date],"&lt;"&amp;$H1283)+COUNTIFS(tblReceipts[Item Name],$A1283,tblReceipts[Expiry Date],$H1283,tblReceipts[Lot Number],"&lt;="&amp;Receipts!$C1286))</f>
        <v/>
      </c>
      <c r="K1283" s="26" t="str">
        <f>IF($A1283="","",SUMIFS(tblReceipts[Qty Received],tblReceipts[Item Name],$A1283,tblReceipts[Expiry Date],"&lt;"&amp;$H1283)+SUMIFS(tblReceipts[Qty Received],tblReceipts[Item Name],$A1283,tblReceipts[Expiry Date],$H1283,tblReceipts[Lot Number],"&lt;"&amp;Receipts!$C1286))</f>
        <v/>
      </c>
      <c r="L1283" s="26" t="str">
        <f>IF($A1283="","",MIN($D1283,MAX(0,SUMIFS(tblIssues[Qty Issued],tblIssues[Item Name],$A1283)-$K1283)))</f>
        <v/>
      </c>
      <c r="M1283" s="26" t="str">
        <f>IF($A1283="","",SUMIFS(tblIssues[Qty Issued],tblIssues[Lot Number],$B1283))</f>
        <v/>
      </c>
      <c r="N1283" s="26" t="str">
        <f t="shared" si="97"/>
        <v/>
      </c>
      <c r="O1283" s="26" t="str">
        <f t="shared" si="98"/>
        <v/>
      </c>
      <c r="P1283" s="21" t="str">
        <f t="shared" si="99"/>
        <v/>
      </c>
      <c r="Q1283" s="52" t="str">
        <f>IF($A1283="","",IF($O1283&lt;=0,"Depleted",IF($I1283&lt;0,"EXPIRED",IF($I1283&lt;=Settings!$C$6,"CRITICAL",IF($I1283&lt;=Settings!$C$5,"Expiring","In date")))))</f>
        <v/>
      </c>
    </row>
    <row r="1284" spans="1:17" x14ac:dyDescent="0.35">
      <c r="A1284" s="90" t="str">
        <f>IF(Receipts!$D1287="","",Receipts!$D1287)</f>
        <v/>
      </c>
      <c r="B1284" s="18" t="str">
        <f>IF(Receipts!$C1287="","",Receipts!$C1287)</f>
        <v/>
      </c>
      <c r="C1284" s="18" t="str">
        <f>IF($A1284="","",IFERROR(INDEX(Items!$B$5:$B$597,MATCH($A1284,Items!$A$5:$A$597,0)),""))</f>
        <v/>
      </c>
      <c r="D1284" s="23" t="str">
        <f>IF($A1284="","",N(Receipts!$G1287))</f>
        <v/>
      </c>
      <c r="E1284" s="20" t="str">
        <f>IF($A1284="","",IFERROR(INDEX(Items!$D$5:$D$597,MATCH($A1284,Items!$A$5:$A$597,0)),0))</f>
        <v/>
      </c>
      <c r="F1284" s="21" t="str">
        <f t="shared" si="95"/>
        <v/>
      </c>
      <c r="G1284" s="25" t="str">
        <f>IF(Receipts!$I1287="","",Receipts!$I1287)</f>
        <v/>
      </c>
      <c r="H1284" s="25" t="str">
        <f>IF(Receipts!$H1287="","",Receipts!$H1287)</f>
        <v/>
      </c>
      <c r="I1284" s="26" t="str">
        <f t="shared" ca="1" si="96"/>
        <v/>
      </c>
      <c r="J1284" s="26" t="str">
        <f>IF($A1284="","",COUNTIFS(tblReceipts[Item Name],$A1284,tblReceipts[Expiry Date],"&lt;"&amp;$H1284)+COUNTIFS(tblReceipts[Item Name],$A1284,tblReceipts[Expiry Date],$H1284,tblReceipts[Lot Number],"&lt;="&amp;Receipts!$C1287))</f>
        <v/>
      </c>
      <c r="K1284" s="26" t="str">
        <f>IF($A1284="","",SUMIFS(tblReceipts[Qty Received],tblReceipts[Item Name],$A1284,tblReceipts[Expiry Date],"&lt;"&amp;$H1284)+SUMIFS(tblReceipts[Qty Received],tblReceipts[Item Name],$A1284,tblReceipts[Expiry Date],$H1284,tblReceipts[Lot Number],"&lt;"&amp;Receipts!$C1287))</f>
        <v/>
      </c>
      <c r="L1284" s="26" t="str">
        <f>IF($A1284="","",MIN($D1284,MAX(0,SUMIFS(tblIssues[Qty Issued],tblIssues[Item Name],$A1284)-$K1284)))</f>
        <v/>
      </c>
      <c r="M1284" s="26" t="str">
        <f>IF($A1284="","",SUMIFS(tblIssues[Qty Issued],tblIssues[Lot Number],$B1284))</f>
        <v/>
      </c>
      <c r="N1284" s="26" t="str">
        <f t="shared" si="97"/>
        <v/>
      </c>
      <c r="O1284" s="26" t="str">
        <f t="shared" si="98"/>
        <v/>
      </c>
      <c r="P1284" s="21" t="str">
        <f t="shared" si="99"/>
        <v/>
      </c>
      <c r="Q1284" s="52" t="str">
        <f>IF($A1284="","",IF($O1284&lt;=0,"Depleted",IF($I1284&lt;0,"EXPIRED",IF($I1284&lt;=Settings!$C$6,"CRITICAL",IF($I1284&lt;=Settings!$C$5,"Expiring","In date")))))</f>
        <v/>
      </c>
    </row>
    <row r="1285" spans="1:17" x14ac:dyDescent="0.35">
      <c r="A1285" s="90" t="str">
        <f>IF(Receipts!$D1288="","",Receipts!$D1288)</f>
        <v/>
      </c>
      <c r="B1285" s="18" t="str">
        <f>IF(Receipts!$C1288="","",Receipts!$C1288)</f>
        <v/>
      </c>
      <c r="C1285" s="18" t="str">
        <f>IF($A1285="","",IFERROR(INDEX(Items!$B$5:$B$597,MATCH($A1285,Items!$A$5:$A$597,0)),""))</f>
        <v/>
      </c>
      <c r="D1285" s="23" t="str">
        <f>IF($A1285="","",N(Receipts!$G1288))</f>
        <v/>
      </c>
      <c r="E1285" s="20" t="str">
        <f>IF($A1285="","",IFERROR(INDEX(Items!$D$5:$D$597,MATCH($A1285,Items!$A$5:$A$597,0)),0))</f>
        <v/>
      </c>
      <c r="F1285" s="21" t="str">
        <f t="shared" ref="F1285:F1348" si="100">IF($A1285="","",$D1285*$E1285)</f>
        <v/>
      </c>
      <c r="G1285" s="25" t="str">
        <f>IF(Receipts!$I1288="","",Receipts!$I1288)</f>
        <v/>
      </c>
      <c r="H1285" s="25" t="str">
        <f>IF(Receipts!$H1288="","",Receipts!$H1288)</f>
        <v/>
      </c>
      <c r="I1285" s="26" t="str">
        <f t="shared" ref="I1285:I1348" ca="1" si="101">IF($H1285="","",$H1285-TODAY())</f>
        <v/>
      </c>
      <c r="J1285" s="26" t="str">
        <f>IF($A1285="","",COUNTIFS(tblReceipts[Item Name],$A1285,tblReceipts[Expiry Date],"&lt;"&amp;$H1285)+COUNTIFS(tblReceipts[Item Name],$A1285,tblReceipts[Expiry Date],$H1285,tblReceipts[Lot Number],"&lt;="&amp;Receipts!$C1288))</f>
        <v/>
      </c>
      <c r="K1285" s="26" t="str">
        <f>IF($A1285="","",SUMIFS(tblReceipts[Qty Received],tblReceipts[Item Name],$A1285,tblReceipts[Expiry Date],"&lt;"&amp;$H1285)+SUMIFS(tblReceipts[Qty Received],tblReceipts[Item Name],$A1285,tblReceipts[Expiry Date],$H1285,tblReceipts[Lot Number],"&lt;"&amp;Receipts!$C1288))</f>
        <v/>
      </c>
      <c r="L1285" s="26" t="str">
        <f>IF($A1285="","",MIN($D1285,MAX(0,SUMIFS(tblIssues[Qty Issued],tblIssues[Item Name],$A1285)-$K1285)))</f>
        <v/>
      </c>
      <c r="M1285" s="26" t="str">
        <f>IF($A1285="","",SUMIFS(tblIssues[Qty Issued],tblIssues[Lot Number],$B1285))</f>
        <v/>
      </c>
      <c r="N1285" s="26" t="str">
        <f t="shared" ref="N1285:N1348" si="102">IF($A1285="","",$M1285-$L1285)</f>
        <v/>
      </c>
      <c r="O1285" s="26" t="str">
        <f t="shared" ref="O1285:O1348" si="103">IF($A1285="","",$D1285-$L1285)</f>
        <v/>
      </c>
      <c r="P1285" s="21" t="str">
        <f t="shared" ref="P1285:P1348" si="104">IF($A1285="","",$O1285*$E1285)</f>
        <v/>
      </c>
      <c r="Q1285" s="52" t="str">
        <f>IF($A1285="","",IF($O1285&lt;=0,"Depleted",IF($I1285&lt;0,"EXPIRED",IF($I1285&lt;=Settings!$C$6,"CRITICAL",IF($I1285&lt;=Settings!$C$5,"Expiring","In date")))))</f>
        <v/>
      </c>
    </row>
    <row r="1286" spans="1:17" x14ac:dyDescent="0.35">
      <c r="A1286" s="90" t="str">
        <f>IF(Receipts!$D1289="","",Receipts!$D1289)</f>
        <v/>
      </c>
      <c r="B1286" s="18" t="str">
        <f>IF(Receipts!$C1289="","",Receipts!$C1289)</f>
        <v/>
      </c>
      <c r="C1286" s="18" t="str">
        <f>IF($A1286="","",IFERROR(INDEX(Items!$B$5:$B$597,MATCH($A1286,Items!$A$5:$A$597,0)),""))</f>
        <v/>
      </c>
      <c r="D1286" s="23" t="str">
        <f>IF($A1286="","",N(Receipts!$G1289))</f>
        <v/>
      </c>
      <c r="E1286" s="20" t="str">
        <f>IF($A1286="","",IFERROR(INDEX(Items!$D$5:$D$597,MATCH($A1286,Items!$A$5:$A$597,0)),0))</f>
        <v/>
      </c>
      <c r="F1286" s="21" t="str">
        <f t="shared" si="100"/>
        <v/>
      </c>
      <c r="G1286" s="25" t="str">
        <f>IF(Receipts!$I1289="","",Receipts!$I1289)</f>
        <v/>
      </c>
      <c r="H1286" s="25" t="str">
        <f>IF(Receipts!$H1289="","",Receipts!$H1289)</f>
        <v/>
      </c>
      <c r="I1286" s="26" t="str">
        <f t="shared" ca="1" si="101"/>
        <v/>
      </c>
      <c r="J1286" s="26" t="str">
        <f>IF($A1286="","",COUNTIFS(tblReceipts[Item Name],$A1286,tblReceipts[Expiry Date],"&lt;"&amp;$H1286)+COUNTIFS(tblReceipts[Item Name],$A1286,tblReceipts[Expiry Date],$H1286,tblReceipts[Lot Number],"&lt;="&amp;Receipts!$C1289))</f>
        <v/>
      </c>
      <c r="K1286" s="26" t="str">
        <f>IF($A1286="","",SUMIFS(tblReceipts[Qty Received],tblReceipts[Item Name],$A1286,tblReceipts[Expiry Date],"&lt;"&amp;$H1286)+SUMIFS(tblReceipts[Qty Received],tblReceipts[Item Name],$A1286,tblReceipts[Expiry Date],$H1286,tblReceipts[Lot Number],"&lt;"&amp;Receipts!$C1289))</f>
        <v/>
      </c>
      <c r="L1286" s="26" t="str">
        <f>IF($A1286="","",MIN($D1286,MAX(0,SUMIFS(tblIssues[Qty Issued],tblIssues[Item Name],$A1286)-$K1286)))</f>
        <v/>
      </c>
      <c r="M1286" s="26" t="str">
        <f>IF($A1286="","",SUMIFS(tblIssues[Qty Issued],tblIssues[Lot Number],$B1286))</f>
        <v/>
      </c>
      <c r="N1286" s="26" t="str">
        <f t="shared" si="102"/>
        <v/>
      </c>
      <c r="O1286" s="26" t="str">
        <f t="shared" si="103"/>
        <v/>
      </c>
      <c r="P1286" s="21" t="str">
        <f t="shared" si="104"/>
        <v/>
      </c>
      <c r="Q1286" s="52" t="str">
        <f>IF($A1286="","",IF($O1286&lt;=0,"Depleted",IF($I1286&lt;0,"EXPIRED",IF($I1286&lt;=Settings!$C$6,"CRITICAL",IF($I1286&lt;=Settings!$C$5,"Expiring","In date")))))</f>
        <v/>
      </c>
    </row>
    <row r="1287" spans="1:17" x14ac:dyDescent="0.35">
      <c r="A1287" s="90" t="str">
        <f>IF(Receipts!$D1290="","",Receipts!$D1290)</f>
        <v/>
      </c>
      <c r="B1287" s="18" t="str">
        <f>IF(Receipts!$C1290="","",Receipts!$C1290)</f>
        <v/>
      </c>
      <c r="C1287" s="18" t="str">
        <f>IF($A1287="","",IFERROR(INDEX(Items!$B$5:$B$597,MATCH($A1287,Items!$A$5:$A$597,0)),""))</f>
        <v/>
      </c>
      <c r="D1287" s="23" t="str">
        <f>IF($A1287="","",N(Receipts!$G1290))</f>
        <v/>
      </c>
      <c r="E1287" s="20" t="str">
        <f>IF($A1287="","",IFERROR(INDEX(Items!$D$5:$D$597,MATCH($A1287,Items!$A$5:$A$597,0)),0))</f>
        <v/>
      </c>
      <c r="F1287" s="21" t="str">
        <f t="shared" si="100"/>
        <v/>
      </c>
      <c r="G1287" s="25" t="str">
        <f>IF(Receipts!$I1290="","",Receipts!$I1290)</f>
        <v/>
      </c>
      <c r="H1287" s="25" t="str">
        <f>IF(Receipts!$H1290="","",Receipts!$H1290)</f>
        <v/>
      </c>
      <c r="I1287" s="26" t="str">
        <f t="shared" ca="1" si="101"/>
        <v/>
      </c>
      <c r="J1287" s="26" t="str">
        <f>IF($A1287="","",COUNTIFS(tblReceipts[Item Name],$A1287,tblReceipts[Expiry Date],"&lt;"&amp;$H1287)+COUNTIFS(tblReceipts[Item Name],$A1287,tblReceipts[Expiry Date],$H1287,tblReceipts[Lot Number],"&lt;="&amp;Receipts!$C1290))</f>
        <v/>
      </c>
      <c r="K1287" s="26" t="str">
        <f>IF($A1287="","",SUMIFS(tblReceipts[Qty Received],tblReceipts[Item Name],$A1287,tblReceipts[Expiry Date],"&lt;"&amp;$H1287)+SUMIFS(tblReceipts[Qty Received],tblReceipts[Item Name],$A1287,tblReceipts[Expiry Date],$H1287,tblReceipts[Lot Number],"&lt;"&amp;Receipts!$C1290))</f>
        <v/>
      </c>
      <c r="L1287" s="26" t="str">
        <f>IF($A1287="","",MIN($D1287,MAX(0,SUMIFS(tblIssues[Qty Issued],tblIssues[Item Name],$A1287)-$K1287)))</f>
        <v/>
      </c>
      <c r="M1287" s="26" t="str">
        <f>IF($A1287="","",SUMIFS(tblIssues[Qty Issued],tblIssues[Lot Number],$B1287))</f>
        <v/>
      </c>
      <c r="N1287" s="26" t="str">
        <f t="shared" si="102"/>
        <v/>
      </c>
      <c r="O1287" s="26" t="str">
        <f t="shared" si="103"/>
        <v/>
      </c>
      <c r="P1287" s="21" t="str">
        <f t="shared" si="104"/>
        <v/>
      </c>
      <c r="Q1287" s="52" t="str">
        <f>IF($A1287="","",IF($O1287&lt;=0,"Depleted",IF($I1287&lt;0,"EXPIRED",IF($I1287&lt;=Settings!$C$6,"CRITICAL",IF($I1287&lt;=Settings!$C$5,"Expiring","In date")))))</f>
        <v/>
      </c>
    </row>
    <row r="1288" spans="1:17" x14ac:dyDescent="0.35">
      <c r="A1288" s="90" t="str">
        <f>IF(Receipts!$D1291="","",Receipts!$D1291)</f>
        <v/>
      </c>
      <c r="B1288" s="18" t="str">
        <f>IF(Receipts!$C1291="","",Receipts!$C1291)</f>
        <v/>
      </c>
      <c r="C1288" s="18" t="str">
        <f>IF($A1288="","",IFERROR(INDEX(Items!$B$5:$B$597,MATCH($A1288,Items!$A$5:$A$597,0)),""))</f>
        <v/>
      </c>
      <c r="D1288" s="23" t="str">
        <f>IF($A1288="","",N(Receipts!$G1291))</f>
        <v/>
      </c>
      <c r="E1288" s="20" t="str">
        <f>IF($A1288="","",IFERROR(INDEX(Items!$D$5:$D$597,MATCH($A1288,Items!$A$5:$A$597,0)),0))</f>
        <v/>
      </c>
      <c r="F1288" s="21" t="str">
        <f t="shared" si="100"/>
        <v/>
      </c>
      <c r="G1288" s="25" t="str">
        <f>IF(Receipts!$I1291="","",Receipts!$I1291)</f>
        <v/>
      </c>
      <c r="H1288" s="25" t="str">
        <f>IF(Receipts!$H1291="","",Receipts!$H1291)</f>
        <v/>
      </c>
      <c r="I1288" s="26" t="str">
        <f t="shared" ca="1" si="101"/>
        <v/>
      </c>
      <c r="J1288" s="26" t="str">
        <f>IF($A1288="","",COUNTIFS(tblReceipts[Item Name],$A1288,tblReceipts[Expiry Date],"&lt;"&amp;$H1288)+COUNTIFS(tblReceipts[Item Name],$A1288,tblReceipts[Expiry Date],$H1288,tblReceipts[Lot Number],"&lt;="&amp;Receipts!$C1291))</f>
        <v/>
      </c>
      <c r="K1288" s="26" t="str">
        <f>IF($A1288="","",SUMIFS(tblReceipts[Qty Received],tblReceipts[Item Name],$A1288,tblReceipts[Expiry Date],"&lt;"&amp;$H1288)+SUMIFS(tblReceipts[Qty Received],tblReceipts[Item Name],$A1288,tblReceipts[Expiry Date],$H1288,tblReceipts[Lot Number],"&lt;"&amp;Receipts!$C1291))</f>
        <v/>
      </c>
      <c r="L1288" s="26" t="str">
        <f>IF($A1288="","",MIN($D1288,MAX(0,SUMIFS(tblIssues[Qty Issued],tblIssues[Item Name],$A1288)-$K1288)))</f>
        <v/>
      </c>
      <c r="M1288" s="26" t="str">
        <f>IF($A1288="","",SUMIFS(tblIssues[Qty Issued],tblIssues[Lot Number],$B1288))</f>
        <v/>
      </c>
      <c r="N1288" s="26" t="str">
        <f t="shared" si="102"/>
        <v/>
      </c>
      <c r="O1288" s="26" t="str">
        <f t="shared" si="103"/>
        <v/>
      </c>
      <c r="P1288" s="21" t="str">
        <f t="shared" si="104"/>
        <v/>
      </c>
      <c r="Q1288" s="52" t="str">
        <f>IF($A1288="","",IF($O1288&lt;=0,"Depleted",IF($I1288&lt;0,"EXPIRED",IF($I1288&lt;=Settings!$C$6,"CRITICAL",IF($I1288&lt;=Settings!$C$5,"Expiring","In date")))))</f>
        <v/>
      </c>
    </row>
    <row r="1289" spans="1:17" x14ac:dyDescent="0.35">
      <c r="A1289" s="90" t="str">
        <f>IF(Receipts!$D1292="","",Receipts!$D1292)</f>
        <v/>
      </c>
      <c r="B1289" s="18" t="str">
        <f>IF(Receipts!$C1292="","",Receipts!$C1292)</f>
        <v/>
      </c>
      <c r="C1289" s="18" t="str">
        <f>IF($A1289="","",IFERROR(INDEX(Items!$B$5:$B$597,MATCH($A1289,Items!$A$5:$A$597,0)),""))</f>
        <v/>
      </c>
      <c r="D1289" s="23" t="str">
        <f>IF($A1289="","",N(Receipts!$G1292))</f>
        <v/>
      </c>
      <c r="E1289" s="20" t="str">
        <f>IF($A1289="","",IFERROR(INDEX(Items!$D$5:$D$597,MATCH($A1289,Items!$A$5:$A$597,0)),0))</f>
        <v/>
      </c>
      <c r="F1289" s="21" t="str">
        <f t="shared" si="100"/>
        <v/>
      </c>
      <c r="G1289" s="25" t="str">
        <f>IF(Receipts!$I1292="","",Receipts!$I1292)</f>
        <v/>
      </c>
      <c r="H1289" s="25" t="str">
        <f>IF(Receipts!$H1292="","",Receipts!$H1292)</f>
        <v/>
      </c>
      <c r="I1289" s="26" t="str">
        <f t="shared" ca="1" si="101"/>
        <v/>
      </c>
      <c r="J1289" s="26" t="str">
        <f>IF($A1289="","",COUNTIFS(tblReceipts[Item Name],$A1289,tblReceipts[Expiry Date],"&lt;"&amp;$H1289)+COUNTIFS(tblReceipts[Item Name],$A1289,tblReceipts[Expiry Date],$H1289,tblReceipts[Lot Number],"&lt;="&amp;Receipts!$C1292))</f>
        <v/>
      </c>
      <c r="K1289" s="26" t="str">
        <f>IF($A1289="","",SUMIFS(tblReceipts[Qty Received],tblReceipts[Item Name],$A1289,tblReceipts[Expiry Date],"&lt;"&amp;$H1289)+SUMIFS(tblReceipts[Qty Received],tblReceipts[Item Name],$A1289,tblReceipts[Expiry Date],$H1289,tblReceipts[Lot Number],"&lt;"&amp;Receipts!$C1292))</f>
        <v/>
      </c>
      <c r="L1289" s="26" t="str">
        <f>IF($A1289="","",MIN($D1289,MAX(0,SUMIFS(tblIssues[Qty Issued],tblIssues[Item Name],$A1289)-$K1289)))</f>
        <v/>
      </c>
      <c r="M1289" s="26" t="str">
        <f>IF($A1289="","",SUMIFS(tblIssues[Qty Issued],tblIssues[Lot Number],$B1289))</f>
        <v/>
      </c>
      <c r="N1289" s="26" t="str">
        <f t="shared" si="102"/>
        <v/>
      </c>
      <c r="O1289" s="26" t="str">
        <f t="shared" si="103"/>
        <v/>
      </c>
      <c r="P1289" s="21" t="str">
        <f t="shared" si="104"/>
        <v/>
      </c>
      <c r="Q1289" s="52" t="str">
        <f>IF($A1289="","",IF($O1289&lt;=0,"Depleted",IF($I1289&lt;0,"EXPIRED",IF($I1289&lt;=Settings!$C$6,"CRITICAL",IF($I1289&lt;=Settings!$C$5,"Expiring","In date")))))</f>
        <v/>
      </c>
    </row>
    <row r="1290" spans="1:17" x14ac:dyDescent="0.35">
      <c r="A1290" s="90" t="str">
        <f>IF(Receipts!$D1293="","",Receipts!$D1293)</f>
        <v/>
      </c>
      <c r="B1290" s="18" t="str">
        <f>IF(Receipts!$C1293="","",Receipts!$C1293)</f>
        <v/>
      </c>
      <c r="C1290" s="18" t="str">
        <f>IF($A1290="","",IFERROR(INDEX(Items!$B$5:$B$597,MATCH($A1290,Items!$A$5:$A$597,0)),""))</f>
        <v/>
      </c>
      <c r="D1290" s="23" t="str">
        <f>IF($A1290="","",N(Receipts!$G1293))</f>
        <v/>
      </c>
      <c r="E1290" s="20" t="str">
        <f>IF($A1290="","",IFERROR(INDEX(Items!$D$5:$D$597,MATCH($A1290,Items!$A$5:$A$597,0)),0))</f>
        <v/>
      </c>
      <c r="F1290" s="21" t="str">
        <f t="shared" si="100"/>
        <v/>
      </c>
      <c r="G1290" s="25" t="str">
        <f>IF(Receipts!$I1293="","",Receipts!$I1293)</f>
        <v/>
      </c>
      <c r="H1290" s="25" t="str">
        <f>IF(Receipts!$H1293="","",Receipts!$H1293)</f>
        <v/>
      </c>
      <c r="I1290" s="26" t="str">
        <f t="shared" ca="1" si="101"/>
        <v/>
      </c>
      <c r="J1290" s="26" t="str">
        <f>IF($A1290="","",COUNTIFS(tblReceipts[Item Name],$A1290,tblReceipts[Expiry Date],"&lt;"&amp;$H1290)+COUNTIFS(tblReceipts[Item Name],$A1290,tblReceipts[Expiry Date],$H1290,tblReceipts[Lot Number],"&lt;="&amp;Receipts!$C1293))</f>
        <v/>
      </c>
      <c r="K1290" s="26" t="str">
        <f>IF($A1290="","",SUMIFS(tblReceipts[Qty Received],tblReceipts[Item Name],$A1290,tblReceipts[Expiry Date],"&lt;"&amp;$H1290)+SUMIFS(tblReceipts[Qty Received],tblReceipts[Item Name],$A1290,tblReceipts[Expiry Date],$H1290,tblReceipts[Lot Number],"&lt;"&amp;Receipts!$C1293))</f>
        <v/>
      </c>
      <c r="L1290" s="26" t="str">
        <f>IF($A1290="","",MIN($D1290,MAX(0,SUMIFS(tblIssues[Qty Issued],tblIssues[Item Name],$A1290)-$K1290)))</f>
        <v/>
      </c>
      <c r="M1290" s="26" t="str">
        <f>IF($A1290="","",SUMIFS(tblIssues[Qty Issued],tblIssues[Lot Number],$B1290))</f>
        <v/>
      </c>
      <c r="N1290" s="26" t="str">
        <f t="shared" si="102"/>
        <v/>
      </c>
      <c r="O1290" s="26" t="str">
        <f t="shared" si="103"/>
        <v/>
      </c>
      <c r="P1290" s="21" t="str">
        <f t="shared" si="104"/>
        <v/>
      </c>
      <c r="Q1290" s="52" t="str">
        <f>IF($A1290="","",IF($O1290&lt;=0,"Depleted",IF($I1290&lt;0,"EXPIRED",IF($I1290&lt;=Settings!$C$6,"CRITICAL",IF($I1290&lt;=Settings!$C$5,"Expiring","In date")))))</f>
        <v/>
      </c>
    </row>
    <row r="1291" spans="1:17" x14ac:dyDescent="0.35">
      <c r="A1291" s="90" t="str">
        <f>IF(Receipts!$D1294="","",Receipts!$D1294)</f>
        <v/>
      </c>
      <c r="B1291" s="18" t="str">
        <f>IF(Receipts!$C1294="","",Receipts!$C1294)</f>
        <v/>
      </c>
      <c r="C1291" s="18" t="str">
        <f>IF($A1291="","",IFERROR(INDEX(Items!$B$5:$B$597,MATCH($A1291,Items!$A$5:$A$597,0)),""))</f>
        <v/>
      </c>
      <c r="D1291" s="23" t="str">
        <f>IF($A1291="","",N(Receipts!$G1294))</f>
        <v/>
      </c>
      <c r="E1291" s="20" t="str">
        <f>IF($A1291="","",IFERROR(INDEX(Items!$D$5:$D$597,MATCH($A1291,Items!$A$5:$A$597,0)),0))</f>
        <v/>
      </c>
      <c r="F1291" s="21" t="str">
        <f t="shared" si="100"/>
        <v/>
      </c>
      <c r="G1291" s="25" t="str">
        <f>IF(Receipts!$I1294="","",Receipts!$I1294)</f>
        <v/>
      </c>
      <c r="H1291" s="25" t="str">
        <f>IF(Receipts!$H1294="","",Receipts!$H1294)</f>
        <v/>
      </c>
      <c r="I1291" s="26" t="str">
        <f t="shared" ca="1" si="101"/>
        <v/>
      </c>
      <c r="J1291" s="26" t="str">
        <f>IF($A1291="","",COUNTIFS(tblReceipts[Item Name],$A1291,tblReceipts[Expiry Date],"&lt;"&amp;$H1291)+COUNTIFS(tblReceipts[Item Name],$A1291,tblReceipts[Expiry Date],$H1291,tblReceipts[Lot Number],"&lt;="&amp;Receipts!$C1294))</f>
        <v/>
      </c>
      <c r="K1291" s="26" t="str">
        <f>IF($A1291="","",SUMIFS(tblReceipts[Qty Received],tblReceipts[Item Name],$A1291,tblReceipts[Expiry Date],"&lt;"&amp;$H1291)+SUMIFS(tblReceipts[Qty Received],tblReceipts[Item Name],$A1291,tblReceipts[Expiry Date],$H1291,tblReceipts[Lot Number],"&lt;"&amp;Receipts!$C1294))</f>
        <v/>
      </c>
      <c r="L1291" s="26" t="str">
        <f>IF($A1291="","",MIN($D1291,MAX(0,SUMIFS(tblIssues[Qty Issued],tblIssues[Item Name],$A1291)-$K1291)))</f>
        <v/>
      </c>
      <c r="M1291" s="26" t="str">
        <f>IF($A1291="","",SUMIFS(tblIssues[Qty Issued],tblIssues[Lot Number],$B1291))</f>
        <v/>
      </c>
      <c r="N1291" s="26" t="str">
        <f t="shared" si="102"/>
        <v/>
      </c>
      <c r="O1291" s="26" t="str">
        <f t="shared" si="103"/>
        <v/>
      </c>
      <c r="P1291" s="21" t="str">
        <f t="shared" si="104"/>
        <v/>
      </c>
      <c r="Q1291" s="52" t="str">
        <f>IF($A1291="","",IF($O1291&lt;=0,"Depleted",IF($I1291&lt;0,"EXPIRED",IF($I1291&lt;=Settings!$C$6,"CRITICAL",IF($I1291&lt;=Settings!$C$5,"Expiring","In date")))))</f>
        <v/>
      </c>
    </row>
    <row r="1292" spans="1:17" x14ac:dyDescent="0.35">
      <c r="A1292" s="90" t="str">
        <f>IF(Receipts!$D1295="","",Receipts!$D1295)</f>
        <v/>
      </c>
      <c r="B1292" s="18" t="str">
        <f>IF(Receipts!$C1295="","",Receipts!$C1295)</f>
        <v/>
      </c>
      <c r="C1292" s="18" t="str">
        <f>IF($A1292="","",IFERROR(INDEX(Items!$B$5:$B$597,MATCH($A1292,Items!$A$5:$A$597,0)),""))</f>
        <v/>
      </c>
      <c r="D1292" s="23" t="str">
        <f>IF($A1292="","",N(Receipts!$G1295))</f>
        <v/>
      </c>
      <c r="E1292" s="20" t="str">
        <f>IF($A1292="","",IFERROR(INDEX(Items!$D$5:$D$597,MATCH($A1292,Items!$A$5:$A$597,0)),0))</f>
        <v/>
      </c>
      <c r="F1292" s="21" t="str">
        <f t="shared" si="100"/>
        <v/>
      </c>
      <c r="G1292" s="25" t="str">
        <f>IF(Receipts!$I1295="","",Receipts!$I1295)</f>
        <v/>
      </c>
      <c r="H1292" s="25" t="str">
        <f>IF(Receipts!$H1295="","",Receipts!$H1295)</f>
        <v/>
      </c>
      <c r="I1292" s="26" t="str">
        <f t="shared" ca="1" si="101"/>
        <v/>
      </c>
      <c r="J1292" s="26" t="str">
        <f>IF($A1292="","",COUNTIFS(tblReceipts[Item Name],$A1292,tblReceipts[Expiry Date],"&lt;"&amp;$H1292)+COUNTIFS(tblReceipts[Item Name],$A1292,tblReceipts[Expiry Date],$H1292,tblReceipts[Lot Number],"&lt;="&amp;Receipts!$C1295))</f>
        <v/>
      </c>
      <c r="K1292" s="26" t="str">
        <f>IF($A1292="","",SUMIFS(tblReceipts[Qty Received],tblReceipts[Item Name],$A1292,tblReceipts[Expiry Date],"&lt;"&amp;$H1292)+SUMIFS(tblReceipts[Qty Received],tblReceipts[Item Name],$A1292,tblReceipts[Expiry Date],$H1292,tblReceipts[Lot Number],"&lt;"&amp;Receipts!$C1295))</f>
        <v/>
      </c>
      <c r="L1292" s="26" t="str">
        <f>IF($A1292="","",MIN($D1292,MAX(0,SUMIFS(tblIssues[Qty Issued],tblIssues[Item Name],$A1292)-$K1292)))</f>
        <v/>
      </c>
      <c r="M1292" s="26" t="str">
        <f>IF($A1292="","",SUMIFS(tblIssues[Qty Issued],tblIssues[Lot Number],$B1292))</f>
        <v/>
      </c>
      <c r="N1292" s="26" t="str">
        <f t="shared" si="102"/>
        <v/>
      </c>
      <c r="O1292" s="26" t="str">
        <f t="shared" si="103"/>
        <v/>
      </c>
      <c r="P1292" s="21" t="str">
        <f t="shared" si="104"/>
        <v/>
      </c>
      <c r="Q1292" s="52" t="str">
        <f>IF($A1292="","",IF($O1292&lt;=0,"Depleted",IF($I1292&lt;0,"EXPIRED",IF($I1292&lt;=Settings!$C$6,"CRITICAL",IF($I1292&lt;=Settings!$C$5,"Expiring","In date")))))</f>
        <v/>
      </c>
    </row>
    <row r="1293" spans="1:17" x14ac:dyDescent="0.35">
      <c r="A1293" s="90" t="str">
        <f>IF(Receipts!$D1296="","",Receipts!$D1296)</f>
        <v/>
      </c>
      <c r="B1293" s="18" t="str">
        <f>IF(Receipts!$C1296="","",Receipts!$C1296)</f>
        <v/>
      </c>
      <c r="C1293" s="18" t="str">
        <f>IF($A1293="","",IFERROR(INDEX(Items!$B$5:$B$597,MATCH($A1293,Items!$A$5:$A$597,0)),""))</f>
        <v/>
      </c>
      <c r="D1293" s="23" t="str">
        <f>IF($A1293="","",N(Receipts!$G1296))</f>
        <v/>
      </c>
      <c r="E1293" s="20" t="str">
        <f>IF($A1293="","",IFERROR(INDEX(Items!$D$5:$D$597,MATCH($A1293,Items!$A$5:$A$597,0)),0))</f>
        <v/>
      </c>
      <c r="F1293" s="21" t="str">
        <f t="shared" si="100"/>
        <v/>
      </c>
      <c r="G1293" s="25" t="str">
        <f>IF(Receipts!$I1296="","",Receipts!$I1296)</f>
        <v/>
      </c>
      <c r="H1293" s="25" t="str">
        <f>IF(Receipts!$H1296="","",Receipts!$H1296)</f>
        <v/>
      </c>
      <c r="I1293" s="26" t="str">
        <f t="shared" ca="1" si="101"/>
        <v/>
      </c>
      <c r="J1293" s="26" t="str">
        <f>IF($A1293="","",COUNTIFS(tblReceipts[Item Name],$A1293,tblReceipts[Expiry Date],"&lt;"&amp;$H1293)+COUNTIFS(tblReceipts[Item Name],$A1293,tblReceipts[Expiry Date],$H1293,tblReceipts[Lot Number],"&lt;="&amp;Receipts!$C1296))</f>
        <v/>
      </c>
      <c r="K1293" s="26" t="str">
        <f>IF($A1293="","",SUMIFS(tblReceipts[Qty Received],tblReceipts[Item Name],$A1293,tblReceipts[Expiry Date],"&lt;"&amp;$H1293)+SUMIFS(tblReceipts[Qty Received],tblReceipts[Item Name],$A1293,tblReceipts[Expiry Date],$H1293,tblReceipts[Lot Number],"&lt;"&amp;Receipts!$C1296))</f>
        <v/>
      </c>
      <c r="L1293" s="26" t="str">
        <f>IF($A1293="","",MIN($D1293,MAX(0,SUMIFS(tblIssues[Qty Issued],tblIssues[Item Name],$A1293)-$K1293)))</f>
        <v/>
      </c>
      <c r="M1293" s="26" t="str">
        <f>IF($A1293="","",SUMIFS(tblIssues[Qty Issued],tblIssues[Lot Number],$B1293))</f>
        <v/>
      </c>
      <c r="N1293" s="26" t="str">
        <f t="shared" si="102"/>
        <v/>
      </c>
      <c r="O1293" s="26" t="str">
        <f t="shared" si="103"/>
        <v/>
      </c>
      <c r="P1293" s="21" t="str">
        <f t="shared" si="104"/>
        <v/>
      </c>
      <c r="Q1293" s="52" t="str">
        <f>IF($A1293="","",IF($O1293&lt;=0,"Depleted",IF($I1293&lt;0,"EXPIRED",IF($I1293&lt;=Settings!$C$6,"CRITICAL",IF($I1293&lt;=Settings!$C$5,"Expiring","In date")))))</f>
        <v/>
      </c>
    </row>
    <row r="1294" spans="1:17" x14ac:dyDescent="0.35">
      <c r="A1294" s="90" t="str">
        <f>IF(Receipts!$D1297="","",Receipts!$D1297)</f>
        <v/>
      </c>
      <c r="B1294" s="18" t="str">
        <f>IF(Receipts!$C1297="","",Receipts!$C1297)</f>
        <v/>
      </c>
      <c r="C1294" s="18" t="str">
        <f>IF($A1294="","",IFERROR(INDEX(Items!$B$5:$B$597,MATCH($A1294,Items!$A$5:$A$597,0)),""))</f>
        <v/>
      </c>
      <c r="D1294" s="23" t="str">
        <f>IF($A1294="","",N(Receipts!$G1297))</f>
        <v/>
      </c>
      <c r="E1294" s="20" t="str">
        <f>IF($A1294="","",IFERROR(INDEX(Items!$D$5:$D$597,MATCH($A1294,Items!$A$5:$A$597,0)),0))</f>
        <v/>
      </c>
      <c r="F1294" s="21" t="str">
        <f t="shared" si="100"/>
        <v/>
      </c>
      <c r="G1294" s="25" t="str">
        <f>IF(Receipts!$I1297="","",Receipts!$I1297)</f>
        <v/>
      </c>
      <c r="H1294" s="25" t="str">
        <f>IF(Receipts!$H1297="","",Receipts!$H1297)</f>
        <v/>
      </c>
      <c r="I1294" s="26" t="str">
        <f t="shared" ca="1" si="101"/>
        <v/>
      </c>
      <c r="J1294" s="26" t="str">
        <f>IF($A1294="","",COUNTIFS(tblReceipts[Item Name],$A1294,tblReceipts[Expiry Date],"&lt;"&amp;$H1294)+COUNTIFS(tblReceipts[Item Name],$A1294,tblReceipts[Expiry Date],$H1294,tblReceipts[Lot Number],"&lt;="&amp;Receipts!$C1297))</f>
        <v/>
      </c>
      <c r="K1294" s="26" t="str">
        <f>IF($A1294="","",SUMIFS(tblReceipts[Qty Received],tblReceipts[Item Name],$A1294,tblReceipts[Expiry Date],"&lt;"&amp;$H1294)+SUMIFS(tblReceipts[Qty Received],tblReceipts[Item Name],$A1294,tblReceipts[Expiry Date],$H1294,tblReceipts[Lot Number],"&lt;"&amp;Receipts!$C1297))</f>
        <v/>
      </c>
      <c r="L1294" s="26" t="str">
        <f>IF($A1294="","",MIN($D1294,MAX(0,SUMIFS(tblIssues[Qty Issued],tblIssues[Item Name],$A1294)-$K1294)))</f>
        <v/>
      </c>
      <c r="M1294" s="26" t="str">
        <f>IF($A1294="","",SUMIFS(tblIssues[Qty Issued],tblIssues[Lot Number],$B1294))</f>
        <v/>
      </c>
      <c r="N1294" s="26" t="str">
        <f t="shared" si="102"/>
        <v/>
      </c>
      <c r="O1294" s="26" t="str">
        <f t="shared" si="103"/>
        <v/>
      </c>
      <c r="P1294" s="21" t="str">
        <f t="shared" si="104"/>
        <v/>
      </c>
      <c r="Q1294" s="52" t="str">
        <f>IF($A1294="","",IF($O1294&lt;=0,"Depleted",IF($I1294&lt;0,"EXPIRED",IF($I1294&lt;=Settings!$C$6,"CRITICAL",IF($I1294&lt;=Settings!$C$5,"Expiring","In date")))))</f>
        <v/>
      </c>
    </row>
    <row r="1295" spans="1:17" x14ac:dyDescent="0.35">
      <c r="A1295" s="90" t="str">
        <f>IF(Receipts!$D1298="","",Receipts!$D1298)</f>
        <v/>
      </c>
      <c r="B1295" s="18" t="str">
        <f>IF(Receipts!$C1298="","",Receipts!$C1298)</f>
        <v/>
      </c>
      <c r="C1295" s="18" t="str">
        <f>IF($A1295="","",IFERROR(INDEX(Items!$B$5:$B$597,MATCH($A1295,Items!$A$5:$A$597,0)),""))</f>
        <v/>
      </c>
      <c r="D1295" s="23" t="str">
        <f>IF($A1295="","",N(Receipts!$G1298))</f>
        <v/>
      </c>
      <c r="E1295" s="20" t="str">
        <f>IF($A1295="","",IFERROR(INDEX(Items!$D$5:$D$597,MATCH($A1295,Items!$A$5:$A$597,0)),0))</f>
        <v/>
      </c>
      <c r="F1295" s="21" t="str">
        <f t="shared" si="100"/>
        <v/>
      </c>
      <c r="G1295" s="25" t="str">
        <f>IF(Receipts!$I1298="","",Receipts!$I1298)</f>
        <v/>
      </c>
      <c r="H1295" s="25" t="str">
        <f>IF(Receipts!$H1298="","",Receipts!$H1298)</f>
        <v/>
      </c>
      <c r="I1295" s="26" t="str">
        <f t="shared" ca="1" si="101"/>
        <v/>
      </c>
      <c r="J1295" s="26" t="str">
        <f>IF($A1295="","",COUNTIFS(tblReceipts[Item Name],$A1295,tblReceipts[Expiry Date],"&lt;"&amp;$H1295)+COUNTIFS(tblReceipts[Item Name],$A1295,tblReceipts[Expiry Date],$H1295,tblReceipts[Lot Number],"&lt;="&amp;Receipts!$C1298))</f>
        <v/>
      </c>
      <c r="K1295" s="26" t="str">
        <f>IF($A1295="","",SUMIFS(tblReceipts[Qty Received],tblReceipts[Item Name],$A1295,tblReceipts[Expiry Date],"&lt;"&amp;$H1295)+SUMIFS(tblReceipts[Qty Received],tblReceipts[Item Name],$A1295,tblReceipts[Expiry Date],$H1295,tblReceipts[Lot Number],"&lt;"&amp;Receipts!$C1298))</f>
        <v/>
      </c>
      <c r="L1295" s="26" t="str">
        <f>IF($A1295="","",MIN($D1295,MAX(0,SUMIFS(tblIssues[Qty Issued],tblIssues[Item Name],$A1295)-$K1295)))</f>
        <v/>
      </c>
      <c r="M1295" s="26" t="str">
        <f>IF($A1295="","",SUMIFS(tblIssues[Qty Issued],tblIssues[Lot Number],$B1295))</f>
        <v/>
      </c>
      <c r="N1295" s="26" t="str">
        <f t="shared" si="102"/>
        <v/>
      </c>
      <c r="O1295" s="26" t="str">
        <f t="shared" si="103"/>
        <v/>
      </c>
      <c r="P1295" s="21" t="str">
        <f t="shared" si="104"/>
        <v/>
      </c>
      <c r="Q1295" s="52" t="str">
        <f>IF($A1295="","",IF($O1295&lt;=0,"Depleted",IF($I1295&lt;0,"EXPIRED",IF($I1295&lt;=Settings!$C$6,"CRITICAL",IF($I1295&lt;=Settings!$C$5,"Expiring","In date")))))</f>
        <v/>
      </c>
    </row>
    <row r="1296" spans="1:17" x14ac:dyDescent="0.35">
      <c r="A1296" s="90" t="str">
        <f>IF(Receipts!$D1299="","",Receipts!$D1299)</f>
        <v/>
      </c>
      <c r="B1296" s="18" t="str">
        <f>IF(Receipts!$C1299="","",Receipts!$C1299)</f>
        <v/>
      </c>
      <c r="C1296" s="18" t="str">
        <f>IF($A1296="","",IFERROR(INDEX(Items!$B$5:$B$597,MATCH($A1296,Items!$A$5:$A$597,0)),""))</f>
        <v/>
      </c>
      <c r="D1296" s="23" t="str">
        <f>IF($A1296="","",N(Receipts!$G1299))</f>
        <v/>
      </c>
      <c r="E1296" s="20" t="str">
        <f>IF($A1296="","",IFERROR(INDEX(Items!$D$5:$D$597,MATCH($A1296,Items!$A$5:$A$597,0)),0))</f>
        <v/>
      </c>
      <c r="F1296" s="21" t="str">
        <f t="shared" si="100"/>
        <v/>
      </c>
      <c r="G1296" s="25" t="str">
        <f>IF(Receipts!$I1299="","",Receipts!$I1299)</f>
        <v/>
      </c>
      <c r="H1296" s="25" t="str">
        <f>IF(Receipts!$H1299="","",Receipts!$H1299)</f>
        <v/>
      </c>
      <c r="I1296" s="26" t="str">
        <f t="shared" ca="1" si="101"/>
        <v/>
      </c>
      <c r="J1296" s="26" t="str">
        <f>IF($A1296="","",COUNTIFS(tblReceipts[Item Name],$A1296,tblReceipts[Expiry Date],"&lt;"&amp;$H1296)+COUNTIFS(tblReceipts[Item Name],$A1296,tblReceipts[Expiry Date],$H1296,tblReceipts[Lot Number],"&lt;="&amp;Receipts!$C1299))</f>
        <v/>
      </c>
      <c r="K1296" s="26" t="str">
        <f>IF($A1296="","",SUMIFS(tblReceipts[Qty Received],tblReceipts[Item Name],$A1296,tblReceipts[Expiry Date],"&lt;"&amp;$H1296)+SUMIFS(tblReceipts[Qty Received],tblReceipts[Item Name],$A1296,tblReceipts[Expiry Date],$H1296,tblReceipts[Lot Number],"&lt;"&amp;Receipts!$C1299))</f>
        <v/>
      </c>
      <c r="L1296" s="26" t="str">
        <f>IF($A1296="","",MIN($D1296,MAX(0,SUMIFS(tblIssues[Qty Issued],tblIssues[Item Name],$A1296)-$K1296)))</f>
        <v/>
      </c>
      <c r="M1296" s="26" t="str">
        <f>IF($A1296="","",SUMIFS(tblIssues[Qty Issued],tblIssues[Lot Number],$B1296))</f>
        <v/>
      </c>
      <c r="N1296" s="26" t="str">
        <f t="shared" si="102"/>
        <v/>
      </c>
      <c r="O1296" s="26" t="str">
        <f t="shared" si="103"/>
        <v/>
      </c>
      <c r="P1296" s="21" t="str">
        <f t="shared" si="104"/>
        <v/>
      </c>
      <c r="Q1296" s="52" t="str">
        <f>IF($A1296="","",IF($O1296&lt;=0,"Depleted",IF($I1296&lt;0,"EXPIRED",IF($I1296&lt;=Settings!$C$6,"CRITICAL",IF($I1296&lt;=Settings!$C$5,"Expiring","In date")))))</f>
        <v/>
      </c>
    </row>
    <row r="1297" spans="1:17" x14ac:dyDescent="0.35">
      <c r="A1297" s="90" t="str">
        <f>IF(Receipts!$D1300="","",Receipts!$D1300)</f>
        <v/>
      </c>
      <c r="B1297" s="18" t="str">
        <f>IF(Receipts!$C1300="","",Receipts!$C1300)</f>
        <v/>
      </c>
      <c r="C1297" s="18" t="str">
        <f>IF($A1297="","",IFERROR(INDEX(Items!$B$5:$B$597,MATCH($A1297,Items!$A$5:$A$597,0)),""))</f>
        <v/>
      </c>
      <c r="D1297" s="23" t="str">
        <f>IF($A1297="","",N(Receipts!$G1300))</f>
        <v/>
      </c>
      <c r="E1297" s="20" t="str">
        <f>IF($A1297="","",IFERROR(INDEX(Items!$D$5:$D$597,MATCH($A1297,Items!$A$5:$A$597,0)),0))</f>
        <v/>
      </c>
      <c r="F1297" s="21" t="str">
        <f t="shared" si="100"/>
        <v/>
      </c>
      <c r="G1297" s="25" t="str">
        <f>IF(Receipts!$I1300="","",Receipts!$I1300)</f>
        <v/>
      </c>
      <c r="H1297" s="25" t="str">
        <f>IF(Receipts!$H1300="","",Receipts!$H1300)</f>
        <v/>
      </c>
      <c r="I1297" s="26" t="str">
        <f t="shared" ca="1" si="101"/>
        <v/>
      </c>
      <c r="J1297" s="26" t="str">
        <f>IF($A1297="","",COUNTIFS(tblReceipts[Item Name],$A1297,tblReceipts[Expiry Date],"&lt;"&amp;$H1297)+COUNTIFS(tblReceipts[Item Name],$A1297,tblReceipts[Expiry Date],$H1297,tblReceipts[Lot Number],"&lt;="&amp;Receipts!$C1300))</f>
        <v/>
      </c>
      <c r="K1297" s="26" t="str">
        <f>IF($A1297="","",SUMIFS(tblReceipts[Qty Received],tblReceipts[Item Name],$A1297,tblReceipts[Expiry Date],"&lt;"&amp;$H1297)+SUMIFS(tblReceipts[Qty Received],tblReceipts[Item Name],$A1297,tblReceipts[Expiry Date],$H1297,tblReceipts[Lot Number],"&lt;"&amp;Receipts!$C1300))</f>
        <v/>
      </c>
      <c r="L1297" s="26" t="str">
        <f>IF($A1297="","",MIN($D1297,MAX(0,SUMIFS(tblIssues[Qty Issued],tblIssues[Item Name],$A1297)-$K1297)))</f>
        <v/>
      </c>
      <c r="M1297" s="26" t="str">
        <f>IF($A1297="","",SUMIFS(tblIssues[Qty Issued],tblIssues[Lot Number],$B1297))</f>
        <v/>
      </c>
      <c r="N1297" s="26" t="str">
        <f t="shared" si="102"/>
        <v/>
      </c>
      <c r="O1297" s="26" t="str">
        <f t="shared" si="103"/>
        <v/>
      </c>
      <c r="P1297" s="21" t="str">
        <f t="shared" si="104"/>
        <v/>
      </c>
      <c r="Q1297" s="52" t="str">
        <f>IF($A1297="","",IF($O1297&lt;=0,"Depleted",IF($I1297&lt;0,"EXPIRED",IF($I1297&lt;=Settings!$C$6,"CRITICAL",IF($I1297&lt;=Settings!$C$5,"Expiring","In date")))))</f>
        <v/>
      </c>
    </row>
    <row r="1298" spans="1:17" x14ac:dyDescent="0.35">
      <c r="A1298" s="90" t="str">
        <f>IF(Receipts!$D1301="","",Receipts!$D1301)</f>
        <v/>
      </c>
      <c r="B1298" s="18" t="str">
        <f>IF(Receipts!$C1301="","",Receipts!$C1301)</f>
        <v/>
      </c>
      <c r="C1298" s="18" t="str">
        <f>IF($A1298="","",IFERROR(INDEX(Items!$B$5:$B$597,MATCH($A1298,Items!$A$5:$A$597,0)),""))</f>
        <v/>
      </c>
      <c r="D1298" s="23" t="str">
        <f>IF($A1298="","",N(Receipts!$G1301))</f>
        <v/>
      </c>
      <c r="E1298" s="20" t="str">
        <f>IF($A1298="","",IFERROR(INDEX(Items!$D$5:$D$597,MATCH($A1298,Items!$A$5:$A$597,0)),0))</f>
        <v/>
      </c>
      <c r="F1298" s="21" t="str">
        <f t="shared" si="100"/>
        <v/>
      </c>
      <c r="G1298" s="25" t="str">
        <f>IF(Receipts!$I1301="","",Receipts!$I1301)</f>
        <v/>
      </c>
      <c r="H1298" s="25" t="str">
        <f>IF(Receipts!$H1301="","",Receipts!$H1301)</f>
        <v/>
      </c>
      <c r="I1298" s="26" t="str">
        <f t="shared" ca="1" si="101"/>
        <v/>
      </c>
      <c r="J1298" s="26" t="str">
        <f>IF($A1298="","",COUNTIFS(tblReceipts[Item Name],$A1298,tblReceipts[Expiry Date],"&lt;"&amp;$H1298)+COUNTIFS(tblReceipts[Item Name],$A1298,tblReceipts[Expiry Date],$H1298,tblReceipts[Lot Number],"&lt;="&amp;Receipts!$C1301))</f>
        <v/>
      </c>
      <c r="K1298" s="26" t="str">
        <f>IF($A1298="","",SUMIFS(tblReceipts[Qty Received],tblReceipts[Item Name],$A1298,tblReceipts[Expiry Date],"&lt;"&amp;$H1298)+SUMIFS(tblReceipts[Qty Received],tblReceipts[Item Name],$A1298,tblReceipts[Expiry Date],$H1298,tblReceipts[Lot Number],"&lt;"&amp;Receipts!$C1301))</f>
        <v/>
      </c>
      <c r="L1298" s="26" t="str">
        <f>IF($A1298="","",MIN($D1298,MAX(0,SUMIFS(tblIssues[Qty Issued],tblIssues[Item Name],$A1298)-$K1298)))</f>
        <v/>
      </c>
      <c r="M1298" s="26" t="str">
        <f>IF($A1298="","",SUMIFS(tblIssues[Qty Issued],tblIssues[Lot Number],$B1298))</f>
        <v/>
      </c>
      <c r="N1298" s="26" t="str">
        <f t="shared" si="102"/>
        <v/>
      </c>
      <c r="O1298" s="26" t="str">
        <f t="shared" si="103"/>
        <v/>
      </c>
      <c r="P1298" s="21" t="str">
        <f t="shared" si="104"/>
        <v/>
      </c>
      <c r="Q1298" s="52" t="str">
        <f>IF($A1298="","",IF($O1298&lt;=0,"Depleted",IF($I1298&lt;0,"EXPIRED",IF($I1298&lt;=Settings!$C$6,"CRITICAL",IF($I1298&lt;=Settings!$C$5,"Expiring","In date")))))</f>
        <v/>
      </c>
    </row>
    <row r="1299" spans="1:17" x14ac:dyDescent="0.35">
      <c r="A1299" s="90" t="str">
        <f>IF(Receipts!$D1302="","",Receipts!$D1302)</f>
        <v/>
      </c>
      <c r="B1299" s="18" t="str">
        <f>IF(Receipts!$C1302="","",Receipts!$C1302)</f>
        <v/>
      </c>
      <c r="C1299" s="18" t="str">
        <f>IF($A1299="","",IFERROR(INDEX(Items!$B$5:$B$597,MATCH($A1299,Items!$A$5:$A$597,0)),""))</f>
        <v/>
      </c>
      <c r="D1299" s="23" t="str">
        <f>IF($A1299="","",N(Receipts!$G1302))</f>
        <v/>
      </c>
      <c r="E1299" s="20" t="str">
        <f>IF($A1299="","",IFERROR(INDEX(Items!$D$5:$D$597,MATCH($A1299,Items!$A$5:$A$597,0)),0))</f>
        <v/>
      </c>
      <c r="F1299" s="21" t="str">
        <f t="shared" si="100"/>
        <v/>
      </c>
      <c r="G1299" s="25" t="str">
        <f>IF(Receipts!$I1302="","",Receipts!$I1302)</f>
        <v/>
      </c>
      <c r="H1299" s="25" t="str">
        <f>IF(Receipts!$H1302="","",Receipts!$H1302)</f>
        <v/>
      </c>
      <c r="I1299" s="26" t="str">
        <f t="shared" ca="1" si="101"/>
        <v/>
      </c>
      <c r="J1299" s="26" t="str">
        <f>IF($A1299="","",COUNTIFS(tblReceipts[Item Name],$A1299,tblReceipts[Expiry Date],"&lt;"&amp;$H1299)+COUNTIFS(tblReceipts[Item Name],$A1299,tblReceipts[Expiry Date],$H1299,tblReceipts[Lot Number],"&lt;="&amp;Receipts!$C1302))</f>
        <v/>
      </c>
      <c r="K1299" s="26" t="str">
        <f>IF($A1299="","",SUMIFS(tblReceipts[Qty Received],tblReceipts[Item Name],$A1299,tblReceipts[Expiry Date],"&lt;"&amp;$H1299)+SUMIFS(tblReceipts[Qty Received],tblReceipts[Item Name],$A1299,tblReceipts[Expiry Date],$H1299,tblReceipts[Lot Number],"&lt;"&amp;Receipts!$C1302))</f>
        <v/>
      </c>
      <c r="L1299" s="26" t="str">
        <f>IF($A1299="","",MIN($D1299,MAX(0,SUMIFS(tblIssues[Qty Issued],tblIssues[Item Name],$A1299)-$K1299)))</f>
        <v/>
      </c>
      <c r="M1299" s="26" t="str">
        <f>IF($A1299="","",SUMIFS(tblIssues[Qty Issued],tblIssues[Lot Number],$B1299))</f>
        <v/>
      </c>
      <c r="N1299" s="26" t="str">
        <f t="shared" si="102"/>
        <v/>
      </c>
      <c r="O1299" s="26" t="str">
        <f t="shared" si="103"/>
        <v/>
      </c>
      <c r="P1299" s="21" t="str">
        <f t="shared" si="104"/>
        <v/>
      </c>
      <c r="Q1299" s="52" t="str">
        <f>IF($A1299="","",IF($O1299&lt;=0,"Depleted",IF($I1299&lt;0,"EXPIRED",IF($I1299&lt;=Settings!$C$6,"CRITICAL",IF($I1299&lt;=Settings!$C$5,"Expiring","In date")))))</f>
        <v/>
      </c>
    </row>
    <row r="1300" spans="1:17" x14ac:dyDescent="0.35">
      <c r="A1300" s="90" t="str">
        <f>IF(Receipts!$D1303="","",Receipts!$D1303)</f>
        <v/>
      </c>
      <c r="B1300" s="18" t="str">
        <f>IF(Receipts!$C1303="","",Receipts!$C1303)</f>
        <v/>
      </c>
      <c r="C1300" s="18" t="str">
        <f>IF($A1300="","",IFERROR(INDEX(Items!$B$5:$B$597,MATCH($A1300,Items!$A$5:$A$597,0)),""))</f>
        <v/>
      </c>
      <c r="D1300" s="23" t="str">
        <f>IF($A1300="","",N(Receipts!$G1303))</f>
        <v/>
      </c>
      <c r="E1300" s="20" t="str">
        <f>IF($A1300="","",IFERROR(INDEX(Items!$D$5:$D$597,MATCH($A1300,Items!$A$5:$A$597,0)),0))</f>
        <v/>
      </c>
      <c r="F1300" s="21" t="str">
        <f t="shared" si="100"/>
        <v/>
      </c>
      <c r="G1300" s="25" t="str">
        <f>IF(Receipts!$I1303="","",Receipts!$I1303)</f>
        <v/>
      </c>
      <c r="H1300" s="25" t="str">
        <f>IF(Receipts!$H1303="","",Receipts!$H1303)</f>
        <v/>
      </c>
      <c r="I1300" s="26" t="str">
        <f t="shared" ca="1" si="101"/>
        <v/>
      </c>
      <c r="J1300" s="26" t="str">
        <f>IF($A1300="","",COUNTIFS(tblReceipts[Item Name],$A1300,tblReceipts[Expiry Date],"&lt;"&amp;$H1300)+COUNTIFS(tblReceipts[Item Name],$A1300,tblReceipts[Expiry Date],$H1300,tblReceipts[Lot Number],"&lt;="&amp;Receipts!$C1303))</f>
        <v/>
      </c>
      <c r="K1300" s="26" t="str">
        <f>IF($A1300="","",SUMIFS(tblReceipts[Qty Received],tblReceipts[Item Name],$A1300,tblReceipts[Expiry Date],"&lt;"&amp;$H1300)+SUMIFS(tblReceipts[Qty Received],tblReceipts[Item Name],$A1300,tblReceipts[Expiry Date],$H1300,tblReceipts[Lot Number],"&lt;"&amp;Receipts!$C1303))</f>
        <v/>
      </c>
      <c r="L1300" s="26" t="str">
        <f>IF($A1300="","",MIN($D1300,MAX(0,SUMIFS(tblIssues[Qty Issued],tblIssues[Item Name],$A1300)-$K1300)))</f>
        <v/>
      </c>
      <c r="M1300" s="26" t="str">
        <f>IF($A1300="","",SUMIFS(tblIssues[Qty Issued],tblIssues[Lot Number],$B1300))</f>
        <v/>
      </c>
      <c r="N1300" s="26" t="str">
        <f t="shared" si="102"/>
        <v/>
      </c>
      <c r="O1300" s="26" t="str">
        <f t="shared" si="103"/>
        <v/>
      </c>
      <c r="P1300" s="21" t="str">
        <f t="shared" si="104"/>
        <v/>
      </c>
      <c r="Q1300" s="52" t="str">
        <f>IF($A1300="","",IF($O1300&lt;=0,"Depleted",IF($I1300&lt;0,"EXPIRED",IF($I1300&lt;=Settings!$C$6,"CRITICAL",IF($I1300&lt;=Settings!$C$5,"Expiring","In date")))))</f>
        <v/>
      </c>
    </row>
    <row r="1301" spans="1:17" x14ac:dyDescent="0.35">
      <c r="A1301" s="90" t="str">
        <f>IF(Receipts!$D1304="","",Receipts!$D1304)</f>
        <v/>
      </c>
      <c r="B1301" s="18" t="str">
        <f>IF(Receipts!$C1304="","",Receipts!$C1304)</f>
        <v/>
      </c>
      <c r="C1301" s="18" t="str">
        <f>IF($A1301="","",IFERROR(INDEX(Items!$B$5:$B$597,MATCH($A1301,Items!$A$5:$A$597,0)),""))</f>
        <v/>
      </c>
      <c r="D1301" s="23" t="str">
        <f>IF($A1301="","",N(Receipts!$G1304))</f>
        <v/>
      </c>
      <c r="E1301" s="20" t="str">
        <f>IF($A1301="","",IFERROR(INDEX(Items!$D$5:$D$597,MATCH($A1301,Items!$A$5:$A$597,0)),0))</f>
        <v/>
      </c>
      <c r="F1301" s="21" t="str">
        <f t="shared" si="100"/>
        <v/>
      </c>
      <c r="G1301" s="25" t="str">
        <f>IF(Receipts!$I1304="","",Receipts!$I1304)</f>
        <v/>
      </c>
      <c r="H1301" s="25" t="str">
        <f>IF(Receipts!$H1304="","",Receipts!$H1304)</f>
        <v/>
      </c>
      <c r="I1301" s="26" t="str">
        <f t="shared" ca="1" si="101"/>
        <v/>
      </c>
      <c r="J1301" s="26" t="str">
        <f>IF($A1301="","",COUNTIFS(tblReceipts[Item Name],$A1301,tblReceipts[Expiry Date],"&lt;"&amp;$H1301)+COUNTIFS(tblReceipts[Item Name],$A1301,tblReceipts[Expiry Date],$H1301,tblReceipts[Lot Number],"&lt;="&amp;Receipts!$C1304))</f>
        <v/>
      </c>
      <c r="K1301" s="26" t="str">
        <f>IF($A1301="","",SUMIFS(tblReceipts[Qty Received],tblReceipts[Item Name],$A1301,tblReceipts[Expiry Date],"&lt;"&amp;$H1301)+SUMIFS(tblReceipts[Qty Received],tblReceipts[Item Name],$A1301,tblReceipts[Expiry Date],$H1301,tblReceipts[Lot Number],"&lt;"&amp;Receipts!$C1304))</f>
        <v/>
      </c>
      <c r="L1301" s="26" t="str">
        <f>IF($A1301="","",MIN($D1301,MAX(0,SUMIFS(tblIssues[Qty Issued],tblIssues[Item Name],$A1301)-$K1301)))</f>
        <v/>
      </c>
      <c r="M1301" s="26" t="str">
        <f>IF($A1301="","",SUMIFS(tblIssues[Qty Issued],tblIssues[Lot Number],$B1301))</f>
        <v/>
      </c>
      <c r="N1301" s="26" t="str">
        <f t="shared" si="102"/>
        <v/>
      </c>
      <c r="O1301" s="26" t="str">
        <f t="shared" si="103"/>
        <v/>
      </c>
      <c r="P1301" s="21" t="str">
        <f t="shared" si="104"/>
        <v/>
      </c>
      <c r="Q1301" s="52" t="str">
        <f>IF($A1301="","",IF($O1301&lt;=0,"Depleted",IF($I1301&lt;0,"EXPIRED",IF($I1301&lt;=Settings!$C$6,"CRITICAL",IF($I1301&lt;=Settings!$C$5,"Expiring","In date")))))</f>
        <v/>
      </c>
    </row>
    <row r="1302" spans="1:17" x14ac:dyDescent="0.35">
      <c r="A1302" s="90" t="str">
        <f>IF(Receipts!$D1305="","",Receipts!$D1305)</f>
        <v/>
      </c>
      <c r="B1302" s="18" t="str">
        <f>IF(Receipts!$C1305="","",Receipts!$C1305)</f>
        <v/>
      </c>
      <c r="C1302" s="18" t="str">
        <f>IF($A1302="","",IFERROR(INDEX(Items!$B$5:$B$597,MATCH($A1302,Items!$A$5:$A$597,0)),""))</f>
        <v/>
      </c>
      <c r="D1302" s="23" t="str">
        <f>IF($A1302="","",N(Receipts!$G1305))</f>
        <v/>
      </c>
      <c r="E1302" s="20" t="str">
        <f>IF($A1302="","",IFERROR(INDEX(Items!$D$5:$D$597,MATCH($A1302,Items!$A$5:$A$597,0)),0))</f>
        <v/>
      </c>
      <c r="F1302" s="21" t="str">
        <f t="shared" si="100"/>
        <v/>
      </c>
      <c r="G1302" s="25" t="str">
        <f>IF(Receipts!$I1305="","",Receipts!$I1305)</f>
        <v/>
      </c>
      <c r="H1302" s="25" t="str">
        <f>IF(Receipts!$H1305="","",Receipts!$H1305)</f>
        <v/>
      </c>
      <c r="I1302" s="26" t="str">
        <f t="shared" ca="1" si="101"/>
        <v/>
      </c>
      <c r="J1302" s="26" t="str">
        <f>IF($A1302="","",COUNTIFS(tblReceipts[Item Name],$A1302,tblReceipts[Expiry Date],"&lt;"&amp;$H1302)+COUNTIFS(tblReceipts[Item Name],$A1302,tblReceipts[Expiry Date],$H1302,tblReceipts[Lot Number],"&lt;="&amp;Receipts!$C1305))</f>
        <v/>
      </c>
      <c r="K1302" s="26" t="str">
        <f>IF($A1302="","",SUMIFS(tblReceipts[Qty Received],tblReceipts[Item Name],$A1302,tblReceipts[Expiry Date],"&lt;"&amp;$H1302)+SUMIFS(tblReceipts[Qty Received],tblReceipts[Item Name],$A1302,tblReceipts[Expiry Date],$H1302,tblReceipts[Lot Number],"&lt;"&amp;Receipts!$C1305))</f>
        <v/>
      </c>
      <c r="L1302" s="26" t="str">
        <f>IF($A1302="","",MIN($D1302,MAX(0,SUMIFS(tblIssues[Qty Issued],tblIssues[Item Name],$A1302)-$K1302)))</f>
        <v/>
      </c>
      <c r="M1302" s="26" t="str">
        <f>IF($A1302="","",SUMIFS(tblIssues[Qty Issued],tblIssues[Lot Number],$B1302))</f>
        <v/>
      </c>
      <c r="N1302" s="26" t="str">
        <f t="shared" si="102"/>
        <v/>
      </c>
      <c r="O1302" s="26" t="str">
        <f t="shared" si="103"/>
        <v/>
      </c>
      <c r="P1302" s="21" t="str">
        <f t="shared" si="104"/>
        <v/>
      </c>
      <c r="Q1302" s="52" t="str">
        <f>IF($A1302="","",IF($O1302&lt;=0,"Depleted",IF($I1302&lt;0,"EXPIRED",IF($I1302&lt;=Settings!$C$6,"CRITICAL",IF($I1302&lt;=Settings!$C$5,"Expiring","In date")))))</f>
        <v/>
      </c>
    </row>
    <row r="1303" spans="1:17" x14ac:dyDescent="0.35">
      <c r="A1303" s="90" t="str">
        <f>IF(Receipts!$D1306="","",Receipts!$D1306)</f>
        <v/>
      </c>
      <c r="B1303" s="18" t="str">
        <f>IF(Receipts!$C1306="","",Receipts!$C1306)</f>
        <v/>
      </c>
      <c r="C1303" s="18" t="str">
        <f>IF($A1303="","",IFERROR(INDEX(Items!$B$5:$B$597,MATCH($A1303,Items!$A$5:$A$597,0)),""))</f>
        <v/>
      </c>
      <c r="D1303" s="23" t="str">
        <f>IF($A1303="","",N(Receipts!$G1306))</f>
        <v/>
      </c>
      <c r="E1303" s="20" t="str">
        <f>IF($A1303="","",IFERROR(INDEX(Items!$D$5:$D$597,MATCH($A1303,Items!$A$5:$A$597,0)),0))</f>
        <v/>
      </c>
      <c r="F1303" s="21" t="str">
        <f t="shared" si="100"/>
        <v/>
      </c>
      <c r="G1303" s="25" t="str">
        <f>IF(Receipts!$I1306="","",Receipts!$I1306)</f>
        <v/>
      </c>
      <c r="H1303" s="25" t="str">
        <f>IF(Receipts!$H1306="","",Receipts!$H1306)</f>
        <v/>
      </c>
      <c r="I1303" s="26" t="str">
        <f t="shared" ca="1" si="101"/>
        <v/>
      </c>
      <c r="J1303" s="26" t="str">
        <f>IF($A1303="","",COUNTIFS(tblReceipts[Item Name],$A1303,tblReceipts[Expiry Date],"&lt;"&amp;$H1303)+COUNTIFS(tblReceipts[Item Name],$A1303,tblReceipts[Expiry Date],$H1303,tblReceipts[Lot Number],"&lt;="&amp;Receipts!$C1306))</f>
        <v/>
      </c>
      <c r="K1303" s="26" t="str">
        <f>IF($A1303="","",SUMIFS(tblReceipts[Qty Received],tblReceipts[Item Name],$A1303,tblReceipts[Expiry Date],"&lt;"&amp;$H1303)+SUMIFS(tblReceipts[Qty Received],tblReceipts[Item Name],$A1303,tblReceipts[Expiry Date],$H1303,tblReceipts[Lot Number],"&lt;"&amp;Receipts!$C1306))</f>
        <v/>
      </c>
      <c r="L1303" s="26" t="str">
        <f>IF($A1303="","",MIN($D1303,MAX(0,SUMIFS(tblIssues[Qty Issued],tblIssues[Item Name],$A1303)-$K1303)))</f>
        <v/>
      </c>
      <c r="M1303" s="26" t="str">
        <f>IF($A1303="","",SUMIFS(tblIssues[Qty Issued],tblIssues[Lot Number],$B1303))</f>
        <v/>
      </c>
      <c r="N1303" s="26" t="str">
        <f t="shared" si="102"/>
        <v/>
      </c>
      <c r="O1303" s="26" t="str">
        <f t="shared" si="103"/>
        <v/>
      </c>
      <c r="P1303" s="21" t="str">
        <f t="shared" si="104"/>
        <v/>
      </c>
      <c r="Q1303" s="52" t="str">
        <f>IF($A1303="","",IF($O1303&lt;=0,"Depleted",IF($I1303&lt;0,"EXPIRED",IF($I1303&lt;=Settings!$C$6,"CRITICAL",IF($I1303&lt;=Settings!$C$5,"Expiring","In date")))))</f>
        <v/>
      </c>
    </row>
    <row r="1304" spans="1:17" x14ac:dyDescent="0.35">
      <c r="A1304" s="90" t="str">
        <f>IF(Receipts!$D1307="","",Receipts!$D1307)</f>
        <v/>
      </c>
      <c r="B1304" s="18" t="str">
        <f>IF(Receipts!$C1307="","",Receipts!$C1307)</f>
        <v/>
      </c>
      <c r="C1304" s="18" t="str">
        <f>IF($A1304="","",IFERROR(INDEX(Items!$B$5:$B$597,MATCH($A1304,Items!$A$5:$A$597,0)),""))</f>
        <v/>
      </c>
      <c r="D1304" s="23" t="str">
        <f>IF($A1304="","",N(Receipts!$G1307))</f>
        <v/>
      </c>
      <c r="E1304" s="20" t="str">
        <f>IF($A1304="","",IFERROR(INDEX(Items!$D$5:$D$597,MATCH($A1304,Items!$A$5:$A$597,0)),0))</f>
        <v/>
      </c>
      <c r="F1304" s="21" t="str">
        <f t="shared" si="100"/>
        <v/>
      </c>
      <c r="G1304" s="25" t="str">
        <f>IF(Receipts!$I1307="","",Receipts!$I1307)</f>
        <v/>
      </c>
      <c r="H1304" s="25" t="str">
        <f>IF(Receipts!$H1307="","",Receipts!$H1307)</f>
        <v/>
      </c>
      <c r="I1304" s="26" t="str">
        <f t="shared" ca="1" si="101"/>
        <v/>
      </c>
      <c r="J1304" s="26" t="str">
        <f>IF($A1304="","",COUNTIFS(tblReceipts[Item Name],$A1304,tblReceipts[Expiry Date],"&lt;"&amp;$H1304)+COUNTIFS(tblReceipts[Item Name],$A1304,tblReceipts[Expiry Date],$H1304,tblReceipts[Lot Number],"&lt;="&amp;Receipts!$C1307))</f>
        <v/>
      </c>
      <c r="K1304" s="26" t="str">
        <f>IF($A1304="","",SUMIFS(tblReceipts[Qty Received],tblReceipts[Item Name],$A1304,tblReceipts[Expiry Date],"&lt;"&amp;$H1304)+SUMIFS(tblReceipts[Qty Received],tblReceipts[Item Name],$A1304,tblReceipts[Expiry Date],$H1304,tblReceipts[Lot Number],"&lt;"&amp;Receipts!$C1307))</f>
        <v/>
      </c>
      <c r="L1304" s="26" t="str">
        <f>IF($A1304="","",MIN($D1304,MAX(0,SUMIFS(tblIssues[Qty Issued],tblIssues[Item Name],$A1304)-$K1304)))</f>
        <v/>
      </c>
      <c r="M1304" s="26" t="str">
        <f>IF($A1304="","",SUMIFS(tblIssues[Qty Issued],tblIssues[Lot Number],$B1304))</f>
        <v/>
      </c>
      <c r="N1304" s="26" t="str">
        <f t="shared" si="102"/>
        <v/>
      </c>
      <c r="O1304" s="26" t="str">
        <f t="shared" si="103"/>
        <v/>
      </c>
      <c r="P1304" s="21" t="str">
        <f t="shared" si="104"/>
        <v/>
      </c>
      <c r="Q1304" s="52" t="str">
        <f>IF($A1304="","",IF($O1304&lt;=0,"Depleted",IF($I1304&lt;0,"EXPIRED",IF($I1304&lt;=Settings!$C$6,"CRITICAL",IF($I1304&lt;=Settings!$C$5,"Expiring","In date")))))</f>
        <v/>
      </c>
    </row>
    <row r="1305" spans="1:17" x14ac:dyDescent="0.35">
      <c r="A1305" s="90" t="str">
        <f>IF(Receipts!$D1308="","",Receipts!$D1308)</f>
        <v/>
      </c>
      <c r="B1305" s="18" t="str">
        <f>IF(Receipts!$C1308="","",Receipts!$C1308)</f>
        <v/>
      </c>
      <c r="C1305" s="18" t="str">
        <f>IF($A1305="","",IFERROR(INDEX(Items!$B$5:$B$597,MATCH($A1305,Items!$A$5:$A$597,0)),""))</f>
        <v/>
      </c>
      <c r="D1305" s="23" t="str">
        <f>IF($A1305="","",N(Receipts!$G1308))</f>
        <v/>
      </c>
      <c r="E1305" s="20" t="str">
        <f>IF($A1305="","",IFERROR(INDEX(Items!$D$5:$D$597,MATCH($A1305,Items!$A$5:$A$597,0)),0))</f>
        <v/>
      </c>
      <c r="F1305" s="21" t="str">
        <f t="shared" si="100"/>
        <v/>
      </c>
      <c r="G1305" s="25" t="str">
        <f>IF(Receipts!$I1308="","",Receipts!$I1308)</f>
        <v/>
      </c>
      <c r="H1305" s="25" t="str">
        <f>IF(Receipts!$H1308="","",Receipts!$H1308)</f>
        <v/>
      </c>
      <c r="I1305" s="26" t="str">
        <f t="shared" ca="1" si="101"/>
        <v/>
      </c>
      <c r="J1305" s="26" t="str">
        <f>IF($A1305="","",COUNTIFS(tblReceipts[Item Name],$A1305,tblReceipts[Expiry Date],"&lt;"&amp;$H1305)+COUNTIFS(tblReceipts[Item Name],$A1305,tblReceipts[Expiry Date],$H1305,tblReceipts[Lot Number],"&lt;="&amp;Receipts!$C1308))</f>
        <v/>
      </c>
      <c r="K1305" s="26" t="str">
        <f>IF($A1305="","",SUMIFS(tblReceipts[Qty Received],tblReceipts[Item Name],$A1305,tblReceipts[Expiry Date],"&lt;"&amp;$H1305)+SUMIFS(tblReceipts[Qty Received],tblReceipts[Item Name],$A1305,tblReceipts[Expiry Date],$H1305,tblReceipts[Lot Number],"&lt;"&amp;Receipts!$C1308))</f>
        <v/>
      </c>
      <c r="L1305" s="26" t="str">
        <f>IF($A1305="","",MIN($D1305,MAX(0,SUMIFS(tblIssues[Qty Issued],tblIssues[Item Name],$A1305)-$K1305)))</f>
        <v/>
      </c>
      <c r="M1305" s="26" t="str">
        <f>IF($A1305="","",SUMIFS(tblIssues[Qty Issued],tblIssues[Lot Number],$B1305))</f>
        <v/>
      </c>
      <c r="N1305" s="26" t="str">
        <f t="shared" si="102"/>
        <v/>
      </c>
      <c r="O1305" s="26" t="str">
        <f t="shared" si="103"/>
        <v/>
      </c>
      <c r="P1305" s="21" t="str">
        <f t="shared" si="104"/>
        <v/>
      </c>
      <c r="Q1305" s="52" t="str">
        <f>IF($A1305="","",IF($O1305&lt;=0,"Depleted",IF($I1305&lt;0,"EXPIRED",IF($I1305&lt;=Settings!$C$6,"CRITICAL",IF($I1305&lt;=Settings!$C$5,"Expiring","In date")))))</f>
        <v/>
      </c>
    </row>
    <row r="1306" spans="1:17" x14ac:dyDescent="0.35">
      <c r="A1306" s="90" t="str">
        <f>IF(Receipts!$D1309="","",Receipts!$D1309)</f>
        <v/>
      </c>
      <c r="B1306" s="18" t="str">
        <f>IF(Receipts!$C1309="","",Receipts!$C1309)</f>
        <v/>
      </c>
      <c r="C1306" s="18" t="str">
        <f>IF($A1306="","",IFERROR(INDEX(Items!$B$5:$B$597,MATCH($A1306,Items!$A$5:$A$597,0)),""))</f>
        <v/>
      </c>
      <c r="D1306" s="23" t="str">
        <f>IF($A1306="","",N(Receipts!$G1309))</f>
        <v/>
      </c>
      <c r="E1306" s="20" t="str">
        <f>IF($A1306="","",IFERROR(INDEX(Items!$D$5:$D$597,MATCH($A1306,Items!$A$5:$A$597,0)),0))</f>
        <v/>
      </c>
      <c r="F1306" s="21" t="str">
        <f t="shared" si="100"/>
        <v/>
      </c>
      <c r="G1306" s="25" t="str">
        <f>IF(Receipts!$I1309="","",Receipts!$I1309)</f>
        <v/>
      </c>
      <c r="H1306" s="25" t="str">
        <f>IF(Receipts!$H1309="","",Receipts!$H1309)</f>
        <v/>
      </c>
      <c r="I1306" s="26" t="str">
        <f t="shared" ca="1" si="101"/>
        <v/>
      </c>
      <c r="J1306" s="26" t="str">
        <f>IF($A1306="","",COUNTIFS(tblReceipts[Item Name],$A1306,tblReceipts[Expiry Date],"&lt;"&amp;$H1306)+COUNTIFS(tblReceipts[Item Name],$A1306,tblReceipts[Expiry Date],$H1306,tblReceipts[Lot Number],"&lt;="&amp;Receipts!$C1309))</f>
        <v/>
      </c>
      <c r="K1306" s="26" t="str">
        <f>IF($A1306="","",SUMIFS(tblReceipts[Qty Received],tblReceipts[Item Name],$A1306,tblReceipts[Expiry Date],"&lt;"&amp;$H1306)+SUMIFS(tblReceipts[Qty Received],tblReceipts[Item Name],$A1306,tblReceipts[Expiry Date],$H1306,tblReceipts[Lot Number],"&lt;"&amp;Receipts!$C1309))</f>
        <v/>
      </c>
      <c r="L1306" s="26" t="str">
        <f>IF($A1306="","",MIN($D1306,MAX(0,SUMIFS(tblIssues[Qty Issued],tblIssues[Item Name],$A1306)-$K1306)))</f>
        <v/>
      </c>
      <c r="M1306" s="26" t="str">
        <f>IF($A1306="","",SUMIFS(tblIssues[Qty Issued],tblIssues[Lot Number],$B1306))</f>
        <v/>
      </c>
      <c r="N1306" s="26" t="str">
        <f t="shared" si="102"/>
        <v/>
      </c>
      <c r="O1306" s="26" t="str">
        <f t="shared" si="103"/>
        <v/>
      </c>
      <c r="P1306" s="21" t="str">
        <f t="shared" si="104"/>
        <v/>
      </c>
      <c r="Q1306" s="52" t="str">
        <f>IF($A1306="","",IF($O1306&lt;=0,"Depleted",IF($I1306&lt;0,"EXPIRED",IF($I1306&lt;=Settings!$C$6,"CRITICAL",IF($I1306&lt;=Settings!$C$5,"Expiring","In date")))))</f>
        <v/>
      </c>
    </row>
    <row r="1307" spans="1:17" x14ac:dyDescent="0.35">
      <c r="A1307" s="90" t="str">
        <f>IF(Receipts!$D1310="","",Receipts!$D1310)</f>
        <v/>
      </c>
      <c r="B1307" s="18" t="str">
        <f>IF(Receipts!$C1310="","",Receipts!$C1310)</f>
        <v/>
      </c>
      <c r="C1307" s="18" t="str">
        <f>IF($A1307="","",IFERROR(INDEX(Items!$B$5:$B$597,MATCH($A1307,Items!$A$5:$A$597,0)),""))</f>
        <v/>
      </c>
      <c r="D1307" s="23" t="str">
        <f>IF($A1307="","",N(Receipts!$G1310))</f>
        <v/>
      </c>
      <c r="E1307" s="20" t="str">
        <f>IF($A1307="","",IFERROR(INDEX(Items!$D$5:$D$597,MATCH($A1307,Items!$A$5:$A$597,0)),0))</f>
        <v/>
      </c>
      <c r="F1307" s="21" t="str">
        <f t="shared" si="100"/>
        <v/>
      </c>
      <c r="G1307" s="25" t="str">
        <f>IF(Receipts!$I1310="","",Receipts!$I1310)</f>
        <v/>
      </c>
      <c r="H1307" s="25" t="str">
        <f>IF(Receipts!$H1310="","",Receipts!$H1310)</f>
        <v/>
      </c>
      <c r="I1307" s="26" t="str">
        <f t="shared" ca="1" si="101"/>
        <v/>
      </c>
      <c r="J1307" s="26" t="str">
        <f>IF($A1307="","",COUNTIFS(tblReceipts[Item Name],$A1307,tblReceipts[Expiry Date],"&lt;"&amp;$H1307)+COUNTIFS(tblReceipts[Item Name],$A1307,tblReceipts[Expiry Date],$H1307,tblReceipts[Lot Number],"&lt;="&amp;Receipts!$C1310))</f>
        <v/>
      </c>
      <c r="K1307" s="26" t="str">
        <f>IF($A1307="","",SUMIFS(tblReceipts[Qty Received],tblReceipts[Item Name],$A1307,tblReceipts[Expiry Date],"&lt;"&amp;$H1307)+SUMIFS(tblReceipts[Qty Received],tblReceipts[Item Name],$A1307,tblReceipts[Expiry Date],$H1307,tblReceipts[Lot Number],"&lt;"&amp;Receipts!$C1310))</f>
        <v/>
      </c>
      <c r="L1307" s="26" t="str">
        <f>IF($A1307="","",MIN($D1307,MAX(0,SUMIFS(tblIssues[Qty Issued],tblIssues[Item Name],$A1307)-$K1307)))</f>
        <v/>
      </c>
      <c r="M1307" s="26" t="str">
        <f>IF($A1307="","",SUMIFS(tblIssues[Qty Issued],tblIssues[Lot Number],$B1307))</f>
        <v/>
      </c>
      <c r="N1307" s="26" t="str">
        <f t="shared" si="102"/>
        <v/>
      </c>
      <c r="O1307" s="26" t="str">
        <f t="shared" si="103"/>
        <v/>
      </c>
      <c r="P1307" s="21" t="str">
        <f t="shared" si="104"/>
        <v/>
      </c>
      <c r="Q1307" s="52" t="str">
        <f>IF($A1307="","",IF($O1307&lt;=0,"Depleted",IF($I1307&lt;0,"EXPIRED",IF($I1307&lt;=Settings!$C$6,"CRITICAL",IF($I1307&lt;=Settings!$C$5,"Expiring","In date")))))</f>
        <v/>
      </c>
    </row>
    <row r="1308" spans="1:17" x14ac:dyDescent="0.35">
      <c r="A1308" s="90" t="str">
        <f>IF(Receipts!$D1311="","",Receipts!$D1311)</f>
        <v/>
      </c>
      <c r="B1308" s="18" t="str">
        <f>IF(Receipts!$C1311="","",Receipts!$C1311)</f>
        <v/>
      </c>
      <c r="C1308" s="18" t="str">
        <f>IF($A1308="","",IFERROR(INDEX(Items!$B$5:$B$597,MATCH($A1308,Items!$A$5:$A$597,0)),""))</f>
        <v/>
      </c>
      <c r="D1308" s="23" t="str">
        <f>IF($A1308="","",N(Receipts!$G1311))</f>
        <v/>
      </c>
      <c r="E1308" s="20" t="str">
        <f>IF($A1308="","",IFERROR(INDEX(Items!$D$5:$D$597,MATCH($A1308,Items!$A$5:$A$597,0)),0))</f>
        <v/>
      </c>
      <c r="F1308" s="21" t="str">
        <f t="shared" si="100"/>
        <v/>
      </c>
      <c r="G1308" s="25" t="str">
        <f>IF(Receipts!$I1311="","",Receipts!$I1311)</f>
        <v/>
      </c>
      <c r="H1308" s="25" t="str">
        <f>IF(Receipts!$H1311="","",Receipts!$H1311)</f>
        <v/>
      </c>
      <c r="I1308" s="26" t="str">
        <f t="shared" ca="1" si="101"/>
        <v/>
      </c>
      <c r="J1308" s="26" t="str">
        <f>IF($A1308="","",COUNTIFS(tblReceipts[Item Name],$A1308,tblReceipts[Expiry Date],"&lt;"&amp;$H1308)+COUNTIFS(tblReceipts[Item Name],$A1308,tblReceipts[Expiry Date],$H1308,tblReceipts[Lot Number],"&lt;="&amp;Receipts!$C1311))</f>
        <v/>
      </c>
      <c r="K1308" s="26" t="str">
        <f>IF($A1308="","",SUMIFS(tblReceipts[Qty Received],tblReceipts[Item Name],$A1308,tblReceipts[Expiry Date],"&lt;"&amp;$H1308)+SUMIFS(tblReceipts[Qty Received],tblReceipts[Item Name],$A1308,tblReceipts[Expiry Date],$H1308,tblReceipts[Lot Number],"&lt;"&amp;Receipts!$C1311))</f>
        <v/>
      </c>
      <c r="L1308" s="26" t="str">
        <f>IF($A1308="","",MIN($D1308,MAX(0,SUMIFS(tblIssues[Qty Issued],tblIssues[Item Name],$A1308)-$K1308)))</f>
        <v/>
      </c>
      <c r="M1308" s="26" t="str">
        <f>IF($A1308="","",SUMIFS(tblIssues[Qty Issued],tblIssues[Lot Number],$B1308))</f>
        <v/>
      </c>
      <c r="N1308" s="26" t="str">
        <f t="shared" si="102"/>
        <v/>
      </c>
      <c r="O1308" s="26" t="str">
        <f t="shared" si="103"/>
        <v/>
      </c>
      <c r="P1308" s="21" t="str">
        <f t="shared" si="104"/>
        <v/>
      </c>
      <c r="Q1308" s="52" t="str">
        <f>IF($A1308="","",IF($O1308&lt;=0,"Depleted",IF($I1308&lt;0,"EXPIRED",IF($I1308&lt;=Settings!$C$6,"CRITICAL",IF($I1308&lt;=Settings!$C$5,"Expiring","In date")))))</f>
        <v/>
      </c>
    </row>
    <row r="1309" spans="1:17" x14ac:dyDescent="0.35">
      <c r="A1309" s="90" t="str">
        <f>IF(Receipts!$D1312="","",Receipts!$D1312)</f>
        <v/>
      </c>
      <c r="B1309" s="18" t="str">
        <f>IF(Receipts!$C1312="","",Receipts!$C1312)</f>
        <v/>
      </c>
      <c r="C1309" s="18" t="str">
        <f>IF($A1309="","",IFERROR(INDEX(Items!$B$5:$B$597,MATCH($A1309,Items!$A$5:$A$597,0)),""))</f>
        <v/>
      </c>
      <c r="D1309" s="23" t="str">
        <f>IF($A1309="","",N(Receipts!$G1312))</f>
        <v/>
      </c>
      <c r="E1309" s="20" t="str">
        <f>IF($A1309="","",IFERROR(INDEX(Items!$D$5:$D$597,MATCH($A1309,Items!$A$5:$A$597,0)),0))</f>
        <v/>
      </c>
      <c r="F1309" s="21" t="str">
        <f t="shared" si="100"/>
        <v/>
      </c>
      <c r="G1309" s="25" t="str">
        <f>IF(Receipts!$I1312="","",Receipts!$I1312)</f>
        <v/>
      </c>
      <c r="H1309" s="25" t="str">
        <f>IF(Receipts!$H1312="","",Receipts!$H1312)</f>
        <v/>
      </c>
      <c r="I1309" s="26" t="str">
        <f t="shared" ca="1" si="101"/>
        <v/>
      </c>
      <c r="J1309" s="26" t="str">
        <f>IF($A1309="","",COUNTIFS(tblReceipts[Item Name],$A1309,tblReceipts[Expiry Date],"&lt;"&amp;$H1309)+COUNTIFS(tblReceipts[Item Name],$A1309,tblReceipts[Expiry Date],$H1309,tblReceipts[Lot Number],"&lt;="&amp;Receipts!$C1312))</f>
        <v/>
      </c>
      <c r="K1309" s="26" t="str">
        <f>IF($A1309="","",SUMIFS(tblReceipts[Qty Received],tblReceipts[Item Name],$A1309,tblReceipts[Expiry Date],"&lt;"&amp;$H1309)+SUMIFS(tblReceipts[Qty Received],tblReceipts[Item Name],$A1309,tblReceipts[Expiry Date],$H1309,tblReceipts[Lot Number],"&lt;"&amp;Receipts!$C1312))</f>
        <v/>
      </c>
      <c r="L1309" s="26" t="str">
        <f>IF($A1309="","",MIN($D1309,MAX(0,SUMIFS(tblIssues[Qty Issued],tblIssues[Item Name],$A1309)-$K1309)))</f>
        <v/>
      </c>
      <c r="M1309" s="26" t="str">
        <f>IF($A1309="","",SUMIFS(tblIssues[Qty Issued],tblIssues[Lot Number],$B1309))</f>
        <v/>
      </c>
      <c r="N1309" s="26" t="str">
        <f t="shared" si="102"/>
        <v/>
      </c>
      <c r="O1309" s="26" t="str">
        <f t="shared" si="103"/>
        <v/>
      </c>
      <c r="P1309" s="21" t="str">
        <f t="shared" si="104"/>
        <v/>
      </c>
      <c r="Q1309" s="52" t="str">
        <f>IF($A1309="","",IF($O1309&lt;=0,"Depleted",IF($I1309&lt;0,"EXPIRED",IF($I1309&lt;=Settings!$C$6,"CRITICAL",IF($I1309&lt;=Settings!$C$5,"Expiring","In date")))))</f>
        <v/>
      </c>
    </row>
    <row r="1310" spans="1:17" x14ac:dyDescent="0.35">
      <c r="A1310" s="90" t="str">
        <f>IF(Receipts!$D1313="","",Receipts!$D1313)</f>
        <v/>
      </c>
      <c r="B1310" s="18" t="str">
        <f>IF(Receipts!$C1313="","",Receipts!$C1313)</f>
        <v/>
      </c>
      <c r="C1310" s="18" t="str">
        <f>IF($A1310="","",IFERROR(INDEX(Items!$B$5:$B$597,MATCH($A1310,Items!$A$5:$A$597,0)),""))</f>
        <v/>
      </c>
      <c r="D1310" s="23" t="str">
        <f>IF($A1310="","",N(Receipts!$G1313))</f>
        <v/>
      </c>
      <c r="E1310" s="20" t="str">
        <f>IF($A1310="","",IFERROR(INDEX(Items!$D$5:$D$597,MATCH($A1310,Items!$A$5:$A$597,0)),0))</f>
        <v/>
      </c>
      <c r="F1310" s="21" t="str">
        <f t="shared" si="100"/>
        <v/>
      </c>
      <c r="G1310" s="25" t="str">
        <f>IF(Receipts!$I1313="","",Receipts!$I1313)</f>
        <v/>
      </c>
      <c r="H1310" s="25" t="str">
        <f>IF(Receipts!$H1313="","",Receipts!$H1313)</f>
        <v/>
      </c>
      <c r="I1310" s="26" t="str">
        <f t="shared" ca="1" si="101"/>
        <v/>
      </c>
      <c r="J1310" s="26" t="str">
        <f>IF($A1310="","",COUNTIFS(tblReceipts[Item Name],$A1310,tblReceipts[Expiry Date],"&lt;"&amp;$H1310)+COUNTIFS(tblReceipts[Item Name],$A1310,tblReceipts[Expiry Date],$H1310,tblReceipts[Lot Number],"&lt;="&amp;Receipts!$C1313))</f>
        <v/>
      </c>
      <c r="K1310" s="26" t="str">
        <f>IF($A1310="","",SUMIFS(tblReceipts[Qty Received],tblReceipts[Item Name],$A1310,tblReceipts[Expiry Date],"&lt;"&amp;$H1310)+SUMIFS(tblReceipts[Qty Received],tblReceipts[Item Name],$A1310,tblReceipts[Expiry Date],$H1310,tblReceipts[Lot Number],"&lt;"&amp;Receipts!$C1313))</f>
        <v/>
      </c>
      <c r="L1310" s="26" t="str">
        <f>IF($A1310="","",MIN($D1310,MAX(0,SUMIFS(tblIssues[Qty Issued],tblIssues[Item Name],$A1310)-$K1310)))</f>
        <v/>
      </c>
      <c r="M1310" s="26" t="str">
        <f>IF($A1310="","",SUMIFS(tblIssues[Qty Issued],tblIssues[Lot Number],$B1310))</f>
        <v/>
      </c>
      <c r="N1310" s="26" t="str">
        <f t="shared" si="102"/>
        <v/>
      </c>
      <c r="O1310" s="26" t="str">
        <f t="shared" si="103"/>
        <v/>
      </c>
      <c r="P1310" s="21" t="str">
        <f t="shared" si="104"/>
        <v/>
      </c>
      <c r="Q1310" s="52" t="str">
        <f>IF($A1310="","",IF($O1310&lt;=0,"Depleted",IF($I1310&lt;0,"EXPIRED",IF($I1310&lt;=Settings!$C$6,"CRITICAL",IF($I1310&lt;=Settings!$C$5,"Expiring","In date")))))</f>
        <v/>
      </c>
    </row>
    <row r="1311" spans="1:17" x14ac:dyDescent="0.35">
      <c r="A1311" s="90" t="str">
        <f>IF(Receipts!$D1314="","",Receipts!$D1314)</f>
        <v/>
      </c>
      <c r="B1311" s="18" t="str">
        <f>IF(Receipts!$C1314="","",Receipts!$C1314)</f>
        <v/>
      </c>
      <c r="C1311" s="18" t="str">
        <f>IF($A1311="","",IFERROR(INDEX(Items!$B$5:$B$597,MATCH($A1311,Items!$A$5:$A$597,0)),""))</f>
        <v/>
      </c>
      <c r="D1311" s="23" t="str">
        <f>IF($A1311="","",N(Receipts!$G1314))</f>
        <v/>
      </c>
      <c r="E1311" s="20" t="str">
        <f>IF($A1311="","",IFERROR(INDEX(Items!$D$5:$D$597,MATCH($A1311,Items!$A$5:$A$597,0)),0))</f>
        <v/>
      </c>
      <c r="F1311" s="21" t="str">
        <f t="shared" si="100"/>
        <v/>
      </c>
      <c r="G1311" s="25" t="str">
        <f>IF(Receipts!$I1314="","",Receipts!$I1314)</f>
        <v/>
      </c>
      <c r="H1311" s="25" t="str">
        <f>IF(Receipts!$H1314="","",Receipts!$H1314)</f>
        <v/>
      </c>
      <c r="I1311" s="26" t="str">
        <f t="shared" ca="1" si="101"/>
        <v/>
      </c>
      <c r="J1311" s="26" t="str">
        <f>IF($A1311="","",COUNTIFS(tblReceipts[Item Name],$A1311,tblReceipts[Expiry Date],"&lt;"&amp;$H1311)+COUNTIFS(tblReceipts[Item Name],$A1311,tblReceipts[Expiry Date],$H1311,tblReceipts[Lot Number],"&lt;="&amp;Receipts!$C1314))</f>
        <v/>
      </c>
      <c r="K1311" s="26" t="str">
        <f>IF($A1311="","",SUMIFS(tblReceipts[Qty Received],tblReceipts[Item Name],$A1311,tblReceipts[Expiry Date],"&lt;"&amp;$H1311)+SUMIFS(tblReceipts[Qty Received],tblReceipts[Item Name],$A1311,tblReceipts[Expiry Date],$H1311,tblReceipts[Lot Number],"&lt;"&amp;Receipts!$C1314))</f>
        <v/>
      </c>
      <c r="L1311" s="26" t="str">
        <f>IF($A1311="","",MIN($D1311,MAX(0,SUMIFS(tblIssues[Qty Issued],tblIssues[Item Name],$A1311)-$K1311)))</f>
        <v/>
      </c>
      <c r="M1311" s="26" t="str">
        <f>IF($A1311="","",SUMIFS(tblIssues[Qty Issued],tblIssues[Lot Number],$B1311))</f>
        <v/>
      </c>
      <c r="N1311" s="26" t="str">
        <f t="shared" si="102"/>
        <v/>
      </c>
      <c r="O1311" s="26" t="str">
        <f t="shared" si="103"/>
        <v/>
      </c>
      <c r="P1311" s="21" t="str">
        <f t="shared" si="104"/>
        <v/>
      </c>
      <c r="Q1311" s="52" t="str">
        <f>IF($A1311="","",IF($O1311&lt;=0,"Depleted",IF($I1311&lt;0,"EXPIRED",IF($I1311&lt;=Settings!$C$6,"CRITICAL",IF($I1311&lt;=Settings!$C$5,"Expiring","In date")))))</f>
        <v/>
      </c>
    </row>
    <row r="1312" spans="1:17" x14ac:dyDescent="0.35">
      <c r="A1312" s="90" t="str">
        <f>IF(Receipts!$D1315="","",Receipts!$D1315)</f>
        <v/>
      </c>
      <c r="B1312" s="18" t="str">
        <f>IF(Receipts!$C1315="","",Receipts!$C1315)</f>
        <v/>
      </c>
      <c r="C1312" s="18" t="str">
        <f>IF($A1312="","",IFERROR(INDEX(Items!$B$5:$B$597,MATCH($A1312,Items!$A$5:$A$597,0)),""))</f>
        <v/>
      </c>
      <c r="D1312" s="23" t="str">
        <f>IF($A1312="","",N(Receipts!$G1315))</f>
        <v/>
      </c>
      <c r="E1312" s="20" t="str">
        <f>IF($A1312="","",IFERROR(INDEX(Items!$D$5:$D$597,MATCH($A1312,Items!$A$5:$A$597,0)),0))</f>
        <v/>
      </c>
      <c r="F1312" s="21" t="str">
        <f t="shared" si="100"/>
        <v/>
      </c>
      <c r="G1312" s="25" t="str">
        <f>IF(Receipts!$I1315="","",Receipts!$I1315)</f>
        <v/>
      </c>
      <c r="H1312" s="25" t="str">
        <f>IF(Receipts!$H1315="","",Receipts!$H1315)</f>
        <v/>
      </c>
      <c r="I1312" s="26" t="str">
        <f t="shared" ca="1" si="101"/>
        <v/>
      </c>
      <c r="J1312" s="26" t="str">
        <f>IF($A1312="","",COUNTIFS(tblReceipts[Item Name],$A1312,tblReceipts[Expiry Date],"&lt;"&amp;$H1312)+COUNTIFS(tblReceipts[Item Name],$A1312,tblReceipts[Expiry Date],$H1312,tblReceipts[Lot Number],"&lt;="&amp;Receipts!$C1315))</f>
        <v/>
      </c>
      <c r="K1312" s="26" t="str">
        <f>IF($A1312="","",SUMIFS(tblReceipts[Qty Received],tblReceipts[Item Name],$A1312,tblReceipts[Expiry Date],"&lt;"&amp;$H1312)+SUMIFS(tblReceipts[Qty Received],tblReceipts[Item Name],$A1312,tblReceipts[Expiry Date],$H1312,tblReceipts[Lot Number],"&lt;"&amp;Receipts!$C1315))</f>
        <v/>
      </c>
      <c r="L1312" s="26" t="str">
        <f>IF($A1312="","",MIN($D1312,MAX(0,SUMIFS(tblIssues[Qty Issued],tblIssues[Item Name],$A1312)-$K1312)))</f>
        <v/>
      </c>
      <c r="M1312" s="26" t="str">
        <f>IF($A1312="","",SUMIFS(tblIssues[Qty Issued],tblIssues[Lot Number],$B1312))</f>
        <v/>
      </c>
      <c r="N1312" s="26" t="str">
        <f t="shared" si="102"/>
        <v/>
      </c>
      <c r="O1312" s="26" t="str">
        <f t="shared" si="103"/>
        <v/>
      </c>
      <c r="P1312" s="21" t="str">
        <f t="shared" si="104"/>
        <v/>
      </c>
      <c r="Q1312" s="52" t="str">
        <f>IF($A1312="","",IF($O1312&lt;=0,"Depleted",IF($I1312&lt;0,"EXPIRED",IF($I1312&lt;=Settings!$C$6,"CRITICAL",IF($I1312&lt;=Settings!$C$5,"Expiring","In date")))))</f>
        <v/>
      </c>
    </row>
    <row r="1313" spans="1:17" x14ac:dyDescent="0.35">
      <c r="A1313" s="90" t="str">
        <f>IF(Receipts!$D1316="","",Receipts!$D1316)</f>
        <v/>
      </c>
      <c r="B1313" s="18" t="str">
        <f>IF(Receipts!$C1316="","",Receipts!$C1316)</f>
        <v/>
      </c>
      <c r="C1313" s="18" t="str">
        <f>IF($A1313="","",IFERROR(INDEX(Items!$B$5:$B$597,MATCH($A1313,Items!$A$5:$A$597,0)),""))</f>
        <v/>
      </c>
      <c r="D1313" s="23" t="str">
        <f>IF($A1313="","",N(Receipts!$G1316))</f>
        <v/>
      </c>
      <c r="E1313" s="20" t="str">
        <f>IF($A1313="","",IFERROR(INDEX(Items!$D$5:$D$597,MATCH($A1313,Items!$A$5:$A$597,0)),0))</f>
        <v/>
      </c>
      <c r="F1313" s="21" t="str">
        <f t="shared" si="100"/>
        <v/>
      </c>
      <c r="G1313" s="25" t="str">
        <f>IF(Receipts!$I1316="","",Receipts!$I1316)</f>
        <v/>
      </c>
      <c r="H1313" s="25" t="str">
        <f>IF(Receipts!$H1316="","",Receipts!$H1316)</f>
        <v/>
      </c>
      <c r="I1313" s="26" t="str">
        <f t="shared" ca="1" si="101"/>
        <v/>
      </c>
      <c r="J1313" s="26" t="str">
        <f>IF($A1313="","",COUNTIFS(tblReceipts[Item Name],$A1313,tblReceipts[Expiry Date],"&lt;"&amp;$H1313)+COUNTIFS(tblReceipts[Item Name],$A1313,tblReceipts[Expiry Date],$H1313,tblReceipts[Lot Number],"&lt;="&amp;Receipts!$C1316))</f>
        <v/>
      </c>
      <c r="K1313" s="26" t="str">
        <f>IF($A1313="","",SUMIFS(tblReceipts[Qty Received],tblReceipts[Item Name],$A1313,tblReceipts[Expiry Date],"&lt;"&amp;$H1313)+SUMIFS(tblReceipts[Qty Received],tblReceipts[Item Name],$A1313,tblReceipts[Expiry Date],$H1313,tblReceipts[Lot Number],"&lt;"&amp;Receipts!$C1316))</f>
        <v/>
      </c>
      <c r="L1313" s="26" t="str">
        <f>IF($A1313="","",MIN($D1313,MAX(0,SUMIFS(tblIssues[Qty Issued],tblIssues[Item Name],$A1313)-$K1313)))</f>
        <v/>
      </c>
      <c r="M1313" s="26" t="str">
        <f>IF($A1313="","",SUMIFS(tblIssues[Qty Issued],tblIssues[Lot Number],$B1313))</f>
        <v/>
      </c>
      <c r="N1313" s="26" t="str">
        <f t="shared" si="102"/>
        <v/>
      </c>
      <c r="O1313" s="26" t="str">
        <f t="shared" si="103"/>
        <v/>
      </c>
      <c r="P1313" s="21" t="str">
        <f t="shared" si="104"/>
        <v/>
      </c>
      <c r="Q1313" s="52" t="str">
        <f>IF($A1313="","",IF($O1313&lt;=0,"Depleted",IF($I1313&lt;0,"EXPIRED",IF($I1313&lt;=Settings!$C$6,"CRITICAL",IF($I1313&lt;=Settings!$C$5,"Expiring","In date")))))</f>
        <v/>
      </c>
    </row>
    <row r="1314" spans="1:17" x14ac:dyDescent="0.35">
      <c r="A1314" s="90" t="str">
        <f>IF(Receipts!$D1317="","",Receipts!$D1317)</f>
        <v/>
      </c>
      <c r="B1314" s="18" t="str">
        <f>IF(Receipts!$C1317="","",Receipts!$C1317)</f>
        <v/>
      </c>
      <c r="C1314" s="18" t="str">
        <f>IF($A1314="","",IFERROR(INDEX(Items!$B$5:$B$597,MATCH($A1314,Items!$A$5:$A$597,0)),""))</f>
        <v/>
      </c>
      <c r="D1314" s="23" t="str">
        <f>IF($A1314="","",N(Receipts!$G1317))</f>
        <v/>
      </c>
      <c r="E1314" s="20" t="str">
        <f>IF($A1314="","",IFERROR(INDEX(Items!$D$5:$D$597,MATCH($A1314,Items!$A$5:$A$597,0)),0))</f>
        <v/>
      </c>
      <c r="F1314" s="21" t="str">
        <f t="shared" si="100"/>
        <v/>
      </c>
      <c r="G1314" s="25" t="str">
        <f>IF(Receipts!$I1317="","",Receipts!$I1317)</f>
        <v/>
      </c>
      <c r="H1314" s="25" t="str">
        <f>IF(Receipts!$H1317="","",Receipts!$H1317)</f>
        <v/>
      </c>
      <c r="I1314" s="26" t="str">
        <f t="shared" ca="1" si="101"/>
        <v/>
      </c>
      <c r="J1314" s="26" t="str">
        <f>IF($A1314="","",COUNTIFS(tblReceipts[Item Name],$A1314,tblReceipts[Expiry Date],"&lt;"&amp;$H1314)+COUNTIFS(tblReceipts[Item Name],$A1314,tblReceipts[Expiry Date],$H1314,tblReceipts[Lot Number],"&lt;="&amp;Receipts!$C1317))</f>
        <v/>
      </c>
      <c r="K1314" s="26" t="str">
        <f>IF($A1314="","",SUMIFS(tblReceipts[Qty Received],tblReceipts[Item Name],$A1314,tblReceipts[Expiry Date],"&lt;"&amp;$H1314)+SUMIFS(tblReceipts[Qty Received],tblReceipts[Item Name],$A1314,tblReceipts[Expiry Date],$H1314,tblReceipts[Lot Number],"&lt;"&amp;Receipts!$C1317))</f>
        <v/>
      </c>
      <c r="L1314" s="26" t="str">
        <f>IF($A1314="","",MIN($D1314,MAX(0,SUMIFS(tblIssues[Qty Issued],tblIssues[Item Name],$A1314)-$K1314)))</f>
        <v/>
      </c>
      <c r="M1314" s="26" t="str">
        <f>IF($A1314="","",SUMIFS(tblIssues[Qty Issued],tblIssues[Lot Number],$B1314))</f>
        <v/>
      </c>
      <c r="N1314" s="26" t="str">
        <f t="shared" si="102"/>
        <v/>
      </c>
      <c r="O1314" s="26" t="str">
        <f t="shared" si="103"/>
        <v/>
      </c>
      <c r="P1314" s="21" t="str">
        <f t="shared" si="104"/>
        <v/>
      </c>
      <c r="Q1314" s="52" t="str">
        <f>IF($A1314="","",IF($O1314&lt;=0,"Depleted",IF($I1314&lt;0,"EXPIRED",IF($I1314&lt;=Settings!$C$6,"CRITICAL",IF($I1314&lt;=Settings!$C$5,"Expiring","In date")))))</f>
        <v/>
      </c>
    </row>
    <row r="1315" spans="1:17" x14ac:dyDescent="0.35">
      <c r="A1315" s="90" t="str">
        <f>IF(Receipts!$D1318="","",Receipts!$D1318)</f>
        <v/>
      </c>
      <c r="B1315" s="18" t="str">
        <f>IF(Receipts!$C1318="","",Receipts!$C1318)</f>
        <v/>
      </c>
      <c r="C1315" s="18" t="str">
        <f>IF($A1315="","",IFERROR(INDEX(Items!$B$5:$B$597,MATCH($A1315,Items!$A$5:$A$597,0)),""))</f>
        <v/>
      </c>
      <c r="D1315" s="23" t="str">
        <f>IF($A1315="","",N(Receipts!$G1318))</f>
        <v/>
      </c>
      <c r="E1315" s="20" t="str">
        <f>IF($A1315="","",IFERROR(INDEX(Items!$D$5:$D$597,MATCH($A1315,Items!$A$5:$A$597,0)),0))</f>
        <v/>
      </c>
      <c r="F1315" s="21" t="str">
        <f t="shared" si="100"/>
        <v/>
      </c>
      <c r="G1315" s="25" t="str">
        <f>IF(Receipts!$I1318="","",Receipts!$I1318)</f>
        <v/>
      </c>
      <c r="H1315" s="25" t="str">
        <f>IF(Receipts!$H1318="","",Receipts!$H1318)</f>
        <v/>
      </c>
      <c r="I1315" s="26" t="str">
        <f t="shared" ca="1" si="101"/>
        <v/>
      </c>
      <c r="J1315" s="26" t="str">
        <f>IF($A1315="","",COUNTIFS(tblReceipts[Item Name],$A1315,tblReceipts[Expiry Date],"&lt;"&amp;$H1315)+COUNTIFS(tblReceipts[Item Name],$A1315,tblReceipts[Expiry Date],$H1315,tblReceipts[Lot Number],"&lt;="&amp;Receipts!$C1318))</f>
        <v/>
      </c>
      <c r="K1315" s="26" t="str">
        <f>IF($A1315="","",SUMIFS(tblReceipts[Qty Received],tblReceipts[Item Name],$A1315,tblReceipts[Expiry Date],"&lt;"&amp;$H1315)+SUMIFS(tblReceipts[Qty Received],tblReceipts[Item Name],$A1315,tblReceipts[Expiry Date],$H1315,tblReceipts[Lot Number],"&lt;"&amp;Receipts!$C1318))</f>
        <v/>
      </c>
      <c r="L1315" s="26" t="str">
        <f>IF($A1315="","",MIN($D1315,MAX(0,SUMIFS(tblIssues[Qty Issued],tblIssues[Item Name],$A1315)-$K1315)))</f>
        <v/>
      </c>
      <c r="M1315" s="26" t="str">
        <f>IF($A1315="","",SUMIFS(tblIssues[Qty Issued],tblIssues[Lot Number],$B1315))</f>
        <v/>
      </c>
      <c r="N1315" s="26" t="str">
        <f t="shared" si="102"/>
        <v/>
      </c>
      <c r="O1315" s="26" t="str">
        <f t="shared" si="103"/>
        <v/>
      </c>
      <c r="P1315" s="21" t="str">
        <f t="shared" si="104"/>
        <v/>
      </c>
      <c r="Q1315" s="52" t="str">
        <f>IF($A1315="","",IF($O1315&lt;=0,"Depleted",IF($I1315&lt;0,"EXPIRED",IF($I1315&lt;=Settings!$C$6,"CRITICAL",IF($I1315&lt;=Settings!$C$5,"Expiring","In date")))))</f>
        <v/>
      </c>
    </row>
    <row r="1316" spans="1:17" x14ac:dyDescent="0.35">
      <c r="A1316" s="90" t="str">
        <f>IF(Receipts!$D1319="","",Receipts!$D1319)</f>
        <v/>
      </c>
      <c r="B1316" s="18" t="str">
        <f>IF(Receipts!$C1319="","",Receipts!$C1319)</f>
        <v/>
      </c>
      <c r="C1316" s="18" t="str">
        <f>IF($A1316="","",IFERROR(INDEX(Items!$B$5:$B$597,MATCH($A1316,Items!$A$5:$A$597,0)),""))</f>
        <v/>
      </c>
      <c r="D1316" s="23" t="str">
        <f>IF($A1316="","",N(Receipts!$G1319))</f>
        <v/>
      </c>
      <c r="E1316" s="20" t="str">
        <f>IF($A1316="","",IFERROR(INDEX(Items!$D$5:$D$597,MATCH($A1316,Items!$A$5:$A$597,0)),0))</f>
        <v/>
      </c>
      <c r="F1316" s="21" t="str">
        <f t="shared" si="100"/>
        <v/>
      </c>
      <c r="G1316" s="25" t="str">
        <f>IF(Receipts!$I1319="","",Receipts!$I1319)</f>
        <v/>
      </c>
      <c r="H1316" s="25" t="str">
        <f>IF(Receipts!$H1319="","",Receipts!$H1319)</f>
        <v/>
      </c>
      <c r="I1316" s="26" t="str">
        <f t="shared" ca="1" si="101"/>
        <v/>
      </c>
      <c r="J1316" s="26" t="str">
        <f>IF($A1316="","",COUNTIFS(tblReceipts[Item Name],$A1316,tblReceipts[Expiry Date],"&lt;"&amp;$H1316)+COUNTIFS(tblReceipts[Item Name],$A1316,tblReceipts[Expiry Date],$H1316,tblReceipts[Lot Number],"&lt;="&amp;Receipts!$C1319))</f>
        <v/>
      </c>
      <c r="K1316" s="26" t="str">
        <f>IF($A1316="","",SUMIFS(tblReceipts[Qty Received],tblReceipts[Item Name],$A1316,tblReceipts[Expiry Date],"&lt;"&amp;$H1316)+SUMIFS(tblReceipts[Qty Received],tblReceipts[Item Name],$A1316,tblReceipts[Expiry Date],$H1316,tblReceipts[Lot Number],"&lt;"&amp;Receipts!$C1319))</f>
        <v/>
      </c>
      <c r="L1316" s="26" t="str">
        <f>IF($A1316="","",MIN($D1316,MAX(0,SUMIFS(tblIssues[Qty Issued],tblIssues[Item Name],$A1316)-$K1316)))</f>
        <v/>
      </c>
      <c r="M1316" s="26" t="str">
        <f>IF($A1316="","",SUMIFS(tblIssues[Qty Issued],tblIssues[Lot Number],$B1316))</f>
        <v/>
      </c>
      <c r="N1316" s="26" t="str">
        <f t="shared" si="102"/>
        <v/>
      </c>
      <c r="O1316" s="26" t="str">
        <f t="shared" si="103"/>
        <v/>
      </c>
      <c r="P1316" s="21" t="str">
        <f t="shared" si="104"/>
        <v/>
      </c>
      <c r="Q1316" s="52" t="str">
        <f>IF($A1316="","",IF($O1316&lt;=0,"Depleted",IF($I1316&lt;0,"EXPIRED",IF($I1316&lt;=Settings!$C$6,"CRITICAL",IF($I1316&lt;=Settings!$C$5,"Expiring","In date")))))</f>
        <v/>
      </c>
    </row>
    <row r="1317" spans="1:17" x14ac:dyDescent="0.35">
      <c r="A1317" s="90" t="str">
        <f>IF(Receipts!$D1320="","",Receipts!$D1320)</f>
        <v/>
      </c>
      <c r="B1317" s="18" t="str">
        <f>IF(Receipts!$C1320="","",Receipts!$C1320)</f>
        <v/>
      </c>
      <c r="C1317" s="18" t="str">
        <f>IF($A1317="","",IFERROR(INDEX(Items!$B$5:$B$597,MATCH($A1317,Items!$A$5:$A$597,0)),""))</f>
        <v/>
      </c>
      <c r="D1317" s="23" t="str">
        <f>IF($A1317="","",N(Receipts!$G1320))</f>
        <v/>
      </c>
      <c r="E1317" s="20" t="str">
        <f>IF($A1317="","",IFERROR(INDEX(Items!$D$5:$D$597,MATCH($A1317,Items!$A$5:$A$597,0)),0))</f>
        <v/>
      </c>
      <c r="F1317" s="21" t="str">
        <f t="shared" si="100"/>
        <v/>
      </c>
      <c r="G1317" s="25" t="str">
        <f>IF(Receipts!$I1320="","",Receipts!$I1320)</f>
        <v/>
      </c>
      <c r="H1317" s="25" t="str">
        <f>IF(Receipts!$H1320="","",Receipts!$H1320)</f>
        <v/>
      </c>
      <c r="I1317" s="26" t="str">
        <f t="shared" ca="1" si="101"/>
        <v/>
      </c>
      <c r="J1317" s="26" t="str">
        <f>IF($A1317="","",COUNTIFS(tblReceipts[Item Name],$A1317,tblReceipts[Expiry Date],"&lt;"&amp;$H1317)+COUNTIFS(tblReceipts[Item Name],$A1317,tblReceipts[Expiry Date],$H1317,tblReceipts[Lot Number],"&lt;="&amp;Receipts!$C1320))</f>
        <v/>
      </c>
      <c r="K1317" s="26" t="str">
        <f>IF($A1317="","",SUMIFS(tblReceipts[Qty Received],tblReceipts[Item Name],$A1317,tblReceipts[Expiry Date],"&lt;"&amp;$H1317)+SUMIFS(tblReceipts[Qty Received],tblReceipts[Item Name],$A1317,tblReceipts[Expiry Date],$H1317,tblReceipts[Lot Number],"&lt;"&amp;Receipts!$C1320))</f>
        <v/>
      </c>
      <c r="L1317" s="26" t="str">
        <f>IF($A1317="","",MIN($D1317,MAX(0,SUMIFS(tblIssues[Qty Issued],tblIssues[Item Name],$A1317)-$K1317)))</f>
        <v/>
      </c>
      <c r="M1317" s="26" t="str">
        <f>IF($A1317="","",SUMIFS(tblIssues[Qty Issued],tblIssues[Lot Number],$B1317))</f>
        <v/>
      </c>
      <c r="N1317" s="26" t="str">
        <f t="shared" si="102"/>
        <v/>
      </c>
      <c r="O1317" s="26" t="str">
        <f t="shared" si="103"/>
        <v/>
      </c>
      <c r="P1317" s="21" t="str">
        <f t="shared" si="104"/>
        <v/>
      </c>
      <c r="Q1317" s="52" t="str">
        <f>IF($A1317="","",IF($O1317&lt;=0,"Depleted",IF($I1317&lt;0,"EXPIRED",IF($I1317&lt;=Settings!$C$6,"CRITICAL",IF($I1317&lt;=Settings!$C$5,"Expiring","In date")))))</f>
        <v/>
      </c>
    </row>
    <row r="1318" spans="1:17" x14ac:dyDescent="0.35">
      <c r="A1318" s="90" t="str">
        <f>IF(Receipts!$D1321="","",Receipts!$D1321)</f>
        <v/>
      </c>
      <c r="B1318" s="18" t="str">
        <f>IF(Receipts!$C1321="","",Receipts!$C1321)</f>
        <v/>
      </c>
      <c r="C1318" s="18" t="str">
        <f>IF($A1318="","",IFERROR(INDEX(Items!$B$5:$B$597,MATCH($A1318,Items!$A$5:$A$597,0)),""))</f>
        <v/>
      </c>
      <c r="D1318" s="23" t="str">
        <f>IF($A1318="","",N(Receipts!$G1321))</f>
        <v/>
      </c>
      <c r="E1318" s="20" t="str">
        <f>IF($A1318="","",IFERROR(INDEX(Items!$D$5:$D$597,MATCH($A1318,Items!$A$5:$A$597,0)),0))</f>
        <v/>
      </c>
      <c r="F1318" s="21" t="str">
        <f t="shared" si="100"/>
        <v/>
      </c>
      <c r="G1318" s="25" t="str">
        <f>IF(Receipts!$I1321="","",Receipts!$I1321)</f>
        <v/>
      </c>
      <c r="H1318" s="25" t="str">
        <f>IF(Receipts!$H1321="","",Receipts!$H1321)</f>
        <v/>
      </c>
      <c r="I1318" s="26" t="str">
        <f t="shared" ca="1" si="101"/>
        <v/>
      </c>
      <c r="J1318" s="26" t="str">
        <f>IF($A1318="","",COUNTIFS(tblReceipts[Item Name],$A1318,tblReceipts[Expiry Date],"&lt;"&amp;$H1318)+COUNTIFS(tblReceipts[Item Name],$A1318,tblReceipts[Expiry Date],$H1318,tblReceipts[Lot Number],"&lt;="&amp;Receipts!$C1321))</f>
        <v/>
      </c>
      <c r="K1318" s="26" t="str">
        <f>IF($A1318="","",SUMIFS(tblReceipts[Qty Received],tblReceipts[Item Name],$A1318,tblReceipts[Expiry Date],"&lt;"&amp;$H1318)+SUMIFS(tblReceipts[Qty Received],tblReceipts[Item Name],$A1318,tblReceipts[Expiry Date],$H1318,tblReceipts[Lot Number],"&lt;"&amp;Receipts!$C1321))</f>
        <v/>
      </c>
      <c r="L1318" s="26" t="str">
        <f>IF($A1318="","",MIN($D1318,MAX(0,SUMIFS(tblIssues[Qty Issued],tblIssues[Item Name],$A1318)-$K1318)))</f>
        <v/>
      </c>
      <c r="M1318" s="26" t="str">
        <f>IF($A1318="","",SUMIFS(tblIssues[Qty Issued],tblIssues[Lot Number],$B1318))</f>
        <v/>
      </c>
      <c r="N1318" s="26" t="str">
        <f t="shared" si="102"/>
        <v/>
      </c>
      <c r="O1318" s="26" t="str">
        <f t="shared" si="103"/>
        <v/>
      </c>
      <c r="P1318" s="21" t="str">
        <f t="shared" si="104"/>
        <v/>
      </c>
      <c r="Q1318" s="52" t="str">
        <f>IF($A1318="","",IF($O1318&lt;=0,"Depleted",IF($I1318&lt;0,"EXPIRED",IF($I1318&lt;=Settings!$C$6,"CRITICAL",IF($I1318&lt;=Settings!$C$5,"Expiring","In date")))))</f>
        <v/>
      </c>
    </row>
    <row r="1319" spans="1:17" x14ac:dyDescent="0.35">
      <c r="A1319" s="90" t="str">
        <f>IF(Receipts!$D1322="","",Receipts!$D1322)</f>
        <v/>
      </c>
      <c r="B1319" s="18" t="str">
        <f>IF(Receipts!$C1322="","",Receipts!$C1322)</f>
        <v/>
      </c>
      <c r="C1319" s="18" t="str">
        <f>IF($A1319="","",IFERROR(INDEX(Items!$B$5:$B$597,MATCH($A1319,Items!$A$5:$A$597,0)),""))</f>
        <v/>
      </c>
      <c r="D1319" s="23" t="str">
        <f>IF($A1319="","",N(Receipts!$G1322))</f>
        <v/>
      </c>
      <c r="E1319" s="20" t="str">
        <f>IF($A1319="","",IFERROR(INDEX(Items!$D$5:$D$597,MATCH($A1319,Items!$A$5:$A$597,0)),0))</f>
        <v/>
      </c>
      <c r="F1319" s="21" t="str">
        <f t="shared" si="100"/>
        <v/>
      </c>
      <c r="G1319" s="25" t="str">
        <f>IF(Receipts!$I1322="","",Receipts!$I1322)</f>
        <v/>
      </c>
      <c r="H1319" s="25" t="str">
        <f>IF(Receipts!$H1322="","",Receipts!$H1322)</f>
        <v/>
      </c>
      <c r="I1319" s="26" t="str">
        <f t="shared" ca="1" si="101"/>
        <v/>
      </c>
      <c r="J1319" s="26" t="str">
        <f>IF($A1319="","",COUNTIFS(tblReceipts[Item Name],$A1319,tblReceipts[Expiry Date],"&lt;"&amp;$H1319)+COUNTIFS(tblReceipts[Item Name],$A1319,tblReceipts[Expiry Date],$H1319,tblReceipts[Lot Number],"&lt;="&amp;Receipts!$C1322))</f>
        <v/>
      </c>
      <c r="K1319" s="26" t="str">
        <f>IF($A1319="","",SUMIFS(tblReceipts[Qty Received],tblReceipts[Item Name],$A1319,tblReceipts[Expiry Date],"&lt;"&amp;$H1319)+SUMIFS(tblReceipts[Qty Received],tblReceipts[Item Name],$A1319,tblReceipts[Expiry Date],$H1319,tblReceipts[Lot Number],"&lt;"&amp;Receipts!$C1322))</f>
        <v/>
      </c>
      <c r="L1319" s="26" t="str">
        <f>IF($A1319="","",MIN($D1319,MAX(0,SUMIFS(tblIssues[Qty Issued],tblIssues[Item Name],$A1319)-$K1319)))</f>
        <v/>
      </c>
      <c r="M1319" s="26" t="str">
        <f>IF($A1319="","",SUMIFS(tblIssues[Qty Issued],tblIssues[Lot Number],$B1319))</f>
        <v/>
      </c>
      <c r="N1319" s="26" t="str">
        <f t="shared" si="102"/>
        <v/>
      </c>
      <c r="O1319" s="26" t="str">
        <f t="shared" si="103"/>
        <v/>
      </c>
      <c r="P1319" s="21" t="str">
        <f t="shared" si="104"/>
        <v/>
      </c>
      <c r="Q1319" s="52" t="str">
        <f>IF($A1319="","",IF($O1319&lt;=0,"Depleted",IF($I1319&lt;0,"EXPIRED",IF($I1319&lt;=Settings!$C$6,"CRITICAL",IF($I1319&lt;=Settings!$C$5,"Expiring","In date")))))</f>
        <v/>
      </c>
    </row>
    <row r="1320" spans="1:17" x14ac:dyDescent="0.35">
      <c r="A1320" s="90" t="str">
        <f>IF(Receipts!$D1323="","",Receipts!$D1323)</f>
        <v/>
      </c>
      <c r="B1320" s="18" t="str">
        <f>IF(Receipts!$C1323="","",Receipts!$C1323)</f>
        <v/>
      </c>
      <c r="C1320" s="18" t="str">
        <f>IF($A1320="","",IFERROR(INDEX(Items!$B$5:$B$597,MATCH($A1320,Items!$A$5:$A$597,0)),""))</f>
        <v/>
      </c>
      <c r="D1320" s="23" t="str">
        <f>IF($A1320="","",N(Receipts!$G1323))</f>
        <v/>
      </c>
      <c r="E1320" s="20" t="str">
        <f>IF($A1320="","",IFERROR(INDEX(Items!$D$5:$D$597,MATCH($A1320,Items!$A$5:$A$597,0)),0))</f>
        <v/>
      </c>
      <c r="F1320" s="21" t="str">
        <f t="shared" si="100"/>
        <v/>
      </c>
      <c r="G1320" s="25" t="str">
        <f>IF(Receipts!$I1323="","",Receipts!$I1323)</f>
        <v/>
      </c>
      <c r="H1320" s="25" t="str">
        <f>IF(Receipts!$H1323="","",Receipts!$H1323)</f>
        <v/>
      </c>
      <c r="I1320" s="26" t="str">
        <f t="shared" ca="1" si="101"/>
        <v/>
      </c>
      <c r="J1320" s="26" t="str">
        <f>IF($A1320="","",COUNTIFS(tblReceipts[Item Name],$A1320,tblReceipts[Expiry Date],"&lt;"&amp;$H1320)+COUNTIFS(tblReceipts[Item Name],$A1320,tblReceipts[Expiry Date],$H1320,tblReceipts[Lot Number],"&lt;="&amp;Receipts!$C1323))</f>
        <v/>
      </c>
      <c r="K1320" s="26" t="str">
        <f>IF($A1320="","",SUMIFS(tblReceipts[Qty Received],tblReceipts[Item Name],$A1320,tblReceipts[Expiry Date],"&lt;"&amp;$H1320)+SUMIFS(tblReceipts[Qty Received],tblReceipts[Item Name],$A1320,tblReceipts[Expiry Date],$H1320,tblReceipts[Lot Number],"&lt;"&amp;Receipts!$C1323))</f>
        <v/>
      </c>
      <c r="L1320" s="26" t="str">
        <f>IF($A1320="","",MIN($D1320,MAX(0,SUMIFS(tblIssues[Qty Issued],tblIssues[Item Name],$A1320)-$K1320)))</f>
        <v/>
      </c>
      <c r="M1320" s="26" t="str">
        <f>IF($A1320="","",SUMIFS(tblIssues[Qty Issued],tblIssues[Lot Number],$B1320))</f>
        <v/>
      </c>
      <c r="N1320" s="26" t="str">
        <f t="shared" si="102"/>
        <v/>
      </c>
      <c r="O1320" s="26" t="str">
        <f t="shared" si="103"/>
        <v/>
      </c>
      <c r="P1320" s="21" t="str">
        <f t="shared" si="104"/>
        <v/>
      </c>
      <c r="Q1320" s="52" t="str">
        <f>IF($A1320="","",IF($O1320&lt;=0,"Depleted",IF($I1320&lt;0,"EXPIRED",IF($I1320&lt;=Settings!$C$6,"CRITICAL",IF($I1320&lt;=Settings!$C$5,"Expiring","In date")))))</f>
        <v/>
      </c>
    </row>
    <row r="1321" spans="1:17" x14ac:dyDescent="0.35">
      <c r="A1321" s="90" t="str">
        <f>IF(Receipts!$D1324="","",Receipts!$D1324)</f>
        <v/>
      </c>
      <c r="B1321" s="18" t="str">
        <f>IF(Receipts!$C1324="","",Receipts!$C1324)</f>
        <v/>
      </c>
      <c r="C1321" s="18" t="str">
        <f>IF($A1321="","",IFERROR(INDEX(Items!$B$5:$B$597,MATCH($A1321,Items!$A$5:$A$597,0)),""))</f>
        <v/>
      </c>
      <c r="D1321" s="23" t="str">
        <f>IF($A1321="","",N(Receipts!$G1324))</f>
        <v/>
      </c>
      <c r="E1321" s="20" t="str">
        <f>IF($A1321="","",IFERROR(INDEX(Items!$D$5:$D$597,MATCH($A1321,Items!$A$5:$A$597,0)),0))</f>
        <v/>
      </c>
      <c r="F1321" s="21" t="str">
        <f t="shared" si="100"/>
        <v/>
      </c>
      <c r="G1321" s="25" t="str">
        <f>IF(Receipts!$I1324="","",Receipts!$I1324)</f>
        <v/>
      </c>
      <c r="H1321" s="25" t="str">
        <f>IF(Receipts!$H1324="","",Receipts!$H1324)</f>
        <v/>
      </c>
      <c r="I1321" s="26" t="str">
        <f t="shared" ca="1" si="101"/>
        <v/>
      </c>
      <c r="J1321" s="26" t="str">
        <f>IF($A1321="","",COUNTIFS(tblReceipts[Item Name],$A1321,tblReceipts[Expiry Date],"&lt;"&amp;$H1321)+COUNTIFS(tblReceipts[Item Name],$A1321,tblReceipts[Expiry Date],$H1321,tblReceipts[Lot Number],"&lt;="&amp;Receipts!$C1324))</f>
        <v/>
      </c>
      <c r="K1321" s="26" t="str">
        <f>IF($A1321="","",SUMIFS(tblReceipts[Qty Received],tblReceipts[Item Name],$A1321,tblReceipts[Expiry Date],"&lt;"&amp;$H1321)+SUMIFS(tblReceipts[Qty Received],tblReceipts[Item Name],$A1321,tblReceipts[Expiry Date],$H1321,tblReceipts[Lot Number],"&lt;"&amp;Receipts!$C1324))</f>
        <v/>
      </c>
      <c r="L1321" s="26" t="str">
        <f>IF($A1321="","",MIN($D1321,MAX(0,SUMIFS(tblIssues[Qty Issued],tblIssues[Item Name],$A1321)-$K1321)))</f>
        <v/>
      </c>
      <c r="M1321" s="26" t="str">
        <f>IF($A1321="","",SUMIFS(tblIssues[Qty Issued],tblIssues[Lot Number],$B1321))</f>
        <v/>
      </c>
      <c r="N1321" s="26" t="str">
        <f t="shared" si="102"/>
        <v/>
      </c>
      <c r="O1321" s="26" t="str">
        <f t="shared" si="103"/>
        <v/>
      </c>
      <c r="P1321" s="21" t="str">
        <f t="shared" si="104"/>
        <v/>
      </c>
      <c r="Q1321" s="52" t="str">
        <f>IF($A1321="","",IF($O1321&lt;=0,"Depleted",IF($I1321&lt;0,"EXPIRED",IF($I1321&lt;=Settings!$C$6,"CRITICAL",IF($I1321&lt;=Settings!$C$5,"Expiring","In date")))))</f>
        <v/>
      </c>
    </row>
    <row r="1322" spans="1:17" x14ac:dyDescent="0.35">
      <c r="A1322" s="90" t="str">
        <f>IF(Receipts!$D1325="","",Receipts!$D1325)</f>
        <v/>
      </c>
      <c r="B1322" s="18" t="str">
        <f>IF(Receipts!$C1325="","",Receipts!$C1325)</f>
        <v/>
      </c>
      <c r="C1322" s="18" t="str">
        <f>IF($A1322="","",IFERROR(INDEX(Items!$B$5:$B$597,MATCH($A1322,Items!$A$5:$A$597,0)),""))</f>
        <v/>
      </c>
      <c r="D1322" s="23" t="str">
        <f>IF($A1322="","",N(Receipts!$G1325))</f>
        <v/>
      </c>
      <c r="E1322" s="20" t="str">
        <f>IF($A1322="","",IFERROR(INDEX(Items!$D$5:$D$597,MATCH($A1322,Items!$A$5:$A$597,0)),0))</f>
        <v/>
      </c>
      <c r="F1322" s="21" t="str">
        <f t="shared" si="100"/>
        <v/>
      </c>
      <c r="G1322" s="25" t="str">
        <f>IF(Receipts!$I1325="","",Receipts!$I1325)</f>
        <v/>
      </c>
      <c r="H1322" s="25" t="str">
        <f>IF(Receipts!$H1325="","",Receipts!$H1325)</f>
        <v/>
      </c>
      <c r="I1322" s="26" t="str">
        <f t="shared" ca="1" si="101"/>
        <v/>
      </c>
      <c r="J1322" s="26" t="str">
        <f>IF($A1322="","",COUNTIFS(tblReceipts[Item Name],$A1322,tblReceipts[Expiry Date],"&lt;"&amp;$H1322)+COUNTIFS(tblReceipts[Item Name],$A1322,tblReceipts[Expiry Date],$H1322,tblReceipts[Lot Number],"&lt;="&amp;Receipts!$C1325))</f>
        <v/>
      </c>
      <c r="K1322" s="26" t="str">
        <f>IF($A1322="","",SUMIFS(tblReceipts[Qty Received],tblReceipts[Item Name],$A1322,tblReceipts[Expiry Date],"&lt;"&amp;$H1322)+SUMIFS(tblReceipts[Qty Received],tblReceipts[Item Name],$A1322,tblReceipts[Expiry Date],$H1322,tblReceipts[Lot Number],"&lt;"&amp;Receipts!$C1325))</f>
        <v/>
      </c>
      <c r="L1322" s="26" t="str">
        <f>IF($A1322="","",MIN($D1322,MAX(0,SUMIFS(tblIssues[Qty Issued],tblIssues[Item Name],$A1322)-$K1322)))</f>
        <v/>
      </c>
      <c r="M1322" s="26" t="str">
        <f>IF($A1322="","",SUMIFS(tblIssues[Qty Issued],tblIssues[Lot Number],$B1322))</f>
        <v/>
      </c>
      <c r="N1322" s="26" t="str">
        <f t="shared" si="102"/>
        <v/>
      </c>
      <c r="O1322" s="26" t="str">
        <f t="shared" si="103"/>
        <v/>
      </c>
      <c r="P1322" s="21" t="str">
        <f t="shared" si="104"/>
        <v/>
      </c>
      <c r="Q1322" s="52" t="str">
        <f>IF($A1322="","",IF($O1322&lt;=0,"Depleted",IF($I1322&lt;0,"EXPIRED",IF($I1322&lt;=Settings!$C$6,"CRITICAL",IF($I1322&lt;=Settings!$C$5,"Expiring","In date")))))</f>
        <v/>
      </c>
    </row>
    <row r="1323" spans="1:17" x14ac:dyDescent="0.35">
      <c r="A1323" s="90" t="str">
        <f>IF(Receipts!$D1326="","",Receipts!$D1326)</f>
        <v/>
      </c>
      <c r="B1323" s="18" t="str">
        <f>IF(Receipts!$C1326="","",Receipts!$C1326)</f>
        <v/>
      </c>
      <c r="C1323" s="18" t="str">
        <f>IF($A1323="","",IFERROR(INDEX(Items!$B$5:$B$597,MATCH($A1323,Items!$A$5:$A$597,0)),""))</f>
        <v/>
      </c>
      <c r="D1323" s="23" t="str">
        <f>IF($A1323="","",N(Receipts!$G1326))</f>
        <v/>
      </c>
      <c r="E1323" s="20" t="str">
        <f>IF($A1323="","",IFERROR(INDEX(Items!$D$5:$D$597,MATCH($A1323,Items!$A$5:$A$597,0)),0))</f>
        <v/>
      </c>
      <c r="F1323" s="21" t="str">
        <f t="shared" si="100"/>
        <v/>
      </c>
      <c r="G1323" s="25" t="str">
        <f>IF(Receipts!$I1326="","",Receipts!$I1326)</f>
        <v/>
      </c>
      <c r="H1323" s="25" t="str">
        <f>IF(Receipts!$H1326="","",Receipts!$H1326)</f>
        <v/>
      </c>
      <c r="I1323" s="26" t="str">
        <f t="shared" ca="1" si="101"/>
        <v/>
      </c>
      <c r="J1323" s="26" t="str">
        <f>IF($A1323="","",COUNTIFS(tblReceipts[Item Name],$A1323,tblReceipts[Expiry Date],"&lt;"&amp;$H1323)+COUNTIFS(tblReceipts[Item Name],$A1323,tblReceipts[Expiry Date],$H1323,tblReceipts[Lot Number],"&lt;="&amp;Receipts!$C1326))</f>
        <v/>
      </c>
      <c r="K1323" s="26" t="str">
        <f>IF($A1323="","",SUMIFS(tblReceipts[Qty Received],tblReceipts[Item Name],$A1323,tblReceipts[Expiry Date],"&lt;"&amp;$H1323)+SUMIFS(tblReceipts[Qty Received],tblReceipts[Item Name],$A1323,tblReceipts[Expiry Date],$H1323,tblReceipts[Lot Number],"&lt;"&amp;Receipts!$C1326))</f>
        <v/>
      </c>
      <c r="L1323" s="26" t="str">
        <f>IF($A1323="","",MIN($D1323,MAX(0,SUMIFS(tblIssues[Qty Issued],tblIssues[Item Name],$A1323)-$K1323)))</f>
        <v/>
      </c>
      <c r="M1323" s="26" t="str">
        <f>IF($A1323="","",SUMIFS(tblIssues[Qty Issued],tblIssues[Lot Number],$B1323))</f>
        <v/>
      </c>
      <c r="N1323" s="26" t="str">
        <f t="shared" si="102"/>
        <v/>
      </c>
      <c r="O1323" s="26" t="str">
        <f t="shared" si="103"/>
        <v/>
      </c>
      <c r="P1323" s="21" t="str">
        <f t="shared" si="104"/>
        <v/>
      </c>
      <c r="Q1323" s="52" t="str">
        <f>IF($A1323="","",IF($O1323&lt;=0,"Depleted",IF($I1323&lt;0,"EXPIRED",IF($I1323&lt;=Settings!$C$6,"CRITICAL",IF($I1323&lt;=Settings!$C$5,"Expiring","In date")))))</f>
        <v/>
      </c>
    </row>
    <row r="1324" spans="1:17" x14ac:dyDescent="0.35">
      <c r="A1324" s="90" t="str">
        <f>IF(Receipts!$D1327="","",Receipts!$D1327)</f>
        <v/>
      </c>
      <c r="B1324" s="18" t="str">
        <f>IF(Receipts!$C1327="","",Receipts!$C1327)</f>
        <v/>
      </c>
      <c r="C1324" s="18" t="str">
        <f>IF($A1324="","",IFERROR(INDEX(Items!$B$5:$B$597,MATCH($A1324,Items!$A$5:$A$597,0)),""))</f>
        <v/>
      </c>
      <c r="D1324" s="23" t="str">
        <f>IF($A1324="","",N(Receipts!$G1327))</f>
        <v/>
      </c>
      <c r="E1324" s="20" t="str">
        <f>IF($A1324="","",IFERROR(INDEX(Items!$D$5:$D$597,MATCH($A1324,Items!$A$5:$A$597,0)),0))</f>
        <v/>
      </c>
      <c r="F1324" s="21" t="str">
        <f t="shared" si="100"/>
        <v/>
      </c>
      <c r="G1324" s="25" t="str">
        <f>IF(Receipts!$I1327="","",Receipts!$I1327)</f>
        <v/>
      </c>
      <c r="H1324" s="25" t="str">
        <f>IF(Receipts!$H1327="","",Receipts!$H1327)</f>
        <v/>
      </c>
      <c r="I1324" s="26" t="str">
        <f t="shared" ca="1" si="101"/>
        <v/>
      </c>
      <c r="J1324" s="26" t="str">
        <f>IF($A1324="","",COUNTIFS(tblReceipts[Item Name],$A1324,tblReceipts[Expiry Date],"&lt;"&amp;$H1324)+COUNTIFS(tblReceipts[Item Name],$A1324,tblReceipts[Expiry Date],$H1324,tblReceipts[Lot Number],"&lt;="&amp;Receipts!$C1327))</f>
        <v/>
      </c>
      <c r="K1324" s="26" t="str">
        <f>IF($A1324="","",SUMIFS(tblReceipts[Qty Received],tblReceipts[Item Name],$A1324,tblReceipts[Expiry Date],"&lt;"&amp;$H1324)+SUMIFS(tblReceipts[Qty Received],tblReceipts[Item Name],$A1324,tblReceipts[Expiry Date],$H1324,tblReceipts[Lot Number],"&lt;"&amp;Receipts!$C1327))</f>
        <v/>
      </c>
      <c r="L1324" s="26" t="str">
        <f>IF($A1324="","",MIN($D1324,MAX(0,SUMIFS(tblIssues[Qty Issued],tblIssues[Item Name],$A1324)-$K1324)))</f>
        <v/>
      </c>
      <c r="M1324" s="26" t="str">
        <f>IF($A1324="","",SUMIFS(tblIssues[Qty Issued],tblIssues[Lot Number],$B1324))</f>
        <v/>
      </c>
      <c r="N1324" s="26" t="str">
        <f t="shared" si="102"/>
        <v/>
      </c>
      <c r="O1324" s="26" t="str">
        <f t="shared" si="103"/>
        <v/>
      </c>
      <c r="P1324" s="21" t="str">
        <f t="shared" si="104"/>
        <v/>
      </c>
      <c r="Q1324" s="52" t="str">
        <f>IF($A1324="","",IF($O1324&lt;=0,"Depleted",IF($I1324&lt;0,"EXPIRED",IF($I1324&lt;=Settings!$C$6,"CRITICAL",IF($I1324&lt;=Settings!$C$5,"Expiring","In date")))))</f>
        <v/>
      </c>
    </row>
    <row r="1325" spans="1:17" x14ac:dyDescent="0.35">
      <c r="A1325" s="90" t="str">
        <f>IF(Receipts!$D1328="","",Receipts!$D1328)</f>
        <v/>
      </c>
      <c r="B1325" s="18" t="str">
        <f>IF(Receipts!$C1328="","",Receipts!$C1328)</f>
        <v/>
      </c>
      <c r="C1325" s="18" t="str">
        <f>IF($A1325="","",IFERROR(INDEX(Items!$B$5:$B$597,MATCH($A1325,Items!$A$5:$A$597,0)),""))</f>
        <v/>
      </c>
      <c r="D1325" s="23" t="str">
        <f>IF($A1325="","",N(Receipts!$G1328))</f>
        <v/>
      </c>
      <c r="E1325" s="20" t="str">
        <f>IF($A1325="","",IFERROR(INDEX(Items!$D$5:$D$597,MATCH($A1325,Items!$A$5:$A$597,0)),0))</f>
        <v/>
      </c>
      <c r="F1325" s="21" t="str">
        <f t="shared" si="100"/>
        <v/>
      </c>
      <c r="G1325" s="25" t="str">
        <f>IF(Receipts!$I1328="","",Receipts!$I1328)</f>
        <v/>
      </c>
      <c r="H1325" s="25" t="str">
        <f>IF(Receipts!$H1328="","",Receipts!$H1328)</f>
        <v/>
      </c>
      <c r="I1325" s="26" t="str">
        <f t="shared" ca="1" si="101"/>
        <v/>
      </c>
      <c r="J1325" s="26" t="str">
        <f>IF($A1325="","",COUNTIFS(tblReceipts[Item Name],$A1325,tblReceipts[Expiry Date],"&lt;"&amp;$H1325)+COUNTIFS(tblReceipts[Item Name],$A1325,tblReceipts[Expiry Date],$H1325,tblReceipts[Lot Number],"&lt;="&amp;Receipts!$C1328))</f>
        <v/>
      </c>
      <c r="K1325" s="26" t="str">
        <f>IF($A1325="","",SUMIFS(tblReceipts[Qty Received],tblReceipts[Item Name],$A1325,tblReceipts[Expiry Date],"&lt;"&amp;$H1325)+SUMIFS(tblReceipts[Qty Received],tblReceipts[Item Name],$A1325,tblReceipts[Expiry Date],$H1325,tblReceipts[Lot Number],"&lt;"&amp;Receipts!$C1328))</f>
        <v/>
      </c>
      <c r="L1325" s="26" t="str">
        <f>IF($A1325="","",MIN($D1325,MAX(0,SUMIFS(tblIssues[Qty Issued],tblIssues[Item Name],$A1325)-$K1325)))</f>
        <v/>
      </c>
      <c r="M1325" s="26" t="str">
        <f>IF($A1325="","",SUMIFS(tblIssues[Qty Issued],tblIssues[Lot Number],$B1325))</f>
        <v/>
      </c>
      <c r="N1325" s="26" t="str">
        <f t="shared" si="102"/>
        <v/>
      </c>
      <c r="O1325" s="26" t="str">
        <f t="shared" si="103"/>
        <v/>
      </c>
      <c r="P1325" s="21" t="str">
        <f t="shared" si="104"/>
        <v/>
      </c>
      <c r="Q1325" s="52" t="str">
        <f>IF($A1325="","",IF($O1325&lt;=0,"Depleted",IF($I1325&lt;0,"EXPIRED",IF($I1325&lt;=Settings!$C$6,"CRITICAL",IF($I1325&lt;=Settings!$C$5,"Expiring","In date")))))</f>
        <v/>
      </c>
    </row>
    <row r="1326" spans="1:17" x14ac:dyDescent="0.35">
      <c r="A1326" s="90" t="str">
        <f>IF(Receipts!$D1329="","",Receipts!$D1329)</f>
        <v/>
      </c>
      <c r="B1326" s="18" t="str">
        <f>IF(Receipts!$C1329="","",Receipts!$C1329)</f>
        <v/>
      </c>
      <c r="C1326" s="18" t="str">
        <f>IF($A1326="","",IFERROR(INDEX(Items!$B$5:$B$597,MATCH($A1326,Items!$A$5:$A$597,0)),""))</f>
        <v/>
      </c>
      <c r="D1326" s="23" t="str">
        <f>IF($A1326="","",N(Receipts!$G1329))</f>
        <v/>
      </c>
      <c r="E1326" s="20" t="str">
        <f>IF($A1326="","",IFERROR(INDEX(Items!$D$5:$D$597,MATCH($A1326,Items!$A$5:$A$597,0)),0))</f>
        <v/>
      </c>
      <c r="F1326" s="21" t="str">
        <f t="shared" si="100"/>
        <v/>
      </c>
      <c r="G1326" s="25" t="str">
        <f>IF(Receipts!$I1329="","",Receipts!$I1329)</f>
        <v/>
      </c>
      <c r="H1326" s="25" t="str">
        <f>IF(Receipts!$H1329="","",Receipts!$H1329)</f>
        <v/>
      </c>
      <c r="I1326" s="26" t="str">
        <f t="shared" ca="1" si="101"/>
        <v/>
      </c>
      <c r="J1326" s="26" t="str">
        <f>IF($A1326="","",COUNTIFS(tblReceipts[Item Name],$A1326,tblReceipts[Expiry Date],"&lt;"&amp;$H1326)+COUNTIFS(tblReceipts[Item Name],$A1326,tblReceipts[Expiry Date],$H1326,tblReceipts[Lot Number],"&lt;="&amp;Receipts!$C1329))</f>
        <v/>
      </c>
      <c r="K1326" s="26" t="str">
        <f>IF($A1326="","",SUMIFS(tblReceipts[Qty Received],tblReceipts[Item Name],$A1326,tblReceipts[Expiry Date],"&lt;"&amp;$H1326)+SUMIFS(tblReceipts[Qty Received],tblReceipts[Item Name],$A1326,tblReceipts[Expiry Date],$H1326,tblReceipts[Lot Number],"&lt;"&amp;Receipts!$C1329))</f>
        <v/>
      </c>
      <c r="L1326" s="26" t="str">
        <f>IF($A1326="","",MIN($D1326,MAX(0,SUMIFS(tblIssues[Qty Issued],tblIssues[Item Name],$A1326)-$K1326)))</f>
        <v/>
      </c>
      <c r="M1326" s="26" t="str">
        <f>IF($A1326="","",SUMIFS(tblIssues[Qty Issued],tblIssues[Lot Number],$B1326))</f>
        <v/>
      </c>
      <c r="N1326" s="26" t="str">
        <f t="shared" si="102"/>
        <v/>
      </c>
      <c r="O1326" s="26" t="str">
        <f t="shared" si="103"/>
        <v/>
      </c>
      <c r="P1326" s="21" t="str">
        <f t="shared" si="104"/>
        <v/>
      </c>
      <c r="Q1326" s="52" t="str">
        <f>IF($A1326="","",IF($O1326&lt;=0,"Depleted",IF($I1326&lt;0,"EXPIRED",IF($I1326&lt;=Settings!$C$6,"CRITICAL",IF($I1326&lt;=Settings!$C$5,"Expiring","In date")))))</f>
        <v/>
      </c>
    </row>
    <row r="1327" spans="1:17" x14ac:dyDescent="0.35">
      <c r="A1327" s="90" t="str">
        <f>IF(Receipts!$D1330="","",Receipts!$D1330)</f>
        <v/>
      </c>
      <c r="B1327" s="18" t="str">
        <f>IF(Receipts!$C1330="","",Receipts!$C1330)</f>
        <v/>
      </c>
      <c r="C1327" s="18" t="str">
        <f>IF($A1327="","",IFERROR(INDEX(Items!$B$5:$B$597,MATCH($A1327,Items!$A$5:$A$597,0)),""))</f>
        <v/>
      </c>
      <c r="D1327" s="23" t="str">
        <f>IF($A1327="","",N(Receipts!$G1330))</f>
        <v/>
      </c>
      <c r="E1327" s="20" t="str">
        <f>IF($A1327="","",IFERROR(INDEX(Items!$D$5:$D$597,MATCH($A1327,Items!$A$5:$A$597,0)),0))</f>
        <v/>
      </c>
      <c r="F1327" s="21" t="str">
        <f t="shared" si="100"/>
        <v/>
      </c>
      <c r="G1327" s="25" t="str">
        <f>IF(Receipts!$I1330="","",Receipts!$I1330)</f>
        <v/>
      </c>
      <c r="H1327" s="25" t="str">
        <f>IF(Receipts!$H1330="","",Receipts!$H1330)</f>
        <v/>
      </c>
      <c r="I1327" s="26" t="str">
        <f t="shared" ca="1" si="101"/>
        <v/>
      </c>
      <c r="J1327" s="26" t="str">
        <f>IF($A1327="","",COUNTIFS(tblReceipts[Item Name],$A1327,tblReceipts[Expiry Date],"&lt;"&amp;$H1327)+COUNTIFS(tblReceipts[Item Name],$A1327,tblReceipts[Expiry Date],$H1327,tblReceipts[Lot Number],"&lt;="&amp;Receipts!$C1330))</f>
        <v/>
      </c>
      <c r="K1327" s="26" t="str">
        <f>IF($A1327="","",SUMIFS(tblReceipts[Qty Received],tblReceipts[Item Name],$A1327,tblReceipts[Expiry Date],"&lt;"&amp;$H1327)+SUMIFS(tblReceipts[Qty Received],tblReceipts[Item Name],$A1327,tblReceipts[Expiry Date],$H1327,tblReceipts[Lot Number],"&lt;"&amp;Receipts!$C1330))</f>
        <v/>
      </c>
      <c r="L1327" s="26" t="str">
        <f>IF($A1327="","",MIN($D1327,MAX(0,SUMIFS(tblIssues[Qty Issued],tblIssues[Item Name],$A1327)-$K1327)))</f>
        <v/>
      </c>
      <c r="M1327" s="26" t="str">
        <f>IF($A1327="","",SUMIFS(tblIssues[Qty Issued],tblIssues[Lot Number],$B1327))</f>
        <v/>
      </c>
      <c r="N1327" s="26" t="str">
        <f t="shared" si="102"/>
        <v/>
      </c>
      <c r="O1327" s="26" t="str">
        <f t="shared" si="103"/>
        <v/>
      </c>
      <c r="P1327" s="21" t="str">
        <f t="shared" si="104"/>
        <v/>
      </c>
      <c r="Q1327" s="52" t="str">
        <f>IF($A1327="","",IF($O1327&lt;=0,"Depleted",IF($I1327&lt;0,"EXPIRED",IF($I1327&lt;=Settings!$C$6,"CRITICAL",IF($I1327&lt;=Settings!$C$5,"Expiring","In date")))))</f>
        <v/>
      </c>
    </row>
    <row r="1328" spans="1:17" x14ac:dyDescent="0.35">
      <c r="A1328" s="90" t="str">
        <f>IF(Receipts!$D1331="","",Receipts!$D1331)</f>
        <v/>
      </c>
      <c r="B1328" s="18" t="str">
        <f>IF(Receipts!$C1331="","",Receipts!$C1331)</f>
        <v/>
      </c>
      <c r="C1328" s="18" t="str">
        <f>IF($A1328="","",IFERROR(INDEX(Items!$B$5:$B$597,MATCH($A1328,Items!$A$5:$A$597,0)),""))</f>
        <v/>
      </c>
      <c r="D1328" s="23" t="str">
        <f>IF($A1328="","",N(Receipts!$G1331))</f>
        <v/>
      </c>
      <c r="E1328" s="20" t="str">
        <f>IF($A1328="","",IFERROR(INDEX(Items!$D$5:$D$597,MATCH($A1328,Items!$A$5:$A$597,0)),0))</f>
        <v/>
      </c>
      <c r="F1328" s="21" t="str">
        <f t="shared" si="100"/>
        <v/>
      </c>
      <c r="G1328" s="25" t="str">
        <f>IF(Receipts!$I1331="","",Receipts!$I1331)</f>
        <v/>
      </c>
      <c r="H1328" s="25" t="str">
        <f>IF(Receipts!$H1331="","",Receipts!$H1331)</f>
        <v/>
      </c>
      <c r="I1328" s="26" t="str">
        <f t="shared" ca="1" si="101"/>
        <v/>
      </c>
      <c r="J1328" s="26" t="str">
        <f>IF($A1328="","",COUNTIFS(tblReceipts[Item Name],$A1328,tblReceipts[Expiry Date],"&lt;"&amp;$H1328)+COUNTIFS(tblReceipts[Item Name],$A1328,tblReceipts[Expiry Date],$H1328,tblReceipts[Lot Number],"&lt;="&amp;Receipts!$C1331))</f>
        <v/>
      </c>
      <c r="K1328" s="26" t="str">
        <f>IF($A1328="","",SUMIFS(tblReceipts[Qty Received],tblReceipts[Item Name],$A1328,tblReceipts[Expiry Date],"&lt;"&amp;$H1328)+SUMIFS(tblReceipts[Qty Received],tblReceipts[Item Name],$A1328,tblReceipts[Expiry Date],$H1328,tblReceipts[Lot Number],"&lt;"&amp;Receipts!$C1331))</f>
        <v/>
      </c>
      <c r="L1328" s="26" t="str">
        <f>IF($A1328="","",MIN($D1328,MAX(0,SUMIFS(tblIssues[Qty Issued],tblIssues[Item Name],$A1328)-$K1328)))</f>
        <v/>
      </c>
      <c r="M1328" s="26" t="str">
        <f>IF($A1328="","",SUMIFS(tblIssues[Qty Issued],tblIssues[Lot Number],$B1328))</f>
        <v/>
      </c>
      <c r="N1328" s="26" t="str">
        <f t="shared" si="102"/>
        <v/>
      </c>
      <c r="O1328" s="26" t="str">
        <f t="shared" si="103"/>
        <v/>
      </c>
      <c r="P1328" s="21" t="str">
        <f t="shared" si="104"/>
        <v/>
      </c>
      <c r="Q1328" s="52" t="str">
        <f>IF($A1328="","",IF($O1328&lt;=0,"Depleted",IF($I1328&lt;0,"EXPIRED",IF($I1328&lt;=Settings!$C$6,"CRITICAL",IF($I1328&lt;=Settings!$C$5,"Expiring","In date")))))</f>
        <v/>
      </c>
    </row>
    <row r="1329" spans="1:17" x14ac:dyDescent="0.35">
      <c r="A1329" s="90" t="str">
        <f>IF(Receipts!$D1332="","",Receipts!$D1332)</f>
        <v/>
      </c>
      <c r="B1329" s="18" t="str">
        <f>IF(Receipts!$C1332="","",Receipts!$C1332)</f>
        <v/>
      </c>
      <c r="C1329" s="18" t="str">
        <f>IF($A1329="","",IFERROR(INDEX(Items!$B$5:$B$597,MATCH($A1329,Items!$A$5:$A$597,0)),""))</f>
        <v/>
      </c>
      <c r="D1329" s="23" t="str">
        <f>IF($A1329="","",N(Receipts!$G1332))</f>
        <v/>
      </c>
      <c r="E1329" s="20" t="str">
        <f>IF($A1329="","",IFERROR(INDEX(Items!$D$5:$D$597,MATCH($A1329,Items!$A$5:$A$597,0)),0))</f>
        <v/>
      </c>
      <c r="F1329" s="21" t="str">
        <f t="shared" si="100"/>
        <v/>
      </c>
      <c r="G1329" s="25" t="str">
        <f>IF(Receipts!$I1332="","",Receipts!$I1332)</f>
        <v/>
      </c>
      <c r="H1329" s="25" t="str">
        <f>IF(Receipts!$H1332="","",Receipts!$H1332)</f>
        <v/>
      </c>
      <c r="I1329" s="26" t="str">
        <f t="shared" ca="1" si="101"/>
        <v/>
      </c>
      <c r="J1329" s="26" t="str">
        <f>IF($A1329="","",COUNTIFS(tblReceipts[Item Name],$A1329,tblReceipts[Expiry Date],"&lt;"&amp;$H1329)+COUNTIFS(tblReceipts[Item Name],$A1329,tblReceipts[Expiry Date],$H1329,tblReceipts[Lot Number],"&lt;="&amp;Receipts!$C1332))</f>
        <v/>
      </c>
      <c r="K1329" s="26" t="str">
        <f>IF($A1329="","",SUMIFS(tblReceipts[Qty Received],tblReceipts[Item Name],$A1329,tblReceipts[Expiry Date],"&lt;"&amp;$H1329)+SUMIFS(tblReceipts[Qty Received],tblReceipts[Item Name],$A1329,tblReceipts[Expiry Date],$H1329,tblReceipts[Lot Number],"&lt;"&amp;Receipts!$C1332))</f>
        <v/>
      </c>
      <c r="L1329" s="26" t="str">
        <f>IF($A1329="","",MIN($D1329,MAX(0,SUMIFS(tblIssues[Qty Issued],tblIssues[Item Name],$A1329)-$K1329)))</f>
        <v/>
      </c>
      <c r="M1329" s="26" t="str">
        <f>IF($A1329="","",SUMIFS(tblIssues[Qty Issued],tblIssues[Lot Number],$B1329))</f>
        <v/>
      </c>
      <c r="N1329" s="26" t="str">
        <f t="shared" si="102"/>
        <v/>
      </c>
      <c r="O1329" s="26" t="str">
        <f t="shared" si="103"/>
        <v/>
      </c>
      <c r="P1329" s="21" t="str">
        <f t="shared" si="104"/>
        <v/>
      </c>
      <c r="Q1329" s="52" t="str">
        <f>IF($A1329="","",IF($O1329&lt;=0,"Depleted",IF($I1329&lt;0,"EXPIRED",IF($I1329&lt;=Settings!$C$6,"CRITICAL",IF($I1329&lt;=Settings!$C$5,"Expiring","In date")))))</f>
        <v/>
      </c>
    </row>
    <row r="1330" spans="1:17" x14ac:dyDescent="0.35">
      <c r="A1330" s="90" t="str">
        <f>IF(Receipts!$D1333="","",Receipts!$D1333)</f>
        <v/>
      </c>
      <c r="B1330" s="18" t="str">
        <f>IF(Receipts!$C1333="","",Receipts!$C1333)</f>
        <v/>
      </c>
      <c r="C1330" s="18" t="str">
        <f>IF($A1330="","",IFERROR(INDEX(Items!$B$5:$B$597,MATCH($A1330,Items!$A$5:$A$597,0)),""))</f>
        <v/>
      </c>
      <c r="D1330" s="23" t="str">
        <f>IF($A1330="","",N(Receipts!$G1333))</f>
        <v/>
      </c>
      <c r="E1330" s="20" t="str">
        <f>IF($A1330="","",IFERROR(INDEX(Items!$D$5:$D$597,MATCH($A1330,Items!$A$5:$A$597,0)),0))</f>
        <v/>
      </c>
      <c r="F1330" s="21" t="str">
        <f t="shared" si="100"/>
        <v/>
      </c>
      <c r="G1330" s="25" t="str">
        <f>IF(Receipts!$I1333="","",Receipts!$I1333)</f>
        <v/>
      </c>
      <c r="H1330" s="25" t="str">
        <f>IF(Receipts!$H1333="","",Receipts!$H1333)</f>
        <v/>
      </c>
      <c r="I1330" s="26" t="str">
        <f t="shared" ca="1" si="101"/>
        <v/>
      </c>
      <c r="J1330" s="26" t="str">
        <f>IF($A1330="","",COUNTIFS(tblReceipts[Item Name],$A1330,tblReceipts[Expiry Date],"&lt;"&amp;$H1330)+COUNTIFS(tblReceipts[Item Name],$A1330,tblReceipts[Expiry Date],$H1330,tblReceipts[Lot Number],"&lt;="&amp;Receipts!$C1333))</f>
        <v/>
      </c>
      <c r="K1330" s="26" t="str">
        <f>IF($A1330="","",SUMIFS(tblReceipts[Qty Received],tblReceipts[Item Name],$A1330,tblReceipts[Expiry Date],"&lt;"&amp;$H1330)+SUMIFS(tblReceipts[Qty Received],tblReceipts[Item Name],$A1330,tblReceipts[Expiry Date],$H1330,tblReceipts[Lot Number],"&lt;"&amp;Receipts!$C1333))</f>
        <v/>
      </c>
      <c r="L1330" s="26" t="str">
        <f>IF($A1330="","",MIN($D1330,MAX(0,SUMIFS(tblIssues[Qty Issued],tblIssues[Item Name],$A1330)-$K1330)))</f>
        <v/>
      </c>
      <c r="M1330" s="26" t="str">
        <f>IF($A1330="","",SUMIFS(tblIssues[Qty Issued],tblIssues[Lot Number],$B1330))</f>
        <v/>
      </c>
      <c r="N1330" s="26" t="str">
        <f t="shared" si="102"/>
        <v/>
      </c>
      <c r="O1330" s="26" t="str">
        <f t="shared" si="103"/>
        <v/>
      </c>
      <c r="P1330" s="21" t="str">
        <f t="shared" si="104"/>
        <v/>
      </c>
      <c r="Q1330" s="52" t="str">
        <f>IF($A1330="","",IF($O1330&lt;=0,"Depleted",IF($I1330&lt;0,"EXPIRED",IF($I1330&lt;=Settings!$C$6,"CRITICAL",IF($I1330&lt;=Settings!$C$5,"Expiring","In date")))))</f>
        <v/>
      </c>
    </row>
    <row r="1331" spans="1:17" x14ac:dyDescent="0.35">
      <c r="A1331" s="90" t="str">
        <f>IF(Receipts!$D1334="","",Receipts!$D1334)</f>
        <v/>
      </c>
      <c r="B1331" s="18" t="str">
        <f>IF(Receipts!$C1334="","",Receipts!$C1334)</f>
        <v/>
      </c>
      <c r="C1331" s="18" t="str">
        <f>IF($A1331="","",IFERROR(INDEX(Items!$B$5:$B$597,MATCH($A1331,Items!$A$5:$A$597,0)),""))</f>
        <v/>
      </c>
      <c r="D1331" s="23" t="str">
        <f>IF($A1331="","",N(Receipts!$G1334))</f>
        <v/>
      </c>
      <c r="E1331" s="20" t="str">
        <f>IF($A1331="","",IFERROR(INDEX(Items!$D$5:$D$597,MATCH($A1331,Items!$A$5:$A$597,0)),0))</f>
        <v/>
      </c>
      <c r="F1331" s="21" t="str">
        <f t="shared" si="100"/>
        <v/>
      </c>
      <c r="G1331" s="25" t="str">
        <f>IF(Receipts!$I1334="","",Receipts!$I1334)</f>
        <v/>
      </c>
      <c r="H1331" s="25" t="str">
        <f>IF(Receipts!$H1334="","",Receipts!$H1334)</f>
        <v/>
      </c>
      <c r="I1331" s="26" t="str">
        <f t="shared" ca="1" si="101"/>
        <v/>
      </c>
      <c r="J1331" s="26" t="str">
        <f>IF($A1331="","",COUNTIFS(tblReceipts[Item Name],$A1331,tblReceipts[Expiry Date],"&lt;"&amp;$H1331)+COUNTIFS(tblReceipts[Item Name],$A1331,tblReceipts[Expiry Date],$H1331,tblReceipts[Lot Number],"&lt;="&amp;Receipts!$C1334))</f>
        <v/>
      </c>
      <c r="K1331" s="26" t="str">
        <f>IF($A1331="","",SUMIFS(tblReceipts[Qty Received],tblReceipts[Item Name],$A1331,tblReceipts[Expiry Date],"&lt;"&amp;$H1331)+SUMIFS(tblReceipts[Qty Received],tblReceipts[Item Name],$A1331,tblReceipts[Expiry Date],$H1331,tblReceipts[Lot Number],"&lt;"&amp;Receipts!$C1334))</f>
        <v/>
      </c>
      <c r="L1331" s="26" t="str">
        <f>IF($A1331="","",MIN($D1331,MAX(0,SUMIFS(tblIssues[Qty Issued],tblIssues[Item Name],$A1331)-$K1331)))</f>
        <v/>
      </c>
      <c r="M1331" s="26" t="str">
        <f>IF($A1331="","",SUMIFS(tblIssues[Qty Issued],tblIssues[Lot Number],$B1331))</f>
        <v/>
      </c>
      <c r="N1331" s="26" t="str">
        <f t="shared" si="102"/>
        <v/>
      </c>
      <c r="O1331" s="26" t="str">
        <f t="shared" si="103"/>
        <v/>
      </c>
      <c r="P1331" s="21" t="str">
        <f t="shared" si="104"/>
        <v/>
      </c>
      <c r="Q1331" s="52" t="str">
        <f>IF($A1331="","",IF($O1331&lt;=0,"Depleted",IF($I1331&lt;0,"EXPIRED",IF($I1331&lt;=Settings!$C$6,"CRITICAL",IF($I1331&lt;=Settings!$C$5,"Expiring","In date")))))</f>
        <v/>
      </c>
    </row>
    <row r="1332" spans="1:17" x14ac:dyDescent="0.35">
      <c r="A1332" s="90" t="str">
        <f>IF(Receipts!$D1335="","",Receipts!$D1335)</f>
        <v/>
      </c>
      <c r="B1332" s="18" t="str">
        <f>IF(Receipts!$C1335="","",Receipts!$C1335)</f>
        <v/>
      </c>
      <c r="C1332" s="18" t="str">
        <f>IF($A1332="","",IFERROR(INDEX(Items!$B$5:$B$597,MATCH($A1332,Items!$A$5:$A$597,0)),""))</f>
        <v/>
      </c>
      <c r="D1332" s="23" t="str">
        <f>IF($A1332="","",N(Receipts!$G1335))</f>
        <v/>
      </c>
      <c r="E1332" s="20" t="str">
        <f>IF($A1332="","",IFERROR(INDEX(Items!$D$5:$D$597,MATCH($A1332,Items!$A$5:$A$597,0)),0))</f>
        <v/>
      </c>
      <c r="F1332" s="21" t="str">
        <f t="shared" si="100"/>
        <v/>
      </c>
      <c r="G1332" s="25" t="str">
        <f>IF(Receipts!$I1335="","",Receipts!$I1335)</f>
        <v/>
      </c>
      <c r="H1332" s="25" t="str">
        <f>IF(Receipts!$H1335="","",Receipts!$H1335)</f>
        <v/>
      </c>
      <c r="I1332" s="26" t="str">
        <f t="shared" ca="1" si="101"/>
        <v/>
      </c>
      <c r="J1332" s="26" t="str">
        <f>IF($A1332="","",COUNTIFS(tblReceipts[Item Name],$A1332,tblReceipts[Expiry Date],"&lt;"&amp;$H1332)+COUNTIFS(tblReceipts[Item Name],$A1332,tblReceipts[Expiry Date],$H1332,tblReceipts[Lot Number],"&lt;="&amp;Receipts!$C1335))</f>
        <v/>
      </c>
      <c r="K1332" s="26" t="str">
        <f>IF($A1332="","",SUMIFS(tblReceipts[Qty Received],tblReceipts[Item Name],$A1332,tblReceipts[Expiry Date],"&lt;"&amp;$H1332)+SUMIFS(tblReceipts[Qty Received],tblReceipts[Item Name],$A1332,tblReceipts[Expiry Date],$H1332,tblReceipts[Lot Number],"&lt;"&amp;Receipts!$C1335))</f>
        <v/>
      </c>
      <c r="L1332" s="26" t="str">
        <f>IF($A1332="","",MIN($D1332,MAX(0,SUMIFS(tblIssues[Qty Issued],tblIssues[Item Name],$A1332)-$K1332)))</f>
        <v/>
      </c>
      <c r="M1332" s="26" t="str">
        <f>IF($A1332="","",SUMIFS(tblIssues[Qty Issued],tblIssues[Lot Number],$B1332))</f>
        <v/>
      </c>
      <c r="N1332" s="26" t="str">
        <f t="shared" si="102"/>
        <v/>
      </c>
      <c r="O1332" s="26" t="str">
        <f t="shared" si="103"/>
        <v/>
      </c>
      <c r="P1332" s="21" t="str">
        <f t="shared" si="104"/>
        <v/>
      </c>
      <c r="Q1332" s="52" t="str">
        <f>IF($A1332="","",IF($O1332&lt;=0,"Depleted",IF($I1332&lt;0,"EXPIRED",IF($I1332&lt;=Settings!$C$6,"CRITICAL",IF($I1332&lt;=Settings!$C$5,"Expiring","In date")))))</f>
        <v/>
      </c>
    </row>
    <row r="1333" spans="1:17" x14ac:dyDescent="0.35">
      <c r="A1333" s="90" t="str">
        <f>IF(Receipts!$D1336="","",Receipts!$D1336)</f>
        <v/>
      </c>
      <c r="B1333" s="18" t="str">
        <f>IF(Receipts!$C1336="","",Receipts!$C1336)</f>
        <v/>
      </c>
      <c r="C1333" s="18" t="str">
        <f>IF($A1333="","",IFERROR(INDEX(Items!$B$5:$B$597,MATCH($A1333,Items!$A$5:$A$597,0)),""))</f>
        <v/>
      </c>
      <c r="D1333" s="23" t="str">
        <f>IF($A1333="","",N(Receipts!$G1336))</f>
        <v/>
      </c>
      <c r="E1333" s="20" t="str">
        <f>IF($A1333="","",IFERROR(INDEX(Items!$D$5:$D$597,MATCH($A1333,Items!$A$5:$A$597,0)),0))</f>
        <v/>
      </c>
      <c r="F1333" s="21" t="str">
        <f t="shared" si="100"/>
        <v/>
      </c>
      <c r="G1333" s="25" t="str">
        <f>IF(Receipts!$I1336="","",Receipts!$I1336)</f>
        <v/>
      </c>
      <c r="H1333" s="25" t="str">
        <f>IF(Receipts!$H1336="","",Receipts!$H1336)</f>
        <v/>
      </c>
      <c r="I1333" s="26" t="str">
        <f t="shared" ca="1" si="101"/>
        <v/>
      </c>
      <c r="J1333" s="26" t="str">
        <f>IF($A1333="","",COUNTIFS(tblReceipts[Item Name],$A1333,tblReceipts[Expiry Date],"&lt;"&amp;$H1333)+COUNTIFS(tblReceipts[Item Name],$A1333,tblReceipts[Expiry Date],$H1333,tblReceipts[Lot Number],"&lt;="&amp;Receipts!$C1336))</f>
        <v/>
      </c>
      <c r="K1333" s="26" t="str">
        <f>IF($A1333="","",SUMIFS(tblReceipts[Qty Received],tblReceipts[Item Name],$A1333,tblReceipts[Expiry Date],"&lt;"&amp;$H1333)+SUMIFS(tblReceipts[Qty Received],tblReceipts[Item Name],$A1333,tblReceipts[Expiry Date],$H1333,tblReceipts[Lot Number],"&lt;"&amp;Receipts!$C1336))</f>
        <v/>
      </c>
      <c r="L1333" s="26" t="str">
        <f>IF($A1333="","",MIN($D1333,MAX(0,SUMIFS(tblIssues[Qty Issued],tblIssues[Item Name],$A1333)-$K1333)))</f>
        <v/>
      </c>
      <c r="M1333" s="26" t="str">
        <f>IF($A1333="","",SUMIFS(tblIssues[Qty Issued],tblIssues[Lot Number],$B1333))</f>
        <v/>
      </c>
      <c r="N1333" s="26" t="str">
        <f t="shared" si="102"/>
        <v/>
      </c>
      <c r="O1333" s="26" t="str">
        <f t="shared" si="103"/>
        <v/>
      </c>
      <c r="P1333" s="21" t="str">
        <f t="shared" si="104"/>
        <v/>
      </c>
      <c r="Q1333" s="52" t="str">
        <f>IF($A1333="","",IF($O1333&lt;=0,"Depleted",IF($I1333&lt;0,"EXPIRED",IF($I1333&lt;=Settings!$C$6,"CRITICAL",IF($I1333&lt;=Settings!$C$5,"Expiring","In date")))))</f>
        <v/>
      </c>
    </row>
    <row r="1334" spans="1:17" x14ac:dyDescent="0.35">
      <c r="A1334" s="90" t="str">
        <f>IF(Receipts!$D1337="","",Receipts!$D1337)</f>
        <v/>
      </c>
      <c r="B1334" s="18" t="str">
        <f>IF(Receipts!$C1337="","",Receipts!$C1337)</f>
        <v/>
      </c>
      <c r="C1334" s="18" t="str">
        <f>IF($A1334="","",IFERROR(INDEX(Items!$B$5:$B$597,MATCH($A1334,Items!$A$5:$A$597,0)),""))</f>
        <v/>
      </c>
      <c r="D1334" s="23" t="str">
        <f>IF($A1334="","",N(Receipts!$G1337))</f>
        <v/>
      </c>
      <c r="E1334" s="20" t="str">
        <f>IF($A1334="","",IFERROR(INDEX(Items!$D$5:$D$597,MATCH($A1334,Items!$A$5:$A$597,0)),0))</f>
        <v/>
      </c>
      <c r="F1334" s="21" t="str">
        <f t="shared" si="100"/>
        <v/>
      </c>
      <c r="G1334" s="25" t="str">
        <f>IF(Receipts!$I1337="","",Receipts!$I1337)</f>
        <v/>
      </c>
      <c r="H1334" s="25" t="str">
        <f>IF(Receipts!$H1337="","",Receipts!$H1337)</f>
        <v/>
      </c>
      <c r="I1334" s="26" t="str">
        <f t="shared" ca="1" si="101"/>
        <v/>
      </c>
      <c r="J1334" s="26" t="str">
        <f>IF($A1334="","",COUNTIFS(tblReceipts[Item Name],$A1334,tblReceipts[Expiry Date],"&lt;"&amp;$H1334)+COUNTIFS(tblReceipts[Item Name],$A1334,tblReceipts[Expiry Date],$H1334,tblReceipts[Lot Number],"&lt;="&amp;Receipts!$C1337))</f>
        <v/>
      </c>
      <c r="K1334" s="26" t="str">
        <f>IF($A1334="","",SUMIFS(tblReceipts[Qty Received],tblReceipts[Item Name],$A1334,tblReceipts[Expiry Date],"&lt;"&amp;$H1334)+SUMIFS(tblReceipts[Qty Received],tblReceipts[Item Name],$A1334,tblReceipts[Expiry Date],$H1334,tblReceipts[Lot Number],"&lt;"&amp;Receipts!$C1337))</f>
        <v/>
      </c>
      <c r="L1334" s="26" t="str">
        <f>IF($A1334="","",MIN($D1334,MAX(0,SUMIFS(tblIssues[Qty Issued],tblIssues[Item Name],$A1334)-$K1334)))</f>
        <v/>
      </c>
      <c r="M1334" s="26" t="str">
        <f>IF($A1334="","",SUMIFS(tblIssues[Qty Issued],tblIssues[Lot Number],$B1334))</f>
        <v/>
      </c>
      <c r="N1334" s="26" t="str">
        <f t="shared" si="102"/>
        <v/>
      </c>
      <c r="O1334" s="26" t="str">
        <f t="shared" si="103"/>
        <v/>
      </c>
      <c r="P1334" s="21" t="str">
        <f t="shared" si="104"/>
        <v/>
      </c>
      <c r="Q1334" s="52" t="str">
        <f>IF($A1334="","",IF($O1334&lt;=0,"Depleted",IF($I1334&lt;0,"EXPIRED",IF($I1334&lt;=Settings!$C$6,"CRITICAL",IF($I1334&lt;=Settings!$C$5,"Expiring","In date")))))</f>
        <v/>
      </c>
    </row>
    <row r="1335" spans="1:17" x14ac:dyDescent="0.35">
      <c r="A1335" s="90" t="str">
        <f>IF(Receipts!$D1338="","",Receipts!$D1338)</f>
        <v/>
      </c>
      <c r="B1335" s="18" t="str">
        <f>IF(Receipts!$C1338="","",Receipts!$C1338)</f>
        <v/>
      </c>
      <c r="C1335" s="18" t="str">
        <f>IF($A1335="","",IFERROR(INDEX(Items!$B$5:$B$597,MATCH($A1335,Items!$A$5:$A$597,0)),""))</f>
        <v/>
      </c>
      <c r="D1335" s="23" t="str">
        <f>IF($A1335="","",N(Receipts!$G1338))</f>
        <v/>
      </c>
      <c r="E1335" s="20" t="str">
        <f>IF($A1335="","",IFERROR(INDEX(Items!$D$5:$D$597,MATCH($A1335,Items!$A$5:$A$597,0)),0))</f>
        <v/>
      </c>
      <c r="F1335" s="21" t="str">
        <f t="shared" si="100"/>
        <v/>
      </c>
      <c r="G1335" s="25" t="str">
        <f>IF(Receipts!$I1338="","",Receipts!$I1338)</f>
        <v/>
      </c>
      <c r="H1335" s="25" t="str">
        <f>IF(Receipts!$H1338="","",Receipts!$H1338)</f>
        <v/>
      </c>
      <c r="I1335" s="26" t="str">
        <f t="shared" ca="1" si="101"/>
        <v/>
      </c>
      <c r="J1335" s="26" t="str">
        <f>IF($A1335="","",COUNTIFS(tblReceipts[Item Name],$A1335,tblReceipts[Expiry Date],"&lt;"&amp;$H1335)+COUNTIFS(tblReceipts[Item Name],$A1335,tblReceipts[Expiry Date],$H1335,tblReceipts[Lot Number],"&lt;="&amp;Receipts!$C1338))</f>
        <v/>
      </c>
      <c r="K1335" s="26" t="str">
        <f>IF($A1335="","",SUMIFS(tblReceipts[Qty Received],tblReceipts[Item Name],$A1335,tblReceipts[Expiry Date],"&lt;"&amp;$H1335)+SUMIFS(tblReceipts[Qty Received],tblReceipts[Item Name],$A1335,tblReceipts[Expiry Date],$H1335,tblReceipts[Lot Number],"&lt;"&amp;Receipts!$C1338))</f>
        <v/>
      </c>
      <c r="L1335" s="26" t="str">
        <f>IF($A1335="","",MIN($D1335,MAX(0,SUMIFS(tblIssues[Qty Issued],tblIssues[Item Name],$A1335)-$K1335)))</f>
        <v/>
      </c>
      <c r="M1335" s="26" t="str">
        <f>IF($A1335="","",SUMIFS(tblIssues[Qty Issued],tblIssues[Lot Number],$B1335))</f>
        <v/>
      </c>
      <c r="N1335" s="26" t="str">
        <f t="shared" si="102"/>
        <v/>
      </c>
      <c r="O1335" s="26" t="str">
        <f t="shared" si="103"/>
        <v/>
      </c>
      <c r="P1335" s="21" t="str">
        <f t="shared" si="104"/>
        <v/>
      </c>
      <c r="Q1335" s="52" t="str">
        <f>IF($A1335="","",IF($O1335&lt;=0,"Depleted",IF($I1335&lt;0,"EXPIRED",IF($I1335&lt;=Settings!$C$6,"CRITICAL",IF($I1335&lt;=Settings!$C$5,"Expiring","In date")))))</f>
        <v/>
      </c>
    </row>
    <row r="1336" spans="1:17" x14ac:dyDescent="0.35">
      <c r="A1336" s="90" t="str">
        <f>IF(Receipts!$D1339="","",Receipts!$D1339)</f>
        <v/>
      </c>
      <c r="B1336" s="18" t="str">
        <f>IF(Receipts!$C1339="","",Receipts!$C1339)</f>
        <v/>
      </c>
      <c r="C1336" s="18" t="str">
        <f>IF($A1336="","",IFERROR(INDEX(Items!$B$5:$B$597,MATCH($A1336,Items!$A$5:$A$597,0)),""))</f>
        <v/>
      </c>
      <c r="D1336" s="23" t="str">
        <f>IF($A1336="","",N(Receipts!$G1339))</f>
        <v/>
      </c>
      <c r="E1336" s="20" t="str">
        <f>IF($A1336="","",IFERROR(INDEX(Items!$D$5:$D$597,MATCH($A1336,Items!$A$5:$A$597,0)),0))</f>
        <v/>
      </c>
      <c r="F1336" s="21" t="str">
        <f t="shared" si="100"/>
        <v/>
      </c>
      <c r="G1336" s="25" t="str">
        <f>IF(Receipts!$I1339="","",Receipts!$I1339)</f>
        <v/>
      </c>
      <c r="H1336" s="25" t="str">
        <f>IF(Receipts!$H1339="","",Receipts!$H1339)</f>
        <v/>
      </c>
      <c r="I1336" s="26" t="str">
        <f t="shared" ca="1" si="101"/>
        <v/>
      </c>
      <c r="J1336" s="26" t="str">
        <f>IF($A1336="","",COUNTIFS(tblReceipts[Item Name],$A1336,tblReceipts[Expiry Date],"&lt;"&amp;$H1336)+COUNTIFS(tblReceipts[Item Name],$A1336,tblReceipts[Expiry Date],$H1336,tblReceipts[Lot Number],"&lt;="&amp;Receipts!$C1339))</f>
        <v/>
      </c>
      <c r="K1336" s="26" t="str">
        <f>IF($A1336="","",SUMIFS(tblReceipts[Qty Received],tblReceipts[Item Name],$A1336,tblReceipts[Expiry Date],"&lt;"&amp;$H1336)+SUMIFS(tblReceipts[Qty Received],tblReceipts[Item Name],$A1336,tblReceipts[Expiry Date],$H1336,tblReceipts[Lot Number],"&lt;"&amp;Receipts!$C1339))</f>
        <v/>
      </c>
      <c r="L1336" s="26" t="str">
        <f>IF($A1336="","",MIN($D1336,MAX(0,SUMIFS(tblIssues[Qty Issued],tblIssues[Item Name],$A1336)-$K1336)))</f>
        <v/>
      </c>
      <c r="M1336" s="26" t="str">
        <f>IF($A1336="","",SUMIFS(tblIssues[Qty Issued],tblIssues[Lot Number],$B1336))</f>
        <v/>
      </c>
      <c r="N1336" s="26" t="str">
        <f t="shared" si="102"/>
        <v/>
      </c>
      <c r="O1336" s="26" t="str">
        <f t="shared" si="103"/>
        <v/>
      </c>
      <c r="P1336" s="21" t="str">
        <f t="shared" si="104"/>
        <v/>
      </c>
      <c r="Q1336" s="52" t="str">
        <f>IF($A1336="","",IF($O1336&lt;=0,"Depleted",IF($I1336&lt;0,"EXPIRED",IF($I1336&lt;=Settings!$C$6,"CRITICAL",IF($I1336&lt;=Settings!$C$5,"Expiring","In date")))))</f>
        <v/>
      </c>
    </row>
    <row r="1337" spans="1:17" x14ac:dyDescent="0.35">
      <c r="A1337" s="90" t="str">
        <f>IF(Receipts!$D1340="","",Receipts!$D1340)</f>
        <v/>
      </c>
      <c r="B1337" s="18" t="str">
        <f>IF(Receipts!$C1340="","",Receipts!$C1340)</f>
        <v/>
      </c>
      <c r="C1337" s="18" t="str">
        <f>IF($A1337="","",IFERROR(INDEX(Items!$B$5:$B$597,MATCH($A1337,Items!$A$5:$A$597,0)),""))</f>
        <v/>
      </c>
      <c r="D1337" s="23" t="str">
        <f>IF($A1337="","",N(Receipts!$G1340))</f>
        <v/>
      </c>
      <c r="E1337" s="20" t="str">
        <f>IF($A1337="","",IFERROR(INDEX(Items!$D$5:$D$597,MATCH($A1337,Items!$A$5:$A$597,0)),0))</f>
        <v/>
      </c>
      <c r="F1337" s="21" t="str">
        <f t="shared" si="100"/>
        <v/>
      </c>
      <c r="G1337" s="25" t="str">
        <f>IF(Receipts!$I1340="","",Receipts!$I1340)</f>
        <v/>
      </c>
      <c r="H1337" s="25" t="str">
        <f>IF(Receipts!$H1340="","",Receipts!$H1340)</f>
        <v/>
      </c>
      <c r="I1337" s="26" t="str">
        <f t="shared" ca="1" si="101"/>
        <v/>
      </c>
      <c r="J1337" s="26" t="str">
        <f>IF($A1337="","",COUNTIFS(tblReceipts[Item Name],$A1337,tblReceipts[Expiry Date],"&lt;"&amp;$H1337)+COUNTIFS(tblReceipts[Item Name],$A1337,tblReceipts[Expiry Date],$H1337,tblReceipts[Lot Number],"&lt;="&amp;Receipts!$C1340))</f>
        <v/>
      </c>
      <c r="K1337" s="26" t="str">
        <f>IF($A1337="","",SUMIFS(tblReceipts[Qty Received],tblReceipts[Item Name],$A1337,tblReceipts[Expiry Date],"&lt;"&amp;$H1337)+SUMIFS(tblReceipts[Qty Received],tblReceipts[Item Name],$A1337,tblReceipts[Expiry Date],$H1337,tblReceipts[Lot Number],"&lt;"&amp;Receipts!$C1340))</f>
        <v/>
      </c>
      <c r="L1337" s="26" t="str">
        <f>IF($A1337="","",MIN($D1337,MAX(0,SUMIFS(tblIssues[Qty Issued],tblIssues[Item Name],$A1337)-$K1337)))</f>
        <v/>
      </c>
      <c r="M1337" s="26" t="str">
        <f>IF($A1337="","",SUMIFS(tblIssues[Qty Issued],tblIssues[Lot Number],$B1337))</f>
        <v/>
      </c>
      <c r="N1337" s="26" t="str">
        <f t="shared" si="102"/>
        <v/>
      </c>
      <c r="O1337" s="26" t="str">
        <f t="shared" si="103"/>
        <v/>
      </c>
      <c r="P1337" s="21" t="str">
        <f t="shared" si="104"/>
        <v/>
      </c>
      <c r="Q1337" s="52" t="str">
        <f>IF($A1337="","",IF($O1337&lt;=0,"Depleted",IF($I1337&lt;0,"EXPIRED",IF($I1337&lt;=Settings!$C$6,"CRITICAL",IF($I1337&lt;=Settings!$C$5,"Expiring","In date")))))</f>
        <v/>
      </c>
    </row>
    <row r="1338" spans="1:17" x14ac:dyDescent="0.35">
      <c r="A1338" s="90" t="str">
        <f>IF(Receipts!$D1341="","",Receipts!$D1341)</f>
        <v/>
      </c>
      <c r="B1338" s="18" t="str">
        <f>IF(Receipts!$C1341="","",Receipts!$C1341)</f>
        <v/>
      </c>
      <c r="C1338" s="18" t="str">
        <f>IF($A1338="","",IFERROR(INDEX(Items!$B$5:$B$597,MATCH($A1338,Items!$A$5:$A$597,0)),""))</f>
        <v/>
      </c>
      <c r="D1338" s="23" t="str">
        <f>IF($A1338="","",N(Receipts!$G1341))</f>
        <v/>
      </c>
      <c r="E1338" s="20" t="str">
        <f>IF($A1338="","",IFERROR(INDEX(Items!$D$5:$D$597,MATCH($A1338,Items!$A$5:$A$597,0)),0))</f>
        <v/>
      </c>
      <c r="F1338" s="21" t="str">
        <f t="shared" si="100"/>
        <v/>
      </c>
      <c r="G1338" s="25" t="str">
        <f>IF(Receipts!$I1341="","",Receipts!$I1341)</f>
        <v/>
      </c>
      <c r="H1338" s="25" t="str">
        <f>IF(Receipts!$H1341="","",Receipts!$H1341)</f>
        <v/>
      </c>
      <c r="I1338" s="26" t="str">
        <f t="shared" ca="1" si="101"/>
        <v/>
      </c>
      <c r="J1338" s="26" t="str">
        <f>IF($A1338="","",COUNTIFS(tblReceipts[Item Name],$A1338,tblReceipts[Expiry Date],"&lt;"&amp;$H1338)+COUNTIFS(tblReceipts[Item Name],$A1338,tblReceipts[Expiry Date],$H1338,tblReceipts[Lot Number],"&lt;="&amp;Receipts!$C1341))</f>
        <v/>
      </c>
      <c r="K1338" s="26" t="str">
        <f>IF($A1338="","",SUMIFS(tblReceipts[Qty Received],tblReceipts[Item Name],$A1338,tblReceipts[Expiry Date],"&lt;"&amp;$H1338)+SUMIFS(tblReceipts[Qty Received],tblReceipts[Item Name],$A1338,tblReceipts[Expiry Date],$H1338,tblReceipts[Lot Number],"&lt;"&amp;Receipts!$C1341))</f>
        <v/>
      </c>
      <c r="L1338" s="26" t="str">
        <f>IF($A1338="","",MIN($D1338,MAX(0,SUMIFS(tblIssues[Qty Issued],tblIssues[Item Name],$A1338)-$K1338)))</f>
        <v/>
      </c>
      <c r="M1338" s="26" t="str">
        <f>IF($A1338="","",SUMIFS(tblIssues[Qty Issued],tblIssues[Lot Number],$B1338))</f>
        <v/>
      </c>
      <c r="N1338" s="26" t="str">
        <f t="shared" si="102"/>
        <v/>
      </c>
      <c r="O1338" s="26" t="str">
        <f t="shared" si="103"/>
        <v/>
      </c>
      <c r="P1338" s="21" t="str">
        <f t="shared" si="104"/>
        <v/>
      </c>
      <c r="Q1338" s="52" t="str">
        <f>IF($A1338="","",IF($O1338&lt;=0,"Depleted",IF($I1338&lt;0,"EXPIRED",IF($I1338&lt;=Settings!$C$6,"CRITICAL",IF($I1338&lt;=Settings!$C$5,"Expiring","In date")))))</f>
        <v/>
      </c>
    </row>
    <row r="1339" spans="1:17" x14ac:dyDescent="0.35">
      <c r="A1339" s="90" t="str">
        <f>IF(Receipts!$D1342="","",Receipts!$D1342)</f>
        <v/>
      </c>
      <c r="B1339" s="18" t="str">
        <f>IF(Receipts!$C1342="","",Receipts!$C1342)</f>
        <v/>
      </c>
      <c r="C1339" s="18" t="str">
        <f>IF($A1339="","",IFERROR(INDEX(Items!$B$5:$B$597,MATCH($A1339,Items!$A$5:$A$597,0)),""))</f>
        <v/>
      </c>
      <c r="D1339" s="23" t="str">
        <f>IF($A1339="","",N(Receipts!$G1342))</f>
        <v/>
      </c>
      <c r="E1339" s="20" t="str">
        <f>IF($A1339="","",IFERROR(INDEX(Items!$D$5:$D$597,MATCH($A1339,Items!$A$5:$A$597,0)),0))</f>
        <v/>
      </c>
      <c r="F1339" s="21" t="str">
        <f t="shared" si="100"/>
        <v/>
      </c>
      <c r="G1339" s="25" t="str">
        <f>IF(Receipts!$I1342="","",Receipts!$I1342)</f>
        <v/>
      </c>
      <c r="H1339" s="25" t="str">
        <f>IF(Receipts!$H1342="","",Receipts!$H1342)</f>
        <v/>
      </c>
      <c r="I1339" s="26" t="str">
        <f t="shared" ca="1" si="101"/>
        <v/>
      </c>
      <c r="J1339" s="26" t="str">
        <f>IF($A1339="","",COUNTIFS(tblReceipts[Item Name],$A1339,tblReceipts[Expiry Date],"&lt;"&amp;$H1339)+COUNTIFS(tblReceipts[Item Name],$A1339,tblReceipts[Expiry Date],$H1339,tblReceipts[Lot Number],"&lt;="&amp;Receipts!$C1342))</f>
        <v/>
      </c>
      <c r="K1339" s="26" t="str">
        <f>IF($A1339="","",SUMIFS(tblReceipts[Qty Received],tblReceipts[Item Name],$A1339,tblReceipts[Expiry Date],"&lt;"&amp;$H1339)+SUMIFS(tblReceipts[Qty Received],tblReceipts[Item Name],$A1339,tblReceipts[Expiry Date],$H1339,tblReceipts[Lot Number],"&lt;"&amp;Receipts!$C1342))</f>
        <v/>
      </c>
      <c r="L1339" s="26" t="str">
        <f>IF($A1339="","",MIN($D1339,MAX(0,SUMIFS(tblIssues[Qty Issued],tblIssues[Item Name],$A1339)-$K1339)))</f>
        <v/>
      </c>
      <c r="M1339" s="26" t="str">
        <f>IF($A1339="","",SUMIFS(tblIssues[Qty Issued],tblIssues[Lot Number],$B1339))</f>
        <v/>
      </c>
      <c r="N1339" s="26" t="str">
        <f t="shared" si="102"/>
        <v/>
      </c>
      <c r="O1339" s="26" t="str">
        <f t="shared" si="103"/>
        <v/>
      </c>
      <c r="P1339" s="21" t="str">
        <f t="shared" si="104"/>
        <v/>
      </c>
      <c r="Q1339" s="52" t="str">
        <f>IF($A1339="","",IF($O1339&lt;=0,"Depleted",IF($I1339&lt;0,"EXPIRED",IF($I1339&lt;=Settings!$C$6,"CRITICAL",IF($I1339&lt;=Settings!$C$5,"Expiring","In date")))))</f>
        <v/>
      </c>
    </row>
    <row r="1340" spans="1:17" x14ac:dyDescent="0.35">
      <c r="A1340" s="90" t="str">
        <f>IF(Receipts!$D1343="","",Receipts!$D1343)</f>
        <v/>
      </c>
      <c r="B1340" s="18" t="str">
        <f>IF(Receipts!$C1343="","",Receipts!$C1343)</f>
        <v/>
      </c>
      <c r="C1340" s="18" t="str">
        <f>IF($A1340="","",IFERROR(INDEX(Items!$B$5:$B$597,MATCH($A1340,Items!$A$5:$A$597,0)),""))</f>
        <v/>
      </c>
      <c r="D1340" s="23" t="str">
        <f>IF($A1340="","",N(Receipts!$G1343))</f>
        <v/>
      </c>
      <c r="E1340" s="20" t="str">
        <f>IF($A1340="","",IFERROR(INDEX(Items!$D$5:$D$597,MATCH($A1340,Items!$A$5:$A$597,0)),0))</f>
        <v/>
      </c>
      <c r="F1340" s="21" t="str">
        <f t="shared" si="100"/>
        <v/>
      </c>
      <c r="G1340" s="25" t="str">
        <f>IF(Receipts!$I1343="","",Receipts!$I1343)</f>
        <v/>
      </c>
      <c r="H1340" s="25" t="str">
        <f>IF(Receipts!$H1343="","",Receipts!$H1343)</f>
        <v/>
      </c>
      <c r="I1340" s="26" t="str">
        <f t="shared" ca="1" si="101"/>
        <v/>
      </c>
      <c r="J1340" s="26" t="str">
        <f>IF($A1340="","",COUNTIFS(tblReceipts[Item Name],$A1340,tblReceipts[Expiry Date],"&lt;"&amp;$H1340)+COUNTIFS(tblReceipts[Item Name],$A1340,tblReceipts[Expiry Date],$H1340,tblReceipts[Lot Number],"&lt;="&amp;Receipts!$C1343))</f>
        <v/>
      </c>
      <c r="K1340" s="26" t="str">
        <f>IF($A1340="","",SUMIFS(tblReceipts[Qty Received],tblReceipts[Item Name],$A1340,tblReceipts[Expiry Date],"&lt;"&amp;$H1340)+SUMIFS(tblReceipts[Qty Received],tblReceipts[Item Name],$A1340,tblReceipts[Expiry Date],$H1340,tblReceipts[Lot Number],"&lt;"&amp;Receipts!$C1343))</f>
        <v/>
      </c>
      <c r="L1340" s="26" t="str">
        <f>IF($A1340="","",MIN($D1340,MAX(0,SUMIFS(tblIssues[Qty Issued],tblIssues[Item Name],$A1340)-$K1340)))</f>
        <v/>
      </c>
      <c r="M1340" s="26" t="str">
        <f>IF($A1340="","",SUMIFS(tblIssues[Qty Issued],tblIssues[Lot Number],$B1340))</f>
        <v/>
      </c>
      <c r="N1340" s="26" t="str">
        <f t="shared" si="102"/>
        <v/>
      </c>
      <c r="O1340" s="26" t="str">
        <f t="shared" si="103"/>
        <v/>
      </c>
      <c r="P1340" s="21" t="str">
        <f t="shared" si="104"/>
        <v/>
      </c>
      <c r="Q1340" s="52" t="str">
        <f>IF($A1340="","",IF($O1340&lt;=0,"Depleted",IF($I1340&lt;0,"EXPIRED",IF($I1340&lt;=Settings!$C$6,"CRITICAL",IF($I1340&lt;=Settings!$C$5,"Expiring","In date")))))</f>
        <v/>
      </c>
    </row>
    <row r="1341" spans="1:17" x14ac:dyDescent="0.35">
      <c r="A1341" s="90" t="str">
        <f>IF(Receipts!$D1344="","",Receipts!$D1344)</f>
        <v/>
      </c>
      <c r="B1341" s="18" t="str">
        <f>IF(Receipts!$C1344="","",Receipts!$C1344)</f>
        <v/>
      </c>
      <c r="C1341" s="18" t="str">
        <f>IF($A1341="","",IFERROR(INDEX(Items!$B$5:$B$597,MATCH($A1341,Items!$A$5:$A$597,0)),""))</f>
        <v/>
      </c>
      <c r="D1341" s="23" t="str">
        <f>IF($A1341="","",N(Receipts!$G1344))</f>
        <v/>
      </c>
      <c r="E1341" s="20" t="str">
        <f>IF($A1341="","",IFERROR(INDEX(Items!$D$5:$D$597,MATCH($A1341,Items!$A$5:$A$597,0)),0))</f>
        <v/>
      </c>
      <c r="F1341" s="21" t="str">
        <f t="shared" si="100"/>
        <v/>
      </c>
      <c r="G1341" s="25" t="str">
        <f>IF(Receipts!$I1344="","",Receipts!$I1344)</f>
        <v/>
      </c>
      <c r="H1341" s="25" t="str">
        <f>IF(Receipts!$H1344="","",Receipts!$H1344)</f>
        <v/>
      </c>
      <c r="I1341" s="26" t="str">
        <f t="shared" ca="1" si="101"/>
        <v/>
      </c>
      <c r="J1341" s="26" t="str">
        <f>IF($A1341="","",COUNTIFS(tblReceipts[Item Name],$A1341,tblReceipts[Expiry Date],"&lt;"&amp;$H1341)+COUNTIFS(tblReceipts[Item Name],$A1341,tblReceipts[Expiry Date],$H1341,tblReceipts[Lot Number],"&lt;="&amp;Receipts!$C1344))</f>
        <v/>
      </c>
      <c r="K1341" s="26" t="str">
        <f>IF($A1341="","",SUMIFS(tblReceipts[Qty Received],tblReceipts[Item Name],$A1341,tblReceipts[Expiry Date],"&lt;"&amp;$H1341)+SUMIFS(tblReceipts[Qty Received],tblReceipts[Item Name],$A1341,tblReceipts[Expiry Date],$H1341,tblReceipts[Lot Number],"&lt;"&amp;Receipts!$C1344))</f>
        <v/>
      </c>
      <c r="L1341" s="26" t="str">
        <f>IF($A1341="","",MIN($D1341,MAX(0,SUMIFS(tblIssues[Qty Issued],tblIssues[Item Name],$A1341)-$K1341)))</f>
        <v/>
      </c>
      <c r="M1341" s="26" t="str">
        <f>IF($A1341="","",SUMIFS(tblIssues[Qty Issued],tblIssues[Lot Number],$B1341))</f>
        <v/>
      </c>
      <c r="N1341" s="26" t="str">
        <f t="shared" si="102"/>
        <v/>
      </c>
      <c r="O1341" s="26" t="str">
        <f t="shared" si="103"/>
        <v/>
      </c>
      <c r="P1341" s="21" t="str">
        <f t="shared" si="104"/>
        <v/>
      </c>
      <c r="Q1341" s="52" t="str">
        <f>IF($A1341="","",IF($O1341&lt;=0,"Depleted",IF($I1341&lt;0,"EXPIRED",IF($I1341&lt;=Settings!$C$6,"CRITICAL",IF($I1341&lt;=Settings!$C$5,"Expiring","In date")))))</f>
        <v/>
      </c>
    </row>
    <row r="1342" spans="1:17" x14ac:dyDescent="0.35">
      <c r="A1342" s="90" t="str">
        <f>IF(Receipts!$D1345="","",Receipts!$D1345)</f>
        <v/>
      </c>
      <c r="B1342" s="18" t="str">
        <f>IF(Receipts!$C1345="","",Receipts!$C1345)</f>
        <v/>
      </c>
      <c r="C1342" s="18" t="str">
        <f>IF($A1342="","",IFERROR(INDEX(Items!$B$5:$B$597,MATCH($A1342,Items!$A$5:$A$597,0)),""))</f>
        <v/>
      </c>
      <c r="D1342" s="23" t="str">
        <f>IF($A1342="","",N(Receipts!$G1345))</f>
        <v/>
      </c>
      <c r="E1342" s="20" t="str">
        <f>IF($A1342="","",IFERROR(INDEX(Items!$D$5:$D$597,MATCH($A1342,Items!$A$5:$A$597,0)),0))</f>
        <v/>
      </c>
      <c r="F1342" s="21" t="str">
        <f t="shared" si="100"/>
        <v/>
      </c>
      <c r="G1342" s="25" t="str">
        <f>IF(Receipts!$I1345="","",Receipts!$I1345)</f>
        <v/>
      </c>
      <c r="H1342" s="25" t="str">
        <f>IF(Receipts!$H1345="","",Receipts!$H1345)</f>
        <v/>
      </c>
      <c r="I1342" s="26" t="str">
        <f t="shared" ca="1" si="101"/>
        <v/>
      </c>
      <c r="J1342" s="26" t="str">
        <f>IF($A1342="","",COUNTIFS(tblReceipts[Item Name],$A1342,tblReceipts[Expiry Date],"&lt;"&amp;$H1342)+COUNTIFS(tblReceipts[Item Name],$A1342,tblReceipts[Expiry Date],$H1342,tblReceipts[Lot Number],"&lt;="&amp;Receipts!$C1345))</f>
        <v/>
      </c>
      <c r="K1342" s="26" t="str">
        <f>IF($A1342="","",SUMIFS(tblReceipts[Qty Received],tblReceipts[Item Name],$A1342,tblReceipts[Expiry Date],"&lt;"&amp;$H1342)+SUMIFS(tblReceipts[Qty Received],tblReceipts[Item Name],$A1342,tblReceipts[Expiry Date],$H1342,tblReceipts[Lot Number],"&lt;"&amp;Receipts!$C1345))</f>
        <v/>
      </c>
      <c r="L1342" s="26" t="str">
        <f>IF($A1342="","",MIN($D1342,MAX(0,SUMIFS(tblIssues[Qty Issued],tblIssues[Item Name],$A1342)-$K1342)))</f>
        <v/>
      </c>
      <c r="M1342" s="26" t="str">
        <f>IF($A1342="","",SUMIFS(tblIssues[Qty Issued],tblIssues[Lot Number],$B1342))</f>
        <v/>
      </c>
      <c r="N1342" s="26" t="str">
        <f t="shared" si="102"/>
        <v/>
      </c>
      <c r="O1342" s="26" t="str">
        <f t="shared" si="103"/>
        <v/>
      </c>
      <c r="P1342" s="21" t="str">
        <f t="shared" si="104"/>
        <v/>
      </c>
      <c r="Q1342" s="52" t="str">
        <f>IF($A1342="","",IF($O1342&lt;=0,"Depleted",IF($I1342&lt;0,"EXPIRED",IF($I1342&lt;=Settings!$C$6,"CRITICAL",IF($I1342&lt;=Settings!$C$5,"Expiring","In date")))))</f>
        <v/>
      </c>
    </row>
    <row r="1343" spans="1:17" x14ac:dyDescent="0.35">
      <c r="A1343" s="90" t="str">
        <f>IF(Receipts!$D1346="","",Receipts!$D1346)</f>
        <v/>
      </c>
      <c r="B1343" s="18" t="str">
        <f>IF(Receipts!$C1346="","",Receipts!$C1346)</f>
        <v/>
      </c>
      <c r="C1343" s="18" t="str">
        <f>IF($A1343="","",IFERROR(INDEX(Items!$B$5:$B$597,MATCH($A1343,Items!$A$5:$A$597,0)),""))</f>
        <v/>
      </c>
      <c r="D1343" s="23" t="str">
        <f>IF($A1343="","",N(Receipts!$G1346))</f>
        <v/>
      </c>
      <c r="E1343" s="20" t="str">
        <f>IF($A1343="","",IFERROR(INDEX(Items!$D$5:$D$597,MATCH($A1343,Items!$A$5:$A$597,0)),0))</f>
        <v/>
      </c>
      <c r="F1343" s="21" t="str">
        <f t="shared" si="100"/>
        <v/>
      </c>
      <c r="G1343" s="25" t="str">
        <f>IF(Receipts!$I1346="","",Receipts!$I1346)</f>
        <v/>
      </c>
      <c r="H1343" s="25" t="str">
        <f>IF(Receipts!$H1346="","",Receipts!$H1346)</f>
        <v/>
      </c>
      <c r="I1343" s="26" t="str">
        <f t="shared" ca="1" si="101"/>
        <v/>
      </c>
      <c r="J1343" s="26" t="str">
        <f>IF($A1343="","",COUNTIFS(tblReceipts[Item Name],$A1343,tblReceipts[Expiry Date],"&lt;"&amp;$H1343)+COUNTIFS(tblReceipts[Item Name],$A1343,tblReceipts[Expiry Date],$H1343,tblReceipts[Lot Number],"&lt;="&amp;Receipts!$C1346))</f>
        <v/>
      </c>
      <c r="K1343" s="26" t="str">
        <f>IF($A1343="","",SUMIFS(tblReceipts[Qty Received],tblReceipts[Item Name],$A1343,tblReceipts[Expiry Date],"&lt;"&amp;$H1343)+SUMIFS(tblReceipts[Qty Received],tblReceipts[Item Name],$A1343,tblReceipts[Expiry Date],$H1343,tblReceipts[Lot Number],"&lt;"&amp;Receipts!$C1346))</f>
        <v/>
      </c>
      <c r="L1343" s="26" t="str">
        <f>IF($A1343="","",MIN($D1343,MAX(0,SUMIFS(tblIssues[Qty Issued],tblIssues[Item Name],$A1343)-$K1343)))</f>
        <v/>
      </c>
      <c r="M1343" s="26" t="str">
        <f>IF($A1343="","",SUMIFS(tblIssues[Qty Issued],tblIssues[Lot Number],$B1343))</f>
        <v/>
      </c>
      <c r="N1343" s="26" t="str">
        <f t="shared" si="102"/>
        <v/>
      </c>
      <c r="O1343" s="26" t="str">
        <f t="shared" si="103"/>
        <v/>
      </c>
      <c r="P1343" s="21" t="str">
        <f t="shared" si="104"/>
        <v/>
      </c>
      <c r="Q1343" s="52" t="str">
        <f>IF($A1343="","",IF($O1343&lt;=0,"Depleted",IF($I1343&lt;0,"EXPIRED",IF($I1343&lt;=Settings!$C$6,"CRITICAL",IF($I1343&lt;=Settings!$C$5,"Expiring","In date")))))</f>
        <v/>
      </c>
    </row>
    <row r="1344" spans="1:17" x14ac:dyDescent="0.35">
      <c r="A1344" s="90" t="str">
        <f>IF(Receipts!$D1347="","",Receipts!$D1347)</f>
        <v/>
      </c>
      <c r="B1344" s="18" t="str">
        <f>IF(Receipts!$C1347="","",Receipts!$C1347)</f>
        <v/>
      </c>
      <c r="C1344" s="18" t="str">
        <f>IF($A1344="","",IFERROR(INDEX(Items!$B$5:$B$597,MATCH($A1344,Items!$A$5:$A$597,0)),""))</f>
        <v/>
      </c>
      <c r="D1344" s="23" t="str">
        <f>IF($A1344="","",N(Receipts!$G1347))</f>
        <v/>
      </c>
      <c r="E1344" s="20" t="str">
        <f>IF($A1344="","",IFERROR(INDEX(Items!$D$5:$D$597,MATCH($A1344,Items!$A$5:$A$597,0)),0))</f>
        <v/>
      </c>
      <c r="F1344" s="21" t="str">
        <f t="shared" si="100"/>
        <v/>
      </c>
      <c r="G1344" s="25" t="str">
        <f>IF(Receipts!$I1347="","",Receipts!$I1347)</f>
        <v/>
      </c>
      <c r="H1344" s="25" t="str">
        <f>IF(Receipts!$H1347="","",Receipts!$H1347)</f>
        <v/>
      </c>
      <c r="I1344" s="26" t="str">
        <f t="shared" ca="1" si="101"/>
        <v/>
      </c>
      <c r="J1344" s="26" t="str">
        <f>IF($A1344="","",COUNTIFS(tblReceipts[Item Name],$A1344,tblReceipts[Expiry Date],"&lt;"&amp;$H1344)+COUNTIFS(tblReceipts[Item Name],$A1344,tblReceipts[Expiry Date],$H1344,tblReceipts[Lot Number],"&lt;="&amp;Receipts!$C1347))</f>
        <v/>
      </c>
      <c r="K1344" s="26" t="str">
        <f>IF($A1344="","",SUMIFS(tblReceipts[Qty Received],tblReceipts[Item Name],$A1344,tblReceipts[Expiry Date],"&lt;"&amp;$H1344)+SUMIFS(tblReceipts[Qty Received],tblReceipts[Item Name],$A1344,tblReceipts[Expiry Date],$H1344,tblReceipts[Lot Number],"&lt;"&amp;Receipts!$C1347))</f>
        <v/>
      </c>
      <c r="L1344" s="26" t="str">
        <f>IF($A1344="","",MIN($D1344,MAX(0,SUMIFS(tblIssues[Qty Issued],tblIssues[Item Name],$A1344)-$K1344)))</f>
        <v/>
      </c>
      <c r="M1344" s="26" t="str">
        <f>IF($A1344="","",SUMIFS(tblIssues[Qty Issued],tblIssues[Lot Number],$B1344))</f>
        <v/>
      </c>
      <c r="N1344" s="26" t="str">
        <f t="shared" si="102"/>
        <v/>
      </c>
      <c r="O1344" s="26" t="str">
        <f t="shared" si="103"/>
        <v/>
      </c>
      <c r="P1344" s="21" t="str">
        <f t="shared" si="104"/>
        <v/>
      </c>
      <c r="Q1344" s="52" t="str">
        <f>IF($A1344="","",IF($O1344&lt;=0,"Depleted",IF($I1344&lt;0,"EXPIRED",IF($I1344&lt;=Settings!$C$6,"CRITICAL",IF($I1344&lt;=Settings!$C$5,"Expiring","In date")))))</f>
        <v/>
      </c>
    </row>
    <row r="1345" spans="1:17" x14ac:dyDescent="0.35">
      <c r="A1345" s="90" t="str">
        <f>IF(Receipts!$D1348="","",Receipts!$D1348)</f>
        <v/>
      </c>
      <c r="B1345" s="18" t="str">
        <f>IF(Receipts!$C1348="","",Receipts!$C1348)</f>
        <v/>
      </c>
      <c r="C1345" s="18" t="str">
        <f>IF($A1345="","",IFERROR(INDEX(Items!$B$5:$B$597,MATCH($A1345,Items!$A$5:$A$597,0)),""))</f>
        <v/>
      </c>
      <c r="D1345" s="23" t="str">
        <f>IF($A1345="","",N(Receipts!$G1348))</f>
        <v/>
      </c>
      <c r="E1345" s="20" t="str">
        <f>IF($A1345="","",IFERROR(INDEX(Items!$D$5:$D$597,MATCH($A1345,Items!$A$5:$A$597,0)),0))</f>
        <v/>
      </c>
      <c r="F1345" s="21" t="str">
        <f t="shared" si="100"/>
        <v/>
      </c>
      <c r="G1345" s="25" t="str">
        <f>IF(Receipts!$I1348="","",Receipts!$I1348)</f>
        <v/>
      </c>
      <c r="H1345" s="25" t="str">
        <f>IF(Receipts!$H1348="","",Receipts!$H1348)</f>
        <v/>
      </c>
      <c r="I1345" s="26" t="str">
        <f t="shared" ca="1" si="101"/>
        <v/>
      </c>
      <c r="J1345" s="26" t="str">
        <f>IF($A1345="","",COUNTIFS(tblReceipts[Item Name],$A1345,tblReceipts[Expiry Date],"&lt;"&amp;$H1345)+COUNTIFS(tblReceipts[Item Name],$A1345,tblReceipts[Expiry Date],$H1345,tblReceipts[Lot Number],"&lt;="&amp;Receipts!$C1348))</f>
        <v/>
      </c>
      <c r="K1345" s="26" t="str">
        <f>IF($A1345="","",SUMIFS(tblReceipts[Qty Received],tblReceipts[Item Name],$A1345,tblReceipts[Expiry Date],"&lt;"&amp;$H1345)+SUMIFS(tblReceipts[Qty Received],tblReceipts[Item Name],$A1345,tblReceipts[Expiry Date],$H1345,tblReceipts[Lot Number],"&lt;"&amp;Receipts!$C1348))</f>
        <v/>
      </c>
      <c r="L1345" s="26" t="str">
        <f>IF($A1345="","",MIN($D1345,MAX(0,SUMIFS(tblIssues[Qty Issued],tblIssues[Item Name],$A1345)-$K1345)))</f>
        <v/>
      </c>
      <c r="M1345" s="26" t="str">
        <f>IF($A1345="","",SUMIFS(tblIssues[Qty Issued],tblIssues[Lot Number],$B1345))</f>
        <v/>
      </c>
      <c r="N1345" s="26" t="str">
        <f t="shared" si="102"/>
        <v/>
      </c>
      <c r="O1345" s="26" t="str">
        <f t="shared" si="103"/>
        <v/>
      </c>
      <c r="P1345" s="21" t="str">
        <f t="shared" si="104"/>
        <v/>
      </c>
      <c r="Q1345" s="52" t="str">
        <f>IF($A1345="","",IF($O1345&lt;=0,"Depleted",IF($I1345&lt;0,"EXPIRED",IF($I1345&lt;=Settings!$C$6,"CRITICAL",IF($I1345&lt;=Settings!$C$5,"Expiring","In date")))))</f>
        <v/>
      </c>
    </row>
    <row r="1346" spans="1:17" x14ac:dyDescent="0.35">
      <c r="A1346" s="90" t="str">
        <f>IF(Receipts!$D1349="","",Receipts!$D1349)</f>
        <v/>
      </c>
      <c r="B1346" s="18" t="str">
        <f>IF(Receipts!$C1349="","",Receipts!$C1349)</f>
        <v/>
      </c>
      <c r="C1346" s="18" t="str">
        <f>IF($A1346="","",IFERROR(INDEX(Items!$B$5:$B$597,MATCH($A1346,Items!$A$5:$A$597,0)),""))</f>
        <v/>
      </c>
      <c r="D1346" s="23" t="str">
        <f>IF($A1346="","",N(Receipts!$G1349))</f>
        <v/>
      </c>
      <c r="E1346" s="20" t="str">
        <f>IF($A1346="","",IFERROR(INDEX(Items!$D$5:$D$597,MATCH($A1346,Items!$A$5:$A$597,0)),0))</f>
        <v/>
      </c>
      <c r="F1346" s="21" t="str">
        <f t="shared" si="100"/>
        <v/>
      </c>
      <c r="G1346" s="25" t="str">
        <f>IF(Receipts!$I1349="","",Receipts!$I1349)</f>
        <v/>
      </c>
      <c r="H1346" s="25" t="str">
        <f>IF(Receipts!$H1349="","",Receipts!$H1349)</f>
        <v/>
      </c>
      <c r="I1346" s="26" t="str">
        <f t="shared" ca="1" si="101"/>
        <v/>
      </c>
      <c r="J1346" s="26" t="str">
        <f>IF($A1346="","",COUNTIFS(tblReceipts[Item Name],$A1346,tblReceipts[Expiry Date],"&lt;"&amp;$H1346)+COUNTIFS(tblReceipts[Item Name],$A1346,tblReceipts[Expiry Date],$H1346,tblReceipts[Lot Number],"&lt;="&amp;Receipts!$C1349))</f>
        <v/>
      </c>
      <c r="K1346" s="26" t="str">
        <f>IF($A1346="","",SUMIFS(tblReceipts[Qty Received],tblReceipts[Item Name],$A1346,tblReceipts[Expiry Date],"&lt;"&amp;$H1346)+SUMIFS(tblReceipts[Qty Received],tblReceipts[Item Name],$A1346,tblReceipts[Expiry Date],$H1346,tblReceipts[Lot Number],"&lt;"&amp;Receipts!$C1349))</f>
        <v/>
      </c>
      <c r="L1346" s="26" t="str">
        <f>IF($A1346="","",MIN($D1346,MAX(0,SUMIFS(tblIssues[Qty Issued],tblIssues[Item Name],$A1346)-$K1346)))</f>
        <v/>
      </c>
      <c r="M1346" s="26" t="str">
        <f>IF($A1346="","",SUMIFS(tblIssues[Qty Issued],tblIssues[Lot Number],$B1346))</f>
        <v/>
      </c>
      <c r="N1346" s="26" t="str">
        <f t="shared" si="102"/>
        <v/>
      </c>
      <c r="O1346" s="26" t="str">
        <f t="shared" si="103"/>
        <v/>
      </c>
      <c r="P1346" s="21" t="str">
        <f t="shared" si="104"/>
        <v/>
      </c>
      <c r="Q1346" s="52" t="str">
        <f>IF($A1346="","",IF($O1346&lt;=0,"Depleted",IF($I1346&lt;0,"EXPIRED",IF($I1346&lt;=Settings!$C$6,"CRITICAL",IF($I1346&lt;=Settings!$C$5,"Expiring","In date")))))</f>
        <v/>
      </c>
    </row>
    <row r="1347" spans="1:17" x14ac:dyDescent="0.35">
      <c r="A1347" s="90" t="str">
        <f>IF(Receipts!$D1350="","",Receipts!$D1350)</f>
        <v/>
      </c>
      <c r="B1347" s="18" t="str">
        <f>IF(Receipts!$C1350="","",Receipts!$C1350)</f>
        <v/>
      </c>
      <c r="C1347" s="18" t="str">
        <f>IF($A1347="","",IFERROR(INDEX(Items!$B$5:$B$597,MATCH($A1347,Items!$A$5:$A$597,0)),""))</f>
        <v/>
      </c>
      <c r="D1347" s="23" t="str">
        <f>IF($A1347="","",N(Receipts!$G1350))</f>
        <v/>
      </c>
      <c r="E1347" s="20" t="str">
        <f>IF($A1347="","",IFERROR(INDEX(Items!$D$5:$D$597,MATCH($A1347,Items!$A$5:$A$597,0)),0))</f>
        <v/>
      </c>
      <c r="F1347" s="21" t="str">
        <f t="shared" si="100"/>
        <v/>
      </c>
      <c r="G1347" s="25" t="str">
        <f>IF(Receipts!$I1350="","",Receipts!$I1350)</f>
        <v/>
      </c>
      <c r="H1347" s="25" t="str">
        <f>IF(Receipts!$H1350="","",Receipts!$H1350)</f>
        <v/>
      </c>
      <c r="I1347" s="26" t="str">
        <f t="shared" ca="1" si="101"/>
        <v/>
      </c>
      <c r="J1347" s="26" t="str">
        <f>IF($A1347="","",COUNTIFS(tblReceipts[Item Name],$A1347,tblReceipts[Expiry Date],"&lt;"&amp;$H1347)+COUNTIFS(tblReceipts[Item Name],$A1347,tblReceipts[Expiry Date],$H1347,tblReceipts[Lot Number],"&lt;="&amp;Receipts!$C1350))</f>
        <v/>
      </c>
      <c r="K1347" s="26" t="str">
        <f>IF($A1347="","",SUMIFS(tblReceipts[Qty Received],tblReceipts[Item Name],$A1347,tblReceipts[Expiry Date],"&lt;"&amp;$H1347)+SUMIFS(tblReceipts[Qty Received],tblReceipts[Item Name],$A1347,tblReceipts[Expiry Date],$H1347,tblReceipts[Lot Number],"&lt;"&amp;Receipts!$C1350))</f>
        <v/>
      </c>
      <c r="L1347" s="26" t="str">
        <f>IF($A1347="","",MIN($D1347,MAX(0,SUMIFS(tblIssues[Qty Issued],tblIssues[Item Name],$A1347)-$K1347)))</f>
        <v/>
      </c>
      <c r="M1347" s="26" t="str">
        <f>IF($A1347="","",SUMIFS(tblIssues[Qty Issued],tblIssues[Lot Number],$B1347))</f>
        <v/>
      </c>
      <c r="N1347" s="26" t="str">
        <f t="shared" si="102"/>
        <v/>
      </c>
      <c r="O1347" s="26" t="str">
        <f t="shared" si="103"/>
        <v/>
      </c>
      <c r="P1347" s="21" t="str">
        <f t="shared" si="104"/>
        <v/>
      </c>
      <c r="Q1347" s="52" t="str">
        <f>IF($A1347="","",IF($O1347&lt;=0,"Depleted",IF($I1347&lt;0,"EXPIRED",IF($I1347&lt;=Settings!$C$6,"CRITICAL",IF($I1347&lt;=Settings!$C$5,"Expiring","In date")))))</f>
        <v/>
      </c>
    </row>
    <row r="1348" spans="1:17" x14ac:dyDescent="0.35">
      <c r="A1348" s="90" t="str">
        <f>IF(Receipts!$D1351="","",Receipts!$D1351)</f>
        <v/>
      </c>
      <c r="B1348" s="18" t="str">
        <f>IF(Receipts!$C1351="","",Receipts!$C1351)</f>
        <v/>
      </c>
      <c r="C1348" s="18" t="str">
        <f>IF($A1348="","",IFERROR(INDEX(Items!$B$5:$B$597,MATCH($A1348,Items!$A$5:$A$597,0)),""))</f>
        <v/>
      </c>
      <c r="D1348" s="23" t="str">
        <f>IF($A1348="","",N(Receipts!$G1351))</f>
        <v/>
      </c>
      <c r="E1348" s="20" t="str">
        <f>IF($A1348="","",IFERROR(INDEX(Items!$D$5:$D$597,MATCH($A1348,Items!$A$5:$A$597,0)),0))</f>
        <v/>
      </c>
      <c r="F1348" s="21" t="str">
        <f t="shared" si="100"/>
        <v/>
      </c>
      <c r="G1348" s="25" t="str">
        <f>IF(Receipts!$I1351="","",Receipts!$I1351)</f>
        <v/>
      </c>
      <c r="H1348" s="25" t="str">
        <f>IF(Receipts!$H1351="","",Receipts!$H1351)</f>
        <v/>
      </c>
      <c r="I1348" s="26" t="str">
        <f t="shared" ca="1" si="101"/>
        <v/>
      </c>
      <c r="J1348" s="26" t="str">
        <f>IF($A1348="","",COUNTIFS(tblReceipts[Item Name],$A1348,tblReceipts[Expiry Date],"&lt;"&amp;$H1348)+COUNTIFS(tblReceipts[Item Name],$A1348,tblReceipts[Expiry Date],$H1348,tblReceipts[Lot Number],"&lt;="&amp;Receipts!$C1351))</f>
        <v/>
      </c>
      <c r="K1348" s="26" t="str">
        <f>IF($A1348="","",SUMIFS(tblReceipts[Qty Received],tblReceipts[Item Name],$A1348,tblReceipts[Expiry Date],"&lt;"&amp;$H1348)+SUMIFS(tblReceipts[Qty Received],tblReceipts[Item Name],$A1348,tblReceipts[Expiry Date],$H1348,tblReceipts[Lot Number],"&lt;"&amp;Receipts!$C1351))</f>
        <v/>
      </c>
      <c r="L1348" s="26" t="str">
        <f>IF($A1348="","",MIN($D1348,MAX(0,SUMIFS(tblIssues[Qty Issued],tblIssues[Item Name],$A1348)-$K1348)))</f>
        <v/>
      </c>
      <c r="M1348" s="26" t="str">
        <f>IF($A1348="","",SUMIFS(tblIssues[Qty Issued],tblIssues[Lot Number],$B1348))</f>
        <v/>
      </c>
      <c r="N1348" s="26" t="str">
        <f t="shared" si="102"/>
        <v/>
      </c>
      <c r="O1348" s="26" t="str">
        <f t="shared" si="103"/>
        <v/>
      </c>
      <c r="P1348" s="21" t="str">
        <f t="shared" si="104"/>
        <v/>
      </c>
      <c r="Q1348" s="52" t="str">
        <f>IF($A1348="","",IF($O1348&lt;=0,"Depleted",IF($I1348&lt;0,"EXPIRED",IF($I1348&lt;=Settings!$C$6,"CRITICAL",IF($I1348&lt;=Settings!$C$5,"Expiring","In date")))))</f>
        <v/>
      </c>
    </row>
    <row r="1349" spans="1:17" x14ac:dyDescent="0.35">
      <c r="A1349" s="90" t="str">
        <f>IF(Receipts!$D1352="","",Receipts!$D1352)</f>
        <v/>
      </c>
      <c r="B1349" s="18" t="str">
        <f>IF(Receipts!$C1352="","",Receipts!$C1352)</f>
        <v/>
      </c>
      <c r="C1349" s="18" t="str">
        <f>IF($A1349="","",IFERROR(INDEX(Items!$B$5:$B$597,MATCH($A1349,Items!$A$5:$A$597,0)),""))</f>
        <v/>
      </c>
      <c r="D1349" s="23" t="str">
        <f>IF($A1349="","",N(Receipts!$G1352))</f>
        <v/>
      </c>
      <c r="E1349" s="20" t="str">
        <f>IF($A1349="","",IFERROR(INDEX(Items!$D$5:$D$597,MATCH($A1349,Items!$A$5:$A$597,0)),0))</f>
        <v/>
      </c>
      <c r="F1349" s="21" t="str">
        <f t="shared" ref="F1349:F1412" si="105">IF($A1349="","",$D1349*$E1349)</f>
        <v/>
      </c>
      <c r="G1349" s="25" t="str">
        <f>IF(Receipts!$I1352="","",Receipts!$I1352)</f>
        <v/>
      </c>
      <c r="H1349" s="25" t="str">
        <f>IF(Receipts!$H1352="","",Receipts!$H1352)</f>
        <v/>
      </c>
      <c r="I1349" s="26" t="str">
        <f t="shared" ref="I1349:I1412" ca="1" si="106">IF($H1349="","",$H1349-TODAY())</f>
        <v/>
      </c>
      <c r="J1349" s="26" t="str">
        <f>IF($A1349="","",COUNTIFS(tblReceipts[Item Name],$A1349,tblReceipts[Expiry Date],"&lt;"&amp;$H1349)+COUNTIFS(tblReceipts[Item Name],$A1349,tblReceipts[Expiry Date],$H1349,tblReceipts[Lot Number],"&lt;="&amp;Receipts!$C1352))</f>
        <v/>
      </c>
      <c r="K1349" s="26" t="str">
        <f>IF($A1349="","",SUMIFS(tblReceipts[Qty Received],tblReceipts[Item Name],$A1349,tblReceipts[Expiry Date],"&lt;"&amp;$H1349)+SUMIFS(tblReceipts[Qty Received],tblReceipts[Item Name],$A1349,tblReceipts[Expiry Date],$H1349,tblReceipts[Lot Number],"&lt;"&amp;Receipts!$C1352))</f>
        <v/>
      </c>
      <c r="L1349" s="26" t="str">
        <f>IF($A1349="","",MIN($D1349,MAX(0,SUMIFS(tblIssues[Qty Issued],tblIssues[Item Name],$A1349)-$K1349)))</f>
        <v/>
      </c>
      <c r="M1349" s="26" t="str">
        <f>IF($A1349="","",SUMIFS(tblIssues[Qty Issued],tblIssues[Lot Number],$B1349))</f>
        <v/>
      </c>
      <c r="N1349" s="26" t="str">
        <f t="shared" ref="N1349:N1412" si="107">IF($A1349="","",$M1349-$L1349)</f>
        <v/>
      </c>
      <c r="O1349" s="26" t="str">
        <f t="shared" ref="O1349:O1412" si="108">IF($A1349="","",$D1349-$L1349)</f>
        <v/>
      </c>
      <c r="P1349" s="21" t="str">
        <f t="shared" ref="P1349:P1412" si="109">IF($A1349="","",$O1349*$E1349)</f>
        <v/>
      </c>
      <c r="Q1349" s="52" t="str">
        <f>IF($A1349="","",IF($O1349&lt;=0,"Depleted",IF($I1349&lt;0,"EXPIRED",IF($I1349&lt;=Settings!$C$6,"CRITICAL",IF($I1349&lt;=Settings!$C$5,"Expiring","In date")))))</f>
        <v/>
      </c>
    </row>
    <row r="1350" spans="1:17" x14ac:dyDescent="0.35">
      <c r="A1350" s="90" t="str">
        <f>IF(Receipts!$D1353="","",Receipts!$D1353)</f>
        <v/>
      </c>
      <c r="B1350" s="18" t="str">
        <f>IF(Receipts!$C1353="","",Receipts!$C1353)</f>
        <v/>
      </c>
      <c r="C1350" s="18" t="str">
        <f>IF($A1350="","",IFERROR(INDEX(Items!$B$5:$B$597,MATCH($A1350,Items!$A$5:$A$597,0)),""))</f>
        <v/>
      </c>
      <c r="D1350" s="23" t="str">
        <f>IF($A1350="","",N(Receipts!$G1353))</f>
        <v/>
      </c>
      <c r="E1350" s="20" t="str">
        <f>IF($A1350="","",IFERROR(INDEX(Items!$D$5:$D$597,MATCH($A1350,Items!$A$5:$A$597,0)),0))</f>
        <v/>
      </c>
      <c r="F1350" s="21" t="str">
        <f t="shared" si="105"/>
        <v/>
      </c>
      <c r="G1350" s="25" t="str">
        <f>IF(Receipts!$I1353="","",Receipts!$I1353)</f>
        <v/>
      </c>
      <c r="H1350" s="25" t="str">
        <f>IF(Receipts!$H1353="","",Receipts!$H1353)</f>
        <v/>
      </c>
      <c r="I1350" s="26" t="str">
        <f t="shared" ca="1" si="106"/>
        <v/>
      </c>
      <c r="J1350" s="26" t="str">
        <f>IF($A1350="","",COUNTIFS(tblReceipts[Item Name],$A1350,tblReceipts[Expiry Date],"&lt;"&amp;$H1350)+COUNTIFS(tblReceipts[Item Name],$A1350,tblReceipts[Expiry Date],$H1350,tblReceipts[Lot Number],"&lt;="&amp;Receipts!$C1353))</f>
        <v/>
      </c>
      <c r="K1350" s="26" t="str">
        <f>IF($A1350="","",SUMIFS(tblReceipts[Qty Received],tblReceipts[Item Name],$A1350,tblReceipts[Expiry Date],"&lt;"&amp;$H1350)+SUMIFS(tblReceipts[Qty Received],tblReceipts[Item Name],$A1350,tblReceipts[Expiry Date],$H1350,tblReceipts[Lot Number],"&lt;"&amp;Receipts!$C1353))</f>
        <v/>
      </c>
      <c r="L1350" s="26" t="str">
        <f>IF($A1350="","",MIN($D1350,MAX(0,SUMIFS(tblIssues[Qty Issued],tblIssues[Item Name],$A1350)-$K1350)))</f>
        <v/>
      </c>
      <c r="M1350" s="26" t="str">
        <f>IF($A1350="","",SUMIFS(tblIssues[Qty Issued],tblIssues[Lot Number],$B1350))</f>
        <v/>
      </c>
      <c r="N1350" s="26" t="str">
        <f t="shared" si="107"/>
        <v/>
      </c>
      <c r="O1350" s="26" t="str">
        <f t="shared" si="108"/>
        <v/>
      </c>
      <c r="P1350" s="21" t="str">
        <f t="shared" si="109"/>
        <v/>
      </c>
      <c r="Q1350" s="52" t="str">
        <f>IF($A1350="","",IF($O1350&lt;=0,"Depleted",IF($I1350&lt;0,"EXPIRED",IF($I1350&lt;=Settings!$C$6,"CRITICAL",IF($I1350&lt;=Settings!$C$5,"Expiring","In date")))))</f>
        <v/>
      </c>
    </row>
    <row r="1351" spans="1:17" x14ac:dyDescent="0.35">
      <c r="A1351" s="90" t="str">
        <f>IF(Receipts!$D1354="","",Receipts!$D1354)</f>
        <v/>
      </c>
      <c r="B1351" s="18" t="str">
        <f>IF(Receipts!$C1354="","",Receipts!$C1354)</f>
        <v/>
      </c>
      <c r="C1351" s="18" t="str">
        <f>IF($A1351="","",IFERROR(INDEX(Items!$B$5:$B$597,MATCH($A1351,Items!$A$5:$A$597,0)),""))</f>
        <v/>
      </c>
      <c r="D1351" s="23" t="str">
        <f>IF($A1351="","",N(Receipts!$G1354))</f>
        <v/>
      </c>
      <c r="E1351" s="20" t="str">
        <f>IF($A1351="","",IFERROR(INDEX(Items!$D$5:$D$597,MATCH($A1351,Items!$A$5:$A$597,0)),0))</f>
        <v/>
      </c>
      <c r="F1351" s="21" t="str">
        <f t="shared" si="105"/>
        <v/>
      </c>
      <c r="G1351" s="25" t="str">
        <f>IF(Receipts!$I1354="","",Receipts!$I1354)</f>
        <v/>
      </c>
      <c r="H1351" s="25" t="str">
        <f>IF(Receipts!$H1354="","",Receipts!$H1354)</f>
        <v/>
      </c>
      <c r="I1351" s="26" t="str">
        <f t="shared" ca="1" si="106"/>
        <v/>
      </c>
      <c r="J1351" s="26" t="str">
        <f>IF($A1351="","",COUNTIFS(tblReceipts[Item Name],$A1351,tblReceipts[Expiry Date],"&lt;"&amp;$H1351)+COUNTIFS(tblReceipts[Item Name],$A1351,tblReceipts[Expiry Date],$H1351,tblReceipts[Lot Number],"&lt;="&amp;Receipts!$C1354))</f>
        <v/>
      </c>
      <c r="K1351" s="26" t="str">
        <f>IF($A1351="","",SUMIFS(tblReceipts[Qty Received],tblReceipts[Item Name],$A1351,tblReceipts[Expiry Date],"&lt;"&amp;$H1351)+SUMIFS(tblReceipts[Qty Received],tblReceipts[Item Name],$A1351,tblReceipts[Expiry Date],$H1351,tblReceipts[Lot Number],"&lt;"&amp;Receipts!$C1354))</f>
        <v/>
      </c>
      <c r="L1351" s="26" t="str">
        <f>IF($A1351="","",MIN($D1351,MAX(0,SUMIFS(tblIssues[Qty Issued],tblIssues[Item Name],$A1351)-$K1351)))</f>
        <v/>
      </c>
      <c r="M1351" s="26" t="str">
        <f>IF($A1351="","",SUMIFS(tblIssues[Qty Issued],tblIssues[Lot Number],$B1351))</f>
        <v/>
      </c>
      <c r="N1351" s="26" t="str">
        <f t="shared" si="107"/>
        <v/>
      </c>
      <c r="O1351" s="26" t="str">
        <f t="shared" si="108"/>
        <v/>
      </c>
      <c r="P1351" s="21" t="str">
        <f t="shared" si="109"/>
        <v/>
      </c>
      <c r="Q1351" s="52" t="str">
        <f>IF($A1351="","",IF($O1351&lt;=0,"Depleted",IF($I1351&lt;0,"EXPIRED",IF($I1351&lt;=Settings!$C$6,"CRITICAL",IF($I1351&lt;=Settings!$C$5,"Expiring","In date")))))</f>
        <v/>
      </c>
    </row>
    <row r="1352" spans="1:17" x14ac:dyDescent="0.35">
      <c r="A1352" s="90" t="str">
        <f>IF(Receipts!$D1355="","",Receipts!$D1355)</f>
        <v/>
      </c>
      <c r="B1352" s="18" t="str">
        <f>IF(Receipts!$C1355="","",Receipts!$C1355)</f>
        <v/>
      </c>
      <c r="C1352" s="18" t="str">
        <f>IF($A1352="","",IFERROR(INDEX(Items!$B$5:$B$597,MATCH($A1352,Items!$A$5:$A$597,0)),""))</f>
        <v/>
      </c>
      <c r="D1352" s="23" t="str">
        <f>IF($A1352="","",N(Receipts!$G1355))</f>
        <v/>
      </c>
      <c r="E1352" s="20" t="str">
        <f>IF($A1352="","",IFERROR(INDEX(Items!$D$5:$D$597,MATCH($A1352,Items!$A$5:$A$597,0)),0))</f>
        <v/>
      </c>
      <c r="F1352" s="21" t="str">
        <f t="shared" si="105"/>
        <v/>
      </c>
      <c r="G1352" s="25" t="str">
        <f>IF(Receipts!$I1355="","",Receipts!$I1355)</f>
        <v/>
      </c>
      <c r="H1352" s="25" t="str">
        <f>IF(Receipts!$H1355="","",Receipts!$H1355)</f>
        <v/>
      </c>
      <c r="I1352" s="26" t="str">
        <f t="shared" ca="1" si="106"/>
        <v/>
      </c>
      <c r="J1352" s="26" t="str">
        <f>IF($A1352="","",COUNTIFS(tblReceipts[Item Name],$A1352,tblReceipts[Expiry Date],"&lt;"&amp;$H1352)+COUNTIFS(tblReceipts[Item Name],$A1352,tblReceipts[Expiry Date],$H1352,tblReceipts[Lot Number],"&lt;="&amp;Receipts!$C1355))</f>
        <v/>
      </c>
      <c r="K1352" s="26" t="str">
        <f>IF($A1352="","",SUMIFS(tblReceipts[Qty Received],tblReceipts[Item Name],$A1352,tblReceipts[Expiry Date],"&lt;"&amp;$H1352)+SUMIFS(tblReceipts[Qty Received],tblReceipts[Item Name],$A1352,tblReceipts[Expiry Date],$H1352,tblReceipts[Lot Number],"&lt;"&amp;Receipts!$C1355))</f>
        <v/>
      </c>
      <c r="L1352" s="26" t="str">
        <f>IF($A1352="","",MIN($D1352,MAX(0,SUMIFS(tblIssues[Qty Issued],tblIssues[Item Name],$A1352)-$K1352)))</f>
        <v/>
      </c>
      <c r="M1352" s="26" t="str">
        <f>IF($A1352="","",SUMIFS(tblIssues[Qty Issued],tblIssues[Lot Number],$B1352))</f>
        <v/>
      </c>
      <c r="N1352" s="26" t="str">
        <f t="shared" si="107"/>
        <v/>
      </c>
      <c r="O1352" s="26" t="str">
        <f t="shared" si="108"/>
        <v/>
      </c>
      <c r="P1352" s="21" t="str">
        <f t="shared" si="109"/>
        <v/>
      </c>
      <c r="Q1352" s="52" t="str">
        <f>IF($A1352="","",IF($O1352&lt;=0,"Depleted",IF($I1352&lt;0,"EXPIRED",IF($I1352&lt;=Settings!$C$6,"CRITICAL",IF($I1352&lt;=Settings!$C$5,"Expiring","In date")))))</f>
        <v/>
      </c>
    </row>
    <row r="1353" spans="1:17" x14ac:dyDescent="0.35">
      <c r="A1353" s="90" t="str">
        <f>IF(Receipts!$D1356="","",Receipts!$D1356)</f>
        <v/>
      </c>
      <c r="B1353" s="18" t="str">
        <f>IF(Receipts!$C1356="","",Receipts!$C1356)</f>
        <v/>
      </c>
      <c r="C1353" s="18" t="str">
        <f>IF($A1353="","",IFERROR(INDEX(Items!$B$5:$B$597,MATCH($A1353,Items!$A$5:$A$597,0)),""))</f>
        <v/>
      </c>
      <c r="D1353" s="23" t="str">
        <f>IF($A1353="","",N(Receipts!$G1356))</f>
        <v/>
      </c>
      <c r="E1353" s="20" t="str">
        <f>IF($A1353="","",IFERROR(INDEX(Items!$D$5:$D$597,MATCH($A1353,Items!$A$5:$A$597,0)),0))</f>
        <v/>
      </c>
      <c r="F1353" s="21" t="str">
        <f t="shared" si="105"/>
        <v/>
      </c>
      <c r="G1353" s="25" t="str">
        <f>IF(Receipts!$I1356="","",Receipts!$I1356)</f>
        <v/>
      </c>
      <c r="H1353" s="25" t="str">
        <f>IF(Receipts!$H1356="","",Receipts!$H1356)</f>
        <v/>
      </c>
      <c r="I1353" s="26" t="str">
        <f t="shared" ca="1" si="106"/>
        <v/>
      </c>
      <c r="J1353" s="26" t="str">
        <f>IF($A1353="","",COUNTIFS(tblReceipts[Item Name],$A1353,tblReceipts[Expiry Date],"&lt;"&amp;$H1353)+COUNTIFS(tblReceipts[Item Name],$A1353,tblReceipts[Expiry Date],$H1353,tblReceipts[Lot Number],"&lt;="&amp;Receipts!$C1356))</f>
        <v/>
      </c>
      <c r="K1353" s="26" t="str">
        <f>IF($A1353="","",SUMIFS(tblReceipts[Qty Received],tblReceipts[Item Name],$A1353,tblReceipts[Expiry Date],"&lt;"&amp;$H1353)+SUMIFS(tblReceipts[Qty Received],tblReceipts[Item Name],$A1353,tblReceipts[Expiry Date],$H1353,tblReceipts[Lot Number],"&lt;"&amp;Receipts!$C1356))</f>
        <v/>
      </c>
      <c r="L1353" s="26" t="str">
        <f>IF($A1353="","",MIN($D1353,MAX(0,SUMIFS(tblIssues[Qty Issued],tblIssues[Item Name],$A1353)-$K1353)))</f>
        <v/>
      </c>
      <c r="M1353" s="26" t="str">
        <f>IF($A1353="","",SUMIFS(tblIssues[Qty Issued],tblIssues[Lot Number],$B1353))</f>
        <v/>
      </c>
      <c r="N1353" s="26" t="str">
        <f t="shared" si="107"/>
        <v/>
      </c>
      <c r="O1353" s="26" t="str">
        <f t="shared" si="108"/>
        <v/>
      </c>
      <c r="P1353" s="21" t="str">
        <f t="shared" si="109"/>
        <v/>
      </c>
      <c r="Q1353" s="52" t="str">
        <f>IF($A1353="","",IF($O1353&lt;=0,"Depleted",IF($I1353&lt;0,"EXPIRED",IF($I1353&lt;=Settings!$C$6,"CRITICAL",IF($I1353&lt;=Settings!$C$5,"Expiring","In date")))))</f>
        <v/>
      </c>
    </row>
    <row r="1354" spans="1:17" x14ac:dyDescent="0.35">
      <c r="A1354" s="90" t="str">
        <f>IF(Receipts!$D1357="","",Receipts!$D1357)</f>
        <v/>
      </c>
      <c r="B1354" s="18" t="str">
        <f>IF(Receipts!$C1357="","",Receipts!$C1357)</f>
        <v/>
      </c>
      <c r="C1354" s="18" t="str">
        <f>IF($A1354="","",IFERROR(INDEX(Items!$B$5:$B$597,MATCH($A1354,Items!$A$5:$A$597,0)),""))</f>
        <v/>
      </c>
      <c r="D1354" s="23" t="str">
        <f>IF($A1354="","",N(Receipts!$G1357))</f>
        <v/>
      </c>
      <c r="E1354" s="20" t="str">
        <f>IF($A1354="","",IFERROR(INDEX(Items!$D$5:$D$597,MATCH($A1354,Items!$A$5:$A$597,0)),0))</f>
        <v/>
      </c>
      <c r="F1354" s="21" t="str">
        <f t="shared" si="105"/>
        <v/>
      </c>
      <c r="G1354" s="25" t="str">
        <f>IF(Receipts!$I1357="","",Receipts!$I1357)</f>
        <v/>
      </c>
      <c r="H1354" s="25" t="str">
        <f>IF(Receipts!$H1357="","",Receipts!$H1357)</f>
        <v/>
      </c>
      <c r="I1354" s="26" t="str">
        <f t="shared" ca="1" si="106"/>
        <v/>
      </c>
      <c r="J1354" s="26" t="str">
        <f>IF($A1354="","",COUNTIFS(tblReceipts[Item Name],$A1354,tblReceipts[Expiry Date],"&lt;"&amp;$H1354)+COUNTIFS(tblReceipts[Item Name],$A1354,tblReceipts[Expiry Date],$H1354,tblReceipts[Lot Number],"&lt;="&amp;Receipts!$C1357))</f>
        <v/>
      </c>
      <c r="K1354" s="26" t="str">
        <f>IF($A1354="","",SUMIFS(tblReceipts[Qty Received],tblReceipts[Item Name],$A1354,tblReceipts[Expiry Date],"&lt;"&amp;$H1354)+SUMIFS(tblReceipts[Qty Received],tblReceipts[Item Name],$A1354,tblReceipts[Expiry Date],$H1354,tblReceipts[Lot Number],"&lt;"&amp;Receipts!$C1357))</f>
        <v/>
      </c>
      <c r="L1354" s="26" t="str">
        <f>IF($A1354="","",MIN($D1354,MAX(0,SUMIFS(tblIssues[Qty Issued],tblIssues[Item Name],$A1354)-$K1354)))</f>
        <v/>
      </c>
      <c r="M1354" s="26" t="str">
        <f>IF($A1354="","",SUMIFS(tblIssues[Qty Issued],tblIssues[Lot Number],$B1354))</f>
        <v/>
      </c>
      <c r="N1354" s="26" t="str">
        <f t="shared" si="107"/>
        <v/>
      </c>
      <c r="O1354" s="26" t="str">
        <f t="shared" si="108"/>
        <v/>
      </c>
      <c r="P1354" s="21" t="str">
        <f t="shared" si="109"/>
        <v/>
      </c>
      <c r="Q1354" s="52" t="str">
        <f>IF($A1354="","",IF($O1354&lt;=0,"Depleted",IF($I1354&lt;0,"EXPIRED",IF($I1354&lt;=Settings!$C$6,"CRITICAL",IF($I1354&lt;=Settings!$C$5,"Expiring","In date")))))</f>
        <v/>
      </c>
    </row>
    <row r="1355" spans="1:17" x14ac:dyDescent="0.35">
      <c r="A1355" s="90" t="str">
        <f>IF(Receipts!$D1358="","",Receipts!$D1358)</f>
        <v/>
      </c>
      <c r="B1355" s="18" t="str">
        <f>IF(Receipts!$C1358="","",Receipts!$C1358)</f>
        <v/>
      </c>
      <c r="C1355" s="18" t="str">
        <f>IF($A1355="","",IFERROR(INDEX(Items!$B$5:$B$597,MATCH($A1355,Items!$A$5:$A$597,0)),""))</f>
        <v/>
      </c>
      <c r="D1355" s="23" t="str">
        <f>IF($A1355="","",N(Receipts!$G1358))</f>
        <v/>
      </c>
      <c r="E1355" s="20" t="str">
        <f>IF($A1355="","",IFERROR(INDEX(Items!$D$5:$D$597,MATCH($A1355,Items!$A$5:$A$597,0)),0))</f>
        <v/>
      </c>
      <c r="F1355" s="21" t="str">
        <f t="shared" si="105"/>
        <v/>
      </c>
      <c r="G1355" s="25" t="str">
        <f>IF(Receipts!$I1358="","",Receipts!$I1358)</f>
        <v/>
      </c>
      <c r="H1355" s="25" t="str">
        <f>IF(Receipts!$H1358="","",Receipts!$H1358)</f>
        <v/>
      </c>
      <c r="I1355" s="26" t="str">
        <f t="shared" ca="1" si="106"/>
        <v/>
      </c>
      <c r="J1355" s="26" t="str">
        <f>IF($A1355="","",COUNTIFS(tblReceipts[Item Name],$A1355,tblReceipts[Expiry Date],"&lt;"&amp;$H1355)+COUNTIFS(tblReceipts[Item Name],$A1355,tblReceipts[Expiry Date],$H1355,tblReceipts[Lot Number],"&lt;="&amp;Receipts!$C1358))</f>
        <v/>
      </c>
      <c r="K1355" s="26" t="str">
        <f>IF($A1355="","",SUMIFS(tblReceipts[Qty Received],tblReceipts[Item Name],$A1355,tblReceipts[Expiry Date],"&lt;"&amp;$H1355)+SUMIFS(tblReceipts[Qty Received],tblReceipts[Item Name],$A1355,tblReceipts[Expiry Date],$H1355,tblReceipts[Lot Number],"&lt;"&amp;Receipts!$C1358))</f>
        <v/>
      </c>
      <c r="L1355" s="26" t="str">
        <f>IF($A1355="","",MIN($D1355,MAX(0,SUMIFS(tblIssues[Qty Issued],tblIssues[Item Name],$A1355)-$K1355)))</f>
        <v/>
      </c>
      <c r="M1355" s="26" t="str">
        <f>IF($A1355="","",SUMIFS(tblIssues[Qty Issued],tblIssues[Lot Number],$B1355))</f>
        <v/>
      </c>
      <c r="N1355" s="26" t="str">
        <f t="shared" si="107"/>
        <v/>
      </c>
      <c r="O1355" s="26" t="str">
        <f t="shared" si="108"/>
        <v/>
      </c>
      <c r="P1355" s="21" t="str">
        <f t="shared" si="109"/>
        <v/>
      </c>
      <c r="Q1355" s="52" t="str">
        <f>IF($A1355="","",IF($O1355&lt;=0,"Depleted",IF($I1355&lt;0,"EXPIRED",IF($I1355&lt;=Settings!$C$6,"CRITICAL",IF($I1355&lt;=Settings!$C$5,"Expiring","In date")))))</f>
        <v/>
      </c>
    </row>
    <row r="1356" spans="1:17" x14ac:dyDescent="0.35">
      <c r="A1356" s="90" t="str">
        <f>IF(Receipts!$D1359="","",Receipts!$D1359)</f>
        <v/>
      </c>
      <c r="B1356" s="18" t="str">
        <f>IF(Receipts!$C1359="","",Receipts!$C1359)</f>
        <v/>
      </c>
      <c r="C1356" s="18" t="str">
        <f>IF($A1356="","",IFERROR(INDEX(Items!$B$5:$B$597,MATCH($A1356,Items!$A$5:$A$597,0)),""))</f>
        <v/>
      </c>
      <c r="D1356" s="23" t="str">
        <f>IF($A1356="","",N(Receipts!$G1359))</f>
        <v/>
      </c>
      <c r="E1356" s="20" t="str">
        <f>IF($A1356="","",IFERROR(INDEX(Items!$D$5:$D$597,MATCH($A1356,Items!$A$5:$A$597,0)),0))</f>
        <v/>
      </c>
      <c r="F1356" s="21" t="str">
        <f t="shared" si="105"/>
        <v/>
      </c>
      <c r="G1356" s="25" t="str">
        <f>IF(Receipts!$I1359="","",Receipts!$I1359)</f>
        <v/>
      </c>
      <c r="H1356" s="25" t="str">
        <f>IF(Receipts!$H1359="","",Receipts!$H1359)</f>
        <v/>
      </c>
      <c r="I1356" s="26" t="str">
        <f t="shared" ca="1" si="106"/>
        <v/>
      </c>
      <c r="J1356" s="26" t="str">
        <f>IF($A1356="","",COUNTIFS(tblReceipts[Item Name],$A1356,tblReceipts[Expiry Date],"&lt;"&amp;$H1356)+COUNTIFS(tblReceipts[Item Name],$A1356,tblReceipts[Expiry Date],$H1356,tblReceipts[Lot Number],"&lt;="&amp;Receipts!$C1359))</f>
        <v/>
      </c>
      <c r="K1356" s="26" t="str">
        <f>IF($A1356="","",SUMIFS(tblReceipts[Qty Received],tblReceipts[Item Name],$A1356,tblReceipts[Expiry Date],"&lt;"&amp;$H1356)+SUMIFS(tblReceipts[Qty Received],tblReceipts[Item Name],$A1356,tblReceipts[Expiry Date],$H1356,tblReceipts[Lot Number],"&lt;"&amp;Receipts!$C1359))</f>
        <v/>
      </c>
      <c r="L1356" s="26" t="str">
        <f>IF($A1356="","",MIN($D1356,MAX(0,SUMIFS(tblIssues[Qty Issued],tblIssues[Item Name],$A1356)-$K1356)))</f>
        <v/>
      </c>
      <c r="M1356" s="26" t="str">
        <f>IF($A1356="","",SUMIFS(tblIssues[Qty Issued],tblIssues[Lot Number],$B1356))</f>
        <v/>
      </c>
      <c r="N1356" s="26" t="str">
        <f t="shared" si="107"/>
        <v/>
      </c>
      <c r="O1356" s="26" t="str">
        <f t="shared" si="108"/>
        <v/>
      </c>
      <c r="P1356" s="21" t="str">
        <f t="shared" si="109"/>
        <v/>
      </c>
      <c r="Q1356" s="52" t="str">
        <f>IF($A1356="","",IF($O1356&lt;=0,"Depleted",IF($I1356&lt;0,"EXPIRED",IF($I1356&lt;=Settings!$C$6,"CRITICAL",IF($I1356&lt;=Settings!$C$5,"Expiring","In date")))))</f>
        <v/>
      </c>
    </row>
    <row r="1357" spans="1:17" x14ac:dyDescent="0.35">
      <c r="A1357" s="90" t="str">
        <f>IF(Receipts!$D1360="","",Receipts!$D1360)</f>
        <v/>
      </c>
      <c r="B1357" s="18" t="str">
        <f>IF(Receipts!$C1360="","",Receipts!$C1360)</f>
        <v/>
      </c>
      <c r="C1357" s="18" t="str">
        <f>IF($A1357="","",IFERROR(INDEX(Items!$B$5:$B$597,MATCH($A1357,Items!$A$5:$A$597,0)),""))</f>
        <v/>
      </c>
      <c r="D1357" s="23" t="str">
        <f>IF($A1357="","",N(Receipts!$G1360))</f>
        <v/>
      </c>
      <c r="E1357" s="20" t="str">
        <f>IF($A1357="","",IFERROR(INDEX(Items!$D$5:$D$597,MATCH($A1357,Items!$A$5:$A$597,0)),0))</f>
        <v/>
      </c>
      <c r="F1357" s="21" t="str">
        <f t="shared" si="105"/>
        <v/>
      </c>
      <c r="G1357" s="25" t="str">
        <f>IF(Receipts!$I1360="","",Receipts!$I1360)</f>
        <v/>
      </c>
      <c r="H1357" s="25" t="str">
        <f>IF(Receipts!$H1360="","",Receipts!$H1360)</f>
        <v/>
      </c>
      <c r="I1357" s="26" t="str">
        <f t="shared" ca="1" si="106"/>
        <v/>
      </c>
      <c r="J1357" s="26" t="str">
        <f>IF($A1357="","",COUNTIFS(tblReceipts[Item Name],$A1357,tblReceipts[Expiry Date],"&lt;"&amp;$H1357)+COUNTIFS(tblReceipts[Item Name],$A1357,tblReceipts[Expiry Date],$H1357,tblReceipts[Lot Number],"&lt;="&amp;Receipts!$C1360))</f>
        <v/>
      </c>
      <c r="K1357" s="26" t="str">
        <f>IF($A1357="","",SUMIFS(tblReceipts[Qty Received],tblReceipts[Item Name],$A1357,tblReceipts[Expiry Date],"&lt;"&amp;$H1357)+SUMIFS(tblReceipts[Qty Received],tblReceipts[Item Name],$A1357,tblReceipts[Expiry Date],$H1357,tblReceipts[Lot Number],"&lt;"&amp;Receipts!$C1360))</f>
        <v/>
      </c>
      <c r="L1357" s="26" t="str">
        <f>IF($A1357="","",MIN($D1357,MAX(0,SUMIFS(tblIssues[Qty Issued],tblIssues[Item Name],$A1357)-$K1357)))</f>
        <v/>
      </c>
      <c r="M1357" s="26" t="str">
        <f>IF($A1357="","",SUMIFS(tblIssues[Qty Issued],tblIssues[Lot Number],$B1357))</f>
        <v/>
      </c>
      <c r="N1357" s="26" t="str">
        <f t="shared" si="107"/>
        <v/>
      </c>
      <c r="O1357" s="26" t="str">
        <f t="shared" si="108"/>
        <v/>
      </c>
      <c r="P1357" s="21" t="str">
        <f t="shared" si="109"/>
        <v/>
      </c>
      <c r="Q1357" s="52" t="str">
        <f>IF($A1357="","",IF($O1357&lt;=0,"Depleted",IF($I1357&lt;0,"EXPIRED",IF($I1357&lt;=Settings!$C$6,"CRITICAL",IF($I1357&lt;=Settings!$C$5,"Expiring","In date")))))</f>
        <v/>
      </c>
    </row>
    <row r="1358" spans="1:17" x14ac:dyDescent="0.35">
      <c r="A1358" s="90" t="str">
        <f>IF(Receipts!$D1361="","",Receipts!$D1361)</f>
        <v/>
      </c>
      <c r="B1358" s="18" t="str">
        <f>IF(Receipts!$C1361="","",Receipts!$C1361)</f>
        <v/>
      </c>
      <c r="C1358" s="18" t="str">
        <f>IF($A1358="","",IFERROR(INDEX(Items!$B$5:$B$597,MATCH($A1358,Items!$A$5:$A$597,0)),""))</f>
        <v/>
      </c>
      <c r="D1358" s="23" t="str">
        <f>IF($A1358="","",N(Receipts!$G1361))</f>
        <v/>
      </c>
      <c r="E1358" s="20" t="str">
        <f>IF($A1358="","",IFERROR(INDEX(Items!$D$5:$D$597,MATCH($A1358,Items!$A$5:$A$597,0)),0))</f>
        <v/>
      </c>
      <c r="F1358" s="21" t="str">
        <f t="shared" si="105"/>
        <v/>
      </c>
      <c r="G1358" s="25" t="str">
        <f>IF(Receipts!$I1361="","",Receipts!$I1361)</f>
        <v/>
      </c>
      <c r="H1358" s="25" t="str">
        <f>IF(Receipts!$H1361="","",Receipts!$H1361)</f>
        <v/>
      </c>
      <c r="I1358" s="26" t="str">
        <f t="shared" ca="1" si="106"/>
        <v/>
      </c>
      <c r="J1358" s="26" t="str">
        <f>IF($A1358="","",COUNTIFS(tblReceipts[Item Name],$A1358,tblReceipts[Expiry Date],"&lt;"&amp;$H1358)+COUNTIFS(tblReceipts[Item Name],$A1358,tblReceipts[Expiry Date],$H1358,tblReceipts[Lot Number],"&lt;="&amp;Receipts!$C1361))</f>
        <v/>
      </c>
      <c r="K1358" s="26" t="str">
        <f>IF($A1358="","",SUMIFS(tblReceipts[Qty Received],tblReceipts[Item Name],$A1358,tblReceipts[Expiry Date],"&lt;"&amp;$H1358)+SUMIFS(tblReceipts[Qty Received],tblReceipts[Item Name],$A1358,tblReceipts[Expiry Date],$H1358,tblReceipts[Lot Number],"&lt;"&amp;Receipts!$C1361))</f>
        <v/>
      </c>
      <c r="L1358" s="26" t="str">
        <f>IF($A1358="","",MIN($D1358,MAX(0,SUMIFS(tblIssues[Qty Issued],tblIssues[Item Name],$A1358)-$K1358)))</f>
        <v/>
      </c>
      <c r="M1358" s="26" t="str">
        <f>IF($A1358="","",SUMIFS(tblIssues[Qty Issued],tblIssues[Lot Number],$B1358))</f>
        <v/>
      </c>
      <c r="N1358" s="26" t="str">
        <f t="shared" si="107"/>
        <v/>
      </c>
      <c r="O1358" s="26" t="str">
        <f t="shared" si="108"/>
        <v/>
      </c>
      <c r="P1358" s="21" t="str">
        <f t="shared" si="109"/>
        <v/>
      </c>
      <c r="Q1358" s="52" t="str">
        <f>IF($A1358="","",IF($O1358&lt;=0,"Depleted",IF($I1358&lt;0,"EXPIRED",IF($I1358&lt;=Settings!$C$6,"CRITICAL",IF($I1358&lt;=Settings!$C$5,"Expiring","In date")))))</f>
        <v/>
      </c>
    </row>
    <row r="1359" spans="1:17" x14ac:dyDescent="0.35">
      <c r="A1359" s="90" t="str">
        <f>IF(Receipts!$D1362="","",Receipts!$D1362)</f>
        <v/>
      </c>
      <c r="B1359" s="18" t="str">
        <f>IF(Receipts!$C1362="","",Receipts!$C1362)</f>
        <v/>
      </c>
      <c r="C1359" s="18" t="str">
        <f>IF($A1359="","",IFERROR(INDEX(Items!$B$5:$B$597,MATCH($A1359,Items!$A$5:$A$597,0)),""))</f>
        <v/>
      </c>
      <c r="D1359" s="23" t="str">
        <f>IF($A1359="","",N(Receipts!$G1362))</f>
        <v/>
      </c>
      <c r="E1359" s="20" t="str">
        <f>IF($A1359="","",IFERROR(INDEX(Items!$D$5:$D$597,MATCH($A1359,Items!$A$5:$A$597,0)),0))</f>
        <v/>
      </c>
      <c r="F1359" s="21" t="str">
        <f t="shared" si="105"/>
        <v/>
      </c>
      <c r="G1359" s="25" t="str">
        <f>IF(Receipts!$I1362="","",Receipts!$I1362)</f>
        <v/>
      </c>
      <c r="H1359" s="25" t="str">
        <f>IF(Receipts!$H1362="","",Receipts!$H1362)</f>
        <v/>
      </c>
      <c r="I1359" s="26" t="str">
        <f t="shared" ca="1" si="106"/>
        <v/>
      </c>
      <c r="J1359" s="26" t="str">
        <f>IF($A1359="","",COUNTIFS(tblReceipts[Item Name],$A1359,tblReceipts[Expiry Date],"&lt;"&amp;$H1359)+COUNTIFS(tblReceipts[Item Name],$A1359,tblReceipts[Expiry Date],$H1359,tblReceipts[Lot Number],"&lt;="&amp;Receipts!$C1362))</f>
        <v/>
      </c>
      <c r="K1359" s="26" t="str">
        <f>IF($A1359="","",SUMIFS(tblReceipts[Qty Received],tblReceipts[Item Name],$A1359,tblReceipts[Expiry Date],"&lt;"&amp;$H1359)+SUMIFS(tblReceipts[Qty Received],tblReceipts[Item Name],$A1359,tblReceipts[Expiry Date],$H1359,tblReceipts[Lot Number],"&lt;"&amp;Receipts!$C1362))</f>
        <v/>
      </c>
      <c r="L1359" s="26" t="str">
        <f>IF($A1359="","",MIN($D1359,MAX(0,SUMIFS(tblIssues[Qty Issued],tblIssues[Item Name],$A1359)-$K1359)))</f>
        <v/>
      </c>
      <c r="M1359" s="26" t="str">
        <f>IF($A1359="","",SUMIFS(tblIssues[Qty Issued],tblIssues[Lot Number],$B1359))</f>
        <v/>
      </c>
      <c r="N1359" s="26" t="str">
        <f t="shared" si="107"/>
        <v/>
      </c>
      <c r="O1359" s="26" t="str">
        <f t="shared" si="108"/>
        <v/>
      </c>
      <c r="P1359" s="21" t="str">
        <f t="shared" si="109"/>
        <v/>
      </c>
      <c r="Q1359" s="52" t="str">
        <f>IF($A1359="","",IF($O1359&lt;=0,"Depleted",IF($I1359&lt;0,"EXPIRED",IF($I1359&lt;=Settings!$C$6,"CRITICAL",IF($I1359&lt;=Settings!$C$5,"Expiring","In date")))))</f>
        <v/>
      </c>
    </row>
    <row r="1360" spans="1:17" x14ac:dyDescent="0.35">
      <c r="A1360" s="90" t="str">
        <f>IF(Receipts!$D1363="","",Receipts!$D1363)</f>
        <v/>
      </c>
      <c r="B1360" s="18" t="str">
        <f>IF(Receipts!$C1363="","",Receipts!$C1363)</f>
        <v/>
      </c>
      <c r="C1360" s="18" t="str">
        <f>IF($A1360="","",IFERROR(INDEX(Items!$B$5:$B$597,MATCH($A1360,Items!$A$5:$A$597,0)),""))</f>
        <v/>
      </c>
      <c r="D1360" s="23" t="str">
        <f>IF($A1360="","",N(Receipts!$G1363))</f>
        <v/>
      </c>
      <c r="E1360" s="20" t="str">
        <f>IF($A1360="","",IFERROR(INDEX(Items!$D$5:$D$597,MATCH($A1360,Items!$A$5:$A$597,0)),0))</f>
        <v/>
      </c>
      <c r="F1360" s="21" t="str">
        <f t="shared" si="105"/>
        <v/>
      </c>
      <c r="G1360" s="25" t="str">
        <f>IF(Receipts!$I1363="","",Receipts!$I1363)</f>
        <v/>
      </c>
      <c r="H1360" s="25" t="str">
        <f>IF(Receipts!$H1363="","",Receipts!$H1363)</f>
        <v/>
      </c>
      <c r="I1360" s="26" t="str">
        <f t="shared" ca="1" si="106"/>
        <v/>
      </c>
      <c r="J1360" s="26" t="str">
        <f>IF($A1360="","",COUNTIFS(tblReceipts[Item Name],$A1360,tblReceipts[Expiry Date],"&lt;"&amp;$H1360)+COUNTIFS(tblReceipts[Item Name],$A1360,tblReceipts[Expiry Date],$H1360,tblReceipts[Lot Number],"&lt;="&amp;Receipts!$C1363))</f>
        <v/>
      </c>
      <c r="K1360" s="26" t="str">
        <f>IF($A1360="","",SUMIFS(tblReceipts[Qty Received],tblReceipts[Item Name],$A1360,tblReceipts[Expiry Date],"&lt;"&amp;$H1360)+SUMIFS(tblReceipts[Qty Received],tblReceipts[Item Name],$A1360,tblReceipts[Expiry Date],$H1360,tblReceipts[Lot Number],"&lt;"&amp;Receipts!$C1363))</f>
        <v/>
      </c>
      <c r="L1360" s="26" t="str">
        <f>IF($A1360="","",MIN($D1360,MAX(0,SUMIFS(tblIssues[Qty Issued],tblIssues[Item Name],$A1360)-$K1360)))</f>
        <v/>
      </c>
      <c r="M1360" s="26" t="str">
        <f>IF($A1360="","",SUMIFS(tblIssues[Qty Issued],tblIssues[Lot Number],$B1360))</f>
        <v/>
      </c>
      <c r="N1360" s="26" t="str">
        <f t="shared" si="107"/>
        <v/>
      </c>
      <c r="O1360" s="26" t="str">
        <f t="shared" si="108"/>
        <v/>
      </c>
      <c r="P1360" s="21" t="str">
        <f t="shared" si="109"/>
        <v/>
      </c>
      <c r="Q1360" s="52" t="str">
        <f>IF($A1360="","",IF($O1360&lt;=0,"Depleted",IF($I1360&lt;0,"EXPIRED",IF($I1360&lt;=Settings!$C$6,"CRITICAL",IF($I1360&lt;=Settings!$C$5,"Expiring","In date")))))</f>
        <v/>
      </c>
    </row>
    <row r="1361" spans="1:17" x14ac:dyDescent="0.35">
      <c r="A1361" s="90" t="str">
        <f>IF(Receipts!$D1364="","",Receipts!$D1364)</f>
        <v/>
      </c>
      <c r="B1361" s="18" t="str">
        <f>IF(Receipts!$C1364="","",Receipts!$C1364)</f>
        <v/>
      </c>
      <c r="C1361" s="18" t="str">
        <f>IF($A1361="","",IFERROR(INDEX(Items!$B$5:$B$597,MATCH($A1361,Items!$A$5:$A$597,0)),""))</f>
        <v/>
      </c>
      <c r="D1361" s="23" t="str">
        <f>IF($A1361="","",N(Receipts!$G1364))</f>
        <v/>
      </c>
      <c r="E1361" s="20" t="str">
        <f>IF($A1361="","",IFERROR(INDEX(Items!$D$5:$D$597,MATCH($A1361,Items!$A$5:$A$597,0)),0))</f>
        <v/>
      </c>
      <c r="F1361" s="21" t="str">
        <f t="shared" si="105"/>
        <v/>
      </c>
      <c r="G1361" s="25" t="str">
        <f>IF(Receipts!$I1364="","",Receipts!$I1364)</f>
        <v/>
      </c>
      <c r="H1361" s="25" t="str">
        <f>IF(Receipts!$H1364="","",Receipts!$H1364)</f>
        <v/>
      </c>
      <c r="I1361" s="26" t="str">
        <f t="shared" ca="1" si="106"/>
        <v/>
      </c>
      <c r="J1361" s="26" t="str">
        <f>IF($A1361="","",COUNTIFS(tblReceipts[Item Name],$A1361,tblReceipts[Expiry Date],"&lt;"&amp;$H1361)+COUNTIFS(tblReceipts[Item Name],$A1361,tblReceipts[Expiry Date],$H1361,tblReceipts[Lot Number],"&lt;="&amp;Receipts!$C1364))</f>
        <v/>
      </c>
      <c r="K1361" s="26" t="str">
        <f>IF($A1361="","",SUMIFS(tblReceipts[Qty Received],tblReceipts[Item Name],$A1361,tblReceipts[Expiry Date],"&lt;"&amp;$H1361)+SUMIFS(tblReceipts[Qty Received],tblReceipts[Item Name],$A1361,tblReceipts[Expiry Date],$H1361,tblReceipts[Lot Number],"&lt;"&amp;Receipts!$C1364))</f>
        <v/>
      </c>
      <c r="L1361" s="26" t="str">
        <f>IF($A1361="","",MIN($D1361,MAX(0,SUMIFS(tblIssues[Qty Issued],tblIssues[Item Name],$A1361)-$K1361)))</f>
        <v/>
      </c>
      <c r="M1361" s="26" t="str">
        <f>IF($A1361="","",SUMIFS(tblIssues[Qty Issued],tblIssues[Lot Number],$B1361))</f>
        <v/>
      </c>
      <c r="N1361" s="26" t="str">
        <f t="shared" si="107"/>
        <v/>
      </c>
      <c r="O1361" s="26" t="str">
        <f t="shared" si="108"/>
        <v/>
      </c>
      <c r="P1361" s="21" t="str">
        <f t="shared" si="109"/>
        <v/>
      </c>
      <c r="Q1361" s="52" t="str">
        <f>IF($A1361="","",IF($O1361&lt;=0,"Depleted",IF($I1361&lt;0,"EXPIRED",IF($I1361&lt;=Settings!$C$6,"CRITICAL",IF($I1361&lt;=Settings!$C$5,"Expiring","In date")))))</f>
        <v/>
      </c>
    </row>
    <row r="1362" spans="1:17" x14ac:dyDescent="0.35">
      <c r="A1362" s="90" t="str">
        <f>IF(Receipts!$D1365="","",Receipts!$D1365)</f>
        <v/>
      </c>
      <c r="B1362" s="18" t="str">
        <f>IF(Receipts!$C1365="","",Receipts!$C1365)</f>
        <v/>
      </c>
      <c r="C1362" s="18" t="str">
        <f>IF($A1362="","",IFERROR(INDEX(Items!$B$5:$B$597,MATCH($A1362,Items!$A$5:$A$597,0)),""))</f>
        <v/>
      </c>
      <c r="D1362" s="23" t="str">
        <f>IF($A1362="","",N(Receipts!$G1365))</f>
        <v/>
      </c>
      <c r="E1362" s="20" t="str">
        <f>IF($A1362="","",IFERROR(INDEX(Items!$D$5:$D$597,MATCH($A1362,Items!$A$5:$A$597,0)),0))</f>
        <v/>
      </c>
      <c r="F1362" s="21" t="str">
        <f t="shared" si="105"/>
        <v/>
      </c>
      <c r="G1362" s="25" t="str">
        <f>IF(Receipts!$I1365="","",Receipts!$I1365)</f>
        <v/>
      </c>
      <c r="H1362" s="25" t="str">
        <f>IF(Receipts!$H1365="","",Receipts!$H1365)</f>
        <v/>
      </c>
      <c r="I1362" s="26" t="str">
        <f t="shared" ca="1" si="106"/>
        <v/>
      </c>
      <c r="J1362" s="26" t="str">
        <f>IF($A1362="","",COUNTIFS(tblReceipts[Item Name],$A1362,tblReceipts[Expiry Date],"&lt;"&amp;$H1362)+COUNTIFS(tblReceipts[Item Name],$A1362,tblReceipts[Expiry Date],$H1362,tblReceipts[Lot Number],"&lt;="&amp;Receipts!$C1365))</f>
        <v/>
      </c>
      <c r="K1362" s="26" t="str">
        <f>IF($A1362="","",SUMIFS(tblReceipts[Qty Received],tblReceipts[Item Name],$A1362,tblReceipts[Expiry Date],"&lt;"&amp;$H1362)+SUMIFS(tblReceipts[Qty Received],tblReceipts[Item Name],$A1362,tblReceipts[Expiry Date],$H1362,tblReceipts[Lot Number],"&lt;"&amp;Receipts!$C1365))</f>
        <v/>
      </c>
      <c r="L1362" s="26" t="str">
        <f>IF($A1362="","",MIN($D1362,MAX(0,SUMIFS(tblIssues[Qty Issued],tblIssues[Item Name],$A1362)-$K1362)))</f>
        <v/>
      </c>
      <c r="M1362" s="26" t="str">
        <f>IF($A1362="","",SUMIFS(tblIssues[Qty Issued],tblIssues[Lot Number],$B1362))</f>
        <v/>
      </c>
      <c r="N1362" s="26" t="str">
        <f t="shared" si="107"/>
        <v/>
      </c>
      <c r="O1362" s="26" t="str">
        <f t="shared" si="108"/>
        <v/>
      </c>
      <c r="P1362" s="21" t="str">
        <f t="shared" si="109"/>
        <v/>
      </c>
      <c r="Q1362" s="52" t="str">
        <f>IF($A1362="","",IF($O1362&lt;=0,"Depleted",IF($I1362&lt;0,"EXPIRED",IF($I1362&lt;=Settings!$C$6,"CRITICAL",IF($I1362&lt;=Settings!$C$5,"Expiring","In date")))))</f>
        <v/>
      </c>
    </row>
    <row r="1363" spans="1:17" x14ac:dyDescent="0.35">
      <c r="A1363" s="90" t="str">
        <f>IF(Receipts!$D1366="","",Receipts!$D1366)</f>
        <v/>
      </c>
      <c r="B1363" s="18" t="str">
        <f>IF(Receipts!$C1366="","",Receipts!$C1366)</f>
        <v/>
      </c>
      <c r="C1363" s="18" t="str">
        <f>IF($A1363="","",IFERROR(INDEX(Items!$B$5:$B$597,MATCH($A1363,Items!$A$5:$A$597,0)),""))</f>
        <v/>
      </c>
      <c r="D1363" s="23" t="str">
        <f>IF($A1363="","",N(Receipts!$G1366))</f>
        <v/>
      </c>
      <c r="E1363" s="20" t="str">
        <f>IF($A1363="","",IFERROR(INDEX(Items!$D$5:$D$597,MATCH($A1363,Items!$A$5:$A$597,0)),0))</f>
        <v/>
      </c>
      <c r="F1363" s="21" t="str">
        <f t="shared" si="105"/>
        <v/>
      </c>
      <c r="G1363" s="25" t="str">
        <f>IF(Receipts!$I1366="","",Receipts!$I1366)</f>
        <v/>
      </c>
      <c r="H1363" s="25" t="str">
        <f>IF(Receipts!$H1366="","",Receipts!$H1366)</f>
        <v/>
      </c>
      <c r="I1363" s="26" t="str">
        <f t="shared" ca="1" si="106"/>
        <v/>
      </c>
      <c r="J1363" s="26" t="str">
        <f>IF($A1363="","",COUNTIFS(tblReceipts[Item Name],$A1363,tblReceipts[Expiry Date],"&lt;"&amp;$H1363)+COUNTIFS(tblReceipts[Item Name],$A1363,tblReceipts[Expiry Date],$H1363,tblReceipts[Lot Number],"&lt;="&amp;Receipts!$C1366))</f>
        <v/>
      </c>
      <c r="K1363" s="26" t="str">
        <f>IF($A1363="","",SUMIFS(tblReceipts[Qty Received],tblReceipts[Item Name],$A1363,tblReceipts[Expiry Date],"&lt;"&amp;$H1363)+SUMIFS(tblReceipts[Qty Received],tblReceipts[Item Name],$A1363,tblReceipts[Expiry Date],$H1363,tblReceipts[Lot Number],"&lt;"&amp;Receipts!$C1366))</f>
        <v/>
      </c>
      <c r="L1363" s="26" t="str">
        <f>IF($A1363="","",MIN($D1363,MAX(0,SUMIFS(tblIssues[Qty Issued],tblIssues[Item Name],$A1363)-$K1363)))</f>
        <v/>
      </c>
      <c r="M1363" s="26" t="str">
        <f>IF($A1363="","",SUMIFS(tblIssues[Qty Issued],tblIssues[Lot Number],$B1363))</f>
        <v/>
      </c>
      <c r="N1363" s="26" t="str">
        <f t="shared" si="107"/>
        <v/>
      </c>
      <c r="O1363" s="26" t="str">
        <f t="shared" si="108"/>
        <v/>
      </c>
      <c r="P1363" s="21" t="str">
        <f t="shared" si="109"/>
        <v/>
      </c>
      <c r="Q1363" s="52" t="str">
        <f>IF($A1363="","",IF($O1363&lt;=0,"Depleted",IF($I1363&lt;0,"EXPIRED",IF($I1363&lt;=Settings!$C$6,"CRITICAL",IF($I1363&lt;=Settings!$C$5,"Expiring","In date")))))</f>
        <v/>
      </c>
    </row>
    <row r="1364" spans="1:17" x14ac:dyDescent="0.35">
      <c r="A1364" s="90" t="str">
        <f>IF(Receipts!$D1367="","",Receipts!$D1367)</f>
        <v/>
      </c>
      <c r="B1364" s="18" t="str">
        <f>IF(Receipts!$C1367="","",Receipts!$C1367)</f>
        <v/>
      </c>
      <c r="C1364" s="18" t="str">
        <f>IF($A1364="","",IFERROR(INDEX(Items!$B$5:$B$597,MATCH($A1364,Items!$A$5:$A$597,0)),""))</f>
        <v/>
      </c>
      <c r="D1364" s="23" t="str">
        <f>IF($A1364="","",N(Receipts!$G1367))</f>
        <v/>
      </c>
      <c r="E1364" s="20" t="str">
        <f>IF($A1364="","",IFERROR(INDEX(Items!$D$5:$D$597,MATCH($A1364,Items!$A$5:$A$597,0)),0))</f>
        <v/>
      </c>
      <c r="F1364" s="21" t="str">
        <f t="shared" si="105"/>
        <v/>
      </c>
      <c r="G1364" s="25" t="str">
        <f>IF(Receipts!$I1367="","",Receipts!$I1367)</f>
        <v/>
      </c>
      <c r="H1364" s="25" t="str">
        <f>IF(Receipts!$H1367="","",Receipts!$H1367)</f>
        <v/>
      </c>
      <c r="I1364" s="26" t="str">
        <f t="shared" ca="1" si="106"/>
        <v/>
      </c>
      <c r="J1364" s="26" t="str">
        <f>IF($A1364="","",COUNTIFS(tblReceipts[Item Name],$A1364,tblReceipts[Expiry Date],"&lt;"&amp;$H1364)+COUNTIFS(tblReceipts[Item Name],$A1364,tblReceipts[Expiry Date],$H1364,tblReceipts[Lot Number],"&lt;="&amp;Receipts!$C1367))</f>
        <v/>
      </c>
      <c r="K1364" s="26" t="str">
        <f>IF($A1364="","",SUMIFS(tblReceipts[Qty Received],tblReceipts[Item Name],$A1364,tblReceipts[Expiry Date],"&lt;"&amp;$H1364)+SUMIFS(tblReceipts[Qty Received],tblReceipts[Item Name],$A1364,tblReceipts[Expiry Date],$H1364,tblReceipts[Lot Number],"&lt;"&amp;Receipts!$C1367))</f>
        <v/>
      </c>
      <c r="L1364" s="26" t="str">
        <f>IF($A1364="","",MIN($D1364,MAX(0,SUMIFS(tblIssues[Qty Issued],tblIssues[Item Name],$A1364)-$K1364)))</f>
        <v/>
      </c>
      <c r="M1364" s="26" t="str">
        <f>IF($A1364="","",SUMIFS(tblIssues[Qty Issued],tblIssues[Lot Number],$B1364))</f>
        <v/>
      </c>
      <c r="N1364" s="26" t="str">
        <f t="shared" si="107"/>
        <v/>
      </c>
      <c r="O1364" s="26" t="str">
        <f t="shared" si="108"/>
        <v/>
      </c>
      <c r="P1364" s="21" t="str">
        <f t="shared" si="109"/>
        <v/>
      </c>
      <c r="Q1364" s="52" t="str">
        <f>IF($A1364="","",IF($O1364&lt;=0,"Depleted",IF($I1364&lt;0,"EXPIRED",IF($I1364&lt;=Settings!$C$6,"CRITICAL",IF($I1364&lt;=Settings!$C$5,"Expiring","In date")))))</f>
        <v/>
      </c>
    </row>
    <row r="1365" spans="1:17" x14ac:dyDescent="0.35">
      <c r="A1365" s="90" t="str">
        <f>IF(Receipts!$D1368="","",Receipts!$D1368)</f>
        <v/>
      </c>
      <c r="B1365" s="18" t="str">
        <f>IF(Receipts!$C1368="","",Receipts!$C1368)</f>
        <v/>
      </c>
      <c r="C1365" s="18" t="str">
        <f>IF($A1365="","",IFERROR(INDEX(Items!$B$5:$B$597,MATCH($A1365,Items!$A$5:$A$597,0)),""))</f>
        <v/>
      </c>
      <c r="D1365" s="23" t="str">
        <f>IF($A1365="","",N(Receipts!$G1368))</f>
        <v/>
      </c>
      <c r="E1365" s="20" t="str">
        <f>IF($A1365="","",IFERROR(INDEX(Items!$D$5:$D$597,MATCH($A1365,Items!$A$5:$A$597,0)),0))</f>
        <v/>
      </c>
      <c r="F1365" s="21" t="str">
        <f t="shared" si="105"/>
        <v/>
      </c>
      <c r="G1365" s="25" t="str">
        <f>IF(Receipts!$I1368="","",Receipts!$I1368)</f>
        <v/>
      </c>
      <c r="H1365" s="25" t="str">
        <f>IF(Receipts!$H1368="","",Receipts!$H1368)</f>
        <v/>
      </c>
      <c r="I1365" s="26" t="str">
        <f t="shared" ca="1" si="106"/>
        <v/>
      </c>
      <c r="J1365" s="26" t="str">
        <f>IF($A1365="","",COUNTIFS(tblReceipts[Item Name],$A1365,tblReceipts[Expiry Date],"&lt;"&amp;$H1365)+COUNTIFS(tblReceipts[Item Name],$A1365,tblReceipts[Expiry Date],$H1365,tblReceipts[Lot Number],"&lt;="&amp;Receipts!$C1368))</f>
        <v/>
      </c>
      <c r="K1365" s="26" t="str">
        <f>IF($A1365="","",SUMIFS(tblReceipts[Qty Received],tblReceipts[Item Name],$A1365,tblReceipts[Expiry Date],"&lt;"&amp;$H1365)+SUMIFS(tblReceipts[Qty Received],tblReceipts[Item Name],$A1365,tblReceipts[Expiry Date],$H1365,tblReceipts[Lot Number],"&lt;"&amp;Receipts!$C1368))</f>
        <v/>
      </c>
      <c r="L1365" s="26" t="str">
        <f>IF($A1365="","",MIN($D1365,MAX(0,SUMIFS(tblIssues[Qty Issued],tblIssues[Item Name],$A1365)-$K1365)))</f>
        <v/>
      </c>
      <c r="M1365" s="26" t="str">
        <f>IF($A1365="","",SUMIFS(tblIssues[Qty Issued],tblIssues[Lot Number],$B1365))</f>
        <v/>
      </c>
      <c r="N1365" s="26" t="str">
        <f t="shared" si="107"/>
        <v/>
      </c>
      <c r="O1365" s="26" t="str">
        <f t="shared" si="108"/>
        <v/>
      </c>
      <c r="P1365" s="21" t="str">
        <f t="shared" si="109"/>
        <v/>
      </c>
      <c r="Q1365" s="52" t="str">
        <f>IF($A1365="","",IF($O1365&lt;=0,"Depleted",IF($I1365&lt;0,"EXPIRED",IF($I1365&lt;=Settings!$C$6,"CRITICAL",IF($I1365&lt;=Settings!$C$5,"Expiring","In date")))))</f>
        <v/>
      </c>
    </row>
    <row r="1366" spans="1:17" x14ac:dyDescent="0.35">
      <c r="A1366" s="90" t="str">
        <f>IF(Receipts!$D1369="","",Receipts!$D1369)</f>
        <v/>
      </c>
      <c r="B1366" s="18" t="str">
        <f>IF(Receipts!$C1369="","",Receipts!$C1369)</f>
        <v/>
      </c>
      <c r="C1366" s="18" t="str">
        <f>IF($A1366="","",IFERROR(INDEX(Items!$B$5:$B$597,MATCH($A1366,Items!$A$5:$A$597,0)),""))</f>
        <v/>
      </c>
      <c r="D1366" s="23" t="str">
        <f>IF($A1366="","",N(Receipts!$G1369))</f>
        <v/>
      </c>
      <c r="E1366" s="20" t="str">
        <f>IF($A1366="","",IFERROR(INDEX(Items!$D$5:$D$597,MATCH($A1366,Items!$A$5:$A$597,0)),0))</f>
        <v/>
      </c>
      <c r="F1366" s="21" t="str">
        <f t="shared" si="105"/>
        <v/>
      </c>
      <c r="G1366" s="25" t="str">
        <f>IF(Receipts!$I1369="","",Receipts!$I1369)</f>
        <v/>
      </c>
      <c r="H1366" s="25" t="str">
        <f>IF(Receipts!$H1369="","",Receipts!$H1369)</f>
        <v/>
      </c>
      <c r="I1366" s="26" t="str">
        <f t="shared" ca="1" si="106"/>
        <v/>
      </c>
      <c r="J1366" s="26" t="str">
        <f>IF($A1366="","",COUNTIFS(tblReceipts[Item Name],$A1366,tblReceipts[Expiry Date],"&lt;"&amp;$H1366)+COUNTIFS(tblReceipts[Item Name],$A1366,tblReceipts[Expiry Date],$H1366,tblReceipts[Lot Number],"&lt;="&amp;Receipts!$C1369))</f>
        <v/>
      </c>
      <c r="K1366" s="26" t="str">
        <f>IF($A1366="","",SUMIFS(tblReceipts[Qty Received],tblReceipts[Item Name],$A1366,tblReceipts[Expiry Date],"&lt;"&amp;$H1366)+SUMIFS(tblReceipts[Qty Received],tblReceipts[Item Name],$A1366,tblReceipts[Expiry Date],$H1366,tblReceipts[Lot Number],"&lt;"&amp;Receipts!$C1369))</f>
        <v/>
      </c>
      <c r="L1366" s="26" t="str">
        <f>IF($A1366="","",MIN($D1366,MAX(0,SUMIFS(tblIssues[Qty Issued],tblIssues[Item Name],$A1366)-$K1366)))</f>
        <v/>
      </c>
      <c r="M1366" s="26" t="str">
        <f>IF($A1366="","",SUMIFS(tblIssues[Qty Issued],tblIssues[Lot Number],$B1366))</f>
        <v/>
      </c>
      <c r="N1366" s="26" t="str">
        <f t="shared" si="107"/>
        <v/>
      </c>
      <c r="O1366" s="26" t="str">
        <f t="shared" si="108"/>
        <v/>
      </c>
      <c r="P1366" s="21" t="str">
        <f t="shared" si="109"/>
        <v/>
      </c>
      <c r="Q1366" s="52" t="str">
        <f>IF($A1366="","",IF($O1366&lt;=0,"Depleted",IF($I1366&lt;0,"EXPIRED",IF($I1366&lt;=Settings!$C$6,"CRITICAL",IF($I1366&lt;=Settings!$C$5,"Expiring","In date")))))</f>
        <v/>
      </c>
    </row>
    <row r="1367" spans="1:17" x14ac:dyDescent="0.35">
      <c r="A1367" s="90" t="str">
        <f>IF(Receipts!$D1370="","",Receipts!$D1370)</f>
        <v/>
      </c>
      <c r="B1367" s="18" t="str">
        <f>IF(Receipts!$C1370="","",Receipts!$C1370)</f>
        <v/>
      </c>
      <c r="C1367" s="18" t="str">
        <f>IF($A1367="","",IFERROR(INDEX(Items!$B$5:$B$597,MATCH($A1367,Items!$A$5:$A$597,0)),""))</f>
        <v/>
      </c>
      <c r="D1367" s="23" t="str">
        <f>IF($A1367="","",N(Receipts!$G1370))</f>
        <v/>
      </c>
      <c r="E1367" s="20" t="str">
        <f>IF($A1367="","",IFERROR(INDEX(Items!$D$5:$D$597,MATCH($A1367,Items!$A$5:$A$597,0)),0))</f>
        <v/>
      </c>
      <c r="F1367" s="21" t="str">
        <f t="shared" si="105"/>
        <v/>
      </c>
      <c r="G1367" s="25" t="str">
        <f>IF(Receipts!$I1370="","",Receipts!$I1370)</f>
        <v/>
      </c>
      <c r="H1367" s="25" t="str">
        <f>IF(Receipts!$H1370="","",Receipts!$H1370)</f>
        <v/>
      </c>
      <c r="I1367" s="26" t="str">
        <f t="shared" ca="1" si="106"/>
        <v/>
      </c>
      <c r="J1367" s="26" t="str">
        <f>IF($A1367="","",COUNTIFS(tblReceipts[Item Name],$A1367,tblReceipts[Expiry Date],"&lt;"&amp;$H1367)+COUNTIFS(tblReceipts[Item Name],$A1367,tblReceipts[Expiry Date],$H1367,tblReceipts[Lot Number],"&lt;="&amp;Receipts!$C1370))</f>
        <v/>
      </c>
      <c r="K1367" s="26" t="str">
        <f>IF($A1367="","",SUMIFS(tblReceipts[Qty Received],tblReceipts[Item Name],$A1367,tblReceipts[Expiry Date],"&lt;"&amp;$H1367)+SUMIFS(tblReceipts[Qty Received],tblReceipts[Item Name],$A1367,tblReceipts[Expiry Date],$H1367,tblReceipts[Lot Number],"&lt;"&amp;Receipts!$C1370))</f>
        <v/>
      </c>
      <c r="L1367" s="26" t="str">
        <f>IF($A1367="","",MIN($D1367,MAX(0,SUMIFS(tblIssues[Qty Issued],tblIssues[Item Name],$A1367)-$K1367)))</f>
        <v/>
      </c>
      <c r="M1367" s="26" t="str">
        <f>IF($A1367="","",SUMIFS(tblIssues[Qty Issued],tblIssues[Lot Number],$B1367))</f>
        <v/>
      </c>
      <c r="N1367" s="26" t="str">
        <f t="shared" si="107"/>
        <v/>
      </c>
      <c r="O1367" s="26" t="str">
        <f t="shared" si="108"/>
        <v/>
      </c>
      <c r="P1367" s="21" t="str">
        <f t="shared" si="109"/>
        <v/>
      </c>
      <c r="Q1367" s="52" t="str">
        <f>IF($A1367="","",IF($O1367&lt;=0,"Depleted",IF($I1367&lt;0,"EXPIRED",IF($I1367&lt;=Settings!$C$6,"CRITICAL",IF($I1367&lt;=Settings!$C$5,"Expiring","In date")))))</f>
        <v/>
      </c>
    </row>
    <row r="1368" spans="1:17" x14ac:dyDescent="0.35">
      <c r="A1368" s="90" t="str">
        <f>IF(Receipts!$D1371="","",Receipts!$D1371)</f>
        <v/>
      </c>
      <c r="B1368" s="18" t="str">
        <f>IF(Receipts!$C1371="","",Receipts!$C1371)</f>
        <v/>
      </c>
      <c r="C1368" s="18" t="str">
        <f>IF($A1368="","",IFERROR(INDEX(Items!$B$5:$B$597,MATCH($A1368,Items!$A$5:$A$597,0)),""))</f>
        <v/>
      </c>
      <c r="D1368" s="23" t="str">
        <f>IF($A1368="","",N(Receipts!$G1371))</f>
        <v/>
      </c>
      <c r="E1368" s="20" t="str">
        <f>IF($A1368="","",IFERROR(INDEX(Items!$D$5:$D$597,MATCH($A1368,Items!$A$5:$A$597,0)),0))</f>
        <v/>
      </c>
      <c r="F1368" s="21" t="str">
        <f t="shared" si="105"/>
        <v/>
      </c>
      <c r="G1368" s="25" t="str">
        <f>IF(Receipts!$I1371="","",Receipts!$I1371)</f>
        <v/>
      </c>
      <c r="H1368" s="25" t="str">
        <f>IF(Receipts!$H1371="","",Receipts!$H1371)</f>
        <v/>
      </c>
      <c r="I1368" s="26" t="str">
        <f t="shared" ca="1" si="106"/>
        <v/>
      </c>
      <c r="J1368" s="26" t="str">
        <f>IF($A1368="","",COUNTIFS(tblReceipts[Item Name],$A1368,tblReceipts[Expiry Date],"&lt;"&amp;$H1368)+COUNTIFS(tblReceipts[Item Name],$A1368,tblReceipts[Expiry Date],$H1368,tblReceipts[Lot Number],"&lt;="&amp;Receipts!$C1371))</f>
        <v/>
      </c>
      <c r="K1368" s="26" t="str">
        <f>IF($A1368="","",SUMIFS(tblReceipts[Qty Received],tblReceipts[Item Name],$A1368,tblReceipts[Expiry Date],"&lt;"&amp;$H1368)+SUMIFS(tblReceipts[Qty Received],tblReceipts[Item Name],$A1368,tblReceipts[Expiry Date],$H1368,tblReceipts[Lot Number],"&lt;"&amp;Receipts!$C1371))</f>
        <v/>
      </c>
      <c r="L1368" s="26" t="str">
        <f>IF($A1368="","",MIN($D1368,MAX(0,SUMIFS(tblIssues[Qty Issued],tblIssues[Item Name],$A1368)-$K1368)))</f>
        <v/>
      </c>
      <c r="M1368" s="26" t="str">
        <f>IF($A1368="","",SUMIFS(tblIssues[Qty Issued],tblIssues[Lot Number],$B1368))</f>
        <v/>
      </c>
      <c r="N1368" s="26" t="str">
        <f t="shared" si="107"/>
        <v/>
      </c>
      <c r="O1368" s="26" t="str">
        <f t="shared" si="108"/>
        <v/>
      </c>
      <c r="P1368" s="21" t="str">
        <f t="shared" si="109"/>
        <v/>
      </c>
      <c r="Q1368" s="52" t="str">
        <f>IF($A1368="","",IF($O1368&lt;=0,"Depleted",IF($I1368&lt;0,"EXPIRED",IF($I1368&lt;=Settings!$C$6,"CRITICAL",IF($I1368&lt;=Settings!$C$5,"Expiring","In date")))))</f>
        <v/>
      </c>
    </row>
    <row r="1369" spans="1:17" x14ac:dyDescent="0.35">
      <c r="A1369" s="90" t="str">
        <f>IF(Receipts!$D1372="","",Receipts!$D1372)</f>
        <v/>
      </c>
      <c r="B1369" s="18" t="str">
        <f>IF(Receipts!$C1372="","",Receipts!$C1372)</f>
        <v/>
      </c>
      <c r="C1369" s="18" t="str">
        <f>IF($A1369="","",IFERROR(INDEX(Items!$B$5:$B$597,MATCH($A1369,Items!$A$5:$A$597,0)),""))</f>
        <v/>
      </c>
      <c r="D1369" s="23" t="str">
        <f>IF($A1369="","",N(Receipts!$G1372))</f>
        <v/>
      </c>
      <c r="E1369" s="20" t="str">
        <f>IF($A1369="","",IFERROR(INDEX(Items!$D$5:$D$597,MATCH($A1369,Items!$A$5:$A$597,0)),0))</f>
        <v/>
      </c>
      <c r="F1369" s="21" t="str">
        <f t="shared" si="105"/>
        <v/>
      </c>
      <c r="G1369" s="25" t="str">
        <f>IF(Receipts!$I1372="","",Receipts!$I1372)</f>
        <v/>
      </c>
      <c r="H1369" s="25" t="str">
        <f>IF(Receipts!$H1372="","",Receipts!$H1372)</f>
        <v/>
      </c>
      <c r="I1369" s="26" t="str">
        <f t="shared" ca="1" si="106"/>
        <v/>
      </c>
      <c r="J1369" s="26" t="str">
        <f>IF($A1369="","",COUNTIFS(tblReceipts[Item Name],$A1369,tblReceipts[Expiry Date],"&lt;"&amp;$H1369)+COUNTIFS(tblReceipts[Item Name],$A1369,tblReceipts[Expiry Date],$H1369,tblReceipts[Lot Number],"&lt;="&amp;Receipts!$C1372))</f>
        <v/>
      </c>
      <c r="K1369" s="26" t="str">
        <f>IF($A1369="","",SUMIFS(tblReceipts[Qty Received],tblReceipts[Item Name],$A1369,tblReceipts[Expiry Date],"&lt;"&amp;$H1369)+SUMIFS(tblReceipts[Qty Received],tblReceipts[Item Name],$A1369,tblReceipts[Expiry Date],$H1369,tblReceipts[Lot Number],"&lt;"&amp;Receipts!$C1372))</f>
        <v/>
      </c>
      <c r="L1369" s="26" t="str">
        <f>IF($A1369="","",MIN($D1369,MAX(0,SUMIFS(tblIssues[Qty Issued],tblIssues[Item Name],$A1369)-$K1369)))</f>
        <v/>
      </c>
      <c r="M1369" s="26" t="str">
        <f>IF($A1369="","",SUMIFS(tblIssues[Qty Issued],tblIssues[Lot Number],$B1369))</f>
        <v/>
      </c>
      <c r="N1369" s="26" t="str">
        <f t="shared" si="107"/>
        <v/>
      </c>
      <c r="O1369" s="26" t="str">
        <f t="shared" si="108"/>
        <v/>
      </c>
      <c r="P1369" s="21" t="str">
        <f t="shared" si="109"/>
        <v/>
      </c>
      <c r="Q1369" s="52" t="str">
        <f>IF($A1369="","",IF($O1369&lt;=0,"Depleted",IF($I1369&lt;0,"EXPIRED",IF($I1369&lt;=Settings!$C$6,"CRITICAL",IF($I1369&lt;=Settings!$C$5,"Expiring","In date")))))</f>
        <v/>
      </c>
    </row>
    <row r="1370" spans="1:17" x14ac:dyDescent="0.35">
      <c r="A1370" s="90" t="str">
        <f>IF(Receipts!$D1373="","",Receipts!$D1373)</f>
        <v/>
      </c>
      <c r="B1370" s="18" t="str">
        <f>IF(Receipts!$C1373="","",Receipts!$C1373)</f>
        <v/>
      </c>
      <c r="C1370" s="18" t="str">
        <f>IF($A1370="","",IFERROR(INDEX(Items!$B$5:$B$597,MATCH($A1370,Items!$A$5:$A$597,0)),""))</f>
        <v/>
      </c>
      <c r="D1370" s="23" t="str">
        <f>IF($A1370="","",N(Receipts!$G1373))</f>
        <v/>
      </c>
      <c r="E1370" s="20" t="str">
        <f>IF($A1370="","",IFERROR(INDEX(Items!$D$5:$D$597,MATCH($A1370,Items!$A$5:$A$597,0)),0))</f>
        <v/>
      </c>
      <c r="F1370" s="21" t="str">
        <f t="shared" si="105"/>
        <v/>
      </c>
      <c r="G1370" s="25" t="str">
        <f>IF(Receipts!$I1373="","",Receipts!$I1373)</f>
        <v/>
      </c>
      <c r="H1370" s="25" t="str">
        <f>IF(Receipts!$H1373="","",Receipts!$H1373)</f>
        <v/>
      </c>
      <c r="I1370" s="26" t="str">
        <f t="shared" ca="1" si="106"/>
        <v/>
      </c>
      <c r="J1370" s="26" t="str">
        <f>IF($A1370="","",COUNTIFS(tblReceipts[Item Name],$A1370,tblReceipts[Expiry Date],"&lt;"&amp;$H1370)+COUNTIFS(tblReceipts[Item Name],$A1370,tblReceipts[Expiry Date],$H1370,tblReceipts[Lot Number],"&lt;="&amp;Receipts!$C1373))</f>
        <v/>
      </c>
      <c r="K1370" s="26" t="str">
        <f>IF($A1370="","",SUMIFS(tblReceipts[Qty Received],tblReceipts[Item Name],$A1370,tblReceipts[Expiry Date],"&lt;"&amp;$H1370)+SUMIFS(tblReceipts[Qty Received],tblReceipts[Item Name],$A1370,tblReceipts[Expiry Date],$H1370,tblReceipts[Lot Number],"&lt;"&amp;Receipts!$C1373))</f>
        <v/>
      </c>
      <c r="L1370" s="26" t="str">
        <f>IF($A1370="","",MIN($D1370,MAX(0,SUMIFS(tblIssues[Qty Issued],tblIssues[Item Name],$A1370)-$K1370)))</f>
        <v/>
      </c>
      <c r="M1370" s="26" t="str">
        <f>IF($A1370="","",SUMIFS(tblIssues[Qty Issued],tblIssues[Lot Number],$B1370))</f>
        <v/>
      </c>
      <c r="N1370" s="26" t="str">
        <f t="shared" si="107"/>
        <v/>
      </c>
      <c r="O1370" s="26" t="str">
        <f t="shared" si="108"/>
        <v/>
      </c>
      <c r="P1370" s="21" t="str">
        <f t="shared" si="109"/>
        <v/>
      </c>
      <c r="Q1370" s="52" t="str">
        <f>IF($A1370="","",IF($O1370&lt;=0,"Depleted",IF($I1370&lt;0,"EXPIRED",IF($I1370&lt;=Settings!$C$6,"CRITICAL",IF($I1370&lt;=Settings!$C$5,"Expiring","In date")))))</f>
        <v/>
      </c>
    </row>
    <row r="1371" spans="1:17" x14ac:dyDescent="0.35">
      <c r="A1371" s="90" t="str">
        <f>IF(Receipts!$D1374="","",Receipts!$D1374)</f>
        <v/>
      </c>
      <c r="B1371" s="18" t="str">
        <f>IF(Receipts!$C1374="","",Receipts!$C1374)</f>
        <v/>
      </c>
      <c r="C1371" s="18" t="str">
        <f>IF($A1371="","",IFERROR(INDEX(Items!$B$5:$B$597,MATCH($A1371,Items!$A$5:$A$597,0)),""))</f>
        <v/>
      </c>
      <c r="D1371" s="23" t="str">
        <f>IF($A1371="","",N(Receipts!$G1374))</f>
        <v/>
      </c>
      <c r="E1371" s="20" t="str">
        <f>IF($A1371="","",IFERROR(INDEX(Items!$D$5:$D$597,MATCH($A1371,Items!$A$5:$A$597,0)),0))</f>
        <v/>
      </c>
      <c r="F1371" s="21" t="str">
        <f t="shared" si="105"/>
        <v/>
      </c>
      <c r="G1371" s="25" t="str">
        <f>IF(Receipts!$I1374="","",Receipts!$I1374)</f>
        <v/>
      </c>
      <c r="H1371" s="25" t="str">
        <f>IF(Receipts!$H1374="","",Receipts!$H1374)</f>
        <v/>
      </c>
      <c r="I1371" s="26" t="str">
        <f t="shared" ca="1" si="106"/>
        <v/>
      </c>
      <c r="J1371" s="26" t="str">
        <f>IF($A1371="","",COUNTIFS(tblReceipts[Item Name],$A1371,tblReceipts[Expiry Date],"&lt;"&amp;$H1371)+COUNTIFS(tblReceipts[Item Name],$A1371,tblReceipts[Expiry Date],$H1371,tblReceipts[Lot Number],"&lt;="&amp;Receipts!$C1374))</f>
        <v/>
      </c>
      <c r="K1371" s="26" t="str">
        <f>IF($A1371="","",SUMIFS(tblReceipts[Qty Received],tblReceipts[Item Name],$A1371,tblReceipts[Expiry Date],"&lt;"&amp;$H1371)+SUMIFS(tblReceipts[Qty Received],tblReceipts[Item Name],$A1371,tblReceipts[Expiry Date],$H1371,tblReceipts[Lot Number],"&lt;"&amp;Receipts!$C1374))</f>
        <v/>
      </c>
      <c r="L1371" s="26" t="str">
        <f>IF($A1371="","",MIN($D1371,MAX(0,SUMIFS(tblIssues[Qty Issued],tblIssues[Item Name],$A1371)-$K1371)))</f>
        <v/>
      </c>
      <c r="M1371" s="26" t="str">
        <f>IF($A1371="","",SUMIFS(tblIssues[Qty Issued],tblIssues[Lot Number],$B1371))</f>
        <v/>
      </c>
      <c r="N1371" s="26" t="str">
        <f t="shared" si="107"/>
        <v/>
      </c>
      <c r="O1371" s="26" t="str">
        <f t="shared" si="108"/>
        <v/>
      </c>
      <c r="P1371" s="21" t="str">
        <f t="shared" si="109"/>
        <v/>
      </c>
      <c r="Q1371" s="52" t="str">
        <f>IF($A1371="","",IF($O1371&lt;=0,"Depleted",IF($I1371&lt;0,"EXPIRED",IF($I1371&lt;=Settings!$C$6,"CRITICAL",IF($I1371&lt;=Settings!$C$5,"Expiring","In date")))))</f>
        <v/>
      </c>
    </row>
    <row r="1372" spans="1:17" x14ac:dyDescent="0.35">
      <c r="A1372" s="90" t="str">
        <f>IF(Receipts!$D1375="","",Receipts!$D1375)</f>
        <v/>
      </c>
      <c r="B1372" s="18" t="str">
        <f>IF(Receipts!$C1375="","",Receipts!$C1375)</f>
        <v/>
      </c>
      <c r="C1372" s="18" t="str">
        <f>IF($A1372="","",IFERROR(INDEX(Items!$B$5:$B$597,MATCH($A1372,Items!$A$5:$A$597,0)),""))</f>
        <v/>
      </c>
      <c r="D1372" s="23" t="str">
        <f>IF($A1372="","",N(Receipts!$G1375))</f>
        <v/>
      </c>
      <c r="E1372" s="20" t="str">
        <f>IF($A1372="","",IFERROR(INDEX(Items!$D$5:$D$597,MATCH($A1372,Items!$A$5:$A$597,0)),0))</f>
        <v/>
      </c>
      <c r="F1372" s="21" t="str">
        <f t="shared" si="105"/>
        <v/>
      </c>
      <c r="G1372" s="25" t="str">
        <f>IF(Receipts!$I1375="","",Receipts!$I1375)</f>
        <v/>
      </c>
      <c r="H1372" s="25" t="str">
        <f>IF(Receipts!$H1375="","",Receipts!$H1375)</f>
        <v/>
      </c>
      <c r="I1372" s="26" t="str">
        <f t="shared" ca="1" si="106"/>
        <v/>
      </c>
      <c r="J1372" s="26" t="str">
        <f>IF($A1372="","",COUNTIFS(tblReceipts[Item Name],$A1372,tblReceipts[Expiry Date],"&lt;"&amp;$H1372)+COUNTIFS(tblReceipts[Item Name],$A1372,tblReceipts[Expiry Date],$H1372,tblReceipts[Lot Number],"&lt;="&amp;Receipts!$C1375))</f>
        <v/>
      </c>
      <c r="K1372" s="26" t="str">
        <f>IF($A1372="","",SUMIFS(tblReceipts[Qty Received],tblReceipts[Item Name],$A1372,tblReceipts[Expiry Date],"&lt;"&amp;$H1372)+SUMIFS(tblReceipts[Qty Received],tblReceipts[Item Name],$A1372,tblReceipts[Expiry Date],$H1372,tblReceipts[Lot Number],"&lt;"&amp;Receipts!$C1375))</f>
        <v/>
      </c>
      <c r="L1372" s="26" t="str">
        <f>IF($A1372="","",MIN($D1372,MAX(0,SUMIFS(tblIssues[Qty Issued],tblIssues[Item Name],$A1372)-$K1372)))</f>
        <v/>
      </c>
      <c r="M1372" s="26" t="str">
        <f>IF($A1372="","",SUMIFS(tblIssues[Qty Issued],tblIssues[Lot Number],$B1372))</f>
        <v/>
      </c>
      <c r="N1372" s="26" t="str">
        <f t="shared" si="107"/>
        <v/>
      </c>
      <c r="O1372" s="26" t="str">
        <f t="shared" si="108"/>
        <v/>
      </c>
      <c r="P1372" s="21" t="str">
        <f t="shared" si="109"/>
        <v/>
      </c>
      <c r="Q1372" s="52" t="str">
        <f>IF($A1372="","",IF($O1372&lt;=0,"Depleted",IF($I1372&lt;0,"EXPIRED",IF($I1372&lt;=Settings!$C$6,"CRITICAL",IF($I1372&lt;=Settings!$C$5,"Expiring","In date")))))</f>
        <v/>
      </c>
    </row>
    <row r="1373" spans="1:17" x14ac:dyDescent="0.35">
      <c r="A1373" s="90" t="str">
        <f>IF(Receipts!$D1376="","",Receipts!$D1376)</f>
        <v/>
      </c>
      <c r="B1373" s="18" t="str">
        <f>IF(Receipts!$C1376="","",Receipts!$C1376)</f>
        <v/>
      </c>
      <c r="C1373" s="18" t="str">
        <f>IF($A1373="","",IFERROR(INDEX(Items!$B$5:$B$597,MATCH($A1373,Items!$A$5:$A$597,0)),""))</f>
        <v/>
      </c>
      <c r="D1373" s="23" t="str">
        <f>IF($A1373="","",N(Receipts!$G1376))</f>
        <v/>
      </c>
      <c r="E1373" s="20" t="str">
        <f>IF($A1373="","",IFERROR(INDEX(Items!$D$5:$D$597,MATCH($A1373,Items!$A$5:$A$597,0)),0))</f>
        <v/>
      </c>
      <c r="F1373" s="21" t="str">
        <f t="shared" si="105"/>
        <v/>
      </c>
      <c r="G1373" s="25" t="str">
        <f>IF(Receipts!$I1376="","",Receipts!$I1376)</f>
        <v/>
      </c>
      <c r="H1373" s="25" t="str">
        <f>IF(Receipts!$H1376="","",Receipts!$H1376)</f>
        <v/>
      </c>
      <c r="I1373" s="26" t="str">
        <f t="shared" ca="1" si="106"/>
        <v/>
      </c>
      <c r="J1373" s="26" t="str">
        <f>IF($A1373="","",COUNTIFS(tblReceipts[Item Name],$A1373,tblReceipts[Expiry Date],"&lt;"&amp;$H1373)+COUNTIFS(tblReceipts[Item Name],$A1373,tblReceipts[Expiry Date],$H1373,tblReceipts[Lot Number],"&lt;="&amp;Receipts!$C1376))</f>
        <v/>
      </c>
      <c r="K1373" s="26" t="str">
        <f>IF($A1373="","",SUMIFS(tblReceipts[Qty Received],tblReceipts[Item Name],$A1373,tblReceipts[Expiry Date],"&lt;"&amp;$H1373)+SUMIFS(tblReceipts[Qty Received],tblReceipts[Item Name],$A1373,tblReceipts[Expiry Date],$H1373,tblReceipts[Lot Number],"&lt;"&amp;Receipts!$C1376))</f>
        <v/>
      </c>
      <c r="L1373" s="26" t="str">
        <f>IF($A1373="","",MIN($D1373,MAX(0,SUMIFS(tblIssues[Qty Issued],tblIssues[Item Name],$A1373)-$K1373)))</f>
        <v/>
      </c>
      <c r="M1373" s="26" t="str">
        <f>IF($A1373="","",SUMIFS(tblIssues[Qty Issued],tblIssues[Lot Number],$B1373))</f>
        <v/>
      </c>
      <c r="N1373" s="26" t="str">
        <f t="shared" si="107"/>
        <v/>
      </c>
      <c r="O1373" s="26" t="str">
        <f t="shared" si="108"/>
        <v/>
      </c>
      <c r="P1373" s="21" t="str">
        <f t="shared" si="109"/>
        <v/>
      </c>
      <c r="Q1373" s="52" t="str">
        <f>IF($A1373="","",IF($O1373&lt;=0,"Depleted",IF($I1373&lt;0,"EXPIRED",IF($I1373&lt;=Settings!$C$6,"CRITICAL",IF($I1373&lt;=Settings!$C$5,"Expiring","In date")))))</f>
        <v/>
      </c>
    </row>
    <row r="1374" spans="1:17" x14ac:dyDescent="0.35">
      <c r="A1374" s="90" t="str">
        <f>IF(Receipts!$D1377="","",Receipts!$D1377)</f>
        <v/>
      </c>
      <c r="B1374" s="18" t="str">
        <f>IF(Receipts!$C1377="","",Receipts!$C1377)</f>
        <v/>
      </c>
      <c r="C1374" s="18" t="str">
        <f>IF($A1374="","",IFERROR(INDEX(Items!$B$5:$B$597,MATCH($A1374,Items!$A$5:$A$597,0)),""))</f>
        <v/>
      </c>
      <c r="D1374" s="23" t="str">
        <f>IF($A1374="","",N(Receipts!$G1377))</f>
        <v/>
      </c>
      <c r="E1374" s="20" t="str">
        <f>IF($A1374="","",IFERROR(INDEX(Items!$D$5:$D$597,MATCH($A1374,Items!$A$5:$A$597,0)),0))</f>
        <v/>
      </c>
      <c r="F1374" s="21" t="str">
        <f t="shared" si="105"/>
        <v/>
      </c>
      <c r="G1374" s="25" t="str">
        <f>IF(Receipts!$I1377="","",Receipts!$I1377)</f>
        <v/>
      </c>
      <c r="H1374" s="25" t="str">
        <f>IF(Receipts!$H1377="","",Receipts!$H1377)</f>
        <v/>
      </c>
      <c r="I1374" s="26" t="str">
        <f t="shared" ca="1" si="106"/>
        <v/>
      </c>
      <c r="J1374" s="26" t="str">
        <f>IF($A1374="","",COUNTIFS(tblReceipts[Item Name],$A1374,tblReceipts[Expiry Date],"&lt;"&amp;$H1374)+COUNTIFS(tblReceipts[Item Name],$A1374,tblReceipts[Expiry Date],$H1374,tblReceipts[Lot Number],"&lt;="&amp;Receipts!$C1377))</f>
        <v/>
      </c>
      <c r="K1374" s="26" t="str">
        <f>IF($A1374="","",SUMIFS(tblReceipts[Qty Received],tblReceipts[Item Name],$A1374,tblReceipts[Expiry Date],"&lt;"&amp;$H1374)+SUMIFS(tblReceipts[Qty Received],tblReceipts[Item Name],$A1374,tblReceipts[Expiry Date],$H1374,tblReceipts[Lot Number],"&lt;"&amp;Receipts!$C1377))</f>
        <v/>
      </c>
      <c r="L1374" s="26" t="str">
        <f>IF($A1374="","",MIN($D1374,MAX(0,SUMIFS(tblIssues[Qty Issued],tblIssues[Item Name],$A1374)-$K1374)))</f>
        <v/>
      </c>
      <c r="M1374" s="26" t="str">
        <f>IF($A1374="","",SUMIFS(tblIssues[Qty Issued],tblIssues[Lot Number],$B1374))</f>
        <v/>
      </c>
      <c r="N1374" s="26" t="str">
        <f t="shared" si="107"/>
        <v/>
      </c>
      <c r="O1374" s="26" t="str">
        <f t="shared" si="108"/>
        <v/>
      </c>
      <c r="P1374" s="21" t="str">
        <f t="shared" si="109"/>
        <v/>
      </c>
      <c r="Q1374" s="52" t="str">
        <f>IF($A1374="","",IF($O1374&lt;=0,"Depleted",IF($I1374&lt;0,"EXPIRED",IF($I1374&lt;=Settings!$C$6,"CRITICAL",IF($I1374&lt;=Settings!$C$5,"Expiring","In date")))))</f>
        <v/>
      </c>
    </row>
    <row r="1375" spans="1:17" x14ac:dyDescent="0.35">
      <c r="A1375" s="90" t="str">
        <f>IF(Receipts!$D1378="","",Receipts!$D1378)</f>
        <v/>
      </c>
      <c r="B1375" s="18" t="str">
        <f>IF(Receipts!$C1378="","",Receipts!$C1378)</f>
        <v/>
      </c>
      <c r="C1375" s="18" t="str">
        <f>IF($A1375="","",IFERROR(INDEX(Items!$B$5:$B$597,MATCH($A1375,Items!$A$5:$A$597,0)),""))</f>
        <v/>
      </c>
      <c r="D1375" s="23" t="str">
        <f>IF($A1375="","",N(Receipts!$G1378))</f>
        <v/>
      </c>
      <c r="E1375" s="20" t="str">
        <f>IF($A1375="","",IFERROR(INDEX(Items!$D$5:$D$597,MATCH($A1375,Items!$A$5:$A$597,0)),0))</f>
        <v/>
      </c>
      <c r="F1375" s="21" t="str">
        <f t="shared" si="105"/>
        <v/>
      </c>
      <c r="G1375" s="25" t="str">
        <f>IF(Receipts!$I1378="","",Receipts!$I1378)</f>
        <v/>
      </c>
      <c r="H1375" s="25" t="str">
        <f>IF(Receipts!$H1378="","",Receipts!$H1378)</f>
        <v/>
      </c>
      <c r="I1375" s="26" t="str">
        <f t="shared" ca="1" si="106"/>
        <v/>
      </c>
      <c r="J1375" s="26" t="str">
        <f>IF($A1375="","",COUNTIFS(tblReceipts[Item Name],$A1375,tblReceipts[Expiry Date],"&lt;"&amp;$H1375)+COUNTIFS(tblReceipts[Item Name],$A1375,tblReceipts[Expiry Date],$H1375,tblReceipts[Lot Number],"&lt;="&amp;Receipts!$C1378))</f>
        <v/>
      </c>
      <c r="K1375" s="26" t="str">
        <f>IF($A1375="","",SUMIFS(tblReceipts[Qty Received],tblReceipts[Item Name],$A1375,tblReceipts[Expiry Date],"&lt;"&amp;$H1375)+SUMIFS(tblReceipts[Qty Received],tblReceipts[Item Name],$A1375,tblReceipts[Expiry Date],$H1375,tblReceipts[Lot Number],"&lt;"&amp;Receipts!$C1378))</f>
        <v/>
      </c>
      <c r="L1375" s="26" t="str">
        <f>IF($A1375="","",MIN($D1375,MAX(0,SUMIFS(tblIssues[Qty Issued],tblIssues[Item Name],$A1375)-$K1375)))</f>
        <v/>
      </c>
      <c r="M1375" s="26" t="str">
        <f>IF($A1375="","",SUMIFS(tblIssues[Qty Issued],tblIssues[Lot Number],$B1375))</f>
        <v/>
      </c>
      <c r="N1375" s="26" t="str">
        <f t="shared" si="107"/>
        <v/>
      </c>
      <c r="O1375" s="26" t="str">
        <f t="shared" si="108"/>
        <v/>
      </c>
      <c r="P1375" s="21" t="str">
        <f t="shared" si="109"/>
        <v/>
      </c>
      <c r="Q1375" s="52" t="str">
        <f>IF($A1375="","",IF($O1375&lt;=0,"Depleted",IF($I1375&lt;0,"EXPIRED",IF($I1375&lt;=Settings!$C$6,"CRITICAL",IF($I1375&lt;=Settings!$C$5,"Expiring","In date")))))</f>
        <v/>
      </c>
    </row>
    <row r="1376" spans="1:17" x14ac:dyDescent="0.35">
      <c r="A1376" s="90" t="str">
        <f>IF(Receipts!$D1379="","",Receipts!$D1379)</f>
        <v/>
      </c>
      <c r="B1376" s="18" t="str">
        <f>IF(Receipts!$C1379="","",Receipts!$C1379)</f>
        <v/>
      </c>
      <c r="C1376" s="18" t="str">
        <f>IF($A1376="","",IFERROR(INDEX(Items!$B$5:$B$597,MATCH($A1376,Items!$A$5:$A$597,0)),""))</f>
        <v/>
      </c>
      <c r="D1376" s="23" t="str">
        <f>IF($A1376="","",N(Receipts!$G1379))</f>
        <v/>
      </c>
      <c r="E1376" s="20" t="str">
        <f>IF($A1376="","",IFERROR(INDEX(Items!$D$5:$D$597,MATCH($A1376,Items!$A$5:$A$597,0)),0))</f>
        <v/>
      </c>
      <c r="F1376" s="21" t="str">
        <f t="shared" si="105"/>
        <v/>
      </c>
      <c r="G1376" s="25" t="str">
        <f>IF(Receipts!$I1379="","",Receipts!$I1379)</f>
        <v/>
      </c>
      <c r="H1376" s="25" t="str">
        <f>IF(Receipts!$H1379="","",Receipts!$H1379)</f>
        <v/>
      </c>
      <c r="I1376" s="26" t="str">
        <f t="shared" ca="1" si="106"/>
        <v/>
      </c>
      <c r="J1376" s="26" t="str">
        <f>IF($A1376="","",COUNTIFS(tblReceipts[Item Name],$A1376,tblReceipts[Expiry Date],"&lt;"&amp;$H1376)+COUNTIFS(tblReceipts[Item Name],$A1376,tblReceipts[Expiry Date],$H1376,tblReceipts[Lot Number],"&lt;="&amp;Receipts!$C1379))</f>
        <v/>
      </c>
      <c r="K1376" s="26" t="str">
        <f>IF($A1376="","",SUMIFS(tblReceipts[Qty Received],tblReceipts[Item Name],$A1376,tblReceipts[Expiry Date],"&lt;"&amp;$H1376)+SUMIFS(tblReceipts[Qty Received],tblReceipts[Item Name],$A1376,tblReceipts[Expiry Date],$H1376,tblReceipts[Lot Number],"&lt;"&amp;Receipts!$C1379))</f>
        <v/>
      </c>
      <c r="L1376" s="26" t="str">
        <f>IF($A1376="","",MIN($D1376,MAX(0,SUMIFS(tblIssues[Qty Issued],tblIssues[Item Name],$A1376)-$K1376)))</f>
        <v/>
      </c>
      <c r="M1376" s="26" t="str">
        <f>IF($A1376="","",SUMIFS(tblIssues[Qty Issued],tblIssues[Lot Number],$B1376))</f>
        <v/>
      </c>
      <c r="N1376" s="26" t="str">
        <f t="shared" si="107"/>
        <v/>
      </c>
      <c r="O1376" s="26" t="str">
        <f t="shared" si="108"/>
        <v/>
      </c>
      <c r="P1376" s="21" t="str">
        <f t="shared" si="109"/>
        <v/>
      </c>
      <c r="Q1376" s="52" t="str">
        <f>IF($A1376="","",IF($O1376&lt;=0,"Depleted",IF($I1376&lt;0,"EXPIRED",IF($I1376&lt;=Settings!$C$6,"CRITICAL",IF($I1376&lt;=Settings!$C$5,"Expiring","In date")))))</f>
        <v/>
      </c>
    </row>
    <row r="1377" spans="1:17" x14ac:dyDescent="0.35">
      <c r="A1377" s="90" t="str">
        <f>IF(Receipts!$D1380="","",Receipts!$D1380)</f>
        <v/>
      </c>
      <c r="B1377" s="18" t="str">
        <f>IF(Receipts!$C1380="","",Receipts!$C1380)</f>
        <v/>
      </c>
      <c r="C1377" s="18" t="str">
        <f>IF($A1377="","",IFERROR(INDEX(Items!$B$5:$B$597,MATCH($A1377,Items!$A$5:$A$597,0)),""))</f>
        <v/>
      </c>
      <c r="D1377" s="23" t="str">
        <f>IF($A1377="","",N(Receipts!$G1380))</f>
        <v/>
      </c>
      <c r="E1377" s="20" t="str">
        <f>IF($A1377="","",IFERROR(INDEX(Items!$D$5:$D$597,MATCH($A1377,Items!$A$5:$A$597,0)),0))</f>
        <v/>
      </c>
      <c r="F1377" s="21" t="str">
        <f t="shared" si="105"/>
        <v/>
      </c>
      <c r="G1377" s="25" t="str">
        <f>IF(Receipts!$I1380="","",Receipts!$I1380)</f>
        <v/>
      </c>
      <c r="H1377" s="25" t="str">
        <f>IF(Receipts!$H1380="","",Receipts!$H1380)</f>
        <v/>
      </c>
      <c r="I1377" s="26" t="str">
        <f t="shared" ca="1" si="106"/>
        <v/>
      </c>
      <c r="J1377" s="26" t="str">
        <f>IF($A1377="","",COUNTIFS(tblReceipts[Item Name],$A1377,tblReceipts[Expiry Date],"&lt;"&amp;$H1377)+COUNTIFS(tblReceipts[Item Name],$A1377,tblReceipts[Expiry Date],$H1377,tblReceipts[Lot Number],"&lt;="&amp;Receipts!$C1380))</f>
        <v/>
      </c>
      <c r="K1377" s="26" t="str">
        <f>IF($A1377="","",SUMIFS(tblReceipts[Qty Received],tblReceipts[Item Name],$A1377,tblReceipts[Expiry Date],"&lt;"&amp;$H1377)+SUMIFS(tblReceipts[Qty Received],tblReceipts[Item Name],$A1377,tblReceipts[Expiry Date],$H1377,tblReceipts[Lot Number],"&lt;"&amp;Receipts!$C1380))</f>
        <v/>
      </c>
      <c r="L1377" s="26" t="str">
        <f>IF($A1377="","",MIN($D1377,MAX(0,SUMIFS(tblIssues[Qty Issued],tblIssues[Item Name],$A1377)-$K1377)))</f>
        <v/>
      </c>
      <c r="M1377" s="26" t="str">
        <f>IF($A1377="","",SUMIFS(tblIssues[Qty Issued],tblIssues[Lot Number],$B1377))</f>
        <v/>
      </c>
      <c r="N1377" s="26" t="str">
        <f t="shared" si="107"/>
        <v/>
      </c>
      <c r="O1377" s="26" t="str">
        <f t="shared" si="108"/>
        <v/>
      </c>
      <c r="P1377" s="21" t="str">
        <f t="shared" si="109"/>
        <v/>
      </c>
      <c r="Q1377" s="52" t="str">
        <f>IF($A1377="","",IF($O1377&lt;=0,"Depleted",IF($I1377&lt;0,"EXPIRED",IF($I1377&lt;=Settings!$C$6,"CRITICAL",IF($I1377&lt;=Settings!$C$5,"Expiring","In date")))))</f>
        <v/>
      </c>
    </row>
    <row r="1378" spans="1:17" x14ac:dyDescent="0.35">
      <c r="A1378" s="90" t="str">
        <f>IF(Receipts!$D1381="","",Receipts!$D1381)</f>
        <v/>
      </c>
      <c r="B1378" s="18" t="str">
        <f>IF(Receipts!$C1381="","",Receipts!$C1381)</f>
        <v/>
      </c>
      <c r="C1378" s="18" t="str">
        <f>IF($A1378="","",IFERROR(INDEX(Items!$B$5:$B$597,MATCH($A1378,Items!$A$5:$A$597,0)),""))</f>
        <v/>
      </c>
      <c r="D1378" s="23" t="str">
        <f>IF($A1378="","",N(Receipts!$G1381))</f>
        <v/>
      </c>
      <c r="E1378" s="20" t="str">
        <f>IF($A1378="","",IFERROR(INDEX(Items!$D$5:$D$597,MATCH($A1378,Items!$A$5:$A$597,0)),0))</f>
        <v/>
      </c>
      <c r="F1378" s="21" t="str">
        <f t="shared" si="105"/>
        <v/>
      </c>
      <c r="G1378" s="25" t="str">
        <f>IF(Receipts!$I1381="","",Receipts!$I1381)</f>
        <v/>
      </c>
      <c r="H1378" s="25" t="str">
        <f>IF(Receipts!$H1381="","",Receipts!$H1381)</f>
        <v/>
      </c>
      <c r="I1378" s="26" t="str">
        <f t="shared" ca="1" si="106"/>
        <v/>
      </c>
      <c r="J1378" s="26" t="str">
        <f>IF($A1378="","",COUNTIFS(tblReceipts[Item Name],$A1378,tblReceipts[Expiry Date],"&lt;"&amp;$H1378)+COUNTIFS(tblReceipts[Item Name],$A1378,tblReceipts[Expiry Date],$H1378,tblReceipts[Lot Number],"&lt;="&amp;Receipts!$C1381))</f>
        <v/>
      </c>
      <c r="K1378" s="26" t="str">
        <f>IF($A1378="","",SUMIFS(tblReceipts[Qty Received],tblReceipts[Item Name],$A1378,tblReceipts[Expiry Date],"&lt;"&amp;$H1378)+SUMIFS(tblReceipts[Qty Received],tblReceipts[Item Name],$A1378,tblReceipts[Expiry Date],$H1378,tblReceipts[Lot Number],"&lt;"&amp;Receipts!$C1381))</f>
        <v/>
      </c>
      <c r="L1378" s="26" t="str">
        <f>IF($A1378="","",MIN($D1378,MAX(0,SUMIFS(tblIssues[Qty Issued],tblIssues[Item Name],$A1378)-$K1378)))</f>
        <v/>
      </c>
      <c r="M1378" s="26" t="str">
        <f>IF($A1378="","",SUMIFS(tblIssues[Qty Issued],tblIssues[Lot Number],$B1378))</f>
        <v/>
      </c>
      <c r="N1378" s="26" t="str">
        <f t="shared" si="107"/>
        <v/>
      </c>
      <c r="O1378" s="26" t="str">
        <f t="shared" si="108"/>
        <v/>
      </c>
      <c r="P1378" s="21" t="str">
        <f t="shared" si="109"/>
        <v/>
      </c>
      <c r="Q1378" s="52" t="str">
        <f>IF($A1378="","",IF($O1378&lt;=0,"Depleted",IF($I1378&lt;0,"EXPIRED",IF($I1378&lt;=Settings!$C$6,"CRITICAL",IF($I1378&lt;=Settings!$C$5,"Expiring","In date")))))</f>
        <v/>
      </c>
    </row>
    <row r="1379" spans="1:17" x14ac:dyDescent="0.35">
      <c r="A1379" s="90" t="str">
        <f>IF(Receipts!$D1382="","",Receipts!$D1382)</f>
        <v/>
      </c>
      <c r="B1379" s="18" t="str">
        <f>IF(Receipts!$C1382="","",Receipts!$C1382)</f>
        <v/>
      </c>
      <c r="C1379" s="18" t="str">
        <f>IF($A1379="","",IFERROR(INDEX(Items!$B$5:$B$597,MATCH($A1379,Items!$A$5:$A$597,0)),""))</f>
        <v/>
      </c>
      <c r="D1379" s="23" t="str">
        <f>IF($A1379="","",N(Receipts!$G1382))</f>
        <v/>
      </c>
      <c r="E1379" s="20" t="str">
        <f>IF($A1379="","",IFERROR(INDEX(Items!$D$5:$D$597,MATCH($A1379,Items!$A$5:$A$597,0)),0))</f>
        <v/>
      </c>
      <c r="F1379" s="21" t="str">
        <f t="shared" si="105"/>
        <v/>
      </c>
      <c r="G1379" s="25" t="str">
        <f>IF(Receipts!$I1382="","",Receipts!$I1382)</f>
        <v/>
      </c>
      <c r="H1379" s="25" t="str">
        <f>IF(Receipts!$H1382="","",Receipts!$H1382)</f>
        <v/>
      </c>
      <c r="I1379" s="26" t="str">
        <f t="shared" ca="1" si="106"/>
        <v/>
      </c>
      <c r="J1379" s="26" t="str">
        <f>IF($A1379="","",COUNTIFS(tblReceipts[Item Name],$A1379,tblReceipts[Expiry Date],"&lt;"&amp;$H1379)+COUNTIFS(tblReceipts[Item Name],$A1379,tblReceipts[Expiry Date],$H1379,tblReceipts[Lot Number],"&lt;="&amp;Receipts!$C1382))</f>
        <v/>
      </c>
      <c r="K1379" s="26" t="str">
        <f>IF($A1379="","",SUMIFS(tblReceipts[Qty Received],tblReceipts[Item Name],$A1379,tblReceipts[Expiry Date],"&lt;"&amp;$H1379)+SUMIFS(tblReceipts[Qty Received],tblReceipts[Item Name],$A1379,tblReceipts[Expiry Date],$H1379,tblReceipts[Lot Number],"&lt;"&amp;Receipts!$C1382))</f>
        <v/>
      </c>
      <c r="L1379" s="26" t="str">
        <f>IF($A1379="","",MIN($D1379,MAX(0,SUMIFS(tblIssues[Qty Issued],tblIssues[Item Name],$A1379)-$K1379)))</f>
        <v/>
      </c>
      <c r="M1379" s="26" t="str">
        <f>IF($A1379="","",SUMIFS(tblIssues[Qty Issued],tblIssues[Lot Number],$B1379))</f>
        <v/>
      </c>
      <c r="N1379" s="26" t="str">
        <f t="shared" si="107"/>
        <v/>
      </c>
      <c r="O1379" s="26" t="str">
        <f t="shared" si="108"/>
        <v/>
      </c>
      <c r="P1379" s="21" t="str">
        <f t="shared" si="109"/>
        <v/>
      </c>
      <c r="Q1379" s="52" t="str">
        <f>IF($A1379="","",IF($O1379&lt;=0,"Depleted",IF($I1379&lt;0,"EXPIRED",IF($I1379&lt;=Settings!$C$6,"CRITICAL",IF($I1379&lt;=Settings!$C$5,"Expiring","In date")))))</f>
        <v/>
      </c>
    </row>
    <row r="1380" spans="1:17" x14ac:dyDescent="0.35">
      <c r="A1380" s="90" t="str">
        <f>IF(Receipts!$D1383="","",Receipts!$D1383)</f>
        <v/>
      </c>
      <c r="B1380" s="18" t="str">
        <f>IF(Receipts!$C1383="","",Receipts!$C1383)</f>
        <v/>
      </c>
      <c r="C1380" s="18" t="str">
        <f>IF($A1380="","",IFERROR(INDEX(Items!$B$5:$B$597,MATCH($A1380,Items!$A$5:$A$597,0)),""))</f>
        <v/>
      </c>
      <c r="D1380" s="23" t="str">
        <f>IF($A1380="","",N(Receipts!$G1383))</f>
        <v/>
      </c>
      <c r="E1380" s="20" t="str">
        <f>IF($A1380="","",IFERROR(INDEX(Items!$D$5:$D$597,MATCH($A1380,Items!$A$5:$A$597,0)),0))</f>
        <v/>
      </c>
      <c r="F1380" s="21" t="str">
        <f t="shared" si="105"/>
        <v/>
      </c>
      <c r="G1380" s="25" t="str">
        <f>IF(Receipts!$I1383="","",Receipts!$I1383)</f>
        <v/>
      </c>
      <c r="H1380" s="25" t="str">
        <f>IF(Receipts!$H1383="","",Receipts!$H1383)</f>
        <v/>
      </c>
      <c r="I1380" s="26" t="str">
        <f t="shared" ca="1" si="106"/>
        <v/>
      </c>
      <c r="J1380" s="26" t="str">
        <f>IF($A1380="","",COUNTIFS(tblReceipts[Item Name],$A1380,tblReceipts[Expiry Date],"&lt;"&amp;$H1380)+COUNTIFS(tblReceipts[Item Name],$A1380,tblReceipts[Expiry Date],$H1380,tblReceipts[Lot Number],"&lt;="&amp;Receipts!$C1383))</f>
        <v/>
      </c>
      <c r="K1380" s="26" t="str">
        <f>IF($A1380="","",SUMIFS(tblReceipts[Qty Received],tblReceipts[Item Name],$A1380,tblReceipts[Expiry Date],"&lt;"&amp;$H1380)+SUMIFS(tblReceipts[Qty Received],tblReceipts[Item Name],$A1380,tblReceipts[Expiry Date],$H1380,tblReceipts[Lot Number],"&lt;"&amp;Receipts!$C1383))</f>
        <v/>
      </c>
      <c r="L1380" s="26" t="str">
        <f>IF($A1380="","",MIN($D1380,MAX(0,SUMIFS(tblIssues[Qty Issued],tblIssues[Item Name],$A1380)-$K1380)))</f>
        <v/>
      </c>
      <c r="M1380" s="26" t="str">
        <f>IF($A1380="","",SUMIFS(tblIssues[Qty Issued],tblIssues[Lot Number],$B1380))</f>
        <v/>
      </c>
      <c r="N1380" s="26" t="str">
        <f t="shared" si="107"/>
        <v/>
      </c>
      <c r="O1380" s="26" t="str">
        <f t="shared" si="108"/>
        <v/>
      </c>
      <c r="P1380" s="21" t="str">
        <f t="shared" si="109"/>
        <v/>
      </c>
      <c r="Q1380" s="52" t="str">
        <f>IF($A1380="","",IF($O1380&lt;=0,"Depleted",IF($I1380&lt;0,"EXPIRED",IF($I1380&lt;=Settings!$C$6,"CRITICAL",IF($I1380&lt;=Settings!$C$5,"Expiring","In date")))))</f>
        <v/>
      </c>
    </row>
    <row r="1381" spans="1:17" x14ac:dyDescent="0.35">
      <c r="A1381" s="90" t="str">
        <f>IF(Receipts!$D1384="","",Receipts!$D1384)</f>
        <v/>
      </c>
      <c r="B1381" s="18" t="str">
        <f>IF(Receipts!$C1384="","",Receipts!$C1384)</f>
        <v/>
      </c>
      <c r="C1381" s="18" t="str">
        <f>IF($A1381="","",IFERROR(INDEX(Items!$B$5:$B$597,MATCH($A1381,Items!$A$5:$A$597,0)),""))</f>
        <v/>
      </c>
      <c r="D1381" s="23" t="str">
        <f>IF($A1381="","",N(Receipts!$G1384))</f>
        <v/>
      </c>
      <c r="E1381" s="20" t="str">
        <f>IF($A1381="","",IFERROR(INDEX(Items!$D$5:$D$597,MATCH($A1381,Items!$A$5:$A$597,0)),0))</f>
        <v/>
      </c>
      <c r="F1381" s="21" t="str">
        <f t="shared" si="105"/>
        <v/>
      </c>
      <c r="G1381" s="25" t="str">
        <f>IF(Receipts!$I1384="","",Receipts!$I1384)</f>
        <v/>
      </c>
      <c r="H1381" s="25" t="str">
        <f>IF(Receipts!$H1384="","",Receipts!$H1384)</f>
        <v/>
      </c>
      <c r="I1381" s="26" t="str">
        <f t="shared" ca="1" si="106"/>
        <v/>
      </c>
      <c r="J1381" s="26" t="str">
        <f>IF($A1381="","",COUNTIFS(tblReceipts[Item Name],$A1381,tblReceipts[Expiry Date],"&lt;"&amp;$H1381)+COUNTIFS(tblReceipts[Item Name],$A1381,tblReceipts[Expiry Date],$H1381,tblReceipts[Lot Number],"&lt;="&amp;Receipts!$C1384))</f>
        <v/>
      </c>
      <c r="K1381" s="26" t="str">
        <f>IF($A1381="","",SUMIFS(tblReceipts[Qty Received],tblReceipts[Item Name],$A1381,tblReceipts[Expiry Date],"&lt;"&amp;$H1381)+SUMIFS(tblReceipts[Qty Received],tblReceipts[Item Name],$A1381,tblReceipts[Expiry Date],$H1381,tblReceipts[Lot Number],"&lt;"&amp;Receipts!$C1384))</f>
        <v/>
      </c>
      <c r="L1381" s="26" t="str">
        <f>IF($A1381="","",MIN($D1381,MAX(0,SUMIFS(tblIssues[Qty Issued],tblIssues[Item Name],$A1381)-$K1381)))</f>
        <v/>
      </c>
      <c r="M1381" s="26" t="str">
        <f>IF($A1381="","",SUMIFS(tblIssues[Qty Issued],tblIssues[Lot Number],$B1381))</f>
        <v/>
      </c>
      <c r="N1381" s="26" t="str">
        <f t="shared" si="107"/>
        <v/>
      </c>
      <c r="O1381" s="26" t="str">
        <f t="shared" si="108"/>
        <v/>
      </c>
      <c r="P1381" s="21" t="str">
        <f t="shared" si="109"/>
        <v/>
      </c>
      <c r="Q1381" s="52" t="str">
        <f>IF($A1381="","",IF($O1381&lt;=0,"Depleted",IF($I1381&lt;0,"EXPIRED",IF($I1381&lt;=Settings!$C$6,"CRITICAL",IF($I1381&lt;=Settings!$C$5,"Expiring","In date")))))</f>
        <v/>
      </c>
    </row>
    <row r="1382" spans="1:17" x14ac:dyDescent="0.35">
      <c r="A1382" s="90" t="str">
        <f>IF(Receipts!$D1385="","",Receipts!$D1385)</f>
        <v/>
      </c>
      <c r="B1382" s="18" t="str">
        <f>IF(Receipts!$C1385="","",Receipts!$C1385)</f>
        <v/>
      </c>
      <c r="C1382" s="18" t="str">
        <f>IF($A1382="","",IFERROR(INDEX(Items!$B$5:$B$597,MATCH($A1382,Items!$A$5:$A$597,0)),""))</f>
        <v/>
      </c>
      <c r="D1382" s="23" t="str">
        <f>IF($A1382="","",N(Receipts!$G1385))</f>
        <v/>
      </c>
      <c r="E1382" s="20" t="str">
        <f>IF($A1382="","",IFERROR(INDEX(Items!$D$5:$D$597,MATCH($A1382,Items!$A$5:$A$597,0)),0))</f>
        <v/>
      </c>
      <c r="F1382" s="21" t="str">
        <f t="shared" si="105"/>
        <v/>
      </c>
      <c r="G1382" s="25" t="str">
        <f>IF(Receipts!$I1385="","",Receipts!$I1385)</f>
        <v/>
      </c>
      <c r="H1382" s="25" t="str">
        <f>IF(Receipts!$H1385="","",Receipts!$H1385)</f>
        <v/>
      </c>
      <c r="I1382" s="26" t="str">
        <f t="shared" ca="1" si="106"/>
        <v/>
      </c>
      <c r="J1382" s="26" t="str">
        <f>IF($A1382="","",COUNTIFS(tblReceipts[Item Name],$A1382,tblReceipts[Expiry Date],"&lt;"&amp;$H1382)+COUNTIFS(tblReceipts[Item Name],$A1382,tblReceipts[Expiry Date],$H1382,tblReceipts[Lot Number],"&lt;="&amp;Receipts!$C1385))</f>
        <v/>
      </c>
      <c r="K1382" s="26" t="str">
        <f>IF($A1382="","",SUMIFS(tblReceipts[Qty Received],tblReceipts[Item Name],$A1382,tblReceipts[Expiry Date],"&lt;"&amp;$H1382)+SUMIFS(tblReceipts[Qty Received],tblReceipts[Item Name],$A1382,tblReceipts[Expiry Date],$H1382,tblReceipts[Lot Number],"&lt;"&amp;Receipts!$C1385))</f>
        <v/>
      </c>
      <c r="L1382" s="26" t="str">
        <f>IF($A1382="","",MIN($D1382,MAX(0,SUMIFS(tblIssues[Qty Issued],tblIssues[Item Name],$A1382)-$K1382)))</f>
        <v/>
      </c>
      <c r="M1382" s="26" t="str">
        <f>IF($A1382="","",SUMIFS(tblIssues[Qty Issued],tblIssues[Lot Number],$B1382))</f>
        <v/>
      </c>
      <c r="N1382" s="26" t="str">
        <f t="shared" si="107"/>
        <v/>
      </c>
      <c r="O1382" s="26" t="str">
        <f t="shared" si="108"/>
        <v/>
      </c>
      <c r="P1382" s="21" t="str">
        <f t="shared" si="109"/>
        <v/>
      </c>
      <c r="Q1382" s="52" t="str">
        <f>IF($A1382="","",IF($O1382&lt;=0,"Depleted",IF($I1382&lt;0,"EXPIRED",IF($I1382&lt;=Settings!$C$6,"CRITICAL",IF($I1382&lt;=Settings!$C$5,"Expiring","In date")))))</f>
        <v/>
      </c>
    </row>
    <row r="1383" spans="1:17" x14ac:dyDescent="0.35">
      <c r="A1383" s="90" t="str">
        <f>IF(Receipts!$D1386="","",Receipts!$D1386)</f>
        <v/>
      </c>
      <c r="B1383" s="18" t="str">
        <f>IF(Receipts!$C1386="","",Receipts!$C1386)</f>
        <v/>
      </c>
      <c r="C1383" s="18" t="str">
        <f>IF($A1383="","",IFERROR(INDEX(Items!$B$5:$B$597,MATCH($A1383,Items!$A$5:$A$597,0)),""))</f>
        <v/>
      </c>
      <c r="D1383" s="23" t="str">
        <f>IF($A1383="","",N(Receipts!$G1386))</f>
        <v/>
      </c>
      <c r="E1383" s="20" t="str">
        <f>IF($A1383="","",IFERROR(INDEX(Items!$D$5:$D$597,MATCH($A1383,Items!$A$5:$A$597,0)),0))</f>
        <v/>
      </c>
      <c r="F1383" s="21" t="str">
        <f t="shared" si="105"/>
        <v/>
      </c>
      <c r="G1383" s="25" t="str">
        <f>IF(Receipts!$I1386="","",Receipts!$I1386)</f>
        <v/>
      </c>
      <c r="H1383" s="25" t="str">
        <f>IF(Receipts!$H1386="","",Receipts!$H1386)</f>
        <v/>
      </c>
      <c r="I1383" s="26" t="str">
        <f t="shared" ca="1" si="106"/>
        <v/>
      </c>
      <c r="J1383" s="26" t="str">
        <f>IF($A1383="","",COUNTIFS(tblReceipts[Item Name],$A1383,tblReceipts[Expiry Date],"&lt;"&amp;$H1383)+COUNTIFS(tblReceipts[Item Name],$A1383,tblReceipts[Expiry Date],$H1383,tblReceipts[Lot Number],"&lt;="&amp;Receipts!$C1386))</f>
        <v/>
      </c>
      <c r="K1383" s="26" t="str">
        <f>IF($A1383="","",SUMIFS(tblReceipts[Qty Received],tblReceipts[Item Name],$A1383,tblReceipts[Expiry Date],"&lt;"&amp;$H1383)+SUMIFS(tblReceipts[Qty Received],tblReceipts[Item Name],$A1383,tblReceipts[Expiry Date],$H1383,tblReceipts[Lot Number],"&lt;"&amp;Receipts!$C1386))</f>
        <v/>
      </c>
      <c r="L1383" s="26" t="str">
        <f>IF($A1383="","",MIN($D1383,MAX(0,SUMIFS(tblIssues[Qty Issued],tblIssues[Item Name],$A1383)-$K1383)))</f>
        <v/>
      </c>
      <c r="M1383" s="26" t="str">
        <f>IF($A1383="","",SUMIFS(tblIssues[Qty Issued],tblIssues[Lot Number],$B1383))</f>
        <v/>
      </c>
      <c r="N1383" s="26" t="str">
        <f t="shared" si="107"/>
        <v/>
      </c>
      <c r="O1383" s="26" t="str">
        <f t="shared" si="108"/>
        <v/>
      </c>
      <c r="P1383" s="21" t="str">
        <f t="shared" si="109"/>
        <v/>
      </c>
      <c r="Q1383" s="52" t="str">
        <f>IF($A1383="","",IF($O1383&lt;=0,"Depleted",IF($I1383&lt;0,"EXPIRED",IF($I1383&lt;=Settings!$C$6,"CRITICAL",IF($I1383&lt;=Settings!$C$5,"Expiring","In date")))))</f>
        <v/>
      </c>
    </row>
    <row r="1384" spans="1:17" x14ac:dyDescent="0.35">
      <c r="A1384" s="90" t="str">
        <f>IF(Receipts!$D1387="","",Receipts!$D1387)</f>
        <v/>
      </c>
      <c r="B1384" s="18" t="str">
        <f>IF(Receipts!$C1387="","",Receipts!$C1387)</f>
        <v/>
      </c>
      <c r="C1384" s="18" t="str">
        <f>IF($A1384="","",IFERROR(INDEX(Items!$B$5:$B$597,MATCH($A1384,Items!$A$5:$A$597,0)),""))</f>
        <v/>
      </c>
      <c r="D1384" s="23" t="str">
        <f>IF($A1384="","",N(Receipts!$G1387))</f>
        <v/>
      </c>
      <c r="E1384" s="20" t="str">
        <f>IF($A1384="","",IFERROR(INDEX(Items!$D$5:$D$597,MATCH($A1384,Items!$A$5:$A$597,0)),0))</f>
        <v/>
      </c>
      <c r="F1384" s="21" t="str">
        <f t="shared" si="105"/>
        <v/>
      </c>
      <c r="G1384" s="25" t="str">
        <f>IF(Receipts!$I1387="","",Receipts!$I1387)</f>
        <v/>
      </c>
      <c r="H1384" s="25" t="str">
        <f>IF(Receipts!$H1387="","",Receipts!$H1387)</f>
        <v/>
      </c>
      <c r="I1384" s="26" t="str">
        <f t="shared" ca="1" si="106"/>
        <v/>
      </c>
      <c r="J1384" s="26" t="str">
        <f>IF($A1384="","",COUNTIFS(tblReceipts[Item Name],$A1384,tblReceipts[Expiry Date],"&lt;"&amp;$H1384)+COUNTIFS(tblReceipts[Item Name],$A1384,tblReceipts[Expiry Date],$H1384,tblReceipts[Lot Number],"&lt;="&amp;Receipts!$C1387))</f>
        <v/>
      </c>
      <c r="K1384" s="26" t="str">
        <f>IF($A1384="","",SUMIFS(tblReceipts[Qty Received],tblReceipts[Item Name],$A1384,tblReceipts[Expiry Date],"&lt;"&amp;$H1384)+SUMIFS(tblReceipts[Qty Received],tblReceipts[Item Name],$A1384,tblReceipts[Expiry Date],$H1384,tblReceipts[Lot Number],"&lt;"&amp;Receipts!$C1387))</f>
        <v/>
      </c>
      <c r="L1384" s="26" t="str">
        <f>IF($A1384="","",MIN($D1384,MAX(0,SUMIFS(tblIssues[Qty Issued],tblIssues[Item Name],$A1384)-$K1384)))</f>
        <v/>
      </c>
      <c r="M1384" s="26" t="str">
        <f>IF($A1384="","",SUMIFS(tblIssues[Qty Issued],tblIssues[Lot Number],$B1384))</f>
        <v/>
      </c>
      <c r="N1384" s="26" t="str">
        <f t="shared" si="107"/>
        <v/>
      </c>
      <c r="O1384" s="26" t="str">
        <f t="shared" si="108"/>
        <v/>
      </c>
      <c r="P1384" s="21" t="str">
        <f t="shared" si="109"/>
        <v/>
      </c>
      <c r="Q1384" s="52" t="str">
        <f>IF($A1384="","",IF($O1384&lt;=0,"Depleted",IF($I1384&lt;0,"EXPIRED",IF($I1384&lt;=Settings!$C$6,"CRITICAL",IF($I1384&lt;=Settings!$C$5,"Expiring","In date")))))</f>
        <v/>
      </c>
    </row>
    <row r="1385" spans="1:17" x14ac:dyDescent="0.35">
      <c r="A1385" s="90" t="str">
        <f>IF(Receipts!$D1388="","",Receipts!$D1388)</f>
        <v/>
      </c>
      <c r="B1385" s="18" t="str">
        <f>IF(Receipts!$C1388="","",Receipts!$C1388)</f>
        <v/>
      </c>
      <c r="C1385" s="18" t="str">
        <f>IF($A1385="","",IFERROR(INDEX(Items!$B$5:$B$597,MATCH($A1385,Items!$A$5:$A$597,0)),""))</f>
        <v/>
      </c>
      <c r="D1385" s="23" t="str">
        <f>IF($A1385="","",N(Receipts!$G1388))</f>
        <v/>
      </c>
      <c r="E1385" s="20" t="str">
        <f>IF($A1385="","",IFERROR(INDEX(Items!$D$5:$D$597,MATCH($A1385,Items!$A$5:$A$597,0)),0))</f>
        <v/>
      </c>
      <c r="F1385" s="21" t="str">
        <f t="shared" si="105"/>
        <v/>
      </c>
      <c r="G1385" s="25" t="str">
        <f>IF(Receipts!$I1388="","",Receipts!$I1388)</f>
        <v/>
      </c>
      <c r="H1385" s="25" t="str">
        <f>IF(Receipts!$H1388="","",Receipts!$H1388)</f>
        <v/>
      </c>
      <c r="I1385" s="26" t="str">
        <f t="shared" ca="1" si="106"/>
        <v/>
      </c>
      <c r="J1385" s="26" t="str">
        <f>IF($A1385="","",COUNTIFS(tblReceipts[Item Name],$A1385,tblReceipts[Expiry Date],"&lt;"&amp;$H1385)+COUNTIFS(tblReceipts[Item Name],$A1385,tblReceipts[Expiry Date],$H1385,tblReceipts[Lot Number],"&lt;="&amp;Receipts!$C1388))</f>
        <v/>
      </c>
      <c r="K1385" s="26" t="str">
        <f>IF($A1385="","",SUMIFS(tblReceipts[Qty Received],tblReceipts[Item Name],$A1385,tblReceipts[Expiry Date],"&lt;"&amp;$H1385)+SUMIFS(tblReceipts[Qty Received],tblReceipts[Item Name],$A1385,tblReceipts[Expiry Date],$H1385,tblReceipts[Lot Number],"&lt;"&amp;Receipts!$C1388))</f>
        <v/>
      </c>
      <c r="L1385" s="26" t="str">
        <f>IF($A1385="","",MIN($D1385,MAX(0,SUMIFS(tblIssues[Qty Issued],tblIssues[Item Name],$A1385)-$K1385)))</f>
        <v/>
      </c>
      <c r="M1385" s="26" t="str">
        <f>IF($A1385="","",SUMIFS(tblIssues[Qty Issued],tblIssues[Lot Number],$B1385))</f>
        <v/>
      </c>
      <c r="N1385" s="26" t="str">
        <f t="shared" si="107"/>
        <v/>
      </c>
      <c r="O1385" s="26" t="str">
        <f t="shared" si="108"/>
        <v/>
      </c>
      <c r="P1385" s="21" t="str">
        <f t="shared" si="109"/>
        <v/>
      </c>
      <c r="Q1385" s="52" t="str">
        <f>IF($A1385="","",IF($O1385&lt;=0,"Depleted",IF($I1385&lt;0,"EXPIRED",IF($I1385&lt;=Settings!$C$6,"CRITICAL",IF($I1385&lt;=Settings!$C$5,"Expiring","In date")))))</f>
        <v/>
      </c>
    </row>
    <row r="1386" spans="1:17" x14ac:dyDescent="0.35">
      <c r="A1386" s="90" t="str">
        <f>IF(Receipts!$D1389="","",Receipts!$D1389)</f>
        <v/>
      </c>
      <c r="B1386" s="18" t="str">
        <f>IF(Receipts!$C1389="","",Receipts!$C1389)</f>
        <v/>
      </c>
      <c r="C1386" s="18" t="str">
        <f>IF($A1386="","",IFERROR(INDEX(Items!$B$5:$B$597,MATCH($A1386,Items!$A$5:$A$597,0)),""))</f>
        <v/>
      </c>
      <c r="D1386" s="23" t="str">
        <f>IF($A1386="","",N(Receipts!$G1389))</f>
        <v/>
      </c>
      <c r="E1386" s="20" t="str">
        <f>IF($A1386="","",IFERROR(INDEX(Items!$D$5:$D$597,MATCH($A1386,Items!$A$5:$A$597,0)),0))</f>
        <v/>
      </c>
      <c r="F1386" s="21" t="str">
        <f t="shared" si="105"/>
        <v/>
      </c>
      <c r="G1386" s="25" t="str">
        <f>IF(Receipts!$I1389="","",Receipts!$I1389)</f>
        <v/>
      </c>
      <c r="H1386" s="25" t="str">
        <f>IF(Receipts!$H1389="","",Receipts!$H1389)</f>
        <v/>
      </c>
      <c r="I1386" s="26" t="str">
        <f t="shared" ca="1" si="106"/>
        <v/>
      </c>
      <c r="J1386" s="26" t="str">
        <f>IF($A1386="","",COUNTIFS(tblReceipts[Item Name],$A1386,tblReceipts[Expiry Date],"&lt;"&amp;$H1386)+COUNTIFS(tblReceipts[Item Name],$A1386,tblReceipts[Expiry Date],$H1386,tblReceipts[Lot Number],"&lt;="&amp;Receipts!$C1389))</f>
        <v/>
      </c>
      <c r="K1386" s="26" t="str">
        <f>IF($A1386="","",SUMIFS(tblReceipts[Qty Received],tblReceipts[Item Name],$A1386,tblReceipts[Expiry Date],"&lt;"&amp;$H1386)+SUMIFS(tblReceipts[Qty Received],tblReceipts[Item Name],$A1386,tblReceipts[Expiry Date],$H1386,tblReceipts[Lot Number],"&lt;"&amp;Receipts!$C1389))</f>
        <v/>
      </c>
      <c r="L1386" s="26" t="str">
        <f>IF($A1386="","",MIN($D1386,MAX(0,SUMIFS(tblIssues[Qty Issued],tblIssues[Item Name],$A1386)-$K1386)))</f>
        <v/>
      </c>
      <c r="M1386" s="26" t="str">
        <f>IF($A1386="","",SUMIFS(tblIssues[Qty Issued],tblIssues[Lot Number],$B1386))</f>
        <v/>
      </c>
      <c r="N1386" s="26" t="str">
        <f t="shared" si="107"/>
        <v/>
      </c>
      <c r="O1386" s="26" t="str">
        <f t="shared" si="108"/>
        <v/>
      </c>
      <c r="P1386" s="21" t="str">
        <f t="shared" si="109"/>
        <v/>
      </c>
      <c r="Q1386" s="52" t="str">
        <f>IF($A1386="","",IF($O1386&lt;=0,"Depleted",IF($I1386&lt;0,"EXPIRED",IF($I1386&lt;=Settings!$C$6,"CRITICAL",IF($I1386&lt;=Settings!$C$5,"Expiring","In date")))))</f>
        <v/>
      </c>
    </row>
    <row r="1387" spans="1:17" x14ac:dyDescent="0.35">
      <c r="A1387" s="90" t="str">
        <f>IF(Receipts!$D1390="","",Receipts!$D1390)</f>
        <v/>
      </c>
      <c r="B1387" s="18" t="str">
        <f>IF(Receipts!$C1390="","",Receipts!$C1390)</f>
        <v/>
      </c>
      <c r="C1387" s="18" t="str">
        <f>IF($A1387="","",IFERROR(INDEX(Items!$B$5:$B$597,MATCH($A1387,Items!$A$5:$A$597,0)),""))</f>
        <v/>
      </c>
      <c r="D1387" s="23" t="str">
        <f>IF($A1387="","",N(Receipts!$G1390))</f>
        <v/>
      </c>
      <c r="E1387" s="20" t="str">
        <f>IF($A1387="","",IFERROR(INDEX(Items!$D$5:$D$597,MATCH($A1387,Items!$A$5:$A$597,0)),0))</f>
        <v/>
      </c>
      <c r="F1387" s="21" t="str">
        <f t="shared" si="105"/>
        <v/>
      </c>
      <c r="G1387" s="25" t="str">
        <f>IF(Receipts!$I1390="","",Receipts!$I1390)</f>
        <v/>
      </c>
      <c r="H1387" s="25" t="str">
        <f>IF(Receipts!$H1390="","",Receipts!$H1390)</f>
        <v/>
      </c>
      <c r="I1387" s="26" t="str">
        <f t="shared" ca="1" si="106"/>
        <v/>
      </c>
      <c r="J1387" s="26" t="str">
        <f>IF($A1387="","",COUNTIFS(tblReceipts[Item Name],$A1387,tblReceipts[Expiry Date],"&lt;"&amp;$H1387)+COUNTIFS(tblReceipts[Item Name],$A1387,tblReceipts[Expiry Date],$H1387,tblReceipts[Lot Number],"&lt;="&amp;Receipts!$C1390))</f>
        <v/>
      </c>
      <c r="K1387" s="26" t="str">
        <f>IF($A1387="","",SUMIFS(tblReceipts[Qty Received],tblReceipts[Item Name],$A1387,tblReceipts[Expiry Date],"&lt;"&amp;$H1387)+SUMIFS(tblReceipts[Qty Received],tblReceipts[Item Name],$A1387,tblReceipts[Expiry Date],$H1387,tblReceipts[Lot Number],"&lt;"&amp;Receipts!$C1390))</f>
        <v/>
      </c>
      <c r="L1387" s="26" t="str">
        <f>IF($A1387="","",MIN($D1387,MAX(0,SUMIFS(tblIssues[Qty Issued],tblIssues[Item Name],$A1387)-$K1387)))</f>
        <v/>
      </c>
      <c r="M1387" s="26" t="str">
        <f>IF($A1387="","",SUMIFS(tblIssues[Qty Issued],tblIssues[Lot Number],$B1387))</f>
        <v/>
      </c>
      <c r="N1387" s="26" t="str">
        <f t="shared" si="107"/>
        <v/>
      </c>
      <c r="O1387" s="26" t="str">
        <f t="shared" si="108"/>
        <v/>
      </c>
      <c r="P1387" s="21" t="str">
        <f t="shared" si="109"/>
        <v/>
      </c>
      <c r="Q1387" s="52" t="str">
        <f>IF($A1387="","",IF($O1387&lt;=0,"Depleted",IF($I1387&lt;0,"EXPIRED",IF($I1387&lt;=Settings!$C$6,"CRITICAL",IF($I1387&lt;=Settings!$C$5,"Expiring","In date")))))</f>
        <v/>
      </c>
    </row>
    <row r="1388" spans="1:17" x14ac:dyDescent="0.35">
      <c r="A1388" s="90" t="str">
        <f>IF(Receipts!$D1391="","",Receipts!$D1391)</f>
        <v/>
      </c>
      <c r="B1388" s="18" t="str">
        <f>IF(Receipts!$C1391="","",Receipts!$C1391)</f>
        <v/>
      </c>
      <c r="C1388" s="18" t="str">
        <f>IF($A1388="","",IFERROR(INDEX(Items!$B$5:$B$597,MATCH($A1388,Items!$A$5:$A$597,0)),""))</f>
        <v/>
      </c>
      <c r="D1388" s="23" t="str">
        <f>IF($A1388="","",N(Receipts!$G1391))</f>
        <v/>
      </c>
      <c r="E1388" s="20" t="str">
        <f>IF($A1388="","",IFERROR(INDEX(Items!$D$5:$D$597,MATCH($A1388,Items!$A$5:$A$597,0)),0))</f>
        <v/>
      </c>
      <c r="F1388" s="21" t="str">
        <f t="shared" si="105"/>
        <v/>
      </c>
      <c r="G1388" s="25" t="str">
        <f>IF(Receipts!$I1391="","",Receipts!$I1391)</f>
        <v/>
      </c>
      <c r="H1388" s="25" t="str">
        <f>IF(Receipts!$H1391="","",Receipts!$H1391)</f>
        <v/>
      </c>
      <c r="I1388" s="26" t="str">
        <f t="shared" ca="1" si="106"/>
        <v/>
      </c>
      <c r="J1388" s="26" t="str">
        <f>IF($A1388="","",COUNTIFS(tblReceipts[Item Name],$A1388,tblReceipts[Expiry Date],"&lt;"&amp;$H1388)+COUNTIFS(tblReceipts[Item Name],$A1388,tblReceipts[Expiry Date],$H1388,tblReceipts[Lot Number],"&lt;="&amp;Receipts!$C1391))</f>
        <v/>
      </c>
      <c r="K1388" s="26" t="str">
        <f>IF($A1388="","",SUMIFS(tblReceipts[Qty Received],tblReceipts[Item Name],$A1388,tblReceipts[Expiry Date],"&lt;"&amp;$H1388)+SUMIFS(tblReceipts[Qty Received],tblReceipts[Item Name],$A1388,tblReceipts[Expiry Date],$H1388,tblReceipts[Lot Number],"&lt;"&amp;Receipts!$C1391))</f>
        <v/>
      </c>
      <c r="L1388" s="26" t="str">
        <f>IF($A1388="","",MIN($D1388,MAX(0,SUMIFS(tblIssues[Qty Issued],tblIssues[Item Name],$A1388)-$K1388)))</f>
        <v/>
      </c>
      <c r="M1388" s="26" t="str">
        <f>IF($A1388="","",SUMIFS(tblIssues[Qty Issued],tblIssues[Lot Number],$B1388))</f>
        <v/>
      </c>
      <c r="N1388" s="26" t="str">
        <f t="shared" si="107"/>
        <v/>
      </c>
      <c r="O1388" s="26" t="str">
        <f t="shared" si="108"/>
        <v/>
      </c>
      <c r="P1388" s="21" t="str">
        <f t="shared" si="109"/>
        <v/>
      </c>
      <c r="Q1388" s="52" t="str">
        <f>IF($A1388="","",IF($O1388&lt;=0,"Depleted",IF($I1388&lt;0,"EXPIRED",IF($I1388&lt;=Settings!$C$6,"CRITICAL",IF($I1388&lt;=Settings!$C$5,"Expiring","In date")))))</f>
        <v/>
      </c>
    </row>
    <row r="1389" spans="1:17" x14ac:dyDescent="0.35">
      <c r="A1389" s="90" t="str">
        <f>IF(Receipts!$D1392="","",Receipts!$D1392)</f>
        <v/>
      </c>
      <c r="B1389" s="18" t="str">
        <f>IF(Receipts!$C1392="","",Receipts!$C1392)</f>
        <v/>
      </c>
      <c r="C1389" s="18" t="str">
        <f>IF($A1389="","",IFERROR(INDEX(Items!$B$5:$B$597,MATCH($A1389,Items!$A$5:$A$597,0)),""))</f>
        <v/>
      </c>
      <c r="D1389" s="23" t="str">
        <f>IF($A1389="","",N(Receipts!$G1392))</f>
        <v/>
      </c>
      <c r="E1389" s="20" t="str">
        <f>IF($A1389="","",IFERROR(INDEX(Items!$D$5:$D$597,MATCH($A1389,Items!$A$5:$A$597,0)),0))</f>
        <v/>
      </c>
      <c r="F1389" s="21" t="str">
        <f t="shared" si="105"/>
        <v/>
      </c>
      <c r="G1389" s="25" t="str">
        <f>IF(Receipts!$I1392="","",Receipts!$I1392)</f>
        <v/>
      </c>
      <c r="H1389" s="25" t="str">
        <f>IF(Receipts!$H1392="","",Receipts!$H1392)</f>
        <v/>
      </c>
      <c r="I1389" s="26" t="str">
        <f t="shared" ca="1" si="106"/>
        <v/>
      </c>
      <c r="J1389" s="26" t="str">
        <f>IF($A1389="","",COUNTIFS(tblReceipts[Item Name],$A1389,tblReceipts[Expiry Date],"&lt;"&amp;$H1389)+COUNTIFS(tblReceipts[Item Name],$A1389,tblReceipts[Expiry Date],$H1389,tblReceipts[Lot Number],"&lt;="&amp;Receipts!$C1392))</f>
        <v/>
      </c>
      <c r="K1389" s="26" t="str">
        <f>IF($A1389="","",SUMIFS(tblReceipts[Qty Received],tblReceipts[Item Name],$A1389,tblReceipts[Expiry Date],"&lt;"&amp;$H1389)+SUMIFS(tblReceipts[Qty Received],tblReceipts[Item Name],$A1389,tblReceipts[Expiry Date],$H1389,tblReceipts[Lot Number],"&lt;"&amp;Receipts!$C1392))</f>
        <v/>
      </c>
      <c r="L1389" s="26" t="str">
        <f>IF($A1389="","",MIN($D1389,MAX(0,SUMIFS(tblIssues[Qty Issued],tblIssues[Item Name],$A1389)-$K1389)))</f>
        <v/>
      </c>
      <c r="M1389" s="26" t="str">
        <f>IF($A1389="","",SUMIFS(tblIssues[Qty Issued],tblIssues[Lot Number],$B1389))</f>
        <v/>
      </c>
      <c r="N1389" s="26" t="str">
        <f t="shared" si="107"/>
        <v/>
      </c>
      <c r="O1389" s="26" t="str">
        <f t="shared" si="108"/>
        <v/>
      </c>
      <c r="P1389" s="21" t="str">
        <f t="shared" si="109"/>
        <v/>
      </c>
      <c r="Q1389" s="52" t="str">
        <f>IF($A1389="","",IF($O1389&lt;=0,"Depleted",IF($I1389&lt;0,"EXPIRED",IF($I1389&lt;=Settings!$C$6,"CRITICAL",IF($I1389&lt;=Settings!$C$5,"Expiring","In date")))))</f>
        <v/>
      </c>
    </row>
    <row r="1390" spans="1:17" x14ac:dyDescent="0.35">
      <c r="A1390" s="90" t="str">
        <f>IF(Receipts!$D1393="","",Receipts!$D1393)</f>
        <v/>
      </c>
      <c r="B1390" s="18" t="str">
        <f>IF(Receipts!$C1393="","",Receipts!$C1393)</f>
        <v/>
      </c>
      <c r="C1390" s="18" t="str">
        <f>IF($A1390="","",IFERROR(INDEX(Items!$B$5:$B$597,MATCH($A1390,Items!$A$5:$A$597,0)),""))</f>
        <v/>
      </c>
      <c r="D1390" s="23" t="str">
        <f>IF($A1390="","",N(Receipts!$G1393))</f>
        <v/>
      </c>
      <c r="E1390" s="20" t="str">
        <f>IF($A1390="","",IFERROR(INDEX(Items!$D$5:$D$597,MATCH($A1390,Items!$A$5:$A$597,0)),0))</f>
        <v/>
      </c>
      <c r="F1390" s="21" t="str">
        <f t="shared" si="105"/>
        <v/>
      </c>
      <c r="G1390" s="25" t="str">
        <f>IF(Receipts!$I1393="","",Receipts!$I1393)</f>
        <v/>
      </c>
      <c r="H1390" s="25" t="str">
        <f>IF(Receipts!$H1393="","",Receipts!$H1393)</f>
        <v/>
      </c>
      <c r="I1390" s="26" t="str">
        <f t="shared" ca="1" si="106"/>
        <v/>
      </c>
      <c r="J1390" s="26" t="str">
        <f>IF($A1390="","",COUNTIFS(tblReceipts[Item Name],$A1390,tblReceipts[Expiry Date],"&lt;"&amp;$H1390)+COUNTIFS(tblReceipts[Item Name],$A1390,tblReceipts[Expiry Date],$H1390,tblReceipts[Lot Number],"&lt;="&amp;Receipts!$C1393))</f>
        <v/>
      </c>
      <c r="K1390" s="26" t="str">
        <f>IF($A1390="","",SUMIFS(tblReceipts[Qty Received],tblReceipts[Item Name],$A1390,tblReceipts[Expiry Date],"&lt;"&amp;$H1390)+SUMIFS(tblReceipts[Qty Received],tblReceipts[Item Name],$A1390,tblReceipts[Expiry Date],$H1390,tblReceipts[Lot Number],"&lt;"&amp;Receipts!$C1393))</f>
        <v/>
      </c>
      <c r="L1390" s="26" t="str">
        <f>IF($A1390="","",MIN($D1390,MAX(0,SUMIFS(tblIssues[Qty Issued],tblIssues[Item Name],$A1390)-$K1390)))</f>
        <v/>
      </c>
      <c r="M1390" s="26" t="str">
        <f>IF($A1390="","",SUMIFS(tblIssues[Qty Issued],tblIssues[Lot Number],$B1390))</f>
        <v/>
      </c>
      <c r="N1390" s="26" t="str">
        <f t="shared" si="107"/>
        <v/>
      </c>
      <c r="O1390" s="26" t="str">
        <f t="shared" si="108"/>
        <v/>
      </c>
      <c r="P1390" s="21" t="str">
        <f t="shared" si="109"/>
        <v/>
      </c>
      <c r="Q1390" s="52" t="str">
        <f>IF($A1390="","",IF($O1390&lt;=0,"Depleted",IF($I1390&lt;0,"EXPIRED",IF($I1390&lt;=Settings!$C$6,"CRITICAL",IF($I1390&lt;=Settings!$C$5,"Expiring","In date")))))</f>
        <v/>
      </c>
    </row>
    <row r="1391" spans="1:17" x14ac:dyDescent="0.35">
      <c r="A1391" s="90" t="str">
        <f>IF(Receipts!$D1394="","",Receipts!$D1394)</f>
        <v/>
      </c>
      <c r="B1391" s="18" t="str">
        <f>IF(Receipts!$C1394="","",Receipts!$C1394)</f>
        <v/>
      </c>
      <c r="C1391" s="18" t="str">
        <f>IF($A1391="","",IFERROR(INDEX(Items!$B$5:$B$597,MATCH($A1391,Items!$A$5:$A$597,0)),""))</f>
        <v/>
      </c>
      <c r="D1391" s="23" t="str">
        <f>IF($A1391="","",N(Receipts!$G1394))</f>
        <v/>
      </c>
      <c r="E1391" s="20" t="str">
        <f>IF($A1391="","",IFERROR(INDEX(Items!$D$5:$D$597,MATCH($A1391,Items!$A$5:$A$597,0)),0))</f>
        <v/>
      </c>
      <c r="F1391" s="21" t="str">
        <f t="shared" si="105"/>
        <v/>
      </c>
      <c r="G1391" s="25" t="str">
        <f>IF(Receipts!$I1394="","",Receipts!$I1394)</f>
        <v/>
      </c>
      <c r="H1391" s="25" t="str">
        <f>IF(Receipts!$H1394="","",Receipts!$H1394)</f>
        <v/>
      </c>
      <c r="I1391" s="26" t="str">
        <f t="shared" ca="1" si="106"/>
        <v/>
      </c>
      <c r="J1391" s="26" t="str">
        <f>IF($A1391="","",COUNTIFS(tblReceipts[Item Name],$A1391,tblReceipts[Expiry Date],"&lt;"&amp;$H1391)+COUNTIFS(tblReceipts[Item Name],$A1391,tblReceipts[Expiry Date],$H1391,tblReceipts[Lot Number],"&lt;="&amp;Receipts!$C1394))</f>
        <v/>
      </c>
      <c r="K1391" s="26" t="str">
        <f>IF($A1391="","",SUMIFS(tblReceipts[Qty Received],tblReceipts[Item Name],$A1391,tblReceipts[Expiry Date],"&lt;"&amp;$H1391)+SUMIFS(tblReceipts[Qty Received],tblReceipts[Item Name],$A1391,tblReceipts[Expiry Date],$H1391,tblReceipts[Lot Number],"&lt;"&amp;Receipts!$C1394))</f>
        <v/>
      </c>
      <c r="L1391" s="26" t="str">
        <f>IF($A1391="","",MIN($D1391,MAX(0,SUMIFS(tblIssues[Qty Issued],tblIssues[Item Name],$A1391)-$K1391)))</f>
        <v/>
      </c>
      <c r="M1391" s="26" t="str">
        <f>IF($A1391="","",SUMIFS(tblIssues[Qty Issued],tblIssues[Lot Number],$B1391))</f>
        <v/>
      </c>
      <c r="N1391" s="26" t="str">
        <f t="shared" si="107"/>
        <v/>
      </c>
      <c r="O1391" s="26" t="str">
        <f t="shared" si="108"/>
        <v/>
      </c>
      <c r="P1391" s="21" t="str">
        <f t="shared" si="109"/>
        <v/>
      </c>
      <c r="Q1391" s="52" t="str">
        <f>IF($A1391="","",IF($O1391&lt;=0,"Depleted",IF($I1391&lt;0,"EXPIRED",IF($I1391&lt;=Settings!$C$6,"CRITICAL",IF($I1391&lt;=Settings!$C$5,"Expiring","In date")))))</f>
        <v/>
      </c>
    </row>
    <row r="1392" spans="1:17" x14ac:dyDescent="0.35">
      <c r="A1392" s="90" t="str">
        <f>IF(Receipts!$D1395="","",Receipts!$D1395)</f>
        <v/>
      </c>
      <c r="B1392" s="18" t="str">
        <f>IF(Receipts!$C1395="","",Receipts!$C1395)</f>
        <v/>
      </c>
      <c r="C1392" s="18" t="str">
        <f>IF($A1392="","",IFERROR(INDEX(Items!$B$5:$B$597,MATCH($A1392,Items!$A$5:$A$597,0)),""))</f>
        <v/>
      </c>
      <c r="D1392" s="23" t="str">
        <f>IF($A1392="","",N(Receipts!$G1395))</f>
        <v/>
      </c>
      <c r="E1392" s="20" t="str">
        <f>IF($A1392="","",IFERROR(INDEX(Items!$D$5:$D$597,MATCH($A1392,Items!$A$5:$A$597,0)),0))</f>
        <v/>
      </c>
      <c r="F1392" s="21" t="str">
        <f t="shared" si="105"/>
        <v/>
      </c>
      <c r="G1392" s="25" t="str">
        <f>IF(Receipts!$I1395="","",Receipts!$I1395)</f>
        <v/>
      </c>
      <c r="H1392" s="25" t="str">
        <f>IF(Receipts!$H1395="","",Receipts!$H1395)</f>
        <v/>
      </c>
      <c r="I1392" s="26" t="str">
        <f t="shared" ca="1" si="106"/>
        <v/>
      </c>
      <c r="J1392" s="26" t="str">
        <f>IF($A1392="","",COUNTIFS(tblReceipts[Item Name],$A1392,tblReceipts[Expiry Date],"&lt;"&amp;$H1392)+COUNTIFS(tblReceipts[Item Name],$A1392,tblReceipts[Expiry Date],$H1392,tblReceipts[Lot Number],"&lt;="&amp;Receipts!$C1395))</f>
        <v/>
      </c>
      <c r="K1392" s="26" t="str">
        <f>IF($A1392="","",SUMIFS(tblReceipts[Qty Received],tblReceipts[Item Name],$A1392,tblReceipts[Expiry Date],"&lt;"&amp;$H1392)+SUMIFS(tblReceipts[Qty Received],tblReceipts[Item Name],$A1392,tblReceipts[Expiry Date],$H1392,tblReceipts[Lot Number],"&lt;"&amp;Receipts!$C1395))</f>
        <v/>
      </c>
      <c r="L1392" s="26" t="str">
        <f>IF($A1392="","",MIN($D1392,MAX(0,SUMIFS(tblIssues[Qty Issued],tblIssues[Item Name],$A1392)-$K1392)))</f>
        <v/>
      </c>
      <c r="M1392" s="26" t="str">
        <f>IF($A1392="","",SUMIFS(tblIssues[Qty Issued],tblIssues[Lot Number],$B1392))</f>
        <v/>
      </c>
      <c r="N1392" s="26" t="str">
        <f t="shared" si="107"/>
        <v/>
      </c>
      <c r="O1392" s="26" t="str">
        <f t="shared" si="108"/>
        <v/>
      </c>
      <c r="P1392" s="21" t="str">
        <f t="shared" si="109"/>
        <v/>
      </c>
      <c r="Q1392" s="52" t="str">
        <f>IF($A1392="","",IF($O1392&lt;=0,"Depleted",IF($I1392&lt;0,"EXPIRED",IF($I1392&lt;=Settings!$C$6,"CRITICAL",IF($I1392&lt;=Settings!$C$5,"Expiring","In date")))))</f>
        <v/>
      </c>
    </row>
    <row r="1393" spans="1:17" x14ac:dyDescent="0.35">
      <c r="A1393" s="90" t="str">
        <f>IF(Receipts!$D1396="","",Receipts!$D1396)</f>
        <v/>
      </c>
      <c r="B1393" s="18" t="str">
        <f>IF(Receipts!$C1396="","",Receipts!$C1396)</f>
        <v/>
      </c>
      <c r="C1393" s="18" t="str">
        <f>IF($A1393="","",IFERROR(INDEX(Items!$B$5:$B$597,MATCH($A1393,Items!$A$5:$A$597,0)),""))</f>
        <v/>
      </c>
      <c r="D1393" s="23" t="str">
        <f>IF($A1393="","",N(Receipts!$G1396))</f>
        <v/>
      </c>
      <c r="E1393" s="20" t="str">
        <f>IF($A1393="","",IFERROR(INDEX(Items!$D$5:$D$597,MATCH($A1393,Items!$A$5:$A$597,0)),0))</f>
        <v/>
      </c>
      <c r="F1393" s="21" t="str">
        <f t="shared" si="105"/>
        <v/>
      </c>
      <c r="G1393" s="25" t="str">
        <f>IF(Receipts!$I1396="","",Receipts!$I1396)</f>
        <v/>
      </c>
      <c r="H1393" s="25" t="str">
        <f>IF(Receipts!$H1396="","",Receipts!$H1396)</f>
        <v/>
      </c>
      <c r="I1393" s="26" t="str">
        <f t="shared" ca="1" si="106"/>
        <v/>
      </c>
      <c r="J1393" s="26" t="str">
        <f>IF($A1393="","",COUNTIFS(tblReceipts[Item Name],$A1393,tblReceipts[Expiry Date],"&lt;"&amp;$H1393)+COUNTIFS(tblReceipts[Item Name],$A1393,tblReceipts[Expiry Date],$H1393,tblReceipts[Lot Number],"&lt;="&amp;Receipts!$C1396))</f>
        <v/>
      </c>
      <c r="K1393" s="26" t="str">
        <f>IF($A1393="","",SUMIFS(tblReceipts[Qty Received],tblReceipts[Item Name],$A1393,tblReceipts[Expiry Date],"&lt;"&amp;$H1393)+SUMIFS(tblReceipts[Qty Received],tblReceipts[Item Name],$A1393,tblReceipts[Expiry Date],$H1393,tblReceipts[Lot Number],"&lt;"&amp;Receipts!$C1396))</f>
        <v/>
      </c>
      <c r="L1393" s="26" t="str">
        <f>IF($A1393="","",MIN($D1393,MAX(0,SUMIFS(tblIssues[Qty Issued],tblIssues[Item Name],$A1393)-$K1393)))</f>
        <v/>
      </c>
      <c r="M1393" s="26" t="str">
        <f>IF($A1393="","",SUMIFS(tblIssues[Qty Issued],tblIssues[Lot Number],$B1393))</f>
        <v/>
      </c>
      <c r="N1393" s="26" t="str">
        <f t="shared" si="107"/>
        <v/>
      </c>
      <c r="O1393" s="26" t="str">
        <f t="shared" si="108"/>
        <v/>
      </c>
      <c r="P1393" s="21" t="str">
        <f t="shared" si="109"/>
        <v/>
      </c>
      <c r="Q1393" s="52" t="str">
        <f>IF($A1393="","",IF($O1393&lt;=0,"Depleted",IF($I1393&lt;0,"EXPIRED",IF($I1393&lt;=Settings!$C$6,"CRITICAL",IF($I1393&lt;=Settings!$C$5,"Expiring","In date")))))</f>
        <v/>
      </c>
    </row>
    <row r="1394" spans="1:17" x14ac:dyDescent="0.35">
      <c r="A1394" s="90" t="str">
        <f>IF(Receipts!$D1397="","",Receipts!$D1397)</f>
        <v/>
      </c>
      <c r="B1394" s="18" t="str">
        <f>IF(Receipts!$C1397="","",Receipts!$C1397)</f>
        <v/>
      </c>
      <c r="C1394" s="18" t="str">
        <f>IF($A1394="","",IFERROR(INDEX(Items!$B$5:$B$597,MATCH($A1394,Items!$A$5:$A$597,0)),""))</f>
        <v/>
      </c>
      <c r="D1394" s="23" t="str">
        <f>IF($A1394="","",N(Receipts!$G1397))</f>
        <v/>
      </c>
      <c r="E1394" s="20" t="str">
        <f>IF($A1394="","",IFERROR(INDEX(Items!$D$5:$D$597,MATCH($A1394,Items!$A$5:$A$597,0)),0))</f>
        <v/>
      </c>
      <c r="F1394" s="21" t="str">
        <f t="shared" si="105"/>
        <v/>
      </c>
      <c r="G1394" s="25" t="str">
        <f>IF(Receipts!$I1397="","",Receipts!$I1397)</f>
        <v/>
      </c>
      <c r="H1394" s="25" t="str">
        <f>IF(Receipts!$H1397="","",Receipts!$H1397)</f>
        <v/>
      </c>
      <c r="I1394" s="26" t="str">
        <f t="shared" ca="1" si="106"/>
        <v/>
      </c>
      <c r="J1394" s="26" t="str">
        <f>IF($A1394="","",COUNTIFS(tblReceipts[Item Name],$A1394,tblReceipts[Expiry Date],"&lt;"&amp;$H1394)+COUNTIFS(tblReceipts[Item Name],$A1394,tblReceipts[Expiry Date],$H1394,tblReceipts[Lot Number],"&lt;="&amp;Receipts!$C1397))</f>
        <v/>
      </c>
      <c r="K1394" s="26" t="str">
        <f>IF($A1394="","",SUMIFS(tblReceipts[Qty Received],tblReceipts[Item Name],$A1394,tblReceipts[Expiry Date],"&lt;"&amp;$H1394)+SUMIFS(tblReceipts[Qty Received],tblReceipts[Item Name],$A1394,tblReceipts[Expiry Date],$H1394,tblReceipts[Lot Number],"&lt;"&amp;Receipts!$C1397))</f>
        <v/>
      </c>
      <c r="L1394" s="26" t="str">
        <f>IF($A1394="","",MIN($D1394,MAX(0,SUMIFS(tblIssues[Qty Issued],tblIssues[Item Name],$A1394)-$K1394)))</f>
        <v/>
      </c>
      <c r="M1394" s="26" t="str">
        <f>IF($A1394="","",SUMIFS(tblIssues[Qty Issued],tblIssues[Lot Number],$B1394))</f>
        <v/>
      </c>
      <c r="N1394" s="26" t="str">
        <f t="shared" si="107"/>
        <v/>
      </c>
      <c r="O1394" s="26" t="str">
        <f t="shared" si="108"/>
        <v/>
      </c>
      <c r="P1394" s="21" t="str">
        <f t="shared" si="109"/>
        <v/>
      </c>
      <c r="Q1394" s="52" t="str">
        <f>IF($A1394="","",IF($O1394&lt;=0,"Depleted",IF($I1394&lt;0,"EXPIRED",IF($I1394&lt;=Settings!$C$6,"CRITICAL",IF($I1394&lt;=Settings!$C$5,"Expiring","In date")))))</f>
        <v/>
      </c>
    </row>
    <row r="1395" spans="1:17" x14ac:dyDescent="0.35">
      <c r="A1395" s="90" t="str">
        <f>IF(Receipts!$D1398="","",Receipts!$D1398)</f>
        <v/>
      </c>
      <c r="B1395" s="18" t="str">
        <f>IF(Receipts!$C1398="","",Receipts!$C1398)</f>
        <v/>
      </c>
      <c r="C1395" s="18" t="str">
        <f>IF($A1395="","",IFERROR(INDEX(Items!$B$5:$B$597,MATCH($A1395,Items!$A$5:$A$597,0)),""))</f>
        <v/>
      </c>
      <c r="D1395" s="23" t="str">
        <f>IF($A1395="","",N(Receipts!$G1398))</f>
        <v/>
      </c>
      <c r="E1395" s="20" t="str">
        <f>IF($A1395="","",IFERROR(INDEX(Items!$D$5:$D$597,MATCH($A1395,Items!$A$5:$A$597,0)),0))</f>
        <v/>
      </c>
      <c r="F1395" s="21" t="str">
        <f t="shared" si="105"/>
        <v/>
      </c>
      <c r="G1395" s="25" t="str">
        <f>IF(Receipts!$I1398="","",Receipts!$I1398)</f>
        <v/>
      </c>
      <c r="H1395" s="25" t="str">
        <f>IF(Receipts!$H1398="","",Receipts!$H1398)</f>
        <v/>
      </c>
      <c r="I1395" s="26" t="str">
        <f t="shared" ca="1" si="106"/>
        <v/>
      </c>
      <c r="J1395" s="26" t="str">
        <f>IF($A1395="","",COUNTIFS(tblReceipts[Item Name],$A1395,tblReceipts[Expiry Date],"&lt;"&amp;$H1395)+COUNTIFS(tblReceipts[Item Name],$A1395,tblReceipts[Expiry Date],$H1395,tblReceipts[Lot Number],"&lt;="&amp;Receipts!$C1398))</f>
        <v/>
      </c>
      <c r="K1395" s="26" t="str">
        <f>IF($A1395="","",SUMIFS(tblReceipts[Qty Received],tblReceipts[Item Name],$A1395,tblReceipts[Expiry Date],"&lt;"&amp;$H1395)+SUMIFS(tblReceipts[Qty Received],tblReceipts[Item Name],$A1395,tblReceipts[Expiry Date],$H1395,tblReceipts[Lot Number],"&lt;"&amp;Receipts!$C1398))</f>
        <v/>
      </c>
      <c r="L1395" s="26" t="str">
        <f>IF($A1395="","",MIN($D1395,MAX(0,SUMIFS(tblIssues[Qty Issued],tblIssues[Item Name],$A1395)-$K1395)))</f>
        <v/>
      </c>
      <c r="M1395" s="26" t="str">
        <f>IF($A1395="","",SUMIFS(tblIssues[Qty Issued],tblIssues[Lot Number],$B1395))</f>
        <v/>
      </c>
      <c r="N1395" s="26" t="str">
        <f t="shared" si="107"/>
        <v/>
      </c>
      <c r="O1395" s="26" t="str">
        <f t="shared" si="108"/>
        <v/>
      </c>
      <c r="P1395" s="21" t="str">
        <f t="shared" si="109"/>
        <v/>
      </c>
      <c r="Q1395" s="52" t="str">
        <f>IF($A1395="","",IF($O1395&lt;=0,"Depleted",IF($I1395&lt;0,"EXPIRED",IF($I1395&lt;=Settings!$C$6,"CRITICAL",IF($I1395&lt;=Settings!$C$5,"Expiring","In date")))))</f>
        <v/>
      </c>
    </row>
    <row r="1396" spans="1:17" x14ac:dyDescent="0.35">
      <c r="A1396" s="90" t="str">
        <f>IF(Receipts!$D1399="","",Receipts!$D1399)</f>
        <v/>
      </c>
      <c r="B1396" s="18" t="str">
        <f>IF(Receipts!$C1399="","",Receipts!$C1399)</f>
        <v/>
      </c>
      <c r="C1396" s="18" t="str">
        <f>IF($A1396="","",IFERROR(INDEX(Items!$B$5:$B$597,MATCH($A1396,Items!$A$5:$A$597,0)),""))</f>
        <v/>
      </c>
      <c r="D1396" s="23" t="str">
        <f>IF($A1396="","",N(Receipts!$G1399))</f>
        <v/>
      </c>
      <c r="E1396" s="20" t="str">
        <f>IF($A1396="","",IFERROR(INDEX(Items!$D$5:$D$597,MATCH($A1396,Items!$A$5:$A$597,0)),0))</f>
        <v/>
      </c>
      <c r="F1396" s="21" t="str">
        <f t="shared" si="105"/>
        <v/>
      </c>
      <c r="G1396" s="25" t="str">
        <f>IF(Receipts!$I1399="","",Receipts!$I1399)</f>
        <v/>
      </c>
      <c r="H1396" s="25" t="str">
        <f>IF(Receipts!$H1399="","",Receipts!$H1399)</f>
        <v/>
      </c>
      <c r="I1396" s="26" t="str">
        <f t="shared" ca="1" si="106"/>
        <v/>
      </c>
      <c r="J1396" s="26" t="str">
        <f>IF($A1396="","",COUNTIFS(tblReceipts[Item Name],$A1396,tblReceipts[Expiry Date],"&lt;"&amp;$H1396)+COUNTIFS(tblReceipts[Item Name],$A1396,tblReceipts[Expiry Date],$H1396,tblReceipts[Lot Number],"&lt;="&amp;Receipts!$C1399))</f>
        <v/>
      </c>
      <c r="K1396" s="26" t="str">
        <f>IF($A1396="","",SUMIFS(tblReceipts[Qty Received],tblReceipts[Item Name],$A1396,tblReceipts[Expiry Date],"&lt;"&amp;$H1396)+SUMIFS(tblReceipts[Qty Received],tblReceipts[Item Name],$A1396,tblReceipts[Expiry Date],$H1396,tblReceipts[Lot Number],"&lt;"&amp;Receipts!$C1399))</f>
        <v/>
      </c>
      <c r="L1396" s="26" t="str">
        <f>IF($A1396="","",MIN($D1396,MAX(0,SUMIFS(tblIssues[Qty Issued],tblIssues[Item Name],$A1396)-$K1396)))</f>
        <v/>
      </c>
      <c r="M1396" s="26" t="str">
        <f>IF($A1396="","",SUMIFS(tblIssues[Qty Issued],tblIssues[Lot Number],$B1396))</f>
        <v/>
      </c>
      <c r="N1396" s="26" t="str">
        <f t="shared" si="107"/>
        <v/>
      </c>
      <c r="O1396" s="26" t="str">
        <f t="shared" si="108"/>
        <v/>
      </c>
      <c r="P1396" s="21" t="str">
        <f t="shared" si="109"/>
        <v/>
      </c>
      <c r="Q1396" s="52" t="str">
        <f>IF($A1396="","",IF($O1396&lt;=0,"Depleted",IF($I1396&lt;0,"EXPIRED",IF($I1396&lt;=Settings!$C$6,"CRITICAL",IF($I1396&lt;=Settings!$C$5,"Expiring","In date")))))</f>
        <v/>
      </c>
    </row>
    <row r="1397" spans="1:17" x14ac:dyDescent="0.35">
      <c r="A1397" s="90" t="str">
        <f>IF(Receipts!$D1400="","",Receipts!$D1400)</f>
        <v/>
      </c>
      <c r="B1397" s="18" t="str">
        <f>IF(Receipts!$C1400="","",Receipts!$C1400)</f>
        <v/>
      </c>
      <c r="C1397" s="18" t="str">
        <f>IF($A1397="","",IFERROR(INDEX(Items!$B$5:$B$597,MATCH($A1397,Items!$A$5:$A$597,0)),""))</f>
        <v/>
      </c>
      <c r="D1397" s="23" t="str">
        <f>IF($A1397="","",N(Receipts!$G1400))</f>
        <v/>
      </c>
      <c r="E1397" s="20" t="str">
        <f>IF($A1397="","",IFERROR(INDEX(Items!$D$5:$D$597,MATCH($A1397,Items!$A$5:$A$597,0)),0))</f>
        <v/>
      </c>
      <c r="F1397" s="21" t="str">
        <f t="shared" si="105"/>
        <v/>
      </c>
      <c r="G1397" s="25" t="str">
        <f>IF(Receipts!$I1400="","",Receipts!$I1400)</f>
        <v/>
      </c>
      <c r="H1397" s="25" t="str">
        <f>IF(Receipts!$H1400="","",Receipts!$H1400)</f>
        <v/>
      </c>
      <c r="I1397" s="26" t="str">
        <f t="shared" ca="1" si="106"/>
        <v/>
      </c>
      <c r="J1397" s="26" t="str">
        <f>IF($A1397="","",COUNTIFS(tblReceipts[Item Name],$A1397,tblReceipts[Expiry Date],"&lt;"&amp;$H1397)+COUNTIFS(tblReceipts[Item Name],$A1397,tblReceipts[Expiry Date],$H1397,tblReceipts[Lot Number],"&lt;="&amp;Receipts!$C1400))</f>
        <v/>
      </c>
      <c r="K1397" s="26" t="str">
        <f>IF($A1397="","",SUMIFS(tblReceipts[Qty Received],tblReceipts[Item Name],$A1397,tblReceipts[Expiry Date],"&lt;"&amp;$H1397)+SUMIFS(tblReceipts[Qty Received],tblReceipts[Item Name],$A1397,tblReceipts[Expiry Date],$H1397,tblReceipts[Lot Number],"&lt;"&amp;Receipts!$C1400))</f>
        <v/>
      </c>
      <c r="L1397" s="26" t="str">
        <f>IF($A1397="","",MIN($D1397,MAX(0,SUMIFS(tblIssues[Qty Issued],tblIssues[Item Name],$A1397)-$K1397)))</f>
        <v/>
      </c>
      <c r="M1397" s="26" t="str">
        <f>IF($A1397="","",SUMIFS(tblIssues[Qty Issued],tblIssues[Lot Number],$B1397))</f>
        <v/>
      </c>
      <c r="N1397" s="26" t="str">
        <f t="shared" si="107"/>
        <v/>
      </c>
      <c r="O1397" s="26" t="str">
        <f t="shared" si="108"/>
        <v/>
      </c>
      <c r="P1397" s="21" t="str">
        <f t="shared" si="109"/>
        <v/>
      </c>
      <c r="Q1397" s="52" t="str">
        <f>IF($A1397="","",IF($O1397&lt;=0,"Depleted",IF($I1397&lt;0,"EXPIRED",IF($I1397&lt;=Settings!$C$6,"CRITICAL",IF($I1397&lt;=Settings!$C$5,"Expiring","In date")))))</f>
        <v/>
      </c>
    </row>
    <row r="1398" spans="1:17" x14ac:dyDescent="0.35">
      <c r="A1398" s="90" t="str">
        <f>IF(Receipts!$D1401="","",Receipts!$D1401)</f>
        <v/>
      </c>
      <c r="B1398" s="18" t="str">
        <f>IF(Receipts!$C1401="","",Receipts!$C1401)</f>
        <v/>
      </c>
      <c r="C1398" s="18" t="str">
        <f>IF($A1398="","",IFERROR(INDEX(Items!$B$5:$B$597,MATCH($A1398,Items!$A$5:$A$597,0)),""))</f>
        <v/>
      </c>
      <c r="D1398" s="23" t="str">
        <f>IF($A1398="","",N(Receipts!$G1401))</f>
        <v/>
      </c>
      <c r="E1398" s="20" t="str">
        <f>IF($A1398="","",IFERROR(INDEX(Items!$D$5:$D$597,MATCH($A1398,Items!$A$5:$A$597,0)),0))</f>
        <v/>
      </c>
      <c r="F1398" s="21" t="str">
        <f t="shared" si="105"/>
        <v/>
      </c>
      <c r="G1398" s="25" t="str">
        <f>IF(Receipts!$I1401="","",Receipts!$I1401)</f>
        <v/>
      </c>
      <c r="H1398" s="25" t="str">
        <f>IF(Receipts!$H1401="","",Receipts!$H1401)</f>
        <v/>
      </c>
      <c r="I1398" s="26" t="str">
        <f t="shared" ca="1" si="106"/>
        <v/>
      </c>
      <c r="J1398" s="26" t="str">
        <f>IF($A1398="","",COUNTIFS(tblReceipts[Item Name],$A1398,tblReceipts[Expiry Date],"&lt;"&amp;$H1398)+COUNTIFS(tblReceipts[Item Name],$A1398,tblReceipts[Expiry Date],$H1398,tblReceipts[Lot Number],"&lt;="&amp;Receipts!$C1401))</f>
        <v/>
      </c>
      <c r="K1398" s="26" t="str">
        <f>IF($A1398="","",SUMIFS(tblReceipts[Qty Received],tblReceipts[Item Name],$A1398,tblReceipts[Expiry Date],"&lt;"&amp;$H1398)+SUMIFS(tblReceipts[Qty Received],tblReceipts[Item Name],$A1398,tblReceipts[Expiry Date],$H1398,tblReceipts[Lot Number],"&lt;"&amp;Receipts!$C1401))</f>
        <v/>
      </c>
      <c r="L1398" s="26" t="str">
        <f>IF($A1398="","",MIN($D1398,MAX(0,SUMIFS(tblIssues[Qty Issued],tblIssues[Item Name],$A1398)-$K1398)))</f>
        <v/>
      </c>
      <c r="M1398" s="26" t="str">
        <f>IF($A1398="","",SUMIFS(tblIssues[Qty Issued],tblIssues[Lot Number],$B1398))</f>
        <v/>
      </c>
      <c r="N1398" s="26" t="str">
        <f t="shared" si="107"/>
        <v/>
      </c>
      <c r="O1398" s="26" t="str">
        <f t="shared" si="108"/>
        <v/>
      </c>
      <c r="P1398" s="21" t="str">
        <f t="shared" si="109"/>
        <v/>
      </c>
      <c r="Q1398" s="52" t="str">
        <f>IF($A1398="","",IF($O1398&lt;=0,"Depleted",IF($I1398&lt;0,"EXPIRED",IF($I1398&lt;=Settings!$C$6,"CRITICAL",IF($I1398&lt;=Settings!$C$5,"Expiring","In date")))))</f>
        <v/>
      </c>
    </row>
    <row r="1399" spans="1:17" x14ac:dyDescent="0.35">
      <c r="A1399" s="90" t="str">
        <f>IF(Receipts!$D1402="","",Receipts!$D1402)</f>
        <v/>
      </c>
      <c r="B1399" s="18" t="str">
        <f>IF(Receipts!$C1402="","",Receipts!$C1402)</f>
        <v/>
      </c>
      <c r="C1399" s="18" t="str">
        <f>IF($A1399="","",IFERROR(INDEX(Items!$B$5:$B$597,MATCH($A1399,Items!$A$5:$A$597,0)),""))</f>
        <v/>
      </c>
      <c r="D1399" s="23" t="str">
        <f>IF($A1399="","",N(Receipts!$G1402))</f>
        <v/>
      </c>
      <c r="E1399" s="20" t="str">
        <f>IF($A1399="","",IFERROR(INDEX(Items!$D$5:$D$597,MATCH($A1399,Items!$A$5:$A$597,0)),0))</f>
        <v/>
      </c>
      <c r="F1399" s="21" t="str">
        <f t="shared" si="105"/>
        <v/>
      </c>
      <c r="G1399" s="25" t="str">
        <f>IF(Receipts!$I1402="","",Receipts!$I1402)</f>
        <v/>
      </c>
      <c r="H1399" s="25" t="str">
        <f>IF(Receipts!$H1402="","",Receipts!$H1402)</f>
        <v/>
      </c>
      <c r="I1399" s="26" t="str">
        <f t="shared" ca="1" si="106"/>
        <v/>
      </c>
      <c r="J1399" s="26" t="str">
        <f>IF($A1399="","",COUNTIFS(tblReceipts[Item Name],$A1399,tblReceipts[Expiry Date],"&lt;"&amp;$H1399)+COUNTIFS(tblReceipts[Item Name],$A1399,tblReceipts[Expiry Date],$H1399,tblReceipts[Lot Number],"&lt;="&amp;Receipts!$C1402))</f>
        <v/>
      </c>
      <c r="K1399" s="26" t="str">
        <f>IF($A1399="","",SUMIFS(tblReceipts[Qty Received],tblReceipts[Item Name],$A1399,tblReceipts[Expiry Date],"&lt;"&amp;$H1399)+SUMIFS(tblReceipts[Qty Received],tblReceipts[Item Name],$A1399,tblReceipts[Expiry Date],$H1399,tblReceipts[Lot Number],"&lt;"&amp;Receipts!$C1402))</f>
        <v/>
      </c>
      <c r="L1399" s="26" t="str">
        <f>IF($A1399="","",MIN($D1399,MAX(0,SUMIFS(tblIssues[Qty Issued],tblIssues[Item Name],$A1399)-$K1399)))</f>
        <v/>
      </c>
      <c r="M1399" s="26" t="str">
        <f>IF($A1399="","",SUMIFS(tblIssues[Qty Issued],tblIssues[Lot Number],$B1399))</f>
        <v/>
      </c>
      <c r="N1399" s="26" t="str">
        <f t="shared" si="107"/>
        <v/>
      </c>
      <c r="O1399" s="26" t="str">
        <f t="shared" si="108"/>
        <v/>
      </c>
      <c r="P1399" s="21" t="str">
        <f t="shared" si="109"/>
        <v/>
      </c>
      <c r="Q1399" s="52" t="str">
        <f>IF($A1399="","",IF($O1399&lt;=0,"Depleted",IF($I1399&lt;0,"EXPIRED",IF($I1399&lt;=Settings!$C$6,"CRITICAL",IF($I1399&lt;=Settings!$C$5,"Expiring","In date")))))</f>
        <v/>
      </c>
    </row>
    <row r="1400" spans="1:17" x14ac:dyDescent="0.35">
      <c r="A1400" s="90" t="str">
        <f>IF(Receipts!$D1403="","",Receipts!$D1403)</f>
        <v/>
      </c>
      <c r="B1400" s="18" t="str">
        <f>IF(Receipts!$C1403="","",Receipts!$C1403)</f>
        <v/>
      </c>
      <c r="C1400" s="18" t="str">
        <f>IF($A1400="","",IFERROR(INDEX(Items!$B$5:$B$597,MATCH($A1400,Items!$A$5:$A$597,0)),""))</f>
        <v/>
      </c>
      <c r="D1400" s="23" t="str">
        <f>IF($A1400="","",N(Receipts!$G1403))</f>
        <v/>
      </c>
      <c r="E1400" s="20" t="str">
        <f>IF($A1400="","",IFERROR(INDEX(Items!$D$5:$D$597,MATCH($A1400,Items!$A$5:$A$597,0)),0))</f>
        <v/>
      </c>
      <c r="F1400" s="21" t="str">
        <f t="shared" si="105"/>
        <v/>
      </c>
      <c r="G1400" s="25" t="str">
        <f>IF(Receipts!$I1403="","",Receipts!$I1403)</f>
        <v/>
      </c>
      <c r="H1400" s="25" t="str">
        <f>IF(Receipts!$H1403="","",Receipts!$H1403)</f>
        <v/>
      </c>
      <c r="I1400" s="26" t="str">
        <f t="shared" ca="1" si="106"/>
        <v/>
      </c>
      <c r="J1400" s="26" t="str">
        <f>IF($A1400="","",COUNTIFS(tblReceipts[Item Name],$A1400,tblReceipts[Expiry Date],"&lt;"&amp;$H1400)+COUNTIFS(tblReceipts[Item Name],$A1400,tblReceipts[Expiry Date],$H1400,tblReceipts[Lot Number],"&lt;="&amp;Receipts!$C1403))</f>
        <v/>
      </c>
      <c r="K1400" s="26" t="str">
        <f>IF($A1400="","",SUMIFS(tblReceipts[Qty Received],tblReceipts[Item Name],$A1400,tblReceipts[Expiry Date],"&lt;"&amp;$H1400)+SUMIFS(tblReceipts[Qty Received],tblReceipts[Item Name],$A1400,tblReceipts[Expiry Date],$H1400,tblReceipts[Lot Number],"&lt;"&amp;Receipts!$C1403))</f>
        <v/>
      </c>
      <c r="L1400" s="26" t="str">
        <f>IF($A1400="","",MIN($D1400,MAX(0,SUMIFS(tblIssues[Qty Issued],tblIssues[Item Name],$A1400)-$K1400)))</f>
        <v/>
      </c>
      <c r="M1400" s="26" t="str">
        <f>IF($A1400="","",SUMIFS(tblIssues[Qty Issued],tblIssues[Lot Number],$B1400))</f>
        <v/>
      </c>
      <c r="N1400" s="26" t="str">
        <f t="shared" si="107"/>
        <v/>
      </c>
      <c r="O1400" s="26" t="str">
        <f t="shared" si="108"/>
        <v/>
      </c>
      <c r="P1400" s="21" t="str">
        <f t="shared" si="109"/>
        <v/>
      </c>
      <c r="Q1400" s="52" t="str">
        <f>IF($A1400="","",IF($O1400&lt;=0,"Depleted",IF($I1400&lt;0,"EXPIRED",IF($I1400&lt;=Settings!$C$6,"CRITICAL",IF($I1400&lt;=Settings!$C$5,"Expiring","In date")))))</f>
        <v/>
      </c>
    </row>
    <row r="1401" spans="1:17" x14ac:dyDescent="0.35">
      <c r="A1401" s="90" t="str">
        <f>IF(Receipts!$D1404="","",Receipts!$D1404)</f>
        <v/>
      </c>
      <c r="B1401" s="18" t="str">
        <f>IF(Receipts!$C1404="","",Receipts!$C1404)</f>
        <v/>
      </c>
      <c r="C1401" s="18" t="str">
        <f>IF($A1401="","",IFERROR(INDEX(Items!$B$5:$B$597,MATCH($A1401,Items!$A$5:$A$597,0)),""))</f>
        <v/>
      </c>
      <c r="D1401" s="23" t="str">
        <f>IF($A1401="","",N(Receipts!$G1404))</f>
        <v/>
      </c>
      <c r="E1401" s="20" t="str">
        <f>IF($A1401="","",IFERROR(INDEX(Items!$D$5:$D$597,MATCH($A1401,Items!$A$5:$A$597,0)),0))</f>
        <v/>
      </c>
      <c r="F1401" s="21" t="str">
        <f t="shared" si="105"/>
        <v/>
      </c>
      <c r="G1401" s="25" t="str">
        <f>IF(Receipts!$I1404="","",Receipts!$I1404)</f>
        <v/>
      </c>
      <c r="H1401" s="25" t="str">
        <f>IF(Receipts!$H1404="","",Receipts!$H1404)</f>
        <v/>
      </c>
      <c r="I1401" s="26" t="str">
        <f t="shared" ca="1" si="106"/>
        <v/>
      </c>
      <c r="J1401" s="26" t="str">
        <f>IF($A1401="","",COUNTIFS(tblReceipts[Item Name],$A1401,tblReceipts[Expiry Date],"&lt;"&amp;$H1401)+COUNTIFS(tblReceipts[Item Name],$A1401,tblReceipts[Expiry Date],$H1401,tblReceipts[Lot Number],"&lt;="&amp;Receipts!$C1404))</f>
        <v/>
      </c>
      <c r="K1401" s="26" t="str">
        <f>IF($A1401="","",SUMIFS(tblReceipts[Qty Received],tblReceipts[Item Name],$A1401,tblReceipts[Expiry Date],"&lt;"&amp;$H1401)+SUMIFS(tblReceipts[Qty Received],tblReceipts[Item Name],$A1401,tblReceipts[Expiry Date],$H1401,tblReceipts[Lot Number],"&lt;"&amp;Receipts!$C1404))</f>
        <v/>
      </c>
      <c r="L1401" s="26" t="str">
        <f>IF($A1401="","",MIN($D1401,MAX(0,SUMIFS(tblIssues[Qty Issued],tblIssues[Item Name],$A1401)-$K1401)))</f>
        <v/>
      </c>
      <c r="M1401" s="26" t="str">
        <f>IF($A1401="","",SUMIFS(tblIssues[Qty Issued],tblIssues[Lot Number],$B1401))</f>
        <v/>
      </c>
      <c r="N1401" s="26" t="str">
        <f t="shared" si="107"/>
        <v/>
      </c>
      <c r="O1401" s="26" t="str">
        <f t="shared" si="108"/>
        <v/>
      </c>
      <c r="P1401" s="21" t="str">
        <f t="shared" si="109"/>
        <v/>
      </c>
      <c r="Q1401" s="52" t="str">
        <f>IF($A1401="","",IF($O1401&lt;=0,"Depleted",IF($I1401&lt;0,"EXPIRED",IF($I1401&lt;=Settings!$C$6,"CRITICAL",IF($I1401&lt;=Settings!$C$5,"Expiring","In date")))))</f>
        <v/>
      </c>
    </row>
    <row r="1402" spans="1:17" x14ac:dyDescent="0.35">
      <c r="A1402" s="90" t="str">
        <f>IF(Receipts!$D1405="","",Receipts!$D1405)</f>
        <v/>
      </c>
      <c r="B1402" s="18" t="str">
        <f>IF(Receipts!$C1405="","",Receipts!$C1405)</f>
        <v/>
      </c>
      <c r="C1402" s="18" t="str">
        <f>IF($A1402="","",IFERROR(INDEX(Items!$B$5:$B$597,MATCH($A1402,Items!$A$5:$A$597,0)),""))</f>
        <v/>
      </c>
      <c r="D1402" s="23" t="str">
        <f>IF($A1402="","",N(Receipts!$G1405))</f>
        <v/>
      </c>
      <c r="E1402" s="20" t="str">
        <f>IF($A1402="","",IFERROR(INDEX(Items!$D$5:$D$597,MATCH($A1402,Items!$A$5:$A$597,0)),0))</f>
        <v/>
      </c>
      <c r="F1402" s="21" t="str">
        <f t="shared" si="105"/>
        <v/>
      </c>
      <c r="G1402" s="25" t="str">
        <f>IF(Receipts!$I1405="","",Receipts!$I1405)</f>
        <v/>
      </c>
      <c r="H1402" s="25" t="str">
        <f>IF(Receipts!$H1405="","",Receipts!$H1405)</f>
        <v/>
      </c>
      <c r="I1402" s="26" t="str">
        <f t="shared" ca="1" si="106"/>
        <v/>
      </c>
      <c r="J1402" s="26" t="str">
        <f>IF($A1402="","",COUNTIFS(tblReceipts[Item Name],$A1402,tblReceipts[Expiry Date],"&lt;"&amp;$H1402)+COUNTIFS(tblReceipts[Item Name],$A1402,tblReceipts[Expiry Date],$H1402,tblReceipts[Lot Number],"&lt;="&amp;Receipts!$C1405))</f>
        <v/>
      </c>
      <c r="K1402" s="26" t="str">
        <f>IF($A1402="","",SUMIFS(tblReceipts[Qty Received],tblReceipts[Item Name],$A1402,tblReceipts[Expiry Date],"&lt;"&amp;$H1402)+SUMIFS(tblReceipts[Qty Received],tblReceipts[Item Name],$A1402,tblReceipts[Expiry Date],$H1402,tblReceipts[Lot Number],"&lt;"&amp;Receipts!$C1405))</f>
        <v/>
      </c>
      <c r="L1402" s="26" t="str">
        <f>IF($A1402="","",MIN($D1402,MAX(0,SUMIFS(tblIssues[Qty Issued],tblIssues[Item Name],$A1402)-$K1402)))</f>
        <v/>
      </c>
      <c r="M1402" s="26" t="str">
        <f>IF($A1402="","",SUMIFS(tblIssues[Qty Issued],tblIssues[Lot Number],$B1402))</f>
        <v/>
      </c>
      <c r="N1402" s="26" t="str">
        <f t="shared" si="107"/>
        <v/>
      </c>
      <c r="O1402" s="26" t="str">
        <f t="shared" si="108"/>
        <v/>
      </c>
      <c r="P1402" s="21" t="str">
        <f t="shared" si="109"/>
        <v/>
      </c>
      <c r="Q1402" s="52" t="str">
        <f>IF($A1402="","",IF($O1402&lt;=0,"Depleted",IF($I1402&lt;0,"EXPIRED",IF($I1402&lt;=Settings!$C$6,"CRITICAL",IF($I1402&lt;=Settings!$C$5,"Expiring","In date")))))</f>
        <v/>
      </c>
    </row>
    <row r="1403" spans="1:17" x14ac:dyDescent="0.35">
      <c r="A1403" s="90" t="str">
        <f>IF(Receipts!$D1406="","",Receipts!$D1406)</f>
        <v/>
      </c>
      <c r="B1403" s="18" t="str">
        <f>IF(Receipts!$C1406="","",Receipts!$C1406)</f>
        <v/>
      </c>
      <c r="C1403" s="18" t="str">
        <f>IF($A1403="","",IFERROR(INDEX(Items!$B$5:$B$597,MATCH($A1403,Items!$A$5:$A$597,0)),""))</f>
        <v/>
      </c>
      <c r="D1403" s="23" t="str">
        <f>IF($A1403="","",N(Receipts!$G1406))</f>
        <v/>
      </c>
      <c r="E1403" s="20" t="str">
        <f>IF($A1403="","",IFERROR(INDEX(Items!$D$5:$D$597,MATCH($A1403,Items!$A$5:$A$597,0)),0))</f>
        <v/>
      </c>
      <c r="F1403" s="21" t="str">
        <f t="shared" si="105"/>
        <v/>
      </c>
      <c r="G1403" s="25" t="str">
        <f>IF(Receipts!$I1406="","",Receipts!$I1406)</f>
        <v/>
      </c>
      <c r="H1403" s="25" t="str">
        <f>IF(Receipts!$H1406="","",Receipts!$H1406)</f>
        <v/>
      </c>
      <c r="I1403" s="26" t="str">
        <f t="shared" ca="1" si="106"/>
        <v/>
      </c>
      <c r="J1403" s="26" t="str">
        <f>IF($A1403="","",COUNTIFS(tblReceipts[Item Name],$A1403,tblReceipts[Expiry Date],"&lt;"&amp;$H1403)+COUNTIFS(tblReceipts[Item Name],$A1403,tblReceipts[Expiry Date],$H1403,tblReceipts[Lot Number],"&lt;="&amp;Receipts!$C1406))</f>
        <v/>
      </c>
      <c r="K1403" s="26" t="str">
        <f>IF($A1403="","",SUMIFS(tblReceipts[Qty Received],tblReceipts[Item Name],$A1403,tblReceipts[Expiry Date],"&lt;"&amp;$H1403)+SUMIFS(tblReceipts[Qty Received],tblReceipts[Item Name],$A1403,tblReceipts[Expiry Date],$H1403,tblReceipts[Lot Number],"&lt;"&amp;Receipts!$C1406))</f>
        <v/>
      </c>
      <c r="L1403" s="26" t="str">
        <f>IF($A1403="","",MIN($D1403,MAX(0,SUMIFS(tblIssues[Qty Issued],tblIssues[Item Name],$A1403)-$K1403)))</f>
        <v/>
      </c>
      <c r="M1403" s="26" t="str">
        <f>IF($A1403="","",SUMIFS(tblIssues[Qty Issued],tblIssues[Lot Number],$B1403))</f>
        <v/>
      </c>
      <c r="N1403" s="26" t="str">
        <f t="shared" si="107"/>
        <v/>
      </c>
      <c r="O1403" s="26" t="str">
        <f t="shared" si="108"/>
        <v/>
      </c>
      <c r="P1403" s="21" t="str">
        <f t="shared" si="109"/>
        <v/>
      </c>
      <c r="Q1403" s="52" t="str">
        <f>IF($A1403="","",IF($O1403&lt;=0,"Depleted",IF($I1403&lt;0,"EXPIRED",IF($I1403&lt;=Settings!$C$6,"CRITICAL",IF($I1403&lt;=Settings!$C$5,"Expiring","In date")))))</f>
        <v/>
      </c>
    </row>
    <row r="1404" spans="1:17" x14ac:dyDescent="0.35">
      <c r="A1404" s="90" t="str">
        <f>IF(Receipts!$D1407="","",Receipts!$D1407)</f>
        <v/>
      </c>
      <c r="B1404" s="18" t="str">
        <f>IF(Receipts!$C1407="","",Receipts!$C1407)</f>
        <v/>
      </c>
      <c r="C1404" s="18" t="str">
        <f>IF($A1404="","",IFERROR(INDEX(Items!$B$5:$B$597,MATCH($A1404,Items!$A$5:$A$597,0)),""))</f>
        <v/>
      </c>
      <c r="D1404" s="23" t="str">
        <f>IF($A1404="","",N(Receipts!$G1407))</f>
        <v/>
      </c>
      <c r="E1404" s="20" t="str">
        <f>IF($A1404="","",IFERROR(INDEX(Items!$D$5:$D$597,MATCH($A1404,Items!$A$5:$A$597,0)),0))</f>
        <v/>
      </c>
      <c r="F1404" s="21" t="str">
        <f t="shared" si="105"/>
        <v/>
      </c>
      <c r="G1404" s="25" t="str">
        <f>IF(Receipts!$I1407="","",Receipts!$I1407)</f>
        <v/>
      </c>
      <c r="H1404" s="25" t="str">
        <f>IF(Receipts!$H1407="","",Receipts!$H1407)</f>
        <v/>
      </c>
      <c r="I1404" s="26" t="str">
        <f t="shared" ca="1" si="106"/>
        <v/>
      </c>
      <c r="J1404" s="26" t="str">
        <f>IF($A1404="","",COUNTIFS(tblReceipts[Item Name],$A1404,tblReceipts[Expiry Date],"&lt;"&amp;$H1404)+COUNTIFS(tblReceipts[Item Name],$A1404,tblReceipts[Expiry Date],$H1404,tblReceipts[Lot Number],"&lt;="&amp;Receipts!$C1407))</f>
        <v/>
      </c>
      <c r="K1404" s="26" t="str">
        <f>IF($A1404="","",SUMIFS(tblReceipts[Qty Received],tblReceipts[Item Name],$A1404,tblReceipts[Expiry Date],"&lt;"&amp;$H1404)+SUMIFS(tblReceipts[Qty Received],tblReceipts[Item Name],$A1404,tblReceipts[Expiry Date],$H1404,tblReceipts[Lot Number],"&lt;"&amp;Receipts!$C1407))</f>
        <v/>
      </c>
      <c r="L1404" s="26" t="str">
        <f>IF($A1404="","",MIN($D1404,MAX(0,SUMIFS(tblIssues[Qty Issued],tblIssues[Item Name],$A1404)-$K1404)))</f>
        <v/>
      </c>
      <c r="M1404" s="26" t="str">
        <f>IF($A1404="","",SUMIFS(tblIssues[Qty Issued],tblIssues[Lot Number],$B1404))</f>
        <v/>
      </c>
      <c r="N1404" s="26" t="str">
        <f t="shared" si="107"/>
        <v/>
      </c>
      <c r="O1404" s="26" t="str">
        <f t="shared" si="108"/>
        <v/>
      </c>
      <c r="P1404" s="21" t="str">
        <f t="shared" si="109"/>
        <v/>
      </c>
      <c r="Q1404" s="52" t="str">
        <f>IF($A1404="","",IF($O1404&lt;=0,"Depleted",IF($I1404&lt;0,"EXPIRED",IF($I1404&lt;=Settings!$C$6,"CRITICAL",IF($I1404&lt;=Settings!$C$5,"Expiring","In date")))))</f>
        <v/>
      </c>
    </row>
    <row r="1405" spans="1:17" x14ac:dyDescent="0.35">
      <c r="A1405" s="90" t="str">
        <f>IF(Receipts!$D1408="","",Receipts!$D1408)</f>
        <v/>
      </c>
      <c r="B1405" s="18" t="str">
        <f>IF(Receipts!$C1408="","",Receipts!$C1408)</f>
        <v/>
      </c>
      <c r="C1405" s="18" t="str">
        <f>IF($A1405="","",IFERROR(INDEX(Items!$B$5:$B$597,MATCH($A1405,Items!$A$5:$A$597,0)),""))</f>
        <v/>
      </c>
      <c r="D1405" s="23" t="str">
        <f>IF($A1405="","",N(Receipts!$G1408))</f>
        <v/>
      </c>
      <c r="E1405" s="20" t="str">
        <f>IF($A1405="","",IFERROR(INDEX(Items!$D$5:$D$597,MATCH($A1405,Items!$A$5:$A$597,0)),0))</f>
        <v/>
      </c>
      <c r="F1405" s="21" t="str">
        <f t="shared" si="105"/>
        <v/>
      </c>
      <c r="G1405" s="25" t="str">
        <f>IF(Receipts!$I1408="","",Receipts!$I1408)</f>
        <v/>
      </c>
      <c r="H1405" s="25" t="str">
        <f>IF(Receipts!$H1408="","",Receipts!$H1408)</f>
        <v/>
      </c>
      <c r="I1405" s="26" t="str">
        <f t="shared" ca="1" si="106"/>
        <v/>
      </c>
      <c r="J1405" s="26" t="str">
        <f>IF($A1405="","",COUNTIFS(tblReceipts[Item Name],$A1405,tblReceipts[Expiry Date],"&lt;"&amp;$H1405)+COUNTIFS(tblReceipts[Item Name],$A1405,tblReceipts[Expiry Date],$H1405,tblReceipts[Lot Number],"&lt;="&amp;Receipts!$C1408))</f>
        <v/>
      </c>
      <c r="K1405" s="26" t="str">
        <f>IF($A1405="","",SUMIFS(tblReceipts[Qty Received],tblReceipts[Item Name],$A1405,tblReceipts[Expiry Date],"&lt;"&amp;$H1405)+SUMIFS(tblReceipts[Qty Received],tblReceipts[Item Name],$A1405,tblReceipts[Expiry Date],$H1405,tblReceipts[Lot Number],"&lt;"&amp;Receipts!$C1408))</f>
        <v/>
      </c>
      <c r="L1405" s="26" t="str">
        <f>IF($A1405="","",MIN($D1405,MAX(0,SUMIFS(tblIssues[Qty Issued],tblIssues[Item Name],$A1405)-$K1405)))</f>
        <v/>
      </c>
      <c r="M1405" s="26" t="str">
        <f>IF($A1405="","",SUMIFS(tblIssues[Qty Issued],tblIssues[Lot Number],$B1405))</f>
        <v/>
      </c>
      <c r="N1405" s="26" t="str">
        <f t="shared" si="107"/>
        <v/>
      </c>
      <c r="O1405" s="26" t="str">
        <f t="shared" si="108"/>
        <v/>
      </c>
      <c r="P1405" s="21" t="str">
        <f t="shared" si="109"/>
        <v/>
      </c>
      <c r="Q1405" s="52" t="str">
        <f>IF($A1405="","",IF($O1405&lt;=0,"Depleted",IF($I1405&lt;0,"EXPIRED",IF($I1405&lt;=Settings!$C$6,"CRITICAL",IF($I1405&lt;=Settings!$C$5,"Expiring","In date")))))</f>
        <v/>
      </c>
    </row>
    <row r="1406" spans="1:17" x14ac:dyDescent="0.35">
      <c r="A1406" s="90" t="str">
        <f>IF(Receipts!$D1409="","",Receipts!$D1409)</f>
        <v/>
      </c>
      <c r="B1406" s="18" t="str">
        <f>IF(Receipts!$C1409="","",Receipts!$C1409)</f>
        <v/>
      </c>
      <c r="C1406" s="18" t="str">
        <f>IF($A1406="","",IFERROR(INDEX(Items!$B$5:$B$597,MATCH($A1406,Items!$A$5:$A$597,0)),""))</f>
        <v/>
      </c>
      <c r="D1406" s="23" t="str">
        <f>IF($A1406="","",N(Receipts!$G1409))</f>
        <v/>
      </c>
      <c r="E1406" s="20" t="str">
        <f>IF($A1406="","",IFERROR(INDEX(Items!$D$5:$D$597,MATCH($A1406,Items!$A$5:$A$597,0)),0))</f>
        <v/>
      </c>
      <c r="F1406" s="21" t="str">
        <f t="shared" si="105"/>
        <v/>
      </c>
      <c r="G1406" s="25" t="str">
        <f>IF(Receipts!$I1409="","",Receipts!$I1409)</f>
        <v/>
      </c>
      <c r="H1406" s="25" t="str">
        <f>IF(Receipts!$H1409="","",Receipts!$H1409)</f>
        <v/>
      </c>
      <c r="I1406" s="26" t="str">
        <f t="shared" ca="1" si="106"/>
        <v/>
      </c>
      <c r="J1406" s="26" t="str">
        <f>IF($A1406="","",COUNTIFS(tblReceipts[Item Name],$A1406,tblReceipts[Expiry Date],"&lt;"&amp;$H1406)+COUNTIFS(tblReceipts[Item Name],$A1406,tblReceipts[Expiry Date],$H1406,tblReceipts[Lot Number],"&lt;="&amp;Receipts!$C1409))</f>
        <v/>
      </c>
      <c r="K1406" s="26" t="str">
        <f>IF($A1406="","",SUMIFS(tblReceipts[Qty Received],tblReceipts[Item Name],$A1406,tblReceipts[Expiry Date],"&lt;"&amp;$H1406)+SUMIFS(tblReceipts[Qty Received],tblReceipts[Item Name],$A1406,tblReceipts[Expiry Date],$H1406,tblReceipts[Lot Number],"&lt;"&amp;Receipts!$C1409))</f>
        <v/>
      </c>
      <c r="L1406" s="26" t="str">
        <f>IF($A1406="","",MIN($D1406,MAX(0,SUMIFS(tblIssues[Qty Issued],tblIssues[Item Name],$A1406)-$K1406)))</f>
        <v/>
      </c>
      <c r="M1406" s="26" t="str">
        <f>IF($A1406="","",SUMIFS(tblIssues[Qty Issued],tblIssues[Lot Number],$B1406))</f>
        <v/>
      </c>
      <c r="N1406" s="26" t="str">
        <f t="shared" si="107"/>
        <v/>
      </c>
      <c r="O1406" s="26" t="str">
        <f t="shared" si="108"/>
        <v/>
      </c>
      <c r="P1406" s="21" t="str">
        <f t="shared" si="109"/>
        <v/>
      </c>
      <c r="Q1406" s="52" t="str">
        <f>IF($A1406="","",IF($O1406&lt;=0,"Depleted",IF($I1406&lt;0,"EXPIRED",IF($I1406&lt;=Settings!$C$6,"CRITICAL",IF($I1406&lt;=Settings!$C$5,"Expiring","In date")))))</f>
        <v/>
      </c>
    </row>
    <row r="1407" spans="1:17" x14ac:dyDescent="0.35">
      <c r="A1407" s="90" t="str">
        <f>IF(Receipts!$D1410="","",Receipts!$D1410)</f>
        <v/>
      </c>
      <c r="B1407" s="18" t="str">
        <f>IF(Receipts!$C1410="","",Receipts!$C1410)</f>
        <v/>
      </c>
      <c r="C1407" s="18" t="str">
        <f>IF($A1407="","",IFERROR(INDEX(Items!$B$5:$B$597,MATCH($A1407,Items!$A$5:$A$597,0)),""))</f>
        <v/>
      </c>
      <c r="D1407" s="23" t="str">
        <f>IF($A1407="","",N(Receipts!$G1410))</f>
        <v/>
      </c>
      <c r="E1407" s="20" t="str">
        <f>IF($A1407="","",IFERROR(INDEX(Items!$D$5:$D$597,MATCH($A1407,Items!$A$5:$A$597,0)),0))</f>
        <v/>
      </c>
      <c r="F1407" s="21" t="str">
        <f t="shared" si="105"/>
        <v/>
      </c>
      <c r="G1407" s="25" t="str">
        <f>IF(Receipts!$I1410="","",Receipts!$I1410)</f>
        <v/>
      </c>
      <c r="H1407" s="25" t="str">
        <f>IF(Receipts!$H1410="","",Receipts!$H1410)</f>
        <v/>
      </c>
      <c r="I1407" s="26" t="str">
        <f t="shared" ca="1" si="106"/>
        <v/>
      </c>
      <c r="J1407" s="26" t="str">
        <f>IF($A1407="","",COUNTIFS(tblReceipts[Item Name],$A1407,tblReceipts[Expiry Date],"&lt;"&amp;$H1407)+COUNTIFS(tblReceipts[Item Name],$A1407,tblReceipts[Expiry Date],$H1407,tblReceipts[Lot Number],"&lt;="&amp;Receipts!$C1410))</f>
        <v/>
      </c>
      <c r="K1407" s="26" t="str">
        <f>IF($A1407="","",SUMIFS(tblReceipts[Qty Received],tblReceipts[Item Name],$A1407,tblReceipts[Expiry Date],"&lt;"&amp;$H1407)+SUMIFS(tblReceipts[Qty Received],tblReceipts[Item Name],$A1407,tblReceipts[Expiry Date],$H1407,tblReceipts[Lot Number],"&lt;"&amp;Receipts!$C1410))</f>
        <v/>
      </c>
      <c r="L1407" s="26" t="str">
        <f>IF($A1407="","",MIN($D1407,MAX(0,SUMIFS(tblIssues[Qty Issued],tblIssues[Item Name],$A1407)-$K1407)))</f>
        <v/>
      </c>
      <c r="M1407" s="26" t="str">
        <f>IF($A1407="","",SUMIFS(tblIssues[Qty Issued],tblIssues[Lot Number],$B1407))</f>
        <v/>
      </c>
      <c r="N1407" s="26" t="str">
        <f t="shared" si="107"/>
        <v/>
      </c>
      <c r="O1407" s="26" t="str">
        <f t="shared" si="108"/>
        <v/>
      </c>
      <c r="P1407" s="21" t="str">
        <f t="shared" si="109"/>
        <v/>
      </c>
      <c r="Q1407" s="52" t="str">
        <f>IF($A1407="","",IF($O1407&lt;=0,"Depleted",IF($I1407&lt;0,"EXPIRED",IF($I1407&lt;=Settings!$C$6,"CRITICAL",IF($I1407&lt;=Settings!$C$5,"Expiring","In date")))))</f>
        <v/>
      </c>
    </row>
    <row r="1408" spans="1:17" x14ac:dyDescent="0.35">
      <c r="A1408" s="90" t="str">
        <f>IF(Receipts!$D1411="","",Receipts!$D1411)</f>
        <v/>
      </c>
      <c r="B1408" s="18" t="str">
        <f>IF(Receipts!$C1411="","",Receipts!$C1411)</f>
        <v/>
      </c>
      <c r="C1408" s="18" t="str">
        <f>IF($A1408="","",IFERROR(INDEX(Items!$B$5:$B$597,MATCH($A1408,Items!$A$5:$A$597,0)),""))</f>
        <v/>
      </c>
      <c r="D1408" s="23" t="str">
        <f>IF($A1408="","",N(Receipts!$G1411))</f>
        <v/>
      </c>
      <c r="E1408" s="20" t="str">
        <f>IF($A1408="","",IFERROR(INDEX(Items!$D$5:$D$597,MATCH($A1408,Items!$A$5:$A$597,0)),0))</f>
        <v/>
      </c>
      <c r="F1408" s="21" t="str">
        <f t="shared" si="105"/>
        <v/>
      </c>
      <c r="G1408" s="25" t="str">
        <f>IF(Receipts!$I1411="","",Receipts!$I1411)</f>
        <v/>
      </c>
      <c r="H1408" s="25" t="str">
        <f>IF(Receipts!$H1411="","",Receipts!$H1411)</f>
        <v/>
      </c>
      <c r="I1408" s="26" t="str">
        <f t="shared" ca="1" si="106"/>
        <v/>
      </c>
      <c r="J1408" s="26" t="str">
        <f>IF($A1408="","",COUNTIFS(tblReceipts[Item Name],$A1408,tblReceipts[Expiry Date],"&lt;"&amp;$H1408)+COUNTIFS(tblReceipts[Item Name],$A1408,tblReceipts[Expiry Date],$H1408,tblReceipts[Lot Number],"&lt;="&amp;Receipts!$C1411))</f>
        <v/>
      </c>
      <c r="K1408" s="26" t="str">
        <f>IF($A1408="","",SUMIFS(tblReceipts[Qty Received],tblReceipts[Item Name],$A1408,tblReceipts[Expiry Date],"&lt;"&amp;$H1408)+SUMIFS(tblReceipts[Qty Received],tblReceipts[Item Name],$A1408,tblReceipts[Expiry Date],$H1408,tblReceipts[Lot Number],"&lt;"&amp;Receipts!$C1411))</f>
        <v/>
      </c>
      <c r="L1408" s="26" t="str">
        <f>IF($A1408="","",MIN($D1408,MAX(0,SUMIFS(tblIssues[Qty Issued],tblIssues[Item Name],$A1408)-$K1408)))</f>
        <v/>
      </c>
      <c r="M1408" s="26" t="str">
        <f>IF($A1408="","",SUMIFS(tblIssues[Qty Issued],tblIssues[Lot Number],$B1408))</f>
        <v/>
      </c>
      <c r="N1408" s="26" t="str">
        <f t="shared" si="107"/>
        <v/>
      </c>
      <c r="O1408" s="26" t="str">
        <f t="shared" si="108"/>
        <v/>
      </c>
      <c r="P1408" s="21" t="str">
        <f t="shared" si="109"/>
        <v/>
      </c>
      <c r="Q1408" s="52" t="str">
        <f>IF($A1408="","",IF($O1408&lt;=0,"Depleted",IF($I1408&lt;0,"EXPIRED",IF($I1408&lt;=Settings!$C$6,"CRITICAL",IF($I1408&lt;=Settings!$C$5,"Expiring","In date")))))</f>
        <v/>
      </c>
    </row>
    <row r="1409" spans="1:17" x14ac:dyDescent="0.35">
      <c r="A1409" s="90" t="str">
        <f>IF(Receipts!$D1412="","",Receipts!$D1412)</f>
        <v/>
      </c>
      <c r="B1409" s="18" t="str">
        <f>IF(Receipts!$C1412="","",Receipts!$C1412)</f>
        <v/>
      </c>
      <c r="C1409" s="18" t="str">
        <f>IF($A1409="","",IFERROR(INDEX(Items!$B$5:$B$597,MATCH($A1409,Items!$A$5:$A$597,0)),""))</f>
        <v/>
      </c>
      <c r="D1409" s="23" t="str">
        <f>IF($A1409="","",N(Receipts!$G1412))</f>
        <v/>
      </c>
      <c r="E1409" s="20" t="str">
        <f>IF($A1409="","",IFERROR(INDEX(Items!$D$5:$D$597,MATCH($A1409,Items!$A$5:$A$597,0)),0))</f>
        <v/>
      </c>
      <c r="F1409" s="21" t="str">
        <f t="shared" si="105"/>
        <v/>
      </c>
      <c r="G1409" s="25" t="str">
        <f>IF(Receipts!$I1412="","",Receipts!$I1412)</f>
        <v/>
      </c>
      <c r="H1409" s="25" t="str">
        <f>IF(Receipts!$H1412="","",Receipts!$H1412)</f>
        <v/>
      </c>
      <c r="I1409" s="26" t="str">
        <f t="shared" ca="1" si="106"/>
        <v/>
      </c>
      <c r="J1409" s="26" t="str">
        <f>IF($A1409="","",COUNTIFS(tblReceipts[Item Name],$A1409,tblReceipts[Expiry Date],"&lt;"&amp;$H1409)+COUNTIFS(tblReceipts[Item Name],$A1409,tblReceipts[Expiry Date],$H1409,tblReceipts[Lot Number],"&lt;="&amp;Receipts!$C1412))</f>
        <v/>
      </c>
      <c r="K1409" s="26" t="str">
        <f>IF($A1409="","",SUMIFS(tblReceipts[Qty Received],tblReceipts[Item Name],$A1409,tblReceipts[Expiry Date],"&lt;"&amp;$H1409)+SUMIFS(tblReceipts[Qty Received],tblReceipts[Item Name],$A1409,tblReceipts[Expiry Date],$H1409,tblReceipts[Lot Number],"&lt;"&amp;Receipts!$C1412))</f>
        <v/>
      </c>
      <c r="L1409" s="26" t="str">
        <f>IF($A1409="","",MIN($D1409,MAX(0,SUMIFS(tblIssues[Qty Issued],tblIssues[Item Name],$A1409)-$K1409)))</f>
        <v/>
      </c>
      <c r="M1409" s="26" t="str">
        <f>IF($A1409="","",SUMIFS(tblIssues[Qty Issued],tblIssues[Lot Number],$B1409))</f>
        <v/>
      </c>
      <c r="N1409" s="26" t="str">
        <f t="shared" si="107"/>
        <v/>
      </c>
      <c r="O1409" s="26" t="str">
        <f t="shared" si="108"/>
        <v/>
      </c>
      <c r="P1409" s="21" t="str">
        <f t="shared" si="109"/>
        <v/>
      </c>
      <c r="Q1409" s="52" t="str">
        <f>IF($A1409="","",IF($O1409&lt;=0,"Depleted",IF($I1409&lt;0,"EXPIRED",IF($I1409&lt;=Settings!$C$6,"CRITICAL",IF($I1409&lt;=Settings!$C$5,"Expiring","In date")))))</f>
        <v/>
      </c>
    </row>
    <row r="1410" spans="1:17" x14ac:dyDescent="0.35">
      <c r="A1410" s="90" t="str">
        <f>IF(Receipts!$D1413="","",Receipts!$D1413)</f>
        <v/>
      </c>
      <c r="B1410" s="18" t="str">
        <f>IF(Receipts!$C1413="","",Receipts!$C1413)</f>
        <v/>
      </c>
      <c r="C1410" s="18" t="str">
        <f>IF($A1410="","",IFERROR(INDEX(Items!$B$5:$B$597,MATCH($A1410,Items!$A$5:$A$597,0)),""))</f>
        <v/>
      </c>
      <c r="D1410" s="23" t="str">
        <f>IF($A1410="","",N(Receipts!$G1413))</f>
        <v/>
      </c>
      <c r="E1410" s="20" t="str">
        <f>IF($A1410="","",IFERROR(INDEX(Items!$D$5:$D$597,MATCH($A1410,Items!$A$5:$A$597,0)),0))</f>
        <v/>
      </c>
      <c r="F1410" s="21" t="str">
        <f t="shared" si="105"/>
        <v/>
      </c>
      <c r="G1410" s="25" t="str">
        <f>IF(Receipts!$I1413="","",Receipts!$I1413)</f>
        <v/>
      </c>
      <c r="H1410" s="25" t="str">
        <f>IF(Receipts!$H1413="","",Receipts!$H1413)</f>
        <v/>
      </c>
      <c r="I1410" s="26" t="str">
        <f t="shared" ca="1" si="106"/>
        <v/>
      </c>
      <c r="J1410" s="26" t="str">
        <f>IF($A1410="","",COUNTIFS(tblReceipts[Item Name],$A1410,tblReceipts[Expiry Date],"&lt;"&amp;$H1410)+COUNTIFS(tblReceipts[Item Name],$A1410,tblReceipts[Expiry Date],$H1410,tblReceipts[Lot Number],"&lt;="&amp;Receipts!$C1413))</f>
        <v/>
      </c>
      <c r="K1410" s="26" t="str">
        <f>IF($A1410="","",SUMIFS(tblReceipts[Qty Received],tblReceipts[Item Name],$A1410,tblReceipts[Expiry Date],"&lt;"&amp;$H1410)+SUMIFS(tblReceipts[Qty Received],tblReceipts[Item Name],$A1410,tblReceipts[Expiry Date],$H1410,tblReceipts[Lot Number],"&lt;"&amp;Receipts!$C1413))</f>
        <v/>
      </c>
      <c r="L1410" s="26" t="str">
        <f>IF($A1410="","",MIN($D1410,MAX(0,SUMIFS(tblIssues[Qty Issued],tblIssues[Item Name],$A1410)-$K1410)))</f>
        <v/>
      </c>
      <c r="M1410" s="26" t="str">
        <f>IF($A1410="","",SUMIFS(tblIssues[Qty Issued],tblIssues[Lot Number],$B1410))</f>
        <v/>
      </c>
      <c r="N1410" s="26" t="str">
        <f t="shared" si="107"/>
        <v/>
      </c>
      <c r="O1410" s="26" t="str">
        <f t="shared" si="108"/>
        <v/>
      </c>
      <c r="P1410" s="21" t="str">
        <f t="shared" si="109"/>
        <v/>
      </c>
      <c r="Q1410" s="52" t="str">
        <f>IF($A1410="","",IF($O1410&lt;=0,"Depleted",IF($I1410&lt;0,"EXPIRED",IF($I1410&lt;=Settings!$C$6,"CRITICAL",IF($I1410&lt;=Settings!$C$5,"Expiring","In date")))))</f>
        <v/>
      </c>
    </row>
    <row r="1411" spans="1:17" x14ac:dyDescent="0.35">
      <c r="A1411" s="90" t="str">
        <f>IF(Receipts!$D1414="","",Receipts!$D1414)</f>
        <v/>
      </c>
      <c r="B1411" s="18" t="str">
        <f>IF(Receipts!$C1414="","",Receipts!$C1414)</f>
        <v/>
      </c>
      <c r="C1411" s="18" t="str">
        <f>IF($A1411="","",IFERROR(INDEX(Items!$B$5:$B$597,MATCH($A1411,Items!$A$5:$A$597,0)),""))</f>
        <v/>
      </c>
      <c r="D1411" s="23" t="str">
        <f>IF($A1411="","",N(Receipts!$G1414))</f>
        <v/>
      </c>
      <c r="E1411" s="20" t="str">
        <f>IF($A1411="","",IFERROR(INDEX(Items!$D$5:$D$597,MATCH($A1411,Items!$A$5:$A$597,0)),0))</f>
        <v/>
      </c>
      <c r="F1411" s="21" t="str">
        <f t="shared" si="105"/>
        <v/>
      </c>
      <c r="G1411" s="25" t="str">
        <f>IF(Receipts!$I1414="","",Receipts!$I1414)</f>
        <v/>
      </c>
      <c r="H1411" s="25" t="str">
        <f>IF(Receipts!$H1414="","",Receipts!$H1414)</f>
        <v/>
      </c>
      <c r="I1411" s="26" t="str">
        <f t="shared" ca="1" si="106"/>
        <v/>
      </c>
      <c r="J1411" s="26" t="str">
        <f>IF($A1411="","",COUNTIFS(tblReceipts[Item Name],$A1411,tblReceipts[Expiry Date],"&lt;"&amp;$H1411)+COUNTIFS(tblReceipts[Item Name],$A1411,tblReceipts[Expiry Date],$H1411,tblReceipts[Lot Number],"&lt;="&amp;Receipts!$C1414))</f>
        <v/>
      </c>
      <c r="K1411" s="26" t="str">
        <f>IF($A1411="","",SUMIFS(tblReceipts[Qty Received],tblReceipts[Item Name],$A1411,tblReceipts[Expiry Date],"&lt;"&amp;$H1411)+SUMIFS(tblReceipts[Qty Received],tblReceipts[Item Name],$A1411,tblReceipts[Expiry Date],$H1411,tblReceipts[Lot Number],"&lt;"&amp;Receipts!$C1414))</f>
        <v/>
      </c>
      <c r="L1411" s="26" t="str">
        <f>IF($A1411="","",MIN($D1411,MAX(0,SUMIFS(tblIssues[Qty Issued],tblIssues[Item Name],$A1411)-$K1411)))</f>
        <v/>
      </c>
      <c r="M1411" s="26" t="str">
        <f>IF($A1411="","",SUMIFS(tblIssues[Qty Issued],tblIssues[Lot Number],$B1411))</f>
        <v/>
      </c>
      <c r="N1411" s="26" t="str">
        <f t="shared" si="107"/>
        <v/>
      </c>
      <c r="O1411" s="26" t="str">
        <f t="shared" si="108"/>
        <v/>
      </c>
      <c r="P1411" s="21" t="str">
        <f t="shared" si="109"/>
        <v/>
      </c>
      <c r="Q1411" s="52" t="str">
        <f>IF($A1411="","",IF($O1411&lt;=0,"Depleted",IF($I1411&lt;0,"EXPIRED",IF($I1411&lt;=Settings!$C$6,"CRITICAL",IF($I1411&lt;=Settings!$C$5,"Expiring","In date")))))</f>
        <v/>
      </c>
    </row>
    <row r="1412" spans="1:17" x14ac:dyDescent="0.35">
      <c r="A1412" s="90" t="str">
        <f>IF(Receipts!$D1415="","",Receipts!$D1415)</f>
        <v/>
      </c>
      <c r="B1412" s="18" t="str">
        <f>IF(Receipts!$C1415="","",Receipts!$C1415)</f>
        <v/>
      </c>
      <c r="C1412" s="18" t="str">
        <f>IF($A1412="","",IFERROR(INDEX(Items!$B$5:$B$597,MATCH($A1412,Items!$A$5:$A$597,0)),""))</f>
        <v/>
      </c>
      <c r="D1412" s="23" t="str">
        <f>IF($A1412="","",N(Receipts!$G1415))</f>
        <v/>
      </c>
      <c r="E1412" s="20" t="str">
        <f>IF($A1412="","",IFERROR(INDEX(Items!$D$5:$D$597,MATCH($A1412,Items!$A$5:$A$597,0)),0))</f>
        <v/>
      </c>
      <c r="F1412" s="21" t="str">
        <f t="shared" si="105"/>
        <v/>
      </c>
      <c r="G1412" s="25" t="str">
        <f>IF(Receipts!$I1415="","",Receipts!$I1415)</f>
        <v/>
      </c>
      <c r="H1412" s="25" t="str">
        <f>IF(Receipts!$H1415="","",Receipts!$H1415)</f>
        <v/>
      </c>
      <c r="I1412" s="26" t="str">
        <f t="shared" ca="1" si="106"/>
        <v/>
      </c>
      <c r="J1412" s="26" t="str">
        <f>IF($A1412="","",COUNTIFS(tblReceipts[Item Name],$A1412,tblReceipts[Expiry Date],"&lt;"&amp;$H1412)+COUNTIFS(tblReceipts[Item Name],$A1412,tblReceipts[Expiry Date],$H1412,tblReceipts[Lot Number],"&lt;="&amp;Receipts!$C1415))</f>
        <v/>
      </c>
      <c r="K1412" s="26" t="str">
        <f>IF($A1412="","",SUMIFS(tblReceipts[Qty Received],tblReceipts[Item Name],$A1412,tblReceipts[Expiry Date],"&lt;"&amp;$H1412)+SUMIFS(tblReceipts[Qty Received],tblReceipts[Item Name],$A1412,tblReceipts[Expiry Date],$H1412,tblReceipts[Lot Number],"&lt;"&amp;Receipts!$C1415))</f>
        <v/>
      </c>
      <c r="L1412" s="26" t="str">
        <f>IF($A1412="","",MIN($D1412,MAX(0,SUMIFS(tblIssues[Qty Issued],tblIssues[Item Name],$A1412)-$K1412)))</f>
        <v/>
      </c>
      <c r="M1412" s="26" t="str">
        <f>IF($A1412="","",SUMIFS(tblIssues[Qty Issued],tblIssues[Lot Number],$B1412))</f>
        <v/>
      </c>
      <c r="N1412" s="26" t="str">
        <f t="shared" si="107"/>
        <v/>
      </c>
      <c r="O1412" s="26" t="str">
        <f t="shared" si="108"/>
        <v/>
      </c>
      <c r="P1412" s="21" t="str">
        <f t="shared" si="109"/>
        <v/>
      </c>
      <c r="Q1412" s="52" t="str">
        <f>IF($A1412="","",IF($O1412&lt;=0,"Depleted",IF($I1412&lt;0,"EXPIRED",IF($I1412&lt;=Settings!$C$6,"CRITICAL",IF($I1412&lt;=Settings!$C$5,"Expiring","In date")))))</f>
        <v/>
      </c>
    </row>
    <row r="1413" spans="1:17" x14ac:dyDescent="0.35">
      <c r="A1413" s="90" t="str">
        <f>IF(Receipts!$D1416="","",Receipts!$D1416)</f>
        <v/>
      </c>
      <c r="B1413" s="18" t="str">
        <f>IF(Receipts!$C1416="","",Receipts!$C1416)</f>
        <v/>
      </c>
      <c r="C1413" s="18" t="str">
        <f>IF($A1413="","",IFERROR(INDEX(Items!$B$5:$B$597,MATCH($A1413,Items!$A$5:$A$597,0)),""))</f>
        <v/>
      </c>
      <c r="D1413" s="23" t="str">
        <f>IF($A1413="","",N(Receipts!$G1416))</f>
        <v/>
      </c>
      <c r="E1413" s="20" t="str">
        <f>IF($A1413="","",IFERROR(INDEX(Items!$D$5:$D$597,MATCH($A1413,Items!$A$5:$A$597,0)),0))</f>
        <v/>
      </c>
      <c r="F1413" s="21" t="str">
        <f t="shared" ref="F1413:F1476" si="110">IF($A1413="","",$D1413*$E1413)</f>
        <v/>
      </c>
      <c r="G1413" s="25" t="str">
        <f>IF(Receipts!$I1416="","",Receipts!$I1416)</f>
        <v/>
      </c>
      <c r="H1413" s="25" t="str">
        <f>IF(Receipts!$H1416="","",Receipts!$H1416)</f>
        <v/>
      </c>
      <c r="I1413" s="26" t="str">
        <f t="shared" ref="I1413:I1476" ca="1" si="111">IF($H1413="","",$H1413-TODAY())</f>
        <v/>
      </c>
      <c r="J1413" s="26" t="str">
        <f>IF($A1413="","",COUNTIFS(tblReceipts[Item Name],$A1413,tblReceipts[Expiry Date],"&lt;"&amp;$H1413)+COUNTIFS(tblReceipts[Item Name],$A1413,tblReceipts[Expiry Date],$H1413,tblReceipts[Lot Number],"&lt;="&amp;Receipts!$C1416))</f>
        <v/>
      </c>
      <c r="K1413" s="26" t="str">
        <f>IF($A1413="","",SUMIFS(tblReceipts[Qty Received],tblReceipts[Item Name],$A1413,tblReceipts[Expiry Date],"&lt;"&amp;$H1413)+SUMIFS(tblReceipts[Qty Received],tblReceipts[Item Name],$A1413,tblReceipts[Expiry Date],$H1413,tblReceipts[Lot Number],"&lt;"&amp;Receipts!$C1416))</f>
        <v/>
      </c>
      <c r="L1413" s="26" t="str">
        <f>IF($A1413="","",MIN($D1413,MAX(0,SUMIFS(tblIssues[Qty Issued],tblIssues[Item Name],$A1413)-$K1413)))</f>
        <v/>
      </c>
      <c r="M1413" s="26" t="str">
        <f>IF($A1413="","",SUMIFS(tblIssues[Qty Issued],tblIssues[Lot Number],$B1413))</f>
        <v/>
      </c>
      <c r="N1413" s="26" t="str">
        <f t="shared" ref="N1413:N1476" si="112">IF($A1413="","",$M1413-$L1413)</f>
        <v/>
      </c>
      <c r="O1413" s="26" t="str">
        <f t="shared" ref="O1413:O1476" si="113">IF($A1413="","",$D1413-$L1413)</f>
        <v/>
      </c>
      <c r="P1413" s="21" t="str">
        <f t="shared" ref="P1413:P1476" si="114">IF($A1413="","",$O1413*$E1413)</f>
        <v/>
      </c>
      <c r="Q1413" s="52" t="str">
        <f>IF($A1413="","",IF($O1413&lt;=0,"Depleted",IF($I1413&lt;0,"EXPIRED",IF($I1413&lt;=Settings!$C$6,"CRITICAL",IF($I1413&lt;=Settings!$C$5,"Expiring","In date")))))</f>
        <v/>
      </c>
    </row>
    <row r="1414" spans="1:17" x14ac:dyDescent="0.35">
      <c r="A1414" s="90" t="str">
        <f>IF(Receipts!$D1417="","",Receipts!$D1417)</f>
        <v/>
      </c>
      <c r="B1414" s="18" t="str">
        <f>IF(Receipts!$C1417="","",Receipts!$C1417)</f>
        <v/>
      </c>
      <c r="C1414" s="18" t="str">
        <f>IF($A1414="","",IFERROR(INDEX(Items!$B$5:$B$597,MATCH($A1414,Items!$A$5:$A$597,0)),""))</f>
        <v/>
      </c>
      <c r="D1414" s="23" t="str">
        <f>IF($A1414="","",N(Receipts!$G1417))</f>
        <v/>
      </c>
      <c r="E1414" s="20" t="str">
        <f>IF($A1414="","",IFERROR(INDEX(Items!$D$5:$D$597,MATCH($A1414,Items!$A$5:$A$597,0)),0))</f>
        <v/>
      </c>
      <c r="F1414" s="21" t="str">
        <f t="shared" si="110"/>
        <v/>
      </c>
      <c r="G1414" s="25" t="str">
        <f>IF(Receipts!$I1417="","",Receipts!$I1417)</f>
        <v/>
      </c>
      <c r="H1414" s="25" t="str">
        <f>IF(Receipts!$H1417="","",Receipts!$H1417)</f>
        <v/>
      </c>
      <c r="I1414" s="26" t="str">
        <f t="shared" ca="1" si="111"/>
        <v/>
      </c>
      <c r="J1414" s="26" t="str">
        <f>IF($A1414="","",COUNTIFS(tblReceipts[Item Name],$A1414,tblReceipts[Expiry Date],"&lt;"&amp;$H1414)+COUNTIFS(tblReceipts[Item Name],$A1414,tblReceipts[Expiry Date],$H1414,tblReceipts[Lot Number],"&lt;="&amp;Receipts!$C1417))</f>
        <v/>
      </c>
      <c r="K1414" s="26" t="str">
        <f>IF($A1414="","",SUMIFS(tblReceipts[Qty Received],tblReceipts[Item Name],$A1414,tblReceipts[Expiry Date],"&lt;"&amp;$H1414)+SUMIFS(tblReceipts[Qty Received],tblReceipts[Item Name],$A1414,tblReceipts[Expiry Date],$H1414,tblReceipts[Lot Number],"&lt;"&amp;Receipts!$C1417))</f>
        <v/>
      </c>
      <c r="L1414" s="26" t="str">
        <f>IF($A1414="","",MIN($D1414,MAX(0,SUMIFS(tblIssues[Qty Issued],tblIssues[Item Name],$A1414)-$K1414)))</f>
        <v/>
      </c>
      <c r="M1414" s="26" t="str">
        <f>IF($A1414="","",SUMIFS(tblIssues[Qty Issued],tblIssues[Lot Number],$B1414))</f>
        <v/>
      </c>
      <c r="N1414" s="26" t="str">
        <f t="shared" si="112"/>
        <v/>
      </c>
      <c r="O1414" s="26" t="str">
        <f t="shared" si="113"/>
        <v/>
      </c>
      <c r="P1414" s="21" t="str">
        <f t="shared" si="114"/>
        <v/>
      </c>
      <c r="Q1414" s="52" t="str">
        <f>IF($A1414="","",IF($O1414&lt;=0,"Depleted",IF($I1414&lt;0,"EXPIRED",IF($I1414&lt;=Settings!$C$6,"CRITICAL",IF($I1414&lt;=Settings!$C$5,"Expiring","In date")))))</f>
        <v/>
      </c>
    </row>
    <row r="1415" spans="1:17" x14ac:dyDescent="0.35">
      <c r="A1415" s="90" t="str">
        <f>IF(Receipts!$D1418="","",Receipts!$D1418)</f>
        <v/>
      </c>
      <c r="B1415" s="18" t="str">
        <f>IF(Receipts!$C1418="","",Receipts!$C1418)</f>
        <v/>
      </c>
      <c r="C1415" s="18" t="str">
        <f>IF($A1415="","",IFERROR(INDEX(Items!$B$5:$B$597,MATCH($A1415,Items!$A$5:$A$597,0)),""))</f>
        <v/>
      </c>
      <c r="D1415" s="23" t="str">
        <f>IF($A1415="","",N(Receipts!$G1418))</f>
        <v/>
      </c>
      <c r="E1415" s="20" t="str">
        <f>IF($A1415="","",IFERROR(INDEX(Items!$D$5:$D$597,MATCH($A1415,Items!$A$5:$A$597,0)),0))</f>
        <v/>
      </c>
      <c r="F1415" s="21" t="str">
        <f t="shared" si="110"/>
        <v/>
      </c>
      <c r="G1415" s="25" t="str">
        <f>IF(Receipts!$I1418="","",Receipts!$I1418)</f>
        <v/>
      </c>
      <c r="H1415" s="25" t="str">
        <f>IF(Receipts!$H1418="","",Receipts!$H1418)</f>
        <v/>
      </c>
      <c r="I1415" s="26" t="str">
        <f t="shared" ca="1" si="111"/>
        <v/>
      </c>
      <c r="J1415" s="26" t="str">
        <f>IF($A1415="","",COUNTIFS(tblReceipts[Item Name],$A1415,tblReceipts[Expiry Date],"&lt;"&amp;$H1415)+COUNTIFS(tblReceipts[Item Name],$A1415,tblReceipts[Expiry Date],$H1415,tblReceipts[Lot Number],"&lt;="&amp;Receipts!$C1418))</f>
        <v/>
      </c>
      <c r="K1415" s="26" t="str">
        <f>IF($A1415="","",SUMIFS(tblReceipts[Qty Received],tblReceipts[Item Name],$A1415,tblReceipts[Expiry Date],"&lt;"&amp;$H1415)+SUMIFS(tblReceipts[Qty Received],tblReceipts[Item Name],$A1415,tblReceipts[Expiry Date],$H1415,tblReceipts[Lot Number],"&lt;"&amp;Receipts!$C1418))</f>
        <v/>
      </c>
      <c r="L1415" s="26" t="str">
        <f>IF($A1415="","",MIN($D1415,MAX(0,SUMIFS(tblIssues[Qty Issued],tblIssues[Item Name],$A1415)-$K1415)))</f>
        <v/>
      </c>
      <c r="M1415" s="26" t="str">
        <f>IF($A1415="","",SUMIFS(tblIssues[Qty Issued],tblIssues[Lot Number],$B1415))</f>
        <v/>
      </c>
      <c r="N1415" s="26" t="str">
        <f t="shared" si="112"/>
        <v/>
      </c>
      <c r="O1415" s="26" t="str">
        <f t="shared" si="113"/>
        <v/>
      </c>
      <c r="P1415" s="21" t="str">
        <f t="shared" si="114"/>
        <v/>
      </c>
      <c r="Q1415" s="52" t="str">
        <f>IF($A1415="","",IF($O1415&lt;=0,"Depleted",IF($I1415&lt;0,"EXPIRED",IF($I1415&lt;=Settings!$C$6,"CRITICAL",IF($I1415&lt;=Settings!$C$5,"Expiring","In date")))))</f>
        <v/>
      </c>
    </row>
    <row r="1416" spans="1:17" x14ac:dyDescent="0.35">
      <c r="A1416" s="90" t="str">
        <f>IF(Receipts!$D1419="","",Receipts!$D1419)</f>
        <v/>
      </c>
      <c r="B1416" s="18" t="str">
        <f>IF(Receipts!$C1419="","",Receipts!$C1419)</f>
        <v/>
      </c>
      <c r="C1416" s="18" t="str">
        <f>IF($A1416="","",IFERROR(INDEX(Items!$B$5:$B$597,MATCH($A1416,Items!$A$5:$A$597,0)),""))</f>
        <v/>
      </c>
      <c r="D1416" s="23" t="str">
        <f>IF($A1416="","",N(Receipts!$G1419))</f>
        <v/>
      </c>
      <c r="E1416" s="20" t="str">
        <f>IF($A1416="","",IFERROR(INDEX(Items!$D$5:$D$597,MATCH($A1416,Items!$A$5:$A$597,0)),0))</f>
        <v/>
      </c>
      <c r="F1416" s="21" t="str">
        <f t="shared" si="110"/>
        <v/>
      </c>
      <c r="G1416" s="25" t="str">
        <f>IF(Receipts!$I1419="","",Receipts!$I1419)</f>
        <v/>
      </c>
      <c r="H1416" s="25" t="str">
        <f>IF(Receipts!$H1419="","",Receipts!$H1419)</f>
        <v/>
      </c>
      <c r="I1416" s="26" t="str">
        <f t="shared" ca="1" si="111"/>
        <v/>
      </c>
      <c r="J1416" s="26" t="str">
        <f>IF($A1416="","",COUNTIFS(tblReceipts[Item Name],$A1416,tblReceipts[Expiry Date],"&lt;"&amp;$H1416)+COUNTIFS(tblReceipts[Item Name],$A1416,tblReceipts[Expiry Date],$H1416,tblReceipts[Lot Number],"&lt;="&amp;Receipts!$C1419))</f>
        <v/>
      </c>
      <c r="K1416" s="26" t="str">
        <f>IF($A1416="","",SUMIFS(tblReceipts[Qty Received],tblReceipts[Item Name],$A1416,tblReceipts[Expiry Date],"&lt;"&amp;$H1416)+SUMIFS(tblReceipts[Qty Received],tblReceipts[Item Name],$A1416,tblReceipts[Expiry Date],$H1416,tblReceipts[Lot Number],"&lt;"&amp;Receipts!$C1419))</f>
        <v/>
      </c>
      <c r="L1416" s="26" t="str">
        <f>IF($A1416="","",MIN($D1416,MAX(0,SUMIFS(tblIssues[Qty Issued],tblIssues[Item Name],$A1416)-$K1416)))</f>
        <v/>
      </c>
      <c r="M1416" s="26" t="str">
        <f>IF($A1416="","",SUMIFS(tblIssues[Qty Issued],tblIssues[Lot Number],$B1416))</f>
        <v/>
      </c>
      <c r="N1416" s="26" t="str">
        <f t="shared" si="112"/>
        <v/>
      </c>
      <c r="O1416" s="26" t="str">
        <f t="shared" si="113"/>
        <v/>
      </c>
      <c r="P1416" s="21" t="str">
        <f t="shared" si="114"/>
        <v/>
      </c>
      <c r="Q1416" s="52" t="str">
        <f>IF($A1416="","",IF($O1416&lt;=0,"Depleted",IF($I1416&lt;0,"EXPIRED",IF($I1416&lt;=Settings!$C$6,"CRITICAL",IF($I1416&lt;=Settings!$C$5,"Expiring","In date")))))</f>
        <v/>
      </c>
    </row>
    <row r="1417" spans="1:17" x14ac:dyDescent="0.35">
      <c r="A1417" s="90" t="str">
        <f>IF(Receipts!$D1420="","",Receipts!$D1420)</f>
        <v/>
      </c>
      <c r="B1417" s="18" t="str">
        <f>IF(Receipts!$C1420="","",Receipts!$C1420)</f>
        <v/>
      </c>
      <c r="C1417" s="18" t="str">
        <f>IF($A1417="","",IFERROR(INDEX(Items!$B$5:$B$597,MATCH($A1417,Items!$A$5:$A$597,0)),""))</f>
        <v/>
      </c>
      <c r="D1417" s="23" t="str">
        <f>IF($A1417="","",N(Receipts!$G1420))</f>
        <v/>
      </c>
      <c r="E1417" s="20" t="str">
        <f>IF($A1417="","",IFERROR(INDEX(Items!$D$5:$D$597,MATCH($A1417,Items!$A$5:$A$597,0)),0))</f>
        <v/>
      </c>
      <c r="F1417" s="21" t="str">
        <f t="shared" si="110"/>
        <v/>
      </c>
      <c r="G1417" s="25" t="str">
        <f>IF(Receipts!$I1420="","",Receipts!$I1420)</f>
        <v/>
      </c>
      <c r="H1417" s="25" t="str">
        <f>IF(Receipts!$H1420="","",Receipts!$H1420)</f>
        <v/>
      </c>
      <c r="I1417" s="26" t="str">
        <f t="shared" ca="1" si="111"/>
        <v/>
      </c>
      <c r="J1417" s="26" t="str">
        <f>IF($A1417="","",COUNTIFS(tblReceipts[Item Name],$A1417,tblReceipts[Expiry Date],"&lt;"&amp;$H1417)+COUNTIFS(tblReceipts[Item Name],$A1417,tblReceipts[Expiry Date],$H1417,tblReceipts[Lot Number],"&lt;="&amp;Receipts!$C1420))</f>
        <v/>
      </c>
      <c r="K1417" s="26" t="str">
        <f>IF($A1417="","",SUMIFS(tblReceipts[Qty Received],tblReceipts[Item Name],$A1417,tblReceipts[Expiry Date],"&lt;"&amp;$H1417)+SUMIFS(tblReceipts[Qty Received],tblReceipts[Item Name],$A1417,tblReceipts[Expiry Date],$H1417,tblReceipts[Lot Number],"&lt;"&amp;Receipts!$C1420))</f>
        <v/>
      </c>
      <c r="L1417" s="26" t="str">
        <f>IF($A1417="","",MIN($D1417,MAX(0,SUMIFS(tblIssues[Qty Issued],tblIssues[Item Name],$A1417)-$K1417)))</f>
        <v/>
      </c>
      <c r="M1417" s="26" t="str">
        <f>IF($A1417="","",SUMIFS(tblIssues[Qty Issued],tblIssues[Lot Number],$B1417))</f>
        <v/>
      </c>
      <c r="N1417" s="26" t="str">
        <f t="shared" si="112"/>
        <v/>
      </c>
      <c r="O1417" s="26" t="str">
        <f t="shared" si="113"/>
        <v/>
      </c>
      <c r="P1417" s="21" t="str">
        <f t="shared" si="114"/>
        <v/>
      </c>
      <c r="Q1417" s="52" t="str">
        <f>IF($A1417="","",IF($O1417&lt;=0,"Depleted",IF($I1417&lt;0,"EXPIRED",IF($I1417&lt;=Settings!$C$6,"CRITICAL",IF($I1417&lt;=Settings!$C$5,"Expiring","In date")))))</f>
        <v/>
      </c>
    </row>
    <row r="1418" spans="1:17" x14ac:dyDescent="0.35">
      <c r="A1418" s="90" t="str">
        <f>IF(Receipts!$D1421="","",Receipts!$D1421)</f>
        <v/>
      </c>
      <c r="B1418" s="18" t="str">
        <f>IF(Receipts!$C1421="","",Receipts!$C1421)</f>
        <v/>
      </c>
      <c r="C1418" s="18" t="str">
        <f>IF($A1418="","",IFERROR(INDEX(Items!$B$5:$B$597,MATCH($A1418,Items!$A$5:$A$597,0)),""))</f>
        <v/>
      </c>
      <c r="D1418" s="23" t="str">
        <f>IF($A1418="","",N(Receipts!$G1421))</f>
        <v/>
      </c>
      <c r="E1418" s="20" t="str">
        <f>IF($A1418="","",IFERROR(INDEX(Items!$D$5:$D$597,MATCH($A1418,Items!$A$5:$A$597,0)),0))</f>
        <v/>
      </c>
      <c r="F1418" s="21" t="str">
        <f t="shared" si="110"/>
        <v/>
      </c>
      <c r="G1418" s="25" t="str">
        <f>IF(Receipts!$I1421="","",Receipts!$I1421)</f>
        <v/>
      </c>
      <c r="H1418" s="25" t="str">
        <f>IF(Receipts!$H1421="","",Receipts!$H1421)</f>
        <v/>
      </c>
      <c r="I1418" s="26" t="str">
        <f t="shared" ca="1" si="111"/>
        <v/>
      </c>
      <c r="J1418" s="26" t="str">
        <f>IF($A1418="","",COUNTIFS(tblReceipts[Item Name],$A1418,tblReceipts[Expiry Date],"&lt;"&amp;$H1418)+COUNTIFS(tblReceipts[Item Name],$A1418,tblReceipts[Expiry Date],$H1418,tblReceipts[Lot Number],"&lt;="&amp;Receipts!$C1421))</f>
        <v/>
      </c>
      <c r="K1418" s="26" t="str">
        <f>IF($A1418="","",SUMIFS(tblReceipts[Qty Received],tblReceipts[Item Name],$A1418,tblReceipts[Expiry Date],"&lt;"&amp;$H1418)+SUMIFS(tblReceipts[Qty Received],tblReceipts[Item Name],$A1418,tblReceipts[Expiry Date],$H1418,tblReceipts[Lot Number],"&lt;"&amp;Receipts!$C1421))</f>
        <v/>
      </c>
      <c r="L1418" s="26" t="str">
        <f>IF($A1418="","",MIN($D1418,MAX(0,SUMIFS(tblIssues[Qty Issued],tblIssues[Item Name],$A1418)-$K1418)))</f>
        <v/>
      </c>
      <c r="M1418" s="26" t="str">
        <f>IF($A1418="","",SUMIFS(tblIssues[Qty Issued],tblIssues[Lot Number],$B1418))</f>
        <v/>
      </c>
      <c r="N1418" s="26" t="str">
        <f t="shared" si="112"/>
        <v/>
      </c>
      <c r="O1418" s="26" t="str">
        <f t="shared" si="113"/>
        <v/>
      </c>
      <c r="P1418" s="21" t="str">
        <f t="shared" si="114"/>
        <v/>
      </c>
      <c r="Q1418" s="52" t="str">
        <f>IF($A1418="","",IF($O1418&lt;=0,"Depleted",IF($I1418&lt;0,"EXPIRED",IF($I1418&lt;=Settings!$C$6,"CRITICAL",IF($I1418&lt;=Settings!$C$5,"Expiring","In date")))))</f>
        <v/>
      </c>
    </row>
    <row r="1419" spans="1:17" x14ac:dyDescent="0.35">
      <c r="A1419" s="90" t="str">
        <f>IF(Receipts!$D1422="","",Receipts!$D1422)</f>
        <v/>
      </c>
      <c r="B1419" s="18" t="str">
        <f>IF(Receipts!$C1422="","",Receipts!$C1422)</f>
        <v/>
      </c>
      <c r="C1419" s="18" t="str">
        <f>IF($A1419="","",IFERROR(INDEX(Items!$B$5:$B$597,MATCH($A1419,Items!$A$5:$A$597,0)),""))</f>
        <v/>
      </c>
      <c r="D1419" s="23" t="str">
        <f>IF($A1419="","",N(Receipts!$G1422))</f>
        <v/>
      </c>
      <c r="E1419" s="20" t="str">
        <f>IF($A1419="","",IFERROR(INDEX(Items!$D$5:$D$597,MATCH($A1419,Items!$A$5:$A$597,0)),0))</f>
        <v/>
      </c>
      <c r="F1419" s="21" t="str">
        <f t="shared" si="110"/>
        <v/>
      </c>
      <c r="G1419" s="25" t="str">
        <f>IF(Receipts!$I1422="","",Receipts!$I1422)</f>
        <v/>
      </c>
      <c r="H1419" s="25" t="str">
        <f>IF(Receipts!$H1422="","",Receipts!$H1422)</f>
        <v/>
      </c>
      <c r="I1419" s="26" t="str">
        <f t="shared" ca="1" si="111"/>
        <v/>
      </c>
      <c r="J1419" s="26" t="str">
        <f>IF($A1419="","",COUNTIFS(tblReceipts[Item Name],$A1419,tblReceipts[Expiry Date],"&lt;"&amp;$H1419)+COUNTIFS(tblReceipts[Item Name],$A1419,tblReceipts[Expiry Date],$H1419,tblReceipts[Lot Number],"&lt;="&amp;Receipts!$C1422))</f>
        <v/>
      </c>
      <c r="K1419" s="26" t="str">
        <f>IF($A1419="","",SUMIFS(tblReceipts[Qty Received],tblReceipts[Item Name],$A1419,tblReceipts[Expiry Date],"&lt;"&amp;$H1419)+SUMIFS(tblReceipts[Qty Received],tblReceipts[Item Name],$A1419,tblReceipts[Expiry Date],$H1419,tblReceipts[Lot Number],"&lt;"&amp;Receipts!$C1422))</f>
        <v/>
      </c>
      <c r="L1419" s="26" t="str">
        <f>IF($A1419="","",MIN($D1419,MAX(0,SUMIFS(tblIssues[Qty Issued],tblIssues[Item Name],$A1419)-$K1419)))</f>
        <v/>
      </c>
      <c r="M1419" s="26" t="str">
        <f>IF($A1419="","",SUMIFS(tblIssues[Qty Issued],tblIssues[Lot Number],$B1419))</f>
        <v/>
      </c>
      <c r="N1419" s="26" t="str">
        <f t="shared" si="112"/>
        <v/>
      </c>
      <c r="O1419" s="26" t="str">
        <f t="shared" si="113"/>
        <v/>
      </c>
      <c r="P1419" s="21" t="str">
        <f t="shared" si="114"/>
        <v/>
      </c>
      <c r="Q1419" s="52" t="str">
        <f>IF($A1419="","",IF($O1419&lt;=0,"Depleted",IF($I1419&lt;0,"EXPIRED",IF($I1419&lt;=Settings!$C$6,"CRITICAL",IF($I1419&lt;=Settings!$C$5,"Expiring","In date")))))</f>
        <v/>
      </c>
    </row>
    <row r="1420" spans="1:17" x14ac:dyDescent="0.35">
      <c r="A1420" s="90" t="str">
        <f>IF(Receipts!$D1423="","",Receipts!$D1423)</f>
        <v/>
      </c>
      <c r="B1420" s="18" t="str">
        <f>IF(Receipts!$C1423="","",Receipts!$C1423)</f>
        <v/>
      </c>
      <c r="C1420" s="18" t="str">
        <f>IF($A1420="","",IFERROR(INDEX(Items!$B$5:$B$597,MATCH($A1420,Items!$A$5:$A$597,0)),""))</f>
        <v/>
      </c>
      <c r="D1420" s="23" t="str">
        <f>IF($A1420="","",N(Receipts!$G1423))</f>
        <v/>
      </c>
      <c r="E1420" s="20" t="str">
        <f>IF($A1420="","",IFERROR(INDEX(Items!$D$5:$D$597,MATCH($A1420,Items!$A$5:$A$597,0)),0))</f>
        <v/>
      </c>
      <c r="F1420" s="21" t="str">
        <f t="shared" si="110"/>
        <v/>
      </c>
      <c r="G1420" s="25" t="str">
        <f>IF(Receipts!$I1423="","",Receipts!$I1423)</f>
        <v/>
      </c>
      <c r="H1420" s="25" t="str">
        <f>IF(Receipts!$H1423="","",Receipts!$H1423)</f>
        <v/>
      </c>
      <c r="I1420" s="26" t="str">
        <f t="shared" ca="1" si="111"/>
        <v/>
      </c>
      <c r="J1420" s="26" t="str">
        <f>IF($A1420="","",COUNTIFS(tblReceipts[Item Name],$A1420,tblReceipts[Expiry Date],"&lt;"&amp;$H1420)+COUNTIFS(tblReceipts[Item Name],$A1420,tblReceipts[Expiry Date],$H1420,tblReceipts[Lot Number],"&lt;="&amp;Receipts!$C1423))</f>
        <v/>
      </c>
      <c r="K1420" s="26" t="str">
        <f>IF($A1420="","",SUMIFS(tblReceipts[Qty Received],tblReceipts[Item Name],$A1420,tblReceipts[Expiry Date],"&lt;"&amp;$H1420)+SUMIFS(tblReceipts[Qty Received],tblReceipts[Item Name],$A1420,tblReceipts[Expiry Date],$H1420,tblReceipts[Lot Number],"&lt;"&amp;Receipts!$C1423))</f>
        <v/>
      </c>
      <c r="L1420" s="26" t="str">
        <f>IF($A1420="","",MIN($D1420,MAX(0,SUMIFS(tblIssues[Qty Issued],tblIssues[Item Name],$A1420)-$K1420)))</f>
        <v/>
      </c>
      <c r="M1420" s="26" t="str">
        <f>IF($A1420="","",SUMIFS(tblIssues[Qty Issued],tblIssues[Lot Number],$B1420))</f>
        <v/>
      </c>
      <c r="N1420" s="26" t="str">
        <f t="shared" si="112"/>
        <v/>
      </c>
      <c r="O1420" s="26" t="str">
        <f t="shared" si="113"/>
        <v/>
      </c>
      <c r="P1420" s="21" t="str">
        <f t="shared" si="114"/>
        <v/>
      </c>
      <c r="Q1420" s="52" t="str">
        <f>IF($A1420="","",IF($O1420&lt;=0,"Depleted",IF($I1420&lt;0,"EXPIRED",IF($I1420&lt;=Settings!$C$6,"CRITICAL",IF($I1420&lt;=Settings!$C$5,"Expiring","In date")))))</f>
        <v/>
      </c>
    </row>
    <row r="1421" spans="1:17" x14ac:dyDescent="0.35">
      <c r="A1421" s="90" t="str">
        <f>IF(Receipts!$D1424="","",Receipts!$D1424)</f>
        <v/>
      </c>
      <c r="B1421" s="18" t="str">
        <f>IF(Receipts!$C1424="","",Receipts!$C1424)</f>
        <v/>
      </c>
      <c r="C1421" s="18" t="str">
        <f>IF($A1421="","",IFERROR(INDEX(Items!$B$5:$B$597,MATCH($A1421,Items!$A$5:$A$597,0)),""))</f>
        <v/>
      </c>
      <c r="D1421" s="23" t="str">
        <f>IF($A1421="","",N(Receipts!$G1424))</f>
        <v/>
      </c>
      <c r="E1421" s="20" t="str">
        <f>IF($A1421="","",IFERROR(INDEX(Items!$D$5:$D$597,MATCH($A1421,Items!$A$5:$A$597,0)),0))</f>
        <v/>
      </c>
      <c r="F1421" s="21" t="str">
        <f t="shared" si="110"/>
        <v/>
      </c>
      <c r="G1421" s="25" t="str">
        <f>IF(Receipts!$I1424="","",Receipts!$I1424)</f>
        <v/>
      </c>
      <c r="H1421" s="25" t="str">
        <f>IF(Receipts!$H1424="","",Receipts!$H1424)</f>
        <v/>
      </c>
      <c r="I1421" s="26" t="str">
        <f t="shared" ca="1" si="111"/>
        <v/>
      </c>
      <c r="J1421" s="26" t="str">
        <f>IF($A1421="","",COUNTIFS(tblReceipts[Item Name],$A1421,tblReceipts[Expiry Date],"&lt;"&amp;$H1421)+COUNTIFS(tblReceipts[Item Name],$A1421,tblReceipts[Expiry Date],$H1421,tblReceipts[Lot Number],"&lt;="&amp;Receipts!$C1424))</f>
        <v/>
      </c>
      <c r="K1421" s="26" t="str">
        <f>IF($A1421="","",SUMIFS(tblReceipts[Qty Received],tblReceipts[Item Name],$A1421,tblReceipts[Expiry Date],"&lt;"&amp;$H1421)+SUMIFS(tblReceipts[Qty Received],tblReceipts[Item Name],$A1421,tblReceipts[Expiry Date],$H1421,tblReceipts[Lot Number],"&lt;"&amp;Receipts!$C1424))</f>
        <v/>
      </c>
      <c r="L1421" s="26" t="str">
        <f>IF($A1421="","",MIN($D1421,MAX(0,SUMIFS(tblIssues[Qty Issued],tblIssues[Item Name],$A1421)-$K1421)))</f>
        <v/>
      </c>
      <c r="M1421" s="26" t="str">
        <f>IF($A1421="","",SUMIFS(tblIssues[Qty Issued],tblIssues[Lot Number],$B1421))</f>
        <v/>
      </c>
      <c r="N1421" s="26" t="str">
        <f t="shared" si="112"/>
        <v/>
      </c>
      <c r="O1421" s="26" t="str">
        <f t="shared" si="113"/>
        <v/>
      </c>
      <c r="P1421" s="21" t="str">
        <f t="shared" si="114"/>
        <v/>
      </c>
      <c r="Q1421" s="52" t="str">
        <f>IF($A1421="","",IF($O1421&lt;=0,"Depleted",IF($I1421&lt;0,"EXPIRED",IF($I1421&lt;=Settings!$C$6,"CRITICAL",IF($I1421&lt;=Settings!$C$5,"Expiring","In date")))))</f>
        <v/>
      </c>
    </row>
    <row r="1422" spans="1:17" x14ac:dyDescent="0.35">
      <c r="A1422" s="90" t="str">
        <f>IF(Receipts!$D1425="","",Receipts!$D1425)</f>
        <v/>
      </c>
      <c r="B1422" s="18" t="str">
        <f>IF(Receipts!$C1425="","",Receipts!$C1425)</f>
        <v/>
      </c>
      <c r="C1422" s="18" t="str">
        <f>IF($A1422="","",IFERROR(INDEX(Items!$B$5:$B$597,MATCH($A1422,Items!$A$5:$A$597,0)),""))</f>
        <v/>
      </c>
      <c r="D1422" s="23" t="str">
        <f>IF($A1422="","",N(Receipts!$G1425))</f>
        <v/>
      </c>
      <c r="E1422" s="20" t="str">
        <f>IF($A1422="","",IFERROR(INDEX(Items!$D$5:$D$597,MATCH($A1422,Items!$A$5:$A$597,0)),0))</f>
        <v/>
      </c>
      <c r="F1422" s="21" t="str">
        <f t="shared" si="110"/>
        <v/>
      </c>
      <c r="G1422" s="25" t="str">
        <f>IF(Receipts!$I1425="","",Receipts!$I1425)</f>
        <v/>
      </c>
      <c r="H1422" s="25" t="str">
        <f>IF(Receipts!$H1425="","",Receipts!$H1425)</f>
        <v/>
      </c>
      <c r="I1422" s="26" t="str">
        <f t="shared" ca="1" si="111"/>
        <v/>
      </c>
      <c r="J1422" s="26" t="str">
        <f>IF($A1422="","",COUNTIFS(tblReceipts[Item Name],$A1422,tblReceipts[Expiry Date],"&lt;"&amp;$H1422)+COUNTIFS(tblReceipts[Item Name],$A1422,tblReceipts[Expiry Date],$H1422,tblReceipts[Lot Number],"&lt;="&amp;Receipts!$C1425))</f>
        <v/>
      </c>
      <c r="K1422" s="26" t="str">
        <f>IF($A1422="","",SUMIFS(tblReceipts[Qty Received],tblReceipts[Item Name],$A1422,tblReceipts[Expiry Date],"&lt;"&amp;$H1422)+SUMIFS(tblReceipts[Qty Received],tblReceipts[Item Name],$A1422,tblReceipts[Expiry Date],$H1422,tblReceipts[Lot Number],"&lt;"&amp;Receipts!$C1425))</f>
        <v/>
      </c>
      <c r="L1422" s="26" t="str">
        <f>IF($A1422="","",MIN($D1422,MAX(0,SUMIFS(tblIssues[Qty Issued],tblIssues[Item Name],$A1422)-$K1422)))</f>
        <v/>
      </c>
      <c r="M1422" s="26" t="str">
        <f>IF($A1422="","",SUMIFS(tblIssues[Qty Issued],tblIssues[Lot Number],$B1422))</f>
        <v/>
      </c>
      <c r="N1422" s="26" t="str">
        <f t="shared" si="112"/>
        <v/>
      </c>
      <c r="O1422" s="26" t="str">
        <f t="shared" si="113"/>
        <v/>
      </c>
      <c r="P1422" s="21" t="str">
        <f t="shared" si="114"/>
        <v/>
      </c>
      <c r="Q1422" s="52" t="str">
        <f>IF($A1422="","",IF($O1422&lt;=0,"Depleted",IF($I1422&lt;0,"EXPIRED",IF($I1422&lt;=Settings!$C$6,"CRITICAL",IF($I1422&lt;=Settings!$C$5,"Expiring","In date")))))</f>
        <v/>
      </c>
    </row>
    <row r="1423" spans="1:17" x14ac:dyDescent="0.35">
      <c r="A1423" s="90" t="str">
        <f>IF(Receipts!$D1426="","",Receipts!$D1426)</f>
        <v/>
      </c>
      <c r="B1423" s="18" t="str">
        <f>IF(Receipts!$C1426="","",Receipts!$C1426)</f>
        <v/>
      </c>
      <c r="C1423" s="18" t="str">
        <f>IF($A1423="","",IFERROR(INDEX(Items!$B$5:$B$597,MATCH($A1423,Items!$A$5:$A$597,0)),""))</f>
        <v/>
      </c>
      <c r="D1423" s="23" t="str">
        <f>IF($A1423="","",N(Receipts!$G1426))</f>
        <v/>
      </c>
      <c r="E1423" s="20" t="str">
        <f>IF($A1423="","",IFERROR(INDEX(Items!$D$5:$D$597,MATCH($A1423,Items!$A$5:$A$597,0)),0))</f>
        <v/>
      </c>
      <c r="F1423" s="21" t="str">
        <f t="shared" si="110"/>
        <v/>
      </c>
      <c r="G1423" s="25" t="str">
        <f>IF(Receipts!$I1426="","",Receipts!$I1426)</f>
        <v/>
      </c>
      <c r="H1423" s="25" t="str">
        <f>IF(Receipts!$H1426="","",Receipts!$H1426)</f>
        <v/>
      </c>
      <c r="I1423" s="26" t="str">
        <f t="shared" ca="1" si="111"/>
        <v/>
      </c>
      <c r="J1423" s="26" t="str">
        <f>IF($A1423="","",COUNTIFS(tblReceipts[Item Name],$A1423,tblReceipts[Expiry Date],"&lt;"&amp;$H1423)+COUNTIFS(tblReceipts[Item Name],$A1423,tblReceipts[Expiry Date],$H1423,tblReceipts[Lot Number],"&lt;="&amp;Receipts!$C1426))</f>
        <v/>
      </c>
      <c r="K1423" s="26" t="str">
        <f>IF($A1423="","",SUMIFS(tblReceipts[Qty Received],tblReceipts[Item Name],$A1423,tblReceipts[Expiry Date],"&lt;"&amp;$H1423)+SUMIFS(tblReceipts[Qty Received],tblReceipts[Item Name],$A1423,tblReceipts[Expiry Date],$H1423,tblReceipts[Lot Number],"&lt;"&amp;Receipts!$C1426))</f>
        <v/>
      </c>
      <c r="L1423" s="26" t="str">
        <f>IF($A1423="","",MIN($D1423,MAX(0,SUMIFS(tblIssues[Qty Issued],tblIssues[Item Name],$A1423)-$K1423)))</f>
        <v/>
      </c>
      <c r="M1423" s="26" t="str">
        <f>IF($A1423="","",SUMIFS(tblIssues[Qty Issued],tblIssues[Lot Number],$B1423))</f>
        <v/>
      </c>
      <c r="N1423" s="26" t="str">
        <f t="shared" si="112"/>
        <v/>
      </c>
      <c r="O1423" s="26" t="str">
        <f t="shared" si="113"/>
        <v/>
      </c>
      <c r="P1423" s="21" t="str">
        <f t="shared" si="114"/>
        <v/>
      </c>
      <c r="Q1423" s="52" t="str">
        <f>IF($A1423="","",IF($O1423&lt;=0,"Depleted",IF($I1423&lt;0,"EXPIRED",IF($I1423&lt;=Settings!$C$6,"CRITICAL",IF($I1423&lt;=Settings!$C$5,"Expiring","In date")))))</f>
        <v/>
      </c>
    </row>
    <row r="1424" spans="1:17" x14ac:dyDescent="0.35">
      <c r="A1424" s="90" t="str">
        <f>IF(Receipts!$D1427="","",Receipts!$D1427)</f>
        <v/>
      </c>
      <c r="B1424" s="18" t="str">
        <f>IF(Receipts!$C1427="","",Receipts!$C1427)</f>
        <v/>
      </c>
      <c r="C1424" s="18" t="str">
        <f>IF($A1424="","",IFERROR(INDEX(Items!$B$5:$B$597,MATCH($A1424,Items!$A$5:$A$597,0)),""))</f>
        <v/>
      </c>
      <c r="D1424" s="23" t="str">
        <f>IF($A1424="","",N(Receipts!$G1427))</f>
        <v/>
      </c>
      <c r="E1424" s="20" t="str">
        <f>IF($A1424="","",IFERROR(INDEX(Items!$D$5:$D$597,MATCH($A1424,Items!$A$5:$A$597,0)),0))</f>
        <v/>
      </c>
      <c r="F1424" s="21" t="str">
        <f t="shared" si="110"/>
        <v/>
      </c>
      <c r="G1424" s="25" t="str">
        <f>IF(Receipts!$I1427="","",Receipts!$I1427)</f>
        <v/>
      </c>
      <c r="H1424" s="25" t="str">
        <f>IF(Receipts!$H1427="","",Receipts!$H1427)</f>
        <v/>
      </c>
      <c r="I1424" s="26" t="str">
        <f t="shared" ca="1" si="111"/>
        <v/>
      </c>
      <c r="J1424" s="26" t="str">
        <f>IF($A1424="","",COUNTIFS(tblReceipts[Item Name],$A1424,tblReceipts[Expiry Date],"&lt;"&amp;$H1424)+COUNTIFS(tblReceipts[Item Name],$A1424,tblReceipts[Expiry Date],$H1424,tblReceipts[Lot Number],"&lt;="&amp;Receipts!$C1427))</f>
        <v/>
      </c>
      <c r="K1424" s="26" t="str">
        <f>IF($A1424="","",SUMIFS(tblReceipts[Qty Received],tblReceipts[Item Name],$A1424,tblReceipts[Expiry Date],"&lt;"&amp;$H1424)+SUMIFS(tblReceipts[Qty Received],tblReceipts[Item Name],$A1424,tblReceipts[Expiry Date],$H1424,tblReceipts[Lot Number],"&lt;"&amp;Receipts!$C1427))</f>
        <v/>
      </c>
      <c r="L1424" s="26" t="str">
        <f>IF($A1424="","",MIN($D1424,MAX(0,SUMIFS(tblIssues[Qty Issued],tblIssues[Item Name],$A1424)-$K1424)))</f>
        <v/>
      </c>
      <c r="M1424" s="26" t="str">
        <f>IF($A1424="","",SUMIFS(tblIssues[Qty Issued],tblIssues[Lot Number],$B1424))</f>
        <v/>
      </c>
      <c r="N1424" s="26" t="str">
        <f t="shared" si="112"/>
        <v/>
      </c>
      <c r="O1424" s="26" t="str">
        <f t="shared" si="113"/>
        <v/>
      </c>
      <c r="P1424" s="21" t="str">
        <f t="shared" si="114"/>
        <v/>
      </c>
      <c r="Q1424" s="52" t="str">
        <f>IF($A1424="","",IF($O1424&lt;=0,"Depleted",IF($I1424&lt;0,"EXPIRED",IF($I1424&lt;=Settings!$C$6,"CRITICAL",IF($I1424&lt;=Settings!$C$5,"Expiring","In date")))))</f>
        <v/>
      </c>
    </row>
    <row r="1425" spans="1:17" x14ac:dyDescent="0.35">
      <c r="A1425" s="90" t="str">
        <f>IF(Receipts!$D1428="","",Receipts!$D1428)</f>
        <v/>
      </c>
      <c r="B1425" s="18" t="str">
        <f>IF(Receipts!$C1428="","",Receipts!$C1428)</f>
        <v/>
      </c>
      <c r="C1425" s="18" t="str">
        <f>IF($A1425="","",IFERROR(INDEX(Items!$B$5:$B$597,MATCH($A1425,Items!$A$5:$A$597,0)),""))</f>
        <v/>
      </c>
      <c r="D1425" s="23" t="str">
        <f>IF($A1425="","",N(Receipts!$G1428))</f>
        <v/>
      </c>
      <c r="E1425" s="20" t="str">
        <f>IF($A1425="","",IFERROR(INDEX(Items!$D$5:$D$597,MATCH($A1425,Items!$A$5:$A$597,0)),0))</f>
        <v/>
      </c>
      <c r="F1425" s="21" t="str">
        <f t="shared" si="110"/>
        <v/>
      </c>
      <c r="G1425" s="25" t="str">
        <f>IF(Receipts!$I1428="","",Receipts!$I1428)</f>
        <v/>
      </c>
      <c r="H1425" s="25" t="str">
        <f>IF(Receipts!$H1428="","",Receipts!$H1428)</f>
        <v/>
      </c>
      <c r="I1425" s="26" t="str">
        <f t="shared" ca="1" si="111"/>
        <v/>
      </c>
      <c r="J1425" s="26" t="str">
        <f>IF($A1425="","",COUNTIFS(tblReceipts[Item Name],$A1425,tblReceipts[Expiry Date],"&lt;"&amp;$H1425)+COUNTIFS(tblReceipts[Item Name],$A1425,tblReceipts[Expiry Date],$H1425,tblReceipts[Lot Number],"&lt;="&amp;Receipts!$C1428))</f>
        <v/>
      </c>
      <c r="K1425" s="26" t="str">
        <f>IF($A1425="","",SUMIFS(tblReceipts[Qty Received],tblReceipts[Item Name],$A1425,tblReceipts[Expiry Date],"&lt;"&amp;$H1425)+SUMIFS(tblReceipts[Qty Received],tblReceipts[Item Name],$A1425,tblReceipts[Expiry Date],$H1425,tblReceipts[Lot Number],"&lt;"&amp;Receipts!$C1428))</f>
        <v/>
      </c>
      <c r="L1425" s="26" t="str">
        <f>IF($A1425="","",MIN($D1425,MAX(0,SUMIFS(tblIssues[Qty Issued],tblIssues[Item Name],$A1425)-$K1425)))</f>
        <v/>
      </c>
      <c r="M1425" s="26" t="str">
        <f>IF($A1425="","",SUMIFS(tblIssues[Qty Issued],tblIssues[Lot Number],$B1425))</f>
        <v/>
      </c>
      <c r="N1425" s="26" t="str">
        <f t="shared" si="112"/>
        <v/>
      </c>
      <c r="O1425" s="26" t="str">
        <f t="shared" si="113"/>
        <v/>
      </c>
      <c r="P1425" s="21" t="str">
        <f t="shared" si="114"/>
        <v/>
      </c>
      <c r="Q1425" s="52" t="str">
        <f>IF($A1425="","",IF($O1425&lt;=0,"Depleted",IF($I1425&lt;0,"EXPIRED",IF($I1425&lt;=Settings!$C$6,"CRITICAL",IF($I1425&lt;=Settings!$C$5,"Expiring","In date")))))</f>
        <v/>
      </c>
    </row>
    <row r="1426" spans="1:17" x14ac:dyDescent="0.35">
      <c r="A1426" s="90" t="str">
        <f>IF(Receipts!$D1429="","",Receipts!$D1429)</f>
        <v/>
      </c>
      <c r="B1426" s="18" t="str">
        <f>IF(Receipts!$C1429="","",Receipts!$C1429)</f>
        <v/>
      </c>
      <c r="C1426" s="18" t="str">
        <f>IF($A1426="","",IFERROR(INDEX(Items!$B$5:$B$597,MATCH($A1426,Items!$A$5:$A$597,0)),""))</f>
        <v/>
      </c>
      <c r="D1426" s="23" t="str">
        <f>IF($A1426="","",N(Receipts!$G1429))</f>
        <v/>
      </c>
      <c r="E1426" s="20" t="str">
        <f>IF($A1426="","",IFERROR(INDEX(Items!$D$5:$D$597,MATCH($A1426,Items!$A$5:$A$597,0)),0))</f>
        <v/>
      </c>
      <c r="F1426" s="21" t="str">
        <f t="shared" si="110"/>
        <v/>
      </c>
      <c r="G1426" s="25" t="str">
        <f>IF(Receipts!$I1429="","",Receipts!$I1429)</f>
        <v/>
      </c>
      <c r="H1426" s="25" t="str">
        <f>IF(Receipts!$H1429="","",Receipts!$H1429)</f>
        <v/>
      </c>
      <c r="I1426" s="26" t="str">
        <f t="shared" ca="1" si="111"/>
        <v/>
      </c>
      <c r="J1426" s="26" t="str">
        <f>IF($A1426="","",COUNTIFS(tblReceipts[Item Name],$A1426,tblReceipts[Expiry Date],"&lt;"&amp;$H1426)+COUNTIFS(tblReceipts[Item Name],$A1426,tblReceipts[Expiry Date],$H1426,tblReceipts[Lot Number],"&lt;="&amp;Receipts!$C1429))</f>
        <v/>
      </c>
      <c r="K1426" s="26" t="str">
        <f>IF($A1426="","",SUMIFS(tblReceipts[Qty Received],tblReceipts[Item Name],$A1426,tblReceipts[Expiry Date],"&lt;"&amp;$H1426)+SUMIFS(tblReceipts[Qty Received],tblReceipts[Item Name],$A1426,tblReceipts[Expiry Date],$H1426,tblReceipts[Lot Number],"&lt;"&amp;Receipts!$C1429))</f>
        <v/>
      </c>
      <c r="L1426" s="26" t="str">
        <f>IF($A1426="","",MIN($D1426,MAX(0,SUMIFS(tblIssues[Qty Issued],tblIssues[Item Name],$A1426)-$K1426)))</f>
        <v/>
      </c>
      <c r="M1426" s="26" t="str">
        <f>IF($A1426="","",SUMIFS(tblIssues[Qty Issued],tblIssues[Lot Number],$B1426))</f>
        <v/>
      </c>
      <c r="N1426" s="26" t="str">
        <f t="shared" si="112"/>
        <v/>
      </c>
      <c r="O1426" s="26" t="str">
        <f t="shared" si="113"/>
        <v/>
      </c>
      <c r="P1426" s="21" t="str">
        <f t="shared" si="114"/>
        <v/>
      </c>
      <c r="Q1426" s="52" t="str">
        <f>IF($A1426="","",IF($O1426&lt;=0,"Depleted",IF($I1426&lt;0,"EXPIRED",IF($I1426&lt;=Settings!$C$6,"CRITICAL",IF($I1426&lt;=Settings!$C$5,"Expiring","In date")))))</f>
        <v/>
      </c>
    </row>
    <row r="1427" spans="1:17" x14ac:dyDescent="0.35">
      <c r="A1427" s="90" t="str">
        <f>IF(Receipts!$D1430="","",Receipts!$D1430)</f>
        <v/>
      </c>
      <c r="B1427" s="18" t="str">
        <f>IF(Receipts!$C1430="","",Receipts!$C1430)</f>
        <v/>
      </c>
      <c r="C1427" s="18" t="str">
        <f>IF($A1427="","",IFERROR(INDEX(Items!$B$5:$B$597,MATCH($A1427,Items!$A$5:$A$597,0)),""))</f>
        <v/>
      </c>
      <c r="D1427" s="23" t="str">
        <f>IF($A1427="","",N(Receipts!$G1430))</f>
        <v/>
      </c>
      <c r="E1427" s="20" t="str">
        <f>IF($A1427="","",IFERROR(INDEX(Items!$D$5:$D$597,MATCH($A1427,Items!$A$5:$A$597,0)),0))</f>
        <v/>
      </c>
      <c r="F1427" s="21" t="str">
        <f t="shared" si="110"/>
        <v/>
      </c>
      <c r="G1427" s="25" t="str">
        <f>IF(Receipts!$I1430="","",Receipts!$I1430)</f>
        <v/>
      </c>
      <c r="H1427" s="25" t="str">
        <f>IF(Receipts!$H1430="","",Receipts!$H1430)</f>
        <v/>
      </c>
      <c r="I1427" s="26" t="str">
        <f t="shared" ca="1" si="111"/>
        <v/>
      </c>
      <c r="J1427" s="26" t="str">
        <f>IF($A1427="","",COUNTIFS(tblReceipts[Item Name],$A1427,tblReceipts[Expiry Date],"&lt;"&amp;$H1427)+COUNTIFS(tblReceipts[Item Name],$A1427,tblReceipts[Expiry Date],$H1427,tblReceipts[Lot Number],"&lt;="&amp;Receipts!$C1430))</f>
        <v/>
      </c>
      <c r="K1427" s="26" t="str">
        <f>IF($A1427="","",SUMIFS(tblReceipts[Qty Received],tblReceipts[Item Name],$A1427,tblReceipts[Expiry Date],"&lt;"&amp;$H1427)+SUMIFS(tblReceipts[Qty Received],tblReceipts[Item Name],$A1427,tblReceipts[Expiry Date],$H1427,tblReceipts[Lot Number],"&lt;"&amp;Receipts!$C1430))</f>
        <v/>
      </c>
      <c r="L1427" s="26" t="str">
        <f>IF($A1427="","",MIN($D1427,MAX(0,SUMIFS(tblIssues[Qty Issued],tblIssues[Item Name],$A1427)-$K1427)))</f>
        <v/>
      </c>
      <c r="M1427" s="26" t="str">
        <f>IF($A1427="","",SUMIFS(tblIssues[Qty Issued],tblIssues[Lot Number],$B1427))</f>
        <v/>
      </c>
      <c r="N1427" s="26" t="str">
        <f t="shared" si="112"/>
        <v/>
      </c>
      <c r="O1427" s="26" t="str">
        <f t="shared" si="113"/>
        <v/>
      </c>
      <c r="P1427" s="21" t="str">
        <f t="shared" si="114"/>
        <v/>
      </c>
      <c r="Q1427" s="52" t="str">
        <f>IF($A1427="","",IF($O1427&lt;=0,"Depleted",IF($I1427&lt;0,"EXPIRED",IF($I1427&lt;=Settings!$C$6,"CRITICAL",IF($I1427&lt;=Settings!$C$5,"Expiring","In date")))))</f>
        <v/>
      </c>
    </row>
    <row r="1428" spans="1:17" x14ac:dyDescent="0.35">
      <c r="A1428" s="90" t="str">
        <f>IF(Receipts!$D1431="","",Receipts!$D1431)</f>
        <v/>
      </c>
      <c r="B1428" s="18" t="str">
        <f>IF(Receipts!$C1431="","",Receipts!$C1431)</f>
        <v/>
      </c>
      <c r="C1428" s="18" t="str">
        <f>IF($A1428="","",IFERROR(INDEX(Items!$B$5:$B$597,MATCH($A1428,Items!$A$5:$A$597,0)),""))</f>
        <v/>
      </c>
      <c r="D1428" s="23" t="str">
        <f>IF($A1428="","",N(Receipts!$G1431))</f>
        <v/>
      </c>
      <c r="E1428" s="20" t="str">
        <f>IF($A1428="","",IFERROR(INDEX(Items!$D$5:$D$597,MATCH($A1428,Items!$A$5:$A$597,0)),0))</f>
        <v/>
      </c>
      <c r="F1428" s="21" t="str">
        <f t="shared" si="110"/>
        <v/>
      </c>
      <c r="G1428" s="25" t="str">
        <f>IF(Receipts!$I1431="","",Receipts!$I1431)</f>
        <v/>
      </c>
      <c r="H1428" s="25" t="str">
        <f>IF(Receipts!$H1431="","",Receipts!$H1431)</f>
        <v/>
      </c>
      <c r="I1428" s="26" t="str">
        <f t="shared" ca="1" si="111"/>
        <v/>
      </c>
      <c r="J1428" s="26" t="str">
        <f>IF($A1428="","",COUNTIFS(tblReceipts[Item Name],$A1428,tblReceipts[Expiry Date],"&lt;"&amp;$H1428)+COUNTIFS(tblReceipts[Item Name],$A1428,tblReceipts[Expiry Date],$H1428,tblReceipts[Lot Number],"&lt;="&amp;Receipts!$C1431))</f>
        <v/>
      </c>
      <c r="K1428" s="26" t="str">
        <f>IF($A1428="","",SUMIFS(tblReceipts[Qty Received],tblReceipts[Item Name],$A1428,tblReceipts[Expiry Date],"&lt;"&amp;$H1428)+SUMIFS(tblReceipts[Qty Received],tblReceipts[Item Name],$A1428,tblReceipts[Expiry Date],$H1428,tblReceipts[Lot Number],"&lt;"&amp;Receipts!$C1431))</f>
        <v/>
      </c>
      <c r="L1428" s="26" t="str">
        <f>IF($A1428="","",MIN($D1428,MAX(0,SUMIFS(tblIssues[Qty Issued],tblIssues[Item Name],$A1428)-$K1428)))</f>
        <v/>
      </c>
      <c r="M1428" s="26" t="str">
        <f>IF($A1428="","",SUMIFS(tblIssues[Qty Issued],tblIssues[Lot Number],$B1428))</f>
        <v/>
      </c>
      <c r="N1428" s="26" t="str">
        <f t="shared" si="112"/>
        <v/>
      </c>
      <c r="O1428" s="26" t="str">
        <f t="shared" si="113"/>
        <v/>
      </c>
      <c r="P1428" s="21" t="str">
        <f t="shared" si="114"/>
        <v/>
      </c>
      <c r="Q1428" s="52" t="str">
        <f>IF($A1428="","",IF($O1428&lt;=0,"Depleted",IF($I1428&lt;0,"EXPIRED",IF($I1428&lt;=Settings!$C$6,"CRITICAL",IF($I1428&lt;=Settings!$C$5,"Expiring","In date")))))</f>
        <v/>
      </c>
    </row>
    <row r="1429" spans="1:17" x14ac:dyDescent="0.35">
      <c r="A1429" s="90" t="str">
        <f>IF(Receipts!$D1432="","",Receipts!$D1432)</f>
        <v/>
      </c>
      <c r="B1429" s="18" t="str">
        <f>IF(Receipts!$C1432="","",Receipts!$C1432)</f>
        <v/>
      </c>
      <c r="C1429" s="18" t="str">
        <f>IF($A1429="","",IFERROR(INDEX(Items!$B$5:$B$597,MATCH($A1429,Items!$A$5:$A$597,0)),""))</f>
        <v/>
      </c>
      <c r="D1429" s="23" t="str">
        <f>IF($A1429="","",N(Receipts!$G1432))</f>
        <v/>
      </c>
      <c r="E1429" s="20" t="str">
        <f>IF($A1429="","",IFERROR(INDEX(Items!$D$5:$D$597,MATCH($A1429,Items!$A$5:$A$597,0)),0))</f>
        <v/>
      </c>
      <c r="F1429" s="21" t="str">
        <f t="shared" si="110"/>
        <v/>
      </c>
      <c r="G1429" s="25" t="str">
        <f>IF(Receipts!$I1432="","",Receipts!$I1432)</f>
        <v/>
      </c>
      <c r="H1429" s="25" t="str">
        <f>IF(Receipts!$H1432="","",Receipts!$H1432)</f>
        <v/>
      </c>
      <c r="I1429" s="26" t="str">
        <f t="shared" ca="1" si="111"/>
        <v/>
      </c>
      <c r="J1429" s="26" t="str">
        <f>IF($A1429="","",COUNTIFS(tblReceipts[Item Name],$A1429,tblReceipts[Expiry Date],"&lt;"&amp;$H1429)+COUNTIFS(tblReceipts[Item Name],$A1429,tblReceipts[Expiry Date],$H1429,tblReceipts[Lot Number],"&lt;="&amp;Receipts!$C1432))</f>
        <v/>
      </c>
      <c r="K1429" s="26" t="str">
        <f>IF($A1429="","",SUMIFS(tblReceipts[Qty Received],tblReceipts[Item Name],$A1429,tblReceipts[Expiry Date],"&lt;"&amp;$H1429)+SUMIFS(tblReceipts[Qty Received],tblReceipts[Item Name],$A1429,tblReceipts[Expiry Date],$H1429,tblReceipts[Lot Number],"&lt;"&amp;Receipts!$C1432))</f>
        <v/>
      </c>
      <c r="L1429" s="26" t="str">
        <f>IF($A1429="","",MIN($D1429,MAX(0,SUMIFS(tblIssues[Qty Issued],tblIssues[Item Name],$A1429)-$K1429)))</f>
        <v/>
      </c>
      <c r="M1429" s="26" t="str">
        <f>IF($A1429="","",SUMIFS(tblIssues[Qty Issued],tblIssues[Lot Number],$B1429))</f>
        <v/>
      </c>
      <c r="N1429" s="26" t="str">
        <f t="shared" si="112"/>
        <v/>
      </c>
      <c r="O1429" s="26" t="str">
        <f t="shared" si="113"/>
        <v/>
      </c>
      <c r="P1429" s="21" t="str">
        <f t="shared" si="114"/>
        <v/>
      </c>
      <c r="Q1429" s="52" t="str">
        <f>IF($A1429="","",IF($O1429&lt;=0,"Depleted",IF($I1429&lt;0,"EXPIRED",IF($I1429&lt;=Settings!$C$6,"CRITICAL",IF($I1429&lt;=Settings!$C$5,"Expiring","In date")))))</f>
        <v/>
      </c>
    </row>
    <row r="1430" spans="1:17" x14ac:dyDescent="0.35">
      <c r="A1430" s="90" t="str">
        <f>IF(Receipts!$D1433="","",Receipts!$D1433)</f>
        <v/>
      </c>
      <c r="B1430" s="18" t="str">
        <f>IF(Receipts!$C1433="","",Receipts!$C1433)</f>
        <v/>
      </c>
      <c r="C1430" s="18" t="str">
        <f>IF($A1430="","",IFERROR(INDEX(Items!$B$5:$B$597,MATCH($A1430,Items!$A$5:$A$597,0)),""))</f>
        <v/>
      </c>
      <c r="D1430" s="23" t="str">
        <f>IF($A1430="","",N(Receipts!$G1433))</f>
        <v/>
      </c>
      <c r="E1430" s="20" t="str">
        <f>IF($A1430="","",IFERROR(INDEX(Items!$D$5:$D$597,MATCH($A1430,Items!$A$5:$A$597,0)),0))</f>
        <v/>
      </c>
      <c r="F1430" s="21" t="str">
        <f t="shared" si="110"/>
        <v/>
      </c>
      <c r="G1430" s="25" t="str">
        <f>IF(Receipts!$I1433="","",Receipts!$I1433)</f>
        <v/>
      </c>
      <c r="H1430" s="25" t="str">
        <f>IF(Receipts!$H1433="","",Receipts!$H1433)</f>
        <v/>
      </c>
      <c r="I1430" s="26" t="str">
        <f t="shared" ca="1" si="111"/>
        <v/>
      </c>
      <c r="J1430" s="26" t="str">
        <f>IF($A1430="","",COUNTIFS(tblReceipts[Item Name],$A1430,tblReceipts[Expiry Date],"&lt;"&amp;$H1430)+COUNTIFS(tblReceipts[Item Name],$A1430,tblReceipts[Expiry Date],$H1430,tblReceipts[Lot Number],"&lt;="&amp;Receipts!$C1433))</f>
        <v/>
      </c>
      <c r="K1430" s="26" t="str">
        <f>IF($A1430="","",SUMIFS(tblReceipts[Qty Received],tblReceipts[Item Name],$A1430,tblReceipts[Expiry Date],"&lt;"&amp;$H1430)+SUMIFS(tblReceipts[Qty Received],tblReceipts[Item Name],$A1430,tblReceipts[Expiry Date],$H1430,tblReceipts[Lot Number],"&lt;"&amp;Receipts!$C1433))</f>
        <v/>
      </c>
      <c r="L1430" s="26" t="str">
        <f>IF($A1430="","",MIN($D1430,MAX(0,SUMIFS(tblIssues[Qty Issued],tblIssues[Item Name],$A1430)-$K1430)))</f>
        <v/>
      </c>
      <c r="M1430" s="26" t="str">
        <f>IF($A1430="","",SUMIFS(tblIssues[Qty Issued],tblIssues[Lot Number],$B1430))</f>
        <v/>
      </c>
      <c r="N1430" s="26" t="str">
        <f t="shared" si="112"/>
        <v/>
      </c>
      <c r="O1430" s="26" t="str">
        <f t="shared" si="113"/>
        <v/>
      </c>
      <c r="P1430" s="21" t="str">
        <f t="shared" si="114"/>
        <v/>
      </c>
      <c r="Q1430" s="52" t="str">
        <f>IF($A1430="","",IF($O1430&lt;=0,"Depleted",IF($I1430&lt;0,"EXPIRED",IF($I1430&lt;=Settings!$C$6,"CRITICAL",IF($I1430&lt;=Settings!$C$5,"Expiring","In date")))))</f>
        <v/>
      </c>
    </row>
    <row r="1431" spans="1:17" x14ac:dyDescent="0.35">
      <c r="A1431" s="90" t="str">
        <f>IF(Receipts!$D1434="","",Receipts!$D1434)</f>
        <v/>
      </c>
      <c r="B1431" s="18" t="str">
        <f>IF(Receipts!$C1434="","",Receipts!$C1434)</f>
        <v/>
      </c>
      <c r="C1431" s="18" t="str">
        <f>IF($A1431="","",IFERROR(INDEX(Items!$B$5:$B$597,MATCH($A1431,Items!$A$5:$A$597,0)),""))</f>
        <v/>
      </c>
      <c r="D1431" s="23" t="str">
        <f>IF($A1431="","",N(Receipts!$G1434))</f>
        <v/>
      </c>
      <c r="E1431" s="20" t="str">
        <f>IF($A1431="","",IFERROR(INDEX(Items!$D$5:$D$597,MATCH($A1431,Items!$A$5:$A$597,0)),0))</f>
        <v/>
      </c>
      <c r="F1431" s="21" t="str">
        <f t="shared" si="110"/>
        <v/>
      </c>
      <c r="G1431" s="25" t="str">
        <f>IF(Receipts!$I1434="","",Receipts!$I1434)</f>
        <v/>
      </c>
      <c r="H1431" s="25" t="str">
        <f>IF(Receipts!$H1434="","",Receipts!$H1434)</f>
        <v/>
      </c>
      <c r="I1431" s="26" t="str">
        <f t="shared" ca="1" si="111"/>
        <v/>
      </c>
      <c r="J1431" s="26" t="str">
        <f>IF($A1431="","",COUNTIFS(tblReceipts[Item Name],$A1431,tblReceipts[Expiry Date],"&lt;"&amp;$H1431)+COUNTIFS(tblReceipts[Item Name],$A1431,tblReceipts[Expiry Date],$H1431,tblReceipts[Lot Number],"&lt;="&amp;Receipts!$C1434))</f>
        <v/>
      </c>
      <c r="K1431" s="26" t="str">
        <f>IF($A1431="","",SUMIFS(tblReceipts[Qty Received],tblReceipts[Item Name],$A1431,tblReceipts[Expiry Date],"&lt;"&amp;$H1431)+SUMIFS(tblReceipts[Qty Received],tblReceipts[Item Name],$A1431,tblReceipts[Expiry Date],$H1431,tblReceipts[Lot Number],"&lt;"&amp;Receipts!$C1434))</f>
        <v/>
      </c>
      <c r="L1431" s="26" t="str">
        <f>IF($A1431="","",MIN($D1431,MAX(0,SUMIFS(tblIssues[Qty Issued],tblIssues[Item Name],$A1431)-$K1431)))</f>
        <v/>
      </c>
      <c r="M1431" s="26" t="str">
        <f>IF($A1431="","",SUMIFS(tblIssues[Qty Issued],tblIssues[Lot Number],$B1431))</f>
        <v/>
      </c>
      <c r="N1431" s="26" t="str">
        <f t="shared" si="112"/>
        <v/>
      </c>
      <c r="O1431" s="26" t="str">
        <f t="shared" si="113"/>
        <v/>
      </c>
      <c r="P1431" s="21" t="str">
        <f t="shared" si="114"/>
        <v/>
      </c>
      <c r="Q1431" s="52" t="str">
        <f>IF($A1431="","",IF($O1431&lt;=0,"Depleted",IF($I1431&lt;0,"EXPIRED",IF($I1431&lt;=Settings!$C$6,"CRITICAL",IF($I1431&lt;=Settings!$C$5,"Expiring","In date")))))</f>
        <v/>
      </c>
    </row>
    <row r="1432" spans="1:17" x14ac:dyDescent="0.35">
      <c r="A1432" s="90" t="str">
        <f>IF(Receipts!$D1435="","",Receipts!$D1435)</f>
        <v/>
      </c>
      <c r="B1432" s="18" t="str">
        <f>IF(Receipts!$C1435="","",Receipts!$C1435)</f>
        <v/>
      </c>
      <c r="C1432" s="18" t="str">
        <f>IF($A1432="","",IFERROR(INDEX(Items!$B$5:$B$597,MATCH($A1432,Items!$A$5:$A$597,0)),""))</f>
        <v/>
      </c>
      <c r="D1432" s="23" t="str">
        <f>IF($A1432="","",N(Receipts!$G1435))</f>
        <v/>
      </c>
      <c r="E1432" s="20" t="str">
        <f>IF($A1432="","",IFERROR(INDEX(Items!$D$5:$D$597,MATCH($A1432,Items!$A$5:$A$597,0)),0))</f>
        <v/>
      </c>
      <c r="F1432" s="21" t="str">
        <f t="shared" si="110"/>
        <v/>
      </c>
      <c r="G1432" s="25" t="str">
        <f>IF(Receipts!$I1435="","",Receipts!$I1435)</f>
        <v/>
      </c>
      <c r="H1432" s="25" t="str">
        <f>IF(Receipts!$H1435="","",Receipts!$H1435)</f>
        <v/>
      </c>
      <c r="I1432" s="26" t="str">
        <f t="shared" ca="1" si="111"/>
        <v/>
      </c>
      <c r="J1432" s="26" t="str">
        <f>IF($A1432="","",COUNTIFS(tblReceipts[Item Name],$A1432,tblReceipts[Expiry Date],"&lt;"&amp;$H1432)+COUNTIFS(tblReceipts[Item Name],$A1432,tblReceipts[Expiry Date],$H1432,tblReceipts[Lot Number],"&lt;="&amp;Receipts!$C1435))</f>
        <v/>
      </c>
      <c r="K1432" s="26" t="str">
        <f>IF($A1432="","",SUMIFS(tblReceipts[Qty Received],tblReceipts[Item Name],$A1432,tblReceipts[Expiry Date],"&lt;"&amp;$H1432)+SUMIFS(tblReceipts[Qty Received],tblReceipts[Item Name],$A1432,tblReceipts[Expiry Date],$H1432,tblReceipts[Lot Number],"&lt;"&amp;Receipts!$C1435))</f>
        <v/>
      </c>
      <c r="L1432" s="26" t="str">
        <f>IF($A1432="","",MIN($D1432,MAX(0,SUMIFS(tblIssues[Qty Issued],tblIssues[Item Name],$A1432)-$K1432)))</f>
        <v/>
      </c>
      <c r="M1432" s="26" t="str">
        <f>IF($A1432="","",SUMIFS(tblIssues[Qty Issued],tblIssues[Lot Number],$B1432))</f>
        <v/>
      </c>
      <c r="N1432" s="26" t="str">
        <f t="shared" si="112"/>
        <v/>
      </c>
      <c r="O1432" s="26" t="str">
        <f t="shared" si="113"/>
        <v/>
      </c>
      <c r="P1432" s="21" t="str">
        <f t="shared" si="114"/>
        <v/>
      </c>
      <c r="Q1432" s="52" t="str">
        <f>IF($A1432="","",IF($O1432&lt;=0,"Depleted",IF($I1432&lt;0,"EXPIRED",IF($I1432&lt;=Settings!$C$6,"CRITICAL",IF($I1432&lt;=Settings!$C$5,"Expiring","In date")))))</f>
        <v/>
      </c>
    </row>
    <row r="1433" spans="1:17" x14ac:dyDescent="0.35">
      <c r="A1433" s="90" t="str">
        <f>IF(Receipts!$D1436="","",Receipts!$D1436)</f>
        <v/>
      </c>
      <c r="B1433" s="18" t="str">
        <f>IF(Receipts!$C1436="","",Receipts!$C1436)</f>
        <v/>
      </c>
      <c r="C1433" s="18" t="str">
        <f>IF($A1433="","",IFERROR(INDEX(Items!$B$5:$B$597,MATCH($A1433,Items!$A$5:$A$597,0)),""))</f>
        <v/>
      </c>
      <c r="D1433" s="23" t="str">
        <f>IF($A1433="","",N(Receipts!$G1436))</f>
        <v/>
      </c>
      <c r="E1433" s="20" t="str">
        <f>IF($A1433="","",IFERROR(INDEX(Items!$D$5:$D$597,MATCH($A1433,Items!$A$5:$A$597,0)),0))</f>
        <v/>
      </c>
      <c r="F1433" s="21" t="str">
        <f t="shared" si="110"/>
        <v/>
      </c>
      <c r="G1433" s="25" t="str">
        <f>IF(Receipts!$I1436="","",Receipts!$I1436)</f>
        <v/>
      </c>
      <c r="H1433" s="25" t="str">
        <f>IF(Receipts!$H1436="","",Receipts!$H1436)</f>
        <v/>
      </c>
      <c r="I1433" s="26" t="str">
        <f t="shared" ca="1" si="111"/>
        <v/>
      </c>
      <c r="J1433" s="26" t="str">
        <f>IF($A1433="","",COUNTIFS(tblReceipts[Item Name],$A1433,tblReceipts[Expiry Date],"&lt;"&amp;$H1433)+COUNTIFS(tblReceipts[Item Name],$A1433,tblReceipts[Expiry Date],$H1433,tblReceipts[Lot Number],"&lt;="&amp;Receipts!$C1436))</f>
        <v/>
      </c>
      <c r="K1433" s="26" t="str">
        <f>IF($A1433="","",SUMIFS(tblReceipts[Qty Received],tblReceipts[Item Name],$A1433,tblReceipts[Expiry Date],"&lt;"&amp;$H1433)+SUMIFS(tblReceipts[Qty Received],tblReceipts[Item Name],$A1433,tblReceipts[Expiry Date],$H1433,tblReceipts[Lot Number],"&lt;"&amp;Receipts!$C1436))</f>
        <v/>
      </c>
      <c r="L1433" s="26" t="str">
        <f>IF($A1433="","",MIN($D1433,MAX(0,SUMIFS(tblIssues[Qty Issued],tblIssues[Item Name],$A1433)-$K1433)))</f>
        <v/>
      </c>
      <c r="M1433" s="26" t="str">
        <f>IF($A1433="","",SUMIFS(tblIssues[Qty Issued],tblIssues[Lot Number],$B1433))</f>
        <v/>
      </c>
      <c r="N1433" s="26" t="str">
        <f t="shared" si="112"/>
        <v/>
      </c>
      <c r="O1433" s="26" t="str">
        <f t="shared" si="113"/>
        <v/>
      </c>
      <c r="P1433" s="21" t="str">
        <f t="shared" si="114"/>
        <v/>
      </c>
      <c r="Q1433" s="52" t="str">
        <f>IF($A1433="","",IF($O1433&lt;=0,"Depleted",IF($I1433&lt;0,"EXPIRED",IF($I1433&lt;=Settings!$C$6,"CRITICAL",IF($I1433&lt;=Settings!$C$5,"Expiring","In date")))))</f>
        <v/>
      </c>
    </row>
    <row r="1434" spans="1:17" x14ac:dyDescent="0.35">
      <c r="A1434" s="90" t="str">
        <f>IF(Receipts!$D1437="","",Receipts!$D1437)</f>
        <v/>
      </c>
      <c r="B1434" s="18" t="str">
        <f>IF(Receipts!$C1437="","",Receipts!$C1437)</f>
        <v/>
      </c>
      <c r="C1434" s="18" t="str">
        <f>IF($A1434="","",IFERROR(INDEX(Items!$B$5:$B$597,MATCH($A1434,Items!$A$5:$A$597,0)),""))</f>
        <v/>
      </c>
      <c r="D1434" s="23" t="str">
        <f>IF($A1434="","",N(Receipts!$G1437))</f>
        <v/>
      </c>
      <c r="E1434" s="20" t="str">
        <f>IF($A1434="","",IFERROR(INDEX(Items!$D$5:$D$597,MATCH($A1434,Items!$A$5:$A$597,0)),0))</f>
        <v/>
      </c>
      <c r="F1434" s="21" t="str">
        <f t="shared" si="110"/>
        <v/>
      </c>
      <c r="G1434" s="25" t="str">
        <f>IF(Receipts!$I1437="","",Receipts!$I1437)</f>
        <v/>
      </c>
      <c r="H1434" s="25" t="str">
        <f>IF(Receipts!$H1437="","",Receipts!$H1437)</f>
        <v/>
      </c>
      <c r="I1434" s="26" t="str">
        <f t="shared" ca="1" si="111"/>
        <v/>
      </c>
      <c r="J1434" s="26" t="str">
        <f>IF($A1434="","",COUNTIFS(tblReceipts[Item Name],$A1434,tblReceipts[Expiry Date],"&lt;"&amp;$H1434)+COUNTIFS(tblReceipts[Item Name],$A1434,tblReceipts[Expiry Date],$H1434,tblReceipts[Lot Number],"&lt;="&amp;Receipts!$C1437))</f>
        <v/>
      </c>
      <c r="K1434" s="26" t="str">
        <f>IF($A1434="","",SUMIFS(tblReceipts[Qty Received],tblReceipts[Item Name],$A1434,tblReceipts[Expiry Date],"&lt;"&amp;$H1434)+SUMIFS(tblReceipts[Qty Received],tblReceipts[Item Name],$A1434,tblReceipts[Expiry Date],$H1434,tblReceipts[Lot Number],"&lt;"&amp;Receipts!$C1437))</f>
        <v/>
      </c>
      <c r="L1434" s="26" t="str">
        <f>IF($A1434="","",MIN($D1434,MAX(0,SUMIFS(tblIssues[Qty Issued],tblIssues[Item Name],$A1434)-$K1434)))</f>
        <v/>
      </c>
      <c r="M1434" s="26" t="str">
        <f>IF($A1434="","",SUMIFS(tblIssues[Qty Issued],tblIssues[Lot Number],$B1434))</f>
        <v/>
      </c>
      <c r="N1434" s="26" t="str">
        <f t="shared" si="112"/>
        <v/>
      </c>
      <c r="O1434" s="26" t="str">
        <f t="shared" si="113"/>
        <v/>
      </c>
      <c r="P1434" s="21" t="str">
        <f t="shared" si="114"/>
        <v/>
      </c>
      <c r="Q1434" s="52" t="str">
        <f>IF($A1434="","",IF($O1434&lt;=0,"Depleted",IF($I1434&lt;0,"EXPIRED",IF($I1434&lt;=Settings!$C$6,"CRITICAL",IF($I1434&lt;=Settings!$C$5,"Expiring","In date")))))</f>
        <v/>
      </c>
    </row>
    <row r="1435" spans="1:17" x14ac:dyDescent="0.35">
      <c r="A1435" s="90" t="str">
        <f>IF(Receipts!$D1438="","",Receipts!$D1438)</f>
        <v/>
      </c>
      <c r="B1435" s="18" t="str">
        <f>IF(Receipts!$C1438="","",Receipts!$C1438)</f>
        <v/>
      </c>
      <c r="C1435" s="18" t="str">
        <f>IF($A1435="","",IFERROR(INDEX(Items!$B$5:$B$597,MATCH($A1435,Items!$A$5:$A$597,0)),""))</f>
        <v/>
      </c>
      <c r="D1435" s="23" t="str">
        <f>IF($A1435="","",N(Receipts!$G1438))</f>
        <v/>
      </c>
      <c r="E1435" s="20" t="str">
        <f>IF($A1435="","",IFERROR(INDEX(Items!$D$5:$D$597,MATCH($A1435,Items!$A$5:$A$597,0)),0))</f>
        <v/>
      </c>
      <c r="F1435" s="21" t="str">
        <f t="shared" si="110"/>
        <v/>
      </c>
      <c r="G1435" s="25" t="str">
        <f>IF(Receipts!$I1438="","",Receipts!$I1438)</f>
        <v/>
      </c>
      <c r="H1435" s="25" t="str">
        <f>IF(Receipts!$H1438="","",Receipts!$H1438)</f>
        <v/>
      </c>
      <c r="I1435" s="26" t="str">
        <f t="shared" ca="1" si="111"/>
        <v/>
      </c>
      <c r="J1435" s="26" t="str">
        <f>IF($A1435="","",COUNTIFS(tblReceipts[Item Name],$A1435,tblReceipts[Expiry Date],"&lt;"&amp;$H1435)+COUNTIFS(tblReceipts[Item Name],$A1435,tblReceipts[Expiry Date],$H1435,tblReceipts[Lot Number],"&lt;="&amp;Receipts!$C1438))</f>
        <v/>
      </c>
      <c r="K1435" s="26" t="str">
        <f>IF($A1435="","",SUMIFS(tblReceipts[Qty Received],tblReceipts[Item Name],$A1435,tblReceipts[Expiry Date],"&lt;"&amp;$H1435)+SUMIFS(tblReceipts[Qty Received],tblReceipts[Item Name],$A1435,tblReceipts[Expiry Date],$H1435,tblReceipts[Lot Number],"&lt;"&amp;Receipts!$C1438))</f>
        <v/>
      </c>
      <c r="L1435" s="26" t="str">
        <f>IF($A1435="","",MIN($D1435,MAX(0,SUMIFS(tblIssues[Qty Issued],tblIssues[Item Name],$A1435)-$K1435)))</f>
        <v/>
      </c>
      <c r="M1435" s="26" t="str">
        <f>IF($A1435="","",SUMIFS(tblIssues[Qty Issued],tblIssues[Lot Number],$B1435))</f>
        <v/>
      </c>
      <c r="N1435" s="26" t="str">
        <f t="shared" si="112"/>
        <v/>
      </c>
      <c r="O1435" s="26" t="str">
        <f t="shared" si="113"/>
        <v/>
      </c>
      <c r="P1435" s="21" t="str">
        <f t="shared" si="114"/>
        <v/>
      </c>
      <c r="Q1435" s="52" t="str">
        <f>IF($A1435="","",IF($O1435&lt;=0,"Depleted",IF($I1435&lt;0,"EXPIRED",IF($I1435&lt;=Settings!$C$6,"CRITICAL",IF($I1435&lt;=Settings!$C$5,"Expiring","In date")))))</f>
        <v/>
      </c>
    </row>
    <row r="1436" spans="1:17" x14ac:dyDescent="0.35">
      <c r="A1436" s="90" t="str">
        <f>IF(Receipts!$D1439="","",Receipts!$D1439)</f>
        <v/>
      </c>
      <c r="B1436" s="18" t="str">
        <f>IF(Receipts!$C1439="","",Receipts!$C1439)</f>
        <v/>
      </c>
      <c r="C1436" s="18" t="str">
        <f>IF($A1436="","",IFERROR(INDEX(Items!$B$5:$B$597,MATCH($A1436,Items!$A$5:$A$597,0)),""))</f>
        <v/>
      </c>
      <c r="D1436" s="23" t="str">
        <f>IF($A1436="","",N(Receipts!$G1439))</f>
        <v/>
      </c>
      <c r="E1436" s="20" t="str">
        <f>IF($A1436="","",IFERROR(INDEX(Items!$D$5:$D$597,MATCH($A1436,Items!$A$5:$A$597,0)),0))</f>
        <v/>
      </c>
      <c r="F1436" s="21" t="str">
        <f t="shared" si="110"/>
        <v/>
      </c>
      <c r="G1436" s="25" t="str">
        <f>IF(Receipts!$I1439="","",Receipts!$I1439)</f>
        <v/>
      </c>
      <c r="H1436" s="25" t="str">
        <f>IF(Receipts!$H1439="","",Receipts!$H1439)</f>
        <v/>
      </c>
      <c r="I1436" s="26" t="str">
        <f t="shared" ca="1" si="111"/>
        <v/>
      </c>
      <c r="J1436" s="26" t="str">
        <f>IF($A1436="","",COUNTIFS(tblReceipts[Item Name],$A1436,tblReceipts[Expiry Date],"&lt;"&amp;$H1436)+COUNTIFS(tblReceipts[Item Name],$A1436,tblReceipts[Expiry Date],$H1436,tblReceipts[Lot Number],"&lt;="&amp;Receipts!$C1439))</f>
        <v/>
      </c>
      <c r="K1436" s="26" t="str">
        <f>IF($A1436="","",SUMIFS(tblReceipts[Qty Received],tblReceipts[Item Name],$A1436,tblReceipts[Expiry Date],"&lt;"&amp;$H1436)+SUMIFS(tblReceipts[Qty Received],tblReceipts[Item Name],$A1436,tblReceipts[Expiry Date],$H1436,tblReceipts[Lot Number],"&lt;"&amp;Receipts!$C1439))</f>
        <v/>
      </c>
      <c r="L1436" s="26" t="str">
        <f>IF($A1436="","",MIN($D1436,MAX(0,SUMIFS(tblIssues[Qty Issued],tblIssues[Item Name],$A1436)-$K1436)))</f>
        <v/>
      </c>
      <c r="M1436" s="26" t="str">
        <f>IF($A1436="","",SUMIFS(tblIssues[Qty Issued],tblIssues[Lot Number],$B1436))</f>
        <v/>
      </c>
      <c r="N1436" s="26" t="str">
        <f t="shared" si="112"/>
        <v/>
      </c>
      <c r="O1436" s="26" t="str">
        <f t="shared" si="113"/>
        <v/>
      </c>
      <c r="P1436" s="21" t="str">
        <f t="shared" si="114"/>
        <v/>
      </c>
      <c r="Q1436" s="52" t="str">
        <f>IF($A1436="","",IF($O1436&lt;=0,"Depleted",IF($I1436&lt;0,"EXPIRED",IF($I1436&lt;=Settings!$C$6,"CRITICAL",IF($I1436&lt;=Settings!$C$5,"Expiring","In date")))))</f>
        <v/>
      </c>
    </row>
    <row r="1437" spans="1:17" x14ac:dyDescent="0.35">
      <c r="A1437" s="90" t="str">
        <f>IF(Receipts!$D1440="","",Receipts!$D1440)</f>
        <v/>
      </c>
      <c r="B1437" s="18" t="str">
        <f>IF(Receipts!$C1440="","",Receipts!$C1440)</f>
        <v/>
      </c>
      <c r="C1437" s="18" t="str">
        <f>IF($A1437="","",IFERROR(INDEX(Items!$B$5:$B$597,MATCH($A1437,Items!$A$5:$A$597,0)),""))</f>
        <v/>
      </c>
      <c r="D1437" s="23" t="str">
        <f>IF($A1437="","",N(Receipts!$G1440))</f>
        <v/>
      </c>
      <c r="E1437" s="20" t="str">
        <f>IF($A1437="","",IFERROR(INDEX(Items!$D$5:$D$597,MATCH($A1437,Items!$A$5:$A$597,0)),0))</f>
        <v/>
      </c>
      <c r="F1437" s="21" t="str">
        <f t="shared" si="110"/>
        <v/>
      </c>
      <c r="G1437" s="25" t="str">
        <f>IF(Receipts!$I1440="","",Receipts!$I1440)</f>
        <v/>
      </c>
      <c r="H1437" s="25" t="str">
        <f>IF(Receipts!$H1440="","",Receipts!$H1440)</f>
        <v/>
      </c>
      <c r="I1437" s="26" t="str">
        <f t="shared" ca="1" si="111"/>
        <v/>
      </c>
      <c r="J1437" s="26" t="str">
        <f>IF($A1437="","",COUNTIFS(tblReceipts[Item Name],$A1437,tblReceipts[Expiry Date],"&lt;"&amp;$H1437)+COUNTIFS(tblReceipts[Item Name],$A1437,tblReceipts[Expiry Date],$H1437,tblReceipts[Lot Number],"&lt;="&amp;Receipts!$C1440))</f>
        <v/>
      </c>
      <c r="K1437" s="26" t="str">
        <f>IF($A1437="","",SUMIFS(tblReceipts[Qty Received],tblReceipts[Item Name],$A1437,tblReceipts[Expiry Date],"&lt;"&amp;$H1437)+SUMIFS(tblReceipts[Qty Received],tblReceipts[Item Name],$A1437,tblReceipts[Expiry Date],$H1437,tblReceipts[Lot Number],"&lt;"&amp;Receipts!$C1440))</f>
        <v/>
      </c>
      <c r="L1437" s="26" t="str">
        <f>IF($A1437="","",MIN($D1437,MAX(0,SUMIFS(tblIssues[Qty Issued],tblIssues[Item Name],$A1437)-$K1437)))</f>
        <v/>
      </c>
      <c r="M1437" s="26" t="str">
        <f>IF($A1437="","",SUMIFS(tblIssues[Qty Issued],tblIssues[Lot Number],$B1437))</f>
        <v/>
      </c>
      <c r="N1437" s="26" t="str">
        <f t="shared" si="112"/>
        <v/>
      </c>
      <c r="O1437" s="26" t="str">
        <f t="shared" si="113"/>
        <v/>
      </c>
      <c r="P1437" s="21" t="str">
        <f t="shared" si="114"/>
        <v/>
      </c>
      <c r="Q1437" s="52" t="str">
        <f>IF($A1437="","",IF($O1437&lt;=0,"Depleted",IF($I1437&lt;0,"EXPIRED",IF($I1437&lt;=Settings!$C$6,"CRITICAL",IF($I1437&lt;=Settings!$C$5,"Expiring","In date")))))</f>
        <v/>
      </c>
    </row>
    <row r="1438" spans="1:17" x14ac:dyDescent="0.35">
      <c r="A1438" s="90" t="str">
        <f>IF(Receipts!$D1441="","",Receipts!$D1441)</f>
        <v/>
      </c>
      <c r="B1438" s="18" t="str">
        <f>IF(Receipts!$C1441="","",Receipts!$C1441)</f>
        <v/>
      </c>
      <c r="C1438" s="18" t="str">
        <f>IF($A1438="","",IFERROR(INDEX(Items!$B$5:$B$597,MATCH($A1438,Items!$A$5:$A$597,0)),""))</f>
        <v/>
      </c>
      <c r="D1438" s="23" t="str">
        <f>IF($A1438="","",N(Receipts!$G1441))</f>
        <v/>
      </c>
      <c r="E1438" s="20" t="str">
        <f>IF($A1438="","",IFERROR(INDEX(Items!$D$5:$D$597,MATCH($A1438,Items!$A$5:$A$597,0)),0))</f>
        <v/>
      </c>
      <c r="F1438" s="21" t="str">
        <f t="shared" si="110"/>
        <v/>
      </c>
      <c r="G1438" s="25" t="str">
        <f>IF(Receipts!$I1441="","",Receipts!$I1441)</f>
        <v/>
      </c>
      <c r="H1438" s="25" t="str">
        <f>IF(Receipts!$H1441="","",Receipts!$H1441)</f>
        <v/>
      </c>
      <c r="I1438" s="26" t="str">
        <f t="shared" ca="1" si="111"/>
        <v/>
      </c>
      <c r="J1438" s="26" t="str">
        <f>IF($A1438="","",COUNTIFS(tblReceipts[Item Name],$A1438,tblReceipts[Expiry Date],"&lt;"&amp;$H1438)+COUNTIFS(tblReceipts[Item Name],$A1438,tblReceipts[Expiry Date],$H1438,tblReceipts[Lot Number],"&lt;="&amp;Receipts!$C1441))</f>
        <v/>
      </c>
      <c r="K1438" s="26" t="str">
        <f>IF($A1438="","",SUMIFS(tblReceipts[Qty Received],tblReceipts[Item Name],$A1438,tblReceipts[Expiry Date],"&lt;"&amp;$H1438)+SUMIFS(tblReceipts[Qty Received],tblReceipts[Item Name],$A1438,tblReceipts[Expiry Date],$H1438,tblReceipts[Lot Number],"&lt;"&amp;Receipts!$C1441))</f>
        <v/>
      </c>
      <c r="L1438" s="26" t="str">
        <f>IF($A1438="","",MIN($D1438,MAX(0,SUMIFS(tblIssues[Qty Issued],tblIssues[Item Name],$A1438)-$K1438)))</f>
        <v/>
      </c>
      <c r="M1438" s="26" t="str">
        <f>IF($A1438="","",SUMIFS(tblIssues[Qty Issued],tblIssues[Lot Number],$B1438))</f>
        <v/>
      </c>
      <c r="N1438" s="26" t="str">
        <f t="shared" si="112"/>
        <v/>
      </c>
      <c r="O1438" s="26" t="str">
        <f t="shared" si="113"/>
        <v/>
      </c>
      <c r="P1438" s="21" t="str">
        <f t="shared" si="114"/>
        <v/>
      </c>
      <c r="Q1438" s="52" t="str">
        <f>IF($A1438="","",IF($O1438&lt;=0,"Depleted",IF($I1438&lt;0,"EXPIRED",IF($I1438&lt;=Settings!$C$6,"CRITICAL",IF($I1438&lt;=Settings!$C$5,"Expiring","In date")))))</f>
        <v/>
      </c>
    </row>
    <row r="1439" spans="1:17" x14ac:dyDescent="0.35">
      <c r="A1439" s="90" t="str">
        <f>IF(Receipts!$D1442="","",Receipts!$D1442)</f>
        <v/>
      </c>
      <c r="B1439" s="18" t="str">
        <f>IF(Receipts!$C1442="","",Receipts!$C1442)</f>
        <v/>
      </c>
      <c r="C1439" s="18" t="str">
        <f>IF($A1439="","",IFERROR(INDEX(Items!$B$5:$B$597,MATCH($A1439,Items!$A$5:$A$597,0)),""))</f>
        <v/>
      </c>
      <c r="D1439" s="23" t="str">
        <f>IF($A1439="","",N(Receipts!$G1442))</f>
        <v/>
      </c>
      <c r="E1439" s="20" t="str">
        <f>IF($A1439="","",IFERROR(INDEX(Items!$D$5:$D$597,MATCH($A1439,Items!$A$5:$A$597,0)),0))</f>
        <v/>
      </c>
      <c r="F1439" s="21" t="str">
        <f t="shared" si="110"/>
        <v/>
      </c>
      <c r="G1439" s="25" t="str">
        <f>IF(Receipts!$I1442="","",Receipts!$I1442)</f>
        <v/>
      </c>
      <c r="H1439" s="25" t="str">
        <f>IF(Receipts!$H1442="","",Receipts!$H1442)</f>
        <v/>
      </c>
      <c r="I1439" s="26" t="str">
        <f t="shared" ca="1" si="111"/>
        <v/>
      </c>
      <c r="J1439" s="26" t="str">
        <f>IF($A1439="","",COUNTIFS(tblReceipts[Item Name],$A1439,tblReceipts[Expiry Date],"&lt;"&amp;$H1439)+COUNTIFS(tblReceipts[Item Name],$A1439,tblReceipts[Expiry Date],$H1439,tblReceipts[Lot Number],"&lt;="&amp;Receipts!$C1442))</f>
        <v/>
      </c>
      <c r="K1439" s="26" t="str">
        <f>IF($A1439="","",SUMIFS(tblReceipts[Qty Received],tblReceipts[Item Name],$A1439,tblReceipts[Expiry Date],"&lt;"&amp;$H1439)+SUMIFS(tblReceipts[Qty Received],tblReceipts[Item Name],$A1439,tblReceipts[Expiry Date],$H1439,tblReceipts[Lot Number],"&lt;"&amp;Receipts!$C1442))</f>
        <v/>
      </c>
      <c r="L1439" s="26" t="str">
        <f>IF($A1439="","",MIN($D1439,MAX(0,SUMIFS(tblIssues[Qty Issued],tblIssues[Item Name],$A1439)-$K1439)))</f>
        <v/>
      </c>
      <c r="M1439" s="26" t="str">
        <f>IF($A1439="","",SUMIFS(tblIssues[Qty Issued],tblIssues[Lot Number],$B1439))</f>
        <v/>
      </c>
      <c r="N1439" s="26" t="str">
        <f t="shared" si="112"/>
        <v/>
      </c>
      <c r="O1439" s="26" t="str">
        <f t="shared" si="113"/>
        <v/>
      </c>
      <c r="P1439" s="21" t="str">
        <f t="shared" si="114"/>
        <v/>
      </c>
      <c r="Q1439" s="52" t="str">
        <f>IF($A1439="","",IF($O1439&lt;=0,"Depleted",IF($I1439&lt;0,"EXPIRED",IF($I1439&lt;=Settings!$C$6,"CRITICAL",IF($I1439&lt;=Settings!$C$5,"Expiring","In date")))))</f>
        <v/>
      </c>
    </row>
    <row r="1440" spans="1:17" x14ac:dyDescent="0.35">
      <c r="A1440" s="90" t="str">
        <f>IF(Receipts!$D1443="","",Receipts!$D1443)</f>
        <v/>
      </c>
      <c r="B1440" s="18" t="str">
        <f>IF(Receipts!$C1443="","",Receipts!$C1443)</f>
        <v/>
      </c>
      <c r="C1440" s="18" t="str">
        <f>IF($A1440="","",IFERROR(INDEX(Items!$B$5:$B$597,MATCH($A1440,Items!$A$5:$A$597,0)),""))</f>
        <v/>
      </c>
      <c r="D1440" s="23" t="str">
        <f>IF($A1440="","",N(Receipts!$G1443))</f>
        <v/>
      </c>
      <c r="E1440" s="20" t="str">
        <f>IF($A1440="","",IFERROR(INDEX(Items!$D$5:$D$597,MATCH($A1440,Items!$A$5:$A$597,0)),0))</f>
        <v/>
      </c>
      <c r="F1440" s="21" t="str">
        <f t="shared" si="110"/>
        <v/>
      </c>
      <c r="G1440" s="25" t="str">
        <f>IF(Receipts!$I1443="","",Receipts!$I1443)</f>
        <v/>
      </c>
      <c r="H1440" s="25" t="str">
        <f>IF(Receipts!$H1443="","",Receipts!$H1443)</f>
        <v/>
      </c>
      <c r="I1440" s="26" t="str">
        <f t="shared" ca="1" si="111"/>
        <v/>
      </c>
      <c r="J1440" s="26" t="str">
        <f>IF($A1440="","",COUNTIFS(tblReceipts[Item Name],$A1440,tblReceipts[Expiry Date],"&lt;"&amp;$H1440)+COUNTIFS(tblReceipts[Item Name],$A1440,tblReceipts[Expiry Date],$H1440,tblReceipts[Lot Number],"&lt;="&amp;Receipts!$C1443))</f>
        <v/>
      </c>
      <c r="K1440" s="26" t="str">
        <f>IF($A1440="","",SUMIFS(tblReceipts[Qty Received],tblReceipts[Item Name],$A1440,tblReceipts[Expiry Date],"&lt;"&amp;$H1440)+SUMIFS(tblReceipts[Qty Received],tblReceipts[Item Name],$A1440,tblReceipts[Expiry Date],$H1440,tblReceipts[Lot Number],"&lt;"&amp;Receipts!$C1443))</f>
        <v/>
      </c>
      <c r="L1440" s="26" t="str">
        <f>IF($A1440="","",MIN($D1440,MAX(0,SUMIFS(tblIssues[Qty Issued],tblIssues[Item Name],$A1440)-$K1440)))</f>
        <v/>
      </c>
      <c r="M1440" s="26" t="str">
        <f>IF($A1440="","",SUMIFS(tblIssues[Qty Issued],tblIssues[Lot Number],$B1440))</f>
        <v/>
      </c>
      <c r="N1440" s="26" t="str">
        <f t="shared" si="112"/>
        <v/>
      </c>
      <c r="O1440" s="26" t="str">
        <f t="shared" si="113"/>
        <v/>
      </c>
      <c r="P1440" s="21" t="str">
        <f t="shared" si="114"/>
        <v/>
      </c>
      <c r="Q1440" s="52" t="str">
        <f>IF($A1440="","",IF($O1440&lt;=0,"Depleted",IF($I1440&lt;0,"EXPIRED",IF($I1440&lt;=Settings!$C$6,"CRITICAL",IF($I1440&lt;=Settings!$C$5,"Expiring","In date")))))</f>
        <v/>
      </c>
    </row>
    <row r="1441" spans="1:17" x14ac:dyDescent="0.35">
      <c r="A1441" s="90" t="str">
        <f>IF(Receipts!$D1444="","",Receipts!$D1444)</f>
        <v/>
      </c>
      <c r="B1441" s="18" t="str">
        <f>IF(Receipts!$C1444="","",Receipts!$C1444)</f>
        <v/>
      </c>
      <c r="C1441" s="18" t="str">
        <f>IF($A1441="","",IFERROR(INDEX(Items!$B$5:$B$597,MATCH($A1441,Items!$A$5:$A$597,0)),""))</f>
        <v/>
      </c>
      <c r="D1441" s="23" t="str">
        <f>IF($A1441="","",N(Receipts!$G1444))</f>
        <v/>
      </c>
      <c r="E1441" s="20" t="str">
        <f>IF($A1441="","",IFERROR(INDEX(Items!$D$5:$D$597,MATCH($A1441,Items!$A$5:$A$597,0)),0))</f>
        <v/>
      </c>
      <c r="F1441" s="21" t="str">
        <f t="shared" si="110"/>
        <v/>
      </c>
      <c r="G1441" s="25" t="str">
        <f>IF(Receipts!$I1444="","",Receipts!$I1444)</f>
        <v/>
      </c>
      <c r="H1441" s="25" t="str">
        <f>IF(Receipts!$H1444="","",Receipts!$H1444)</f>
        <v/>
      </c>
      <c r="I1441" s="26" t="str">
        <f t="shared" ca="1" si="111"/>
        <v/>
      </c>
      <c r="J1441" s="26" t="str">
        <f>IF($A1441="","",COUNTIFS(tblReceipts[Item Name],$A1441,tblReceipts[Expiry Date],"&lt;"&amp;$H1441)+COUNTIFS(tblReceipts[Item Name],$A1441,tblReceipts[Expiry Date],$H1441,tblReceipts[Lot Number],"&lt;="&amp;Receipts!$C1444))</f>
        <v/>
      </c>
      <c r="K1441" s="26" t="str">
        <f>IF($A1441="","",SUMIFS(tblReceipts[Qty Received],tblReceipts[Item Name],$A1441,tblReceipts[Expiry Date],"&lt;"&amp;$H1441)+SUMIFS(tblReceipts[Qty Received],tblReceipts[Item Name],$A1441,tblReceipts[Expiry Date],$H1441,tblReceipts[Lot Number],"&lt;"&amp;Receipts!$C1444))</f>
        <v/>
      </c>
      <c r="L1441" s="26" t="str">
        <f>IF($A1441="","",MIN($D1441,MAX(0,SUMIFS(tblIssues[Qty Issued],tblIssues[Item Name],$A1441)-$K1441)))</f>
        <v/>
      </c>
      <c r="M1441" s="26" t="str">
        <f>IF($A1441="","",SUMIFS(tblIssues[Qty Issued],tblIssues[Lot Number],$B1441))</f>
        <v/>
      </c>
      <c r="N1441" s="26" t="str">
        <f t="shared" si="112"/>
        <v/>
      </c>
      <c r="O1441" s="26" t="str">
        <f t="shared" si="113"/>
        <v/>
      </c>
      <c r="P1441" s="21" t="str">
        <f t="shared" si="114"/>
        <v/>
      </c>
      <c r="Q1441" s="52" t="str">
        <f>IF($A1441="","",IF($O1441&lt;=0,"Depleted",IF($I1441&lt;0,"EXPIRED",IF($I1441&lt;=Settings!$C$6,"CRITICAL",IF($I1441&lt;=Settings!$C$5,"Expiring","In date")))))</f>
        <v/>
      </c>
    </row>
    <row r="1442" spans="1:17" x14ac:dyDescent="0.35">
      <c r="A1442" s="90" t="str">
        <f>IF(Receipts!$D1445="","",Receipts!$D1445)</f>
        <v/>
      </c>
      <c r="B1442" s="18" t="str">
        <f>IF(Receipts!$C1445="","",Receipts!$C1445)</f>
        <v/>
      </c>
      <c r="C1442" s="18" t="str">
        <f>IF($A1442="","",IFERROR(INDEX(Items!$B$5:$B$597,MATCH($A1442,Items!$A$5:$A$597,0)),""))</f>
        <v/>
      </c>
      <c r="D1442" s="23" t="str">
        <f>IF($A1442="","",N(Receipts!$G1445))</f>
        <v/>
      </c>
      <c r="E1442" s="20" t="str">
        <f>IF($A1442="","",IFERROR(INDEX(Items!$D$5:$D$597,MATCH($A1442,Items!$A$5:$A$597,0)),0))</f>
        <v/>
      </c>
      <c r="F1442" s="21" t="str">
        <f t="shared" si="110"/>
        <v/>
      </c>
      <c r="G1442" s="25" t="str">
        <f>IF(Receipts!$I1445="","",Receipts!$I1445)</f>
        <v/>
      </c>
      <c r="H1442" s="25" t="str">
        <f>IF(Receipts!$H1445="","",Receipts!$H1445)</f>
        <v/>
      </c>
      <c r="I1442" s="26" t="str">
        <f t="shared" ca="1" si="111"/>
        <v/>
      </c>
      <c r="J1442" s="26" t="str">
        <f>IF($A1442="","",COUNTIFS(tblReceipts[Item Name],$A1442,tblReceipts[Expiry Date],"&lt;"&amp;$H1442)+COUNTIFS(tblReceipts[Item Name],$A1442,tblReceipts[Expiry Date],$H1442,tblReceipts[Lot Number],"&lt;="&amp;Receipts!$C1445))</f>
        <v/>
      </c>
      <c r="K1442" s="26" t="str">
        <f>IF($A1442="","",SUMIFS(tblReceipts[Qty Received],tblReceipts[Item Name],$A1442,tblReceipts[Expiry Date],"&lt;"&amp;$H1442)+SUMIFS(tblReceipts[Qty Received],tblReceipts[Item Name],$A1442,tblReceipts[Expiry Date],$H1442,tblReceipts[Lot Number],"&lt;"&amp;Receipts!$C1445))</f>
        <v/>
      </c>
      <c r="L1442" s="26" t="str">
        <f>IF($A1442="","",MIN($D1442,MAX(0,SUMIFS(tblIssues[Qty Issued],tblIssues[Item Name],$A1442)-$K1442)))</f>
        <v/>
      </c>
      <c r="M1442" s="26" t="str">
        <f>IF($A1442="","",SUMIFS(tblIssues[Qty Issued],tblIssues[Lot Number],$B1442))</f>
        <v/>
      </c>
      <c r="N1442" s="26" t="str">
        <f t="shared" si="112"/>
        <v/>
      </c>
      <c r="O1442" s="26" t="str">
        <f t="shared" si="113"/>
        <v/>
      </c>
      <c r="P1442" s="21" t="str">
        <f t="shared" si="114"/>
        <v/>
      </c>
      <c r="Q1442" s="52" t="str">
        <f>IF($A1442="","",IF($O1442&lt;=0,"Depleted",IF($I1442&lt;0,"EXPIRED",IF($I1442&lt;=Settings!$C$6,"CRITICAL",IF($I1442&lt;=Settings!$C$5,"Expiring","In date")))))</f>
        <v/>
      </c>
    </row>
    <row r="1443" spans="1:17" x14ac:dyDescent="0.35">
      <c r="A1443" s="90" t="str">
        <f>IF(Receipts!$D1446="","",Receipts!$D1446)</f>
        <v/>
      </c>
      <c r="B1443" s="18" t="str">
        <f>IF(Receipts!$C1446="","",Receipts!$C1446)</f>
        <v/>
      </c>
      <c r="C1443" s="18" t="str">
        <f>IF($A1443="","",IFERROR(INDEX(Items!$B$5:$B$597,MATCH($A1443,Items!$A$5:$A$597,0)),""))</f>
        <v/>
      </c>
      <c r="D1443" s="23" t="str">
        <f>IF($A1443="","",N(Receipts!$G1446))</f>
        <v/>
      </c>
      <c r="E1443" s="20" t="str">
        <f>IF($A1443="","",IFERROR(INDEX(Items!$D$5:$D$597,MATCH($A1443,Items!$A$5:$A$597,0)),0))</f>
        <v/>
      </c>
      <c r="F1443" s="21" t="str">
        <f t="shared" si="110"/>
        <v/>
      </c>
      <c r="G1443" s="25" t="str">
        <f>IF(Receipts!$I1446="","",Receipts!$I1446)</f>
        <v/>
      </c>
      <c r="H1443" s="25" t="str">
        <f>IF(Receipts!$H1446="","",Receipts!$H1446)</f>
        <v/>
      </c>
      <c r="I1443" s="26" t="str">
        <f t="shared" ca="1" si="111"/>
        <v/>
      </c>
      <c r="J1443" s="26" t="str">
        <f>IF($A1443="","",COUNTIFS(tblReceipts[Item Name],$A1443,tblReceipts[Expiry Date],"&lt;"&amp;$H1443)+COUNTIFS(tblReceipts[Item Name],$A1443,tblReceipts[Expiry Date],$H1443,tblReceipts[Lot Number],"&lt;="&amp;Receipts!$C1446))</f>
        <v/>
      </c>
      <c r="K1443" s="26" t="str">
        <f>IF($A1443="","",SUMIFS(tblReceipts[Qty Received],tblReceipts[Item Name],$A1443,tblReceipts[Expiry Date],"&lt;"&amp;$H1443)+SUMIFS(tblReceipts[Qty Received],tblReceipts[Item Name],$A1443,tblReceipts[Expiry Date],$H1443,tblReceipts[Lot Number],"&lt;"&amp;Receipts!$C1446))</f>
        <v/>
      </c>
      <c r="L1443" s="26" t="str">
        <f>IF($A1443="","",MIN($D1443,MAX(0,SUMIFS(tblIssues[Qty Issued],tblIssues[Item Name],$A1443)-$K1443)))</f>
        <v/>
      </c>
      <c r="M1443" s="26" t="str">
        <f>IF($A1443="","",SUMIFS(tblIssues[Qty Issued],tblIssues[Lot Number],$B1443))</f>
        <v/>
      </c>
      <c r="N1443" s="26" t="str">
        <f t="shared" si="112"/>
        <v/>
      </c>
      <c r="O1443" s="26" t="str">
        <f t="shared" si="113"/>
        <v/>
      </c>
      <c r="P1443" s="21" t="str">
        <f t="shared" si="114"/>
        <v/>
      </c>
      <c r="Q1443" s="52" t="str">
        <f>IF($A1443="","",IF($O1443&lt;=0,"Depleted",IF($I1443&lt;0,"EXPIRED",IF($I1443&lt;=Settings!$C$6,"CRITICAL",IF($I1443&lt;=Settings!$C$5,"Expiring","In date")))))</f>
        <v/>
      </c>
    </row>
    <row r="1444" spans="1:17" x14ac:dyDescent="0.35">
      <c r="A1444" s="90" t="str">
        <f>IF(Receipts!$D1447="","",Receipts!$D1447)</f>
        <v/>
      </c>
      <c r="B1444" s="18" t="str">
        <f>IF(Receipts!$C1447="","",Receipts!$C1447)</f>
        <v/>
      </c>
      <c r="C1444" s="18" t="str">
        <f>IF($A1444="","",IFERROR(INDEX(Items!$B$5:$B$597,MATCH($A1444,Items!$A$5:$A$597,0)),""))</f>
        <v/>
      </c>
      <c r="D1444" s="23" t="str">
        <f>IF($A1444="","",N(Receipts!$G1447))</f>
        <v/>
      </c>
      <c r="E1444" s="20" t="str">
        <f>IF($A1444="","",IFERROR(INDEX(Items!$D$5:$D$597,MATCH($A1444,Items!$A$5:$A$597,0)),0))</f>
        <v/>
      </c>
      <c r="F1444" s="21" t="str">
        <f t="shared" si="110"/>
        <v/>
      </c>
      <c r="G1444" s="25" t="str">
        <f>IF(Receipts!$I1447="","",Receipts!$I1447)</f>
        <v/>
      </c>
      <c r="H1444" s="25" t="str">
        <f>IF(Receipts!$H1447="","",Receipts!$H1447)</f>
        <v/>
      </c>
      <c r="I1444" s="26" t="str">
        <f t="shared" ca="1" si="111"/>
        <v/>
      </c>
      <c r="J1444" s="26" t="str">
        <f>IF($A1444="","",COUNTIFS(tblReceipts[Item Name],$A1444,tblReceipts[Expiry Date],"&lt;"&amp;$H1444)+COUNTIFS(tblReceipts[Item Name],$A1444,tblReceipts[Expiry Date],$H1444,tblReceipts[Lot Number],"&lt;="&amp;Receipts!$C1447))</f>
        <v/>
      </c>
      <c r="K1444" s="26" t="str">
        <f>IF($A1444="","",SUMIFS(tblReceipts[Qty Received],tblReceipts[Item Name],$A1444,tblReceipts[Expiry Date],"&lt;"&amp;$H1444)+SUMIFS(tblReceipts[Qty Received],tblReceipts[Item Name],$A1444,tblReceipts[Expiry Date],$H1444,tblReceipts[Lot Number],"&lt;"&amp;Receipts!$C1447))</f>
        <v/>
      </c>
      <c r="L1444" s="26" t="str">
        <f>IF($A1444="","",MIN($D1444,MAX(0,SUMIFS(tblIssues[Qty Issued],tblIssues[Item Name],$A1444)-$K1444)))</f>
        <v/>
      </c>
      <c r="M1444" s="26" t="str">
        <f>IF($A1444="","",SUMIFS(tblIssues[Qty Issued],tblIssues[Lot Number],$B1444))</f>
        <v/>
      </c>
      <c r="N1444" s="26" t="str">
        <f t="shared" si="112"/>
        <v/>
      </c>
      <c r="O1444" s="26" t="str">
        <f t="shared" si="113"/>
        <v/>
      </c>
      <c r="P1444" s="21" t="str">
        <f t="shared" si="114"/>
        <v/>
      </c>
      <c r="Q1444" s="52" t="str">
        <f>IF($A1444="","",IF($O1444&lt;=0,"Depleted",IF($I1444&lt;0,"EXPIRED",IF($I1444&lt;=Settings!$C$6,"CRITICAL",IF($I1444&lt;=Settings!$C$5,"Expiring","In date")))))</f>
        <v/>
      </c>
    </row>
    <row r="1445" spans="1:17" x14ac:dyDescent="0.35">
      <c r="A1445" s="90" t="str">
        <f>IF(Receipts!$D1448="","",Receipts!$D1448)</f>
        <v/>
      </c>
      <c r="B1445" s="18" t="str">
        <f>IF(Receipts!$C1448="","",Receipts!$C1448)</f>
        <v/>
      </c>
      <c r="C1445" s="18" t="str">
        <f>IF($A1445="","",IFERROR(INDEX(Items!$B$5:$B$597,MATCH($A1445,Items!$A$5:$A$597,0)),""))</f>
        <v/>
      </c>
      <c r="D1445" s="23" t="str">
        <f>IF($A1445="","",N(Receipts!$G1448))</f>
        <v/>
      </c>
      <c r="E1445" s="20" t="str">
        <f>IF($A1445="","",IFERROR(INDEX(Items!$D$5:$D$597,MATCH($A1445,Items!$A$5:$A$597,0)),0))</f>
        <v/>
      </c>
      <c r="F1445" s="21" t="str">
        <f t="shared" si="110"/>
        <v/>
      </c>
      <c r="G1445" s="25" t="str">
        <f>IF(Receipts!$I1448="","",Receipts!$I1448)</f>
        <v/>
      </c>
      <c r="H1445" s="25" t="str">
        <f>IF(Receipts!$H1448="","",Receipts!$H1448)</f>
        <v/>
      </c>
      <c r="I1445" s="26" t="str">
        <f t="shared" ca="1" si="111"/>
        <v/>
      </c>
      <c r="J1445" s="26" t="str">
        <f>IF($A1445="","",COUNTIFS(tblReceipts[Item Name],$A1445,tblReceipts[Expiry Date],"&lt;"&amp;$H1445)+COUNTIFS(tblReceipts[Item Name],$A1445,tblReceipts[Expiry Date],$H1445,tblReceipts[Lot Number],"&lt;="&amp;Receipts!$C1448))</f>
        <v/>
      </c>
      <c r="K1445" s="26" t="str">
        <f>IF($A1445="","",SUMIFS(tblReceipts[Qty Received],tblReceipts[Item Name],$A1445,tblReceipts[Expiry Date],"&lt;"&amp;$H1445)+SUMIFS(tblReceipts[Qty Received],tblReceipts[Item Name],$A1445,tblReceipts[Expiry Date],$H1445,tblReceipts[Lot Number],"&lt;"&amp;Receipts!$C1448))</f>
        <v/>
      </c>
      <c r="L1445" s="26" t="str">
        <f>IF($A1445="","",MIN($D1445,MAX(0,SUMIFS(tblIssues[Qty Issued],tblIssues[Item Name],$A1445)-$K1445)))</f>
        <v/>
      </c>
      <c r="M1445" s="26" t="str">
        <f>IF($A1445="","",SUMIFS(tblIssues[Qty Issued],tblIssues[Lot Number],$B1445))</f>
        <v/>
      </c>
      <c r="N1445" s="26" t="str">
        <f t="shared" si="112"/>
        <v/>
      </c>
      <c r="O1445" s="26" t="str">
        <f t="shared" si="113"/>
        <v/>
      </c>
      <c r="P1445" s="21" t="str">
        <f t="shared" si="114"/>
        <v/>
      </c>
      <c r="Q1445" s="52" t="str">
        <f>IF($A1445="","",IF($O1445&lt;=0,"Depleted",IF($I1445&lt;0,"EXPIRED",IF($I1445&lt;=Settings!$C$6,"CRITICAL",IF($I1445&lt;=Settings!$C$5,"Expiring","In date")))))</f>
        <v/>
      </c>
    </row>
    <row r="1446" spans="1:17" x14ac:dyDescent="0.35">
      <c r="A1446" s="90" t="str">
        <f>IF(Receipts!$D1449="","",Receipts!$D1449)</f>
        <v/>
      </c>
      <c r="B1446" s="18" t="str">
        <f>IF(Receipts!$C1449="","",Receipts!$C1449)</f>
        <v/>
      </c>
      <c r="C1446" s="18" t="str">
        <f>IF($A1446="","",IFERROR(INDEX(Items!$B$5:$B$597,MATCH($A1446,Items!$A$5:$A$597,0)),""))</f>
        <v/>
      </c>
      <c r="D1446" s="23" t="str">
        <f>IF($A1446="","",N(Receipts!$G1449))</f>
        <v/>
      </c>
      <c r="E1446" s="20" t="str">
        <f>IF($A1446="","",IFERROR(INDEX(Items!$D$5:$D$597,MATCH($A1446,Items!$A$5:$A$597,0)),0))</f>
        <v/>
      </c>
      <c r="F1446" s="21" t="str">
        <f t="shared" si="110"/>
        <v/>
      </c>
      <c r="G1446" s="25" t="str">
        <f>IF(Receipts!$I1449="","",Receipts!$I1449)</f>
        <v/>
      </c>
      <c r="H1446" s="25" t="str">
        <f>IF(Receipts!$H1449="","",Receipts!$H1449)</f>
        <v/>
      </c>
      <c r="I1446" s="26" t="str">
        <f t="shared" ca="1" si="111"/>
        <v/>
      </c>
      <c r="J1446" s="26" t="str">
        <f>IF($A1446="","",COUNTIFS(tblReceipts[Item Name],$A1446,tblReceipts[Expiry Date],"&lt;"&amp;$H1446)+COUNTIFS(tblReceipts[Item Name],$A1446,tblReceipts[Expiry Date],$H1446,tblReceipts[Lot Number],"&lt;="&amp;Receipts!$C1449))</f>
        <v/>
      </c>
      <c r="K1446" s="26" t="str">
        <f>IF($A1446="","",SUMIFS(tblReceipts[Qty Received],tblReceipts[Item Name],$A1446,tblReceipts[Expiry Date],"&lt;"&amp;$H1446)+SUMIFS(tblReceipts[Qty Received],tblReceipts[Item Name],$A1446,tblReceipts[Expiry Date],$H1446,tblReceipts[Lot Number],"&lt;"&amp;Receipts!$C1449))</f>
        <v/>
      </c>
      <c r="L1446" s="26" t="str">
        <f>IF($A1446="","",MIN($D1446,MAX(0,SUMIFS(tblIssues[Qty Issued],tblIssues[Item Name],$A1446)-$K1446)))</f>
        <v/>
      </c>
      <c r="M1446" s="26" t="str">
        <f>IF($A1446="","",SUMIFS(tblIssues[Qty Issued],tblIssues[Lot Number],$B1446))</f>
        <v/>
      </c>
      <c r="N1446" s="26" t="str">
        <f t="shared" si="112"/>
        <v/>
      </c>
      <c r="O1446" s="26" t="str">
        <f t="shared" si="113"/>
        <v/>
      </c>
      <c r="P1446" s="21" t="str">
        <f t="shared" si="114"/>
        <v/>
      </c>
      <c r="Q1446" s="52" t="str">
        <f>IF($A1446="","",IF($O1446&lt;=0,"Depleted",IF($I1446&lt;0,"EXPIRED",IF($I1446&lt;=Settings!$C$6,"CRITICAL",IF($I1446&lt;=Settings!$C$5,"Expiring","In date")))))</f>
        <v/>
      </c>
    </row>
    <row r="1447" spans="1:17" x14ac:dyDescent="0.35">
      <c r="A1447" s="90" t="str">
        <f>IF(Receipts!$D1450="","",Receipts!$D1450)</f>
        <v/>
      </c>
      <c r="B1447" s="18" t="str">
        <f>IF(Receipts!$C1450="","",Receipts!$C1450)</f>
        <v/>
      </c>
      <c r="C1447" s="18" t="str">
        <f>IF($A1447="","",IFERROR(INDEX(Items!$B$5:$B$597,MATCH($A1447,Items!$A$5:$A$597,0)),""))</f>
        <v/>
      </c>
      <c r="D1447" s="23" t="str">
        <f>IF($A1447="","",N(Receipts!$G1450))</f>
        <v/>
      </c>
      <c r="E1447" s="20" t="str">
        <f>IF($A1447="","",IFERROR(INDEX(Items!$D$5:$D$597,MATCH($A1447,Items!$A$5:$A$597,0)),0))</f>
        <v/>
      </c>
      <c r="F1447" s="21" t="str">
        <f t="shared" si="110"/>
        <v/>
      </c>
      <c r="G1447" s="25" t="str">
        <f>IF(Receipts!$I1450="","",Receipts!$I1450)</f>
        <v/>
      </c>
      <c r="H1447" s="25" t="str">
        <f>IF(Receipts!$H1450="","",Receipts!$H1450)</f>
        <v/>
      </c>
      <c r="I1447" s="26" t="str">
        <f t="shared" ca="1" si="111"/>
        <v/>
      </c>
      <c r="J1447" s="26" t="str">
        <f>IF($A1447="","",COUNTIFS(tblReceipts[Item Name],$A1447,tblReceipts[Expiry Date],"&lt;"&amp;$H1447)+COUNTIFS(tblReceipts[Item Name],$A1447,tblReceipts[Expiry Date],$H1447,tblReceipts[Lot Number],"&lt;="&amp;Receipts!$C1450))</f>
        <v/>
      </c>
      <c r="K1447" s="26" t="str">
        <f>IF($A1447="","",SUMIFS(tblReceipts[Qty Received],tblReceipts[Item Name],$A1447,tblReceipts[Expiry Date],"&lt;"&amp;$H1447)+SUMIFS(tblReceipts[Qty Received],tblReceipts[Item Name],$A1447,tblReceipts[Expiry Date],$H1447,tblReceipts[Lot Number],"&lt;"&amp;Receipts!$C1450))</f>
        <v/>
      </c>
      <c r="L1447" s="26" t="str">
        <f>IF($A1447="","",MIN($D1447,MAX(0,SUMIFS(tblIssues[Qty Issued],tblIssues[Item Name],$A1447)-$K1447)))</f>
        <v/>
      </c>
      <c r="M1447" s="26" t="str">
        <f>IF($A1447="","",SUMIFS(tblIssues[Qty Issued],tblIssues[Lot Number],$B1447))</f>
        <v/>
      </c>
      <c r="N1447" s="26" t="str">
        <f t="shared" si="112"/>
        <v/>
      </c>
      <c r="O1447" s="26" t="str">
        <f t="shared" si="113"/>
        <v/>
      </c>
      <c r="P1447" s="21" t="str">
        <f t="shared" si="114"/>
        <v/>
      </c>
      <c r="Q1447" s="52" t="str">
        <f>IF($A1447="","",IF($O1447&lt;=0,"Depleted",IF($I1447&lt;0,"EXPIRED",IF($I1447&lt;=Settings!$C$6,"CRITICAL",IF($I1447&lt;=Settings!$C$5,"Expiring","In date")))))</f>
        <v/>
      </c>
    </row>
    <row r="1448" spans="1:17" x14ac:dyDescent="0.35">
      <c r="A1448" s="90" t="str">
        <f>IF(Receipts!$D1451="","",Receipts!$D1451)</f>
        <v/>
      </c>
      <c r="B1448" s="18" t="str">
        <f>IF(Receipts!$C1451="","",Receipts!$C1451)</f>
        <v/>
      </c>
      <c r="C1448" s="18" t="str">
        <f>IF($A1448="","",IFERROR(INDEX(Items!$B$5:$B$597,MATCH($A1448,Items!$A$5:$A$597,0)),""))</f>
        <v/>
      </c>
      <c r="D1448" s="23" t="str">
        <f>IF($A1448="","",N(Receipts!$G1451))</f>
        <v/>
      </c>
      <c r="E1448" s="20" t="str">
        <f>IF($A1448="","",IFERROR(INDEX(Items!$D$5:$D$597,MATCH($A1448,Items!$A$5:$A$597,0)),0))</f>
        <v/>
      </c>
      <c r="F1448" s="21" t="str">
        <f t="shared" si="110"/>
        <v/>
      </c>
      <c r="G1448" s="25" t="str">
        <f>IF(Receipts!$I1451="","",Receipts!$I1451)</f>
        <v/>
      </c>
      <c r="H1448" s="25" t="str">
        <f>IF(Receipts!$H1451="","",Receipts!$H1451)</f>
        <v/>
      </c>
      <c r="I1448" s="26" t="str">
        <f t="shared" ca="1" si="111"/>
        <v/>
      </c>
      <c r="J1448" s="26" t="str">
        <f>IF($A1448="","",COUNTIFS(tblReceipts[Item Name],$A1448,tblReceipts[Expiry Date],"&lt;"&amp;$H1448)+COUNTIFS(tblReceipts[Item Name],$A1448,tblReceipts[Expiry Date],$H1448,tblReceipts[Lot Number],"&lt;="&amp;Receipts!$C1451))</f>
        <v/>
      </c>
      <c r="K1448" s="26" t="str">
        <f>IF($A1448="","",SUMIFS(tblReceipts[Qty Received],tblReceipts[Item Name],$A1448,tblReceipts[Expiry Date],"&lt;"&amp;$H1448)+SUMIFS(tblReceipts[Qty Received],tblReceipts[Item Name],$A1448,tblReceipts[Expiry Date],$H1448,tblReceipts[Lot Number],"&lt;"&amp;Receipts!$C1451))</f>
        <v/>
      </c>
      <c r="L1448" s="26" t="str">
        <f>IF($A1448="","",MIN($D1448,MAX(0,SUMIFS(tblIssues[Qty Issued],tblIssues[Item Name],$A1448)-$K1448)))</f>
        <v/>
      </c>
      <c r="M1448" s="26" t="str">
        <f>IF($A1448="","",SUMIFS(tblIssues[Qty Issued],tblIssues[Lot Number],$B1448))</f>
        <v/>
      </c>
      <c r="N1448" s="26" t="str">
        <f t="shared" si="112"/>
        <v/>
      </c>
      <c r="O1448" s="26" t="str">
        <f t="shared" si="113"/>
        <v/>
      </c>
      <c r="P1448" s="21" t="str">
        <f t="shared" si="114"/>
        <v/>
      </c>
      <c r="Q1448" s="52" t="str">
        <f>IF($A1448="","",IF($O1448&lt;=0,"Depleted",IF($I1448&lt;0,"EXPIRED",IF($I1448&lt;=Settings!$C$6,"CRITICAL",IF($I1448&lt;=Settings!$C$5,"Expiring","In date")))))</f>
        <v/>
      </c>
    </row>
    <row r="1449" spans="1:17" x14ac:dyDescent="0.35">
      <c r="A1449" s="90" t="str">
        <f>IF(Receipts!$D1452="","",Receipts!$D1452)</f>
        <v/>
      </c>
      <c r="B1449" s="18" t="str">
        <f>IF(Receipts!$C1452="","",Receipts!$C1452)</f>
        <v/>
      </c>
      <c r="C1449" s="18" t="str">
        <f>IF($A1449="","",IFERROR(INDEX(Items!$B$5:$B$597,MATCH($A1449,Items!$A$5:$A$597,0)),""))</f>
        <v/>
      </c>
      <c r="D1449" s="23" t="str">
        <f>IF($A1449="","",N(Receipts!$G1452))</f>
        <v/>
      </c>
      <c r="E1449" s="20" t="str">
        <f>IF($A1449="","",IFERROR(INDEX(Items!$D$5:$D$597,MATCH($A1449,Items!$A$5:$A$597,0)),0))</f>
        <v/>
      </c>
      <c r="F1449" s="21" t="str">
        <f t="shared" si="110"/>
        <v/>
      </c>
      <c r="G1449" s="25" t="str">
        <f>IF(Receipts!$I1452="","",Receipts!$I1452)</f>
        <v/>
      </c>
      <c r="H1449" s="25" t="str">
        <f>IF(Receipts!$H1452="","",Receipts!$H1452)</f>
        <v/>
      </c>
      <c r="I1449" s="26" t="str">
        <f t="shared" ca="1" si="111"/>
        <v/>
      </c>
      <c r="J1449" s="26" t="str">
        <f>IF($A1449="","",COUNTIFS(tblReceipts[Item Name],$A1449,tblReceipts[Expiry Date],"&lt;"&amp;$H1449)+COUNTIFS(tblReceipts[Item Name],$A1449,tblReceipts[Expiry Date],$H1449,tblReceipts[Lot Number],"&lt;="&amp;Receipts!$C1452))</f>
        <v/>
      </c>
      <c r="K1449" s="26" t="str">
        <f>IF($A1449="","",SUMIFS(tblReceipts[Qty Received],tblReceipts[Item Name],$A1449,tblReceipts[Expiry Date],"&lt;"&amp;$H1449)+SUMIFS(tblReceipts[Qty Received],tblReceipts[Item Name],$A1449,tblReceipts[Expiry Date],$H1449,tblReceipts[Lot Number],"&lt;"&amp;Receipts!$C1452))</f>
        <v/>
      </c>
      <c r="L1449" s="26" t="str">
        <f>IF($A1449="","",MIN($D1449,MAX(0,SUMIFS(tblIssues[Qty Issued],tblIssues[Item Name],$A1449)-$K1449)))</f>
        <v/>
      </c>
      <c r="M1449" s="26" t="str">
        <f>IF($A1449="","",SUMIFS(tblIssues[Qty Issued],tblIssues[Lot Number],$B1449))</f>
        <v/>
      </c>
      <c r="N1449" s="26" t="str">
        <f t="shared" si="112"/>
        <v/>
      </c>
      <c r="O1449" s="26" t="str">
        <f t="shared" si="113"/>
        <v/>
      </c>
      <c r="P1449" s="21" t="str">
        <f t="shared" si="114"/>
        <v/>
      </c>
      <c r="Q1449" s="52" t="str">
        <f>IF($A1449="","",IF($O1449&lt;=0,"Depleted",IF($I1449&lt;0,"EXPIRED",IF($I1449&lt;=Settings!$C$6,"CRITICAL",IF($I1449&lt;=Settings!$C$5,"Expiring","In date")))))</f>
        <v/>
      </c>
    </row>
    <row r="1450" spans="1:17" x14ac:dyDescent="0.35">
      <c r="A1450" s="90" t="str">
        <f>IF(Receipts!$D1453="","",Receipts!$D1453)</f>
        <v/>
      </c>
      <c r="B1450" s="18" t="str">
        <f>IF(Receipts!$C1453="","",Receipts!$C1453)</f>
        <v/>
      </c>
      <c r="C1450" s="18" t="str">
        <f>IF($A1450="","",IFERROR(INDEX(Items!$B$5:$B$597,MATCH($A1450,Items!$A$5:$A$597,0)),""))</f>
        <v/>
      </c>
      <c r="D1450" s="23" t="str">
        <f>IF($A1450="","",N(Receipts!$G1453))</f>
        <v/>
      </c>
      <c r="E1450" s="20" t="str">
        <f>IF($A1450="","",IFERROR(INDEX(Items!$D$5:$D$597,MATCH($A1450,Items!$A$5:$A$597,0)),0))</f>
        <v/>
      </c>
      <c r="F1450" s="21" t="str">
        <f t="shared" si="110"/>
        <v/>
      </c>
      <c r="G1450" s="25" t="str">
        <f>IF(Receipts!$I1453="","",Receipts!$I1453)</f>
        <v/>
      </c>
      <c r="H1450" s="25" t="str">
        <f>IF(Receipts!$H1453="","",Receipts!$H1453)</f>
        <v/>
      </c>
      <c r="I1450" s="26" t="str">
        <f t="shared" ca="1" si="111"/>
        <v/>
      </c>
      <c r="J1450" s="26" t="str">
        <f>IF($A1450="","",COUNTIFS(tblReceipts[Item Name],$A1450,tblReceipts[Expiry Date],"&lt;"&amp;$H1450)+COUNTIFS(tblReceipts[Item Name],$A1450,tblReceipts[Expiry Date],$H1450,tblReceipts[Lot Number],"&lt;="&amp;Receipts!$C1453))</f>
        <v/>
      </c>
      <c r="K1450" s="26" t="str">
        <f>IF($A1450="","",SUMIFS(tblReceipts[Qty Received],tblReceipts[Item Name],$A1450,tblReceipts[Expiry Date],"&lt;"&amp;$H1450)+SUMIFS(tblReceipts[Qty Received],tblReceipts[Item Name],$A1450,tblReceipts[Expiry Date],$H1450,tblReceipts[Lot Number],"&lt;"&amp;Receipts!$C1453))</f>
        <v/>
      </c>
      <c r="L1450" s="26" t="str">
        <f>IF($A1450="","",MIN($D1450,MAX(0,SUMIFS(tblIssues[Qty Issued],tblIssues[Item Name],$A1450)-$K1450)))</f>
        <v/>
      </c>
      <c r="M1450" s="26" t="str">
        <f>IF($A1450="","",SUMIFS(tblIssues[Qty Issued],tblIssues[Lot Number],$B1450))</f>
        <v/>
      </c>
      <c r="N1450" s="26" t="str">
        <f t="shared" si="112"/>
        <v/>
      </c>
      <c r="O1450" s="26" t="str">
        <f t="shared" si="113"/>
        <v/>
      </c>
      <c r="P1450" s="21" t="str">
        <f t="shared" si="114"/>
        <v/>
      </c>
      <c r="Q1450" s="52" t="str">
        <f>IF($A1450="","",IF($O1450&lt;=0,"Depleted",IF($I1450&lt;0,"EXPIRED",IF($I1450&lt;=Settings!$C$6,"CRITICAL",IF($I1450&lt;=Settings!$C$5,"Expiring","In date")))))</f>
        <v/>
      </c>
    </row>
    <row r="1451" spans="1:17" x14ac:dyDescent="0.35">
      <c r="A1451" s="90" t="str">
        <f>IF(Receipts!$D1454="","",Receipts!$D1454)</f>
        <v/>
      </c>
      <c r="B1451" s="18" t="str">
        <f>IF(Receipts!$C1454="","",Receipts!$C1454)</f>
        <v/>
      </c>
      <c r="C1451" s="18" t="str">
        <f>IF($A1451="","",IFERROR(INDEX(Items!$B$5:$B$597,MATCH($A1451,Items!$A$5:$A$597,0)),""))</f>
        <v/>
      </c>
      <c r="D1451" s="23" t="str">
        <f>IF($A1451="","",N(Receipts!$G1454))</f>
        <v/>
      </c>
      <c r="E1451" s="20" t="str">
        <f>IF($A1451="","",IFERROR(INDEX(Items!$D$5:$D$597,MATCH($A1451,Items!$A$5:$A$597,0)),0))</f>
        <v/>
      </c>
      <c r="F1451" s="21" t="str">
        <f t="shared" si="110"/>
        <v/>
      </c>
      <c r="G1451" s="25" t="str">
        <f>IF(Receipts!$I1454="","",Receipts!$I1454)</f>
        <v/>
      </c>
      <c r="H1451" s="25" t="str">
        <f>IF(Receipts!$H1454="","",Receipts!$H1454)</f>
        <v/>
      </c>
      <c r="I1451" s="26" t="str">
        <f t="shared" ca="1" si="111"/>
        <v/>
      </c>
      <c r="J1451" s="26" t="str">
        <f>IF($A1451="","",COUNTIFS(tblReceipts[Item Name],$A1451,tblReceipts[Expiry Date],"&lt;"&amp;$H1451)+COUNTIFS(tblReceipts[Item Name],$A1451,tblReceipts[Expiry Date],$H1451,tblReceipts[Lot Number],"&lt;="&amp;Receipts!$C1454))</f>
        <v/>
      </c>
      <c r="K1451" s="26" t="str">
        <f>IF($A1451="","",SUMIFS(tblReceipts[Qty Received],tblReceipts[Item Name],$A1451,tblReceipts[Expiry Date],"&lt;"&amp;$H1451)+SUMIFS(tblReceipts[Qty Received],tblReceipts[Item Name],$A1451,tblReceipts[Expiry Date],$H1451,tblReceipts[Lot Number],"&lt;"&amp;Receipts!$C1454))</f>
        <v/>
      </c>
      <c r="L1451" s="26" t="str">
        <f>IF($A1451="","",MIN($D1451,MAX(0,SUMIFS(tblIssues[Qty Issued],tblIssues[Item Name],$A1451)-$K1451)))</f>
        <v/>
      </c>
      <c r="M1451" s="26" t="str">
        <f>IF($A1451="","",SUMIFS(tblIssues[Qty Issued],tblIssues[Lot Number],$B1451))</f>
        <v/>
      </c>
      <c r="N1451" s="26" t="str">
        <f t="shared" si="112"/>
        <v/>
      </c>
      <c r="O1451" s="26" t="str">
        <f t="shared" si="113"/>
        <v/>
      </c>
      <c r="P1451" s="21" t="str">
        <f t="shared" si="114"/>
        <v/>
      </c>
      <c r="Q1451" s="52" t="str">
        <f>IF($A1451="","",IF($O1451&lt;=0,"Depleted",IF($I1451&lt;0,"EXPIRED",IF($I1451&lt;=Settings!$C$6,"CRITICAL",IF($I1451&lt;=Settings!$C$5,"Expiring","In date")))))</f>
        <v/>
      </c>
    </row>
    <row r="1452" spans="1:17" x14ac:dyDescent="0.35">
      <c r="A1452" s="90" t="str">
        <f>IF(Receipts!$D1455="","",Receipts!$D1455)</f>
        <v/>
      </c>
      <c r="B1452" s="18" t="str">
        <f>IF(Receipts!$C1455="","",Receipts!$C1455)</f>
        <v/>
      </c>
      <c r="C1452" s="18" t="str">
        <f>IF($A1452="","",IFERROR(INDEX(Items!$B$5:$B$597,MATCH($A1452,Items!$A$5:$A$597,0)),""))</f>
        <v/>
      </c>
      <c r="D1452" s="23" t="str">
        <f>IF($A1452="","",N(Receipts!$G1455))</f>
        <v/>
      </c>
      <c r="E1452" s="20" t="str">
        <f>IF($A1452="","",IFERROR(INDEX(Items!$D$5:$D$597,MATCH($A1452,Items!$A$5:$A$597,0)),0))</f>
        <v/>
      </c>
      <c r="F1452" s="21" t="str">
        <f t="shared" si="110"/>
        <v/>
      </c>
      <c r="G1452" s="25" t="str">
        <f>IF(Receipts!$I1455="","",Receipts!$I1455)</f>
        <v/>
      </c>
      <c r="H1452" s="25" t="str">
        <f>IF(Receipts!$H1455="","",Receipts!$H1455)</f>
        <v/>
      </c>
      <c r="I1452" s="26" t="str">
        <f t="shared" ca="1" si="111"/>
        <v/>
      </c>
      <c r="J1452" s="26" t="str">
        <f>IF($A1452="","",COUNTIFS(tblReceipts[Item Name],$A1452,tblReceipts[Expiry Date],"&lt;"&amp;$H1452)+COUNTIFS(tblReceipts[Item Name],$A1452,tblReceipts[Expiry Date],$H1452,tblReceipts[Lot Number],"&lt;="&amp;Receipts!$C1455))</f>
        <v/>
      </c>
      <c r="K1452" s="26" t="str">
        <f>IF($A1452="","",SUMIFS(tblReceipts[Qty Received],tblReceipts[Item Name],$A1452,tblReceipts[Expiry Date],"&lt;"&amp;$H1452)+SUMIFS(tblReceipts[Qty Received],tblReceipts[Item Name],$A1452,tblReceipts[Expiry Date],$H1452,tblReceipts[Lot Number],"&lt;"&amp;Receipts!$C1455))</f>
        <v/>
      </c>
      <c r="L1452" s="26" t="str">
        <f>IF($A1452="","",MIN($D1452,MAX(0,SUMIFS(tblIssues[Qty Issued],tblIssues[Item Name],$A1452)-$K1452)))</f>
        <v/>
      </c>
      <c r="M1452" s="26" t="str">
        <f>IF($A1452="","",SUMIFS(tblIssues[Qty Issued],tblIssues[Lot Number],$B1452))</f>
        <v/>
      </c>
      <c r="N1452" s="26" t="str">
        <f t="shared" si="112"/>
        <v/>
      </c>
      <c r="O1452" s="26" t="str">
        <f t="shared" si="113"/>
        <v/>
      </c>
      <c r="P1452" s="21" t="str">
        <f t="shared" si="114"/>
        <v/>
      </c>
      <c r="Q1452" s="52" t="str">
        <f>IF($A1452="","",IF($O1452&lt;=0,"Depleted",IF($I1452&lt;0,"EXPIRED",IF($I1452&lt;=Settings!$C$6,"CRITICAL",IF($I1452&lt;=Settings!$C$5,"Expiring","In date")))))</f>
        <v/>
      </c>
    </row>
    <row r="1453" spans="1:17" x14ac:dyDescent="0.35">
      <c r="A1453" s="90" t="str">
        <f>IF(Receipts!$D1456="","",Receipts!$D1456)</f>
        <v/>
      </c>
      <c r="B1453" s="18" t="str">
        <f>IF(Receipts!$C1456="","",Receipts!$C1456)</f>
        <v/>
      </c>
      <c r="C1453" s="18" t="str">
        <f>IF($A1453="","",IFERROR(INDEX(Items!$B$5:$B$597,MATCH($A1453,Items!$A$5:$A$597,0)),""))</f>
        <v/>
      </c>
      <c r="D1453" s="23" t="str">
        <f>IF($A1453="","",N(Receipts!$G1456))</f>
        <v/>
      </c>
      <c r="E1453" s="20" t="str">
        <f>IF($A1453="","",IFERROR(INDEX(Items!$D$5:$D$597,MATCH($A1453,Items!$A$5:$A$597,0)),0))</f>
        <v/>
      </c>
      <c r="F1453" s="21" t="str">
        <f t="shared" si="110"/>
        <v/>
      </c>
      <c r="G1453" s="25" t="str">
        <f>IF(Receipts!$I1456="","",Receipts!$I1456)</f>
        <v/>
      </c>
      <c r="H1453" s="25" t="str">
        <f>IF(Receipts!$H1456="","",Receipts!$H1456)</f>
        <v/>
      </c>
      <c r="I1453" s="26" t="str">
        <f t="shared" ca="1" si="111"/>
        <v/>
      </c>
      <c r="J1453" s="26" t="str">
        <f>IF($A1453="","",COUNTIFS(tblReceipts[Item Name],$A1453,tblReceipts[Expiry Date],"&lt;"&amp;$H1453)+COUNTIFS(tblReceipts[Item Name],$A1453,tblReceipts[Expiry Date],$H1453,tblReceipts[Lot Number],"&lt;="&amp;Receipts!$C1456))</f>
        <v/>
      </c>
      <c r="K1453" s="26" t="str">
        <f>IF($A1453="","",SUMIFS(tblReceipts[Qty Received],tblReceipts[Item Name],$A1453,tblReceipts[Expiry Date],"&lt;"&amp;$H1453)+SUMIFS(tblReceipts[Qty Received],tblReceipts[Item Name],$A1453,tblReceipts[Expiry Date],$H1453,tblReceipts[Lot Number],"&lt;"&amp;Receipts!$C1456))</f>
        <v/>
      </c>
      <c r="L1453" s="26" t="str">
        <f>IF($A1453="","",MIN($D1453,MAX(0,SUMIFS(tblIssues[Qty Issued],tblIssues[Item Name],$A1453)-$K1453)))</f>
        <v/>
      </c>
      <c r="M1453" s="26" t="str">
        <f>IF($A1453="","",SUMIFS(tblIssues[Qty Issued],tblIssues[Lot Number],$B1453))</f>
        <v/>
      </c>
      <c r="N1453" s="26" t="str">
        <f t="shared" si="112"/>
        <v/>
      </c>
      <c r="O1453" s="26" t="str">
        <f t="shared" si="113"/>
        <v/>
      </c>
      <c r="P1453" s="21" t="str">
        <f t="shared" si="114"/>
        <v/>
      </c>
      <c r="Q1453" s="52" t="str">
        <f>IF($A1453="","",IF($O1453&lt;=0,"Depleted",IF($I1453&lt;0,"EXPIRED",IF($I1453&lt;=Settings!$C$6,"CRITICAL",IF($I1453&lt;=Settings!$C$5,"Expiring","In date")))))</f>
        <v/>
      </c>
    </row>
    <row r="1454" spans="1:17" x14ac:dyDescent="0.35">
      <c r="A1454" s="90" t="str">
        <f>IF(Receipts!$D1457="","",Receipts!$D1457)</f>
        <v/>
      </c>
      <c r="B1454" s="18" t="str">
        <f>IF(Receipts!$C1457="","",Receipts!$C1457)</f>
        <v/>
      </c>
      <c r="C1454" s="18" t="str">
        <f>IF($A1454="","",IFERROR(INDEX(Items!$B$5:$B$597,MATCH($A1454,Items!$A$5:$A$597,0)),""))</f>
        <v/>
      </c>
      <c r="D1454" s="23" t="str">
        <f>IF($A1454="","",N(Receipts!$G1457))</f>
        <v/>
      </c>
      <c r="E1454" s="20" t="str">
        <f>IF($A1454="","",IFERROR(INDEX(Items!$D$5:$D$597,MATCH($A1454,Items!$A$5:$A$597,0)),0))</f>
        <v/>
      </c>
      <c r="F1454" s="21" t="str">
        <f t="shared" si="110"/>
        <v/>
      </c>
      <c r="G1454" s="25" t="str">
        <f>IF(Receipts!$I1457="","",Receipts!$I1457)</f>
        <v/>
      </c>
      <c r="H1454" s="25" t="str">
        <f>IF(Receipts!$H1457="","",Receipts!$H1457)</f>
        <v/>
      </c>
      <c r="I1454" s="26" t="str">
        <f t="shared" ca="1" si="111"/>
        <v/>
      </c>
      <c r="J1454" s="26" t="str">
        <f>IF($A1454="","",COUNTIFS(tblReceipts[Item Name],$A1454,tblReceipts[Expiry Date],"&lt;"&amp;$H1454)+COUNTIFS(tblReceipts[Item Name],$A1454,tblReceipts[Expiry Date],$H1454,tblReceipts[Lot Number],"&lt;="&amp;Receipts!$C1457))</f>
        <v/>
      </c>
      <c r="K1454" s="26" t="str">
        <f>IF($A1454="","",SUMIFS(tblReceipts[Qty Received],tblReceipts[Item Name],$A1454,tblReceipts[Expiry Date],"&lt;"&amp;$H1454)+SUMIFS(tblReceipts[Qty Received],tblReceipts[Item Name],$A1454,tblReceipts[Expiry Date],$H1454,tblReceipts[Lot Number],"&lt;"&amp;Receipts!$C1457))</f>
        <v/>
      </c>
      <c r="L1454" s="26" t="str">
        <f>IF($A1454="","",MIN($D1454,MAX(0,SUMIFS(tblIssues[Qty Issued],tblIssues[Item Name],$A1454)-$K1454)))</f>
        <v/>
      </c>
      <c r="M1454" s="26" t="str">
        <f>IF($A1454="","",SUMIFS(tblIssues[Qty Issued],tblIssues[Lot Number],$B1454))</f>
        <v/>
      </c>
      <c r="N1454" s="26" t="str">
        <f t="shared" si="112"/>
        <v/>
      </c>
      <c r="O1454" s="26" t="str">
        <f t="shared" si="113"/>
        <v/>
      </c>
      <c r="P1454" s="21" t="str">
        <f t="shared" si="114"/>
        <v/>
      </c>
      <c r="Q1454" s="52" t="str">
        <f>IF($A1454="","",IF($O1454&lt;=0,"Depleted",IF($I1454&lt;0,"EXPIRED",IF($I1454&lt;=Settings!$C$6,"CRITICAL",IF($I1454&lt;=Settings!$C$5,"Expiring","In date")))))</f>
        <v/>
      </c>
    </row>
    <row r="1455" spans="1:17" x14ac:dyDescent="0.35">
      <c r="A1455" s="90" t="str">
        <f>IF(Receipts!$D1458="","",Receipts!$D1458)</f>
        <v/>
      </c>
      <c r="B1455" s="18" t="str">
        <f>IF(Receipts!$C1458="","",Receipts!$C1458)</f>
        <v/>
      </c>
      <c r="C1455" s="18" t="str">
        <f>IF($A1455="","",IFERROR(INDEX(Items!$B$5:$B$597,MATCH($A1455,Items!$A$5:$A$597,0)),""))</f>
        <v/>
      </c>
      <c r="D1455" s="23" t="str">
        <f>IF($A1455="","",N(Receipts!$G1458))</f>
        <v/>
      </c>
      <c r="E1455" s="20" t="str">
        <f>IF($A1455="","",IFERROR(INDEX(Items!$D$5:$D$597,MATCH($A1455,Items!$A$5:$A$597,0)),0))</f>
        <v/>
      </c>
      <c r="F1455" s="21" t="str">
        <f t="shared" si="110"/>
        <v/>
      </c>
      <c r="G1455" s="25" t="str">
        <f>IF(Receipts!$I1458="","",Receipts!$I1458)</f>
        <v/>
      </c>
      <c r="H1455" s="25" t="str">
        <f>IF(Receipts!$H1458="","",Receipts!$H1458)</f>
        <v/>
      </c>
      <c r="I1455" s="26" t="str">
        <f t="shared" ca="1" si="111"/>
        <v/>
      </c>
      <c r="J1455" s="26" t="str">
        <f>IF($A1455="","",COUNTIFS(tblReceipts[Item Name],$A1455,tblReceipts[Expiry Date],"&lt;"&amp;$H1455)+COUNTIFS(tblReceipts[Item Name],$A1455,tblReceipts[Expiry Date],$H1455,tblReceipts[Lot Number],"&lt;="&amp;Receipts!$C1458))</f>
        <v/>
      </c>
      <c r="K1455" s="26" t="str">
        <f>IF($A1455="","",SUMIFS(tblReceipts[Qty Received],tblReceipts[Item Name],$A1455,tblReceipts[Expiry Date],"&lt;"&amp;$H1455)+SUMIFS(tblReceipts[Qty Received],tblReceipts[Item Name],$A1455,tblReceipts[Expiry Date],$H1455,tblReceipts[Lot Number],"&lt;"&amp;Receipts!$C1458))</f>
        <v/>
      </c>
      <c r="L1455" s="26" t="str">
        <f>IF($A1455="","",MIN($D1455,MAX(0,SUMIFS(tblIssues[Qty Issued],tblIssues[Item Name],$A1455)-$K1455)))</f>
        <v/>
      </c>
      <c r="M1455" s="26" t="str">
        <f>IF($A1455="","",SUMIFS(tblIssues[Qty Issued],tblIssues[Lot Number],$B1455))</f>
        <v/>
      </c>
      <c r="N1455" s="26" t="str">
        <f t="shared" si="112"/>
        <v/>
      </c>
      <c r="O1455" s="26" t="str">
        <f t="shared" si="113"/>
        <v/>
      </c>
      <c r="P1455" s="21" t="str">
        <f t="shared" si="114"/>
        <v/>
      </c>
      <c r="Q1455" s="52" t="str">
        <f>IF($A1455="","",IF($O1455&lt;=0,"Depleted",IF($I1455&lt;0,"EXPIRED",IF($I1455&lt;=Settings!$C$6,"CRITICAL",IF($I1455&lt;=Settings!$C$5,"Expiring","In date")))))</f>
        <v/>
      </c>
    </row>
    <row r="1456" spans="1:17" x14ac:dyDescent="0.35">
      <c r="A1456" s="90" t="str">
        <f>IF(Receipts!$D1459="","",Receipts!$D1459)</f>
        <v/>
      </c>
      <c r="B1456" s="18" t="str">
        <f>IF(Receipts!$C1459="","",Receipts!$C1459)</f>
        <v/>
      </c>
      <c r="C1456" s="18" t="str">
        <f>IF($A1456="","",IFERROR(INDEX(Items!$B$5:$B$597,MATCH($A1456,Items!$A$5:$A$597,0)),""))</f>
        <v/>
      </c>
      <c r="D1456" s="23" t="str">
        <f>IF($A1456="","",N(Receipts!$G1459))</f>
        <v/>
      </c>
      <c r="E1456" s="20" t="str">
        <f>IF($A1456="","",IFERROR(INDEX(Items!$D$5:$D$597,MATCH($A1456,Items!$A$5:$A$597,0)),0))</f>
        <v/>
      </c>
      <c r="F1456" s="21" t="str">
        <f t="shared" si="110"/>
        <v/>
      </c>
      <c r="G1456" s="25" t="str">
        <f>IF(Receipts!$I1459="","",Receipts!$I1459)</f>
        <v/>
      </c>
      <c r="H1456" s="25" t="str">
        <f>IF(Receipts!$H1459="","",Receipts!$H1459)</f>
        <v/>
      </c>
      <c r="I1456" s="26" t="str">
        <f t="shared" ca="1" si="111"/>
        <v/>
      </c>
      <c r="J1456" s="26" t="str">
        <f>IF($A1456="","",COUNTIFS(tblReceipts[Item Name],$A1456,tblReceipts[Expiry Date],"&lt;"&amp;$H1456)+COUNTIFS(tblReceipts[Item Name],$A1456,tblReceipts[Expiry Date],$H1456,tblReceipts[Lot Number],"&lt;="&amp;Receipts!$C1459))</f>
        <v/>
      </c>
      <c r="K1456" s="26" t="str">
        <f>IF($A1456="","",SUMIFS(tblReceipts[Qty Received],tblReceipts[Item Name],$A1456,tblReceipts[Expiry Date],"&lt;"&amp;$H1456)+SUMIFS(tblReceipts[Qty Received],tblReceipts[Item Name],$A1456,tblReceipts[Expiry Date],$H1456,tblReceipts[Lot Number],"&lt;"&amp;Receipts!$C1459))</f>
        <v/>
      </c>
      <c r="L1456" s="26" t="str">
        <f>IF($A1456="","",MIN($D1456,MAX(0,SUMIFS(tblIssues[Qty Issued],tblIssues[Item Name],$A1456)-$K1456)))</f>
        <v/>
      </c>
      <c r="M1456" s="26" t="str">
        <f>IF($A1456="","",SUMIFS(tblIssues[Qty Issued],tblIssues[Lot Number],$B1456))</f>
        <v/>
      </c>
      <c r="N1456" s="26" t="str">
        <f t="shared" si="112"/>
        <v/>
      </c>
      <c r="O1456" s="26" t="str">
        <f t="shared" si="113"/>
        <v/>
      </c>
      <c r="P1456" s="21" t="str">
        <f t="shared" si="114"/>
        <v/>
      </c>
      <c r="Q1456" s="52" t="str">
        <f>IF($A1456="","",IF($O1456&lt;=0,"Depleted",IF($I1456&lt;0,"EXPIRED",IF($I1456&lt;=Settings!$C$6,"CRITICAL",IF($I1456&lt;=Settings!$C$5,"Expiring","In date")))))</f>
        <v/>
      </c>
    </row>
    <row r="1457" spans="1:17" x14ac:dyDescent="0.35">
      <c r="A1457" s="90" t="str">
        <f>IF(Receipts!$D1460="","",Receipts!$D1460)</f>
        <v/>
      </c>
      <c r="B1457" s="18" t="str">
        <f>IF(Receipts!$C1460="","",Receipts!$C1460)</f>
        <v/>
      </c>
      <c r="C1457" s="18" t="str">
        <f>IF($A1457="","",IFERROR(INDEX(Items!$B$5:$B$597,MATCH($A1457,Items!$A$5:$A$597,0)),""))</f>
        <v/>
      </c>
      <c r="D1457" s="23" t="str">
        <f>IF($A1457="","",N(Receipts!$G1460))</f>
        <v/>
      </c>
      <c r="E1457" s="20" t="str">
        <f>IF($A1457="","",IFERROR(INDEX(Items!$D$5:$D$597,MATCH($A1457,Items!$A$5:$A$597,0)),0))</f>
        <v/>
      </c>
      <c r="F1457" s="21" t="str">
        <f t="shared" si="110"/>
        <v/>
      </c>
      <c r="G1457" s="25" t="str">
        <f>IF(Receipts!$I1460="","",Receipts!$I1460)</f>
        <v/>
      </c>
      <c r="H1457" s="25" t="str">
        <f>IF(Receipts!$H1460="","",Receipts!$H1460)</f>
        <v/>
      </c>
      <c r="I1457" s="26" t="str">
        <f t="shared" ca="1" si="111"/>
        <v/>
      </c>
      <c r="J1457" s="26" t="str">
        <f>IF($A1457="","",COUNTIFS(tblReceipts[Item Name],$A1457,tblReceipts[Expiry Date],"&lt;"&amp;$H1457)+COUNTIFS(tblReceipts[Item Name],$A1457,tblReceipts[Expiry Date],$H1457,tblReceipts[Lot Number],"&lt;="&amp;Receipts!$C1460))</f>
        <v/>
      </c>
      <c r="K1457" s="26" t="str">
        <f>IF($A1457="","",SUMIFS(tblReceipts[Qty Received],tblReceipts[Item Name],$A1457,tblReceipts[Expiry Date],"&lt;"&amp;$H1457)+SUMIFS(tblReceipts[Qty Received],tblReceipts[Item Name],$A1457,tblReceipts[Expiry Date],$H1457,tblReceipts[Lot Number],"&lt;"&amp;Receipts!$C1460))</f>
        <v/>
      </c>
      <c r="L1457" s="26" t="str">
        <f>IF($A1457="","",MIN($D1457,MAX(0,SUMIFS(tblIssues[Qty Issued],tblIssues[Item Name],$A1457)-$K1457)))</f>
        <v/>
      </c>
      <c r="M1457" s="26" t="str">
        <f>IF($A1457="","",SUMIFS(tblIssues[Qty Issued],tblIssues[Lot Number],$B1457))</f>
        <v/>
      </c>
      <c r="N1457" s="26" t="str">
        <f t="shared" si="112"/>
        <v/>
      </c>
      <c r="O1457" s="26" t="str">
        <f t="shared" si="113"/>
        <v/>
      </c>
      <c r="P1457" s="21" t="str">
        <f t="shared" si="114"/>
        <v/>
      </c>
      <c r="Q1457" s="52" t="str">
        <f>IF($A1457="","",IF($O1457&lt;=0,"Depleted",IF($I1457&lt;0,"EXPIRED",IF($I1457&lt;=Settings!$C$6,"CRITICAL",IF($I1457&lt;=Settings!$C$5,"Expiring","In date")))))</f>
        <v/>
      </c>
    </row>
    <row r="1458" spans="1:17" x14ac:dyDescent="0.35">
      <c r="A1458" s="90" t="str">
        <f>IF(Receipts!$D1461="","",Receipts!$D1461)</f>
        <v/>
      </c>
      <c r="B1458" s="18" t="str">
        <f>IF(Receipts!$C1461="","",Receipts!$C1461)</f>
        <v/>
      </c>
      <c r="C1458" s="18" t="str">
        <f>IF($A1458="","",IFERROR(INDEX(Items!$B$5:$B$597,MATCH($A1458,Items!$A$5:$A$597,0)),""))</f>
        <v/>
      </c>
      <c r="D1458" s="23" t="str">
        <f>IF($A1458="","",N(Receipts!$G1461))</f>
        <v/>
      </c>
      <c r="E1458" s="20" t="str">
        <f>IF($A1458="","",IFERROR(INDEX(Items!$D$5:$D$597,MATCH($A1458,Items!$A$5:$A$597,0)),0))</f>
        <v/>
      </c>
      <c r="F1458" s="21" t="str">
        <f t="shared" si="110"/>
        <v/>
      </c>
      <c r="G1458" s="25" t="str">
        <f>IF(Receipts!$I1461="","",Receipts!$I1461)</f>
        <v/>
      </c>
      <c r="H1458" s="25" t="str">
        <f>IF(Receipts!$H1461="","",Receipts!$H1461)</f>
        <v/>
      </c>
      <c r="I1458" s="26" t="str">
        <f t="shared" ca="1" si="111"/>
        <v/>
      </c>
      <c r="J1458" s="26" t="str">
        <f>IF($A1458="","",COUNTIFS(tblReceipts[Item Name],$A1458,tblReceipts[Expiry Date],"&lt;"&amp;$H1458)+COUNTIFS(tblReceipts[Item Name],$A1458,tblReceipts[Expiry Date],$H1458,tblReceipts[Lot Number],"&lt;="&amp;Receipts!$C1461))</f>
        <v/>
      </c>
      <c r="K1458" s="26" t="str">
        <f>IF($A1458="","",SUMIFS(tblReceipts[Qty Received],tblReceipts[Item Name],$A1458,tblReceipts[Expiry Date],"&lt;"&amp;$H1458)+SUMIFS(tblReceipts[Qty Received],tblReceipts[Item Name],$A1458,tblReceipts[Expiry Date],$H1458,tblReceipts[Lot Number],"&lt;"&amp;Receipts!$C1461))</f>
        <v/>
      </c>
      <c r="L1458" s="26" t="str">
        <f>IF($A1458="","",MIN($D1458,MAX(0,SUMIFS(tblIssues[Qty Issued],tblIssues[Item Name],$A1458)-$K1458)))</f>
        <v/>
      </c>
      <c r="M1458" s="26" t="str">
        <f>IF($A1458="","",SUMIFS(tblIssues[Qty Issued],tblIssues[Lot Number],$B1458))</f>
        <v/>
      </c>
      <c r="N1458" s="26" t="str">
        <f t="shared" si="112"/>
        <v/>
      </c>
      <c r="O1458" s="26" t="str">
        <f t="shared" si="113"/>
        <v/>
      </c>
      <c r="P1458" s="21" t="str">
        <f t="shared" si="114"/>
        <v/>
      </c>
      <c r="Q1458" s="52" t="str">
        <f>IF($A1458="","",IF($O1458&lt;=0,"Depleted",IF($I1458&lt;0,"EXPIRED",IF($I1458&lt;=Settings!$C$6,"CRITICAL",IF($I1458&lt;=Settings!$C$5,"Expiring","In date")))))</f>
        <v/>
      </c>
    </row>
    <row r="1459" spans="1:17" x14ac:dyDescent="0.35">
      <c r="A1459" s="90" t="str">
        <f>IF(Receipts!$D1462="","",Receipts!$D1462)</f>
        <v/>
      </c>
      <c r="B1459" s="18" t="str">
        <f>IF(Receipts!$C1462="","",Receipts!$C1462)</f>
        <v/>
      </c>
      <c r="C1459" s="18" t="str">
        <f>IF($A1459="","",IFERROR(INDEX(Items!$B$5:$B$597,MATCH($A1459,Items!$A$5:$A$597,0)),""))</f>
        <v/>
      </c>
      <c r="D1459" s="23" t="str">
        <f>IF($A1459="","",N(Receipts!$G1462))</f>
        <v/>
      </c>
      <c r="E1459" s="20" t="str">
        <f>IF($A1459="","",IFERROR(INDEX(Items!$D$5:$D$597,MATCH($A1459,Items!$A$5:$A$597,0)),0))</f>
        <v/>
      </c>
      <c r="F1459" s="21" t="str">
        <f t="shared" si="110"/>
        <v/>
      </c>
      <c r="G1459" s="25" t="str">
        <f>IF(Receipts!$I1462="","",Receipts!$I1462)</f>
        <v/>
      </c>
      <c r="H1459" s="25" t="str">
        <f>IF(Receipts!$H1462="","",Receipts!$H1462)</f>
        <v/>
      </c>
      <c r="I1459" s="26" t="str">
        <f t="shared" ca="1" si="111"/>
        <v/>
      </c>
      <c r="J1459" s="26" t="str">
        <f>IF($A1459="","",COUNTIFS(tblReceipts[Item Name],$A1459,tblReceipts[Expiry Date],"&lt;"&amp;$H1459)+COUNTIFS(tblReceipts[Item Name],$A1459,tblReceipts[Expiry Date],$H1459,tblReceipts[Lot Number],"&lt;="&amp;Receipts!$C1462))</f>
        <v/>
      </c>
      <c r="K1459" s="26" t="str">
        <f>IF($A1459="","",SUMIFS(tblReceipts[Qty Received],tblReceipts[Item Name],$A1459,tblReceipts[Expiry Date],"&lt;"&amp;$H1459)+SUMIFS(tblReceipts[Qty Received],tblReceipts[Item Name],$A1459,tblReceipts[Expiry Date],$H1459,tblReceipts[Lot Number],"&lt;"&amp;Receipts!$C1462))</f>
        <v/>
      </c>
      <c r="L1459" s="26" t="str">
        <f>IF($A1459="","",MIN($D1459,MAX(0,SUMIFS(tblIssues[Qty Issued],tblIssues[Item Name],$A1459)-$K1459)))</f>
        <v/>
      </c>
      <c r="M1459" s="26" t="str">
        <f>IF($A1459="","",SUMIFS(tblIssues[Qty Issued],tblIssues[Lot Number],$B1459))</f>
        <v/>
      </c>
      <c r="N1459" s="26" t="str">
        <f t="shared" si="112"/>
        <v/>
      </c>
      <c r="O1459" s="26" t="str">
        <f t="shared" si="113"/>
        <v/>
      </c>
      <c r="P1459" s="21" t="str">
        <f t="shared" si="114"/>
        <v/>
      </c>
      <c r="Q1459" s="52" t="str">
        <f>IF($A1459="","",IF($O1459&lt;=0,"Depleted",IF($I1459&lt;0,"EXPIRED",IF($I1459&lt;=Settings!$C$6,"CRITICAL",IF($I1459&lt;=Settings!$C$5,"Expiring","In date")))))</f>
        <v/>
      </c>
    </row>
    <row r="1460" spans="1:17" x14ac:dyDescent="0.35">
      <c r="A1460" s="90" t="str">
        <f>IF(Receipts!$D1463="","",Receipts!$D1463)</f>
        <v/>
      </c>
      <c r="B1460" s="18" t="str">
        <f>IF(Receipts!$C1463="","",Receipts!$C1463)</f>
        <v/>
      </c>
      <c r="C1460" s="18" t="str">
        <f>IF($A1460="","",IFERROR(INDEX(Items!$B$5:$B$597,MATCH($A1460,Items!$A$5:$A$597,0)),""))</f>
        <v/>
      </c>
      <c r="D1460" s="23" t="str">
        <f>IF($A1460="","",N(Receipts!$G1463))</f>
        <v/>
      </c>
      <c r="E1460" s="20" t="str">
        <f>IF($A1460="","",IFERROR(INDEX(Items!$D$5:$D$597,MATCH($A1460,Items!$A$5:$A$597,0)),0))</f>
        <v/>
      </c>
      <c r="F1460" s="21" t="str">
        <f t="shared" si="110"/>
        <v/>
      </c>
      <c r="G1460" s="25" t="str">
        <f>IF(Receipts!$I1463="","",Receipts!$I1463)</f>
        <v/>
      </c>
      <c r="H1460" s="25" t="str">
        <f>IF(Receipts!$H1463="","",Receipts!$H1463)</f>
        <v/>
      </c>
      <c r="I1460" s="26" t="str">
        <f t="shared" ca="1" si="111"/>
        <v/>
      </c>
      <c r="J1460" s="26" t="str">
        <f>IF($A1460="","",COUNTIFS(tblReceipts[Item Name],$A1460,tblReceipts[Expiry Date],"&lt;"&amp;$H1460)+COUNTIFS(tblReceipts[Item Name],$A1460,tblReceipts[Expiry Date],$H1460,tblReceipts[Lot Number],"&lt;="&amp;Receipts!$C1463))</f>
        <v/>
      </c>
      <c r="K1460" s="26" t="str">
        <f>IF($A1460="","",SUMIFS(tblReceipts[Qty Received],tblReceipts[Item Name],$A1460,tblReceipts[Expiry Date],"&lt;"&amp;$H1460)+SUMIFS(tblReceipts[Qty Received],tblReceipts[Item Name],$A1460,tblReceipts[Expiry Date],$H1460,tblReceipts[Lot Number],"&lt;"&amp;Receipts!$C1463))</f>
        <v/>
      </c>
      <c r="L1460" s="26" t="str">
        <f>IF($A1460="","",MIN($D1460,MAX(0,SUMIFS(tblIssues[Qty Issued],tblIssues[Item Name],$A1460)-$K1460)))</f>
        <v/>
      </c>
      <c r="M1460" s="26" t="str">
        <f>IF($A1460="","",SUMIFS(tblIssues[Qty Issued],tblIssues[Lot Number],$B1460))</f>
        <v/>
      </c>
      <c r="N1460" s="26" t="str">
        <f t="shared" si="112"/>
        <v/>
      </c>
      <c r="O1460" s="26" t="str">
        <f t="shared" si="113"/>
        <v/>
      </c>
      <c r="P1460" s="21" t="str">
        <f t="shared" si="114"/>
        <v/>
      </c>
      <c r="Q1460" s="52" t="str">
        <f>IF($A1460="","",IF($O1460&lt;=0,"Depleted",IF($I1460&lt;0,"EXPIRED",IF($I1460&lt;=Settings!$C$6,"CRITICAL",IF($I1460&lt;=Settings!$C$5,"Expiring","In date")))))</f>
        <v/>
      </c>
    </row>
    <row r="1461" spans="1:17" x14ac:dyDescent="0.35">
      <c r="A1461" s="90" t="str">
        <f>IF(Receipts!$D1464="","",Receipts!$D1464)</f>
        <v/>
      </c>
      <c r="B1461" s="18" t="str">
        <f>IF(Receipts!$C1464="","",Receipts!$C1464)</f>
        <v/>
      </c>
      <c r="C1461" s="18" t="str">
        <f>IF($A1461="","",IFERROR(INDEX(Items!$B$5:$B$597,MATCH($A1461,Items!$A$5:$A$597,0)),""))</f>
        <v/>
      </c>
      <c r="D1461" s="23" t="str">
        <f>IF($A1461="","",N(Receipts!$G1464))</f>
        <v/>
      </c>
      <c r="E1461" s="20" t="str">
        <f>IF($A1461="","",IFERROR(INDEX(Items!$D$5:$D$597,MATCH($A1461,Items!$A$5:$A$597,0)),0))</f>
        <v/>
      </c>
      <c r="F1461" s="21" t="str">
        <f t="shared" si="110"/>
        <v/>
      </c>
      <c r="G1461" s="25" t="str">
        <f>IF(Receipts!$I1464="","",Receipts!$I1464)</f>
        <v/>
      </c>
      <c r="H1461" s="25" t="str">
        <f>IF(Receipts!$H1464="","",Receipts!$H1464)</f>
        <v/>
      </c>
      <c r="I1461" s="26" t="str">
        <f t="shared" ca="1" si="111"/>
        <v/>
      </c>
      <c r="J1461" s="26" t="str">
        <f>IF($A1461="","",COUNTIFS(tblReceipts[Item Name],$A1461,tblReceipts[Expiry Date],"&lt;"&amp;$H1461)+COUNTIFS(tblReceipts[Item Name],$A1461,tblReceipts[Expiry Date],$H1461,tblReceipts[Lot Number],"&lt;="&amp;Receipts!$C1464))</f>
        <v/>
      </c>
      <c r="K1461" s="26" t="str">
        <f>IF($A1461="","",SUMIFS(tblReceipts[Qty Received],tblReceipts[Item Name],$A1461,tblReceipts[Expiry Date],"&lt;"&amp;$H1461)+SUMIFS(tblReceipts[Qty Received],tblReceipts[Item Name],$A1461,tblReceipts[Expiry Date],$H1461,tblReceipts[Lot Number],"&lt;"&amp;Receipts!$C1464))</f>
        <v/>
      </c>
      <c r="L1461" s="26" t="str">
        <f>IF($A1461="","",MIN($D1461,MAX(0,SUMIFS(tblIssues[Qty Issued],tblIssues[Item Name],$A1461)-$K1461)))</f>
        <v/>
      </c>
      <c r="M1461" s="26" t="str">
        <f>IF($A1461="","",SUMIFS(tblIssues[Qty Issued],tblIssues[Lot Number],$B1461))</f>
        <v/>
      </c>
      <c r="N1461" s="26" t="str">
        <f t="shared" si="112"/>
        <v/>
      </c>
      <c r="O1461" s="26" t="str">
        <f t="shared" si="113"/>
        <v/>
      </c>
      <c r="P1461" s="21" t="str">
        <f t="shared" si="114"/>
        <v/>
      </c>
      <c r="Q1461" s="52" t="str">
        <f>IF($A1461="","",IF($O1461&lt;=0,"Depleted",IF($I1461&lt;0,"EXPIRED",IF($I1461&lt;=Settings!$C$6,"CRITICAL",IF($I1461&lt;=Settings!$C$5,"Expiring","In date")))))</f>
        <v/>
      </c>
    </row>
    <row r="1462" spans="1:17" x14ac:dyDescent="0.35">
      <c r="A1462" s="90" t="str">
        <f>IF(Receipts!$D1465="","",Receipts!$D1465)</f>
        <v/>
      </c>
      <c r="B1462" s="18" t="str">
        <f>IF(Receipts!$C1465="","",Receipts!$C1465)</f>
        <v/>
      </c>
      <c r="C1462" s="18" t="str">
        <f>IF($A1462="","",IFERROR(INDEX(Items!$B$5:$B$597,MATCH($A1462,Items!$A$5:$A$597,0)),""))</f>
        <v/>
      </c>
      <c r="D1462" s="23" t="str">
        <f>IF($A1462="","",N(Receipts!$G1465))</f>
        <v/>
      </c>
      <c r="E1462" s="20" t="str">
        <f>IF($A1462="","",IFERROR(INDEX(Items!$D$5:$D$597,MATCH($A1462,Items!$A$5:$A$597,0)),0))</f>
        <v/>
      </c>
      <c r="F1462" s="21" t="str">
        <f t="shared" si="110"/>
        <v/>
      </c>
      <c r="G1462" s="25" t="str">
        <f>IF(Receipts!$I1465="","",Receipts!$I1465)</f>
        <v/>
      </c>
      <c r="H1462" s="25" t="str">
        <f>IF(Receipts!$H1465="","",Receipts!$H1465)</f>
        <v/>
      </c>
      <c r="I1462" s="26" t="str">
        <f t="shared" ca="1" si="111"/>
        <v/>
      </c>
      <c r="J1462" s="26" t="str">
        <f>IF($A1462="","",COUNTIFS(tblReceipts[Item Name],$A1462,tblReceipts[Expiry Date],"&lt;"&amp;$H1462)+COUNTIFS(tblReceipts[Item Name],$A1462,tblReceipts[Expiry Date],$H1462,tblReceipts[Lot Number],"&lt;="&amp;Receipts!$C1465))</f>
        <v/>
      </c>
      <c r="K1462" s="26" t="str">
        <f>IF($A1462="","",SUMIFS(tblReceipts[Qty Received],tblReceipts[Item Name],$A1462,tblReceipts[Expiry Date],"&lt;"&amp;$H1462)+SUMIFS(tblReceipts[Qty Received],tblReceipts[Item Name],$A1462,tblReceipts[Expiry Date],$H1462,tblReceipts[Lot Number],"&lt;"&amp;Receipts!$C1465))</f>
        <v/>
      </c>
      <c r="L1462" s="26" t="str">
        <f>IF($A1462="","",MIN($D1462,MAX(0,SUMIFS(tblIssues[Qty Issued],tblIssues[Item Name],$A1462)-$K1462)))</f>
        <v/>
      </c>
      <c r="M1462" s="26" t="str">
        <f>IF($A1462="","",SUMIFS(tblIssues[Qty Issued],tblIssues[Lot Number],$B1462))</f>
        <v/>
      </c>
      <c r="N1462" s="26" t="str">
        <f t="shared" si="112"/>
        <v/>
      </c>
      <c r="O1462" s="26" t="str">
        <f t="shared" si="113"/>
        <v/>
      </c>
      <c r="P1462" s="21" t="str">
        <f t="shared" si="114"/>
        <v/>
      </c>
      <c r="Q1462" s="52" t="str">
        <f>IF($A1462="","",IF($O1462&lt;=0,"Depleted",IF($I1462&lt;0,"EXPIRED",IF($I1462&lt;=Settings!$C$6,"CRITICAL",IF($I1462&lt;=Settings!$C$5,"Expiring","In date")))))</f>
        <v/>
      </c>
    </row>
    <row r="1463" spans="1:17" x14ac:dyDescent="0.35">
      <c r="A1463" s="90" t="str">
        <f>IF(Receipts!$D1466="","",Receipts!$D1466)</f>
        <v/>
      </c>
      <c r="B1463" s="18" t="str">
        <f>IF(Receipts!$C1466="","",Receipts!$C1466)</f>
        <v/>
      </c>
      <c r="C1463" s="18" t="str">
        <f>IF($A1463="","",IFERROR(INDEX(Items!$B$5:$B$597,MATCH($A1463,Items!$A$5:$A$597,0)),""))</f>
        <v/>
      </c>
      <c r="D1463" s="23" t="str">
        <f>IF($A1463="","",N(Receipts!$G1466))</f>
        <v/>
      </c>
      <c r="E1463" s="20" t="str">
        <f>IF($A1463="","",IFERROR(INDEX(Items!$D$5:$D$597,MATCH($A1463,Items!$A$5:$A$597,0)),0))</f>
        <v/>
      </c>
      <c r="F1463" s="21" t="str">
        <f t="shared" si="110"/>
        <v/>
      </c>
      <c r="G1463" s="25" t="str">
        <f>IF(Receipts!$I1466="","",Receipts!$I1466)</f>
        <v/>
      </c>
      <c r="H1463" s="25" t="str">
        <f>IF(Receipts!$H1466="","",Receipts!$H1466)</f>
        <v/>
      </c>
      <c r="I1463" s="26" t="str">
        <f t="shared" ca="1" si="111"/>
        <v/>
      </c>
      <c r="J1463" s="26" t="str">
        <f>IF($A1463="","",COUNTIFS(tblReceipts[Item Name],$A1463,tblReceipts[Expiry Date],"&lt;"&amp;$H1463)+COUNTIFS(tblReceipts[Item Name],$A1463,tblReceipts[Expiry Date],$H1463,tblReceipts[Lot Number],"&lt;="&amp;Receipts!$C1466))</f>
        <v/>
      </c>
      <c r="K1463" s="26" t="str">
        <f>IF($A1463="","",SUMIFS(tblReceipts[Qty Received],tblReceipts[Item Name],$A1463,tblReceipts[Expiry Date],"&lt;"&amp;$H1463)+SUMIFS(tblReceipts[Qty Received],tblReceipts[Item Name],$A1463,tblReceipts[Expiry Date],$H1463,tblReceipts[Lot Number],"&lt;"&amp;Receipts!$C1466))</f>
        <v/>
      </c>
      <c r="L1463" s="26" t="str">
        <f>IF($A1463="","",MIN($D1463,MAX(0,SUMIFS(tblIssues[Qty Issued],tblIssues[Item Name],$A1463)-$K1463)))</f>
        <v/>
      </c>
      <c r="M1463" s="26" t="str">
        <f>IF($A1463="","",SUMIFS(tblIssues[Qty Issued],tblIssues[Lot Number],$B1463))</f>
        <v/>
      </c>
      <c r="N1463" s="26" t="str">
        <f t="shared" si="112"/>
        <v/>
      </c>
      <c r="O1463" s="26" t="str">
        <f t="shared" si="113"/>
        <v/>
      </c>
      <c r="P1463" s="21" t="str">
        <f t="shared" si="114"/>
        <v/>
      </c>
      <c r="Q1463" s="52" t="str">
        <f>IF($A1463="","",IF($O1463&lt;=0,"Depleted",IF($I1463&lt;0,"EXPIRED",IF($I1463&lt;=Settings!$C$6,"CRITICAL",IF($I1463&lt;=Settings!$C$5,"Expiring","In date")))))</f>
        <v/>
      </c>
    </row>
    <row r="1464" spans="1:17" x14ac:dyDescent="0.35">
      <c r="A1464" s="90" t="str">
        <f>IF(Receipts!$D1467="","",Receipts!$D1467)</f>
        <v/>
      </c>
      <c r="B1464" s="18" t="str">
        <f>IF(Receipts!$C1467="","",Receipts!$C1467)</f>
        <v/>
      </c>
      <c r="C1464" s="18" t="str">
        <f>IF($A1464="","",IFERROR(INDEX(Items!$B$5:$B$597,MATCH($A1464,Items!$A$5:$A$597,0)),""))</f>
        <v/>
      </c>
      <c r="D1464" s="23" t="str">
        <f>IF($A1464="","",N(Receipts!$G1467))</f>
        <v/>
      </c>
      <c r="E1464" s="20" t="str">
        <f>IF($A1464="","",IFERROR(INDEX(Items!$D$5:$D$597,MATCH($A1464,Items!$A$5:$A$597,0)),0))</f>
        <v/>
      </c>
      <c r="F1464" s="21" t="str">
        <f t="shared" si="110"/>
        <v/>
      </c>
      <c r="G1464" s="25" t="str">
        <f>IF(Receipts!$I1467="","",Receipts!$I1467)</f>
        <v/>
      </c>
      <c r="H1464" s="25" t="str">
        <f>IF(Receipts!$H1467="","",Receipts!$H1467)</f>
        <v/>
      </c>
      <c r="I1464" s="26" t="str">
        <f t="shared" ca="1" si="111"/>
        <v/>
      </c>
      <c r="J1464" s="26" t="str">
        <f>IF($A1464="","",COUNTIFS(tblReceipts[Item Name],$A1464,tblReceipts[Expiry Date],"&lt;"&amp;$H1464)+COUNTIFS(tblReceipts[Item Name],$A1464,tblReceipts[Expiry Date],$H1464,tblReceipts[Lot Number],"&lt;="&amp;Receipts!$C1467))</f>
        <v/>
      </c>
      <c r="K1464" s="26" t="str">
        <f>IF($A1464="","",SUMIFS(tblReceipts[Qty Received],tblReceipts[Item Name],$A1464,tblReceipts[Expiry Date],"&lt;"&amp;$H1464)+SUMIFS(tblReceipts[Qty Received],tblReceipts[Item Name],$A1464,tblReceipts[Expiry Date],$H1464,tblReceipts[Lot Number],"&lt;"&amp;Receipts!$C1467))</f>
        <v/>
      </c>
      <c r="L1464" s="26" t="str">
        <f>IF($A1464="","",MIN($D1464,MAX(0,SUMIFS(tblIssues[Qty Issued],tblIssues[Item Name],$A1464)-$K1464)))</f>
        <v/>
      </c>
      <c r="M1464" s="26" t="str">
        <f>IF($A1464="","",SUMIFS(tblIssues[Qty Issued],tblIssues[Lot Number],$B1464))</f>
        <v/>
      </c>
      <c r="N1464" s="26" t="str">
        <f t="shared" si="112"/>
        <v/>
      </c>
      <c r="O1464" s="26" t="str">
        <f t="shared" si="113"/>
        <v/>
      </c>
      <c r="P1464" s="21" t="str">
        <f t="shared" si="114"/>
        <v/>
      </c>
      <c r="Q1464" s="52" t="str">
        <f>IF($A1464="","",IF($O1464&lt;=0,"Depleted",IF($I1464&lt;0,"EXPIRED",IF($I1464&lt;=Settings!$C$6,"CRITICAL",IF($I1464&lt;=Settings!$C$5,"Expiring","In date")))))</f>
        <v/>
      </c>
    </row>
    <row r="1465" spans="1:17" x14ac:dyDescent="0.35">
      <c r="A1465" s="90" t="str">
        <f>IF(Receipts!$D1468="","",Receipts!$D1468)</f>
        <v/>
      </c>
      <c r="B1465" s="18" t="str">
        <f>IF(Receipts!$C1468="","",Receipts!$C1468)</f>
        <v/>
      </c>
      <c r="C1465" s="18" t="str">
        <f>IF($A1465="","",IFERROR(INDEX(Items!$B$5:$B$597,MATCH($A1465,Items!$A$5:$A$597,0)),""))</f>
        <v/>
      </c>
      <c r="D1465" s="23" t="str">
        <f>IF($A1465="","",N(Receipts!$G1468))</f>
        <v/>
      </c>
      <c r="E1465" s="20" t="str">
        <f>IF($A1465="","",IFERROR(INDEX(Items!$D$5:$D$597,MATCH($A1465,Items!$A$5:$A$597,0)),0))</f>
        <v/>
      </c>
      <c r="F1465" s="21" t="str">
        <f t="shared" si="110"/>
        <v/>
      </c>
      <c r="G1465" s="25" t="str">
        <f>IF(Receipts!$I1468="","",Receipts!$I1468)</f>
        <v/>
      </c>
      <c r="H1465" s="25" t="str">
        <f>IF(Receipts!$H1468="","",Receipts!$H1468)</f>
        <v/>
      </c>
      <c r="I1465" s="26" t="str">
        <f t="shared" ca="1" si="111"/>
        <v/>
      </c>
      <c r="J1465" s="26" t="str">
        <f>IF($A1465="","",COUNTIFS(tblReceipts[Item Name],$A1465,tblReceipts[Expiry Date],"&lt;"&amp;$H1465)+COUNTIFS(tblReceipts[Item Name],$A1465,tblReceipts[Expiry Date],$H1465,tblReceipts[Lot Number],"&lt;="&amp;Receipts!$C1468))</f>
        <v/>
      </c>
      <c r="K1465" s="26" t="str">
        <f>IF($A1465="","",SUMIFS(tblReceipts[Qty Received],tblReceipts[Item Name],$A1465,tblReceipts[Expiry Date],"&lt;"&amp;$H1465)+SUMIFS(tblReceipts[Qty Received],tblReceipts[Item Name],$A1465,tblReceipts[Expiry Date],$H1465,tblReceipts[Lot Number],"&lt;"&amp;Receipts!$C1468))</f>
        <v/>
      </c>
      <c r="L1465" s="26" t="str">
        <f>IF($A1465="","",MIN($D1465,MAX(0,SUMIFS(tblIssues[Qty Issued],tblIssues[Item Name],$A1465)-$K1465)))</f>
        <v/>
      </c>
      <c r="M1465" s="26" t="str">
        <f>IF($A1465="","",SUMIFS(tblIssues[Qty Issued],tblIssues[Lot Number],$B1465))</f>
        <v/>
      </c>
      <c r="N1465" s="26" t="str">
        <f t="shared" si="112"/>
        <v/>
      </c>
      <c r="O1465" s="26" t="str">
        <f t="shared" si="113"/>
        <v/>
      </c>
      <c r="P1465" s="21" t="str">
        <f t="shared" si="114"/>
        <v/>
      </c>
      <c r="Q1465" s="52" t="str">
        <f>IF($A1465="","",IF($O1465&lt;=0,"Depleted",IF($I1465&lt;0,"EXPIRED",IF($I1465&lt;=Settings!$C$6,"CRITICAL",IF($I1465&lt;=Settings!$C$5,"Expiring","In date")))))</f>
        <v/>
      </c>
    </row>
    <row r="1466" spans="1:17" x14ac:dyDescent="0.35">
      <c r="A1466" s="90" t="str">
        <f>IF(Receipts!$D1469="","",Receipts!$D1469)</f>
        <v/>
      </c>
      <c r="B1466" s="18" t="str">
        <f>IF(Receipts!$C1469="","",Receipts!$C1469)</f>
        <v/>
      </c>
      <c r="C1466" s="18" t="str">
        <f>IF($A1466="","",IFERROR(INDEX(Items!$B$5:$B$597,MATCH($A1466,Items!$A$5:$A$597,0)),""))</f>
        <v/>
      </c>
      <c r="D1466" s="23" t="str">
        <f>IF($A1466="","",N(Receipts!$G1469))</f>
        <v/>
      </c>
      <c r="E1466" s="20" t="str">
        <f>IF($A1466="","",IFERROR(INDEX(Items!$D$5:$D$597,MATCH($A1466,Items!$A$5:$A$597,0)),0))</f>
        <v/>
      </c>
      <c r="F1466" s="21" t="str">
        <f t="shared" si="110"/>
        <v/>
      </c>
      <c r="G1466" s="25" t="str">
        <f>IF(Receipts!$I1469="","",Receipts!$I1469)</f>
        <v/>
      </c>
      <c r="H1466" s="25" t="str">
        <f>IF(Receipts!$H1469="","",Receipts!$H1469)</f>
        <v/>
      </c>
      <c r="I1466" s="26" t="str">
        <f t="shared" ca="1" si="111"/>
        <v/>
      </c>
      <c r="J1466" s="26" t="str">
        <f>IF($A1466="","",COUNTIFS(tblReceipts[Item Name],$A1466,tblReceipts[Expiry Date],"&lt;"&amp;$H1466)+COUNTIFS(tblReceipts[Item Name],$A1466,tblReceipts[Expiry Date],$H1466,tblReceipts[Lot Number],"&lt;="&amp;Receipts!$C1469))</f>
        <v/>
      </c>
      <c r="K1466" s="26" t="str">
        <f>IF($A1466="","",SUMIFS(tblReceipts[Qty Received],tblReceipts[Item Name],$A1466,tblReceipts[Expiry Date],"&lt;"&amp;$H1466)+SUMIFS(tblReceipts[Qty Received],tblReceipts[Item Name],$A1466,tblReceipts[Expiry Date],$H1466,tblReceipts[Lot Number],"&lt;"&amp;Receipts!$C1469))</f>
        <v/>
      </c>
      <c r="L1466" s="26" t="str">
        <f>IF($A1466="","",MIN($D1466,MAX(0,SUMIFS(tblIssues[Qty Issued],tblIssues[Item Name],$A1466)-$K1466)))</f>
        <v/>
      </c>
      <c r="M1466" s="26" t="str">
        <f>IF($A1466="","",SUMIFS(tblIssues[Qty Issued],tblIssues[Lot Number],$B1466))</f>
        <v/>
      </c>
      <c r="N1466" s="26" t="str">
        <f t="shared" si="112"/>
        <v/>
      </c>
      <c r="O1466" s="26" t="str">
        <f t="shared" si="113"/>
        <v/>
      </c>
      <c r="P1466" s="21" t="str">
        <f t="shared" si="114"/>
        <v/>
      </c>
      <c r="Q1466" s="52" t="str">
        <f>IF($A1466="","",IF($O1466&lt;=0,"Depleted",IF($I1466&lt;0,"EXPIRED",IF($I1466&lt;=Settings!$C$6,"CRITICAL",IF($I1466&lt;=Settings!$C$5,"Expiring","In date")))))</f>
        <v/>
      </c>
    </row>
    <row r="1467" spans="1:17" x14ac:dyDescent="0.35">
      <c r="A1467" s="90" t="str">
        <f>IF(Receipts!$D1470="","",Receipts!$D1470)</f>
        <v/>
      </c>
      <c r="B1467" s="18" t="str">
        <f>IF(Receipts!$C1470="","",Receipts!$C1470)</f>
        <v/>
      </c>
      <c r="C1467" s="18" t="str">
        <f>IF($A1467="","",IFERROR(INDEX(Items!$B$5:$B$597,MATCH($A1467,Items!$A$5:$A$597,0)),""))</f>
        <v/>
      </c>
      <c r="D1467" s="23" t="str">
        <f>IF($A1467="","",N(Receipts!$G1470))</f>
        <v/>
      </c>
      <c r="E1467" s="20" t="str">
        <f>IF($A1467="","",IFERROR(INDEX(Items!$D$5:$D$597,MATCH($A1467,Items!$A$5:$A$597,0)),0))</f>
        <v/>
      </c>
      <c r="F1467" s="21" t="str">
        <f t="shared" si="110"/>
        <v/>
      </c>
      <c r="G1467" s="25" t="str">
        <f>IF(Receipts!$I1470="","",Receipts!$I1470)</f>
        <v/>
      </c>
      <c r="H1467" s="25" t="str">
        <f>IF(Receipts!$H1470="","",Receipts!$H1470)</f>
        <v/>
      </c>
      <c r="I1467" s="26" t="str">
        <f t="shared" ca="1" si="111"/>
        <v/>
      </c>
      <c r="J1467" s="26" t="str">
        <f>IF($A1467="","",COUNTIFS(tblReceipts[Item Name],$A1467,tblReceipts[Expiry Date],"&lt;"&amp;$H1467)+COUNTIFS(tblReceipts[Item Name],$A1467,tblReceipts[Expiry Date],$H1467,tblReceipts[Lot Number],"&lt;="&amp;Receipts!$C1470))</f>
        <v/>
      </c>
      <c r="K1467" s="26" t="str">
        <f>IF($A1467="","",SUMIFS(tblReceipts[Qty Received],tblReceipts[Item Name],$A1467,tblReceipts[Expiry Date],"&lt;"&amp;$H1467)+SUMIFS(tblReceipts[Qty Received],tblReceipts[Item Name],$A1467,tblReceipts[Expiry Date],$H1467,tblReceipts[Lot Number],"&lt;"&amp;Receipts!$C1470))</f>
        <v/>
      </c>
      <c r="L1467" s="26" t="str">
        <f>IF($A1467="","",MIN($D1467,MAX(0,SUMIFS(tblIssues[Qty Issued],tblIssues[Item Name],$A1467)-$K1467)))</f>
        <v/>
      </c>
      <c r="M1467" s="26" t="str">
        <f>IF($A1467="","",SUMIFS(tblIssues[Qty Issued],tblIssues[Lot Number],$B1467))</f>
        <v/>
      </c>
      <c r="N1467" s="26" t="str">
        <f t="shared" si="112"/>
        <v/>
      </c>
      <c r="O1467" s="26" t="str">
        <f t="shared" si="113"/>
        <v/>
      </c>
      <c r="P1467" s="21" t="str">
        <f t="shared" si="114"/>
        <v/>
      </c>
      <c r="Q1467" s="52" t="str">
        <f>IF($A1467="","",IF($O1467&lt;=0,"Depleted",IF($I1467&lt;0,"EXPIRED",IF($I1467&lt;=Settings!$C$6,"CRITICAL",IF($I1467&lt;=Settings!$C$5,"Expiring","In date")))))</f>
        <v/>
      </c>
    </row>
    <row r="1468" spans="1:17" x14ac:dyDescent="0.35">
      <c r="A1468" s="90" t="str">
        <f>IF(Receipts!$D1471="","",Receipts!$D1471)</f>
        <v/>
      </c>
      <c r="B1468" s="18" t="str">
        <f>IF(Receipts!$C1471="","",Receipts!$C1471)</f>
        <v/>
      </c>
      <c r="C1468" s="18" t="str">
        <f>IF($A1468="","",IFERROR(INDEX(Items!$B$5:$B$597,MATCH($A1468,Items!$A$5:$A$597,0)),""))</f>
        <v/>
      </c>
      <c r="D1468" s="23" t="str">
        <f>IF($A1468="","",N(Receipts!$G1471))</f>
        <v/>
      </c>
      <c r="E1468" s="20" t="str">
        <f>IF($A1468="","",IFERROR(INDEX(Items!$D$5:$D$597,MATCH($A1468,Items!$A$5:$A$597,0)),0))</f>
        <v/>
      </c>
      <c r="F1468" s="21" t="str">
        <f t="shared" si="110"/>
        <v/>
      </c>
      <c r="G1468" s="25" t="str">
        <f>IF(Receipts!$I1471="","",Receipts!$I1471)</f>
        <v/>
      </c>
      <c r="H1468" s="25" t="str">
        <f>IF(Receipts!$H1471="","",Receipts!$H1471)</f>
        <v/>
      </c>
      <c r="I1468" s="26" t="str">
        <f t="shared" ca="1" si="111"/>
        <v/>
      </c>
      <c r="J1468" s="26" t="str">
        <f>IF($A1468="","",COUNTIFS(tblReceipts[Item Name],$A1468,tblReceipts[Expiry Date],"&lt;"&amp;$H1468)+COUNTIFS(tblReceipts[Item Name],$A1468,tblReceipts[Expiry Date],$H1468,tblReceipts[Lot Number],"&lt;="&amp;Receipts!$C1471))</f>
        <v/>
      </c>
      <c r="K1468" s="26" t="str">
        <f>IF($A1468="","",SUMIFS(tblReceipts[Qty Received],tblReceipts[Item Name],$A1468,tblReceipts[Expiry Date],"&lt;"&amp;$H1468)+SUMIFS(tblReceipts[Qty Received],tblReceipts[Item Name],$A1468,tblReceipts[Expiry Date],$H1468,tblReceipts[Lot Number],"&lt;"&amp;Receipts!$C1471))</f>
        <v/>
      </c>
      <c r="L1468" s="26" t="str">
        <f>IF($A1468="","",MIN($D1468,MAX(0,SUMIFS(tblIssues[Qty Issued],tblIssues[Item Name],$A1468)-$K1468)))</f>
        <v/>
      </c>
      <c r="M1468" s="26" t="str">
        <f>IF($A1468="","",SUMIFS(tblIssues[Qty Issued],tblIssues[Lot Number],$B1468))</f>
        <v/>
      </c>
      <c r="N1468" s="26" t="str">
        <f t="shared" si="112"/>
        <v/>
      </c>
      <c r="O1468" s="26" t="str">
        <f t="shared" si="113"/>
        <v/>
      </c>
      <c r="P1468" s="21" t="str">
        <f t="shared" si="114"/>
        <v/>
      </c>
      <c r="Q1468" s="52" t="str">
        <f>IF($A1468="","",IF($O1468&lt;=0,"Depleted",IF($I1468&lt;0,"EXPIRED",IF($I1468&lt;=Settings!$C$6,"CRITICAL",IF($I1468&lt;=Settings!$C$5,"Expiring","In date")))))</f>
        <v/>
      </c>
    </row>
    <row r="1469" spans="1:17" x14ac:dyDescent="0.35">
      <c r="A1469" s="90" t="str">
        <f>IF(Receipts!$D1472="","",Receipts!$D1472)</f>
        <v/>
      </c>
      <c r="B1469" s="18" t="str">
        <f>IF(Receipts!$C1472="","",Receipts!$C1472)</f>
        <v/>
      </c>
      <c r="C1469" s="18" t="str">
        <f>IF($A1469="","",IFERROR(INDEX(Items!$B$5:$B$597,MATCH($A1469,Items!$A$5:$A$597,0)),""))</f>
        <v/>
      </c>
      <c r="D1469" s="23" t="str">
        <f>IF($A1469="","",N(Receipts!$G1472))</f>
        <v/>
      </c>
      <c r="E1469" s="20" t="str">
        <f>IF($A1469="","",IFERROR(INDEX(Items!$D$5:$D$597,MATCH($A1469,Items!$A$5:$A$597,0)),0))</f>
        <v/>
      </c>
      <c r="F1469" s="21" t="str">
        <f t="shared" si="110"/>
        <v/>
      </c>
      <c r="G1469" s="25" t="str">
        <f>IF(Receipts!$I1472="","",Receipts!$I1472)</f>
        <v/>
      </c>
      <c r="H1469" s="25" t="str">
        <f>IF(Receipts!$H1472="","",Receipts!$H1472)</f>
        <v/>
      </c>
      <c r="I1469" s="26" t="str">
        <f t="shared" ca="1" si="111"/>
        <v/>
      </c>
      <c r="J1469" s="26" t="str">
        <f>IF($A1469="","",COUNTIFS(tblReceipts[Item Name],$A1469,tblReceipts[Expiry Date],"&lt;"&amp;$H1469)+COUNTIFS(tblReceipts[Item Name],$A1469,tblReceipts[Expiry Date],$H1469,tblReceipts[Lot Number],"&lt;="&amp;Receipts!$C1472))</f>
        <v/>
      </c>
      <c r="K1469" s="26" t="str">
        <f>IF($A1469="","",SUMIFS(tblReceipts[Qty Received],tblReceipts[Item Name],$A1469,tblReceipts[Expiry Date],"&lt;"&amp;$H1469)+SUMIFS(tblReceipts[Qty Received],tblReceipts[Item Name],$A1469,tblReceipts[Expiry Date],$H1469,tblReceipts[Lot Number],"&lt;"&amp;Receipts!$C1472))</f>
        <v/>
      </c>
      <c r="L1469" s="26" t="str">
        <f>IF($A1469="","",MIN($D1469,MAX(0,SUMIFS(tblIssues[Qty Issued],tblIssues[Item Name],$A1469)-$K1469)))</f>
        <v/>
      </c>
      <c r="M1469" s="26" t="str">
        <f>IF($A1469="","",SUMIFS(tblIssues[Qty Issued],tblIssues[Lot Number],$B1469))</f>
        <v/>
      </c>
      <c r="N1469" s="26" t="str">
        <f t="shared" si="112"/>
        <v/>
      </c>
      <c r="O1469" s="26" t="str">
        <f t="shared" si="113"/>
        <v/>
      </c>
      <c r="P1469" s="21" t="str">
        <f t="shared" si="114"/>
        <v/>
      </c>
      <c r="Q1469" s="52" t="str">
        <f>IF($A1469="","",IF($O1469&lt;=0,"Depleted",IF($I1469&lt;0,"EXPIRED",IF($I1469&lt;=Settings!$C$6,"CRITICAL",IF($I1469&lt;=Settings!$C$5,"Expiring","In date")))))</f>
        <v/>
      </c>
    </row>
    <row r="1470" spans="1:17" x14ac:dyDescent="0.35">
      <c r="A1470" s="90" t="str">
        <f>IF(Receipts!$D1473="","",Receipts!$D1473)</f>
        <v/>
      </c>
      <c r="B1470" s="18" t="str">
        <f>IF(Receipts!$C1473="","",Receipts!$C1473)</f>
        <v/>
      </c>
      <c r="C1470" s="18" t="str">
        <f>IF($A1470="","",IFERROR(INDEX(Items!$B$5:$B$597,MATCH($A1470,Items!$A$5:$A$597,0)),""))</f>
        <v/>
      </c>
      <c r="D1470" s="23" t="str">
        <f>IF($A1470="","",N(Receipts!$G1473))</f>
        <v/>
      </c>
      <c r="E1470" s="20" t="str">
        <f>IF($A1470="","",IFERROR(INDEX(Items!$D$5:$D$597,MATCH($A1470,Items!$A$5:$A$597,0)),0))</f>
        <v/>
      </c>
      <c r="F1470" s="21" t="str">
        <f t="shared" si="110"/>
        <v/>
      </c>
      <c r="G1470" s="25" t="str">
        <f>IF(Receipts!$I1473="","",Receipts!$I1473)</f>
        <v/>
      </c>
      <c r="H1470" s="25" t="str">
        <f>IF(Receipts!$H1473="","",Receipts!$H1473)</f>
        <v/>
      </c>
      <c r="I1470" s="26" t="str">
        <f t="shared" ca="1" si="111"/>
        <v/>
      </c>
      <c r="J1470" s="26" t="str">
        <f>IF($A1470="","",COUNTIFS(tblReceipts[Item Name],$A1470,tblReceipts[Expiry Date],"&lt;"&amp;$H1470)+COUNTIFS(tblReceipts[Item Name],$A1470,tblReceipts[Expiry Date],$H1470,tblReceipts[Lot Number],"&lt;="&amp;Receipts!$C1473))</f>
        <v/>
      </c>
      <c r="K1470" s="26" t="str">
        <f>IF($A1470="","",SUMIFS(tblReceipts[Qty Received],tblReceipts[Item Name],$A1470,tblReceipts[Expiry Date],"&lt;"&amp;$H1470)+SUMIFS(tblReceipts[Qty Received],tblReceipts[Item Name],$A1470,tblReceipts[Expiry Date],$H1470,tblReceipts[Lot Number],"&lt;"&amp;Receipts!$C1473))</f>
        <v/>
      </c>
      <c r="L1470" s="26" t="str">
        <f>IF($A1470="","",MIN($D1470,MAX(0,SUMIFS(tblIssues[Qty Issued],tblIssues[Item Name],$A1470)-$K1470)))</f>
        <v/>
      </c>
      <c r="M1470" s="26" t="str">
        <f>IF($A1470="","",SUMIFS(tblIssues[Qty Issued],tblIssues[Lot Number],$B1470))</f>
        <v/>
      </c>
      <c r="N1470" s="26" t="str">
        <f t="shared" si="112"/>
        <v/>
      </c>
      <c r="O1470" s="26" t="str">
        <f t="shared" si="113"/>
        <v/>
      </c>
      <c r="P1470" s="21" t="str">
        <f t="shared" si="114"/>
        <v/>
      </c>
      <c r="Q1470" s="52" t="str">
        <f>IF($A1470="","",IF($O1470&lt;=0,"Depleted",IF($I1470&lt;0,"EXPIRED",IF($I1470&lt;=Settings!$C$6,"CRITICAL",IF($I1470&lt;=Settings!$C$5,"Expiring","In date")))))</f>
        <v/>
      </c>
    </row>
    <row r="1471" spans="1:17" x14ac:dyDescent="0.35">
      <c r="A1471" s="90" t="str">
        <f>IF(Receipts!$D1474="","",Receipts!$D1474)</f>
        <v/>
      </c>
      <c r="B1471" s="18" t="str">
        <f>IF(Receipts!$C1474="","",Receipts!$C1474)</f>
        <v/>
      </c>
      <c r="C1471" s="18" t="str">
        <f>IF($A1471="","",IFERROR(INDEX(Items!$B$5:$B$597,MATCH($A1471,Items!$A$5:$A$597,0)),""))</f>
        <v/>
      </c>
      <c r="D1471" s="23" t="str">
        <f>IF($A1471="","",N(Receipts!$G1474))</f>
        <v/>
      </c>
      <c r="E1471" s="20" t="str">
        <f>IF($A1471="","",IFERROR(INDEX(Items!$D$5:$D$597,MATCH($A1471,Items!$A$5:$A$597,0)),0))</f>
        <v/>
      </c>
      <c r="F1471" s="21" t="str">
        <f t="shared" si="110"/>
        <v/>
      </c>
      <c r="G1471" s="25" t="str">
        <f>IF(Receipts!$I1474="","",Receipts!$I1474)</f>
        <v/>
      </c>
      <c r="H1471" s="25" t="str">
        <f>IF(Receipts!$H1474="","",Receipts!$H1474)</f>
        <v/>
      </c>
      <c r="I1471" s="26" t="str">
        <f t="shared" ca="1" si="111"/>
        <v/>
      </c>
      <c r="J1471" s="26" t="str">
        <f>IF($A1471="","",COUNTIFS(tblReceipts[Item Name],$A1471,tblReceipts[Expiry Date],"&lt;"&amp;$H1471)+COUNTIFS(tblReceipts[Item Name],$A1471,tblReceipts[Expiry Date],$H1471,tblReceipts[Lot Number],"&lt;="&amp;Receipts!$C1474))</f>
        <v/>
      </c>
      <c r="K1471" s="26" t="str">
        <f>IF($A1471="","",SUMIFS(tblReceipts[Qty Received],tblReceipts[Item Name],$A1471,tblReceipts[Expiry Date],"&lt;"&amp;$H1471)+SUMIFS(tblReceipts[Qty Received],tblReceipts[Item Name],$A1471,tblReceipts[Expiry Date],$H1471,tblReceipts[Lot Number],"&lt;"&amp;Receipts!$C1474))</f>
        <v/>
      </c>
      <c r="L1471" s="26" t="str">
        <f>IF($A1471="","",MIN($D1471,MAX(0,SUMIFS(tblIssues[Qty Issued],tblIssues[Item Name],$A1471)-$K1471)))</f>
        <v/>
      </c>
      <c r="M1471" s="26" t="str">
        <f>IF($A1471="","",SUMIFS(tblIssues[Qty Issued],tblIssues[Lot Number],$B1471))</f>
        <v/>
      </c>
      <c r="N1471" s="26" t="str">
        <f t="shared" si="112"/>
        <v/>
      </c>
      <c r="O1471" s="26" t="str">
        <f t="shared" si="113"/>
        <v/>
      </c>
      <c r="P1471" s="21" t="str">
        <f t="shared" si="114"/>
        <v/>
      </c>
      <c r="Q1471" s="52" t="str">
        <f>IF($A1471="","",IF($O1471&lt;=0,"Depleted",IF($I1471&lt;0,"EXPIRED",IF($I1471&lt;=Settings!$C$6,"CRITICAL",IF($I1471&lt;=Settings!$C$5,"Expiring","In date")))))</f>
        <v/>
      </c>
    </row>
    <row r="1472" spans="1:17" x14ac:dyDescent="0.35">
      <c r="A1472" s="90" t="str">
        <f>IF(Receipts!$D1475="","",Receipts!$D1475)</f>
        <v/>
      </c>
      <c r="B1472" s="18" t="str">
        <f>IF(Receipts!$C1475="","",Receipts!$C1475)</f>
        <v/>
      </c>
      <c r="C1472" s="18" t="str">
        <f>IF($A1472="","",IFERROR(INDEX(Items!$B$5:$B$597,MATCH($A1472,Items!$A$5:$A$597,0)),""))</f>
        <v/>
      </c>
      <c r="D1472" s="23" t="str">
        <f>IF($A1472="","",N(Receipts!$G1475))</f>
        <v/>
      </c>
      <c r="E1472" s="20" t="str">
        <f>IF($A1472="","",IFERROR(INDEX(Items!$D$5:$D$597,MATCH($A1472,Items!$A$5:$A$597,0)),0))</f>
        <v/>
      </c>
      <c r="F1472" s="21" t="str">
        <f t="shared" si="110"/>
        <v/>
      </c>
      <c r="G1472" s="25" t="str">
        <f>IF(Receipts!$I1475="","",Receipts!$I1475)</f>
        <v/>
      </c>
      <c r="H1472" s="25" t="str">
        <f>IF(Receipts!$H1475="","",Receipts!$H1475)</f>
        <v/>
      </c>
      <c r="I1472" s="26" t="str">
        <f t="shared" ca="1" si="111"/>
        <v/>
      </c>
      <c r="J1472" s="26" t="str">
        <f>IF($A1472="","",COUNTIFS(tblReceipts[Item Name],$A1472,tblReceipts[Expiry Date],"&lt;"&amp;$H1472)+COUNTIFS(tblReceipts[Item Name],$A1472,tblReceipts[Expiry Date],$H1472,tblReceipts[Lot Number],"&lt;="&amp;Receipts!$C1475))</f>
        <v/>
      </c>
      <c r="K1472" s="26" t="str">
        <f>IF($A1472="","",SUMIFS(tblReceipts[Qty Received],tblReceipts[Item Name],$A1472,tblReceipts[Expiry Date],"&lt;"&amp;$H1472)+SUMIFS(tblReceipts[Qty Received],tblReceipts[Item Name],$A1472,tblReceipts[Expiry Date],$H1472,tblReceipts[Lot Number],"&lt;"&amp;Receipts!$C1475))</f>
        <v/>
      </c>
      <c r="L1472" s="26" t="str">
        <f>IF($A1472="","",MIN($D1472,MAX(0,SUMIFS(tblIssues[Qty Issued],tblIssues[Item Name],$A1472)-$K1472)))</f>
        <v/>
      </c>
      <c r="M1472" s="26" t="str">
        <f>IF($A1472="","",SUMIFS(tblIssues[Qty Issued],tblIssues[Lot Number],$B1472))</f>
        <v/>
      </c>
      <c r="N1472" s="26" t="str">
        <f t="shared" si="112"/>
        <v/>
      </c>
      <c r="O1472" s="26" t="str">
        <f t="shared" si="113"/>
        <v/>
      </c>
      <c r="P1472" s="21" t="str">
        <f t="shared" si="114"/>
        <v/>
      </c>
      <c r="Q1472" s="52" t="str">
        <f>IF($A1472="","",IF($O1472&lt;=0,"Depleted",IF($I1472&lt;0,"EXPIRED",IF($I1472&lt;=Settings!$C$6,"CRITICAL",IF($I1472&lt;=Settings!$C$5,"Expiring","In date")))))</f>
        <v/>
      </c>
    </row>
    <row r="1473" spans="1:17" x14ac:dyDescent="0.35">
      <c r="A1473" s="90" t="str">
        <f>IF(Receipts!$D1476="","",Receipts!$D1476)</f>
        <v/>
      </c>
      <c r="B1473" s="18" t="str">
        <f>IF(Receipts!$C1476="","",Receipts!$C1476)</f>
        <v/>
      </c>
      <c r="C1473" s="18" t="str">
        <f>IF($A1473="","",IFERROR(INDEX(Items!$B$5:$B$597,MATCH($A1473,Items!$A$5:$A$597,0)),""))</f>
        <v/>
      </c>
      <c r="D1473" s="23" t="str">
        <f>IF($A1473="","",N(Receipts!$G1476))</f>
        <v/>
      </c>
      <c r="E1473" s="20" t="str">
        <f>IF($A1473="","",IFERROR(INDEX(Items!$D$5:$D$597,MATCH($A1473,Items!$A$5:$A$597,0)),0))</f>
        <v/>
      </c>
      <c r="F1473" s="21" t="str">
        <f t="shared" si="110"/>
        <v/>
      </c>
      <c r="G1473" s="25" t="str">
        <f>IF(Receipts!$I1476="","",Receipts!$I1476)</f>
        <v/>
      </c>
      <c r="H1473" s="25" t="str">
        <f>IF(Receipts!$H1476="","",Receipts!$H1476)</f>
        <v/>
      </c>
      <c r="I1473" s="26" t="str">
        <f t="shared" ca="1" si="111"/>
        <v/>
      </c>
      <c r="J1473" s="26" t="str">
        <f>IF($A1473="","",COUNTIFS(tblReceipts[Item Name],$A1473,tblReceipts[Expiry Date],"&lt;"&amp;$H1473)+COUNTIFS(tblReceipts[Item Name],$A1473,tblReceipts[Expiry Date],$H1473,tblReceipts[Lot Number],"&lt;="&amp;Receipts!$C1476))</f>
        <v/>
      </c>
      <c r="K1473" s="26" t="str">
        <f>IF($A1473="","",SUMIFS(tblReceipts[Qty Received],tblReceipts[Item Name],$A1473,tblReceipts[Expiry Date],"&lt;"&amp;$H1473)+SUMIFS(tblReceipts[Qty Received],tblReceipts[Item Name],$A1473,tblReceipts[Expiry Date],$H1473,tblReceipts[Lot Number],"&lt;"&amp;Receipts!$C1476))</f>
        <v/>
      </c>
      <c r="L1473" s="26" t="str">
        <f>IF($A1473="","",MIN($D1473,MAX(0,SUMIFS(tblIssues[Qty Issued],tblIssues[Item Name],$A1473)-$K1473)))</f>
        <v/>
      </c>
      <c r="M1473" s="26" t="str">
        <f>IF($A1473="","",SUMIFS(tblIssues[Qty Issued],tblIssues[Lot Number],$B1473))</f>
        <v/>
      </c>
      <c r="N1473" s="26" t="str">
        <f t="shared" si="112"/>
        <v/>
      </c>
      <c r="O1473" s="26" t="str">
        <f t="shared" si="113"/>
        <v/>
      </c>
      <c r="P1473" s="21" t="str">
        <f t="shared" si="114"/>
        <v/>
      </c>
      <c r="Q1473" s="52" t="str">
        <f>IF($A1473="","",IF($O1473&lt;=0,"Depleted",IF($I1473&lt;0,"EXPIRED",IF($I1473&lt;=Settings!$C$6,"CRITICAL",IF($I1473&lt;=Settings!$C$5,"Expiring","In date")))))</f>
        <v/>
      </c>
    </row>
    <row r="1474" spans="1:17" x14ac:dyDescent="0.35">
      <c r="A1474" s="90" t="str">
        <f>IF(Receipts!$D1477="","",Receipts!$D1477)</f>
        <v/>
      </c>
      <c r="B1474" s="18" t="str">
        <f>IF(Receipts!$C1477="","",Receipts!$C1477)</f>
        <v/>
      </c>
      <c r="C1474" s="18" t="str">
        <f>IF($A1474="","",IFERROR(INDEX(Items!$B$5:$B$597,MATCH($A1474,Items!$A$5:$A$597,0)),""))</f>
        <v/>
      </c>
      <c r="D1474" s="23" t="str">
        <f>IF($A1474="","",N(Receipts!$G1477))</f>
        <v/>
      </c>
      <c r="E1474" s="20" t="str">
        <f>IF($A1474="","",IFERROR(INDEX(Items!$D$5:$D$597,MATCH($A1474,Items!$A$5:$A$597,0)),0))</f>
        <v/>
      </c>
      <c r="F1474" s="21" t="str">
        <f t="shared" si="110"/>
        <v/>
      </c>
      <c r="G1474" s="25" t="str">
        <f>IF(Receipts!$I1477="","",Receipts!$I1477)</f>
        <v/>
      </c>
      <c r="H1474" s="25" t="str">
        <f>IF(Receipts!$H1477="","",Receipts!$H1477)</f>
        <v/>
      </c>
      <c r="I1474" s="26" t="str">
        <f t="shared" ca="1" si="111"/>
        <v/>
      </c>
      <c r="J1474" s="26" t="str">
        <f>IF($A1474="","",COUNTIFS(tblReceipts[Item Name],$A1474,tblReceipts[Expiry Date],"&lt;"&amp;$H1474)+COUNTIFS(tblReceipts[Item Name],$A1474,tblReceipts[Expiry Date],$H1474,tblReceipts[Lot Number],"&lt;="&amp;Receipts!$C1477))</f>
        <v/>
      </c>
      <c r="K1474" s="26" t="str">
        <f>IF($A1474="","",SUMIFS(tblReceipts[Qty Received],tblReceipts[Item Name],$A1474,tblReceipts[Expiry Date],"&lt;"&amp;$H1474)+SUMIFS(tblReceipts[Qty Received],tblReceipts[Item Name],$A1474,tblReceipts[Expiry Date],$H1474,tblReceipts[Lot Number],"&lt;"&amp;Receipts!$C1477))</f>
        <v/>
      </c>
      <c r="L1474" s="26" t="str">
        <f>IF($A1474="","",MIN($D1474,MAX(0,SUMIFS(tblIssues[Qty Issued],tblIssues[Item Name],$A1474)-$K1474)))</f>
        <v/>
      </c>
      <c r="M1474" s="26" t="str">
        <f>IF($A1474="","",SUMIFS(tblIssues[Qty Issued],tblIssues[Lot Number],$B1474))</f>
        <v/>
      </c>
      <c r="N1474" s="26" t="str">
        <f t="shared" si="112"/>
        <v/>
      </c>
      <c r="O1474" s="26" t="str">
        <f t="shared" si="113"/>
        <v/>
      </c>
      <c r="P1474" s="21" t="str">
        <f t="shared" si="114"/>
        <v/>
      </c>
      <c r="Q1474" s="52" t="str">
        <f>IF($A1474="","",IF($O1474&lt;=0,"Depleted",IF($I1474&lt;0,"EXPIRED",IF($I1474&lt;=Settings!$C$6,"CRITICAL",IF($I1474&lt;=Settings!$C$5,"Expiring","In date")))))</f>
        <v/>
      </c>
    </row>
    <row r="1475" spans="1:17" x14ac:dyDescent="0.35">
      <c r="A1475" s="90" t="str">
        <f>IF(Receipts!$D1478="","",Receipts!$D1478)</f>
        <v/>
      </c>
      <c r="B1475" s="18" t="str">
        <f>IF(Receipts!$C1478="","",Receipts!$C1478)</f>
        <v/>
      </c>
      <c r="C1475" s="18" t="str">
        <f>IF($A1475="","",IFERROR(INDEX(Items!$B$5:$B$597,MATCH($A1475,Items!$A$5:$A$597,0)),""))</f>
        <v/>
      </c>
      <c r="D1475" s="23" t="str">
        <f>IF($A1475="","",N(Receipts!$G1478))</f>
        <v/>
      </c>
      <c r="E1475" s="20" t="str">
        <f>IF($A1475="","",IFERROR(INDEX(Items!$D$5:$D$597,MATCH($A1475,Items!$A$5:$A$597,0)),0))</f>
        <v/>
      </c>
      <c r="F1475" s="21" t="str">
        <f t="shared" si="110"/>
        <v/>
      </c>
      <c r="G1475" s="25" t="str">
        <f>IF(Receipts!$I1478="","",Receipts!$I1478)</f>
        <v/>
      </c>
      <c r="H1475" s="25" t="str">
        <f>IF(Receipts!$H1478="","",Receipts!$H1478)</f>
        <v/>
      </c>
      <c r="I1475" s="26" t="str">
        <f t="shared" ca="1" si="111"/>
        <v/>
      </c>
      <c r="J1475" s="26" t="str">
        <f>IF($A1475="","",COUNTIFS(tblReceipts[Item Name],$A1475,tblReceipts[Expiry Date],"&lt;"&amp;$H1475)+COUNTIFS(tblReceipts[Item Name],$A1475,tblReceipts[Expiry Date],$H1475,tblReceipts[Lot Number],"&lt;="&amp;Receipts!$C1478))</f>
        <v/>
      </c>
      <c r="K1475" s="26" t="str">
        <f>IF($A1475="","",SUMIFS(tblReceipts[Qty Received],tblReceipts[Item Name],$A1475,tblReceipts[Expiry Date],"&lt;"&amp;$H1475)+SUMIFS(tblReceipts[Qty Received],tblReceipts[Item Name],$A1475,tblReceipts[Expiry Date],$H1475,tblReceipts[Lot Number],"&lt;"&amp;Receipts!$C1478))</f>
        <v/>
      </c>
      <c r="L1475" s="26" t="str">
        <f>IF($A1475="","",MIN($D1475,MAX(0,SUMIFS(tblIssues[Qty Issued],tblIssues[Item Name],$A1475)-$K1475)))</f>
        <v/>
      </c>
      <c r="M1475" s="26" t="str">
        <f>IF($A1475="","",SUMIFS(tblIssues[Qty Issued],tblIssues[Lot Number],$B1475))</f>
        <v/>
      </c>
      <c r="N1475" s="26" t="str">
        <f t="shared" si="112"/>
        <v/>
      </c>
      <c r="O1475" s="26" t="str">
        <f t="shared" si="113"/>
        <v/>
      </c>
      <c r="P1475" s="21" t="str">
        <f t="shared" si="114"/>
        <v/>
      </c>
      <c r="Q1475" s="52" t="str">
        <f>IF($A1475="","",IF($O1475&lt;=0,"Depleted",IF($I1475&lt;0,"EXPIRED",IF($I1475&lt;=Settings!$C$6,"CRITICAL",IF($I1475&lt;=Settings!$C$5,"Expiring","In date")))))</f>
        <v/>
      </c>
    </row>
    <row r="1476" spans="1:17" x14ac:dyDescent="0.35">
      <c r="A1476" s="90" t="str">
        <f>IF(Receipts!$D1479="","",Receipts!$D1479)</f>
        <v/>
      </c>
      <c r="B1476" s="18" t="str">
        <f>IF(Receipts!$C1479="","",Receipts!$C1479)</f>
        <v/>
      </c>
      <c r="C1476" s="18" t="str">
        <f>IF($A1476="","",IFERROR(INDEX(Items!$B$5:$B$597,MATCH($A1476,Items!$A$5:$A$597,0)),""))</f>
        <v/>
      </c>
      <c r="D1476" s="23" t="str">
        <f>IF($A1476="","",N(Receipts!$G1479))</f>
        <v/>
      </c>
      <c r="E1476" s="20" t="str">
        <f>IF($A1476="","",IFERROR(INDEX(Items!$D$5:$D$597,MATCH($A1476,Items!$A$5:$A$597,0)),0))</f>
        <v/>
      </c>
      <c r="F1476" s="21" t="str">
        <f t="shared" si="110"/>
        <v/>
      </c>
      <c r="G1476" s="25" t="str">
        <f>IF(Receipts!$I1479="","",Receipts!$I1479)</f>
        <v/>
      </c>
      <c r="H1476" s="25" t="str">
        <f>IF(Receipts!$H1479="","",Receipts!$H1479)</f>
        <v/>
      </c>
      <c r="I1476" s="26" t="str">
        <f t="shared" ca="1" si="111"/>
        <v/>
      </c>
      <c r="J1476" s="26" t="str">
        <f>IF($A1476="","",COUNTIFS(tblReceipts[Item Name],$A1476,tblReceipts[Expiry Date],"&lt;"&amp;$H1476)+COUNTIFS(tblReceipts[Item Name],$A1476,tblReceipts[Expiry Date],$H1476,tblReceipts[Lot Number],"&lt;="&amp;Receipts!$C1479))</f>
        <v/>
      </c>
      <c r="K1476" s="26" t="str">
        <f>IF($A1476="","",SUMIFS(tblReceipts[Qty Received],tblReceipts[Item Name],$A1476,tblReceipts[Expiry Date],"&lt;"&amp;$H1476)+SUMIFS(tblReceipts[Qty Received],tblReceipts[Item Name],$A1476,tblReceipts[Expiry Date],$H1476,tblReceipts[Lot Number],"&lt;"&amp;Receipts!$C1479))</f>
        <v/>
      </c>
      <c r="L1476" s="26" t="str">
        <f>IF($A1476="","",MIN($D1476,MAX(0,SUMIFS(tblIssues[Qty Issued],tblIssues[Item Name],$A1476)-$K1476)))</f>
        <v/>
      </c>
      <c r="M1476" s="26" t="str">
        <f>IF($A1476="","",SUMIFS(tblIssues[Qty Issued],tblIssues[Lot Number],$B1476))</f>
        <v/>
      </c>
      <c r="N1476" s="26" t="str">
        <f t="shared" si="112"/>
        <v/>
      </c>
      <c r="O1476" s="26" t="str">
        <f t="shared" si="113"/>
        <v/>
      </c>
      <c r="P1476" s="21" t="str">
        <f t="shared" si="114"/>
        <v/>
      </c>
      <c r="Q1476" s="52" t="str">
        <f>IF($A1476="","",IF($O1476&lt;=0,"Depleted",IF($I1476&lt;0,"EXPIRED",IF($I1476&lt;=Settings!$C$6,"CRITICAL",IF($I1476&lt;=Settings!$C$5,"Expiring","In date")))))</f>
        <v/>
      </c>
    </row>
    <row r="1477" spans="1:17" x14ac:dyDescent="0.35">
      <c r="A1477" s="90" t="str">
        <f>IF(Receipts!$D1480="","",Receipts!$D1480)</f>
        <v/>
      </c>
      <c r="B1477" s="18" t="str">
        <f>IF(Receipts!$C1480="","",Receipts!$C1480)</f>
        <v/>
      </c>
      <c r="C1477" s="18" t="str">
        <f>IF($A1477="","",IFERROR(INDEX(Items!$B$5:$B$597,MATCH($A1477,Items!$A$5:$A$597,0)),""))</f>
        <v/>
      </c>
      <c r="D1477" s="23" t="str">
        <f>IF($A1477="","",N(Receipts!$G1480))</f>
        <v/>
      </c>
      <c r="E1477" s="20" t="str">
        <f>IF($A1477="","",IFERROR(INDEX(Items!$D$5:$D$597,MATCH($A1477,Items!$A$5:$A$597,0)),0))</f>
        <v/>
      </c>
      <c r="F1477" s="21" t="str">
        <f t="shared" ref="F1477:F1540" si="115">IF($A1477="","",$D1477*$E1477)</f>
        <v/>
      </c>
      <c r="G1477" s="25" t="str">
        <f>IF(Receipts!$I1480="","",Receipts!$I1480)</f>
        <v/>
      </c>
      <c r="H1477" s="25" t="str">
        <f>IF(Receipts!$H1480="","",Receipts!$H1480)</f>
        <v/>
      </c>
      <c r="I1477" s="26" t="str">
        <f t="shared" ref="I1477:I1540" ca="1" si="116">IF($H1477="","",$H1477-TODAY())</f>
        <v/>
      </c>
      <c r="J1477" s="26" t="str">
        <f>IF($A1477="","",COUNTIFS(tblReceipts[Item Name],$A1477,tblReceipts[Expiry Date],"&lt;"&amp;$H1477)+COUNTIFS(tblReceipts[Item Name],$A1477,tblReceipts[Expiry Date],$H1477,tblReceipts[Lot Number],"&lt;="&amp;Receipts!$C1480))</f>
        <v/>
      </c>
      <c r="K1477" s="26" t="str">
        <f>IF($A1477="","",SUMIFS(tblReceipts[Qty Received],tblReceipts[Item Name],$A1477,tblReceipts[Expiry Date],"&lt;"&amp;$H1477)+SUMIFS(tblReceipts[Qty Received],tblReceipts[Item Name],$A1477,tblReceipts[Expiry Date],$H1477,tblReceipts[Lot Number],"&lt;"&amp;Receipts!$C1480))</f>
        <v/>
      </c>
      <c r="L1477" s="26" t="str">
        <f>IF($A1477="","",MIN($D1477,MAX(0,SUMIFS(tblIssues[Qty Issued],tblIssues[Item Name],$A1477)-$K1477)))</f>
        <v/>
      </c>
      <c r="M1477" s="26" t="str">
        <f>IF($A1477="","",SUMIFS(tblIssues[Qty Issued],tblIssues[Lot Number],$B1477))</f>
        <v/>
      </c>
      <c r="N1477" s="26" t="str">
        <f t="shared" ref="N1477:N1540" si="117">IF($A1477="","",$M1477-$L1477)</f>
        <v/>
      </c>
      <c r="O1477" s="26" t="str">
        <f t="shared" ref="O1477:O1540" si="118">IF($A1477="","",$D1477-$L1477)</f>
        <v/>
      </c>
      <c r="P1477" s="21" t="str">
        <f t="shared" ref="P1477:P1540" si="119">IF($A1477="","",$O1477*$E1477)</f>
        <v/>
      </c>
      <c r="Q1477" s="52" t="str">
        <f>IF($A1477="","",IF($O1477&lt;=0,"Depleted",IF($I1477&lt;0,"EXPIRED",IF($I1477&lt;=Settings!$C$6,"CRITICAL",IF($I1477&lt;=Settings!$C$5,"Expiring","In date")))))</f>
        <v/>
      </c>
    </row>
    <row r="1478" spans="1:17" x14ac:dyDescent="0.35">
      <c r="A1478" s="90" t="str">
        <f>IF(Receipts!$D1481="","",Receipts!$D1481)</f>
        <v/>
      </c>
      <c r="B1478" s="18" t="str">
        <f>IF(Receipts!$C1481="","",Receipts!$C1481)</f>
        <v/>
      </c>
      <c r="C1478" s="18" t="str">
        <f>IF($A1478="","",IFERROR(INDEX(Items!$B$5:$B$597,MATCH($A1478,Items!$A$5:$A$597,0)),""))</f>
        <v/>
      </c>
      <c r="D1478" s="23" t="str">
        <f>IF($A1478="","",N(Receipts!$G1481))</f>
        <v/>
      </c>
      <c r="E1478" s="20" t="str">
        <f>IF($A1478="","",IFERROR(INDEX(Items!$D$5:$D$597,MATCH($A1478,Items!$A$5:$A$597,0)),0))</f>
        <v/>
      </c>
      <c r="F1478" s="21" t="str">
        <f t="shared" si="115"/>
        <v/>
      </c>
      <c r="G1478" s="25" t="str">
        <f>IF(Receipts!$I1481="","",Receipts!$I1481)</f>
        <v/>
      </c>
      <c r="H1478" s="25" t="str">
        <f>IF(Receipts!$H1481="","",Receipts!$H1481)</f>
        <v/>
      </c>
      <c r="I1478" s="26" t="str">
        <f t="shared" ca="1" si="116"/>
        <v/>
      </c>
      <c r="J1478" s="26" t="str">
        <f>IF($A1478="","",COUNTIFS(tblReceipts[Item Name],$A1478,tblReceipts[Expiry Date],"&lt;"&amp;$H1478)+COUNTIFS(tblReceipts[Item Name],$A1478,tblReceipts[Expiry Date],$H1478,tblReceipts[Lot Number],"&lt;="&amp;Receipts!$C1481))</f>
        <v/>
      </c>
      <c r="K1478" s="26" t="str">
        <f>IF($A1478="","",SUMIFS(tblReceipts[Qty Received],tblReceipts[Item Name],$A1478,tblReceipts[Expiry Date],"&lt;"&amp;$H1478)+SUMIFS(tblReceipts[Qty Received],tblReceipts[Item Name],$A1478,tblReceipts[Expiry Date],$H1478,tblReceipts[Lot Number],"&lt;"&amp;Receipts!$C1481))</f>
        <v/>
      </c>
      <c r="L1478" s="26" t="str">
        <f>IF($A1478="","",MIN($D1478,MAX(0,SUMIFS(tblIssues[Qty Issued],tblIssues[Item Name],$A1478)-$K1478)))</f>
        <v/>
      </c>
      <c r="M1478" s="26" t="str">
        <f>IF($A1478="","",SUMIFS(tblIssues[Qty Issued],tblIssues[Lot Number],$B1478))</f>
        <v/>
      </c>
      <c r="N1478" s="26" t="str">
        <f t="shared" si="117"/>
        <v/>
      </c>
      <c r="O1478" s="26" t="str">
        <f t="shared" si="118"/>
        <v/>
      </c>
      <c r="P1478" s="21" t="str">
        <f t="shared" si="119"/>
        <v/>
      </c>
      <c r="Q1478" s="52" t="str">
        <f>IF($A1478="","",IF($O1478&lt;=0,"Depleted",IF($I1478&lt;0,"EXPIRED",IF($I1478&lt;=Settings!$C$6,"CRITICAL",IF($I1478&lt;=Settings!$C$5,"Expiring","In date")))))</f>
        <v/>
      </c>
    </row>
    <row r="1479" spans="1:17" x14ac:dyDescent="0.35">
      <c r="A1479" s="90" t="str">
        <f>IF(Receipts!$D1482="","",Receipts!$D1482)</f>
        <v/>
      </c>
      <c r="B1479" s="18" t="str">
        <f>IF(Receipts!$C1482="","",Receipts!$C1482)</f>
        <v/>
      </c>
      <c r="C1479" s="18" t="str">
        <f>IF($A1479="","",IFERROR(INDEX(Items!$B$5:$B$597,MATCH($A1479,Items!$A$5:$A$597,0)),""))</f>
        <v/>
      </c>
      <c r="D1479" s="23" t="str">
        <f>IF($A1479="","",N(Receipts!$G1482))</f>
        <v/>
      </c>
      <c r="E1479" s="20" t="str">
        <f>IF($A1479="","",IFERROR(INDEX(Items!$D$5:$D$597,MATCH($A1479,Items!$A$5:$A$597,0)),0))</f>
        <v/>
      </c>
      <c r="F1479" s="21" t="str">
        <f t="shared" si="115"/>
        <v/>
      </c>
      <c r="G1479" s="25" t="str">
        <f>IF(Receipts!$I1482="","",Receipts!$I1482)</f>
        <v/>
      </c>
      <c r="H1479" s="25" t="str">
        <f>IF(Receipts!$H1482="","",Receipts!$H1482)</f>
        <v/>
      </c>
      <c r="I1479" s="26" t="str">
        <f t="shared" ca="1" si="116"/>
        <v/>
      </c>
      <c r="J1479" s="26" t="str">
        <f>IF($A1479="","",COUNTIFS(tblReceipts[Item Name],$A1479,tblReceipts[Expiry Date],"&lt;"&amp;$H1479)+COUNTIFS(tblReceipts[Item Name],$A1479,tblReceipts[Expiry Date],$H1479,tblReceipts[Lot Number],"&lt;="&amp;Receipts!$C1482))</f>
        <v/>
      </c>
      <c r="K1479" s="26" t="str">
        <f>IF($A1479="","",SUMIFS(tblReceipts[Qty Received],tblReceipts[Item Name],$A1479,tblReceipts[Expiry Date],"&lt;"&amp;$H1479)+SUMIFS(tblReceipts[Qty Received],tblReceipts[Item Name],$A1479,tblReceipts[Expiry Date],$H1479,tblReceipts[Lot Number],"&lt;"&amp;Receipts!$C1482))</f>
        <v/>
      </c>
      <c r="L1479" s="26" t="str">
        <f>IF($A1479="","",MIN($D1479,MAX(0,SUMIFS(tblIssues[Qty Issued],tblIssues[Item Name],$A1479)-$K1479)))</f>
        <v/>
      </c>
      <c r="M1479" s="26" t="str">
        <f>IF($A1479="","",SUMIFS(tblIssues[Qty Issued],tblIssues[Lot Number],$B1479))</f>
        <v/>
      </c>
      <c r="N1479" s="26" t="str">
        <f t="shared" si="117"/>
        <v/>
      </c>
      <c r="O1479" s="26" t="str">
        <f t="shared" si="118"/>
        <v/>
      </c>
      <c r="P1479" s="21" t="str">
        <f t="shared" si="119"/>
        <v/>
      </c>
      <c r="Q1479" s="52" t="str">
        <f>IF($A1479="","",IF($O1479&lt;=0,"Depleted",IF($I1479&lt;0,"EXPIRED",IF($I1479&lt;=Settings!$C$6,"CRITICAL",IF($I1479&lt;=Settings!$C$5,"Expiring","In date")))))</f>
        <v/>
      </c>
    </row>
    <row r="1480" spans="1:17" x14ac:dyDescent="0.35">
      <c r="A1480" s="90" t="str">
        <f>IF(Receipts!$D1483="","",Receipts!$D1483)</f>
        <v/>
      </c>
      <c r="B1480" s="18" t="str">
        <f>IF(Receipts!$C1483="","",Receipts!$C1483)</f>
        <v/>
      </c>
      <c r="C1480" s="18" t="str">
        <f>IF($A1480="","",IFERROR(INDEX(Items!$B$5:$B$597,MATCH($A1480,Items!$A$5:$A$597,0)),""))</f>
        <v/>
      </c>
      <c r="D1480" s="23" t="str">
        <f>IF($A1480="","",N(Receipts!$G1483))</f>
        <v/>
      </c>
      <c r="E1480" s="20" t="str">
        <f>IF($A1480="","",IFERROR(INDEX(Items!$D$5:$D$597,MATCH($A1480,Items!$A$5:$A$597,0)),0))</f>
        <v/>
      </c>
      <c r="F1480" s="21" t="str">
        <f t="shared" si="115"/>
        <v/>
      </c>
      <c r="G1480" s="25" t="str">
        <f>IF(Receipts!$I1483="","",Receipts!$I1483)</f>
        <v/>
      </c>
      <c r="H1480" s="25" t="str">
        <f>IF(Receipts!$H1483="","",Receipts!$H1483)</f>
        <v/>
      </c>
      <c r="I1480" s="26" t="str">
        <f t="shared" ca="1" si="116"/>
        <v/>
      </c>
      <c r="J1480" s="26" t="str">
        <f>IF($A1480="","",COUNTIFS(tblReceipts[Item Name],$A1480,tblReceipts[Expiry Date],"&lt;"&amp;$H1480)+COUNTIFS(tblReceipts[Item Name],$A1480,tblReceipts[Expiry Date],$H1480,tblReceipts[Lot Number],"&lt;="&amp;Receipts!$C1483))</f>
        <v/>
      </c>
      <c r="K1480" s="26" t="str">
        <f>IF($A1480="","",SUMIFS(tblReceipts[Qty Received],tblReceipts[Item Name],$A1480,tblReceipts[Expiry Date],"&lt;"&amp;$H1480)+SUMIFS(tblReceipts[Qty Received],tblReceipts[Item Name],$A1480,tblReceipts[Expiry Date],$H1480,tblReceipts[Lot Number],"&lt;"&amp;Receipts!$C1483))</f>
        <v/>
      </c>
      <c r="L1480" s="26" t="str">
        <f>IF($A1480="","",MIN($D1480,MAX(0,SUMIFS(tblIssues[Qty Issued],tblIssues[Item Name],$A1480)-$K1480)))</f>
        <v/>
      </c>
      <c r="M1480" s="26" t="str">
        <f>IF($A1480="","",SUMIFS(tblIssues[Qty Issued],tblIssues[Lot Number],$B1480))</f>
        <v/>
      </c>
      <c r="N1480" s="26" t="str">
        <f t="shared" si="117"/>
        <v/>
      </c>
      <c r="O1480" s="26" t="str">
        <f t="shared" si="118"/>
        <v/>
      </c>
      <c r="P1480" s="21" t="str">
        <f t="shared" si="119"/>
        <v/>
      </c>
      <c r="Q1480" s="52" t="str">
        <f>IF($A1480="","",IF($O1480&lt;=0,"Depleted",IF($I1480&lt;0,"EXPIRED",IF($I1480&lt;=Settings!$C$6,"CRITICAL",IF($I1480&lt;=Settings!$C$5,"Expiring","In date")))))</f>
        <v/>
      </c>
    </row>
    <row r="1481" spans="1:17" x14ac:dyDescent="0.35">
      <c r="A1481" s="90" t="str">
        <f>IF(Receipts!$D1484="","",Receipts!$D1484)</f>
        <v/>
      </c>
      <c r="B1481" s="18" t="str">
        <f>IF(Receipts!$C1484="","",Receipts!$C1484)</f>
        <v/>
      </c>
      <c r="C1481" s="18" t="str">
        <f>IF($A1481="","",IFERROR(INDEX(Items!$B$5:$B$597,MATCH($A1481,Items!$A$5:$A$597,0)),""))</f>
        <v/>
      </c>
      <c r="D1481" s="23" t="str">
        <f>IF($A1481="","",N(Receipts!$G1484))</f>
        <v/>
      </c>
      <c r="E1481" s="20" t="str">
        <f>IF($A1481="","",IFERROR(INDEX(Items!$D$5:$D$597,MATCH($A1481,Items!$A$5:$A$597,0)),0))</f>
        <v/>
      </c>
      <c r="F1481" s="21" t="str">
        <f t="shared" si="115"/>
        <v/>
      </c>
      <c r="G1481" s="25" t="str">
        <f>IF(Receipts!$I1484="","",Receipts!$I1484)</f>
        <v/>
      </c>
      <c r="H1481" s="25" t="str">
        <f>IF(Receipts!$H1484="","",Receipts!$H1484)</f>
        <v/>
      </c>
      <c r="I1481" s="26" t="str">
        <f t="shared" ca="1" si="116"/>
        <v/>
      </c>
      <c r="J1481" s="26" t="str">
        <f>IF($A1481="","",COUNTIFS(tblReceipts[Item Name],$A1481,tblReceipts[Expiry Date],"&lt;"&amp;$H1481)+COUNTIFS(tblReceipts[Item Name],$A1481,tblReceipts[Expiry Date],$H1481,tblReceipts[Lot Number],"&lt;="&amp;Receipts!$C1484))</f>
        <v/>
      </c>
      <c r="K1481" s="26" t="str">
        <f>IF($A1481="","",SUMIFS(tblReceipts[Qty Received],tblReceipts[Item Name],$A1481,tblReceipts[Expiry Date],"&lt;"&amp;$H1481)+SUMIFS(tblReceipts[Qty Received],tblReceipts[Item Name],$A1481,tblReceipts[Expiry Date],$H1481,tblReceipts[Lot Number],"&lt;"&amp;Receipts!$C1484))</f>
        <v/>
      </c>
      <c r="L1481" s="26" t="str">
        <f>IF($A1481="","",MIN($D1481,MAX(0,SUMIFS(tblIssues[Qty Issued],tblIssues[Item Name],$A1481)-$K1481)))</f>
        <v/>
      </c>
      <c r="M1481" s="26" t="str">
        <f>IF($A1481="","",SUMIFS(tblIssues[Qty Issued],tblIssues[Lot Number],$B1481))</f>
        <v/>
      </c>
      <c r="N1481" s="26" t="str">
        <f t="shared" si="117"/>
        <v/>
      </c>
      <c r="O1481" s="26" t="str">
        <f t="shared" si="118"/>
        <v/>
      </c>
      <c r="P1481" s="21" t="str">
        <f t="shared" si="119"/>
        <v/>
      </c>
      <c r="Q1481" s="52" t="str">
        <f>IF($A1481="","",IF($O1481&lt;=0,"Depleted",IF($I1481&lt;0,"EXPIRED",IF($I1481&lt;=Settings!$C$6,"CRITICAL",IF($I1481&lt;=Settings!$C$5,"Expiring","In date")))))</f>
        <v/>
      </c>
    </row>
    <row r="1482" spans="1:17" x14ac:dyDescent="0.35">
      <c r="A1482" s="90" t="str">
        <f>IF(Receipts!$D1485="","",Receipts!$D1485)</f>
        <v/>
      </c>
      <c r="B1482" s="18" t="str">
        <f>IF(Receipts!$C1485="","",Receipts!$C1485)</f>
        <v/>
      </c>
      <c r="C1482" s="18" t="str">
        <f>IF($A1482="","",IFERROR(INDEX(Items!$B$5:$B$597,MATCH($A1482,Items!$A$5:$A$597,0)),""))</f>
        <v/>
      </c>
      <c r="D1482" s="23" t="str">
        <f>IF($A1482="","",N(Receipts!$G1485))</f>
        <v/>
      </c>
      <c r="E1482" s="20" t="str">
        <f>IF($A1482="","",IFERROR(INDEX(Items!$D$5:$D$597,MATCH($A1482,Items!$A$5:$A$597,0)),0))</f>
        <v/>
      </c>
      <c r="F1482" s="21" t="str">
        <f t="shared" si="115"/>
        <v/>
      </c>
      <c r="G1482" s="25" t="str">
        <f>IF(Receipts!$I1485="","",Receipts!$I1485)</f>
        <v/>
      </c>
      <c r="H1482" s="25" t="str">
        <f>IF(Receipts!$H1485="","",Receipts!$H1485)</f>
        <v/>
      </c>
      <c r="I1482" s="26" t="str">
        <f t="shared" ca="1" si="116"/>
        <v/>
      </c>
      <c r="J1482" s="26" t="str">
        <f>IF($A1482="","",COUNTIFS(tblReceipts[Item Name],$A1482,tblReceipts[Expiry Date],"&lt;"&amp;$H1482)+COUNTIFS(tblReceipts[Item Name],$A1482,tblReceipts[Expiry Date],$H1482,tblReceipts[Lot Number],"&lt;="&amp;Receipts!$C1485))</f>
        <v/>
      </c>
      <c r="K1482" s="26" t="str">
        <f>IF($A1482="","",SUMIFS(tblReceipts[Qty Received],tblReceipts[Item Name],$A1482,tblReceipts[Expiry Date],"&lt;"&amp;$H1482)+SUMIFS(tblReceipts[Qty Received],tblReceipts[Item Name],$A1482,tblReceipts[Expiry Date],$H1482,tblReceipts[Lot Number],"&lt;"&amp;Receipts!$C1485))</f>
        <v/>
      </c>
      <c r="L1482" s="26" t="str">
        <f>IF($A1482="","",MIN($D1482,MAX(0,SUMIFS(tblIssues[Qty Issued],tblIssues[Item Name],$A1482)-$K1482)))</f>
        <v/>
      </c>
      <c r="M1482" s="26" t="str">
        <f>IF($A1482="","",SUMIFS(tblIssues[Qty Issued],tblIssues[Lot Number],$B1482))</f>
        <v/>
      </c>
      <c r="N1482" s="26" t="str">
        <f t="shared" si="117"/>
        <v/>
      </c>
      <c r="O1482" s="26" t="str">
        <f t="shared" si="118"/>
        <v/>
      </c>
      <c r="P1482" s="21" t="str">
        <f t="shared" si="119"/>
        <v/>
      </c>
      <c r="Q1482" s="52" t="str">
        <f>IF($A1482="","",IF($O1482&lt;=0,"Depleted",IF($I1482&lt;0,"EXPIRED",IF($I1482&lt;=Settings!$C$6,"CRITICAL",IF($I1482&lt;=Settings!$C$5,"Expiring","In date")))))</f>
        <v/>
      </c>
    </row>
    <row r="1483" spans="1:17" x14ac:dyDescent="0.35">
      <c r="A1483" s="90" t="str">
        <f>IF(Receipts!$D1486="","",Receipts!$D1486)</f>
        <v/>
      </c>
      <c r="B1483" s="18" t="str">
        <f>IF(Receipts!$C1486="","",Receipts!$C1486)</f>
        <v/>
      </c>
      <c r="C1483" s="18" t="str">
        <f>IF($A1483="","",IFERROR(INDEX(Items!$B$5:$B$597,MATCH($A1483,Items!$A$5:$A$597,0)),""))</f>
        <v/>
      </c>
      <c r="D1483" s="23" t="str">
        <f>IF($A1483="","",N(Receipts!$G1486))</f>
        <v/>
      </c>
      <c r="E1483" s="20" t="str">
        <f>IF($A1483="","",IFERROR(INDEX(Items!$D$5:$D$597,MATCH($A1483,Items!$A$5:$A$597,0)),0))</f>
        <v/>
      </c>
      <c r="F1483" s="21" t="str">
        <f t="shared" si="115"/>
        <v/>
      </c>
      <c r="G1483" s="25" t="str">
        <f>IF(Receipts!$I1486="","",Receipts!$I1486)</f>
        <v/>
      </c>
      <c r="H1483" s="25" t="str">
        <f>IF(Receipts!$H1486="","",Receipts!$H1486)</f>
        <v/>
      </c>
      <c r="I1483" s="26" t="str">
        <f t="shared" ca="1" si="116"/>
        <v/>
      </c>
      <c r="J1483" s="26" t="str">
        <f>IF($A1483="","",COUNTIFS(tblReceipts[Item Name],$A1483,tblReceipts[Expiry Date],"&lt;"&amp;$H1483)+COUNTIFS(tblReceipts[Item Name],$A1483,tblReceipts[Expiry Date],$H1483,tblReceipts[Lot Number],"&lt;="&amp;Receipts!$C1486))</f>
        <v/>
      </c>
      <c r="K1483" s="26" t="str">
        <f>IF($A1483="","",SUMIFS(tblReceipts[Qty Received],tblReceipts[Item Name],$A1483,tblReceipts[Expiry Date],"&lt;"&amp;$H1483)+SUMIFS(tblReceipts[Qty Received],tblReceipts[Item Name],$A1483,tblReceipts[Expiry Date],$H1483,tblReceipts[Lot Number],"&lt;"&amp;Receipts!$C1486))</f>
        <v/>
      </c>
      <c r="L1483" s="26" t="str">
        <f>IF($A1483="","",MIN($D1483,MAX(0,SUMIFS(tblIssues[Qty Issued],tblIssues[Item Name],$A1483)-$K1483)))</f>
        <v/>
      </c>
      <c r="M1483" s="26" t="str">
        <f>IF($A1483="","",SUMIFS(tblIssues[Qty Issued],tblIssues[Lot Number],$B1483))</f>
        <v/>
      </c>
      <c r="N1483" s="26" t="str">
        <f t="shared" si="117"/>
        <v/>
      </c>
      <c r="O1483" s="26" t="str">
        <f t="shared" si="118"/>
        <v/>
      </c>
      <c r="P1483" s="21" t="str">
        <f t="shared" si="119"/>
        <v/>
      </c>
      <c r="Q1483" s="52" t="str">
        <f>IF($A1483="","",IF($O1483&lt;=0,"Depleted",IF($I1483&lt;0,"EXPIRED",IF($I1483&lt;=Settings!$C$6,"CRITICAL",IF($I1483&lt;=Settings!$C$5,"Expiring","In date")))))</f>
        <v/>
      </c>
    </row>
    <row r="1484" spans="1:17" x14ac:dyDescent="0.35">
      <c r="A1484" s="90" t="str">
        <f>IF(Receipts!$D1487="","",Receipts!$D1487)</f>
        <v/>
      </c>
      <c r="B1484" s="18" t="str">
        <f>IF(Receipts!$C1487="","",Receipts!$C1487)</f>
        <v/>
      </c>
      <c r="C1484" s="18" t="str">
        <f>IF($A1484="","",IFERROR(INDEX(Items!$B$5:$B$597,MATCH($A1484,Items!$A$5:$A$597,0)),""))</f>
        <v/>
      </c>
      <c r="D1484" s="23" t="str">
        <f>IF($A1484="","",N(Receipts!$G1487))</f>
        <v/>
      </c>
      <c r="E1484" s="20" t="str">
        <f>IF($A1484="","",IFERROR(INDEX(Items!$D$5:$D$597,MATCH($A1484,Items!$A$5:$A$597,0)),0))</f>
        <v/>
      </c>
      <c r="F1484" s="21" t="str">
        <f t="shared" si="115"/>
        <v/>
      </c>
      <c r="G1484" s="25" t="str">
        <f>IF(Receipts!$I1487="","",Receipts!$I1487)</f>
        <v/>
      </c>
      <c r="H1484" s="25" t="str">
        <f>IF(Receipts!$H1487="","",Receipts!$H1487)</f>
        <v/>
      </c>
      <c r="I1484" s="26" t="str">
        <f t="shared" ca="1" si="116"/>
        <v/>
      </c>
      <c r="J1484" s="26" t="str">
        <f>IF($A1484="","",COUNTIFS(tblReceipts[Item Name],$A1484,tblReceipts[Expiry Date],"&lt;"&amp;$H1484)+COUNTIFS(tblReceipts[Item Name],$A1484,tblReceipts[Expiry Date],$H1484,tblReceipts[Lot Number],"&lt;="&amp;Receipts!$C1487))</f>
        <v/>
      </c>
      <c r="K1484" s="26" t="str">
        <f>IF($A1484="","",SUMIFS(tblReceipts[Qty Received],tblReceipts[Item Name],$A1484,tblReceipts[Expiry Date],"&lt;"&amp;$H1484)+SUMIFS(tblReceipts[Qty Received],tblReceipts[Item Name],$A1484,tblReceipts[Expiry Date],$H1484,tblReceipts[Lot Number],"&lt;"&amp;Receipts!$C1487))</f>
        <v/>
      </c>
      <c r="L1484" s="26" t="str">
        <f>IF($A1484="","",MIN($D1484,MAX(0,SUMIFS(tblIssues[Qty Issued],tblIssues[Item Name],$A1484)-$K1484)))</f>
        <v/>
      </c>
      <c r="M1484" s="26" t="str">
        <f>IF($A1484="","",SUMIFS(tblIssues[Qty Issued],tblIssues[Lot Number],$B1484))</f>
        <v/>
      </c>
      <c r="N1484" s="26" t="str">
        <f t="shared" si="117"/>
        <v/>
      </c>
      <c r="O1484" s="26" t="str">
        <f t="shared" si="118"/>
        <v/>
      </c>
      <c r="P1484" s="21" t="str">
        <f t="shared" si="119"/>
        <v/>
      </c>
      <c r="Q1484" s="52" t="str">
        <f>IF($A1484="","",IF($O1484&lt;=0,"Depleted",IF($I1484&lt;0,"EXPIRED",IF($I1484&lt;=Settings!$C$6,"CRITICAL",IF($I1484&lt;=Settings!$C$5,"Expiring","In date")))))</f>
        <v/>
      </c>
    </row>
    <row r="1485" spans="1:17" x14ac:dyDescent="0.35">
      <c r="A1485" s="90" t="str">
        <f>IF(Receipts!$D1488="","",Receipts!$D1488)</f>
        <v/>
      </c>
      <c r="B1485" s="18" t="str">
        <f>IF(Receipts!$C1488="","",Receipts!$C1488)</f>
        <v/>
      </c>
      <c r="C1485" s="18" t="str">
        <f>IF($A1485="","",IFERROR(INDEX(Items!$B$5:$B$597,MATCH($A1485,Items!$A$5:$A$597,0)),""))</f>
        <v/>
      </c>
      <c r="D1485" s="23" t="str">
        <f>IF($A1485="","",N(Receipts!$G1488))</f>
        <v/>
      </c>
      <c r="E1485" s="20" t="str">
        <f>IF($A1485="","",IFERROR(INDEX(Items!$D$5:$D$597,MATCH($A1485,Items!$A$5:$A$597,0)),0))</f>
        <v/>
      </c>
      <c r="F1485" s="21" t="str">
        <f t="shared" si="115"/>
        <v/>
      </c>
      <c r="G1485" s="25" t="str">
        <f>IF(Receipts!$I1488="","",Receipts!$I1488)</f>
        <v/>
      </c>
      <c r="H1485" s="25" t="str">
        <f>IF(Receipts!$H1488="","",Receipts!$H1488)</f>
        <v/>
      </c>
      <c r="I1485" s="26" t="str">
        <f t="shared" ca="1" si="116"/>
        <v/>
      </c>
      <c r="J1485" s="26" t="str">
        <f>IF($A1485="","",COUNTIFS(tblReceipts[Item Name],$A1485,tblReceipts[Expiry Date],"&lt;"&amp;$H1485)+COUNTIFS(tblReceipts[Item Name],$A1485,tblReceipts[Expiry Date],$H1485,tblReceipts[Lot Number],"&lt;="&amp;Receipts!$C1488))</f>
        <v/>
      </c>
      <c r="K1485" s="26" t="str">
        <f>IF($A1485="","",SUMIFS(tblReceipts[Qty Received],tblReceipts[Item Name],$A1485,tblReceipts[Expiry Date],"&lt;"&amp;$H1485)+SUMIFS(tblReceipts[Qty Received],tblReceipts[Item Name],$A1485,tblReceipts[Expiry Date],$H1485,tblReceipts[Lot Number],"&lt;"&amp;Receipts!$C1488))</f>
        <v/>
      </c>
      <c r="L1485" s="26" t="str">
        <f>IF($A1485="","",MIN($D1485,MAX(0,SUMIFS(tblIssues[Qty Issued],tblIssues[Item Name],$A1485)-$K1485)))</f>
        <v/>
      </c>
      <c r="M1485" s="26" t="str">
        <f>IF($A1485="","",SUMIFS(tblIssues[Qty Issued],tblIssues[Lot Number],$B1485))</f>
        <v/>
      </c>
      <c r="N1485" s="26" t="str">
        <f t="shared" si="117"/>
        <v/>
      </c>
      <c r="O1485" s="26" t="str">
        <f t="shared" si="118"/>
        <v/>
      </c>
      <c r="P1485" s="21" t="str">
        <f t="shared" si="119"/>
        <v/>
      </c>
      <c r="Q1485" s="52" t="str">
        <f>IF($A1485="","",IF($O1485&lt;=0,"Depleted",IF($I1485&lt;0,"EXPIRED",IF($I1485&lt;=Settings!$C$6,"CRITICAL",IF($I1485&lt;=Settings!$C$5,"Expiring","In date")))))</f>
        <v/>
      </c>
    </row>
    <row r="1486" spans="1:17" x14ac:dyDescent="0.35">
      <c r="A1486" s="90" t="str">
        <f>IF(Receipts!$D1489="","",Receipts!$D1489)</f>
        <v/>
      </c>
      <c r="B1486" s="18" t="str">
        <f>IF(Receipts!$C1489="","",Receipts!$C1489)</f>
        <v/>
      </c>
      <c r="C1486" s="18" t="str">
        <f>IF($A1486="","",IFERROR(INDEX(Items!$B$5:$B$597,MATCH($A1486,Items!$A$5:$A$597,0)),""))</f>
        <v/>
      </c>
      <c r="D1486" s="23" t="str">
        <f>IF($A1486="","",N(Receipts!$G1489))</f>
        <v/>
      </c>
      <c r="E1486" s="20" t="str">
        <f>IF($A1486="","",IFERROR(INDEX(Items!$D$5:$D$597,MATCH($A1486,Items!$A$5:$A$597,0)),0))</f>
        <v/>
      </c>
      <c r="F1486" s="21" t="str">
        <f t="shared" si="115"/>
        <v/>
      </c>
      <c r="G1486" s="25" t="str">
        <f>IF(Receipts!$I1489="","",Receipts!$I1489)</f>
        <v/>
      </c>
      <c r="H1486" s="25" t="str">
        <f>IF(Receipts!$H1489="","",Receipts!$H1489)</f>
        <v/>
      </c>
      <c r="I1486" s="26" t="str">
        <f t="shared" ca="1" si="116"/>
        <v/>
      </c>
      <c r="J1486" s="26" t="str">
        <f>IF($A1486="","",COUNTIFS(tblReceipts[Item Name],$A1486,tblReceipts[Expiry Date],"&lt;"&amp;$H1486)+COUNTIFS(tblReceipts[Item Name],$A1486,tblReceipts[Expiry Date],$H1486,tblReceipts[Lot Number],"&lt;="&amp;Receipts!$C1489))</f>
        <v/>
      </c>
      <c r="K1486" s="26" t="str">
        <f>IF($A1486="","",SUMIFS(tblReceipts[Qty Received],tblReceipts[Item Name],$A1486,tblReceipts[Expiry Date],"&lt;"&amp;$H1486)+SUMIFS(tblReceipts[Qty Received],tblReceipts[Item Name],$A1486,tblReceipts[Expiry Date],$H1486,tblReceipts[Lot Number],"&lt;"&amp;Receipts!$C1489))</f>
        <v/>
      </c>
      <c r="L1486" s="26" t="str">
        <f>IF($A1486="","",MIN($D1486,MAX(0,SUMIFS(tblIssues[Qty Issued],tblIssues[Item Name],$A1486)-$K1486)))</f>
        <v/>
      </c>
      <c r="M1486" s="26" t="str">
        <f>IF($A1486="","",SUMIFS(tblIssues[Qty Issued],tblIssues[Lot Number],$B1486))</f>
        <v/>
      </c>
      <c r="N1486" s="26" t="str">
        <f t="shared" si="117"/>
        <v/>
      </c>
      <c r="O1486" s="26" t="str">
        <f t="shared" si="118"/>
        <v/>
      </c>
      <c r="P1486" s="21" t="str">
        <f t="shared" si="119"/>
        <v/>
      </c>
      <c r="Q1486" s="52" t="str">
        <f>IF($A1486="","",IF($O1486&lt;=0,"Depleted",IF($I1486&lt;0,"EXPIRED",IF($I1486&lt;=Settings!$C$6,"CRITICAL",IF($I1486&lt;=Settings!$C$5,"Expiring","In date")))))</f>
        <v/>
      </c>
    </row>
    <row r="1487" spans="1:17" x14ac:dyDescent="0.35">
      <c r="A1487" s="90" t="str">
        <f>IF(Receipts!$D1490="","",Receipts!$D1490)</f>
        <v/>
      </c>
      <c r="B1487" s="18" t="str">
        <f>IF(Receipts!$C1490="","",Receipts!$C1490)</f>
        <v/>
      </c>
      <c r="C1487" s="18" t="str">
        <f>IF($A1487="","",IFERROR(INDEX(Items!$B$5:$B$597,MATCH($A1487,Items!$A$5:$A$597,0)),""))</f>
        <v/>
      </c>
      <c r="D1487" s="23" t="str">
        <f>IF($A1487="","",N(Receipts!$G1490))</f>
        <v/>
      </c>
      <c r="E1487" s="20" t="str">
        <f>IF($A1487="","",IFERROR(INDEX(Items!$D$5:$D$597,MATCH($A1487,Items!$A$5:$A$597,0)),0))</f>
        <v/>
      </c>
      <c r="F1487" s="21" t="str">
        <f t="shared" si="115"/>
        <v/>
      </c>
      <c r="G1487" s="25" t="str">
        <f>IF(Receipts!$I1490="","",Receipts!$I1490)</f>
        <v/>
      </c>
      <c r="H1487" s="25" t="str">
        <f>IF(Receipts!$H1490="","",Receipts!$H1490)</f>
        <v/>
      </c>
      <c r="I1487" s="26" t="str">
        <f t="shared" ca="1" si="116"/>
        <v/>
      </c>
      <c r="J1487" s="26" t="str">
        <f>IF($A1487="","",COUNTIFS(tblReceipts[Item Name],$A1487,tblReceipts[Expiry Date],"&lt;"&amp;$H1487)+COUNTIFS(tblReceipts[Item Name],$A1487,tblReceipts[Expiry Date],$H1487,tblReceipts[Lot Number],"&lt;="&amp;Receipts!$C1490))</f>
        <v/>
      </c>
      <c r="K1487" s="26" t="str">
        <f>IF($A1487="","",SUMIFS(tblReceipts[Qty Received],tblReceipts[Item Name],$A1487,tblReceipts[Expiry Date],"&lt;"&amp;$H1487)+SUMIFS(tblReceipts[Qty Received],tblReceipts[Item Name],$A1487,tblReceipts[Expiry Date],$H1487,tblReceipts[Lot Number],"&lt;"&amp;Receipts!$C1490))</f>
        <v/>
      </c>
      <c r="L1487" s="26" t="str">
        <f>IF($A1487="","",MIN($D1487,MAX(0,SUMIFS(tblIssues[Qty Issued],tblIssues[Item Name],$A1487)-$K1487)))</f>
        <v/>
      </c>
      <c r="M1487" s="26" t="str">
        <f>IF($A1487="","",SUMIFS(tblIssues[Qty Issued],tblIssues[Lot Number],$B1487))</f>
        <v/>
      </c>
      <c r="N1487" s="26" t="str">
        <f t="shared" si="117"/>
        <v/>
      </c>
      <c r="O1487" s="26" t="str">
        <f t="shared" si="118"/>
        <v/>
      </c>
      <c r="P1487" s="21" t="str">
        <f t="shared" si="119"/>
        <v/>
      </c>
      <c r="Q1487" s="52" t="str">
        <f>IF($A1487="","",IF($O1487&lt;=0,"Depleted",IF($I1487&lt;0,"EXPIRED",IF($I1487&lt;=Settings!$C$6,"CRITICAL",IF($I1487&lt;=Settings!$C$5,"Expiring","In date")))))</f>
        <v/>
      </c>
    </row>
    <row r="1488" spans="1:17" x14ac:dyDescent="0.35">
      <c r="A1488" s="90" t="str">
        <f>IF(Receipts!$D1491="","",Receipts!$D1491)</f>
        <v/>
      </c>
      <c r="B1488" s="18" t="str">
        <f>IF(Receipts!$C1491="","",Receipts!$C1491)</f>
        <v/>
      </c>
      <c r="C1488" s="18" t="str">
        <f>IF($A1488="","",IFERROR(INDEX(Items!$B$5:$B$597,MATCH($A1488,Items!$A$5:$A$597,0)),""))</f>
        <v/>
      </c>
      <c r="D1488" s="23" t="str">
        <f>IF($A1488="","",N(Receipts!$G1491))</f>
        <v/>
      </c>
      <c r="E1488" s="20" t="str">
        <f>IF($A1488="","",IFERROR(INDEX(Items!$D$5:$D$597,MATCH($A1488,Items!$A$5:$A$597,0)),0))</f>
        <v/>
      </c>
      <c r="F1488" s="21" t="str">
        <f t="shared" si="115"/>
        <v/>
      </c>
      <c r="G1488" s="25" t="str">
        <f>IF(Receipts!$I1491="","",Receipts!$I1491)</f>
        <v/>
      </c>
      <c r="H1488" s="25" t="str">
        <f>IF(Receipts!$H1491="","",Receipts!$H1491)</f>
        <v/>
      </c>
      <c r="I1488" s="26" t="str">
        <f t="shared" ca="1" si="116"/>
        <v/>
      </c>
      <c r="J1488" s="26" t="str">
        <f>IF($A1488="","",COUNTIFS(tblReceipts[Item Name],$A1488,tblReceipts[Expiry Date],"&lt;"&amp;$H1488)+COUNTIFS(tblReceipts[Item Name],$A1488,tblReceipts[Expiry Date],$H1488,tblReceipts[Lot Number],"&lt;="&amp;Receipts!$C1491))</f>
        <v/>
      </c>
      <c r="K1488" s="26" t="str">
        <f>IF($A1488="","",SUMIFS(tblReceipts[Qty Received],tblReceipts[Item Name],$A1488,tblReceipts[Expiry Date],"&lt;"&amp;$H1488)+SUMIFS(tblReceipts[Qty Received],tblReceipts[Item Name],$A1488,tblReceipts[Expiry Date],$H1488,tblReceipts[Lot Number],"&lt;"&amp;Receipts!$C1491))</f>
        <v/>
      </c>
      <c r="L1488" s="26" t="str">
        <f>IF($A1488="","",MIN($D1488,MAX(0,SUMIFS(tblIssues[Qty Issued],tblIssues[Item Name],$A1488)-$K1488)))</f>
        <v/>
      </c>
      <c r="M1488" s="26" t="str">
        <f>IF($A1488="","",SUMIFS(tblIssues[Qty Issued],tblIssues[Lot Number],$B1488))</f>
        <v/>
      </c>
      <c r="N1488" s="26" t="str">
        <f t="shared" si="117"/>
        <v/>
      </c>
      <c r="O1488" s="26" t="str">
        <f t="shared" si="118"/>
        <v/>
      </c>
      <c r="P1488" s="21" t="str">
        <f t="shared" si="119"/>
        <v/>
      </c>
      <c r="Q1488" s="52" t="str">
        <f>IF($A1488="","",IF($O1488&lt;=0,"Depleted",IF($I1488&lt;0,"EXPIRED",IF($I1488&lt;=Settings!$C$6,"CRITICAL",IF($I1488&lt;=Settings!$C$5,"Expiring","In date")))))</f>
        <v/>
      </c>
    </row>
    <row r="1489" spans="1:17" x14ac:dyDescent="0.35">
      <c r="A1489" s="90" t="str">
        <f>IF(Receipts!$D1492="","",Receipts!$D1492)</f>
        <v/>
      </c>
      <c r="B1489" s="18" t="str">
        <f>IF(Receipts!$C1492="","",Receipts!$C1492)</f>
        <v/>
      </c>
      <c r="C1489" s="18" t="str">
        <f>IF($A1489="","",IFERROR(INDEX(Items!$B$5:$B$597,MATCH($A1489,Items!$A$5:$A$597,0)),""))</f>
        <v/>
      </c>
      <c r="D1489" s="23" t="str">
        <f>IF($A1489="","",N(Receipts!$G1492))</f>
        <v/>
      </c>
      <c r="E1489" s="20" t="str">
        <f>IF($A1489="","",IFERROR(INDEX(Items!$D$5:$D$597,MATCH($A1489,Items!$A$5:$A$597,0)),0))</f>
        <v/>
      </c>
      <c r="F1489" s="21" t="str">
        <f t="shared" si="115"/>
        <v/>
      </c>
      <c r="G1489" s="25" t="str">
        <f>IF(Receipts!$I1492="","",Receipts!$I1492)</f>
        <v/>
      </c>
      <c r="H1489" s="25" t="str">
        <f>IF(Receipts!$H1492="","",Receipts!$H1492)</f>
        <v/>
      </c>
      <c r="I1489" s="26" t="str">
        <f t="shared" ca="1" si="116"/>
        <v/>
      </c>
      <c r="J1489" s="26" t="str">
        <f>IF($A1489="","",COUNTIFS(tblReceipts[Item Name],$A1489,tblReceipts[Expiry Date],"&lt;"&amp;$H1489)+COUNTIFS(tblReceipts[Item Name],$A1489,tblReceipts[Expiry Date],$H1489,tblReceipts[Lot Number],"&lt;="&amp;Receipts!$C1492))</f>
        <v/>
      </c>
      <c r="K1489" s="26" t="str">
        <f>IF($A1489="","",SUMIFS(tblReceipts[Qty Received],tblReceipts[Item Name],$A1489,tblReceipts[Expiry Date],"&lt;"&amp;$H1489)+SUMIFS(tblReceipts[Qty Received],tblReceipts[Item Name],$A1489,tblReceipts[Expiry Date],$H1489,tblReceipts[Lot Number],"&lt;"&amp;Receipts!$C1492))</f>
        <v/>
      </c>
      <c r="L1489" s="26" t="str">
        <f>IF($A1489="","",MIN($D1489,MAX(0,SUMIFS(tblIssues[Qty Issued],tblIssues[Item Name],$A1489)-$K1489)))</f>
        <v/>
      </c>
      <c r="M1489" s="26" t="str">
        <f>IF($A1489="","",SUMIFS(tblIssues[Qty Issued],tblIssues[Lot Number],$B1489))</f>
        <v/>
      </c>
      <c r="N1489" s="26" t="str">
        <f t="shared" si="117"/>
        <v/>
      </c>
      <c r="O1489" s="26" t="str">
        <f t="shared" si="118"/>
        <v/>
      </c>
      <c r="P1489" s="21" t="str">
        <f t="shared" si="119"/>
        <v/>
      </c>
      <c r="Q1489" s="52" t="str">
        <f>IF($A1489="","",IF($O1489&lt;=0,"Depleted",IF($I1489&lt;0,"EXPIRED",IF($I1489&lt;=Settings!$C$6,"CRITICAL",IF($I1489&lt;=Settings!$C$5,"Expiring","In date")))))</f>
        <v/>
      </c>
    </row>
    <row r="1490" spans="1:17" x14ac:dyDescent="0.35">
      <c r="A1490" s="90" t="str">
        <f>IF(Receipts!$D1493="","",Receipts!$D1493)</f>
        <v/>
      </c>
      <c r="B1490" s="18" t="str">
        <f>IF(Receipts!$C1493="","",Receipts!$C1493)</f>
        <v/>
      </c>
      <c r="C1490" s="18" t="str">
        <f>IF($A1490="","",IFERROR(INDEX(Items!$B$5:$B$597,MATCH($A1490,Items!$A$5:$A$597,0)),""))</f>
        <v/>
      </c>
      <c r="D1490" s="23" t="str">
        <f>IF($A1490="","",N(Receipts!$G1493))</f>
        <v/>
      </c>
      <c r="E1490" s="20" t="str">
        <f>IF($A1490="","",IFERROR(INDEX(Items!$D$5:$D$597,MATCH($A1490,Items!$A$5:$A$597,0)),0))</f>
        <v/>
      </c>
      <c r="F1490" s="21" t="str">
        <f t="shared" si="115"/>
        <v/>
      </c>
      <c r="G1490" s="25" t="str">
        <f>IF(Receipts!$I1493="","",Receipts!$I1493)</f>
        <v/>
      </c>
      <c r="H1490" s="25" t="str">
        <f>IF(Receipts!$H1493="","",Receipts!$H1493)</f>
        <v/>
      </c>
      <c r="I1490" s="26" t="str">
        <f t="shared" ca="1" si="116"/>
        <v/>
      </c>
      <c r="J1490" s="26" t="str">
        <f>IF($A1490="","",COUNTIFS(tblReceipts[Item Name],$A1490,tblReceipts[Expiry Date],"&lt;"&amp;$H1490)+COUNTIFS(tblReceipts[Item Name],$A1490,tblReceipts[Expiry Date],$H1490,tblReceipts[Lot Number],"&lt;="&amp;Receipts!$C1493))</f>
        <v/>
      </c>
      <c r="K1490" s="26" t="str">
        <f>IF($A1490="","",SUMIFS(tblReceipts[Qty Received],tblReceipts[Item Name],$A1490,tblReceipts[Expiry Date],"&lt;"&amp;$H1490)+SUMIFS(tblReceipts[Qty Received],tblReceipts[Item Name],$A1490,tblReceipts[Expiry Date],$H1490,tblReceipts[Lot Number],"&lt;"&amp;Receipts!$C1493))</f>
        <v/>
      </c>
      <c r="L1490" s="26" t="str">
        <f>IF($A1490="","",MIN($D1490,MAX(0,SUMIFS(tblIssues[Qty Issued],tblIssues[Item Name],$A1490)-$K1490)))</f>
        <v/>
      </c>
      <c r="M1490" s="26" t="str">
        <f>IF($A1490="","",SUMIFS(tblIssues[Qty Issued],tblIssues[Lot Number],$B1490))</f>
        <v/>
      </c>
      <c r="N1490" s="26" t="str">
        <f t="shared" si="117"/>
        <v/>
      </c>
      <c r="O1490" s="26" t="str">
        <f t="shared" si="118"/>
        <v/>
      </c>
      <c r="P1490" s="21" t="str">
        <f t="shared" si="119"/>
        <v/>
      </c>
      <c r="Q1490" s="52" t="str">
        <f>IF($A1490="","",IF($O1490&lt;=0,"Depleted",IF($I1490&lt;0,"EXPIRED",IF($I1490&lt;=Settings!$C$6,"CRITICAL",IF($I1490&lt;=Settings!$C$5,"Expiring","In date")))))</f>
        <v/>
      </c>
    </row>
    <row r="1491" spans="1:17" x14ac:dyDescent="0.35">
      <c r="A1491" s="90" t="str">
        <f>IF(Receipts!$D1494="","",Receipts!$D1494)</f>
        <v/>
      </c>
      <c r="B1491" s="18" t="str">
        <f>IF(Receipts!$C1494="","",Receipts!$C1494)</f>
        <v/>
      </c>
      <c r="C1491" s="18" t="str">
        <f>IF($A1491="","",IFERROR(INDEX(Items!$B$5:$B$597,MATCH($A1491,Items!$A$5:$A$597,0)),""))</f>
        <v/>
      </c>
      <c r="D1491" s="23" t="str">
        <f>IF($A1491="","",N(Receipts!$G1494))</f>
        <v/>
      </c>
      <c r="E1491" s="20" t="str">
        <f>IF($A1491="","",IFERROR(INDEX(Items!$D$5:$D$597,MATCH($A1491,Items!$A$5:$A$597,0)),0))</f>
        <v/>
      </c>
      <c r="F1491" s="21" t="str">
        <f t="shared" si="115"/>
        <v/>
      </c>
      <c r="G1491" s="25" t="str">
        <f>IF(Receipts!$I1494="","",Receipts!$I1494)</f>
        <v/>
      </c>
      <c r="H1491" s="25" t="str">
        <f>IF(Receipts!$H1494="","",Receipts!$H1494)</f>
        <v/>
      </c>
      <c r="I1491" s="26" t="str">
        <f t="shared" ca="1" si="116"/>
        <v/>
      </c>
      <c r="J1491" s="26" t="str">
        <f>IF($A1491="","",COUNTIFS(tblReceipts[Item Name],$A1491,tblReceipts[Expiry Date],"&lt;"&amp;$H1491)+COUNTIFS(tblReceipts[Item Name],$A1491,tblReceipts[Expiry Date],$H1491,tblReceipts[Lot Number],"&lt;="&amp;Receipts!$C1494))</f>
        <v/>
      </c>
      <c r="K1491" s="26" t="str">
        <f>IF($A1491="","",SUMIFS(tblReceipts[Qty Received],tblReceipts[Item Name],$A1491,tblReceipts[Expiry Date],"&lt;"&amp;$H1491)+SUMIFS(tblReceipts[Qty Received],tblReceipts[Item Name],$A1491,tblReceipts[Expiry Date],$H1491,tblReceipts[Lot Number],"&lt;"&amp;Receipts!$C1494))</f>
        <v/>
      </c>
      <c r="L1491" s="26" t="str">
        <f>IF($A1491="","",MIN($D1491,MAX(0,SUMIFS(tblIssues[Qty Issued],tblIssues[Item Name],$A1491)-$K1491)))</f>
        <v/>
      </c>
      <c r="M1491" s="26" t="str">
        <f>IF($A1491="","",SUMIFS(tblIssues[Qty Issued],tblIssues[Lot Number],$B1491))</f>
        <v/>
      </c>
      <c r="N1491" s="26" t="str">
        <f t="shared" si="117"/>
        <v/>
      </c>
      <c r="O1491" s="26" t="str">
        <f t="shared" si="118"/>
        <v/>
      </c>
      <c r="P1491" s="21" t="str">
        <f t="shared" si="119"/>
        <v/>
      </c>
      <c r="Q1491" s="52" t="str">
        <f>IF($A1491="","",IF($O1491&lt;=0,"Depleted",IF($I1491&lt;0,"EXPIRED",IF($I1491&lt;=Settings!$C$6,"CRITICAL",IF($I1491&lt;=Settings!$C$5,"Expiring","In date")))))</f>
        <v/>
      </c>
    </row>
    <row r="1492" spans="1:17" x14ac:dyDescent="0.35">
      <c r="A1492" s="90" t="str">
        <f>IF(Receipts!$D1495="","",Receipts!$D1495)</f>
        <v/>
      </c>
      <c r="B1492" s="18" t="str">
        <f>IF(Receipts!$C1495="","",Receipts!$C1495)</f>
        <v/>
      </c>
      <c r="C1492" s="18" t="str">
        <f>IF($A1492="","",IFERROR(INDEX(Items!$B$5:$B$597,MATCH($A1492,Items!$A$5:$A$597,0)),""))</f>
        <v/>
      </c>
      <c r="D1492" s="23" t="str">
        <f>IF($A1492="","",N(Receipts!$G1495))</f>
        <v/>
      </c>
      <c r="E1492" s="20" t="str">
        <f>IF($A1492="","",IFERROR(INDEX(Items!$D$5:$D$597,MATCH($A1492,Items!$A$5:$A$597,0)),0))</f>
        <v/>
      </c>
      <c r="F1492" s="21" t="str">
        <f t="shared" si="115"/>
        <v/>
      </c>
      <c r="G1492" s="25" t="str">
        <f>IF(Receipts!$I1495="","",Receipts!$I1495)</f>
        <v/>
      </c>
      <c r="H1492" s="25" t="str">
        <f>IF(Receipts!$H1495="","",Receipts!$H1495)</f>
        <v/>
      </c>
      <c r="I1492" s="26" t="str">
        <f t="shared" ca="1" si="116"/>
        <v/>
      </c>
      <c r="J1492" s="26" t="str">
        <f>IF($A1492="","",COUNTIFS(tblReceipts[Item Name],$A1492,tblReceipts[Expiry Date],"&lt;"&amp;$H1492)+COUNTIFS(tblReceipts[Item Name],$A1492,tblReceipts[Expiry Date],$H1492,tblReceipts[Lot Number],"&lt;="&amp;Receipts!$C1495))</f>
        <v/>
      </c>
      <c r="K1492" s="26" t="str">
        <f>IF($A1492="","",SUMIFS(tblReceipts[Qty Received],tblReceipts[Item Name],$A1492,tblReceipts[Expiry Date],"&lt;"&amp;$H1492)+SUMIFS(tblReceipts[Qty Received],tblReceipts[Item Name],$A1492,tblReceipts[Expiry Date],$H1492,tblReceipts[Lot Number],"&lt;"&amp;Receipts!$C1495))</f>
        <v/>
      </c>
      <c r="L1492" s="26" t="str">
        <f>IF($A1492="","",MIN($D1492,MAX(0,SUMIFS(tblIssues[Qty Issued],tblIssues[Item Name],$A1492)-$K1492)))</f>
        <v/>
      </c>
      <c r="M1492" s="26" t="str">
        <f>IF($A1492="","",SUMIFS(tblIssues[Qty Issued],tblIssues[Lot Number],$B1492))</f>
        <v/>
      </c>
      <c r="N1492" s="26" t="str">
        <f t="shared" si="117"/>
        <v/>
      </c>
      <c r="O1492" s="26" t="str">
        <f t="shared" si="118"/>
        <v/>
      </c>
      <c r="P1492" s="21" t="str">
        <f t="shared" si="119"/>
        <v/>
      </c>
      <c r="Q1492" s="52" t="str">
        <f>IF($A1492="","",IF($O1492&lt;=0,"Depleted",IF($I1492&lt;0,"EXPIRED",IF($I1492&lt;=Settings!$C$6,"CRITICAL",IF($I1492&lt;=Settings!$C$5,"Expiring","In date")))))</f>
        <v/>
      </c>
    </row>
    <row r="1493" spans="1:17" x14ac:dyDescent="0.35">
      <c r="A1493" s="90" t="str">
        <f>IF(Receipts!$D1496="","",Receipts!$D1496)</f>
        <v/>
      </c>
      <c r="B1493" s="18" t="str">
        <f>IF(Receipts!$C1496="","",Receipts!$C1496)</f>
        <v/>
      </c>
      <c r="C1493" s="18" t="str">
        <f>IF($A1493="","",IFERROR(INDEX(Items!$B$5:$B$597,MATCH($A1493,Items!$A$5:$A$597,0)),""))</f>
        <v/>
      </c>
      <c r="D1493" s="23" t="str">
        <f>IF($A1493="","",N(Receipts!$G1496))</f>
        <v/>
      </c>
      <c r="E1493" s="20" t="str">
        <f>IF($A1493="","",IFERROR(INDEX(Items!$D$5:$D$597,MATCH($A1493,Items!$A$5:$A$597,0)),0))</f>
        <v/>
      </c>
      <c r="F1493" s="21" t="str">
        <f t="shared" si="115"/>
        <v/>
      </c>
      <c r="G1493" s="25" t="str">
        <f>IF(Receipts!$I1496="","",Receipts!$I1496)</f>
        <v/>
      </c>
      <c r="H1493" s="25" t="str">
        <f>IF(Receipts!$H1496="","",Receipts!$H1496)</f>
        <v/>
      </c>
      <c r="I1493" s="26" t="str">
        <f t="shared" ca="1" si="116"/>
        <v/>
      </c>
      <c r="J1493" s="26" t="str">
        <f>IF($A1493="","",COUNTIFS(tblReceipts[Item Name],$A1493,tblReceipts[Expiry Date],"&lt;"&amp;$H1493)+COUNTIFS(tblReceipts[Item Name],$A1493,tblReceipts[Expiry Date],$H1493,tblReceipts[Lot Number],"&lt;="&amp;Receipts!$C1496))</f>
        <v/>
      </c>
      <c r="K1493" s="26" t="str">
        <f>IF($A1493="","",SUMIFS(tblReceipts[Qty Received],tblReceipts[Item Name],$A1493,tblReceipts[Expiry Date],"&lt;"&amp;$H1493)+SUMIFS(tblReceipts[Qty Received],tblReceipts[Item Name],$A1493,tblReceipts[Expiry Date],$H1493,tblReceipts[Lot Number],"&lt;"&amp;Receipts!$C1496))</f>
        <v/>
      </c>
      <c r="L1493" s="26" t="str">
        <f>IF($A1493="","",MIN($D1493,MAX(0,SUMIFS(tblIssues[Qty Issued],tblIssues[Item Name],$A1493)-$K1493)))</f>
        <v/>
      </c>
      <c r="M1493" s="26" t="str">
        <f>IF($A1493="","",SUMIFS(tblIssues[Qty Issued],tblIssues[Lot Number],$B1493))</f>
        <v/>
      </c>
      <c r="N1493" s="26" t="str">
        <f t="shared" si="117"/>
        <v/>
      </c>
      <c r="O1493" s="26" t="str">
        <f t="shared" si="118"/>
        <v/>
      </c>
      <c r="P1493" s="21" t="str">
        <f t="shared" si="119"/>
        <v/>
      </c>
      <c r="Q1493" s="52" t="str">
        <f>IF($A1493="","",IF($O1493&lt;=0,"Depleted",IF($I1493&lt;0,"EXPIRED",IF($I1493&lt;=Settings!$C$6,"CRITICAL",IF($I1493&lt;=Settings!$C$5,"Expiring","In date")))))</f>
        <v/>
      </c>
    </row>
    <row r="1494" spans="1:17" x14ac:dyDescent="0.35">
      <c r="A1494" s="90" t="str">
        <f>IF(Receipts!$D1497="","",Receipts!$D1497)</f>
        <v/>
      </c>
      <c r="B1494" s="18" t="str">
        <f>IF(Receipts!$C1497="","",Receipts!$C1497)</f>
        <v/>
      </c>
      <c r="C1494" s="18" t="str">
        <f>IF($A1494="","",IFERROR(INDEX(Items!$B$5:$B$597,MATCH($A1494,Items!$A$5:$A$597,0)),""))</f>
        <v/>
      </c>
      <c r="D1494" s="23" t="str">
        <f>IF($A1494="","",N(Receipts!$G1497))</f>
        <v/>
      </c>
      <c r="E1494" s="20" t="str">
        <f>IF($A1494="","",IFERROR(INDEX(Items!$D$5:$D$597,MATCH($A1494,Items!$A$5:$A$597,0)),0))</f>
        <v/>
      </c>
      <c r="F1494" s="21" t="str">
        <f t="shared" si="115"/>
        <v/>
      </c>
      <c r="G1494" s="25" t="str">
        <f>IF(Receipts!$I1497="","",Receipts!$I1497)</f>
        <v/>
      </c>
      <c r="H1494" s="25" t="str">
        <f>IF(Receipts!$H1497="","",Receipts!$H1497)</f>
        <v/>
      </c>
      <c r="I1494" s="26" t="str">
        <f t="shared" ca="1" si="116"/>
        <v/>
      </c>
      <c r="J1494" s="26" t="str">
        <f>IF($A1494="","",COUNTIFS(tblReceipts[Item Name],$A1494,tblReceipts[Expiry Date],"&lt;"&amp;$H1494)+COUNTIFS(tblReceipts[Item Name],$A1494,tblReceipts[Expiry Date],$H1494,tblReceipts[Lot Number],"&lt;="&amp;Receipts!$C1497))</f>
        <v/>
      </c>
      <c r="K1494" s="26" t="str">
        <f>IF($A1494="","",SUMIFS(tblReceipts[Qty Received],tblReceipts[Item Name],$A1494,tblReceipts[Expiry Date],"&lt;"&amp;$H1494)+SUMIFS(tblReceipts[Qty Received],tblReceipts[Item Name],$A1494,tblReceipts[Expiry Date],$H1494,tblReceipts[Lot Number],"&lt;"&amp;Receipts!$C1497))</f>
        <v/>
      </c>
      <c r="L1494" s="26" t="str">
        <f>IF($A1494="","",MIN($D1494,MAX(0,SUMIFS(tblIssues[Qty Issued],tblIssues[Item Name],$A1494)-$K1494)))</f>
        <v/>
      </c>
      <c r="M1494" s="26" t="str">
        <f>IF($A1494="","",SUMIFS(tblIssues[Qty Issued],tblIssues[Lot Number],$B1494))</f>
        <v/>
      </c>
      <c r="N1494" s="26" t="str">
        <f t="shared" si="117"/>
        <v/>
      </c>
      <c r="O1494" s="26" t="str">
        <f t="shared" si="118"/>
        <v/>
      </c>
      <c r="P1494" s="21" t="str">
        <f t="shared" si="119"/>
        <v/>
      </c>
      <c r="Q1494" s="52" t="str">
        <f>IF($A1494="","",IF($O1494&lt;=0,"Depleted",IF($I1494&lt;0,"EXPIRED",IF($I1494&lt;=Settings!$C$6,"CRITICAL",IF($I1494&lt;=Settings!$C$5,"Expiring","In date")))))</f>
        <v/>
      </c>
    </row>
    <row r="1495" spans="1:17" x14ac:dyDescent="0.35">
      <c r="A1495" s="90" t="str">
        <f>IF(Receipts!$D1498="","",Receipts!$D1498)</f>
        <v/>
      </c>
      <c r="B1495" s="18" t="str">
        <f>IF(Receipts!$C1498="","",Receipts!$C1498)</f>
        <v/>
      </c>
      <c r="C1495" s="18" t="str">
        <f>IF($A1495="","",IFERROR(INDEX(Items!$B$5:$B$597,MATCH($A1495,Items!$A$5:$A$597,0)),""))</f>
        <v/>
      </c>
      <c r="D1495" s="23" t="str">
        <f>IF($A1495="","",N(Receipts!$G1498))</f>
        <v/>
      </c>
      <c r="E1495" s="20" t="str">
        <f>IF($A1495="","",IFERROR(INDEX(Items!$D$5:$D$597,MATCH($A1495,Items!$A$5:$A$597,0)),0))</f>
        <v/>
      </c>
      <c r="F1495" s="21" t="str">
        <f t="shared" si="115"/>
        <v/>
      </c>
      <c r="G1495" s="25" t="str">
        <f>IF(Receipts!$I1498="","",Receipts!$I1498)</f>
        <v/>
      </c>
      <c r="H1495" s="25" t="str">
        <f>IF(Receipts!$H1498="","",Receipts!$H1498)</f>
        <v/>
      </c>
      <c r="I1495" s="26" t="str">
        <f t="shared" ca="1" si="116"/>
        <v/>
      </c>
      <c r="J1495" s="26" t="str">
        <f>IF($A1495="","",COUNTIFS(tblReceipts[Item Name],$A1495,tblReceipts[Expiry Date],"&lt;"&amp;$H1495)+COUNTIFS(tblReceipts[Item Name],$A1495,tblReceipts[Expiry Date],$H1495,tblReceipts[Lot Number],"&lt;="&amp;Receipts!$C1498))</f>
        <v/>
      </c>
      <c r="K1495" s="26" t="str">
        <f>IF($A1495="","",SUMIFS(tblReceipts[Qty Received],tblReceipts[Item Name],$A1495,tblReceipts[Expiry Date],"&lt;"&amp;$H1495)+SUMIFS(tblReceipts[Qty Received],tblReceipts[Item Name],$A1495,tblReceipts[Expiry Date],$H1495,tblReceipts[Lot Number],"&lt;"&amp;Receipts!$C1498))</f>
        <v/>
      </c>
      <c r="L1495" s="26" t="str">
        <f>IF($A1495="","",MIN($D1495,MAX(0,SUMIFS(tblIssues[Qty Issued],tblIssues[Item Name],$A1495)-$K1495)))</f>
        <v/>
      </c>
      <c r="M1495" s="26" t="str">
        <f>IF($A1495="","",SUMIFS(tblIssues[Qty Issued],tblIssues[Lot Number],$B1495))</f>
        <v/>
      </c>
      <c r="N1495" s="26" t="str">
        <f t="shared" si="117"/>
        <v/>
      </c>
      <c r="O1495" s="26" t="str">
        <f t="shared" si="118"/>
        <v/>
      </c>
      <c r="P1495" s="21" t="str">
        <f t="shared" si="119"/>
        <v/>
      </c>
      <c r="Q1495" s="52" t="str">
        <f>IF($A1495="","",IF($O1495&lt;=0,"Depleted",IF($I1495&lt;0,"EXPIRED",IF($I1495&lt;=Settings!$C$6,"CRITICAL",IF($I1495&lt;=Settings!$C$5,"Expiring","In date")))))</f>
        <v/>
      </c>
    </row>
    <row r="1496" spans="1:17" x14ac:dyDescent="0.35">
      <c r="A1496" s="90" t="str">
        <f>IF(Receipts!$D1499="","",Receipts!$D1499)</f>
        <v/>
      </c>
      <c r="B1496" s="18" t="str">
        <f>IF(Receipts!$C1499="","",Receipts!$C1499)</f>
        <v/>
      </c>
      <c r="C1496" s="18" t="str">
        <f>IF($A1496="","",IFERROR(INDEX(Items!$B$5:$B$597,MATCH($A1496,Items!$A$5:$A$597,0)),""))</f>
        <v/>
      </c>
      <c r="D1496" s="23" t="str">
        <f>IF($A1496="","",N(Receipts!$G1499))</f>
        <v/>
      </c>
      <c r="E1496" s="20" t="str">
        <f>IF($A1496="","",IFERROR(INDEX(Items!$D$5:$D$597,MATCH($A1496,Items!$A$5:$A$597,0)),0))</f>
        <v/>
      </c>
      <c r="F1496" s="21" t="str">
        <f t="shared" si="115"/>
        <v/>
      </c>
      <c r="G1496" s="25" t="str">
        <f>IF(Receipts!$I1499="","",Receipts!$I1499)</f>
        <v/>
      </c>
      <c r="H1496" s="25" t="str">
        <f>IF(Receipts!$H1499="","",Receipts!$H1499)</f>
        <v/>
      </c>
      <c r="I1496" s="26" t="str">
        <f t="shared" ca="1" si="116"/>
        <v/>
      </c>
      <c r="J1496" s="26" t="str">
        <f>IF($A1496="","",COUNTIFS(tblReceipts[Item Name],$A1496,tblReceipts[Expiry Date],"&lt;"&amp;$H1496)+COUNTIFS(tblReceipts[Item Name],$A1496,tblReceipts[Expiry Date],$H1496,tblReceipts[Lot Number],"&lt;="&amp;Receipts!$C1499))</f>
        <v/>
      </c>
      <c r="K1496" s="26" t="str">
        <f>IF($A1496="","",SUMIFS(tblReceipts[Qty Received],tblReceipts[Item Name],$A1496,tblReceipts[Expiry Date],"&lt;"&amp;$H1496)+SUMIFS(tblReceipts[Qty Received],tblReceipts[Item Name],$A1496,tblReceipts[Expiry Date],$H1496,tblReceipts[Lot Number],"&lt;"&amp;Receipts!$C1499))</f>
        <v/>
      </c>
      <c r="L1496" s="26" t="str">
        <f>IF($A1496="","",MIN($D1496,MAX(0,SUMIFS(tblIssues[Qty Issued],tblIssues[Item Name],$A1496)-$K1496)))</f>
        <v/>
      </c>
      <c r="M1496" s="26" t="str">
        <f>IF($A1496="","",SUMIFS(tblIssues[Qty Issued],tblIssues[Lot Number],$B1496))</f>
        <v/>
      </c>
      <c r="N1496" s="26" t="str">
        <f t="shared" si="117"/>
        <v/>
      </c>
      <c r="O1496" s="26" t="str">
        <f t="shared" si="118"/>
        <v/>
      </c>
      <c r="P1496" s="21" t="str">
        <f t="shared" si="119"/>
        <v/>
      </c>
      <c r="Q1496" s="52" t="str">
        <f>IF($A1496="","",IF($O1496&lt;=0,"Depleted",IF($I1496&lt;0,"EXPIRED",IF($I1496&lt;=Settings!$C$6,"CRITICAL",IF($I1496&lt;=Settings!$C$5,"Expiring","In date")))))</f>
        <v/>
      </c>
    </row>
    <row r="1497" spans="1:17" x14ac:dyDescent="0.35">
      <c r="A1497" s="90" t="str">
        <f>IF(Receipts!$D1500="","",Receipts!$D1500)</f>
        <v/>
      </c>
      <c r="B1497" s="18" t="str">
        <f>IF(Receipts!$C1500="","",Receipts!$C1500)</f>
        <v/>
      </c>
      <c r="C1497" s="18" t="str">
        <f>IF($A1497="","",IFERROR(INDEX(Items!$B$5:$B$597,MATCH($A1497,Items!$A$5:$A$597,0)),""))</f>
        <v/>
      </c>
      <c r="D1497" s="23" t="str">
        <f>IF($A1497="","",N(Receipts!$G1500))</f>
        <v/>
      </c>
      <c r="E1497" s="20" t="str">
        <f>IF($A1497="","",IFERROR(INDEX(Items!$D$5:$D$597,MATCH($A1497,Items!$A$5:$A$597,0)),0))</f>
        <v/>
      </c>
      <c r="F1497" s="21" t="str">
        <f t="shared" si="115"/>
        <v/>
      </c>
      <c r="G1497" s="25" t="str">
        <f>IF(Receipts!$I1500="","",Receipts!$I1500)</f>
        <v/>
      </c>
      <c r="H1497" s="25" t="str">
        <f>IF(Receipts!$H1500="","",Receipts!$H1500)</f>
        <v/>
      </c>
      <c r="I1497" s="26" t="str">
        <f t="shared" ca="1" si="116"/>
        <v/>
      </c>
      <c r="J1497" s="26" t="str">
        <f>IF($A1497="","",COUNTIFS(tblReceipts[Item Name],$A1497,tblReceipts[Expiry Date],"&lt;"&amp;$H1497)+COUNTIFS(tblReceipts[Item Name],$A1497,tblReceipts[Expiry Date],$H1497,tblReceipts[Lot Number],"&lt;="&amp;Receipts!$C1500))</f>
        <v/>
      </c>
      <c r="K1497" s="26" t="str">
        <f>IF($A1497="","",SUMIFS(tblReceipts[Qty Received],tblReceipts[Item Name],$A1497,tblReceipts[Expiry Date],"&lt;"&amp;$H1497)+SUMIFS(tblReceipts[Qty Received],tblReceipts[Item Name],$A1497,tblReceipts[Expiry Date],$H1497,tblReceipts[Lot Number],"&lt;"&amp;Receipts!$C1500))</f>
        <v/>
      </c>
      <c r="L1497" s="26" t="str">
        <f>IF($A1497="","",MIN($D1497,MAX(0,SUMIFS(tblIssues[Qty Issued],tblIssues[Item Name],$A1497)-$K1497)))</f>
        <v/>
      </c>
      <c r="M1497" s="26" t="str">
        <f>IF($A1497="","",SUMIFS(tblIssues[Qty Issued],tblIssues[Lot Number],$B1497))</f>
        <v/>
      </c>
      <c r="N1497" s="26" t="str">
        <f t="shared" si="117"/>
        <v/>
      </c>
      <c r="O1497" s="26" t="str">
        <f t="shared" si="118"/>
        <v/>
      </c>
      <c r="P1497" s="21" t="str">
        <f t="shared" si="119"/>
        <v/>
      </c>
      <c r="Q1497" s="52" t="str">
        <f>IF($A1497="","",IF($O1497&lt;=0,"Depleted",IF($I1497&lt;0,"EXPIRED",IF($I1497&lt;=Settings!$C$6,"CRITICAL",IF($I1497&lt;=Settings!$C$5,"Expiring","In date")))))</f>
        <v/>
      </c>
    </row>
    <row r="1498" spans="1:17" x14ac:dyDescent="0.35">
      <c r="A1498" s="90" t="str">
        <f>IF(Receipts!$D1501="","",Receipts!$D1501)</f>
        <v/>
      </c>
      <c r="B1498" s="18" t="str">
        <f>IF(Receipts!$C1501="","",Receipts!$C1501)</f>
        <v/>
      </c>
      <c r="C1498" s="18" t="str">
        <f>IF($A1498="","",IFERROR(INDEX(Items!$B$5:$B$597,MATCH($A1498,Items!$A$5:$A$597,0)),""))</f>
        <v/>
      </c>
      <c r="D1498" s="23" t="str">
        <f>IF($A1498="","",N(Receipts!$G1501))</f>
        <v/>
      </c>
      <c r="E1498" s="20" t="str">
        <f>IF($A1498="","",IFERROR(INDEX(Items!$D$5:$D$597,MATCH($A1498,Items!$A$5:$A$597,0)),0))</f>
        <v/>
      </c>
      <c r="F1498" s="21" t="str">
        <f t="shared" si="115"/>
        <v/>
      </c>
      <c r="G1498" s="25" t="str">
        <f>IF(Receipts!$I1501="","",Receipts!$I1501)</f>
        <v/>
      </c>
      <c r="H1498" s="25" t="str">
        <f>IF(Receipts!$H1501="","",Receipts!$H1501)</f>
        <v/>
      </c>
      <c r="I1498" s="26" t="str">
        <f t="shared" ca="1" si="116"/>
        <v/>
      </c>
      <c r="J1498" s="26" t="str">
        <f>IF($A1498="","",COUNTIFS(tblReceipts[Item Name],$A1498,tblReceipts[Expiry Date],"&lt;"&amp;$H1498)+COUNTIFS(tblReceipts[Item Name],$A1498,tblReceipts[Expiry Date],$H1498,tblReceipts[Lot Number],"&lt;="&amp;Receipts!$C1501))</f>
        <v/>
      </c>
      <c r="K1498" s="26" t="str">
        <f>IF($A1498="","",SUMIFS(tblReceipts[Qty Received],tblReceipts[Item Name],$A1498,tblReceipts[Expiry Date],"&lt;"&amp;$H1498)+SUMIFS(tblReceipts[Qty Received],tblReceipts[Item Name],$A1498,tblReceipts[Expiry Date],$H1498,tblReceipts[Lot Number],"&lt;"&amp;Receipts!$C1501))</f>
        <v/>
      </c>
      <c r="L1498" s="26" t="str">
        <f>IF($A1498="","",MIN($D1498,MAX(0,SUMIFS(tblIssues[Qty Issued],tblIssues[Item Name],$A1498)-$K1498)))</f>
        <v/>
      </c>
      <c r="M1498" s="26" t="str">
        <f>IF($A1498="","",SUMIFS(tblIssues[Qty Issued],tblIssues[Lot Number],$B1498))</f>
        <v/>
      </c>
      <c r="N1498" s="26" t="str">
        <f t="shared" si="117"/>
        <v/>
      </c>
      <c r="O1498" s="26" t="str">
        <f t="shared" si="118"/>
        <v/>
      </c>
      <c r="P1498" s="21" t="str">
        <f t="shared" si="119"/>
        <v/>
      </c>
      <c r="Q1498" s="52" t="str">
        <f>IF($A1498="","",IF($O1498&lt;=0,"Depleted",IF($I1498&lt;0,"EXPIRED",IF($I1498&lt;=Settings!$C$6,"CRITICAL",IF($I1498&lt;=Settings!$C$5,"Expiring","In date")))))</f>
        <v/>
      </c>
    </row>
    <row r="1499" spans="1:17" x14ac:dyDescent="0.35">
      <c r="A1499" s="90" t="str">
        <f>IF(Receipts!$D1502="","",Receipts!$D1502)</f>
        <v/>
      </c>
      <c r="B1499" s="18" t="str">
        <f>IF(Receipts!$C1502="","",Receipts!$C1502)</f>
        <v/>
      </c>
      <c r="C1499" s="18" t="str">
        <f>IF($A1499="","",IFERROR(INDEX(Items!$B$5:$B$597,MATCH($A1499,Items!$A$5:$A$597,0)),""))</f>
        <v/>
      </c>
      <c r="D1499" s="23" t="str">
        <f>IF($A1499="","",N(Receipts!$G1502))</f>
        <v/>
      </c>
      <c r="E1499" s="20" t="str">
        <f>IF($A1499="","",IFERROR(INDEX(Items!$D$5:$D$597,MATCH($A1499,Items!$A$5:$A$597,0)),0))</f>
        <v/>
      </c>
      <c r="F1499" s="21" t="str">
        <f t="shared" si="115"/>
        <v/>
      </c>
      <c r="G1499" s="25" t="str">
        <f>IF(Receipts!$I1502="","",Receipts!$I1502)</f>
        <v/>
      </c>
      <c r="H1499" s="25" t="str">
        <f>IF(Receipts!$H1502="","",Receipts!$H1502)</f>
        <v/>
      </c>
      <c r="I1499" s="26" t="str">
        <f t="shared" ca="1" si="116"/>
        <v/>
      </c>
      <c r="J1499" s="26" t="str">
        <f>IF($A1499="","",COUNTIFS(tblReceipts[Item Name],$A1499,tblReceipts[Expiry Date],"&lt;"&amp;$H1499)+COUNTIFS(tblReceipts[Item Name],$A1499,tblReceipts[Expiry Date],$H1499,tblReceipts[Lot Number],"&lt;="&amp;Receipts!$C1502))</f>
        <v/>
      </c>
      <c r="K1499" s="26" t="str">
        <f>IF($A1499="","",SUMIFS(tblReceipts[Qty Received],tblReceipts[Item Name],$A1499,tblReceipts[Expiry Date],"&lt;"&amp;$H1499)+SUMIFS(tblReceipts[Qty Received],tblReceipts[Item Name],$A1499,tblReceipts[Expiry Date],$H1499,tblReceipts[Lot Number],"&lt;"&amp;Receipts!$C1502))</f>
        <v/>
      </c>
      <c r="L1499" s="26" t="str">
        <f>IF($A1499="","",MIN($D1499,MAX(0,SUMIFS(tblIssues[Qty Issued],tblIssues[Item Name],$A1499)-$K1499)))</f>
        <v/>
      </c>
      <c r="M1499" s="26" t="str">
        <f>IF($A1499="","",SUMIFS(tblIssues[Qty Issued],tblIssues[Lot Number],$B1499))</f>
        <v/>
      </c>
      <c r="N1499" s="26" t="str">
        <f t="shared" si="117"/>
        <v/>
      </c>
      <c r="O1499" s="26" t="str">
        <f t="shared" si="118"/>
        <v/>
      </c>
      <c r="P1499" s="21" t="str">
        <f t="shared" si="119"/>
        <v/>
      </c>
      <c r="Q1499" s="52" t="str">
        <f>IF($A1499="","",IF($O1499&lt;=0,"Depleted",IF($I1499&lt;0,"EXPIRED",IF($I1499&lt;=Settings!$C$6,"CRITICAL",IF($I1499&lt;=Settings!$C$5,"Expiring","In date")))))</f>
        <v/>
      </c>
    </row>
    <row r="1500" spans="1:17" x14ac:dyDescent="0.35">
      <c r="A1500" s="90" t="str">
        <f>IF(Receipts!$D1503="","",Receipts!$D1503)</f>
        <v/>
      </c>
      <c r="B1500" s="18" t="str">
        <f>IF(Receipts!$C1503="","",Receipts!$C1503)</f>
        <v/>
      </c>
      <c r="C1500" s="18" t="str">
        <f>IF($A1500="","",IFERROR(INDEX(Items!$B$5:$B$597,MATCH($A1500,Items!$A$5:$A$597,0)),""))</f>
        <v/>
      </c>
      <c r="D1500" s="23" t="str">
        <f>IF($A1500="","",N(Receipts!$G1503))</f>
        <v/>
      </c>
      <c r="E1500" s="20" t="str">
        <f>IF($A1500="","",IFERROR(INDEX(Items!$D$5:$D$597,MATCH($A1500,Items!$A$5:$A$597,0)),0))</f>
        <v/>
      </c>
      <c r="F1500" s="21" t="str">
        <f t="shared" si="115"/>
        <v/>
      </c>
      <c r="G1500" s="25" t="str">
        <f>IF(Receipts!$I1503="","",Receipts!$I1503)</f>
        <v/>
      </c>
      <c r="H1500" s="25" t="str">
        <f>IF(Receipts!$H1503="","",Receipts!$H1503)</f>
        <v/>
      </c>
      <c r="I1500" s="26" t="str">
        <f t="shared" ca="1" si="116"/>
        <v/>
      </c>
      <c r="J1500" s="26" t="str">
        <f>IF($A1500="","",COUNTIFS(tblReceipts[Item Name],$A1500,tblReceipts[Expiry Date],"&lt;"&amp;$H1500)+COUNTIFS(tblReceipts[Item Name],$A1500,tblReceipts[Expiry Date],$H1500,tblReceipts[Lot Number],"&lt;="&amp;Receipts!$C1503))</f>
        <v/>
      </c>
      <c r="K1500" s="26" t="str">
        <f>IF($A1500="","",SUMIFS(tblReceipts[Qty Received],tblReceipts[Item Name],$A1500,tblReceipts[Expiry Date],"&lt;"&amp;$H1500)+SUMIFS(tblReceipts[Qty Received],tblReceipts[Item Name],$A1500,tblReceipts[Expiry Date],$H1500,tblReceipts[Lot Number],"&lt;"&amp;Receipts!$C1503))</f>
        <v/>
      </c>
      <c r="L1500" s="26" t="str">
        <f>IF($A1500="","",MIN($D1500,MAX(0,SUMIFS(tblIssues[Qty Issued],tblIssues[Item Name],$A1500)-$K1500)))</f>
        <v/>
      </c>
      <c r="M1500" s="26" t="str">
        <f>IF($A1500="","",SUMIFS(tblIssues[Qty Issued],tblIssues[Lot Number],$B1500))</f>
        <v/>
      </c>
      <c r="N1500" s="26" t="str">
        <f t="shared" si="117"/>
        <v/>
      </c>
      <c r="O1500" s="26" t="str">
        <f t="shared" si="118"/>
        <v/>
      </c>
      <c r="P1500" s="21" t="str">
        <f t="shared" si="119"/>
        <v/>
      </c>
      <c r="Q1500" s="52" t="str">
        <f>IF($A1500="","",IF($O1500&lt;=0,"Depleted",IF($I1500&lt;0,"EXPIRED",IF($I1500&lt;=Settings!$C$6,"CRITICAL",IF($I1500&lt;=Settings!$C$5,"Expiring","In date")))))</f>
        <v/>
      </c>
    </row>
    <row r="1501" spans="1:17" x14ac:dyDescent="0.35">
      <c r="A1501" s="90" t="str">
        <f>IF(Receipts!$D1504="","",Receipts!$D1504)</f>
        <v/>
      </c>
      <c r="B1501" s="18" t="str">
        <f>IF(Receipts!$C1504="","",Receipts!$C1504)</f>
        <v/>
      </c>
      <c r="C1501" s="18" t="str">
        <f>IF($A1501="","",IFERROR(INDEX(Items!$B$5:$B$597,MATCH($A1501,Items!$A$5:$A$597,0)),""))</f>
        <v/>
      </c>
      <c r="D1501" s="23" t="str">
        <f>IF($A1501="","",N(Receipts!$G1504))</f>
        <v/>
      </c>
      <c r="E1501" s="20" t="str">
        <f>IF($A1501="","",IFERROR(INDEX(Items!$D$5:$D$597,MATCH($A1501,Items!$A$5:$A$597,0)),0))</f>
        <v/>
      </c>
      <c r="F1501" s="21" t="str">
        <f t="shared" si="115"/>
        <v/>
      </c>
      <c r="G1501" s="25" t="str">
        <f>IF(Receipts!$I1504="","",Receipts!$I1504)</f>
        <v/>
      </c>
      <c r="H1501" s="25" t="str">
        <f>IF(Receipts!$H1504="","",Receipts!$H1504)</f>
        <v/>
      </c>
      <c r="I1501" s="26" t="str">
        <f t="shared" ca="1" si="116"/>
        <v/>
      </c>
      <c r="J1501" s="26" t="str">
        <f>IF($A1501="","",COUNTIFS(tblReceipts[Item Name],$A1501,tblReceipts[Expiry Date],"&lt;"&amp;$H1501)+COUNTIFS(tblReceipts[Item Name],$A1501,tblReceipts[Expiry Date],$H1501,tblReceipts[Lot Number],"&lt;="&amp;Receipts!$C1504))</f>
        <v/>
      </c>
      <c r="K1501" s="26" t="str">
        <f>IF($A1501="","",SUMIFS(tblReceipts[Qty Received],tblReceipts[Item Name],$A1501,tblReceipts[Expiry Date],"&lt;"&amp;$H1501)+SUMIFS(tblReceipts[Qty Received],tblReceipts[Item Name],$A1501,tblReceipts[Expiry Date],$H1501,tblReceipts[Lot Number],"&lt;"&amp;Receipts!$C1504))</f>
        <v/>
      </c>
      <c r="L1501" s="26" t="str">
        <f>IF($A1501="","",MIN($D1501,MAX(0,SUMIFS(tblIssues[Qty Issued],tblIssues[Item Name],$A1501)-$K1501)))</f>
        <v/>
      </c>
      <c r="M1501" s="26" t="str">
        <f>IF($A1501="","",SUMIFS(tblIssues[Qty Issued],tblIssues[Lot Number],$B1501))</f>
        <v/>
      </c>
      <c r="N1501" s="26" t="str">
        <f t="shared" si="117"/>
        <v/>
      </c>
      <c r="O1501" s="26" t="str">
        <f t="shared" si="118"/>
        <v/>
      </c>
      <c r="P1501" s="21" t="str">
        <f t="shared" si="119"/>
        <v/>
      </c>
      <c r="Q1501" s="52" t="str">
        <f>IF($A1501="","",IF($O1501&lt;=0,"Depleted",IF($I1501&lt;0,"EXPIRED",IF($I1501&lt;=Settings!$C$6,"CRITICAL",IF($I1501&lt;=Settings!$C$5,"Expiring","In date")))))</f>
        <v/>
      </c>
    </row>
    <row r="1502" spans="1:17" x14ac:dyDescent="0.35">
      <c r="A1502" s="90" t="str">
        <f>IF(Receipts!$D1505="","",Receipts!$D1505)</f>
        <v/>
      </c>
      <c r="B1502" s="18" t="str">
        <f>IF(Receipts!$C1505="","",Receipts!$C1505)</f>
        <v/>
      </c>
      <c r="C1502" s="18" t="str">
        <f>IF($A1502="","",IFERROR(INDEX(Items!$B$5:$B$597,MATCH($A1502,Items!$A$5:$A$597,0)),""))</f>
        <v/>
      </c>
      <c r="D1502" s="23" t="str">
        <f>IF($A1502="","",N(Receipts!$G1505))</f>
        <v/>
      </c>
      <c r="E1502" s="20" t="str">
        <f>IF($A1502="","",IFERROR(INDEX(Items!$D$5:$D$597,MATCH($A1502,Items!$A$5:$A$597,0)),0))</f>
        <v/>
      </c>
      <c r="F1502" s="21" t="str">
        <f t="shared" si="115"/>
        <v/>
      </c>
      <c r="G1502" s="25" t="str">
        <f>IF(Receipts!$I1505="","",Receipts!$I1505)</f>
        <v/>
      </c>
      <c r="H1502" s="25" t="str">
        <f>IF(Receipts!$H1505="","",Receipts!$H1505)</f>
        <v/>
      </c>
      <c r="I1502" s="26" t="str">
        <f t="shared" ca="1" si="116"/>
        <v/>
      </c>
      <c r="J1502" s="26" t="str">
        <f>IF($A1502="","",COUNTIFS(tblReceipts[Item Name],$A1502,tblReceipts[Expiry Date],"&lt;"&amp;$H1502)+COUNTIFS(tblReceipts[Item Name],$A1502,tblReceipts[Expiry Date],$H1502,tblReceipts[Lot Number],"&lt;="&amp;Receipts!$C1505))</f>
        <v/>
      </c>
      <c r="K1502" s="26" t="str">
        <f>IF($A1502="","",SUMIFS(tblReceipts[Qty Received],tblReceipts[Item Name],$A1502,tblReceipts[Expiry Date],"&lt;"&amp;$H1502)+SUMIFS(tblReceipts[Qty Received],tblReceipts[Item Name],$A1502,tblReceipts[Expiry Date],$H1502,tblReceipts[Lot Number],"&lt;"&amp;Receipts!$C1505))</f>
        <v/>
      </c>
      <c r="L1502" s="26" t="str">
        <f>IF($A1502="","",MIN($D1502,MAX(0,SUMIFS(tblIssues[Qty Issued],tblIssues[Item Name],$A1502)-$K1502)))</f>
        <v/>
      </c>
      <c r="M1502" s="26" t="str">
        <f>IF($A1502="","",SUMIFS(tblIssues[Qty Issued],tblIssues[Lot Number],$B1502))</f>
        <v/>
      </c>
      <c r="N1502" s="26" t="str">
        <f t="shared" si="117"/>
        <v/>
      </c>
      <c r="O1502" s="26" t="str">
        <f t="shared" si="118"/>
        <v/>
      </c>
      <c r="P1502" s="21" t="str">
        <f t="shared" si="119"/>
        <v/>
      </c>
      <c r="Q1502" s="52" t="str">
        <f>IF($A1502="","",IF($O1502&lt;=0,"Depleted",IF($I1502&lt;0,"EXPIRED",IF($I1502&lt;=Settings!$C$6,"CRITICAL",IF($I1502&lt;=Settings!$C$5,"Expiring","In date")))))</f>
        <v/>
      </c>
    </row>
    <row r="1503" spans="1:17" x14ac:dyDescent="0.35">
      <c r="A1503" s="90" t="str">
        <f>IF(Receipts!$D1506="","",Receipts!$D1506)</f>
        <v/>
      </c>
      <c r="B1503" s="18" t="str">
        <f>IF(Receipts!$C1506="","",Receipts!$C1506)</f>
        <v/>
      </c>
      <c r="C1503" s="18" t="str">
        <f>IF($A1503="","",IFERROR(INDEX(Items!$B$5:$B$597,MATCH($A1503,Items!$A$5:$A$597,0)),""))</f>
        <v/>
      </c>
      <c r="D1503" s="23" t="str">
        <f>IF($A1503="","",N(Receipts!$G1506))</f>
        <v/>
      </c>
      <c r="E1503" s="20" t="str">
        <f>IF($A1503="","",IFERROR(INDEX(Items!$D$5:$D$597,MATCH($A1503,Items!$A$5:$A$597,0)),0))</f>
        <v/>
      </c>
      <c r="F1503" s="21" t="str">
        <f t="shared" si="115"/>
        <v/>
      </c>
      <c r="G1503" s="25" t="str">
        <f>IF(Receipts!$I1506="","",Receipts!$I1506)</f>
        <v/>
      </c>
      <c r="H1503" s="25" t="str">
        <f>IF(Receipts!$H1506="","",Receipts!$H1506)</f>
        <v/>
      </c>
      <c r="I1503" s="26" t="str">
        <f t="shared" ca="1" si="116"/>
        <v/>
      </c>
      <c r="J1503" s="26" t="str">
        <f>IF($A1503="","",COUNTIFS(tblReceipts[Item Name],$A1503,tblReceipts[Expiry Date],"&lt;"&amp;$H1503)+COUNTIFS(tblReceipts[Item Name],$A1503,tblReceipts[Expiry Date],$H1503,tblReceipts[Lot Number],"&lt;="&amp;Receipts!$C1506))</f>
        <v/>
      </c>
      <c r="K1503" s="26" t="str">
        <f>IF($A1503="","",SUMIFS(tblReceipts[Qty Received],tblReceipts[Item Name],$A1503,tblReceipts[Expiry Date],"&lt;"&amp;$H1503)+SUMIFS(tblReceipts[Qty Received],tblReceipts[Item Name],$A1503,tblReceipts[Expiry Date],$H1503,tblReceipts[Lot Number],"&lt;"&amp;Receipts!$C1506))</f>
        <v/>
      </c>
      <c r="L1503" s="26" t="str">
        <f>IF($A1503="","",MIN($D1503,MAX(0,SUMIFS(tblIssues[Qty Issued],tblIssues[Item Name],$A1503)-$K1503)))</f>
        <v/>
      </c>
      <c r="M1503" s="26" t="str">
        <f>IF($A1503="","",SUMIFS(tblIssues[Qty Issued],tblIssues[Lot Number],$B1503))</f>
        <v/>
      </c>
      <c r="N1503" s="26" t="str">
        <f t="shared" si="117"/>
        <v/>
      </c>
      <c r="O1503" s="26" t="str">
        <f t="shared" si="118"/>
        <v/>
      </c>
      <c r="P1503" s="21" t="str">
        <f t="shared" si="119"/>
        <v/>
      </c>
      <c r="Q1503" s="52" t="str">
        <f>IF($A1503="","",IF($O1503&lt;=0,"Depleted",IF($I1503&lt;0,"EXPIRED",IF($I1503&lt;=Settings!$C$6,"CRITICAL",IF($I1503&lt;=Settings!$C$5,"Expiring","In date")))))</f>
        <v/>
      </c>
    </row>
    <row r="1504" spans="1:17" x14ac:dyDescent="0.35">
      <c r="A1504" s="90" t="str">
        <f>IF(Receipts!$D1507="","",Receipts!$D1507)</f>
        <v/>
      </c>
      <c r="B1504" s="18" t="str">
        <f>IF(Receipts!$C1507="","",Receipts!$C1507)</f>
        <v/>
      </c>
      <c r="C1504" s="18" t="str">
        <f>IF($A1504="","",IFERROR(INDEX(Items!$B$5:$B$597,MATCH($A1504,Items!$A$5:$A$597,0)),""))</f>
        <v/>
      </c>
      <c r="D1504" s="23" t="str">
        <f>IF($A1504="","",N(Receipts!$G1507))</f>
        <v/>
      </c>
      <c r="E1504" s="20" t="str">
        <f>IF($A1504="","",IFERROR(INDEX(Items!$D$5:$D$597,MATCH($A1504,Items!$A$5:$A$597,0)),0))</f>
        <v/>
      </c>
      <c r="F1504" s="21" t="str">
        <f t="shared" si="115"/>
        <v/>
      </c>
      <c r="G1504" s="25" t="str">
        <f>IF(Receipts!$I1507="","",Receipts!$I1507)</f>
        <v/>
      </c>
      <c r="H1504" s="25" t="str">
        <f>IF(Receipts!$H1507="","",Receipts!$H1507)</f>
        <v/>
      </c>
      <c r="I1504" s="26" t="str">
        <f t="shared" ca="1" si="116"/>
        <v/>
      </c>
      <c r="J1504" s="26" t="str">
        <f>IF($A1504="","",COUNTIFS(tblReceipts[Item Name],$A1504,tblReceipts[Expiry Date],"&lt;"&amp;$H1504)+COUNTIFS(tblReceipts[Item Name],$A1504,tblReceipts[Expiry Date],$H1504,tblReceipts[Lot Number],"&lt;="&amp;Receipts!$C1507))</f>
        <v/>
      </c>
      <c r="K1504" s="26" t="str">
        <f>IF($A1504="","",SUMIFS(tblReceipts[Qty Received],tblReceipts[Item Name],$A1504,tblReceipts[Expiry Date],"&lt;"&amp;$H1504)+SUMIFS(tblReceipts[Qty Received],tblReceipts[Item Name],$A1504,tblReceipts[Expiry Date],$H1504,tblReceipts[Lot Number],"&lt;"&amp;Receipts!$C1507))</f>
        <v/>
      </c>
      <c r="L1504" s="26" t="str">
        <f>IF($A1504="","",MIN($D1504,MAX(0,SUMIFS(tblIssues[Qty Issued],tblIssues[Item Name],$A1504)-$K1504)))</f>
        <v/>
      </c>
      <c r="M1504" s="26" t="str">
        <f>IF($A1504="","",SUMIFS(tblIssues[Qty Issued],tblIssues[Lot Number],$B1504))</f>
        <v/>
      </c>
      <c r="N1504" s="26" t="str">
        <f t="shared" si="117"/>
        <v/>
      </c>
      <c r="O1504" s="26" t="str">
        <f t="shared" si="118"/>
        <v/>
      </c>
      <c r="P1504" s="21" t="str">
        <f t="shared" si="119"/>
        <v/>
      </c>
      <c r="Q1504" s="52" t="str">
        <f>IF($A1504="","",IF($O1504&lt;=0,"Depleted",IF($I1504&lt;0,"EXPIRED",IF($I1504&lt;=Settings!$C$6,"CRITICAL",IF($I1504&lt;=Settings!$C$5,"Expiring","In date")))))</f>
        <v/>
      </c>
    </row>
    <row r="1505" spans="1:17" x14ac:dyDescent="0.35">
      <c r="A1505" s="90" t="str">
        <f>IF(Receipts!$D1508="","",Receipts!$D1508)</f>
        <v/>
      </c>
      <c r="B1505" s="18" t="str">
        <f>IF(Receipts!$C1508="","",Receipts!$C1508)</f>
        <v/>
      </c>
      <c r="C1505" s="18" t="str">
        <f>IF($A1505="","",IFERROR(INDEX(Items!$B$5:$B$597,MATCH($A1505,Items!$A$5:$A$597,0)),""))</f>
        <v/>
      </c>
      <c r="D1505" s="23" t="str">
        <f>IF($A1505="","",N(Receipts!$G1508))</f>
        <v/>
      </c>
      <c r="E1505" s="20" t="str">
        <f>IF($A1505="","",IFERROR(INDEX(Items!$D$5:$D$597,MATCH($A1505,Items!$A$5:$A$597,0)),0))</f>
        <v/>
      </c>
      <c r="F1505" s="21" t="str">
        <f t="shared" si="115"/>
        <v/>
      </c>
      <c r="G1505" s="25" t="str">
        <f>IF(Receipts!$I1508="","",Receipts!$I1508)</f>
        <v/>
      </c>
      <c r="H1505" s="25" t="str">
        <f>IF(Receipts!$H1508="","",Receipts!$H1508)</f>
        <v/>
      </c>
      <c r="I1505" s="26" t="str">
        <f t="shared" ca="1" si="116"/>
        <v/>
      </c>
      <c r="J1505" s="26" t="str">
        <f>IF($A1505="","",COUNTIFS(tblReceipts[Item Name],$A1505,tblReceipts[Expiry Date],"&lt;"&amp;$H1505)+COUNTIFS(tblReceipts[Item Name],$A1505,tblReceipts[Expiry Date],$H1505,tblReceipts[Lot Number],"&lt;="&amp;Receipts!$C1508))</f>
        <v/>
      </c>
      <c r="K1505" s="26" t="str">
        <f>IF($A1505="","",SUMIFS(tblReceipts[Qty Received],tblReceipts[Item Name],$A1505,tblReceipts[Expiry Date],"&lt;"&amp;$H1505)+SUMIFS(tblReceipts[Qty Received],tblReceipts[Item Name],$A1505,tblReceipts[Expiry Date],$H1505,tblReceipts[Lot Number],"&lt;"&amp;Receipts!$C1508))</f>
        <v/>
      </c>
      <c r="L1505" s="26" t="str">
        <f>IF($A1505="","",MIN($D1505,MAX(0,SUMIFS(tblIssues[Qty Issued],tblIssues[Item Name],$A1505)-$K1505)))</f>
        <v/>
      </c>
      <c r="M1505" s="26" t="str">
        <f>IF($A1505="","",SUMIFS(tblIssues[Qty Issued],tblIssues[Lot Number],$B1505))</f>
        <v/>
      </c>
      <c r="N1505" s="26" t="str">
        <f t="shared" si="117"/>
        <v/>
      </c>
      <c r="O1505" s="26" t="str">
        <f t="shared" si="118"/>
        <v/>
      </c>
      <c r="P1505" s="21" t="str">
        <f t="shared" si="119"/>
        <v/>
      </c>
      <c r="Q1505" s="52" t="str">
        <f>IF($A1505="","",IF($O1505&lt;=0,"Depleted",IF($I1505&lt;0,"EXPIRED",IF($I1505&lt;=Settings!$C$6,"CRITICAL",IF($I1505&lt;=Settings!$C$5,"Expiring","In date")))))</f>
        <v/>
      </c>
    </row>
    <row r="1506" spans="1:17" x14ac:dyDescent="0.35">
      <c r="A1506" s="90" t="str">
        <f>IF(Receipts!$D1509="","",Receipts!$D1509)</f>
        <v/>
      </c>
      <c r="B1506" s="18" t="str">
        <f>IF(Receipts!$C1509="","",Receipts!$C1509)</f>
        <v/>
      </c>
      <c r="C1506" s="18" t="str">
        <f>IF($A1506="","",IFERROR(INDEX(Items!$B$5:$B$597,MATCH($A1506,Items!$A$5:$A$597,0)),""))</f>
        <v/>
      </c>
      <c r="D1506" s="23" t="str">
        <f>IF($A1506="","",N(Receipts!$G1509))</f>
        <v/>
      </c>
      <c r="E1506" s="20" t="str">
        <f>IF($A1506="","",IFERROR(INDEX(Items!$D$5:$D$597,MATCH($A1506,Items!$A$5:$A$597,0)),0))</f>
        <v/>
      </c>
      <c r="F1506" s="21" t="str">
        <f t="shared" si="115"/>
        <v/>
      </c>
      <c r="G1506" s="25" t="str">
        <f>IF(Receipts!$I1509="","",Receipts!$I1509)</f>
        <v/>
      </c>
      <c r="H1506" s="25" t="str">
        <f>IF(Receipts!$H1509="","",Receipts!$H1509)</f>
        <v/>
      </c>
      <c r="I1506" s="26" t="str">
        <f t="shared" ca="1" si="116"/>
        <v/>
      </c>
      <c r="J1506" s="26" t="str">
        <f>IF($A1506="","",COUNTIFS(tblReceipts[Item Name],$A1506,tblReceipts[Expiry Date],"&lt;"&amp;$H1506)+COUNTIFS(tblReceipts[Item Name],$A1506,tblReceipts[Expiry Date],$H1506,tblReceipts[Lot Number],"&lt;="&amp;Receipts!$C1509))</f>
        <v/>
      </c>
      <c r="K1506" s="26" t="str">
        <f>IF($A1506="","",SUMIFS(tblReceipts[Qty Received],tblReceipts[Item Name],$A1506,tblReceipts[Expiry Date],"&lt;"&amp;$H1506)+SUMIFS(tblReceipts[Qty Received],tblReceipts[Item Name],$A1506,tblReceipts[Expiry Date],$H1506,tblReceipts[Lot Number],"&lt;"&amp;Receipts!$C1509))</f>
        <v/>
      </c>
      <c r="L1506" s="26" t="str">
        <f>IF($A1506="","",MIN($D1506,MAX(0,SUMIFS(tblIssues[Qty Issued],tblIssues[Item Name],$A1506)-$K1506)))</f>
        <v/>
      </c>
      <c r="M1506" s="26" t="str">
        <f>IF($A1506="","",SUMIFS(tblIssues[Qty Issued],tblIssues[Lot Number],$B1506))</f>
        <v/>
      </c>
      <c r="N1506" s="26" t="str">
        <f t="shared" si="117"/>
        <v/>
      </c>
      <c r="O1506" s="26" t="str">
        <f t="shared" si="118"/>
        <v/>
      </c>
      <c r="P1506" s="21" t="str">
        <f t="shared" si="119"/>
        <v/>
      </c>
      <c r="Q1506" s="52" t="str">
        <f>IF($A1506="","",IF($O1506&lt;=0,"Depleted",IF($I1506&lt;0,"EXPIRED",IF($I1506&lt;=Settings!$C$6,"CRITICAL",IF($I1506&lt;=Settings!$C$5,"Expiring","In date")))))</f>
        <v/>
      </c>
    </row>
    <row r="1507" spans="1:17" x14ac:dyDescent="0.35">
      <c r="A1507" s="90" t="str">
        <f>IF(Receipts!$D1510="","",Receipts!$D1510)</f>
        <v/>
      </c>
      <c r="B1507" s="18" t="str">
        <f>IF(Receipts!$C1510="","",Receipts!$C1510)</f>
        <v/>
      </c>
      <c r="C1507" s="18" t="str">
        <f>IF($A1507="","",IFERROR(INDEX(Items!$B$5:$B$597,MATCH($A1507,Items!$A$5:$A$597,0)),""))</f>
        <v/>
      </c>
      <c r="D1507" s="23" t="str">
        <f>IF($A1507="","",N(Receipts!$G1510))</f>
        <v/>
      </c>
      <c r="E1507" s="20" t="str">
        <f>IF($A1507="","",IFERROR(INDEX(Items!$D$5:$D$597,MATCH($A1507,Items!$A$5:$A$597,0)),0))</f>
        <v/>
      </c>
      <c r="F1507" s="21" t="str">
        <f t="shared" si="115"/>
        <v/>
      </c>
      <c r="G1507" s="25" t="str">
        <f>IF(Receipts!$I1510="","",Receipts!$I1510)</f>
        <v/>
      </c>
      <c r="H1507" s="25" t="str">
        <f>IF(Receipts!$H1510="","",Receipts!$H1510)</f>
        <v/>
      </c>
      <c r="I1507" s="26" t="str">
        <f t="shared" ca="1" si="116"/>
        <v/>
      </c>
      <c r="J1507" s="26" t="str">
        <f>IF($A1507="","",COUNTIFS(tblReceipts[Item Name],$A1507,tblReceipts[Expiry Date],"&lt;"&amp;$H1507)+COUNTIFS(tblReceipts[Item Name],$A1507,tblReceipts[Expiry Date],$H1507,tblReceipts[Lot Number],"&lt;="&amp;Receipts!$C1510))</f>
        <v/>
      </c>
      <c r="K1507" s="26" t="str">
        <f>IF($A1507="","",SUMIFS(tblReceipts[Qty Received],tblReceipts[Item Name],$A1507,tblReceipts[Expiry Date],"&lt;"&amp;$H1507)+SUMIFS(tblReceipts[Qty Received],tblReceipts[Item Name],$A1507,tblReceipts[Expiry Date],$H1507,tblReceipts[Lot Number],"&lt;"&amp;Receipts!$C1510))</f>
        <v/>
      </c>
      <c r="L1507" s="26" t="str">
        <f>IF($A1507="","",MIN($D1507,MAX(0,SUMIFS(tblIssues[Qty Issued],tblIssues[Item Name],$A1507)-$K1507)))</f>
        <v/>
      </c>
      <c r="M1507" s="26" t="str">
        <f>IF($A1507="","",SUMIFS(tblIssues[Qty Issued],tblIssues[Lot Number],$B1507))</f>
        <v/>
      </c>
      <c r="N1507" s="26" t="str">
        <f t="shared" si="117"/>
        <v/>
      </c>
      <c r="O1507" s="26" t="str">
        <f t="shared" si="118"/>
        <v/>
      </c>
      <c r="P1507" s="21" t="str">
        <f t="shared" si="119"/>
        <v/>
      </c>
      <c r="Q1507" s="52" t="str">
        <f>IF($A1507="","",IF($O1507&lt;=0,"Depleted",IF($I1507&lt;0,"EXPIRED",IF($I1507&lt;=Settings!$C$6,"CRITICAL",IF($I1507&lt;=Settings!$C$5,"Expiring","In date")))))</f>
        <v/>
      </c>
    </row>
    <row r="1508" spans="1:17" x14ac:dyDescent="0.35">
      <c r="A1508" s="90" t="str">
        <f>IF(Receipts!$D1511="","",Receipts!$D1511)</f>
        <v/>
      </c>
      <c r="B1508" s="18" t="str">
        <f>IF(Receipts!$C1511="","",Receipts!$C1511)</f>
        <v/>
      </c>
      <c r="C1508" s="18" t="str">
        <f>IF($A1508="","",IFERROR(INDEX(Items!$B$5:$B$597,MATCH($A1508,Items!$A$5:$A$597,0)),""))</f>
        <v/>
      </c>
      <c r="D1508" s="23" t="str">
        <f>IF($A1508="","",N(Receipts!$G1511))</f>
        <v/>
      </c>
      <c r="E1508" s="20" t="str">
        <f>IF($A1508="","",IFERROR(INDEX(Items!$D$5:$D$597,MATCH($A1508,Items!$A$5:$A$597,0)),0))</f>
        <v/>
      </c>
      <c r="F1508" s="21" t="str">
        <f t="shared" si="115"/>
        <v/>
      </c>
      <c r="G1508" s="25" t="str">
        <f>IF(Receipts!$I1511="","",Receipts!$I1511)</f>
        <v/>
      </c>
      <c r="H1508" s="25" t="str">
        <f>IF(Receipts!$H1511="","",Receipts!$H1511)</f>
        <v/>
      </c>
      <c r="I1508" s="26" t="str">
        <f t="shared" ca="1" si="116"/>
        <v/>
      </c>
      <c r="J1508" s="26" t="str">
        <f>IF($A1508="","",COUNTIFS(tblReceipts[Item Name],$A1508,tblReceipts[Expiry Date],"&lt;"&amp;$H1508)+COUNTIFS(tblReceipts[Item Name],$A1508,tblReceipts[Expiry Date],$H1508,tblReceipts[Lot Number],"&lt;="&amp;Receipts!$C1511))</f>
        <v/>
      </c>
      <c r="K1508" s="26" t="str">
        <f>IF($A1508="","",SUMIFS(tblReceipts[Qty Received],tblReceipts[Item Name],$A1508,tblReceipts[Expiry Date],"&lt;"&amp;$H1508)+SUMIFS(tblReceipts[Qty Received],tblReceipts[Item Name],$A1508,tblReceipts[Expiry Date],$H1508,tblReceipts[Lot Number],"&lt;"&amp;Receipts!$C1511))</f>
        <v/>
      </c>
      <c r="L1508" s="26" t="str">
        <f>IF($A1508="","",MIN($D1508,MAX(0,SUMIFS(tblIssues[Qty Issued],tblIssues[Item Name],$A1508)-$K1508)))</f>
        <v/>
      </c>
      <c r="M1508" s="26" t="str">
        <f>IF($A1508="","",SUMIFS(tblIssues[Qty Issued],tblIssues[Lot Number],$B1508))</f>
        <v/>
      </c>
      <c r="N1508" s="26" t="str">
        <f t="shared" si="117"/>
        <v/>
      </c>
      <c r="O1508" s="26" t="str">
        <f t="shared" si="118"/>
        <v/>
      </c>
      <c r="P1508" s="21" t="str">
        <f t="shared" si="119"/>
        <v/>
      </c>
      <c r="Q1508" s="52" t="str">
        <f>IF($A1508="","",IF($O1508&lt;=0,"Depleted",IF($I1508&lt;0,"EXPIRED",IF($I1508&lt;=Settings!$C$6,"CRITICAL",IF($I1508&lt;=Settings!$C$5,"Expiring","In date")))))</f>
        <v/>
      </c>
    </row>
    <row r="1509" spans="1:17" x14ac:dyDescent="0.35">
      <c r="A1509" s="90" t="str">
        <f>IF(Receipts!$D1512="","",Receipts!$D1512)</f>
        <v/>
      </c>
      <c r="B1509" s="18" t="str">
        <f>IF(Receipts!$C1512="","",Receipts!$C1512)</f>
        <v/>
      </c>
      <c r="C1509" s="18" t="str">
        <f>IF($A1509="","",IFERROR(INDEX(Items!$B$5:$B$597,MATCH($A1509,Items!$A$5:$A$597,0)),""))</f>
        <v/>
      </c>
      <c r="D1509" s="23" t="str">
        <f>IF($A1509="","",N(Receipts!$G1512))</f>
        <v/>
      </c>
      <c r="E1509" s="20" t="str">
        <f>IF($A1509="","",IFERROR(INDEX(Items!$D$5:$D$597,MATCH($A1509,Items!$A$5:$A$597,0)),0))</f>
        <v/>
      </c>
      <c r="F1509" s="21" t="str">
        <f t="shared" si="115"/>
        <v/>
      </c>
      <c r="G1509" s="25" t="str">
        <f>IF(Receipts!$I1512="","",Receipts!$I1512)</f>
        <v/>
      </c>
      <c r="H1509" s="25" t="str">
        <f>IF(Receipts!$H1512="","",Receipts!$H1512)</f>
        <v/>
      </c>
      <c r="I1509" s="26" t="str">
        <f t="shared" ca="1" si="116"/>
        <v/>
      </c>
      <c r="J1509" s="26" t="str">
        <f>IF($A1509="","",COUNTIFS(tblReceipts[Item Name],$A1509,tblReceipts[Expiry Date],"&lt;"&amp;$H1509)+COUNTIFS(tblReceipts[Item Name],$A1509,tblReceipts[Expiry Date],$H1509,tblReceipts[Lot Number],"&lt;="&amp;Receipts!$C1512))</f>
        <v/>
      </c>
      <c r="K1509" s="26" t="str">
        <f>IF($A1509="","",SUMIFS(tblReceipts[Qty Received],tblReceipts[Item Name],$A1509,tblReceipts[Expiry Date],"&lt;"&amp;$H1509)+SUMIFS(tblReceipts[Qty Received],tblReceipts[Item Name],$A1509,tblReceipts[Expiry Date],$H1509,tblReceipts[Lot Number],"&lt;"&amp;Receipts!$C1512))</f>
        <v/>
      </c>
      <c r="L1509" s="26" t="str">
        <f>IF($A1509="","",MIN($D1509,MAX(0,SUMIFS(tblIssues[Qty Issued],tblIssues[Item Name],$A1509)-$K1509)))</f>
        <v/>
      </c>
      <c r="M1509" s="26" t="str">
        <f>IF($A1509="","",SUMIFS(tblIssues[Qty Issued],tblIssues[Lot Number],$B1509))</f>
        <v/>
      </c>
      <c r="N1509" s="26" t="str">
        <f t="shared" si="117"/>
        <v/>
      </c>
      <c r="O1509" s="26" t="str">
        <f t="shared" si="118"/>
        <v/>
      </c>
      <c r="P1509" s="21" t="str">
        <f t="shared" si="119"/>
        <v/>
      </c>
      <c r="Q1509" s="52" t="str">
        <f>IF($A1509="","",IF($O1509&lt;=0,"Depleted",IF($I1509&lt;0,"EXPIRED",IF($I1509&lt;=Settings!$C$6,"CRITICAL",IF($I1509&lt;=Settings!$C$5,"Expiring","In date")))))</f>
        <v/>
      </c>
    </row>
    <row r="1510" spans="1:17" x14ac:dyDescent="0.35">
      <c r="A1510" s="90" t="str">
        <f>IF(Receipts!$D1513="","",Receipts!$D1513)</f>
        <v/>
      </c>
      <c r="B1510" s="18" t="str">
        <f>IF(Receipts!$C1513="","",Receipts!$C1513)</f>
        <v/>
      </c>
      <c r="C1510" s="18" t="str">
        <f>IF($A1510="","",IFERROR(INDEX(Items!$B$5:$B$597,MATCH($A1510,Items!$A$5:$A$597,0)),""))</f>
        <v/>
      </c>
      <c r="D1510" s="23" t="str">
        <f>IF($A1510="","",N(Receipts!$G1513))</f>
        <v/>
      </c>
      <c r="E1510" s="20" t="str">
        <f>IF($A1510="","",IFERROR(INDEX(Items!$D$5:$D$597,MATCH($A1510,Items!$A$5:$A$597,0)),0))</f>
        <v/>
      </c>
      <c r="F1510" s="21" t="str">
        <f t="shared" si="115"/>
        <v/>
      </c>
      <c r="G1510" s="25" t="str">
        <f>IF(Receipts!$I1513="","",Receipts!$I1513)</f>
        <v/>
      </c>
      <c r="H1510" s="25" t="str">
        <f>IF(Receipts!$H1513="","",Receipts!$H1513)</f>
        <v/>
      </c>
      <c r="I1510" s="26" t="str">
        <f t="shared" ca="1" si="116"/>
        <v/>
      </c>
      <c r="J1510" s="26" t="str">
        <f>IF($A1510="","",COUNTIFS(tblReceipts[Item Name],$A1510,tblReceipts[Expiry Date],"&lt;"&amp;$H1510)+COUNTIFS(tblReceipts[Item Name],$A1510,tblReceipts[Expiry Date],$H1510,tblReceipts[Lot Number],"&lt;="&amp;Receipts!$C1513))</f>
        <v/>
      </c>
      <c r="K1510" s="26" t="str">
        <f>IF($A1510="","",SUMIFS(tblReceipts[Qty Received],tblReceipts[Item Name],$A1510,tblReceipts[Expiry Date],"&lt;"&amp;$H1510)+SUMIFS(tblReceipts[Qty Received],tblReceipts[Item Name],$A1510,tblReceipts[Expiry Date],$H1510,tblReceipts[Lot Number],"&lt;"&amp;Receipts!$C1513))</f>
        <v/>
      </c>
      <c r="L1510" s="26" t="str">
        <f>IF($A1510="","",MIN($D1510,MAX(0,SUMIFS(tblIssues[Qty Issued],tblIssues[Item Name],$A1510)-$K1510)))</f>
        <v/>
      </c>
      <c r="M1510" s="26" t="str">
        <f>IF($A1510="","",SUMIFS(tblIssues[Qty Issued],tblIssues[Lot Number],$B1510))</f>
        <v/>
      </c>
      <c r="N1510" s="26" t="str">
        <f t="shared" si="117"/>
        <v/>
      </c>
      <c r="O1510" s="26" t="str">
        <f t="shared" si="118"/>
        <v/>
      </c>
      <c r="P1510" s="21" t="str">
        <f t="shared" si="119"/>
        <v/>
      </c>
      <c r="Q1510" s="52" t="str">
        <f>IF($A1510="","",IF($O1510&lt;=0,"Depleted",IF($I1510&lt;0,"EXPIRED",IF($I1510&lt;=Settings!$C$6,"CRITICAL",IF($I1510&lt;=Settings!$C$5,"Expiring","In date")))))</f>
        <v/>
      </c>
    </row>
    <row r="1511" spans="1:17" x14ac:dyDescent="0.35">
      <c r="A1511" s="90" t="str">
        <f>IF(Receipts!$D1514="","",Receipts!$D1514)</f>
        <v/>
      </c>
      <c r="B1511" s="18" t="str">
        <f>IF(Receipts!$C1514="","",Receipts!$C1514)</f>
        <v/>
      </c>
      <c r="C1511" s="18" t="str">
        <f>IF($A1511="","",IFERROR(INDEX(Items!$B$5:$B$597,MATCH($A1511,Items!$A$5:$A$597,0)),""))</f>
        <v/>
      </c>
      <c r="D1511" s="23" t="str">
        <f>IF($A1511="","",N(Receipts!$G1514))</f>
        <v/>
      </c>
      <c r="E1511" s="20" t="str">
        <f>IF($A1511="","",IFERROR(INDEX(Items!$D$5:$D$597,MATCH($A1511,Items!$A$5:$A$597,0)),0))</f>
        <v/>
      </c>
      <c r="F1511" s="21" t="str">
        <f t="shared" si="115"/>
        <v/>
      </c>
      <c r="G1511" s="25" t="str">
        <f>IF(Receipts!$I1514="","",Receipts!$I1514)</f>
        <v/>
      </c>
      <c r="H1511" s="25" t="str">
        <f>IF(Receipts!$H1514="","",Receipts!$H1514)</f>
        <v/>
      </c>
      <c r="I1511" s="26" t="str">
        <f t="shared" ca="1" si="116"/>
        <v/>
      </c>
      <c r="J1511" s="26" t="str">
        <f>IF($A1511="","",COUNTIFS(tblReceipts[Item Name],$A1511,tblReceipts[Expiry Date],"&lt;"&amp;$H1511)+COUNTIFS(tblReceipts[Item Name],$A1511,tblReceipts[Expiry Date],$H1511,tblReceipts[Lot Number],"&lt;="&amp;Receipts!$C1514))</f>
        <v/>
      </c>
      <c r="K1511" s="26" t="str">
        <f>IF($A1511="","",SUMIFS(tblReceipts[Qty Received],tblReceipts[Item Name],$A1511,tblReceipts[Expiry Date],"&lt;"&amp;$H1511)+SUMIFS(tblReceipts[Qty Received],tblReceipts[Item Name],$A1511,tblReceipts[Expiry Date],$H1511,tblReceipts[Lot Number],"&lt;"&amp;Receipts!$C1514))</f>
        <v/>
      </c>
      <c r="L1511" s="26" t="str">
        <f>IF($A1511="","",MIN($D1511,MAX(0,SUMIFS(tblIssues[Qty Issued],tblIssues[Item Name],$A1511)-$K1511)))</f>
        <v/>
      </c>
      <c r="M1511" s="26" t="str">
        <f>IF($A1511="","",SUMIFS(tblIssues[Qty Issued],tblIssues[Lot Number],$B1511))</f>
        <v/>
      </c>
      <c r="N1511" s="26" t="str">
        <f t="shared" si="117"/>
        <v/>
      </c>
      <c r="O1511" s="26" t="str">
        <f t="shared" si="118"/>
        <v/>
      </c>
      <c r="P1511" s="21" t="str">
        <f t="shared" si="119"/>
        <v/>
      </c>
      <c r="Q1511" s="52" t="str">
        <f>IF($A1511="","",IF($O1511&lt;=0,"Depleted",IF($I1511&lt;0,"EXPIRED",IF($I1511&lt;=Settings!$C$6,"CRITICAL",IF($I1511&lt;=Settings!$C$5,"Expiring","In date")))))</f>
        <v/>
      </c>
    </row>
    <row r="1512" spans="1:17" x14ac:dyDescent="0.35">
      <c r="A1512" s="90" t="str">
        <f>IF(Receipts!$D1515="","",Receipts!$D1515)</f>
        <v/>
      </c>
      <c r="B1512" s="18" t="str">
        <f>IF(Receipts!$C1515="","",Receipts!$C1515)</f>
        <v/>
      </c>
      <c r="C1512" s="18" t="str">
        <f>IF($A1512="","",IFERROR(INDEX(Items!$B$5:$B$597,MATCH($A1512,Items!$A$5:$A$597,0)),""))</f>
        <v/>
      </c>
      <c r="D1512" s="23" t="str">
        <f>IF($A1512="","",N(Receipts!$G1515))</f>
        <v/>
      </c>
      <c r="E1512" s="20" t="str">
        <f>IF($A1512="","",IFERROR(INDEX(Items!$D$5:$D$597,MATCH($A1512,Items!$A$5:$A$597,0)),0))</f>
        <v/>
      </c>
      <c r="F1512" s="21" t="str">
        <f t="shared" si="115"/>
        <v/>
      </c>
      <c r="G1512" s="25" t="str">
        <f>IF(Receipts!$I1515="","",Receipts!$I1515)</f>
        <v/>
      </c>
      <c r="H1512" s="25" t="str">
        <f>IF(Receipts!$H1515="","",Receipts!$H1515)</f>
        <v/>
      </c>
      <c r="I1512" s="26" t="str">
        <f t="shared" ca="1" si="116"/>
        <v/>
      </c>
      <c r="J1512" s="26" t="str">
        <f>IF($A1512="","",COUNTIFS(tblReceipts[Item Name],$A1512,tblReceipts[Expiry Date],"&lt;"&amp;$H1512)+COUNTIFS(tblReceipts[Item Name],$A1512,tblReceipts[Expiry Date],$H1512,tblReceipts[Lot Number],"&lt;="&amp;Receipts!$C1515))</f>
        <v/>
      </c>
      <c r="K1512" s="26" t="str">
        <f>IF($A1512="","",SUMIFS(tblReceipts[Qty Received],tblReceipts[Item Name],$A1512,tblReceipts[Expiry Date],"&lt;"&amp;$H1512)+SUMIFS(tblReceipts[Qty Received],tblReceipts[Item Name],$A1512,tblReceipts[Expiry Date],$H1512,tblReceipts[Lot Number],"&lt;"&amp;Receipts!$C1515))</f>
        <v/>
      </c>
      <c r="L1512" s="26" t="str">
        <f>IF($A1512="","",MIN($D1512,MAX(0,SUMIFS(tblIssues[Qty Issued],tblIssues[Item Name],$A1512)-$K1512)))</f>
        <v/>
      </c>
      <c r="M1512" s="26" t="str">
        <f>IF($A1512="","",SUMIFS(tblIssues[Qty Issued],tblIssues[Lot Number],$B1512))</f>
        <v/>
      </c>
      <c r="N1512" s="26" t="str">
        <f t="shared" si="117"/>
        <v/>
      </c>
      <c r="O1512" s="26" t="str">
        <f t="shared" si="118"/>
        <v/>
      </c>
      <c r="P1512" s="21" t="str">
        <f t="shared" si="119"/>
        <v/>
      </c>
      <c r="Q1512" s="52" t="str">
        <f>IF($A1512="","",IF($O1512&lt;=0,"Depleted",IF($I1512&lt;0,"EXPIRED",IF($I1512&lt;=Settings!$C$6,"CRITICAL",IF($I1512&lt;=Settings!$C$5,"Expiring","In date")))))</f>
        <v/>
      </c>
    </row>
    <row r="1513" spans="1:17" x14ac:dyDescent="0.35">
      <c r="A1513" s="90" t="str">
        <f>IF(Receipts!$D1516="","",Receipts!$D1516)</f>
        <v/>
      </c>
      <c r="B1513" s="18" t="str">
        <f>IF(Receipts!$C1516="","",Receipts!$C1516)</f>
        <v/>
      </c>
      <c r="C1513" s="18" t="str">
        <f>IF($A1513="","",IFERROR(INDEX(Items!$B$5:$B$597,MATCH($A1513,Items!$A$5:$A$597,0)),""))</f>
        <v/>
      </c>
      <c r="D1513" s="23" t="str">
        <f>IF($A1513="","",N(Receipts!$G1516))</f>
        <v/>
      </c>
      <c r="E1513" s="20" t="str">
        <f>IF($A1513="","",IFERROR(INDEX(Items!$D$5:$D$597,MATCH($A1513,Items!$A$5:$A$597,0)),0))</f>
        <v/>
      </c>
      <c r="F1513" s="21" t="str">
        <f t="shared" si="115"/>
        <v/>
      </c>
      <c r="G1513" s="25" t="str">
        <f>IF(Receipts!$I1516="","",Receipts!$I1516)</f>
        <v/>
      </c>
      <c r="H1513" s="25" t="str">
        <f>IF(Receipts!$H1516="","",Receipts!$H1516)</f>
        <v/>
      </c>
      <c r="I1513" s="26" t="str">
        <f t="shared" ca="1" si="116"/>
        <v/>
      </c>
      <c r="J1513" s="26" t="str">
        <f>IF($A1513="","",COUNTIFS(tblReceipts[Item Name],$A1513,tblReceipts[Expiry Date],"&lt;"&amp;$H1513)+COUNTIFS(tblReceipts[Item Name],$A1513,tblReceipts[Expiry Date],$H1513,tblReceipts[Lot Number],"&lt;="&amp;Receipts!$C1516))</f>
        <v/>
      </c>
      <c r="K1513" s="26" t="str">
        <f>IF($A1513="","",SUMIFS(tblReceipts[Qty Received],tblReceipts[Item Name],$A1513,tblReceipts[Expiry Date],"&lt;"&amp;$H1513)+SUMIFS(tblReceipts[Qty Received],tblReceipts[Item Name],$A1513,tblReceipts[Expiry Date],$H1513,tblReceipts[Lot Number],"&lt;"&amp;Receipts!$C1516))</f>
        <v/>
      </c>
      <c r="L1513" s="26" t="str">
        <f>IF($A1513="","",MIN($D1513,MAX(0,SUMIFS(tblIssues[Qty Issued],tblIssues[Item Name],$A1513)-$K1513)))</f>
        <v/>
      </c>
      <c r="M1513" s="26" t="str">
        <f>IF($A1513="","",SUMIFS(tblIssues[Qty Issued],tblIssues[Lot Number],$B1513))</f>
        <v/>
      </c>
      <c r="N1513" s="26" t="str">
        <f t="shared" si="117"/>
        <v/>
      </c>
      <c r="O1513" s="26" t="str">
        <f t="shared" si="118"/>
        <v/>
      </c>
      <c r="P1513" s="21" t="str">
        <f t="shared" si="119"/>
        <v/>
      </c>
      <c r="Q1513" s="52" t="str">
        <f>IF($A1513="","",IF($O1513&lt;=0,"Depleted",IF($I1513&lt;0,"EXPIRED",IF($I1513&lt;=Settings!$C$6,"CRITICAL",IF($I1513&lt;=Settings!$C$5,"Expiring","In date")))))</f>
        <v/>
      </c>
    </row>
    <row r="1514" spans="1:17" x14ac:dyDescent="0.35">
      <c r="A1514" s="90" t="str">
        <f>IF(Receipts!$D1517="","",Receipts!$D1517)</f>
        <v/>
      </c>
      <c r="B1514" s="18" t="str">
        <f>IF(Receipts!$C1517="","",Receipts!$C1517)</f>
        <v/>
      </c>
      <c r="C1514" s="18" t="str">
        <f>IF($A1514="","",IFERROR(INDEX(Items!$B$5:$B$597,MATCH($A1514,Items!$A$5:$A$597,0)),""))</f>
        <v/>
      </c>
      <c r="D1514" s="23" t="str">
        <f>IF($A1514="","",N(Receipts!$G1517))</f>
        <v/>
      </c>
      <c r="E1514" s="20" t="str">
        <f>IF($A1514="","",IFERROR(INDEX(Items!$D$5:$D$597,MATCH($A1514,Items!$A$5:$A$597,0)),0))</f>
        <v/>
      </c>
      <c r="F1514" s="21" t="str">
        <f t="shared" si="115"/>
        <v/>
      </c>
      <c r="G1514" s="25" t="str">
        <f>IF(Receipts!$I1517="","",Receipts!$I1517)</f>
        <v/>
      </c>
      <c r="H1514" s="25" t="str">
        <f>IF(Receipts!$H1517="","",Receipts!$H1517)</f>
        <v/>
      </c>
      <c r="I1514" s="26" t="str">
        <f t="shared" ca="1" si="116"/>
        <v/>
      </c>
      <c r="J1514" s="26" t="str">
        <f>IF($A1514="","",COUNTIFS(tblReceipts[Item Name],$A1514,tblReceipts[Expiry Date],"&lt;"&amp;$H1514)+COUNTIFS(tblReceipts[Item Name],$A1514,tblReceipts[Expiry Date],$H1514,tblReceipts[Lot Number],"&lt;="&amp;Receipts!$C1517))</f>
        <v/>
      </c>
      <c r="K1514" s="26" t="str">
        <f>IF($A1514="","",SUMIFS(tblReceipts[Qty Received],tblReceipts[Item Name],$A1514,tblReceipts[Expiry Date],"&lt;"&amp;$H1514)+SUMIFS(tblReceipts[Qty Received],tblReceipts[Item Name],$A1514,tblReceipts[Expiry Date],$H1514,tblReceipts[Lot Number],"&lt;"&amp;Receipts!$C1517))</f>
        <v/>
      </c>
      <c r="L1514" s="26" t="str">
        <f>IF($A1514="","",MIN($D1514,MAX(0,SUMIFS(tblIssues[Qty Issued],tblIssues[Item Name],$A1514)-$K1514)))</f>
        <v/>
      </c>
      <c r="M1514" s="26" t="str">
        <f>IF($A1514="","",SUMIFS(tblIssues[Qty Issued],tblIssues[Lot Number],$B1514))</f>
        <v/>
      </c>
      <c r="N1514" s="26" t="str">
        <f t="shared" si="117"/>
        <v/>
      </c>
      <c r="O1514" s="26" t="str">
        <f t="shared" si="118"/>
        <v/>
      </c>
      <c r="P1514" s="21" t="str">
        <f t="shared" si="119"/>
        <v/>
      </c>
      <c r="Q1514" s="52" t="str">
        <f>IF($A1514="","",IF($O1514&lt;=0,"Depleted",IF($I1514&lt;0,"EXPIRED",IF($I1514&lt;=Settings!$C$6,"CRITICAL",IF($I1514&lt;=Settings!$C$5,"Expiring","In date")))))</f>
        <v/>
      </c>
    </row>
    <row r="1515" spans="1:17" x14ac:dyDescent="0.35">
      <c r="A1515" s="90" t="str">
        <f>IF(Receipts!$D1518="","",Receipts!$D1518)</f>
        <v/>
      </c>
      <c r="B1515" s="18" t="str">
        <f>IF(Receipts!$C1518="","",Receipts!$C1518)</f>
        <v/>
      </c>
      <c r="C1515" s="18" t="str">
        <f>IF($A1515="","",IFERROR(INDEX(Items!$B$5:$B$597,MATCH($A1515,Items!$A$5:$A$597,0)),""))</f>
        <v/>
      </c>
      <c r="D1515" s="23" t="str">
        <f>IF($A1515="","",N(Receipts!$G1518))</f>
        <v/>
      </c>
      <c r="E1515" s="20" t="str">
        <f>IF($A1515="","",IFERROR(INDEX(Items!$D$5:$D$597,MATCH($A1515,Items!$A$5:$A$597,0)),0))</f>
        <v/>
      </c>
      <c r="F1515" s="21" t="str">
        <f t="shared" si="115"/>
        <v/>
      </c>
      <c r="G1515" s="25" t="str">
        <f>IF(Receipts!$I1518="","",Receipts!$I1518)</f>
        <v/>
      </c>
      <c r="H1515" s="25" t="str">
        <f>IF(Receipts!$H1518="","",Receipts!$H1518)</f>
        <v/>
      </c>
      <c r="I1515" s="26" t="str">
        <f t="shared" ca="1" si="116"/>
        <v/>
      </c>
      <c r="J1515" s="26" t="str">
        <f>IF($A1515="","",COUNTIFS(tblReceipts[Item Name],$A1515,tblReceipts[Expiry Date],"&lt;"&amp;$H1515)+COUNTIFS(tblReceipts[Item Name],$A1515,tblReceipts[Expiry Date],$H1515,tblReceipts[Lot Number],"&lt;="&amp;Receipts!$C1518))</f>
        <v/>
      </c>
      <c r="K1515" s="26" t="str">
        <f>IF($A1515="","",SUMIFS(tblReceipts[Qty Received],tblReceipts[Item Name],$A1515,tblReceipts[Expiry Date],"&lt;"&amp;$H1515)+SUMIFS(tblReceipts[Qty Received],tblReceipts[Item Name],$A1515,tblReceipts[Expiry Date],$H1515,tblReceipts[Lot Number],"&lt;"&amp;Receipts!$C1518))</f>
        <v/>
      </c>
      <c r="L1515" s="26" t="str">
        <f>IF($A1515="","",MIN($D1515,MAX(0,SUMIFS(tblIssues[Qty Issued],tblIssues[Item Name],$A1515)-$K1515)))</f>
        <v/>
      </c>
      <c r="M1515" s="26" t="str">
        <f>IF($A1515="","",SUMIFS(tblIssues[Qty Issued],tblIssues[Lot Number],$B1515))</f>
        <v/>
      </c>
      <c r="N1515" s="26" t="str">
        <f t="shared" si="117"/>
        <v/>
      </c>
      <c r="O1515" s="26" t="str">
        <f t="shared" si="118"/>
        <v/>
      </c>
      <c r="P1515" s="21" t="str">
        <f t="shared" si="119"/>
        <v/>
      </c>
      <c r="Q1515" s="52" t="str">
        <f>IF($A1515="","",IF($O1515&lt;=0,"Depleted",IF($I1515&lt;0,"EXPIRED",IF($I1515&lt;=Settings!$C$6,"CRITICAL",IF($I1515&lt;=Settings!$C$5,"Expiring","In date")))))</f>
        <v/>
      </c>
    </row>
    <row r="1516" spans="1:17" x14ac:dyDescent="0.35">
      <c r="A1516" s="90" t="str">
        <f>IF(Receipts!$D1519="","",Receipts!$D1519)</f>
        <v/>
      </c>
      <c r="B1516" s="18" t="str">
        <f>IF(Receipts!$C1519="","",Receipts!$C1519)</f>
        <v/>
      </c>
      <c r="C1516" s="18" t="str">
        <f>IF($A1516="","",IFERROR(INDEX(Items!$B$5:$B$597,MATCH($A1516,Items!$A$5:$A$597,0)),""))</f>
        <v/>
      </c>
      <c r="D1516" s="23" t="str">
        <f>IF($A1516="","",N(Receipts!$G1519))</f>
        <v/>
      </c>
      <c r="E1516" s="20" t="str">
        <f>IF($A1516="","",IFERROR(INDEX(Items!$D$5:$D$597,MATCH($A1516,Items!$A$5:$A$597,0)),0))</f>
        <v/>
      </c>
      <c r="F1516" s="21" t="str">
        <f t="shared" si="115"/>
        <v/>
      </c>
      <c r="G1516" s="25" t="str">
        <f>IF(Receipts!$I1519="","",Receipts!$I1519)</f>
        <v/>
      </c>
      <c r="H1516" s="25" t="str">
        <f>IF(Receipts!$H1519="","",Receipts!$H1519)</f>
        <v/>
      </c>
      <c r="I1516" s="26" t="str">
        <f t="shared" ca="1" si="116"/>
        <v/>
      </c>
      <c r="J1516" s="26" t="str">
        <f>IF($A1516="","",COUNTIFS(tblReceipts[Item Name],$A1516,tblReceipts[Expiry Date],"&lt;"&amp;$H1516)+COUNTIFS(tblReceipts[Item Name],$A1516,tblReceipts[Expiry Date],$H1516,tblReceipts[Lot Number],"&lt;="&amp;Receipts!$C1519))</f>
        <v/>
      </c>
      <c r="K1516" s="26" t="str">
        <f>IF($A1516="","",SUMIFS(tblReceipts[Qty Received],tblReceipts[Item Name],$A1516,tblReceipts[Expiry Date],"&lt;"&amp;$H1516)+SUMIFS(tblReceipts[Qty Received],tblReceipts[Item Name],$A1516,tblReceipts[Expiry Date],$H1516,tblReceipts[Lot Number],"&lt;"&amp;Receipts!$C1519))</f>
        <v/>
      </c>
      <c r="L1516" s="26" t="str">
        <f>IF($A1516="","",MIN($D1516,MAX(0,SUMIFS(tblIssues[Qty Issued],tblIssues[Item Name],$A1516)-$K1516)))</f>
        <v/>
      </c>
      <c r="M1516" s="26" t="str">
        <f>IF($A1516="","",SUMIFS(tblIssues[Qty Issued],tblIssues[Lot Number],$B1516))</f>
        <v/>
      </c>
      <c r="N1516" s="26" t="str">
        <f t="shared" si="117"/>
        <v/>
      </c>
      <c r="O1516" s="26" t="str">
        <f t="shared" si="118"/>
        <v/>
      </c>
      <c r="P1516" s="21" t="str">
        <f t="shared" si="119"/>
        <v/>
      </c>
      <c r="Q1516" s="52" t="str">
        <f>IF($A1516="","",IF($O1516&lt;=0,"Depleted",IF($I1516&lt;0,"EXPIRED",IF($I1516&lt;=Settings!$C$6,"CRITICAL",IF($I1516&lt;=Settings!$C$5,"Expiring","In date")))))</f>
        <v/>
      </c>
    </row>
    <row r="1517" spans="1:17" x14ac:dyDescent="0.35">
      <c r="A1517" s="90" t="str">
        <f>IF(Receipts!$D1520="","",Receipts!$D1520)</f>
        <v/>
      </c>
      <c r="B1517" s="18" t="str">
        <f>IF(Receipts!$C1520="","",Receipts!$C1520)</f>
        <v/>
      </c>
      <c r="C1517" s="18" t="str">
        <f>IF($A1517="","",IFERROR(INDEX(Items!$B$5:$B$597,MATCH($A1517,Items!$A$5:$A$597,0)),""))</f>
        <v/>
      </c>
      <c r="D1517" s="23" t="str">
        <f>IF($A1517="","",N(Receipts!$G1520))</f>
        <v/>
      </c>
      <c r="E1517" s="20" t="str">
        <f>IF($A1517="","",IFERROR(INDEX(Items!$D$5:$D$597,MATCH($A1517,Items!$A$5:$A$597,0)),0))</f>
        <v/>
      </c>
      <c r="F1517" s="21" t="str">
        <f t="shared" si="115"/>
        <v/>
      </c>
      <c r="G1517" s="25" t="str">
        <f>IF(Receipts!$I1520="","",Receipts!$I1520)</f>
        <v/>
      </c>
      <c r="H1517" s="25" t="str">
        <f>IF(Receipts!$H1520="","",Receipts!$H1520)</f>
        <v/>
      </c>
      <c r="I1517" s="26" t="str">
        <f t="shared" ca="1" si="116"/>
        <v/>
      </c>
      <c r="J1517" s="26" t="str">
        <f>IF($A1517="","",COUNTIFS(tblReceipts[Item Name],$A1517,tblReceipts[Expiry Date],"&lt;"&amp;$H1517)+COUNTIFS(tblReceipts[Item Name],$A1517,tblReceipts[Expiry Date],$H1517,tblReceipts[Lot Number],"&lt;="&amp;Receipts!$C1520))</f>
        <v/>
      </c>
      <c r="K1517" s="26" t="str">
        <f>IF($A1517="","",SUMIFS(tblReceipts[Qty Received],tblReceipts[Item Name],$A1517,tblReceipts[Expiry Date],"&lt;"&amp;$H1517)+SUMIFS(tblReceipts[Qty Received],tblReceipts[Item Name],$A1517,tblReceipts[Expiry Date],$H1517,tblReceipts[Lot Number],"&lt;"&amp;Receipts!$C1520))</f>
        <v/>
      </c>
      <c r="L1517" s="26" t="str">
        <f>IF($A1517="","",MIN($D1517,MAX(0,SUMIFS(tblIssues[Qty Issued],tblIssues[Item Name],$A1517)-$K1517)))</f>
        <v/>
      </c>
      <c r="M1517" s="26" t="str">
        <f>IF($A1517="","",SUMIFS(tblIssues[Qty Issued],tblIssues[Lot Number],$B1517))</f>
        <v/>
      </c>
      <c r="N1517" s="26" t="str">
        <f t="shared" si="117"/>
        <v/>
      </c>
      <c r="O1517" s="26" t="str">
        <f t="shared" si="118"/>
        <v/>
      </c>
      <c r="P1517" s="21" t="str">
        <f t="shared" si="119"/>
        <v/>
      </c>
      <c r="Q1517" s="52" t="str">
        <f>IF($A1517="","",IF($O1517&lt;=0,"Depleted",IF($I1517&lt;0,"EXPIRED",IF($I1517&lt;=Settings!$C$6,"CRITICAL",IF($I1517&lt;=Settings!$C$5,"Expiring","In date")))))</f>
        <v/>
      </c>
    </row>
    <row r="1518" spans="1:17" x14ac:dyDescent="0.35">
      <c r="A1518" s="90" t="str">
        <f>IF(Receipts!$D1521="","",Receipts!$D1521)</f>
        <v/>
      </c>
      <c r="B1518" s="18" t="str">
        <f>IF(Receipts!$C1521="","",Receipts!$C1521)</f>
        <v/>
      </c>
      <c r="C1518" s="18" t="str">
        <f>IF($A1518="","",IFERROR(INDEX(Items!$B$5:$B$597,MATCH($A1518,Items!$A$5:$A$597,0)),""))</f>
        <v/>
      </c>
      <c r="D1518" s="23" t="str">
        <f>IF($A1518="","",N(Receipts!$G1521))</f>
        <v/>
      </c>
      <c r="E1518" s="20" t="str">
        <f>IF($A1518="","",IFERROR(INDEX(Items!$D$5:$D$597,MATCH($A1518,Items!$A$5:$A$597,0)),0))</f>
        <v/>
      </c>
      <c r="F1518" s="21" t="str">
        <f t="shared" si="115"/>
        <v/>
      </c>
      <c r="G1518" s="25" t="str">
        <f>IF(Receipts!$I1521="","",Receipts!$I1521)</f>
        <v/>
      </c>
      <c r="H1518" s="25" t="str">
        <f>IF(Receipts!$H1521="","",Receipts!$H1521)</f>
        <v/>
      </c>
      <c r="I1518" s="26" t="str">
        <f t="shared" ca="1" si="116"/>
        <v/>
      </c>
      <c r="J1518" s="26" t="str">
        <f>IF($A1518="","",COUNTIFS(tblReceipts[Item Name],$A1518,tblReceipts[Expiry Date],"&lt;"&amp;$H1518)+COUNTIFS(tblReceipts[Item Name],$A1518,tblReceipts[Expiry Date],$H1518,tblReceipts[Lot Number],"&lt;="&amp;Receipts!$C1521))</f>
        <v/>
      </c>
      <c r="K1518" s="26" t="str">
        <f>IF($A1518="","",SUMIFS(tblReceipts[Qty Received],tblReceipts[Item Name],$A1518,tblReceipts[Expiry Date],"&lt;"&amp;$H1518)+SUMIFS(tblReceipts[Qty Received],tblReceipts[Item Name],$A1518,tblReceipts[Expiry Date],$H1518,tblReceipts[Lot Number],"&lt;"&amp;Receipts!$C1521))</f>
        <v/>
      </c>
      <c r="L1518" s="26" t="str">
        <f>IF($A1518="","",MIN($D1518,MAX(0,SUMIFS(tblIssues[Qty Issued],tblIssues[Item Name],$A1518)-$K1518)))</f>
        <v/>
      </c>
      <c r="M1518" s="26" t="str">
        <f>IF($A1518="","",SUMIFS(tblIssues[Qty Issued],tblIssues[Lot Number],$B1518))</f>
        <v/>
      </c>
      <c r="N1518" s="26" t="str">
        <f t="shared" si="117"/>
        <v/>
      </c>
      <c r="O1518" s="26" t="str">
        <f t="shared" si="118"/>
        <v/>
      </c>
      <c r="P1518" s="21" t="str">
        <f t="shared" si="119"/>
        <v/>
      </c>
      <c r="Q1518" s="52" t="str">
        <f>IF($A1518="","",IF($O1518&lt;=0,"Depleted",IF($I1518&lt;0,"EXPIRED",IF($I1518&lt;=Settings!$C$6,"CRITICAL",IF($I1518&lt;=Settings!$C$5,"Expiring","In date")))))</f>
        <v/>
      </c>
    </row>
    <row r="1519" spans="1:17" x14ac:dyDescent="0.35">
      <c r="A1519" s="90" t="str">
        <f>IF(Receipts!$D1522="","",Receipts!$D1522)</f>
        <v/>
      </c>
      <c r="B1519" s="18" t="str">
        <f>IF(Receipts!$C1522="","",Receipts!$C1522)</f>
        <v/>
      </c>
      <c r="C1519" s="18" t="str">
        <f>IF($A1519="","",IFERROR(INDEX(Items!$B$5:$B$597,MATCH($A1519,Items!$A$5:$A$597,0)),""))</f>
        <v/>
      </c>
      <c r="D1519" s="23" t="str">
        <f>IF($A1519="","",N(Receipts!$G1522))</f>
        <v/>
      </c>
      <c r="E1519" s="20" t="str">
        <f>IF($A1519="","",IFERROR(INDEX(Items!$D$5:$D$597,MATCH($A1519,Items!$A$5:$A$597,0)),0))</f>
        <v/>
      </c>
      <c r="F1519" s="21" t="str">
        <f t="shared" si="115"/>
        <v/>
      </c>
      <c r="G1519" s="25" t="str">
        <f>IF(Receipts!$I1522="","",Receipts!$I1522)</f>
        <v/>
      </c>
      <c r="H1519" s="25" t="str">
        <f>IF(Receipts!$H1522="","",Receipts!$H1522)</f>
        <v/>
      </c>
      <c r="I1519" s="26" t="str">
        <f t="shared" ca="1" si="116"/>
        <v/>
      </c>
      <c r="J1519" s="26" t="str">
        <f>IF($A1519="","",COUNTIFS(tblReceipts[Item Name],$A1519,tblReceipts[Expiry Date],"&lt;"&amp;$H1519)+COUNTIFS(tblReceipts[Item Name],$A1519,tblReceipts[Expiry Date],$H1519,tblReceipts[Lot Number],"&lt;="&amp;Receipts!$C1522))</f>
        <v/>
      </c>
      <c r="K1519" s="26" t="str">
        <f>IF($A1519="","",SUMIFS(tblReceipts[Qty Received],tblReceipts[Item Name],$A1519,tblReceipts[Expiry Date],"&lt;"&amp;$H1519)+SUMIFS(tblReceipts[Qty Received],tblReceipts[Item Name],$A1519,tblReceipts[Expiry Date],$H1519,tblReceipts[Lot Number],"&lt;"&amp;Receipts!$C1522))</f>
        <v/>
      </c>
      <c r="L1519" s="26" t="str">
        <f>IF($A1519="","",MIN($D1519,MAX(0,SUMIFS(tblIssues[Qty Issued],tblIssues[Item Name],$A1519)-$K1519)))</f>
        <v/>
      </c>
      <c r="M1519" s="26" t="str">
        <f>IF($A1519="","",SUMIFS(tblIssues[Qty Issued],tblIssues[Lot Number],$B1519))</f>
        <v/>
      </c>
      <c r="N1519" s="26" t="str">
        <f t="shared" si="117"/>
        <v/>
      </c>
      <c r="O1519" s="26" t="str">
        <f t="shared" si="118"/>
        <v/>
      </c>
      <c r="P1519" s="21" t="str">
        <f t="shared" si="119"/>
        <v/>
      </c>
      <c r="Q1519" s="52" t="str">
        <f>IF($A1519="","",IF($O1519&lt;=0,"Depleted",IF($I1519&lt;0,"EXPIRED",IF($I1519&lt;=Settings!$C$6,"CRITICAL",IF($I1519&lt;=Settings!$C$5,"Expiring","In date")))))</f>
        <v/>
      </c>
    </row>
    <row r="1520" spans="1:17" x14ac:dyDescent="0.35">
      <c r="A1520" s="90" t="str">
        <f>IF(Receipts!$D1523="","",Receipts!$D1523)</f>
        <v/>
      </c>
      <c r="B1520" s="18" t="str">
        <f>IF(Receipts!$C1523="","",Receipts!$C1523)</f>
        <v/>
      </c>
      <c r="C1520" s="18" t="str">
        <f>IF($A1520="","",IFERROR(INDEX(Items!$B$5:$B$597,MATCH($A1520,Items!$A$5:$A$597,0)),""))</f>
        <v/>
      </c>
      <c r="D1520" s="23" t="str">
        <f>IF($A1520="","",N(Receipts!$G1523))</f>
        <v/>
      </c>
      <c r="E1520" s="20" t="str">
        <f>IF($A1520="","",IFERROR(INDEX(Items!$D$5:$D$597,MATCH($A1520,Items!$A$5:$A$597,0)),0))</f>
        <v/>
      </c>
      <c r="F1520" s="21" t="str">
        <f t="shared" si="115"/>
        <v/>
      </c>
      <c r="G1520" s="25" t="str">
        <f>IF(Receipts!$I1523="","",Receipts!$I1523)</f>
        <v/>
      </c>
      <c r="H1520" s="25" t="str">
        <f>IF(Receipts!$H1523="","",Receipts!$H1523)</f>
        <v/>
      </c>
      <c r="I1520" s="26" t="str">
        <f t="shared" ca="1" si="116"/>
        <v/>
      </c>
      <c r="J1520" s="26" t="str">
        <f>IF($A1520="","",COUNTIFS(tblReceipts[Item Name],$A1520,tblReceipts[Expiry Date],"&lt;"&amp;$H1520)+COUNTIFS(tblReceipts[Item Name],$A1520,tblReceipts[Expiry Date],$H1520,tblReceipts[Lot Number],"&lt;="&amp;Receipts!$C1523))</f>
        <v/>
      </c>
      <c r="K1520" s="26" t="str">
        <f>IF($A1520="","",SUMIFS(tblReceipts[Qty Received],tblReceipts[Item Name],$A1520,tblReceipts[Expiry Date],"&lt;"&amp;$H1520)+SUMIFS(tblReceipts[Qty Received],tblReceipts[Item Name],$A1520,tblReceipts[Expiry Date],$H1520,tblReceipts[Lot Number],"&lt;"&amp;Receipts!$C1523))</f>
        <v/>
      </c>
      <c r="L1520" s="26" t="str">
        <f>IF($A1520="","",MIN($D1520,MAX(0,SUMIFS(tblIssues[Qty Issued],tblIssues[Item Name],$A1520)-$K1520)))</f>
        <v/>
      </c>
      <c r="M1520" s="26" t="str">
        <f>IF($A1520="","",SUMIFS(tblIssues[Qty Issued],tblIssues[Lot Number],$B1520))</f>
        <v/>
      </c>
      <c r="N1520" s="26" t="str">
        <f t="shared" si="117"/>
        <v/>
      </c>
      <c r="O1520" s="26" t="str">
        <f t="shared" si="118"/>
        <v/>
      </c>
      <c r="P1520" s="21" t="str">
        <f t="shared" si="119"/>
        <v/>
      </c>
      <c r="Q1520" s="52" t="str">
        <f>IF($A1520="","",IF($O1520&lt;=0,"Depleted",IF($I1520&lt;0,"EXPIRED",IF($I1520&lt;=Settings!$C$6,"CRITICAL",IF($I1520&lt;=Settings!$C$5,"Expiring","In date")))))</f>
        <v/>
      </c>
    </row>
    <row r="1521" spans="1:17" x14ac:dyDescent="0.35">
      <c r="A1521" s="90" t="str">
        <f>IF(Receipts!$D1524="","",Receipts!$D1524)</f>
        <v/>
      </c>
      <c r="B1521" s="18" t="str">
        <f>IF(Receipts!$C1524="","",Receipts!$C1524)</f>
        <v/>
      </c>
      <c r="C1521" s="18" t="str">
        <f>IF($A1521="","",IFERROR(INDEX(Items!$B$5:$B$597,MATCH($A1521,Items!$A$5:$A$597,0)),""))</f>
        <v/>
      </c>
      <c r="D1521" s="23" t="str">
        <f>IF($A1521="","",N(Receipts!$G1524))</f>
        <v/>
      </c>
      <c r="E1521" s="20" t="str">
        <f>IF($A1521="","",IFERROR(INDEX(Items!$D$5:$D$597,MATCH($A1521,Items!$A$5:$A$597,0)),0))</f>
        <v/>
      </c>
      <c r="F1521" s="21" t="str">
        <f t="shared" si="115"/>
        <v/>
      </c>
      <c r="G1521" s="25" t="str">
        <f>IF(Receipts!$I1524="","",Receipts!$I1524)</f>
        <v/>
      </c>
      <c r="H1521" s="25" t="str">
        <f>IF(Receipts!$H1524="","",Receipts!$H1524)</f>
        <v/>
      </c>
      <c r="I1521" s="26" t="str">
        <f t="shared" ca="1" si="116"/>
        <v/>
      </c>
      <c r="J1521" s="26" t="str">
        <f>IF($A1521="","",COUNTIFS(tblReceipts[Item Name],$A1521,tblReceipts[Expiry Date],"&lt;"&amp;$H1521)+COUNTIFS(tblReceipts[Item Name],$A1521,tblReceipts[Expiry Date],$H1521,tblReceipts[Lot Number],"&lt;="&amp;Receipts!$C1524))</f>
        <v/>
      </c>
      <c r="K1521" s="26" t="str">
        <f>IF($A1521="","",SUMIFS(tblReceipts[Qty Received],tblReceipts[Item Name],$A1521,tblReceipts[Expiry Date],"&lt;"&amp;$H1521)+SUMIFS(tblReceipts[Qty Received],tblReceipts[Item Name],$A1521,tblReceipts[Expiry Date],$H1521,tblReceipts[Lot Number],"&lt;"&amp;Receipts!$C1524))</f>
        <v/>
      </c>
      <c r="L1521" s="26" t="str">
        <f>IF($A1521="","",MIN($D1521,MAX(0,SUMIFS(tblIssues[Qty Issued],tblIssues[Item Name],$A1521)-$K1521)))</f>
        <v/>
      </c>
      <c r="M1521" s="26" t="str">
        <f>IF($A1521="","",SUMIFS(tblIssues[Qty Issued],tblIssues[Lot Number],$B1521))</f>
        <v/>
      </c>
      <c r="N1521" s="26" t="str">
        <f t="shared" si="117"/>
        <v/>
      </c>
      <c r="O1521" s="26" t="str">
        <f t="shared" si="118"/>
        <v/>
      </c>
      <c r="P1521" s="21" t="str">
        <f t="shared" si="119"/>
        <v/>
      </c>
      <c r="Q1521" s="52" t="str">
        <f>IF($A1521="","",IF($O1521&lt;=0,"Depleted",IF($I1521&lt;0,"EXPIRED",IF($I1521&lt;=Settings!$C$6,"CRITICAL",IF($I1521&lt;=Settings!$C$5,"Expiring","In date")))))</f>
        <v/>
      </c>
    </row>
    <row r="1522" spans="1:17" x14ac:dyDescent="0.35">
      <c r="A1522" s="90" t="str">
        <f>IF(Receipts!$D1525="","",Receipts!$D1525)</f>
        <v/>
      </c>
      <c r="B1522" s="18" t="str">
        <f>IF(Receipts!$C1525="","",Receipts!$C1525)</f>
        <v/>
      </c>
      <c r="C1522" s="18" t="str">
        <f>IF($A1522="","",IFERROR(INDEX(Items!$B$5:$B$597,MATCH($A1522,Items!$A$5:$A$597,0)),""))</f>
        <v/>
      </c>
      <c r="D1522" s="23" t="str">
        <f>IF($A1522="","",N(Receipts!$G1525))</f>
        <v/>
      </c>
      <c r="E1522" s="20" t="str">
        <f>IF($A1522="","",IFERROR(INDEX(Items!$D$5:$D$597,MATCH($A1522,Items!$A$5:$A$597,0)),0))</f>
        <v/>
      </c>
      <c r="F1522" s="21" t="str">
        <f t="shared" si="115"/>
        <v/>
      </c>
      <c r="G1522" s="25" t="str">
        <f>IF(Receipts!$I1525="","",Receipts!$I1525)</f>
        <v/>
      </c>
      <c r="H1522" s="25" t="str">
        <f>IF(Receipts!$H1525="","",Receipts!$H1525)</f>
        <v/>
      </c>
      <c r="I1522" s="26" t="str">
        <f t="shared" ca="1" si="116"/>
        <v/>
      </c>
      <c r="J1522" s="26" t="str">
        <f>IF($A1522="","",COUNTIFS(tblReceipts[Item Name],$A1522,tblReceipts[Expiry Date],"&lt;"&amp;$H1522)+COUNTIFS(tblReceipts[Item Name],$A1522,tblReceipts[Expiry Date],$H1522,tblReceipts[Lot Number],"&lt;="&amp;Receipts!$C1525))</f>
        <v/>
      </c>
      <c r="K1522" s="26" t="str">
        <f>IF($A1522="","",SUMIFS(tblReceipts[Qty Received],tblReceipts[Item Name],$A1522,tblReceipts[Expiry Date],"&lt;"&amp;$H1522)+SUMIFS(tblReceipts[Qty Received],tblReceipts[Item Name],$A1522,tblReceipts[Expiry Date],$H1522,tblReceipts[Lot Number],"&lt;"&amp;Receipts!$C1525))</f>
        <v/>
      </c>
      <c r="L1522" s="26" t="str">
        <f>IF($A1522="","",MIN($D1522,MAX(0,SUMIFS(tblIssues[Qty Issued],tblIssues[Item Name],$A1522)-$K1522)))</f>
        <v/>
      </c>
      <c r="M1522" s="26" t="str">
        <f>IF($A1522="","",SUMIFS(tblIssues[Qty Issued],tblIssues[Lot Number],$B1522))</f>
        <v/>
      </c>
      <c r="N1522" s="26" t="str">
        <f t="shared" si="117"/>
        <v/>
      </c>
      <c r="O1522" s="26" t="str">
        <f t="shared" si="118"/>
        <v/>
      </c>
      <c r="P1522" s="21" t="str">
        <f t="shared" si="119"/>
        <v/>
      </c>
      <c r="Q1522" s="52" t="str">
        <f>IF($A1522="","",IF($O1522&lt;=0,"Depleted",IF($I1522&lt;0,"EXPIRED",IF($I1522&lt;=Settings!$C$6,"CRITICAL",IF($I1522&lt;=Settings!$C$5,"Expiring","In date")))))</f>
        <v/>
      </c>
    </row>
    <row r="1523" spans="1:17" x14ac:dyDescent="0.35">
      <c r="A1523" s="90" t="str">
        <f>IF(Receipts!$D1526="","",Receipts!$D1526)</f>
        <v/>
      </c>
      <c r="B1523" s="18" t="str">
        <f>IF(Receipts!$C1526="","",Receipts!$C1526)</f>
        <v/>
      </c>
      <c r="C1523" s="18" t="str">
        <f>IF($A1523="","",IFERROR(INDEX(Items!$B$5:$B$597,MATCH($A1523,Items!$A$5:$A$597,0)),""))</f>
        <v/>
      </c>
      <c r="D1523" s="23" t="str">
        <f>IF($A1523="","",N(Receipts!$G1526))</f>
        <v/>
      </c>
      <c r="E1523" s="20" t="str">
        <f>IF($A1523="","",IFERROR(INDEX(Items!$D$5:$D$597,MATCH($A1523,Items!$A$5:$A$597,0)),0))</f>
        <v/>
      </c>
      <c r="F1523" s="21" t="str">
        <f t="shared" si="115"/>
        <v/>
      </c>
      <c r="G1523" s="25" t="str">
        <f>IF(Receipts!$I1526="","",Receipts!$I1526)</f>
        <v/>
      </c>
      <c r="H1523" s="25" t="str">
        <f>IF(Receipts!$H1526="","",Receipts!$H1526)</f>
        <v/>
      </c>
      <c r="I1523" s="26" t="str">
        <f t="shared" ca="1" si="116"/>
        <v/>
      </c>
      <c r="J1523" s="26" t="str">
        <f>IF($A1523="","",COUNTIFS(tblReceipts[Item Name],$A1523,tblReceipts[Expiry Date],"&lt;"&amp;$H1523)+COUNTIFS(tblReceipts[Item Name],$A1523,tblReceipts[Expiry Date],$H1523,tblReceipts[Lot Number],"&lt;="&amp;Receipts!$C1526))</f>
        <v/>
      </c>
      <c r="K1523" s="26" t="str">
        <f>IF($A1523="","",SUMIFS(tblReceipts[Qty Received],tblReceipts[Item Name],$A1523,tblReceipts[Expiry Date],"&lt;"&amp;$H1523)+SUMIFS(tblReceipts[Qty Received],tblReceipts[Item Name],$A1523,tblReceipts[Expiry Date],$H1523,tblReceipts[Lot Number],"&lt;"&amp;Receipts!$C1526))</f>
        <v/>
      </c>
      <c r="L1523" s="26" t="str">
        <f>IF($A1523="","",MIN($D1523,MAX(0,SUMIFS(tblIssues[Qty Issued],tblIssues[Item Name],$A1523)-$K1523)))</f>
        <v/>
      </c>
      <c r="M1523" s="26" t="str">
        <f>IF($A1523="","",SUMIFS(tblIssues[Qty Issued],tblIssues[Lot Number],$B1523))</f>
        <v/>
      </c>
      <c r="N1523" s="26" t="str">
        <f t="shared" si="117"/>
        <v/>
      </c>
      <c r="O1523" s="26" t="str">
        <f t="shared" si="118"/>
        <v/>
      </c>
      <c r="P1523" s="21" t="str">
        <f t="shared" si="119"/>
        <v/>
      </c>
      <c r="Q1523" s="52" t="str">
        <f>IF($A1523="","",IF($O1523&lt;=0,"Depleted",IF($I1523&lt;0,"EXPIRED",IF($I1523&lt;=Settings!$C$6,"CRITICAL",IF($I1523&lt;=Settings!$C$5,"Expiring","In date")))))</f>
        <v/>
      </c>
    </row>
    <row r="1524" spans="1:17" x14ac:dyDescent="0.35">
      <c r="A1524" s="90" t="str">
        <f>IF(Receipts!$D1527="","",Receipts!$D1527)</f>
        <v/>
      </c>
      <c r="B1524" s="18" t="str">
        <f>IF(Receipts!$C1527="","",Receipts!$C1527)</f>
        <v/>
      </c>
      <c r="C1524" s="18" t="str">
        <f>IF($A1524="","",IFERROR(INDEX(Items!$B$5:$B$597,MATCH($A1524,Items!$A$5:$A$597,0)),""))</f>
        <v/>
      </c>
      <c r="D1524" s="23" t="str">
        <f>IF($A1524="","",N(Receipts!$G1527))</f>
        <v/>
      </c>
      <c r="E1524" s="20" t="str">
        <f>IF($A1524="","",IFERROR(INDEX(Items!$D$5:$D$597,MATCH($A1524,Items!$A$5:$A$597,0)),0))</f>
        <v/>
      </c>
      <c r="F1524" s="21" t="str">
        <f t="shared" si="115"/>
        <v/>
      </c>
      <c r="G1524" s="25" t="str">
        <f>IF(Receipts!$I1527="","",Receipts!$I1527)</f>
        <v/>
      </c>
      <c r="H1524" s="25" t="str">
        <f>IF(Receipts!$H1527="","",Receipts!$H1527)</f>
        <v/>
      </c>
      <c r="I1524" s="26" t="str">
        <f t="shared" ca="1" si="116"/>
        <v/>
      </c>
      <c r="J1524" s="26" t="str">
        <f>IF($A1524="","",COUNTIFS(tblReceipts[Item Name],$A1524,tblReceipts[Expiry Date],"&lt;"&amp;$H1524)+COUNTIFS(tblReceipts[Item Name],$A1524,tblReceipts[Expiry Date],$H1524,tblReceipts[Lot Number],"&lt;="&amp;Receipts!$C1527))</f>
        <v/>
      </c>
      <c r="K1524" s="26" t="str">
        <f>IF($A1524="","",SUMIFS(tblReceipts[Qty Received],tblReceipts[Item Name],$A1524,tblReceipts[Expiry Date],"&lt;"&amp;$H1524)+SUMIFS(tblReceipts[Qty Received],tblReceipts[Item Name],$A1524,tblReceipts[Expiry Date],$H1524,tblReceipts[Lot Number],"&lt;"&amp;Receipts!$C1527))</f>
        <v/>
      </c>
      <c r="L1524" s="26" t="str">
        <f>IF($A1524="","",MIN($D1524,MAX(0,SUMIFS(tblIssues[Qty Issued],tblIssues[Item Name],$A1524)-$K1524)))</f>
        <v/>
      </c>
      <c r="M1524" s="26" t="str">
        <f>IF($A1524="","",SUMIFS(tblIssues[Qty Issued],tblIssues[Lot Number],$B1524))</f>
        <v/>
      </c>
      <c r="N1524" s="26" t="str">
        <f t="shared" si="117"/>
        <v/>
      </c>
      <c r="O1524" s="26" t="str">
        <f t="shared" si="118"/>
        <v/>
      </c>
      <c r="P1524" s="21" t="str">
        <f t="shared" si="119"/>
        <v/>
      </c>
      <c r="Q1524" s="52" t="str">
        <f>IF($A1524="","",IF($O1524&lt;=0,"Depleted",IF($I1524&lt;0,"EXPIRED",IF($I1524&lt;=Settings!$C$6,"CRITICAL",IF($I1524&lt;=Settings!$C$5,"Expiring","In date")))))</f>
        <v/>
      </c>
    </row>
    <row r="1525" spans="1:17" x14ac:dyDescent="0.35">
      <c r="A1525" s="90" t="str">
        <f>IF(Receipts!$D1528="","",Receipts!$D1528)</f>
        <v/>
      </c>
      <c r="B1525" s="18" t="str">
        <f>IF(Receipts!$C1528="","",Receipts!$C1528)</f>
        <v/>
      </c>
      <c r="C1525" s="18" t="str">
        <f>IF($A1525="","",IFERROR(INDEX(Items!$B$5:$B$597,MATCH($A1525,Items!$A$5:$A$597,0)),""))</f>
        <v/>
      </c>
      <c r="D1525" s="23" t="str">
        <f>IF($A1525="","",N(Receipts!$G1528))</f>
        <v/>
      </c>
      <c r="E1525" s="20" t="str">
        <f>IF($A1525="","",IFERROR(INDEX(Items!$D$5:$D$597,MATCH($A1525,Items!$A$5:$A$597,0)),0))</f>
        <v/>
      </c>
      <c r="F1525" s="21" t="str">
        <f t="shared" si="115"/>
        <v/>
      </c>
      <c r="G1525" s="25" t="str">
        <f>IF(Receipts!$I1528="","",Receipts!$I1528)</f>
        <v/>
      </c>
      <c r="H1525" s="25" t="str">
        <f>IF(Receipts!$H1528="","",Receipts!$H1528)</f>
        <v/>
      </c>
      <c r="I1525" s="26" t="str">
        <f t="shared" ca="1" si="116"/>
        <v/>
      </c>
      <c r="J1525" s="26" t="str">
        <f>IF($A1525="","",COUNTIFS(tblReceipts[Item Name],$A1525,tblReceipts[Expiry Date],"&lt;"&amp;$H1525)+COUNTIFS(tblReceipts[Item Name],$A1525,tblReceipts[Expiry Date],$H1525,tblReceipts[Lot Number],"&lt;="&amp;Receipts!$C1528))</f>
        <v/>
      </c>
      <c r="K1525" s="26" t="str">
        <f>IF($A1525="","",SUMIFS(tblReceipts[Qty Received],tblReceipts[Item Name],$A1525,tblReceipts[Expiry Date],"&lt;"&amp;$H1525)+SUMIFS(tblReceipts[Qty Received],tblReceipts[Item Name],$A1525,tblReceipts[Expiry Date],$H1525,tblReceipts[Lot Number],"&lt;"&amp;Receipts!$C1528))</f>
        <v/>
      </c>
      <c r="L1525" s="26" t="str">
        <f>IF($A1525="","",MIN($D1525,MAX(0,SUMIFS(tblIssues[Qty Issued],tblIssues[Item Name],$A1525)-$K1525)))</f>
        <v/>
      </c>
      <c r="M1525" s="26" t="str">
        <f>IF($A1525="","",SUMIFS(tblIssues[Qty Issued],tblIssues[Lot Number],$B1525))</f>
        <v/>
      </c>
      <c r="N1525" s="26" t="str">
        <f t="shared" si="117"/>
        <v/>
      </c>
      <c r="O1525" s="26" t="str">
        <f t="shared" si="118"/>
        <v/>
      </c>
      <c r="P1525" s="21" t="str">
        <f t="shared" si="119"/>
        <v/>
      </c>
      <c r="Q1525" s="52" t="str">
        <f>IF($A1525="","",IF($O1525&lt;=0,"Depleted",IF($I1525&lt;0,"EXPIRED",IF($I1525&lt;=Settings!$C$6,"CRITICAL",IF($I1525&lt;=Settings!$C$5,"Expiring","In date")))))</f>
        <v/>
      </c>
    </row>
    <row r="1526" spans="1:17" x14ac:dyDescent="0.35">
      <c r="A1526" s="90" t="str">
        <f>IF(Receipts!$D1529="","",Receipts!$D1529)</f>
        <v/>
      </c>
      <c r="B1526" s="18" t="str">
        <f>IF(Receipts!$C1529="","",Receipts!$C1529)</f>
        <v/>
      </c>
      <c r="C1526" s="18" t="str">
        <f>IF($A1526="","",IFERROR(INDEX(Items!$B$5:$B$597,MATCH($A1526,Items!$A$5:$A$597,0)),""))</f>
        <v/>
      </c>
      <c r="D1526" s="23" t="str">
        <f>IF($A1526="","",N(Receipts!$G1529))</f>
        <v/>
      </c>
      <c r="E1526" s="20" t="str">
        <f>IF($A1526="","",IFERROR(INDEX(Items!$D$5:$D$597,MATCH($A1526,Items!$A$5:$A$597,0)),0))</f>
        <v/>
      </c>
      <c r="F1526" s="21" t="str">
        <f t="shared" si="115"/>
        <v/>
      </c>
      <c r="G1526" s="25" t="str">
        <f>IF(Receipts!$I1529="","",Receipts!$I1529)</f>
        <v/>
      </c>
      <c r="H1526" s="25" t="str">
        <f>IF(Receipts!$H1529="","",Receipts!$H1529)</f>
        <v/>
      </c>
      <c r="I1526" s="26" t="str">
        <f t="shared" ca="1" si="116"/>
        <v/>
      </c>
      <c r="J1526" s="26" t="str">
        <f>IF($A1526="","",COUNTIFS(tblReceipts[Item Name],$A1526,tblReceipts[Expiry Date],"&lt;"&amp;$H1526)+COUNTIFS(tblReceipts[Item Name],$A1526,tblReceipts[Expiry Date],$H1526,tblReceipts[Lot Number],"&lt;="&amp;Receipts!$C1529))</f>
        <v/>
      </c>
      <c r="K1526" s="26" t="str">
        <f>IF($A1526="","",SUMIFS(tblReceipts[Qty Received],tblReceipts[Item Name],$A1526,tblReceipts[Expiry Date],"&lt;"&amp;$H1526)+SUMIFS(tblReceipts[Qty Received],tblReceipts[Item Name],$A1526,tblReceipts[Expiry Date],$H1526,tblReceipts[Lot Number],"&lt;"&amp;Receipts!$C1529))</f>
        <v/>
      </c>
      <c r="L1526" s="26" t="str">
        <f>IF($A1526="","",MIN($D1526,MAX(0,SUMIFS(tblIssues[Qty Issued],tblIssues[Item Name],$A1526)-$K1526)))</f>
        <v/>
      </c>
      <c r="M1526" s="26" t="str">
        <f>IF($A1526="","",SUMIFS(tblIssues[Qty Issued],tblIssues[Lot Number],$B1526))</f>
        <v/>
      </c>
      <c r="N1526" s="26" t="str">
        <f t="shared" si="117"/>
        <v/>
      </c>
      <c r="O1526" s="26" t="str">
        <f t="shared" si="118"/>
        <v/>
      </c>
      <c r="P1526" s="21" t="str">
        <f t="shared" si="119"/>
        <v/>
      </c>
      <c r="Q1526" s="52" t="str">
        <f>IF($A1526="","",IF($O1526&lt;=0,"Depleted",IF($I1526&lt;0,"EXPIRED",IF($I1526&lt;=Settings!$C$6,"CRITICAL",IF($I1526&lt;=Settings!$C$5,"Expiring","In date")))))</f>
        <v/>
      </c>
    </row>
    <row r="1527" spans="1:17" x14ac:dyDescent="0.35">
      <c r="A1527" s="90" t="str">
        <f>IF(Receipts!$D1530="","",Receipts!$D1530)</f>
        <v/>
      </c>
      <c r="B1527" s="18" t="str">
        <f>IF(Receipts!$C1530="","",Receipts!$C1530)</f>
        <v/>
      </c>
      <c r="C1527" s="18" t="str">
        <f>IF($A1527="","",IFERROR(INDEX(Items!$B$5:$B$597,MATCH($A1527,Items!$A$5:$A$597,0)),""))</f>
        <v/>
      </c>
      <c r="D1527" s="23" t="str">
        <f>IF($A1527="","",N(Receipts!$G1530))</f>
        <v/>
      </c>
      <c r="E1527" s="20" t="str">
        <f>IF($A1527="","",IFERROR(INDEX(Items!$D$5:$D$597,MATCH($A1527,Items!$A$5:$A$597,0)),0))</f>
        <v/>
      </c>
      <c r="F1527" s="21" t="str">
        <f t="shared" si="115"/>
        <v/>
      </c>
      <c r="G1527" s="25" t="str">
        <f>IF(Receipts!$I1530="","",Receipts!$I1530)</f>
        <v/>
      </c>
      <c r="H1527" s="25" t="str">
        <f>IF(Receipts!$H1530="","",Receipts!$H1530)</f>
        <v/>
      </c>
      <c r="I1527" s="26" t="str">
        <f t="shared" ca="1" si="116"/>
        <v/>
      </c>
      <c r="J1527" s="26" t="str">
        <f>IF($A1527="","",COUNTIFS(tblReceipts[Item Name],$A1527,tblReceipts[Expiry Date],"&lt;"&amp;$H1527)+COUNTIFS(tblReceipts[Item Name],$A1527,tblReceipts[Expiry Date],$H1527,tblReceipts[Lot Number],"&lt;="&amp;Receipts!$C1530))</f>
        <v/>
      </c>
      <c r="K1527" s="26" t="str">
        <f>IF($A1527="","",SUMIFS(tblReceipts[Qty Received],tblReceipts[Item Name],$A1527,tblReceipts[Expiry Date],"&lt;"&amp;$H1527)+SUMIFS(tblReceipts[Qty Received],tblReceipts[Item Name],$A1527,tblReceipts[Expiry Date],$H1527,tblReceipts[Lot Number],"&lt;"&amp;Receipts!$C1530))</f>
        <v/>
      </c>
      <c r="L1527" s="26" t="str">
        <f>IF($A1527="","",MIN($D1527,MAX(0,SUMIFS(tblIssues[Qty Issued],tblIssues[Item Name],$A1527)-$K1527)))</f>
        <v/>
      </c>
      <c r="M1527" s="26" t="str">
        <f>IF($A1527="","",SUMIFS(tblIssues[Qty Issued],tblIssues[Lot Number],$B1527))</f>
        <v/>
      </c>
      <c r="N1527" s="26" t="str">
        <f t="shared" si="117"/>
        <v/>
      </c>
      <c r="O1527" s="26" t="str">
        <f t="shared" si="118"/>
        <v/>
      </c>
      <c r="P1527" s="21" t="str">
        <f t="shared" si="119"/>
        <v/>
      </c>
      <c r="Q1527" s="52" t="str">
        <f>IF($A1527="","",IF($O1527&lt;=0,"Depleted",IF($I1527&lt;0,"EXPIRED",IF($I1527&lt;=Settings!$C$6,"CRITICAL",IF($I1527&lt;=Settings!$C$5,"Expiring","In date")))))</f>
        <v/>
      </c>
    </row>
    <row r="1528" spans="1:17" x14ac:dyDescent="0.35">
      <c r="A1528" s="90" t="str">
        <f>IF(Receipts!$D1531="","",Receipts!$D1531)</f>
        <v/>
      </c>
      <c r="B1528" s="18" t="str">
        <f>IF(Receipts!$C1531="","",Receipts!$C1531)</f>
        <v/>
      </c>
      <c r="C1528" s="18" t="str">
        <f>IF($A1528="","",IFERROR(INDEX(Items!$B$5:$B$597,MATCH($A1528,Items!$A$5:$A$597,0)),""))</f>
        <v/>
      </c>
      <c r="D1528" s="23" t="str">
        <f>IF($A1528="","",N(Receipts!$G1531))</f>
        <v/>
      </c>
      <c r="E1528" s="20" t="str">
        <f>IF($A1528="","",IFERROR(INDEX(Items!$D$5:$D$597,MATCH($A1528,Items!$A$5:$A$597,0)),0))</f>
        <v/>
      </c>
      <c r="F1528" s="21" t="str">
        <f t="shared" si="115"/>
        <v/>
      </c>
      <c r="G1528" s="25" t="str">
        <f>IF(Receipts!$I1531="","",Receipts!$I1531)</f>
        <v/>
      </c>
      <c r="H1528" s="25" t="str">
        <f>IF(Receipts!$H1531="","",Receipts!$H1531)</f>
        <v/>
      </c>
      <c r="I1528" s="26" t="str">
        <f t="shared" ca="1" si="116"/>
        <v/>
      </c>
      <c r="J1528" s="26" t="str">
        <f>IF($A1528="","",COUNTIFS(tblReceipts[Item Name],$A1528,tblReceipts[Expiry Date],"&lt;"&amp;$H1528)+COUNTIFS(tblReceipts[Item Name],$A1528,tblReceipts[Expiry Date],$H1528,tblReceipts[Lot Number],"&lt;="&amp;Receipts!$C1531))</f>
        <v/>
      </c>
      <c r="K1528" s="26" t="str">
        <f>IF($A1528="","",SUMIFS(tblReceipts[Qty Received],tblReceipts[Item Name],$A1528,tblReceipts[Expiry Date],"&lt;"&amp;$H1528)+SUMIFS(tblReceipts[Qty Received],tblReceipts[Item Name],$A1528,tblReceipts[Expiry Date],$H1528,tblReceipts[Lot Number],"&lt;"&amp;Receipts!$C1531))</f>
        <v/>
      </c>
      <c r="L1528" s="26" t="str">
        <f>IF($A1528="","",MIN($D1528,MAX(0,SUMIFS(tblIssues[Qty Issued],tblIssues[Item Name],$A1528)-$K1528)))</f>
        <v/>
      </c>
      <c r="M1528" s="26" t="str">
        <f>IF($A1528="","",SUMIFS(tblIssues[Qty Issued],tblIssues[Lot Number],$B1528))</f>
        <v/>
      </c>
      <c r="N1528" s="26" t="str">
        <f t="shared" si="117"/>
        <v/>
      </c>
      <c r="O1528" s="26" t="str">
        <f t="shared" si="118"/>
        <v/>
      </c>
      <c r="P1528" s="21" t="str">
        <f t="shared" si="119"/>
        <v/>
      </c>
      <c r="Q1528" s="52" t="str">
        <f>IF($A1528="","",IF($O1528&lt;=0,"Depleted",IF($I1528&lt;0,"EXPIRED",IF($I1528&lt;=Settings!$C$6,"CRITICAL",IF($I1528&lt;=Settings!$C$5,"Expiring","In date")))))</f>
        <v/>
      </c>
    </row>
    <row r="1529" spans="1:17" x14ac:dyDescent="0.35">
      <c r="A1529" s="90" t="str">
        <f>IF(Receipts!$D1532="","",Receipts!$D1532)</f>
        <v/>
      </c>
      <c r="B1529" s="18" t="str">
        <f>IF(Receipts!$C1532="","",Receipts!$C1532)</f>
        <v/>
      </c>
      <c r="C1529" s="18" t="str">
        <f>IF($A1529="","",IFERROR(INDEX(Items!$B$5:$B$597,MATCH($A1529,Items!$A$5:$A$597,0)),""))</f>
        <v/>
      </c>
      <c r="D1529" s="23" t="str">
        <f>IF($A1529="","",N(Receipts!$G1532))</f>
        <v/>
      </c>
      <c r="E1529" s="20" t="str">
        <f>IF($A1529="","",IFERROR(INDEX(Items!$D$5:$D$597,MATCH($A1529,Items!$A$5:$A$597,0)),0))</f>
        <v/>
      </c>
      <c r="F1529" s="21" t="str">
        <f t="shared" si="115"/>
        <v/>
      </c>
      <c r="G1529" s="25" t="str">
        <f>IF(Receipts!$I1532="","",Receipts!$I1532)</f>
        <v/>
      </c>
      <c r="H1529" s="25" t="str">
        <f>IF(Receipts!$H1532="","",Receipts!$H1532)</f>
        <v/>
      </c>
      <c r="I1529" s="26" t="str">
        <f t="shared" ca="1" si="116"/>
        <v/>
      </c>
      <c r="J1529" s="26" t="str">
        <f>IF($A1529="","",COUNTIFS(tblReceipts[Item Name],$A1529,tblReceipts[Expiry Date],"&lt;"&amp;$H1529)+COUNTIFS(tblReceipts[Item Name],$A1529,tblReceipts[Expiry Date],$H1529,tblReceipts[Lot Number],"&lt;="&amp;Receipts!$C1532))</f>
        <v/>
      </c>
      <c r="K1529" s="26" t="str">
        <f>IF($A1529="","",SUMIFS(tblReceipts[Qty Received],tblReceipts[Item Name],$A1529,tblReceipts[Expiry Date],"&lt;"&amp;$H1529)+SUMIFS(tblReceipts[Qty Received],tblReceipts[Item Name],$A1529,tblReceipts[Expiry Date],$H1529,tblReceipts[Lot Number],"&lt;"&amp;Receipts!$C1532))</f>
        <v/>
      </c>
      <c r="L1529" s="26" t="str">
        <f>IF($A1529="","",MIN($D1529,MAX(0,SUMIFS(tblIssues[Qty Issued],tblIssues[Item Name],$A1529)-$K1529)))</f>
        <v/>
      </c>
      <c r="M1529" s="26" t="str">
        <f>IF($A1529="","",SUMIFS(tblIssues[Qty Issued],tblIssues[Lot Number],$B1529))</f>
        <v/>
      </c>
      <c r="N1529" s="26" t="str">
        <f t="shared" si="117"/>
        <v/>
      </c>
      <c r="O1529" s="26" t="str">
        <f t="shared" si="118"/>
        <v/>
      </c>
      <c r="P1529" s="21" t="str">
        <f t="shared" si="119"/>
        <v/>
      </c>
      <c r="Q1529" s="52" t="str">
        <f>IF($A1529="","",IF($O1529&lt;=0,"Depleted",IF($I1529&lt;0,"EXPIRED",IF($I1529&lt;=Settings!$C$6,"CRITICAL",IF($I1529&lt;=Settings!$C$5,"Expiring","In date")))))</f>
        <v/>
      </c>
    </row>
    <row r="1530" spans="1:17" x14ac:dyDescent="0.35">
      <c r="A1530" s="90" t="str">
        <f>IF(Receipts!$D1533="","",Receipts!$D1533)</f>
        <v/>
      </c>
      <c r="B1530" s="18" t="str">
        <f>IF(Receipts!$C1533="","",Receipts!$C1533)</f>
        <v/>
      </c>
      <c r="C1530" s="18" t="str">
        <f>IF($A1530="","",IFERROR(INDEX(Items!$B$5:$B$597,MATCH($A1530,Items!$A$5:$A$597,0)),""))</f>
        <v/>
      </c>
      <c r="D1530" s="23" t="str">
        <f>IF($A1530="","",N(Receipts!$G1533))</f>
        <v/>
      </c>
      <c r="E1530" s="20" t="str">
        <f>IF($A1530="","",IFERROR(INDEX(Items!$D$5:$D$597,MATCH($A1530,Items!$A$5:$A$597,0)),0))</f>
        <v/>
      </c>
      <c r="F1530" s="21" t="str">
        <f t="shared" si="115"/>
        <v/>
      </c>
      <c r="G1530" s="25" t="str">
        <f>IF(Receipts!$I1533="","",Receipts!$I1533)</f>
        <v/>
      </c>
      <c r="H1530" s="25" t="str">
        <f>IF(Receipts!$H1533="","",Receipts!$H1533)</f>
        <v/>
      </c>
      <c r="I1530" s="26" t="str">
        <f t="shared" ca="1" si="116"/>
        <v/>
      </c>
      <c r="J1530" s="26" t="str">
        <f>IF($A1530="","",COUNTIFS(tblReceipts[Item Name],$A1530,tblReceipts[Expiry Date],"&lt;"&amp;$H1530)+COUNTIFS(tblReceipts[Item Name],$A1530,tblReceipts[Expiry Date],$H1530,tblReceipts[Lot Number],"&lt;="&amp;Receipts!$C1533))</f>
        <v/>
      </c>
      <c r="K1530" s="26" t="str">
        <f>IF($A1530="","",SUMIFS(tblReceipts[Qty Received],tblReceipts[Item Name],$A1530,tblReceipts[Expiry Date],"&lt;"&amp;$H1530)+SUMIFS(tblReceipts[Qty Received],tblReceipts[Item Name],$A1530,tblReceipts[Expiry Date],$H1530,tblReceipts[Lot Number],"&lt;"&amp;Receipts!$C1533))</f>
        <v/>
      </c>
      <c r="L1530" s="26" t="str">
        <f>IF($A1530="","",MIN($D1530,MAX(0,SUMIFS(tblIssues[Qty Issued],tblIssues[Item Name],$A1530)-$K1530)))</f>
        <v/>
      </c>
      <c r="M1530" s="26" t="str">
        <f>IF($A1530="","",SUMIFS(tblIssues[Qty Issued],tblIssues[Lot Number],$B1530))</f>
        <v/>
      </c>
      <c r="N1530" s="26" t="str">
        <f t="shared" si="117"/>
        <v/>
      </c>
      <c r="O1530" s="26" t="str">
        <f t="shared" si="118"/>
        <v/>
      </c>
      <c r="P1530" s="21" t="str">
        <f t="shared" si="119"/>
        <v/>
      </c>
      <c r="Q1530" s="52" t="str">
        <f>IF($A1530="","",IF($O1530&lt;=0,"Depleted",IF($I1530&lt;0,"EXPIRED",IF($I1530&lt;=Settings!$C$6,"CRITICAL",IF($I1530&lt;=Settings!$C$5,"Expiring","In date")))))</f>
        <v/>
      </c>
    </row>
    <row r="1531" spans="1:17" x14ac:dyDescent="0.35">
      <c r="A1531" s="90" t="str">
        <f>IF(Receipts!$D1534="","",Receipts!$D1534)</f>
        <v/>
      </c>
      <c r="B1531" s="18" t="str">
        <f>IF(Receipts!$C1534="","",Receipts!$C1534)</f>
        <v/>
      </c>
      <c r="C1531" s="18" t="str">
        <f>IF($A1531="","",IFERROR(INDEX(Items!$B$5:$B$597,MATCH($A1531,Items!$A$5:$A$597,0)),""))</f>
        <v/>
      </c>
      <c r="D1531" s="23" t="str">
        <f>IF($A1531="","",N(Receipts!$G1534))</f>
        <v/>
      </c>
      <c r="E1531" s="20" t="str">
        <f>IF($A1531="","",IFERROR(INDEX(Items!$D$5:$D$597,MATCH($A1531,Items!$A$5:$A$597,0)),0))</f>
        <v/>
      </c>
      <c r="F1531" s="21" t="str">
        <f t="shared" si="115"/>
        <v/>
      </c>
      <c r="G1531" s="25" t="str">
        <f>IF(Receipts!$I1534="","",Receipts!$I1534)</f>
        <v/>
      </c>
      <c r="H1531" s="25" t="str">
        <f>IF(Receipts!$H1534="","",Receipts!$H1534)</f>
        <v/>
      </c>
      <c r="I1531" s="26" t="str">
        <f t="shared" ca="1" si="116"/>
        <v/>
      </c>
      <c r="J1531" s="26" t="str">
        <f>IF($A1531="","",COUNTIFS(tblReceipts[Item Name],$A1531,tblReceipts[Expiry Date],"&lt;"&amp;$H1531)+COUNTIFS(tblReceipts[Item Name],$A1531,tblReceipts[Expiry Date],$H1531,tblReceipts[Lot Number],"&lt;="&amp;Receipts!$C1534))</f>
        <v/>
      </c>
      <c r="K1531" s="26" t="str">
        <f>IF($A1531="","",SUMIFS(tblReceipts[Qty Received],tblReceipts[Item Name],$A1531,tblReceipts[Expiry Date],"&lt;"&amp;$H1531)+SUMIFS(tblReceipts[Qty Received],tblReceipts[Item Name],$A1531,tblReceipts[Expiry Date],$H1531,tblReceipts[Lot Number],"&lt;"&amp;Receipts!$C1534))</f>
        <v/>
      </c>
      <c r="L1531" s="26" t="str">
        <f>IF($A1531="","",MIN($D1531,MAX(0,SUMIFS(tblIssues[Qty Issued],tblIssues[Item Name],$A1531)-$K1531)))</f>
        <v/>
      </c>
      <c r="M1531" s="26" t="str">
        <f>IF($A1531="","",SUMIFS(tblIssues[Qty Issued],tblIssues[Lot Number],$B1531))</f>
        <v/>
      </c>
      <c r="N1531" s="26" t="str">
        <f t="shared" si="117"/>
        <v/>
      </c>
      <c r="O1531" s="26" t="str">
        <f t="shared" si="118"/>
        <v/>
      </c>
      <c r="P1531" s="21" t="str">
        <f t="shared" si="119"/>
        <v/>
      </c>
      <c r="Q1531" s="52" t="str">
        <f>IF($A1531="","",IF($O1531&lt;=0,"Depleted",IF($I1531&lt;0,"EXPIRED",IF($I1531&lt;=Settings!$C$6,"CRITICAL",IF($I1531&lt;=Settings!$C$5,"Expiring","In date")))))</f>
        <v/>
      </c>
    </row>
    <row r="1532" spans="1:17" x14ac:dyDescent="0.35">
      <c r="A1532" s="90" t="str">
        <f>IF(Receipts!$D1535="","",Receipts!$D1535)</f>
        <v/>
      </c>
      <c r="B1532" s="18" t="str">
        <f>IF(Receipts!$C1535="","",Receipts!$C1535)</f>
        <v/>
      </c>
      <c r="C1532" s="18" t="str">
        <f>IF($A1532="","",IFERROR(INDEX(Items!$B$5:$B$597,MATCH($A1532,Items!$A$5:$A$597,0)),""))</f>
        <v/>
      </c>
      <c r="D1532" s="23" t="str">
        <f>IF($A1532="","",N(Receipts!$G1535))</f>
        <v/>
      </c>
      <c r="E1532" s="20" t="str">
        <f>IF($A1532="","",IFERROR(INDEX(Items!$D$5:$D$597,MATCH($A1532,Items!$A$5:$A$597,0)),0))</f>
        <v/>
      </c>
      <c r="F1532" s="21" t="str">
        <f t="shared" si="115"/>
        <v/>
      </c>
      <c r="G1532" s="25" t="str">
        <f>IF(Receipts!$I1535="","",Receipts!$I1535)</f>
        <v/>
      </c>
      <c r="H1532" s="25" t="str">
        <f>IF(Receipts!$H1535="","",Receipts!$H1535)</f>
        <v/>
      </c>
      <c r="I1532" s="26" t="str">
        <f t="shared" ca="1" si="116"/>
        <v/>
      </c>
      <c r="J1532" s="26" t="str">
        <f>IF($A1532="","",COUNTIFS(tblReceipts[Item Name],$A1532,tblReceipts[Expiry Date],"&lt;"&amp;$H1532)+COUNTIFS(tblReceipts[Item Name],$A1532,tblReceipts[Expiry Date],$H1532,tblReceipts[Lot Number],"&lt;="&amp;Receipts!$C1535))</f>
        <v/>
      </c>
      <c r="K1532" s="26" t="str">
        <f>IF($A1532="","",SUMIFS(tblReceipts[Qty Received],tblReceipts[Item Name],$A1532,tblReceipts[Expiry Date],"&lt;"&amp;$H1532)+SUMIFS(tblReceipts[Qty Received],tblReceipts[Item Name],$A1532,tblReceipts[Expiry Date],$H1532,tblReceipts[Lot Number],"&lt;"&amp;Receipts!$C1535))</f>
        <v/>
      </c>
      <c r="L1532" s="26" t="str">
        <f>IF($A1532="","",MIN($D1532,MAX(0,SUMIFS(tblIssues[Qty Issued],tblIssues[Item Name],$A1532)-$K1532)))</f>
        <v/>
      </c>
      <c r="M1532" s="26" t="str">
        <f>IF($A1532="","",SUMIFS(tblIssues[Qty Issued],tblIssues[Lot Number],$B1532))</f>
        <v/>
      </c>
      <c r="N1532" s="26" t="str">
        <f t="shared" si="117"/>
        <v/>
      </c>
      <c r="O1532" s="26" t="str">
        <f t="shared" si="118"/>
        <v/>
      </c>
      <c r="P1532" s="21" t="str">
        <f t="shared" si="119"/>
        <v/>
      </c>
      <c r="Q1532" s="52" t="str">
        <f>IF($A1532="","",IF($O1532&lt;=0,"Depleted",IF($I1532&lt;0,"EXPIRED",IF($I1532&lt;=Settings!$C$6,"CRITICAL",IF($I1532&lt;=Settings!$C$5,"Expiring","In date")))))</f>
        <v/>
      </c>
    </row>
    <row r="1533" spans="1:17" x14ac:dyDescent="0.35">
      <c r="A1533" s="90" t="str">
        <f>IF(Receipts!$D1536="","",Receipts!$D1536)</f>
        <v/>
      </c>
      <c r="B1533" s="18" t="str">
        <f>IF(Receipts!$C1536="","",Receipts!$C1536)</f>
        <v/>
      </c>
      <c r="C1533" s="18" t="str">
        <f>IF($A1533="","",IFERROR(INDEX(Items!$B$5:$B$597,MATCH($A1533,Items!$A$5:$A$597,0)),""))</f>
        <v/>
      </c>
      <c r="D1533" s="23" t="str">
        <f>IF($A1533="","",N(Receipts!$G1536))</f>
        <v/>
      </c>
      <c r="E1533" s="20" t="str">
        <f>IF($A1533="","",IFERROR(INDEX(Items!$D$5:$D$597,MATCH($A1533,Items!$A$5:$A$597,0)),0))</f>
        <v/>
      </c>
      <c r="F1533" s="21" t="str">
        <f t="shared" si="115"/>
        <v/>
      </c>
      <c r="G1533" s="25" t="str">
        <f>IF(Receipts!$I1536="","",Receipts!$I1536)</f>
        <v/>
      </c>
      <c r="H1533" s="25" t="str">
        <f>IF(Receipts!$H1536="","",Receipts!$H1536)</f>
        <v/>
      </c>
      <c r="I1533" s="26" t="str">
        <f t="shared" ca="1" si="116"/>
        <v/>
      </c>
      <c r="J1533" s="26" t="str">
        <f>IF($A1533="","",COUNTIFS(tblReceipts[Item Name],$A1533,tblReceipts[Expiry Date],"&lt;"&amp;$H1533)+COUNTIFS(tblReceipts[Item Name],$A1533,tblReceipts[Expiry Date],$H1533,tblReceipts[Lot Number],"&lt;="&amp;Receipts!$C1536))</f>
        <v/>
      </c>
      <c r="K1533" s="26" t="str">
        <f>IF($A1533="","",SUMIFS(tblReceipts[Qty Received],tblReceipts[Item Name],$A1533,tblReceipts[Expiry Date],"&lt;"&amp;$H1533)+SUMIFS(tblReceipts[Qty Received],tblReceipts[Item Name],$A1533,tblReceipts[Expiry Date],$H1533,tblReceipts[Lot Number],"&lt;"&amp;Receipts!$C1536))</f>
        <v/>
      </c>
      <c r="L1533" s="26" t="str">
        <f>IF($A1533="","",MIN($D1533,MAX(0,SUMIFS(tblIssues[Qty Issued],tblIssues[Item Name],$A1533)-$K1533)))</f>
        <v/>
      </c>
      <c r="M1533" s="26" t="str">
        <f>IF($A1533="","",SUMIFS(tblIssues[Qty Issued],tblIssues[Lot Number],$B1533))</f>
        <v/>
      </c>
      <c r="N1533" s="26" t="str">
        <f t="shared" si="117"/>
        <v/>
      </c>
      <c r="O1533" s="26" t="str">
        <f t="shared" si="118"/>
        <v/>
      </c>
      <c r="P1533" s="21" t="str">
        <f t="shared" si="119"/>
        <v/>
      </c>
      <c r="Q1533" s="52" t="str">
        <f>IF($A1533="","",IF($O1533&lt;=0,"Depleted",IF($I1533&lt;0,"EXPIRED",IF($I1533&lt;=Settings!$C$6,"CRITICAL",IF($I1533&lt;=Settings!$C$5,"Expiring","In date")))))</f>
        <v/>
      </c>
    </row>
    <row r="1534" spans="1:17" x14ac:dyDescent="0.35">
      <c r="A1534" s="90" t="str">
        <f>IF(Receipts!$D1537="","",Receipts!$D1537)</f>
        <v/>
      </c>
      <c r="B1534" s="18" t="str">
        <f>IF(Receipts!$C1537="","",Receipts!$C1537)</f>
        <v/>
      </c>
      <c r="C1534" s="18" t="str">
        <f>IF($A1534="","",IFERROR(INDEX(Items!$B$5:$B$597,MATCH($A1534,Items!$A$5:$A$597,0)),""))</f>
        <v/>
      </c>
      <c r="D1534" s="23" t="str">
        <f>IF($A1534="","",N(Receipts!$G1537))</f>
        <v/>
      </c>
      <c r="E1534" s="20" t="str">
        <f>IF($A1534="","",IFERROR(INDEX(Items!$D$5:$D$597,MATCH($A1534,Items!$A$5:$A$597,0)),0))</f>
        <v/>
      </c>
      <c r="F1534" s="21" t="str">
        <f t="shared" si="115"/>
        <v/>
      </c>
      <c r="G1534" s="25" t="str">
        <f>IF(Receipts!$I1537="","",Receipts!$I1537)</f>
        <v/>
      </c>
      <c r="H1534" s="25" t="str">
        <f>IF(Receipts!$H1537="","",Receipts!$H1537)</f>
        <v/>
      </c>
      <c r="I1534" s="26" t="str">
        <f t="shared" ca="1" si="116"/>
        <v/>
      </c>
      <c r="J1534" s="26" t="str">
        <f>IF($A1534="","",COUNTIFS(tblReceipts[Item Name],$A1534,tblReceipts[Expiry Date],"&lt;"&amp;$H1534)+COUNTIFS(tblReceipts[Item Name],$A1534,tblReceipts[Expiry Date],$H1534,tblReceipts[Lot Number],"&lt;="&amp;Receipts!$C1537))</f>
        <v/>
      </c>
      <c r="K1534" s="26" t="str">
        <f>IF($A1534="","",SUMIFS(tblReceipts[Qty Received],tblReceipts[Item Name],$A1534,tblReceipts[Expiry Date],"&lt;"&amp;$H1534)+SUMIFS(tblReceipts[Qty Received],tblReceipts[Item Name],$A1534,tblReceipts[Expiry Date],$H1534,tblReceipts[Lot Number],"&lt;"&amp;Receipts!$C1537))</f>
        <v/>
      </c>
      <c r="L1534" s="26" t="str">
        <f>IF($A1534="","",MIN($D1534,MAX(0,SUMIFS(tblIssues[Qty Issued],tblIssues[Item Name],$A1534)-$K1534)))</f>
        <v/>
      </c>
      <c r="M1534" s="26" t="str">
        <f>IF($A1534="","",SUMIFS(tblIssues[Qty Issued],tblIssues[Lot Number],$B1534))</f>
        <v/>
      </c>
      <c r="N1534" s="26" t="str">
        <f t="shared" si="117"/>
        <v/>
      </c>
      <c r="O1534" s="26" t="str">
        <f t="shared" si="118"/>
        <v/>
      </c>
      <c r="P1534" s="21" t="str">
        <f t="shared" si="119"/>
        <v/>
      </c>
      <c r="Q1534" s="52" t="str">
        <f>IF($A1534="","",IF($O1534&lt;=0,"Depleted",IF($I1534&lt;0,"EXPIRED",IF($I1534&lt;=Settings!$C$6,"CRITICAL",IF($I1534&lt;=Settings!$C$5,"Expiring","In date")))))</f>
        <v/>
      </c>
    </row>
    <row r="1535" spans="1:17" x14ac:dyDescent="0.35">
      <c r="A1535" s="90" t="str">
        <f>IF(Receipts!$D1538="","",Receipts!$D1538)</f>
        <v/>
      </c>
      <c r="B1535" s="18" t="str">
        <f>IF(Receipts!$C1538="","",Receipts!$C1538)</f>
        <v/>
      </c>
      <c r="C1535" s="18" t="str">
        <f>IF($A1535="","",IFERROR(INDEX(Items!$B$5:$B$597,MATCH($A1535,Items!$A$5:$A$597,0)),""))</f>
        <v/>
      </c>
      <c r="D1535" s="23" t="str">
        <f>IF($A1535="","",N(Receipts!$G1538))</f>
        <v/>
      </c>
      <c r="E1535" s="20" t="str">
        <f>IF($A1535="","",IFERROR(INDEX(Items!$D$5:$D$597,MATCH($A1535,Items!$A$5:$A$597,0)),0))</f>
        <v/>
      </c>
      <c r="F1535" s="21" t="str">
        <f t="shared" si="115"/>
        <v/>
      </c>
      <c r="G1535" s="25" t="str">
        <f>IF(Receipts!$I1538="","",Receipts!$I1538)</f>
        <v/>
      </c>
      <c r="H1535" s="25" t="str">
        <f>IF(Receipts!$H1538="","",Receipts!$H1538)</f>
        <v/>
      </c>
      <c r="I1535" s="26" t="str">
        <f t="shared" ca="1" si="116"/>
        <v/>
      </c>
      <c r="J1535" s="26" t="str">
        <f>IF($A1535="","",COUNTIFS(tblReceipts[Item Name],$A1535,tblReceipts[Expiry Date],"&lt;"&amp;$H1535)+COUNTIFS(tblReceipts[Item Name],$A1535,tblReceipts[Expiry Date],$H1535,tblReceipts[Lot Number],"&lt;="&amp;Receipts!$C1538))</f>
        <v/>
      </c>
      <c r="K1535" s="26" t="str">
        <f>IF($A1535="","",SUMIFS(tblReceipts[Qty Received],tblReceipts[Item Name],$A1535,tblReceipts[Expiry Date],"&lt;"&amp;$H1535)+SUMIFS(tblReceipts[Qty Received],tblReceipts[Item Name],$A1535,tblReceipts[Expiry Date],$H1535,tblReceipts[Lot Number],"&lt;"&amp;Receipts!$C1538))</f>
        <v/>
      </c>
      <c r="L1535" s="26" t="str">
        <f>IF($A1535="","",MIN($D1535,MAX(0,SUMIFS(tblIssues[Qty Issued],tblIssues[Item Name],$A1535)-$K1535)))</f>
        <v/>
      </c>
      <c r="M1535" s="26" t="str">
        <f>IF($A1535="","",SUMIFS(tblIssues[Qty Issued],tblIssues[Lot Number],$B1535))</f>
        <v/>
      </c>
      <c r="N1535" s="26" t="str">
        <f t="shared" si="117"/>
        <v/>
      </c>
      <c r="O1535" s="26" t="str">
        <f t="shared" si="118"/>
        <v/>
      </c>
      <c r="P1535" s="21" t="str">
        <f t="shared" si="119"/>
        <v/>
      </c>
      <c r="Q1535" s="52" t="str">
        <f>IF($A1535="","",IF($O1535&lt;=0,"Depleted",IF($I1535&lt;0,"EXPIRED",IF($I1535&lt;=Settings!$C$6,"CRITICAL",IF($I1535&lt;=Settings!$C$5,"Expiring","In date")))))</f>
        <v/>
      </c>
    </row>
    <row r="1536" spans="1:17" x14ac:dyDescent="0.35">
      <c r="A1536" s="90" t="str">
        <f>IF(Receipts!$D1539="","",Receipts!$D1539)</f>
        <v/>
      </c>
      <c r="B1536" s="18" t="str">
        <f>IF(Receipts!$C1539="","",Receipts!$C1539)</f>
        <v/>
      </c>
      <c r="C1536" s="18" t="str">
        <f>IF($A1536="","",IFERROR(INDEX(Items!$B$5:$B$597,MATCH($A1536,Items!$A$5:$A$597,0)),""))</f>
        <v/>
      </c>
      <c r="D1536" s="23" t="str">
        <f>IF($A1536="","",N(Receipts!$G1539))</f>
        <v/>
      </c>
      <c r="E1536" s="20" t="str">
        <f>IF($A1536="","",IFERROR(INDEX(Items!$D$5:$D$597,MATCH($A1536,Items!$A$5:$A$597,0)),0))</f>
        <v/>
      </c>
      <c r="F1536" s="21" t="str">
        <f t="shared" si="115"/>
        <v/>
      </c>
      <c r="G1536" s="25" t="str">
        <f>IF(Receipts!$I1539="","",Receipts!$I1539)</f>
        <v/>
      </c>
      <c r="H1536" s="25" t="str">
        <f>IF(Receipts!$H1539="","",Receipts!$H1539)</f>
        <v/>
      </c>
      <c r="I1536" s="26" t="str">
        <f t="shared" ca="1" si="116"/>
        <v/>
      </c>
      <c r="J1536" s="26" t="str">
        <f>IF($A1536="","",COUNTIFS(tblReceipts[Item Name],$A1536,tblReceipts[Expiry Date],"&lt;"&amp;$H1536)+COUNTIFS(tblReceipts[Item Name],$A1536,tblReceipts[Expiry Date],$H1536,tblReceipts[Lot Number],"&lt;="&amp;Receipts!$C1539))</f>
        <v/>
      </c>
      <c r="K1536" s="26" t="str">
        <f>IF($A1536="","",SUMIFS(tblReceipts[Qty Received],tblReceipts[Item Name],$A1536,tblReceipts[Expiry Date],"&lt;"&amp;$H1536)+SUMIFS(tblReceipts[Qty Received],tblReceipts[Item Name],$A1536,tblReceipts[Expiry Date],$H1536,tblReceipts[Lot Number],"&lt;"&amp;Receipts!$C1539))</f>
        <v/>
      </c>
      <c r="L1536" s="26" t="str">
        <f>IF($A1536="","",MIN($D1536,MAX(0,SUMIFS(tblIssues[Qty Issued],tblIssues[Item Name],$A1536)-$K1536)))</f>
        <v/>
      </c>
      <c r="M1536" s="26" t="str">
        <f>IF($A1536="","",SUMIFS(tblIssues[Qty Issued],tblIssues[Lot Number],$B1536))</f>
        <v/>
      </c>
      <c r="N1536" s="26" t="str">
        <f t="shared" si="117"/>
        <v/>
      </c>
      <c r="O1536" s="26" t="str">
        <f t="shared" si="118"/>
        <v/>
      </c>
      <c r="P1536" s="21" t="str">
        <f t="shared" si="119"/>
        <v/>
      </c>
      <c r="Q1536" s="52" t="str">
        <f>IF($A1536="","",IF($O1536&lt;=0,"Depleted",IF($I1536&lt;0,"EXPIRED",IF($I1536&lt;=Settings!$C$6,"CRITICAL",IF($I1536&lt;=Settings!$C$5,"Expiring","In date")))))</f>
        <v/>
      </c>
    </row>
    <row r="1537" spans="1:17" x14ac:dyDescent="0.35">
      <c r="A1537" s="90" t="str">
        <f>IF(Receipts!$D1540="","",Receipts!$D1540)</f>
        <v/>
      </c>
      <c r="B1537" s="18" t="str">
        <f>IF(Receipts!$C1540="","",Receipts!$C1540)</f>
        <v/>
      </c>
      <c r="C1537" s="18" t="str">
        <f>IF($A1537="","",IFERROR(INDEX(Items!$B$5:$B$597,MATCH($A1537,Items!$A$5:$A$597,0)),""))</f>
        <v/>
      </c>
      <c r="D1537" s="23" t="str">
        <f>IF($A1537="","",N(Receipts!$G1540))</f>
        <v/>
      </c>
      <c r="E1537" s="20" t="str">
        <f>IF($A1537="","",IFERROR(INDEX(Items!$D$5:$D$597,MATCH($A1537,Items!$A$5:$A$597,0)),0))</f>
        <v/>
      </c>
      <c r="F1537" s="21" t="str">
        <f t="shared" si="115"/>
        <v/>
      </c>
      <c r="G1537" s="25" t="str">
        <f>IF(Receipts!$I1540="","",Receipts!$I1540)</f>
        <v/>
      </c>
      <c r="H1537" s="25" t="str">
        <f>IF(Receipts!$H1540="","",Receipts!$H1540)</f>
        <v/>
      </c>
      <c r="I1537" s="26" t="str">
        <f t="shared" ca="1" si="116"/>
        <v/>
      </c>
      <c r="J1537" s="26" t="str">
        <f>IF($A1537="","",COUNTIFS(tblReceipts[Item Name],$A1537,tblReceipts[Expiry Date],"&lt;"&amp;$H1537)+COUNTIFS(tblReceipts[Item Name],$A1537,tblReceipts[Expiry Date],$H1537,tblReceipts[Lot Number],"&lt;="&amp;Receipts!$C1540))</f>
        <v/>
      </c>
      <c r="K1537" s="26" t="str">
        <f>IF($A1537="","",SUMIFS(tblReceipts[Qty Received],tblReceipts[Item Name],$A1537,tblReceipts[Expiry Date],"&lt;"&amp;$H1537)+SUMIFS(tblReceipts[Qty Received],tblReceipts[Item Name],$A1537,tblReceipts[Expiry Date],$H1537,tblReceipts[Lot Number],"&lt;"&amp;Receipts!$C1540))</f>
        <v/>
      </c>
      <c r="L1537" s="26" t="str">
        <f>IF($A1537="","",MIN($D1537,MAX(0,SUMIFS(tblIssues[Qty Issued],tblIssues[Item Name],$A1537)-$K1537)))</f>
        <v/>
      </c>
      <c r="M1537" s="26" t="str">
        <f>IF($A1537="","",SUMIFS(tblIssues[Qty Issued],tblIssues[Lot Number],$B1537))</f>
        <v/>
      </c>
      <c r="N1537" s="26" t="str">
        <f t="shared" si="117"/>
        <v/>
      </c>
      <c r="O1537" s="26" t="str">
        <f t="shared" si="118"/>
        <v/>
      </c>
      <c r="P1537" s="21" t="str">
        <f t="shared" si="119"/>
        <v/>
      </c>
      <c r="Q1537" s="52" t="str">
        <f>IF($A1537="","",IF($O1537&lt;=0,"Depleted",IF($I1537&lt;0,"EXPIRED",IF($I1537&lt;=Settings!$C$6,"CRITICAL",IF($I1537&lt;=Settings!$C$5,"Expiring","In date")))))</f>
        <v/>
      </c>
    </row>
    <row r="1538" spans="1:17" x14ac:dyDescent="0.35">
      <c r="A1538" s="90" t="str">
        <f>IF(Receipts!$D1541="","",Receipts!$D1541)</f>
        <v/>
      </c>
      <c r="B1538" s="18" t="str">
        <f>IF(Receipts!$C1541="","",Receipts!$C1541)</f>
        <v/>
      </c>
      <c r="C1538" s="18" t="str">
        <f>IF($A1538="","",IFERROR(INDEX(Items!$B$5:$B$597,MATCH($A1538,Items!$A$5:$A$597,0)),""))</f>
        <v/>
      </c>
      <c r="D1538" s="23" t="str">
        <f>IF($A1538="","",N(Receipts!$G1541))</f>
        <v/>
      </c>
      <c r="E1538" s="20" t="str">
        <f>IF($A1538="","",IFERROR(INDEX(Items!$D$5:$D$597,MATCH($A1538,Items!$A$5:$A$597,0)),0))</f>
        <v/>
      </c>
      <c r="F1538" s="21" t="str">
        <f t="shared" si="115"/>
        <v/>
      </c>
      <c r="G1538" s="25" t="str">
        <f>IF(Receipts!$I1541="","",Receipts!$I1541)</f>
        <v/>
      </c>
      <c r="H1538" s="25" t="str">
        <f>IF(Receipts!$H1541="","",Receipts!$H1541)</f>
        <v/>
      </c>
      <c r="I1538" s="26" t="str">
        <f t="shared" ca="1" si="116"/>
        <v/>
      </c>
      <c r="J1538" s="26" t="str">
        <f>IF($A1538="","",COUNTIFS(tblReceipts[Item Name],$A1538,tblReceipts[Expiry Date],"&lt;"&amp;$H1538)+COUNTIFS(tblReceipts[Item Name],$A1538,tblReceipts[Expiry Date],$H1538,tblReceipts[Lot Number],"&lt;="&amp;Receipts!$C1541))</f>
        <v/>
      </c>
      <c r="K1538" s="26" t="str">
        <f>IF($A1538="","",SUMIFS(tblReceipts[Qty Received],tblReceipts[Item Name],$A1538,tblReceipts[Expiry Date],"&lt;"&amp;$H1538)+SUMIFS(tblReceipts[Qty Received],tblReceipts[Item Name],$A1538,tblReceipts[Expiry Date],$H1538,tblReceipts[Lot Number],"&lt;"&amp;Receipts!$C1541))</f>
        <v/>
      </c>
      <c r="L1538" s="26" t="str">
        <f>IF($A1538="","",MIN($D1538,MAX(0,SUMIFS(tblIssues[Qty Issued],tblIssues[Item Name],$A1538)-$K1538)))</f>
        <v/>
      </c>
      <c r="M1538" s="26" t="str">
        <f>IF($A1538="","",SUMIFS(tblIssues[Qty Issued],tblIssues[Lot Number],$B1538))</f>
        <v/>
      </c>
      <c r="N1538" s="26" t="str">
        <f t="shared" si="117"/>
        <v/>
      </c>
      <c r="O1538" s="26" t="str">
        <f t="shared" si="118"/>
        <v/>
      </c>
      <c r="P1538" s="21" t="str">
        <f t="shared" si="119"/>
        <v/>
      </c>
      <c r="Q1538" s="52" t="str">
        <f>IF($A1538="","",IF($O1538&lt;=0,"Depleted",IF($I1538&lt;0,"EXPIRED",IF($I1538&lt;=Settings!$C$6,"CRITICAL",IF($I1538&lt;=Settings!$C$5,"Expiring","In date")))))</f>
        <v/>
      </c>
    </row>
    <row r="1539" spans="1:17" x14ac:dyDescent="0.35">
      <c r="A1539" s="90" t="str">
        <f>IF(Receipts!$D1542="","",Receipts!$D1542)</f>
        <v/>
      </c>
      <c r="B1539" s="18" t="str">
        <f>IF(Receipts!$C1542="","",Receipts!$C1542)</f>
        <v/>
      </c>
      <c r="C1539" s="18" t="str">
        <f>IF($A1539="","",IFERROR(INDEX(Items!$B$5:$B$597,MATCH($A1539,Items!$A$5:$A$597,0)),""))</f>
        <v/>
      </c>
      <c r="D1539" s="23" t="str">
        <f>IF($A1539="","",N(Receipts!$G1542))</f>
        <v/>
      </c>
      <c r="E1539" s="20" t="str">
        <f>IF($A1539="","",IFERROR(INDEX(Items!$D$5:$D$597,MATCH($A1539,Items!$A$5:$A$597,0)),0))</f>
        <v/>
      </c>
      <c r="F1539" s="21" t="str">
        <f t="shared" si="115"/>
        <v/>
      </c>
      <c r="G1539" s="25" t="str">
        <f>IF(Receipts!$I1542="","",Receipts!$I1542)</f>
        <v/>
      </c>
      <c r="H1539" s="25" t="str">
        <f>IF(Receipts!$H1542="","",Receipts!$H1542)</f>
        <v/>
      </c>
      <c r="I1539" s="26" t="str">
        <f t="shared" ca="1" si="116"/>
        <v/>
      </c>
      <c r="J1539" s="26" t="str">
        <f>IF($A1539="","",COUNTIFS(tblReceipts[Item Name],$A1539,tblReceipts[Expiry Date],"&lt;"&amp;$H1539)+COUNTIFS(tblReceipts[Item Name],$A1539,tblReceipts[Expiry Date],$H1539,tblReceipts[Lot Number],"&lt;="&amp;Receipts!$C1542))</f>
        <v/>
      </c>
      <c r="K1539" s="26" t="str">
        <f>IF($A1539="","",SUMIFS(tblReceipts[Qty Received],tblReceipts[Item Name],$A1539,tblReceipts[Expiry Date],"&lt;"&amp;$H1539)+SUMIFS(tblReceipts[Qty Received],tblReceipts[Item Name],$A1539,tblReceipts[Expiry Date],$H1539,tblReceipts[Lot Number],"&lt;"&amp;Receipts!$C1542))</f>
        <v/>
      </c>
      <c r="L1539" s="26" t="str">
        <f>IF($A1539="","",MIN($D1539,MAX(0,SUMIFS(tblIssues[Qty Issued],tblIssues[Item Name],$A1539)-$K1539)))</f>
        <v/>
      </c>
      <c r="M1539" s="26" t="str">
        <f>IF($A1539="","",SUMIFS(tblIssues[Qty Issued],tblIssues[Lot Number],$B1539))</f>
        <v/>
      </c>
      <c r="N1539" s="26" t="str">
        <f t="shared" si="117"/>
        <v/>
      </c>
      <c r="O1539" s="26" t="str">
        <f t="shared" si="118"/>
        <v/>
      </c>
      <c r="P1539" s="21" t="str">
        <f t="shared" si="119"/>
        <v/>
      </c>
      <c r="Q1539" s="52" t="str">
        <f>IF($A1539="","",IF($O1539&lt;=0,"Depleted",IF($I1539&lt;0,"EXPIRED",IF($I1539&lt;=Settings!$C$6,"CRITICAL",IF($I1539&lt;=Settings!$C$5,"Expiring","In date")))))</f>
        <v/>
      </c>
    </row>
    <row r="1540" spans="1:17" x14ac:dyDescent="0.35">
      <c r="A1540" s="90" t="str">
        <f>IF(Receipts!$D1543="","",Receipts!$D1543)</f>
        <v/>
      </c>
      <c r="B1540" s="18" t="str">
        <f>IF(Receipts!$C1543="","",Receipts!$C1543)</f>
        <v/>
      </c>
      <c r="C1540" s="18" t="str">
        <f>IF($A1540="","",IFERROR(INDEX(Items!$B$5:$B$597,MATCH($A1540,Items!$A$5:$A$597,0)),""))</f>
        <v/>
      </c>
      <c r="D1540" s="23" t="str">
        <f>IF($A1540="","",N(Receipts!$G1543))</f>
        <v/>
      </c>
      <c r="E1540" s="20" t="str">
        <f>IF($A1540="","",IFERROR(INDEX(Items!$D$5:$D$597,MATCH($A1540,Items!$A$5:$A$597,0)),0))</f>
        <v/>
      </c>
      <c r="F1540" s="21" t="str">
        <f t="shared" si="115"/>
        <v/>
      </c>
      <c r="G1540" s="25" t="str">
        <f>IF(Receipts!$I1543="","",Receipts!$I1543)</f>
        <v/>
      </c>
      <c r="H1540" s="25" t="str">
        <f>IF(Receipts!$H1543="","",Receipts!$H1543)</f>
        <v/>
      </c>
      <c r="I1540" s="26" t="str">
        <f t="shared" ca="1" si="116"/>
        <v/>
      </c>
      <c r="J1540" s="26" t="str">
        <f>IF($A1540="","",COUNTIFS(tblReceipts[Item Name],$A1540,tblReceipts[Expiry Date],"&lt;"&amp;$H1540)+COUNTIFS(tblReceipts[Item Name],$A1540,tblReceipts[Expiry Date],$H1540,tblReceipts[Lot Number],"&lt;="&amp;Receipts!$C1543))</f>
        <v/>
      </c>
      <c r="K1540" s="26" t="str">
        <f>IF($A1540="","",SUMIFS(tblReceipts[Qty Received],tblReceipts[Item Name],$A1540,tblReceipts[Expiry Date],"&lt;"&amp;$H1540)+SUMIFS(tblReceipts[Qty Received],tblReceipts[Item Name],$A1540,tblReceipts[Expiry Date],$H1540,tblReceipts[Lot Number],"&lt;"&amp;Receipts!$C1543))</f>
        <v/>
      </c>
      <c r="L1540" s="26" t="str">
        <f>IF($A1540="","",MIN($D1540,MAX(0,SUMIFS(tblIssues[Qty Issued],tblIssues[Item Name],$A1540)-$K1540)))</f>
        <v/>
      </c>
      <c r="M1540" s="26" t="str">
        <f>IF($A1540="","",SUMIFS(tblIssues[Qty Issued],tblIssues[Lot Number],$B1540))</f>
        <v/>
      </c>
      <c r="N1540" s="26" t="str">
        <f t="shared" si="117"/>
        <v/>
      </c>
      <c r="O1540" s="26" t="str">
        <f t="shared" si="118"/>
        <v/>
      </c>
      <c r="P1540" s="21" t="str">
        <f t="shared" si="119"/>
        <v/>
      </c>
      <c r="Q1540" s="52" t="str">
        <f>IF($A1540="","",IF($O1540&lt;=0,"Depleted",IF($I1540&lt;0,"EXPIRED",IF($I1540&lt;=Settings!$C$6,"CRITICAL",IF($I1540&lt;=Settings!$C$5,"Expiring","In date")))))</f>
        <v/>
      </c>
    </row>
    <row r="1541" spans="1:17" x14ac:dyDescent="0.35">
      <c r="A1541" s="90" t="str">
        <f>IF(Receipts!$D1544="","",Receipts!$D1544)</f>
        <v/>
      </c>
      <c r="B1541" s="18" t="str">
        <f>IF(Receipts!$C1544="","",Receipts!$C1544)</f>
        <v/>
      </c>
      <c r="C1541" s="18" t="str">
        <f>IF($A1541="","",IFERROR(INDEX(Items!$B$5:$B$597,MATCH($A1541,Items!$A$5:$A$597,0)),""))</f>
        <v/>
      </c>
      <c r="D1541" s="23" t="str">
        <f>IF($A1541="","",N(Receipts!$G1544))</f>
        <v/>
      </c>
      <c r="E1541" s="20" t="str">
        <f>IF($A1541="","",IFERROR(INDEX(Items!$D$5:$D$597,MATCH($A1541,Items!$A$5:$A$597,0)),0))</f>
        <v/>
      </c>
      <c r="F1541" s="21" t="str">
        <f t="shared" ref="F1541:F1604" si="120">IF($A1541="","",$D1541*$E1541)</f>
        <v/>
      </c>
      <c r="G1541" s="25" t="str">
        <f>IF(Receipts!$I1544="","",Receipts!$I1544)</f>
        <v/>
      </c>
      <c r="H1541" s="25" t="str">
        <f>IF(Receipts!$H1544="","",Receipts!$H1544)</f>
        <v/>
      </c>
      <c r="I1541" s="26" t="str">
        <f t="shared" ref="I1541:I1604" ca="1" si="121">IF($H1541="","",$H1541-TODAY())</f>
        <v/>
      </c>
      <c r="J1541" s="26" t="str">
        <f>IF($A1541="","",COUNTIFS(tblReceipts[Item Name],$A1541,tblReceipts[Expiry Date],"&lt;"&amp;$H1541)+COUNTIFS(tblReceipts[Item Name],$A1541,tblReceipts[Expiry Date],$H1541,tblReceipts[Lot Number],"&lt;="&amp;Receipts!$C1544))</f>
        <v/>
      </c>
      <c r="K1541" s="26" t="str">
        <f>IF($A1541="","",SUMIFS(tblReceipts[Qty Received],tblReceipts[Item Name],$A1541,tblReceipts[Expiry Date],"&lt;"&amp;$H1541)+SUMIFS(tblReceipts[Qty Received],tblReceipts[Item Name],$A1541,tblReceipts[Expiry Date],$H1541,tblReceipts[Lot Number],"&lt;"&amp;Receipts!$C1544))</f>
        <v/>
      </c>
      <c r="L1541" s="26" t="str">
        <f>IF($A1541="","",MIN($D1541,MAX(0,SUMIFS(tblIssues[Qty Issued],tblIssues[Item Name],$A1541)-$K1541)))</f>
        <v/>
      </c>
      <c r="M1541" s="26" t="str">
        <f>IF($A1541="","",SUMIFS(tblIssues[Qty Issued],tblIssues[Lot Number],$B1541))</f>
        <v/>
      </c>
      <c r="N1541" s="26" t="str">
        <f t="shared" ref="N1541:N1604" si="122">IF($A1541="","",$M1541-$L1541)</f>
        <v/>
      </c>
      <c r="O1541" s="26" t="str">
        <f t="shared" ref="O1541:O1604" si="123">IF($A1541="","",$D1541-$L1541)</f>
        <v/>
      </c>
      <c r="P1541" s="21" t="str">
        <f t="shared" ref="P1541:P1604" si="124">IF($A1541="","",$O1541*$E1541)</f>
        <v/>
      </c>
      <c r="Q1541" s="52" t="str">
        <f>IF($A1541="","",IF($O1541&lt;=0,"Depleted",IF($I1541&lt;0,"EXPIRED",IF($I1541&lt;=Settings!$C$6,"CRITICAL",IF($I1541&lt;=Settings!$C$5,"Expiring","In date")))))</f>
        <v/>
      </c>
    </row>
    <row r="1542" spans="1:17" x14ac:dyDescent="0.35">
      <c r="A1542" s="90" t="str">
        <f>IF(Receipts!$D1545="","",Receipts!$D1545)</f>
        <v/>
      </c>
      <c r="B1542" s="18" t="str">
        <f>IF(Receipts!$C1545="","",Receipts!$C1545)</f>
        <v/>
      </c>
      <c r="C1542" s="18" t="str">
        <f>IF($A1542="","",IFERROR(INDEX(Items!$B$5:$B$597,MATCH($A1542,Items!$A$5:$A$597,0)),""))</f>
        <v/>
      </c>
      <c r="D1542" s="23" t="str">
        <f>IF($A1542="","",N(Receipts!$G1545))</f>
        <v/>
      </c>
      <c r="E1542" s="20" t="str">
        <f>IF($A1542="","",IFERROR(INDEX(Items!$D$5:$D$597,MATCH($A1542,Items!$A$5:$A$597,0)),0))</f>
        <v/>
      </c>
      <c r="F1542" s="21" t="str">
        <f t="shared" si="120"/>
        <v/>
      </c>
      <c r="G1542" s="25" t="str">
        <f>IF(Receipts!$I1545="","",Receipts!$I1545)</f>
        <v/>
      </c>
      <c r="H1542" s="25" t="str">
        <f>IF(Receipts!$H1545="","",Receipts!$H1545)</f>
        <v/>
      </c>
      <c r="I1542" s="26" t="str">
        <f t="shared" ca="1" si="121"/>
        <v/>
      </c>
      <c r="J1542" s="26" t="str">
        <f>IF($A1542="","",COUNTIFS(tblReceipts[Item Name],$A1542,tblReceipts[Expiry Date],"&lt;"&amp;$H1542)+COUNTIFS(tblReceipts[Item Name],$A1542,tblReceipts[Expiry Date],$H1542,tblReceipts[Lot Number],"&lt;="&amp;Receipts!$C1545))</f>
        <v/>
      </c>
      <c r="K1542" s="26" t="str">
        <f>IF($A1542="","",SUMIFS(tblReceipts[Qty Received],tblReceipts[Item Name],$A1542,tblReceipts[Expiry Date],"&lt;"&amp;$H1542)+SUMIFS(tblReceipts[Qty Received],tblReceipts[Item Name],$A1542,tblReceipts[Expiry Date],$H1542,tblReceipts[Lot Number],"&lt;"&amp;Receipts!$C1545))</f>
        <v/>
      </c>
      <c r="L1542" s="26" t="str">
        <f>IF($A1542="","",MIN($D1542,MAX(0,SUMIFS(tblIssues[Qty Issued],tblIssues[Item Name],$A1542)-$K1542)))</f>
        <v/>
      </c>
      <c r="M1542" s="26" t="str">
        <f>IF($A1542="","",SUMIFS(tblIssues[Qty Issued],tblIssues[Lot Number],$B1542))</f>
        <v/>
      </c>
      <c r="N1542" s="26" t="str">
        <f t="shared" si="122"/>
        <v/>
      </c>
      <c r="O1542" s="26" t="str">
        <f t="shared" si="123"/>
        <v/>
      </c>
      <c r="P1542" s="21" t="str">
        <f t="shared" si="124"/>
        <v/>
      </c>
      <c r="Q1542" s="52" t="str">
        <f>IF($A1542="","",IF($O1542&lt;=0,"Depleted",IF($I1542&lt;0,"EXPIRED",IF($I1542&lt;=Settings!$C$6,"CRITICAL",IF($I1542&lt;=Settings!$C$5,"Expiring","In date")))))</f>
        <v/>
      </c>
    </row>
    <row r="1543" spans="1:17" x14ac:dyDescent="0.35">
      <c r="A1543" s="90" t="str">
        <f>IF(Receipts!$D1546="","",Receipts!$D1546)</f>
        <v/>
      </c>
      <c r="B1543" s="18" t="str">
        <f>IF(Receipts!$C1546="","",Receipts!$C1546)</f>
        <v/>
      </c>
      <c r="C1543" s="18" t="str">
        <f>IF($A1543="","",IFERROR(INDEX(Items!$B$5:$B$597,MATCH($A1543,Items!$A$5:$A$597,0)),""))</f>
        <v/>
      </c>
      <c r="D1543" s="23" t="str">
        <f>IF($A1543="","",N(Receipts!$G1546))</f>
        <v/>
      </c>
      <c r="E1543" s="20" t="str">
        <f>IF($A1543="","",IFERROR(INDEX(Items!$D$5:$D$597,MATCH($A1543,Items!$A$5:$A$597,0)),0))</f>
        <v/>
      </c>
      <c r="F1543" s="21" t="str">
        <f t="shared" si="120"/>
        <v/>
      </c>
      <c r="G1543" s="25" t="str">
        <f>IF(Receipts!$I1546="","",Receipts!$I1546)</f>
        <v/>
      </c>
      <c r="H1543" s="25" t="str">
        <f>IF(Receipts!$H1546="","",Receipts!$H1546)</f>
        <v/>
      </c>
      <c r="I1543" s="26" t="str">
        <f t="shared" ca="1" si="121"/>
        <v/>
      </c>
      <c r="J1543" s="26" t="str">
        <f>IF($A1543="","",COUNTIFS(tblReceipts[Item Name],$A1543,tblReceipts[Expiry Date],"&lt;"&amp;$H1543)+COUNTIFS(tblReceipts[Item Name],$A1543,tblReceipts[Expiry Date],$H1543,tblReceipts[Lot Number],"&lt;="&amp;Receipts!$C1546))</f>
        <v/>
      </c>
      <c r="K1543" s="26" t="str">
        <f>IF($A1543="","",SUMIFS(tblReceipts[Qty Received],tblReceipts[Item Name],$A1543,tblReceipts[Expiry Date],"&lt;"&amp;$H1543)+SUMIFS(tblReceipts[Qty Received],tblReceipts[Item Name],$A1543,tblReceipts[Expiry Date],$H1543,tblReceipts[Lot Number],"&lt;"&amp;Receipts!$C1546))</f>
        <v/>
      </c>
      <c r="L1543" s="26" t="str">
        <f>IF($A1543="","",MIN($D1543,MAX(0,SUMIFS(tblIssues[Qty Issued],tblIssues[Item Name],$A1543)-$K1543)))</f>
        <v/>
      </c>
      <c r="M1543" s="26" t="str">
        <f>IF($A1543="","",SUMIFS(tblIssues[Qty Issued],tblIssues[Lot Number],$B1543))</f>
        <v/>
      </c>
      <c r="N1543" s="26" t="str">
        <f t="shared" si="122"/>
        <v/>
      </c>
      <c r="O1543" s="26" t="str">
        <f t="shared" si="123"/>
        <v/>
      </c>
      <c r="P1543" s="21" t="str">
        <f t="shared" si="124"/>
        <v/>
      </c>
      <c r="Q1543" s="52" t="str">
        <f>IF($A1543="","",IF($O1543&lt;=0,"Depleted",IF($I1543&lt;0,"EXPIRED",IF($I1543&lt;=Settings!$C$6,"CRITICAL",IF($I1543&lt;=Settings!$C$5,"Expiring","In date")))))</f>
        <v/>
      </c>
    </row>
    <row r="1544" spans="1:17" x14ac:dyDescent="0.35">
      <c r="A1544" s="90" t="str">
        <f>IF(Receipts!$D1547="","",Receipts!$D1547)</f>
        <v/>
      </c>
      <c r="B1544" s="18" t="str">
        <f>IF(Receipts!$C1547="","",Receipts!$C1547)</f>
        <v/>
      </c>
      <c r="C1544" s="18" t="str">
        <f>IF($A1544="","",IFERROR(INDEX(Items!$B$5:$B$597,MATCH($A1544,Items!$A$5:$A$597,0)),""))</f>
        <v/>
      </c>
      <c r="D1544" s="23" t="str">
        <f>IF($A1544="","",N(Receipts!$G1547))</f>
        <v/>
      </c>
      <c r="E1544" s="20" t="str">
        <f>IF($A1544="","",IFERROR(INDEX(Items!$D$5:$D$597,MATCH($A1544,Items!$A$5:$A$597,0)),0))</f>
        <v/>
      </c>
      <c r="F1544" s="21" t="str">
        <f t="shared" si="120"/>
        <v/>
      </c>
      <c r="G1544" s="25" t="str">
        <f>IF(Receipts!$I1547="","",Receipts!$I1547)</f>
        <v/>
      </c>
      <c r="H1544" s="25" t="str">
        <f>IF(Receipts!$H1547="","",Receipts!$H1547)</f>
        <v/>
      </c>
      <c r="I1544" s="26" t="str">
        <f t="shared" ca="1" si="121"/>
        <v/>
      </c>
      <c r="J1544" s="26" t="str">
        <f>IF($A1544="","",COUNTIFS(tblReceipts[Item Name],$A1544,tblReceipts[Expiry Date],"&lt;"&amp;$H1544)+COUNTIFS(tblReceipts[Item Name],$A1544,tblReceipts[Expiry Date],$H1544,tblReceipts[Lot Number],"&lt;="&amp;Receipts!$C1547))</f>
        <v/>
      </c>
      <c r="K1544" s="26" t="str">
        <f>IF($A1544="","",SUMIFS(tblReceipts[Qty Received],tblReceipts[Item Name],$A1544,tblReceipts[Expiry Date],"&lt;"&amp;$H1544)+SUMIFS(tblReceipts[Qty Received],tblReceipts[Item Name],$A1544,tblReceipts[Expiry Date],$H1544,tblReceipts[Lot Number],"&lt;"&amp;Receipts!$C1547))</f>
        <v/>
      </c>
      <c r="L1544" s="26" t="str">
        <f>IF($A1544="","",MIN($D1544,MAX(0,SUMIFS(tblIssues[Qty Issued],tblIssues[Item Name],$A1544)-$K1544)))</f>
        <v/>
      </c>
      <c r="M1544" s="26" t="str">
        <f>IF($A1544="","",SUMIFS(tblIssues[Qty Issued],tblIssues[Lot Number],$B1544))</f>
        <v/>
      </c>
      <c r="N1544" s="26" t="str">
        <f t="shared" si="122"/>
        <v/>
      </c>
      <c r="O1544" s="26" t="str">
        <f t="shared" si="123"/>
        <v/>
      </c>
      <c r="P1544" s="21" t="str">
        <f t="shared" si="124"/>
        <v/>
      </c>
      <c r="Q1544" s="52" t="str">
        <f>IF($A1544="","",IF($O1544&lt;=0,"Depleted",IF($I1544&lt;0,"EXPIRED",IF($I1544&lt;=Settings!$C$6,"CRITICAL",IF($I1544&lt;=Settings!$C$5,"Expiring","In date")))))</f>
        <v/>
      </c>
    </row>
    <row r="1545" spans="1:17" x14ac:dyDescent="0.35">
      <c r="A1545" s="90" t="str">
        <f>IF(Receipts!$D1548="","",Receipts!$D1548)</f>
        <v/>
      </c>
      <c r="B1545" s="18" t="str">
        <f>IF(Receipts!$C1548="","",Receipts!$C1548)</f>
        <v/>
      </c>
      <c r="C1545" s="18" t="str">
        <f>IF($A1545="","",IFERROR(INDEX(Items!$B$5:$B$597,MATCH($A1545,Items!$A$5:$A$597,0)),""))</f>
        <v/>
      </c>
      <c r="D1545" s="23" t="str">
        <f>IF($A1545="","",N(Receipts!$G1548))</f>
        <v/>
      </c>
      <c r="E1545" s="20" t="str">
        <f>IF($A1545="","",IFERROR(INDEX(Items!$D$5:$D$597,MATCH($A1545,Items!$A$5:$A$597,0)),0))</f>
        <v/>
      </c>
      <c r="F1545" s="21" t="str">
        <f t="shared" si="120"/>
        <v/>
      </c>
      <c r="G1545" s="25" t="str">
        <f>IF(Receipts!$I1548="","",Receipts!$I1548)</f>
        <v/>
      </c>
      <c r="H1545" s="25" t="str">
        <f>IF(Receipts!$H1548="","",Receipts!$H1548)</f>
        <v/>
      </c>
      <c r="I1545" s="26" t="str">
        <f t="shared" ca="1" si="121"/>
        <v/>
      </c>
      <c r="J1545" s="26" t="str">
        <f>IF($A1545="","",COUNTIFS(tblReceipts[Item Name],$A1545,tblReceipts[Expiry Date],"&lt;"&amp;$H1545)+COUNTIFS(tblReceipts[Item Name],$A1545,tblReceipts[Expiry Date],$H1545,tblReceipts[Lot Number],"&lt;="&amp;Receipts!$C1548))</f>
        <v/>
      </c>
      <c r="K1545" s="26" t="str">
        <f>IF($A1545="","",SUMIFS(tblReceipts[Qty Received],tblReceipts[Item Name],$A1545,tblReceipts[Expiry Date],"&lt;"&amp;$H1545)+SUMIFS(tblReceipts[Qty Received],tblReceipts[Item Name],$A1545,tblReceipts[Expiry Date],$H1545,tblReceipts[Lot Number],"&lt;"&amp;Receipts!$C1548))</f>
        <v/>
      </c>
      <c r="L1545" s="26" t="str">
        <f>IF($A1545="","",MIN($D1545,MAX(0,SUMIFS(tblIssues[Qty Issued],tblIssues[Item Name],$A1545)-$K1545)))</f>
        <v/>
      </c>
      <c r="M1545" s="26" t="str">
        <f>IF($A1545="","",SUMIFS(tblIssues[Qty Issued],tblIssues[Lot Number],$B1545))</f>
        <v/>
      </c>
      <c r="N1545" s="26" t="str">
        <f t="shared" si="122"/>
        <v/>
      </c>
      <c r="O1545" s="26" t="str">
        <f t="shared" si="123"/>
        <v/>
      </c>
      <c r="P1545" s="21" t="str">
        <f t="shared" si="124"/>
        <v/>
      </c>
      <c r="Q1545" s="52" t="str">
        <f>IF($A1545="","",IF($O1545&lt;=0,"Depleted",IF($I1545&lt;0,"EXPIRED",IF($I1545&lt;=Settings!$C$6,"CRITICAL",IF($I1545&lt;=Settings!$C$5,"Expiring","In date")))))</f>
        <v/>
      </c>
    </row>
    <row r="1546" spans="1:17" x14ac:dyDescent="0.35">
      <c r="A1546" s="90" t="str">
        <f>IF(Receipts!$D1549="","",Receipts!$D1549)</f>
        <v/>
      </c>
      <c r="B1546" s="18" t="str">
        <f>IF(Receipts!$C1549="","",Receipts!$C1549)</f>
        <v/>
      </c>
      <c r="C1546" s="18" t="str">
        <f>IF($A1546="","",IFERROR(INDEX(Items!$B$5:$B$597,MATCH($A1546,Items!$A$5:$A$597,0)),""))</f>
        <v/>
      </c>
      <c r="D1546" s="23" t="str">
        <f>IF($A1546="","",N(Receipts!$G1549))</f>
        <v/>
      </c>
      <c r="E1546" s="20" t="str">
        <f>IF($A1546="","",IFERROR(INDEX(Items!$D$5:$D$597,MATCH($A1546,Items!$A$5:$A$597,0)),0))</f>
        <v/>
      </c>
      <c r="F1546" s="21" t="str">
        <f t="shared" si="120"/>
        <v/>
      </c>
      <c r="G1546" s="25" t="str">
        <f>IF(Receipts!$I1549="","",Receipts!$I1549)</f>
        <v/>
      </c>
      <c r="H1546" s="25" t="str">
        <f>IF(Receipts!$H1549="","",Receipts!$H1549)</f>
        <v/>
      </c>
      <c r="I1546" s="26" t="str">
        <f t="shared" ca="1" si="121"/>
        <v/>
      </c>
      <c r="J1546" s="26" t="str">
        <f>IF($A1546="","",COUNTIFS(tblReceipts[Item Name],$A1546,tblReceipts[Expiry Date],"&lt;"&amp;$H1546)+COUNTIFS(tblReceipts[Item Name],$A1546,tblReceipts[Expiry Date],$H1546,tblReceipts[Lot Number],"&lt;="&amp;Receipts!$C1549))</f>
        <v/>
      </c>
      <c r="K1546" s="26" t="str">
        <f>IF($A1546="","",SUMIFS(tblReceipts[Qty Received],tblReceipts[Item Name],$A1546,tblReceipts[Expiry Date],"&lt;"&amp;$H1546)+SUMIFS(tblReceipts[Qty Received],tblReceipts[Item Name],$A1546,tblReceipts[Expiry Date],$H1546,tblReceipts[Lot Number],"&lt;"&amp;Receipts!$C1549))</f>
        <v/>
      </c>
      <c r="L1546" s="26" t="str">
        <f>IF($A1546="","",MIN($D1546,MAX(0,SUMIFS(tblIssues[Qty Issued],tblIssues[Item Name],$A1546)-$K1546)))</f>
        <v/>
      </c>
      <c r="M1546" s="26" t="str">
        <f>IF($A1546="","",SUMIFS(tblIssues[Qty Issued],tblIssues[Lot Number],$B1546))</f>
        <v/>
      </c>
      <c r="N1546" s="26" t="str">
        <f t="shared" si="122"/>
        <v/>
      </c>
      <c r="O1546" s="26" t="str">
        <f t="shared" si="123"/>
        <v/>
      </c>
      <c r="P1546" s="21" t="str">
        <f t="shared" si="124"/>
        <v/>
      </c>
      <c r="Q1546" s="52" t="str">
        <f>IF($A1546="","",IF($O1546&lt;=0,"Depleted",IF($I1546&lt;0,"EXPIRED",IF($I1546&lt;=Settings!$C$6,"CRITICAL",IF($I1546&lt;=Settings!$C$5,"Expiring","In date")))))</f>
        <v/>
      </c>
    </row>
    <row r="1547" spans="1:17" x14ac:dyDescent="0.35">
      <c r="A1547" s="90" t="str">
        <f>IF(Receipts!$D1550="","",Receipts!$D1550)</f>
        <v/>
      </c>
      <c r="B1547" s="18" t="str">
        <f>IF(Receipts!$C1550="","",Receipts!$C1550)</f>
        <v/>
      </c>
      <c r="C1547" s="18" t="str">
        <f>IF($A1547="","",IFERROR(INDEX(Items!$B$5:$B$597,MATCH($A1547,Items!$A$5:$A$597,0)),""))</f>
        <v/>
      </c>
      <c r="D1547" s="23" t="str">
        <f>IF($A1547="","",N(Receipts!$G1550))</f>
        <v/>
      </c>
      <c r="E1547" s="20" t="str">
        <f>IF($A1547="","",IFERROR(INDEX(Items!$D$5:$D$597,MATCH($A1547,Items!$A$5:$A$597,0)),0))</f>
        <v/>
      </c>
      <c r="F1547" s="21" t="str">
        <f t="shared" si="120"/>
        <v/>
      </c>
      <c r="G1547" s="25" t="str">
        <f>IF(Receipts!$I1550="","",Receipts!$I1550)</f>
        <v/>
      </c>
      <c r="H1547" s="25" t="str">
        <f>IF(Receipts!$H1550="","",Receipts!$H1550)</f>
        <v/>
      </c>
      <c r="I1547" s="26" t="str">
        <f t="shared" ca="1" si="121"/>
        <v/>
      </c>
      <c r="J1547" s="26" t="str">
        <f>IF($A1547="","",COUNTIFS(tblReceipts[Item Name],$A1547,tblReceipts[Expiry Date],"&lt;"&amp;$H1547)+COUNTIFS(tblReceipts[Item Name],$A1547,tblReceipts[Expiry Date],$H1547,tblReceipts[Lot Number],"&lt;="&amp;Receipts!$C1550))</f>
        <v/>
      </c>
      <c r="K1547" s="26" t="str">
        <f>IF($A1547="","",SUMIFS(tblReceipts[Qty Received],tblReceipts[Item Name],$A1547,tblReceipts[Expiry Date],"&lt;"&amp;$H1547)+SUMIFS(tblReceipts[Qty Received],tblReceipts[Item Name],$A1547,tblReceipts[Expiry Date],$H1547,tblReceipts[Lot Number],"&lt;"&amp;Receipts!$C1550))</f>
        <v/>
      </c>
      <c r="L1547" s="26" t="str">
        <f>IF($A1547="","",MIN($D1547,MAX(0,SUMIFS(tblIssues[Qty Issued],tblIssues[Item Name],$A1547)-$K1547)))</f>
        <v/>
      </c>
      <c r="M1547" s="26" t="str">
        <f>IF($A1547="","",SUMIFS(tblIssues[Qty Issued],tblIssues[Lot Number],$B1547))</f>
        <v/>
      </c>
      <c r="N1547" s="26" t="str">
        <f t="shared" si="122"/>
        <v/>
      </c>
      <c r="O1547" s="26" t="str">
        <f t="shared" si="123"/>
        <v/>
      </c>
      <c r="P1547" s="21" t="str">
        <f t="shared" si="124"/>
        <v/>
      </c>
      <c r="Q1547" s="52" t="str">
        <f>IF($A1547="","",IF($O1547&lt;=0,"Depleted",IF($I1547&lt;0,"EXPIRED",IF($I1547&lt;=Settings!$C$6,"CRITICAL",IF($I1547&lt;=Settings!$C$5,"Expiring","In date")))))</f>
        <v/>
      </c>
    </row>
    <row r="1548" spans="1:17" x14ac:dyDescent="0.35">
      <c r="A1548" s="90" t="str">
        <f>IF(Receipts!$D1551="","",Receipts!$D1551)</f>
        <v/>
      </c>
      <c r="B1548" s="18" t="str">
        <f>IF(Receipts!$C1551="","",Receipts!$C1551)</f>
        <v/>
      </c>
      <c r="C1548" s="18" t="str">
        <f>IF($A1548="","",IFERROR(INDEX(Items!$B$5:$B$597,MATCH($A1548,Items!$A$5:$A$597,0)),""))</f>
        <v/>
      </c>
      <c r="D1548" s="23" t="str">
        <f>IF($A1548="","",N(Receipts!$G1551))</f>
        <v/>
      </c>
      <c r="E1548" s="20" t="str">
        <f>IF($A1548="","",IFERROR(INDEX(Items!$D$5:$D$597,MATCH($A1548,Items!$A$5:$A$597,0)),0))</f>
        <v/>
      </c>
      <c r="F1548" s="21" t="str">
        <f t="shared" si="120"/>
        <v/>
      </c>
      <c r="G1548" s="25" t="str">
        <f>IF(Receipts!$I1551="","",Receipts!$I1551)</f>
        <v/>
      </c>
      <c r="H1548" s="25" t="str">
        <f>IF(Receipts!$H1551="","",Receipts!$H1551)</f>
        <v/>
      </c>
      <c r="I1548" s="26" t="str">
        <f t="shared" ca="1" si="121"/>
        <v/>
      </c>
      <c r="J1548" s="26" t="str">
        <f>IF($A1548="","",COUNTIFS(tblReceipts[Item Name],$A1548,tblReceipts[Expiry Date],"&lt;"&amp;$H1548)+COUNTIFS(tblReceipts[Item Name],$A1548,tblReceipts[Expiry Date],$H1548,tblReceipts[Lot Number],"&lt;="&amp;Receipts!$C1551))</f>
        <v/>
      </c>
      <c r="K1548" s="26" t="str">
        <f>IF($A1548="","",SUMIFS(tblReceipts[Qty Received],tblReceipts[Item Name],$A1548,tblReceipts[Expiry Date],"&lt;"&amp;$H1548)+SUMIFS(tblReceipts[Qty Received],tblReceipts[Item Name],$A1548,tblReceipts[Expiry Date],$H1548,tblReceipts[Lot Number],"&lt;"&amp;Receipts!$C1551))</f>
        <v/>
      </c>
      <c r="L1548" s="26" t="str">
        <f>IF($A1548="","",MIN($D1548,MAX(0,SUMIFS(tblIssues[Qty Issued],tblIssues[Item Name],$A1548)-$K1548)))</f>
        <v/>
      </c>
      <c r="M1548" s="26" t="str">
        <f>IF($A1548="","",SUMIFS(tblIssues[Qty Issued],tblIssues[Lot Number],$B1548))</f>
        <v/>
      </c>
      <c r="N1548" s="26" t="str">
        <f t="shared" si="122"/>
        <v/>
      </c>
      <c r="O1548" s="26" t="str">
        <f t="shared" si="123"/>
        <v/>
      </c>
      <c r="P1548" s="21" t="str">
        <f t="shared" si="124"/>
        <v/>
      </c>
      <c r="Q1548" s="52" t="str">
        <f>IF($A1548="","",IF($O1548&lt;=0,"Depleted",IF($I1548&lt;0,"EXPIRED",IF($I1548&lt;=Settings!$C$6,"CRITICAL",IF($I1548&lt;=Settings!$C$5,"Expiring","In date")))))</f>
        <v/>
      </c>
    </row>
    <row r="1549" spans="1:17" x14ac:dyDescent="0.35">
      <c r="A1549" s="90" t="str">
        <f>IF(Receipts!$D1552="","",Receipts!$D1552)</f>
        <v/>
      </c>
      <c r="B1549" s="18" t="str">
        <f>IF(Receipts!$C1552="","",Receipts!$C1552)</f>
        <v/>
      </c>
      <c r="C1549" s="18" t="str">
        <f>IF($A1549="","",IFERROR(INDEX(Items!$B$5:$B$597,MATCH($A1549,Items!$A$5:$A$597,0)),""))</f>
        <v/>
      </c>
      <c r="D1549" s="23" t="str">
        <f>IF($A1549="","",N(Receipts!$G1552))</f>
        <v/>
      </c>
      <c r="E1549" s="20" t="str">
        <f>IF($A1549="","",IFERROR(INDEX(Items!$D$5:$D$597,MATCH($A1549,Items!$A$5:$A$597,0)),0))</f>
        <v/>
      </c>
      <c r="F1549" s="21" t="str">
        <f t="shared" si="120"/>
        <v/>
      </c>
      <c r="G1549" s="25" t="str">
        <f>IF(Receipts!$I1552="","",Receipts!$I1552)</f>
        <v/>
      </c>
      <c r="H1549" s="25" t="str">
        <f>IF(Receipts!$H1552="","",Receipts!$H1552)</f>
        <v/>
      </c>
      <c r="I1549" s="26" t="str">
        <f t="shared" ca="1" si="121"/>
        <v/>
      </c>
      <c r="J1549" s="26" t="str">
        <f>IF($A1549="","",COUNTIFS(tblReceipts[Item Name],$A1549,tblReceipts[Expiry Date],"&lt;"&amp;$H1549)+COUNTIFS(tblReceipts[Item Name],$A1549,tblReceipts[Expiry Date],$H1549,tblReceipts[Lot Number],"&lt;="&amp;Receipts!$C1552))</f>
        <v/>
      </c>
      <c r="K1549" s="26" t="str">
        <f>IF($A1549="","",SUMIFS(tblReceipts[Qty Received],tblReceipts[Item Name],$A1549,tblReceipts[Expiry Date],"&lt;"&amp;$H1549)+SUMIFS(tblReceipts[Qty Received],tblReceipts[Item Name],$A1549,tblReceipts[Expiry Date],$H1549,tblReceipts[Lot Number],"&lt;"&amp;Receipts!$C1552))</f>
        <v/>
      </c>
      <c r="L1549" s="26" t="str">
        <f>IF($A1549="","",MIN($D1549,MAX(0,SUMIFS(tblIssues[Qty Issued],tblIssues[Item Name],$A1549)-$K1549)))</f>
        <v/>
      </c>
      <c r="M1549" s="26" t="str">
        <f>IF($A1549="","",SUMIFS(tblIssues[Qty Issued],tblIssues[Lot Number],$B1549))</f>
        <v/>
      </c>
      <c r="N1549" s="26" t="str">
        <f t="shared" si="122"/>
        <v/>
      </c>
      <c r="O1549" s="26" t="str">
        <f t="shared" si="123"/>
        <v/>
      </c>
      <c r="P1549" s="21" t="str">
        <f t="shared" si="124"/>
        <v/>
      </c>
      <c r="Q1549" s="52" t="str">
        <f>IF($A1549="","",IF($O1549&lt;=0,"Depleted",IF($I1549&lt;0,"EXPIRED",IF($I1549&lt;=Settings!$C$6,"CRITICAL",IF($I1549&lt;=Settings!$C$5,"Expiring","In date")))))</f>
        <v/>
      </c>
    </row>
    <row r="1550" spans="1:17" x14ac:dyDescent="0.35">
      <c r="A1550" s="90" t="str">
        <f>IF(Receipts!$D1553="","",Receipts!$D1553)</f>
        <v/>
      </c>
      <c r="B1550" s="18" t="str">
        <f>IF(Receipts!$C1553="","",Receipts!$C1553)</f>
        <v/>
      </c>
      <c r="C1550" s="18" t="str">
        <f>IF($A1550="","",IFERROR(INDEX(Items!$B$5:$B$597,MATCH($A1550,Items!$A$5:$A$597,0)),""))</f>
        <v/>
      </c>
      <c r="D1550" s="23" t="str">
        <f>IF($A1550="","",N(Receipts!$G1553))</f>
        <v/>
      </c>
      <c r="E1550" s="20" t="str">
        <f>IF($A1550="","",IFERROR(INDEX(Items!$D$5:$D$597,MATCH($A1550,Items!$A$5:$A$597,0)),0))</f>
        <v/>
      </c>
      <c r="F1550" s="21" t="str">
        <f t="shared" si="120"/>
        <v/>
      </c>
      <c r="G1550" s="25" t="str">
        <f>IF(Receipts!$I1553="","",Receipts!$I1553)</f>
        <v/>
      </c>
      <c r="H1550" s="25" t="str">
        <f>IF(Receipts!$H1553="","",Receipts!$H1553)</f>
        <v/>
      </c>
      <c r="I1550" s="26" t="str">
        <f t="shared" ca="1" si="121"/>
        <v/>
      </c>
      <c r="J1550" s="26" t="str">
        <f>IF($A1550="","",COUNTIFS(tblReceipts[Item Name],$A1550,tblReceipts[Expiry Date],"&lt;"&amp;$H1550)+COUNTIFS(tblReceipts[Item Name],$A1550,tblReceipts[Expiry Date],$H1550,tblReceipts[Lot Number],"&lt;="&amp;Receipts!$C1553))</f>
        <v/>
      </c>
      <c r="K1550" s="26" t="str">
        <f>IF($A1550="","",SUMIFS(tblReceipts[Qty Received],tblReceipts[Item Name],$A1550,tblReceipts[Expiry Date],"&lt;"&amp;$H1550)+SUMIFS(tblReceipts[Qty Received],tblReceipts[Item Name],$A1550,tblReceipts[Expiry Date],$H1550,tblReceipts[Lot Number],"&lt;"&amp;Receipts!$C1553))</f>
        <v/>
      </c>
      <c r="L1550" s="26" t="str">
        <f>IF($A1550="","",MIN($D1550,MAX(0,SUMIFS(tblIssues[Qty Issued],tblIssues[Item Name],$A1550)-$K1550)))</f>
        <v/>
      </c>
      <c r="M1550" s="26" t="str">
        <f>IF($A1550="","",SUMIFS(tblIssues[Qty Issued],tblIssues[Lot Number],$B1550))</f>
        <v/>
      </c>
      <c r="N1550" s="26" t="str">
        <f t="shared" si="122"/>
        <v/>
      </c>
      <c r="O1550" s="26" t="str">
        <f t="shared" si="123"/>
        <v/>
      </c>
      <c r="P1550" s="21" t="str">
        <f t="shared" si="124"/>
        <v/>
      </c>
      <c r="Q1550" s="52" t="str">
        <f>IF($A1550="","",IF($O1550&lt;=0,"Depleted",IF($I1550&lt;0,"EXPIRED",IF($I1550&lt;=Settings!$C$6,"CRITICAL",IF($I1550&lt;=Settings!$C$5,"Expiring","In date")))))</f>
        <v/>
      </c>
    </row>
    <row r="1551" spans="1:17" x14ac:dyDescent="0.35">
      <c r="A1551" s="90" t="str">
        <f>IF(Receipts!$D1554="","",Receipts!$D1554)</f>
        <v/>
      </c>
      <c r="B1551" s="18" t="str">
        <f>IF(Receipts!$C1554="","",Receipts!$C1554)</f>
        <v/>
      </c>
      <c r="C1551" s="18" t="str">
        <f>IF($A1551="","",IFERROR(INDEX(Items!$B$5:$B$597,MATCH($A1551,Items!$A$5:$A$597,0)),""))</f>
        <v/>
      </c>
      <c r="D1551" s="23" t="str">
        <f>IF($A1551="","",N(Receipts!$G1554))</f>
        <v/>
      </c>
      <c r="E1551" s="20" t="str">
        <f>IF($A1551="","",IFERROR(INDEX(Items!$D$5:$D$597,MATCH($A1551,Items!$A$5:$A$597,0)),0))</f>
        <v/>
      </c>
      <c r="F1551" s="21" t="str">
        <f t="shared" si="120"/>
        <v/>
      </c>
      <c r="G1551" s="25" t="str">
        <f>IF(Receipts!$I1554="","",Receipts!$I1554)</f>
        <v/>
      </c>
      <c r="H1551" s="25" t="str">
        <f>IF(Receipts!$H1554="","",Receipts!$H1554)</f>
        <v/>
      </c>
      <c r="I1551" s="26" t="str">
        <f t="shared" ca="1" si="121"/>
        <v/>
      </c>
      <c r="J1551" s="26" t="str">
        <f>IF($A1551="","",COUNTIFS(tblReceipts[Item Name],$A1551,tblReceipts[Expiry Date],"&lt;"&amp;$H1551)+COUNTIFS(tblReceipts[Item Name],$A1551,tblReceipts[Expiry Date],$H1551,tblReceipts[Lot Number],"&lt;="&amp;Receipts!$C1554))</f>
        <v/>
      </c>
      <c r="K1551" s="26" t="str">
        <f>IF($A1551="","",SUMIFS(tblReceipts[Qty Received],tblReceipts[Item Name],$A1551,tblReceipts[Expiry Date],"&lt;"&amp;$H1551)+SUMIFS(tblReceipts[Qty Received],tblReceipts[Item Name],$A1551,tblReceipts[Expiry Date],$H1551,tblReceipts[Lot Number],"&lt;"&amp;Receipts!$C1554))</f>
        <v/>
      </c>
      <c r="L1551" s="26" t="str">
        <f>IF($A1551="","",MIN($D1551,MAX(0,SUMIFS(tblIssues[Qty Issued],tblIssues[Item Name],$A1551)-$K1551)))</f>
        <v/>
      </c>
      <c r="M1551" s="26" t="str">
        <f>IF($A1551="","",SUMIFS(tblIssues[Qty Issued],tblIssues[Lot Number],$B1551))</f>
        <v/>
      </c>
      <c r="N1551" s="26" t="str">
        <f t="shared" si="122"/>
        <v/>
      </c>
      <c r="O1551" s="26" t="str">
        <f t="shared" si="123"/>
        <v/>
      </c>
      <c r="P1551" s="21" t="str">
        <f t="shared" si="124"/>
        <v/>
      </c>
      <c r="Q1551" s="52" t="str">
        <f>IF($A1551="","",IF($O1551&lt;=0,"Depleted",IF($I1551&lt;0,"EXPIRED",IF($I1551&lt;=Settings!$C$6,"CRITICAL",IF($I1551&lt;=Settings!$C$5,"Expiring","In date")))))</f>
        <v/>
      </c>
    </row>
    <row r="1552" spans="1:17" x14ac:dyDescent="0.35">
      <c r="A1552" s="90" t="str">
        <f>IF(Receipts!$D1555="","",Receipts!$D1555)</f>
        <v/>
      </c>
      <c r="B1552" s="18" t="str">
        <f>IF(Receipts!$C1555="","",Receipts!$C1555)</f>
        <v/>
      </c>
      <c r="C1552" s="18" t="str">
        <f>IF($A1552="","",IFERROR(INDEX(Items!$B$5:$B$597,MATCH($A1552,Items!$A$5:$A$597,0)),""))</f>
        <v/>
      </c>
      <c r="D1552" s="23" t="str">
        <f>IF($A1552="","",N(Receipts!$G1555))</f>
        <v/>
      </c>
      <c r="E1552" s="20" t="str">
        <f>IF($A1552="","",IFERROR(INDEX(Items!$D$5:$D$597,MATCH($A1552,Items!$A$5:$A$597,0)),0))</f>
        <v/>
      </c>
      <c r="F1552" s="21" t="str">
        <f t="shared" si="120"/>
        <v/>
      </c>
      <c r="G1552" s="25" t="str">
        <f>IF(Receipts!$I1555="","",Receipts!$I1555)</f>
        <v/>
      </c>
      <c r="H1552" s="25" t="str">
        <f>IF(Receipts!$H1555="","",Receipts!$H1555)</f>
        <v/>
      </c>
      <c r="I1552" s="26" t="str">
        <f t="shared" ca="1" si="121"/>
        <v/>
      </c>
      <c r="J1552" s="26" t="str">
        <f>IF($A1552="","",COUNTIFS(tblReceipts[Item Name],$A1552,tblReceipts[Expiry Date],"&lt;"&amp;$H1552)+COUNTIFS(tblReceipts[Item Name],$A1552,tblReceipts[Expiry Date],$H1552,tblReceipts[Lot Number],"&lt;="&amp;Receipts!$C1555))</f>
        <v/>
      </c>
      <c r="K1552" s="26" t="str">
        <f>IF($A1552="","",SUMIFS(tblReceipts[Qty Received],tblReceipts[Item Name],$A1552,tblReceipts[Expiry Date],"&lt;"&amp;$H1552)+SUMIFS(tblReceipts[Qty Received],tblReceipts[Item Name],$A1552,tblReceipts[Expiry Date],$H1552,tblReceipts[Lot Number],"&lt;"&amp;Receipts!$C1555))</f>
        <v/>
      </c>
      <c r="L1552" s="26" t="str">
        <f>IF($A1552="","",MIN($D1552,MAX(0,SUMIFS(tblIssues[Qty Issued],tblIssues[Item Name],$A1552)-$K1552)))</f>
        <v/>
      </c>
      <c r="M1552" s="26" t="str">
        <f>IF($A1552="","",SUMIFS(tblIssues[Qty Issued],tblIssues[Lot Number],$B1552))</f>
        <v/>
      </c>
      <c r="N1552" s="26" t="str">
        <f t="shared" si="122"/>
        <v/>
      </c>
      <c r="O1552" s="26" t="str">
        <f t="shared" si="123"/>
        <v/>
      </c>
      <c r="P1552" s="21" t="str">
        <f t="shared" si="124"/>
        <v/>
      </c>
      <c r="Q1552" s="52" t="str">
        <f>IF($A1552="","",IF($O1552&lt;=0,"Depleted",IF($I1552&lt;0,"EXPIRED",IF($I1552&lt;=Settings!$C$6,"CRITICAL",IF($I1552&lt;=Settings!$C$5,"Expiring","In date")))))</f>
        <v/>
      </c>
    </row>
    <row r="1553" spans="1:17" x14ac:dyDescent="0.35">
      <c r="A1553" s="90" t="str">
        <f>IF(Receipts!$D1556="","",Receipts!$D1556)</f>
        <v/>
      </c>
      <c r="B1553" s="18" t="str">
        <f>IF(Receipts!$C1556="","",Receipts!$C1556)</f>
        <v/>
      </c>
      <c r="C1553" s="18" t="str">
        <f>IF($A1553="","",IFERROR(INDEX(Items!$B$5:$B$597,MATCH($A1553,Items!$A$5:$A$597,0)),""))</f>
        <v/>
      </c>
      <c r="D1553" s="23" t="str">
        <f>IF($A1553="","",N(Receipts!$G1556))</f>
        <v/>
      </c>
      <c r="E1553" s="20" t="str">
        <f>IF($A1553="","",IFERROR(INDEX(Items!$D$5:$D$597,MATCH($A1553,Items!$A$5:$A$597,0)),0))</f>
        <v/>
      </c>
      <c r="F1553" s="21" t="str">
        <f t="shared" si="120"/>
        <v/>
      </c>
      <c r="G1553" s="25" t="str">
        <f>IF(Receipts!$I1556="","",Receipts!$I1556)</f>
        <v/>
      </c>
      <c r="H1553" s="25" t="str">
        <f>IF(Receipts!$H1556="","",Receipts!$H1556)</f>
        <v/>
      </c>
      <c r="I1553" s="26" t="str">
        <f t="shared" ca="1" si="121"/>
        <v/>
      </c>
      <c r="J1553" s="26" t="str">
        <f>IF($A1553="","",COUNTIFS(tblReceipts[Item Name],$A1553,tblReceipts[Expiry Date],"&lt;"&amp;$H1553)+COUNTIFS(tblReceipts[Item Name],$A1553,tblReceipts[Expiry Date],$H1553,tblReceipts[Lot Number],"&lt;="&amp;Receipts!$C1556))</f>
        <v/>
      </c>
      <c r="K1553" s="26" t="str">
        <f>IF($A1553="","",SUMIFS(tblReceipts[Qty Received],tblReceipts[Item Name],$A1553,tblReceipts[Expiry Date],"&lt;"&amp;$H1553)+SUMIFS(tblReceipts[Qty Received],tblReceipts[Item Name],$A1553,tblReceipts[Expiry Date],$H1553,tblReceipts[Lot Number],"&lt;"&amp;Receipts!$C1556))</f>
        <v/>
      </c>
      <c r="L1553" s="26" t="str">
        <f>IF($A1553="","",MIN($D1553,MAX(0,SUMIFS(tblIssues[Qty Issued],tblIssues[Item Name],$A1553)-$K1553)))</f>
        <v/>
      </c>
      <c r="M1553" s="26" t="str">
        <f>IF($A1553="","",SUMIFS(tblIssues[Qty Issued],tblIssues[Lot Number],$B1553))</f>
        <v/>
      </c>
      <c r="N1553" s="26" t="str">
        <f t="shared" si="122"/>
        <v/>
      </c>
      <c r="O1553" s="26" t="str">
        <f t="shared" si="123"/>
        <v/>
      </c>
      <c r="P1553" s="21" t="str">
        <f t="shared" si="124"/>
        <v/>
      </c>
      <c r="Q1553" s="52" t="str">
        <f>IF($A1553="","",IF($O1553&lt;=0,"Depleted",IF($I1553&lt;0,"EXPIRED",IF($I1553&lt;=Settings!$C$6,"CRITICAL",IF($I1553&lt;=Settings!$C$5,"Expiring","In date")))))</f>
        <v/>
      </c>
    </row>
    <row r="1554" spans="1:17" x14ac:dyDescent="0.35">
      <c r="A1554" s="90" t="str">
        <f>IF(Receipts!$D1557="","",Receipts!$D1557)</f>
        <v/>
      </c>
      <c r="B1554" s="18" t="str">
        <f>IF(Receipts!$C1557="","",Receipts!$C1557)</f>
        <v/>
      </c>
      <c r="C1554" s="18" t="str">
        <f>IF($A1554="","",IFERROR(INDEX(Items!$B$5:$B$597,MATCH($A1554,Items!$A$5:$A$597,0)),""))</f>
        <v/>
      </c>
      <c r="D1554" s="23" t="str">
        <f>IF($A1554="","",N(Receipts!$G1557))</f>
        <v/>
      </c>
      <c r="E1554" s="20" t="str">
        <f>IF($A1554="","",IFERROR(INDEX(Items!$D$5:$D$597,MATCH($A1554,Items!$A$5:$A$597,0)),0))</f>
        <v/>
      </c>
      <c r="F1554" s="21" t="str">
        <f t="shared" si="120"/>
        <v/>
      </c>
      <c r="G1554" s="25" t="str">
        <f>IF(Receipts!$I1557="","",Receipts!$I1557)</f>
        <v/>
      </c>
      <c r="H1554" s="25" t="str">
        <f>IF(Receipts!$H1557="","",Receipts!$H1557)</f>
        <v/>
      </c>
      <c r="I1554" s="26" t="str">
        <f t="shared" ca="1" si="121"/>
        <v/>
      </c>
      <c r="J1554" s="26" t="str">
        <f>IF($A1554="","",COUNTIFS(tblReceipts[Item Name],$A1554,tblReceipts[Expiry Date],"&lt;"&amp;$H1554)+COUNTIFS(tblReceipts[Item Name],$A1554,tblReceipts[Expiry Date],$H1554,tblReceipts[Lot Number],"&lt;="&amp;Receipts!$C1557))</f>
        <v/>
      </c>
      <c r="K1554" s="26" t="str">
        <f>IF($A1554="","",SUMIFS(tblReceipts[Qty Received],tblReceipts[Item Name],$A1554,tblReceipts[Expiry Date],"&lt;"&amp;$H1554)+SUMIFS(tblReceipts[Qty Received],tblReceipts[Item Name],$A1554,tblReceipts[Expiry Date],$H1554,tblReceipts[Lot Number],"&lt;"&amp;Receipts!$C1557))</f>
        <v/>
      </c>
      <c r="L1554" s="26" t="str">
        <f>IF($A1554="","",MIN($D1554,MAX(0,SUMIFS(tblIssues[Qty Issued],tblIssues[Item Name],$A1554)-$K1554)))</f>
        <v/>
      </c>
      <c r="M1554" s="26" t="str">
        <f>IF($A1554="","",SUMIFS(tblIssues[Qty Issued],tblIssues[Lot Number],$B1554))</f>
        <v/>
      </c>
      <c r="N1554" s="26" t="str">
        <f t="shared" si="122"/>
        <v/>
      </c>
      <c r="O1554" s="26" t="str">
        <f t="shared" si="123"/>
        <v/>
      </c>
      <c r="P1554" s="21" t="str">
        <f t="shared" si="124"/>
        <v/>
      </c>
      <c r="Q1554" s="52" t="str">
        <f>IF($A1554="","",IF($O1554&lt;=0,"Depleted",IF($I1554&lt;0,"EXPIRED",IF($I1554&lt;=Settings!$C$6,"CRITICAL",IF($I1554&lt;=Settings!$C$5,"Expiring","In date")))))</f>
        <v/>
      </c>
    </row>
    <row r="1555" spans="1:17" x14ac:dyDescent="0.35">
      <c r="A1555" s="90" t="str">
        <f>IF(Receipts!$D1558="","",Receipts!$D1558)</f>
        <v/>
      </c>
      <c r="B1555" s="18" t="str">
        <f>IF(Receipts!$C1558="","",Receipts!$C1558)</f>
        <v/>
      </c>
      <c r="C1555" s="18" t="str">
        <f>IF($A1555="","",IFERROR(INDEX(Items!$B$5:$B$597,MATCH($A1555,Items!$A$5:$A$597,0)),""))</f>
        <v/>
      </c>
      <c r="D1555" s="23" t="str">
        <f>IF($A1555="","",N(Receipts!$G1558))</f>
        <v/>
      </c>
      <c r="E1555" s="20" t="str">
        <f>IF($A1555="","",IFERROR(INDEX(Items!$D$5:$D$597,MATCH($A1555,Items!$A$5:$A$597,0)),0))</f>
        <v/>
      </c>
      <c r="F1555" s="21" t="str">
        <f t="shared" si="120"/>
        <v/>
      </c>
      <c r="G1555" s="25" t="str">
        <f>IF(Receipts!$I1558="","",Receipts!$I1558)</f>
        <v/>
      </c>
      <c r="H1555" s="25" t="str">
        <f>IF(Receipts!$H1558="","",Receipts!$H1558)</f>
        <v/>
      </c>
      <c r="I1555" s="26" t="str">
        <f t="shared" ca="1" si="121"/>
        <v/>
      </c>
      <c r="J1555" s="26" t="str">
        <f>IF($A1555="","",COUNTIFS(tblReceipts[Item Name],$A1555,tblReceipts[Expiry Date],"&lt;"&amp;$H1555)+COUNTIFS(tblReceipts[Item Name],$A1555,tblReceipts[Expiry Date],$H1555,tblReceipts[Lot Number],"&lt;="&amp;Receipts!$C1558))</f>
        <v/>
      </c>
      <c r="K1555" s="26" t="str">
        <f>IF($A1555="","",SUMIFS(tblReceipts[Qty Received],tblReceipts[Item Name],$A1555,tblReceipts[Expiry Date],"&lt;"&amp;$H1555)+SUMIFS(tblReceipts[Qty Received],tblReceipts[Item Name],$A1555,tblReceipts[Expiry Date],$H1555,tblReceipts[Lot Number],"&lt;"&amp;Receipts!$C1558))</f>
        <v/>
      </c>
      <c r="L1555" s="26" t="str">
        <f>IF($A1555="","",MIN($D1555,MAX(0,SUMIFS(tblIssues[Qty Issued],tblIssues[Item Name],$A1555)-$K1555)))</f>
        <v/>
      </c>
      <c r="M1555" s="26" t="str">
        <f>IF($A1555="","",SUMIFS(tblIssues[Qty Issued],tblIssues[Lot Number],$B1555))</f>
        <v/>
      </c>
      <c r="N1555" s="26" t="str">
        <f t="shared" si="122"/>
        <v/>
      </c>
      <c r="O1555" s="26" t="str">
        <f t="shared" si="123"/>
        <v/>
      </c>
      <c r="P1555" s="21" t="str">
        <f t="shared" si="124"/>
        <v/>
      </c>
      <c r="Q1555" s="52" t="str">
        <f>IF($A1555="","",IF($O1555&lt;=0,"Depleted",IF($I1555&lt;0,"EXPIRED",IF($I1555&lt;=Settings!$C$6,"CRITICAL",IF($I1555&lt;=Settings!$C$5,"Expiring","In date")))))</f>
        <v/>
      </c>
    </row>
    <row r="1556" spans="1:17" x14ac:dyDescent="0.35">
      <c r="A1556" s="90" t="str">
        <f>IF(Receipts!$D1559="","",Receipts!$D1559)</f>
        <v/>
      </c>
      <c r="B1556" s="18" t="str">
        <f>IF(Receipts!$C1559="","",Receipts!$C1559)</f>
        <v/>
      </c>
      <c r="C1556" s="18" t="str">
        <f>IF($A1556="","",IFERROR(INDEX(Items!$B$5:$B$597,MATCH($A1556,Items!$A$5:$A$597,0)),""))</f>
        <v/>
      </c>
      <c r="D1556" s="23" t="str">
        <f>IF($A1556="","",N(Receipts!$G1559))</f>
        <v/>
      </c>
      <c r="E1556" s="20" t="str">
        <f>IF($A1556="","",IFERROR(INDEX(Items!$D$5:$D$597,MATCH($A1556,Items!$A$5:$A$597,0)),0))</f>
        <v/>
      </c>
      <c r="F1556" s="21" t="str">
        <f t="shared" si="120"/>
        <v/>
      </c>
      <c r="G1556" s="25" t="str">
        <f>IF(Receipts!$I1559="","",Receipts!$I1559)</f>
        <v/>
      </c>
      <c r="H1556" s="25" t="str">
        <f>IF(Receipts!$H1559="","",Receipts!$H1559)</f>
        <v/>
      </c>
      <c r="I1556" s="26" t="str">
        <f t="shared" ca="1" si="121"/>
        <v/>
      </c>
      <c r="J1556" s="26" t="str">
        <f>IF($A1556="","",COUNTIFS(tblReceipts[Item Name],$A1556,tblReceipts[Expiry Date],"&lt;"&amp;$H1556)+COUNTIFS(tblReceipts[Item Name],$A1556,tblReceipts[Expiry Date],$H1556,tblReceipts[Lot Number],"&lt;="&amp;Receipts!$C1559))</f>
        <v/>
      </c>
      <c r="K1556" s="26" t="str">
        <f>IF($A1556="","",SUMIFS(tblReceipts[Qty Received],tblReceipts[Item Name],$A1556,tblReceipts[Expiry Date],"&lt;"&amp;$H1556)+SUMIFS(tblReceipts[Qty Received],tblReceipts[Item Name],$A1556,tblReceipts[Expiry Date],$H1556,tblReceipts[Lot Number],"&lt;"&amp;Receipts!$C1559))</f>
        <v/>
      </c>
      <c r="L1556" s="26" t="str">
        <f>IF($A1556="","",MIN($D1556,MAX(0,SUMIFS(tblIssues[Qty Issued],tblIssues[Item Name],$A1556)-$K1556)))</f>
        <v/>
      </c>
      <c r="M1556" s="26" t="str">
        <f>IF($A1556="","",SUMIFS(tblIssues[Qty Issued],tblIssues[Lot Number],$B1556))</f>
        <v/>
      </c>
      <c r="N1556" s="26" t="str">
        <f t="shared" si="122"/>
        <v/>
      </c>
      <c r="O1556" s="26" t="str">
        <f t="shared" si="123"/>
        <v/>
      </c>
      <c r="P1556" s="21" t="str">
        <f t="shared" si="124"/>
        <v/>
      </c>
      <c r="Q1556" s="52" t="str">
        <f>IF($A1556="","",IF($O1556&lt;=0,"Depleted",IF($I1556&lt;0,"EXPIRED",IF($I1556&lt;=Settings!$C$6,"CRITICAL",IF($I1556&lt;=Settings!$C$5,"Expiring","In date")))))</f>
        <v/>
      </c>
    </row>
    <row r="1557" spans="1:17" x14ac:dyDescent="0.35">
      <c r="A1557" s="90" t="str">
        <f>IF(Receipts!$D1560="","",Receipts!$D1560)</f>
        <v/>
      </c>
      <c r="B1557" s="18" t="str">
        <f>IF(Receipts!$C1560="","",Receipts!$C1560)</f>
        <v/>
      </c>
      <c r="C1557" s="18" t="str">
        <f>IF($A1557="","",IFERROR(INDEX(Items!$B$5:$B$597,MATCH($A1557,Items!$A$5:$A$597,0)),""))</f>
        <v/>
      </c>
      <c r="D1557" s="23" t="str">
        <f>IF($A1557="","",N(Receipts!$G1560))</f>
        <v/>
      </c>
      <c r="E1557" s="20" t="str">
        <f>IF($A1557="","",IFERROR(INDEX(Items!$D$5:$D$597,MATCH($A1557,Items!$A$5:$A$597,0)),0))</f>
        <v/>
      </c>
      <c r="F1557" s="21" t="str">
        <f t="shared" si="120"/>
        <v/>
      </c>
      <c r="G1557" s="25" t="str">
        <f>IF(Receipts!$I1560="","",Receipts!$I1560)</f>
        <v/>
      </c>
      <c r="H1557" s="25" t="str">
        <f>IF(Receipts!$H1560="","",Receipts!$H1560)</f>
        <v/>
      </c>
      <c r="I1557" s="26" t="str">
        <f t="shared" ca="1" si="121"/>
        <v/>
      </c>
      <c r="J1557" s="26" t="str">
        <f>IF($A1557="","",COUNTIFS(tblReceipts[Item Name],$A1557,tblReceipts[Expiry Date],"&lt;"&amp;$H1557)+COUNTIFS(tblReceipts[Item Name],$A1557,tblReceipts[Expiry Date],$H1557,tblReceipts[Lot Number],"&lt;="&amp;Receipts!$C1560))</f>
        <v/>
      </c>
      <c r="K1557" s="26" t="str">
        <f>IF($A1557="","",SUMIFS(tblReceipts[Qty Received],tblReceipts[Item Name],$A1557,tblReceipts[Expiry Date],"&lt;"&amp;$H1557)+SUMIFS(tblReceipts[Qty Received],tblReceipts[Item Name],$A1557,tblReceipts[Expiry Date],$H1557,tblReceipts[Lot Number],"&lt;"&amp;Receipts!$C1560))</f>
        <v/>
      </c>
      <c r="L1557" s="26" t="str">
        <f>IF($A1557="","",MIN($D1557,MAX(0,SUMIFS(tblIssues[Qty Issued],tblIssues[Item Name],$A1557)-$K1557)))</f>
        <v/>
      </c>
      <c r="M1557" s="26" t="str">
        <f>IF($A1557="","",SUMIFS(tblIssues[Qty Issued],tblIssues[Lot Number],$B1557))</f>
        <v/>
      </c>
      <c r="N1557" s="26" t="str">
        <f t="shared" si="122"/>
        <v/>
      </c>
      <c r="O1557" s="26" t="str">
        <f t="shared" si="123"/>
        <v/>
      </c>
      <c r="P1557" s="21" t="str">
        <f t="shared" si="124"/>
        <v/>
      </c>
      <c r="Q1557" s="52" t="str">
        <f>IF($A1557="","",IF($O1557&lt;=0,"Depleted",IF($I1557&lt;0,"EXPIRED",IF($I1557&lt;=Settings!$C$6,"CRITICAL",IF($I1557&lt;=Settings!$C$5,"Expiring","In date")))))</f>
        <v/>
      </c>
    </row>
    <row r="1558" spans="1:17" x14ac:dyDescent="0.35">
      <c r="A1558" s="90" t="str">
        <f>IF(Receipts!$D1561="","",Receipts!$D1561)</f>
        <v/>
      </c>
      <c r="B1558" s="18" t="str">
        <f>IF(Receipts!$C1561="","",Receipts!$C1561)</f>
        <v/>
      </c>
      <c r="C1558" s="18" t="str">
        <f>IF($A1558="","",IFERROR(INDEX(Items!$B$5:$B$597,MATCH($A1558,Items!$A$5:$A$597,0)),""))</f>
        <v/>
      </c>
      <c r="D1558" s="23" t="str">
        <f>IF($A1558="","",N(Receipts!$G1561))</f>
        <v/>
      </c>
      <c r="E1558" s="20" t="str">
        <f>IF($A1558="","",IFERROR(INDEX(Items!$D$5:$D$597,MATCH($A1558,Items!$A$5:$A$597,0)),0))</f>
        <v/>
      </c>
      <c r="F1558" s="21" t="str">
        <f t="shared" si="120"/>
        <v/>
      </c>
      <c r="G1558" s="25" t="str">
        <f>IF(Receipts!$I1561="","",Receipts!$I1561)</f>
        <v/>
      </c>
      <c r="H1558" s="25" t="str">
        <f>IF(Receipts!$H1561="","",Receipts!$H1561)</f>
        <v/>
      </c>
      <c r="I1558" s="26" t="str">
        <f t="shared" ca="1" si="121"/>
        <v/>
      </c>
      <c r="J1558" s="26" t="str">
        <f>IF($A1558="","",COUNTIFS(tblReceipts[Item Name],$A1558,tblReceipts[Expiry Date],"&lt;"&amp;$H1558)+COUNTIFS(tblReceipts[Item Name],$A1558,tblReceipts[Expiry Date],$H1558,tblReceipts[Lot Number],"&lt;="&amp;Receipts!$C1561))</f>
        <v/>
      </c>
      <c r="K1558" s="26" t="str">
        <f>IF($A1558="","",SUMIFS(tblReceipts[Qty Received],tblReceipts[Item Name],$A1558,tblReceipts[Expiry Date],"&lt;"&amp;$H1558)+SUMIFS(tblReceipts[Qty Received],tblReceipts[Item Name],$A1558,tblReceipts[Expiry Date],$H1558,tblReceipts[Lot Number],"&lt;"&amp;Receipts!$C1561))</f>
        <v/>
      </c>
      <c r="L1558" s="26" t="str">
        <f>IF($A1558="","",MIN($D1558,MAX(0,SUMIFS(tblIssues[Qty Issued],tblIssues[Item Name],$A1558)-$K1558)))</f>
        <v/>
      </c>
      <c r="M1558" s="26" t="str">
        <f>IF($A1558="","",SUMIFS(tblIssues[Qty Issued],tblIssues[Lot Number],$B1558))</f>
        <v/>
      </c>
      <c r="N1558" s="26" t="str">
        <f t="shared" si="122"/>
        <v/>
      </c>
      <c r="O1558" s="26" t="str">
        <f t="shared" si="123"/>
        <v/>
      </c>
      <c r="P1558" s="21" t="str">
        <f t="shared" si="124"/>
        <v/>
      </c>
      <c r="Q1558" s="52" t="str">
        <f>IF($A1558="","",IF($O1558&lt;=0,"Depleted",IF($I1558&lt;0,"EXPIRED",IF($I1558&lt;=Settings!$C$6,"CRITICAL",IF($I1558&lt;=Settings!$C$5,"Expiring","In date")))))</f>
        <v/>
      </c>
    </row>
    <row r="1559" spans="1:17" x14ac:dyDescent="0.35">
      <c r="A1559" s="90" t="str">
        <f>IF(Receipts!$D1562="","",Receipts!$D1562)</f>
        <v/>
      </c>
      <c r="B1559" s="18" t="str">
        <f>IF(Receipts!$C1562="","",Receipts!$C1562)</f>
        <v/>
      </c>
      <c r="C1559" s="18" t="str">
        <f>IF($A1559="","",IFERROR(INDEX(Items!$B$5:$B$597,MATCH($A1559,Items!$A$5:$A$597,0)),""))</f>
        <v/>
      </c>
      <c r="D1559" s="23" t="str">
        <f>IF($A1559="","",N(Receipts!$G1562))</f>
        <v/>
      </c>
      <c r="E1559" s="20" t="str">
        <f>IF($A1559="","",IFERROR(INDEX(Items!$D$5:$D$597,MATCH($A1559,Items!$A$5:$A$597,0)),0))</f>
        <v/>
      </c>
      <c r="F1559" s="21" t="str">
        <f t="shared" si="120"/>
        <v/>
      </c>
      <c r="G1559" s="25" t="str">
        <f>IF(Receipts!$I1562="","",Receipts!$I1562)</f>
        <v/>
      </c>
      <c r="H1559" s="25" t="str">
        <f>IF(Receipts!$H1562="","",Receipts!$H1562)</f>
        <v/>
      </c>
      <c r="I1559" s="26" t="str">
        <f t="shared" ca="1" si="121"/>
        <v/>
      </c>
      <c r="J1559" s="26" t="str">
        <f>IF($A1559="","",COUNTIFS(tblReceipts[Item Name],$A1559,tblReceipts[Expiry Date],"&lt;"&amp;$H1559)+COUNTIFS(tblReceipts[Item Name],$A1559,tblReceipts[Expiry Date],$H1559,tblReceipts[Lot Number],"&lt;="&amp;Receipts!$C1562))</f>
        <v/>
      </c>
      <c r="K1559" s="26" t="str">
        <f>IF($A1559="","",SUMIFS(tblReceipts[Qty Received],tblReceipts[Item Name],$A1559,tblReceipts[Expiry Date],"&lt;"&amp;$H1559)+SUMIFS(tblReceipts[Qty Received],tblReceipts[Item Name],$A1559,tblReceipts[Expiry Date],$H1559,tblReceipts[Lot Number],"&lt;"&amp;Receipts!$C1562))</f>
        <v/>
      </c>
      <c r="L1559" s="26" t="str">
        <f>IF($A1559="","",MIN($D1559,MAX(0,SUMIFS(tblIssues[Qty Issued],tblIssues[Item Name],$A1559)-$K1559)))</f>
        <v/>
      </c>
      <c r="M1559" s="26" t="str">
        <f>IF($A1559="","",SUMIFS(tblIssues[Qty Issued],tblIssues[Lot Number],$B1559))</f>
        <v/>
      </c>
      <c r="N1559" s="26" t="str">
        <f t="shared" si="122"/>
        <v/>
      </c>
      <c r="O1559" s="26" t="str">
        <f t="shared" si="123"/>
        <v/>
      </c>
      <c r="P1559" s="21" t="str">
        <f t="shared" si="124"/>
        <v/>
      </c>
      <c r="Q1559" s="52" t="str">
        <f>IF($A1559="","",IF($O1559&lt;=0,"Depleted",IF($I1559&lt;0,"EXPIRED",IF($I1559&lt;=Settings!$C$6,"CRITICAL",IF($I1559&lt;=Settings!$C$5,"Expiring","In date")))))</f>
        <v/>
      </c>
    </row>
    <row r="1560" spans="1:17" x14ac:dyDescent="0.35">
      <c r="A1560" s="90" t="str">
        <f>IF(Receipts!$D1563="","",Receipts!$D1563)</f>
        <v/>
      </c>
      <c r="B1560" s="18" t="str">
        <f>IF(Receipts!$C1563="","",Receipts!$C1563)</f>
        <v/>
      </c>
      <c r="C1560" s="18" t="str">
        <f>IF($A1560="","",IFERROR(INDEX(Items!$B$5:$B$597,MATCH($A1560,Items!$A$5:$A$597,0)),""))</f>
        <v/>
      </c>
      <c r="D1560" s="23" t="str">
        <f>IF($A1560="","",N(Receipts!$G1563))</f>
        <v/>
      </c>
      <c r="E1560" s="20" t="str">
        <f>IF($A1560="","",IFERROR(INDEX(Items!$D$5:$D$597,MATCH($A1560,Items!$A$5:$A$597,0)),0))</f>
        <v/>
      </c>
      <c r="F1560" s="21" t="str">
        <f t="shared" si="120"/>
        <v/>
      </c>
      <c r="G1560" s="25" t="str">
        <f>IF(Receipts!$I1563="","",Receipts!$I1563)</f>
        <v/>
      </c>
      <c r="H1560" s="25" t="str">
        <f>IF(Receipts!$H1563="","",Receipts!$H1563)</f>
        <v/>
      </c>
      <c r="I1560" s="26" t="str">
        <f t="shared" ca="1" si="121"/>
        <v/>
      </c>
      <c r="J1560" s="26" t="str">
        <f>IF($A1560="","",COUNTIFS(tblReceipts[Item Name],$A1560,tblReceipts[Expiry Date],"&lt;"&amp;$H1560)+COUNTIFS(tblReceipts[Item Name],$A1560,tblReceipts[Expiry Date],$H1560,tblReceipts[Lot Number],"&lt;="&amp;Receipts!$C1563))</f>
        <v/>
      </c>
      <c r="K1560" s="26" t="str">
        <f>IF($A1560="","",SUMIFS(tblReceipts[Qty Received],tblReceipts[Item Name],$A1560,tblReceipts[Expiry Date],"&lt;"&amp;$H1560)+SUMIFS(tblReceipts[Qty Received],tblReceipts[Item Name],$A1560,tblReceipts[Expiry Date],$H1560,tblReceipts[Lot Number],"&lt;"&amp;Receipts!$C1563))</f>
        <v/>
      </c>
      <c r="L1560" s="26" t="str">
        <f>IF($A1560="","",MIN($D1560,MAX(0,SUMIFS(tblIssues[Qty Issued],tblIssues[Item Name],$A1560)-$K1560)))</f>
        <v/>
      </c>
      <c r="M1560" s="26" t="str">
        <f>IF($A1560="","",SUMIFS(tblIssues[Qty Issued],tblIssues[Lot Number],$B1560))</f>
        <v/>
      </c>
      <c r="N1560" s="26" t="str">
        <f t="shared" si="122"/>
        <v/>
      </c>
      <c r="O1560" s="26" t="str">
        <f t="shared" si="123"/>
        <v/>
      </c>
      <c r="P1560" s="21" t="str">
        <f t="shared" si="124"/>
        <v/>
      </c>
      <c r="Q1560" s="52" t="str">
        <f>IF($A1560="","",IF($O1560&lt;=0,"Depleted",IF($I1560&lt;0,"EXPIRED",IF($I1560&lt;=Settings!$C$6,"CRITICAL",IF($I1560&lt;=Settings!$C$5,"Expiring","In date")))))</f>
        <v/>
      </c>
    </row>
    <row r="1561" spans="1:17" x14ac:dyDescent="0.35">
      <c r="A1561" s="90" t="str">
        <f>IF(Receipts!$D1564="","",Receipts!$D1564)</f>
        <v/>
      </c>
      <c r="B1561" s="18" t="str">
        <f>IF(Receipts!$C1564="","",Receipts!$C1564)</f>
        <v/>
      </c>
      <c r="C1561" s="18" t="str">
        <f>IF($A1561="","",IFERROR(INDEX(Items!$B$5:$B$597,MATCH($A1561,Items!$A$5:$A$597,0)),""))</f>
        <v/>
      </c>
      <c r="D1561" s="23" t="str">
        <f>IF($A1561="","",N(Receipts!$G1564))</f>
        <v/>
      </c>
      <c r="E1561" s="20" t="str">
        <f>IF($A1561="","",IFERROR(INDEX(Items!$D$5:$D$597,MATCH($A1561,Items!$A$5:$A$597,0)),0))</f>
        <v/>
      </c>
      <c r="F1561" s="21" t="str">
        <f t="shared" si="120"/>
        <v/>
      </c>
      <c r="G1561" s="25" t="str">
        <f>IF(Receipts!$I1564="","",Receipts!$I1564)</f>
        <v/>
      </c>
      <c r="H1561" s="25" t="str">
        <f>IF(Receipts!$H1564="","",Receipts!$H1564)</f>
        <v/>
      </c>
      <c r="I1561" s="26" t="str">
        <f t="shared" ca="1" si="121"/>
        <v/>
      </c>
      <c r="J1561" s="26" t="str">
        <f>IF($A1561="","",COUNTIFS(tblReceipts[Item Name],$A1561,tblReceipts[Expiry Date],"&lt;"&amp;$H1561)+COUNTIFS(tblReceipts[Item Name],$A1561,tblReceipts[Expiry Date],$H1561,tblReceipts[Lot Number],"&lt;="&amp;Receipts!$C1564))</f>
        <v/>
      </c>
      <c r="K1561" s="26" t="str">
        <f>IF($A1561="","",SUMIFS(tblReceipts[Qty Received],tblReceipts[Item Name],$A1561,tblReceipts[Expiry Date],"&lt;"&amp;$H1561)+SUMIFS(tblReceipts[Qty Received],tblReceipts[Item Name],$A1561,tblReceipts[Expiry Date],$H1561,tblReceipts[Lot Number],"&lt;"&amp;Receipts!$C1564))</f>
        <v/>
      </c>
      <c r="L1561" s="26" t="str">
        <f>IF($A1561="","",MIN($D1561,MAX(0,SUMIFS(tblIssues[Qty Issued],tblIssues[Item Name],$A1561)-$K1561)))</f>
        <v/>
      </c>
      <c r="M1561" s="26" t="str">
        <f>IF($A1561="","",SUMIFS(tblIssues[Qty Issued],tblIssues[Lot Number],$B1561))</f>
        <v/>
      </c>
      <c r="N1561" s="26" t="str">
        <f t="shared" si="122"/>
        <v/>
      </c>
      <c r="O1561" s="26" t="str">
        <f t="shared" si="123"/>
        <v/>
      </c>
      <c r="P1561" s="21" t="str">
        <f t="shared" si="124"/>
        <v/>
      </c>
      <c r="Q1561" s="52" t="str">
        <f>IF($A1561="","",IF($O1561&lt;=0,"Depleted",IF($I1561&lt;0,"EXPIRED",IF($I1561&lt;=Settings!$C$6,"CRITICAL",IF($I1561&lt;=Settings!$C$5,"Expiring","In date")))))</f>
        <v/>
      </c>
    </row>
    <row r="1562" spans="1:17" x14ac:dyDescent="0.35">
      <c r="A1562" s="90" t="str">
        <f>IF(Receipts!$D1565="","",Receipts!$D1565)</f>
        <v/>
      </c>
      <c r="B1562" s="18" t="str">
        <f>IF(Receipts!$C1565="","",Receipts!$C1565)</f>
        <v/>
      </c>
      <c r="C1562" s="18" t="str">
        <f>IF($A1562="","",IFERROR(INDEX(Items!$B$5:$B$597,MATCH($A1562,Items!$A$5:$A$597,0)),""))</f>
        <v/>
      </c>
      <c r="D1562" s="23" t="str">
        <f>IF($A1562="","",N(Receipts!$G1565))</f>
        <v/>
      </c>
      <c r="E1562" s="20" t="str">
        <f>IF($A1562="","",IFERROR(INDEX(Items!$D$5:$D$597,MATCH($A1562,Items!$A$5:$A$597,0)),0))</f>
        <v/>
      </c>
      <c r="F1562" s="21" t="str">
        <f t="shared" si="120"/>
        <v/>
      </c>
      <c r="G1562" s="25" t="str">
        <f>IF(Receipts!$I1565="","",Receipts!$I1565)</f>
        <v/>
      </c>
      <c r="H1562" s="25" t="str">
        <f>IF(Receipts!$H1565="","",Receipts!$H1565)</f>
        <v/>
      </c>
      <c r="I1562" s="26" t="str">
        <f t="shared" ca="1" si="121"/>
        <v/>
      </c>
      <c r="J1562" s="26" t="str">
        <f>IF($A1562="","",COUNTIFS(tblReceipts[Item Name],$A1562,tblReceipts[Expiry Date],"&lt;"&amp;$H1562)+COUNTIFS(tblReceipts[Item Name],$A1562,tblReceipts[Expiry Date],$H1562,tblReceipts[Lot Number],"&lt;="&amp;Receipts!$C1565))</f>
        <v/>
      </c>
      <c r="K1562" s="26" t="str">
        <f>IF($A1562="","",SUMIFS(tblReceipts[Qty Received],tblReceipts[Item Name],$A1562,tblReceipts[Expiry Date],"&lt;"&amp;$H1562)+SUMIFS(tblReceipts[Qty Received],tblReceipts[Item Name],$A1562,tblReceipts[Expiry Date],$H1562,tblReceipts[Lot Number],"&lt;"&amp;Receipts!$C1565))</f>
        <v/>
      </c>
      <c r="L1562" s="26" t="str">
        <f>IF($A1562="","",MIN($D1562,MAX(0,SUMIFS(tblIssues[Qty Issued],tblIssues[Item Name],$A1562)-$K1562)))</f>
        <v/>
      </c>
      <c r="M1562" s="26" t="str">
        <f>IF($A1562="","",SUMIFS(tblIssues[Qty Issued],tblIssues[Lot Number],$B1562))</f>
        <v/>
      </c>
      <c r="N1562" s="26" t="str">
        <f t="shared" si="122"/>
        <v/>
      </c>
      <c r="O1562" s="26" t="str">
        <f t="shared" si="123"/>
        <v/>
      </c>
      <c r="P1562" s="21" t="str">
        <f t="shared" si="124"/>
        <v/>
      </c>
      <c r="Q1562" s="52" t="str">
        <f>IF($A1562="","",IF($O1562&lt;=0,"Depleted",IF($I1562&lt;0,"EXPIRED",IF($I1562&lt;=Settings!$C$6,"CRITICAL",IF($I1562&lt;=Settings!$C$5,"Expiring","In date")))))</f>
        <v/>
      </c>
    </row>
    <row r="1563" spans="1:17" x14ac:dyDescent="0.35">
      <c r="A1563" s="90" t="str">
        <f>IF(Receipts!$D1566="","",Receipts!$D1566)</f>
        <v/>
      </c>
      <c r="B1563" s="18" t="str">
        <f>IF(Receipts!$C1566="","",Receipts!$C1566)</f>
        <v/>
      </c>
      <c r="C1563" s="18" t="str">
        <f>IF($A1563="","",IFERROR(INDEX(Items!$B$5:$B$597,MATCH($A1563,Items!$A$5:$A$597,0)),""))</f>
        <v/>
      </c>
      <c r="D1563" s="23" t="str">
        <f>IF($A1563="","",N(Receipts!$G1566))</f>
        <v/>
      </c>
      <c r="E1563" s="20" t="str">
        <f>IF($A1563="","",IFERROR(INDEX(Items!$D$5:$D$597,MATCH($A1563,Items!$A$5:$A$597,0)),0))</f>
        <v/>
      </c>
      <c r="F1563" s="21" t="str">
        <f t="shared" si="120"/>
        <v/>
      </c>
      <c r="G1563" s="25" t="str">
        <f>IF(Receipts!$I1566="","",Receipts!$I1566)</f>
        <v/>
      </c>
      <c r="H1563" s="25" t="str">
        <f>IF(Receipts!$H1566="","",Receipts!$H1566)</f>
        <v/>
      </c>
      <c r="I1563" s="26" t="str">
        <f t="shared" ca="1" si="121"/>
        <v/>
      </c>
      <c r="J1563" s="26" t="str">
        <f>IF($A1563="","",COUNTIFS(tblReceipts[Item Name],$A1563,tblReceipts[Expiry Date],"&lt;"&amp;$H1563)+COUNTIFS(tblReceipts[Item Name],$A1563,tblReceipts[Expiry Date],$H1563,tblReceipts[Lot Number],"&lt;="&amp;Receipts!$C1566))</f>
        <v/>
      </c>
      <c r="K1563" s="26" t="str">
        <f>IF($A1563="","",SUMIFS(tblReceipts[Qty Received],tblReceipts[Item Name],$A1563,tblReceipts[Expiry Date],"&lt;"&amp;$H1563)+SUMIFS(tblReceipts[Qty Received],tblReceipts[Item Name],$A1563,tblReceipts[Expiry Date],$H1563,tblReceipts[Lot Number],"&lt;"&amp;Receipts!$C1566))</f>
        <v/>
      </c>
      <c r="L1563" s="26" t="str">
        <f>IF($A1563="","",MIN($D1563,MAX(0,SUMIFS(tblIssues[Qty Issued],tblIssues[Item Name],$A1563)-$K1563)))</f>
        <v/>
      </c>
      <c r="M1563" s="26" t="str">
        <f>IF($A1563="","",SUMIFS(tblIssues[Qty Issued],tblIssues[Lot Number],$B1563))</f>
        <v/>
      </c>
      <c r="N1563" s="26" t="str">
        <f t="shared" si="122"/>
        <v/>
      </c>
      <c r="O1563" s="26" t="str">
        <f t="shared" si="123"/>
        <v/>
      </c>
      <c r="P1563" s="21" t="str">
        <f t="shared" si="124"/>
        <v/>
      </c>
      <c r="Q1563" s="52" t="str">
        <f>IF($A1563="","",IF($O1563&lt;=0,"Depleted",IF($I1563&lt;0,"EXPIRED",IF($I1563&lt;=Settings!$C$6,"CRITICAL",IF($I1563&lt;=Settings!$C$5,"Expiring","In date")))))</f>
        <v/>
      </c>
    </row>
    <row r="1564" spans="1:17" x14ac:dyDescent="0.35">
      <c r="A1564" s="90" t="str">
        <f>IF(Receipts!$D1567="","",Receipts!$D1567)</f>
        <v/>
      </c>
      <c r="B1564" s="18" t="str">
        <f>IF(Receipts!$C1567="","",Receipts!$C1567)</f>
        <v/>
      </c>
      <c r="C1564" s="18" t="str">
        <f>IF($A1564="","",IFERROR(INDEX(Items!$B$5:$B$597,MATCH($A1564,Items!$A$5:$A$597,0)),""))</f>
        <v/>
      </c>
      <c r="D1564" s="23" t="str">
        <f>IF($A1564="","",N(Receipts!$G1567))</f>
        <v/>
      </c>
      <c r="E1564" s="20" t="str">
        <f>IF($A1564="","",IFERROR(INDEX(Items!$D$5:$D$597,MATCH($A1564,Items!$A$5:$A$597,0)),0))</f>
        <v/>
      </c>
      <c r="F1564" s="21" t="str">
        <f t="shared" si="120"/>
        <v/>
      </c>
      <c r="G1564" s="25" t="str">
        <f>IF(Receipts!$I1567="","",Receipts!$I1567)</f>
        <v/>
      </c>
      <c r="H1564" s="25" t="str">
        <f>IF(Receipts!$H1567="","",Receipts!$H1567)</f>
        <v/>
      </c>
      <c r="I1564" s="26" t="str">
        <f t="shared" ca="1" si="121"/>
        <v/>
      </c>
      <c r="J1564" s="26" t="str">
        <f>IF($A1564="","",COUNTIFS(tblReceipts[Item Name],$A1564,tblReceipts[Expiry Date],"&lt;"&amp;$H1564)+COUNTIFS(tblReceipts[Item Name],$A1564,tblReceipts[Expiry Date],$H1564,tblReceipts[Lot Number],"&lt;="&amp;Receipts!$C1567))</f>
        <v/>
      </c>
      <c r="K1564" s="26" t="str">
        <f>IF($A1564="","",SUMIFS(tblReceipts[Qty Received],tblReceipts[Item Name],$A1564,tblReceipts[Expiry Date],"&lt;"&amp;$H1564)+SUMIFS(tblReceipts[Qty Received],tblReceipts[Item Name],$A1564,tblReceipts[Expiry Date],$H1564,tblReceipts[Lot Number],"&lt;"&amp;Receipts!$C1567))</f>
        <v/>
      </c>
      <c r="L1564" s="26" t="str">
        <f>IF($A1564="","",MIN($D1564,MAX(0,SUMIFS(tblIssues[Qty Issued],tblIssues[Item Name],$A1564)-$K1564)))</f>
        <v/>
      </c>
      <c r="M1564" s="26" t="str">
        <f>IF($A1564="","",SUMIFS(tblIssues[Qty Issued],tblIssues[Lot Number],$B1564))</f>
        <v/>
      </c>
      <c r="N1564" s="26" t="str">
        <f t="shared" si="122"/>
        <v/>
      </c>
      <c r="O1564" s="26" t="str">
        <f t="shared" si="123"/>
        <v/>
      </c>
      <c r="P1564" s="21" t="str">
        <f t="shared" si="124"/>
        <v/>
      </c>
      <c r="Q1564" s="52" t="str">
        <f>IF($A1564="","",IF($O1564&lt;=0,"Depleted",IF($I1564&lt;0,"EXPIRED",IF($I1564&lt;=Settings!$C$6,"CRITICAL",IF($I1564&lt;=Settings!$C$5,"Expiring","In date")))))</f>
        <v/>
      </c>
    </row>
    <row r="1565" spans="1:17" x14ac:dyDescent="0.35">
      <c r="A1565" s="90" t="str">
        <f>IF(Receipts!$D1568="","",Receipts!$D1568)</f>
        <v/>
      </c>
      <c r="B1565" s="18" t="str">
        <f>IF(Receipts!$C1568="","",Receipts!$C1568)</f>
        <v/>
      </c>
      <c r="C1565" s="18" t="str">
        <f>IF($A1565="","",IFERROR(INDEX(Items!$B$5:$B$597,MATCH($A1565,Items!$A$5:$A$597,0)),""))</f>
        <v/>
      </c>
      <c r="D1565" s="23" t="str">
        <f>IF($A1565="","",N(Receipts!$G1568))</f>
        <v/>
      </c>
      <c r="E1565" s="20" t="str">
        <f>IF($A1565="","",IFERROR(INDEX(Items!$D$5:$D$597,MATCH($A1565,Items!$A$5:$A$597,0)),0))</f>
        <v/>
      </c>
      <c r="F1565" s="21" t="str">
        <f t="shared" si="120"/>
        <v/>
      </c>
      <c r="G1565" s="25" t="str">
        <f>IF(Receipts!$I1568="","",Receipts!$I1568)</f>
        <v/>
      </c>
      <c r="H1565" s="25" t="str">
        <f>IF(Receipts!$H1568="","",Receipts!$H1568)</f>
        <v/>
      </c>
      <c r="I1565" s="26" t="str">
        <f t="shared" ca="1" si="121"/>
        <v/>
      </c>
      <c r="J1565" s="26" t="str">
        <f>IF($A1565="","",COUNTIFS(tblReceipts[Item Name],$A1565,tblReceipts[Expiry Date],"&lt;"&amp;$H1565)+COUNTIFS(tblReceipts[Item Name],$A1565,tblReceipts[Expiry Date],$H1565,tblReceipts[Lot Number],"&lt;="&amp;Receipts!$C1568))</f>
        <v/>
      </c>
      <c r="K1565" s="26" t="str">
        <f>IF($A1565="","",SUMIFS(tblReceipts[Qty Received],tblReceipts[Item Name],$A1565,tblReceipts[Expiry Date],"&lt;"&amp;$H1565)+SUMIFS(tblReceipts[Qty Received],tblReceipts[Item Name],$A1565,tblReceipts[Expiry Date],$H1565,tblReceipts[Lot Number],"&lt;"&amp;Receipts!$C1568))</f>
        <v/>
      </c>
      <c r="L1565" s="26" t="str">
        <f>IF($A1565="","",MIN($D1565,MAX(0,SUMIFS(tblIssues[Qty Issued],tblIssues[Item Name],$A1565)-$K1565)))</f>
        <v/>
      </c>
      <c r="M1565" s="26" t="str">
        <f>IF($A1565="","",SUMIFS(tblIssues[Qty Issued],tblIssues[Lot Number],$B1565))</f>
        <v/>
      </c>
      <c r="N1565" s="26" t="str">
        <f t="shared" si="122"/>
        <v/>
      </c>
      <c r="O1565" s="26" t="str">
        <f t="shared" si="123"/>
        <v/>
      </c>
      <c r="P1565" s="21" t="str">
        <f t="shared" si="124"/>
        <v/>
      </c>
      <c r="Q1565" s="52" t="str">
        <f>IF($A1565="","",IF($O1565&lt;=0,"Depleted",IF($I1565&lt;0,"EXPIRED",IF($I1565&lt;=Settings!$C$6,"CRITICAL",IF($I1565&lt;=Settings!$C$5,"Expiring","In date")))))</f>
        <v/>
      </c>
    </row>
    <row r="1566" spans="1:17" x14ac:dyDescent="0.35">
      <c r="A1566" s="90" t="str">
        <f>IF(Receipts!$D1569="","",Receipts!$D1569)</f>
        <v/>
      </c>
      <c r="B1566" s="18" t="str">
        <f>IF(Receipts!$C1569="","",Receipts!$C1569)</f>
        <v/>
      </c>
      <c r="C1566" s="18" t="str">
        <f>IF($A1566="","",IFERROR(INDEX(Items!$B$5:$B$597,MATCH($A1566,Items!$A$5:$A$597,0)),""))</f>
        <v/>
      </c>
      <c r="D1566" s="23" t="str">
        <f>IF($A1566="","",N(Receipts!$G1569))</f>
        <v/>
      </c>
      <c r="E1566" s="20" t="str">
        <f>IF($A1566="","",IFERROR(INDEX(Items!$D$5:$D$597,MATCH($A1566,Items!$A$5:$A$597,0)),0))</f>
        <v/>
      </c>
      <c r="F1566" s="21" t="str">
        <f t="shared" si="120"/>
        <v/>
      </c>
      <c r="G1566" s="25" t="str">
        <f>IF(Receipts!$I1569="","",Receipts!$I1569)</f>
        <v/>
      </c>
      <c r="H1566" s="25" t="str">
        <f>IF(Receipts!$H1569="","",Receipts!$H1569)</f>
        <v/>
      </c>
      <c r="I1566" s="26" t="str">
        <f t="shared" ca="1" si="121"/>
        <v/>
      </c>
      <c r="J1566" s="26" t="str">
        <f>IF($A1566="","",COUNTIFS(tblReceipts[Item Name],$A1566,tblReceipts[Expiry Date],"&lt;"&amp;$H1566)+COUNTIFS(tblReceipts[Item Name],$A1566,tblReceipts[Expiry Date],$H1566,tblReceipts[Lot Number],"&lt;="&amp;Receipts!$C1569))</f>
        <v/>
      </c>
      <c r="K1566" s="26" t="str">
        <f>IF($A1566="","",SUMIFS(tblReceipts[Qty Received],tblReceipts[Item Name],$A1566,tblReceipts[Expiry Date],"&lt;"&amp;$H1566)+SUMIFS(tblReceipts[Qty Received],tblReceipts[Item Name],$A1566,tblReceipts[Expiry Date],$H1566,tblReceipts[Lot Number],"&lt;"&amp;Receipts!$C1569))</f>
        <v/>
      </c>
      <c r="L1566" s="26" t="str">
        <f>IF($A1566="","",MIN($D1566,MAX(0,SUMIFS(tblIssues[Qty Issued],tblIssues[Item Name],$A1566)-$K1566)))</f>
        <v/>
      </c>
      <c r="M1566" s="26" t="str">
        <f>IF($A1566="","",SUMIFS(tblIssues[Qty Issued],tblIssues[Lot Number],$B1566))</f>
        <v/>
      </c>
      <c r="N1566" s="26" t="str">
        <f t="shared" si="122"/>
        <v/>
      </c>
      <c r="O1566" s="26" t="str">
        <f t="shared" si="123"/>
        <v/>
      </c>
      <c r="P1566" s="21" t="str">
        <f t="shared" si="124"/>
        <v/>
      </c>
      <c r="Q1566" s="52" t="str">
        <f>IF($A1566="","",IF($O1566&lt;=0,"Depleted",IF($I1566&lt;0,"EXPIRED",IF($I1566&lt;=Settings!$C$6,"CRITICAL",IF($I1566&lt;=Settings!$C$5,"Expiring","In date")))))</f>
        <v/>
      </c>
    </row>
    <row r="1567" spans="1:17" x14ac:dyDescent="0.35">
      <c r="A1567" s="90" t="str">
        <f>IF(Receipts!$D1570="","",Receipts!$D1570)</f>
        <v/>
      </c>
      <c r="B1567" s="18" t="str">
        <f>IF(Receipts!$C1570="","",Receipts!$C1570)</f>
        <v/>
      </c>
      <c r="C1567" s="18" t="str">
        <f>IF($A1567="","",IFERROR(INDEX(Items!$B$5:$B$597,MATCH($A1567,Items!$A$5:$A$597,0)),""))</f>
        <v/>
      </c>
      <c r="D1567" s="23" t="str">
        <f>IF($A1567="","",N(Receipts!$G1570))</f>
        <v/>
      </c>
      <c r="E1567" s="20" t="str">
        <f>IF($A1567="","",IFERROR(INDEX(Items!$D$5:$D$597,MATCH($A1567,Items!$A$5:$A$597,0)),0))</f>
        <v/>
      </c>
      <c r="F1567" s="21" t="str">
        <f t="shared" si="120"/>
        <v/>
      </c>
      <c r="G1567" s="25" t="str">
        <f>IF(Receipts!$I1570="","",Receipts!$I1570)</f>
        <v/>
      </c>
      <c r="H1567" s="25" t="str">
        <f>IF(Receipts!$H1570="","",Receipts!$H1570)</f>
        <v/>
      </c>
      <c r="I1567" s="26" t="str">
        <f t="shared" ca="1" si="121"/>
        <v/>
      </c>
      <c r="J1567" s="26" t="str">
        <f>IF($A1567="","",COUNTIFS(tblReceipts[Item Name],$A1567,tblReceipts[Expiry Date],"&lt;"&amp;$H1567)+COUNTIFS(tblReceipts[Item Name],$A1567,tblReceipts[Expiry Date],$H1567,tblReceipts[Lot Number],"&lt;="&amp;Receipts!$C1570))</f>
        <v/>
      </c>
      <c r="K1567" s="26" t="str">
        <f>IF($A1567="","",SUMIFS(tblReceipts[Qty Received],tblReceipts[Item Name],$A1567,tblReceipts[Expiry Date],"&lt;"&amp;$H1567)+SUMIFS(tblReceipts[Qty Received],tblReceipts[Item Name],$A1567,tblReceipts[Expiry Date],$H1567,tblReceipts[Lot Number],"&lt;"&amp;Receipts!$C1570))</f>
        <v/>
      </c>
      <c r="L1567" s="26" t="str">
        <f>IF($A1567="","",MIN($D1567,MAX(0,SUMIFS(tblIssues[Qty Issued],tblIssues[Item Name],$A1567)-$K1567)))</f>
        <v/>
      </c>
      <c r="M1567" s="26" t="str">
        <f>IF($A1567="","",SUMIFS(tblIssues[Qty Issued],tblIssues[Lot Number],$B1567))</f>
        <v/>
      </c>
      <c r="N1567" s="26" t="str">
        <f t="shared" si="122"/>
        <v/>
      </c>
      <c r="O1567" s="26" t="str">
        <f t="shared" si="123"/>
        <v/>
      </c>
      <c r="P1567" s="21" t="str">
        <f t="shared" si="124"/>
        <v/>
      </c>
      <c r="Q1567" s="52" t="str">
        <f>IF($A1567="","",IF($O1567&lt;=0,"Depleted",IF($I1567&lt;0,"EXPIRED",IF($I1567&lt;=Settings!$C$6,"CRITICAL",IF($I1567&lt;=Settings!$C$5,"Expiring","In date")))))</f>
        <v/>
      </c>
    </row>
    <row r="1568" spans="1:17" x14ac:dyDescent="0.35">
      <c r="A1568" s="90" t="str">
        <f>IF(Receipts!$D1571="","",Receipts!$D1571)</f>
        <v/>
      </c>
      <c r="B1568" s="18" t="str">
        <f>IF(Receipts!$C1571="","",Receipts!$C1571)</f>
        <v/>
      </c>
      <c r="C1568" s="18" t="str">
        <f>IF($A1568="","",IFERROR(INDEX(Items!$B$5:$B$597,MATCH($A1568,Items!$A$5:$A$597,0)),""))</f>
        <v/>
      </c>
      <c r="D1568" s="23" t="str">
        <f>IF($A1568="","",N(Receipts!$G1571))</f>
        <v/>
      </c>
      <c r="E1568" s="20" t="str">
        <f>IF($A1568="","",IFERROR(INDEX(Items!$D$5:$D$597,MATCH($A1568,Items!$A$5:$A$597,0)),0))</f>
        <v/>
      </c>
      <c r="F1568" s="21" t="str">
        <f t="shared" si="120"/>
        <v/>
      </c>
      <c r="G1568" s="25" t="str">
        <f>IF(Receipts!$I1571="","",Receipts!$I1571)</f>
        <v/>
      </c>
      <c r="H1568" s="25" t="str">
        <f>IF(Receipts!$H1571="","",Receipts!$H1571)</f>
        <v/>
      </c>
      <c r="I1568" s="26" t="str">
        <f t="shared" ca="1" si="121"/>
        <v/>
      </c>
      <c r="J1568" s="26" t="str">
        <f>IF($A1568="","",COUNTIFS(tblReceipts[Item Name],$A1568,tblReceipts[Expiry Date],"&lt;"&amp;$H1568)+COUNTIFS(tblReceipts[Item Name],$A1568,tblReceipts[Expiry Date],$H1568,tblReceipts[Lot Number],"&lt;="&amp;Receipts!$C1571))</f>
        <v/>
      </c>
      <c r="K1568" s="26" t="str">
        <f>IF($A1568="","",SUMIFS(tblReceipts[Qty Received],tblReceipts[Item Name],$A1568,tblReceipts[Expiry Date],"&lt;"&amp;$H1568)+SUMIFS(tblReceipts[Qty Received],tblReceipts[Item Name],$A1568,tblReceipts[Expiry Date],$H1568,tblReceipts[Lot Number],"&lt;"&amp;Receipts!$C1571))</f>
        <v/>
      </c>
      <c r="L1568" s="26" t="str">
        <f>IF($A1568="","",MIN($D1568,MAX(0,SUMIFS(tblIssues[Qty Issued],tblIssues[Item Name],$A1568)-$K1568)))</f>
        <v/>
      </c>
      <c r="M1568" s="26" t="str">
        <f>IF($A1568="","",SUMIFS(tblIssues[Qty Issued],tblIssues[Lot Number],$B1568))</f>
        <v/>
      </c>
      <c r="N1568" s="26" t="str">
        <f t="shared" si="122"/>
        <v/>
      </c>
      <c r="O1568" s="26" t="str">
        <f t="shared" si="123"/>
        <v/>
      </c>
      <c r="P1568" s="21" t="str">
        <f t="shared" si="124"/>
        <v/>
      </c>
      <c r="Q1568" s="52" t="str">
        <f>IF($A1568="","",IF($O1568&lt;=0,"Depleted",IF($I1568&lt;0,"EXPIRED",IF($I1568&lt;=Settings!$C$6,"CRITICAL",IF($I1568&lt;=Settings!$C$5,"Expiring","In date")))))</f>
        <v/>
      </c>
    </row>
    <row r="1569" spans="1:17" x14ac:dyDescent="0.35">
      <c r="A1569" s="90" t="str">
        <f>IF(Receipts!$D1572="","",Receipts!$D1572)</f>
        <v/>
      </c>
      <c r="B1569" s="18" t="str">
        <f>IF(Receipts!$C1572="","",Receipts!$C1572)</f>
        <v/>
      </c>
      <c r="C1569" s="18" t="str">
        <f>IF($A1569="","",IFERROR(INDEX(Items!$B$5:$B$597,MATCH($A1569,Items!$A$5:$A$597,0)),""))</f>
        <v/>
      </c>
      <c r="D1569" s="23" t="str">
        <f>IF($A1569="","",N(Receipts!$G1572))</f>
        <v/>
      </c>
      <c r="E1569" s="20" t="str">
        <f>IF($A1569="","",IFERROR(INDEX(Items!$D$5:$D$597,MATCH($A1569,Items!$A$5:$A$597,0)),0))</f>
        <v/>
      </c>
      <c r="F1569" s="21" t="str">
        <f t="shared" si="120"/>
        <v/>
      </c>
      <c r="G1569" s="25" t="str">
        <f>IF(Receipts!$I1572="","",Receipts!$I1572)</f>
        <v/>
      </c>
      <c r="H1569" s="25" t="str">
        <f>IF(Receipts!$H1572="","",Receipts!$H1572)</f>
        <v/>
      </c>
      <c r="I1569" s="26" t="str">
        <f t="shared" ca="1" si="121"/>
        <v/>
      </c>
      <c r="J1569" s="26" t="str">
        <f>IF($A1569="","",COUNTIFS(tblReceipts[Item Name],$A1569,tblReceipts[Expiry Date],"&lt;"&amp;$H1569)+COUNTIFS(tblReceipts[Item Name],$A1569,tblReceipts[Expiry Date],$H1569,tblReceipts[Lot Number],"&lt;="&amp;Receipts!$C1572))</f>
        <v/>
      </c>
      <c r="K1569" s="26" t="str">
        <f>IF($A1569="","",SUMIFS(tblReceipts[Qty Received],tblReceipts[Item Name],$A1569,tblReceipts[Expiry Date],"&lt;"&amp;$H1569)+SUMIFS(tblReceipts[Qty Received],tblReceipts[Item Name],$A1569,tblReceipts[Expiry Date],$H1569,tblReceipts[Lot Number],"&lt;"&amp;Receipts!$C1572))</f>
        <v/>
      </c>
      <c r="L1569" s="26" t="str">
        <f>IF($A1569="","",MIN($D1569,MAX(0,SUMIFS(tblIssues[Qty Issued],tblIssues[Item Name],$A1569)-$K1569)))</f>
        <v/>
      </c>
      <c r="M1569" s="26" t="str">
        <f>IF($A1569="","",SUMIFS(tblIssues[Qty Issued],tblIssues[Lot Number],$B1569))</f>
        <v/>
      </c>
      <c r="N1569" s="26" t="str">
        <f t="shared" si="122"/>
        <v/>
      </c>
      <c r="O1569" s="26" t="str">
        <f t="shared" si="123"/>
        <v/>
      </c>
      <c r="P1569" s="21" t="str">
        <f t="shared" si="124"/>
        <v/>
      </c>
      <c r="Q1569" s="52" t="str">
        <f>IF($A1569="","",IF($O1569&lt;=0,"Depleted",IF($I1569&lt;0,"EXPIRED",IF($I1569&lt;=Settings!$C$6,"CRITICAL",IF($I1569&lt;=Settings!$C$5,"Expiring","In date")))))</f>
        <v/>
      </c>
    </row>
    <row r="1570" spans="1:17" x14ac:dyDescent="0.35">
      <c r="A1570" s="90" t="str">
        <f>IF(Receipts!$D1573="","",Receipts!$D1573)</f>
        <v/>
      </c>
      <c r="B1570" s="18" t="str">
        <f>IF(Receipts!$C1573="","",Receipts!$C1573)</f>
        <v/>
      </c>
      <c r="C1570" s="18" t="str">
        <f>IF($A1570="","",IFERROR(INDEX(Items!$B$5:$B$597,MATCH($A1570,Items!$A$5:$A$597,0)),""))</f>
        <v/>
      </c>
      <c r="D1570" s="23" t="str">
        <f>IF($A1570="","",N(Receipts!$G1573))</f>
        <v/>
      </c>
      <c r="E1570" s="20" t="str">
        <f>IF($A1570="","",IFERROR(INDEX(Items!$D$5:$D$597,MATCH($A1570,Items!$A$5:$A$597,0)),0))</f>
        <v/>
      </c>
      <c r="F1570" s="21" t="str">
        <f t="shared" si="120"/>
        <v/>
      </c>
      <c r="G1570" s="25" t="str">
        <f>IF(Receipts!$I1573="","",Receipts!$I1573)</f>
        <v/>
      </c>
      <c r="H1570" s="25" t="str">
        <f>IF(Receipts!$H1573="","",Receipts!$H1573)</f>
        <v/>
      </c>
      <c r="I1570" s="26" t="str">
        <f t="shared" ca="1" si="121"/>
        <v/>
      </c>
      <c r="J1570" s="26" t="str">
        <f>IF($A1570="","",COUNTIFS(tblReceipts[Item Name],$A1570,tblReceipts[Expiry Date],"&lt;"&amp;$H1570)+COUNTIFS(tblReceipts[Item Name],$A1570,tblReceipts[Expiry Date],$H1570,tblReceipts[Lot Number],"&lt;="&amp;Receipts!$C1573))</f>
        <v/>
      </c>
      <c r="K1570" s="26" t="str">
        <f>IF($A1570="","",SUMIFS(tblReceipts[Qty Received],tblReceipts[Item Name],$A1570,tblReceipts[Expiry Date],"&lt;"&amp;$H1570)+SUMIFS(tblReceipts[Qty Received],tblReceipts[Item Name],$A1570,tblReceipts[Expiry Date],$H1570,tblReceipts[Lot Number],"&lt;"&amp;Receipts!$C1573))</f>
        <v/>
      </c>
      <c r="L1570" s="26" t="str">
        <f>IF($A1570="","",MIN($D1570,MAX(0,SUMIFS(tblIssues[Qty Issued],tblIssues[Item Name],$A1570)-$K1570)))</f>
        <v/>
      </c>
      <c r="M1570" s="26" t="str">
        <f>IF($A1570="","",SUMIFS(tblIssues[Qty Issued],tblIssues[Lot Number],$B1570))</f>
        <v/>
      </c>
      <c r="N1570" s="26" t="str">
        <f t="shared" si="122"/>
        <v/>
      </c>
      <c r="O1570" s="26" t="str">
        <f t="shared" si="123"/>
        <v/>
      </c>
      <c r="P1570" s="21" t="str">
        <f t="shared" si="124"/>
        <v/>
      </c>
      <c r="Q1570" s="52" t="str">
        <f>IF($A1570="","",IF($O1570&lt;=0,"Depleted",IF($I1570&lt;0,"EXPIRED",IF($I1570&lt;=Settings!$C$6,"CRITICAL",IF($I1570&lt;=Settings!$C$5,"Expiring","In date")))))</f>
        <v/>
      </c>
    </row>
    <row r="1571" spans="1:17" x14ac:dyDescent="0.35">
      <c r="A1571" s="90" t="str">
        <f>IF(Receipts!$D1574="","",Receipts!$D1574)</f>
        <v/>
      </c>
      <c r="B1571" s="18" t="str">
        <f>IF(Receipts!$C1574="","",Receipts!$C1574)</f>
        <v/>
      </c>
      <c r="C1571" s="18" t="str">
        <f>IF($A1571="","",IFERROR(INDEX(Items!$B$5:$B$597,MATCH($A1571,Items!$A$5:$A$597,0)),""))</f>
        <v/>
      </c>
      <c r="D1571" s="23" t="str">
        <f>IF($A1571="","",N(Receipts!$G1574))</f>
        <v/>
      </c>
      <c r="E1571" s="20" t="str">
        <f>IF($A1571="","",IFERROR(INDEX(Items!$D$5:$D$597,MATCH($A1571,Items!$A$5:$A$597,0)),0))</f>
        <v/>
      </c>
      <c r="F1571" s="21" t="str">
        <f t="shared" si="120"/>
        <v/>
      </c>
      <c r="G1571" s="25" t="str">
        <f>IF(Receipts!$I1574="","",Receipts!$I1574)</f>
        <v/>
      </c>
      <c r="H1571" s="25" t="str">
        <f>IF(Receipts!$H1574="","",Receipts!$H1574)</f>
        <v/>
      </c>
      <c r="I1571" s="26" t="str">
        <f t="shared" ca="1" si="121"/>
        <v/>
      </c>
      <c r="J1571" s="26" t="str">
        <f>IF($A1571="","",COUNTIFS(tblReceipts[Item Name],$A1571,tblReceipts[Expiry Date],"&lt;"&amp;$H1571)+COUNTIFS(tblReceipts[Item Name],$A1571,tblReceipts[Expiry Date],$H1571,tblReceipts[Lot Number],"&lt;="&amp;Receipts!$C1574))</f>
        <v/>
      </c>
      <c r="K1571" s="26" t="str">
        <f>IF($A1571="","",SUMIFS(tblReceipts[Qty Received],tblReceipts[Item Name],$A1571,tblReceipts[Expiry Date],"&lt;"&amp;$H1571)+SUMIFS(tblReceipts[Qty Received],tblReceipts[Item Name],$A1571,tblReceipts[Expiry Date],$H1571,tblReceipts[Lot Number],"&lt;"&amp;Receipts!$C1574))</f>
        <v/>
      </c>
      <c r="L1571" s="26" t="str">
        <f>IF($A1571="","",MIN($D1571,MAX(0,SUMIFS(tblIssues[Qty Issued],tblIssues[Item Name],$A1571)-$K1571)))</f>
        <v/>
      </c>
      <c r="M1571" s="26" t="str">
        <f>IF($A1571="","",SUMIFS(tblIssues[Qty Issued],tblIssues[Lot Number],$B1571))</f>
        <v/>
      </c>
      <c r="N1571" s="26" t="str">
        <f t="shared" si="122"/>
        <v/>
      </c>
      <c r="O1571" s="26" t="str">
        <f t="shared" si="123"/>
        <v/>
      </c>
      <c r="P1571" s="21" t="str">
        <f t="shared" si="124"/>
        <v/>
      </c>
      <c r="Q1571" s="52" t="str">
        <f>IF($A1571="","",IF($O1571&lt;=0,"Depleted",IF($I1571&lt;0,"EXPIRED",IF($I1571&lt;=Settings!$C$6,"CRITICAL",IF($I1571&lt;=Settings!$C$5,"Expiring","In date")))))</f>
        <v/>
      </c>
    </row>
    <row r="1572" spans="1:17" x14ac:dyDescent="0.35">
      <c r="A1572" s="90" t="str">
        <f>IF(Receipts!$D1575="","",Receipts!$D1575)</f>
        <v/>
      </c>
      <c r="B1572" s="18" t="str">
        <f>IF(Receipts!$C1575="","",Receipts!$C1575)</f>
        <v/>
      </c>
      <c r="C1572" s="18" t="str">
        <f>IF($A1572="","",IFERROR(INDEX(Items!$B$5:$B$597,MATCH($A1572,Items!$A$5:$A$597,0)),""))</f>
        <v/>
      </c>
      <c r="D1572" s="23" t="str">
        <f>IF($A1572="","",N(Receipts!$G1575))</f>
        <v/>
      </c>
      <c r="E1572" s="20" t="str">
        <f>IF($A1572="","",IFERROR(INDEX(Items!$D$5:$D$597,MATCH($A1572,Items!$A$5:$A$597,0)),0))</f>
        <v/>
      </c>
      <c r="F1572" s="21" t="str">
        <f t="shared" si="120"/>
        <v/>
      </c>
      <c r="G1572" s="25" t="str">
        <f>IF(Receipts!$I1575="","",Receipts!$I1575)</f>
        <v/>
      </c>
      <c r="H1572" s="25" t="str">
        <f>IF(Receipts!$H1575="","",Receipts!$H1575)</f>
        <v/>
      </c>
      <c r="I1572" s="26" t="str">
        <f t="shared" ca="1" si="121"/>
        <v/>
      </c>
      <c r="J1572" s="26" t="str">
        <f>IF($A1572="","",COUNTIFS(tblReceipts[Item Name],$A1572,tblReceipts[Expiry Date],"&lt;"&amp;$H1572)+COUNTIFS(tblReceipts[Item Name],$A1572,tblReceipts[Expiry Date],$H1572,tblReceipts[Lot Number],"&lt;="&amp;Receipts!$C1575))</f>
        <v/>
      </c>
      <c r="K1572" s="26" t="str">
        <f>IF($A1572="","",SUMIFS(tblReceipts[Qty Received],tblReceipts[Item Name],$A1572,tblReceipts[Expiry Date],"&lt;"&amp;$H1572)+SUMIFS(tblReceipts[Qty Received],tblReceipts[Item Name],$A1572,tblReceipts[Expiry Date],$H1572,tblReceipts[Lot Number],"&lt;"&amp;Receipts!$C1575))</f>
        <v/>
      </c>
      <c r="L1572" s="26" t="str">
        <f>IF($A1572="","",MIN($D1572,MAX(0,SUMIFS(tblIssues[Qty Issued],tblIssues[Item Name],$A1572)-$K1572)))</f>
        <v/>
      </c>
      <c r="M1572" s="26" t="str">
        <f>IF($A1572="","",SUMIFS(tblIssues[Qty Issued],tblIssues[Lot Number],$B1572))</f>
        <v/>
      </c>
      <c r="N1572" s="26" t="str">
        <f t="shared" si="122"/>
        <v/>
      </c>
      <c r="O1572" s="26" t="str">
        <f t="shared" si="123"/>
        <v/>
      </c>
      <c r="P1572" s="21" t="str">
        <f t="shared" si="124"/>
        <v/>
      </c>
      <c r="Q1572" s="52" t="str">
        <f>IF($A1572="","",IF($O1572&lt;=0,"Depleted",IF($I1572&lt;0,"EXPIRED",IF($I1572&lt;=Settings!$C$6,"CRITICAL",IF($I1572&lt;=Settings!$C$5,"Expiring","In date")))))</f>
        <v/>
      </c>
    </row>
    <row r="1573" spans="1:17" x14ac:dyDescent="0.35">
      <c r="A1573" s="90" t="str">
        <f>IF(Receipts!$D1576="","",Receipts!$D1576)</f>
        <v/>
      </c>
      <c r="B1573" s="18" t="str">
        <f>IF(Receipts!$C1576="","",Receipts!$C1576)</f>
        <v/>
      </c>
      <c r="C1573" s="18" t="str">
        <f>IF($A1573="","",IFERROR(INDEX(Items!$B$5:$B$597,MATCH($A1573,Items!$A$5:$A$597,0)),""))</f>
        <v/>
      </c>
      <c r="D1573" s="23" t="str">
        <f>IF($A1573="","",N(Receipts!$G1576))</f>
        <v/>
      </c>
      <c r="E1573" s="20" t="str">
        <f>IF($A1573="","",IFERROR(INDEX(Items!$D$5:$D$597,MATCH($A1573,Items!$A$5:$A$597,0)),0))</f>
        <v/>
      </c>
      <c r="F1573" s="21" t="str">
        <f t="shared" si="120"/>
        <v/>
      </c>
      <c r="G1573" s="25" t="str">
        <f>IF(Receipts!$I1576="","",Receipts!$I1576)</f>
        <v/>
      </c>
      <c r="H1573" s="25" t="str">
        <f>IF(Receipts!$H1576="","",Receipts!$H1576)</f>
        <v/>
      </c>
      <c r="I1573" s="26" t="str">
        <f t="shared" ca="1" si="121"/>
        <v/>
      </c>
      <c r="J1573" s="26" t="str">
        <f>IF($A1573="","",COUNTIFS(tblReceipts[Item Name],$A1573,tblReceipts[Expiry Date],"&lt;"&amp;$H1573)+COUNTIFS(tblReceipts[Item Name],$A1573,tblReceipts[Expiry Date],$H1573,tblReceipts[Lot Number],"&lt;="&amp;Receipts!$C1576))</f>
        <v/>
      </c>
      <c r="K1573" s="26" t="str">
        <f>IF($A1573="","",SUMIFS(tblReceipts[Qty Received],tblReceipts[Item Name],$A1573,tblReceipts[Expiry Date],"&lt;"&amp;$H1573)+SUMIFS(tblReceipts[Qty Received],tblReceipts[Item Name],$A1573,tblReceipts[Expiry Date],$H1573,tblReceipts[Lot Number],"&lt;"&amp;Receipts!$C1576))</f>
        <v/>
      </c>
      <c r="L1573" s="26" t="str">
        <f>IF($A1573="","",MIN($D1573,MAX(0,SUMIFS(tblIssues[Qty Issued],tblIssues[Item Name],$A1573)-$K1573)))</f>
        <v/>
      </c>
      <c r="M1573" s="26" t="str">
        <f>IF($A1573="","",SUMIFS(tblIssues[Qty Issued],tblIssues[Lot Number],$B1573))</f>
        <v/>
      </c>
      <c r="N1573" s="26" t="str">
        <f t="shared" si="122"/>
        <v/>
      </c>
      <c r="O1573" s="26" t="str">
        <f t="shared" si="123"/>
        <v/>
      </c>
      <c r="P1573" s="21" t="str">
        <f t="shared" si="124"/>
        <v/>
      </c>
      <c r="Q1573" s="52" t="str">
        <f>IF($A1573="","",IF($O1573&lt;=0,"Depleted",IF($I1573&lt;0,"EXPIRED",IF($I1573&lt;=Settings!$C$6,"CRITICAL",IF($I1573&lt;=Settings!$C$5,"Expiring","In date")))))</f>
        <v/>
      </c>
    </row>
    <row r="1574" spans="1:17" x14ac:dyDescent="0.35">
      <c r="A1574" s="90" t="str">
        <f>IF(Receipts!$D1577="","",Receipts!$D1577)</f>
        <v/>
      </c>
      <c r="B1574" s="18" t="str">
        <f>IF(Receipts!$C1577="","",Receipts!$C1577)</f>
        <v/>
      </c>
      <c r="C1574" s="18" t="str">
        <f>IF($A1574="","",IFERROR(INDEX(Items!$B$5:$B$597,MATCH($A1574,Items!$A$5:$A$597,0)),""))</f>
        <v/>
      </c>
      <c r="D1574" s="23" t="str">
        <f>IF($A1574="","",N(Receipts!$G1577))</f>
        <v/>
      </c>
      <c r="E1574" s="20" t="str">
        <f>IF($A1574="","",IFERROR(INDEX(Items!$D$5:$D$597,MATCH($A1574,Items!$A$5:$A$597,0)),0))</f>
        <v/>
      </c>
      <c r="F1574" s="21" t="str">
        <f t="shared" si="120"/>
        <v/>
      </c>
      <c r="G1574" s="25" t="str">
        <f>IF(Receipts!$I1577="","",Receipts!$I1577)</f>
        <v/>
      </c>
      <c r="H1574" s="25" t="str">
        <f>IF(Receipts!$H1577="","",Receipts!$H1577)</f>
        <v/>
      </c>
      <c r="I1574" s="26" t="str">
        <f t="shared" ca="1" si="121"/>
        <v/>
      </c>
      <c r="J1574" s="26" t="str">
        <f>IF($A1574="","",COUNTIFS(tblReceipts[Item Name],$A1574,tblReceipts[Expiry Date],"&lt;"&amp;$H1574)+COUNTIFS(tblReceipts[Item Name],$A1574,tblReceipts[Expiry Date],$H1574,tblReceipts[Lot Number],"&lt;="&amp;Receipts!$C1577))</f>
        <v/>
      </c>
      <c r="K1574" s="26" t="str">
        <f>IF($A1574="","",SUMIFS(tblReceipts[Qty Received],tblReceipts[Item Name],$A1574,tblReceipts[Expiry Date],"&lt;"&amp;$H1574)+SUMIFS(tblReceipts[Qty Received],tblReceipts[Item Name],$A1574,tblReceipts[Expiry Date],$H1574,tblReceipts[Lot Number],"&lt;"&amp;Receipts!$C1577))</f>
        <v/>
      </c>
      <c r="L1574" s="26" t="str">
        <f>IF($A1574="","",MIN($D1574,MAX(0,SUMIFS(tblIssues[Qty Issued],tblIssues[Item Name],$A1574)-$K1574)))</f>
        <v/>
      </c>
      <c r="M1574" s="26" t="str">
        <f>IF($A1574="","",SUMIFS(tblIssues[Qty Issued],tblIssues[Lot Number],$B1574))</f>
        <v/>
      </c>
      <c r="N1574" s="26" t="str">
        <f t="shared" si="122"/>
        <v/>
      </c>
      <c r="O1574" s="26" t="str">
        <f t="shared" si="123"/>
        <v/>
      </c>
      <c r="P1574" s="21" t="str">
        <f t="shared" si="124"/>
        <v/>
      </c>
      <c r="Q1574" s="52" t="str">
        <f>IF($A1574="","",IF($O1574&lt;=0,"Depleted",IF($I1574&lt;0,"EXPIRED",IF($I1574&lt;=Settings!$C$6,"CRITICAL",IF($I1574&lt;=Settings!$C$5,"Expiring","In date")))))</f>
        <v/>
      </c>
    </row>
    <row r="1575" spans="1:17" x14ac:dyDescent="0.35">
      <c r="A1575" s="90" t="str">
        <f>IF(Receipts!$D1578="","",Receipts!$D1578)</f>
        <v/>
      </c>
      <c r="B1575" s="18" t="str">
        <f>IF(Receipts!$C1578="","",Receipts!$C1578)</f>
        <v/>
      </c>
      <c r="C1575" s="18" t="str">
        <f>IF($A1575="","",IFERROR(INDEX(Items!$B$5:$B$597,MATCH($A1575,Items!$A$5:$A$597,0)),""))</f>
        <v/>
      </c>
      <c r="D1575" s="23" t="str">
        <f>IF($A1575="","",N(Receipts!$G1578))</f>
        <v/>
      </c>
      <c r="E1575" s="20" t="str">
        <f>IF($A1575="","",IFERROR(INDEX(Items!$D$5:$D$597,MATCH($A1575,Items!$A$5:$A$597,0)),0))</f>
        <v/>
      </c>
      <c r="F1575" s="21" t="str">
        <f t="shared" si="120"/>
        <v/>
      </c>
      <c r="G1575" s="25" t="str">
        <f>IF(Receipts!$I1578="","",Receipts!$I1578)</f>
        <v/>
      </c>
      <c r="H1575" s="25" t="str">
        <f>IF(Receipts!$H1578="","",Receipts!$H1578)</f>
        <v/>
      </c>
      <c r="I1575" s="26" t="str">
        <f t="shared" ca="1" si="121"/>
        <v/>
      </c>
      <c r="J1575" s="26" t="str">
        <f>IF($A1575="","",COUNTIFS(tblReceipts[Item Name],$A1575,tblReceipts[Expiry Date],"&lt;"&amp;$H1575)+COUNTIFS(tblReceipts[Item Name],$A1575,tblReceipts[Expiry Date],$H1575,tblReceipts[Lot Number],"&lt;="&amp;Receipts!$C1578))</f>
        <v/>
      </c>
      <c r="K1575" s="26" t="str">
        <f>IF($A1575="","",SUMIFS(tblReceipts[Qty Received],tblReceipts[Item Name],$A1575,tblReceipts[Expiry Date],"&lt;"&amp;$H1575)+SUMIFS(tblReceipts[Qty Received],tblReceipts[Item Name],$A1575,tblReceipts[Expiry Date],$H1575,tblReceipts[Lot Number],"&lt;"&amp;Receipts!$C1578))</f>
        <v/>
      </c>
      <c r="L1575" s="26" t="str">
        <f>IF($A1575="","",MIN($D1575,MAX(0,SUMIFS(tblIssues[Qty Issued],tblIssues[Item Name],$A1575)-$K1575)))</f>
        <v/>
      </c>
      <c r="M1575" s="26" t="str">
        <f>IF($A1575="","",SUMIFS(tblIssues[Qty Issued],tblIssues[Lot Number],$B1575))</f>
        <v/>
      </c>
      <c r="N1575" s="26" t="str">
        <f t="shared" si="122"/>
        <v/>
      </c>
      <c r="O1575" s="26" t="str">
        <f t="shared" si="123"/>
        <v/>
      </c>
      <c r="P1575" s="21" t="str">
        <f t="shared" si="124"/>
        <v/>
      </c>
      <c r="Q1575" s="52" t="str">
        <f>IF($A1575="","",IF($O1575&lt;=0,"Depleted",IF($I1575&lt;0,"EXPIRED",IF($I1575&lt;=Settings!$C$6,"CRITICAL",IF($I1575&lt;=Settings!$C$5,"Expiring","In date")))))</f>
        <v/>
      </c>
    </row>
    <row r="1576" spans="1:17" x14ac:dyDescent="0.35">
      <c r="A1576" s="90" t="str">
        <f>IF(Receipts!$D1579="","",Receipts!$D1579)</f>
        <v/>
      </c>
      <c r="B1576" s="18" t="str">
        <f>IF(Receipts!$C1579="","",Receipts!$C1579)</f>
        <v/>
      </c>
      <c r="C1576" s="18" t="str">
        <f>IF($A1576="","",IFERROR(INDEX(Items!$B$5:$B$597,MATCH($A1576,Items!$A$5:$A$597,0)),""))</f>
        <v/>
      </c>
      <c r="D1576" s="23" t="str">
        <f>IF($A1576="","",N(Receipts!$G1579))</f>
        <v/>
      </c>
      <c r="E1576" s="20" t="str">
        <f>IF($A1576="","",IFERROR(INDEX(Items!$D$5:$D$597,MATCH($A1576,Items!$A$5:$A$597,0)),0))</f>
        <v/>
      </c>
      <c r="F1576" s="21" t="str">
        <f t="shared" si="120"/>
        <v/>
      </c>
      <c r="G1576" s="25" t="str">
        <f>IF(Receipts!$I1579="","",Receipts!$I1579)</f>
        <v/>
      </c>
      <c r="H1576" s="25" t="str">
        <f>IF(Receipts!$H1579="","",Receipts!$H1579)</f>
        <v/>
      </c>
      <c r="I1576" s="26" t="str">
        <f t="shared" ca="1" si="121"/>
        <v/>
      </c>
      <c r="J1576" s="26" t="str">
        <f>IF($A1576="","",COUNTIFS(tblReceipts[Item Name],$A1576,tblReceipts[Expiry Date],"&lt;"&amp;$H1576)+COUNTIFS(tblReceipts[Item Name],$A1576,tblReceipts[Expiry Date],$H1576,tblReceipts[Lot Number],"&lt;="&amp;Receipts!$C1579))</f>
        <v/>
      </c>
      <c r="K1576" s="26" t="str">
        <f>IF($A1576="","",SUMIFS(tblReceipts[Qty Received],tblReceipts[Item Name],$A1576,tblReceipts[Expiry Date],"&lt;"&amp;$H1576)+SUMIFS(tblReceipts[Qty Received],tblReceipts[Item Name],$A1576,tblReceipts[Expiry Date],$H1576,tblReceipts[Lot Number],"&lt;"&amp;Receipts!$C1579))</f>
        <v/>
      </c>
      <c r="L1576" s="26" t="str">
        <f>IF($A1576="","",MIN($D1576,MAX(0,SUMIFS(tblIssues[Qty Issued],tblIssues[Item Name],$A1576)-$K1576)))</f>
        <v/>
      </c>
      <c r="M1576" s="26" t="str">
        <f>IF($A1576="","",SUMIFS(tblIssues[Qty Issued],tblIssues[Lot Number],$B1576))</f>
        <v/>
      </c>
      <c r="N1576" s="26" t="str">
        <f t="shared" si="122"/>
        <v/>
      </c>
      <c r="O1576" s="26" t="str">
        <f t="shared" si="123"/>
        <v/>
      </c>
      <c r="P1576" s="21" t="str">
        <f t="shared" si="124"/>
        <v/>
      </c>
      <c r="Q1576" s="52" t="str">
        <f>IF($A1576="","",IF($O1576&lt;=0,"Depleted",IF($I1576&lt;0,"EXPIRED",IF($I1576&lt;=Settings!$C$6,"CRITICAL",IF($I1576&lt;=Settings!$C$5,"Expiring","In date")))))</f>
        <v/>
      </c>
    </row>
    <row r="1577" spans="1:17" x14ac:dyDescent="0.35">
      <c r="A1577" s="90" t="str">
        <f>IF(Receipts!$D1580="","",Receipts!$D1580)</f>
        <v/>
      </c>
      <c r="B1577" s="18" t="str">
        <f>IF(Receipts!$C1580="","",Receipts!$C1580)</f>
        <v/>
      </c>
      <c r="C1577" s="18" t="str">
        <f>IF($A1577="","",IFERROR(INDEX(Items!$B$5:$B$597,MATCH($A1577,Items!$A$5:$A$597,0)),""))</f>
        <v/>
      </c>
      <c r="D1577" s="23" t="str">
        <f>IF($A1577="","",N(Receipts!$G1580))</f>
        <v/>
      </c>
      <c r="E1577" s="20" t="str">
        <f>IF($A1577="","",IFERROR(INDEX(Items!$D$5:$D$597,MATCH($A1577,Items!$A$5:$A$597,0)),0))</f>
        <v/>
      </c>
      <c r="F1577" s="21" t="str">
        <f t="shared" si="120"/>
        <v/>
      </c>
      <c r="G1577" s="25" t="str">
        <f>IF(Receipts!$I1580="","",Receipts!$I1580)</f>
        <v/>
      </c>
      <c r="H1577" s="25" t="str">
        <f>IF(Receipts!$H1580="","",Receipts!$H1580)</f>
        <v/>
      </c>
      <c r="I1577" s="26" t="str">
        <f t="shared" ca="1" si="121"/>
        <v/>
      </c>
      <c r="J1577" s="26" t="str">
        <f>IF($A1577="","",COUNTIFS(tblReceipts[Item Name],$A1577,tblReceipts[Expiry Date],"&lt;"&amp;$H1577)+COUNTIFS(tblReceipts[Item Name],$A1577,tblReceipts[Expiry Date],$H1577,tblReceipts[Lot Number],"&lt;="&amp;Receipts!$C1580))</f>
        <v/>
      </c>
      <c r="K1577" s="26" t="str">
        <f>IF($A1577="","",SUMIFS(tblReceipts[Qty Received],tblReceipts[Item Name],$A1577,tblReceipts[Expiry Date],"&lt;"&amp;$H1577)+SUMIFS(tblReceipts[Qty Received],tblReceipts[Item Name],$A1577,tblReceipts[Expiry Date],$H1577,tblReceipts[Lot Number],"&lt;"&amp;Receipts!$C1580))</f>
        <v/>
      </c>
      <c r="L1577" s="26" t="str">
        <f>IF($A1577="","",MIN($D1577,MAX(0,SUMIFS(tblIssues[Qty Issued],tblIssues[Item Name],$A1577)-$K1577)))</f>
        <v/>
      </c>
      <c r="M1577" s="26" t="str">
        <f>IF($A1577="","",SUMIFS(tblIssues[Qty Issued],tblIssues[Lot Number],$B1577))</f>
        <v/>
      </c>
      <c r="N1577" s="26" t="str">
        <f t="shared" si="122"/>
        <v/>
      </c>
      <c r="O1577" s="26" t="str">
        <f t="shared" si="123"/>
        <v/>
      </c>
      <c r="P1577" s="21" t="str">
        <f t="shared" si="124"/>
        <v/>
      </c>
      <c r="Q1577" s="52" t="str">
        <f>IF($A1577="","",IF($O1577&lt;=0,"Depleted",IF($I1577&lt;0,"EXPIRED",IF($I1577&lt;=Settings!$C$6,"CRITICAL",IF($I1577&lt;=Settings!$C$5,"Expiring","In date")))))</f>
        <v/>
      </c>
    </row>
    <row r="1578" spans="1:17" x14ac:dyDescent="0.35">
      <c r="A1578" s="90" t="str">
        <f>IF(Receipts!$D1581="","",Receipts!$D1581)</f>
        <v/>
      </c>
      <c r="B1578" s="18" t="str">
        <f>IF(Receipts!$C1581="","",Receipts!$C1581)</f>
        <v/>
      </c>
      <c r="C1578" s="18" t="str">
        <f>IF($A1578="","",IFERROR(INDEX(Items!$B$5:$B$597,MATCH($A1578,Items!$A$5:$A$597,0)),""))</f>
        <v/>
      </c>
      <c r="D1578" s="23" t="str">
        <f>IF($A1578="","",N(Receipts!$G1581))</f>
        <v/>
      </c>
      <c r="E1578" s="20" t="str">
        <f>IF($A1578="","",IFERROR(INDEX(Items!$D$5:$D$597,MATCH($A1578,Items!$A$5:$A$597,0)),0))</f>
        <v/>
      </c>
      <c r="F1578" s="21" t="str">
        <f t="shared" si="120"/>
        <v/>
      </c>
      <c r="G1578" s="25" t="str">
        <f>IF(Receipts!$I1581="","",Receipts!$I1581)</f>
        <v/>
      </c>
      <c r="H1578" s="25" t="str">
        <f>IF(Receipts!$H1581="","",Receipts!$H1581)</f>
        <v/>
      </c>
      <c r="I1578" s="26" t="str">
        <f t="shared" ca="1" si="121"/>
        <v/>
      </c>
      <c r="J1578" s="26" t="str">
        <f>IF($A1578="","",COUNTIFS(tblReceipts[Item Name],$A1578,tblReceipts[Expiry Date],"&lt;"&amp;$H1578)+COUNTIFS(tblReceipts[Item Name],$A1578,tblReceipts[Expiry Date],$H1578,tblReceipts[Lot Number],"&lt;="&amp;Receipts!$C1581))</f>
        <v/>
      </c>
      <c r="K1578" s="26" t="str">
        <f>IF($A1578="","",SUMIFS(tblReceipts[Qty Received],tblReceipts[Item Name],$A1578,tblReceipts[Expiry Date],"&lt;"&amp;$H1578)+SUMIFS(tblReceipts[Qty Received],tblReceipts[Item Name],$A1578,tblReceipts[Expiry Date],$H1578,tblReceipts[Lot Number],"&lt;"&amp;Receipts!$C1581))</f>
        <v/>
      </c>
      <c r="L1578" s="26" t="str">
        <f>IF($A1578="","",MIN($D1578,MAX(0,SUMIFS(tblIssues[Qty Issued],tblIssues[Item Name],$A1578)-$K1578)))</f>
        <v/>
      </c>
      <c r="M1578" s="26" t="str">
        <f>IF($A1578="","",SUMIFS(tblIssues[Qty Issued],tblIssues[Lot Number],$B1578))</f>
        <v/>
      </c>
      <c r="N1578" s="26" t="str">
        <f t="shared" si="122"/>
        <v/>
      </c>
      <c r="O1578" s="26" t="str">
        <f t="shared" si="123"/>
        <v/>
      </c>
      <c r="P1578" s="21" t="str">
        <f t="shared" si="124"/>
        <v/>
      </c>
      <c r="Q1578" s="52" t="str">
        <f>IF($A1578="","",IF($O1578&lt;=0,"Depleted",IF($I1578&lt;0,"EXPIRED",IF($I1578&lt;=Settings!$C$6,"CRITICAL",IF($I1578&lt;=Settings!$C$5,"Expiring","In date")))))</f>
        <v/>
      </c>
    </row>
    <row r="1579" spans="1:17" x14ac:dyDescent="0.35">
      <c r="A1579" s="90" t="str">
        <f>IF(Receipts!$D1582="","",Receipts!$D1582)</f>
        <v/>
      </c>
      <c r="B1579" s="18" t="str">
        <f>IF(Receipts!$C1582="","",Receipts!$C1582)</f>
        <v/>
      </c>
      <c r="C1579" s="18" t="str">
        <f>IF($A1579="","",IFERROR(INDEX(Items!$B$5:$B$597,MATCH($A1579,Items!$A$5:$A$597,0)),""))</f>
        <v/>
      </c>
      <c r="D1579" s="23" t="str">
        <f>IF($A1579="","",N(Receipts!$G1582))</f>
        <v/>
      </c>
      <c r="E1579" s="20" t="str">
        <f>IF($A1579="","",IFERROR(INDEX(Items!$D$5:$D$597,MATCH($A1579,Items!$A$5:$A$597,0)),0))</f>
        <v/>
      </c>
      <c r="F1579" s="21" t="str">
        <f t="shared" si="120"/>
        <v/>
      </c>
      <c r="G1579" s="25" t="str">
        <f>IF(Receipts!$I1582="","",Receipts!$I1582)</f>
        <v/>
      </c>
      <c r="H1579" s="25" t="str">
        <f>IF(Receipts!$H1582="","",Receipts!$H1582)</f>
        <v/>
      </c>
      <c r="I1579" s="26" t="str">
        <f t="shared" ca="1" si="121"/>
        <v/>
      </c>
      <c r="J1579" s="26" t="str">
        <f>IF($A1579="","",COUNTIFS(tblReceipts[Item Name],$A1579,tblReceipts[Expiry Date],"&lt;"&amp;$H1579)+COUNTIFS(tblReceipts[Item Name],$A1579,tblReceipts[Expiry Date],$H1579,tblReceipts[Lot Number],"&lt;="&amp;Receipts!$C1582))</f>
        <v/>
      </c>
      <c r="K1579" s="26" t="str">
        <f>IF($A1579="","",SUMIFS(tblReceipts[Qty Received],tblReceipts[Item Name],$A1579,tblReceipts[Expiry Date],"&lt;"&amp;$H1579)+SUMIFS(tblReceipts[Qty Received],tblReceipts[Item Name],$A1579,tblReceipts[Expiry Date],$H1579,tblReceipts[Lot Number],"&lt;"&amp;Receipts!$C1582))</f>
        <v/>
      </c>
      <c r="L1579" s="26" t="str">
        <f>IF($A1579="","",MIN($D1579,MAX(0,SUMIFS(tblIssues[Qty Issued],tblIssues[Item Name],$A1579)-$K1579)))</f>
        <v/>
      </c>
      <c r="M1579" s="26" t="str">
        <f>IF($A1579="","",SUMIFS(tblIssues[Qty Issued],tblIssues[Lot Number],$B1579))</f>
        <v/>
      </c>
      <c r="N1579" s="26" t="str">
        <f t="shared" si="122"/>
        <v/>
      </c>
      <c r="O1579" s="26" t="str">
        <f t="shared" si="123"/>
        <v/>
      </c>
      <c r="P1579" s="21" t="str">
        <f t="shared" si="124"/>
        <v/>
      </c>
      <c r="Q1579" s="52" t="str">
        <f>IF($A1579="","",IF($O1579&lt;=0,"Depleted",IF($I1579&lt;0,"EXPIRED",IF($I1579&lt;=Settings!$C$6,"CRITICAL",IF($I1579&lt;=Settings!$C$5,"Expiring","In date")))))</f>
        <v/>
      </c>
    </row>
    <row r="1580" spans="1:17" x14ac:dyDescent="0.35">
      <c r="A1580" s="90" t="str">
        <f>IF(Receipts!$D1583="","",Receipts!$D1583)</f>
        <v/>
      </c>
      <c r="B1580" s="18" t="str">
        <f>IF(Receipts!$C1583="","",Receipts!$C1583)</f>
        <v/>
      </c>
      <c r="C1580" s="18" t="str">
        <f>IF($A1580="","",IFERROR(INDEX(Items!$B$5:$B$597,MATCH($A1580,Items!$A$5:$A$597,0)),""))</f>
        <v/>
      </c>
      <c r="D1580" s="23" t="str">
        <f>IF($A1580="","",N(Receipts!$G1583))</f>
        <v/>
      </c>
      <c r="E1580" s="20" t="str">
        <f>IF($A1580="","",IFERROR(INDEX(Items!$D$5:$D$597,MATCH($A1580,Items!$A$5:$A$597,0)),0))</f>
        <v/>
      </c>
      <c r="F1580" s="21" t="str">
        <f t="shared" si="120"/>
        <v/>
      </c>
      <c r="G1580" s="25" t="str">
        <f>IF(Receipts!$I1583="","",Receipts!$I1583)</f>
        <v/>
      </c>
      <c r="H1580" s="25" t="str">
        <f>IF(Receipts!$H1583="","",Receipts!$H1583)</f>
        <v/>
      </c>
      <c r="I1580" s="26" t="str">
        <f t="shared" ca="1" si="121"/>
        <v/>
      </c>
      <c r="J1580" s="26" t="str">
        <f>IF($A1580="","",COUNTIFS(tblReceipts[Item Name],$A1580,tblReceipts[Expiry Date],"&lt;"&amp;$H1580)+COUNTIFS(tblReceipts[Item Name],$A1580,tblReceipts[Expiry Date],$H1580,tblReceipts[Lot Number],"&lt;="&amp;Receipts!$C1583))</f>
        <v/>
      </c>
      <c r="K1580" s="26" t="str">
        <f>IF($A1580="","",SUMIFS(tblReceipts[Qty Received],tblReceipts[Item Name],$A1580,tblReceipts[Expiry Date],"&lt;"&amp;$H1580)+SUMIFS(tblReceipts[Qty Received],tblReceipts[Item Name],$A1580,tblReceipts[Expiry Date],$H1580,tblReceipts[Lot Number],"&lt;"&amp;Receipts!$C1583))</f>
        <v/>
      </c>
      <c r="L1580" s="26" t="str">
        <f>IF($A1580="","",MIN($D1580,MAX(0,SUMIFS(tblIssues[Qty Issued],tblIssues[Item Name],$A1580)-$K1580)))</f>
        <v/>
      </c>
      <c r="M1580" s="26" t="str">
        <f>IF($A1580="","",SUMIFS(tblIssues[Qty Issued],tblIssues[Lot Number],$B1580))</f>
        <v/>
      </c>
      <c r="N1580" s="26" t="str">
        <f t="shared" si="122"/>
        <v/>
      </c>
      <c r="O1580" s="26" t="str">
        <f t="shared" si="123"/>
        <v/>
      </c>
      <c r="P1580" s="21" t="str">
        <f t="shared" si="124"/>
        <v/>
      </c>
      <c r="Q1580" s="52" t="str">
        <f>IF($A1580="","",IF($O1580&lt;=0,"Depleted",IF($I1580&lt;0,"EXPIRED",IF($I1580&lt;=Settings!$C$6,"CRITICAL",IF($I1580&lt;=Settings!$C$5,"Expiring","In date")))))</f>
        <v/>
      </c>
    </row>
    <row r="1581" spans="1:17" x14ac:dyDescent="0.35">
      <c r="A1581" s="90" t="str">
        <f>IF(Receipts!$D1584="","",Receipts!$D1584)</f>
        <v/>
      </c>
      <c r="B1581" s="18" t="str">
        <f>IF(Receipts!$C1584="","",Receipts!$C1584)</f>
        <v/>
      </c>
      <c r="C1581" s="18" t="str">
        <f>IF($A1581="","",IFERROR(INDEX(Items!$B$5:$B$597,MATCH($A1581,Items!$A$5:$A$597,0)),""))</f>
        <v/>
      </c>
      <c r="D1581" s="23" t="str">
        <f>IF($A1581="","",N(Receipts!$G1584))</f>
        <v/>
      </c>
      <c r="E1581" s="20" t="str">
        <f>IF($A1581="","",IFERROR(INDEX(Items!$D$5:$D$597,MATCH($A1581,Items!$A$5:$A$597,0)),0))</f>
        <v/>
      </c>
      <c r="F1581" s="21" t="str">
        <f t="shared" si="120"/>
        <v/>
      </c>
      <c r="G1581" s="25" t="str">
        <f>IF(Receipts!$I1584="","",Receipts!$I1584)</f>
        <v/>
      </c>
      <c r="H1581" s="25" t="str">
        <f>IF(Receipts!$H1584="","",Receipts!$H1584)</f>
        <v/>
      </c>
      <c r="I1581" s="26" t="str">
        <f t="shared" ca="1" si="121"/>
        <v/>
      </c>
      <c r="J1581" s="26" t="str">
        <f>IF($A1581="","",COUNTIFS(tblReceipts[Item Name],$A1581,tblReceipts[Expiry Date],"&lt;"&amp;$H1581)+COUNTIFS(tblReceipts[Item Name],$A1581,tblReceipts[Expiry Date],$H1581,tblReceipts[Lot Number],"&lt;="&amp;Receipts!$C1584))</f>
        <v/>
      </c>
      <c r="K1581" s="26" t="str">
        <f>IF($A1581="","",SUMIFS(tblReceipts[Qty Received],tblReceipts[Item Name],$A1581,tblReceipts[Expiry Date],"&lt;"&amp;$H1581)+SUMIFS(tblReceipts[Qty Received],tblReceipts[Item Name],$A1581,tblReceipts[Expiry Date],$H1581,tblReceipts[Lot Number],"&lt;"&amp;Receipts!$C1584))</f>
        <v/>
      </c>
      <c r="L1581" s="26" t="str">
        <f>IF($A1581="","",MIN($D1581,MAX(0,SUMIFS(tblIssues[Qty Issued],tblIssues[Item Name],$A1581)-$K1581)))</f>
        <v/>
      </c>
      <c r="M1581" s="26" t="str">
        <f>IF($A1581="","",SUMIFS(tblIssues[Qty Issued],tblIssues[Lot Number],$B1581))</f>
        <v/>
      </c>
      <c r="N1581" s="26" t="str">
        <f t="shared" si="122"/>
        <v/>
      </c>
      <c r="O1581" s="26" t="str">
        <f t="shared" si="123"/>
        <v/>
      </c>
      <c r="P1581" s="21" t="str">
        <f t="shared" si="124"/>
        <v/>
      </c>
      <c r="Q1581" s="52" t="str">
        <f>IF($A1581="","",IF($O1581&lt;=0,"Depleted",IF($I1581&lt;0,"EXPIRED",IF($I1581&lt;=Settings!$C$6,"CRITICAL",IF($I1581&lt;=Settings!$C$5,"Expiring","In date")))))</f>
        <v/>
      </c>
    </row>
    <row r="1582" spans="1:17" x14ac:dyDescent="0.35">
      <c r="A1582" s="90" t="str">
        <f>IF(Receipts!$D1585="","",Receipts!$D1585)</f>
        <v/>
      </c>
      <c r="B1582" s="18" t="str">
        <f>IF(Receipts!$C1585="","",Receipts!$C1585)</f>
        <v/>
      </c>
      <c r="C1582" s="18" t="str">
        <f>IF($A1582="","",IFERROR(INDEX(Items!$B$5:$B$597,MATCH($A1582,Items!$A$5:$A$597,0)),""))</f>
        <v/>
      </c>
      <c r="D1582" s="23" t="str">
        <f>IF($A1582="","",N(Receipts!$G1585))</f>
        <v/>
      </c>
      <c r="E1582" s="20" t="str">
        <f>IF($A1582="","",IFERROR(INDEX(Items!$D$5:$D$597,MATCH($A1582,Items!$A$5:$A$597,0)),0))</f>
        <v/>
      </c>
      <c r="F1582" s="21" t="str">
        <f t="shared" si="120"/>
        <v/>
      </c>
      <c r="G1582" s="25" t="str">
        <f>IF(Receipts!$I1585="","",Receipts!$I1585)</f>
        <v/>
      </c>
      <c r="H1582" s="25" t="str">
        <f>IF(Receipts!$H1585="","",Receipts!$H1585)</f>
        <v/>
      </c>
      <c r="I1582" s="26" t="str">
        <f t="shared" ca="1" si="121"/>
        <v/>
      </c>
      <c r="J1582" s="26" t="str">
        <f>IF($A1582="","",COUNTIFS(tblReceipts[Item Name],$A1582,tblReceipts[Expiry Date],"&lt;"&amp;$H1582)+COUNTIFS(tblReceipts[Item Name],$A1582,tblReceipts[Expiry Date],$H1582,tblReceipts[Lot Number],"&lt;="&amp;Receipts!$C1585))</f>
        <v/>
      </c>
      <c r="K1582" s="26" t="str">
        <f>IF($A1582="","",SUMIFS(tblReceipts[Qty Received],tblReceipts[Item Name],$A1582,tblReceipts[Expiry Date],"&lt;"&amp;$H1582)+SUMIFS(tblReceipts[Qty Received],tblReceipts[Item Name],$A1582,tblReceipts[Expiry Date],$H1582,tblReceipts[Lot Number],"&lt;"&amp;Receipts!$C1585))</f>
        <v/>
      </c>
      <c r="L1582" s="26" t="str">
        <f>IF($A1582="","",MIN($D1582,MAX(0,SUMIFS(tblIssues[Qty Issued],tblIssues[Item Name],$A1582)-$K1582)))</f>
        <v/>
      </c>
      <c r="M1582" s="26" t="str">
        <f>IF($A1582="","",SUMIFS(tblIssues[Qty Issued],tblIssues[Lot Number],$B1582))</f>
        <v/>
      </c>
      <c r="N1582" s="26" t="str">
        <f t="shared" si="122"/>
        <v/>
      </c>
      <c r="O1582" s="26" t="str">
        <f t="shared" si="123"/>
        <v/>
      </c>
      <c r="P1582" s="21" t="str">
        <f t="shared" si="124"/>
        <v/>
      </c>
      <c r="Q1582" s="52" t="str">
        <f>IF($A1582="","",IF($O1582&lt;=0,"Depleted",IF($I1582&lt;0,"EXPIRED",IF($I1582&lt;=Settings!$C$6,"CRITICAL",IF($I1582&lt;=Settings!$C$5,"Expiring","In date")))))</f>
        <v/>
      </c>
    </row>
    <row r="1583" spans="1:17" x14ac:dyDescent="0.35">
      <c r="A1583" s="90" t="str">
        <f>IF(Receipts!$D1586="","",Receipts!$D1586)</f>
        <v/>
      </c>
      <c r="B1583" s="18" t="str">
        <f>IF(Receipts!$C1586="","",Receipts!$C1586)</f>
        <v/>
      </c>
      <c r="C1583" s="18" t="str">
        <f>IF($A1583="","",IFERROR(INDEX(Items!$B$5:$B$597,MATCH($A1583,Items!$A$5:$A$597,0)),""))</f>
        <v/>
      </c>
      <c r="D1583" s="23" t="str">
        <f>IF($A1583="","",N(Receipts!$G1586))</f>
        <v/>
      </c>
      <c r="E1583" s="20" t="str">
        <f>IF($A1583="","",IFERROR(INDEX(Items!$D$5:$D$597,MATCH($A1583,Items!$A$5:$A$597,0)),0))</f>
        <v/>
      </c>
      <c r="F1583" s="21" t="str">
        <f t="shared" si="120"/>
        <v/>
      </c>
      <c r="G1583" s="25" t="str">
        <f>IF(Receipts!$I1586="","",Receipts!$I1586)</f>
        <v/>
      </c>
      <c r="H1583" s="25" t="str">
        <f>IF(Receipts!$H1586="","",Receipts!$H1586)</f>
        <v/>
      </c>
      <c r="I1583" s="26" t="str">
        <f t="shared" ca="1" si="121"/>
        <v/>
      </c>
      <c r="J1583" s="26" t="str">
        <f>IF($A1583="","",COUNTIFS(tblReceipts[Item Name],$A1583,tblReceipts[Expiry Date],"&lt;"&amp;$H1583)+COUNTIFS(tblReceipts[Item Name],$A1583,tblReceipts[Expiry Date],$H1583,tblReceipts[Lot Number],"&lt;="&amp;Receipts!$C1586))</f>
        <v/>
      </c>
      <c r="K1583" s="26" t="str">
        <f>IF($A1583="","",SUMIFS(tblReceipts[Qty Received],tblReceipts[Item Name],$A1583,tblReceipts[Expiry Date],"&lt;"&amp;$H1583)+SUMIFS(tblReceipts[Qty Received],tblReceipts[Item Name],$A1583,tblReceipts[Expiry Date],$H1583,tblReceipts[Lot Number],"&lt;"&amp;Receipts!$C1586))</f>
        <v/>
      </c>
      <c r="L1583" s="26" t="str">
        <f>IF($A1583="","",MIN($D1583,MAX(0,SUMIFS(tblIssues[Qty Issued],tblIssues[Item Name],$A1583)-$K1583)))</f>
        <v/>
      </c>
      <c r="M1583" s="26" t="str">
        <f>IF($A1583="","",SUMIFS(tblIssues[Qty Issued],tblIssues[Lot Number],$B1583))</f>
        <v/>
      </c>
      <c r="N1583" s="26" t="str">
        <f t="shared" si="122"/>
        <v/>
      </c>
      <c r="O1583" s="26" t="str">
        <f t="shared" si="123"/>
        <v/>
      </c>
      <c r="P1583" s="21" t="str">
        <f t="shared" si="124"/>
        <v/>
      </c>
      <c r="Q1583" s="52" t="str">
        <f>IF($A1583="","",IF($O1583&lt;=0,"Depleted",IF($I1583&lt;0,"EXPIRED",IF($I1583&lt;=Settings!$C$6,"CRITICAL",IF($I1583&lt;=Settings!$C$5,"Expiring","In date")))))</f>
        <v/>
      </c>
    </row>
    <row r="1584" spans="1:17" x14ac:dyDescent="0.35">
      <c r="A1584" s="90" t="str">
        <f>IF(Receipts!$D1587="","",Receipts!$D1587)</f>
        <v/>
      </c>
      <c r="B1584" s="18" t="str">
        <f>IF(Receipts!$C1587="","",Receipts!$C1587)</f>
        <v/>
      </c>
      <c r="C1584" s="18" t="str">
        <f>IF($A1584="","",IFERROR(INDEX(Items!$B$5:$B$597,MATCH($A1584,Items!$A$5:$A$597,0)),""))</f>
        <v/>
      </c>
      <c r="D1584" s="23" t="str">
        <f>IF($A1584="","",N(Receipts!$G1587))</f>
        <v/>
      </c>
      <c r="E1584" s="20" t="str">
        <f>IF($A1584="","",IFERROR(INDEX(Items!$D$5:$D$597,MATCH($A1584,Items!$A$5:$A$597,0)),0))</f>
        <v/>
      </c>
      <c r="F1584" s="21" t="str">
        <f t="shared" si="120"/>
        <v/>
      </c>
      <c r="G1584" s="25" t="str">
        <f>IF(Receipts!$I1587="","",Receipts!$I1587)</f>
        <v/>
      </c>
      <c r="H1584" s="25" t="str">
        <f>IF(Receipts!$H1587="","",Receipts!$H1587)</f>
        <v/>
      </c>
      <c r="I1584" s="26" t="str">
        <f t="shared" ca="1" si="121"/>
        <v/>
      </c>
      <c r="J1584" s="26" t="str">
        <f>IF($A1584="","",COUNTIFS(tblReceipts[Item Name],$A1584,tblReceipts[Expiry Date],"&lt;"&amp;$H1584)+COUNTIFS(tblReceipts[Item Name],$A1584,tblReceipts[Expiry Date],$H1584,tblReceipts[Lot Number],"&lt;="&amp;Receipts!$C1587))</f>
        <v/>
      </c>
      <c r="K1584" s="26" t="str">
        <f>IF($A1584="","",SUMIFS(tblReceipts[Qty Received],tblReceipts[Item Name],$A1584,tblReceipts[Expiry Date],"&lt;"&amp;$H1584)+SUMIFS(tblReceipts[Qty Received],tblReceipts[Item Name],$A1584,tblReceipts[Expiry Date],$H1584,tblReceipts[Lot Number],"&lt;"&amp;Receipts!$C1587))</f>
        <v/>
      </c>
      <c r="L1584" s="26" t="str">
        <f>IF($A1584="","",MIN($D1584,MAX(0,SUMIFS(tblIssues[Qty Issued],tblIssues[Item Name],$A1584)-$K1584)))</f>
        <v/>
      </c>
      <c r="M1584" s="26" t="str">
        <f>IF($A1584="","",SUMIFS(tblIssues[Qty Issued],tblIssues[Lot Number],$B1584))</f>
        <v/>
      </c>
      <c r="N1584" s="26" t="str">
        <f t="shared" si="122"/>
        <v/>
      </c>
      <c r="O1584" s="26" t="str">
        <f t="shared" si="123"/>
        <v/>
      </c>
      <c r="P1584" s="21" t="str">
        <f t="shared" si="124"/>
        <v/>
      </c>
      <c r="Q1584" s="52" t="str">
        <f>IF($A1584="","",IF($O1584&lt;=0,"Depleted",IF($I1584&lt;0,"EXPIRED",IF($I1584&lt;=Settings!$C$6,"CRITICAL",IF($I1584&lt;=Settings!$C$5,"Expiring","In date")))))</f>
        <v/>
      </c>
    </row>
    <row r="1585" spans="1:17" x14ac:dyDescent="0.35">
      <c r="A1585" s="90" t="str">
        <f>IF(Receipts!$D1588="","",Receipts!$D1588)</f>
        <v/>
      </c>
      <c r="B1585" s="18" t="str">
        <f>IF(Receipts!$C1588="","",Receipts!$C1588)</f>
        <v/>
      </c>
      <c r="C1585" s="18" t="str">
        <f>IF($A1585="","",IFERROR(INDEX(Items!$B$5:$B$597,MATCH($A1585,Items!$A$5:$A$597,0)),""))</f>
        <v/>
      </c>
      <c r="D1585" s="23" t="str">
        <f>IF($A1585="","",N(Receipts!$G1588))</f>
        <v/>
      </c>
      <c r="E1585" s="20" t="str">
        <f>IF($A1585="","",IFERROR(INDEX(Items!$D$5:$D$597,MATCH($A1585,Items!$A$5:$A$597,0)),0))</f>
        <v/>
      </c>
      <c r="F1585" s="21" t="str">
        <f t="shared" si="120"/>
        <v/>
      </c>
      <c r="G1585" s="25" t="str">
        <f>IF(Receipts!$I1588="","",Receipts!$I1588)</f>
        <v/>
      </c>
      <c r="H1585" s="25" t="str">
        <f>IF(Receipts!$H1588="","",Receipts!$H1588)</f>
        <v/>
      </c>
      <c r="I1585" s="26" t="str">
        <f t="shared" ca="1" si="121"/>
        <v/>
      </c>
      <c r="J1585" s="26" t="str">
        <f>IF($A1585="","",COUNTIFS(tblReceipts[Item Name],$A1585,tblReceipts[Expiry Date],"&lt;"&amp;$H1585)+COUNTIFS(tblReceipts[Item Name],$A1585,tblReceipts[Expiry Date],$H1585,tblReceipts[Lot Number],"&lt;="&amp;Receipts!$C1588))</f>
        <v/>
      </c>
      <c r="K1585" s="26" t="str">
        <f>IF($A1585="","",SUMIFS(tblReceipts[Qty Received],tblReceipts[Item Name],$A1585,tblReceipts[Expiry Date],"&lt;"&amp;$H1585)+SUMIFS(tblReceipts[Qty Received],tblReceipts[Item Name],$A1585,tblReceipts[Expiry Date],$H1585,tblReceipts[Lot Number],"&lt;"&amp;Receipts!$C1588))</f>
        <v/>
      </c>
      <c r="L1585" s="26" t="str">
        <f>IF($A1585="","",MIN($D1585,MAX(0,SUMIFS(tblIssues[Qty Issued],tblIssues[Item Name],$A1585)-$K1585)))</f>
        <v/>
      </c>
      <c r="M1585" s="26" t="str">
        <f>IF($A1585="","",SUMIFS(tblIssues[Qty Issued],tblIssues[Lot Number],$B1585))</f>
        <v/>
      </c>
      <c r="N1585" s="26" t="str">
        <f t="shared" si="122"/>
        <v/>
      </c>
      <c r="O1585" s="26" t="str">
        <f t="shared" si="123"/>
        <v/>
      </c>
      <c r="P1585" s="21" t="str">
        <f t="shared" si="124"/>
        <v/>
      </c>
      <c r="Q1585" s="52" t="str">
        <f>IF($A1585="","",IF($O1585&lt;=0,"Depleted",IF($I1585&lt;0,"EXPIRED",IF($I1585&lt;=Settings!$C$6,"CRITICAL",IF($I1585&lt;=Settings!$C$5,"Expiring","In date")))))</f>
        <v/>
      </c>
    </row>
    <row r="1586" spans="1:17" x14ac:dyDescent="0.35">
      <c r="A1586" s="90" t="str">
        <f>IF(Receipts!$D1589="","",Receipts!$D1589)</f>
        <v/>
      </c>
      <c r="B1586" s="18" t="str">
        <f>IF(Receipts!$C1589="","",Receipts!$C1589)</f>
        <v/>
      </c>
      <c r="C1586" s="18" t="str">
        <f>IF($A1586="","",IFERROR(INDEX(Items!$B$5:$B$597,MATCH($A1586,Items!$A$5:$A$597,0)),""))</f>
        <v/>
      </c>
      <c r="D1586" s="23" t="str">
        <f>IF($A1586="","",N(Receipts!$G1589))</f>
        <v/>
      </c>
      <c r="E1586" s="20" t="str">
        <f>IF($A1586="","",IFERROR(INDEX(Items!$D$5:$D$597,MATCH($A1586,Items!$A$5:$A$597,0)),0))</f>
        <v/>
      </c>
      <c r="F1586" s="21" t="str">
        <f t="shared" si="120"/>
        <v/>
      </c>
      <c r="G1586" s="25" t="str">
        <f>IF(Receipts!$I1589="","",Receipts!$I1589)</f>
        <v/>
      </c>
      <c r="H1586" s="25" t="str">
        <f>IF(Receipts!$H1589="","",Receipts!$H1589)</f>
        <v/>
      </c>
      <c r="I1586" s="26" t="str">
        <f t="shared" ca="1" si="121"/>
        <v/>
      </c>
      <c r="J1586" s="26" t="str">
        <f>IF($A1586="","",COUNTIFS(tblReceipts[Item Name],$A1586,tblReceipts[Expiry Date],"&lt;"&amp;$H1586)+COUNTIFS(tblReceipts[Item Name],$A1586,tblReceipts[Expiry Date],$H1586,tblReceipts[Lot Number],"&lt;="&amp;Receipts!$C1589))</f>
        <v/>
      </c>
      <c r="K1586" s="26" t="str">
        <f>IF($A1586="","",SUMIFS(tblReceipts[Qty Received],tblReceipts[Item Name],$A1586,tblReceipts[Expiry Date],"&lt;"&amp;$H1586)+SUMIFS(tblReceipts[Qty Received],tblReceipts[Item Name],$A1586,tblReceipts[Expiry Date],$H1586,tblReceipts[Lot Number],"&lt;"&amp;Receipts!$C1589))</f>
        <v/>
      </c>
      <c r="L1586" s="26" t="str">
        <f>IF($A1586="","",MIN($D1586,MAX(0,SUMIFS(tblIssues[Qty Issued],tblIssues[Item Name],$A1586)-$K1586)))</f>
        <v/>
      </c>
      <c r="M1586" s="26" t="str">
        <f>IF($A1586="","",SUMIFS(tblIssues[Qty Issued],tblIssues[Lot Number],$B1586))</f>
        <v/>
      </c>
      <c r="N1586" s="26" t="str">
        <f t="shared" si="122"/>
        <v/>
      </c>
      <c r="O1586" s="26" t="str">
        <f t="shared" si="123"/>
        <v/>
      </c>
      <c r="P1586" s="21" t="str">
        <f t="shared" si="124"/>
        <v/>
      </c>
      <c r="Q1586" s="52" t="str">
        <f>IF($A1586="","",IF($O1586&lt;=0,"Depleted",IF($I1586&lt;0,"EXPIRED",IF($I1586&lt;=Settings!$C$6,"CRITICAL",IF($I1586&lt;=Settings!$C$5,"Expiring","In date")))))</f>
        <v/>
      </c>
    </row>
    <row r="1587" spans="1:17" x14ac:dyDescent="0.35">
      <c r="A1587" s="90" t="str">
        <f>IF(Receipts!$D1590="","",Receipts!$D1590)</f>
        <v/>
      </c>
      <c r="B1587" s="18" t="str">
        <f>IF(Receipts!$C1590="","",Receipts!$C1590)</f>
        <v/>
      </c>
      <c r="C1587" s="18" t="str">
        <f>IF($A1587="","",IFERROR(INDEX(Items!$B$5:$B$597,MATCH($A1587,Items!$A$5:$A$597,0)),""))</f>
        <v/>
      </c>
      <c r="D1587" s="23" t="str">
        <f>IF($A1587="","",N(Receipts!$G1590))</f>
        <v/>
      </c>
      <c r="E1587" s="20" t="str">
        <f>IF($A1587="","",IFERROR(INDEX(Items!$D$5:$D$597,MATCH($A1587,Items!$A$5:$A$597,0)),0))</f>
        <v/>
      </c>
      <c r="F1587" s="21" t="str">
        <f t="shared" si="120"/>
        <v/>
      </c>
      <c r="G1587" s="25" t="str">
        <f>IF(Receipts!$I1590="","",Receipts!$I1590)</f>
        <v/>
      </c>
      <c r="H1587" s="25" t="str">
        <f>IF(Receipts!$H1590="","",Receipts!$H1590)</f>
        <v/>
      </c>
      <c r="I1587" s="26" t="str">
        <f t="shared" ca="1" si="121"/>
        <v/>
      </c>
      <c r="J1587" s="26" t="str">
        <f>IF($A1587="","",COUNTIFS(tblReceipts[Item Name],$A1587,tblReceipts[Expiry Date],"&lt;"&amp;$H1587)+COUNTIFS(tblReceipts[Item Name],$A1587,tblReceipts[Expiry Date],$H1587,tblReceipts[Lot Number],"&lt;="&amp;Receipts!$C1590))</f>
        <v/>
      </c>
      <c r="K1587" s="26" t="str">
        <f>IF($A1587="","",SUMIFS(tblReceipts[Qty Received],tblReceipts[Item Name],$A1587,tblReceipts[Expiry Date],"&lt;"&amp;$H1587)+SUMIFS(tblReceipts[Qty Received],tblReceipts[Item Name],$A1587,tblReceipts[Expiry Date],$H1587,tblReceipts[Lot Number],"&lt;"&amp;Receipts!$C1590))</f>
        <v/>
      </c>
      <c r="L1587" s="26" t="str">
        <f>IF($A1587="","",MIN($D1587,MAX(0,SUMIFS(tblIssues[Qty Issued],tblIssues[Item Name],$A1587)-$K1587)))</f>
        <v/>
      </c>
      <c r="M1587" s="26" t="str">
        <f>IF($A1587="","",SUMIFS(tblIssues[Qty Issued],tblIssues[Lot Number],$B1587))</f>
        <v/>
      </c>
      <c r="N1587" s="26" t="str">
        <f t="shared" si="122"/>
        <v/>
      </c>
      <c r="O1587" s="26" t="str">
        <f t="shared" si="123"/>
        <v/>
      </c>
      <c r="P1587" s="21" t="str">
        <f t="shared" si="124"/>
        <v/>
      </c>
      <c r="Q1587" s="52" t="str">
        <f>IF($A1587="","",IF($O1587&lt;=0,"Depleted",IF($I1587&lt;0,"EXPIRED",IF($I1587&lt;=Settings!$C$6,"CRITICAL",IF($I1587&lt;=Settings!$C$5,"Expiring","In date")))))</f>
        <v/>
      </c>
    </row>
    <row r="1588" spans="1:17" x14ac:dyDescent="0.35">
      <c r="A1588" s="90" t="str">
        <f>IF(Receipts!$D1591="","",Receipts!$D1591)</f>
        <v/>
      </c>
      <c r="B1588" s="18" t="str">
        <f>IF(Receipts!$C1591="","",Receipts!$C1591)</f>
        <v/>
      </c>
      <c r="C1588" s="18" t="str">
        <f>IF($A1588="","",IFERROR(INDEX(Items!$B$5:$B$597,MATCH($A1588,Items!$A$5:$A$597,0)),""))</f>
        <v/>
      </c>
      <c r="D1588" s="23" t="str">
        <f>IF($A1588="","",N(Receipts!$G1591))</f>
        <v/>
      </c>
      <c r="E1588" s="20" t="str">
        <f>IF($A1588="","",IFERROR(INDEX(Items!$D$5:$D$597,MATCH($A1588,Items!$A$5:$A$597,0)),0))</f>
        <v/>
      </c>
      <c r="F1588" s="21" t="str">
        <f t="shared" si="120"/>
        <v/>
      </c>
      <c r="G1588" s="25" t="str">
        <f>IF(Receipts!$I1591="","",Receipts!$I1591)</f>
        <v/>
      </c>
      <c r="H1588" s="25" t="str">
        <f>IF(Receipts!$H1591="","",Receipts!$H1591)</f>
        <v/>
      </c>
      <c r="I1588" s="26" t="str">
        <f t="shared" ca="1" si="121"/>
        <v/>
      </c>
      <c r="J1588" s="26" t="str">
        <f>IF($A1588="","",COUNTIFS(tblReceipts[Item Name],$A1588,tblReceipts[Expiry Date],"&lt;"&amp;$H1588)+COUNTIFS(tblReceipts[Item Name],$A1588,tblReceipts[Expiry Date],$H1588,tblReceipts[Lot Number],"&lt;="&amp;Receipts!$C1591))</f>
        <v/>
      </c>
      <c r="K1588" s="26" t="str">
        <f>IF($A1588="","",SUMIFS(tblReceipts[Qty Received],tblReceipts[Item Name],$A1588,tblReceipts[Expiry Date],"&lt;"&amp;$H1588)+SUMIFS(tblReceipts[Qty Received],tblReceipts[Item Name],$A1588,tblReceipts[Expiry Date],$H1588,tblReceipts[Lot Number],"&lt;"&amp;Receipts!$C1591))</f>
        <v/>
      </c>
      <c r="L1588" s="26" t="str">
        <f>IF($A1588="","",MIN($D1588,MAX(0,SUMIFS(tblIssues[Qty Issued],tblIssues[Item Name],$A1588)-$K1588)))</f>
        <v/>
      </c>
      <c r="M1588" s="26" t="str">
        <f>IF($A1588="","",SUMIFS(tblIssues[Qty Issued],tblIssues[Lot Number],$B1588))</f>
        <v/>
      </c>
      <c r="N1588" s="26" t="str">
        <f t="shared" si="122"/>
        <v/>
      </c>
      <c r="O1588" s="26" t="str">
        <f t="shared" si="123"/>
        <v/>
      </c>
      <c r="P1588" s="21" t="str">
        <f t="shared" si="124"/>
        <v/>
      </c>
      <c r="Q1588" s="52" t="str">
        <f>IF($A1588="","",IF($O1588&lt;=0,"Depleted",IF($I1588&lt;0,"EXPIRED",IF($I1588&lt;=Settings!$C$6,"CRITICAL",IF($I1588&lt;=Settings!$C$5,"Expiring","In date")))))</f>
        <v/>
      </c>
    </row>
    <row r="1589" spans="1:17" x14ac:dyDescent="0.35">
      <c r="A1589" s="90" t="str">
        <f>IF(Receipts!$D1592="","",Receipts!$D1592)</f>
        <v/>
      </c>
      <c r="B1589" s="18" t="str">
        <f>IF(Receipts!$C1592="","",Receipts!$C1592)</f>
        <v/>
      </c>
      <c r="C1589" s="18" t="str">
        <f>IF($A1589="","",IFERROR(INDEX(Items!$B$5:$B$597,MATCH($A1589,Items!$A$5:$A$597,0)),""))</f>
        <v/>
      </c>
      <c r="D1589" s="23" t="str">
        <f>IF($A1589="","",N(Receipts!$G1592))</f>
        <v/>
      </c>
      <c r="E1589" s="20" t="str">
        <f>IF($A1589="","",IFERROR(INDEX(Items!$D$5:$D$597,MATCH($A1589,Items!$A$5:$A$597,0)),0))</f>
        <v/>
      </c>
      <c r="F1589" s="21" t="str">
        <f t="shared" si="120"/>
        <v/>
      </c>
      <c r="G1589" s="25" t="str">
        <f>IF(Receipts!$I1592="","",Receipts!$I1592)</f>
        <v/>
      </c>
      <c r="H1589" s="25" t="str">
        <f>IF(Receipts!$H1592="","",Receipts!$H1592)</f>
        <v/>
      </c>
      <c r="I1589" s="26" t="str">
        <f t="shared" ca="1" si="121"/>
        <v/>
      </c>
      <c r="J1589" s="26" t="str">
        <f>IF($A1589="","",COUNTIFS(tblReceipts[Item Name],$A1589,tblReceipts[Expiry Date],"&lt;"&amp;$H1589)+COUNTIFS(tblReceipts[Item Name],$A1589,tblReceipts[Expiry Date],$H1589,tblReceipts[Lot Number],"&lt;="&amp;Receipts!$C1592))</f>
        <v/>
      </c>
      <c r="K1589" s="26" t="str">
        <f>IF($A1589="","",SUMIFS(tblReceipts[Qty Received],tblReceipts[Item Name],$A1589,tblReceipts[Expiry Date],"&lt;"&amp;$H1589)+SUMIFS(tblReceipts[Qty Received],tblReceipts[Item Name],$A1589,tblReceipts[Expiry Date],$H1589,tblReceipts[Lot Number],"&lt;"&amp;Receipts!$C1592))</f>
        <v/>
      </c>
      <c r="L1589" s="26" t="str">
        <f>IF($A1589="","",MIN($D1589,MAX(0,SUMIFS(tblIssues[Qty Issued],tblIssues[Item Name],$A1589)-$K1589)))</f>
        <v/>
      </c>
      <c r="M1589" s="26" t="str">
        <f>IF($A1589="","",SUMIFS(tblIssues[Qty Issued],tblIssues[Lot Number],$B1589))</f>
        <v/>
      </c>
      <c r="N1589" s="26" t="str">
        <f t="shared" si="122"/>
        <v/>
      </c>
      <c r="O1589" s="26" t="str">
        <f t="shared" si="123"/>
        <v/>
      </c>
      <c r="P1589" s="21" t="str">
        <f t="shared" si="124"/>
        <v/>
      </c>
      <c r="Q1589" s="52" t="str">
        <f>IF($A1589="","",IF($O1589&lt;=0,"Depleted",IF($I1589&lt;0,"EXPIRED",IF($I1589&lt;=Settings!$C$6,"CRITICAL",IF($I1589&lt;=Settings!$C$5,"Expiring","In date")))))</f>
        <v/>
      </c>
    </row>
    <row r="1590" spans="1:17" x14ac:dyDescent="0.35">
      <c r="A1590" s="90" t="str">
        <f>IF(Receipts!$D1593="","",Receipts!$D1593)</f>
        <v/>
      </c>
      <c r="B1590" s="18" t="str">
        <f>IF(Receipts!$C1593="","",Receipts!$C1593)</f>
        <v/>
      </c>
      <c r="C1590" s="18" t="str">
        <f>IF($A1590="","",IFERROR(INDEX(Items!$B$5:$B$597,MATCH($A1590,Items!$A$5:$A$597,0)),""))</f>
        <v/>
      </c>
      <c r="D1590" s="23" t="str">
        <f>IF($A1590="","",N(Receipts!$G1593))</f>
        <v/>
      </c>
      <c r="E1590" s="20" t="str">
        <f>IF($A1590="","",IFERROR(INDEX(Items!$D$5:$D$597,MATCH($A1590,Items!$A$5:$A$597,0)),0))</f>
        <v/>
      </c>
      <c r="F1590" s="21" t="str">
        <f t="shared" si="120"/>
        <v/>
      </c>
      <c r="G1590" s="25" t="str">
        <f>IF(Receipts!$I1593="","",Receipts!$I1593)</f>
        <v/>
      </c>
      <c r="H1590" s="25" t="str">
        <f>IF(Receipts!$H1593="","",Receipts!$H1593)</f>
        <v/>
      </c>
      <c r="I1590" s="26" t="str">
        <f t="shared" ca="1" si="121"/>
        <v/>
      </c>
      <c r="J1590" s="26" t="str">
        <f>IF($A1590="","",COUNTIFS(tblReceipts[Item Name],$A1590,tblReceipts[Expiry Date],"&lt;"&amp;$H1590)+COUNTIFS(tblReceipts[Item Name],$A1590,tblReceipts[Expiry Date],$H1590,tblReceipts[Lot Number],"&lt;="&amp;Receipts!$C1593))</f>
        <v/>
      </c>
      <c r="K1590" s="26" t="str">
        <f>IF($A1590="","",SUMIFS(tblReceipts[Qty Received],tblReceipts[Item Name],$A1590,tblReceipts[Expiry Date],"&lt;"&amp;$H1590)+SUMIFS(tblReceipts[Qty Received],tblReceipts[Item Name],$A1590,tblReceipts[Expiry Date],$H1590,tblReceipts[Lot Number],"&lt;"&amp;Receipts!$C1593))</f>
        <v/>
      </c>
      <c r="L1590" s="26" t="str">
        <f>IF($A1590="","",MIN($D1590,MAX(0,SUMIFS(tblIssues[Qty Issued],tblIssues[Item Name],$A1590)-$K1590)))</f>
        <v/>
      </c>
      <c r="M1590" s="26" t="str">
        <f>IF($A1590="","",SUMIFS(tblIssues[Qty Issued],tblIssues[Lot Number],$B1590))</f>
        <v/>
      </c>
      <c r="N1590" s="26" t="str">
        <f t="shared" si="122"/>
        <v/>
      </c>
      <c r="O1590" s="26" t="str">
        <f t="shared" si="123"/>
        <v/>
      </c>
      <c r="P1590" s="21" t="str">
        <f t="shared" si="124"/>
        <v/>
      </c>
      <c r="Q1590" s="52" t="str">
        <f>IF($A1590="","",IF($O1590&lt;=0,"Depleted",IF($I1590&lt;0,"EXPIRED",IF($I1590&lt;=Settings!$C$6,"CRITICAL",IF($I1590&lt;=Settings!$C$5,"Expiring","In date")))))</f>
        <v/>
      </c>
    </row>
    <row r="1591" spans="1:17" x14ac:dyDescent="0.35">
      <c r="A1591" s="90" t="str">
        <f>IF(Receipts!$D1594="","",Receipts!$D1594)</f>
        <v/>
      </c>
      <c r="B1591" s="18" t="str">
        <f>IF(Receipts!$C1594="","",Receipts!$C1594)</f>
        <v/>
      </c>
      <c r="C1591" s="18" t="str">
        <f>IF($A1591="","",IFERROR(INDEX(Items!$B$5:$B$597,MATCH($A1591,Items!$A$5:$A$597,0)),""))</f>
        <v/>
      </c>
      <c r="D1591" s="23" t="str">
        <f>IF($A1591="","",N(Receipts!$G1594))</f>
        <v/>
      </c>
      <c r="E1591" s="20" t="str">
        <f>IF($A1591="","",IFERROR(INDEX(Items!$D$5:$D$597,MATCH($A1591,Items!$A$5:$A$597,0)),0))</f>
        <v/>
      </c>
      <c r="F1591" s="21" t="str">
        <f t="shared" si="120"/>
        <v/>
      </c>
      <c r="G1591" s="25" t="str">
        <f>IF(Receipts!$I1594="","",Receipts!$I1594)</f>
        <v/>
      </c>
      <c r="H1591" s="25" t="str">
        <f>IF(Receipts!$H1594="","",Receipts!$H1594)</f>
        <v/>
      </c>
      <c r="I1591" s="26" t="str">
        <f t="shared" ca="1" si="121"/>
        <v/>
      </c>
      <c r="J1591" s="26" t="str">
        <f>IF($A1591="","",COUNTIFS(tblReceipts[Item Name],$A1591,tblReceipts[Expiry Date],"&lt;"&amp;$H1591)+COUNTIFS(tblReceipts[Item Name],$A1591,tblReceipts[Expiry Date],$H1591,tblReceipts[Lot Number],"&lt;="&amp;Receipts!$C1594))</f>
        <v/>
      </c>
      <c r="K1591" s="26" t="str">
        <f>IF($A1591="","",SUMIFS(tblReceipts[Qty Received],tblReceipts[Item Name],$A1591,tblReceipts[Expiry Date],"&lt;"&amp;$H1591)+SUMIFS(tblReceipts[Qty Received],tblReceipts[Item Name],$A1591,tblReceipts[Expiry Date],$H1591,tblReceipts[Lot Number],"&lt;"&amp;Receipts!$C1594))</f>
        <v/>
      </c>
      <c r="L1591" s="26" t="str">
        <f>IF($A1591="","",MIN($D1591,MAX(0,SUMIFS(tblIssues[Qty Issued],tblIssues[Item Name],$A1591)-$K1591)))</f>
        <v/>
      </c>
      <c r="M1591" s="26" t="str">
        <f>IF($A1591="","",SUMIFS(tblIssues[Qty Issued],tblIssues[Lot Number],$B1591))</f>
        <v/>
      </c>
      <c r="N1591" s="26" t="str">
        <f t="shared" si="122"/>
        <v/>
      </c>
      <c r="O1591" s="26" t="str">
        <f t="shared" si="123"/>
        <v/>
      </c>
      <c r="P1591" s="21" t="str">
        <f t="shared" si="124"/>
        <v/>
      </c>
      <c r="Q1591" s="52" t="str">
        <f>IF($A1591="","",IF($O1591&lt;=0,"Depleted",IF($I1591&lt;0,"EXPIRED",IF($I1591&lt;=Settings!$C$6,"CRITICAL",IF($I1591&lt;=Settings!$C$5,"Expiring","In date")))))</f>
        <v/>
      </c>
    </row>
    <row r="1592" spans="1:17" x14ac:dyDescent="0.35">
      <c r="A1592" s="90" t="str">
        <f>IF(Receipts!$D1595="","",Receipts!$D1595)</f>
        <v/>
      </c>
      <c r="B1592" s="18" t="str">
        <f>IF(Receipts!$C1595="","",Receipts!$C1595)</f>
        <v/>
      </c>
      <c r="C1592" s="18" t="str">
        <f>IF($A1592="","",IFERROR(INDEX(Items!$B$5:$B$597,MATCH($A1592,Items!$A$5:$A$597,0)),""))</f>
        <v/>
      </c>
      <c r="D1592" s="23" t="str">
        <f>IF($A1592="","",N(Receipts!$G1595))</f>
        <v/>
      </c>
      <c r="E1592" s="20" t="str">
        <f>IF($A1592="","",IFERROR(INDEX(Items!$D$5:$D$597,MATCH($A1592,Items!$A$5:$A$597,0)),0))</f>
        <v/>
      </c>
      <c r="F1592" s="21" t="str">
        <f t="shared" si="120"/>
        <v/>
      </c>
      <c r="G1592" s="25" t="str">
        <f>IF(Receipts!$I1595="","",Receipts!$I1595)</f>
        <v/>
      </c>
      <c r="H1592" s="25" t="str">
        <f>IF(Receipts!$H1595="","",Receipts!$H1595)</f>
        <v/>
      </c>
      <c r="I1592" s="26" t="str">
        <f t="shared" ca="1" si="121"/>
        <v/>
      </c>
      <c r="J1592" s="26" t="str">
        <f>IF($A1592="","",COUNTIFS(tblReceipts[Item Name],$A1592,tblReceipts[Expiry Date],"&lt;"&amp;$H1592)+COUNTIFS(tblReceipts[Item Name],$A1592,tblReceipts[Expiry Date],$H1592,tblReceipts[Lot Number],"&lt;="&amp;Receipts!$C1595))</f>
        <v/>
      </c>
      <c r="K1592" s="26" t="str">
        <f>IF($A1592="","",SUMIFS(tblReceipts[Qty Received],tblReceipts[Item Name],$A1592,tblReceipts[Expiry Date],"&lt;"&amp;$H1592)+SUMIFS(tblReceipts[Qty Received],tblReceipts[Item Name],$A1592,tblReceipts[Expiry Date],$H1592,tblReceipts[Lot Number],"&lt;"&amp;Receipts!$C1595))</f>
        <v/>
      </c>
      <c r="L1592" s="26" t="str">
        <f>IF($A1592="","",MIN($D1592,MAX(0,SUMIFS(tblIssues[Qty Issued],tblIssues[Item Name],$A1592)-$K1592)))</f>
        <v/>
      </c>
      <c r="M1592" s="26" t="str">
        <f>IF($A1592="","",SUMIFS(tblIssues[Qty Issued],tblIssues[Lot Number],$B1592))</f>
        <v/>
      </c>
      <c r="N1592" s="26" t="str">
        <f t="shared" si="122"/>
        <v/>
      </c>
      <c r="O1592" s="26" t="str">
        <f t="shared" si="123"/>
        <v/>
      </c>
      <c r="P1592" s="21" t="str">
        <f t="shared" si="124"/>
        <v/>
      </c>
      <c r="Q1592" s="52" t="str">
        <f>IF($A1592="","",IF($O1592&lt;=0,"Depleted",IF($I1592&lt;0,"EXPIRED",IF($I1592&lt;=Settings!$C$6,"CRITICAL",IF($I1592&lt;=Settings!$C$5,"Expiring","In date")))))</f>
        <v/>
      </c>
    </row>
    <row r="1593" spans="1:17" x14ac:dyDescent="0.35">
      <c r="A1593" s="90" t="str">
        <f>IF(Receipts!$D1596="","",Receipts!$D1596)</f>
        <v/>
      </c>
      <c r="B1593" s="18" t="str">
        <f>IF(Receipts!$C1596="","",Receipts!$C1596)</f>
        <v/>
      </c>
      <c r="C1593" s="18" t="str">
        <f>IF($A1593="","",IFERROR(INDEX(Items!$B$5:$B$597,MATCH($A1593,Items!$A$5:$A$597,0)),""))</f>
        <v/>
      </c>
      <c r="D1593" s="23" t="str">
        <f>IF($A1593="","",N(Receipts!$G1596))</f>
        <v/>
      </c>
      <c r="E1593" s="20" t="str">
        <f>IF($A1593="","",IFERROR(INDEX(Items!$D$5:$D$597,MATCH($A1593,Items!$A$5:$A$597,0)),0))</f>
        <v/>
      </c>
      <c r="F1593" s="21" t="str">
        <f t="shared" si="120"/>
        <v/>
      </c>
      <c r="G1593" s="25" t="str">
        <f>IF(Receipts!$I1596="","",Receipts!$I1596)</f>
        <v/>
      </c>
      <c r="H1593" s="25" t="str">
        <f>IF(Receipts!$H1596="","",Receipts!$H1596)</f>
        <v/>
      </c>
      <c r="I1593" s="26" t="str">
        <f t="shared" ca="1" si="121"/>
        <v/>
      </c>
      <c r="J1593" s="26" t="str">
        <f>IF($A1593="","",COUNTIFS(tblReceipts[Item Name],$A1593,tblReceipts[Expiry Date],"&lt;"&amp;$H1593)+COUNTIFS(tblReceipts[Item Name],$A1593,tblReceipts[Expiry Date],$H1593,tblReceipts[Lot Number],"&lt;="&amp;Receipts!$C1596))</f>
        <v/>
      </c>
      <c r="K1593" s="26" t="str">
        <f>IF($A1593="","",SUMIFS(tblReceipts[Qty Received],tblReceipts[Item Name],$A1593,tblReceipts[Expiry Date],"&lt;"&amp;$H1593)+SUMIFS(tblReceipts[Qty Received],tblReceipts[Item Name],$A1593,tblReceipts[Expiry Date],$H1593,tblReceipts[Lot Number],"&lt;"&amp;Receipts!$C1596))</f>
        <v/>
      </c>
      <c r="L1593" s="26" t="str">
        <f>IF($A1593="","",MIN($D1593,MAX(0,SUMIFS(tblIssues[Qty Issued],tblIssues[Item Name],$A1593)-$K1593)))</f>
        <v/>
      </c>
      <c r="M1593" s="26" t="str">
        <f>IF($A1593="","",SUMIFS(tblIssues[Qty Issued],tblIssues[Lot Number],$B1593))</f>
        <v/>
      </c>
      <c r="N1593" s="26" t="str">
        <f t="shared" si="122"/>
        <v/>
      </c>
      <c r="O1593" s="26" t="str">
        <f t="shared" si="123"/>
        <v/>
      </c>
      <c r="P1593" s="21" t="str">
        <f t="shared" si="124"/>
        <v/>
      </c>
      <c r="Q1593" s="52" t="str">
        <f>IF($A1593="","",IF($O1593&lt;=0,"Depleted",IF($I1593&lt;0,"EXPIRED",IF($I1593&lt;=Settings!$C$6,"CRITICAL",IF($I1593&lt;=Settings!$C$5,"Expiring","In date")))))</f>
        <v/>
      </c>
    </row>
    <row r="1594" spans="1:17" x14ac:dyDescent="0.35">
      <c r="A1594" s="90" t="str">
        <f>IF(Receipts!$D1597="","",Receipts!$D1597)</f>
        <v/>
      </c>
      <c r="B1594" s="18" t="str">
        <f>IF(Receipts!$C1597="","",Receipts!$C1597)</f>
        <v/>
      </c>
      <c r="C1594" s="18" t="str">
        <f>IF($A1594="","",IFERROR(INDEX(Items!$B$5:$B$597,MATCH($A1594,Items!$A$5:$A$597,0)),""))</f>
        <v/>
      </c>
      <c r="D1594" s="23" t="str">
        <f>IF($A1594="","",N(Receipts!$G1597))</f>
        <v/>
      </c>
      <c r="E1594" s="20" t="str">
        <f>IF($A1594="","",IFERROR(INDEX(Items!$D$5:$D$597,MATCH($A1594,Items!$A$5:$A$597,0)),0))</f>
        <v/>
      </c>
      <c r="F1594" s="21" t="str">
        <f t="shared" si="120"/>
        <v/>
      </c>
      <c r="G1594" s="25" t="str">
        <f>IF(Receipts!$I1597="","",Receipts!$I1597)</f>
        <v/>
      </c>
      <c r="H1594" s="25" t="str">
        <f>IF(Receipts!$H1597="","",Receipts!$H1597)</f>
        <v/>
      </c>
      <c r="I1594" s="26" t="str">
        <f t="shared" ca="1" si="121"/>
        <v/>
      </c>
      <c r="J1594" s="26" t="str">
        <f>IF($A1594="","",COUNTIFS(tblReceipts[Item Name],$A1594,tblReceipts[Expiry Date],"&lt;"&amp;$H1594)+COUNTIFS(tblReceipts[Item Name],$A1594,tblReceipts[Expiry Date],$H1594,tblReceipts[Lot Number],"&lt;="&amp;Receipts!$C1597))</f>
        <v/>
      </c>
      <c r="K1594" s="26" t="str">
        <f>IF($A1594="","",SUMIFS(tblReceipts[Qty Received],tblReceipts[Item Name],$A1594,tblReceipts[Expiry Date],"&lt;"&amp;$H1594)+SUMIFS(tblReceipts[Qty Received],tblReceipts[Item Name],$A1594,tblReceipts[Expiry Date],$H1594,tblReceipts[Lot Number],"&lt;"&amp;Receipts!$C1597))</f>
        <v/>
      </c>
      <c r="L1594" s="26" t="str">
        <f>IF($A1594="","",MIN($D1594,MAX(0,SUMIFS(tblIssues[Qty Issued],tblIssues[Item Name],$A1594)-$K1594)))</f>
        <v/>
      </c>
      <c r="M1594" s="26" t="str">
        <f>IF($A1594="","",SUMIFS(tblIssues[Qty Issued],tblIssues[Lot Number],$B1594))</f>
        <v/>
      </c>
      <c r="N1594" s="26" t="str">
        <f t="shared" si="122"/>
        <v/>
      </c>
      <c r="O1594" s="26" t="str">
        <f t="shared" si="123"/>
        <v/>
      </c>
      <c r="P1594" s="21" t="str">
        <f t="shared" si="124"/>
        <v/>
      </c>
      <c r="Q1594" s="52" t="str">
        <f>IF($A1594="","",IF($O1594&lt;=0,"Depleted",IF($I1594&lt;0,"EXPIRED",IF($I1594&lt;=Settings!$C$6,"CRITICAL",IF($I1594&lt;=Settings!$C$5,"Expiring","In date")))))</f>
        <v/>
      </c>
    </row>
    <row r="1595" spans="1:17" x14ac:dyDescent="0.35">
      <c r="A1595" s="90" t="str">
        <f>IF(Receipts!$D1598="","",Receipts!$D1598)</f>
        <v/>
      </c>
      <c r="B1595" s="18" t="str">
        <f>IF(Receipts!$C1598="","",Receipts!$C1598)</f>
        <v/>
      </c>
      <c r="C1595" s="18" t="str">
        <f>IF($A1595="","",IFERROR(INDEX(Items!$B$5:$B$597,MATCH($A1595,Items!$A$5:$A$597,0)),""))</f>
        <v/>
      </c>
      <c r="D1595" s="23" t="str">
        <f>IF($A1595="","",N(Receipts!$G1598))</f>
        <v/>
      </c>
      <c r="E1595" s="20" t="str">
        <f>IF($A1595="","",IFERROR(INDEX(Items!$D$5:$D$597,MATCH($A1595,Items!$A$5:$A$597,0)),0))</f>
        <v/>
      </c>
      <c r="F1595" s="21" t="str">
        <f t="shared" si="120"/>
        <v/>
      </c>
      <c r="G1595" s="25" t="str">
        <f>IF(Receipts!$I1598="","",Receipts!$I1598)</f>
        <v/>
      </c>
      <c r="H1595" s="25" t="str">
        <f>IF(Receipts!$H1598="","",Receipts!$H1598)</f>
        <v/>
      </c>
      <c r="I1595" s="26" t="str">
        <f t="shared" ca="1" si="121"/>
        <v/>
      </c>
      <c r="J1595" s="26" t="str">
        <f>IF($A1595="","",COUNTIFS(tblReceipts[Item Name],$A1595,tblReceipts[Expiry Date],"&lt;"&amp;$H1595)+COUNTIFS(tblReceipts[Item Name],$A1595,tblReceipts[Expiry Date],$H1595,tblReceipts[Lot Number],"&lt;="&amp;Receipts!$C1598))</f>
        <v/>
      </c>
      <c r="K1595" s="26" t="str">
        <f>IF($A1595="","",SUMIFS(tblReceipts[Qty Received],tblReceipts[Item Name],$A1595,tblReceipts[Expiry Date],"&lt;"&amp;$H1595)+SUMIFS(tblReceipts[Qty Received],tblReceipts[Item Name],$A1595,tblReceipts[Expiry Date],$H1595,tblReceipts[Lot Number],"&lt;"&amp;Receipts!$C1598))</f>
        <v/>
      </c>
      <c r="L1595" s="26" t="str">
        <f>IF($A1595="","",MIN($D1595,MAX(0,SUMIFS(tblIssues[Qty Issued],tblIssues[Item Name],$A1595)-$K1595)))</f>
        <v/>
      </c>
      <c r="M1595" s="26" t="str">
        <f>IF($A1595="","",SUMIFS(tblIssues[Qty Issued],tblIssues[Lot Number],$B1595))</f>
        <v/>
      </c>
      <c r="N1595" s="26" t="str">
        <f t="shared" si="122"/>
        <v/>
      </c>
      <c r="O1595" s="26" t="str">
        <f t="shared" si="123"/>
        <v/>
      </c>
      <c r="P1595" s="21" t="str">
        <f t="shared" si="124"/>
        <v/>
      </c>
      <c r="Q1595" s="52" t="str">
        <f>IF($A1595="","",IF($O1595&lt;=0,"Depleted",IF($I1595&lt;0,"EXPIRED",IF($I1595&lt;=Settings!$C$6,"CRITICAL",IF($I1595&lt;=Settings!$C$5,"Expiring","In date")))))</f>
        <v/>
      </c>
    </row>
    <row r="1596" spans="1:17" x14ac:dyDescent="0.35">
      <c r="A1596" s="90" t="str">
        <f>IF(Receipts!$D1599="","",Receipts!$D1599)</f>
        <v/>
      </c>
      <c r="B1596" s="18" t="str">
        <f>IF(Receipts!$C1599="","",Receipts!$C1599)</f>
        <v/>
      </c>
      <c r="C1596" s="18" t="str">
        <f>IF($A1596="","",IFERROR(INDEX(Items!$B$5:$B$597,MATCH($A1596,Items!$A$5:$A$597,0)),""))</f>
        <v/>
      </c>
      <c r="D1596" s="23" t="str">
        <f>IF($A1596="","",N(Receipts!$G1599))</f>
        <v/>
      </c>
      <c r="E1596" s="20" t="str">
        <f>IF($A1596="","",IFERROR(INDEX(Items!$D$5:$D$597,MATCH($A1596,Items!$A$5:$A$597,0)),0))</f>
        <v/>
      </c>
      <c r="F1596" s="21" t="str">
        <f t="shared" si="120"/>
        <v/>
      </c>
      <c r="G1596" s="25" t="str">
        <f>IF(Receipts!$I1599="","",Receipts!$I1599)</f>
        <v/>
      </c>
      <c r="H1596" s="25" t="str">
        <f>IF(Receipts!$H1599="","",Receipts!$H1599)</f>
        <v/>
      </c>
      <c r="I1596" s="26" t="str">
        <f t="shared" ca="1" si="121"/>
        <v/>
      </c>
      <c r="J1596" s="26" t="str">
        <f>IF($A1596="","",COUNTIFS(tblReceipts[Item Name],$A1596,tblReceipts[Expiry Date],"&lt;"&amp;$H1596)+COUNTIFS(tblReceipts[Item Name],$A1596,tblReceipts[Expiry Date],$H1596,tblReceipts[Lot Number],"&lt;="&amp;Receipts!$C1599))</f>
        <v/>
      </c>
      <c r="K1596" s="26" t="str">
        <f>IF($A1596="","",SUMIFS(tblReceipts[Qty Received],tblReceipts[Item Name],$A1596,tblReceipts[Expiry Date],"&lt;"&amp;$H1596)+SUMIFS(tblReceipts[Qty Received],tblReceipts[Item Name],$A1596,tblReceipts[Expiry Date],$H1596,tblReceipts[Lot Number],"&lt;"&amp;Receipts!$C1599))</f>
        <v/>
      </c>
      <c r="L1596" s="26" t="str">
        <f>IF($A1596="","",MIN($D1596,MAX(0,SUMIFS(tblIssues[Qty Issued],tblIssues[Item Name],$A1596)-$K1596)))</f>
        <v/>
      </c>
      <c r="M1596" s="26" t="str">
        <f>IF($A1596="","",SUMIFS(tblIssues[Qty Issued],tblIssues[Lot Number],$B1596))</f>
        <v/>
      </c>
      <c r="N1596" s="26" t="str">
        <f t="shared" si="122"/>
        <v/>
      </c>
      <c r="O1596" s="26" t="str">
        <f t="shared" si="123"/>
        <v/>
      </c>
      <c r="P1596" s="21" t="str">
        <f t="shared" si="124"/>
        <v/>
      </c>
      <c r="Q1596" s="52" t="str">
        <f>IF($A1596="","",IF($O1596&lt;=0,"Depleted",IF($I1596&lt;0,"EXPIRED",IF($I1596&lt;=Settings!$C$6,"CRITICAL",IF($I1596&lt;=Settings!$C$5,"Expiring","In date")))))</f>
        <v/>
      </c>
    </row>
    <row r="1597" spans="1:17" x14ac:dyDescent="0.35">
      <c r="A1597" s="90" t="str">
        <f>IF(Receipts!$D1600="","",Receipts!$D1600)</f>
        <v/>
      </c>
      <c r="B1597" s="18" t="str">
        <f>IF(Receipts!$C1600="","",Receipts!$C1600)</f>
        <v/>
      </c>
      <c r="C1597" s="18" t="str">
        <f>IF($A1597="","",IFERROR(INDEX(Items!$B$5:$B$597,MATCH($A1597,Items!$A$5:$A$597,0)),""))</f>
        <v/>
      </c>
      <c r="D1597" s="23" t="str">
        <f>IF($A1597="","",N(Receipts!$G1600))</f>
        <v/>
      </c>
      <c r="E1597" s="20" t="str">
        <f>IF($A1597="","",IFERROR(INDEX(Items!$D$5:$D$597,MATCH($A1597,Items!$A$5:$A$597,0)),0))</f>
        <v/>
      </c>
      <c r="F1597" s="21" t="str">
        <f t="shared" si="120"/>
        <v/>
      </c>
      <c r="G1597" s="25" t="str">
        <f>IF(Receipts!$I1600="","",Receipts!$I1600)</f>
        <v/>
      </c>
      <c r="H1597" s="25" t="str">
        <f>IF(Receipts!$H1600="","",Receipts!$H1600)</f>
        <v/>
      </c>
      <c r="I1597" s="26" t="str">
        <f t="shared" ca="1" si="121"/>
        <v/>
      </c>
      <c r="J1597" s="26" t="str">
        <f>IF($A1597="","",COUNTIFS(tblReceipts[Item Name],$A1597,tblReceipts[Expiry Date],"&lt;"&amp;$H1597)+COUNTIFS(tblReceipts[Item Name],$A1597,tblReceipts[Expiry Date],$H1597,tblReceipts[Lot Number],"&lt;="&amp;Receipts!$C1600))</f>
        <v/>
      </c>
      <c r="K1597" s="26" t="str">
        <f>IF($A1597="","",SUMIFS(tblReceipts[Qty Received],tblReceipts[Item Name],$A1597,tblReceipts[Expiry Date],"&lt;"&amp;$H1597)+SUMIFS(tblReceipts[Qty Received],tblReceipts[Item Name],$A1597,tblReceipts[Expiry Date],$H1597,tblReceipts[Lot Number],"&lt;"&amp;Receipts!$C1600))</f>
        <v/>
      </c>
      <c r="L1597" s="26" t="str">
        <f>IF($A1597="","",MIN($D1597,MAX(0,SUMIFS(tblIssues[Qty Issued],tblIssues[Item Name],$A1597)-$K1597)))</f>
        <v/>
      </c>
      <c r="M1597" s="26" t="str">
        <f>IF($A1597="","",SUMIFS(tblIssues[Qty Issued],tblIssues[Lot Number],$B1597))</f>
        <v/>
      </c>
      <c r="N1597" s="26" t="str">
        <f t="shared" si="122"/>
        <v/>
      </c>
      <c r="O1597" s="26" t="str">
        <f t="shared" si="123"/>
        <v/>
      </c>
      <c r="P1597" s="21" t="str">
        <f t="shared" si="124"/>
        <v/>
      </c>
      <c r="Q1597" s="52" t="str">
        <f>IF($A1597="","",IF($O1597&lt;=0,"Depleted",IF($I1597&lt;0,"EXPIRED",IF($I1597&lt;=Settings!$C$6,"CRITICAL",IF($I1597&lt;=Settings!$C$5,"Expiring","In date")))))</f>
        <v/>
      </c>
    </row>
    <row r="1598" spans="1:17" x14ac:dyDescent="0.35">
      <c r="A1598" s="90" t="str">
        <f>IF(Receipts!$D1601="","",Receipts!$D1601)</f>
        <v/>
      </c>
      <c r="B1598" s="18" t="str">
        <f>IF(Receipts!$C1601="","",Receipts!$C1601)</f>
        <v/>
      </c>
      <c r="C1598" s="18" t="str">
        <f>IF($A1598="","",IFERROR(INDEX(Items!$B$5:$B$597,MATCH($A1598,Items!$A$5:$A$597,0)),""))</f>
        <v/>
      </c>
      <c r="D1598" s="23" t="str">
        <f>IF($A1598="","",N(Receipts!$G1601))</f>
        <v/>
      </c>
      <c r="E1598" s="20" t="str">
        <f>IF($A1598="","",IFERROR(INDEX(Items!$D$5:$D$597,MATCH($A1598,Items!$A$5:$A$597,0)),0))</f>
        <v/>
      </c>
      <c r="F1598" s="21" t="str">
        <f t="shared" si="120"/>
        <v/>
      </c>
      <c r="G1598" s="25" t="str">
        <f>IF(Receipts!$I1601="","",Receipts!$I1601)</f>
        <v/>
      </c>
      <c r="H1598" s="25" t="str">
        <f>IF(Receipts!$H1601="","",Receipts!$H1601)</f>
        <v/>
      </c>
      <c r="I1598" s="26" t="str">
        <f t="shared" ca="1" si="121"/>
        <v/>
      </c>
      <c r="J1598" s="26" t="str">
        <f>IF($A1598="","",COUNTIFS(tblReceipts[Item Name],$A1598,tblReceipts[Expiry Date],"&lt;"&amp;$H1598)+COUNTIFS(tblReceipts[Item Name],$A1598,tblReceipts[Expiry Date],$H1598,tblReceipts[Lot Number],"&lt;="&amp;Receipts!$C1601))</f>
        <v/>
      </c>
      <c r="K1598" s="26" t="str">
        <f>IF($A1598="","",SUMIFS(tblReceipts[Qty Received],tblReceipts[Item Name],$A1598,tblReceipts[Expiry Date],"&lt;"&amp;$H1598)+SUMIFS(tblReceipts[Qty Received],tblReceipts[Item Name],$A1598,tblReceipts[Expiry Date],$H1598,tblReceipts[Lot Number],"&lt;"&amp;Receipts!$C1601))</f>
        <v/>
      </c>
      <c r="L1598" s="26" t="str">
        <f>IF($A1598="","",MIN($D1598,MAX(0,SUMIFS(tblIssues[Qty Issued],tblIssues[Item Name],$A1598)-$K1598)))</f>
        <v/>
      </c>
      <c r="M1598" s="26" t="str">
        <f>IF($A1598="","",SUMIFS(tblIssues[Qty Issued],tblIssues[Lot Number],$B1598))</f>
        <v/>
      </c>
      <c r="N1598" s="26" t="str">
        <f t="shared" si="122"/>
        <v/>
      </c>
      <c r="O1598" s="26" t="str">
        <f t="shared" si="123"/>
        <v/>
      </c>
      <c r="P1598" s="21" t="str">
        <f t="shared" si="124"/>
        <v/>
      </c>
      <c r="Q1598" s="52" t="str">
        <f>IF($A1598="","",IF($O1598&lt;=0,"Depleted",IF($I1598&lt;0,"EXPIRED",IF($I1598&lt;=Settings!$C$6,"CRITICAL",IF($I1598&lt;=Settings!$C$5,"Expiring","In date")))))</f>
        <v/>
      </c>
    </row>
    <row r="1599" spans="1:17" x14ac:dyDescent="0.35">
      <c r="A1599" s="90" t="str">
        <f>IF(Receipts!$D1602="","",Receipts!$D1602)</f>
        <v/>
      </c>
      <c r="B1599" s="18" t="str">
        <f>IF(Receipts!$C1602="","",Receipts!$C1602)</f>
        <v/>
      </c>
      <c r="C1599" s="18" t="str">
        <f>IF($A1599="","",IFERROR(INDEX(Items!$B$5:$B$597,MATCH($A1599,Items!$A$5:$A$597,0)),""))</f>
        <v/>
      </c>
      <c r="D1599" s="23" t="str">
        <f>IF($A1599="","",N(Receipts!$G1602))</f>
        <v/>
      </c>
      <c r="E1599" s="20" t="str">
        <f>IF($A1599="","",IFERROR(INDEX(Items!$D$5:$D$597,MATCH($A1599,Items!$A$5:$A$597,0)),0))</f>
        <v/>
      </c>
      <c r="F1599" s="21" t="str">
        <f t="shared" si="120"/>
        <v/>
      </c>
      <c r="G1599" s="25" t="str">
        <f>IF(Receipts!$I1602="","",Receipts!$I1602)</f>
        <v/>
      </c>
      <c r="H1599" s="25" t="str">
        <f>IF(Receipts!$H1602="","",Receipts!$H1602)</f>
        <v/>
      </c>
      <c r="I1599" s="26" t="str">
        <f t="shared" ca="1" si="121"/>
        <v/>
      </c>
      <c r="J1599" s="26" t="str">
        <f>IF($A1599="","",COUNTIFS(tblReceipts[Item Name],$A1599,tblReceipts[Expiry Date],"&lt;"&amp;$H1599)+COUNTIFS(tblReceipts[Item Name],$A1599,tblReceipts[Expiry Date],$H1599,tblReceipts[Lot Number],"&lt;="&amp;Receipts!$C1602))</f>
        <v/>
      </c>
      <c r="K1599" s="26" t="str">
        <f>IF($A1599="","",SUMIFS(tblReceipts[Qty Received],tblReceipts[Item Name],$A1599,tblReceipts[Expiry Date],"&lt;"&amp;$H1599)+SUMIFS(tblReceipts[Qty Received],tblReceipts[Item Name],$A1599,tblReceipts[Expiry Date],$H1599,tblReceipts[Lot Number],"&lt;"&amp;Receipts!$C1602))</f>
        <v/>
      </c>
      <c r="L1599" s="26" t="str">
        <f>IF($A1599="","",MIN($D1599,MAX(0,SUMIFS(tblIssues[Qty Issued],tblIssues[Item Name],$A1599)-$K1599)))</f>
        <v/>
      </c>
      <c r="M1599" s="26" t="str">
        <f>IF($A1599="","",SUMIFS(tblIssues[Qty Issued],tblIssues[Lot Number],$B1599))</f>
        <v/>
      </c>
      <c r="N1599" s="26" t="str">
        <f t="shared" si="122"/>
        <v/>
      </c>
      <c r="O1599" s="26" t="str">
        <f t="shared" si="123"/>
        <v/>
      </c>
      <c r="P1599" s="21" t="str">
        <f t="shared" si="124"/>
        <v/>
      </c>
      <c r="Q1599" s="52" t="str">
        <f>IF($A1599="","",IF($O1599&lt;=0,"Depleted",IF($I1599&lt;0,"EXPIRED",IF($I1599&lt;=Settings!$C$6,"CRITICAL",IF($I1599&lt;=Settings!$C$5,"Expiring","In date")))))</f>
        <v/>
      </c>
    </row>
    <row r="1600" spans="1:17" x14ac:dyDescent="0.35">
      <c r="A1600" s="90" t="str">
        <f>IF(Receipts!$D1603="","",Receipts!$D1603)</f>
        <v/>
      </c>
      <c r="B1600" s="18" t="str">
        <f>IF(Receipts!$C1603="","",Receipts!$C1603)</f>
        <v/>
      </c>
      <c r="C1600" s="18" t="str">
        <f>IF($A1600="","",IFERROR(INDEX(Items!$B$5:$B$597,MATCH($A1600,Items!$A$5:$A$597,0)),""))</f>
        <v/>
      </c>
      <c r="D1600" s="23" t="str">
        <f>IF($A1600="","",N(Receipts!$G1603))</f>
        <v/>
      </c>
      <c r="E1600" s="20" t="str">
        <f>IF($A1600="","",IFERROR(INDEX(Items!$D$5:$D$597,MATCH($A1600,Items!$A$5:$A$597,0)),0))</f>
        <v/>
      </c>
      <c r="F1600" s="21" t="str">
        <f t="shared" si="120"/>
        <v/>
      </c>
      <c r="G1600" s="25" t="str">
        <f>IF(Receipts!$I1603="","",Receipts!$I1603)</f>
        <v/>
      </c>
      <c r="H1600" s="25" t="str">
        <f>IF(Receipts!$H1603="","",Receipts!$H1603)</f>
        <v/>
      </c>
      <c r="I1600" s="26" t="str">
        <f t="shared" ca="1" si="121"/>
        <v/>
      </c>
      <c r="J1600" s="26" t="str">
        <f>IF($A1600="","",COUNTIFS(tblReceipts[Item Name],$A1600,tblReceipts[Expiry Date],"&lt;"&amp;$H1600)+COUNTIFS(tblReceipts[Item Name],$A1600,tblReceipts[Expiry Date],$H1600,tblReceipts[Lot Number],"&lt;="&amp;Receipts!$C1603))</f>
        <v/>
      </c>
      <c r="K1600" s="26" t="str">
        <f>IF($A1600="","",SUMIFS(tblReceipts[Qty Received],tblReceipts[Item Name],$A1600,tblReceipts[Expiry Date],"&lt;"&amp;$H1600)+SUMIFS(tblReceipts[Qty Received],tblReceipts[Item Name],$A1600,tblReceipts[Expiry Date],$H1600,tblReceipts[Lot Number],"&lt;"&amp;Receipts!$C1603))</f>
        <v/>
      </c>
      <c r="L1600" s="26" t="str">
        <f>IF($A1600="","",MIN($D1600,MAX(0,SUMIFS(tblIssues[Qty Issued],tblIssues[Item Name],$A1600)-$K1600)))</f>
        <v/>
      </c>
      <c r="M1600" s="26" t="str">
        <f>IF($A1600="","",SUMIFS(tblIssues[Qty Issued],tblIssues[Lot Number],$B1600))</f>
        <v/>
      </c>
      <c r="N1600" s="26" t="str">
        <f t="shared" si="122"/>
        <v/>
      </c>
      <c r="O1600" s="26" t="str">
        <f t="shared" si="123"/>
        <v/>
      </c>
      <c r="P1600" s="21" t="str">
        <f t="shared" si="124"/>
        <v/>
      </c>
      <c r="Q1600" s="52" t="str">
        <f>IF($A1600="","",IF($O1600&lt;=0,"Depleted",IF($I1600&lt;0,"EXPIRED",IF($I1600&lt;=Settings!$C$6,"CRITICAL",IF($I1600&lt;=Settings!$C$5,"Expiring","In date")))))</f>
        <v/>
      </c>
    </row>
    <row r="1601" spans="1:17" x14ac:dyDescent="0.35">
      <c r="A1601" s="90" t="str">
        <f>IF(Receipts!$D1604="","",Receipts!$D1604)</f>
        <v/>
      </c>
      <c r="B1601" s="18" t="str">
        <f>IF(Receipts!$C1604="","",Receipts!$C1604)</f>
        <v/>
      </c>
      <c r="C1601" s="18" t="str">
        <f>IF($A1601="","",IFERROR(INDEX(Items!$B$5:$B$597,MATCH($A1601,Items!$A$5:$A$597,0)),""))</f>
        <v/>
      </c>
      <c r="D1601" s="23" t="str">
        <f>IF($A1601="","",N(Receipts!$G1604))</f>
        <v/>
      </c>
      <c r="E1601" s="20" t="str">
        <f>IF($A1601="","",IFERROR(INDEX(Items!$D$5:$D$597,MATCH($A1601,Items!$A$5:$A$597,0)),0))</f>
        <v/>
      </c>
      <c r="F1601" s="21" t="str">
        <f t="shared" si="120"/>
        <v/>
      </c>
      <c r="G1601" s="25" t="str">
        <f>IF(Receipts!$I1604="","",Receipts!$I1604)</f>
        <v/>
      </c>
      <c r="H1601" s="25" t="str">
        <f>IF(Receipts!$H1604="","",Receipts!$H1604)</f>
        <v/>
      </c>
      <c r="I1601" s="26" t="str">
        <f t="shared" ca="1" si="121"/>
        <v/>
      </c>
      <c r="J1601" s="26" t="str">
        <f>IF($A1601="","",COUNTIFS(tblReceipts[Item Name],$A1601,tblReceipts[Expiry Date],"&lt;"&amp;$H1601)+COUNTIFS(tblReceipts[Item Name],$A1601,tblReceipts[Expiry Date],$H1601,tblReceipts[Lot Number],"&lt;="&amp;Receipts!$C1604))</f>
        <v/>
      </c>
      <c r="K1601" s="26" t="str">
        <f>IF($A1601="","",SUMIFS(tblReceipts[Qty Received],tblReceipts[Item Name],$A1601,tblReceipts[Expiry Date],"&lt;"&amp;$H1601)+SUMIFS(tblReceipts[Qty Received],tblReceipts[Item Name],$A1601,tblReceipts[Expiry Date],$H1601,tblReceipts[Lot Number],"&lt;"&amp;Receipts!$C1604))</f>
        <v/>
      </c>
      <c r="L1601" s="26" t="str">
        <f>IF($A1601="","",MIN($D1601,MAX(0,SUMIFS(tblIssues[Qty Issued],tblIssues[Item Name],$A1601)-$K1601)))</f>
        <v/>
      </c>
      <c r="M1601" s="26" t="str">
        <f>IF($A1601="","",SUMIFS(tblIssues[Qty Issued],tblIssues[Lot Number],$B1601))</f>
        <v/>
      </c>
      <c r="N1601" s="26" t="str">
        <f t="shared" si="122"/>
        <v/>
      </c>
      <c r="O1601" s="26" t="str">
        <f t="shared" si="123"/>
        <v/>
      </c>
      <c r="P1601" s="21" t="str">
        <f t="shared" si="124"/>
        <v/>
      </c>
      <c r="Q1601" s="52" t="str">
        <f>IF($A1601="","",IF($O1601&lt;=0,"Depleted",IF($I1601&lt;0,"EXPIRED",IF($I1601&lt;=Settings!$C$6,"CRITICAL",IF($I1601&lt;=Settings!$C$5,"Expiring","In date")))))</f>
        <v/>
      </c>
    </row>
    <row r="1602" spans="1:17" x14ac:dyDescent="0.35">
      <c r="A1602" s="90" t="str">
        <f>IF(Receipts!$D1605="","",Receipts!$D1605)</f>
        <v/>
      </c>
      <c r="B1602" s="18" t="str">
        <f>IF(Receipts!$C1605="","",Receipts!$C1605)</f>
        <v/>
      </c>
      <c r="C1602" s="18" t="str">
        <f>IF($A1602="","",IFERROR(INDEX(Items!$B$5:$B$597,MATCH($A1602,Items!$A$5:$A$597,0)),""))</f>
        <v/>
      </c>
      <c r="D1602" s="23" t="str">
        <f>IF($A1602="","",N(Receipts!$G1605))</f>
        <v/>
      </c>
      <c r="E1602" s="20" t="str">
        <f>IF($A1602="","",IFERROR(INDEX(Items!$D$5:$D$597,MATCH($A1602,Items!$A$5:$A$597,0)),0))</f>
        <v/>
      </c>
      <c r="F1602" s="21" t="str">
        <f t="shared" si="120"/>
        <v/>
      </c>
      <c r="G1602" s="25" t="str">
        <f>IF(Receipts!$I1605="","",Receipts!$I1605)</f>
        <v/>
      </c>
      <c r="H1602" s="25" t="str">
        <f>IF(Receipts!$H1605="","",Receipts!$H1605)</f>
        <v/>
      </c>
      <c r="I1602" s="26" t="str">
        <f t="shared" ca="1" si="121"/>
        <v/>
      </c>
      <c r="J1602" s="26" t="str">
        <f>IF($A1602="","",COUNTIFS(tblReceipts[Item Name],$A1602,tblReceipts[Expiry Date],"&lt;"&amp;$H1602)+COUNTIFS(tblReceipts[Item Name],$A1602,tblReceipts[Expiry Date],$H1602,tblReceipts[Lot Number],"&lt;="&amp;Receipts!$C1605))</f>
        <v/>
      </c>
      <c r="K1602" s="26" t="str">
        <f>IF($A1602="","",SUMIFS(tblReceipts[Qty Received],tblReceipts[Item Name],$A1602,tblReceipts[Expiry Date],"&lt;"&amp;$H1602)+SUMIFS(tblReceipts[Qty Received],tblReceipts[Item Name],$A1602,tblReceipts[Expiry Date],$H1602,tblReceipts[Lot Number],"&lt;"&amp;Receipts!$C1605))</f>
        <v/>
      </c>
      <c r="L1602" s="26" t="str">
        <f>IF($A1602="","",MIN($D1602,MAX(0,SUMIFS(tblIssues[Qty Issued],tblIssues[Item Name],$A1602)-$K1602)))</f>
        <v/>
      </c>
      <c r="M1602" s="26" t="str">
        <f>IF($A1602="","",SUMIFS(tblIssues[Qty Issued],tblIssues[Lot Number],$B1602))</f>
        <v/>
      </c>
      <c r="N1602" s="26" t="str">
        <f t="shared" si="122"/>
        <v/>
      </c>
      <c r="O1602" s="26" t="str">
        <f t="shared" si="123"/>
        <v/>
      </c>
      <c r="P1602" s="21" t="str">
        <f t="shared" si="124"/>
        <v/>
      </c>
      <c r="Q1602" s="52" t="str">
        <f>IF($A1602="","",IF($O1602&lt;=0,"Depleted",IF($I1602&lt;0,"EXPIRED",IF($I1602&lt;=Settings!$C$6,"CRITICAL",IF($I1602&lt;=Settings!$C$5,"Expiring","In date")))))</f>
        <v/>
      </c>
    </row>
    <row r="1603" spans="1:17" x14ac:dyDescent="0.35">
      <c r="A1603" s="90" t="str">
        <f>IF(Receipts!$D1606="","",Receipts!$D1606)</f>
        <v/>
      </c>
      <c r="B1603" s="18" t="str">
        <f>IF(Receipts!$C1606="","",Receipts!$C1606)</f>
        <v/>
      </c>
      <c r="C1603" s="18" t="str">
        <f>IF($A1603="","",IFERROR(INDEX(Items!$B$5:$B$597,MATCH($A1603,Items!$A$5:$A$597,0)),""))</f>
        <v/>
      </c>
      <c r="D1603" s="23" t="str">
        <f>IF($A1603="","",N(Receipts!$G1606))</f>
        <v/>
      </c>
      <c r="E1603" s="20" t="str">
        <f>IF($A1603="","",IFERROR(INDEX(Items!$D$5:$D$597,MATCH($A1603,Items!$A$5:$A$597,0)),0))</f>
        <v/>
      </c>
      <c r="F1603" s="21" t="str">
        <f t="shared" si="120"/>
        <v/>
      </c>
      <c r="G1603" s="25" t="str">
        <f>IF(Receipts!$I1606="","",Receipts!$I1606)</f>
        <v/>
      </c>
      <c r="H1603" s="25" t="str">
        <f>IF(Receipts!$H1606="","",Receipts!$H1606)</f>
        <v/>
      </c>
      <c r="I1603" s="26" t="str">
        <f t="shared" ca="1" si="121"/>
        <v/>
      </c>
      <c r="J1603" s="26" t="str">
        <f>IF($A1603="","",COUNTIFS(tblReceipts[Item Name],$A1603,tblReceipts[Expiry Date],"&lt;"&amp;$H1603)+COUNTIFS(tblReceipts[Item Name],$A1603,tblReceipts[Expiry Date],$H1603,tblReceipts[Lot Number],"&lt;="&amp;Receipts!$C1606))</f>
        <v/>
      </c>
      <c r="K1603" s="26" t="str">
        <f>IF($A1603="","",SUMIFS(tblReceipts[Qty Received],tblReceipts[Item Name],$A1603,tblReceipts[Expiry Date],"&lt;"&amp;$H1603)+SUMIFS(tblReceipts[Qty Received],tblReceipts[Item Name],$A1603,tblReceipts[Expiry Date],$H1603,tblReceipts[Lot Number],"&lt;"&amp;Receipts!$C1606))</f>
        <v/>
      </c>
      <c r="L1603" s="26" t="str">
        <f>IF($A1603="","",MIN($D1603,MAX(0,SUMIFS(tblIssues[Qty Issued],tblIssues[Item Name],$A1603)-$K1603)))</f>
        <v/>
      </c>
      <c r="M1603" s="26" t="str">
        <f>IF($A1603="","",SUMIFS(tblIssues[Qty Issued],tblIssues[Lot Number],$B1603))</f>
        <v/>
      </c>
      <c r="N1603" s="26" t="str">
        <f t="shared" si="122"/>
        <v/>
      </c>
      <c r="O1603" s="26" t="str">
        <f t="shared" si="123"/>
        <v/>
      </c>
      <c r="P1603" s="21" t="str">
        <f t="shared" si="124"/>
        <v/>
      </c>
      <c r="Q1603" s="52" t="str">
        <f>IF($A1603="","",IF($O1603&lt;=0,"Depleted",IF($I1603&lt;0,"EXPIRED",IF($I1603&lt;=Settings!$C$6,"CRITICAL",IF($I1603&lt;=Settings!$C$5,"Expiring","In date")))))</f>
        <v/>
      </c>
    </row>
    <row r="1604" spans="1:17" x14ac:dyDescent="0.35">
      <c r="A1604" s="90" t="str">
        <f>IF(Receipts!$D1607="","",Receipts!$D1607)</f>
        <v/>
      </c>
      <c r="B1604" s="18" t="str">
        <f>IF(Receipts!$C1607="","",Receipts!$C1607)</f>
        <v/>
      </c>
      <c r="C1604" s="18" t="str">
        <f>IF($A1604="","",IFERROR(INDEX(Items!$B$5:$B$597,MATCH($A1604,Items!$A$5:$A$597,0)),""))</f>
        <v/>
      </c>
      <c r="D1604" s="23" t="str">
        <f>IF($A1604="","",N(Receipts!$G1607))</f>
        <v/>
      </c>
      <c r="E1604" s="20" t="str">
        <f>IF($A1604="","",IFERROR(INDEX(Items!$D$5:$D$597,MATCH($A1604,Items!$A$5:$A$597,0)),0))</f>
        <v/>
      </c>
      <c r="F1604" s="21" t="str">
        <f t="shared" si="120"/>
        <v/>
      </c>
      <c r="G1604" s="25" t="str">
        <f>IF(Receipts!$I1607="","",Receipts!$I1607)</f>
        <v/>
      </c>
      <c r="H1604" s="25" t="str">
        <f>IF(Receipts!$H1607="","",Receipts!$H1607)</f>
        <v/>
      </c>
      <c r="I1604" s="26" t="str">
        <f t="shared" ca="1" si="121"/>
        <v/>
      </c>
      <c r="J1604" s="26" t="str">
        <f>IF($A1604="","",COUNTIFS(tblReceipts[Item Name],$A1604,tblReceipts[Expiry Date],"&lt;"&amp;$H1604)+COUNTIFS(tblReceipts[Item Name],$A1604,tblReceipts[Expiry Date],$H1604,tblReceipts[Lot Number],"&lt;="&amp;Receipts!$C1607))</f>
        <v/>
      </c>
      <c r="K1604" s="26" t="str">
        <f>IF($A1604="","",SUMIFS(tblReceipts[Qty Received],tblReceipts[Item Name],$A1604,tblReceipts[Expiry Date],"&lt;"&amp;$H1604)+SUMIFS(tblReceipts[Qty Received],tblReceipts[Item Name],$A1604,tblReceipts[Expiry Date],$H1604,tblReceipts[Lot Number],"&lt;"&amp;Receipts!$C1607))</f>
        <v/>
      </c>
      <c r="L1604" s="26" t="str">
        <f>IF($A1604="","",MIN($D1604,MAX(0,SUMIFS(tblIssues[Qty Issued],tblIssues[Item Name],$A1604)-$K1604)))</f>
        <v/>
      </c>
      <c r="M1604" s="26" t="str">
        <f>IF($A1604="","",SUMIFS(tblIssues[Qty Issued],tblIssues[Lot Number],$B1604))</f>
        <v/>
      </c>
      <c r="N1604" s="26" t="str">
        <f t="shared" si="122"/>
        <v/>
      </c>
      <c r="O1604" s="26" t="str">
        <f t="shared" si="123"/>
        <v/>
      </c>
      <c r="P1604" s="21" t="str">
        <f t="shared" si="124"/>
        <v/>
      </c>
      <c r="Q1604" s="52" t="str">
        <f>IF($A1604="","",IF($O1604&lt;=0,"Depleted",IF($I1604&lt;0,"EXPIRED",IF($I1604&lt;=Settings!$C$6,"CRITICAL",IF($I1604&lt;=Settings!$C$5,"Expiring","In date")))))</f>
        <v/>
      </c>
    </row>
    <row r="1605" spans="1:17" x14ac:dyDescent="0.35">
      <c r="A1605" s="90" t="str">
        <f>IF(Receipts!$D1608="","",Receipts!$D1608)</f>
        <v/>
      </c>
      <c r="B1605" s="18" t="str">
        <f>IF(Receipts!$C1608="","",Receipts!$C1608)</f>
        <v/>
      </c>
      <c r="C1605" s="18" t="str">
        <f>IF($A1605="","",IFERROR(INDEX(Items!$B$5:$B$597,MATCH($A1605,Items!$A$5:$A$597,0)),""))</f>
        <v/>
      </c>
      <c r="D1605" s="23" t="str">
        <f>IF($A1605="","",N(Receipts!$G1608))</f>
        <v/>
      </c>
      <c r="E1605" s="20" t="str">
        <f>IF($A1605="","",IFERROR(INDEX(Items!$D$5:$D$597,MATCH($A1605,Items!$A$5:$A$597,0)),0))</f>
        <v/>
      </c>
      <c r="F1605" s="21" t="str">
        <f t="shared" ref="F1605:F1668" si="125">IF($A1605="","",$D1605*$E1605)</f>
        <v/>
      </c>
      <c r="G1605" s="25" t="str">
        <f>IF(Receipts!$I1608="","",Receipts!$I1608)</f>
        <v/>
      </c>
      <c r="H1605" s="25" t="str">
        <f>IF(Receipts!$H1608="","",Receipts!$H1608)</f>
        <v/>
      </c>
      <c r="I1605" s="26" t="str">
        <f t="shared" ref="I1605:I1668" ca="1" si="126">IF($H1605="","",$H1605-TODAY())</f>
        <v/>
      </c>
      <c r="J1605" s="26" t="str">
        <f>IF($A1605="","",COUNTIFS(tblReceipts[Item Name],$A1605,tblReceipts[Expiry Date],"&lt;"&amp;$H1605)+COUNTIFS(tblReceipts[Item Name],$A1605,tblReceipts[Expiry Date],$H1605,tblReceipts[Lot Number],"&lt;="&amp;Receipts!$C1608))</f>
        <v/>
      </c>
      <c r="K1605" s="26" t="str">
        <f>IF($A1605="","",SUMIFS(tblReceipts[Qty Received],tblReceipts[Item Name],$A1605,tblReceipts[Expiry Date],"&lt;"&amp;$H1605)+SUMIFS(tblReceipts[Qty Received],tblReceipts[Item Name],$A1605,tblReceipts[Expiry Date],$H1605,tblReceipts[Lot Number],"&lt;"&amp;Receipts!$C1608))</f>
        <v/>
      </c>
      <c r="L1605" s="26" t="str">
        <f>IF($A1605="","",MIN($D1605,MAX(0,SUMIFS(tblIssues[Qty Issued],tblIssues[Item Name],$A1605)-$K1605)))</f>
        <v/>
      </c>
      <c r="M1605" s="26" t="str">
        <f>IF($A1605="","",SUMIFS(tblIssues[Qty Issued],tblIssues[Lot Number],$B1605))</f>
        <v/>
      </c>
      <c r="N1605" s="26" t="str">
        <f t="shared" ref="N1605:N1668" si="127">IF($A1605="","",$M1605-$L1605)</f>
        <v/>
      </c>
      <c r="O1605" s="26" t="str">
        <f t="shared" ref="O1605:O1668" si="128">IF($A1605="","",$D1605-$L1605)</f>
        <v/>
      </c>
      <c r="P1605" s="21" t="str">
        <f t="shared" ref="P1605:P1668" si="129">IF($A1605="","",$O1605*$E1605)</f>
        <v/>
      </c>
      <c r="Q1605" s="52" t="str">
        <f>IF($A1605="","",IF($O1605&lt;=0,"Depleted",IF($I1605&lt;0,"EXPIRED",IF($I1605&lt;=Settings!$C$6,"CRITICAL",IF($I1605&lt;=Settings!$C$5,"Expiring","In date")))))</f>
        <v/>
      </c>
    </row>
    <row r="1606" spans="1:17" x14ac:dyDescent="0.35">
      <c r="A1606" s="90" t="str">
        <f>IF(Receipts!$D1609="","",Receipts!$D1609)</f>
        <v/>
      </c>
      <c r="B1606" s="18" t="str">
        <f>IF(Receipts!$C1609="","",Receipts!$C1609)</f>
        <v/>
      </c>
      <c r="C1606" s="18" t="str">
        <f>IF($A1606="","",IFERROR(INDEX(Items!$B$5:$B$597,MATCH($A1606,Items!$A$5:$A$597,0)),""))</f>
        <v/>
      </c>
      <c r="D1606" s="23" t="str">
        <f>IF($A1606="","",N(Receipts!$G1609))</f>
        <v/>
      </c>
      <c r="E1606" s="20" t="str">
        <f>IF($A1606="","",IFERROR(INDEX(Items!$D$5:$D$597,MATCH($A1606,Items!$A$5:$A$597,0)),0))</f>
        <v/>
      </c>
      <c r="F1606" s="21" t="str">
        <f t="shared" si="125"/>
        <v/>
      </c>
      <c r="G1606" s="25" t="str">
        <f>IF(Receipts!$I1609="","",Receipts!$I1609)</f>
        <v/>
      </c>
      <c r="H1606" s="25" t="str">
        <f>IF(Receipts!$H1609="","",Receipts!$H1609)</f>
        <v/>
      </c>
      <c r="I1606" s="26" t="str">
        <f t="shared" ca="1" si="126"/>
        <v/>
      </c>
      <c r="J1606" s="26" t="str">
        <f>IF($A1606="","",COUNTIFS(tblReceipts[Item Name],$A1606,tblReceipts[Expiry Date],"&lt;"&amp;$H1606)+COUNTIFS(tblReceipts[Item Name],$A1606,tblReceipts[Expiry Date],$H1606,tblReceipts[Lot Number],"&lt;="&amp;Receipts!$C1609))</f>
        <v/>
      </c>
      <c r="K1606" s="26" t="str">
        <f>IF($A1606="","",SUMIFS(tblReceipts[Qty Received],tblReceipts[Item Name],$A1606,tblReceipts[Expiry Date],"&lt;"&amp;$H1606)+SUMIFS(tblReceipts[Qty Received],tblReceipts[Item Name],$A1606,tblReceipts[Expiry Date],$H1606,tblReceipts[Lot Number],"&lt;"&amp;Receipts!$C1609))</f>
        <v/>
      </c>
      <c r="L1606" s="26" t="str">
        <f>IF($A1606="","",MIN($D1606,MAX(0,SUMIFS(tblIssues[Qty Issued],tblIssues[Item Name],$A1606)-$K1606)))</f>
        <v/>
      </c>
      <c r="M1606" s="26" t="str">
        <f>IF($A1606="","",SUMIFS(tblIssues[Qty Issued],tblIssues[Lot Number],$B1606))</f>
        <v/>
      </c>
      <c r="N1606" s="26" t="str">
        <f t="shared" si="127"/>
        <v/>
      </c>
      <c r="O1606" s="26" t="str">
        <f t="shared" si="128"/>
        <v/>
      </c>
      <c r="P1606" s="21" t="str">
        <f t="shared" si="129"/>
        <v/>
      </c>
      <c r="Q1606" s="52" t="str">
        <f>IF($A1606="","",IF($O1606&lt;=0,"Depleted",IF($I1606&lt;0,"EXPIRED",IF($I1606&lt;=Settings!$C$6,"CRITICAL",IF($I1606&lt;=Settings!$C$5,"Expiring","In date")))))</f>
        <v/>
      </c>
    </row>
    <row r="1607" spans="1:17" x14ac:dyDescent="0.35">
      <c r="A1607" s="90" t="str">
        <f>IF(Receipts!$D1610="","",Receipts!$D1610)</f>
        <v/>
      </c>
      <c r="B1607" s="18" t="str">
        <f>IF(Receipts!$C1610="","",Receipts!$C1610)</f>
        <v/>
      </c>
      <c r="C1607" s="18" t="str">
        <f>IF($A1607="","",IFERROR(INDEX(Items!$B$5:$B$597,MATCH($A1607,Items!$A$5:$A$597,0)),""))</f>
        <v/>
      </c>
      <c r="D1607" s="23" t="str">
        <f>IF($A1607="","",N(Receipts!$G1610))</f>
        <v/>
      </c>
      <c r="E1607" s="20" t="str">
        <f>IF($A1607="","",IFERROR(INDEX(Items!$D$5:$D$597,MATCH($A1607,Items!$A$5:$A$597,0)),0))</f>
        <v/>
      </c>
      <c r="F1607" s="21" t="str">
        <f t="shared" si="125"/>
        <v/>
      </c>
      <c r="G1607" s="25" t="str">
        <f>IF(Receipts!$I1610="","",Receipts!$I1610)</f>
        <v/>
      </c>
      <c r="H1607" s="25" t="str">
        <f>IF(Receipts!$H1610="","",Receipts!$H1610)</f>
        <v/>
      </c>
      <c r="I1607" s="26" t="str">
        <f t="shared" ca="1" si="126"/>
        <v/>
      </c>
      <c r="J1607" s="26" t="str">
        <f>IF($A1607="","",COUNTIFS(tblReceipts[Item Name],$A1607,tblReceipts[Expiry Date],"&lt;"&amp;$H1607)+COUNTIFS(tblReceipts[Item Name],$A1607,tblReceipts[Expiry Date],$H1607,tblReceipts[Lot Number],"&lt;="&amp;Receipts!$C1610))</f>
        <v/>
      </c>
      <c r="K1607" s="26" t="str">
        <f>IF($A1607="","",SUMIFS(tblReceipts[Qty Received],tblReceipts[Item Name],$A1607,tblReceipts[Expiry Date],"&lt;"&amp;$H1607)+SUMIFS(tblReceipts[Qty Received],tblReceipts[Item Name],$A1607,tblReceipts[Expiry Date],$H1607,tblReceipts[Lot Number],"&lt;"&amp;Receipts!$C1610))</f>
        <v/>
      </c>
      <c r="L1607" s="26" t="str">
        <f>IF($A1607="","",MIN($D1607,MAX(0,SUMIFS(tblIssues[Qty Issued],tblIssues[Item Name],$A1607)-$K1607)))</f>
        <v/>
      </c>
      <c r="M1607" s="26" t="str">
        <f>IF($A1607="","",SUMIFS(tblIssues[Qty Issued],tblIssues[Lot Number],$B1607))</f>
        <v/>
      </c>
      <c r="N1607" s="26" t="str">
        <f t="shared" si="127"/>
        <v/>
      </c>
      <c r="O1607" s="26" t="str">
        <f t="shared" si="128"/>
        <v/>
      </c>
      <c r="P1607" s="21" t="str">
        <f t="shared" si="129"/>
        <v/>
      </c>
      <c r="Q1607" s="52" t="str">
        <f>IF($A1607="","",IF($O1607&lt;=0,"Depleted",IF($I1607&lt;0,"EXPIRED",IF($I1607&lt;=Settings!$C$6,"CRITICAL",IF($I1607&lt;=Settings!$C$5,"Expiring","In date")))))</f>
        <v/>
      </c>
    </row>
    <row r="1608" spans="1:17" x14ac:dyDescent="0.35">
      <c r="A1608" s="90" t="str">
        <f>IF(Receipts!$D1611="","",Receipts!$D1611)</f>
        <v/>
      </c>
      <c r="B1608" s="18" t="str">
        <f>IF(Receipts!$C1611="","",Receipts!$C1611)</f>
        <v/>
      </c>
      <c r="C1608" s="18" t="str">
        <f>IF($A1608="","",IFERROR(INDEX(Items!$B$5:$B$597,MATCH($A1608,Items!$A$5:$A$597,0)),""))</f>
        <v/>
      </c>
      <c r="D1608" s="23" t="str">
        <f>IF($A1608="","",N(Receipts!$G1611))</f>
        <v/>
      </c>
      <c r="E1608" s="20" t="str">
        <f>IF($A1608="","",IFERROR(INDEX(Items!$D$5:$D$597,MATCH($A1608,Items!$A$5:$A$597,0)),0))</f>
        <v/>
      </c>
      <c r="F1608" s="21" t="str">
        <f t="shared" si="125"/>
        <v/>
      </c>
      <c r="G1608" s="25" t="str">
        <f>IF(Receipts!$I1611="","",Receipts!$I1611)</f>
        <v/>
      </c>
      <c r="H1608" s="25" t="str">
        <f>IF(Receipts!$H1611="","",Receipts!$H1611)</f>
        <v/>
      </c>
      <c r="I1608" s="26" t="str">
        <f t="shared" ca="1" si="126"/>
        <v/>
      </c>
      <c r="J1608" s="26" t="str">
        <f>IF($A1608="","",COUNTIFS(tblReceipts[Item Name],$A1608,tblReceipts[Expiry Date],"&lt;"&amp;$H1608)+COUNTIFS(tblReceipts[Item Name],$A1608,tblReceipts[Expiry Date],$H1608,tblReceipts[Lot Number],"&lt;="&amp;Receipts!$C1611))</f>
        <v/>
      </c>
      <c r="K1608" s="26" t="str">
        <f>IF($A1608="","",SUMIFS(tblReceipts[Qty Received],tblReceipts[Item Name],$A1608,tblReceipts[Expiry Date],"&lt;"&amp;$H1608)+SUMIFS(tblReceipts[Qty Received],tblReceipts[Item Name],$A1608,tblReceipts[Expiry Date],$H1608,tblReceipts[Lot Number],"&lt;"&amp;Receipts!$C1611))</f>
        <v/>
      </c>
      <c r="L1608" s="26" t="str">
        <f>IF($A1608="","",MIN($D1608,MAX(0,SUMIFS(tblIssues[Qty Issued],tblIssues[Item Name],$A1608)-$K1608)))</f>
        <v/>
      </c>
      <c r="M1608" s="26" t="str">
        <f>IF($A1608="","",SUMIFS(tblIssues[Qty Issued],tblIssues[Lot Number],$B1608))</f>
        <v/>
      </c>
      <c r="N1608" s="26" t="str">
        <f t="shared" si="127"/>
        <v/>
      </c>
      <c r="O1608" s="26" t="str">
        <f t="shared" si="128"/>
        <v/>
      </c>
      <c r="P1608" s="21" t="str">
        <f t="shared" si="129"/>
        <v/>
      </c>
      <c r="Q1608" s="52" t="str">
        <f>IF($A1608="","",IF($O1608&lt;=0,"Depleted",IF($I1608&lt;0,"EXPIRED",IF($I1608&lt;=Settings!$C$6,"CRITICAL",IF($I1608&lt;=Settings!$C$5,"Expiring","In date")))))</f>
        <v/>
      </c>
    </row>
    <row r="1609" spans="1:17" x14ac:dyDescent="0.35">
      <c r="A1609" s="90" t="str">
        <f>IF(Receipts!$D1612="","",Receipts!$D1612)</f>
        <v/>
      </c>
      <c r="B1609" s="18" t="str">
        <f>IF(Receipts!$C1612="","",Receipts!$C1612)</f>
        <v/>
      </c>
      <c r="C1609" s="18" t="str">
        <f>IF($A1609="","",IFERROR(INDEX(Items!$B$5:$B$597,MATCH($A1609,Items!$A$5:$A$597,0)),""))</f>
        <v/>
      </c>
      <c r="D1609" s="23" t="str">
        <f>IF($A1609="","",N(Receipts!$G1612))</f>
        <v/>
      </c>
      <c r="E1609" s="20" t="str">
        <f>IF($A1609="","",IFERROR(INDEX(Items!$D$5:$D$597,MATCH($A1609,Items!$A$5:$A$597,0)),0))</f>
        <v/>
      </c>
      <c r="F1609" s="21" t="str">
        <f t="shared" si="125"/>
        <v/>
      </c>
      <c r="G1609" s="25" t="str">
        <f>IF(Receipts!$I1612="","",Receipts!$I1612)</f>
        <v/>
      </c>
      <c r="H1609" s="25" t="str">
        <f>IF(Receipts!$H1612="","",Receipts!$H1612)</f>
        <v/>
      </c>
      <c r="I1609" s="26" t="str">
        <f t="shared" ca="1" si="126"/>
        <v/>
      </c>
      <c r="J1609" s="26" t="str">
        <f>IF($A1609="","",COUNTIFS(tblReceipts[Item Name],$A1609,tblReceipts[Expiry Date],"&lt;"&amp;$H1609)+COUNTIFS(tblReceipts[Item Name],$A1609,tblReceipts[Expiry Date],$H1609,tblReceipts[Lot Number],"&lt;="&amp;Receipts!$C1612))</f>
        <v/>
      </c>
      <c r="K1609" s="26" t="str">
        <f>IF($A1609="","",SUMIFS(tblReceipts[Qty Received],tblReceipts[Item Name],$A1609,tblReceipts[Expiry Date],"&lt;"&amp;$H1609)+SUMIFS(tblReceipts[Qty Received],tblReceipts[Item Name],$A1609,tblReceipts[Expiry Date],$H1609,tblReceipts[Lot Number],"&lt;"&amp;Receipts!$C1612))</f>
        <v/>
      </c>
      <c r="L1609" s="26" t="str">
        <f>IF($A1609="","",MIN($D1609,MAX(0,SUMIFS(tblIssues[Qty Issued],tblIssues[Item Name],$A1609)-$K1609)))</f>
        <v/>
      </c>
      <c r="M1609" s="26" t="str">
        <f>IF($A1609="","",SUMIFS(tblIssues[Qty Issued],tblIssues[Lot Number],$B1609))</f>
        <v/>
      </c>
      <c r="N1609" s="26" t="str">
        <f t="shared" si="127"/>
        <v/>
      </c>
      <c r="O1609" s="26" t="str">
        <f t="shared" si="128"/>
        <v/>
      </c>
      <c r="P1609" s="21" t="str">
        <f t="shared" si="129"/>
        <v/>
      </c>
      <c r="Q1609" s="52" t="str">
        <f>IF($A1609="","",IF($O1609&lt;=0,"Depleted",IF($I1609&lt;0,"EXPIRED",IF($I1609&lt;=Settings!$C$6,"CRITICAL",IF($I1609&lt;=Settings!$C$5,"Expiring","In date")))))</f>
        <v/>
      </c>
    </row>
    <row r="1610" spans="1:17" x14ac:dyDescent="0.35">
      <c r="A1610" s="90" t="str">
        <f>IF(Receipts!$D1613="","",Receipts!$D1613)</f>
        <v/>
      </c>
      <c r="B1610" s="18" t="str">
        <f>IF(Receipts!$C1613="","",Receipts!$C1613)</f>
        <v/>
      </c>
      <c r="C1610" s="18" t="str">
        <f>IF($A1610="","",IFERROR(INDEX(Items!$B$5:$B$597,MATCH($A1610,Items!$A$5:$A$597,0)),""))</f>
        <v/>
      </c>
      <c r="D1610" s="23" t="str">
        <f>IF($A1610="","",N(Receipts!$G1613))</f>
        <v/>
      </c>
      <c r="E1610" s="20" t="str">
        <f>IF($A1610="","",IFERROR(INDEX(Items!$D$5:$D$597,MATCH($A1610,Items!$A$5:$A$597,0)),0))</f>
        <v/>
      </c>
      <c r="F1610" s="21" t="str">
        <f t="shared" si="125"/>
        <v/>
      </c>
      <c r="G1610" s="25" t="str">
        <f>IF(Receipts!$I1613="","",Receipts!$I1613)</f>
        <v/>
      </c>
      <c r="H1610" s="25" t="str">
        <f>IF(Receipts!$H1613="","",Receipts!$H1613)</f>
        <v/>
      </c>
      <c r="I1610" s="26" t="str">
        <f t="shared" ca="1" si="126"/>
        <v/>
      </c>
      <c r="J1610" s="26" t="str">
        <f>IF($A1610="","",COUNTIFS(tblReceipts[Item Name],$A1610,tblReceipts[Expiry Date],"&lt;"&amp;$H1610)+COUNTIFS(tblReceipts[Item Name],$A1610,tblReceipts[Expiry Date],$H1610,tblReceipts[Lot Number],"&lt;="&amp;Receipts!$C1613))</f>
        <v/>
      </c>
      <c r="K1610" s="26" t="str">
        <f>IF($A1610="","",SUMIFS(tblReceipts[Qty Received],tblReceipts[Item Name],$A1610,tblReceipts[Expiry Date],"&lt;"&amp;$H1610)+SUMIFS(tblReceipts[Qty Received],tblReceipts[Item Name],$A1610,tblReceipts[Expiry Date],$H1610,tblReceipts[Lot Number],"&lt;"&amp;Receipts!$C1613))</f>
        <v/>
      </c>
      <c r="L1610" s="26" t="str">
        <f>IF($A1610="","",MIN($D1610,MAX(0,SUMIFS(tblIssues[Qty Issued],tblIssues[Item Name],$A1610)-$K1610)))</f>
        <v/>
      </c>
      <c r="M1610" s="26" t="str">
        <f>IF($A1610="","",SUMIFS(tblIssues[Qty Issued],tblIssues[Lot Number],$B1610))</f>
        <v/>
      </c>
      <c r="N1610" s="26" t="str">
        <f t="shared" si="127"/>
        <v/>
      </c>
      <c r="O1610" s="26" t="str">
        <f t="shared" si="128"/>
        <v/>
      </c>
      <c r="P1610" s="21" t="str">
        <f t="shared" si="129"/>
        <v/>
      </c>
      <c r="Q1610" s="52" t="str">
        <f>IF($A1610="","",IF($O1610&lt;=0,"Depleted",IF($I1610&lt;0,"EXPIRED",IF($I1610&lt;=Settings!$C$6,"CRITICAL",IF($I1610&lt;=Settings!$C$5,"Expiring","In date")))))</f>
        <v/>
      </c>
    </row>
    <row r="1611" spans="1:17" x14ac:dyDescent="0.35">
      <c r="A1611" s="90" t="str">
        <f>IF(Receipts!$D1614="","",Receipts!$D1614)</f>
        <v/>
      </c>
      <c r="B1611" s="18" t="str">
        <f>IF(Receipts!$C1614="","",Receipts!$C1614)</f>
        <v/>
      </c>
      <c r="C1611" s="18" t="str">
        <f>IF($A1611="","",IFERROR(INDEX(Items!$B$5:$B$597,MATCH($A1611,Items!$A$5:$A$597,0)),""))</f>
        <v/>
      </c>
      <c r="D1611" s="23" t="str">
        <f>IF($A1611="","",N(Receipts!$G1614))</f>
        <v/>
      </c>
      <c r="E1611" s="20" t="str">
        <f>IF($A1611="","",IFERROR(INDEX(Items!$D$5:$D$597,MATCH($A1611,Items!$A$5:$A$597,0)),0))</f>
        <v/>
      </c>
      <c r="F1611" s="21" t="str">
        <f t="shared" si="125"/>
        <v/>
      </c>
      <c r="G1611" s="25" t="str">
        <f>IF(Receipts!$I1614="","",Receipts!$I1614)</f>
        <v/>
      </c>
      <c r="H1611" s="25" t="str">
        <f>IF(Receipts!$H1614="","",Receipts!$H1614)</f>
        <v/>
      </c>
      <c r="I1611" s="26" t="str">
        <f t="shared" ca="1" si="126"/>
        <v/>
      </c>
      <c r="J1611" s="26" t="str">
        <f>IF($A1611="","",COUNTIFS(tblReceipts[Item Name],$A1611,tblReceipts[Expiry Date],"&lt;"&amp;$H1611)+COUNTIFS(tblReceipts[Item Name],$A1611,tblReceipts[Expiry Date],$H1611,tblReceipts[Lot Number],"&lt;="&amp;Receipts!$C1614))</f>
        <v/>
      </c>
      <c r="K1611" s="26" t="str">
        <f>IF($A1611="","",SUMIFS(tblReceipts[Qty Received],tblReceipts[Item Name],$A1611,tblReceipts[Expiry Date],"&lt;"&amp;$H1611)+SUMIFS(tblReceipts[Qty Received],tblReceipts[Item Name],$A1611,tblReceipts[Expiry Date],$H1611,tblReceipts[Lot Number],"&lt;"&amp;Receipts!$C1614))</f>
        <v/>
      </c>
      <c r="L1611" s="26" t="str">
        <f>IF($A1611="","",MIN($D1611,MAX(0,SUMIFS(tblIssues[Qty Issued],tblIssues[Item Name],$A1611)-$K1611)))</f>
        <v/>
      </c>
      <c r="M1611" s="26" t="str">
        <f>IF($A1611="","",SUMIFS(tblIssues[Qty Issued],tblIssues[Lot Number],$B1611))</f>
        <v/>
      </c>
      <c r="N1611" s="26" t="str">
        <f t="shared" si="127"/>
        <v/>
      </c>
      <c r="O1611" s="26" t="str">
        <f t="shared" si="128"/>
        <v/>
      </c>
      <c r="P1611" s="21" t="str">
        <f t="shared" si="129"/>
        <v/>
      </c>
      <c r="Q1611" s="52" t="str">
        <f>IF($A1611="","",IF($O1611&lt;=0,"Depleted",IF($I1611&lt;0,"EXPIRED",IF($I1611&lt;=Settings!$C$6,"CRITICAL",IF($I1611&lt;=Settings!$C$5,"Expiring","In date")))))</f>
        <v/>
      </c>
    </row>
    <row r="1612" spans="1:17" x14ac:dyDescent="0.35">
      <c r="A1612" s="90" t="str">
        <f>IF(Receipts!$D1615="","",Receipts!$D1615)</f>
        <v/>
      </c>
      <c r="B1612" s="18" t="str">
        <f>IF(Receipts!$C1615="","",Receipts!$C1615)</f>
        <v/>
      </c>
      <c r="C1612" s="18" t="str">
        <f>IF($A1612="","",IFERROR(INDEX(Items!$B$5:$B$597,MATCH($A1612,Items!$A$5:$A$597,0)),""))</f>
        <v/>
      </c>
      <c r="D1612" s="23" t="str">
        <f>IF($A1612="","",N(Receipts!$G1615))</f>
        <v/>
      </c>
      <c r="E1612" s="20" t="str">
        <f>IF($A1612="","",IFERROR(INDEX(Items!$D$5:$D$597,MATCH($A1612,Items!$A$5:$A$597,0)),0))</f>
        <v/>
      </c>
      <c r="F1612" s="21" t="str">
        <f t="shared" si="125"/>
        <v/>
      </c>
      <c r="G1612" s="25" t="str">
        <f>IF(Receipts!$I1615="","",Receipts!$I1615)</f>
        <v/>
      </c>
      <c r="H1612" s="25" t="str">
        <f>IF(Receipts!$H1615="","",Receipts!$H1615)</f>
        <v/>
      </c>
      <c r="I1612" s="26" t="str">
        <f t="shared" ca="1" si="126"/>
        <v/>
      </c>
      <c r="J1612" s="26" t="str">
        <f>IF($A1612="","",COUNTIFS(tblReceipts[Item Name],$A1612,tblReceipts[Expiry Date],"&lt;"&amp;$H1612)+COUNTIFS(tblReceipts[Item Name],$A1612,tblReceipts[Expiry Date],$H1612,tblReceipts[Lot Number],"&lt;="&amp;Receipts!$C1615))</f>
        <v/>
      </c>
      <c r="K1612" s="26" t="str">
        <f>IF($A1612="","",SUMIFS(tblReceipts[Qty Received],tblReceipts[Item Name],$A1612,tblReceipts[Expiry Date],"&lt;"&amp;$H1612)+SUMIFS(tblReceipts[Qty Received],tblReceipts[Item Name],$A1612,tblReceipts[Expiry Date],$H1612,tblReceipts[Lot Number],"&lt;"&amp;Receipts!$C1615))</f>
        <v/>
      </c>
      <c r="L1612" s="26" t="str">
        <f>IF($A1612="","",MIN($D1612,MAX(0,SUMIFS(tblIssues[Qty Issued],tblIssues[Item Name],$A1612)-$K1612)))</f>
        <v/>
      </c>
      <c r="M1612" s="26" t="str">
        <f>IF($A1612="","",SUMIFS(tblIssues[Qty Issued],tblIssues[Lot Number],$B1612))</f>
        <v/>
      </c>
      <c r="N1612" s="26" t="str">
        <f t="shared" si="127"/>
        <v/>
      </c>
      <c r="O1612" s="26" t="str">
        <f t="shared" si="128"/>
        <v/>
      </c>
      <c r="P1612" s="21" t="str">
        <f t="shared" si="129"/>
        <v/>
      </c>
      <c r="Q1612" s="52" t="str">
        <f>IF($A1612="","",IF($O1612&lt;=0,"Depleted",IF($I1612&lt;0,"EXPIRED",IF($I1612&lt;=Settings!$C$6,"CRITICAL",IF($I1612&lt;=Settings!$C$5,"Expiring","In date")))))</f>
        <v/>
      </c>
    </row>
    <row r="1613" spans="1:17" x14ac:dyDescent="0.35">
      <c r="A1613" s="90" t="str">
        <f>IF(Receipts!$D1616="","",Receipts!$D1616)</f>
        <v/>
      </c>
      <c r="B1613" s="18" t="str">
        <f>IF(Receipts!$C1616="","",Receipts!$C1616)</f>
        <v/>
      </c>
      <c r="C1613" s="18" t="str">
        <f>IF($A1613="","",IFERROR(INDEX(Items!$B$5:$B$597,MATCH($A1613,Items!$A$5:$A$597,0)),""))</f>
        <v/>
      </c>
      <c r="D1613" s="23" t="str">
        <f>IF($A1613="","",N(Receipts!$G1616))</f>
        <v/>
      </c>
      <c r="E1613" s="20" t="str">
        <f>IF($A1613="","",IFERROR(INDEX(Items!$D$5:$D$597,MATCH($A1613,Items!$A$5:$A$597,0)),0))</f>
        <v/>
      </c>
      <c r="F1613" s="21" t="str">
        <f t="shared" si="125"/>
        <v/>
      </c>
      <c r="G1613" s="25" t="str">
        <f>IF(Receipts!$I1616="","",Receipts!$I1616)</f>
        <v/>
      </c>
      <c r="H1613" s="25" t="str">
        <f>IF(Receipts!$H1616="","",Receipts!$H1616)</f>
        <v/>
      </c>
      <c r="I1613" s="26" t="str">
        <f t="shared" ca="1" si="126"/>
        <v/>
      </c>
      <c r="J1613" s="26" t="str">
        <f>IF($A1613="","",COUNTIFS(tblReceipts[Item Name],$A1613,tblReceipts[Expiry Date],"&lt;"&amp;$H1613)+COUNTIFS(tblReceipts[Item Name],$A1613,tblReceipts[Expiry Date],$H1613,tblReceipts[Lot Number],"&lt;="&amp;Receipts!$C1616))</f>
        <v/>
      </c>
      <c r="K1613" s="26" t="str">
        <f>IF($A1613="","",SUMIFS(tblReceipts[Qty Received],tblReceipts[Item Name],$A1613,tblReceipts[Expiry Date],"&lt;"&amp;$H1613)+SUMIFS(tblReceipts[Qty Received],tblReceipts[Item Name],$A1613,tblReceipts[Expiry Date],$H1613,tblReceipts[Lot Number],"&lt;"&amp;Receipts!$C1616))</f>
        <v/>
      </c>
      <c r="L1613" s="26" t="str">
        <f>IF($A1613="","",MIN($D1613,MAX(0,SUMIFS(tblIssues[Qty Issued],tblIssues[Item Name],$A1613)-$K1613)))</f>
        <v/>
      </c>
      <c r="M1613" s="26" t="str">
        <f>IF($A1613="","",SUMIFS(tblIssues[Qty Issued],tblIssues[Lot Number],$B1613))</f>
        <v/>
      </c>
      <c r="N1613" s="26" t="str">
        <f t="shared" si="127"/>
        <v/>
      </c>
      <c r="O1613" s="26" t="str">
        <f t="shared" si="128"/>
        <v/>
      </c>
      <c r="P1613" s="21" t="str">
        <f t="shared" si="129"/>
        <v/>
      </c>
      <c r="Q1613" s="52" t="str">
        <f>IF($A1613="","",IF($O1613&lt;=0,"Depleted",IF($I1613&lt;0,"EXPIRED",IF($I1613&lt;=Settings!$C$6,"CRITICAL",IF($I1613&lt;=Settings!$C$5,"Expiring","In date")))))</f>
        <v/>
      </c>
    </row>
    <row r="1614" spans="1:17" x14ac:dyDescent="0.35">
      <c r="A1614" s="90" t="str">
        <f>IF(Receipts!$D1617="","",Receipts!$D1617)</f>
        <v/>
      </c>
      <c r="B1614" s="18" t="str">
        <f>IF(Receipts!$C1617="","",Receipts!$C1617)</f>
        <v/>
      </c>
      <c r="C1614" s="18" t="str">
        <f>IF($A1614="","",IFERROR(INDEX(Items!$B$5:$B$597,MATCH($A1614,Items!$A$5:$A$597,0)),""))</f>
        <v/>
      </c>
      <c r="D1614" s="23" t="str">
        <f>IF($A1614="","",N(Receipts!$G1617))</f>
        <v/>
      </c>
      <c r="E1614" s="20" t="str">
        <f>IF($A1614="","",IFERROR(INDEX(Items!$D$5:$D$597,MATCH($A1614,Items!$A$5:$A$597,0)),0))</f>
        <v/>
      </c>
      <c r="F1614" s="21" t="str">
        <f t="shared" si="125"/>
        <v/>
      </c>
      <c r="G1614" s="25" t="str">
        <f>IF(Receipts!$I1617="","",Receipts!$I1617)</f>
        <v/>
      </c>
      <c r="H1614" s="25" t="str">
        <f>IF(Receipts!$H1617="","",Receipts!$H1617)</f>
        <v/>
      </c>
      <c r="I1614" s="26" t="str">
        <f t="shared" ca="1" si="126"/>
        <v/>
      </c>
      <c r="J1614" s="26" t="str">
        <f>IF($A1614="","",COUNTIFS(tblReceipts[Item Name],$A1614,tblReceipts[Expiry Date],"&lt;"&amp;$H1614)+COUNTIFS(tblReceipts[Item Name],$A1614,tblReceipts[Expiry Date],$H1614,tblReceipts[Lot Number],"&lt;="&amp;Receipts!$C1617))</f>
        <v/>
      </c>
      <c r="K1614" s="26" t="str">
        <f>IF($A1614="","",SUMIFS(tblReceipts[Qty Received],tblReceipts[Item Name],$A1614,tblReceipts[Expiry Date],"&lt;"&amp;$H1614)+SUMIFS(tblReceipts[Qty Received],tblReceipts[Item Name],$A1614,tblReceipts[Expiry Date],$H1614,tblReceipts[Lot Number],"&lt;"&amp;Receipts!$C1617))</f>
        <v/>
      </c>
      <c r="L1614" s="26" t="str">
        <f>IF($A1614="","",MIN($D1614,MAX(0,SUMIFS(tblIssues[Qty Issued],tblIssues[Item Name],$A1614)-$K1614)))</f>
        <v/>
      </c>
      <c r="M1614" s="26" t="str">
        <f>IF($A1614="","",SUMIFS(tblIssues[Qty Issued],tblIssues[Lot Number],$B1614))</f>
        <v/>
      </c>
      <c r="N1614" s="26" t="str">
        <f t="shared" si="127"/>
        <v/>
      </c>
      <c r="O1614" s="26" t="str">
        <f t="shared" si="128"/>
        <v/>
      </c>
      <c r="P1614" s="21" t="str">
        <f t="shared" si="129"/>
        <v/>
      </c>
      <c r="Q1614" s="52" t="str">
        <f>IF($A1614="","",IF($O1614&lt;=0,"Depleted",IF($I1614&lt;0,"EXPIRED",IF($I1614&lt;=Settings!$C$6,"CRITICAL",IF($I1614&lt;=Settings!$C$5,"Expiring","In date")))))</f>
        <v/>
      </c>
    </row>
    <row r="1615" spans="1:17" x14ac:dyDescent="0.35">
      <c r="A1615" s="90" t="str">
        <f>IF(Receipts!$D1618="","",Receipts!$D1618)</f>
        <v/>
      </c>
      <c r="B1615" s="18" t="str">
        <f>IF(Receipts!$C1618="","",Receipts!$C1618)</f>
        <v/>
      </c>
      <c r="C1615" s="18" t="str">
        <f>IF($A1615="","",IFERROR(INDEX(Items!$B$5:$B$597,MATCH($A1615,Items!$A$5:$A$597,0)),""))</f>
        <v/>
      </c>
      <c r="D1615" s="23" t="str">
        <f>IF($A1615="","",N(Receipts!$G1618))</f>
        <v/>
      </c>
      <c r="E1615" s="20" t="str">
        <f>IF($A1615="","",IFERROR(INDEX(Items!$D$5:$D$597,MATCH($A1615,Items!$A$5:$A$597,0)),0))</f>
        <v/>
      </c>
      <c r="F1615" s="21" t="str">
        <f t="shared" si="125"/>
        <v/>
      </c>
      <c r="G1615" s="25" t="str">
        <f>IF(Receipts!$I1618="","",Receipts!$I1618)</f>
        <v/>
      </c>
      <c r="H1615" s="25" t="str">
        <f>IF(Receipts!$H1618="","",Receipts!$H1618)</f>
        <v/>
      </c>
      <c r="I1615" s="26" t="str">
        <f t="shared" ca="1" si="126"/>
        <v/>
      </c>
      <c r="J1615" s="26" t="str">
        <f>IF($A1615="","",COUNTIFS(tblReceipts[Item Name],$A1615,tblReceipts[Expiry Date],"&lt;"&amp;$H1615)+COUNTIFS(tblReceipts[Item Name],$A1615,tblReceipts[Expiry Date],$H1615,tblReceipts[Lot Number],"&lt;="&amp;Receipts!$C1618))</f>
        <v/>
      </c>
      <c r="K1615" s="26" t="str">
        <f>IF($A1615="","",SUMIFS(tblReceipts[Qty Received],tblReceipts[Item Name],$A1615,tblReceipts[Expiry Date],"&lt;"&amp;$H1615)+SUMIFS(tblReceipts[Qty Received],tblReceipts[Item Name],$A1615,tblReceipts[Expiry Date],$H1615,tblReceipts[Lot Number],"&lt;"&amp;Receipts!$C1618))</f>
        <v/>
      </c>
      <c r="L1615" s="26" t="str">
        <f>IF($A1615="","",MIN($D1615,MAX(0,SUMIFS(tblIssues[Qty Issued],tblIssues[Item Name],$A1615)-$K1615)))</f>
        <v/>
      </c>
      <c r="M1615" s="26" t="str">
        <f>IF($A1615="","",SUMIFS(tblIssues[Qty Issued],tblIssues[Lot Number],$B1615))</f>
        <v/>
      </c>
      <c r="N1615" s="26" t="str">
        <f t="shared" si="127"/>
        <v/>
      </c>
      <c r="O1615" s="26" t="str">
        <f t="shared" si="128"/>
        <v/>
      </c>
      <c r="P1615" s="21" t="str">
        <f t="shared" si="129"/>
        <v/>
      </c>
      <c r="Q1615" s="52" t="str">
        <f>IF($A1615="","",IF($O1615&lt;=0,"Depleted",IF($I1615&lt;0,"EXPIRED",IF($I1615&lt;=Settings!$C$6,"CRITICAL",IF($I1615&lt;=Settings!$C$5,"Expiring","In date")))))</f>
        <v/>
      </c>
    </row>
    <row r="1616" spans="1:17" x14ac:dyDescent="0.35">
      <c r="A1616" s="90" t="str">
        <f>IF(Receipts!$D1619="","",Receipts!$D1619)</f>
        <v/>
      </c>
      <c r="B1616" s="18" t="str">
        <f>IF(Receipts!$C1619="","",Receipts!$C1619)</f>
        <v/>
      </c>
      <c r="C1616" s="18" t="str">
        <f>IF($A1616="","",IFERROR(INDEX(Items!$B$5:$B$597,MATCH($A1616,Items!$A$5:$A$597,0)),""))</f>
        <v/>
      </c>
      <c r="D1616" s="23" t="str">
        <f>IF($A1616="","",N(Receipts!$G1619))</f>
        <v/>
      </c>
      <c r="E1616" s="20" t="str">
        <f>IF($A1616="","",IFERROR(INDEX(Items!$D$5:$D$597,MATCH($A1616,Items!$A$5:$A$597,0)),0))</f>
        <v/>
      </c>
      <c r="F1616" s="21" t="str">
        <f t="shared" si="125"/>
        <v/>
      </c>
      <c r="G1616" s="25" t="str">
        <f>IF(Receipts!$I1619="","",Receipts!$I1619)</f>
        <v/>
      </c>
      <c r="H1616" s="25" t="str">
        <f>IF(Receipts!$H1619="","",Receipts!$H1619)</f>
        <v/>
      </c>
      <c r="I1616" s="26" t="str">
        <f t="shared" ca="1" si="126"/>
        <v/>
      </c>
      <c r="J1616" s="26" t="str">
        <f>IF($A1616="","",COUNTIFS(tblReceipts[Item Name],$A1616,tblReceipts[Expiry Date],"&lt;"&amp;$H1616)+COUNTIFS(tblReceipts[Item Name],$A1616,tblReceipts[Expiry Date],$H1616,tblReceipts[Lot Number],"&lt;="&amp;Receipts!$C1619))</f>
        <v/>
      </c>
      <c r="K1616" s="26" t="str">
        <f>IF($A1616="","",SUMIFS(tblReceipts[Qty Received],tblReceipts[Item Name],$A1616,tblReceipts[Expiry Date],"&lt;"&amp;$H1616)+SUMIFS(tblReceipts[Qty Received],tblReceipts[Item Name],$A1616,tblReceipts[Expiry Date],$H1616,tblReceipts[Lot Number],"&lt;"&amp;Receipts!$C1619))</f>
        <v/>
      </c>
      <c r="L1616" s="26" t="str">
        <f>IF($A1616="","",MIN($D1616,MAX(0,SUMIFS(tblIssues[Qty Issued],tblIssues[Item Name],$A1616)-$K1616)))</f>
        <v/>
      </c>
      <c r="M1616" s="26" t="str">
        <f>IF($A1616="","",SUMIFS(tblIssues[Qty Issued],tblIssues[Lot Number],$B1616))</f>
        <v/>
      </c>
      <c r="N1616" s="26" t="str">
        <f t="shared" si="127"/>
        <v/>
      </c>
      <c r="O1616" s="26" t="str">
        <f t="shared" si="128"/>
        <v/>
      </c>
      <c r="P1616" s="21" t="str">
        <f t="shared" si="129"/>
        <v/>
      </c>
      <c r="Q1616" s="52" t="str">
        <f>IF($A1616="","",IF($O1616&lt;=0,"Depleted",IF($I1616&lt;0,"EXPIRED",IF($I1616&lt;=Settings!$C$6,"CRITICAL",IF($I1616&lt;=Settings!$C$5,"Expiring","In date")))))</f>
        <v/>
      </c>
    </row>
    <row r="1617" spans="1:17" x14ac:dyDescent="0.35">
      <c r="A1617" s="90" t="str">
        <f>IF(Receipts!$D1620="","",Receipts!$D1620)</f>
        <v/>
      </c>
      <c r="B1617" s="18" t="str">
        <f>IF(Receipts!$C1620="","",Receipts!$C1620)</f>
        <v/>
      </c>
      <c r="C1617" s="18" t="str">
        <f>IF($A1617="","",IFERROR(INDEX(Items!$B$5:$B$597,MATCH($A1617,Items!$A$5:$A$597,0)),""))</f>
        <v/>
      </c>
      <c r="D1617" s="23" t="str">
        <f>IF($A1617="","",N(Receipts!$G1620))</f>
        <v/>
      </c>
      <c r="E1617" s="20" t="str">
        <f>IF($A1617="","",IFERROR(INDEX(Items!$D$5:$D$597,MATCH($A1617,Items!$A$5:$A$597,0)),0))</f>
        <v/>
      </c>
      <c r="F1617" s="21" t="str">
        <f t="shared" si="125"/>
        <v/>
      </c>
      <c r="G1617" s="25" t="str">
        <f>IF(Receipts!$I1620="","",Receipts!$I1620)</f>
        <v/>
      </c>
      <c r="H1617" s="25" t="str">
        <f>IF(Receipts!$H1620="","",Receipts!$H1620)</f>
        <v/>
      </c>
      <c r="I1617" s="26" t="str">
        <f t="shared" ca="1" si="126"/>
        <v/>
      </c>
      <c r="J1617" s="26" t="str">
        <f>IF($A1617="","",COUNTIFS(tblReceipts[Item Name],$A1617,tblReceipts[Expiry Date],"&lt;"&amp;$H1617)+COUNTIFS(tblReceipts[Item Name],$A1617,tblReceipts[Expiry Date],$H1617,tblReceipts[Lot Number],"&lt;="&amp;Receipts!$C1620))</f>
        <v/>
      </c>
      <c r="K1617" s="26" t="str">
        <f>IF($A1617="","",SUMIFS(tblReceipts[Qty Received],tblReceipts[Item Name],$A1617,tblReceipts[Expiry Date],"&lt;"&amp;$H1617)+SUMIFS(tblReceipts[Qty Received],tblReceipts[Item Name],$A1617,tblReceipts[Expiry Date],$H1617,tblReceipts[Lot Number],"&lt;"&amp;Receipts!$C1620))</f>
        <v/>
      </c>
      <c r="L1617" s="26" t="str">
        <f>IF($A1617="","",MIN($D1617,MAX(0,SUMIFS(tblIssues[Qty Issued],tblIssues[Item Name],$A1617)-$K1617)))</f>
        <v/>
      </c>
      <c r="M1617" s="26" t="str">
        <f>IF($A1617="","",SUMIFS(tblIssues[Qty Issued],tblIssues[Lot Number],$B1617))</f>
        <v/>
      </c>
      <c r="N1617" s="26" t="str">
        <f t="shared" si="127"/>
        <v/>
      </c>
      <c r="O1617" s="26" t="str">
        <f t="shared" si="128"/>
        <v/>
      </c>
      <c r="P1617" s="21" t="str">
        <f t="shared" si="129"/>
        <v/>
      </c>
      <c r="Q1617" s="52" t="str">
        <f>IF($A1617="","",IF($O1617&lt;=0,"Depleted",IF($I1617&lt;0,"EXPIRED",IF($I1617&lt;=Settings!$C$6,"CRITICAL",IF($I1617&lt;=Settings!$C$5,"Expiring","In date")))))</f>
        <v/>
      </c>
    </row>
    <row r="1618" spans="1:17" x14ac:dyDescent="0.35">
      <c r="A1618" s="90" t="str">
        <f>IF(Receipts!$D1621="","",Receipts!$D1621)</f>
        <v/>
      </c>
      <c r="B1618" s="18" t="str">
        <f>IF(Receipts!$C1621="","",Receipts!$C1621)</f>
        <v/>
      </c>
      <c r="C1618" s="18" t="str">
        <f>IF($A1618="","",IFERROR(INDEX(Items!$B$5:$B$597,MATCH($A1618,Items!$A$5:$A$597,0)),""))</f>
        <v/>
      </c>
      <c r="D1618" s="23" t="str">
        <f>IF($A1618="","",N(Receipts!$G1621))</f>
        <v/>
      </c>
      <c r="E1618" s="20" t="str">
        <f>IF($A1618="","",IFERROR(INDEX(Items!$D$5:$D$597,MATCH($A1618,Items!$A$5:$A$597,0)),0))</f>
        <v/>
      </c>
      <c r="F1618" s="21" t="str">
        <f t="shared" si="125"/>
        <v/>
      </c>
      <c r="G1618" s="25" t="str">
        <f>IF(Receipts!$I1621="","",Receipts!$I1621)</f>
        <v/>
      </c>
      <c r="H1618" s="25" t="str">
        <f>IF(Receipts!$H1621="","",Receipts!$H1621)</f>
        <v/>
      </c>
      <c r="I1618" s="26" t="str">
        <f t="shared" ca="1" si="126"/>
        <v/>
      </c>
      <c r="J1618" s="26" t="str">
        <f>IF($A1618="","",COUNTIFS(tblReceipts[Item Name],$A1618,tblReceipts[Expiry Date],"&lt;"&amp;$H1618)+COUNTIFS(tblReceipts[Item Name],$A1618,tblReceipts[Expiry Date],$H1618,tblReceipts[Lot Number],"&lt;="&amp;Receipts!$C1621))</f>
        <v/>
      </c>
      <c r="K1618" s="26" t="str">
        <f>IF($A1618="","",SUMIFS(tblReceipts[Qty Received],tblReceipts[Item Name],$A1618,tblReceipts[Expiry Date],"&lt;"&amp;$H1618)+SUMIFS(tblReceipts[Qty Received],tblReceipts[Item Name],$A1618,tblReceipts[Expiry Date],$H1618,tblReceipts[Lot Number],"&lt;"&amp;Receipts!$C1621))</f>
        <v/>
      </c>
      <c r="L1618" s="26" t="str">
        <f>IF($A1618="","",MIN($D1618,MAX(0,SUMIFS(tblIssues[Qty Issued],tblIssues[Item Name],$A1618)-$K1618)))</f>
        <v/>
      </c>
      <c r="M1618" s="26" t="str">
        <f>IF($A1618="","",SUMIFS(tblIssues[Qty Issued],tblIssues[Lot Number],$B1618))</f>
        <v/>
      </c>
      <c r="N1618" s="26" t="str">
        <f t="shared" si="127"/>
        <v/>
      </c>
      <c r="O1618" s="26" t="str">
        <f t="shared" si="128"/>
        <v/>
      </c>
      <c r="P1618" s="21" t="str">
        <f t="shared" si="129"/>
        <v/>
      </c>
      <c r="Q1618" s="52" t="str">
        <f>IF($A1618="","",IF($O1618&lt;=0,"Depleted",IF($I1618&lt;0,"EXPIRED",IF($I1618&lt;=Settings!$C$6,"CRITICAL",IF($I1618&lt;=Settings!$C$5,"Expiring","In date")))))</f>
        <v/>
      </c>
    </row>
    <row r="1619" spans="1:17" x14ac:dyDescent="0.35">
      <c r="A1619" s="90" t="str">
        <f>IF(Receipts!$D1622="","",Receipts!$D1622)</f>
        <v/>
      </c>
      <c r="B1619" s="18" t="str">
        <f>IF(Receipts!$C1622="","",Receipts!$C1622)</f>
        <v/>
      </c>
      <c r="C1619" s="18" t="str">
        <f>IF($A1619="","",IFERROR(INDEX(Items!$B$5:$B$597,MATCH($A1619,Items!$A$5:$A$597,0)),""))</f>
        <v/>
      </c>
      <c r="D1619" s="23" t="str">
        <f>IF($A1619="","",N(Receipts!$G1622))</f>
        <v/>
      </c>
      <c r="E1619" s="20" t="str">
        <f>IF($A1619="","",IFERROR(INDEX(Items!$D$5:$D$597,MATCH($A1619,Items!$A$5:$A$597,0)),0))</f>
        <v/>
      </c>
      <c r="F1619" s="21" t="str">
        <f t="shared" si="125"/>
        <v/>
      </c>
      <c r="G1619" s="25" t="str">
        <f>IF(Receipts!$I1622="","",Receipts!$I1622)</f>
        <v/>
      </c>
      <c r="H1619" s="25" t="str">
        <f>IF(Receipts!$H1622="","",Receipts!$H1622)</f>
        <v/>
      </c>
      <c r="I1619" s="26" t="str">
        <f t="shared" ca="1" si="126"/>
        <v/>
      </c>
      <c r="J1619" s="26" t="str">
        <f>IF($A1619="","",COUNTIFS(tblReceipts[Item Name],$A1619,tblReceipts[Expiry Date],"&lt;"&amp;$H1619)+COUNTIFS(tblReceipts[Item Name],$A1619,tblReceipts[Expiry Date],$H1619,tblReceipts[Lot Number],"&lt;="&amp;Receipts!$C1622))</f>
        <v/>
      </c>
      <c r="K1619" s="26" t="str">
        <f>IF($A1619="","",SUMIFS(tblReceipts[Qty Received],tblReceipts[Item Name],$A1619,tblReceipts[Expiry Date],"&lt;"&amp;$H1619)+SUMIFS(tblReceipts[Qty Received],tblReceipts[Item Name],$A1619,tblReceipts[Expiry Date],$H1619,tblReceipts[Lot Number],"&lt;"&amp;Receipts!$C1622))</f>
        <v/>
      </c>
      <c r="L1619" s="26" t="str">
        <f>IF($A1619="","",MIN($D1619,MAX(0,SUMIFS(tblIssues[Qty Issued],tblIssues[Item Name],$A1619)-$K1619)))</f>
        <v/>
      </c>
      <c r="M1619" s="26" t="str">
        <f>IF($A1619="","",SUMIFS(tblIssues[Qty Issued],tblIssues[Lot Number],$B1619))</f>
        <v/>
      </c>
      <c r="N1619" s="26" t="str">
        <f t="shared" si="127"/>
        <v/>
      </c>
      <c r="O1619" s="26" t="str">
        <f t="shared" si="128"/>
        <v/>
      </c>
      <c r="P1619" s="21" t="str">
        <f t="shared" si="129"/>
        <v/>
      </c>
      <c r="Q1619" s="52" t="str">
        <f>IF($A1619="","",IF($O1619&lt;=0,"Depleted",IF($I1619&lt;0,"EXPIRED",IF($I1619&lt;=Settings!$C$6,"CRITICAL",IF($I1619&lt;=Settings!$C$5,"Expiring","In date")))))</f>
        <v/>
      </c>
    </row>
    <row r="1620" spans="1:17" x14ac:dyDescent="0.35">
      <c r="A1620" s="90" t="str">
        <f>IF(Receipts!$D1623="","",Receipts!$D1623)</f>
        <v/>
      </c>
      <c r="B1620" s="18" t="str">
        <f>IF(Receipts!$C1623="","",Receipts!$C1623)</f>
        <v/>
      </c>
      <c r="C1620" s="18" t="str">
        <f>IF($A1620="","",IFERROR(INDEX(Items!$B$5:$B$597,MATCH($A1620,Items!$A$5:$A$597,0)),""))</f>
        <v/>
      </c>
      <c r="D1620" s="23" t="str">
        <f>IF($A1620="","",N(Receipts!$G1623))</f>
        <v/>
      </c>
      <c r="E1620" s="20" t="str">
        <f>IF($A1620="","",IFERROR(INDEX(Items!$D$5:$D$597,MATCH($A1620,Items!$A$5:$A$597,0)),0))</f>
        <v/>
      </c>
      <c r="F1620" s="21" t="str">
        <f t="shared" si="125"/>
        <v/>
      </c>
      <c r="G1620" s="25" t="str">
        <f>IF(Receipts!$I1623="","",Receipts!$I1623)</f>
        <v/>
      </c>
      <c r="H1620" s="25" t="str">
        <f>IF(Receipts!$H1623="","",Receipts!$H1623)</f>
        <v/>
      </c>
      <c r="I1620" s="26" t="str">
        <f t="shared" ca="1" si="126"/>
        <v/>
      </c>
      <c r="J1620" s="26" t="str">
        <f>IF($A1620="","",COUNTIFS(tblReceipts[Item Name],$A1620,tblReceipts[Expiry Date],"&lt;"&amp;$H1620)+COUNTIFS(tblReceipts[Item Name],$A1620,tblReceipts[Expiry Date],$H1620,tblReceipts[Lot Number],"&lt;="&amp;Receipts!$C1623))</f>
        <v/>
      </c>
      <c r="K1620" s="26" t="str">
        <f>IF($A1620="","",SUMIFS(tblReceipts[Qty Received],tblReceipts[Item Name],$A1620,tblReceipts[Expiry Date],"&lt;"&amp;$H1620)+SUMIFS(tblReceipts[Qty Received],tblReceipts[Item Name],$A1620,tblReceipts[Expiry Date],$H1620,tblReceipts[Lot Number],"&lt;"&amp;Receipts!$C1623))</f>
        <v/>
      </c>
      <c r="L1620" s="26" t="str">
        <f>IF($A1620="","",MIN($D1620,MAX(0,SUMIFS(tblIssues[Qty Issued],tblIssues[Item Name],$A1620)-$K1620)))</f>
        <v/>
      </c>
      <c r="M1620" s="26" t="str">
        <f>IF($A1620="","",SUMIFS(tblIssues[Qty Issued],tblIssues[Lot Number],$B1620))</f>
        <v/>
      </c>
      <c r="N1620" s="26" t="str">
        <f t="shared" si="127"/>
        <v/>
      </c>
      <c r="O1620" s="26" t="str">
        <f t="shared" si="128"/>
        <v/>
      </c>
      <c r="P1620" s="21" t="str">
        <f t="shared" si="129"/>
        <v/>
      </c>
      <c r="Q1620" s="52" t="str">
        <f>IF($A1620="","",IF($O1620&lt;=0,"Depleted",IF($I1620&lt;0,"EXPIRED",IF($I1620&lt;=Settings!$C$6,"CRITICAL",IF($I1620&lt;=Settings!$C$5,"Expiring","In date")))))</f>
        <v/>
      </c>
    </row>
    <row r="1621" spans="1:17" x14ac:dyDescent="0.35">
      <c r="A1621" s="90" t="str">
        <f>IF(Receipts!$D1624="","",Receipts!$D1624)</f>
        <v/>
      </c>
      <c r="B1621" s="18" t="str">
        <f>IF(Receipts!$C1624="","",Receipts!$C1624)</f>
        <v/>
      </c>
      <c r="C1621" s="18" t="str">
        <f>IF($A1621="","",IFERROR(INDEX(Items!$B$5:$B$597,MATCH($A1621,Items!$A$5:$A$597,0)),""))</f>
        <v/>
      </c>
      <c r="D1621" s="23" t="str">
        <f>IF($A1621="","",N(Receipts!$G1624))</f>
        <v/>
      </c>
      <c r="E1621" s="20" t="str">
        <f>IF($A1621="","",IFERROR(INDEX(Items!$D$5:$D$597,MATCH($A1621,Items!$A$5:$A$597,0)),0))</f>
        <v/>
      </c>
      <c r="F1621" s="21" t="str">
        <f t="shared" si="125"/>
        <v/>
      </c>
      <c r="G1621" s="25" t="str">
        <f>IF(Receipts!$I1624="","",Receipts!$I1624)</f>
        <v/>
      </c>
      <c r="H1621" s="25" t="str">
        <f>IF(Receipts!$H1624="","",Receipts!$H1624)</f>
        <v/>
      </c>
      <c r="I1621" s="26" t="str">
        <f t="shared" ca="1" si="126"/>
        <v/>
      </c>
      <c r="J1621" s="26" t="str">
        <f>IF($A1621="","",COUNTIFS(tblReceipts[Item Name],$A1621,tblReceipts[Expiry Date],"&lt;"&amp;$H1621)+COUNTIFS(tblReceipts[Item Name],$A1621,tblReceipts[Expiry Date],$H1621,tblReceipts[Lot Number],"&lt;="&amp;Receipts!$C1624))</f>
        <v/>
      </c>
      <c r="K1621" s="26" t="str">
        <f>IF($A1621="","",SUMIFS(tblReceipts[Qty Received],tblReceipts[Item Name],$A1621,tblReceipts[Expiry Date],"&lt;"&amp;$H1621)+SUMIFS(tblReceipts[Qty Received],tblReceipts[Item Name],$A1621,tblReceipts[Expiry Date],$H1621,tblReceipts[Lot Number],"&lt;"&amp;Receipts!$C1624))</f>
        <v/>
      </c>
      <c r="L1621" s="26" t="str">
        <f>IF($A1621="","",MIN($D1621,MAX(0,SUMIFS(tblIssues[Qty Issued],tblIssues[Item Name],$A1621)-$K1621)))</f>
        <v/>
      </c>
      <c r="M1621" s="26" t="str">
        <f>IF($A1621="","",SUMIFS(tblIssues[Qty Issued],tblIssues[Lot Number],$B1621))</f>
        <v/>
      </c>
      <c r="N1621" s="26" t="str">
        <f t="shared" si="127"/>
        <v/>
      </c>
      <c r="O1621" s="26" t="str">
        <f t="shared" si="128"/>
        <v/>
      </c>
      <c r="P1621" s="21" t="str">
        <f t="shared" si="129"/>
        <v/>
      </c>
      <c r="Q1621" s="52" t="str">
        <f>IF($A1621="","",IF($O1621&lt;=0,"Depleted",IF($I1621&lt;0,"EXPIRED",IF($I1621&lt;=Settings!$C$6,"CRITICAL",IF($I1621&lt;=Settings!$C$5,"Expiring","In date")))))</f>
        <v/>
      </c>
    </row>
    <row r="1622" spans="1:17" x14ac:dyDescent="0.35">
      <c r="A1622" s="90" t="str">
        <f>IF(Receipts!$D1625="","",Receipts!$D1625)</f>
        <v/>
      </c>
      <c r="B1622" s="18" t="str">
        <f>IF(Receipts!$C1625="","",Receipts!$C1625)</f>
        <v/>
      </c>
      <c r="C1622" s="18" t="str">
        <f>IF($A1622="","",IFERROR(INDEX(Items!$B$5:$B$597,MATCH($A1622,Items!$A$5:$A$597,0)),""))</f>
        <v/>
      </c>
      <c r="D1622" s="23" t="str">
        <f>IF($A1622="","",N(Receipts!$G1625))</f>
        <v/>
      </c>
      <c r="E1622" s="20" t="str">
        <f>IF($A1622="","",IFERROR(INDEX(Items!$D$5:$D$597,MATCH($A1622,Items!$A$5:$A$597,0)),0))</f>
        <v/>
      </c>
      <c r="F1622" s="21" t="str">
        <f t="shared" si="125"/>
        <v/>
      </c>
      <c r="G1622" s="25" t="str">
        <f>IF(Receipts!$I1625="","",Receipts!$I1625)</f>
        <v/>
      </c>
      <c r="H1622" s="25" t="str">
        <f>IF(Receipts!$H1625="","",Receipts!$H1625)</f>
        <v/>
      </c>
      <c r="I1622" s="26" t="str">
        <f t="shared" ca="1" si="126"/>
        <v/>
      </c>
      <c r="J1622" s="26" t="str">
        <f>IF($A1622="","",COUNTIFS(tblReceipts[Item Name],$A1622,tblReceipts[Expiry Date],"&lt;"&amp;$H1622)+COUNTIFS(tblReceipts[Item Name],$A1622,tblReceipts[Expiry Date],$H1622,tblReceipts[Lot Number],"&lt;="&amp;Receipts!$C1625))</f>
        <v/>
      </c>
      <c r="K1622" s="26" t="str">
        <f>IF($A1622="","",SUMIFS(tblReceipts[Qty Received],tblReceipts[Item Name],$A1622,tblReceipts[Expiry Date],"&lt;"&amp;$H1622)+SUMIFS(tblReceipts[Qty Received],tblReceipts[Item Name],$A1622,tblReceipts[Expiry Date],$H1622,tblReceipts[Lot Number],"&lt;"&amp;Receipts!$C1625))</f>
        <v/>
      </c>
      <c r="L1622" s="26" t="str">
        <f>IF($A1622="","",MIN($D1622,MAX(0,SUMIFS(tblIssues[Qty Issued],tblIssues[Item Name],$A1622)-$K1622)))</f>
        <v/>
      </c>
      <c r="M1622" s="26" t="str">
        <f>IF($A1622="","",SUMIFS(tblIssues[Qty Issued],tblIssues[Lot Number],$B1622))</f>
        <v/>
      </c>
      <c r="N1622" s="26" t="str">
        <f t="shared" si="127"/>
        <v/>
      </c>
      <c r="O1622" s="26" t="str">
        <f t="shared" si="128"/>
        <v/>
      </c>
      <c r="P1622" s="21" t="str">
        <f t="shared" si="129"/>
        <v/>
      </c>
      <c r="Q1622" s="52" t="str">
        <f>IF($A1622="","",IF($O1622&lt;=0,"Depleted",IF($I1622&lt;0,"EXPIRED",IF($I1622&lt;=Settings!$C$6,"CRITICAL",IF($I1622&lt;=Settings!$C$5,"Expiring","In date")))))</f>
        <v/>
      </c>
    </row>
    <row r="1623" spans="1:17" x14ac:dyDescent="0.35">
      <c r="A1623" s="90" t="str">
        <f>IF(Receipts!$D1626="","",Receipts!$D1626)</f>
        <v/>
      </c>
      <c r="B1623" s="18" t="str">
        <f>IF(Receipts!$C1626="","",Receipts!$C1626)</f>
        <v/>
      </c>
      <c r="C1623" s="18" t="str">
        <f>IF($A1623="","",IFERROR(INDEX(Items!$B$5:$B$597,MATCH($A1623,Items!$A$5:$A$597,0)),""))</f>
        <v/>
      </c>
      <c r="D1623" s="23" t="str">
        <f>IF($A1623="","",N(Receipts!$G1626))</f>
        <v/>
      </c>
      <c r="E1623" s="20" t="str">
        <f>IF($A1623="","",IFERROR(INDEX(Items!$D$5:$D$597,MATCH($A1623,Items!$A$5:$A$597,0)),0))</f>
        <v/>
      </c>
      <c r="F1623" s="21" t="str">
        <f t="shared" si="125"/>
        <v/>
      </c>
      <c r="G1623" s="25" t="str">
        <f>IF(Receipts!$I1626="","",Receipts!$I1626)</f>
        <v/>
      </c>
      <c r="H1623" s="25" t="str">
        <f>IF(Receipts!$H1626="","",Receipts!$H1626)</f>
        <v/>
      </c>
      <c r="I1623" s="26" t="str">
        <f t="shared" ca="1" si="126"/>
        <v/>
      </c>
      <c r="J1623" s="26" t="str">
        <f>IF($A1623="","",COUNTIFS(tblReceipts[Item Name],$A1623,tblReceipts[Expiry Date],"&lt;"&amp;$H1623)+COUNTIFS(tblReceipts[Item Name],$A1623,tblReceipts[Expiry Date],$H1623,tblReceipts[Lot Number],"&lt;="&amp;Receipts!$C1626))</f>
        <v/>
      </c>
      <c r="K1623" s="26" t="str">
        <f>IF($A1623="","",SUMIFS(tblReceipts[Qty Received],tblReceipts[Item Name],$A1623,tblReceipts[Expiry Date],"&lt;"&amp;$H1623)+SUMIFS(tblReceipts[Qty Received],tblReceipts[Item Name],$A1623,tblReceipts[Expiry Date],$H1623,tblReceipts[Lot Number],"&lt;"&amp;Receipts!$C1626))</f>
        <v/>
      </c>
      <c r="L1623" s="26" t="str">
        <f>IF($A1623="","",MIN($D1623,MAX(0,SUMIFS(tblIssues[Qty Issued],tblIssues[Item Name],$A1623)-$K1623)))</f>
        <v/>
      </c>
      <c r="M1623" s="26" t="str">
        <f>IF($A1623="","",SUMIFS(tblIssues[Qty Issued],tblIssues[Lot Number],$B1623))</f>
        <v/>
      </c>
      <c r="N1623" s="26" t="str">
        <f t="shared" si="127"/>
        <v/>
      </c>
      <c r="O1623" s="26" t="str">
        <f t="shared" si="128"/>
        <v/>
      </c>
      <c r="P1623" s="21" t="str">
        <f t="shared" si="129"/>
        <v/>
      </c>
      <c r="Q1623" s="52" t="str">
        <f>IF($A1623="","",IF($O1623&lt;=0,"Depleted",IF($I1623&lt;0,"EXPIRED",IF($I1623&lt;=Settings!$C$6,"CRITICAL",IF($I1623&lt;=Settings!$C$5,"Expiring","In date")))))</f>
        <v/>
      </c>
    </row>
    <row r="1624" spans="1:17" x14ac:dyDescent="0.35">
      <c r="A1624" s="90" t="str">
        <f>IF(Receipts!$D1627="","",Receipts!$D1627)</f>
        <v/>
      </c>
      <c r="B1624" s="18" t="str">
        <f>IF(Receipts!$C1627="","",Receipts!$C1627)</f>
        <v/>
      </c>
      <c r="C1624" s="18" t="str">
        <f>IF($A1624="","",IFERROR(INDEX(Items!$B$5:$B$597,MATCH($A1624,Items!$A$5:$A$597,0)),""))</f>
        <v/>
      </c>
      <c r="D1624" s="23" t="str">
        <f>IF($A1624="","",N(Receipts!$G1627))</f>
        <v/>
      </c>
      <c r="E1624" s="20" t="str">
        <f>IF($A1624="","",IFERROR(INDEX(Items!$D$5:$D$597,MATCH($A1624,Items!$A$5:$A$597,0)),0))</f>
        <v/>
      </c>
      <c r="F1624" s="21" t="str">
        <f t="shared" si="125"/>
        <v/>
      </c>
      <c r="G1624" s="25" t="str">
        <f>IF(Receipts!$I1627="","",Receipts!$I1627)</f>
        <v/>
      </c>
      <c r="H1624" s="25" t="str">
        <f>IF(Receipts!$H1627="","",Receipts!$H1627)</f>
        <v/>
      </c>
      <c r="I1624" s="26" t="str">
        <f t="shared" ca="1" si="126"/>
        <v/>
      </c>
      <c r="J1624" s="26" t="str">
        <f>IF($A1624="","",COUNTIFS(tblReceipts[Item Name],$A1624,tblReceipts[Expiry Date],"&lt;"&amp;$H1624)+COUNTIFS(tblReceipts[Item Name],$A1624,tblReceipts[Expiry Date],$H1624,tblReceipts[Lot Number],"&lt;="&amp;Receipts!$C1627))</f>
        <v/>
      </c>
      <c r="K1624" s="26" t="str">
        <f>IF($A1624="","",SUMIFS(tblReceipts[Qty Received],tblReceipts[Item Name],$A1624,tblReceipts[Expiry Date],"&lt;"&amp;$H1624)+SUMIFS(tblReceipts[Qty Received],tblReceipts[Item Name],$A1624,tblReceipts[Expiry Date],$H1624,tblReceipts[Lot Number],"&lt;"&amp;Receipts!$C1627))</f>
        <v/>
      </c>
      <c r="L1624" s="26" t="str">
        <f>IF($A1624="","",MIN($D1624,MAX(0,SUMIFS(tblIssues[Qty Issued],tblIssues[Item Name],$A1624)-$K1624)))</f>
        <v/>
      </c>
      <c r="M1624" s="26" t="str">
        <f>IF($A1624="","",SUMIFS(tblIssues[Qty Issued],tblIssues[Lot Number],$B1624))</f>
        <v/>
      </c>
      <c r="N1624" s="26" t="str">
        <f t="shared" si="127"/>
        <v/>
      </c>
      <c r="O1624" s="26" t="str">
        <f t="shared" si="128"/>
        <v/>
      </c>
      <c r="P1624" s="21" t="str">
        <f t="shared" si="129"/>
        <v/>
      </c>
      <c r="Q1624" s="52" t="str">
        <f>IF($A1624="","",IF($O1624&lt;=0,"Depleted",IF($I1624&lt;0,"EXPIRED",IF($I1624&lt;=Settings!$C$6,"CRITICAL",IF($I1624&lt;=Settings!$C$5,"Expiring","In date")))))</f>
        <v/>
      </c>
    </row>
    <row r="1625" spans="1:17" x14ac:dyDescent="0.35">
      <c r="A1625" s="90" t="str">
        <f>IF(Receipts!$D1628="","",Receipts!$D1628)</f>
        <v/>
      </c>
      <c r="B1625" s="18" t="str">
        <f>IF(Receipts!$C1628="","",Receipts!$C1628)</f>
        <v/>
      </c>
      <c r="C1625" s="18" t="str">
        <f>IF($A1625="","",IFERROR(INDEX(Items!$B$5:$B$597,MATCH($A1625,Items!$A$5:$A$597,0)),""))</f>
        <v/>
      </c>
      <c r="D1625" s="23" t="str">
        <f>IF($A1625="","",N(Receipts!$G1628))</f>
        <v/>
      </c>
      <c r="E1625" s="20" t="str">
        <f>IF($A1625="","",IFERROR(INDEX(Items!$D$5:$D$597,MATCH($A1625,Items!$A$5:$A$597,0)),0))</f>
        <v/>
      </c>
      <c r="F1625" s="21" t="str">
        <f t="shared" si="125"/>
        <v/>
      </c>
      <c r="G1625" s="25" t="str">
        <f>IF(Receipts!$I1628="","",Receipts!$I1628)</f>
        <v/>
      </c>
      <c r="H1625" s="25" t="str">
        <f>IF(Receipts!$H1628="","",Receipts!$H1628)</f>
        <v/>
      </c>
      <c r="I1625" s="26" t="str">
        <f t="shared" ca="1" si="126"/>
        <v/>
      </c>
      <c r="J1625" s="26" t="str">
        <f>IF($A1625="","",COUNTIFS(tblReceipts[Item Name],$A1625,tblReceipts[Expiry Date],"&lt;"&amp;$H1625)+COUNTIFS(tblReceipts[Item Name],$A1625,tblReceipts[Expiry Date],$H1625,tblReceipts[Lot Number],"&lt;="&amp;Receipts!$C1628))</f>
        <v/>
      </c>
      <c r="K1625" s="26" t="str">
        <f>IF($A1625="","",SUMIFS(tblReceipts[Qty Received],tblReceipts[Item Name],$A1625,tblReceipts[Expiry Date],"&lt;"&amp;$H1625)+SUMIFS(tblReceipts[Qty Received],tblReceipts[Item Name],$A1625,tblReceipts[Expiry Date],$H1625,tblReceipts[Lot Number],"&lt;"&amp;Receipts!$C1628))</f>
        <v/>
      </c>
      <c r="L1625" s="26" t="str">
        <f>IF($A1625="","",MIN($D1625,MAX(0,SUMIFS(tblIssues[Qty Issued],tblIssues[Item Name],$A1625)-$K1625)))</f>
        <v/>
      </c>
      <c r="M1625" s="26" t="str">
        <f>IF($A1625="","",SUMIFS(tblIssues[Qty Issued],tblIssues[Lot Number],$B1625))</f>
        <v/>
      </c>
      <c r="N1625" s="26" t="str">
        <f t="shared" si="127"/>
        <v/>
      </c>
      <c r="O1625" s="26" t="str">
        <f t="shared" si="128"/>
        <v/>
      </c>
      <c r="P1625" s="21" t="str">
        <f t="shared" si="129"/>
        <v/>
      </c>
      <c r="Q1625" s="52" t="str">
        <f>IF($A1625="","",IF($O1625&lt;=0,"Depleted",IF($I1625&lt;0,"EXPIRED",IF($I1625&lt;=Settings!$C$6,"CRITICAL",IF($I1625&lt;=Settings!$C$5,"Expiring","In date")))))</f>
        <v/>
      </c>
    </row>
    <row r="1626" spans="1:17" x14ac:dyDescent="0.35">
      <c r="A1626" s="90" t="str">
        <f>IF(Receipts!$D1629="","",Receipts!$D1629)</f>
        <v/>
      </c>
      <c r="B1626" s="18" t="str">
        <f>IF(Receipts!$C1629="","",Receipts!$C1629)</f>
        <v/>
      </c>
      <c r="C1626" s="18" t="str">
        <f>IF($A1626="","",IFERROR(INDEX(Items!$B$5:$B$597,MATCH($A1626,Items!$A$5:$A$597,0)),""))</f>
        <v/>
      </c>
      <c r="D1626" s="23" t="str">
        <f>IF($A1626="","",N(Receipts!$G1629))</f>
        <v/>
      </c>
      <c r="E1626" s="20" t="str">
        <f>IF($A1626="","",IFERROR(INDEX(Items!$D$5:$D$597,MATCH($A1626,Items!$A$5:$A$597,0)),0))</f>
        <v/>
      </c>
      <c r="F1626" s="21" t="str">
        <f t="shared" si="125"/>
        <v/>
      </c>
      <c r="G1626" s="25" t="str">
        <f>IF(Receipts!$I1629="","",Receipts!$I1629)</f>
        <v/>
      </c>
      <c r="H1626" s="25" t="str">
        <f>IF(Receipts!$H1629="","",Receipts!$H1629)</f>
        <v/>
      </c>
      <c r="I1626" s="26" t="str">
        <f t="shared" ca="1" si="126"/>
        <v/>
      </c>
      <c r="J1626" s="26" t="str">
        <f>IF($A1626="","",COUNTIFS(tblReceipts[Item Name],$A1626,tblReceipts[Expiry Date],"&lt;"&amp;$H1626)+COUNTIFS(tblReceipts[Item Name],$A1626,tblReceipts[Expiry Date],$H1626,tblReceipts[Lot Number],"&lt;="&amp;Receipts!$C1629))</f>
        <v/>
      </c>
      <c r="K1626" s="26" t="str">
        <f>IF($A1626="","",SUMIFS(tblReceipts[Qty Received],tblReceipts[Item Name],$A1626,tblReceipts[Expiry Date],"&lt;"&amp;$H1626)+SUMIFS(tblReceipts[Qty Received],tblReceipts[Item Name],$A1626,tblReceipts[Expiry Date],$H1626,tblReceipts[Lot Number],"&lt;"&amp;Receipts!$C1629))</f>
        <v/>
      </c>
      <c r="L1626" s="26" t="str">
        <f>IF($A1626="","",MIN($D1626,MAX(0,SUMIFS(tblIssues[Qty Issued],tblIssues[Item Name],$A1626)-$K1626)))</f>
        <v/>
      </c>
      <c r="M1626" s="26" t="str">
        <f>IF($A1626="","",SUMIFS(tblIssues[Qty Issued],tblIssues[Lot Number],$B1626))</f>
        <v/>
      </c>
      <c r="N1626" s="26" t="str">
        <f t="shared" si="127"/>
        <v/>
      </c>
      <c r="O1626" s="26" t="str">
        <f t="shared" si="128"/>
        <v/>
      </c>
      <c r="P1626" s="21" t="str">
        <f t="shared" si="129"/>
        <v/>
      </c>
      <c r="Q1626" s="52" t="str">
        <f>IF($A1626="","",IF($O1626&lt;=0,"Depleted",IF($I1626&lt;0,"EXPIRED",IF($I1626&lt;=Settings!$C$6,"CRITICAL",IF($I1626&lt;=Settings!$C$5,"Expiring","In date")))))</f>
        <v/>
      </c>
    </row>
    <row r="1627" spans="1:17" x14ac:dyDescent="0.35">
      <c r="A1627" s="90" t="str">
        <f>IF(Receipts!$D1630="","",Receipts!$D1630)</f>
        <v/>
      </c>
      <c r="B1627" s="18" t="str">
        <f>IF(Receipts!$C1630="","",Receipts!$C1630)</f>
        <v/>
      </c>
      <c r="C1627" s="18" t="str">
        <f>IF($A1627="","",IFERROR(INDEX(Items!$B$5:$B$597,MATCH($A1627,Items!$A$5:$A$597,0)),""))</f>
        <v/>
      </c>
      <c r="D1627" s="23" t="str">
        <f>IF($A1627="","",N(Receipts!$G1630))</f>
        <v/>
      </c>
      <c r="E1627" s="20" t="str">
        <f>IF($A1627="","",IFERROR(INDEX(Items!$D$5:$D$597,MATCH($A1627,Items!$A$5:$A$597,0)),0))</f>
        <v/>
      </c>
      <c r="F1627" s="21" t="str">
        <f t="shared" si="125"/>
        <v/>
      </c>
      <c r="G1627" s="25" t="str">
        <f>IF(Receipts!$I1630="","",Receipts!$I1630)</f>
        <v/>
      </c>
      <c r="H1627" s="25" t="str">
        <f>IF(Receipts!$H1630="","",Receipts!$H1630)</f>
        <v/>
      </c>
      <c r="I1627" s="26" t="str">
        <f t="shared" ca="1" si="126"/>
        <v/>
      </c>
      <c r="J1627" s="26" t="str">
        <f>IF($A1627="","",COUNTIFS(tblReceipts[Item Name],$A1627,tblReceipts[Expiry Date],"&lt;"&amp;$H1627)+COUNTIFS(tblReceipts[Item Name],$A1627,tblReceipts[Expiry Date],$H1627,tblReceipts[Lot Number],"&lt;="&amp;Receipts!$C1630))</f>
        <v/>
      </c>
      <c r="K1627" s="26" t="str">
        <f>IF($A1627="","",SUMIFS(tblReceipts[Qty Received],tblReceipts[Item Name],$A1627,tblReceipts[Expiry Date],"&lt;"&amp;$H1627)+SUMIFS(tblReceipts[Qty Received],tblReceipts[Item Name],$A1627,tblReceipts[Expiry Date],$H1627,tblReceipts[Lot Number],"&lt;"&amp;Receipts!$C1630))</f>
        <v/>
      </c>
      <c r="L1627" s="26" t="str">
        <f>IF($A1627="","",MIN($D1627,MAX(0,SUMIFS(tblIssues[Qty Issued],tblIssues[Item Name],$A1627)-$K1627)))</f>
        <v/>
      </c>
      <c r="M1627" s="26" t="str">
        <f>IF($A1627="","",SUMIFS(tblIssues[Qty Issued],tblIssues[Lot Number],$B1627))</f>
        <v/>
      </c>
      <c r="N1627" s="26" t="str">
        <f t="shared" si="127"/>
        <v/>
      </c>
      <c r="O1627" s="26" t="str">
        <f t="shared" si="128"/>
        <v/>
      </c>
      <c r="P1627" s="21" t="str">
        <f t="shared" si="129"/>
        <v/>
      </c>
      <c r="Q1627" s="52" t="str">
        <f>IF($A1627="","",IF($O1627&lt;=0,"Depleted",IF($I1627&lt;0,"EXPIRED",IF($I1627&lt;=Settings!$C$6,"CRITICAL",IF($I1627&lt;=Settings!$C$5,"Expiring","In date")))))</f>
        <v/>
      </c>
    </row>
    <row r="1628" spans="1:17" x14ac:dyDescent="0.35">
      <c r="A1628" s="90" t="str">
        <f>IF(Receipts!$D1631="","",Receipts!$D1631)</f>
        <v/>
      </c>
      <c r="B1628" s="18" t="str">
        <f>IF(Receipts!$C1631="","",Receipts!$C1631)</f>
        <v/>
      </c>
      <c r="C1628" s="18" t="str">
        <f>IF($A1628="","",IFERROR(INDEX(Items!$B$5:$B$597,MATCH($A1628,Items!$A$5:$A$597,0)),""))</f>
        <v/>
      </c>
      <c r="D1628" s="23" t="str">
        <f>IF($A1628="","",N(Receipts!$G1631))</f>
        <v/>
      </c>
      <c r="E1628" s="20" t="str">
        <f>IF($A1628="","",IFERROR(INDEX(Items!$D$5:$D$597,MATCH($A1628,Items!$A$5:$A$597,0)),0))</f>
        <v/>
      </c>
      <c r="F1628" s="21" t="str">
        <f t="shared" si="125"/>
        <v/>
      </c>
      <c r="G1628" s="25" t="str">
        <f>IF(Receipts!$I1631="","",Receipts!$I1631)</f>
        <v/>
      </c>
      <c r="H1628" s="25" t="str">
        <f>IF(Receipts!$H1631="","",Receipts!$H1631)</f>
        <v/>
      </c>
      <c r="I1628" s="26" t="str">
        <f t="shared" ca="1" si="126"/>
        <v/>
      </c>
      <c r="J1628" s="26" t="str">
        <f>IF($A1628="","",COUNTIFS(tblReceipts[Item Name],$A1628,tblReceipts[Expiry Date],"&lt;"&amp;$H1628)+COUNTIFS(tblReceipts[Item Name],$A1628,tblReceipts[Expiry Date],$H1628,tblReceipts[Lot Number],"&lt;="&amp;Receipts!$C1631))</f>
        <v/>
      </c>
      <c r="K1628" s="26" t="str">
        <f>IF($A1628="","",SUMIFS(tblReceipts[Qty Received],tblReceipts[Item Name],$A1628,tblReceipts[Expiry Date],"&lt;"&amp;$H1628)+SUMIFS(tblReceipts[Qty Received],tblReceipts[Item Name],$A1628,tblReceipts[Expiry Date],$H1628,tblReceipts[Lot Number],"&lt;"&amp;Receipts!$C1631))</f>
        <v/>
      </c>
      <c r="L1628" s="26" t="str">
        <f>IF($A1628="","",MIN($D1628,MAX(0,SUMIFS(tblIssues[Qty Issued],tblIssues[Item Name],$A1628)-$K1628)))</f>
        <v/>
      </c>
      <c r="M1628" s="26" t="str">
        <f>IF($A1628="","",SUMIFS(tblIssues[Qty Issued],tblIssues[Lot Number],$B1628))</f>
        <v/>
      </c>
      <c r="N1628" s="26" t="str">
        <f t="shared" si="127"/>
        <v/>
      </c>
      <c r="O1628" s="26" t="str">
        <f t="shared" si="128"/>
        <v/>
      </c>
      <c r="P1628" s="21" t="str">
        <f t="shared" si="129"/>
        <v/>
      </c>
      <c r="Q1628" s="52" t="str">
        <f>IF($A1628="","",IF($O1628&lt;=0,"Depleted",IF($I1628&lt;0,"EXPIRED",IF($I1628&lt;=Settings!$C$6,"CRITICAL",IF($I1628&lt;=Settings!$C$5,"Expiring","In date")))))</f>
        <v/>
      </c>
    </row>
    <row r="1629" spans="1:17" x14ac:dyDescent="0.35">
      <c r="A1629" s="90" t="str">
        <f>IF(Receipts!$D1632="","",Receipts!$D1632)</f>
        <v/>
      </c>
      <c r="B1629" s="18" t="str">
        <f>IF(Receipts!$C1632="","",Receipts!$C1632)</f>
        <v/>
      </c>
      <c r="C1629" s="18" t="str">
        <f>IF($A1629="","",IFERROR(INDEX(Items!$B$5:$B$597,MATCH($A1629,Items!$A$5:$A$597,0)),""))</f>
        <v/>
      </c>
      <c r="D1629" s="23" t="str">
        <f>IF($A1629="","",N(Receipts!$G1632))</f>
        <v/>
      </c>
      <c r="E1629" s="20" t="str">
        <f>IF($A1629="","",IFERROR(INDEX(Items!$D$5:$D$597,MATCH($A1629,Items!$A$5:$A$597,0)),0))</f>
        <v/>
      </c>
      <c r="F1629" s="21" t="str">
        <f t="shared" si="125"/>
        <v/>
      </c>
      <c r="G1629" s="25" t="str">
        <f>IF(Receipts!$I1632="","",Receipts!$I1632)</f>
        <v/>
      </c>
      <c r="H1629" s="25" t="str">
        <f>IF(Receipts!$H1632="","",Receipts!$H1632)</f>
        <v/>
      </c>
      <c r="I1629" s="26" t="str">
        <f t="shared" ca="1" si="126"/>
        <v/>
      </c>
      <c r="J1629" s="26" t="str">
        <f>IF($A1629="","",COUNTIFS(tblReceipts[Item Name],$A1629,tblReceipts[Expiry Date],"&lt;"&amp;$H1629)+COUNTIFS(tblReceipts[Item Name],$A1629,tblReceipts[Expiry Date],$H1629,tblReceipts[Lot Number],"&lt;="&amp;Receipts!$C1632))</f>
        <v/>
      </c>
      <c r="K1629" s="26" t="str">
        <f>IF($A1629="","",SUMIFS(tblReceipts[Qty Received],tblReceipts[Item Name],$A1629,tblReceipts[Expiry Date],"&lt;"&amp;$H1629)+SUMIFS(tblReceipts[Qty Received],tblReceipts[Item Name],$A1629,tblReceipts[Expiry Date],$H1629,tblReceipts[Lot Number],"&lt;"&amp;Receipts!$C1632))</f>
        <v/>
      </c>
      <c r="L1629" s="26" t="str">
        <f>IF($A1629="","",MIN($D1629,MAX(0,SUMIFS(tblIssues[Qty Issued],tblIssues[Item Name],$A1629)-$K1629)))</f>
        <v/>
      </c>
      <c r="M1629" s="26" t="str">
        <f>IF($A1629="","",SUMIFS(tblIssues[Qty Issued],tblIssues[Lot Number],$B1629))</f>
        <v/>
      </c>
      <c r="N1629" s="26" t="str">
        <f t="shared" si="127"/>
        <v/>
      </c>
      <c r="O1629" s="26" t="str">
        <f t="shared" si="128"/>
        <v/>
      </c>
      <c r="P1629" s="21" t="str">
        <f t="shared" si="129"/>
        <v/>
      </c>
      <c r="Q1629" s="52" t="str">
        <f>IF($A1629="","",IF($O1629&lt;=0,"Depleted",IF($I1629&lt;0,"EXPIRED",IF($I1629&lt;=Settings!$C$6,"CRITICAL",IF($I1629&lt;=Settings!$C$5,"Expiring","In date")))))</f>
        <v/>
      </c>
    </row>
    <row r="1630" spans="1:17" x14ac:dyDescent="0.35">
      <c r="A1630" s="90" t="str">
        <f>IF(Receipts!$D1633="","",Receipts!$D1633)</f>
        <v/>
      </c>
      <c r="B1630" s="18" t="str">
        <f>IF(Receipts!$C1633="","",Receipts!$C1633)</f>
        <v/>
      </c>
      <c r="C1630" s="18" t="str">
        <f>IF($A1630="","",IFERROR(INDEX(Items!$B$5:$B$597,MATCH($A1630,Items!$A$5:$A$597,0)),""))</f>
        <v/>
      </c>
      <c r="D1630" s="23" t="str">
        <f>IF($A1630="","",N(Receipts!$G1633))</f>
        <v/>
      </c>
      <c r="E1630" s="20" t="str">
        <f>IF($A1630="","",IFERROR(INDEX(Items!$D$5:$D$597,MATCH($A1630,Items!$A$5:$A$597,0)),0))</f>
        <v/>
      </c>
      <c r="F1630" s="21" t="str">
        <f t="shared" si="125"/>
        <v/>
      </c>
      <c r="G1630" s="25" t="str">
        <f>IF(Receipts!$I1633="","",Receipts!$I1633)</f>
        <v/>
      </c>
      <c r="H1630" s="25" t="str">
        <f>IF(Receipts!$H1633="","",Receipts!$H1633)</f>
        <v/>
      </c>
      <c r="I1630" s="26" t="str">
        <f t="shared" ca="1" si="126"/>
        <v/>
      </c>
      <c r="J1630" s="26" t="str">
        <f>IF($A1630="","",COUNTIFS(tblReceipts[Item Name],$A1630,tblReceipts[Expiry Date],"&lt;"&amp;$H1630)+COUNTIFS(tblReceipts[Item Name],$A1630,tblReceipts[Expiry Date],$H1630,tblReceipts[Lot Number],"&lt;="&amp;Receipts!$C1633))</f>
        <v/>
      </c>
      <c r="K1630" s="26" t="str">
        <f>IF($A1630="","",SUMIFS(tblReceipts[Qty Received],tblReceipts[Item Name],$A1630,tblReceipts[Expiry Date],"&lt;"&amp;$H1630)+SUMIFS(tblReceipts[Qty Received],tblReceipts[Item Name],$A1630,tblReceipts[Expiry Date],$H1630,tblReceipts[Lot Number],"&lt;"&amp;Receipts!$C1633))</f>
        <v/>
      </c>
      <c r="L1630" s="26" t="str">
        <f>IF($A1630="","",MIN($D1630,MAX(0,SUMIFS(tblIssues[Qty Issued],tblIssues[Item Name],$A1630)-$K1630)))</f>
        <v/>
      </c>
      <c r="M1630" s="26" t="str">
        <f>IF($A1630="","",SUMIFS(tblIssues[Qty Issued],tblIssues[Lot Number],$B1630))</f>
        <v/>
      </c>
      <c r="N1630" s="26" t="str">
        <f t="shared" si="127"/>
        <v/>
      </c>
      <c r="O1630" s="26" t="str">
        <f t="shared" si="128"/>
        <v/>
      </c>
      <c r="P1630" s="21" t="str">
        <f t="shared" si="129"/>
        <v/>
      </c>
      <c r="Q1630" s="52" t="str">
        <f>IF($A1630="","",IF($O1630&lt;=0,"Depleted",IF($I1630&lt;0,"EXPIRED",IF($I1630&lt;=Settings!$C$6,"CRITICAL",IF($I1630&lt;=Settings!$C$5,"Expiring","In date")))))</f>
        <v/>
      </c>
    </row>
    <row r="1631" spans="1:17" x14ac:dyDescent="0.35">
      <c r="A1631" s="90" t="str">
        <f>IF(Receipts!$D1634="","",Receipts!$D1634)</f>
        <v/>
      </c>
      <c r="B1631" s="18" t="str">
        <f>IF(Receipts!$C1634="","",Receipts!$C1634)</f>
        <v/>
      </c>
      <c r="C1631" s="18" t="str">
        <f>IF($A1631="","",IFERROR(INDEX(Items!$B$5:$B$597,MATCH($A1631,Items!$A$5:$A$597,0)),""))</f>
        <v/>
      </c>
      <c r="D1631" s="23" t="str">
        <f>IF($A1631="","",N(Receipts!$G1634))</f>
        <v/>
      </c>
      <c r="E1631" s="20" t="str">
        <f>IF($A1631="","",IFERROR(INDEX(Items!$D$5:$D$597,MATCH($A1631,Items!$A$5:$A$597,0)),0))</f>
        <v/>
      </c>
      <c r="F1631" s="21" t="str">
        <f t="shared" si="125"/>
        <v/>
      </c>
      <c r="G1631" s="25" t="str">
        <f>IF(Receipts!$I1634="","",Receipts!$I1634)</f>
        <v/>
      </c>
      <c r="H1631" s="25" t="str">
        <f>IF(Receipts!$H1634="","",Receipts!$H1634)</f>
        <v/>
      </c>
      <c r="I1631" s="26" t="str">
        <f t="shared" ca="1" si="126"/>
        <v/>
      </c>
      <c r="J1631" s="26" t="str">
        <f>IF($A1631="","",COUNTIFS(tblReceipts[Item Name],$A1631,tblReceipts[Expiry Date],"&lt;"&amp;$H1631)+COUNTIFS(tblReceipts[Item Name],$A1631,tblReceipts[Expiry Date],$H1631,tblReceipts[Lot Number],"&lt;="&amp;Receipts!$C1634))</f>
        <v/>
      </c>
      <c r="K1631" s="26" t="str">
        <f>IF($A1631="","",SUMIFS(tblReceipts[Qty Received],tblReceipts[Item Name],$A1631,tblReceipts[Expiry Date],"&lt;"&amp;$H1631)+SUMIFS(tblReceipts[Qty Received],tblReceipts[Item Name],$A1631,tblReceipts[Expiry Date],$H1631,tblReceipts[Lot Number],"&lt;"&amp;Receipts!$C1634))</f>
        <v/>
      </c>
      <c r="L1631" s="26" t="str">
        <f>IF($A1631="","",MIN($D1631,MAX(0,SUMIFS(tblIssues[Qty Issued],tblIssues[Item Name],$A1631)-$K1631)))</f>
        <v/>
      </c>
      <c r="M1631" s="26" t="str">
        <f>IF($A1631="","",SUMIFS(tblIssues[Qty Issued],tblIssues[Lot Number],$B1631))</f>
        <v/>
      </c>
      <c r="N1631" s="26" t="str">
        <f t="shared" si="127"/>
        <v/>
      </c>
      <c r="O1631" s="26" t="str">
        <f t="shared" si="128"/>
        <v/>
      </c>
      <c r="P1631" s="21" t="str">
        <f t="shared" si="129"/>
        <v/>
      </c>
      <c r="Q1631" s="52" t="str">
        <f>IF($A1631="","",IF($O1631&lt;=0,"Depleted",IF($I1631&lt;0,"EXPIRED",IF($I1631&lt;=Settings!$C$6,"CRITICAL",IF($I1631&lt;=Settings!$C$5,"Expiring","In date")))))</f>
        <v/>
      </c>
    </row>
    <row r="1632" spans="1:17" x14ac:dyDescent="0.35">
      <c r="A1632" s="90" t="str">
        <f>IF(Receipts!$D1635="","",Receipts!$D1635)</f>
        <v/>
      </c>
      <c r="B1632" s="18" t="str">
        <f>IF(Receipts!$C1635="","",Receipts!$C1635)</f>
        <v/>
      </c>
      <c r="C1632" s="18" t="str">
        <f>IF($A1632="","",IFERROR(INDEX(Items!$B$5:$B$597,MATCH($A1632,Items!$A$5:$A$597,0)),""))</f>
        <v/>
      </c>
      <c r="D1632" s="23" t="str">
        <f>IF($A1632="","",N(Receipts!$G1635))</f>
        <v/>
      </c>
      <c r="E1632" s="20" t="str">
        <f>IF($A1632="","",IFERROR(INDEX(Items!$D$5:$D$597,MATCH($A1632,Items!$A$5:$A$597,0)),0))</f>
        <v/>
      </c>
      <c r="F1632" s="21" t="str">
        <f t="shared" si="125"/>
        <v/>
      </c>
      <c r="G1632" s="25" t="str">
        <f>IF(Receipts!$I1635="","",Receipts!$I1635)</f>
        <v/>
      </c>
      <c r="H1632" s="25" t="str">
        <f>IF(Receipts!$H1635="","",Receipts!$H1635)</f>
        <v/>
      </c>
      <c r="I1632" s="26" t="str">
        <f t="shared" ca="1" si="126"/>
        <v/>
      </c>
      <c r="J1632" s="26" t="str">
        <f>IF($A1632="","",COUNTIFS(tblReceipts[Item Name],$A1632,tblReceipts[Expiry Date],"&lt;"&amp;$H1632)+COUNTIFS(tblReceipts[Item Name],$A1632,tblReceipts[Expiry Date],$H1632,tblReceipts[Lot Number],"&lt;="&amp;Receipts!$C1635))</f>
        <v/>
      </c>
      <c r="K1632" s="26" t="str">
        <f>IF($A1632="","",SUMIFS(tblReceipts[Qty Received],tblReceipts[Item Name],$A1632,tblReceipts[Expiry Date],"&lt;"&amp;$H1632)+SUMIFS(tblReceipts[Qty Received],tblReceipts[Item Name],$A1632,tblReceipts[Expiry Date],$H1632,tblReceipts[Lot Number],"&lt;"&amp;Receipts!$C1635))</f>
        <v/>
      </c>
      <c r="L1632" s="26" t="str">
        <f>IF($A1632="","",MIN($D1632,MAX(0,SUMIFS(tblIssues[Qty Issued],tblIssues[Item Name],$A1632)-$K1632)))</f>
        <v/>
      </c>
      <c r="M1632" s="26" t="str">
        <f>IF($A1632="","",SUMIFS(tblIssues[Qty Issued],tblIssues[Lot Number],$B1632))</f>
        <v/>
      </c>
      <c r="N1632" s="26" t="str">
        <f t="shared" si="127"/>
        <v/>
      </c>
      <c r="O1632" s="26" t="str">
        <f t="shared" si="128"/>
        <v/>
      </c>
      <c r="P1632" s="21" t="str">
        <f t="shared" si="129"/>
        <v/>
      </c>
      <c r="Q1632" s="52" t="str">
        <f>IF($A1632="","",IF($O1632&lt;=0,"Depleted",IF($I1632&lt;0,"EXPIRED",IF($I1632&lt;=Settings!$C$6,"CRITICAL",IF($I1632&lt;=Settings!$C$5,"Expiring","In date")))))</f>
        <v/>
      </c>
    </row>
    <row r="1633" spans="1:17" x14ac:dyDescent="0.35">
      <c r="A1633" s="90" t="str">
        <f>IF(Receipts!$D1636="","",Receipts!$D1636)</f>
        <v/>
      </c>
      <c r="B1633" s="18" t="str">
        <f>IF(Receipts!$C1636="","",Receipts!$C1636)</f>
        <v/>
      </c>
      <c r="C1633" s="18" t="str">
        <f>IF($A1633="","",IFERROR(INDEX(Items!$B$5:$B$597,MATCH($A1633,Items!$A$5:$A$597,0)),""))</f>
        <v/>
      </c>
      <c r="D1633" s="23" t="str">
        <f>IF($A1633="","",N(Receipts!$G1636))</f>
        <v/>
      </c>
      <c r="E1633" s="20" t="str">
        <f>IF($A1633="","",IFERROR(INDEX(Items!$D$5:$D$597,MATCH($A1633,Items!$A$5:$A$597,0)),0))</f>
        <v/>
      </c>
      <c r="F1633" s="21" t="str">
        <f t="shared" si="125"/>
        <v/>
      </c>
      <c r="G1633" s="25" t="str">
        <f>IF(Receipts!$I1636="","",Receipts!$I1636)</f>
        <v/>
      </c>
      <c r="H1633" s="25" t="str">
        <f>IF(Receipts!$H1636="","",Receipts!$H1636)</f>
        <v/>
      </c>
      <c r="I1633" s="26" t="str">
        <f t="shared" ca="1" si="126"/>
        <v/>
      </c>
      <c r="J1633" s="26" t="str">
        <f>IF($A1633="","",COUNTIFS(tblReceipts[Item Name],$A1633,tblReceipts[Expiry Date],"&lt;"&amp;$H1633)+COUNTIFS(tblReceipts[Item Name],$A1633,tblReceipts[Expiry Date],$H1633,tblReceipts[Lot Number],"&lt;="&amp;Receipts!$C1636))</f>
        <v/>
      </c>
      <c r="K1633" s="26" t="str">
        <f>IF($A1633="","",SUMIFS(tblReceipts[Qty Received],tblReceipts[Item Name],$A1633,tblReceipts[Expiry Date],"&lt;"&amp;$H1633)+SUMIFS(tblReceipts[Qty Received],tblReceipts[Item Name],$A1633,tblReceipts[Expiry Date],$H1633,tblReceipts[Lot Number],"&lt;"&amp;Receipts!$C1636))</f>
        <v/>
      </c>
      <c r="L1633" s="26" t="str">
        <f>IF($A1633="","",MIN($D1633,MAX(0,SUMIFS(tblIssues[Qty Issued],tblIssues[Item Name],$A1633)-$K1633)))</f>
        <v/>
      </c>
      <c r="M1633" s="26" t="str">
        <f>IF($A1633="","",SUMIFS(tblIssues[Qty Issued],tblIssues[Lot Number],$B1633))</f>
        <v/>
      </c>
      <c r="N1633" s="26" t="str">
        <f t="shared" si="127"/>
        <v/>
      </c>
      <c r="O1633" s="26" t="str">
        <f t="shared" si="128"/>
        <v/>
      </c>
      <c r="P1633" s="21" t="str">
        <f t="shared" si="129"/>
        <v/>
      </c>
      <c r="Q1633" s="52" t="str">
        <f>IF($A1633="","",IF($O1633&lt;=0,"Depleted",IF($I1633&lt;0,"EXPIRED",IF($I1633&lt;=Settings!$C$6,"CRITICAL",IF($I1633&lt;=Settings!$C$5,"Expiring","In date")))))</f>
        <v/>
      </c>
    </row>
    <row r="1634" spans="1:17" x14ac:dyDescent="0.35">
      <c r="A1634" s="90" t="str">
        <f>IF(Receipts!$D1637="","",Receipts!$D1637)</f>
        <v/>
      </c>
      <c r="B1634" s="18" t="str">
        <f>IF(Receipts!$C1637="","",Receipts!$C1637)</f>
        <v/>
      </c>
      <c r="C1634" s="18" t="str">
        <f>IF($A1634="","",IFERROR(INDEX(Items!$B$5:$B$597,MATCH($A1634,Items!$A$5:$A$597,0)),""))</f>
        <v/>
      </c>
      <c r="D1634" s="23" t="str">
        <f>IF($A1634="","",N(Receipts!$G1637))</f>
        <v/>
      </c>
      <c r="E1634" s="20" t="str">
        <f>IF($A1634="","",IFERROR(INDEX(Items!$D$5:$D$597,MATCH($A1634,Items!$A$5:$A$597,0)),0))</f>
        <v/>
      </c>
      <c r="F1634" s="21" t="str">
        <f t="shared" si="125"/>
        <v/>
      </c>
      <c r="G1634" s="25" t="str">
        <f>IF(Receipts!$I1637="","",Receipts!$I1637)</f>
        <v/>
      </c>
      <c r="H1634" s="25" t="str">
        <f>IF(Receipts!$H1637="","",Receipts!$H1637)</f>
        <v/>
      </c>
      <c r="I1634" s="26" t="str">
        <f t="shared" ca="1" si="126"/>
        <v/>
      </c>
      <c r="J1634" s="26" t="str">
        <f>IF($A1634="","",COUNTIFS(tblReceipts[Item Name],$A1634,tblReceipts[Expiry Date],"&lt;"&amp;$H1634)+COUNTIFS(tblReceipts[Item Name],$A1634,tblReceipts[Expiry Date],$H1634,tblReceipts[Lot Number],"&lt;="&amp;Receipts!$C1637))</f>
        <v/>
      </c>
      <c r="K1634" s="26" t="str">
        <f>IF($A1634="","",SUMIFS(tblReceipts[Qty Received],tblReceipts[Item Name],$A1634,tblReceipts[Expiry Date],"&lt;"&amp;$H1634)+SUMIFS(tblReceipts[Qty Received],tblReceipts[Item Name],$A1634,tblReceipts[Expiry Date],$H1634,tblReceipts[Lot Number],"&lt;"&amp;Receipts!$C1637))</f>
        <v/>
      </c>
      <c r="L1634" s="26" t="str">
        <f>IF($A1634="","",MIN($D1634,MAX(0,SUMIFS(tblIssues[Qty Issued],tblIssues[Item Name],$A1634)-$K1634)))</f>
        <v/>
      </c>
      <c r="M1634" s="26" t="str">
        <f>IF($A1634="","",SUMIFS(tblIssues[Qty Issued],tblIssues[Lot Number],$B1634))</f>
        <v/>
      </c>
      <c r="N1634" s="26" t="str">
        <f t="shared" si="127"/>
        <v/>
      </c>
      <c r="O1634" s="26" t="str">
        <f t="shared" si="128"/>
        <v/>
      </c>
      <c r="P1634" s="21" t="str">
        <f t="shared" si="129"/>
        <v/>
      </c>
      <c r="Q1634" s="52" t="str">
        <f>IF($A1634="","",IF($O1634&lt;=0,"Depleted",IF($I1634&lt;0,"EXPIRED",IF($I1634&lt;=Settings!$C$6,"CRITICAL",IF($I1634&lt;=Settings!$C$5,"Expiring","In date")))))</f>
        <v/>
      </c>
    </row>
    <row r="1635" spans="1:17" x14ac:dyDescent="0.35">
      <c r="A1635" s="90" t="str">
        <f>IF(Receipts!$D1638="","",Receipts!$D1638)</f>
        <v/>
      </c>
      <c r="B1635" s="18" t="str">
        <f>IF(Receipts!$C1638="","",Receipts!$C1638)</f>
        <v/>
      </c>
      <c r="C1635" s="18" t="str">
        <f>IF($A1635="","",IFERROR(INDEX(Items!$B$5:$B$597,MATCH($A1635,Items!$A$5:$A$597,0)),""))</f>
        <v/>
      </c>
      <c r="D1635" s="23" t="str">
        <f>IF($A1635="","",N(Receipts!$G1638))</f>
        <v/>
      </c>
      <c r="E1635" s="20" t="str">
        <f>IF($A1635="","",IFERROR(INDEX(Items!$D$5:$D$597,MATCH($A1635,Items!$A$5:$A$597,0)),0))</f>
        <v/>
      </c>
      <c r="F1635" s="21" t="str">
        <f t="shared" si="125"/>
        <v/>
      </c>
      <c r="G1635" s="25" t="str">
        <f>IF(Receipts!$I1638="","",Receipts!$I1638)</f>
        <v/>
      </c>
      <c r="H1635" s="25" t="str">
        <f>IF(Receipts!$H1638="","",Receipts!$H1638)</f>
        <v/>
      </c>
      <c r="I1635" s="26" t="str">
        <f t="shared" ca="1" si="126"/>
        <v/>
      </c>
      <c r="J1635" s="26" t="str">
        <f>IF($A1635="","",COUNTIFS(tblReceipts[Item Name],$A1635,tblReceipts[Expiry Date],"&lt;"&amp;$H1635)+COUNTIFS(tblReceipts[Item Name],$A1635,tblReceipts[Expiry Date],$H1635,tblReceipts[Lot Number],"&lt;="&amp;Receipts!$C1638))</f>
        <v/>
      </c>
      <c r="K1635" s="26" t="str">
        <f>IF($A1635="","",SUMIFS(tblReceipts[Qty Received],tblReceipts[Item Name],$A1635,tblReceipts[Expiry Date],"&lt;"&amp;$H1635)+SUMIFS(tblReceipts[Qty Received],tblReceipts[Item Name],$A1635,tblReceipts[Expiry Date],$H1635,tblReceipts[Lot Number],"&lt;"&amp;Receipts!$C1638))</f>
        <v/>
      </c>
      <c r="L1635" s="26" t="str">
        <f>IF($A1635="","",MIN($D1635,MAX(0,SUMIFS(tblIssues[Qty Issued],tblIssues[Item Name],$A1635)-$K1635)))</f>
        <v/>
      </c>
      <c r="M1635" s="26" t="str">
        <f>IF($A1635="","",SUMIFS(tblIssues[Qty Issued],tblIssues[Lot Number],$B1635))</f>
        <v/>
      </c>
      <c r="N1635" s="26" t="str">
        <f t="shared" si="127"/>
        <v/>
      </c>
      <c r="O1635" s="26" t="str">
        <f t="shared" si="128"/>
        <v/>
      </c>
      <c r="P1635" s="21" t="str">
        <f t="shared" si="129"/>
        <v/>
      </c>
      <c r="Q1635" s="52" t="str">
        <f>IF($A1635="","",IF($O1635&lt;=0,"Depleted",IF($I1635&lt;0,"EXPIRED",IF($I1635&lt;=Settings!$C$6,"CRITICAL",IF($I1635&lt;=Settings!$C$5,"Expiring","In date")))))</f>
        <v/>
      </c>
    </row>
    <row r="1636" spans="1:17" x14ac:dyDescent="0.35">
      <c r="A1636" s="90" t="str">
        <f>IF(Receipts!$D1639="","",Receipts!$D1639)</f>
        <v/>
      </c>
      <c r="B1636" s="18" t="str">
        <f>IF(Receipts!$C1639="","",Receipts!$C1639)</f>
        <v/>
      </c>
      <c r="C1636" s="18" t="str">
        <f>IF($A1636="","",IFERROR(INDEX(Items!$B$5:$B$597,MATCH($A1636,Items!$A$5:$A$597,0)),""))</f>
        <v/>
      </c>
      <c r="D1636" s="23" t="str">
        <f>IF($A1636="","",N(Receipts!$G1639))</f>
        <v/>
      </c>
      <c r="E1636" s="20" t="str">
        <f>IF($A1636="","",IFERROR(INDEX(Items!$D$5:$D$597,MATCH($A1636,Items!$A$5:$A$597,0)),0))</f>
        <v/>
      </c>
      <c r="F1636" s="21" t="str">
        <f t="shared" si="125"/>
        <v/>
      </c>
      <c r="G1636" s="25" t="str">
        <f>IF(Receipts!$I1639="","",Receipts!$I1639)</f>
        <v/>
      </c>
      <c r="H1636" s="25" t="str">
        <f>IF(Receipts!$H1639="","",Receipts!$H1639)</f>
        <v/>
      </c>
      <c r="I1636" s="26" t="str">
        <f t="shared" ca="1" si="126"/>
        <v/>
      </c>
      <c r="J1636" s="26" t="str">
        <f>IF($A1636="","",COUNTIFS(tblReceipts[Item Name],$A1636,tblReceipts[Expiry Date],"&lt;"&amp;$H1636)+COUNTIFS(tblReceipts[Item Name],$A1636,tblReceipts[Expiry Date],$H1636,tblReceipts[Lot Number],"&lt;="&amp;Receipts!$C1639))</f>
        <v/>
      </c>
      <c r="K1636" s="26" t="str">
        <f>IF($A1636="","",SUMIFS(tblReceipts[Qty Received],tblReceipts[Item Name],$A1636,tblReceipts[Expiry Date],"&lt;"&amp;$H1636)+SUMIFS(tblReceipts[Qty Received],tblReceipts[Item Name],$A1636,tblReceipts[Expiry Date],$H1636,tblReceipts[Lot Number],"&lt;"&amp;Receipts!$C1639))</f>
        <v/>
      </c>
      <c r="L1636" s="26" t="str">
        <f>IF($A1636="","",MIN($D1636,MAX(0,SUMIFS(tblIssues[Qty Issued],tblIssues[Item Name],$A1636)-$K1636)))</f>
        <v/>
      </c>
      <c r="M1636" s="26" t="str">
        <f>IF($A1636="","",SUMIFS(tblIssues[Qty Issued],tblIssues[Lot Number],$B1636))</f>
        <v/>
      </c>
      <c r="N1636" s="26" t="str">
        <f t="shared" si="127"/>
        <v/>
      </c>
      <c r="O1636" s="26" t="str">
        <f t="shared" si="128"/>
        <v/>
      </c>
      <c r="P1636" s="21" t="str">
        <f t="shared" si="129"/>
        <v/>
      </c>
      <c r="Q1636" s="52" t="str">
        <f>IF($A1636="","",IF($O1636&lt;=0,"Depleted",IF($I1636&lt;0,"EXPIRED",IF($I1636&lt;=Settings!$C$6,"CRITICAL",IF($I1636&lt;=Settings!$C$5,"Expiring","In date")))))</f>
        <v/>
      </c>
    </row>
    <row r="1637" spans="1:17" x14ac:dyDescent="0.35">
      <c r="A1637" s="90" t="str">
        <f>IF(Receipts!$D1640="","",Receipts!$D1640)</f>
        <v/>
      </c>
      <c r="B1637" s="18" t="str">
        <f>IF(Receipts!$C1640="","",Receipts!$C1640)</f>
        <v/>
      </c>
      <c r="C1637" s="18" t="str">
        <f>IF($A1637="","",IFERROR(INDEX(Items!$B$5:$B$597,MATCH($A1637,Items!$A$5:$A$597,0)),""))</f>
        <v/>
      </c>
      <c r="D1637" s="23" t="str">
        <f>IF($A1637="","",N(Receipts!$G1640))</f>
        <v/>
      </c>
      <c r="E1637" s="20" t="str">
        <f>IF($A1637="","",IFERROR(INDEX(Items!$D$5:$D$597,MATCH($A1637,Items!$A$5:$A$597,0)),0))</f>
        <v/>
      </c>
      <c r="F1637" s="21" t="str">
        <f t="shared" si="125"/>
        <v/>
      </c>
      <c r="G1637" s="25" t="str">
        <f>IF(Receipts!$I1640="","",Receipts!$I1640)</f>
        <v/>
      </c>
      <c r="H1637" s="25" t="str">
        <f>IF(Receipts!$H1640="","",Receipts!$H1640)</f>
        <v/>
      </c>
      <c r="I1637" s="26" t="str">
        <f t="shared" ca="1" si="126"/>
        <v/>
      </c>
      <c r="J1637" s="26" t="str">
        <f>IF($A1637="","",COUNTIFS(tblReceipts[Item Name],$A1637,tblReceipts[Expiry Date],"&lt;"&amp;$H1637)+COUNTIFS(tblReceipts[Item Name],$A1637,tblReceipts[Expiry Date],$H1637,tblReceipts[Lot Number],"&lt;="&amp;Receipts!$C1640))</f>
        <v/>
      </c>
      <c r="K1637" s="26" t="str">
        <f>IF($A1637="","",SUMIFS(tblReceipts[Qty Received],tblReceipts[Item Name],$A1637,tblReceipts[Expiry Date],"&lt;"&amp;$H1637)+SUMIFS(tblReceipts[Qty Received],tblReceipts[Item Name],$A1637,tblReceipts[Expiry Date],$H1637,tblReceipts[Lot Number],"&lt;"&amp;Receipts!$C1640))</f>
        <v/>
      </c>
      <c r="L1637" s="26" t="str">
        <f>IF($A1637="","",MIN($D1637,MAX(0,SUMIFS(tblIssues[Qty Issued],tblIssues[Item Name],$A1637)-$K1637)))</f>
        <v/>
      </c>
      <c r="M1637" s="26" t="str">
        <f>IF($A1637="","",SUMIFS(tblIssues[Qty Issued],tblIssues[Lot Number],$B1637))</f>
        <v/>
      </c>
      <c r="N1637" s="26" t="str">
        <f t="shared" si="127"/>
        <v/>
      </c>
      <c r="O1637" s="26" t="str">
        <f t="shared" si="128"/>
        <v/>
      </c>
      <c r="P1637" s="21" t="str">
        <f t="shared" si="129"/>
        <v/>
      </c>
      <c r="Q1637" s="52" t="str">
        <f>IF($A1637="","",IF($O1637&lt;=0,"Depleted",IF($I1637&lt;0,"EXPIRED",IF($I1637&lt;=Settings!$C$6,"CRITICAL",IF($I1637&lt;=Settings!$C$5,"Expiring","In date")))))</f>
        <v/>
      </c>
    </row>
    <row r="1638" spans="1:17" x14ac:dyDescent="0.35">
      <c r="A1638" s="90" t="str">
        <f>IF(Receipts!$D1641="","",Receipts!$D1641)</f>
        <v/>
      </c>
      <c r="B1638" s="18" t="str">
        <f>IF(Receipts!$C1641="","",Receipts!$C1641)</f>
        <v/>
      </c>
      <c r="C1638" s="18" t="str">
        <f>IF($A1638="","",IFERROR(INDEX(Items!$B$5:$B$597,MATCH($A1638,Items!$A$5:$A$597,0)),""))</f>
        <v/>
      </c>
      <c r="D1638" s="23" t="str">
        <f>IF($A1638="","",N(Receipts!$G1641))</f>
        <v/>
      </c>
      <c r="E1638" s="20" t="str">
        <f>IF($A1638="","",IFERROR(INDEX(Items!$D$5:$D$597,MATCH($A1638,Items!$A$5:$A$597,0)),0))</f>
        <v/>
      </c>
      <c r="F1638" s="21" t="str">
        <f t="shared" si="125"/>
        <v/>
      </c>
      <c r="G1638" s="25" t="str">
        <f>IF(Receipts!$I1641="","",Receipts!$I1641)</f>
        <v/>
      </c>
      <c r="H1638" s="25" t="str">
        <f>IF(Receipts!$H1641="","",Receipts!$H1641)</f>
        <v/>
      </c>
      <c r="I1638" s="26" t="str">
        <f t="shared" ca="1" si="126"/>
        <v/>
      </c>
      <c r="J1638" s="26" t="str">
        <f>IF($A1638="","",COUNTIFS(tblReceipts[Item Name],$A1638,tblReceipts[Expiry Date],"&lt;"&amp;$H1638)+COUNTIFS(tblReceipts[Item Name],$A1638,tblReceipts[Expiry Date],$H1638,tblReceipts[Lot Number],"&lt;="&amp;Receipts!$C1641))</f>
        <v/>
      </c>
      <c r="K1638" s="26" t="str">
        <f>IF($A1638="","",SUMIFS(tblReceipts[Qty Received],tblReceipts[Item Name],$A1638,tblReceipts[Expiry Date],"&lt;"&amp;$H1638)+SUMIFS(tblReceipts[Qty Received],tblReceipts[Item Name],$A1638,tblReceipts[Expiry Date],$H1638,tblReceipts[Lot Number],"&lt;"&amp;Receipts!$C1641))</f>
        <v/>
      </c>
      <c r="L1638" s="26" t="str">
        <f>IF($A1638="","",MIN($D1638,MAX(0,SUMIFS(tblIssues[Qty Issued],tblIssues[Item Name],$A1638)-$K1638)))</f>
        <v/>
      </c>
      <c r="M1638" s="26" t="str">
        <f>IF($A1638="","",SUMIFS(tblIssues[Qty Issued],tblIssues[Lot Number],$B1638))</f>
        <v/>
      </c>
      <c r="N1638" s="26" t="str">
        <f t="shared" si="127"/>
        <v/>
      </c>
      <c r="O1638" s="26" t="str">
        <f t="shared" si="128"/>
        <v/>
      </c>
      <c r="P1638" s="21" t="str">
        <f t="shared" si="129"/>
        <v/>
      </c>
      <c r="Q1638" s="52" t="str">
        <f>IF($A1638="","",IF($O1638&lt;=0,"Depleted",IF($I1638&lt;0,"EXPIRED",IF($I1638&lt;=Settings!$C$6,"CRITICAL",IF($I1638&lt;=Settings!$C$5,"Expiring","In date")))))</f>
        <v/>
      </c>
    </row>
    <row r="1639" spans="1:17" x14ac:dyDescent="0.35">
      <c r="A1639" s="90" t="str">
        <f>IF(Receipts!$D1642="","",Receipts!$D1642)</f>
        <v/>
      </c>
      <c r="B1639" s="18" t="str">
        <f>IF(Receipts!$C1642="","",Receipts!$C1642)</f>
        <v/>
      </c>
      <c r="C1639" s="18" t="str">
        <f>IF($A1639="","",IFERROR(INDEX(Items!$B$5:$B$597,MATCH($A1639,Items!$A$5:$A$597,0)),""))</f>
        <v/>
      </c>
      <c r="D1639" s="23" t="str">
        <f>IF($A1639="","",N(Receipts!$G1642))</f>
        <v/>
      </c>
      <c r="E1639" s="20" t="str">
        <f>IF($A1639="","",IFERROR(INDEX(Items!$D$5:$D$597,MATCH($A1639,Items!$A$5:$A$597,0)),0))</f>
        <v/>
      </c>
      <c r="F1639" s="21" t="str">
        <f t="shared" si="125"/>
        <v/>
      </c>
      <c r="G1639" s="25" t="str">
        <f>IF(Receipts!$I1642="","",Receipts!$I1642)</f>
        <v/>
      </c>
      <c r="H1639" s="25" t="str">
        <f>IF(Receipts!$H1642="","",Receipts!$H1642)</f>
        <v/>
      </c>
      <c r="I1639" s="26" t="str">
        <f t="shared" ca="1" si="126"/>
        <v/>
      </c>
      <c r="J1639" s="26" t="str">
        <f>IF($A1639="","",COUNTIFS(tblReceipts[Item Name],$A1639,tblReceipts[Expiry Date],"&lt;"&amp;$H1639)+COUNTIFS(tblReceipts[Item Name],$A1639,tblReceipts[Expiry Date],$H1639,tblReceipts[Lot Number],"&lt;="&amp;Receipts!$C1642))</f>
        <v/>
      </c>
      <c r="K1639" s="26" t="str">
        <f>IF($A1639="","",SUMIFS(tblReceipts[Qty Received],tblReceipts[Item Name],$A1639,tblReceipts[Expiry Date],"&lt;"&amp;$H1639)+SUMIFS(tblReceipts[Qty Received],tblReceipts[Item Name],$A1639,tblReceipts[Expiry Date],$H1639,tblReceipts[Lot Number],"&lt;"&amp;Receipts!$C1642))</f>
        <v/>
      </c>
      <c r="L1639" s="26" t="str">
        <f>IF($A1639="","",MIN($D1639,MAX(0,SUMIFS(tblIssues[Qty Issued],tblIssues[Item Name],$A1639)-$K1639)))</f>
        <v/>
      </c>
      <c r="M1639" s="26" t="str">
        <f>IF($A1639="","",SUMIFS(tblIssues[Qty Issued],tblIssues[Lot Number],$B1639))</f>
        <v/>
      </c>
      <c r="N1639" s="26" t="str">
        <f t="shared" si="127"/>
        <v/>
      </c>
      <c r="O1639" s="26" t="str">
        <f t="shared" si="128"/>
        <v/>
      </c>
      <c r="P1639" s="21" t="str">
        <f t="shared" si="129"/>
        <v/>
      </c>
      <c r="Q1639" s="52" t="str">
        <f>IF($A1639="","",IF($O1639&lt;=0,"Depleted",IF($I1639&lt;0,"EXPIRED",IF($I1639&lt;=Settings!$C$6,"CRITICAL",IF($I1639&lt;=Settings!$C$5,"Expiring","In date")))))</f>
        <v/>
      </c>
    </row>
    <row r="1640" spans="1:17" x14ac:dyDescent="0.35">
      <c r="A1640" s="90" t="str">
        <f>IF(Receipts!$D1643="","",Receipts!$D1643)</f>
        <v/>
      </c>
      <c r="B1640" s="18" t="str">
        <f>IF(Receipts!$C1643="","",Receipts!$C1643)</f>
        <v/>
      </c>
      <c r="C1640" s="18" t="str">
        <f>IF($A1640="","",IFERROR(INDEX(Items!$B$5:$B$597,MATCH($A1640,Items!$A$5:$A$597,0)),""))</f>
        <v/>
      </c>
      <c r="D1640" s="23" t="str">
        <f>IF($A1640="","",N(Receipts!$G1643))</f>
        <v/>
      </c>
      <c r="E1640" s="20" t="str">
        <f>IF($A1640="","",IFERROR(INDEX(Items!$D$5:$D$597,MATCH($A1640,Items!$A$5:$A$597,0)),0))</f>
        <v/>
      </c>
      <c r="F1640" s="21" t="str">
        <f t="shared" si="125"/>
        <v/>
      </c>
      <c r="G1640" s="25" t="str">
        <f>IF(Receipts!$I1643="","",Receipts!$I1643)</f>
        <v/>
      </c>
      <c r="H1640" s="25" t="str">
        <f>IF(Receipts!$H1643="","",Receipts!$H1643)</f>
        <v/>
      </c>
      <c r="I1640" s="26" t="str">
        <f t="shared" ca="1" si="126"/>
        <v/>
      </c>
      <c r="J1640" s="26" t="str">
        <f>IF($A1640="","",COUNTIFS(tblReceipts[Item Name],$A1640,tblReceipts[Expiry Date],"&lt;"&amp;$H1640)+COUNTIFS(tblReceipts[Item Name],$A1640,tblReceipts[Expiry Date],$H1640,tblReceipts[Lot Number],"&lt;="&amp;Receipts!$C1643))</f>
        <v/>
      </c>
      <c r="K1640" s="26" t="str">
        <f>IF($A1640="","",SUMIFS(tblReceipts[Qty Received],tblReceipts[Item Name],$A1640,tblReceipts[Expiry Date],"&lt;"&amp;$H1640)+SUMIFS(tblReceipts[Qty Received],tblReceipts[Item Name],$A1640,tblReceipts[Expiry Date],$H1640,tblReceipts[Lot Number],"&lt;"&amp;Receipts!$C1643))</f>
        <v/>
      </c>
      <c r="L1640" s="26" t="str">
        <f>IF($A1640="","",MIN($D1640,MAX(0,SUMIFS(tblIssues[Qty Issued],tblIssues[Item Name],$A1640)-$K1640)))</f>
        <v/>
      </c>
      <c r="M1640" s="26" t="str">
        <f>IF($A1640="","",SUMIFS(tblIssues[Qty Issued],tblIssues[Lot Number],$B1640))</f>
        <v/>
      </c>
      <c r="N1640" s="26" t="str">
        <f t="shared" si="127"/>
        <v/>
      </c>
      <c r="O1640" s="26" t="str">
        <f t="shared" si="128"/>
        <v/>
      </c>
      <c r="P1640" s="21" t="str">
        <f t="shared" si="129"/>
        <v/>
      </c>
      <c r="Q1640" s="52" t="str">
        <f>IF($A1640="","",IF($O1640&lt;=0,"Depleted",IF($I1640&lt;0,"EXPIRED",IF($I1640&lt;=Settings!$C$6,"CRITICAL",IF($I1640&lt;=Settings!$C$5,"Expiring","In date")))))</f>
        <v/>
      </c>
    </row>
    <row r="1641" spans="1:17" x14ac:dyDescent="0.35">
      <c r="A1641" s="90" t="str">
        <f>IF(Receipts!$D1644="","",Receipts!$D1644)</f>
        <v/>
      </c>
      <c r="B1641" s="18" t="str">
        <f>IF(Receipts!$C1644="","",Receipts!$C1644)</f>
        <v/>
      </c>
      <c r="C1641" s="18" t="str">
        <f>IF($A1641="","",IFERROR(INDEX(Items!$B$5:$B$597,MATCH($A1641,Items!$A$5:$A$597,0)),""))</f>
        <v/>
      </c>
      <c r="D1641" s="23" t="str">
        <f>IF($A1641="","",N(Receipts!$G1644))</f>
        <v/>
      </c>
      <c r="E1641" s="20" t="str">
        <f>IF($A1641="","",IFERROR(INDEX(Items!$D$5:$D$597,MATCH($A1641,Items!$A$5:$A$597,0)),0))</f>
        <v/>
      </c>
      <c r="F1641" s="21" t="str">
        <f t="shared" si="125"/>
        <v/>
      </c>
      <c r="G1641" s="25" t="str">
        <f>IF(Receipts!$I1644="","",Receipts!$I1644)</f>
        <v/>
      </c>
      <c r="H1641" s="25" t="str">
        <f>IF(Receipts!$H1644="","",Receipts!$H1644)</f>
        <v/>
      </c>
      <c r="I1641" s="26" t="str">
        <f t="shared" ca="1" si="126"/>
        <v/>
      </c>
      <c r="J1641" s="26" t="str">
        <f>IF($A1641="","",COUNTIFS(tblReceipts[Item Name],$A1641,tblReceipts[Expiry Date],"&lt;"&amp;$H1641)+COUNTIFS(tblReceipts[Item Name],$A1641,tblReceipts[Expiry Date],$H1641,tblReceipts[Lot Number],"&lt;="&amp;Receipts!$C1644))</f>
        <v/>
      </c>
      <c r="K1641" s="26" t="str">
        <f>IF($A1641="","",SUMIFS(tblReceipts[Qty Received],tblReceipts[Item Name],$A1641,tblReceipts[Expiry Date],"&lt;"&amp;$H1641)+SUMIFS(tblReceipts[Qty Received],tblReceipts[Item Name],$A1641,tblReceipts[Expiry Date],$H1641,tblReceipts[Lot Number],"&lt;"&amp;Receipts!$C1644))</f>
        <v/>
      </c>
      <c r="L1641" s="26" t="str">
        <f>IF($A1641="","",MIN($D1641,MAX(0,SUMIFS(tblIssues[Qty Issued],tblIssues[Item Name],$A1641)-$K1641)))</f>
        <v/>
      </c>
      <c r="M1641" s="26" t="str">
        <f>IF($A1641="","",SUMIFS(tblIssues[Qty Issued],tblIssues[Lot Number],$B1641))</f>
        <v/>
      </c>
      <c r="N1641" s="26" t="str">
        <f t="shared" si="127"/>
        <v/>
      </c>
      <c r="O1641" s="26" t="str">
        <f t="shared" si="128"/>
        <v/>
      </c>
      <c r="P1641" s="21" t="str">
        <f t="shared" si="129"/>
        <v/>
      </c>
      <c r="Q1641" s="52" t="str">
        <f>IF($A1641="","",IF($O1641&lt;=0,"Depleted",IF($I1641&lt;0,"EXPIRED",IF($I1641&lt;=Settings!$C$6,"CRITICAL",IF($I1641&lt;=Settings!$C$5,"Expiring","In date")))))</f>
        <v/>
      </c>
    </row>
    <row r="1642" spans="1:17" x14ac:dyDescent="0.35">
      <c r="A1642" s="90" t="str">
        <f>IF(Receipts!$D1645="","",Receipts!$D1645)</f>
        <v/>
      </c>
      <c r="B1642" s="18" t="str">
        <f>IF(Receipts!$C1645="","",Receipts!$C1645)</f>
        <v/>
      </c>
      <c r="C1642" s="18" t="str">
        <f>IF($A1642="","",IFERROR(INDEX(Items!$B$5:$B$597,MATCH($A1642,Items!$A$5:$A$597,0)),""))</f>
        <v/>
      </c>
      <c r="D1642" s="23" t="str">
        <f>IF($A1642="","",N(Receipts!$G1645))</f>
        <v/>
      </c>
      <c r="E1642" s="20" t="str">
        <f>IF($A1642="","",IFERROR(INDEX(Items!$D$5:$D$597,MATCH($A1642,Items!$A$5:$A$597,0)),0))</f>
        <v/>
      </c>
      <c r="F1642" s="21" t="str">
        <f t="shared" si="125"/>
        <v/>
      </c>
      <c r="G1642" s="25" t="str">
        <f>IF(Receipts!$I1645="","",Receipts!$I1645)</f>
        <v/>
      </c>
      <c r="H1642" s="25" t="str">
        <f>IF(Receipts!$H1645="","",Receipts!$H1645)</f>
        <v/>
      </c>
      <c r="I1642" s="26" t="str">
        <f t="shared" ca="1" si="126"/>
        <v/>
      </c>
      <c r="J1642" s="26" t="str">
        <f>IF($A1642="","",COUNTIFS(tblReceipts[Item Name],$A1642,tblReceipts[Expiry Date],"&lt;"&amp;$H1642)+COUNTIFS(tblReceipts[Item Name],$A1642,tblReceipts[Expiry Date],$H1642,tblReceipts[Lot Number],"&lt;="&amp;Receipts!$C1645))</f>
        <v/>
      </c>
      <c r="K1642" s="26" t="str">
        <f>IF($A1642="","",SUMIFS(tblReceipts[Qty Received],tblReceipts[Item Name],$A1642,tblReceipts[Expiry Date],"&lt;"&amp;$H1642)+SUMIFS(tblReceipts[Qty Received],tblReceipts[Item Name],$A1642,tblReceipts[Expiry Date],$H1642,tblReceipts[Lot Number],"&lt;"&amp;Receipts!$C1645))</f>
        <v/>
      </c>
      <c r="L1642" s="26" t="str">
        <f>IF($A1642="","",MIN($D1642,MAX(0,SUMIFS(tblIssues[Qty Issued],tblIssues[Item Name],$A1642)-$K1642)))</f>
        <v/>
      </c>
      <c r="M1642" s="26" t="str">
        <f>IF($A1642="","",SUMIFS(tblIssues[Qty Issued],tblIssues[Lot Number],$B1642))</f>
        <v/>
      </c>
      <c r="N1642" s="26" t="str">
        <f t="shared" si="127"/>
        <v/>
      </c>
      <c r="O1642" s="26" t="str">
        <f t="shared" si="128"/>
        <v/>
      </c>
      <c r="P1642" s="21" t="str">
        <f t="shared" si="129"/>
        <v/>
      </c>
      <c r="Q1642" s="52" t="str">
        <f>IF($A1642="","",IF($O1642&lt;=0,"Depleted",IF($I1642&lt;0,"EXPIRED",IF($I1642&lt;=Settings!$C$6,"CRITICAL",IF($I1642&lt;=Settings!$C$5,"Expiring","In date")))))</f>
        <v/>
      </c>
    </row>
    <row r="1643" spans="1:17" x14ac:dyDescent="0.35">
      <c r="A1643" s="90" t="str">
        <f>IF(Receipts!$D1646="","",Receipts!$D1646)</f>
        <v/>
      </c>
      <c r="B1643" s="18" t="str">
        <f>IF(Receipts!$C1646="","",Receipts!$C1646)</f>
        <v/>
      </c>
      <c r="C1643" s="18" t="str">
        <f>IF($A1643="","",IFERROR(INDEX(Items!$B$5:$B$597,MATCH($A1643,Items!$A$5:$A$597,0)),""))</f>
        <v/>
      </c>
      <c r="D1643" s="23" t="str">
        <f>IF($A1643="","",N(Receipts!$G1646))</f>
        <v/>
      </c>
      <c r="E1643" s="20" t="str">
        <f>IF($A1643="","",IFERROR(INDEX(Items!$D$5:$D$597,MATCH($A1643,Items!$A$5:$A$597,0)),0))</f>
        <v/>
      </c>
      <c r="F1643" s="21" t="str">
        <f t="shared" si="125"/>
        <v/>
      </c>
      <c r="G1643" s="25" t="str">
        <f>IF(Receipts!$I1646="","",Receipts!$I1646)</f>
        <v/>
      </c>
      <c r="H1643" s="25" t="str">
        <f>IF(Receipts!$H1646="","",Receipts!$H1646)</f>
        <v/>
      </c>
      <c r="I1643" s="26" t="str">
        <f t="shared" ca="1" si="126"/>
        <v/>
      </c>
      <c r="J1643" s="26" t="str">
        <f>IF($A1643="","",COUNTIFS(tblReceipts[Item Name],$A1643,tblReceipts[Expiry Date],"&lt;"&amp;$H1643)+COUNTIFS(tblReceipts[Item Name],$A1643,tblReceipts[Expiry Date],$H1643,tblReceipts[Lot Number],"&lt;="&amp;Receipts!$C1646))</f>
        <v/>
      </c>
      <c r="K1643" s="26" t="str">
        <f>IF($A1643="","",SUMIFS(tblReceipts[Qty Received],tblReceipts[Item Name],$A1643,tblReceipts[Expiry Date],"&lt;"&amp;$H1643)+SUMIFS(tblReceipts[Qty Received],tblReceipts[Item Name],$A1643,tblReceipts[Expiry Date],$H1643,tblReceipts[Lot Number],"&lt;"&amp;Receipts!$C1646))</f>
        <v/>
      </c>
      <c r="L1643" s="26" t="str">
        <f>IF($A1643="","",MIN($D1643,MAX(0,SUMIFS(tblIssues[Qty Issued],tblIssues[Item Name],$A1643)-$K1643)))</f>
        <v/>
      </c>
      <c r="M1643" s="26" t="str">
        <f>IF($A1643="","",SUMIFS(tblIssues[Qty Issued],tblIssues[Lot Number],$B1643))</f>
        <v/>
      </c>
      <c r="N1643" s="26" t="str">
        <f t="shared" si="127"/>
        <v/>
      </c>
      <c r="O1643" s="26" t="str">
        <f t="shared" si="128"/>
        <v/>
      </c>
      <c r="P1643" s="21" t="str">
        <f t="shared" si="129"/>
        <v/>
      </c>
      <c r="Q1643" s="52" t="str">
        <f>IF($A1643="","",IF($O1643&lt;=0,"Depleted",IF($I1643&lt;0,"EXPIRED",IF($I1643&lt;=Settings!$C$6,"CRITICAL",IF($I1643&lt;=Settings!$C$5,"Expiring","In date")))))</f>
        <v/>
      </c>
    </row>
    <row r="1644" spans="1:17" x14ac:dyDescent="0.35">
      <c r="A1644" s="90" t="str">
        <f>IF(Receipts!$D1647="","",Receipts!$D1647)</f>
        <v/>
      </c>
      <c r="B1644" s="18" t="str">
        <f>IF(Receipts!$C1647="","",Receipts!$C1647)</f>
        <v/>
      </c>
      <c r="C1644" s="18" t="str">
        <f>IF($A1644="","",IFERROR(INDEX(Items!$B$5:$B$597,MATCH($A1644,Items!$A$5:$A$597,0)),""))</f>
        <v/>
      </c>
      <c r="D1644" s="23" t="str">
        <f>IF($A1644="","",N(Receipts!$G1647))</f>
        <v/>
      </c>
      <c r="E1644" s="20" t="str">
        <f>IF($A1644="","",IFERROR(INDEX(Items!$D$5:$D$597,MATCH($A1644,Items!$A$5:$A$597,0)),0))</f>
        <v/>
      </c>
      <c r="F1644" s="21" t="str">
        <f t="shared" si="125"/>
        <v/>
      </c>
      <c r="G1644" s="25" t="str">
        <f>IF(Receipts!$I1647="","",Receipts!$I1647)</f>
        <v/>
      </c>
      <c r="H1644" s="25" t="str">
        <f>IF(Receipts!$H1647="","",Receipts!$H1647)</f>
        <v/>
      </c>
      <c r="I1644" s="26" t="str">
        <f t="shared" ca="1" si="126"/>
        <v/>
      </c>
      <c r="J1644" s="26" t="str">
        <f>IF($A1644="","",COUNTIFS(tblReceipts[Item Name],$A1644,tblReceipts[Expiry Date],"&lt;"&amp;$H1644)+COUNTIFS(tblReceipts[Item Name],$A1644,tblReceipts[Expiry Date],$H1644,tblReceipts[Lot Number],"&lt;="&amp;Receipts!$C1647))</f>
        <v/>
      </c>
      <c r="K1644" s="26" t="str">
        <f>IF($A1644="","",SUMIFS(tblReceipts[Qty Received],tblReceipts[Item Name],$A1644,tblReceipts[Expiry Date],"&lt;"&amp;$H1644)+SUMIFS(tblReceipts[Qty Received],tblReceipts[Item Name],$A1644,tblReceipts[Expiry Date],$H1644,tblReceipts[Lot Number],"&lt;"&amp;Receipts!$C1647))</f>
        <v/>
      </c>
      <c r="L1644" s="26" t="str">
        <f>IF($A1644="","",MIN($D1644,MAX(0,SUMIFS(tblIssues[Qty Issued],tblIssues[Item Name],$A1644)-$K1644)))</f>
        <v/>
      </c>
      <c r="M1644" s="26" t="str">
        <f>IF($A1644="","",SUMIFS(tblIssues[Qty Issued],tblIssues[Lot Number],$B1644))</f>
        <v/>
      </c>
      <c r="N1644" s="26" t="str">
        <f t="shared" si="127"/>
        <v/>
      </c>
      <c r="O1644" s="26" t="str">
        <f t="shared" si="128"/>
        <v/>
      </c>
      <c r="P1644" s="21" t="str">
        <f t="shared" si="129"/>
        <v/>
      </c>
      <c r="Q1644" s="52" t="str">
        <f>IF($A1644="","",IF($O1644&lt;=0,"Depleted",IF($I1644&lt;0,"EXPIRED",IF($I1644&lt;=Settings!$C$6,"CRITICAL",IF($I1644&lt;=Settings!$C$5,"Expiring","In date")))))</f>
        <v/>
      </c>
    </row>
    <row r="1645" spans="1:17" x14ac:dyDescent="0.35">
      <c r="A1645" s="90" t="str">
        <f>IF(Receipts!$D1648="","",Receipts!$D1648)</f>
        <v/>
      </c>
      <c r="B1645" s="18" t="str">
        <f>IF(Receipts!$C1648="","",Receipts!$C1648)</f>
        <v/>
      </c>
      <c r="C1645" s="18" t="str">
        <f>IF($A1645="","",IFERROR(INDEX(Items!$B$5:$B$597,MATCH($A1645,Items!$A$5:$A$597,0)),""))</f>
        <v/>
      </c>
      <c r="D1645" s="23" t="str">
        <f>IF($A1645="","",N(Receipts!$G1648))</f>
        <v/>
      </c>
      <c r="E1645" s="20" t="str">
        <f>IF($A1645="","",IFERROR(INDEX(Items!$D$5:$D$597,MATCH($A1645,Items!$A$5:$A$597,0)),0))</f>
        <v/>
      </c>
      <c r="F1645" s="21" t="str">
        <f t="shared" si="125"/>
        <v/>
      </c>
      <c r="G1645" s="25" t="str">
        <f>IF(Receipts!$I1648="","",Receipts!$I1648)</f>
        <v/>
      </c>
      <c r="H1645" s="25" t="str">
        <f>IF(Receipts!$H1648="","",Receipts!$H1648)</f>
        <v/>
      </c>
      <c r="I1645" s="26" t="str">
        <f t="shared" ca="1" si="126"/>
        <v/>
      </c>
      <c r="J1645" s="26" t="str">
        <f>IF($A1645="","",COUNTIFS(tblReceipts[Item Name],$A1645,tblReceipts[Expiry Date],"&lt;"&amp;$H1645)+COUNTIFS(tblReceipts[Item Name],$A1645,tblReceipts[Expiry Date],$H1645,tblReceipts[Lot Number],"&lt;="&amp;Receipts!$C1648))</f>
        <v/>
      </c>
      <c r="K1645" s="26" t="str">
        <f>IF($A1645="","",SUMIFS(tblReceipts[Qty Received],tblReceipts[Item Name],$A1645,tblReceipts[Expiry Date],"&lt;"&amp;$H1645)+SUMIFS(tblReceipts[Qty Received],tblReceipts[Item Name],$A1645,tblReceipts[Expiry Date],$H1645,tblReceipts[Lot Number],"&lt;"&amp;Receipts!$C1648))</f>
        <v/>
      </c>
      <c r="L1645" s="26" t="str">
        <f>IF($A1645="","",MIN($D1645,MAX(0,SUMIFS(tblIssues[Qty Issued],tblIssues[Item Name],$A1645)-$K1645)))</f>
        <v/>
      </c>
      <c r="M1645" s="26" t="str">
        <f>IF($A1645="","",SUMIFS(tblIssues[Qty Issued],tblIssues[Lot Number],$B1645))</f>
        <v/>
      </c>
      <c r="N1645" s="26" t="str">
        <f t="shared" si="127"/>
        <v/>
      </c>
      <c r="O1645" s="26" t="str">
        <f t="shared" si="128"/>
        <v/>
      </c>
      <c r="P1645" s="21" t="str">
        <f t="shared" si="129"/>
        <v/>
      </c>
      <c r="Q1645" s="52" t="str">
        <f>IF($A1645="","",IF($O1645&lt;=0,"Depleted",IF($I1645&lt;0,"EXPIRED",IF($I1645&lt;=Settings!$C$6,"CRITICAL",IF($I1645&lt;=Settings!$C$5,"Expiring","In date")))))</f>
        <v/>
      </c>
    </row>
    <row r="1646" spans="1:17" x14ac:dyDescent="0.35">
      <c r="A1646" s="90" t="str">
        <f>IF(Receipts!$D1649="","",Receipts!$D1649)</f>
        <v/>
      </c>
      <c r="B1646" s="18" t="str">
        <f>IF(Receipts!$C1649="","",Receipts!$C1649)</f>
        <v/>
      </c>
      <c r="C1646" s="18" t="str">
        <f>IF($A1646="","",IFERROR(INDEX(Items!$B$5:$B$597,MATCH($A1646,Items!$A$5:$A$597,0)),""))</f>
        <v/>
      </c>
      <c r="D1646" s="23" t="str">
        <f>IF($A1646="","",N(Receipts!$G1649))</f>
        <v/>
      </c>
      <c r="E1646" s="20" t="str">
        <f>IF($A1646="","",IFERROR(INDEX(Items!$D$5:$D$597,MATCH($A1646,Items!$A$5:$A$597,0)),0))</f>
        <v/>
      </c>
      <c r="F1646" s="21" t="str">
        <f t="shared" si="125"/>
        <v/>
      </c>
      <c r="G1646" s="25" t="str">
        <f>IF(Receipts!$I1649="","",Receipts!$I1649)</f>
        <v/>
      </c>
      <c r="H1646" s="25" t="str">
        <f>IF(Receipts!$H1649="","",Receipts!$H1649)</f>
        <v/>
      </c>
      <c r="I1646" s="26" t="str">
        <f t="shared" ca="1" si="126"/>
        <v/>
      </c>
      <c r="J1646" s="26" t="str">
        <f>IF($A1646="","",COUNTIFS(tblReceipts[Item Name],$A1646,tblReceipts[Expiry Date],"&lt;"&amp;$H1646)+COUNTIFS(tblReceipts[Item Name],$A1646,tblReceipts[Expiry Date],$H1646,tblReceipts[Lot Number],"&lt;="&amp;Receipts!$C1649))</f>
        <v/>
      </c>
      <c r="K1646" s="26" t="str">
        <f>IF($A1646="","",SUMIFS(tblReceipts[Qty Received],tblReceipts[Item Name],$A1646,tblReceipts[Expiry Date],"&lt;"&amp;$H1646)+SUMIFS(tblReceipts[Qty Received],tblReceipts[Item Name],$A1646,tblReceipts[Expiry Date],$H1646,tblReceipts[Lot Number],"&lt;"&amp;Receipts!$C1649))</f>
        <v/>
      </c>
      <c r="L1646" s="26" t="str">
        <f>IF($A1646="","",MIN($D1646,MAX(0,SUMIFS(tblIssues[Qty Issued],tblIssues[Item Name],$A1646)-$K1646)))</f>
        <v/>
      </c>
      <c r="M1646" s="26" t="str">
        <f>IF($A1646="","",SUMIFS(tblIssues[Qty Issued],tblIssues[Lot Number],$B1646))</f>
        <v/>
      </c>
      <c r="N1646" s="26" t="str">
        <f t="shared" si="127"/>
        <v/>
      </c>
      <c r="O1646" s="26" t="str">
        <f t="shared" si="128"/>
        <v/>
      </c>
      <c r="P1646" s="21" t="str">
        <f t="shared" si="129"/>
        <v/>
      </c>
      <c r="Q1646" s="52" t="str">
        <f>IF($A1646="","",IF($O1646&lt;=0,"Depleted",IF($I1646&lt;0,"EXPIRED",IF($I1646&lt;=Settings!$C$6,"CRITICAL",IF($I1646&lt;=Settings!$C$5,"Expiring","In date")))))</f>
        <v/>
      </c>
    </row>
    <row r="1647" spans="1:17" x14ac:dyDescent="0.35">
      <c r="A1647" s="90" t="str">
        <f>IF(Receipts!$D1650="","",Receipts!$D1650)</f>
        <v/>
      </c>
      <c r="B1647" s="18" t="str">
        <f>IF(Receipts!$C1650="","",Receipts!$C1650)</f>
        <v/>
      </c>
      <c r="C1647" s="18" t="str">
        <f>IF($A1647="","",IFERROR(INDEX(Items!$B$5:$B$597,MATCH($A1647,Items!$A$5:$A$597,0)),""))</f>
        <v/>
      </c>
      <c r="D1647" s="23" t="str">
        <f>IF($A1647="","",N(Receipts!$G1650))</f>
        <v/>
      </c>
      <c r="E1647" s="20" t="str">
        <f>IF($A1647="","",IFERROR(INDEX(Items!$D$5:$D$597,MATCH($A1647,Items!$A$5:$A$597,0)),0))</f>
        <v/>
      </c>
      <c r="F1647" s="21" t="str">
        <f t="shared" si="125"/>
        <v/>
      </c>
      <c r="G1647" s="25" t="str">
        <f>IF(Receipts!$I1650="","",Receipts!$I1650)</f>
        <v/>
      </c>
      <c r="H1647" s="25" t="str">
        <f>IF(Receipts!$H1650="","",Receipts!$H1650)</f>
        <v/>
      </c>
      <c r="I1647" s="26" t="str">
        <f t="shared" ca="1" si="126"/>
        <v/>
      </c>
      <c r="J1647" s="26" t="str">
        <f>IF($A1647="","",COUNTIFS(tblReceipts[Item Name],$A1647,tblReceipts[Expiry Date],"&lt;"&amp;$H1647)+COUNTIFS(tblReceipts[Item Name],$A1647,tblReceipts[Expiry Date],$H1647,tblReceipts[Lot Number],"&lt;="&amp;Receipts!$C1650))</f>
        <v/>
      </c>
      <c r="K1647" s="26" t="str">
        <f>IF($A1647="","",SUMIFS(tblReceipts[Qty Received],tblReceipts[Item Name],$A1647,tblReceipts[Expiry Date],"&lt;"&amp;$H1647)+SUMIFS(tblReceipts[Qty Received],tblReceipts[Item Name],$A1647,tblReceipts[Expiry Date],$H1647,tblReceipts[Lot Number],"&lt;"&amp;Receipts!$C1650))</f>
        <v/>
      </c>
      <c r="L1647" s="26" t="str">
        <f>IF($A1647="","",MIN($D1647,MAX(0,SUMIFS(tblIssues[Qty Issued],tblIssues[Item Name],$A1647)-$K1647)))</f>
        <v/>
      </c>
      <c r="M1647" s="26" t="str">
        <f>IF($A1647="","",SUMIFS(tblIssues[Qty Issued],tblIssues[Lot Number],$B1647))</f>
        <v/>
      </c>
      <c r="N1647" s="26" t="str">
        <f t="shared" si="127"/>
        <v/>
      </c>
      <c r="O1647" s="26" t="str">
        <f t="shared" si="128"/>
        <v/>
      </c>
      <c r="P1647" s="21" t="str">
        <f t="shared" si="129"/>
        <v/>
      </c>
      <c r="Q1647" s="52" t="str">
        <f>IF($A1647="","",IF($O1647&lt;=0,"Depleted",IF($I1647&lt;0,"EXPIRED",IF($I1647&lt;=Settings!$C$6,"CRITICAL",IF($I1647&lt;=Settings!$C$5,"Expiring","In date")))))</f>
        <v/>
      </c>
    </row>
    <row r="1648" spans="1:17" x14ac:dyDescent="0.35">
      <c r="A1648" s="90" t="str">
        <f>IF(Receipts!$D1651="","",Receipts!$D1651)</f>
        <v/>
      </c>
      <c r="B1648" s="18" t="str">
        <f>IF(Receipts!$C1651="","",Receipts!$C1651)</f>
        <v/>
      </c>
      <c r="C1648" s="18" t="str">
        <f>IF($A1648="","",IFERROR(INDEX(Items!$B$5:$B$597,MATCH($A1648,Items!$A$5:$A$597,0)),""))</f>
        <v/>
      </c>
      <c r="D1648" s="23" t="str">
        <f>IF($A1648="","",N(Receipts!$G1651))</f>
        <v/>
      </c>
      <c r="E1648" s="20" t="str">
        <f>IF($A1648="","",IFERROR(INDEX(Items!$D$5:$D$597,MATCH($A1648,Items!$A$5:$A$597,0)),0))</f>
        <v/>
      </c>
      <c r="F1648" s="21" t="str">
        <f t="shared" si="125"/>
        <v/>
      </c>
      <c r="G1648" s="25" t="str">
        <f>IF(Receipts!$I1651="","",Receipts!$I1651)</f>
        <v/>
      </c>
      <c r="H1648" s="25" t="str">
        <f>IF(Receipts!$H1651="","",Receipts!$H1651)</f>
        <v/>
      </c>
      <c r="I1648" s="26" t="str">
        <f t="shared" ca="1" si="126"/>
        <v/>
      </c>
      <c r="J1648" s="26" t="str">
        <f>IF($A1648="","",COUNTIFS(tblReceipts[Item Name],$A1648,tblReceipts[Expiry Date],"&lt;"&amp;$H1648)+COUNTIFS(tblReceipts[Item Name],$A1648,tblReceipts[Expiry Date],$H1648,tblReceipts[Lot Number],"&lt;="&amp;Receipts!$C1651))</f>
        <v/>
      </c>
      <c r="K1648" s="26" t="str">
        <f>IF($A1648="","",SUMIFS(tblReceipts[Qty Received],tblReceipts[Item Name],$A1648,tblReceipts[Expiry Date],"&lt;"&amp;$H1648)+SUMIFS(tblReceipts[Qty Received],tblReceipts[Item Name],$A1648,tblReceipts[Expiry Date],$H1648,tblReceipts[Lot Number],"&lt;"&amp;Receipts!$C1651))</f>
        <v/>
      </c>
      <c r="L1648" s="26" t="str">
        <f>IF($A1648="","",MIN($D1648,MAX(0,SUMIFS(tblIssues[Qty Issued],tblIssues[Item Name],$A1648)-$K1648)))</f>
        <v/>
      </c>
      <c r="M1648" s="26" t="str">
        <f>IF($A1648="","",SUMIFS(tblIssues[Qty Issued],tblIssues[Lot Number],$B1648))</f>
        <v/>
      </c>
      <c r="N1648" s="26" t="str">
        <f t="shared" si="127"/>
        <v/>
      </c>
      <c r="O1648" s="26" t="str">
        <f t="shared" si="128"/>
        <v/>
      </c>
      <c r="P1648" s="21" t="str">
        <f t="shared" si="129"/>
        <v/>
      </c>
      <c r="Q1648" s="52" t="str">
        <f>IF($A1648="","",IF($O1648&lt;=0,"Depleted",IF($I1648&lt;0,"EXPIRED",IF($I1648&lt;=Settings!$C$6,"CRITICAL",IF($I1648&lt;=Settings!$C$5,"Expiring","In date")))))</f>
        <v/>
      </c>
    </row>
    <row r="1649" spans="1:17" x14ac:dyDescent="0.35">
      <c r="A1649" s="90" t="str">
        <f>IF(Receipts!$D1652="","",Receipts!$D1652)</f>
        <v/>
      </c>
      <c r="B1649" s="18" t="str">
        <f>IF(Receipts!$C1652="","",Receipts!$C1652)</f>
        <v/>
      </c>
      <c r="C1649" s="18" t="str">
        <f>IF($A1649="","",IFERROR(INDEX(Items!$B$5:$B$597,MATCH($A1649,Items!$A$5:$A$597,0)),""))</f>
        <v/>
      </c>
      <c r="D1649" s="23" t="str">
        <f>IF($A1649="","",N(Receipts!$G1652))</f>
        <v/>
      </c>
      <c r="E1649" s="20" t="str">
        <f>IF($A1649="","",IFERROR(INDEX(Items!$D$5:$D$597,MATCH($A1649,Items!$A$5:$A$597,0)),0))</f>
        <v/>
      </c>
      <c r="F1649" s="21" t="str">
        <f t="shared" si="125"/>
        <v/>
      </c>
      <c r="G1649" s="25" t="str">
        <f>IF(Receipts!$I1652="","",Receipts!$I1652)</f>
        <v/>
      </c>
      <c r="H1649" s="25" t="str">
        <f>IF(Receipts!$H1652="","",Receipts!$H1652)</f>
        <v/>
      </c>
      <c r="I1649" s="26" t="str">
        <f t="shared" ca="1" si="126"/>
        <v/>
      </c>
      <c r="J1649" s="26" t="str">
        <f>IF($A1649="","",COUNTIFS(tblReceipts[Item Name],$A1649,tblReceipts[Expiry Date],"&lt;"&amp;$H1649)+COUNTIFS(tblReceipts[Item Name],$A1649,tblReceipts[Expiry Date],$H1649,tblReceipts[Lot Number],"&lt;="&amp;Receipts!$C1652))</f>
        <v/>
      </c>
      <c r="K1649" s="26" t="str">
        <f>IF($A1649="","",SUMIFS(tblReceipts[Qty Received],tblReceipts[Item Name],$A1649,tblReceipts[Expiry Date],"&lt;"&amp;$H1649)+SUMIFS(tblReceipts[Qty Received],tblReceipts[Item Name],$A1649,tblReceipts[Expiry Date],$H1649,tblReceipts[Lot Number],"&lt;"&amp;Receipts!$C1652))</f>
        <v/>
      </c>
      <c r="L1649" s="26" t="str">
        <f>IF($A1649="","",MIN($D1649,MAX(0,SUMIFS(tblIssues[Qty Issued],tblIssues[Item Name],$A1649)-$K1649)))</f>
        <v/>
      </c>
      <c r="M1649" s="26" t="str">
        <f>IF($A1649="","",SUMIFS(tblIssues[Qty Issued],tblIssues[Lot Number],$B1649))</f>
        <v/>
      </c>
      <c r="N1649" s="26" t="str">
        <f t="shared" si="127"/>
        <v/>
      </c>
      <c r="O1649" s="26" t="str">
        <f t="shared" si="128"/>
        <v/>
      </c>
      <c r="P1649" s="21" t="str">
        <f t="shared" si="129"/>
        <v/>
      </c>
      <c r="Q1649" s="52" t="str">
        <f>IF($A1649="","",IF($O1649&lt;=0,"Depleted",IF($I1649&lt;0,"EXPIRED",IF($I1649&lt;=Settings!$C$6,"CRITICAL",IF($I1649&lt;=Settings!$C$5,"Expiring","In date")))))</f>
        <v/>
      </c>
    </row>
    <row r="1650" spans="1:17" x14ac:dyDescent="0.35">
      <c r="A1650" s="90" t="str">
        <f>IF(Receipts!$D1653="","",Receipts!$D1653)</f>
        <v/>
      </c>
      <c r="B1650" s="18" t="str">
        <f>IF(Receipts!$C1653="","",Receipts!$C1653)</f>
        <v/>
      </c>
      <c r="C1650" s="18" t="str">
        <f>IF($A1650="","",IFERROR(INDEX(Items!$B$5:$B$597,MATCH($A1650,Items!$A$5:$A$597,0)),""))</f>
        <v/>
      </c>
      <c r="D1650" s="23" t="str">
        <f>IF($A1650="","",N(Receipts!$G1653))</f>
        <v/>
      </c>
      <c r="E1650" s="20" t="str">
        <f>IF($A1650="","",IFERROR(INDEX(Items!$D$5:$D$597,MATCH($A1650,Items!$A$5:$A$597,0)),0))</f>
        <v/>
      </c>
      <c r="F1650" s="21" t="str">
        <f t="shared" si="125"/>
        <v/>
      </c>
      <c r="G1650" s="25" t="str">
        <f>IF(Receipts!$I1653="","",Receipts!$I1653)</f>
        <v/>
      </c>
      <c r="H1650" s="25" t="str">
        <f>IF(Receipts!$H1653="","",Receipts!$H1653)</f>
        <v/>
      </c>
      <c r="I1650" s="26" t="str">
        <f t="shared" ca="1" si="126"/>
        <v/>
      </c>
      <c r="J1650" s="26" t="str">
        <f>IF($A1650="","",COUNTIFS(tblReceipts[Item Name],$A1650,tblReceipts[Expiry Date],"&lt;"&amp;$H1650)+COUNTIFS(tblReceipts[Item Name],$A1650,tblReceipts[Expiry Date],$H1650,tblReceipts[Lot Number],"&lt;="&amp;Receipts!$C1653))</f>
        <v/>
      </c>
      <c r="K1650" s="26" t="str">
        <f>IF($A1650="","",SUMIFS(tblReceipts[Qty Received],tblReceipts[Item Name],$A1650,tblReceipts[Expiry Date],"&lt;"&amp;$H1650)+SUMIFS(tblReceipts[Qty Received],tblReceipts[Item Name],$A1650,tblReceipts[Expiry Date],$H1650,tblReceipts[Lot Number],"&lt;"&amp;Receipts!$C1653))</f>
        <v/>
      </c>
      <c r="L1650" s="26" t="str">
        <f>IF($A1650="","",MIN($D1650,MAX(0,SUMIFS(tblIssues[Qty Issued],tblIssues[Item Name],$A1650)-$K1650)))</f>
        <v/>
      </c>
      <c r="M1650" s="26" t="str">
        <f>IF($A1650="","",SUMIFS(tblIssues[Qty Issued],tblIssues[Lot Number],$B1650))</f>
        <v/>
      </c>
      <c r="N1650" s="26" t="str">
        <f t="shared" si="127"/>
        <v/>
      </c>
      <c r="O1650" s="26" t="str">
        <f t="shared" si="128"/>
        <v/>
      </c>
      <c r="P1650" s="21" t="str">
        <f t="shared" si="129"/>
        <v/>
      </c>
      <c r="Q1650" s="52" t="str">
        <f>IF($A1650="","",IF($O1650&lt;=0,"Depleted",IF($I1650&lt;0,"EXPIRED",IF($I1650&lt;=Settings!$C$6,"CRITICAL",IF($I1650&lt;=Settings!$C$5,"Expiring","In date")))))</f>
        <v/>
      </c>
    </row>
    <row r="1651" spans="1:17" x14ac:dyDescent="0.35">
      <c r="A1651" s="90" t="str">
        <f>IF(Receipts!$D1654="","",Receipts!$D1654)</f>
        <v/>
      </c>
      <c r="B1651" s="18" t="str">
        <f>IF(Receipts!$C1654="","",Receipts!$C1654)</f>
        <v/>
      </c>
      <c r="C1651" s="18" t="str">
        <f>IF($A1651="","",IFERROR(INDEX(Items!$B$5:$B$597,MATCH($A1651,Items!$A$5:$A$597,0)),""))</f>
        <v/>
      </c>
      <c r="D1651" s="23" t="str">
        <f>IF($A1651="","",N(Receipts!$G1654))</f>
        <v/>
      </c>
      <c r="E1651" s="20" t="str">
        <f>IF($A1651="","",IFERROR(INDEX(Items!$D$5:$D$597,MATCH($A1651,Items!$A$5:$A$597,0)),0))</f>
        <v/>
      </c>
      <c r="F1651" s="21" t="str">
        <f t="shared" si="125"/>
        <v/>
      </c>
      <c r="G1651" s="25" t="str">
        <f>IF(Receipts!$I1654="","",Receipts!$I1654)</f>
        <v/>
      </c>
      <c r="H1651" s="25" t="str">
        <f>IF(Receipts!$H1654="","",Receipts!$H1654)</f>
        <v/>
      </c>
      <c r="I1651" s="26" t="str">
        <f t="shared" ca="1" si="126"/>
        <v/>
      </c>
      <c r="J1651" s="26" t="str">
        <f>IF($A1651="","",COUNTIFS(tblReceipts[Item Name],$A1651,tblReceipts[Expiry Date],"&lt;"&amp;$H1651)+COUNTIFS(tblReceipts[Item Name],$A1651,tblReceipts[Expiry Date],$H1651,tblReceipts[Lot Number],"&lt;="&amp;Receipts!$C1654))</f>
        <v/>
      </c>
      <c r="K1651" s="26" t="str">
        <f>IF($A1651="","",SUMIFS(tblReceipts[Qty Received],tblReceipts[Item Name],$A1651,tblReceipts[Expiry Date],"&lt;"&amp;$H1651)+SUMIFS(tblReceipts[Qty Received],tblReceipts[Item Name],$A1651,tblReceipts[Expiry Date],$H1651,tblReceipts[Lot Number],"&lt;"&amp;Receipts!$C1654))</f>
        <v/>
      </c>
      <c r="L1651" s="26" t="str">
        <f>IF($A1651="","",MIN($D1651,MAX(0,SUMIFS(tblIssues[Qty Issued],tblIssues[Item Name],$A1651)-$K1651)))</f>
        <v/>
      </c>
      <c r="M1651" s="26" t="str">
        <f>IF($A1651="","",SUMIFS(tblIssues[Qty Issued],tblIssues[Lot Number],$B1651))</f>
        <v/>
      </c>
      <c r="N1651" s="26" t="str">
        <f t="shared" si="127"/>
        <v/>
      </c>
      <c r="O1651" s="26" t="str">
        <f t="shared" si="128"/>
        <v/>
      </c>
      <c r="P1651" s="21" t="str">
        <f t="shared" si="129"/>
        <v/>
      </c>
      <c r="Q1651" s="52" t="str">
        <f>IF($A1651="","",IF($O1651&lt;=0,"Depleted",IF($I1651&lt;0,"EXPIRED",IF($I1651&lt;=Settings!$C$6,"CRITICAL",IF($I1651&lt;=Settings!$C$5,"Expiring","In date")))))</f>
        <v/>
      </c>
    </row>
    <row r="1652" spans="1:17" x14ac:dyDescent="0.35">
      <c r="A1652" s="90" t="str">
        <f>IF(Receipts!$D1655="","",Receipts!$D1655)</f>
        <v/>
      </c>
      <c r="B1652" s="18" t="str">
        <f>IF(Receipts!$C1655="","",Receipts!$C1655)</f>
        <v/>
      </c>
      <c r="C1652" s="18" t="str">
        <f>IF($A1652="","",IFERROR(INDEX(Items!$B$5:$B$597,MATCH($A1652,Items!$A$5:$A$597,0)),""))</f>
        <v/>
      </c>
      <c r="D1652" s="23" t="str">
        <f>IF($A1652="","",N(Receipts!$G1655))</f>
        <v/>
      </c>
      <c r="E1652" s="20" t="str">
        <f>IF($A1652="","",IFERROR(INDEX(Items!$D$5:$D$597,MATCH($A1652,Items!$A$5:$A$597,0)),0))</f>
        <v/>
      </c>
      <c r="F1652" s="21" t="str">
        <f t="shared" si="125"/>
        <v/>
      </c>
      <c r="G1652" s="25" t="str">
        <f>IF(Receipts!$I1655="","",Receipts!$I1655)</f>
        <v/>
      </c>
      <c r="H1652" s="25" t="str">
        <f>IF(Receipts!$H1655="","",Receipts!$H1655)</f>
        <v/>
      </c>
      <c r="I1652" s="26" t="str">
        <f t="shared" ca="1" si="126"/>
        <v/>
      </c>
      <c r="J1652" s="26" t="str">
        <f>IF($A1652="","",COUNTIFS(tblReceipts[Item Name],$A1652,tblReceipts[Expiry Date],"&lt;"&amp;$H1652)+COUNTIFS(tblReceipts[Item Name],$A1652,tblReceipts[Expiry Date],$H1652,tblReceipts[Lot Number],"&lt;="&amp;Receipts!$C1655))</f>
        <v/>
      </c>
      <c r="K1652" s="26" t="str">
        <f>IF($A1652="","",SUMIFS(tblReceipts[Qty Received],tblReceipts[Item Name],$A1652,tblReceipts[Expiry Date],"&lt;"&amp;$H1652)+SUMIFS(tblReceipts[Qty Received],tblReceipts[Item Name],$A1652,tblReceipts[Expiry Date],$H1652,tblReceipts[Lot Number],"&lt;"&amp;Receipts!$C1655))</f>
        <v/>
      </c>
      <c r="L1652" s="26" t="str">
        <f>IF($A1652="","",MIN($D1652,MAX(0,SUMIFS(tblIssues[Qty Issued],tblIssues[Item Name],$A1652)-$K1652)))</f>
        <v/>
      </c>
      <c r="M1652" s="26" t="str">
        <f>IF($A1652="","",SUMIFS(tblIssues[Qty Issued],tblIssues[Lot Number],$B1652))</f>
        <v/>
      </c>
      <c r="N1652" s="26" t="str">
        <f t="shared" si="127"/>
        <v/>
      </c>
      <c r="O1652" s="26" t="str">
        <f t="shared" si="128"/>
        <v/>
      </c>
      <c r="P1652" s="21" t="str">
        <f t="shared" si="129"/>
        <v/>
      </c>
      <c r="Q1652" s="52" t="str">
        <f>IF($A1652="","",IF($O1652&lt;=0,"Depleted",IF($I1652&lt;0,"EXPIRED",IF($I1652&lt;=Settings!$C$6,"CRITICAL",IF($I1652&lt;=Settings!$C$5,"Expiring","In date")))))</f>
        <v/>
      </c>
    </row>
    <row r="1653" spans="1:17" x14ac:dyDescent="0.35">
      <c r="A1653" s="90" t="str">
        <f>IF(Receipts!$D1656="","",Receipts!$D1656)</f>
        <v/>
      </c>
      <c r="B1653" s="18" t="str">
        <f>IF(Receipts!$C1656="","",Receipts!$C1656)</f>
        <v/>
      </c>
      <c r="C1653" s="18" t="str">
        <f>IF($A1653="","",IFERROR(INDEX(Items!$B$5:$B$597,MATCH($A1653,Items!$A$5:$A$597,0)),""))</f>
        <v/>
      </c>
      <c r="D1653" s="23" t="str">
        <f>IF($A1653="","",N(Receipts!$G1656))</f>
        <v/>
      </c>
      <c r="E1653" s="20" t="str">
        <f>IF($A1653="","",IFERROR(INDEX(Items!$D$5:$D$597,MATCH($A1653,Items!$A$5:$A$597,0)),0))</f>
        <v/>
      </c>
      <c r="F1653" s="21" t="str">
        <f t="shared" si="125"/>
        <v/>
      </c>
      <c r="G1653" s="25" t="str">
        <f>IF(Receipts!$I1656="","",Receipts!$I1656)</f>
        <v/>
      </c>
      <c r="H1653" s="25" t="str">
        <f>IF(Receipts!$H1656="","",Receipts!$H1656)</f>
        <v/>
      </c>
      <c r="I1653" s="26" t="str">
        <f t="shared" ca="1" si="126"/>
        <v/>
      </c>
      <c r="J1653" s="26" t="str">
        <f>IF($A1653="","",COUNTIFS(tblReceipts[Item Name],$A1653,tblReceipts[Expiry Date],"&lt;"&amp;$H1653)+COUNTIFS(tblReceipts[Item Name],$A1653,tblReceipts[Expiry Date],$H1653,tblReceipts[Lot Number],"&lt;="&amp;Receipts!$C1656))</f>
        <v/>
      </c>
      <c r="K1653" s="26" t="str">
        <f>IF($A1653="","",SUMIFS(tblReceipts[Qty Received],tblReceipts[Item Name],$A1653,tblReceipts[Expiry Date],"&lt;"&amp;$H1653)+SUMIFS(tblReceipts[Qty Received],tblReceipts[Item Name],$A1653,tblReceipts[Expiry Date],$H1653,tblReceipts[Lot Number],"&lt;"&amp;Receipts!$C1656))</f>
        <v/>
      </c>
      <c r="L1653" s="26" t="str">
        <f>IF($A1653="","",MIN($D1653,MAX(0,SUMIFS(tblIssues[Qty Issued],tblIssues[Item Name],$A1653)-$K1653)))</f>
        <v/>
      </c>
      <c r="M1653" s="26" t="str">
        <f>IF($A1653="","",SUMIFS(tblIssues[Qty Issued],tblIssues[Lot Number],$B1653))</f>
        <v/>
      </c>
      <c r="N1653" s="26" t="str">
        <f t="shared" si="127"/>
        <v/>
      </c>
      <c r="O1653" s="26" t="str">
        <f t="shared" si="128"/>
        <v/>
      </c>
      <c r="P1653" s="21" t="str">
        <f t="shared" si="129"/>
        <v/>
      </c>
      <c r="Q1653" s="52" t="str">
        <f>IF($A1653="","",IF($O1653&lt;=0,"Depleted",IF($I1653&lt;0,"EXPIRED",IF($I1653&lt;=Settings!$C$6,"CRITICAL",IF($I1653&lt;=Settings!$C$5,"Expiring","In date")))))</f>
        <v/>
      </c>
    </row>
    <row r="1654" spans="1:17" x14ac:dyDescent="0.35">
      <c r="A1654" s="90" t="str">
        <f>IF(Receipts!$D1657="","",Receipts!$D1657)</f>
        <v/>
      </c>
      <c r="B1654" s="18" t="str">
        <f>IF(Receipts!$C1657="","",Receipts!$C1657)</f>
        <v/>
      </c>
      <c r="C1654" s="18" t="str">
        <f>IF($A1654="","",IFERROR(INDEX(Items!$B$5:$B$597,MATCH($A1654,Items!$A$5:$A$597,0)),""))</f>
        <v/>
      </c>
      <c r="D1654" s="23" t="str">
        <f>IF($A1654="","",N(Receipts!$G1657))</f>
        <v/>
      </c>
      <c r="E1654" s="20" t="str">
        <f>IF($A1654="","",IFERROR(INDEX(Items!$D$5:$D$597,MATCH($A1654,Items!$A$5:$A$597,0)),0))</f>
        <v/>
      </c>
      <c r="F1654" s="21" t="str">
        <f t="shared" si="125"/>
        <v/>
      </c>
      <c r="G1654" s="25" t="str">
        <f>IF(Receipts!$I1657="","",Receipts!$I1657)</f>
        <v/>
      </c>
      <c r="H1654" s="25" t="str">
        <f>IF(Receipts!$H1657="","",Receipts!$H1657)</f>
        <v/>
      </c>
      <c r="I1654" s="26" t="str">
        <f t="shared" ca="1" si="126"/>
        <v/>
      </c>
      <c r="J1654" s="26" t="str">
        <f>IF($A1654="","",COUNTIFS(tblReceipts[Item Name],$A1654,tblReceipts[Expiry Date],"&lt;"&amp;$H1654)+COUNTIFS(tblReceipts[Item Name],$A1654,tblReceipts[Expiry Date],$H1654,tblReceipts[Lot Number],"&lt;="&amp;Receipts!$C1657))</f>
        <v/>
      </c>
      <c r="K1654" s="26" t="str">
        <f>IF($A1654="","",SUMIFS(tblReceipts[Qty Received],tblReceipts[Item Name],$A1654,tblReceipts[Expiry Date],"&lt;"&amp;$H1654)+SUMIFS(tblReceipts[Qty Received],tblReceipts[Item Name],$A1654,tblReceipts[Expiry Date],$H1654,tblReceipts[Lot Number],"&lt;"&amp;Receipts!$C1657))</f>
        <v/>
      </c>
      <c r="L1654" s="26" t="str">
        <f>IF($A1654="","",MIN($D1654,MAX(0,SUMIFS(tblIssues[Qty Issued],tblIssues[Item Name],$A1654)-$K1654)))</f>
        <v/>
      </c>
      <c r="M1654" s="26" t="str">
        <f>IF($A1654="","",SUMIFS(tblIssues[Qty Issued],tblIssues[Lot Number],$B1654))</f>
        <v/>
      </c>
      <c r="N1654" s="26" t="str">
        <f t="shared" si="127"/>
        <v/>
      </c>
      <c r="O1654" s="26" t="str">
        <f t="shared" si="128"/>
        <v/>
      </c>
      <c r="P1654" s="21" t="str">
        <f t="shared" si="129"/>
        <v/>
      </c>
      <c r="Q1654" s="52" t="str">
        <f>IF($A1654="","",IF($O1654&lt;=0,"Depleted",IF($I1654&lt;0,"EXPIRED",IF($I1654&lt;=Settings!$C$6,"CRITICAL",IF($I1654&lt;=Settings!$C$5,"Expiring","In date")))))</f>
        <v/>
      </c>
    </row>
    <row r="1655" spans="1:17" x14ac:dyDescent="0.35">
      <c r="A1655" s="90" t="str">
        <f>IF(Receipts!$D1658="","",Receipts!$D1658)</f>
        <v/>
      </c>
      <c r="B1655" s="18" t="str">
        <f>IF(Receipts!$C1658="","",Receipts!$C1658)</f>
        <v/>
      </c>
      <c r="C1655" s="18" t="str">
        <f>IF($A1655="","",IFERROR(INDEX(Items!$B$5:$B$597,MATCH($A1655,Items!$A$5:$A$597,0)),""))</f>
        <v/>
      </c>
      <c r="D1655" s="23" t="str">
        <f>IF($A1655="","",N(Receipts!$G1658))</f>
        <v/>
      </c>
      <c r="E1655" s="20" t="str">
        <f>IF($A1655="","",IFERROR(INDEX(Items!$D$5:$D$597,MATCH($A1655,Items!$A$5:$A$597,0)),0))</f>
        <v/>
      </c>
      <c r="F1655" s="21" t="str">
        <f t="shared" si="125"/>
        <v/>
      </c>
      <c r="G1655" s="25" t="str">
        <f>IF(Receipts!$I1658="","",Receipts!$I1658)</f>
        <v/>
      </c>
      <c r="H1655" s="25" t="str">
        <f>IF(Receipts!$H1658="","",Receipts!$H1658)</f>
        <v/>
      </c>
      <c r="I1655" s="26" t="str">
        <f t="shared" ca="1" si="126"/>
        <v/>
      </c>
      <c r="J1655" s="26" t="str">
        <f>IF($A1655="","",COUNTIFS(tblReceipts[Item Name],$A1655,tblReceipts[Expiry Date],"&lt;"&amp;$H1655)+COUNTIFS(tblReceipts[Item Name],$A1655,tblReceipts[Expiry Date],$H1655,tblReceipts[Lot Number],"&lt;="&amp;Receipts!$C1658))</f>
        <v/>
      </c>
      <c r="K1655" s="26" t="str">
        <f>IF($A1655="","",SUMIFS(tblReceipts[Qty Received],tblReceipts[Item Name],$A1655,tblReceipts[Expiry Date],"&lt;"&amp;$H1655)+SUMIFS(tblReceipts[Qty Received],tblReceipts[Item Name],$A1655,tblReceipts[Expiry Date],$H1655,tblReceipts[Lot Number],"&lt;"&amp;Receipts!$C1658))</f>
        <v/>
      </c>
      <c r="L1655" s="26" t="str">
        <f>IF($A1655="","",MIN($D1655,MAX(0,SUMIFS(tblIssues[Qty Issued],tblIssues[Item Name],$A1655)-$K1655)))</f>
        <v/>
      </c>
      <c r="M1655" s="26" t="str">
        <f>IF($A1655="","",SUMIFS(tblIssues[Qty Issued],tblIssues[Lot Number],$B1655))</f>
        <v/>
      </c>
      <c r="N1655" s="26" t="str">
        <f t="shared" si="127"/>
        <v/>
      </c>
      <c r="O1655" s="26" t="str">
        <f t="shared" si="128"/>
        <v/>
      </c>
      <c r="P1655" s="21" t="str">
        <f t="shared" si="129"/>
        <v/>
      </c>
      <c r="Q1655" s="52" t="str">
        <f>IF($A1655="","",IF($O1655&lt;=0,"Depleted",IF($I1655&lt;0,"EXPIRED",IF($I1655&lt;=Settings!$C$6,"CRITICAL",IF($I1655&lt;=Settings!$C$5,"Expiring","In date")))))</f>
        <v/>
      </c>
    </row>
    <row r="1656" spans="1:17" x14ac:dyDescent="0.35">
      <c r="A1656" s="90" t="str">
        <f>IF(Receipts!$D1659="","",Receipts!$D1659)</f>
        <v/>
      </c>
      <c r="B1656" s="18" t="str">
        <f>IF(Receipts!$C1659="","",Receipts!$C1659)</f>
        <v/>
      </c>
      <c r="C1656" s="18" t="str">
        <f>IF($A1656="","",IFERROR(INDEX(Items!$B$5:$B$597,MATCH($A1656,Items!$A$5:$A$597,0)),""))</f>
        <v/>
      </c>
      <c r="D1656" s="23" t="str">
        <f>IF($A1656="","",N(Receipts!$G1659))</f>
        <v/>
      </c>
      <c r="E1656" s="20" t="str">
        <f>IF($A1656="","",IFERROR(INDEX(Items!$D$5:$D$597,MATCH($A1656,Items!$A$5:$A$597,0)),0))</f>
        <v/>
      </c>
      <c r="F1656" s="21" t="str">
        <f t="shared" si="125"/>
        <v/>
      </c>
      <c r="G1656" s="25" t="str">
        <f>IF(Receipts!$I1659="","",Receipts!$I1659)</f>
        <v/>
      </c>
      <c r="H1656" s="25" t="str">
        <f>IF(Receipts!$H1659="","",Receipts!$H1659)</f>
        <v/>
      </c>
      <c r="I1656" s="26" t="str">
        <f t="shared" ca="1" si="126"/>
        <v/>
      </c>
      <c r="J1656" s="26" t="str">
        <f>IF($A1656="","",COUNTIFS(tblReceipts[Item Name],$A1656,tblReceipts[Expiry Date],"&lt;"&amp;$H1656)+COUNTIFS(tblReceipts[Item Name],$A1656,tblReceipts[Expiry Date],$H1656,tblReceipts[Lot Number],"&lt;="&amp;Receipts!$C1659))</f>
        <v/>
      </c>
      <c r="K1656" s="26" t="str">
        <f>IF($A1656="","",SUMIFS(tblReceipts[Qty Received],tblReceipts[Item Name],$A1656,tblReceipts[Expiry Date],"&lt;"&amp;$H1656)+SUMIFS(tblReceipts[Qty Received],tblReceipts[Item Name],$A1656,tblReceipts[Expiry Date],$H1656,tblReceipts[Lot Number],"&lt;"&amp;Receipts!$C1659))</f>
        <v/>
      </c>
      <c r="L1656" s="26" t="str">
        <f>IF($A1656="","",MIN($D1656,MAX(0,SUMIFS(tblIssues[Qty Issued],tblIssues[Item Name],$A1656)-$K1656)))</f>
        <v/>
      </c>
      <c r="M1656" s="26" t="str">
        <f>IF($A1656="","",SUMIFS(tblIssues[Qty Issued],tblIssues[Lot Number],$B1656))</f>
        <v/>
      </c>
      <c r="N1656" s="26" t="str">
        <f t="shared" si="127"/>
        <v/>
      </c>
      <c r="O1656" s="26" t="str">
        <f t="shared" si="128"/>
        <v/>
      </c>
      <c r="P1656" s="21" t="str">
        <f t="shared" si="129"/>
        <v/>
      </c>
      <c r="Q1656" s="52" t="str">
        <f>IF($A1656="","",IF($O1656&lt;=0,"Depleted",IF($I1656&lt;0,"EXPIRED",IF($I1656&lt;=Settings!$C$6,"CRITICAL",IF($I1656&lt;=Settings!$C$5,"Expiring","In date")))))</f>
        <v/>
      </c>
    </row>
    <row r="1657" spans="1:17" x14ac:dyDescent="0.35">
      <c r="A1657" s="90" t="str">
        <f>IF(Receipts!$D1660="","",Receipts!$D1660)</f>
        <v/>
      </c>
      <c r="B1657" s="18" t="str">
        <f>IF(Receipts!$C1660="","",Receipts!$C1660)</f>
        <v/>
      </c>
      <c r="C1657" s="18" t="str">
        <f>IF($A1657="","",IFERROR(INDEX(Items!$B$5:$B$597,MATCH($A1657,Items!$A$5:$A$597,0)),""))</f>
        <v/>
      </c>
      <c r="D1657" s="23" t="str">
        <f>IF($A1657="","",N(Receipts!$G1660))</f>
        <v/>
      </c>
      <c r="E1657" s="20" t="str">
        <f>IF($A1657="","",IFERROR(INDEX(Items!$D$5:$D$597,MATCH($A1657,Items!$A$5:$A$597,0)),0))</f>
        <v/>
      </c>
      <c r="F1657" s="21" t="str">
        <f t="shared" si="125"/>
        <v/>
      </c>
      <c r="G1657" s="25" t="str">
        <f>IF(Receipts!$I1660="","",Receipts!$I1660)</f>
        <v/>
      </c>
      <c r="H1657" s="25" t="str">
        <f>IF(Receipts!$H1660="","",Receipts!$H1660)</f>
        <v/>
      </c>
      <c r="I1657" s="26" t="str">
        <f t="shared" ca="1" si="126"/>
        <v/>
      </c>
      <c r="J1657" s="26" t="str">
        <f>IF($A1657="","",COUNTIFS(tblReceipts[Item Name],$A1657,tblReceipts[Expiry Date],"&lt;"&amp;$H1657)+COUNTIFS(tblReceipts[Item Name],$A1657,tblReceipts[Expiry Date],$H1657,tblReceipts[Lot Number],"&lt;="&amp;Receipts!$C1660))</f>
        <v/>
      </c>
      <c r="K1657" s="26" t="str">
        <f>IF($A1657="","",SUMIFS(tblReceipts[Qty Received],tblReceipts[Item Name],$A1657,tblReceipts[Expiry Date],"&lt;"&amp;$H1657)+SUMIFS(tblReceipts[Qty Received],tblReceipts[Item Name],$A1657,tblReceipts[Expiry Date],$H1657,tblReceipts[Lot Number],"&lt;"&amp;Receipts!$C1660))</f>
        <v/>
      </c>
      <c r="L1657" s="26" t="str">
        <f>IF($A1657="","",MIN($D1657,MAX(0,SUMIFS(tblIssues[Qty Issued],tblIssues[Item Name],$A1657)-$K1657)))</f>
        <v/>
      </c>
      <c r="M1657" s="26" t="str">
        <f>IF($A1657="","",SUMIFS(tblIssues[Qty Issued],tblIssues[Lot Number],$B1657))</f>
        <v/>
      </c>
      <c r="N1657" s="26" t="str">
        <f t="shared" si="127"/>
        <v/>
      </c>
      <c r="O1657" s="26" t="str">
        <f t="shared" si="128"/>
        <v/>
      </c>
      <c r="P1657" s="21" t="str">
        <f t="shared" si="129"/>
        <v/>
      </c>
      <c r="Q1657" s="52" t="str">
        <f>IF($A1657="","",IF($O1657&lt;=0,"Depleted",IF($I1657&lt;0,"EXPIRED",IF($I1657&lt;=Settings!$C$6,"CRITICAL",IF($I1657&lt;=Settings!$C$5,"Expiring","In date")))))</f>
        <v/>
      </c>
    </row>
    <row r="1658" spans="1:17" x14ac:dyDescent="0.35">
      <c r="A1658" s="90" t="str">
        <f>IF(Receipts!$D1661="","",Receipts!$D1661)</f>
        <v/>
      </c>
      <c r="B1658" s="18" t="str">
        <f>IF(Receipts!$C1661="","",Receipts!$C1661)</f>
        <v/>
      </c>
      <c r="C1658" s="18" t="str">
        <f>IF($A1658="","",IFERROR(INDEX(Items!$B$5:$B$597,MATCH($A1658,Items!$A$5:$A$597,0)),""))</f>
        <v/>
      </c>
      <c r="D1658" s="23" t="str">
        <f>IF($A1658="","",N(Receipts!$G1661))</f>
        <v/>
      </c>
      <c r="E1658" s="20" t="str">
        <f>IF($A1658="","",IFERROR(INDEX(Items!$D$5:$D$597,MATCH($A1658,Items!$A$5:$A$597,0)),0))</f>
        <v/>
      </c>
      <c r="F1658" s="21" t="str">
        <f t="shared" si="125"/>
        <v/>
      </c>
      <c r="G1658" s="25" t="str">
        <f>IF(Receipts!$I1661="","",Receipts!$I1661)</f>
        <v/>
      </c>
      <c r="H1658" s="25" t="str">
        <f>IF(Receipts!$H1661="","",Receipts!$H1661)</f>
        <v/>
      </c>
      <c r="I1658" s="26" t="str">
        <f t="shared" ca="1" si="126"/>
        <v/>
      </c>
      <c r="J1658" s="26" t="str">
        <f>IF($A1658="","",COUNTIFS(tblReceipts[Item Name],$A1658,tblReceipts[Expiry Date],"&lt;"&amp;$H1658)+COUNTIFS(tblReceipts[Item Name],$A1658,tblReceipts[Expiry Date],$H1658,tblReceipts[Lot Number],"&lt;="&amp;Receipts!$C1661))</f>
        <v/>
      </c>
      <c r="K1658" s="26" t="str">
        <f>IF($A1658="","",SUMIFS(tblReceipts[Qty Received],tblReceipts[Item Name],$A1658,tblReceipts[Expiry Date],"&lt;"&amp;$H1658)+SUMIFS(tblReceipts[Qty Received],tblReceipts[Item Name],$A1658,tblReceipts[Expiry Date],$H1658,tblReceipts[Lot Number],"&lt;"&amp;Receipts!$C1661))</f>
        <v/>
      </c>
      <c r="L1658" s="26" t="str">
        <f>IF($A1658="","",MIN($D1658,MAX(0,SUMIFS(tblIssues[Qty Issued],tblIssues[Item Name],$A1658)-$K1658)))</f>
        <v/>
      </c>
      <c r="M1658" s="26" t="str">
        <f>IF($A1658="","",SUMIFS(tblIssues[Qty Issued],tblIssues[Lot Number],$B1658))</f>
        <v/>
      </c>
      <c r="N1658" s="26" t="str">
        <f t="shared" si="127"/>
        <v/>
      </c>
      <c r="O1658" s="26" t="str">
        <f t="shared" si="128"/>
        <v/>
      </c>
      <c r="P1658" s="21" t="str">
        <f t="shared" si="129"/>
        <v/>
      </c>
      <c r="Q1658" s="52" t="str">
        <f>IF($A1658="","",IF($O1658&lt;=0,"Depleted",IF($I1658&lt;0,"EXPIRED",IF($I1658&lt;=Settings!$C$6,"CRITICAL",IF($I1658&lt;=Settings!$C$5,"Expiring","In date")))))</f>
        <v/>
      </c>
    </row>
    <row r="1659" spans="1:17" x14ac:dyDescent="0.35">
      <c r="A1659" s="90" t="str">
        <f>IF(Receipts!$D1662="","",Receipts!$D1662)</f>
        <v/>
      </c>
      <c r="B1659" s="18" t="str">
        <f>IF(Receipts!$C1662="","",Receipts!$C1662)</f>
        <v/>
      </c>
      <c r="C1659" s="18" t="str">
        <f>IF($A1659="","",IFERROR(INDEX(Items!$B$5:$B$597,MATCH($A1659,Items!$A$5:$A$597,0)),""))</f>
        <v/>
      </c>
      <c r="D1659" s="23" t="str">
        <f>IF($A1659="","",N(Receipts!$G1662))</f>
        <v/>
      </c>
      <c r="E1659" s="20" t="str">
        <f>IF($A1659="","",IFERROR(INDEX(Items!$D$5:$D$597,MATCH($A1659,Items!$A$5:$A$597,0)),0))</f>
        <v/>
      </c>
      <c r="F1659" s="21" t="str">
        <f t="shared" si="125"/>
        <v/>
      </c>
      <c r="G1659" s="25" t="str">
        <f>IF(Receipts!$I1662="","",Receipts!$I1662)</f>
        <v/>
      </c>
      <c r="H1659" s="25" t="str">
        <f>IF(Receipts!$H1662="","",Receipts!$H1662)</f>
        <v/>
      </c>
      <c r="I1659" s="26" t="str">
        <f t="shared" ca="1" si="126"/>
        <v/>
      </c>
      <c r="J1659" s="26" t="str">
        <f>IF($A1659="","",COUNTIFS(tblReceipts[Item Name],$A1659,tblReceipts[Expiry Date],"&lt;"&amp;$H1659)+COUNTIFS(tblReceipts[Item Name],$A1659,tblReceipts[Expiry Date],$H1659,tblReceipts[Lot Number],"&lt;="&amp;Receipts!$C1662))</f>
        <v/>
      </c>
      <c r="K1659" s="26" t="str">
        <f>IF($A1659="","",SUMIFS(tblReceipts[Qty Received],tblReceipts[Item Name],$A1659,tblReceipts[Expiry Date],"&lt;"&amp;$H1659)+SUMIFS(tblReceipts[Qty Received],tblReceipts[Item Name],$A1659,tblReceipts[Expiry Date],$H1659,tblReceipts[Lot Number],"&lt;"&amp;Receipts!$C1662))</f>
        <v/>
      </c>
      <c r="L1659" s="26" t="str">
        <f>IF($A1659="","",MIN($D1659,MAX(0,SUMIFS(tblIssues[Qty Issued],tblIssues[Item Name],$A1659)-$K1659)))</f>
        <v/>
      </c>
      <c r="M1659" s="26" t="str">
        <f>IF($A1659="","",SUMIFS(tblIssues[Qty Issued],tblIssues[Lot Number],$B1659))</f>
        <v/>
      </c>
      <c r="N1659" s="26" t="str">
        <f t="shared" si="127"/>
        <v/>
      </c>
      <c r="O1659" s="26" t="str">
        <f t="shared" si="128"/>
        <v/>
      </c>
      <c r="P1659" s="21" t="str">
        <f t="shared" si="129"/>
        <v/>
      </c>
      <c r="Q1659" s="52" t="str">
        <f>IF($A1659="","",IF($O1659&lt;=0,"Depleted",IF($I1659&lt;0,"EXPIRED",IF($I1659&lt;=Settings!$C$6,"CRITICAL",IF($I1659&lt;=Settings!$C$5,"Expiring","In date")))))</f>
        <v/>
      </c>
    </row>
    <row r="1660" spans="1:17" x14ac:dyDescent="0.35">
      <c r="A1660" s="90" t="str">
        <f>IF(Receipts!$D1663="","",Receipts!$D1663)</f>
        <v/>
      </c>
      <c r="B1660" s="18" t="str">
        <f>IF(Receipts!$C1663="","",Receipts!$C1663)</f>
        <v/>
      </c>
      <c r="C1660" s="18" t="str">
        <f>IF($A1660="","",IFERROR(INDEX(Items!$B$5:$B$597,MATCH($A1660,Items!$A$5:$A$597,0)),""))</f>
        <v/>
      </c>
      <c r="D1660" s="23" t="str">
        <f>IF($A1660="","",N(Receipts!$G1663))</f>
        <v/>
      </c>
      <c r="E1660" s="20" t="str">
        <f>IF($A1660="","",IFERROR(INDEX(Items!$D$5:$D$597,MATCH($A1660,Items!$A$5:$A$597,0)),0))</f>
        <v/>
      </c>
      <c r="F1660" s="21" t="str">
        <f t="shared" si="125"/>
        <v/>
      </c>
      <c r="G1660" s="25" t="str">
        <f>IF(Receipts!$I1663="","",Receipts!$I1663)</f>
        <v/>
      </c>
      <c r="H1660" s="25" t="str">
        <f>IF(Receipts!$H1663="","",Receipts!$H1663)</f>
        <v/>
      </c>
      <c r="I1660" s="26" t="str">
        <f t="shared" ca="1" si="126"/>
        <v/>
      </c>
      <c r="J1660" s="26" t="str">
        <f>IF($A1660="","",COUNTIFS(tblReceipts[Item Name],$A1660,tblReceipts[Expiry Date],"&lt;"&amp;$H1660)+COUNTIFS(tblReceipts[Item Name],$A1660,tblReceipts[Expiry Date],$H1660,tblReceipts[Lot Number],"&lt;="&amp;Receipts!$C1663))</f>
        <v/>
      </c>
      <c r="K1660" s="26" t="str">
        <f>IF($A1660="","",SUMIFS(tblReceipts[Qty Received],tblReceipts[Item Name],$A1660,tblReceipts[Expiry Date],"&lt;"&amp;$H1660)+SUMIFS(tblReceipts[Qty Received],tblReceipts[Item Name],$A1660,tblReceipts[Expiry Date],$H1660,tblReceipts[Lot Number],"&lt;"&amp;Receipts!$C1663))</f>
        <v/>
      </c>
      <c r="L1660" s="26" t="str">
        <f>IF($A1660="","",MIN($D1660,MAX(0,SUMIFS(tblIssues[Qty Issued],tblIssues[Item Name],$A1660)-$K1660)))</f>
        <v/>
      </c>
      <c r="M1660" s="26" t="str">
        <f>IF($A1660="","",SUMIFS(tblIssues[Qty Issued],tblIssues[Lot Number],$B1660))</f>
        <v/>
      </c>
      <c r="N1660" s="26" t="str">
        <f t="shared" si="127"/>
        <v/>
      </c>
      <c r="O1660" s="26" t="str">
        <f t="shared" si="128"/>
        <v/>
      </c>
      <c r="P1660" s="21" t="str">
        <f t="shared" si="129"/>
        <v/>
      </c>
      <c r="Q1660" s="52" t="str">
        <f>IF($A1660="","",IF($O1660&lt;=0,"Depleted",IF($I1660&lt;0,"EXPIRED",IF($I1660&lt;=Settings!$C$6,"CRITICAL",IF($I1660&lt;=Settings!$C$5,"Expiring","In date")))))</f>
        <v/>
      </c>
    </row>
    <row r="1661" spans="1:17" x14ac:dyDescent="0.35">
      <c r="A1661" s="90" t="str">
        <f>IF(Receipts!$D1664="","",Receipts!$D1664)</f>
        <v/>
      </c>
      <c r="B1661" s="18" t="str">
        <f>IF(Receipts!$C1664="","",Receipts!$C1664)</f>
        <v/>
      </c>
      <c r="C1661" s="18" t="str">
        <f>IF($A1661="","",IFERROR(INDEX(Items!$B$5:$B$597,MATCH($A1661,Items!$A$5:$A$597,0)),""))</f>
        <v/>
      </c>
      <c r="D1661" s="23" t="str">
        <f>IF($A1661="","",N(Receipts!$G1664))</f>
        <v/>
      </c>
      <c r="E1661" s="20" t="str">
        <f>IF($A1661="","",IFERROR(INDEX(Items!$D$5:$D$597,MATCH($A1661,Items!$A$5:$A$597,0)),0))</f>
        <v/>
      </c>
      <c r="F1661" s="21" t="str">
        <f t="shared" si="125"/>
        <v/>
      </c>
      <c r="G1661" s="25" t="str">
        <f>IF(Receipts!$I1664="","",Receipts!$I1664)</f>
        <v/>
      </c>
      <c r="H1661" s="25" t="str">
        <f>IF(Receipts!$H1664="","",Receipts!$H1664)</f>
        <v/>
      </c>
      <c r="I1661" s="26" t="str">
        <f t="shared" ca="1" si="126"/>
        <v/>
      </c>
      <c r="J1661" s="26" t="str">
        <f>IF($A1661="","",COUNTIFS(tblReceipts[Item Name],$A1661,tblReceipts[Expiry Date],"&lt;"&amp;$H1661)+COUNTIFS(tblReceipts[Item Name],$A1661,tblReceipts[Expiry Date],$H1661,tblReceipts[Lot Number],"&lt;="&amp;Receipts!$C1664))</f>
        <v/>
      </c>
      <c r="K1661" s="26" t="str">
        <f>IF($A1661="","",SUMIFS(tblReceipts[Qty Received],tblReceipts[Item Name],$A1661,tblReceipts[Expiry Date],"&lt;"&amp;$H1661)+SUMIFS(tblReceipts[Qty Received],tblReceipts[Item Name],$A1661,tblReceipts[Expiry Date],$H1661,tblReceipts[Lot Number],"&lt;"&amp;Receipts!$C1664))</f>
        <v/>
      </c>
      <c r="L1661" s="26" t="str">
        <f>IF($A1661="","",MIN($D1661,MAX(0,SUMIFS(tblIssues[Qty Issued],tblIssues[Item Name],$A1661)-$K1661)))</f>
        <v/>
      </c>
      <c r="M1661" s="26" t="str">
        <f>IF($A1661="","",SUMIFS(tblIssues[Qty Issued],tblIssues[Lot Number],$B1661))</f>
        <v/>
      </c>
      <c r="N1661" s="26" t="str">
        <f t="shared" si="127"/>
        <v/>
      </c>
      <c r="O1661" s="26" t="str">
        <f t="shared" si="128"/>
        <v/>
      </c>
      <c r="P1661" s="21" t="str">
        <f t="shared" si="129"/>
        <v/>
      </c>
      <c r="Q1661" s="52" t="str">
        <f>IF($A1661="","",IF($O1661&lt;=0,"Depleted",IF($I1661&lt;0,"EXPIRED",IF($I1661&lt;=Settings!$C$6,"CRITICAL",IF($I1661&lt;=Settings!$C$5,"Expiring","In date")))))</f>
        <v/>
      </c>
    </row>
    <row r="1662" spans="1:17" x14ac:dyDescent="0.35">
      <c r="A1662" s="90" t="str">
        <f>IF(Receipts!$D1665="","",Receipts!$D1665)</f>
        <v/>
      </c>
      <c r="B1662" s="18" t="str">
        <f>IF(Receipts!$C1665="","",Receipts!$C1665)</f>
        <v/>
      </c>
      <c r="C1662" s="18" t="str">
        <f>IF($A1662="","",IFERROR(INDEX(Items!$B$5:$B$597,MATCH($A1662,Items!$A$5:$A$597,0)),""))</f>
        <v/>
      </c>
      <c r="D1662" s="23" t="str">
        <f>IF($A1662="","",N(Receipts!$G1665))</f>
        <v/>
      </c>
      <c r="E1662" s="20" t="str">
        <f>IF($A1662="","",IFERROR(INDEX(Items!$D$5:$D$597,MATCH($A1662,Items!$A$5:$A$597,0)),0))</f>
        <v/>
      </c>
      <c r="F1662" s="21" t="str">
        <f t="shared" si="125"/>
        <v/>
      </c>
      <c r="G1662" s="25" t="str">
        <f>IF(Receipts!$I1665="","",Receipts!$I1665)</f>
        <v/>
      </c>
      <c r="H1662" s="25" t="str">
        <f>IF(Receipts!$H1665="","",Receipts!$H1665)</f>
        <v/>
      </c>
      <c r="I1662" s="26" t="str">
        <f t="shared" ca="1" si="126"/>
        <v/>
      </c>
      <c r="J1662" s="26" t="str">
        <f>IF($A1662="","",COUNTIFS(tblReceipts[Item Name],$A1662,tblReceipts[Expiry Date],"&lt;"&amp;$H1662)+COUNTIFS(tblReceipts[Item Name],$A1662,tblReceipts[Expiry Date],$H1662,tblReceipts[Lot Number],"&lt;="&amp;Receipts!$C1665))</f>
        <v/>
      </c>
      <c r="K1662" s="26" t="str">
        <f>IF($A1662="","",SUMIFS(tblReceipts[Qty Received],tblReceipts[Item Name],$A1662,tblReceipts[Expiry Date],"&lt;"&amp;$H1662)+SUMIFS(tblReceipts[Qty Received],tblReceipts[Item Name],$A1662,tblReceipts[Expiry Date],$H1662,tblReceipts[Lot Number],"&lt;"&amp;Receipts!$C1665))</f>
        <v/>
      </c>
      <c r="L1662" s="26" t="str">
        <f>IF($A1662="","",MIN($D1662,MAX(0,SUMIFS(tblIssues[Qty Issued],tblIssues[Item Name],$A1662)-$K1662)))</f>
        <v/>
      </c>
      <c r="M1662" s="26" t="str">
        <f>IF($A1662="","",SUMIFS(tblIssues[Qty Issued],tblIssues[Lot Number],$B1662))</f>
        <v/>
      </c>
      <c r="N1662" s="26" t="str">
        <f t="shared" si="127"/>
        <v/>
      </c>
      <c r="O1662" s="26" t="str">
        <f t="shared" si="128"/>
        <v/>
      </c>
      <c r="P1662" s="21" t="str">
        <f t="shared" si="129"/>
        <v/>
      </c>
      <c r="Q1662" s="52" t="str">
        <f>IF($A1662="","",IF($O1662&lt;=0,"Depleted",IF($I1662&lt;0,"EXPIRED",IF($I1662&lt;=Settings!$C$6,"CRITICAL",IF($I1662&lt;=Settings!$C$5,"Expiring","In date")))))</f>
        <v/>
      </c>
    </row>
    <row r="1663" spans="1:17" x14ac:dyDescent="0.35">
      <c r="A1663" s="90" t="str">
        <f>IF(Receipts!$D1666="","",Receipts!$D1666)</f>
        <v/>
      </c>
      <c r="B1663" s="18" t="str">
        <f>IF(Receipts!$C1666="","",Receipts!$C1666)</f>
        <v/>
      </c>
      <c r="C1663" s="18" t="str">
        <f>IF($A1663="","",IFERROR(INDEX(Items!$B$5:$B$597,MATCH($A1663,Items!$A$5:$A$597,0)),""))</f>
        <v/>
      </c>
      <c r="D1663" s="23" t="str">
        <f>IF($A1663="","",N(Receipts!$G1666))</f>
        <v/>
      </c>
      <c r="E1663" s="20" t="str">
        <f>IF($A1663="","",IFERROR(INDEX(Items!$D$5:$D$597,MATCH($A1663,Items!$A$5:$A$597,0)),0))</f>
        <v/>
      </c>
      <c r="F1663" s="21" t="str">
        <f t="shared" si="125"/>
        <v/>
      </c>
      <c r="G1663" s="25" t="str">
        <f>IF(Receipts!$I1666="","",Receipts!$I1666)</f>
        <v/>
      </c>
      <c r="H1663" s="25" t="str">
        <f>IF(Receipts!$H1666="","",Receipts!$H1666)</f>
        <v/>
      </c>
      <c r="I1663" s="26" t="str">
        <f t="shared" ca="1" si="126"/>
        <v/>
      </c>
      <c r="J1663" s="26" t="str">
        <f>IF($A1663="","",COUNTIFS(tblReceipts[Item Name],$A1663,tblReceipts[Expiry Date],"&lt;"&amp;$H1663)+COUNTIFS(tblReceipts[Item Name],$A1663,tblReceipts[Expiry Date],$H1663,tblReceipts[Lot Number],"&lt;="&amp;Receipts!$C1666))</f>
        <v/>
      </c>
      <c r="K1663" s="26" t="str">
        <f>IF($A1663="","",SUMIFS(tblReceipts[Qty Received],tblReceipts[Item Name],$A1663,tblReceipts[Expiry Date],"&lt;"&amp;$H1663)+SUMIFS(tblReceipts[Qty Received],tblReceipts[Item Name],$A1663,tblReceipts[Expiry Date],$H1663,tblReceipts[Lot Number],"&lt;"&amp;Receipts!$C1666))</f>
        <v/>
      </c>
      <c r="L1663" s="26" t="str">
        <f>IF($A1663="","",MIN($D1663,MAX(0,SUMIFS(tblIssues[Qty Issued],tblIssues[Item Name],$A1663)-$K1663)))</f>
        <v/>
      </c>
      <c r="M1663" s="26" t="str">
        <f>IF($A1663="","",SUMIFS(tblIssues[Qty Issued],tblIssues[Lot Number],$B1663))</f>
        <v/>
      </c>
      <c r="N1663" s="26" t="str">
        <f t="shared" si="127"/>
        <v/>
      </c>
      <c r="O1663" s="26" t="str">
        <f t="shared" si="128"/>
        <v/>
      </c>
      <c r="P1663" s="21" t="str">
        <f t="shared" si="129"/>
        <v/>
      </c>
      <c r="Q1663" s="52" t="str">
        <f>IF($A1663="","",IF($O1663&lt;=0,"Depleted",IF($I1663&lt;0,"EXPIRED",IF($I1663&lt;=Settings!$C$6,"CRITICAL",IF($I1663&lt;=Settings!$C$5,"Expiring","In date")))))</f>
        <v/>
      </c>
    </row>
    <row r="1664" spans="1:17" x14ac:dyDescent="0.35">
      <c r="A1664" s="90" t="str">
        <f>IF(Receipts!$D1667="","",Receipts!$D1667)</f>
        <v/>
      </c>
      <c r="B1664" s="18" t="str">
        <f>IF(Receipts!$C1667="","",Receipts!$C1667)</f>
        <v/>
      </c>
      <c r="C1664" s="18" t="str">
        <f>IF($A1664="","",IFERROR(INDEX(Items!$B$5:$B$597,MATCH($A1664,Items!$A$5:$A$597,0)),""))</f>
        <v/>
      </c>
      <c r="D1664" s="23" t="str">
        <f>IF($A1664="","",N(Receipts!$G1667))</f>
        <v/>
      </c>
      <c r="E1664" s="20" t="str">
        <f>IF($A1664="","",IFERROR(INDEX(Items!$D$5:$D$597,MATCH($A1664,Items!$A$5:$A$597,0)),0))</f>
        <v/>
      </c>
      <c r="F1664" s="21" t="str">
        <f t="shared" si="125"/>
        <v/>
      </c>
      <c r="G1664" s="25" t="str">
        <f>IF(Receipts!$I1667="","",Receipts!$I1667)</f>
        <v/>
      </c>
      <c r="H1664" s="25" t="str">
        <f>IF(Receipts!$H1667="","",Receipts!$H1667)</f>
        <v/>
      </c>
      <c r="I1664" s="26" t="str">
        <f t="shared" ca="1" si="126"/>
        <v/>
      </c>
      <c r="J1664" s="26" t="str">
        <f>IF($A1664="","",COUNTIFS(tblReceipts[Item Name],$A1664,tblReceipts[Expiry Date],"&lt;"&amp;$H1664)+COUNTIFS(tblReceipts[Item Name],$A1664,tblReceipts[Expiry Date],$H1664,tblReceipts[Lot Number],"&lt;="&amp;Receipts!$C1667))</f>
        <v/>
      </c>
      <c r="K1664" s="26" t="str">
        <f>IF($A1664="","",SUMIFS(tblReceipts[Qty Received],tblReceipts[Item Name],$A1664,tblReceipts[Expiry Date],"&lt;"&amp;$H1664)+SUMIFS(tblReceipts[Qty Received],tblReceipts[Item Name],$A1664,tblReceipts[Expiry Date],$H1664,tblReceipts[Lot Number],"&lt;"&amp;Receipts!$C1667))</f>
        <v/>
      </c>
      <c r="L1664" s="26" t="str">
        <f>IF($A1664="","",MIN($D1664,MAX(0,SUMIFS(tblIssues[Qty Issued],tblIssues[Item Name],$A1664)-$K1664)))</f>
        <v/>
      </c>
      <c r="M1664" s="26" t="str">
        <f>IF($A1664="","",SUMIFS(tblIssues[Qty Issued],tblIssues[Lot Number],$B1664))</f>
        <v/>
      </c>
      <c r="N1664" s="26" t="str">
        <f t="shared" si="127"/>
        <v/>
      </c>
      <c r="O1664" s="26" t="str">
        <f t="shared" si="128"/>
        <v/>
      </c>
      <c r="P1664" s="21" t="str">
        <f t="shared" si="129"/>
        <v/>
      </c>
      <c r="Q1664" s="52" t="str">
        <f>IF($A1664="","",IF($O1664&lt;=0,"Depleted",IF($I1664&lt;0,"EXPIRED",IF($I1664&lt;=Settings!$C$6,"CRITICAL",IF($I1664&lt;=Settings!$C$5,"Expiring","In date")))))</f>
        <v/>
      </c>
    </row>
    <row r="1665" spans="1:17" x14ac:dyDescent="0.35">
      <c r="A1665" s="90" t="str">
        <f>IF(Receipts!$D1668="","",Receipts!$D1668)</f>
        <v/>
      </c>
      <c r="B1665" s="18" t="str">
        <f>IF(Receipts!$C1668="","",Receipts!$C1668)</f>
        <v/>
      </c>
      <c r="C1665" s="18" t="str">
        <f>IF($A1665="","",IFERROR(INDEX(Items!$B$5:$B$597,MATCH($A1665,Items!$A$5:$A$597,0)),""))</f>
        <v/>
      </c>
      <c r="D1665" s="23" t="str">
        <f>IF($A1665="","",N(Receipts!$G1668))</f>
        <v/>
      </c>
      <c r="E1665" s="20" t="str">
        <f>IF($A1665="","",IFERROR(INDEX(Items!$D$5:$D$597,MATCH($A1665,Items!$A$5:$A$597,0)),0))</f>
        <v/>
      </c>
      <c r="F1665" s="21" t="str">
        <f t="shared" si="125"/>
        <v/>
      </c>
      <c r="G1665" s="25" t="str">
        <f>IF(Receipts!$I1668="","",Receipts!$I1668)</f>
        <v/>
      </c>
      <c r="H1665" s="25" t="str">
        <f>IF(Receipts!$H1668="","",Receipts!$H1668)</f>
        <v/>
      </c>
      <c r="I1665" s="26" t="str">
        <f t="shared" ca="1" si="126"/>
        <v/>
      </c>
      <c r="J1665" s="26" t="str">
        <f>IF($A1665="","",COUNTIFS(tblReceipts[Item Name],$A1665,tblReceipts[Expiry Date],"&lt;"&amp;$H1665)+COUNTIFS(tblReceipts[Item Name],$A1665,tblReceipts[Expiry Date],$H1665,tblReceipts[Lot Number],"&lt;="&amp;Receipts!$C1668))</f>
        <v/>
      </c>
      <c r="K1665" s="26" t="str">
        <f>IF($A1665="","",SUMIFS(tblReceipts[Qty Received],tblReceipts[Item Name],$A1665,tblReceipts[Expiry Date],"&lt;"&amp;$H1665)+SUMIFS(tblReceipts[Qty Received],tblReceipts[Item Name],$A1665,tblReceipts[Expiry Date],$H1665,tblReceipts[Lot Number],"&lt;"&amp;Receipts!$C1668))</f>
        <v/>
      </c>
      <c r="L1665" s="26" t="str">
        <f>IF($A1665="","",MIN($D1665,MAX(0,SUMIFS(tblIssues[Qty Issued],tblIssues[Item Name],$A1665)-$K1665)))</f>
        <v/>
      </c>
      <c r="M1665" s="26" t="str">
        <f>IF($A1665="","",SUMIFS(tblIssues[Qty Issued],tblIssues[Lot Number],$B1665))</f>
        <v/>
      </c>
      <c r="N1665" s="26" t="str">
        <f t="shared" si="127"/>
        <v/>
      </c>
      <c r="O1665" s="26" t="str">
        <f t="shared" si="128"/>
        <v/>
      </c>
      <c r="P1665" s="21" t="str">
        <f t="shared" si="129"/>
        <v/>
      </c>
      <c r="Q1665" s="52" t="str">
        <f>IF($A1665="","",IF($O1665&lt;=0,"Depleted",IF($I1665&lt;0,"EXPIRED",IF($I1665&lt;=Settings!$C$6,"CRITICAL",IF($I1665&lt;=Settings!$C$5,"Expiring","In date")))))</f>
        <v/>
      </c>
    </row>
    <row r="1666" spans="1:17" x14ac:dyDescent="0.35">
      <c r="A1666" s="90" t="str">
        <f>IF(Receipts!$D1669="","",Receipts!$D1669)</f>
        <v/>
      </c>
      <c r="B1666" s="18" t="str">
        <f>IF(Receipts!$C1669="","",Receipts!$C1669)</f>
        <v/>
      </c>
      <c r="C1666" s="18" t="str">
        <f>IF($A1666="","",IFERROR(INDEX(Items!$B$5:$B$597,MATCH($A1666,Items!$A$5:$A$597,0)),""))</f>
        <v/>
      </c>
      <c r="D1666" s="23" t="str">
        <f>IF($A1666="","",N(Receipts!$G1669))</f>
        <v/>
      </c>
      <c r="E1666" s="20" t="str">
        <f>IF($A1666="","",IFERROR(INDEX(Items!$D$5:$D$597,MATCH($A1666,Items!$A$5:$A$597,0)),0))</f>
        <v/>
      </c>
      <c r="F1666" s="21" t="str">
        <f t="shared" si="125"/>
        <v/>
      </c>
      <c r="G1666" s="25" t="str">
        <f>IF(Receipts!$I1669="","",Receipts!$I1669)</f>
        <v/>
      </c>
      <c r="H1666" s="25" t="str">
        <f>IF(Receipts!$H1669="","",Receipts!$H1669)</f>
        <v/>
      </c>
      <c r="I1666" s="26" t="str">
        <f t="shared" ca="1" si="126"/>
        <v/>
      </c>
      <c r="J1666" s="26" t="str">
        <f>IF($A1666="","",COUNTIFS(tblReceipts[Item Name],$A1666,tblReceipts[Expiry Date],"&lt;"&amp;$H1666)+COUNTIFS(tblReceipts[Item Name],$A1666,tblReceipts[Expiry Date],$H1666,tblReceipts[Lot Number],"&lt;="&amp;Receipts!$C1669))</f>
        <v/>
      </c>
      <c r="K1666" s="26" t="str">
        <f>IF($A1666="","",SUMIFS(tblReceipts[Qty Received],tblReceipts[Item Name],$A1666,tblReceipts[Expiry Date],"&lt;"&amp;$H1666)+SUMIFS(tblReceipts[Qty Received],tblReceipts[Item Name],$A1666,tblReceipts[Expiry Date],$H1666,tblReceipts[Lot Number],"&lt;"&amp;Receipts!$C1669))</f>
        <v/>
      </c>
      <c r="L1666" s="26" t="str">
        <f>IF($A1666="","",MIN($D1666,MAX(0,SUMIFS(tblIssues[Qty Issued],tblIssues[Item Name],$A1666)-$K1666)))</f>
        <v/>
      </c>
      <c r="M1666" s="26" t="str">
        <f>IF($A1666="","",SUMIFS(tblIssues[Qty Issued],tblIssues[Lot Number],$B1666))</f>
        <v/>
      </c>
      <c r="N1666" s="26" t="str">
        <f t="shared" si="127"/>
        <v/>
      </c>
      <c r="O1666" s="26" t="str">
        <f t="shared" si="128"/>
        <v/>
      </c>
      <c r="P1666" s="21" t="str">
        <f t="shared" si="129"/>
        <v/>
      </c>
      <c r="Q1666" s="52" t="str">
        <f>IF($A1666="","",IF($O1666&lt;=0,"Depleted",IF($I1666&lt;0,"EXPIRED",IF($I1666&lt;=Settings!$C$6,"CRITICAL",IF($I1666&lt;=Settings!$C$5,"Expiring","In date")))))</f>
        <v/>
      </c>
    </row>
    <row r="1667" spans="1:17" x14ac:dyDescent="0.35">
      <c r="A1667" s="90" t="str">
        <f>IF(Receipts!$D1670="","",Receipts!$D1670)</f>
        <v/>
      </c>
      <c r="B1667" s="18" t="str">
        <f>IF(Receipts!$C1670="","",Receipts!$C1670)</f>
        <v/>
      </c>
      <c r="C1667" s="18" t="str">
        <f>IF($A1667="","",IFERROR(INDEX(Items!$B$5:$B$597,MATCH($A1667,Items!$A$5:$A$597,0)),""))</f>
        <v/>
      </c>
      <c r="D1667" s="23" t="str">
        <f>IF($A1667="","",N(Receipts!$G1670))</f>
        <v/>
      </c>
      <c r="E1667" s="20" t="str">
        <f>IF($A1667="","",IFERROR(INDEX(Items!$D$5:$D$597,MATCH($A1667,Items!$A$5:$A$597,0)),0))</f>
        <v/>
      </c>
      <c r="F1667" s="21" t="str">
        <f t="shared" si="125"/>
        <v/>
      </c>
      <c r="G1667" s="25" t="str">
        <f>IF(Receipts!$I1670="","",Receipts!$I1670)</f>
        <v/>
      </c>
      <c r="H1667" s="25" t="str">
        <f>IF(Receipts!$H1670="","",Receipts!$H1670)</f>
        <v/>
      </c>
      <c r="I1667" s="26" t="str">
        <f t="shared" ca="1" si="126"/>
        <v/>
      </c>
      <c r="J1667" s="26" t="str">
        <f>IF($A1667="","",COUNTIFS(tblReceipts[Item Name],$A1667,tblReceipts[Expiry Date],"&lt;"&amp;$H1667)+COUNTIFS(tblReceipts[Item Name],$A1667,tblReceipts[Expiry Date],$H1667,tblReceipts[Lot Number],"&lt;="&amp;Receipts!$C1670))</f>
        <v/>
      </c>
      <c r="K1667" s="26" t="str">
        <f>IF($A1667="","",SUMIFS(tblReceipts[Qty Received],tblReceipts[Item Name],$A1667,tblReceipts[Expiry Date],"&lt;"&amp;$H1667)+SUMIFS(tblReceipts[Qty Received],tblReceipts[Item Name],$A1667,tblReceipts[Expiry Date],$H1667,tblReceipts[Lot Number],"&lt;"&amp;Receipts!$C1670))</f>
        <v/>
      </c>
      <c r="L1667" s="26" t="str">
        <f>IF($A1667="","",MIN($D1667,MAX(0,SUMIFS(tblIssues[Qty Issued],tblIssues[Item Name],$A1667)-$K1667)))</f>
        <v/>
      </c>
      <c r="M1667" s="26" t="str">
        <f>IF($A1667="","",SUMIFS(tblIssues[Qty Issued],tblIssues[Lot Number],$B1667))</f>
        <v/>
      </c>
      <c r="N1667" s="26" t="str">
        <f t="shared" si="127"/>
        <v/>
      </c>
      <c r="O1667" s="26" t="str">
        <f t="shared" si="128"/>
        <v/>
      </c>
      <c r="P1667" s="21" t="str">
        <f t="shared" si="129"/>
        <v/>
      </c>
      <c r="Q1667" s="52" t="str">
        <f>IF($A1667="","",IF($O1667&lt;=0,"Depleted",IF($I1667&lt;0,"EXPIRED",IF($I1667&lt;=Settings!$C$6,"CRITICAL",IF($I1667&lt;=Settings!$C$5,"Expiring","In date")))))</f>
        <v/>
      </c>
    </row>
    <row r="1668" spans="1:17" x14ac:dyDescent="0.35">
      <c r="A1668" s="90" t="str">
        <f>IF(Receipts!$D1671="","",Receipts!$D1671)</f>
        <v/>
      </c>
      <c r="B1668" s="18" t="str">
        <f>IF(Receipts!$C1671="","",Receipts!$C1671)</f>
        <v/>
      </c>
      <c r="C1668" s="18" t="str">
        <f>IF($A1668="","",IFERROR(INDEX(Items!$B$5:$B$597,MATCH($A1668,Items!$A$5:$A$597,0)),""))</f>
        <v/>
      </c>
      <c r="D1668" s="23" t="str">
        <f>IF($A1668="","",N(Receipts!$G1671))</f>
        <v/>
      </c>
      <c r="E1668" s="20" t="str">
        <f>IF($A1668="","",IFERROR(INDEX(Items!$D$5:$D$597,MATCH($A1668,Items!$A$5:$A$597,0)),0))</f>
        <v/>
      </c>
      <c r="F1668" s="21" t="str">
        <f t="shared" si="125"/>
        <v/>
      </c>
      <c r="G1668" s="25" t="str">
        <f>IF(Receipts!$I1671="","",Receipts!$I1671)</f>
        <v/>
      </c>
      <c r="H1668" s="25" t="str">
        <f>IF(Receipts!$H1671="","",Receipts!$H1671)</f>
        <v/>
      </c>
      <c r="I1668" s="26" t="str">
        <f t="shared" ca="1" si="126"/>
        <v/>
      </c>
      <c r="J1668" s="26" t="str">
        <f>IF($A1668="","",COUNTIFS(tblReceipts[Item Name],$A1668,tblReceipts[Expiry Date],"&lt;"&amp;$H1668)+COUNTIFS(tblReceipts[Item Name],$A1668,tblReceipts[Expiry Date],$H1668,tblReceipts[Lot Number],"&lt;="&amp;Receipts!$C1671))</f>
        <v/>
      </c>
      <c r="K1668" s="26" t="str">
        <f>IF($A1668="","",SUMIFS(tblReceipts[Qty Received],tblReceipts[Item Name],$A1668,tblReceipts[Expiry Date],"&lt;"&amp;$H1668)+SUMIFS(tblReceipts[Qty Received],tblReceipts[Item Name],$A1668,tblReceipts[Expiry Date],$H1668,tblReceipts[Lot Number],"&lt;"&amp;Receipts!$C1671))</f>
        <v/>
      </c>
      <c r="L1668" s="26" t="str">
        <f>IF($A1668="","",MIN($D1668,MAX(0,SUMIFS(tblIssues[Qty Issued],tblIssues[Item Name],$A1668)-$K1668)))</f>
        <v/>
      </c>
      <c r="M1668" s="26" t="str">
        <f>IF($A1668="","",SUMIFS(tblIssues[Qty Issued],tblIssues[Lot Number],$B1668))</f>
        <v/>
      </c>
      <c r="N1668" s="26" t="str">
        <f t="shared" si="127"/>
        <v/>
      </c>
      <c r="O1668" s="26" t="str">
        <f t="shared" si="128"/>
        <v/>
      </c>
      <c r="P1668" s="21" t="str">
        <f t="shared" si="129"/>
        <v/>
      </c>
      <c r="Q1668" s="52" t="str">
        <f>IF($A1668="","",IF($O1668&lt;=0,"Depleted",IF($I1668&lt;0,"EXPIRED",IF($I1668&lt;=Settings!$C$6,"CRITICAL",IF($I1668&lt;=Settings!$C$5,"Expiring","In date")))))</f>
        <v/>
      </c>
    </row>
    <row r="1669" spans="1:17" x14ac:dyDescent="0.35">
      <c r="A1669" s="90" t="str">
        <f>IF(Receipts!$D1672="","",Receipts!$D1672)</f>
        <v/>
      </c>
      <c r="B1669" s="18" t="str">
        <f>IF(Receipts!$C1672="","",Receipts!$C1672)</f>
        <v/>
      </c>
      <c r="C1669" s="18" t="str">
        <f>IF($A1669="","",IFERROR(INDEX(Items!$B$5:$B$597,MATCH($A1669,Items!$A$5:$A$597,0)),""))</f>
        <v/>
      </c>
      <c r="D1669" s="23" t="str">
        <f>IF($A1669="","",N(Receipts!$G1672))</f>
        <v/>
      </c>
      <c r="E1669" s="20" t="str">
        <f>IF($A1669="","",IFERROR(INDEX(Items!$D$5:$D$597,MATCH($A1669,Items!$A$5:$A$597,0)),0))</f>
        <v/>
      </c>
      <c r="F1669" s="21" t="str">
        <f t="shared" ref="F1669:F1732" si="130">IF($A1669="","",$D1669*$E1669)</f>
        <v/>
      </c>
      <c r="G1669" s="25" t="str">
        <f>IF(Receipts!$I1672="","",Receipts!$I1672)</f>
        <v/>
      </c>
      <c r="H1669" s="25" t="str">
        <f>IF(Receipts!$H1672="","",Receipts!$H1672)</f>
        <v/>
      </c>
      <c r="I1669" s="26" t="str">
        <f t="shared" ref="I1669:I1732" ca="1" si="131">IF($H1669="","",$H1669-TODAY())</f>
        <v/>
      </c>
      <c r="J1669" s="26" t="str">
        <f>IF($A1669="","",COUNTIFS(tblReceipts[Item Name],$A1669,tblReceipts[Expiry Date],"&lt;"&amp;$H1669)+COUNTIFS(tblReceipts[Item Name],$A1669,tblReceipts[Expiry Date],$H1669,tblReceipts[Lot Number],"&lt;="&amp;Receipts!$C1672))</f>
        <v/>
      </c>
      <c r="K1669" s="26" t="str">
        <f>IF($A1669="","",SUMIFS(tblReceipts[Qty Received],tblReceipts[Item Name],$A1669,tblReceipts[Expiry Date],"&lt;"&amp;$H1669)+SUMIFS(tblReceipts[Qty Received],tblReceipts[Item Name],$A1669,tblReceipts[Expiry Date],$H1669,tblReceipts[Lot Number],"&lt;"&amp;Receipts!$C1672))</f>
        <v/>
      </c>
      <c r="L1669" s="26" t="str">
        <f>IF($A1669="","",MIN($D1669,MAX(0,SUMIFS(tblIssues[Qty Issued],tblIssues[Item Name],$A1669)-$K1669)))</f>
        <v/>
      </c>
      <c r="M1669" s="26" t="str">
        <f>IF($A1669="","",SUMIFS(tblIssues[Qty Issued],tblIssues[Lot Number],$B1669))</f>
        <v/>
      </c>
      <c r="N1669" s="26" t="str">
        <f t="shared" ref="N1669:N1732" si="132">IF($A1669="","",$M1669-$L1669)</f>
        <v/>
      </c>
      <c r="O1669" s="26" t="str">
        <f t="shared" ref="O1669:O1732" si="133">IF($A1669="","",$D1669-$L1669)</f>
        <v/>
      </c>
      <c r="P1669" s="21" t="str">
        <f t="shared" ref="P1669:P1732" si="134">IF($A1669="","",$O1669*$E1669)</f>
        <v/>
      </c>
      <c r="Q1669" s="52" t="str">
        <f>IF($A1669="","",IF($O1669&lt;=0,"Depleted",IF($I1669&lt;0,"EXPIRED",IF($I1669&lt;=Settings!$C$6,"CRITICAL",IF($I1669&lt;=Settings!$C$5,"Expiring","In date")))))</f>
        <v/>
      </c>
    </row>
    <row r="1670" spans="1:17" x14ac:dyDescent="0.35">
      <c r="A1670" s="90" t="str">
        <f>IF(Receipts!$D1673="","",Receipts!$D1673)</f>
        <v/>
      </c>
      <c r="B1670" s="18" t="str">
        <f>IF(Receipts!$C1673="","",Receipts!$C1673)</f>
        <v/>
      </c>
      <c r="C1670" s="18" t="str">
        <f>IF($A1670="","",IFERROR(INDEX(Items!$B$5:$B$597,MATCH($A1670,Items!$A$5:$A$597,0)),""))</f>
        <v/>
      </c>
      <c r="D1670" s="23" t="str">
        <f>IF($A1670="","",N(Receipts!$G1673))</f>
        <v/>
      </c>
      <c r="E1670" s="20" t="str">
        <f>IF($A1670="","",IFERROR(INDEX(Items!$D$5:$D$597,MATCH($A1670,Items!$A$5:$A$597,0)),0))</f>
        <v/>
      </c>
      <c r="F1670" s="21" t="str">
        <f t="shared" si="130"/>
        <v/>
      </c>
      <c r="G1670" s="25" t="str">
        <f>IF(Receipts!$I1673="","",Receipts!$I1673)</f>
        <v/>
      </c>
      <c r="H1670" s="25" t="str">
        <f>IF(Receipts!$H1673="","",Receipts!$H1673)</f>
        <v/>
      </c>
      <c r="I1670" s="26" t="str">
        <f t="shared" ca="1" si="131"/>
        <v/>
      </c>
      <c r="J1670" s="26" t="str">
        <f>IF($A1670="","",COUNTIFS(tblReceipts[Item Name],$A1670,tblReceipts[Expiry Date],"&lt;"&amp;$H1670)+COUNTIFS(tblReceipts[Item Name],$A1670,tblReceipts[Expiry Date],$H1670,tblReceipts[Lot Number],"&lt;="&amp;Receipts!$C1673))</f>
        <v/>
      </c>
      <c r="K1670" s="26" t="str">
        <f>IF($A1670="","",SUMIFS(tblReceipts[Qty Received],tblReceipts[Item Name],$A1670,tblReceipts[Expiry Date],"&lt;"&amp;$H1670)+SUMIFS(tblReceipts[Qty Received],tblReceipts[Item Name],$A1670,tblReceipts[Expiry Date],$H1670,tblReceipts[Lot Number],"&lt;"&amp;Receipts!$C1673))</f>
        <v/>
      </c>
      <c r="L1670" s="26" t="str">
        <f>IF($A1670="","",MIN($D1670,MAX(0,SUMIFS(tblIssues[Qty Issued],tblIssues[Item Name],$A1670)-$K1670)))</f>
        <v/>
      </c>
      <c r="M1670" s="26" t="str">
        <f>IF($A1670="","",SUMIFS(tblIssues[Qty Issued],tblIssues[Lot Number],$B1670))</f>
        <v/>
      </c>
      <c r="N1670" s="26" t="str">
        <f t="shared" si="132"/>
        <v/>
      </c>
      <c r="O1670" s="26" t="str">
        <f t="shared" si="133"/>
        <v/>
      </c>
      <c r="P1670" s="21" t="str">
        <f t="shared" si="134"/>
        <v/>
      </c>
      <c r="Q1670" s="52" t="str">
        <f>IF($A1670="","",IF($O1670&lt;=0,"Depleted",IF($I1670&lt;0,"EXPIRED",IF($I1670&lt;=Settings!$C$6,"CRITICAL",IF($I1670&lt;=Settings!$C$5,"Expiring","In date")))))</f>
        <v/>
      </c>
    </row>
    <row r="1671" spans="1:17" x14ac:dyDescent="0.35">
      <c r="A1671" s="90" t="str">
        <f>IF(Receipts!$D1674="","",Receipts!$D1674)</f>
        <v/>
      </c>
      <c r="B1671" s="18" t="str">
        <f>IF(Receipts!$C1674="","",Receipts!$C1674)</f>
        <v/>
      </c>
      <c r="C1671" s="18" t="str">
        <f>IF($A1671="","",IFERROR(INDEX(Items!$B$5:$B$597,MATCH($A1671,Items!$A$5:$A$597,0)),""))</f>
        <v/>
      </c>
      <c r="D1671" s="23" t="str">
        <f>IF($A1671="","",N(Receipts!$G1674))</f>
        <v/>
      </c>
      <c r="E1671" s="20" t="str">
        <f>IF($A1671="","",IFERROR(INDEX(Items!$D$5:$D$597,MATCH($A1671,Items!$A$5:$A$597,0)),0))</f>
        <v/>
      </c>
      <c r="F1671" s="21" t="str">
        <f t="shared" si="130"/>
        <v/>
      </c>
      <c r="G1671" s="25" t="str">
        <f>IF(Receipts!$I1674="","",Receipts!$I1674)</f>
        <v/>
      </c>
      <c r="H1671" s="25" t="str">
        <f>IF(Receipts!$H1674="","",Receipts!$H1674)</f>
        <v/>
      </c>
      <c r="I1671" s="26" t="str">
        <f t="shared" ca="1" si="131"/>
        <v/>
      </c>
      <c r="J1671" s="26" t="str">
        <f>IF($A1671="","",COUNTIFS(tblReceipts[Item Name],$A1671,tblReceipts[Expiry Date],"&lt;"&amp;$H1671)+COUNTIFS(tblReceipts[Item Name],$A1671,tblReceipts[Expiry Date],$H1671,tblReceipts[Lot Number],"&lt;="&amp;Receipts!$C1674))</f>
        <v/>
      </c>
      <c r="K1671" s="26" t="str">
        <f>IF($A1671="","",SUMIFS(tblReceipts[Qty Received],tblReceipts[Item Name],$A1671,tblReceipts[Expiry Date],"&lt;"&amp;$H1671)+SUMIFS(tblReceipts[Qty Received],tblReceipts[Item Name],$A1671,tblReceipts[Expiry Date],$H1671,tblReceipts[Lot Number],"&lt;"&amp;Receipts!$C1674))</f>
        <v/>
      </c>
      <c r="L1671" s="26" t="str">
        <f>IF($A1671="","",MIN($D1671,MAX(0,SUMIFS(tblIssues[Qty Issued],tblIssues[Item Name],$A1671)-$K1671)))</f>
        <v/>
      </c>
      <c r="M1671" s="26" t="str">
        <f>IF($A1671="","",SUMIFS(tblIssues[Qty Issued],tblIssues[Lot Number],$B1671))</f>
        <v/>
      </c>
      <c r="N1671" s="26" t="str">
        <f t="shared" si="132"/>
        <v/>
      </c>
      <c r="O1671" s="26" t="str">
        <f t="shared" si="133"/>
        <v/>
      </c>
      <c r="P1671" s="21" t="str">
        <f t="shared" si="134"/>
        <v/>
      </c>
      <c r="Q1671" s="52" t="str">
        <f>IF($A1671="","",IF($O1671&lt;=0,"Depleted",IF($I1671&lt;0,"EXPIRED",IF($I1671&lt;=Settings!$C$6,"CRITICAL",IF($I1671&lt;=Settings!$C$5,"Expiring","In date")))))</f>
        <v/>
      </c>
    </row>
    <row r="1672" spans="1:17" x14ac:dyDescent="0.35">
      <c r="A1672" s="90" t="str">
        <f>IF(Receipts!$D1675="","",Receipts!$D1675)</f>
        <v/>
      </c>
      <c r="B1672" s="18" t="str">
        <f>IF(Receipts!$C1675="","",Receipts!$C1675)</f>
        <v/>
      </c>
      <c r="C1672" s="18" t="str">
        <f>IF($A1672="","",IFERROR(INDEX(Items!$B$5:$B$597,MATCH($A1672,Items!$A$5:$A$597,0)),""))</f>
        <v/>
      </c>
      <c r="D1672" s="23" t="str">
        <f>IF($A1672="","",N(Receipts!$G1675))</f>
        <v/>
      </c>
      <c r="E1672" s="20" t="str">
        <f>IF($A1672="","",IFERROR(INDEX(Items!$D$5:$D$597,MATCH($A1672,Items!$A$5:$A$597,0)),0))</f>
        <v/>
      </c>
      <c r="F1672" s="21" t="str">
        <f t="shared" si="130"/>
        <v/>
      </c>
      <c r="G1672" s="25" t="str">
        <f>IF(Receipts!$I1675="","",Receipts!$I1675)</f>
        <v/>
      </c>
      <c r="H1672" s="25" t="str">
        <f>IF(Receipts!$H1675="","",Receipts!$H1675)</f>
        <v/>
      </c>
      <c r="I1672" s="26" t="str">
        <f t="shared" ca="1" si="131"/>
        <v/>
      </c>
      <c r="J1672" s="26" t="str">
        <f>IF($A1672="","",COUNTIFS(tblReceipts[Item Name],$A1672,tblReceipts[Expiry Date],"&lt;"&amp;$H1672)+COUNTIFS(tblReceipts[Item Name],$A1672,tblReceipts[Expiry Date],$H1672,tblReceipts[Lot Number],"&lt;="&amp;Receipts!$C1675))</f>
        <v/>
      </c>
      <c r="K1672" s="26" t="str">
        <f>IF($A1672="","",SUMIFS(tblReceipts[Qty Received],tblReceipts[Item Name],$A1672,tblReceipts[Expiry Date],"&lt;"&amp;$H1672)+SUMIFS(tblReceipts[Qty Received],tblReceipts[Item Name],$A1672,tblReceipts[Expiry Date],$H1672,tblReceipts[Lot Number],"&lt;"&amp;Receipts!$C1675))</f>
        <v/>
      </c>
      <c r="L1672" s="26" t="str">
        <f>IF($A1672="","",MIN($D1672,MAX(0,SUMIFS(tblIssues[Qty Issued],tblIssues[Item Name],$A1672)-$K1672)))</f>
        <v/>
      </c>
      <c r="M1672" s="26" t="str">
        <f>IF($A1672="","",SUMIFS(tblIssues[Qty Issued],tblIssues[Lot Number],$B1672))</f>
        <v/>
      </c>
      <c r="N1672" s="26" t="str">
        <f t="shared" si="132"/>
        <v/>
      </c>
      <c r="O1672" s="26" t="str">
        <f t="shared" si="133"/>
        <v/>
      </c>
      <c r="P1672" s="21" t="str">
        <f t="shared" si="134"/>
        <v/>
      </c>
      <c r="Q1672" s="52" t="str">
        <f>IF($A1672="","",IF($O1672&lt;=0,"Depleted",IF($I1672&lt;0,"EXPIRED",IF($I1672&lt;=Settings!$C$6,"CRITICAL",IF($I1672&lt;=Settings!$C$5,"Expiring","In date")))))</f>
        <v/>
      </c>
    </row>
    <row r="1673" spans="1:17" x14ac:dyDescent="0.35">
      <c r="A1673" s="90" t="str">
        <f>IF(Receipts!$D1676="","",Receipts!$D1676)</f>
        <v/>
      </c>
      <c r="B1673" s="18" t="str">
        <f>IF(Receipts!$C1676="","",Receipts!$C1676)</f>
        <v/>
      </c>
      <c r="C1673" s="18" t="str">
        <f>IF($A1673="","",IFERROR(INDEX(Items!$B$5:$B$597,MATCH($A1673,Items!$A$5:$A$597,0)),""))</f>
        <v/>
      </c>
      <c r="D1673" s="23" t="str">
        <f>IF($A1673="","",N(Receipts!$G1676))</f>
        <v/>
      </c>
      <c r="E1673" s="20" t="str">
        <f>IF($A1673="","",IFERROR(INDEX(Items!$D$5:$D$597,MATCH($A1673,Items!$A$5:$A$597,0)),0))</f>
        <v/>
      </c>
      <c r="F1673" s="21" t="str">
        <f t="shared" si="130"/>
        <v/>
      </c>
      <c r="G1673" s="25" t="str">
        <f>IF(Receipts!$I1676="","",Receipts!$I1676)</f>
        <v/>
      </c>
      <c r="H1673" s="25" t="str">
        <f>IF(Receipts!$H1676="","",Receipts!$H1676)</f>
        <v/>
      </c>
      <c r="I1673" s="26" t="str">
        <f t="shared" ca="1" si="131"/>
        <v/>
      </c>
      <c r="J1673" s="26" t="str">
        <f>IF($A1673="","",COUNTIFS(tblReceipts[Item Name],$A1673,tblReceipts[Expiry Date],"&lt;"&amp;$H1673)+COUNTIFS(tblReceipts[Item Name],$A1673,tblReceipts[Expiry Date],$H1673,tblReceipts[Lot Number],"&lt;="&amp;Receipts!$C1676))</f>
        <v/>
      </c>
      <c r="K1673" s="26" t="str">
        <f>IF($A1673="","",SUMIFS(tblReceipts[Qty Received],tblReceipts[Item Name],$A1673,tblReceipts[Expiry Date],"&lt;"&amp;$H1673)+SUMIFS(tblReceipts[Qty Received],tblReceipts[Item Name],$A1673,tblReceipts[Expiry Date],$H1673,tblReceipts[Lot Number],"&lt;"&amp;Receipts!$C1676))</f>
        <v/>
      </c>
      <c r="L1673" s="26" t="str">
        <f>IF($A1673="","",MIN($D1673,MAX(0,SUMIFS(tblIssues[Qty Issued],tblIssues[Item Name],$A1673)-$K1673)))</f>
        <v/>
      </c>
      <c r="M1673" s="26" t="str">
        <f>IF($A1673="","",SUMIFS(tblIssues[Qty Issued],tblIssues[Lot Number],$B1673))</f>
        <v/>
      </c>
      <c r="N1673" s="26" t="str">
        <f t="shared" si="132"/>
        <v/>
      </c>
      <c r="O1673" s="26" t="str">
        <f t="shared" si="133"/>
        <v/>
      </c>
      <c r="P1673" s="21" t="str">
        <f t="shared" si="134"/>
        <v/>
      </c>
      <c r="Q1673" s="52" t="str">
        <f>IF($A1673="","",IF($O1673&lt;=0,"Depleted",IF($I1673&lt;0,"EXPIRED",IF($I1673&lt;=Settings!$C$6,"CRITICAL",IF($I1673&lt;=Settings!$C$5,"Expiring","In date")))))</f>
        <v/>
      </c>
    </row>
    <row r="1674" spans="1:17" x14ac:dyDescent="0.35">
      <c r="A1674" s="90" t="str">
        <f>IF(Receipts!$D1677="","",Receipts!$D1677)</f>
        <v/>
      </c>
      <c r="B1674" s="18" t="str">
        <f>IF(Receipts!$C1677="","",Receipts!$C1677)</f>
        <v/>
      </c>
      <c r="C1674" s="18" t="str">
        <f>IF($A1674="","",IFERROR(INDEX(Items!$B$5:$B$597,MATCH($A1674,Items!$A$5:$A$597,0)),""))</f>
        <v/>
      </c>
      <c r="D1674" s="23" t="str">
        <f>IF($A1674="","",N(Receipts!$G1677))</f>
        <v/>
      </c>
      <c r="E1674" s="20" t="str">
        <f>IF($A1674="","",IFERROR(INDEX(Items!$D$5:$D$597,MATCH($A1674,Items!$A$5:$A$597,0)),0))</f>
        <v/>
      </c>
      <c r="F1674" s="21" t="str">
        <f t="shared" si="130"/>
        <v/>
      </c>
      <c r="G1674" s="25" t="str">
        <f>IF(Receipts!$I1677="","",Receipts!$I1677)</f>
        <v/>
      </c>
      <c r="H1674" s="25" t="str">
        <f>IF(Receipts!$H1677="","",Receipts!$H1677)</f>
        <v/>
      </c>
      <c r="I1674" s="26" t="str">
        <f t="shared" ca="1" si="131"/>
        <v/>
      </c>
      <c r="J1674" s="26" t="str">
        <f>IF($A1674="","",COUNTIFS(tblReceipts[Item Name],$A1674,tblReceipts[Expiry Date],"&lt;"&amp;$H1674)+COUNTIFS(tblReceipts[Item Name],$A1674,tblReceipts[Expiry Date],$H1674,tblReceipts[Lot Number],"&lt;="&amp;Receipts!$C1677))</f>
        <v/>
      </c>
      <c r="K1674" s="26" t="str">
        <f>IF($A1674="","",SUMIFS(tblReceipts[Qty Received],tblReceipts[Item Name],$A1674,tblReceipts[Expiry Date],"&lt;"&amp;$H1674)+SUMIFS(tblReceipts[Qty Received],tblReceipts[Item Name],$A1674,tblReceipts[Expiry Date],$H1674,tblReceipts[Lot Number],"&lt;"&amp;Receipts!$C1677))</f>
        <v/>
      </c>
      <c r="L1674" s="26" t="str">
        <f>IF($A1674="","",MIN($D1674,MAX(0,SUMIFS(tblIssues[Qty Issued],tblIssues[Item Name],$A1674)-$K1674)))</f>
        <v/>
      </c>
      <c r="M1674" s="26" t="str">
        <f>IF($A1674="","",SUMIFS(tblIssues[Qty Issued],tblIssues[Lot Number],$B1674))</f>
        <v/>
      </c>
      <c r="N1674" s="26" t="str">
        <f t="shared" si="132"/>
        <v/>
      </c>
      <c r="O1674" s="26" t="str">
        <f t="shared" si="133"/>
        <v/>
      </c>
      <c r="P1674" s="21" t="str">
        <f t="shared" si="134"/>
        <v/>
      </c>
      <c r="Q1674" s="52" t="str">
        <f>IF($A1674="","",IF($O1674&lt;=0,"Depleted",IF($I1674&lt;0,"EXPIRED",IF($I1674&lt;=Settings!$C$6,"CRITICAL",IF($I1674&lt;=Settings!$C$5,"Expiring","In date")))))</f>
        <v/>
      </c>
    </row>
    <row r="1675" spans="1:17" x14ac:dyDescent="0.35">
      <c r="A1675" s="90" t="str">
        <f>IF(Receipts!$D1678="","",Receipts!$D1678)</f>
        <v/>
      </c>
      <c r="B1675" s="18" t="str">
        <f>IF(Receipts!$C1678="","",Receipts!$C1678)</f>
        <v/>
      </c>
      <c r="C1675" s="18" t="str">
        <f>IF($A1675="","",IFERROR(INDEX(Items!$B$5:$B$597,MATCH($A1675,Items!$A$5:$A$597,0)),""))</f>
        <v/>
      </c>
      <c r="D1675" s="23" t="str">
        <f>IF($A1675="","",N(Receipts!$G1678))</f>
        <v/>
      </c>
      <c r="E1675" s="20" t="str">
        <f>IF($A1675="","",IFERROR(INDEX(Items!$D$5:$D$597,MATCH($A1675,Items!$A$5:$A$597,0)),0))</f>
        <v/>
      </c>
      <c r="F1675" s="21" t="str">
        <f t="shared" si="130"/>
        <v/>
      </c>
      <c r="G1675" s="25" t="str">
        <f>IF(Receipts!$I1678="","",Receipts!$I1678)</f>
        <v/>
      </c>
      <c r="H1675" s="25" t="str">
        <f>IF(Receipts!$H1678="","",Receipts!$H1678)</f>
        <v/>
      </c>
      <c r="I1675" s="26" t="str">
        <f t="shared" ca="1" si="131"/>
        <v/>
      </c>
      <c r="J1675" s="26" t="str">
        <f>IF($A1675="","",COUNTIFS(tblReceipts[Item Name],$A1675,tblReceipts[Expiry Date],"&lt;"&amp;$H1675)+COUNTIFS(tblReceipts[Item Name],$A1675,tblReceipts[Expiry Date],$H1675,tblReceipts[Lot Number],"&lt;="&amp;Receipts!$C1678))</f>
        <v/>
      </c>
      <c r="K1675" s="26" t="str">
        <f>IF($A1675="","",SUMIFS(tblReceipts[Qty Received],tblReceipts[Item Name],$A1675,tblReceipts[Expiry Date],"&lt;"&amp;$H1675)+SUMIFS(tblReceipts[Qty Received],tblReceipts[Item Name],$A1675,tblReceipts[Expiry Date],$H1675,tblReceipts[Lot Number],"&lt;"&amp;Receipts!$C1678))</f>
        <v/>
      </c>
      <c r="L1675" s="26" t="str">
        <f>IF($A1675="","",MIN($D1675,MAX(0,SUMIFS(tblIssues[Qty Issued],tblIssues[Item Name],$A1675)-$K1675)))</f>
        <v/>
      </c>
      <c r="M1675" s="26" t="str">
        <f>IF($A1675="","",SUMIFS(tblIssues[Qty Issued],tblIssues[Lot Number],$B1675))</f>
        <v/>
      </c>
      <c r="N1675" s="26" t="str">
        <f t="shared" si="132"/>
        <v/>
      </c>
      <c r="O1675" s="26" t="str">
        <f t="shared" si="133"/>
        <v/>
      </c>
      <c r="P1675" s="21" t="str">
        <f t="shared" si="134"/>
        <v/>
      </c>
      <c r="Q1675" s="52" t="str">
        <f>IF($A1675="","",IF($O1675&lt;=0,"Depleted",IF($I1675&lt;0,"EXPIRED",IF($I1675&lt;=Settings!$C$6,"CRITICAL",IF($I1675&lt;=Settings!$C$5,"Expiring","In date")))))</f>
        <v/>
      </c>
    </row>
    <row r="1676" spans="1:17" x14ac:dyDescent="0.35">
      <c r="A1676" s="90" t="str">
        <f>IF(Receipts!$D1679="","",Receipts!$D1679)</f>
        <v/>
      </c>
      <c r="B1676" s="18" t="str">
        <f>IF(Receipts!$C1679="","",Receipts!$C1679)</f>
        <v/>
      </c>
      <c r="C1676" s="18" t="str">
        <f>IF($A1676="","",IFERROR(INDEX(Items!$B$5:$B$597,MATCH($A1676,Items!$A$5:$A$597,0)),""))</f>
        <v/>
      </c>
      <c r="D1676" s="23" t="str">
        <f>IF($A1676="","",N(Receipts!$G1679))</f>
        <v/>
      </c>
      <c r="E1676" s="20" t="str">
        <f>IF($A1676="","",IFERROR(INDEX(Items!$D$5:$D$597,MATCH($A1676,Items!$A$5:$A$597,0)),0))</f>
        <v/>
      </c>
      <c r="F1676" s="21" t="str">
        <f t="shared" si="130"/>
        <v/>
      </c>
      <c r="G1676" s="25" t="str">
        <f>IF(Receipts!$I1679="","",Receipts!$I1679)</f>
        <v/>
      </c>
      <c r="H1676" s="25" t="str">
        <f>IF(Receipts!$H1679="","",Receipts!$H1679)</f>
        <v/>
      </c>
      <c r="I1676" s="26" t="str">
        <f t="shared" ca="1" si="131"/>
        <v/>
      </c>
      <c r="J1676" s="26" t="str">
        <f>IF($A1676="","",COUNTIFS(tblReceipts[Item Name],$A1676,tblReceipts[Expiry Date],"&lt;"&amp;$H1676)+COUNTIFS(tblReceipts[Item Name],$A1676,tblReceipts[Expiry Date],$H1676,tblReceipts[Lot Number],"&lt;="&amp;Receipts!$C1679))</f>
        <v/>
      </c>
      <c r="K1676" s="26" t="str">
        <f>IF($A1676="","",SUMIFS(tblReceipts[Qty Received],tblReceipts[Item Name],$A1676,tblReceipts[Expiry Date],"&lt;"&amp;$H1676)+SUMIFS(tblReceipts[Qty Received],tblReceipts[Item Name],$A1676,tblReceipts[Expiry Date],$H1676,tblReceipts[Lot Number],"&lt;"&amp;Receipts!$C1679))</f>
        <v/>
      </c>
      <c r="L1676" s="26" t="str">
        <f>IF($A1676="","",MIN($D1676,MAX(0,SUMIFS(tblIssues[Qty Issued],tblIssues[Item Name],$A1676)-$K1676)))</f>
        <v/>
      </c>
      <c r="M1676" s="26" t="str">
        <f>IF($A1676="","",SUMIFS(tblIssues[Qty Issued],tblIssues[Lot Number],$B1676))</f>
        <v/>
      </c>
      <c r="N1676" s="26" t="str">
        <f t="shared" si="132"/>
        <v/>
      </c>
      <c r="O1676" s="26" t="str">
        <f t="shared" si="133"/>
        <v/>
      </c>
      <c r="P1676" s="21" t="str">
        <f t="shared" si="134"/>
        <v/>
      </c>
      <c r="Q1676" s="52" t="str">
        <f>IF($A1676="","",IF($O1676&lt;=0,"Depleted",IF($I1676&lt;0,"EXPIRED",IF($I1676&lt;=Settings!$C$6,"CRITICAL",IF($I1676&lt;=Settings!$C$5,"Expiring","In date")))))</f>
        <v/>
      </c>
    </row>
    <row r="1677" spans="1:17" x14ac:dyDescent="0.35">
      <c r="A1677" s="90" t="str">
        <f>IF(Receipts!$D1680="","",Receipts!$D1680)</f>
        <v/>
      </c>
      <c r="B1677" s="18" t="str">
        <f>IF(Receipts!$C1680="","",Receipts!$C1680)</f>
        <v/>
      </c>
      <c r="C1677" s="18" t="str">
        <f>IF($A1677="","",IFERROR(INDEX(Items!$B$5:$B$597,MATCH($A1677,Items!$A$5:$A$597,0)),""))</f>
        <v/>
      </c>
      <c r="D1677" s="23" t="str">
        <f>IF($A1677="","",N(Receipts!$G1680))</f>
        <v/>
      </c>
      <c r="E1677" s="20" t="str">
        <f>IF($A1677="","",IFERROR(INDEX(Items!$D$5:$D$597,MATCH($A1677,Items!$A$5:$A$597,0)),0))</f>
        <v/>
      </c>
      <c r="F1677" s="21" t="str">
        <f t="shared" si="130"/>
        <v/>
      </c>
      <c r="G1677" s="25" t="str">
        <f>IF(Receipts!$I1680="","",Receipts!$I1680)</f>
        <v/>
      </c>
      <c r="H1677" s="25" t="str">
        <f>IF(Receipts!$H1680="","",Receipts!$H1680)</f>
        <v/>
      </c>
      <c r="I1677" s="26" t="str">
        <f t="shared" ca="1" si="131"/>
        <v/>
      </c>
      <c r="J1677" s="26" t="str">
        <f>IF($A1677="","",COUNTIFS(tblReceipts[Item Name],$A1677,tblReceipts[Expiry Date],"&lt;"&amp;$H1677)+COUNTIFS(tblReceipts[Item Name],$A1677,tblReceipts[Expiry Date],$H1677,tblReceipts[Lot Number],"&lt;="&amp;Receipts!$C1680))</f>
        <v/>
      </c>
      <c r="K1677" s="26" t="str">
        <f>IF($A1677="","",SUMIFS(tblReceipts[Qty Received],tblReceipts[Item Name],$A1677,tblReceipts[Expiry Date],"&lt;"&amp;$H1677)+SUMIFS(tblReceipts[Qty Received],tblReceipts[Item Name],$A1677,tblReceipts[Expiry Date],$H1677,tblReceipts[Lot Number],"&lt;"&amp;Receipts!$C1680))</f>
        <v/>
      </c>
      <c r="L1677" s="26" t="str">
        <f>IF($A1677="","",MIN($D1677,MAX(0,SUMIFS(tblIssues[Qty Issued],tblIssues[Item Name],$A1677)-$K1677)))</f>
        <v/>
      </c>
      <c r="M1677" s="26" t="str">
        <f>IF($A1677="","",SUMIFS(tblIssues[Qty Issued],tblIssues[Lot Number],$B1677))</f>
        <v/>
      </c>
      <c r="N1677" s="26" t="str">
        <f t="shared" si="132"/>
        <v/>
      </c>
      <c r="O1677" s="26" t="str">
        <f t="shared" si="133"/>
        <v/>
      </c>
      <c r="P1677" s="21" t="str">
        <f t="shared" si="134"/>
        <v/>
      </c>
      <c r="Q1677" s="52" t="str">
        <f>IF($A1677="","",IF($O1677&lt;=0,"Depleted",IF($I1677&lt;0,"EXPIRED",IF($I1677&lt;=Settings!$C$6,"CRITICAL",IF($I1677&lt;=Settings!$C$5,"Expiring","In date")))))</f>
        <v/>
      </c>
    </row>
    <row r="1678" spans="1:17" x14ac:dyDescent="0.35">
      <c r="A1678" s="90" t="str">
        <f>IF(Receipts!$D1681="","",Receipts!$D1681)</f>
        <v/>
      </c>
      <c r="B1678" s="18" t="str">
        <f>IF(Receipts!$C1681="","",Receipts!$C1681)</f>
        <v/>
      </c>
      <c r="C1678" s="18" t="str">
        <f>IF($A1678="","",IFERROR(INDEX(Items!$B$5:$B$597,MATCH($A1678,Items!$A$5:$A$597,0)),""))</f>
        <v/>
      </c>
      <c r="D1678" s="23" t="str">
        <f>IF($A1678="","",N(Receipts!$G1681))</f>
        <v/>
      </c>
      <c r="E1678" s="20" t="str">
        <f>IF($A1678="","",IFERROR(INDEX(Items!$D$5:$D$597,MATCH($A1678,Items!$A$5:$A$597,0)),0))</f>
        <v/>
      </c>
      <c r="F1678" s="21" t="str">
        <f t="shared" si="130"/>
        <v/>
      </c>
      <c r="G1678" s="25" t="str">
        <f>IF(Receipts!$I1681="","",Receipts!$I1681)</f>
        <v/>
      </c>
      <c r="H1678" s="25" t="str">
        <f>IF(Receipts!$H1681="","",Receipts!$H1681)</f>
        <v/>
      </c>
      <c r="I1678" s="26" t="str">
        <f t="shared" ca="1" si="131"/>
        <v/>
      </c>
      <c r="J1678" s="26" t="str">
        <f>IF($A1678="","",COUNTIFS(tblReceipts[Item Name],$A1678,tblReceipts[Expiry Date],"&lt;"&amp;$H1678)+COUNTIFS(tblReceipts[Item Name],$A1678,tblReceipts[Expiry Date],$H1678,tblReceipts[Lot Number],"&lt;="&amp;Receipts!$C1681))</f>
        <v/>
      </c>
      <c r="K1678" s="26" t="str">
        <f>IF($A1678="","",SUMIFS(tblReceipts[Qty Received],tblReceipts[Item Name],$A1678,tblReceipts[Expiry Date],"&lt;"&amp;$H1678)+SUMIFS(tblReceipts[Qty Received],tblReceipts[Item Name],$A1678,tblReceipts[Expiry Date],$H1678,tblReceipts[Lot Number],"&lt;"&amp;Receipts!$C1681))</f>
        <v/>
      </c>
      <c r="L1678" s="26" t="str">
        <f>IF($A1678="","",MIN($D1678,MAX(0,SUMIFS(tblIssues[Qty Issued],tblIssues[Item Name],$A1678)-$K1678)))</f>
        <v/>
      </c>
      <c r="M1678" s="26" t="str">
        <f>IF($A1678="","",SUMIFS(tblIssues[Qty Issued],tblIssues[Lot Number],$B1678))</f>
        <v/>
      </c>
      <c r="N1678" s="26" t="str">
        <f t="shared" si="132"/>
        <v/>
      </c>
      <c r="O1678" s="26" t="str">
        <f t="shared" si="133"/>
        <v/>
      </c>
      <c r="P1678" s="21" t="str">
        <f t="shared" si="134"/>
        <v/>
      </c>
      <c r="Q1678" s="52" t="str">
        <f>IF($A1678="","",IF($O1678&lt;=0,"Depleted",IF($I1678&lt;0,"EXPIRED",IF($I1678&lt;=Settings!$C$6,"CRITICAL",IF($I1678&lt;=Settings!$C$5,"Expiring","In date")))))</f>
        <v/>
      </c>
    </row>
    <row r="1679" spans="1:17" x14ac:dyDescent="0.35">
      <c r="A1679" s="90" t="str">
        <f>IF(Receipts!$D1682="","",Receipts!$D1682)</f>
        <v/>
      </c>
      <c r="B1679" s="18" t="str">
        <f>IF(Receipts!$C1682="","",Receipts!$C1682)</f>
        <v/>
      </c>
      <c r="C1679" s="18" t="str">
        <f>IF($A1679="","",IFERROR(INDEX(Items!$B$5:$B$597,MATCH($A1679,Items!$A$5:$A$597,0)),""))</f>
        <v/>
      </c>
      <c r="D1679" s="23" t="str">
        <f>IF($A1679="","",N(Receipts!$G1682))</f>
        <v/>
      </c>
      <c r="E1679" s="20" t="str">
        <f>IF($A1679="","",IFERROR(INDEX(Items!$D$5:$D$597,MATCH($A1679,Items!$A$5:$A$597,0)),0))</f>
        <v/>
      </c>
      <c r="F1679" s="21" t="str">
        <f t="shared" si="130"/>
        <v/>
      </c>
      <c r="G1679" s="25" t="str">
        <f>IF(Receipts!$I1682="","",Receipts!$I1682)</f>
        <v/>
      </c>
      <c r="H1679" s="25" t="str">
        <f>IF(Receipts!$H1682="","",Receipts!$H1682)</f>
        <v/>
      </c>
      <c r="I1679" s="26" t="str">
        <f t="shared" ca="1" si="131"/>
        <v/>
      </c>
      <c r="J1679" s="26" t="str">
        <f>IF($A1679="","",COUNTIFS(tblReceipts[Item Name],$A1679,tblReceipts[Expiry Date],"&lt;"&amp;$H1679)+COUNTIFS(tblReceipts[Item Name],$A1679,tblReceipts[Expiry Date],$H1679,tblReceipts[Lot Number],"&lt;="&amp;Receipts!$C1682))</f>
        <v/>
      </c>
      <c r="K1679" s="26" t="str">
        <f>IF($A1679="","",SUMIFS(tblReceipts[Qty Received],tblReceipts[Item Name],$A1679,tblReceipts[Expiry Date],"&lt;"&amp;$H1679)+SUMIFS(tblReceipts[Qty Received],tblReceipts[Item Name],$A1679,tblReceipts[Expiry Date],$H1679,tblReceipts[Lot Number],"&lt;"&amp;Receipts!$C1682))</f>
        <v/>
      </c>
      <c r="L1679" s="26" t="str">
        <f>IF($A1679="","",MIN($D1679,MAX(0,SUMIFS(tblIssues[Qty Issued],tblIssues[Item Name],$A1679)-$K1679)))</f>
        <v/>
      </c>
      <c r="M1679" s="26" t="str">
        <f>IF($A1679="","",SUMIFS(tblIssues[Qty Issued],tblIssues[Lot Number],$B1679))</f>
        <v/>
      </c>
      <c r="N1679" s="26" t="str">
        <f t="shared" si="132"/>
        <v/>
      </c>
      <c r="O1679" s="26" t="str">
        <f t="shared" si="133"/>
        <v/>
      </c>
      <c r="P1679" s="21" t="str">
        <f t="shared" si="134"/>
        <v/>
      </c>
      <c r="Q1679" s="52" t="str">
        <f>IF($A1679="","",IF($O1679&lt;=0,"Depleted",IF($I1679&lt;0,"EXPIRED",IF($I1679&lt;=Settings!$C$6,"CRITICAL",IF($I1679&lt;=Settings!$C$5,"Expiring","In date")))))</f>
        <v/>
      </c>
    </row>
    <row r="1680" spans="1:17" x14ac:dyDescent="0.35">
      <c r="A1680" s="90" t="str">
        <f>IF(Receipts!$D1683="","",Receipts!$D1683)</f>
        <v/>
      </c>
      <c r="B1680" s="18" t="str">
        <f>IF(Receipts!$C1683="","",Receipts!$C1683)</f>
        <v/>
      </c>
      <c r="C1680" s="18" t="str">
        <f>IF($A1680="","",IFERROR(INDEX(Items!$B$5:$B$597,MATCH($A1680,Items!$A$5:$A$597,0)),""))</f>
        <v/>
      </c>
      <c r="D1680" s="23" t="str">
        <f>IF($A1680="","",N(Receipts!$G1683))</f>
        <v/>
      </c>
      <c r="E1680" s="20" t="str">
        <f>IF($A1680="","",IFERROR(INDEX(Items!$D$5:$D$597,MATCH($A1680,Items!$A$5:$A$597,0)),0))</f>
        <v/>
      </c>
      <c r="F1680" s="21" t="str">
        <f t="shared" si="130"/>
        <v/>
      </c>
      <c r="G1680" s="25" t="str">
        <f>IF(Receipts!$I1683="","",Receipts!$I1683)</f>
        <v/>
      </c>
      <c r="H1680" s="25" t="str">
        <f>IF(Receipts!$H1683="","",Receipts!$H1683)</f>
        <v/>
      </c>
      <c r="I1680" s="26" t="str">
        <f t="shared" ca="1" si="131"/>
        <v/>
      </c>
      <c r="J1680" s="26" t="str">
        <f>IF($A1680="","",COUNTIFS(tblReceipts[Item Name],$A1680,tblReceipts[Expiry Date],"&lt;"&amp;$H1680)+COUNTIFS(tblReceipts[Item Name],$A1680,tblReceipts[Expiry Date],$H1680,tblReceipts[Lot Number],"&lt;="&amp;Receipts!$C1683))</f>
        <v/>
      </c>
      <c r="K1680" s="26" t="str">
        <f>IF($A1680="","",SUMIFS(tblReceipts[Qty Received],tblReceipts[Item Name],$A1680,tblReceipts[Expiry Date],"&lt;"&amp;$H1680)+SUMIFS(tblReceipts[Qty Received],tblReceipts[Item Name],$A1680,tblReceipts[Expiry Date],$H1680,tblReceipts[Lot Number],"&lt;"&amp;Receipts!$C1683))</f>
        <v/>
      </c>
      <c r="L1680" s="26" t="str">
        <f>IF($A1680="","",MIN($D1680,MAX(0,SUMIFS(tblIssues[Qty Issued],tblIssues[Item Name],$A1680)-$K1680)))</f>
        <v/>
      </c>
      <c r="M1680" s="26" t="str">
        <f>IF($A1680="","",SUMIFS(tblIssues[Qty Issued],tblIssues[Lot Number],$B1680))</f>
        <v/>
      </c>
      <c r="N1680" s="26" t="str">
        <f t="shared" si="132"/>
        <v/>
      </c>
      <c r="O1680" s="26" t="str">
        <f t="shared" si="133"/>
        <v/>
      </c>
      <c r="P1680" s="21" t="str">
        <f t="shared" si="134"/>
        <v/>
      </c>
      <c r="Q1680" s="52" t="str">
        <f>IF($A1680="","",IF($O1680&lt;=0,"Depleted",IF($I1680&lt;0,"EXPIRED",IF($I1680&lt;=Settings!$C$6,"CRITICAL",IF($I1680&lt;=Settings!$C$5,"Expiring","In date")))))</f>
        <v/>
      </c>
    </row>
    <row r="1681" spans="1:17" x14ac:dyDescent="0.35">
      <c r="A1681" s="90" t="str">
        <f>IF(Receipts!$D1684="","",Receipts!$D1684)</f>
        <v/>
      </c>
      <c r="B1681" s="18" t="str">
        <f>IF(Receipts!$C1684="","",Receipts!$C1684)</f>
        <v/>
      </c>
      <c r="C1681" s="18" t="str">
        <f>IF($A1681="","",IFERROR(INDEX(Items!$B$5:$B$597,MATCH($A1681,Items!$A$5:$A$597,0)),""))</f>
        <v/>
      </c>
      <c r="D1681" s="23" t="str">
        <f>IF($A1681="","",N(Receipts!$G1684))</f>
        <v/>
      </c>
      <c r="E1681" s="20" t="str">
        <f>IF($A1681="","",IFERROR(INDEX(Items!$D$5:$D$597,MATCH($A1681,Items!$A$5:$A$597,0)),0))</f>
        <v/>
      </c>
      <c r="F1681" s="21" t="str">
        <f t="shared" si="130"/>
        <v/>
      </c>
      <c r="G1681" s="25" t="str">
        <f>IF(Receipts!$I1684="","",Receipts!$I1684)</f>
        <v/>
      </c>
      <c r="H1681" s="25" t="str">
        <f>IF(Receipts!$H1684="","",Receipts!$H1684)</f>
        <v/>
      </c>
      <c r="I1681" s="26" t="str">
        <f t="shared" ca="1" si="131"/>
        <v/>
      </c>
      <c r="J1681" s="26" t="str">
        <f>IF($A1681="","",COUNTIFS(tblReceipts[Item Name],$A1681,tblReceipts[Expiry Date],"&lt;"&amp;$H1681)+COUNTIFS(tblReceipts[Item Name],$A1681,tblReceipts[Expiry Date],$H1681,tblReceipts[Lot Number],"&lt;="&amp;Receipts!$C1684))</f>
        <v/>
      </c>
      <c r="K1681" s="26" t="str">
        <f>IF($A1681="","",SUMIFS(tblReceipts[Qty Received],tblReceipts[Item Name],$A1681,tblReceipts[Expiry Date],"&lt;"&amp;$H1681)+SUMIFS(tblReceipts[Qty Received],tblReceipts[Item Name],$A1681,tblReceipts[Expiry Date],$H1681,tblReceipts[Lot Number],"&lt;"&amp;Receipts!$C1684))</f>
        <v/>
      </c>
      <c r="L1681" s="26" t="str">
        <f>IF($A1681="","",MIN($D1681,MAX(0,SUMIFS(tblIssues[Qty Issued],tblIssues[Item Name],$A1681)-$K1681)))</f>
        <v/>
      </c>
      <c r="M1681" s="26" t="str">
        <f>IF($A1681="","",SUMIFS(tblIssues[Qty Issued],tblIssues[Lot Number],$B1681))</f>
        <v/>
      </c>
      <c r="N1681" s="26" t="str">
        <f t="shared" si="132"/>
        <v/>
      </c>
      <c r="O1681" s="26" t="str">
        <f t="shared" si="133"/>
        <v/>
      </c>
      <c r="P1681" s="21" t="str">
        <f t="shared" si="134"/>
        <v/>
      </c>
      <c r="Q1681" s="52" t="str">
        <f>IF($A1681="","",IF($O1681&lt;=0,"Depleted",IF($I1681&lt;0,"EXPIRED",IF($I1681&lt;=Settings!$C$6,"CRITICAL",IF($I1681&lt;=Settings!$C$5,"Expiring","In date")))))</f>
        <v/>
      </c>
    </row>
    <row r="1682" spans="1:17" x14ac:dyDescent="0.35">
      <c r="A1682" s="90" t="str">
        <f>IF(Receipts!$D1685="","",Receipts!$D1685)</f>
        <v/>
      </c>
      <c r="B1682" s="18" t="str">
        <f>IF(Receipts!$C1685="","",Receipts!$C1685)</f>
        <v/>
      </c>
      <c r="C1682" s="18" t="str">
        <f>IF($A1682="","",IFERROR(INDEX(Items!$B$5:$B$597,MATCH($A1682,Items!$A$5:$A$597,0)),""))</f>
        <v/>
      </c>
      <c r="D1682" s="23" t="str">
        <f>IF($A1682="","",N(Receipts!$G1685))</f>
        <v/>
      </c>
      <c r="E1682" s="20" t="str">
        <f>IF($A1682="","",IFERROR(INDEX(Items!$D$5:$D$597,MATCH($A1682,Items!$A$5:$A$597,0)),0))</f>
        <v/>
      </c>
      <c r="F1682" s="21" t="str">
        <f t="shared" si="130"/>
        <v/>
      </c>
      <c r="G1682" s="25" t="str">
        <f>IF(Receipts!$I1685="","",Receipts!$I1685)</f>
        <v/>
      </c>
      <c r="H1682" s="25" t="str">
        <f>IF(Receipts!$H1685="","",Receipts!$H1685)</f>
        <v/>
      </c>
      <c r="I1682" s="26" t="str">
        <f t="shared" ca="1" si="131"/>
        <v/>
      </c>
      <c r="J1682" s="26" t="str">
        <f>IF($A1682="","",COUNTIFS(tblReceipts[Item Name],$A1682,tblReceipts[Expiry Date],"&lt;"&amp;$H1682)+COUNTIFS(tblReceipts[Item Name],$A1682,tblReceipts[Expiry Date],$H1682,tblReceipts[Lot Number],"&lt;="&amp;Receipts!$C1685))</f>
        <v/>
      </c>
      <c r="K1682" s="26" t="str">
        <f>IF($A1682="","",SUMIFS(tblReceipts[Qty Received],tblReceipts[Item Name],$A1682,tblReceipts[Expiry Date],"&lt;"&amp;$H1682)+SUMIFS(tblReceipts[Qty Received],tblReceipts[Item Name],$A1682,tblReceipts[Expiry Date],$H1682,tblReceipts[Lot Number],"&lt;"&amp;Receipts!$C1685))</f>
        <v/>
      </c>
      <c r="L1682" s="26" t="str">
        <f>IF($A1682="","",MIN($D1682,MAX(0,SUMIFS(tblIssues[Qty Issued],tblIssues[Item Name],$A1682)-$K1682)))</f>
        <v/>
      </c>
      <c r="M1682" s="26" t="str">
        <f>IF($A1682="","",SUMIFS(tblIssues[Qty Issued],tblIssues[Lot Number],$B1682))</f>
        <v/>
      </c>
      <c r="N1682" s="26" t="str">
        <f t="shared" si="132"/>
        <v/>
      </c>
      <c r="O1682" s="26" t="str">
        <f t="shared" si="133"/>
        <v/>
      </c>
      <c r="P1682" s="21" t="str">
        <f t="shared" si="134"/>
        <v/>
      </c>
      <c r="Q1682" s="52" t="str">
        <f>IF($A1682="","",IF($O1682&lt;=0,"Depleted",IF($I1682&lt;0,"EXPIRED",IF($I1682&lt;=Settings!$C$6,"CRITICAL",IF($I1682&lt;=Settings!$C$5,"Expiring","In date")))))</f>
        <v/>
      </c>
    </row>
    <row r="1683" spans="1:17" x14ac:dyDescent="0.35">
      <c r="A1683" s="90" t="str">
        <f>IF(Receipts!$D1686="","",Receipts!$D1686)</f>
        <v/>
      </c>
      <c r="B1683" s="18" t="str">
        <f>IF(Receipts!$C1686="","",Receipts!$C1686)</f>
        <v/>
      </c>
      <c r="C1683" s="18" t="str">
        <f>IF($A1683="","",IFERROR(INDEX(Items!$B$5:$B$597,MATCH($A1683,Items!$A$5:$A$597,0)),""))</f>
        <v/>
      </c>
      <c r="D1683" s="23" t="str">
        <f>IF($A1683="","",N(Receipts!$G1686))</f>
        <v/>
      </c>
      <c r="E1683" s="20" t="str">
        <f>IF($A1683="","",IFERROR(INDEX(Items!$D$5:$D$597,MATCH($A1683,Items!$A$5:$A$597,0)),0))</f>
        <v/>
      </c>
      <c r="F1683" s="21" t="str">
        <f t="shared" si="130"/>
        <v/>
      </c>
      <c r="G1683" s="25" t="str">
        <f>IF(Receipts!$I1686="","",Receipts!$I1686)</f>
        <v/>
      </c>
      <c r="H1683" s="25" t="str">
        <f>IF(Receipts!$H1686="","",Receipts!$H1686)</f>
        <v/>
      </c>
      <c r="I1683" s="26" t="str">
        <f t="shared" ca="1" si="131"/>
        <v/>
      </c>
      <c r="J1683" s="26" t="str">
        <f>IF($A1683="","",COUNTIFS(tblReceipts[Item Name],$A1683,tblReceipts[Expiry Date],"&lt;"&amp;$H1683)+COUNTIFS(tblReceipts[Item Name],$A1683,tblReceipts[Expiry Date],$H1683,tblReceipts[Lot Number],"&lt;="&amp;Receipts!$C1686))</f>
        <v/>
      </c>
      <c r="K1683" s="26" t="str">
        <f>IF($A1683="","",SUMIFS(tblReceipts[Qty Received],tblReceipts[Item Name],$A1683,tblReceipts[Expiry Date],"&lt;"&amp;$H1683)+SUMIFS(tblReceipts[Qty Received],tblReceipts[Item Name],$A1683,tblReceipts[Expiry Date],$H1683,tblReceipts[Lot Number],"&lt;"&amp;Receipts!$C1686))</f>
        <v/>
      </c>
      <c r="L1683" s="26" t="str">
        <f>IF($A1683="","",MIN($D1683,MAX(0,SUMIFS(tblIssues[Qty Issued],tblIssues[Item Name],$A1683)-$K1683)))</f>
        <v/>
      </c>
      <c r="M1683" s="26" t="str">
        <f>IF($A1683="","",SUMIFS(tblIssues[Qty Issued],tblIssues[Lot Number],$B1683))</f>
        <v/>
      </c>
      <c r="N1683" s="26" t="str">
        <f t="shared" si="132"/>
        <v/>
      </c>
      <c r="O1683" s="26" t="str">
        <f t="shared" si="133"/>
        <v/>
      </c>
      <c r="P1683" s="21" t="str">
        <f t="shared" si="134"/>
        <v/>
      </c>
      <c r="Q1683" s="52" t="str">
        <f>IF($A1683="","",IF($O1683&lt;=0,"Depleted",IF($I1683&lt;0,"EXPIRED",IF($I1683&lt;=Settings!$C$6,"CRITICAL",IF($I1683&lt;=Settings!$C$5,"Expiring","In date")))))</f>
        <v/>
      </c>
    </row>
    <row r="1684" spans="1:17" x14ac:dyDescent="0.35">
      <c r="A1684" s="90" t="str">
        <f>IF(Receipts!$D1687="","",Receipts!$D1687)</f>
        <v/>
      </c>
      <c r="B1684" s="18" t="str">
        <f>IF(Receipts!$C1687="","",Receipts!$C1687)</f>
        <v/>
      </c>
      <c r="C1684" s="18" t="str">
        <f>IF($A1684="","",IFERROR(INDEX(Items!$B$5:$B$597,MATCH($A1684,Items!$A$5:$A$597,0)),""))</f>
        <v/>
      </c>
      <c r="D1684" s="23" t="str">
        <f>IF($A1684="","",N(Receipts!$G1687))</f>
        <v/>
      </c>
      <c r="E1684" s="20" t="str">
        <f>IF($A1684="","",IFERROR(INDEX(Items!$D$5:$D$597,MATCH($A1684,Items!$A$5:$A$597,0)),0))</f>
        <v/>
      </c>
      <c r="F1684" s="21" t="str">
        <f t="shared" si="130"/>
        <v/>
      </c>
      <c r="G1684" s="25" t="str">
        <f>IF(Receipts!$I1687="","",Receipts!$I1687)</f>
        <v/>
      </c>
      <c r="H1684" s="25" t="str">
        <f>IF(Receipts!$H1687="","",Receipts!$H1687)</f>
        <v/>
      </c>
      <c r="I1684" s="26" t="str">
        <f t="shared" ca="1" si="131"/>
        <v/>
      </c>
      <c r="J1684" s="26" t="str">
        <f>IF($A1684="","",COUNTIFS(tblReceipts[Item Name],$A1684,tblReceipts[Expiry Date],"&lt;"&amp;$H1684)+COUNTIFS(tblReceipts[Item Name],$A1684,tblReceipts[Expiry Date],$H1684,tblReceipts[Lot Number],"&lt;="&amp;Receipts!$C1687))</f>
        <v/>
      </c>
      <c r="K1684" s="26" t="str">
        <f>IF($A1684="","",SUMIFS(tblReceipts[Qty Received],tblReceipts[Item Name],$A1684,tblReceipts[Expiry Date],"&lt;"&amp;$H1684)+SUMIFS(tblReceipts[Qty Received],tblReceipts[Item Name],$A1684,tblReceipts[Expiry Date],$H1684,tblReceipts[Lot Number],"&lt;"&amp;Receipts!$C1687))</f>
        <v/>
      </c>
      <c r="L1684" s="26" t="str">
        <f>IF($A1684="","",MIN($D1684,MAX(0,SUMIFS(tblIssues[Qty Issued],tblIssues[Item Name],$A1684)-$K1684)))</f>
        <v/>
      </c>
      <c r="M1684" s="26" t="str">
        <f>IF($A1684="","",SUMIFS(tblIssues[Qty Issued],tblIssues[Lot Number],$B1684))</f>
        <v/>
      </c>
      <c r="N1684" s="26" t="str">
        <f t="shared" si="132"/>
        <v/>
      </c>
      <c r="O1684" s="26" t="str">
        <f t="shared" si="133"/>
        <v/>
      </c>
      <c r="P1684" s="21" t="str">
        <f t="shared" si="134"/>
        <v/>
      </c>
      <c r="Q1684" s="52" t="str">
        <f>IF($A1684="","",IF($O1684&lt;=0,"Depleted",IF($I1684&lt;0,"EXPIRED",IF($I1684&lt;=Settings!$C$6,"CRITICAL",IF($I1684&lt;=Settings!$C$5,"Expiring","In date")))))</f>
        <v/>
      </c>
    </row>
    <row r="1685" spans="1:17" x14ac:dyDescent="0.35">
      <c r="A1685" s="90" t="str">
        <f>IF(Receipts!$D1688="","",Receipts!$D1688)</f>
        <v/>
      </c>
      <c r="B1685" s="18" t="str">
        <f>IF(Receipts!$C1688="","",Receipts!$C1688)</f>
        <v/>
      </c>
      <c r="C1685" s="18" t="str">
        <f>IF($A1685="","",IFERROR(INDEX(Items!$B$5:$B$597,MATCH($A1685,Items!$A$5:$A$597,0)),""))</f>
        <v/>
      </c>
      <c r="D1685" s="23" t="str">
        <f>IF($A1685="","",N(Receipts!$G1688))</f>
        <v/>
      </c>
      <c r="E1685" s="20" t="str">
        <f>IF($A1685="","",IFERROR(INDEX(Items!$D$5:$D$597,MATCH($A1685,Items!$A$5:$A$597,0)),0))</f>
        <v/>
      </c>
      <c r="F1685" s="21" t="str">
        <f t="shared" si="130"/>
        <v/>
      </c>
      <c r="G1685" s="25" t="str">
        <f>IF(Receipts!$I1688="","",Receipts!$I1688)</f>
        <v/>
      </c>
      <c r="H1685" s="25" t="str">
        <f>IF(Receipts!$H1688="","",Receipts!$H1688)</f>
        <v/>
      </c>
      <c r="I1685" s="26" t="str">
        <f t="shared" ca="1" si="131"/>
        <v/>
      </c>
      <c r="J1685" s="26" t="str">
        <f>IF($A1685="","",COUNTIFS(tblReceipts[Item Name],$A1685,tblReceipts[Expiry Date],"&lt;"&amp;$H1685)+COUNTIFS(tblReceipts[Item Name],$A1685,tblReceipts[Expiry Date],$H1685,tblReceipts[Lot Number],"&lt;="&amp;Receipts!$C1688))</f>
        <v/>
      </c>
      <c r="K1685" s="26" t="str">
        <f>IF($A1685="","",SUMIFS(tblReceipts[Qty Received],tblReceipts[Item Name],$A1685,tblReceipts[Expiry Date],"&lt;"&amp;$H1685)+SUMIFS(tblReceipts[Qty Received],tblReceipts[Item Name],$A1685,tblReceipts[Expiry Date],$H1685,tblReceipts[Lot Number],"&lt;"&amp;Receipts!$C1688))</f>
        <v/>
      </c>
      <c r="L1685" s="26" t="str">
        <f>IF($A1685="","",MIN($D1685,MAX(0,SUMIFS(tblIssues[Qty Issued],tblIssues[Item Name],$A1685)-$K1685)))</f>
        <v/>
      </c>
      <c r="M1685" s="26" t="str">
        <f>IF($A1685="","",SUMIFS(tblIssues[Qty Issued],tblIssues[Lot Number],$B1685))</f>
        <v/>
      </c>
      <c r="N1685" s="26" t="str">
        <f t="shared" si="132"/>
        <v/>
      </c>
      <c r="O1685" s="26" t="str">
        <f t="shared" si="133"/>
        <v/>
      </c>
      <c r="P1685" s="21" t="str">
        <f t="shared" si="134"/>
        <v/>
      </c>
      <c r="Q1685" s="52" t="str">
        <f>IF($A1685="","",IF($O1685&lt;=0,"Depleted",IF($I1685&lt;0,"EXPIRED",IF($I1685&lt;=Settings!$C$6,"CRITICAL",IF($I1685&lt;=Settings!$C$5,"Expiring","In date")))))</f>
        <v/>
      </c>
    </row>
    <row r="1686" spans="1:17" x14ac:dyDescent="0.35">
      <c r="A1686" s="90" t="str">
        <f>IF(Receipts!$D1689="","",Receipts!$D1689)</f>
        <v/>
      </c>
      <c r="B1686" s="18" t="str">
        <f>IF(Receipts!$C1689="","",Receipts!$C1689)</f>
        <v/>
      </c>
      <c r="C1686" s="18" t="str">
        <f>IF($A1686="","",IFERROR(INDEX(Items!$B$5:$B$597,MATCH($A1686,Items!$A$5:$A$597,0)),""))</f>
        <v/>
      </c>
      <c r="D1686" s="23" t="str">
        <f>IF($A1686="","",N(Receipts!$G1689))</f>
        <v/>
      </c>
      <c r="E1686" s="20" t="str">
        <f>IF($A1686="","",IFERROR(INDEX(Items!$D$5:$D$597,MATCH($A1686,Items!$A$5:$A$597,0)),0))</f>
        <v/>
      </c>
      <c r="F1686" s="21" t="str">
        <f t="shared" si="130"/>
        <v/>
      </c>
      <c r="G1686" s="25" t="str">
        <f>IF(Receipts!$I1689="","",Receipts!$I1689)</f>
        <v/>
      </c>
      <c r="H1686" s="25" t="str">
        <f>IF(Receipts!$H1689="","",Receipts!$H1689)</f>
        <v/>
      </c>
      <c r="I1686" s="26" t="str">
        <f t="shared" ca="1" si="131"/>
        <v/>
      </c>
      <c r="J1686" s="26" t="str">
        <f>IF($A1686="","",COUNTIFS(tblReceipts[Item Name],$A1686,tblReceipts[Expiry Date],"&lt;"&amp;$H1686)+COUNTIFS(tblReceipts[Item Name],$A1686,tblReceipts[Expiry Date],$H1686,tblReceipts[Lot Number],"&lt;="&amp;Receipts!$C1689))</f>
        <v/>
      </c>
      <c r="K1686" s="26" t="str">
        <f>IF($A1686="","",SUMIFS(tblReceipts[Qty Received],tblReceipts[Item Name],$A1686,tblReceipts[Expiry Date],"&lt;"&amp;$H1686)+SUMIFS(tblReceipts[Qty Received],tblReceipts[Item Name],$A1686,tblReceipts[Expiry Date],$H1686,tblReceipts[Lot Number],"&lt;"&amp;Receipts!$C1689))</f>
        <v/>
      </c>
      <c r="L1686" s="26" t="str">
        <f>IF($A1686="","",MIN($D1686,MAX(0,SUMIFS(tblIssues[Qty Issued],tblIssues[Item Name],$A1686)-$K1686)))</f>
        <v/>
      </c>
      <c r="M1686" s="26" t="str">
        <f>IF($A1686="","",SUMIFS(tblIssues[Qty Issued],tblIssues[Lot Number],$B1686))</f>
        <v/>
      </c>
      <c r="N1686" s="26" t="str">
        <f t="shared" si="132"/>
        <v/>
      </c>
      <c r="O1686" s="26" t="str">
        <f t="shared" si="133"/>
        <v/>
      </c>
      <c r="P1686" s="21" t="str">
        <f t="shared" si="134"/>
        <v/>
      </c>
      <c r="Q1686" s="52" t="str">
        <f>IF($A1686="","",IF($O1686&lt;=0,"Depleted",IF($I1686&lt;0,"EXPIRED",IF($I1686&lt;=Settings!$C$6,"CRITICAL",IF($I1686&lt;=Settings!$C$5,"Expiring","In date")))))</f>
        <v/>
      </c>
    </row>
    <row r="1687" spans="1:17" x14ac:dyDescent="0.35">
      <c r="A1687" s="90" t="str">
        <f>IF(Receipts!$D1690="","",Receipts!$D1690)</f>
        <v/>
      </c>
      <c r="B1687" s="18" t="str">
        <f>IF(Receipts!$C1690="","",Receipts!$C1690)</f>
        <v/>
      </c>
      <c r="C1687" s="18" t="str">
        <f>IF($A1687="","",IFERROR(INDEX(Items!$B$5:$B$597,MATCH($A1687,Items!$A$5:$A$597,0)),""))</f>
        <v/>
      </c>
      <c r="D1687" s="23" t="str">
        <f>IF($A1687="","",N(Receipts!$G1690))</f>
        <v/>
      </c>
      <c r="E1687" s="20" t="str">
        <f>IF($A1687="","",IFERROR(INDEX(Items!$D$5:$D$597,MATCH($A1687,Items!$A$5:$A$597,0)),0))</f>
        <v/>
      </c>
      <c r="F1687" s="21" t="str">
        <f t="shared" si="130"/>
        <v/>
      </c>
      <c r="G1687" s="25" t="str">
        <f>IF(Receipts!$I1690="","",Receipts!$I1690)</f>
        <v/>
      </c>
      <c r="H1687" s="25" t="str">
        <f>IF(Receipts!$H1690="","",Receipts!$H1690)</f>
        <v/>
      </c>
      <c r="I1687" s="26" t="str">
        <f t="shared" ca="1" si="131"/>
        <v/>
      </c>
      <c r="J1687" s="26" t="str">
        <f>IF($A1687="","",COUNTIFS(tblReceipts[Item Name],$A1687,tblReceipts[Expiry Date],"&lt;"&amp;$H1687)+COUNTIFS(tblReceipts[Item Name],$A1687,tblReceipts[Expiry Date],$H1687,tblReceipts[Lot Number],"&lt;="&amp;Receipts!$C1690))</f>
        <v/>
      </c>
      <c r="K1687" s="26" t="str">
        <f>IF($A1687="","",SUMIFS(tblReceipts[Qty Received],tblReceipts[Item Name],$A1687,tblReceipts[Expiry Date],"&lt;"&amp;$H1687)+SUMIFS(tblReceipts[Qty Received],tblReceipts[Item Name],$A1687,tblReceipts[Expiry Date],$H1687,tblReceipts[Lot Number],"&lt;"&amp;Receipts!$C1690))</f>
        <v/>
      </c>
      <c r="L1687" s="26" t="str">
        <f>IF($A1687="","",MIN($D1687,MAX(0,SUMIFS(tblIssues[Qty Issued],tblIssues[Item Name],$A1687)-$K1687)))</f>
        <v/>
      </c>
      <c r="M1687" s="26" t="str">
        <f>IF($A1687="","",SUMIFS(tblIssues[Qty Issued],tblIssues[Lot Number],$B1687))</f>
        <v/>
      </c>
      <c r="N1687" s="26" t="str">
        <f t="shared" si="132"/>
        <v/>
      </c>
      <c r="O1687" s="26" t="str">
        <f t="shared" si="133"/>
        <v/>
      </c>
      <c r="P1687" s="21" t="str">
        <f t="shared" si="134"/>
        <v/>
      </c>
      <c r="Q1687" s="52" t="str">
        <f>IF($A1687="","",IF($O1687&lt;=0,"Depleted",IF($I1687&lt;0,"EXPIRED",IF($I1687&lt;=Settings!$C$6,"CRITICAL",IF($I1687&lt;=Settings!$C$5,"Expiring","In date")))))</f>
        <v/>
      </c>
    </row>
    <row r="1688" spans="1:17" x14ac:dyDescent="0.35">
      <c r="A1688" s="90" t="str">
        <f>IF(Receipts!$D1691="","",Receipts!$D1691)</f>
        <v/>
      </c>
      <c r="B1688" s="18" t="str">
        <f>IF(Receipts!$C1691="","",Receipts!$C1691)</f>
        <v/>
      </c>
      <c r="C1688" s="18" t="str">
        <f>IF($A1688="","",IFERROR(INDEX(Items!$B$5:$B$597,MATCH($A1688,Items!$A$5:$A$597,0)),""))</f>
        <v/>
      </c>
      <c r="D1688" s="23" t="str">
        <f>IF($A1688="","",N(Receipts!$G1691))</f>
        <v/>
      </c>
      <c r="E1688" s="20" t="str">
        <f>IF($A1688="","",IFERROR(INDEX(Items!$D$5:$D$597,MATCH($A1688,Items!$A$5:$A$597,0)),0))</f>
        <v/>
      </c>
      <c r="F1688" s="21" t="str">
        <f t="shared" si="130"/>
        <v/>
      </c>
      <c r="G1688" s="25" t="str">
        <f>IF(Receipts!$I1691="","",Receipts!$I1691)</f>
        <v/>
      </c>
      <c r="H1688" s="25" t="str">
        <f>IF(Receipts!$H1691="","",Receipts!$H1691)</f>
        <v/>
      </c>
      <c r="I1688" s="26" t="str">
        <f t="shared" ca="1" si="131"/>
        <v/>
      </c>
      <c r="J1688" s="26" t="str">
        <f>IF($A1688="","",COUNTIFS(tblReceipts[Item Name],$A1688,tblReceipts[Expiry Date],"&lt;"&amp;$H1688)+COUNTIFS(tblReceipts[Item Name],$A1688,tblReceipts[Expiry Date],$H1688,tblReceipts[Lot Number],"&lt;="&amp;Receipts!$C1691))</f>
        <v/>
      </c>
      <c r="K1688" s="26" t="str">
        <f>IF($A1688="","",SUMIFS(tblReceipts[Qty Received],tblReceipts[Item Name],$A1688,tblReceipts[Expiry Date],"&lt;"&amp;$H1688)+SUMIFS(tblReceipts[Qty Received],tblReceipts[Item Name],$A1688,tblReceipts[Expiry Date],$H1688,tblReceipts[Lot Number],"&lt;"&amp;Receipts!$C1691))</f>
        <v/>
      </c>
      <c r="L1688" s="26" t="str">
        <f>IF($A1688="","",MIN($D1688,MAX(0,SUMIFS(tblIssues[Qty Issued],tblIssues[Item Name],$A1688)-$K1688)))</f>
        <v/>
      </c>
      <c r="M1688" s="26" t="str">
        <f>IF($A1688="","",SUMIFS(tblIssues[Qty Issued],tblIssues[Lot Number],$B1688))</f>
        <v/>
      </c>
      <c r="N1688" s="26" t="str">
        <f t="shared" si="132"/>
        <v/>
      </c>
      <c r="O1688" s="26" t="str">
        <f t="shared" si="133"/>
        <v/>
      </c>
      <c r="P1688" s="21" t="str">
        <f t="shared" si="134"/>
        <v/>
      </c>
      <c r="Q1688" s="52" t="str">
        <f>IF($A1688="","",IF($O1688&lt;=0,"Depleted",IF($I1688&lt;0,"EXPIRED",IF($I1688&lt;=Settings!$C$6,"CRITICAL",IF($I1688&lt;=Settings!$C$5,"Expiring","In date")))))</f>
        <v/>
      </c>
    </row>
    <row r="1689" spans="1:17" x14ac:dyDescent="0.35">
      <c r="A1689" s="90" t="str">
        <f>IF(Receipts!$D1692="","",Receipts!$D1692)</f>
        <v/>
      </c>
      <c r="B1689" s="18" t="str">
        <f>IF(Receipts!$C1692="","",Receipts!$C1692)</f>
        <v/>
      </c>
      <c r="C1689" s="18" t="str">
        <f>IF($A1689="","",IFERROR(INDEX(Items!$B$5:$B$597,MATCH($A1689,Items!$A$5:$A$597,0)),""))</f>
        <v/>
      </c>
      <c r="D1689" s="23" t="str">
        <f>IF($A1689="","",N(Receipts!$G1692))</f>
        <v/>
      </c>
      <c r="E1689" s="20" t="str">
        <f>IF($A1689="","",IFERROR(INDEX(Items!$D$5:$D$597,MATCH($A1689,Items!$A$5:$A$597,0)),0))</f>
        <v/>
      </c>
      <c r="F1689" s="21" t="str">
        <f t="shared" si="130"/>
        <v/>
      </c>
      <c r="G1689" s="25" t="str">
        <f>IF(Receipts!$I1692="","",Receipts!$I1692)</f>
        <v/>
      </c>
      <c r="H1689" s="25" t="str">
        <f>IF(Receipts!$H1692="","",Receipts!$H1692)</f>
        <v/>
      </c>
      <c r="I1689" s="26" t="str">
        <f t="shared" ca="1" si="131"/>
        <v/>
      </c>
      <c r="J1689" s="26" t="str">
        <f>IF($A1689="","",COUNTIFS(tblReceipts[Item Name],$A1689,tblReceipts[Expiry Date],"&lt;"&amp;$H1689)+COUNTIFS(tblReceipts[Item Name],$A1689,tblReceipts[Expiry Date],$H1689,tblReceipts[Lot Number],"&lt;="&amp;Receipts!$C1692))</f>
        <v/>
      </c>
      <c r="K1689" s="26" t="str">
        <f>IF($A1689="","",SUMIFS(tblReceipts[Qty Received],tblReceipts[Item Name],$A1689,tblReceipts[Expiry Date],"&lt;"&amp;$H1689)+SUMIFS(tblReceipts[Qty Received],tblReceipts[Item Name],$A1689,tblReceipts[Expiry Date],$H1689,tblReceipts[Lot Number],"&lt;"&amp;Receipts!$C1692))</f>
        <v/>
      </c>
      <c r="L1689" s="26" t="str">
        <f>IF($A1689="","",MIN($D1689,MAX(0,SUMIFS(tblIssues[Qty Issued],tblIssues[Item Name],$A1689)-$K1689)))</f>
        <v/>
      </c>
      <c r="M1689" s="26" t="str">
        <f>IF($A1689="","",SUMIFS(tblIssues[Qty Issued],tblIssues[Lot Number],$B1689))</f>
        <v/>
      </c>
      <c r="N1689" s="26" t="str">
        <f t="shared" si="132"/>
        <v/>
      </c>
      <c r="O1689" s="26" t="str">
        <f t="shared" si="133"/>
        <v/>
      </c>
      <c r="P1689" s="21" t="str">
        <f t="shared" si="134"/>
        <v/>
      </c>
      <c r="Q1689" s="52" t="str">
        <f>IF($A1689="","",IF($O1689&lt;=0,"Depleted",IF($I1689&lt;0,"EXPIRED",IF($I1689&lt;=Settings!$C$6,"CRITICAL",IF($I1689&lt;=Settings!$C$5,"Expiring","In date")))))</f>
        <v/>
      </c>
    </row>
    <row r="1690" spans="1:17" x14ac:dyDescent="0.35">
      <c r="A1690" s="90" t="str">
        <f>IF(Receipts!$D1693="","",Receipts!$D1693)</f>
        <v/>
      </c>
      <c r="B1690" s="18" t="str">
        <f>IF(Receipts!$C1693="","",Receipts!$C1693)</f>
        <v/>
      </c>
      <c r="C1690" s="18" t="str">
        <f>IF($A1690="","",IFERROR(INDEX(Items!$B$5:$B$597,MATCH($A1690,Items!$A$5:$A$597,0)),""))</f>
        <v/>
      </c>
      <c r="D1690" s="23" t="str">
        <f>IF($A1690="","",N(Receipts!$G1693))</f>
        <v/>
      </c>
      <c r="E1690" s="20" t="str">
        <f>IF($A1690="","",IFERROR(INDEX(Items!$D$5:$D$597,MATCH($A1690,Items!$A$5:$A$597,0)),0))</f>
        <v/>
      </c>
      <c r="F1690" s="21" t="str">
        <f t="shared" si="130"/>
        <v/>
      </c>
      <c r="G1690" s="25" t="str">
        <f>IF(Receipts!$I1693="","",Receipts!$I1693)</f>
        <v/>
      </c>
      <c r="H1690" s="25" t="str">
        <f>IF(Receipts!$H1693="","",Receipts!$H1693)</f>
        <v/>
      </c>
      <c r="I1690" s="26" t="str">
        <f t="shared" ca="1" si="131"/>
        <v/>
      </c>
      <c r="J1690" s="26" t="str">
        <f>IF($A1690="","",COUNTIFS(tblReceipts[Item Name],$A1690,tblReceipts[Expiry Date],"&lt;"&amp;$H1690)+COUNTIFS(tblReceipts[Item Name],$A1690,tblReceipts[Expiry Date],$H1690,tblReceipts[Lot Number],"&lt;="&amp;Receipts!$C1693))</f>
        <v/>
      </c>
      <c r="K1690" s="26" t="str">
        <f>IF($A1690="","",SUMIFS(tblReceipts[Qty Received],tblReceipts[Item Name],$A1690,tblReceipts[Expiry Date],"&lt;"&amp;$H1690)+SUMIFS(tblReceipts[Qty Received],tblReceipts[Item Name],$A1690,tblReceipts[Expiry Date],$H1690,tblReceipts[Lot Number],"&lt;"&amp;Receipts!$C1693))</f>
        <v/>
      </c>
      <c r="L1690" s="26" t="str">
        <f>IF($A1690="","",MIN($D1690,MAX(0,SUMIFS(tblIssues[Qty Issued],tblIssues[Item Name],$A1690)-$K1690)))</f>
        <v/>
      </c>
      <c r="M1690" s="26" t="str">
        <f>IF($A1690="","",SUMIFS(tblIssues[Qty Issued],tblIssues[Lot Number],$B1690))</f>
        <v/>
      </c>
      <c r="N1690" s="26" t="str">
        <f t="shared" si="132"/>
        <v/>
      </c>
      <c r="O1690" s="26" t="str">
        <f t="shared" si="133"/>
        <v/>
      </c>
      <c r="P1690" s="21" t="str">
        <f t="shared" si="134"/>
        <v/>
      </c>
      <c r="Q1690" s="52" t="str">
        <f>IF($A1690="","",IF($O1690&lt;=0,"Depleted",IF($I1690&lt;0,"EXPIRED",IF($I1690&lt;=Settings!$C$6,"CRITICAL",IF($I1690&lt;=Settings!$C$5,"Expiring","In date")))))</f>
        <v/>
      </c>
    </row>
    <row r="1691" spans="1:17" x14ac:dyDescent="0.35">
      <c r="A1691" s="90" t="str">
        <f>IF(Receipts!$D1694="","",Receipts!$D1694)</f>
        <v/>
      </c>
      <c r="B1691" s="18" t="str">
        <f>IF(Receipts!$C1694="","",Receipts!$C1694)</f>
        <v/>
      </c>
      <c r="C1691" s="18" t="str">
        <f>IF($A1691="","",IFERROR(INDEX(Items!$B$5:$B$597,MATCH($A1691,Items!$A$5:$A$597,0)),""))</f>
        <v/>
      </c>
      <c r="D1691" s="23" t="str">
        <f>IF($A1691="","",N(Receipts!$G1694))</f>
        <v/>
      </c>
      <c r="E1691" s="20" t="str">
        <f>IF($A1691="","",IFERROR(INDEX(Items!$D$5:$D$597,MATCH($A1691,Items!$A$5:$A$597,0)),0))</f>
        <v/>
      </c>
      <c r="F1691" s="21" t="str">
        <f t="shared" si="130"/>
        <v/>
      </c>
      <c r="G1691" s="25" t="str">
        <f>IF(Receipts!$I1694="","",Receipts!$I1694)</f>
        <v/>
      </c>
      <c r="H1691" s="25" t="str">
        <f>IF(Receipts!$H1694="","",Receipts!$H1694)</f>
        <v/>
      </c>
      <c r="I1691" s="26" t="str">
        <f t="shared" ca="1" si="131"/>
        <v/>
      </c>
      <c r="J1691" s="26" t="str">
        <f>IF($A1691="","",COUNTIFS(tblReceipts[Item Name],$A1691,tblReceipts[Expiry Date],"&lt;"&amp;$H1691)+COUNTIFS(tblReceipts[Item Name],$A1691,tblReceipts[Expiry Date],$H1691,tblReceipts[Lot Number],"&lt;="&amp;Receipts!$C1694))</f>
        <v/>
      </c>
      <c r="K1691" s="26" t="str">
        <f>IF($A1691="","",SUMIFS(tblReceipts[Qty Received],tblReceipts[Item Name],$A1691,tblReceipts[Expiry Date],"&lt;"&amp;$H1691)+SUMIFS(tblReceipts[Qty Received],tblReceipts[Item Name],$A1691,tblReceipts[Expiry Date],$H1691,tblReceipts[Lot Number],"&lt;"&amp;Receipts!$C1694))</f>
        <v/>
      </c>
      <c r="L1691" s="26" t="str">
        <f>IF($A1691="","",MIN($D1691,MAX(0,SUMIFS(tblIssues[Qty Issued],tblIssues[Item Name],$A1691)-$K1691)))</f>
        <v/>
      </c>
      <c r="M1691" s="26" t="str">
        <f>IF($A1691="","",SUMIFS(tblIssues[Qty Issued],tblIssues[Lot Number],$B1691))</f>
        <v/>
      </c>
      <c r="N1691" s="26" t="str">
        <f t="shared" si="132"/>
        <v/>
      </c>
      <c r="O1691" s="26" t="str">
        <f t="shared" si="133"/>
        <v/>
      </c>
      <c r="P1691" s="21" t="str">
        <f t="shared" si="134"/>
        <v/>
      </c>
      <c r="Q1691" s="52" t="str">
        <f>IF($A1691="","",IF($O1691&lt;=0,"Depleted",IF($I1691&lt;0,"EXPIRED",IF($I1691&lt;=Settings!$C$6,"CRITICAL",IF($I1691&lt;=Settings!$C$5,"Expiring","In date")))))</f>
        <v/>
      </c>
    </row>
    <row r="1692" spans="1:17" x14ac:dyDescent="0.35">
      <c r="A1692" s="90" t="str">
        <f>IF(Receipts!$D1695="","",Receipts!$D1695)</f>
        <v/>
      </c>
      <c r="B1692" s="18" t="str">
        <f>IF(Receipts!$C1695="","",Receipts!$C1695)</f>
        <v/>
      </c>
      <c r="C1692" s="18" t="str">
        <f>IF($A1692="","",IFERROR(INDEX(Items!$B$5:$B$597,MATCH($A1692,Items!$A$5:$A$597,0)),""))</f>
        <v/>
      </c>
      <c r="D1692" s="23" t="str">
        <f>IF($A1692="","",N(Receipts!$G1695))</f>
        <v/>
      </c>
      <c r="E1692" s="20" t="str">
        <f>IF($A1692="","",IFERROR(INDEX(Items!$D$5:$D$597,MATCH($A1692,Items!$A$5:$A$597,0)),0))</f>
        <v/>
      </c>
      <c r="F1692" s="21" t="str">
        <f t="shared" si="130"/>
        <v/>
      </c>
      <c r="G1692" s="25" t="str">
        <f>IF(Receipts!$I1695="","",Receipts!$I1695)</f>
        <v/>
      </c>
      <c r="H1692" s="25" t="str">
        <f>IF(Receipts!$H1695="","",Receipts!$H1695)</f>
        <v/>
      </c>
      <c r="I1692" s="26" t="str">
        <f t="shared" ca="1" si="131"/>
        <v/>
      </c>
      <c r="J1692" s="26" t="str">
        <f>IF($A1692="","",COUNTIFS(tblReceipts[Item Name],$A1692,tblReceipts[Expiry Date],"&lt;"&amp;$H1692)+COUNTIFS(tblReceipts[Item Name],$A1692,tblReceipts[Expiry Date],$H1692,tblReceipts[Lot Number],"&lt;="&amp;Receipts!$C1695))</f>
        <v/>
      </c>
      <c r="K1692" s="26" t="str">
        <f>IF($A1692="","",SUMIFS(tblReceipts[Qty Received],tblReceipts[Item Name],$A1692,tblReceipts[Expiry Date],"&lt;"&amp;$H1692)+SUMIFS(tblReceipts[Qty Received],tblReceipts[Item Name],$A1692,tblReceipts[Expiry Date],$H1692,tblReceipts[Lot Number],"&lt;"&amp;Receipts!$C1695))</f>
        <v/>
      </c>
      <c r="L1692" s="26" t="str">
        <f>IF($A1692="","",MIN($D1692,MAX(0,SUMIFS(tblIssues[Qty Issued],tblIssues[Item Name],$A1692)-$K1692)))</f>
        <v/>
      </c>
      <c r="M1692" s="26" t="str">
        <f>IF($A1692="","",SUMIFS(tblIssues[Qty Issued],tblIssues[Lot Number],$B1692))</f>
        <v/>
      </c>
      <c r="N1692" s="26" t="str">
        <f t="shared" si="132"/>
        <v/>
      </c>
      <c r="O1692" s="26" t="str">
        <f t="shared" si="133"/>
        <v/>
      </c>
      <c r="P1692" s="21" t="str">
        <f t="shared" si="134"/>
        <v/>
      </c>
      <c r="Q1692" s="52" t="str">
        <f>IF($A1692="","",IF($O1692&lt;=0,"Depleted",IF($I1692&lt;0,"EXPIRED",IF($I1692&lt;=Settings!$C$6,"CRITICAL",IF($I1692&lt;=Settings!$C$5,"Expiring","In date")))))</f>
        <v/>
      </c>
    </row>
    <row r="1693" spans="1:17" x14ac:dyDescent="0.35">
      <c r="A1693" s="90" t="str">
        <f>IF(Receipts!$D1696="","",Receipts!$D1696)</f>
        <v/>
      </c>
      <c r="B1693" s="18" t="str">
        <f>IF(Receipts!$C1696="","",Receipts!$C1696)</f>
        <v/>
      </c>
      <c r="C1693" s="18" t="str">
        <f>IF($A1693="","",IFERROR(INDEX(Items!$B$5:$B$597,MATCH($A1693,Items!$A$5:$A$597,0)),""))</f>
        <v/>
      </c>
      <c r="D1693" s="23" t="str">
        <f>IF($A1693="","",N(Receipts!$G1696))</f>
        <v/>
      </c>
      <c r="E1693" s="20" t="str">
        <f>IF($A1693="","",IFERROR(INDEX(Items!$D$5:$D$597,MATCH($A1693,Items!$A$5:$A$597,0)),0))</f>
        <v/>
      </c>
      <c r="F1693" s="21" t="str">
        <f t="shared" si="130"/>
        <v/>
      </c>
      <c r="G1693" s="25" t="str">
        <f>IF(Receipts!$I1696="","",Receipts!$I1696)</f>
        <v/>
      </c>
      <c r="H1693" s="25" t="str">
        <f>IF(Receipts!$H1696="","",Receipts!$H1696)</f>
        <v/>
      </c>
      <c r="I1693" s="26" t="str">
        <f t="shared" ca="1" si="131"/>
        <v/>
      </c>
      <c r="J1693" s="26" t="str">
        <f>IF($A1693="","",COUNTIFS(tblReceipts[Item Name],$A1693,tblReceipts[Expiry Date],"&lt;"&amp;$H1693)+COUNTIFS(tblReceipts[Item Name],$A1693,tblReceipts[Expiry Date],$H1693,tblReceipts[Lot Number],"&lt;="&amp;Receipts!$C1696))</f>
        <v/>
      </c>
      <c r="K1693" s="26" t="str">
        <f>IF($A1693="","",SUMIFS(tblReceipts[Qty Received],tblReceipts[Item Name],$A1693,tblReceipts[Expiry Date],"&lt;"&amp;$H1693)+SUMIFS(tblReceipts[Qty Received],tblReceipts[Item Name],$A1693,tblReceipts[Expiry Date],$H1693,tblReceipts[Lot Number],"&lt;"&amp;Receipts!$C1696))</f>
        <v/>
      </c>
      <c r="L1693" s="26" t="str">
        <f>IF($A1693="","",MIN($D1693,MAX(0,SUMIFS(tblIssues[Qty Issued],tblIssues[Item Name],$A1693)-$K1693)))</f>
        <v/>
      </c>
      <c r="M1693" s="26" t="str">
        <f>IF($A1693="","",SUMIFS(tblIssues[Qty Issued],tblIssues[Lot Number],$B1693))</f>
        <v/>
      </c>
      <c r="N1693" s="26" t="str">
        <f t="shared" si="132"/>
        <v/>
      </c>
      <c r="O1693" s="26" t="str">
        <f t="shared" si="133"/>
        <v/>
      </c>
      <c r="P1693" s="21" t="str">
        <f t="shared" si="134"/>
        <v/>
      </c>
      <c r="Q1693" s="52" t="str">
        <f>IF($A1693="","",IF($O1693&lt;=0,"Depleted",IF($I1693&lt;0,"EXPIRED",IF($I1693&lt;=Settings!$C$6,"CRITICAL",IF($I1693&lt;=Settings!$C$5,"Expiring","In date")))))</f>
        <v/>
      </c>
    </row>
    <row r="1694" spans="1:17" x14ac:dyDescent="0.35">
      <c r="A1694" s="90" t="str">
        <f>IF(Receipts!$D1697="","",Receipts!$D1697)</f>
        <v/>
      </c>
      <c r="B1694" s="18" t="str">
        <f>IF(Receipts!$C1697="","",Receipts!$C1697)</f>
        <v/>
      </c>
      <c r="C1694" s="18" t="str">
        <f>IF($A1694="","",IFERROR(INDEX(Items!$B$5:$B$597,MATCH($A1694,Items!$A$5:$A$597,0)),""))</f>
        <v/>
      </c>
      <c r="D1694" s="23" t="str">
        <f>IF($A1694="","",N(Receipts!$G1697))</f>
        <v/>
      </c>
      <c r="E1694" s="20" t="str">
        <f>IF($A1694="","",IFERROR(INDEX(Items!$D$5:$D$597,MATCH($A1694,Items!$A$5:$A$597,0)),0))</f>
        <v/>
      </c>
      <c r="F1694" s="21" t="str">
        <f t="shared" si="130"/>
        <v/>
      </c>
      <c r="G1694" s="25" t="str">
        <f>IF(Receipts!$I1697="","",Receipts!$I1697)</f>
        <v/>
      </c>
      <c r="H1694" s="25" t="str">
        <f>IF(Receipts!$H1697="","",Receipts!$H1697)</f>
        <v/>
      </c>
      <c r="I1694" s="26" t="str">
        <f t="shared" ca="1" si="131"/>
        <v/>
      </c>
      <c r="J1694" s="26" t="str">
        <f>IF($A1694="","",COUNTIFS(tblReceipts[Item Name],$A1694,tblReceipts[Expiry Date],"&lt;"&amp;$H1694)+COUNTIFS(tblReceipts[Item Name],$A1694,tblReceipts[Expiry Date],$H1694,tblReceipts[Lot Number],"&lt;="&amp;Receipts!$C1697))</f>
        <v/>
      </c>
      <c r="K1694" s="26" t="str">
        <f>IF($A1694="","",SUMIFS(tblReceipts[Qty Received],tblReceipts[Item Name],$A1694,tblReceipts[Expiry Date],"&lt;"&amp;$H1694)+SUMIFS(tblReceipts[Qty Received],tblReceipts[Item Name],$A1694,tblReceipts[Expiry Date],$H1694,tblReceipts[Lot Number],"&lt;"&amp;Receipts!$C1697))</f>
        <v/>
      </c>
      <c r="L1694" s="26" t="str">
        <f>IF($A1694="","",MIN($D1694,MAX(0,SUMIFS(tblIssues[Qty Issued],tblIssues[Item Name],$A1694)-$K1694)))</f>
        <v/>
      </c>
      <c r="M1694" s="26" t="str">
        <f>IF($A1694="","",SUMIFS(tblIssues[Qty Issued],tblIssues[Lot Number],$B1694))</f>
        <v/>
      </c>
      <c r="N1694" s="26" t="str">
        <f t="shared" si="132"/>
        <v/>
      </c>
      <c r="O1694" s="26" t="str">
        <f t="shared" si="133"/>
        <v/>
      </c>
      <c r="P1694" s="21" t="str">
        <f t="shared" si="134"/>
        <v/>
      </c>
      <c r="Q1694" s="52" t="str">
        <f>IF($A1694="","",IF($O1694&lt;=0,"Depleted",IF($I1694&lt;0,"EXPIRED",IF($I1694&lt;=Settings!$C$6,"CRITICAL",IF($I1694&lt;=Settings!$C$5,"Expiring","In date")))))</f>
        <v/>
      </c>
    </row>
    <row r="1695" spans="1:17" x14ac:dyDescent="0.35">
      <c r="A1695" s="90" t="str">
        <f>IF(Receipts!$D1698="","",Receipts!$D1698)</f>
        <v/>
      </c>
      <c r="B1695" s="18" t="str">
        <f>IF(Receipts!$C1698="","",Receipts!$C1698)</f>
        <v/>
      </c>
      <c r="C1695" s="18" t="str">
        <f>IF($A1695="","",IFERROR(INDEX(Items!$B$5:$B$597,MATCH($A1695,Items!$A$5:$A$597,0)),""))</f>
        <v/>
      </c>
      <c r="D1695" s="23" t="str">
        <f>IF($A1695="","",N(Receipts!$G1698))</f>
        <v/>
      </c>
      <c r="E1695" s="20" t="str">
        <f>IF($A1695="","",IFERROR(INDEX(Items!$D$5:$D$597,MATCH($A1695,Items!$A$5:$A$597,0)),0))</f>
        <v/>
      </c>
      <c r="F1695" s="21" t="str">
        <f t="shared" si="130"/>
        <v/>
      </c>
      <c r="G1695" s="25" t="str">
        <f>IF(Receipts!$I1698="","",Receipts!$I1698)</f>
        <v/>
      </c>
      <c r="H1695" s="25" t="str">
        <f>IF(Receipts!$H1698="","",Receipts!$H1698)</f>
        <v/>
      </c>
      <c r="I1695" s="26" t="str">
        <f t="shared" ca="1" si="131"/>
        <v/>
      </c>
      <c r="J1695" s="26" t="str">
        <f>IF($A1695="","",COUNTIFS(tblReceipts[Item Name],$A1695,tblReceipts[Expiry Date],"&lt;"&amp;$H1695)+COUNTIFS(tblReceipts[Item Name],$A1695,tblReceipts[Expiry Date],$H1695,tblReceipts[Lot Number],"&lt;="&amp;Receipts!$C1698))</f>
        <v/>
      </c>
      <c r="K1695" s="26" t="str">
        <f>IF($A1695="","",SUMIFS(tblReceipts[Qty Received],tblReceipts[Item Name],$A1695,tblReceipts[Expiry Date],"&lt;"&amp;$H1695)+SUMIFS(tblReceipts[Qty Received],tblReceipts[Item Name],$A1695,tblReceipts[Expiry Date],$H1695,tblReceipts[Lot Number],"&lt;"&amp;Receipts!$C1698))</f>
        <v/>
      </c>
      <c r="L1695" s="26" t="str">
        <f>IF($A1695="","",MIN($D1695,MAX(0,SUMIFS(tblIssues[Qty Issued],tblIssues[Item Name],$A1695)-$K1695)))</f>
        <v/>
      </c>
      <c r="M1695" s="26" t="str">
        <f>IF($A1695="","",SUMIFS(tblIssues[Qty Issued],tblIssues[Lot Number],$B1695))</f>
        <v/>
      </c>
      <c r="N1695" s="26" t="str">
        <f t="shared" si="132"/>
        <v/>
      </c>
      <c r="O1695" s="26" t="str">
        <f t="shared" si="133"/>
        <v/>
      </c>
      <c r="P1695" s="21" t="str">
        <f t="shared" si="134"/>
        <v/>
      </c>
      <c r="Q1695" s="52" t="str">
        <f>IF($A1695="","",IF($O1695&lt;=0,"Depleted",IF($I1695&lt;0,"EXPIRED",IF($I1695&lt;=Settings!$C$6,"CRITICAL",IF($I1695&lt;=Settings!$C$5,"Expiring","In date")))))</f>
        <v/>
      </c>
    </row>
    <row r="1696" spans="1:17" x14ac:dyDescent="0.35">
      <c r="A1696" s="90" t="str">
        <f>IF(Receipts!$D1699="","",Receipts!$D1699)</f>
        <v/>
      </c>
      <c r="B1696" s="18" t="str">
        <f>IF(Receipts!$C1699="","",Receipts!$C1699)</f>
        <v/>
      </c>
      <c r="C1696" s="18" t="str">
        <f>IF($A1696="","",IFERROR(INDEX(Items!$B$5:$B$597,MATCH($A1696,Items!$A$5:$A$597,0)),""))</f>
        <v/>
      </c>
      <c r="D1696" s="23" t="str">
        <f>IF($A1696="","",N(Receipts!$G1699))</f>
        <v/>
      </c>
      <c r="E1696" s="20" t="str">
        <f>IF($A1696="","",IFERROR(INDEX(Items!$D$5:$D$597,MATCH($A1696,Items!$A$5:$A$597,0)),0))</f>
        <v/>
      </c>
      <c r="F1696" s="21" t="str">
        <f t="shared" si="130"/>
        <v/>
      </c>
      <c r="G1696" s="25" t="str">
        <f>IF(Receipts!$I1699="","",Receipts!$I1699)</f>
        <v/>
      </c>
      <c r="H1696" s="25" t="str">
        <f>IF(Receipts!$H1699="","",Receipts!$H1699)</f>
        <v/>
      </c>
      <c r="I1696" s="26" t="str">
        <f t="shared" ca="1" si="131"/>
        <v/>
      </c>
      <c r="J1696" s="26" t="str">
        <f>IF($A1696="","",COUNTIFS(tblReceipts[Item Name],$A1696,tblReceipts[Expiry Date],"&lt;"&amp;$H1696)+COUNTIFS(tblReceipts[Item Name],$A1696,tblReceipts[Expiry Date],$H1696,tblReceipts[Lot Number],"&lt;="&amp;Receipts!$C1699))</f>
        <v/>
      </c>
      <c r="K1696" s="26" t="str">
        <f>IF($A1696="","",SUMIFS(tblReceipts[Qty Received],tblReceipts[Item Name],$A1696,tblReceipts[Expiry Date],"&lt;"&amp;$H1696)+SUMIFS(tblReceipts[Qty Received],tblReceipts[Item Name],$A1696,tblReceipts[Expiry Date],$H1696,tblReceipts[Lot Number],"&lt;"&amp;Receipts!$C1699))</f>
        <v/>
      </c>
      <c r="L1696" s="26" t="str">
        <f>IF($A1696="","",MIN($D1696,MAX(0,SUMIFS(tblIssues[Qty Issued],tblIssues[Item Name],$A1696)-$K1696)))</f>
        <v/>
      </c>
      <c r="M1696" s="26" t="str">
        <f>IF($A1696="","",SUMIFS(tblIssues[Qty Issued],tblIssues[Lot Number],$B1696))</f>
        <v/>
      </c>
      <c r="N1696" s="26" t="str">
        <f t="shared" si="132"/>
        <v/>
      </c>
      <c r="O1696" s="26" t="str">
        <f t="shared" si="133"/>
        <v/>
      </c>
      <c r="P1696" s="21" t="str">
        <f t="shared" si="134"/>
        <v/>
      </c>
      <c r="Q1696" s="52" t="str">
        <f>IF($A1696="","",IF($O1696&lt;=0,"Depleted",IF($I1696&lt;0,"EXPIRED",IF($I1696&lt;=Settings!$C$6,"CRITICAL",IF($I1696&lt;=Settings!$C$5,"Expiring","In date")))))</f>
        <v/>
      </c>
    </row>
    <row r="1697" spans="1:17" x14ac:dyDescent="0.35">
      <c r="A1697" s="90" t="str">
        <f>IF(Receipts!$D1700="","",Receipts!$D1700)</f>
        <v/>
      </c>
      <c r="B1697" s="18" t="str">
        <f>IF(Receipts!$C1700="","",Receipts!$C1700)</f>
        <v/>
      </c>
      <c r="C1697" s="18" t="str">
        <f>IF($A1697="","",IFERROR(INDEX(Items!$B$5:$B$597,MATCH($A1697,Items!$A$5:$A$597,0)),""))</f>
        <v/>
      </c>
      <c r="D1697" s="23" t="str">
        <f>IF($A1697="","",N(Receipts!$G1700))</f>
        <v/>
      </c>
      <c r="E1697" s="20" t="str">
        <f>IF($A1697="","",IFERROR(INDEX(Items!$D$5:$D$597,MATCH($A1697,Items!$A$5:$A$597,0)),0))</f>
        <v/>
      </c>
      <c r="F1697" s="21" t="str">
        <f t="shared" si="130"/>
        <v/>
      </c>
      <c r="G1697" s="25" t="str">
        <f>IF(Receipts!$I1700="","",Receipts!$I1700)</f>
        <v/>
      </c>
      <c r="H1697" s="25" t="str">
        <f>IF(Receipts!$H1700="","",Receipts!$H1700)</f>
        <v/>
      </c>
      <c r="I1697" s="26" t="str">
        <f t="shared" ca="1" si="131"/>
        <v/>
      </c>
      <c r="J1697" s="26" t="str">
        <f>IF($A1697="","",COUNTIFS(tblReceipts[Item Name],$A1697,tblReceipts[Expiry Date],"&lt;"&amp;$H1697)+COUNTIFS(tblReceipts[Item Name],$A1697,tblReceipts[Expiry Date],$H1697,tblReceipts[Lot Number],"&lt;="&amp;Receipts!$C1700))</f>
        <v/>
      </c>
      <c r="K1697" s="26" t="str">
        <f>IF($A1697="","",SUMIFS(tblReceipts[Qty Received],tblReceipts[Item Name],$A1697,tblReceipts[Expiry Date],"&lt;"&amp;$H1697)+SUMIFS(tblReceipts[Qty Received],tblReceipts[Item Name],$A1697,tblReceipts[Expiry Date],$H1697,tblReceipts[Lot Number],"&lt;"&amp;Receipts!$C1700))</f>
        <v/>
      </c>
      <c r="L1697" s="26" t="str">
        <f>IF($A1697="","",MIN($D1697,MAX(0,SUMIFS(tblIssues[Qty Issued],tblIssues[Item Name],$A1697)-$K1697)))</f>
        <v/>
      </c>
      <c r="M1697" s="26" t="str">
        <f>IF($A1697="","",SUMIFS(tblIssues[Qty Issued],tblIssues[Lot Number],$B1697))</f>
        <v/>
      </c>
      <c r="N1697" s="26" t="str">
        <f t="shared" si="132"/>
        <v/>
      </c>
      <c r="O1697" s="26" t="str">
        <f t="shared" si="133"/>
        <v/>
      </c>
      <c r="P1697" s="21" t="str">
        <f t="shared" si="134"/>
        <v/>
      </c>
      <c r="Q1697" s="52" t="str">
        <f>IF($A1697="","",IF($O1697&lt;=0,"Depleted",IF($I1697&lt;0,"EXPIRED",IF($I1697&lt;=Settings!$C$6,"CRITICAL",IF($I1697&lt;=Settings!$C$5,"Expiring","In date")))))</f>
        <v/>
      </c>
    </row>
    <row r="1698" spans="1:17" x14ac:dyDescent="0.35">
      <c r="A1698" s="90" t="str">
        <f>IF(Receipts!$D1701="","",Receipts!$D1701)</f>
        <v/>
      </c>
      <c r="B1698" s="18" t="str">
        <f>IF(Receipts!$C1701="","",Receipts!$C1701)</f>
        <v/>
      </c>
      <c r="C1698" s="18" t="str">
        <f>IF($A1698="","",IFERROR(INDEX(Items!$B$5:$B$597,MATCH($A1698,Items!$A$5:$A$597,0)),""))</f>
        <v/>
      </c>
      <c r="D1698" s="23" t="str">
        <f>IF($A1698="","",N(Receipts!$G1701))</f>
        <v/>
      </c>
      <c r="E1698" s="20" t="str">
        <f>IF($A1698="","",IFERROR(INDEX(Items!$D$5:$D$597,MATCH($A1698,Items!$A$5:$A$597,0)),0))</f>
        <v/>
      </c>
      <c r="F1698" s="21" t="str">
        <f t="shared" si="130"/>
        <v/>
      </c>
      <c r="G1698" s="25" t="str">
        <f>IF(Receipts!$I1701="","",Receipts!$I1701)</f>
        <v/>
      </c>
      <c r="H1698" s="25" t="str">
        <f>IF(Receipts!$H1701="","",Receipts!$H1701)</f>
        <v/>
      </c>
      <c r="I1698" s="26" t="str">
        <f t="shared" ca="1" si="131"/>
        <v/>
      </c>
      <c r="J1698" s="26" t="str">
        <f>IF($A1698="","",COUNTIFS(tblReceipts[Item Name],$A1698,tblReceipts[Expiry Date],"&lt;"&amp;$H1698)+COUNTIFS(tblReceipts[Item Name],$A1698,tblReceipts[Expiry Date],$H1698,tblReceipts[Lot Number],"&lt;="&amp;Receipts!$C1701))</f>
        <v/>
      </c>
      <c r="K1698" s="26" t="str">
        <f>IF($A1698="","",SUMIFS(tblReceipts[Qty Received],tblReceipts[Item Name],$A1698,tblReceipts[Expiry Date],"&lt;"&amp;$H1698)+SUMIFS(tblReceipts[Qty Received],tblReceipts[Item Name],$A1698,tblReceipts[Expiry Date],$H1698,tblReceipts[Lot Number],"&lt;"&amp;Receipts!$C1701))</f>
        <v/>
      </c>
      <c r="L1698" s="26" t="str">
        <f>IF($A1698="","",MIN($D1698,MAX(0,SUMIFS(tblIssues[Qty Issued],tblIssues[Item Name],$A1698)-$K1698)))</f>
        <v/>
      </c>
      <c r="M1698" s="26" t="str">
        <f>IF($A1698="","",SUMIFS(tblIssues[Qty Issued],tblIssues[Lot Number],$B1698))</f>
        <v/>
      </c>
      <c r="N1698" s="26" t="str">
        <f t="shared" si="132"/>
        <v/>
      </c>
      <c r="O1698" s="26" t="str">
        <f t="shared" si="133"/>
        <v/>
      </c>
      <c r="P1698" s="21" t="str">
        <f t="shared" si="134"/>
        <v/>
      </c>
      <c r="Q1698" s="52" t="str">
        <f>IF($A1698="","",IF($O1698&lt;=0,"Depleted",IF($I1698&lt;0,"EXPIRED",IF($I1698&lt;=Settings!$C$6,"CRITICAL",IF($I1698&lt;=Settings!$C$5,"Expiring","In date")))))</f>
        <v/>
      </c>
    </row>
    <row r="1699" spans="1:17" x14ac:dyDescent="0.35">
      <c r="A1699" s="90" t="str">
        <f>IF(Receipts!$D1702="","",Receipts!$D1702)</f>
        <v/>
      </c>
      <c r="B1699" s="18" t="str">
        <f>IF(Receipts!$C1702="","",Receipts!$C1702)</f>
        <v/>
      </c>
      <c r="C1699" s="18" t="str">
        <f>IF($A1699="","",IFERROR(INDEX(Items!$B$5:$B$597,MATCH($A1699,Items!$A$5:$A$597,0)),""))</f>
        <v/>
      </c>
      <c r="D1699" s="23" t="str">
        <f>IF($A1699="","",N(Receipts!$G1702))</f>
        <v/>
      </c>
      <c r="E1699" s="20" t="str">
        <f>IF($A1699="","",IFERROR(INDEX(Items!$D$5:$D$597,MATCH($A1699,Items!$A$5:$A$597,0)),0))</f>
        <v/>
      </c>
      <c r="F1699" s="21" t="str">
        <f t="shared" si="130"/>
        <v/>
      </c>
      <c r="G1699" s="25" t="str">
        <f>IF(Receipts!$I1702="","",Receipts!$I1702)</f>
        <v/>
      </c>
      <c r="H1699" s="25" t="str">
        <f>IF(Receipts!$H1702="","",Receipts!$H1702)</f>
        <v/>
      </c>
      <c r="I1699" s="26" t="str">
        <f t="shared" ca="1" si="131"/>
        <v/>
      </c>
      <c r="J1699" s="26" t="str">
        <f>IF($A1699="","",COUNTIFS(tblReceipts[Item Name],$A1699,tblReceipts[Expiry Date],"&lt;"&amp;$H1699)+COUNTIFS(tblReceipts[Item Name],$A1699,tblReceipts[Expiry Date],$H1699,tblReceipts[Lot Number],"&lt;="&amp;Receipts!$C1702))</f>
        <v/>
      </c>
      <c r="K1699" s="26" t="str">
        <f>IF($A1699="","",SUMIFS(tblReceipts[Qty Received],tblReceipts[Item Name],$A1699,tblReceipts[Expiry Date],"&lt;"&amp;$H1699)+SUMIFS(tblReceipts[Qty Received],tblReceipts[Item Name],$A1699,tblReceipts[Expiry Date],$H1699,tblReceipts[Lot Number],"&lt;"&amp;Receipts!$C1702))</f>
        <v/>
      </c>
      <c r="L1699" s="26" t="str">
        <f>IF($A1699="","",MIN($D1699,MAX(0,SUMIFS(tblIssues[Qty Issued],tblIssues[Item Name],$A1699)-$K1699)))</f>
        <v/>
      </c>
      <c r="M1699" s="26" t="str">
        <f>IF($A1699="","",SUMIFS(tblIssues[Qty Issued],tblIssues[Lot Number],$B1699))</f>
        <v/>
      </c>
      <c r="N1699" s="26" t="str">
        <f t="shared" si="132"/>
        <v/>
      </c>
      <c r="O1699" s="26" t="str">
        <f t="shared" si="133"/>
        <v/>
      </c>
      <c r="P1699" s="21" t="str">
        <f t="shared" si="134"/>
        <v/>
      </c>
      <c r="Q1699" s="52" t="str">
        <f>IF($A1699="","",IF($O1699&lt;=0,"Depleted",IF($I1699&lt;0,"EXPIRED",IF($I1699&lt;=Settings!$C$6,"CRITICAL",IF($I1699&lt;=Settings!$C$5,"Expiring","In date")))))</f>
        <v/>
      </c>
    </row>
    <row r="1700" spans="1:17" x14ac:dyDescent="0.35">
      <c r="A1700" s="90" t="str">
        <f>IF(Receipts!$D1703="","",Receipts!$D1703)</f>
        <v/>
      </c>
      <c r="B1700" s="18" t="str">
        <f>IF(Receipts!$C1703="","",Receipts!$C1703)</f>
        <v/>
      </c>
      <c r="C1700" s="18" t="str">
        <f>IF($A1700="","",IFERROR(INDEX(Items!$B$5:$B$597,MATCH($A1700,Items!$A$5:$A$597,0)),""))</f>
        <v/>
      </c>
      <c r="D1700" s="23" t="str">
        <f>IF($A1700="","",N(Receipts!$G1703))</f>
        <v/>
      </c>
      <c r="E1700" s="20" t="str">
        <f>IF($A1700="","",IFERROR(INDEX(Items!$D$5:$D$597,MATCH($A1700,Items!$A$5:$A$597,0)),0))</f>
        <v/>
      </c>
      <c r="F1700" s="21" t="str">
        <f t="shared" si="130"/>
        <v/>
      </c>
      <c r="G1700" s="25" t="str">
        <f>IF(Receipts!$I1703="","",Receipts!$I1703)</f>
        <v/>
      </c>
      <c r="H1700" s="25" t="str">
        <f>IF(Receipts!$H1703="","",Receipts!$H1703)</f>
        <v/>
      </c>
      <c r="I1700" s="26" t="str">
        <f t="shared" ca="1" si="131"/>
        <v/>
      </c>
      <c r="J1700" s="26" t="str">
        <f>IF($A1700="","",COUNTIFS(tblReceipts[Item Name],$A1700,tblReceipts[Expiry Date],"&lt;"&amp;$H1700)+COUNTIFS(tblReceipts[Item Name],$A1700,tblReceipts[Expiry Date],$H1700,tblReceipts[Lot Number],"&lt;="&amp;Receipts!$C1703))</f>
        <v/>
      </c>
      <c r="K1700" s="26" t="str">
        <f>IF($A1700="","",SUMIFS(tblReceipts[Qty Received],tblReceipts[Item Name],$A1700,tblReceipts[Expiry Date],"&lt;"&amp;$H1700)+SUMIFS(tblReceipts[Qty Received],tblReceipts[Item Name],$A1700,tblReceipts[Expiry Date],$H1700,tblReceipts[Lot Number],"&lt;"&amp;Receipts!$C1703))</f>
        <v/>
      </c>
      <c r="L1700" s="26" t="str">
        <f>IF($A1700="","",MIN($D1700,MAX(0,SUMIFS(tblIssues[Qty Issued],tblIssues[Item Name],$A1700)-$K1700)))</f>
        <v/>
      </c>
      <c r="M1700" s="26" t="str">
        <f>IF($A1700="","",SUMIFS(tblIssues[Qty Issued],tblIssues[Lot Number],$B1700))</f>
        <v/>
      </c>
      <c r="N1700" s="26" t="str">
        <f t="shared" si="132"/>
        <v/>
      </c>
      <c r="O1700" s="26" t="str">
        <f t="shared" si="133"/>
        <v/>
      </c>
      <c r="P1700" s="21" t="str">
        <f t="shared" si="134"/>
        <v/>
      </c>
      <c r="Q1700" s="52" t="str">
        <f>IF($A1700="","",IF($O1700&lt;=0,"Depleted",IF($I1700&lt;0,"EXPIRED",IF($I1700&lt;=Settings!$C$6,"CRITICAL",IF($I1700&lt;=Settings!$C$5,"Expiring","In date")))))</f>
        <v/>
      </c>
    </row>
    <row r="1701" spans="1:17" x14ac:dyDescent="0.35">
      <c r="A1701" s="90" t="str">
        <f>IF(Receipts!$D1704="","",Receipts!$D1704)</f>
        <v/>
      </c>
      <c r="B1701" s="18" t="str">
        <f>IF(Receipts!$C1704="","",Receipts!$C1704)</f>
        <v/>
      </c>
      <c r="C1701" s="18" t="str">
        <f>IF($A1701="","",IFERROR(INDEX(Items!$B$5:$B$597,MATCH($A1701,Items!$A$5:$A$597,0)),""))</f>
        <v/>
      </c>
      <c r="D1701" s="23" t="str">
        <f>IF($A1701="","",N(Receipts!$G1704))</f>
        <v/>
      </c>
      <c r="E1701" s="20" t="str">
        <f>IF($A1701="","",IFERROR(INDEX(Items!$D$5:$D$597,MATCH($A1701,Items!$A$5:$A$597,0)),0))</f>
        <v/>
      </c>
      <c r="F1701" s="21" t="str">
        <f t="shared" si="130"/>
        <v/>
      </c>
      <c r="G1701" s="25" t="str">
        <f>IF(Receipts!$I1704="","",Receipts!$I1704)</f>
        <v/>
      </c>
      <c r="H1701" s="25" t="str">
        <f>IF(Receipts!$H1704="","",Receipts!$H1704)</f>
        <v/>
      </c>
      <c r="I1701" s="26" t="str">
        <f t="shared" ca="1" si="131"/>
        <v/>
      </c>
      <c r="J1701" s="26" t="str">
        <f>IF($A1701="","",COUNTIFS(tblReceipts[Item Name],$A1701,tblReceipts[Expiry Date],"&lt;"&amp;$H1701)+COUNTIFS(tblReceipts[Item Name],$A1701,tblReceipts[Expiry Date],$H1701,tblReceipts[Lot Number],"&lt;="&amp;Receipts!$C1704))</f>
        <v/>
      </c>
      <c r="K1701" s="26" t="str">
        <f>IF($A1701="","",SUMIFS(tblReceipts[Qty Received],tblReceipts[Item Name],$A1701,tblReceipts[Expiry Date],"&lt;"&amp;$H1701)+SUMIFS(tblReceipts[Qty Received],tblReceipts[Item Name],$A1701,tblReceipts[Expiry Date],$H1701,tblReceipts[Lot Number],"&lt;"&amp;Receipts!$C1704))</f>
        <v/>
      </c>
      <c r="L1701" s="26" t="str">
        <f>IF($A1701="","",MIN($D1701,MAX(0,SUMIFS(tblIssues[Qty Issued],tblIssues[Item Name],$A1701)-$K1701)))</f>
        <v/>
      </c>
      <c r="M1701" s="26" t="str">
        <f>IF($A1701="","",SUMIFS(tblIssues[Qty Issued],tblIssues[Lot Number],$B1701))</f>
        <v/>
      </c>
      <c r="N1701" s="26" t="str">
        <f t="shared" si="132"/>
        <v/>
      </c>
      <c r="O1701" s="26" t="str">
        <f t="shared" si="133"/>
        <v/>
      </c>
      <c r="P1701" s="21" t="str">
        <f t="shared" si="134"/>
        <v/>
      </c>
      <c r="Q1701" s="52" t="str">
        <f>IF($A1701="","",IF($O1701&lt;=0,"Depleted",IF($I1701&lt;0,"EXPIRED",IF($I1701&lt;=Settings!$C$6,"CRITICAL",IF($I1701&lt;=Settings!$C$5,"Expiring","In date")))))</f>
        <v/>
      </c>
    </row>
    <row r="1702" spans="1:17" x14ac:dyDescent="0.35">
      <c r="A1702" s="90" t="str">
        <f>IF(Receipts!$D1705="","",Receipts!$D1705)</f>
        <v/>
      </c>
      <c r="B1702" s="18" t="str">
        <f>IF(Receipts!$C1705="","",Receipts!$C1705)</f>
        <v/>
      </c>
      <c r="C1702" s="18" t="str">
        <f>IF($A1702="","",IFERROR(INDEX(Items!$B$5:$B$597,MATCH($A1702,Items!$A$5:$A$597,0)),""))</f>
        <v/>
      </c>
      <c r="D1702" s="23" t="str">
        <f>IF($A1702="","",N(Receipts!$G1705))</f>
        <v/>
      </c>
      <c r="E1702" s="20" t="str">
        <f>IF($A1702="","",IFERROR(INDEX(Items!$D$5:$D$597,MATCH($A1702,Items!$A$5:$A$597,0)),0))</f>
        <v/>
      </c>
      <c r="F1702" s="21" t="str">
        <f t="shared" si="130"/>
        <v/>
      </c>
      <c r="G1702" s="25" t="str">
        <f>IF(Receipts!$I1705="","",Receipts!$I1705)</f>
        <v/>
      </c>
      <c r="H1702" s="25" t="str">
        <f>IF(Receipts!$H1705="","",Receipts!$H1705)</f>
        <v/>
      </c>
      <c r="I1702" s="26" t="str">
        <f t="shared" ca="1" si="131"/>
        <v/>
      </c>
      <c r="J1702" s="26" t="str">
        <f>IF($A1702="","",COUNTIFS(tblReceipts[Item Name],$A1702,tblReceipts[Expiry Date],"&lt;"&amp;$H1702)+COUNTIFS(tblReceipts[Item Name],$A1702,tblReceipts[Expiry Date],$H1702,tblReceipts[Lot Number],"&lt;="&amp;Receipts!$C1705))</f>
        <v/>
      </c>
      <c r="K1702" s="26" t="str">
        <f>IF($A1702="","",SUMIFS(tblReceipts[Qty Received],tblReceipts[Item Name],$A1702,tblReceipts[Expiry Date],"&lt;"&amp;$H1702)+SUMIFS(tblReceipts[Qty Received],tblReceipts[Item Name],$A1702,tblReceipts[Expiry Date],$H1702,tblReceipts[Lot Number],"&lt;"&amp;Receipts!$C1705))</f>
        <v/>
      </c>
      <c r="L1702" s="26" t="str">
        <f>IF($A1702="","",MIN($D1702,MAX(0,SUMIFS(tblIssues[Qty Issued],tblIssues[Item Name],$A1702)-$K1702)))</f>
        <v/>
      </c>
      <c r="M1702" s="26" t="str">
        <f>IF($A1702="","",SUMIFS(tblIssues[Qty Issued],tblIssues[Lot Number],$B1702))</f>
        <v/>
      </c>
      <c r="N1702" s="26" t="str">
        <f t="shared" si="132"/>
        <v/>
      </c>
      <c r="O1702" s="26" t="str">
        <f t="shared" si="133"/>
        <v/>
      </c>
      <c r="P1702" s="21" t="str">
        <f t="shared" si="134"/>
        <v/>
      </c>
      <c r="Q1702" s="52" t="str">
        <f>IF($A1702="","",IF($O1702&lt;=0,"Depleted",IF($I1702&lt;0,"EXPIRED",IF($I1702&lt;=Settings!$C$6,"CRITICAL",IF($I1702&lt;=Settings!$C$5,"Expiring","In date")))))</f>
        <v/>
      </c>
    </row>
    <row r="1703" spans="1:17" x14ac:dyDescent="0.35">
      <c r="A1703" s="90" t="str">
        <f>IF(Receipts!$D1706="","",Receipts!$D1706)</f>
        <v/>
      </c>
      <c r="B1703" s="18" t="str">
        <f>IF(Receipts!$C1706="","",Receipts!$C1706)</f>
        <v/>
      </c>
      <c r="C1703" s="18" t="str">
        <f>IF($A1703="","",IFERROR(INDEX(Items!$B$5:$B$597,MATCH($A1703,Items!$A$5:$A$597,0)),""))</f>
        <v/>
      </c>
      <c r="D1703" s="23" t="str">
        <f>IF($A1703="","",N(Receipts!$G1706))</f>
        <v/>
      </c>
      <c r="E1703" s="20" t="str">
        <f>IF($A1703="","",IFERROR(INDEX(Items!$D$5:$D$597,MATCH($A1703,Items!$A$5:$A$597,0)),0))</f>
        <v/>
      </c>
      <c r="F1703" s="21" t="str">
        <f t="shared" si="130"/>
        <v/>
      </c>
      <c r="G1703" s="25" t="str">
        <f>IF(Receipts!$I1706="","",Receipts!$I1706)</f>
        <v/>
      </c>
      <c r="H1703" s="25" t="str">
        <f>IF(Receipts!$H1706="","",Receipts!$H1706)</f>
        <v/>
      </c>
      <c r="I1703" s="26" t="str">
        <f t="shared" ca="1" si="131"/>
        <v/>
      </c>
      <c r="J1703" s="26" t="str">
        <f>IF($A1703="","",COUNTIFS(tblReceipts[Item Name],$A1703,tblReceipts[Expiry Date],"&lt;"&amp;$H1703)+COUNTIFS(tblReceipts[Item Name],$A1703,tblReceipts[Expiry Date],$H1703,tblReceipts[Lot Number],"&lt;="&amp;Receipts!$C1706))</f>
        <v/>
      </c>
      <c r="K1703" s="26" t="str">
        <f>IF($A1703="","",SUMIFS(tblReceipts[Qty Received],tblReceipts[Item Name],$A1703,tblReceipts[Expiry Date],"&lt;"&amp;$H1703)+SUMIFS(tblReceipts[Qty Received],tblReceipts[Item Name],$A1703,tblReceipts[Expiry Date],$H1703,tblReceipts[Lot Number],"&lt;"&amp;Receipts!$C1706))</f>
        <v/>
      </c>
      <c r="L1703" s="26" t="str">
        <f>IF($A1703="","",MIN($D1703,MAX(0,SUMIFS(tblIssues[Qty Issued],tblIssues[Item Name],$A1703)-$K1703)))</f>
        <v/>
      </c>
      <c r="M1703" s="26" t="str">
        <f>IF($A1703="","",SUMIFS(tblIssues[Qty Issued],tblIssues[Lot Number],$B1703))</f>
        <v/>
      </c>
      <c r="N1703" s="26" t="str">
        <f t="shared" si="132"/>
        <v/>
      </c>
      <c r="O1703" s="26" t="str">
        <f t="shared" si="133"/>
        <v/>
      </c>
      <c r="P1703" s="21" t="str">
        <f t="shared" si="134"/>
        <v/>
      </c>
      <c r="Q1703" s="52" t="str">
        <f>IF($A1703="","",IF($O1703&lt;=0,"Depleted",IF($I1703&lt;0,"EXPIRED",IF($I1703&lt;=Settings!$C$6,"CRITICAL",IF($I1703&lt;=Settings!$C$5,"Expiring","In date")))))</f>
        <v/>
      </c>
    </row>
    <row r="1704" spans="1:17" x14ac:dyDescent="0.35">
      <c r="A1704" s="90" t="str">
        <f>IF(Receipts!$D1707="","",Receipts!$D1707)</f>
        <v/>
      </c>
      <c r="B1704" s="18" t="str">
        <f>IF(Receipts!$C1707="","",Receipts!$C1707)</f>
        <v/>
      </c>
      <c r="C1704" s="18" t="str">
        <f>IF($A1704="","",IFERROR(INDEX(Items!$B$5:$B$597,MATCH($A1704,Items!$A$5:$A$597,0)),""))</f>
        <v/>
      </c>
      <c r="D1704" s="23" t="str">
        <f>IF($A1704="","",N(Receipts!$G1707))</f>
        <v/>
      </c>
      <c r="E1704" s="20" t="str">
        <f>IF($A1704="","",IFERROR(INDEX(Items!$D$5:$D$597,MATCH($A1704,Items!$A$5:$A$597,0)),0))</f>
        <v/>
      </c>
      <c r="F1704" s="21" t="str">
        <f t="shared" si="130"/>
        <v/>
      </c>
      <c r="G1704" s="25" t="str">
        <f>IF(Receipts!$I1707="","",Receipts!$I1707)</f>
        <v/>
      </c>
      <c r="H1704" s="25" t="str">
        <f>IF(Receipts!$H1707="","",Receipts!$H1707)</f>
        <v/>
      </c>
      <c r="I1704" s="26" t="str">
        <f t="shared" ca="1" si="131"/>
        <v/>
      </c>
      <c r="J1704" s="26" t="str">
        <f>IF($A1704="","",COUNTIFS(tblReceipts[Item Name],$A1704,tblReceipts[Expiry Date],"&lt;"&amp;$H1704)+COUNTIFS(tblReceipts[Item Name],$A1704,tblReceipts[Expiry Date],$H1704,tblReceipts[Lot Number],"&lt;="&amp;Receipts!$C1707))</f>
        <v/>
      </c>
      <c r="K1704" s="26" t="str">
        <f>IF($A1704="","",SUMIFS(tblReceipts[Qty Received],tblReceipts[Item Name],$A1704,tblReceipts[Expiry Date],"&lt;"&amp;$H1704)+SUMIFS(tblReceipts[Qty Received],tblReceipts[Item Name],$A1704,tblReceipts[Expiry Date],$H1704,tblReceipts[Lot Number],"&lt;"&amp;Receipts!$C1707))</f>
        <v/>
      </c>
      <c r="L1704" s="26" t="str">
        <f>IF($A1704="","",MIN($D1704,MAX(0,SUMIFS(tblIssues[Qty Issued],tblIssues[Item Name],$A1704)-$K1704)))</f>
        <v/>
      </c>
      <c r="M1704" s="26" t="str">
        <f>IF($A1704="","",SUMIFS(tblIssues[Qty Issued],tblIssues[Lot Number],$B1704))</f>
        <v/>
      </c>
      <c r="N1704" s="26" t="str">
        <f t="shared" si="132"/>
        <v/>
      </c>
      <c r="O1704" s="26" t="str">
        <f t="shared" si="133"/>
        <v/>
      </c>
      <c r="P1704" s="21" t="str">
        <f t="shared" si="134"/>
        <v/>
      </c>
      <c r="Q1704" s="52" t="str">
        <f>IF($A1704="","",IF($O1704&lt;=0,"Depleted",IF($I1704&lt;0,"EXPIRED",IF($I1704&lt;=Settings!$C$6,"CRITICAL",IF($I1704&lt;=Settings!$C$5,"Expiring","In date")))))</f>
        <v/>
      </c>
    </row>
    <row r="1705" spans="1:17" x14ac:dyDescent="0.35">
      <c r="A1705" s="90" t="str">
        <f>IF(Receipts!$D1708="","",Receipts!$D1708)</f>
        <v/>
      </c>
      <c r="B1705" s="18" t="str">
        <f>IF(Receipts!$C1708="","",Receipts!$C1708)</f>
        <v/>
      </c>
      <c r="C1705" s="18" t="str">
        <f>IF($A1705="","",IFERROR(INDEX(Items!$B$5:$B$597,MATCH($A1705,Items!$A$5:$A$597,0)),""))</f>
        <v/>
      </c>
      <c r="D1705" s="23" t="str">
        <f>IF($A1705="","",N(Receipts!$G1708))</f>
        <v/>
      </c>
      <c r="E1705" s="20" t="str">
        <f>IF($A1705="","",IFERROR(INDEX(Items!$D$5:$D$597,MATCH($A1705,Items!$A$5:$A$597,0)),0))</f>
        <v/>
      </c>
      <c r="F1705" s="21" t="str">
        <f t="shared" si="130"/>
        <v/>
      </c>
      <c r="G1705" s="25" t="str">
        <f>IF(Receipts!$I1708="","",Receipts!$I1708)</f>
        <v/>
      </c>
      <c r="H1705" s="25" t="str">
        <f>IF(Receipts!$H1708="","",Receipts!$H1708)</f>
        <v/>
      </c>
      <c r="I1705" s="26" t="str">
        <f t="shared" ca="1" si="131"/>
        <v/>
      </c>
      <c r="J1705" s="26" t="str">
        <f>IF($A1705="","",COUNTIFS(tblReceipts[Item Name],$A1705,tblReceipts[Expiry Date],"&lt;"&amp;$H1705)+COUNTIFS(tblReceipts[Item Name],$A1705,tblReceipts[Expiry Date],$H1705,tblReceipts[Lot Number],"&lt;="&amp;Receipts!$C1708))</f>
        <v/>
      </c>
      <c r="K1705" s="26" t="str">
        <f>IF($A1705="","",SUMIFS(tblReceipts[Qty Received],tblReceipts[Item Name],$A1705,tblReceipts[Expiry Date],"&lt;"&amp;$H1705)+SUMIFS(tblReceipts[Qty Received],tblReceipts[Item Name],$A1705,tblReceipts[Expiry Date],$H1705,tblReceipts[Lot Number],"&lt;"&amp;Receipts!$C1708))</f>
        <v/>
      </c>
      <c r="L1705" s="26" t="str">
        <f>IF($A1705="","",MIN($D1705,MAX(0,SUMIFS(tblIssues[Qty Issued],tblIssues[Item Name],$A1705)-$K1705)))</f>
        <v/>
      </c>
      <c r="M1705" s="26" t="str">
        <f>IF($A1705="","",SUMIFS(tblIssues[Qty Issued],tblIssues[Lot Number],$B1705))</f>
        <v/>
      </c>
      <c r="N1705" s="26" t="str">
        <f t="shared" si="132"/>
        <v/>
      </c>
      <c r="O1705" s="26" t="str">
        <f t="shared" si="133"/>
        <v/>
      </c>
      <c r="P1705" s="21" t="str">
        <f t="shared" si="134"/>
        <v/>
      </c>
      <c r="Q1705" s="52" t="str">
        <f>IF($A1705="","",IF($O1705&lt;=0,"Depleted",IF($I1705&lt;0,"EXPIRED",IF($I1705&lt;=Settings!$C$6,"CRITICAL",IF($I1705&lt;=Settings!$C$5,"Expiring","In date")))))</f>
        <v/>
      </c>
    </row>
    <row r="1706" spans="1:17" x14ac:dyDescent="0.35">
      <c r="A1706" s="90" t="str">
        <f>IF(Receipts!$D1709="","",Receipts!$D1709)</f>
        <v/>
      </c>
      <c r="B1706" s="18" t="str">
        <f>IF(Receipts!$C1709="","",Receipts!$C1709)</f>
        <v/>
      </c>
      <c r="C1706" s="18" t="str">
        <f>IF($A1706="","",IFERROR(INDEX(Items!$B$5:$B$597,MATCH($A1706,Items!$A$5:$A$597,0)),""))</f>
        <v/>
      </c>
      <c r="D1706" s="23" t="str">
        <f>IF($A1706="","",N(Receipts!$G1709))</f>
        <v/>
      </c>
      <c r="E1706" s="20" t="str">
        <f>IF($A1706="","",IFERROR(INDEX(Items!$D$5:$D$597,MATCH($A1706,Items!$A$5:$A$597,0)),0))</f>
        <v/>
      </c>
      <c r="F1706" s="21" t="str">
        <f t="shared" si="130"/>
        <v/>
      </c>
      <c r="G1706" s="25" t="str">
        <f>IF(Receipts!$I1709="","",Receipts!$I1709)</f>
        <v/>
      </c>
      <c r="H1706" s="25" t="str">
        <f>IF(Receipts!$H1709="","",Receipts!$H1709)</f>
        <v/>
      </c>
      <c r="I1706" s="26" t="str">
        <f t="shared" ca="1" si="131"/>
        <v/>
      </c>
      <c r="J1706" s="26" t="str">
        <f>IF($A1706="","",COUNTIFS(tblReceipts[Item Name],$A1706,tblReceipts[Expiry Date],"&lt;"&amp;$H1706)+COUNTIFS(tblReceipts[Item Name],$A1706,tblReceipts[Expiry Date],$H1706,tblReceipts[Lot Number],"&lt;="&amp;Receipts!$C1709))</f>
        <v/>
      </c>
      <c r="K1706" s="26" t="str">
        <f>IF($A1706="","",SUMIFS(tblReceipts[Qty Received],tblReceipts[Item Name],$A1706,tblReceipts[Expiry Date],"&lt;"&amp;$H1706)+SUMIFS(tblReceipts[Qty Received],tblReceipts[Item Name],$A1706,tblReceipts[Expiry Date],$H1706,tblReceipts[Lot Number],"&lt;"&amp;Receipts!$C1709))</f>
        <v/>
      </c>
      <c r="L1706" s="26" t="str">
        <f>IF($A1706="","",MIN($D1706,MAX(0,SUMIFS(tblIssues[Qty Issued],tblIssues[Item Name],$A1706)-$K1706)))</f>
        <v/>
      </c>
      <c r="M1706" s="26" t="str">
        <f>IF($A1706="","",SUMIFS(tblIssues[Qty Issued],tblIssues[Lot Number],$B1706))</f>
        <v/>
      </c>
      <c r="N1706" s="26" t="str">
        <f t="shared" si="132"/>
        <v/>
      </c>
      <c r="O1706" s="26" t="str">
        <f t="shared" si="133"/>
        <v/>
      </c>
      <c r="P1706" s="21" t="str">
        <f t="shared" si="134"/>
        <v/>
      </c>
      <c r="Q1706" s="52" t="str">
        <f>IF($A1706="","",IF($O1706&lt;=0,"Depleted",IF($I1706&lt;0,"EXPIRED",IF($I1706&lt;=Settings!$C$6,"CRITICAL",IF($I1706&lt;=Settings!$C$5,"Expiring","In date")))))</f>
        <v/>
      </c>
    </row>
    <row r="1707" spans="1:17" x14ac:dyDescent="0.35">
      <c r="A1707" s="90" t="str">
        <f>IF(Receipts!$D1710="","",Receipts!$D1710)</f>
        <v/>
      </c>
      <c r="B1707" s="18" t="str">
        <f>IF(Receipts!$C1710="","",Receipts!$C1710)</f>
        <v/>
      </c>
      <c r="C1707" s="18" t="str">
        <f>IF($A1707="","",IFERROR(INDEX(Items!$B$5:$B$597,MATCH($A1707,Items!$A$5:$A$597,0)),""))</f>
        <v/>
      </c>
      <c r="D1707" s="23" t="str">
        <f>IF($A1707="","",N(Receipts!$G1710))</f>
        <v/>
      </c>
      <c r="E1707" s="20" t="str">
        <f>IF($A1707="","",IFERROR(INDEX(Items!$D$5:$D$597,MATCH($A1707,Items!$A$5:$A$597,0)),0))</f>
        <v/>
      </c>
      <c r="F1707" s="21" t="str">
        <f t="shared" si="130"/>
        <v/>
      </c>
      <c r="G1707" s="25" t="str">
        <f>IF(Receipts!$I1710="","",Receipts!$I1710)</f>
        <v/>
      </c>
      <c r="H1707" s="25" t="str">
        <f>IF(Receipts!$H1710="","",Receipts!$H1710)</f>
        <v/>
      </c>
      <c r="I1707" s="26" t="str">
        <f t="shared" ca="1" si="131"/>
        <v/>
      </c>
      <c r="J1707" s="26" t="str">
        <f>IF($A1707="","",COUNTIFS(tblReceipts[Item Name],$A1707,tblReceipts[Expiry Date],"&lt;"&amp;$H1707)+COUNTIFS(tblReceipts[Item Name],$A1707,tblReceipts[Expiry Date],$H1707,tblReceipts[Lot Number],"&lt;="&amp;Receipts!$C1710))</f>
        <v/>
      </c>
      <c r="K1707" s="26" t="str">
        <f>IF($A1707="","",SUMIFS(tblReceipts[Qty Received],tblReceipts[Item Name],$A1707,tblReceipts[Expiry Date],"&lt;"&amp;$H1707)+SUMIFS(tblReceipts[Qty Received],tblReceipts[Item Name],$A1707,tblReceipts[Expiry Date],$H1707,tblReceipts[Lot Number],"&lt;"&amp;Receipts!$C1710))</f>
        <v/>
      </c>
      <c r="L1707" s="26" t="str">
        <f>IF($A1707="","",MIN($D1707,MAX(0,SUMIFS(tblIssues[Qty Issued],tblIssues[Item Name],$A1707)-$K1707)))</f>
        <v/>
      </c>
      <c r="M1707" s="26" t="str">
        <f>IF($A1707="","",SUMIFS(tblIssues[Qty Issued],tblIssues[Lot Number],$B1707))</f>
        <v/>
      </c>
      <c r="N1707" s="26" t="str">
        <f t="shared" si="132"/>
        <v/>
      </c>
      <c r="O1707" s="26" t="str">
        <f t="shared" si="133"/>
        <v/>
      </c>
      <c r="P1707" s="21" t="str">
        <f t="shared" si="134"/>
        <v/>
      </c>
      <c r="Q1707" s="52" t="str">
        <f>IF($A1707="","",IF($O1707&lt;=0,"Depleted",IF($I1707&lt;0,"EXPIRED",IF($I1707&lt;=Settings!$C$6,"CRITICAL",IF($I1707&lt;=Settings!$C$5,"Expiring","In date")))))</f>
        <v/>
      </c>
    </row>
    <row r="1708" spans="1:17" x14ac:dyDescent="0.35">
      <c r="A1708" s="90" t="str">
        <f>IF(Receipts!$D1711="","",Receipts!$D1711)</f>
        <v/>
      </c>
      <c r="B1708" s="18" t="str">
        <f>IF(Receipts!$C1711="","",Receipts!$C1711)</f>
        <v/>
      </c>
      <c r="C1708" s="18" t="str">
        <f>IF($A1708="","",IFERROR(INDEX(Items!$B$5:$B$597,MATCH($A1708,Items!$A$5:$A$597,0)),""))</f>
        <v/>
      </c>
      <c r="D1708" s="23" t="str">
        <f>IF($A1708="","",N(Receipts!$G1711))</f>
        <v/>
      </c>
      <c r="E1708" s="20" t="str">
        <f>IF($A1708="","",IFERROR(INDEX(Items!$D$5:$D$597,MATCH($A1708,Items!$A$5:$A$597,0)),0))</f>
        <v/>
      </c>
      <c r="F1708" s="21" t="str">
        <f t="shared" si="130"/>
        <v/>
      </c>
      <c r="G1708" s="25" t="str">
        <f>IF(Receipts!$I1711="","",Receipts!$I1711)</f>
        <v/>
      </c>
      <c r="H1708" s="25" t="str">
        <f>IF(Receipts!$H1711="","",Receipts!$H1711)</f>
        <v/>
      </c>
      <c r="I1708" s="26" t="str">
        <f t="shared" ca="1" si="131"/>
        <v/>
      </c>
      <c r="J1708" s="26" t="str">
        <f>IF($A1708="","",COUNTIFS(tblReceipts[Item Name],$A1708,tblReceipts[Expiry Date],"&lt;"&amp;$H1708)+COUNTIFS(tblReceipts[Item Name],$A1708,tblReceipts[Expiry Date],$H1708,tblReceipts[Lot Number],"&lt;="&amp;Receipts!$C1711))</f>
        <v/>
      </c>
      <c r="K1708" s="26" t="str">
        <f>IF($A1708="","",SUMIFS(tblReceipts[Qty Received],tblReceipts[Item Name],$A1708,tblReceipts[Expiry Date],"&lt;"&amp;$H1708)+SUMIFS(tblReceipts[Qty Received],tblReceipts[Item Name],$A1708,tblReceipts[Expiry Date],$H1708,tblReceipts[Lot Number],"&lt;"&amp;Receipts!$C1711))</f>
        <v/>
      </c>
      <c r="L1708" s="26" t="str">
        <f>IF($A1708="","",MIN($D1708,MAX(0,SUMIFS(tblIssues[Qty Issued],tblIssues[Item Name],$A1708)-$K1708)))</f>
        <v/>
      </c>
      <c r="M1708" s="26" t="str">
        <f>IF($A1708="","",SUMIFS(tblIssues[Qty Issued],tblIssues[Lot Number],$B1708))</f>
        <v/>
      </c>
      <c r="N1708" s="26" t="str">
        <f t="shared" si="132"/>
        <v/>
      </c>
      <c r="O1708" s="26" t="str">
        <f t="shared" si="133"/>
        <v/>
      </c>
      <c r="P1708" s="21" t="str">
        <f t="shared" si="134"/>
        <v/>
      </c>
      <c r="Q1708" s="52" t="str">
        <f>IF($A1708="","",IF($O1708&lt;=0,"Depleted",IF($I1708&lt;0,"EXPIRED",IF($I1708&lt;=Settings!$C$6,"CRITICAL",IF($I1708&lt;=Settings!$C$5,"Expiring","In date")))))</f>
        <v/>
      </c>
    </row>
    <row r="1709" spans="1:17" x14ac:dyDescent="0.35">
      <c r="A1709" s="90" t="str">
        <f>IF(Receipts!$D1712="","",Receipts!$D1712)</f>
        <v/>
      </c>
      <c r="B1709" s="18" t="str">
        <f>IF(Receipts!$C1712="","",Receipts!$C1712)</f>
        <v/>
      </c>
      <c r="C1709" s="18" t="str">
        <f>IF($A1709="","",IFERROR(INDEX(Items!$B$5:$B$597,MATCH($A1709,Items!$A$5:$A$597,0)),""))</f>
        <v/>
      </c>
      <c r="D1709" s="23" t="str">
        <f>IF($A1709="","",N(Receipts!$G1712))</f>
        <v/>
      </c>
      <c r="E1709" s="20" t="str">
        <f>IF($A1709="","",IFERROR(INDEX(Items!$D$5:$D$597,MATCH($A1709,Items!$A$5:$A$597,0)),0))</f>
        <v/>
      </c>
      <c r="F1709" s="21" t="str">
        <f t="shared" si="130"/>
        <v/>
      </c>
      <c r="G1709" s="25" t="str">
        <f>IF(Receipts!$I1712="","",Receipts!$I1712)</f>
        <v/>
      </c>
      <c r="H1709" s="25" t="str">
        <f>IF(Receipts!$H1712="","",Receipts!$H1712)</f>
        <v/>
      </c>
      <c r="I1709" s="26" t="str">
        <f t="shared" ca="1" si="131"/>
        <v/>
      </c>
      <c r="J1709" s="26" t="str">
        <f>IF($A1709="","",COUNTIFS(tblReceipts[Item Name],$A1709,tblReceipts[Expiry Date],"&lt;"&amp;$H1709)+COUNTIFS(tblReceipts[Item Name],$A1709,tblReceipts[Expiry Date],$H1709,tblReceipts[Lot Number],"&lt;="&amp;Receipts!$C1712))</f>
        <v/>
      </c>
      <c r="K1709" s="26" t="str">
        <f>IF($A1709="","",SUMIFS(tblReceipts[Qty Received],tblReceipts[Item Name],$A1709,tblReceipts[Expiry Date],"&lt;"&amp;$H1709)+SUMIFS(tblReceipts[Qty Received],tblReceipts[Item Name],$A1709,tblReceipts[Expiry Date],$H1709,tblReceipts[Lot Number],"&lt;"&amp;Receipts!$C1712))</f>
        <v/>
      </c>
      <c r="L1709" s="26" t="str">
        <f>IF($A1709="","",MIN($D1709,MAX(0,SUMIFS(tblIssues[Qty Issued],tblIssues[Item Name],$A1709)-$K1709)))</f>
        <v/>
      </c>
      <c r="M1709" s="26" t="str">
        <f>IF($A1709="","",SUMIFS(tblIssues[Qty Issued],tblIssues[Lot Number],$B1709))</f>
        <v/>
      </c>
      <c r="N1709" s="26" t="str">
        <f t="shared" si="132"/>
        <v/>
      </c>
      <c r="O1709" s="26" t="str">
        <f t="shared" si="133"/>
        <v/>
      </c>
      <c r="P1709" s="21" t="str">
        <f t="shared" si="134"/>
        <v/>
      </c>
      <c r="Q1709" s="52" t="str">
        <f>IF($A1709="","",IF($O1709&lt;=0,"Depleted",IF($I1709&lt;0,"EXPIRED",IF($I1709&lt;=Settings!$C$6,"CRITICAL",IF($I1709&lt;=Settings!$C$5,"Expiring","In date")))))</f>
        <v/>
      </c>
    </row>
    <row r="1710" spans="1:17" x14ac:dyDescent="0.35">
      <c r="A1710" s="90" t="str">
        <f>IF(Receipts!$D1713="","",Receipts!$D1713)</f>
        <v/>
      </c>
      <c r="B1710" s="18" t="str">
        <f>IF(Receipts!$C1713="","",Receipts!$C1713)</f>
        <v/>
      </c>
      <c r="C1710" s="18" t="str">
        <f>IF($A1710="","",IFERROR(INDEX(Items!$B$5:$B$597,MATCH($A1710,Items!$A$5:$A$597,0)),""))</f>
        <v/>
      </c>
      <c r="D1710" s="23" t="str">
        <f>IF($A1710="","",N(Receipts!$G1713))</f>
        <v/>
      </c>
      <c r="E1710" s="20" t="str">
        <f>IF($A1710="","",IFERROR(INDEX(Items!$D$5:$D$597,MATCH($A1710,Items!$A$5:$A$597,0)),0))</f>
        <v/>
      </c>
      <c r="F1710" s="21" t="str">
        <f t="shared" si="130"/>
        <v/>
      </c>
      <c r="G1710" s="25" t="str">
        <f>IF(Receipts!$I1713="","",Receipts!$I1713)</f>
        <v/>
      </c>
      <c r="H1710" s="25" t="str">
        <f>IF(Receipts!$H1713="","",Receipts!$H1713)</f>
        <v/>
      </c>
      <c r="I1710" s="26" t="str">
        <f t="shared" ca="1" si="131"/>
        <v/>
      </c>
      <c r="J1710" s="26" t="str">
        <f>IF($A1710="","",COUNTIFS(tblReceipts[Item Name],$A1710,tblReceipts[Expiry Date],"&lt;"&amp;$H1710)+COUNTIFS(tblReceipts[Item Name],$A1710,tblReceipts[Expiry Date],$H1710,tblReceipts[Lot Number],"&lt;="&amp;Receipts!$C1713))</f>
        <v/>
      </c>
      <c r="K1710" s="26" t="str">
        <f>IF($A1710="","",SUMIFS(tblReceipts[Qty Received],tblReceipts[Item Name],$A1710,tblReceipts[Expiry Date],"&lt;"&amp;$H1710)+SUMIFS(tblReceipts[Qty Received],tblReceipts[Item Name],$A1710,tblReceipts[Expiry Date],$H1710,tblReceipts[Lot Number],"&lt;"&amp;Receipts!$C1713))</f>
        <v/>
      </c>
      <c r="L1710" s="26" t="str">
        <f>IF($A1710="","",MIN($D1710,MAX(0,SUMIFS(tblIssues[Qty Issued],tblIssues[Item Name],$A1710)-$K1710)))</f>
        <v/>
      </c>
      <c r="M1710" s="26" t="str">
        <f>IF($A1710="","",SUMIFS(tblIssues[Qty Issued],tblIssues[Lot Number],$B1710))</f>
        <v/>
      </c>
      <c r="N1710" s="26" t="str">
        <f t="shared" si="132"/>
        <v/>
      </c>
      <c r="O1710" s="26" t="str">
        <f t="shared" si="133"/>
        <v/>
      </c>
      <c r="P1710" s="21" t="str">
        <f t="shared" si="134"/>
        <v/>
      </c>
      <c r="Q1710" s="52" t="str">
        <f>IF($A1710="","",IF($O1710&lt;=0,"Depleted",IF($I1710&lt;0,"EXPIRED",IF($I1710&lt;=Settings!$C$6,"CRITICAL",IF($I1710&lt;=Settings!$C$5,"Expiring","In date")))))</f>
        <v/>
      </c>
    </row>
    <row r="1711" spans="1:17" x14ac:dyDescent="0.35">
      <c r="A1711" s="90" t="str">
        <f>IF(Receipts!$D1714="","",Receipts!$D1714)</f>
        <v/>
      </c>
      <c r="B1711" s="18" t="str">
        <f>IF(Receipts!$C1714="","",Receipts!$C1714)</f>
        <v/>
      </c>
      <c r="C1711" s="18" t="str">
        <f>IF($A1711="","",IFERROR(INDEX(Items!$B$5:$B$597,MATCH($A1711,Items!$A$5:$A$597,0)),""))</f>
        <v/>
      </c>
      <c r="D1711" s="23" t="str">
        <f>IF($A1711="","",N(Receipts!$G1714))</f>
        <v/>
      </c>
      <c r="E1711" s="20" t="str">
        <f>IF($A1711="","",IFERROR(INDEX(Items!$D$5:$D$597,MATCH($A1711,Items!$A$5:$A$597,0)),0))</f>
        <v/>
      </c>
      <c r="F1711" s="21" t="str">
        <f t="shared" si="130"/>
        <v/>
      </c>
      <c r="G1711" s="25" t="str">
        <f>IF(Receipts!$I1714="","",Receipts!$I1714)</f>
        <v/>
      </c>
      <c r="H1711" s="25" t="str">
        <f>IF(Receipts!$H1714="","",Receipts!$H1714)</f>
        <v/>
      </c>
      <c r="I1711" s="26" t="str">
        <f t="shared" ca="1" si="131"/>
        <v/>
      </c>
      <c r="J1711" s="26" t="str">
        <f>IF($A1711="","",COUNTIFS(tblReceipts[Item Name],$A1711,tblReceipts[Expiry Date],"&lt;"&amp;$H1711)+COUNTIFS(tblReceipts[Item Name],$A1711,tblReceipts[Expiry Date],$H1711,tblReceipts[Lot Number],"&lt;="&amp;Receipts!$C1714))</f>
        <v/>
      </c>
      <c r="K1711" s="26" t="str">
        <f>IF($A1711="","",SUMIFS(tblReceipts[Qty Received],tblReceipts[Item Name],$A1711,tblReceipts[Expiry Date],"&lt;"&amp;$H1711)+SUMIFS(tblReceipts[Qty Received],tblReceipts[Item Name],$A1711,tblReceipts[Expiry Date],$H1711,tblReceipts[Lot Number],"&lt;"&amp;Receipts!$C1714))</f>
        <v/>
      </c>
      <c r="L1711" s="26" t="str">
        <f>IF($A1711="","",MIN($D1711,MAX(0,SUMIFS(tblIssues[Qty Issued],tblIssues[Item Name],$A1711)-$K1711)))</f>
        <v/>
      </c>
      <c r="M1711" s="26" t="str">
        <f>IF($A1711="","",SUMIFS(tblIssues[Qty Issued],tblIssues[Lot Number],$B1711))</f>
        <v/>
      </c>
      <c r="N1711" s="26" t="str">
        <f t="shared" si="132"/>
        <v/>
      </c>
      <c r="O1711" s="26" t="str">
        <f t="shared" si="133"/>
        <v/>
      </c>
      <c r="P1711" s="21" t="str">
        <f t="shared" si="134"/>
        <v/>
      </c>
      <c r="Q1711" s="52" t="str">
        <f>IF($A1711="","",IF($O1711&lt;=0,"Depleted",IF($I1711&lt;0,"EXPIRED",IF($I1711&lt;=Settings!$C$6,"CRITICAL",IF($I1711&lt;=Settings!$C$5,"Expiring","In date")))))</f>
        <v/>
      </c>
    </row>
    <row r="1712" spans="1:17" x14ac:dyDescent="0.35">
      <c r="A1712" s="90" t="str">
        <f>IF(Receipts!$D1715="","",Receipts!$D1715)</f>
        <v/>
      </c>
      <c r="B1712" s="18" t="str">
        <f>IF(Receipts!$C1715="","",Receipts!$C1715)</f>
        <v/>
      </c>
      <c r="C1712" s="18" t="str">
        <f>IF($A1712="","",IFERROR(INDEX(Items!$B$5:$B$597,MATCH($A1712,Items!$A$5:$A$597,0)),""))</f>
        <v/>
      </c>
      <c r="D1712" s="23" t="str">
        <f>IF($A1712="","",N(Receipts!$G1715))</f>
        <v/>
      </c>
      <c r="E1712" s="20" t="str">
        <f>IF($A1712="","",IFERROR(INDEX(Items!$D$5:$D$597,MATCH($A1712,Items!$A$5:$A$597,0)),0))</f>
        <v/>
      </c>
      <c r="F1712" s="21" t="str">
        <f t="shared" si="130"/>
        <v/>
      </c>
      <c r="G1712" s="25" t="str">
        <f>IF(Receipts!$I1715="","",Receipts!$I1715)</f>
        <v/>
      </c>
      <c r="H1712" s="25" t="str">
        <f>IF(Receipts!$H1715="","",Receipts!$H1715)</f>
        <v/>
      </c>
      <c r="I1712" s="26" t="str">
        <f t="shared" ca="1" si="131"/>
        <v/>
      </c>
      <c r="J1712" s="26" t="str">
        <f>IF($A1712="","",COUNTIFS(tblReceipts[Item Name],$A1712,tblReceipts[Expiry Date],"&lt;"&amp;$H1712)+COUNTIFS(tblReceipts[Item Name],$A1712,tblReceipts[Expiry Date],$H1712,tblReceipts[Lot Number],"&lt;="&amp;Receipts!$C1715))</f>
        <v/>
      </c>
      <c r="K1712" s="26" t="str">
        <f>IF($A1712="","",SUMIFS(tblReceipts[Qty Received],tblReceipts[Item Name],$A1712,tblReceipts[Expiry Date],"&lt;"&amp;$H1712)+SUMIFS(tblReceipts[Qty Received],tblReceipts[Item Name],$A1712,tblReceipts[Expiry Date],$H1712,tblReceipts[Lot Number],"&lt;"&amp;Receipts!$C1715))</f>
        <v/>
      </c>
      <c r="L1712" s="26" t="str">
        <f>IF($A1712="","",MIN($D1712,MAX(0,SUMIFS(tblIssues[Qty Issued],tblIssues[Item Name],$A1712)-$K1712)))</f>
        <v/>
      </c>
      <c r="M1712" s="26" t="str">
        <f>IF($A1712="","",SUMIFS(tblIssues[Qty Issued],tblIssues[Lot Number],$B1712))</f>
        <v/>
      </c>
      <c r="N1712" s="26" t="str">
        <f t="shared" si="132"/>
        <v/>
      </c>
      <c r="O1712" s="26" t="str">
        <f t="shared" si="133"/>
        <v/>
      </c>
      <c r="P1712" s="21" t="str">
        <f t="shared" si="134"/>
        <v/>
      </c>
      <c r="Q1712" s="52" t="str">
        <f>IF($A1712="","",IF($O1712&lt;=0,"Depleted",IF($I1712&lt;0,"EXPIRED",IF($I1712&lt;=Settings!$C$6,"CRITICAL",IF($I1712&lt;=Settings!$C$5,"Expiring","In date")))))</f>
        <v/>
      </c>
    </row>
    <row r="1713" spans="1:17" x14ac:dyDescent="0.35">
      <c r="A1713" s="90" t="str">
        <f>IF(Receipts!$D1716="","",Receipts!$D1716)</f>
        <v/>
      </c>
      <c r="B1713" s="18" t="str">
        <f>IF(Receipts!$C1716="","",Receipts!$C1716)</f>
        <v/>
      </c>
      <c r="C1713" s="18" t="str">
        <f>IF($A1713="","",IFERROR(INDEX(Items!$B$5:$B$597,MATCH($A1713,Items!$A$5:$A$597,0)),""))</f>
        <v/>
      </c>
      <c r="D1713" s="23" t="str">
        <f>IF($A1713="","",N(Receipts!$G1716))</f>
        <v/>
      </c>
      <c r="E1713" s="20" t="str">
        <f>IF($A1713="","",IFERROR(INDEX(Items!$D$5:$D$597,MATCH($A1713,Items!$A$5:$A$597,0)),0))</f>
        <v/>
      </c>
      <c r="F1713" s="21" t="str">
        <f t="shared" si="130"/>
        <v/>
      </c>
      <c r="G1713" s="25" t="str">
        <f>IF(Receipts!$I1716="","",Receipts!$I1716)</f>
        <v/>
      </c>
      <c r="H1713" s="25" t="str">
        <f>IF(Receipts!$H1716="","",Receipts!$H1716)</f>
        <v/>
      </c>
      <c r="I1713" s="26" t="str">
        <f t="shared" ca="1" si="131"/>
        <v/>
      </c>
      <c r="J1713" s="26" t="str">
        <f>IF($A1713="","",COUNTIFS(tblReceipts[Item Name],$A1713,tblReceipts[Expiry Date],"&lt;"&amp;$H1713)+COUNTIFS(tblReceipts[Item Name],$A1713,tblReceipts[Expiry Date],$H1713,tblReceipts[Lot Number],"&lt;="&amp;Receipts!$C1716))</f>
        <v/>
      </c>
      <c r="K1713" s="26" t="str">
        <f>IF($A1713="","",SUMIFS(tblReceipts[Qty Received],tblReceipts[Item Name],$A1713,tblReceipts[Expiry Date],"&lt;"&amp;$H1713)+SUMIFS(tblReceipts[Qty Received],tblReceipts[Item Name],$A1713,tblReceipts[Expiry Date],$H1713,tblReceipts[Lot Number],"&lt;"&amp;Receipts!$C1716))</f>
        <v/>
      </c>
      <c r="L1713" s="26" t="str">
        <f>IF($A1713="","",MIN($D1713,MAX(0,SUMIFS(tblIssues[Qty Issued],tblIssues[Item Name],$A1713)-$K1713)))</f>
        <v/>
      </c>
      <c r="M1713" s="26" t="str">
        <f>IF($A1713="","",SUMIFS(tblIssues[Qty Issued],tblIssues[Lot Number],$B1713))</f>
        <v/>
      </c>
      <c r="N1713" s="26" t="str">
        <f t="shared" si="132"/>
        <v/>
      </c>
      <c r="O1713" s="26" t="str">
        <f t="shared" si="133"/>
        <v/>
      </c>
      <c r="P1713" s="21" t="str">
        <f t="shared" si="134"/>
        <v/>
      </c>
      <c r="Q1713" s="52" t="str">
        <f>IF($A1713="","",IF($O1713&lt;=0,"Depleted",IF($I1713&lt;0,"EXPIRED",IF($I1713&lt;=Settings!$C$6,"CRITICAL",IF($I1713&lt;=Settings!$C$5,"Expiring","In date")))))</f>
        <v/>
      </c>
    </row>
    <row r="1714" spans="1:17" x14ac:dyDescent="0.35">
      <c r="A1714" s="90" t="str">
        <f>IF(Receipts!$D1717="","",Receipts!$D1717)</f>
        <v/>
      </c>
      <c r="B1714" s="18" t="str">
        <f>IF(Receipts!$C1717="","",Receipts!$C1717)</f>
        <v/>
      </c>
      <c r="C1714" s="18" t="str">
        <f>IF($A1714="","",IFERROR(INDEX(Items!$B$5:$B$597,MATCH($A1714,Items!$A$5:$A$597,0)),""))</f>
        <v/>
      </c>
      <c r="D1714" s="23" t="str">
        <f>IF($A1714="","",N(Receipts!$G1717))</f>
        <v/>
      </c>
      <c r="E1714" s="20" t="str">
        <f>IF($A1714="","",IFERROR(INDEX(Items!$D$5:$D$597,MATCH($A1714,Items!$A$5:$A$597,0)),0))</f>
        <v/>
      </c>
      <c r="F1714" s="21" t="str">
        <f t="shared" si="130"/>
        <v/>
      </c>
      <c r="G1714" s="25" t="str">
        <f>IF(Receipts!$I1717="","",Receipts!$I1717)</f>
        <v/>
      </c>
      <c r="H1714" s="25" t="str">
        <f>IF(Receipts!$H1717="","",Receipts!$H1717)</f>
        <v/>
      </c>
      <c r="I1714" s="26" t="str">
        <f t="shared" ca="1" si="131"/>
        <v/>
      </c>
      <c r="J1714" s="26" t="str">
        <f>IF($A1714="","",COUNTIFS(tblReceipts[Item Name],$A1714,tblReceipts[Expiry Date],"&lt;"&amp;$H1714)+COUNTIFS(tblReceipts[Item Name],$A1714,tblReceipts[Expiry Date],$H1714,tblReceipts[Lot Number],"&lt;="&amp;Receipts!$C1717))</f>
        <v/>
      </c>
      <c r="K1714" s="26" t="str">
        <f>IF($A1714="","",SUMIFS(tblReceipts[Qty Received],tblReceipts[Item Name],$A1714,tblReceipts[Expiry Date],"&lt;"&amp;$H1714)+SUMIFS(tblReceipts[Qty Received],tblReceipts[Item Name],$A1714,tblReceipts[Expiry Date],$H1714,tblReceipts[Lot Number],"&lt;"&amp;Receipts!$C1717))</f>
        <v/>
      </c>
      <c r="L1714" s="26" t="str">
        <f>IF($A1714="","",MIN($D1714,MAX(0,SUMIFS(tblIssues[Qty Issued],tblIssues[Item Name],$A1714)-$K1714)))</f>
        <v/>
      </c>
      <c r="M1714" s="26" t="str">
        <f>IF($A1714="","",SUMIFS(tblIssues[Qty Issued],tblIssues[Lot Number],$B1714))</f>
        <v/>
      </c>
      <c r="N1714" s="26" t="str">
        <f t="shared" si="132"/>
        <v/>
      </c>
      <c r="O1714" s="26" t="str">
        <f t="shared" si="133"/>
        <v/>
      </c>
      <c r="P1714" s="21" t="str">
        <f t="shared" si="134"/>
        <v/>
      </c>
      <c r="Q1714" s="52" t="str">
        <f>IF($A1714="","",IF($O1714&lt;=0,"Depleted",IF($I1714&lt;0,"EXPIRED",IF($I1714&lt;=Settings!$C$6,"CRITICAL",IF($I1714&lt;=Settings!$C$5,"Expiring","In date")))))</f>
        <v/>
      </c>
    </row>
    <row r="1715" spans="1:17" x14ac:dyDescent="0.35">
      <c r="A1715" s="90" t="str">
        <f>IF(Receipts!$D1718="","",Receipts!$D1718)</f>
        <v/>
      </c>
      <c r="B1715" s="18" t="str">
        <f>IF(Receipts!$C1718="","",Receipts!$C1718)</f>
        <v/>
      </c>
      <c r="C1715" s="18" t="str">
        <f>IF($A1715="","",IFERROR(INDEX(Items!$B$5:$B$597,MATCH($A1715,Items!$A$5:$A$597,0)),""))</f>
        <v/>
      </c>
      <c r="D1715" s="23" t="str">
        <f>IF($A1715="","",N(Receipts!$G1718))</f>
        <v/>
      </c>
      <c r="E1715" s="20" t="str">
        <f>IF($A1715="","",IFERROR(INDEX(Items!$D$5:$D$597,MATCH($A1715,Items!$A$5:$A$597,0)),0))</f>
        <v/>
      </c>
      <c r="F1715" s="21" t="str">
        <f t="shared" si="130"/>
        <v/>
      </c>
      <c r="G1715" s="25" t="str">
        <f>IF(Receipts!$I1718="","",Receipts!$I1718)</f>
        <v/>
      </c>
      <c r="H1715" s="25" t="str">
        <f>IF(Receipts!$H1718="","",Receipts!$H1718)</f>
        <v/>
      </c>
      <c r="I1715" s="26" t="str">
        <f t="shared" ca="1" si="131"/>
        <v/>
      </c>
      <c r="J1715" s="26" t="str">
        <f>IF($A1715="","",COUNTIFS(tblReceipts[Item Name],$A1715,tblReceipts[Expiry Date],"&lt;"&amp;$H1715)+COUNTIFS(tblReceipts[Item Name],$A1715,tblReceipts[Expiry Date],$H1715,tblReceipts[Lot Number],"&lt;="&amp;Receipts!$C1718))</f>
        <v/>
      </c>
      <c r="K1715" s="26" t="str">
        <f>IF($A1715="","",SUMIFS(tblReceipts[Qty Received],tblReceipts[Item Name],$A1715,tblReceipts[Expiry Date],"&lt;"&amp;$H1715)+SUMIFS(tblReceipts[Qty Received],tblReceipts[Item Name],$A1715,tblReceipts[Expiry Date],$H1715,tblReceipts[Lot Number],"&lt;"&amp;Receipts!$C1718))</f>
        <v/>
      </c>
      <c r="L1715" s="26" t="str">
        <f>IF($A1715="","",MIN($D1715,MAX(0,SUMIFS(tblIssues[Qty Issued],tblIssues[Item Name],$A1715)-$K1715)))</f>
        <v/>
      </c>
      <c r="M1715" s="26" t="str">
        <f>IF($A1715="","",SUMIFS(tblIssues[Qty Issued],tblIssues[Lot Number],$B1715))</f>
        <v/>
      </c>
      <c r="N1715" s="26" t="str">
        <f t="shared" si="132"/>
        <v/>
      </c>
      <c r="O1715" s="26" t="str">
        <f t="shared" si="133"/>
        <v/>
      </c>
      <c r="P1715" s="21" t="str">
        <f t="shared" si="134"/>
        <v/>
      </c>
      <c r="Q1715" s="52" t="str">
        <f>IF($A1715="","",IF($O1715&lt;=0,"Depleted",IF($I1715&lt;0,"EXPIRED",IF($I1715&lt;=Settings!$C$6,"CRITICAL",IF($I1715&lt;=Settings!$C$5,"Expiring","In date")))))</f>
        <v/>
      </c>
    </row>
    <row r="1716" spans="1:17" x14ac:dyDescent="0.35">
      <c r="A1716" s="90" t="str">
        <f>IF(Receipts!$D1719="","",Receipts!$D1719)</f>
        <v/>
      </c>
      <c r="B1716" s="18" t="str">
        <f>IF(Receipts!$C1719="","",Receipts!$C1719)</f>
        <v/>
      </c>
      <c r="C1716" s="18" t="str">
        <f>IF($A1716="","",IFERROR(INDEX(Items!$B$5:$B$597,MATCH($A1716,Items!$A$5:$A$597,0)),""))</f>
        <v/>
      </c>
      <c r="D1716" s="23" t="str">
        <f>IF($A1716="","",N(Receipts!$G1719))</f>
        <v/>
      </c>
      <c r="E1716" s="20" t="str">
        <f>IF($A1716="","",IFERROR(INDEX(Items!$D$5:$D$597,MATCH($A1716,Items!$A$5:$A$597,0)),0))</f>
        <v/>
      </c>
      <c r="F1716" s="21" t="str">
        <f t="shared" si="130"/>
        <v/>
      </c>
      <c r="G1716" s="25" t="str">
        <f>IF(Receipts!$I1719="","",Receipts!$I1719)</f>
        <v/>
      </c>
      <c r="H1716" s="25" t="str">
        <f>IF(Receipts!$H1719="","",Receipts!$H1719)</f>
        <v/>
      </c>
      <c r="I1716" s="26" t="str">
        <f t="shared" ca="1" si="131"/>
        <v/>
      </c>
      <c r="J1716" s="26" t="str">
        <f>IF($A1716="","",COUNTIFS(tblReceipts[Item Name],$A1716,tblReceipts[Expiry Date],"&lt;"&amp;$H1716)+COUNTIFS(tblReceipts[Item Name],$A1716,tblReceipts[Expiry Date],$H1716,tblReceipts[Lot Number],"&lt;="&amp;Receipts!$C1719))</f>
        <v/>
      </c>
      <c r="K1716" s="26" t="str">
        <f>IF($A1716="","",SUMIFS(tblReceipts[Qty Received],tblReceipts[Item Name],$A1716,tblReceipts[Expiry Date],"&lt;"&amp;$H1716)+SUMIFS(tblReceipts[Qty Received],tblReceipts[Item Name],$A1716,tblReceipts[Expiry Date],$H1716,tblReceipts[Lot Number],"&lt;"&amp;Receipts!$C1719))</f>
        <v/>
      </c>
      <c r="L1716" s="26" t="str">
        <f>IF($A1716="","",MIN($D1716,MAX(0,SUMIFS(tblIssues[Qty Issued],tblIssues[Item Name],$A1716)-$K1716)))</f>
        <v/>
      </c>
      <c r="M1716" s="26" t="str">
        <f>IF($A1716="","",SUMIFS(tblIssues[Qty Issued],tblIssues[Lot Number],$B1716))</f>
        <v/>
      </c>
      <c r="N1716" s="26" t="str">
        <f t="shared" si="132"/>
        <v/>
      </c>
      <c r="O1716" s="26" t="str">
        <f t="shared" si="133"/>
        <v/>
      </c>
      <c r="P1716" s="21" t="str">
        <f t="shared" si="134"/>
        <v/>
      </c>
      <c r="Q1716" s="52" t="str">
        <f>IF($A1716="","",IF($O1716&lt;=0,"Depleted",IF($I1716&lt;0,"EXPIRED",IF($I1716&lt;=Settings!$C$6,"CRITICAL",IF($I1716&lt;=Settings!$C$5,"Expiring","In date")))))</f>
        <v/>
      </c>
    </row>
    <row r="1717" spans="1:17" x14ac:dyDescent="0.35">
      <c r="A1717" s="90" t="str">
        <f>IF(Receipts!$D1720="","",Receipts!$D1720)</f>
        <v/>
      </c>
      <c r="B1717" s="18" t="str">
        <f>IF(Receipts!$C1720="","",Receipts!$C1720)</f>
        <v/>
      </c>
      <c r="C1717" s="18" t="str">
        <f>IF($A1717="","",IFERROR(INDEX(Items!$B$5:$B$597,MATCH($A1717,Items!$A$5:$A$597,0)),""))</f>
        <v/>
      </c>
      <c r="D1717" s="23" t="str">
        <f>IF($A1717="","",N(Receipts!$G1720))</f>
        <v/>
      </c>
      <c r="E1717" s="20" t="str">
        <f>IF($A1717="","",IFERROR(INDEX(Items!$D$5:$D$597,MATCH($A1717,Items!$A$5:$A$597,0)),0))</f>
        <v/>
      </c>
      <c r="F1717" s="21" t="str">
        <f t="shared" si="130"/>
        <v/>
      </c>
      <c r="G1717" s="25" t="str">
        <f>IF(Receipts!$I1720="","",Receipts!$I1720)</f>
        <v/>
      </c>
      <c r="H1717" s="25" t="str">
        <f>IF(Receipts!$H1720="","",Receipts!$H1720)</f>
        <v/>
      </c>
      <c r="I1717" s="26" t="str">
        <f t="shared" ca="1" si="131"/>
        <v/>
      </c>
      <c r="J1717" s="26" t="str">
        <f>IF($A1717="","",COUNTIFS(tblReceipts[Item Name],$A1717,tblReceipts[Expiry Date],"&lt;"&amp;$H1717)+COUNTIFS(tblReceipts[Item Name],$A1717,tblReceipts[Expiry Date],$H1717,tblReceipts[Lot Number],"&lt;="&amp;Receipts!$C1720))</f>
        <v/>
      </c>
      <c r="K1717" s="26" t="str">
        <f>IF($A1717="","",SUMIFS(tblReceipts[Qty Received],tblReceipts[Item Name],$A1717,tblReceipts[Expiry Date],"&lt;"&amp;$H1717)+SUMIFS(tblReceipts[Qty Received],tblReceipts[Item Name],$A1717,tblReceipts[Expiry Date],$H1717,tblReceipts[Lot Number],"&lt;"&amp;Receipts!$C1720))</f>
        <v/>
      </c>
      <c r="L1717" s="26" t="str">
        <f>IF($A1717="","",MIN($D1717,MAX(0,SUMIFS(tblIssues[Qty Issued],tblIssues[Item Name],$A1717)-$K1717)))</f>
        <v/>
      </c>
      <c r="M1717" s="26" t="str">
        <f>IF($A1717="","",SUMIFS(tblIssues[Qty Issued],tblIssues[Lot Number],$B1717))</f>
        <v/>
      </c>
      <c r="N1717" s="26" t="str">
        <f t="shared" si="132"/>
        <v/>
      </c>
      <c r="O1717" s="26" t="str">
        <f t="shared" si="133"/>
        <v/>
      </c>
      <c r="P1717" s="21" t="str">
        <f t="shared" si="134"/>
        <v/>
      </c>
      <c r="Q1717" s="52" t="str">
        <f>IF($A1717="","",IF($O1717&lt;=0,"Depleted",IF($I1717&lt;0,"EXPIRED",IF($I1717&lt;=Settings!$C$6,"CRITICAL",IF($I1717&lt;=Settings!$C$5,"Expiring","In date")))))</f>
        <v/>
      </c>
    </row>
    <row r="1718" spans="1:17" x14ac:dyDescent="0.35">
      <c r="A1718" s="90" t="str">
        <f>IF(Receipts!$D1721="","",Receipts!$D1721)</f>
        <v/>
      </c>
      <c r="B1718" s="18" t="str">
        <f>IF(Receipts!$C1721="","",Receipts!$C1721)</f>
        <v/>
      </c>
      <c r="C1718" s="18" t="str">
        <f>IF($A1718="","",IFERROR(INDEX(Items!$B$5:$B$597,MATCH($A1718,Items!$A$5:$A$597,0)),""))</f>
        <v/>
      </c>
      <c r="D1718" s="23" t="str">
        <f>IF($A1718="","",N(Receipts!$G1721))</f>
        <v/>
      </c>
      <c r="E1718" s="20" t="str">
        <f>IF($A1718="","",IFERROR(INDEX(Items!$D$5:$D$597,MATCH($A1718,Items!$A$5:$A$597,0)),0))</f>
        <v/>
      </c>
      <c r="F1718" s="21" t="str">
        <f t="shared" si="130"/>
        <v/>
      </c>
      <c r="G1718" s="25" t="str">
        <f>IF(Receipts!$I1721="","",Receipts!$I1721)</f>
        <v/>
      </c>
      <c r="H1718" s="25" t="str">
        <f>IF(Receipts!$H1721="","",Receipts!$H1721)</f>
        <v/>
      </c>
      <c r="I1718" s="26" t="str">
        <f t="shared" ca="1" si="131"/>
        <v/>
      </c>
      <c r="J1718" s="26" t="str">
        <f>IF($A1718="","",COUNTIFS(tblReceipts[Item Name],$A1718,tblReceipts[Expiry Date],"&lt;"&amp;$H1718)+COUNTIFS(tblReceipts[Item Name],$A1718,tblReceipts[Expiry Date],$H1718,tblReceipts[Lot Number],"&lt;="&amp;Receipts!$C1721))</f>
        <v/>
      </c>
      <c r="K1718" s="26" t="str">
        <f>IF($A1718="","",SUMIFS(tblReceipts[Qty Received],tblReceipts[Item Name],$A1718,tblReceipts[Expiry Date],"&lt;"&amp;$H1718)+SUMIFS(tblReceipts[Qty Received],tblReceipts[Item Name],$A1718,tblReceipts[Expiry Date],$H1718,tblReceipts[Lot Number],"&lt;"&amp;Receipts!$C1721))</f>
        <v/>
      </c>
      <c r="L1718" s="26" t="str">
        <f>IF($A1718="","",MIN($D1718,MAX(0,SUMIFS(tblIssues[Qty Issued],tblIssues[Item Name],$A1718)-$K1718)))</f>
        <v/>
      </c>
      <c r="M1718" s="26" t="str">
        <f>IF($A1718="","",SUMIFS(tblIssues[Qty Issued],tblIssues[Lot Number],$B1718))</f>
        <v/>
      </c>
      <c r="N1718" s="26" t="str">
        <f t="shared" si="132"/>
        <v/>
      </c>
      <c r="O1718" s="26" t="str">
        <f t="shared" si="133"/>
        <v/>
      </c>
      <c r="P1718" s="21" t="str">
        <f t="shared" si="134"/>
        <v/>
      </c>
      <c r="Q1718" s="52" t="str">
        <f>IF($A1718="","",IF($O1718&lt;=0,"Depleted",IF($I1718&lt;0,"EXPIRED",IF($I1718&lt;=Settings!$C$6,"CRITICAL",IF($I1718&lt;=Settings!$C$5,"Expiring","In date")))))</f>
        <v/>
      </c>
    </row>
    <row r="1719" spans="1:17" x14ac:dyDescent="0.35">
      <c r="A1719" s="90" t="str">
        <f>IF(Receipts!$D1722="","",Receipts!$D1722)</f>
        <v/>
      </c>
      <c r="B1719" s="18" t="str">
        <f>IF(Receipts!$C1722="","",Receipts!$C1722)</f>
        <v/>
      </c>
      <c r="C1719" s="18" t="str">
        <f>IF($A1719="","",IFERROR(INDEX(Items!$B$5:$B$597,MATCH($A1719,Items!$A$5:$A$597,0)),""))</f>
        <v/>
      </c>
      <c r="D1719" s="23" t="str">
        <f>IF($A1719="","",N(Receipts!$G1722))</f>
        <v/>
      </c>
      <c r="E1719" s="20" t="str">
        <f>IF($A1719="","",IFERROR(INDEX(Items!$D$5:$D$597,MATCH($A1719,Items!$A$5:$A$597,0)),0))</f>
        <v/>
      </c>
      <c r="F1719" s="21" t="str">
        <f t="shared" si="130"/>
        <v/>
      </c>
      <c r="G1719" s="25" t="str">
        <f>IF(Receipts!$I1722="","",Receipts!$I1722)</f>
        <v/>
      </c>
      <c r="H1719" s="25" t="str">
        <f>IF(Receipts!$H1722="","",Receipts!$H1722)</f>
        <v/>
      </c>
      <c r="I1719" s="26" t="str">
        <f t="shared" ca="1" si="131"/>
        <v/>
      </c>
      <c r="J1719" s="26" t="str">
        <f>IF($A1719="","",COUNTIFS(tblReceipts[Item Name],$A1719,tblReceipts[Expiry Date],"&lt;"&amp;$H1719)+COUNTIFS(tblReceipts[Item Name],$A1719,tblReceipts[Expiry Date],$H1719,tblReceipts[Lot Number],"&lt;="&amp;Receipts!$C1722))</f>
        <v/>
      </c>
      <c r="K1719" s="26" t="str">
        <f>IF($A1719="","",SUMIFS(tblReceipts[Qty Received],tblReceipts[Item Name],$A1719,tblReceipts[Expiry Date],"&lt;"&amp;$H1719)+SUMIFS(tblReceipts[Qty Received],tblReceipts[Item Name],$A1719,tblReceipts[Expiry Date],$H1719,tblReceipts[Lot Number],"&lt;"&amp;Receipts!$C1722))</f>
        <v/>
      </c>
      <c r="L1719" s="26" t="str">
        <f>IF($A1719="","",MIN($D1719,MAX(0,SUMIFS(tblIssues[Qty Issued],tblIssues[Item Name],$A1719)-$K1719)))</f>
        <v/>
      </c>
      <c r="M1719" s="26" t="str">
        <f>IF($A1719="","",SUMIFS(tblIssues[Qty Issued],tblIssues[Lot Number],$B1719))</f>
        <v/>
      </c>
      <c r="N1719" s="26" t="str">
        <f t="shared" si="132"/>
        <v/>
      </c>
      <c r="O1719" s="26" t="str">
        <f t="shared" si="133"/>
        <v/>
      </c>
      <c r="P1719" s="21" t="str">
        <f t="shared" si="134"/>
        <v/>
      </c>
      <c r="Q1719" s="52" t="str">
        <f>IF($A1719="","",IF($O1719&lt;=0,"Depleted",IF($I1719&lt;0,"EXPIRED",IF($I1719&lt;=Settings!$C$6,"CRITICAL",IF($I1719&lt;=Settings!$C$5,"Expiring","In date")))))</f>
        <v/>
      </c>
    </row>
    <row r="1720" spans="1:17" x14ac:dyDescent="0.35">
      <c r="A1720" s="90" t="str">
        <f>IF(Receipts!$D1723="","",Receipts!$D1723)</f>
        <v/>
      </c>
      <c r="B1720" s="18" t="str">
        <f>IF(Receipts!$C1723="","",Receipts!$C1723)</f>
        <v/>
      </c>
      <c r="C1720" s="18" t="str">
        <f>IF($A1720="","",IFERROR(INDEX(Items!$B$5:$B$597,MATCH($A1720,Items!$A$5:$A$597,0)),""))</f>
        <v/>
      </c>
      <c r="D1720" s="23" t="str">
        <f>IF($A1720="","",N(Receipts!$G1723))</f>
        <v/>
      </c>
      <c r="E1720" s="20" t="str">
        <f>IF($A1720="","",IFERROR(INDEX(Items!$D$5:$D$597,MATCH($A1720,Items!$A$5:$A$597,0)),0))</f>
        <v/>
      </c>
      <c r="F1720" s="21" t="str">
        <f t="shared" si="130"/>
        <v/>
      </c>
      <c r="G1720" s="25" t="str">
        <f>IF(Receipts!$I1723="","",Receipts!$I1723)</f>
        <v/>
      </c>
      <c r="H1720" s="25" t="str">
        <f>IF(Receipts!$H1723="","",Receipts!$H1723)</f>
        <v/>
      </c>
      <c r="I1720" s="26" t="str">
        <f t="shared" ca="1" si="131"/>
        <v/>
      </c>
      <c r="J1720" s="26" t="str">
        <f>IF($A1720="","",COUNTIFS(tblReceipts[Item Name],$A1720,tblReceipts[Expiry Date],"&lt;"&amp;$H1720)+COUNTIFS(tblReceipts[Item Name],$A1720,tblReceipts[Expiry Date],$H1720,tblReceipts[Lot Number],"&lt;="&amp;Receipts!$C1723))</f>
        <v/>
      </c>
      <c r="K1720" s="26" t="str">
        <f>IF($A1720="","",SUMIFS(tblReceipts[Qty Received],tblReceipts[Item Name],$A1720,tblReceipts[Expiry Date],"&lt;"&amp;$H1720)+SUMIFS(tblReceipts[Qty Received],tblReceipts[Item Name],$A1720,tblReceipts[Expiry Date],$H1720,tblReceipts[Lot Number],"&lt;"&amp;Receipts!$C1723))</f>
        <v/>
      </c>
      <c r="L1720" s="26" t="str">
        <f>IF($A1720="","",MIN($D1720,MAX(0,SUMIFS(tblIssues[Qty Issued],tblIssues[Item Name],$A1720)-$K1720)))</f>
        <v/>
      </c>
      <c r="M1720" s="26" t="str">
        <f>IF($A1720="","",SUMIFS(tblIssues[Qty Issued],tblIssues[Lot Number],$B1720))</f>
        <v/>
      </c>
      <c r="N1720" s="26" t="str">
        <f t="shared" si="132"/>
        <v/>
      </c>
      <c r="O1720" s="26" t="str">
        <f t="shared" si="133"/>
        <v/>
      </c>
      <c r="P1720" s="21" t="str">
        <f t="shared" si="134"/>
        <v/>
      </c>
      <c r="Q1720" s="52" t="str">
        <f>IF($A1720="","",IF($O1720&lt;=0,"Depleted",IF($I1720&lt;0,"EXPIRED",IF($I1720&lt;=Settings!$C$6,"CRITICAL",IF($I1720&lt;=Settings!$C$5,"Expiring","In date")))))</f>
        <v/>
      </c>
    </row>
    <row r="1721" spans="1:17" x14ac:dyDescent="0.35">
      <c r="A1721" s="90" t="str">
        <f>IF(Receipts!$D1724="","",Receipts!$D1724)</f>
        <v/>
      </c>
      <c r="B1721" s="18" t="str">
        <f>IF(Receipts!$C1724="","",Receipts!$C1724)</f>
        <v/>
      </c>
      <c r="C1721" s="18" t="str">
        <f>IF($A1721="","",IFERROR(INDEX(Items!$B$5:$B$597,MATCH($A1721,Items!$A$5:$A$597,0)),""))</f>
        <v/>
      </c>
      <c r="D1721" s="23" t="str">
        <f>IF($A1721="","",N(Receipts!$G1724))</f>
        <v/>
      </c>
      <c r="E1721" s="20" t="str">
        <f>IF($A1721="","",IFERROR(INDEX(Items!$D$5:$D$597,MATCH($A1721,Items!$A$5:$A$597,0)),0))</f>
        <v/>
      </c>
      <c r="F1721" s="21" t="str">
        <f t="shared" si="130"/>
        <v/>
      </c>
      <c r="G1721" s="25" t="str">
        <f>IF(Receipts!$I1724="","",Receipts!$I1724)</f>
        <v/>
      </c>
      <c r="H1721" s="25" t="str">
        <f>IF(Receipts!$H1724="","",Receipts!$H1724)</f>
        <v/>
      </c>
      <c r="I1721" s="26" t="str">
        <f t="shared" ca="1" si="131"/>
        <v/>
      </c>
      <c r="J1721" s="26" t="str">
        <f>IF($A1721="","",COUNTIFS(tblReceipts[Item Name],$A1721,tblReceipts[Expiry Date],"&lt;"&amp;$H1721)+COUNTIFS(tblReceipts[Item Name],$A1721,tblReceipts[Expiry Date],$H1721,tblReceipts[Lot Number],"&lt;="&amp;Receipts!$C1724))</f>
        <v/>
      </c>
      <c r="K1721" s="26" t="str">
        <f>IF($A1721="","",SUMIFS(tblReceipts[Qty Received],tblReceipts[Item Name],$A1721,tblReceipts[Expiry Date],"&lt;"&amp;$H1721)+SUMIFS(tblReceipts[Qty Received],tblReceipts[Item Name],$A1721,tblReceipts[Expiry Date],$H1721,tblReceipts[Lot Number],"&lt;"&amp;Receipts!$C1724))</f>
        <v/>
      </c>
      <c r="L1721" s="26" t="str">
        <f>IF($A1721="","",MIN($D1721,MAX(0,SUMIFS(tblIssues[Qty Issued],tblIssues[Item Name],$A1721)-$K1721)))</f>
        <v/>
      </c>
      <c r="M1721" s="26" t="str">
        <f>IF($A1721="","",SUMIFS(tblIssues[Qty Issued],tblIssues[Lot Number],$B1721))</f>
        <v/>
      </c>
      <c r="N1721" s="26" t="str">
        <f t="shared" si="132"/>
        <v/>
      </c>
      <c r="O1721" s="26" t="str">
        <f t="shared" si="133"/>
        <v/>
      </c>
      <c r="P1721" s="21" t="str">
        <f t="shared" si="134"/>
        <v/>
      </c>
      <c r="Q1721" s="52" t="str">
        <f>IF($A1721="","",IF($O1721&lt;=0,"Depleted",IF($I1721&lt;0,"EXPIRED",IF($I1721&lt;=Settings!$C$6,"CRITICAL",IF($I1721&lt;=Settings!$C$5,"Expiring","In date")))))</f>
        <v/>
      </c>
    </row>
    <row r="1722" spans="1:17" x14ac:dyDescent="0.35">
      <c r="A1722" s="90" t="str">
        <f>IF(Receipts!$D1725="","",Receipts!$D1725)</f>
        <v/>
      </c>
      <c r="B1722" s="18" t="str">
        <f>IF(Receipts!$C1725="","",Receipts!$C1725)</f>
        <v/>
      </c>
      <c r="C1722" s="18" t="str">
        <f>IF($A1722="","",IFERROR(INDEX(Items!$B$5:$B$597,MATCH($A1722,Items!$A$5:$A$597,0)),""))</f>
        <v/>
      </c>
      <c r="D1722" s="23" t="str">
        <f>IF($A1722="","",N(Receipts!$G1725))</f>
        <v/>
      </c>
      <c r="E1722" s="20" t="str">
        <f>IF($A1722="","",IFERROR(INDEX(Items!$D$5:$D$597,MATCH($A1722,Items!$A$5:$A$597,0)),0))</f>
        <v/>
      </c>
      <c r="F1722" s="21" t="str">
        <f t="shared" si="130"/>
        <v/>
      </c>
      <c r="G1722" s="25" t="str">
        <f>IF(Receipts!$I1725="","",Receipts!$I1725)</f>
        <v/>
      </c>
      <c r="H1722" s="25" t="str">
        <f>IF(Receipts!$H1725="","",Receipts!$H1725)</f>
        <v/>
      </c>
      <c r="I1722" s="26" t="str">
        <f t="shared" ca="1" si="131"/>
        <v/>
      </c>
      <c r="J1722" s="26" t="str">
        <f>IF($A1722="","",COUNTIFS(tblReceipts[Item Name],$A1722,tblReceipts[Expiry Date],"&lt;"&amp;$H1722)+COUNTIFS(tblReceipts[Item Name],$A1722,tblReceipts[Expiry Date],$H1722,tblReceipts[Lot Number],"&lt;="&amp;Receipts!$C1725))</f>
        <v/>
      </c>
      <c r="K1722" s="26" t="str">
        <f>IF($A1722="","",SUMIFS(tblReceipts[Qty Received],tblReceipts[Item Name],$A1722,tblReceipts[Expiry Date],"&lt;"&amp;$H1722)+SUMIFS(tblReceipts[Qty Received],tblReceipts[Item Name],$A1722,tblReceipts[Expiry Date],$H1722,tblReceipts[Lot Number],"&lt;"&amp;Receipts!$C1725))</f>
        <v/>
      </c>
      <c r="L1722" s="26" t="str">
        <f>IF($A1722="","",MIN($D1722,MAX(0,SUMIFS(tblIssues[Qty Issued],tblIssues[Item Name],$A1722)-$K1722)))</f>
        <v/>
      </c>
      <c r="M1722" s="26" t="str">
        <f>IF($A1722="","",SUMIFS(tblIssues[Qty Issued],tblIssues[Lot Number],$B1722))</f>
        <v/>
      </c>
      <c r="N1722" s="26" t="str">
        <f t="shared" si="132"/>
        <v/>
      </c>
      <c r="O1722" s="26" t="str">
        <f t="shared" si="133"/>
        <v/>
      </c>
      <c r="P1722" s="21" t="str">
        <f t="shared" si="134"/>
        <v/>
      </c>
      <c r="Q1722" s="52" t="str">
        <f>IF($A1722="","",IF($O1722&lt;=0,"Depleted",IF($I1722&lt;0,"EXPIRED",IF($I1722&lt;=Settings!$C$6,"CRITICAL",IF($I1722&lt;=Settings!$C$5,"Expiring","In date")))))</f>
        <v/>
      </c>
    </row>
    <row r="1723" spans="1:17" x14ac:dyDescent="0.35">
      <c r="A1723" s="90" t="str">
        <f>IF(Receipts!$D1726="","",Receipts!$D1726)</f>
        <v/>
      </c>
      <c r="B1723" s="18" t="str">
        <f>IF(Receipts!$C1726="","",Receipts!$C1726)</f>
        <v/>
      </c>
      <c r="C1723" s="18" t="str">
        <f>IF($A1723="","",IFERROR(INDEX(Items!$B$5:$B$597,MATCH($A1723,Items!$A$5:$A$597,0)),""))</f>
        <v/>
      </c>
      <c r="D1723" s="23" t="str">
        <f>IF($A1723="","",N(Receipts!$G1726))</f>
        <v/>
      </c>
      <c r="E1723" s="20" t="str">
        <f>IF($A1723="","",IFERROR(INDEX(Items!$D$5:$D$597,MATCH($A1723,Items!$A$5:$A$597,0)),0))</f>
        <v/>
      </c>
      <c r="F1723" s="21" t="str">
        <f t="shared" si="130"/>
        <v/>
      </c>
      <c r="G1723" s="25" t="str">
        <f>IF(Receipts!$I1726="","",Receipts!$I1726)</f>
        <v/>
      </c>
      <c r="H1723" s="25" t="str">
        <f>IF(Receipts!$H1726="","",Receipts!$H1726)</f>
        <v/>
      </c>
      <c r="I1723" s="26" t="str">
        <f t="shared" ca="1" si="131"/>
        <v/>
      </c>
      <c r="J1723" s="26" t="str">
        <f>IF($A1723="","",COUNTIFS(tblReceipts[Item Name],$A1723,tblReceipts[Expiry Date],"&lt;"&amp;$H1723)+COUNTIFS(tblReceipts[Item Name],$A1723,tblReceipts[Expiry Date],$H1723,tblReceipts[Lot Number],"&lt;="&amp;Receipts!$C1726))</f>
        <v/>
      </c>
      <c r="K1723" s="26" t="str">
        <f>IF($A1723="","",SUMIFS(tblReceipts[Qty Received],tblReceipts[Item Name],$A1723,tblReceipts[Expiry Date],"&lt;"&amp;$H1723)+SUMIFS(tblReceipts[Qty Received],tblReceipts[Item Name],$A1723,tblReceipts[Expiry Date],$H1723,tblReceipts[Lot Number],"&lt;"&amp;Receipts!$C1726))</f>
        <v/>
      </c>
      <c r="L1723" s="26" t="str">
        <f>IF($A1723="","",MIN($D1723,MAX(0,SUMIFS(tblIssues[Qty Issued],tblIssues[Item Name],$A1723)-$K1723)))</f>
        <v/>
      </c>
      <c r="M1723" s="26" t="str">
        <f>IF($A1723="","",SUMIFS(tblIssues[Qty Issued],tblIssues[Lot Number],$B1723))</f>
        <v/>
      </c>
      <c r="N1723" s="26" t="str">
        <f t="shared" si="132"/>
        <v/>
      </c>
      <c r="O1723" s="26" t="str">
        <f t="shared" si="133"/>
        <v/>
      </c>
      <c r="P1723" s="21" t="str">
        <f t="shared" si="134"/>
        <v/>
      </c>
      <c r="Q1723" s="52" t="str">
        <f>IF($A1723="","",IF($O1723&lt;=0,"Depleted",IF($I1723&lt;0,"EXPIRED",IF($I1723&lt;=Settings!$C$6,"CRITICAL",IF($I1723&lt;=Settings!$C$5,"Expiring","In date")))))</f>
        <v/>
      </c>
    </row>
    <row r="1724" spans="1:17" x14ac:dyDescent="0.35">
      <c r="A1724" s="90" t="str">
        <f>IF(Receipts!$D1727="","",Receipts!$D1727)</f>
        <v/>
      </c>
      <c r="B1724" s="18" t="str">
        <f>IF(Receipts!$C1727="","",Receipts!$C1727)</f>
        <v/>
      </c>
      <c r="C1724" s="18" t="str">
        <f>IF($A1724="","",IFERROR(INDEX(Items!$B$5:$B$597,MATCH($A1724,Items!$A$5:$A$597,0)),""))</f>
        <v/>
      </c>
      <c r="D1724" s="23" t="str">
        <f>IF($A1724="","",N(Receipts!$G1727))</f>
        <v/>
      </c>
      <c r="E1724" s="20" t="str">
        <f>IF($A1724="","",IFERROR(INDEX(Items!$D$5:$D$597,MATCH($A1724,Items!$A$5:$A$597,0)),0))</f>
        <v/>
      </c>
      <c r="F1724" s="21" t="str">
        <f t="shared" si="130"/>
        <v/>
      </c>
      <c r="G1724" s="25" t="str">
        <f>IF(Receipts!$I1727="","",Receipts!$I1727)</f>
        <v/>
      </c>
      <c r="H1724" s="25" t="str">
        <f>IF(Receipts!$H1727="","",Receipts!$H1727)</f>
        <v/>
      </c>
      <c r="I1724" s="26" t="str">
        <f t="shared" ca="1" si="131"/>
        <v/>
      </c>
      <c r="J1724" s="26" t="str">
        <f>IF($A1724="","",COUNTIFS(tblReceipts[Item Name],$A1724,tblReceipts[Expiry Date],"&lt;"&amp;$H1724)+COUNTIFS(tblReceipts[Item Name],$A1724,tblReceipts[Expiry Date],$H1724,tblReceipts[Lot Number],"&lt;="&amp;Receipts!$C1727))</f>
        <v/>
      </c>
      <c r="K1724" s="26" t="str">
        <f>IF($A1724="","",SUMIFS(tblReceipts[Qty Received],tblReceipts[Item Name],$A1724,tblReceipts[Expiry Date],"&lt;"&amp;$H1724)+SUMIFS(tblReceipts[Qty Received],tblReceipts[Item Name],$A1724,tblReceipts[Expiry Date],$H1724,tblReceipts[Lot Number],"&lt;"&amp;Receipts!$C1727))</f>
        <v/>
      </c>
      <c r="L1724" s="26" t="str">
        <f>IF($A1724="","",MIN($D1724,MAX(0,SUMIFS(tblIssues[Qty Issued],tblIssues[Item Name],$A1724)-$K1724)))</f>
        <v/>
      </c>
      <c r="M1724" s="26" t="str">
        <f>IF($A1724="","",SUMIFS(tblIssues[Qty Issued],tblIssues[Lot Number],$B1724))</f>
        <v/>
      </c>
      <c r="N1724" s="26" t="str">
        <f t="shared" si="132"/>
        <v/>
      </c>
      <c r="O1724" s="26" t="str">
        <f t="shared" si="133"/>
        <v/>
      </c>
      <c r="P1724" s="21" t="str">
        <f t="shared" si="134"/>
        <v/>
      </c>
      <c r="Q1724" s="52" t="str">
        <f>IF($A1724="","",IF($O1724&lt;=0,"Depleted",IF($I1724&lt;0,"EXPIRED",IF($I1724&lt;=Settings!$C$6,"CRITICAL",IF($I1724&lt;=Settings!$C$5,"Expiring","In date")))))</f>
        <v/>
      </c>
    </row>
    <row r="1725" spans="1:17" x14ac:dyDescent="0.35">
      <c r="A1725" s="90" t="str">
        <f>IF(Receipts!$D1728="","",Receipts!$D1728)</f>
        <v/>
      </c>
      <c r="B1725" s="18" t="str">
        <f>IF(Receipts!$C1728="","",Receipts!$C1728)</f>
        <v/>
      </c>
      <c r="C1725" s="18" t="str">
        <f>IF($A1725="","",IFERROR(INDEX(Items!$B$5:$B$597,MATCH($A1725,Items!$A$5:$A$597,0)),""))</f>
        <v/>
      </c>
      <c r="D1725" s="23" t="str">
        <f>IF($A1725="","",N(Receipts!$G1728))</f>
        <v/>
      </c>
      <c r="E1725" s="20" t="str">
        <f>IF($A1725="","",IFERROR(INDEX(Items!$D$5:$D$597,MATCH($A1725,Items!$A$5:$A$597,0)),0))</f>
        <v/>
      </c>
      <c r="F1725" s="21" t="str">
        <f t="shared" si="130"/>
        <v/>
      </c>
      <c r="G1725" s="25" t="str">
        <f>IF(Receipts!$I1728="","",Receipts!$I1728)</f>
        <v/>
      </c>
      <c r="H1725" s="25" t="str">
        <f>IF(Receipts!$H1728="","",Receipts!$H1728)</f>
        <v/>
      </c>
      <c r="I1725" s="26" t="str">
        <f t="shared" ca="1" si="131"/>
        <v/>
      </c>
      <c r="J1725" s="26" t="str">
        <f>IF($A1725="","",COUNTIFS(tblReceipts[Item Name],$A1725,tblReceipts[Expiry Date],"&lt;"&amp;$H1725)+COUNTIFS(tblReceipts[Item Name],$A1725,tblReceipts[Expiry Date],$H1725,tblReceipts[Lot Number],"&lt;="&amp;Receipts!$C1728))</f>
        <v/>
      </c>
      <c r="K1725" s="26" t="str">
        <f>IF($A1725="","",SUMIFS(tblReceipts[Qty Received],tblReceipts[Item Name],$A1725,tblReceipts[Expiry Date],"&lt;"&amp;$H1725)+SUMIFS(tblReceipts[Qty Received],tblReceipts[Item Name],$A1725,tblReceipts[Expiry Date],$H1725,tblReceipts[Lot Number],"&lt;"&amp;Receipts!$C1728))</f>
        <v/>
      </c>
      <c r="L1725" s="26" t="str">
        <f>IF($A1725="","",MIN($D1725,MAX(0,SUMIFS(tblIssues[Qty Issued],tblIssues[Item Name],$A1725)-$K1725)))</f>
        <v/>
      </c>
      <c r="M1725" s="26" t="str">
        <f>IF($A1725="","",SUMIFS(tblIssues[Qty Issued],tblIssues[Lot Number],$B1725))</f>
        <v/>
      </c>
      <c r="N1725" s="26" t="str">
        <f t="shared" si="132"/>
        <v/>
      </c>
      <c r="O1725" s="26" t="str">
        <f t="shared" si="133"/>
        <v/>
      </c>
      <c r="P1725" s="21" t="str">
        <f t="shared" si="134"/>
        <v/>
      </c>
      <c r="Q1725" s="52" t="str">
        <f>IF($A1725="","",IF($O1725&lt;=0,"Depleted",IF($I1725&lt;0,"EXPIRED",IF($I1725&lt;=Settings!$C$6,"CRITICAL",IF($I1725&lt;=Settings!$C$5,"Expiring","In date")))))</f>
        <v/>
      </c>
    </row>
    <row r="1726" spans="1:17" x14ac:dyDescent="0.35">
      <c r="A1726" s="90" t="str">
        <f>IF(Receipts!$D1729="","",Receipts!$D1729)</f>
        <v/>
      </c>
      <c r="B1726" s="18" t="str">
        <f>IF(Receipts!$C1729="","",Receipts!$C1729)</f>
        <v/>
      </c>
      <c r="C1726" s="18" t="str">
        <f>IF($A1726="","",IFERROR(INDEX(Items!$B$5:$B$597,MATCH($A1726,Items!$A$5:$A$597,0)),""))</f>
        <v/>
      </c>
      <c r="D1726" s="23" t="str">
        <f>IF($A1726="","",N(Receipts!$G1729))</f>
        <v/>
      </c>
      <c r="E1726" s="20" t="str">
        <f>IF($A1726="","",IFERROR(INDEX(Items!$D$5:$D$597,MATCH($A1726,Items!$A$5:$A$597,0)),0))</f>
        <v/>
      </c>
      <c r="F1726" s="21" t="str">
        <f t="shared" si="130"/>
        <v/>
      </c>
      <c r="G1726" s="25" t="str">
        <f>IF(Receipts!$I1729="","",Receipts!$I1729)</f>
        <v/>
      </c>
      <c r="H1726" s="25" t="str">
        <f>IF(Receipts!$H1729="","",Receipts!$H1729)</f>
        <v/>
      </c>
      <c r="I1726" s="26" t="str">
        <f t="shared" ca="1" si="131"/>
        <v/>
      </c>
      <c r="J1726" s="26" t="str">
        <f>IF($A1726="","",COUNTIFS(tblReceipts[Item Name],$A1726,tblReceipts[Expiry Date],"&lt;"&amp;$H1726)+COUNTIFS(tblReceipts[Item Name],$A1726,tblReceipts[Expiry Date],$H1726,tblReceipts[Lot Number],"&lt;="&amp;Receipts!$C1729))</f>
        <v/>
      </c>
      <c r="K1726" s="26" t="str">
        <f>IF($A1726="","",SUMIFS(tblReceipts[Qty Received],tblReceipts[Item Name],$A1726,tblReceipts[Expiry Date],"&lt;"&amp;$H1726)+SUMIFS(tblReceipts[Qty Received],tblReceipts[Item Name],$A1726,tblReceipts[Expiry Date],$H1726,tblReceipts[Lot Number],"&lt;"&amp;Receipts!$C1729))</f>
        <v/>
      </c>
      <c r="L1726" s="26" t="str">
        <f>IF($A1726="","",MIN($D1726,MAX(0,SUMIFS(tblIssues[Qty Issued],tblIssues[Item Name],$A1726)-$K1726)))</f>
        <v/>
      </c>
      <c r="M1726" s="26" t="str">
        <f>IF($A1726="","",SUMIFS(tblIssues[Qty Issued],tblIssues[Lot Number],$B1726))</f>
        <v/>
      </c>
      <c r="N1726" s="26" t="str">
        <f t="shared" si="132"/>
        <v/>
      </c>
      <c r="O1726" s="26" t="str">
        <f t="shared" si="133"/>
        <v/>
      </c>
      <c r="P1726" s="21" t="str">
        <f t="shared" si="134"/>
        <v/>
      </c>
      <c r="Q1726" s="52" t="str">
        <f>IF($A1726="","",IF($O1726&lt;=0,"Depleted",IF($I1726&lt;0,"EXPIRED",IF($I1726&lt;=Settings!$C$6,"CRITICAL",IF($I1726&lt;=Settings!$C$5,"Expiring","In date")))))</f>
        <v/>
      </c>
    </row>
    <row r="1727" spans="1:17" x14ac:dyDescent="0.35">
      <c r="A1727" s="90" t="str">
        <f>IF(Receipts!$D1730="","",Receipts!$D1730)</f>
        <v/>
      </c>
      <c r="B1727" s="18" t="str">
        <f>IF(Receipts!$C1730="","",Receipts!$C1730)</f>
        <v/>
      </c>
      <c r="C1727" s="18" t="str">
        <f>IF($A1727="","",IFERROR(INDEX(Items!$B$5:$B$597,MATCH($A1727,Items!$A$5:$A$597,0)),""))</f>
        <v/>
      </c>
      <c r="D1727" s="23" t="str">
        <f>IF($A1727="","",N(Receipts!$G1730))</f>
        <v/>
      </c>
      <c r="E1727" s="20" t="str">
        <f>IF($A1727="","",IFERROR(INDEX(Items!$D$5:$D$597,MATCH($A1727,Items!$A$5:$A$597,0)),0))</f>
        <v/>
      </c>
      <c r="F1727" s="21" t="str">
        <f t="shared" si="130"/>
        <v/>
      </c>
      <c r="G1727" s="25" t="str">
        <f>IF(Receipts!$I1730="","",Receipts!$I1730)</f>
        <v/>
      </c>
      <c r="H1727" s="25" t="str">
        <f>IF(Receipts!$H1730="","",Receipts!$H1730)</f>
        <v/>
      </c>
      <c r="I1727" s="26" t="str">
        <f t="shared" ca="1" si="131"/>
        <v/>
      </c>
      <c r="J1727" s="26" t="str">
        <f>IF($A1727="","",COUNTIFS(tblReceipts[Item Name],$A1727,tblReceipts[Expiry Date],"&lt;"&amp;$H1727)+COUNTIFS(tblReceipts[Item Name],$A1727,tblReceipts[Expiry Date],$H1727,tblReceipts[Lot Number],"&lt;="&amp;Receipts!$C1730))</f>
        <v/>
      </c>
      <c r="K1727" s="26" t="str">
        <f>IF($A1727="","",SUMIFS(tblReceipts[Qty Received],tblReceipts[Item Name],$A1727,tblReceipts[Expiry Date],"&lt;"&amp;$H1727)+SUMIFS(tblReceipts[Qty Received],tblReceipts[Item Name],$A1727,tblReceipts[Expiry Date],$H1727,tblReceipts[Lot Number],"&lt;"&amp;Receipts!$C1730))</f>
        <v/>
      </c>
      <c r="L1727" s="26" t="str">
        <f>IF($A1727="","",MIN($D1727,MAX(0,SUMIFS(tblIssues[Qty Issued],tblIssues[Item Name],$A1727)-$K1727)))</f>
        <v/>
      </c>
      <c r="M1727" s="26" t="str">
        <f>IF($A1727="","",SUMIFS(tblIssues[Qty Issued],tblIssues[Lot Number],$B1727))</f>
        <v/>
      </c>
      <c r="N1727" s="26" t="str">
        <f t="shared" si="132"/>
        <v/>
      </c>
      <c r="O1727" s="26" t="str">
        <f t="shared" si="133"/>
        <v/>
      </c>
      <c r="P1727" s="21" t="str">
        <f t="shared" si="134"/>
        <v/>
      </c>
      <c r="Q1727" s="52" t="str">
        <f>IF($A1727="","",IF($O1727&lt;=0,"Depleted",IF($I1727&lt;0,"EXPIRED",IF($I1727&lt;=Settings!$C$6,"CRITICAL",IF($I1727&lt;=Settings!$C$5,"Expiring","In date")))))</f>
        <v/>
      </c>
    </row>
    <row r="1728" spans="1:17" x14ac:dyDescent="0.35">
      <c r="A1728" s="90" t="str">
        <f>IF(Receipts!$D1731="","",Receipts!$D1731)</f>
        <v/>
      </c>
      <c r="B1728" s="18" t="str">
        <f>IF(Receipts!$C1731="","",Receipts!$C1731)</f>
        <v/>
      </c>
      <c r="C1728" s="18" t="str">
        <f>IF($A1728="","",IFERROR(INDEX(Items!$B$5:$B$597,MATCH($A1728,Items!$A$5:$A$597,0)),""))</f>
        <v/>
      </c>
      <c r="D1728" s="23" t="str">
        <f>IF($A1728="","",N(Receipts!$G1731))</f>
        <v/>
      </c>
      <c r="E1728" s="20" t="str">
        <f>IF($A1728="","",IFERROR(INDEX(Items!$D$5:$D$597,MATCH($A1728,Items!$A$5:$A$597,0)),0))</f>
        <v/>
      </c>
      <c r="F1728" s="21" t="str">
        <f t="shared" si="130"/>
        <v/>
      </c>
      <c r="G1728" s="25" t="str">
        <f>IF(Receipts!$I1731="","",Receipts!$I1731)</f>
        <v/>
      </c>
      <c r="H1728" s="25" t="str">
        <f>IF(Receipts!$H1731="","",Receipts!$H1731)</f>
        <v/>
      </c>
      <c r="I1728" s="26" t="str">
        <f t="shared" ca="1" si="131"/>
        <v/>
      </c>
      <c r="J1728" s="26" t="str">
        <f>IF($A1728="","",COUNTIFS(tblReceipts[Item Name],$A1728,tblReceipts[Expiry Date],"&lt;"&amp;$H1728)+COUNTIFS(tblReceipts[Item Name],$A1728,tblReceipts[Expiry Date],$H1728,tblReceipts[Lot Number],"&lt;="&amp;Receipts!$C1731))</f>
        <v/>
      </c>
      <c r="K1728" s="26" t="str">
        <f>IF($A1728="","",SUMIFS(tblReceipts[Qty Received],tblReceipts[Item Name],$A1728,tblReceipts[Expiry Date],"&lt;"&amp;$H1728)+SUMIFS(tblReceipts[Qty Received],tblReceipts[Item Name],$A1728,tblReceipts[Expiry Date],$H1728,tblReceipts[Lot Number],"&lt;"&amp;Receipts!$C1731))</f>
        <v/>
      </c>
      <c r="L1728" s="26" t="str">
        <f>IF($A1728="","",MIN($D1728,MAX(0,SUMIFS(tblIssues[Qty Issued],tblIssues[Item Name],$A1728)-$K1728)))</f>
        <v/>
      </c>
      <c r="M1728" s="26" t="str">
        <f>IF($A1728="","",SUMIFS(tblIssues[Qty Issued],tblIssues[Lot Number],$B1728))</f>
        <v/>
      </c>
      <c r="N1728" s="26" t="str">
        <f t="shared" si="132"/>
        <v/>
      </c>
      <c r="O1728" s="26" t="str">
        <f t="shared" si="133"/>
        <v/>
      </c>
      <c r="P1728" s="21" t="str">
        <f t="shared" si="134"/>
        <v/>
      </c>
      <c r="Q1728" s="52" t="str">
        <f>IF($A1728="","",IF($O1728&lt;=0,"Depleted",IF($I1728&lt;0,"EXPIRED",IF($I1728&lt;=Settings!$C$6,"CRITICAL",IF($I1728&lt;=Settings!$C$5,"Expiring","In date")))))</f>
        <v/>
      </c>
    </row>
    <row r="1729" spans="1:17" x14ac:dyDescent="0.35">
      <c r="A1729" s="90" t="str">
        <f>IF(Receipts!$D1732="","",Receipts!$D1732)</f>
        <v/>
      </c>
      <c r="B1729" s="18" t="str">
        <f>IF(Receipts!$C1732="","",Receipts!$C1732)</f>
        <v/>
      </c>
      <c r="C1729" s="18" t="str">
        <f>IF($A1729="","",IFERROR(INDEX(Items!$B$5:$B$597,MATCH($A1729,Items!$A$5:$A$597,0)),""))</f>
        <v/>
      </c>
      <c r="D1729" s="23" t="str">
        <f>IF($A1729="","",N(Receipts!$G1732))</f>
        <v/>
      </c>
      <c r="E1729" s="20" t="str">
        <f>IF($A1729="","",IFERROR(INDEX(Items!$D$5:$D$597,MATCH($A1729,Items!$A$5:$A$597,0)),0))</f>
        <v/>
      </c>
      <c r="F1729" s="21" t="str">
        <f t="shared" si="130"/>
        <v/>
      </c>
      <c r="G1729" s="25" t="str">
        <f>IF(Receipts!$I1732="","",Receipts!$I1732)</f>
        <v/>
      </c>
      <c r="H1729" s="25" t="str">
        <f>IF(Receipts!$H1732="","",Receipts!$H1732)</f>
        <v/>
      </c>
      <c r="I1729" s="26" t="str">
        <f t="shared" ca="1" si="131"/>
        <v/>
      </c>
      <c r="J1729" s="26" t="str">
        <f>IF($A1729="","",COUNTIFS(tblReceipts[Item Name],$A1729,tblReceipts[Expiry Date],"&lt;"&amp;$H1729)+COUNTIFS(tblReceipts[Item Name],$A1729,tblReceipts[Expiry Date],$H1729,tblReceipts[Lot Number],"&lt;="&amp;Receipts!$C1732))</f>
        <v/>
      </c>
      <c r="K1729" s="26" t="str">
        <f>IF($A1729="","",SUMIFS(tblReceipts[Qty Received],tblReceipts[Item Name],$A1729,tblReceipts[Expiry Date],"&lt;"&amp;$H1729)+SUMIFS(tblReceipts[Qty Received],tblReceipts[Item Name],$A1729,tblReceipts[Expiry Date],$H1729,tblReceipts[Lot Number],"&lt;"&amp;Receipts!$C1732))</f>
        <v/>
      </c>
      <c r="L1729" s="26" t="str">
        <f>IF($A1729="","",MIN($D1729,MAX(0,SUMIFS(tblIssues[Qty Issued],tblIssues[Item Name],$A1729)-$K1729)))</f>
        <v/>
      </c>
      <c r="M1729" s="26" t="str">
        <f>IF($A1729="","",SUMIFS(tblIssues[Qty Issued],tblIssues[Lot Number],$B1729))</f>
        <v/>
      </c>
      <c r="N1729" s="26" t="str">
        <f t="shared" si="132"/>
        <v/>
      </c>
      <c r="O1729" s="26" t="str">
        <f t="shared" si="133"/>
        <v/>
      </c>
      <c r="P1729" s="21" t="str">
        <f t="shared" si="134"/>
        <v/>
      </c>
      <c r="Q1729" s="52" t="str">
        <f>IF($A1729="","",IF($O1729&lt;=0,"Depleted",IF($I1729&lt;0,"EXPIRED",IF($I1729&lt;=Settings!$C$6,"CRITICAL",IF($I1729&lt;=Settings!$C$5,"Expiring","In date")))))</f>
        <v/>
      </c>
    </row>
    <row r="1730" spans="1:17" x14ac:dyDescent="0.35">
      <c r="A1730" s="90" t="str">
        <f>IF(Receipts!$D1733="","",Receipts!$D1733)</f>
        <v/>
      </c>
      <c r="B1730" s="18" t="str">
        <f>IF(Receipts!$C1733="","",Receipts!$C1733)</f>
        <v/>
      </c>
      <c r="C1730" s="18" t="str">
        <f>IF($A1730="","",IFERROR(INDEX(Items!$B$5:$B$597,MATCH($A1730,Items!$A$5:$A$597,0)),""))</f>
        <v/>
      </c>
      <c r="D1730" s="23" t="str">
        <f>IF($A1730="","",N(Receipts!$G1733))</f>
        <v/>
      </c>
      <c r="E1730" s="20" t="str">
        <f>IF($A1730="","",IFERROR(INDEX(Items!$D$5:$D$597,MATCH($A1730,Items!$A$5:$A$597,0)),0))</f>
        <v/>
      </c>
      <c r="F1730" s="21" t="str">
        <f t="shared" si="130"/>
        <v/>
      </c>
      <c r="G1730" s="25" t="str">
        <f>IF(Receipts!$I1733="","",Receipts!$I1733)</f>
        <v/>
      </c>
      <c r="H1730" s="25" t="str">
        <f>IF(Receipts!$H1733="","",Receipts!$H1733)</f>
        <v/>
      </c>
      <c r="I1730" s="26" t="str">
        <f t="shared" ca="1" si="131"/>
        <v/>
      </c>
      <c r="J1730" s="26" t="str">
        <f>IF($A1730="","",COUNTIFS(tblReceipts[Item Name],$A1730,tblReceipts[Expiry Date],"&lt;"&amp;$H1730)+COUNTIFS(tblReceipts[Item Name],$A1730,tblReceipts[Expiry Date],$H1730,tblReceipts[Lot Number],"&lt;="&amp;Receipts!$C1733))</f>
        <v/>
      </c>
      <c r="K1730" s="26" t="str">
        <f>IF($A1730="","",SUMIFS(tblReceipts[Qty Received],tblReceipts[Item Name],$A1730,tblReceipts[Expiry Date],"&lt;"&amp;$H1730)+SUMIFS(tblReceipts[Qty Received],tblReceipts[Item Name],$A1730,tblReceipts[Expiry Date],$H1730,tblReceipts[Lot Number],"&lt;"&amp;Receipts!$C1733))</f>
        <v/>
      </c>
      <c r="L1730" s="26" t="str">
        <f>IF($A1730="","",MIN($D1730,MAX(0,SUMIFS(tblIssues[Qty Issued],tblIssues[Item Name],$A1730)-$K1730)))</f>
        <v/>
      </c>
      <c r="M1730" s="26" t="str">
        <f>IF($A1730="","",SUMIFS(tblIssues[Qty Issued],tblIssues[Lot Number],$B1730))</f>
        <v/>
      </c>
      <c r="N1730" s="26" t="str">
        <f t="shared" si="132"/>
        <v/>
      </c>
      <c r="O1730" s="26" t="str">
        <f t="shared" si="133"/>
        <v/>
      </c>
      <c r="P1730" s="21" t="str">
        <f t="shared" si="134"/>
        <v/>
      </c>
      <c r="Q1730" s="52" t="str">
        <f>IF($A1730="","",IF($O1730&lt;=0,"Depleted",IF($I1730&lt;0,"EXPIRED",IF($I1730&lt;=Settings!$C$6,"CRITICAL",IF($I1730&lt;=Settings!$C$5,"Expiring","In date")))))</f>
        <v/>
      </c>
    </row>
    <row r="1731" spans="1:17" x14ac:dyDescent="0.35">
      <c r="A1731" s="90" t="str">
        <f>IF(Receipts!$D1734="","",Receipts!$D1734)</f>
        <v/>
      </c>
      <c r="B1731" s="18" t="str">
        <f>IF(Receipts!$C1734="","",Receipts!$C1734)</f>
        <v/>
      </c>
      <c r="C1731" s="18" t="str">
        <f>IF($A1731="","",IFERROR(INDEX(Items!$B$5:$B$597,MATCH($A1731,Items!$A$5:$A$597,0)),""))</f>
        <v/>
      </c>
      <c r="D1731" s="23" t="str">
        <f>IF($A1731="","",N(Receipts!$G1734))</f>
        <v/>
      </c>
      <c r="E1731" s="20" t="str">
        <f>IF($A1731="","",IFERROR(INDEX(Items!$D$5:$D$597,MATCH($A1731,Items!$A$5:$A$597,0)),0))</f>
        <v/>
      </c>
      <c r="F1731" s="21" t="str">
        <f t="shared" si="130"/>
        <v/>
      </c>
      <c r="G1731" s="25" t="str">
        <f>IF(Receipts!$I1734="","",Receipts!$I1734)</f>
        <v/>
      </c>
      <c r="H1731" s="25" t="str">
        <f>IF(Receipts!$H1734="","",Receipts!$H1734)</f>
        <v/>
      </c>
      <c r="I1731" s="26" t="str">
        <f t="shared" ca="1" si="131"/>
        <v/>
      </c>
      <c r="J1731" s="26" t="str">
        <f>IF($A1731="","",COUNTIFS(tblReceipts[Item Name],$A1731,tblReceipts[Expiry Date],"&lt;"&amp;$H1731)+COUNTIFS(tblReceipts[Item Name],$A1731,tblReceipts[Expiry Date],$H1731,tblReceipts[Lot Number],"&lt;="&amp;Receipts!$C1734))</f>
        <v/>
      </c>
      <c r="K1731" s="26" t="str">
        <f>IF($A1731="","",SUMIFS(tblReceipts[Qty Received],tblReceipts[Item Name],$A1731,tblReceipts[Expiry Date],"&lt;"&amp;$H1731)+SUMIFS(tblReceipts[Qty Received],tblReceipts[Item Name],$A1731,tblReceipts[Expiry Date],$H1731,tblReceipts[Lot Number],"&lt;"&amp;Receipts!$C1734))</f>
        <v/>
      </c>
      <c r="L1731" s="26" t="str">
        <f>IF($A1731="","",MIN($D1731,MAX(0,SUMIFS(tblIssues[Qty Issued],tblIssues[Item Name],$A1731)-$K1731)))</f>
        <v/>
      </c>
      <c r="M1731" s="26" t="str">
        <f>IF($A1731="","",SUMIFS(tblIssues[Qty Issued],tblIssues[Lot Number],$B1731))</f>
        <v/>
      </c>
      <c r="N1731" s="26" t="str">
        <f t="shared" si="132"/>
        <v/>
      </c>
      <c r="O1731" s="26" t="str">
        <f t="shared" si="133"/>
        <v/>
      </c>
      <c r="P1731" s="21" t="str">
        <f t="shared" si="134"/>
        <v/>
      </c>
      <c r="Q1731" s="52" t="str">
        <f>IF($A1731="","",IF($O1731&lt;=0,"Depleted",IF($I1731&lt;0,"EXPIRED",IF($I1731&lt;=Settings!$C$6,"CRITICAL",IF($I1731&lt;=Settings!$C$5,"Expiring","In date")))))</f>
        <v/>
      </c>
    </row>
    <row r="1732" spans="1:17" x14ac:dyDescent="0.35">
      <c r="A1732" s="90" t="str">
        <f>IF(Receipts!$D1735="","",Receipts!$D1735)</f>
        <v/>
      </c>
      <c r="B1732" s="18" t="str">
        <f>IF(Receipts!$C1735="","",Receipts!$C1735)</f>
        <v/>
      </c>
      <c r="C1732" s="18" t="str">
        <f>IF($A1732="","",IFERROR(INDEX(Items!$B$5:$B$597,MATCH($A1732,Items!$A$5:$A$597,0)),""))</f>
        <v/>
      </c>
      <c r="D1732" s="23" t="str">
        <f>IF($A1732="","",N(Receipts!$G1735))</f>
        <v/>
      </c>
      <c r="E1732" s="20" t="str">
        <f>IF($A1732="","",IFERROR(INDEX(Items!$D$5:$D$597,MATCH($A1732,Items!$A$5:$A$597,0)),0))</f>
        <v/>
      </c>
      <c r="F1732" s="21" t="str">
        <f t="shared" si="130"/>
        <v/>
      </c>
      <c r="G1732" s="25" t="str">
        <f>IF(Receipts!$I1735="","",Receipts!$I1735)</f>
        <v/>
      </c>
      <c r="H1732" s="25" t="str">
        <f>IF(Receipts!$H1735="","",Receipts!$H1735)</f>
        <v/>
      </c>
      <c r="I1732" s="26" t="str">
        <f t="shared" ca="1" si="131"/>
        <v/>
      </c>
      <c r="J1732" s="26" t="str">
        <f>IF($A1732="","",COUNTIFS(tblReceipts[Item Name],$A1732,tblReceipts[Expiry Date],"&lt;"&amp;$H1732)+COUNTIFS(tblReceipts[Item Name],$A1732,tblReceipts[Expiry Date],$H1732,tblReceipts[Lot Number],"&lt;="&amp;Receipts!$C1735))</f>
        <v/>
      </c>
      <c r="K1732" s="26" t="str">
        <f>IF($A1732="","",SUMIFS(tblReceipts[Qty Received],tblReceipts[Item Name],$A1732,tblReceipts[Expiry Date],"&lt;"&amp;$H1732)+SUMIFS(tblReceipts[Qty Received],tblReceipts[Item Name],$A1732,tblReceipts[Expiry Date],$H1732,tblReceipts[Lot Number],"&lt;"&amp;Receipts!$C1735))</f>
        <v/>
      </c>
      <c r="L1732" s="26" t="str">
        <f>IF($A1732="","",MIN($D1732,MAX(0,SUMIFS(tblIssues[Qty Issued],tblIssues[Item Name],$A1732)-$K1732)))</f>
        <v/>
      </c>
      <c r="M1732" s="26" t="str">
        <f>IF($A1732="","",SUMIFS(tblIssues[Qty Issued],tblIssues[Lot Number],$B1732))</f>
        <v/>
      </c>
      <c r="N1732" s="26" t="str">
        <f t="shared" si="132"/>
        <v/>
      </c>
      <c r="O1732" s="26" t="str">
        <f t="shared" si="133"/>
        <v/>
      </c>
      <c r="P1732" s="21" t="str">
        <f t="shared" si="134"/>
        <v/>
      </c>
      <c r="Q1732" s="52" t="str">
        <f>IF($A1732="","",IF($O1732&lt;=0,"Depleted",IF($I1732&lt;0,"EXPIRED",IF($I1732&lt;=Settings!$C$6,"CRITICAL",IF($I1732&lt;=Settings!$C$5,"Expiring","In date")))))</f>
        <v/>
      </c>
    </row>
    <row r="1733" spans="1:17" x14ac:dyDescent="0.35">
      <c r="A1733" s="90" t="str">
        <f>IF(Receipts!$D1736="","",Receipts!$D1736)</f>
        <v/>
      </c>
      <c r="B1733" s="18" t="str">
        <f>IF(Receipts!$C1736="","",Receipts!$C1736)</f>
        <v/>
      </c>
      <c r="C1733" s="18" t="str">
        <f>IF($A1733="","",IFERROR(INDEX(Items!$B$5:$B$597,MATCH($A1733,Items!$A$5:$A$597,0)),""))</f>
        <v/>
      </c>
      <c r="D1733" s="23" t="str">
        <f>IF($A1733="","",N(Receipts!$G1736))</f>
        <v/>
      </c>
      <c r="E1733" s="20" t="str">
        <f>IF($A1733="","",IFERROR(INDEX(Items!$D$5:$D$597,MATCH($A1733,Items!$A$5:$A$597,0)),0))</f>
        <v/>
      </c>
      <c r="F1733" s="21" t="str">
        <f t="shared" ref="F1733:F1796" si="135">IF($A1733="","",$D1733*$E1733)</f>
        <v/>
      </c>
      <c r="G1733" s="25" t="str">
        <f>IF(Receipts!$I1736="","",Receipts!$I1736)</f>
        <v/>
      </c>
      <c r="H1733" s="25" t="str">
        <f>IF(Receipts!$H1736="","",Receipts!$H1736)</f>
        <v/>
      </c>
      <c r="I1733" s="26" t="str">
        <f t="shared" ref="I1733:I1796" ca="1" si="136">IF($H1733="","",$H1733-TODAY())</f>
        <v/>
      </c>
      <c r="J1733" s="26" t="str">
        <f>IF($A1733="","",COUNTIFS(tblReceipts[Item Name],$A1733,tblReceipts[Expiry Date],"&lt;"&amp;$H1733)+COUNTIFS(tblReceipts[Item Name],$A1733,tblReceipts[Expiry Date],$H1733,tblReceipts[Lot Number],"&lt;="&amp;Receipts!$C1736))</f>
        <v/>
      </c>
      <c r="K1733" s="26" t="str">
        <f>IF($A1733="","",SUMIFS(tblReceipts[Qty Received],tblReceipts[Item Name],$A1733,tblReceipts[Expiry Date],"&lt;"&amp;$H1733)+SUMIFS(tblReceipts[Qty Received],tblReceipts[Item Name],$A1733,tblReceipts[Expiry Date],$H1733,tblReceipts[Lot Number],"&lt;"&amp;Receipts!$C1736))</f>
        <v/>
      </c>
      <c r="L1733" s="26" t="str">
        <f>IF($A1733="","",MIN($D1733,MAX(0,SUMIFS(tblIssues[Qty Issued],tblIssues[Item Name],$A1733)-$K1733)))</f>
        <v/>
      </c>
      <c r="M1733" s="26" t="str">
        <f>IF($A1733="","",SUMIFS(tblIssues[Qty Issued],tblIssues[Lot Number],$B1733))</f>
        <v/>
      </c>
      <c r="N1733" s="26" t="str">
        <f t="shared" ref="N1733:N1796" si="137">IF($A1733="","",$M1733-$L1733)</f>
        <v/>
      </c>
      <c r="O1733" s="26" t="str">
        <f t="shared" ref="O1733:O1796" si="138">IF($A1733="","",$D1733-$L1733)</f>
        <v/>
      </c>
      <c r="P1733" s="21" t="str">
        <f t="shared" ref="P1733:P1796" si="139">IF($A1733="","",$O1733*$E1733)</f>
        <v/>
      </c>
      <c r="Q1733" s="52" t="str">
        <f>IF($A1733="","",IF($O1733&lt;=0,"Depleted",IF($I1733&lt;0,"EXPIRED",IF($I1733&lt;=Settings!$C$6,"CRITICAL",IF($I1733&lt;=Settings!$C$5,"Expiring","In date")))))</f>
        <v/>
      </c>
    </row>
    <row r="1734" spans="1:17" x14ac:dyDescent="0.35">
      <c r="A1734" s="90" t="str">
        <f>IF(Receipts!$D1737="","",Receipts!$D1737)</f>
        <v/>
      </c>
      <c r="B1734" s="18" t="str">
        <f>IF(Receipts!$C1737="","",Receipts!$C1737)</f>
        <v/>
      </c>
      <c r="C1734" s="18" t="str">
        <f>IF($A1734="","",IFERROR(INDEX(Items!$B$5:$B$597,MATCH($A1734,Items!$A$5:$A$597,0)),""))</f>
        <v/>
      </c>
      <c r="D1734" s="23" t="str">
        <f>IF($A1734="","",N(Receipts!$G1737))</f>
        <v/>
      </c>
      <c r="E1734" s="20" t="str">
        <f>IF($A1734="","",IFERROR(INDEX(Items!$D$5:$D$597,MATCH($A1734,Items!$A$5:$A$597,0)),0))</f>
        <v/>
      </c>
      <c r="F1734" s="21" t="str">
        <f t="shared" si="135"/>
        <v/>
      </c>
      <c r="G1734" s="25" t="str">
        <f>IF(Receipts!$I1737="","",Receipts!$I1737)</f>
        <v/>
      </c>
      <c r="H1734" s="25" t="str">
        <f>IF(Receipts!$H1737="","",Receipts!$H1737)</f>
        <v/>
      </c>
      <c r="I1734" s="26" t="str">
        <f t="shared" ca="1" si="136"/>
        <v/>
      </c>
      <c r="J1734" s="26" t="str">
        <f>IF($A1734="","",COUNTIFS(tblReceipts[Item Name],$A1734,tblReceipts[Expiry Date],"&lt;"&amp;$H1734)+COUNTIFS(tblReceipts[Item Name],$A1734,tblReceipts[Expiry Date],$H1734,tblReceipts[Lot Number],"&lt;="&amp;Receipts!$C1737))</f>
        <v/>
      </c>
      <c r="K1734" s="26" t="str">
        <f>IF($A1734="","",SUMIFS(tblReceipts[Qty Received],tblReceipts[Item Name],$A1734,tblReceipts[Expiry Date],"&lt;"&amp;$H1734)+SUMIFS(tblReceipts[Qty Received],tblReceipts[Item Name],$A1734,tblReceipts[Expiry Date],$H1734,tblReceipts[Lot Number],"&lt;"&amp;Receipts!$C1737))</f>
        <v/>
      </c>
      <c r="L1734" s="26" t="str">
        <f>IF($A1734="","",MIN($D1734,MAX(0,SUMIFS(tblIssues[Qty Issued],tblIssues[Item Name],$A1734)-$K1734)))</f>
        <v/>
      </c>
      <c r="M1734" s="26" t="str">
        <f>IF($A1734="","",SUMIFS(tblIssues[Qty Issued],tblIssues[Lot Number],$B1734))</f>
        <v/>
      </c>
      <c r="N1734" s="26" t="str">
        <f t="shared" si="137"/>
        <v/>
      </c>
      <c r="O1734" s="26" t="str">
        <f t="shared" si="138"/>
        <v/>
      </c>
      <c r="P1734" s="21" t="str">
        <f t="shared" si="139"/>
        <v/>
      </c>
      <c r="Q1734" s="52" t="str">
        <f>IF($A1734="","",IF($O1734&lt;=0,"Depleted",IF($I1734&lt;0,"EXPIRED",IF($I1734&lt;=Settings!$C$6,"CRITICAL",IF($I1734&lt;=Settings!$C$5,"Expiring","In date")))))</f>
        <v/>
      </c>
    </row>
    <row r="1735" spans="1:17" x14ac:dyDescent="0.35">
      <c r="A1735" s="90" t="str">
        <f>IF(Receipts!$D1738="","",Receipts!$D1738)</f>
        <v/>
      </c>
      <c r="B1735" s="18" t="str">
        <f>IF(Receipts!$C1738="","",Receipts!$C1738)</f>
        <v/>
      </c>
      <c r="C1735" s="18" t="str">
        <f>IF($A1735="","",IFERROR(INDEX(Items!$B$5:$B$597,MATCH($A1735,Items!$A$5:$A$597,0)),""))</f>
        <v/>
      </c>
      <c r="D1735" s="23" t="str">
        <f>IF($A1735="","",N(Receipts!$G1738))</f>
        <v/>
      </c>
      <c r="E1735" s="20" t="str">
        <f>IF($A1735="","",IFERROR(INDEX(Items!$D$5:$D$597,MATCH($A1735,Items!$A$5:$A$597,0)),0))</f>
        <v/>
      </c>
      <c r="F1735" s="21" t="str">
        <f t="shared" si="135"/>
        <v/>
      </c>
      <c r="G1735" s="25" t="str">
        <f>IF(Receipts!$I1738="","",Receipts!$I1738)</f>
        <v/>
      </c>
      <c r="H1735" s="25" t="str">
        <f>IF(Receipts!$H1738="","",Receipts!$H1738)</f>
        <v/>
      </c>
      <c r="I1735" s="26" t="str">
        <f t="shared" ca="1" si="136"/>
        <v/>
      </c>
      <c r="J1735" s="26" t="str">
        <f>IF($A1735="","",COUNTIFS(tblReceipts[Item Name],$A1735,tblReceipts[Expiry Date],"&lt;"&amp;$H1735)+COUNTIFS(tblReceipts[Item Name],$A1735,tblReceipts[Expiry Date],$H1735,tblReceipts[Lot Number],"&lt;="&amp;Receipts!$C1738))</f>
        <v/>
      </c>
      <c r="K1735" s="26" t="str">
        <f>IF($A1735="","",SUMIFS(tblReceipts[Qty Received],tblReceipts[Item Name],$A1735,tblReceipts[Expiry Date],"&lt;"&amp;$H1735)+SUMIFS(tblReceipts[Qty Received],tblReceipts[Item Name],$A1735,tblReceipts[Expiry Date],$H1735,tblReceipts[Lot Number],"&lt;"&amp;Receipts!$C1738))</f>
        <v/>
      </c>
      <c r="L1735" s="26" t="str">
        <f>IF($A1735="","",MIN($D1735,MAX(0,SUMIFS(tblIssues[Qty Issued],tblIssues[Item Name],$A1735)-$K1735)))</f>
        <v/>
      </c>
      <c r="M1735" s="26" t="str">
        <f>IF($A1735="","",SUMIFS(tblIssues[Qty Issued],tblIssues[Lot Number],$B1735))</f>
        <v/>
      </c>
      <c r="N1735" s="26" t="str">
        <f t="shared" si="137"/>
        <v/>
      </c>
      <c r="O1735" s="26" t="str">
        <f t="shared" si="138"/>
        <v/>
      </c>
      <c r="P1735" s="21" t="str">
        <f t="shared" si="139"/>
        <v/>
      </c>
      <c r="Q1735" s="52" t="str">
        <f>IF($A1735="","",IF($O1735&lt;=0,"Depleted",IF($I1735&lt;0,"EXPIRED",IF($I1735&lt;=Settings!$C$6,"CRITICAL",IF($I1735&lt;=Settings!$C$5,"Expiring","In date")))))</f>
        <v/>
      </c>
    </row>
    <row r="1736" spans="1:17" x14ac:dyDescent="0.35">
      <c r="A1736" s="90" t="str">
        <f>IF(Receipts!$D1739="","",Receipts!$D1739)</f>
        <v/>
      </c>
      <c r="B1736" s="18" t="str">
        <f>IF(Receipts!$C1739="","",Receipts!$C1739)</f>
        <v/>
      </c>
      <c r="C1736" s="18" t="str">
        <f>IF($A1736="","",IFERROR(INDEX(Items!$B$5:$B$597,MATCH($A1736,Items!$A$5:$A$597,0)),""))</f>
        <v/>
      </c>
      <c r="D1736" s="23" t="str">
        <f>IF($A1736="","",N(Receipts!$G1739))</f>
        <v/>
      </c>
      <c r="E1736" s="20" t="str">
        <f>IF($A1736="","",IFERROR(INDEX(Items!$D$5:$D$597,MATCH($A1736,Items!$A$5:$A$597,0)),0))</f>
        <v/>
      </c>
      <c r="F1736" s="21" t="str">
        <f t="shared" si="135"/>
        <v/>
      </c>
      <c r="G1736" s="25" t="str">
        <f>IF(Receipts!$I1739="","",Receipts!$I1739)</f>
        <v/>
      </c>
      <c r="H1736" s="25" t="str">
        <f>IF(Receipts!$H1739="","",Receipts!$H1739)</f>
        <v/>
      </c>
      <c r="I1736" s="26" t="str">
        <f t="shared" ca="1" si="136"/>
        <v/>
      </c>
      <c r="J1736" s="26" t="str">
        <f>IF($A1736="","",COUNTIFS(tblReceipts[Item Name],$A1736,tblReceipts[Expiry Date],"&lt;"&amp;$H1736)+COUNTIFS(tblReceipts[Item Name],$A1736,tblReceipts[Expiry Date],$H1736,tblReceipts[Lot Number],"&lt;="&amp;Receipts!$C1739))</f>
        <v/>
      </c>
      <c r="K1736" s="26" t="str">
        <f>IF($A1736="","",SUMIFS(tblReceipts[Qty Received],tblReceipts[Item Name],$A1736,tblReceipts[Expiry Date],"&lt;"&amp;$H1736)+SUMIFS(tblReceipts[Qty Received],tblReceipts[Item Name],$A1736,tblReceipts[Expiry Date],$H1736,tblReceipts[Lot Number],"&lt;"&amp;Receipts!$C1739))</f>
        <v/>
      </c>
      <c r="L1736" s="26" t="str">
        <f>IF($A1736="","",MIN($D1736,MAX(0,SUMIFS(tblIssues[Qty Issued],tblIssues[Item Name],$A1736)-$K1736)))</f>
        <v/>
      </c>
      <c r="M1736" s="26" t="str">
        <f>IF($A1736="","",SUMIFS(tblIssues[Qty Issued],tblIssues[Lot Number],$B1736))</f>
        <v/>
      </c>
      <c r="N1736" s="26" t="str">
        <f t="shared" si="137"/>
        <v/>
      </c>
      <c r="O1736" s="26" t="str">
        <f t="shared" si="138"/>
        <v/>
      </c>
      <c r="P1736" s="21" t="str">
        <f t="shared" si="139"/>
        <v/>
      </c>
      <c r="Q1736" s="52" t="str">
        <f>IF($A1736="","",IF($O1736&lt;=0,"Depleted",IF($I1736&lt;0,"EXPIRED",IF($I1736&lt;=Settings!$C$6,"CRITICAL",IF($I1736&lt;=Settings!$C$5,"Expiring","In date")))))</f>
        <v/>
      </c>
    </row>
    <row r="1737" spans="1:17" x14ac:dyDescent="0.35">
      <c r="A1737" s="90" t="str">
        <f>IF(Receipts!$D1740="","",Receipts!$D1740)</f>
        <v/>
      </c>
      <c r="B1737" s="18" t="str">
        <f>IF(Receipts!$C1740="","",Receipts!$C1740)</f>
        <v/>
      </c>
      <c r="C1737" s="18" t="str">
        <f>IF($A1737="","",IFERROR(INDEX(Items!$B$5:$B$597,MATCH($A1737,Items!$A$5:$A$597,0)),""))</f>
        <v/>
      </c>
      <c r="D1737" s="23" t="str">
        <f>IF($A1737="","",N(Receipts!$G1740))</f>
        <v/>
      </c>
      <c r="E1737" s="20" t="str">
        <f>IF($A1737="","",IFERROR(INDEX(Items!$D$5:$D$597,MATCH($A1737,Items!$A$5:$A$597,0)),0))</f>
        <v/>
      </c>
      <c r="F1737" s="21" t="str">
        <f t="shared" si="135"/>
        <v/>
      </c>
      <c r="G1737" s="25" t="str">
        <f>IF(Receipts!$I1740="","",Receipts!$I1740)</f>
        <v/>
      </c>
      <c r="H1737" s="25" t="str">
        <f>IF(Receipts!$H1740="","",Receipts!$H1740)</f>
        <v/>
      </c>
      <c r="I1737" s="26" t="str">
        <f t="shared" ca="1" si="136"/>
        <v/>
      </c>
      <c r="J1737" s="26" t="str">
        <f>IF($A1737="","",COUNTIFS(tblReceipts[Item Name],$A1737,tblReceipts[Expiry Date],"&lt;"&amp;$H1737)+COUNTIFS(tblReceipts[Item Name],$A1737,tblReceipts[Expiry Date],$H1737,tblReceipts[Lot Number],"&lt;="&amp;Receipts!$C1740))</f>
        <v/>
      </c>
      <c r="K1737" s="26" t="str">
        <f>IF($A1737="","",SUMIFS(tblReceipts[Qty Received],tblReceipts[Item Name],$A1737,tblReceipts[Expiry Date],"&lt;"&amp;$H1737)+SUMIFS(tblReceipts[Qty Received],tblReceipts[Item Name],$A1737,tblReceipts[Expiry Date],$H1737,tblReceipts[Lot Number],"&lt;"&amp;Receipts!$C1740))</f>
        <v/>
      </c>
      <c r="L1737" s="26" t="str">
        <f>IF($A1737="","",MIN($D1737,MAX(0,SUMIFS(tblIssues[Qty Issued],tblIssues[Item Name],$A1737)-$K1737)))</f>
        <v/>
      </c>
      <c r="M1737" s="26" t="str">
        <f>IF($A1737="","",SUMIFS(tblIssues[Qty Issued],tblIssues[Lot Number],$B1737))</f>
        <v/>
      </c>
      <c r="N1737" s="26" t="str">
        <f t="shared" si="137"/>
        <v/>
      </c>
      <c r="O1737" s="26" t="str">
        <f t="shared" si="138"/>
        <v/>
      </c>
      <c r="P1737" s="21" t="str">
        <f t="shared" si="139"/>
        <v/>
      </c>
      <c r="Q1737" s="52" t="str">
        <f>IF($A1737="","",IF($O1737&lt;=0,"Depleted",IF($I1737&lt;0,"EXPIRED",IF($I1737&lt;=Settings!$C$6,"CRITICAL",IF($I1737&lt;=Settings!$C$5,"Expiring","In date")))))</f>
        <v/>
      </c>
    </row>
    <row r="1738" spans="1:17" x14ac:dyDescent="0.35">
      <c r="A1738" s="90" t="str">
        <f>IF(Receipts!$D1741="","",Receipts!$D1741)</f>
        <v/>
      </c>
      <c r="B1738" s="18" t="str">
        <f>IF(Receipts!$C1741="","",Receipts!$C1741)</f>
        <v/>
      </c>
      <c r="C1738" s="18" t="str">
        <f>IF($A1738="","",IFERROR(INDEX(Items!$B$5:$B$597,MATCH($A1738,Items!$A$5:$A$597,0)),""))</f>
        <v/>
      </c>
      <c r="D1738" s="23" t="str">
        <f>IF($A1738="","",N(Receipts!$G1741))</f>
        <v/>
      </c>
      <c r="E1738" s="20" t="str">
        <f>IF($A1738="","",IFERROR(INDEX(Items!$D$5:$D$597,MATCH($A1738,Items!$A$5:$A$597,0)),0))</f>
        <v/>
      </c>
      <c r="F1738" s="21" t="str">
        <f t="shared" si="135"/>
        <v/>
      </c>
      <c r="G1738" s="25" t="str">
        <f>IF(Receipts!$I1741="","",Receipts!$I1741)</f>
        <v/>
      </c>
      <c r="H1738" s="25" t="str">
        <f>IF(Receipts!$H1741="","",Receipts!$H1741)</f>
        <v/>
      </c>
      <c r="I1738" s="26" t="str">
        <f t="shared" ca="1" si="136"/>
        <v/>
      </c>
      <c r="J1738" s="26" t="str">
        <f>IF($A1738="","",COUNTIFS(tblReceipts[Item Name],$A1738,tblReceipts[Expiry Date],"&lt;"&amp;$H1738)+COUNTIFS(tblReceipts[Item Name],$A1738,tblReceipts[Expiry Date],$H1738,tblReceipts[Lot Number],"&lt;="&amp;Receipts!$C1741))</f>
        <v/>
      </c>
      <c r="K1738" s="26" t="str">
        <f>IF($A1738="","",SUMIFS(tblReceipts[Qty Received],tblReceipts[Item Name],$A1738,tblReceipts[Expiry Date],"&lt;"&amp;$H1738)+SUMIFS(tblReceipts[Qty Received],tblReceipts[Item Name],$A1738,tblReceipts[Expiry Date],$H1738,tblReceipts[Lot Number],"&lt;"&amp;Receipts!$C1741))</f>
        <v/>
      </c>
      <c r="L1738" s="26" t="str">
        <f>IF($A1738="","",MIN($D1738,MAX(0,SUMIFS(tblIssues[Qty Issued],tblIssues[Item Name],$A1738)-$K1738)))</f>
        <v/>
      </c>
      <c r="M1738" s="26" t="str">
        <f>IF($A1738="","",SUMIFS(tblIssues[Qty Issued],tblIssues[Lot Number],$B1738))</f>
        <v/>
      </c>
      <c r="N1738" s="26" t="str">
        <f t="shared" si="137"/>
        <v/>
      </c>
      <c r="O1738" s="26" t="str">
        <f t="shared" si="138"/>
        <v/>
      </c>
      <c r="P1738" s="21" t="str">
        <f t="shared" si="139"/>
        <v/>
      </c>
      <c r="Q1738" s="52" t="str">
        <f>IF($A1738="","",IF($O1738&lt;=0,"Depleted",IF($I1738&lt;0,"EXPIRED",IF($I1738&lt;=Settings!$C$6,"CRITICAL",IF($I1738&lt;=Settings!$C$5,"Expiring","In date")))))</f>
        <v/>
      </c>
    </row>
    <row r="1739" spans="1:17" x14ac:dyDescent="0.35">
      <c r="A1739" s="90" t="str">
        <f>IF(Receipts!$D1742="","",Receipts!$D1742)</f>
        <v/>
      </c>
      <c r="B1739" s="18" t="str">
        <f>IF(Receipts!$C1742="","",Receipts!$C1742)</f>
        <v/>
      </c>
      <c r="C1739" s="18" t="str">
        <f>IF($A1739="","",IFERROR(INDEX(Items!$B$5:$B$597,MATCH($A1739,Items!$A$5:$A$597,0)),""))</f>
        <v/>
      </c>
      <c r="D1739" s="23" t="str">
        <f>IF($A1739="","",N(Receipts!$G1742))</f>
        <v/>
      </c>
      <c r="E1739" s="20" t="str">
        <f>IF($A1739="","",IFERROR(INDEX(Items!$D$5:$D$597,MATCH($A1739,Items!$A$5:$A$597,0)),0))</f>
        <v/>
      </c>
      <c r="F1739" s="21" t="str">
        <f t="shared" si="135"/>
        <v/>
      </c>
      <c r="G1739" s="25" t="str">
        <f>IF(Receipts!$I1742="","",Receipts!$I1742)</f>
        <v/>
      </c>
      <c r="H1739" s="25" t="str">
        <f>IF(Receipts!$H1742="","",Receipts!$H1742)</f>
        <v/>
      </c>
      <c r="I1739" s="26" t="str">
        <f t="shared" ca="1" si="136"/>
        <v/>
      </c>
      <c r="J1739" s="26" t="str">
        <f>IF($A1739="","",COUNTIFS(tblReceipts[Item Name],$A1739,tblReceipts[Expiry Date],"&lt;"&amp;$H1739)+COUNTIFS(tblReceipts[Item Name],$A1739,tblReceipts[Expiry Date],$H1739,tblReceipts[Lot Number],"&lt;="&amp;Receipts!$C1742))</f>
        <v/>
      </c>
      <c r="K1739" s="26" t="str">
        <f>IF($A1739="","",SUMIFS(tblReceipts[Qty Received],tblReceipts[Item Name],$A1739,tblReceipts[Expiry Date],"&lt;"&amp;$H1739)+SUMIFS(tblReceipts[Qty Received],tblReceipts[Item Name],$A1739,tblReceipts[Expiry Date],$H1739,tblReceipts[Lot Number],"&lt;"&amp;Receipts!$C1742))</f>
        <v/>
      </c>
      <c r="L1739" s="26" t="str">
        <f>IF($A1739="","",MIN($D1739,MAX(0,SUMIFS(tblIssues[Qty Issued],tblIssues[Item Name],$A1739)-$K1739)))</f>
        <v/>
      </c>
      <c r="M1739" s="26" t="str">
        <f>IF($A1739="","",SUMIFS(tblIssues[Qty Issued],tblIssues[Lot Number],$B1739))</f>
        <v/>
      </c>
      <c r="N1739" s="26" t="str">
        <f t="shared" si="137"/>
        <v/>
      </c>
      <c r="O1739" s="26" t="str">
        <f t="shared" si="138"/>
        <v/>
      </c>
      <c r="P1739" s="21" t="str">
        <f t="shared" si="139"/>
        <v/>
      </c>
      <c r="Q1739" s="52" t="str">
        <f>IF($A1739="","",IF($O1739&lt;=0,"Depleted",IF($I1739&lt;0,"EXPIRED",IF($I1739&lt;=Settings!$C$6,"CRITICAL",IF($I1739&lt;=Settings!$C$5,"Expiring","In date")))))</f>
        <v/>
      </c>
    </row>
    <row r="1740" spans="1:17" x14ac:dyDescent="0.35">
      <c r="A1740" s="90" t="str">
        <f>IF(Receipts!$D1743="","",Receipts!$D1743)</f>
        <v/>
      </c>
      <c r="B1740" s="18" t="str">
        <f>IF(Receipts!$C1743="","",Receipts!$C1743)</f>
        <v/>
      </c>
      <c r="C1740" s="18" t="str">
        <f>IF($A1740="","",IFERROR(INDEX(Items!$B$5:$B$597,MATCH($A1740,Items!$A$5:$A$597,0)),""))</f>
        <v/>
      </c>
      <c r="D1740" s="23" t="str">
        <f>IF($A1740="","",N(Receipts!$G1743))</f>
        <v/>
      </c>
      <c r="E1740" s="20" t="str">
        <f>IF($A1740="","",IFERROR(INDEX(Items!$D$5:$D$597,MATCH($A1740,Items!$A$5:$A$597,0)),0))</f>
        <v/>
      </c>
      <c r="F1740" s="21" t="str">
        <f t="shared" si="135"/>
        <v/>
      </c>
      <c r="G1740" s="25" t="str">
        <f>IF(Receipts!$I1743="","",Receipts!$I1743)</f>
        <v/>
      </c>
      <c r="H1740" s="25" t="str">
        <f>IF(Receipts!$H1743="","",Receipts!$H1743)</f>
        <v/>
      </c>
      <c r="I1740" s="26" t="str">
        <f t="shared" ca="1" si="136"/>
        <v/>
      </c>
      <c r="J1740" s="26" t="str">
        <f>IF($A1740="","",COUNTIFS(tblReceipts[Item Name],$A1740,tblReceipts[Expiry Date],"&lt;"&amp;$H1740)+COUNTIFS(tblReceipts[Item Name],$A1740,tblReceipts[Expiry Date],$H1740,tblReceipts[Lot Number],"&lt;="&amp;Receipts!$C1743))</f>
        <v/>
      </c>
      <c r="K1740" s="26" t="str">
        <f>IF($A1740="","",SUMIFS(tblReceipts[Qty Received],tblReceipts[Item Name],$A1740,tblReceipts[Expiry Date],"&lt;"&amp;$H1740)+SUMIFS(tblReceipts[Qty Received],tblReceipts[Item Name],$A1740,tblReceipts[Expiry Date],$H1740,tblReceipts[Lot Number],"&lt;"&amp;Receipts!$C1743))</f>
        <v/>
      </c>
      <c r="L1740" s="26" t="str">
        <f>IF($A1740="","",MIN($D1740,MAX(0,SUMIFS(tblIssues[Qty Issued],tblIssues[Item Name],$A1740)-$K1740)))</f>
        <v/>
      </c>
      <c r="M1740" s="26" t="str">
        <f>IF($A1740="","",SUMIFS(tblIssues[Qty Issued],tblIssues[Lot Number],$B1740))</f>
        <v/>
      </c>
      <c r="N1740" s="26" t="str">
        <f t="shared" si="137"/>
        <v/>
      </c>
      <c r="O1740" s="26" t="str">
        <f t="shared" si="138"/>
        <v/>
      </c>
      <c r="P1740" s="21" t="str">
        <f t="shared" si="139"/>
        <v/>
      </c>
      <c r="Q1740" s="52" t="str">
        <f>IF($A1740="","",IF($O1740&lt;=0,"Depleted",IF($I1740&lt;0,"EXPIRED",IF($I1740&lt;=Settings!$C$6,"CRITICAL",IF($I1740&lt;=Settings!$C$5,"Expiring","In date")))))</f>
        <v/>
      </c>
    </row>
    <row r="1741" spans="1:17" x14ac:dyDescent="0.35">
      <c r="A1741" s="90" t="str">
        <f>IF(Receipts!$D1744="","",Receipts!$D1744)</f>
        <v/>
      </c>
      <c r="B1741" s="18" t="str">
        <f>IF(Receipts!$C1744="","",Receipts!$C1744)</f>
        <v/>
      </c>
      <c r="C1741" s="18" t="str">
        <f>IF($A1741="","",IFERROR(INDEX(Items!$B$5:$B$597,MATCH($A1741,Items!$A$5:$A$597,0)),""))</f>
        <v/>
      </c>
      <c r="D1741" s="23" t="str">
        <f>IF($A1741="","",N(Receipts!$G1744))</f>
        <v/>
      </c>
      <c r="E1741" s="20" t="str">
        <f>IF($A1741="","",IFERROR(INDEX(Items!$D$5:$D$597,MATCH($A1741,Items!$A$5:$A$597,0)),0))</f>
        <v/>
      </c>
      <c r="F1741" s="21" t="str">
        <f t="shared" si="135"/>
        <v/>
      </c>
      <c r="G1741" s="25" t="str">
        <f>IF(Receipts!$I1744="","",Receipts!$I1744)</f>
        <v/>
      </c>
      <c r="H1741" s="25" t="str">
        <f>IF(Receipts!$H1744="","",Receipts!$H1744)</f>
        <v/>
      </c>
      <c r="I1741" s="26" t="str">
        <f t="shared" ca="1" si="136"/>
        <v/>
      </c>
      <c r="J1741" s="26" t="str">
        <f>IF($A1741="","",COUNTIFS(tblReceipts[Item Name],$A1741,tblReceipts[Expiry Date],"&lt;"&amp;$H1741)+COUNTIFS(tblReceipts[Item Name],$A1741,tblReceipts[Expiry Date],$H1741,tblReceipts[Lot Number],"&lt;="&amp;Receipts!$C1744))</f>
        <v/>
      </c>
      <c r="K1741" s="26" t="str">
        <f>IF($A1741="","",SUMIFS(tblReceipts[Qty Received],tblReceipts[Item Name],$A1741,tblReceipts[Expiry Date],"&lt;"&amp;$H1741)+SUMIFS(tblReceipts[Qty Received],tblReceipts[Item Name],$A1741,tblReceipts[Expiry Date],$H1741,tblReceipts[Lot Number],"&lt;"&amp;Receipts!$C1744))</f>
        <v/>
      </c>
      <c r="L1741" s="26" t="str">
        <f>IF($A1741="","",MIN($D1741,MAX(0,SUMIFS(tblIssues[Qty Issued],tblIssues[Item Name],$A1741)-$K1741)))</f>
        <v/>
      </c>
      <c r="M1741" s="26" t="str">
        <f>IF($A1741="","",SUMIFS(tblIssues[Qty Issued],tblIssues[Lot Number],$B1741))</f>
        <v/>
      </c>
      <c r="N1741" s="26" t="str">
        <f t="shared" si="137"/>
        <v/>
      </c>
      <c r="O1741" s="26" t="str">
        <f t="shared" si="138"/>
        <v/>
      </c>
      <c r="P1741" s="21" t="str">
        <f t="shared" si="139"/>
        <v/>
      </c>
      <c r="Q1741" s="52" t="str">
        <f>IF($A1741="","",IF($O1741&lt;=0,"Depleted",IF($I1741&lt;0,"EXPIRED",IF($I1741&lt;=Settings!$C$6,"CRITICAL",IF($I1741&lt;=Settings!$C$5,"Expiring","In date")))))</f>
        <v/>
      </c>
    </row>
    <row r="1742" spans="1:17" x14ac:dyDescent="0.35">
      <c r="A1742" s="90" t="str">
        <f>IF(Receipts!$D1745="","",Receipts!$D1745)</f>
        <v/>
      </c>
      <c r="B1742" s="18" t="str">
        <f>IF(Receipts!$C1745="","",Receipts!$C1745)</f>
        <v/>
      </c>
      <c r="C1742" s="18" t="str">
        <f>IF($A1742="","",IFERROR(INDEX(Items!$B$5:$B$597,MATCH($A1742,Items!$A$5:$A$597,0)),""))</f>
        <v/>
      </c>
      <c r="D1742" s="23" t="str">
        <f>IF($A1742="","",N(Receipts!$G1745))</f>
        <v/>
      </c>
      <c r="E1742" s="20" t="str">
        <f>IF($A1742="","",IFERROR(INDEX(Items!$D$5:$D$597,MATCH($A1742,Items!$A$5:$A$597,0)),0))</f>
        <v/>
      </c>
      <c r="F1742" s="21" t="str">
        <f t="shared" si="135"/>
        <v/>
      </c>
      <c r="G1742" s="25" t="str">
        <f>IF(Receipts!$I1745="","",Receipts!$I1745)</f>
        <v/>
      </c>
      <c r="H1742" s="25" t="str">
        <f>IF(Receipts!$H1745="","",Receipts!$H1745)</f>
        <v/>
      </c>
      <c r="I1742" s="26" t="str">
        <f t="shared" ca="1" si="136"/>
        <v/>
      </c>
      <c r="J1742" s="26" t="str">
        <f>IF($A1742="","",COUNTIFS(tblReceipts[Item Name],$A1742,tblReceipts[Expiry Date],"&lt;"&amp;$H1742)+COUNTIFS(tblReceipts[Item Name],$A1742,tblReceipts[Expiry Date],$H1742,tblReceipts[Lot Number],"&lt;="&amp;Receipts!$C1745))</f>
        <v/>
      </c>
      <c r="K1742" s="26" t="str">
        <f>IF($A1742="","",SUMIFS(tblReceipts[Qty Received],tblReceipts[Item Name],$A1742,tblReceipts[Expiry Date],"&lt;"&amp;$H1742)+SUMIFS(tblReceipts[Qty Received],tblReceipts[Item Name],$A1742,tblReceipts[Expiry Date],$H1742,tblReceipts[Lot Number],"&lt;"&amp;Receipts!$C1745))</f>
        <v/>
      </c>
      <c r="L1742" s="26" t="str">
        <f>IF($A1742="","",MIN($D1742,MAX(0,SUMIFS(tblIssues[Qty Issued],tblIssues[Item Name],$A1742)-$K1742)))</f>
        <v/>
      </c>
      <c r="M1742" s="26" t="str">
        <f>IF($A1742="","",SUMIFS(tblIssues[Qty Issued],tblIssues[Lot Number],$B1742))</f>
        <v/>
      </c>
      <c r="N1742" s="26" t="str">
        <f t="shared" si="137"/>
        <v/>
      </c>
      <c r="O1742" s="26" t="str">
        <f t="shared" si="138"/>
        <v/>
      </c>
      <c r="P1742" s="21" t="str">
        <f t="shared" si="139"/>
        <v/>
      </c>
      <c r="Q1742" s="52" t="str">
        <f>IF($A1742="","",IF($O1742&lt;=0,"Depleted",IF($I1742&lt;0,"EXPIRED",IF($I1742&lt;=Settings!$C$6,"CRITICAL",IF($I1742&lt;=Settings!$C$5,"Expiring","In date")))))</f>
        <v/>
      </c>
    </row>
    <row r="1743" spans="1:17" x14ac:dyDescent="0.35">
      <c r="A1743" s="90" t="str">
        <f>IF(Receipts!$D1746="","",Receipts!$D1746)</f>
        <v/>
      </c>
      <c r="B1743" s="18" t="str">
        <f>IF(Receipts!$C1746="","",Receipts!$C1746)</f>
        <v/>
      </c>
      <c r="C1743" s="18" t="str">
        <f>IF($A1743="","",IFERROR(INDEX(Items!$B$5:$B$597,MATCH($A1743,Items!$A$5:$A$597,0)),""))</f>
        <v/>
      </c>
      <c r="D1743" s="23" t="str">
        <f>IF($A1743="","",N(Receipts!$G1746))</f>
        <v/>
      </c>
      <c r="E1743" s="20" t="str">
        <f>IF($A1743="","",IFERROR(INDEX(Items!$D$5:$D$597,MATCH($A1743,Items!$A$5:$A$597,0)),0))</f>
        <v/>
      </c>
      <c r="F1743" s="21" t="str">
        <f t="shared" si="135"/>
        <v/>
      </c>
      <c r="G1743" s="25" t="str">
        <f>IF(Receipts!$I1746="","",Receipts!$I1746)</f>
        <v/>
      </c>
      <c r="H1743" s="25" t="str">
        <f>IF(Receipts!$H1746="","",Receipts!$H1746)</f>
        <v/>
      </c>
      <c r="I1743" s="26" t="str">
        <f t="shared" ca="1" si="136"/>
        <v/>
      </c>
      <c r="J1743" s="26" t="str">
        <f>IF($A1743="","",COUNTIFS(tblReceipts[Item Name],$A1743,tblReceipts[Expiry Date],"&lt;"&amp;$H1743)+COUNTIFS(tblReceipts[Item Name],$A1743,tblReceipts[Expiry Date],$H1743,tblReceipts[Lot Number],"&lt;="&amp;Receipts!$C1746))</f>
        <v/>
      </c>
      <c r="K1743" s="26" t="str">
        <f>IF($A1743="","",SUMIFS(tblReceipts[Qty Received],tblReceipts[Item Name],$A1743,tblReceipts[Expiry Date],"&lt;"&amp;$H1743)+SUMIFS(tblReceipts[Qty Received],tblReceipts[Item Name],$A1743,tblReceipts[Expiry Date],$H1743,tblReceipts[Lot Number],"&lt;"&amp;Receipts!$C1746))</f>
        <v/>
      </c>
      <c r="L1743" s="26" t="str">
        <f>IF($A1743="","",MIN($D1743,MAX(0,SUMIFS(tblIssues[Qty Issued],tblIssues[Item Name],$A1743)-$K1743)))</f>
        <v/>
      </c>
      <c r="M1743" s="26" t="str">
        <f>IF($A1743="","",SUMIFS(tblIssues[Qty Issued],tblIssues[Lot Number],$B1743))</f>
        <v/>
      </c>
      <c r="N1743" s="26" t="str">
        <f t="shared" si="137"/>
        <v/>
      </c>
      <c r="O1743" s="26" t="str">
        <f t="shared" si="138"/>
        <v/>
      </c>
      <c r="P1743" s="21" t="str">
        <f t="shared" si="139"/>
        <v/>
      </c>
      <c r="Q1743" s="52" t="str">
        <f>IF($A1743="","",IF($O1743&lt;=0,"Depleted",IF($I1743&lt;0,"EXPIRED",IF($I1743&lt;=Settings!$C$6,"CRITICAL",IF($I1743&lt;=Settings!$C$5,"Expiring","In date")))))</f>
        <v/>
      </c>
    </row>
    <row r="1744" spans="1:17" x14ac:dyDescent="0.35">
      <c r="A1744" s="90" t="str">
        <f>IF(Receipts!$D1747="","",Receipts!$D1747)</f>
        <v/>
      </c>
      <c r="B1744" s="18" t="str">
        <f>IF(Receipts!$C1747="","",Receipts!$C1747)</f>
        <v/>
      </c>
      <c r="C1744" s="18" t="str">
        <f>IF($A1744="","",IFERROR(INDEX(Items!$B$5:$B$597,MATCH($A1744,Items!$A$5:$A$597,0)),""))</f>
        <v/>
      </c>
      <c r="D1744" s="23" t="str">
        <f>IF($A1744="","",N(Receipts!$G1747))</f>
        <v/>
      </c>
      <c r="E1744" s="20" t="str">
        <f>IF($A1744="","",IFERROR(INDEX(Items!$D$5:$D$597,MATCH($A1744,Items!$A$5:$A$597,0)),0))</f>
        <v/>
      </c>
      <c r="F1744" s="21" t="str">
        <f t="shared" si="135"/>
        <v/>
      </c>
      <c r="G1744" s="25" t="str">
        <f>IF(Receipts!$I1747="","",Receipts!$I1747)</f>
        <v/>
      </c>
      <c r="H1744" s="25" t="str">
        <f>IF(Receipts!$H1747="","",Receipts!$H1747)</f>
        <v/>
      </c>
      <c r="I1744" s="26" t="str">
        <f t="shared" ca="1" si="136"/>
        <v/>
      </c>
      <c r="J1744" s="26" t="str">
        <f>IF($A1744="","",COUNTIFS(tblReceipts[Item Name],$A1744,tblReceipts[Expiry Date],"&lt;"&amp;$H1744)+COUNTIFS(tblReceipts[Item Name],$A1744,tblReceipts[Expiry Date],$H1744,tblReceipts[Lot Number],"&lt;="&amp;Receipts!$C1747))</f>
        <v/>
      </c>
      <c r="K1744" s="26" t="str">
        <f>IF($A1744="","",SUMIFS(tblReceipts[Qty Received],tblReceipts[Item Name],$A1744,tblReceipts[Expiry Date],"&lt;"&amp;$H1744)+SUMIFS(tblReceipts[Qty Received],tblReceipts[Item Name],$A1744,tblReceipts[Expiry Date],$H1744,tblReceipts[Lot Number],"&lt;"&amp;Receipts!$C1747))</f>
        <v/>
      </c>
      <c r="L1744" s="26" t="str">
        <f>IF($A1744="","",MIN($D1744,MAX(0,SUMIFS(tblIssues[Qty Issued],tblIssues[Item Name],$A1744)-$K1744)))</f>
        <v/>
      </c>
      <c r="M1744" s="26" t="str">
        <f>IF($A1744="","",SUMIFS(tblIssues[Qty Issued],tblIssues[Lot Number],$B1744))</f>
        <v/>
      </c>
      <c r="N1744" s="26" t="str">
        <f t="shared" si="137"/>
        <v/>
      </c>
      <c r="O1744" s="26" t="str">
        <f t="shared" si="138"/>
        <v/>
      </c>
      <c r="P1744" s="21" t="str">
        <f t="shared" si="139"/>
        <v/>
      </c>
      <c r="Q1744" s="52" t="str">
        <f>IF($A1744="","",IF($O1744&lt;=0,"Depleted",IF($I1744&lt;0,"EXPIRED",IF($I1744&lt;=Settings!$C$6,"CRITICAL",IF($I1744&lt;=Settings!$C$5,"Expiring","In date")))))</f>
        <v/>
      </c>
    </row>
    <row r="1745" spans="1:17" x14ac:dyDescent="0.35">
      <c r="A1745" s="90" t="str">
        <f>IF(Receipts!$D1748="","",Receipts!$D1748)</f>
        <v/>
      </c>
      <c r="B1745" s="18" t="str">
        <f>IF(Receipts!$C1748="","",Receipts!$C1748)</f>
        <v/>
      </c>
      <c r="C1745" s="18" t="str">
        <f>IF($A1745="","",IFERROR(INDEX(Items!$B$5:$B$597,MATCH($A1745,Items!$A$5:$A$597,0)),""))</f>
        <v/>
      </c>
      <c r="D1745" s="23" t="str">
        <f>IF($A1745="","",N(Receipts!$G1748))</f>
        <v/>
      </c>
      <c r="E1745" s="20" t="str">
        <f>IF($A1745="","",IFERROR(INDEX(Items!$D$5:$D$597,MATCH($A1745,Items!$A$5:$A$597,0)),0))</f>
        <v/>
      </c>
      <c r="F1745" s="21" t="str">
        <f t="shared" si="135"/>
        <v/>
      </c>
      <c r="G1745" s="25" t="str">
        <f>IF(Receipts!$I1748="","",Receipts!$I1748)</f>
        <v/>
      </c>
      <c r="H1745" s="25" t="str">
        <f>IF(Receipts!$H1748="","",Receipts!$H1748)</f>
        <v/>
      </c>
      <c r="I1745" s="26" t="str">
        <f t="shared" ca="1" si="136"/>
        <v/>
      </c>
      <c r="J1745" s="26" t="str">
        <f>IF($A1745="","",COUNTIFS(tblReceipts[Item Name],$A1745,tblReceipts[Expiry Date],"&lt;"&amp;$H1745)+COUNTIFS(tblReceipts[Item Name],$A1745,tblReceipts[Expiry Date],$H1745,tblReceipts[Lot Number],"&lt;="&amp;Receipts!$C1748))</f>
        <v/>
      </c>
      <c r="K1745" s="26" t="str">
        <f>IF($A1745="","",SUMIFS(tblReceipts[Qty Received],tblReceipts[Item Name],$A1745,tblReceipts[Expiry Date],"&lt;"&amp;$H1745)+SUMIFS(tblReceipts[Qty Received],tblReceipts[Item Name],$A1745,tblReceipts[Expiry Date],$H1745,tblReceipts[Lot Number],"&lt;"&amp;Receipts!$C1748))</f>
        <v/>
      </c>
      <c r="L1745" s="26" t="str">
        <f>IF($A1745="","",MIN($D1745,MAX(0,SUMIFS(tblIssues[Qty Issued],tblIssues[Item Name],$A1745)-$K1745)))</f>
        <v/>
      </c>
      <c r="M1745" s="26" t="str">
        <f>IF($A1745="","",SUMIFS(tblIssues[Qty Issued],tblIssues[Lot Number],$B1745))</f>
        <v/>
      </c>
      <c r="N1745" s="26" t="str">
        <f t="shared" si="137"/>
        <v/>
      </c>
      <c r="O1745" s="26" t="str">
        <f t="shared" si="138"/>
        <v/>
      </c>
      <c r="P1745" s="21" t="str">
        <f t="shared" si="139"/>
        <v/>
      </c>
      <c r="Q1745" s="52" t="str">
        <f>IF($A1745="","",IF($O1745&lt;=0,"Depleted",IF($I1745&lt;0,"EXPIRED",IF($I1745&lt;=Settings!$C$6,"CRITICAL",IF($I1745&lt;=Settings!$C$5,"Expiring","In date")))))</f>
        <v/>
      </c>
    </row>
    <row r="1746" spans="1:17" x14ac:dyDescent="0.35">
      <c r="A1746" s="90" t="str">
        <f>IF(Receipts!$D1749="","",Receipts!$D1749)</f>
        <v/>
      </c>
      <c r="B1746" s="18" t="str">
        <f>IF(Receipts!$C1749="","",Receipts!$C1749)</f>
        <v/>
      </c>
      <c r="C1746" s="18" t="str">
        <f>IF($A1746="","",IFERROR(INDEX(Items!$B$5:$B$597,MATCH($A1746,Items!$A$5:$A$597,0)),""))</f>
        <v/>
      </c>
      <c r="D1746" s="23" t="str">
        <f>IF($A1746="","",N(Receipts!$G1749))</f>
        <v/>
      </c>
      <c r="E1746" s="20" t="str">
        <f>IF($A1746="","",IFERROR(INDEX(Items!$D$5:$D$597,MATCH($A1746,Items!$A$5:$A$597,0)),0))</f>
        <v/>
      </c>
      <c r="F1746" s="21" t="str">
        <f t="shared" si="135"/>
        <v/>
      </c>
      <c r="G1746" s="25" t="str">
        <f>IF(Receipts!$I1749="","",Receipts!$I1749)</f>
        <v/>
      </c>
      <c r="H1746" s="25" t="str">
        <f>IF(Receipts!$H1749="","",Receipts!$H1749)</f>
        <v/>
      </c>
      <c r="I1746" s="26" t="str">
        <f t="shared" ca="1" si="136"/>
        <v/>
      </c>
      <c r="J1746" s="26" t="str">
        <f>IF($A1746="","",COUNTIFS(tblReceipts[Item Name],$A1746,tblReceipts[Expiry Date],"&lt;"&amp;$H1746)+COUNTIFS(tblReceipts[Item Name],$A1746,tblReceipts[Expiry Date],$H1746,tblReceipts[Lot Number],"&lt;="&amp;Receipts!$C1749))</f>
        <v/>
      </c>
      <c r="K1746" s="26" t="str">
        <f>IF($A1746="","",SUMIFS(tblReceipts[Qty Received],tblReceipts[Item Name],$A1746,tblReceipts[Expiry Date],"&lt;"&amp;$H1746)+SUMIFS(tblReceipts[Qty Received],tblReceipts[Item Name],$A1746,tblReceipts[Expiry Date],$H1746,tblReceipts[Lot Number],"&lt;"&amp;Receipts!$C1749))</f>
        <v/>
      </c>
      <c r="L1746" s="26" t="str">
        <f>IF($A1746="","",MIN($D1746,MAX(0,SUMIFS(tblIssues[Qty Issued],tblIssues[Item Name],$A1746)-$K1746)))</f>
        <v/>
      </c>
      <c r="M1746" s="26" t="str">
        <f>IF($A1746="","",SUMIFS(tblIssues[Qty Issued],tblIssues[Lot Number],$B1746))</f>
        <v/>
      </c>
      <c r="N1746" s="26" t="str">
        <f t="shared" si="137"/>
        <v/>
      </c>
      <c r="O1746" s="26" t="str">
        <f t="shared" si="138"/>
        <v/>
      </c>
      <c r="P1746" s="21" t="str">
        <f t="shared" si="139"/>
        <v/>
      </c>
      <c r="Q1746" s="52" t="str">
        <f>IF($A1746="","",IF($O1746&lt;=0,"Depleted",IF($I1746&lt;0,"EXPIRED",IF($I1746&lt;=Settings!$C$6,"CRITICAL",IF($I1746&lt;=Settings!$C$5,"Expiring","In date")))))</f>
        <v/>
      </c>
    </row>
    <row r="1747" spans="1:17" x14ac:dyDescent="0.35">
      <c r="A1747" s="90" t="str">
        <f>IF(Receipts!$D1750="","",Receipts!$D1750)</f>
        <v/>
      </c>
      <c r="B1747" s="18" t="str">
        <f>IF(Receipts!$C1750="","",Receipts!$C1750)</f>
        <v/>
      </c>
      <c r="C1747" s="18" t="str">
        <f>IF($A1747="","",IFERROR(INDEX(Items!$B$5:$B$597,MATCH($A1747,Items!$A$5:$A$597,0)),""))</f>
        <v/>
      </c>
      <c r="D1747" s="23" t="str">
        <f>IF($A1747="","",N(Receipts!$G1750))</f>
        <v/>
      </c>
      <c r="E1747" s="20" t="str">
        <f>IF($A1747="","",IFERROR(INDEX(Items!$D$5:$D$597,MATCH($A1747,Items!$A$5:$A$597,0)),0))</f>
        <v/>
      </c>
      <c r="F1747" s="21" t="str">
        <f t="shared" si="135"/>
        <v/>
      </c>
      <c r="G1747" s="25" t="str">
        <f>IF(Receipts!$I1750="","",Receipts!$I1750)</f>
        <v/>
      </c>
      <c r="H1747" s="25" t="str">
        <f>IF(Receipts!$H1750="","",Receipts!$H1750)</f>
        <v/>
      </c>
      <c r="I1747" s="26" t="str">
        <f t="shared" ca="1" si="136"/>
        <v/>
      </c>
      <c r="J1747" s="26" t="str">
        <f>IF($A1747="","",COUNTIFS(tblReceipts[Item Name],$A1747,tblReceipts[Expiry Date],"&lt;"&amp;$H1747)+COUNTIFS(tblReceipts[Item Name],$A1747,tblReceipts[Expiry Date],$H1747,tblReceipts[Lot Number],"&lt;="&amp;Receipts!$C1750))</f>
        <v/>
      </c>
      <c r="K1747" s="26" t="str">
        <f>IF($A1747="","",SUMIFS(tblReceipts[Qty Received],tblReceipts[Item Name],$A1747,tblReceipts[Expiry Date],"&lt;"&amp;$H1747)+SUMIFS(tblReceipts[Qty Received],tblReceipts[Item Name],$A1747,tblReceipts[Expiry Date],$H1747,tblReceipts[Lot Number],"&lt;"&amp;Receipts!$C1750))</f>
        <v/>
      </c>
      <c r="L1747" s="26" t="str">
        <f>IF($A1747="","",MIN($D1747,MAX(0,SUMIFS(tblIssues[Qty Issued],tblIssues[Item Name],$A1747)-$K1747)))</f>
        <v/>
      </c>
      <c r="M1747" s="26" t="str">
        <f>IF($A1747="","",SUMIFS(tblIssues[Qty Issued],tblIssues[Lot Number],$B1747))</f>
        <v/>
      </c>
      <c r="N1747" s="26" t="str">
        <f t="shared" si="137"/>
        <v/>
      </c>
      <c r="O1747" s="26" t="str">
        <f t="shared" si="138"/>
        <v/>
      </c>
      <c r="P1747" s="21" t="str">
        <f t="shared" si="139"/>
        <v/>
      </c>
      <c r="Q1747" s="52" t="str">
        <f>IF($A1747="","",IF($O1747&lt;=0,"Depleted",IF($I1747&lt;0,"EXPIRED",IF($I1747&lt;=Settings!$C$6,"CRITICAL",IF($I1747&lt;=Settings!$C$5,"Expiring","In date")))))</f>
        <v/>
      </c>
    </row>
    <row r="1748" spans="1:17" x14ac:dyDescent="0.35">
      <c r="A1748" s="90" t="str">
        <f>IF(Receipts!$D1751="","",Receipts!$D1751)</f>
        <v/>
      </c>
      <c r="B1748" s="18" t="str">
        <f>IF(Receipts!$C1751="","",Receipts!$C1751)</f>
        <v/>
      </c>
      <c r="C1748" s="18" t="str">
        <f>IF($A1748="","",IFERROR(INDEX(Items!$B$5:$B$597,MATCH($A1748,Items!$A$5:$A$597,0)),""))</f>
        <v/>
      </c>
      <c r="D1748" s="23" t="str">
        <f>IF($A1748="","",N(Receipts!$G1751))</f>
        <v/>
      </c>
      <c r="E1748" s="20" t="str">
        <f>IF($A1748="","",IFERROR(INDEX(Items!$D$5:$D$597,MATCH($A1748,Items!$A$5:$A$597,0)),0))</f>
        <v/>
      </c>
      <c r="F1748" s="21" t="str">
        <f t="shared" si="135"/>
        <v/>
      </c>
      <c r="G1748" s="25" t="str">
        <f>IF(Receipts!$I1751="","",Receipts!$I1751)</f>
        <v/>
      </c>
      <c r="H1748" s="25" t="str">
        <f>IF(Receipts!$H1751="","",Receipts!$H1751)</f>
        <v/>
      </c>
      <c r="I1748" s="26" t="str">
        <f t="shared" ca="1" si="136"/>
        <v/>
      </c>
      <c r="J1748" s="26" t="str">
        <f>IF($A1748="","",COUNTIFS(tblReceipts[Item Name],$A1748,tblReceipts[Expiry Date],"&lt;"&amp;$H1748)+COUNTIFS(tblReceipts[Item Name],$A1748,tblReceipts[Expiry Date],$H1748,tblReceipts[Lot Number],"&lt;="&amp;Receipts!$C1751))</f>
        <v/>
      </c>
      <c r="K1748" s="26" t="str">
        <f>IF($A1748="","",SUMIFS(tblReceipts[Qty Received],tblReceipts[Item Name],$A1748,tblReceipts[Expiry Date],"&lt;"&amp;$H1748)+SUMIFS(tblReceipts[Qty Received],tblReceipts[Item Name],$A1748,tblReceipts[Expiry Date],$H1748,tblReceipts[Lot Number],"&lt;"&amp;Receipts!$C1751))</f>
        <v/>
      </c>
      <c r="L1748" s="26" t="str">
        <f>IF($A1748="","",MIN($D1748,MAX(0,SUMIFS(tblIssues[Qty Issued],tblIssues[Item Name],$A1748)-$K1748)))</f>
        <v/>
      </c>
      <c r="M1748" s="26" t="str">
        <f>IF($A1748="","",SUMIFS(tblIssues[Qty Issued],tblIssues[Lot Number],$B1748))</f>
        <v/>
      </c>
      <c r="N1748" s="26" t="str">
        <f t="shared" si="137"/>
        <v/>
      </c>
      <c r="O1748" s="26" t="str">
        <f t="shared" si="138"/>
        <v/>
      </c>
      <c r="P1748" s="21" t="str">
        <f t="shared" si="139"/>
        <v/>
      </c>
      <c r="Q1748" s="52" t="str">
        <f>IF($A1748="","",IF($O1748&lt;=0,"Depleted",IF($I1748&lt;0,"EXPIRED",IF($I1748&lt;=Settings!$C$6,"CRITICAL",IF($I1748&lt;=Settings!$C$5,"Expiring","In date")))))</f>
        <v/>
      </c>
    </row>
    <row r="1749" spans="1:17" x14ac:dyDescent="0.35">
      <c r="A1749" s="90" t="str">
        <f>IF(Receipts!$D1752="","",Receipts!$D1752)</f>
        <v/>
      </c>
      <c r="B1749" s="18" t="str">
        <f>IF(Receipts!$C1752="","",Receipts!$C1752)</f>
        <v/>
      </c>
      <c r="C1749" s="18" t="str">
        <f>IF($A1749="","",IFERROR(INDEX(Items!$B$5:$B$597,MATCH($A1749,Items!$A$5:$A$597,0)),""))</f>
        <v/>
      </c>
      <c r="D1749" s="23" t="str">
        <f>IF($A1749="","",N(Receipts!$G1752))</f>
        <v/>
      </c>
      <c r="E1749" s="20" t="str">
        <f>IF($A1749="","",IFERROR(INDEX(Items!$D$5:$D$597,MATCH($A1749,Items!$A$5:$A$597,0)),0))</f>
        <v/>
      </c>
      <c r="F1749" s="21" t="str">
        <f t="shared" si="135"/>
        <v/>
      </c>
      <c r="G1749" s="25" t="str">
        <f>IF(Receipts!$I1752="","",Receipts!$I1752)</f>
        <v/>
      </c>
      <c r="H1749" s="25" t="str">
        <f>IF(Receipts!$H1752="","",Receipts!$H1752)</f>
        <v/>
      </c>
      <c r="I1749" s="26" t="str">
        <f t="shared" ca="1" si="136"/>
        <v/>
      </c>
      <c r="J1749" s="26" t="str">
        <f>IF($A1749="","",COUNTIFS(tblReceipts[Item Name],$A1749,tblReceipts[Expiry Date],"&lt;"&amp;$H1749)+COUNTIFS(tblReceipts[Item Name],$A1749,tblReceipts[Expiry Date],$H1749,tblReceipts[Lot Number],"&lt;="&amp;Receipts!$C1752))</f>
        <v/>
      </c>
      <c r="K1749" s="26" t="str">
        <f>IF($A1749="","",SUMIFS(tblReceipts[Qty Received],tblReceipts[Item Name],$A1749,tblReceipts[Expiry Date],"&lt;"&amp;$H1749)+SUMIFS(tblReceipts[Qty Received],tblReceipts[Item Name],$A1749,tblReceipts[Expiry Date],$H1749,tblReceipts[Lot Number],"&lt;"&amp;Receipts!$C1752))</f>
        <v/>
      </c>
      <c r="L1749" s="26" t="str">
        <f>IF($A1749="","",MIN($D1749,MAX(0,SUMIFS(tblIssues[Qty Issued],tblIssues[Item Name],$A1749)-$K1749)))</f>
        <v/>
      </c>
      <c r="M1749" s="26" t="str">
        <f>IF($A1749="","",SUMIFS(tblIssues[Qty Issued],tblIssues[Lot Number],$B1749))</f>
        <v/>
      </c>
      <c r="N1749" s="26" t="str">
        <f t="shared" si="137"/>
        <v/>
      </c>
      <c r="O1749" s="26" t="str">
        <f t="shared" si="138"/>
        <v/>
      </c>
      <c r="P1749" s="21" t="str">
        <f t="shared" si="139"/>
        <v/>
      </c>
      <c r="Q1749" s="52" t="str">
        <f>IF($A1749="","",IF($O1749&lt;=0,"Depleted",IF($I1749&lt;0,"EXPIRED",IF($I1749&lt;=Settings!$C$6,"CRITICAL",IF($I1749&lt;=Settings!$C$5,"Expiring","In date")))))</f>
        <v/>
      </c>
    </row>
    <row r="1750" spans="1:17" x14ac:dyDescent="0.35">
      <c r="A1750" s="90" t="str">
        <f>IF(Receipts!$D1753="","",Receipts!$D1753)</f>
        <v/>
      </c>
      <c r="B1750" s="18" t="str">
        <f>IF(Receipts!$C1753="","",Receipts!$C1753)</f>
        <v/>
      </c>
      <c r="C1750" s="18" t="str">
        <f>IF($A1750="","",IFERROR(INDEX(Items!$B$5:$B$597,MATCH($A1750,Items!$A$5:$A$597,0)),""))</f>
        <v/>
      </c>
      <c r="D1750" s="23" t="str">
        <f>IF($A1750="","",N(Receipts!$G1753))</f>
        <v/>
      </c>
      <c r="E1750" s="20" t="str">
        <f>IF($A1750="","",IFERROR(INDEX(Items!$D$5:$D$597,MATCH($A1750,Items!$A$5:$A$597,0)),0))</f>
        <v/>
      </c>
      <c r="F1750" s="21" t="str">
        <f t="shared" si="135"/>
        <v/>
      </c>
      <c r="G1750" s="25" t="str">
        <f>IF(Receipts!$I1753="","",Receipts!$I1753)</f>
        <v/>
      </c>
      <c r="H1750" s="25" t="str">
        <f>IF(Receipts!$H1753="","",Receipts!$H1753)</f>
        <v/>
      </c>
      <c r="I1750" s="26" t="str">
        <f t="shared" ca="1" si="136"/>
        <v/>
      </c>
      <c r="J1750" s="26" t="str">
        <f>IF($A1750="","",COUNTIFS(tblReceipts[Item Name],$A1750,tblReceipts[Expiry Date],"&lt;"&amp;$H1750)+COUNTIFS(tblReceipts[Item Name],$A1750,tblReceipts[Expiry Date],$H1750,tblReceipts[Lot Number],"&lt;="&amp;Receipts!$C1753))</f>
        <v/>
      </c>
      <c r="K1750" s="26" t="str">
        <f>IF($A1750="","",SUMIFS(tblReceipts[Qty Received],tblReceipts[Item Name],$A1750,tblReceipts[Expiry Date],"&lt;"&amp;$H1750)+SUMIFS(tblReceipts[Qty Received],tblReceipts[Item Name],$A1750,tblReceipts[Expiry Date],$H1750,tblReceipts[Lot Number],"&lt;"&amp;Receipts!$C1753))</f>
        <v/>
      </c>
      <c r="L1750" s="26" t="str">
        <f>IF($A1750="","",MIN($D1750,MAX(0,SUMIFS(tblIssues[Qty Issued],tblIssues[Item Name],$A1750)-$K1750)))</f>
        <v/>
      </c>
      <c r="M1750" s="26" t="str">
        <f>IF($A1750="","",SUMIFS(tblIssues[Qty Issued],tblIssues[Lot Number],$B1750))</f>
        <v/>
      </c>
      <c r="N1750" s="26" t="str">
        <f t="shared" si="137"/>
        <v/>
      </c>
      <c r="O1750" s="26" t="str">
        <f t="shared" si="138"/>
        <v/>
      </c>
      <c r="P1750" s="21" t="str">
        <f t="shared" si="139"/>
        <v/>
      </c>
      <c r="Q1750" s="52" t="str">
        <f>IF($A1750="","",IF($O1750&lt;=0,"Depleted",IF($I1750&lt;0,"EXPIRED",IF($I1750&lt;=Settings!$C$6,"CRITICAL",IF($I1750&lt;=Settings!$C$5,"Expiring","In date")))))</f>
        <v/>
      </c>
    </row>
    <row r="1751" spans="1:17" x14ac:dyDescent="0.35">
      <c r="A1751" s="90" t="str">
        <f>IF(Receipts!$D1754="","",Receipts!$D1754)</f>
        <v/>
      </c>
      <c r="B1751" s="18" t="str">
        <f>IF(Receipts!$C1754="","",Receipts!$C1754)</f>
        <v/>
      </c>
      <c r="C1751" s="18" t="str">
        <f>IF($A1751="","",IFERROR(INDEX(Items!$B$5:$B$597,MATCH($A1751,Items!$A$5:$A$597,0)),""))</f>
        <v/>
      </c>
      <c r="D1751" s="23" t="str">
        <f>IF($A1751="","",N(Receipts!$G1754))</f>
        <v/>
      </c>
      <c r="E1751" s="20" t="str">
        <f>IF($A1751="","",IFERROR(INDEX(Items!$D$5:$D$597,MATCH($A1751,Items!$A$5:$A$597,0)),0))</f>
        <v/>
      </c>
      <c r="F1751" s="21" t="str">
        <f t="shared" si="135"/>
        <v/>
      </c>
      <c r="G1751" s="25" t="str">
        <f>IF(Receipts!$I1754="","",Receipts!$I1754)</f>
        <v/>
      </c>
      <c r="H1751" s="25" t="str">
        <f>IF(Receipts!$H1754="","",Receipts!$H1754)</f>
        <v/>
      </c>
      <c r="I1751" s="26" t="str">
        <f t="shared" ca="1" si="136"/>
        <v/>
      </c>
      <c r="J1751" s="26" t="str">
        <f>IF($A1751="","",COUNTIFS(tblReceipts[Item Name],$A1751,tblReceipts[Expiry Date],"&lt;"&amp;$H1751)+COUNTIFS(tblReceipts[Item Name],$A1751,tblReceipts[Expiry Date],$H1751,tblReceipts[Lot Number],"&lt;="&amp;Receipts!$C1754))</f>
        <v/>
      </c>
      <c r="K1751" s="26" t="str">
        <f>IF($A1751="","",SUMIFS(tblReceipts[Qty Received],tblReceipts[Item Name],$A1751,tblReceipts[Expiry Date],"&lt;"&amp;$H1751)+SUMIFS(tblReceipts[Qty Received],tblReceipts[Item Name],$A1751,tblReceipts[Expiry Date],$H1751,tblReceipts[Lot Number],"&lt;"&amp;Receipts!$C1754))</f>
        <v/>
      </c>
      <c r="L1751" s="26" t="str">
        <f>IF($A1751="","",MIN($D1751,MAX(0,SUMIFS(tblIssues[Qty Issued],tblIssues[Item Name],$A1751)-$K1751)))</f>
        <v/>
      </c>
      <c r="M1751" s="26" t="str">
        <f>IF($A1751="","",SUMIFS(tblIssues[Qty Issued],tblIssues[Lot Number],$B1751))</f>
        <v/>
      </c>
      <c r="N1751" s="26" t="str">
        <f t="shared" si="137"/>
        <v/>
      </c>
      <c r="O1751" s="26" t="str">
        <f t="shared" si="138"/>
        <v/>
      </c>
      <c r="P1751" s="21" t="str">
        <f t="shared" si="139"/>
        <v/>
      </c>
      <c r="Q1751" s="52" t="str">
        <f>IF($A1751="","",IF($O1751&lt;=0,"Depleted",IF($I1751&lt;0,"EXPIRED",IF($I1751&lt;=Settings!$C$6,"CRITICAL",IF($I1751&lt;=Settings!$C$5,"Expiring","In date")))))</f>
        <v/>
      </c>
    </row>
    <row r="1752" spans="1:17" x14ac:dyDescent="0.35">
      <c r="A1752" s="90" t="str">
        <f>IF(Receipts!$D1755="","",Receipts!$D1755)</f>
        <v/>
      </c>
      <c r="B1752" s="18" t="str">
        <f>IF(Receipts!$C1755="","",Receipts!$C1755)</f>
        <v/>
      </c>
      <c r="C1752" s="18" t="str">
        <f>IF($A1752="","",IFERROR(INDEX(Items!$B$5:$B$597,MATCH($A1752,Items!$A$5:$A$597,0)),""))</f>
        <v/>
      </c>
      <c r="D1752" s="23" t="str">
        <f>IF($A1752="","",N(Receipts!$G1755))</f>
        <v/>
      </c>
      <c r="E1752" s="20" t="str">
        <f>IF($A1752="","",IFERROR(INDEX(Items!$D$5:$D$597,MATCH($A1752,Items!$A$5:$A$597,0)),0))</f>
        <v/>
      </c>
      <c r="F1752" s="21" t="str">
        <f t="shared" si="135"/>
        <v/>
      </c>
      <c r="G1752" s="25" t="str">
        <f>IF(Receipts!$I1755="","",Receipts!$I1755)</f>
        <v/>
      </c>
      <c r="H1752" s="25" t="str">
        <f>IF(Receipts!$H1755="","",Receipts!$H1755)</f>
        <v/>
      </c>
      <c r="I1752" s="26" t="str">
        <f t="shared" ca="1" si="136"/>
        <v/>
      </c>
      <c r="J1752" s="26" t="str">
        <f>IF($A1752="","",COUNTIFS(tblReceipts[Item Name],$A1752,tblReceipts[Expiry Date],"&lt;"&amp;$H1752)+COUNTIFS(tblReceipts[Item Name],$A1752,tblReceipts[Expiry Date],$H1752,tblReceipts[Lot Number],"&lt;="&amp;Receipts!$C1755))</f>
        <v/>
      </c>
      <c r="K1752" s="26" t="str">
        <f>IF($A1752="","",SUMIFS(tblReceipts[Qty Received],tblReceipts[Item Name],$A1752,tblReceipts[Expiry Date],"&lt;"&amp;$H1752)+SUMIFS(tblReceipts[Qty Received],tblReceipts[Item Name],$A1752,tblReceipts[Expiry Date],$H1752,tblReceipts[Lot Number],"&lt;"&amp;Receipts!$C1755))</f>
        <v/>
      </c>
      <c r="L1752" s="26" t="str">
        <f>IF($A1752="","",MIN($D1752,MAX(0,SUMIFS(tblIssues[Qty Issued],tblIssues[Item Name],$A1752)-$K1752)))</f>
        <v/>
      </c>
      <c r="M1752" s="26" t="str">
        <f>IF($A1752="","",SUMIFS(tblIssues[Qty Issued],tblIssues[Lot Number],$B1752))</f>
        <v/>
      </c>
      <c r="N1752" s="26" t="str">
        <f t="shared" si="137"/>
        <v/>
      </c>
      <c r="O1752" s="26" t="str">
        <f t="shared" si="138"/>
        <v/>
      </c>
      <c r="P1752" s="21" t="str">
        <f t="shared" si="139"/>
        <v/>
      </c>
      <c r="Q1752" s="52" t="str">
        <f>IF($A1752="","",IF($O1752&lt;=0,"Depleted",IF($I1752&lt;0,"EXPIRED",IF($I1752&lt;=Settings!$C$6,"CRITICAL",IF($I1752&lt;=Settings!$C$5,"Expiring","In date")))))</f>
        <v/>
      </c>
    </row>
    <row r="1753" spans="1:17" x14ac:dyDescent="0.35">
      <c r="A1753" s="90" t="str">
        <f>IF(Receipts!$D1756="","",Receipts!$D1756)</f>
        <v/>
      </c>
      <c r="B1753" s="18" t="str">
        <f>IF(Receipts!$C1756="","",Receipts!$C1756)</f>
        <v/>
      </c>
      <c r="C1753" s="18" t="str">
        <f>IF($A1753="","",IFERROR(INDEX(Items!$B$5:$B$597,MATCH($A1753,Items!$A$5:$A$597,0)),""))</f>
        <v/>
      </c>
      <c r="D1753" s="23" t="str">
        <f>IF($A1753="","",N(Receipts!$G1756))</f>
        <v/>
      </c>
      <c r="E1753" s="20" t="str">
        <f>IF($A1753="","",IFERROR(INDEX(Items!$D$5:$D$597,MATCH($A1753,Items!$A$5:$A$597,0)),0))</f>
        <v/>
      </c>
      <c r="F1753" s="21" t="str">
        <f t="shared" si="135"/>
        <v/>
      </c>
      <c r="G1753" s="25" t="str">
        <f>IF(Receipts!$I1756="","",Receipts!$I1756)</f>
        <v/>
      </c>
      <c r="H1753" s="25" t="str">
        <f>IF(Receipts!$H1756="","",Receipts!$H1756)</f>
        <v/>
      </c>
      <c r="I1753" s="26" t="str">
        <f t="shared" ca="1" si="136"/>
        <v/>
      </c>
      <c r="J1753" s="26" t="str">
        <f>IF($A1753="","",COUNTIFS(tblReceipts[Item Name],$A1753,tblReceipts[Expiry Date],"&lt;"&amp;$H1753)+COUNTIFS(tblReceipts[Item Name],$A1753,tblReceipts[Expiry Date],$H1753,tblReceipts[Lot Number],"&lt;="&amp;Receipts!$C1756))</f>
        <v/>
      </c>
      <c r="K1753" s="26" t="str">
        <f>IF($A1753="","",SUMIFS(tblReceipts[Qty Received],tblReceipts[Item Name],$A1753,tblReceipts[Expiry Date],"&lt;"&amp;$H1753)+SUMIFS(tblReceipts[Qty Received],tblReceipts[Item Name],$A1753,tblReceipts[Expiry Date],$H1753,tblReceipts[Lot Number],"&lt;"&amp;Receipts!$C1756))</f>
        <v/>
      </c>
      <c r="L1753" s="26" t="str">
        <f>IF($A1753="","",MIN($D1753,MAX(0,SUMIFS(tblIssues[Qty Issued],tblIssues[Item Name],$A1753)-$K1753)))</f>
        <v/>
      </c>
      <c r="M1753" s="26" t="str">
        <f>IF($A1753="","",SUMIFS(tblIssues[Qty Issued],tblIssues[Lot Number],$B1753))</f>
        <v/>
      </c>
      <c r="N1753" s="26" t="str">
        <f t="shared" si="137"/>
        <v/>
      </c>
      <c r="O1753" s="26" t="str">
        <f t="shared" si="138"/>
        <v/>
      </c>
      <c r="P1753" s="21" t="str">
        <f t="shared" si="139"/>
        <v/>
      </c>
      <c r="Q1753" s="52" t="str">
        <f>IF($A1753="","",IF($O1753&lt;=0,"Depleted",IF($I1753&lt;0,"EXPIRED",IF($I1753&lt;=Settings!$C$6,"CRITICAL",IF($I1753&lt;=Settings!$C$5,"Expiring","In date")))))</f>
        <v/>
      </c>
    </row>
    <row r="1754" spans="1:17" x14ac:dyDescent="0.35">
      <c r="A1754" s="90" t="str">
        <f>IF(Receipts!$D1757="","",Receipts!$D1757)</f>
        <v/>
      </c>
      <c r="B1754" s="18" t="str">
        <f>IF(Receipts!$C1757="","",Receipts!$C1757)</f>
        <v/>
      </c>
      <c r="C1754" s="18" t="str">
        <f>IF($A1754="","",IFERROR(INDEX(Items!$B$5:$B$597,MATCH($A1754,Items!$A$5:$A$597,0)),""))</f>
        <v/>
      </c>
      <c r="D1754" s="23" t="str">
        <f>IF($A1754="","",N(Receipts!$G1757))</f>
        <v/>
      </c>
      <c r="E1754" s="20" t="str">
        <f>IF($A1754="","",IFERROR(INDEX(Items!$D$5:$D$597,MATCH($A1754,Items!$A$5:$A$597,0)),0))</f>
        <v/>
      </c>
      <c r="F1754" s="21" t="str">
        <f t="shared" si="135"/>
        <v/>
      </c>
      <c r="G1754" s="25" t="str">
        <f>IF(Receipts!$I1757="","",Receipts!$I1757)</f>
        <v/>
      </c>
      <c r="H1754" s="25" t="str">
        <f>IF(Receipts!$H1757="","",Receipts!$H1757)</f>
        <v/>
      </c>
      <c r="I1754" s="26" t="str">
        <f t="shared" ca="1" si="136"/>
        <v/>
      </c>
      <c r="J1754" s="26" t="str">
        <f>IF($A1754="","",COUNTIFS(tblReceipts[Item Name],$A1754,tblReceipts[Expiry Date],"&lt;"&amp;$H1754)+COUNTIFS(tblReceipts[Item Name],$A1754,tblReceipts[Expiry Date],$H1754,tblReceipts[Lot Number],"&lt;="&amp;Receipts!$C1757))</f>
        <v/>
      </c>
      <c r="K1754" s="26" t="str">
        <f>IF($A1754="","",SUMIFS(tblReceipts[Qty Received],tblReceipts[Item Name],$A1754,tblReceipts[Expiry Date],"&lt;"&amp;$H1754)+SUMIFS(tblReceipts[Qty Received],tblReceipts[Item Name],$A1754,tblReceipts[Expiry Date],$H1754,tblReceipts[Lot Number],"&lt;"&amp;Receipts!$C1757))</f>
        <v/>
      </c>
      <c r="L1754" s="26" t="str">
        <f>IF($A1754="","",MIN($D1754,MAX(0,SUMIFS(tblIssues[Qty Issued],tblIssues[Item Name],$A1754)-$K1754)))</f>
        <v/>
      </c>
      <c r="M1754" s="26" t="str">
        <f>IF($A1754="","",SUMIFS(tblIssues[Qty Issued],tblIssues[Lot Number],$B1754))</f>
        <v/>
      </c>
      <c r="N1754" s="26" t="str">
        <f t="shared" si="137"/>
        <v/>
      </c>
      <c r="O1754" s="26" t="str">
        <f t="shared" si="138"/>
        <v/>
      </c>
      <c r="P1754" s="21" t="str">
        <f t="shared" si="139"/>
        <v/>
      </c>
      <c r="Q1754" s="52" t="str">
        <f>IF($A1754="","",IF($O1754&lt;=0,"Depleted",IF($I1754&lt;0,"EXPIRED",IF($I1754&lt;=Settings!$C$6,"CRITICAL",IF($I1754&lt;=Settings!$C$5,"Expiring","In date")))))</f>
        <v/>
      </c>
    </row>
    <row r="1755" spans="1:17" x14ac:dyDescent="0.35">
      <c r="A1755" s="90" t="str">
        <f>IF(Receipts!$D1758="","",Receipts!$D1758)</f>
        <v/>
      </c>
      <c r="B1755" s="18" t="str">
        <f>IF(Receipts!$C1758="","",Receipts!$C1758)</f>
        <v/>
      </c>
      <c r="C1755" s="18" t="str">
        <f>IF($A1755="","",IFERROR(INDEX(Items!$B$5:$B$597,MATCH($A1755,Items!$A$5:$A$597,0)),""))</f>
        <v/>
      </c>
      <c r="D1755" s="23" t="str">
        <f>IF($A1755="","",N(Receipts!$G1758))</f>
        <v/>
      </c>
      <c r="E1755" s="20" t="str">
        <f>IF($A1755="","",IFERROR(INDEX(Items!$D$5:$D$597,MATCH($A1755,Items!$A$5:$A$597,0)),0))</f>
        <v/>
      </c>
      <c r="F1755" s="21" t="str">
        <f t="shared" si="135"/>
        <v/>
      </c>
      <c r="G1755" s="25" t="str">
        <f>IF(Receipts!$I1758="","",Receipts!$I1758)</f>
        <v/>
      </c>
      <c r="H1755" s="25" t="str">
        <f>IF(Receipts!$H1758="","",Receipts!$H1758)</f>
        <v/>
      </c>
      <c r="I1755" s="26" t="str">
        <f t="shared" ca="1" si="136"/>
        <v/>
      </c>
      <c r="J1755" s="26" t="str">
        <f>IF($A1755="","",COUNTIFS(tblReceipts[Item Name],$A1755,tblReceipts[Expiry Date],"&lt;"&amp;$H1755)+COUNTIFS(tblReceipts[Item Name],$A1755,tblReceipts[Expiry Date],$H1755,tblReceipts[Lot Number],"&lt;="&amp;Receipts!$C1758))</f>
        <v/>
      </c>
      <c r="K1755" s="26" t="str">
        <f>IF($A1755="","",SUMIFS(tblReceipts[Qty Received],tblReceipts[Item Name],$A1755,tblReceipts[Expiry Date],"&lt;"&amp;$H1755)+SUMIFS(tblReceipts[Qty Received],tblReceipts[Item Name],$A1755,tblReceipts[Expiry Date],$H1755,tblReceipts[Lot Number],"&lt;"&amp;Receipts!$C1758))</f>
        <v/>
      </c>
      <c r="L1755" s="26" t="str">
        <f>IF($A1755="","",MIN($D1755,MAX(0,SUMIFS(tblIssues[Qty Issued],tblIssues[Item Name],$A1755)-$K1755)))</f>
        <v/>
      </c>
      <c r="M1755" s="26" t="str">
        <f>IF($A1755="","",SUMIFS(tblIssues[Qty Issued],tblIssues[Lot Number],$B1755))</f>
        <v/>
      </c>
      <c r="N1755" s="26" t="str">
        <f t="shared" si="137"/>
        <v/>
      </c>
      <c r="O1755" s="26" t="str">
        <f t="shared" si="138"/>
        <v/>
      </c>
      <c r="P1755" s="21" t="str">
        <f t="shared" si="139"/>
        <v/>
      </c>
      <c r="Q1755" s="52" t="str">
        <f>IF($A1755="","",IF($O1755&lt;=0,"Depleted",IF($I1755&lt;0,"EXPIRED",IF($I1755&lt;=Settings!$C$6,"CRITICAL",IF($I1755&lt;=Settings!$C$5,"Expiring","In date")))))</f>
        <v/>
      </c>
    </row>
    <row r="1756" spans="1:17" x14ac:dyDescent="0.35">
      <c r="A1756" s="90" t="str">
        <f>IF(Receipts!$D1759="","",Receipts!$D1759)</f>
        <v/>
      </c>
      <c r="B1756" s="18" t="str">
        <f>IF(Receipts!$C1759="","",Receipts!$C1759)</f>
        <v/>
      </c>
      <c r="C1756" s="18" t="str">
        <f>IF($A1756="","",IFERROR(INDEX(Items!$B$5:$B$597,MATCH($A1756,Items!$A$5:$A$597,0)),""))</f>
        <v/>
      </c>
      <c r="D1756" s="23" t="str">
        <f>IF($A1756="","",N(Receipts!$G1759))</f>
        <v/>
      </c>
      <c r="E1756" s="20" t="str">
        <f>IF($A1756="","",IFERROR(INDEX(Items!$D$5:$D$597,MATCH($A1756,Items!$A$5:$A$597,0)),0))</f>
        <v/>
      </c>
      <c r="F1756" s="21" t="str">
        <f t="shared" si="135"/>
        <v/>
      </c>
      <c r="G1756" s="25" t="str">
        <f>IF(Receipts!$I1759="","",Receipts!$I1759)</f>
        <v/>
      </c>
      <c r="H1756" s="25" t="str">
        <f>IF(Receipts!$H1759="","",Receipts!$H1759)</f>
        <v/>
      </c>
      <c r="I1756" s="26" t="str">
        <f t="shared" ca="1" si="136"/>
        <v/>
      </c>
      <c r="J1756" s="26" t="str">
        <f>IF($A1756="","",COUNTIFS(tblReceipts[Item Name],$A1756,tblReceipts[Expiry Date],"&lt;"&amp;$H1756)+COUNTIFS(tblReceipts[Item Name],$A1756,tblReceipts[Expiry Date],$H1756,tblReceipts[Lot Number],"&lt;="&amp;Receipts!$C1759))</f>
        <v/>
      </c>
      <c r="K1756" s="26" t="str">
        <f>IF($A1756="","",SUMIFS(tblReceipts[Qty Received],tblReceipts[Item Name],$A1756,tblReceipts[Expiry Date],"&lt;"&amp;$H1756)+SUMIFS(tblReceipts[Qty Received],tblReceipts[Item Name],$A1756,tblReceipts[Expiry Date],$H1756,tblReceipts[Lot Number],"&lt;"&amp;Receipts!$C1759))</f>
        <v/>
      </c>
      <c r="L1756" s="26" t="str">
        <f>IF($A1756="","",MIN($D1756,MAX(0,SUMIFS(tblIssues[Qty Issued],tblIssues[Item Name],$A1756)-$K1756)))</f>
        <v/>
      </c>
      <c r="M1756" s="26" t="str">
        <f>IF($A1756="","",SUMIFS(tblIssues[Qty Issued],tblIssues[Lot Number],$B1756))</f>
        <v/>
      </c>
      <c r="N1756" s="26" t="str">
        <f t="shared" si="137"/>
        <v/>
      </c>
      <c r="O1756" s="26" t="str">
        <f t="shared" si="138"/>
        <v/>
      </c>
      <c r="P1756" s="21" t="str">
        <f t="shared" si="139"/>
        <v/>
      </c>
      <c r="Q1756" s="52" t="str">
        <f>IF($A1756="","",IF($O1756&lt;=0,"Depleted",IF($I1756&lt;0,"EXPIRED",IF($I1756&lt;=Settings!$C$6,"CRITICAL",IF($I1756&lt;=Settings!$C$5,"Expiring","In date")))))</f>
        <v/>
      </c>
    </row>
    <row r="1757" spans="1:17" x14ac:dyDescent="0.35">
      <c r="A1757" s="90" t="str">
        <f>IF(Receipts!$D1760="","",Receipts!$D1760)</f>
        <v/>
      </c>
      <c r="B1757" s="18" t="str">
        <f>IF(Receipts!$C1760="","",Receipts!$C1760)</f>
        <v/>
      </c>
      <c r="C1757" s="18" t="str">
        <f>IF($A1757="","",IFERROR(INDEX(Items!$B$5:$B$597,MATCH($A1757,Items!$A$5:$A$597,0)),""))</f>
        <v/>
      </c>
      <c r="D1757" s="23" t="str">
        <f>IF($A1757="","",N(Receipts!$G1760))</f>
        <v/>
      </c>
      <c r="E1757" s="20" t="str">
        <f>IF($A1757="","",IFERROR(INDEX(Items!$D$5:$D$597,MATCH($A1757,Items!$A$5:$A$597,0)),0))</f>
        <v/>
      </c>
      <c r="F1757" s="21" t="str">
        <f t="shared" si="135"/>
        <v/>
      </c>
      <c r="G1757" s="25" t="str">
        <f>IF(Receipts!$I1760="","",Receipts!$I1760)</f>
        <v/>
      </c>
      <c r="H1757" s="25" t="str">
        <f>IF(Receipts!$H1760="","",Receipts!$H1760)</f>
        <v/>
      </c>
      <c r="I1757" s="26" t="str">
        <f t="shared" ca="1" si="136"/>
        <v/>
      </c>
      <c r="J1757" s="26" t="str">
        <f>IF($A1757="","",COUNTIFS(tblReceipts[Item Name],$A1757,tblReceipts[Expiry Date],"&lt;"&amp;$H1757)+COUNTIFS(tblReceipts[Item Name],$A1757,tblReceipts[Expiry Date],$H1757,tblReceipts[Lot Number],"&lt;="&amp;Receipts!$C1760))</f>
        <v/>
      </c>
      <c r="K1757" s="26" t="str">
        <f>IF($A1757="","",SUMIFS(tblReceipts[Qty Received],tblReceipts[Item Name],$A1757,tblReceipts[Expiry Date],"&lt;"&amp;$H1757)+SUMIFS(tblReceipts[Qty Received],tblReceipts[Item Name],$A1757,tblReceipts[Expiry Date],$H1757,tblReceipts[Lot Number],"&lt;"&amp;Receipts!$C1760))</f>
        <v/>
      </c>
      <c r="L1757" s="26" t="str">
        <f>IF($A1757="","",MIN($D1757,MAX(0,SUMIFS(tblIssues[Qty Issued],tblIssues[Item Name],$A1757)-$K1757)))</f>
        <v/>
      </c>
      <c r="M1757" s="26" t="str">
        <f>IF($A1757="","",SUMIFS(tblIssues[Qty Issued],tblIssues[Lot Number],$B1757))</f>
        <v/>
      </c>
      <c r="N1757" s="26" t="str">
        <f t="shared" si="137"/>
        <v/>
      </c>
      <c r="O1757" s="26" t="str">
        <f t="shared" si="138"/>
        <v/>
      </c>
      <c r="P1757" s="21" t="str">
        <f t="shared" si="139"/>
        <v/>
      </c>
      <c r="Q1757" s="52" t="str">
        <f>IF($A1757="","",IF($O1757&lt;=0,"Depleted",IF($I1757&lt;0,"EXPIRED",IF($I1757&lt;=Settings!$C$6,"CRITICAL",IF($I1757&lt;=Settings!$C$5,"Expiring","In date")))))</f>
        <v/>
      </c>
    </row>
    <row r="1758" spans="1:17" x14ac:dyDescent="0.35">
      <c r="A1758" s="90" t="str">
        <f>IF(Receipts!$D1761="","",Receipts!$D1761)</f>
        <v/>
      </c>
      <c r="B1758" s="18" t="str">
        <f>IF(Receipts!$C1761="","",Receipts!$C1761)</f>
        <v/>
      </c>
      <c r="C1758" s="18" t="str">
        <f>IF($A1758="","",IFERROR(INDEX(Items!$B$5:$B$597,MATCH($A1758,Items!$A$5:$A$597,0)),""))</f>
        <v/>
      </c>
      <c r="D1758" s="23" t="str">
        <f>IF($A1758="","",N(Receipts!$G1761))</f>
        <v/>
      </c>
      <c r="E1758" s="20" t="str">
        <f>IF($A1758="","",IFERROR(INDEX(Items!$D$5:$D$597,MATCH($A1758,Items!$A$5:$A$597,0)),0))</f>
        <v/>
      </c>
      <c r="F1758" s="21" t="str">
        <f t="shared" si="135"/>
        <v/>
      </c>
      <c r="G1758" s="25" t="str">
        <f>IF(Receipts!$I1761="","",Receipts!$I1761)</f>
        <v/>
      </c>
      <c r="H1758" s="25" t="str">
        <f>IF(Receipts!$H1761="","",Receipts!$H1761)</f>
        <v/>
      </c>
      <c r="I1758" s="26" t="str">
        <f t="shared" ca="1" si="136"/>
        <v/>
      </c>
      <c r="J1758" s="26" t="str">
        <f>IF($A1758="","",COUNTIFS(tblReceipts[Item Name],$A1758,tblReceipts[Expiry Date],"&lt;"&amp;$H1758)+COUNTIFS(tblReceipts[Item Name],$A1758,tblReceipts[Expiry Date],$H1758,tblReceipts[Lot Number],"&lt;="&amp;Receipts!$C1761))</f>
        <v/>
      </c>
      <c r="K1758" s="26" t="str">
        <f>IF($A1758="","",SUMIFS(tblReceipts[Qty Received],tblReceipts[Item Name],$A1758,tblReceipts[Expiry Date],"&lt;"&amp;$H1758)+SUMIFS(tblReceipts[Qty Received],tblReceipts[Item Name],$A1758,tblReceipts[Expiry Date],$H1758,tblReceipts[Lot Number],"&lt;"&amp;Receipts!$C1761))</f>
        <v/>
      </c>
      <c r="L1758" s="26" t="str">
        <f>IF($A1758="","",MIN($D1758,MAX(0,SUMIFS(tblIssues[Qty Issued],tblIssues[Item Name],$A1758)-$K1758)))</f>
        <v/>
      </c>
      <c r="M1758" s="26" t="str">
        <f>IF($A1758="","",SUMIFS(tblIssues[Qty Issued],tblIssues[Lot Number],$B1758))</f>
        <v/>
      </c>
      <c r="N1758" s="26" t="str">
        <f t="shared" si="137"/>
        <v/>
      </c>
      <c r="O1758" s="26" t="str">
        <f t="shared" si="138"/>
        <v/>
      </c>
      <c r="P1758" s="21" t="str">
        <f t="shared" si="139"/>
        <v/>
      </c>
      <c r="Q1758" s="52" t="str">
        <f>IF($A1758="","",IF($O1758&lt;=0,"Depleted",IF($I1758&lt;0,"EXPIRED",IF($I1758&lt;=Settings!$C$6,"CRITICAL",IF($I1758&lt;=Settings!$C$5,"Expiring","In date")))))</f>
        <v/>
      </c>
    </row>
    <row r="1759" spans="1:17" x14ac:dyDescent="0.35">
      <c r="A1759" s="90" t="str">
        <f>IF(Receipts!$D1762="","",Receipts!$D1762)</f>
        <v/>
      </c>
      <c r="B1759" s="18" t="str">
        <f>IF(Receipts!$C1762="","",Receipts!$C1762)</f>
        <v/>
      </c>
      <c r="C1759" s="18" t="str">
        <f>IF($A1759="","",IFERROR(INDEX(Items!$B$5:$B$597,MATCH($A1759,Items!$A$5:$A$597,0)),""))</f>
        <v/>
      </c>
      <c r="D1759" s="23" t="str">
        <f>IF($A1759="","",N(Receipts!$G1762))</f>
        <v/>
      </c>
      <c r="E1759" s="20" t="str">
        <f>IF($A1759="","",IFERROR(INDEX(Items!$D$5:$D$597,MATCH($A1759,Items!$A$5:$A$597,0)),0))</f>
        <v/>
      </c>
      <c r="F1759" s="21" t="str">
        <f t="shared" si="135"/>
        <v/>
      </c>
      <c r="G1759" s="25" t="str">
        <f>IF(Receipts!$I1762="","",Receipts!$I1762)</f>
        <v/>
      </c>
      <c r="H1759" s="25" t="str">
        <f>IF(Receipts!$H1762="","",Receipts!$H1762)</f>
        <v/>
      </c>
      <c r="I1759" s="26" t="str">
        <f t="shared" ca="1" si="136"/>
        <v/>
      </c>
      <c r="J1759" s="26" t="str">
        <f>IF($A1759="","",COUNTIFS(tblReceipts[Item Name],$A1759,tblReceipts[Expiry Date],"&lt;"&amp;$H1759)+COUNTIFS(tblReceipts[Item Name],$A1759,tblReceipts[Expiry Date],$H1759,tblReceipts[Lot Number],"&lt;="&amp;Receipts!$C1762))</f>
        <v/>
      </c>
      <c r="K1759" s="26" t="str">
        <f>IF($A1759="","",SUMIFS(tblReceipts[Qty Received],tblReceipts[Item Name],$A1759,tblReceipts[Expiry Date],"&lt;"&amp;$H1759)+SUMIFS(tblReceipts[Qty Received],tblReceipts[Item Name],$A1759,tblReceipts[Expiry Date],$H1759,tblReceipts[Lot Number],"&lt;"&amp;Receipts!$C1762))</f>
        <v/>
      </c>
      <c r="L1759" s="26" t="str">
        <f>IF($A1759="","",MIN($D1759,MAX(0,SUMIFS(tblIssues[Qty Issued],tblIssues[Item Name],$A1759)-$K1759)))</f>
        <v/>
      </c>
      <c r="M1759" s="26" t="str">
        <f>IF($A1759="","",SUMIFS(tblIssues[Qty Issued],tblIssues[Lot Number],$B1759))</f>
        <v/>
      </c>
      <c r="N1759" s="26" t="str">
        <f t="shared" si="137"/>
        <v/>
      </c>
      <c r="O1759" s="26" t="str">
        <f t="shared" si="138"/>
        <v/>
      </c>
      <c r="P1759" s="21" t="str">
        <f t="shared" si="139"/>
        <v/>
      </c>
      <c r="Q1759" s="52" t="str">
        <f>IF($A1759="","",IF($O1759&lt;=0,"Depleted",IF($I1759&lt;0,"EXPIRED",IF($I1759&lt;=Settings!$C$6,"CRITICAL",IF($I1759&lt;=Settings!$C$5,"Expiring","In date")))))</f>
        <v/>
      </c>
    </row>
    <row r="1760" spans="1:17" x14ac:dyDescent="0.35">
      <c r="A1760" s="90" t="str">
        <f>IF(Receipts!$D1763="","",Receipts!$D1763)</f>
        <v/>
      </c>
      <c r="B1760" s="18" t="str">
        <f>IF(Receipts!$C1763="","",Receipts!$C1763)</f>
        <v/>
      </c>
      <c r="C1760" s="18" t="str">
        <f>IF($A1760="","",IFERROR(INDEX(Items!$B$5:$B$597,MATCH($A1760,Items!$A$5:$A$597,0)),""))</f>
        <v/>
      </c>
      <c r="D1760" s="23" t="str">
        <f>IF($A1760="","",N(Receipts!$G1763))</f>
        <v/>
      </c>
      <c r="E1760" s="20" t="str">
        <f>IF($A1760="","",IFERROR(INDEX(Items!$D$5:$D$597,MATCH($A1760,Items!$A$5:$A$597,0)),0))</f>
        <v/>
      </c>
      <c r="F1760" s="21" t="str">
        <f t="shared" si="135"/>
        <v/>
      </c>
      <c r="G1760" s="25" t="str">
        <f>IF(Receipts!$I1763="","",Receipts!$I1763)</f>
        <v/>
      </c>
      <c r="H1760" s="25" t="str">
        <f>IF(Receipts!$H1763="","",Receipts!$H1763)</f>
        <v/>
      </c>
      <c r="I1760" s="26" t="str">
        <f t="shared" ca="1" si="136"/>
        <v/>
      </c>
      <c r="J1760" s="26" t="str">
        <f>IF($A1760="","",COUNTIFS(tblReceipts[Item Name],$A1760,tblReceipts[Expiry Date],"&lt;"&amp;$H1760)+COUNTIFS(tblReceipts[Item Name],$A1760,tblReceipts[Expiry Date],$H1760,tblReceipts[Lot Number],"&lt;="&amp;Receipts!$C1763))</f>
        <v/>
      </c>
      <c r="K1760" s="26" t="str">
        <f>IF($A1760="","",SUMIFS(tblReceipts[Qty Received],tblReceipts[Item Name],$A1760,tblReceipts[Expiry Date],"&lt;"&amp;$H1760)+SUMIFS(tblReceipts[Qty Received],tblReceipts[Item Name],$A1760,tblReceipts[Expiry Date],$H1760,tblReceipts[Lot Number],"&lt;"&amp;Receipts!$C1763))</f>
        <v/>
      </c>
      <c r="L1760" s="26" t="str">
        <f>IF($A1760="","",MIN($D1760,MAX(0,SUMIFS(tblIssues[Qty Issued],tblIssues[Item Name],$A1760)-$K1760)))</f>
        <v/>
      </c>
      <c r="M1760" s="26" t="str">
        <f>IF($A1760="","",SUMIFS(tblIssues[Qty Issued],tblIssues[Lot Number],$B1760))</f>
        <v/>
      </c>
      <c r="N1760" s="26" t="str">
        <f t="shared" si="137"/>
        <v/>
      </c>
      <c r="O1760" s="26" t="str">
        <f t="shared" si="138"/>
        <v/>
      </c>
      <c r="P1760" s="21" t="str">
        <f t="shared" si="139"/>
        <v/>
      </c>
      <c r="Q1760" s="52" t="str">
        <f>IF($A1760="","",IF($O1760&lt;=0,"Depleted",IF($I1760&lt;0,"EXPIRED",IF($I1760&lt;=Settings!$C$6,"CRITICAL",IF($I1760&lt;=Settings!$C$5,"Expiring","In date")))))</f>
        <v/>
      </c>
    </row>
    <row r="1761" spans="1:17" x14ac:dyDescent="0.35">
      <c r="A1761" s="90" t="str">
        <f>IF(Receipts!$D1764="","",Receipts!$D1764)</f>
        <v/>
      </c>
      <c r="B1761" s="18" t="str">
        <f>IF(Receipts!$C1764="","",Receipts!$C1764)</f>
        <v/>
      </c>
      <c r="C1761" s="18" t="str">
        <f>IF($A1761="","",IFERROR(INDEX(Items!$B$5:$B$597,MATCH($A1761,Items!$A$5:$A$597,0)),""))</f>
        <v/>
      </c>
      <c r="D1761" s="23" t="str">
        <f>IF($A1761="","",N(Receipts!$G1764))</f>
        <v/>
      </c>
      <c r="E1761" s="20" t="str">
        <f>IF($A1761="","",IFERROR(INDEX(Items!$D$5:$D$597,MATCH($A1761,Items!$A$5:$A$597,0)),0))</f>
        <v/>
      </c>
      <c r="F1761" s="21" t="str">
        <f t="shared" si="135"/>
        <v/>
      </c>
      <c r="G1761" s="25" t="str">
        <f>IF(Receipts!$I1764="","",Receipts!$I1764)</f>
        <v/>
      </c>
      <c r="H1761" s="25" t="str">
        <f>IF(Receipts!$H1764="","",Receipts!$H1764)</f>
        <v/>
      </c>
      <c r="I1761" s="26" t="str">
        <f t="shared" ca="1" si="136"/>
        <v/>
      </c>
      <c r="J1761" s="26" t="str">
        <f>IF($A1761="","",COUNTIFS(tblReceipts[Item Name],$A1761,tblReceipts[Expiry Date],"&lt;"&amp;$H1761)+COUNTIFS(tblReceipts[Item Name],$A1761,tblReceipts[Expiry Date],$H1761,tblReceipts[Lot Number],"&lt;="&amp;Receipts!$C1764))</f>
        <v/>
      </c>
      <c r="K1761" s="26" t="str">
        <f>IF($A1761="","",SUMIFS(tblReceipts[Qty Received],tblReceipts[Item Name],$A1761,tblReceipts[Expiry Date],"&lt;"&amp;$H1761)+SUMIFS(tblReceipts[Qty Received],tblReceipts[Item Name],$A1761,tblReceipts[Expiry Date],$H1761,tblReceipts[Lot Number],"&lt;"&amp;Receipts!$C1764))</f>
        <v/>
      </c>
      <c r="L1761" s="26" t="str">
        <f>IF($A1761="","",MIN($D1761,MAX(0,SUMIFS(tblIssues[Qty Issued],tblIssues[Item Name],$A1761)-$K1761)))</f>
        <v/>
      </c>
      <c r="M1761" s="26" t="str">
        <f>IF($A1761="","",SUMIFS(tblIssues[Qty Issued],tblIssues[Lot Number],$B1761))</f>
        <v/>
      </c>
      <c r="N1761" s="26" t="str">
        <f t="shared" si="137"/>
        <v/>
      </c>
      <c r="O1761" s="26" t="str">
        <f t="shared" si="138"/>
        <v/>
      </c>
      <c r="P1761" s="21" t="str">
        <f t="shared" si="139"/>
        <v/>
      </c>
      <c r="Q1761" s="52" t="str">
        <f>IF($A1761="","",IF($O1761&lt;=0,"Depleted",IF($I1761&lt;0,"EXPIRED",IF($I1761&lt;=Settings!$C$6,"CRITICAL",IF($I1761&lt;=Settings!$C$5,"Expiring","In date")))))</f>
        <v/>
      </c>
    </row>
    <row r="1762" spans="1:17" x14ac:dyDescent="0.35">
      <c r="A1762" s="90" t="str">
        <f>IF(Receipts!$D1765="","",Receipts!$D1765)</f>
        <v/>
      </c>
      <c r="B1762" s="18" t="str">
        <f>IF(Receipts!$C1765="","",Receipts!$C1765)</f>
        <v/>
      </c>
      <c r="C1762" s="18" t="str">
        <f>IF($A1762="","",IFERROR(INDEX(Items!$B$5:$B$597,MATCH($A1762,Items!$A$5:$A$597,0)),""))</f>
        <v/>
      </c>
      <c r="D1762" s="23" t="str">
        <f>IF($A1762="","",N(Receipts!$G1765))</f>
        <v/>
      </c>
      <c r="E1762" s="20" t="str">
        <f>IF($A1762="","",IFERROR(INDEX(Items!$D$5:$D$597,MATCH($A1762,Items!$A$5:$A$597,0)),0))</f>
        <v/>
      </c>
      <c r="F1762" s="21" t="str">
        <f t="shared" si="135"/>
        <v/>
      </c>
      <c r="G1762" s="25" t="str">
        <f>IF(Receipts!$I1765="","",Receipts!$I1765)</f>
        <v/>
      </c>
      <c r="H1762" s="25" t="str">
        <f>IF(Receipts!$H1765="","",Receipts!$H1765)</f>
        <v/>
      </c>
      <c r="I1762" s="26" t="str">
        <f t="shared" ca="1" si="136"/>
        <v/>
      </c>
      <c r="J1762" s="26" t="str">
        <f>IF($A1762="","",COUNTIFS(tblReceipts[Item Name],$A1762,tblReceipts[Expiry Date],"&lt;"&amp;$H1762)+COUNTIFS(tblReceipts[Item Name],$A1762,tblReceipts[Expiry Date],$H1762,tblReceipts[Lot Number],"&lt;="&amp;Receipts!$C1765))</f>
        <v/>
      </c>
      <c r="K1762" s="26" t="str">
        <f>IF($A1762="","",SUMIFS(tblReceipts[Qty Received],tblReceipts[Item Name],$A1762,tblReceipts[Expiry Date],"&lt;"&amp;$H1762)+SUMIFS(tblReceipts[Qty Received],tblReceipts[Item Name],$A1762,tblReceipts[Expiry Date],$H1762,tblReceipts[Lot Number],"&lt;"&amp;Receipts!$C1765))</f>
        <v/>
      </c>
      <c r="L1762" s="26" t="str">
        <f>IF($A1762="","",MIN($D1762,MAX(0,SUMIFS(tblIssues[Qty Issued],tblIssues[Item Name],$A1762)-$K1762)))</f>
        <v/>
      </c>
      <c r="M1762" s="26" t="str">
        <f>IF($A1762="","",SUMIFS(tblIssues[Qty Issued],tblIssues[Lot Number],$B1762))</f>
        <v/>
      </c>
      <c r="N1762" s="26" t="str">
        <f t="shared" si="137"/>
        <v/>
      </c>
      <c r="O1762" s="26" t="str">
        <f t="shared" si="138"/>
        <v/>
      </c>
      <c r="P1762" s="21" t="str">
        <f t="shared" si="139"/>
        <v/>
      </c>
      <c r="Q1762" s="52" t="str">
        <f>IF($A1762="","",IF($O1762&lt;=0,"Depleted",IF($I1762&lt;0,"EXPIRED",IF($I1762&lt;=Settings!$C$6,"CRITICAL",IF($I1762&lt;=Settings!$C$5,"Expiring","In date")))))</f>
        <v/>
      </c>
    </row>
    <row r="1763" spans="1:17" x14ac:dyDescent="0.35">
      <c r="A1763" s="90" t="str">
        <f>IF(Receipts!$D1766="","",Receipts!$D1766)</f>
        <v/>
      </c>
      <c r="B1763" s="18" t="str">
        <f>IF(Receipts!$C1766="","",Receipts!$C1766)</f>
        <v/>
      </c>
      <c r="C1763" s="18" t="str">
        <f>IF($A1763="","",IFERROR(INDEX(Items!$B$5:$B$597,MATCH($A1763,Items!$A$5:$A$597,0)),""))</f>
        <v/>
      </c>
      <c r="D1763" s="23" t="str">
        <f>IF($A1763="","",N(Receipts!$G1766))</f>
        <v/>
      </c>
      <c r="E1763" s="20" t="str">
        <f>IF($A1763="","",IFERROR(INDEX(Items!$D$5:$D$597,MATCH($A1763,Items!$A$5:$A$597,0)),0))</f>
        <v/>
      </c>
      <c r="F1763" s="21" t="str">
        <f t="shared" si="135"/>
        <v/>
      </c>
      <c r="G1763" s="25" t="str">
        <f>IF(Receipts!$I1766="","",Receipts!$I1766)</f>
        <v/>
      </c>
      <c r="H1763" s="25" t="str">
        <f>IF(Receipts!$H1766="","",Receipts!$H1766)</f>
        <v/>
      </c>
      <c r="I1763" s="26" t="str">
        <f t="shared" ca="1" si="136"/>
        <v/>
      </c>
      <c r="J1763" s="26" t="str">
        <f>IF($A1763="","",COUNTIFS(tblReceipts[Item Name],$A1763,tblReceipts[Expiry Date],"&lt;"&amp;$H1763)+COUNTIFS(tblReceipts[Item Name],$A1763,tblReceipts[Expiry Date],$H1763,tblReceipts[Lot Number],"&lt;="&amp;Receipts!$C1766))</f>
        <v/>
      </c>
      <c r="K1763" s="26" t="str">
        <f>IF($A1763="","",SUMIFS(tblReceipts[Qty Received],tblReceipts[Item Name],$A1763,tblReceipts[Expiry Date],"&lt;"&amp;$H1763)+SUMIFS(tblReceipts[Qty Received],tblReceipts[Item Name],$A1763,tblReceipts[Expiry Date],$H1763,tblReceipts[Lot Number],"&lt;"&amp;Receipts!$C1766))</f>
        <v/>
      </c>
      <c r="L1763" s="26" t="str">
        <f>IF($A1763="","",MIN($D1763,MAX(0,SUMIFS(tblIssues[Qty Issued],tblIssues[Item Name],$A1763)-$K1763)))</f>
        <v/>
      </c>
      <c r="M1763" s="26" t="str">
        <f>IF($A1763="","",SUMIFS(tblIssues[Qty Issued],tblIssues[Lot Number],$B1763))</f>
        <v/>
      </c>
      <c r="N1763" s="26" t="str">
        <f t="shared" si="137"/>
        <v/>
      </c>
      <c r="O1763" s="26" t="str">
        <f t="shared" si="138"/>
        <v/>
      </c>
      <c r="P1763" s="21" t="str">
        <f t="shared" si="139"/>
        <v/>
      </c>
      <c r="Q1763" s="52" t="str">
        <f>IF($A1763="","",IF($O1763&lt;=0,"Depleted",IF($I1763&lt;0,"EXPIRED",IF($I1763&lt;=Settings!$C$6,"CRITICAL",IF($I1763&lt;=Settings!$C$5,"Expiring","In date")))))</f>
        <v/>
      </c>
    </row>
    <row r="1764" spans="1:17" x14ac:dyDescent="0.35">
      <c r="A1764" s="90" t="str">
        <f>IF(Receipts!$D1767="","",Receipts!$D1767)</f>
        <v/>
      </c>
      <c r="B1764" s="18" t="str">
        <f>IF(Receipts!$C1767="","",Receipts!$C1767)</f>
        <v/>
      </c>
      <c r="C1764" s="18" t="str">
        <f>IF($A1764="","",IFERROR(INDEX(Items!$B$5:$B$597,MATCH($A1764,Items!$A$5:$A$597,0)),""))</f>
        <v/>
      </c>
      <c r="D1764" s="23" t="str">
        <f>IF($A1764="","",N(Receipts!$G1767))</f>
        <v/>
      </c>
      <c r="E1764" s="20" t="str">
        <f>IF($A1764="","",IFERROR(INDEX(Items!$D$5:$D$597,MATCH($A1764,Items!$A$5:$A$597,0)),0))</f>
        <v/>
      </c>
      <c r="F1764" s="21" t="str">
        <f t="shared" si="135"/>
        <v/>
      </c>
      <c r="G1764" s="25" t="str">
        <f>IF(Receipts!$I1767="","",Receipts!$I1767)</f>
        <v/>
      </c>
      <c r="H1764" s="25" t="str">
        <f>IF(Receipts!$H1767="","",Receipts!$H1767)</f>
        <v/>
      </c>
      <c r="I1764" s="26" t="str">
        <f t="shared" ca="1" si="136"/>
        <v/>
      </c>
      <c r="J1764" s="26" t="str">
        <f>IF($A1764="","",COUNTIFS(tblReceipts[Item Name],$A1764,tblReceipts[Expiry Date],"&lt;"&amp;$H1764)+COUNTIFS(tblReceipts[Item Name],$A1764,tblReceipts[Expiry Date],$H1764,tblReceipts[Lot Number],"&lt;="&amp;Receipts!$C1767))</f>
        <v/>
      </c>
      <c r="K1764" s="26" t="str">
        <f>IF($A1764="","",SUMIFS(tblReceipts[Qty Received],tblReceipts[Item Name],$A1764,tblReceipts[Expiry Date],"&lt;"&amp;$H1764)+SUMIFS(tblReceipts[Qty Received],tblReceipts[Item Name],$A1764,tblReceipts[Expiry Date],$H1764,tblReceipts[Lot Number],"&lt;"&amp;Receipts!$C1767))</f>
        <v/>
      </c>
      <c r="L1764" s="26" t="str">
        <f>IF($A1764="","",MIN($D1764,MAX(0,SUMIFS(tblIssues[Qty Issued],tblIssues[Item Name],$A1764)-$K1764)))</f>
        <v/>
      </c>
      <c r="M1764" s="26" t="str">
        <f>IF($A1764="","",SUMIFS(tblIssues[Qty Issued],tblIssues[Lot Number],$B1764))</f>
        <v/>
      </c>
      <c r="N1764" s="26" t="str">
        <f t="shared" si="137"/>
        <v/>
      </c>
      <c r="O1764" s="26" t="str">
        <f t="shared" si="138"/>
        <v/>
      </c>
      <c r="P1764" s="21" t="str">
        <f t="shared" si="139"/>
        <v/>
      </c>
      <c r="Q1764" s="52" t="str">
        <f>IF($A1764="","",IF($O1764&lt;=0,"Depleted",IF($I1764&lt;0,"EXPIRED",IF($I1764&lt;=Settings!$C$6,"CRITICAL",IF($I1764&lt;=Settings!$C$5,"Expiring","In date")))))</f>
        <v/>
      </c>
    </row>
    <row r="1765" spans="1:17" x14ac:dyDescent="0.35">
      <c r="A1765" s="90" t="str">
        <f>IF(Receipts!$D1768="","",Receipts!$D1768)</f>
        <v/>
      </c>
      <c r="B1765" s="18" t="str">
        <f>IF(Receipts!$C1768="","",Receipts!$C1768)</f>
        <v/>
      </c>
      <c r="C1765" s="18" t="str">
        <f>IF($A1765="","",IFERROR(INDEX(Items!$B$5:$B$597,MATCH($A1765,Items!$A$5:$A$597,0)),""))</f>
        <v/>
      </c>
      <c r="D1765" s="23" t="str">
        <f>IF($A1765="","",N(Receipts!$G1768))</f>
        <v/>
      </c>
      <c r="E1765" s="20" t="str">
        <f>IF($A1765="","",IFERROR(INDEX(Items!$D$5:$D$597,MATCH($A1765,Items!$A$5:$A$597,0)),0))</f>
        <v/>
      </c>
      <c r="F1765" s="21" t="str">
        <f t="shared" si="135"/>
        <v/>
      </c>
      <c r="G1765" s="25" t="str">
        <f>IF(Receipts!$I1768="","",Receipts!$I1768)</f>
        <v/>
      </c>
      <c r="H1765" s="25" t="str">
        <f>IF(Receipts!$H1768="","",Receipts!$H1768)</f>
        <v/>
      </c>
      <c r="I1765" s="26" t="str">
        <f t="shared" ca="1" si="136"/>
        <v/>
      </c>
      <c r="J1765" s="26" t="str">
        <f>IF($A1765="","",COUNTIFS(tblReceipts[Item Name],$A1765,tblReceipts[Expiry Date],"&lt;"&amp;$H1765)+COUNTIFS(tblReceipts[Item Name],$A1765,tblReceipts[Expiry Date],$H1765,tblReceipts[Lot Number],"&lt;="&amp;Receipts!$C1768))</f>
        <v/>
      </c>
      <c r="K1765" s="26" t="str">
        <f>IF($A1765="","",SUMIFS(tblReceipts[Qty Received],tblReceipts[Item Name],$A1765,tblReceipts[Expiry Date],"&lt;"&amp;$H1765)+SUMIFS(tblReceipts[Qty Received],tblReceipts[Item Name],$A1765,tblReceipts[Expiry Date],$H1765,tblReceipts[Lot Number],"&lt;"&amp;Receipts!$C1768))</f>
        <v/>
      </c>
      <c r="L1765" s="26" t="str">
        <f>IF($A1765="","",MIN($D1765,MAX(0,SUMIFS(tblIssues[Qty Issued],tblIssues[Item Name],$A1765)-$K1765)))</f>
        <v/>
      </c>
      <c r="M1765" s="26" t="str">
        <f>IF($A1765="","",SUMIFS(tblIssues[Qty Issued],tblIssues[Lot Number],$B1765))</f>
        <v/>
      </c>
      <c r="N1765" s="26" t="str">
        <f t="shared" si="137"/>
        <v/>
      </c>
      <c r="O1765" s="26" t="str">
        <f t="shared" si="138"/>
        <v/>
      </c>
      <c r="P1765" s="21" t="str">
        <f t="shared" si="139"/>
        <v/>
      </c>
      <c r="Q1765" s="52" t="str">
        <f>IF($A1765="","",IF($O1765&lt;=0,"Depleted",IF($I1765&lt;0,"EXPIRED",IF($I1765&lt;=Settings!$C$6,"CRITICAL",IF($I1765&lt;=Settings!$C$5,"Expiring","In date")))))</f>
        <v/>
      </c>
    </row>
    <row r="1766" spans="1:17" x14ac:dyDescent="0.35">
      <c r="A1766" s="90" t="str">
        <f>IF(Receipts!$D1769="","",Receipts!$D1769)</f>
        <v/>
      </c>
      <c r="B1766" s="18" t="str">
        <f>IF(Receipts!$C1769="","",Receipts!$C1769)</f>
        <v/>
      </c>
      <c r="C1766" s="18" t="str">
        <f>IF($A1766="","",IFERROR(INDEX(Items!$B$5:$B$597,MATCH($A1766,Items!$A$5:$A$597,0)),""))</f>
        <v/>
      </c>
      <c r="D1766" s="23" t="str">
        <f>IF($A1766="","",N(Receipts!$G1769))</f>
        <v/>
      </c>
      <c r="E1766" s="20" t="str">
        <f>IF($A1766="","",IFERROR(INDEX(Items!$D$5:$D$597,MATCH($A1766,Items!$A$5:$A$597,0)),0))</f>
        <v/>
      </c>
      <c r="F1766" s="21" t="str">
        <f t="shared" si="135"/>
        <v/>
      </c>
      <c r="G1766" s="25" t="str">
        <f>IF(Receipts!$I1769="","",Receipts!$I1769)</f>
        <v/>
      </c>
      <c r="H1766" s="25" t="str">
        <f>IF(Receipts!$H1769="","",Receipts!$H1769)</f>
        <v/>
      </c>
      <c r="I1766" s="26" t="str">
        <f t="shared" ca="1" si="136"/>
        <v/>
      </c>
      <c r="J1766" s="26" t="str">
        <f>IF($A1766="","",COUNTIFS(tblReceipts[Item Name],$A1766,tblReceipts[Expiry Date],"&lt;"&amp;$H1766)+COUNTIFS(tblReceipts[Item Name],$A1766,tblReceipts[Expiry Date],$H1766,tblReceipts[Lot Number],"&lt;="&amp;Receipts!$C1769))</f>
        <v/>
      </c>
      <c r="K1766" s="26" t="str">
        <f>IF($A1766="","",SUMIFS(tblReceipts[Qty Received],tblReceipts[Item Name],$A1766,tblReceipts[Expiry Date],"&lt;"&amp;$H1766)+SUMIFS(tblReceipts[Qty Received],tblReceipts[Item Name],$A1766,tblReceipts[Expiry Date],$H1766,tblReceipts[Lot Number],"&lt;"&amp;Receipts!$C1769))</f>
        <v/>
      </c>
      <c r="L1766" s="26" t="str">
        <f>IF($A1766="","",MIN($D1766,MAX(0,SUMIFS(tblIssues[Qty Issued],tblIssues[Item Name],$A1766)-$K1766)))</f>
        <v/>
      </c>
      <c r="M1766" s="26" t="str">
        <f>IF($A1766="","",SUMIFS(tblIssues[Qty Issued],tblIssues[Lot Number],$B1766))</f>
        <v/>
      </c>
      <c r="N1766" s="26" t="str">
        <f t="shared" si="137"/>
        <v/>
      </c>
      <c r="O1766" s="26" t="str">
        <f t="shared" si="138"/>
        <v/>
      </c>
      <c r="P1766" s="21" t="str">
        <f t="shared" si="139"/>
        <v/>
      </c>
      <c r="Q1766" s="52" t="str">
        <f>IF($A1766="","",IF($O1766&lt;=0,"Depleted",IF($I1766&lt;0,"EXPIRED",IF($I1766&lt;=Settings!$C$6,"CRITICAL",IF($I1766&lt;=Settings!$C$5,"Expiring","In date")))))</f>
        <v/>
      </c>
    </row>
    <row r="1767" spans="1:17" x14ac:dyDescent="0.35">
      <c r="A1767" s="90" t="str">
        <f>IF(Receipts!$D1770="","",Receipts!$D1770)</f>
        <v/>
      </c>
      <c r="B1767" s="18" t="str">
        <f>IF(Receipts!$C1770="","",Receipts!$C1770)</f>
        <v/>
      </c>
      <c r="C1767" s="18" t="str">
        <f>IF($A1767="","",IFERROR(INDEX(Items!$B$5:$B$597,MATCH($A1767,Items!$A$5:$A$597,0)),""))</f>
        <v/>
      </c>
      <c r="D1767" s="23" t="str">
        <f>IF($A1767="","",N(Receipts!$G1770))</f>
        <v/>
      </c>
      <c r="E1767" s="20" t="str">
        <f>IF($A1767="","",IFERROR(INDEX(Items!$D$5:$D$597,MATCH($A1767,Items!$A$5:$A$597,0)),0))</f>
        <v/>
      </c>
      <c r="F1767" s="21" t="str">
        <f t="shared" si="135"/>
        <v/>
      </c>
      <c r="G1767" s="25" t="str">
        <f>IF(Receipts!$I1770="","",Receipts!$I1770)</f>
        <v/>
      </c>
      <c r="H1767" s="25" t="str">
        <f>IF(Receipts!$H1770="","",Receipts!$H1770)</f>
        <v/>
      </c>
      <c r="I1767" s="26" t="str">
        <f t="shared" ca="1" si="136"/>
        <v/>
      </c>
      <c r="J1767" s="26" t="str">
        <f>IF($A1767="","",COUNTIFS(tblReceipts[Item Name],$A1767,tblReceipts[Expiry Date],"&lt;"&amp;$H1767)+COUNTIFS(tblReceipts[Item Name],$A1767,tblReceipts[Expiry Date],$H1767,tblReceipts[Lot Number],"&lt;="&amp;Receipts!$C1770))</f>
        <v/>
      </c>
      <c r="K1767" s="26" t="str">
        <f>IF($A1767="","",SUMIFS(tblReceipts[Qty Received],tblReceipts[Item Name],$A1767,tblReceipts[Expiry Date],"&lt;"&amp;$H1767)+SUMIFS(tblReceipts[Qty Received],tblReceipts[Item Name],$A1767,tblReceipts[Expiry Date],$H1767,tblReceipts[Lot Number],"&lt;"&amp;Receipts!$C1770))</f>
        <v/>
      </c>
      <c r="L1767" s="26" t="str">
        <f>IF($A1767="","",MIN($D1767,MAX(0,SUMIFS(tblIssues[Qty Issued],tblIssues[Item Name],$A1767)-$K1767)))</f>
        <v/>
      </c>
      <c r="M1767" s="26" t="str">
        <f>IF($A1767="","",SUMIFS(tblIssues[Qty Issued],tblIssues[Lot Number],$B1767))</f>
        <v/>
      </c>
      <c r="N1767" s="26" t="str">
        <f t="shared" si="137"/>
        <v/>
      </c>
      <c r="O1767" s="26" t="str">
        <f t="shared" si="138"/>
        <v/>
      </c>
      <c r="P1767" s="21" t="str">
        <f t="shared" si="139"/>
        <v/>
      </c>
      <c r="Q1767" s="52" t="str">
        <f>IF($A1767="","",IF($O1767&lt;=0,"Depleted",IF($I1767&lt;0,"EXPIRED",IF($I1767&lt;=Settings!$C$6,"CRITICAL",IF($I1767&lt;=Settings!$C$5,"Expiring","In date")))))</f>
        <v/>
      </c>
    </row>
    <row r="1768" spans="1:17" x14ac:dyDescent="0.35">
      <c r="A1768" s="90" t="str">
        <f>IF(Receipts!$D1771="","",Receipts!$D1771)</f>
        <v/>
      </c>
      <c r="B1768" s="18" t="str">
        <f>IF(Receipts!$C1771="","",Receipts!$C1771)</f>
        <v/>
      </c>
      <c r="C1768" s="18" t="str">
        <f>IF($A1768="","",IFERROR(INDEX(Items!$B$5:$B$597,MATCH($A1768,Items!$A$5:$A$597,0)),""))</f>
        <v/>
      </c>
      <c r="D1768" s="23" t="str">
        <f>IF($A1768="","",N(Receipts!$G1771))</f>
        <v/>
      </c>
      <c r="E1768" s="20" t="str">
        <f>IF($A1768="","",IFERROR(INDEX(Items!$D$5:$D$597,MATCH($A1768,Items!$A$5:$A$597,0)),0))</f>
        <v/>
      </c>
      <c r="F1768" s="21" t="str">
        <f t="shared" si="135"/>
        <v/>
      </c>
      <c r="G1768" s="25" t="str">
        <f>IF(Receipts!$I1771="","",Receipts!$I1771)</f>
        <v/>
      </c>
      <c r="H1768" s="25" t="str">
        <f>IF(Receipts!$H1771="","",Receipts!$H1771)</f>
        <v/>
      </c>
      <c r="I1768" s="26" t="str">
        <f t="shared" ca="1" si="136"/>
        <v/>
      </c>
      <c r="J1768" s="26" t="str">
        <f>IF($A1768="","",COUNTIFS(tblReceipts[Item Name],$A1768,tblReceipts[Expiry Date],"&lt;"&amp;$H1768)+COUNTIFS(tblReceipts[Item Name],$A1768,tblReceipts[Expiry Date],$H1768,tblReceipts[Lot Number],"&lt;="&amp;Receipts!$C1771))</f>
        <v/>
      </c>
      <c r="K1768" s="26" t="str">
        <f>IF($A1768="","",SUMIFS(tblReceipts[Qty Received],tblReceipts[Item Name],$A1768,tblReceipts[Expiry Date],"&lt;"&amp;$H1768)+SUMIFS(tblReceipts[Qty Received],tblReceipts[Item Name],$A1768,tblReceipts[Expiry Date],$H1768,tblReceipts[Lot Number],"&lt;"&amp;Receipts!$C1771))</f>
        <v/>
      </c>
      <c r="L1768" s="26" t="str">
        <f>IF($A1768="","",MIN($D1768,MAX(0,SUMIFS(tblIssues[Qty Issued],tblIssues[Item Name],$A1768)-$K1768)))</f>
        <v/>
      </c>
      <c r="M1768" s="26" t="str">
        <f>IF($A1768="","",SUMIFS(tblIssues[Qty Issued],tblIssues[Lot Number],$B1768))</f>
        <v/>
      </c>
      <c r="N1768" s="26" t="str">
        <f t="shared" si="137"/>
        <v/>
      </c>
      <c r="O1768" s="26" t="str">
        <f t="shared" si="138"/>
        <v/>
      </c>
      <c r="P1768" s="21" t="str">
        <f t="shared" si="139"/>
        <v/>
      </c>
      <c r="Q1768" s="52" t="str">
        <f>IF($A1768="","",IF($O1768&lt;=0,"Depleted",IF($I1768&lt;0,"EXPIRED",IF($I1768&lt;=Settings!$C$6,"CRITICAL",IF($I1768&lt;=Settings!$C$5,"Expiring","In date")))))</f>
        <v/>
      </c>
    </row>
    <row r="1769" spans="1:17" x14ac:dyDescent="0.35">
      <c r="A1769" s="90" t="str">
        <f>IF(Receipts!$D1772="","",Receipts!$D1772)</f>
        <v/>
      </c>
      <c r="B1769" s="18" t="str">
        <f>IF(Receipts!$C1772="","",Receipts!$C1772)</f>
        <v/>
      </c>
      <c r="C1769" s="18" t="str">
        <f>IF($A1769="","",IFERROR(INDEX(Items!$B$5:$B$597,MATCH($A1769,Items!$A$5:$A$597,0)),""))</f>
        <v/>
      </c>
      <c r="D1769" s="23" t="str">
        <f>IF($A1769="","",N(Receipts!$G1772))</f>
        <v/>
      </c>
      <c r="E1769" s="20" t="str">
        <f>IF($A1769="","",IFERROR(INDEX(Items!$D$5:$D$597,MATCH($A1769,Items!$A$5:$A$597,0)),0))</f>
        <v/>
      </c>
      <c r="F1769" s="21" t="str">
        <f t="shared" si="135"/>
        <v/>
      </c>
      <c r="G1769" s="25" t="str">
        <f>IF(Receipts!$I1772="","",Receipts!$I1772)</f>
        <v/>
      </c>
      <c r="H1769" s="25" t="str">
        <f>IF(Receipts!$H1772="","",Receipts!$H1772)</f>
        <v/>
      </c>
      <c r="I1769" s="26" t="str">
        <f t="shared" ca="1" si="136"/>
        <v/>
      </c>
      <c r="J1769" s="26" t="str">
        <f>IF($A1769="","",COUNTIFS(tblReceipts[Item Name],$A1769,tblReceipts[Expiry Date],"&lt;"&amp;$H1769)+COUNTIFS(tblReceipts[Item Name],$A1769,tblReceipts[Expiry Date],$H1769,tblReceipts[Lot Number],"&lt;="&amp;Receipts!$C1772))</f>
        <v/>
      </c>
      <c r="K1769" s="26" t="str">
        <f>IF($A1769="","",SUMIFS(tblReceipts[Qty Received],tblReceipts[Item Name],$A1769,tblReceipts[Expiry Date],"&lt;"&amp;$H1769)+SUMIFS(tblReceipts[Qty Received],tblReceipts[Item Name],$A1769,tblReceipts[Expiry Date],$H1769,tblReceipts[Lot Number],"&lt;"&amp;Receipts!$C1772))</f>
        <v/>
      </c>
      <c r="L1769" s="26" t="str">
        <f>IF($A1769="","",MIN($D1769,MAX(0,SUMIFS(tblIssues[Qty Issued],tblIssues[Item Name],$A1769)-$K1769)))</f>
        <v/>
      </c>
      <c r="M1769" s="26" t="str">
        <f>IF($A1769="","",SUMIFS(tblIssues[Qty Issued],tblIssues[Lot Number],$B1769))</f>
        <v/>
      </c>
      <c r="N1769" s="26" t="str">
        <f t="shared" si="137"/>
        <v/>
      </c>
      <c r="O1769" s="26" t="str">
        <f t="shared" si="138"/>
        <v/>
      </c>
      <c r="P1769" s="21" t="str">
        <f t="shared" si="139"/>
        <v/>
      </c>
      <c r="Q1769" s="52" t="str">
        <f>IF($A1769="","",IF($O1769&lt;=0,"Depleted",IF($I1769&lt;0,"EXPIRED",IF($I1769&lt;=Settings!$C$6,"CRITICAL",IF($I1769&lt;=Settings!$C$5,"Expiring","In date")))))</f>
        <v/>
      </c>
    </row>
    <row r="1770" spans="1:17" x14ac:dyDescent="0.35">
      <c r="A1770" s="90" t="str">
        <f>IF(Receipts!$D1773="","",Receipts!$D1773)</f>
        <v/>
      </c>
      <c r="B1770" s="18" t="str">
        <f>IF(Receipts!$C1773="","",Receipts!$C1773)</f>
        <v/>
      </c>
      <c r="C1770" s="18" t="str">
        <f>IF($A1770="","",IFERROR(INDEX(Items!$B$5:$B$597,MATCH($A1770,Items!$A$5:$A$597,0)),""))</f>
        <v/>
      </c>
      <c r="D1770" s="23" t="str">
        <f>IF($A1770="","",N(Receipts!$G1773))</f>
        <v/>
      </c>
      <c r="E1770" s="20" t="str">
        <f>IF($A1770="","",IFERROR(INDEX(Items!$D$5:$D$597,MATCH($A1770,Items!$A$5:$A$597,0)),0))</f>
        <v/>
      </c>
      <c r="F1770" s="21" t="str">
        <f t="shared" si="135"/>
        <v/>
      </c>
      <c r="G1770" s="25" t="str">
        <f>IF(Receipts!$I1773="","",Receipts!$I1773)</f>
        <v/>
      </c>
      <c r="H1770" s="25" t="str">
        <f>IF(Receipts!$H1773="","",Receipts!$H1773)</f>
        <v/>
      </c>
      <c r="I1770" s="26" t="str">
        <f t="shared" ca="1" si="136"/>
        <v/>
      </c>
      <c r="J1770" s="26" t="str">
        <f>IF($A1770="","",COUNTIFS(tblReceipts[Item Name],$A1770,tblReceipts[Expiry Date],"&lt;"&amp;$H1770)+COUNTIFS(tblReceipts[Item Name],$A1770,tblReceipts[Expiry Date],$H1770,tblReceipts[Lot Number],"&lt;="&amp;Receipts!$C1773))</f>
        <v/>
      </c>
      <c r="K1770" s="26" t="str">
        <f>IF($A1770="","",SUMIFS(tblReceipts[Qty Received],tblReceipts[Item Name],$A1770,tblReceipts[Expiry Date],"&lt;"&amp;$H1770)+SUMIFS(tblReceipts[Qty Received],tblReceipts[Item Name],$A1770,tblReceipts[Expiry Date],$H1770,tblReceipts[Lot Number],"&lt;"&amp;Receipts!$C1773))</f>
        <v/>
      </c>
      <c r="L1770" s="26" t="str">
        <f>IF($A1770="","",MIN($D1770,MAX(0,SUMIFS(tblIssues[Qty Issued],tblIssues[Item Name],$A1770)-$K1770)))</f>
        <v/>
      </c>
      <c r="M1770" s="26" t="str">
        <f>IF($A1770="","",SUMIFS(tblIssues[Qty Issued],tblIssues[Lot Number],$B1770))</f>
        <v/>
      </c>
      <c r="N1770" s="26" t="str">
        <f t="shared" si="137"/>
        <v/>
      </c>
      <c r="O1770" s="26" t="str">
        <f t="shared" si="138"/>
        <v/>
      </c>
      <c r="P1770" s="21" t="str">
        <f t="shared" si="139"/>
        <v/>
      </c>
      <c r="Q1770" s="52" t="str">
        <f>IF($A1770="","",IF($O1770&lt;=0,"Depleted",IF($I1770&lt;0,"EXPIRED",IF($I1770&lt;=Settings!$C$6,"CRITICAL",IF($I1770&lt;=Settings!$C$5,"Expiring","In date")))))</f>
        <v/>
      </c>
    </row>
    <row r="1771" spans="1:17" x14ac:dyDescent="0.35">
      <c r="A1771" s="90" t="str">
        <f>IF(Receipts!$D1774="","",Receipts!$D1774)</f>
        <v/>
      </c>
      <c r="B1771" s="18" t="str">
        <f>IF(Receipts!$C1774="","",Receipts!$C1774)</f>
        <v/>
      </c>
      <c r="C1771" s="18" t="str">
        <f>IF($A1771="","",IFERROR(INDEX(Items!$B$5:$B$597,MATCH($A1771,Items!$A$5:$A$597,0)),""))</f>
        <v/>
      </c>
      <c r="D1771" s="23" t="str">
        <f>IF($A1771="","",N(Receipts!$G1774))</f>
        <v/>
      </c>
      <c r="E1771" s="20" t="str">
        <f>IF($A1771="","",IFERROR(INDEX(Items!$D$5:$D$597,MATCH($A1771,Items!$A$5:$A$597,0)),0))</f>
        <v/>
      </c>
      <c r="F1771" s="21" t="str">
        <f t="shared" si="135"/>
        <v/>
      </c>
      <c r="G1771" s="25" t="str">
        <f>IF(Receipts!$I1774="","",Receipts!$I1774)</f>
        <v/>
      </c>
      <c r="H1771" s="25" t="str">
        <f>IF(Receipts!$H1774="","",Receipts!$H1774)</f>
        <v/>
      </c>
      <c r="I1771" s="26" t="str">
        <f t="shared" ca="1" si="136"/>
        <v/>
      </c>
      <c r="J1771" s="26" t="str">
        <f>IF($A1771="","",COUNTIFS(tblReceipts[Item Name],$A1771,tblReceipts[Expiry Date],"&lt;"&amp;$H1771)+COUNTIFS(tblReceipts[Item Name],$A1771,tblReceipts[Expiry Date],$H1771,tblReceipts[Lot Number],"&lt;="&amp;Receipts!$C1774))</f>
        <v/>
      </c>
      <c r="K1771" s="26" t="str">
        <f>IF($A1771="","",SUMIFS(tblReceipts[Qty Received],tblReceipts[Item Name],$A1771,tblReceipts[Expiry Date],"&lt;"&amp;$H1771)+SUMIFS(tblReceipts[Qty Received],tblReceipts[Item Name],$A1771,tblReceipts[Expiry Date],$H1771,tblReceipts[Lot Number],"&lt;"&amp;Receipts!$C1774))</f>
        <v/>
      </c>
      <c r="L1771" s="26" t="str">
        <f>IF($A1771="","",MIN($D1771,MAX(0,SUMIFS(tblIssues[Qty Issued],tblIssues[Item Name],$A1771)-$K1771)))</f>
        <v/>
      </c>
      <c r="M1771" s="26" t="str">
        <f>IF($A1771="","",SUMIFS(tblIssues[Qty Issued],tblIssues[Lot Number],$B1771))</f>
        <v/>
      </c>
      <c r="N1771" s="26" t="str">
        <f t="shared" si="137"/>
        <v/>
      </c>
      <c r="O1771" s="26" t="str">
        <f t="shared" si="138"/>
        <v/>
      </c>
      <c r="P1771" s="21" t="str">
        <f t="shared" si="139"/>
        <v/>
      </c>
      <c r="Q1771" s="52" t="str">
        <f>IF($A1771="","",IF($O1771&lt;=0,"Depleted",IF($I1771&lt;0,"EXPIRED",IF($I1771&lt;=Settings!$C$6,"CRITICAL",IF($I1771&lt;=Settings!$C$5,"Expiring","In date")))))</f>
        <v/>
      </c>
    </row>
    <row r="1772" spans="1:17" x14ac:dyDescent="0.35">
      <c r="A1772" s="90" t="str">
        <f>IF(Receipts!$D1775="","",Receipts!$D1775)</f>
        <v/>
      </c>
      <c r="B1772" s="18" t="str">
        <f>IF(Receipts!$C1775="","",Receipts!$C1775)</f>
        <v/>
      </c>
      <c r="C1772" s="18" t="str">
        <f>IF($A1772="","",IFERROR(INDEX(Items!$B$5:$B$597,MATCH($A1772,Items!$A$5:$A$597,0)),""))</f>
        <v/>
      </c>
      <c r="D1772" s="23" t="str">
        <f>IF($A1772="","",N(Receipts!$G1775))</f>
        <v/>
      </c>
      <c r="E1772" s="20" t="str">
        <f>IF($A1772="","",IFERROR(INDEX(Items!$D$5:$D$597,MATCH($A1772,Items!$A$5:$A$597,0)),0))</f>
        <v/>
      </c>
      <c r="F1772" s="21" t="str">
        <f t="shared" si="135"/>
        <v/>
      </c>
      <c r="G1772" s="25" t="str">
        <f>IF(Receipts!$I1775="","",Receipts!$I1775)</f>
        <v/>
      </c>
      <c r="H1772" s="25" t="str">
        <f>IF(Receipts!$H1775="","",Receipts!$H1775)</f>
        <v/>
      </c>
      <c r="I1772" s="26" t="str">
        <f t="shared" ca="1" si="136"/>
        <v/>
      </c>
      <c r="J1772" s="26" t="str">
        <f>IF($A1772="","",COUNTIFS(tblReceipts[Item Name],$A1772,tblReceipts[Expiry Date],"&lt;"&amp;$H1772)+COUNTIFS(tblReceipts[Item Name],$A1772,tblReceipts[Expiry Date],$H1772,tblReceipts[Lot Number],"&lt;="&amp;Receipts!$C1775))</f>
        <v/>
      </c>
      <c r="K1772" s="26" t="str">
        <f>IF($A1772="","",SUMIFS(tblReceipts[Qty Received],tblReceipts[Item Name],$A1772,tblReceipts[Expiry Date],"&lt;"&amp;$H1772)+SUMIFS(tblReceipts[Qty Received],tblReceipts[Item Name],$A1772,tblReceipts[Expiry Date],$H1772,tblReceipts[Lot Number],"&lt;"&amp;Receipts!$C1775))</f>
        <v/>
      </c>
      <c r="L1772" s="26" t="str">
        <f>IF($A1772="","",MIN($D1772,MAX(0,SUMIFS(tblIssues[Qty Issued],tblIssues[Item Name],$A1772)-$K1772)))</f>
        <v/>
      </c>
      <c r="M1772" s="26" t="str">
        <f>IF($A1772="","",SUMIFS(tblIssues[Qty Issued],tblIssues[Lot Number],$B1772))</f>
        <v/>
      </c>
      <c r="N1772" s="26" t="str">
        <f t="shared" si="137"/>
        <v/>
      </c>
      <c r="O1772" s="26" t="str">
        <f t="shared" si="138"/>
        <v/>
      </c>
      <c r="P1772" s="21" t="str">
        <f t="shared" si="139"/>
        <v/>
      </c>
      <c r="Q1772" s="52" t="str">
        <f>IF($A1772="","",IF($O1772&lt;=0,"Depleted",IF($I1772&lt;0,"EXPIRED",IF($I1772&lt;=Settings!$C$6,"CRITICAL",IF($I1772&lt;=Settings!$C$5,"Expiring","In date")))))</f>
        <v/>
      </c>
    </row>
    <row r="1773" spans="1:17" x14ac:dyDescent="0.35">
      <c r="A1773" s="90" t="str">
        <f>IF(Receipts!$D1776="","",Receipts!$D1776)</f>
        <v/>
      </c>
      <c r="B1773" s="18" t="str">
        <f>IF(Receipts!$C1776="","",Receipts!$C1776)</f>
        <v/>
      </c>
      <c r="C1773" s="18" t="str">
        <f>IF($A1773="","",IFERROR(INDEX(Items!$B$5:$B$597,MATCH($A1773,Items!$A$5:$A$597,0)),""))</f>
        <v/>
      </c>
      <c r="D1773" s="23" t="str">
        <f>IF($A1773="","",N(Receipts!$G1776))</f>
        <v/>
      </c>
      <c r="E1773" s="20" t="str">
        <f>IF($A1773="","",IFERROR(INDEX(Items!$D$5:$D$597,MATCH($A1773,Items!$A$5:$A$597,0)),0))</f>
        <v/>
      </c>
      <c r="F1773" s="21" t="str">
        <f t="shared" si="135"/>
        <v/>
      </c>
      <c r="G1773" s="25" t="str">
        <f>IF(Receipts!$I1776="","",Receipts!$I1776)</f>
        <v/>
      </c>
      <c r="H1773" s="25" t="str">
        <f>IF(Receipts!$H1776="","",Receipts!$H1776)</f>
        <v/>
      </c>
      <c r="I1773" s="26" t="str">
        <f t="shared" ca="1" si="136"/>
        <v/>
      </c>
      <c r="J1773" s="26" t="str">
        <f>IF($A1773="","",COUNTIFS(tblReceipts[Item Name],$A1773,tblReceipts[Expiry Date],"&lt;"&amp;$H1773)+COUNTIFS(tblReceipts[Item Name],$A1773,tblReceipts[Expiry Date],$H1773,tblReceipts[Lot Number],"&lt;="&amp;Receipts!$C1776))</f>
        <v/>
      </c>
      <c r="K1773" s="26" t="str">
        <f>IF($A1773="","",SUMIFS(tblReceipts[Qty Received],tblReceipts[Item Name],$A1773,tblReceipts[Expiry Date],"&lt;"&amp;$H1773)+SUMIFS(tblReceipts[Qty Received],tblReceipts[Item Name],$A1773,tblReceipts[Expiry Date],$H1773,tblReceipts[Lot Number],"&lt;"&amp;Receipts!$C1776))</f>
        <v/>
      </c>
      <c r="L1773" s="26" t="str">
        <f>IF($A1773="","",MIN($D1773,MAX(0,SUMIFS(tblIssues[Qty Issued],tblIssues[Item Name],$A1773)-$K1773)))</f>
        <v/>
      </c>
      <c r="M1773" s="26" t="str">
        <f>IF($A1773="","",SUMIFS(tblIssues[Qty Issued],tblIssues[Lot Number],$B1773))</f>
        <v/>
      </c>
      <c r="N1773" s="26" t="str">
        <f t="shared" si="137"/>
        <v/>
      </c>
      <c r="O1773" s="26" t="str">
        <f t="shared" si="138"/>
        <v/>
      </c>
      <c r="P1773" s="21" t="str">
        <f t="shared" si="139"/>
        <v/>
      </c>
      <c r="Q1773" s="52" t="str">
        <f>IF($A1773="","",IF($O1773&lt;=0,"Depleted",IF($I1773&lt;0,"EXPIRED",IF($I1773&lt;=Settings!$C$6,"CRITICAL",IF($I1773&lt;=Settings!$C$5,"Expiring","In date")))))</f>
        <v/>
      </c>
    </row>
    <row r="1774" spans="1:17" x14ac:dyDescent="0.35">
      <c r="A1774" s="90" t="str">
        <f>IF(Receipts!$D1777="","",Receipts!$D1777)</f>
        <v/>
      </c>
      <c r="B1774" s="18" t="str">
        <f>IF(Receipts!$C1777="","",Receipts!$C1777)</f>
        <v/>
      </c>
      <c r="C1774" s="18" t="str">
        <f>IF($A1774="","",IFERROR(INDEX(Items!$B$5:$B$597,MATCH($A1774,Items!$A$5:$A$597,0)),""))</f>
        <v/>
      </c>
      <c r="D1774" s="23" t="str">
        <f>IF($A1774="","",N(Receipts!$G1777))</f>
        <v/>
      </c>
      <c r="E1774" s="20" t="str">
        <f>IF($A1774="","",IFERROR(INDEX(Items!$D$5:$D$597,MATCH($A1774,Items!$A$5:$A$597,0)),0))</f>
        <v/>
      </c>
      <c r="F1774" s="21" t="str">
        <f t="shared" si="135"/>
        <v/>
      </c>
      <c r="G1774" s="25" t="str">
        <f>IF(Receipts!$I1777="","",Receipts!$I1777)</f>
        <v/>
      </c>
      <c r="H1774" s="25" t="str">
        <f>IF(Receipts!$H1777="","",Receipts!$H1777)</f>
        <v/>
      </c>
      <c r="I1774" s="26" t="str">
        <f t="shared" ca="1" si="136"/>
        <v/>
      </c>
      <c r="J1774" s="26" t="str">
        <f>IF($A1774="","",COUNTIFS(tblReceipts[Item Name],$A1774,tblReceipts[Expiry Date],"&lt;"&amp;$H1774)+COUNTIFS(tblReceipts[Item Name],$A1774,tblReceipts[Expiry Date],$H1774,tblReceipts[Lot Number],"&lt;="&amp;Receipts!$C1777))</f>
        <v/>
      </c>
      <c r="K1774" s="26" t="str">
        <f>IF($A1774="","",SUMIFS(tblReceipts[Qty Received],tblReceipts[Item Name],$A1774,tblReceipts[Expiry Date],"&lt;"&amp;$H1774)+SUMIFS(tblReceipts[Qty Received],tblReceipts[Item Name],$A1774,tblReceipts[Expiry Date],$H1774,tblReceipts[Lot Number],"&lt;"&amp;Receipts!$C1777))</f>
        <v/>
      </c>
      <c r="L1774" s="26" t="str">
        <f>IF($A1774="","",MIN($D1774,MAX(0,SUMIFS(tblIssues[Qty Issued],tblIssues[Item Name],$A1774)-$K1774)))</f>
        <v/>
      </c>
      <c r="M1774" s="26" t="str">
        <f>IF($A1774="","",SUMIFS(tblIssues[Qty Issued],tblIssues[Lot Number],$B1774))</f>
        <v/>
      </c>
      <c r="N1774" s="26" t="str">
        <f t="shared" si="137"/>
        <v/>
      </c>
      <c r="O1774" s="26" t="str">
        <f t="shared" si="138"/>
        <v/>
      </c>
      <c r="P1774" s="21" t="str">
        <f t="shared" si="139"/>
        <v/>
      </c>
      <c r="Q1774" s="52" t="str">
        <f>IF($A1774="","",IF($O1774&lt;=0,"Depleted",IF($I1774&lt;0,"EXPIRED",IF($I1774&lt;=Settings!$C$6,"CRITICAL",IF($I1774&lt;=Settings!$C$5,"Expiring","In date")))))</f>
        <v/>
      </c>
    </row>
    <row r="1775" spans="1:17" x14ac:dyDescent="0.35">
      <c r="A1775" s="90" t="str">
        <f>IF(Receipts!$D1778="","",Receipts!$D1778)</f>
        <v/>
      </c>
      <c r="B1775" s="18" t="str">
        <f>IF(Receipts!$C1778="","",Receipts!$C1778)</f>
        <v/>
      </c>
      <c r="C1775" s="18" t="str">
        <f>IF($A1775="","",IFERROR(INDEX(Items!$B$5:$B$597,MATCH($A1775,Items!$A$5:$A$597,0)),""))</f>
        <v/>
      </c>
      <c r="D1775" s="23" t="str">
        <f>IF($A1775="","",N(Receipts!$G1778))</f>
        <v/>
      </c>
      <c r="E1775" s="20" t="str">
        <f>IF($A1775="","",IFERROR(INDEX(Items!$D$5:$D$597,MATCH($A1775,Items!$A$5:$A$597,0)),0))</f>
        <v/>
      </c>
      <c r="F1775" s="21" t="str">
        <f t="shared" si="135"/>
        <v/>
      </c>
      <c r="G1775" s="25" t="str">
        <f>IF(Receipts!$I1778="","",Receipts!$I1778)</f>
        <v/>
      </c>
      <c r="H1775" s="25" t="str">
        <f>IF(Receipts!$H1778="","",Receipts!$H1778)</f>
        <v/>
      </c>
      <c r="I1775" s="26" t="str">
        <f t="shared" ca="1" si="136"/>
        <v/>
      </c>
      <c r="J1775" s="26" t="str">
        <f>IF($A1775="","",COUNTIFS(tblReceipts[Item Name],$A1775,tblReceipts[Expiry Date],"&lt;"&amp;$H1775)+COUNTIFS(tblReceipts[Item Name],$A1775,tblReceipts[Expiry Date],$H1775,tblReceipts[Lot Number],"&lt;="&amp;Receipts!$C1778))</f>
        <v/>
      </c>
      <c r="K1775" s="26" t="str">
        <f>IF($A1775="","",SUMIFS(tblReceipts[Qty Received],tblReceipts[Item Name],$A1775,tblReceipts[Expiry Date],"&lt;"&amp;$H1775)+SUMIFS(tblReceipts[Qty Received],tblReceipts[Item Name],$A1775,tblReceipts[Expiry Date],$H1775,tblReceipts[Lot Number],"&lt;"&amp;Receipts!$C1778))</f>
        <v/>
      </c>
      <c r="L1775" s="26" t="str">
        <f>IF($A1775="","",MIN($D1775,MAX(0,SUMIFS(tblIssues[Qty Issued],tblIssues[Item Name],$A1775)-$K1775)))</f>
        <v/>
      </c>
      <c r="M1775" s="26" t="str">
        <f>IF($A1775="","",SUMIFS(tblIssues[Qty Issued],tblIssues[Lot Number],$B1775))</f>
        <v/>
      </c>
      <c r="N1775" s="26" t="str">
        <f t="shared" si="137"/>
        <v/>
      </c>
      <c r="O1775" s="26" t="str">
        <f t="shared" si="138"/>
        <v/>
      </c>
      <c r="P1775" s="21" t="str">
        <f t="shared" si="139"/>
        <v/>
      </c>
      <c r="Q1775" s="52" t="str">
        <f>IF($A1775="","",IF($O1775&lt;=0,"Depleted",IF($I1775&lt;0,"EXPIRED",IF($I1775&lt;=Settings!$C$6,"CRITICAL",IF($I1775&lt;=Settings!$C$5,"Expiring","In date")))))</f>
        <v/>
      </c>
    </row>
    <row r="1776" spans="1:17" x14ac:dyDescent="0.35">
      <c r="A1776" s="90" t="str">
        <f>IF(Receipts!$D1779="","",Receipts!$D1779)</f>
        <v/>
      </c>
      <c r="B1776" s="18" t="str">
        <f>IF(Receipts!$C1779="","",Receipts!$C1779)</f>
        <v/>
      </c>
      <c r="C1776" s="18" t="str">
        <f>IF($A1776="","",IFERROR(INDEX(Items!$B$5:$B$597,MATCH($A1776,Items!$A$5:$A$597,0)),""))</f>
        <v/>
      </c>
      <c r="D1776" s="23" t="str">
        <f>IF($A1776="","",N(Receipts!$G1779))</f>
        <v/>
      </c>
      <c r="E1776" s="20" t="str">
        <f>IF($A1776="","",IFERROR(INDEX(Items!$D$5:$D$597,MATCH($A1776,Items!$A$5:$A$597,0)),0))</f>
        <v/>
      </c>
      <c r="F1776" s="21" t="str">
        <f t="shared" si="135"/>
        <v/>
      </c>
      <c r="G1776" s="25" t="str">
        <f>IF(Receipts!$I1779="","",Receipts!$I1779)</f>
        <v/>
      </c>
      <c r="H1776" s="25" t="str">
        <f>IF(Receipts!$H1779="","",Receipts!$H1779)</f>
        <v/>
      </c>
      <c r="I1776" s="26" t="str">
        <f t="shared" ca="1" si="136"/>
        <v/>
      </c>
      <c r="J1776" s="26" t="str">
        <f>IF($A1776="","",COUNTIFS(tblReceipts[Item Name],$A1776,tblReceipts[Expiry Date],"&lt;"&amp;$H1776)+COUNTIFS(tblReceipts[Item Name],$A1776,tblReceipts[Expiry Date],$H1776,tblReceipts[Lot Number],"&lt;="&amp;Receipts!$C1779))</f>
        <v/>
      </c>
      <c r="K1776" s="26" t="str">
        <f>IF($A1776="","",SUMIFS(tblReceipts[Qty Received],tblReceipts[Item Name],$A1776,tblReceipts[Expiry Date],"&lt;"&amp;$H1776)+SUMIFS(tblReceipts[Qty Received],tblReceipts[Item Name],$A1776,tblReceipts[Expiry Date],$H1776,tblReceipts[Lot Number],"&lt;"&amp;Receipts!$C1779))</f>
        <v/>
      </c>
      <c r="L1776" s="26" t="str">
        <f>IF($A1776="","",MIN($D1776,MAX(0,SUMIFS(tblIssues[Qty Issued],tblIssues[Item Name],$A1776)-$K1776)))</f>
        <v/>
      </c>
      <c r="M1776" s="26" t="str">
        <f>IF($A1776="","",SUMIFS(tblIssues[Qty Issued],tblIssues[Lot Number],$B1776))</f>
        <v/>
      </c>
      <c r="N1776" s="26" t="str">
        <f t="shared" si="137"/>
        <v/>
      </c>
      <c r="O1776" s="26" t="str">
        <f t="shared" si="138"/>
        <v/>
      </c>
      <c r="P1776" s="21" t="str">
        <f t="shared" si="139"/>
        <v/>
      </c>
      <c r="Q1776" s="52" t="str">
        <f>IF($A1776="","",IF($O1776&lt;=0,"Depleted",IF($I1776&lt;0,"EXPIRED",IF($I1776&lt;=Settings!$C$6,"CRITICAL",IF($I1776&lt;=Settings!$C$5,"Expiring","In date")))))</f>
        <v/>
      </c>
    </row>
    <row r="1777" spans="1:17" x14ac:dyDescent="0.35">
      <c r="A1777" s="90" t="str">
        <f>IF(Receipts!$D1780="","",Receipts!$D1780)</f>
        <v/>
      </c>
      <c r="B1777" s="18" t="str">
        <f>IF(Receipts!$C1780="","",Receipts!$C1780)</f>
        <v/>
      </c>
      <c r="C1777" s="18" t="str">
        <f>IF($A1777="","",IFERROR(INDEX(Items!$B$5:$B$597,MATCH($A1777,Items!$A$5:$A$597,0)),""))</f>
        <v/>
      </c>
      <c r="D1777" s="23" t="str">
        <f>IF($A1777="","",N(Receipts!$G1780))</f>
        <v/>
      </c>
      <c r="E1777" s="20" t="str">
        <f>IF($A1777="","",IFERROR(INDEX(Items!$D$5:$D$597,MATCH($A1777,Items!$A$5:$A$597,0)),0))</f>
        <v/>
      </c>
      <c r="F1777" s="21" t="str">
        <f t="shared" si="135"/>
        <v/>
      </c>
      <c r="G1777" s="25" t="str">
        <f>IF(Receipts!$I1780="","",Receipts!$I1780)</f>
        <v/>
      </c>
      <c r="H1777" s="25" t="str">
        <f>IF(Receipts!$H1780="","",Receipts!$H1780)</f>
        <v/>
      </c>
      <c r="I1777" s="26" t="str">
        <f t="shared" ca="1" si="136"/>
        <v/>
      </c>
      <c r="J1777" s="26" t="str">
        <f>IF($A1777="","",COUNTIFS(tblReceipts[Item Name],$A1777,tblReceipts[Expiry Date],"&lt;"&amp;$H1777)+COUNTIFS(tblReceipts[Item Name],$A1777,tblReceipts[Expiry Date],$H1777,tblReceipts[Lot Number],"&lt;="&amp;Receipts!$C1780))</f>
        <v/>
      </c>
      <c r="K1777" s="26" t="str">
        <f>IF($A1777="","",SUMIFS(tblReceipts[Qty Received],tblReceipts[Item Name],$A1777,tblReceipts[Expiry Date],"&lt;"&amp;$H1777)+SUMIFS(tblReceipts[Qty Received],tblReceipts[Item Name],$A1777,tblReceipts[Expiry Date],$H1777,tblReceipts[Lot Number],"&lt;"&amp;Receipts!$C1780))</f>
        <v/>
      </c>
      <c r="L1777" s="26" t="str">
        <f>IF($A1777="","",MIN($D1777,MAX(0,SUMIFS(tblIssues[Qty Issued],tblIssues[Item Name],$A1777)-$K1777)))</f>
        <v/>
      </c>
      <c r="M1777" s="26" t="str">
        <f>IF($A1777="","",SUMIFS(tblIssues[Qty Issued],tblIssues[Lot Number],$B1777))</f>
        <v/>
      </c>
      <c r="N1777" s="26" t="str">
        <f t="shared" si="137"/>
        <v/>
      </c>
      <c r="O1777" s="26" t="str">
        <f t="shared" si="138"/>
        <v/>
      </c>
      <c r="P1777" s="21" t="str">
        <f t="shared" si="139"/>
        <v/>
      </c>
      <c r="Q1777" s="52" t="str">
        <f>IF($A1777="","",IF($O1777&lt;=0,"Depleted",IF($I1777&lt;0,"EXPIRED",IF($I1777&lt;=Settings!$C$6,"CRITICAL",IF($I1777&lt;=Settings!$C$5,"Expiring","In date")))))</f>
        <v/>
      </c>
    </row>
    <row r="1778" spans="1:17" x14ac:dyDescent="0.35">
      <c r="A1778" s="90" t="str">
        <f>IF(Receipts!$D1781="","",Receipts!$D1781)</f>
        <v/>
      </c>
      <c r="B1778" s="18" t="str">
        <f>IF(Receipts!$C1781="","",Receipts!$C1781)</f>
        <v/>
      </c>
      <c r="C1778" s="18" t="str">
        <f>IF($A1778="","",IFERROR(INDEX(Items!$B$5:$B$597,MATCH($A1778,Items!$A$5:$A$597,0)),""))</f>
        <v/>
      </c>
      <c r="D1778" s="23" t="str">
        <f>IF($A1778="","",N(Receipts!$G1781))</f>
        <v/>
      </c>
      <c r="E1778" s="20" t="str">
        <f>IF($A1778="","",IFERROR(INDEX(Items!$D$5:$D$597,MATCH($A1778,Items!$A$5:$A$597,0)),0))</f>
        <v/>
      </c>
      <c r="F1778" s="21" t="str">
        <f t="shared" si="135"/>
        <v/>
      </c>
      <c r="G1778" s="25" t="str">
        <f>IF(Receipts!$I1781="","",Receipts!$I1781)</f>
        <v/>
      </c>
      <c r="H1778" s="25" t="str">
        <f>IF(Receipts!$H1781="","",Receipts!$H1781)</f>
        <v/>
      </c>
      <c r="I1778" s="26" t="str">
        <f t="shared" ca="1" si="136"/>
        <v/>
      </c>
      <c r="J1778" s="26" t="str">
        <f>IF($A1778="","",COUNTIFS(tblReceipts[Item Name],$A1778,tblReceipts[Expiry Date],"&lt;"&amp;$H1778)+COUNTIFS(tblReceipts[Item Name],$A1778,tblReceipts[Expiry Date],$H1778,tblReceipts[Lot Number],"&lt;="&amp;Receipts!$C1781))</f>
        <v/>
      </c>
      <c r="K1778" s="26" t="str">
        <f>IF($A1778="","",SUMIFS(tblReceipts[Qty Received],tblReceipts[Item Name],$A1778,tblReceipts[Expiry Date],"&lt;"&amp;$H1778)+SUMIFS(tblReceipts[Qty Received],tblReceipts[Item Name],$A1778,tblReceipts[Expiry Date],$H1778,tblReceipts[Lot Number],"&lt;"&amp;Receipts!$C1781))</f>
        <v/>
      </c>
      <c r="L1778" s="26" t="str">
        <f>IF($A1778="","",MIN($D1778,MAX(0,SUMIFS(tblIssues[Qty Issued],tblIssues[Item Name],$A1778)-$K1778)))</f>
        <v/>
      </c>
      <c r="M1778" s="26" t="str">
        <f>IF($A1778="","",SUMIFS(tblIssues[Qty Issued],tblIssues[Lot Number],$B1778))</f>
        <v/>
      </c>
      <c r="N1778" s="26" t="str">
        <f t="shared" si="137"/>
        <v/>
      </c>
      <c r="O1778" s="26" t="str">
        <f t="shared" si="138"/>
        <v/>
      </c>
      <c r="P1778" s="21" t="str">
        <f t="shared" si="139"/>
        <v/>
      </c>
      <c r="Q1778" s="52" t="str">
        <f>IF($A1778="","",IF($O1778&lt;=0,"Depleted",IF($I1778&lt;0,"EXPIRED",IF($I1778&lt;=Settings!$C$6,"CRITICAL",IF($I1778&lt;=Settings!$C$5,"Expiring","In date")))))</f>
        <v/>
      </c>
    </row>
    <row r="1779" spans="1:17" x14ac:dyDescent="0.35">
      <c r="A1779" s="90" t="str">
        <f>IF(Receipts!$D1782="","",Receipts!$D1782)</f>
        <v/>
      </c>
      <c r="B1779" s="18" t="str">
        <f>IF(Receipts!$C1782="","",Receipts!$C1782)</f>
        <v/>
      </c>
      <c r="C1779" s="18" t="str">
        <f>IF($A1779="","",IFERROR(INDEX(Items!$B$5:$B$597,MATCH($A1779,Items!$A$5:$A$597,0)),""))</f>
        <v/>
      </c>
      <c r="D1779" s="23" t="str">
        <f>IF($A1779="","",N(Receipts!$G1782))</f>
        <v/>
      </c>
      <c r="E1779" s="20" t="str">
        <f>IF($A1779="","",IFERROR(INDEX(Items!$D$5:$D$597,MATCH($A1779,Items!$A$5:$A$597,0)),0))</f>
        <v/>
      </c>
      <c r="F1779" s="21" t="str">
        <f t="shared" si="135"/>
        <v/>
      </c>
      <c r="G1779" s="25" t="str">
        <f>IF(Receipts!$I1782="","",Receipts!$I1782)</f>
        <v/>
      </c>
      <c r="H1779" s="25" t="str">
        <f>IF(Receipts!$H1782="","",Receipts!$H1782)</f>
        <v/>
      </c>
      <c r="I1779" s="26" t="str">
        <f t="shared" ca="1" si="136"/>
        <v/>
      </c>
      <c r="J1779" s="26" t="str">
        <f>IF($A1779="","",COUNTIFS(tblReceipts[Item Name],$A1779,tblReceipts[Expiry Date],"&lt;"&amp;$H1779)+COUNTIFS(tblReceipts[Item Name],$A1779,tblReceipts[Expiry Date],$H1779,tblReceipts[Lot Number],"&lt;="&amp;Receipts!$C1782))</f>
        <v/>
      </c>
      <c r="K1779" s="26" t="str">
        <f>IF($A1779="","",SUMIFS(tblReceipts[Qty Received],tblReceipts[Item Name],$A1779,tblReceipts[Expiry Date],"&lt;"&amp;$H1779)+SUMIFS(tblReceipts[Qty Received],tblReceipts[Item Name],$A1779,tblReceipts[Expiry Date],$H1779,tblReceipts[Lot Number],"&lt;"&amp;Receipts!$C1782))</f>
        <v/>
      </c>
      <c r="L1779" s="26" t="str">
        <f>IF($A1779="","",MIN($D1779,MAX(0,SUMIFS(tblIssues[Qty Issued],tblIssues[Item Name],$A1779)-$K1779)))</f>
        <v/>
      </c>
      <c r="M1779" s="26" t="str">
        <f>IF($A1779="","",SUMIFS(tblIssues[Qty Issued],tblIssues[Lot Number],$B1779))</f>
        <v/>
      </c>
      <c r="N1779" s="26" t="str">
        <f t="shared" si="137"/>
        <v/>
      </c>
      <c r="O1779" s="26" t="str">
        <f t="shared" si="138"/>
        <v/>
      </c>
      <c r="P1779" s="21" t="str">
        <f t="shared" si="139"/>
        <v/>
      </c>
      <c r="Q1779" s="52" t="str">
        <f>IF($A1779="","",IF($O1779&lt;=0,"Depleted",IF($I1779&lt;0,"EXPIRED",IF($I1779&lt;=Settings!$C$6,"CRITICAL",IF($I1779&lt;=Settings!$C$5,"Expiring","In date")))))</f>
        <v/>
      </c>
    </row>
    <row r="1780" spans="1:17" x14ac:dyDescent="0.35">
      <c r="A1780" s="90" t="str">
        <f>IF(Receipts!$D1783="","",Receipts!$D1783)</f>
        <v/>
      </c>
      <c r="B1780" s="18" t="str">
        <f>IF(Receipts!$C1783="","",Receipts!$C1783)</f>
        <v/>
      </c>
      <c r="C1780" s="18" t="str">
        <f>IF($A1780="","",IFERROR(INDEX(Items!$B$5:$B$597,MATCH($A1780,Items!$A$5:$A$597,0)),""))</f>
        <v/>
      </c>
      <c r="D1780" s="23" t="str">
        <f>IF($A1780="","",N(Receipts!$G1783))</f>
        <v/>
      </c>
      <c r="E1780" s="20" t="str">
        <f>IF($A1780="","",IFERROR(INDEX(Items!$D$5:$D$597,MATCH($A1780,Items!$A$5:$A$597,0)),0))</f>
        <v/>
      </c>
      <c r="F1780" s="21" t="str">
        <f t="shared" si="135"/>
        <v/>
      </c>
      <c r="G1780" s="25" t="str">
        <f>IF(Receipts!$I1783="","",Receipts!$I1783)</f>
        <v/>
      </c>
      <c r="H1780" s="25" t="str">
        <f>IF(Receipts!$H1783="","",Receipts!$H1783)</f>
        <v/>
      </c>
      <c r="I1780" s="26" t="str">
        <f t="shared" ca="1" si="136"/>
        <v/>
      </c>
      <c r="J1780" s="26" t="str">
        <f>IF($A1780="","",COUNTIFS(tblReceipts[Item Name],$A1780,tblReceipts[Expiry Date],"&lt;"&amp;$H1780)+COUNTIFS(tblReceipts[Item Name],$A1780,tblReceipts[Expiry Date],$H1780,tblReceipts[Lot Number],"&lt;="&amp;Receipts!$C1783))</f>
        <v/>
      </c>
      <c r="K1780" s="26" t="str">
        <f>IF($A1780="","",SUMIFS(tblReceipts[Qty Received],tblReceipts[Item Name],$A1780,tblReceipts[Expiry Date],"&lt;"&amp;$H1780)+SUMIFS(tblReceipts[Qty Received],tblReceipts[Item Name],$A1780,tblReceipts[Expiry Date],$H1780,tblReceipts[Lot Number],"&lt;"&amp;Receipts!$C1783))</f>
        <v/>
      </c>
      <c r="L1780" s="26" t="str">
        <f>IF($A1780="","",MIN($D1780,MAX(0,SUMIFS(tblIssues[Qty Issued],tblIssues[Item Name],$A1780)-$K1780)))</f>
        <v/>
      </c>
      <c r="M1780" s="26" t="str">
        <f>IF($A1780="","",SUMIFS(tblIssues[Qty Issued],tblIssues[Lot Number],$B1780))</f>
        <v/>
      </c>
      <c r="N1780" s="26" t="str">
        <f t="shared" si="137"/>
        <v/>
      </c>
      <c r="O1780" s="26" t="str">
        <f t="shared" si="138"/>
        <v/>
      </c>
      <c r="P1780" s="21" t="str">
        <f t="shared" si="139"/>
        <v/>
      </c>
      <c r="Q1780" s="52" t="str">
        <f>IF($A1780="","",IF($O1780&lt;=0,"Depleted",IF($I1780&lt;0,"EXPIRED",IF($I1780&lt;=Settings!$C$6,"CRITICAL",IF($I1780&lt;=Settings!$C$5,"Expiring","In date")))))</f>
        <v/>
      </c>
    </row>
    <row r="1781" spans="1:17" x14ac:dyDescent="0.35">
      <c r="A1781" s="90" t="str">
        <f>IF(Receipts!$D1784="","",Receipts!$D1784)</f>
        <v/>
      </c>
      <c r="B1781" s="18" t="str">
        <f>IF(Receipts!$C1784="","",Receipts!$C1784)</f>
        <v/>
      </c>
      <c r="C1781" s="18" t="str">
        <f>IF($A1781="","",IFERROR(INDEX(Items!$B$5:$B$597,MATCH($A1781,Items!$A$5:$A$597,0)),""))</f>
        <v/>
      </c>
      <c r="D1781" s="23" t="str">
        <f>IF($A1781="","",N(Receipts!$G1784))</f>
        <v/>
      </c>
      <c r="E1781" s="20" t="str">
        <f>IF($A1781="","",IFERROR(INDEX(Items!$D$5:$D$597,MATCH($A1781,Items!$A$5:$A$597,0)),0))</f>
        <v/>
      </c>
      <c r="F1781" s="21" t="str">
        <f t="shared" si="135"/>
        <v/>
      </c>
      <c r="G1781" s="25" t="str">
        <f>IF(Receipts!$I1784="","",Receipts!$I1784)</f>
        <v/>
      </c>
      <c r="H1781" s="25" t="str">
        <f>IF(Receipts!$H1784="","",Receipts!$H1784)</f>
        <v/>
      </c>
      <c r="I1781" s="26" t="str">
        <f t="shared" ca="1" si="136"/>
        <v/>
      </c>
      <c r="J1781" s="26" t="str">
        <f>IF($A1781="","",COUNTIFS(tblReceipts[Item Name],$A1781,tblReceipts[Expiry Date],"&lt;"&amp;$H1781)+COUNTIFS(tblReceipts[Item Name],$A1781,tblReceipts[Expiry Date],$H1781,tblReceipts[Lot Number],"&lt;="&amp;Receipts!$C1784))</f>
        <v/>
      </c>
      <c r="K1781" s="26" t="str">
        <f>IF($A1781="","",SUMIFS(tblReceipts[Qty Received],tblReceipts[Item Name],$A1781,tblReceipts[Expiry Date],"&lt;"&amp;$H1781)+SUMIFS(tblReceipts[Qty Received],tblReceipts[Item Name],$A1781,tblReceipts[Expiry Date],$H1781,tblReceipts[Lot Number],"&lt;"&amp;Receipts!$C1784))</f>
        <v/>
      </c>
      <c r="L1781" s="26" t="str">
        <f>IF($A1781="","",MIN($D1781,MAX(0,SUMIFS(tblIssues[Qty Issued],tblIssues[Item Name],$A1781)-$K1781)))</f>
        <v/>
      </c>
      <c r="M1781" s="26" t="str">
        <f>IF($A1781="","",SUMIFS(tblIssues[Qty Issued],tblIssues[Lot Number],$B1781))</f>
        <v/>
      </c>
      <c r="N1781" s="26" t="str">
        <f t="shared" si="137"/>
        <v/>
      </c>
      <c r="O1781" s="26" t="str">
        <f t="shared" si="138"/>
        <v/>
      </c>
      <c r="P1781" s="21" t="str">
        <f t="shared" si="139"/>
        <v/>
      </c>
      <c r="Q1781" s="52" t="str">
        <f>IF($A1781="","",IF($O1781&lt;=0,"Depleted",IF($I1781&lt;0,"EXPIRED",IF($I1781&lt;=Settings!$C$6,"CRITICAL",IF($I1781&lt;=Settings!$C$5,"Expiring","In date")))))</f>
        <v/>
      </c>
    </row>
    <row r="1782" spans="1:17" x14ac:dyDescent="0.35">
      <c r="A1782" s="90" t="str">
        <f>IF(Receipts!$D1785="","",Receipts!$D1785)</f>
        <v/>
      </c>
      <c r="B1782" s="18" t="str">
        <f>IF(Receipts!$C1785="","",Receipts!$C1785)</f>
        <v/>
      </c>
      <c r="C1782" s="18" t="str">
        <f>IF($A1782="","",IFERROR(INDEX(Items!$B$5:$B$597,MATCH($A1782,Items!$A$5:$A$597,0)),""))</f>
        <v/>
      </c>
      <c r="D1782" s="23" t="str">
        <f>IF($A1782="","",N(Receipts!$G1785))</f>
        <v/>
      </c>
      <c r="E1782" s="20" t="str">
        <f>IF($A1782="","",IFERROR(INDEX(Items!$D$5:$D$597,MATCH($A1782,Items!$A$5:$A$597,0)),0))</f>
        <v/>
      </c>
      <c r="F1782" s="21" t="str">
        <f t="shared" si="135"/>
        <v/>
      </c>
      <c r="G1782" s="25" t="str">
        <f>IF(Receipts!$I1785="","",Receipts!$I1785)</f>
        <v/>
      </c>
      <c r="H1782" s="25" t="str">
        <f>IF(Receipts!$H1785="","",Receipts!$H1785)</f>
        <v/>
      </c>
      <c r="I1782" s="26" t="str">
        <f t="shared" ca="1" si="136"/>
        <v/>
      </c>
      <c r="J1782" s="26" t="str">
        <f>IF($A1782="","",COUNTIFS(tblReceipts[Item Name],$A1782,tblReceipts[Expiry Date],"&lt;"&amp;$H1782)+COUNTIFS(tblReceipts[Item Name],$A1782,tblReceipts[Expiry Date],$H1782,tblReceipts[Lot Number],"&lt;="&amp;Receipts!$C1785))</f>
        <v/>
      </c>
      <c r="K1782" s="26" t="str">
        <f>IF($A1782="","",SUMIFS(tblReceipts[Qty Received],tblReceipts[Item Name],$A1782,tblReceipts[Expiry Date],"&lt;"&amp;$H1782)+SUMIFS(tblReceipts[Qty Received],tblReceipts[Item Name],$A1782,tblReceipts[Expiry Date],$H1782,tblReceipts[Lot Number],"&lt;"&amp;Receipts!$C1785))</f>
        <v/>
      </c>
      <c r="L1782" s="26" t="str">
        <f>IF($A1782="","",MIN($D1782,MAX(0,SUMIFS(tblIssues[Qty Issued],tblIssues[Item Name],$A1782)-$K1782)))</f>
        <v/>
      </c>
      <c r="M1782" s="26" t="str">
        <f>IF($A1782="","",SUMIFS(tblIssues[Qty Issued],tblIssues[Lot Number],$B1782))</f>
        <v/>
      </c>
      <c r="N1782" s="26" t="str">
        <f t="shared" si="137"/>
        <v/>
      </c>
      <c r="O1782" s="26" t="str">
        <f t="shared" si="138"/>
        <v/>
      </c>
      <c r="P1782" s="21" t="str">
        <f t="shared" si="139"/>
        <v/>
      </c>
      <c r="Q1782" s="52" t="str">
        <f>IF($A1782="","",IF($O1782&lt;=0,"Depleted",IF($I1782&lt;0,"EXPIRED",IF($I1782&lt;=Settings!$C$6,"CRITICAL",IF($I1782&lt;=Settings!$C$5,"Expiring","In date")))))</f>
        <v/>
      </c>
    </row>
    <row r="1783" spans="1:17" x14ac:dyDescent="0.35">
      <c r="A1783" s="90" t="str">
        <f>IF(Receipts!$D1786="","",Receipts!$D1786)</f>
        <v/>
      </c>
      <c r="B1783" s="18" t="str">
        <f>IF(Receipts!$C1786="","",Receipts!$C1786)</f>
        <v/>
      </c>
      <c r="C1783" s="18" t="str">
        <f>IF($A1783="","",IFERROR(INDEX(Items!$B$5:$B$597,MATCH($A1783,Items!$A$5:$A$597,0)),""))</f>
        <v/>
      </c>
      <c r="D1783" s="23" t="str">
        <f>IF($A1783="","",N(Receipts!$G1786))</f>
        <v/>
      </c>
      <c r="E1783" s="20" t="str">
        <f>IF($A1783="","",IFERROR(INDEX(Items!$D$5:$D$597,MATCH($A1783,Items!$A$5:$A$597,0)),0))</f>
        <v/>
      </c>
      <c r="F1783" s="21" t="str">
        <f t="shared" si="135"/>
        <v/>
      </c>
      <c r="G1783" s="25" t="str">
        <f>IF(Receipts!$I1786="","",Receipts!$I1786)</f>
        <v/>
      </c>
      <c r="H1783" s="25" t="str">
        <f>IF(Receipts!$H1786="","",Receipts!$H1786)</f>
        <v/>
      </c>
      <c r="I1783" s="26" t="str">
        <f t="shared" ca="1" si="136"/>
        <v/>
      </c>
      <c r="J1783" s="26" t="str">
        <f>IF($A1783="","",COUNTIFS(tblReceipts[Item Name],$A1783,tblReceipts[Expiry Date],"&lt;"&amp;$H1783)+COUNTIFS(tblReceipts[Item Name],$A1783,tblReceipts[Expiry Date],$H1783,tblReceipts[Lot Number],"&lt;="&amp;Receipts!$C1786))</f>
        <v/>
      </c>
      <c r="K1783" s="26" t="str">
        <f>IF($A1783="","",SUMIFS(tblReceipts[Qty Received],tblReceipts[Item Name],$A1783,tblReceipts[Expiry Date],"&lt;"&amp;$H1783)+SUMIFS(tblReceipts[Qty Received],tblReceipts[Item Name],$A1783,tblReceipts[Expiry Date],$H1783,tblReceipts[Lot Number],"&lt;"&amp;Receipts!$C1786))</f>
        <v/>
      </c>
      <c r="L1783" s="26" t="str">
        <f>IF($A1783="","",MIN($D1783,MAX(0,SUMIFS(tblIssues[Qty Issued],tblIssues[Item Name],$A1783)-$K1783)))</f>
        <v/>
      </c>
      <c r="M1783" s="26" t="str">
        <f>IF($A1783="","",SUMIFS(tblIssues[Qty Issued],tblIssues[Lot Number],$B1783))</f>
        <v/>
      </c>
      <c r="N1783" s="26" t="str">
        <f t="shared" si="137"/>
        <v/>
      </c>
      <c r="O1783" s="26" t="str">
        <f t="shared" si="138"/>
        <v/>
      </c>
      <c r="P1783" s="21" t="str">
        <f t="shared" si="139"/>
        <v/>
      </c>
      <c r="Q1783" s="52" t="str">
        <f>IF($A1783="","",IF($O1783&lt;=0,"Depleted",IF($I1783&lt;0,"EXPIRED",IF($I1783&lt;=Settings!$C$6,"CRITICAL",IF($I1783&lt;=Settings!$C$5,"Expiring","In date")))))</f>
        <v/>
      </c>
    </row>
    <row r="1784" spans="1:17" x14ac:dyDescent="0.35">
      <c r="A1784" s="90" t="str">
        <f>IF(Receipts!$D1787="","",Receipts!$D1787)</f>
        <v/>
      </c>
      <c r="B1784" s="18" t="str">
        <f>IF(Receipts!$C1787="","",Receipts!$C1787)</f>
        <v/>
      </c>
      <c r="C1784" s="18" t="str">
        <f>IF($A1784="","",IFERROR(INDEX(Items!$B$5:$B$597,MATCH($A1784,Items!$A$5:$A$597,0)),""))</f>
        <v/>
      </c>
      <c r="D1784" s="23" t="str">
        <f>IF($A1784="","",N(Receipts!$G1787))</f>
        <v/>
      </c>
      <c r="E1784" s="20" t="str">
        <f>IF($A1784="","",IFERROR(INDEX(Items!$D$5:$D$597,MATCH($A1784,Items!$A$5:$A$597,0)),0))</f>
        <v/>
      </c>
      <c r="F1784" s="21" t="str">
        <f t="shared" si="135"/>
        <v/>
      </c>
      <c r="G1784" s="25" t="str">
        <f>IF(Receipts!$I1787="","",Receipts!$I1787)</f>
        <v/>
      </c>
      <c r="H1784" s="25" t="str">
        <f>IF(Receipts!$H1787="","",Receipts!$H1787)</f>
        <v/>
      </c>
      <c r="I1784" s="26" t="str">
        <f t="shared" ca="1" si="136"/>
        <v/>
      </c>
      <c r="J1784" s="26" t="str">
        <f>IF($A1784="","",COUNTIFS(tblReceipts[Item Name],$A1784,tblReceipts[Expiry Date],"&lt;"&amp;$H1784)+COUNTIFS(tblReceipts[Item Name],$A1784,tblReceipts[Expiry Date],$H1784,tblReceipts[Lot Number],"&lt;="&amp;Receipts!$C1787))</f>
        <v/>
      </c>
      <c r="K1784" s="26" t="str">
        <f>IF($A1784="","",SUMIFS(tblReceipts[Qty Received],tblReceipts[Item Name],$A1784,tblReceipts[Expiry Date],"&lt;"&amp;$H1784)+SUMIFS(tblReceipts[Qty Received],tblReceipts[Item Name],$A1784,tblReceipts[Expiry Date],$H1784,tblReceipts[Lot Number],"&lt;"&amp;Receipts!$C1787))</f>
        <v/>
      </c>
      <c r="L1784" s="26" t="str">
        <f>IF($A1784="","",MIN($D1784,MAX(0,SUMIFS(tblIssues[Qty Issued],tblIssues[Item Name],$A1784)-$K1784)))</f>
        <v/>
      </c>
      <c r="M1784" s="26" t="str">
        <f>IF($A1784="","",SUMIFS(tblIssues[Qty Issued],tblIssues[Lot Number],$B1784))</f>
        <v/>
      </c>
      <c r="N1784" s="26" t="str">
        <f t="shared" si="137"/>
        <v/>
      </c>
      <c r="O1784" s="26" t="str">
        <f t="shared" si="138"/>
        <v/>
      </c>
      <c r="P1784" s="21" t="str">
        <f t="shared" si="139"/>
        <v/>
      </c>
      <c r="Q1784" s="52" t="str">
        <f>IF($A1784="","",IF($O1784&lt;=0,"Depleted",IF($I1784&lt;0,"EXPIRED",IF($I1784&lt;=Settings!$C$6,"CRITICAL",IF($I1784&lt;=Settings!$C$5,"Expiring","In date")))))</f>
        <v/>
      </c>
    </row>
    <row r="1785" spans="1:17" x14ac:dyDescent="0.35">
      <c r="A1785" s="90" t="str">
        <f>IF(Receipts!$D1788="","",Receipts!$D1788)</f>
        <v/>
      </c>
      <c r="B1785" s="18" t="str">
        <f>IF(Receipts!$C1788="","",Receipts!$C1788)</f>
        <v/>
      </c>
      <c r="C1785" s="18" t="str">
        <f>IF($A1785="","",IFERROR(INDEX(Items!$B$5:$B$597,MATCH($A1785,Items!$A$5:$A$597,0)),""))</f>
        <v/>
      </c>
      <c r="D1785" s="23" t="str">
        <f>IF($A1785="","",N(Receipts!$G1788))</f>
        <v/>
      </c>
      <c r="E1785" s="20" t="str">
        <f>IF($A1785="","",IFERROR(INDEX(Items!$D$5:$D$597,MATCH($A1785,Items!$A$5:$A$597,0)),0))</f>
        <v/>
      </c>
      <c r="F1785" s="21" t="str">
        <f t="shared" si="135"/>
        <v/>
      </c>
      <c r="G1785" s="25" t="str">
        <f>IF(Receipts!$I1788="","",Receipts!$I1788)</f>
        <v/>
      </c>
      <c r="H1785" s="25" t="str">
        <f>IF(Receipts!$H1788="","",Receipts!$H1788)</f>
        <v/>
      </c>
      <c r="I1785" s="26" t="str">
        <f t="shared" ca="1" si="136"/>
        <v/>
      </c>
      <c r="J1785" s="26" t="str">
        <f>IF($A1785="","",COUNTIFS(tblReceipts[Item Name],$A1785,tblReceipts[Expiry Date],"&lt;"&amp;$H1785)+COUNTIFS(tblReceipts[Item Name],$A1785,tblReceipts[Expiry Date],$H1785,tblReceipts[Lot Number],"&lt;="&amp;Receipts!$C1788))</f>
        <v/>
      </c>
      <c r="K1785" s="26" t="str">
        <f>IF($A1785="","",SUMIFS(tblReceipts[Qty Received],tblReceipts[Item Name],$A1785,tblReceipts[Expiry Date],"&lt;"&amp;$H1785)+SUMIFS(tblReceipts[Qty Received],tblReceipts[Item Name],$A1785,tblReceipts[Expiry Date],$H1785,tblReceipts[Lot Number],"&lt;"&amp;Receipts!$C1788))</f>
        <v/>
      </c>
      <c r="L1785" s="26" t="str">
        <f>IF($A1785="","",MIN($D1785,MAX(0,SUMIFS(tblIssues[Qty Issued],tblIssues[Item Name],$A1785)-$K1785)))</f>
        <v/>
      </c>
      <c r="M1785" s="26" t="str">
        <f>IF($A1785="","",SUMIFS(tblIssues[Qty Issued],tblIssues[Lot Number],$B1785))</f>
        <v/>
      </c>
      <c r="N1785" s="26" t="str">
        <f t="shared" si="137"/>
        <v/>
      </c>
      <c r="O1785" s="26" t="str">
        <f t="shared" si="138"/>
        <v/>
      </c>
      <c r="P1785" s="21" t="str">
        <f t="shared" si="139"/>
        <v/>
      </c>
      <c r="Q1785" s="52" t="str">
        <f>IF($A1785="","",IF($O1785&lt;=0,"Depleted",IF($I1785&lt;0,"EXPIRED",IF($I1785&lt;=Settings!$C$6,"CRITICAL",IF($I1785&lt;=Settings!$C$5,"Expiring","In date")))))</f>
        <v/>
      </c>
    </row>
    <row r="1786" spans="1:17" x14ac:dyDescent="0.35">
      <c r="A1786" s="90" t="str">
        <f>IF(Receipts!$D1789="","",Receipts!$D1789)</f>
        <v/>
      </c>
      <c r="B1786" s="18" t="str">
        <f>IF(Receipts!$C1789="","",Receipts!$C1789)</f>
        <v/>
      </c>
      <c r="C1786" s="18" t="str">
        <f>IF($A1786="","",IFERROR(INDEX(Items!$B$5:$B$597,MATCH($A1786,Items!$A$5:$A$597,0)),""))</f>
        <v/>
      </c>
      <c r="D1786" s="23" t="str">
        <f>IF($A1786="","",N(Receipts!$G1789))</f>
        <v/>
      </c>
      <c r="E1786" s="20" t="str">
        <f>IF($A1786="","",IFERROR(INDEX(Items!$D$5:$D$597,MATCH($A1786,Items!$A$5:$A$597,0)),0))</f>
        <v/>
      </c>
      <c r="F1786" s="21" t="str">
        <f t="shared" si="135"/>
        <v/>
      </c>
      <c r="G1786" s="25" t="str">
        <f>IF(Receipts!$I1789="","",Receipts!$I1789)</f>
        <v/>
      </c>
      <c r="H1786" s="25" t="str">
        <f>IF(Receipts!$H1789="","",Receipts!$H1789)</f>
        <v/>
      </c>
      <c r="I1786" s="26" t="str">
        <f t="shared" ca="1" si="136"/>
        <v/>
      </c>
      <c r="J1786" s="26" t="str">
        <f>IF($A1786="","",COUNTIFS(tblReceipts[Item Name],$A1786,tblReceipts[Expiry Date],"&lt;"&amp;$H1786)+COUNTIFS(tblReceipts[Item Name],$A1786,tblReceipts[Expiry Date],$H1786,tblReceipts[Lot Number],"&lt;="&amp;Receipts!$C1789))</f>
        <v/>
      </c>
      <c r="K1786" s="26" t="str">
        <f>IF($A1786="","",SUMIFS(tblReceipts[Qty Received],tblReceipts[Item Name],$A1786,tblReceipts[Expiry Date],"&lt;"&amp;$H1786)+SUMIFS(tblReceipts[Qty Received],tblReceipts[Item Name],$A1786,tblReceipts[Expiry Date],$H1786,tblReceipts[Lot Number],"&lt;"&amp;Receipts!$C1789))</f>
        <v/>
      </c>
      <c r="L1786" s="26" t="str">
        <f>IF($A1786="","",MIN($D1786,MAX(0,SUMIFS(tblIssues[Qty Issued],tblIssues[Item Name],$A1786)-$K1786)))</f>
        <v/>
      </c>
      <c r="M1786" s="26" t="str">
        <f>IF($A1786="","",SUMIFS(tblIssues[Qty Issued],tblIssues[Lot Number],$B1786))</f>
        <v/>
      </c>
      <c r="N1786" s="26" t="str">
        <f t="shared" si="137"/>
        <v/>
      </c>
      <c r="O1786" s="26" t="str">
        <f t="shared" si="138"/>
        <v/>
      </c>
      <c r="P1786" s="21" t="str">
        <f t="shared" si="139"/>
        <v/>
      </c>
      <c r="Q1786" s="52" t="str">
        <f>IF($A1786="","",IF($O1786&lt;=0,"Depleted",IF($I1786&lt;0,"EXPIRED",IF($I1786&lt;=Settings!$C$6,"CRITICAL",IF($I1786&lt;=Settings!$C$5,"Expiring","In date")))))</f>
        <v/>
      </c>
    </row>
    <row r="1787" spans="1:17" x14ac:dyDescent="0.35">
      <c r="A1787" s="90" t="str">
        <f>IF(Receipts!$D1790="","",Receipts!$D1790)</f>
        <v/>
      </c>
      <c r="B1787" s="18" t="str">
        <f>IF(Receipts!$C1790="","",Receipts!$C1790)</f>
        <v/>
      </c>
      <c r="C1787" s="18" t="str">
        <f>IF($A1787="","",IFERROR(INDEX(Items!$B$5:$B$597,MATCH($A1787,Items!$A$5:$A$597,0)),""))</f>
        <v/>
      </c>
      <c r="D1787" s="23" t="str">
        <f>IF($A1787="","",N(Receipts!$G1790))</f>
        <v/>
      </c>
      <c r="E1787" s="20" t="str">
        <f>IF($A1787="","",IFERROR(INDEX(Items!$D$5:$D$597,MATCH($A1787,Items!$A$5:$A$597,0)),0))</f>
        <v/>
      </c>
      <c r="F1787" s="21" t="str">
        <f t="shared" si="135"/>
        <v/>
      </c>
      <c r="G1787" s="25" t="str">
        <f>IF(Receipts!$I1790="","",Receipts!$I1790)</f>
        <v/>
      </c>
      <c r="H1787" s="25" t="str">
        <f>IF(Receipts!$H1790="","",Receipts!$H1790)</f>
        <v/>
      </c>
      <c r="I1787" s="26" t="str">
        <f t="shared" ca="1" si="136"/>
        <v/>
      </c>
      <c r="J1787" s="26" t="str">
        <f>IF($A1787="","",COUNTIFS(tblReceipts[Item Name],$A1787,tblReceipts[Expiry Date],"&lt;"&amp;$H1787)+COUNTIFS(tblReceipts[Item Name],$A1787,tblReceipts[Expiry Date],$H1787,tblReceipts[Lot Number],"&lt;="&amp;Receipts!$C1790))</f>
        <v/>
      </c>
      <c r="K1787" s="26" t="str">
        <f>IF($A1787="","",SUMIFS(tblReceipts[Qty Received],tblReceipts[Item Name],$A1787,tblReceipts[Expiry Date],"&lt;"&amp;$H1787)+SUMIFS(tblReceipts[Qty Received],tblReceipts[Item Name],$A1787,tblReceipts[Expiry Date],$H1787,tblReceipts[Lot Number],"&lt;"&amp;Receipts!$C1790))</f>
        <v/>
      </c>
      <c r="L1787" s="26" t="str">
        <f>IF($A1787="","",MIN($D1787,MAX(0,SUMIFS(tblIssues[Qty Issued],tblIssues[Item Name],$A1787)-$K1787)))</f>
        <v/>
      </c>
      <c r="M1787" s="26" t="str">
        <f>IF($A1787="","",SUMIFS(tblIssues[Qty Issued],tblIssues[Lot Number],$B1787))</f>
        <v/>
      </c>
      <c r="N1787" s="26" t="str">
        <f t="shared" si="137"/>
        <v/>
      </c>
      <c r="O1787" s="26" t="str">
        <f t="shared" si="138"/>
        <v/>
      </c>
      <c r="P1787" s="21" t="str">
        <f t="shared" si="139"/>
        <v/>
      </c>
      <c r="Q1787" s="52" t="str">
        <f>IF($A1787="","",IF($O1787&lt;=0,"Depleted",IF($I1787&lt;0,"EXPIRED",IF($I1787&lt;=Settings!$C$6,"CRITICAL",IF($I1787&lt;=Settings!$C$5,"Expiring","In date")))))</f>
        <v/>
      </c>
    </row>
    <row r="1788" spans="1:17" x14ac:dyDescent="0.35">
      <c r="A1788" s="90" t="str">
        <f>IF(Receipts!$D1791="","",Receipts!$D1791)</f>
        <v/>
      </c>
      <c r="B1788" s="18" t="str">
        <f>IF(Receipts!$C1791="","",Receipts!$C1791)</f>
        <v/>
      </c>
      <c r="C1788" s="18" t="str">
        <f>IF($A1788="","",IFERROR(INDEX(Items!$B$5:$B$597,MATCH($A1788,Items!$A$5:$A$597,0)),""))</f>
        <v/>
      </c>
      <c r="D1788" s="23" t="str">
        <f>IF($A1788="","",N(Receipts!$G1791))</f>
        <v/>
      </c>
      <c r="E1788" s="20" t="str">
        <f>IF($A1788="","",IFERROR(INDEX(Items!$D$5:$D$597,MATCH($A1788,Items!$A$5:$A$597,0)),0))</f>
        <v/>
      </c>
      <c r="F1788" s="21" t="str">
        <f t="shared" si="135"/>
        <v/>
      </c>
      <c r="G1788" s="25" t="str">
        <f>IF(Receipts!$I1791="","",Receipts!$I1791)</f>
        <v/>
      </c>
      <c r="H1788" s="25" t="str">
        <f>IF(Receipts!$H1791="","",Receipts!$H1791)</f>
        <v/>
      </c>
      <c r="I1788" s="26" t="str">
        <f t="shared" ca="1" si="136"/>
        <v/>
      </c>
      <c r="J1788" s="26" t="str">
        <f>IF($A1788="","",COUNTIFS(tblReceipts[Item Name],$A1788,tblReceipts[Expiry Date],"&lt;"&amp;$H1788)+COUNTIFS(tblReceipts[Item Name],$A1788,tblReceipts[Expiry Date],$H1788,tblReceipts[Lot Number],"&lt;="&amp;Receipts!$C1791))</f>
        <v/>
      </c>
      <c r="K1788" s="26" t="str">
        <f>IF($A1788="","",SUMIFS(tblReceipts[Qty Received],tblReceipts[Item Name],$A1788,tblReceipts[Expiry Date],"&lt;"&amp;$H1788)+SUMIFS(tblReceipts[Qty Received],tblReceipts[Item Name],$A1788,tblReceipts[Expiry Date],$H1788,tblReceipts[Lot Number],"&lt;"&amp;Receipts!$C1791))</f>
        <v/>
      </c>
      <c r="L1788" s="26" t="str">
        <f>IF($A1788="","",MIN($D1788,MAX(0,SUMIFS(tblIssues[Qty Issued],tblIssues[Item Name],$A1788)-$K1788)))</f>
        <v/>
      </c>
      <c r="M1788" s="26" t="str">
        <f>IF($A1788="","",SUMIFS(tblIssues[Qty Issued],tblIssues[Lot Number],$B1788))</f>
        <v/>
      </c>
      <c r="N1788" s="26" t="str">
        <f t="shared" si="137"/>
        <v/>
      </c>
      <c r="O1788" s="26" t="str">
        <f t="shared" si="138"/>
        <v/>
      </c>
      <c r="P1788" s="21" t="str">
        <f t="shared" si="139"/>
        <v/>
      </c>
      <c r="Q1788" s="52" t="str">
        <f>IF($A1788="","",IF($O1788&lt;=0,"Depleted",IF($I1788&lt;0,"EXPIRED",IF($I1788&lt;=Settings!$C$6,"CRITICAL",IF($I1788&lt;=Settings!$C$5,"Expiring","In date")))))</f>
        <v/>
      </c>
    </row>
    <row r="1789" spans="1:17" x14ac:dyDescent="0.35">
      <c r="A1789" s="90" t="str">
        <f>IF(Receipts!$D1792="","",Receipts!$D1792)</f>
        <v/>
      </c>
      <c r="B1789" s="18" t="str">
        <f>IF(Receipts!$C1792="","",Receipts!$C1792)</f>
        <v/>
      </c>
      <c r="C1789" s="18" t="str">
        <f>IF($A1789="","",IFERROR(INDEX(Items!$B$5:$B$597,MATCH($A1789,Items!$A$5:$A$597,0)),""))</f>
        <v/>
      </c>
      <c r="D1789" s="23" t="str">
        <f>IF($A1789="","",N(Receipts!$G1792))</f>
        <v/>
      </c>
      <c r="E1789" s="20" t="str">
        <f>IF($A1789="","",IFERROR(INDEX(Items!$D$5:$D$597,MATCH($A1789,Items!$A$5:$A$597,0)),0))</f>
        <v/>
      </c>
      <c r="F1789" s="21" t="str">
        <f t="shared" si="135"/>
        <v/>
      </c>
      <c r="G1789" s="25" t="str">
        <f>IF(Receipts!$I1792="","",Receipts!$I1792)</f>
        <v/>
      </c>
      <c r="H1789" s="25" t="str">
        <f>IF(Receipts!$H1792="","",Receipts!$H1792)</f>
        <v/>
      </c>
      <c r="I1789" s="26" t="str">
        <f t="shared" ca="1" si="136"/>
        <v/>
      </c>
      <c r="J1789" s="26" t="str">
        <f>IF($A1789="","",COUNTIFS(tblReceipts[Item Name],$A1789,tblReceipts[Expiry Date],"&lt;"&amp;$H1789)+COUNTIFS(tblReceipts[Item Name],$A1789,tblReceipts[Expiry Date],$H1789,tblReceipts[Lot Number],"&lt;="&amp;Receipts!$C1792))</f>
        <v/>
      </c>
      <c r="K1789" s="26" t="str">
        <f>IF($A1789="","",SUMIFS(tblReceipts[Qty Received],tblReceipts[Item Name],$A1789,tblReceipts[Expiry Date],"&lt;"&amp;$H1789)+SUMIFS(tblReceipts[Qty Received],tblReceipts[Item Name],$A1789,tblReceipts[Expiry Date],$H1789,tblReceipts[Lot Number],"&lt;"&amp;Receipts!$C1792))</f>
        <v/>
      </c>
      <c r="L1789" s="26" t="str">
        <f>IF($A1789="","",MIN($D1789,MAX(0,SUMIFS(tblIssues[Qty Issued],tblIssues[Item Name],$A1789)-$K1789)))</f>
        <v/>
      </c>
      <c r="M1789" s="26" t="str">
        <f>IF($A1789="","",SUMIFS(tblIssues[Qty Issued],tblIssues[Lot Number],$B1789))</f>
        <v/>
      </c>
      <c r="N1789" s="26" t="str">
        <f t="shared" si="137"/>
        <v/>
      </c>
      <c r="O1789" s="26" t="str">
        <f t="shared" si="138"/>
        <v/>
      </c>
      <c r="P1789" s="21" t="str">
        <f t="shared" si="139"/>
        <v/>
      </c>
      <c r="Q1789" s="52" t="str">
        <f>IF($A1789="","",IF($O1789&lt;=0,"Depleted",IF($I1789&lt;0,"EXPIRED",IF($I1789&lt;=Settings!$C$6,"CRITICAL",IF($I1789&lt;=Settings!$C$5,"Expiring","In date")))))</f>
        <v/>
      </c>
    </row>
    <row r="1790" spans="1:17" x14ac:dyDescent="0.35">
      <c r="A1790" s="90" t="str">
        <f>IF(Receipts!$D1793="","",Receipts!$D1793)</f>
        <v/>
      </c>
      <c r="B1790" s="18" t="str">
        <f>IF(Receipts!$C1793="","",Receipts!$C1793)</f>
        <v/>
      </c>
      <c r="C1790" s="18" t="str">
        <f>IF($A1790="","",IFERROR(INDEX(Items!$B$5:$B$597,MATCH($A1790,Items!$A$5:$A$597,0)),""))</f>
        <v/>
      </c>
      <c r="D1790" s="23" t="str">
        <f>IF($A1790="","",N(Receipts!$G1793))</f>
        <v/>
      </c>
      <c r="E1790" s="20" t="str">
        <f>IF($A1790="","",IFERROR(INDEX(Items!$D$5:$D$597,MATCH($A1790,Items!$A$5:$A$597,0)),0))</f>
        <v/>
      </c>
      <c r="F1790" s="21" t="str">
        <f t="shared" si="135"/>
        <v/>
      </c>
      <c r="G1790" s="25" t="str">
        <f>IF(Receipts!$I1793="","",Receipts!$I1793)</f>
        <v/>
      </c>
      <c r="H1790" s="25" t="str">
        <f>IF(Receipts!$H1793="","",Receipts!$H1793)</f>
        <v/>
      </c>
      <c r="I1790" s="26" t="str">
        <f t="shared" ca="1" si="136"/>
        <v/>
      </c>
      <c r="J1790" s="26" t="str">
        <f>IF($A1790="","",COUNTIFS(tblReceipts[Item Name],$A1790,tblReceipts[Expiry Date],"&lt;"&amp;$H1790)+COUNTIFS(tblReceipts[Item Name],$A1790,tblReceipts[Expiry Date],$H1790,tblReceipts[Lot Number],"&lt;="&amp;Receipts!$C1793))</f>
        <v/>
      </c>
      <c r="K1790" s="26" t="str">
        <f>IF($A1790="","",SUMIFS(tblReceipts[Qty Received],tblReceipts[Item Name],$A1790,tblReceipts[Expiry Date],"&lt;"&amp;$H1790)+SUMIFS(tblReceipts[Qty Received],tblReceipts[Item Name],$A1790,tblReceipts[Expiry Date],$H1790,tblReceipts[Lot Number],"&lt;"&amp;Receipts!$C1793))</f>
        <v/>
      </c>
      <c r="L1790" s="26" t="str">
        <f>IF($A1790="","",MIN($D1790,MAX(0,SUMIFS(tblIssues[Qty Issued],tblIssues[Item Name],$A1790)-$K1790)))</f>
        <v/>
      </c>
      <c r="M1790" s="26" t="str">
        <f>IF($A1790="","",SUMIFS(tblIssues[Qty Issued],tblIssues[Lot Number],$B1790))</f>
        <v/>
      </c>
      <c r="N1790" s="26" t="str">
        <f t="shared" si="137"/>
        <v/>
      </c>
      <c r="O1790" s="26" t="str">
        <f t="shared" si="138"/>
        <v/>
      </c>
      <c r="P1790" s="21" t="str">
        <f t="shared" si="139"/>
        <v/>
      </c>
      <c r="Q1790" s="52" t="str">
        <f>IF($A1790="","",IF($O1790&lt;=0,"Depleted",IF($I1790&lt;0,"EXPIRED",IF($I1790&lt;=Settings!$C$6,"CRITICAL",IF($I1790&lt;=Settings!$C$5,"Expiring","In date")))))</f>
        <v/>
      </c>
    </row>
    <row r="1791" spans="1:17" x14ac:dyDescent="0.35">
      <c r="A1791" s="90" t="str">
        <f>IF(Receipts!$D1794="","",Receipts!$D1794)</f>
        <v/>
      </c>
      <c r="B1791" s="18" t="str">
        <f>IF(Receipts!$C1794="","",Receipts!$C1794)</f>
        <v/>
      </c>
      <c r="C1791" s="18" t="str">
        <f>IF($A1791="","",IFERROR(INDEX(Items!$B$5:$B$597,MATCH($A1791,Items!$A$5:$A$597,0)),""))</f>
        <v/>
      </c>
      <c r="D1791" s="23" t="str">
        <f>IF($A1791="","",N(Receipts!$G1794))</f>
        <v/>
      </c>
      <c r="E1791" s="20" t="str">
        <f>IF($A1791="","",IFERROR(INDEX(Items!$D$5:$D$597,MATCH($A1791,Items!$A$5:$A$597,0)),0))</f>
        <v/>
      </c>
      <c r="F1791" s="21" t="str">
        <f t="shared" si="135"/>
        <v/>
      </c>
      <c r="G1791" s="25" t="str">
        <f>IF(Receipts!$I1794="","",Receipts!$I1794)</f>
        <v/>
      </c>
      <c r="H1791" s="25" t="str">
        <f>IF(Receipts!$H1794="","",Receipts!$H1794)</f>
        <v/>
      </c>
      <c r="I1791" s="26" t="str">
        <f t="shared" ca="1" si="136"/>
        <v/>
      </c>
      <c r="J1791" s="26" t="str">
        <f>IF($A1791="","",COUNTIFS(tblReceipts[Item Name],$A1791,tblReceipts[Expiry Date],"&lt;"&amp;$H1791)+COUNTIFS(tblReceipts[Item Name],$A1791,tblReceipts[Expiry Date],$H1791,tblReceipts[Lot Number],"&lt;="&amp;Receipts!$C1794))</f>
        <v/>
      </c>
      <c r="K1791" s="26" t="str">
        <f>IF($A1791="","",SUMIFS(tblReceipts[Qty Received],tblReceipts[Item Name],$A1791,tblReceipts[Expiry Date],"&lt;"&amp;$H1791)+SUMIFS(tblReceipts[Qty Received],tblReceipts[Item Name],$A1791,tblReceipts[Expiry Date],$H1791,tblReceipts[Lot Number],"&lt;"&amp;Receipts!$C1794))</f>
        <v/>
      </c>
      <c r="L1791" s="26" t="str">
        <f>IF($A1791="","",MIN($D1791,MAX(0,SUMIFS(tblIssues[Qty Issued],tblIssues[Item Name],$A1791)-$K1791)))</f>
        <v/>
      </c>
      <c r="M1791" s="26" t="str">
        <f>IF($A1791="","",SUMIFS(tblIssues[Qty Issued],tblIssues[Lot Number],$B1791))</f>
        <v/>
      </c>
      <c r="N1791" s="26" t="str">
        <f t="shared" si="137"/>
        <v/>
      </c>
      <c r="O1791" s="26" t="str">
        <f t="shared" si="138"/>
        <v/>
      </c>
      <c r="P1791" s="21" t="str">
        <f t="shared" si="139"/>
        <v/>
      </c>
      <c r="Q1791" s="52" t="str">
        <f>IF($A1791="","",IF($O1791&lt;=0,"Depleted",IF($I1791&lt;0,"EXPIRED",IF($I1791&lt;=Settings!$C$6,"CRITICAL",IF($I1791&lt;=Settings!$C$5,"Expiring","In date")))))</f>
        <v/>
      </c>
    </row>
    <row r="1792" spans="1:17" x14ac:dyDescent="0.35">
      <c r="A1792" s="90" t="str">
        <f>IF(Receipts!$D1795="","",Receipts!$D1795)</f>
        <v/>
      </c>
      <c r="B1792" s="18" t="str">
        <f>IF(Receipts!$C1795="","",Receipts!$C1795)</f>
        <v/>
      </c>
      <c r="C1792" s="18" t="str">
        <f>IF($A1792="","",IFERROR(INDEX(Items!$B$5:$B$597,MATCH($A1792,Items!$A$5:$A$597,0)),""))</f>
        <v/>
      </c>
      <c r="D1792" s="23" t="str">
        <f>IF($A1792="","",N(Receipts!$G1795))</f>
        <v/>
      </c>
      <c r="E1792" s="20" t="str">
        <f>IF($A1792="","",IFERROR(INDEX(Items!$D$5:$D$597,MATCH($A1792,Items!$A$5:$A$597,0)),0))</f>
        <v/>
      </c>
      <c r="F1792" s="21" t="str">
        <f t="shared" si="135"/>
        <v/>
      </c>
      <c r="G1792" s="25" t="str">
        <f>IF(Receipts!$I1795="","",Receipts!$I1795)</f>
        <v/>
      </c>
      <c r="H1792" s="25" t="str">
        <f>IF(Receipts!$H1795="","",Receipts!$H1795)</f>
        <v/>
      </c>
      <c r="I1792" s="26" t="str">
        <f t="shared" ca="1" si="136"/>
        <v/>
      </c>
      <c r="J1792" s="26" t="str">
        <f>IF($A1792="","",COUNTIFS(tblReceipts[Item Name],$A1792,tblReceipts[Expiry Date],"&lt;"&amp;$H1792)+COUNTIFS(tblReceipts[Item Name],$A1792,tblReceipts[Expiry Date],$H1792,tblReceipts[Lot Number],"&lt;="&amp;Receipts!$C1795))</f>
        <v/>
      </c>
      <c r="K1792" s="26" t="str">
        <f>IF($A1792="","",SUMIFS(tblReceipts[Qty Received],tblReceipts[Item Name],$A1792,tblReceipts[Expiry Date],"&lt;"&amp;$H1792)+SUMIFS(tblReceipts[Qty Received],tblReceipts[Item Name],$A1792,tblReceipts[Expiry Date],$H1792,tblReceipts[Lot Number],"&lt;"&amp;Receipts!$C1795))</f>
        <v/>
      </c>
      <c r="L1792" s="26" t="str">
        <f>IF($A1792="","",MIN($D1792,MAX(0,SUMIFS(tblIssues[Qty Issued],tblIssues[Item Name],$A1792)-$K1792)))</f>
        <v/>
      </c>
      <c r="M1792" s="26" t="str">
        <f>IF($A1792="","",SUMIFS(tblIssues[Qty Issued],tblIssues[Lot Number],$B1792))</f>
        <v/>
      </c>
      <c r="N1792" s="26" t="str">
        <f t="shared" si="137"/>
        <v/>
      </c>
      <c r="O1792" s="26" t="str">
        <f t="shared" si="138"/>
        <v/>
      </c>
      <c r="P1792" s="21" t="str">
        <f t="shared" si="139"/>
        <v/>
      </c>
      <c r="Q1792" s="52" t="str">
        <f>IF($A1792="","",IF($O1792&lt;=0,"Depleted",IF($I1792&lt;0,"EXPIRED",IF($I1792&lt;=Settings!$C$6,"CRITICAL",IF($I1792&lt;=Settings!$C$5,"Expiring","In date")))))</f>
        <v/>
      </c>
    </row>
    <row r="1793" spans="1:17" x14ac:dyDescent="0.35">
      <c r="A1793" s="90" t="str">
        <f>IF(Receipts!$D1796="","",Receipts!$D1796)</f>
        <v/>
      </c>
      <c r="B1793" s="18" t="str">
        <f>IF(Receipts!$C1796="","",Receipts!$C1796)</f>
        <v/>
      </c>
      <c r="C1793" s="18" t="str">
        <f>IF($A1793="","",IFERROR(INDEX(Items!$B$5:$B$597,MATCH($A1793,Items!$A$5:$A$597,0)),""))</f>
        <v/>
      </c>
      <c r="D1793" s="23" t="str">
        <f>IF($A1793="","",N(Receipts!$G1796))</f>
        <v/>
      </c>
      <c r="E1793" s="20" t="str">
        <f>IF($A1793="","",IFERROR(INDEX(Items!$D$5:$D$597,MATCH($A1793,Items!$A$5:$A$597,0)),0))</f>
        <v/>
      </c>
      <c r="F1793" s="21" t="str">
        <f t="shared" si="135"/>
        <v/>
      </c>
      <c r="G1793" s="25" t="str">
        <f>IF(Receipts!$I1796="","",Receipts!$I1796)</f>
        <v/>
      </c>
      <c r="H1793" s="25" t="str">
        <f>IF(Receipts!$H1796="","",Receipts!$H1796)</f>
        <v/>
      </c>
      <c r="I1793" s="26" t="str">
        <f t="shared" ca="1" si="136"/>
        <v/>
      </c>
      <c r="J1793" s="26" t="str">
        <f>IF($A1793="","",COUNTIFS(tblReceipts[Item Name],$A1793,tblReceipts[Expiry Date],"&lt;"&amp;$H1793)+COUNTIFS(tblReceipts[Item Name],$A1793,tblReceipts[Expiry Date],$H1793,tblReceipts[Lot Number],"&lt;="&amp;Receipts!$C1796))</f>
        <v/>
      </c>
      <c r="K1793" s="26" t="str">
        <f>IF($A1793="","",SUMIFS(tblReceipts[Qty Received],tblReceipts[Item Name],$A1793,tblReceipts[Expiry Date],"&lt;"&amp;$H1793)+SUMIFS(tblReceipts[Qty Received],tblReceipts[Item Name],$A1793,tblReceipts[Expiry Date],$H1793,tblReceipts[Lot Number],"&lt;"&amp;Receipts!$C1796))</f>
        <v/>
      </c>
      <c r="L1793" s="26" t="str">
        <f>IF($A1793="","",MIN($D1793,MAX(0,SUMIFS(tblIssues[Qty Issued],tblIssues[Item Name],$A1793)-$K1793)))</f>
        <v/>
      </c>
      <c r="M1793" s="26" t="str">
        <f>IF($A1793="","",SUMIFS(tblIssues[Qty Issued],tblIssues[Lot Number],$B1793))</f>
        <v/>
      </c>
      <c r="N1793" s="26" t="str">
        <f t="shared" si="137"/>
        <v/>
      </c>
      <c r="O1793" s="26" t="str">
        <f t="shared" si="138"/>
        <v/>
      </c>
      <c r="P1793" s="21" t="str">
        <f t="shared" si="139"/>
        <v/>
      </c>
      <c r="Q1793" s="52" t="str">
        <f>IF($A1793="","",IF($O1793&lt;=0,"Depleted",IF($I1793&lt;0,"EXPIRED",IF($I1793&lt;=Settings!$C$6,"CRITICAL",IF($I1793&lt;=Settings!$C$5,"Expiring","In date")))))</f>
        <v/>
      </c>
    </row>
    <row r="1794" spans="1:17" x14ac:dyDescent="0.35">
      <c r="A1794" s="90" t="str">
        <f>IF(Receipts!$D1797="","",Receipts!$D1797)</f>
        <v/>
      </c>
      <c r="B1794" s="18" t="str">
        <f>IF(Receipts!$C1797="","",Receipts!$C1797)</f>
        <v/>
      </c>
      <c r="C1794" s="18" t="str">
        <f>IF($A1794="","",IFERROR(INDEX(Items!$B$5:$B$597,MATCH($A1794,Items!$A$5:$A$597,0)),""))</f>
        <v/>
      </c>
      <c r="D1794" s="23" t="str">
        <f>IF($A1794="","",N(Receipts!$G1797))</f>
        <v/>
      </c>
      <c r="E1794" s="20" t="str">
        <f>IF($A1794="","",IFERROR(INDEX(Items!$D$5:$D$597,MATCH($A1794,Items!$A$5:$A$597,0)),0))</f>
        <v/>
      </c>
      <c r="F1794" s="21" t="str">
        <f t="shared" si="135"/>
        <v/>
      </c>
      <c r="G1794" s="25" t="str">
        <f>IF(Receipts!$I1797="","",Receipts!$I1797)</f>
        <v/>
      </c>
      <c r="H1794" s="25" t="str">
        <f>IF(Receipts!$H1797="","",Receipts!$H1797)</f>
        <v/>
      </c>
      <c r="I1794" s="26" t="str">
        <f t="shared" ca="1" si="136"/>
        <v/>
      </c>
      <c r="J1794" s="26" t="str">
        <f>IF($A1794="","",COUNTIFS(tblReceipts[Item Name],$A1794,tblReceipts[Expiry Date],"&lt;"&amp;$H1794)+COUNTIFS(tblReceipts[Item Name],$A1794,tblReceipts[Expiry Date],$H1794,tblReceipts[Lot Number],"&lt;="&amp;Receipts!$C1797))</f>
        <v/>
      </c>
      <c r="K1794" s="26" t="str">
        <f>IF($A1794="","",SUMIFS(tblReceipts[Qty Received],tblReceipts[Item Name],$A1794,tblReceipts[Expiry Date],"&lt;"&amp;$H1794)+SUMIFS(tblReceipts[Qty Received],tblReceipts[Item Name],$A1794,tblReceipts[Expiry Date],$H1794,tblReceipts[Lot Number],"&lt;"&amp;Receipts!$C1797))</f>
        <v/>
      </c>
      <c r="L1794" s="26" t="str">
        <f>IF($A1794="","",MIN($D1794,MAX(0,SUMIFS(tblIssues[Qty Issued],tblIssues[Item Name],$A1794)-$K1794)))</f>
        <v/>
      </c>
      <c r="M1794" s="26" t="str">
        <f>IF($A1794="","",SUMIFS(tblIssues[Qty Issued],tblIssues[Lot Number],$B1794))</f>
        <v/>
      </c>
      <c r="N1794" s="26" t="str">
        <f t="shared" si="137"/>
        <v/>
      </c>
      <c r="O1794" s="26" t="str">
        <f t="shared" si="138"/>
        <v/>
      </c>
      <c r="P1794" s="21" t="str">
        <f t="shared" si="139"/>
        <v/>
      </c>
      <c r="Q1794" s="52" t="str">
        <f>IF($A1794="","",IF($O1794&lt;=0,"Depleted",IF($I1794&lt;0,"EXPIRED",IF($I1794&lt;=Settings!$C$6,"CRITICAL",IF($I1794&lt;=Settings!$C$5,"Expiring","In date")))))</f>
        <v/>
      </c>
    </row>
    <row r="1795" spans="1:17" x14ac:dyDescent="0.35">
      <c r="A1795" s="90" t="str">
        <f>IF(Receipts!$D1798="","",Receipts!$D1798)</f>
        <v/>
      </c>
      <c r="B1795" s="18" t="str">
        <f>IF(Receipts!$C1798="","",Receipts!$C1798)</f>
        <v/>
      </c>
      <c r="C1795" s="18" t="str">
        <f>IF($A1795="","",IFERROR(INDEX(Items!$B$5:$B$597,MATCH($A1795,Items!$A$5:$A$597,0)),""))</f>
        <v/>
      </c>
      <c r="D1795" s="23" t="str">
        <f>IF($A1795="","",N(Receipts!$G1798))</f>
        <v/>
      </c>
      <c r="E1795" s="20" t="str">
        <f>IF($A1795="","",IFERROR(INDEX(Items!$D$5:$D$597,MATCH($A1795,Items!$A$5:$A$597,0)),0))</f>
        <v/>
      </c>
      <c r="F1795" s="21" t="str">
        <f t="shared" si="135"/>
        <v/>
      </c>
      <c r="G1795" s="25" t="str">
        <f>IF(Receipts!$I1798="","",Receipts!$I1798)</f>
        <v/>
      </c>
      <c r="H1795" s="25" t="str">
        <f>IF(Receipts!$H1798="","",Receipts!$H1798)</f>
        <v/>
      </c>
      <c r="I1795" s="26" t="str">
        <f t="shared" ca="1" si="136"/>
        <v/>
      </c>
      <c r="J1795" s="26" t="str">
        <f>IF($A1795="","",COUNTIFS(tblReceipts[Item Name],$A1795,tblReceipts[Expiry Date],"&lt;"&amp;$H1795)+COUNTIFS(tblReceipts[Item Name],$A1795,tblReceipts[Expiry Date],$H1795,tblReceipts[Lot Number],"&lt;="&amp;Receipts!$C1798))</f>
        <v/>
      </c>
      <c r="K1795" s="26" t="str">
        <f>IF($A1795="","",SUMIFS(tblReceipts[Qty Received],tblReceipts[Item Name],$A1795,tblReceipts[Expiry Date],"&lt;"&amp;$H1795)+SUMIFS(tblReceipts[Qty Received],tblReceipts[Item Name],$A1795,tblReceipts[Expiry Date],$H1795,tblReceipts[Lot Number],"&lt;"&amp;Receipts!$C1798))</f>
        <v/>
      </c>
      <c r="L1795" s="26" t="str">
        <f>IF($A1795="","",MIN($D1795,MAX(0,SUMIFS(tblIssues[Qty Issued],tblIssues[Item Name],$A1795)-$K1795)))</f>
        <v/>
      </c>
      <c r="M1795" s="26" t="str">
        <f>IF($A1795="","",SUMIFS(tblIssues[Qty Issued],tblIssues[Lot Number],$B1795))</f>
        <v/>
      </c>
      <c r="N1795" s="26" t="str">
        <f t="shared" si="137"/>
        <v/>
      </c>
      <c r="O1795" s="26" t="str">
        <f t="shared" si="138"/>
        <v/>
      </c>
      <c r="P1795" s="21" t="str">
        <f t="shared" si="139"/>
        <v/>
      </c>
      <c r="Q1795" s="52" t="str">
        <f>IF($A1795="","",IF($O1795&lt;=0,"Depleted",IF($I1795&lt;0,"EXPIRED",IF($I1795&lt;=Settings!$C$6,"CRITICAL",IF($I1795&lt;=Settings!$C$5,"Expiring","In date")))))</f>
        <v/>
      </c>
    </row>
    <row r="1796" spans="1:17" x14ac:dyDescent="0.35">
      <c r="A1796" s="90" t="str">
        <f>IF(Receipts!$D1799="","",Receipts!$D1799)</f>
        <v/>
      </c>
      <c r="B1796" s="18" t="str">
        <f>IF(Receipts!$C1799="","",Receipts!$C1799)</f>
        <v/>
      </c>
      <c r="C1796" s="18" t="str">
        <f>IF($A1796="","",IFERROR(INDEX(Items!$B$5:$B$597,MATCH($A1796,Items!$A$5:$A$597,0)),""))</f>
        <v/>
      </c>
      <c r="D1796" s="23" t="str">
        <f>IF($A1796="","",N(Receipts!$G1799))</f>
        <v/>
      </c>
      <c r="E1796" s="20" t="str">
        <f>IF($A1796="","",IFERROR(INDEX(Items!$D$5:$D$597,MATCH($A1796,Items!$A$5:$A$597,0)),0))</f>
        <v/>
      </c>
      <c r="F1796" s="21" t="str">
        <f t="shared" si="135"/>
        <v/>
      </c>
      <c r="G1796" s="25" t="str">
        <f>IF(Receipts!$I1799="","",Receipts!$I1799)</f>
        <v/>
      </c>
      <c r="H1796" s="25" t="str">
        <f>IF(Receipts!$H1799="","",Receipts!$H1799)</f>
        <v/>
      </c>
      <c r="I1796" s="26" t="str">
        <f t="shared" ca="1" si="136"/>
        <v/>
      </c>
      <c r="J1796" s="26" t="str">
        <f>IF($A1796="","",COUNTIFS(tblReceipts[Item Name],$A1796,tblReceipts[Expiry Date],"&lt;"&amp;$H1796)+COUNTIFS(tblReceipts[Item Name],$A1796,tblReceipts[Expiry Date],$H1796,tblReceipts[Lot Number],"&lt;="&amp;Receipts!$C1799))</f>
        <v/>
      </c>
      <c r="K1796" s="26" t="str">
        <f>IF($A1796="","",SUMIFS(tblReceipts[Qty Received],tblReceipts[Item Name],$A1796,tblReceipts[Expiry Date],"&lt;"&amp;$H1796)+SUMIFS(tblReceipts[Qty Received],tblReceipts[Item Name],$A1796,tblReceipts[Expiry Date],$H1796,tblReceipts[Lot Number],"&lt;"&amp;Receipts!$C1799))</f>
        <v/>
      </c>
      <c r="L1796" s="26" t="str">
        <f>IF($A1796="","",MIN($D1796,MAX(0,SUMIFS(tblIssues[Qty Issued],tblIssues[Item Name],$A1796)-$K1796)))</f>
        <v/>
      </c>
      <c r="M1796" s="26" t="str">
        <f>IF($A1796="","",SUMIFS(tblIssues[Qty Issued],tblIssues[Lot Number],$B1796))</f>
        <v/>
      </c>
      <c r="N1796" s="26" t="str">
        <f t="shared" si="137"/>
        <v/>
      </c>
      <c r="O1796" s="26" t="str">
        <f t="shared" si="138"/>
        <v/>
      </c>
      <c r="P1796" s="21" t="str">
        <f t="shared" si="139"/>
        <v/>
      </c>
      <c r="Q1796" s="52" t="str">
        <f>IF($A1796="","",IF($O1796&lt;=0,"Depleted",IF($I1796&lt;0,"EXPIRED",IF($I1796&lt;=Settings!$C$6,"CRITICAL",IF($I1796&lt;=Settings!$C$5,"Expiring","In date")))))</f>
        <v/>
      </c>
    </row>
    <row r="1797" spans="1:17" x14ac:dyDescent="0.35">
      <c r="A1797" s="90" t="str">
        <f>IF(Receipts!$D1800="","",Receipts!$D1800)</f>
        <v/>
      </c>
      <c r="B1797" s="18" t="str">
        <f>IF(Receipts!$C1800="","",Receipts!$C1800)</f>
        <v/>
      </c>
      <c r="C1797" s="18" t="str">
        <f>IF($A1797="","",IFERROR(INDEX(Items!$B$5:$B$597,MATCH($A1797,Items!$A$5:$A$597,0)),""))</f>
        <v/>
      </c>
      <c r="D1797" s="23" t="str">
        <f>IF($A1797="","",N(Receipts!$G1800))</f>
        <v/>
      </c>
      <c r="E1797" s="20" t="str">
        <f>IF($A1797="","",IFERROR(INDEX(Items!$D$5:$D$597,MATCH($A1797,Items!$A$5:$A$597,0)),0))</f>
        <v/>
      </c>
      <c r="F1797" s="21" t="str">
        <f t="shared" ref="F1797:F1860" si="140">IF($A1797="","",$D1797*$E1797)</f>
        <v/>
      </c>
      <c r="G1797" s="25" t="str">
        <f>IF(Receipts!$I1800="","",Receipts!$I1800)</f>
        <v/>
      </c>
      <c r="H1797" s="25" t="str">
        <f>IF(Receipts!$H1800="","",Receipts!$H1800)</f>
        <v/>
      </c>
      <c r="I1797" s="26" t="str">
        <f t="shared" ref="I1797:I1860" ca="1" si="141">IF($H1797="","",$H1797-TODAY())</f>
        <v/>
      </c>
      <c r="J1797" s="26" t="str">
        <f>IF($A1797="","",COUNTIFS(tblReceipts[Item Name],$A1797,tblReceipts[Expiry Date],"&lt;"&amp;$H1797)+COUNTIFS(tblReceipts[Item Name],$A1797,tblReceipts[Expiry Date],$H1797,tblReceipts[Lot Number],"&lt;="&amp;Receipts!$C1800))</f>
        <v/>
      </c>
      <c r="K1797" s="26" t="str">
        <f>IF($A1797="","",SUMIFS(tblReceipts[Qty Received],tblReceipts[Item Name],$A1797,tblReceipts[Expiry Date],"&lt;"&amp;$H1797)+SUMIFS(tblReceipts[Qty Received],tblReceipts[Item Name],$A1797,tblReceipts[Expiry Date],$H1797,tblReceipts[Lot Number],"&lt;"&amp;Receipts!$C1800))</f>
        <v/>
      </c>
      <c r="L1797" s="26" t="str">
        <f>IF($A1797="","",MIN($D1797,MAX(0,SUMIFS(tblIssues[Qty Issued],tblIssues[Item Name],$A1797)-$K1797)))</f>
        <v/>
      </c>
      <c r="M1797" s="26" t="str">
        <f>IF($A1797="","",SUMIFS(tblIssues[Qty Issued],tblIssues[Lot Number],$B1797))</f>
        <v/>
      </c>
      <c r="N1797" s="26" t="str">
        <f t="shared" ref="N1797:N1860" si="142">IF($A1797="","",$M1797-$L1797)</f>
        <v/>
      </c>
      <c r="O1797" s="26" t="str">
        <f t="shared" ref="O1797:O1860" si="143">IF($A1797="","",$D1797-$L1797)</f>
        <v/>
      </c>
      <c r="P1797" s="21" t="str">
        <f t="shared" ref="P1797:P1860" si="144">IF($A1797="","",$O1797*$E1797)</f>
        <v/>
      </c>
      <c r="Q1797" s="52" t="str">
        <f>IF($A1797="","",IF($O1797&lt;=0,"Depleted",IF($I1797&lt;0,"EXPIRED",IF($I1797&lt;=Settings!$C$6,"CRITICAL",IF($I1797&lt;=Settings!$C$5,"Expiring","In date")))))</f>
        <v/>
      </c>
    </row>
    <row r="1798" spans="1:17" x14ac:dyDescent="0.35">
      <c r="A1798" s="90" t="str">
        <f>IF(Receipts!$D1801="","",Receipts!$D1801)</f>
        <v/>
      </c>
      <c r="B1798" s="18" t="str">
        <f>IF(Receipts!$C1801="","",Receipts!$C1801)</f>
        <v/>
      </c>
      <c r="C1798" s="18" t="str">
        <f>IF($A1798="","",IFERROR(INDEX(Items!$B$5:$B$597,MATCH($A1798,Items!$A$5:$A$597,0)),""))</f>
        <v/>
      </c>
      <c r="D1798" s="23" t="str">
        <f>IF($A1798="","",N(Receipts!$G1801))</f>
        <v/>
      </c>
      <c r="E1798" s="20" t="str">
        <f>IF($A1798="","",IFERROR(INDEX(Items!$D$5:$D$597,MATCH($A1798,Items!$A$5:$A$597,0)),0))</f>
        <v/>
      </c>
      <c r="F1798" s="21" t="str">
        <f t="shared" si="140"/>
        <v/>
      </c>
      <c r="G1798" s="25" t="str">
        <f>IF(Receipts!$I1801="","",Receipts!$I1801)</f>
        <v/>
      </c>
      <c r="H1798" s="25" t="str">
        <f>IF(Receipts!$H1801="","",Receipts!$H1801)</f>
        <v/>
      </c>
      <c r="I1798" s="26" t="str">
        <f t="shared" ca="1" si="141"/>
        <v/>
      </c>
      <c r="J1798" s="26" t="str">
        <f>IF($A1798="","",COUNTIFS(tblReceipts[Item Name],$A1798,tblReceipts[Expiry Date],"&lt;"&amp;$H1798)+COUNTIFS(tblReceipts[Item Name],$A1798,tblReceipts[Expiry Date],$H1798,tblReceipts[Lot Number],"&lt;="&amp;Receipts!$C1801))</f>
        <v/>
      </c>
      <c r="K1798" s="26" t="str">
        <f>IF($A1798="","",SUMIFS(tblReceipts[Qty Received],tblReceipts[Item Name],$A1798,tblReceipts[Expiry Date],"&lt;"&amp;$H1798)+SUMIFS(tblReceipts[Qty Received],tblReceipts[Item Name],$A1798,tblReceipts[Expiry Date],$H1798,tblReceipts[Lot Number],"&lt;"&amp;Receipts!$C1801))</f>
        <v/>
      </c>
      <c r="L1798" s="26" t="str">
        <f>IF($A1798="","",MIN($D1798,MAX(0,SUMIFS(tblIssues[Qty Issued],tblIssues[Item Name],$A1798)-$K1798)))</f>
        <v/>
      </c>
      <c r="M1798" s="26" t="str">
        <f>IF($A1798="","",SUMIFS(tblIssues[Qty Issued],tblIssues[Lot Number],$B1798))</f>
        <v/>
      </c>
      <c r="N1798" s="26" t="str">
        <f t="shared" si="142"/>
        <v/>
      </c>
      <c r="O1798" s="26" t="str">
        <f t="shared" si="143"/>
        <v/>
      </c>
      <c r="P1798" s="21" t="str">
        <f t="shared" si="144"/>
        <v/>
      </c>
      <c r="Q1798" s="52" t="str">
        <f>IF($A1798="","",IF($O1798&lt;=0,"Depleted",IF($I1798&lt;0,"EXPIRED",IF($I1798&lt;=Settings!$C$6,"CRITICAL",IF($I1798&lt;=Settings!$C$5,"Expiring","In date")))))</f>
        <v/>
      </c>
    </row>
    <row r="1799" spans="1:17" x14ac:dyDescent="0.35">
      <c r="A1799" s="90" t="str">
        <f>IF(Receipts!$D1802="","",Receipts!$D1802)</f>
        <v/>
      </c>
      <c r="B1799" s="18" t="str">
        <f>IF(Receipts!$C1802="","",Receipts!$C1802)</f>
        <v/>
      </c>
      <c r="C1799" s="18" t="str">
        <f>IF($A1799="","",IFERROR(INDEX(Items!$B$5:$B$597,MATCH($A1799,Items!$A$5:$A$597,0)),""))</f>
        <v/>
      </c>
      <c r="D1799" s="23" t="str">
        <f>IF($A1799="","",N(Receipts!$G1802))</f>
        <v/>
      </c>
      <c r="E1799" s="20" t="str">
        <f>IF($A1799="","",IFERROR(INDEX(Items!$D$5:$D$597,MATCH($A1799,Items!$A$5:$A$597,0)),0))</f>
        <v/>
      </c>
      <c r="F1799" s="21" t="str">
        <f t="shared" si="140"/>
        <v/>
      </c>
      <c r="G1799" s="25" t="str">
        <f>IF(Receipts!$I1802="","",Receipts!$I1802)</f>
        <v/>
      </c>
      <c r="H1799" s="25" t="str">
        <f>IF(Receipts!$H1802="","",Receipts!$H1802)</f>
        <v/>
      </c>
      <c r="I1799" s="26" t="str">
        <f t="shared" ca="1" si="141"/>
        <v/>
      </c>
      <c r="J1799" s="26" t="str">
        <f>IF($A1799="","",COUNTIFS(tblReceipts[Item Name],$A1799,tblReceipts[Expiry Date],"&lt;"&amp;$H1799)+COUNTIFS(tblReceipts[Item Name],$A1799,tblReceipts[Expiry Date],$H1799,tblReceipts[Lot Number],"&lt;="&amp;Receipts!$C1802))</f>
        <v/>
      </c>
      <c r="K1799" s="26" t="str">
        <f>IF($A1799="","",SUMIFS(tblReceipts[Qty Received],tblReceipts[Item Name],$A1799,tblReceipts[Expiry Date],"&lt;"&amp;$H1799)+SUMIFS(tblReceipts[Qty Received],tblReceipts[Item Name],$A1799,tblReceipts[Expiry Date],$H1799,tblReceipts[Lot Number],"&lt;"&amp;Receipts!$C1802))</f>
        <v/>
      </c>
      <c r="L1799" s="26" t="str">
        <f>IF($A1799="","",MIN($D1799,MAX(0,SUMIFS(tblIssues[Qty Issued],tblIssues[Item Name],$A1799)-$K1799)))</f>
        <v/>
      </c>
      <c r="M1799" s="26" t="str">
        <f>IF($A1799="","",SUMIFS(tblIssues[Qty Issued],tblIssues[Lot Number],$B1799))</f>
        <v/>
      </c>
      <c r="N1799" s="26" t="str">
        <f t="shared" si="142"/>
        <v/>
      </c>
      <c r="O1799" s="26" t="str">
        <f t="shared" si="143"/>
        <v/>
      </c>
      <c r="P1799" s="21" t="str">
        <f t="shared" si="144"/>
        <v/>
      </c>
      <c r="Q1799" s="52" t="str">
        <f>IF($A1799="","",IF($O1799&lt;=0,"Depleted",IF($I1799&lt;0,"EXPIRED",IF($I1799&lt;=Settings!$C$6,"CRITICAL",IF($I1799&lt;=Settings!$C$5,"Expiring","In date")))))</f>
        <v/>
      </c>
    </row>
    <row r="1800" spans="1:17" x14ac:dyDescent="0.35">
      <c r="A1800" s="90" t="str">
        <f>IF(Receipts!$D1803="","",Receipts!$D1803)</f>
        <v/>
      </c>
      <c r="B1800" s="18" t="str">
        <f>IF(Receipts!$C1803="","",Receipts!$C1803)</f>
        <v/>
      </c>
      <c r="C1800" s="18" t="str">
        <f>IF($A1800="","",IFERROR(INDEX(Items!$B$5:$B$597,MATCH($A1800,Items!$A$5:$A$597,0)),""))</f>
        <v/>
      </c>
      <c r="D1800" s="23" t="str">
        <f>IF($A1800="","",N(Receipts!$G1803))</f>
        <v/>
      </c>
      <c r="E1800" s="20" t="str">
        <f>IF($A1800="","",IFERROR(INDEX(Items!$D$5:$D$597,MATCH($A1800,Items!$A$5:$A$597,0)),0))</f>
        <v/>
      </c>
      <c r="F1800" s="21" t="str">
        <f t="shared" si="140"/>
        <v/>
      </c>
      <c r="G1800" s="25" t="str">
        <f>IF(Receipts!$I1803="","",Receipts!$I1803)</f>
        <v/>
      </c>
      <c r="H1800" s="25" t="str">
        <f>IF(Receipts!$H1803="","",Receipts!$H1803)</f>
        <v/>
      </c>
      <c r="I1800" s="26" t="str">
        <f t="shared" ca="1" si="141"/>
        <v/>
      </c>
      <c r="J1800" s="26" t="str">
        <f>IF($A1800="","",COUNTIFS(tblReceipts[Item Name],$A1800,tblReceipts[Expiry Date],"&lt;"&amp;$H1800)+COUNTIFS(tblReceipts[Item Name],$A1800,tblReceipts[Expiry Date],$H1800,tblReceipts[Lot Number],"&lt;="&amp;Receipts!$C1803))</f>
        <v/>
      </c>
      <c r="K1800" s="26" t="str">
        <f>IF($A1800="","",SUMIFS(tblReceipts[Qty Received],tblReceipts[Item Name],$A1800,tblReceipts[Expiry Date],"&lt;"&amp;$H1800)+SUMIFS(tblReceipts[Qty Received],tblReceipts[Item Name],$A1800,tblReceipts[Expiry Date],$H1800,tblReceipts[Lot Number],"&lt;"&amp;Receipts!$C1803))</f>
        <v/>
      </c>
      <c r="L1800" s="26" t="str">
        <f>IF($A1800="","",MIN($D1800,MAX(0,SUMIFS(tblIssues[Qty Issued],tblIssues[Item Name],$A1800)-$K1800)))</f>
        <v/>
      </c>
      <c r="M1800" s="26" t="str">
        <f>IF($A1800="","",SUMIFS(tblIssues[Qty Issued],tblIssues[Lot Number],$B1800))</f>
        <v/>
      </c>
      <c r="N1800" s="26" t="str">
        <f t="shared" si="142"/>
        <v/>
      </c>
      <c r="O1800" s="26" t="str">
        <f t="shared" si="143"/>
        <v/>
      </c>
      <c r="P1800" s="21" t="str">
        <f t="shared" si="144"/>
        <v/>
      </c>
      <c r="Q1800" s="52" t="str">
        <f>IF($A1800="","",IF($O1800&lt;=0,"Depleted",IF($I1800&lt;0,"EXPIRED",IF($I1800&lt;=Settings!$C$6,"CRITICAL",IF($I1800&lt;=Settings!$C$5,"Expiring","In date")))))</f>
        <v/>
      </c>
    </row>
    <row r="1801" spans="1:17" x14ac:dyDescent="0.35">
      <c r="A1801" s="90" t="str">
        <f>IF(Receipts!$D1804="","",Receipts!$D1804)</f>
        <v/>
      </c>
      <c r="B1801" s="18" t="str">
        <f>IF(Receipts!$C1804="","",Receipts!$C1804)</f>
        <v/>
      </c>
      <c r="C1801" s="18" t="str">
        <f>IF($A1801="","",IFERROR(INDEX(Items!$B$5:$B$597,MATCH($A1801,Items!$A$5:$A$597,0)),""))</f>
        <v/>
      </c>
      <c r="D1801" s="23" t="str">
        <f>IF($A1801="","",N(Receipts!$G1804))</f>
        <v/>
      </c>
      <c r="E1801" s="20" t="str">
        <f>IF($A1801="","",IFERROR(INDEX(Items!$D$5:$D$597,MATCH($A1801,Items!$A$5:$A$597,0)),0))</f>
        <v/>
      </c>
      <c r="F1801" s="21" t="str">
        <f t="shared" si="140"/>
        <v/>
      </c>
      <c r="G1801" s="25" t="str">
        <f>IF(Receipts!$I1804="","",Receipts!$I1804)</f>
        <v/>
      </c>
      <c r="H1801" s="25" t="str">
        <f>IF(Receipts!$H1804="","",Receipts!$H1804)</f>
        <v/>
      </c>
      <c r="I1801" s="26" t="str">
        <f t="shared" ca="1" si="141"/>
        <v/>
      </c>
      <c r="J1801" s="26" t="str">
        <f>IF($A1801="","",COUNTIFS(tblReceipts[Item Name],$A1801,tblReceipts[Expiry Date],"&lt;"&amp;$H1801)+COUNTIFS(tblReceipts[Item Name],$A1801,tblReceipts[Expiry Date],$H1801,tblReceipts[Lot Number],"&lt;="&amp;Receipts!$C1804))</f>
        <v/>
      </c>
      <c r="K1801" s="26" t="str">
        <f>IF($A1801="","",SUMIFS(tblReceipts[Qty Received],tblReceipts[Item Name],$A1801,tblReceipts[Expiry Date],"&lt;"&amp;$H1801)+SUMIFS(tblReceipts[Qty Received],tblReceipts[Item Name],$A1801,tblReceipts[Expiry Date],$H1801,tblReceipts[Lot Number],"&lt;"&amp;Receipts!$C1804))</f>
        <v/>
      </c>
      <c r="L1801" s="26" t="str">
        <f>IF($A1801="","",MIN($D1801,MAX(0,SUMIFS(tblIssues[Qty Issued],tblIssues[Item Name],$A1801)-$K1801)))</f>
        <v/>
      </c>
      <c r="M1801" s="26" t="str">
        <f>IF($A1801="","",SUMIFS(tblIssues[Qty Issued],tblIssues[Lot Number],$B1801))</f>
        <v/>
      </c>
      <c r="N1801" s="26" t="str">
        <f t="shared" si="142"/>
        <v/>
      </c>
      <c r="O1801" s="26" t="str">
        <f t="shared" si="143"/>
        <v/>
      </c>
      <c r="P1801" s="21" t="str">
        <f t="shared" si="144"/>
        <v/>
      </c>
      <c r="Q1801" s="52" t="str">
        <f>IF($A1801="","",IF($O1801&lt;=0,"Depleted",IF($I1801&lt;0,"EXPIRED",IF($I1801&lt;=Settings!$C$6,"CRITICAL",IF($I1801&lt;=Settings!$C$5,"Expiring","In date")))))</f>
        <v/>
      </c>
    </row>
    <row r="1802" spans="1:17" x14ac:dyDescent="0.35">
      <c r="A1802" s="90" t="str">
        <f>IF(Receipts!$D1805="","",Receipts!$D1805)</f>
        <v/>
      </c>
      <c r="B1802" s="18" t="str">
        <f>IF(Receipts!$C1805="","",Receipts!$C1805)</f>
        <v/>
      </c>
      <c r="C1802" s="18" t="str">
        <f>IF($A1802="","",IFERROR(INDEX(Items!$B$5:$B$597,MATCH($A1802,Items!$A$5:$A$597,0)),""))</f>
        <v/>
      </c>
      <c r="D1802" s="23" t="str">
        <f>IF($A1802="","",N(Receipts!$G1805))</f>
        <v/>
      </c>
      <c r="E1802" s="20" t="str">
        <f>IF($A1802="","",IFERROR(INDEX(Items!$D$5:$D$597,MATCH($A1802,Items!$A$5:$A$597,0)),0))</f>
        <v/>
      </c>
      <c r="F1802" s="21" t="str">
        <f t="shared" si="140"/>
        <v/>
      </c>
      <c r="G1802" s="25" t="str">
        <f>IF(Receipts!$I1805="","",Receipts!$I1805)</f>
        <v/>
      </c>
      <c r="H1802" s="25" t="str">
        <f>IF(Receipts!$H1805="","",Receipts!$H1805)</f>
        <v/>
      </c>
      <c r="I1802" s="26" t="str">
        <f t="shared" ca="1" si="141"/>
        <v/>
      </c>
      <c r="J1802" s="26" t="str">
        <f>IF($A1802="","",COUNTIFS(tblReceipts[Item Name],$A1802,tblReceipts[Expiry Date],"&lt;"&amp;$H1802)+COUNTIFS(tblReceipts[Item Name],$A1802,tblReceipts[Expiry Date],$H1802,tblReceipts[Lot Number],"&lt;="&amp;Receipts!$C1805))</f>
        <v/>
      </c>
      <c r="K1802" s="26" t="str">
        <f>IF($A1802="","",SUMIFS(tblReceipts[Qty Received],tblReceipts[Item Name],$A1802,tblReceipts[Expiry Date],"&lt;"&amp;$H1802)+SUMIFS(tblReceipts[Qty Received],tblReceipts[Item Name],$A1802,tblReceipts[Expiry Date],$H1802,tblReceipts[Lot Number],"&lt;"&amp;Receipts!$C1805))</f>
        <v/>
      </c>
      <c r="L1802" s="26" t="str">
        <f>IF($A1802="","",MIN($D1802,MAX(0,SUMIFS(tblIssues[Qty Issued],tblIssues[Item Name],$A1802)-$K1802)))</f>
        <v/>
      </c>
      <c r="M1802" s="26" t="str">
        <f>IF($A1802="","",SUMIFS(tblIssues[Qty Issued],tblIssues[Lot Number],$B1802))</f>
        <v/>
      </c>
      <c r="N1802" s="26" t="str">
        <f t="shared" si="142"/>
        <v/>
      </c>
      <c r="O1802" s="26" t="str">
        <f t="shared" si="143"/>
        <v/>
      </c>
      <c r="P1802" s="21" t="str">
        <f t="shared" si="144"/>
        <v/>
      </c>
      <c r="Q1802" s="52" t="str">
        <f>IF($A1802="","",IF($O1802&lt;=0,"Depleted",IF($I1802&lt;0,"EXPIRED",IF($I1802&lt;=Settings!$C$6,"CRITICAL",IF($I1802&lt;=Settings!$C$5,"Expiring","In date")))))</f>
        <v/>
      </c>
    </row>
    <row r="1803" spans="1:17" x14ac:dyDescent="0.35">
      <c r="A1803" s="90" t="str">
        <f>IF(Receipts!$D1806="","",Receipts!$D1806)</f>
        <v/>
      </c>
      <c r="B1803" s="18" t="str">
        <f>IF(Receipts!$C1806="","",Receipts!$C1806)</f>
        <v/>
      </c>
      <c r="C1803" s="18" t="str">
        <f>IF($A1803="","",IFERROR(INDEX(Items!$B$5:$B$597,MATCH($A1803,Items!$A$5:$A$597,0)),""))</f>
        <v/>
      </c>
      <c r="D1803" s="23" t="str">
        <f>IF($A1803="","",N(Receipts!$G1806))</f>
        <v/>
      </c>
      <c r="E1803" s="20" t="str">
        <f>IF($A1803="","",IFERROR(INDEX(Items!$D$5:$D$597,MATCH($A1803,Items!$A$5:$A$597,0)),0))</f>
        <v/>
      </c>
      <c r="F1803" s="21" t="str">
        <f t="shared" si="140"/>
        <v/>
      </c>
      <c r="G1803" s="25" t="str">
        <f>IF(Receipts!$I1806="","",Receipts!$I1806)</f>
        <v/>
      </c>
      <c r="H1803" s="25" t="str">
        <f>IF(Receipts!$H1806="","",Receipts!$H1806)</f>
        <v/>
      </c>
      <c r="I1803" s="26" t="str">
        <f t="shared" ca="1" si="141"/>
        <v/>
      </c>
      <c r="J1803" s="26" t="str">
        <f>IF($A1803="","",COUNTIFS(tblReceipts[Item Name],$A1803,tblReceipts[Expiry Date],"&lt;"&amp;$H1803)+COUNTIFS(tblReceipts[Item Name],$A1803,tblReceipts[Expiry Date],$H1803,tblReceipts[Lot Number],"&lt;="&amp;Receipts!$C1806))</f>
        <v/>
      </c>
      <c r="K1803" s="26" t="str">
        <f>IF($A1803="","",SUMIFS(tblReceipts[Qty Received],tblReceipts[Item Name],$A1803,tblReceipts[Expiry Date],"&lt;"&amp;$H1803)+SUMIFS(tblReceipts[Qty Received],tblReceipts[Item Name],$A1803,tblReceipts[Expiry Date],$H1803,tblReceipts[Lot Number],"&lt;"&amp;Receipts!$C1806))</f>
        <v/>
      </c>
      <c r="L1803" s="26" t="str">
        <f>IF($A1803="","",MIN($D1803,MAX(0,SUMIFS(tblIssues[Qty Issued],tblIssues[Item Name],$A1803)-$K1803)))</f>
        <v/>
      </c>
      <c r="M1803" s="26" t="str">
        <f>IF($A1803="","",SUMIFS(tblIssues[Qty Issued],tblIssues[Lot Number],$B1803))</f>
        <v/>
      </c>
      <c r="N1803" s="26" t="str">
        <f t="shared" si="142"/>
        <v/>
      </c>
      <c r="O1803" s="26" t="str">
        <f t="shared" si="143"/>
        <v/>
      </c>
      <c r="P1803" s="21" t="str">
        <f t="shared" si="144"/>
        <v/>
      </c>
      <c r="Q1803" s="52" t="str">
        <f>IF($A1803="","",IF($O1803&lt;=0,"Depleted",IF($I1803&lt;0,"EXPIRED",IF($I1803&lt;=Settings!$C$6,"CRITICAL",IF($I1803&lt;=Settings!$C$5,"Expiring","In date")))))</f>
        <v/>
      </c>
    </row>
    <row r="1804" spans="1:17" x14ac:dyDescent="0.35">
      <c r="A1804" s="90" t="str">
        <f>IF(Receipts!$D1807="","",Receipts!$D1807)</f>
        <v/>
      </c>
      <c r="B1804" s="18" t="str">
        <f>IF(Receipts!$C1807="","",Receipts!$C1807)</f>
        <v/>
      </c>
      <c r="C1804" s="18" t="str">
        <f>IF($A1804="","",IFERROR(INDEX(Items!$B$5:$B$597,MATCH($A1804,Items!$A$5:$A$597,0)),""))</f>
        <v/>
      </c>
      <c r="D1804" s="23" t="str">
        <f>IF($A1804="","",N(Receipts!$G1807))</f>
        <v/>
      </c>
      <c r="E1804" s="20" t="str">
        <f>IF($A1804="","",IFERROR(INDEX(Items!$D$5:$D$597,MATCH($A1804,Items!$A$5:$A$597,0)),0))</f>
        <v/>
      </c>
      <c r="F1804" s="21" t="str">
        <f t="shared" si="140"/>
        <v/>
      </c>
      <c r="G1804" s="25" t="str">
        <f>IF(Receipts!$I1807="","",Receipts!$I1807)</f>
        <v/>
      </c>
      <c r="H1804" s="25" t="str">
        <f>IF(Receipts!$H1807="","",Receipts!$H1807)</f>
        <v/>
      </c>
      <c r="I1804" s="26" t="str">
        <f t="shared" ca="1" si="141"/>
        <v/>
      </c>
      <c r="J1804" s="26" t="str">
        <f>IF($A1804="","",COUNTIFS(tblReceipts[Item Name],$A1804,tblReceipts[Expiry Date],"&lt;"&amp;$H1804)+COUNTIFS(tblReceipts[Item Name],$A1804,tblReceipts[Expiry Date],$H1804,tblReceipts[Lot Number],"&lt;="&amp;Receipts!$C1807))</f>
        <v/>
      </c>
      <c r="K1804" s="26" t="str">
        <f>IF($A1804="","",SUMIFS(tblReceipts[Qty Received],tblReceipts[Item Name],$A1804,tblReceipts[Expiry Date],"&lt;"&amp;$H1804)+SUMIFS(tblReceipts[Qty Received],tblReceipts[Item Name],$A1804,tblReceipts[Expiry Date],$H1804,tblReceipts[Lot Number],"&lt;"&amp;Receipts!$C1807))</f>
        <v/>
      </c>
      <c r="L1804" s="26" t="str">
        <f>IF($A1804="","",MIN($D1804,MAX(0,SUMIFS(tblIssues[Qty Issued],tblIssues[Item Name],$A1804)-$K1804)))</f>
        <v/>
      </c>
      <c r="M1804" s="26" t="str">
        <f>IF($A1804="","",SUMIFS(tblIssues[Qty Issued],tblIssues[Lot Number],$B1804))</f>
        <v/>
      </c>
      <c r="N1804" s="26" t="str">
        <f t="shared" si="142"/>
        <v/>
      </c>
      <c r="O1804" s="26" t="str">
        <f t="shared" si="143"/>
        <v/>
      </c>
      <c r="P1804" s="21" t="str">
        <f t="shared" si="144"/>
        <v/>
      </c>
      <c r="Q1804" s="52" t="str">
        <f>IF($A1804="","",IF($O1804&lt;=0,"Depleted",IF($I1804&lt;0,"EXPIRED",IF($I1804&lt;=Settings!$C$6,"CRITICAL",IF($I1804&lt;=Settings!$C$5,"Expiring","In date")))))</f>
        <v/>
      </c>
    </row>
    <row r="1805" spans="1:17" x14ac:dyDescent="0.35">
      <c r="A1805" s="90" t="str">
        <f>IF(Receipts!$D1808="","",Receipts!$D1808)</f>
        <v/>
      </c>
      <c r="B1805" s="18" t="str">
        <f>IF(Receipts!$C1808="","",Receipts!$C1808)</f>
        <v/>
      </c>
      <c r="C1805" s="18" t="str">
        <f>IF($A1805="","",IFERROR(INDEX(Items!$B$5:$B$597,MATCH($A1805,Items!$A$5:$A$597,0)),""))</f>
        <v/>
      </c>
      <c r="D1805" s="23" t="str">
        <f>IF($A1805="","",N(Receipts!$G1808))</f>
        <v/>
      </c>
      <c r="E1805" s="20" t="str">
        <f>IF($A1805="","",IFERROR(INDEX(Items!$D$5:$D$597,MATCH($A1805,Items!$A$5:$A$597,0)),0))</f>
        <v/>
      </c>
      <c r="F1805" s="21" t="str">
        <f t="shared" si="140"/>
        <v/>
      </c>
      <c r="G1805" s="25" t="str">
        <f>IF(Receipts!$I1808="","",Receipts!$I1808)</f>
        <v/>
      </c>
      <c r="H1805" s="25" t="str">
        <f>IF(Receipts!$H1808="","",Receipts!$H1808)</f>
        <v/>
      </c>
      <c r="I1805" s="26" t="str">
        <f t="shared" ca="1" si="141"/>
        <v/>
      </c>
      <c r="J1805" s="26" t="str">
        <f>IF($A1805="","",COUNTIFS(tblReceipts[Item Name],$A1805,tblReceipts[Expiry Date],"&lt;"&amp;$H1805)+COUNTIFS(tblReceipts[Item Name],$A1805,tblReceipts[Expiry Date],$H1805,tblReceipts[Lot Number],"&lt;="&amp;Receipts!$C1808))</f>
        <v/>
      </c>
      <c r="K1805" s="26" t="str">
        <f>IF($A1805="","",SUMIFS(tblReceipts[Qty Received],tblReceipts[Item Name],$A1805,tblReceipts[Expiry Date],"&lt;"&amp;$H1805)+SUMIFS(tblReceipts[Qty Received],tblReceipts[Item Name],$A1805,tblReceipts[Expiry Date],$H1805,tblReceipts[Lot Number],"&lt;"&amp;Receipts!$C1808))</f>
        <v/>
      </c>
      <c r="L1805" s="26" t="str">
        <f>IF($A1805="","",MIN($D1805,MAX(0,SUMIFS(tblIssues[Qty Issued],tblIssues[Item Name],$A1805)-$K1805)))</f>
        <v/>
      </c>
      <c r="M1805" s="26" t="str">
        <f>IF($A1805="","",SUMIFS(tblIssues[Qty Issued],tblIssues[Lot Number],$B1805))</f>
        <v/>
      </c>
      <c r="N1805" s="26" t="str">
        <f t="shared" si="142"/>
        <v/>
      </c>
      <c r="O1805" s="26" t="str">
        <f t="shared" si="143"/>
        <v/>
      </c>
      <c r="P1805" s="21" t="str">
        <f t="shared" si="144"/>
        <v/>
      </c>
      <c r="Q1805" s="52" t="str">
        <f>IF($A1805="","",IF($O1805&lt;=0,"Depleted",IF($I1805&lt;0,"EXPIRED",IF($I1805&lt;=Settings!$C$6,"CRITICAL",IF($I1805&lt;=Settings!$C$5,"Expiring","In date")))))</f>
        <v/>
      </c>
    </row>
    <row r="1806" spans="1:17" x14ac:dyDescent="0.35">
      <c r="A1806" s="90" t="str">
        <f>IF(Receipts!$D1809="","",Receipts!$D1809)</f>
        <v/>
      </c>
      <c r="B1806" s="18" t="str">
        <f>IF(Receipts!$C1809="","",Receipts!$C1809)</f>
        <v/>
      </c>
      <c r="C1806" s="18" t="str">
        <f>IF($A1806="","",IFERROR(INDEX(Items!$B$5:$B$597,MATCH($A1806,Items!$A$5:$A$597,0)),""))</f>
        <v/>
      </c>
      <c r="D1806" s="23" t="str">
        <f>IF($A1806="","",N(Receipts!$G1809))</f>
        <v/>
      </c>
      <c r="E1806" s="20" t="str">
        <f>IF($A1806="","",IFERROR(INDEX(Items!$D$5:$D$597,MATCH($A1806,Items!$A$5:$A$597,0)),0))</f>
        <v/>
      </c>
      <c r="F1806" s="21" t="str">
        <f t="shared" si="140"/>
        <v/>
      </c>
      <c r="G1806" s="25" t="str">
        <f>IF(Receipts!$I1809="","",Receipts!$I1809)</f>
        <v/>
      </c>
      <c r="H1806" s="25" t="str">
        <f>IF(Receipts!$H1809="","",Receipts!$H1809)</f>
        <v/>
      </c>
      <c r="I1806" s="26" t="str">
        <f t="shared" ca="1" si="141"/>
        <v/>
      </c>
      <c r="J1806" s="26" t="str">
        <f>IF($A1806="","",COUNTIFS(tblReceipts[Item Name],$A1806,tblReceipts[Expiry Date],"&lt;"&amp;$H1806)+COUNTIFS(tblReceipts[Item Name],$A1806,tblReceipts[Expiry Date],$H1806,tblReceipts[Lot Number],"&lt;="&amp;Receipts!$C1809))</f>
        <v/>
      </c>
      <c r="K1806" s="26" t="str">
        <f>IF($A1806="","",SUMIFS(tblReceipts[Qty Received],tblReceipts[Item Name],$A1806,tblReceipts[Expiry Date],"&lt;"&amp;$H1806)+SUMIFS(tblReceipts[Qty Received],tblReceipts[Item Name],$A1806,tblReceipts[Expiry Date],$H1806,tblReceipts[Lot Number],"&lt;"&amp;Receipts!$C1809))</f>
        <v/>
      </c>
      <c r="L1806" s="26" t="str">
        <f>IF($A1806="","",MIN($D1806,MAX(0,SUMIFS(tblIssues[Qty Issued],tblIssues[Item Name],$A1806)-$K1806)))</f>
        <v/>
      </c>
      <c r="M1806" s="26" t="str">
        <f>IF($A1806="","",SUMIFS(tblIssues[Qty Issued],tblIssues[Lot Number],$B1806))</f>
        <v/>
      </c>
      <c r="N1806" s="26" t="str">
        <f t="shared" si="142"/>
        <v/>
      </c>
      <c r="O1806" s="26" t="str">
        <f t="shared" si="143"/>
        <v/>
      </c>
      <c r="P1806" s="21" t="str">
        <f t="shared" si="144"/>
        <v/>
      </c>
      <c r="Q1806" s="52" t="str">
        <f>IF($A1806="","",IF($O1806&lt;=0,"Depleted",IF($I1806&lt;0,"EXPIRED",IF($I1806&lt;=Settings!$C$6,"CRITICAL",IF($I1806&lt;=Settings!$C$5,"Expiring","In date")))))</f>
        <v/>
      </c>
    </row>
    <row r="1807" spans="1:17" x14ac:dyDescent="0.35">
      <c r="A1807" s="90" t="str">
        <f>IF(Receipts!$D1810="","",Receipts!$D1810)</f>
        <v/>
      </c>
      <c r="B1807" s="18" t="str">
        <f>IF(Receipts!$C1810="","",Receipts!$C1810)</f>
        <v/>
      </c>
      <c r="C1807" s="18" t="str">
        <f>IF($A1807="","",IFERROR(INDEX(Items!$B$5:$B$597,MATCH($A1807,Items!$A$5:$A$597,0)),""))</f>
        <v/>
      </c>
      <c r="D1807" s="23" t="str">
        <f>IF($A1807="","",N(Receipts!$G1810))</f>
        <v/>
      </c>
      <c r="E1807" s="20" t="str">
        <f>IF($A1807="","",IFERROR(INDEX(Items!$D$5:$D$597,MATCH($A1807,Items!$A$5:$A$597,0)),0))</f>
        <v/>
      </c>
      <c r="F1807" s="21" t="str">
        <f t="shared" si="140"/>
        <v/>
      </c>
      <c r="G1807" s="25" t="str">
        <f>IF(Receipts!$I1810="","",Receipts!$I1810)</f>
        <v/>
      </c>
      <c r="H1807" s="25" t="str">
        <f>IF(Receipts!$H1810="","",Receipts!$H1810)</f>
        <v/>
      </c>
      <c r="I1807" s="26" t="str">
        <f t="shared" ca="1" si="141"/>
        <v/>
      </c>
      <c r="J1807" s="26" t="str">
        <f>IF($A1807="","",COUNTIFS(tblReceipts[Item Name],$A1807,tblReceipts[Expiry Date],"&lt;"&amp;$H1807)+COUNTIFS(tblReceipts[Item Name],$A1807,tblReceipts[Expiry Date],$H1807,tblReceipts[Lot Number],"&lt;="&amp;Receipts!$C1810))</f>
        <v/>
      </c>
      <c r="K1807" s="26" t="str">
        <f>IF($A1807="","",SUMIFS(tblReceipts[Qty Received],tblReceipts[Item Name],$A1807,tblReceipts[Expiry Date],"&lt;"&amp;$H1807)+SUMIFS(tblReceipts[Qty Received],tblReceipts[Item Name],$A1807,tblReceipts[Expiry Date],$H1807,tblReceipts[Lot Number],"&lt;"&amp;Receipts!$C1810))</f>
        <v/>
      </c>
      <c r="L1807" s="26" t="str">
        <f>IF($A1807="","",MIN($D1807,MAX(0,SUMIFS(tblIssues[Qty Issued],tblIssues[Item Name],$A1807)-$K1807)))</f>
        <v/>
      </c>
      <c r="M1807" s="26" t="str">
        <f>IF($A1807="","",SUMIFS(tblIssues[Qty Issued],tblIssues[Lot Number],$B1807))</f>
        <v/>
      </c>
      <c r="N1807" s="26" t="str">
        <f t="shared" si="142"/>
        <v/>
      </c>
      <c r="O1807" s="26" t="str">
        <f t="shared" si="143"/>
        <v/>
      </c>
      <c r="P1807" s="21" t="str">
        <f t="shared" si="144"/>
        <v/>
      </c>
      <c r="Q1807" s="52" t="str">
        <f>IF($A1807="","",IF($O1807&lt;=0,"Depleted",IF($I1807&lt;0,"EXPIRED",IF($I1807&lt;=Settings!$C$6,"CRITICAL",IF($I1807&lt;=Settings!$C$5,"Expiring","In date")))))</f>
        <v/>
      </c>
    </row>
    <row r="1808" spans="1:17" x14ac:dyDescent="0.35">
      <c r="A1808" s="90" t="str">
        <f>IF(Receipts!$D1811="","",Receipts!$D1811)</f>
        <v/>
      </c>
      <c r="B1808" s="18" t="str">
        <f>IF(Receipts!$C1811="","",Receipts!$C1811)</f>
        <v/>
      </c>
      <c r="C1808" s="18" t="str">
        <f>IF($A1808="","",IFERROR(INDEX(Items!$B$5:$B$597,MATCH($A1808,Items!$A$5:$A$597,0)),""))</f>
        <v/>
      </c>
      <c r="D1808" s="23" t="str">
        <f>IF($A1808="","",N(Receipts!$G1811))</f>
        <v/>
      </c>
      <c r="E1808" s="20" t="str">
        <f>IF($A1808="","",IFERROR(INDEX(Items!$D$5:$D$597,MATCH($A1808,Items!$A$5:$A$597,0)),0))</f>
        <v/>
      </c>
      <c r="F1808" s="21" t="str">
        <f t="shared" si="140"/>
        <v/>
      </c>
      <c r="G1808" s="25" t="str">
        <f>IF(Receipts!$I1811="","",Receipts!$I1811)</f>
        <v/>
      </c>
      <c r="H1808" s="25" t="str">
        <f>IF(Receipts!$H1811="","",Receipts!$H1811)</f>
        <v/>
      </c>
      <c r="I1808" s="26" t="str">
        <f t="shared" ca="1" si="141"/>
        <v/>
      </c>
      <c r="J1808" s="26" t="str">
        <f>IF($A1808="","",COUNTIFS(tblReceipts[Item Name],$A1808,tblReceipts[Expiry Date],"&lt;"&amp;$H1808)+COUNTIFS(tblReceipts[Item Name],$A1808,tblReceipts[Expiry Date],$H1808,tblReceipts[Lot Number],"&lt;="&amp;Receipts!$C1811))</f>
        <v/>
      </c>
      <c r="K1808" s="26" t="str">
        <f>IF($A1808="","",SUMIFS(tblReceipts[Qty Received],tblReceipts[Item Name],$A1808,tblReceipts[Expiry Date],"&lt;"&amp;$H1808)+SUMIFS(tblReceipts[Qty Received],tblReceipts[Item Name],$A1808,tblReceipts[Expiry Date],$H1808,tblReceipts[Lot Number],"&lt;"&amp;Receipts!$C1811))</f>
        <v/>
      </c>
      <c r="L1808" s="26" t="str">
        <f>IF($A1808="","",MIN($D1808,MAX(0,SUMIFS(tblIssues[Qty Issued],tblIssues[Item Name],$A1808)-$K1808)))</f>
        <v/>
      </c>
      <c r="M1808" s="26" t="str">
        <f>IF($A1808="","",SUMIFS(tblIssues[Qty Issued],tblIssues[Lot Number],$B1808))</f>
        <v/>
      </c>
      <c r="N1808" s="26" t="str">
        <f t="shared" si="142"/>
        <v/>
      </c>
      <c r="O1808" s="26" t="str">
        <f t="shared" si="143"/>
        <v/>
      </c>
      <c r="P1808" s="21" t="str">
        <f t="shared" si="144"/>
        <v/>
      </c>
      <c r="Q1808" s="52" t="str">
        <f>IF($A1808="","",IF($O1808&lt;=0,"Depleted",IF($I1808&lt;0,"EXPIRED",IF($I1808&lt;=Settings!$C$6,"CRITICAL",IF($I1808&lt;=Settings!$C$5,"Expiring","In date")))))</f>
        <v/>
      </c>
    </row>
    <row r="1809" spans="1:17" x14ac:dyDescent="0.35">
      <c r="A1809" s="90" t="str">
        <f>IF(Receipts!$D1812="","",Receipts!$D1812)</f>
        <v/>
      </c>
      <c r="B1809" s="18" t="str">
        <f>IF(Receipts!$C1812="","",Receipts!$C1812)</f>
        <v/>
      </c>
      <c r="C1809" s="18" t="str">
        <f>IF($A1809="","",IFERROR(INDEX(Items!$B$5:$B$597,MATCH($A1809,Items!$A$5:$A$597,0)),""))</f>
        <v/>
      </c>
      <c r="D1809" s="23" t="str">
        <f>IF($A1809="","",N(Receipts!$G1812))</f>
        <v/>
      </c>
      <c r="E1809" s="20" t="str">
        <f>IF($A1809="","",IFERROR(INDEX(Items!$D$5:$D$597,MATCH($A1809,Items!$A$5:$A$597,0)),0))</f>
        <v/>
      </c>
      <c r="F1809" s="21" t="str">
        <f t="shared" si="140"/>
        <v/>
      </c>
      <c r="G1809" s="25" t="str">
        <f>IF(Receipts!$I1812="","",Receipts!$I1812)</f>
        <v/>
      </c>
      <c r="H1809" s="25" t="str">
        <f>IF(Receipts!$H1812="","",Receipts!$H1812)</f>
        <v/>
      </c>
      <c r="I1809" s="26" t="str">
        <f t="shared" ca="1" si="141"/>
        <v/>
      </c>
      <c r="J1809" s="26" t="str">
        <f>IF($A1809="","",COUNTIFS(tblReceipts[Item Name],$A1809,tblReceipts[Expiry Date],"&lt;"&amp;$H1809)+COUNTIFS(tblReceipts[Item Name],$A1809,tblReceipts[Expiry Date],$H1809,tblReceipts[Lot Number],"&lt;="&amp;Receipts!$C1812))</f>
        <v/>
      </c>
      <c r="K1809" s="26" t="str">
        <f>IF($A1809="","",SUMIFS(tblReceipts[Qty Received],tblReceipts[Item Name],$A1809,tblReceipts[Expiry Date],"&lt;"&amp;$H1809)+SUMIFS(tblReceipts[Qty Received],tblReceipts[Item Name],$A1809,tblReceipts[Expiry Date],$H1809,tblReceipts[Lot Number],"&lt;"&amp;Receipts!$C1812))</f>
        <v/>
      </c>
      <c r="L1809" s="26" t="str">
        <f>IF($A1809="","",MIN($D1809,MAX(0,SUMIFS(tblIssues[Qty Issued],tblIssues[Item Name],$A1809)-$K1809)))</f>
        <v/>
      </c>
      <c r="M1809" s="26" t="str">
        <f>IF($A1809="","",SUMIFS(tblIssues[Qty Issued],tblIssues[Lot Number],$B1809))</f>
        <v/>
      </c>
      <c r="N1809" s="26" t="str">
        <f t="shared" si="142"/>
        <v/>
      </c>
      <c r="O1809" s="26" t="str">
        <f t="shared" si="143"/>
        <v/>
      </c>
      <c r="P1809" s="21" t="str">
        <f t="shared" si="144"/>
        <v/>
      </c>
      <c r="Q1809" s="52" t="str">
        <f>IF($A1809="","",IF($O1809&lt;=0,"Depleted",IF($I1809&lt;0,"EXPIRED",IF($I1809&lt;=Settings!$C$6,"CRITICAL",IF($I1809&lt;=Settings!$C$5,"Expiring","In date")))))</f>
        <v/>
      </c>
    </row>
    <row r="1810" spans="1:17" x14ac:dyDescent="0.35">
      <c r="A1810" s="90" t="str">
        <f>IF(Receipts!$D1813="","",Receipts!$D1813)</f>
        <v/>
      </c>
      <c r="B1810" s="18" t="str">
        <f>IF(Receipts!$C1813="","",Receipts!$C1813)</f>
        <v/>
      </c>
      <c r="C1810" s="18" t="str">
        <f>IF($A1810="","",IFERROR(INDEX(Items!$B$5:$B$597,MATCH($A1810,Items!$A$5:$A$597,0)),""))</f>
        <v/>
      </c>
      <c r="D1810" s="23" t="str">
        <f>IF($A1810="","",N(Receipts!$G1813))</f>
        <v/>
      </c>
      <c r="E1810" s="20" t="str">
        <f>IF($A1810="","",IFERROR(INDEX(Items!$D$5:$D$597,MATCH($A1810,Items!$A$5:$A$597,0)),0))</f>
        <v/>
      </c>
      <c r="F1810" s="21" t="str">
        <f t="shared" si="140"/>
        <v/>
      </c>
      <c r="G1810" s="25" t="str">
        <f>IF(Receipts!$I1813="","",Receipts!$I1813)</f>
        <v/>
      </c>
      <c r="H1810" s="25" t="str">
        <f>IF(Receipts!$H1813="","",Receipts!$H1813)</f>
        <v/>
      </c>
      <c r="I1810" s="26" t="str">
        <f t="shared" ca="1" si="141"/>
        <v/>
      </c>
      <c r="J1810" s="26" t="str">
        <f>IF($A1810="","",COUNTIFS(tblReceipts[Item Name],$A1810,tblReceipts[Expiry Date],"&lt;"&amp;$H1810)+COUNTIFS(tblReceipts[Item Name],$A1810,tblReceipts[Expiry Date],$H1810,tblReceipts[Lot Number],"&lt;="&amp;Receipts!$C1813))</f>
        <v/>
      </c>
      <c r="K1810" s="26" t="str">
        <f>IF($A1810="","",SUMIFS(tblReceipts[Qty Received],tblReceipts[Item Name],$A1810,tblReceipts[Expiry Date],"&lt;"&amp;$H1810)+SUMIFS(tblReceipts[Qty Received],tblReceipts[Item Name],$A1810,tblReceipts[Expiry Date],$H1810,tblReceipts[Lot Number],"&lt;"&amp;Receipts!$C1813))</f>
        <v/>
      </c>
      <c r="L1810" s="26" t="str">
        <f>IF($A1810="","",MIN($D1810,MAX(0,SUMIFS(tblIssues[Qty Issued],tblIssues[Item Name],$A1810)-$K1810)))</f>
        <v/>
      </c>
      <c r="M1810" s="26" t="str">
        <f>IF($A1810="","",SUMIFS(tblIssues[Qty Issued],tblIssues[Lot Number],$B1810))</f>
        <v/>
      </c>
      <c r="N1810" s="26" t="str">
        <f t="shared" si="142"/>
        <v/>
      </c>
      <c r="O1810" s="26" t="str">
        <f t="shared" si="143"/>
        <v/>
      </c>
      <c r="P1810" s="21" t="str">
        <f t="shared" si="144"/>
        <v/>
      </c>
      <c r="Q1810" s="52" t="str">
        <f>IF($A1810="","",IF($O1810&lt;=0,"Depleted",IF($I1810&lt;0,"EXPIRED",IF($I1810&lt;=Settings!$C$6,"CRITICAL",IF($I1810&lt;=Settings!$C$5,"Expiring","In date")))))</f>
        <v/>
      </c>
    </row>
    <row r="1811" spans="1:17" x14ac:dyDescent="0.35">
      <c r="A1811" s="90" t="str">
        <f>IF(Receipts!$D1814="","",Receipts!$D1814)</f>
        <v/>
      </c>
      <c r="B1811" s="18" t="str">
        <f>IF(Receipts!$C1814="","",Receipts!$C1814)</f>
        <v/>
      </c>
      <c r="C1811" s="18" t="str">
        <f>IF($A1811="","",IFERROR(INDEX(Items!$B$5:$B$597,MATCH($A1811,Items!$A$5:$A$597,0)),""))</f>
        <v/>
      </c>
      <c r="D1811" s="23" t="str">
        <f>IF($A1811="","",N(Receipts!$G1814))</f>
        <v/>
      </c>
      <c r="E1811" s="20" t="str">
        <f>IF($A1811="","",IFERROR(INDEX(Items!$D$5:$D$597,MATCH($A1811,Items!$A$5:$A$597,0)),0))</f>
        <v/>
      </c>
      <c r="F1811" s="21" t="str">
        <f t="shared" si="140"/>
        <v/>
      </c>
      <c r="G1811" s="25" t="str">
        <f>IF(Receipts!$I1814="","",Receipts!$I1814)</f>
        <v/>
      </c>
      <c r="H1811" s="25" t="str">
        <f>IF(Receipts!$H1814="","",Receipts!$H1814)</f>
        <v/>
      </c>
      <c r="I1811" s="26" t="str">
        <f t="shared" ca="1" si="141"/>
        <v/>
      </c>
      <c r="J1811" s="26" t="str">
        <f>IF($A1811="","",COUNTIFS(tblReceipts[Item Name],$A1811,tblReceipts[Expiry Date],"&lt;"&amp;$H1811)+COUNTIFS(tblReceipts[Item Name],$A1811,tblReceipts[Expiry Date],$H1811,tblReceipts[Lot Number],"&lt;="&amp;Receipts!$C1814))</f>
        <v/>
      </c>
      <c r="K1811" s="26" t="str">
        <f>IF($A1811="","",SUMIFS(tblReceipts[Qty Received],tblReceipts[Item Name],$A1811,tblReceipts[Expiry Date],"&lt;"&amp;$H1811)+SUMIFS(tblReceipts[Qty Received],tblReceipts[Item Name],$A1811,tblReceipts[Expiry Date],$H1811,tblReceipts[Lot Number],"&lt;"&amp;Receipts!$C1814))</f>
        <v/>
      </c>
      <c r="L1811" s="26" t="str">
        <f>IF($A1811="","",MIN($D1811,MAX(0,SUMIFS(tblIssues[Qty Issued],tblIssues[Item Name],$A1811)-$K1811)))</f>
        <v/>
      </c>
      <c r="M1811" s="26" t="str">
        <f>IF($A1811="","",SUMIFS(tblIssues[Qty Issued],tblIssues[Lot Number],$B1811))</f>
        <v/>
      </c>
      <c r="N1811" s="26" t="str">
        <f t="shared" si="142"/>
        <v/>
      </c>
      <c r="O1811" s="26" t="str">
        <f t="shared" si="143"/>
        <v/>
      </c>
      <c r="P1811" s="21" t="str">
        <f t="shared" si="144"/>
        <v/>
      </c>
      <c r="Q1811" s="52" t="str">
        <f>IF($A1811="","",IF($O1811&lt;=0,"Depleted",IF($I1811&lt;0,"EXPIRED",IF($I1811&lt;=Settings!$C$6,"CRITICAL",IF($I1811&lt;=Settings!$C$5,"Expiring","In date")))))</f>
        <v/>
      </c>
    </row>
    <row r="1812" spans="1:17" x14ac:dyDescent="0.35">
      <c r="A1812" s="90" t="str">
        <f>IF(Receipts!$D1815="","",Receipts!$D1815)</f>
        <v/>
      </c>
      <c r="B1812" s="18" t="str">
        <f>IF(Receipts!$C1815="","",Receipts!$C1815)</f>
        <v/>
      </c>
      <c r="C1812" s="18" t="str">
        <f>IF($A1812="","",IFERROR(INDEX(Items!$B$5:$B$597,MATCH($A1812,Items!$A$5:$A$597,0)),""))</f>
        <v/>
      </c>
      <c r="D1812" s="23" t="str">
        <f>IF($A1812="","",N(Receipts!$G1815))</f>
        <v/>
      </c>
      <c r="E1812" s="20" t="str">
        <f>IF($A1812="","",IFERROR(INDEX(Items!$D$5:$D$597,MATCH($A1812,Items!$A$5:$A$597,0)),0))</f>
        <v/>
      </c>
      <c r="F1812" s="21" t="str">
        <f t="shared" si="140"/>
        <v/>
      </c>
      <c r="G1812" s="25" t="str">
        <f>IF(Receipts!$I1815="","",Receipts!$I1815)</f>
        <v/>
      </c>
      <c r="H1812" s="25" t="str">
        <f>IF(Receipts!$H1815="","",Receipts!$H1815)</f>
        <v/>
      </c>
      <c r="I1812" s="26" t="str">
        <f t="shared" ca="1" si="141"/>
        <v/>
      </c>
      <c r="J1812" s="26" t="str">
        <f>IF($A1812="","",COUNTIFS(tblReceipts[Item Name],$A1812,tblReceipts[Expiry Date],"&lt;"&amp;$H1812)+COUNTIFS(tblReceipts[Item Name],$A1812,tblReceipts[Expiry Date],$H1812,tblReceipts[Lot Number],"&lt;="&amp;Receipts!$C1815))</f>
        <v/>
      </c>
      <c r="K1812" s="26" t="str">
        <f>IF($A1812="","",SUMIFS(tblReceipts[Qty Received],tblReceipts[Item Name],$A1812,tblReceipts[Expiry Date],"&lt;"&amp;$H1812)+SUMIFS(tblReceipts[Qty Received],tblReceipts[Item Name],$A1812,tblReceipts[Expiry Date],$H1812,tblReceipts[Lot Number],"&lt;"&amp;Receipts!$C1815))</f>
        <v/>
      </c>
      <c r="L1812" s="26" t="str">
        <f>IF($A1812="","",MIN($D1812,MAX(0,SUMIFS(tblIssues[Qty Issued],tblIssues[Item Name],$A1812)-$K1812)))</f>
        <v/>
      </c>
      <c r="M1812" s="26" t="str">
        <f>IF($A1812="","",SUMIFS(tblIssues[Qty Issued],tblIssues[Lot Number],$B1812))</f>
        <v/>
      </c>
      <c r="N1812" s="26" t="str">
        <f t="shared" si="142"/>
        <v/>
      </c>
      <c r="O1812" s="26" t="str">
        <f t="shared" si="143"/>
        <v/>
      </c>
      <c r="P1812" s="21" t="str">
        <f t="shared" si="144"/>
        <v/>
      </c>
      <c r="Q1812" s="52" t="str">
        <f>IF($A1812="","",IF($O1812&lt;=0,"Depleted",IF($I1812&lt;0,"EXPIRED",IF($I1812&lt;=Settings!$C$6,"CRITICAL",IF($I1812&lt;=Settings!$C$5,"Expiring","In date")))))</f>
        <v/>
      </c>
    </row>
    <row r="1813" spans="1:17" x14ac:dyDescent="0.35">
      <c r="A1813" s="90" t="str">
        <f>IF(Receipts!$D1816="","",Receipts!$D1816)</f>
        <v/>
      </c>
      <c r="B1813" s="18" t="str">
        <f>IF(Receipts!$C1816="","",Receipts!$C1816)</f>
        <v/>
      </c>
      <c r="C1813" s="18" t="str">
        <f>IF($A1813="","",IFERROR(INDEX(Items!$B$5:$B$597,MATCH($A1813,Items!$A$5:$A$597,0)),""))</f>
        <v/>
      </c>
      <c r="D1813" s="23" t="str">
        <f>IF($A1813="","",N(Receipts!$G1816))</f>
        <v/>
      </c>
      <c r="E1813" s="20" t="str">
        <f>IF($A1813="","",IFERROR(INDEX(Items!$D$5:$D$597,MATCH($A1813,Items!$A$5:$A$597,0)),0))</f>
        <v/>
      </c>
      <c r="F1813" s="21" t="str">
        <f t="shared" si="140"/>
        <v/>
      </c>
      <c r="G1813" s="25" t="str">
        <f>IF(Receipts!$I1816="","",Receipts!$I1816)</f>
        <v/>
      </c>
      <c r="H1813" s="25" t="str">
        <f>IF(Receipts!$H1816="","",Receipts!$H1816)</f>
        <v/>
      </c>
      <c r="I1813" s="26" t="str">
        <f t="shared" ca="1" si="141"/>
        <v/>
      </c>
      <c r="J1813" s="26" t="str">
        <f>IF($A1813="","",COUNTIFS(tblReceipts[Item Name],$A1813,tblReceipts[Expiry Date],"&lt;"&amp;$H1813)+COUNTIFS(tblReceipts[Item Name],$A1813,tblReceipts[Expiry Date],$H1813,tblReceipts[Lot Number],"&lt;="&amp;Receipts!$C1816))</f>
        <v/>
      </c>
      <c r="K1813" s="26" t="str">
        <f>IF($A1813="","",SUMIFS(tblReceipts[Qty Received],tblReceipts[Item Name],$A1813,tblReceipts[Expiry Date],"&lt;"&amp;$H1813)+SUMIFS(tblReceipts[Qty Received],tblReceipts[Item Name],$A1813,tblReceipts[Expiry Date],$H1813,tblReceipts[Lot Number],"&lt;"&amp;Receipts!$C1816))</f>
        <v/>
      </c>
      <c r="L1813" s="26" t="str">
        <f>IF($A1813="","",MIN($D1813,MAX(0,SUMIFS(tblIssues[Qty Issued],tblIssues[Item Name],$A1813)-$K1813)))</f>
        <v/>
      </c>
      <c r="M1813" s="26" t="str">
        <f>IF($A1813="","",SUMIFS(tblIssues[Qty Issued],tblIssues[Lot Number],$B1813))</f>
        <v/>
      </c>
      <c r="N1813" s="26" t="str">
        <f t="shared" si="142"/>
        <v/>
      </c>
      <c r="O1813" s="26" t="str">
        <f t="shared" si="143"/>
        <v/>
      </c>
      <c r="P1813" s="21" t="str">
        <f t="shared" si="144"/>
        <v/>
      </c>
      <c r="Q1813" s="52" t="str">
        <f>IF($A1813="","",IF($O1813&lt;=0,"Depleted",IF($I1813&lt;0,"EXPIRED",IF($I1813&lt;=Settings!$C$6,"CRITICAL",IF($I1813&lt;=Settings!$C$5,"Expiring","In date")))))</f>
        <v/>
      </c>
    </row>
    <row r="1814" spans="1:17" x14ac:dyDescent="0.35">
      <c r="A1814" s="90" t="str">
        <f>IF(Receipts!$D1817="","",Receipts!$D1817)</f>
        <v/>
      </c>
      <c r="B1814" s="18" t="str">
        <f>IF(Receipts!$C1817="","",Receipts!$C1817)</f>
        <v/>
      </c>
      <c r="C1814" s="18" t="str">
        <f>IF($A1814="","",IFERROR(INDEX(Items!$B$5:$B$597,MATCH($A1814,Items!$A$5:$A$597,0)),""))</f>
        <v/>
      </c>
      <c r="D1814" s="23" t="str">
        <f>IF($A1814="","",N(Receipts!$G1817))</f>
        <v/>
      </c>
      <c r="E1814" s="20" t="str">
        <f>IF($A1814="","",IFERROR(INDEX(Items!$D$5:$D$597,MATCH($A1814,Items!$A$5:$A$597,0)),0))</f>
        <v/>
      </c>
      <c r="F1814" s="21" t="str">
        <f t="shared" si="140"/>
        <v/>
      </c>
      <c r="G1814" s="25" t="str">
        <f>IF(Receipts!$I1817="","",Receipts!$I1817)</f>
        <v/>
      </c>
      <c r="H1814" s="25" t="str">
        <f>IF(Receipts!$H1817="","",Receipts!$H1817)</f>
        <v/>
      </c>
      <c r="I1814" s="26" t="str">
        <f t="shared" ca="1" si="141"/>
        <v/>
      </c>
      <c r="J1814" s="26" t="str">
        <f>IF($A1814="","",COUNTIFS(tblReceipts[Item Name],$A1814,tblReceipts[Expiry Date],"&lt;"&amp;$H1814)+COUNTIFS(tblReceipts[Item Name],$A1814,tblReceipts[Expiry Date],$H1814,tblReceipts[Lot Number],"&lt;="&amp;Receipts!$C1817))</f>
        <v/>
      </c>
      <c r="K1814" s="26" t="str">
        <f>IF($A1814="","",SUMIFS(tblReceipts[Qty Received],tblReceipts[Item Name],$A1814,tblReceipts[Expiry Date],"&lt;"&amp;$H1814)+SUMIFS(tblReceipts[Qty Received],tblReceipts[Item Name],$A1814,tblReceipts[Expiry Date],$H1814,tblReceipts[Lot Number],"&lt;"&amp;Receipts!$C1817))</f>
        <v/>
      </c>
      <c r="L1814" s="26" t="str">
        <f>IF($A1814="","",MIN($D1814,MAX(0,SUMIFS(tblIssues[Qty Issued],tblIssues[Item Name],$A1814)-$K1814)))</f>
        <v/>
      </c>
      <c r="M1814" s="26" t="str">
        <f>IF($A1814="","",SUMIFS(tblIssues[Qty Issued],tblIssues[Lot Number],$B1814))</f>
        <v/>
      </c>
      <c r="N1814" s="26" t="str">
        <f t="shared" si="142"/>
        <v/>
      </c>
      <c r="O1814" s="26" t="str">
        <f t="shared" si="143"/>
        <v/>
      </c>
      <c r="P1814" s="21" t="str">
        <f t="shared" si="144"/>
        <v/>
      </c>
      <c r="Q1814" s="52" t="str">
        <f>IF($A1814="","",IF($O1814&lt;=0,"Depleted",IF($I1814&lt;0,"EXPIRED",IF($I1814&lt;=Settings!$C$6,"CRITICAL",IF($I1814&lt;=Settings!$C$5,"Expiring","In date")))))</f>
        <v/>
      </c>
    </row>
    <row r="1815" spans="1:17" x14ac:dyDescent="0.35">
      <c r="A1815" s="90" t="str">
        <f>IF(Receipts!$D1818="","",Receipts!$D1818)</f>
        <v/>
      </c>
      <c r="B1815" s="18" t="str">
        <f>IF(Receipts!$C1818="","",Receipts!$C1818)</f>
        <v/>
      </c>
      <c r="C1815" s="18" t="str">
        <f>IF($A1815="","",IFERROR(INDEX(Items!$B$5:$B$597,MATCH($A1815,Items!$A$5:$A$597,0)),""))</f>
        <v/>
      </c>
      <c r="D1815" s="23" t="str">
        <f>IF($A1815="","",N(Receipts!$G1818))</f>
        <v/>
      </c>
      <c r="E1815" s="20" t="str">
        <f>IF($A1815="","",IFERROR(INDEX(Items!$D$5:$D$597,MATCH($A1815,Items!$A$5:$A$597,0)),0))</f>
        <v/>
      </c>
      <c r="F1815" s="21" t="str">
        <f t="shared" si="140"/>
        <v/>
      </c>
      <c r="G1815" s="25" t="str">
        <f>IF(Receipts!$I1818="","",Receipts!$I1818)</f>
        <v/>
      </c>
      <c r="H1815" s="25" t="str">
        <f>IF(Receipts!$H1818="","",Receipts!$H1818)</f>
        <v/>
      </c>
      <c r="I1815" s="26" t="str">
        <f t="shared" ca="1" si="141"/>
        <v/>
      </c>
      <c r="J1815" s="26" t="str">
        <f>IF($A1815="","",COUNTIFS(tblReceipts[Item Name],$A1815,tblReceipts[Expiry Date],"&lt;"&amp;$H1815)+COUNTIFS(tblReceipts[Item Name],$A1815,tblReceipts[Expiry Date],$H1815,tblReceipts[Lot Number],"&lt;="&amp;Receipts!$C1818))</f>
        <v/>
      </c>
      <c r="K1815" s="26" t="str">
        <f>IF($A1815="","",SUMIFS(tblReceipts[Qty Received],tblReceipts[Item Name],$A1815,tblReceipts[Expiry Date],"&lt;"&amp;$H1815)+SUMIFS(tblReceipts[Qty Received],tblReceipts[Item Name],$A1815,tblReceipts[Expiry Date],$H1815,tblReceipts[Lot Number],"&lt;"&amp;Receipts!$C1818))</f>
        <v/>
      </c>
      <c r="L1815" s="26" t="str">
        <f>IF($A1815="","",MIN($D1815,MAX(0,SUMIFS(tblIssues[Qty Issued],tblIssues[Item Name],$A1815)-$K1815)))</f>
        <v/>
      </c>
      <c r="M1815" s="26" t="str">
        <f>IF($A1815="","",SUMIFS(tblIssues[Qty Issued],tblIssues[Lot Number],$B1815))</f>
        <v/>
      </c>
      <c r="N1815" s="26" t="str">
        <f t="shared" si="142"/>
        <v/>
      </c>
      <c r="O1815" s="26" t="str">
        <f t="shared" si="143"/>
        <v/>
      </c>
      <c r="P1815" s="21" t="str">
        <f t="shared" si="144"/>
        <v/>
      </c>
      <c r="Q1815" s="52" t="str">
        <f>IF($A1815="","",IF($O1815&lt;=0,"Depleted",IF($I1815&lt;0,"EXPIRED",IF($I1815&lt;=Settings!$C$6,"CRITICAL",IF($I1815&lt;=Settings!$C$5,"Expiring","In date")))))</f>
        <v/>
      </c>
    </row>
    <row r="1816" spans="1:17" x14ac:dyDescent="0.35">
      <c r="A1816" s="90" t="str">
        <f>IF(Receipts!$D1819="","",Receipts!$D1819)</f>
        <v/>
      </c>
      <c r="B1816" s="18" t="str">
        <f>IF(Receipts!$C1819="","",Receipts!$C1819)</f>
        <v/>
      </c>
      <c r="C1816" s="18" t="str">
        <f>IF($A1816="","",IFERROR(INDEX(Items!$B$5:$B$597,MATCH($A1816,Items!$A$5:$A$597,0)),""))</f>
        <v/>
      </c>
      <c r="D1816" s="23" t="str">
        <f>IF($A1816="","",N(Receipts!$G1819))</f>
        <v/>
      </c>
      <c r="E1816" s="20" t="str">
        <f>IF($A1816="","",IFERROR(INDEX(Items!$D$5:$D$597,MATCH($A1816,Items!$A$5:$A$597,0)),0))</f>
        <v/>
      </c>
      <c r="F1816" s="21" t="str">
        <f t="shared" si="140"/>
        <v/>
      </c>
      <c r="G1816" s="25" t="str">
        <f>IF(Receipts!$I1819="","",Receipts!$I1819)</f>
        <v/>
      </c>
      <c r="H1816" s="25" t="str">
        <f>IF(Receipts!$H1819="","",Receipts!$H1819)</f>
        <v/>
      </c>
      <c r="I1816" s="26" t="str">
        <f t="shared" ca="1" si="141"/>
        <v/>
      </c>
      <c r="J1816" s="26" t="str">
        <f>IF($A1816="","",COUNTIFS(tblReceipts[Item Name],$A1816,tblReceipts[Expiry Date],"&lt;"&amp;$H1816)+COUNTIFS(tblReceipts[Item Name],$A1816,tblReceipts[Expiry Date],$H1816,tblReceipts[Lot Number],"&lt;="&amp;Receipts!$C1819))</f>
        <v/>
      </c>
      <c r="K1816" s="26" t="str">
        <f>IF($A1816="","",SUMIFS(tblReceipts[Qty Received],tblReceipts[Item Name],$A1816,tblReceipts[Expiry Date],"&lt;"&amp;$H1816)+SUMIFS(tblReceipts[Qty Received],tblReceipts[Item Name],$A1816,tblReceipts[Expiry Date],$H1816,tblReceipts[Lot Number],"&lt;"&amp;Receipts!$C1819))</f>
        <v/>
      </c>
      <c r="L1816" s="26" t="str">
        <f>IF($A1816="","",MIN($D1816,MAX(0,SUMIFS(tblIssues[Qty Issued],tblIssues[Item Name],$A1816)-$K1816)))</f>
        <v/>
      </c>
      <c r="M1816" s="26" t="str">
        <f>IF($A1816="","",SUMIFS(tblIssues[Qty Issued],tblIssues[Lot Number],$B1816))</f>
        <v/>
      </c>
      <c r="N1816" s="26" t="str">
        <f t="shared" si="142"/>
        <v/>
      </c>
      <c r="O1816" s="26" t="str">
        <f t="shared" si="143"/>
        <v/>
      </c>
      <c r="P1816" s="21" t="str">
        <f t="shared" si="144"/>
        <v/>
      </c>
      <c r="Q1816" s="52" t="str">
        <f>IF($A1816="","",IF($O1816&lt;=0,"Depleted",IF($I1816&lt;0,"EXPIRED",IF($I1816&lt;=Settings!$C$6,"CRITICAL",IF($I1816&lt;=Settings!$C$5,"Expiring","In date")))))</f>
        <v/>
      </c>
    </row>
    <row r="1817" spans="1:17" x14ac:dyDescent="0.35">
      <c r="A1817" s="90" t="str">
        <f>IF(Receipts!$D1820="","",Receipts!$D1820)</f>
        <v/>
      </c>
      <c r="B1817" s="18" t="str">
        <f>IF(Receipts!$C1820="","",Receipts!$C1820)</f>
        <v/>
      </c>
      <c r="C1817" s="18" t="str">
        <f>IF($A1817="","",IFERROR(INDEX(Items!$B$5:$B$597,MATCH($A1817,Items!$A$5:$A$597,0)),""))</f>
        <v/>
      </c>
      <c r="D1817" s="23" t="str">
        <f>IF($A1817="","",N(Receipts!$G1820))</f>
        <v/>
      </c>
      <c r="E1817" s="20" t="str">
        <f>IF($A1817="","",IFERROR(INDEX(Items!$D$5:$D$597,MATCH($A1817,Items!$A$5:$A$597,0)),0))</f>
        <v/>
      </c>
      <c r="F1817" s="21" t="str">
        <f t="shared" si="140"/>
        <v/>
      </c>
      <c r="G1817" s="25" t="str">
        <f>IF(Receipts!$I1820="","",Receipts!$I1820)</f>
        <v/>
      </c>
      <c r="H1817" s="25" t="str">
        <f>IF(Receipts!$H1820="","",Receipts!$H1820)</f>
        <v/>
      </c>
      <c r="I1817" s="26" t="str">
        <f t="shared" ca="1" si="141"/>
        <v/>
      </c>
      <c r="J1817" s="26" t="str">
        <f>IF($A1817="","",COUNTIFS(tblReceipts[Item Name],$A1817,tblReceipts[Expiry Date],"&lt;"&amp;$H1817)+COUNTIFS(tblReceipts[Item Name],$A1817,tblReceipts[Expiry Date],$H1817,tblReceipts[Lot Number],"&lt;="&amp;Receipts!$C1820))</f>
        <v/>
      </c>
      <c r="K1817" s="26" t="str">
        <f>IF($A1817="","",SUMIFS(tblReceipts[Qty Received],tblReceipts[Item Name],$A1817,tblReceipts[Expiry Date],"&lt;"&amp;$H1817)+SUMIFS(tblReceipts[Qty Received],tblReceipts[Item Name],$A1817,tblReceipts[Expiry Date],$H1817,tblReceipts[Lot Number],"&lt;"&amp;Receipts!$C1820))</f>
        <v/>
      </c>
      <c r="L1817" s="26" t="str">
        <f>IF($A1817="","",MIN($D1817,MAX(0,SUMIFS(tblIssues[Qty Issued],tblIssues[Item Name],$A1817)-$K1817)))</f>
        <v/>
      </c>
      <c r="M1817" s="26" t="str">
        <f>IF($A1817="","",SUMIFS(tblIssues[Qty Issued],tblIssues[Lot Number],$B1817))</f>
        <v/>
      </c>
      <c r="N1817" s="26" t="str">
        <f t="shared" si="142"/>
        <v/>
      </c>
      <c r="O1817" s="26" t="str">
        <f t="shared" si="143"/>
        <v/>
      </c>
      <c r="P1817" s="21" t="str">
        <f t="shared" si="144"/>
        <v/>
      </c>
      <c r="Q1817" s="52" t="str">
        <f>IF($A1817="","",IF($O1817&lt;=0,"Depleted",IF($I1817&lt;0,"EXPIRED",IF($I1817&lt;=Settings!$C$6,"CRITICAL",IF($I1817&lt;=Settings!$C$5,"Expiring","In date")))))</f>
        <v/>
      </c>
    </row>
    <row r="1818" spans="1:17" x14ac:dyDescent="0.35">
      <c r="A1818" s="90" t="str">
        <f>IF(Receipts!$D1821="","",Receipts!$D1821)</f>
        <v/>
      </c>
      <c r="B1818" s="18" t="str">
        <f>IF(Receipts!$C1821="","",Receipts!$C1821)</f>
        <v/>
      </c>
      <c r="C1818" s="18" t="str">
        <f>IF($A1818="","",IFERROR(INDEX(Items!$B$5:$B$597,MATCH($A1818,Items!$A$5:$A$597,0)),""))</f>
        <v/>
      </c>
      <c r="D1818" s="23" t="str">
        <f>IF($A1818="","",N(Receipts!$G1821))</f>
        <v/>
      </c>
      <c r="E1818" s="20" t="str">
        <f>IF($A1818="","",IFERROR(INDEX(Items!$D$5:$D$597,MATCH($A1818,Items!$A$5:$A$597,0)),0))</f>
        <v/>
      </c>
      <c r="F1818" s="21" t="str">
        <f t="shared" si="140"/>
        <v/>
      </c>
      <c r="G1818" s="25" t="str">
        <f>IF(Receipts!$I1821="","",Receipts!$I1821)</f>
        <v/>
      </c>
      <c r="H1818" s="25" t="str">
        <f>IF(Receipts!$H1821="","",Receipts!$H1821)</f>
        <v/>
      </c>
      <c r="I1818" s="26" t="str">
        <f t="shared" ca="1" si="141"/>
        <v/>
      </c>
      <c r="J1818" s="26" t="str">
        <f>IF($A1818="","",COUNTIFS(tblReceipts[Item Name],$A1818,tblReceipts[Expiry Date],"&lt;"&amp;$H1818)+COUNTIFS(tblReceipts[Item Name],$A1818,tblReceipts[Expiry Date],$H1818,tblReceipts[Lot Number],"&lt;="&amp;Receipts!$C1821))</f>
        <v/>
      </c>
      <c r="K1818" s="26" t="str">
        <f>IF($A1818="","",SUMIFS(tblReceipts[Qty Received],tblReceipts[Item Name],$A1818,tblReceipts[Expiry Date],"&lt;"&amp;$H1818)+SUMIFS(tblReceipts[Qty Received],tblReceipts[Item Name],$A1818,tblReceipts[Expiry Date],$H1818,tblReceipts[Lot Number],"&lt;"&amp;Receipts!$C1821))</f>
        <v/>
      </c>
      <c r="L1818" s="26" t="str">
        <f>IF($A1818="","",MIN($D1818,MAX(0,SUMIFS(tblIssues[Qty Issued],tblIssues[Item Name],$A1818)-$K1818)))</f>
        <v/>
      </c>
      <c r="M1818" s="26" t="str">
        <f>IF($A1818="","",SUMIFS(tblIssues[Qty Issued],tblIssues[Lot Number],$B1818))</f>
        <v/>
      </c>
      <c r="N1818" s="26" t="str">
        <f t="shared" si="142"/>
        <v/>
      </c>
      <c r="O1818" s="26" t="str">
        <f t="shared" si="143"/>
        <v/>
      </c>
      <c r="P1818" s="21" t="str">
        <f t="shared" si="144"/>
        <v/>
      </c>
      <c r="Q1818" s="52" t="str">
        <f>IF($A1818="","",IF($O1818&lt;=0,"Depleted",IF($I1818&lt;0,"EXPIRED",IF($I1818&lt;=Settings!$C$6,"CRITICAL",IF($I1818&lt;=Settings!$C$5,"Expiring","In date")))))</f>
        <v/>
      </c>
    </row>
    <row r="1819" spans="1:17" x14ac:dyDescent="0.35">
      <c r="A1819" s="90" t="str">
        <f>IF(Receipts!$D1822="","",Receipts!$D1822)</f>
        <v/>
      </c>
      <c r="B1819" s="18" t="str">
        <f>IF(Receipts!$C1822="","",Receipts!$C1822)</f>
        <v/>
      </c>
      <c r="C1819" s="18" t="str">
        <f>IF($A1819="","",IFERROR(INDEX(Items!$B$5:$B$597,MATCH($A1819,Items!$A$5:$A$597,0)),""))</f>
        <v/>
      </c>
      <c r="D1819" s="23" t="str">
        <f>IF($A1819="","",N(Receipts!$G1822))</f>
        <v/>
      </c>
      <c r="E1819" s="20" t="str">
        <f>IF($A1819="","",IFERROR(INDEX(Items!$D$5:$D$597,MATCH($A1819,Items!$A$5:$A$597,0)),0))</f>
        <v/>
      </c>
      <c r="F1819" s="21" t="str">
        <f t="shared" si="140"/>
        <v/>
      </c>
      <c r="G1819" s="25" t="str">
        <f>IF(Receipts!$I1822="","",Receipts!$I1822)</f>
        <v/>
      </c>
      <c r="H1819" s="25" t="str">
        <f>IF(Receipts!$H1822="","",Receipts!$H1822)</f>
        <v/>
      </c>
      <c r="I1819" s="26" t="str">
        <f t="shared" ca="1" si="141"/>
        <v/>
      </c>
      <c r="J1819" s="26" t="str">
        <f>IF($A1819="","",COUNTIFS(tblReceipts[Item Name],$A1819,tblReceipts[Expiry Date],"&lt;"&amp;$H1819)+COUNTIFS(tblReceipts[Item Name],$A1819,tblReceipts[Expiry Date],$H1819,tblReceipts[Lot Number],"&lt;="&amp;Receipts!$C1822))</f>
        <v/>
      </c>
      <c r="K1819" s="26" t="str">
        <f>IF($A1819="","",SUMIFS(tblReceipts[Qty Received],tblReceipts[Item Name],$A1819,tblReceipts[Expiry Date],"&lt;"&amp;$H1819)+SUMIFS(tblReceipts[Qty Received],tblReceipts[Item Name],$A1819,tblReceipts[Expiry Date],$H1819,tblReceipts[Lot Number],"&lt;"&amp;Receipts!$C1822))</f>
        <v/>
      </c>
      <c r="L1819" s="26" t="str">
        <f>IF($A1819="","",MIN($D1819,MAX(0,SUMIFS(tblIssues[Qty Issued],tblIssues[Item Name],$A1819)-$K1819)))</f>
        <v/>
      </c>
      <c r="M1819" s="26" t="str">
        <f>IF($A1819="","",SUMIFS(tblIssues[Qty Issued],tblIssues[Lot Number],$B1819))</f>
        <v/>
      </c>
      <c r="N1819" s="26" t="str">
        <f t="shared" si="142"/>
        <v/>
      </c>
      <c r="O1819" s="26" t="str">
        <f t="shared" si="143"/>
        <v/>
      </c>
      <c r="P1819" s="21" t="str">
        <f t="shared" si="144"/>
        <v/>
      </c>
      <c r="Q1819" s="52" t="str">
        <f>IF($A1819="","",IF($O1819&lt;=0,"Depleted",IF($I1819&lt;0,"EXPIRED",IF($I1819&lt;=Settings!$C$6,"CRITICAL",IF($I1819&lt;=Settings!$C$5,"Expiring","In date")))))</f>
        <v/>
      </c>
    </row>
    <row r="1820" spans="1:17" x14ac:dyDescent="0.35">
      <c r="A1820" s="90" t="str">
        <f>IF(Receipts!$D1823="","",Receipts!$D1823)</f>
        <v/>
      </c>
      <c r="B1820" s="18" t="str">
        <f>IF(Receipts!$C1823="","",Receipts!$C1823)</f>
        <v/>
      </c>
      <c r="C1820" s="18" t="str">
        <f>IF($A1820="","",IFERROR(INDEX(Items!$B$5:$B$597,MATCH($A1820,Items!$A$5:$A$597,0)),""))</f>
        <v/>
      </c>
      <c r="D1820" s="23" t="str">
        <f>IF($A1820="","",N(Receipts!$G1823))</f>
        <v/>
      </c>
      <c r="E1820" s="20" t="str">
        <f>IF($A1820="","",IFERROR(INDEX(Items!$D$5:$D$597,MATCH($A1820,Items!$A$5:$A$597,0)),0))</f>
        <v/>
      </c>
      <c r="F1820" s="21" t="str">
        <f t="shared" si="140"/>
        <v/>
      </c>
      <c r="G1820" s="25" t="str">
        <f>IF(Receipts!$I1823="","",Receipts!$I1823)</f>
        <v/>
      </c>
      <c r="H1820" s="25" t="str">
        <f>IF(Receipts!$H1823="","",Receipts!$H1823)</f>
        <v/>
      </c>
      <c r="I1820" s="26" t="str">
        <f t="shared" ca="1" si="141"/>
        <v/>
      </c>
      <c r="J1820" s="26" t="str">
        <f>IF($A1820="","",COUNTIFS(tblReceipts[Item Name],$A1820,tblReceipts[Expiry Date],"&lt;"&amp;$H1820)+COUNTIFS(tblReceipts[Item Name],$A1820,tblReceipts[Expiry Date],$H1820,tblReceipts[Lot Number],"&lt;="&amp;Receipts!$C1823))</f>
        <v/>
      </c>
      <c r="K1820" s="26" t="str">
        <f>IF($A1820="","",SUMIFS(tblReceipts[Qty Received],tblReceipts[Item Name],$A1820,tblReceipts[Expiry Date],"&lt;"&amp;$H1820)+SUMIFS(tblReceipts[Qty Received],tblReceipts[Item Name],$A1820,tblReceipts[Expiry Date],$H1820,tblReceipts[Lot Number],"&lt;"&amp;Receipts!$C1823))</f>
        <v/>
      </c>
      <c r="L1820" s="26" t="str">
        <f>IF($A1820="","",MIN($D1820,MAX(0,SUMIFS(tblIssues[Qty Issued],tblIssues[Item Name],$A1820)-$K1820)))</f>
        <v/>
      </c>
      <c r="M1820" s="26" t="str">
        <f>IF($A1820="","",SUMIFS(tblIssues[Qty Issued],tblIssues[Lot Number],$B1820))</f>
        <v/>
      </c>
      <c r="N1820" s="26" t="str">
        <f t="shared" si="142"/>
        <v/>
      </c>
      <c r="O1820" s="26" t="str">
        <f t="shared" si="143"/>
        <v/>
      </c>
      <c r="P1820" s="21" t="str">
        <f t="shared" si="144"/>
        <v/>
      </c>
      <c r="Q1820" s="52" t="str">
        <f>IF($A1820="","",IF($O1820&lt;=0,"Depleted",IF($I1820&lt;0,"EXPIRED",IF($I1820&lt;=Settings!$C$6,"CRITICAL",IF($I1820&lt;=Settings!$C$5,"Expiring","In date")))))</f>
        <v/>
      </c>
    </row>
    <row r="1821" spans="1:17" x14ac:dyDescent="0.35">
      <c r="A1821" s="90" t="str">
        <f>IF(Receipts!$D1824="","",Receipts!$D1824)</f>
        <v/>
      </c>
      <c r="B1821" s="18" t="str">
        <f>IF(Receipts!$C1824="","",Receipts!$C1824)</f>
        <v/>
      </c>
      <c r="C1821" s="18" t="str">
        <f>IF($A1821="","",IFERROR(INDEX(Items!$B$5:$B$597,MATCH($A1821,Items!$A$5:$A$597,0)),""))</f>
        <v/>
      </c>
      <c r="D1821" s="23" t="str">
        <f>IF($A1821="","",N(Receipts!$G1824))</f>
        <v/>
      </c>
      <c r="E1821" s="20" t="str">
        <f>IF($A1821="","",IFERROR(INDEX(Items!$D$5:$D$597,MATCH($A1821,Items!$A$5:$A$597,0)),0))</f>
        <v/>
      </c>
      <c r="F1821" s="21" t="str">
        <f t="shared" si="140"/>
        <v/>
      </c>
      <c r="G1821" s="25" t="str">
        <f>IF(Receipts!$I1824="","",Receipts!$I1824)</f>
        <v/>
      </c>
      <c r="H1821" s="25" t="str">
        <f>IF(Receipts!$H1824="","",Receipts!$H1824)</f>
        <v/>
      </c>
      <c r="I1821" s="26" t="str">
        <f t="shared" ca="1" si="141"/>
        <v/>
      </c>
      <c r="J1821" s="26" t="str">
        <f>IF($A1821="","",COUNTIFS(tblReceipts[Item Name],$A1821,tblReceipts[Expiry Date],"&lt;"&amp;$H1821)+COUNTIFS(tblReceipts[Item Name],$A1821,tblReceipts[Expiry Date],$H1821,tblReceipts[Lot Number],"&lt;="&amp;Receipts!$C1824))</f>
        <v/>
      </c>
      <c r="K1821" s="26" t="str">
        <f>IF($A1821="","",SUMIFS(tblReceipts[Qty Received],tblReceipts[Item Name],$A1821,tblReceipts[Expiry Date],"&lt;"&amp;$H1821)+SUMIFS(tblReceipts[Qty Received],tblReceipts[Item Name],$A1821,tblReceipts[Expiry Date],$H1821,tblReceipts[Lot Number],"&lt;"&amp;Receipts!$C1824))</f>
        <v/>
      </c>
      <c r="L1821" s="26" t="str">
        <f>IF($A1821="","",MIN($D1821,MAX(0,SUMIFS(tblIssues[Qty Issued],tblIssues[Item Name],$A1821)-$K1821)))</f>
        <v/>
      </c>
      <c r="M1821" s="26" t="str">
        <f>IF($A1821="","",SUMIFS(tblIssues[Qty Issued],tblIssues[Lot Number],$B1821))</f>
        <v/>
      </c>
      <c r="N1821" s="26" t="str">
        <f t="shared" si="142"/>
        <v/>
      </c>
      <c r="O1821" s="26" t="str">
        <f t="shared" si="143"/>
        <v/>
      </c>
      <c r="P1821" s="21" t="str">
        <f t="shared" si="144"/>
        <v/>
      </c>
      <c r="Q1821" s="52" t="str">
        <f>IF($A1821="","",IF($O1821&lt;=0,"Depleted",IF($I1821&lt;0,"EXPIRED",IF($I1821&lt;=Settings!$C$6,"CRITICAL",IF($I1821&lt;=Settings!$C$5,"Expiring","In date")))))</f>
        <v/>
      </c>
    </row>
    <row r="1822" spans="1:17" x14ac:dyDescent="0.35">
      <c r="A1822" s="90" t="str">
        <f>IF(Receipts!$D1825="","",Receipts!$D1825)</f>
        <v/>
      </c>
      <c r="B1822" s="18" t="str">
        <f>IF(Receipts!$C1825="","",Receipts!$C1825)</f>
        <v/>
      </c>
      <c r="C1822" s="18" t="str">
        <f>IF($A1822="","",IFERROR(INDEX(Items!$B$5:$B$597,MATCH($A1822,Items!$A$5:$A$597,0)),""))</f>
        <v/>
      </c>
      <c r="D1822" s="23" t="str">
        <f>IF($A1822="","",N(Receipts!$G1825))</f>
        <v/>
      </c>
      <c r="E1822" s="20" t="str">
        <f>IF($A1822="","",IFERROR(INDEX(Items!$D$5:$D$597,MATCH($A1822,Items!$A$5:$A$597,0)),0))</f>
        <v/>
      </c>
      <c r="F1822" s="21" t="str">
        <f t="shared" si="140"/>
        <v/>
      </c>
      <c r="G1822" s="25" t="str">
        <f>IF(Receipts!$I1825="","",Receipts!$I1825)</f>
        <v/>
      </c>
      <c r="H1822" s="25" t="str">
        <f>IF(Receipts!$H1825="","",Receipts!$H1825)</f>
        <v/>
      </c>
      <c r="I1822" s="26" t="str">
        <f t="shared" ca="1" si="141"/>
        <v/>
      </c>
      <c r="J1822" s="26" t="str">
        <f>IF($A1822="","",COUNTIFS(tblReceipts[Item Name],$A1822,tblReceipts[Expiry Date],"&lt;"&amp;$H1822)+COUNTIFS(tblReceipts[Item Name],$A1822,tblReceipts[Expiry Date],$H1822,tblReceipts[Lot Number],"&lt;="&amp;Receipts!$C1825))</f>
        <v/>
      </c>
      <c r="K1822" s="26" t="str">
        <f>IF($A1822="","",SUMIFS(tblReceipts[Qty Received],tblReceipts[Item Name],$A1822,tblReceipts[Expiry Date],"&lt;"&amp;$H1822)+SUMIFS(tblReceipts[Qty Received],tblReceipts[Item Name],$A1822,tblReceipts[Expiry Date],$H1822,tblReceipts[Lot Number],"&lt;"&amp;Receipts!$C1825))</f>
        <v/>
      </c>
      <c r="L1822" s="26" t="str">
        <f>IF($A1822="","",MIN($D1822,MAX(0,SUMIFS(tblIssues[Qty Issued],tblIssues[Item Name],$A1822)-$K1822)))</f>
        <v/>
      </c>
      <c r="M1822" s="26" t="str">
        <f>IF($A1822="","",SUMIFS(tblIssues[Qty Issued],tblIssues[Lot Number],$B1822))</f>
        <v/>
      </c>
      <c r="N1822" s="26" t="str">
        <f t="shared" si="142"/>
        <v/>
      </c>
      <c r="O1822" s="26" t="str">
        <f t="shared" si="143"/>
        <v/>
      </c>
      <c r="P1822" s="21" t="str">
        <f t="shared" si="144"/>
        <v/>
      </c>
      <c r="Q1822" s="52" t="str">
        <f>IF($A1822="","",IF($O1822&lt;=0,"Depleted",IF($I1822&lt;0,"EXPIRED",IF($I1822&lt;=Settings!$C$6,"CRITICAL",IF($I1822&lt;=Settings!$C$5,"Expiring","In date")))))</f>
        <v/>
      </c>
    </row>
    <row r="1823" spans="1:17" x14ac:dyDescent="0.35">
      <c r="A1823" s="90" t="str">
        <f>IF(Receipts!$D1826="","",Receipts!$D1826)</f>
        <v/>
      </c>
      <c r="B1823" s="18" t="str">
        <f>IF(Receipts!$C1826="","",Receipts!$C1826)</f>
        <v/>
      </c>
      <c r="C1823" s="18" t="str">
        <f>IF($A1823="","",IFERROR(INDEX(Items!$B$5:$B$597,MATCH($A1823,Items!$A$5:$A$597,0)),""))</f>
        <v/>
      </c>
      <c r="D1823" s="23" t="str">
        <f>IF($A1823="","",N(Receipts!$G1826))</f>
        <v/>
      </c>
      <c r="E1823" s="20" t="str">
        <f>IF($A1823="","",IFERROR(INDEX(Items!$D$5:$D$597,MATCH($A1823,Items!$A$5:$A$597,0)),0))</f>
        <v/>
      </c>
      <c r="F1823" s="21" t="str">
        <f t="shared" si="140"/>
        <v/>
      </c>
      <c r="G1823" s="25" t="str">
        <f>IF(Receipts!$I1826="","",Receipts!$I1826)</f>
        <v/>
      </c>
      <c r="H1823" s="25" t="str">
        <f>IF(Receipts!$H1826="","",Receipts!$H1826)</f>
        <v/>
      </c>
      <c r="I1823" s="26" t="str">
        <f t="shared" ca="1" si="141"/>
        <v/>
      </c>
      <c r="J1823" s="26" t="str">
        <f>IF($A1823="","",COUNTIFS(tblReceipts[Item Name],$A1823,tblReceipts[Expiry Date],"&lt;"&amp;$H1823)+COUNTIFS(tblReceipts[Item Name],$A1823,tblReceipts[Expiry Date],$H1823,tblReceipts[Lot Number],"&lt;="&amp;Receipts!$C1826))</f>
        <v/>
      </c>
      <c r="K1823" s="26" t="str">
        <f>IF($A1823="","",SUMIFS(tblReceipts[Qty Received],tblReceipts[Item Name],$A1823,tblReceipts[Expiry Date],"&lt;"&amp;$H1823)+SUMIFS(tblReceipts[Qty Received],tblReceipts[Item Name],$A1823,tblReceipts[Expiry Date],$H1823,tblReceipts[Lot Number],"&lt;"&amp;Receipts!$C1826))</f>
        <v/>
      </c>
      <c r="L1823" s="26" t="str">
        <f>IF($A1823="","",MIN($D1823,MAX(0,SUMIFS(tblIssues[Qty Issued],tblIssues[Item Name],$A1823)-$K1823)))</f>
        <v/>
      </c>
      <c r="M1823" s="26" t="str">
        <f>IF($A1823="","",SUMIFS(tblIssues[Qty Issued],tblIssues[Lot Number],$B1823))</f>
        <v/>
      </c>
      <c r="N1823" s="26" t="str">
        <f t="shared" si="142"/>
        <v/>
      </c>
      <c r="O1823" s="26" t="str">
        <f t="shared" si="143"/>
        <v/>
      </c>
      <c r="P1823" s="21" t="str">
        <f t="shared" si="144"/>
        <v/>
      </c>
      <c r="Q1823" s="52" t="str">
        <f>IF($A1823="","",IF($O1823&lt;=0,"Depleted",IF($I1823&lt;0,"EXPIRED",IF($I1823&lt;=Settings!$C$6,"CRITICAL",IF($I1823&lt;=Settings!$C$5,"Expiring","In date")))))</f>
        <v/>
      </c>
    </row>
    <row r="1824" spans="1:17" x14ac:dyDescent="0.35">
      <c r="A1824" s="90" t="str">
        <f>IF(Receipts!$D1827="","",Receipts!$D1827)</f>
        <v/>
      </c>
      <c r="B1824" s="18" t="str">
        <f>IF(Receipts!$C1827="","",Receipts!$C1827)</f>
        <v/>
      </c>
      <c r="C1824" s="18" t="str">
        <f>IF($A1824="","",IFERROR(INDEX(Items!$B$5:$B$597,MATCH($A1824,Items!$A$5:$A$597,0)),""))</f>
        <v/>
      </c>
      <c r="D1824" s="23" t="str">
        <f>IF($A1824="","",N(Receipts!$G1827))</f>
        <v/>
      </c>
      <c r="E1824" s="20" t="str">
        <f>IF($A1824="","",IFERROR(INDEX(Items!$D$5:$D$597,MATCH($A1824,Items!$A$5:$A$597,0)),0))</f>
        <v/>
      </c>
      <c r="F1824" s="21" t="str">
        <f t="shared" si="140"/>
        <v/>
      </c>
      <c r="G1824" s="25" t="str">
        <f>IF(Receipts!$I1827="","",Receipts!$I1827)</f>
        <v/>
      </c>
      <c r="H1824" s="25" t="str">
        <f>IF(Receipts!$H1827="","",Receipts!$H1827)</f>
        <v/>
      </c>
      <c r="I1824" s="26" t="str">
        <f t="shared" ca="1" si="141"/>
        <v/>
      </c>
      <c r="J1824" s="26" t="str">
        <f>IF($A1824="","",COUNTIFS(tblReceipts[Item Name],$A1824,tblReceipts[Expiry Date],"&lt;"&amp;$H1824)+COUNTIFS(tblReceipts[Item Name],$A1824,tblReceipts[Expiry Date],$H1824,tblReceipts[Lot Number],"&lt;="&amp;Receipts!$C1827))</f>
        <v/>
      </c>
      <c r="K1824" s="26" t="str">
        <f>IF($A1824="","",SUMIFS(tblReceipts[Qty Received],tblReceipts[Item Name],$A1824,tblReceipts[Expiry Date],"&lt;"&amp;$H1824)+SUMIFS(tblReceipts[Qty Received],tblReceipts[Item Name],$A1824,tblReceipts[Expiry Date],$H1824,tblReceipts[Lot Number],"&lt;"&amp;Receipts!$C1827))</f>
        <v/>
      </c>
      <c r="L1824" s="26" t="str">
        <f>IF($A1824="","",MIN($D1824,MAX(0,SUMIFS(tblIssues[Qty Issued],tblIssues[Item Name],$A1824)-$K1824)))</f>
        <v/>
      </c>
      <c r="M1824" s="26" t="str">
        <f>IF($A1824="","",SUMIFS(tblIssues[Qty Issued],tblIssues[Lot Number],$B1824))</f>
        <v/>
      </c>
      <c r="N1824" s="26" t="str">
        <f t="shared" si="142"/>
        <v/>
      </c>
      <c r="O1824" s="26" t="str">
        <f t="shared" si="143"/>
        <v/>
      </c>
      <c r="P1824" s="21" t="str">
        <f t="shared" si="144"/>
        <v/>
      </c>
      <c r="Q1824" s="52" t="str">
        <f>IF($A1824="","",IF($O1824&lt;=0,"Depleted",IF($I1824&lt;0,"EXPIRED",IF($I1824&lt;=Settings!$C$6,"CRITICAL",IF($I1824&lt;=Settings!$C$5,"Expiring","In date")))))</f>
        <v/>
      </c>
    </row>
    <row r="1825" spans="1:17" x14ac:dyDescent="0.35">
      <c r="A1825" s="90" t="str">
        <f>IF(Receipts!$D1828="","",Receipts!$D1828)</f>
        <v/>
      </c>
      <c r="B1825" s="18" t="str">
        <f>IF(Receipts!$C1828="","",Receipts!$C1828)</f>
        <v/>
      </c>
      <c r="C1825" s="18" t="str">
        <f>IF($A1825="","",IFERROR(INDEX(Items!$B$5:$B$597,MATCH($A1825,Items!$A$5:$A$597,0)),""))</f>
        <v/>
      </c>
      <c r="D1825" s="23" t="str">
        <f>IF($A1825="","",N(Receipts!$G1828))</f>
        <v/>
      </c>
      <c r="E1825" s="20" t="str">
        <f>IF($A1825="","",IFERROR(INDEX(Items!$D$5:$D$597,MATCH($A1825,Items!$A$5:$A$597,0)),0))</f>
        <v/>
      </c>
      <c r="F1825" s="21" t="str">
        <f t="shared" si="140"/>
        <v/>
      </c>
      <c r="G1825" s="25" t="str">
        <f>IF(Receipts!$I1828="","",Receipts!$I1828)</f>
        <v/>
      </c>
      <c r="H1825" s="25" t="str">
        <f>IF(Receipts!$H1828="","",Receipts!$H1828)</f>
        <v/>
      </c>
      <c r="I1825" s="26" t="str">
        <f t="shared" ca="1" si="141"/>
        <v/>
      </c>
      <c r="J1825" s="26" t="str">
        <f>IF($A1825="","",COUNTIFS(tblReceipts[Item Name],$A1825,tblReceipts[Expiry Date],"&lt;"&amp;$H1825)+COUNTIFS(tblReceipts[Item Name],$A1825,tblReceipts[Expiry Date],$H1825,tblReceipts[Lot Number],"&lt;="&amp;Receipts!$C1828))</f>
        <v/>
      </c>
      <c r="K1825" s="26" t="str">
        <f>IF($A1825="","",SUMIFS(tblReceipts[Qty Received],tblReceipts[Item Name],$A1825,tblReceipts[Expiry Date],"&lt;"&amp;$H1825)+SUMIFS(tblReceipts[Qty Received],tblReceipts[Item Name],$A1825,tblReceipts[Expiry Date],$H1825,tblReceipts[Lot Number],"&lt;"&amp;Receipts!$C1828))</f>
        <v/>
      </c>
      <c r="L1825" s="26" t="str">
        <f>IF($A1825="","",MIN($D1825,MAX(0,SUMIFS(tblIssues[Qty Issued],tblIssues[Item Name],$A1825)-$K1825)))</f>
        <v/>
      </c>
      <c r="M1825" s="26" t="str">
        <f>IF($A1825="","",SUMIFS(tblIssues[Qty Issued],tblIssues[Lot Number],$B1825))</f>
        <v/>
      </c>
      <c r="N1825" s="26" t="str">
        <f t="shared" si="142"/>
        <v/>
      </c>
      <c r="O1825" s="26" t="str">
        <f t="shared" si="143"/>
        <v/>
      </c>
      <c r="P1825" s="21" t="str">
        <f t="shared" si="144"/>
        <v/>
      </c>
      <c r="Q1825" s="52" t="str">
        <f>IF($A1825="","",IF($O1825&lt;=0,"Depleted",IF($I1825&lt;0,"EXPIRED",IF($I1825&lt;=Settings!$C$6,"CRITICAL",IF($I1825&lt;=Settings!$C$5,"Expiring","In date")))))</f>
        <v/>
      </c>
    </row>
    <row r="1826" spans="1:17" x14ac:dyDescent="0.35">
      <c r="A1826" s="90" t="str">
        <f>IF(Receipts!$D1829="","",Receipts!$D1829)</f>
        <v/>
      </c>
      <c r="B1826" s="18" t="str">
        <f>IF(Receipts!$C1829="","",Receipts!$C1829)</f>
        <v/>
      </c>
      <c r="C1826" s="18" t="str">
        <f>IF($A1826="","",IFERROR(INDEX(Items!$B$5:$B$597,MATCH($A1826,Items!$A$5:$A$597,0)),""))</f>
        <v/>
      </c>
      <c r="D1826" s="23" t="str">
        <f>IF($A1826="","",N(Receipts!$G1829))</f>
        <v/>
      </c>
      <c r="E1826" s="20" t="str">
        <f>IF($A1826="","",IFERROR(INDEX(Items!$D$5:$D$597,MATCH($A1826,Items!$A$5:$A$597,0)),0))</f>
        <v/>
      </c>
      <c r="F1826" s="21" t="str">
        <f t="shared" si="140"/>
        <v/>
      </c>
      <c r="G1826" s="25" t="str">
        <f>IF(Receipts!$I1829="","",Receipts!$I1829)</f>
        <v/>
      </c>
      <c r="H1826" s="25" t="str">
        <f>IF(Receipts!$H1829="","",Receipts!$H1829)</f>
        <v/>
      </c>
      <c r="I1826" s="26" t="str">
        <f t="shared" ca="1" si="141"/>
        <v/>
      </c>
      <c r="J1826" s="26" t="str">
        <f>IF($A1826="","",COUNTIFS(tblReceipts[Item Name],$A1826,tblReceipts[Expiry Date],"&lt;"&amp;$H1826)+COUNTIFS(tblReceipts[Item Name],$A1826,tblReceipts[Expiry Date],$H1826,tblReceipts[Lot Number],"&lt;="&amp;Receipts!$C1829))</f>
        <v/>
      </c>
      <c r="K1826" s="26" t="str">
        <f>IF($A1826="","",SUMIFS(tblReceipts[Qty Received],tblReceipts[Item Name],$A1826,tblReceipts[Expiry Date],"&lt;"&amp;$H1826)+SUMIFS(tblReceipts[Qty Received],tblReceipts[Item Name],$A1826,tblReceipts[Expiry Date],$H1826,tblReceipts[Lot Number],"&lt;"&amp;Receipts!$C1829))</f>
        <v/>
      </c>
      <c r="L1826" s="26" t="str">
        <f>IF($A1826="","",MIN($D1826,MAX(0,SUMIFS(tblIssues[Qty Issued],tblIssues[Item Name],$A1826)-$K1826)))</f>
        <v/>
      </c>
      <c r="M1826" s="26" t="str">
        <f>IF($A1826="","",SUMIFS(tblIssues[Qty Issued],tblIssues[Lot Number],$B1826))</f>
        <v/>
      </c>
      <c r="N1826" s="26" t="str">
        <f t="shared" si="142"/>
        <v/>
      </c>
      <c r="O1826" s="26" t="str">
        <f t="shared" si="143"/>
        <v/>
      </c>
      <c r="P1826" s="21" t="str">
        <f t="shared" si="144"/>
        <v/>
      </c>
      <c r="Q1826" s="52" t="str">
        <f>IF($A1826="","",IF($O1826&lt;=0,"Depleted",IF($I1826&lt;0,"EXPIRED",IF($I1826&lt;=Settings!$C$6,"CRITICAL",IF($I1826&lt;=Settings!$C$5,"Expiring","In date")))))</f>
        <v/>
      </c>
    </row>
    <row r="1827" spans="1:17" x14ac:dyDescent="0.35">
      <c r="A1827" s="90" t="str">
        <f>IF(Receipts!$D1830="","",Receipts!$D1830)</f>
        <v/>
      </c>
      <c r="B1827" s="18" t="str">
        <f>IF(Receipts!$C1830="","",Receipts!$C1830)</f>
        <v/>
      </c>
      <c r="C1827" s="18" t="str">
        <f>IF($A1827="","",IFERROR(INDEX(Items!$B$5:$B$597,MATCH($A1827,Items!$A$5:$A$597,0)),""))</f>
        <v/>
      </c>
      <c r="D1827" s="23" t="str">
        <f>IF($A1827="","",N(Receipts!$G1830))</f>
        <v/>
      </c>
      <c r="E1827" s="20" t="str">
        <f>IF($A1827="","",IFERROR(INDEX(Items!$D$5:$D$597,MATCH($A1827,Items!$A$5:$A$597,0)),0))</f>
        <v/>
      </c>
      <c r="F1827" s="21" t="str">
        <f t="shared" si="140"/>
        <v/>
      </c>
      <c r="G1827" s="25" t="str">
        <f>IF(Receipts!$I1830="","",Receipts!$I1830)</f>
        <v/>
      </c>
      <c r="H1827" s="25" t="str">
        <f>IF(Receipts!$H1830="","",Receipts!$H1830)</f>
        <v/>
      </c>
      <c r="I1827" s="26" t="str">
        <f t="shared" ca="1" si="141"/>
        <v/>
      </c>
      <c r="J1827" s="26" t="str">
        <f>IF($A1827="","",COUNTIFS(tblReceipts[Item Name],$A1827,tblReceipts[Expiry Date],"&lt;"&amp;$H1827)+COUNTIFS(tblReceipts[Item Name],$A1827,tblReceipts[Expiry Date],$H1827,tblReceipts[Lot Number],"&lt;="&amp;Receipts!$C1830))</f>
        <v/>
      </c>
      <c r="K1827" s="26" t="str">
        <f>IF($A1827="","",SUMIFS(tblReceipts[Qty Received],tblReceipts[Item Name],$A1827,tblReceipts[Expiry Date],"&lt;"&amp;$H1827)+SUMIFS(tblReceipts[Qty Received],tblReceipts[Item Name],$A1827,tblReceipts[Expiry Date],$H1827,tblReceipts[Lot Number],"&lt;"&amp;Receipts!$C1830))</f>
        <v/>
      </c>
      <c r="L1827" s="26" t="str">
        <f>IF($A1827="","",MIN($D1827,MAX(0,SUMIFS(tblIssues[Qty Issued],tblIssues[Item Name],$A1827)-$K1827)))</f>
        <v/>
      </c>
      <c r="M1827" s="26" t="str">
        <f>IF($A1827="","",SUMIFS(tblIssues[Qty Issued],tblIssues[Lot Number],$B1827))</f>
        <v/>
      </c>
      <c r="N1827" s="26" t="str">
        <f t="shared" si="142"/>
        <v/>
      </c>
      <c r="O1827" s="26" t="str">
        <f t="shared" si="143"/>
        <v/>
      </c>
      <c r="P1827" s="21" t="str">
        <f t="shared" si="144"/>
        <v/>
      </c>
      <c r="Q1827" s="52" t="str">
        <f>IF($A1827="","",IF($O1827&lt;=0,"Depleted",IF($I1827&lt;0,"EXPIRED",IF($I1827&lt;=Settings!$C$6,"CRITICAL",IF($I1827&lt;=Settings!$C$5,"Expiring","In date")))))</f>
        <v/>
      </c>
    </row>
    <row r="1828" spans="1:17" x14ac:dyDescent="0.35">
      <c r="A1828" s="90" t="str">
        <f>IF(Receipts!$D1831="","",Receipts!$D1831)</f>
        <v/>
      </c>
      <c r="B1828" s="18" t="str">
        <f>IF(Receipts!$C1831="","",Receipts!$C1831)</f>
        <v/>
      </c>
      <c r="C1828" s="18" t="str">
        <f>IF($A1828="","",IFERROR(INDEX(Items!$B$5:$B$597,MATCH($A1828,Items!$A$5:$A$597,0)),""))</f>
        <v/>
      </c>
      <c r="D1828" s="23" t="str">
        <f>IF($A1828="","",N(Receipts!$G1831))</f>
        <v/>
      </c>
      <c r="E1828" s="20" t="str">
        <f>IF($A1828="","",IFERROR(INDEX(Items!$D$5:$D$597,MATCH($A1828,Items!$A$5:$A$597,0)),0))</f>
        <v/>
      </c>
      <c r="F1828" s="21" t="str">
        <f t="shared" si="140"/>
        <v/>
      </c>
      <c r="G1828" s="25" t="str">
        <f>IF(Receipts!$I1831="","",Receipts!$I1831)</f>
        <v/>
      </c>
      <c r="H1828" s="25" t="str">
        <f>IF(Receipts!$H1831="","",Receipts!$H1831)</f>
        <v/>
      </c>
      <c r="I1828" s="26" t="str">
        <f t="shared" ca="1" si="141"/>
        <v/>
      </c>
      <c r="J1828" s="26" t="str">
        <f>IF($A1828="","",COUNTIFS(tblReceipts[Item Name],$A1828,tblReceipts[Expiry Date],"&lt;"&amp;$H1828)+COUNTIFS(tblReceipts[Item Name],$A1828,tblReceipts[Expiry Date],$H1828,tblReceipts[Lot Number],"&lt;="&amp;Receipts!$C1831))</f>
        <v/>
      </c>
      <c r="K1828" s="26" t="str">
        <f>IF($A1828="","",SUMIFS(tblReceipts[Qty Received],tblReceipts[Item Name],$A1828,tblReceipts[Expiry Date],"&lt;"&amp;$H1828)+SUMIFS(tblReceipts[Qty Received],tblReceipts[Item Name],$A1828,tblReceipts[Expiry Date],$H1828,tblReceipts[Lot Number],"&lt;"&amp;Receipts!$C1831))</f>
        <v/>
      </c>
      <c r="L1828" s="26" t="str">
        <f>IF($A1828="","",MIN($D1828,MAX(0,SUMIFS(tblIssues[Qty Issued],tblIssues[Item Name],$A1828)-$K1828)))</f>
        <v/>
      </c>
      <c r="M1828" s="26" t="str">
        <f>IF($A1828="","",SUMIFS(tblIssues[Qty Issued],tblIssues[Lot Number],$B1828))</f>
        <v/>
      </c>
      <c r="N1828" s="26" t="str">
        <f t="shared" si="142"/>
        <v/>
      </c>
      <c r="O1828" s="26" t="str">
        <f t="shared" si="143"/>
        <v/>
      </c>
      <c r="P1828" s="21" t="str">
        <f t="shared" si="144"/>
        <v/>
      </c>
      <c r="Q1828" s="52" t="str">
        <f>IF($A1828="","",IF($O1828&lt;=0,"Depleted",IF($I1828&lt;0,"EXPIRED",IF($I1828&lt;=Settings!$C$6,"CRITICAL",IF($I1828&lt;=Settings!$C$5,"Expiring","In date")))))</f>
        <v/>
      </c>
    </row>
    <row r="1829" spans="1:17" x14ac:dyDescent="0.35">
      <c r="A1829" s="90" t="str">
        <f>IF(Receipts!$D1832="","",Receipts!$D1832)</f>
        <v/>
      </c>
      <c r="B1829" s="18" t="str">
        <f>IF(Receipts!$C1832="","",Receipts!$C1832)</f>
        <v/>
      </c>
      <c r="C1829" s="18" t="str">
        <f>IF($A1829="","",IFERROR(INDEX(Items!$B$5:$B$597,MATCH($A1829,Items!$A$5:$A$597,0)),""))</f>
        <v/>
      </c>
      <c r="D1829" s="23" t="str">
        <f>IF($A1829="","",N(Receipts!$G1832))</f>
        <v/>
      </c>
      <c r="E1829" s="20" t="str">
        <f>IF($A1829="","",IFERROR(INDEX(Items!$D$5:$D$597,MATCH($A1829,Items!$A$5:$A$597,0)),0))</f>
        <v/>
      </c>
      <c r="F1829" s="21" t="str">
        <f t="shared" si="140"/>
        <v/>
      </c>
      <c r="G1829" s="25" t="str">
        <f>IF(Receipts!$I1832="","",Receipts!$I1832)</f>
        <v/>
      </c>
      <c r="H1829" s="25" t="str">
        <f>IF(Receipts!$H1832="","",Receipts!$H1832)</f>
        <v/>
      </c>
      <c r="I1829" s="26" t="str">
        <f t="shared" ca="1" si="141"/>
        <v/>
      </c>
      <c r="J1829" s="26" t="str">
        <f>IF($A1829="","",COUNTIFS(tblReceipts[Item Name],$A1829,tblReceipts[Expiry Date],"&lt;"&amp;$H1829)+COUNTIFS(tblReceipts[Item Name],$A1829,tblReceipts[Expiry Date],$H1829,tblReceipts[Lot Number],"&lt;="&amp;Receipts!$C1832))</f>
        <v/>
      </c>
      <c r="K1829" s="26" t="str">
        <f>IF($A1829="","",SUMIFS(tblReceipts[Qty Received],tblReceipts[Item Name],$A1829,tblReceipts[Expiry Date],"&lt;"&amp;$H1829)+SUMIFS(tblReceipts[Qty Received],tblReceipts[Item Name],$A1829,tblReceipts[Expiry Date],$H1829,tblReceipts[Lot Number],"&lt;"&amp;Receipts!$C1832))</f>
        <v/>
      </c>
      <c r="L1829" s="26" t="str">
        <f>IF($A1829="","",MIN($D1829,MAX(0,SUMIFS(tblIssues[Qty Issued],tblIssues[Item Name],$A1829)-$K1829)))</f>
        <v/>
      </c>
      <c r="M1829" s="26" t="str">
        <f>IF($A1829="","",SUMIFS(tblIssues[Qty Issued],tblIssues[Lot Number],$B1829))</f>
        <v/>
      </c>
      <c r="N1829" s="26" t="str">
        <f t="shared" si="142"/>
        <v/>
      </c>
      <c r="O1829" s="26" t="str">
        <f t="shared" si="143"/>
        <v/>
      </c>
      <c r="P1829" s="21" t="str">
        <f t="shared" si="144"/>
        <v/>
      </c>
      <c r="Q1829" s="52" t="str">
        <f>IF($A1829="","",IF($O1829&lt;=0,"Depleted",IF($I1829&lt;0,"EXPIRED",IF($I1829&lt;=Settings!$C$6,"CRITICAL",IF($I1829&lt;=Settings!$C$5,"Expiring","In date")))))</f>
        <v/>
      </c>
    </row>
    <row r="1830" spans="1:17" x14ac:dyDescent="0.35">
      <c r="A1830" s="90" t="str">
        <f>IF(Receipts!$D1833="","",Receipts!$D1833)</f>
        <v/>
      </c>
      <c r="B1830" s="18" t="str">
        <f>IF(Receipts!$C1833="","",Receipts!$C1833)</f>
        <v/>
      </c>
      <c r="C1830" s="18" t="str">
        <f>IF($A1830="","",IFERROR(INDEX(Items!$B$5:$B$597,MATCH($A1830,Items!$A$5:$A$597,0)),""))</f>
        <v/>
      </c>
      <c r="D1830" s="23" t="str">
        <f>IF($A1830="","",N(Receipts!$G1833))</f>
        <v/>
      </c>
      <c r="E1830" s="20" t="str">
        <f>IF($A1830="","",IFERROR(INDEX(Items!$D$5:$D$597,MATCH($A1830,Items!$A$5:$A$597,0)),0))</f>
        <v/>
      </c>
      <c r="F1830" s="21" t="str">
        <f t="shared" si="140"/>
        <v/>
      </c>
      <c r="G1830" s="25" t="str">
        <f>IF(Receipts!$I1833="","",Receipts!$I1833)</f>
        <v/>
      </c>
      <c r="H1830" s="25" t="str">
        <f>IF(Receipts!$H1833="","",Receipts!$H1833)</f>
        <v/>
      </c>
      <c r="I1830" s="26" t="str">
        <f t="shared" ca="1" si="141"/>
        <v/>
      </c>
      <c r="J1830" s="26" t="str">
        <f>IF($A1830="","",COUNTIFS(tblReceipts[Item Name],$A1830,tblReceipts[Expiry Date],"&lt;"&amp;$H1830)+COUNTIFS(tblReceipts[Item Name],$A1830,tblReceipts[Expiry Date],$H1830,tblReceipts[Lot Number],"&lt;="&amp;Receipts!$C1833))</f>
        <v/>
      </c>
      <c r="K1830" s="26" t="str">
        <f>IF($A1830="","",SUMIFS(tblReceipts[Qty Received],tblReceipts[Item Name],$A1830,tblReceipts[Expiry Date],"&lt;"&amp;$H1830)+SUMIFS(tblReceipts[Qty Received],tblReceipts[Item Name],$A1830,tblReceipts[Expiry Date],$H1830,tblReceipts[Lot Number],"&lt;"&amp;Receipts!$C1833))</f>
        <v/>
      </c>
      <c r="L1830" s="26" t="str">
        <f>IF($A1830="","",MIN($D1830,MAX(0,SUMIFS(tblIssues[Qty Issued],tblIssues[Item Name],$A1830)-$K1830)))</f>
        <v/>
      </c>
      <c r="M1830" s="26" t="str">
        <f>IF($A1830="","",SUMIFS(tblIssues[Qty Issued],tblIssues[Lot Number],$B1830))</f>
        <v/>
      </c>
      <c r="N1830" s="26" t="str">
        <f t="shared" si="142"/>
        <v/>
      </c>
      <c r="O1830" s="26" t="str">
        <f t="shared" si="143"/>
        <v/>
      </c>
      <c r="P1830" s="21" t="str">
        <f t="shared" si="144"/>
        <v/>
      </c>
      <c r="Q1830" s="52" t="str">
        <f>IF($A1830="","",IF($O1830&lt;=0,"Depleted",IF($I1830&lt;0,"EXPIRED",IF($I1830&lt;=Settings!$C$6,"CRITICAL",IF($I1830&lt;=Settings!$C$5,"Expiring","In date")))))</f>
        <v/>
      </c>
    </row>
    <row r="1831" spans="1:17" x14ac:dyDescent="0.35">
      <c r="A1831" s="90" t="str">
        <f>IF(Receipts!$D1834="","",Receipts!$D1834)</f>
        <v/>
      </c>
      <c r="B1831" s="18" t="str">
        <f>IF(Receipts!$C1834="","",Receipts!$C1834)</f>
        <v/>
      </c>
      <c r="C1831" s="18" t="str">
        <f>IF($A1831="","",IFERROR(INDEX(Items!$B$5:$B$597,MATCH($A1831,Items!$A$5:$A$597,0)),""))</f>
        <v/>
      </c>
      <c r="D1831" s="23" t="str">
        <f>IF($A1831="","",N(Receipts!$G1834))</f>
        <v/>
      </c>
      <c r="E1831" s="20" t="str">
        <f>IF($A1831="","",IFERROR(INDEX(Items!$D$5:$D$597,MATCH($A1831,Items!$A$5:$A$597,0)),0))</f>
        <v/>
      </c>
      <c r="F1831" s="21" t="str">
        <f t="shared" si="140"/>
        <v/>
      </c>
      <c r="G1831" s="25" t="str">
        <f>IF(Receipts!$I1834="","",Receipts!$I1834)</f>
        <v/>
      </c>
      <c r="H1831" s="25" t="str">
        <f>IF(Receipts!$H1834="","",Receipts!$H1834)</f>
        <v/>
      </c>
      <c r="I1831" s="26" t="str">
        <f t="shared" ca="1" si="141"/>
        <v/>
      </c>
      <c r="J1831" s="26" t="str">
        <f>IF($A1831="","",COUNTIFS(tblReceipts[Item Name],$A1831,tblReceipts[Expiry Date],"&lt;"&amp;$H1831)+COUNTIFS(tblReceipts[Item Name],$A1831,tblReceipts[Expiry Date],$H1831,tblReceipts[Lot Number],"&lt;="&amp;Receipts!$C1834))</f>
        <v/>
      </c>
      <c r="K1831" s="26" t="str">
        <f>IF($A1831="","",SUMIFS(tblReceipts[Qty Received],tblReceipts[Item Name],$A1831,tblReceipts[Expiry Date],"&lt;"&amp;$H1831)+SUMIFS(tblReceipts[Qty Received],tblReceipts[Item Name],$A1831,tblReceipts[Expiry Date],$H1831,tblReceipts[Lot Number],"&lt;"&amp;Receipts!$C1834))</f>
        <v/>
      </c>
      <c r="L1831" s="26" t="str">
        <f>IF($A1831="","",MIN($D1831,MAX(0,SUMIFS(tblIssues[Qty Issued],tblIssues[Item Name],$A1831)-$K1831)))</f>
        <v/>
      </c>
      <c r="M1831" s="26" t="str">
        <f>IF($A1831="","",SUMIFS(tblIssues[Qty Issued],tblIssues[Lot Number],$B1831))</f>
        <v/>
      </c>
      <c r="N1831" s="26" t="str">
        <f t="shared" si="142"/>
        <v/>
      </c>
      <c r="O1831" s="26" t="str">
        <f t="shared" si="143"/>
        <v/>
      </c>
      <c r="P1831" s="21" t="str">
        <f t="shared" si="144"/>
        <v/>
      </c>
      <c r="Q1831" s="52" t="str">
        <f>IF($A1831="","",IF($O1831&lt;=0,"Depleted",IF($I1831&lt;0,"EXPIRED",IF($I1831&lt;=Settings!$C$6,"CRITICAL",IF($I1831&lt;=Settings!$C$5,"Expiring","In date")))))</f>
        <v/>
      </c>
    </row>
    <row r="1832" spans="1:17" x14ac:dyDescent="0.35">
      <c r="A1832" s="90" t="str">
        <f>IF(Receipts!$D1835="","",Receipts!$D1835)</f>
        <v/>
      </c>
      <c r="B1832" s="18" t="str">
        <f>IF(Receipts!$C1835="","",Receipts!$C1835)</f>
        <v/>
      </c>
      <c r="C1832" s="18" t="str">
        <f>IF($A1832="","",IFERROR(INDEX(Items!$B$5:$B$597,MATCH($A1832,Items!$A$5:$A$597,0)),""))</f>
        <v/>
      </c>
      <c r="D1832" s="23" t="str">
        <f>IF($A1832="","",N(Receipts!$G1835))</f>
        <v/>
      </c>
      <c r="E1832" s="20" t="str">
        <f>IF($A1832="","",IFERROR(INDEX(Items!$D$5:$D$597,MATCH($A1832,Items!$A$5:$A$597,0)),0))</f>
        <v/>
      </c>
      <c r="F1832" s="21" t="str">
        <f t="shared" si="140"/>
        <v/>
      </c>
      <c r="G1832" s="25" t="str">
        <f>IF(Receipts!$I1835="","",Receipts!$I1835)</f>
        <v/>
      </c>
      <c r="H1832" s="25" t="str">
        <f>IF(Receipts!$H1835="","",Receipts!$H1835)</f>
        <v/>
      </c>
      <c r="I1832" s="26" t="str">
        <f t="shared" ca="1" si="141"/>
        <v/>
      </c>
      <c r="J1832" s="26" t="str">
        <f>IF($A1832="","",COUNTIFS(tblReceipts[Item Name],$A1832,tblReceipts[Expiry Date],"&lt;"&amp;$H1832)+COUNTIFS(tblReceipts[Item Name],$A1832,tblReceipts[Expiry Date],$H1832,tblReceipts[Lot Number],"&lt;="&amp;Receipts!$C1835))</f>
        <v/>
      </c>
      <c r="K1832" s="26" t="str">
        <f>IF($A1832="","",SUMIFS(tblReceipts[Qty Received],tblReceipts[Item Name],$A1832,tblReceipts[Expiry Date],"&lt;"&amp;$H1832)+SUMIFS(tblReceipts[Qty Received],tblReceipts[Item Name],$A1832,tblReceipts[Expiry Date],$H1832,tblReceipts[Lot Number],"&lt;"&amp;Receipts!$C1835))</f>
        <v/>
      </c>
      <c r="L1832" s="26" t="str">
        <f>IF($A1832="","",MIN($D1832,MAX(0,SUMIFS(tblIssues[Qty Issued],tblIssues[Item Name],$A1832)-$K1832)))</f>
        <v/>
      </c>
      <c r="M1832" s="26" t="str">
        <f>IF($A1832="","",SUMIFS(tblIssues[Qty Issued],tblIssues[Lot Number],$B1832))</f>
        <v/>
      </c>
      <c r="N1832" s="26" t="str">
        <f t="shared" si="142"/>
        <v/>
      </c>
      <c r="O1832" s="26" t="str">
        <f t="shared" si="143"/>
        <v/>
      </c>
      <c r="P1832" s="21" t="str">
        <f t="shared" si="144"/>
        <v/>
      </c>
      <c r="Q1832" s="52" t="str">
        <f>IF($A1832="","",IF($O1832&lt;=0,"Depleted",IF($I1832&lt;0,"EXPIRED",IF($I1832&lt;=Settings!$C$6,"CRITICAL",IF($I1832&lt;=Settings!$C$5,"Expiring","In date")))))</f>
        <v/>
      </c>
    </row>
    <row r="1833" spans="1:17" x14ac:dyDescent="0.35">
      <c r="A1833" s="90" t="str">
        <f>IF(Receipts!$D1836="","",Receipts!$D1836)</f>
        <v/>
      </c>
      <c r="B1833" s="18" t="str">
        <f>IF(Receipts!$C1836="","",Receipts!$C1836)</f>
        <v/>
      </c>
      <c r="C1833" s="18" t="str">
        <f>IF($A1833="","",IFERROR(INDEX(Items!$B$5:$B$597,MATCH($A1833,Items!$A$5:$A$597,0)),""))</f>
        <v/>
      </c>
      <c r="D1833" s="23" t="str">
        <f>IF($A1833="","",N(Receipts!$G1836))</f>
        <v/>
      </c>
      <c r="E1833" s="20" t="str">
        <f>IF($A1833="","",IFERROR(INDEX(Items!$D$5:$D$597,MATCH($A1833,Items!$A$5:$A$597,0)),0))</f>
        <v/>
      </c>
      <c r="F1833" s="21" t="str">
        <f t="shared" si="140"/>
        <v/>
      </c>
      <c r="G1833" s="25" t="str">
        <f>IF(Receipts!$I1836="","",Receipts!$I1836)</f>
        <v/>
      </c>
      <c r="H1833" s="25" t="str">
        <f>IF(Receipts!$H1836="","",Receipts!$H1836)</f>
        <v/>
      </c>
      <c r="I1833" s="26" t="str">
        <f t="shared" ca="1" si="141"/>
        <v/>
      </c>
      <c r="J1833" s="26" t="str">
        <f>IF($A1833="","",COUNTIFS(tblReceipts[Item Name],$A1833,tblReceipts[Expiry Date],"&lt;"&amp;$H1833)+COUNTIFS(tblReceipts[Item Name],$A1833,tblReceipts[Expiry Date],$H1833,tblReceipts[Lot Number],"&lt;="&amp;Receipts!$C1836))</f>
        <v/>
      </c>
      <c r="K1833" s="26" t="str">
        <f>IF($A1833="","",SUMIFS(tblReceipts[Qty Received],tblReceipts[Item Name],$A1833,tblReceipts[Expiry Date],"&lt;"&amp;$H1833)+SUMIFS(tblReceipts[Qty Received],tblReceipts[Item Name],$A1833,tblReceipts[Expiry Date],$H1833,tblReceipts[Lot Number],"&lt;"&amp;Receipts!$C1836))</f>
        <v/>
      </c>
      <c r="L1833" s="26" t="str">
        <f>IF($A1833="","",MIN($D1833,MAX(0,SUMIFS(tblIssues[Qty Issued],tblIssues[Item Name],$A1833)-$K1833)))</f>
        <v/>
      </c>
      <c r="M1833" s="26" t="str">
        <f>IF($A1833="","",SUMIFS(tblIssues[Qty Issued],tblIssues[Lot Number],$B1833))</f>
        <v/>
      </c>
      <c r="N1833" s="26" t="str">
        <f t="shared" si="142"/>
        <v/>
      </c>
      <c r="O1833" s="26" t="str">
        <f t="shared" si="143"/>
        <v/>
      </c>
      <c r="P1833" s="21" t="str">
        <f t="shared" si="144"/>
        <v/>
      </c>
      <c r="Q1833" s="52" t="str">
        <f>IF($A1833="","",IF($O1833&lt;=0,"Depleted",IF($I1833&lt;0,"EXPIRED",IF($I1833&lt;=Settings!$C$6,"CRITICAL",IF($I1833&lt;=Settings!$C$5,"Expiring","In date")))))</f>
        <v/>
      </c>
    </row>
    <row r="1834" spans="1:17" x14ac:dyDescent="0.35">
      <c r="A1834" s="90" t="str">
        <f>IF(Receipts!$D1837="","",Receipts!$D1837)</f>
        <v/>
      </c>
      <c r="B1834" s="18" t="str">
        <f>IF(Receipts!$C1837="","",Receipts!$C1837)</f>
        <v/>
      </c>
      <c r="C1834" s="18" t="str">
        <f>IF($A1834="","",IFERROR(INDEX(Items!$B$5:$B$597,MATCH($A1834,Items!$A$5:$A$597,0)),""))</f>
        <v/>
      </c>
      <c r="D1834" s="23" t="str">
        <f>IF($A1834="","",N(Receipts!$G1837))</f>
        <v/>
      </c>
      <c r="E1834" s="20" t="str">
        <f>IF($A1834="","",IFERROR(INDEX(Items!$D$5:$D$597,MATCH($A1834,Items!$A$5:$A$597,0)),0))</f>
        <v/>
      </c>
      <c r="F1834" s="21" t="str">
        <f t="shared" si="140"/>
        <v/>
      </c>
      <c r="G1834" s="25" t="str">
        <f>IF(Receipts!$I1837="","",Receipts!$I1837)</f>
        <v/>
      </c>
      <c r="H1834" s="25" t="str">
        <f>IF(Receipts!$H1837="","",Receipts!$H1837)</f>
        <v/>
      </c>
      <c r="I1834" s="26" t="str">
        <f t="shared" ca="1" si="141"/>
        <v/>
      </c>
      <c r="J1834" s="26" t="str">
        <f>IF($A1834="","",COUNTIFS(tblReceipts[Item Name],$A1834,tblReceipts[Expiry Date],"&lt;"&amp;$H1834)+COUNTIFS(tblReceipts[Item Name],$A1834,tblReceipts[Expiry Date],$H1834,tblReceipts[Lot Number],"&lt;="&amp;Receipts!$C1837))</f>
        <v/>
      </c>
      <c r="K1834" s="26" t="str">
        <f>IF($A1834="","",SUMIFS(tblReceipts[Qty Received],tblReceipts[Item Name],$A1834,tblReceipts[Expiry Date],"&lt;"&amp;$H1834)+SUMIFS(tblReceipts[Qty Received],tblReceipts[Item Name],$A1834,tblReceipts[Expiry Date],$H1834,tblReceipts[Lot Number],"&lt;"&amp;Receipts!$C1837))</f>
        <v/>
      </c>
      <c r="L1834" s="26" t="str">
        <f>IF($A1834="","",MIN($D1834,MAX(0,SUMIFS(tblIssues[Qty Issued],tblIssues[Item Name],$A1834)-$K1834)))</f>
        <v/>
      </c>
      <c r="M1834" s="26" t="str">
        <f>IF($A1834="","",SUMIFS(tblIssues[Qty Issued],tblIssues[Lot Number],$B1834))</f>
        <v/>
      </c>
      <c r="N1834" s="26" t="str">
        <f t="shared" si="142"/>
        <v/>
      </c>
      <c r="O1834" s="26" t="str">
        <f t="shared" si="143"/>
        <v/>
      </c>
      <c r="P1834" s="21" t="str">
        <f t="shared" si="144"/>
        <v/>
      </c>
      <c r="Q1834" s="52" t="str">
        <f>IF($A1834="","",IF($O1834&lt;=0,"Depleted",IF($I1834&lt;0,"EXPIRED",IF($I1834&lt;=Settings!$C$6,"CRITICAL",IF($I1834&lt;=Settings!$C$5,"Expiring","In date")))))</f>
        <v/>
      </c>
    </row>
    <row r="1835" spans="1:17" x14ac:dyDescent="0.35">
      <c r="A1835" s="90" t="str">
        <f>IF(Receipts!$D1838="","",Receipts!$D1838)</f>
        <v/>
      </c>
      <c r="B1835" s="18" t="str">
        <f>IF(Receipts!$C1838="","",Receipts!$C1838)</f>
        <v/>
      </c>
      <c r="C1835" s="18" t="str">
        <f>IF($A1835="","",IFERROR(INDEX(Items!$B$5:$B$597,MATCH($A1835,Items!$A$5:$A$597,0)),""))</f>
        <v/>
      </c>
      <c r="D1835" s="23" t="str">
        <f>IF($A1835="","",N(Receipts!$G1838))</f>
        <v/>
      </c>
      <c r="E1835" s="20" t="str">
        <f>IF($A1835="","",IFERROR(INDEX(Items!$D$5:$D$597,MATCH($A1835,Items!$A$5:$A$597,0)),0))</f>
        <v/>
      </c>
      <c r="F1835" s="21" t="str">
        <f t="shared" si="140"/>
        <v/>
      </c>
      <c r="G1835" s="25" t="str">
        <f>IF(Receipts!$I1838="","",Receipts!$I1838)</f>
        <v/>
      </c>
      <c r="H1835" s="25" t="str">
        <f>IF(Receipts!$H1838="","",Receipts!$H1838)</f>
        <v/>
      </c>
      <c r="I1835" s="26" t="str">
        <f t="shared" ca="1" si="141"/>
        <v/>
      </c>
      <c r="J1835" s="26" t="str">
        <f>IF($A1835="","",COUNTIFS(tblReceipts[Item Name],$A1835,tblReceipts[Expiry Date],"&lt;"&amp;$H1835)+COUNTIFS(tblReceipts[Item Name],$A1835,tblReceipts[Expiry Date],$H1835,tblReceipts[Lot Number],"&lt;="&amp;Receipts!$C1838))</f>
        <v/>
      </c>
      <c r="K1835" s="26" t="str">
        <f>IF($A1835="","",SUMIFS(tblReceipts[Qty Received],tblReceipts[Item Name],$A1835,tblReceipts[Expiry Date],"&lt;"&amp;$H1835)+SUMIFS(tblReceipts[Qty Received],tblReceipts[Item Name],$A1835,tblReceipts[Expiry Date],$H1835,tblReceipts[Lot Number],"&lt;"&amp;Receipts!$C1838))</f>
        <v/>
      </c>
      <c r="L1835" s="26" t="str">
        <f>IF($A1835="","",MIN($D1835,MAX(0,SUMIFS(tblIssues[Qty Issued],tblIssues[Item Name],$A1835)-$K1835)))</f>
        <v/>
      </c>
      <c r="M1835" s="26" t="str">
        <f>IF($A1835="","",SUMIFS(tblIssues[Qty Issued],tblIssues[Lot Number],$B1835))</f>
        <v/>
      </c>
      <c r="N1835" s="26" t="str">
        <f t="shared" si="142"/>
        <v/>
      </c>
      <c r="O1835" s="26" t="str">
        <f t="shared" si="143"/>
        <v/>
      </c>
      <c r="P1835" s="21" t="str">
        <f t="shared" si="144"/>
        <v/>
      </c>
      <c r="Q1835" s="52" t="str">
        <f>IF($A1835="","",IF($O1835&lt;=0,"Depleted",IF($I1835&lt;0,"EXPIRED",IF($I1835&lt;=Settings!$C$6,"CRITICAL",IF($I1835&lt;=Settings!$C$5,"Expiring","In date")))))</f>
        <v/>
      </c>
    </row>
    <row r="1836" spans="1:17" x14ac:dyDescent="0.35">
      <c r="A1836" s="90" t="str">
        <f>IF(Receipts!$D1839="","",Receipts!$D1839)</f>
        <v/>
      </c>
      <c r="B1836" s="18" t="str">
        <f>IF(Receipts!$C1839="","",Receipts!$C1839)</f>
        <v/>
      </c>
      <c r="C1836" s="18" t="str">
        <f>IF($A1836="","",IFERROR(INDEX(Items!$B$5:$B$597,MATCH($A1836,Items!$A$5:$A$597,0)),""))</f>
        <v/>
      </c>
      <c r="D1836" s="23" t="str">
        <f>IF($A1836="","",N(Receipts!$G1839))</f>
        <v/>
      </c>
      <c r="E1836" s="20" t="str">
        <f>IF($A1836="","",IFERROR(INDEX(Items!$D$5:$D$597,MATCH($A1836,Items!$A$5:$A$597,0)),0))</f>
        <v/>
      </c>
      <c r="F1836" s="21" t="str">
        <f t="shared" si="140"/>
        <v/>
      </c>
      <c r="G1836" s="25" t="str">
        <f>IF(Receipts!$I1839="","",Receipts!$I1839)</f>
        <v/>
      </c>
      <c r="H1836" s="25" t="str">
        <f>IF(Receipts!$H1839="","",Receipts!$H1839)</f>
        <v/>
      </c>
      <c r="I1836" s="26" t="str">
        <f t="shared" ca="1" si="141"/>
        <v/>
      </c>
      <c r="J1836" s="26" t="str">
        <f>IF($A1836="","",COUNTIFS(tblReceipts[Item Name],$A1836,tblReceipts[Expiry Date],"&lt;"&amp;$H1836)+COUNTIFS(tblReceipts[Item Name],$A1836,tblReceipts[Expiry Date],$H1836,tblReceipts[Lot Number],"&lt;="&amp;Receipts!$C1839))</f>
        <v/>
      </c>
      <c r="K1836" s="26" t="str">
        <f>IF($A1836="","",SUMIFS(tblReceipts[Qty Received],tblReceipts[Item Name],$A1836,tblReceipts[Expiry Date],"&lt;"&amp;$H1836)+SUMIFS(tblReceipts[Qty Received],tblReceipts[Item Name],$A1836,tblReceipts[Expiry Date],$H1836,tblReceipts[Lot Number],"&lt;"&amp;Receipts!$C1839))</f>
        <v/>
      </c>
      <c r="L1836" s="26" t="str">
        <f>IF($A1836="","",MIN($D1836,MAX(0,SUMIFS(tblIssues[Qty Issued],tblIssues[Item Name],$A1836)-$K1836)))</f>
        <v/>
      </c>
      <c r="M1836" s="26" t="str">
        <f>IF($A1836="","",SUMIFS(tblIssues[Qty Issued],tblIssues[Lot Number],$B1836))</f>
        <v/>
      </c>
      <c r="N1836" s="26" t="str">
        <f t="shared" si="142"/>
        <v/>
      </c>
      <c r="O1836" s="26" t="str">
        <f t="shared" si="143"/>
        <v/>
      </c>
      <c r="P1836" s="21" t="str">
        <f t="shared" si="144"/>
        <v/>
      </c>
      <c r="Q1836" s="52" t="str">
        <f>IF($A1836="","",IF($O1836&lt;=0,"Depleted",IF($I1836&lt;0,"EXPIRED",IF($I1836&lt;=Settings!$C$6,"CRITICAL",IF($I1836&lt;=Settings!$C$5,"Expiring","In date")))))</f>
        <v/>
      </c>
    </row>
    <row r="1837" spans="1:17" x14ac:dyDescent="0.35">
      <c r="A1837" s="90" t="str">
        <f>IF(Receipts!$D1840="","",Receipts!$D1840)</f>
        <v/>
      </c>
      <c r="B1837" s="18" t="str">
        <f>IF(Receipts!$C1840="","",Receipts!$C1840)</f>
        <v/>
      </c>
      <c r="C1837" s="18" t="str">
        <f>IF($A1837="","",IFERROR(INDEX(Items!$B$5:$B$597,MATCH($A1837,Items!$A$5:$A$597,0)),""))</f>
        <v/>
      </c>
      <c r="D1837" s="23" t="str">
        <f>IF($A1837="","",N(Receipts!$G1840))</f>
        <v/>
      </c>
      <c r="E1837" s="20" t="str">
        <f>IF($A1837="","",IFERROR(INDEX(Items!$D$5:$D$597,MATCH($A1837,Items!$A$5:$A$597,0)),0))</f>
        <v/>
      </c>
      <c r="F1837" s="21" t="str">
        <f t="shared" si="140"/>
        <v/>
      </c>
      <c r="G1837" s="25" t="str">
        <f>IF(Receipts!$I1840="","",Receipts!$I1840)</f>
        <v/>
      </c>
      <c r="H1837" s="25" t="str">
        <f>IF(Receipts!$H1840="","",Receipts!$H1840)</f>
        <v/>
      </c>
      <c r="I1837" s="26" t="str">
        <f t="shared" ca="1" si="141"/>
        <v/>
      </c>
      <c r="J1837" s="26" t="str">
        <f>IF($A1837="","",COUNTIFS(tblReceipts[Item Name],$A1837,tblReceipts[Expiry Date],"&lt;"&amp;$H1837)+COUNTIFS(tblReceipts[Item Name],$A1837,tblReceipts[Expiry Date],$H1837,tblReceipts[Lot Number],"&lt;="&amp;Receipts!$C1840))</f>
        <v/>
      </c>
      <c r="K1837" s="26" t="str">
        <f>IF($A1837="","",SUMIFS(tblReceipts[Qty Received],tblReceipts[Item Name],$A1837,tblReceipts[Expiry Date],"&lt;"&amp;$H1837)+SUMIFS(tblReceipts[Qty Received],tblReceipts[Item Name],$A1837,tblReceipts[Expiry Date],$H1837,tblReceipts[Lot Number],"&lt;"&amp;Receipts!$C1840))</f>
        <v/>
      </c>
      <c r="L1837" s="26" t="str">
        <f>IF($A1837="","",MIN($D1837,MAX(0,SUMIFS(tblIssues[Qty Issued],tblIssues[Item Name],$A1837)-$K1837)))</f>
        <v/>
      </c>
      <c r="M1837" s="26" t="str">
        <f>IF($A1837="","",SUMIFS(tblIssues[Qty Issued],tblIssues[Lot Number],$B1837))</f>
        <v/>
      </c>
      <c r="N1837" s="26" t="str">
        <f t="shared" si="142"/>
        <v/>
      </c>
      <c r="O1837" s="26" t="str">
        <f t="shared" si="143"/>
        <v/>
      </c>
      <c r="P1837" s="21" t="str">
        <f t="shared" si="144"/>
        <v/>
      </c>
      <c r="Q1837" s="52" t="str">
        <f>IF($A1837="","",IF($O1837&lt;=0,"Depleted",IF($I1837&lt;0,"EXPIRED",IF($I1837&lt;=Settings!$C$6,"CRITICAL",IF($I1837&lt;=Settings!$C$5,"Expiring","In date")))))</f>
        <v/>
      </c>
    </row>
    <row r="1838" spans="1:17" x14ac:dyDescent="0.35">
      <c r="A1838" s="90" t="str">
        <f>IF(Receipts!$D1841="","",Receipts!$D1841)</f>
        <v/>
      </c>
      <c r="B1838" s="18" t="str">
        <f>IF(Receipts!$C1841="","",Receipts!$C1841)</f>
        <v/>
      </c>
      <c r="C1838" s="18" t="str">
        <f>IF($A1838="","",IFERROR(INDEX(Items!$B$5:$B$597,MATCH($A1838,Items!$A$5:$A$597,0)),""))</f>
        <v/>
      </c>
      <c r="D1838" s="23" t="str">
        <f>IF($A1838="","",N(Receipts!$G1841))</f>
        <v/>
      </c>
      <c r="E1838" s="20" t="str">
        <f>IF($A1838="","",IFERROR(INDEX(Items!$D$5:$D$597,MATCH($A1838,Items!$A$5:$A$597,0)),0))</f>
        <v/>
      </c>
      <c r="F1838" s="21" t="str">
        <f t="shared" si="140"/>
        <v/>
      </c>
      <c r="G1838" s="25" t="str">
        <f>IF(Receipts!$I1841="","",Receipts!$I1841)</f>
        <v/>
      </c>
      <c r="H1838" s="25" t="str">
        <f>IF(Receipts!$H1841="","",Receipts!$H1841)</f>
        <v/>
      </c>
      <c r="I1838" s="26" t="str">
        <f t="shared" ca="1" si="141"/>
        <v/>
      </c>
      <c r="J1838" s="26" t="str">
        <f>IF($A1838="","",COUNTIFS(tblReceipts[Item Name],$A1838,tblReceipts[Expiry Date],"&lt;"&amp;$H1838)+COUNTIFS(tblReceipts[Item Name],$A1838,tblReceipts[Expiry Date],$H1838,tblReceipts[Lot Number],"&lt;="&amp;Receipts!$C1841))</f>
        <v/>
      </c>
      <c r="K1838" s="26" t="str">
        <f>IF($A1838="","",SUMIFS(tblReceipts[Qty Received],tblReceipts[Item Name],$A1838,tblReceipts[Expiry Date],"&lt;"&amp;$H1838)+SUMIFS(tblReceipts[Qty Received],tblReceipts[Item Name],$A1838,tblReceipts[Expiry Date],$H1838,tblReceipts[Lot Number],"&lt;"&amp;Receipts!$C1841))</f>
        <v/>
      </c>
      <c r="L1838" s="26" t="str">
        <f>IF($A1838="","",MIN($D1838,MAX(0,SUMIFS(tblIssues[Qty Issued],tblIssues[Item Name],$A1838)-$K1838)))</f>
        <v/>
      </c>
      <c r="M1838" s="26" t="str">
        <f>IF($A1838="","",SUMIFS(tblIssues[Qty Issued],tblIssues[Lot Number],$B1838))</f>
        <v/>
      </c>
      <c r="N1838" s="26" t="str">
        <f t="shared" si="142"/>
        <v/>
      </c>
      <c r="O1838" s="26" t="str">
        <f t="shared" si="143"/>
        <v/>
      </c>
      <c r="P1838" s="21" t="str">
        <f t="shared" si="144"/>
        <v/>
      </c>
      <c r="Q1838" s="52" t="str">
        <f>IF($A1838="","",IF($O1838&lt;=0,"Depleted",IF($I1838&lt;0,"EXPIRED",IF($I1838&lt;=Settings!$C$6,"CRITICAL",IF($I1838&lt;=Settings!$C$5,"Expiring","In date")))))</f>
        <v/>
      </c>
    </row>
    <row r="1839" spans="1:17" x14ac:dyDescent="0.35">
      <c r="A1839" s="90" t="str">
        <f>IF(Receipts!$D1842="","",Receipts!$D1842)</f>
        <v/>
      </c>
      <c r="B1839" s="18" t="str">
        <f>IF(Receipts!$C1842="","",Receipts!$C1842)</f>
        <v/>
      </c>
      <c r="C1839" s="18" t="str">
        <f>IF($A1839="","",IFERROR(INDEX(Items!$B$5:$B$597,MATCH($A1839,Items!$A$5:$A$597,0)),""))</f>
        <v/>
      </c>
      <c r="D1839" s="23" t="str">
        <f>IF($A1839="","",N(Receipts!$G1842))</f>
        <v/>
      </c>
      <c r="E1839" s="20" t="str">
        <f>IF($A1839="","",IFERROR(INDEX(Items!$D$5:$D$597,MATCH($A1839,Items!$A$5:$A$597,0)),0))</f>
        <v/>
      </c>
      <c r="F1839" s="21" t="str">
        <f t="shared" si="140"/>
        <v/>
      </c>
      <c r="G1839" s="25" t="str">
        <f>IF(Receipts!$I1842="","",Receipts!$I1842)</f>
        <v/>
      </c>
      <c r="H1839" s="25" t="str">
        <f>IF(Receipts!$H1842="","",Receipts!$H1842)</f>
        <v/>
      </c>
      <c r="I1839" s="26" t="str">
        <f t="shared" ca="1" si="141"/>
        <v/>
      </c>
      <c r="J1839" s="26" t="str">
        <f>IF($A1839="","",COUNTIFS(tblReceipts[Item Name],$A1839,tblReceipts[Expiry Date],"&lt;"&amp;$H1839)+COUNTIFS(tblReceipts[Item Name],$A1839,tblReceipts[Expiry Date],$H1839,tblReceipts[Lot Number],"&lt;="&amp;Receipts!$C1842))</f>
        <v/>
      </c>
      <c r="K1839" s="26" t="str">
        <f>IF($A1839="","",SUMIFS(tblReceipts[Qty Received],tblReceipts[Item Name],$A1839,tblReceipts[Expiry Date],"&lt;"&amp;$H1839)+SUMIFS(tblReceipts[Qty Received],tblReceipts[Item Name],$A1839,tblReceipts[Expiry Date],$H1839,tblReceipts[Lot Number],"&lt;"&amp;Receipts!$C1842))</f>
        <v/>
      </c>
      <c r="L1839" s="26" t="str">
        <f>IF($A1839="","",MIN($D1839,MAX(0,SUMIFS(tblIssues[Qty Issued],tblIssues[Item Name],$A1839)-$K1839)))</f>
        <v/>
      </c>
      <c r="M1839" s="26" t="str">
        <f>IF($A1839="","",SUMIFS(tblIssues[Qty Issued],tblIssues[Lot Number],$B1839))</f>
        <v/>
      </c>
      <c r="N1839" s="26" t="str">
        <f t="shared" si="142"/>
        <v/>
      </c>
      <c r="O1839" s="26" t="str">
        <f t="shared" si="143"/>
        <v/>
      </c>
      <c r="P1839" s="21" t="str">
        <f t="shared" si="144"/>
        <v/>
      </c>
      <c r="Q1839" s="52" t="str">
        <f>IF($A1839="","",IF($O1839&lt;=0,"Depleted",IF($I1839&lt;0,"EXPIRED",IF($I1839&lt;=Settings!$C$6,"CRITICAL",IF($I1839&lt;=Settings!$C$5,"Expiring","In date")))))</f>
        <v/>
      </c>
    </row>
    <row r="1840" spans="1:17" x14ac:dyDescent="0.35">
      <c r="A1840" s="90" t="str">
        <f>IF(Receipts!$D1843="","",Receipts!$D1843)</f>
        <v/>
      </c>
      <c r="B1840" s="18" t="str">
        <f>IF(Receipts!$C1843="","",Receipts!$C1843)</f>
        <v/>
      </c>
      <c r="C1840" s="18" t="str">
        <f>IF($A1840="","",IFERROR(INDEX(Items!$B$5:$B$597,MATCH($A1840,Items!$A$5:$A$597,0)),""))</f>
        <v/>
      </c>
      <c r="D1840" s="23" t="str">
        <f>IF($A1840="","",N(Receipts!$G1843))</f>
        <v/>
      </c>
      <c r="E1840" s="20" t="str">
        <f>IF($A1840="","",IFERROR(INDEX(Items!$D$5:$D$597,MATCH($A1840,Items!$A$5:$A$597,0)),0))</f>
        <v/>
      </c>
      <c r="F1840" s="21" t="str">
        <f t="shared" si="140"/>
        <v/>
      </c>
      <c r="G1840" s="25" t="str">
        <f>IF(Receipts!$I1843="","",Receipts!$I1843)</f>
        <v/>
      </c>
      <c r="H1840" s="25" t="str">
        <f>IF(Receipts!$H1843="","",Receipts!$H1843)</f>
        <v/>
      </c>
      <c r="I1840" s="26" t="str">
        <f t="shared" ca="1" si="141"/>
        <v/>
      </c>
      <c r="J1840" s="26" t="str">
        <f>IF($A1840="","",COUNTIFS(tblReceipts[Item Name],$A1840,tblReceipts[Expiry Date],"&lt;"&amp;$H1840)+COUNTIFS(tblReceipts[Item Name],$A1840,tblReceipts[Expiry Date],$H1840,tblReceipts[Lot Number],"&lt;="&amp;Receipts!$C1843))</f>
        <v/>
      </c>
      <c r="K1840" s="26" t="str">
        <f>IF($A1840="","",SUMIFS(tblReceipts[Qty Received],tblReceipts[Item Name],$A1840,tblReceipts[Expiry Date],"&lt;"&amp;$H1840)+SUMIFS(tblReceipts[Qty Received],tblReceipts[Item Name],$A1840,tblReceipts[Expiry Date],$H1840,tblReceipts[Lot Number],"&lt;"&amp;Receipts!$C1843))</f>
        <v/>
      </c>
      <c r="L1840" s="26" t="str">
        <f>IF($A1840="","",MIN($D1840,MAX(0,SUMIFS(tblIssues[Qty Issued],tblIssues[Item Name],$A1840)-$K1840)))</f>
        <v/>
      </c>
      <c r="M1840" s="26" t="str">
        <f>IF($A1840="","",SUMIFS(tblIssues[Qty Issued],tblIssues[Lot Number],$B1840))</f>
        <v/>
      </c>
      <c r="N1840" s="26" t="str">
        <f t="shared" si="142"/>
        <v/>
      </c>
      <c r="O1840" s="26" t="str">
        <f t="shared" si="143"/>
        <v/>
      </c>
      <c r="P1840" s="21" t="str">
        <f t="shared" si="144"/>
        <v/>
      </c>
      <c r="Q1840" s="52" t="str">
        <f>IF($A1840="","",IF($O1840&lt;=0,"Depleted",IF($I1840&lt;0,"EXPIRED",IF($I1840&lt;=Settings!$C$6,"CRITICAL",IF($I1840&lt;=Settings!$C$5,"Expiring","In date")))))</f>
        <v/>
      </c>
    </row>
    <row r="1841" spans="1:17" x14ac:dyDescent="0.35">
      <c r="A1841" s="90" t="str">
        <f>IF(Receipts!$D1844="","",Receipts!$D1844)</f>
        <v/>
      </c>
      <c r="B1841" s="18" t="str">
        <f>IF(Receipts!$C1844="","",Receipts!$C1844)</f>
        <v/>
      </c>
      <c r="C1841" s="18" t="str">
        <f>IF($A1841="","",IFERROR(INDEX(Items!$B$5:$B$597,MATCH($A1841,Items!$A$5:$A$597,0)),""))</f>
        <v/>
      </c>
      <c r="D1841" s="23" t="str">
        <f>IF($A1841="","",N(Receipts!$G1844))</f>
        <v/>
      </c>
      <c r="E1841" s="20" t="str">
        <f>IF($A1841="","",IFERROR(INDEX(Items!$D$5:$D$597,MATCH($A1841,Items!$A$5:$A$597,0)),0))</f>
        <v/>
      </c>
      <c r="F1841" s="21" t="str">
        <f t="shared" si="140"/>
        <v/>
      </c>
      <c r="G1841" s="25" t="str">
        <f>IF(Receipts!$I1844="","",Receipts!$I1844)</f>
        <v/>
      </c>
      <c r="H1841" s="25" t="str">
        <f>IF(Receipts!$H1844="","",Receipts!$H1844)</f>
        <v/>
      </c>
      <c r="I1841" s="26" t="str">
        <f t="shared" ca="1" si="141"/>
        <v/>
      </c>
      <c r="J1841" s="26" t="str">
        <f>IF($A1841="","",COUNTIFS(tblReceipts[Item Name],$A1841,tblReceipts[Expiry Date],"&lt;"&amp;$H1841)+COUNTIFS(tblReceipts[Item Name],$A1841,tblReceipts[Expiry Date],$H1841,tblReceipts[Lot Number],"&lt;="&amp;Receipts!$C1844))</f>
        <v/>
      </c>
      <c r="K1841" s="26" t="str">
        <f>IF($A1841="","",SUMIFS(tblReceipts[Qty Received],tblReceipts[Item Name],$A1841,tblReceipts[Expiry Date],"&lt;"&amp;$H1841)+SUMIFS(tblReceipts[Qty Received],tblReceipts[Item Name],$A1841,tblReceipts[Expiry Date],$H1841,tblReceipts[Lot Number],"&lt;"&amp;Receipts!$C1844))</f>
        <v/>
      </c>
      <c r="L1841" s="26" t="str">
        <f>IF($A1841="","",MIN($D1841,MAX(0,SUMIFS(tblIssues[Qty Issued],tblIssues[Item Name],$A1841)-$K1841)))</f>
        <v/>
      </c>
      <c r="M1841" s="26" t="str">
        <f>IF($A1841="","",SUMIFS(tblIssues[Qty Issued],tblIssues[Lot Number],$B1841))</f>
        <v/>
      </c>
      <c r="N1841" s="26" t="str">
        <f t="shared" si="142"/>
        <v/>
      </c>
      <c r="O1841" s="26" t="str">
        <f t="shared" si="143"/>
        <v/>
      </c>
      <c r="P1841" s="21" t="str">
        <f t="shared" si="144"/>
        <v/>
      </c>
      <c r="Q1841" s="52" t="str">
        <f>IF($A1841="","",IF($O1841&lt;=0,"Depleted",IF($I1841&lt;0,"EXPIRED",IF($I1841&lt;=Settings!$C$6,"CRITICAL",IF($I1841&lt;=Settings!$C$5,"Expiring","In date")))))</f>
        <v/>
      </c>
    </row>
    <row r="1842" spans="1:17" x14ac:dyDescent="0.35">
      <c r="A1842" s="90" t="str">
        <f>IF(Receipts!$D1845="","",Receipts!$D1845)</f>
        <v/>
      </c>
      <c r="B1842" s="18" t="str">
        <f>IF(Receipts!$C1845="","",Receipts!$C1845)</f>
        <v/>
      </c>
      <c r="C1842" s="18" t="str">
        <f>IF($A1842="","",IFERROR(INDEX(Items!$B$5:$B$597,MATCH($A1842,Items!$A$5:$A$597,0)),""))</f>
        <v/>
      </c>
      <c r="D1842" s="23" t="str">
        <f>IF($A1842="","",N(Receipts!$G1845))</f>
        <v/>
      </c>
      <c r="E1842" s="20" t="str">
        <f>IF($A1842="","",IFERROR(INDEX(Items!$D$5:$D$597,MATCH($A1842,Items!$A$5:$A$597,0)),0))</f>
        <v/>
      </c>
      <c r="F1842" s="21" t="str">
        <f t="shared" si="140"/>
        <v/>
      </c>
      <c r="G1842" s="25" t="str">
        <f>IF(Receipts!$I1845="","",Receipts!$I1845)</f>
        <v/>
      </c>
      <c r="H1842" s="25" t="str">
        <f>IF(Receipts!$H1845="","",Receipts!$H1845)</f>
        <v/>
      </c>
      <c r="I1842" s="26" t="str">
        <f t="shared" ca="1" si="141"/>
        <v/>
      </c>
      <c r="J1842" s="26" t="str">
        <f>IF($A1842="","",COUNTIFS(tblReceipts[Item Name],$A1842,tblReceipts[Expiry Date],"&lt;"&amp;$H1842)+COUNTIFS(tblReceipts[Item Name],$A1842,tblReceipts[Expiry Date],$H1842,tblReceipts[Lot Number],"&lt;="&amp;Receipts!$C1845))</f>
        <v/>
      </c>
      <c r="K1842" s="26" t="str">
        <f>IF($A1842="","",SUMIFS(tblReceipts[Qty Received],tblReceipts[Item Name],$A1842,tblReceipts[Expiry Date],"&lt;"&amp;$H1842)+SUMIFS(tblReceipts[Qty Received],tblReceipts[Item Name],$A1842,tblReceipts[Expiry Date],$H1842,tblReceipts[Lot Number],"&lt;"&amp;Receipts!$C1845))</f>
        <v/>
      </c>
      <c r="L1842" s="26" t="str">
        <f>IF($A1842="","",MIN($D1842,MAX(0,SUMIFS(tblIssues[Qty Issued],tblIssues[Item Name],$A1842)-$K1842)))</f>
        <v/>
      </c>
      <c r="M1842" s="26" t="str">
        <f>IF($A1842="","",SUMIFS(tblIssues[Qty Issued],tblIssues[Lot Number],$B1842))</f>
        <v/>
      </c>
      <c r="N1842" s="26" t="str">
        <f t="shared" si="142"/>
        <v/>
      </c>
      <c r="O1842" s="26" t="str">
        <f t="shared" si="143"/>
        <v/>
      </c>
      <c r="P1842" s="21" t="str">
        <f t="shared" si="144"/>
        <v/>
      </c>
      <c r="Q1842" s="52" t="str">
        <f>IF($A1842="","",IF($O1842&lt;=0,"Depleted",IF($I1842&lt;0,"EXPIRED",IF($I1842&lt;=Settings!$C$6,"CRITICAL",IF($I1842&lt;=Settings!$C$5,"Expiring","In date")))))</f>
        <v/>
      </c>
    </row>
    <row r="1843" spans="1:17" x14ac:dyDescent="0.35">
      <c r="A1843" s="90" t="str">
        <f>IF(Receipts!$D1846="","",Receipts!$D1846)</f>
        <v/>
      </c>
      <c r="B1843" s="18" t="str">
        <f>IF(Receipts!$C1846="","",Receipts!$C1846)</f>
        <v/>
      </c>
      <c r="C1843" s="18" t="str">
        <f>IF($A1843="","",IFERROR(INDEX(Items!$B$5:$B$597,MATCH($A1843,Items!$A$5:$A$597,0)),""))</f>
        <v/>
      </c>
      <c r="D1843" s="23" t="str">
        <f>IF($A1843="","",N(Receipts!$G1846))</f>
        <v/>
      </c>
      <c r="E1843" s="20" t="str">
        <f>IF($A1843="","",IFERROR(INDEX(Items!$D$5:$D$597,MATCH($A1843,Items!$A$5:$A$597,0)),0))</f>
        <v/>
      </c>
      <c r="F1843" s="21" t="str">
        <f t="shared" si="140"/>
        <v/>
      </c>
      <c r="G1843" s="25" t="str">
        <f>IF(Receipts!$I1846="","",Receipts!$I1846)</f>
        <v/>
      </c>
      <c r="H1843" s="25" t="str">
        <f>IF(Receipts!$H1846="","",Receipts!$H1846)</f>
        <v/>
      </c>
      <c r="I1843" s="26" t="str">
        <f t="shared" ca="1" si="141"/>
        <v/>
      </c>
      <c r="J1843" s="26" t="str">
        <f>IF($A1843="","",COUNTIFS(tblReceipts[Item Name],$A1843,tblReceipts[Expiry Date],"&lt;"&amp;$H1843)+COUNTIFS(tblReceipts[Item Name],$A1843,tblReceipts[Expiry Date],$H1843,tblReceipts[Lot Number],"&lt;="&amp;Receipts!$C1846))</f>
        <v/>
      </c>
      <c r="K1843" s="26" t="str">
        <f>IF($A1843="","",SUMIFS(tblReceipts[Qty Received],tblReceipts[Item Name],$A1843,tblReceipts[Expiry Date],"&lt;"&amp;$H1843)+SUMIFS(tblReceipts[Qty Received],tblReceipts[Item Name],$A1843,tblReceipts[Expiry Date],$H1843,tblReceipts[Lot Number],"&lt;"&amp;Receipts!$C1846))</f>
        <v/>
      </c>
      <c r="L1843" s="26" t="str">
        <f>IF($A1843="","",MIN($D1843,MAX(0,SUMIFS(tblIssues[Qty Issued],tblIssues[Item Name],$A1843)-$K1843)))</f>
        <v/>
      </c>
      <c r="M1843" s="26" t="str">
        <f>IF($A1843="","",SUMIFS(tblIssues[Qty Issued],tblIssues[Lot Number],$B1843))</f>
        <v/>
      </c>
      <c r="N1843" s="26" t="str">
        <f t="shared" si="142"/>
        <v/>
      </c>
      <c r="O1843" s="26" t="str">
        <f t="shared" si="143"/>
        <v/>
      </c>
      <c r="P1843" s="21" t="str">
        <f t="shared" si="144"/>
        <v/>
      </c>
      <c r="Q1843" s="52" t="str">
        <f>IF($A1843="","",IF($O1843&lt;=0,"Depleted",IF($I1843&lt;0,"EXPIRED",IF($I1843&lt;=Settings!$C$6,"CRITICAL",IF($I1843&lt;=Settings!$C$5,"Expiring","In date")))))</f>
        <v/>
      </c>
    </row>
    <row r="1844" spans="1:17" x14ac:dyDescent="0.35">
      <c r="A1844" s="90" t="str">
        <f>IF(Receipts!$D1847="","",Receipts!$D1847)</f>
        <v/>
      </c>
      <c r="B1844" s="18" t="str">
        <f>IF(Receipts!$C1847="","",Receipts!$C1847)</f>
        <v/>
      </c>
      <c r="C1844" s="18" t="str">
        <f>IF($A1844="","",IFERROR(INDEX(Items!$B$5:$B$597,MATCH($A1844,Items!$A$5:$A$597,0)),""))</f>
        <v/>
      </c>
      <c r="D1844" s="23" t="str">
        <f>IF($A1844="","",N(Receipts!$G1847))</f>
        <v/>
      </c>
      <c r="E1844" s="20" t="str">
        <f>IF($A1844="","",IFERROR(INDEX(Items!$D$5:$D$597,MATCH($A1844,Items!$A$5:$A$597,0)),0))</f>
        <v/>
      </c>
      <c r="F1844" s="21" t="str">
        <f t="shared" si="140"/>
        <v/>
      </c>
      <c r="G1844" s="25" t="str">
        <f>IF(Receipts!$I1847="","",Receipts!$I1847)</f>
        <v/>
      </c>
      <c r="H1844" s="25" t="str">
        <f>IF(Receipts!$H1847="","",Receipts!$H1847)</f>
        <v/>
      </c>
      <c r="I1844" s="26" t="str">
        <f t="shared" ca="1" si="141"/>
        <v/>
      </c>
      <c r="J1844" s="26" t="str">
        <f>IF($A1844="","",COUNTIFS(tblReceipts[Item Name],$A1844,tblReceipts[Expiry Date],"&lt;"&amp;$H1844)+COUNTIFS(tblReceipts[Item Name],$A1844,tblReceipts[Expiry Date],$H1844,tblReceipts[Lot Number],"&lt;="&amp;Receipts!$C1847))</f>
        <v/>
      </c>
      <c r="K1844" s="26" t="str">
        <f>IF($A1844="","",SUMIFS(tblReceipts[Qty Received],tblReceipts[Item Name],$A1844,tblReceipts[Expiry Date],"&lt;"&amp;$H1844)+SUMIFS(tblReceipts[Qty Received],tblReceipts[Item Name],$A1844,tblReceipts[Expiry Date],$H1844,tblReceipts[Lot Number],"&lt;"&amp;Receipts!$C1847))</f>
        <v/>
      </c>
      <c r="L1844" s="26" t="str">
        <f>IF($A1844="","",MIN($D1844,MAX(0,SUMIFS(tblIssues[Qty Issued],tblIssues[Item Name],$A1844)-$K1844)))</f>
        <v/>
      </c>
      <c r="M1844" s="26" t="str">
        <f>IF($A1844="","",SUMIFS(tblIssues[Qty Issued],tblIssues[Lot Number],$B1844))</f>
        <v/>
      </c>
      <c r="N1844" s="26" t="str">
        <f t="shared" si="142"/>
        <v/>
      </c>
      <c r="O1844" s="26" t="str">
        <f t="shared" si="143"/>
        <v/>
      </c>
      <c r="P1844" s="21" t="str">
        <f t="shared" si="144"/>
        <v/>
      </c>
      <c r="Q1844" s="52" t="str">
        <f>IF($A1844="","",IF($O1844&lt;=0,"Depleted",IF($I1844&lt;0,"EXPIRED",IF($I1844&lt;=Settings!$C$6,"CRITICAL",IF($I1844&lt;=Settings!$C$5,"Expiring","In date")))))</f>
        <v/>
      </c>
    </row>
    <row r="1845" spans="1:17" x14ac:dyDescent="0.35">
      <c r="A1845" s="90" t="str">
        <f>IF(Receipts!$D1848="","",Receipts!$D1848)</f>
        <v/>
      </c>
      <c r="B1845" s="18" t="str">
        <f>IF(Receipts!$C1848="","",Receipts!$C1848)</f>
        <v/>
      </c>
      <c r="C1845" s="18" t="str">
        <f>IF($A1845="","",IFERROR(INDEX(Items!$B$5:$B$597,MATCH($A1845,Items!$A$5:$A$597,0)),""))</f>
        <v/>
      </c>
      <c r="D1845" s="23" t="str">
        <f>IF($A1845="","",N(Receipts!$G1848))</f>
        <v/>
      </c>
      <c r="E1845" s="20" t="str">
        <f>IF($A1845="","",IFERROR(INDEX(Items!$D$5:$D$597,MATCH($A1845,Items!$A$5:$A$597,0)),0))</f>
        <v/>
      </c>
      <c r="F1845" s="21" t="str">
        <f t="shared" si="140"/>
        <v/>
      </c>
      <c r="G1845" s="25" t="str">
        <f>IF(Receipts!$I1848="","",Receipts!$I1848)</f>
        <v/>
      </c>
      <c r="H1845" s="25" t="str">
        <f>IF(Receipts!$H1848="","",Receipts!$H1848)</f>
        <v/>
      </c>
      <c r="I1845" s="26" t="str">
        <f t="shared" ca="1" si="141"/>
        <v/>
      </c>
      <c r="J1845" s="26" t="str">
        <f>IF($A1845="","",COUNTIFS(tblReceipts[Item Name],$A1845,tblReceipts[Expiry Date],"&lt;"&amp;$H1845)+COUNTIFS(tblReceipts[Item Name],$A1845,tblReceipts[Expiry Date],$H1845,tblReceipts[Lot Number],"&lt;="&amp;Receipts!$C1848))</f>
        <v/>
      </c>
      <c r="K1845" s="26" t="str">
        <f>IF($A1845="","",SUMIFS(tblReceipts[Qty Received],tblReceipts[Item Name],$A1845,tblReceipts[Expiry Date],"&lt;"&amp;$H1845)+SUMIFS(tblReceipts[Qty Received],tblReceipts[Item Name],$A1845,tblReceipts[Expiry Date],$H1845,tblReceipts[Lot Number],"&lt;"&amp;Receipts!$C1848))</f>
        <v/>
      </c>
      <c r="L1845" s="26" t="str">
        <f>IF($A1845="","",MIN($D1845,MAX(0,SUMIFS(tblIssues[Qty Issued],tblIssues[Item Name],$A1845)-$K1845)))</f>
        <v/>
      </c>
      <c r="M1845" s="26" t="str">
        <f>IF($A1845="","",SUMIFS(tblIssues[Qty Issued],tblIssues[Lot Number],$B1845))</f>
        <v/>
      </c>
      <c r="N1845" s="26" t="str">
        <f t="shared" si="142"/>
        <v/>
      </c>
      <c r="O1845" s="26" t="str">
        <f t="shared" si="143"/>
        <v/>
      </c>
      <c r="P1845" s="21" t="str">
        <f t="shared" si="144"/>
        <v/>
      </c>
      <c r="Q1845" s="52" t="str">
        <f>IF($A1845="","",IF($O1845&lt;=0,"Depleted",IF($I1845&lt;0,"EXPIRED",IF($I1845&lt;=Settings!$C$6,"CRITICAL",IF($I1845&lt;=Settings!$C$5,"Expiring","In date")))))</f>
        <v/>
      </c>
    </row>
    <row r="1846" spans="1:17" x14ac:dyDescent="0.35">
      <c r="A1846" s="90" t="str">
        <f>IF(Receipts!$D1849="","",Receipts!$D1849)</f>
        <v/>
      </c>
      <c r="B1846" s="18" t="str">
        <f>IF(Receipts!$C1849="","",Receipts!$C1849)</f>
        <v/>
      </c>
      <c r="C1846" s="18" t="str">
        <f>IF($A1846="","",IFERROR(INDEX(Items!$B$5:$B$597,MATCH($A1846,Items!$A$5:$A$597,0)),""))</f>
        <v/>
      </c>
      <c r="D1846" s="23" t="str">
        <f>IF($A1846="","",N(Receipts!$G1849))</f>
        <v/>
      </c>
      <c r="E1846" s="20" t="str">
        <f>IF($A1846="","",IFERROR(INDEX(Items!$D$5:$D$597,MATCH($A1846,Items!$A$5:$A$597,0)),0))</f>
        <v/>
      </c>
      <c r="F1846" s="21" t="str">
        <f t="shared" si="140"/>
        <v/>
      </c>
      <c r="G1846" s="25" t="str">
        <f>IF(Receipts!$I1849="","",Receipts!$I1849)</f>
        <v/>
      </c>
      <c r="H1846" s="25" t="str">
        <f>IF(Receipts!$H1849="","",Receipts!$H1849)</f>
        <v/>
      </c>
      <c r="I1846" s="26" t="str">
        <f t="shared" ca="1" si="141"/>
        <v/>
      </c>
      <c r="J1846" s="26" t="str">
        <f>IF($A1846="","",COUNTIFS(tblReceipts[Item Name],$A1846,tblReceipts[Expiry Date],"&lt;"&amp;$H1846)+COUNTIFS(tblReceipts[Item Name],$A1846,tblReceipts[Expiry Date],$H1846,tblReceipts[Lot Number],"&lt;="&amp;Receipts!$C1849))</f>
        <v/>
      </c>
      <c r="K1846" s="26" t="str">
        <f>IF($A1846="","",SUMIFS(tblReceipts[Qty Received],tblReceipts[Item Name],$A1846,tblReceipts[Expiry Date],"&lt;"&amp;$H1846)+SUMIFS(tblReceipts[Qty Received],tblReceipts[Item Name],$A1846,tblReceipts[Expiry Date],$H1846,tblReceipts[Lot Number],"&lt;"&amp;Receipts!$C1849))</f>
        <v/>
      </c>
      <c r="L1846" s="26" t="str">
        <f>IF($A1846="","",MIN($D1846,MAX(0,SUMIFS(tblIssues[Qty Issued],tblIssues[Item Name],$A1846)-$K1846)))</f>
        <v/>
      </c>
      <c r="M1846" s="26" t="str">
        <f>IF($A1846="","",SUMIFS(tblIssues[Qty Issued],tblIssues[Lot Number],$B1846))</f>
        <v/>
      </c>
      <c r="N1846" s="26" t="str">
        <f t="shared" si="142"/>
        <v/>
      </c>
      <c r="O1846" s="26" t="str">
        <f t="shared" si="143"/>
        <v/>
      </c>
      <c r="P1846" s="21" t="str">
        <f t="shared" si="144"/>
        <v/>
      </c>
      <c r="Q1846" s="52" t="str">
        <f>IF($A1846="","",IF($O1846&lt;=0,"Depleted",IF($I1846&lt;0,"EXPIRED",IF($I1846&lt;=Settings!$C$6,"CRITICAL",IF($I1846&lt;=Settings!$C$5,"Expiring","In date")))))</f>
        <v/>
      </c>
    </row>
    <row r="1847" spans="1:17" x14ac:dyDescent="0.35">
      <c r="A1847" s="90" t="str">
        <f>IF(Receipts!$D1850="","",Receipts!$D1850)</f>
        <v/>
      </c>
      <c r="B1847" s="18" t="str">
        <f>IF(Receipts!$C1850="","",Receipts!$C1850)</f>
        <v/>
      </c>
      <c r="C1847" s="18" t="str">
        <f>IF($A1847="","",IFERROR(INDEX(Items!$B$5:$B$597,MATCH($A1847,Items!$A$5:$A$597,0)),""))</f>
        <v/>
      </c>
      <c r="D1847" s="23" t="str">
        <f>IF($A1847="","",N(Receipts!$G1850))</f>
        <v/>
      </c>
      <c r="E1847" s="20" t="str">
        <f>IF($A1847="","",IFERROR(INDEX(Items!$D$5:$D$597,MATCH($A1847,Items!$A$5:$A$597,0)),0))</f>
        <v/>
      </c>
      <c r="F1847" s="21" t="str">
        <f t="shared" si="140"/>
        <v/>
      </c>
      <c r="G1847" s="25" t="str">
        <f>IF(Receipts!$I1850="","",Receipts!$I1850)</f>
        <v/>
      </c>
      <c r="H1847" s="25" t="str">
        <f>IF(Receipts!$H1850="","",Receipts!$H1850)</f>
        <v/>
      </c>
      <c r="I1847" s="26" t="str">
        <f t="shared" ca="1" si="141"/>
        <v/>
      </c>
      <c r="J1847" s="26" t="str">
        <f>IF($A1847="","",COUNTIFS(tblReceipts[Item Name],$A1847,tblReceipts[Expiry Date],"&lt;"&amp;$H1847)+COUNTIFS(tblReceipts[Item Name],$A1847,tblReceipts[Expiry Date],$H1847,tblReceipts[Lot Number],"&lt;="&amp;Receipts!$C1850))</f>
        <v/>
      </c>
      <c r="K1847" s="26" t="str">
        <f>IF($A1847="","",SUMIFS(tblReceipts[Qty Received],tblReceipts[Item Name],$A1847,tblReceipts[Expiry Date],"&lt;"&amp;$H1847)+SUMIFS(tblReceipts[Qty Received],tblReceipts[Item Name],$A1847,tblReceipts[Expiry Date],$H1847,tblReceipts[Lot Number],"&lt;"&amp;Receipts!$C1850))</f>
        <v/>
      </c>
      <c r="L1847" s="26" t="str">
        <f>IF($A1847="","",MIN($D1847,MAX(0,SUMIFS(tblIssues[Qty Issued],tblIssues[Item Name],$A1847)-$K1847)))</f>
        <v/>
      </c>
      <c r="M1847" s="26" t="str">
        <f>IF($A1847="","",SUMIFS(tblIssues[Qty Issued],tblIssues[Lot Number],$B1847))</f>
        <v/>
      </c>
      <c r="N1847" s="26" t="str">
        <f t="shared" si="142"/>
        <v/>
      </c>
      <c r="O1847" s="26" t="str">
        <f t="shared" si="143"/>
        <v/>
      </c>
      <c r="P1847" s="21" t="str">
        <f t="shared" si="144"/>
        <v/>
      </c>
      <c r="Q1847" s="52" t="str">
        <f>IF($A1847="","",IF($O1847&lt;=0,"Depleted",IF($I1847&lt;0,"EXPIRED",IF($I1847&lt;=Settings!$C$6,"CRITICAL",IF($I1847&lt;=Settings!$C$5,"Expiring","In date")))))</f>
        <v/>
      </c>
    </row>
    <row r="1848" spans="1:17" x14ac:dyDescent="0.35">
      <c r="A1848" s="90" t="str">
        <f>IF(Receipts!$D1851="","",Receipts!$D1851)</f>
        <v/>
      </c>
      <c r="B1848" s="18" t="str">
        <f>IF(Receipts!$C1851="","",Receipts!$C1851)</f>
        <v/>
      </c>
      <c r="C1848" s="18" t="str">
        <f>IF($A1848="","",IFERROR(INDEX(Items!$B$5:$B$597,MATCH($A1848,Items!$A$5:$A$597,0)),""))</f>
        <v/>
      </c>
      <c r="D1848" s="23" t="str">
        <f>IF($A1848="","",N(Receipts!$G1851))</f>
        <v/>
      </c>
      <c r="E1848" s="20" t="str">
        <f>IF($A1848="","",IFERROR(INDEX(Items!$D$5:$D$597,MATCH($A1848,Items!$A$5:$A$597,0)),0))</f>
        <v/>
      </c>
      <c r="F1848" s="21" t="str">
        <f t="shared" si="140"/>
        <v/>
      </c>
      <c r="G1848" s="25" t="str">
        <f>IF(Receipts!$I1851="","",Receipts!$I1851)</f>
        <v/>
      </c>
      <c r="H1848" s="25" t="str">
        <f>IF(Receipts!$H1851="","",Receipts!$H1851)</f>
        <v/>
      </c>
      <c r="I1848" s="26" t="str">
        <f t="shared" ca="1" si="141"/>
        <v/>
      </c>
      <c r="J1848" s="26" t="str">
        <f>IF($A1848="","",COUNTIFS(tblReceipts[Item Name],$A1848,tblReceipts[Expiry Date],"&lt;"&amp;$H1848)+COUNTIFS(tblReceipts[Item Name],$A1848,tblReceipts[Expiry Date],$H1848,tblReceipts[Lot Number],"&lt;="&amp;Receipts!$C1851))</f>
        <v/>
      </c>
      <c r="K1848" s="26" t="str">
        <f>IF($A1848="","",SUMIFS(tblReceipts[Qty Received],tblReceipts[Item Name],$A1848,tblReceipts[Expiry Date],"&lt;"&amp;$H1848)+SUMIFS(tblReceipts[Qty Received],tblReceipts[Item Name],$A1848,tblReceipts[Expiry Date],$H1848,tblReceipts[Lot Number],"&lt;"&amp;Receipts!$C1851))</f>
        <v/>
      </c>
      <c r="L1848" s="26" t="str">
        <f>IF($A1848="","",MIN($D1848,MAX(0,SUMIFS(tblIssues[Qty Issued],tblIssues[Item Name],$A1848)-$K1848)))</f>
        <v/>
      </c>
      <c r="M1848" s="26" t="str">
        <f>IF($A1848="","",SUMIFS(tblIssues[Qty Issued],tblIssues[Lot Number],$B1848))</f>
        <v/>
      </c>
      <c r="N1848" s="26" t="str">
        <f t="shared" si="142"/>
        <v/>
      </c>
      <c r="O1848" s="26" t="str">
        <f t="shared" si="143"/>
        <v/>
      </c>
      <c r="P1848" s="21" t="str">
        <f t="shared" si="144"/>
        <v/>
      </c>
      <c r="Q1848" s="52" t="str">
        <f>IF($A1848="","",IF($O1848&lt;=0,"Depleted",IF($I1848&lt;0,"EXPIRED",IF($I1848&lt;=Settings!$C$6,"CRITICAL",IF($I1848&lt;=Settings!$C$5,"Expiring","In date")))))</f>
        <v/>
      </c>
    </row>
    <row r="1849" spans="1:17" x14ac:dyDescent="0.35">
      <c r="A1849" s="90" t="str">
        <f>IF(Receipts!$D1852="","",Receipts!$D1852)</f>
        <v/>
      </c>
      <c r="B1849" s="18" t="str">
        <f>IF(Receipts!$C1852="","",Receipts!$C1852)</f>
        <v/>
      </c>
      <c r="C1849" s="18" t="str">
        <f>IF($A1849="","",IFERROR(INDEX(Items!$B$5:$B$597,MATCH($A1849,Items!$A$5:$A$597,0)),""))</f>
        <v/>
      </c>
      <c r="D1849" s="23" t="str">
        <f>IF($A1849="","",N(Receipts!$G1852))</f>
        <v/>
      </c>
      <c r="E1849" s="20" t="str">
        <f>IF($A1849="","",IFERROR(INDEX(Items!$D$5:$D$597,MATCH($A1849,Items!$A$5:$A$597,0)),0))</f>
        <v/>
      </c>
      <c r="F1849" s="21" t="str">
        <f t="shared" si="140"/>
        <v/>
      </c>
      <c r="G1849" s="25" t="str">
        <f>IF(Receipts!$I1852="","",Receipts!$I1852)</f>
        <v/>
      </c>
      <c r="H1849" s="25" t="str">
        <f>IF(Receipts!$H1852="","",Receipts!$H1852)</f>
        <v/>
      </c>
      <c r="I1849" s="26" t="str">
        <f t="shared" ca="1" si="141"/>
        <v/>
      </c>
      <c r="J1849" s="26" t="str">
        <f>IF($A1849="","",COUNTIFS(tblReceipts[Item Name],$A1849,tblReceipts[Expiry Date],"&lt;"&amp;$H1849)+COUNTIFS(tblReceipts[Item Name],$A1849,tblReceipts[Expiry Date],$H1849,tblReceipts[Lot Number],"&lt;="&amp;Receipts!$C1852))</f>
        <v/>
      </c>
      <c r="K1849" s="26" t="str">
        <f>IF($A1849="","",SUMIFS(tblReceipts[Qty Received],tblReceipts[Item Name],$A1849,tblReceipts[Expiry Date],"&lt;"&amp;$H1849)+SUMIFS(tblReceipts[Qty Received],tblReceipts[Item Name],$A1849,tblReceipts[Expiry Date],$H1849,tblReceipts[Lot Number],"&lt;"&amp;Receipts!$C1852))</f>
        <v/>
      </c>
      <c r="L1849" s="26" t="str">
        <f>IF($A1849="","",MIN($D1849,MAX(0,SUMIFS(tblIssues[Qty Issued],tblIssues[Item Name],$A1849)-$K1849)))</f>
        <v/>
      </c>
      <c r="M1849" s="26" t="str">
        <f>IF($A1849="","",SUMIFS(tblIssues[Qty Issued],tblIssues[Lot Number],$B1849))</f>
        <v/>
      </c>
      <c r="N1849" s="26" t="str">
        <f t="shared" si="142"/>
        <v/>
      </c>
      <c r="O1849" s="26" t="str">
        <f t="shared" si="143"/>
        <v/>
      </c>
      <c r="P1849" s="21" t="str">
        <f t="shared" si="144"/>
        <v/>
      </c>
      <c r="Q1849" s="52" t="str">
        <f>IF($A1849="","",IF($O1849&lt;=0,"Depleted",IF($I1849&lt;0,"EXPIRED",IF($I1849&lt;=Settings!$C$6,"CRITICAL",IF($I1849&lt;=Settings!$C$5,"Expiring","In date")))))</f>
        <v/>
      </c>
    </row>
    <row r="1850" spans="1:17" x14ac:dyDescent="0.35">
      <c r="A1850" s="90" t="str">
        <f>IF(Receipts!$D1853="","",Receipts!$D1853)</f>
        <v/>
      </c>
      <c r="B1850" s="18" t="str">
        <f>IF(Receipts!$C1853="","",Receipts!$C1853)</f>
        <v/>
      </c>
      <c r="C1850" s="18" t="str">
        <f>IF($A1850="","",IFERROR(INDEX(Items!$B$5:$B$597,MATCH($A1850,Items!$A$5:$A$597,0)),""))</f>
        <v/>
      </c>
      <c r="D1850" s="23" t="str">
        <f>IF($A1850="","",N(Receipts!$G1853))</f>
        <v/>
      </c>
      <c r="E1850" s="20" t="str">
        <f>IF($A1850="","",IFERROR(INDEX(Items!$D$5:$D$597,MATCH($A1850,Items!$A$5:$A$597,0)),0))</f>
        <v/>
      </c>
      <c r="F1850" s="21" t="str">
        <f t="shared" si="140"/>
        <v/>
      </c>
      <c r="G1850" s="25" t="str">
        <f>IF(Receipts!$I1853="","",Receipts!$I1853)</f>
        <v/>
      </c>
      <c r="H1850" s="25" t="str">
        <f>IF(Receipts!$H1853="","",Receipts!$H1853)</f>
        <v/>
      </c>
      <c r="I1850" s="26" t="str">
        <f t="shared" ca="1" si="141"/>
        <v/>
      </c>
      <c r="J1850" s="26" t="str">
        <f>IF($A1850="","",COUNTIFS(tblReceipts[Item Name],$A1850,tblReceipts[Expiry Date],"&lt;"&amp;$H1850)+COUNTIFS(tblReceipts[Item Name],$A1850,tblReceipts[Expiry Date],$H1850,tblReceipts[Lot Number],"&lt;="&amp;Receipts!$C1853))</f>
        <v/>
      </c>
      <c r="K1850" s="26" t="str">
        <f>IF($A1850="","",SUMIFS(tblReceipts[Qty Received],tblReceipts[Item Name],$A1850,tblReceipts[Expiry Date],"&lt;"&amp;$H1850)+SUMIFS(tblReceipts[Qty Received],tblReceipts[Item Name],$A1850,tblReceipts[Expiry Date],$H1850,tblReceipts[Lot Number],"&lt;"&amp;Receipts!$C1853))</f>
        <v/>
      </c>
      <c r="L1850" s="26" t="str">
        <f>IF($A1850="","",MIN($D1850,MAX(0,SUMIFS(tblIssues[Qty Issued],tblIssues[Item Name],$A1850)-$K1850)))</f>
        <v/>
      </c>
      <c r="M1850" s="26" t="str">
        <f>IF($A1850="","",SUMIFS(tblIssues[Qty Issued],tblIssues[Lot Number],$B1850))</f>
        <v/>
      </c>
      <c r="N1850" s="26" t="str">
        <f t="shared" si="142"/>
        <v/>
      </c>
      <c r="O1850" s="26" t="str">
        <f t="shared" si="143"/>
        <v/>
      </c>
      <c r="P1850" s="21" t="str">
        <f t="shared" si="144"/>
        <v/>
      </c>
      <c r="Q1850" s="52" t="str">
        <f>IF($A1850="","",IF($O1850&lt;=0,"Depleted",IF($I1850&lt;0,"EXPIRED",IF($I1850&lt;=Settings!$C$6,"CRITICAL",IF($I1850&lt;=Settings!$C$5,"Expiring","In date")))))</f>
        <v/>
      </c>
    </row>
    <row r="1851" spans="1:17" x14ac:dyDescent="0.35">
      <c r="A1851" s="90" t="str">
        <f>IF(Receipts!$D1854="","",Receipts!$D1854)</f>
        <v/>
      </c>
      <c r="B1851" s="18" t="str">
        <f>IF(Receipts!$C1854="","",Receipts!$C1854)</f>
        <v/>
      </c>
      <c r="C1851" s="18" t="str">
        <f>IF($A1851="","",IFERROR(INDEX(Items!$B$5:$B$597,MATCH($A1851,Items!$A$5:$A$597,0)),""))</f>
        <v/>
      </c>
      <c r="D1851" s="23" t="str">
        <f>IF($A1851="","",N(Receipts!$G1854))</f>
        <v/>
      </c>
      <c r="E1851" s="20" t="str">
        <f>IF($A1851="","",IFERROR(INDEX(Items!$D$5:$D$597,MATCH($A1851,Items!$A$5:$A$597,0)),0))</f>
        <v/>
      </c>
      <c r="F1851" s="21" t="str">
        <f t="shared" si="140"/>
        <v/>
      </c>
      <c r="G1851" s="25" t="str">
        <f>IF(Receipts!$I1854="","",Receipts!$I1854)</f>
        <v/>
      </c>
      <c r="H1851" s="25" t="str">
        <f>IF(Receipts!$H1854="","",Receipts!$H1854)</f>
        <v/>
      </c>
      <c r="I1851" s="26" t="str">
        <f t="shared" ca="1" si="141"/>
        <v/>
      </c>
      <c r="J1851" s="26" t="str">
        <f>IF($A1851="","",COUNTIFS(tblReceipts[Item Name],$A1851,tblReceipts[Expiry Date],"&lt;"&amp;$H1851)+COUNTIFS(tblReceipts[Item Name],$A1851,tblReceipts[Expiry Date],$H1851,tblReceipts[Lot Number],"&lt;="&amp;Receipts!$C1854))</f>
        <v/>
      </c>
      <c r="K1851" s="26" t="str">
        <f>IF($A1851="","",SUMIFS(tblReceipts[Qty Received],tblReceipts[Item Name],$A1851,tblReceipts[Expiry Date],"&lt;"&amp;$H1851)+SUMIFS(tblReceipts[Qty Received],tblReceipts[Item Name],$A1851,tblReceipts[Expiry Date],$H1851,tblReceipts[Lot Number],"&lt;"&amp;Receipts!$C1854))</f>
        <v/>
      </c>
      <c r="L1851" s="26" t="str">
        <f>IF($A1851="","",MIN($D1851,MAX(0,SUMIFS(tblIssues[Qty Issued],tblIssues[Item Name],$A1851)-$K1851)))</f>
        <v/>
      </c>
      <c r="M1851" s="26" t="str">
        <f>IF($A1851="","",SUMIFS(tblIssues[Qty Issued],tblIssues[Lot Number],$B1851))</f>
        <v/>
      </c>
      <c r="N1851" s="26" t="str">
        <f t="shared" si="142"/>
        <v/>
      </c>
      <c r="O1851" s="26" t="str">
        <f t="shared" si="143"/>
        <v/>
      </c>
      <c r="P1851" s="21" t="str">
        <f t="shared" si="144"/>
        <v/>
      </c>
      <c r="Q1851" s="52" t="str">
        <f>IF($A1851="","",IF($O1851&lt;=0,"Depleted",IF($I1851&lt;0,"EXPIRED",IF($I1851&lt;=Settings!$C$6,"CRITICAL",IF($I1851&lt;=Settings!$C$5,"Expiring","In date")))))</f>
        <v/>
      </c>
    </row>
    <row r="1852" spans="1:17" x14ac:dyDescent="0.35">
      <c r="A1852" s="90" t="str">
        <f>IF(Receipts!$D1855="","",Receipts!$D1855)</f>
        <v/>
      </c>
      <c r="B1852" s="18" t="str">
        <f>IF(Receipts!$C1855="","",Receipts!$C1855)</f>
        <v/>
      </c>
      <c r="C1852" s="18" t="str">
        <f>IF($A1852="","",IFERROR(INDEX(Items!$B$5:$B$597,MATCH($A1852,Items!$A$5:$A$597,0)),""))</f>
        <v/>
      </c>
      <c r="D1852" s="23" t="str">
        <f>IF($A1852="","",N(Receipts!$G1855))</f>
        <v/>
      </c>
      <c r="E1852" s="20" t="str">
        <f>IF($A1852="","",IFERROR(INDEX(Items!$D$5:$D$597,MATCH($A1852,Items!$A$5:$A$597,0)),0))</f>
        <v/>
      </c>
      <c r="F1852" s="21" t="str">
        <f t="shared" si="140"/>
        <v/>
      </c>
      <c r="G1852" s="25" t="str">
        <f>IF(Receipts!$I1855="","",Receipts!$I1855)</f>
        <v/>
      </c>
      <c r="H1852" s="25" t="str">
        <f>IF(Receipts!$H1855="","",Receipts!$H1855)</f>
        <v/>
      </c>
      <c r="I1852" s="26" t="str">
        <f t="shared" ca="1" si="141"/>
        <v/>
      </c>
      <c r="J1852" s="26" t="str">
        <f>IF($A1852="","",COUNTIFS(tblReceipts[Item Name],$A1852,tblReceipts[Expiry Date],"&lt;"&amp;$H1852)+COUNTIFS(tblReceipts[Item Name],$A1852,tblReceipts[Expiry Date],$H1852,tblReceipts[Lot Number],"&lt;="&amp;Receipts!$C1855))</f>
        <v/>
      </c>
      <c r="K1852" s="26" t="str">
        <f>IF($A1852="","",SUMIFS(tblReceipts[Qty Received],tblReceipts[Item Name],$A1852,tblReceipts[Expiry Date],"&lt;"&amp;$H1852)+SUMIFS(tblReceipts[Qty Received],tblReceipts[Item Name],$A1852,tblReceipts[Expiry Date],$H1852,tblReceipts[Lot Number],"&lt;"&amp;Receipts!$C1855))</f>
        <v/>
      </c>
      <c r="L1852" s="26" t="str">
        <f>IF($A1852="","",MIN($D1852,MAX(0,SUMIFS(tblIssues[Qty Issued],tblIssues[Item Name],$A1852)-$K1852)))</f>
        <v/>
      </c>
      <c r="M1852" s="26" t="str">
        <f>IF($A1852="","",SUMIFS(tblIssues[Qty Issued],tblIssues[Lot Number],$B1852))</f>
        <v/>
      </c>
      <c r="N1852" s="26" t="str">
        <f t="shared" si="142"/>
        <v/>
      </c>
      <c r="O1852" s="26" t="str">
        <f t="shared" si="143"/>
        <v/>
      </c>
      <c r="P1852" s="21" t="str">
        <f t="shared" si="144"/>
        <v/>
      </c>
      <c r="Q1852" s="52" t="str">
        <f>IF($A1852="","",IF($O1852&lt;=0,"Depleted",IF($I1852&lt;0,"EXPIRED",IF($I1852&lt;=Settings!$C$6,"CRITICAL",IF($I1852&lt;=Settings!$C$5,"Expiring","In date")))))</f>
        <v/>
      </c>
    </row>
    <row r="1853" spans="1:17" x14ac:dyDescent="0.35">
      <c r="A1853" s="90" t="str">
        <f>IF(Receipts!$D1856="","",Receipts!$D1856)</f>
        <v/>
      </c>
      <c r="B1853" s="18" t="str">
        <f>IF(Receipts!$C1856="","",Receipts!$C1856)</f>
        <v/>
      </c>
      <c r="C1853" s="18" t="str">
        <f>IF($A1853="","",IFERROR(INDEX(Items!$B$5:$B$597,MATCH($A1853,Items!$A$5:$A$597,0)),""))</f>
        <v/>
      </c>
      <c r="D1853" s="23" t="str">
        <f>IF($A1853="","",N(Receipts!$G1856))</f>
        <v/>
      </c>
      <c r="E1853" s="20" t="str">
        <f>IF($A1853="","",IFERROR(INDEX(Items!$D$5:$D$597,MATCH($A1853,Items!$A$5:$A$597,0)),0))</f>
        <v/>
      </c>
      <c r="F1853" s="21" t="str">
        <f t="shared" si="140"/>
        <v/>
      </c>
      <c r="G1853" s="25" t="str">
        <f>IF(Receipts!$I1856="","",Receipts!$I1856)</f>
        <v/>
      </c>
      <c r="H1853" s="25" t="str">
        <f>IF(Receipts!$H1856="","",Receipts!$H1856)</f>
        <v/>
      </c>
      <c r="I1853" s="26" t="str">
        <f t="shared" ca="1" si="141"/>
        <v/>
      </c>
      <c r="J1853" s="26" t="str">
        <f>IF($A1853="","",COUNTIFS(tblReceipts[Item Name],$A1853,tblReceipts[Expiry Date],"&lt;"&amp;$H1853)+COUNTIFS(tblReceipts[Item Name],$A1853,tblReceipts[Expiry Date],$H1853,tblReceipts[Lot Number],"&lt;="&amp;Receipts!$C1856))</f>
        <v/>
      </c>
      <c r="K1853" s="26" t="str">
        <f>IF($A1853="","",SUMIFS(tblReceipts[Qty Received],tblReceipts[Item Name],$A1853,tblReceipts[Expiry Date],"&lt;"&amp;$H1853)+SUMIFS(tblReceipts[Qty Received],tblReceipts[Item Name],$A1853,tblReceipts[Expiry Date],$H1853,tblReceipts[Lot Number],"&lt;"&amp;Receipts!$C1856))</f>
        <v/>
      </c>
      <c r="L1853" s="26" t="str">
        <f>IF($A1853="","",MIN($D1853,MAX(0,SUMIFS(tblIssues[Qty Issued],tblIssues[Item Name],$A1853)-$K1853)))</f>
        <v/>
      </c>
      <c r="M1853" s="26" t="str">
        <f>IF($A1853="","",SUMIFS(tblIssues[Qty Issued],tblIssues[Lot Number],$B1853))</f>
        <v/>
      </c>
      <c r="N1853" s="26" t="str">
        <f t="shared" si="142"/>
        <v/>
      </c>
      <c r="O1853" s="26" t="str">
        <f t="shared" si="143"/>
        <v/>
      </c>
      <c r="P1853" s="21" t="str">
        <f t="shared" si="144"/>
        <v/>
      </c>
      <c r="Q1853" s="52" t="str">
        <f>IF($A1853="","",IF($O1853&lt;=0,"Depleted",IF($I1853&lt;0,"EXPIRED",IF($I1853&lt;=Settings!$C$6,"CRITICAL",IF($I1853&lt;=Settings!$C$5,"Expiring","In date")))))</f>
        <v/>
      </c>
    </row>
    <row r="1854" spans="1:17" x14ac:dyDescent="0.35">
      <c r="A1854" s="90" t="str">
        <f>IF(Receipts!$D1857="","",Receipts!$D1857)</f>
        <v/>
      </c>
      <c r="B1854" s="18" t="str">
        <f>IF(Receipts!$C1857="","",Receipts!$C1857)</f>
        <v/>
      </c>
      <c r="C1854" s="18" t="str">
        <f>IF($A1854="","",IFERROR(INDEX(Items!$B$5:$B$597,MATCH($A1854,Items!$A$5:$A$597,0)),""))</f>
        <v/>
      </c>
      <c r="D1854" s="23" t="str">
        <f>IF($A1854="","",N(Receipts!$G1857))</f>
        <v/>
      </c>
      <c r="E1854" s="20" t="str">
        <f>IF($A1854="","",IFERROR(INDEX(Items!$D$5:$D$597,MATCH($A1854,Items!$A$5:$A$597,0)),0))</f>
        <v/>
      </c>
      <c r="F1854" s="21" t="str">
        <f t="shared" si="140"/>
        <v/>
      </c>
      <c r="G1854" s="25" t="str">
        <f>IF(Receipts!$I1857="","",Receipts!$I1857)</f>
        <v/>
      </c>
      <c r="H1854" s="25" t="str">
        <f>IF(Receipts!$H1857="","",Receipts!$H1857)</f>
        <v/>
      </c>
      <c r="I1854" s="26" t="str">
        <f t="shared" ca="1" si="141"/>
        <v/>
      </c>
      <c r="J1854" s="26" t="str">
        <f>IF($A1854="","",COUNTIFS(tblReceipts[Item Name],$A1854,tblReceipts[Expiry Date],"&lt;"&amp;$H1854)+COUNTIFS(tblReceipts[Item Name],$A1854,tblReceipts[Expiry Date],$H1854,tblReceipts[Lot Number],"&lt;="&amp;Receipts!$C1857))</f>
        <v/>
      </c>
      <c r="K1854" s="26" t="str">
        <f>IF($A1854="","",SUMIFS(tblReceipts[Qty Received],tblReceipts[Item Name],$A1854,tblReceipts[Expiry Date],"&lt;"&amp;$H1854)+SUMIFS(tblReceipts[Qty Received],tblReceipts[Item Name],$A1854,tblReceipts[Expiry Date],$H1854,tblReceipts[Lot Number],"&lt;"&amp;Receipts!$C1857))</f>
        <v/>
      </c>
      <c r="L1854" s="26" t="str">
        <f>IF($A1854="","",MIN($D1854,MAX(0,SUMIFS(tblIssues[Qty Issued],tblIssues[Item Name],$A1854)-$K1854)))</f>
        <v/>
      </c>
      <c r="M1854" s="26" t="str">
        <f>IF($A1854="","",SUMIFS(tblIssues[Qty Issued],tblIssues[Lot Number],$B1854))</f>
        <v/>
      </c>
      <c r="N1854" s="26" t="str">
        <f t="shared" si="142"/>
        <v/>
      </c>
      <c r="O1854" s="26" t="str">
        <f t="shared" si="143"/>
        <v/>
      </c>
      <c r="P1854" s="21" t="str">
        <f t="shared" si="144"/>
        <v/>
      </c>
      <c r="Q1854" s="52" t="str">
        <f>IF($A1854="","",IF($O1854&lt;=0,"Depleted",IF($I1854&lt;0,"EXPIRED",IF($I1854&lt;=Settings!$C$6,"CRITICAL",IF($I1854&lt;=Settings!$C$5,"Expiring","In date")))))</f>
        <v/>
      </c>
    </row>
    <row r="1855" spans="1:17" x14ac:dyDescent="0.35">
      <c r="A1855" s="90" t="str">
        <f>IF(Receipts!$D1858="","",Receipts!$D1858)</f>
        <v/>
      </c>
      <c r="B1855" s="18" t="str">
        <f>IF(Receipts!$C1858="","",Receipts!$C1858)</f>
        <v/>
      </c>
      <c r="C1855" s="18" t="str">
        <f>IF($A1855="","",IFERROR(INDEX(Items!$B$5:$B$597,MATCH($A1855,Items!$A$5:$A$597,0)),""))</f>
        <v/>
      </c>
      <c r="D1855" s="23" t="str">
        <f>IF($A1855="","",N(Receipts!$G1858))</f>
        <v/>
      </c>
      <c r="E1855" s="20" t="str">
        <f>IF($A1855="","",IFERROR(INDEX(Items!$D$5:$D$597,MATCH($A1855,Items!$A$5:$A$597,0)),0))</f>
        <v/>
      </c>
      <c r="F1855" s="21" t="str">
        <f t="shared" si="140"/>
        <v/>
      </c>
      <c r="G1855" s="25" t="str">
        <f>IF(Receipts!$I1858="","",Receipts!$I1858)</f>
        <v/>
      </c>
      <c r="H1855" s="25" t="str">
        <f>IF(Receipts!$H1858="","",Receipts!$H1858)</f>
        <v/>
      </c>
      <c r="I1855" s="26" t="str">
        <f t="shared" ca="1" si="141"/>
        <v/>
      </c>
      <c r="J1855" s="26" t="str">
        <f>IF($A1855="","",COUNTIFS(tblReceipts[Item Name],$A1855,tblReceipts[Expiry Date],"&lt;"&amp;$H1855)+COUNTIFS(tblReceipts[Item Name],$A1855,tblReceipts[Expiry Date],$H1855,tblReceipts[Lot Number],"&lt;="&amp;Receipts!$C1858))</f>
        <v/>
      </c>
      <c r="K1855" s="26" t="str">
        <f>IF($A1855="","",SUMIFS(tblReceipts[Qty Received],tblReceipts[Item Name],$A1855,tblReceipts[Expiry Date],"&lt;"&amp;$H1855)+SUMIFS(tblReceipts[Qty Received],tblReceipts[Item Name],$A1855,tblReceipts[Expiry Date],$H1855,tblReceipts[Lot Number],"&lt;"&amp;Receipts!$C1858))</f>
        <v/>
      </c>
      <c r="L1855" s="26" t="str">
        <f>IF($A1855="","",MIN($D1855,MAX(0,SUMIFS(tblIssues[Qty Issued],tblIssues[Item Name],$A1855)-$K1855)))</f>
        <v/>
      </c>
      <c r="M1855" s="26" t="str">
        <f>IF($A1855="","",SUMIFS(tblIssues[Qty Issued],tblIssues[Lot Number],$B1855))</f>
        <v/>
      </c>
      <c r="N1855" s="26" t="str">
        <f t="shared" si="142"/>
        <v/>
      </c>
      <c r="O1855" s="26" t="str">
        <f t="shared" si="143"/>
        <v/>
      </c>
      <c r="P1855" s="21" t="str">
        <f t="shared" si="144"/>
        <v/>
      </c>
      <c r="Q1855" s="52" t="str">
        <f>IF($A1855="","",IF($O1855&lt;=0,"Depleted",IF($I1855&lt;0,"EXPIRED",IF($I1855&lt;=Settings!$C$6,"CRITICAL",IF($I1855&lt;=Settings!$C$5,"Expiring","In date")))))</f>
        <v/>
      </c>
    </row>
    <row r="1856" spans="1:17" x14ac:dyDescent="0.35">
      <c r="A1856" s="90" t="str">
        <f>IF(Receipts!$D1859="","",Receipts!$D1859)</f>
        <v/>
      </c>
      <c r="B1856" s="18" t="str">
        <f>IF(Receipts!$C1859="","",Receipts!$C1859)</f>
        <v/>
      </c>
      <c r="C1856" s="18" t="str">
        <f>IF($A1856="","",IFERROR(INDEX(Items!$B$5:$B$597,MATCH($A1856,Items!$A$5:$A$597,0)),""))</f>
        <v/>
      </c>
      <c r="D1856" s="23" t="str">
        <f>IF($A1856="","",N(Receipts!$G1859))</f>
        <v/>
      </c>
      <c r="E1856" s="20" t="str">
        <f>IF($A1856="","",IFERROR(INDEX(Items!$D$5:$D$597,MATCH($A1856,Items!$A$5:$A$597,0)),0))</f>
        <v/>
      </c>
      <c r="F1856" s="21" t="str">
        <f t="shared" si="140"/>
        <v/>
      </c>
      <c r="G1856" s="25" t="str">
        <f>IF(Receipts!$I1859="","",Receipts!$I1859)</f>
        <v/>
      </c>
      <c r="H1856" s="25" t="str">
        <f>IF(Receipts!$H1859="","",Receipts!$H1859)</f>
        <v/>
      </c>
      <c r="I1856" s="26" t="str">
        <f t="shared" ca="1" si="141"/>
        <v/>
      </c>
      <c r="J1856" s="26" t="str">
        <f>IF($A1856="","",COUNTIFS(tblReceipts[Item Name],$A1856,tblReceipts[Expiry Date],"&lt;"&amp;$H1856)+COUNTIFS(tblReceipts[Item Name],$A1856,tblReceipts[Expiry Date],$H1856,tblReceipts[Lot Number],"&lt;="&amp;Receipts!$C1859))</f>
        <v/>
      </c>
      <c r="K1856" s="26" t="str">
        <f>IF($A1856="","",SUMIFS(tblReceipts[Qty Received],tblReceipts[Item Name],$A1856,tblReceipts[Expiry Date],"&lt;"&amp;$H1856)+SUMIFS(tblReceipts[Qty Received],tblReceipts[Item Name],$A1856,tblReceipts[Expiry Date],$H1856,tblReceipts[Lot Number],"&lt;"&amp;Receipts!$C1859))</f>
        <v/>
      </c>
      <c r="L1856" s="26" t="str">
        <f>IF($A1856="","",MIN($D1856,MAX(0,SUMIFS(tblIssues[Qty Issued],tblIssues[Item Name],$A1856)-$K1856)))</f>
        <v/>
      </c>
      <c r="M1856" s="26" t="str">
        <f>IF($A1856="","",SUMIFS(tblIssues[Qty Issued],tblIssues[Lot Number],$B1856))</f>
        <v/>
      </c>
      <c r="N1856" s="26" t="str">
        <f t="shared" si="142"/>
        <v/>
      </c>
      <c r="O1856" s="26" t="str">
        <f t="shared" si="143"/>
        <v/>
      </c>
      <c r="P1856" s="21" t="str">
        <f t="shared" si="144"/>
        <v/>
      </c>
      <c r="Q1856" s="52" t="str">
        <f>IF($A1856="","",IF($O1856&lt;=0,"Depleted",IF($I1856&lt;0,"EXPIRED",IF($I1856&lt;=Settings!$C$6,"CRITICAL",IF($I1856&lt;=Settings!$C$5,"Expiring","In date")))))</f>
        <v/>
      </c>
    </row>
    <row r="1857" spans="1:17" x14ac:dyDescent="0.35">
      <c r="A1857" s="90" t="str">
        <f>IF(Receipts!$D1860="","",Receipts!$D1860)</f>
        <v/>
      </c>
      <c r="B1857" s="18" t="str">
        <f>IF(Receipts!$C1860="","",Receipts!$C1860)</f>
        <v/>
      </c>
      <c r="C1857" s="18" t="str">
        <f>IF($A1857="","",IFERROR(INDEX(Items!$B$5:$B$597,MATCH($A1857,Items!$A$5:$A$597,0)),""))</f>
        <v/>
      </c>
      <c r="D1857" s="23" t="str">
        <f>IF($A1857="","",N(Receipts!$G1860))</f>
        <v/>
      </c>
      <c r="E1857" s="20" t="str">
        <f>IF($A1857="","",IFERROR(INDEX(Items!$D$5:$D$597,MATCH($A1857,Items!$A$5:$A$597,0)),0))</f>
        <v/>
      </c>
      <c r="F1857" s="21" t="str">
        <f t="shared" si="140"/>
        <v/>
      </c>
      <c r="G1857" s="25" t="str">
        <f>IF(Receipts!$I1860="","",Receipts!$I1860)</f>
        <v/>
      </c>
      <c r="H1857" s="25" t="str">
        <f>IF(Receipts!$H1860="","",Receipts!$H1860)</f>
        <v/>
      </c>
      <c r="I1857" s="26" t="str">
        <f t="shared" ca="1" si="141"/>
        <v/>
      </c>
      <c r="J1857" s="26" t="str">
        <f>IF($A1857="","",COUNTIFS(tblReceipts[Item Name],$A1857,tblReceipts[Expiry Date],"&lt;"&amp;$H1857)+COUNTIFS(tblReceipts[Item Name],$A1857,tblReceipts[Expiry Date],$H1857,tblReceipts[Lot Number],"&lt;="&amp;Receipts!$C1860))</f>
        <v/>
      </c>
      <c r="K1857" s="26" t="str">
        <f>IF($A1857="","",SUMIFS(tblReceipts[Qty Received],tblReceipts[Item Name],$A1857,tblReceipts[Expiry Date],"&lt;"&amp;$H1857)+SUMIFS(tblReceipts[Qty Received],tblReceipts[Item Name],$A1857,tblReceipts[Expiry Date],$H1857,tblReceipts[Lot Number],"&lt;"&amp;Receipts!$C1860))</f>
        <v/>
      </c>
      <c r="L1857" s="26" t="str">
        <f>IF($A1857="","",MIN($D1857,MAX(0,SUMIFS(tblIssues[Qty Issued],tblIssues[Item Name],$A1857)-$K1857)))</f>
        <v/>
      </c>
      <c r="M1857" s="26" t="str">
        <f>IF($A1857="","",SUMIFS(tblIssues[Qty Issued],tblIssues[Lot Number],$B1857))</f>
        <v/>
      </c>
      <c r="N1857" s="26" t="str">
        <f t="shared" si="142"/>
        <v/>
      </c>
      <c r="O1857" s="26" t="str">
        <f t="shared" si="143"/>
        <v/>
      </c>
      <c r="P1857" s="21" t="str">
        <f t="shared" si="144"/>
        <v/>
      </c>
      <c r="Q1857" s="52" t="str">
        <f>IF($A1857="","",IF($O1857&lt;=0,"Depleted",IF($I1857&lt;0,"EXPIRED",IF($I1857&lt;=Settings!$C$6,"CRITICAL",IF($I1857&lt;=Settings!$C$5,"Expiring","In date")))))</f>
        <v/>
      </c>
    </row>
    <row r="1858" spans="1:17" x14ac:dyDescent="0.35">
      <c r="A1858" s="90" t="str">
        <f>IF(Receipts!$D1861="","",Receipts!$D1861)</f>
        <v/>
      </c>
      <c r="B1858" s="18" t="str">
        <f>IF(Receipts!$C1861="","",Receipts!$C1861)</f>
        <v/>
      </c>
      <c r="C1858" s="18" t="str">
        <f>IF($A1858="","",IFERROR(INDEX(Items!$B$5:$B$597,MATCH($A1858,Items!$A$5:$A$597,0)),""))</f>
        <v/>
      </c>
      <c r="D1858" s="23" t="str">
        <f>IF($A1858="","",N(Receipts!$G1861))</f>
        <v/>
      </c>
      <c r="E1858" s="20" t="str">
        <f>IF($A1858="","",IFERROR(INDEX(Items!$D$5:$D$597,MATCH($A1858,Items!$A$5:$A$597,0)),0))</f>
        <v/>
      </c>
      <c r="F1858" s="21" t="str">
        <f t="shared" si="140"/>
        <v/>
      </c>
      <c r="G1858" s="25" t="str">
        <f>IF(Receipts!$I1861="","",Receipts!$I1861)</f>
        <v/>
      </c>
      <c r="H1858" s="25" t="str">
        <f>IF(Receipts!$H1861="","",Receipts!$H1861)</f>
        <v/>
      </c>
      <c r="I1858" s="26" t="str">
        <f t="shared" ca="1" si="141"/>
        <v/>
      </c>
      <c r="J1858" s="26" t="str">
        <f>IF($A1858="","",COUNTIFS(tblReceipts[Item Name],$A1858,tblReceipts[Expiry Date],"&lt;"&amp;$H1858)+COUNTIFS(tblReceipts[Item Name],$A1858,tblReceipts[Expiry Date],$H1858,tblReceipts[Lot Number],"&lt;="&amp;Receipts!$C1861))</f>
        <v/>
      </c>
      <c r="K1858" s="26" t="str">
        <f>IF($A1858="","",SUMIFS(tblReceipts[Qty Received],tblReceipts[Item Name],$A1858,tblReceipts[Expiry Date],"&lt;"&amp;$H1858)+SUMIFS(tblReceipts[Qty Received],tblReceipts[Item Name],$A1858,tblReceipts[Expiry Date],$H1858,tblReceipts[Lot Number],"&lt;"&amp;Receipts!$C1861))</f>
        <v/>
      </c>
      <c r="L1858" s="26" t="str">
        <f>IF($A1858="","",MIN($D1858,MAX(0,SUMIFS(tblIssues[Qty Issued],tblIssues[Item Name],$A1858)-$K1858)))</f>
        <v/>
      </c>
      <c r="M1858" s="26" t="str">
        <f>IF($A1858="","",SUMIFS(tblIssues[Qty Issued],tblIssues[Lot Number],$B1858))</f>
        <v/>
      </c>
      <c r="N1858" s="26" t="str">
        <f t="shared" si="142"/>
        <v/>
      </c>
      <c r="O1858" s="26" t="str">
        <f t="shared" si="143"/>
        <v/>
      </c>
      <c r="P1858" s="21" t="str">
        <f t="shared" si="144"/>
        <v/>
      </c>
      <c r="Q1858" s="52" t="str">
        <f>IF($A1858="","",IF($O1858&lt;=0,"Depleted",IF($I1858&lt;0,"EXPIRED",IF($I1858&lt;=Settings!$C$6,"CRITICAL",IF($I1858&lt;=Settings!$C$5,"Expiring","In date")))))</f>
        <v/>
      </c>
    </row>
    <row r="1859" spans="1:17" x14ac:dyDescent="0.35">
      <c r="A1859" s="90" t="str">
        <f>IF(Receipts!$D1862="","",Receipts!$D1862)</f>
        <v/>
      </c>
      <c r="B1859" s="18" t="str">
        <f>IF(Receipts!$C1862="","",Receipts!$C1862)</f>
        <v/>
      </c>
      <c r="C1859" s="18" t="str">
        <f>IF($A1859="","",IFERROR(INDEX(Items!$B$5:$B$597,MATCH($A1859,Items!$A$5:$A$597,0)),""))</f>
        <v/>
      </c>
      <c r="D1859" s="23" t="str">
        <f>IF($A1859="","",N(Receipts!$G1862))</f>
        <v/>
      </c>
      <c r="E1859" s="20" t="str">
        <f>IF($A1859="","",IFERROR(INDEX(Items!$D$5:$D$597,MATCH($A1859,Items!$A$5:$A$597,0)),0))</f>
        <v/>
      </c>
      <c r="F1859" s="21" t="str">
        <f t="shared" si="140"/>
        <v/>
      </c>
      <c r="G1859" s="25" t="str">
        <f>IF(Receipts!$I1862="","",Receipts!$I1862)</f>
        <v/>
      </c>
      <c r="H1859" s="25" t="str">
        <f>IF(Receipts!$H1862="","",Receipts!$H1862)</f>
        <v/>
      </c>
      <c r="I1859" s="26" t="str">
        <f t="shared" ca="1" si="141"/>
        <v/>
      </c>
      <c r="J1859" s="26" t="str">
        <f>IF($A1859="","",COUNTIFS(tblReceipts[Item Name],$A1859,tblReceipts[Expiry Date],"&lt;"&amp;$H1859)+COUNTIFS(tblReceipts[Item Name],$A1859,tblReceipts[Expiry Date],$H1859,tblReceipts[Lot Number],"&lt;="&amp;Receipts!$C1862))</f>
        <v/>
      </c>
      <c r="K1859" s="26" t="str">
        <f>IF($A1859="","",SUMIFS(tblReceipts[Qty Received],tblReceipts[Item Name],$A1859,tblReceipts[Expiry Date],"&lt;"&amp;$H1859)+SUMIFS(tblReceipts[Qty Received],tblReceipts[Item Name],$A1859,tblReceipts[Expiry Date],$H1859,tblReceipts[Lot Number],"&lt;"&amp;Receipts!$C1862))</f>
        <v/>
      </c>
      <c r="L1859" s="26" t="str">
        <f>IF($A1859="","",MIN($D1859,MAX(0,SUMIFS(tblIssues[Qty Issued],tblIssues[Item Name],$A1859)-$K1859)))</f>
        <v/>
      </c>
      <c r="M1859" s="26" t="str">
        <f>IF($A1859="","",SUMIFS(tblIssues[Qty Issued],tblIssues[Lot Number],$B1859))</f>
        <v/>
      </c>
      <c r="N1859" s="26" t="str">
        <f t="shared" si="142"/>
        <v/>
      </c>
      <c r="O1859" s="26" t="str">
        <f t="shared" si="143"/>
        <v/>
      </c>
      <c r="P1859" s="21" t="str">
        <f t="shared" si="144"/>
        <v/>
      </c>
      <c r="Q1859" s="52" t="str">
        <f>IF($A1859="","",IF($O1859&lt;=0,"Depleted",IF($I1859&lt;0,"EXPIRED",IF($I1859&lt;=Settings!$C$6,"CRITICAL",IF($I1859&lt;=Settings!$C$5,"Expiring","In date")))))</f>
        <v/>
      </c>
    </row>
    <row r="1860" spans="1:17" x14ac:dyDescent="0.35">
      <c r="A1860" s="90" t="str">
        <f>IF(Receipts!$D1863="","",Receipts!$D1863)</f>
        <v/>
      </c>
      <c r="B1860" s="18" t="str">
        <f>IF(Receipts!$C1863="","",Receipts!$C1863)</f>
        <v/>
      </c>
      <c r="C1860" s="18" t="str">
        <f>IF($A1860="","",IFERROR(INDEX(Items!$B$5:$B$597,MATCH($A1860,Items!$A$5:$A$597,0)),""))</f>
        <v/>
      </c>
      <c r="D1860" s="23" t="str">
        <f>IF($A1860="","",N(Receipts!$G1863))</f>
        <v/>
      </c>
      <c r="E1860" s="20" t="str">
        <f>IF($A1860="","",IFERROR(INDEX(Items!$D$5:$D$597,MATCH($A1860,Items!$A$5:$A$597,0)),0))</f>
        <v/>
      </c>
      <c r="F1860" s="21" t="str">
        <f t="shared" si="140"/>
        <v/>
      </c>
      <c r="G1860" s="25" t="str">
        <f>IF(Receipts!$I1863="","",Receipts!$I1863)</f>
        <v/>
      </c>
      <c r="H1860" s="25" t="str">
        <f>IF(Receipts!$H1863="","",Receipts!$H1863)</f>
        <v/>
      </c>
      <c r="I1860" s="26" t="str">
        <f t="shared" ca="1" si="141"/>
        <v/>
      </c>
      <c r="J1860" s="26" t="str">
        <f>IF($A1860="","",COUNTIFS(tblReceipts[Item Name],$A1860,tblReceipts[Expiry Date],"&lt;"&amp;$H1860)+COUNTIFS(tblReceipts[Item Name],$A1860,tblReceipts[Expiry Date],$H1860,tblReceipts[Lot Number],"&lt;="&amp;Receipts!$C1863))</f>
        <v/>
      </c>
      <c r="K1860" s="26" t="str">
        <f>IF($A1860="","",SUMIFS(tblReceipts[Qty Received],tblReceipts[Item Name],$A1860,tblReceipts[Expiry Date],"&lt;"&amp;$H1860)+SUMIFS(tblReceipts[Qty Received],tblReceipts[Item Name],$A1860,tblReceipts[Expiry Date],$H1860,tblReceipts[Lot Number],"&lt;"&amp;Receipts!$C1863))</f>
        <v/>
      </c>
      <c r="L1860" s="26" t="str">
        <f>IF($A1860="","",MIN($D1860,MAX(0,SUMIFS(tblIssues[Qty Issued],tblIssues[Item Name],$A1860)-$K1860)))</f>
        <v/>
      </c>
      <c r="M1860" s="26" t="str">
        <f>IF($A1860="","",SUMIFS(tblIssues[Qty Issued],tblIssues[Lot Number],$B1860))</f>
        <v/>
      </c>
      <c r="N1860" s="26" t="str">
        <f t="shared" si="142"/>
        <v/>
      </c>
      <c r="O1860" s="26" t="str">
        <f t="shared" si="143"/>
        <v/>
      </c>
      <c r="P1860" s="21" t="str">
        <f t="shared" si="144"/>
        <v/>
      </c>
      <c r="Q1860" s="52" t="str">
        <f>IF($A1860="","",IF($O1860&lt;=0,"Depleted",IF($I1860&lt;0,"EXPIRED",IF($I1860&lt;=Settings!$C$6,"CRITICAL",IF($I1860&lt;=Settings!$C$5,"Expiring","In date")))))</f>
        <v/>
      </c>
    </row>
    <row r="1861" spans="1:17" x14ac:dyDescent="0.35">
      <c r="A1861" s="90" t="str">
        <f>IF(Receipts!$D1864="","",Receipts!$D1864)</f>
        <v/>
      </c>
      <c r="B1861" s="18" t="str">
        <f>IF(Receipts!$C1864="","",Receipts!$C1864)</f>
        <v/>
      </c>
      <c r="C1861" s="18" t="str">
        <f>IF($A1861="","",IFERROR(INDEX(Items!$B$5:$B$597,MATCH($A1861,Items!$A$5:$A$597,0)),""))</f>
        <v/>
      </c>
      <c r="D1861" s="23" t="str">
        <f>IF($A1861="","",N(Receipts!$G1864))</f>
        <v/>
      </c>
      <c r="E1861" s="20" t="str">
        <f>IF($A1861="","",IFERROR(INDEX(Items!$D$5:$D$597,MATCH($A1861,Items!$A$5:$A$597,0)),0))</f>
        <v/>
      </c>
      <c r="F1861" s="21" t="str">
        <f t="shared" ref="F1861:F1924" si="145">IF($A1861="","",$D1861*$E1861)</f>
        <v/>
      </c>
      <c r="G1861" s="25" t="str">
        <f>IF(Receipts!$I1864="","",Receipts!$I1864)</f>
        <v/>
      </c>
      <c r="H1861" s="25" t="str">
        <f>IF(Receipts!$H1864="","",Receipts!$H1864)</f>
        <v/>
      </c>
      <c r="I1861" s="26" t="str">
        <f t="shared" ref="I1861:I1924" ca="1" si="146">IF($H1861="","",$H1861-TODAY())</f>
        <v/>
      </c>
      <c r="J1861" s="26" t="str">
        <f>IF($A1861="","",COUNTIFS(tblReceipts[Item Name],$A1861,tblReceipts[Expiry Date],"&lt;"&amp;$H1861)+COUNTIFS(tblReceipts[Item Name],$A1861,tblReceipts[Expiry Date],$H1861,tblReceipts[Lot Number],"&lt;="&amp;Receipts!$C1864))</f>
        <v/>
      </c>
      <c r="K1861" s="26" t="str">
        <f>IF($A1861="","",SUMIFS(tblReceipts[Qty Received],tblReceipts[Item Name],$A1861,tblReceipts[Expiry Date],"&lt;"&amp;$H1861)+SUMIFS(tblReceipts[Qty Received],tblReceipts[Item Name],$A1861,tblReceipts[Expiry Date],$H1861,tblReceipts[Lot Number],"&lt;"&amp;Receipts!$C1864))</f>
        <v/>
      </c>
      <c r="L1861" s="26" t="str">
        <f>IF($A1861="","",MIN($D1861,MAX(0,SUMIFS(tblIssues[Qty Issued],tblIssues[Item Name],$A1861)-$K1861)))</f>
        <v/>
      </c>
      <c r="M1861" s="26" t="str">
        <f>IF($A1861="","",SUMIFS(tblIssues[Qty Issued],tblIssues[Lot Number],$B1861))</f>
        <v/>
      </c>
      <c r="N1861" s="26" t="str">
        <f t="shared" ref="N1861:N1924" si="147">IF($A1861="","",$M1861-$L1861)</f>
        <v/>
      </c>
      <c r="O1861" s="26" t="str">
        <f t="shared" ref="O1861:O1924" si="148">IF($A1861="","",$D1861-$L1861)</f>
        <v/>
      </c>
      <c r="P1861" s="21" t="str">
        <f t="shared" ref="P1861:P1924" si="149">IF($A1861="","",$O1861*$E1861)</f>
        <v/>
      </c>
      <c r="Q1861" s="52" t="str">
        <f>IF($A1861="","",IF($O1861&lt;=0,"Depleted",IF($I1861&lt;0,"EXPIRED",IF($I1861&lt;=Settings!$C$6,"CRITICAL",IF($I1861&lt;=Settings!$C$5,"Expiring","In date")))))</f>
        <v/>
      </c>
    </row>
    <row r="1862" spans="1:17" x14ac:dyDescent="0.35">
      <c r="A1862" s="90" t="str">
        <f>IF(Receipts!$D1865="","",Receipts!$D1865)</f>
        <v/>
      </c>
      <c r="B1862" s="18" t="str">
        <f>IF(Receipts!$C1865="","",Receipts!$C1865)</f>
        <v/>
      </c>
      <c r="C1862" s="18" t="str">
        <f>IF($A1862="","",IFERROR(INDEX(Items!$B$5:$B$597,MATCH($A1862,Items!$A$5:$A$597,0)),""))</f>
        <v/>
      </c>
      <c r="D1862" s="23" t="str">
        <f>IF($A1862="","",N(Receipts!$G1865))</f>
        <v/>
      </c>
      <c r="E1862" s="20" t="str">
        <f>IF($A1862="","",IFERROR(INDEX(Items!$D$5:$D$597,MATCH($A1862,Items!$A$5:$A$597,0)),0))</f>
        <v/>
      </c>
      <c r="F1862" s="21" t="str">
        <f t="shared" si="145"/>
        <v/>
      </c>
      <c r="G1862" s="25" t="str">
        <f>IF(Receipts!$I1865="","",Receipts!$I1865)</f>
        <v/>
      </c>
      <c r="H1862" s="25" t="str">
        <f>IF(Receipts!$H1865="","",Receipts!$H1865)</f>
        <v/>
      </c>
      <c r="I1862" s="26" t="str">
        <f t="shared" ca="1" si="146"/>
        <v/>
      </c>
      <c r="J1862" s="26" t="str">
        <f>IF($A1862="","",COUNTIFS(tblReceipts[Item Name],$A1862,tblReceipts[Expiry Date],"&lt;"&amp;$H1862)+COUNTIFS(tblReceipts[Item Name],$A1862,tblReceipts[Expiry Date],$H1862,tblReceipts[Lot Number],"&lt;="&amp;Receipts!$C1865))</f>
        <v/>
      </c>
      <c r="K1862" s="26" t="str">
        <f>IF($A1862="","",SUMIFS(tblReceipts[Qty Received],tblReceipts[Item Name],$A1862,tblReceipts[Expiry Date],"&lt;"&amp;$H1862)+SUMIFS(tblReceipts[Qty Received],tblReceipts[Item Name],$A1862,tblReceipts[Expiry Date],$H1862,tblReceipts[Lot Number],"&lt;"&amp;Receipts!$C1865))</f>
        <v/>
      </c>
      <c r="L1862" s="26" t="str">
        <f>IF($A1862="","",MIN($D1862,MAX(0,SUMIFS(tblIssues[Qty Issued],tblIssues[Item Name],$A1862)-$K1862)))</f>
        <v/>
      </c>
      <c r="M1862" s="26" t="str">
        <f>IF($A1862="","",SUMIFS(tblIssues[Qty Issued],tblIssues[Lot Number],$B1862))</f>
        <v/>
      </c>
      <c r="N1862" s="26" t="str">
        <f t="shared" si="147"/>
        <v/>
      </c>
      <c r="O1862" s="26" t="str">
        <f t="shared" si="148"/>
        <v/>
      </c>
      <c r="P1862" s="21" t="str">
        <f t="shared" si="149"/>
        <v/>
      </c>
      <c r="Q1862" s="52" t="str">
        <f>IF($A1862="","",IF($O1862&lt;=0,"Depleted",IF($I1862&lt;0,"EXPIRED",IF($I1862&lt;=Settings!$C$6,"CRITICAL",IF($I1862&lt;=Settings!$C$5,"Expiring","In date")))))</f>
        <v/>
      </c>
    </row>
    <row r="1863" spans="1:17" x14ac:dyDescent="0.35">
      <c r="A1863" s="90" t="str">
        <f>IF(Receipts!$D1866="","",Receipts!$D1866)</f>
        <v/>
      </c>
      <c r="B1863" s="18" t="str">
        <f>IF(Receipts!$C1866="","",Receipts!$C1866)</f>
        <v/>
      </c>
      <c r="C1863" s="18" t="str">
        <f>IF($A1863="","",IFERROR(INDEX(Items!$B$5:$B$597,MATCH($A1863,Items!$A$5:$A$597,0)),""))</f>
        <v/>
      </c>
      <c r="D1863" s="23" t="str">
        <f>IF($A1863="","",N(Receipts!$G1866))</f>
        <v/>
      </c>
      <c r="E1863" s="20" t="str">
        <f>IF($A1863="","",IFERROR(INDEX(Items!$D$5:$D$597,MATCH($A1863,Items!$A$5:$A$597,0)),0))</f>
        <v/>
      </c>
      <c r="F1863" s="21" t="str">
        <f t="shared" si="145"/>
        <v/>
      </c>
      <c r="G1863" s="25" t="str">
        <f>IF(Receipts!$I1866="","",Receipts!$I1866)</f>
        <v/>
      </c>
      <c r="H1863" s="25" t="str">
        <f>IF(Receipts!$H1866="","",Receipts!$H1866)</f>
        <v/>
      </c>
      <c r="I1863" s="26" t="str">
        <f t="shared" ca="1" si="146"/>
        <v/>
      </c>
      <c r="J1863" s="26" t="str">
        <f>IF($A1863="","",COUNTIFS(tblReceipts[Item Name],$A1863,tblReceipts[Expiry Date],"&lt;"&amp;$H1863)+COUNTIFS(tblReceipts[Item Name],$A1863,tblReceipts[Expiry Date],$H1863,tblReceipts[Lot Number],"&lt;="&amp;Receipts!$C1866))</f>
        <v/>
      </c>
      <c r="K1863" s="26" t="str">
        <f>IF($A1863="","",SUMIFS(tblReceipts[Qty Received],tblReceipts[Item Name],$A1863,tblReceipts[Expiry Date],"&lt;"&amp;$H1863)+SUMIFS(tblReceipts[Qty Received],tblReceipts[Item Name],$A1863,tblReceipts[Expiry Date],$H1863,tblReceipts[Lot Number],"&lt;"&amp;Receipts!$C1866))</f>
        <v/>
      </c>
      <c r="L1863" s="26" t="str">
        <f>IF($A1863="","",MIN($D1863,MAX(0,SUMIFS(tblIssues[Qty Issued],tblIssues[Item Name],$A1863)-$K1863)))</f>
        <v/>
      </c>
      <c r="M1863" s="26" t="str">
        <f>IF($A1863="","",SUMIFS(tblIssues[Qty Issued],tblIssues[Lot Number],$B1863))</f>
        <v/>
      </c>
      <c r="N1863" s="26" t="str">
        <f t="shared" si="147"/>
        <v/>
      </c>
      <c r="O1863" s="26" t="str">
        <f t="shared" si="148"/>
        <v/>
      </c>
      <c r="P1863" s="21" t="str">
        <f t="shared" si="149"/>
        <v/>
      </c>
      <c r="Q1863" s="52" t="str">
        <f>IF($A1863="","",IF($O1863&lt;=0,"Depleted",IF($I1863&lt;0,"EXPIRED",IF($I1863&lt;=Settings!$C$6,"CRITICAL",IF($I1863&lt;=Settings!$C$5,"Expiring","In date")))))</f>
        <v/>
      </c>
    </row>
    <row r="1864" spans="1:17" x14ac:dyDescent="0.35">
      <c r="A1864" s="90" t="str">
        <f>IF(Receipts!$D1867="","",Receipts!$D1867)</f>
        <v/>
      </c>
      <c r="B1864" s="18" t="str">
        <f>IF(Receipts!$C1867="","",Receipts!$C1867)</f>
        <v/>
      </c>
      <c r="C1864" s="18" t="str">
        <f>IF($A1864="","",IFERROR(INDEX(Items!$B$5:$B$597,MATCH($A1864,Items!$A$5:$A$597,0)),""))</f>
        <v/>
      </c>
      <c r="D1864" s="23" t="str">
        <f>IF($A1864="","",N(Receipts!$G1867))</f>
        <v/>
      </c>
      <c r="E1864" s="20" t="str">
        <f>IF($A1864="","",IFERROR(INDEX(Items!$D$5:$D$597,MATCH($A1864,Items!$A$5:$A$597,0)),0))</f>
        <v/>
      </c>
      <c r="F1864" s="21" t="str">
        <f t="shared" si="145"/>
        <v/>
      </c>
      <c r="G1864" s="25" t="str">
        <f>IF(Receipts!$I1867="","",Receipts!$I1867)</f>
        <v/>
      </c>
      <c r="H1864" s="25" t="str">
        <f>IF(Receipts!$H1867="","",Receipts!$H1867)</f>
        <v/>
      </c>
      <c r="I1864" s="26" t="str">
        <f t="shared" ca="1" si="146"/>
        <v/>
      </c>
      <c r="J1864" s="26" t="str">
        <f>IF($A1864="","",COUNTIFS(tblReceipts[Item Name],$A1864,tblReceipts[Expiry Date],"&lt;"&amp;$H1864)+COUNTIFS(tblReceipts[Item Name],$A1864,tblReceipts[Expiry Date],$H1864,tblReceipts[Lot Number],"&lt;="&amp;Receipts!$C1867))</f>
        <v/>
      </c>
      <c r="K1864" s="26" t="str">
        <f>IF($A1864="","",SUMIFS(tblReceipts[Qty Received],tblReceipts[Item Name],$A1864,tblReceipts[Expiry Date],"&lt;"&amp;$H1864)+SUMIFS(tblReceipts[Qty Received],tblReceipts[Item Name],$A1864,tblReceipts[Expiry Date],$H1864,tblReceipts[Lot Number],"&lt;"&amp;Receipts!$C1867))</f>
        <v/>
      </c>
      <c r="L1864" s="26" t="str">
        <f>IF($A1864="","",MIN($D1864,MAX(0,SUMIFS(tblIssues[Qty Issued],tblIssues[Item Name],$A1864)-$K1864)))</f>
        <v/>
      </c>
      <c r="M1864" s="26" t="str">
        <f>IF($A1864="","",SUMIFS(tblIssues[Qty Issued],tblIssues[Lot Number],$B1864))</f>
        <v/>
      </c>
      <c r="N1864" s="26" t="str">
        <f t="shared" si="147"/>
        <v/>
      </c>
      <c r="O1864" s="26" t="str">
        <f t="shared" si="148"/>
        <v/>
      </c>
      <c r="P1864" s="21" t="str">
        <f t="shared" si="149"/>
        <v/>
      </c>
      <c r="Q1864" s="52" t="str">
        <f>IF($A1864="","",IF($O1864&lt;=0,"Depleted",IF($I1864&lt;0,"EXPIRED",IF($I1864&lt;=Settings!$C$6,"CRITICAL",IF($I1864&lt;=Settings!$C$5,"Expiring","In date")))))</f>
        <v/>
      </c>
    </row>
    <row r="1865" spans="1:17" x14ac:dyDescent="0.35">
      <c r="A1865" s="90" t="str">
        <f>IF(Receipts!$D1868="","",Receipts!$D1868)</f>
        <v/>
      </c>
      <c r="B1865" s="18" t="str">
        <f>IF(Receipts!$C1868="","",Receipts!$C1868)</f>
        <v/>
      </c>
      <c r="C1865" s="18" t="str">
        <f>IF($A1865="","",IFERROR(INDEX(Items!$B$5:$B$597,MATCH($A1865,Items!$A$5:$A$597,0)),""))</f>
        <v/>
      </c>
      <c r="D1865" s="23" t="str">
        <f>IF($A1865="","",N(Receipts!$G1868))</f>
        <v/>
      </c>
      <c r="E1865" s="20" t="str">
        <f>IF($A1865="","",IFERROR(INDEX(Items!$D$5:$D$597,MATCH($A1865,Items!$A$5:$A$597,0)),0))</f>
        <v/>
      </c>
      <c r="F1865" s="21" t="str">
        <f t="shared" si="145"/>
        <v/>
      </c>
      <c r="G1865" s="25" t="str">
        <f>IF(Receipts!$I1868="","",Receipts!$I1868)</f>
        <v/>
      </c>
      <c r="H1865" s="25" t="str">
        <f>IF(Receipts!$H1868="","",Receipts!$H1868)</f>
        <v/>
      </c>
      <c r="I1865" s="26" t="str">
        <f t="shared" ca="1" si="146"/>
        <v/>
      </c>
      <c r="J1865" s="26" t="str">
        <f>IF($A1865="","",COUNTIFS(tblReceipts[Item Name],$A1865,tblReceipts[Expiry Date],"&lt;"&amp;$H1865)+COUNTIFS(tblReceipts[Item Name],$A1865,tblReceipts[Expiry Date],$H1865,tblReceipts[Lot Number],"&lt;="&amp;Receipts!$C1868))</f>
        <v/>
      </c>
      <c r="K1865" s="26" t="str">
        <f>IF($A1865="","",SUMIFS(tblReceipts[Qty Received],tblReceipts[Item Name],$A1865,tblReceipts[Expiry Date],"&lt;"&amp;$H1865)+SUMIFS(tblReceipts[Qty Received],tblReceipts[Item Name],$A1865,tblReceipts[Expiry Date],$H1865,tblReceipts[Lot Number],"&lt;"&amp;Receipts!$C1868))</f>
        <v/>
      </c>
      <c r="L1865" s="26" t="str">
        <f>IF($A1865="","",MIN($D1865,MAX(0,SUMIFS(tblIssues[Qty Issued],tblIssues[Item Name],$A1865)-$K1865)))</f>
        <v/>
      </c>
      <c r="M1865" s="26" t="str">
        <f>IF($A1865="","",SUMIFS(tblIssues[Qty Issued],tblIssues[Lot Number],$B1865))</f>
        <v/>
      </c>
      <c r="N1865" s="26" t="str">
        <f t="shared" si="147"/>
        <v/>
      </c>
      <c r="O1865" s="26" t="str">
        <f t="shared" si="148"/>
        <v/>
      </c>
      <c r="P1865" s="21" t="str">
        <f t="shared" si="149"/>
        <v/>
      </c>
      <c r="Q1865" s="52" t="str">
        <f>IF($A1865="","",IF($O1865&lt;=0,"Depleted",IF($I1865&lt;0,"EXPIRED",IF($I1865&lt;=Settings!$C$6,"CRITICAL",IF($I1865&lt;=Settings!$C$5,"Expiring","In date")))))</f>
        <v/>
      </c>
    </row>
    <row r="1866" spans="1:17" x14ac:dyDescent="0.35">
      <c r="A1866" s="90" t="str">
        <f>IF(Receipts!$D1869="","",Receipts!$D1869)</f>
        <v/>
      </c>
      <c r="B1866" s="18" t="str">
        <f>IF(Receipts!$C1869="","",Receipts!$C1869)</f>
        <v/>
      </c>
      <c r="C1866" s="18" t="str">
        <f>IF($A1866="","",IFERROR(INDEX(Items!$B$5:$B$597,MATCH($A1866,Items!$A$5:$A$597,0)),""))</f>
        <v/>
      </c>
      <c r="D1866" s="23" t="str">
        <f>IF($A1866="","",N(Receipts!$G1869))</f>
        <v/>
      </c>
      <c r="E1866" s="20" t="str">
        <f>IF($A1866="","",IFERROR(INDEX(Items!$D$5:$D$597,MATCH($A1866,Items!$A$5:$A$597,0)),0))</f>
        <v/>
      </c>
      <c r="F1866" s="21" t="str">
        <f t="shared" si="145"/>
        <v/>
      </c>
      <c r="G1866" s="25" t="str">
        <f>IF(Receipts!$I1869="","",Receipts!$I1869)</f>
        <v/>
      </c>
      <c r="H1866" s="25" t="str">
        <f>IF(Receipts!$H1869="","",Receipts!$H1869)</f>
        <v/>
      </c>
      <c r="I1866" s="26" t="str">
        <f t="shared" ca="1" si="146"/>
        <v/>
      </c>
      <c r="J1866" s="26" t="str">
        <f>IF($A1866="","",COUNTIFS(tblReceipts[Item Name],$A1866,tblReceipts[Expiry Date],"&lt;"&amp;$H1866)+COUNTIFS(tblReceipts[Item Name],$A1866,tblReceipts[Expiry Date],$H1866,tblReceipts[Lot Number],"&lt;="&amp;Receipts!$C1869))</f>
        <v/>
      </c>
      <c r="K1866" s="26" t="str">
        <f>IF($A1866="","",SUMIFS(tblReceipts[Qty Received],tblReceipts[Item Name],$A1866,tblReceipts[Expiry Date],"&lt;"&amp;$H1866)+SUMIFS(tblReceipts[Qty Received],tblReceipts[Item Name],$A1866,tblReceipts[Expiry Date],$H1866,tblReceipts[Lot Number],"&lt;"&amp;Receipts!$C1869))</f>
        <v/>
      </c>
      <c r="L1866" s="26" t="str">
        <f>IF($A1866="","",MIN($D1866,MAX(0,SUMIFS(tblIssues[Qty Issued],tblIssues[Item Name],$A1866)-$K1866)))</f>
        <v/>
      </c>
      <c r="M1866" s="26" t="str">
        <f>IF($A1866="","",SUMIFS(tblIssues[Qty Issued],tblIssues[Lot Number],$B1866))</f>
        <v/>
      </c>
      <c r="N1866" s="26" t="str">
        <f t="shared" si="147"/>
        <v/>
      </c>
      <c r="O1866" s="26" t="str">
        <f t="shared" si="148"/>
        <v/>
      </c>
      <c r="P1866" s="21" t="str">
        <f t="shared" si="149"/>
        <v/>
      </c>
      <c r="Q1866" s="52" t="str">
        <f>IF($A1866="","",IF($O1866&lt;=0,"Depleted",IF($I1866&lt;0,"EXPIRED",IF($I1866&lt;=Settings!$C$6,"CRITICAL",IF($I1866&lt;=Settings!$C$5,"Expiring","In date")))))</f>
        <v/>
      </c>
    </row>
    <row r="1867" spans="1:17" x14ac:dyDescent="0.35">
      <c r="A1867" s="90" t="str">
        <f>IF(Receipts!$D1870="","",Receipts!$D1870)</f>
        <v/>
      </c>
      <c r="B1867" s="18" t="str">
        <f>IF(Receipts!$C1870="","",Receipts!$C1870)</f>
        <v/>
      </c>
      <c r="C1867" s="18" t="str">
        <f>IF($A1867="","",IFERROR(INDEX(Items!$B$5:$B$597,MATCH($A1867,Items!$A$5:$A$597,0)),""))</f>
        <v/>
      </c>
      <c r="D1867" s="23" t="str">
        <f>IF($A1867="","",N(Receipts!$G1870))</f>
        <v/>
      </c>
      <c r="E1867" s="20" t="str">
        <f>IF($A1867="","",IFERROR(INDEX(Items!$D$5:$D$597,MATCH($A1867,Items!$A$5:$A$597,0)),0))</f>
        <v/>
      </c>
      <c r="F1867" s="21" t="str">
        <f t="shared" si="145"/>
        <v/>
      </c>
      <c r="G1867" s="25" t="str">
        <f>IF(Receipts!$I1870="","",Receipts!$I1870)</f>
        <v/>
      </c>
      <c r="H1867" s="25" t="str">
        <f>IF(Receipts!$H1870="","",Receipts!$H1870)</f>
        <v/>
      </c>
      <c r="I1867" s="26" t="str">
        <f t="shared" ca="1" si="146"/>
        <v/>
      </c>
      <c r="J1867" s="26" t="str">
        <f>IF($A1867="","",COUNTIFS(tblReceipts[Item Name],$A1867,tblReceipts[Expiry Date],"&lt;"&amp;$H1867)+COUNTIFS(tblReceipts[Item Name],$A1867,tblReceipts[Expiry Date],$H1867,tblReceipts[Lot Number],"&lt;="&amp;Receipts!$C1870))</f>
        <v/>
      </c>
      <c r="K1867" s="26" t="str">
        <f>IF($A1867="","",SUMIFS(tblReceipts[Qty Received],tblReceipts[Item Name],$A1867,tblReceipts[Expiry Date],"&lt;"&amp;$H1867)+SUMIFS(tblReceipts[Qty Received],tblReceipts[Item Name],$A1867,tblReceipts[Expiry Date],$H1867,tblReceipts[Lot Number],"&lt;"&amp;Receipts!$C1870))</f>
        <v/>
      </c>
      <c r="L1867" s="26" t="str">
        <f>IF($A1867="","",MIN($D1867,MAX(0,SUMIFS(tblIssues[Qty Issued],tblIssues[Item Name],$A1867)-$K1867)))</f>
        <v/>
      </c>
      <c r="M1867" s="26" t="str">
        <f>IF($A1867="","",SUMIFS(tblIssues[Qty Issued],tblIssues[Lot Number],$B1867))</f>
        <v/>
      </c>
      <c r="N1867" s="26" t="str">
        <f t="shared" si="147"/>
        <v/>
      </c>
      <c r="O1867" s="26" t="str">
        <f t="shared" si="148"/>
        <v/>
      </c>
      <c r="P1867" s="21" t="str">
        <f t="shared" si="149"/>
        <v/>
      </c>
      <c r="Q1867" s="52" t="str">
        <f>IF($A1867="","",IF($O1867&lt;=0,"Depleted",IF($I1867&lt;0,"EXPIRED",IF($I1867&lt;=Settings!$C$6,"CRITICAL",IF($I1867&lt;=Settings!$C$5,"Expiring","In date")))))</f>
        <v/>
      </c>
    </row>
    <row r="1868" spans="1:17" x14ac:dyDescent="0.35">
      <c r="A1868" s="90" t="str">
        <f>IF(Receipts!$D1871="","",Receipts!$D1871)</f>
        <v/>
      </c>
      <c r="B1868" s="18" t="str">
        <f>IF(Receipts!$C1871="","",Receipts!$C1871)</f>
        <v/>
      </c>
      <c r="C1868" s="18" t="str">
        <f>IF($A1868="","",IFERROR(INDEX(Items!$B$5:$B$597,MATCH($A1868,Items!$A$5:$A$597,0)),""))</f>
        <v/>
      </c>
      <c r="D1868" s="23" t="str">
        <f>IF($A1868="","",N(Receipts!$G1871))</f>
        <v/>
      </c>
      <c r="E1868" s="20" t="str">
        <f>IF($A1868="","",IFERROR(INDEX(Items!$D$5:$D$597,MATCH($A1868,Items!$A$5:$A$597,0)),0))</f>
        <v/>
      </c>
      <c r="F1868" s="21" t="str">
        <f t="shared" si="145"/>
        <v/>
      </c>
      <c r="G1868" s="25" t="str">
        <f>IF(Receipts!$I1871="","",Receipts!$I1871)</f>
        <v/>
      </c>
      <c r="H1868" s="25" t="str">
        <f>IF(Receipts!$H1871="","",Receipts!$H1871)</f>
        <v/>
      </c>
      <c r="I1868" s="26" t="str">
        <f t="shared" ca="1" si="146"/>
        <v/>
      </c>
      <c r="J1868" s="26" t="str">
        <f>IF($A1868="","",COUNTIFS(tblReceipts[Item Name],$A1868,tblReceipts[Expiry Date],"&lt;"&amp;$H1868)+COUNTIFS(tblReceipts[Item Name],$A1868,tblReceipts[Expiry Date],$H1868,tblReceipts[Lot Number],"&lt;="&amp;Receipts!$C1871))</f>
        <v/>
      </c>
      <c r="K1868" s="26" t="str">
        <f>IF($A1868="","",SUMIFS(tblReceipts[Qty Received],tblReceipts[Item Name],$A1868,tblReceipts[Expiry Date],"&lt;"&amp;$H1868)+SUMIFS(tblReceipts[Qty Received],tblReceipts[Item Name],$A1868,tblReceipts[Expiry Date],$H1868,tblReceipts[Lot Number],"&lt;"&amp;Receipts!$C1871))</f>
        <v/>
      </c>
      <c r="L1868" s="26" t="str">
        <f>IF($A1868="","",MIN($D1868,MAX(0,SUMIFS(tblIssues[Qty Issued],tblIssues[Item Name],$A1868)-$K1868)))</f>
        <v/>
      </c>
      <c r="M1868" s="26" t="str">
        <f>IF($A1868="","",SUMIFS(tblIssues[Qty Issued],tblIssues[Lot Number],$B1868))</f>
        <v/>
      </c>
      <c r="N1868" s="26" t="str">
        <f t="shared" si="147"/>
        <v/>
      </c>
      <c r="O1868" s="26" t="str">
        <f t="shared" si="148"/>
        <v/>
      </c>
      <c r="P1868" s="21" t="str">
        <f t="shared" si="149"/>
        <v/>
      </c>
      <c r="Q1868" s="52" t="str">
        <f>IF($A1868="","",IF($O1868&lt;=0,"Depleted",IF($I1868&lt;0,"EXPIRED",IF($I1868&lt;=Settings!$C$6,"CRITICAL",IF($I1868&lt;=Settings!$C$5,"Expiring","In date")))))</f>
        <v/>
      </c>
    </row>
    <row r="1869" spans="1:17" x14ac:dyDescent="0.35">
      <c r="A1869" s="90" t="str">
        <f>IF(Receipts!$D1872="","",Receipts!$D1872)</f>
        <v/>
      </c>
      <c r="B1869" s="18" t="str">
        <f>IF(Receipts!$C1872="","",Receipts!$C1872)</f>
        <v/>
      </c>
      <c r="C1869" s="18" t="str">
        <f>IF($A1869="","",IFERROR(INDEX(Items!$B$5:$B$597,MATCH($A1869,Items!$A$5:$A$597,0)),""))</f>
        <v/>
      </c>
      <c r="D1869" s="23" t="str">
        <f>IF($A1869="","",N(Receipts!$G1872))</f>
        <v/>
      </c>
      <c r="E1869" s="20" t="str">
        <f>IF($A1869="","",IFERROR(INDEX(Items!$D$5:$D$597,MATCH($A1869,Items!$A$5:$A$597,0)),0))</f>
        <v/>
      </c>
      <c r="F1869" s="21" t="str">
        <f t="shared" si="145"/>
        <v/>
      </c>
      <c r="G1869" s="25" t="str">
        <f>IF(Receipts!$I1872="","",Receipts!$I1872)</f>
        <v/>
      </c>
      <c r="H1869" s="25" t="str">
        <f>IF(Receipts!$H1872="","",Receipts!$H1872)</f>
        <v/>
      </c>
      <c r="I1869" s="26" t="str">
        <f t="shared" ca="1" si="146"/>
        <v/>
      </c>
      <c r="J1869" s="26" t="str">
        <f>IF($A1869="","",COUNTIFS(tblReceipts[Item Name],$A1869,tblReceipts[Expiry Date],"&lt;"&amp;$H1869)+COUNTIFS(tblReceipts[Item Name],$A1869,tblReceipts[Expiry Date],$H1869,tblReceipts[Lot Number],"&lt;="&amp;Receipts!$C1872))</f>
        <v/>
      </c>
      <c r="K1869" s="26" t="str">
        <f>IF($A1869="","",SUMIFS(tblReceipts[Qty Received],tblReceipts[Item Name],$A1869,tblReceipts[Expiry Date],"&lt;"&amp;$H1869)+SUMIFS(tblReceipts[Qty Received],tblReceipts[Item Name],$A1869,tblReceipts[Expiry Date],$H1869,tblReceipts[Lot Number],"&lt;"&amp;Receipts!$C1872))</f>
        <v/>
      </c>
      <c r="L1869" s="26" t="str">
        <f>IF($A1869="","",MIN($D1869,MAX(0,SUMIFS(tblIssues[Qty Issued],tblIssues[Item Name],$A1869)-$K1869)))</f>
        <v/>
      </c>
      <c r="M1869" s="26" t="str">
        <f>IF($A1869="","",SUMIFS(tblIssues[Qty Issued],tblIssues[Lot Number],$B1869))</f>
        <v/>
      </c>
      <c r="N1869" s="26" t="str">
        <f t="shared" si="147"/>
        <v/>
      </c>
      <c r="O1869" s="26" t="str">
        <f t="shared" si="148"/>
        <v/>
      </c>
      <c r="P1869" s="21" t="str">
        <f t="shared" si="149"/>
        <v/>
      </c>
      <c r="Q1869" s="52" t="str">
        <f>IF($A1869="","",IF($O1869&lt;=0,"Depleted",IF($I1869&lt;0,"EXPIRED",IF($I1869&lt;=Settings!$C$6,"CRITICAL",IF($I1869&lt;=Settings!$C$5,"Expiring","In date")))))</f>
        <v/>
      </c>
    </row>
    <row r="1870" spans="1:17" x14ac:dyDescent="0.35">
      <c r="A1870" s="90" t="str">
        <f>IF(Receipts!$D1873="","",Receipts!$D1873)</f>
        <v/>
      </c>
      <c r="B1870" s="18" t="str">
        <f>IF(Receipts!$C1873="","",Receipts!$C1873)</f>
        <v/>
      </c>
      <c r="C1870" s="18" t="str">
        <f>IF($A1870="","",IFERROR(INDEX(Items!$B$5:$B$597,MATCH($A1870,Items!$A$5:$A$597,0)),""))</f>
        <v/>
      </c>
      <c r="D1870" s="23" t="str">
        <f>IF($A1870="","",N(Receipts!$G1873))</f>
        <v/>
      </c>
      <c r="E1870" s="20" t="str">
        <f>IF($A1870="","",IFERROR(INDEX(Items!$D$5:$D$597,MATCH($A1870,Items!$A$5:$A$597,0)),0))</f>
        <v/>
      </c>
      <c r="F1870" s="21" t="str">
        <f t="shared" si="145"/>
        <v/>
      </c>
      <c r="G1870" s="25" t="str">
        <f>IF(Receipts!$I1873="","",Receipts!$I1873)</f>
        <v/>
      </c>
      <c r="H1870" s="25" t="str">
        <f>IF(Receipts!$H1873="","",Receipts!$H1873)</f>
        <v/>
      </c>
      <c r="I1870" s="26" t="str">
        <f t="shared" ca="1" si="146"/>
        <v/>
      </c>
      <c r="J1870" s="26" t="str">
        <f>IF($A1870="","",COUNTIFS(tblReceipts[Item Name],$A1870,tblReceipts[Expiry Date],"&lt;"&amp;$H1870)+COUNTIFS(tblReceipts[Item Name],$A1870,tblReceipts[Expiry Date],$H1870,tblReceipts[Lot Number],"&lt;="&amp;Receipts!$C1873))</f>
        <v/>
      </c>
      <c r="K1870" s="26" t="str">
        <f>IF($A1870="","",SUMIFS(tblReceipts[Qty Received],tblReceipts[Item Name],$A1870,tblReceipts[Expiry Date],"&lt;"&amp;$H1870)+SUMIFS(tblReceipts[Qty Received],tblReceipts[Item Name],$A1870,tblReceipts[Expiry Date],$H1870,tblReceipts[Lot Number],"&lt;"&amp;Receipts!$C1873))</f>
        <v/>
      </c>
      <c r="L1870" s="26" t="str">
        <f>IF($A1870="","",MIN($D1870,MAX(0,SUMIFS(tblIssues[Qty Issued],tblIssues[Item Name],$A1870)-$K1870)))</f>
        <v/>
      </c>
      <c r="M1870" s="26" t="str">
        <f>IF($A1870="","",SUMIFS(tblIssues[Qty Issued],tblIssues[Lot Number],$B1870))</f>
        <v/>
      </c>
      <c r="N1870" s="26" t="str">
        <f t="shared" si="147"/>
        <v/>
      </c>
      <c r="O1870" s="26" t="str">
        <f t="shared" si="148"/>
        <v/>
      </c>
      <c r="P1870" s="21" t="str">
        <f t="shared" si="149"/>
        <v/>
      </c>
      <c r="Q1870" s="52" t="str">
        <f>IF($A1870="","",IF($O1870&lt;=0,"Depleted",IF($I1870&lt;0,"EXPIRED",IF($I1870&lt;=Settings!$C$6,"CRITICAL",IF($I1870&lt;=Settings!$C$5,"Expiring","In date")))))</f>
        <v/>
      </c>
    </row>
    <row r="1871" spans="1:17" x14ac:dyDescent="0.35">
      <c r="A1871" s="90" t="str">
        <f>IF(Receipts!$D1874="","",Receipts!$D1874)</f>
        <v/>
      </c>
      <c r="B1871" s="18" t="str">
        <f>IF(Receipts!$C1874="","",Receipts!$C1874)</f>
        <v/>
      </c>
      <c r="C1871" s="18" t="str">
        <f>IF($A1871="","",IFERROR(INDEX(Items!$B$5:$B$597,MATCH($A1871,Items!$A$5:$A$597,0)),""))</f>
        <v/>
      </c>
      <c r="D1871" s="23" t="str">
        <f>IF($A1871="","",N(Receipts!$G1874))</f>
        <v/>
      </c>
      <c r="E1871" s="20" t="str">
        <f>IF($A1871="","",IFERROR(INDEX(Items!$D$5:$D$597,MATCH($A1871,Items!$A$5:$A$597,0)),0))</f>
        <v/>
      </c>
      <c r="F1871" s="21" t="str">
        <f t="shared" si="145"/>
        <v/>
      </c>
      <c r="G1871" s="25" t="str">
        <f>IF(Receipts!$I1874="","",Receipts!$I1874)</f>
        <v/>
      </c>
      <c r="H1871" s="25" t="str">
        <f>IF(Receipts!$H1874="","",Receipts!$H1874)</f>
        <v/>
      </c>
      <c r="I1871" s="26" t="str">
        <f t="shared" ca="1" si="146"/>
        <v/>
      </c>
      <c r="J1871" s="26" t="str">
        <f>IF($A1871="","",COUNTIFS(tblReceipts[Item Name],$A1871,tblReceipts[Expiry Date],"&lt;"&amp;$H1871)+COUNTIFS(tblReceipts[Item Name],$A1871,tblReceipts[Expiry Date],$H1871,tblReceipts[Lot Number],"&lt;="&amp;Receipts!$C1874))</f>
        <v/>
      </c>
      <c r="K1871" s="26" t="str">
        <f>IF($A1871="","",SUMIFS(tblReceipts[Qty Received],tblReceipts[Item Name],$A1871,tblReceipts[Expiry Date],"&lt;"&amp;$H1871)+SUMIFS(tblReceipts[Qty Received],tblReceipts[Item Name],$A1871,tblReceipts[Expiry Date],$H1871,tblReceipts[Lot Number],"&lt;"&amp;Receipts!$C1874))</f>
        <v/>
      </c>
      <c r="L1871" s="26" t="str">
        <f>IF($A1871="","",MIN($D1871,MAX(0,SUMIFS(tblIssues[Qty Issued],tblIssues[Item Name],$A1871)-$K1871)))</f>
        <v/>
      </c>
      <c r="M1871" s="26" t="str">
        <f>IF($A1871="","",SUMIFS(tblIssues[Qty Issued],tblIssues[Lot Number],$B1871))</f>
        <v/>
      </c>
      <c r="N1871" s="26" t="str">
        <f t="shared" si="147"/>
        <v/>
      </c>
      <c r="O1871" s="26" t="str">
        <f t="shared" si="148"/>
        <v/>
      </c>
      <c r="P1871" s="21" t="str">
        <f t="shared" si="149"/>
        <v/>
      </c>
      <c r="Q1871" s="52" t="str">
        <f>IF($A1871="","",IF($O1871&lt;=0,"Depleted",IF($I1871&lt;0,"EXPIRED",IF($I1871&lt;=Settings!$C$6,"CRITICAL",IF($I1871&lt;=Settings!$C$5,"Expiring","In date")))))</f>
        <v/>
      </c>
    </row>
    <row r="1872" spans="1:17" x14ac:dyDescent="0.35">
      <c r="A1872" s="90" t="str">
        <f>IF(Receipts!$D1875="","",Receipts!$D1875)</f>
        <v/>
      </c>
      <c r="B1872" s="18" t="str">
        <f>IF(Receipts!$C1875="","",Receipts!$C1875)</f>
        <v/>
      </c>
      <c r="C1872" s="18" t="str">
        <f>IF($A1872="","",IFERROR(INDEX(Items!$B$5:$B$597,MATCH($A1872,Items!$A$5:$A$597,0)),""))</f>
        <v/>
      </c>
      <c r="D1872" s="23" t="str">
        <f>IF($A1872="","",N(Receipts!$G1875))</f>
        <v/>
      </c>
      <c r="E1872" s="20" t="str">
        <f>IF($A1872="","",IFERROR(INDEX(Items!$D$5:$D$597,MATCH($A1872,Items!$A$5:$A$597,0)),0))</f>
        <v/>
      </c>
      <c r="F1872" s="21" t="str">
        <f t="shared" si="145"/>
        <v/>
      </c>
      <c r="G1872" s="25" t="str">
        <f>IF(Receipts!$I1875="","",Receipts!$I1875)</f>
        <v/>
      </c>
      <c r="H1872" s="25" t="str">
        <f>IF(Receipts!$H1875="","",Receipts!$H1875)</f>
        <v/>
      </c>
      <c r="I1872" s="26" t="str">
        <f t="shared" ca="1" si="146"/>
        <v/>
      </c>
      <c r="J1872" s="26" t="str">
        <f>IF($A1872="","",COUNTIFS(tblReceipts[Item Name],$A1872,tblReceipts[Expiry Date],"&lt;"&amp;$H1872)+COUNTIFS(tblReceipts[Item Name],$A1872,tblReceipts[Expiry Date],$H1872,tblReceipts[Lot Number],"&lt;="&amp;Receipts!$C1875))</f>
        <v/>
      </c>
      <c r="K1872" s="26" t="str">
        <f>IF($A1872="","",SUMIFS(tblReceipts[Qty Received],tblReceipts[Item Name],$A1872,tblReceipts[Expiry Date],"&lt;"&amp;$H1872)+SUMIFS(tblReceipts[Qty Received],tblReceipts[Item Name],$A1872,tblReceipts[Expiry Date],$H1872,tblReceipts[Lot Number],"&lt;"&amp;Receipts!$C1875))</f>
        <v/>
      </c>
      <c r="L1872" s="26" t="str">
        <f>IF($A1872="","",MIN($D1872,MAX(0,SUMIFS(tblIssues[Qty Issued],tblIssues[Item Name],$A1872)-$K1872)))</f>
        <v/>
      </c>
      <c r="M1872" s="26" t="str">
        <f>IF($A1872="","",SUMIFS(tblIssues[Qty Issued],tblIssues[Lot Number],$B1872))</f>
        <v/>
      </c>
      <c r="N1872" s="26" t="str">
        <f t="shared" si="147"/>
        <v/>
      </c>
      <c r="O1872" s="26" t="str">
        <f t="shared" si="148"/>
        <v/>
      </c>
      <c r="P1872" s="21" t="str">
        <f t="shared" si="149"/>
        <v/>
      </c>
      <c r="Q1872" s="52" t="str">
        <f>IF($A1872="","",IF($O1872&lt;=0,"Depleted",IF($I1872&lt;0,"EXPIRED",IF($I1872&lt;=Settings!$C$6,"CRITICAL",IF($I1872&lt;=Settings!$C$5,"Expiring","In date")))))</f>
        <v/>
      </c>
    </row>
    <row r="1873" spans="1:17" x14ac:dyDescent="0.35">
      <c r="A1873" s="90" t="str">
        <f>IF(Receipts!$D1876="","",Receipts!$D1876)</f>
        <v/>
      </c>
      <c r="B1873" s="18" t="str">
        <f>IF(Receipts!$C1876="","",Receipts!$C1876)</f>
        <v/>
      </c>
      <c r="C1873" s="18" t="str">
        <f>IF($A1873="","",IFERROR(INDEX(Items!$B$5:$B$597,MATCH($A1873,Items!$A$5:$A$597,0)),""))</f>
        <v/>
      </c>
      <c r="D1873" s="23" t="str">
        <f>IF($A1873="","",N(Receipts!$G1876))</f>
        <v/>
      </c>
      <c r="E1873" s="20" t="str">
        <f>IF($A1873="","",IFERROR(INDEX(Items!$D$5:$D$597,MATCH($A1873,Items!$A$5:$A$597,0)),0))</f>
        <v/>
      </c>
      <c r="F1873" s="21" t="str">
        <f t="shared" si="145"/>
        <v/>
      </c>
      <c r="G1873" s="25" t="str">
        <f>IF(Receipts!$I1876="","",Receipts!$I1876)</f>
        <v/>
      </c>
      <c r="H1873" s="25" t="str">
        <f>IF(Receipts!$H1876="","",Receipts!$H1876)</f>
        <v/>
      </c>
      <c r="I1873" s="26" t="str">
        <f t="shared" ca="1" si="146"/>
        <v/>
      </c>
      <c r="J1873" s="26" t="str">
        <f>IF($A1873="","",COUNTIFS(tblReceipts[Item Name],$A1873,tblReceipts[Expiry Date],"&lt;"&amp;$H1873)+COUNTIFS(tblReceipts[Item Name],$A1873,tblReceipts[Expiry Date],$H1873,tblReceipts[Lot Number],"&lt;="&amp;Receipts!$C1876))</f>
        <v/>
      </c>
      <c r="K1873" s="26" t="str">
        <f>IF($A1873="","",SUMIFS(tblReceipts[Qty Received],tblReceipts[Item Name],$A1873,tblReceipts[Expiry Date],"&lt;"&amp;$H1873)+SUMIFS(tblReceipts[Qty Received],tblReceipts[Item Name],$A1873,tblReceipts[Expiry Date],$H1873,tblReceipts[Lot Number],"&lt;"&amp;Receipts!$C1876))</f>
        <v/>
      </c>
      <c r="L1873" s="26" t="str">
        <f>IF($A1873="","",MIN($D1873,MAX(0,SUMIFS(tblIssues[Qty Issued],tblIssues[Item Name],$A1873)-$K1873)))</f>
        <v/>
      </c>
      <c r="M1873" s="26" t="str">
        <f>IF($A1873="","",SUMIFS(tblIssues[Qty Issued],tblIssues[Lot Number],$B1873))</f>
        <v/>
      </c>
      <c r="N1873" s="26" t="str">
        <f t="shared" si="147"/>
        <v/>
      </c>
      <c r="O1873" s="26" t="str">
        <f t="shared" si="148"/>
        <v/>
      </c>
      <c r="P1873" s="21" t="str">
        <f t="shared" si="149"/>
        <v/>
      </c>
      <c r="Q1873" s="52" t="str">
        <f>IF($A1873="","",IF($O1873&lt;=0,"Depleted",IF($I1873&lt;0,"EXPIRED",IF($I1873&lt;=Settings!$C$6,"CRITICAL",IF($I1873&lt;=Settings!$C$5,"Expiring","In date")))))</f>
        <v/>
      </c>
    </row>
    <row r="1874" spans="1:17" x14ac:dyDescent="0.35">
      <c r="A1874" s="90" t="str">
        <f>IF(Receipts!$D1877="","",Receipts!$D1877)</f>
        <v/>
      </c>
      <c r="B1874" s="18" t="str">
        <f>IF(Receipts!$C1877="","",Receipts!$C1877)</f>
        <v/>
      </c>
      <c r="C1874" s="18" t="str">
        <f>IF($A1874="","",IFERROR(INDEX(Items!$B$5:$B$597,MATCH($A1874,Items!$A$5:$A$597,0)),""))</f>
        <v/>
      </c>
      <c r="D1874" s="23" t="str">
        <f>IF($A1874="","",N(Receipts!$G1877))</f>
        <v/>
      </c>
      <c r="E1874" s="20" t="str">
        <f>IF($A1874="","",IFERROR(INDEX(Items!$D$5:$D$597,MATCH($A1874,Items!$A$5:$A$597,0)),0))</f>
        <v/>
      </c>
      <c r="F1874" s="21" t="str">
        <f t="shared" si="145"/>
        <v/>
      </c>
      <c r="G1874" s="25" t="str">
        <f>IF(Receipts!$I1877="","",Receipts!$I1877)</f>
        <v/>
      </c>
      <c r="H1874" s="25" t="str">
        <f>IF(Receipts!$H1877="","",Receipts!$H1877)</f>
        <v/>
      </c>
      <c r="I1874" s="26" t="str">
        <f t="shared" ca="1" si="146"/>
        <v/>
      </c>
      <c r="J1874" s="26" t="str">
        <f>IF($A1874="","",COUNTIFS(tblReceipts[Item Name],$A1874,tblReceipts[Expiry Date],"&lt;"&amp;$H1874)+COUNTIFS(tblReceipts[Item Name],$A1874,tblReceipts[Expiry Date],$H1874,tblReceipts[Lot Number],"&lt;="&amp;Receipts!$C1877))</f>
        <v/>
      </c>
      <c r="K1874" s="26" t="str">
        <f>IF($A1874="","",SUMIFS(tblReceipts[Qty Received],tblReceipts[Item Name],$A1874,tblReceipts[Expiry Date],"&lt;"&amp;$H1874)+SUMIFS(tblReceipts[Qty Received],tblReceipts[Item Name],$A1874,tblReceipts[Expiry Date],$H1874,tblReceipts[Lot Number],"&lt;"&amp;Receipts!$C1877))</f>
        <v/>
      </c>
      <c r="L1874" s="26" t="str">
        <f>IF($A1874="","",MIN($D1874,MAX(0,SUMIFS(tblIssues[Qty Issued],tblIssues[Item Name],$A1874)-$K1874)))</f>
        <v/>
      </c>
      <c r="M1874" s="26" t="str">
        <f>IF($A1874="","",SUMIFS(tblIssues[Qty Issued],tblIssues[Lot Number],$B1874))</f>
        <v/>
      </c>
      <c r="N1874" s="26" t="str">
        <f t="shared" si="147"/>
        <v/>
      </c>
      <c r="O1874" s="26" t="str">
        <f t="shared" si="148"/>
        <v/>
      </c>
      <c r="P1874" s="21" t="str">
        <f t="shared" si="149"/>
        <v/>
      </c>
      <c r="Q1874" s="52" t="str">
        <f>IF($A1874="","",IF($O1874&lt;=0,"Depleted",IF($I1874&lt;0,"EXPIRED",IF($I1874&lt;=Settings!$C$6,"CRITICAL",IF($I1874&lt;=Settings!$C$5,"Expiring","In date")))))</f>
        <v/>
      </c>
    </row>
    <row r="1875" spans="1:17" x14ac:dyDescent="0.35">
      <c r="A1875" s="90" t="str">
        <f>IF(Receipts!$D1878="","",Receipts!$D1878)</f>
        <v/>
      </c>
      <c r="B1875" s="18" t="str">
        <f>IF(Receipts!$C1878="","",Receipts!$C1878)</f>
        <v/>
      </c>
      <c r="C1875" s="18" t="str">
        <f>IF($A1875="","",IFERROR(INDEX(Items!$B$5:$B$597,MATCH($A1875,Items!$A$5:$A$597,0)),""))</f>
        <v/>
      </c>
      <c r="D1875" s="23" t="str">
        <f>IF($A1875="","",N(Receipts!$G1878))</f>
        <v/>
      </c>
      <c r="E1875" s="20" t="str">
        <f>IF($A1875="","",IFERROR(INDEX(Items!$D$5:$D$597,MATCH($A1875,Items!$A$5:$A$597,0)),0))</f>
        <v/>
      </c>
      <c r="F1875" s="21" t="str">
        <f t="shared" si="145"/>
        <v/>
      </c>
      <c r="G1875" s="25" t="str">
        <f>IF(Receipts!$I1878="","",Receipts!$I1878)</f>
        <v/>
      </c>
      <c r="H1875" s="25" t="str">
        <f>IF(Receipts!$H1878="","",Receipts!$H1878)</f>
        <v/>
      </c>
      <c r="I1875" s="26" t="str">
        <f t="shared" ca="1" si="146"/>
        <v/>
      </c>
      <c r="J1875" s="26" t="str">
        <f>IF($A1875="","",COUNTIFS(tblReceipts[Item Name],$A1875,tblReceipts[Expiry Date],"&lt;"&amp;$H1875)+COUNTIFS(tblReceipts[Item Name],$A1875,tblReceipts[Expiry Date],$H1875,tblReceipts[Lot Number],"&lt;="&amp;Receipts!$C1878))</f>
        <v/>
      </c>
      <c r="K1875" s="26" t="str">
        <f>IF($A1875="","",SUMIFS(tblReceipts[Qty Received],tblReceipts[Item Name],$A1875,tblReceipts[Expiry Date],"&lt;"&amp;$H1875)+SUMIFS(tblReceipts[Qty Received],tblReceipts[Item Name],$A1875,tblReceipts[Expiry Date],$H1875,tblReceipts[Lot Number],"&lt;"&amp;Receipts!$C1878))</f>
        <v/>
      </c>
      <c r="L1875" s="26" t="str">
        <f>IF($A1875="","",MIN($D1875,MAX(0,SUMIFS(tblIssues[Qty Issued],tblIssues[Item Name],$A1875)-$K1875)))</f>
        <v/>
      </c>
      <c r="M1875" s="26" t="str">
        <f>IF($A1875="","",SUMIFS(tblIssues[Qty Issued],tblIssues[Lot Number],$B1875))</f>
        <v/>
      </c>
      <c r="N1875" s="26" t="str">
        <f t="shared" si="147"/>
        <v/>
      </c>
      <c r="O1875" s="26" t="str">
        <f t="shared" si="148"/>
        <v/>
      </c>
      <c r="P1875" s="21" t="str">
        <f t="shared" si="149"/>
        <v/>
      </c>
      <c r="Q1875" s="52" t="str">
        <f>IF($A1875="","",IF($O1875&lt;=0,"Depleted",IF($I1875&lt;0,"EXPIRED",IF($I1875&lt;=Settings!$C$6,"CRITICAL",IF($I1875&lt;=Settings!$C$5,"Expiring","In date")))))</f>
        <v/>
      </c>
    </row>
    <row r="1876" spans="1:17" x14ac:dyDescent="0.35">
      <c r="A1876" s="90" t="str">
        <f>IF(Receipts!$D1879="","",Receipts!$D1879)</f>
        <v/>
      </c>
      <c r="B1876" s="18" t="str">
        <f>IF(Receipts!$C1879="","",Receipts!$C1879)</f>
        <v/>
      </c>
      <c r="C1876" s="18" t="str">
        <f>IF($A1876="","",IFERROR(INDEX(Items!$B$5:$B$597,MATCH($A1876,Items!$A$5:$A$597,0)),""))</f>
        <v/>
      </c>
      <c r="D1876" s="23" t="str">
        <f>IF($A1876="","",N(Receipts!$G1879))</f>
        <v/>
      </c>
      <c r="E1876" s="20" t="str">
        <f>IF($A1876="","",IFERROR(INDEX(Items!$D$5:$D$597,MATCH($A1876,Items!$A$5:$A$597,0)),0))</f>
        <v/>
      </c>
      <c r="F1876" s="21" t="str">
        <f t="shared" si="145"/>
        <v/>
      </c>
      <c r="G1876" s="25" t="str">
        <f>IF(Receipts!$I1879="","",Receipts!$I1879)</f>
        <v/>
      </c>
      <c r="H1876" s="25" t="str">
        <f>IF(Receipts!$H1879="","",Receipts!$H1879)</f>
        <v/>
      </c>
      <c r="I1876" s="26" t="str">
        <f t="shared" ca="1" si="146"/>
        <v/>
      </c>
      <c r="J1876" s="26" t="str">
        <f>IF($A1876="","",COUNTIFS(tblReceipts[Item Name],$A1876,tblReceipts[Expiry Date],"&lt;"&amp;$H1876)+COUNTIFS(tblReceipts[Item Name],$A1876,tblReceipts[Expiry Date],$H1876,tblReceipts[Lot Number],"&lt;="&amp;Receipts!$C1879))</f>
        <v/>
      </c>
      <c r="K1876" s="26" t="str">
        <f>IF($A1876="","",SUMIFS(tblReceipts[Qty Received],tblReceipts[Item Name],$A1876,tblReceipts[Expiry Date],"&lt;"&amp;$H1876)+SUMIFS(tblReceipts[Qty Received],tblReceipts[Item Name],$A1876,tblReceipts[Expiry Date],$H1876,tblReceipts[Lot Number],"&lt;"&amp;Receipts!$C1879))</f>
        <v/>
      </c>
      <c r="L1876" s="26" t="str">
        <f>IF($A1876="","",MIN($D1876,MAX(0,SUMIFS(tblIssues[Qty Issued],tblIssues[Item Name],$A1876)-$K1876)))</f>
        <v/>
      </c>
      <c r="M1876" s="26" t="str">
        <f>IF($A1876="","",SUMIFS(tblIssues[Qty Issued],tblIssues[Lot Number],$B1876))</f>
        <v/>
      </c>
      <c r="N1876" s="26" t="str">
        <f t="shared" si="147"/>
        <v/>
      </c>
      <c r="O1876" s="26" t="str">
        <f t="shared" si="148"/>
        <v/>
      </c>
      <c r="P1876" s="21" t="str">
        <f t="shared" si="149"/>
        <v/>
      </c>
      <c r="Q1876" s="52" t="str">
        <f>IF($A1876="","",IF($O1876&lt;=0,"Depleted",IF($I1876&lt;0,"EXPIRED",IF($I1876&lt;=Settings!$C$6,"CRITICAL",IF($I1876&lt;=Settings!$C$5,"Expiring","In date")))))</f>
        <v/>
      </c>
    </row>
    <row r="1877" spans="1:17" x14ac:dyDescent="0.35">
      <c r="A1877" s="90" t="str">
        <f>IF(Receipts!$D1880="","",Receipts!$D1880)</f>
        <v/>
      </c>
      <c r="B1877" s="18" t="str">
        <f>IF(Receipts!$C1880="","",Receipts!$C1880)</f>
        <v/>
      </c>
      <c r="C1877" s="18" t="str">
        <f>IF($A1877="","",IFERROR(INDEX(Items!$B$5:$B$597,MATCH($A1877,Items!$A$5:$A$597,0)),""))</f>
        <v/>
      </c>
      <c r="D1877" s="23" t="str">
        <f>IF($A1877="","",N(Receipts!$G1880))</f>
        <v/>
      </c>
      <c r="E1877" s="20" t="str">
        <f>IF($A1877="","",IFERROR(INDEX(Items!$D$5:$D$597,MATCH($A1877,Items!$A$5:$A$597,0)),0))</f>
        <v/>
      </c>
      <c r="F1877" s="21" t="str">
        <f t="shared" si="145"/>
        <v/>
      </c>
      <c r="G1877" s="25" t="str">
        <f>IF(Receipts!$I1880="","",Receipts!$I1880)</f>
        <v/>
      </c>
      <c r="H1877" s="25" t="str">
        <f>IF(Receipts!$H1880="","",Receipts!$H1880)</f>
        <v/>
      </c>
      <c r="I1877" s="26" t="str">
        <f t="shared" ca="1" si="146"/>
        <v/>
      </c>
      <c r="J1877" s="26" t="str">
        <f>IF($A1877="","",COUNTIFS(tblReceipts[Item Name],$A1877,tblReceipts[Expiry Date],"&lt;"&amp;$H1877)+COUNTIFS(tblReceipts[Item Name],$A1877,tblReceipts[Expiry Date],$H1877,tblReceipts[Lot Number],"&lt;="&amp;Receipts!$C1880))</f>
        <v/>
      </c>
      <c r="K1877" s="26" t="str">
        <f>IF($A1877="","",SUMIFS(tblReceipts[Qty Received],tblReceipts[Item Name],$A1877,tblReceipts[Expiry Date],"&lt;"&amp;$H1877)+SUMIFS(tblReceipts[Qty Received],tblReceipts[Item Name],$A1877,tblReceipts[Expiry Date],$H1877,tblReceipts[Lot Number],"&lt;"&amp;Receipts!$C1880))</f>
        <v/>
      </c>
      <c r="L1877" s="26" t="str">
        <f>IF($A1877="","",MIN($D1877,MAX(0,SUMIFS(tblIssues[Qty Issued],tblIssues[Item Name],$A1877)-$K1877)))</f>
        <v/>
      </c>
      <c r="M1877" s="26" t="str">
        <f>IF($A1877="","",SUMIFS(tblIssues[Qty Issued],tblIssues[Lot Number],$B1877))</f>
        <v/>
      </c>
      <c r="N1877" s="26" t="str">
        <f t="shared" si="147"/>
        <v/>
      </c>
      <c r="O1877" s="26" t="str">
        <f t="shared" si="148"/>
        <v/>
      </c>
      <c r="P1877" s="21" t="str">
        <f t="shared" si="149"/>
        <v/>
      </c>
      <c r="Q1877" s="52" t="str">
        <f>IF($A1877="","",IF($O1877&lt;=0,"Depleted",IF($I1877&lt;0,"EXPIRED",IF($I1877&lt;=Settings!$C$6,"CRITICAL",IF($I1877&lt;=Settings!$C$5,"Expiring","In date")))))</f>
        <v/>
      </c>
    </row>
    <row r="1878" spans="1:17" x14ac:dyDescent="0.35">
      <c r="A1878" s="90" t="str">
        <f>IF(Receipts!$D1881="","",Receipts!$D1881)</f>
        <v/>
      </c>
      <c r="B1878" s="18" t="str">
        <f>IF(Receipts!$C1881="","",Receipts!$C1881)</f>
        <v/>
      </c>
      <c r="C1878" s="18" t="str">
        <f>IF($A1878="","",IFERROR(INDEX(Items!$B$5:$B$597,MATCH($A1878,Items!$A$5:$A$597,0)),""))</f>
        <v/>
      </c>
      <c r="D1878" s="23" t="str">
        <f>IF($A1878="","",N(Receipts!$G1881))</f>
        <v/>
      </c>
      <c r="E1878" s="20" t="str">
        <f>IF($A1878="","",IFERROR(INDEX(Items!$D$5:$D$597,MATCH($A1878,Items!$A$5:$A$597,0)),0))</f>
        <v/>
      </c>
      <c r="F1878" s="21" t="str">
        <f t="shared" si="145"/>
        <v/>
      </c>
      <c r="G1878" s="25" t="str">
        <f>IF(Receipts!$I1881="","",Receipts!$I1881)</f>
        <v/>
      </c>
      <c r="H1878" s="25" t="str">
        <f>IF(Receipts!$H1881="","",Receipts!$H1881)</f>
        <v/>
      </c>
      <c r="I1878" s="26" t="str">
        <f t="shared" ca="1" si="146"/>
        <v/>
      </c>
      <c r="J1878" s="26" t="str">
        <f>IF($A1878="","",COUNTIFS(tblReceipts[Item Name],$A1878,tblReceipts[Expiry Date],"&lt;"&amp;$H1878)+COUNTIFS(tblReceipts[Item Name],$A1878,tblReceipts[Expiry Date],$H1878,tblReceipts[Lot Number],"&lt;="&amp;Receipts!$C1881))</f>
        <v/>
      </c>
      <c r="K1878" s="26" t="str">
        <f>IF($A1878="","",SUMIFS(tblReceipts[Qty Received],tblReceipts[Item Name],$A1878,tblReceipts[Expiry Date],"&lt;"&amp;$H1878)+SUMIFS(tblReceipts[Qty Received],tblReceipts[Item Name],$A1878,tblReceipts[Expiry Date],$H1878,tblReceipts[Lot Number],"&lt;"&amp;Receipts!$C1881))</f>
        <v/>
      </c>
      <c r="L1878" s="26" t="str">
        <f>IF($A1878="","",MIN($D1878,MAX(0,SUMIFS(tblIssues[Qty Issued],tblIssues[Item Name],$A1878)-$K1878)))</f>
        <v/>
      </c>
      <c r="M1878" s="26" t="str">
        <f>IF($A1878="","",SUMIFS(tblIssues[Qty Issued],tblIssues[Lot Number],$B1878))</f>
        <v/>
      </c>
      <c r="N1878" s="26" t="str">
        <f t="shared" si="147"/>
        <v/>
      </c>
      <c r="O1878" s="26" t="str">
        <f t="shared" si="148"/>
        <v/>
      </c>
      <c r="P1878" s="21" t="str">
        <f t="shared" si="149"/>
        <v/>
      </c>
      <c r="Q1878" s="52" t="str">
        <f>IF($A1878="","",IF($O1878&lt;=0,"Depleted",IF($I1878&lt;0,"EXPIRED",IF($I1878&lt;=Settings!$C$6,"CRITICAL",IF($I1878&lt;=Settings!$C$5,"Expiring","In date")))))</f>
        <v/>
      </c>
    </row>
    <row r="1879" spans="1:17" x14ac:dyDescent="0.35">
      <c r="A1879" s="90" t="str">
        <f>IF(Receipts!$D1882="","",Receipts!$D1882)</f>
        <v/>
      </c>
      <c r="B1879" s="18" t="str">
        <f>IF(Receipts!$C1882="","",Receipts!$C1882)</f>
        <v/>
      </c>
      <c r="C1879" s="18" t="str">
        <f>IF($A1879="","",IFERROR(INDEX(Items!$B$5:$B$597,MATCH($A1879,Items!$A$5:$A$597,0)),""))</f>
        <v/>
      </c>
      <c r="D1879" s="23" t="str">
        <f>IF($A1879="","",N(Receipts!$G1882))</f>
        <v/>
      </c>
      <c r="E1879" s="20" t="str">
        <f>IF($A1879="","",IFERROR(INDEX(Items!$D$5:$D$597,MATCH($A1879,Items!$A$5:$A$597,0)),0))</f>
        <v/>
      </c>
      <c r="F1879" s="21" t="str">
        <f t="shared" si="145"/>
        <v/>
      </c>
      <c r="G1879" s="25" t="str">
        <f>IF(Receipts!$I1882="","",Receipts!$I1882)</f>
        <v/>
      </c>
      <c r="H1879" s="25" t="str">
        <f>IF(Receipts!$H1882="","",Receipts!$H1882)</f>
        <v/>
      </c>
      <c r="I1879" s="26" t="str">
        <f t="shared" ca="1" si="146"/>
        <v/>
      </c>
      <c r="J1879" s="26" t="str">
        <f>IF($A1879="","",COUNTIFS(tblReceipts[Item Name],$A1879,tblReceipts[Expiry Date],"&lt;"&amp;$H1879)+COUNTIFS(tblReceipts[Item Name],$A1879,tblReceipts[Expiry Date],$H1879,tblReceipts[Lot Number],"&lt;="&amp;Receipts!$C1882))</f>
        <v/>
      </c>
      <c r="K1879" s="26" t="str">
        <f>IF($A1879="","",SUMIFS(tblReceipts[Qty Received],tblReceipts[Item Name],$A1879,tblReceipts[Expiry Date],"&lt;"&amp;$H1879)+SUMIFS(tblReceipts[Qty Received],tblReceipts[Item Name],$A1879,tblReceipts[Expiry Date],$H1879,tblReceipts[Lot Number],"&lt;"&amp;Receipts!$C1882))</f>
        <v/>
      </c>
      <c r="L1879" s="26" t="str">
        <f>IF($A1879="","",MIN($D1879,MAX(0,SUMIFS(tblIssues[Qty Issued],tblIssues[Item Name],$A1879)-$K1879)))</f>
        <v/>
      </c>
      <c r="M1879" s="26" t="str">
        <f>IF($A1879="","",SUMIFS(tblIssues[Qty Issued],tblIssues[Lot Number],$B1879))</f>
        <v/>
      </c>
      <c r="N1879" s="26" t="str">
        <f t="shared" si="147"/>
        <v/>
      </c>
      <c r="O1879" s="26" t="str">
        <f t="shared" si="148"/>
        <v/>
      </c>
      <c r="P1879" s="21" t="str">
        <f t="shared" si="149"/>
        <v/>
      </c>
      <c r="Q1879" s="52" t="str">
        <f>IF($A1879="","",IF($O1879&lt;=0,"Depleted",IF($I1879&lt;0,"EXPIRED",IF($I1879&lt;=Settings!$C$6,"CRITICAL",IF($I1879&lt;=Settings!$C$5,"Expiring","In date")))))</f>
        <v/>
      </c>
    </row>
    <row r="1880" spans="1:17" x14ac:dyDescent="0.35">
      <c r="A1880" s="90" t="str">
        <f>IF(Receipts!$D1883="","",Receipts!$D1883)</f>
        <v/>
      </c>
      <c r="B1880" s="18" t="str">
        <f>IF(Receipts!$C1883="","",Receipts!$C1883)</f>
        <v/>
      </c>
      <c r="C1880" s="18" t="str">
        <f>IF($A1880="","",IFERROR(INDEX(Items!$B$5:$B$597,MATCH($A1880,Items!$A$5:$A$597,0)),""))</f>
        <v/>
      </c>
      <c r="D1880" s="23" t="str">
        <f>IF($A1880="","",N(Receipts!$G1883))</f>
        <v/>
      </c>
      <c r="E1880" s="20" t="str">
        <f>IF($A1880="","",IFERROR(INDEX(Items!$D$5:$D$597,MATCH($A1880,Items!$A$5:$A$597,0)),0))</f>
        <v/>
      </c>
      <c r="F1880" s="21" t="str">
        <f t="shared" si="145"/>
        <v/>
      </c>
      <c r="G1880" s="25" t="str">
        <f>IF(Receipts!$I1883="","",Receipts!$I1883)</f>
        <v/>
      </c>
      <c r="H1880" s="25" t="str">
        <f>IF(Receipts!$H1883="","",Receipts!$H1883)</f>
        <v/>
      </c>
      <c r="I1880" s="26" t="str">
        <f t="shared" ca="1" si="146"/>
        <v/>
      </c>
      <c r="J1880" s="26" t="str">
        <f>IF($A1880="","",COUNTIFS(tblReceipts[Item Name],$A1880,tblReceipts[Expiry Date],"&lt;"&amp;$H1880)+COUNTIFS(tblReceipts[Item Name],$A1880,tblReceipts[Expiry Date],$H1880,tblReceipts[Lot Number],"&lt;="&amp;Receipts!$C1883))</f>
        <v/>
      </c>
      <c r="K1880" s="26" t="str">
        <f>IF($A1880="","",SUMIFS(tblReceipts[Qty Received],tblReceipts[Item Name],$A1880,tblReceipts[Expiry Date],"&lt;"&amp;$H1880)+SUMIFS(tblReceipts[Qty Received],tblReceipts[Item Name],$A1880,tblReceipts[Expiry Date],$H1880,tblReceipts[Lot Number],"&lt;"&amp;Receipts!$C1883))</f>
        <v/>
      </c>
      <c r="L1880" s="26" t="str">
        <f>IF($A1880="","",MIN($D1880,MAX(0,SUMIFS(tblIssues[Qty Issued],tblIssues[Item Name],$A1880)-$K1880)))</f>
        <v/>
      </c>
      <c r="M1880" s="26" t="str">
        <f>IF($A1880="","",SUMIFS(tblIssues[Qty Issued],tblIssues[Lot Number],$B1880))</f>
        <v/>
      </c>
      <c r="N1880" s="26" t="str">
        <f t="shared" si="147"/>
        <v/>
      </c>
      <c r="O1880" s="26" t="str">
        <f t="shared" si="148"/>
        <v/>
      </c>
      <c r="P1880" s="21" t="str">
        <f t="shared" si="149"/>
        <v/>
      </c>
      <c r="Q1880" s="52" t="str">
        <f>IF($A1880="","",IF($O1880&lt;=0,"Depleted",IF($I1880&lt;0,"EXPIRED",IF($I1880&lt;=Settings!$C$6,"CRITICAL",IF($I1880&lt;=Settings!$C$5,"Expiring","In date")))))</f>
        <v/>
      </c>
    </row>
    <row r="1881" spans="1:17" x14ac:dyDescent="0.35">
      <c r="A1881" s="90" t="str">
        <f>IF(Receipts!$D1884="","",Receipts!$D1884)</f>
        <v/>
      </c>
      <c r="B1881" s="18" t="str">
        <f>IF(Receipts!$C1884="","",Receipts!$C1884)</f>
        <v/>
      </c>
      <c r="C1881" s="18" t="str">
        <f>IF($A1881="","",IFERROR(INDEX(Items!$B$5:$B$597,MATCH($A1881,Items!$A$5:$A$597,0)),""))</f>
        <v/>
      </c>
      <c r="D1881" s="23" t="str">
        <f>IF($A1881="","",N(Receipts!$G1884))</f>
        <v/>
      </c>
      <c r="E1881" s="20" t="str">
        <f>IF($A1881="","",IFERROR(INDEX(Items!$D$5:$D$597,MATCH($A1881,Items!$A$5:$A$597,0)),0))</f>
        <v/>
      </c>
      <c r="F1881" s="21" t="str">
        <f t="shared" si="145"/>
        <v/>
      </c>
      <c r="G1881" s="25" t="str">
        <f>IF(Receipts!$I1884="","",Receipts!$I1884)</f>
        <v/>
      </c>
      <c r="H1881" s="25" t="str">
        <f>IF(Receipts!$H1884="","",Receipts!$H1884)</f>
        <v/>
      </c>
      <c r="I1881" s="26" t="str">
        <f t="shared" ca="1" si="146"/>
        <v/>
      </c>
      <c r="J1881" s="26" t="str">
        <f>IF($A1881="","",COUNTIFS(tblReceipts[Item Name],$A1881,tblReceipts[Expiry Date],"&lt;"&amp;$H1881)+COUNTIFS(tblReceipts[Item Name],$A1881,tblReceipts[Expiry Date],$H1881,tblReceipts[Lot Number],"&lt;="&amp;Receipts!$C1884))</f>
        <v/>
      </c>
      <c r="K1881" s="26" t="str">
        <f>IF($A1881="","",SUMIFS(tblReceipts[Qty Received],tblReceipts[Item Name],$A1881,tblReceipts[Expiry Date],"&lt;"&amp;$H1881)+SUMIFS(tblReceipts[Qty Received],tblReceipts[Item Name],$A1881,tblReceipts[Expiry Date],$H1881,tblReceipts[Lot Number],"&lt;"&amp;Receipts!$C1884))</f>
        <v/>
      </c>
      <c r="L1881" s="26" t="str">
        <f>IF($A1881="","",MIN($D1881,MAX(0,SUMIFS(tblIssues[Qty Issued],tblIssues[Item Name],$A1881)-$K1881)))</f>
        <v/>
      </c>
      <c r="M1881" s="26" t="str">
        <f>IF($A1881="","",SUMIFS(tblIssues[Qty Issued],tblIssues[Lot Number],$B1881))</f>
        <v/>
      </c>
      <c r="N1881" s="26" t="str">
        <f t="shared" si="147"/>
        <v/>
      </c>
      <c r="O1881" s="26" t="str">
        <f t="shared" si="148"/>
        <v/>
      </c>
      <c r="P1881" s="21" t="str">
        <f t="shared" si="149"/>
        <v/>
      </c>
      <c r="Q1881" s="52" t="str">
        <f>IF($A1881="","",IF($O1881&lt;=0,"Depleted",IF($I1881&lt;0,"EXPIRED",IF($I1881&lt;=Settings!$C$6,"CRITICAL",IF($I1881&lt;=Settings!$C$5,"Expiring","In date")))))</f>
        <v/>
      </c>
    </row>
    <row r="1882" spans="1:17" x14ac:dyDescent="0.35">
      <c r="A1882" s="90" t="str">
        <f>IF(Receipts!$D1885="","",Receipts!$D1885)</f>
        <v/>
      </c>
      <c r="B1882" s="18" t="str">
        <f>IF(Receipts!$C1885="","",Receipts!$C1885)</f>
        <v/>
      </c>
      <c r="C1882" s="18" t="str">
        <f>IF($A1882="","",IFERROR(INDEX(Items!$B$5:$B$597,MATCH($A1882,Items!$A$5:$A$597,0)),""))</f>
        <v/>
      </c>
      <c r="D1882" s="23" t="str">
        <f>IF($A1882="","",N(Receipts!$G1885))</f>
        <v/>
      </c>
      <c r="E1882" s="20" t="str">
        <f>IF($A1882="","",IFERROR(INDEX(Items!$D$5:$D$597,MATCH($A1882,Items!$A$5:$A$597,0)),0))</f>
        <v/>
      </c>
      <c r="F1882" s="21" t="str">
        <f t="shared" si="145"/>
        <v/>
      </c>
      <c r="G1882" s="25" t="str">
        <f>IF(Receipts!$I1885="","",Receipts!$I1885)</f>
        <v/>
      </c>
      <c r="H1882" s="25" t="str">
        <f>IF(Receipts!$H1885="","",Receipts!$H1885)</f>
        <v/>
      </c>
      <c r="I1882" s="26" t="str">
        <f t="shared" ca="1" si="146"/>
        <v/>
      </c>
      <c r="J1882" s="26" t="str">
        <f>IF($A1882="","",COUNTIFS(tblReceipts[Item Name],$A1882,tblReceipts[Expiry Date],"&lt;"&amp;$H1882)+COUNTIFS(tblReceipts[Item Name],$A1882,tblReceipts[Expiry Date],$H1882,tblReceipts[Lot Number],"&lt;="&amp;Receipts!$C1885))</f>
        <v/>
      </c>
      <c r="K1882" s="26" t="str">
        <f>IF($A1882="","",SUMIFS(tblReceipts[Qty Received],tblReceipts[Item Name],$A1882,tblReceipts[Expiry Date],"&lt;"&amp;$H1882)+SUMIFS(tblReceipts[Qty Received],tblReceipts[Item Name],$A1882,tblReceipts[Expiry Date],$H1882,tblReceipts[Lot Number],"&lt;"&amp;Receipts!$C1885))</f>
        <v/>
      </c>
      <c r="L1882" s="26" t="str">
        <f>IF($A1882="","",MIN($D1882,MAX(0,SUMIFS(tblIssues[Qty Issued],tblIssues[Item Name],$A1882)-$K1882)))</f>
        <v/>
      </c>
      <c r="M1882" s="26" t="str">
        <f>IF($A1882="","",SUMIFS(tblIssues[Qty Issued],tblIssues[Lot Number],$B1882))</f>
        <v/>
      </c>
      <c r="N1882" s="26" t="str">
        <f t="shared" si="147"/>
        <v/>
      </c>
      <c r="O1882" s="26" t="str">
        <f t="shared" si="148"/>
        <v/>
      </c>
      <c r="P1882" s="21" t="str">
        <f t="shared" si="149"/>
        <v/>
      </c>
      <c r="Q1882" s="52" t="str">
        <f>IF($A1882="","",IF($O1882&lt;=0,"Depleted",IF($I1882&lt;0,"EXPIRED",IF($I1882&lt;=Settings!$C$6,"CRITICAL",IF($I1882&lt;=Settings!$C$5,"Expiring","In date")))))</f>
        <v/>
      </c>
    </row>
    <row r="1883" spans="1:17" x14ac:dyDescent="0.35">
      <c r="A1883" s="90" t="str">
        <f>IF(Receipts!$D1886="","",Receipts!$D1886)</f>
        <v/>
      </c>
      <c r="B1883" s="18" t="str">
        <f>IF(Receipts!$C1886="","",Receipts!$C1886)</f>
        <v/>
      </c>
      <c r="C1883" s="18" t="str">
        <f>IF($A1883="","",IFERROR(INDEX(Items!$B$5:$B$597,MATCH($A1883,Items!$A$5:$A$597,0)),""))</f>
        <v/>
      </c>
      <c r="D1883" s="23" t="str">
        <f>IF($A1883="","",N(Receipts!$G1886))</f>
        <v/>
      </c>
      <c r="E1883" s="20" t="str">
        <f>IF($A1883="","",IFERROR(INDEX(Items!$D$5:$D$597,MATCH($A1883,Items!$A$5:$A$597,0)),0))</f>
        <v/>
      </c>
      <c r="F1883" s="21" t="str">
        <f t="shared" si="145"/>
        <v/>
      </c>
      <c r="G1883" s="25" t="str">
        <f>IF(Receipts!$I1886="","",Receipts!$I1886)</f>
        <v/>
      </c>
      <c r="H1883" s="25" t="str">
        <f>IF(Receipts!$H1886="","",Receipts!$H1886)</f>
        <v/>
      </c>
      <c r="I1883" s="26" t="str">
        <f t="shared" ca="1" si="146"/>
        <v/>
      </c>
      <c r="J1883" s="26" t="str">
        <f>IF($A1883="","",COUNTIFS(tblReceipts[Item Name],$A1883,tblReceipts[Expiry Date],"&lt;"&amp;$H1883)+COUNTIFS(tblReceipts[Item Name],$A1883,tblReceipts[Expiry Date],$H1883,tblReceipts[Lot Number],"&lt;="&amp;Receipts!$C1886))</f>
        <v/>
      </c>
      <c r="K1883" s="26" t="str">
        <f>IF($A1883="","",SUMIFS(tblReceipts[Qty Received],tblReceipts[Item Name],$A1883,tblReceipts[Expiry Date],"&lt;"&amp;$H1883)+SUMIFS(tblReceipts[Qty Received],tblReceipts[Item Name],$A1883,tblReceipts[Expiry Date],$H1883,tblReceipts[Lot Number],"&lt;"&amp;Receipts!$C1886))</f>
        <v/>
      </c>
      <c r="L1883" s="26" t="str">
        <f>IF($A1883="","",MIN($D1883,MAX(0,SUMIFS(tblIssues[Qty Issued],tblIssues[Item Name],$A1883)-$K1883)))</f>
        <v/>
      </c>
      <c r="M1883" s="26" t="str">
        <f>IF($A1883="","",SUMIFS(tblIssues[Qty Issued],tblIssues[Lot Number],$B1883))</f>
        <v/>
      </c>
      <c r="N1883" s="26" t="str">
        <f t="shared" si="147"/>
        <v/>
      </c>
      <c r="O1883" s="26" t="str">
        <f t="shared" si="148"/>
        <v/>
      </c>
      <c r="P1883" s="21" t="str">
        <f t="shared" si="149"/>
        <v/>
      </c>
      <c r="Q1883" s="52" t="str">
        <f>IF($A1883="","",IF($O1883&lt;=0,"Depleted",IF($I1883&lt;0,"EXPIRED",IF($I1883&lt;=Settings!$C$6,"CRITICAL",IF($I1883&lt;=Settings!$C$5,"Expiring","In date")))))</f>
        <v/>
      </c>
    </row>
    <row r="1884" spans="1:17" x14ac:dyDescent="0.35">
      <c r="A1884" s="90" t="str">
        <f>IF(Receipts!$D1887="","",Receipts!$D1887)</f>
        <v/>
      </c>
      <c r="B1884" s="18" t="str">
        <f>IF(Receipts!$C1887="","",Receipts!$C1887)</f>
        <v/>
      </c>
      <c r="C1884" s="18" t="str">
        <f>IF($A1884="","",IFERROR(INDEX(Items!$B$5:$B$597,MATCH($A1884,Items!$A$5:$A$597,0)),""))</f>
        <v/>
      </c>
      <c r="D1884" s="23" t="str">
        <f>IF($A1884="","",N(Receipts!$G1887))</f>
        <v/>
      </c>
      <c r="E1884" s="20" t="str">
        <f>IF($A1884="","",IFERROR(INDEX(Items!$D$5:$D$597,MATCH($A1884,Items!$A$5:$A$597,0)),0))</f>
        <v/>
      </c>
      <c r="F1884" s="21" t="str">
        <f t="shared" si="145"/>
        <v/>
      </c>
      <c r="G1884" s="25" t="str">
        <f>IF(Receipts!$I1887="","",Receipts!$I1887)</f>
        <v/>
      </c>
      <c r="H1884" s="25" t="str">
        <f>IF(Receipts!$H1887="","",Receipts!$H1887)</f>
        <v/>
      </c>
      <c r="I1884" s="26" t="str">
        <f t="shared" ca="1" si="146"/>
        <v/>
      </c>
      <c r="J1884" s="26" t="str">
        <f>IF($A1884="","",COUNTIFS(tblReceipts[Item Name],$A1884,tblReceipts[Expiry Date],"&lt;"&amp;$H1884)+COUNTIFS(tblReceipts[Item Name],$A1884,tblReceipts[Expiry Date],$H1884,tblReceipts[Lot Number],"&lt;="&amp;Receipts!$C1887))</f>
        <v/>
      </c>
      <c r="K1884" s="26" t="str">
        <f>IF($A1884="","",SUMIFS(tblReceipts[Qty Received],tblReceipts[Item Name],$A1884,tblReceipts[Expiry Date],"&lt;"&amp;$H1884)+SUMIFS(tblReceipts[Qty Received],tblReceipts[Item Name],$A1884,tblReceipts[Expiry Date],$H1884,tblReceipts[Lot Number],"&lt;"&amp;Receipts!$C1887))</f>
        <v/>
      </c>
      <c r="L1884" s="26" t="str">
        <f>IF($A1884="","",MIN($D1884,MAX(0,SUMIFS(tblIssues[Qty Issued],tblIssues[Item Name],$A1884)-$K1884)))</f>
        <v/>
      </c>
      <c r="M1884" s="26" t="str">
        <f>IF($A1884="","",SUMIFS(tblIssues[Qty Issued],tblIssues[Lot Number],$B1884))</f>
        <v/>
      </c>
      <c r="N1884" s="26" t="str">
        <f t="shared" si="147"/>
        <v/>
      </c>
      <c r="O1884" s="26" t="str">
        <f t="shared" si="148"/>
        <v/>
      </c>
      <c r="P1884" s="21" t="str">
        <f t="shared" si="149"/>
        <v/>
      </c>
      <c r="Q1884" s="52" t="str">
        <f>IF($A1884="","",IF($O1884&lt;=0,"Depleted",IF($I1884&lt;0,"EXPIRED",IF($I1884&lt;=Settings!$C$6,"CRITICAL",IF($I1884&lt;=Settings!$C$5,"Expiring","In date")))))</f>
        <v/>
      </c>
    </row>
    <row r="1885" spans="1:17" x14ac:dyDescent="0.35">
      <c r="A1885" s="90" t="str">
        <f>IF(Receipts!$D1888="","",Receipts!$D1888)</f>
        <v/>
      </c>
      <c r="B1885" s="18" t="str">
        <f>IF(Receipts!$C1888="","",Receipts!$C1888)</f>
        <v/>
      </c>
      <c r="C1885" s="18" t="str">
        <f>IF($A1885="","",IFERROR(INDEX(Items!$B$5:$B$597,MATCH($A1885,Items!$A$5:$A$597,0)),""))</f>
        <v/>
      </c>
      <c r="D1885" s="23" t="str">
        <f>IF($A1885="","",N(Receipts!$G1888))</f>
        <v/>
      </c>
      <c r="E1885" s="20" t="str">
        <f>IF($A1885="","",IFERROR(INDEX(Items!$D$5:$D$597,MATCH($A1885,Items!$A$5:$A$597,0)),0))</f>
        <v/>
      </c>
      <c r="F1885" s="21" t="str">
        <f t="shared" si="145"/>
        <v/>
      </c>
      <c r="G1885" s="25" t="str">
        <f>IF(Receipts!$I1888="","",Receipts!$I1888)</f>
        <v/>
      </c>
      <c r="H1885" s="25" t="str">
        <f>IF(Receipts!$H1888="","",Receipts!$H1888)</f>
        <v/>
      </c>
      <c r="I1885" s="26" t="str">
        <f t="shared" ca="1" si="146"/>
        <v/>
      </c>
      <c r="J1885" s="26" t="str">
        <f>IF($A1885="","",COUNTIFS(tblReceipts[Item Name],$A1885,tblReceipts[Expiry Date],"&lt;"&amp;$H1885)+COUNTIFS(tblReceipts[Item Name],$A1885,tblReceipts[Expiry Date],$H1885,tblReceipts[Lot Number],"&lt;="&amp;Receipts!$C1888))</f>
        <v/>
      </c>
      <c r="K1885" s="26" t="str">
        <f>IF($A1885="","",SUMIFS(tblReceipts[Qty Received],tblReceipts[Item Name],$A1885,tblReceipts[Expiry Date],"&lt;"&amp;$H1885)+SUMIFS(tblReceipts[Qty Received],tblReceipts[Item Name],$A1885,tblReceipts[Expiry Date],$H1885,tblReceipts[Lot Number],"&lt;"&amp;Receipts!$C1888))</f>
        <v/>
      </c>
      <c r="L1885" s="26" t="str">
        <f>IF($A1885="","",MIN($D1885,MAX(0,SUMIFS(tblIssues[Qty Issued],tblIssues[Item Name],$A1885)-$K1885)))</f>
        <v/>
      </c>
      <c r="M1885" s="26" t="str">
        <f>IF($A1885="","",SUMIFS(tblIssues[Qty Issued],tblIssues[Lot Number],$B1885))</f>
        <v/>
      </c>
      <c r="N1885" s="26" t="str">
        <f t="shared" si="147"/>
        <v/>
      </c>
      <c r="O1885" s="26" t="str">
        <f t="shared" si="148"/>
        <v/>
      </c>
      <c r="P1885" s="21" t="str">
        <f t="shared" si="149"/>
        <v/>
      </c>
      <c r="Q1885" s="52" t="str">
        <f>IF($A1885="","",IF($O1885&lt;=0,"Depleted",IF($I1885&lt;0,"EXPIRED",IF($I1885&lt;=Settings!$C$6,"CRITICAL",IF($I1885&lt;=Settings!$C$5,"Expiring","In date")))))</f>
        <v/>
      </c>
    </row>
    <row r="1886" spans="1:17" x14ac:dyDescent="0.35">
      <c r="A1886" s="90" t="str">
        <f>IF(Receipts!$D1889="","",Receipts!$D1889)</f>
        <v/>
      </c>
      <c r="B1886" s="18" t="str">
        <f>IF(Receipts!$C1889="","",Receipts!$C1889)</f>
        <v/>
      </c>
      <c r="C1886" s="18" t="str">
        <f>IF($A1886="","",IFERROR(INDEX(Items!$B$5:$B$597,MATCH($A1886,Items!$A$5:$A$597,0)),""))</f>
        <v/>
      </c>
      <c r="D1886" s="23" t="str">
        <f>IF($A1886="","",N(Receipts!$G1889))</f>
        <v/>
      </c>
      <c r="E1886" s="20" t="str">
        <f>IF($A1886="","",IFERROR(INDEX(Items!$D$5:$D$597,MATCH($A1886,Items!$A$5:$A$597,0)),0))</f>
        <v/>
      </c>
      <c r="F1886" s="21" t="str">
        <f t="shared" si="145"/>
        <v/>
      </c>
      <c r="G1886" s="25" t="str">
        <f>IF(Receipts!$I1889="","",Receipts!$I1889)</f>
        <v/>
      </c>
      <c r="H1886" s="25" t="str">
        <f>IF(Receipts!$H1889="","",Receipts!$H1889)</f>
        <v/>
      </c>
      <c r="I1886" s="26" t="str">
        <f t="shared" ca="1" si="146"/>
        <v/>
      </c>
      <c r="J1886" s="26" t="str">
        <f>IF($A1886="","",COUNTIFS(tblReceipts[Item Name],$A1886,tblReceipts[Expiry Date],"&lt;"&amp;$H1886)+COUNTIFS(tblReceipts[Item Name],$A1886,tblReceipts[Expiry Date],$H1886,tblReceipts[Lot Number],"&lt;="&amp;Receipts!$C1889))</f>
        <v/>
      </c>
      <c r="K1886" s="26" t="str">
        <f>IF($A1886="","",SUMIFS(tblReceipts[Qty Received],tblReceipts[Item Name],$A1886,tblReceipts[Expiry Date],"&lt;"&amp;$H1886)+SUMIFS(tblReceipts[Qty Received],tblReceipts[Item Name],$A1886,tblReceipts[Expiry Date],$H1886,tblReceipts[Lot Number],"&lt;"&amp;Receipts!$C1889))</f>
        <v/>
      </c>
      <c r="L1886" s="26" t="str">
        <f>IF($A1886="","",MIN($D1886,MAX(0,SUMIFS(tblIssues[Qty Issued],tblIssues[Item Name],$A1886)-$K1886)))</f>
        <v/>
      </c>
      <c r="M1886" s="26" t="str">
        <f>IF($A1886="","",SUMIFS(tblIssues[Qty Issued],tblIssues[Lot Number],$B1886))</f>
        <v/>
      </c>
      <c r="N1886" s="26" t="str">
        <f t="shared" si="147"/>
        <v/>
      </c>
      <c r="O1886" s="26" t="str">
        <f t="shared" si="148"/>
        <v/>
      </c>
      <c r="P1886" s="21" t="str">
        <f t="shared" si="149"/>
        <v/>
      </c>
      <c r="Q1886" s="52" t="str">
        <f>IF($A1886="","",IF($O1886&lt;=0,"Depleted",IF($I1886&lt;0,"EXPIRED",IF($I1886&lt;=Settings!$C$6,"CRITICAL",IF($I1886&lt;=Settings!$C$5,"Expiring","In date")))))</f>
        <v/>
      </c>
    </row>
    <row r="1887" spans="1:17" x14ac:dyDescent="0.35">
      <c r="A1887" s="90" t="str">
        <f>IF(Receipts!$D1890="","",Receipts!$D1890)</f>
        <v/>
      </c>
      <c r="B1887" s="18" t="str">
        <f>IF(Receipts!$C1890="","",Receipts!$C1890)</f>
        <v/>
      </c>
      <c r="C1887" s="18" t="str">
        <f>IF($A1887="","",IFERROR(INDEX(Items!$B$5:$B$597,MATCH($A1887,Items!$A$5:$A$597,0)),""))</f>
        <v/>
      </c>
      <c r="D1887" s="23" t="str">
        <f>IF($A1887="","",N(Receipts!$G1890))</f>
        <v/>
      </c>
      <c r="E1887" s="20" t="str">
        <f>IF($A1887="","",IFERROR(INDEX(Items!$D$5:$D$597,MATCH($A1887,Items!$A$5:$A$597,0)),0))</f>
        <v/>
      </c>
      <c r="F1887" s="21" t="str">
        <f t="shared" si="145"/>
        <v/>
      </c>
      <c r="G1887" s="25" t="str">
        <f>IF(Receipts!$I1890="","",Receipts!$I1890)</f>
        <v/>
      </c>
      <c r="H1887" s="25" t="str">
        <f>IF(Receipts!$H1890="","",Receipts!$H1890)</f>
        <v/>
      </c>
      <c r="I1887" s="26" t="str">
        <f t="shared" ca="1" si="146"/>
        <v/>
      </c>
      <c r="J1887" s="26" t="str">
        <f>IF($A1887="","",COUNTIFS(tblReceipts[Item Name],$A1887,tblReceipts[Expiry Date],"&lt;"&amp;$H1887)+COUNTIFS(tblReceipts[Item Name],$A1887,tblReceipts[Expiry Date],$H1887,tblReceipts[Lot Number],"&lt;="&amp;Receipts!$C1890))</f>
        <v/>
      </c>
      <c r="K1887" s="26" t="str">
        <f>IF($A1887="","",SUMIFS(tblReceipts[Qty Received],tblReceipts[Item Name],$A1887,tblReceipts[Expiry Date],"&lt;"&amp;$H1887)+SUMIFS(tblReceipts[Qty Received],tblReceipts[Item Name],$A1887,tblReceipts[Expiry Date],$H1887,tblReceipts[Lot Number],"&lt;"&amp;Receipts!$C1890))</f>
        <v/>
      </c>
      <c r="L1887" s="26" t="str">
        <f>IF($A1887="","",MIN($D1887,MAX(0,SUMIFS(tblIssues[Qty Issued],tblIssues[Item Name],$A1887)-$K1887)))</f>
        <v/>
      </c>
      <c r="M1887" s="26" t="str">
        <f>IF($A1887="","",SUMIFS(tblIssues[Qty Issued],tblIssues[Lot Number],$B1887))</f>
        <v/>
      </c>
      <c r="N1887" s="26" t="str">
        <f t="shared" si="147"/>
        <v/>
      </c>
      <c r="O1887" s="26" t="str">
        <f t="shared" si="148"/>
        <v/>
      </c>
      <c r="P1887" s="21" t="str">
        <f t="shared" si="149"/>
        <v/>
      </c>
      <c r="Q1887" s="52" t="str">
        <f>IF($A1887="","",IF($O1887&lt;=0,"Depleted",IF($I1887&lt;0,"EXPIRED",IF($I1887&lt;=Settings!$C$6,"CRITICAL",IF($I1887&lt;=Settings!$C$5,"Expiring","In date")))))</f>
        <v/>
      </c>
    </row>
    <row r="1888" spans="1:17" x14ac:dyDescent="0.35">
      <c r="A1888" s="90" t="str">
        <f>IF(Receipts!$D1891="","",Receipts!$D1891)</f>
        <v/>
      </c>
      <c r="B1888" s="18" t="str">
        <f>IF(Receipts!$C1891="","",Receipts!$C1891)</f>
        <v/>
      </c>
      <c r="C1888" s="18" t="str">
        <f>IF($A1888="","",IFERROR(INDEX(Items!$B$5:$B$597,MATCH($A1888,Items!$A$5:$A$597,0)),""))</f>
        <v/>
      </c>
      <c r="D1888" s="23" t="str">
        <f>IF($A1888="","",N(Receipts!$G1891))</f>
        <v/>
      </c>
      <c r="E1888" s="20" t="str">
        <f>IF($A1888="","",IFERROR(INDEX(Items!$D$5:$D$597,MATCH($A1888,Items!$A$5:$A$597,0)),0))</f>
        <v/>
      </c>
      <c r="F1888" s="21" t="str">
        <f t="shared" si="145"/>
        <v/>
      </c>
      <c r="G1888" s="25" t="str">
        <f>IF(Receipts!$I1891="","",Receipts!$I1891)</f>
        <v/>
      </c>
      <c r="H1888" s="25" t="str">
        <f>IF(Receipts!$H1891="","",Receipts!$H1891)</f>
        <v/>
      </c>
      <c r="I1888" s="26" t="str">
        <f t="shared" ca="1" si="146"/>
        <v/>
      </c>
      <c r="J1888" s="26" t="str">
        <f>IF($A1888="","",COUNTIFS(tblReceipts[Item Name],$A1888,tblReceipts[Expiry Date],"&lt;"&amp;$H1888)+COUNTIFS(tblReceipts[Item Name],$A1888,tblReceipts[Expiry Date],$H1888,tblReceipts[Lot Number],"&lt;="&amp;Receipts!$C1891))</f>
        <v/>
      </c>
      <c r="K1888" s="26" t="str">
        <f>IF($A1888="","",SUMIFS(tblReceipts[Qty Received],tblReceipts[Item Name],$A1888,tblReceipts[Expiry Date],"&lt;"&amp;$H1888)+SUMIFS(tblReceipts[Qty Received],tblReceipts[Item Name],$A1888,tblReceipts[Expiry Date],$H1888,tblReceipts[Lot Number],"&lt;"&amp;Receipts!$C1891))</f>
        <v/>
      </c>
      <c r="L1888" s="26" t="str">
        <f>IF($A1888="","",MIN($D1888,MAX(0,SUMIFS(tblIssues[Qty Issued],tblIssues[Item Name],$A1888)-$K1888)))</f>
        <v/>
      </c>
      <c r="M1888" s="26" t="str">
        <f>IF($A1888="","",SUMIFS(tblIssues[Qty Issued],tblIssues[Lot Number],$B1888))</f>
        <v/>
      </c>
      <c r="N1888" s="26" t="str">
        <f t="shared" si="147"/>
        <v/>
      </c>
      <c r="O1888" s="26" t="str">
        <f t="shared" si="148"/>
        <v/>
      </c>
      <c r="P1888" s="21" t="str">
        <f t="shared" si="149"/>
        <v/>
      </c>
      <c r="Q1888" s="52" t="str">
        <f>IF($A1888="","",IF($O1888&lt;=0,"Depleted",IF($I1888&lt;0,"EXPIRED",IF($I1888&lt;=Settings!$C$6,"CRITICAL",IF($I1888&lt;=Settings!$C$5,"Expiring","In date")))))</f>
        <v/>
      </c>
    </row>
    <row r="1889" spans="1:17" x14ac:dyDescent="0.35">
      <c r="A1889" s="90" t="str">
        <f>IF(Receipts!$D1892="","",Receipts!$D1892)</f>
        <v/>
      </c>
      <c r="B1889" s="18" t="str">
        <f>IF(Receipts!$C1892="","",Receipts!$C1892)</f>
        <v/>
      </c>
      <c r="C1889" s="18" t="str">
        <f>IF($A1889="","",IFERROR(INDEX(Items!$B$5:$B$597,MATCH($A1889,Items!$A$5:$A$597,0)),""))</f>
        <v/>
      </c>
      <c r="D1889" s="23" t="str">
        <f>IF($A1889="","",N(Receipts!$G1892))</f>
        <v/>
      </c>
      <c r="E1889" s="20" t="str">
        <f>IF($A1889="","",IFERROR(INDEX(Items!$D$5:$D$597,MATCH($A1889,Items!$A$5:$A$597,0)),0))</f>
        <v/>
      </c>
      <c r="F1889" s="21" t="str">
        <f t="shared" si="145"/>
        <v/>
      </c>
      <c r="G1889" s="25" t="str">
        <f>IF(Receipts!$I1892="","",Receipts!$I1892)</f>
        <v/>
      </c>
      <c r="H1889" s="25" t="str">
        <f>IF(Receipts!$H1892="","",Receipts!$H1892)</f>
        <v/>
      </c>
      <c r="I1889" s="26" t="str">
        <f t="shared" ca="1" si="146"/>
        <v/>
      </c>
      <c r="J1889" s="26" t="str">
        <f>IF($A1889="","",COUNTIFS(tblReceipts[Item Name],$A1889,tblReceipts[Expiry Date],"&lt;"&amp;$H1889)+COUNTIFS(tblReceipts[Item Name],$A1889,tblReceipts[Expiry Date],$H1889,tblReceipts[Lot Number],"&lt;="&amp;Receipts!$C1892))</f>
        <v/>
      </c>
      <c r="K1889" s="26" t="str">
        <f>IF($A1889="","",SUMIFS(tblReceipts[Qty Received],tblReceipts[Item Name],$A1889,tblReceipts[Expiry Date],"&lt;"&amp;$H1889)+SUMIFS(tblReceipts[Qty Received],tblReceipts[Item Name],$A1889,tblReceipts[Expiry Date],$H1889,tblReceipts[Lot Number],"&lt;"&amp;Receipts!$C1892))</f>
        <v/>
      </c>
      <c r="L1889" s="26" t="str">
        <f>IF($A1889="","",MIN($D1889,MAX(0,SUMIFS(tblIssues[Qty Issued],tblIssues[Item Name],$A1889)-$K1889)))</f>
        <v/>
      </c>
      <c r="M1889" s="26" t="str">
        <f>IF($A1889="","",SUMIFS(tblIssues[Qty Issued],tblIssues[Lot Number],$B1889))</f>
        <v/>
      </c>
      <c r="N1889" s="26" t="str">
        <f t="shared" si="147"/>
        <v/>
      </c>
      <c r="O1889" s="26" t="str">
        <f t="shared" si="148"/>
        <v/>
      </c>
      <c r="P1889" s="21" t="str">
        <f t="shared" si="149"/>
        <v/>
      </c>
      <c r="Q1889" s="52" t="str">
        <f>IF($A1889="","",IF($O1889&lt;=0,"Depleted",IF($I1889&lt;0,"EXPIRED",IF($I1889&lt;=Settings!$C$6,"CRITICAL",IF($I1889&lt;=Settings!$C$5,"Expiring","In date")))))</f>
        <v/>
      </c>
    </row>
    <row r="1890" spans="1:17" x14ac:dyDescent="0.35">
      <c r="A1890" s="90" t="str">
        <f>IF(Receipts!$D1893="","",Receipts!$D1893)</f>
        <v/>
      </c>
      <c r="B1890" s="18" t="str">
        <f>IF(Receipts!$C1893="","",Receipts!$C1893)</f>
        <v/>
      </c>
      <c r="C1890" s="18" t="str">
        <f>IF($A1890="","",IFERROR(INDEX(Items!$B$5:$B$597,MATCH($A1890,Items!$A$5:$A$597,0)),""))</f>
        <v/>
      </c>
      <c r="D1890" s="23" t="str">
        <f>IF($A1890="","",N(Receipts!$G1893))</f>
        <v/>
      </c>
      <c r="E1890" s="20" t="str">
        <f>IF($A1890="","",IFERROR(INDEX(Items!$D$5:$D$597,MATCH($A1890,Items!$A$5:$A$597,0)),0))</f>
        <v/>
      </c>
      <c r="F1890" s="21" t="str">
        <f t="shared" si="145"/>
        <v/>
      </c>
      <c r="G1890" s="25" t="str">
        <f>IF(Receipts!$I1893="","",Receipts!$I1893)</f>
        <v/>
      </c>
      <c r="H1890" s="25" t="str">
        <f>IF(Receipts!$H1893="","",Receipts!$H1893)</f>
        <v/>
      </c>
      <c r="I1890" s="26" t="str">
        <f t="shared" ca="1" si="146"/>
        <v/>
      </c>
      <c r="J1890" s="26" t="str">
        <f>IF($A1890="","",COUNTIFS(tblReceipts[Item Name],$A1890,tblReceipts[Expiry Date],"&lt;"&amp;$H1890)+COUNTIFS(tblReceipts[Item Name],$A1890,tblReceipts[Expiry Date],$H1890,tblReceipts[Lot Number],"&lt;="&amp;Receipts!$C1893))</f>
        <v/>
      </c>
      <c r="K1890" s="26" t="str">
        <f>IF($A1890="","",SUMIFS(tblReceipts[Qty Received],tblReceipts[Item Name],$A1890,tblReceipts[Expiry Date],"&lt;"&amp;$H1890)+SUMIFS(tblReceipts[Qty Received],tblReceipts[Item Name],$A1890,tblReceipts[Expiry Date],$H1890,tblReceipts[Lot Number],"&lt;"&amp;Receipts!$C1893))</f>
        <v/>
      </c>
      <c r="L1890" s="26" t="str">
        <f>IF($A1890="","",MIN($D1890,MAX(0,SUMIFS(tblIssues[Qty Issued],tblIssues[Item Name],$A1890)-$K1890)))</f>
        <v/>
      </c>
      <c r="M1890" s="26" t="str">
        <f>IF($A1890="","",SUMIFS(tblIssues[Qty Issued],tblIssues[Lot Number],$B1890))</f>
        <v/>
      </c>
      <c r="N1890" s="26" t="str">
        <f t="shared" si="147"/>
        <v/>
      </c>
      <c r="O1890" s="26" t="str">
        <f t="shared" si="148"/>
        <v/>
      </c>
      <c r="P1890" s="21" t="str">
        <f t="shared" si="149"/>
        <v/>
      </c>
      <c r="Q1890" s="52" t="str">
        <f>IF($A1890="","",IF($O1890&lt;=0,"Depleted",IF($I1890&lt;0,"EXPIRED",IF($I1890&lt;=Settings!$C$6,"CRITICAL",IF($I1890&lt;=Settings!$C$5,"Expiring","In date")))))</f>
        <v/>
      </c>
    </row>
    <row r="1891" spans="1:17" x14ac:dyDescent="0.35">
      <c r="A1891" s="90" t="str">
        <f>IF(Receipts!$D1894="","",Receipts!$D1894)</f>
        <v/>
      </c>
      <c r="B1891" s="18" t="str">
        <f>IF(Receipts!$C1894="","",Receipts!$C1894)</f>
        <v/>
      </c>
      <c r="C1891" s="18" t="str">
        <f>IF($A1891="","",IFERROR(INDEX(Items!$B$5:$B$597,MATCH($A1891,Items!$A$5:$A$597,0)),""))</f>
        <v/>
      </c>
      <c r="D1891" s="23" t="str">
        <f>IF($A1891="","",N(Receipts!$G1894))</f>
        <v/>
      </c>
      <c r="E1891" s="20" t="str">
        <f>IF($A1891="","",IFERROR(INDEX(Items!$D$5:$D$597,MATCH($A1891,Items!$A$5:$A$597,0)),0))</f>
        <v/>
      </c>
      <c r="F1891" s="21" t="str">
        <f t="shared" si="145"/>
        <v/>
      </c>
      <c r="G1891" s="25" t="str">
        <f>IF(Receipts!$I1894="","",Receipts!$I1894)</f>
        <v/>
      </c>
      <c r="H1891" s="25" t="str">
        <f>IF(Receipts!$H1894="","",Receipts!$H1894)</f>
        <v/>
      </c>
      <c r="I1891" s="26" t="str">
        <f t="shared" ca="1" si="146"/>
        <v/>
      </c>
      <c r="J1891" s="26" t="str">
        <f>IF($A1891="","",COUNTIFS(tblReceipts[Item Name],$A1891,tblReceipts[Expiry Date],"&lt;"&amp;$H1891)+COUNTIFS(tblReceipts[Item Name],$A1891,tblReceipts[Expiry Date],$H1891,tblReceipts[Lot Number],"&lt;="&amp;Receipts!$C1894))</f>
        <v/>
      </c>
      <c r="K1891" s="26" t="str">
        <f>IF($A1891="","",SUMIFS(tblReceipts[Qty Received],tblReceipts[Item Name],$A1891,tblReceipts[Expiry Date],"&lt;"&amp;$H1891)+SUMIFS(tblReceipts[Qty Received],tblReceipts[Item Name],$A1891,tblReceipts[Expiry Date],$H1891,tblReceipts[Lot Number],"&lt;"&amp;Receipts!$C1894))</f>
        <v/>
      </c>
      <c r="L1891" s="26" t="str">
        <f>IF($A1891="","",MIN($D1891,MAX(0,SUMIFS(tblIssues[Qty Issued],tblIssues[Item Name],$A1891)-$K1891)))</f>
        <v/>
      </c>
      <c r="M1891" s="26" t="str">
        <f>IF($A1891="","",SUMIFS(tblIssues[Qty Issued],tblIssues[Lot Number],$B1891))</f>
        <v/>
      </c>
      <c r="N1891" s="26" t="str">
        <f t="shared" si="147"/>
        <v/>
      </c>
      <c r="O1891" s="26" t="str">
        <f t="shared" si="148"/>
        <v/>
      </c>
      <c r="P1891" s="21" t="str">
        <f t="shared" si="149"/>
        <v/>
      </c>
      <c r="Q1891" s="52" t="str">
        <f>IF($A1891="","",IF($O1891&lt;=0,"Depleted",IF($I1891&lt;0,"EXPIRED",IF($I1891&lt;=Settings!$C$6,"CRITICAL",IF($I1891&lt;=Settings!$C$5,"Expiring","In date")))))</f>
        <v/>
      </c>
    </row>
    <row r="1892" spans="1:17" x14ac:dyDescent="0.35">
      <c r="A1892" s="90" t="str">
        <f>IF(Receipts!$D1895="","",Receipts!$D1895)</f>
        <v/>
      </c>
      <c r="B1892" s="18" t="str">
        <f>IF(Receipts!$C1895="","",Receipts!$C1895)</f>
        <v/>
      </c>
      <c r="C1892" s="18" t="str">
        <f>IF($A1892="","",IFERROR(INDEX(Items!$B$5:$B$597,MATCH($A1892,Items!$A$5:$A$597,0)),""))</f>
        <v/>
      </c>
      <c r="D1892" s="23" t="str">
        <f>IF($A1892="","",N(Receipts!$G1895))</f>
        <v/>
      </c>
      <c r="E1892" s="20" t="str">
        <f>IF($A1892="","",IFERROR(INDEX(Items!$D$5:$D$597,MATCH($A1892,Items!$A$5:$A$597,0)),0))</f>
        <v/>
      </c>
      <c r="F1892" s="21" t="str">
        <f t="shared" si="145"/>
        <v/>
      </c>
      <c r="G1892" s="25" t="str">
        <f>IF(Receipts!$I1895="","",Receipts!$I1895)</f>
        <v/>
      </c>
      <c r="H1892" s="25" t="str">
        <f>IF(Receipts!$H1895="","",Receipts!$H1895)</f>
        <v/>
      </c>
      <c r="I1892" s="26" t="str">
        <f t="shared" ca="1" si="146"/>
        <v/>
      </c>
      <c r="J1892" s="26" t="str">
        <f>IF($A1892="","",COUNTIFS(tblReceipts[Item Name],$A1892,tblReceipts[Expiry Date],"&lt;"&amp;$H1892)+COUNTIFS(tblReceipts[Item Name],$A1892,tblReceipts[Expiry Date],$H1892,tblReceipts[Lot Number],"&lt;="&amp;Receipts!$C1895))</f>
        <v/>
      </c>
      <c r="K1892" s="26" t="str">
        <f>IF($A1892="","",SUMIFS(tblReceipts[Qty Received],tblReceipts[Item Name],$A1892,tblReceipts[Expiry Date],"&lt;"&amp;$H1892)+SUMIFS(tblReceipts[Qty Received],tblReceipts[Item Name],$A1892,tblReceipts[Expiry Date],$H1892,tblReceipts[Lot Number],"&lt;"&amp;Receipts!$C1895))</f>
        <v/>
      </c>
      <c r="L1892" s="26" t="str">
        <f>IF($A1892="","",MIN($D1892,MAX(0,SUMIFS(tblIssues[Qty Issued],tblIssues[Item Name],$A1892)-$K1892)))</f>
        <v/>
      </c>
      <c r="M1892" s="26" t="str">
        <f>IF($A1892="","",SUMIFS(tblIssues[Qty Issued],tblIssues[Lot Number],$B1892))</f>
        <v/>
      </c>
      <c r="N1892" s="26" t="str">
        <f t="shared" si="147"/>
        <v/>
      </c>
      <c r="O1892" s="26" t="str">
        <f t="shared" si="148"/>
        <v/>
      </c>
      <c r="P1892" s="21" t="str">
        <f t="shared" si="149"/>
        <v/>
      </c>
      <c r="Q1892" s="52" t="str">
        <f>IF($A1892="","",IF($O1892&lt;=0,"Depleted",IF($I1892&lt;0,"EXPIRED",IF($I1892&lt;=Settings!$C$6,"CRITICAL",IF($I1892&lt;=Settings!$C$5,"Expiring","In date")))))</f>
        <v/>
      </c>
    </row>
    <row r="1893" spans="1:17" x14ac:dyDescent="0.35">
      <c r="A1893" s="90" t="str">
        <f>IF(Receipts!$D1896="","",Receipts!$D1896)</f>
        <v/>
      </c>
      <c r="B1893" s="18" t="str">
        <f>IF(Receipts!$C1896="","",Receipts!$C1896)</f>
        <v/>
      </c>
      <c r="C1893" s="18" t="str">
        <f>IF($A1893="","",IFERROR(INDEX(Items!$B$5:$B$597,MATCH($A1893,Items!$A$5:$A$597,0)),""))</f>
        <v/>
      </c>
      <c r="D1893" s="23" t="str">
        <f>IF($A1893="","",N(Receipts!$G1896))</f>
        <v/>
      </c>
      <c r="E1893" s="20" t="str">
        <f>IF($A1893="","",IFERROR(INDEX(Items!$D$5:$D$597,MATCH($A1893,Items!$A$5:$A$597,0)),0))</f>
        <v/>
      </c>
      <c r="F1893" s="21" t="str">
        <f t="shared" si="145"/>
        <v/>
      </c>
      <c r="G1893" s="25" t="str">
        <f>IF(Receipts!$I1896="","",Receipts!$I1896)</f>
        <v/>
      </c>
      <c r="H1893" s="25" t="str">
        <f>IF(Receipts!$H1896="","",Receipts!$H1896)</f>
        <v/>
      </c>
      <c r="I1893" s="26" t="str">
        <f t="shared" ca="1" si="146"/>
        <v/>
      </c>
      <c r="J1893" s="26" t="str">
        <f>IF($A1893="","",COUNTIFS(tblReceipts[Item Name],$A1893,tblReceipts[Expiry Date],"&lt;"&amp;$H1893)+COUNTIFS(tblReceipts[Item Name],$A1893,tblReceipts[Expiry Date],$H1893,tblReceipts[Lot Number],"&lt;="&amp;Receipts!$C1896))</f>
        <v/>
      </c>
      <c r="K1893" s="26" t="str">
        <f>IF($A1893="","",SUMIFS(tblReceipts[Qty Received],tblReceipts[Item Name],$A1893,tblReceipts[Expiry Date],"&lt;"&amp;$H1893)+SUMIFS(tblReceipts[Qty Received],tblReceipts[Item Name],$A1893,tblReceipts[Expiry Date],$H1893,tblReceipts[Lot Number],"&lt;"&amp;Receipts!$C1896))</f>
        <v/>
      </c>
      <c r="L1893" s="26" t="str">
        <f>IF($A1893="","",MIN($D1893,MAX(0,SUMIFS(tblIssues[Qty Issued],tblIssues[Item Name],$A1893)-$K1893)))</f>
        <v/>
      </c>
      <c r="M1893" s="26" t="str">
        <f>IF($A1893="","",SUMIFS(tblIssues[Qty Issued],tblIssues[Lot Number],$B1893))</f>
        <v/>
      </c>
      <c r="N1893" s="26" t="str">
        <f t="shared" si="147"/>
        <v/>
      </c>
      <c r="O1893" s="26" t="str">
        <f t="shared" si="148"/>
        <v/>
      </c>
      <c r="P1893" s="21" t="str">
        <f t="shared" si="149"/>
        <v/>
      </c>
      <c r="Q1893" s="52" t="str">
        <f>IF($A1893="","",IF($O1893&lt;=0,"Depleted",IF($I1893&lt;0,"EXPIRED",IF($I1893&lt;=Settings!$C$6,"CRITICAL",IF($I1893&lt;=Settings!$C$5,"Expiring","In date")))))</f>
        <v/>
      </c>
    </row>
    <row r="1894" spans="1:17" x14ac:dyDescent="0.35">
      <c r="A1894" s="90" t="str">
        <f>IF(Receipts!$D1897="","",Receipts!$D1897)</f>
        <v/>
      </c>
      <c r="B1894" s="18" t="str">
        <f>IF(Receipts!$C1897="","",Receipts!$C1897)</f>
        <v/>
      </c>
      <c r="C1894" s="18" t="str">
        <f>IF($A1894="","",IFERROR(INDEX(Items!$B$5:$B$597,MATCH($A1894,Items!$A$5:$A$597,0)),""))</f>
        <v/>
      </c>
      <c r="D1894" s="23" t="str">
        <f>IF($A1894="","",N(Receipts!$G1897))</f>
        <v/>
      </c>
      <c r="E1894" s="20" t="str">
        <f>IF($A1894="","",IFERROR(INDEX(Items!$D$5:$D$597,MATCH($A1894,Items!$A$5:$A$597,0)),0))</f>
        <v/>
      </c>
      <c r="F1894" s="21" t="str">
        <f t="shared" si="145"/>
        <v/>
      </c>
      <c r="G1894" s="25" t="str">
        <f>IF(Receipts!$I1897="","",Receipts!$I1897)</f>
        <v/>
      </c>
      <c r="H1894" s="25" t="str">
        <f>IF(Receipts!$H1897="","",Receipts!$H1897)</f>
        <v/>
      </c>
      <c r="I1894" s="26" t="str">
        <f t="shared" ca="1" si="146"/>
        <v/>
      </c>
      <c r="J1894" s="26" t="str">
        <f>IF($A1894="","",COUNTIFS(tblReceipts[Item Name],$A1894,tblReceipts[Expiry Date],"&lt;"&amp;$H1894)+COUNTIFS(tblReceipts[Item Name],$A1894,tblReceipts[Expiry Date],$H1894,tblReceipts[Lot Number],"&lt;="&amp;Receipts!$C1897))</f>
        <v/>
      </c>
      <c r="K1894" s="26" t="str">
        <f>IF($A1894="","",SUMIFS(tblReceipts[Qty Received],tblReceipts[Item Name],$A1894,tblReceipts[Expiry Date],"&lt;"&amp;$H1894)+SUMIFS(tblReceipts[Qty Received],tblReceipts[Item Name],$A1894,tblReceipts[Expiry Date],$H1894,tblReceipts[Lot Number],"&lt;"&amp;Receipts!$C1897))</f>
        <v/>
      </c>
      <c r="L1894" s="26" t="str">
        <f>IF($A1894="","",MIN($D1894,MAX(0,SUMIFS(tblIssues[Qty Issued],tblIssues[Item Name],$A1894)-$K1894)))</f>
        <v/>
      </c>
      <c r="M1894" s="26" t="str">
        <f>IF($A1894="","",SUMIFS(tblIssues[Qty Issued],tblIssues[Lot Number],$B1894))</f>
        <v/>
      </c>
      <c r="N1894" s="26" t="str">
        <f t="shared" si="147"/>
        <v/>
      </c>
      <c r="O1894" s="26" t="str">
        <f t="shared" si="148"/>
        <v/>
      </c>
      <c r="P1894" s="21" t="str">
        <f t="shared" si="149"/>
        <v/>
      </c>
      <c r="Q1894" s="52" t="str">
        <f>IF($A1894="","",IF($O1894&lt;=0,"Depleted",IF($I1894&lt;0,"EXPIRED",IF($I1894&lt;=Settings!$C$6,"CRITICAL",IF($I1894&lt;=Settings!$C$5,"Expiring","In date")))))</f>
        <v/>
      </c>
    </row>
    <row r="1895" spans="1:17" x14ac:dyDescent="0.35">
      <c r="A1895" s="90" t="str">
        <f>IF(Receipts!$D1898="","",Receipts!$D1898)</f>
        <v/>
      </c>
      <c r="B1895" s="18" t="str">
        <f>IF(Receipts!$C1898="","",Receipts!$C1898)</f>
        <v/>
      </c>
      <c r="C1895" s="18" t="str">
        <f>IF($A1895="","",IFERROR(INDEX(Items!$B$5:$B$597,MATCH($A1895,Items!$A$5:$A$597,0)),""))</f>
        <v/>
      </c>
      <c r="D1895" s="23" t="str">
        <f>IF($A1895="","",N(Receipts!$G1898))</f>
        <v/>
      </c>
      <c r="E1895" s="20" t="str">
        <f>IF($A1895="","",IFERROR(INDEX(Items!$D$5:$D$597,MATCH($A1895,Items!$A$5:$A$597,0)),0))</f>
        <v/>
      </c>
      <c r="F1895" s="21" t="str">
        <f t="shared" si="145"/>
        <v/>
      </c>
      <c r="G1895" s="25" t="str">
        <f>IF(Receipts!$I1898="","",Receipts!$I1898)</f>
        <v/>
      </c>
      <c r="H1895" s="25" t="str">
        <f>IF(Receipts!$H1898="","",Receipts!$H1898)</f>
        <v/>
      </c>
      <c r="I1895" s="26" t="str">
        <f t="shared" ca="1" si="146"/>
        <v/>
      </c>
      <c r="J1895" s="26" t="str">
        <f>IF($A1895="","",COUNTIFS(tblReceipts[Item Name],$A1895,tblReceipts[Expiry Date],"&lt;"&amp;$H1895)+COUNTIFS(tblReceipts[Item Name],$A1895,tblReceipts[Expiry Date],$H1895,tblReceipts[Lot Number],"&lt;="&amp;Receipts!$C1898))</f>
        <v/>
      </c>
      <c r="K1895" s="26" t="str">
        <f>IF($A1895="","",SUMIFS(tblReceipts[Qty Received],tblReceipts[Item Name],$A1895,tblReceipts[Expiry Date],"&lt;"&amp;$H1895)+SUMIFS(tblReceipts[Qty Received],tblReceipts[Item Name],$A1895,tblReceipts[Expiry Date],$H1895,tblReceipts[Lot Number],"&lt;"&amp;Receipts!$C1898))</f>
        <v/>
      </c>
      <c r="L1895" s="26" t="str">
        <f>IF($A1895="","",MIN($D1895,MAX(0,SUMIFS(tblIssues[Qty Issued],tblIssues[Item Name],$A1895)-$K1895)))</f>
        <v/>
      </c>
      <c r="M1895" s="26" t="str">
        <f>IF($A1895="","",SUMIFS(tblIssues[Qty Issued],tblIssues[Lot Number],$B1895))</f>
        <v/>
      </c>
      <c r="N1895" s="26" t="str">
        <f t="shared" si="147"/>
        <v/>
      </c>
      <c r="O1895" s="26" t="str">
        <f t="shared" si="148"/>
        <v/>
      </c>
      <c r="P1895" s="21" t="str">
        <f t="shared" si="149"/>
        <v/>
      </c>
      <c r="Q1895" s="52" t="str">
        <f>IF($A1895="","",IF($O1895&lt;=0,"Depleted",IF($I1895&lt;0,"EXPIRED",IF($I1895&lt;=Settings!$C$6,"CRITICAL",IF($I1895&lt;=Settings!$C$5,"Expiring","In date")))))</f>
        <v/>
      </c>
    </row>
    <row r="1896" spans="1:17" x14ac:dyDescent="0.35">
      <c r="A1896" s="90" t="str">
        <f>IF(Receipts!$D1899="","",Receipts!$D1899)</f>
        <v/>
      </c>
      <c r="B1896" s="18" t="str">
        <f>IF(Receipts!$C1899="","",Receipts!$C1899)</f>
        <v/>
      </c>
      <c r="C1896" s="18" t="str">
        <f>IF($A1896="","",IFERROR(INDEX(Items!$B$5:$B$597,MATCH($A1896,Items!$A$5:$A$597,0)),""))</f>
        <v/>
      </c>
      <c r="D1896" s="23" t="str">
        <f>IF($A1896="","",N(Receipts!$G1899))</f>
        <v/>
      </c>
      <c r="E1896" s="20" t="str">
        <f>IF($A1896="","",IFERROR(INDEX(Items!$D$5:$D$597,MATCH($A1896,Items!$A$5:$A$597,0)),0))</f>
        <v/>
      </c>
      <c r="F1896" s="21" t="str">
        <f t="shared" si="145"/>
        <v/>
      </c>
      <c r="G1896" s="25" t="str">
        <f>IF(Receipts!$I1899="","",Receipts!$I1899)</f>
        <v/>
      </c>
      <c r="H1896" s="25" t="str">
        <f>IF(Receipts!$H1899="","",Receipts!$H1899)</f>
        <v/>
      </c>
      <c r="I1896" s="26" t="str">
        <f t="shared" ca="1" si="146"/>
        <v/>
      </c>
      <c r="J1896" s="26" t="str">
        <f>IF($A1896="","",COUNTIFS(tblReceipts[Item Name],$A1896,tblReceipts[Expiry Date],"&lt;"&amp;$H1896)+COUNTIFS(tblReceipts[Item Name],$A1896,tblReceipts[Expiry Date],$H1896,tblReceipts[Lot Number],"&lt;="&amp;Receipts!$C1899))</f>
        <v/>
      </c>
      <c r="K1896" s="26" t="str">
        <f>IF($A1896="","",SUMIFS(tblReceipts[Qty Received],tblReceipts[Item Name],$A1896,tblReceipts[Expiry Date],"&lt;"&amp;$H1896)+SUMIFS(tblReceipts[Qty Received],tblReceipts[Item Name],$A1896,tblReceipts[Expiry Date],$H1896,tblReceipts[Lot Number],"&lt;"&amp;Receipts!$C1899))</f>
        <v/>
      </c>
      <c r="L1896" s="26" t="str">
        <f>IF($A1896="","",MIN($D1896,MAX(0,SUMIFS(tblIssues[Qty Issued],tblIssues[Item Name],$A1896)-$K1896)))</f>
        <v/>
      </c>
      <c r="M1896" s="26" t="str">
        <f>IF($A1896="","",SUMIFS(tblIssues[Qty Issued],tblIssues[Lot Number],$B1896))</f>
        <v/>
      </c>
      <c r="N1896" s="26" t="str">
        <f t="shared" si="147"/>
        <v/>
      </c>
      <c r="O1896" s="26" t="str">
        <f t="shared" si="148"/>
        <v/>
      </c>
      <c r="P1896" s="21" t="str">
        <f t="shared" si="149"/>
        <v/>
      </c>
      <c r="Q1896" s="52" t="str">
        <f>IF($A1896="","",IF($O1896&lt;=0,"Depleted",IF($I1896&lt;0,"EXPIRED",IF($I1896&lt;=Settings!$C$6,"CRITICAL",IF($I1896&lt;=Settings!$C$5,"Expiring","In date")))))</f>
        <v/>
      </c>
    </row>
    <row r="1897" spans="1:17" x14ac:dyDescent="0.35">
      <c r="A1897" s="90" t="str">
        <f>IF(Receipts!$D1900="","",Receipts!$D1900)</f>
        <v/>
      </c>
      <c r="B1897" s="18" t="str">
        <f>IF(Receipts!$C1900="","",Receipts!$C1900)</f>
        <v/>
      </c>
      <c r="C1897" s="18" t="str">
        <f>IF($A1897="","",IFERROR(INDEX(Items!$B$5:$B$597,MATCH($A1897,Items!$A$5:$A$597,0)),""))</f>
        <v/>
      </c>
      <c r="D1897" s="23" t="str">
        <f>IF($A1897="","",N(Receipts!$G1900))</f>
        <v/>
      </c>
      <c r="E1897" s="20" t="str">
        <f>IF($A1897="","",IFERROR(INDEX(Items!$D$5:$D$597,MATCH($A1897,Items!$A$5:$A$597,0)),0))</f>
        <v/>
      </c>
      <c r="F1897" s="21" t="str">
        <f t="shared" si="145"/>
        <v/>
      </c>
      <c r="G1897" s="25" t="str">
        <f>IF(Receipts!$I1900="","",Receipts!$I1900)</f>
        <v/>
      </c>
      <c r="H1897" s="25" t="str">
        <f>IF(Receipts!$H1900="","",Receipts!$H1900)</f>
        <v/>
      </c>
      <c r="I1897" s="26" t="str">
        <f t="shared" ca="1" si="146"/>
        <v/>
      </c>
      <c r="J1897" s="26" t="str">
        <f>IF($A1897="","",COUNTIFS(tblReceipts[Item Name],$A1897,tblReceipts[Expiry Date],"&lt;"&amp;$H1897)+COUNTIFS(tblReceipts[Item Name],$A1897,tblReceipts[Expiry Date],$H1897,tblReceipts[Lot Number],"&lt;="&amp;Receipts!$C1900))</f>
        <v/>
      </c>
      <c r="K1897" s="26" t="str">
        <f>IF($A1897="","",SUMIFS(tblReceipts[Qty Received],tblReceipts[Item Name],$A1897,tblReceipts[Expiry Date],"&lt;"&amp;$H1897)+SUMIFS(tblReceipts[Qty Received],tblReceipts[Item Name],$A1897,tblReceipts[Expiry Date],$H1897,tblReceipts[Lot Number],"&lt;"&amp;Receipts!$C1900))</f>
        <v/>
      </c>
      <c r="L1897" s="26" t="str">
        <f>IF($A1897="","",MIN($D1897,MAX(0,SUMIFS(tblIssues[Qty Issued],tblIssues[Item Name],$A1897)-$K1897)))</f>
        <v/>
      </c>
      <c r="M1897" s="26" t="str">
        <f>IF($A1897="","",SUMIFS(tblIssues[Qty Issued],tblIssues[Lot Number],$B1897))</f>
        <v/>
      </c>
      <c r="N1897" s="26" t="str">
        <f t="shared" si="147"/>
        <v/>
      </c>
      <c r="O1897" s="26" t="str">
        <f t="shared" si="148"/>
        <v/>
      </c>
      <c r="P1897" s="21" t="str">
        <f t="shared" si="149"/>
        <v/>
      </c>
      <c r="Q1897" s="52" t="str">
        <f>IF($A1897="","",IF($O1897&lt;=0,"Depleted",IF($I1897&lt;0,"EXPIRED",IF($I1897&lt;=Settings!$C$6,"CRITICAL",IF($I1897&lt;=Settings!$C$5,"Expiring","In date")))))</f>
        <v/>
      </c>
    </row>
    <row r="1898" spans="1:17" x14ac:dyDescent="0.35">
      <c r="A1898" s="90" t="str">
        <f>IF(Receipts!$D1901="","",Receipts!$D1901)</f>
        <v/>
      </c>
      <c r="B1898" s="18" t="str">
        <f>IF(Receipts!$C1901="","",Receipts!$C1901)</f>
        <v/>
      </c>
      <c r="C1898" s="18" t="str">
        <f>IF($A1898="","",IFERROR(INDEX(Items!$B$5:$B$597,MATCH($A1898,Items!$A$5:$A$597,0)),""))</f>
        <v/>
      </c>
      <c r="D1898" s="23" t="str">
        <f>IF($A1898="","",N(Receipts!$G1901))</f>
        <v/>
      </c>
      <c r="E1898" s="20" t="str">
        <f>IF($A1898="","",IFERROR(INDEX(Items!$D$5:$D$597,MATCH($A1898,Items!$A$5:$A$597,0)),0))</f>
        <v/>
      </c>
      <c r="F1898" s="21" t="str">
        <f t="shared" si="145"/>
        <v/>
      </c>
      <c r="G1898" s="25" t="str">
        <f>IF(Receipts!$I1901="","",Receipts!$I1901)</f>
        <v/>
      </c>
      <c r="H1898" s="25" t="str">
        <f>IF(Receipts!$H1901="","",Receipts!$H1901)</f>
        <v/>
      </c>
      <c r="I1898" s="26" t="str">
        <f t="shared" ca="1" si="146"/>
        <v/>
      </c>
      <c r="J1898" s="26" t="str">
        <f>IF($A1898="","",COUNTIFS(tblReceipts[Item Name],$A1898,tblReceipts[Expiry Date],"&lt;"&amp;$H1898)+COUNTIFS(tblReceipts[Item Name],$A1898,tblReceipts[Expiry Date],$H1898,tblReceipts[Lot Number],"&lt;="&amp;Receipts!$C1901))</f>
        <v/>
      </c>
      <c r="K1898" s="26" t="str">
        <f>IF($A1898="","",SUMIFS(tblReceipts[Qty Received],tblReceipts[Item Name],$A1898,tblReceipts[Expiry Date],"&lt;"&amp;$H1898)+SUMIFS(tblReceipts[Qty Received],tblReceipts[Item Name],$A1898,tblReceipts[Expiry Date],$H1898,tblReceipts[Lot Number],"&lt;"&amp;Receipts!$C1901))</f>
        <v/>
      </c>
      <c r="L1898" s="26" t="str">
        <f>IF($A1898="","",MIN($D1898,MAX(0,SUMIFS(tblIssues[Qty Issued],tblIssues[Item Name],$A1898)-$K1898)))</f>
        <v/>
      </c>
      <c r="M1898" s="26" t="str">
        <f>IF($A1898="","",SUMIFS(tblIssues[Qty Issued],tblIssues[Lot Number],$B1898))</f>
        <v/>
      </c>
      <c r="N1898" s="26" t="str">
        <f t="shared" si="147"/>
        <v/>
      </c>
      <c r="O1898" s="26" t="str">
        <f t="shared" si="148"/>
        <v/>
      </c>
      <c r="P1898" s="21" t="str">
        <f t="shared" si="149"/>
        <v/>
      </c>
      <c r="Q1898" s="52" t="str">
        <f>IF($A1898="","",IF($O1898&lt;=0,"Depleted",IF($I1898&lt;0,"EXPIRED",IF($I1898&lt;=Settings!$C$6,"CRITICAL",IF($I1898&lt;=Settings!$C$5,"Expiring","In date")))))</f>
        <v/>
      </c>
    </row>
    <row r="1899" spans="1:17" x14ac:dyDescent="0.35">
      <c r="A1899" s="90" t="str">
        <f>IF(Receipts!$D1902="","",Receipts!$D1902)</f>
        <v/>
      </c>
      <c r="B1899" s="18" t="str">
        <f>IF(Receipts!$C1902="","",Receipts!$C1902)</f>
        <v/>
      </c>
      <c r="C1899" s="18" t="str">
        <f>IF($A1899="","",IFERROR(INDEX(Items!$B$5:$B$597,MATCH($A1899,Items!$A$5:$A$597,0)),""))</f>
        <v/>
      </c>
      <c r="D1899" s="23" t="str">
        <f>IF($A1899="","",N(Receipts!$G1902))</f>
        <v/>
      </c>
      <c r="E1899" s="20" t="str">
        <f>IF($A1899="","",IFERROR(INDEX(Items!$D$5:$D$597,MATCH($A1899,Items!$A$5:$A$597,0)),0))</f>
        <v/>
      </c>
      <c r="F1899" s="21" t="str">
        <f t="shared" si="145"/>
        <v/>
      </c>
      <c r="G1899" s="25" t="str">
        <f>IF(Receipts!$I1902="","",Receipts!$I1902)</f>
        <v/>
      </c>
      <c r="H1899" s="25" t="str">
        <f>IF(Receipts!$H1902="","",Receipts!$H1902)</f>
        <v/>
      </c>
      <c r="I1899" s="26" t="str">
        <f t="shared" ca="1" si="146"/>
        <v/>
      </c>
      <c r="J1899" s="26" t="str">
        <f>IF($A1899="","",COUNTIFS(tblReceipts[Item Name],$A1899,tblReceipts[Expiry Date],"&lt;"&amp;$H1899)+COUNTIFS(tblReceipts[Item Name],$A1899,tblReceipts[Expiry Date],$H1899,tblReceipts[Lot Number],"&lt;="&amp;Receipts!$C1902))</f>
        <v/>
      </c>
      <c r="K1899" s="26" t="str">
        <f>IF($A1899="","",SUMIFS(tblReceipts[Qty Received],tblReceipts[Item Name],$A1899,tblReceipts[Expiry Date],"&lt;"&amp;$H1899)+SUMIFS(tblReceipts[Qty Received],tblReceipts[Item Name],$A1899,tblReceipts[Expiry Date],$H1899,tblReceipts[Lot Number],"&lt;"&amp;Receipts!$C1902))</f>
        <v/>
      </c>
      <c r="L1899" s="26" t="str">
        <f>IF($A1899="","",MIN($D1899,MAX(0,SUMIFS(tblIssues[Qty Issued],tblIssues[Item Name],$A1899)-$K1899)))</f>
        <v/>
      </c>
      <c r="M1899" s="26" t="str">
        <f>IF($A1899="","",SUMIFS(tblIssues[Qty Issued],tblIssues[Lot Number],$B1899))</f>
        <v/>
      </c>
      <c r="N1899" s="26" t="str">
        <f t="shared" si="147"/>
        <v/>
      </c>
      <c r="O1899" s="26" t="str">
        <f t="shared" si="148"/>
        <v/>
      </c>
      <c r="P1899" s="21" t="str">
        <f t="shared" si="149"/>
        <v/>
      </c>
      <c r="Q1899" s="52" t="str">
        <f>IF($A1899="","",IF($O1899&lt;=0,"Depleted",IF($I1899&lt;0,"EXPIRED",IF($I1899&lt;=Settings!$C$6,"CRITICAL",IF($I1899&lt;=Settings!$C$5,"Expiring","In date")))))</f>
        <v/>
      </c>
    </row>
    <row r="1900" spans="1:17" x14ac:dyDescent="0.35">
      <c r="A1900" s="90" t="str">
        <f>IF(Receipts!$D1903="","",Receipts!$D1903)</f>
        <v/>
      </c>
      <c r="B1900" s="18" t="str">
        <f>IF(Receipts!$C1903="","",Receipts!$C1903)</f>
        <v/>
      </c>
      <c r="C1900" s="18" t="str">
        <f>IF($A1900="","",IFERROR(INDEX(Items!$B$5:$B$597,MATCH($A1900,Items!$A$5:$A$597,0)),""))</f>
        <v/>
      </c>
      <c r="D1900" s="23" t="str">
        <f>IF($A1900="","",N(Receipts!$G1903))</f>
        <v/>
      </c>
      <c r="E1900" s="20" t="str">
        <f>IF($A1900="","",IFERROR(INDEX(Items!$D$5:$D$597,MATCH($A1900,Items!$A$5:$A$597,0)),0))</f>
        <v/>
      </c>
      <c r="F1900" s="21" t="str">
        <f t="shared" si="145"/>
        <v/>
      </c>
      <c r="G1900" s="25" t="str">
        <f>IF(Receipts!$I1903="","",Receipts!$I1903)</f>
        <v/>
      </c>
      <c r="H1900" s="25" t="str">
        <f>IF(Receipts!$H1903="","",Receipts!$H1903)</f>
        <v/>
      </c>
      <c r="I1900" s="26" t="str">
        <f t="shared" ca="1" si="146"/>
        <v/>
      </c>
      <c r="J1900" s="26" t="str">
        <f>IF($A1900="","",COUNTIFS(tblReceipts[Item Name],$A1900,tblReceipts[Expiry Date],"&lt;"&amp;$H1900)+COUNTIFS(tblReceipts[Item Name],$A1900,tblReceipts[Expiry Date],$H1900,tblReceipts[Lot Number],"&lt;="&amp;Receipts!$C1903))</f>
        <v/>
      </c>
      <c r="K1900" s="26" t="str">
        <f>IF($A1900="","",SUMIFS(tblReceipts[Qty Received],tblReceipts[Item Name],$A1900,tblReceipts[Expiry Date],"&lt;"&amp;$H1900)+SUMIFS(tblReceipts[Qty Received],tblReceipts[Item Name],$A1900,tblReceipts[Expiry Date],$H1900,tblReceipts[Lot Number],"&lt;"&amp;Receipts!$C1903))</f>
        <v/>
      </c>
      <c r="L1900" s="26" t="str">
        <f>IF($A1900="","",MIN($D1900,MAX(0,SUMIFS(tblIssues[Qty Issued],tblIssues[Item Name],$A1900)-$K1900)))</f>
        <v/>
      </c>
      <c r="M1900" s="26" t="str">
        <f>IF($A1900="","",SUMIFS(tblIssues[Qty Issued],tblIssues[Lot Number],$B1900))</f>
        <v/>
      </c>
      <c r="N1900" s="26" t="str">
        <f t="shared" si="147"/>
        <v/>
      </c>
      <c r="O1900" s="26" t="str">
        <f t="shared" si="148"/>
        <v/>
      </c>
      <c r="P1900" s="21" t="str">
        <f t="shared" si="149"/>
        <v/>
      </c>
      <c r="Q1900" s="52" t="str">
        <f>IF($A1900="","",IF($O1900&lt;=0,"Depleted",IF($I1900&lt;0,"EXPIRED",IF($I1900&lt;=Settings!$C$6,"CRITICAL",IF($I1900&lt;=Settings!$C$5,"Expiring","In date")))))</f>
        <v/>
      </c>
    </row>
    <row r="1901" spans="1:17" x14ac:dyDescent="0.35">
      <c r="A1901" s="90" t="str">
        <f>IF(Receipts!$D1904="","",Receipts!$D1904)</f>
        <v/>
      </c>
      <c r="B1901" s="18" t="str">
        <f>IF(Receipts!$C1904="","",Receipts!$C1904)</f>
        <v/>
      </c>
      <c r="C1901" s="18" t="str">
        <f>IF($A1901="","",IFERROR(INDEX(Items!$B$5:$B$597,MATCH($A1901,Items!$A$5:$A$597,0)),""))</f>
        <v/>
      </c>
      <c r="D1901" s="23" t="str">
        <f>IF($A1901="","",N(Receipts!$G1904))</f>
        <v/>
      </c>
      <c r="E1901" s="20" t="str">
        <f>IF($A1901="","",IFERROR(INDEX(Items!$D$5:$D$597,MATCH($A1901,Items!$A$5:$A$597,0)),0))</f>
        <v/>
      </c>
      <c r="F1901" s="21" t="str">
        <f t="shared" si="145"/>
        <v/>
      </c>
      <c r="G1901" s="25" t="str">
        <f>IF(Receipts!$I1904="","",Receipts!$I1904)</f>
        <v/>
      </c>
      <c r="H1901" s="25" t="str">
        <f>IF(Receipts!$H1904="","",Receipts!$H1904)</f>
        <v/>
      </c>
      <c r="I1901" s="26" t="str">
        <f t="shared" ca="1" si="146"/>
        <v/>
      </c>
      <c r="J1901" s="26" t="str">
        <f>IF($A1901="","",COUNTIFS(tblReceipts[Item Name],$A1901,tblReceipts[Expiry Date],"&lt;"&amp;$H1901)+COUNTIFS(tblReceipts[Item Name],$A1901,tblReceipts[Expiry Date],$H1901,tblReceipts[Lot Number],"&lt;="&amp;Receipts!$C1904))</f>
        <v/>
      </c>
      <c r="K1901" s="26" t="str">
        <f>IF($A1901="","",SUMIFS(tblReceipts[Qty Received],tblReceipts[Item Name],$A1901,tblReceipts[Expiry Date],"&lt;"&amp;$H1901)+SUMIFS(tblReceipts[Qty Received],tblReceipts[Item Name],$A1901,tblReceipts[Expiry Date],$H1901,tblReceipts[Lot Number],"&lt;"&amp;Receipts!$C1904))</f>
        <v/>
      </c>
      <c r="L1901" s="26" t="str">
        <f>IF($A1901="","",MIN($D1901,MAX(0,SUMIFS(tblIssues[Qty Issued],tblIssues[Item Name],$A1901)-$K1901)))</f>
        <v/>
      </c>
      <c r="M1901" s="26" t="str">
        <f>IF($A1901="","",SUMIFS(tblIssues[Qty Issued],tblIssues[Lot Number],$B1901))</f>
        <v/>
      </c>
      <c r="N1901" s="26" t="str">
        <f t="shared" si="147"/>
        <v/>
      </c>
      <c r="O1901" s="26" t="str">
        <f t="shared" si="148"/>
        <v/>
      </c>
      <c r="P1901" s="21" t="str">
        <f t="shared" si="149"/>
        <v/>
      </c>
      <c r="Q1901" s="52" t="str">
        <f>IF($A1901="","",IF($O1901&lt;=0,"Depleted",IF($I1901&lt;0,"EXPIRED",IF($I1901&lt;=Settings!$C$6,"CRITICAL",IF($I1901&lt;=Settings!$C$5,"Expiring","In date")))))</f>
        <v/>
      </c>
    </row>
    <row r="1902" spans="1:17" x14ac:dyDescent="0.35">
      <c r="A1902" s="90" t="str">
        <f>IF(Receipts!$D1905="","",Receipts!$D1905)</f>
        <v/>
      </c>
      <c r="B1902" s="18" t="str">
        <f>IF(Receipts!$C1905="","",Receipts!$C1905)</f>
        <v/>
      </c>
      <c r="C1902" s="18" t="str">
        <f>IF($A1902="","",IFERROR(INDEX(Items!$B$5:$B$597,MATCH($A1902,Items!$A$5:$A$597,0)),""))</f>
        <v/>
      </c>
      <c r="D1902" s="23" t="str">
        <f>IF($A1902="","",N(Receipts!$G1905))</f>
        <v/>
      </c>
      <c r="E1902" s="20" t="str">
        <f>IF($A1902="","",IFERROR(INDEX(Items!$D$5:$D$597,MATCH($A1902,Items!$A$5:$A$597,0)),0))</f>
        <v/>
      </c>
      <c r="F1902" s="21" t="str">
        <f t="shared" si="145"/>
        <v/>
      </c>
      <c r="G1902" s="25" t="str">
        <f>IF(Receipts!$I1905="","",Receipts!$I1905)</f>
        <v/>
      </c>
      <c r="H1902" s="25" t="str">
        <f>IF(Receipts!$H1905="","",Receipts!$H1905)</f>
        <v/>
      </c>
      <c r="I1902" s="26" t="str">
        <f t="shared" ca="1" si="146"/>
        <v/>
      </c>
      <c r="J1902" s="26" t="str">
        <f>IF($A1902="","",COUNTIFS(tblReceipts[Item Name],$A1902,tblReceipts[Expiry Date],"&lt;"&amp;$H1902)+COUNTIFS(tblReceipts[Item Name],$A1902,tblReceipts[Expiry Date],$H1902,tblReceipts[Lot Number],"&lt;="&amp;Receipts!$C1905))</f>
        <v/>
      </c>
      <c r="K1902" s="26" t="str">
        <f>IF($A1902="","",SUMIFS(tblReceipts[Qty Received],tblReceipts[Item Name],$A1902,tblReceipts[Expiry Date],"&lt;"&amp;$H1902)+SUMIFS(tblReceipts[Qty Received],tblReceipts[Item Name],$A1902,tblReceipts[Expiry Date],$H1902,tblReceipts[Lot Number],"&lt;"&amp;Receipts!$C1905))</f>
        <v/>
      </c>
      <c r="L1902" s="26" t="str">
        <f>IF($A1902="","",MIN($D1902,MAX(0,SUMIFS(tblIssues[Qty Issued],tblIssues[Item Name],$A1902)-$K1902)))</f>
        <v/>
      </c>
      <c r="M1902" s="26" t="str">
        <f>IF($A1902="","",SUMIFS(tblIssues[Qty Issued],tblIssues[Lot Number],$B1902))</f>
        <v/>
      </c>
      <c r="N1902" s="26" t="str">
        <f t="shared" si="147"/>
        <v/>
      </c>
      <c r="O1902" s="26" t="str">
        <f t="shared" si="148"/>
        <v/>
      </c>
      <c r="P1902" s="21" t="str">
        <f t="shared" si="149"/>
        <v/>
      </c>
      <c r="Q1902" s="52" t="str">
        <f>IF($A1902="","",IF($O1902&lt;=0,"Depleted",IF($I1902&lt;0,"EXPIRED",IF($I1902&lt;=Settings!$C$6,"CRITICAL",IF($I1902&lt;=Settings!$C$5,"Expiring","In date")))))</f>
        <v/>
      </c>
    </row>
    <row r="1903" spans="1:17" x14ac:dyDescent="0.35">
      <c r="A1903" s="90" t="str">
        <f>IF(Receipts!$D1906="","",Receipts!$D1906)</f>
        <v/>
      </c>
      <c r="B1903" s="18" t="str">
        <f>IF(Receipts!$C1906="","",Receipts!$C1906)</f>
        <v/>
      </c>
      <c r="C1903" s="18" t="str">
        <f>IF($A1903="","",IFERROR(INDEX(Items!$B$5:$B$597,MATCH($A1903,Items!$A$5:$A$597,0)),""))</f>
        <v/>
      </c>
      <c r="D1903" s="23" t="str">
        <f>IF($A1903="","",N(Receipts!$G1906))</f>
        <v/>
      </c>
      <c r="E1903" s="20" t="str">
        <f>IF($A1903="","",IFERROR(INDEX(Items!$D$5:$D$597,MATCH($A1903,Items!$A$5:$A$597,0)),0))</f>
        <v/>
      </c>
      <c r="F1903" s="21" t="str">
        <f t="shared" si="145"/>
        <v/>
      </c>
      <c r="G1903" s="25" t="str">
        <f>IF(Receipts!$I1906="","",Receipts!$I1906)</f>
        <v/>
      </c>
      <c r="H1903" s="25" t="str">
        <f>IF(Receipts!$H1906="","",Receipts!$H1906)</f>
        <v/>
      </c>
      <c r="I1903" s="26" t="str">
        <f t="shared" ca="1" si="146"/>
        <v/>
      </c>
      <c r="J1903" s="26" t="str">
        <f>IF($A1903="","",COUNTIFS(tblReceipts[Item Name],$A1903,tblReceipts[Expiry Date],"&lt;"&amp;$H1903)+COUNTIFS(tblReceipts[Item Name],$A1903,tblReceipts[Expiry Date],$H1903,tblReceipts[Lot Number],"&lt;="&amp;Receipts!$C1906))</f>
        <v/>
      </c>
      <c r="K1903" s="26" t="str">
        <f>IF($A1903="","",SUMIFS(tblReceipts[Qty Received],tblReceipts[Item Name],$A1903,tblReceipts[Expiry Date],"&lt;"&amp;$H1903)+SUMIFS(tblReceipts[Qty Received],tblReceipts[Item Name],$A1903,tblReceipts[Expiry Date],$H1903,tblReceipts[Lot Number],"&lt;"&amp;Receipts!$C1906))</f>
        <v/>
      </c>
      <c r="L1903" s="26" t="str">
        <f>IF($A1903="","",MIN($D1903,MAX(0,SUMIFS(tblIssues[Qty Issued],tblIssues[Item Name],$A1903)-$K1903)))</f>
        <v/>
      </c>
      <c r="M1903" s="26" t="str">
        <f>IF($A1903="","",SUMIFS(tblIssues[Qty Issued],tblIssues[Lot Number],$B1903))</f>
        <v/>
      </c>
      <c r="N1903" s="26" t="str">
        <f t="shared" si="147"/>
        <v/>
      </c>
      <c r="O1903" s="26" t="str">
        <f t="shared" si="148"/>
        <v/>
      </c>
      <c r="P1903" s="21" t="str">
        <f t="shared" si="149"/>
        <v/>
      </c>
      <c r="Q1903" s="52" t="str">
        <f>IF($A1903="","",IF($O1903&lt;=0,"Depleted",IF($I1903&lt;0,"EXPIRED",IF($I1903&lt;=Settings!$C$6,"CRITICAL",IF($I1903&lt;=Settings!$C$5,"Expiring","In date")))))</f>
        <v/>
      </c>
    </row>
    <row r="1904" spans="1:17" x14ac:dyDescent="0.35">
      <c r="A1904" s="90" t="str">
        <f>IF(Receipts!$D1907="","",Receipts!$D1907)</f>
        <v/>
      </c>
      <c r="B1904" s="18" t="str">
        <f>IF(Receipts!$C1907="","",Receipts!$C1907)</f>
        <v/>
      </c>
      <c r="C1904" s="18" t="str">
        <f>IF($A1904="","",IFERROR(INDEX(Items!$B$5:$B$597,MATCH($A1904,Items!$A$5:$A$597,0)),""))</f>
        <v/>
      </c>
      <c r="D1904" s="23" t="str">
        <f>IF($A1904="","",N(Receipts!$G1907))</f>
        <v/>
      </c>
      <c r="E1904" s="20" t="str">
        <f>IF($A1904="","",IFERROR(INDEX(Items!$D$5:$D$597,MATCH($A1904,Items!$A$5:$A$597,0)),0))</f>
        <v/>
      </c>
      <c r="F1904" s="21" t="str">
        <f t="shared" si="145"/>
        <v/>
      </c>
      <c r="G1904" s="25" t="str">
        <f>IF(Receipts!$I1907="","",Receipts!$I1907)</f>
        <v/>
      </c>
      <c r="H1904" s="25" t="str">
        <f>IF(Receipts!$H1907="","",Receipts!$H1907)</f>
        <v/>
      </c>
      <c r="I1904" s="26" t="str">
        <f t="shared" ca="1" si="146"/>
        <v/>
      </c>
      <c r="J1904" s="26" t="str">
        <f>IF($A1904="","",COUNTIFS(tblReceipts[Item Name],$A1904,tblReceipts[Expiry Date],"&lt;"&amp;$H1904)+COUNTIFS(tblReceipts[Item Name],$A1904,tblReceipts[Expiry Date],$H1904,tblReceipts[Lot Number],"&lt;="&amp;Receipts!$C1907))</f>
        <v/>
      </c>
      <c r="K1904" s="26" t="str">
        <f>IF($A1904="","",SUMIFS(tblReceipts[Qty Received],tblReceipts[Item Name],$A1904,tblReceipts[Expiry Date],"&lt;"&amp;$H1904)+SUMIFS(tblReceipts[Qty Received],tblReceipts[Item Name],$A1904,tblReceipts[Expiry Date],$H1904,tblReceipts[Lot Number],"&lt;"&amp;Receipts!$C1907))</f>
        <v/>
      </c>
      <c r="L1904" s="26" t="str">
        <f>IF($A1904="","",MIN($D1904,MAX(0,SUMIFS(tblIssues[Qty Issued],tblIssues[Item Name],$A1904)-$K1904)))</f>
        <v/>
      </c>
      <c r="M1904" s="26" t="str">
        <f>IF($A1904="","",SUMIFS(tblIssues[Qty Issued],tblIssues[Lot Number],$B1904))</f>
        <v/>
      </c>
      <c r="N1904" s="26" t="str">
        <f t="shared" si="147"/>
        <v/>
      </c>
      <c r="O1904" s="26" t="str">
        <f t="shared" si="148"/>
        <v/>
      </c>
      <c r="P1904" s="21" t="str">
        <f t="shared" si="149"/>
        <v/>
      </c>
      <c r="Q1904" s="52" t="str">
        <f>IF($A1904="","",IF($O1904&lt;=0,"Depleted",IF($I1904&lt;0,"EXPIRED",IF($I1904&lt;=Settings!$C$6,"CRITICAL",IF($I1904&lt;=Settings!$C$5,"Expiring","In date")))))</f>
        <v/>
      </c>
    </row>
    <row r="1905" spans="1:17" x14ac:dyDescent="0.35">
      <c r="A1905" s="90" t="str">
        <f>IF(Receipts!$D1908="","",Receipts!$D1908)</f>
        <v/>
      </c>
      <c r="B1905" s="18" t="str">
        <f>IF(Receipts!$C1908="","",Receipts!$C1908)</f>
        <v/>
      </c>
      <c r="C1905" s="18" t="str">
        <f>IF($A1905="","",IFERROR(INDEX(Items!$B$5:$B$597,MATCH($A1905,Items!$A$5:$A$597,0)),""))</f>
        <v/>
      </c>
      <c r="D1905" s="23" t="str">
        <f>IF($A1905="","",N(Receipts!$G1908))</f>
        <v/>
      </c>
      <c r="E1905" s="20" t="str">
        <f>IF($A1905="","",IFERROR(INDEX(Items!$D$5:$D$597,MATCH($A1905,Items!$A$5:$A$597,0)),0))</f>
        <v/>
      </c>
      <c r="F1905" s="21" t="str">
        <f t="shared" si="145"/>
        <v/>
      </c>
      <c r="G1905" s="25" t="str">
        <f>IF(Receipts!$I1908="","",Receipts!$I1908)</f>
        <v/>
      </c>
      <c r="H1905" s="25" t="str">
        <f>IF(Receipts!$H1908="","",Receipts!$H1908)</f>
        <v/>
      </c>
      <c r="I1905" s="26" t="str">
        <f t="shared" ca="1" si="146"/>
        <v/>
      </c>
      <c r="J1905" s="26" t="str">
        <f>IF($A1905="","",COUNTIFS(tblReceipts[Item Name],$A1905,tblReceipts[Expiry Date],"&lt;"&amp;$H1905)+COUNTIFS(tblReceipts[Item Name],$A1905,tblReceipts[Expiry Date],$H1905,tblReceipts[Lot Number],"&lt;="&amp;Receipts!$C1908))</f>
        <v/>
      </c>
      <c r="K1905" s="26" t="str">
        <f>IF($A1905="","",SUMIFS(tblReceipts[Qty Received],tblReceipts[Item Name],$A1905,tblReceipts[Expiry Date],"&lt;"&amp;$H1905)+SUMIFS(tblReceipts[Qty Received],tblReceipts[Item Name],$A1905,tblReceipts[Expiry Date],$H1905,tblReceipts[Lot Number],"&lt;"&amp;Receipts!$C1908))</f>
        <v/>
      </c>
      <c r="L1905" s="26" t="str">
        <f>IF($A1905="","",MIN($D1905,MAX(0,SUMIFS(tblIssues[Qty Issued],tblIssues[Item Name],$A1905)-$K1905)))</f>
        <v/>
      </c>
      <c r="M1905" s="26" t="str">
        <f>IF($A1905="","",SUMIFS(tblIssues[Qty Issued],tblIssues[Lot Number],$B1905))</f>
        <v/>
      </c>
      <c r="N1905" s="26" t="str">
        <f t="shared" si="147"/>
        <v/>
      </c>
      <c r="O1905" s="26" t="str">
        <f t="shared" si="148"/>
        <v/>
      </c>
      <c r="P1905" s="21" t="str">
        <f t="shared" si="149"/>
        <v/>
      </c>
      <c r="Q1905" s="52" t="str">
        <f>IF($A1905="","",IF($O1905&lt;=0,"Depleted",IF($I1905&lt;0,"EXPIRED",IF($I1905&lt;=Settings!$C$6,"CRITICAL",IF($I1905&lt;=Settings!$C$5,"Expiring","In date")))))</f>
        <v/>
      </c>
    </row>
    <row r="1906" spans="1:17" x14ac:dyDescent="0.35">
      <c r="A1906" s="90" t="str">
        <f>IF(Receipts!$D1909="","",Receipts!$D1909)</f>
        <v/>
      </c>
      <c r="B1906" s="18" t="str">
        <f>IF(Receipts!$C1909="","",Receipts!$C1909)</f>
        <v/>
      </c>
      <c r="C1906" s="18" t="str">
        <f>IF($A1906="","",IFERROR(INDEX(Items!$B$5:$B$597,MATCH($A1906,Items!$A$5:$A$597,0)),""))</f>
        <v/>
      </c>
      <c r="D1906" s="23" t="str">
        <f>IF($A1906="","",N(Receipts!$G1909))</f>
        <v/>
      </c>
      <c r="E1906" s="20" t="str">
        <f>IF($A1906="","",IFERROR(INDEX(Items!$D$5:$D$597,MATCH($A1906,Items!$A$5:$A$597,0)),0))</f>
        <v/>
      </c>
      <c r="F1906" s="21" t="str">
        <f t="shared" si="145"/>
        <v/>
      </c>
      <c r="G1906" s="25" t="str">
        <f>IF(Receipts!$I1909="","",Receipts!$I1909)</f>
        <v/>
      </c>
      <c r="H1906" s="25" t="str">
        <f>IF(Receipts!$H1909="","",Receipts!$H1909)</f>
        <v/>
      </c>
      <c r="I1906" s="26" t="str">
        <f t="shared" ca="1" si="146"/>
        <v/>
      </c>
      <c r="J1906" s="26" t="str">
        <f>IF($A1906="","",COUNTIFS(tblReceipts[Item Name],$A1906,tblReceipts[Expiry Date],"&lt;"&amp;$H1906)+COUNTIFS(tblReceipts[Item Name],$A1906,tblReceipts[Expiry Date],$H1906,tblReceipts[Lot Number],"&lt;="&amp;Receipts!$C1909))</f>
        <v/>
      </c>
      <c r="K1906" s="26" t="str">
        <f>IF($A1906="","",SUMIFS(tblReceipts[Qty Received],tblReceipts[Item Name],$A1906,tblReceipts[Expiry Date],"&lt;"&amp;$H1906)+SUMIFS(tblReceipts[Qty Received],tblReceipts[Item Name],$A1906,tblReceipts[Expiry Date],$H1906,tblReceipts[Lot Number],"&lt;"&amp;Receipts!$C1909))</f>
        <v/>
      </c>
      <c r="L1906" s="26" t="str">
        <f>IF($A1906="","",MIN($D1906,MAX(0,SUMIFS(tblIssues[Qty Issued],tblIssues[Item Name],$A1906)-$K1906)))</f>
        <v/>
      </c>
      <c r="M1906" s="26" t="str">
        <f>IF($A1906="","",SUMIFS(tblIssues[Qty Issued],tblIssues[Lot Number],$B1906))</f>
        <v/>
      </c>
      <c r="N1906" s="26" t="str">
        <f t="shared" si="147"/>
        <v/>
      </c>
      <c r="O1906" s="26" t="str">
        <f t="shared" si="148"/>
        <v/>
      </c>
      <c r="P1906" s="21" t="str">
        <f t="shared" si="149"/>
        <v/>
      </c>
      <c r="Q1906" s="52" t="str">
        <f>IF($A1906="","",IF($O1906&lt;=0,"Depleted",IF($I1906&lt;0,"EXPIRED",IF($I1906&lt;=Settings!$C$6,"CRITICAL",IF($I1906&lt;=Settings!$C$5,"Expiring","In date")))))</f>
        <v/>
      </c>
    </row>
    <row r="1907" spans="1:17" x14ac:dyDescent="0.35">
      <c r="A1907" s="90" t="str">
        <f>IF(Receipts!$D1910="","",Receipts!$D1910)</f>
        <v/>
      </c>
      <c r="B1907" s="18" t="str">
        <f>IF(Receipts!$C1910="","",Receipts!$C1910)</f>
        <v/>
      </c>
      <c r="C1907" s="18" t="str">
        <f>IF($A1907="","",IFERROR(INDEX(Items!$B$5:$B$597,MATCH($A1907,Items!$A$5:$A$597,0)),""))</f>
        <v/>
      </c>
      <c r="D1907" s="23" t="str">
        <f>IF($A1907="","",N(Receipts!$G1910))</f>
        <v/>
      </c>
      <c r="E1907" s="20" t="str">
        <f>IF($A1907="","",IFERROR(INDEX(Items!$D$5:$D$597,MATCH($A1907,Items!$A$5:$A$597,0)),0))</f>
        <v/>
      </c>
      <c r="F1907" s="21" t="str">
        <f t="shared" si="145"/>
        <v/>
      </c>
      <c r="G1907" s="25" t="str">
        <f>IF(Receipts!$I1910="","",Receipts!$I1910)</f>
        <v/>
      </c>
      <c r="H1907" s="25" t="str">
        <f>IF(Receipts!$H1910="","",Receipts!$H1910)</f>
        <v/>
      </c>
      <c r="I1907" s="26" t="str">
        <f t="shared" ca="1" si="146"/>
        <v/>
      </c>
      <c r="J1907" s="26" t="str">
        <f>IF($A1907="","",COUNTIFS(tblReceipts[Item Name],$A1907,tblReceipts[Expiry Date],"&lt;"&amp;$H1907)+COUNTIFS(tblReceipts[Item Name],$A1907,tblReceipts[Expiry Date],$H1907,tblReceipts[Lot Number],"&lt;="&amp;Receipts!$C1910))</f>
        <v/>
      </c>
      <c r="K1907" s="26" t="str">
        <f>IF($A1907="","",SUMIFS(tblReceipts[Qty Received],tblReceipts[Item Name],$A1907,tblReceipts[Expiry Date],"&lt;"&amp;$H1907)+SUMIFS(tblReceipts[Qty Received],tblReceipts[Item Name],$A1907,tblReceipts[Expiry Date],$H1907,tblReceipts[Lot Number],"&lt;"&amp;Receipts!$C1910))</f>
        <v/>
      </c>
      <c r="L1907" s="26" t="str">
        <f>IF($A1907="","",MIN($D1907,MAX(0,SUMIFS(tblIssues[Qty Issued],tblIssues[Item Name],$A1907)-$K1907)))</f>
        <v/>
      </c>
      <c r="M1907" s="26" t="str">
        <f>IF($A1907="","",SUMIFS(tblIssues[Qty Issued],tblIssues[Lot Number],$B1907))</f>
        <v/>
      </c>
      <c r="N1907" s="26" t="str">
        <f t="shared" si="147"/>
        <v/>
      </c>
      <c r="O1907" s="26" t="str">
        <f t="shared" si="148"/>
        <v/>
      </c>
      <c r="P1907" s="21" t="str">
        <f t="shared" si="149"/>
        <v/>
      </c>
      <c r="Q1907" s="52" t="str">
        <f>IF($A1907="","",IF($O1907&lt;=0,"Depleted",IF($I1907&lt;0,"EXPIRED",IF($I1907&lt;=Settings!$C$6,"CRITICAL",IF($I1907&lt;=Settings!$C$5,"Expiring","In date")))))</f>
        <v/>
      </c>
    </row>
    <row r="1908" spans="1:17" x14ac:dyDescent="0.35">
      <c r="A1908" s="90" t="str">
        <f>IF(Receipts!$D1911="","",Receipts!$D1911)</f>
        <v/>
      </c>
      <c r="B1908" s="18" t="str">
        <f>IF(Receipts!$C1911="","",Receipts!$C1911)</f>
        <v/>
      </c>
      <c r="C1908" s="18" t="str">
        <f>IF($A1908="","",IFERROR(INDEX(Items!$B$5:$B$597,MATCH($A1908,Items!$A$5:$A$597,0)),""))</f>
        <v/>
      </c>
      <c r="D1908" s="23" t="str">
        <f>IF($A1908="","",N(Receipts!$G1911))</f>
        <v/>
      </c>
      <c r="E1908" s="20" t="str">
        <f>IF($A1908="","",IFERROR(INDEX(Items!$D$5:$D$597,MATCH($A1908,Items!$A$5:$A$597,0)),0))</f>
        <v/>
      </c>
      <c r="F1908" s="21" t="str">
        <f t="shared" si="145"/>
        <v/>
      </c>
      <c r="G1908" s="25" t="str">
        <f>IF(Receipts!$I1911="","",Receipts!$I1911)</f>
        <v/>
      </c>
      <c r="H1908" s="25" t="str">
        <f>IF(Receipts!$H1911="","",Receipts!$H1911)</f>
        <v/>
      </c>
      <c r="I1908" s="26" t="str">
        <f t="shared" ca="1" si="146"/>
        <v/>
      </c>
      <c r="J1908" s="26" t="str">
        <f>IF($A1908="","",COUNTIFS(tblReceipts[Item Name],$A1908,tblReceipts[Expiry Date],"&lt;"&amp;$H1908)+COUNTIFS(tblReceipts[Item Name],$A1908,tblReceipts[Expiry Date],$H1908,tblReceipts[Lot Number],"&lt;="&amp;Receipts!$C1911))</f>
        <v/>
      </c>
      <c r="K1908" s="26" t="str">
        <f>IF($A1908="","",SUMIFS(tblReceipts[Qty Received],tblReceipts[Item Name],$A1908,tblReceipts[Expiry Date],"&lt;"&amp;$H1908)+SUMIFS(tblReceipts[Qty Received],tblReceipts[Item Name],$A1908,tblReceipts[Expiry Date],$H1908,tblReceipts[Lot Number],"&lt;"&amp;Receipts!$C1911))</f>
        <v/>
      </c>
      <c r="L1908" s="26" t="str">
        <f>IF($A1908="","",MIN($D1908,MAX(0,SUMIFS(tblIssues[Qty Issued],tblIssues[Item Name],$A1908)-$K1908)))</f>
        <v/>
      </c>
      <c r="M1908" s="26" t="str">
        <f>IF($A1908="","",SUMIFS(tblIssues[Qty Issued],tblIssues[Lot Number],$B1908))</f>
        <v/>
      </c>
      <c r="N1908" s="26" t="str">
        <f t="shared" si="147"/>
        <v/>
      </c>
      <c r="O1908" s="26" t="str">
        <f t="shared" si="148"/>
        <v/>
      </c>
      <c r="P1908" s="21" t="str">
        <f t="shared" si="149"/>
        <v/>
      </c>
      <c r="Q1908" s="52" t="str">
        <f>IF($A1908="","",IF($O1908&lt;=0,"Depleted",IF($I1908&lt;0,"EXPIRED",IF($I1908&lt;=Settings!$C$6,"CRITICAL",IF($I1908&lt;=Settings!$C$5,"Expiring","In date")))))</f>
        <v/>
      </c>
    </row>
    <row r="1909" spans="1:17" x14ac:dyDescent="0.35">
      <c r="A1909" s="90" t="str">
        <f>IF(Receipts!$D1912="","",Receipts!$D1912)</f>
        <v/>
      </c>
      <c r="B1909" s="18" t="str">
        <f>IF(Receipts!$C1912="","",Receipts!$C1912)</f>
        <v/>
      </c>
      <c r="C1909" s="18" t="str">
        <f>IF($A1909="","",IFERROR(INDEX(Items!$B$5:$B$597,MATCH($A1909,Items!$A$5:$A$597,0)),""))</f>
        <v/>
      </c>
      <c r="D1909" s="23" t="str">
        <f>IF($A1909="","",N(Receipts!$G1912))</f>
        <v/>
      </c>
      <c r="E1909" s="20" t="str">
        <f>IF($A1909="","",IFERROR(INDEX(Items!$D$5:$D$597,MATCH($A1909,Items!$A$5:$A$597,0)),0))</f>
        <v/>
      </c>
      <c r="F1909" s="21" t="str">
        <f t="shared" si="145"/>
        <v/>
      </c>
      <c r="G1909" s="25" t="str">
        <f>IF(Receipts!$I1912="","",Receipts!$I1912)</f>
        <v/>
      </c>
      <c r="H1909" s="25" t="str">
        <f>IF(Receipts!$H1912="","",Receipts!$H1912)</f>
        <v/>
      </c>
      <c r="I1909" s="26" t="str">
        <f t="shared" ca="1" si="146"/>
        <v/>
      </c>
      <c r="J1909" s="26" t="str">
        <f>IF($A1909="","",COUNTIFS(tblReceipts[Item Name],$A1909,tblReceipts[Expiry Date],"&lt;"&amp;$H1909)+COUNTIFS(tblReceipts[Item Name],$A1909,tblReceipts[Expiry Date],$H1909,tblReceipts[Lot Number],"&lt;="&amp;Receipts!$C1912))</f>
        <v/>
      </c>
      <c r="K1909" s="26" t="str">
        <f>IF($A1909="","",SUMIFS(tblReceipts[Qty Received],tblReceipts[Item Name],$A1909,tblReceipts[Expiry Date],"&lt;"&amp;$H1909)+SUMIFS(tblReceipts[Qty Received],tblReceipts[Item Name],$A1909,tblReceipts[Expiry Date],$H1909,tblReceipts[Lot Number],"&lt;"&amp;Receipts!$C1912))</f>
        <v/>
      </c>
      <c r="L1909" s="26" t="str">
        <f>IF($A1909="","",MIN($D1909,MAX(0,SUMIFS(tblIssues[Qty Issued],tblIssues[Item Name],$A1909)-$K1909)))</f>
        <v/>
      </c>
      <c r="M1909" s="26" t="str">
        <f>IF($A1909="","",SUMIFS(tblIssues[Qty Issued],tblIssues[Lot Number],$B1909))</f>
        <v/>
      </c>
      <c r="N1909" s="26" t="str">
        <f t="shared" si="147"/>
        <v/>
      </c>
      <c r="O1909" s="26" t="str">
        <f t="shared" si="148"/>
        <v/>
      </c>
      <c r="P1909" s="21" t="str">
        <f t="shared" si="149"/>
        <v/>
      </c>
      <c r="Q1909" s="52" t="str">
        <f>IF($A1909="","",IF($O1909&lt;=0,"Depleted",IF($I1909&lt;0,"EXPIRED",IF($I1909&lt;=Settings!$C$6,"CRITICAL",IF($I1909&lt;=Settings!$C$5,"Expiring","In date")))))</f>
        <v/>
      </c>
    </row>
    <row r="1910" spans="1:17" x14ac:dyDescent="0.35">
      <c r="A1910" s="90" t="str">
        <f>IF(Receipts!$D1913="","",Receipts!$D1913)</f>
        <v/>
      </c>
      <c r="B1910" s="18" t="str">
        <f>IF(Receipts!$C1913="","",Receipts!$C1913)</f>
        <v/>
      </c>
      <c r="C1910" s="18" t="str">
        <f>IF($A1910="","",IFERROR(INDEX(Items!$B$5:$B$597,MATCH($A1910,Items!$A$5:$A$597,0)),""))</f>
        <v/>
      </c>
      <c r="D1910" s="23" t="str">
        <f>IF($A1910="","",N(Receipts!$G1913))</f>
        <v/>
      </c>
      <c r="E1910" s="20" t="str">
        <f>IF($A1910="","",IFERROR(INDEX(Items!$D$5:$D$597,MATCH($A1910,Items!$A$5:$A$597,0)),0))</f>
        <v/>
      </c>
      <c r="F1910" s="21" t="str">
        <f t="shared" si="145"/>
        <v/>
      </c>
      <c r="G1910" s="25" t="str">
        <f>IF(Receipts!$I1913="","",Receipts!$I1913)</f>
        <v/>
      </c>
      <c r="H1910" s="25" t="str">
        <f>IF(Receipts!$H1913="","",Receipts!$H1913)</f>
        <v/>
      </c>
      <c r="I1910" s="26" t="str">
        <f t="shared" ca="1" si="146"/>
        <v/>
      </c>
      <c r="J1910" s="26" t="str">
        <f>IF($A1910="","",COUNTIFS(tblReceipts[Item Name],$A1910,tblReceipts[Expiry Date],"&lt;"&amp;$H1910)+COUNTIFS(tblReceipts[Item Name],$A1910,tblReceipts[Expiry Date],$H1910,tblReceipts[Lot Number],"&lt;="&amp;Receipts!$C1913))</f>
        <v/>
      </c>
      <c r="K1910" s="26" t="str">
        <f>IF($A1910="","",SUMIFS(tblReceipts[Qty Received],tblReceipts[Item Name],$A1910,tblReceipts[Expiry Date],"&lt;"&amp;$H1910)+SUMIFS(tblReceipts[Qty Received],tblReceipts[Item Name],$A1910,tblReceipts[Expiry Date],$H1910,tblReceipts[Lot Number],"&lt;"&amp;Receipts!$C1913))</f>
        <v/>
      </c>
      <c r="L1910" s="26" t="str">
        <f>IF($A1910="","",MIN($D1910,MAX(0,SUMIFS(tblIssues[Qty Issued],tblIssues[Item Name],$A1910)-$K1910)))</f>
        <v/>
      </c>
      <c r="M1910" s="26" t="str">
        <f>IF($A1910="","",SUMIFS(tblIssues[Qty Issued],tblIssues[Lot Number],$B1910))</f>
        <v/>
      </c>
      <c r="N1910" s="26" t="str">
        <f t="shared" si="147"/>
        <v/>
      </c>
      <c r="O1910" s="26" t="str">
        <f t="shared" si="148"/>
        <v/>
      </c>
      <c r="P1910" s="21" t="str">
        <f t="shared" si="149"/>
        <v/>
      </c>
      <c r="Q1910" s="52" t="str">
        <f>IF($A1910="","",IF($O1910&lt;=0,"Depleted",IF($I1910&lt;0,"EXPIRED",IF($I1910&lt;=Settings!$C$6,"CRITICAL",IF($I1910&lt;=Settings!$C$5,"Expiring","In date")))))</f>
        <v/>
      </c>
    </row>
    <row r="1911" spans="1:17" x14ac:dyDescent="0.35">
      <c r="A1911" s="90" t="str">
        <f>IF(Receipts!$D1914="","",Receipts!$D1914)</f>
        <v/>
      </c>
      <c r="B1911" s="18" t="str">
        <f>IF(Receipts!$C1914="","",Receipts!$C1914)</f>
        <v/>
      </c>
      <c r="C1911" s="18" t="str">
        <f>IF($A1911="","",IFERROR(INDEX(Items!$B$5:$B$597,MATCH($A1911,Items!$A$5:$A$597,0)),""))</f>
        <v/>
      </c>
      <c r="D1911" s="23" t="str">
        <f>IF($A1911="","",N(Receipts!$G1914))</f>
        <v/>
      </c>
      <c r="E1911" s="20" t="str">
        <f>IF($A1911="","",IFERROR(INDEX(Items!$D$5:$D$597,MATCH($A1911,Items!$A$5:$A$597,0)),0))</f>
        <v/>
      </c>
      <c r="F1911" s="21" t="str">
        <f t="shared" si="145"/>
        <v/>
      </c>
      <c r="G1911" s="25" t="str">
        <f>IF(Receipts!$I1914="","",Receipts!$I1914)</f>
        <v/>
      </c>
      <c r="H1911" s="25" t="str">
        <f>IF(Receipts!$H1914="","",Receipts!$H1914)</f>
        <v/>
      </c>
      <c r="I1911" s="26" t="str">
        <f t="shared" ca="1" si="146"/>
        <v/>
      </c>
      <c r="J1911" s="26" t="str">
        <f>IF($A1911="","",COUNTIFS(tblReceipts[Item Name],$A1911,tblReceipts[Expiry Date],"&lt;"&amp;$H1911)+COUNTIFS(tblReceipts[Item Name],$A1911,tblReceipts[Expiry Date],$H1911,tblReceipts[Lot Number],"&lt;="&amp;Receipts!$C1914))</f>
        <v/>
      </c>
      <c r="K1911" s="26" t="str">
        <f>IF($A1911="","",SUMIFS(tblReceipts[Qty Received],tblReceipts[Item Name],$A1911,tblReceipts[Expiry Date],"&lt;"&amp;$H1911)+SUMIFS(tblReceipts[Qty Received],tblReceipts[Item Name],$A1911,tblReceipts[Expiry Date],$H1911,tblReceipts[Lot Number],"&lt;"&amp;Receipts!$C1914))</f>
        <v/>
      </c>
      <c r="L1911" s="26" t="str">
        <f>IF($A1911="","",MIN($D1911,MAX(0,SUMIFS(tblIssues[Qty Issued],tblIssues[Item Name],$A1911)-$K1911)))</f>
        <v/>
      </c>
      <c r="M1911" s="26" t="str">
        <f>IF($A1911="","",SUMIFS(tblIssues[Qty Issued],tblIssues[Lot Number],$B1911))</f>
        <v/>
      </c>
      <c r="N1911" s="26" t="str">
        <f t="shared" si="147"/>
        <v/>
      </c>
      <c r="O1911" s="26" t="str">
        <f t="shared" si="148"/>
        <v/>
      </c>
      <c r="P1911" s="21" t="str">
        <f t="shared" si="149"/>
        <v/>
      </c>
      <c r="Q1911" s="52" t="str">
        <f>IF($A1911="","",IF($O1911&lt;=0,"Depleted",IF($I1911&lt;0,"EXPIRED",IF($I1911&lt;=Settings!$C$6,"CRITICAL",IF($I1911&lt;=Settings!$C$5,"Expiring","In date")))))</f>
        <v/>
      </c>
    </row>
    <row r="1912" spans="1:17" x14ac:dyDescent="0.35">
      <c r="A1912" s="90" t="str">
        <f>IF(Receipts!$D1915="","",Receipts!$D1915)</f>
        <v/>
      </c>
      <c r="B1912" s="18" t="str">
        <f>IF(Receipts!$C1915="","",Receipts!$C1915)</f>
        <v/>
      </c>
      <c r="C1912" s="18" t="str">
        <f>IF($A1912="","",IFERROR(INDEX(Items!$B$5:$B$597,MATCH($A1912,Items!$A$5:$A$597,0)),""))</f>
        <v/>
      </c>
      <c r="D1912" s="23" t="str">
        <f>IF($A1912="","",N(Receipts!$G1915))</f>
        <v/>
      </c>
      <c r="E1912" s="20" t="str">
        <f>IF($A1912="","",IFERROR(INDEX(Items!$D$5:$D$597,MATCH($A1912,Items!$A$5:$A$597,0)),0))</f>
        <v/>
      </c>
      <c r="F1912" s="21" t="str">
        <f t="shared" si="145"/>
        <v/>
      </c>
      <c r="G1912" s="25" t="str">
        <f>IF(Receipts!$I1915="","",Receipts!$I1915)</f>
        <v/>
      </c>
      <c r="H1912" s="25" t="str">
        <f>IF(Receipts!$H1915="","",Receipts!$H1915)</f>
        <v/>
      </c>
      <c r="I1912" s="26" t="str">
        <f t="shared" ca="1" si="146"/>
        <v/>
      </c>
      <c r="J1912" s="26" t="str">
        <f>IF($A1912="","",COUNTIFS(tblReceipts[Item Name],$A1912,tblReceipts[Expiry Date],"&lt;"&amp;$H1912)+COUNTIFS(tblReceipts[Item Name],$A1912,tblReceipts[Expiry Date],$H1912,tblReceipts[Lot Number],"&lt;="&amp;Receipts!$C1915))</f>
        <v/>
      </c>
      <c r="K1912" s="26" t="str">
        <f>IF($A1912="","",SUMIFS(tblReceipts[Qty Received],tblReceipts[Item Name],$A1912,tblReceipts[Expiry Date],"&lt;"&amp;$H1912)+SUMIFS(tblReceipts[Qty Received],tblReceipts[Item Name],$A1912,tblReceipts[Expiry Date],$H1912,tblReceipts[Lot Number],"&lt;"&amp;Receipts!$C1915))</f>
        <v/>
      </c>
      <c r="L1912" s="26" t="str">
        <f>IF($A1912="","",MIN($D1912,MAX(0,SUMIFS(tblIssues[Qty Issued],tblIssues[Item Name],$A1912)-$K1912)))</f>
        <v/>
      </c>
      <c r="M1912" s="26" t="str">
        <f>IF($A1912="","",SUMIFS(tblIssues[Qty Issued],tblIssues[Lot Number],$B1912))</f>
        <v/>
      </c>
      <c r="N1912" s="26" t="str">
        <f t="shared" si="147"/>
        <v/>
      </c>
      <c r="O1912" s="26" t="str">
        <f t="shared" si="148"/>
        <v/>
      </c>
      <c r="P1912" s="21" t="str">
        <f t="shared" si="149"/>
        <v/>
      </c>
      <c r="Q1912" s="52" t="str">
        <f>IF($A1912="","",IF($O1912&lt;=0,"Depleted",IF($I1912&lt;0,"EXPIRED",IF($I1912&lt;=Settings!$C$6,"CRITICAL",IF($I1912&lt;=Settings!$C$5,"Expiring","In date")))))</f>
        <v/>
      </c>
    </row>
    <row r="1913" spans="1:17" x14ac:dyDescent="0.35">
      <c r="A1913" s="90" t="str">
        <f>IF(Receipts!$D1916="","",Receipts!$D1916)</f>
        <v/>
      </c>
      <c r="B1913" s="18" t="str">
        <f>IF(Receipts!$C1916="","",Receipts!$C1916)</f>
        <v/>
      </c>
      <c r="C1913" s="18" t="str">
        <f>IF($A1913="","",IFERROR(INDEX(Items!$B$5:$B$597,MATCH($A1913,Items!$A$5:$A$597,0)),""))</f>
        <v/>
      </c>
      <c r="D1913" s="23" t="str">
        <f>IF($A1913="","",N(Receipts!$G1916))</f>
        <v/>
      </c>
      <c r="E1913" s="20" t="str">
        <f>IF($A1913="","",IFERROR(INDEX(Items!$D$5:$D$597,MATCH($A1913,Items!$A$5:$A$597,0)),0))</f>
        <v/>
      </c>
      <c r="F1913" s="21" t="str">
        <f t="shared" si="145"/>
        <v/>
      </c>
      <c r="G1913" s="25" t="str">
        <f>IF(Receipts!$I1916="","",Receipts!$I1916)</f>
        <v/>
      </c>
      <c r="H1913" s="25" t="str">
        <f>IF(Receipts!$H1916="","",Receipts!$H1916)</f>
        <v/>
      </c>
      <c r="I1913" s="26" t="str">
        <f t="shared" ca="1" si="146"/>
        <v/>
      </c>
      <c r="J1913" s="26" t="str">
        <f>IF($A1913="","",COUNTIFS(tblReceipts[Item Name],$A1913,tblReceipts[Expiry Date],"&lt;"&amp;$H1913)+COUNTIFS(tblReceipts[Item Name],$A1913,tblReceipts[Expiry Date],$H1913,tblReceipts[Lot Number],"&lt;="&amp;Receipts!$C1916))</f>
        <v/>
      </c>
      <c r="K1913" s="26" t="str">
        <f>IF($A1913="","",SUMIFS(tblReceipts[Qty Received],tblReceipts[Item Name],$A1913,tblReceipts[Expiry Date],"&lt;"&amp;$H1913)+SUMIFS(tblReceipts[Qty Received],tblReceipts[Item Name],$A1913,tblReceipts[Expiry Date],$H1913,tblReceipts[Lot Number],"&lt;"&amp;Receipts!$C1916))</f>
        <v/>
      </c>
      <c r="L1913" s="26" t="str">
        <f>IF($A1913="","",MIN($D1913,MAX(0,SUMIFS(tblIssues[Qty Issued],tblIssues[Item Name],$A1913)-$K1913)))</f>
        <v/>
      </c>
      <c r="M1913" s="26" t="str">
        <f>IF($A1913="","",SUMIFS(tblIssues[Qty Issued],tblIssues[Lot Number],$B1913))</f>
        <v/>
      </c>
      <c r="N1913" s="26" t="str">
        <f t="shared" si="147"/>
        <v/>
      </c>
      <c r="O1913" s="26" t="str">
        <f t="shared" si="148"/>
        <v/>
      </c>
      <c r="P1913" s="21" t="str">
        <f t="shared" si="149"/>
        <v/>
      </c>
      <c r="Q1913" s="52" t="str">
        <f>IF($A1913="","",IF($O1913&lt;=0,"Depleted",IF($I1913&lt;0,"EXPIRED",IF($I1913&lt;=Settings!$C$6,"CRITICAL",IF($I1913&lt;=Settings!$C$5,"Expiring","In date")))))</f>
        <v/>
      </c>
    </row>
    <row r="1914" spans="1:17" x14ac:dyDescent="0.35">
      <c r="A1914" s="90" t="str">
        <f>IF(Receipts!$D1917="","",Receipts!$D1917)</f>
        <v/>
      </c>
      <c r="B1914" s="18" t="str">
        <f>IF(Receipts!$C1917="","",Receipts!$C1917)</f>
        <v/>
      </c>
      <c r="C1914" s="18" t="str">
        <f>IF($A1914="","",IFERROR(INDEX(Items!$B$5:$B$597,MATCH($A1914,Items!$A$5:$A$597,0)),""))</f>
        <v/>
      </c>
      <c r="D1914" s="23" t="str">
        <f>IF($A1914="","",N(Receipts!$G1917))</f>
        <v/>
      </c>
      <c r="E1914" s="20" t="str">
        <f>IF($A1914="","",IFERROR(INDEX(Items!$D$5:$D$597,MATCH($A1914,Items!$A$5:$A$597,0)),0))</f>
        <v/>
      </c>
      <c r="F1914" s="21" t="str">
        <f t="shared" si="145"/>
        <v/>
      </c>
      <c r="G1914" s="25" t="str">
        <f>IF(Receipts!$I1917="","",Receipts!$I1917)</f>
        <v/>
      </c>
      <c r="H1914" s="25" t="str">
        <f>IF(Receipts!$H1917="","",Receipts!$H1917)</f>
        <v/>
      </c>
      <c r="I1914" s="26" t="str">
        <f t="shared" ca="1" si="146"/>
        <v/>
      </c>
      <c r="J1914" s="26" t="str">
        <f>IF($A1914="","",COUNTIFS(tblReceipts[Item Name],$A1914,tblReceipts[Expiry Date],"&lt;"&amp;$H1914)+COUNTIFS(tblReceipts[Item Name],$A1914,tblReceipts[Expiry Date],$H1914,tblReceipts[Lot Number],"&lt;="&amp;Receipts!$C1917))</f>
        <v/>
      </c>
      <c r="K1914" s="26" t="str">
        <f>IF($A1914="","",SUMIFS(tblReceipts[Qty Received],tblReceipts[Item Name],$A1914,tblReceipts[Expiry Date],"&lt;"&amp;$H1914)+SUMIFS(tblReceipts[Qty Received],tblReceipts[Item Name],$A1914,tblReceipts[Expiry Date],$H1914,tblReceipts[Lot Number],"&lt;"&amp;Receipts!$C1917))</f>
        <v/>
      </c>
      <c r="L1914" s="26" t="str">
        <f>IF($A1914="","",MIN($D1914,MAX(0,SUMIFS(tblIssues[Qty Issued],tblIssues[Item Name],$A1914)-$K1914)))</f>
        <v/>
      </c>
      <c r="M1914" s="26" t="str">
        <f>IF($A1914="","",SUMIFS(tblIssues[Qty Issued],tblIssues[Lot Number],$B1914))</f>
        <v/>
      </c>
      <c r="N1914" s="26" t="str">
        <f t="shared" si="147"/>
        <v/>
      </c>
      <c r="O1914" s="26" t="str">
        <f t="shared" si="148"/>
        <v/>
      </c>
      <c r="P1914" s="21" t="str">
        <f t="shared" si="149"/>
        <v/>
      </c>
      <c r="Q1914" s="52" t="str">
        <f>IF($A1914="","",IF($O1914&lt;=0,"Depleted",IF($I1914&lt;0,"EXPIRED",IF($I1914&lt;=Settings!$C$6,"CRITICAL",IF($I1914&lt;=Settings!$C$5,"Expiring","In date")))))</f>
        <v/>
      </c>
    </row>
    <row r="1915" spans="1:17" x14ac:dyDescent="0.35">
      <c r="A1915" s="90" t="str">
        <f>IF(Receipts!$D1918="","",Receipts!$D1918)</f>
        <v/>
      </c>
      <c r="B1915" s="18" t="str">
        <f>IF(Receipts!$C1918="","",Receipts!$C1918)</f>
        <v/>
      </c>
      <c r="C1915" s="18" t="str">
        <f>IF($A1915="","",IFERROR(INDEX(Items!$B$5:$B$597,MATCH($A1915,Items!$A$5:$A$597,0)),""))</f>
        <v/>
      </c>
      <c r="D1915" s="23" t="str">
        <f>IF($A1915="","",N(Receipts!$G1918))</f>
        <v/>
      </c>
      <c r="E1915" s="20" t="str">
        <f>IF($A1915="","",IFERROR(INDEX(Items!$D$5:$D$597,MATCH($A1915,Items!$A$5:$A$597,0)),0))</f>
        <v/>
      </c>
      <c r="F1915" s="21" t="str">
        <f t="shared" si="145"/>
        <v/>
      </c>
      <c r="G1915" s="25" t="str">
        <f>IF(Receipts!$I1918="","",Receipts!$I1918)</f>
        <v/>
      </c>
      <c r="H1915" s="25" t="str">
        <f>IF(Receipts!$H1918="","",Receipts!$H1918)</f>
        <v/>
      </c>
      <c r="I1915" s="26" t="str">
        <f t="shared" ca="1" si="146"/>
        <v/>
      </c>
      <c r="J1915" s="26" t="str">
        <f>IF($A1915="","",COUNTIFS(tblReceipts[Item Name],$A1915,tblReceipts[Expiry Date],"&lt;"&amp;$H1915)+COUNTIFS(tblReceipts[Item Name],$A1915,tblReceipts[Expiry Date],$H1915,tblReceipts[Lot Number],"&lt;="&amp;Receipts!$C1918))</f>
        <v/>
      </c>
      <c r="K1915" s="26" t="str">
        <f>IF($A1915="","",SUMIFS(tblReceipts[Qty Received],tblReceipts[Item Name],$A1915,tblReceipts[Expiry Date],"&lt;"&amp;$H1915)+SUMIFS(tblReceipts[Qty Received],tblReceipts[Item Name],$A1915,tblReceipts[Expiry Date],$H1915,tblReceipts[Lot Number],"&lt;"&amp;Receipts!$C1918))</f>
        <v/>
      </c>
      <c r="L1915" s="26" t="str">
        <f>IF($A1915="","",MIN($D1915,MAX(0,SUMIFS(tblIssues[Qty Issued],tblIssues[Item Name],$A1915)-$K1915)))</f>
        <v/>
      </c>
      <c r="M1915" s="26" t="str">
        <f>IF($A1915="","",SUMIFS(tblIssues[Qty Issued],tblIssues[Lot Number],$B1915))</f>
        <v/>
      </c>
      <c r="N1915" s="26" t="str">
        <f t="shared" si="147"/>
        <v/>
      </c>
      <c r="O1915" s="26" t="str">
        <f t="shared" si="148"/>
        <v/>
      </c>
      <c r="P1915" s="21" t="str">
        <f t="shared" si="149"/>
        <v/>
      </c>
      <c r="Q1915" s="52" t="str">
        <f>IF($A1915="","",IF($O1915&lt;=0,"Depleted",IF($I1915&lt;0,"EXPIRED",IF($I1915&lt;=Settings!$C$6,"CRITICAL",IF($I1915&lt;=Settings!$C$5,"Expiring","In date")))))</f>
        <v/>
      </c>
    </row>
    <row r="1916" spans="1:17" x14ac:dyDescent="0.35">
      <c r="A1916" s="90" t="str">
        <f>IF(Receipts!$D1919="","",Receipts!$D1919)</f>
        <v/>
      </c>
      <c r="B1916" s="18" t="str">
        <f>IF(Receipts!$C1919="","",Receipts!$C1919)</f>
        <v/>
      </c>
      <c r="C1916" s="18" t="str">
        <f>IF($A1916="","",IFERROR(INDEX(Items!$B$5:$B$597,MATCH($A1916,Items!$A$5:$A$597,0)),""))</f>
        <v/>
      </c>
      <c r="D1916" s="23" t="str">
        <f>IF($A1916="","",N(Receipts!$G1919))</f>
        <v/>
      </c>
      <c r="E1916" s="20" t="str">
        <f>IF($A1916="","",IFERROR(INDEX(Items!$D$5:$D$597,MATCH($A1916,Items!$A$5:$A$597,0)),0))</f>
        <v/>
      </c>
      <c r="F1916" s="21" t="str">
        <f t="shared" si="145"/>
        <v/>
      </c>
      <c r="G1916" s="25" t="str">
        <f>IF(Receipts!$I1919="","",Receipts!$I1919)</f>
        <v/>
      </c>
      <c r="H1916" s="25" t="str">
        <f>IF(Receipts!$H1919="","",Receipts!$H1919)</f>
        <v/>
      </c>
      <c r="I1916" s="26" t="str">
        <f t="shared" ca="1" si="146"/>
        <v/>
      </c>
      <c r="J1916" s="26" t="str">
        <f>IF($A1916="","",COUNTIFS(tblReceipts[Item Name],$A1916,tblReceipts[Expiry Date],"&lt;"&amp;$H1916)+COUNTIFS(tblReceipts[Item Name],$A1916,tblReceipts[Expiry Date],$H1916,tblReceipts[Lot Number],"&lt;="&amp;Receipts!$C1919))</f>
        <v/>
      </c>
      <c r="K1916" s="26" t="str">
        <f>IF($A1916="","",SUMIFS(tblReceipts[Qty Received],tblReceipts[Item Name],$A1916,tblReceipts[Expiry Date],"&lt;"&amp;$H1916)+SUMIFS(tblReceipts[Qty Received],tblReceipts[Item Name],$A1916,tblReceipts[Expiry Date],$H1916,tblReceipts[Lot Number],"&lt;"&amp;Receipts!$C1919))</f>
        <v/>
      </c>
      <c r="L1916" s="26" t="str">
        <f>IF($A1916="","",MIN($D1916,MAX(0,SUMIFS(tblIssues[Qty Issued],tblIssues[Item Name],$A1916)-$K1916)))</f>
        <v/>
      </c>
      <c r="M1916" s="26" t="str">
        <f>IF($A1916="","",SUMIFS(tblIssues[Qty Issued],tblIssues[Lot Number],$B1916))</f>
        <v/>
      </c>
      <c r="N1916" s="26" t="str">
        <f t="shared" si="147"/>
        <v/>
      </c>
      <c r="O1916" s="26" t="str">
        <f t="shared" si="148"/>
        <v/>
      </c>
      <c r="P1916" s="21" t="str">
        <f t="shared" si="149"/>
        <v/>
      </c>
      <c r="Q1916" s="52" t="str">
        <f>IF($A1916="","",IF($O1916&lt;=0,"Depleted",IF($I1916&lt;0,"EXPIRED",IF($I1916&lt;=Settings!$C$6,"CRITICAL",IF($I1916&lt;=Settings!$C$5,"Expiring","In date")))))</f>
        <v/>
      </c>
    </row>
    <row r="1917" spans="1:17" x14ac:dyDescent="0.35">
      <c r="A1917" s="90" t="str">
        <f>IF(Receipts!$D1920="","",Receipts!$D1920)</f>
        <v/>
      </c>
      <c r="B1917" s="18" t="str">
        <f>IF(Receipts!$C1920="","",Receipts!$C1920)</f>
        <v/>
      </c>
      <c r="C1917" s="18" t="str">
        <f>IF($A1917="","",IFERROR(INDEX(Items!$B$5:$B$597,MATCH($A1917,Items!$A$5:$A$597,0)),""))</f>
        <v/>
      </c>
      <c r="D1917" s="23" t="str">
        <f>IF($A1917="","",N(Receipts!$G1920))</f>
        <v/>
      </c>
      <c r="E1917" s="20" t="str">
        <f>IF($A1917="","",IFERROR(INDEX(Items!$D$5:$D$597,MATCH($A1917,Items!$A$5:$A$597,0)),0))</f>
        <v/>
      </c>
      <c r="F1917" s="21" t="str">
        <f t="shared" si="145"/>
        <v/>
      </c>
      <c r="G1917" s="25" t="str">
        <f>IF(Receipts!$I1920="","",Receipts!$I1920)</f>
        <v/>
      </c>
      <c r="H1917" s="25" t="str">
        <f>IF(Receipts!$H1920="","",Receipts!$H1920)</f>
        <v/>
      </c>
      <c r="I1917" s="26" t="str">
        <f t="shared" ca="1" si="146"/>
        <v/>
      </c>
      <c r="J1917" s="26" t="str">
        <f>IF($A1917="","",COUNTIFS(tblReceipts[Item Name],$A1917,tblReceipts[Expiry Date],"&lt;"&amp;$H1917)+COUNTIFS(tblReceipts[Item Name],$A1917,tblReceipts[Expiry Date],$H1917,tblReceipts[Lot Number],"&lt;="&amp;Receipts!$C1920))</f>
        <v/>
      </c>
      <c r="K1917" s="26" t="str">
        <f>IF($A1917="","",SUMIFS(tblReceipts[Qty Received],tblReceipts[Item Name],$A1917,tblReceipts[Expiry Date],"&lt;"&amp;$H1917)+SUMIFS(tblReceipts[Qty Received],tblReceipts[Item Name],$A1917,tblReceipts[Expiry Date],$H1917,tblReceipts[Lot Number],"&lt;"&amp;Receipts!$C1920))</f>
        <v/>
      </c>
      <c r="L1917" s="26" t="str">
        <f>IF($A1917="","",MIN($D1917,MAX(0,SUMIFS(tblIssues[Qty Issued],tblIssues[Item Name],$A1917)-$K1917)))</f>
        <v/>
      </c>
      <c r="M1917" s="26" t="str">
        <f>IF($A1917="","",SUMIFS(tblIssues[Qty Issued],tblIssues[Lot Number],$B1917))</f>
        <v/>
      </c>
      <c r="N1917" s="26" t="str">
        <f t="shared" si="147"/>
        <v/>
      </c>
      <c r="O1917" s="26" t="str">
        <f t="shared" si="148"/>
        <v/>
      </c>
      <c r="P1917" s="21" t="str">
        <f t="shared" si="149"/>
        <v/>
      </c>
      <c r="Q1917" s="52" t="str">
        <f>IF($A1917="","",IF($O1917&lt;=0,"Depleted",IF($I1917&lt;0,"EXPIRED",IF($I1917&lt;=Settings!$C$6,"CRITICAL",IF($I1917&lt;=Settings!$C$5,"Expiring","In date")))))</f>
        <v/>
      </c>
    </row>
    <row r="1918" spans="1:17" x14ac:dyDescent="0.35">
      <c r="A1918" s="90" t="str">
        <f>IF(Receipts!$D1921="","",Receipts!$D1921)</f>
        <v/>
      </c>
      <c r="B1918" s="18" t="str">
        <f>IF(Receipts!$C1921="","",Receipts!$C1921)</f>
        <v/>
      </c>
      <c r="C1918" s="18" t="str">
        <f>IF($A1918="","",IFERROR(INDEX(Items!$B$5:$B$597,MATCH($A1918,Items!$A$5:$A$597,0)),""))</f>
        <v/>
      </c>
      <c r="D1918" s="23" t="str">
        <f>IF($A1918="","",N(Receipts!$G1921))</f>
        <v/>
      </c>
      <c r="E1918" s="20" t="str">
        <f>IF($A1918="","",IFERROR(INDEX(Items!$D$5:$D$597,MATCH($A1918,Items!$A$5:$A$597,0)),0))</f>
        <v/>
      </c>
      <c r="F1918" s="21" t="str">
        <f t="shared" si="145"/>
        <v/>
      </c>
      <c r="G1918" s="25" t="str">
        <f>IF(Receipts!$I1921="","",Receipts!$I1921)</f>
        <v/>
      </c>
      <c r="H1918" s="25" t="str">
        <f>IF(Receipts!$H1921="","",Receipts!$H1921)</f>
        <v/>
      </c>
      <c r="I1918" s="26" t="str">
        <f t="shared" ca="1" si="146"/>
        <v/>
      </c>
      <c r="J1918" s="26" t="str">
        <f>IF($A1918="","",COUNTIFS(tblReceipts[Item Name],$A1918,tblReceipts[Expiry Date],"&lt;"&amp;$H1918)+COUNTIFS(tblReceipts[Item Name],$A1918,tblReceipts[Expiry Date],$H1918,tblReceipts[Lot Number],"&lt;="&amp;Receipts!$C1921))</f>
        <v/>
      </c>
      <c r="K1918" s="26" t="str">
        <f>IF($A1918="","",SUMIFS(tblReceipts[Qty Received],tblReceipts[Item Name],$A1918,tblReceipts[Expiry Date],"&lt;"&amp;$H1918)+SUMIFS(tblReceipts[Qty Received],tblReceipts[Item Name],$A1918,tblReceipts[Expiry Date],$H1918,tblReceipts[Lot Number],"&lt;"&amp;Receipts!$C1921))</f>
        <v/>
      </c>
      <c r="L1918" s="26" t="str">
        <f>IF($A1918="","",MIN($D1918,MAX(0,SUMIFS(tblIssues[Qty Issued],tblIssues[Item Name],$A1918)-$K1918)))</f>
        <v/>
      </c>
      <c r="M1918" s="26" t="str">
        <f>IF($A1918="","",SUMIFS(tblIssues[Qty Issued],tblIssues[Lot Number],$B1918))</f>
        <v/>
      </c>
      <c r="N1918" s="26" t="str">
        <f t="shared" si="147"/>
        <v/>
      </c>
      <c r="O1918" s="26" t="str">
        <f t="shared" si="148"/>
        <v/>
      </c>
      <c r="P1918" s="21" t="str">
        <f t="shared" si="149"/>
        <v/>
      </c>
      <c r="Q1918" s="52" t="str">
        <f>IF($A1918="","",IF($O1918&lt;=0,"Depleted",IF($I1918&lt;0,"EXPIRED",IF($I1918&lt;=Settings!$C$6,"CRITICAL",IF($I1918&lt;=Settings!$C$5,"Expiring","In date")))))</f>
        <v/>
      </c>
    </row>
    <row r="1919" spans="1:17" x14ac:dyDescent="0.35">
      <c r="A1919" s="90" t="str">
        <f>IF(Receipts!$D1922="","",Receipts!$D1922)</f>
        <v/>
      </c>
      <c r="B1919" s="18" t="str">
        <f>IF(Receipts!$C1922="","",Receipts!$C1922)</f>
        <v/>
      </c>
      <c r="C1919" s="18" t="str">
        <f>IF($A1919="","",IFERROR(INDEX(Items!$B$5:$B$597,MATCH($A1919,Items!$A$5:$A$597,0)),""))</f>
        <v/>
      </c>
      <c r="D1919" s="23" t="str">
        <f>IF($A1919="","",N(Receipts!$G1922))</f>
        <v/>
      </c>
      <c r="E1919" s="20" t="str">
        <f>IF($A1919="","",IFERROR(INDEX(Items!$D$5:$D$597,MATCH($A1919,Items!$A$5:$A$597,0)),0))</f>
        <v/>
      </c>
      <c r="F1919" s="21" t="str">
        <f t="shared" si="145"/>
        <v/>
      </c>
      <c r="G1919" s="25" t="str">
        <f>IF(Receipts!$I1922="","",Receipts!$I1922)</f>
        <v/>
      </c>
      <c r="H1919" s="25" t="str">
        <f>IF(Receipts!$H1922="","",Receipts!$H1922)</f>
        <v/>
      </c>
      <c r="I1919" s="26" t="str">
        <f t="shared" ca="1" si="146"/>
        <v/>
      </c>
      <c r="J1919" s="26" t="str">
        <f>IF($A1919="","",COUNTIFS(tblReceipts[Item Name],$A1919,tblReceipts[Expiry Date],"&lt;"&amp;$H1919)+COUNTIFS(tblReceipts[Item Name],$A1919,tblReceipts[Expiry Date],$H1919,tblReceipts[Lot Number],"&lt;="&amp;Receipts!$C1922))</f>
        <v/>
      </c>
      <c r="K1919" s="26" t="str">
        <f>IF($A1919="","",SUMIFS(tblReceipts[Qty Received],tblReceipts[Item Name],$A1919,tblReceipts[Expiry Date],"&lt;"&amp;$H1919)+SUMIFS(tblReceipts[Qty Received],tblReceipts[Item Name],$A1919,tblReceipts[Expiry Date],$H1919,tblReceipts[Lot Number],"&lt;"&amp;Receipts!$C1922))</f>
        <v/>
      </c>
      <c r="L1919" s="26" t="str">
        <f>IF($A1919="","",MIN($D1919,MAX(0,SUMIFS(tblIssues[Qty Issued],tblIssues[Item Name],$A1919)-$K1919)))</f>
        <v/>
      </c>
      <c r="M1919" s="26" t="str">
        <f>IF($A1919="","",SUMIFS(tblIssues[Qty Issued],tblIssues[Lot Number],$B1919))</f>
        <v/>
      </c>
      <c r="N1919" s="26" t="str">
        <f t="shared" si="147"/>
        <v/>
      </c>
      <c r="O1919" s="26" t="str">
        <f t="shared" si="148"/>
        <v/>
      </c>
      <c r="P1919" s="21" t="str">
        <f t="shared" si="149"/>
        <v/>
      </c>
      <c r="Q1919" s="52" t="str">
        <f>IF($A1919="","",IF($O1919&lt;=0,"Depleted",IF($I1919&lt;0,"EXPIRED",IF($I1919&lt;=Settings!$C$6,"CRITICAL",IF($I1919&lt;=Settings!$C$5,"Expiring","In date")))))</f>
        <v/>
      </c>
    </row>
    <row r="1920" spans="1:17" x14ac:dyDescent="0.35">
      <c r="A1920" s="90" t="str">
        <f>IF(Receipts!$D1923="","",Receipts!$D1923)</f>
        <v/>
      </c>
      <c r="B1920" s="18" t="str">
        <f>IF(Receipts!$C1923="","",Receipts!$C1923)</f>
        <v/>
      </c>
      <c r="C1920" s="18" t="str">
        <f>IF($A1920="","",IFERROR(INDEX(Items!$B$5:$B$597,MATCH($A1920,Items!$A$5:$A$597,0)),""))</f>
        <v/>
      </c>
      <c r="D1920" s="23" t="str">
        <f>IF($A1920="","",N(Receipts!$G1923))</f>
        <v/>
      </c>
      <c r="E1920" s="20" t="str">
        <f>IF($A1920="","",IFERROR(INDEX(Items!$D$5:$D$597,MATCH($A1920,Items!$A$5:$A$597,0)),0))</f>
        <v/>
      </c>
      <c r="F1920" s="21" t="str">
        <f t="shared" si="145"/>
        <v/>
      </c>
      <c r="G1920" s="25" t="str">
        <f>IF(Receipts!$I1923="","",Receipts!$I1923)</f>
        <v/>
      </c>
      <c r="H1920" s="25" t="str">
        <f>IF(Receipts!$H1923="","",Receipts!$H1923)</f>
        <v/>
      </c>
      <c r="I1920" s="26" t="str">
        <f t="shared" ca="1" si="146"/>
        <v/>
      </c>
      <c r="J1920" s="26" t="str">
        <f>IF($A1920="","",COUNTIFS(tblReceipts[Item Name],$A1920,tblReceipts[Expiry Date],"&lt;"&amp;$H1920)+COUNTIFS(tblReceipts[Item Name],$A1920,tblReceipts[Expiry Date],$H1920,tblReceipts[Lot Number],"&lt;="&amp;Receipts!$C1923))</f>
        <v/>
      </c>
      <c r="K1920" s="26" t="str">
        <f>IF($A1920="","",SUMIFS(tblReceipts[Qty Received],tblReceipts[Item Name],$A1920,tblReceipts[Expiry Date],"&lt;"&amp;$H1920)+SUMIFS(tblReceipts[Qty Received],tblReceipts[Item Name],$A1920,tblReceipts[Expiry Date],$H1920,tblReceipts[Lot Number],"&lt;"&amp;Receipts!$C1923))</f>
        <v/>
      </c>
      <c r="L1920" s="26" t="str">
        <f>IF($A1920="","",MIN($D1920,MAX(0,SUMIFS(tblIssues[Qty Issued],tblIssues[Item Name],$A1920)-$K1920)))</f>
        <v/>
      </c>
      <c r="M1920" s="26" t="str">
        <f>IF($A1920="","",SUMIFS(tblIssues[Qty Issued],tblIssues[Lot Number],$B1920))</f>
        <v/>
      </c>
      <c r="N1920" s="26" t="str">
        <f t="shared" si="147"/>
        <v/>
      </c>
      <c r="O1920" s="26" t="str">
        <f t="shared" si="148"/>
        <v/>
      </c>
      <c r="P1920" s="21" t="str">
        <f t="shared" si="149"/>
        <v/>
      </c>
      <c r="Q1920" s="52" t="str">
        <f>IF($A1920="","",IF($O1920&lt;=0,"Depleted",IF($I1920&lt;0,"EXPIRED",IF($I1920&lt;=Settings!$C$6,"CRITICAL",IF($I1920&lt;=Settings!$C$5,"Expiring","In date")))))</f>
        <v/>
      </c>
    </row>
    <row r="1921" spans="1:17" x14ac:dyDescent="0.35">
      <c r="A1921" s="90" t="str">
        <f>IF(Receipts!$D1924="","",Receipts!$D1924)</f>
        <v/>
      </c>
      <c r="B1921" s="18" t="str">
        <f>IF(Receipts!$C1924="","",Receipts!$C1924)</f>
        <v/>
      </c>
      <c r="C1921" s="18" t="str">
        <f>IF($A1921="","",IFERROR(INDEX(Items!$B$5:$B$597,MATCH($A1921,Items!$A$5:$A$597,0)),""))</f>
        <v/>
      </c>
      <c r="D1921" s="23" t="str">
        <f>IF($A1921="","",N(Receipts!$G1924))</f>
        <v/>
      </c>
      <c r="E1921" s="20" t="str">
        <f>IF($A1921="","",IFERROR(INDEX(Items!$D$5:$D$597,MATCH($A1921,Items!$A$5:$A$597,0)),0))</f>
        <v/>
      </c>
      <c r="F1921" s="21" t="str">
        <f t="shared" si="145"/>
        <v/>
      </c>
      <c r="G1921" s="25" t="str">
        <f>IF(Receipts!$I1924="","",Receipts!$I1924)</f>
        <v/>
      </c>
      <c r="H1921" s="25" t="str">
        <f>IF(Receipts!$H1924="","",Receipts!$H1924)</f>
        <v/>
      </c>
      <c r="I1921" s="26" t="str">
        <f t="shared" ca="1" si="146"/>
        <v/>
      </c>
      <c r="J1921" s="26" t="str">
        <f>IF($A1921="","",COUNTIFS(tblReceipts[Item Name],$A1921,tblReceipts[Expiry Date],"&lt;"&amp;$H1921)+COUNTIFS(tblReceipts[Item Name],$A1921,tblReceipts[Expiry Date],$H1921,tblReceipts[Lot Number],"&lt;="&amp;Receipts!$C1924))</f>
        <v/>
      </c>
      <c r="K1921" s="26" t="str">
        <f>IF($A1921="","",SUMIFS(tblReceipts[Qty Received],tblReceipts[Item Name],$A1921,tblReceipts[Expiry Date],"&lt;"&amp;$H1921)+SUMIFS(tblReceipts[Qty Received],tblReceipts[Item Name],$A1921,tblReceipts[Expiry Date],$H1921,tblReceipts[Lot Number],"&lt;"&amp;Receipts!$C1924))</f>
        <v/>
      </c>
      <c r="L1921" s="26" t="str">
        <f>IF($A1921="","",MIN($D1921,MAX(0,SUMIFS(tblIssues[Qty Issued],tblIssues[Item Name],$A1921)-$K1921)))</f>
        <v/>
      </c>
      <c r="M1921" s="26" t="str">
        <f>IF($A1921="","",SUMIFS(tblIssues[Qty Issued],tblIssues[Lot Number],$B1921))</f>
        <v/>
      </c>
      <c r="N1921" s="26" t="str">
        <f t="shared" si="147"/>
        <v/>
      </c>
      <c r="O1921" s="26" t="str">
        <f t="shared" si="148"/>
        <v/>
      </c>
      <c r="P1921" s="21" t="str">
        <f t="shared" si="149"/>
        <v/>
      </c>
      <c r="Q1921" s="52" t="str">
        <f>IF($A1921="","",IF($O1921&lt;=0,"Depleted",IF($I1921&lt;0,"EXPIRED",IF($I1921&lt;=Settings!$C$6,"CRITICAL",IF($I1921&lt;=Settings!$C$5,"Expiring","In date")))))</f>
        <v/>
      </c>
    </row>
    <row r="1922" spans="1:17" x14ac:dyDescent="0.35">
      <c r="A1922" s="90" t="str">
        <f>IF(Receipts!$D1925="","",Receipts!$D1925)</f>
        <v/>
      </c>
      <c r="B1922" s="18" t="str">
        <f>IF(Receipts!$C1925="","",Receipts!$C1925)</f>
        <v/>
      </c>
      <c r="C1922" s="18" t="str">
        <f>IF($A1922="","",IFERROR(INDEX(Items!$B$5:$B$597,MATCH($A1922,Items!$A$5:$A$597,0)),""))</f>
        <v/>
      </c>
      <c r="D1922" s="23" t="str">
        <f>IF($A1922="","",N(Receipts!$G1925))</f>
        <v/>
      </c>
      <c r="E1922" s="20" t="str">
        <f>IF($A1922="","",IFERROR(INDEX(Items!$D$5:$D$597,MATCH($A1922,Items!$A$5:$A$597,0)),0))</f>
        <v/>
      </c>
      <c r="F1922" s="21" t="str">
        <f t="shared" si="145"/>
        <v/>
      </c>
      <c r="G1922" s="25" t="str">
        <f>IF(Receipts!$I1925="","",Receipts!$I1925)</f>
        <v/>
      </c>
      <c r="H1922" s="25" t="str">
        <f>IF(Receipts!$H1925="","",Receipts!$H1925)</f>
        <v/>
      </c>
      <c r="I1922" s="26" t="str">
        <f t="shared" ca="1" si="146"/>
        <v/>
      </c>
      <c r="J1922" s="26" t="str">
        <f>IF($A1922="","",COUNTIFS(tblReceipts[Item Name],$A1922,tblReceipts[Expiry Date],"&lt;"&amp;$H1922)+COUNTIFS(tblReceipts[Item Name],$A1922,tblReceipts[Expiry Date],$H1922,tblReceipts[Lot Number],"&lt;="&amp;Receipts!$C1925))</f>
        <v/>
      </c>
      <c r="K1922" s="26" t="str">
        <f>IF($A1922="","",SUMIFS(tblReceipts[Qty Received],tblReceipts[Item Name],$A1922,tblReceipts[Expiry Date],"&lt;"&amp;$H1922)+SUMIFS(tblReceipts[Qty Received],tblReceipts[Item Name],$A1922,tblReceipts[Expiry Date],$H1922,tblReceipts[Lot Number],"&lt;"&amp;Receipts!$C1925))</f>
        <v/>
      </c>
      <c r="L1922" s="26" t="str">
        <f>IF($A1922="","",MIN($D1922,MAX(0,SUMIFS(tblIssues[Qty Issued],tblIssues[Item Name],$A1922)-$K1922)))</f>
        <v/>
      </c>
      <c r="M1922" s="26" t="str">
        <f>IF($A1922="","",SUMIFS(tblIssues[Qty Issued],tblIssues[Lot Number],$B1922))</f>
        <v/>
      </c>
      <c r="N1922" s="26" t="str">
        <f t="shared" si="147"/>
        <v/>
      </c>
      <c r="O1922" s="26" t="str">
        <f t="shared" si="148"/>
        <v/>
      </c>
      <c r="P1922" s="21" t="str">
        <f t="shared" si="149"/>
        <v/>
      </c>
      <c r="Q1922" s="52" t="str">
        <f>IF($A1922="","",IF($O1922&lt;=0,"Depleted",IF($I1922&lt;0,"EXPIRED",IF($I1922&lt;=Settings!$C$6,"CRITICAL",IF($I1922&lt;=Settings!$C$5,"Expiring","In date")))))</f>
        <v/>
      </c>
    </row>
    <row r="1923" spans="1:17" x14ac:dyDescent="0.35">
      <c r="A1923" s="90" t="str">
        <f>IF(Receipts!$D1926="","",Receipts!$D1926)</f>
        <v/>
      </c>
      <c r="B1923" s="18" t="str">
        <f>IF(Receipts!$C1926="","",Receipts!$C1926)</f>
        <v/>
      </c>
      <c r="C1923" s="18" t="str">
        <f>IF($A1923="","",IFERROR(INDEX(Items!$B$5:$B$597,MATCH($A1923,Items!$A$5:$A$597,0)),""))</f>
        <v/>
      </c>
      <c r="D1923" s="23" t="str">
        <f>IF($A1923="","",N(Receipts!$G1926))</f>
        <v/>
      </c>
      <c r="E1923" s="20" t="str">
        <f>IF($A1923="","",IFERROR(INDEX(Items!$D$5:$D$597,MATCH($A1923,Items!$A$5:$A$597,0)),0))</f>
        <v/>
      </c>
      <c r="F1923" s="21" t="str">
        <f t="shared" si="145"/>
        <v/>
      </c>
      <c r="G1923" s="25" t="str">
        <f>IF(Receipts!$I1926="","",Receipts!$I1926)</f>
        <v/>
      </c>
      <c r="H1923" s="25" t="str">
        <f>IF(Receipts!$H1926="","",Receipts!$H1926)</f>
        <v/>
      </c>
      <c r="I1923" s="26" t="str">
        <f t="shared" ca="1" si="146"/>
        <v/>
      </c>
      <c r="J1923" s="26" t="str">
        <f>IF($A1923="","",COUNTIFS(tblReceipts[Item Name],$A1923,tblReceipts[Expiry Date],"&lt;"&amp;$H1923)+COUNTIFS(tblReceipts[Item Name],$A1923,tblReceipts[Expiry Date],$H1923,tblReceipts[Lot Number],"&lt;="&amp;Receipts!$C1926))</f>
        <v/>
      </c>
      <c r="K1923" s="26" t="str">
        <f>IF($A1923="","",SUMIFS(tblReceipts[Qty Received],tblReceipts[Item Name],$A1923,tblReceipts[Expiry Date],"&lt;"&amp;$H1923)+SUMIFS(tblReceipts[Qty Received],tblReceipts[Item Name],$A1923,tblReceipts[Expiry Date],$H1923,tblReceipts[Lot Number],"&lt;"&amp;Receipts!$C1926))</f>
        <v/>
      </c>
      <c r="L1923" s="26" t="str">
        <f>IF($A1923="","",MIN($D1923,MAX(0,SUMIFS(tblIssues[Qty Issued],tblIssues[Item Name],$A1923)-$K1923)))</f>
        <v/>
      </c>
      <c r="M1923" s="26" t="str">
        <f>IF($A1923="","",SUMIFS(tblIssues[Qty Issued],tblIssues[Lot Number],$B1923))</f>
        <v/>
      </c>
      <c r="N1923" s="26" t="str">
        <f t="shared" si="147"/>
        <v/>
      </c>
      <c r="O1923" s="26" t="str">
        <f t="shared" si="148"/>
        <v/>
      </c>
      <c r="P1923" s="21" t="str">
        <f t="shared" si="149"/>
        <v/>
      </c>
      <c r="Q1923" s="52" t="str">
        <f>IF($A1923="","",IF($O1923&lt;=0,"Depleted",IF($I1923&lt;0,"EXPIRED",IF($I1923&lt;=Settings!$C$6,"CRITICAL",IF($I1923&lt;=Settings!$C$5,"Expiring","In date")))))</f>
        <v/>
      </c>
    </row>
    <row r="1924" spans="1:17" x14ac:dyDescent="0.35">
      <c r="A1924" s="90" t="str">
        <f>IF(Receipts!$D1927="","",Receipts!$D1927)</f>
        <v/>
      </c>
      <c r="B1924" s="18" t="str">
        <f>IF(Receipts!$C1927="","",Receipts!$C1927)</f>
        <v/>
      </c>
      <c r="C1924" s="18" t="str">
        <f>IF($A1924="","",IFERROR(INDEX(Items!$B$5:$B$597,MATCH($A1924,Items!$A$5:$A$597,0)),""))</f>
        <v/>
      </c>
      <c r="D1924" s="23" t="str">
        <f>IF($A1924="","",N(Receipts!$G1927))</f>
        <v/>
      </c>
      <c r="E1924" s="20" t="str">
        <f>IF($A1924="","",IFERROR(INDEX(Items!$D$5:$D$597,MATCH($A1924,Items!$A$5:$A$597,0)),0))</f>
        <v/>
      </c>
      <c r="F1924" s="21" t="str">
        <f t="shared" si="145"/>
        <v/>
      </c>
      <c r="G1924" s="25" t="str">
        <f>IF(Receipts!$I1927="","",Receipts!$I1927)</f>
        <v/>
      </c>
      <c r="H1924" s="25" t="str">
        <f>IF(Receipts!$H1927="","",Receipts!$H1927)</f>
        <v/>
      </c>
      <c r="I1924" s="26" t="str">
        <f t="shared" ca="1" si="146"/>
        <v/>
      </c>
      <c r="J1924" s="26" t="str">
        <f>IF($A1924="","",COUNTIFS(tblReceipts[Item Name],$A1924,tblReceipts[Expiry Date],"&lt;"&amp;$H1924)+COUNTIFS(tblReceipts[Item Name],$A1924,tblReceipts[Expiry Date],$H1924,tblReceipts[Lot Number],"&lt;="&amp;Receipts!$C1927))</f>
        <v/>
      </c>
      <c r="K1924" s="26" t="str">
        <f>IF($A1924="","",SUMIFS(tblReceipts[Qty Received],tblReceipts[Item Name],$A1924,tblReceipts[Expiry Date],"&lt;"&amp;$H1924)+SUMIFS(tblReceipts[Qty Received],tblReceipts[Item Name],$A1924,tblReceipts[Expiry Date],$H1924,tblReceipts[Lot Number],"&lt;"&amp;Receipts!$C1927))</f>
        <v/>
      </c>
      <c r="L1924" s="26" t="str">
        <f>IF($A1924="","",MIN($D1924,MAX(0,SUMIFS(tblIssues[Qty Issued],tblIssues[Item Name],$A1924)-$K1924)))</f>
        <v/>
      </c>
      <c r="M1924" s="26" t="str">
        <f>IF($A1924="","",SUMIFS(tblIssues[Qty Issued],tblIssues[Lot Number],$B1924))</f>
        <v/>
      </c>
      <c r="N1924" s="26" t="str">
        <f t="shared" si="147"/>
        <v/>
      </c>
      <c r="O1924" s="26" t="str">
        <f t="shared" si="148"/>
        <v/>
      </c>
      <c r="P1924" s="21" t="str">
        <f t="shared" si="149"/>
        <v/>
      </c>
      <c r="Q1924" s="52" t="str">
        <f>IF($A1924="","",IF($O1924&lt;=0,"Depleted",IF($I1924&lt;0,"EXPIRED",IF($I1924&lt;=Settings!$C$6,"CRITICAL",IF($I1924&lt;=Settings!$C$5,"Expiring","In date")))))</f>
        <v/>
      </c>
    </row>
    <row r="1925" spans="1:17" x14ac:dyDescent="0.35">
      <c r="A1925" s="90" t="str">
        <f>IF(Receipts!$D1928="","",Receipts!$D1928)</f>
        <v/>
      </c>
      <c r="B1925" s="18" t="str">
        <f>IF(Receipts!$C1928="","",Receipts!$C1928)</f>
        <v/>
      </c>
      <c r="C1925" s="18" t="str">
        <f>IF($A1925="","",IFERROR(INDEX(Items!$B$5:$B$597,MATCH($A1925,Items!$A$5:$A$597,0)),""))</f>
        <v/>
      </c>
      <c r="D1925" s="23" t="str">
        <f>IF($A1925="","",N(Receipts!$G1928))</f>
        <v/>
      </c>
      <c r="E1925" s="20" t="str">
        <f>IF($A1925="","",IFERROR(INDEX(Items!$D$5:$D$597,MATCH($A1925,Items!$A$5:$A$597,0)),0))</f>
        <v/>
      </c>
      <c r="F1925" s="21" t="str">
        <f t="shared" ref="F1925:F1988" si="150">IF($A1925="","",$D1925*$E1925)</f>
        <v/>
      </c>
      <c r="G1925" s="25" t="str">
        <f>IF(Receipts!$I1928="","",Receipts!$I1928)</f>
        <v/>
      </c>
      <c r="H1925" s="25" t="str">
        <f>IF(Receipts!$H1928="","",Receipts!$H1928)</f>
        <v/>
      </c>
      <c r="I1925" s="26" t="str">
        <f t="shared" ref="I1925:I1988" ca="1" si="151">IF($H1925="","",$H1925-TODAY())</f>
        <v/>
      </c>
      <c r="J1925" s="26" t="str">
        <f>IF($A1925="","",COUNTIFS(tblReceipts[Item Name],$A1925,tblReceipts[Expiry Date],"&lt;"&amp;$H1925)+COUNTIFS(tblReceipts[Item Name],$A1925,tblReceipts[Expiry Date],$H1925,tblReceipts[Lot Number],"&lt;="&amp;Receipts!$C1928))</f>
        <v/>
      </c>
      <c r="K1925" s="26" t="str">
        <f>IF($A1925="","",SUMIFS(tblReceipts[Qty Received],tblReceipts[Item Name],$A1925,tblReceipts[Expiry Date],"&lt;"&amp;$H1925)+SUMIFS(tblReceipts[Qty Received],tblReceipts[Item Name],$A1925,tblReceipts[Expiry Date],$H1925,tblReceipts[Lot Number],"&lt;"&amp;Receipts!$C1928))</f>
        <v/>
      </c>
      <c r="L1925" s="26" t="str">
        <f>IF($A1925="","",MIN($D1925,MAX(0,SUMIFS(tblIssues[Qty Issued],tblIssues[Item Name],$A1925)-$K1925)))</f>
        <v/>
      </c>
      <c r="M1925" s="26" t="str">
        <f>IF($A1925="","",SUMIFS(tblIssues[Qty Issued],tblIssues[Lot Number],$B1925))</f>
        <v/>
      </c>
      <c r="N1925" s="26" t="str">
        <f t="shared" ref="N1925:N1988" si="152">IF($A1925="","",$M1925-$L1925)</f>
        <v/>
      </c>
      <c r="O1925" s="26" t="str">
        <f t="shared" ref="O1925:O1988" si="153">IF($A1925="","",$D1925-$L1925)</f>
        <v/>
      </c>
      <c r="P1925" s="21" t="str">
        <f t="shared" ref="P1925:P1988" si="154">IF($A1925="","",$O1925*$E1925)</f>
        <v/>
      </c>
      <c r="Q1925" s="52" t="str">
        <f>IF($A1925="","",IF($O1925&lt;=0,"Depleted",IF($I1925&lt;0,"EXPIRED",IF($I1925&lt;=Settings!$C$6,"CRITICAL",IF($I1925&lt;=Settings!$C$5,"Expiring","In date")))))</f>
        <v/>
      </c>
    </row>
    <row r="1926" spans="1:17" x14ac:dyDescent="0.35">
      <c r="A1926" s="90" t="str">
        <f>IF(Receipts!$D1929="","",Receipts!$D1929)</f>
        <v/>
      </c>
      <c r="B1926" s="18" t="str">
        <f>IF(Receipts!$C1929="","",Receipts!$C1929)</f>
        <v/>
      </c>
      <c r="C1926" s="18" t="str">
        <f>IF($A1926="","",IFERROR(INDEX(Items!$B$5:$B$597,MATCH($A1926,Items!$A$5:$A$597,0)),""))</f>
        <v/>
      </c>
      <c r="D1926" s="23" t="str">
        <f>IF($A1926="","",N(Receipts!$G1929))</f>
        <v/>
      </c>
      <c r="E1926" s="20" t="str">
        <f>IF($A1926="","",IFERROR(INDEX(Items!$D$5:$D$597,MATCH($A1926,Items!$A$5:$A$597,0)),0))</f>
        <v/>
      </c>
      <c r="F1926" s="21" t="str">
        <f t="shared" si="150"/>
        <v/>
      </c>
      <c r="G1926" s="25" t="str">
        <f>IF(Receipts!$I1929="","",Receipts!$I1929)</f>
        <v/>
      </c>
      <c r="H1926" s="25" t="str">
        <f>IF(Receipts!$H1929="","",Receipts!$H1929)</f>
        <v/>
      </c>
      <c r="I1926" s="26" t="str">
        <f t="shared" ca="1" si="151"/>
        <v/>
      </c>
      <c r="J1926" s="26" t="str">
        <f>IF($A1926="","",COUNTIFS(tblReceipts[Item Name],$A1926,tblReceipts[Expiry Date],"&lt;"&amp;$H1926)+COUNTIFS(tblReceipts[Item Name],$A1926,tblReceipts[Expiry Date],$H1926,tblReceipts[Lot Number],"&lt;="&amp;Receipts!$C1929))</f>
        <v/>
      </c>
      <c r="K1926" s="26" t="str">
        <f>IF($A1926="","",SUMIFS(tblReceipts[Qty Received],tblReceipts[Item Name],$A1926,tblReceipts[Expiry Date],"&lt;"&amp;$H1926)+SUMIFS(tblReceipts[Qty Received],tblReceipts[Item Name],$A1926,tblReceipts[Expiry Date],$H1926,tblReceipts[Lot Number],"&lt;"&amp;Receipts!$C1929))</f>
        <v/>
      </c>
      <c r="L1926" s="26" t="str">
        <f>IF($A1926="","",MIN($D1926,MAX(0,SUMIFS(tblIssues[Qty Issued],tblIssues[Item Name],$A1926)-$K1926)))</f>
        <v/>
      </c>
      <c r="M1926" s="26" t="str">
        <f>IF($A1926="","",SUMIFS(tblIssues[Qty Issued],tblIssues[Lot Number],$B1926))</f>
        <v/>
      </c>
      <c r="N1926" s="26" t="str">
        <f t="shared" si="152"/>
        <v/>
      </c>
      <c r="O1926" s="26" t="str">
        <f t="shared" si="153"/>
        <v/>
      </c>
      <c r="P1926" s="21" t="str">
        <f t="shared" si="154"/>
        <v/>
      </c>
      <c r="Q1926" s="52" t="str">
        <f>IF($A1926="","",IF($O1926&lt;=0,"Depleted",IF($I1926&lt;0,"EXPIRED",IF($I1926&lt;=Settings!$C$6,"CRITICAL",IF($I1926&lt;=Settings!$C$5,"Expiring","In date")))))</f>
        <v/>
      </c>
    </row>
    <row r="1927" spans="1:17" x14ac:dyDescent="0.35">
      <c r="A1927" s="90" t="str">
        <f>IF(Receipts!$D1930="","",Receipts!$D1930)</f>
        <v/>
      </c>
      <c r="B1927" s="18" t="str">
        <f>IF(Receipts!$C1930="","",Receipts!$C1930)</f>
        <v/>
      </c>
      <c r="C1927" s="18" t="str">
        <f>IF($A1927="","",IFERROR(INDEX(Items!$B$5:$B$597,MATCH($A1927,Items!$A$5:$A$597,0)),""))</f>
        <v/>
      </c>
      <c r="D1927" s="23" t="str">
        <f>IF($A1927="","",N(Receipts!$G1930))</f>
        <v/>
      </c>
      <c r="E1927" s="20" t="str">
        <f>IF($A1927="","",IFERROR(INDEX(Items!$D$5:$D$597,MATCH($A1927,Items!$A$5:$A$597,0)),0))</f>
        <v/>
      </c>
      <c r="F1927" s="21" t="str">
        <f t="shared" si="150"/>
        <v/>
      </c>
      <c r="G1927" s="25" t="str">
        <f>IF(Receipts!$I1930="","",Receipts!$I1930)</f>
        <v/>
      </c>
      <c r="H1927" s="25" t="str">
        <f>IF(Receipts!$H1930="","",Receipts!$H1930)</f>
        <v/>
      </c>
      <c r="I1927" s="26" t="str">
        <f t="shared" ca="1" si="151"/>
        <v/>
      </c>
      <c r="J1927" s="26" t="str">
        <f>IF($A1927="","",COUNTIFS(tblReceipts[Item Name],$A1927,tblReceipts[Expiry Date],"&lt;"&amp;$H1927)+COUNTIFS(tblReceipts[Item Name],$A1927,tblReceipts[Expiry Date],$H1927,tblReceipts[Lot Number],"&lt;="&amp;Receipts!$C1930))</f>
        <v/>
      </c>
      <c r="K1927" s="26" t="str">
        <f>IF($A1927="","",SUMIFS(tblReceipts[Qty Received],tblReceipts[Item Name],$A1927,tblReceipts[Expiry Date],"&lt;"&amp;$H1927)+SUMIFS(tblReceipts[Qty Received],tblReceipts[Item Name],$A1927,tblReceipts[Expiry Date],$H1927,tblReceipts[Lot Number],"&lt;"&amp;Receipts!$C1930))</f>
        <v/>
      </c>
      <c r="L1927" s="26" t="str">
        <f>IF($A1927="","",MIN($D1927,MAX(0,SUMIFS(tblIssues[Qty Issued],tblIssues[Item Name],$A1927)-$K1927)))</f>
        <v/>
      </c>
      <c r="M1927" s="26" t="str">
        <f>IF($A1927="","",SUMIFS(tblIssues[Qty Issued],tblIssues[Lot Number],$B1927))</f>
        <v/>
      </c>
      <c r="N1927" s="26" t="str">
        <f t="shared" si="152"/>
        <v/>
      </c>
      <c r="O1927" s="26" t="str">
        <f t="shared" si="153"/>
        <v/>
      </c>
      <c r="P1927" s="21" t="str">
        <f t="shared" si="154"/>
        <v/>
      </c>
      <c r="Q1927" s="52" t="str">
        <f>IF($A1927="","",IF($O1927&lt;=0,"Depleted",IF($I1927&lt;0,"EXPIRED",IF($I1927&lt;=Settings!$C$6,"CRITICAL",IF($I1927&lt;=Settings!$C$5,"Expiring","In date")))))</f>
        <v/>
      </c>
    </row>
    <row r="1928" spans="1:17" x14ac:dyDescent="0.35">
      <c r="A1928" s="90" t="str">
        <f>IF(Receipts!$D1931="","",Receipts!$D1931)</f>
        <v/>
      </c>
      <c r="B1928" s="18" t="str">
        <f>IF(Receipts!$C1931="","",Receipts!$C1931)</f>
        <v/>
      </c>
      <c r="C1928" s="18" t="str">
        <f>IF($A1928="","",IFERROR(INDEX(Items!$B$5:$B$597,MATCH($A1928,Items!$A$5:$A$597,0)),""))</f>
        <v/>
      </c>
      <c r="D1928" s="23" t="str">
        <f>IF($A1928="","",N(Receipts!$G1931))</f>
        <v/>
      </c>
      <c r="E1928" s="20" t="str">
        <f>IF($A1928="","",IFERROR(INDEX(Items!$D$5:$D$597,MATCH($A1928,Items!$A$5:$A$597,0)),0))</f>
        <v/>
      </c>
      <c r="F1928" s="21" t="str">
        <f t="shared" si="150"/>
        <v/>
      </c>
      <c r="G1928" s="25" t="str">
        <f>IF(Receipts!$I1931="","",Receipts!$I1931)</f>
        <v/>
      </c>
      <c r="H1928" s="25" t="str">
        <f>IF(Receipts!$H1931="","",Receipts!$H1931)</f>
        <v/>
      </c>
      <c r="I1928" s="26" t="str">
        <f t="shared" ca="1" si="151"/>
        <v/>
      </c>
      <c r="J1928" s="26" t="str">
        <f>IF($A1928="","",COUNTIFS(tblReceipts[Item Name],$A1928,tblReceipts[Expiry Date],"&lt;"&amp;$H1928)+COUNTIFS(tblReceipts[Item Name],$A1928,tblReceipts[Expiry Date],$H1928,tblReceipts[Lot Number],"&lt;="&amp;Receipts!$C1931))</f>
        <v/>
      </c>
      <c r="K1928" s="26" t="str">
        <f>IF($A1928="","",SUMIFS(tblReceipts[Qty Received],tblReceipts[Item Name],$A1928,tblReceipts[Expiry Date],"&lt;"&amp;$H1928)+SUMIFS(tblReceipts[Qty Received],tblReceipts[Item Name],$A1928,tblReceipts[Expiry Date],$H1928,tblReceipts[Lot Number],"&lt;"&amp;Receipts!$C1931))</f>
        <v/>
      </c>
      <c r="L1928" s="26" t="str">
        <f>IF($A1928="","",MIN($D1928,MAX(0,SUMIFS(tblIssues[Qty Issued],tblIssues[Item Name],$A1928)-$K1928)))</f>
        <v/>
      </c>
      <c r="M1928" s="26" t="str">
        <f>IF($A1928="","",SUMIFS(tblIssues[Qty Issued],tblIssues[Lot Number],$B1928))</f>
        <v/>
      </c>
      <c r="N1928" s="26" t="str">
        <f t="shared" si="152"/>
        <v/>
      </c>
      <c r="O1928" s="26" t="str">
        <f t="shared" si="153"/>
        <v/>
      </c>
      <c r="P1928" s="21" t="str">
        <f t="shared" si="154"/>
        <v/>
      </c>
      <c r="Q1928" s="52" t="str">
        <f>IF($A1928="","",IF($O1928&lt;=0,"Depleted",IF($I1928&lt;0,"EXPIRED",IF($I1928&lt;=Settings!$C$6,"CRITICAL",IF($I1928&lt;=Settings!$C$5,"Expiring","In date")))))</f>
        <v/>
      </c>
    </row>
    <row r="1929" spans="1:17" x14ac:dyDescent="0.35">
      <c r="A1929" s="90" t="str">
        <f>IF(Receipts!$D1932="","",Receipts!$D1932)</f>
        <v/>
      </c>
      <c r="B1929" s="18" t="str">
        <f>IF(Receipts!$C1932="","",Receipts!$C1932)</f>
        <v/>
      </c>
      <c r="C1929" s="18" t="str">
        <f>IF($A1929="","",IFERROR(INDEX(Items!$B$5:$B$597,MATCH($A1929,Items!$A$5:$A$597,0)),""))</f>
        <v/>
      </c>
      <c r="D1929" s="23" t="str">
        <f>IF($A1929="","",N(Receipts!$G1932))</f>
        <v/>
      </c>
      <c r="E1929" s="20" t="str">
        <f>IF($A1929="","",IFERROR(INDEX(Items!$D$5:$D$597,MATCH($A1929,Items!$A$5:$A$597,0)),0))</f>
        <v/>
      </c>
      <c r="F1929" s="21" t="str">
        <f t="shared" si="150"/>
        <v/>
      </c>
      <c r="G1929" s="25" t="str">
        <f>IF(Receipts!$I1932="","",Receipts!$I1932)</f>
        <v/>
      </c>
      <c r="H1929" s="25" t="str">
        <f>IF(Receipts!$H1932="","",Receipts!$H1932)</f>
        <v/>
      </c>
      <c r="I1929" s="26" t="str">
        <f t="shared" ca="1" si="151"/>
        <v/>
      </c>
      <c r="J1929" s="26" t="str">
        <f>IF($A1929="","",COUNTIFS(tblReceipts[Item Name],$A1929,tblReceipts[Expiry Date],"&lt;"&amp;$H1929)+COUNTIFS(tblReceipts[Item Name],$A1929,tblReceipts[Expiry Date],$H1929,tblReceipts[Lot Number],"&lt;="&amp;Receipts!$C1932))</f>
        <v/>
      </c>
      <c r="K1929" s="26" t="str">
        <f>IF($A1929="","",SUMIFS(tblReceipts[Qty Received],tblReceipts[Item Name],$A1929,tblReceipts[Expiry Date],"&lt;"&amp;$H1929)+SUMIFS(tblReceipts[Qty Received],tblReceipts[Item Name],$A1929,tblReceipts[Expiry Date],$H1929,tblReceipts[Lot Number],"&lt;"&amp;Receipts!$C1932))</f>
        <v/>
      </c>
      <c r="L1929" s="26" t="str">
        <f>IF($A1929="","",MIN($D1929,MAX(0,SUMIFS(tblIssues[Qty Issued],tblIssues[Item Name],$A1929)-$K1929)))</f>
        <v/>
      </c>
      <c r="M1929" s="26" t="str">
        <f>IF($A1929="","",SUMIFS(tblIssues[Qty Issued],tblIssues[Lot Number],$B1929))</f>
        <v/>
      </c>
      <c r="N1929" s="26" t="str">
        <f t="shared" si="152"/>
        <v/>
      </c>
      <c r="O1929" s="26" t="str">
        <f t="shared" si="153"/>
        <v/>
      </c>
      <c r="P1929" s="21" t="str">
        <f t="shared" si="154"/>
        <v/>
      </c>
      <c r="Q1929" s="52" t="str">
        <f>IF($A1929="","",IF($O1929&lt;=0,"Depleted",IF($I1929&lt;0,"EXPIRED",IF($I1929&lt;=Settings!$C$6,"CRITICAL",IF($I1929&lt;=Settings!$C$5,"Expiring","In date")))))</f>
        <v/>
      </c>
    </row>
    <row r="1930" spans="1:17" x14ac:dyDescent="0.35">
      <c r="A1930" s="90" t="str">
        <f>IF(Receipts!$D1933="","",Receipts!$D1933)</f>
        <v/>
      </c>
      <c r="B1930" s="18" t="str">
        <f>IF(Receipts!$C1933="","",Receipts!$C1933)</f>
        <v/>
      </c>
      <c r="C1930" s="18" t="str">
        <f>IF($A1930="","",IFERROR(INDEX(Items!$B$5:$B$597,MATCH($A1930,Items!$A$5:$A$597,0)),""))</f>
        <v/>
      </c>
      <c r="D1930" s="23" t="str">
        <f>IF($A1930="","",N(Receipts!$G1933))</f>
        <v/>
      </c>
      <c r="E1930" s="20" t="str">
        <f>IF($A1930="","",IFERROR(INDEX(Items!$D$5:$D$597,MATCH($A1930,Items!$A$5:$A$597,0)),0))</f>
        <v/>
      </c>
      <c r="F1930" s="21" t="str">
        <f t="shared" si="150"/>
        <v/>
      </c>
      <c r="G1930" s="25" t="str">
        <f>IF(Receipts!$I1933="","",Receipts!$I1933)</f>
        <v/>
      </c>
      <c r="H1930" s="25" t="str">
        <f>IF(Receipts!$H1933="","",Receipts!$H1933)</f>
        <v/>
      </c>
      <c r="I1930" s="26" t="str">
        <f t="shared" ca="1" si="151"/>
        <v/>
      </c>
      <c r="J1930" s="26" t="str">
        <f>IF($A1930="","",COUNTIFS(tblReceipts[Item Name],$A1930,tblReceipts[Expiry Date],"&lt;"&amp;$H1930)+COUNTIFS(tblReceipts[Item Name],$A1930,tblReceipts[Expiry Date],$H1930,tblReceipts[Lot Number],"&lt;="&amp;Receipts!$C1933))</f>
        <v/>
      </c>
      <c r="K1930" s="26" t="str">
        <f>IF($A1930="","",SUMIFS(tblReceipts[Qty Received],tblReceipts[Item Name],$A1930,tblReceipts[Expiry Date],"&lt;"&amp;$H1930)+SUMIFS(tblReceipts[Qty Received],tblReceipts[Item Name],$A1930,tblReceipts[Expiry Date],$H1930,tblReceipts[Lot Number],"&lt;"&amp;Receipts!$C1933))</f>
        <v/>
      </c>
      <c r="L1930" s="26" t="str">
        <f>IF($A1930="","",MIN($D1930,MAX(0,SUMIFS(tblIssues[Qty Issued],tblIssues[Item Name],$A1930)-$K1930)))</f>
        <v/>
      </c>
      <c r="M1930" s="26" t="str">
        <f>IF($A1930="","",SUMIFS(tblIssues[Qty Issued],tblIssues[Lot Number],$B1930))</f>
        <v/>
      </c>
      <c r="N1930" s="26" t="str">
        <f t="shared" si="152"/>
        <v/>
      </c>
      <c r="O1930" s="26" t="str">
        <f t="shared" si="153"/>
        <v/>
      </c>
      <c r="P1930" s="21" t="str">
        <f t="shared" si="154"/>
        <v/>
      </c>
      <c r="Q1930" s="52" t="str">
        <f>IF($A1930="","",IF($O1930&lt;=0,"Depleted",IF($I1930&lt;0,"EXPIRED",IF($I1930&lt;=Settings!$C$6,"CRITICAL",IF($I1930&lt;=Settings!$C$5,"Expiring","In date")))))</f>
        <v/>
      </c>
    </row>
    <row r="1931" spans="1:17" x14ac:dyDescent="0.35">
      <c r="A1931" s="90" t="str">
        <f>IF(Receipts!$D1934="","",Receipts!$D1934)</f>
        <v/>
      </c>
      <c r="B1931" s="18" t="str">
        <f>IF(Receipts!$C1934="","",Receipts!$C1934)</f>
        <v/>
      </c>
      <c r="C1931" s="18" t="str">
        <f>IF($A1931="","",IFERROR(INDEX(Items!$B$5:$B$597,MATCH($A1931,Items!$A$5:$A$597,0)),""))</f>
        <v/>
      </c>
      <c r="D1931" s="23" t="str">
        <f>IF($A1931="","",N(Receipts!$G1934))</f>
        <v/>
      </c>
      <c r="E1931" s="20" t="str">
        <f>IF($A1931="","",IFERROR(INDEX(Items!$D$5:$D$597,MATCH($A1931,Items!$A$5:$A$597,0)),0))</f>
        <v/>
      </c>
      <c r="F1931" s="21" t="str">
        <f t="shared" si="150"/>
        <v/>
      </c>
      <c r="G1931" s="25" t="str">
        <f>IF(Receipts!$I1934="","",Receipts!$I1934)</f>
        <v/>
      </c>
      <c r="H1931" s="25" t="str">
        <f>IF(Receipts!$H1934="","",Receipts!$H1934)</f>
        <v/>
      </c>
      <c r="I1931" s="26" t="str">
        <f t="shared" ca="1" si="151"/>
        <v/>
      </c>
      <c r="J1931" s="26" t="str">
        <f>IF($A1931="","",COUNTIFS(tblReceipts[Item Name],$A1931,tblReceipts[Expiry Date],"&lt;"&amp;$H1931)+COUNTIFS(tblReceipts[Item Name],$A1931,tblReceipts[Expiry Date],$H1931,tblReceipts[Lot Number],"&lt;="&amp;Receipts!$C1934))</f>
        <v/>
      </c>
      <c r="K1931" s="26" t="str">
        <f>IF($A1931="","",SUMIFS(tblReceipts[Qty Received],tblReceipts[Item Name],$A1931,tblReceipts[Expiry Date],"&lt;"&amp;$H1931)+SUMIFS(tblReceipts[Qty Received],tblReceipts[Item Name],$A1931,tblReceipts[Expiry Date],$H1931,tblReceipts[Lot Number],"&lt;"&amp;Receipts!$C1934))</f>
        <v/>
      </c>
      <c r="L1931" s="26" t="str">
        <f>IF($A1931="","",MIN($D1931,MAX(0,SUMIFS(tblIssues[Qty Issued],tblIssues[Item Name],$A1931)-$K1931)))</f>
        <v/>
      </c>
      <c r="M1931" s="26" t="str">
        <f>IF($A1931="","",SUMIFS(tblIssues[Qty Issued],tblIssues[Lot Number],$B1931))</f>
        <v/>
      </c>
      <c r="N1931" s="26" t="str">
        <f t="shared" si="152"/>
        <v/>
      </c>
      <c r="O1931" s="26" t="str">
        <f t="shared" si="153"/>
        <v/>
      </c>
      <c r="P1931" s="21" t="str">
        <f t="shared" si="154"/>
        <v/>
      </c>
      <c r="Q1931" s="52" t="str">
        <f>IF($A1931="","",IF($O1931&lt;=0,"Depleted",IF($I1931&lt;0,"EXPIRED",IF($I1931&lt;=Settings!$C$6,"CRITICAL",IF($I1931&lt;=Settings!$C$5,"Expiring","In date")))))</f>
        <v/>
      </c>
    </row>
    <row r="1932" spans="1:17" x14ac:dyDescent="0.35">
      <c r="A1932" s="90" t="str">
        <f>IF(Receipts!$D1935="","",Receipts!$D1935)</f>
        <v/>
      </c>
      <c r="B1932" s="18" t="str">
        <f>IF(Receipts!$C1935="","",Receipts!$C1935)</f>
        <v/>
      </c>
      <c r="C1932" s="18" t="str">
        <f>IF($A1932="","",IFERROR(INDEX(Items!$B$5:$B$597,MATCH($A1932,Items!$A$5:$A$597,0)),""))</f>
        <v/>
      </c>
      <c r="D1932" s="23" t="str">
        <f>IF($A1932="","",N(Receipts!$G1935))</f>
        <v/>
      </c>
      <c r="E1932" s="20" t="str">
        <f>IF($A1932="","",IFERROR(INDEX(Items!$D$5:$D$597,MATCH($A1932,Items!$A$5:$A$597,0)),0))</f>
        <v/>
      </c>
      <c r="F1932" s="21" t="str">
        <f t="shared" si="150"/>
        <v/>
      </c>
      <c r="G1932" s="25" t="str">
        <f>IF(Receipts!$I1935="","",Receipts!$I1935)</f>
        <v/>
      </c>
      <c r="H1932" s="25" t="str">
        <f>IF(Receipts!$H1935="","",Receipts!$H1935)</f>
        <v/>
      </c>
      <c r="I1932" s="26" t="str">
        <f t="shared" ca="1" si="151"/>
        <v/>
      </c>
      <c r="J1932" s="26" t="str">
        <f>IF($A1932="","",COUNTIFS(tblReceipts[Item Name],$A1932,tblReceipts[Expiry Date],"&lt;"&amp;$H1932)+COUNTIFS(tblReceipts[Item Name],$A1932,tblReceipts[Expiry Date],$H1932,tblReceipts[Lot Number],"&lt;="&amp;Receipts!$C1935))</f>
        <v/>
      </c>
      <c r="K1932" s="26" t="str">
        <f>IF($A1932="","",SUMIFS(tblReceipts[Qty Received],tblReceipts[Item Name],$A1932,tblReceipts[Expiry Date],"&lt;"&amp;$H1932)+SUMIFS(tblReceipts[Qty Received],tblReceipts[Item Name],$A1932,tblReceipts[Expiry Date],$H1932,tblReceipts[Lot Number],"&lt;"&amp;Receipts!$C1935))</f>
        <v/>
      </c>
      <c r="L1932" s="26" t="str">
        <f>IF($A1932="","",MIN($D1932,MAX(0,SUMIFS(tblIssues[Qty Issued],tblIssues[Item Name],$A1932)-$K1932)))</f>
        <v/>
      </c>
      <c r="M1932" s="26" t="str">
        <f>IF($A1932="","",SUMIFS(tblIssues[Qty Issued],tblIssues[Lot Number],$B1932))</f>
        <v/>
      </c>
      <c r="N1932" s="26" t="str">
        <f t="shared" si="152"/>
        <v/>
      </c>
      <c r="O1932" s="26" t="str">
        <f t="shared" si="153"/>
        <v/>
      </c>
      <c r="P1932" s="21" t="str">
        <f t="shared" si="154"/>
        <v/>
      </c>
      <c r="Q1932" s="52" t="str">
        <f>IF($A1932="","",IF($O1932&lt;=0,"Depleted",IF($I1932&lt;0,"EXPIRED",IF($I1932&lt;=Settings!$C$6,"CRITICAL",IF($I1932&lt;=Settings!$C$5,"Expiring","In date")))))</f>
        <v/>
      </c>
    </row>
    <row r="1933" spans="1:17" x14ac:dyDescent="0.35">
      <c r="A1933" s="90" t="str">
        <f>IF(Receipts!$D1936="","",Receipts!$D1936)</f>
        <v/>
      </c>
      <c r="B1933" s="18" t="str">
        <f>IF(Receipts!$C1936="","",Receipts!$C1936)</f>
        <v/>
      </c>
      <c r="C1933" s="18" t="str">
        <f>IF($A1933="","",IFERROR(INDEX(Items!$B$5:$B$597,MATCH($A1933,Items!$A$5:$A$597,0)),""))</f>
        <v/>
      </c>
      <c r="D1933" s="23" t="str">
        <f>IF($A1933="","",N(Receipts!$G1936))</f>
        <v/>
      </c>
      <c r="E1933" s="20" t="str">
        <f>IF($A1933="","",IFERROR(INDEX(Items!$D$5:$D$597,MATCH($A1933,Items!$A$5:$A$597,0)),0))</f>
        <v/>
      </c>
      <c r="F1933" s="21" t="str">
        <f t="shared" si="150"/>
        <v/>
      </c>
      <c r="G1933" s="25" t="str">
        <f>IF(Receipts!$I1936="","",Receipts!$I1936)</f>
        <v/>
      </c>
      <c r="H1933" s="25" t="str">
        <f>IF(Receipts!$H1936="","",Receipts!$H1936)</f>
        <v/>
      </c>
      <c r="I1933" s="26" t="str">
        <f t="shared" ca="1" si="151"/>
        <v/>
      </c>
      <c r="J1933" s="26" t="str">
        <f>IF($A1933="","",COUNTIFS(tblReceipts[Item Name],$A1933,tblReceipts[Expiry Date],"&lt;"&amp;$H1933)+COUNTIFS(tblReceipts[Item Name],$A1933,tblReceipts[Expiry Date],$H1933,tblReceipts[Lot Number],"&lt;="&amp;Receipts!$C1936))</f>
        <v/>
      </c>
      <c r="K1933" s="26" t="str">
        <f>IF($A1933="","",SUMIFS(tblReceipts[Qty Received],tblReceipts[Item Name],$A1933,tblReceipts[Expiry Date],"&lt;"&amp;$H1933)+SUMIFS(tblReceipts[Qty Received],tblReceipts[Item Name],$A1933,tblReceipts[Expiry Date],$H1933,tblReceipts[Lot Number],"&lt;"&amp;Receipts!$C1936))</f>
        <v/>
      </c>
      <c r="L1933" s="26" t="str">
        <f>IF($A1933="","",MIN($D1933,MAX(0,SUMIFS(tblIssues[Qty Issued],tblIssues[Item Name],$A1933)-$K1933)))</f>
        <v/>
      </c>
      <c r="M1933" s="26" t="str">
        <f>IF($A1933="","",SUMIFS(tblIssues[Qty Issued],tblIssues[Lot Number],$B1933))</f>
        <v/>
      </c>
      <c r="N1933" s="26" t="str">
        <f t="shared" si="152"/>
        <v/>
      </c>
      <c r="O1933" s="26" t="str">
        <f t="shared" si="153"/>
        <v/>
      </c>
      <c r="P1933" s="21" t="str">
        <f t="shared" si="154"/>
        <v/>
      </c>
      <c r="Q1933" s="52" t="str">
        <f>IF($A1933="","",IF($O1933&lt;=0,"Depleted",IF($I1933&lt;0,"EXPIRED",IF($I1933&lt;=Settings!$C$6,"CRITICAL",IF($I1933&lt;=Settings!$C$5,"Expiring","In date")))))</f>
        <v/>
      </c>
    </row>
    <row r="1934" spans="1:17" x14ac:dyDescent="0.35">
      <c r="A1934" s="90" t="str">
        <f>IF(Receipts!$D1937="","",Receipts!$D1937)</f>
        <v/>
      </c>
      <c r="B1934" s="18" t="str">
        <f>IF(Receipts!$C1937="","",Receipts!$C1937)</f>
        <v/>
      </c>
      <c r="C1934" s="18" t="str">
        <f>IF($A1934="","",IFERROR(INDEX(Items!$B$5:$B$597,MATCH($A1934,Items!$A$5:$A$597,0)),""))</f>
        <v/>
      </c>
      <c r="D1934" s="23" t="str">
        <f>IF($A1934="","",N(Receipts!$G1937))</f>
        <v/>
      </c>
      <c r="E1934" s="20" t="str">
        <f>IF($A1934="","",IFERROR(INDEX(Items!$D$5:$D$597,MATCH($A1934,Items!$A$5:$A$597,0)),0))</f>
        <v/>
      </c>
      <c r="F1934" s="21" t="str">
        <f t="shared" si="150"/>
        <v/>
      </c>
      <c r="G1934" s="25" t="str">
        <f>IF(Receipts!$I1937="","",Receipts!$I1937)</f>
        <v/>
      </c>
      <c r="H1934" s="25" t="str">
        <f>IF(Receipts!$H1937="","",Receipts!$H1937)</f>
        <v/>
      </c>
      <c r="I1934" s="26" t="str">
        <f t="shared" ca="1" si="151"/>
        <v/>
      </c>
      <c r="J1934" s="26" t="str">
        <f>IF($A1934="","",COUNTIFS(tblReceipts[Item Name],$A1934,tblReceipts[Expiry Date],"&lt;"&amp;$H1934)+COUNTIFS(tblReceipts[Item Name],$A1934,tblReceipts[Expiry Date],$H1934,tblReceipts[Lot Number],"&lt;="&amp;Receipts!$C1937))</f>
        <v/>
      </c>
      <c r="K1934" s="26" t="str">
        <f>IF($A1934="","",SUMIFS(tblReceipts[Qty Received],tblReceipts[Item Name],$A1934,tblReceipts[Expiry Date],"&lt;"&amp;$H1934)+SUMIFS(tblReceipts[Qty Received],tblReceipts[Item Name],$A1934,tblReceipts[Expiry Date],$H1934,tblReceipts[Lot Number],"&lt;"&amp;Receipts!$C1937))</f>
        <v/>
      </c>
      <c r="L1934" s="26" t="str">
        <f>IF($A1934="","",MIN($D1934,MAX(0,SUMIFS(tblIssues[Qty Issued],tblIssues[Item Name],$A1934)-$K1934)))</f>
        <v/>
      </c>
      <c r="M1934" s="26" t="str">
        <f>IF($A1934="","",SUMIFS(tblIssues[Qty Issued],tblIssues[Lot Number],$B1934))</f>
        <v/>
      </c>
      <c r="N1934" s="26" t="str">
        <f t="shared" si="152"/>
        <v/>
      </c>
      <c r="O1934" s="26" t="str">
        <f t="shared" si="153"/>
        <v/>
      </c>
      <c r="P1934" s="21" t="str">
        <f t="shared" si="154"/>
        <v/>
      </c>
      <c r="Q1934" s="52" t="str">
        <f>IF($A1934="","",IF($O1934&lt;=0,"Depleted",IF($I1934&lt;0,"EXPIRED",IF($I1934&lt;=Settings!$C$6,"CRITICAL",IF($I1934&lt;=Settings!$C$5,"Expiring","In date")))))</f>
        <v/>
      </c>
    </row>
    <row r="1935" spans="1:17" x14ac:dyDescent="0.35">
      <c r="A1935" s="90" t="str">
        <f>IF(Receipts!$D1938="","",Receipts!$D1938)</f>
        <v/>
      </c>
      <c r="B1935" s="18" t="str">
        <f>IF(Receipts!$C1938="","",Receipts!$C1938)</f>
        <v/>
      </c>
      <c r="C1935" s="18" t="str">
        <f>IF($A1935="","",IFERROR(INDEX(Items!$B$5:$B$597,MATCH($A1935,Items!$A$5:$A$597,0)),""))</f>
        <v/>
      </c>
      <c r="D1935" s="23" t="str">
        <f>IF($A1935="","",N(Receipts!$G1938))</f>
        <v/>
      </c>
      <c r="E1935" s="20" t="str">
        <f>IF($A1935="","",IFERROR(INDEX(Items!$D$5:$D$597,MATCH($A1935,Items!$A$5:$A$597,0)),0))</f>
        <v/>
      </c>
      <c r="F1935" s="21" t="str">
        <f t="shared" si="150"/>
        <v/>
      </c>
      <c r="G1935" s="25" t="str">
        <f>IF(Receipts!$I1938="","",Receipts!$I1938)</f>
        <v/>
      </c>
      <c r="H1935" s="25" t="str">
        <f>IF(Receipts!$H1938="","",Receipts!$H1938)</f>
        <v/>
      </c>
      <c r="I1935" s="26" t="str">
        <f t="shared" ca="1" si="151"/>
        <v/>
      </c>
      <c r="J1935" s="26" t="str">
        <f>IF($A1935="","",COUNTIFS(tblReceipts[Item Name],$A1935,tblReceipts[Expiry Date],"&lt;"&amp;$H1935)+COUNTIFS(tblReceipts[Item Name],$A1935,tblReceipts[Expiry Date],$H1935,tblReceipts[Lot Number],"&lt;="&amp;Receipts!$C1938))</f>
        <v/>
      </c>
      <c r="K1935" s="26" t="str">
        <f>IF($A1935="","",SUMIFS(tblReceipts[Qty Received],tblReceipts[Item Name],$A1935,tblReceipts[Expiry Date],"&lt;"&amp;$H1935)+SUMIFS(tblReceipts[Qty Received],tblReceipts[Item Name],$A1935,tblReceipts[Expiry Date],$H1935,tblReceipts[Lot Number],"&lt;"&amp;Receipts!$C1938))</f>
        <v/>
      </c>
      <c r="L1935" s="26" t="str">
        <f>IF($A1935="","",MIN($D1935,MAX(0,SUMIFS(tblIssues[Qty Issued],tblIssues[Item Name],$A1935)-$K1935)))</f>
        <v/>
      </c>
      <c r="M1935" s="26" t="str">
        <f>IF($A1935="","",SUMIFS(tblIssues[Qty Issued],tblIssues[Lot Number],$B1935))</f>
        <v/>
      </c>
      <c r="N1935" s="26" t="str">
        <f t="shared" si="152"/>
        <v/>
      </c>
      <c r="O1935" s="26" t="str">
        <f t="shared" si="153"/>
        <v/>
      </c>
      <c r="P1935" s="21" t="str">
        <f t="shared" si="154"/>
        <v/>
      </c>
      <c r="Q1935" s="52" t="str">
        <f>IF($A1935="","",IF($O1935&lt;=0,"Depleted",IF($I1935&lt;0,"EXPIRED",IF($I1935&lt;=Settings!$C$6,"CRITICAL",IF($I1935&lt;=Settings!$C$5,"Expiring","In date")))))</f>
        <v/>
      </c>
    </row>
    <row r="1936" spans="1:17" x14ac:dyDescent="0.35">
      <c r="A1936" s="90" t="str">
        <f>IF(Receipts!$D1939="","",Receipts!$D1939)</f>
        <v/>
      </c>
      <c r="B1936" s="18" t="str">
        <f>IF(Receipts!$C1939="","",Receipts!$C1939)</f>
        <v/>
      </c>
      <c r="C1936" s="18" t="str">
        <f>IF($A1936="","",IFERROR(INDEX(Items!$B$5:$B$597,MATCH($A1936,Items!$A$5:$A$597,0)),""))</f>
        <v/>
      </c>
      <c r="D1936" s="23" t="str">
        <f>IF($A1936="","",N(Receipts!$G1939))</f>
        <v/>
      </c>
      <c r="E1936" s="20" t="str">
        <f>IF($A1936="","",IFERROR(INDEX(Items!$D$5:$D$597,MATCH($A1936,Items!$A$5:$A$597,0)),0))</f>
        <v/>
      </c>
      <c r="F1936" s="21" t="str">
        <f t="shared" si="150"/>
        <v/>
      </c>
      <c r="G1936" s="25" t="str">
        <f>IF(Receipts!$I1939="","",Receipts!$I1939)</f>
        <v/>
      </c>
      <c r="H1936" s="25" t="str">
        <f>IF(Receipts!$H1939="","",Receipts!$H1939)</f>
        <v/>
      </c>
      <c r="I1936" s="26" t="str">
        <f t="shared" ca="1" si="151"/>
        <v/>
      </c>
      <c r="J1936" s="26" t="str">
        <f>IF($A1936="","",COUNTIFS(tblReceipts[Item Name],$A1936,tblReceipts[Expiry Date],"&lt;"&amp;$H1936)+COUNTIFS(tblReceipts[Item Name],$A1936,tblReceipts[Expiry Date],$H1936,tblReceipts[Lot Number],"&lt;="&amp;Receipts!$C1939))</f>
        <v/>
      </c>
      <c r="K1936" s="26" t="str">
        <f>IF($A1936="","",SUMIFS(tblReceipts[Qty Received],tblReceipts[Item Name],$A1936,tblReceipts[Expiry Date],"&lt;"&amp;$H1936)+SUMIFS(tblReceipts[Qty Received],tblReceipts[Item Name],$A1936,tblReceipts[Expiry Date],$H1936,tblReceipts[Lot Number],"&lt;"&amp;Receipts!$C1939))</f>
        <v/>
      </c>
      <c r="L1936" s="26" t="str">
        <f>IF($A1936="","",MIN($D1936,MAX(0,SUMIFS(tblIssues[Qty Issued],tblIssues[Item Name],$A1936)-$K1936)))</f>
        <v/>
      </c>
      <c r="M1936" s="26" t="str">
        <f>IF($A1936="","",SUMIFS(tblIssues[Qty Issued],tblIssues[Lot Number],$B1936))</f>
        <v/>
      </c>
      <c r="N1936" s="26" t="str">
        <f t="shared" si="152"/>
        <v/>
      </c>
      <c r="O1936" s="26" t="str">
        <f t="shared" si="153"/>
        <v/>
      </c>
      <c r="P1936" s="21" t="str">
        <f t="shared" si="154"/>
        <v/>
      </c>
      <c r="Q1936" s="52" t="str">
        <f>IF($A1936="","",IF($O1936&lt;=0,"Depleted",IF($I1936&lt;0,"EXPIRED",IF($I1936&lt;=Settings!$C$6,"CRITICAL",IF($I1936&lt;=Settings!$C$5,"Expiring","In date")))))</f>
        <v/>
      </c>
    </row>
    <row r="1937" spans="1:17" x14ac:dyDescent="0.35">
      <c r="A1937" s="90" t="str">
        <f>IF(Receipts!$D1940="","",Receipts!$D1940)</f>
        <v/>
      </c>
      <c r="B1937" s="18" t="str">
        <f>IF(Receipts!$C1940="","",Receipts!$C1940)</f>
        <v/>
      </c>
      <c r="C1937" s="18" t="str">
        <f>IF($A1937="","",IFERROR(INDEX(Items!$B$5:$B$597,MATCH($A1937,Items!$A$5:$A$597,0)),""))</f>
        <v/>
      </c>
      <c r="D1937" s="23" t="str">
        <f>IF($A1937="","",N(Receipts!$G1940))</f>
        <v/>
      </c>
      <c r="E1937" s="20" t="str">
        <f>IF($A1937="","",IFERROR(INDEX(Items!$D$5:$D$597,MATCH($A1937,Items!$A$5:$A$597,0)),0))</f>
        <v/>
      </c>
      <c r="F1937" s="21" t="str">
        <f t="shared" si="150"/>
        <v/>
      </c>
      <c r="G1937" s="25" t="str">
        <f>IF(Receipts!$I1940="","",Receipts!$I1940)</f>
        <v/>
      </c>
      <c r="H1937" s="25" t="str">
        <f>IF(Receipts!$H1940="","",Receipts!$H1940)</f>
        <v/>
      </c>
      <c r="I1937" s="26" t="str">
        <f t="shared" ca="1" si="151"/>
        <v/>
      </c>
      <c r="J1937" s="26" t="str">
        <f>IF($A1937="","",COUNTIFS(tblReceipts[Item Name],$A1937,tblReceipts[Expiry Date],"&lt;"&amp;$H1937)+COUNTIFS(tblReceipts[Item Name],$A1937,tblReceipts[Expiry Date],$H1937,tblReceipts[Lot Number],"&lt;="&amp;Receipts!$C1940))</f>
        <v/>
      </c>
      <c r="K1937" s="26" t="str">
        <f>IF($A1937="","",SUMIFS(tblReceipts[Qty Received],tblReceipts[Item Name],$A1937,tblReceipts[Expiry Date],"&lt;"&amp;$H1937)+SUMIFS(tblReceipts[Qty Received],tblReceipts[Item Name],$A1937,tblReceipts[Expiry Date],$H1937,tblReceipts[Lot Number],"&lt;"&amp;Receipts!$C1940))</f>
        <v/>
      </c>
      <c r="L1937" s="26" t="str">
        <f>IF($A1937="","",MIN($D1937,MAX(0,SUMIFS(tblIssues[Qty Issued],tblIssues[Item Name],$A1937)-$K1937)))</f>
        <v/>
      </c>
      <c r="M1937" s="26" t="str">
        <f>IF($A1937="","",SUMIFS(tblIssues[Qty Issued],tblIssues[Lot Number],$B1937))</f>
        <v/>
      </c>
      <c r="N1937" s="26" t="str">
        <f t="shared" si="152"/>
        <v/>
      </c>
      <c r="O1937" s="26" t="str">
        <f t="shared" si="153"/>
        <v/>
      </c>
      <c r="P1937" s="21" t="str">
        <f t="shared" si="154"/>
        <v/>
      </c>
      <c r="Q1937" s="52" t="str">
        <f>IF($A1937="","",IF($O1937&lt;=0,"Depleted",IF($I1937&lt;0,"EXPIRED",IF($I1937&lt;=Settings!$C$6,"CRITICAL",IF($I1937&lt;=Settings!$C$5,"Expiring","In date")))))</f>
        <v/>
      </c>
    </row>
    <row r="1938" spans="1:17" x14ac:dyDescent="0.35">
      <c r="A1938" s="90" t="str">
        <f>IF(Receipts!$D1941="","",Receipts!$D1941)</f>
        <v/>
      </c>
      <c r="B1938" s="18" t="str">
        <f>IF(Receipts!$C1941="","",Receipts!$C1941)</f>
        <v/>
      </c>
      <c r="C1938" s="18" t="str">
        <f>IF($A1938="","",IFERROR(INDEX(Items!$B$5:$B$597,MATCH($A1938,Items!$A$5:$A$597,0)),""))</f>
        <v/>
      </c>
      <c r="D1938" s="23" t="str">
        <f>IF($A1938="","",N(Receipts!$G1941))</f>
        <v/>
      </c>
      <c r="E1938" s="20" t="str">
        <f>IF($A1938="","",IFERROR(INDEX(Items!$D$5:$D$597,MATCH($A1938,Items!$A$5:$A$597,0)),0))</f>
        <v/>
      </c>
      <c r="F1938" s="21" t="str">
        <f t="shared" si="150"/>
        <v/>
      </c>
      <c r="G1938" s="25" t="str">
        <f>IF(Receipts!$I1941="","",Receipts!$I1941)</f>
        <v/>
      </c>
      <c r="H1938" s="25" t="str">
        <f>IF(Receipts!$H1941="","",Receipts!$H1941)</f>
        <v/>
      </c>
      <c r="I1938" s="26" t="str">
        <f t="shared" ca="1" si="151"/>
        <v/>
      </c>
      <c r="J1938" s="26" t="str">
        <f>IF($A1938="","",COUNTIFS(tblReceipts[Item Name],$A1938,tblReceipts[Expiry Date],"&lt;"&amp;$H1938)+COUNTIFS(tblReceipts[Item Name],$A1938,tblReceipts[Expiry Date],$H1938,tblReceipts[Lot Number],"&lt;="&amp;Receipts!$C1941))</f>
        <v/>
      </c>
      <c r="K1938" s="26" t="str">
        <f>IF($A1938="","",SUMIFS(tblReceipts[Qty Received],tblReceipts[Item Name],$A1938,tblReceipts[Expiry Date],"&lt;"&amp;$H1938)+SUMIFS(tblReceipts[Qty Received],tblReceipts[Item Name],$A1938,tblReceipts[Expiry Date],$H1938,tblReceipts[Lot Number],"&lt;"&amp;Receipts!$C1941))</f>
        <v/>
      </c>
      <c r="L1938" s="26" t="str">
        <f>IF($A1938="","",MIN($D1938,MAX(0,SUMIFS(tblIssues[Qty Issued],tblIssues[Item Name],$A1938)-$K1938)))</f>
        <v/>
      </c>
      <c r="M1938" s="26" t="str">
        <f>IF($A1938="","",SUMIFS(tblIssues[Qty Issued],tblIssues[Lot Number],$B1938))</f>
        <v/>
      </c>
      <c r="N1938" s="26" t="str">
        <f t="shared" si="152"/>
        <v/>
      </c>
      <c r="O1938" s="26" t="str">
        <f t="shared" si="153"/>
        <v/>
      </c>
      <c r="P1938" s="21" t="str">
        <f t="shared" si="154"/>
        <v/>
      </c>
      <c r="Q1938" s="52" t="str">
        <f>IF($A1938="","",IF($O1938&lt;=0,"Depleted",IF($I1938&lt;0,"EXPIRED",IF($I1938&lt;=Settings!$C$6,"CRITICAL",IF($I1938&lt;=Settings!$C$5,"Expiring","In date")))))</f>
        <v/>
      </c>
    </row>
    <row r="1939" spans="1:17" x14ac:dyDescent="0.35">
      <c r="A1939" s="90" t="str">
        <f>IF(Receipts!$D1942="","",Receipts!$D1942)</f>
        <v/>
      </c>
      <c r="B1939" s="18" t="str">
        <f>IF(Receipts!$C1942="","",Receipts!$C1942)</f>
        <v/>
      </c>
      <c r="C1939" s="18" t="str">
        <f>IF($A1939="","",IFERROR(INDEX(Items!$B$5:$B$597,MATCH($A1939,Items!$A$5:$A$597,0)),""))</f>
        <v/>
      </c>
      <c r="D1939" s="23" t="str">
        <f>IF($A1939="","",N(Receipts!$G1942))</f>
        <v/>
      </c>
      <c r="E1939" s="20" t="str">
        <f>IF($A1939="","",IFERROR(INDEX(Items!$D$5:$D$597,MATCH($A1939,Items!$A$5:$A$597,0)),0))</f>
        <v/>
      </c>
      <c r="F1939" s="21" t="str">
        <f t="shared" si="150"/>
        <v/>
      </c>
      <c r="G1939" s="25" t="str">
        <f>IF(Receipts!$I1942="","",Receipts!$I1942)</f>
        <v/>
      </c>
      <c r="H1939" s="25" t="str">
        <f>IF(Receipts!$H1942="","",Receipts!$H1942)</f>
        <v/>
      </c>
      <c r="I1939" s="26" t="str">
        <f t="shared" ca="1" si="151"/>
        <v/>
      </c>
      <c r="J1939" s="26" t="str">
        <f>IF($A1939="","",COUNTIFS(tblReceipts[Item Name],$A1939,tblReceipts[Expiry Date],"&lt;"&amp;$H1939)+COUNTIFS(tblReceipts[Item Name],$A1939,tblReceipts[Expiry Date],$H1939,tblReceipts[Lot Number],"&lt;="&amp;Receipts!$C1942))</f>
        <v/>
      </c>
      <c r="K1939" s="26" t="str">
        <f>IF($A1939="","",SUMIFS(tblReceipts[Qty Received],tblReceipts[Item Name],$A1939,tblReceipts[Expiry Date],"&lt;"&amp;$H1939)+SUMIFS(tblReceipts[Qty Received],tblReceipts[Item Name],$A1939,tblReceipts[Expiry Date],$H1939,tblReceipts[Lot Number],"&lt;"&amp;Receipts!$C1942))</f>
        <v/>
      </c>
      <c r="L1939" s="26" t="str">
        <f>IF($A1939="","",MIN($D1939,MAX(0,SUMIFS(tblIssues[Qty Issued],tblIssues[Item Name],$A1939)-$K1939)))</f>
        <v/>
      </c>
      <c r="M1939" s="26" t="str">
        <f>IF($A1939="","",SUMIFS(tblIssues[Qty Issued],tblIssues[Lot Number],$B1939))</f>
        <v/>
      </c>
      <c r="N1939" s="26" t="str">
        <f t="shared" si="152"/>
        <v/>
      </c>
      <c r="O1939" s="26" t="str">
        <f t="shared" si="153"/>
        <v/>
      </c>
      <c r="P1939" s="21" t="str">
        <f t="shared" si="154"/>
        <v/>
      </c>
      <c r="Q1939" s="52" t="str">
        <f>IF($A1939="","",IF($O1939&lt;=0,"Depleted",IF($I1939&lt;0,"EXPIRED",IF($I1939&lt;=Settings!$C$6,"CRITICAL",IF($I1939&lt;=Settings!$C$5,"Expiring","In date")))))</f>
        <v/>
      </c>
    </row>
    <row r="1940" spans="1:17" x14ac:dyDescent="0.35">
      <c r="A1940" s="90" t="str">
        <f>IF(Receipts!$D1943="","",Receipts!$D1943)</f>
        <v/>
      </c>
      <c r="B1940" s="18" t="str">
        <f>IF(Receipts!$C1943="","",Receipts!$C1943)</f>
        <v/>
      </c>
      <c r="C1940" s="18" t="str">
        <f>IF($A1940="","",IFERROR(INDEX(Items!$B$5:$B$597,MATCH($A1940,Items!$A$5:$A$597,0)),""))</f>
        <v/>
      </c>
      <c r="D1940" s="23" t="str">
        <f>IF($A1940="","",N(Receipts!$G1943))</f>
        <v/>
      </c>
      <c r="E1940" s="20" t="str">
        <f>IF($A1940="","",IFERROR(INDEX(Items!$D$5:$D$597,MATCH($A1940,Items!$A$5:$A$597,0)),0))</f>
        <v/>
      </c>
      <c r="F1940" s="21" t="str">
        <f t="shared" si="150"/>
        <v/>
      </c>
      <c r="G1940" s="25" t="str">
        <f>IF(Receipts!$I1943="","",Receipts!$I1943)</f>
        <v/>
      </c>
      <c r="H1940" s="25" t="str">
        <f>IF(Receipts!$H1943="","",Receipts!$H1943)</f>
        <v/>
      </c>
      <c r="I1940" s="26" t="str">
        <f t="shared" ca="1" si="151"/>
        <v/>
      </c>
      <c r="J1940" s="26" t="str">
        <f>IF($A1940="","",COUNTIFS(tblReceipts[Item Name],$A1940,tblReceipts[Expiry Date],"&lt;"&amp;$H1940)+COUNTIFS(tblReceipts[Item Name],$A1940,tblReceipts[Expiry Date],$H1940,tblReceipts[Lot Number],"&lt;="&amp;Receipts!$C1943))</f>
        <v/>
      </c>
      <c r="K1940" s="26" t="str">
        <f>IF($A1940="","",SUMIFS(tblReceipts[Qty Received],tblReceipts[Item Name],$A1940,tblReceipts[Expiry Date],"&lt;"&amp;$H1940)+SUMIFS(tblReceipts[Qty Received],tblReceipts[Item Name],$A1940,tblReceipts[Expiry Date],$H1940,tblReceipts[Lot Number],"&lt;"&amp;Receipts!$C1943))</f>
        <v/>
      </c>
      <c r="L1940" s="26" t="str">
        <f>IF($A1940="","",MIN($D1940,MAX(0,SUMIFS(tblIssues[Qty Issued],tblIssues[Item Name],$A1940)-$K1940)))</f>
        <v/>
      </c>
      <c r="M1940" s="26" t="str">
        <f>IF($A1940="","",SUMIFS(tblIssues[Qty Issued],tblIssues[Lot Number],$B1940))</f>
        <v/>
      </c>
      <c r="N1940" s="26" t="str">
        <f t="shared" si="152"/>
        <v/>
      </c>
      <c r="O1940" s="26" t="str">
        <f t="shared" si="153"/>
        <v/>
      </c>
      <c r="P1940" s="21" t="str">
        <f t="shared" si="154"/>
        <v/>
      </c>
      <c r="Q1940" s="52" t="str">
        <f>IF($A1940="","",IF($O1940&lt;=0,"Depleted",IF($I1940&lt;0,"EXPIRED",IF($I1940&lt;=Settings!$C$6,"CRITICAL",IF($I1940&lt;=Settings!$C$5,"Expiring","In date")))))</f>
        <v/>
      </c>
    </row>
    <row r="1941" spans="1:17" x14ac:dyDescent="0.35">
      <c r="A1941" s="90" t="str">
        <f>IF(Receipts!$D1944="","",Receipts!$D1944)</f>
        <v/>
      </c>
      <c r="B1941" s="18" t="str">
        <f>IF(Receipts!$C1944="","",Receipts!$C1944)</f>
        <v/>
      </c>
      <c r="C1941" s="18" t="str">
        <f>IF($A1941="","",IFERROR(INDEX(Items!$B$5:$B$597,MATCH($A1941,Items!$A$5:$A$597,0)),""))</f>
        <v/>
      </c>
      <c r="D1941" s="23" t="str">
        <f>IF($A1941="","",N(Receipts!$G1944))</f>
        <v/>
      </c>
      <c r="E1941" s="20" t="str">
        <f>IF($A1941="","",IFERROR(INDEX(Items!$D$5:$D$597,MATCH($A1941,Items!$A$5:$A$597,0)),0))</f>
        <v/>
      </c>
      <c r="F1941" s="21" t="str">
        <f t="shared" si="150"/>
        <v/>
      </c>
      <c r="G1941" s="25" t="str">
        <f>IF(Receipts!$I1944="","",Receipts!$I1944)</f>
        <v/>
      </c>
      <c r="H1941" s="25" t="str">
        <f>IF(Receipts!$H1944="","",Receipts!$H1944)</f>
        <v/>
      </c>
      <c r="I1941" s="26" t="str">
        <f t="shared" ca="1" si="151"/>
        <v/>
      </c>
      <c r="J1941" s="26" t="str">
        <f>IF($A1941="","",COUNTIFS(tblReceipts[Item Name],$A1941,tblReceipts[Expiry Date],"&lt;"&amp;$H1941)+COUNTIFS(tblReceipts[Item Name],$A1941,tblReceipts[Expiry Date],$H1941,tblReceipts[Lot Number],"&lt;="&amp;Receipts!$C1944))</f>
        <v/>
      </c>
      <c r="K1941" s="26" t="str">
        <f>IF($A1941="","",SUMIFS(tblReceipts[Qty Received],tblReceipts[Item Name],$A1941,tblReceipts[Expiry Date],"&lt;"&amp;$H1941)+SUMIFS(tblReceipts[Qty Received],tblReceipts[Item Name],$A1941,tblReceipts[Expiry Date],$H1941,tblReceipts[Lot Number],"&lt;"&amp;Receipts!$C1944))</f>
        <v/>
      </c>
      <c r="L1941" s="26" t="str">
        <f>IF($A1941="","",MIN($D1941,MAX(0,SUMIFS(tblIssues[Qty Issued],tblIssues[Item Name],$A1941)-$K1941)))</f>
        <v/>
      </c>
      <c r="M1941" s="26" t="str">
        <f>IF($A1941="","",SUMIFS(tblIssues[Qty Issued],tblIssues[Lot Number],$B1941))</f>
        <v/>
      </c>
      <c r="N1941" s="26" t="str">
        <f t="shared" si="152"/>
        <v/>
      </c>
      <c r="O1941" s="26" t="str">
        <f t="shared" si="153"/>
        <v/>
      </c>
      <c r="P1941" s="21" t="str">
        <f t="shared" si="154"/>
        <v/>
      </c>
      <c r="Q1941" s="52" t="str">
        <f>IF($A1941="","",IF($O1941&lt;=0,"Depleted",IF($I1941&lt;0,"EXPIRED",IF($I1941&lt;=Settings!$C$6,"CRITICAL",IF($I1941&lt;=Settings!$C$5,"Expiring","In date")))))</f>
        <v/>
      </c>
    </row>
    <row r="1942" spans="1:17" x14ac:dyDescent="0.35">
      <c r="A1942" s="90" t="str">
        <f>IF(Receipts!$D1945="","",Receipts!$D1945)</f>
        <v/>
      </c>
      <c r="B1942" s="18" t="str">
        <f>IF(Receipts!$C1945="","",Receipts!$C1945)</f>
        <v/>
      </c>
      <c r="C1942" s="18" t="str">
        <f>IF($A1942="","",IFERROR(INDEX(Items!$B$5:$B$597,MATCH($A1942,Items!$A$5:$A$597,0)),""))</f>
        <v/>
      </c>
      <c r="D1942" s="23" t="str">
        <f>IF($A1942="","",N(Receipts!$G1945))</f>
        <v/>
      </c>
      <c r="E1942" s="20" t="str">
        <f>IF($A1942="","",IFERROR(INDEX(Items!$D$5:$D$597,MATCH($A1942,Items!$A$5:$A$597,0)),0))</f>
        <v/>
      </c>
      <c r="F1942" s="21" t="str">
        <f t="shared" si="150"/>
        <v/>
      </c>
      <c r="G1942" s="25" t="str">
        <f>IF(Receipts!$I1945="","",Receipts!$I1945)</f>
        <v/>
      </c>
      <c r="H1942" s="25" t="str">
        <f>IF(Receipts!$H1945="","",Receipts!$H1945)</f>
        <v/>
      </c>
      <c r="I1942" s="26" t="str">
        <f t="shared" ca="1" si="151"/>
        <v/>
      </c>
      <c r="J1942" s="26" t="str">
        <f>IF($A1942="","",COUNTIFS(tblReceipts[Item Name],$A1942,tblReceipts[Expiry Date],"&lt;"&amp;$H1942)+COUNTIFS(tblReceipts[Item Name],$A1942,tblReceipts[Expiry Date],$H1942,tblReceipts[Lot Number],"&lt;="&amp;Receipts!$C1945))</f>
        <v/>
      </c>
      <c r="K1942" s="26" t="str">
        <f>IF($A1942="","",SUMIFS(tblReceipts[Qty Received],tblReceipts[Item Name],$A1942,tblReceipts[Expiry Date],"&lt;"&amp;$H1942)+SUMIFS(tblReceipts[Qty Received],tblReceipts[Item Name],$A1942,tblReceipts[Expiry Date],$H1942,tblReceipts[Lot Number],"&lt;"&amp;Receipts!$C1945))</f>
        <v/>
      </c>
      <c r="L1942" s="26" t="str">
        <f>IF($A1942="","",MIN($D1942,MAX(0,SUMIFS(tblIssues[Qty Issued],tblIssues[Item Name],$A1942)-$K1942)))</f>
        <v/>
      </c>
      <c r="M1942" s="26" t="str">
        <f>IF($A1942="","",SUMIFS(tblIssues[Qty Issued],tblIssues[Lot Number],$B1942))</f>
        <v/>
      </c>
      <c r="N1942" s="26" t="str">
        <f t="shared" si="152"/>
        <v/>
      </c>
      <c r="O1942" s="26" t="str">
        <f t="shared" si="153"/>
        <v/>
      </c>
      <c r="P1942" s="21" t="str">
        <f t="shared" si="154"/>
        <v/>
      </c>
      <c r="Q1942" s="52" t="str">
        <f>IF($A1942="","",IF($O1942&lt;=0,"Depleted",IF($I1942&lt;0,"EXPIRED",IF($I1942&lt;=Settings!$C$6,"CRITICAL",IF($I1942&lt;=Settings!$C$5,"Expiring","In date")))))</f>
        <v/>
      </c>
    </row>
    <row r="1943" spans="1:17" x14ac:dyDescent="0.35">
      <c r="A1943" s="90" t="str">
        <f>IF(Receipts!$D1946="","",Receipts!$D1946)</f>
        <v/>
      </c>
      <c r="B1943" s="18" t="str">
        <f>IF(Receipts!$C1946="","",Receipts!$C1946)</f>
        <v/>
      </c>
      <c r="C1943" s="18" t="str">
        <f>IF($A1943="","",IFERROR(INDEX(Items!$B$5:$B$597,MATCH($A1943,Items!$A$5:$A$597,0)),""))</f>
        <v/>
      </c>
      <c r="D1943" s="23" t="str">
        <f>IF($A1943="","",N(Receipts!$G1946))</f>
        <v/>
      </c>
      <c r="E1943" s="20" t="str">
        <f>IF($A1943="","",IFERROR(INDEX(Items!$D$5:$D$597,MATCH($A1943,Items!$A$5:$A$597,0)),0))</f>
        <v/>
      </c>
      <c r="F1943" s="21" t="str">
        <f t="shared" si="150"/>
        <v/>
      </c>
      <c r="G1943" s="25" t="str">
        <f>IF(Receipts!$I1946="","",Receipts!$I1946)</f>
        <v/>
      </c>
      <c r="H1943" s="25" t="str">
        <f>IF(Receipts!$H1946="","",Receipts!$H1946)</f>
        <v/>
      </c>
      <c r="I1943" s="26" t="str">
        <f t="shared" ca="1" si="151"/>
        <v/>
      </c>
      <c r="J1943" s="26" t="str">
        <f>IF($A1943="","",COUNTIFS(tblReceipts[Item Name],$A1943,tblReceipts[Expiry Date],"&lt;"&amp;$H1943)+COUNTIFS(tblReceipts[Item Name],$A1943,tblReceipts[Expiry Date],$H1943,tblReceipts[Lot Number],"&lt;="&amp;Receipts!$C1946))</f>
        <v/>
      </c>
      <c r="K1943" s="26" t="str">
        <f>IF($A1943="","",SUMIFS(tblReceipts[Qty Received],tblReceipts[Item Name],$A1943,tblReceipts[Expiry Date],"&lt;"&amp;$H1943)+SUMIFS(tblReceipts[Qty Received],tblReceipts[Item Name],$A1943,tblReceipts[Expiry Date],$H1943,tblReceipts[Lot Number],"&lt;"&amp;Receipts!$C1946))</f>
        <v/>
      </c>
      <c r="L1943" s="26" t="str">
        <f>IF($A1943="","",MIN($D1943,MAX(0,SUMIFS(tblIssues[Qty Issued],tblIssues[Item Name],$A1943)-$K1943)))</f>
        <v/>
      </c>
      <c r="M1943" s="26" t="str">
        <f>IF($A1943="","",SUMIFS(tblIssues[Qty Issued],tblIssues[Lot Number],$B1943))</f>
        <v/>
      </c>
      <c r="N1943" s="26" t="str">
        <f t="shared" si="152"/>
        <v/>
      </c>
      <c r="O1943" s="26" t="str">
        <f t="shared" si="153"/>
        <v/>
      </c>
      <c r="P1943" s="21" t="str">
        <f t="shared" si="154"/>
        <v/>
      </c>
      <c r="Q1943" s="52" t="str">
        <f>IF($A1943="","",IF($O1943&lt;=0,"Depleted",IF($I1943&lt;0,"EXPIRED",IF($I1943&lt;=Settings!$C$6,"CRITICAL",IF($I1943&lt;=Settings!$C$5,"Expiring","In date")))))</f>
        <v/>
      </c>
    </row>
    <row r="1944" spans="1:17" x14ac:dyDescent="0.35">
      <c r="A1944" s="90" t="str">
        <f>IF(Receipts!$D1947="","",Receipts!$D1947)</f>
        <v/>
      </c>
      <c r="B1944" s="18" t="str">
        <f>IF(Receipts!$C1947="","",Receipts!$C1947)</f>
        <v/>
      </c>
      <c r="C1944" s="18" t="str">
        <f>IF($A1944="","",IFERROR(INDEX(Items!$B$5:$B$597,MATCH($A1944,Items!$A$5:$A$597,0)),""))</f>
        <v/>
      </c>
      <c r="D1944" s="23" t="str">
        <f>IF($A1944="","",N(Receipts!$G1947))</f>
        <v/>
      </c>
      <c r="E1944" s="20" t="str">
        <f>IF($A1944="","",IFERROR(INDEX(Items!$D$5:$D$597,MATCH($A1944,Items!$A$5:$A$597,0)),0))</f>
        <v/>
      </c>
      <c r="F1944" s="21" t="str">
        <f t="shared" si="150"/>
        <v/>
      </c>
      <c r="G1944" s="25" t="str">
        <f>IF(Receipts!$I1947="","",Receipts!$I1947)</f>
        <v/>
      </c>
      <c r="H1944" s="25" t="str">
        <f>IF(Receipts!$H1947="","",Receipts!$H1947)</f>
        <v/>
      </c>
      <c r="I1944" s="26" t="str">
        <f t="shared" ca="1" si="151"/>
        <v/>
      </c>
      <c r="J1944" s="26" t="str">
        <f>IF($A1944="","",COUNTIFS(tblReceipts[Item Name],$A1944,tblReceipts[Expiry Date],"&lt;"&amp;$H1944)+COUNTIFS(tblReceipts[Item Name],$A1944,tblReceipts[Expiry Date],$H1944,tblReceipts[Lot Number],"&lt;="&amp;Receipts!$C1947))</f>
        <v/>
      </c>
      <c r="K1944" s="26" t="str">
        <f>IF($A1944="","",SUMIFS(tblReceipts[Qty Received],tblReceipts[Item Name],$A1944,tblReceipts[Expiry Date],"&lt;"&amp;$H1944)+SUMIFS(tblReceipts[Qty Received],tblReceipts[Item Name],$A1944,tblReceipts[Expiry Date],$H1944,tblReceipts[Lot Number],"&lt;"&amp;Receipts!$C1947))</f>
        <v/>
      </c>
      <c r="L1944" s="26" t="str">
        <f>IF($A1944="","",MIN($D1944,MAX(0,SUMIFS(tblIssues[Qty Issued],tblIssues[Item Name],$A1944)-$K1944)))</f>
        <v/>
      </c>
      <c r="M1944" s="26" t="str">
        <f>IF($A1944="","",SUMIFS(tblIssues[Qty Issued],tblIssues[Lot Number],$B1944))</f>
        <v/>
      </c>
      <c r="N1944" s="26" t="str">
        <f t="shared" si="152"/>
        <v/>
      </c>
      <c r="O1944" s="26" t="str">
        <f t="shared" si="153"/>
        <v/>
      </c>
      <c r="P1944" s="21" t="str">
        <f t="shared" si="154"/>
        <v/>
      </c>
      <c r="Q1944" s="52" t="str">
        <f>IF($A1944="","",IF($O1944&lt;=0,"Depleted",IF($I1944&lt;0,"EXPIRED",IF($I1944&lt;=Settings!$C$6,"CRITICAL",IF($I1944&lt;=Settings!$C$5,"Expiring","In date")))))</f>
        <v/>
      </c>
    </row>
    <row r="1945" spans="1:17" x14ac:dyDescent="0.35">
      <c r="A1945" s="90" t="str">
        <f>IF(Receipts!$D1948="","",Receipts!$D1948)</f>
        <v/>
      </c>
      <c r="B1945" s="18" t="str">
        <f>IF(Receipts!$C1948="","",Receipts!$C1948)</f>
        <v/>
      </c>
      <c r="C1945" s="18" t="str">
        <f>IF($A1945="","",IFERROR(INDEX(Items!$B$5:$B$597,MATCH($A1945,Items!$A$5:$A$597,0)),""))</f>
        <v/>
      </c>
      <c r="D1945" s="23" t="str">
        <f>IF($A1945="","",N(Receipts!$G1948))</f>
        <v/>
      </c>
      <c r="E1945" s="20" t="str">
        <f>IF($A1945="","",IFERROR(INDEX(Items!$D$5:$D$597,MATCH($A1945,Items!$A$5:$A$597,0)),0))</f>
        <v/>
      </c>
      <c r="F1945" s="21" t="str">
        <f t="shared" si="150"/>
        <v/>
      </c>
      <c r="G1945" s="25" t="str">
        <f>IF(Receipts!$I1948="","",Receipts!$I1948)</f>
        <v/>
      </c>
      <c r="H1945" s="25" t="str">
        <f>IF(Receipts!$H1948="","",Receipts!$H1948)</f>
        <v/>
      </c>
      <c r="I1945" s="26" t="str">
        <f t="shared" ca="1" si="151"/>
        <v/>
      </c>
      <c r="J1945" s="26" t="str">
        <f>IF($A1945="","",COUNTIFS(tblReceipts[Item Name],$A1945,tblReceipts[Expiry Date],"&lt;"&amp;$H1945)+COUNTIFS(tblReceipts[Item Name],$A1945,tblReceipts[Expiry Date],$H1945,tblReceipts[Lot Number],"&lt;="&amp;Receipts!$C1948))</f>
        <v/>
      </c>
      <c r="K1945" s="26" t="str">
        <f>IF($A1945="","",SUMIFS(tblReceipts[Qty Received],tblReceipts[Item Name],$A1945,tblReceipts[Expiry Date],"&lt;"&amp;$H1945)+SUMIFS(tblReceipts[Qty Received],tblReceipts[Item Name],$A1945,tblReceipts[Expiry Date],$H1945,tblReceipts[Lot Number],"&lt;"&amp;Receipts!$C1948))</f>
        <v/>
      </c>
      <c r="L1945" s="26" t="str">
        <f>IF($A1945="","",MIN($D1945,MAX(0,SUMIFS(tblIssues[Qty Issued],tblIssues[Item Name],$A1945)-$K1945)))</f>
        <v/>
      </c>
      <c r="M1945" s="26" t="str">
        <f>IF($A1945="","",SUMIFS(tblIssues[Qty Issued],tblIssues[Lot Number],$B1945))</f>
        <v/>
      </c>
      <c r="N1945" s="26" t="str">
        <f t="shared" si="152"/>
        <v/>
      </c>
      <c r="O1945" s="26" t="str">
        <f t="shared" si="153"/>
        <v/>
      </c>
      <c r="P1945" s="21" t="str">
        <f t="shared" si="154"/>
        <v/>
      </c>
      <c r="Q1945" s="52" t="str">
        <f>IF($A1945="","",IF($O1945&lt;=0,"Depleted",IF($I1945&lt;0,"EXPIRED",IF($I1945&lt;=Settings!$C$6,"CRITICAL",IF($I1945&lt;=Settings!$C$5,"Expiring","In date")))))</f>
        <v/>
      </c>
    </row>
    <row r="1946" spans="1:17" x14ac:dyDescent="0.35">
      <c r="A1946" s="90" t="str">
        <f>IF(Receipts!$D1949="","",Receipts!$D1949)</f>
        <v/>
      </c>
      <c r="B1946" s="18" t="str">
        <f>IF(Receipts!$C1949="","",Receipts!$C1949)</f>
        <v/>
      </c>
      <c r="C1946" s="18" t="str">
        <f>IF($A1946="","",IFERROR(INDEX(Items!$B$5:$B$597,MATCH($A1946,Items!$A$5:$A$597,0)),""))</f>
        <v/>
      </c>
      <c r="D1946" s="23" t="str">
        <f>IF($A1946="","",N(Receipts!$G1949))</f>
        <v/>
      </c>
      <c r="E1946" s="20" t="str">
        <f>IF($A1946="","",IFERROR(INDEX(Items!$D$5:$D$597,MATCH($A1946,Items!$A$5:$A$597,0)),0))</f>
        <v/>
      </c>
      <c r="F1946" s="21" t="str">
        <f t="shared" si="150"/>
        <v/>
      </c>
      <c r="G1946" s="25" t="str">
        <f>IF(Receipts!$I1949="","",Receipts!$I1949)</f>
        <v/>
      </c>
      <c r="H1946" s="25" t="str">
        <f>IF(Receipts!$H1949="","",Receipts!$H1949)</f>
        <v/>
      </c>
      <c r="I1946" s="26" t="str">
        <f t="shared" ca="1" si="151"/>
        <v/>
      </c>
      <c r="J1946" s="26" t="str">
        <f>IF($A1946="","",COUNTIFS(tblReceipts[Item Name],$A1946,tblReceipts[Expiry Date],"&lt;"&amp;$H1946)+COUNTIFS(tblReceipts[Item Name],$A1946,tblReceipts[Expiry Date],$H1946,tblReceipts[Lot Number],"&lt;="&amp;Receipts!$C1949))</f>
        <v/>
      </c>
      <c r="K1946" s="26" t="str">
        <f>IF($A1946="","",SUMIFS(tblReceipts[Qty Received],tblReceipts[Item Name],$A1946,tblReceipts[Expiry Date],"&lt;"&amp;$H1946)+SUMIFS(tblReceipts[Qty Received],tblReceipts[Item Name],$A1946,tblReceipts[Expiry Date],$H1946,tblReceipts[Lot Number],"&lt;"&amp;Receipts!$C1949))</f>
        <v/>
      </c>
      <c r="L1946" s="26" t="str">
        <f>IF($A1946="","",MIN($D1946,MAX(0,SUMIFS(tblIssues[Qty Issued],tblIssues[Item Name],$A1946)-$K1946)))</f>
        <v/>
      </c>
      <c r="M1946" s="26" t="str">
        <f>IF($A1946="","",SUMIFS(tblIssues[Qty Issued],tblIssues[Lot Number],$B1946))</f>
        <v/>
      </c>
      <c r="N1946" s="26" t="str">
        <f t="shared" si="152"/>
        <v/>
      </c>
      <c r="O1946" s="26" t="str">
        <f t="shared" si="153"/>
        <v/>
      </c>
      <c r="P1946" s="21" t="str">
        <f t="shared" si="154"/>
        <v/>
      </c>
      <c r="Q1946" s="52" t="str">
        <f>IF($A1946="","",IF($O1946&lt;=0,"Depleted",IF($I1946&lt;0,"EXPIRED",IF($I1946&lt;=Settings!$C$6,"CRITICAL",IF($I1946&lt;=Settings!$C$5,"Expiring","In date")))))</f>
        <v/>
      </c>
    </row>
    <row r="1947" spans="1:17" x14ac:dyDescent="0.35">
      <c r="A1947" s="90" t="str">
        <f>IF(Receipts!$D1950="","",Receipts!$D1950)</f>
        <v/>
      </c>
      <c r="B1947" s="18" t="str">
        <f>IF(Receipts!$C1950="","",Receipts!$C1950)</f>
        <v/>
      </c>
      <c r="C1947" s="18" t="str">
        <f>IF($A1947="","",IFERROR(INDEX(Items!$B$5:$B$597,MATCH($A1947,Items!$A$5:$A$597,0)),""))</f>
        <v/>
      </c>
      <c r="D1947" s="23" t="str">
        <f>IF($A1947="","",N(Receipts!$G1950))</f>
        <v/>
      </c>
      <c r="E1947" s="20" t="str">
        <f>IF($A1947="","",IFERROR(INDEX(Items!$D$5:$D$597,MATCH($A1947,Items!$A$5:$A$597,0)),0))</f>
        <v/>
      </c>
      <c r="F1947" s="21" t="str">
        <f t="shared" si="150"/>
        <v/>
      </c>
      <c r="G1947" s="25" t="str">
        <f>IF(Receipts!$I1950="","",Receipts!$I1950)</f>
        <v/>
      </c>
      <c r="H1947" s="25" t="str">
        <f>IF(Receipts!$H1950="","",Receipts!$H1950)</f>
        <v/>
      </c>
      <c r="I1947" s="26" t="str">
        <f t="shared" ca="1" si="151"/>
        <v/>
      </c>
      <c r="J1947" s="26" t="str">
        <f>IF($A1947="","",COUNTIFS(tblReceipts[Item Name],$A1947,tblReceipts[Expiry Date],"&lt;"&amp;$H1947)+COUNTIFS(tblReceipts[Item Name],$A1947,tblReceipts[Expiry Date],$H1947,tblReceipts[Lot Number],"&lt;="&amp;Receipts!$C1950))</f>
        <v/>
      </c>
      <c r="K1947" s="26" t="str">
        <f>IF($A1947="","",SUMIFS(tblReceipts[Qty Received],tblReceipts[Item Name],$A1947,tblReceipts[Expiry Date],"&lt;"&amp;$H1947)+SUMIFS(tblReceipts[Qty Received],tblReceipts[Item Name],$A1947,tblReceipts[Expiry Date],$H1947,tblReceipts[Lot Number],"&lt;"&amp;Receipts!$C1950))</f>
        <v/>
      </c>
      <c r="L1947" s="26" t="str">
        <f>IF($A1947="","",MIN($D1947,MAX(0,SUMIFS(tblIssues[Qty Issued],tblIssues[Item Name],$A1947)-$K1947)))</f>
        <v/>
      </c>
      <c r="M1947" s="26" t="str">
        <f>IF($A1947="","",SUMIFS(tblIssues[Qty Issued],tblIssues[Lot Number],$B1947))</f>
        <v/>
      </c>
      <c r="N1947" s="26" t="str">
        <f t="shared" si="152"/>
        <v/>
      </c>
      <c r="O1947" s="26" t="str">
        <f t="shared" si="153"/>
        <v/>
      </c>
      <c r="P1947" s="21" t="str">
        <f t="shared" si="154"/>
        <v/>
      </c>
      <c r="Q1947" s="52" t="str">
        <f>IF($A1947="","",IF($O1947&lt;=0,"Depleted",IF($I1947&lt;0,"EXPIRED",IF($I1947&lt;=Settings!$C$6,"CRITICAL",IF($I1947&lt;=Settings!$C$5,"Expiring","In date")))))</f>
        <v/>
      </c>
    </row>
    <row r="1948" spans="1:17" x14ac:dyDescent="0.35">
      <c r="A1948" s="90" t="str">
        <f>IF(Receipts!$D1951="","",Receipts!$D1951)</f>
        <v/>
      </c>
      <c r="B1948" s="18" t="str">
        <f>IF(Receipts!$C1951="","",Receipts!$C1951)</f>
        <v/>
      </c>
      <c r="C1948" s="18" t="str">
        <f>IF($A1948="","",IFERROR(INDEX(Items!$B$5:$B$597,MATCH($A1948,Items!$A$5:$A$597,0)),""))</f>
        <v/>
      </c>
      <c r="D1948" s="23" t="str">
        <f>IF($A1948="","",N(Receipts!$G1951))</f>
        <v/>
      </c>
      <c r="E1948" s="20" t="str">
        <f>IF($A1948="","",IFERROR(INDEX(Items!$D$5:$D$597,MATCH($A1948,Items!$A$5:$A$597,0)),0))</f>
        <v/>
      </c>
      <c r="F1948" s="21" t="str">
        <f t="shared" si="150"/>
        <v/>
      </c>
      <c r="G1948" s="25" t="str">
        <f>IF(Receipts!$I1951="","",Receipts!$I1951)</f>
        <v/>
      </c>
      <c r="H1948" s="25" t="str">
        <f>IF(Receipts!$H1951="","",Receipts!$H1951)</f>
        <v/>
      </c>
      <c r="I1948" s="26" t="str">
        <f t="shared" ca="1" si="151"/>
        <v/>
      </c>
      <c r="J1948" s="26" t="str">
        <f>IF($A1948="","",COUNTIFS(tblReceipts[Item Name],$A1948,tblReceipts[Expiry Date],"&lt;"&amp;$H1948)+COUNTIFS(tblReceipts[Item Name],$A1948,tblReceipts[Expiry Date],$H1948,tblReceipts[Lot Number],"&lt;="&amp;Receipts!$C1951))</f>
        <v/>
      </c>
      <c r="K1948" s="26" t="str">
        <f>IF($A1948="","",SUMIFS(tblReceipts[Qty Received],tblReceipts[Item Name],$A1948,tblReceipts[Expiry Date],"&lt;"&amp;$H1948)+SUMIFS(tblReceipts[Qty Received],tblReceipts[Item Name],$A1948,tblReceipts[Expiry Date],$H1948,tblReceipts[Lot Number],"&lt;"&amp;Receipts!$C1951))</f>
        <v/>
      </c>
      <c r="L1948" s="26" t="str">
        <f>IF($A1948="","",MIN($D1948,MAX(0,SUMIFS(tblIssues[Qty Issued],tblIssues[Item Name],$A1948)-$K1948)))</f>
        <v/>
      </c>
      <c r="M1948" s="26" t="str">
        <f>IF($A1948="","",SUMIFS(tblIssues[Qty Issued],tblIssues[Lot Number],$B1948))</f>
        <v/>
      </c>
      <c r="N1948" s="26" t="str">
        <f t="shared" si="152"/>
        <v/>
      </c>
      <c r="O1948" s="26" t="str">
        <f t="shared" si="153"/>
        <v/>
      </c>
      <c r="P1948" s="21" t="str">
        <f t="shared" si="154"/>
        <v/>
      </c>
      <c r="Q1948" s="52" t="str">
        <f>IF($A1948="","",IF($O1948&lt;=0,"Depleted",IF($I1948&lt;0,"EXPIRED",IF($I1948&lt;=Settings!$C$6,"CRITICAL",IF($I1948&lt;=Settings!$C$5,"Expiring","In date")))))</f>
        <v/>
      </c>
    </row>
    <row r="1949" spans="1:17" x14ac:dyDescent="0.35">
      <c r="A1949" s="90" t="str">
        <f>IF(Receipts!$D1952="","",Receipts!$D1952)</f>
        <v/>
      </c>
      <c r="B1949" s="18" t="str">
        <f>IF(Receipts!$C1952="","",Receipts!$C1952)</f>
        <v/>
      </c>
      <c r="C1949" s="18" t="str">
        <f>IF($A1949="","",IFERROR(INDEX(Items!$B$5:$B$597,MATCH($A1949,Items!$A$5:$A$597,0)),""))</f>
        <v/>
      </c>
      <c r="D1949" s="23" t="str">
        <f>IF($A1949="","",N(Receipts!$G1952))</f>
        <v/>
      </c>
      <c r="E1949" s="20" t="str">
        <f>IF($A1949="","",IFERROR(INDEX(Items!$D$5:$D$597,MATCH($A1949,Items!$A$5:$A$597,0)),0))</f>
        <v/>
      </c>
      <c r="F1949" s="21" t="str">
        <f t="shared" si="150"/>
        <v/>
      </c>
      <c r="G1949" s="25" t="str">
        <f>IF(Receipts!$I1952="","",Receipts!$I1952)</f>
        <v/>
      </c>
      <c r="H1949" s="25" t="str">
        <f>IF(Receipts!$H1952="","",Receipts!$H1952)</f>
        <v/>
      </c>
      <c r="I1949" s="26" t="str">
        <f t="shared" ca="1" si="151"/>
        <v/>
      </c>
      <c r="J1949" s="26" t="str">
        <f>IF($A1949="","",COUNTIFS(tblReceipts[Item Name],$A1949,tblReceipts[Expiry Date],"&lt;"&amp;$H1949)+COUNTIFS(tblReceipts[Item Name],$A1949,tblReceipts[Expiry Date],$H1949,tblReceipts[Lot Number],"&lt;="&amp;Receipts!$C1952))</f>
        <v/>
      </c>
      <c r="K1949" s="26" t="str">
        <f>IF($A1949="","",SUMIFS(tblReceipts[Qty Received],tblReceipts[Item Name],$A1949,tblReceipts[Expiry Date],"&lt;"&amp;$H1949)+SUMIFS(tblReceipts[Qty Received],tblReceipts[Item Name],$A1949,tblReceipts[Expiry Date],$H1949,tblReceipts[Lot Number],"&lt;"&amp;Receipts!$C1952))</f>
        <v/>
      </c>
      <c r="L1949" s="26" t="str">
        <f>IF($A1949="","",MIN($D1949,MAX(0,SUMIFS(tblIssues[Qty Issued],tblIssues[Item Name],$A1949)-$K1949)))</f>
        <v/>
      </c>
      <c r="M1949" s="26" t="str">
        <f>IF($A1949="","",SUMIFS(tblIssues[Qty Issued],tblIssues[Lot Number],$B1949))</f>
        <v/>
      </c>
      <c r="N1949" s="26" t="str">
        <f t="shared" si="152"/>
        <v/>
      </c>
      <c r="O1949" s="26" t="str">
        <f t="shared" si="153"/>
        <v/>
      </c>
      <c r="P1949" s="21" t="str">
        <f t="shared" si="154"/>
        <v/>
      </c>
      <c r="Q1949" s="52" t="str">
        <f>IF($A1949="","",IF($O1949&lt;=0,"Depleted",IF($I1949&lt;0,"EXPIRED",IF($I1949&lt;=Settings!$C$6,"CRITICAL",IF($I1949&lt;=Settings!$C$5,"Expiring","In date")))))</f>
        <v/>
      </c>
    </row>
    <row r="1950" spans="1:17" x14ac:dyDescent="0.35">
      <c r="A1950" s="90" t="str">
        <f>IF(Receipts!$D1953="","",Receipts!$D1953)</f>
        <v/>
      </c>
      <c r="B1950" s="18" t="str">
        <f>IF(Receipts!$C1953="","",Receipts!$C1953)</f>
        <v/>
      </c>
      <c r="C1950" s="18" t="str">
        <f>IF($A1950="","",IFERROR(INDEX(Items!$B$5:$B$597,MATCH($A1950,Items!$A$5:$A$597,0)),""))</f>
        <v/>
      </c>
      <c r="D1950" s="23" t="str">
        <f>IF($A1950="","",N(Receipts!$G1953))</f>
        <v/>
      </c>
      <c r="E1950" s="20" t="str">
        <f>IF($A1950="","",IFERROR(INDEX(Items!$D$5:$D$597,MATCH($A1950,Items!$A$5:$A$597,0)),0))</f>
        <v/>
      </c>
      <c r="F1950" s="21" t="str">
        <f t="shared" si="150"/>
        <v/>
      </c>
      <c r="G1950" s="25" t="str">
        <f>IF(Receipts!$I1953="","",Receipts!$I1953)</f>
        <v/>
      </c>
      <c r="H1950" s="25" t="str">
        <f>IF(Receipts!$H1953="","",Receipts!$H1953)</f>
        <v/>
      </c>
      <c r="I1950" s="26" t="str">
        <f t="shared" ca="1" si="151"/>
        <v/>
      </c>
      <c r="J1950" s="26" t="str">
        <f>IF($A1950="","",COUNTIFS(tblReceipts[Item Name],$A1950,tblReceipts[Expiry Date],"&lt;"&amp;$H1950)+COUNTIFS(tblReceipts[Item Name],$A1950,tblReceipts[Expiry Date],$H1950,tblReceipts[Lot Number],"&lt;="&amp;Receipts!$C1953))</f>
        <v/>
      </c>
      <c r="K1950" s="26" t="str">
        <f>IF($A1950="","",SUMIFS(tblReceipts[Qty Received],tblReceipts[Item Name],$A1950,tblReceipts[Expiry Date],"&lt;"&amp;$H1950)+SUMIFS(tblReceipts[Qty Received],tblReceipts[Item Name],$A1950,tblReceipts[Expiry Date],$H1950,tblReceipts[Lot Number],"&lt;"&amp;Receipts!$C1953))</f>
        <v/>
      </c>
      <c r="L1950" s="26" t="str">
        <f>IF($A1950="","",MIN($D1950,MAX(0,SUMIFS(tblIssues[Qty Issued],tblIssues[Item Name],$A1950)-$K1950)))</f>
        <v/>
      </c>
      <c r="M1950" s="26" t="str">
        <f>IF($A1950="","",SUMIFS(tblIssues[Qty Issued],tblIssues[Lot Number],$B1950))</f>
        <v/>
      </c>
      <c r="N1950" s="26" t="str">
        <f t="shared" si="152"/>
        <v/>
      </c>
      <c r="O1950" s="26" t="str">
        <f t="shared" si="153"/>
        <v/>
      </c>
      <c r="P1950" s="21" t="str">
        <f t="shared" si="154"/>
        <v/>
      </c>
      <c r="Q1950" s="52" t="str">
        <f>IF($A1950="","",IF($O1950&lt;=0,"Depleted",IF($I1950&lt;0,"EXPIRED",IF($I1950&lt;=Settings!$C$6,"CRITICAL",IF($I1950&lt;=Settings!$C$5,"Expiring","In date")))))</f>
        <v/>
      </c>
    </row>
    <row r="1951" spans="1:17" x14ac:dyDescent="0.35">
      <c r="A1951" s="90" t="str">
        <f>IF(Receipts!$D1954="","",Receipts!$D1954)</f>
        <v/>
      </c>
      <c r="B1951" s="18" t="str">
        <f>IF(Receipts!$C1954="","",Receipts!$C1954)</f>
        <v/>
      </c>
      <c r="C1951" s="18" t="str">
        <f>IF($A1951="","",IFERROR(INDEX(Items!$B$5:$B$597,MATCH($A1951,Items!$A$5:$A$597,0)),""))</f>
        <v/>
      </c>
      <c r="D1951" s="23" t="str">
        <f>IF($A1951="","",N(Receipts!$G1954))</f>
        <v/>
      </c>
      <c r="E1951" s="20" t="str">
        <f>IF($A1951="","",IFERROR(INDEX(Items!$D$5:$D$597,MATCH($A1951,Items!$A$5:$A$597,0)),0))</f>
        <v/>
      </c>
      <c r="F1951" s="21" t="str">
        <f t="shared" si="150"/>
        <v/>
      </c>
      <c r="G1951" s="25" t="str">
        <f>IF(Receipts!$I1954="","",Receipts!$I1954)</f>
        <v/>
      </c>
      <c r="H1951" s="25" t="str">
        <f>IF(Receipts!$H1954="","",Receipts!$H1954)</f>
        <v/>
      </c>
      <c r="I1951" s="26" t="str">
        <f t="shared" ca="1" si="151"/>
        <v/>
      </c>
      <c r="J1951" s="26" t="str">
        <f>IF($A1951="","",COUNTIFS(tblReceipts[Item Name],$A1951,tblReceipts[Expiry Date],"&lt;"&amp;$H1951)+COUNTIFS(tblReceipts[Item Name],$A1951,tblReceipts[Expiry Date],$H1951,tblReceipts[Lot Number],"&lt;="&amp;Receipts!$C1954))</f>
        <v/>
      </c>
      <c r="K1951" s="26" t="str">
        <f>IF($A1951="","",SUMIFS(tblReceipts[Qty Received],tblReceipts[Item Name],$A1951,tblReceipts[Expiry Date],"&lt;"&amp;$H1951)+SUMIFS(tblReceipts[Qty Received],tblReceipts[Item Name],$A1951,tblReceipts[Expiry Date],$H1951,tblReceipts[Lot Number],"&lt;"&amp;Receipts!$C1954))</f>
        <v/>
      </c>
      <c r="L1951" s="26" t="str">
        <f>IF($A1951="","",MIN($D1951,MAX(0,SUMIFS(tblIssues[Qty Issued],tblIssues[Item Name],$A1951)-$K1951)))</f>
        <v/>
      </c>
      <c r="M1951" s="26" t="str">
        <f>IF($A1951="","",SUMIFS(tblIssues[Qty Issued],tblIssues[Lot Number],$B1951))</f>
        <v/>
      </c>
      <c r="N1951" s="26" t="str">
        <f t="shared" si="152"/>
        <v/>
      </c>
      <c r="O1951" s="26" t="str">
        <f t="shared" si="153"/>
        <v/>
      </c>
      <c r="P1951" s="21" t="str">
        <f t="shared" si="154"/>
        <v/>
      </c>
      <c r="Q1951" s="52" t="str">
        <f>IF($A1951="","",IF($O1951&lt;=0,"Depleted",IF($I1951&lt;0,"EXPIRED",IF($I1951&lt;=Settings!$C$6,"CRITICAL",IF($I1951&lt;=Settings!$C$5,"Expiring","In date")))))</f>
        <v/>
      </c>
    </row>
    <row r="1952" spans="1:17" x14ac:dyDescent="0.35">
      <c r="A1952" s="90" t="str">
        <f>IF(Receipts!$D1955="","",Receipts!$D1955)</f>
        <v/>
      </c>
      <c r="B1952" s="18" t="str">
        <f>IF(Receipts!$C1955="","",Receipts!$C1955)</f>
        <v/>
      </c>
      <c r="C1952" s="18" t="str">
        <f>IF($A1952="","",IFERROR(INDEX(Items!$B$5:$B$597,MATCH($A1952,Items!$A$5:$A$597,0)),""))</f>
        <v/>
      </c>
      <c r="D1952" s="23" t="str">
        <f>IF($A1952="","",N(Receipts!$G1955))</f>
        <v/>
      </c>
      <c r="E1952" s="20" t="str">
        <f>IF($A1952="","",IFERROR(INDEX(Items!$D$5:$D$597,MATCH($A1952,Items!$A$5:$A$597,0)),0))</f>
        <v/>
      </c>
      <c r="F1952" s="21" t="str">
        <f t="shared" si="150"/>
        <v/>
      </c>
      <c r="G1952" s="25" t="str">
        <f>IF(Receipts!$I1955="","",Receipts!$I1955)</f>
        <v/>
      </c>
      <c r="H1952" s="25" t="str">
        <f>IF(Receipts!$H1955="","",Receipts!$H1955)</f>
        <v/>
      </c>
      <c r="I1952" s="26" t="str">
        <f t="shared" ca="1" si="151"/>
        <v/>
      </c>
      <c r="J1952" s="26" t="str">
        <f>IF($A1952="","",COUNTIFS(tblReceipts[Item Name],$A1952,tblReceipts[Expiry Date],"&lt;"&amp;$H1952)+COUNTIFS(tblReceipts[Item Name],$A1952,tblReceipts[Expiry Date],$H1952,tblReceipts[Lot Number],"&lt;="&amp;Receipts!$C1955))</f>
        <v/>
      </c>
      <c r="K1952" s="26" t="str">
        <f>IF($A1952="","",SUMIFS(tblReceipts[Qty Received],tblReceipts[Item Name],$A1952,tblReceipts[Expiry Date],"&lt;"&amp;$H1952)+SUMIFS(tblReceipts[Qty Received],tblReceipts[Item Name],$A1952,tblReceipts[Expiry Date],$H1952,tblReceipts[Lot Number],"&lt;"&amp;Receipts!$C1955))</f>
        <v/>
      </c>
      <c r="L1952" s="26" t="str">
        <f>IF($A1952="","",MIN($D1952,MAX(0,SUMIFS(tblIssues[Qty Issued],tblIssues[Item Name],$A1952)-$K1952)))</f>
        <v/>
      </c>
      <c r="M1952" s="26" t="str">
        <f>IF($A1952="","",SUMIFS(tblIssues[Qty Issued],tblIssues[Lot Number],$B1952))</f>
        <v/>
      </c>
      <c r="N1952" s="26" t="str">
        <f t="shared" si="152"/>
        <v/>
      </c>
      <c r="O1952" s="26" t="str">
        <f t="shared" si="153"/>
        <v/>
      </c>
      <c r="P1952" s="21" t="str">
        <f t="shared" si="154"/>
        <v/>
      </c>
      <c r="Q1952" s="52" t="str">
        <f>IF($A1952="","",IF($O1952&lt;=0,"Depleted",IF($I1952&lt;0,"EXPIRED",IF($I1952&lt;=Settings!$C$6,"CRITICAL",IF($I1952&lt;=Settings!$C$5,"Expiring","In date")))))</f>
        <v/>
      </c>
    </row>
    <row r="1953" spans="1:17" x14ac:dyDescent="0.35">
      <c r="A1953" s="90" t="str">
        <f>IF(Receipts!$D1956="","",Receipts!$D1956)</f>
        <v/>
      </c>
      <c r="B1953" s="18" t="str">
        <f>IF(Receipts!$C1956="","",Receipts!$C1956)</f>
        <v/>
      </c>
      <c r="C1953" s="18" t="str">
        <f>IF($A1953="","",IFERROR(INDEX(Items!$B$5:$B$597,MATCH($A1953,Items!$A$5:$A$597,0)),""))</f>
        <v/>
      </c>
      <c r="D1953" s="23" t="str">
        <f>IF($A1953="","",N(Receipts!$G1956))</f>
        <v/>
      </c>
      <c r="E1953" s="20" t="str">
        <f>IF($A1953="","",IFERROR(INDEX(Items!$D$5:$D$597,MATCH($A1953,Items!$A$5:$A$597,0)),0))</f>
        <v/>
      </c>
      <c r="F1953" s="21" t="str">
        <f t="shared" si="150"/>
        <v/>
      </c>
      <c r="G1953" s="25" t="str">
        <f>IF(Receipts!$I1956="","",Receipts!$I1956)</f>
        <v/>
      </c>
      <c r="H1953" s="25" t="str">
        <f>IF(Receipts!$H1956="","",Receipts!$H1956)</f>
        <v/>
      </c>
      <c r="I1953" s="26" t="str">
        <f t="shared" ca="1" si="151"/>
        <v/>
      </c>
      <c r="J1953" s="26" t="str">
        <f>IF($A1953="","",COUNTIFS(tblReceipts[Item Name],$A1953,tblReceipts[Expiry Date],"&lt;"&amp;$H1953)+COUNTIFS(tblReceipts[Item Name],$A1953,tblReceipts[Expiry Date],$H1953,tblReceipts[Lot Number],"&lt;="&amp;Receipts!$C1956))</f>
        <v/>
      </c>
      <c r="K1953" s="26" t="str">
        <f>IF($A1953="","",SUMIFS(tblReceipts[Qty Received],tblReceipts[Item Name],$A1953,tblReceipts[Expiry Date],"&lt;"&amp;$H1953)+SUMIFS(tblReceipts[Qty Received],tblReceipts[Item Name],$A1953,tblReceipts[Expiry Date],$H1953,tblReceipts[Lot Number],"&lt;"&amp;Receipts!$C1956))</f>
        <v/>
      </c>
      <c r="L1953" s="26" t="str">
        <f>IF($A1953="","",MIN($D1953,MAX(0,SUMIFS(tblIssues[Qty Issued],tblIssues[Item Name],$A1953)-$K1953)))</f>
        <v/>
      </c>
      <c r="M1953" s="26" t="str">
        <f>IF($A1953="","",SUMIFS(tblIssues[Qty Issued],tblIssues[Lot Number],$B1953))</f>
        <v/>
      </c>
      <c r="N1953" s="26" t="str">
        <f t="shared" si="152"/>
        <v/>
      </c>
      <c r="O1953" s="26" t="str">
        <f t="shared" si="153"/>
        <v/>
      </c>
      <c r="P1953" s="21" t="str">
        <f t="shared" si="154"/>
        <v/>
      </c>
      <c r="Q1953" s="52" t="str">
        <f>IF($A1953="","",IF($O1953&lt;=0,"Depleted",IF($I1953&lt;0,"EXPIRED",IF($I1953&lt;=Settings!$C$6,"CRITICAL",IF($I1953&lt;=Settings!$C$5,"Expiring","In date")))))</f>
        <v/>
      </c>
    </row>
    <row r="1954" spans="1:17" x14ac:dyDescent="0.35">
      <c r="A1954" s="90" t="str">
        <f>IF(Receipts!$D1957="","",Receipts!$D1957)</f>
        <v/>
      </c>
      <c r="B1954" s="18" t="str">
        <f>IF(Receipts!$C1957="","",Receipts!$C1957)</f>
        <v/>
      </c>
      <c r="C1954" s="18" t="str">
        <f>IF($A1954="","",IFERROR(INDEX(Items!$B$5:$B$597,MATCH($A1954,Items!$A$5:$A$597,0)),""))</f>
        <v/>
      </c>
      <c r="D1954" s="23" t="str">
        <f>IF($A1954="","",N(Receipts!$G1957))</f>
        <v/>
      </c>
      <c r="E1954" s="20" t="str">
        <f>IF($A1954="","",IFERROR(INDEX(Items!$D$5:$D$597,MATCH($A1954,Items!$A$5:$A$597,0)),0))</f>
        <v/>
      </c>
      <c r="F1954" s="21" t="str">
        <f t="shared" si="150"/>
        <v/>
      </c>
      <c r="G1954" s="25" t="str">
        <f>IF(Receipts!$I1957="","",Receipts!$I1957)</f>
        <v/>
      </c>
      <c r="H1954" s="25" t="str">
        <f>IF(Receipts!$H1957="","",Receipts!$H1957)</f>
        <v/>
      </c>
      <c r="I1954" s="26" t="str">
        <f t="shared" ca="1" si="151"/>
        <v/>
      </c>
      <c r="J1954" s="26" t="str">
        <f>IF($A1954="","",COUNTIFS(tblReceipts[Item Name],$A1954,tblReceipts[Expiry Date],"&lt;"&amp;$H1954)+COUNTIFS(tblReceipts[Item Name],$A1954,tblReceipts[Expiry Date],$H1954,tblReceipts[Lot Number],"&lt;="&amp;Receipts!$C1957))</f>
        <v/>
      </c>
      <c r="K1954" s="26" t="str">
        <f>IF($A1954="","",SUMIFS(tblReceipts[Qty Received],tblReceipts[Item Name],$A1954,tblReceipts[Expiry Date],"&lt;"&amp;$H1954)+SUMIFS(tblReceipts[Qty Received],tblReceipts[Item Name],$A1954,tblReceipts[Expiry Date],$H1954,tblReceipts[Lot Number],"&lt;"&amp;Receipts!$C1957))</f>
        <v/>
      </c>
      <c r="L1954" s="26" t="str">
        <f>IF($A1954="","",MIN($D1954,MAX(0,SUMIFS(tblIssues[Qty Issued],tblIssues[Item Name],$A1954)-$K1954)))</f>
        <v/>
      </c>
      <c r="M1954" s="26" t="str">
        <f>IF($A1954="","",SUMIFS(tblIssues[Qty Issued],tblIssues[Lot Number],$B1954))</f>
        <v/>
      </c>
      <c r="N1954" s="26" t="str">
        <f t="shared" si="152"/>
        <v/>
      </c>
      <c r="O1954" s="26" t="str">
        <f t="shared" si="153"/>
        <v/>
      </c>
      <c r="P1954" s="21" t="str">
        <f t="shared" si="154"/>
        <v/>
      </c>
      <c r="Q1954" s="52" t="str">
        <f>IF($A1954="","",IF($O1954&lt;=0,"Depleted",IF($I1954&lt;0,"EXPIRED",IF($I1954&lt;=Settings!$C$6,"CRITICAL",IF($I1954&lt;=Settings!$C$5,"Expiring","In date")))))</f>
        <v/>
      </c>
    </row>
    <row r="1955" spans="1:17" x14ac:dyDescent="0.35">
      <c r="A1955" s="90" t="str">
        <f>IF(Receipts!$D1958="","",Receipts!$D1958)</f>
        <v/>
      </c>
      <c r="B1955" s="18" t="str">
        <f>IF(Receipts!$C1958="","",Receipts!$C1958)</f>
        <v/>
      </c>
      <c r="C1955" s="18" t="str">
        <f>IF($A1955="","",IFERROR(INDEX(Items!$B$5:$B$597,MATCH($A1955,Items!$A$5:$A$597,0)),""))</f>
        <v/>
      </c>
      <c r="D1955" s="23" t="str">
        <f>IF($A1955="","",N(Receipts!$G1958))</f>
        <v/>
      </c>
      <c r="E1955" s="20" t="str">
        <f>IF($A1955="","",IFERROR(INDEX(Items!$D$5:$D$597,MATCH($A1955,Items!$A$5:$A$597,0)),0))</f>
        <v/>
      </c>
      <c r="F1955" s="21" t="str">
        <f t="shared" si="150"/>
        <v/>
      </c>
      <c r="G1955" s="25" t="str">
        <f>IF(Receipts!$I1958="","",Receipts!$I1958)</f>
        <v/>
      </c>
      <c r="H1955" s="25" t="str">
        <f>IF(Receipts!$H1958="","",Receipts!$H1958)</f>
        <v/>
      </c>
      <c r="I1955" s="26" t="str">
        <f t="shared" ca="1" si="151"/>
        <v/>
      </c>
      <c r="J1955" s="26" t="str">
        <f>IF($A1955="","",COUNTIFS(tblReceipts[Item Name],$A1955,tblReceipts[Expiry Date],"&lt;"&amp;$H1955)+COUNTIFS(tblReceipts[Item Name],$A1955,tblReceipts[Expiry Date],$H1955,tblReceipts[Lot Number],"&lt;="&amp;Receipts!$C1958))</f>
        <v/>
      </c>
      <c r="K1955" s="26" t="str">
        <f>IF($A1955="","",SUMIFS(tblReceipts[Qty Received],tblReceipts[Item Name],$A1955,tblReceipts[Expiry Date],"&lt;"&amp;$H1955)+SUMIFS(tblReceipts[Qty Received],tblReceipts[Item Name],$A1955,tblReceipts[Expiry Date],$H1955,tblReceipts[Lot Number],"&lt;"&amp;Receipts!$C1958))</f>
        <v/>
      </c>
      <c r="L1955" s="26" t="str">
        <f>IF($A1955="","",MIN($D1955,MAX(0,SUMIFS(tblIssues[Qty Issued],tblIssues[Item Name],$A1955)-$K1955)))</f>
        <v/>
      </c>
      <c r="M1955" s="26" t="str">
        <f>IF($A1955="","",SUMIFS(tblIssues[Qty Issued],tblIssues[Lot Number],$B1955))</f>
        <v/>
      </c>
      <c r="N1955" s="26" t="str">
        <f t="shared" si="152"/>
        <v/>
      </c>
      <c r="O1955" s="26" t="str">
        <f t="shared" si="153"/>
        <v/>
      </c>
      <c r="P1955" s="21" t="str">
        <f t="shared" si="154"/>
        <v/>
      </c>
      <c r="Q1955" s="52" t="str">
        <f>IF($A1955="","",IF($O1955&lt;=0,"Depleted",IF($I1955&lt;0,"EXPIRED",IF($I1955&lt;=Settings!$C$6,"CRITICAL",IF($I1955&lt;=Settings!$C$5,"Expiring","In date")))))</f>
        <v/>
      </c>
    </row>
    <row r="1956" spans="1:17" x14ac:dyDescent="0.35">
      <c r="A1956" s="90" t="str">
        <f>IF(Receipts!$D1959="","",Receipts!$D1959)</f>
        <v/>
      </c>
      <c r="B1956" s="18" t="str">
        <f>IF(Receipts!$C1959="","",Receipts!$C1959)</f>
        <v/>
      </c>
      <c r="C1956" s="18" t="str">
        <f>IF($A1956="","",IFERROR(INDEX(Items!$B$5:$B$597,MATCH($A1956,Items!$A$5:$A$597,0)),""))</f>
        <v/>
      </c>
      <c r="D1956" s="23" t="str">
        <f>IF($A1956="","",N(Receipts!$G1959))</f>
        <v/>
      </c>
      <c r="E1956" s="20" t="str">
        <f>IF($A1956="","",IFERROR(INDEX(Items!$D$5:$D$597,MATCH($A1956,Items!$A$5:$A$597,0)),0))</f>
        <v/>
      </c>
      <c r="F1956" s="21" t="str">
        <f t="shared" si="150"/>
        <v/>
      </c>
      <c r="G1956" s="25" t="str">
        <f>IF(Receipts!$I1959="","",Receipts!$I1959)</f>
        <v/>
      </c>
      <c r="H1956" s="25" t="str">
        <f>IF(Receipts!$H1959="","",Receipts!$H1959)</f>
        <v/>
      </c>
      <c r="I1956" s="26" t="str">
        <f t="shared" ca="1" si="151"/>
        <v/>
      </c>
      <c r="J1956" s="26" t="str">
        <f>IF($A1956="","",COUNTIFS(tblReceipts[Item Name],$A1956,tblReceipts[Expiry Date],"&lt;"&amp;$H1956)+COUNTIFS(tblReceipts[Item Name],$A1956,tblReceipts[Expiry Date],$H1956,tblReceipts[Lot Number],"&lt;="&amp;Receipts!$C1959))</f>
        <v/>
      </c>
      <c r="K1956" s="26" t="str">
        <f>IF($A1956="","",SUMIFS(tblReceipts[Qty Received],tblReceipts[Item Name],$A1956,tblReceipts[Expiry Date],"&lt;"&amp;$H1956)+SUMIFS(tblReceipts[Qty Received],tblReceipts[Item Name],$A1956,tblReceipts[Expiry Date],$H1956,tblReceipts[Lot Number],"&lt;"&amp;Receipts!$C1959))</f>
        <v/>
      </c>
      <c r="L1956" s="26" t="str">
        <f>IF($A1956="","",MIN($D1956,MAX(0,SUMIFS(tblIssues[Qty Issued],tblIssues[Item Name],$A1956)-$K1956)))</f>
        <v/>
      </c>
      <c r="M1956" s="26" t="str">
        <f>IF($A1956="","",SUMIFS(tblIssues[Qty Issued],tblIssues[Lot Number],$B1956))</f>
        <v/>
      </c>
      <c r="N1956" s="26" t="str">
        <f t="shared" si="152"/>
        <v/>
      </c>
      <c r="O1956" s="26" t="str">
        <f t="shared" si="153"/>
        <v/>
      </c>
      <c r="P1956" s="21" t="str">
        <f t="shared" si="154"/>
        <v/>
      </c>
      <c r="Q1956" s="52" t="str">
        <f>IF($A1956="","",IF($O1956&lt;=0,"Depleted",IF($I1956&lt;0,"EXPIRED",IF($I1956&lt;=Settings!$C$6,"CRITICAL",IF($I1956&lt;=Settings!$C$5,"Expiring","In date")))))</f>
        <v/>
      </c>
    </row>
    <row r="1957" spans="1:17" x14ac:dyDescent="0.35">
      <c r="A1957" s="90" t="str">
        <f>IF(Receipts!$D1960="","",Receipts!$D1960)</f>
        <v/>
      </c>
      <c r="B1957" s="18" t="str">
        <f>IF(Receipts!$C1960="","",Receipts!$C1960)</f>
        <v/>
      </c>
      <c r="C1957" s="18" t="str">
        <f>IF($A1957="","",IFERROR(INDEX(Items!$B$5:$B$597,MATCH($A1957,Items!$A$5:$A$597,0)),""))</f>
        <v/>
      </c>
      <c r="D1957" s="23" t="str">
        <f>IF($A1957="","",N(Receipts!$G1960))</f>
        <v/>
      </c>
      <c r="E1957" s="20" t="str">
        <f>IF($A1957="","",IFERROR(INDEX(Items!$D$5:$D$597,MATCH($A1957,Items!$A$5:$A$597,0)),0))</f>
        <v/>
      </c>
      <c r="F1957" s="21" t="str">
        <f t="shared" si="150"/>
        <v/>
      </c>
      <c r="G1957" s="25" t="str">
        <f>IF(Receipts!$I1960="","",Receipts!$I1960)</f>
        <v/>
      </c>
      <c r="H1957" s="25" t="str">
        <f>IF(Receipts!$H1960="","",Receipts!$H1960)</f>
        <v/>
      </c>
      <c r="I1957" s="26" t="str">
        <f t="shared" ca="1" si="151"/>
        <v/>
      </c>
      <c r="J1957" s="26" t="str">
        <f>IF($A1957="","",COUNTIFS(tblReceipts[Item Name],$A1957,tblReceipts[Expiry Date],"&lt;"&amp;$H1957)+COUNTIFS(tblReceipts[Item Name],$A1957,tblReceipts[Expiry Date],$H1957,tblReceipts[Lot Number],"&lt;="&amp;Receipts!$C1960))</f>
        <v/>
      </c>
      <c r="K1957" s="26" t="str">
        <f>IF($A1957="","",SUMIFS(tblReceipts[Qty Received],tblReceipts[Item Name],$A1957,tblReceipts[Expiry Date],"&lt;"&amp;$H1957)+SUMIFS(tblReceipts[Qty Received],tblReceipts[Item Name],$A1957,tblReceipts[Expiry Date],$H1957,tblReceipts[Lot Number],"&lt;"&amp;Receipts!$C1960))</f>
        <v/>
      </c>
      <c r="L1957" s="26" t="str">
        <f>IF($A1957="","",MIN($D1957,MAX(0,SUMIFS(tblIssues[Qty Issued],tblIssues[Item Name],$A1957)-$K1957)))</f>
        <v/>
      </c>
      <c r="M1957" s="26" t="str">
        <f>IF($A1957="","",SUMIFS(tblIssues[Qty Issued],tblIssues[Lot Number],$B1957))</f>
        <v/>
      </c>
      <c r="N1957" s="26" t="str">
        <f t="shared" si="152"/>
        <v/>
      </c>
      <c r="O1957" s="26" t="str">
        <f t="shared" si="153"/>
        <v/>
      </c>
      <c r="P1957" s="21" t="str">
        <f t="shared" si="154"/>
        <v/>
      </c>
      <c r="Q1957" s="52" t="str">
        <f>IF($A1957="","",IF($O1957&lt;=0,"Depleted",IF($I1957&lt;0,"EXPIRED",IF($I1957&lt;=Settings!$C$6,"CRITICAL",IF($I1957&lt;=Settings!$C$5,"Expiring","In date")))))</f>
        <v/>
      </c>
    </row>
    <row r="1958" spans="1:17" x14ac:dyDescent="0.35">
      <c r="A1958" s="90" t="str">
        <f>IF(Receipts!$D1961="","",Receipts!$D1961)</f>
        <v/>
      </c>
      <c r="B1958" s="18" t="str">
        <f>IF(Receipts!$C1961="","",Receipts!$C1961)</f>
        <v/>
      </c>
      <c r="C1958" s="18" t="str">
        <f>IF($A1958="","",IFERROR(INDEX(Items!$B$5:$B$597,MATCH($A1958,Items!$A$5:$A$597,0)),""))</f>
        <v/>
      </c>
      <c r="D1958" s="23" t="str">
        <f>IF($A1958="","",N(Receipts!$G1961))</f>
        <v/>
      </c>
      <c r="E1958" s="20" t="str">
        <f>IF($A1958="","",IFERROR(INDEX(Items!$D$5:$D$597,MATCH($A1958,Items!$A$5:$A$597,0)),0))</f>
        <v/>
      </c>
      <c r="F1958" s="21" t="str">
        <f t="shared" si="150"/>
        <v/>
      </c>
      <c r="G1958" s="25" t="str">
        <f>IF(Receipts!$I1961="","",Receipts!$I1961)</f>
        <v/>
      </c>
      <c r="H1958" s="25" t="str">
        <f>IF(Receipts!$H1961="","",Receipts!$H1961)</f>
        <v/>
      </c>
      <c r="I1958" s="26" t="str">
        <f t="shared" ca="1" si="151"/>
        <v/>
      </c>
      <c r="J1958" s="26" t="str">
        <f>IF($A1958="","",COUNTIFS(tblReceipts[Item Name],$A1958,tblReceipts[Expiry Date],"&lt;"&amp;$H1958)+COUNTIFS(tblReceipts[Item Name],$A1958,tblReceipts[Expiry Date],$H1958,tblReceipts[Lot Number],"&lt;="&amp;Receipts!$C1961))</f>
        <v/>
      </c>
      <c r="K1958" s="26" t="str">
        <f>IF($A1958="","",SUMIFS(tblReceipts[Qty Received],tblReceipts[Item Name],$A1958,tblReceipts[Expiry Date],"&lt;"&amp;$H1958)+SUMIFS(tblReceipts[Qty Received],tblReceipts[Item Name],$A1958,tblReceipts[Expiry Date],$H1958,tblReceipts[Lot Number],"&lt;"&amp;Receipts!$C1961))</f>
        <v/>
      </c>
      <c r="L1958" s="26" t="str">
        <f>IF($A1958="","",MIN($D1958,MAX(0,SUMIFS(tblIssues[Qty Issued],tblIssues[Item Name],$A1958)-$K1958)))</f>
        <v/>
      </c>
      <c r="M1958" s="26" t="str">
        <f>IF($A1958="","",SUMIFS(tblIssues[Qty Issued],tblIssues[Lot Number],$B1958))</f>
        <v/>
      </c>
      <c r="N1958" s="26" t="str">
        <f t="shared" si="152"/>
        <v/>
      </c>
      <c r="O1958" s="26" t="str">
        <f t="shared" si="153"/>
        <v/>
      </c>
      <c r="P1958" s="21" t="str">
        <f t="shared" si="154"/>
        <v/>
      </c>
      <c r="Q1958" s="52" t="str">
        <f>IF($A1958="","",IF($O1958&lt;=0,"Depleted",IF($I1958&lt;0,"EXPIRED",IF($I1958&lt;=Settings!$C$6,"CRITICAL",IF($I1958&lt;=Settings!$C$5,"Expiring","In date")))))</f>
        <v/>
      </c>
    </row>
    <row r="1959" spans="1:17" x14ac:dyDescent="0.35">
      <c r="A1959" s="90" t="str">
        <f>IF(Receipts!$D1962="","",Receipts!$D1962)</f>
        <v/>
      </c>
      <c r="B1959" s="18" t="str">
        <f>IF(Receipts!$C1962="","",Receipts!$C1962)</f>
        <v/>
      </c>
      <c r="C1959" s="18" t="str">
        <f>IF($A1959="","",IFERROR(INDEX(Items!$B$5:$B$597,MATCH($A1959,Items!$A$5:$A$597,0)),""))</f>
        <v/>
      </c>
      <c r="D1959" s="23" t="str">
        <f>IF($A1959="","",N(Receipts!$G1962))</f>
        <v/>
      </c>
      <c r="E1959" s="20" t="str">
        <f>IF($A1959="","",IFERROR(INDEX(Items!$D$5:$D$597,MATCH($A1959,Items!$A$5:$A$597,0)),0))</f>
        <v/>
      </c>
      <c r="F1959" s="21" t="str">
        <f t="shared" si="150"/>
        <v/>
      </c>
      <c r="G1959" s="25" t="str">
        <f>IF(Receipts!$I1962="","",Receipts!$I1962)</f>
        <v/>
      </c>
      <c r="H1959" s="25" t="str">
        <f>IF(Receipts!$H1962="","",Receipts!$H1962)</f>
        <v/>
      </c>
      <c r="I1959" s="26" t="str">
        <f t="shared" ca="1" si="151"/>
        <v/>
      </c>
      <c r="J1959" s="26" t="str">
        <f>IF($A1959="","",COUNTIFS(tblReceipts[Item Name],$A1959,tblReceipts[Expiry Date],"&lt;"&amp;$H1959)+COUNTIFS(tblReceipts[Item Name],$A1959,tblReceipts[Expiry Date],$H1959,tblReceipts[Lot Number],"&lt;="&amp;Receipts!$C1962))</f>
        <v/>
      </c>
      <c r="K1959" s="26" t="str">
        <f>IF($A1959="","",SUMIFS(tblReceipts[Qty Received],tblReceipts[Item Name],$A1959,tblReceipts[Expiry Date],"&lt;"&amp;$H1959)+SUMIFS(tblReceipts[Qty Received],tblReceipts[Item Name],$A1959,tblReceipts[Expiry Date],$H1959,tblReceipts[Lot Number],"&lt;"&amp;Receipts!$C1962))</f>
        <v/>
      </c>
      <c r="L1959" s="26" t="str">
        <f>IF($A1959="","",MIN($D1959,MAX(0,SUMIFS(tblIssues[Qty Issued],tblIssues[Item Name],$A1959)-$K1959)))</f>
        <v/>
      </c>
      <c r="M1959" s="26" t="str">
        <f>IF($A1959="","",SUMIFS(tblIssues[Qty Issued],tblIssues[Lot Number],$B1959))</f>
        <v/>
      </c>
      <c r="N1959" s="26" t="str">
        <f t="shared" si="152"/>
        <v/>
      </c>
      <c r="O1959" s="26" t="str">
        <f t="shared" si="153"/>
        <v/>
      </c>
      <c r="P1959" s="21" t="str">
        <f t="shared" si="154"/>
        <v/>
      </c>
      <c r="Q1959" s="52" t="str">
        <f>IF($A1959="","",IF($O1959&lt;=0,"Depleted",IF($I1959&lt;0,"EXPIRED",IF($I1959&lt;=Settings!$C$6,"CRITICAL",IF($I1959&lt;=Settings!$C$5,"Expiring","In date")))))</f>
        <v/>
      </c>
    </row>
    <row r="1960" spans="1:17" x14ac:dyDescent="0.35">
      <c r="A1960" s="90" t="str">
        <f>IF(Receipts!$D1963="","",Receipts!$D1963)</f>
        <v/>
      </c>
      <c r="B1960" s="18" t="str">
        <f>IF(Receipts!$C1963="","",Receipts!$C1963)</f>
        <v/>
      </c>
      <c r="C1960" s="18" t="str">
        <f>IF($A1960="","",IFERROR(INDEX(Items!$B$5:$B$597,MATCH($A1960,Items!$A$5:$A$597,0)),""))</f>
        <v/>
      </c>
      <c r="D1960" s="23" t="str">
        <f>IF($A1960="","",N(Receipts!$G1963))</f>
        <v/>
      </c>
      <c r="E1960" s="20" t="str">
        <f>IF($A1960="","",IFERROR(INDEX(Items!$D$5:$D$597,MATCH($A1960,Items!$A$5:$A$597,0)),0))</f>
        <v/>
      </c>
      <c r="F1960" s="21" t="str">
        <f t="shared" si="150"/>
        <v/>
      </c>
      <c r="G1960" s="25" t="str">
        <f>IF(Receipts!$I1963="","",Receipts!$I1963)</f>
        <v/>
      </c>
      <c r="H1960" s="25" t="str">
        <f>IF(Receipts!$H1963="","",Receipts!$H1963)</f>
        <v/>
      </c>
      <c r="I1960" s="26" t="str">
        <f t="shared" ca="1" si="151"/>
        <v/>
      </c>
      <c r="J1960" s="26" t="str">
        <f>IF($A1960="","",COUNTIFS(tblReceipts[Item Name],$A1960,tblReceipts[Expiry Date],"&lt;"&amp;$H1960)+COUNTIFS(tblReceipts[Item Name],$A1960,tblReceipts[Expiry Date],$H1960,tblReceipts[Lot Number],"&lt;="&amp;Receipts!$C1963))</f>
        <v/>
      </c>
      <c r="K1960" s="26" t="str">
        <f>IF($A1960="","",SUMIFS(tblReceipts[Qty Received],tblReceipts[Item Name],$A1960,tblReceipts[Expiry Date],"&lt;"&amp;$H1960)+SUMIFS(tblReceipts[Qty Received],tblReceipts[Item Name],$A1960,tblReceipts[Expiry Date],$H1960,tblReceipts[Lot Number],"&lt;"&amp;Receipts!$C1963))</f>
        <v/>
      </c>
      <c r="L1960" s="26" t="str">
        <f>IF($A1960="","",MIN($D1960,MAX(0,SUMIFS(tblIssues[Qty Issued],tblIssues[Item Name],$A1960)-$K1960)))</f>
        <v/>
      </c>
      <c r="M1960" s="26" t="str">
        <f>IF($A1960="","",SUMIFS(tblIssues[Qty Issued],tblIssues[Lot Number],$B1960))</f>
        <v/>
      </c>
      <c r="N1960" s="26" t="str">
        <f t="shared" si="152"/>
        <v/>
      </c>
      <c r="O1960" s="26" t="str">
        <f t="shared" si="153"/>
        <v/>
      </c>
      <c r="P1960" s="21" t="str">
        <f t="shared" si="154"/>
        <v/>
      </c>
      <c r="Q1960" s="52" t="str">
        <f>IF($A1960="","",IF($O1960&lt;=0,"Depleted",IF($I1960&lt;0,"EXPIRED",IF($I1960&lt;=Settings!$C$6,"CRITICAL",IF($I1960&lt;=Settings!$C$5,"Expiring","In date")))))</f>
        <v/>
      </c>
    </row>
    <row r="1961" spans="1:17" x14ac:dyDescent="0.35">
      <c r="A1961" s="90" t="str">
        <f>IF(Receipts!$D1964="","",Receipts!$D1964)</f>
        <v/>
      </c>
      <c r="B1961" s="18" t="str">
        <f>IF(Receipts!$C1964="","",Receipts!$C1964)</f>
        <v/>
      </c>
      <c r="C1961" s="18" t="str">
        <f>IF($A1961="","",IFERROR(INDEX(Items!$B$5:$B$597,MATCH($A1961,Items!$A$5:$A$597,0)),""))</f>
        <v/>
      </c>
      <c r="D1961" s="23" t="str">
        <f>IF($A1961="","",N(Receipts!$G1964))</f>
        <v/>
      </c>
      <c r="E1961" s="20" t="str">
        <f>IF($A1961="","",IFERROR(INDEX(Items!$D$5:$D$597,MATCH($A1961,Items!$A$5:$A$597,0)),0))</f>
        <v/>
      </c>
      <c r="F1961" s="21" t="str">
        <f t="shared" si="150"/>
        <v/>
      </c>
      <c r="G1961" s="25" t="str">
        <f>IF(Receipts!$I1964="","",Receipts!$I1964)</f>
        <v/>
      </c>
      <c r="H1961" s="25" t="str">
        <f>IF(Receipts!$H1964="","",Receipts!$H1964)</f>
        <v/>
      </c>
      <c r="I1961" s="26" t="str">
        <f t="shared" ca="1" si="151"/>
        <v/>
      </c>
      <c r="J1961" s="26" t="str">
        <f>IF($A1961="","",COUNTIFS(tblReceipts[Item Name],$A1961,tblReceipts[Expiry Date],"&lt;"&amp;$H1961)+COUNTIFS(tblReceipts[Item Name],$A1961,tblReceipts[Expiry Date],$H1961,tblReceipts[Lot Number],"&lt;="&amp;Receipts!$C1964))</f>
        <v/>
      </c>
      <c r="K1961" s="26" t="str">
        <f>IF($A1961="","",SUMIFS(tblReceipts[Qty Received],tblReceipts[Item Name],$A1961,tblReceipts[Expiry Date],"&lt;"&amp;$H1961)+SUMIFS(tblReceipts[Qty Received],tblReceipts[Item Name],$A1961,tblReceipts[Expiry Date],$H1961,tblReceipts[Lot Number],"&lt;"&amp;Receipts!$C1964))</f>
        <v/>
      </c>
      <c r="L1961" s="26" t="str">
        <f>IF($A1961="","",MIN($D1961,MAX(0,SUMIFS(tblIssues[Qty Issued],tblIssues[Item Name],$A1961)-$K1961)))</f>
        <v/>
      </c>
      <c r="M1961" s="26" t="str">
        <f>IF($A1961="","",SUMIFS(tblIssues[Qty Issued],tblIssues[Lot Number],$B1961))</f>
        <v/>
      </c>
      <c r="N1961" s="26" t="str">
        <f t="shared" si="152"/>
        <v/>
      </c>
      <c r="O1961" s="26" t="str">
        <f t="shared" si="153"/>
        <v/>
      </c>
      <c r="P1961" s="21" t="str">
        <f t="shared" si="154"/>
        <v/>
      </c>
      <c r="Q1961" s="52" t="str">
        <f>IF($A1961="","",IF($O1961&lt;=0,"Depleted",IF($I1961&lt;0,"EXPIRED",IF($I1961&lt;=Settings!$C$6,"CRITICAL",IF($I1961&lt;=Settings!$C$5,"Expiring","In date")))))</f>
        <v/>
      </c>
    </row>
    <row r="1962" spans="1:17" x14ac:dyDescent="0.35">
      <c r="A1962" s="90" t="str">
        <f>IF(Receipts!$D1965="","",Receipts!$D1965)</f>
        <v/>
      </c>
      <c r="B1962" s="18" t="str">
        <f>IF(Receipts!$C1965="","",Receipts!$C1965)</f>
        <v/>
      </c>
      <c r="C1962" s="18" t="str">
        <f>IF($A1962="","",IFERROR(INDEX(Items!$B$5:$B$597,MATCH($A1962,Items!$A$5:$A$597,0)),""))</f>
        <v/>
      </c>
      <c r="D1962" s="23" t="str">
        <f>IF($A1962="","",N(Receipts!$G1965))</f>
        <v/>
      </c>
      <c r="E1962" s="20" t="str">
        <f>IF($A1962="","",IFERROR(INDEX(Items!$D$5:$D$597,MATCH($A1962,Items!$A$5:$A$597,0)),0))</f>
        <v/>
      </c>
      <c r="F1962" s="21" t="str">
        <f t="shared" si="150"/>
        <v/>
      </c>
      <c r="G1962" s="25" t="str">
        <f>IF(Receipts!$I1965="","",Receipts!$I1965)</f>
        <v/>
      </c>
      <c r="H1962" s="25" t="str">
        <f>IF(Receipts!$H1965="","",Receipts!$H1965)</f>
        <v/>
      </c>
      <c r="I1962" s="26" t="str">
        <f t="shared" ca="1" si="151"/>
        <v/>
      </c>
      <c r="J1962" s="26" t="str">
        <f>IF($A1962="","",COUNTIFS(tblReceipts[Item Name],$A1962,tblReceipts[Expiry Date],"&lt;"&amp;$H1962)+COUNTIFS(tblReceipts[Item Name],$A1962,tblReceipts[Expiry Date],$H1962,tblReceipts[Lot Number],"&lt;="&amp;Receipts!$C1965))</f>
        <v/>
      </c>
      <c r="K1962" s="26" t="str">
        <f>IF($A1962="","",SUMIFS(tblReceipts[Qty Received],tblReceipts[Item Name],$A1962,tblReceipts[Expiry Date],"&lt;"&amp;$H1962)+SUMIFS(tblReceipts[Qty Received],tblReceipts[Item Name],$A1962,tblReceipts[Expiry Date],$H1962,tblReceipts[Lot Number],"&lt;"&amp;Receipts!$C1965))</f>
        <v/>
      </c>
      <c r="L1962" s="26" t="str">
        <f>IF($A1962="","",MIN($D1962,MAX(0,SUMIFS(tblIssues[Qty Issued],tblIssues[Item Name],$A1962)-$K1962)))</f>
        <v/>
      </c>
      <c r="M1962" s="26" t="str">
        <f>IF($A1962="","",SUMIFS(tblIssues[Qty Issued],tblIssues[Lot Number],$B1962))</f>
        <v/>
      </c>
      <c r="N1962" s="26" t="str">
        <f t="shared" si="152"/>
        <v/>
      </c>
      <c r="O1962" s="26" t="str">
        <f t="shared" si="153"/>
        <v/>
      </c>
      <c r="P1962" s="21" t="str">
        <f t="shared" si="154"/>
        <v/>
      </c>
      <c r="Q1962" s="52" t="str">
        <f>IF($A1962="","",IF($O1962&lt;=0,"Depleted",IF($I1962&lt;0,"EXPIRED",IF($I1962&lt;=Settings!$C$6,"CRITICAL",IF($I1962&lt;=Settings!$C$5,"Expiring","In date")))))</f>
        <v/>
      </c>
    </row>
    <row r="1963" spans="1:17" x14ac:dyDescent="0.35">
      <c r="A1963" s="90" t="str">
        <f>IF(Receipts!$D1966="","",Receipts!$D1966)</f>
        <v/>
      </c>
      <c r="B1963" s="18" t="str">
        <f>IF(Receipts!$C1966="","",Receipts!$C1966)</f>
        <v/>
      </c>
      <c r="C1963" s="18" t="str">
        <f>IF($A1963="","",IFERROR(INDEX(Items!$B$5:$B$597,MATCH($A1963,Items!$A$5:$A$597,0)),""))</f>
        <v/>
      </c>
      <c r="D1963" s="23" t="str">
        <f>IF($A1963="","",N(Receipts!$G1966))</f>
        <v/>
      </c>
      <c r="E1963" s="20" t="str">
        <f>IF($A1963="","",IFERROR(INDEX(Items!$D$5:$D$597,MATCH($A1963,Items!$A$5:$A$597,0)),0))</f>
        <v/>
      </c>
      <c r="F1963" s="21" t="str">
        <f t="shared" si="150"/>
        <v/>
      </c>
      <c r="G1963" s="25" t="str">
        <f>IF(Receipts!$I1966="","",Receipts!$I1966)</f>
        <v/>
      </c>
      <c r="H1963" s="25" t="str">
        <f>IF(Receipts!$H1966="","",Receipts!$H1966)</f>
        <v/>
      </c>
      <c r="I1963" s="26" t="str">
        <f t="shared" ca="1" si="151"/>
        <v/>
      </c>
      <c r="J1963" s="26" t="str">
        <f>IF($A1963="","",COUNTIFS(tblReceipts[Item Name],$A1963,tblReceipts[Expiry Date],"&lt;"&amp;$H1963)+COUNTIFS(tblReceipts[Item Name],$A1963,tblReceipts[Expiry Date],$H1963,tblReceipts[Lot Number],"&lt;="&amp;Receipts!$C1966))</f>
        <v/>
      </c>
      <c r="K1963" s="26" t="str">
        <f>IF($A1963="","",SUMIFS(tblReceipts[Qty Received],tblReceipts[Item Name],$A1963,tblReceipts[Expiry Date],"&lt;"&amp;$H1963)+SUMIFS(tblReceipts[Qty Received],tblReceipts[Item Name],$A1963,tblReceipts[Expiry Date],$H1963,tblReceipts[Lot Number],"&lt;"&amp;Receipts!$C1966))</f>
        <v/>
      </c>
      <c r="L1963" s="26" t="str">
        <f>IF($A1963="","",MIN($D1963,MAX(0,SUMIFS(tblIssues[Qty Issued],tblIssues[Item Name],$A1963)-$K1963)))</f>
        <v/>
      </c>
      <c r="M1963" s="26" t="str">
        <f>IF($A1963="","",SUMIFS(tblIssues[Qty Issued],tblIssues[Lot Number],$B1963))</f>
        <v/>
      </c>
      <c r="N1963" s="26" t="str">
        <f t="shared" si="152"/>
        <v/>
      </c>
      <c r="O1963" s="26" t="str">
        <f t="shared" si="153"/>
        <v/>
      </c>
      <c r="P1963" s="21" t="str">
        <f t="shared" si="154"/>
        <v/>
      </c>
      <c r="Q1963" s="52" t="str">
        <f>IF($A1963="","",IF($O1963&lt;=0,"Depleted",IF($I1963&lt;0,"EXPIRED",IF($I1963&lt;=Settings!$C$6,"CRITICAL",IF($I1963&lt;=Settings!$C$5,"Expiring","In date")))))</f>
        <v/>
      </c>
    </row>
    <row r="1964" spans="1:17" x14ac:dyDescent="0.35">
      <c r="A1964" s="90" t="str">
        <f>IF(Receipts!$D1967="","",Receipts!$D1967)</f>
        <v/>
      </c>
      <c r="B1964" s="18" t="str">
        <f>IF(Receipts!$C1967="","",Receipts!$C1967)</f>
        <v/>
      </c>
      <c r="C1964" s="18" t="str">
        <f>IF($A1964="","",IFERROR(INDEX(Items!$B$5:$B$597,MATCH($A1964,Items!$A$5:$A$597,0)),""))</f>
        <v/>
      </c>
      <c r="D1964" s="23" t="str">
        <f>IF($A1964="","",N(Receipts!$G1967))</f>
        <v/>
      </c>
      <c r="E1964" s="20" t="str">
        <f>IF($A1964="","",IFERROR(INDEX(Items!$D$5:$D$597,MATCH($A1964,Items!$A$5:$A$597,0)),0))</f>
        <v/>
      </c>
      <c r="F1964" s="21" t="str">
        <f t="shared" si="150"/>
        <v/>
      </c>
      <c r="G1964" s="25" t="str">
        <f>IF(Receipts!$I1967="","",Receipts!$I1967)</f>
        <v/>
      </c>
      <c r="H1964" s="25" t="str">
        <f>IF(Receipts!$H1967="","",Receipts!$H1967)</f>
        <v/>
      </c>
      <c r="I1964" s="26" t="str">
        <f t="shared" ca="1" si="151"/>
        <v/>
      </c>
      <c r="J1964" s="26" t="str">
        <f>IF($A1964="","",COUNTIFS(tblReceipts[Item Name],$A1964,tblReceipts[Expiry Date],"&lt;"&amp;$H1964)+COUNTIFS(tblReceipts[Item Name],$A1964,tblReceipts[Expiry Date],$H1964,tblReceipts[Lot Number],"&lt;="&amp;Receipts!$C1967))</f>
        <v/>
      </c>
      <c r="K1964" s="26" t="str">
        <f>IF($A1964="","",SUMIFS(tblReceipts[Qty Received],tblReceipts[Item Name],$A1964,tblReceipts[Expiry Date],"&lt;"&amp;$H1964)+SUMIFS(tblReceipts[Qty Received],tblReceipts[Item Name],$A1964,tblReceipts[Expiry Date],$H1964,tblReceipts[Lot Number],"&lt;"&amp;Receipts!$C1967))</f>
        <v/>
      </c>
      <c r="L1964" s="26" t="str">
        <f>IF($A1964="","",MIN($D1964,MAX(0,SUMIFS(tblIssues[Qty Issued],tblIssues[Item Name],$A1964)-$K1964)))</f>
        <v/>
      </c>
      <c r="M1964" s="26" t="str">
        <f>IF($A1964="","",SUMIFS(tblIssues[Qty Issued],tblIssues[Lot Number],$B1964))</f>
        <v/>
      </c>
      <c r="N1964" s="26" t="str">
        <f t="shared" si="152"/>
        <v/>
      </c>
      <c r="O1964" s="26" t="str">
        <f t="shared" si="153"/>
        <v/>
      </c>
      <c r="P1964" s="21" t="str">
        <f t="shared" si="154"/>
        <v/>
      </c>
      <c r="Q1964" s="52" t="str">
        <f>IF($A1964="","",IF($O1964&lt;=0,"Depleted",IF($I1964&lt;0,"EXPIRED",IF($I1964&lt;=Settings!$C$6,"CRITICAL",IF($I1964&lt;=Settings!$C$5,"Expiring","In date")))))</f>
        <v/>
      </c>
    </row>
    <row r="1965" spans="1:17" x14ac:dyDescent="0.35">
      <c r="A1965" s="90" t="str">
        <f>IF(Receipts!$D1968="","",Receipts!$D1968)</f>
        <v/>
      </c>
      <c r="B1965" s="18" t="str">
        <f>IF(Receipts!$C1968="","",Receipts!$C1968)</f>
        <v/>
      </c>
      <c r="C1965" s="18" t="str">
        <f>IF($A1965="","",IFERROR(INDEX(Items!$B$5:$B$597,MATCH($A1965,Items!$A$5:$A$597,0)),""))</f>
        <v/>
      </c>
      <c r="D1965" s="23" t="str">
        <f>IF($A1965="","",N(Receipts!$G1968))</f>
        <v/>
      </c>
      <c r="E1965" s="20" t="str">
        <f>IF($A1965="","",IFERROR(INDEX(Items!$D$5:$D$597,MATCH($A1965,Items!$A$5:$A$597,0)),0))</f>
        <v/>
      </c>
      <c r="F1965" s="21" t="str">
        <f t="shared" si="150"/>
        <v/>
      </c>
      <c r="G1965" s="25" t="str">
        <f>IF(Receipts!$I1968="","",Receipts!$I1968)</f>
        <v/>
      </c>
      <c r="H1965" s="25" t="str">
        <f>IF(Receipts!$H1968="","",Receipts!$H1968)</f>
        <v/>
      </c>
      <c r="I1965" s="26" t="str">
        <f t="shared" ca="1" si="151"/>
        <v/>
      </c>
      <c r="J1965" s="26" t="str">
        <f>IF($A1965="","",COUNTIFS(tblReceipts[Item Name],$A1965,tblReceipts[Expiry Date],"&lt;"&amp;$H1965)+COUNTIFS(tblReceipts[Item Name],$A1965,tblReceipts[Expiry Date],$H1965,tblReceipts[Lot Number],"&lt;="&amp;Receipts!$C1968))</f>
        <v/>
      </c>
      <c r="K1965" s="26" t="str">
        <f>IF($A1965="","",SUMIFS(tblReceipts[Qty Received],tblReceipts[Item Name],$A1965,tblReceipts[Expiry Date],"&lt;"&amp;$H1965)+SUMIFS(tblReceipts[Qty Received],tblReceipts[Item Name],$A1965,tblReceipts[Expiry Date],$H1965,tblReceipts[Lot Number],"&lt;"&amp;Receipts!$C1968))</f>
        <v/>
      </c>
      <c r="L1965" s="26" t="str">
        <f>IF($A1965="","",MIN($D1965,MAX(0,SUMIFS(tblIssues[Qty Issued],tblIssues[Item Name],$A1965)-$K1965)))</f>
        <v/>
      </c>
      <c r="M1965" s="26" t="str">
        <f>IF($A1965="","",SUMIFS(tblIssues[Qty Issued],tblIssues[Lot Number],$B1965))</f>
        <v/>
      </c>
      <c r="N1965" s="26" t="str">
        <f t="shared" si="152"/>
        <v/>
      </c>
      <c r="O1965" s="26" t="str">
        <f t="shared" si="153"/>
        <v/>
      </c>
      <c r="P1965" s="21" t="str">
        <f t="shared" si="154"/>
        <v/>
      </c>
      <c r="Q1965" s="52" t="str">
        <f>IF($A1965="","",IF($O1965&lt;=0,"Depleted",IF($I1965&lt;0,"EXPIRED",IF($I1965&lt;=Settings!$C$6,"CRITICAL",IF($I1965&lt;=Settings!$C$5,"Expiring","In date")))))</f>
        <v/>
      </c>
    </row>
    <row r="1966" spans="1:17" x14ac:dyDescent="0.35">
      <c r="A1966" s="90" t="str">
        <f>IF(Receipts!$D1969="","",Receipts!$D1969)</f>
        <v/>
      </c>
      <c r="B1966" s="18" t="str">
        <f>IF(Receipts!$C1969="","",Receipts!$C1969)</f>
        <v/>
      </c>
      <c r="C1966" s="18" t="str">
        <f>IF($A1966="","",IFERROR(INDEX(Items!$B$5:$B$597,MATCH($A1966,Items!$A$5:$A$597,0)),""))</f>
        <v/>
      </c>
      <c r="D1966" s="23" t="str">
        <f>IF($A1966="","",N(Receipts!$G1969))</f>
        <v/>
      </c>
      <c r="E1966" s="20" t="str">
        <f>IF($A1966="","",IFERROR(INDEX(Items!$D$5:$D$597,MATCH($A1966,Items!$A$5:$A$597,0)),0))</f>
        <v/>
      </c>
      <c r="F1966" s="21" t="str">
        <f t="shared" si="150"/>
        <v/>
      </c>
      <c r="G1966" s="25" t="str">
        <f>IF(Receipts!$I1969="","",Receipts!$I1969)</f>
        <v/>
      </c>
      <c r="H1966" s="25" t="str">
        <f>IF(Receipts!$H1969="","",Receipts!$H1969)</f>
        <v/>
      </c>
      <c r="I1966" s="26" t="str">
        <f t="shared" ca="1" si="151"/>
        <v/>
      </c>
      <c r="J1966" s="26" t="str">
        <f>IF($A1966="","",COUNTIFS(tblReceipts[Item Name],$A1966,tblReceipts[Expiry Date],"&lt;"&amp;$H1966)+COUNTIFS(tblReceipts[Item Name],$A1966,tblReceipts[Expiry Date],$H1966,tblReceipts[Lot Number],"&lt;="&amp;Receipts!$C1969))</f>
        <v/>
      </c>
      <c r="K1966" s="26" t="str">
        <f>IF($A1966="","",SUMIFS(tblReceipts[Qty Received],tblReceipts[Item Name],$A1966,tblReceipts[Expiry Date],"&lt;"&amp;$H1966)+SUMIFS(tblReceipts[Qty Received],tblReceipts[Item Name],$A1966,tblReceipts[Expiry Date],$H1966,tblReceipts[Lot Number],"&lt;"&amp;Receipts!$C1969))</f>
        <v/>
      </c>
      <c r="L1966" s="26" t="str">
        <f>IF($A1966="","",MIN($D1966,MAX(0,SUMIFS(tblIssues[Qty Issued],tblIssues[Item Name],$A1966)-$K1966)))</f>
        <v/>
      </c>
      <c r="M1966" s="26" t="str">
        <f>IF($A1966="","",SUMIFS(tblIssues[Qty Issued],tblIssues[Lot Number],$B1966))</f>
        <v/>
      </c>
      <c r="N1966" s="26" t="str">
        <f t="shared" si="152"/>
        <v/>
      </c>
      <c r="O1966" s="26" t="str">
        <f t="shared" si="153"/>
        <v/>
      </c>
      <c r="P1966" s="21" t="str">
        <f t="shared" si="154"/>
        <v/>
      </c>
      <c r="Q1966" s="52" t="str">
        <f>IF($A1966="","",IF($O1966&lt;=0,"Depleted",IF($I1966&lt;0,"EXPIRED",IF($I1966&lt;=Settings!$C$6,"CRITICAL",IF($I1966&lt;=Settings!$C$5,"Expiring","In date")))))</f>
        <v/>
      </c>
    </row>
    <row r="1967" spans="1:17" x14ac:dyDescent="0.35">
      <c r="A1967" s="90" t="str">
        <f>IF(Receipts!$D1970="","",Receipts!$D1970)</f>
        <v/>
      </c>
      <c r="B1967" s="18" t="str">
        <f>IF(Receipts!$C1970="","",Receipts!$C1970)</f>
        <v/>
      </c>
      <c r="C1967" s="18" t="str">
        <f>IF($A1967="","",IFERROR(INDEX(Items!$B$5:$B$597,MATCH($A1967,Items!$A$5:$A$597,0)),""))</f>
        <v/>
      </c>
      <c r="D1967" s="23" t="str">
        <f>IF($A1967="","",N(Receipts!$G1970))</f>
        <v/>
      </c>
      <c r="E1967" s="20" t="str">
        <f>IF($A1967="","",IFERROR(INDEX(Items!$D$5:$D$597,MATCH($A1967,Items!$A$5:$A$597,0)),0))</f>
        <v/>
      </c>
      <c r="F1967" s="21" t="str">
        <f t="shared" si="150"/>
        <v/>
      </c>
      <c r="G1967" s="25" t="str">
        <f>IF(Receipts!$I1970="","",Receipts!$I1970)</f>
        <v/>
      </c>
      <c r="H1967" s="25" t="str">
        <f>IF(Receipts!$H1970="","",Receipts!$H1970)</f>
        <v/>
      </c>
      <c r="I1967" s="26" t="str">
        <f t="shared" ca="1" si="151"/>
        <v/>
      </c>
      <c r="J1967" s="26" t="str">
        <f>IF($A1967="","",COUNTIFS(tblReceipts[Item Name],$A1967,tblReceipts[Expiry Date],"&lt;"&amp;$H1967)+COUNTIFS(tblReceipts[Item Name],$A1967,tblReceipts[Expiry Date],$H1967,tblReceipts[Lot Number],"&lt;="&amp;Receipts!$C1970))</f>
        <v/>
      </c>
      <c r="K1967" s="26" t="str">
        <f>IF($A1967="","",SUMIFS(tblReceipts[Qty Received],tblReceipts[Item Name],$A1967,tblReceipts[Expiry Date],"&lt;"&amp;$H1967)+SUMIFS(tblReceipts[Qty Received],tblReceipts[Item Name],$A1967,tblReceipts[Expiry Date],$H1967,tblReceipts[Lot Number],"&lt;"&amp;Receipts!$C1970))</f>
        <v/>
      </c>
      <c r="L1967" s="26" t="str">
        <f>IF($A1967="","",MIN($D1967,MAX(0,SUMIFS(tblIssues[Qty Issued],tblIssues[Item Name],$A1967)-$K1967)))</f>
        <v/>
      </c>
      <c r="M1967" s="26" t="str">
        <f>IF($A1967="","",SUMIFS(tblIssues[Qty Issued],tblIssues[Lot Number],$B1967))</f>
        <v/>
      </c>
      <c r="N1967" s="26" t="str">
        <f t="shared" si="152"/>
        <v/>
      </c>
      <c r="O1967" s="26" t="str">
        <f t="shared" si="153"/>
        <v/>
      </c>
      <c r="P1967" s="21" t="str">
        <f t="shared" si="154"/>
        <v/>
      </c>
      <c r="Q1967" s="52" t="str">
        <f>IF($A1967="","",IF($O1967&lt;=0,"Depleted",IF($I1967&lt;0,"EXPIRED",IF($I1967&lt;=Settings!$C$6,"CRITICAL",IF($I1967&lt;=Settings!$C$5,"Expiring","In date")))))</f>
        <v/>
      </c>
    </row>
    <row r="1968" spans="1:17" x14ac:dyDescent="0.35">
      <c r="A1968" s="90" t="str">
        <f>IF(Receipts!$D1971="","",Receipts!$D1971)</f>
        <v/>
      </c>
      <c r="B1968" s="18" t="str">
        <f>IF(Receipts!$C1971="","",Receipts!$C1971)</f>
        <v/>
      </c>
      <c r="C1968" s="18" t="str">
        <f>IF($A1968="","",IFERROR(INDEX(Items!$B$5:$B$597,MATCH($A1968,Items!$A$5:$A$597,0)),""))</f>
        <v/>
      </c>
      <c r="D1968" s="23" t="str">
        <f>IF($A1968="","",N(Receipts!$G1971))</f>
        <v/>
      </c>
      <c r="E1968" s="20" t="str">
        <f>IF($A1968="","",IFERROR(INDEX(Items!$D$5:$D$597,MATCH($A1968,Items!$A$5:$A$597,0)),0))</f>
        <v/>
      </c>
      <c r="F1968" s="21" t="str">
        <f t="shared" si="150"/>
        <v/>
      </c>
      <c r="G1968" s="25" t="str">
        <f>IF(Receipts!$I1971="","",Receipts!$I1971)</f>
        <v/>
      </c>
      <c r="H1968" s="25" t="str">
        <f>IF(Receipts!$H1971="","",Receipts!$H1971)</f>
        <v/>
      </c>
      <c r="I1968" s="26" t="str">
        <f t="shared" ca="1" si="151"/>
        <v/>
      </c>
      <c r="J1968" s="26" t="str">
        <f>IF($A1968="","",COUNTIFS(tblReceipts[Item Name],$A1968,tblReceipts[Expiry Date],"&lt;"&amp;$H1968)+COUNTIFS(tblReceipts[Item Name],$A1968,tblReceipts[Expiry Date],$H1968,tblReceipts[Lot Number],"&lt;="&amp;Receipts!$C1971))</f>
        <v/>
      </c>
      <c r="K1968" s="26" t="str">
        <f>IF($A1968="","",SUMIFS(tblReceipts[Qty Received],tblReceipts[Item Name],$A1968,tblReceipts[Expiry Date],"&lt;"&amp;$H1968)+SUMIFS(tblReceipts[Qty Received],tblReceipts[Item Name],$A1968,tblReceipts[Expiry Date],$H1968,tblReceipts[Lot Number],"&lt;"&amp;Receipts!$C1971))</f>
        <v/>
      </c>
      <c r="L1968" s="26" t="str">
        <f>IF($A1968="","",MIN($D1968,MAX(0,SUMIFS(tblIssues[Qty Issued],tblIssues[Item Name],$A1968)-$K1968)))</f>
        <v/>
      </c>
      <c r="M1968" s="26" t="str">
        <f>IF($A1968="","",SUMIFS(tblIssues[Qty Issued],tblIssues[Lot Number],$B1968))</f>
        <v/>
      </c>
      <c r="N1968" s="26" t="str">
        <f t="shared" si="152"/>
        <v/>
      </c>
      <c r="O1968" s="26" t="str">
        <f t="shared" si="153"/>
        <v/>
      </c>
      <c r="P1968" s="21" t="str">
        <f t="shared" si="154"/>
        <v/>
      </c>
      <c r="Q1968" s="52" t="str">
        <f>IF($A1968="","",IF($O1968&lt;=0,"Depleted",IF($I1968&lt;0,"EXPIRED",IF($I1968&lt;=Settings!$C$6,"CRITICAL",IF($I1968&lt;=Settings!$C$5,"Expiring","In date")))))</f>
        <v/>
      </c>
    </row>
    <row r="1969" spans="1:17" x14ac:dyDescent="0.35">
      <c r="A1969" s="90" t="str">
        <f>IF(Receipts!$D1972="","",Receipts!$D1972)</f>
        <v/>
      </c>
      <c r="B1969" s="18" t="str">
        <f>IF(Receipts!$C1972="","",Receipts!$C1972)</f>
        <v/>
      </c>
      <c r="C1969" s="18" t="str">
        <f>IF($A1969="","",IFERROR(INDEX(Items!$B$5:$B$597,MATCH($A1969,Items!$A$5:$A$597,0)),""))</f>
        <v/>
      </c>
      <c r="D1969" s="23" t="str">
        <f>IF($A1969="","",N(Receipts!$G1972))</f>
        <v/>
      </c>
      <c r="E1969" s="20" t="str">
        <f>IF($A1969="","",IFERROR(INDEX(Items!$D$5:$D$597,MATCH($A1969,Items!$A$5:$A$597,0)),0))</f>
        <v/>
      </c>
      <c r="F1969" s="21" t="str">
        <f t="shared" si="150"/>
        <v/>
      </c>
      <c r="G1969" s="25" t="str">
        <f>IF(Receipts!$I1972="","",Receipts!$I1972)</f>
        <v/>
      </c>
      <c r="H1969" s="25" t="str">
        <f>IF(Receipts!$H1972="","",Receipts!$H1972)</f>
        <v/>
      </c>
      <c r="I1969" s="26" t="str">
        <f t="shared" ca="1" si="151"/>
        <v/>
      </c>
      <c r="J1969" s="26" t="str">
        <f>IF($A1969="","",COUNTIFS(tblReceipts[Item Name],$A1969,tblReceipts[Expiry Date],"&lt;"&amp;$H1969)+COUNTIFS(tblReceipts[Item Name],$A1969,tblReceipts[Expiry Date],$H1969,tblReceipts[Lot Number],"&lt;="&amp;Receipts!$C1972))</f>
        <v/>
      </c>
      <c r="K1969" s="26" t="str">
        <f>IF($A1969="","",SUMIFS(tblReceipts[Qty Received],tblReceipts[Item Name],$A1969,tblReceipts[Expiry Date],"&lt;"&amp;$H1969)+SUMIFS(tblReceipts[Qty Received],tblReceipts[Item Name],$A1969,tblReceipts[Expiry Date],$H1969,tblReceipts[Lot Number],"&lt;"&amp;Receipts!$C1972))</f>
        <v/>
      </c>
      <c r="L1969" s="26" t="str">
        <f>IF($A1969="","",MIN($D1969,MAX(0,SUMIFS(tblIssues[Qty Issued],tblIssues[Item Name],$A1969)-$K1969)))</f>
        <v/>
      </c>
      <c r="M1969" s="26" t="str">
        <f>IF($A1969="","",SUMIFS(tblIssues[Qty Issued],tblIssues[Lot Number],$B1969))</f>
        <v/>
      </c>
      <c r="N1969" s="26" t="str">
        <f t="shared" si="152"/>
        <v/>
      </c>
      <c r="O1969" s="26" t="str">
        <f t="shared" si="153"/>
        <v/>
      </c>
      <c r="P1969" s="21" t="str">
        <f t="shared" si="154"/>
        <v/>
      </c>
      <c r="Q1969" s="52" t="str">
        <f>IF($A1969="","",IF($O1969&lt;=0,"Depleted",IF($I1969&lt;0,"EXPIRED",IF($I1969&lt;=Settings!$C$6,"CRITICAL",IF($I1969&lt;=Settings!$C$5,"Expiring","In date")))))</f>
        <v/>
      </c>
    </row>
    <row r="1970" spans="1:17" x14ac:dyDescent="0.35">
      <c r="A1970" s="90" t="str">
        <f>IF(Receipts!$D1973="","",Receipts!$D1973)</f>
        <v/>
      </c>
      <c r="B1970" s="18" t="str">
        <f>IF(Receipts!$C1973="","",Receipts!$C1973)</f>
        <v/>
      </c>
      <c r="C1970" s="18" t="str">
        <f>IF($A1970="","",IFERROR(INDEX(Items!$B$5:$B$597,MATCH($A1970,Items!$A$5:$A$597,0)),""))</f>
        <v/>
      </c>
      <c r="D1970" s="23" t="str">
        <f>IF($A1970="","",N(Receipts!$G1973))</f>
        <v/>
      </c>
      <c r="E1970" s="20" t="str">
        <f>IF($A1970="","",IFERROR(INDEX(Items!$D$5:$D$597,MATCH($A1970,Items!$A$5:$A$597,0)),0))</f>
        <v/>
      </c>
      <c r="F1970" s="21" t="str">
        <f t="shared" si="150"/>
        <v/>
      </c>
      <c r="G1970" s="25" t="str">
        <f>IF(Receipts!$I1973="","",Receipts!$I1973)</f>
        <v/>
      </c>
      <c r="H1970" s="25" t="str">
        <f>IF(Receipts!$H1973="","",Receipts!$H1973)</f>
        <v/>
      </c>
      <c r="I1970" s="26" t="str">
        <f t="shared" ca="1" si="151"/>
        <v/>
      </c>
      <c r="J1970" s="26" t="str">
        <f>IF($A1970="","",COUNTIFS(tblReceipts[Item Name],$A1970,tblReceipts[Expiry Date],"&lt;"&amp;$H1970)+COUNTIFS(tblReceipts[Item Name],$A1970,tblReceipts[Expiry Date],$H1970,tblReceipts[Lot Number],"&lt;="&amp;Receipts!$C1973))</f>
        <v/>
      </c>
      <c r="K1970" s="26" t="str">
        <f>IF($A1970="","",SUMIFS(tblReceipts[Qty Received],tblReceipts[Item Name],$A1970,tblReceipts[Expiry Date],"&lt;"&amp;$H1970)+SUMIFS(tblReceipts[Qty Received],tblReceipts[Item Name],$A1970,tblReceipts[Expiry Date],$H1970,tblReceipts[Lot Number],"&lt;"&amp;Receipts!$C1973))</f>
        <v/>
      </c>
      <c r="L1970" s="26" t="str">
        <f>IF($A1970="","",MIN($D1970,MAX(0,SUMIFS(tblIssues[Qty Issued],tblIssues[Item Name],$A1970)-$K1970)))</f>
        <v/>
      </c>
      <c r="M1970" s="26" t="str">
        <f>IF($A1970="","",SUMIFS(tblIssues[Qty Issued],tblIssues[Lot Number],$B1970))</f>
        <v/>
      </c>
      <c r="N1970" s="26" t="str">
        <f t="shared" si="152"/>
        <v/>
      </c>
      <c r="O1970" s="26" t="str">
        <f t="shared" si="153"/>
        <v/>
      </c>
      <c r="P1970" s="21" t="str">
        <f t="shared" si="154"/>
        <v/>
      </c>
      <c r="Q1970" s="52" t="str">
        <f>IF($A1970="","",IF($O1970&lt;=0,"Depleted",IF($I1970&lt;0,"EXPIRED",IF($I1970&lt;=Settings!$C$6,"CRITICAL",IF($I1970&lt;=Settings!$C$5,"Expiring","In date")))))</f>
        <v/>
      </c>
    </row>
    <row r="1971" spans="1:17" x14ac:dyDescent="0.35">
      <c r="A1971" s="90" t="str">
        <f>IF(Receipts!$D1974="","",Receipts!$D1974)</f>
        <v/>
      </c>
      <c r="B1971" s="18" t="str">
        <f>IF(Receipts!$C1974="","",Receipts!$C1974)</f>
        <v/>
      </c>
      <c r="C1971" s="18" t="str">
        <f>IF($A1971="","",IFERROR(INDEX(Items!$B$5:$B$597,MATCH($A1971,Items!$A$5:$A$597,0)),""))</f>
        <v/>
      </c>
      <c r="D1971" s="23" t="str">
        <f>IF($A1971="","",N(Receipts!$G1974))</f>
        <v/>
      </c>
      <c r="E1971" s="20" t="str">
        <f>IF($A1971="","",IFERROR(INDEX(Items!$D$5:$D$597,MATCH($A1971,Items!$A$5:$A$597,0)),0))</f>
        <v/>
      </c>
      <c r="F1971" s="21" t="str">
        <f t="shared" si="150"/>
        <v/>
      </c>
      <c r="G1971" s="25" t="str">
        <f>IF(Receipts!$I1974="","",Receipts!$I1974)</f>
        <v/>
      </c>
      <c r="H1971" s="25" t="str">
        <f>IF(Receipts!$H1974="","",Receipts!$H1974)</f>
        <v/>
      </c>
      <c r="I1971" s="26" t="str">
        <f t="shared" ca="1" si="151"/>
        <v/>
      </c>
      <c r="J1971" s="26" t="str">
        <f>IF($A1971="","",COUNTIFS(tblReceipts[Item Name],$A1971,tblReceipts[Expiry Date],"&lt;"&amp;$H1971)+COUNTIFS(tblReceipts[Item Name],$A1971,tblReceipts[Expiry Date],$H1971,tblReceipts[Lot Number],"&lt;="&amp;Receipts!$C1974))</f>
        <v/>
      </c>
      <c r="K1971" s="26" t="str">
        <f>IF($A1971="","",SUMIFS(tblReceipts[Qty Received],tblReceipts[Item Name],$A1971,tblReceipts[Expiry Date],"&lt;"&amp;$H1971)+SUMIFS(tblReceipts[Qty Received],tblReceipts[Item Name],$A1971,tblReceipts[Expiry Date],$H1971,tblReceipts[Lot Number],"&lt;"&amp;Receipts!$C1974))</f>
        <v/>
      </c>
      <c r="L1971" s="26" t="str">
        <f>IF($A1971="","",MIN($D1971,MAX(0,SUMIFS(tblIssues[Qty Issued],tblIssues[Item Name],$A1971)-$K1971)))</f>
        <v/>
      </c>
      <c r="M1971" s="26" t="str">
        <f>IF($A1971="","",SUMIFS(tblIssues[Qty Issued],tblIssues[Lot Number],$B1971))</f>
        <v/>
      </c>
      <c r="N1971" s="26" t="str">
        <f t="shared" si="152"/>
        <v/>
      </c>
      <c r="O1971" s="26" t="str">
        <f t="shared" si="153"/>
        <v/>
      </c>
      <c r="P1971" s="21" t="str">
        <f t="shared" si="154"/>
        <v/>
      </c>
      <c r="Q1971" s="52" t="str">
        <f>IF($A1971="","",IF($O1971&lt;=0,"Depleted",IF($I1971&lt;0,"EXPIRED",IF($I1971&lt;=Settings!$C$6,"CRITICAL",IF($I1971&lt;=Settings!$C$5,"Expiring","In date")))))</f>
        <v/>
      </c>
    </row>
    <row r="1972" spans="1:17" x14ac:dyDescent="0.35">
      <c r="A1972" s="90" t="str">
        <f>IF(Receipts!$D1975="","",Receipts!$D1975)</f>
        <v/>
      </c>
      <c r="B1972" s="18" t="str">
        <f>IF(Receipts!$C1975="","",Receipts!$C1975)</f>
        <v/>
      </c>
      <c r="C1972" s="18" t="str">
        <f>IF($A1972="","",IFERROR(INDEX(Items!$B$5:$B$597,MATCH($A1972,Items!$A$5:$A$597,0)),""))</f>
        <v/>
      </c>
      <c r="D1972" s="23" t="str">
        <f>IF($A1972="","",N(Receipts!$G1975))</f>
        <v/>
      </c>
      <c r="E1972" s="20" t="str">
        <f>IF($A1972="","",IFERROR(INDEX(Items!$D$5:$D$597,MATCH($A1972,Items!$A$5:$A$597,0)),0))</f>
        <v/>
      </c>
      <c r="F1972" s="21" t="str">
        <f t="shared" si="150"/>
        <v/>
      </c>
      <c r="G1972" s="25" t="str">
        <f>IF(Receipts!$I1975="","",Receipts!$I1975)</f>
        <v/>
      </c>
      <c r="H1972" s="25" t="str">
        <f>IF(Receipts!$H1975="","",Receipts!$H1975)</f>
        <v/>
      </c>
      <c r="I1972" s="26" t="str">
        <f t="shared" ca="1" si="151"/>
        <v/>
      </c>
      <c r="J1972" s="26" t="str">
        <f>IF($A1972="","",COUNTIFS(tblReceipts[Item Name],$A1972,tblReceipts[Expiry Date],"&lt;"&amp;$H1972)+COUNTIFS(tblReceipts[Item Name],$A1972,tblReceipts[Expiry Date],$H1972,tblReceipts[Lot Number],"&lt;="&amp;Receipts!$C1975))</f>
        <v/>
      </c>
      <c r="K1972" s="26" t="str">
        <f>IF($A1972="","",SUMIFS(tblReceipts[Qty Received],tblReceipts[Item Name],$A1972,tblReceipts[Expiry Date],"&lt;"&amp;$H1972)+SUMIFS(tblReceipts[Qty Received],tblReceipts[Item Name],$A1972,tblReceipts[Expiry Date],$H1972,tblReceipts[Lot Number],"&lt;"&amp;Receipts!$C1975))</f>
        <v/>
      </c>
      <c r="L1972" s="26" t="str">
        <f>IF($A1972="","",MIN($D1972,MAX(0,SUMIFS(tblIssues[Qty Issued],tblIssues[Item Name],$A1972)-$K1972)))</f>
        <v/>
      </c>
      <c r="M1972" s="26" t="str">
        <f>IF($A1972="","",SUMIFS(tblIssues[Qty Issued],tblIssues[Lot Number],$B1972))</f>
        <v/>
      </c>
      <c r="N1972" s="26" t="str">
        <f t="shared" si="152"/>
        <v/>
      </c>
      <c r="O1972" s="26" t="str">
        <f t="shared" si="153"/>
        <v/>
      </c>
      <c r="P1972" s="21" t="str">
        <f t="shared" si="154"/>
        <v/>
      </c>
      <c r="Q1972" s="52" t="str">
        <f>IF($A1972="","",IF($O1972&lt;=0,"Depleted",IF($I1972&lt;0,"EXPIRED",IF($I1972&lt;=Settings!$C$6,"CRITICAL",IF($I1972&lt;=Settings!$C$5,"Expiring","In date")))))</f>
        <v/>
      </c>
    </row>
    <row r="1973" spans="1:17" x14ac:dyDescent="0.35">
      <c r="A1973" s="90" t="str">
        <f>IF(Receipts!$D1976="","",Receipts!$D1976)</f>
        <v/>
      </c>
      <c r="B1973" s="18" t="str">
        <f>IF(Receipts!$C1976="","",Receipts!$C1976)</f>
        <v/>
      </c>
      <c r="C1973" s="18" t="str">
        <f>IF($A1973="","",IFERROR(INDEX(Items!$B$5:$B$597,MATCH($A1973,Items!$A$5:$A$597,0)),""))</f>
        <v/>
      </c>
      <c r="D1973" s="23" t="str">
        <f>IF($A1973="","",N(Receipts!$G1976))</f>
        <v/>
      </c>
      <c r="E1973" s="20" t="str">
        <f>IF($A1973="","",IFERROR(INDEX(Items!$D$5:$D$597,MATCH($A1973,Items!$A$5:$A$597,0)),0))</f>
        <v/>
      </c>
      <c r="F1973" s="21" t="str">
        <f t="shared" si="150"/>
        <v/>
      </c>
      <c r="G1973" s="25" t="str">
        <f>IF(Receipts!$I1976="","",Receipts!$I1976)</f>
        <v/>
      </c>
      <c r="H1973" s="25" t="str">
        <f>IF(Receipts!$H1976="","",Receipts!$H1976)</f>
        <v/>
      </c>
      <c r="I1973" s="26" t="str">
        <f t="shared" ca="1" si="151"/>
        <v/>
      </c>
      <c r="J1973" s="26" t="str">
        <f>IF($A1973="","",COUNTIFS(tblReceipts[Item Name],$A1973,tblReceipts[Expiry Date],"&lt;"&amp;$H1973)+COUNTIFS(tblReceipts[Item Name],$A1973,tblReceipts[Expiry Date],$H1973,tblReceipts[Lot Number],"&lt;="&amp;Receipts!$C1976))</f>
        <v/>
      </c>
      <c r="K1973" s="26" t="str">
        <f>IF($A1973="","",SUMIFS(tblReceipts[Qty Received],tblReceipts[Item Name],$A1973,tblReceipts[Expiry Date],"&lt;"&amp;$H1973)+SUMIFS(tblReceipts[Qty Received],tblReceipts[Item Name],$A1973,tblReceipts[Expiry Date],$H1973,tblReceipts[Lot Number],"&lt;"&amp;Receipts!$C1976))</f>
        <v/>
      </c>
      <c r="L1973" s="26" t="str">
        <f>IF($A1973="","",MIN($D1973,MAX(0,SUMIFS(tblIssues[Qty Issued],tblIssues[Item Name],$A1973)-$K1973)))</f>
        <v/>
      </c>
      <c r="M1973" s="26" t="str">
        <f>IF($A1973="","",SUMIFS(tblIssues[Qty Issued],tblIssues[Lot Number],$B1973))</f>
        <v/>
      </c>
      <c r="N1973" s="26" t="str">
        <f t="shared" si="152"/>
        <v/>
      </c>
      <c r="O1973" s="26" t="str">
        <f t="shared" si="153"/>
        <v/>
      </c>
      <c r="P1973" s="21" t="str">
        <f t="shared" si="154"/>
        <v/>
      </c>
      <c r="Q1973" s="52" t="str">
        <f>IF($A1973="","",IF($O1973&lt;=0,"Depleted",IF($I1973&lt;0,"EXPIRED",IF($I1973&lt;=Settings!$C$6,"CRITICAL",IF($I1973&lt;=Settings!$C$5,"Expiring","In date")))))</f>
        <v/>
      </c>
    </row>
    <row r="1974" spans="1:17" x14ac:dyDescent="0.35">
      <c r="A1974" s="90" t="str">
        <f>IF(Receipts!$D1977="","",Receipts!$D1977)</f>
        <v/>
      </c>
      <c r="B1974" s="18" t="str">
        <f>IF(Receipts!$C1977="","",Receipts!$C1977)</f>
        <v/>
      </c>
      <c r="C1974" s="18" t="str">
        <f>IF($A1974="","",IFERROR(INDEX(Items!$B$5:$B$597,MATCH($A1974,Items!$A$5:$A$597,0)),""))</f>
        <v/>
      </c>
      <c r="D1974" s="23" t="str">
        <f>IF($A1974="","",N(Receipts!$G1977))</f>
        <v/>
      </c>
      <c r="E1974" s="20" t="str">
        <f>IF($A1974="","",IFERROR(INDEX(Items!$D$5:$D$597,MATCH($A1974,Items!$A$5:$A$597,0)),0))</f>
        <v/>
      </c>
      <c r="F1974" s="21" t="str">
        <f t="shared" si="150"/>
        <v/>
      </c>
      <c r="G1974" s="25" t="str">
        <f>IF(Receipts!$I1977="","",Receipts!$I1977)</f>
        <v/>
      </c>
      <c r="H1974" s="25" t="str">
        <f>IF(Receipts!$H1977="","",Receipts!$H1977)</f>
        <v/>
      </c>
      <c r="I1974" s="26" t="str">
        <f t="shared" ca="1" si="151"/>
        <v/>
      </c>
      <c r="J1974" s="26" t="str">
        <f>IF($A1974="","",COUNTIFS(tblReceipts[Item Name],$A1974,tblReceipts[Expiry Date],"&lt;"&amp;$H1974)+COUNTIFS(tblReceipts[Item Name],$A1974,tblReceipts[Expiry Date],$H1974,tblReceipts[Lot Number],"&lt;="&amp;Receipts!$C1977))</f>
        <v/>
      </c>
      <c r="K1974" s="26" t="str">
        <f>IF($A1974="","",SUMIFS(tblReceipts[Qty Received],tblReceipts[Item Name],$A1974,tblReceipts[Expiry Date],"&lt;"&amp;$H1974)+SUMIFS(tblReceipts[Qty Received],tblReceipts[Item Name],$A1974,tblReceipts[Expiry Date],$H1974,tblReceipts[Lot Number],"&lt;"&amp;Receipts!$C1977))</f>
        <v/>
      </c>
      <c r="L1974" s="26" t="str">
        <f>IF($A1974="","",MIN($D1974,MAX(0,SUMIFS(tblIssues[Qty Issued],tblIssues[Item Name],$A1974)-$K1974)))</f>
        <v/>
      </c>
      <c r="M1974" s="26" t="str">
        <f>IF($A1974="","",SUMIFS(tblIssues[Qty Issued],tblIssues[Lot Number],$B1974))</f>
        <v/>
      </c>
      <c r="N1974" s="26" t="str">
        <f t="shared" si="152"/>
        <v/>
      </c>
      <c r="O1974" s="26" t="str">
        <f t="shared" si="153"/>
        <v/>
      </c>
      <c r="P1974" s="21" t="str">
        <f t="shared" si="154"/>
        <v/>
      </c>
      <c r="Q1974" s="52" t="str">
        <f>IF($A1974="","",IF($O1974&lt;=0,"Depleted",IF($I1974&lt;0,"EXPIRED",IF($I1974&lt;=Settings!$C$6,"CRITICAL",IF($I1974&lt;=Settings!$C$5,"Expiring","In date")))))</f>
        <v/>
      </c>
    </row>
    <row r="1975" spans="1:17" x14ac:dyDescent="0.35">
      <c r="A1975" s="90" t="str">
        <f>IF(Receipts!$D1978="","",Receipts!$D1978)</f>
        <v/>
      </c>
      <c r="B1975" s="18" t="str">
        <f>IF(Receipts!$C1978="","",Receipts!$C1978)</f>
        <v/>
      </c>
      <c r="C1975" s="18" t="str">
        <f>IF($A1975="","",IFERROR(INDEX(Items!$B$5:$B$597,MATCH($A1975,Items!$A$5:$A$597,0)),""))</f>
        <v/>
      </c>
      <c r="D1975" s="23" t="str">
        <f>IF($A1975="","",N(Receipts!$G1978))</f>
        <v/>
      </c>
      <c r="E1975" s="20" t="str">
        <f>IF($A1975="","",IFERROR(INDEX(Items!$D$5:$D$597,MATCH($A1975,Items!$A$5:$A$597,0)),0))</f>
        <v/>
      </c>
      <c r="F1975" s="21" t="str">
        <f t="shared" si="150"/>
        <v/>
      </c>
      <c r="G1975" s="25" t="str">
        <f>IF(Receipts!$I1978="","",Receipts!$I1978)</f>
        <v/>
      </c>
      <c r="H1975" s="25" t="str">
        <f>IF(Receipts!$H1978="","",Receipts!$H1978)</f>
        <v/>
      </c>
      <c r="I1975" s="26" t="str">
        <f t="shared" ca="1" si="151"/>
        <v/>
      </c>
      <c r="J1975" s="26" t="str">
        <f>IF($A1975="","",COUNTIFS(tblReceipts[Item Name],$A1975,tblReceipts[Expiry Date],"&lt;"&amp;$H1975)+COUNTIFS(tblReceipts[Item Name],$A1975,tblReceipts[Expiry Date],$H1975,tblReceipts[Lot Number],"&lt;="&amp;Receipts!$C1978))</f>
        <v/>
      </c>
      <c r="K1975" s="26" t="str">
        <f>IF($A1975="","",SUMIFS(tblReceipts[Qty Received],tblReceipts[Item Name],$A1975,tblReceipts[Expiry Date],"&lt;"&amp;$H1975)+SUMIFS(tblReceipts[Qty Received],tblReceipts[Item Name],$A1975,tblReceipts[Expiry Date],$H1975,tblReceipts[Lot Number],"&lt;"&amp;Receipts!$C1978))</f>
        <v/>
      </c>
      <c r="L1975" s="26" t="str">
        <f>IF($A1975="","",MIN($D1975,MAX(0,SUMIFS(tblIssues[Qty Issued],tblIssues[Item Name],$A1975)-$K1975)))</f>
        <v/>
      </c>
      <c r="M1975" s="26" t="str">
        <f>IF($A1975="","",SUMIFS(tblIssues[Qty Issued],tblIssues[Lot Number],$B1975))</f>
        <v/>
      </c>
      <c r="N1975" s="26" t="str">
        <f t="shared" si="152"/>
        <v/>
      </c>
      <c r="O1975" s="26" t="str">
        <f t="shared" si="153"/>
        <v/>
      </c>
      <c r="P1975" s="21" t="str">
        <f t="shared" si="154"/>
        <v/>
      </c>
      <c r="Q1975" s="52" t="str">
        <f>IF($A1975="","",IF($O1975&lt;=0,"Depleted",IF($I1975&lt;0,"EXPIRED",IF($I1975&lt;=Settings!$C$6,"CRITICAL",IF($I1975&lt;=Settings!$C$5,"Expiring","In date")))))</f>
        <v/>
      </c>
    </row>
    <row r="1976" spans="1:17" x14ac:dyDescent="0.35">
      <c r="A1976" s="90" t="str">
        <f>IF(Receipts!$D1979="","",Receipts!$D1979)</f>
        <v/>
      </c>
      <c r="B1976" s="18" t="str">
        <f>IF(Receipts!$C1979="","",Receipts!$C1979)</f>
        <v/>
      </c>
      <c r="C1976" s="18" t="str">
        <f>IF($A1976="","",IFERROR(INDEX(Items!$B$5:$B$597,MATCH($A1976,Items!$A$5:$A$597,0)),""))</f>
        <v/>
      </c>
      <c r="D1976" s="23" t="str">
        <f>IF($A1976="","",N(Receipts!$G1979))</f>
        <v/>
      </c>
      <c r="E1976" s="20" t="str">
        <f>IF($A1976="","",IFERROR(INDEX(Items!$D$5:$D$597,MATCH($A1976,Items!$A$5:$A$597,0)),0))</f>
        <v/>
      </c>
      <c r="F1976" s="21" t="str">
        <f t="shared" si="150"/>
        <v/>
      </c>
      <c r="G1976" s="25" t="str">
        <f>IF(Receipts!$I1979="","",Receipts!$I1979)</f>
        <v/>
      </c>
      <c r="H1976" s="25" t="str">
        <f>IF(Receipts!$H1979="","",Receipts!$H1979)</f>
        <v/>
      </c>
      <c r="I1976" s="26" t="str">
        <f t="shared" ca="1" si="151"/>
        <v/>
      </c>
      <c r="J1976" s="26" t="str">
        <f>IF($A1976="","",COUNTIFS(tblReceipts[Item Name],$A1976,tblReceipts[Expiry Date],"&lt;"&amp;$H1976)+COUNTIFS(tblReceipts[Item Name],$A1976,tblReceipts[Expiry Date],$H1976,tblReceipts[Lot Number],"&lt;="&amp;Receipts!$C1979))</f>
        <v/>
      </c>
      <c r="K1976" s="26" t="str">
        <f>IF($A1976="","",SUMIFS(tblReceipts[Qty Received],tblReceipts[Item Name],$A1976,tblReceipts[Expiry Date],"&lt;"&amp;$H1976)+SUMIFS(tblReceipts[Qty Received],tblReceipts[Item Name],$A1976,tblReceipts[Expiry Date],$H1976,tblReceipts[Lot Number],"&lt;"&amp;Receipts!$C1979))</f>
        <v/>
      </c>
      <c r="L1976" s="26" t="str">
        <f>IF($A1976="","",MIN($D1976,MAX(0,SUMIFS(tblIssues[Qty Issued],tblIssues[Item Name],$A1976)-$K1976)))</f>
        <v/>
      </c>
      <c r="M1976" s="26" t="str">
        <f>IF($A1976="","",SUMIFS(tblIssues[Qty Issued],tblIssues[Lot Number],$B1976))</f>
        <v/>
      </c>
      <c r="N1976" s="26" t="str">
        <f t="shared" si="152"/>
        <v/>
      </c>
      <c r="O1976" s="26" t="str">
        <f t="shared" si="153"/>
        <v/>
      </c>
      <c r="P1976" s="21" t="str">
        <f t="shared" si="154"/>
        <v/>
      </c>
      <c r="Q1976" s="52" t="str">
        <f>IF($A1976="","",IF($O1976&lt;=0,"Depleted",IF($I1976&lt;0,"EXPIRED",IF($I1976&lt;=Settings!$C$6,"CRITICAL",IF($I1976&lt;=Settings!$C$5,"Expiring","In date")))))</f>
        <v/>
      </c>
    </row>
    <row r="1977" spans="1:17" x14ac:dyDescent="0.35">
      <c r="A1977" s="90" t="str">
        <f>IF(Receipts!$D1980="","",Receipts!$D1980)</f>
        <v/>
      </c>
      <c r="B1977" s="18" t="str">
        <f>IF(Receipts!$C1980="","",Receipts!$C1980)</f>
        <v/>
      </c>
      <c r="C1977" s="18" t="str">
        <f>IF($A1977="","",IFERROR(INDEX(Items!$B$5:$B$597,MATCH($A1977,Items!$A$5:$A$597,0)),""))</f>
        <v/>
      </c>
      <c r="D1977" s="23" t="str">
        <f>IF($A1977="","",N(Receipts!$G1980))</f>
        <v/>
      </c>
      <c r="E1977" s="20" t="str">
        <f>IF($A1977="","",IFERROR(INDEX(Items!$D$5:$D$597,MATCH($A1977,Items!$A$5:$A$597,0)),0))</f>
        <v/>
      </c>
      <c r="F1977" s="21" t="str">
        <f t="shared" si="150"/>
        <v/>
      </c>
      <c r="G1977" s="25" t="str">
        <f>IF(Receipts!$I1980="","",Receipts!$I1980)</f>
        <v/>
      </c>
      <c r="H1977" s="25" t="str">
        <f>IF(Receipts!$H1980="","",Receipts!$H1980)</f>
        <v/>
      </c>
      <c r="I1977" s="26" t="str">
        <f t="shared" ca="1" si="151"/>
        <v/>
      </c>
      <c r="J1977" s="26" t="str">
        <f>IF($A1977="","",COUNTIFS(tblReceipts[Item Name],$A1977,tblReceipts[Expiry Date],"&lt;"&amp;$H1977)+COUNTIFS(tblReceipts[Item Name],$A1977,tblReceipts[Expiry Date],$H1977,tblReceipts[Lot Number],"&lt;="&amp;Receipts!$C1980))</f>
        <v/>
      </c>
      <c r="K1977" s="26" t="str">
        <f>IF($A1977="","",SUMIFS(tblReceipts[Qty Received],tblReceipts[Item Name],$A1977,tblReceipts[Expiry Date],"&lt;"&amp;$H1977)+SUMIFS(tblReceipts[Qty Received],tblReceipts[Item Name],$A1977,tblReceipts[Expiry Date],$H1977,tblReceipts[Lot Number],"&lt;"&amp;Receipts!$C1980))</f>
        <v/>
      </c>
      <c r="L1977" s="26" t="str">
        <f>IF($A1977="","",MIN($D1977,MAX(0,SUMIFS(tblIssues[Qty Issued],tblIssues[Item Name],$A1977)-$K1977)))</f>
        <v/>
      </c>
      <c r="M1977" s="26" t="str">
        <f>IF($A1977="","",SUMIFS(tblIssues[Qty Issued],tblIssues[Lot Number],$B1977))</f>
        <v/>
      </c>
      <c r="N1977" s="26" t="str">
        <f t="shared" si="152"/>
        <v/>
      </c>
      <c r="O1977" s="26" t="str">
        <f t="shared" si="153"/>
        <v/>
      </c>
      <c r="P1977" s="21" t="str">
        <f t="shared" si="154"/>
        <v/>
      </c>
      <c r="Q1977" s="52" t="str">
        <f>IF($A1977="","",IF($O1977&lt;=0,"Depleted",IF($I1977&lt;0,"EXPIRED",IF($I1977&lt;=Settings!$C$6,"CRITICAL",IF($I1977&lt;=Settings!$C$5,"Expiring","In date")))))</f>
        <v/>
      </c>
    </row>
    <row r="1978" spans="1:17" x14ac:dyDescent="0.35">
      <c r="A1978" s="90" t="str">
        <f>IF(Receipts!$D1981="","",Receipts!$D1981)</f>
        <v/>
      </c>
      <c r="B1978" s="18" t="str">
        <f>IF(Receipts!$C1981="","",Receipts!$C1981)</f>
        <v/>
      </c>
      <c r="C1978" s="18" t="str">
        <f>IF($A1978="","",IFERROR(INDEX(Items!$B$5:$B$597,MATCH($A1978,Items!$A$5:$A$597,0)),""))</f>
        <v/>
      </c>
      <c r="D1978" s="23" t="str">
        <f>IF($A1978="","",N(Receipts!$G1981))</f>
        <v/>
      </c>
      <c r="E1978" s="20" t="str">
        <f>IF($A1978="","",IFERROR(INDEX(Items!$D$5:$D$597,MATCH($A1978,Items!$A$5:$A$597,0)),0))</f>
        <v/>
      </c>
      <c r="F1978" s="21" t="str">
        <f t="shared" si="150"/>
        <v/>
      </c>
      <c r="G1978" s="25" t="str">
        <f>IF(Receipts!$I1981="","",Receipts!$I1981)</f>
        <v/>
      </c>
      <c r="H1978" s="25" t="str">
        <f>IF(Receipts!$H1981="","",Receipts!$H1981)</f>
        <v/>
      </c>
      <c r="I1978" s="26" t="str">
        <f t="shared" ca="1" si="151"/>
        <v/>
      </c>
      <c r="J1978" s="26" t="str">
        <f>IF($A1978="","",COUNTIFS(tblReceipts[Item Name],$A1978,tblReceipts[Expiry Date],"&lt;"&amp;$H1978)+COUNTIFS(tblReceipts[Item Name],$A1978,tblReceipts[Expiry Date],$H1978,tblReceipts[Lot Number],"&lt;="&amp;Receipts!$C1981))</f>
        <v/>
      </c>
      <c r="K1978" s="26" t="str">
        <f>IF($A1978="","",SUMIFS(tblReceipts[Qty Received],tblReceipts[Item Name],$A1978,tblReceipts[Expiry Date],"&lt;"&amp;$H1978)+SUMIFS(tblReceipts[Qty Received],tblReceipts[Item Name],$A1978,tblReceipts[Expiry Date],$H1978,tblReceipts[Lot Number],"&lt;"&amp;Receipts!$C1981))</f>
        <v/>
      </c>
      <c r="L1978" s="26" t="str">
        <f>IF($A1978="","",MIN($D1978,MAX(0,SUMIFS(tblIssues[Qty Issued],tblIssues[Item Name],$A1978)-$K1978)))</f>
        <v/>
      </c>
      <c r="M1978" s="26" t="str">
        <f>IF($A1978="","",SUMIFS(tblIssues[Qty Issued],tblIssues[Lot Number],$B1978))</f>
        <v/>
      </c>
      <c r="N1978" s="26" t="str">
        <f t="shared" si="152"/>
        <v/>
      </c>
      <c r="O1978" s="26" t="str">
        <f t="shared" si="153"/>
        <v/>
      </c>
      <c r="P1978" s="21" t="str">
        <f t="shared" si="154"/>
        <v/>
      </c>
      <c r="Q1978" s="52" t="str">
        <f>IF($A1978="","",IF($O1978&lt;=0,"Depleted",IF($I1978&lt;0,"EXPIRED",IF($I1978&lt;=Settings!$C$6,"CRITICAL",IF($I1978&lt;=Settings!$C$5,"Expiring","In date")))))</f>
        <v/>
      </c>
    </row>
    <row r="1979" spans="1:17" x14ac:dyDescent="0.35">
      <c r="A1979" s="90" t="str">
        <f>IF(Receipts!$D1982="","",Receipts!$D1982)</f>
        <v/>
      </c>
      <c r="B1979" s="18" t="str">
        <f>IF(Receipts!$C1982="","",Receipts!$C1982)</f>
        <v/>
      </c>
      <c r="C1979" s="18" t="str">
        <f>IF($A1979="","",IFERROR(INDEX(Items!$B$5:$B$597,MATCH($A1979,Items!$A$5:$A$597,0)),""))</f>
        <v/>
      </c>
      <c r="D1979" s="23" t="str">
        <f>IF($A1979="","",N(Receipts!$G1982))</f>
        <v/>
      </c>
      <c r="E1979" s="20" t="str">
        <f>IF($A1979="","",IFERROR(INDEX(Items!$D$5:$D$597,MATCH($A1979,Items!$A$5:$A$597,0)),0))</f>
        <v/>
      </c>
      <c r="F1979" s="21" t="str">
        <f t="shared" si="150"/>
        <v/>
      </c>
      <c r="G1979" s="25" t="str">
        <f>IF(Receipts!$I1982="","",Receipts!$I1982)</f>
        <v/>
      </c>
      <c r="H1979" s="25" t="str">
        <f>IF(Receipts!$H1982="","",Receipts!$H1982)</f>
        <v/>
      </c>
      <c r="I1979" s="26" t="str">
        <f t="shared" ca="1" si="151"/>
        <v/>
      </c>
      <c r="J1979" s="26" t="str">
        <f>IF($A1979="","",COUNTIFS(tblReceipts[Item Name],$A1979,tblReceipts[Expiry Date],"&lt;"&amp;$H1979)+COUNTIFS(tblReceipts[Item Name],$A1979,tblReceipts[Expiry Date],$H1979,tblReceipts[Lot Number],"&lt;="&amp;Receipts!$C1982))</f>
        <v/>
      </c>
      <c r="K1979" s="26" t="str">
        <f>IF($A1979="","",SUMIFS(tblReceipts[Qty Received],tblReceipts[Item Name],$A1979,tblReceipts[Expiry Date],"&lt;"&amp;$H1979)+SUMIFS(tblReceipts[Qty Received],tblReceipts[Item Name],$A1979,tblReceipts[Expiry Date],$H1979,tblReceipts[Lot Number],"&lt;"&amp;Receipts!$C1982))</f>
        <v/>
      </c>
      <c r="L1979" s="26" t="str">
        <f>IF($A1979="","",MIN($D1979,MAX(0,SUMIFS(tblIssues[Qty Issued],tblIssues[Item Name],$A1979)-$K1979)))</f>
        <v/>
      </c>
      <c r="M1979" s="26" t="str">
        <f>IF($A1979="","",SUMIFS(tblIssues[Qty Issued],tblIssues[Lot Number],$B1979))</f>
        <v/>
      </c>
      <c r="N1979" s="26" t="str">
        <f t="shared" si="152"/>
        <v/>
      </c>
      <c r="O1979" s="26" t="str">
        <f t="shared" si="153"/>
        <v/>
      </c>
      <c r="P1979" s="21" t="str">
        <f t="shared" si="154"/>
        <v/>
      </c>
      <c r="Q1979" s="52" t="str">
        <f>IF($A1979="","",IF($O1979&lt;=0,"Depleted",IF($I1979&lt;0,"EXPIRED",IF($I1979&lt;=Settings!$C$6,"CRITICAL",IF($I1979&lt;=Settings!$C$5,"Expiring","In date")))))</f>
        <v/>
      </c>
    </row>
    <row r="1980" spans="1:17" x14ac:dyDescent="0.35">
      <c r="A1980" s="90" t="str">
        <f>IF(Receipts!$D1983="","",Receipts!$D1983)</f>
        <v/>
      </c>
      <c r="B1980" s="18" t="str">
        <f>IF(Receipts!$C1983="","",Receipts!$C1983)</f>
        <v/>
      </c>
      <c r="C1980" s="18" t="str">
        <f>IF($A1980="","",IFERROR(INDEX(Items!$B$5:$B$597,MATCH($A1980,Items!$A$5:$A$597,0)),""))</f>
        <v/>
      </c>
      <c r="D1980" s="23" t="str">
        <f>IF($A1980="","",N(Receipts!$G1983))</f>
        <v/>
      </c>
      <c r="E1980" s="20" t="str">
        <f>IF($A1980="","",IFERROR(INDEX(Items!$D$5:$D$597,MATCH($A1980,Items!$A$5:$A$597,0)),0))</f>
        <v/>
      </c>
      <c r="F1980" s="21" t="str">
        <f t="shared" si="150"/>
        <v/>
      </c>
      <c r="G1980" s="25" t="str">
        <f>IF(Receipts!$I1983="","",Receipts!$I1983)</f>
        <v/>
      </c>
      <c r="H1980" s="25" t="str">
        <f>IF(Receipts!$H1983="","",Receipts!$H1983)</f>
        <v/>
      </c>
      <c r="I1980" s="26" t="str">
        <f t="shared" ca="1" si="151"/>
        <v/>
      </c>
      <c r="J1980" s="26" t="str">
        <f>IF($A1980="","",COUNTIFS(tblReceipts[Item Name],$A1980,tblReceipts[Expiry Date],"&lt;"&amp;$H1980)+COUNTIFS(tblReceipts[Item Name],$A1980,tblReceipts[Expiry Date],$H1980,tblReceipts[Lot Number],"&lt;="&amp;Receipts!$C1983))</f>
        <v/>
      </c>
      <c r="K1980" s="26" t="str">
        <f>IF($A1980="","",SUMIFS(tblReceipts[Qty Received],tblReceipts[Item Name],$A1980,tblReceipts[Expiry Date],"&lt;"&amp;$H1980)+SUMIFS(tblReceipts[Qty Received],tblReceipts[Item Name],$A1980,tblReceipts[Expiry Date],$H1980,tblReceipts[Lot Number],"&lt;"&amp;Receipts!$C1983))</f>
        <v/>
      </c>
      <c r="L1980" s="26" t="str">
        <f>IF($A1980="","",MIN($D1980,MAX(0,SUMIFS(tblIssues[Qty Issued],tblIssues[Item Name],$A1980)-$K1980)))</f>
        <v/>
      </c>
      <c r="M1980" s="26" t="str">
        <f>IF($A1980="","",SUMIFS(tblIssues[Qty Issued],tblIssues[Lot Number],$B1980))</f>
        <v/>
      </c>
      <c r="N1980" s="26" t="str">
        <f t="shared" si="152"/>
        <v/>
      </c>
      <c r="O1980" s="26" t="str">
        <f t="shared" si="153"/>
        <v/>
      </c>
      <c r="P1980" s="21" t="str">
        <f t="shared" si="154"/>
        <v/>
      </c>
      <c r="Q1980" s="52" t="str">
        <f>IF($A1980="","",IF($O1980&lt;=0,"Depleted",IF($I1980&lt;0,"EXPIRED",IF($I1980&lt;=Settings!$C$6,"CRITICAL",IF($I1980&lt;=Settings!$C$5,"Expiring","In date")))))</f>
        <v/>
      </c>
    </row>
    <row r="1981" spans="1:17" x14ac:dyDescent="0.35">
      <c r="A1981" s="90" t="str">
        <f>IF(Receipts!$D1984="","",Receipts!$D1984)</f>
        <v/>
      </c>
      <c r="B1981" s="18" t="str">
        <f>IF(Receipts!$C1984="","",Receipts!$C1984)</f>
        <v/>
      </c>
      <c r="C1981" s="18" t="str">
        <f>IF($A1981="","",IFERROR(INDEX(Items!$B$5:$B$597,MATCH($A1981,Items!$A$5:$A$597,0)),""))</f>
        <v/>
      </c>
      <c r="D1981" s="23" t="str">
        <f>IF($A1981="","",N(Receipts!$G1984))</f>
        <v/>
      </c>
      <c r="E1981" s="20" t="str">
        <f>IF($A1981="","",IFERROR(INDEX(Items!$D$5:$D$597,MATCH($A1981,Items!$A$5:$A$597,0)),0))</f>
        <v/>
      </c>
      <c r="F1981" s="21" t="str">
        <f t="shared" si="150"/>
        <v/>
      </c>
      <c r="G1981" s="25" t="str">
        <f>IF(Receipts!$I1984="","",Receipts!$I1984)</f>
        <v/>
      </c>
      <c r="H1981" s="25" t="str">
        <f>IF(Receipts!$H1984="","",Receipts!$H1984)</f>
        <v/>
      </c>
      <c r="I1981" s="26" t="str">
        <f t="shared" ca="1" si="151"/>
        <v/>
      </c>
      <c r="J1981" s="26" t="str">
        <f>IF($A1981="","",COUNTIFS(tblReceipts[Item Name],$A1981,tblReceipts[Expiry Date],"&lt;"&amp;$H1981)+COUNTIFS(tblReceipts[Item Name],$A1981,tblReceipts[Expiry Date],$H1981,tblReceipts[Lot Number],"&lt;="&amp;Receipts!$C1984))</f>
        <v/>
      </c>
      <c r="K1981" s="26" t="str">
        <f>IF($A1981="","",SUMIFS(tblReceipts[Qty Received],tblReceipts[Item Name],$A1981,tblReceipts[Expiry Date],"&lt;"&amp;$H1981)+SUMIFS(tblReceipts[Qty Received],tblReceipts[Item Name],$A1981,tblReceipts[Expiry Date],$H1981,tblReceipts[Lot Number],"&lt;"&amp;Receipts!$C1984))</f>
        <v/>
      </c>
      <c r="L1981" s="26" t="str">
        <f>IF($A1981="","",MIN($D1981,MAX(0,SUMIFS(tblIssues[Qty Issued],tblIssues[Item Name],$A1981)-$K1981)))</f>
        <v/>
      </c>
      <c r="M1981" s="26" t="str">
        <f>IF($A1981="","",SUMIFS(tblIssues[Qty Issued],tblIssues[Lot Number],$B1981))</f>
        <v/>
      </c>
      <c r="N1981" s="26" t="str">
        <f t="shared" si="152"/>
        <v/>
      </c>
      <c r="O1981" s="26" t="str">
        <f t="shared" si="153"/>
        <v/>
      </c>
      <c r="P1981" s="21" t="str">
        <f t="shared" si="154"/>
        <v/>
      </c>
      <c r="Q1981" s="52" t="str">
        <f>IF($A1981="","",IF($O1981&lt;=0,"Depleted",IF($I1981&lt;0,"EXPIRED",IF($I1981&lt;=Settings!$C$6,"CRITICAL",IF($I1981&lt;=Settings!$C$5,"Expiring","In date")))))</f>
        <v/>
      </c>
    </row>
    <row r="1982" spans="1:17" x14ac:dyDescent="0.35">
      <c r="A1982" s="90" t="str">
        <f>IF(Receipts!$D1985="","",Receipts!$D1985)</f>
        <v/>
      </c>
      <c r="B1982" s="18" t="str">
        <f>IF(Receipts!$C1985="","",Receipts!$C1985)</f>
        <v/>
      </c>
      <c r="C1982" s="18" t="str">
        <f>IF($A1982="","",IFERROR(INDEX(Items!$B$5:$B$597,MATCH($A1982,Items!$A$5:$A$597,0)),""))</f>
        <v/>
      </c>
      <c r="D1982" s="23" t="str">
        <f>IF($A1982="","",N(Receipts!$G1985))</f>
        <v/>
      </c>
      <c r="E1982" s="20" t="str">
        <f>IF($A1982="","",IFERROR(INDEX(Items!$D$5:$D$597,MATCH($A1982,Items!$A$5:$A$597,0)),0))</f>
        <v/>
      </c>
      <c r="F1982" s="21" t="str">
        <f t="shared" si="150"/>
        <v/>
      </c>
      <c r="G1982" s="25" t="str">
        <f>IF(Receipts!$I1985="","",Receipts!$I1985)</f>
        <v/>
      </c>
      <c r="H1982" s="25" t="str">
        <f>IF(Receipts!$H1985="","",Receipts!$H1985)</f>
        <v/>
      </c>
      <c r="I1982" s="26" t="str">
        <f t="shared" ca="1" si="151"/>
        <v/>
      </c>
      <c r="J1982" s="26" t="str">
        <f>IF($A1982="","",COUNTIFS(tblReceipts[Item Name],$A1982,tblReceipts[Expiry Date],"&lt;"&amp;$H1982)+COUNTIFS(tblReceipts[Item Name],$A1982,tblReceipts[Expiry Date],$H1982,tblReceipts[Lot Number],"&lt;="&amp;Receipts!$C1985))</f>
        <v/>
      </c>
      <c r="K1982" s="26" t="str">
        <f>IF($A1982="","",SUMIFS(tblReceipts[Qty Received],tblReceipts[Item Name],$A1982,tblReceipts[Expiry Date],"&lt;"&amp;$H1982)+SUMIFS(tblReceipts[Qty Received],tblReceipts[Item Name],$A1982,tblReceipts[Expiry Date],$H1982,tblReceipts[Lot Number],"&lt;"&amp;Receipts!$C1985))</f>
        <v/>
      </c>
      <c r="L1982" s="26" t="str">
        <f>IF($A1982="","",MIN($D1982,MAX(0,SUMIFS(tblIssues[Qty Issued],tblIssues[Item Name],$A1982)-$K1982)))</f>
        <v/>
      </c>
      <c r="M1982" s="26" t="str">
        <f>IF($A1982="","",SUMIFS(tblIssues[Qty Issued],tblIssues[Lot Number],$B1982))</f>
        <v/>
      </c>
      <c r="N1982" s="26" t="str">
        <f t="shared" si="152"/>
        <v/>
      </c>
      <c r="O1982" s="26" t="str">
        <f t="shared" si="153"/>
        <v/>
      </c>
      <c r="P1982" s="21" t="str">
        <f t="shared" si="154"/>
        <v/>
      </c>
      <c r="Q1982" s="52" t="str">
        <f>IF($A1982="","",IF($O1982&lt;=0,"Depleted",IF($I1982&lt;0,"EXPIRED",IF($I1982&lt;=Settings!$C$6,"CRITICAL",IF($I1982&lt;=Settings!$C$5,"Expiring","In date")))))</f>
        <v/>
      </c>
    </row>
    <row r="1983" spans="1:17" x14ac:dyDescent="0.35">
      <c r="A1983" s="90" t="str">
        <f>IF(Receipts!$D1986="","",Receipts!$D1986)</f>
        <v/>
      </c>
      <c r="B1983" s="18" t="str">
        <f>IF(Receipts!$C1986="","",Receipts!$C1986)</f>
        <v/>
      </c>
      <c r="C1983" s="18" t="str">
        <f>IF($A1983="","",IFERROR(INDEX(Items!$B$5:$B$597,MATCH($A1983,Items!$A$5:$A$597,0)),""))</f>
        <v/>
      </c>
      <c r="D1983" s="23" t="str">
        <f>IF($A1983="","",N(Receipts!$G1986))</f>
        <v/>
      </c>
      <c r="E1983" s="20" t="str">
        <f>IF($A1983="","",IFERROR(INDEX(Items!$D$5:$D$597,MATCH($A1983,Items!$A$5:$A$597,0)),0))</f>
        <v/>
      </c>
      <c r="F1983" s="21" t="str">
        <f t="shared" si="150"/>
        <v/>
      </c>
      <c r="G1983" s="25" t="str">
        <f>IF(Receipts!$I1986="","",Receipts!$I1986)</f>
        <v/>
      </c>
      <c r="H1983" s="25" t="str">
        <f>IF(Receipts!$H1986="","",Receipts!$H1986)</f>
        <v/>
      </c>
      <c r="I1983" s="26" t="str">
        <f t="shared" ca="1" si="151"/>
        <v/>
      </c>
      <c r="J1983" s="26" t="str">
        <f>IF($A1983="","",COUNTIFS(tblReceipts[Item Name],$A1983,tblReceipts[Expiry Date],"&lt;"&amp;$H1983)+COUNTIFS(tblReceipts[Item Name],$A1983,tblReceipts[Expiry Date],$H1983,tblReceipts[Lot Number],"&lt;="&amp;Receipts!$C1986))</f>
        <v/>
      </c>
      <c r="K1983" s="26" t="str">
        <f>IF($A1983="","",SUMIFS(tblReceipts[Qty Received],tblReceipts[Item Name],$A1983,tblReceipts[Expiry Date],"&lt;"&amp;$H1983)+SUMIFS(tblReceipts[Qty Received],tblReceipts[Item Name],$A1983,tblReceipts[Expiry Date],$H1983,tblReceipts[Lot Number],"&lt;"&amp;Receipts!$C1986))</f>
        <v/>
      </c>
      <c r="L1983" s="26" t="str">
        <f>IF($A1983="","",MIN($D1983,MAX(0,SUMIFS(tblIssues[Qty Issued],tblIssues[Item Name],$A1983)-$K1983)))</f>
        <v/>
      </c>
      <c r="M1983" s="26" t="str">
        <f>IF($A1983="","",SUMIFS(tblIssues[Qty Issued],tblIssues[Lot Number],$B1983))</f>
        <v/>
      </c>
      <c r="N1983" s="26" t="str">
        <f t="shared" si="152"/>
        <v/>
      </c>
      <c r="O1983" s="26" t="str">
        <f t="shared" si="153"/>
        <v/>
      </c>
      <c r="P1983" s="21" t="str">
        <f t="shared" si="154"/>
        <v/>
      </c>
      <c r="Q1983" s="52" t="str">
        <f>IF($A1983="","",IF($O1983&lt;=0,"Depleted",IF($I1983&lt;0,"EXPIRED",IF($I1983&lt;=Settings!$C$6,"CRITICAL",IF($I1983&lt;=Settings!$C$5,"Expiring","In date")))))</f>
        <v/>
      </c>
    </row>
    <row r="1984" spans="1:17" x14ac:dyDescent="0.35">
      <c r="A1984" s="90" t="str">
        <f>IF(Receipts!$D1987="","",Receipts!$D1987)</f>
        <v/>
      </c>
      <c r="B1984" s="18" t="str">
        <f>IF(Receipts!$C1987="","",Receipts!$C1987)</f>
        <v/>
      </c>
      <c r="C1984" s="18" t="str">
        <f>IF($A1984="","",IFERROR(INDEX(Items!$B$5:$B$597,MATCH($A1984,Items!$A$5:$A$597,0)),""))</f>
        <v/>
      </c>
      <c r="D1984" s="23" t="str">
        <f>IF($A1984="","",N(Receipts!$G1987))</f>
        <v/>
      </c>
      <c r="E1984" s="20" t="str">
        <f>IF($A1984="","",IFERROR(INDEX(Items!$D$5:$D$597,MATCH($A1984,Items!$A$5:$A$597,0)),0))</f>
        <v/>
      </c>
      <c r="F1984" s="21" t="str">
        <f t="shared" si="150"/>
        <v/>
      </c>
      <c r="G1984" s="25" t="str">
        <f>IF(Receipts!$I1987="","",Receipts!$I1987)</f>
        <v/>
      </c>
      <c r="H1984" s="25" t="str">
        <f>IF(Receipts!$H1987="","",Receipts!$H1987)</f>
        <v/>
      </c>
      <c r="I1984" s="26" t="str">
        <f t="shared" ca="1" si="151"/>
        <v/>
      </c>
      <c r="J1984" s="26" t="str">
        <f>IF($A1984="","",COUNTIFS(tblReceipts[Item Name],$A1984,tblReceipts[Expiry Date],"&lt;"&amp;$H1984)+COUNTIFS(tblReceipts[Item Name],$A1984,tblReceipts[Expiry Date],$H1984,tblReceipts[Lot Number],"&lt;="&amp;Receipts!$C1987))</f>
        <v/>
      </c>
      <c r="K1984" s="26" t="str">
        <f>IF($A1984="","",SUMIFS(tblReceipts[Qty Received],tblReceipts[Item Name],$A1984,tblReceipts[Expiry Date],"&lt;"&amp;$H1984)+SUMIFS(tblReceipts[Qty Received],tblReceipts[Item Name],$A1984,tblReceipts[Expiry Date],$H1984,tblReceipts[Lot Number],"&lt;"&amp;Receipts!$C1987))</f>
        <v/>
      </c>
      <c r="L1984" s="26" t="str">
        <f>IF($A1984="","",MIN($D1984,MAX(0,SUMIFS(tblIssues[Qty Issued],tblIssues[Item Name],$A1984)-$K1984)))</f>
        <v/>
      </c>
      <c r="M1984" s="26" t="str">
        <f>IF($A1984="","",SUMIFS(tblIssues[Qty Issued],tblIssues[Lot Number],$B1984))</f>
        <v/>
      </c>
      <c r="N1984" s="26" t="str">
        <f t="shared" si="152"/>
        <v/>
      </c>
      <c r="O1984" s="26" t="str">
        <f t="shared" si="153"/>
        <v/>
      </c>
      <c r="P1984" s="21" t="str">
        <f t="shared" si="154"/>
        <v/>
      </c>
      <c r="Q1984" s="52" t="str">
        <f>IF($A1984="","",IF($O1984&lt;=0,"Depleted",IF($I1984&lt;0,"EXPIRED",IF($I1984&lt;=Settings!$C$6,"CRITICAL",IF($I1984&lt;=Settings!$C$5,"Expiring","In date")))))</f>
        <v/>
      </c>
    </row>
    <row r="1985" spans="1:17" x14ac:dyDescent="0.35">
      <c r="A1985" s="90" t="str">
        <f>IF(Receipts!$D1988="","",Receipts!$D1988)</f>
        <v/>
      </c>
      <c r="B1985" s="18" t="str">
        <f>IF(Receipts!$C1988="","",Receipts!$C1988)</f>
        <v/>
      </c>
      <c r="C1985" s="18" t="str">
        <f>IF($A1985="","",IFERROR(INDEX(Items!$B$5:$B$597,MATCH($A1985,Items!$A$5:$A$597,0)),""))</f>
        <v/>
      </c>
      <c r="D1985" s="23" t="str">
        <f>IF($A1985="","",N(Receipts!$G1988))</f>
        <v/>
      </c>
      <c r="E1985" s="20" t="str">
        <f>IF($A1985="","",IFERROR(INDEX(Items!$D$5:$D$597,MATCH($A1985,Items!$A$5:$A$597,0)),0))</f>
        <v/>
      </c>
      <c r="F1985" s="21" t="str">
        <f t="shared" si="150"/>
        <v/>
      </c>
      <c r="G1985" s="25" t="str">
        <f>IF(Receipts!$I1988="","",Receipts!$I1988)</f>
        <v/>
      </c>
      <c r="H1985" s="25" t="str">
        <f>IF(Receipts!$H1988="","",Receipts!$H1988)</f>
        <v/>
      </c>
      <c r="I1985" s="26" t="str">
        <f t="shared" ca="1" si="151"/>
        <v/>
      </c>
      <c r="J1985" s="26" t="str">
        <f>IF($A1985="","",COUNTIFS(tblReceipts[Item Name],$A1985,tblReceipts[Expiry Date],"&lt;"&amp;$H1985)+COUNTIFS(tblReceipts[Item Name],$A1985,tblReceipts[Expiry Date],$H1985,tblReceipts[Lot Number],"&lt;="&amp;Receipts!$C1988))</f>
        <v/>
      </c>
      <c r="K1985" s="26" t="str">
        <f>IF($A1985="","",SUMIFS(tblReceipts[Qty Received],tblReceipts[Item Name],$A1985,tblReceipts[Expiry Date],"&lt;"&amp;$H1985)+SUMIFS(tblReceipts[Qty Received],tblReceipts[Item Name],$A1985,tblReceipts[Expiry Date],$H1985,tblReceipts[Lot Number],"&lt;"&amp;Receipts!$C1988))</f>
        <v/>
      </c>
      <c r="L1985" s="26" t="str">
        <f>IF($A1985="","",MIN($D1985,MAX(0,SUMIFS(tblIssues[Qty Issued],tblIssues[Item Name],$A1985)-$K1985)))</f>
        <v/>
      </c>
      <c r="M1985" s="26" t="str">
        <f>IF($A1985="","",SUMIFS(tblIssues[Qty Issued],tblIssues[Lot Number],$B1985))</f>
        <v/>
      </c>
      <c r="N1985" s="26" t="str">
        <f t="shared" si="152"/>
        <v/>
      </c>
      <c r="O1985" s="26" t="str">
        <f t="shared" si="153"/>
        <v/>
      </c>
      <c r="P1985" s="21" t="str">
        <f t="shared" si="154"/>
        <v/>
      </c>
      <c r="Q1985" s="52" t="str">
        <f>IF($A1985="","",IF($O1985&lt;=0,"Depleted",IF($I1985&lt;0,"EXPIRED",IF($I1985&lt;=Settings!$C$6,"CRITICAL",IF($I1985&lt;=Settings!$C$5,"Expiring","In date")))))</f>
        <v/>
      </c>
    </row>
    <row r="1986" spans="1:17" x14ac:dyDescent="0.35">
      <c r="A1986" s="90" t="str">
        <f>IF(Receipts!$D1989="","",Receipts!$D1989)</f>
        <v/>
      </c>
      <c r="B1986" s="18" t="str">
        <f>IF(Receipts!$C1989="","",Receipts!$C1989)</f>
        <v/>
      </c>
      <c r="C1986" s="18" t="str">
        <f>IF($A1986="","",IFERROR(INDEX(Items!$B$5:$B$597,MATCH($A1986,Items!$A$5:$A$597,0)),""))</f>
        <v/>
      </c>
      <c r="D1986" s="23" t="str">
        <f>IF($A1986="","",N(Receipts!$G1989))</f>
        <v/>
      </c>
      <c r="E1986" s="20" t="str">
        <f>IF($A1986="","",IFERROR(INDEX(Items!$D$5:$D$597,MATCH($A1986,Items!$A$5:$A$597,0)),0))</f>
        <v/>
      </c>
      <c r="F1986" s="21" t="str">
        <f t="shared" si="150"/>
        <v/>
      </c>
      <c r="G1986" s="25" t="str">
        <f>IF(Receipts!$I1989="","",Receipts!$I1989)</f>
        <v/>
      </c>
      <c r="H1986" s="25" t="str">
        <f>IF(Receipts!$H1989="","",Receipts!$H1989)</f>
        <v/>
      </c>
      <c r="I1986" s="26" t="str">
        <f t="shared" ca="1" si="151"/>
        <v/>
      </c>
      <c r="J1986" s="26" t="str">
        <f>IF($A1986="","",COUNTIFS(tblReceipts[Item Name],$A1986,tblReceipts[Expiry Date],"&lt;"&amp;$H1986)+COUNTIFS(tblReceipts[Item Name],$A1986,tblReceipts[Expiry Date],$H1986,tblReceipts[Lot Number],"&lt;="&amp;Receipts!$C1989))</f>
        <v/>
      </c>
      <c r="K1986" s="26" t="str">
        <f>IF($A1986="","",SUMIFS(tblReceipts[Qty Received],tblReceipts[Item Name],$A1986,tblReceipts[Expiry Date],"&lt;"&amp;$H1986)+SUMIFS(tblReceipts[Qty Received],tblReceipts[Item Name],$A1986,tblReceipts[Expiry Date],$H1986,tblReceipts[Lot Number],"&lt;"&amp;Receipts!$C1989))</f>
        <v/>
      </c>
      <c r="L1986" s="26" t="str">
        <f>IF($A1986="","",MIN($D1986,MAX(0,SUMIFS(tblIssues[Qty Issued],tblIssues[Item Name],$A1986)-$K1986)))</f>
        <v/>
      </c>
      <c r="M1986" s="26" t="str">
        <f>IF($A1986="","",SUMIFS(tblIssues[Qty Issued],tblIssues[Lot Number],$B1986))</f>
        <v/>
      </c>
      <c r="N1986" s="26" t="str">
        <f t="shared" si="152"/>
        <v/>
      </c>
      <c r="O1986" s="26" t="str">
        <f t="shared" si="153"/>
        <v/>
      </c>
      <c r="P1986" s="21" t="str">
        <f t="shared" si="154"/>
        <v/>
      </c>
      <c r="Q1986" s="52" t="str">
        <f>IF($A1986="","",IF($O1986&lt;=0,"Depleted",IF($I1986&lt;0,"EXPIRED",IF($I1986&lt;=Settings!$C$6,"CRITICAL",IF($I1986&lt;=Settings!$C$5,"Expiring","In date")))))</f>
        <v/>
      </c>
    </row>
    <row r="1987" spans="1:17" x14ac:dyDescent="0.35">
      <c r="A1987" s="90" t="str">
        <f>IF(Receipts!$D1990="","",Receipts!$D1990)</f>
        <v/>
      </c>
      <c r="B1987" s="18" t="str">
        <f>IF(Receipts!$C1990="","",Receipts!$C1990)</f>
        <v/>
      </c>
      <c r="C1987" s="18" t="str">
        <f>IF($A1987="","",IFERROR(INDEX(Items!$B$5:$B$597,MATCH($A1987,Items!$A$5:$A$597,0)),""))</f>
        <v/>
      </c>
      <c r="D1987" s="23" t="str">
        <f>IF($A1987="","",N(Receipts!$G1990))</f>
        <v/>
      </c>
      <c r="E1987" s="20" t="str">
        <f>IF($A1987="","",IFERROR(INDEX(Items!$D$5:$D$597,MATCH($A1987,Items!$A$5:$A$597,0)),0))</f>
        <v/>
      </c>
      <c r="F1987" s="21" t="str">
        <f t="shared" si="150"/>
        <v/>
      </c>
      <c r="G1987" s="25" t="str">
        <f>IF(Receipts!$I1990="","",Receipts!$I1990)</f>
        <v/>
      </c>
      <c r="H1987" s="25" t="str">
        <f>IF(Receipts!$H1990="","",Receipts!$H1990)</f>
        <v/>
      </c>
      <c r="I1987" s="26" t="str">
        <f t="shared" ca="1" si="151"/>
        <v/>
      </c>
      <c r="J1987" s="26" t="str">
        <f>IF($A1987="","",COUNTIFS(tblReceipts[Item Name],$A1987,tblReceipts[Expiry Date],"&lt;"&amp;$H1987)+COUNTIFS(tblReceipts[Item Name],$A1987,tblReceipts[Expiry Date],$H1987,tblReceipts[Lot Number],"&lt;="&amp;Receipts!$C1990))</f>
        <v/>
      </c>
      <c r="K1987" s="26" t="str">
        <f>IF($A1987="","",SUMIFS(tblReceipts[Qty Received],tblReceipts[Item Name],$A1987,tblReceipts[Expiry Date],"&lt;"&amp;$H1987)+SUMIFS(tblReceipts[Qty Received],tblReceipts[Item Name],$A1987,tblReceipts[Expiry Date],$H1987,tblReceipts[Lot Number],"&lt;"&amp;Receipts!$C1990))</f>
        <v/>
      </c>
      <c r="L1987" s="26" t="str">
        <f>IF($A1987="","",MIN($D1987,MAX(0,SUMIFS(tblIssues[Qty Issued],tblIssues[Item Name],$A1987)-$K1987)))</f>
        <v/>
      </c>
      <c r="M1987" s="26" t="str">
        <f>IF($A1987="","",SUMIFS(tblIssues[Qty Issued],tblIssues[Lot Number],$B1987))</f>
        <v/>
      </c>
      <c r="N1987" s="26" t="str">
        <f t="shared" si="152"/>
        <v/>
      </c>
      <c r="O1987" s="26" t="str">
        <f t="shared" si="153"/>
        <v/>
      </c>
      <c r="P1987" s="21" t="str">
        <f t="shared" si="154"/>
        <v/>
      </c>
      <c r="Q1987" s="52" t="str">
        <f>IF($A1987="","",IF($O1987&lt;=0,"Depleted",IF($I1987&lt;0,"EXPIRED",IF($I1987&lt;=Settings!$C$6,"CRITICAL",IF($I1987&lt;=Settings!$C$5,"Expiring","In date")))))</f>
        <v/>
      </c>
    </row>
    <row r="1988" spans="1:17" x14ac:dyDescent="0.35">
      <c r="A1988" s="90" t="str">
        <f>IF(Receipts!$D1991="","",Receipts!$D1991)</f>
        <v/>
      </c>
      <c r="B1988" s="18" t="str">
        <f>IF(Receipts!$C1991="","",Receipts!$C1991)</f>
        <v/>
      </c>
      <c r="C1988" s="18" t="str">
        <f>IF($A1988="","",IFERROR(INDEX(Items!$B$5:$B$597,MATCH($A1988,Items!$A$5:$A$597,0)),""))</f>
        <v/>
      </c>
      <c r="D1988" s="23" t="str">
        <f>IF($A1988="","",N(Receipts!$G1991))</f>
        <v/>
      </c>
      <c r="E1988" s="20" t="str">
        <f>IF($A1988="","",IFERROR(INDEX(Items!$D$5:$D$597,MATCH($A1988,Items!$A$5:$A$597,0)),0))</f>
        <v/>
      </c>
      <c r="F1988" s="21" t="str">
        <f t="shared" si="150"/>
        <v/>
      </c>
      <c r="G1988" s="25" t="str">
        <f>IF(Receipts!$I1991="","",Receipts!$I1991)</f>
        <v/>
      </c>
      <c r="H1988" s="25" t="str">
        <f>IF(Receipts!$H1991="","",Receipts!$H1991)</f>
        <v/>
      </c>
      <c r="I1988" s="26" t="str">
        <f t="shared" ca="1" si="151"/>
        <v/>
      </c>
      <c r="J1988" s="26" t="str">
        <f>IF($A1988="","",COUNTIFS(tblReceipts[Item Name],$A1988,tblReceipts[Expiry Date],"&lt;"&amp;$H1988)+COUNTIFS(tblReceipts[Item Name],$A1988,tblReceipts[Expiry Date],$H1988,tblReceipts[Lot Number],"&lt;="&amp;Receipts!$C1991))</f>
        <v/>
      </c>
      <c r="K1988" s="26" t="str">
        <f>IF($A1988="","",SUMIFS(tblReceipts[Qty Received],tblReceipts[Item Name],$A1988,tblReceipts[Expiry Date],"&lt;"&amp;$H1988)+SUMIFS(tblReceipts[Qty Received],tblReceipts[Item Name],$A1988,tblReceipts[Expiry Date],$H1988,tblReceipts[Lot Number],"&lt;"&amp;Receipts!$C1991))</f>
        <v/>
      </c>
      <c r="L1988" s="26" t="str">
        <f>IF($A1988="","",MIN($D1988,MAX(0,SUMIFS(tblIssues[Qty Issued],tblIssues[Item Name],$A1988)-$K1988)))</f>
        <v/>
      </c>
      <c r="M1988" s="26" t="str">
        <f>IF($A1988="","",SUMIFS(tblIssues[Qty Issued],tblIssues[Lot Number],$B1988))</f>
        <v/>
      </c>
      <c r="N1988" s="26" t="str">
        <f t="shared" si="152"/>
        <v/>
      </c>
      <c r="O1988" s="26" t="str">
        <f t="shared" si="153"/>
        <v/>
      </c>
      <c r="P1988" s="21" t="str">
        <f t="shared" si="154"/>
        <v/>
      </c>
      <c r="Q1988" s="52" t="str">
        <f>IF($A1988="","",IF($O1988&lt;=0,"Depleted",IF($I1988&lt;0,"EXPIRED",IF($I1988&lt;=Settings!$C$6,"CRITICAL",IF($I1988&lt;=Settings!$C$5,"Expiring","In date")))))</f>
        <v/>
      </c>
    </row>
    <row r="1989" spans="1:17" x14ac:dyDescent="0.35">
      <c r="A1989" s="90" t="str">
        <f>IF(Receipts!$D1992="","",Receipts!$D1992)</f>
        <v/>
      </c>
      <c r="B1989" s="18" t="str">
        <f>IF(Receipts!$C1992="","",Receipts!$C1992)</f>
        <v/>
      </c>
      <c r="C1989" s="18" t="str">
        <f>IF($A1989="","",IFERROR(INDEX(Items!$B$5:$B$597,MATCH($A1989,Items!$A$5:$A$597,0)),""))</f>
        <v/>
      </c>
      <c r="D1989" s="23" t="str">
        <f>IF($A1989="","",N(Receipts!$G1992))</f>
        <v/>
      </c>
      <c r="E1989" s="20" t="str">
        <f>IF($A1989="","",IFERROR(INDEX(Items!$D$5:$D$597,MATCH($A1989,Items!$A$5:$A$597,0)),0))</f>
        <v/>
      </c>
      <c r="F1989" s="21" t="str">
        <f t="shared" ref="F1989:F2000" si="155">IF($A1989="","",$D1989*$E1989)</f>
        <v/>
      </c>
      <c r="G1989" s="25" t="str">
        <f>IF(Receipts!$I1992="","",Receipts!$I1992)</f>
        <v/>
      </c>
      <c r="H1989" s="25" t="str">
        <f>IF(Receipts!$H1992="","",Receipts!$H1992)</f>
        <v/>
      </c>
      <c r="I1989" s="26" t="str">
        <f t="shared" ref="I1989:I2000" ca="1" si="156">IF($H1989="","",$H1989-TODAY())</f>
        <v/>
      </c>
      <c r="J1989" s="26" t="str">
        <f>IF($A1989="","",COUNTIFS(tblReceipts[Item Name],$A1989,tblReceipts[Expiry Date],"&lt;"&amp;$H1989)+COUNTIFS(tblReceipts[Item Name],$A1989,tblReceipts[Expiry Date],$H1989,tblReceipts[Lot Number],"&lt;="&amp;Receipts!$C1992))</f>
        <v/>
      </c>
      <c r="K1989" s="26" t="str">
        <f>IF($A1989="","",SUMIFS(tblReceipts[Qty Received],tblReceipts[Item Name],$A1989,tblReceipts[Expiry Date],"&lt;"&amp;$H1989)+SUMIFS(tblReceipts[Qty Received],tblReceipts[Item Name],$A1989,tblReceipts[Expiry Date],$H1989,tblReceipts[Lot Number],"&lt;"&amp;Receipts!$C1992))</f>
        <v/>
      </c>
      <c r="L1989" s="26" t="str">
        <f>IF($A1989="","",MIN($D1989,MAX(0,SUMIFS(tblIssues[Qty Issued],tblIssues[Item Name],$A1989)-$K1989)))</f>
        <v/>
      </c>
      <c r="M1989" s="26" t="str">
        <f>IF($A1989="","",SUMIFS(tblIssues[Qty Issued],tblIssues[Lot Number],$B1989))</f>
        <v/>
      </c>
      <c r="N1989" s="26" t="str">
        <f t="shared" ref="N1989:N2000" si="157">IF($A1989="","",$M1989-$L1989)</f>
        <v/>
      </c>
      <c r="O1989" s="26" t="str">
        <f t="shared" ref="O1989:O2000" si="158">IF($A1989="","",$D1989-$L1989)</f>
        <v/>
      </c>
      <c r="P1989" s="21" t="str">
        <f t="shared" ref="P1989:P2000" si="159">IF($A1989="","",$O1989*$E1989)</f>
        <v/>
      </c>
      <c r="Q1989" s="52" t="str">
        <f>IF($A1989="","",IF($O1989&lt;=0,"Depleted",IF($I1989&lt;0,"EXPIRED",IF($I1989&lt;=Settings!$C$6,"CRITICAL",IF($I1989&lt;=Settings!$C$5,"Expiring","In date")))))</f>
        <v/>
      </c>
    </row>
    <row r="1990" spans="1:17" x14ac:dyDescent="0.35">
      <c r="A1990" s="90" t="str">
        <f>IF(Receipts!$D1993="","",Receipts!$D1993)</f>
        <v/>
      </c>
      <c r="B1990" s="18" t="str">
        <f>IF(Receipts!$C1993="","",Receipts!$C1993)</f>
        <v/>
      </c>
      <c r="C1990" s="18" t="str">
        <f>IF($A1990="","",IFERROR(INDEX(Items!$B$5:$B$597,MATCH($A1990,Items!$A$5:$A$597,0)),""))</f>
        <v/>
      </c>
      <c r="D1990" s="23" t="str">
        <f>IF($A1990="","",N(Receipts!$G1993))</f>
        <v/>
      </c>
      <c r="E1990" s="20" t="str">
        <f>IF($A1990="","",IFERROR(INDEX(Items!$D$5:$D$597,MATCH($A1990,Items!$A$5:$A$597,0)),0))</f>
        <v/>
      </c>
      <c r="F1990" s="21" t="str">
        <f t="shared" si="155"/>
        <v/>
      </c>
      <c r="G1990" s="25" t="str">
        <f>IF(Receipts!$I1993="","",Receipts!$I1993)</f>
        <v/>
      </c>
      <c r="H1990" s="25" t="str">
        <f>IF(Receipts!$H1993="","",Receipts!$H1993)</f>
        <v/>
      </c>
      <c r="I1990" s="26" t="str">
        <f t="shared" ca="1" si="156"/>
        <v/>
      </c>
      <c r="J1990" s="26" t="str">
        <f>IF($A1990="","",COUNTIFS(tblReceipts[Item Name],$A1990,tblReceipts[Expiry Date],"&lt;"&amp;$H1990)+COUNTIFS(tblReceipts[Item Name],$A1990,tblReceipts[Expiry Date],$H1990,tblReceipts[Lot Number],"&lt;="&amp;Receipts!$C1993))</f>
        <v/>
      </c>
      <c r="K1990" s="26" t="str">
        <f>IF($A1990="","",SUMIFS(tblReceipts[Qty Received],tblReceipts[Item Name],$A1990,tblReceipts[Expiry Date],"&lt;"&amp;$H1990)+SUMIFS(tblReceipts[Qty Received],tblReceipts[Item Name],$A1990,tblReceipts[Expiry Date],$H1990,tblReceipts[Lot Number],"&lt;"&amp;Receipts!$C1993))</f>
        <v/>
      </c>
      <c r="L1990" s="26" t="str">
        <f>IF($A1990="","",MIN($D1990,MAX(0,SUMIFS(tblIssues[Qty Issued],tblIssues[Item Name],$A1990)-$K1990)))</f>
        <v/>
      </c>
      <c r="M1990" s="26" t="str">
        <f>IF($A1990="","",SUMIFS(tblIssues[Qty Issued],tblIssues[Lot Number],$B1990))</f>
        <v/>
      </c>
      <c r="N1990" s="26" t="str">
        <f t="shared" si="157"/>
        <v/>
      </c>
      <c r="O1990" s="26" t="str">
        <f t="shared" si="158"/>
        <v/>
      </c>
      <c r="P1990" s="21" t="str">
        <f t="shared" si="159"/>
        <v/>
      </c>
      <c r="Q1990" s="52" t="str">
        <f>IF($A1990="","",IF($O1990&lt;=0,"Depleted",IF($I1990&lt;0,"EXPIRED",IF($I1990&lt;=Settings!$C$6,"CRITICAL",IF($I1990&lt;=Settings!$C$5,"Expiring","In date")))))</f>
        <v/>
      </c>
    </row>
    <row r="1991" spans="1:17" x14ac:dyDescent="0.35">
      <c r="A1991" s="90" t="str">
        <f>IF(Receipts!$D1994="","",Receipts!$D1994)</f>
        <v/>
      </c>
      <c r="B1991" s="18" t="str">
        <f>IF(Receipts!$C1994="","",Receipts!$C1994)</f>
        <v/>
      </c>
      <c r="C1991" s="18" t="str">
        <f>IF($A1991="","",IFERROR(INDEX(Items!$B$5:$B$597,MATCH($A1991,Items!$A$5:$A$597,0)),""))</f>
        <v/>
      </c>
      <c r="D1991" s="23" t="str">
        <f>IF($A1991="","",N(Receipts!$G1994))</f>
        <v/>
      </c>
      <c r="E1991" s="20" t="str">
        <f>IF($A1991="","",IFERROR(INDEX(Items!$D$5:$D$597,MATCH($A1991,Items!$A$5:$A$597,0)),0))</f>
        <v/>
      </c>
      <c r="F1991" s="21" t="str">
        <f t="shared" si="155"/>
        <v/>
      </c>
      <c r="G1991" s="25" t="str">
        <f>IF(Receipts!$I1994="","",Receipts!$I1994)</f>
        <v/>
      </c>
      <c r="H1991" s="25" t="str">
        <f>IF(Receipts!$H1994="","",Receipts!$H1994)</f>
        <v/>
      </c>
      <c r="I1991" s="26" t="str">
        <f t="shared" ca="1" si="156"/>
        <v/>
      </c>
      <c r="J1991" s="26" t="str">
        <f>IF($A1991="","",COUNTIFS(tblReceipts[Item Name],$A1991,tblReceipts[Expiry Date],"&lt;"&amp;$H1991)+COUNTIFS(tblReceipts[Item Name],$A1991,tblReceipts[Expiry Date],$H1991,tblReceipts[Lot Number],"&lt;="&amp;Receipts!$C1994))</f>
        <v/>
      </c>
      <c r="K1991" s="26" t="str">
        <f>IF($A1991="","",SUMIFS(tblReceipts[Qty Received],tblReceipts[Item Name],$A1991,tblReceipts[Expiry Date],"&lt;"&amp;$H1991)+SUMIFS(tblReceipts[Qty Received],tblReceipts[Item Name],$A1991,tblReceipts[Expiry Date],$H1991,tblReceipts[Lot Number],"&lt;"&amp;Receipts!$C1994))</f>
        <v/>
      </c>
      <c r="L1991" s="26" t="str">
        <f>IF($A1991="","",MIN($D1991,MAX(0,SUMIFS(tblIssues[Qty Issued],tblIssues[Item Name],$A1991)-$K1991)))</f>
        <v/>
      </c>
      <c r="M1991" s="26" t="str">
        <f>IF($A1991="","",SUMIFS(tblIssues[Qty Issued],tblIssues[Lot Number],$B1991))</f>
        <v/>
      </c>
      <c r="N1991" s="26" t="str">
        <f t="shared" si="157"/>
        <v/>
      </c>
      <c r="O1991" s="26" t="str">
        <f t="shared" si="158"/>
        <v/>
      </c>
      <c r="P1991" s="21" t="str">
        <f t="shared" si="159"/>
        <v/>
      </c>
      <c r="Q1991" s="52" t="str">
        <f>IF($A1991="","",IF($O1991&lt;=0,"Depleted",IF($I1991&lt;0,"EXPIRED",IF($I1991&lt;=Settings!$C$6,"CRITICAL",IF($I1991&lt;=Settings!$C$5,"Expiring","In date")))))</f>
        <v/>
      </c>
    </row>
    <row r="1992" spans="1:17" x14ac:dyDescent="0.35">
      <c r="A1992" s="90" t="str">
        <f>IF(Receipts!$D1995="","",Receipts!$D1995)</f>
        <v/>
      </c>
      <c r="B1992" s="18" t="str">
        <f>IF(Receipts!$C1995="","",Receipts!$C1995)</f>
        <v/>
      </c>
      <c r="C1992" s="18" t="str">
        <f>IF($A1992="","",IFERROR(INDEX(Items!$B$5:$B$597,MATCH($A1992,Items!$A$5:$A$597,0)),""))</f>
        <v/>
      </c>
      <c r="D1992" s="23" t="str">
        <f>IF($A1992="","",N(Receipts!$G1995))</f>
        <v/>
      </c>
      <c r="E1992" s="20" t="str">
        <f>IF($A1992="","",IFERROR(INDEX(Items!$D$5:$D$597,MATCH($A1992,Items!$A$5:$A$597,0)),0))</f>
        <v/>
      </c>
      <c r="F1992" s="21" t="str">
        <f t="shared" si="155"/>
        <v/>
      </c>
      <c r="G1992" s="25" t="str">
        <f>IF(Receipts!$I1995="","",Receipts!$I1995)</f>
        <v/>
      </c>
      <c r="H1992" s="25" t="str">
        <f>IF(Receipts!$H1995="","",Receipts!$H1995)</f>
        <v/>
      </c>
      <c r="I1992" s="26" t="str">
        <f t="shared" ca="1" si="156"/>
        <v/>
      </c>
      <c r="J1992" s="26" t="str">
        <f>IF($A1992="","",COUNTIFS(tblReceipts[Item Name],$A1992,tblReceipts[Expiry Date],"&lt;"&amp;$H1992)+COUNTIFS(tblReceipts[Item Name],$A1992,tblReceipts[Expiry Date],$H1992,tblReceipts[Lot Number],"&lt;="&amp;Receipts!$C1995))</f>
        <v/>
      </c>
      <c r="K1992" s="26" t="str">
        <f>IF($A1992="","",SUMIFS(tblReceipts[Qty Received],tblReceipts[Item Name],$A1992,tblReceipts[Expiry Date],"&lt;"&amp;$H1992)+SUMIFS(tblReceipts[Qty Received],tblReceipts[Item Name],$A1992,tblReceipts[Expiry Date],$H1992,tblReceipts[Lot Number],"&lt;"&amp;Receipts!$C1995))</f>
        <v/>
      </c>
      <c r="L1992" s="26" t="str">
        <f>IF($A1992="","",MIN($D1992,MAX(0,SUMIFS(tblIssues[Qty Issued],tblIssues[Item Name],$A1992)-$K1992)))</f>
        <v/>
      </c>
      <c r="M1992" s="26" t="str">
        <f>IF($A1992="","",SUMIFS(tblIssues[Qty Issued],tblIssues[Lot Number],$B1992))</f>
        <v/>
      </c>
      <c r="N1992" s="26" t="str">
        <f t="shared" si="157"/>
        <v/>
      </c>
      <c r="O1992" s="26" t="str">
        <f t="shared" si="158"/>
        <v/>
      </c>
      <c r="P1992" s="21" t="str">
        <f t="shared" si="159"/>
        <v/>
      </c>
      <c r="Q1992" s="52" t="str">
        <f>IF($A1992="","",IF($O1992&lt;=0,"Depleted",IF($I1992&lt;0,"EXPIRED",IF($I1992&lt;=Settings!$C$6,"CRITICAL",IF($I1992&lt;=Settings!$C$5,"Expiring","In date")))))</f>
        <v/>
      </c>
    </row>
    <row r="1993" spans="1:17" x14ac:dyDescent="0.35">
      <c r="A1993" s="90" t="str">
        <f>IF(Receipts!$D1996="","",Receipts!$D1996)</f>
        <v/>
      </c>
      <c r="B1993" s="18" t="str">
        <f>IF(Receipts!$C1996="","",Receipts!$C1996)</f>
        <v/>
      </c>
      <c r="C1993" s="18" t="str">
        <f>IF($A1993="","",IFERROR(INDEX(Items!$B$5:$B$597,MATCH($A1993,Items!$A$5:$A$597,0)),""))</f>
        <v/>
      </c>
      <c r="D1993" s="23" t="str">
        <f>IF($A1993="","",N(Receipts!$G1996))</f>
        <v/>
      </c>
      <c r="E1993" s="20" t="str">
        <f>IF($A1993="","",IFERROR(INDEX(Items!$D$5:$D$597,MATCH($A1993,Items!$A$5:$A$597,0)),0))</f>
        <v/>
      </c>
      <c r="F1993" s="21" t="str">
        <f t="shared" si="155"/>
        <v/>
      </c>
      <c r="G1993" s="25" t="str">
        <f>IF(Receipts!$I1996="","",Receipts!$I1996)</f>
        <v/>
      </c>
      <c r="H1993" s="25" t="str">
        <f>IF(Receipts!$H1996="","",Receipts!$H1996)</f>
        <v/>
      </c>
      <c r="I1993" s="26" t="str">
        <f t="shared" ca="1" si="156"/>
        <v/>
      </c>
      <c r="J1993" s="26" t="str">
        <f>IF($A1993="","",COUNTIFS(tblReceipts[Item Name],$A1993,tblReceipts[Expiry Date],"&lt;"&amp;$H1993)+COUNTIFS(tblReceipts[Item Name],$A1993,tblReceipts[Expiry Date],$H1993,tblReceipts[Lot Number],"&lt;="&amp;Receipts!$C1996))</f>
        <v/>
      </c>
      <c r="K1993" s="26" t="str">
        <f>IF($A1993="","",SUMIFS(tblReceipts[Qty Received],tblReceipts[Item Name],$A1993,tblReceipts[Expiry Date],"&lt;"&amp;$H1993)+SUMIFS(tblReceipts[Qty Received],tblReceipts[Item Name],$A1993,tblReceipts[Expiry Date],$H1993,tblReceipts[Lot Number],"&lt;"&amp;Receipts!$C1996))</f>
        <v/>
      </c>
      <c r="L1993" s="26" t="str">
        <f>IF($A1993="","",MIN($D1993,MAX(0,SUMIFS(tblIssues[Qty Issued],tblIssues[Item Name],$A1993)-$K1993)))</f>
        <v/>
      </c>
      <c r="M1993" s="26" t="str">
        <f>IF($A1993="","",SUMIFS(tblIssues[Qty Issued],tblIssues[Lot Number],$B1993))</f>
        <v/>
      </c>
      <c r="N1993" s="26" t="str">
        <f t="shared" si="157"/>
        <v/>
      </c>
      <c r="O1993" s="26" t="str">
        <f t="shared" si="158"/>
        <v/>
      </c>
      <c r="P1993" s="21" t="str">
        <f t="shared" si="159"/>
        <v/>
      </c>
      <c r="Q1993" s="52" t="str">
        <f>IF($A1993="","",IF($O1993&lt;=0,"Depleted",IF($I1993&lt;0,"EXPIRED",IF($I1993&lt;=Settings!$C$6,"CRITICAL",IF($I1993&lt;=Settings!$C$5,"Expiring","In date")))))</f>
        <v/>
      </c>
    </row>
    <row r="1994" spans="1:17" x14ac:dyDescent="0.35">
      <c r="A1994" s="90" t="str">
        <f>IF(Receipts!$D1997="","",Receipts!$D1997)</f>
        <v/>
      </c>
      <c r="B1994" s="18" t="str">
        <f>IF(Receipts!$C1997="","",Receipts!$C1997)</f>
        <v/>
      </c>
      <c r="C1994" s="18" t="str">
        <f>IF($A1994="","",IFERROR(INDEX(Items!$B$5:$B$597,MATCH($A1994,Items!$A$5:$A$597,0)),""))</f>
        <v/>
      </c>
      <c r="D1994" s="23" t="str">
        <f>IF($A1994="","",N(Receipts!$G1997))</f>
        <v/>
      </c>
      <c r="E1994" s="20" t="str">
        <f>IF($A1994="","",IFERROR(INDEX(Items!$D$5:$D$597,MATCH($A1994,Items!$A$5:$A$597,0)),0))</f>
        <v/>
      </c>
      <c r="F1994" s="21" t="str">
        <f t="shared" si="155"/>
        <v/>
      </c>
      <c r="G1994" s="25" t="str">
        <f>IF(Receipts!$I1997="","",Receipts!$I1997)</f>
        <v/>
      </c>
      <c r="H1994" s="25" t="str">
        <f>IF(Receipts!$H1997="","",Receipts!$H1997)</f>
        <v/>
      </c>
      <c r="I1994" s="26" t="str">
        <f t="shared" ca="1" si="156"/>
        <v/>
      </c>
      <c r="J1994" s="26" t="str">
        <f>IF($A1994="","",COUNTIFS(tblReceipts[Item Name],$A1994,tblReceipts[Expiry Date],"&lt;"&amp;$H1994)+COUNTIFS(tblReceipts[Item Name],$A1994,tblReceipts[Expiry Date],$H1994,tblReceipts[Lot Number],"&lt;="&amp;Receipts!$C1997))</f>
        <v/>
      </c>
      <c r="K1994" s="26" t="str">
        <f>IF($A1994="","",SUMIFS(tblReceipts[Qty Received],tblReceipts[Item Name],$A1994,tblReceipts[Expiry Date],"&lt;"&amp;$H1994)+SUMIFS(tblReceipts[Qty Received],tblReceipts[Item Name],$A1994,tblReceipts[Expiry Date],$H1994,tblReceipts[Lot Number],"&lt;"&amp;Receipts!$C1997))</f>
        <v/>
      </c>
      <c r="L1994" s="26" t="str">
        <f>IF($A1994="","",MIN($D1994,MAX(0,SUMIFS(tblIssues[Qty Issued],tblIssues[Item Name],$A1994)-$K1994)))</f>
        <v/>
      </c>
      <c r="M1994" s="26" t="str">
        <f>IF($A1994="","",SUMIFS(tblIssues[Qty Issued],tblIssues[Lot Number],$B1994))</f>
        <v/>
      </c>
      <c r="N1994" s="26" t="str">
        <f t="shared" si="157"/>
        <v/>
      </c>
      <c r="O1994" s="26" t="str">
        <f t="shared" si="158"/>
        <v/>
      </c>
      <c r="P1994" s="21" t="str">
        <f t="shared" si="159"/>
        <v/>
      </c>
      <c r="Q1994" s="52" t="str">
        <f>IF($A1994="","",IF($O1994&lt;=0,"Depleted",IF($I1994&lt;0,"EXPIRED",IF($I1994&lt;=Settings!$C$6,"CRITICAL",IF($I1994&lt;=Settings!$C$5,"Expiring","In date")))))</f>
        <v/>
      </c>
    </row>
    <row r="1995" spans="1:17" x14ac:dyDescent="0.35">
      <c r="A1995" s="90" t="str">
        <f>IF(Receipts!$D1998="","",Receipts!$D1998)</f>
        <v/>
      </c>
      <c r="B1995" s="18" t="str">
        <f>IF(Receipts!$C1998="","",Receipts!$C1998)</f>
        <v/>
      </c>
      <c r="C1995" s="18" t="str">
        <f>IF($A1995="","",IFERROR(INDEX(Items!$B$5:$B$597,MATCH($A1995,Items!$A$5:$A$597,0)),""))</f>
        <v/>
      </c>
      <c r="D1995" s="23" t="str">
        <f>IF($A1995="","",N(Receipts!$G1998))</f>
        <v/>
      </c>
      <c r="E1995" s="20" t="str">
        <f>IF($A1995="","",IFERROR(INDEX(Items!$D$5:$D$597,MATCH($A1995,Items!$A$5:$A$597,0)),0))</f>
        <v/>
      </c>
      <c r="F1995" s="21" t="str">
        <f t="shared" si="155"/>
        <v/>
      </c>
      <c r="G1995" s="25" t="str">
        <f>IF(Receipts!$I1998="","",Receipts!$I1998)</f>
        <v/>
      </c>
      <c r="H1995" s="25" t="str">
        <f>IF(Receipts!$H1998="","",Receipts!$H1998)</f>
        <v/>
      </c>
      <c r="I1995" s="26" t="str">
        <f t="shared" ca="1" si="156"/>
        <v/>
      </c>
      <c r="J1995" s="26" t="str">
        <f>IF($A1995="","",COUNTIFS(tblReceipts[Item Name],$A1995,tblReceipts[Expiry Date],"&lt;"&amp;$H1995)+COUNTIFS(tblReceipts[Item Name],$A1995,tblReceipts[Expiry Date],$H1995,tblReceipts[Lot Number],"&lt;="&amp;Receipts!$C1998))</f>
        <v/>
      </c>
      <c r="K1995" s="26" t="str">
        <f>IF($A1995="","",SUMIFS(tblReceipts[Qty Received],tblReceipts[Item Name],$A1995,tblReceipts[Expiry Date],"&lt;"&amp;$H1995)+SUMIFS(tblReceipts[Qty Received],tblReceipts[Item Name],$A1995,tblReceipts[Expiry Date],$H1995,tblReceipts[Lot Number],"&lt;"&amp;Receipts!$C1998))</f>
        <v/>
      </c>
      <c r="L1995" s="26" t="str">
        <f>IF($A1995="","",MIN($D1995,MAX(0,SUMIFS(tblIssues[Qty Issued],tblIssues[Item Name],$A1995)-$K1995)))</f>
        <v/>
      </c>
      <c r="M1995" s="26" t="str">
        <f>IF($A1995="","",SUMIFS(tblIssues[Qty Issued],tblIssues[Lot Number],$B1995))</f>
        <v/>
      </c>
      <c r="N1995" s="26" t="str">
        <f t="shared" si="157"/>
        <v/>
      </c>
      <c r="O1995" s="26" t="str">
        <f t="shared" si="158"/>
        <v/>
      </c>
      <c r="P1995" s="21" t="str">
        <f t="shared" si="159"/>
        <v/>
      </c>
      <c r="Q1995" s="52" t="str">
        <f>IF($A1995="","",IF($O1995&lt;=0,"Depleted",IF($I1995&lt;0,"EXPIRED",IF($I1995&lt;=Settings!$C$6,"CRITICAL",IF($I1995&lt;=Settings!$C$5,"Expiring","In date")))))</f>
        <v/>
      </c>
    </row>
    <row r="1996" spans="1:17" x14ac:dyDescent="0.35">
      <c r="A1996" s="90" t="str">
        <f>IF(Receipts!$D1999="","",Receipts!$D1999)</f>
        <v/>
      </c>
      <c r="B1996" s="18" t="str">
        <f>IF(Receipts!$C1999="","",Receipts!$C1999)</f>
        <v/>
      </c>
      <c r="C1996" s="18" t="str">
        <f>IF($A1996="","",IFERROR(INDEX(Items!$B$5:$B$597,MATCH($A1996,Items!$A$5:$A$597,0)),""))</f>
        <v/>
      </c>
      <c r="D1996" s="23" t="str">
        <f>IF($A1996="","",N(Receipts!$G1999))</f>
        <v/>
      </c>
      <c r="E1996" s="20" t="str">
        <f>IF($A1996="","",IFERROR(INDEX(Items!$D$5:$D$597,MATCH($A1996,Items!$A$5:$A$597,0)),0))</f>
        <v/>
      </c>
      <c r="F1996" s="21" t="str">
        <f t="shared" si="155"/>
        <v/>
      </c>
      <c r="G1996" s="25" t="str">
        <f>IF(Receipts!$I1999="","",Receipts!$I1999)</f>
        <v/>
      </c>
      <c r="H1996" s="25" t="str">
        <f>IF(Receipts!$H1999="","",Receipts!$H1999)</f>
        <v/>
      </c>
      <c r="I1996" s="26" t="str">
        <f t="shared" ca="1" si="156"/>
        <v/>
      </c>
      <c r="J1996" s="26" t="str">
        <f>IF($A1996="","",COUNTIFS(tblReceipts[Item Name],$A1996,tblReceipts[Expiry Date],"&lt;"&amp;$H1996)+COUNTIFS(tblReceipts[Item Name],$A1996,tblReceipts[Expiry Date],$H1996,tblReceipts[Lot Number],"&lt;="&amp;Receipts!$C1999))</f>
        <v/>
      </c>
      <c r="K1996" s="26" t="str">
        <f>IF($A1996="","",SUMIFS(tblReceipts[Qty Received],tblReceipts[Item Name],$A1996,tblReceipts[Expiry Date],"&lt;"&amp;$H1996)+SUMIFS(tblReceipts[Qty Received],tblReceipts[Item Name],$A1996,tblReceipts[Expiry Date],$H1996,tblReceipts[Lot Number],"&lt;"&amp;Receipts!$C1999))</f>
        <v/>
      </c>
      <c r="L1996" s="26" t="str">
        <f>IF($A1996="","",MIN($D1996,MAX(0,SUMIFS(tblIssues[Qty Issued],tblIssues[Item Name],$A1996)-$K1996)))</f>
        <v/>
      </c>
      <c r="M1996" s="26" t="str">
        <f>IF($A1996="","",SUMIFS(tblIssues[Qty Issued],tblIssues[Lot Number],$B1996))</f>
        <v/>
      </c>
      <c r="N1996" s="26" t="str">
        <f t="shared" si="157"/>
        <v/>
      </c>
      <c r="O1996" s="26" t="str">
        <f t="shared" si="158"/>
        <v/>
      </c>
      <c r="P1996" s="21" t="str">
        <f t="shared" si="159"/>
        <v/>
      </c>
      <c r="Q1996" s="52" t="str">
        <f>IF($A1996="","",IF($O1996&lt;=0,"Depleted",IF($I1996&lt;0,"EXPIRED",IF($I1996&lt;=Settings!$C$6,"CRITICAL",IF($I1996&lt;=Settings!$C$5,"Expiring","In date")))))</f>
        <v/>
      </c>
    </row>
    <row r="1997" spans="1:17" x14ac:dyDescent="0.35">
      <c r="A1997" s="90" t="str">
        <f>IF(Receipts!$D2000="","",Receipts!$D2000)</f>
        <v/>
      </c>
      <c r="B1997" s="18" t="str">
        <f>IF(Receipts!$C2000="","",Receipts!$C2000)</f>
        <v/>
      </c>
      <c r="C1997" s="18" t="str">
        <f>IF($A1997="","",IFERROR(INDEX(Items!$B$5:$B$597,MATCH($A1997,Items!$A$5:$A$597,0)),""))</f>
        <v/>
      </c>
      <c r="D1997" s="23" t="str">
        <f>IF($A1997="","",N(Receipts!$G2000))</f>
        <v/>
      </c>
      <c r="E1997" s="20" t="str">
        <f>IF($A1997="","",IFERROR(INDEX(Items!$D$5:$D$597,MATCH($A1997,Items!$A$5:$A$597,0)),0))</f>
        <v/>
      </c>
      <c r="F1997" s="21" t="str">
        <f t="shared" si="155"/>
        <v/>
      </c>
      <c r="G1997" s="25" t="str">
        <f>IF(Receipts!$I2000="","",Receipts!$I2000)</f>
        <v/>
      </c>
      <c r="H1997" s="25" t="str">
        <f>IF(Receipts!$H2000="","",Receipts!$H2000)</f>
        <v/>
      </c>
      <c r="I1997" s="26" t="str">
        <f t="shared" ca="1" si="156"/>
        <v/>
      </c>
      <c r="J1997" s="26" t="str">
        <f>IF($A1997="","",COUNTIFS(tblReceipts[Item Name],$A1997,tblReceipts[Expiry Date],"&lt;"&amp;$H1997)+COUNTIFS(tblReceipts[Item Name],$A1997,tblReceipts[Expiry Date],$H1997,tblReceipts[Lot Number],"&lt;="&amp;Receipts!$C2000))</f>
        <v/>
      </c>
      <c r="K1997" s="26" t="str">
        <f>IF($A1997="","",SUMIFS(tblReceipts[Qty Received],tblReceipts[Item Name],$A1997,tblReceipts[Expiry Date],"&lt;"&amp;$H1997)+SUMIFS(tblReceipts[Qty Received],tblReceipts[Item Name],$A1997,tblReceipts[Expiry Date],$H1997,tblReceipts[Lot Number],"&lt;"&amp;Receipts!$C2000))</f>
        <v/>
      </c>
      <c r="L1997" s="26" t="str">
        <f>IF($A1997="","",MIN($D1997,MAX(0,SUMIFS(tblIssues[Qty Issued],tblIssues[Item Name],$A1997)-$K1997)))</f>
        <v/>
      </c>
      <c r="M1997" s="26" t="str">
        <f>IF($A1997="","",SUMIFS(tblIssues[Qty Issued],tblIssues[Lot Number],$B1997))</f>
        <v/>
      </c>
      <c r="N1997" s="26" t="str">
        <f t="shared" si="157"/>
        <v/>
      </c>
      <c r="O1997" s="26" t="str">
        <f t="shared" si="158"/>
        <v/>
      </c>
      <c r="P1997" s="21" t="str">
        <f t="shared" si="159"/>
        <v/>
      </c>
      <c r="Q1997" s="52" t="str">
        <f>IF($A1997="","",IF($O1997&lt;=0,"Depleted",IF($I1997&lt;0,"EXPIRED",IF($I1997&lt;=Settings!$C$6,"CRITICAL",IF($I1997&lt;=Settings!$C$5,"Expiring","In date")))))</f>
        <v/>
      </c>
    </row>
    <row r="1998" spans="1:17" x14ac:dyDescent="0.35">
      <c r="A1998" s="90" t="str">
        <f>IF(Receipts!$D2001="","",Receipts!$D2001)</f>
        <v/>
      </c>
      <c r="B1998" s="18" t="str">
        <f>IF(Receipts!$C2001="","",Receipts!$C2001)</f>
        <v/>
      </c>
      <c r="C1998" s="18" t="str">
        <f>IF($A1998="","",IFERROR(INDEX(Items!$B$5:$B$597,MATCH($A1998,Items!$A$5:$A$597,0)),""))</f>
        <v/>
      </c>
      <c r="D1998" s="23" t="str">
        <f>IF($A1998="","",N(Receipts!$G2001))</f>
        <v/>
      </c>
      <c r="E1998" s="20" t="str">
        <f>IF($A1998="","",IFERROR(INDEX(Items!$D$5:$D$597,MATCH($A1998,Items!$A$5:$A$597,0)),0))</f>
        <v/>
      </c>
      <c r="F1998" s="21" t="str">
        <f t="shared" si="155"/>
        <v/>
      </c>
      <c r="G1998" s="25" t="str">
        <f>IF(Receipts!$I2001="","",Receipts!$I2001)</f>
        <v/>
      </c>
      <c r="H1998" s="25" t="str">
        <f>IF(Receipts!$H2001="","",Receipts!$H2001)</f>
        <v/>
      </c>
      <c r="I1998" s="26" t="str">
        <f t="shared" ca="1" si="156"/>
        <v/>
      </c>
      <c r="J1998" s="26" t="str">
        <f>IF($A1998="","",COUNTIFS(tblReceipts[Item Name],$A1998,tblReceipts[Expiry Date],"&lt;"&amp;$H1998)+COUNTIFS(tblReceipts[Item Name],$A1998,tblReceipts[Expiry Date],$H1998,tblReceipts[Lot Number],"&lt;="&amp;Receipts!$C2001))</f>
        <v/>
      </c>
      <c r="K1998" s="26" t="str">
        <f>IF($A1998="","",SUMIFS(tblReceipts[Qty Received],tblReceipts[Item Name],$A1998,tblReceipts[Expiry Date],"&lt;"&amp;$H1998)+SUMIFS(tblReceipts[Qty Received],tblReceipts[Item Name],$A1998,tblReceipts[Expiry Date],$H1998,tblReceipts[Lot Number],"&lt;"&amp;Receipts!$C2001))</f>
        <v/>
      </c>
      <c r="L1998" s="26" t="str">
        <f>IF($A1998="","",MIN($D1998,MAX(0,SUMIFS(tblIssues[Qty Issued],tblIssues[Item Name],$A1998)-$K1998)))</f>
        <v/>
      </c>
      <c r="M1998" s="26" t="str">
        <f>IF($A1998="","",SUMIFS(tblIssues[Qty Issued],tblIssues[Lot Number],$B1998))</f>
        <v/>
      </c>
      <c r="N1998" s="26" t="str">
        <f t="shared" si="157"/>
        <v/>
      </c>
      <c r="O1998" s="26" t="str">
        <f t="shared" si="158"/>
        <v/>
      </c>
      <c r="P1998" s="21" t="str">
        <f t="shared" si="159"/>
        <v/>
      </c>
      <c r="Q1998" s="52" t="str">
        <f>IF($A1998="","",IF($O1998&lt;=0,"Depleted",IF($I1998&lt;0,"EXPIRED",IF($I1998&lt;=Settings!$C$6,"CRITICAL",IF($I1998&lt;=Settings!$C$5,"Expiring","In date")))))</f>
        <v/>
      </c>
    </row>
    <row r="1999" spans="1:17" x14ac:dyDescent="0.35">
      <c r="A1999" s="90" t="str">
        <f>IF(Receipts!$D2002="","",Receipts!$D2002)</f>
        <v/>
      </c>
      <c r="B1999" s="18" t="str">
        <f>IF(Receipts!$C2002="","",Receipts!$C2002)</f>
        <v/>
      </c>
      <c r="C1999" s="18" t="str">
        <f>IF($A1999="","",IFERROR(INDEX(Items!$B$5:$B$597,MATCH($A1999,Items!$A$5:$A$597,0)),""))</f>
        <v/>
      </c>
      <c r="D1999" s="23" t="str">
        <f>IF($A1999="","",N(Receipts!$G2002))</f>
        <v/>
      </c>
      <c r="E1999" s="20" t="str">
        <f>IF($A1999="","",IFERROR(INDEX(Items!$D$5:$D$597,MATCH($A1999,Items!$A$5:$A$597,0)),0))</f>
        <v/>
      </c>
      <c r="F1999" s="21" t="str">
        <f t="shared" si="155"/>
        <v/>
      </c>
      <c r="G1999" s="25" t="str">
        <f>IF(Receipts!$I2002="","",Receipts!$I2002)</f>
        <v/>
      </c>
      <c r="H1999" s="25" t="str">
        <f>IF(Receipts!$H2002="","",Receipts!$H2002)</f>
        <v/>
      </c>
      <c r="I1999" s="26" t="str">
        <f t="shared" ca="1" si="156"/>
        <v/>
      </c>
      <c r="J1999" s="26" t="str">
        <f>IF($A1999="","",COUNTIFS(tblReceipts[Item Name],$A1999,tblReceipts[Expiry Date],"&lt;"&amp;$H1999)+COUNTIFS(tblReceipts[Item Name],$A1999,tblReceipts[Expiry Date],$H1999,tblReceipts[Lot Number],"&lt;="&amp;Receipts!$C2002))</f>
        <v/>
      </c>
      <c r="K1999" s="26" t="str">
        <f>IF($A1999="","",SUMIFS(tblReceipts[Qty Received],tblReceipts[Item Name],$A1999,tblReceipts[Expiry Date],"&lt;"&amp;$H1999)+SUMIFS(tblReceipts[Qty Received],tblReceipts[Item Name],$A1999,tblReceipts[Expiry Date],$H1999,tblReceipts[Lot Number],"&lt;"&amp;Receipts!$C2002))</f>
        <v/>
      </c>
      <c r="L1999" s="26" t="str">
        <f>IF($A1999="","",MIN($D1999,MAX(0,SUMIFS(tblIssues[Qty Issued],tblIssues[Item Name],$A1999)-$K1999)))</f>
        <v/>
      </c>
      <c r="M1999" s="26" t="str">
        <f>IF($A1999="","",SUMIFS(tblIssues[Qty Issued],tblIssues[Lot Number],$B1999))</f>
        <v/>
      </c>
      <c r="N1999" s="26" t="str">
        <f t="shared" si="157"/>
        <v/>
      </c>
      <c r="O1999" s="26" t="str">
        <f t="shared" si="158"/>
        <v/>
      </c>
      <c r="P1999" s="21" t="str">
        <f t="shared" si="159"/>
        <v/>
      </c>
      <c r="Q1999" s="52" t="str">
        <f>IF($A1999="","",IF($O1999&lt;=0,"Depleted",IF($I1999&lt;0,"EXPIRED",IF($I1999&lt;=Settings!$C$6,"CRITICAL",IF($I1999&lt;=Settings!$C$5,"Expiring","In date")))))</f>
        <v/>
      </c>
    </row>
    <row r="2000" spans="1:17" x14ac:dyDescent="0.35">
      <c r="A2000" s="91" t="str">
        <f>IF(Receipts!$D2003="","",Receipts!$D2003)</f>
        <v/>
      </c>
      <c r="B2000" s="80" t="str">
        <f>IF(Receipts!$C2003="","",Receipts!$C2003)</f>
        <v/>
      </c>
      <c r="C2000" s="80" t="str">
        <f>IF($A2000="","",IFERROR(INDEX(Items!$B$5:$B$597,MATCH($A2000,Items!$A$5:$A$597,0)),""))</f>
        <v/>
      </c>
      <c r="D2000" s="85" t="str">
        <f>IF($A2000="","",N(Receipts!$G2003))</f>
        <v/>
      </c>
      <c r="E2000" s="83" t="str">
        <f>IF($A2000="","",IFERROR(INDEX(Items!$D$5:$D$597,MATCH($A2000,Items!$A$5:$A$597,0)),0))</f>
        <v/>
      </c>
      <c r="F2000" s="86" t="str">
        <f t="shared" si="155"/>
        <v/>
      </c>
      <c r="G2000" s="92" t="str">
        <f>IF(Receipts!$I2003="","",Receipts!$I2003)</f>
        <v/>
      </c>
      <c r="H2000" s="92" t="str">
        <f>IF(Receipts!$H2003="","",Receipts!$H2003)</f>
        <v/>
      </c>
      <c r="I2000" s="93" t="str">
        <f t="shared" ca="1" si="156"/>
        <v/>
      </c>
      <c r="J2000" s="93" t="str">
        <f>IF($A2000="","",COUNTIFS(tblReceipts[Item Name],$A2000,tblReceipts[Expiry Date],"&lt;"&amp;$H2000)+COUNTIFS(tblReceipts[Item Name],$A2000,tblReceipts[Expiry Date],$H2000,tblReceipts[Lot Number],"&lt;="&amp;Receipts!$C2003))</f>
        <v/>
      </c>
      <c r="K2000" s="93" t="str">
        <f>IF($A2000="","",SUMIFS(tblReceipts[Qty Received],tblReceipts[Item Name],$A2000,tblReceipts[Expiry Date],"&lt;"&amp;$H2000)+SUMIFS(tblReceipts[Qty Received],tblReceipts[Item Name],$A2000,tblReceipts[Expiry Date],$H2000,tblReceipts[Lot Number],"&lt;"&amp;Receipts!$C2003))</f>
        <v/>
      </c>
      <c r="L2000" s="93" t="str">
        <f>IF($A2000="","",MIN($D2000,MAX(0,SUMIFS(tblIssues[Qty Issued],tblIssues[Item Name],$A2000)-$K2000)))</f>
        <v/>
      </c>
      <c r="M2000" s="93" t="str">
        <f>IF($A2000="","",SUMIFS(tblIssues[Qty Issued],tblIssues[Lot Number],$B2000))</f>
        <v/>
      </c>
      <c r="N2000" s="93" t="str">
        <f t="shared" si="157"/>
        <v/>
      </c>
      <c r="O2000" s="93" t="str">
        <f t="shared" si="158"/>
        <v/>
      </c>
      <c r="P2000" s="86" t="str">
        <f t="shared" si="159"/>
        <v/>
      </c>
      <c r="Q2000" s="88" t="str">
        <f>IF($A2000="","",IF($O2000&lt;=0,"Depleted",IF($I2000&lt;0,"EXPIRED",IF($I2000&lt;=Settings!$C$6,"CRITICAL",IF($I2000&lt;=Settings!$C$5,"Expiring","In date")))))</f>
        <v/>
      </c>
    </row>
  </sheetData>
  <mergeCells count="2">
    <mergeCell ref="A1:Q1"/>
    <mergeCell ref="A2:Q2"/>
  </mergeCells>
  <conditionalFormatting sqref="N5:N2000">
    <cfRule type="cellIs" dxfId="19" priority="5" operator="notEqual">
      <formula>0</formula>
    </cfRule>
  </conditionalFormatting>
  <conditionalFormatting sqref="Q5:Q2000">
    <cfRule type="cellIs" dxfId="18" priority="2" operator="equal">
      <formula>"EXPIRED"</formula>
    </cfRule>
    <cfRule type="cellIs" dxfId="17" priority="3" operator="equal">
      <formula>"CRITICAL"</formula>
    </cfRule>
    <cfRule type="cellIs" dxfId="16" priority="4" operator="equal">
      <formula>"Expiring"</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B3A5C"/>
  </sheetPr>
  <dimension ref="A1:Q600"/>
  <sheetViews>
    <sheetView showGridLines="0" zoomScaleNormal="100" workbookViewId="0">
      <pane ySplit="4" topLeftCell="A16" activePane="bottomLeft" state="frozen"/>
      <selection pane="bottomLeft" activeCell="C23" sqref="C23"/>
    </sheetView>
  </sheetViews>
  <sheetFormatPr defaultColWidth="8.54296875" defaultRowHeight="14.5" x14ac:dyDescent="0.35"/>
  <cols>
    <col min="1" max="1" width="40" customWidth="1"/>
    <col min="2" max="2" width="15" customWidth="1"/>
    <col min="3" max="3" width="14" customWidth="1"/>
    <col min="4" max="4" width="11" customWidth="1"/>
    <col min="5" max="5" width="13" customWidth="1"/>
    <col min="6" max="6" width="12" customWidth="1"/>
    <col min="7" max="7" width="13" customWidth="1"/>
    <col min="8" max="8" width="12" customWidth="1"/>
    <col min="9" max="9" width="11" customWidth="1"/>
    <col min="10" max="10" width="14" customWidth="1"/>
    <col min="11" max="11" width="12" customWidth="1"/>
    <col min="12" max="12" width="14" customWidth="1"/>
    <col min="13" max="13" width="13" customWidth="1"/>
    <col min="14" max="14" width="12" customWidth="1"/>
    <col min="15" max="15" width="20" customWidth="1"/>
    <col min="16" max="16" width="15" customWidth="1"/>
    <col min="17" max="17" width="30" customWidth="1"/>
  </cols>
  <sheetData>
    <row r="1" spans="1:17" ht="24" customHeight="1" x14ac:dyDescent="0.35">
      <c r="A1" s="117" t="s">
        <v>512</v>
      </c>
      <c r="B1" s="117"/>
      <c r="C1" s="117"/>
      <c r="D1" s="117"/>
      <c r="E1" s="117"/>
      <c r="F1" s="117"/>
      <c r="G1" s="117"/>
      <c r="H1" s="117"/>
      <c r="I1" s="117"/>
      <c r="J1" s="117"/>
      <c r="K1" s="117"/>
      <c r="L1" s="117"/>
      <c r="M1" s="117"/>
      <c r="N1" s="117"/>
      <c r="O1" s="117"/>
      <c r="P1" s="117"/>
      <c r="Q1" s="117"/>
    </row>
    <row r="2" spans="1:17" ht="13.5" customHeight="1" x14ac:dyDescent="0.35">
      <c r="A2" s="118" t="s">
        <v>513</v>
      </c>
      <c r="B2" s="118"/>
      <c r="C2" s="118"/>
      <c r="D2" s="118"/>
      <c r="E2" s="118"/>
      <c r="F2" s="118"/>
      <c r="G2" s="118"/>
      <c r="H2" s="118"/>
      <c r="I2" s="118"/>
      <c r="J2" s="118"/>
      <c r="K2" s="118"/>
      <c r="L2" s="118"/>
      <c r="M2" s="118"/>
      <c r="N2" s="118"/>
      <c r="O2" s="118"/>
      <c r="P2" s="118"/>
      <c r="Q2" s="118"/>
    </row>
    <row r="4" spans="1:17" ht="25.5" customHeight="1" x14ac:dyDescent="0.35">
      <c r="A4" s="3" t="s">
        <v>88</v>
      </c>
      <c r="B4" s="3" t="s">
        <v>89</v>
      </c>
      <c r="C4" s="3" t="s">
        <v>94</v>
      </c>
      <c r="D4" s="3" t="s">
        <v>91</v>
      </c>
      <c r="E4" s="3" t="s">
        <v>494</v>
      </c>
      <c r="F4" s="3" t="s">
        <v>93</v>
      </c>
      <c r="G4" s="3" t="s">
        <v>514</v>
      </c>
      <c r="H4" s="3" t="s">
        <v>515</v>
      </c>
      <c r="I4" s="3" t="s">
        <v>516</v>
      </c>
      <c r="J4" s="3" t="s">
        <v>517</v>
      </c>
      <c r="K4" s="3" t="s">
        <v>518</v>
      </c>
      <c r="L4" s="3" t="s">
        <v>519</v>
      </c>
      <c r="M4" s="3" t="s">
        <v>520</v>
      </c>
      <c r="N4" s="3" t="s">
        <v>505</v>
      </c>
      <c r="O4" s="3" t="s">
        <v>521</v>
      </c>
      <c r="P4" s="3" t="s">
        <v>522</v>
      </c>
      <c r="Q4" s="3" t="s">
        <v>523</v>
      </c>
    </row>
    <row r="5" spans="1:17" x14ac:dyDescent="0.35">
      <c r="A5" s="18" t="str">
        <f>IF(Items!$A5="","",Items!$A5)</f>
        <v>1804 N95 Mask</v>
      </c>
      <c r="B5" s="18" t="str">
        <f>IF($A5="","",Items!$B5)</f>
        <v>Masks</v>
      </c>
      <c r="C5" s="19" t="str">
        <f>IF($A5="","",Items!$G5)</f>
        <v>PPE</v>
      </c>
      <c r="D5" s="20">
        <f>IF($A5="","",N(Items!$D5))</f>
        <v>2.0499999999999998</v>
      </c>
      <c r="E5" s="23">
        <f>IF($A5="","",Items!$E5)</f>
        <v>5</v>
      </c>
      <c r="F5" s="23">
        <f>IF($A5="","",Items!$F5)</f>
        <v>500</v>
      </c>
      <c r="G5" s="26">
        <f>IF($A5="","",SUMIFS(tblReceipts[Qty Received],tblReceipts[Item Name],$A5))</f>
        <v>40</v>
      </c>
      <c r="H5" s="26">
        <f>IF($A5="","",SUMIFS(tblIssues[Qty Issued],tblIssues[Item Name],$A5))</f>
        <v>0</v>
      </c>
      <c r="I5" s="27">
        <f t="shared" ref="I5:I68" si="0">IF($A5="","",$G5-$H5)</f>
        <v>40</v>
      </c>
      <c r="J5" s="21">
        <f t="shared" ref="J5:J68" si="1">IF($A5="","",$I5*$D5)</f>
        <v>82</v>
      </c>
      <c r="K5" s="26">
        <f>IF($A5="","",COUNTIFS(tblReceipts[Item Name],$A5))</f>
        <v>1</v>
      </c>
      <c r="L5" s="26">
        <f>IF($A5="","",COUNTIFS(tblLotBalance[Item Name],$A5,tblLotBalance[Lot Balance],"&gt;0"))</f>
        <v>1</v>
      </c>
      <c r="M5" s="24">
        <f>IF($A5="","",IF($L5=0,"",IFERROR(_xlfn.MINIFS(tblLotBalance[Expiry Date],tblLotBalance[Item Name],$A5,tblLotBalance[Lot Balance],"&gt;0"),"")))</f>
        <v>46235</v>
      </c>
      <c r="N5" s="26">
        <f t="shared" ref="N5:N68" ca="1" si="2">IF($M5="","",$M5-TODAY())</f>
        <v>-3</v>
      </c>
      <c r="O5" s="18" t="str" cm="1">
        <f t="array" ref="O5">IF($M5="","",IFERROR(INDEX(tblLotBalance[Lot Number],MATCH(1,INDEX((tblLotBalance[Item Name]=$A5)*(tblLotBalance[Expiry Date]=$M5)*(tblLotBalance[Lot Balance]&gt;0),0),0)),""))</f>
        <v>N955003713</v>
      </c>
      <c r="P5" s="28" t="str">
        <f>IF($A5="","",IF($I5&lt;0,"NEGATIVE",IF(NOT(ISNUMBER($F5)),"Set threshold",IF($I5&lt;=0,"OUT OF STOCK",IF($I5&lt;=$F5,"LOW",IF($I5&lt;=$F5*Settings!$C$7,"WATCH","OK"))))))</f>
        <v>LOW</v>
      </c>
      <c r="Q5" s="29" t="str">
        <f>IF($A5="","",IF($P5="NEGATIVE","Issued more than received - add the missing receipt",IF($P5="OUT OF STOCK","Reorder immediately",IF($P5="LOW","Raise purchase order",IF($P5="Set threshold","Enter Critical Low in Items",IF(AND($N5&lt;&gt;"",$N5&lt;=0),"Quarantine expired lot",IF(AND($N5&lt;&gt;"",$N5&lt;=Settings!$C$6),"Use or rotate stock now","")))))))</f>
        <v>Raise purchase order</v>
      </c>
    </row>
    <row r="6" spans="1:17" x14ac:dyDescent="0.35">
      <c r="A6" s="18" t="str">
        <f>IF(Items!$A6="","",Items!$A6)</f>
        <v>1860 N95 Mask</v>
      </c>
      <c r="B6" s="18" t="str">
        <f>IF($A6="","",Items!$B6)</f>
        <v>Masks</v>
      </c>
      <c r="C6" s="19" t="str">
        <f>IF($A6="","",Items!$G6)</f>
        <v>PPE</v>
      </c>
      <c r="D6" s="20">
        <f>IF($A6="","",N(Items!$D6))</f>
        <v>2.0499999999999998</v>
      </c>
      <c r="E6" s="23">
        <f>IF($A6="","",Items!$E6)</f>
        <v>5</v>
      </c>
      <c r="F6" s="23">
        <f>IF($A6="","",Items!$F6)</f>
        <v>500</v>
      </c>
      <c r="G6" s="26">
        <f>IF($A6="","",SUMIFS(tblReceipts[Qty Received],tblReceipts[Item Name],$A6))</f>
        <v>10840</v>
      </c>
      <c r="H6" s="26">
        <f>IF($A6="","",SUMIFS(tblIssues[Qty Issued],tblIssues[Item Name],$A6))</f>
        <v>0</v>
      </c>
      <c r="I6" s="27">
        <f t="shared" si="0"/>
        <v>10840</v>
      </c>
      <c r="J6" s="21">
        <f t="shared" si="1"/>
        <v>22221.999999999996</v>
      </c>
      <c r="K6" s="26">
        <f>IF($A6="","",COUNTIFS(tblReceipts[Item Name],$A6))</f>
        <v>1</v>
      </c>
      <c r="L6" s="26">
        <f>IF($A6="","",COUNTIFS(tblLotBalance[Item Name],$A6,tblLotBalance[Lot Balance],"&gt;0"))</f>
        <v>1</v>
      </c>
      <c r="M6" s="24">
        <f>IF($A6="","",IF($L6=0,"",IFERROR(_xlfn.MINIFS(tblLotBalance[Expiry Date],tblLotBalance[Item Name],$A6,tblLotBalance[Lot Balance],"&gt;0"),"")))</f>
        <v>46235</v>
      </c>
      <c r="N6" s="26">
        <f t="shared" ca="1" si="2"/>
        <v>-3</v>
      </c>
      <c r="O6" s="18" t="str" cm="1">
        <f t="array" ref="O6">IF($M6="","",IFERROR(INDEX(tblLotBalance[Lot Number],MATCH(1,INDEX((tblLotBalance[Item Name]=$A6)*(tblLotBalance[Expiry Date]=$M6)*(tblLotBalance[Lot Balance]&gt;0),0),0)),""))</f>
        <v>N955003716</v>
      </c>
      <c r="P6" s="28" t="str">
        <f>IF($A6="","",IF($I6&lt;0,"NEGATIVE",IF(NOT(ISNUMBER($F6)),"Set threshold",IF($I6&lt;=0,"OUT OF STOCK",IF($I6&lt;=$F6,"LOW",IF($I6&lt;=$F6*Settings!$C$7,"WATCH","OK"))))))</f>
        <v>OK</v>
      </c>
      <c r="Q6" s="29" t="str">
        <f ca="1">IF($A6="","",IF($P6="NEGATIVE","Issued more than received - add the missing receipt",IF($P6="OUT OF STOCK","Reorder immediately",IF($P6="LOW","Raise purchase order",IF($P6="Set threshold","Enter Critical Low in Items",IF(AND($N6&lt;&gt;"",$N6&lt;=0),"Quarantine expired lot",IF(AND($N6&lt;&gt;"",$N6&lt;=Settings!$C$6),"Use or rotate stock now","")))))))</f>
        <v>Quarantine expired lot</v>
      </c>
    </row>
    <row r="7" spans="1:17" x14ac:dyDescent="0.35">
      <c r="A7" s="18" t="str">
        <f>IF(Items!$A7="","",Items!$A7)</f>
        <v>1860S N95 Mask</v>
      </c>
      <c r="B7" s="18" t="str">
        <f>IF($A7="","",Items!$B7)</f>
        <v>Masks</v>
      </c>
      <c r="C7" s="19" t="str">
        <f>IF($A7="","",Items!$G7)</f>
        <v>PPE</v>
      </c>
      <c r="D7" s="20">
        <f>IF($A7="","",N(Items!$D7))</f>
        <v>2.0499999999999998</v>
      </c>
      <c r="E7" s="23">
        <f>IF($A7="","",Items!$E7)</f>
        <v>5</v>
      </c>
      <c r="F7" s="23">
        <f>IF($A7="","",Items!$F7)</f>
        <v>500</v>
      </c>
      <c r="G7" s="26">
        <f>IF($A7="","",SUMIFS(tblReceipts[Qty Received],tblReceipts[Item Name],$A7))</f>
        <v>9835</v>
      </c>
      <c r="H7" s="26">
        <f>IF($A7="","",SUMIFS(tblIssues[Qty Issued],tblIssues[Item Name],$A7))</f>
        <v>20</v>
      </c>
      <c r="I7" s="27">
        <f t="shared" si="0"/>
        <v>9815</v>
      </c>
      <c r="J7" s="21">
        <f t="shared" si="1"/>
        <v>20120.75</v>
      </c>
      <c r="K7" s="26">
        <f>IF($A7="","",COUNTIFS(tblReceipts[Item Name],$A7))</f>
        <v>1</v>
      </c>
      <c r="L7" s="26">
        <f>IF($A7="","",COUNTIFS(tblLotBalance[Item Name],$A7,tblLotBalance[Lot Balance],"&gt;0"))</f>
        <v>1</v>
      </c>
      <c r="M7" s="24">
        <f>IF($A7="","",IF($L7=0,"",IFERROR(_xlfn.MINIFS(tblLotBalance[Expiry Date],tblLotBalance[Item Name],$A7,tblLotBalance[Lot Balance],"&gt;0"),"")))</f>
        <v>46235</v>
      </c>
      <c r="N7" s="26">
        <f t="shared" ca="1" si="2"/>
        <v>-3</v>
      </c>
      <c r="O7" s="18" t="str" cm="1">
        <f t="array" ref="O7">IF($M7="","",IFERROR(INDEX(tblLotBalance[Lot Number],MATCH(1,INDEX((tblLotBalance[Item Name]=$A7)*(tblLotBalance[Expiry Date]=$M7)*(tblLotBalance[Lot Balance]&gt;0),0),0)),""))</f>
        <v>N955003715</v>
      </c>
      <c r="P7" s="28" t="str">
        <f>IF($A7="","",IF($I7&lt;0,"NEGATIVE",IF(NOT(ISNUMBER($F7)),"Set threshold",IF($I7&lt;=0,"OUT OF STOCK",IF($I7&lt;=$F7,"LOW",IF($I7&lt;=$F7*Settings!$C$7,"WATCH","OK"))))))</f>
        <v>OK</v>
      </c>
      <c r="Q7" s="29" t="str">
        <f ca="1">IF($A7="","",IF($P7="NEGATIVE","Issued more than received - add the missing receipt",IF($P7="OUT OF STOCK","Reorder immediately",IF($P7="LOW","Raise purchase order",IF($P7="Set threshold","Enter Critical Low in Items",IF(AND($N7&lt;&gt;"",$N7&lt;=0),"Quarantine expired lot",IF(AND($N7&lt;&gt;"",$N7&lt;=Settings!$C$6),"Use or rotate stock now","")))))))</f>
        <v>Quarantine expired lot</v>
      </c>
    </row>
    <row r="8" spans="1:17" x14ac:dyDescent="0.35">
      <c r="A8" s="18" t="str">
        <f>IF(Items!$A8="","",Items!$A8)</f>
        <v>1870 N95 Mask</v>
      </c>
      <c r="B8" s="18" t="str">
        <f>IF($A8="","",Items!$B8)</f>
        <v>Masks</v>
      </c>
      <c r="C8" s="19" t="str">
        <f>IF($A8="","",Items!$G8)</f>
        <v>PPE</v>
      </c>
      <c r="D8" s="20">
        <f>IF($A8="","",N(Items!$D8))</f>
        <v>2.0499999999999998</v>
      </c>
      <c r="E8" s="23">
        <f>IF($A8="","",Items!$E8)</f>
        <v>5</v>
      </c>
      <c r="F8" s="23">
        <f>IF($A8="","",Items!$F8)</f>
        <v>500</v>
      </c>
      <c r="G8" s="26">
        <f>IF($A8="","",SUMIFS(tblReceipts[Qty Received],tblReceipts[Item Name],$A8))</f>
        <v>230</v>
      </c>
      <c r="H8" s="26">
        <f>IF($A8="","",SUMIFS(tblIssues[Qty Issued],tblIssues[Item Name],$A8))</f>
        <v>15</v>
      </c>
      <c r="I8" s="27">
        <f t="shared" si="0"/>
        <v>215</v>
      </c>
      <c r="J8" s="21">
        <f t="shared" si="1"/>
        <v>440.74999999999994</v>
      </c>
      <c r="K8" s="26">
        <f>IF($A8="","",COUNTIFS(tblReceipts[Item Name],$A8))</f>
        <v>1</v>
      </c>
      <c r="L8" s="26">
        <f>IF($A8="","",COUNTIFS(tblLotBalance[Item Name],$A8,tblLotBalance[Lot Balance],"&gt;0"))</f>
        <v>1</v>
      </c>
      <c r="M8" s="24">
        <f>IF($A8="","",IF($L8=0,"",IFERROR(_xlfn.MINIFS(tblLotBalance[Expiry Date],tblLotBalance[Item Name],$A8,tblLotBalance[Lot Balance],"&gt;0"),"")))</f>
        <v>46235</v>
      </c>
      <c r="N8" s="26">
        <f t="shared" ca="1" si="2"/>
        <v>-3</v>
      </c>
      <c r="O8" s="18" t="str" cm="1">
        <f t="array" ref="O8">IF($M8="","",IFERROR(INDEX(tblLotBalance[Lot Number],MATCH(1,INDEX((tblLotBalance[Item Name]=$A8)*(tblLotBalance[Expiry Date]=$M8)*(tblLotBalance[Lot Balance]&gt;0),0),0)),""))</f>
        <v>N955003718</v>
      </c>
      <c r="P8" s="28" t="str">
        <f>IF($A8="","",IF($I8&lt;0,"NEGATIVE",IF(NOT(ISNUMBER($F8)),"Set threshold",IF($I8&lt;=0,"OUT OF STOCK",IF($I8&lt;=$F8,"LOW",IF($I8&lt;=$F8*Settings!$C$7,"WATCH","OK"))))))</f>
        <v>LOW</v>
      </c>
      <c r="Q8" s="29" t="str">
        <f>IF($A8="","",IF($P8="NEGATIVE","Issued more than received - add the missing receipt",IF($P8="OUT OF STOCK","Reorder immediately",IF($P8="LOW","Raise purchase order",IF($P8="Set threshold","Enter Critical Low in Items",IF(AND($N8&lt;&gt;"",$N8&lt;=0),"Quarantine expired lot",IF(AND($N8&lt;&gt;"",$N8&lt;=Settings!$C$6),"Use or rotate stock now","")))))))</f>
        <v>Raise purchase order</v>
      </c>
    </row>
    <row r="9" spans="1:17" x14ac:dyDescent="0.35">
      <c r="A9" s="18" t="str">
        <f>IF(Items!$A9="","",Items!$A9)</f>
        <v>1870+ N95 Mask</v>
      </c>
      <c r="B9" s="18" t="str">
        <f>IF($A9="","",Items!$B9)</f>
        <v>Masks</v>
      </c>
      <c r="C9" s="19" t="str">
        <f>IF($A9="","",Items!$G9)</f>
        <v>PPE</v>
      </c>
      <c r="D9" s="20">
        <f>IF($A9="","",N(Items!$D9))</f>
        <v>2.0499999999999998</v>
      </c>
      <c r="E9" s="23">
        <f>IF($A9="","",Items!$E9)</f>
        <v>5</v>
      </c>
      <c r="F9" s="23">
        <f>IF($A9="","",Items!$F9)</f>
        <v>500</v>
      </c>
      <c r="G9" s="26">
        <f>IF($A9="","",SUMIFS(tblReceipts[Qty Received],tblReceipts[Item Name],$A9))</f>
        <v>18945</v>
      </c>
      <c r="H9" s="26">
        <f>IF($A9="","",SUMIFS(tblIssues[Qty Issued],tblIssues[Item Name],$A9))</f>
        <v>55</v>
      </c>
      <c r="I9" s="27">
        <f t="shared" si="0"/>
        <v>18890</v>
      </c>
      <c r="J9" s="21">
        <f t="shared" si="1"/>
        <v>38724.5</v>
      </c>
      <c r="K9" s="26">
        <f>IF($A9="","",COUNTIFS(tblReceipts[Item Name],$A9))</f>
        <v>1</v>
      </c>
      <c r="L9" s="26">
        <f>IF($A9="","",COUNTIFS(tblLotBalance[Item Name],$A9,tblLotBalance[Lot Balance],"&gt;0"))</f>
        <v>1</v>
      </c>
      <c r="M9" s="24">
        <f>IF($A9="","",IF($L9=0,"",IFERROR(_xlfn.MINIFS(tblLotBalance[Expiry Date],tblLotBalance[Item Name],$A9,tblLotBalance[Lot Balance],"&gt;0"),"")))</f>
        <v>46235</v>
      </c>
      <c r="N9" s="26">
        <f t="shared" ca="1" si="2"/>
        <v>-3</v>
      </c>
      <c r="O9" s="18" t="str" cm="1">
        <f t="array" ref="O9">IF($M9="","",IFERROR(INDEX(tblLotBalance[Lot Number],MATCH(1,INDEX((tblLotBalance[Item Name]=$A9)*(tblLotBalance[Expiry Date]=$M9)*(tblLotBalance[Lot Balance]&gt;0),0),0)),""))</f>
        <v>N955003717</v>
      </c>
      <c r="P9" s="28" t="str">
        <f>IF($A9="","",IF($I9&lt;0,"NEGATIVE",IF(NOT(ISNUMBER($F9)),"Set threshold",IF($I9&lt;=0,"OUT OF STOCK",IF($I9&lt;=$F9,"LOW",IF($I9&lt;=$F9*Settings!$C$7,"WATCH","OK"))))))</f>
        <v>OK</v>
      </c>
      <c r="Q9" s="29" t="str">
        <f ca="1">IF($A9="","",IF($P9="NEGATIVE","Issued more than received - add the missing receipt",IF($P9="OUT OF STOCK","Reorder immediately",IF($P9="LOW","Raise purchase order",IF($P9="Set threshold","Enter Critical Low in Items",IF(AND($N9&lt;&gt;"",$N9&lt;=0),"Quarantine expired lot",IF(AND($N9&lt;&gt;"",$N9&lt;=Settings!$C$6),"Use or rotate stock now","")))))))</f>
        <v>Quarantine expired lot</v>
      </c>
    </row>
    <row r="10" spans="1:17" x14ac:dyDescent="0.35">
      <c r="A10" s="18" t="str">
        <f>IF(Items!$A10="","",Items!$A10)</f>
        <v>8110S N95 Mask</v>
      </c>
      <c r="B10" s="18" t="str">
        <f>IF($A10="","",Items!$B10)</f>
        <v>Masks</v>
      </c>
      <c r="C10" s="19" t="str">
        <f>IF($A10="","",Items!$G10)</f>
        <v>PPE</v>
      </c>
      <c r="D10" s="20">
        <f>IF($A10="","",N(Items!$D10))</f>
        <v>1.45</v>
      </c>
      <c r="E10" s="23">
        <f>IF($A10="","",Items!$E10)</f>
        <v>5</v>
      </c>
      <c r="F10" s="23">
        <f>IF($A10="","",Items!$F10)</f>
        <v>500</v>
      </c>
      <c r="G10" s="26">
        <f>IF($A10="","",SUMIFS(tblReceipts[Qty Received],tblReceipts[Item Name],$A10))</f>
        <v>3815</v>
      </c>
      <c r="H10" s="26">
        <f>IF($A10="","",SUMIFS(tblIssues[Qty Issued],tblIssues[Item Name],$A10))</f>
        <v>0</v>
      </c>
      <c r="I10" s="27">
        <f t="shared" si="0"/>
        <v>3815</v>
      </c>
      <c r="J10" s="21">
        <f t="shared" si="1"/>
        <v>5531.75</v>
      </c>
      <c r="K10" s="26">
        <f>IF($A10="","",COUNTIFS(tblReceipts[Item Name],$A10))</f>
        <v>1</v>
      </c>
      <c r="L10" s="26">
        <f>IF($A10="","",COUNTIFS(tblLotBalance[Item Name],$A10,tblLotBalance[Lot Balance],"&gt;0"))</f>
        <v>1</v>
      </c>
      <c r="M10" s="24">
        <f>IF($A10="","",IF($L10=0,"",IFERROR(_xlfn.MINIFS(tblLotBalance[Expiry Date],tblLotBalance[Item Name],$A10,tblLotBalance[Lot Balance],"&gt;0"),"")))</f>
        <v>46235</v>
      </c>
      <c r="N10" s="26">
        <f t="shared" ca="1" si="2"/>
        <v>-3</v>
      </c>
      <c r="O10" s="18" t="str" cm="1">
        <f t="array" ref="O10">IF($M10="","",IFERROR(INDEX(tblLotBalance[Lot Number],MATCH(1,INDEX((tblLotBalance[Item Name]=$A10)*(tblLotBalance[Expiry Date]=$M10)*(tblLotBalance[Lot Balance]&gt;0),0),0)),""))</f>
        <v>N955003712</v>
      </c>
      <c r="P10" s="28" t="str">
        <f>IF($A10="","",IF($I10&lt;0,"NEGATIVE",IF(NOT(ISNUMBER($F10)),"Set threshold",IF($I10&lt;=0,"OUT OF STOCK",IF($I10&lt;=$F10,"LOW",IF($I10&lt;=$F10*Settings!$C$7,"WATCH","OK"))))))</f>
        <v>OK</v>
      </c>
      <c r="Q10" s="29" t="str">
        <f ca="1">IF($A10="","",IF($P10="NEGATIVE","Issued more than received - add the missing receipt",IF($P10="OUT OF STOCK","Reorder immediately",IF($P10="LOW","Raise purchase order",IF($P10="Set threshold","Enter Critical Low in Items",IF(AND($N10&lt;&gt;"",$N10&lt;=0),"Quarantine expired lot",IF(AND($N10&lt;&gt;"",$N10&lt;=Settings!$C$6),"Use or rotate stock now","")))))))</f>
        <v>Quarantine expired lot</v>
      </c>
    </row>
    <row r="11" spans="1:17" x14ac:dyDescent="0.35">
      <c r="A11" s="18" t="str">
        <f>IF(Items!$A11="","",Items!$A11)</f>
        <v>8210 N95 Mask</v>
      </c>
      <c r="B11" s="18" t="str">
        <f>IF($A11="","",Items!$B11)</f>
        <v>Masks</v>
      </c>
      <c r="C11" s="19" t="str">
        <f>IF($A11="","",Items!$G11)</f>
        <v>PPE</v>
      </c>
      <c r="D11" s="20">
        <f>IF($A11="","",N(Items!$D11))</f>
        <v>1.45</v>
      </c>
      <c r="E11" s="23">
        <f>IF($A11="","",Items!$E11)</f>
        <v>5</v>
      </c>
      <c r="F11" s="23">
        <f>IF($A11="","",Items!$F11)</f>
        <v>500</v>
      </c>
      <c r="G11" s="26">
        <f>IF($A11="","",SUMIFS(tblReceipts[Qty Received],tblReceipts[Item Name],$A11))</f>
        <v>17485</v>
      </c>
      <c r="H11" s="26">
        <f>IF($A11="","",SUMIFS(tblIssues[Qty Issued],tblIssues[Item Name],$A11))</f>
        <v>25</v>
      </c>
      <c r="I11" s="27">
        <f t="shared" si="0"/>
        <v>17460</v>
      </c>
      <c r="J11" s="21">
        <f t="shared" si="1"/>
        <v>25317</v>
      </c>
      <c r="K11" s="26">
        <f>IF($A11="","",COUNTIFS(tblReceipts[Item Name],$A11))</f>
        <v>1</v>
      </c>
      <c r="L11" s="26">
        <f>IF($A11="","",COUNTIFS(tblLotBalance[Item Name],$A11,tblLotBalance[Lot Balance],"&gt;0"))</f>
        <v>1</v>
      </c>
      <c r="M11" s="24">
        <f>IF($A11="","",IF($L11=0,"",IFERROR(_xlfn.MINIFS(tblLotBalance[Expiry Date],tblLotBalance[Item Name],$A11,tblLotBalance[Lot Balance],"&gt;0"),"")))</f>
        <v>46235</v>
      </c>
      <c r="N11" s="26">
        <f t="shared" ca="1" si="2"/>
        <v>-3</v>
      </c>
      <c r="O11" s="18" t="str" cm="1">
        <f t="array" ref="O11">IF($M11="","",IFERROR(INDEX(tblLotBalance[Lot Number],MATCH(1,INDEX((tblLotBalance[Item Name]=$A11)*(tblLotBalance[Expiry Date]=$M11)*(tblLotBalance[Lot Balance]&gt;0),0),0)),""))</f>
        <v>N955003714</v>
      </c>
      <c r="P11" s="28" t="str">
        <f>IF($A11="","",IF($I11&lt;0,"NEGATIVE",IF(NOT(ISNUMBER($F11)),"Set threshold",IF($I11&lt;=0,"OUT OF STOCK",IF($I11&lt;=$F11,"LOW",IF($I11&lt;=$F11*Settings!$C$7,"WATCH","OK"))))))</f>
        <v>OK</v>
      </c>
      <c r="Q11" s="29" t="str">
        <f ca="1">IF($A11="","",IF($P11="NEGATIVE","Issued more than received - add the missing receipt",IF($P11="OUT OF STOCK","Reorder immediately",IF($P11="LOW","Raise purchase order",IF($P11="Set threshold","Enter Critical Low in Items",IF(AND($N11&lt;&gt;"",$N11&lt;=0),"Quarantine expired lot",IF(AND($N11&lt;&gt;"",$N11&lt;=Settings!$C$6),"Use or rotate stock now","")))))))</f>
        <v>Quarantine expired lot</v>
      </c>
    </row>
    <row r="12" spans="1:17" x14ac:dyDescent="0.35">
      <c r="A12" s="18" t="str">
        <f>IF(Items!$A12="","",Items!$A12)</f>
        <v>9210+ N95 Mask</v>
      </c>
      <c r="B12" s="18" t="str">
        <f>IF($A12="","",Items!$B12)</f>
        <v>Masks</v>
      </c>
      <c r="C12" s="19" t="str">
        <f>IF($A12="","",Items!$G12)</f>
        <v>PPE</v>
      </c>
      <c r="D12" s="20">
        <f>IF($A12="","",N(Items!$D12))</f>
        <v>1.45</v>
      </c>
      <c r="E12" s="23">
        <f>IF($A12="","",Items!$E12)</f>
        <v>5</v>
      </c>
      <c r="F12" s="23">
        <f>IF($A12="","",Items!$F12)</f>
        <v>500</v>
      </c>
      <c r="G12" s="26">
        <f>IF($A12="","",SUMIFS(tblReceipts[Qty Received],tblReceipts[Item Name],$A12))</f>
        <v>0</v>
      </c>
      <c r="H12" s="26">
        <f>IF($A12="","",SUMIFS(tblIssues[Qty Issued],tblIssues[Item Name],$A12))</f>
        <v>0</v>
      </c>
      <c r="I12" s="27">
        <f t="shared" si="0"/>
        <v>0</v>
      </c>
      <c r="J12" s="21">
        <f t="shared" si="1"/>
        <v>0</v>
      </c>
      <c r="K12" s="26">
        <f>IF($A12="","",COUNTIFS(tblReceipts[Item Name],$A12))</f>
        <v>1</v>
      </c>
      <c r="L12" s="26">
        <f>IF($A12="","",COUNTIFS(tblLotBalance[Item Name],$A12,tblLotBalance[Lot Balance],"&gt;0"))</f>
        <v>0</v>
      </c>
      <c r="M12" s="24" t="str">
        <f>IF($A12="","",IF($L12=0,"",IFERROR(_xlfn.MINIFS(tblLotBalance[Expiry Date],tblLotBalance[Item Name],$A12,tblLotBalance[Lot Balance],"&gt;0"),"")))</f>
        <v/>
      </c>
      <c r="N12" s="26" t="str">
        <f t="shared" ca="1" si="2"/>
        <v/>
      </c>
      <c r="O12" s="18" t="str" cm="1">
        <f t="array" ref="O12">IF($M12="","",IFERROR(INDEX(tblLotBalance[Lot Number],MATCH(1,INDEX((tblLotBalance[Item Name]=$A12)*(tblLotBalance[Expiry Date]=$M12)*(tblLotBalance[Lot Balance]&gt;0),0),0)),""))</f>
        <v/>
      </c>
      <c r="P12" s="28" t="str">
        <f>IF($A12="","",IF($I12&lt;0,"NEGATIVE",IF(NOT(ISNUMBER($F12)),"Set threshold",IF($I12&lt;=0,"OUT OF STOCK",IF($I12&lt;=$F12,"LOW",IF($I12&lt;=$F12*Settings!$C$7,"WATCH","OK"))))))</f>
        <v>OUT OF STOCK</v>
      </c>
      <c r="Q12" s="29" t="str">
        <f>IF($A12="","",IF($P12="NEGATIVE","Issued more than received - add the missing receipt",IF($P12="OUT OF STOCK","Reorder immediately",IF($P12="LOW","Raise purchase order",IF($P12="Set threshold","Enter Critical Low in Items",IF(AND($N12&lt;&gt;"",$N12&lt;=0),"Quarantine expired lot",IF(AND($N12&lt;&gt;"",$N12&lt;=Settings!$C$6),"Use or rotate stock now","")))))))</f>
        <v>Reorder immediately</v>
      </c>
    </row>
    <row r="13" spans="1:17" x14ac:dyDescent="0.35">
      <c r="A13" s="18" t="str">
        <f>IF(Items!$A13="","",Items!$A13)</f>
        <v>CAN95</v>
      </c>
      <c r="B13" s="18" t="str">
        <f>IF($A13="","",Items!$B13)</f>
        <v>Masks</v>
      </c>
      <c r="C13" s="19" t="str">
        <f>IF($A13="","",Items!$G13)</f>
        <v>PPE</v>
      </c>
      <c r="D13" s="20">
        <f>IF($A13="","",N(Items!$D13))</f>
        <v>1.35</v>
      </c>
      <c r="E13" s="23">
        <f>IF($A13="","",Items!$E13)</f>
        <v>5</v>
      </c>
      <c r="F13" s="23">
        <f>IF($A13="","",Items!$F13)</f>
        <v>500</v>
      </c>
      <c r="G13" s="26">
        <f>IF($A13="","",SUMIFS(tblReceipts[Qty Received],tblReceipts[Item Name],$A13))</f>
        <v>0</v>
      </c>
      <c r="H13" s="26">
        <f>IF($A13="","",SUMIFS(tblIssues[Qty Issued],tblIssues[Item Name],$A13))</f>
        <v>5</v>
      </c>
      <c r="I13" s="27">
        <f t="shared" si="0"/>
        <v>-5</v>
      </c>
      <c r="J13" s="21">
        <f t="shared" si="1"/>
        <v>-6.75</v>
      </c>
      <c r="K13" s="26">
        <f>IF($A13="","",COUNTIFS(tblReceipts[Item Name],$A13))</f>
        <v>0</v>
      </c>
      <c r="L13" s="26">
        <f>IF($A13="","",COUNTIFS(tblLotBalance[Item Name],$A13,tblLotBalance[Lot Balance],"&gt;0"))</f>
        <v>0</v>
      </c>
      <c r="M13" s="24" t="str">
        <f>IF($A13="","",IF($L13=0,"",IFERROR(_xlfn.MINIFS(tblLotBalance[Expiry Date],tblLotBalance[Item Name],$A13,tblLotBalance[Lot Balance],"&gt;0"),"")))</f>
        <v/>
      </c>
      <c r="N13" s="26" t="str">
        <f t="shared" ca="1" si="2"/>
        <v/>
      </c>
      <c r="O13" s="18" t="str" cm="1">
        <f t="array" ref="O13">IF($M13="","",IFERROR(INDEX(tblLotBalance[Lot Number],MATCH(1,INDEX((tblLotBalance[Item Name]=$A13)*(tblLotBalance[Expiry Date]=$M13)*(tblLotBalance[Lot Balance]&gt;0),0),0)),""))</f>
        <v/>
      </c>
      <c r="P13" s="28" t="str">
        <f>IF($A13="","",IF($I13&lt;0,"NEGATIVE",IF(NOT(ISNUMBER($F13)),"Set threshold",IF($I13&lt;=0,"OUT OF STOCK",IF($I13&lt;=$F13,"LOW",IF($I13&lt;=$F13*Settings!$C$7,"WATCH","OK"))))))</f>
        <v>NEGATIVE</v>
      </c>
      <c r="Q13" s="29" t="str">
        <f>IF($A13="","",IF($P13="NEGATIVE","Issued more than received - add the missing receipt",IF($P13="OUT OF STOCK","Reorder immediately",IF($P13="LOW","Raise purchase order",IF($P13="Set threshold","Enter Critical Low in Items",IF(AND($N13&lt;&gt;"",$N13&lt;=0),"Quarantine expired lot",IF(AND($N13&lt;&gt;"",$N13&lt;=Settings!$C$6),"Use or rotate stock now","")))))))</f>
        <v>Issued more than received - add the missing receipt</v>
      </c>
    </row>
    <row r="14" spans="1:17" x14ac:dyDescent="0.35">
      <c r="A14" s="18" t="str">
        <f>IF(Items!$A14="","",Items!$A14)</f>
        <v>CAN99</v>
      </c>
      <c r="B14" s="18" t="str">
        <f>IF($A14="","",Items!$B14)</f>
        <v>Masks</v>
      </c>
      <c r="C14" s="19" t="str">
        <f>IF($A14="","",Items!$G14)</f>
        <v>PPE</v>
      </c>
      <c r="D14" s="20">
        <f>IF($A14="","",N(Items!$D14))</f>
        <v>1.35</v>
      </c>
      <c r="E14" s="23">
        <f>IF($A14="","",Items!$E14)</f>
        <v>5</v>
      </c>
      <c r="F14" s="23">
        <f>IF($A14="","",Items!$F14)</f>
        <v>500</v>
      </c>
      <c r="G14" s="26">
        <f>IF($A14="","",SUMIFS(tblReceipts[Qty Received],tblReceipts[Item Name],$A14))</f>
        <v>50</v>
      </c>
      <c r="H14" s="26">
        <f>IF($A14="","",SUMIFS(tblIssues[Qty Issued],tblIssues[Item Name],$A14))</f>
        <v>5</v>
      </c>
      <c r="I14" s="27">
        <f t="shared" si="0"/>
        <v>45</v>
      </c>
      <c r="J14" s="21">
        <f t="shared" si="1"/>
        <v>60.750000000000007</v>
      </c>
      <c r="K14" s="26">
        <f>IF($A14="","",COUNTIFS(tblReceipts[Item Name],$A14))</f>
        <v>2</v>
      </c>
      <c r="L14" s="26">
        <f>IF($A14="","",COUNTIFS(tblLotBalance[Item Name],$A14,tblLotBalance[Lot Balance],"&gt;0"))</f>
        <v>2</v>
      </c>
      <c r="M14" s="24">
        <f>IF($A14="","",IF($L14=0,"",IFERROR(_xlfn.MINIFS(tblLotBalance[Expiry Date],tblLotBalance[Item Name],$A14,tblLotBalance[Lot Balance],"&gt;0"),"")))</f>
        <v>46235</v>
      </c>
      <c r="N14" s="26">
        <f t="shared" ca="1" si="2"/>
        <v>-3</v>
      </c>
      <c r="O14" s="18" t="str" cm="1">
        <f t="array" ref="O14">IF($M14="","",IFERROR(INDEX(tblLotBalance[Lot Number],MATCH(1,INDEX((tblLotBalance[Item Name]=$A14)*(tblLotBalance[Expiry Date]=$M14)*(tblLotBalance[Lot Balance]&gt;0),0),0)),""))</f>
        <v>N9550025</v>
      </c>
      <c r="P14" s="28" t="str">
        <f>IF($A14="","",IF($I14&lt;0,"NEGATIVE",IF(NOT(ISNUMBER($F14)),"Set threshold",IF($I14&lt;=0,"OUT OF STOCK",IF($I14&lt;=$F14,"LOW",IF($I14&lt;=$F14*Settings!$C$7,"WATCH","OK"))))))</f>
        <v>LOW</v>
      </c>
      <c r="Q14" s="29" t="str">
        <f>IF($A14="","",IF($P14="NEGATIVE","Issued more than received - add the missing receipt",IF($P14="OUT OF STOCK","Reorder immediately",IF($P14="LOW","Raise purchase order",IF($P14="Set threshold","Enter Critical Low in Items",IF(AND($N14&lt;&gt;"",$N14&lt;=0),"Quarantine expired lot",IF(AND($N14&lt;&gt;"",$N14&lt;=Settings!$C$6),"Use or rotate stock now","")))))))</f>
        <v>Raise purchase order</v>
      </c>
    </row>
    <row r="15" spans="1:17" x14ac:dyDescent="0.35">
      <c r="A15" s="18" t="str">
        <f>IF(Items!$A15="","",Items!$A15)</f>
        <v>Coverall with hood - VENCVCA300N</v>
      </c>
      <c r="B15" s="18" t="str">
        <f>IF($A15="","",Items!$B15)</f>
        <v>IPAC</v>
      </c>
      <c r="C15" s="19" t="str">
        <f>IF($A15="","",Items!$G15)</f>
        <v>PPE</v>
      </c>
      <c r="D15" s="20">
        <f>IF($A15="","",N(Items!$D15))</f>
        <v>3.29</v>
      </c>
      <c r="E15" s="23">
        <f>IF($A15="","",Items!$E15)</f>
        <v>4</v>
      </c>
      <c r="F15" s="23">
        <f>IF($A15="","",Items!$F15)</f>
        <v>100</v>
      </c>
      <c r="G15" s="26">
        <f>IF($A15="","",SUMIFS(tblReceipts[Qty Received],tblReceipts[Item Name],$A15))</f>
        <v>0</v>
      </c>
      <c r="H15" s="26">
        <f>IF($A15="","",SUMIFS(tblIssues[Qty Issued],tblIssues[Item Name],$A15))</f>
        <v>0</v>
      </c>
      <c r="I15" s="27">
        <f t="shared" si="0"/>
        <v>0</v>
      </c>
      <c r="J15" s="21">
        <f t="shared" si="1"/>
        <v>0</v>
      </c>
      <c r="K15" s="26">
        <f>IF($A15="","",COUNTIFS(tblReceipts[Item Name],$A15))</f>
        <v>0</v>
      </c>
      <c r="L15" s="26">
        <f>IF($A15="","",COUNTIFS(tblLotBalance[Item Name],$A15,tblLotBalance[Lot Balance],"&gt;0"))</f>
        <v>0</v>
      </c>
      <c r="M15" s="24" t="str">
        <f>IF($A15="","",IF($L15=0,"",IFERROR(_xlfn.MINIFS(tblLotBalance[Expiry Date],tblLotBalance[Item Name],$A15,tblLotBalance[Lot Balance],"&gt;0"),"")))</f>
        <v/>
      </c>
      <c r="N15" s="26" t="str">
        <f t="shared" ca="1" si="2"/>
        <v/>
      </c>
      <c r="O15" s="18" t="str" cm="1">
        <f t="array" ref="O15">IF($M15="","",IFERROR(INDEX(tblLotBalance[Lot Number],MATCH(1,INDEX((tblLotBalance[Item Name]=$A15)*(tblLotBalance[Expiry Date]=$M15)*(tblLotBalance[Lot Balance]&gt;0),0),0)),""))</f>
        <v/>
      </c>
      <c r="P15" s="28" t="str">
        <f>IF($A15="","",IF($I15&lt;0,"NEGATIVE",IF(NOT(ISNUMBER($F15)),"Set threshold",IF($I15&lt;=0,"OUT OF STOCK",IF($I15&lt;=$F15,"LOW",IF($I15&lt;=$F15*Settings!$C$7,"WATCH","OK"))))))</f>
        <v>OUT OF STOCK</v>
      </c>
      <c r="Q15" s="29" t="str">
        <f>IF($A15="","",IF($P15="NEGATIVE","Issued more than received - add the missing receipt",IF($P15="OUT OF STOCK","Reorder immediately",IF($P15="LOW","Raise purchase order",IF($P15="Set threshold","Enter Critical Low in Items",IF(AND($N15&lt;&gt;"",$N15&lt;=0),"Quarantine expired lot",IF(AND($N15&lt;&gt;"",$N15&lt;=Settings!$C$6),"Use or rotate stock now","")))))))</f>
        <v>Reorder immediately</v>
      </c>
    </row>
    <row r="16" spans="1:17" x14ac:dyDescent="0.35">
      <c r="A16" s="18" t="str">
        <f>IF(Items!$A16="","",Items!$A16)</f>
        <v>Coverall with shoe cover</v>
      </c>
      <c r="B16" s="18" t="str">
        <f>IF($A16="","",Items!$B16)</f>
        <v>IPAC</v>
      </c>
      <c r="C16" s="19" t="str">
        <f>IF($A16="","",Items!$G16)</f>
        <v>PPE</v>
      </c>
      <c r="D16" s="20">
        <f>IF($A16="","",N(Items!$D16))</f>
        <v>5.16</v>
      </c>
      <c r="E16" s="23">
        <f>IF($A16="","",Items!$E16)</f>
        <v>1</v>
      </c>
      <c r="F16" s="23">
        <f>IF($A16="","",Items!$F16)</f>
        <v>500</v>
      </c>
      <c r="G16" s="26">
        <f>IF($A16="","",SUMIFS(tblReceipts[Qty Received],tblReceipts[Item Name],$A16))</f>
        <v>0</v>
      </c>
      <c r="H16" s="26">
        <f>IF($A16="","",SUMIFS(tblIssues[Qty Issued],tblIssues[Item Name],$A16))</f>
        <v>0</v>
      </c>
      <c r="I16" s="27">
        <f t="shared" si="0"/>
        <v>0</v>
      </c>
      <c r="J16" s="21">
        <f t="shared" si="1"/>
        <v>0</v>
      </c>
      <c r="K16" s="26">
        <f>IF($A16="","",COUNTIFS(tblReceipts[Item Name],$A16))</f>
        <v>0</v>
      </c>
      <c r="L16" s="26">
        <f>IF($A16="","",COUNTIFS(tblLotBalance[Item Name],$A16,tblLotBalance[Lot Balance],"&gt;0"))</f>
        <v>0</v>
      </c>
      <c r="M16" s="24" t="str">
        <f>IF($A16="","",IF($L16=0,"",IFERROR(_xlfn.MINIFS(tblLotBalance[Expiry Date],tblLotBalance[Item Name],$A16,tblLotBalance[Lot Balance],"&gt;0"),"")))</f>
        <v/>
      </c>
      <c r="N16" s="26" t="str">
        <f t="shared" ca="1" si="2"/>
        <v/>
      </c>
      <c r="O16" s="18" t="str" cm="1">
        <f t="array" ref="O16">IF($M16="","",IFERROR(INDEX(tblLotBalance[Lot Number],MATCH(1,INDEX((tblLotBalance[Item Name]=$A16)*(tblLotBalance[Expiry Date]=$M16)*(tblLotBalance[Lot Balance]&gt;0),0),0)),""))</f>
        <v/>
      </c>
      <c r="P16" s="28" t="str">
        <f>IF($A16="","",IF($I16&lt;0,"NEGATIVE",IF(NOT(ISNUMBER($F16)),"Set threshold",IF($I16&lt;=0,"OUT OF STOCK",IF($I16&lt;=$F16,"LOW",IF($I16&lt;=$F16*Settings!$C$7,"WATCH","OK"))))))</f>
        <v>OUT OF STOCK</v>
      </c>
      <c r="Q16" s="29" t="str">
        <f>IF($A16="","",IF($P16="NEGATIVE","Issued more than received - add the missing receipt",IF($P16="OUT OF STOCK","Reorder immediately",IF($P16="LOW","Raise purchase order",IF($P16="Set threshold","Enter Critical Low in Items",IF(AND($N16&lt;&gt;"",$N16&lt;=0),"Quarantine expired lot",IF(AND($N16&lt;&gt;"",$N16&lt;=Settings!$C$6),"Use or rotate stock now","")))))))</f>
        <v>Reorder immediately</v>
      </c>
    </row>
    <row r="17" spans="1:17" x14ac:dyDescent="0.35">
      <c r="A17" s="18" t="str">
        <f>IF(Items!$A17="","",Items!$A17)</f>
        <v>Disinfectant Wipes</v>
      </c>
      <c r="B17" s="18" t="str">
        <f>IF($A17="","",Items!$B17)</f>
        <v>Wipes</v>
      </c>
      <c r="C17" s="19" t="str">
        <f>IF($A17="","",Items!$G17)</f>
        <v>PPE</v>
      </c>
      <c r="D17" s="20">
        <f>IF($A17="","",N(Items!$D17))</f>
        <v>0.1</v>
      </c>
      <c r="E17" s="23">
        <f>IF($A17="","",Items!$E17)</f>
        <v>80</v>
      </c>
      <c r="F17" s="23">
        <f>IF($A17="","",Items!$F17)</f>
        <v>50000</v>
      </c>
      <c r="G17" s="26">
        <f>IF($A17="","",SUMIFS(tblReceipts[Qty Received],tblReceipts[Item Name],$A17))</f>
        <v>192080</v>
      </c>
      <c r="H17" s="26">
        <f>IF($A17="","",SUMIFS(tblIssues[Qty Issued],tblIssues[Item Name],$A17))</f>
        <v>25760</v>
      </c>
      <c r="I17" s="27">
        <f t="shared" si="0"/>
        <v>166320</v>
      </c>
      <c r="J17" s="21">
        <f t="shared" si="1"/>
        <v>16632</v>
      </c>
      <c r="K17" s="26">
        <f>IF($A17="","",COUNTIFS(tblReceipts[Item Name],$A17))</f>
        <v>1</v>
      </c>
      <c r="L17" s="26">
        <f>IF($A17="","",COUNTIFS(tblLotBalance[Item Name],$A17,tblLotBalance[Lot Balance],"&gt;0"))</f>
        <v>1</v>
      </c>
      <c r="M17" s="24">
        <f>IF($A17="","",IF($L17=0,"",IFERROR(_xlfn.MINIFS(tblLotBalance[Expiry Date],tblLotBalance[Item Name],$A17,tblLotBalance[Lot Balance],"&gt;0"),"")))</f>
        <v>47046</v>
      </c>
      <c r="N17" s="26">
        <f t="shared" ca="1" si="2"/>
        <v>808</v>
      </c>
      <c r="O17" s="18" t="str" cm="1">
        <f t="array" ref="O17">IF($M17="","",IFERROR(INDEX(tblLotBalance[Lot Number],MATCH(1,INDEX((tblLotBalance[Item Name]=$A17)*(tblLotBalance[Expiry Date]=$M17)*(tblLotBalance[Lot Balance]&gt;0),0),0)),""))</f>
        <v>LYSL500290</v>
      </c>
      <c r="P17" s="28" t="str">
        <f>IF($A17="","",IF($I17&lt;0,"NEGATIVE",IF(NOT(ISNUMBER($F17)),"Set threshold",IF($I17&lt;=0,"OUT OF STOCK",IF($I17&lt;=$F17,"LOW",IF($I17&lt;=$F17*Settings!$C$7,"WATCH","OK"))))))</f>
        <v>OK</v>
      </c>
      <c r="Q17" s="29" t="str">
        <f ca="1">IF($A17="","",IF($P17="NEGATIVE","Issued more than received - add the missing receipt",IF($P17="OUT OF STOCK","Reorder immediately",IF($P17="LOW","Raise purchase order",IF($P17="Set threshold","Enter Critical Low in Items",IF(AND($N17&lt;&gt;"",$N17&lt;=0),"Quarantine expired lot",IF(AND($N17&lt;&gt;"",$N17&lt;=Settings!$C$6),"Use or rotate stock now","")))))))</f>
        <v/>
      </c>
    </row>
    <row r="18" spans="1:17" x14ac:dyDescent="0.35">
      <c r="A18" s="18" t="str">
        <f>IF(Items!$A18="","",Items!$A18)</f>
        <v>Ear Savers</v>
      </c>
      <c r="B18" s="18" t="str">
        <f>IF($A18="","",Items!$B18)</f>
        <v>Accessories</v>
      </c>
      <c r="C18" s="19" t="str">
        <f>IF($A18="","",Items!$G18)</f>
        <v>PPE</v>
      </c>
      <c r="D18" s="20">
        <f>IF($A18="","",N(Items!$D18))</f>
        <v>3</v>
      </c>
      <c r="E18" s="23">
        <f>IF($A18="","",Items!$E18)</f>
        <v>1</v>
      </c>
      <c r="F18" s="23">
        <f>IF($A18="","",Items!$F18)</f>
        <v>0</v>
      </c>
      <c r="G18" s="26">
        <f>IF($A18="","",SUMIFS(tblReceipts[Qty Received],tblReceipts[Item Name],$A18))</f>
        <v>0</v>
      </c>
      <c r="H18" s="26">
        <f>IF($A18="","",SUMIFS(tblIssues[Qty Issued],tblIssues[Item Name],$A18))</f>
        <v>0</v>
      </c>
      <c r="I18" s="27">
        <f t="shared" si="0"/>
        <v>0</v>
      </c>
      <c r="J18" s="21">
        <f t="shared" si="1"/>
        <v>0</v>
      </c>
      <c r="K18" s="26">
        <f>IF($A18="","",COUNTIFS(tblReceipts[Item Name],$A18))</f>
        <v>0</v>
      </c>
      <c r="L18" s="26">
        <f>IF($A18="","",COUNTIFS(tblLotBalance[Item Name],$A18,tblLotBalance[Lot Balance],"&gt;0"))</f>
        <v>0</v>
      </c>
      <c r="M18" s="24" t="str">
        <f>IF($A18="","",IF($L18=0,"",IFERROR(_xlfn.MINIFS(tblLotBalance[Expiry Date],tblLotBalance[Item Name],$A18,tblLotBalance[Lot Balance],"&gt;0"),"")))</f>
        <v/>
      </c>
      <c r="N18" s="26" t="str">
        <f t="shared" ca="1" si="2"/>
        <v/>
      </c>
      <c r="O18" s="18" t="str" cm="1">
        <f t="array" ref="O18">IF($M18="","",IFERROR(INDEX(tblLotBalance[Lot Number],MATCH(1,INDEX((tblLotBalance[Item Name]=$A18)*(tblLotBalance[Expiry Date]=$M18)*(tblLotBalance[Lot Balance]&gt;0),0),0)),""))</f>
        <v/>
      </c>
      <c r="P18" s="28" t="str">
        <f>IF($A18="","",IF($I18&lt;0,"NEGATIVE",IF(NOT(ISNUMBER($F18)),"Set threshold",IF($I18&lt;=0,"OUT OF STOCK",IF($I18&lt;=$F18,"LOW",IF($I18&lt;=$F18*Settings!$C$7,"WATCH","OK"))))))</f>
        <v>OUT OF STOCK</v>
      </c>
      <c r="Q18" s="29" t="str">
        <f>IF($A18="","",IF($P18="NEGATIVE","Issued more than received - add the missing receipt",IF($P18="OUT OF STOCK","Reorder immediately",IF($P18="LOW","Raise purchase order",IF($P18="Set threshold","Enter Critical Low in Items",IF(AND($N18&lt;&gt;"",$N18&lt;=0),"Quarantine expired lot",IF(AND($N18&lt;&gt;"",$N18&lt;=Settings!$C$6),"Use or rotate stock now","")))))))</f>
        <v>Reorder immediately</v>
      </c>
    </row>
    <row r="19" spans="1:17" x14ac:dyDescent="0.35">
      <c r="A19" s="18" t="str">
        <f>IF(Items!$A19="","",Items!$A19)</f>
        <v>Epinephrine</v>
      </c>
      <c r="B19" s="18" t="str">
        <f>IF($A19="","",Items!$B19)</f>
        <v>Drug</v>
      </c>
      <c r="C19" s="19" t="str">
        <f>IF($A19="","",Items!$G19)</f>
        <v>PPE</v>
      </c>
      <c r="D19" s="20">
        <f>IF($A19="","",N(Items!$D19))</f>
        <v>5.9</v>
      </c>
      <c r="E19" s="23">
        <f>IF($A19="","",Items!$E19)</f>
        <v>2</v>
      </c>
      <c r="F19" s="23">
        <f>IF($A19="","",Items!$F19)</f>
        <v>0</v>
      </c>
      <c r="G19" s="26">
        <f>IF($A19="","",SUMIFS(tblReceipts[Qty Received],tblReceipts[Item Name],$A19))</f>
        <v>48</v>
      </c>
      <c r="H19" s="26">
        <f>IF($A19="","",SUMIFS(tblIssues[Qty Issued],tblIssues[Item Name],$A19))</f>
        <v>2</v>
      </c>
      <c r="I19" s="27">
        <f t="shared" si="0"/>
        <v>46</v>
      </c>
      <c r="J19" s="21">
        <f t="shared" si="1"/>
        <v>271.40000000000003</v>
      </c>
      <c r="K19" s="26">
        <f>IF($A19="","",COUNTIFS(tblReceipts[Item Name],$A19))</f>
        <v>2</v>
      </c>
      <c r="L19" s="26">
        <f>IF($A19="","",COUNTIFS(tblLotBalance[Item Name],$A19,tblLotBalance[Lot Balance],"&gt;0"))</f>
        <v>1</v>
      </c>
      <c r="M19" s="24">
        <f>IF($A19="","",IF($L19=0,"",IFERROR(_xlfn.MINIFS(tblLotBalance[Expiry Date],tblLotBalance[Item Name],$A19,tblLotBalance[Lot Balance],"&gt;0"),"")))</f>
        <v>46538</v>
      </c>
      <c r="N19" s="26">
        <f t="shared" ca="1" si="2"/>
        <v>300</v>
      </c>
      <c r="O19" s="18" cm="1">
        <f t="array" ref="O19">IF($M19="","",IFERROR(INDEX(tblLotBalance[Lot Number],MATCH(1,INDEX((tblLotBalance[Item Name]=$A19)*(tblLotBalance[Expiry Date]=$M19)*(tblLotBalance[Lot Balance]&gt;0),0),0)),""))</f>
        <v>50037</v>
      </c>
      <c r="P19" s="28" t="str">
        <f>IF($A19="","",IF($I19&lt;0,"NEGATIVE",IF(NOT(ISNUMBER($F19)),"Set threshold",IF($I19&lt;=0,"OUT OF STOCK",IF($I19&lt;=$F19,"LOW",IF($I19&lt;=$F19*Settings!$C$7,"WATCH","OK"))))))</f>
        <v>OK</v>
      </c>
      <c r="Q19" s="29" t="str">
        <f ca="1">IF($A19="","",IF($P19="NEGATIVE","Issued more than received - add the missing receipt",IF($P19="OUT OF STOCK","Reorder immediately",IF($P19="LOW","Raise purchase order",IF($P19="Set threshold","Enter Critical Low in Items",IF(AND($N19&lt;&gt;"",$N19&lt;=0),"Quarantine expired lot",IF(AND($N19&lt;&gt;"",$N19&lt;=Settings!$C$6),"Use or rotate stock now","")))))))</f>
        <v/>
      </c>
    </row>
    <row r="20" spans="1:17" x14ac:dyDescent="0.35">
      <c r="A20" s="18" t="str">
        <f>IF(Items!$A20="","",Items!$A20)</f>
        <v>Face Shields</v>
      </c>
      <c r="B20" s="18" t="str">
        <f>IF($A20="","",Items!$B20)</f>
        <v>Eye Protection</v>
      </c>
      <c r="C20" s="19" t="str">
        <f>IF($A20="","",Items!$G20)</f>
        <v>PPE</v>
      </c>
      <c r="D20" s="20">
        <f>IF($A20="","",N(Items!$D20))</f>
        <v>7</v>
      </c>
      <c r="E20" s="23">
        <f>IF($A20="","",Items!$E20)</f>
        <v>1</v>
      </c>
      <c r="F20" s="23">
        <f>IF($A20="","",Items!$F20)</f>
        <v>0</v>
      </c>
      <c r="G20" s="26">
        <f>IF($A20="","",SUMIFS(tblReceipts[Qty Received],tblReceipts[Item Name],$A20))</f>
        <v>0</v>
      </c>
      <c r="H20" s="26">
        <f>IF($A20="","",SUMIFS(tblIssues[Qty Issued],tblIssues[Item Name],$A20))</f>
        <v>19</v>
      </c>
      <c r="I20" s="27">
        <f t="shared" si="0"/>
        <v>-19</v>
      </c>
      <c r="J20" s="21">
        <f t="shared" si="1"/>
        <v>-133</v>
      </c>
      <c r="K20" s="26">
        <f>IF($A20="","",COUNTIFS(tblReceipts[Item Name],$A20))</f>
        <v>0</v>
      </c>
      <c r="L20" s="26">
        <f>IF($A20="","",COUNTIFS(tblLotBalance[Item Name],$A20,tblLotBalance[Lot Balance],"&gt;0"))</f>
        <v>0</v>
      </c>
      <c r="M20" s="24" t="str">
        <f>IF($A20="","",IF($L20=0,"",IFERROR(_xlfn.MINIFS(tblLotBalance[Expiry Date],tblLotBalance[Item Name],$A20,tblLotBalance[Lot Balance],"&gt;0"),"")))</f>
        <v/>
      </c>
      <c r="N20" s="26" t="str">
        <f t="shared" ca="1" si="2"/>
        <v/>
      </c>
      <c r="O20" s="18" t="str" cm="1">
        <f t="array" ref="O20">IF($M20="","",IFERROR(INDEX(tblLotBalance[Lot Number],MATCH(1,INDEX((tblLotBalance[Item Name]=$A20)*(tblLotBalance[Expiry Date]=$M20)*(tblLotBalance[Lot Balance]&gt;0),0),0)),""))</f>
        <v/>
      </c>
      <c r="P20" s="28" t="str">
        <f>IF($A20="","",IF($I20&lt;0,"NEGATIVE",IF(NOT(ISNUMBER($F20)),"Set threshold",IF($I20&lt;=0,"OUT OF STOCK",IF($I20&lt;=$F20,"LOW",IF($I20&lt;=$F20*Settings!$C$7,"WATCH","OK"))))))</f>
        <v>NEGATIVE</v>
      </c>
      <c r="Q20" s="29" t="str">
        <f>IF($A20="","",IF($P20="NEGATIVE","Issued more than received - add the missing receipt",IF($P20="OUT OF STOCK","Reorder immediately",IF($P20="LOW","Raise purchase order",IF($P20="Set threshold","Enter Critical Low in Items",IF(AND($N20&lt;&gt;"",$N20&lt;=0),"Quarantine expired lot",IF(AND($N20&lt;&gt;"",$N20&lt;=Settings!$C$6),"Use or rotate stock now","")))))))</f>
        <v>Issued more than received - add the missing receipt</v>
      </c>
    </row>
    <row r="21" spans="1:17" x14ac:dyDescent="0.35">
      <c r="A21" s="18" t="str">
        <f>IF(Items!$A21="","",Items!$A21)</f>
        <v>Gloves - Large</v>
      </c>
      <c r="B21" s="18" t="str">
        <f>IF($A21="","",Items!$B21)</f>
        <v>Gloves</v>
      </c>
      <c r="C21" s="19" t="str">
        <f>IF($A21="","",Items!$G21)</f>
        <v>PPE</v>
      </c>
      <c r="D21" s="20">
        <f>IF($A21="","",N(Items!$D21))</f>
        <v>5.5E-2</v>
      </c>
      <c r="E21" s="23">
        <f>IF($A21="","",Items!$E21)</f>
        <v>500</v>
      </c>
      <c r="F21" s="23">
        <f>IF($A21="","",Items!$F21)</f>
        <v>4000</v>
      </c>
      <c r="G21" s="26">
        <f>IF($A21="","",SUMIFS(tblReceipts[Qty Received],tblReceipts[Item Name],$A21))</f>
        <v>69750</v>
      </c>
      <c r="H21" s="26">
        <f>IF($A21="","",SUMIFS(tblIssues[Qty Issued],tblIssues[Item Name],$A21))</f>
        <v>52000</v>
      </c>
      <c r="I21" s="27">
        <f t="shared" si="0"/>
        <v>17750</v>
      </c>
      <c r="J21" s="21">
        <f t="shared" si="1"/>
        <v>976.25</v>
      </c>
      <c r="K21" s="26">
        <f>IF($A21="","",COUNTIFS(tblReceipts[Item Name],$A21))</f>
        <v>29</v>
      </c>
      <c r="L21" s="26">
        <f>IF($A21="","",COUNTIFS(tblLotBalance[Item Name],$A21,tblLotBalance[Lot Balance],"&gt;0"))</f>
        <v>4</v>
      </c>
      <c r="M21" s="24">
        <f>IF($A21="","",IF($L21=0,"",IFERROR(_xlfn.MINIFS(tblLotBalance[Expiry Date],tblLotBalance[Item Name],$A21,tblLotBalance[Lot Balance],"&gt;0"),"")))</f>
        <v>46364</v>
      </c>
      <c r="N21" s="26">
        <f t="shared" ca="1" si="2"/>
        <v>126</v>
      </c>
      <c r="O21" s="18" t="str" cm="1">
        <f t="array" ref="O21">IF($M21="","",IFERROR(INDEX(tblLotBalance[Lot Number],MATCH(1,INDEX((tblLotBalance[Item Name]=$A21)*(tblLotBalance[Expiry Date]=$M21)*(tblLotBalance[Lot Balance]&gt;0),0),0)),""))</f>
        <v>ZIM512142081</v>
      </c>
      <c r="P21" s="28" t="str">
        <f>IF($A21="","",IF($I21&lt;0,"NEGATIVE",IF(NOT(ISNUMBER($F21)),"Set threshold",IF($I21&lt;=0,"OUT OF STOCK",IF($I21&lt;=$F21,"LOW",IF($I21&lt;=$F21*Settings!$C$7,"WATCH","OK"))))))</f>
        <v>OK</v>
      </c>
      <c r="Q21" s="29" t="str">
        <f ca="1">IF($A21="","",IF($P21="NEGATIVE","Issued more than received - add the missing receipt",IF($P21="OUT OF STOCK","Reorder immediately",IF($P21="LOW","Raise purchase order",IF($P21="Set threshold","Enter Critical Low in Items",IF(AND($N21&lt;&gt;"",$N21&lt;=0),"Quarantine expired lot",IF(AND($N21&lt;&gt;"",$N21&lt;=Settings!$C$6),"Use or rotate stock now","")))))))</f>
        <v/>
      </c>
    </row>
    <row r="22" spans="1:17" x14ac:dyDescent="0.35">
      <c r="A22" s="18" t="str">
        <f>IF(Items!$A22="","",Items!$A22)</f>
        <v>Gloves - Medium</v>
      </c>
      <c r="B22" s="18" t="str">
        <f>IF($A22="","",Items!$B22)</f>
        <v>Gloves</v>
      </c>
      <c r="C22" s="19" t="str">
        <f>IF($A22="","",Items!$G22)</f>
        <v>PPE</v>
      </c>
      <c r="D22" s="20">
        <f>IF($A22="","",N(Items!$D22))</f>
        <v>5.5E-2</v>
      </c>
      <c r="E22" s="23">
        <f>IF($A22="","",Items!$E22)</f>
        <v>500</v>
      </c>
      <c r="F22" s="23">
        <f>IF($A22="","",Items!$F22)</f>
        <v>7500</v>
      </c>
      <c r="G22" s="26">
        <f>IF($A22="","",SUMIFS(tblReceipts[Qty Received],tblReceipts[Item Name],$A22))</f>
        <v>144700</v>
      </c>
      <c r="H22" s="26">
        <f>IF($A22="","",SUMIFS(tblIssues[Qty Issued],tblIssues[Item Name],$A22))</f>
        <v>116500</v>
      </c>
      <c r="I22" s="27">
        <f t="shared" si="0"/>
        <v>28200</v>
      </c>
      <c r="J22" s="21">
        <f t="shared" si="1"/>
        <v>1551</v>
      </c>
      <c r="K22" s="26">
        <f>IF($A22="","",COUNTIFS(tblReceipts[Item Name],$A22))</f>
        <v>37</v>
      </c>
      <c r="L22" s="26">
        <f>IF($A22="","",COUNTIFS(tblLotBalance[Item Name],$A22,tblLotBalance[Lot Balance],"&gt;0"))</f>
        <v>3</v>
      </c>
      <c r="M22" s="24">
        <f>IF($A22="","",IF($L22=0,"",IFERROR(_xlfn.MINIFS(tblLotBalance[Expiry Date],tblLotBalance[Item Name],$A22,tblLotBalance[Lot Balance],"&gt;0"),"")))</f>
        <v>46395</v>
      </c>
      <c r="N22" s="26">
        <f t="shared" ca="1" si="2"/>
        <v>157</v>
      </c>
      <c r="O22" s="18" t="str" cm="1">
        <f t="array" ref="O22">IF($M22="","",IFERROR(INDEX(tblLotBalance[Lot Number],MATCH(1,INDEX((tblLotBalance[Item Name]=$A22)*(tblLotBalance[Expiry Date]=$M22)*(tblLotBalance[Lot Balance]&gt;0),0),0)),""))</f>
        <v>ZIM6044151580</v>
      </c>
      <c r="P22" s="28" t="str">
        <f>IF($A22="","",IF($I22&lt;0,"NEGATIVE",IF(NOT(ISNUMBER($F22)),"Set threshold",IF($I22&lt;=0,"OUT OF STOCK",IF($I22&lt;=$F22,"LOW",IF($I22&lt;=$F22*Settings!$C$7,"WATCH","OK"))))))</f>
        <v>OK</v>
      </c>
      <c r="Q22" s="29" t="str">
        <f ca="1">IF($A22="","",IF($P22="NEGATIVE","Issued more than received - add the missing receipt",IF($P22="OUT OF STOCK","Reorder immediately",IF($P22="LOW","Raise purchase order",IF($P22="Set threshold","Enter Critical Low in Items",IF(AND($N22&lt;&gt;"",$N22&lt;=0),"Quarantine expired lot",IF(AND($N22&lt;&gt;"",$N22&lt;=Settings!$C$6),"Use or rotate stock now","")))))))</f>
        <v/>
      </c>
    </row>
    <row r="23" spans="1:17" x14ac:dyDescent="0.35">
      <c r="A23" s="18" t="str">
        <f>IF(Items!$A23="","",Items!$A23)</f>
        <v>Gloves - Small</v>
      </c>
      <c r="B23" s="18" t="str">
        <f>IF($A23="","",Items!$B23)</f>
        <v>Gloves</v>
      </c>
      <c r="C23" s="19" t="str">
        <f>IF($A23="","",Items!$G23)</f>
        <v>PPE</v>
      </c>
      <c r="D23" s="20">
        <f>IF($A23="","",N(Items!$D23))</f>
        <v>5.5E-2</v>
      </c>
      <c r="E23" s="23">
        <f>IF($A23="","",Items!$E23)</f>
        <v>500</v>
      </c>
      <c r="F23" s="23">
        <f>IF($A23="","",Items!$F23)</f>
        <v>4000</v>
      </c>
      <c r="G23" s="26">
        <f>IF($A23="","",SUMIFS(tblReceipts[Qty Received],tblReceipts[Item Name],$A23))</f>
        <v>74950</v>
      </c>
      <c r="H23" s="26">
        <f>IF($A23="","",SUMIFS(tblIssues[Qty Issued],tblIssues[Item Name],$A23))</f>
        <v>57500</v>
      </c>
      <c r="I23" s="27">
        <f t="shared" si="0"/>
        <v>17450</v>
      </c>
      <c r="J23" s="21">
        <f t="shared" si="1"/>
        <v>959.75</v>
      </c>
      <c r="K23" s="26">
        <f>IF($A23="","",COUNTIFS(tblReceipts[Item Name],$A23))</f>
        <v>30</v>
      </c>
      <c r="L23" s="26">
        <f>IF($A23="","",COUNTIFS(tblLotBalance[Item Name],$A23,tblLotBalance[Lot Balance],"&gt;0"))</f>
        <v>4</v>
      </c>
      <c r="M23" s="24">
        <f>IF($A23="","",IF($L23=0,"",IFERROR(_xlfn.MINIFS(tblLotBalance[Expiry Date],tblLotBalance[Item Name],$A23,tblLotBalance[Lot Balance],"&gt;0"),"")))</f>
        <v>46364</v>
      </c>
      <c r="N23" s="26">
        <f t="shared" ca="1" si="2"/>
        <v>126</v>
      </c>
      <c r="O23" s="18" t="str" cm="1">
        <f t="array" ref="O23">IF($M23="","",IFERROR(INDEX(tblLotBalance[Lot Number],MATCH(1,INDEX((tblLotBalance[Item Name]=$A23)*(tblLotBalance[Expiry Date]=$M23)*(tblLotBalance[Lot Balance]&gt;0),0),0)),""))</f>
        <v>ZIM601144366-1</v>
      </c>
      <c r="P23" s="28" t="str">
        <f>IF($A23="","",IF($I23&lt;0,"NEGATIVE",IF(NOT(ISNUMBER($F23)),"Set threshold",IF($I23&lt;=0,"OUT OF STOCK",IF($I23&lt;=$F23,"LOW",IF($I23&lt;=$F23*Settings!$C$7,"WATCH","OK"))))))</f>
        <v>OK</v>
      </c>
      <c r="Q23" s="29" t="str">
        <f ca="1">IF($A23="","",IF($P23="NEGATIVE","Issued more than received - add the missing receipt",IF($P23="OUT OF STOCK","Reorder immediately",IF($P23="LOW","Raise purchase order",IF($P23="Set threshold","Enter Critical Low in Items",IF(AND($N23&lt;&gt;"",$N23&lt;=0),"Quarantine expired lot",IF(AND($N23&lt;&gt;"",$N23&lt;=Settings!$C$6),"Use or rotate stock now","")))))))</f>
        <v/>
      </c>
    </row>
    <row r="24" spans="1:17" x14ac:dyDescent="0.35">
      <c r="A24" s="18" t="str">
        <f>IF(Items!$A24="","",Items!$A24)</f>
        <v>Gloves - Small/100</v>
      </c>
      <c r="B24" s="18" t="str">
        <f>IF($A24="","",Items!$B24)</f>
        <v>Gloves</v>
      </c>
      <c r="C24" s="19" t="str">
        <f>IF($A24="","",Items!$G24)</f>
        <v>PPE</v>
      </c>
      <c r="D24" s="20">
        <f>IF($A24="","",N(Items!$D24))</f>
        <v>5.5E-2</v>
      </c>
      <c r="E24" s="23">
        <f>IF($A24="","",Items!$E24)</f>
        <v>500</v>
      </c>
      <c r="F24" s="23">
        <f>IF($A24="","",Items!$F24)</f>
        <v>1000</v>
      </c>
      <c r="G24" s="26">
        <f>IF($A24="","",SUMIFS(tblReceipts[Qty Received],tblReceipts[Item Name],$A24))</f>
        <v>1000</v>
      </c>
      <c r="H24" s="26">
        <f>IF($A24="","",SUMIFS(tblIssues[Qty Issued],tblIssues[Item Name],$A24))</f>
        <v>1000</v>
      </c>
      <c r="I24" s="27">
        <f t="shared" si="0"/>
        <v>0</v>
      </c>
      <c r="J24" s="21">
        <f t="shared" si="1"/>
        <v>0</v>
      </c>
      <c r="K24" s="26">
        <f>IF($A24="","",COUNTIFS(tblReceipts[Item Name],$A24))</f>
        <v>3</v>
      </c>
      <c r="L24" s="26">
        <f>IF($A24="","",COUNTIFS(tblLotBalance[Item Name],$A24,tblLotBalance[Lot Balance],"&gt;0"))</f>
        <v>0</v>
      </c>
      <c r="M24" s="24" t="str">
        <f>IF($A24="","",IF($L24=0,"",IFERROR(_xlfn.MINIFS(tblLotBalance[Expiry Date],tblLotBalance[Item Name],$A24,tblLotBalance[Lot Balance],"&gt;0"),"")))</f>
        <v/>
      </c>
      <c r="N24" s="26" t="str">
        <f t="shared" ca="1" si="2"/>
        <v/>
      </c>
      <c r="O24" s="18" t="str" cm="1">
        <f t="array" ref="O24">IF($M24="","",IFERROR(INDEX(tblLotBalance[Lot Number],MATCH(1,INDEX((tblLotBalance[Item Name]=$A24)*(tblLotBalance[Expiry Date]=$M24)*(tblLotBalance[Lot Balance]&gt;0),0),0)),""))</f>
        <v/>
      </c>
      <c r="P24" s="28" t="str">
        <f>IF($A24="","",IF($I24&lt;0,"NEGATIVE",IF(NOT(ISNUMBER($F24)),"Set threshold",IF($I24&lt;=0,"OUT OF STOCK",IF($I24&lt;=$F24,"LOW",IF($I24&lt;=$F24*Settings!$C$7,"WATCH","OK"))))))</f>
        <v>OUT OF STOCK</v>
      </c>
      <c r="Q24" s="29" t="str">
        <f>IF($A24="","",IF($P24="NEGATIVE","Issued more than received - add the missing receipt",IF($P24="OUT OF STOCK","Reorder immediately",IF($P24="LOW","Raise purchase order",IF($P24="Set threshold","Enter Critical Low in Items",IF(AND($N24&lt;&gt;"",$N24&lt;=0),"Quarantine expired lot",IF(AND($N24&lt;&gt;"",$N24&lt;=Settings!$C$6),"Use or rotate stock now","")))))))</f>
        <v>Reorder immediately</v>
      </c>
    </row>
    <row r="25" spans="1:17" x14ac:dyDescent="0.35">
      <c r="A25" s="18" t="str">
        <f>IF(Items!$A25="","",Items!$A25)</f>
        <v>Gloves - X-Large</v>
      </c>
      <c r="B25" s="18" t="str">
        <f>IF($A25="","",Items!$B25)</f>
        <v>Gloves</v>
      </c>
      <c r="C25" s="19" t="str">
        <f>IF($A25="","",Items!$G25)</f>
        <v>PPE</v>
      </c>
      <c r="D25" s="20">
        <f>IF($A25="","",N(Items!$D25))</f>
        <v>5.5E-2</v>
      </c>
      <c r="E25" s="23">
        <f>IF($A25="","",Items!$E25)</f>
        <v>500</v>
      </c>
      <c r="F25" s="23">
        <f>IF($A25="","",Items!$F25)</f>
        <v>4000</v>
      </c>
      <c r="G25" s="26">
        <f>IF($A25="","",SUMIFS(tblReceipts[Qty Received],tblReceipts[Item Name],$A25))</f>
        <v>5850</v>
      </c>
      <c r="H25" s="26">
        <f>IF($A25="","",SUMIFS(tblIssues[Qty Issued],tblIssues[Item Name],$A25))</f>
        <v>2000</v>
      </c>
      <c r="I25" s="27">
        <f t="shared" si="0"/>
        <v>3850</v>
      </c>
      <c r="J25" s="21">
        <f t="shared" si="1"/>
        <v>211.75</v>
      </c>
      <c r="K25" s="26">
        <f>IF($A25="","",COUNTIFS(tblReceipts[Item Name],$A25))</f>
        <v>4</v>
      </c>
      <c r="L25" s="26">
        <f>IF($A25="","",COUNTIFS(tblLotBalance[Item Name],$A25,tblLotBalance[Lot Balance],"&gt;0"))</f>
        <v>1</v>
      </c>
      <c r="M25" s="24">
        <f>IF($A25="","",IF($L25=0,"",IFERROR(_xlfn.MINIFS(tblLotBalance[Expiry Date],tblLotBalance[Item Name],$A25,tblLotBalance[Lot Balance],"&gt;0"),"")))</f>
        <v>46312</v>
      </c>
      <c r="N25" s="26">
        <f t="shared" ca="1" si="2"/>
        <v>74</v>
      </c>
      <c r="O25" s="18" t="str" cm="1">
        <f t="array" ref="O25">IF($M25="","",IFERROR(INDEX(tblLotBalance[Lot Number],MATCH(1,INDEX((tblLotBalance[Item Name]=$A25)*(tblLotBalance[Expiry Date]=$M25)*(tblLotBalance[Lot Balance]&gt;0),0),0)),""))</f>
        <v>ZIM502120713</v>
      </c>
      <c r="P25" s="28" t="str">
        <f>IF($A25="","",IF($I25&lt;0,"NEGATIVE",IF(NOT(ISNUMBER($F25)),"Set threshold",IF($I25&lt;=0,"OUT OF STOCK",IF($I25&lt;=$F25,"LOW",IF($I25&lt;=$F25*Settings!$C$7,"WATCH","OK"))))))</f>
        <v>LOW</v>
      </c>
      <c r="Q25" s="29" t="str">
        <f>IF($A25="","",IF($P25="NEGATIVE","Issued more than received - add the missing receipt",IF($P25="OUT OF STOCK","Reorder immediately",IF($P25="LOW","Raise purchase order",IF($P25="Set threshold","Enter Critical Low in Items",IF(AND($N25&lt;&gt;"",$N25&lt;=0),"Quarantine expired lot",IF(AND($N25&lt;&gt;"",$N25&lt;=Settings!$C$6),"Use or rotate stock now","")))))))</f>
        <v>Raise purchase order</v>
      </c>
    </row>
    <row r="26" spans="1:17" x14ac:dyDescent="0.35">
      <c r="A26" s="18" t="str">
        <f>IF(Items!$A26="","",Items!$A26)</f>
        <v>Gloves - X-Small</v>
      </c>
      <c r="B26" s="18" t="str">
        <f>IF($A26="","",Items!$B26)</f>
        <v>Gloves</v>
      </c>
      <c r="C26" s="19" t="str">
        <f>IF($A26="","",Items!$G26)</f>
        <v>PPE</v>
      </c>
      <c r="D26" s="20">
        <f>IF($A26="","",N(Items!$D26))</f>
        <v>5.5E-2</v>
      </c>
      <c r="E26" s="23">
        <f>IF($A26="","",Items!$E26)</f>
        <v>500</v>
      </c>
      <c r="F26" s="23">
        <f>IF($A26="","",Items!$F26)</f>
        <v>4000</v>
      </c>
      <c r="G26" s="26">
        <f>IF($A26="","",SUMIFS(tblReceipts[Qty Received],tblReceipts[Item Name],$A26))</f>
        <v>0</v>
      </c>
      <c r="H26" s="26">
        <f>IF($A26="","",SUMIFS(tblIssues[Qty Issued],tblIssues[Item Name],$A26))</f>
        <v>0</v>
      </c>
      <c r="I26" s="27">
        <f t="shared" si="0"/>
        <v>0</v>
      </c>
      <c r="J26" s="21">
        <f t="shared" si="1"/>
        <v>0</v>
      </c>
      <c r="K26" s="26">
        <f>IF($A26="","",COUNTIFS(tblReceipts[Item Name],$A26))</f>
        <v>0</v>
      </c>
      <c r="L26" s="26">
        <f>IF($A26="","",COUNTIFS(tblLotBalance[Item Name],$A26,tblLotBalance[Lot Balance],"&gt;0"))</f>
        <v>0</v>
      </c>
      <c r="M26" s="24" t="str">
        <f>IF($A26="","",IF($L26=0,"",IFERROR(_xlfn.MINIFS(tblLotBalance[Expiry Date],tblLotBalance[Item Name],$A26,tblLotBalance[Lot Balance],"&gt;0"),"")))</f>
        <v/>
      </c>
      <c r="N26" s="26" t="str">
        <f t="shared" ca="1" si="2"/>
        <v/>
      </c>
      <c r="O26" s="18" t="str" cm="1">
        <f t="array" ref="O26">IF($M26="","",IFERROR(INDEX(tblLotBalance[Lot Number],MATCH(1,INDEX((tblLotBalance[Item Name]=$A26)*(tblLotBalance[Expiry Date]=$M26)*(tblLotBalance[Lot Balance]&gt;0),0),0)),""))</f>
        <v/>
      </c>
      <c r="P26" s="28" t="str">
        <f>IF($A26="","",IF($I26&lt;0,"NEGATIVE",IF(NOT(ISNUMBER($F26)),"Set threshold",IF($I26&lt;=0,"OUT OF STOCK",IF($I26&lt;=$F26,"LOW",IF($I26&lt;=$F26*Settings!$C$7,"WATCH","OK"))))))</f>
        <v>OUT OF STOCK</v>
      </c>
      <c r="Q26" s="29" t="str">
        <f>IF($A26="","",IF($P26="NEGATIVE","Issued more than received - add the missing receipt",IF($P26="OUT OF STOCK","Reorder immediately",IF($P26="LOW","Raise purchase order",IF($P26="Set threshold","Enter Critical Low in Items",IF(AND($N26&lt;&gt;"",$N26&lt;=0),"Quarantine expired lot",IF(AND($N26&lt;&gt;"",$N26&lt;=Settings!$C$6),"Use or rotate stock now","")))))))</f>
        <v>Reorder immediately</v>
      </c>
    </row>
    <row r="27" spans="1:17" x14ac:dyDescent="0.35">
      <c r="A27" s="18" t="str">
        <f>IF(Items!$A27="","",Items!$A27)</f>
        <v>Goggles</v>
      </c>
      <c r="B27" s="18" t="str">
        <f>IF($A27="","",Items!$B27)</f>
        <v>Eye Protection</v>
      </c>
      <c r="C27" s="19" t="str">
        <f>IF($A27="","",Items!$G27)</f>
        <v>PPE</v>
      </c>
      <c r="D27" s="20">
        <f>IF($A27="","",N(Items!$D27))</f>
        <v>10</v>
      </c>
      <c r="E27" s="23">
        <f>IF($A27="","",Items!$E27)</f>
        <v>1</v>
      </c>
      <c r="F27" s="23">
        <f>IF($A27="","",Items!$F27)</f>
        <v>0</v>
      </c>
      <c r="G27" s="26">
        <f>IF($A27="","",SUMIFS(tblReceipts[Qty Received],tblReceipts[Item Name],$A27))</f>
        <v>30</v>
      </c>
      <c r="H27" s="26">
        <f>IF($A27="","",SUMIFS(tblIssues[Qty Issued],tblIssues[Item Name],$A27))</f>
        <v>18</v>
      </c>
      <c r="I27" s="27">
        <f t="shared" si="0"/>
        <v>12</v>
      </c>
      <c r="J27" s="21">
        <f t="shared" si="1"/>
        <v>120</v>
      </c>
      <c r="K27" s="26">
        <f>IF($A27="","",COUNTIFS(tblReceipts[Item Name],$A27))</f>
        <v>1</v>
      </c>
      <c r="L27" s="26">
        <f>IF($A27="","",COUNTIFS(tblLotBalance[Item Name],$A27,tblLotBalance[Lot Balance],"&gt;0"))</f>
        <v>1</v>
      </c>
      <c r="M27" s="24">
        <f>IF($A27="","",IF($L27=0,"",IFERROR(_xlfn.MINIFS(tblLotBalance[Expiry Date],tblLotBalance[Item Name],$A27,tblLotBalance[Lot Balance],"&gt;0"),"")))</f>
        <v>46235</v>
      </c>
      <c r="N27" s="26">
        <f t="shared" ca="1" si="2"/>
        <v>-3</v>
      </c>
      <c r="O27" s="18" t="str" cm="1">
        <f t="array" ref="O27">IF($M27="","",IFERROR(INDEX(tblLotBalance[Lot Number],MATCH(1,INDEX((tblLotBalance[Item Name]=$A27)*(tblLotBalance[Expiry Date]=$M27)*(tblLotBalance[Lot Balance]&gt;0),0),0)),""))</f>
        <v>GGL5003700</v>
      </c>
      <c r="P27" s="28" t="str">
        <f>IF($A27="","",IF($I27&lt;0,"NEGATIVE",IF(NOT(ISNUMBER($F27)),"Set threshold",IF($I27&lt;=0,"OUT OF STOCK",IF($I27&lt;=$F27,"LOW",IF($I27&lt;=$F27*Settings!$C$7,"WATCH","OK"))))))</f>
        <v>OK</v>
      </c>
      <c r="Q27" s="29" t="str">
        <f ca="1">IF($A27="","",IF($P27="NEGATIVE","Issued more than received - add the missing receipt",IF($P27="OUT OF STOCK","Reorder immediately",IF($P27="LOW","Raise purchase order",IF($P27="Set threshold","Enter Critical Low in Items",IF(AND($N27&lt;&gt;"",$N27&lt;=0),"Quarantine expired lot",IF(AND($N27&lt;&gt;"",$N27&lt;=Settings!$C$6),"Use or rotate stock now","")))))))</f>
        <v>Quarantine expired lot</v>
      </c>
    </row>
    <row r="28" spans="1:17" x14ac:dyDescent="0.35">
      <c r="A28" s="18" t="str">
        <f>IF(Items!$A28="","",Items!$A28)</f>
        <v>Hand Sanitizer</v>
      </c>
      <c r="B28" s="18" t="str">
        <f>IF($A28="","",Items!$B28)</f>
        <v>Sanitizer</v>
      </c>
      <c r="C28" s="19" t="str">
        <f>IF($A28="","",Items!$G28)</f>
        <v>PPE</v>
      </c>
      <c r="D28" s="20">
        <f>IF($A28="","",N(Items!$D28))</f>
        <v>4.49</v>
      </c>
      <c r="E28" s="23">
        <f>IF($A28="","",Items!$E28)</f>
        <v>2</v>
      </c>
      <c r="F28" s="23">
        <f>IF($A28="","",Items!$F28)</f>
        <v>200</v>
      </c>
      <c r="G28" s="26">
        <f>IF($A28="","",SUMIFS(tblReceipts[Qty Received],tblReceipts[Item Name],$A28))</f>
        <v>155</v>
      </c>
      <c r="H28" s="26">
        <f>IF($A28="","",SUMIFS(tblIssues[Qty Issued],tblIssues[Item Name],$A28))</f>
        <v>162</v>
      </c>
      <c r="I28" s="27">
        <f t="shared" si="0"/>
        <v>-7</v>
      </c>
      <c r="J28" s="21">
        <f t="shared" si="1"/>
        <v>-31.43</v>
      </c>
      <c r="K28" s="26">
        <f>IF($A28="","",COUNTIFS(tblReceipts[Item Name],$A28))</f>
        <v>12</v>
      </c>
      <c r="L28" s="26">
        <f>IF($A28="","",COUNTIFS(tblLotBalance[Item Name],$A28,tblLotBalance[Lot Balance],"&gt;0"))</f>
        <v>0</v>
      </c>
      <c r="M28" s="24" t="str">
        <f>IF($A28="","",IF($L28=0,"",IFERROR(_xlfn.MINIFS(tblLotBalance[Expiry Date],tblLotBalance[Item Name],$A28,tblLotBalance[Lot Balance],"&gt;0"),"")))</f>
        <v/>
      </c>
      <c r="N28" s="26" t="str">
        <f t="shared" ca="1" si="2"/>
        <v/>
      </c>
      <c r="O28" s="18" t="str" cm="1">
        <f t="array" ref="O28">IF($M28="","",IFERROR(INDEX(tblLotBalance[Lot Number],MATCH(1,INDEX((tblLotBalance[Item Name]=$A28)*(tblLotBalance[Expiry Date]=$M28)*(tblLotBalance[Lot Balance]&gt;0),0),0)),""))</f>
        <v/>
      </c>
      <c r="P28" s="28" t="str">
        <f>IF($A28="","",IF($I28&lt;0,"NEGATIVE",IF(NOT(ISNUMBER($F28)),"Set threshold",IF($I28&lt;=0,"OUT OF STOCK",IF($I28&lt;=$F28,"LOW",IF($I28&lt;=$F28*Settings!$C$7,"WATCH","OK"))))))</f>
        <v>NEGATIVE</v>
      </c>
      <c r="Q28" s="29" t="str">
        <f>IF($A28="","",IF($P28="NEGATIVE","Issued more than received - add the missing receipt",IF($P28="OUT OF STOCK","Reorder immediately",IF($P28="LOW","Raise purchase order",IF($P28="Set threshold","Enter Critical Low in Items",IF(AND($N28&lt;&gt;"",$N28&lt;=0),"Quarantine expired lot",IF(AND($N28&lt;&gt;"",$N28&lt;=Settings!$C$6),"Use or rotate stock now","")))))))</f>
        <v>Issued more than received - add the missing receipt</v>
      </c>
    </row>
    <row r="29" spans="1:17" x14ac:dyDescent="0.35">
      <c r="A29" s="18" t="str">
        <f>IF(Items!$A29="","",Items!$A29)</f>
        <v>ICE Cleats -Small</v>
      </c>
      <c r="B29" s="18" t="str">
        <f>IF($A29="","",Items!$B29)</f>
        <v>PPE</v>
      </c>
      <c r="C29" s="19" t="str">
        <f>IF($A29="","",Items!$G29)</f>
        <v>PPE</v>
      </c>
      <c r="D29" s="20">
        <f>IF($A29="","",N(Items!$D29))</f>
        <v>145.97999999999999</v>
      </c>
      <c r="E29" s="23">
        <f>IF($A29="","",Items!$E29)</f>
        <v>1</v>
      </c>
      <c r="F29" s="23">
        <f>IF($A29="","",Items!$F29)</f>
        <v>0</v>
      </c>
      <c r="G29" s="26">
        <f>IF($A29="","",SUMIFS(tblReceipts[Qty Received],tblReceipts[Item Name],$A29))</f>
        <v>15</v>
      </c>
      <c r="H29" s="26">
        <f>IF($A29="","",SUMIFS(tblIssues[Qty Issued],tblIssues[Item Name],$A29))</f>
        <v>0</v>
      </c>
      <c r="I29" s="27">
        <f t="shared" si="0"/>
        <v>15</v>
      </c>
      <c r="J29" s="21">
        <f t="shared" si="1"/>
        <v>2189.6999999999998</v>
      </c>
      <c r="K29" s="26">
        <f>IF($A29="","",COUNTIFS(tblReceipts[Item Name],$A29))</f>
        <v>1</v>
      </c>
      <c r="L29" s="26">
        <f>IF($A29="","",COUNTIFS(tblLotBalance[Item Name],$A29,tblLotBalance[Lot Balance],"&gt;0"))</f>
        <v>1</v>
      </c>
      <c r="M29" s="24">
        <f>IF($A29="","",IF($L29=0,"",IFERROR(_xlfn.MINIFS(tblLotBalance[Expiry Date],tblLotBalance[Item Name],$A29,tblLotBalance[Lot Balance],"&gt;0"),"")))</f>
        <v>47386</v>
      </c>
      <c r="N29" s="26">
        <f t="shared" ca="1" si="2"/>
        <v>1148</v>
      </c>
      <c r="O29" s="18" t="str" cm="1">
        <f t="array" ref="O29">IF($M29="","",IFERROR(INDEX(tblLotBalance[Lot Number],MATCH(1,INDEX((tblLotBalance[Item Name]=$A29)*(tblLotBalance[Expiry Date]=$M29)*(tblLotBalance[Lot Balance]&gt;0),0),0)),""))</f>
        <v>IC321</v>
      </c>
      <c r="P29" s="28" t="str">
        <f>IF($A29="","",IF($I29&lt;0,"NEGATIVE",IF(NOT(ISNUMBER($F29)),"Set threshold",IF($I29&lt;=0,"OUT OF STOCK",IF($I29&lt;=$F29,"LOW",IF($I29&lt;=$F29*Settings!$C$7,"WATCH","OK"))))))</f>
        <v>OK</v>
      </c>
      <c r="Q29" s="29" t="str">
        <f ca="1">IF($A29="","",IF($P29="NEGATIVE","Issued more than received - add the missing receipt",IF($P29="OUT OF STOCK","Reorder immediately",IF($P29="LOW","Raise purchase order",IF($P29="Set threshold","Enter Critical Low in Items",IF(AND($N29&lt;&gt;"",$N29&lt;=0),"Quarantine expired lot",IF(AND($N29&lt;&gt;"",$N29&lt;=Settings!$C$6),"Use or rotate stock now","")))))))</f>
        <v/>
      </c>
    </row>
    <row r="30" spans="1:17" x14ac:dyDescent="0.35">
      <c r="A30" s="18" t="str">
        <f>IF(Items!$A30="","",Items!$A30)</f>
        <v>ICE Cleats-Large</v>
      </c>
      <c r="B30" s="18" t="str">
        <f>IF($A30="","",Items!$B30)</f>
        <v>PPE</v>
      </c>
      <c r="C30" s="19" t="str">
        <f>IF($A30="","",Items!$G30)</f>
        <v>PPE</v>
      </c>
      <c r="D30" s="20">
        <f>IF($A30="","",N(Items!$D30))</f>
        <v>145.97999999999999</v>
      </c>
      <c r="E30" s="23">
        <f>IF($A30="","",Items!$E30)</f>
        <v>1</v>
      </c>
      <c r="F30" s="23">
        <f>IF($A30="","",Items!$F30)</f>
        <v>0</v>
      </c>
      <c r="G30" s="26">
        <f>IF($A30="","",SUMIFS(tblReceipts[Qty Received],tblReceipts[Item Name],$A30))</f>
        <v>0</v>
      </c>
      <c r="H30" s="26">
        <f>IF($A30="","",SUMIFS(tblIssues[Qty Issued],tblIssues[Item Name],$A30))</f>
        <v>0</v>
      </c>
      <c r="I30" s="27">
        <f t="shared" si="0"/>
        <v>0</v>
      </c>
      <c r="J30" s="21">
        <f t="shared" si="1"/>
        <v>0</v>
      </c>
      <c r="K30" s="26">
        <f>IF($A30="","",COUNTIFS(tblReceipts[Item Name],$A30))</f>
        <v>1</v>
      </c>
      <c r="L30" s="26">
        <f>IF($A30="","",COUNTIFS(tblLotBalance[Item Name],$A30,tblLotBalance[Lot Balance],"&gt;0"))</f>
        <v>0</v>
      </c>
      <c r="M30" s="24" t="str">
        <f>IF($A30="","",IF($L30=0,"",IFERROR(_xlfn.MINIFS(tblLotBalance[Expiry Date],tblLotBalance[Item Name],$A30,tblLotBalance[Lot Balance],"&gt;0"),"")))</f>
        <v/>
      </c>
      <c r="N30" s="26" t="str">
        <f t="shared" ca="1" si="2"/>
        <v/>
      </c>
      <c r="O30" s="18" t="str" cm="1">
        <f t="array" ref="O30">IF($M30="","",IFERROR(INDEX(tblLotBalance[Lot Number],MATCH(1,INDEX((tblLotBalance[Item Name]=$A30)*(tblLotBalance[Expiry Date]=$M30)*(tblLotBalance[Lot Balance]&gt;0),0),0)),""))</f>
        <v/>
      </c>
      <c r="P30" s="28" t="str">
        <f>IF($A30="","",IF($I30&lt;0,"NEGATIVE",IF(NOT(ISNUMBER($F30)),"Set threshold",IF($I30&lt;=0,"OUT OF STOCK",IF($I30&lt;=$F30,"LOW",IF($I30&lt;=$F30*Settings!$C$7,"WATCH","OK"))))))</f>
        <v>OUT OF STOCK</v>
      </c>
      <c r="Q30" s="29" t="str">
        <f>IF($A30="","",IF($P30="NEGATIVE","Issued more than received - add the missing receipt",IF($P30="OUT OF STOCK","Reorder immediately",IF($P30="LOW","Raise purchase order",IF($P30="Set threshold","Enter Critical Low in Items",IF(AND($N30&lt;&gt;"",$N30&lt;=0),"Quarantine expired lot",IF(AND($N30&lt;&gt;"",$N30&lt;=Settings!$C$6),"Use or rotate stock now","")))))))</f>
        <v>Reorder immediately</v>
      </c>
    </row>
    <row r="31" spans="1:17" x14ac:dyDescent="0.35">
      <c r="A31" s="18" t="str">
        <f>IF(Items!$A31="","",Items!$A31)</f>
        <v>ICE Cleats-Medium</v>
      </c>
      <c r="B31" s="18" t="str">
        <f>IF($A31="","",Items!$B31)</f>
        <v>PPE</v>
      </c>
      <c r="C31" s="19" t="str">
        <f>IF($A31="","",Items!$G31)</f>
        <v>PPE</v>
      </c>
      <c r="D31" s="20">
        <f>IF($A31="","",N(Items!$D31))</f>
        <v>145.97999999999999</v>
      </c>
      <c r="E31" s="23">
        <f>IF($A31="","",Items!$E31)</f>
        <v>1</v>
      </c>
      <c r="F31" s="23">
        <f>IF($A31="","",Items!$F31)</f>
        <v>0</v>
      </c>
      <c r="G31" s="26">
        <f>IF($A31="","",SUMIFS(tblReceipts[Qty Received],tblReceipts[Item Name],$A31))</f>
        <v>1</v>
      </c>
      <c r="H31" s="26">
        <f>IF($A31="","",SUMIFS(tblIssues[Qty Issued],tblIssues[Item Name],$A31))</f>
        <v>0</v>
      </c>
      <c r="I31" s="27">
        <f t="shared" si="0"/>
        <v>1</v>
      </c>
      <c r="J31" s="21">
        <f t="shared" si="1"/>
        <v>145.97999999999999</v>
      </c>
      <c r="K31" s="26">
        <f>IF($A31="","",COUNTIFS(tblReceipts[Item Name],$A31))</f>
        <v>1</v>
      </c>
      <c r="L31" s="26">
        <f>IF($A31="","",COUNTIFS(tblLotBalance[Item Name],$A31,tblLotBalance[Lot Balance],"&gt;0"))</f>
        <v>1</v>
      </c>
      <c r="M31" s="24">
        <f>IF($A31="","",IF($L31=0,"",IFERROR(_xlfn.MINIFS(tblLotBalance[Expiry Date],tblLotBalance[Item Name],$A31,tblLotBalance[Lot Balance],"&gt;0"),"")))</f>
        <v>47386</v>
      </c>
      <c r="N31" s="26">
        <f t="shared" ca="1" si="2"/>
        <v>1148</v>
      </c>
      <c r="O31" s="18" t="str" cm="1">
        <f t="array" ref="O31">IF($M31="","",IFERROR(INDEX(tblLotBalance[Lot Number],MATCH(1,INDEX((tblLotBalance[Item Name]=$A31)*(tblLotBalance[Expiry Date]=$M31)*(tblLotBalance[Lot Balance]&gt;0),0),0)),""))</f>
        <v>IC4321</v>
      </c>
      <c r="P31" s="28" t="str">
        <f>IF($A31="","",IF($I31&lt;0,"NEGATIVE",IF(NOT(ISNUMBER($F31)),"Set threshold",IF($I31&lt;=0,"OUT OF STOCK",IF($I31&lt;=$F31,"LOW",IF($I31&lt;=$F31*Settings!$C$7,"WATCH","OK"))))))</f>
        <v>OK</v>
      </c>
      <c r="Q31" s="29" t="str">
        <f ca="1">IF($A31="","",IF($P31="NEGATIVE","Issued more than received - add the missing receipt",IF($P31="OUT OF STOCK","Reorder immediately",IF($P31="LOW","Raise purchase order",IF($P31="Set threshold","Enter Critical Low in Items",IF(AND($N31&lt;&gt;"",$N31&lt;=0),"Quarantine expired lot",IF(AND($N31&lt;&gt;"",$N31&lt;=Settings!$C$6),"Use or rotate stock now","")))))))</f>
        <v/>
      </c>
    </row>
    <row r="32" spans="1:17" x14ac:dyDescent="0.35">
      <c r="A32" s="18" t="str">
        <f>IF(Items!$A32="","",Items!$A32)</f>
        <v>ICE Cleats-X-Large</v>
      </c>
      <c r="B32" s="18" t="str">
        <f>IF($A32="","",Items!$B32)</f>
        <v>PPE</v>
      </c>
      <c r="C32" s="19" t="str">
        <f>IF($A32="","",Items!$G32)</f>
        <v>PPE</v>
      </c>
      <c r="D32" s="20">
        <f>IF($A32="","",N(Items!$D32))</f>
        <v>145.97999999999999</v>
      </c>
      <c r="E32" s="23">
        <f>IF($A32="","",Items!$E32)</f>
        <v>1</v>
      </c>
      <c r="F32" s="23">
        <f>IF($A32="","",Items!$F32)</f>
        <v>0</v>
      </c>
      <c r="G32" s="26">
        <f>IF($A32="","",SUMIFS(tblReceipts[Qty Received],tblReceipts[Item Name],$A32))</f>
        <v>4</v>
      </c>
      <c r="H32" s="26">
        <f>IF($A32="","",SUMIFS(tblIssues[Qty Issued],tblIssues[Item Name],$A32))</f>
        <v>0</v>
      </c>
      <c r="I32" s="27">
        <f t="shared" si="0"/>
        <v>4</v>
      </c>
      <c r="J32" s="21">
        <f t="shared" si="1"/>
        <v>583.91999999999996</v>
      </c>
      <c r="K32" s="26">
        <f>IF($A32="","",COUNTIFS(tblReceipts[Item Name],$A32))</f>
        <v>1</v>
      </c>
      <c r="L32" s="26">
        <f>IF($A32="","",COUNTIFS(tblLotBalance[Item Name],$A32,tblLotBalance[Lot Balance],"&gt;0"))</f>
        <v>1</v>
      </c>
      <c r="M32" s="24">
        <f>IF($A32="","",IF($L32=0,"",IFERROR(_xlfn.MINIFS(tblLotBalance[Expiry Date],tblLotBalance[Item Name],$A32,tblLotBalance[Lot Balance],"&gt;0"),"")))</f>
        <v>47386</v>
      </c>
      <c r="N32" s="26">
        <f t="shared" ca="1" si="2"/>
        <v>1148</v>
      </c>
      <c r="O32" s="18" t="str" cm="1">
        <f t="array" ref="O32">IF($M32="","",IFERROR(INDEX(tblLotBalance[Lot Number],MATCH(1,INDEX((tblLotBalance[Item Name]=$A32)*(tblLotBalance[Expiry Date]=$M32)*(tblLotBalance[Lot Balance]&gt;0),0),0)),""))</f>
        <v>IC654321</v>
      </c>
      <c r="P32" s="28" t="str">
        <f>IF($A32="","",IF($I32&lt;0,"NEGATIVE",IF(NOT(ISNUMBER($F32)),"Set threshold",IF($I32&lt;=0,"OUT OF STOCK",IF($I32&lt;=$F32,"LOW",IF($I32&lt;=$F32*Settings!$C$7,"WATCH","OK"))))))</f>
        <v>OK</v>
      </c>
      <c r="Q32" s="29" t="str">
        <f ca="1">IF($A32="","",IF($P32="NEGATIVE","Issued more than received - add the missing receipt",IF($P32="OUT OF STOCK","Reorder immediately",IF($P32="LOW","Raise purchase order",IF($P32="Set threshold","Enter Critical Low in Items",IF(AND($N32&lt;&gt;"",$N32&lt;=0),"Quarantine expired lot",IF(AND($N32&lt;&gt;"",$N32&lt;=Settings!$C$6),"Use or rotate stock now","")))))))</f>
        <v/>
      </c>
    </row>
    <row r="33" spans="1:17" x14ac:dyDescent="0.35">
      <c r="A33" s="18" t="str">
        <f>IF(Items!$A33="","",Items!$A33)</f>
        <v>Infestation Supplies</v>
      </c>
      <c r="B33" s="18" t="str">
        <f>IF($A33="","",Items!$B33)</f>
        <v>IPAC</v>
      </c>
      <c r="C33" s="19" t="str">
        <f>IF($A33="","",Items!$G33)</f>
        <v>PPE</v>
      </c>
      <c r="D33" s="20">
        <f>IF($A33="","",N(Items!$D33))</f>
        <v>145.97999999999999</v>
      </c>
      <c r="E33" s="23">
        <f>IF($A33="","",Items!$E33)</f>
        <v>4</v>
      </c>
      <c r="F33" s="23">
        <f>IF($A33="","",Items!$F33)</f>
        <v>0</v>
      </c>
      <c r="G33" s="26">
        <f>IF($A33="","",SUMIFS(tblReceipts[Qty Received],tblReceipts[Item Name],$A33))</f>
        <v>0</v>
      </c>
      <c r="H33" s="26">
        <f>IF($A33="","",SUMIFS(tblIssues[Qty Issued],tblIssues[Item Name],$A33))</f>
        <v>88</v>
      </c>
      <c r="I33" s="27">
        <f t="shared" si="0"/>
        <v>-88</v>
      </c>
      <c r="J33" s="21">
        <f t="shared" si="1"/>
        <v>-12846.24</v>
      </c>
      <c r="K33" s="26">
        <f>IF($A33="","",COUNTIFS(tblReceipts[Item Name],$A33))</f>
        <v>0</v>
      </c>
      <c r="L33" s="26">
        <f>IF($A33="","",COUNTIFS(tblLotBalance[Item Name],$A33,tblLotBalance[Lot Balance],"&gt;0"))</f>
        <v>0</v>
      </c>
      <c r="M33" s="24" t="str">
        <f>IF($A33="","",IF($L33=0,"",IFERROR(_xlfn.MINIFS(tblLotBalance[Expiry Date],tblLotBalance[Item Name],$A33,tblLotBalance[Lot Balance],"&gt;0"),"")))</f>
        <v/>
      </c>
      <c r="N33" s="26" t="str">
        <f t="shared" ca="1" si="2"/>
        <v/>
      </c>
      <c r="O33" s="18" t="str" cm="1">
        <f t="array" ref="O33">IF($M33="","",IFERROR(INDEX(tblLotBalance[Lot Number],MATCH(1,INDEX((tblLotBalance[Item Name]=$A33)*(tblLotBalance[Expiry Date]=$M33)*(tblLotBalance[Lot Balance]&gt;0),0),0)),""))</f>
        <v/>
      </c>
      <c r="P33" s="28" t="str">
        <f>IF($A33="","",IF($I33&lt;0,"NEGATIVE",IF(NOT(ISNUMBER($F33)),"Set threshold",IF($I33&lt;=0,"OUT OF STOCK",IF($I33&lt;=$F33,"LOW",IF($I33&lt;=$F33*Settings!$C$7,"WATCH","OK"))))))</f>
        <v>NEGATIVE</v>
      </c>
      <c r="Q33" s="29" t="str">
        <f>IF($A33="","",IF($P33="NEGATIVE","Issued more than received - add the missing receipt",IF($P33="OUT OF STOCK","Reorder immediately",IF($P33="LOW","Raise purchase order",IF($P33="Set threshold","Enter Critical Low in Items",IF(AND($N33&lt;&gt;"",$N33&lt;=0),"Quarantine expired lot",IF(AND($N33&lt;&gt;"",$N33&lt;=Settings!$C$6),"Use or rotate stock now","")))))))</f>
        <v>Issued more than received - add the missing receipt</v>
      </c>
    </row>
    <row r="34" spans="1:17" x14ac:dyDescent="0.35">
      <c r="A34" s="18" t="str">
        <f>IF(Items!$A34="","",Items!$A34)</f>
        <v>Level 1/2 - Water resistant Blue Gowns</v>
      </c>
      <c r="B34" s="18" t="str">
        <f>IF($A34="","",Items!$B34)</f>
        <v>Apparel</v>
      </c>
      <c r="C34" s="19" t="str">
        <f>IF($A34="","",Items!$G34)</f>
        <v>PPE</v>
      </c>
      <c r="D34" s="20">
        <f>IF($A34="","",N(Items!$D34))</f>
        <v>3</v>
      </c>
      <c r="E34" s="23">
        <f>IF($A34="","",Items!$E34)</f>
        <v>5</v>
      </c>
      <c r="F34" s="23">
        <f>IF($A34="","",Items!$F34)</f>
        <v>200</v>
      </c>
      <c r="G34" s="26">
        <f>IF($A34="","",SUMIFS(tblReceipts[Qty Received],tblReceipts[Item Name],$A34))</f>
        <v>280</v>
      </c>
      <c r="H34" s="26">
        <f>IF($A34="","",SUMIFS(tblIssues[Qty Issued],tblIssues[Item Name],$A34))</f>
        <v>90</v>
      </c>
      <c r="I34" s="27">
        <f t="shared" si="0"/>
        <v>190</v>
      </c>
      <c r="J34" s="21">
        <f t="shared" si="1"/>
        <v>570</v>
      </c>
      <c r="K34" s="26">
        <f>IF($A34="","",COUNTIFS(tblReceipts[Item Name],$A34))</f>
        <v>1</v>
      </c>
      <c r="L34" s="26">
        <f>IF($A34="","",COUNTIFS(tblLotBalance[Item Name],$A34,tblLotBalance[Lot Balance],"&gt;0"))</f>
        <v>1</v>
      </c>
      <c r="M34" s="24">
        <f>IF($A34="","",IF($L34=0,"",IFERROR(_xlfn.MINIFS(tblLotBalance[Expiry Date],tblLotBalance[Item Name],$A34,tblLotBalance[Lot Balance],"&gt;0"),"")))</f>
        <v>47046</v>
      </c>
      <c r="N34" s="26">
        <f t="shared" ca="1" si="2"/>
        <v>808</v>
      </c>
      <c r="O34" s="18" t="str" cm="1">
        <f t="array" ref="O34">IF($M34="","",IFERROR(INDEX(tblLotBalance[Lot Number],MATCH(1,INDEX((tblLotBalance[Item Name]=$A34)*(tblLotBalance[Expiry Date]=$M34)*(tblLotBalance[Lot Balance]&gt;0),0),0)),""))</f>
        <v>WRB500270</v>
      </c>
      <c r="P34" s="28" t="str">
        <f>IF($A34="","",IF($I34&lt;0,"NEGATIVE",IF(NOT(ISNUMBER($F34)),"Set threshold",IF($I34&lt;=0,"OUT OF STOCK",IF($I34&lt;=$F34,"LOW",IF($I34&lt;=$F34*Settings!$C$7,"WATCH","OK"))))))</f>
        <v>LOW</v>
      </c>
      <c r="Q34" s="29" t="str">
        <f>IF($A34="","",IF($P34="NEGATIVE","Issued more than received - add the missing receipt",IF($P34="OUT OF STOCK","Reorder immediately",IF($P34="LOW","Raise purchase order",IF($P34="Set threshold","Enter Critical Low in Items",IF(AND($N34&lt;&gt;"",$N34&lt;=0),"Quarantine expired lot",IF(AND($N34&lt;&gt;"",$N34&lt;=Settings!$C$6),"Use or rotate stock now","")))))))</f>
        <v>Raise purchase order</v>
      </c>
    </row>
    <row r="35" spans="1:17" x14ac:dyDescent="0.35">
      <c r="A35" s="18" t="str">
        <f>IF(Items!$A35="","",Items!$A35)</f>
        <v>Level 1/2 - Yellow Gown</v>
      </c>
      <c r="B35" s="18" t="str">
        <f>IF($A35="","",Items!$B35)</f>
        <v>Apparel</v>
      </c>
      <c r="C35" s="19" t="str">
        <f>IF($A35="","",Items!$G35)</f>
        <v>PPE</v>
      </c>
      <c r="D35" s="20">
        <f>IF($A35="","",N(Items!$D35))</f>
        <v>3</v>
      </c>
      <c r="E35" s="23">
        <f>IF($A35="","",Items!$E35)</f>
        <v>5</v>
      </c>
      <c r="F35" s="23">
        <f>IF($A35="","",Items!$F35)</f>
        <v>200</v>
      </c>
      <c r="G35" s="26">
        <f>IF($A35="","",SUMIFS(tblReceipts[Qty Received],tblReceipts[Item Name],$A35))</f>
        <v>1320</v>
      </c>
      <c r="H35" s="26">
        <f>IF($A35="","",SUMIFS(tblIssues[Qty Issued],tblIssues[Item Name],$A35))</f>
        <v>235</v>
      </c>
      <c r="I35" s="27">
        <f t="shared" si="0"/>
        <v>1085</v>
      </c>
      <c r="J35" s="21">
        <f t="shared" si="1"/>
        <v>3255</v>
      </c>
      <c r="K35" s="26">
        <f>IF($A35="","",COUNTIFS(tblReceipts[Item Name],$A35))</f>
        <v>1</v>
      </c>
      <c r="L35" s="26">
        <f>IF($A35="","",COUNTIFS(tblLotBalance[Item Name],$A35,tblLotBalance[Lot Balance],"&gt;0"))</f>
        <v>1</v>
      </c>
      <c r="M35" s="24">
        <f>IF($A35="","",IF($L35=0,"",IFERROR(_xlfn.MINIFS(tblLotBalance[Expiry Date],tblLotBalance[Item Name],$A35,tblLotBalance[Lot Balance],"&gt;0"),"")))</f>
        <v>47046</v>
      </c>
      <c r="N35" s="26">
        <f t="shared" ca="1" si="2"/>
        <v>808</v>
      </c>
      <c r="O35" s="18" t="str" cm="1">
        <f t="array" ref="O35">IF($M35="","",IFERROR(INDEX(tblLotBalance[Lot Number],MATCH(1,INDEX((tblLotBalance[Item Name]=$A35)*(tblLotBalance[Expiry Date]=$M35)*(tblLotBalance[Lot Balance]&gt;0),0),0)),""))</f>
        <v>YG500280</v>
      </c>
      <c r="P35" s="28" t="str">
        <f>IF($A35="","",IF($I35&lt;0,"NEGATIVE",IF(NOT(ISNUMBER($F35)),"Set threshold",IF($I35&lt;=0,"OUT OF STOCK",IF($I35&lt;=$F35,"LOW",IF($I35&lt;=$F35*Settings!$C$7,"WATCH","OK"))))))</f>
        <v>OK</v>
      </c>
      <c r="Q35" s="29" t="str">
        <f ca="1">IF($A35="","",IF($P35="NEGATIVE","Issued more than received - add the missing receipt",IF($P35="OUT OF STOCK","Reorder immediately",IF($P35="LOW","Raise purchase order",IF($P35="Set threshold","Enter Critical Low in Items",IF(AND($N35&lt;&gt;"",$N35&lt;=0),"Quarantine expired lot",IF(AND($N35&lt;&gt;"",$N35&lt;=Settings!$C$6),"Use or rotate stock now","")))))))</f>
        <v/>
      </c>
    </row>
    <row r="36" spans="1:17" x14ac:dyDescent="0.35">
      <c r="A36" s="18" t="str">
        <f>IF(Items!$A36="","",Items!$A36)</f>
        <v>narrative progress notes</v>
      </c>
      <c r="B36" s="18" t="str">
        <f>IF($A36="","",Items!$B36)</f>
        <v>Documents</v>
      </c>
      <c r="C36" s="19" t="str">
        <f>IF($A36="","",Items!$G36)</f>
        <v>PPE</v>
      </c>
      <c r="D36" s="20">
        <f>IF($A36="","",N(Items!$D36))</f>
        <v>0</v>
      </c>
      <c r="E36" s="23">
        <f>IF($A36="","",Items!$E36)</f>
        <v>20</v>
      </c>
      <c r="F36" s="23">
        <f>IF($A36="","",Items!$F36)</f>
        <v>0</v>
      </c>
      <c r="G36" s="26">
        <f>IF($A36="","",SUMIFS(tblReceipts[Qty Received],tblReceipts[Item Name],$A36))</f>
        <v>0</v>
      </c>
      <c r="H36" s="26">
        <f>IF($A36="","",SUMIFS(tblIssues[Qty Issued],tblIssues[Item Name],$A36))</f>
        <v>0</v>
      </c>
      <c r="I36" s="27">
        <f t="shared" si="0"/>
        <v>0</v>
      </c>
      <c r="J36" s="21">
        <f t="shared" si="1"/>
        <v>0</v>
      </c>
      <c r="K36" s="26">
        <f>IF($A36="","",COUNTIFS(tblReceipts[Item Name],$A36))</f>
        <v>0</v>
      </c>
      <c r="L36" s="26">
        <f>IF($A36="","",COUNTIFS(tblLotBalance[Item Name],$A36,tblLotBalance[Lot Balance],"&gt;0"))</f>
        <v>0</v>
      </c>
      <c r="M36" s="24" t="str">
        <f>IF($A36="","",IF($L36=0,"",IFERROR(_xlfn.MINIFS(tblLotBalance[Expiry Date],tblLotBalance[Item Name],$A36,tblLotBalance[Lot Balance],"&gt;0"),"")))</f>
        <v/>
      </c>
      <c r="N36" s="26" t="str">
        <f t="shared" ca="1" si="2"/>
        <v/>
      </c>
      <c r="O36" s="18" t="str" cm="1">
        <f t="array" ref="O36">IF($M36="","",IFERROR(INDEX(tblLotBalance[Lot Number],MATCH(1,INDEX((tblLotBalance[Item Name]=$A36)*(tblLotBalance[Expiry Date]=$M36)*(tblLotBalance[Lot Balance]&gt;0),0),0)),""))</f>
        <v/>
      </c>
      <c r="P36" s="28" t="str">
        <f>IF($A36="","",IF($I36&lt;0,"NEGATIVE",IF(NOT(ISNUMBER($F36)),"Set threshold",IF($I36&lt;=0,"OUT OF STOCK",IF($I36&lt;=$F36,"LOW",IF($I36&lt;=$F36*Settings!$C$7,"WATCH","OK"))))))</f>
        <v>OUT OF STOCK</v>
      </c>
      <c r="Q36" s="29" t="str">
        <f>IF($A36="","",IF($P36="NEGATIVE","Issued more than received - add the missing receipt",IF($P36="OUT OF STOCK","Reorder immediately",IF($P36="LOW","Raise purchase order",IF($P36="Set threshold","Enter Critical Low in Items",IF(AND($N36&lt;&gt;"",$N36&lt;=0),"Quarantine expired lot",IF(AND($N36&lt;&gt;"",$N36&lt;=Settings!$C$6),"Use or rotate stock now","")))))))</f>
        <v>Reorder immediately</v>
      </c>
    </row>
    <row r="37" spans="1:17" x14ac:dyDescent="0.35">
      <c r="A37" s="18" t="str">
        <f>IF(Items!$A37="","",Items!$A37)</f>
        <v>Nurse on Duty Pass</v>
      </c>
      <c r="B37" s="18" t="str">
        <f>IF($A37="","",Items!$B37)</f>
        <v>Documents</v>
      </c>
      <c r="C37" s="19" t="str">
        <f>IF($A37="","",Items!$G37)</f>
        <v>PPE</v>
      </c>
      <c r="D37" s="20">
        <f>IF($A37="","",N(Items!$D37))</f>
        <v>0</v>
      </c>
      <c r="E37" s="23">
        <f>IF($A37="","",Items!$E37)</f>
        <v>1</v>
      </c>
      <c r="F37" s="23">
        <f>IF($A37="","",Items!$F37)</f>
        <v>0</v>
      </c>
      <c r="G37" s="26">
        <f>IF($A37="","",SUMIFS(tblReceipts[Qty Received],tblReceipts[Item Name],$A37))</f>
        <v>0</v>
      </c>
      <c r="H37" s="26">
        <f>IF($A37="","",SUMIFS(tblIssues[Qty Issued],tblIssues[Item Name],$A37))</f>
        <v>21</v>
      </c>
      <c r="I37" s="27">
        <f t="shared" si="0"/>
        <v>-21</v>
      </c>
      <c r="J37" s="21">
        <f t="shared" si="1"/>
        <v>0</v>
      </c>
      <c r="K37" s="26">
        <f>IF($A37="","",COUNTIFS(tblReceipts[Item Name],$A37))</f>
        <v>0</v>
      </c>
      <c r="L37" s="26">
        <f>IF($A37="","",COUNTIFS(tblLotBalance[Item Name],$A37,tblLotBalance[Lot Balance],"&gt;0"))</f>
        <v>0</v>
      </c>
      <c r="M37" s="24" t="str">
        <f>IF($A37="","",IF($L37=0,"",IFERROR(_xlfn.MINIFS(tblLotBalance[Expiry Date],tblLotBalance[Item Name],$A37,tblLotBalance[Lot Balance],"&gt;0"),"")))</f>
        <v/>
      </c>
      <c r="N37" s="26" t="str">
        <f t="shared" ca="1" si="2"/>
        <v/>
      </c>
      <c r="O37" s="18" t="str" cm="1">
        <f t="array" ref="O37">IF($M37="","",IFERROR(INDEX(tblLotBalance[Lot Number],MATCH(1,INDEX((tblLotBalance[Item Name]=$A37)*(tblLotBalance[Expiry Date]=$M37)*(tblLotBalance[Lot Balance]&gt;0),0),0)),""))</f>
        <v/>
      </c>
      <c r="P37" s="28" t="str">
        <f>IF($A37="","",IF($I37&lt;0,"NEGATIVE",IF(NOT(ISNUMBER($F37)),"Set threshold",IF($I37&lt;=0,"OUT OF STOCK",IF($I37&lt;=$F37,"LOW",IF($I37&lt;=$F37*Settings!$C$7,"WATCH","OK"))))))</f>
        <v>NEGATIVE</v>
      </c>
      <c r="Q37" s="29" t="str">
        <f>IF($A37="","",IF($P37="NEGATIVE","Issued more than received - add the missing receipt",IF($P37="OUT OF STOCK","Reorder immediately",IF($P37="LOW","Raise purchase order",IF($P37="Set threshold","Enter Critical Low in Items",IF(AND($N37&lt;&gt;"",$N37&lt;=0),"Quarantine expired lot",IF(AND($N37&lt;&gt;"",$N37&lt;=Settings!$C$6),"Use or rotate stock now","")))))))</f>
        <v>Issued more than received - add the missing receipt</v>
      </c>
    </row>
    <row r="38" spans="1:17" x14ac:dyDescent="0.35">
      <c r="A38" s="18" t="str">
        <f>IF(Items!$A38="","",Items!$A38)</f>
        <v>Personal Care activity Sheets</v>
      </c>
      <c r="B38" s="18" t="str">
        <f>IF($A38="","",Items!$B38)</f>
        <v>HS Charts</v>
      </c>
      <c r="C38" s="19" t="str">
        <f>IF($A38="","",Items!$G38)</f>
        <v>PPE</v>
      </c>
      <c r="D38" s="20">
        <f>IF($A38="","",N(Items!$D38))</f>
        <v>0</v>
      </c>
      <c r="E38" s="23">
        <f>IF($A38="","",Items!$E38)</f>
        <v>20</v>
      </c>
      <c r="F38" s="23">
        <f>IF($A38="","",Items!$F38)</f>
        <v>0</v>
      </c>
      <c r="G38" s="26">
        <f>IF($A38="","",SUMIFS(tblReceipts[Qty Received],tblReceipts[Item Name],$A38))</f>
        <v>0</v>
      </c>
      <c r="H38" s="26">
        <f>IF($A38="","",SUMIFS(tblIssues[Qty Issued],tblIssues[Item Name],$A38))</f>
        <v>20</v>
      </c>
      <c r="I38" s="27">
        <f t="shared" si="0"/>
        <v>-20</v>
      </c>
      <c r="J38" s="21">
        <f t="shared" si="1"/>
        <v>0</v>
      </c>
      <c r="K38" s="26">
        <f>IF($A38="","",COUNTIFS(tblReceipts[Item Name],$A38))</f>
        <v>0</v>
      </c>
      <c r="L38" s="26">
        <f>IF($A38="","",COUNTIFS(tblLotBalance[Item Name],$A38,tblLotBalance[Lot Balance],"&gt;0"))</f>
        <v>0</v>
      </c>
      <c r="M38" s="24" t="str">
        <f>IF($A38="","",IF($L38=0,"",IFERROR(_xlfn.MINIFS(tblLotBalance[Expiry Date],tblLotBalance[Item Name],$A38,tblLotBalance[Lot Balance],"&gt;0"),"")))</f>
        <v/>
      </c>
      <c r="N38" s="26" t="str">
        <f t="shared" ca="1" si="2"/>
        <v/>
      </c>
      <c r="O38" s="18" t="str" cm="1">
        <f t="array" ref="O38">IF($M38="","",IFERROR(INDEX(tblLotBalance[Lot Number],MATCH(1,INDEX((tblLotBalance[Item Name]=$A38)*(tblLotBalance[Expiry Date]=$M38)*(tblLotBalance[Lot Balance]&gt;0),0),0)),""))</f>
        <v/>
      </c>
      <c r="P38" s="28" t="str">
        <f>IF($A38="","",IF($I38&lt;0,"NEGATIVE",IF(NOT(ISNUMBER($F38)),"Set threshold",IF($I38&lt;=0,"OUT OF STOCK",IF($I38&lt;=$F38,"LOW",IF($I38&lt;=$F38*Settings!$C$7,"WATCH","OK"))))))</f>
        <v>NEGATIVE</v>
      </c>
      <c r="Q38" s="29" t="str">
        <f>IF($A38="","",IF($P38="NEGATIVE","Issued more than received - add the missing receipt",IF($P38="OUT OF STOCK","Reorder immediately",IF($P38="LOW","Raise purchase order",IF($P38="Set threshold","Enter Critical Low in Items",IF(AND($N38&lt;&gt;"",$N38&lt;=0),"Quarantine expired lot",IF(AND($N38&lt;&gt;"",$N38&lt;=Settings!$C$6),"Use or rotate stock now","")))))))</f>
        <v>Issued more than received - add the missing receipt</v>
      </c>
    </row>
    <row r="39" spans="1:17" x14ac:dyDescent="0.35">
      <c r="A39" s="18" t="str">
        <f>IF(Items!$A39="","",Items!$A39)</f>
        <v>PSW Charts</v>
      </c>
      <c r="B39" s="18" t="str">
        <f>IF($A39="","",Items!$B39)</f>
        <v>Sample Org Charts PSW</v>
      </c>
      <c r="C39" s="19" t="str">
        <f>IF($A39="","",Items!$G39)</f>
        <v>PPE</v>
      </c>
      <c r="D39" s="20">
        <f>IF($A39="","",N(Items!$D39))</f>
        <v>0</v>
      </c>
      <c r="E39" s="23">
        <f>IF($A39="","",Items!$E39)</f>
        <v>5</v>
      </c>
      <c r="F39" s="23">
        <f>IF($A39="","",Items!$F39)</f>
        <v>0</v>
      </c>
      <c r="G39" s="26">
        <f>IF($A39="","",SUMIFS(tblReceipts[Qty Received],tblReceipts[Item Name],$A39))</f>
        <v>0</v>
      </c>
      <c r="H39" s="26">
        <f>IF($A39="","",SUMIFS(tblIssues[Qty Issued],tblIssues[Item Name],$A39))</f>
        <v>0</v>
      </c>
      <c r="I39" s="27">
        <f t="shared" si="0"/>
        <v>0</v>
      </c>
      <c r="J39" s="21">
        <f t="shared" si="1"/>
        <v>0</v>
      </c>
      <c r="K39" s="26">
        <f>IF($A39="","",COUNTIFS(tblReceipts[Item Name],$A39))</f>
        <v>0</v>
      </c>
      <c r="L39" s="26">
        <f>IF($A39="","",COUNTIFS(tblLotBalance[Item Name],$A39,tblLotBalance[Lot Balance],"&gt;0"))</f>
        <v>0</v>
      </c>
      <c r="M39" s="24" t="str">
        <f>IF($A39="","",IF($L39=0,"",IFERROR(_xlfn.MINIFS(tblLotBalance[Expiry Date],tblLotBalance[Item Name],$A39,tblLotBalance[Lot Balance],"&gt;0"),"")))</f>
        <v/>
      </c>
      <c r="N39" s="26" t="str">
        <f t="shared" ca="1" si="2"/>
        <v/>
      </c>
      <c r="O39" s="18" t="str" cm="1">
        <f t="array" ref="O39">IF($M39="","",IFERROR(INDEX(tblLotBalance[Lot Number],MATCH(1,INDEX((tblLotBalance[Item Name]=$A39)*(tblLotBalance[Expiry Date]=$M39)*(tblLotBalance[Lot Balance]&gt;0),0),0)),""))</f>
        <v/>
      </c>
      <c r="P39" s="28" t="str">
        <f>IF($A39="","",IF($I39&lt;0,"NEGATIVE",IF(NOT(ISNUMBER($F39)),"Set threshold",IF($I39&lt;=0,"OUT OF STOCK",IF($I39&lt;=$F39,"LOW",IF($I39&lt;=$F39*Settings!$C$7,"WATCH","OK"))))))</f>
        <v>OUT OF STOCK</v>
      </c>
      <c r="Q39" s="29" t="str">
        <f>IF($A39="","",IF($P39="NEGATIVE","Issued more than received - add the missing receipt",IF($P39="OUT OF STOCK","Reorder immediately",IF($P39="LOW","Raise purchase order",IF($P39="Set threshold","Enter Critical Low in Items",IF(AND($N39&lt;&gt;"",$N39&lt;=0),"Quarantine expired lot",IF(AND($N39&lt;&gt;"",$N39&lt;=Settings!$C$6),"Use or rotate stock now","")))))))</f>
        <v>Reorder immediately</v>
      </c>
    </row>
    <row r="40" spans="1:17" x14ac:dyDescent="0.35">
      <c r="A40" s="18" t="str">
        <f>IF(Items!$A40="","",Items!$A40)</f>
        <v>Shoe Covers</v>
      </c>
      <c r="B40" s="18" t="str">
        <f>IF($A40="","",Items!$B40)</f>
        <v>IPAC</v>
      </c>
      <c r="C40" s="19" t="str">
        <f>IF($A40="","",Items!$G40)</f>
        <v>PPE</v>
      </c>
      <c r="D40" s="20">
        <f>IF($A40="","",N(Items!$D40))</f>
        <v>0.2</v>
      </c>
      <c r="E40" s="23">
        <f>IF($A40="","",Items!$E40)</f>
        <v>50</v>
      </c>
      <c r="F40" s="23">
        <f>IF($A40="","",Items!$F40)</f>
        <v>300</v>
      </c>
      <c r="G40" s="26">
        <f>IF($A40="","",SUMIFS(tblReceipts[Qty Received],tblReceipts[Item Name],$A40))</f>
        <v>600</v>
      </c>
      <c r="H40" s="26">
        <f>IF($A40="","",SUMIFS(tblIssues[Qty Issued],tblIssues[Item Name],$A40))</f>
        <v>1800</v>
      </c>
      <c r="I40" s="27">
        <f t="shared" si="0"/>
        <v>-1200</v>
      </c>
      <c r="J40" s="21">
        <f t="shared" si="1"/>
        <v>-240</v>
      </c>
      <c r="K40" s="26">
        <f>IF($A40="","",COUNTIFS(tblReceipts[Item Name],$A40))</f>
        <v>3</v>
      </c>
      <c r="L40" s="26">
        <f>IF($A40="","",COUNTIFS(tblLotBalance[Item Name],$A40,tblLotBalance[Lot Balance],"&gt;0"))</f>
        <v>0</v>
      </c>
      <c r="M40" s="24" t="str">
        <f>IF($A40="","",IF($L40=0,"",IFERROR(_xlfn.MINIFS(tblLotBalance[Expiry Date],tblLotBalance[Item Name],$A40,tblLotBalance[Lot Balance],"&gt;0"),"")))</f>
        <v/>
      </c>
      <c r="N40" s="26" t="str">
        <f t="shared" ca="1" si="2"/>
        <v/>
      </c>
      <c r="O40" s="18" t="str" cm="1">
        <f t="array" ref="O40">IF($M40="","",IFERROR(INDEX(tblLotBalance[Lot Number],MATCH(1,INDEX((tblLotBalance[Item Name]=$A40)*(tblLotBalance[Expiry Date]=$M40)*(tblLotBalance[Lot Balance]&gt;0),0),0)),""))</f>
        <v/>
      </c>
      <c r="P40" s="28" t="str">
        <f>IF($A40="","",IF($I40&lt;0,"NEGATIVE",IF(NOT(ISNUMBER($F40)),"Set threshold",IF($I40&lt;=0,"OUT OF STOCK",IF($I40&lt;=$F40,"LOW",IF($I40&lt;=$F40*Settings!$C$7,"WATCH","OK"))))))</f>
        <v>NEGATIVE</v>
      </c>
      <c r="Q40" s="29" t="str">
        <f>IF($A40="","",IF($P40="NEGATIVE","Issued more than received - add the missing receipt",IF($P40="OUT OF STOCK","Reorder immediately",IF($P40="LOW","Raise purchase order",IF($P40="Set threshold","Enter Critical Low in Items",IF(AND($N40&lt;&gt;"",$N40&lt;=0),"Quarantine expired lot",IF(AND($N40&lt;&gt;"",$N40&lt;=Settings!$C$6),"Use or rotate stock now","")))))))</f>
        <v>Issued more than received - add the missing receipt</v>
      </c>
    </row>
    <row r="41" spans="1:17" x14ac:dyDescent="0.35">
      <c r="A41" s="18" t="str">
        <f>IF(Items!$A41="","",Items!$A41)</f>
        <v>Surgical Masks</v>
      </c>
      <c r="B41" s="18" t="str">
        <f>IF($A41="","",Items!$B41)</f>
        <v>Masks</v>
      </c>
      <c r="C41" s="19" t="str">
        <f>IF($A41="","",Items!$G41)</f>
        <v>PPE</v>
      </c>
      <c r="D41" s="20">
        <f>IF($A41="","",N(Items!$D41))</f>
        <v>0.25</v>
      </c>
      <c r="E41" s="23">
        <f>IF($A41="","",Items!$E41)</f>
        <v>50</v>
      </c>
      <c r="F41" s="23">
        <f>IF($A41="","",Items!$F41)</f>
        <v>1000</v>
      </c>
      <c r="G41" s="26">
        <f>IF($A41="","",SUMIFS(tblReceipts[Qty Received],tblReceipts[Item Name],$A41))</f>
        <v>21700</v>
      </c>
      <c r="H41" s="26">
        <f>IF($A41="","",SUMIFS(tblIssues[Qty Issued],tblIssues[Item Name],$A41))</f>
        <v>15700</v>
      </c>
      <c r="I41" s="27">
        <f t="shared" si="0"/>
        <v>6000</v>
      </c>
      <c r="J41" s="21">
        <f t="shared" si="1"/>
        <v>1500</v>
      </c>
      <c r="K41" s="26">
        <f>IF($A41="","",COUNTIFS(tblReceipts[Item Name],$A41))</f>
        <v>24</v>
      </c>
      <c r="L41" s="26">
        <f>IF($A41="","",COUNTIFS(tblLotBalance[Item Name],$A41,tblLotBalance[Lot Balance],"&gt;0"))</f>
        <v>3</v>
      </c>
      <c r="M41" s="24">
        <f>IF($A41="","",IF($L41=0,"",IFERROR(_xlfn.MINIFS(tblLotBalance[Expiry Date],tblLotBalance[Item Name],$A41,tblLotBalance[Lot Balance],"&gt;0"),"")))</f>
        <v>46312</v>
      </c>
      <c r="N41" s="26">
        <f t="shared" ca="1" si="2"/>
        <v>74</v>
      </c>
      <c r="O41" s="18" t="str" cm="1">
        <f t="array" ref="O41">IF($M41="","",IFERROR(INDEX(tblLotBalance[Lot Number],MATCH(1,INDEX((tblLotBalance[Item Name]=$A41)*(tblLotBalance[Expiry Date]=$M41)*(tblLotBalance[Lot Balance]&gt;0),0),0)),""))</f>
        <v>0125FPC24-3</v>
      </c>
      <c r="P41" s="28" t="str">
        <f>IF($A41="","",IF($I41&lt;0,"NEGATIVE",IF(NOT(ISNUMBER($F41)),"Set threshold",IF($I41&lt;=0,"OUT OF STOCK",IF($I41&lt;=$F41,"LOW",IF($I41&lt;=$F41*Settings!$C$7,"WATCH","OK"))))))</f>
        <v>OK</v>
      </c>
      <c r="Q41" s="29" t="str">
        <f ca="1">IF($A41="","",IF($P41="NEGATIVE","Issued more than received - add the missing receipt",IF($P41="OUT OF STOCK","Reorder immediately",IF($P41="LOW","Raise purchase order",IF($P41="Set threshold","Enter Critical Low in Items",IF(AND($N41&lt;&gt;"",$N41&lt;=0),"Quarantine expired lot",IF(AND($N41&lt;&gt;"",$N41&lt;=Settings!$C$6),"Use or rotate stock now","")))))))</f>
        <v/>
      </c>
    </row>
    <row r="42" spans="1:17" x14ac:dyDescent="0.35">
      <c r="A42" s="18" t="str">
        <f>IF(Items!$A42="","",Items!$A42)</f>
        <v>Thermometer Cover</v>
      </c>
      <c r="B42" s="18" t="str">
        <f>IF($A42="","",Items!$B42)</f>
        <v>Safety</v>
      </c>
      <c r="C42" s="19" t="str">
        <f>IF($A42="","",Items!$G42)</f>
        <v>PPE</v>
      </c>
      <c r="D42" s="20">
        <f>IF($A42="","",N(Items!$D42))</f>
        <v>1</v>
      </c>
      <c r="E42" s="23">
        <f>IF($A42="","",Items!$E42)</f>
        <v>1</v>
      </c>
      <c r="F42" s="23">
        <f>IF($A42="","",Items!$F42)</f>
        <v>100</v>
      </c>
      <c r="G42" s="26">
        <f>IF($A42="","",SUMIFS(tblReceipts[Qty Received],tblReceipts[Item Name],$A42))</f>
        <v>0</v>
      </c>
      <c r="H42" s="26">
        <f>IF($A42="","",SUMIFS(tblIssues[Qty Issued],tblIssues[Item Name],$A42))</f>
        <v>1</v>
      </c>
      <c r="I42" s="27">
        <f t="shared" si="0"/>
        <v>-1</v>
      </c>
      <c r="J42" s="21">
        <f t="shared" si="1"/>
        <v>-1</v>
      </c>
      <c r="K42" s="26">
        <f>IF($A42="","",COUNTIFS(tblReceipts[Item Name],$A42))</f>
        <v>0</v>
      </c>
      <c r="L42" s="26">
        <f>IF($A42="","",COUNTIFS(tblLotBalance[Item Name],$A42,tblLotBalance[Lot Balance],"&gt;0"))</f>
        <v>0</v>
      </c>
      <c r="M42" s="24" t="str">
        <f>IF($A42="","",IF($L42=0,"",IFERROR(_xlfn.MINIFS(tblLotBalance[Expiry Date],tblLotBalance[Item Name],$A42,tblLotBalance[Lot Balance],"&gt;0"),"")))</f>
        <v/>
      </c>
      <c r="N42" s="26" t="str">
        <f t="shared" ca="1" si="2"/>
        <v/>
      </c>
      <c r="O42" s="18" t="str" cm="1">
        <f t="array" ref="O42">IF($M42="","",IFERROR(INDEX(tblLotBalance[Lot Number],MATCH(1,INDEX((tblLotBalance[Item Name]=$A42)*(tblLotBalance[Expiry Date]=$M42)*(tblLotBalance[Lot Balance]&gt;0),0),0)),""))</f>
        <v/>
      </c>
      <c r="P42" s="28" t="str">
        <f>IF($A42="","",IF($I42&lt;0,"NEGATIVE",IF(NOT(ISNUMBER($F42)),"Set threshold",IF($I42&lt;=0,"OUT OF STOCK",IF($I42&lt;=$F42,"LOW",IF($I42&lt;=$F42*Settings!$C$7,"WATCH","OK"))))))</f>
        <v>NEGATIVE</v>
      </c>
      <c r="Q42" s="29" t="str">
        <f>IF($A42="","",IF($P42="NEGATIVE","Issued more than received - add the missing receipt",IF($P42="OUT OF STOCK","Reorder immediately",IF($P42="LOW","Raise purchase order",IF($P42="Set threshold","Enter Critical Low in Items",IF(AND($N42&lt;&gt;"",$N42&lt;=0),"Quarantine expired lot",IF(AND($N42&lt;&gt;"",$N42&lt;=Settings!$C$6),"Use or rotate stock now","")))))))</f>
        <v>Issued more than received - add the missing receipt</v>
      </c>
    </row>
    <row r="43" spans="1:17" x14ac:dyDescent="0.35">
      <c r="A43" s="18" t="str">
        <f>IF(Items!$A43="","",Items!$A43)</f>
        <v>Sample Org Nursing Charts A1</v>
      </c>
      <c r="B43" s="18" t="str">
        <f>IF($A43="","",Items!$B43)</f>
        <v>SO A1 Charts</v>
      </c>
      <c r="C43" s="19" t="str">
        <f>IF($A43="","",Items!$G43)</f>
        <v>PPE</v>
      </c>
      <c r="D43" s="20">
        <f>IF($A43="","",N(Items!$D43))</f>
        <v>0</v>
      </c>
      <c r="E43" s="23">
        <f>IF($A43="","",Items!$E43)</f>
        <v>20</v>
      </c>
      <c r="F43" s="23">
        <f>IF($A43="","",Items!$F43)</f>
        <v>0</v>
      </c>
      <c r="G43" s="26">
        <f>IF($A43="","",SUMIFS(tblReceipts[Qty Received],tblReceipts[Item Name],$A43))</f>
        <v>0</v>
      </c>
      <c r="H43" s="26">
        <f>IF($A43="","",SUMIFS(tblIssues[Qty Issued],tblIssues[Item Name],$A43))</f>
        <v>140</v>
      </c>
      <c r="I43" s="27">
        <f t="shared" si="0"/>
        <v>-140</v>
      </c>
      <c r="J43" s="21">
        <f t="shared" si="1"/>
        <v>0</v>
      </c>
      <c r="K43" s="26">
        <f>IF($A43="","",COUNTIFS(tblReceipts[Item Name],$A43))</f>
        <v>0</v>
      </c>
      <c r="L43" s="26">
        <f>IF($A43="","",COUNTIFS(tblLotBalance[Item Name],$A43,tblLotBalance[Lot Balance],"&gt;0"))</f>
        <v>0</v>
      </c>
      <c r="M43" s="24" t="str">
        <f>IF($A43="","",IF($L43=0,"",IFERROR(_xlfn.MINIFS(tblLotBalance[Expiry Date],tblLotBalance[Item Name],$A43,tblLotBalance[Lot Balance],"&gt;0"),"")))</f>
        <v/>
      </c>
      <c r="N43" s="26" t="str">
        <f t="shared" ca="1" si="2"/>
        <v/>
      </c>
      <c r="O43" s="18" t="str" cm="1">
        <f t="array" ref="O43">IF($M43="","",IFERROR(INDEX(tblLotBalance[Lot Number],MATCH(1,INDEX((tblLotBalance[Item Name]=$A43)*(tblLotBalance[Expiry Date]=$M43)*(tblLotBalance[Lot Balance]&gt;0),0),0)),""))</f>
        <v/>
      </c>
      <c r="P43" s="28" t="str">
        <f>IF($A43="","",IF($I43&lt;0,"NEGATIVE",IF(NOT(ISNUMBER($F43)),"Set threshold",IF($I43&lt;=0,"OUT OF STOCK",IF($I43&lt;=$F43,"LOW",IF($I43&lt;=$F43*Settings!$C$7,"WATCH","OK"))))))</f>
        <v>NEGATIVE</v>
      </c>
      <c r="Q43" s="29" t="str">
        <f>IF($A43="","",IF($P43="NEGATIVE","Issued more than received - add the missing receipt",IF($P43="OUT OF STOCK","Reorder immediately",IF($P43="LOW","Raise purchase order",IF($P43="Set threshold","Enter Critical Low in Items",IF(AND($N43&lt;&gt;"",$N43&lt;=0),"Quarantine expired lot",IF(AND($N43&lt;&gt;"",$N43&lt;=Settings!$C$6),"Use or rotate stock now","")))))))</f>
        <v>Issued more than received - add the missing receipt</v>
      </c>
    </row>
    <row r="44" spans="1:17" x14ac:dyDescent="0.35">
      <c r="A44" s="18" t="str">
        <f>IF(Items!$A44="","",Items!$A44)</f>
        <v>Sample Org Nursing Charts A2</v>
      </c>
      <c r="B44" s="18" t="str">
        <f>IF($A44="","",Items!$B44)</f>
        <v>SO A2 Charts</v>
      </c>
      <c r="C44" s="19" t="str">
        <f>IF($A44="","",Items!$G44)</f>
        <v>PPE</v>
      </c>
      <c r="D44" s="20">
        <f>IF($A44="","",N(Items!$D44))</f>
        <v>0</v>
      </c>
      <c r="E44" s="23">
        <f>IF($A44="","",Items!$E44)</f>
        <v>20</v>
      </c>
      <c r="F44" s="23">
        <f>IF($A44="","",Items!$F44)</f>
        <v>0</v>
      </c>
      <c r="G44" s="26">
        <f>IF($A44="","",SUMIFS(tblReceipts[Qty Received],tblReceipts[Item Name],$A44))</f>
        <v>0</v>
      </c>
      <c r="H44" s="26">
        <f>IF($A44="","",SUMIFS(tblIssues[Qty Issued],tblIssues[Item Name],$A44))</f>
        <v>0</v>
      </c>
      <c r="I44" s="27">
        <f t="shared" si="0"/>
        <v>0</v>
      </c>
      <c r="J44" s="21">
        <f t="shared" si="1"/>
        <v>0</v>
      </c>
      <c r="K44" s="26">
        <f>IF($A44="","",COUNTIFS(tblReceipts[Item Name],$A44))</f>
        <v>0</v>
      </c>
      <c r="L44" s="26">
        <f>IF($A44="","",COUNTIFS(tblLotBalance[Item Name],$A44,tblLotBalance[Lot Balance],"&gt;0"))</f>
        <v>0</v>
      </c>
      <c r="M44" s="24" t="str">
        <f>IF($A44="","",IF($L44=0,"",IFERROR(_xlfn.MINIFS(tblLotBalance[Expiry Date],tblLotBalance[Item Name],$A44,tblLotBalance[Lot Balance],"&gt;0"),"")))</f>
        <v/>
      </c>
      <c r="N44" s="26" t="str">
        <f t="shared" ca="1" si="2"/>
        <v/>
      </c>
      <c r="O44" s="18" t="str" cm="1">
        <f t="array" ref="O44">IF($M44="","",IFERROR(INDEX(tblLotBalance[Lot Number],MATCH(1,INDEX((tblLotBalance[Item Name]=$A44)*(tblLotBalance[Expiry Date]=$M44)*(tblLotBalance[Lot Balance]&gt;0),0),0)),""))</f>
        <v/>
      </c>
      <c r="P44" s="28" t="str">
        <f>IF($A44="","",IF($I44&lt;0,"NEGATIVE",IF(NOT(ISNUMBER($F44)),"Set threshold",IF($I44&lt;=0,"OUT OF STOCK",IF($I44&lt;=$F44,"LOW",IF($I44&lt;=$F44*Settings!$C$7,"WATCH","OK"))))))</f>
        <v>OUT OF STOCK</v>
      </c>
      <c r="Q44" s="29" t="str">
        <f>IF($A44="","",IF($P44="NEGATIVE","Issued more than received - add the missing receipt",IF($P44="OUT OF STOCK","Reorder immediately",IF($P44="LOW","Raise purchase order",IF($P44="Set threshold","Enter Critical Low in Items",IF(AND($N44&lt;&gt;"",$N44&lt;=0),"Quarantine expired lot",IF(AND($N44&lt;&gt;"",$N44&lt;=Settings!$C$6),"Use or rotate stock now","")))))))</f>
        <v>Reorder immediately</v>
      </c>
    </row>
    <row r="45" spans="1:17" x14ac:dyDescent="0.35">
      <c r="A45" s="18" t="str">
        <f>IF(Items!$A45="","",Items!$A45)</f>
        <v>Wound sheets</v>
      </c>
      <c r="B45" s="18" t="str">
        <f>IF($A45="","",Items!$B45)</f>
        <v>Documents</v>
      </c>
      <c r="C45" s="19" t="str">
        <f>IF($A45="","",Items!$G45)</f>
        <v>PPE</v>
      </c>
      <c r="D45" s="20">
        <f>IF($A45="","",N(Items!$D45))</f>
        <v>0</v>
      </c>
      <c r="E45" s="23">
        <f>IF($A45="","",Items!$E45)</f>
        <v>20</v>
      </c>
      <c r="F45" s="23">
        <f>IF($A45="","",Items!$F45)</f>
        <v>0</v>
      </c>
      <c r="G45" s="26">
        <f>IF($A45="","",SUMIFS(tblReceipts[Qty Received],tblReceipts[Item Name],$A45))</f>
        <v>0</v>
      </c>
      <c r="H45" s="26">
        <f>IF($A45="","",SUMIFS(tblIssues[Qty Issued],tblIssues[Item Name],$A45))</f>
        <v>180</v>
      </c>
      <c r="I45" s="27">
        <f t="shared" si="0"/>
        <v>-180</v>
      </c>
      <c r="J45" s="21">
        <f t="shared" si="1"/>
        <v>0</v>
      </c>
      <c r="K45" s="26">
        <f>IF($A45="","",COUNTIFS(tblReceipts[Item Name],$A45))</f>
        <v>0</v>
      </c>
      <c r="L45" s="26">
        <f>IF($A45="","",COUNTIFS(tblLotBalance[Item Name],$A45,tblLotBalance[Lot Balance],"&gt;0"))</f>
        <v>0</v>
      </c>
      <c r="M45" s="24" t="str">
        <f>IF($A45="","",IF($L45=0,"",IFERROR(_xlfn.MINIFS(tblLotBalance[Expiry Date],tblLotBalance[Item Name],$A45,tblLotBalance[Lot Balance],"&gt;0"),"")))</f>
        <v/>
      </c>
      <c r="N45" s="26" t="str">
        <f t="shared" ca="1" si="2"/>
        <v/>
      </c>
      <c r="O45" s="18" t="str" cm="1">
        <f t="array" ref="O45">IF($M45="","",IFERROR(INDEX(tblLotBalance[Lot Number],MATCH(1,INDEX((tblLotBalance[Item Name]=$A45)*(tblLotBalance[Expiry Date]=$M45)*(tblLotBalance[Lot Balance]&gt;0),0),0)),""))</f>
        <v/>
      </c>
      <c r="P45" s="28" t="str">
        <f>IF($A45="","",IF($I45&lt;0,"NEGATIVE",IF(NOT(ISNUMBER($F45)),"Set threshold",IF($I45&lt;=0,"OUT OF STOCK",IF($I45&lt;=$F45,"LOW",IF($I45&lt;=$F45*Settings!$C$7,"WATCH","OK"))))))</f>
        <v>NEGATIVE</v>
      </c>
      <c r="Q45" s="29" t="str">
        <f>IF($A45="","",IF($P45="NEGATIVE","Issued more than received - add the missing receipt",IF($P45="OUT OF STOCK","Reorder immediately",IF($P45="LOW","Raise purchase order",IF($P45="Set threshold","Enter Critical Low in Items",IF(AND($N45&lt;&gt;"",$N45&lt;=0),"Quarantine expired lot",IF(AND($N45&lt;&gt;"",$N45&lt;=Settings!$C$6),"Use or rotate stock now","")))))))</f>
        <v>Issued more than received - add the missing receipt</v>
      </c>
    </row>
    <row r="46" spans="1:17" x14ac:dyDescent="0.35">
      <c r="A46" s="18" t="str">
        <f>IF(Items!$A46="","",Items!$A46)</f>
        <v>Block Visit Sheets</v>
      </c>
      <c r="B46" s="18" t="str">
        <f>IF($A46="","",Items!$B46)</f>
        <v>Documents</v>
      </c>
      <c r="C46" s="19" t="str">
        <f>IF($A46="","",Items!$G46)</f>
        <v>PPE</v>
      </c>
      <c r="D46" s="20">
        <f>IF($A46="","",N(Items!$D46))</f>
        <v>0</v>
      </c>
      <c r="E46" s="23">
        <f>IF($A46="","",Items!$E46)</f>
        <v>20</v>
      </c>
      <c r="F46" s="23">
        <f>IF($A46="","",Items!$F46)</f>
        <v>0</v>
      </c>
      <c r="G46" s="26">
        <f>IF($A46="","",SUMIFS(tblReceipts[Qty Received],tblReceipts[Item Name],$A46))</f>
        <v>0</v>
      </c>
      <c r="H46" s="26">
        <f>IF($A46="","",SUMIFS(tblIssues[Qty Issued],tblIssues[Item Name],$A46))</f>
        <v>20</v>
      </c>
      <c r="I46" s="27">
        <f t="shared" si="0"/>
        <v>-20</v>
      </c>
      <c r="J46" s="21">
        <f t="shared" si="1"/>
        <v>0</v>
      </c>
      <c r="K46" s="26">
        <f>IF($A46="","",COUNTIFS(tblReceipts[Item Name],$A46))</f>
        <v>0</v>
      </c>
      <c r="L46" s="26">
        <f>IF($A46="","",COUNTIFS(tblLotBalance[Item Name],$A46,tblLotBalance[Lot Balance],"&gt;0"))</f>
        <v>0</v>
      </c>
      <c r="M46" s="24" t="str">
        <f>IF($A46="","",IF($L46=0,"",IFERROR(_xlfn.MINIFS(tblLotBalance[Expiry Date],tblLotBalance[Item Name],$A46,tblLotBalance[Lot Balance],"&gt;0"),"")))</f>
        <v/>
      </c>
      <c r="N46" s="26" t="str">
        <f t="shared" ca="1" si="2"/>
        <v/>
      </c>
      <c r="O46" s="18" t="str" cm="1">
        <f t="array" ref="O46">IF($M46="","",IFERROR(INDEX(tblLotBalance[Lot Number],MATCH(1,INDEX((tblLotBalance[Item Name]=$A46)*(tblLotBalance[Expiry Date]=$M46)*(tblLotBalance[Lot Balance]&gt;0),0),0)),""))</f>
        <v/>
      </c>
      <c r="P46" s="28" t="str">
        <f>IF($A46="","",IF($I46&lt;0,"NEGATIVE",IF(NOT(ISNUMBER($F46)),"Set threshold",IF($I46&lt;=0,"OUT OF STOCK",IF($I46&lt;=$F46,"LOW",IF($I46&lt;=$F46*Settings!$C$7,"WATCH","OK"))))))</f>
        <v>NEGATIVE</v>
      </c>
      <c r="Q46" s="29" t="str">
        <f>IF($A46="","",IF($P46="NEGATIVE","Issued more than received - add the missing receipt",IF($P46="OUT OF STOCK","Reorder immediately",IF($P46="LOW","Raise purchase order",IF($P46="Set threshold","Enter Critical Low in Items",IF(AND($N46&lt;&gt;"",$N46&lt;=0),"Quarantine expired lot",IF(AND($N46&lt;&gt;"",$N46&lt;=Settings!$C$6),"Use or rotate stock now","")))))))</f>
        <v>Issued more than received - add the missing receipt</v>
      </c>
    </row>
    <row r="47" spans="1:17" x14ac:dyDescent="0.35">
      <c r="A47" s="18" t="str">
        <f>IF(Items!$A47="","",Items!$A47)</f>
        <v>IV Fluid sheets</v>
      </c>
      <c r="B47" s="18" t="str">
        <f>IF($A47="","",Items!$B47)</f>
        <v>Documents</v>
      </c>
      <c r="C47" s="19" t="str">
        <f>IF($A47="","",Items!$G47)</f>
        <v>PPE</v>
      </c>
      <c r="D47" s="20">
        <f>IF($A47="","",N(Items!$D47))</f>
        <v>0</v>
      </c>
      <c r="E47" s="23">
        <f>IF($A47="","",Items!$E47)</f>
        <v>20</v>
      </c>
      <c r="F47" s="23">
        <f>IF($A47="","",Items!$F47)</f>
        <v>0</v>
      </c>
      <c r="G47" s="26">
        <f>IF($A47="","",SUMIFS(tblReceipts[Qty Received],tblReceipts[Item Name],$A47))</f>
        <v>0</v>
      </c>
      <c r="H47" s="26">
        <f>IF($A47="","",SUMIFS(tblIssues[Qty Issued],tblIssues[Item Name],$A47))</f>
        <v>0</v>
      </c>
      <c r="I47" s="27">
        <f t="shared" si="0"/>
        <v>0</v>
      </c>
      <c r="J47" s="21">
        <f t="shared" si="1"/>
        <v>0</v>
      </c>
      <c r="K47" s="26">
        <f>IF($A47="","",COUNTIFS(tblReceipts[Item Name],$A47))</f>
        <v>0</v>
      </c>
      <c r="L47" s="26">
        <f>IF($A47="","",COUNTIFS(tblLotBalance[Item Name],$A47,tblLotBalance[Lot Balance],"&gt;0"))</f>
        <v>0</v>
      </c>
      <c r="M47" s="24" t="str">
        <f>IF($A47="","",IF($L47=0,"",IFERROR(_xlfn.MINIFS(tblLotBalance[Expiry Date],tblLotBalance[Item Name],$A47,tblLotBalance[Lot Balance],"&gt;0"),"")))</f>
        <v/>
      </c>
      <c r="N47" s="26" t="str">
        <f t="shared" ca="1" si="2"/>
        <v/>
      </c>
      <c r="O47" s="18" t="str" cm="1">
        <f t="array" ref="O47">IF($M47="","",IFERROR(INDEX(tblLotBalance[Lot Number],MATCH(1,INDEX((tblLotBalance[Item Name]=$A47)*(tblLotBalance[Expiry Date]=$M47)*(tblLotBalance[Lot Balance]&gt;0),0),0)),""))</f>
        <v/>
      </c>
      <c r="P47" s="28" t="str">
        <f>IF($A47="","",IF($I47&lt;0,"NEGATIVE",IF(NOT(ISNUMBER($F47)),"Set threshold",IF($I47&lt;=0,"OUT OF STOCK",IF($I47&lt;=$F47,"LOW",IF($I47&lt;=$F47*Settings!$C$7,"WATCH","OK"))))))</f>
        <v>OUT OF STOCK</v>
      </c>
      <c r="Q47" s="29" t="str">
        <f>IF($A47="","",IF($P47="NEGATIVE","Issued more than received - add the missing receipt",IF($P47="OUT OF STOCK","Reorder immediately",IF($P47="LOW","Raise purchase order",IF($P47="Set threshold","Enter Critical Low in Items",IF(AND($N47&lt;&gt;"",$N47&lt;=0),"Quarantine expired lot",IF(AND($N47&lt;&gt;"",$N47&lt;=Settings!$C$6),"Use or rotate stock now","")))))))</f>
        <v>Reorder immediately</v>
      </c>
    </row>
    <row r="48" spans="1:17" x14ac:dyDescent="0.35">
      <c r="A48" s="18" t="str">
        <f>IF(Items!$A48="","",Items!$A48)</f>
        <v>Flow Sheets</v>
      </c>
      <c r="B48" s="18" t="str">
        <f>IF($A48="","",Items!$B48)</f>
        <v>Documents</v>
      </c>
      <c r="C48" s="19" t="str">
        <f>IF($A48="","",Items!$G48)</f>
        <v>PPE</v>
      </c>
      <c r="D48" s="20">
        <f>IF($A48="","",N(Items!$D48))</f>
        <v>0</v>
      </c>
      <c r="E48" s="23">
        <f>IF($A48="","",Items!$E48)</f>
        <v>20</v>
      </c>
      <c r="F48" s="23">
        <f>IF($A48="","",Items!$F48)</f>
        <v>0</v>
      </c>
      <c r="G48" s="26">
        <f>IF($A48="","",SUMIFS(tblReceipts[Qty Received],tblReceipts[Item Name],$A48))</f>
        <v>0</v>
      </c>
      <c r="H48" s="26">
        <f>IF($A48="","",SUMIFS(tblIssues[Qty Issued],tblIssues[Item Name],$A48))</f>
        <v>140</v>
      </c>
      <c r="I48" s="27">
        <f t="shared" si="0"/>
        <v>-140</v>
      </c>
      <c r="J48" s="21">
        <f t="shared" si="1"/>
        <v>0</v>
      </c>
      <c r="K48" s="26">
        <f>IF($A48="","",COUNTIFS(tblReceipts[Item Name],$A48))</f>
        <v>0</v>
      </c>
      <c r="L48" s="26">
        <f>IF($A48="","",COUNTIFS(tblLotBalance[Item Name],$A48,tblLotBalance[Lot Balance],"&gt;0"))</f>
        <v>0</v>
      </c>
      <c r="M48" s="24" t="str">
        <f>IF($A48="","",IF($L48=0,"",IFERROR(_xlfn.MINIFS(tblLotBalance[Expiry Date],tblLotBalance[Item Name],$A48,tblLotBalance[Lot Balance],"&gt;0"),"")))</f>
        <v/>
      </c>
      <c r="N48" s="26" t="str">
        <f t="shared" ca="1" si="2"/>
        <v/>
      </c>
      <c r="O48" s="18" t="str" cm="1">
        <f t="array" ref="O48">IF($M48="","",IFERROR(INDEX(tblLotBalance[Lot Number],MATCH(1,INDEX((tblLotBalance[Item Name]=$A48)*(tblLotBalance[Expiry Date]=$M48)*(tblLotBalance[Lot Balance]&gt;0),0),0)),""))</f>
        <v/>
      </c>
      <c r="P48" s="28" t="str">
        <f>IF($A48="","",IF($I48&lt;0,"NEGATIVE",IF(NOT(ISNUMBER($F48)),"Set threshold",IF($I48&lt;=0,"OUT OF STOCK",IF($I48&lt;=$F48,"LOW",IF($I48&lt;=$F48*Settings!$C$7,"WATCH","OK"))))))</f>
        <v>NEGATIVE</v>
      </c>
      <c r="Q48" s="29" t="str">
        <f>IF($A48="","",IF($P48="NEGATIVE","Issued more than received - add the missing receipt",IF($P48="OUT OF STOCK","Reorder immediately",IF($P48="LOW","Raise purchase order",IF($P48="Set threshold","Enter Critical Low in Items",IF(AND($N48&lt;&gt;"",$N48&lt;=0),"Quarantine expired lot",IF(AND($N48&lt;&gt;"",$N48&lt;=Settings!$C$6),"Use or rotate stock now","")))))))</f>
        <v>Issued more than received - add the missing receipt</v>
      </c>
    </row>
    <row r="49" spans="1:17" x14ac:dyDescent="0.35">
      <c r="A49" s="18" t="str">
        <f>IF(Items!$A49="","",Items!$A49)</f>
        <v>BRM Envelopes</v>
      </c>
      <c r="B49" s="18" t="str">
        <f>IF($A49="","",Items!$B49)</f>
        <v>Documents</v>
      </c>
      <c r="C49" s="19" t="str">
        <f>IF($A49="","",Items!$G49)</f>
        <v>PPE</v>
      </c>
      <c r="D49" s="20">
        <f>IF($A49="","",N(Items!$D49))</f>
        <v>0</v>
      </c>
      <c r="E49" s="23">
        <f>IF($A49="","",Items!$E49)</f>
        <v>20</v>
      </c>
      <c r="F49" s="23">
        <f>IF($A49="","",Items!$F49)</f>
        <v>0</v>
      </c>
      <c r="G49" s="26">
        <f>IF($A49="","",SUMIFS(tblReceipts[Qty Received],tblReceipts[Item Name],$A49))</f>
        <v>0</v>
      </c>
      <c r="H49" s="26">
        <f>IF($A49="","",SUMIFS(tblIssues[Qty Issued],tblIssues[Item Name],$A49))</f>
        <v>40</v>
      </c>
      <c r="I49" s="27">
        <f t="shared" si="0"/>
        <v>-40</v>
      </c>
      <c r="J49" s="21">
        <f t="shared" si="1"/>
        <v>0</v>
      </c>
      <c r="K49" s="26">
        <f>IF($A49="","",COUNTIFS(tblReceipts[Item Name],$A49))</f>
        <v>0</v>
      </c>
      <c r="L49" s="26">
        <f>IF($A49="","",COUNTIFS(tblLotBalance[Item Name],$A49,tblLotBalance[Lot Balance],"&gt;0"))</f>
        <v>0</v>
      </c>
      <c r="M49" s="24" t="str">
        <f>IF($A49="","",IF($L49=0,"",IFERROR(_xlfn.MINIFS(tblLotBalance[Expiry Date],tblLotBalance[Item Name],$A49,tblLotBalance[Lot Balance],"&gt;0"),"")))</f>
        <v/>
      </c>
      <c r="N49" s="26" t="str">
        <f t="shared" ca="1" si="2"/>
        <v/>
      </c>
      <c r="O49" s="18" t="str" cm="1">
        <f t="array" ref="O49">IF($M49="","",IFERROR(INDEX(tblLotBalance[Lot Number],MATCH(1,INDEX((tblLotBalance[Item Name]=$A49)*(tblLotBalance[Expiry Date]=$M49)*(tblLotBalance[Lot Balance]&gt;0),0),0)),""))</f>
        <v/>
      </c>
      <c r="P49" s="28" t="str">
        <f>IF($A49="","",IF($I49&lt;0,"NEGATIVE",IF(NOT(ISNUMBER($F49)),"Set threshold",IF($I49&lt;=0,"OUT OF STOCK",IF($I49&lt;=$F49,"LOW",IF($I49&lt;=$F49*Settings!$C$7,"WATCH","OK"))))))</f>
        <v>NEGATIVE</v>
      </c>
      <c r="Q49" s="29" t="str">
        <f>IF($A49="","",IF($P49="NEGATIVE","Issued more than received - add the missing receipt",IF($P49="OUT OF STOCK","Reorder immediately",IF($P49="LOW","Raise purchase order",IF($P49="Set threshold","Enter Critical Low in Items",IF(AND($N49&lt;&gt;"",$N49&lt;=0),"Quarantine expired lot",IF(AND($N49&lt;&gt;"",$N49&lt;=Settings!$C$6),"Use or rotate stock now","")))))))</f>
        <v>Issued more than received - add the missing receipt</v>
      </c>
    </row>
    <row r="50" spans="1:17" x14ac:dyDescent="0.35">
      <c r="A50" s="18" t="str">
        <f>IF(Items!$A50="","",Items!$A50)</f>
        <v>ID Card</v>
      </c>
      <c r="B50" s="18" t="str">
        <f>IF($A50="","",Items!$B50)</f>
        <v>ID Document</v>
      </c>
      <c r="C50" s="19" t="str">
        <f>IF($A50="","",Items!$G50)</f>
        <v>PPE</v>
      </c>
      <c r="D50" s="20">
        <f>IF($A50="","",N(Items!$D50))</f>
        <v>0</v>
      </c>
      <c r="E50" s="23">
        <f>IF($A50="","",Items!$E50)</f>
        <v>1</v>
      </c>
      <c r="F50" s="23">
        <f>IF($A50="","",Items!$F50)</f>
        <v>0</v>
      </c>
      <c r="G50" s="26">
        <f>IF($A50="","",SUMIFS(tblReceipts[Qty Received],tblReceipts[Item Name],$A50))</f>
        <v>0</v>
      </c>
      <c r="H50" s="26">
        <f>IF($A50="","",SUMIFS(tblIssues[Qty Issued],tblIssues[Item Name],$A50))</f>
        <v>2</v>
      </c>
      <c r="I50" s="27">
        <f t="shared" si="0"/>
        <v>-2</v>
      </c>
      <c r="J50" s="21">
        <f t="shared" si="1"/>
        <v>0</v>
      </c>
      <c r="K50" s="26">
        <f>IF($A50="","",COUNTIFS(tblReceipts[Item Name],$A50))</f>
        <v>0</v>
      </c>
      <c r="L50" s="26">
        <f>IF($A50="","",COUNTIFS(tblLotBalance[Item Name],$A50,tblLotBalance[Lot Balance],"&gt;0"))</f>
        <v>0</v>
      </c>
      <c r="M50" s="24" t="str">
        <f>IF($A50="","",IF($L50=0,"",IFERROR(_xlfn.MINIFS(tblLotBalance[Expiry Date],tblLotBalance[Item Name],$A50,tblLotBalance[Lot Balance],"&gt;0"),"")))</f>
        <v/>
      </c>
      <c r="N50" s="26" t="str">
        <f t="shared" ca="1" si="2"/>
        <v/>
      </c>
      <c r="O50" s="18" t="str" cm="1">
        <f t="array" ref="O50">IF($M50="","",IFERROR(INDEX(tblLotBalance[Lot Number],MATCH(1,INDEX((tblLotBalance[Item Name]=$A50)*(tblLotBalance[Expiry Date]=$M50)*(tblLotBalance[Lot Balance]&gt;0),0),0)),""))</f>
        <v/>
      </c>
      <c r="P50" s="28" t="str">
        <f>IF($A50="","",IF($I50&lt;0,"NEGATIVE",IF(NOT(ISNUMBER($F50)),"Set threshold",IF($I50&lt;=0,"OUT OF STOCK",IF($I50&lt;=$F50,"LOW",IF($I50&lt;=$F50*Settings!$C$7,"WATCH","OK"))))))</f>
        <v>NEGATIVE</v>
      </c>
      <c r="Q50" s="29" t="str">
        <f>IF($A50="","",IF($P50="NEGATIVE","Issued more than received - add the missing receipt",IF($P50="OUT OF STOCK","Reorder immediately",IF($P50="LOW","Raise purchase order",IF($P50="Set threshold","Enter Critical Low in Items",IF(AND($N50&lt;&gt;"",$N50&lt;=0),"Quarantine expired lot",IF(AND($N50&lt;&gt;"",$N50&lt;=Settings!$C$6),"Use or rotate stock now","")))))))</f>
        <v>Issued more than received - add the missing receipt</v>
      </c>
    </row>
    <row r="51" spans="1:17" x14ac:dyDescent="0.35">
      <c r="A51" s="18" t="str">
        <f>IF(Items!$A51="","",Items!$A51)</f>
        <v>CSS Ice Cleats Small</v>
      </c>
      <c r="B51" s="18" t="str">
        <f>IF($A51="","",Items!$B51)</f>
        <v>PPE</v>
      </c>
      <c r="C51" s="19" t="str">
        <f>IF($A51="","",Items!$G51)</f>
        <v>PPE</v>
      </c>
      <c r="D51" s="20">
        <f>IF($A51="","",N(Items!$D51))</f>
        <v>145.97999999999999</v>
      </c>
      <c r="E51" s="23">
        <f>IF($A51="","",Items!$E51)</f>
        <v>29</v>
      </c>
      <c r="F51" s="23">
        <f>IF($A51="","",Items!$F51)</f>
        <v>29</v>
      </c>
      <c r="G51" s="26">
        <f>IF($A51="","",SUMIFS(tblReceipts[Qty Received],tblReceipts[Item Name],$A51))</f>
        <v>0</v>
      </c>
      <c r="H51" s="26">
        <f>IF($A51="","",SUMIFS(tblIssues[Qty Issued],tblIssues[Item Name],$A51))</f>
        <v>0</v>
      </c>
      <c r="I51" s="27">
        <f t="shared" si="0"/>
        <v>0</v>
      </c>
      <c r="J51" s="21">
        <f t="shared" si="1"/>
        <v>0</v>
      </c>
      <c r="K51" s="26">
        <f>IF($A51="","",COUNTIFS(tblReceipts[Item Name],$A51))</f>
        <v>1</v>
      </c>
      <c r="L51" s="26">
        <f>IF($A51="","",COUNTIFS(tblLotBalance[Item Name],$A51,tblLotBalance[Lot Balance],"&gt;0"))</f>
        <v>0</v>
      </c>
      <c r="M51" s="24" t="str">
        <f>IF($A51="","",IF($L51=0,"",IFERROR(_xlfn.MINIFS(tblLotBalance[Expiry Date],tblLotBalance[Item Name],$A51,tblLotBalance[Lot Balance],"&gt;0"),"")))</f>
        <v/>
      </c>
      <c r="N51" s="26" t="str">
        <f t="shared" ca="1" si="2"/>
        <v/>
      </c>
      <c r="O51" s="18" t="str" cm="1">
        <f t="array" ref="O51">IF($M51="","",IFERROR(INDEX(tblLotBalance[Lot Number],MATCH(1,INDEX((tblLotBalance[Item Name]=$A51)*(tblLotBalance[Expiry Date]=$M51)*(tblLotBalance[Lot Balance]&gt;0),0),0)),""))</f>
        <v/>
      </c>
      <c r="P51" s="28" t="str">
        <f>IF($A51="","",IF($I51&lt;0,"NEGATIVE",IF(NOT(ISNUMBER($F51)),"Set threshold",IF($I51&lt;=0,"OUT OF STOCK",IF($I51&lt;=$F51,"LOW",IF($I51&lt;=$F51*Settings!$C$7,"WATCH","OK"))))))</f>
        <v>OUT OF STOCK</v>
      </c>
      <c r="Q51" s="29" t="str">
        <f>IF($A51="","",IF($P51="NEGATIVE","Issued more than received - add the missing receipt",IF($P51="OUT OF STOCK","Reorder immediately",IF($P51="LOW","Raise purchase order",IF($P51="Set threshold","Enter Critical Low in Items",IF(AND($N51&lt;&gt;"",$N51&lt;=0),"Quarantine expired lot",IF(AND($N51&lt;&gt;"",$N51&lt;=Settings!$C$6),"Use or rotate stock now","")))))))</f>
        <v>Reorder immediately</v>
      </c>
    </row>
    <row r="52" spans="1:17" x14ac:dyDescent="0.35">
      <c r="A52" s="18" t="str">
        <f>IF(Items!$A52="","",Items!$A52)</f>
        <v>CSS Ice Cleats Medium</v>
      </c>
      <c r="B52" s="18" t="str">
        <f>IF($A52="","",Items!$B52)</f>
        <v>PPE</v>
      </c>
      <c r="C52" s="19" t="str">
        <f>IF($A52="","",Items!$G52)</f>
        <v>PPE</v>
      </c>
      <c r="D52" s="20">
        <f>IF($A52="","",N(Items!$D52))</f>
        <v>145.97999999999999</v>
      </c>
      <c r="E52" s="23">
        <f>IF($A52="","",Items!$E52)</f>
        <v>15</v>
      </c>
      <c r="F52" s="23">
        <f>IF($A52="","",Items!$F52)</f>
        <v>15</v>
      </c>
      <c r="G52" s="26">
        <f>IF($A52="","",SUMIFS(tblReceipts[Qty Received],tblReceipts[Item Name],$A52))</f>
        <v>0</v>
      </c>
      <c r="H52" s="26">
        <f>IF($A52="","",SUMIFS(tblIssues[Qty Issued],tblIssues[Item Name],$A52))</f>
        <v>0</v>
      </c>
      <c r="I52" s="27">
        <f t="shared" si="0"/>
        <v>0</v>
      </c>
      <c r="J52" s="21">
        <f t="shared" si="1"/>
        <v>0</v>
      </c>
      <c r="K52" s="26">
        <f>IF($A52="","",COUNTIFS(tblReceipts[Item Name],$A52))</f>
        <v>1</v>
      </c>
      <c r="L52" s="26">
        <f>IF($A52="","",COUNTIFS(tblLotBalance[Item Name],$A52,tblLotBalance[Lot Balance],"&gt;0"))</f>
        <v>0</v>
      </c>
      <c r="M52" s="24" t="str">
        <f>IF($A52="","",IF($L52=0,"",IFERROR(_xlfn.MINIFS(tblLotBalance[Expiry Date],tblLotBalance[Item Name],$A52,tblLotBalance[Lot Balance],"&gt;0"),"")))</f>
        <v/>
      </c>
      <c r="N52" s="26" t="str">
        <f t="shared" ca="1" si="2"/>
        <v/>
      </c>
      <c r="O52" s="18" t="str" cm="1">
        <f t="array" ref="O52">IF($M52="","",IFERROR(INDEX(tblLotBalance[Lot Number],MATCH(1,INDEX((tblLotBalance[Item Name]=$A52)*(tblLotBalance[Expiry Date]=$M52)*(tblLotBalance[Lot Balance]&gt;0),0),0)),""))</f>
        <v/>
      </c>
      <c r="P52" s="28" t="str">
        <f>IF($A52="","",IF($I52&lt;0,"NEGATIVE",IF(NOT(ISNUMBER($F52)),"Set threshold",IF($I52&lt;=0,"OUT OF STOCK",IF($I52&lt;=$F52,"LOW",IF($I52&lt;=$F52*Settings!$C$7,"WATCH","OK"))))))</f>
        <v>OUT OF STOCK</v>
      </c>
      <c r="Q52" s="29" t="str">
        <f>IF($A52="","",IF($P52="NEGATIVE","Issued more than received - add the missing receipt",IF($P52="OUT OF STOCK","Reorder immediately",IF($P52="LOW","Raise purchase order",IF($P52="Set threshold","Enter Critical Low in Items",IF(AND($N52&lt;&gt;"",$N52&lt;=0),"Quarantine expired lot",IF(AND($N52&lt;&gt;"",$N52&lt;=Settings!$C$6),"Use or rotate stock now","")))))))</f>
        <v>Reorder immediately</v>
      </c>
    </row>
    <row r="53" spans="1:17" x14ac:dyDescent="0.35">
      <c r="A53" s="18" t="str">
        <f>IF(Items!$A53="","",Items!$A53)</f>
        <v>CSS Ice Cleats Large</v>
      </c>
      <c r="B53" s="18" t="str">
        <f>IF($A53="","",Items!$B53)</f>
        <v>PPE</v>
      </c>
      <c r="C53" s="19" t="str">
        <f>IF($A53="","",Items!$G53)</f>
        <v>PPE</v>
      </c>
      <c r="D53" s="20">
        <f>IF($A53="","",N(Items!$D53))</f>
        <v>145.97999999999999</v>
      </c>
      <c r="E53" s="23">
        <f>IF($A53="","",Items!$E53)</f>
        <v>1</v>
      </c>
      <c r="F53" s="23">
        <f>IF($A53="","",Items!$F53)</f>
        <v>1</v>
      </c>
      <c r="G53" s="26">
        <f>IF($A53="","",SUMIFS(tblReceipts[Qty Received],tblReceipts[Item Name],$A53))</f>
        <v>0</v>
      </c>
      <c r="H53" s="26">
        <f>IF($A53="","",SUMIFS(tblIssues[Qty Issued],tblIssues[Item Name],$A53))</f>
        <v>0</v>
      </c>
      <c r="I53" s="27">
        <f t="shared" si="0"/>
        <v>0</v>
      </c>
      <c r="J53" s="21">
        <f t="shared" si="1"/>
        <v>0</v>
      </c>
      <c r="K53" s="26">
        <f>IF($A53="","",COUNTIFS(tblReceipts[Item Name],$A53))</f>
        <v>1</v>
      </c>
      <c r="L53" s="26">
        <f>IF($A53="","",COUNTIFS(tblLotBalance[Item Name],$A53,tblLotBalance[Lot Balance],"&gt;0"))</f>
        <v>0</v>
      </c>
      <c r="M53" s="24" t="str">
        <f>IF($A53="","",IF($L53=0,"",IFERROR(_xlfn.MINIFS(tblLotBalance[Expiry Date],tblLotBalance[Item Name],$A53,tblLotBalance[Lot Balance],"&gt;0"),"")))</f>
        <v/>
      </c>
      <c r="N53" s="26" t="str">
        <f t="shared" ca="1" si="2"/>
        <v/>
      </c>
      <c r="O53" s="18" t="str" cm="1">
        <f t="array" ref="O53">IF($M53="","",IFERROR(INDEX(tblLotBalance[Lot Number],MATCH(1,INDEX((tblLotBalance[Item Name]=$A53)*(tblLotBalance[Expiry Date]=$M53)*(tblLotBalance[Lot Balance]&gt;0),0),0)),""))</f>
        <v/>
      </c>
      <c r="P53" s="28" t="str">
        <f>IF($A53="","",IF($I53&lt;0,"NEGATIVE",IF(NOT(ISNUMBER($F53)),"Set threshold",IF($I53&lt;=0,"OUT OF STOCK",IF($I53&lt;=$F53,"LOW",IF($I53&lt;=$F53*Settings!$C$7,"WATCH","OK"))))))</f>
        <v>OUT OF STOCK</v>
      </c>
      <c r="Q53" s="29" t="str">
        <f>IF($A53="","",IF($P53="NEGATIVE","Issued more than received - add the missing receipt",IF($P53="OUT OF STOCK","Reorder immediately",IF($P53="LOW","Raise purchase order",IF($P53="Set threshold","Enter Critical Low in Items",IF(AND($N53&lt;&gt;"",$N53&lt;=0),"Quarantine expired lot",IF(AND($N53&lt;&gt;"",$N53&lt;=Settings!$C$6),"Use or rotate stock now","")))))))</f>
        <v>Reorder immediately</v>
      </c>
    </row>
    <row r="54" spans="1:17" x14ac:dyDescent="0.35">
      <c r="A54" s="18" t="str">
        <f>IF(Items!$A54="","",Items!$A54)</f>
        <v>CSS Ice Cleats X Large</v>
      </c>
      <c r="B54" s="18" t="str">
        <f>IF($A54="","",Items!$B54)</f>
        <v>PPE</v>
      </c>
      <c r="C54" s="19" t="str">
        <f>IF($A54="","",Items!$G54)</f>
        <v>PPE</v>
      </c>
      <c r="D54" s="20">
        <f>IF($A54="","",N(Items!$D54))</f>
        <v>145.97999999999999</v>
      </c>
      <c r="E54" s="23">
        <f>IF($A54="","",Items!$E54)</f>
        <v>2</v>
      </c>
      <c r="F54" s="23">
        <f>IF($A54="","",Items!$F54)</f>
        <v>2</v>
      </c>
      <c r="G54" s="26">
        <f>IF($A54="","",SUMIFS(tblReceipts[Qty Received],tblReceipts[Item Name],$A54))</f>
        <v>0</v>
      </c>
      <c r="H54" s="26">
        <f>IF($A54="","",SUMIFS(tblIssues[Qty Issued],tblIssues[Item Name],$A54))</f>
        <v>0</v>
      </c>
      <c r="I54" s="27">
        <f t="shared" si="0"/>
        <v>0</v>
      </c>
      <c r="J54" s="21">
        <f t="shared" si="1"/>
        <v>0</v>
      </c>
      <c r="K54" s="26">
        <f>IF($A54="","",COUNTIFS(tblReceipts[Item Name],$A54))</f>
        <v>1</v>
      </c>
      <c r="L54" s="26">
        <f>IF($A54="","",COUNTIFS(tblLotBalance[Item Name],$A54,tblLotBalance[Lot Balance],"&gt;0"))</f>
        <v>0</v>
      </c>
      <c r="M54" s="24" t="str">
        <f>IF($A54="","",IF($L54=0,"",IFERROR(_xlfn.MINIFS(tblLotBalance[Expiry Date],tblLotBalance[Item Name],$A54,tblLotBalance[Lot Balance],"&gt;0"),"")))</f>
        <v/>
      </c>
      <c r="N54" s="26" t="str">
        <f t="shared" ca="1" si="2"/>
        <v/>
      </c>
      <c r="O54" s="18" t="str" cm="1">
        <f t="array" ref="O54">IF($M54="","",IFERROR(INDEX(tblLotBalance[Lot Number],MATCH(1,INDEX((tblLotBalance[Item Name]=$A54)*(tblLotBalance[Expiry Date]=$M54)*(tblLotBalance[Lot Balance]&gt;0),0),0)),""))</f>
        <v/>
      </c>
      <c r="P54" s="28" t="str">
        <f>IF($A54="","",IF($I54&lt;0,"NEGATIVE",IF(NOT(ISNUMBER($F54)),"Set threshold",IF($I54&lt;=0,"OUT OF STOCK",IF($I54&lt;=$F54,"LOW",IF($I54&lt;=$F54*Settings!$C$7,"WATCH","OK"))))))</f>
        <v>OUT OF STOCK</v>
      </c>
      <c r="Q54" s="29" t="str">
        <f>IF($A54="","",IF($P54="NEGATIVE","Issued more than received - add the missing receipt",IF($P54="OUT OF STOCK","Reorder immediately",IF($P54="LOW","Raise purchase order",IF($P54="Set threshold","Enter Critical Low in Items",IF(AND($N54&lt;&gt;"",$N54&lt;=0),"Quarantine expired lot",IF(AND($N54&lt;&gt;"",$N54&lt;=Settings!$C$6),"Use or rotate stock now","")))))))</f>
        <v>Reorder immediately</v>
      </c>
    </row>
    <row r="55" spans="1:17" x14ac:dyDescent="0.35">
      <c r="A55" s="18" t="str">
        <f>IF(Items!$A55="","",Items!$A55)</f>
        <v>Sample Org Nursing Charts A2 Bulk</v>
      </c>
      <c r="B55" s="18" t="str">
        <f>IF($A55="","",Items!$B55)</f>
        <v>SO A2 Charts</v>
      </c>
      <c r="C55" s="19" t="str">
        <f>IF($A55="","",Items!$G55)</f>
        <v>Chart</v>
      </c>
      <c r="D55" s="20">
        <f>IF($A55="","",N(Items!$D55))</f>
        <v>0</v>
      </c>
      <c r="E55" s="23">
        <f>IF($A55="","",Items!$E55)</f>
        <v>30</v>
      </c>
      <c r="F55" s="23">
        <f>IF($A55="","",Items!$F55)</f>
        <v>30</v>
      </c>
      <c r="G55" s="26">
        <f>IF($A55="","",SUMIFS(tblReceipts[Qty Received],tblReceipts[Item Name],$A55))</f>
        <v>0</v>
      </c>
      <c r="H55" s="26">
        <f>IF($A55="","",SUMIFS(tblIssues[Qty Issued],tblIssues[Item Name],$A55))</f>
        <v>0</v>
      </c>
      <c r="I55" s="27">
        <f t="shared" si="0"/>
        <v>0</v>
      </c>
      <c r="J55" s="21">
        <f t="shared" si="1"/>
        <v>0</v>
      </c>
      <c r="K55" s="26">
        <f>IF($A55="","",COUNTIFS(tblReceipts[Item Name],$A55))</f>
        <v>0</v>
      </c>
      <c r="L55" s="26">
        <f>IF($A55="","",COUNTIFS(tblLotBalance[Item Name],$A55,tblLotBalance[Lot Balance],"&gt;0"))</f>
        <v>0</v>
      </c>
      <c r="M55" s="24" t="str">
        <f>IF($A55="","",IF($L55=0,"",IFERROR(_xlfn.MINIFS(tblLotBalance[Expiry Date],tblLotBalance[Item Name],$A55,tblLotBalance[Lot Balance],"&gt;0"),"")))</f>
        <v/>
      </c>
      <c r="N55" s="26" t="str">
        <f t="shared" ca="1" si="2"/>
        <v/>
      </c>
      <c r="O55" s="18" t="str" cm="1">
        <f t="array" ref="O55">IF($M55="","",IFERROR(INDEX(tblLotBalance[Lot Number],MATCH(1,INDEX((tblLotBalance[Item Name]=$A55)*(tblLotBalance[Expiry Date]=$M55)*(tblLotBalance[Lot Balance]&gt;0),0),0)),""))</f>
        <v/>
      </c>
      <c r="P55" s="28" t="str">
        <f>IF($A55="","",IF($I55&lt;0,"NEGATIVE",IF(NOT(ISNUMBER($F55)),"Set threshold",IF($I55&lt;=0,"OUT OF STOCK",IF($I55&lt;=$F55,"LOW",IF($I55&lt;=$F55*Settings!$C$7,"WATCH","OK"))))))</f>
        <v>OUT OF STOCK</v>
      </c>
      <c r="Q55" s="29" t="str">
        <f>IF($A55="","",IF($P55="NEGATIVE","Issued more than received - add the missing receipt",IF($P55="OUT OF STOCK","Reorder immediately",IF($P55="LOW","Raise purchase order",IF($P55="Set threshold","Enter Critical Low in Items",IF(AND($N55&lt;&gt;"",$N55&lt;=0),"Quarantine expired lot",IF(AND($N55&lt;&gt;"",$N55&lt;=Settings!$C$6),"Use or rotate stock now","")))))))</f>
        <v>Reorder immediately</v>
      </c>
    </row>
    <row r="56" spans="1:17" x14ac:dyDescent="0.35">
      <c r="A56" s="18" t="str">
        <f>IF(Items!$A56="","",Items!$A56)</f>
        <v>Sample Org Generic Flow Sheets</v>
      </c>
      <c r="B56" s="18" t="str">
        <f>IF($A56="","",Items!$B56)</f>
        <v>Sample Org Charts</v>
      </c>
      <c r="C56" s="19" t="str">
        <f>IF($A56="","",Items!$G56)</f>
        <v>Chart</v>
      </c>
      <c r="D56" s="20">
        <f>IF($A56="","",N(Items!$D56))</f>
        <v>0</v>
      </c>
      <c r="E56" s="23">
        <f>IF($A56="","",Items!$E56)</f>
        <v>20</v>
      </c>
      <c r="F56" s="23">
        <f>IF($A56="","",Items!$F56)</f>
        <v>20</v>
      </c>
      <c r="G56" s="26">
        <f>IF($A56="","",SUMIFS(tblReceipts[Qty Received],tblReceipts[Item Name],$A56))</f>
        <v>0</v>
      </c>
      <c r="H56" s="26">
        <f>IF($A56="","",SUMIFS(tblIssues[Qty Issued],tblIssues[Item Name],$A56))</f>
        <v>0</v>
      </c>
      <c r="I56" s="27">
        <f t="shared" si="0"/>
        <v>0</v>
      </c>
      <c r="J56" s="21">
        <f t="shared" si="1"/>
        <v>0</v>
      </c>
      <c r="K56" s="26">
        <f>IF($A56="","",COUNTIFS(tblReceipts[Item Name],$A56))</f>
        <v>0</v>
      </c>
      <c r="L56" s="26">
        <f>IF($A56="","",COUNTIFS(tblLotBalance[Item Name],$A56,tblLotBalance[Lot Balance],"&gt;0"))</f>
        <v>0</v>
      </c>
      <c r="M56" s="24" t="str">
        <f>IF($A56="","",IF($L56=0,"",IFERROR(_xlfn.MINIFS(tblLotBalance[Expiry Date],tblLotBalance[Item Name],$A56,tblLotBalance[Lot Balance],"&gt;0"),"")))</f>
        <v/>
      </c>
      <c r="N56" s="26" t="str">
        <f t="shared" ca="1" si="2"/>
        <v/>
      </c>
      <c r="O56" s="18" t="str" cm="1">
        <f t="array" ref="O56">IF($M56="","",IFERROR(INDEX(tblLotBalance[Lot Number],MATCH(1,INDEX((tblLotBalance[Item Name]=$A56)*(tblLotBalance[Expiry Date]=$M56)*(tblLotBalance[Lot Balance]&gt;0),0),0)),""))</f>
        <v/>
      </c>
      <c r="P56" s="28" t="str">
        <f>IF($A56="","",IF($I56&lt;0,"NEGATIVE",IF(NOT(ISNUMBER($F56)),"Set threshold",IF($I56&lt;=0,"OUT OF STOCK",IF($I56&lt;=$F56,"LOW",IF($I56&lt;=$F56*Settings!$C$7,"WATCH","OK"))))))</f>
        <v>OUT OF STOCK</v>
      </c>
      <c r="Q56" s="29" t="str">
        <f>IF($A56="","",IF($P56="NEGATIVE","Issued more than received - add the missing receipt",IF($P56="OUT OF STOCK","Reorder immediately",IF($P56="LOW","Raise purchase order",IF($P56="Set threshold","Enter Critical Low in Items",IF(AND($N56&lt;&gt;"",$N56&lt;=0),"Quarantine expired lot",IF(AND($N56&lt;&gt;"",$N56&lt;=Settings!$C$6),"Use or rotate stock now","")))))))</f>
        <v>Reorder immediately</v>
      </c>
    </row>
    <row r="57" spans="1:17" x14ac:dyDescent="0.35">
      <c r="A57" s="18" t="str">
        <f>IF(Items!$A57="","",Items!$A57)</f>
        <v>PSW Charts TL 20</v>
      </c>
      <c r="B57" s="18" t="str">
        <f>IF($A57="","",Items!$B57)</f>
        <v>Sample Org Charts PSW</v>
      </c>
      <c r="C57" s="19" t="str">
        <f>IF($A57="","",Items!$G57)</f>
        <v>Chart</v>
      </c>
      <c r="D57" s="20">
        <f>IF($A57="","",N(Items!$D57))</f>
        <v>0</v>
      </c>
      <c r="E57" s="23">
        <f>IF($A57="","",Items!$E57)</f>
        <v>20</v>
      </c>
      <c r="F57" s="23">
        <f>IF($A57="","",Items!$F57)</f>
        <v>20</v>
      </c>
      <c r="G57" s="26">
        <f>IF($A57="","",SUMIFS(tblReceipts[Qty Received],tblReceipts[Item Name],$A57))</f>
        <v>0</v>
      </c>
      <c r="H57" s="26">
        <f>IF($A57="","",SUMIFS(tblIssues[Qty Issued],tblIssues[Item Name],$A57))</f>
        <v>0</v>
      </c>
      <c r="I57" s="27">
        <f t="shared" si="0"/>
        <v>0</v>
      </c>
      <c r="J57" s="21">
        <f t="shared" si="1"/>
        <v>0</v>
      </c>
      <c r="K57" s="26">
        <f>IF($A57="","",COUNTIFS(tblReceipts[Item Name],$A57))</f>
        <v>0</v>
      </c>
      <c r="L57" s="26">
        <f>IF($A57="","",COUNTIFS(tblLotBalance[Item Name],$A57,tblLotBalance[Lot Balance],"&gt;0"))</f>
        <v>0</v>
      </c>
      <c r="M57" s="24" t="str">
        <f>IF($A57="","",IF($L57=0,"",IFERROR(_xlfn.MINIFS(tblLotBalance[Expiry Date],tblLotBalance[Item Name],$A57,tblLotBalance[Lot Balance],"&gt;0"),"")))</f>
        <v/>
      </c>
      <c r="N57" s="26" t="str">
        <f t="shared" ca="1" si="2"/>
        <v/>
      </c>
      <c r="O57" s="18" t="str" cm="1">
        <f t="array" ref="O57">IF($M57="","",IFERROR(INDEX(tblLotBalance[Lot Number],MATCH(1,INDEX((tblLotBalance[Item Name]=$A57)*(tblLotBalance[Expiry Date]=$M57)*(tblLotBalance[Lot Balance]&gt;0),0),0)),""))</f>
        <v/>
      </c>
      <c r="P57" s="28" t="str">
        <f>IF($A57="","",IF($I57&lt;0,"NEGATIVE",IF(NOT(ISNUMBER($F57)),"Set threshold",IF($I57&lt;=0,"OUT OF STOCK",IF($I57&lt;=$F57,"LOW",IF($I57&lt;=$F57*Settings!$C$7,"WATCH","OK"))))))</f>
        <v>OUT OF STOCK</v>
      </c>
      <c r="Q57" s="29" t="str">
        <f>IF($A57="","",IF($P57="NEGATIVE","Issued more than received - add the missing receipt",IF($P57="OUT OF STOCK","Reorder immediately",IF($P57="LOW","Raise purchase order",IF($P57="Set threshold","Enter Critical Low in Items",IF(AND($N57&lt;&gt;"",$N57&lt;=0),"Quarantine expired lot",IF(AND($N57&lt;&gt;"",$N57&lt;=Settings!$C$6),"Use or rotate stock now","")))))))</f>
        <v>Reorder immediately</v>
      </c>
    </row>
    <row r="58" spans="1:17" x14ac:dyDescent="0.35">
      <c r="A58" s="18" t="str">
        <f>IF(Items!$A58="","",Items!$A58)</f>
        <v>PSW Charts TL 10</v>
      </c>
      <c r="B58" s="18" t="str">
        <f>IF($A58="","",Items!$B58)</f>
        <v>Sample Org Charts PSW</v>
      </c>
      <c r="C58" s="19" t="str">
        <f>IF($A58="","",Items!$G58)</f>
        <v>Chart</v>
      </c>
      <c r="D58" s="20">
        <f>IF($A58="","",N(Items!$D58))</f>
        <v>0</v>
      </c>
      <c r="E58" s="23">
        <f>IF($A58="","",Items!$E58)</f>
        <v>10</v>
      </c>
      <c r="F58" s="23">
        <f>IF($A58="","",Items!$F58)</f>
        <v>10</v>
      </c>
      <c r="G58" s="26">
        <f>IF($A58="","",SUMIFS(tblReceipts[Qty Received],tblReceipts[Item Name],$A58))</f>
        <v>0</v>
      </c>
      <c r="H58" s="26">
        <f>IF($A58="","",SUMIFS(tblIssues[Qty Issued],tblIssues[Item Name],$A58))</f>
        <v>0</v>
      </c>
      <c r="I58" s="27">
        <f t="shared" si="0"/>
        <v>0</v>
      </c>
      <c r="J58" s="21">
        <f t="shared" si="1"/>
        <v>0</v>
      </c>
      <c r="K58" s="26">
        <f>IF($A58="","",COUNTIFS(tblReceipts[Item Name],$A58))</f>
        <v>0</v>
      </c>
      <c r="L58" s="26">
        <f>IF($A58="","",COUNTIFS(tblLotBalance[Item Name],$A58,tblLotBalance[Lot Balance],"&gt;0"))</f>
        <v>0</v>
      </c>
      <c r="M58" s="24" t="str">
        <f>IF($A58="","",IF($L58=0,"",IFERROR(_xlfn.MINIFS(tblLotBalance[Expiry Date],tblLotBalance[Item Name],$A58,tblLotBalance[Lot Balance],"&gt;0"),"")))</f>
        <v/>
      </c>
      <c r="N58" s="26" t="str">
        <f t="shared" ca="1" si="2"/>
        <v/>
      </c>
      <c r="O58" s="18" t="str" cm="1">
        <f t="array" ref="O58">IF($M58="","",IFERROR(INDEX(tblLotBalance[Lot Number],MATCH(1,INDEX((tblLotBalance[Item Name]=$A58)*(tblLotBalance[Expiry Date]=$M58)*(tblLotBalance[Lot Balance]&gt;0),0),0)),""))</f>
        <v/>
      </c>
      <c r="P58" s="28" t="str">
        <f>IF($A58="","",IF($I58&lt;0,"NEGATIVE",IF(NOT(ISNUMBER($F58)),"Set threshold",IF($I58&lt;=0,"OUT OF STOCK",IF($I58&lt;=$F58,"LOW",IF($I58&lt;=$F58*Settings!$C$7,"WATCH","OK"))))))</f>
        <v>OUT OF STOCK</v>
      </c>
      <c r="Q58" s="29" t="str">
        <f>IF($A58="","",IF($P58="NEGATIVE","Issued more than received - add the missing receipt",IF($P58="OUT OF STOCK","Reorder immediately",IF($P58="LOW","Raise purchase order",IF($P58="Set threshold","Enter Critical Low in Items",IF(AND($N58&lt;&gt;"",$N58&lt;=0),"Quarantine expired lot",IF(AND($N58&lt;&gt;"",$N58&lt;=Settings!$C$6),"Use or rotate stock now","")))))))</f>
        <v>Reorder immediately</v>
      </c>
    </row>
    <row r="59" spans="1:17" x14ac:dyDescent="0.35">
      <c r="A59" s="18" t="str">
        <f>IF(Items!$A59="","",Items!$A59)</f>
        <v>Master Sign In Sheet</v>
      </c>
      <c r="B59" s="18" t="str">
        <f>IF($A59="","",Items!$B59)</f>
        <v>Sample Org Charts PSW</v>
      </c>
      <c r="C59" s="19" t="str">
        <f>IF($A59="","",Items!$G59)</f>
        <v>Chart</v>
      </c>
      <c r="D59" s="20">
        <f>IF($A59="","",N(Items!$D59))</f>
        <v>0</v>
      </c>
      <c r="E59" s="23">
        <f>IF($A59="","",Items!$E59)</f>
        <v>20</v>
      </c>
      <c r="F59" s="23">
        <f>IF($A59="","",Items!$F59)</f>
        <v>10</v>
      </c>
      <c r="G59" s="26">
        <f>IF($A59="","",SUMIFS(tblReceipts[Qty Received],tblReceipts[Item Name],$A59))</f>
        <v>0</v>
      </c>
      <c r="H59" s="26">
        <f>IF($A59="","",SUMIFS(tblIssues[Qty Issued],tblIssues[Item Name],$A59))</f>
        <v>0</v>
      </c>
      <c r="I59" s="27">
        <f t="shared" si="0"/>
        <v>0</v>
      </c>
      <c r="J59" s="21">
        <f t="shared" si="1"/>
        <v>0</v>
      </c>
      <c r="K59" s="26">
        <f>IF($A59="","",COUNTIFS(tblReceipts[Item Name],$A59))</f>
        <v>0</v>
      </c>
      <c r="L59" s="26">
        <f>IF($A59="","",COUNTIFS(tblLotBalance[Item Name],$A59,tblLotBalance[Lot Balance],"&gt;0"))</f>
        <v>0</v>
      </c>
      <c r="M59" s="24" t="str">
        <f>IF($A59="","",IF($L59=0,"",IFERROR(_xlfn.MINIFS(tblLotBalance[Expiry Date],tblLotBalance[Item Name],$A59,tblLotBalance[Lot Balance],"&gt;0"),"")))</f>
        <v/>
      </c>
      <c r="N59" s="26" t="str">
        <f t="shared" ca="1" si="2"/>
        <v/>
      </c>
      <c r="O59" s="18" t="str" cm="1">
        <f t="array" ref="O59">IF($M59="","",IFERROR(INDEX(tblLotBalance[Lot Number],MATCH(1,INDEX((tblLotBalance[Item Name]=$A59)*(tblLotBalance[Expiry Date]=$M59)*(tblLotBalance[Lot Balance]&gt;0),0),0)),""))</f>
        <v/>
      </c>
      <c r="P59" s="28" t="str">
        <f>IF($A59="","",IF($I59&lt;0,"NEGATIVE",IF(NOT(ISNUMBER($F59)),"Set threshold",IF($I59&lt;=0,"OUT OF STOCK",IF($I59&lt;=$F59,"LOW",IF($I59&lt;=$F59*Settings!$C$7,"WATCH","OK"))))))</f>
        <v>OUT OF STOCK</v>
      </c>
      <c r="Q59" s="29" t="str">
        <f>IF($A59="","",IF($P59="NEGATIVE","Issued more than received - add the missing receipt",IF($P59="OUT OF STOCK","Reorder immediately",IF($P59="LOW","Raise purchase order",IF($P59="Set threshold","Enter Critical Low in Items",IF(AND($N59&lt;&gt;"",$N59&lt;=0),"Quarantine expired lot",IF(AND($N59&lt;&gt;"",$N59&lt;=Settings!$C$6),"Use or rotate stock now","")))))))</f>
        <v>Reorder immediately</v>
      </c>
    </row>
    <row r="60" spans="1:17" x14ac:dyDescent="0.35">
      <c r="A60" s="18" t="str">
        <f>IF(Items!$A60="","",Items!$A60)</f>
        <v>Physician Order</v>
      </c>
      <c r="B60" s="18" t="str">
        <f>IF($A60="","",Items!$B60)</f>
        <v>SO A2 Charts</v>
      </c>
      <c r="C60" s="19" t="str">
        <f>IF($A60="","",Items!$G60)</f>
        <v>Chart</v>
      </c>
      <c r="D60" s="20">
        <f>IF($A60="","",N(Items!$D60))</f>
        <v>0</v>
      </c>
      <c r="E60" s="23">
        <f>IF($A60="","",Items!$E60)</f>
        <v>20</v>
      </c>
      <c r="F60" s="23">
        <f>IF($A60="","",Items!$F60)</f>
        <v>10</v>
      </c>
      <c r="G60" s="26">
        <f>IF($A60="","",SUMIFS(tblReceipts[Qty Received],tblReceipts[Item Name],$A60))</f>
        <v>0</v>
      </c>
      <c r="H60" s="26">
        <f>IF($A60="","",SUMIFS(tblIssues[Qty Issued],tblIssues[Item Name],$A60))</f>
        <v>0</v>
      </c>
      <c r="I60" s="27">
        <f t="shared" si="0"/>
        <v>0</v>
      </c>
      <c r="J60" s="21">
        <f t="shared" si="1"/>
        <v>0</v>
      </c>
      <c r="K60" s="26">
        <f>IF($A60="","",COUNTIFS(tblReceipts[Item Name],$A60))</f>
        <v>0</v>
      </c>
      <c r="L60" s="26">
        <f>IF($A60="","",COUNTIFS(tblLotBalance[Item Name],$A60,tblLotBalance[Lot Balance],"&gt;0"))</f>
        <v>0</v>
      </c>
      <c r="M60" s="24" t="str">
        <f>IF($A60="","",IF($L60=0,"",IFERROR(_xlfn.MINIFS(tblLotBalance[Expiry Date],tblLotBalance[Item Name],$A60,tblLotBalance[Lot Balance],"&gt;0"),"")))</f>
        <v/>
      </c>
      <c r="N60" s="26" t="str">
        <f t="shared" ca="1" si="2"/>
        <v/>
      </c>
      <c r="O60" s="18" t="str" cm="1">
        <f t="array" ref="O60">IF($M60="","",IFERROR(INDEX(tblLotBalance[Lot Number],MATCH(1,INDEX((tblLotBalance[Item Name]=$A60)*(tblLotBalance[Expiry Date]=$M60)*(tblLotBalance[Lot Balance]&gt;0),0),0)),""))</f>
        <v/>
      </c>
      <c r="P60" s="28" t="str">
        <f>IF($A60="","",IF($I60&lt;0,"NEGATIVE",IF(NOT(ISNUMBER($F60)),"Set threshold",IF($I60&lt;=0,"OUT OF STOCK",IF($I60&lt;=$F60,"LOW",IF($I60&lt;=$F60*Settings!$C$7,"WATCH","OK"))))))</f>
        <v>OUT OF STOCK</v>
      </c>
      <c r="Q60" s="29" t="str">
        <f>IF($A60="","",IF($P60="NEGATIVE","Issued more than received - add the missing receipt",IF($P60="OUT OF STOCK","Reorder immediately",IF($P60="LOW","Raise purchase order",IF($P60="Set threshold","Enter Critical Low in Items",IF(AND($N60&lt;&gt;"",$N60&lt;=0),"Quarantine expired lot",IF(AND($N60&lt;&gt;"",$N60&lt;=Settings!$C$6),"Use or rotate stock now","")))))))</f>
        <v>Reorder immediately</v>
      </c>
    </row>
    <row r="61" spans="1:17" x14ac:dyDescent="0.35">
      <c r="A61" s="18" t="str">
        <f>IF(Items!$A61="","",Items!$A61)</f>
        <v>Progress report to Doctor</v>
      </c>
      <c r="B61" s="18" t="str">
        <f>IF($A61="","",Items!$B61)</f>
        <v>Sample Org Charts</v>
      </c>
      <c r="C61" s="19" t="str">
        <f>IF($A61="","",Items!$G61)</f>
        <v>Chart</v>
      </c>
      <c r="D61" s="20">
        <f>IF($A61="","",N(Items!$D61))</f>
        <v>0</v>
      </c>
      <c r="E61" s="23">
        <f>IF($A61="","",Items!$E61)</f>
        <v>20</v>
      </c>
      <c r="F61" s="23">
        <f>IF($A61="","",Items!$F61)</f>
        <v>10</v>
      </c>
      <c r="G61" s="26">
        <f>IF($A61="","",SUMIFS(tblReceipts[Qty Received],tblReceipts[Item Name],$A61))</f>
        <v>0</v>
      </c>
      <c r="H61" s="26">
        <f>IF($A61="","",SUMIFS(tblIssues[Qty Issued],tblIssues[Item Name],$A61))</f>
        <v>0</v>
      </c>
      <c r="I61" s="27">
        <f t="shared" si="0"/>
        <v>0</v>
      </c>
      <c r="J61" s="21">
        <f t="shared" si="1"/>
        <v>0</v>
      </c>
      <c r="K61" s="26">
        <f>IF($A61="","",COUNTIFS(tblReceipts[Item Name],$A61))</f>
        <v>0</v>
      </c>
      <c r="L61" s="26">
        <f>IF($A61="","",COUNTIFS(tblLotBalance[Item Name],$A61,tblLotBalance[Lot Balance],"&gt;0"))</f>
        <v>0</v>
      </c>
      <c r="M61" s="24" t="str">
        <f>IF($A61="","",IF($L61=0,"",IFERROR(_xlfn.MINIFS(tblLotBalance[Expiry Date],tblLotBalance[Item Name],$A61,tblLotBalance[Lot Balance],"&gt;0"),"")))</f>
        <v/>
      </c>
      <c r="N61" s="26" t="str">
        <f t="shared" ca="1" si="2"/>
        <v/>
      </c>
      <c r="O61" s="18" t="str" cm="1">
        <f t="array" ref="O61">IF($M61="","",IFERROR(INDEX(tblLotBalance[Lot Number],MATCH(1,INDEX((tblLotBalance[Item Name]=$A61)*(tblLotBalance[Expiry Date]=$M61)*(tblLotBalance[Lot Balance]&gt;0),0),0)),""))</f>
        <v/>
      </c>
      <c r="P61" s="28" t="str">
        <f>IF($A61="","",IF($I61&lt;0,"NEGATIVE",IF(NOT(ISNUMBER($F61)),"Set threshold",IF($I61&lt;=0,"OUT OF STOCK",IF($I61&lt;=$F61,"LOW",IF($I61&lt;=$F61*Settings!$C$7,"WATCH","OK"))))))</f>
        <v>OUT OF STOCK</v>
      </c>
      <c r="Q61" s="29" t="str">
        <f>IF($A61="","",IF($P61="NEGATIVE","Issued more than received - add the missing receipt",IF($P61="OUT OF STOCK","Reorder immediately",IF($P61="LOW","Raise purchase order",IF($P61="Set threshold","Enter Critical Low in Items",IF(AND($N61&lt;&gt;"",$N61&lt;=0),"Quarantine expired lot",IF(AND($N61&lt;&gt;"",$N61&lt;=Settings!$C$6),"Use or rotate stock now","")))))))</f>
        <v>Reorder immediately</v>
      </c>
    </row>
    <row r="62" spans="1:17" x14ac:dyDescent="0.35">
      <c r="A62" s="18" t="str">
        <f>IF(Items!$A62="","",Items!$A62)</f>
        <v>Medication Administration Record Monthly</v>
      </c>
      <c r="B62" s="18" t="str">
        <f>IF($A62="","",Items!$B62)</f>
        <v>Sample Org Charts</v>
      </c>
      <c r="C62" s="19" t="str">
        <f>IF($A62="","",Items!$G62)</f>
        <v>Chart</v>
      </c>
      <c r="D62" s="20">
        <f>IF($A62="","",N(Items!$D62))</f>
        <v>0</v>
      </c>
      <c r="E62" s="23">
        <f>IF($A62="","",Items!$E62)</f>
        <v>20</v>
      </c>
      <c r="F62" s="23">
        <f>IF($A62="","",Items!$F62)</f>
        <v>10</v>
      </c>
      <c r="G62" s="26">
        <f>IF($A62="","",SUMIFS(tblReceipts[Qty Received],tblReceipts[Item Name],$A62))</f>
        <v>0</v>
      </c>
      <c r="H62" s="26">
        <f>IF($A62="","",SUMIFS(tblIssues[Qty Issued],tblIssues[Item Name],$A62))</f>
        <v>20</v>
      </c>
      <c r="I62" s="27">
        <f t="shared" si="0"/>
        <v>-20</v>
      </c>
      <c r="J62" s="21">
        <f t="shared" si="1"/>
        <v>0</v>
      </c>
      <c r="K62" s="26">
        <f>IF($A62="","",COUNTIFS(tblReceipts[Item Name],$A62))</f>
        <v>0</v>
      </c>
      <c r="L62" s="26">
        <f>IF($A62="","",COUNTIFS(tblLotBalance[Item Name],$A62,tblLotBalance[Lot Balance],"&gt;0"))</f>
        <v>0</v>
      </c>
      <c r="M62" s="24" t="str">
        <f>IF($A62="","",IF($L62=0,"",IFERROR(_xlfn.MINIFS(tblLotBalance[Expiry Date],tblLotBalance[Item Name],$A62,tblLotBalance[Lot Balance],"&gt;0"),"")))</f>
        <v/>
      </c>
      <c r="N62" s="26" t="str">
        <f t="shared" ca="1" si="2"/>
        <v/>
      </c>
      <c r="O62" s="18" t="str" cm="1">
        <f t="array" ref="O62">IF($M62="","",IFERROR(INDEX(tblLotBalance[Lot Number],MATCH(1,INDEX((tblLotBalance[Item Name]=$A62)*(tblLotBalance[Expiry Date]=$M62)*(tblLotBalance[Lot Balance]&gt;0),0),0)),""))</f>
        <v/>
      </c>
      <c r="P62" s="28" t="str">
        <f>IF($A62="","",IF($I62&lt;0,"NEGATIVE",IF(NOT(ISNUMBER($F62)),"Set threshold",IF($I62&lt;=0,"OUT OF STOCK",IF($I62&lt;=$F62,"LOW",IF($I62&lt;=$F62*Settings!$C$7,"WATCH","OK"))))))</f>
        <v>NEGATIVE</v>
      </c>
      <c r="Q62" s="29" t="str">
        <f>IF($A62="","",IF($P62="NEGATIVE","Issued more than received - add the missing receipt",IF($P62="OUT OF STOCK","Reorder immediately",IF($P62="LOW","Raise purchase order",IF($P62="Set threshold","Enter Critical Low in Items",IF(AND($N62&lt;&gt;"",$N62&lt;=0),"Quarantine expired lot",IF(AND($N62&lt;&gt;"",$N62&lt;=Settings!$C$6),"Use or rotate stock now","")))))))</f>
        <v>Issued more than received - add the missing receipt</v>
      </c>
    </row>
    <row r="63" spans="1:17" x14ac:dyDescent="0.35">
      <c r="A63" s="18" t="str">
        <f>IF(Items!$A63="","",Items!$A63)</f>
        <v>Diabetic flow Sheet</v>
      </c>
      <c r="B63" s="18" t="str">
        <f>IF($A63="","",Items!$B63)</f>
        <v>Sample Org Charts</v>
      </c>
      <c r="C63" s="19" t="str">
        <f>IF($A63="","",Items!$G63)</f>
        <v>Chart</v>
      </c>
      <c r="D63" s="20">
        <f>IF($A63="","",N(Items!$D63))</f>
        <v>0</v>
      </c>
      <c r="E63" s="23">
        <f>IF($A63="","",Items!$E63)</f>
        <v>20</v>
      </c>
      <c r="F63" s="23">
        <f>IF($A63="","",Items!$F63)</f>
        <v>10</v>
      </c>
      <c r="G63" s="26">
        <f>IF($A63="","",SUMIFS(tblReceipts[Qty Received],tblReceipts[Item Name],$A63))</f>
        <v>0</v>
      </c>
      <c r="H63" s="26">
        <f>IF($A63="","",SUMIFS(tblIssues[Qty Issued],tblIssues[Item Name],$A63))</f>
        <v>0</v>
      </c>
      <c r="I63" s="27">
        <f t="shared" si="0"/>
        <v>0</v>
      </c>
      <c r="J63" s="21">
        <f t="shared" si="1"/>
        <v>0</v>
      </c>
      <c r="K63" s="26">
        <f>IF($A63="","",COUNTIFS(tblReceipts[Item Name],$A63))</f>
        <v>0</v>
      </c>
      <c r="L63" s="26">
        <f>IF($A63="","",COUNTIFS(tblLotBalance[Item Name],$A63,tblLotBalance[Lot Balance],"&gt;0"))</f>
        <v>0</v>
      </c>
      <c r="M63" s="24" t="str">
        <f>IF($A63="","",IF($L63=0,"",IFERROR(_xlfn.MINIFS(tblLotBalance[Expiry Date],tblLotBalance[Item Name],$A63,tblLotBalance[Lot Balance],"&gt;0"),"")))</f>
        <v/>
      </c>
      <c r="N63" s="26" t="str">
        <f t="shared" ca="1" si="2"/>
        <v/>
      </c>
      <c r="O63" s="18" t="str" cm="1">
        <f t="array" ref="O63">IF($M63="","",IFERROR(INDEX(tblLotBalance[Lot Number],MATCH(1,INDEX((tblLotBalance[Item Name]=$A63)*(tblLotBalance[Expiry Date]=$M63)*(tblLotBalance[Lot Balance]&gt;0),0),0)),""))</f>
        <v/>
      </c>
      <c r="P63" s="28" t="str">
        <f>IF($A63="","",IF($I63&lt;0,"NEGATIVE",IF(NOT(ISNUMBER($F63)),"Set threshold",IF($I63&lt;=0,"OUT OF STOCK",IF($I63&lt;=$F63,"LOW",IF($I63&lt;=$F63*Settings!$C$7,"WATCH","OK"))))))</f>
        <v>OUT OF STOCK</v>
      </c>
      <c r="Q63" s="29" t="str">
        <f>IF($A63="","",IF($P63="NEGATIVE","Issued more than received - add the missing receipt",IF($P63="OUT OF STOCK","Reorder immediately",IF($P63="LOW","Raise purchase order",IF($P63="Set threshold","Enter Critical Low in Items",IF(AND($N63&lt;&gt;"",$N63&lt;=0),"Quarantine expired lot",IF(AND($N63&lt;&gt;"",$N63&lt;=Settings!$C$6),"Use or rotate stock now","")))))))</f>
        <v>Reorder immediately</v>
      </c>
    </row>
    <row r="64" spans="1:17" x14ac:dyDescent="0.35">
      <c r="A64" s="18" t="str">
        <f>IF(Items!$A64="","",Items!$A64)</f>
        <v>DNR</v>
      </c>
      <c r="B64" s="18" t="str">
        <f>IF($A64="","",Items!$B64)</f>
        <v>Forms</v>
      </c>
      <c r="C64" s="19" t="str">
        <f>IF($A64="","",Items!$G64)</f>
        <v>Forms</v>
      </c>
      <c r="D64" s="20">
        <f>IF($A64="","",N(Items!$D64))</f>
        <v>0</v>
      </c>
      <c r="E64" s="23">
        <f>IF($A64="","",Items!$E64)</f>
        <v>5</v>
      </c>
      <c r="F64" s="23">
        <f>IF($A64="","",Items!$F64)</f>
        <v>10</v>
      </c>
      <c r="G64" s="26">
        <f>IF($A64="","",SUMIFS(tblReceipts[Qty Received],tblReceipts[Item Name],$A64))</f>
        <v>153</v>
      </c>
      <c r="H64" s="26">
        <f>IF($A64="","",SUMIFS(tblIssues[Qty Issued],tblIssues[Item Name],$A64))</f>
        <v>0</v>
      </c>
      <c r="I64" s="27">
        <f t="shared" si="0"/>
        <v>153</v>
      </c>
      <c r="J64" s="21">
        <f t="shared" si="1"/>
        <v>0</v>
      </c>
      <c r="K64" s="26">
        <f>IF($A64="","",COUNTIFS(tblReceipts[Item Name],$A64))</f>
        <v>1</v>
      </c>
      <c r="L64" s="26">
        <f>IF($A64="","",COUNTIFS(tblLotBalance[Item Name],$A64,tblLotBalance[Lot Balance],"&gt;0"))</f>
        <v>1</v>
      </c>
      <c r="M64" s="24">
        <f>IF($A64="","",IF($L64=0,"",IFERROR(_xlfn.MINIFS(tblLotBalance[Expiry Date],tblLotBalance[Item Name],$A64,tblLotBalance[Lot Balance],"&gt;0"),"")))</f>
        <v>47046</v>
      </c>
      <c r="N64" s="26">
        <f t="shared" ca="1" si="2"/>
        <v>808</v>
      </c>
      <c r="O64" s="18" t="str" cm="1">
        <f t="array" ref="O64">IF($M64="","",IFERROR(INDEX(tblLotBalance[Lot Number],MATCH(1,INDEX((tblLotBalance[Item Name]=$A64)*(tblLotBalance[Expiry Date]=$M64)*(tblLotBalance[Lot Balance]&gt;0),0),0)),""))</f>
        <v>3146837-7000</v>
      </c>
      <c r="P64" s="28" t="str">
        <f>IF($A64="","",IF($I64&lt;0,"NEGATIVE",IF(NOT(ISNUMBER($F64)),"Set threshold",IF($I64&lt;=0,"OUT OF STOCK",IF($I64&lt;=$F64,"LOW",IF($I64&lt;=$F64*Settings!$C$7,"WATCH","OK"))))))</f>
        <v>OK</v>
      </c>
      <c r="Q64" s="29" t="str">
        <f ca="1">IF($A64="","",IF($P64="NEGATIVE","Issued more than received - add the missing receipt",IF($P64="OUT OF STOCK","Reorder immediately",IF($P64="LOW","Raise purchase order",IF($P64="Set threshold","Enter Critical Low in Items",IF(AND($N64&lt;&gt;"",$N64&lt;=0),"Quarantine expired lot",IF(AND($N64&lt;&gt;"",$N64&lt;=Settings!$C$6),"Use or rotate stock now","")))))))</f>
        <v/>
      </c>
    </row>
    <row r="65" spans="1:17" x14ac:dyDescent="0.35">
      <c r="A65" s="18" t="str">
        <f>IF(Items!$A65="","",Items!$A65)</f>
        <v>EDITH</v>
      </c>
      <c r="B65" s="18" t="str">
        <f>IF($A65="","",Items!$B65)</f>
        <v>Forms</v>
      </c>
      <c r="C65" s="19" t="str">
        <f>IF($A65="","",Items!$G65)</f>
        <v>Forms</v>
      </c>
      <c r="D65" s="20">
        <f>IF($A65="","",N(Items!$D65))</f>
        <v>0</v>
      </c>
      <c r="E65" s="23">
        <f>IF($A65="","",Items!$E65)</f>
        <v>5</v>
      </c>
      <c r="F65" s="23">
        <f>IF($A65="","",Items!$F65)</f>
        <v>10</v>
      </c>
      <c r="G65" s="26">
        <f>IF($A65="","",SUMIFS(tblReceipts[Qty Received],tblReceipts[Item Name],$A65))</f>
        <v>85</v>
      </c>
      <c r="H65" s="26">
        <f>IF($A65="","",SUMIFS(tblIssues[Qty Issued],tblIssues[Item Name],$A65))</f>
        <v>0</v>
      </c>
      <c r="I65" s="27">
        <f t="shared" si="0"/>
        <v>85</v>
      </c>
      <c r="J65" s="21">
        <f t="shared" si="1"/>
        <v>0</v>
      </c>
      <c r="K65" s="26">
        <f>IF($A65="","",COUNTIFS(tblReceipts[Item Name],$A65))</f>
        <v>1</v>
      </c>
      <c r="L65" s="26">
        <f>IF($A65="","",COUNTIFS(tblLotBalance[Item Name],$A65,tblLotBalance[Lot Balance],"&gt;0"))</f>
        <v>1</v>
      </c>
      <c r="M65" s="24">
        <f>IF($A65="","",IF($L65=0,"",IFERROR(_xlfn.MINIFS(tblLotBalance[Expiry Date],tblLotBalance[Item Name],$A65,tblLotBalance[Lot Balance],"&gt;0"),"")))</f>
        <v>47046</v>
      </c>
      <c r="N65" s="26">
        <f t="shared" ca="1" si="2"/>
        <v>808</v>
      </c>
      <c r="O65" s="18" t="str" cm="1">
        <f t="array" ref="O65">IF($M65="","",IFERROR(INDEX(tblLotBalance[Lot Number],MATCH(1,INDEX((tblLotBalance[Item Name]=$A65)*(tblLotBalance[Expiry Date]=$M65)*(tblLotBalance[Lot Balance]&gt;0),0),0)),""))</f>
        <v>EDITH001</v>
      </c>
      <c r="P65" s="28" t="str">
        <f>IF($A65="","",IF($I65&lt;0,"NEGATIVE",IF(NOT(ISNUMBER($F65)),"Set threshold",IF($I65&lt;=0,"OUT OF STOCK",IF($I65&lt;=$F65,"LOW",IF($I65&lt;=$F65*Settings!$C$7,"WATCH","OK"))))))</f>
        <v>OK</v>
      </c>
      <c r="Q65" s="29" t="str">
        <f ca="1">IF($A65="","",IF($P65="NEGATIVE","Issued more than received - add the missing receipt",IF($P65="OUT OF STOCK","Reorder immediately",IF($P65="LOW","Raise purchase order",IF($P65="Set threshold","Enter Critical Low in Items",IF(AND($N65&lt;&gt;"",$N65&lt;=0),"Quarantine expired lot",IF(AND($N65&lt;&gt;"",$N65&lt;=Settings!$C$6),"Use or rotate stock now","")))))))</f>
        <v/>
      </c>
    </row>
    <row r="66" spans="1:17" x14ac:dyDescent="0.35">
      <c r="A66" s="18" t="str">
        <f>IF(Items!$A66="","",Items!$A66)</f>
        <v>Palliative ESAS Forms</v>
      </c>
      <c r="B66" s="18" t="str">
        <f>IF($A66="","",Items!$B66)</f>
        <v>Forms</v>
      </c>
      <c r="C66" s="19" t="str">
        <f>IF($A66="","",Items!$G66)</f>
        <v>Forms</v>
      </c>
      <c r="D66" s="20">
        <f>IF($A66="","",N(Items!$D66))</f>
        <v>0</v>
      </c>
      <c r="E66" s="23">
        <f>IF($A66="","",Items!$E66)</f>
        <v>20</v>
      </c>
      <c r="F66" s="23">
        <f>IF($A66="","",Items!$F66)</f>
        <v>10</v>
      </c>
      <c r="G66" s="26">
        <f>IF($A66="","",SUMIFS(tblReceipts[Qty Received],tblReceipts[Item Name],$A66))</f>
        <v>0</v>
      </c>
      <c r="H66" s="26">
        <f>IF($A66="","",SUMIFS(tblIssues[Qty Issued],tblIssues[Item Name],$A66))</f>
        <v>0</v>
      </c>
      <c r="I66" s="27">
        <f t="shared" si="0"/>
        <v>0</v>
      </c>
      <c r="J66" s="21">
        <f t="shared" si="1"/>
        <v>0</v>
      </c>
      <c r="K66" s="26">
        <f>IF($A66="","",COUNTIFS(tblReceipts[Item Name],$A66))</f>
        <v>0</v>
      </c>
      <c r="L66" s="26">
        <f>IF($A66="","",COUNTIFS(tblLotBalance[Item Name],$A66,tblLotBalance[Lot Balance],"&gt;0"))</f>
        <v>0</v>
      </c>
      <c r="M66" s="24" t="str">
        <f>IF($A66="","",IF($L66=0,"",IFERROR(_xlfn.MINIFS(tblLotBalance[Expiry Date],tblLotBalance[Item Name],$A66,tblLotBalance[Lot Balance],"&gt;0"),"")))</f>
        <v/>
      </c>
      <c r="N66" s="26" t="str">
        <f t="shared" ca="1" si="2"/>
        <v/>
      </c>
      <c r="O66" s="18" t="str" cm="1">
        <f t="array" ref="O66">IF($M66="","",IFERROR(INDEX(tblLotBalance[Lot Number],MATCH(1,INDEX((tblLotBalance[Item Name]=$A66)*(tblLotBalance[Expiry Date]=$M66)*(tblLotBalance[Lot Balance]&gt;0),0),0)),""))</f>
        <v/>
      </c>
      <c r="P66" s="28" t="str">
        <f>IF($A66="","",IF($I66&lt;0,"NEGATIVE",IF(NOT(ISNUMBER($F66)),"Set threshold",IF($I66&lt;=0,"OUT OF STOCK",IF($I66&lt;=$F66,"LOW",IF($I66&lt;=$F66*Settings!$C$7,"WATCH","OK"))))))</f>
        <v>OUT OF STOCK</v>
      </c>
      <c r="Q66" s="29" t="str">
        <f>IF($A66="","",IF($P66="NEGATIVE","Issued more than received - add the missing receipt",IF($P66="OUT OF STOCK","Reorder immediately",IF($P66="LOW","Raise purchase order",IF($P66="Set threshold","Enter Critical Low in Items",IF(AND($N66&lt;&gt;"",$N66&lt;=0),"Quarantine expired lot",IF(AND($N66&lt;&gt;"",$N66&lt;=Settings!$C$6),"Use or rotate stock now","")))))))</f>
        <v>Reorder immediately</v>
      </c>
    </row>
    <row r="67" spans="1:17" x14ac:dyDescent="0.35">
      <c r="A67" s="18" t="str">
        <f>IF(Items!$A67="","",Items!$A67)</f>
        <v>Alcohol Swab</v>
      </c>
      <c r="B67" s="18" t="str">
        <f>IF($A67="","",Items!$B67)</f>
        <v>IPAC</v>
      </c>
      <c r="C67" s="19" t="str">
        <f>IF($A67="","",Items!$G67)</f>
        <v>PPE</v>
      </c>
      <c r="D67" s="20">
        <f>IF($A67="","",N(Items!$D67))</f>
        <v>3.25</v>
      </c>
      <c r="E67" s="23">
        <f>IF($A67="","",Items!$E67)</f>
        <v>200</v>
      </c>
      <c r="F67" s="23">
        <f>IF($A67="","",Items!$F67)</f>
        <v>500</v>
      </c>
      <c r="G67" s="26">
        <f>IF($A67="","",SUMIFS(tblReceipts[Qty Received],tblReceipts[Item Name],$A67))</f>
        <v>1000</v>
      </c>
      <c r="H67" s="26">
        <f>IF($A67="","",SUMIFS(tblIssues[Qty Issued],tblIssues[Item Name],$A67))</f>
        <v>0</v>
      </c>
      <c r="I67" s="27">
        <f t="shared" si="0"/>
        <v>1000</v>
      </c>
      <c r="J67" s="21">
        <f t="shared" si="1"/>
        <v>3250</v>
      </c>
      <c r="K67" s="26">
        <f>IF($A67="","",COUNTIFS(tblReceipts[Item Name],$A67))</f>
        <v>1</v>
      </c>
      <c r="L67" s="26">
        <f>IF($A67="","",COUNTIFS(tblLotBalance[Item Name],$A67,tblLotBalance[Lot Balance],"&gt;0"))</f>
        <v>1</v>
      </c>
      <c r="M67" s="24">
        <f>IF($A67="","",IF($L67=0,"",IFERROR(_xlfn.MINIFS(tblLotBalance[Expiry Date],tblLotBalance[Item Name],$A67,tblLotBalance[Lot Balance],"&gt;0"),"")))</f>
        <v>46387</v>
      </c>
      <c r="N67" s="26">
        <f t="shared" ca="1" si="2"/>
        <v>149</v>
      </c>
      <c r="O67" s="18" cm="1">
        <f t="array" ref="O67">IF($M67="","",IFERROR(INDEX(tblLotBalance[Lot Number],MATCH(1,INDEX((tblLotBalance[Item Name]=$A67)*(tblLotBalance[Expiry Date]=$M67)*(tblLotBalance[Lot Balance]&gt;0),0),0)),""))</f>
        <v>4600093677</v>
      </c>
      <c r="P67" s="28" t="str">
        <f>IF($A67="","",IF($I67&lt;0,"NEGATIVE",IF(NOT(ISNUMBER($F67)),"Set threshold",IF($I67&lt;=0,"OUT OF STOCK",IF($I67&lt;=$F67,"LOW",IF($I67&lt;=$F67*Settings!$C$7,"WATCH","OK"))))))</f>
        <v>OK</v>
      </c>
      <c r="Q67" s="29" t="str">
        <f ca="1">IF($A67="","",IF($P67="NEGATIVE","Issued more than received - add the missing receipt",IF($P67="OUT OF STOCK","Reorder immediately",IF($P67="LOW","Raise purchase order",IF($P67="Set threshold","Enter Critical Low in Items",IF(AND($N67&lt;&gt;"",$N67&lt;=0),"Quarantine expired lot",IF(AND($N67&lt;&gt;"",$N67&lt;=Settings!$C$6),"Use or rotate stock now","")))))))</f>
        <v/>
      </c>
    </row>
    <row r="68" spans="1:17" x14ac:dyDescent="0.35">
      <c r="A68" s="18" t="str">
        <f>IF(Items!$A68="","",Items!$A68)</f>
        <v>BP CUFF</v>
      </c>
      <c r="B68" s="18" t="str">
        <f>IF($A68="","",Items!$B68)</f>
        <v>Equipment</v>
      </c>
      <c r="C68" s="19" t="str">
        <f>IF($A68="","",Items!$G68)</f>
        <v>Tool</v>
      </c>
      <c r="D68" s="20">
        <f>IF($A68="","",N(Items!$D68))</f>
        <v>35</v>
      </c>
      <c r="E68" s="23">
        <f>IF($A68="","",Items!$E68)</f>
        <v>1</v>
      </c>
      <c r="F68" s="23">
        <f>IF($A68="","",Items!$F68)</f>
        <v>0</v>
      </c>
      <c r="G68" s="26">
        <f>IF($A68="","",SUMIFS(tblReceipts[Qty Received],tblReceipts[Item Name],$A68))</f>
        <v>2</v>
      </c>
      <c r="H68" s="26">
        <f>IF($A68="","",SUMIFS(tblIssues[Qty Issued],tblIssues[Item Name],$A68))</f>
        <v>0</v>
      </c>
      <c r="I68" s="27">
        <f t="shared" si="0"/>
        <v>2</v>
      </c>
      <c r="J68" s="21">
        <f t="shared" si="1"/>
        <v>70</v>
      </c>
      <c r="K68" s="26">
        <f>IF($A68="","",COUNTIFS(tblReceipts[Item Name],$A68))</f>
        <v>1</v>
      </c>
      <c r="L68" s="26">
        <f>IF($A68="","",COUNTIFS(tblLotBalance[Item Name],$A68,tblLotBalance[Lot Balance],"&gt;0"))</f>
        <v>1</v>
      </c>
      <c r="M68" s="24">
        <f>IF($A68="","",IF($L68=0,"",IFERROR(_xlfn.MINIFS(tblLotBalance[Expiry Date],tblLotBalance[Item Name],$A68,tblLotBalance[Lot Balance],"&gt;0"),"")))</f>
        <v>47032</v>
      </c>
      <c r="N68" s="26">
        <f t="shared" ca="1" si="2"/>
        <v>794</v>
      </c>
      <c r="O68" s="18" t="str" cm="1">
        <f t="array" ref="O68">IF($M68="","",IFERROR(INDEX(tblLotBalance[Lot Number],MATCH(1,INDEX((tblLotBalance[Item Name]=$A68)*(tblLotBalance[Expiry Date]=$M68)*(tblLotBalance[Lot Balance]&gt;0),0),0)),""))</f>
        <v>BWMALM143200-0</v>
      </c>
      <c r="P68" s="28" t="str">
        <f>IF($A68="","",IF($I68&lt;0,"NEGATIVE",IF(NOT(ISNUMBER($F68)),"Set threshold",IF($I68&lt;=0,"OUT OF STOCK",IF($I68&lt;=$F68,"LOW",IF($I68&lt;=$F68*Settings!$C$7,"WATCH","OK"))))))</f>
        <v>OK</v>
      </c>
      <c r="Q68" s="29" t="str">
        <f ca="1">IF($A68="","",IF($P68="NEGATIVE","Issued more than received - add the missing receipt",IF($P68="OUT OF STOCK","Reorder immediately",IF($P68="LOW","Raise purchase order",IF($P68="Set threshold","Enter Critical Low in Items",IF(AND($N68&lt;&gt;"",$N68&lt;=0),"Quarantine expired lot",IF(AND($N68&lt;&gt;"",$N68&lt;=Settings!$C$6),"Use or rotate stock now","")))))))</f>
        <v/>
      </c>
    </row>
    <row r="69" spans="1:17" x14ac:dyDescent="0.35">
      <c r="A69" s="18" t="str">
        <f>IF(Items!$A69="","",Items!$A69)</f>
        <v>Visit Record Sheet</v>
      </c>
      <c r="B69" s="18" t="str">
        <f>IF($A69="","",Items!$B69)</f>
        <v>Documents</v>
      </c>
      <c r="C69" s="19" t="str">
        <f>IF($A69="","",Items!$G69)</f>
        <v>Chart</v>
      </c>
      <c r="D69" s="20">
        <f>IF($A69="","",N(Items!$D69))</f>
        <v>0</v>
      </c>
      <c r="E69" s="23">
        <f>IF($A69="","",Items!$E69)</f>
        <v>20</v>
      </c>
      <c r="F69" s="23">
        <f>IF($A69="","",Items!$F69)</f>
        <v>0</v>
      </c>
      <c r="G69" s="26">
        <f>IF($A69="","",SUMIFS(tblReceipts[Qty Received],tblReceipts[Item Name],$A69))</f>
        <v>0</v>
      </c>
      <c r="H69" s="26">
        <f>IF($A69="","",SUMIFS(tblIssues[Qty Issued],tblIssues[Item Name],$A69))</f>
        <v>0</v>
      </c>
      <c r="I69" s="27">
        <f t="shared" ref="I69:I132" si="3">IF($A69="","",$G69-$H69)</f>
        <v>0</v>
      </c>
      <c r="J69" s="21">
        <f t="shared" ref="J69:J132" si="4">IF($A69="","",$I69*$D69)</f>
        <v>0</v>
      </c>
      <c r="K69" s="26">
        <f>IF($A69="","",COUNTIFS(tblReceipts[Item Name],$A69))</f>
        <v>0</v>
      </c>
      <c r="L69" s="26">
        <f>IF($A69="","",COUNTIFS(tblLotBalance[Item Name],$A69,tblLotBalance[Lot Balance],"&gt;0"))</f>
        <v>0</v>
      </c>
      <c r="M69" s="24" t="str">
        <f>IF($A69="","",IF($L69=0,"",IFERROR(_xlfn.MINIFS(tblLotBalance[Expiry Date],tblLotBalance[Item Name],$A69,tblLotBalance[Lot Balance],"&gt;0"),"")))</f>
        <v/>
      </c>
      <c r="N69" s="26" t="str">
        <f t="shared" ref="N69:N132" ca="1" si="5">IF($M69="","",$M69-TODAY())</f>
        <v/>
      </c>
      <c r="O69" s="18" t="str" cm="1">
        <f t="array" ref="O69">IF($M69="","",IFERROR(INDEX(tblLotBalance[Lot Number],MATCH(1,INDEX((tblLotBalance[Item Name]=$A69)*(tblLotBalance[Expiry Date]=$M69)*(tblLotBalance[Lot Balance]&gt;0),0),0)),""))</f>
        <v/>
      </c>
      <c r="P69" s="28" t="str">
        <f>IF($A69="","",IF($I69&lt;0,"NEGATIVE",IF(NOT(ISNUMBER($F69)),"Set threshold",IF($I69&lt;=0,"OUT OF STOCK",IF($I69&lt;=$F69,"LOW",IF($I69&lt;=$F69*Settings!$C$7,"WATCH","OK"))))))</f>
        <v>OUT OF STOCK</v>
      </c>
      <c r="Q69" s="29" t="str">
        <f>IF($A69="","",IF($P69="NEGATIVE","Issued more than received - add the missing receipt",IF($P69="OUT OF STOCK","Reorder immediately",IF($P69="LOW","Raise purchase order",IF($P69="Set threshold","Enter Critical Low in Items",IF(AND($N69&lt;&gt;"",$N69&lt;=0),"Quarantine expired lot",IF(AND($N69&lt;&gt;"",$N69&lt;=Settings!$C$6),"Use or rotate stock now","")))))))</f>
        <v>Reorder immediately</v>
      </c>
    </row>
    <row r="70" spans="1:17" x14ac:dyDescent="0.35">
      <c r="A70" s="18" t="str">
        <f>IF(Items!$A70="","",Items!$A70)</f>
        <v>Sterile Gloves - Medium</v>
      </c>
      <c r="B70" s="18" t="str">
        <f>IF($A70="","",Items!$B70)</f>
        <v>Gloves</v>
      </c>
      <c r="C70" s="19" t="str">
        <f>IF($A70="","",Items!$G70)</f>
        <v>PPE</v>
      </c>
      <c r="D70" s="20">
        <f>IF($A70="","",N(Items!$D70))</f>
        <v>0.54</v>
      </c>
      <c r="E70" s="23">
        <f>IF($A70="","",Items!$E70)</f>
        <v>10</v>
      </c>
      <c r="F70" s="23">
        <f>IF($A70="","",Items!$F70)</f>
        <v>0</v>
      </c>
      <c r="G70" s="26">
        <f>IF($A70="","",SUMIFS(tblReceipts[Qty Received],tblReceipts[Item Name],$A70))</f>
        <v>100</v>
      </c>
      <c r="H70" s="26">
        <f>IF($A70="","",SUMIFS(tblIssues[Qty Issued],tblIssues[Item Name],$A70))</f>
        <v>0</v>
      </c>
      <c r="I70" s="27">
        <f t="shared" si="3"/>
        <v>100</v>
      </c>
      <c r="J70" s="21">
        <f t="shared" si="4"/>
        <v>54</v>
      </c>
      <c r="K70" s="26">
        <f>IF($A70="","",COUNTIFS(tblReceipts[Item Name],$A70))</f>
        <v>1</v>
      </c>
      <c r="L70" s="26">
        <f>IF($A70="","",COUNTIFS(tblLotBalance[Item Name],$A70,tblLotBalance[Lot Balance],"&gt;0"))</f>
        <v>1</v>
      </c>
      <c r="M70" s="24">
        <f>IF($A70="","",IF($L70=0,"",IFERROR(_xlfn.MINIFS(tblLotBalance[Expiry Date],tblLotBalance[Item Name],$A70,tblLotBalance[Lot Balance],"&gt;0"),"")))</f>
        <v>46261</v>
      </c>
      <c r="N70" s="26">
        <f t="shared" ca="1" si="5"/>
        <v>23</v>
      </c>
      <c r="O70" s="18" t="str" cm="1">
        <f t="array" ref="O70">IF($M70="","",IFERROR(INDEX(tblLotBalance[Lot Number],MATCH(1,INDEX((tblLotBalance[Item Name]=$A70)*(tblLotBalance[Expiry Date]=$M70)*(tblLotBalance[Lot Balance]&gt;0),0),0)),""))</f>
        <v>ST-M-1</v>
      </c>
      <c r="P70" s="28" t="str">
        <f>IF($A70="","",IF($I70&lt;0,"NEGATIVE",IF(NOT(ISNUMBER($F70)),"Set threshold",IF($I70&lt;=0,"OUT OF STOCK",IF($I70&lt;=$F70,"LOW",IF($I70&lt;=$F70*Settings!$C$7,"WATCH","OK"))))))</f>
        <v>OK</v>
      </c>
      <c r="Q70" s="29" t="str">
        <f ca="1">IF($A70="","",IF($P70="NEGATIVE","Issued more than received - add the missing receipt",IF($P70="OUT OF STOCK","Reorder immediately",IF($P70="LOW","Raise purchase order",IF($P70="Set threshold","Enter Critical Low in Items",IF(AND($N70&lt;&gt;"",$N70&lt;=0),"Quarantine expired lot",IF(AND($N70&lt;&gt;"",$N70&lt;=Settings!$C$6),"Use or rotate stock now","")))))))</f>
        <v>Use or rotate stock now</v>
      </c>
    </row>
    <row r="71" spans="1:17" x14ac:dyDescent="0.35">
      <c r="A71" s="18" t="str">
        <f>IF(Items!$A71="","",Items!$A71)</f>
        <v>Sterile Gloves - Large</v>
      </c>
      <c r="B71" s="18" t="str">
        <f>IF($A71="","",Items!$B71)</f>
        <v>Gloves</v>
      </c>
      <c r="C71" s="19" t="str">
        <f>IF($A71="","",Items!$G71)</f>
        <v>PPE</v>
      </c>
      <c r="D71" s="20">
        <f>IF($A71="","",N(Items!$D71))</f>
        <v>0.54</v>
      </c>
      <c r="E71" s="23">
        <f>IF($A71="","",Items!$E71)</f>
        <v>10</v>
      </c>
      <c r="F71" s="23">
        <f>IF($A71="","",Items!$F71)</f>
        <v>0</v>
      </c>
      <c r="G71" s="26">
        <f>IF($A71="","",SUMIFS(tblReceipts[Qty Received],tblReceipts[Item Name],$A71))</f>
        <v>100</v>
      </c>
      <c r="H71" s="26">
        <f>IF($A71="","",SUMIFS(tblIssues[Qty Issued],tblIssues[Item Name],$A71))</f>
        <v>0</v>
      </c>
      <c r="I71" s="27">
        <f t="shared" si="3"/>
        <v>100</v>
      </c>
      <c r="J71" s="21">
        <f t="shared" si="4"/>
        <v>54</v>
      </c>
      <c r="K71" s="26">
        <f>IF($A71="","",COUNTIFS(tblReceipts[Item Name],$A71))</f>
        <v>1</v>
      </c>
      <c r="L71" s="26">
        <f>IF($A71="","",COUNTIFS(tblLotBalance[Item Name],$A71,tblLotBalance[Lot Balance],"&gt;0"))</f>
        <v>1</v>
      </c>
      <c r="M71" s="24">
        <f>IF($A71="","",IF($L71=0,"",IFERROR(_xlfn.MINIFS(tblLotBalance[Expiry Date],tblLotBalance[Item Name],$A71,tblLotBalance[Lot Balance],"&gt;0"),"")))</f>
        <v>46261</v>
      </c>
      <c r="N71" s="26">
        <f t="shared" ca="1" si="5"/>
        <v>23</v>
      </c>
      <c r="O71" s="18" t="str" cm="1">
        <f t="array" ref="O71">IF($M71="","",IFERROR(INDEX(tblLotBalance[Lot Number],MATCH(1,INDEX((tblLotBalance[Item Name]=$A71)*(tblLotBalance[Expiry Date]=$M71)*(tblLotBalance[Lot Balance]&gt;0),0),0)),""))</f>
        <v>ST-L-1</v>
      </c>
      <c r="P71" s="28" t="str">
        <f>IF($A71="","",IF($I71&lt;0,"NEGATIVE",IF(NOT(ISNUMBER($F71)),"Set threshold",IF($I71&lt;=0,"OUT OF STOCK",IF($I71&lt;=$F71,"LOW",IF($I71&lt;=$F71*Settings!$C$7,"WATCH","OK"))))))</f>
        <v>OK</v>
      </c>
      <c r="Q71" s="29" t="str">
        <f ca="1">IF($A71="","",IF($P71="NEGATIVE","Issued more than received - add the missing receipt",IF($P71="OUT OF STOCK","Reorder immediately",IF($P71="LOW","Raise purchase order",IF($P71="Set threshold","Enter Critical Low in Items",IF(AND($N71&lt;&gt;"",$N71&lt;=0),"Quarantine expired lot",IF(AND($N71&lt;&gt;"",$N71&lt;=Settings!$C$6),"Use or rotate stock now","")))))))</f>
        <v>Use or rotate stock now</v>
      </c>
    </row>
    <row r="72" spans="1:17" x14ac:dyDescent="0.35">
      <c r="A72" s="18" t="str">
        <f>IF(Items!$A72="","",Items!$A72)</f>
        <v>Cell Phone Charger</v>
      </c>
      <c r="B72" s="18" t="str">
        <f>IF($A72="","",Items!$B72)</f>
        <v>Electronic</v>
      </c>
      <c r="C72" s="19" t="str">
        <f>IF($A72="","",Items!$G72)</f>
        <v>PPE</v>
      </c>
      <c r="D72" s="20">
        <f>IF($A72="","",N(Items!$D72))</f>
        <v>14</v>
      </c>
      <c r="E72" s="23">
        <f>IF($A72="","",Items!$E72)</f>
        <v>1</v>
      </c>
      <c r="F72" s="23">
        <f>IF($A72="","",Items!$F72)</f>
        <v>0</v>
      </c>
      <c r="G72" s="26">
        <f>IF($A72="","",SUMIFS(tblReceipts[Qty Received],tblReceipts[Item Name],$A72))</f>
        <v>0</v>
      </c>
      <c r="H72" s="26">
        <f>IF($A72="","",SUMIFS(tblIssues[Qty Issued],tblIssues[Item Name],$A72))</f>
        <v>1</v>
      </c>
      <c r="I72" s="27">
        <f t="shared" si="3"/>
        <v>-1</v>
      </c>
      <c r="J72" s="21">
        <f t="shared" si="4"/>
        <v>-14</v>
      </c>
      <c r="K72" s="26">
        <f>IF($A72="","",COUNTIFS(tblReceipts[Item Name],$A72))</f>
        <v>0</v>
      </c>
      <c r="L72" s="26">
        <f>IF($A72="","",COUNTIFS(tblLotBalance[Item Name],$A72,tblLotBalance[Lot Balance],"&gt;0"))</f>
        <v>0</v>
      </c>
      <c r="M72" s="24" t="str">
        <f>IF($A72="","",IF($L72=0,"",IFERROR(_xlfn.MINIFS(tblLotBalance[Expiry Date],tblLotBalance[Item Name],$A72,tblLotBalance[Lot Balance],"&gt;0"),"")))</f>
        <v/>
      </c>
      <c r="N72" s="26" t="str">
        <f t="shared" ca="1" si="5"/>
        <v/>
      </c>
      <c r="O72" s="18" t="str" cm="1">
        <f t="array" ref="O72">IF($M72="","",IFERROR(INDEX(tblLotBalance[Lot Number],MATCH(1,INDEX((tblLotBalance[Item Name]=$A72)*(tblLotBalance[Expiry Date]=$M72)*(tblLotBalance[Lot Balance]&gt;0),0),0)),""))</f>
        <v/>
      </c>
      <c r="P72" s="28" t="str">
        <f>IF($A72="","",IF($I72&lt;0,"NEGATIVE",IF(NOT(ISNUMBER($F72)),"Set threshold",IF($I72&lt;=0,"OUT OF STOCK",IF($I72&lt;=$F72,"LOW",IF($I72&lt;=$F72*Settings!$C$7,"WATCH","OK"))))))</f>
        <v>NEGATIVE</v>
      </c>
      <c r="Q72" s="29" t="str">
        <f>IF($A72="","",IF($P72="NEGATIVE","Issued more than received - add the missing receipt",IF($P72="OUT OF STOCK","Reorder immediately",IF($P72="LOW","Raise purchase order",IF($P72="Set threshold","Enter Critical Low in Items",IF(AND($N72&lt;&gt;"",$N72&lt;=0),"Quarantine expired lot",IF(AND($N72&lt;&gt;"",$N72&lt;=Settings!$C$6),"Use or rotate stock now","")))))))</f>
        <v>Issued more than received - add the missing receipt</v>
      </c>
    </row>
    <row r="73" spans="1:17" x14ac:dyDescent="0.35">
      <c r="A73" s="18" t="str">
        <f>IF(Items!$A73="","",Items!$A73)</f>
        <v>Hand Sanitizer OS</v>
      </c>
      <c r="B73" s="18" t="str">
        <f>IF($A73="","",Items!$B73)</f>
        <v>Sanitizer</v>
      </c>
      <c r="C73" s="19" t="str">
        <f>IF($A73="","",Items!$G73)</f>
        <v>PPE</v>
      </c>
      <c r="D73" s="20">
        <f>IF($A73="","",N(Items!$D73))</f>
        <v>1E-4</v>
      </c>
      <c r="E73" s="23">
        <f>IF($A73="","",Items!$E73)</f>
        <v>1</v>
      </c>
      <c r="F73" s="23">
        <f>IF($A73="","",Items!$F73)</f>
        <v>200</v>
      </c>
      <c r="G73" s="26">
        <f>IF($A73="","",SUMIFS(tblReceipts[Qty Received],tblReceipts[Item Name],$A73))</f>
        <v>444</v>
      </c>
      <c r="H73" s="26">
        <f>IF($A73="","",SUMIFS(tblIssues[Qty Issued],tblIssues[Item Name],$A73))</f>
        <v>265</v>
      </c>
      <c r="I73" s="27">
        <f t="shared" si="3"/>
        <v>179</v>
      </c>
      <c r="J73" s="21">
        <f t="shared" si="4"/>
        <v>1.7899999999999999E-2</v>
      </c>
      <c r="K73" s="26">
        <f>IF($A73="","",COUNTIFS(tblReceipts[Item Name],$A73))</f>
        <v>10</v>
      </c>
      <c r="L73" s="26">
        <f>IF($A73="","",COUNTIFS(tblLotBalance[Item Name],$A73,tblLotBalance[Lot Balance],"&gt;0"))</f>
        <v>3</v>
      </c>
      <c r="M73" s="24">
        <f>IF($A73="","",IF($L73=0,"",IFERROR(_xlfn.MINIFS(tblLotBalance[Expiry Date],tblLotBalance[Item Name],$A73,tblLotBalance[Lot Balance],"&gt;0"),"")))</f>
        <v>46811</v>
      </c>
      <c r="N73" s="26">
        <f t="shared" ca="1" si="5"/>
        <v>573</v>
      </c>
      <c r="O73" s="18" t="str" cm="1">
        <f t="array" ref="O73">IF($M73="","",IFERROR(INDEX(tblLotBalance[Lot Number],MATCH(1,INDEX((tblLotBalance[Item Name]=$A73)*(tblLotBalance[Expiry Date]=$M73)*(tblLotBalance[Lot Balance]&gt;0),0),0)),""))</f>
        <v>20-21734-6</v>
      </c>
      <c r="P73" s="28" t="str">
        <f>IF($A73="","",IF($I73&lt;0,"NEGATIVE",IF(NOT(ISNUMBER($F73)),"Set threshold",IF($I73&lt;=0,"OUT OF STOCK",IF($I73&lt;=$F73,"LOW",IF($I73&lt;=$F73*Settings!$C$7,"WATCH","OK"))))))</f>
        <v>LOW</v>
      </c>
      <c r="Q73" s="29" t="str">
        <f>IF($A73="","",IF($P73="NEGATIVE","Issued more than received - add the missing receipt",IF($P73="OUT OF STOCK","Reorder immediately",IF($P73="LOW","Raise purchase order",IF($P73="Set threshold","Enter Critical Low in Items",IF(AND($N73&lt;&gt;"",$N73&lt;=0),"Quarantine expired lot",IF(AND($N73&lt;&gt;"",$N73&lt;=Settings!$C$6),"Use or rotate stock now","")))))))</f>
        <v>Raise purchase order</v>
      </c>
    </row>
    <row r="74" spans="1:17" x14ac:dyDescent="0.35">
      <c r="A74" s="18" t="str">
        <f>IF(Items!$A74="","",Items!$A74)</f>
        <v>Disinfectant Wipes OS</v>
      </c>
      <c r="B74" s="18" t="str">
        <f>IF($A74="","",Items!$B74)</f>
        <v>Wipes</v>
      </c>
      <c r="C74" s="19" t="str">
        <f>IF($A74="","",Items!$G74)</f>
        <v>PPE</v>
      </c>
      <c r="D74" s="20">
        <f>IF($A74="","",N(Items!$D74))</f>
        <v>0</v>
      </c>
      <c r="E74" s="23">
        <f>IF($A74="","",Items!$E74)</f>
        <v>160</v>
      </c>
      <c r="F74" s="23">
        <f>IF($A74="","",Items!$F74)</f>
        <v>0</v>
      </c>
      <c r="G74" s="26">
        <f>IF($A74="","",SUMIFS(tblReceipts[Qty Received],tblReceipts[Item Name],$A74))</f>
        <v>5760</v>
      </c>
      <c r="H74" s="26">
        <f>IF($A74="","",SUMIFS(tblIssues[Qty Issued],tblIssues[Item Name],$A74))</f>
        <v>1121</v>
      </c>
      <c r="I74" s="27">
        <f t="shared" si="3"/>
        <v>4639</v>
      </c>
      <c r="J74" s="21">
        <f t="shared" si="4"/>
        <v>0</v>
      </c>
      <c r="K74" s="26">
        <f>IF($A74="","",COUNTIFS(tblReceipts[Item Name],$A74))</f>
        <v>2</v>
      </c>
      <c r="L74" s="26">
        <f>IF($A74="","",COUNTIFS(tblLotBalance[Item Name],$A74,tblLotBalance[Lot Balance],"&gt;0"))</f>
        <v>2</v>
      </c>
      <c r="M74" s="24">
        <f>IF($A74="","",IF($L74=0,"",IFERROR(_xlfn.MINIFS(tblLotBalance[Expiry Date],tblLotBalance[Item Name],$A74,tblLotBalance[Lot Balance],"&gt;0"),"")))</f>
        <v>46784</v>
      </c>
      <c r="N74" s="26">
        <f t="shared" ca="1" si="5"/>
        <v>546</v>
      </c>
      <c r="O74" s="18" t="str" cm="1">
        <f t="array" ref="O74">IF($M74="","",IFERROR(INDEX(tblLotBalance[Lot Number],MATCH(1,INDEX((tblLotBalance[Item Name]=$A74)*(tblLotBalance[Expiry Date]=$M74)*(tblLotBalance[Lot Balance]&gt;0),0),0)),""))</f>
        <v>22625VXO7</v>
      </c>
      <c r="P74" s="28" t="str">
        <f>IF($A74="","",IF($I74&lt;0,"NEGATIVE",IF(NOT(ISNUMBER($F74)),"Set threshold",IF($I74&lt;=0,"OUT OF STOCK",IF($I74&lt;=$F74,"LOW",IF($I74&lt;=$F74*Settings!$C$7,"WATCH","OK"))))))</f>
        <v>OK</v>
      </c>
      <c r="Q74" s="29" t="str">
        <f ca="1">IF($A74="","",IF($P74="NEGATIVE","Issued more than received - add the missing receipt",IF($P74="OUT OF STOCK","Reorder immediately",IF($P74="LOW","Raise purchase order",IF($P74="Set threshold","Enter Critical Low in Items",IF(AND($N74&lt;&gt;"",$N74&lt;=0),"Quarantine expired lot",IF(AND($N74&lt;&gt;"",$N74&lt;=Settings!$C$6),"Use or rotate stock now","")))))))</f>
        <v/>
      </c>
    </row>
    <row r="75" spans="1:17" x14ac:dyDescent="0.35">
      <c r="A75" s="18" t="str">
        <f>IF(Items!$A75="","",Items!$A75)</f>
        <v>Measuring Tape</v>
      </c>
      <c r="B75" s="18" t="str">
        <f>IF($A75="","",Items!$B75)</f>
        <v>Metric</v>
      </c>
      <c r="C75" s="19" t="str">
        <f>IF($A75="","",Items!$G75)</f>
        <v>PPE</v>
      </c>
      <c r="D75" s="20">
        <f>IF($A75="","",N(Items!$D75))</f>
        <v>2.5</v>
      </c>
      <c r="E75" s="23">
        <f>IF($A75="","",Items!$E75)</f>
        <v>1</v>
      </c>
      <c r="F75" s="23">
        <f>IF($A75="","",Items!$F75)</f>
        <v>0</v>
      </c>
      <c r="G75" s="26">
        <f>IF($A75="","",SUMIFS(tblReceipts[Qty Received],tblReceipts[Item Name],$A75))</f>
        <v>0</v>
      </c>
      <c r="H75" s="26">
        <f>IF($A75="","",SUMIFS(tblIssues[Qty Issued],tblIssues[Item Name],$A75))</f>
        <v>1</v>
      </c>
      <c r="I75" s="27">
        <f t="shared" si="3"/>
        <v>-1</v>
      </c>
      <c r="J75" s="21">
        <f t="shared" si="4"/>
        <v>-2.5</v>
      </c>
      <c r="K75" s="26">
        <f>IF($A75="","",COUNTIFS(tblReceipts[Item Name],$A75))</f>
        <v>0</v>
      </c>
      <c r="L75" s="26">
        <f>IF($A75="","",COUNTIFS(tblLotBalance[Item Name],$A75,tblLotBalance[Lot Balance],"&gt;0"))</f>
        <v>0</v>
      </c>
      <c r="M75" s="24" t="str">
        <f>IF($A75="","",IF($L75=0,"",IFERROR(_xlfn.MINIFS(tblLotBalance[Expiry Date],tblLotBalance[Item Name],$A75,tblLotBalance[Lot Balance],"&gt;0"),"")))</f>
        <v/>
      </c>
      <c r="N75" s="26" t="str">
        <f t="shared" ca="1" si="5"/>
        <v/>
      </c>
      <c r="O75" s="18" t="str" cm="1">
        <f t="array" ref="O75">IF($M75="","",IFERROR(INDEX(tblLotBalance[Lot Number],MATCH(1,INDEX((tblLotBalance[Item Name]=$A75)*(tblLotBalance[Expiry Date]=$M75)*(tblLotBalance[Lot Balance]&gt;0),0),0)),""))</f>
        <v/>
      </c>
      <c r="P75" s="28" t="str">
        <f>IF($A75="","",IF($I75&lt;0,"NEGATIVE",IF(NOT(ISNUMBER($F75)),"Set threshold",IF($I75&lt;=0,"OUT OF STOCK",IF($I75&lt;=$F75,"LOW",IF($I75&lt;=$F75*Settings!$C$7,"WATCH","OK"))))))</f>
        <v>NEGATIVE</v>
      </c>
      <c r="Q75" s="29" t="str">
        <f>IF($A75="","",IF($P75="NEGATIVE","Issued more than received - add the missing receipt",IF($P75="OUT OF STOCK","Reorder immediately",IF($P75="LOW","Raise purchase order",IF($P75="Set threshold","Enter Critical Low in Items",IF(AND($N75&lt;&gt;"",$N75&lt;=0),"Quarantine expired lot",IF(AND($N75&lt;&gt;"",$N75&lt;=Settings!$C$6),"Use or rotate stock now","")))))))</f>
        <v>Issued more than received - add the missing receipt</v>
      </c>
    </row>
    <row r="76" spans="1:17" x14ac:dyDescent="0.35">
      <c r="A76" s="18" t="str">
        <f>IF(Items!$A76="","",Items!$A76)</f>
        <v>Folders (Pocke)t used for Charts - Nursing - Dark Blue</v>
      </c>
      <c r="B76" s="18" t="str">
        <f>IF($A76="","",Items!$B76)</f>
        <v>Folder</v>
      </c>
      <c r="C76" s="19" t="str">
        <f>IF($A76="","",Items!$G76)</f>
        <v>Office Supplies</v>
      </c>
      <c r="D76" s="20">
        <f>IF($A76="","",N(Items!$D76))</f>
        <v>0.63</v>
      </c>
      <c r="E76" s="23">
        <f>IF($A76="","",Items!$E76)</f>
        <v>100</v>
      </c>
      <c r="F76" s="23">
        <f>IF($A76="","",Items!$F76)</f>
        <v>0</v>
      </c>
      <c r="G76" s="26">
        <f>IF($A76="","",SUMIFS(tblReceipts[Qty Received],tblReceipts[Item Name],$A76))</f>
        <v>0</v>
      </c>
      <c r="H76" s="26">
        <f>IF($A76="","",SUMIFS(tblIssues[Qty Issued],tblIssues[Item Name],$A76))</f>
        <v>0</v>
      </c>
      <c r="I76" s="27">
        <f t="shared" si="3"/>
        <v>0</v>
      </c>
      <c r="J76" s="21">
        <f t="shared" si="4"/>
        <v>0</v>
      </c>
      <c r="K76" s="26">
        <f>IF($A76="","",COUNTIFS(tblReceipts[Item Name],$A76))</f>
        <v>0</v>
      </c>
      <c r="L76" s="26">
        <f>IF($A76="","",COUNTIFS(tblLotBalance[Item Name],$A76,tblLotBalance[Lot Balance],"&gt;0"))</f>
        <v>0</v>
      </c>
      <c r="M76" s="24" t="str">
        <f>IF($A76="","",IF($L76=0,"",IFERROR(_xlfn.MINIFS(tblLotBalance[Expiry Date],tblLotBalance[Item Name],$A76,tblLotBalance[Lot Balance],"&gt;0"),"")))</f>
        <v/>
      </c>
      <c r="N76" s="26" t="str">
        <f t="shared" ca="1" si="5"/>
        <v/>
      </c>
      <c r="O76" s="18" t="str" cm="1">
        <f t="array" ref="O76">IF($M76="","",IFERROR(INDEX(tblLotBalance[Lot Number],MATCH(1,INDEX((tblLotBalance[Item Name]=$A76)*(tblLotBalance[Expiry Date]=$M76)*(tblLotBalance[Lot Balance]&gt;0),0),0)),""))</f>
        <v/>
      </c>
      <c r="P76" s="28" t="str">
        <f>IF($A76="","",IF($I76&lt;0,"NEGATIVE",IF(NOT(ISNUMBER($F76)),"Set threshold",IF($I76&lt;=0,"OUT OF STOCK",IF($I76&lt;=$F76,"LOW",IF($I76&lt;=$F76*Settings!$C$7,"WATCH","OK"))))))</f>
        <v>OUT OF STOCK</v>
      </c>
      <c r="Q76" s="29" t="str">
        <f>IF($A76="","",IF($P76="NEGATIVE","Issued more than received - add the missing receipt",IF($P76="OUT OF STOCK","Reorder immediately",IF($P76="LOW","Raise purchase order",IF($P76="Set threshold","Enter Critical Low in Items",IF(AND($N76&lt;&gt;"",$N76&lt;=0),"Quarantine expired lot",IF(AND($N76&lt;&gt;"",$N76&lt;=Settings!$C$6),"Use or rotate stock now","")))))))</f>
        <v>Reorder immediately</v>
      </c>
    </row>
    <row r="77" spans="1:17" x14ac:dyDescent="0.35">
      <c r="A77" s="18" t="str">
        <f>IF(Items!$A77="","",Items!$A77)</f>
        <v>Standard Twin-Pocket Folders, Light Blue</v>
      </c>
      <c r="B77" s="18" t="str">
        <f>IF($A77="","",Items!$B77)</f>
        <v>Folder</v>
      </c>
      <c r="C77" s="19" t="str">
        <f>IF($A77="","",Items!$G77)</f>
        <v>Office Supplies</v>
      </c>
      <c r="D77" s="20">
        <f>IF($A77="","",N(Items!$D77))</f>
        <v>0.63</v>
      </c>
      <c r="E77" s="23">
        <f>IF($A77="","",Items!$E77)</f>
        <v>100</v>
      </c>
      <c r="F77" s="23">
        <f>IF($A77="","",Items!$F77)</f>
        <v>0</v>
      </c>
      <c r="G77" s="26">
        <f>IF($A77="","",SUMIFS(tblReceipts[Qty Received],tblReceipts[Item Name],$A77))</f>
        <v>0</v>
      </c>
      <c r="H77" s="26">
        <f>IF($A77="","",SUMIFS(tblIssues[Qty Issued],tblIssues[Item Name],$A77))</f>
        <v>0</v>
      </c>
      <c r="I77" s="27">
        <f t="shared" si="3"/>
        <v>0</v>
      </c>
      <c r="J77" s="21">
        <f t="shared" si="4"/>
        <v>0</v>
      </c>
      <c r="K77" s="26">
        <f>IF($A77="","",COUNTIFS(tblReceipts[Item Name],$A77))</f>
        <v>0</v>
      </c>
      <c r="L77" s="26">
        <f>IF($A77="","",COUNTIFS(tblLotBalance[Item Name],$A77,tblLotBalance[Lot Balance],"&gt;0"))</f>
        <v>0</v>
      </c>
      <c r="M77" s="24" t="str">
        <f>IF($A77="","",IF($L77=0,"",IFERROR(_xlfn.MINIFS(tblLotBalance[Expiry Date],tblLotBalance[Item Name],$A77,tblLotBalance[Lot Balance],"&gt;0"),"")))</f>
        <v/>
      </c>
      <c r="N77" s="26" t="str">
        <f t="shared" ca="1" si="5"/>
        <v/>
      </c>
      <c r="O77" s="18" t="str" cm="1">
        <f t="array" ref="O77">IF($M77="","",IFERROR(INDEX(tblLotBalance[Lot Number],MATCH(1,INDEX((tblLotBalance[Item Name]=$A77)*(tblLotBalance[Expiry Date]=$M77)*(tblLotBalance[Lot Balance]&gt;0),0),0)),""))</f>
        <v/>
      </c>
      <c r="P77" s="28" t="str">
        <f>IF($A77="","",IF($I77&lt;0,"NEGATIVE",IF(NOT(ISNUMBER($F77)),"Set threshold",IF($I77&lt;=0,"OUT OF STOCK",IF($I77&lt;=$F77,"LOW",IF($I77&lt;=$F77*Settings!$C$7,"WATCH","OK"))))))</f>
        <v>OUT OF STOCK</v>
      </c>
      <c r="Q77" s="29" t="str">
        <f>IF($A77="","",IF($P77="NEGATIVE","Issued more than received - add the missing receipt",IF($P77="OUT OF STOCK","Reorder immediately",IF($P77="LOW","Raise purchase order",IF($P77="Set threshold","Enter Critical Low in Items",IF(AND($N77&lt;&gt;"",$N77&lt;=0),"Quarantine expired lot",IF(AND($N77&lt;&gt;"",$N77&lt;=Settings!$C$6),"Use or rotate stock now","")))))))</f>
        <v>Reorder immediately</v>
      </c>
    </row>
    <row r="78" spans="1:17" x14ac:dyDescent="0.35">
      <c r="A78" s="18" t="str">
        <f>IF(Items!$A78="","",Items!$A78)</f>
        <v>Standard Twin-Pocket Folders, Black folder</v>
      </c>
      <c r="B78" s="18" t="str">
        <f>IF($A78="","",Items!$B78)</f>
        <v>Folder</v>
      </c>
      <c r="C78" s="19" t="str">
        <f>IF($A78="","",Items!$G78)</f>
        <v>Office Supplies</v>
      </c>
      <c r="D78" s="20">
        <f>IF($A78="","",N(Items!$D78))</f>
        <v>0.78</v>
      </c>
      <c r="E78" s="23">
        <f>IF($A78="","",Items!$E78)</f>
        <v>100</v>
      </c>
      <c r="F78" s="23">
        <f>IF($A78="","",Items!$F78)</f>
        <v>0</v>
      </c>
      <c r="G78" s="26">
        <f>IF($A78="","",SUMIFS(tblReceipts[Qty Received],tblReceipts[Item Name],$A78))</f>
        <v>0</v>
      </c>
      <c r="H78" s="26">
        <f>IF($A78="","",SUMIFS(tblIssues[Qty Issued],tblIssues[Item Name],$A78))</f>
        <v>0</v>
      </c>
      <c r="I78" s="27">
        <f t="shared" si="3"/>
        <v>0</v>
      </c>
      <c r="J78" s="21">
        <f t="shared" si="4"/>
        <v>0</v>
      </c>
      <c r="K78" s="26">
        <f>IF($A78="","",COUNTIFS(tblReceipts[Item Name],$A78))</f>
        <v>0</v>
      </c>
      <c r="L78" s="26">
        <f>IF($A78="","",COUNTIFS(tblLotBalance[Item Name],$A78,tblLotBalance[Lot Balance],"&gt;0"))</f>
        <v>0</v>
      </c>
      <c r="M78" s="24" t="str">
        <f>IF($A78="","",IF($L78=0,"",IFERROR(_xlfn.MINIFS(tblLotBalance[Expiry Date],tblLotBalance[Item Name],$A78,tblLotBalance[Lot Balance],"&gt;0"),"")))</f>
        <v/>
      </c>
      <c r="N78" s="26" t="str">
        <f t="shared" ca="1" si="5"/>
        <v/>
      </c>
      <c r="O78" s="18" t="str" cm="1">
        <f t="array" ref="O78">IF($M78="","",IFERROR(INDEX(tblLotBalance[Lot Number],MATCH(1,INDEX((tblLotBalance[Item Name]=$A78)*(tblLotBalance[Expiry Date]=$M78)*(tblLotBalance[Lot Balance]&gt;0),0),0)),""))</f>
        <v/>
      </c>
      <c r="P78" s="28" t="str">
        <f>IF($A78="","",IF($I78&lt;0,"NEGATIVE",IF(NOT(ISNUMBER($F78)),"Set threshold",IF($I78&lt;=0,"OUT OF STOCK",IF($I78&lt;=$F78,"LOW",IF($I78&lt;=$F78*Settings!$C$7,"WATCH","OK"))))))</f>
        <v>OUT OF STOCK</v>
      </c>
      <c r="Q78" s="29" t="str">
        <f>IF($A78="","",IF($P78="NEGATIVE","Issued more than received - add the missing receipt",IF($P78="OUT OF STOCK","Reorder immediately",IF($P78="LOW","Raise purchase order",IF($P78="Set threshold","Enter Critical Low in Items",IF(AND($N78&lt;&gt;"",$N78&lt;=0),"Quarantine expired lot",IF(AND($N78&lt;&gt;"",$N78&lt;=Settings!$C$6),"Use or rotate stock now","")))))))</f>
        <v>Reorder immediately</v>
      </c>
    </row>
    <row r="79" spans="1:17" x14ac:dyDescent="0.35">
      <c r="A79" s="18" t="str">
        <f>IF(Items!$A79="","",Items!$A79)</f>
        <v>Labels - 4" X 1 1/2 Used for Charts - Top</v>
      </c>
      <c r="B79" s="18" t="str">
        <f>IF($A79="","",Items!$B79)</f>
        <v>Label</v>
      </c>
      <c r="C79" s="19" t="str">
        <f>IF($A79="","",Items!$G79)</f>
        <v>Office Supplies</v>
      </c>
      <c r="D79" s="20">
        <f>IF($A79="","",N(Items!$D79))</f>
        <v>4.4999999999999998E-2</v>
      </c>
      <c r="E79" s="23">
        <f>IF($A79="","",Items!$E79)</f>
        <v>350</v>
      </c>
      <c r="F79" s="23">
        <f>IF($A79="","",Items!$F79)</f>
        <v>0</v>
      </c>
      <c r="G79" s="26">
        <f>IF($A79="","",SUMIFS(tblReceipts[Qty Received],tblReceipts[Item Name],$A79))</f>
        <v>0</v>
      </c>
      <c r="H79" s="26">
        <f>IF($A79="","",SUMIFS(tblIssues[Qty Issued],tblIssues[Item Name],$A79))</f>
        <v>0</v>
      </c>
      <c r="I79" s="27">
        <f t="shared" si="3"/>
        <v>0</v>
      </c>
      <c r="J79" s="21">
        <f t="shared" si="4"/>
        <v>0</v>
      </c>
      <c r="K79" s="26">
        <f>IF($A79="","",COUNTIFS(tblReceipts[Item Name],$A79))</f>
        <v>0</v>
      </c>
      <c r="L79" s="26">
        <f>IF($A79="","",COUNTIFS(tblLotBalance[Item Name],$A79,tblLotBalance[Lot Balance],"&gt;0"))</f>
        <v>0</v>
      </c>
      <c r="M79" s="24" t="str">
        <f>IF($A79="","",IF($L79=0,"",IFERROR(_xlfn.MINIFS(tblLotBalance[Expiry Date],tblLotBalance[Item Name],$A79,tblLotBalance[Lot Balance],"&gt;0"),"")))</f>
        <v/>
      </c>
      <c r="N79" s="26" t="str">
        <f t="shared" ca="1" si="5"/>
        <v/>
      </c>
      <c r="O79" s="18" t="str" cm="1">
        <f t="array" ref="O79">IF($M79="","",IFERROR(INDEX(tblLotBalance[Lot Number],MATCH(1,INDEX((tblLotBalance[Item Name]=$A79)*(tblLotBalance[Expiry Date]=$M79)*(tblLotBalance[Lot Balance]&gt;0),0),0)),""))</f>
        <v/>
      </c>
      <c r="P79" s="28" t="str">
        <f>IF($A79="","",IF($I79&lt;0,"NEGATIVE",IF(NOT(ISNUMBER($F79)),"Set threshold",IF($I79&lt;=0,"OUT OF STOCK",IF($I79&lt;=$F79,"LOW",IF($I79&lt;=$F79*Settings!$C$7,"WATCH","OK"))))))</f>
        <v>OUT OF STOCK</v>
      </c>
      <c r="Q79" s="29" t="str">
        <f>IF($A79="","",IF($P79="NEGATIVE","Issued more than received - add the missing receipt",IF($P79="OUT OF STOCK","Reorder immediately",IF($P79="LOW","Raise purchase order",IF($P79="Set threshold","Enter Critical Low in Items",IF(AND($N79&lt;&gt;"",$N79&lt;=0),"Quarantine expired lot",IF(AND($N79&lt;&gt;"",$N79&lt;=Settings!$C$6),"Use or rotate stock now","")))))))</f>
        <v>Reorder immediately</v>
      </c>
    </row>
    <row r="80" spans="1:17" x14ac:dyDescent="0.35">
      <c r="A80" s="18" t="str">
        <f>IF(Items!$A80="","",Items!$A80)</f>
        <v>Labels - 4" X 3 1/3" Used for Charts - Bottom</v>
      </c>
      <c r="B80" s="18" t="str">
        <f>IF($A80="","",Items!$B80)</f>
        <v>Label</v>
      </c>
      <c r="C80" s="19" t="str">
        <f>IF($A80="","",Items!$G80)</f>
        <v>Office Supplies</v>
      </c>
      <c r="D80" s="20">
        <f>IF($A80="","",N(Items!$D80))</f>
        <v>7.4999999999999997E-2</v>
      </c>
      <c r="E80" s="23">
        <f>IF($A80="","",Items!$E80)</f>
        <v>600</v>
      </c>
      <c r="F80" s="23">
        <f>IF($A80="","",Items!$F80)</f>
        <v>0</v>
      </c>
      <c r="G80" s="26">
        <f>IF($A80="","",SUMIFS(tblReceipts[Qty Received],tblReceipts[Item Name],$A80))</f>
        <v>0</v>
      </c>
      <c r="H80" s="26">
        <f>IF($A80="","",SUMIFS(tblIssues[Qty Issued],tblIssues[Item Name],$A80))</f>
        <v>0</v>
      </c>
      <c r="I80" s="27">
        <f t="shared" si="3"/>
        <v>0</v>
      </c>
      <c r="J80" s="21">
        <f t="shared" si="4"/>
        <v>0</v>
      </c>
      <c r="K80" s="26">
        <f>IF($A80="","",COUNTIFS(tblReceipts[Item Name],$A80))</f>
        <v>0</v>
      </c>
      <c r="L80" s="26">
        <f>IF($A80="","",COUNTIFS(tblLotBalance[Item Name],$A80,tblLotBalance[Lot Balance],"&gt;0"))</f>
        <v>0</v>
      </c>
      <c r="M80" s="24" t="str">
        <f>IF($A80="","",IF($L80=0,"",IFERROR(_xlfn.MINIFS(tblLotBalance[Expiry Date],tblLotBalance[Item Name],$A80,tblLotBalance[Lot Balance],"&gt;0"),"")))</f>
        <v/>
      </c>
      <c r="N80" s="26" t="str">
        <f t="shared" ca="1" si="5"/>
        <v/>
      </c>
      <c r="O80" s="18" t="str" cm="1">
        <f t="array" ref="O80">IF($M80="","",IFERROR(INDEX(tblLotBalance[Lot Number],MATCH(1,INDEX((tblLotBalance[Item Name]=$A80)*(tblLotBalance[Expiry Date]=$M80)*(tblLotBalance[Lot Balance]&gt;0),0),0)),""))</f>
        <v/>
      </c>
      <c r="P80" s="28" t="str">
        <f>IF($A80="","",IF($I80&lt;0,"NEGATIVE",IF(NOT(ISNUMBER($F80)),"Set threshold",IF($I80&lt;=0,"OUT OF STOCK",IF($I80&lt;=$F80,"LOW",IF($I80&lt;=$F80*Settings!$C$7,"WATCH","OK"))))))</f>
        <v>OUT OF STOCK</v>
      </c>
      <c r="Q80" s="29" t="str">
        <f>IF($A80="","",IF($P80="NEGATIVE","Issued more than received - add the missing receipt",IF($P80="OUT OF STOCK","Reorder immediately",IF($P80="LOW","Raise purchase order",IF($P80="Set threshold","Enter Critical Low in Items",IF(AND($N80&lt;&gt;"",$N80&lt;=0),"Quarantine expired lot",IF(AND($N80&lt;&gt;"",$N80&lt;=Settings!$C$6),"Use or rotate stock now","")))))))</f>
        <v>Reorder immediately</v>
      </c>
    </row>
    <row r="81" spans="1:17" x14ac:dyDescent="0.35">
      <c r="A81" s="18" t="str">
        <f>IF(Items!$A81="","",Items!$A81)</f>
        <v>A4 Paper Ream</v>
      </c>
      <c r="B81" s="18" t="str">
        <f>IF($A81="","",Items!$B81)</f>
        <v>Stationery</v>
      </c>
      <c r="C81" s="19" t="str">
        <f>IF($A81="","",Items!$G81)</f>
        <v>Office Supplies</v>
      </c>
      <c r="D81" s="20">
        <f>IF($A81="","",N(Items!$D81))</f>
        <v>7.3579999999999997</v>
      </c>
      <c r="E81" s="23">
        <f>IF($A81="","",Items!$E81)</f>
        <v>0</v>
      </c>
      <c r="F81" s="23">
        <f>IF($A81="","",Items!$F81)</f>
        <v>0</v>
      </c>
      <c r="G81" s="26">
        <f>IF($A81="","",SUMIFS(tblReceipts[Qty Received],tblReceipts[Item Name],$A81))</f>
        <v>0</v>
      </c>
      <c r="H81" s="26">
        <f>IF($A81="","",SUMIFS(tblIssues[Qty Issued],tblIssues[Item Name],$A81))</f>
        <v>0</v>
      </c>
      <c r="I81" s="27">
        <f t="shared" si="3"/>
        <v>0</v>
      </c>
      <c r="J81" s="21">
        <f t="shared" si="4"/>
        <v>0</v>
      </c>
      <c r="K81" s="26">
        <f>IF($A81="","",COUNTIFS(tblReceipts[Item Name],$A81))</f>
        <v>0</v>
      </c>
      <c r="L81" s="26">
        <f>IF($A81="","",COUNTIFS(tblLotBalance[Item Name],$A81,tblLotBalance[Lot Balance],"&gt;0"))</f>
        <v>0</v>
      </c>
      <c r="M81" s="24" t="str">
        <f>IF($A81="","",IF($L81=0,"",IFERROR(_xlfn.MINIFS(tblLotBalance[Expiry Date],tblLotBalance[Item Name],$A81,tblLotBalance[Lot Balance],"&gt;0"),"")))</f>
        <v/>
      </c>
      <c r="N81" s="26" t="str">
        <f t="shared" ca="1" si="5"/>
        <v/>
      </c>
      <c r="O81" s="18" t="str" cm="1">
        <f t="array" ref="O81">IF($M81="","",IFERROR(INDEX(tblLotBalance[Lot Number],MATCH(1,INDEX((tblLotBalance[Item Name]=$A81)*(tblLotBalance[Expiry Date]=$M81)*(tblLotBalance[Lot Balance]&gt;0),0),0)),""))</f>
        <v/>
      </c>
      <c r="P81" s="28" t="str">
        <f>IF($A81="","",IF($I81&lt;0,"NEGATIVE",IF(NOT(ISNUMBER($F81)),"Set threshold",IF($I81&lt;=0,"OUT OF STOCK",IF($I81&lt;=$F81,"LOW",IF($I81&lt;=$F81*Settings!$C$7,"WATCH","OK"))))))</f>
        <v>OUT OF STOCK</v>
      </c>
      <c r="Q81" s="29" t="str">
        <f>IF($A81="","",IF($P81="NEGATIVE","Issued more than received - add the missing receipt",IF($P81="OUT OF STOCK","Reorder immediately",IF($P81="LOW","Raise purchase order",IF($P81="Set threshold","Enter Critical Low in Items",IF(AND($N81&lt;&gt;"",$N81&lt;=0),"Quarantine expired lot",IF(AND($N81&lt;&gt;"",$N81&lt;=Settings!$C$6),"Use or rotate stock now","")))))))</f>
        <v>Reorder immediately</v>
      </c>
    </row>
    <row r="82" spans="1:17" x14ac:dyDescent="0.35">
      <c r="A82" s="18" t="str">
        <f>IF(Items!$A82="","",Items!$A82)</f>
        <v>Envelopes (Window)</v>
      </c>
      <c r="B82" s="18" t="str">
        <f>IF($A82="","",Items!$B82)</f>
        <v>Stationery</v>
      </c>
      <c r="C82" s="19" t="str">
        <f>IF($A82="","",Items!$G82)</f>
        <v>Office Supplies</v>
      </c>
      <c r="D82" s="20">
        <f>IF($A82="","",N(Items!$D82))</f>
        <v>44.7</v>
      </c>
      <c r="E82" s="23">
        <f>IF($A82="","",Items!$E82)</f>
        <v>0</v>
      </c>
      <c r="F82" s="23">
        <f>IF($A82="","",Items!$F82)</f>
        <v>0</v>
      </c>
      <c r="G82" s="26">
        <f>IF($A82="","",SUMIFS(tblReceipts[Qty Received],tblReceipts[Item Name],$A82))</f>
        <v>0</v>
      </c>
      <c r="H82" s="26">
        <f>IF($A82="","",SUMIFS(tblIssues[Qty Issued],tblIssues[Item Name],$A82))</f>
        <v>0</v>
      </c>
      <c r="I82" s="27">
        <f t="shared" si="3"/>
        <v>0</v>
      </c>
      <c r="J82" s="21">
        <f t="shared" si="4"/>
        <v>0</v>
      </c>
      <c r="K82" s="26">
        <f>IF($A82="","",COUNTIFS(tblReceipts[Item Name],$A82))</f>
        <v>0</v>
      </c>
      <c r="L82" s="26">
        <f>IF($A82="","",COUNTIFS(tblLotBalance[Item Name],$A82,tblLotBalance[Lot Balance],"&gt;0"))</f>
        <v>0</v>
      </c>
      <c r="M82" s="24" t="str">
        <f>IF($A82="","",IF($L82=0,"",IFERROR(_xlfn.MINIFS(tblLotBalance[Expiry Date],tblLotBalance[Item Name],$A82,tblLotBalance[Lot Balance],"&gt;0"),"")))</f>
        <v/>
      </c>
      <c r="N82" s="26" t="str">
        <f t="shared" ca="1" si="5"/>
        <v/>
      </c>
      <c r="O82" s="18" t="str" cm="1">
        <f t="array" ref="O82">IF($M82="","",IFERROR(INDEX(tblLotBalance[Lot Number],MATCH(1,INDEX((tblLotBalance[Item Name]=$A82)*(tblLotBalance[Expiry Date]=$M82)*(tblLotBalance[Lot Balance]&gt;0),0),0)),""))</f>
        <v/>
      </c>
      <c r="P82" s="28" t="str">
        <f>IF($A82="","",IF($I82&lt;0,"NEGATIVE",IF(NOT(ISNUMBER($F82)),"Set threshold",IF($I82&lt;=0,"OUT OF STOCK",IF($I82&lt;=$F82,"LOW",IF($I82&lt;=$F82*Settings!$C$7,"WATCH","OK"))))))</f>
        <v>OUT OF STOCK</v>
      </c>
      <c r="Q82" s="29" t="str">
        <f>IF($A82="","",IF($P82="NEGATIVE","Issued more than received - add the missing receipt",IF($P82="OUT OF STOCK","Reorder immediately",IF($P82="LOW","Raise purchase order",IF($P82="Set threshold","Enter Critical Low in Items",IF(AND($N82&lt;&gt;"",$N82&lt;=0),"Quarantine expired lot",IF(AND($N82&lt;&gt;"",$N82&lt;=Settings!$C$6),"Use or rotate stock now","")))))))</f>
        <v>Reorder immediately</v>
      </c>
    </row>
    <row r="83" spans="1:17" x14ac:dyDescent="0.35">
      <c r="A83" s="18" t="str">
        <f>IF(Items!$A83="","",Items!$A83)</f>
        <v>Sticky Notes</v>
      </c>
      <c r="B83" s="18" t="str">
        <f>IF($A83="","",Items!$B83)</f>
        <v>Stationery</v>
      </c>
      <c r="C83" s="19" t="str">
        <f>IF($A83="","",Items!$G83)</f>
        <v>Office Supplies</v>
      </c>
      <c r="D83" s="20">
        <f>IF($A83="","",N(Items!$D83))</f>
        <v>9.5</v>
      </c>
      <c r="E83" s="23">
        <f>IF($A83="","",Items!$E83)</f>
        <v>0</v>
      </c>
      <c r="F83" s="23">
        <f>IF($A83="","",Items!$F83)</f>
        <v>0</v>
      </c>
      <c r="G83" s="26">
        <f>IF($A83="","",SUMIFS(tblReceipts[Qty Received],tblReceipts[Item Name],$A83))</f>
        <v>0</v>
      </c>
      <c r="H83" s="26">
        <f>IF($A83="","",SUMIFS(tblIssues[Qty Issued],tblIssues[Item Name],$A83))</f>
        <v>0</v>
      </c>
      <c r="I83" s="27">
        <f t="shared" si="3"/>
        <v>0</v>
      </c>
      <c r="J83" s="21">
        <f t="shared" si="4"/>
        <v>0</v>
      </c>
      <c r="K83" s="26">
        <f>IF($A83="","",COUNTIFS(tblReceipts[Item Name],$A83))</f>
        <v>0</v>
      </c>
      <c r="L83" s="26">
        <f>IF($A83="","",COUNTIFS(tblLotBalance[Item Name],$A83,tblLotBalance[Lot Balance],"&gt;0"))</f>
        <v>0</v>
      </c>
      <c r="M83" s="24" t="str">
        <f>IF($A83="","",IF($L83=0,"",IFERROR(_xlfn.MINIFS(tblLotBalance[Expiry Date],tblLotBalance[Item Name],$A83,tblLotBalance[Lot Balance],"&gt;0"),"")))</f>
        <v/>
      </c>
      <c r="N83" s="26" t="str">
        <f t="shared" ca="1" si="5"/>
        <v/>
      </c>
      <c r="O83" s="18" t="str" cm="1">
        <f t="array" ref="O83">IF($M83="","",IFERROR(INDEX(tblLotBalance[Lot Number],MATCH(1,INDEX((tblLotBalance[Item Name]=$A83)*(tblLotBalance[Expiry Date]=$M83)*(tblLotBalance[Lot Balance]&gt;0),0),0)),""))</f>
        <v/>
      </c>
      <c r="P83" s="28" t="str">
        <f>IF($A83="","",IF($I83&lt;0,"NEGATIVE",IF(NOT(ISNUMBER($F83)),"Set threshold",IF($I83&lt;=0,"OUT OF STOCK",IF($I83&lt;=$F83,"LOW",IF($I83&lt;=$F83*Settings!$C$7,"WATCH","OK"))))))</f>
        <v>OUT OF STOCK</v>
      </c>
      <c r="Q83" s="29" t="str">
        <f>IF($A83="","",IF($P83="NEGATIVE","Issued more than received - add the missing receipt",IF($P83="OUT OF STOCK","Reorder immediately",IF($P83="LOW","Raise purchase order",IF($P83="Set threshold","Enter Critical Low in Items",IF(AND($N83&lt;&gt;"",$N83&lt;=0),"Quarantine expired lot",IF(AND($N83&lt;&gt;"",$N83&lt;=Settings!$C$6),"Use or rotate stock now","")))))))</f>
        <v>Reorder immediately</v>
      </c>
    </row>
    <row r="84" spans="1:17" x14ac:dyDescent="0.35">
      <c r="A84" s="18" t="str">
        <f>IF(Items!$A84="","",Items!$A84)</f>
        <v>Ballpoint Pens</v>
      </c>
      <c r="B84" s="18" t="str">
        <f>IF($A84="","",Items!$B84)</f>
        <v>Stationery</v>
      </c>
      <c r="C84" s="19" t="str">
        <f>IF($A84="","",Items!$G84)</f>
        <v>Office Supplies</v>
      </c>
      <c r="D84" s="20">
        <f>IF($A84="","",N(Items!$D84))</f>
        <v>9.98</v>
      </c>
      <c r="E84" s="23">
        <f>IF($A84="","",Items!$E84)</f>
        <v>0</v>
      </c>
      <c r="F84" s="23">
        <f>IF($A84="","",Items!$F84)</f>
        <v>0</v>
      </c>
      <c r="G84" s="26">
        <f>IF($A84="","",SUMIFS(tblReceipts[Qty Received],tblReceipts[Item Name],$A84))</f>
        <v>0</v>
      </c>
      <c r="H84" s="26">
        <f>IF($A84="","",SUMIFS(tblIssues[Qty Issued],tblIssues[Item Name],$A84))</f>
        <v>0</v>
      </c>
      <c r="I84" s="27">
        <f t="shared" si="3"/>
        <v>0</v>
      </c>
      <c r="J84" s="21">
        <f t="shared" si="4"/>
        <v>0</v>
      </c>
      <c r="K84" s="26">
        <f>IF($A84="","",COUNTIFS(tblReceipts[Item Name],$A84))</f>
        <v>0</v>
      </c>
      <c r="L84" s="26">
        <f>IF($A84="","",COUNTIFS(tblLotBalance[Item Name],$A84,tblLotBalance[Lot Balance],"&gt;0"))</f>
        <v>0</v>
      </c>
      <c r="M84" s="24" t="str">
        <f>IF($A84="","",IF($L84=0,"",IFERROR(_xlfn.MINIFS(tblLotBalance[Expiry Date],tblLotBalance[Item Name],$A84,tblLotBalance[Lot Balance],"&gt;0"),"")))</f>
        <v/>
      </c>
      <c r="N84" s="26" t="str">
        <f t="shared" ca="1" si="5"/>
        <v/>
      </c>
      <c r="O84" s="18" t="str" cm="1">
        <f t="array" ref="O84">IF($M84="","",IFERROR(INDEX(tblLotBalance[Lot Number],MATCH(1,INDEX((tblLotBalance[Item Name]=$A84)*(tblLotBalance[Expiry Date]=$M84)*(tblLotBalance[Lot Balance]&gt;0),0),0)),""))</f>
        <v/>
      </c>
      <c r="P84" s="28" t="str">
        <f>IF($A84="","",IF($I84&lt;0,"NEGATIVE",IF(NOT(ISNUMBER($F84)),"Set threshold",IF($I84&lt;=0,"OUT OF STOCK",IF($I84&lt;=$F84,"LOW",IF($I84&lt;=$F84*Settings!$C$7,"WATCH","OK"))))))</f>
        <v>OUT OF STOCK</v>
      </c>
      <c r="Q84" s="29" t="str">
        <f>IF($A84="","",IF($P84="NEGATIVE","Issued more than received - add the missing receipt",IF($P84="OUT OF STOCK","Reorder immediately",IF($P84="LOW","Raise purchase order",IF($P84="Set threshold","Enter Critical Low in Items",IF(AND($N84&lt;&gt;"",$N84&lt;=0),"Quarantine expired lot",IF(AND($N84&lt;&gt;"",$N84&lt;=Settings!$C$6),"Use or rotate stock now","")))))))</f>
        <v>Reorder immediately</v>
      </c>
    </row>
    <row r="85" spans="1:17" x14ac:dyDescent="0.35">
      <c r="A85" s="18" t="str">
        <f>IF(Items!$A85="","",Items!$A85)</f>
        <v>Marker Co Permanent Markers - Black</v>
      </c>
      <c r="B85" s="18" t="str">
        <f>IF($A85="","",Items!$B85)</f>
        <v>Stationery</v>
      </c>
      <c r="C85" s="19" t="str">
        <f>IF($A85="","",Items!$G85)</f>
        <v>Office Supplies</v>
      </c>
      <c r="D85" s="20">
        <f>IF($A85="","",N(Items!$D85))</f>
        <v>32.99</v>
      </c>
      <c r="E85" s="23">
        <f>IF($A85="","",Items!$E85)</f>
        <v>0</v>
      </c>
      <c r="F85" s="23">
        <f>IF($A85="","",Items!$F85)</f>
        <v>0</v>
      </c>
      <c r="G85" s="26">
        <f>IF($A85="","",SUMIFS(tblReceipts[Qty Received],tblReceipts[Item Name],$A85))</f>
        <v>0</v>
      </c>
      <c r="H85" s="26">
        <f>IF($A85="","",SUMIFS(tblIssues[Qty Issued],tblIssues[Item Name],$A85))</f>
        <v>0</v>
      </c>
      <c r="I85" s="27">
        <f t="shared" si="3"/>
        <v>0</v>
      </c>
      <c r="J85" s="21">
        <f t="shared" si="4"/>
        <v>0</v>
      </c>
      <c r="K85" s="26">
        <f>IF($A85="","",COUNTIFS(tblReceipts[Item Name],$A85))</f>
        <v>0</v>
      </c>
      <c r="L85" s="26">
        <f>IF($A85="","",COUNTIFS(tblLotBalance[Item Name],$A85,tblLotBalance[Lot Balance],"&gt;0"))</f>
        <v>0</v>
      </c>
      <c r="M85" s="24" t="str">
        <f>IF($A85="","",IF($L85=0,"",IFERROR(_xlfn.MINIFS(tblLotBalance[Expiry Date],tblLotBalance[Item Name],$A85,tblLotBalance[Lot Balance],"&gt;0"),"")))</f>
        <v/>
      </c>
      <c r="N85" s="26" t="str">
        <f t="shared" ca="1" si="5"/>
        <v/>
      </c>
      <c r="O85" s="18" t="str" cm="1">
        <f t="array" ref="O85">IF($M85="","",IFERROR(INDEX(tblLotBalance[Lot Number],MATCH(1,INDEX((tblLotBalance[Item Name]=$A85)*(tblLotBalance[Expiry Date]=$M85)*(tblLotBalance[Lot Balance]&gt;0),0),0)),""))</f>
        <v/>
      </c>
      <c r="P85" s="28" t="str">
        <f>IF($A85="","",IF($I85&lt;0,"NEGATIVE",IF(NOT(ISNUMBER($F85)),"Set threshold",IF($I85&lt;=0,"OUT OF STOCK",IF($I85&lt;=$F85,"LOW",IF($I85&lt;=$F85*Settings!$C$7,"WATCH","OK"))))))</f>
        <v>OUT OF STOCK</v>
      </c>
      <c r="Q85" s="29" t="str">
        <f>IF($A85="","",IF($P85="NEGATIVE","Issued more than received - add the missing receipt",IF($P85="OUT OF STOCK","Reorder immediately",IF($P85="LOW","Raise purchase order",IF($P85="Set threshold","Enter Critical Low in Items",IF(AND($N85&lt;&gt;"",$N85&lt;=0),"Quarantine expired lot",IF(AND($N85&lt;&gt;"",$N85&lt;=Settings!$C$6),"Use or rotate stock now","")))))))</f>
        <v>Reorder immediately</v>
      </c>
    </row>
    <row r="86" spans="1:17" x14ac:dyDescent="0.35">
      <c r="A86" s="18" t="str">
        <f>IF(Items!$A86="","",Items!$A86)</f>
        <v>Dry Erase Markers - Black</v>
      </c>
      <c r="B86" s="18" t="str">
        <f>IF($A86="","",Items!$B86)</f>
        <v>Stationery</v>
      </c>
      <c r="C86" s="19" t="str">
        <f>IF($A86="","",Items!$G86)</f>
        <v>Office Supplies</v>
      </c>
      <c r="D86" s="20">
        <f>IF($A86="","",N(Items!$D86))</f>
        <v>21.99</v>
      </c>
      <c r="E86" s="23">
        <f>IF($A86="","",Items!$E86)</f>
        <v>0</v>
      </c>
      <c r="F86" s="23">
        <f>IF($A86="","",Items!$F86)</f>
        <v>0</v>
      </c>
      <c r="G86" s="26">
        <f>IF($A86="","",SUMIFS(tblReceipts[Qty Received],tblReceipts[Item Name],$A86))</f>
        <v>0</v>
      </c>
      <c r="H86" s="26">
        <f>IF($A86="","",SUMIFS(tblIssues[Qty Issued],tblIssues[Item Name],$A86))</f>
        <v>0</v>
      </c>
      <c r="I86" s="27">
        <f t="shared" si="3"/>
        <v>0</v>
      </c>
      <c r="J86" s="21">
        <f t="shared" si="4"/>
        <v>0</v>
      </c>
      <c r="K86" s="26">
        <f>IF($A86="","",COUNTIFS(tblReceipts[Item Name],$A86))</f>
        <v>0</v>
      </c>
      <c r="L86" s="26">
        <f>IF($A86="","",COUNTIFS(tblLotBalance[Item Name],$A86,tblLotBalance[Lot Balance],"&gt;0"))</f>
        <v>0</v>
      </c>
      <c r="M86" s="24" t="str">
        <f>IF($A86="","",IF($L86=0,"",IFERROR(_xlfn.MINIFS(tblLotBalance[Expiry Date],tblLotBalance[Item Name],$A86,tblLotBalance[Lot Balance],"&gt;0"),"")))</f>
        <v/>
      </c>
      <c r="N86" s="26" t="str">
        <f t="shared" ca="1" si="5"/>
        <v/>
      </c>
      <c r="O86" s="18" t="str" cm="1">
        <f t="array" ref="O86">IF($M86="","",IFERROR(INDEX(tblLotBalance[Lot Number],MATCH(1,INDEX((tblLotBalance[Item Name]=$A86)*(tblLotBalance[Expiry Date]=$M86)*(tblLotBalance[Lot Balance]&gt;0),0),0)),""))</f>
        <v/>
      </c>
      <c r="P86" s="28" t="str">
        <f>IF($A86="","",IF($I86&lt;0,"NEGATIVE",IF(NOT(ISNUMBER($F86)),"Set threshold",IF($I86&lt;=0,"OUT OF STOCK",IF($I86&lt;=$F86,"LOW",IF($I86&lt;=$F86*Settings!$C$7,"WATCH","OK"))))))</f>
        <v>OUT OF STOCK</v>
      </c>
      <c r="Q86" s="29" t="str">
        <f>IF($A86="","",IF($P86="NEGATIVE","Issued more than received - add the missing receipt",IF($P86="OUT OF STOCK","Reorder immediately",IF($P86="LOW","Raise purchase order",IF($P86="Set threshold","Enter Critical Low in Items",IF(AND($N86&lt;&gt;"",$N86&lt;=0),"Quarantine expired lot",IF(AND($N86&lt;&gt;"",$N86&lt;=Settings!$C$6),"Use or rotate stock now","")))))))</f>
        <v>Reorder immediately</v>
      </c>
    </row>
    <row r="87" spans="1:17" x14ac:dyDescent="0.35">
      <c r="A87" s="18" t="str">
        <f>IF(Items!$A87="","",Items!$A87)</f>
        <v>Dry Erase Markers - Assorted Color</v>
      </c>
      <c r="B87" s="18" t="str">
        <f>IF($A87="","",Items!$B87)</f>
        <v>Stationery</v>
      </c>
      <c r="C87" s="19" t="str">
        <f>IF($A87="","",Items!$G87)</f>
        <v>Office Supplies</v>
      </c>
      <c r="D87" s="20">
        <f>IF($A87="","",N(Items!$D87))</f>
        <v>7.49</v>
      </c>
      <c r="E87" s="23">
        <f>IF($A87="","",Items!$E87)</f>
        <v>0</v>
      </c>
      <c r="F87" s="23">
        <f>IF($A87="","",Items!$F87)</f>
        <v>0</v>
      </c>
      <c r="G87" s="26">
        <f>IF($A87="","",SUMIFS(tblReceipts[Qty Received],tblReceipts[Item Name],$A87))</f>
        <v>0</v>
      </c>
      <c r="H87" s="26">
        <f>IF($A87="","",SUMIFS(tblIssues[Qty Issued],tblIssues[Item Name],$A87))</f>
        <v>0</v>
      </c>
      <c r="I87" s="27">
        <f t="shared" si="3"/>
        <v>0</v>
      </c>
      <c r="J87" s="21">
        <f t="shared" si="4"/>
        <v>0</v>
      </c>
      <c r="K87" s="26">
        <f>IF($A87="","",COUNTIFS(tblReceipts[Item Name],$A87))</f>
        <v>0</v>
      </c>
      <c r="L87" s="26">
        <f>IF($A87="","",COUNTIFS(tblLotBalance[Item Name],$A87,tblLotBalance[Lot Balance],"&gt;0"))</f>
        <v>0</v>
      </c>
      <c r="M87" s="24" t="str">
        <f>IF($A87="","",IF($L87=0,"",IFERROR(_xlfn.MINIFS(tblLotBalance[Expiry Date],tblLotBalance[Item Name],$A87,tblLotBalance[Lot Balance],"&gt;0"),"")))</f>
        <v/>
      </c>
      <c r="N87" s="26" t="str">
        <f t="shared" ca="1" si="5"/>
        <v/>
      </c>
      <c r="O87" s="18" t="str" cm="1">
        <f t="array" ref="O87">IF($M87="","",IFERROR(INDEX(tblLotBalance[Lot Number],MATCH(1,INDEX((tblLotBalance[Item Name]=$A87)*(tblLotBalance[Expiry Date]=$M87)*(tblLotBalance[Lot Balance]&gt;0),0),0)),""))</f>
        <v/>
      </c>
      <c r="P87" s="28" t="str">
        <f>IF($A87="","",IF($I87&lt;0,"NEGATIVE",IF(NOT(ISNUMBER($F87)),"Set threshold",IF($I87&lt;=0,"OUT OF STOCK",IF($I87&lt;=$F87,"LOW",IF($I87&lt;=$F87*Settings!$C$7,"WATCH","OK"))))))</f>
        <v>OUT OF STOCK</v>
      </c>
      <c r="Q87" s="29" t="str">
        <f>IF($A87="","",IF($P87="NEGATIVE","Issued more than received - add the missing receipt",IF($P87="OUT OF STOCK","Reorder immediately",IF($P87="LOW","Raise purchase order",IF($P87="Set threshold","Enter Critical Low in Items",IF(AND($N87&lt;&gt;"",$N87&lt;=0),"Quarantine expired lot",IF(AND($N87&lt;&gt;"",$N87&lt;=Settings!$C$6),"Use or rotate stock now","")))))))</f>
        <v>Reorder immediately</v>
      </c>
    </row>
    <row r="88" spans="1:17" x14ac:dyDescent="0.35">
      <c r="A88" s="18" t="str">
        <f>IF(Items!$A88="","",Items!$A88)</f>
        <v>Spiral Notebooks</v>
      </c>
      <c r="B88" s="18" t="str">
        <f>IF($A88="","",Items!$B88)</f>
        <v>Stationery</v>
      </c>
      <c r="C88" s="19" t="str">
        <f>IF($A88="","",Items!$G88)</f>
        <v>Office Supplies</v>
      </c>
      <c r="D88" s="20">
        <f>IF($A88="","",N(Items!$D88))</f>
        <v>2.5</v>
      </c>
      <c r="E88" s="23">
        <f>IF($A88="","",Items!$E88)</f>
        <v>0</v>
      </c>
      <c r="F88" s="23">
        <f>IF($A88="","",Items!$F88)</f>
        <v>0</v>
      </c>
      <c r="G88" s="26">
        <f>IF($A88="","",SUMIFS(tblReceipts[Qty Received],tblReceipts[Item Name],$A88))</f>
        <v>0</v>
      </c>
      <c r="H88" s="26">
        <f>IF($A88="","",SUMIFS(tblIssues[Qty Issued],tblIssues[Item Name],$A88))</f>
        <v>0</v>
      </c>
      <c r="I88" s="27">
        <f t="shared" si="3"/>
        <v>0</v>
      </c>
      <c r="J88" s="21">
        <f t="shared" si="4"/>
        <v>0</v>
      </c>
      <c r="K88" s="26">
        <f>IF($A88="","",COUNTIFS(tblReceipts[Item Name],$A88))</f>
        <v>0</v>
      </c>
      <c r="L88" s="26">
        <f>IF($A88="","",COUNTIFS(tblLotBalance[Item Name],$A88,tblLotBalance[Lot Balance],"&gt;0"))</f>
        <v>0</v>
      </c>
      <c r="M88" s="24" t="str">
        <f>IF($A88="","",IF($L88=0,"",IFERROR(_xlfn.MINIFS(tblLotBalance[Expiry Date],tblLotBalance[Item Name],$A88,tblLotBalance[Lot Balance],"&gt;0"),"")))</f>
        <v/>
      </c>
      <c r="N88" s="26" t="str">
        <f t="shared" ca="1" si="5"/>
        <v/>
      </c>
      <c r="O88" s="18" t="str" cm="1">
        <f t="array" ref="O88">IF($M88="","",IFERROR(INDEX(tblLotBalance[Lot Number],MATCH(1,INDEX((tblLotBalance[Item Name]=$A88)*(tblLotBalance[Expiry Date]=$M88)*(tblLotBalance[Lot Balance]&gt;0),0),0)),""))</f>
        <v/>
      </c>
      <c r="P88" s="28" t="str">
        <f>IF($A88="","",IF($I88&lt;0,"NEGATIVE",IF(NOT(ISNUMBER($F88)),"Set threshold",IF($I88&lt;=0,"OUT OF STOCK",IF($I88&lt;=$F88,"LOW",IF($I88&lt;=$F88*Settings!$C$7,"WATCH","OK"))))))</f>
        <v>OUT OF STOCK</v>
      </c>
      <c r="Q88" s="29" t="str">
        <f>IF($A88="","",IF($P88="NEGATIVE","Issued more than received - add the missing receipt",IF($P88="OUT OF STOCK","Reorder immediately",IF($P88="LOW","Raise purchase order",IF($P88="Set threshold","Enter Critical Low in Items",IF(AND($N88&lt;&gt;"",$N88&lt;=0),"Quarantine expired lot",IF(AND($N88&lt;&gt;"",$N88&lt;=Settings!$C$6),"Use or rotate stock now","")))))))</f>
        <v>Reorder immediately</v>
      </c>
    </row>
    <row r="89" spans="1:17" x14ac:dyDescent="0.35">
      <c r="A89" s="18" t="str">
        <f>IF(Items!$A89="","",Items!$A89)</f>
        <v>File Folders</v>
      </c>
      <c r="B89" s="18" t="str">
        <f>IF($A89="","",Items!$B89)</f>
        <v>Stationery</v>
      </c>
      <c r="C89" s="19" t="str">
        <f>IF($A89="","",Items!$G89)</f>
        <v>Office Supplies</v>
      </c>
      <c r="D89" s="20">
        <f>IF($A89="","",N(Items!$D89))</f>
        <v>10</v>
      </c>
      <c r="E89" s="23">
        <f>IF($A89="","",Items!$E89)</f>
        <v>0</v>
      </c>
      <c r="F89" s="23">
        <f>IF($A89="","",Items!$F89)</f>
        <v>0</v>
      </c>
      <c r="G89" s="26">
        <f>IF($A89="","",SUMIFS(tblReceipts[Qty Received],tblReceipts[Item Name],$A89))</f>
        <v>0</v>
      </c>
      <c r="H89" s="26">
        <f>IF($A89="","",SUMIFS(tblIssues[Qty Issued],tblIssues[Item Name],$A89))</f>
        <v>0</v>
      </c>
      <c r="I89" s="27">
        <f t="shared" si="3"/>
        <v>0</v>
      </c>
      <c r="J89" s="21">
        <f t="shared" si="4"/>
        <v>0</v>
      </c>
      <c r="K89" s="26">
        <f>IF($A89="","",COUNTIFS(tblReceipts[Item Name],$A89))</f>
        <v>0</v>
      </c>
      <c r="L89" s="26">
        <f>IF($A89="","",COUNTIFS(tblLotBalance[Item Name],$A89,tblLotBalance[Lot Balance],"&gt;0"))</f>
        <v>0</v>
      </c>
      <c r="M89" s="24" t="str">
        <f>IF($A89="","",IF($L89=0,"",IFERROR(_xlfn.MINIFS(tblLotBalance[Expiry Date],tblLotBalance[Item Name],$A89,tblLotBalance[Lot Balance],"&gt;0"),"")))</f>
        <v/>
      </c>
      <c r="N89" s="26" t="str">
        <f t="shared" ca="1" si="5"/>
        <v/>
      </c>
      <c r="O89" s="18" t="str" cm="1">
        <f t="array" ref="O89">IF($M89="","",IFERROR(INDEX(tblLotBalance[Lot Number],MATCH(1,INDEX((tblLotBalance[Item Name]=$A89)*(tblLotBalance[Expiry Date]=$M89)*(tblLotBalance[Lot Balance]&gt;0),0),0)),""))</f>
        <v/>
      </c>
      <c r="P89" s="28" t="str">
        <f>IF($A89="","",IF($I89&lt;0,"NEGATIVE",IF(NOT(ISNUMBER($F89)),"Set threshold",IF($I89&lt;=0,"OUT OF STOCK",IF($I89&lt;=$F89,"LOW",IF($I89&lt;=$F89*Settings!$C$7,"WATCH","OK"))))))</f>
        <v>OUT OF STOCK</v>
      </c>
      <c r="Q89" s="29" t="str">
        <f>IF($A89="","",IF($P89="NEGATIVE","Issued more than received - add the missing receipt",IF($P89="OUT OF STOCK","Reorder immediately",IF($P89="LOW","Raise purchase order",IF($P89="Set threshold","Enter Critical Low in Items",IF(AND($N89&lt;&gt;"",$N89&lt;=0),"Quarantine expired lot",IF(AND($N89&lt;&gt;"",$N89&lt;=Settings!$C$6),"Use or rotate stock now","")))))))</f>
        <v>Reorder immediately</v>
      </c>
    </row>
    <row r="90" spans="1:17" x14ac:dyDescent="0.35">
      <c r="A90" s="18" t="str">
        <f>IF(Items!$A90="","",Items!$A90)</f>
        <v>File Dividers</v>
      </c>
      <c r="B90" s="18" t="str">
        <f>IF($A90="","",Items!$B90)</f>
        <v>Stationery</v>
      </c>
      <c r="C90" s="19" t="str">
        <f>IF($A90="","",Items!$G90)</f>
        <v>Office Supplies</v>
      </c>
      <c r="D90" s="20">
        <f>IF($A90="","",N(Items!$D90))</f>
        <v>3</v>
      </c>
      <c r="E90" s="23">
        <f>IF($A90="","",Items!$E90)</f>
        <v>0</v>
      </c>
      <c r="F90" s="23">
        <f>IF($A90="","",Items!$F90)</f>
        <v>0</v>
      </c>
      <c r="G90" s="26">
        <f>IF($A90="","",SUMIFS(tblReceipts[Qty Received],tblReceipts[Item Name],$A90))</f>
        <v>0</v>
      </c>
      <c r="H90" s="26">
        <f>IF($A90="","",SUMIFS(tblIssues[Qty Issued],tblIssues[Item Name],$A90))</f>
        <v>0</v>
      </c>
      <c r="I90" s="27">
        <f t="shared" si="3"/>
        <v>0</v>
      </c>
      <c r="J90" s="21">
        <f t="shared" si="4"/>
        <v>0</v>
      </c>
      <c r="K90" s="26">
        <f>IF($A90="","",COUNTIFS(tblReceipts[Item Name],$A90))</f>
        <v>0</v>
      </c>
      <c r="L90" s="26">
        <f>IF($A90="","",COUNTIFS(tblLotBalance[Item Name],$A90,tblLotBalance[Lot Balance],"&gt;0"))</f>
        <v>0</v>
      </c>
      <c r="M90" s="24" t="str">
        <f>IF($A90="","",IF($L90=0,"",IFERROR(_xlfn.MINIFS(tblLotBalance[Expiry Date],tblLotBalance[Item Name],$A90,tblLotBalance[Lot Balance],"&gt;0"),"")))</f>
        <v/>
      </c>
      <c r="N90" s="26" t="str">
        <f t="shared" ca="1" si="5"/>
        <v/>
      </c>
      <c r="O90" s="18" t="str" cm="1">
        <f t="array" ref="O90">IF($M90="","",IFERROR(INDEX(tblLotBalance[Lot Number],MATCH(1,INDEX((tblLotBalance[Item Name]=$A90)*(tblLotBalance[Expiry Date]=$M90)*(tblLotBalance[Lot Balance]&gt;0),0),0)),""))</f>
        <v/>
      </c>
      <c r="P90" s="28" t="str">
        <f>IF($A90="","",IF($I90&lt;0,"NEGATIVE",IF(NOT(ISNUMBER($F90)),"Set threshold",IF($I90&lt;=0,"OUT OF STOCK",IF($I90&lt;=$F90,"LOW",IF($I90&lt;=$F90*Settings!$C$7,"WATCH","OK"))))))</f>
        <v>OUT OF STOCK</v>
      </c>
      <c r="Q90" s="29" t="str">
        <f>IF($A90="","",IF($P90="NEGATIVE","Issued more than received - add the missing receipt",IF($P90="OUT OF STOCK","Reorder immediately",IF($P90="LOW","Raise purchase order",IF($P90="Set threshold","Enter Critical Low in Items",IF(AND($N90&lt;&gt;"",$N90&lt;=0),"Quarantine expired lot",IF(AND($N90&lt;&gt;"",$N90&lt;=Settings!$C$6),"Use or rotate stock now","")))))))</f>
        <v>Reorder immediately</v>
      </c>
    </row>
    <row r="91" spans="1:17" x14ac:dyDescent="0.35">
      <c r="A91" s="18" t="str">
        <f>IF(Items!$A91="","",Items!$A91)</f>
        <v>Binder Clips S</v>
      </c>
      <c r="B91" s="18" t="str">
        <f>IF($A91="","",Items!$B91)</f>
        <v>Stationery</v>
      </c>
      <c r="C91" s="19" t="str">
        <f>IF($A91="","",Items!$G91)</f>
        <v>Office Supplies</v>
      </c>
      <c r="D91" s="20">
        <f>IF($A91="","",N(Items!$D91))</f>
        <v>3.47</v>
      </c>
      <c r="E91" s="23">
        <f>IF($A91="","",Items!$E91)</f>
        <v>0</v>
      </c>
      <c r="F91" s="23">
        <f>IF($A91="","",Items!$F91)</f>
        <v>0</v>
      </c>
      <c r="G91" s="26">
        <f>IF($A91="","",SUMIFS(tblReceipts[Qty Received],tblReceipts[Item Name],$A91))</f>
        <v>0</v>
      </c>
      <c r="H91" s="26">
        <f>IF($A91="","",SUMIFS(tblIssues[Qty Issued],tblIssues[Item Name],$A91))</f>
        <v>0</v>
      </c>
      <c r="I91" s="27">
        <f t="shared" si="3"/>
        <v>0</v>
      </c>
      <c r="J91" s="21">
        <f t="shared" si="4"/>
        <v>0</v>
      </c>
      <c r="K91" s="26">
        <f>IF($A91="","",COUNTIFS(tblReceipts[Item Name],$A91))</f>
        <v>0</v>
      </c>
      <c r="L91" s="26">
        <f>IF($A91="","",COUNTIFS(tblLotBalance[Item Name],$A91,tblLotBalance[Lot Balance],"&gt;0"))</f>
        <v>0</v>
      </c>
      <c r="M91" s="24" t="str">
        <f>IF($A91="","",IF($L91=0,"",IFERROR(_xlfn.MINIFS(tblLotBalance[Expiry Date],tblLotBalance[Item Name],$A91,tblLotBalance[Lot Balance],"&gt;0"),"")))</f>
        <v/>
      </c>
      <c r="N91" s="26" t="str">
        <f t="shared" ca="1" si="5"/>
        <v/>
      </c>
      <c r="O91" s="18" t="str" cm="1">
        <f t="array" ref="O91">IF($M91="","",IFERROR(INDEX(tblLotBalance[Lot Number],MATCH(1,INDEX((tblLotBalance[Item Name]=$A91)*(tblLotBalance[Expiry Date]=$M91)*(tblLotBalance[Lot Balance]&gt;0),0),0)),""))</f>
        <v/>
      </c>
      <c r="P91" s="28" t="str">
        <f>IF($A91="","",IF($I91&lt;0,"NEGATIVE",IF(NOT(ISNUMBER($F91)),"Set threshold",IF($I91&lt;=0,"OUT OF STOCK",IF($I91&lt;=$F91,"LOW",IF($I91&lt;=$F91*Settings!$C$7,"WATCH","OK"))))))</f>
        <v>OUT OF STOCK</v>
      </c>
      <c r="Q91" s="29" t="str">
        <f>IF($A91="","",IF($P91="NEGATIVE","Issued more than received - add the missing receipt",IF($P91="OUT OF STOCK","Reorder immediately",IF($P91="LOW","Raise purchase order",IF($P91="Set threshold","Enter Critical Low in Items",IF(AND($N91&lt;&gt;"",$N91&lt;=0),"Quarantine expired lot",IF(AND($N91&lt;&gt;"",$N91&lt;=Settings!$C$6),"Use or rotate stock now","")))))))</f>
        <v>Reorder immediately</v>
      </c>
    </row>
    <row r="92" spans="1:17" x14ac:dyDescent="0.35">
      <c r="A92" s="18" t="str">
        <f>IF(Items!$A92="","",Items!$A92)</f>
        <v>Stapler</v>
      </c>
      <c r="B92" s="18" t="str">
        <f>IF($A92="","",Items!$B92)</f>
        <v>Stationery</v>
      </c>
      <c r="C92" s="19" t="str">
        <f>IF($A92="","",Items!$G92)</f>
        <v>Office Supplies</v>
      </c>
      <c r="D92" s="20">
        <f>IF($A92="","",N(Items!$D92))</f>
        <v>9</v>
      </c>
      <c r="E92" s="23">
        <f>IF($A92="","",Items!$E92)</f>
        <v>0</v>
      </c>
      <c r="F92" s="23">
        <f>IF($A92="","",Items!$F92)</f>
        <v>0</v>
      </c>
      <c r="G92" s="26">
        <f>IF($A92="","",SUMIFS(tblReceipts[Qty Received],tblReceipts[Item Name],$A92))</f>
        <v>0</v>
      </c>
      <c r="H92" s="26">
        <f>IF($A92="","",SUMIFS(tblIssues[Qty Issued],tblIssues[Item Name],$A92))</f>
        <v>0</v>
      </c>
      <c r="I92" s="27">
        <f t="shared" si="3"/>
        <v>0</v>
      </c>
      <c r="J92" s="21">
        <f t="shared" si="4"/>
        <v>0</v>
      </c>
      <c r="K92" s="26">
        <f>IF($A92="","",COUNTIFS(tblReceipts[Item Name],$A92))</f>
        <v>0</v>
      </c>
      <c r="L92" s="26">
        <f>IF($A92="","",COUNTIFS(tblLotBalance[Item Name],$A92,tblLotBalance[Lot Balance],"&gt;0"))</f>
        <v>0</v>
      </c>
      <c r="M92" s="24" t="str">
        <f>IF($A92="","",IF($L92=0,"",IFERROR(_xlfn.MINIFS(tblLotBalance[Expiry Date],tblLotBalance[Item Name],$A92,tblLotBalance[Lot Balance],"&gt;0"),"")))</f>
        <v/>
      </c>
      <c r="N92" s="26" t="str">
        <f t="shared" ca="1" si="5"/>
        <v/>
      </c>
      <c r="O92" s="18" t="str" cm="1">
        <f t="array" ref="O92">IF($M92="","",IFERROR(INDEX(tblLotBalance[Lot Number],MATCH(1,INDEX((tblLotBalance[Item Name]=$A92)*(tblLotBalance[Expiry Date]=$M92)*(tblLotBalance[Lot Balance]&gt;0),0),0)),""))</f>
        <v/>
      </c>
      <c r="P92" s="28" t="str">
        <f>IF($A92="","",IF($I92&lt;0,"NEGATIVE",IF(NOT(ISNUMBER($F92)),"Set threshold",IF($I92&lt;=0,"OUT OF STOCK",IF($I92&lt;=$F92,"LOW",IF($I92&lt;=$F92*Settings!$C$7,"WATCH","OK"))))))</f>
        <v>OUT OF STOCK</v>
      </c>
      <c r="Q92" s="29" t="str">
        <f>IF($A92="","",IF($P92="NEGATIVE","Issued more than received - add the missing receipt",IF($P92="OUT OF STOCK","Reorder immediately",IF($P92="LOW","Raise purchase order",IF($P92="Set threshold","Enter Critical Low in Items",IF(AND($N92&lt;&gt;"",$N92&lt;=0),"Quarantine expired lot",IF(AND($N92&lt;&gt;"",$N92&lt;=Settings!$C$6),"Use or rotate stock now","")))))))</f>
        <v>Reorder immediately</v>
      </c>
    </row>
    <row r="93" spans="1:17" x14ac:dyDescent="0.35">
      <c r="A93" s="18" t="str">
        <f>IF(Items!$A93="","",Items!$A93)</f>
        <v>Northwind Copy Paper</v>
      </c>
      <c r="B93" s="18" t="str">
        <f>IF($A93="","",Items!$B93)</f>
        <v>Stationery</v>
      </c>
      <c r="C93" s="19" t="str">
        <f>IF($A93="","",Items!$G93)</f>
        <v>Office Supplies</v>
      </c>
      <c r="D93" s="20">
        <f>IF($A93="","",N(Items!$D93))</f>
        <v>0</v>
      </c>
      <c r="E93" s="23">
        <f>IF($A93="","",Items!$E93)</f>
        <v>0</v>
      </c>
      <c r="F93" s="23">
        <f>IF($A93="","",Items!$F93)</f>
        <v>0</v>
      </c>
      <c r="G93" s="26">
        <f>IF($A93="","",SUMIFS(tblReceipts[Qty Received],tblReceipts[Item Name],$A93))</f>
        <v>0</v>
      </c>
      <c r="H93" s="26">
        <f>IF($A93="","",SUMIFS(tblIssues[Qty Issued],tblIssues[Item Name],$A93))</f>
        <v>0</v>
      </c>
      <c r="I93" s="27">
        <f t="shared" si="3"/>
        <v>0</v>
      </c>
      <c r="J93" s="21">
        <f t="shared" si="4"/>
        <v>0</v>
      </c>
      <c r="K93" s="26">
        <f>IF($A93="","",COUNTIFS(tblReceipts[Item Name],$A93))</f>
        <v>0</v>
      </c>
      <c r="L93" s="26">
        <f>IF($A93="","",COUNTIFS(tblLotBalance[Item Name],$A93,tblLotBalance[Lot Balance],"&gt;0"))</f>
        <v>0</v>
      </c>
      <c r="M93" s="24" t="str">
        <f>IF($A93="","",IF($L93=0,"",IFERROR(_xlfn.MINIFS(tblLotBalance[Expiry Date],tblLotBalance[Item Name],$A93,tblLotBalance[Lot Balance],"&gt;0"),"")))</f>
        <v/>
      </c>
      <c r="N93" s="26" t="str">
        <f t="shared" ca="1" si="5"/>
        <v/>
      </c>
      <c r="O93" s="18" t="str" cm="1">
        <f t="array" ref="O93">IF($M93="","",IFERROR(INDEX(tblLotBalance[Lot Number],MATCH(1,INDEX((tblLotBalance[Item Name]=$A93)*(tblLotBalance[Expiry Date]=$M93)*(tblLotBalance[Lot Balance]&gt;0),0),0)),""))</f>
        <v/>
      </c>
      <c r="P93" s="28" t="str">
        <f>IF($A93="","",IF($I93&lt;0,"NEGATIVE",IF(NOT(ISNUMBER($F93)),"Set threshold",IF($I93&lt;=0,"OUT OF STOCK",IF($I93&lt;=$F93,"LOW",IF($I93&lt;=$F93*Settings!$C$7,"WATCH","OK"))))))</f>
        <v>OUT OF STOCK</v>
      </c>
      <c r="Q93" s="29" t="str">
        <f>IF($A93="","",IF($P93="NEGATIVE","Issued more than received - add the missing receipt",IF($P93="OUT OF STOCK","Reorder immediately",IF($P93="LOW","Raise purchase order",IF($P93="Set threshold","Enter Critical Low in Items",IF(AND($N93&lt;&gt;"",$N93&lt;=0),"Quarantine expired lot",IF(AND($N93&lt;&gt;"",$N93&lt;=Settings!$C$6),"Use or rotate stock now","")))))))</f>
        <v>Reorder immediately</v>
      </c>
    </row>
    <row r="94" spans="1:17" x14ac:dyDescent="0.35">
      <c r="A94" s="18" t="str">
        <f>IF(Items!$A94="","",Items!$A94)</f>
        <v>Paper Clips</v>
      </c>
      <c r="B94" s="18" t="str">
        <f>IF($A94="","",Items!$B94)</f>
        <v>Stationery</v>
      </c>
      <c r="C94" s="19" t="str">
        <f>IF($A94="","",Items!$G94)</f>
        <v>Office Supplies</v>
      </c>
      <c r="D94" s="20">
        <f>IF($A94="","",N(Items!$D94))</f>
        <v>1.5</v>
      </c>
      <c r="E94" s="23">
        <f>IF($A94="","",Items!$E94)</f>
        <v>0</v>
      </c>
      <c r="F94" s="23">
        <f>IF($A94="","",Items!$F94)</f>
        <v>0</v>
      </c>
      <c r="G94" s="26">
        <f>IF($A94="","",SUMIFS(tblReceipts[Qty Received],tblReceipts[Item Name],$A94))</f>
        <v>0</v>
      </c>
      <c r="H94" s="26">
        <f>IF($A94="","",SUMIFS(tblIssues[Qty Issued],tblIssues[Item Name],$A94))</f>
        <v>0</v>
      </c>
      <c r="I94" s="27">
        <f t="shared" si="3"/>
        <v>0</v>
      </c>
      <c r="J94" s="21">
        <f t="shared" si="4"/>
        <v>0</v>
      </c>
      <c r="K94" s="26">
        <f>IF($A94="","",COUNTIFS(tblReceipts[Item Name],$A94))</f>
        <v>0</v>
      </c>
      <c r="L94" s="26">
        <f>IF($A94="","",COUNTIFS(tblLotBalance[Item Name],$A94,tblLotBalance[Lot Balance],"&gt;0"))</f>
        <v>0</v>
      </c>
      <c r="M94" s="24" t="str">
        <f>IF($A94="","",IF($L94=0,"",IFERROR(_xlfn.MINIFS(tblLotBalance[Expiry Date],tblLotBalance[Item Name],$A94,tblLotBalance[Lot Balance],"&gt;0"),"")))</f>
        <v/>
      </c>
      <c r="N94" s="26" t="str">
        <f t="shared" ca="1" si="5"/>
        <v/>
      </c>
      <c r="O94" s="18" t="str" cm="1">
        <f t="array" ref="O94">IF($M94="","",IFERROR(INDEX(tblLotBalance[Lot Number],MATCH(1,INDEX((tblLotBalance[Item Name]=$A94)*(tblLotBalance[Expiry Date]=$M94)*(tblLotBalance[Lot Balance]&gt;0),0),0)),""))</f>
        <v/>
      </c>
      <c r="P94" s="28" t="str">
        <f>IF($A94="","",IF($I94&lt;0,"NEGATIVE",IF(NOT(ISNUMBER($F94)),"Set threshold",IF($I94&lt;=0,"OUT OF STOCK",IF($I94&lt;=$F94,"LOW",IF($I94&lt;=$F94*Settings!$C$7,"WATCH","OK"))))))</f>
        <v>OUT OF STOCK</v>
      </c>
      <c r="Q94" s="29" t="str">
        <f>IF($A94="","",IF($P94="NEGATIVE","Issued more than received - add the missing receipt",IF($P94="OUT OF STOCK","Reorder immediately",IF($P94="LOW","Raise purchase order",IF($P94="Set threshold","Enter Critical Low in Items",IF(AND($N94&lt;&gt;"",$N94&lt;=0),"Quarantine expired lot",IF(AND($N94&lt;&gt;"",$N94&lt;=Settings!$C$6),"Use or rotate stock now","")))))))</f>
        <v>Reorder immediately</v>
      </c>
    </row>
    <row r="95" spans="1:17" x14ac:dyDescent="0.35">
      <c r="A95" s="18" t="str">
        <f>IF(Items!$A95="","",Items!$A95)</f>
        <v>Scissors</v>
      </c>
      <c r="B95" s="18" t="str">
        <f>IF($A95="","",Items!$B95)</f>
        <v>Stationery</v>
      </c>
      <c r="C95" s="19" t="str">
        <f>IF($A95="","",Items!$G95)</f>
        <v>Office Supplies</v>
      </c>
      <c r="D95" s="20">
        <f>IF($A95="","",N(Items!$D95))</f>
        <v>6</v>
      </c>
      <c r="E95" s="23">
        <f>IF($A95="","",Items!$E95)</f>
        <v>0</v>
      </c>
      <c r="F95" s="23">
        <f>IF($A95="","",Items!$F95)</f>
        <v>0</v>
      </c>
      <c r="G95" s="26">
        <f>IF($A95="","",SUMIFS(tblReceipts[Qty Received],tblReceipts[Item Name],$A95))</f>
        <v>0</v>
      </c>
      <c r="H95" s="26">
        <f>IF($A95="","",SUMIFS(tblIssues[Qty Issued],tblIssues[Item Name],$A95))</f>
        <v>0</v>
      </c>
      <c r="I95" s="27">
        <f t="shared" si="3"/>
        <v>0</v>
      </c>
      <c r="J95" s="21">
        <f t="shared" si="4"/>
        <v>0</v>
      </c>
      <c r="K95" s="26">
        <f>IF($A95="","",COUNTIFS(tblReceipts[Item Name],$A95))</f>
        <v>0</v>
      </c>
      <c r="L95" s="26">
        <f>IF($A95="","",COUNTIFS(tblLotBalance[Item Name],$A95,tblLotBalance[Lot Balance],"&gt;0"))</f>
        <v>0</v>
      </c>
      <c r="M95" s="24" t="str">
        <f>IF($A95="","",IF($L95=0,"",IFERROR(_xlfn.MINIFS(tblLotBalance[Expiry Date],tblLotBalance[Item Name],$A95,tblLotBalance[Lot Balance],"&gt;0"),"")))</f>
        <v/>
      </c>
      <c r="N95" s="26" t="str">
        <f t="shared" ca="1" si="5"/>
        <v/>
      </c>
      <c r="O95" s="18" t="str" cm="1">
        <f t="array" ref="O95">IF($M95="","",IFERROR(INDEX(tblLotBalance[Lot Number],MATCH(1,INDEX((tblLotBalance[Item Name]=$A95)*(tblLotBalance[Expiry Date]=$M95)*(tblLotBalance[Lot Balance]&gt;0),0),0)),""))</f>
        <v/>
      </c>
      <c r="P95" s="28" t="str">
        <f>IF($A95="","",IF($I95&lt;0,"NEGATIVE",IF(NOT(ISNUMBER($F95)),"Set threshold",IF($I95&lt;=0,"OUT OF STOCK",IF($I95&lt;=$F95,"LOW",IF($I95&lt;=$F95*Settings!$C$7,"WATCH","OK"))))))</f>
        <v>OUT OF STOCK</v>
      </c>
      <c r="Q95" s="29" t="str">
        <f>IF($A95="","",IF($P95="NEGATIVE","Issued more than received - add the missing receipt",IF($P95="OUT OF STOCK","Reorder immediately",IF($P95="LOW","Raise purchase order",IF($P95="Set threshold","Enter Critical Low in Items",IF(AND($N95&lt;&gt;"",$N95&lt;=0),"Quarantine expired lot",IF(AND($N95&lt;&gt;"",$N95&lt;=Settings!$C$6),"Use or rotate stock now","")))))))</f>
        <v>Reorder immediately</v>
      </c>
    </row>
    <row r="96" spans="1:17" x14ac:dyDescent="0.35">
      <c r="A96" s="18" t="str">
        <f>IF(Items!$A96="","",Items!$A96)</f>
        <v>Tape Dispenser</v>
      </c>
      <c r="B96" s="18" t="str">
        <f>IF($A96="","",Items!$B96)</f>
        <v>Stationery</v>
      </c>
      <c r="C96" s="19" t="str">
        <f>IF($A96="","",Items!$G96)</f>
        <v>Office Supplies</v>
      </c>
      <c r="D96" s="20">
        <f>IF($A96="","",N(Items!$D96))</f>
        <v>8</v>
      </c>
      <c r="E96" s="23">
        <f>IF($A96="","",Items!$E96)</f>
        <v>0</v>
      </c>
      <c r="F96" s="23">
        <f>IF($A96="","",Items!$F96)</f>
        <v>0</v>
      </c>
      <c r="G96" s="26">
        <f>IF($A96="","",SUMIFS(tblReceipts[Qty Received],tblReceipts[Item Name],$A96))</f>
        <v>0</v>
      </c>
      <c r="H96" s="26">
        <f>IF($A96="","",SUMIFS(tblIssues[Qty Issued],tblIssues[Item Name],$A96))</f>
        <v>0</v>
      </c>
      <c r="I96" s="27">
        <f t="shared" si="3"/>
        <v>0</v>
      </c>
      <c r="J96" s="21">
        <f t="shared" si="4"/>
        <v>0</v>
      </c>
      <c r="K96" s="26">
        <f>IF($A96="","",COUNTIFS(tblReceipts[Item Name],$A96))</f>
        <v>0</v>
      </c>
      <c r="L96" s="26">
        <f>IF($A96="","",COUNTIFS(tblLotBalance[Item Name],$A96,tblLotBalance[Lot Balance],"&gt;0"))</f>
        <v>0</v>
      </c>
      <c r="M96" s="24" t="str">
        <f>IF($A96="","",IF($L96=0,"",IFERROR(_xlfn.MINIFS(tblLotBalance[Expiry Date],tblLotBalance[Item Name],$A96,tblLotBalance[Lot Balance],"&gt;0"),"")))</f>
        <v/>
      </c>
      <c r="N96" s="26" t="str">
        <f t="shared" ca="1" si="5"/>
        <v/>
      </c>
      <c r="O96" s="18" t="str" cm="1">
        <f t="array" ref="O96">IF($M96="","",IFERROR(INDEX(tblLotBalance[Lot Number],MATCH(1,INDEX((tblLotBalance[Item Name]=$A96)*(tblLotBalance[Expiry Date]=$M96)*(tblLotBalance[Lot Balance]&gt;0),0),0)),""))</f>
        <v/>
      </c>
      <c r="P96" s="28" t="str">
        <f>IF($A96="","",IF($I96&lt;0,"NEGATIVE",IF(NOT(ISNUMBER($F96)),"Set threshold",IF($I96&lt;=0,"OUT OF STOCK",IF($I96&lt;=$F96,"LOW",IF($I96&lt;=$F96*Settings!$C$7,"WATCH","OK"))))))</f>
        <v>OUT OF STOCK</v>
      </c>
      <c r="Q96" s="29" t="str">
        <f>IF($A96="","",IF($P96="NEGATIVE","Issued more than received - add the missing receipt",IF($P96="OUT OF STOCK","Reorder immediately",IF($P96="LOW","Raise purchase order",IF($P96="Set threshold","Enter Critical Low in Items",IF(AND($N96&lt;&gt;"",$N96&lt;=0),"Quarantine expired lot",IF(AND($N96&lt;&gt;"",$N96&lt;=Settings!$C$6),"Use or rotate stock now","")))))))</f>
        <v>Reorder immediately</v>
      </c>
    </row>
    <row r="97" spans="1:17" x14ac:dyDescent="0.35">
      <c r="A97" s="18" t="str">
        <f>IF(Items!$A97="","",Items!$A97)</f>
        <v>Packing Tape</v>
      </c>
      <c r="B97" s="18" t="str">
        <f>IF($A97="","",Items!$B97)</f>
        <v>Stationery</v>
      </c>
      <c r="C97" s="19" t="str">
        <f>IF($A97="","",Items!$G97)</f>
        <v>Office Supplies</v>
      </c>
      <c r="D97" s="20">
        <f>IF($A97="","",N(Items!$D97))</f>
        <v>4</v>
      </c>
      <c r="E97" s="23">
        <f>IF($A97="","",Items!$E97)</f>
        <v>0</v>
      </c>
      <c r="F97" s="23">
        <f>IF($A97="","",Items!$F97)</f>
        <v>0</v>
      </c>
      <c r="G97" s="26">
        <f>IF($A97="","",SUMIFS(tblReceipts[Qty Received],tblReceipts[Item Name],$A97))</f>
        <v>0</v>
      </c>
      <c r="H97" s="26">
        <f>IF($A97="","",SUMIFS(tblIssues[Qty Issued],tblIssues[Item Name],$A97))</f>
        <v>0</v>
      </c>
      <c r="I97" s="27">
        <f t="shared" si="3"/>
        <v>0</v>
      </c>
      <c r="J97" s="21">
        <f t="shared" si="4"/>
        <v>0</v>
      </c>
      <c r="K97" s="26">
        <f>IF($A97="","",COUNTIFS(tblReceipts[Item Name],$A97))</f>
        <v>0</v>
      </c>
      <c r="L97" s="26">
        <f>IF($A97="","",COUNTIFS(tblLotBalance[Item Name],$A97,tblLotBalance[Lot Balance],"&gt;0"))</f>
        <v>0</v>
      </c>
      <c r="M97" s="24" t="str">
        <f>IF($A97="","",IF($L97=0,"",IFERROR(_xlfn.MINIFS(tblLotBalance[Expiry Date],tblLotBalance[Item Name],$A97,tblLotBalance[Lot Balance],"&gt;0"),"")))</f>
        <v/>
      </c>
      <c r="N97" s="26" t="str">
        <f t="shared" ca="1" si="5"/>
        <v/>
      </c>
      <c r="O97" s="18" t="str" cm="1">
        <f t="array" ref="O97">IF($M97="","",IFERROR(INDEX(tblLotBalance[Lot Number],MATCH(1,INDEX((tblLotBalance[Item Name]=$A97)*(tblLotBalance[Expiry Date]=$M97)*(tblLotBalance[Lot Balance]&gt;0),0),0)),""))</f>
        <v/>
      </c>
      <c r="P97" s="28" t="str">
        <f>IF($A97="","",IF($I97&lt;0,"NEGATIVE",IF(NOT(ISNUMBER($F97)),"Set threshold",IF($I97&lt;=0,"OUT OF STOCK",IF($I97&lt;=$F97,"LOW",IF($I97&lt;=$F97*Settings!$C$7,"WATCH","OK"))))))</f>
        <v>OUT OF STOCK</v>
      </c>
      <c r="Q97" s="29" t="str">
        <f>IF($A97="","",IF($P97="NEGATIVE","Issued more than received - add the missing receipt",IF($P97="OUT OF STOCK","Reorder immediately",IF($P97="LOW","Raise purchase order",IF($P97="Set threshold","Enter Critical Low in Items",IF(AND($N97&lt;&gt;"",$N97&lt;=0),"Quarantine expired lot",IF(AND($N97&lt;&gt;"",$N97&lt;=Settings!$C$6),"Use or rotate stock now","")))))))</f>
        <v>Reorder immediately</v>
      </c>
    </row>
    <row r="98" spans="1:17" x14ac:dyDescent="0.35">
      <c r="A98" s="18" t="str">
        <f>IF(Items!$A98="","",Items!$A98)</f>
        <v>Bubble Wrap</v>
      </c>
      <c r="B98" s="18" t="str">
        <f>IF($A98="","",Items!$B98)</f>
        <v>Stationery</v>
      </c>
      <c r="C98" s="19" t="str">
        <f>IF($A98="","",Items!$G98)</f>
        <v>Office Supplies</v>
      </c>
      <c r="D98" s="20">
        <f>IF($A98="","",N(Items!$D98))</f>
        <v>1</v>
      </c>
      <c r="E98" s="23">
        <f>IF($A98="","",Items!$E98)</f>
        <v>0</v>
      </c>
      <c r="F98" s="23">
        <f>IF($A98="","",Items!$F98)</f>
        <v>0</v>
      </c>
      <c r="G98" s="26">
        <f>IF($A98="","",SUMIFS(tblReceipts[Qty Received],tblReceipts[Item Name],$A98))</f>
        <v>0</v>
      </c>
      <c r="H98" s="26">
        <f>IF($A98="","",SUMIFS(tblIssues[Qty Issued],tblIssues[Item Name],$A98))</f>
        <v>0</v>
      </c>
      <c r="I98" s="27">
        <f t="shared" si="3"/>
        <v>0</v>
      </c>
      <c r="J98" s="21">
        <f t="shared" si="4"/>
        <v>0</v>
      </c>
      <c r="K98" s="26">
        <f>IF($A98="","",COUNTIFS(tblReceipts[Item Name],$A98))</f>
        <v>0</v>
      </c>
      <c r="L98" s="26">
        <f>IF($A98="","",COUNTIFS(tblLotBalance[Item Name],$A98,tblLotBalance[Lot Balance],"&gt;0"))</f>
        <v>0</v>
      </c>
      <c r="M98" s="24" t="str">
        <f>IF($A98="","",IF($L98=0,"",IFERROR(_xlfn.MINIFS(tblLotBalance[Expiry Date],tblLotBalance[Item Name],$A98,tblLotBalance[Lot Balance],"&gt;0"),"")))</f>
        <v/>
      </c>
      <c r="N98" s="26" t="str">
        <f t="shared" ca="1" si="5"/>
        <v/>
      </c>
      <c r="O98" s="18" t="str" cm="1">
        <f t="array" ref="O98">IF($M98="","",IFERROR(INDEX(tblLotBalance[Lot Number],MATCH(1,INDEX((tblLotBalance[Item Name]=$A98)*(tblLotBalance[Expiry Date]=$M98)*(tblLotBalance[Lot Balance]&gt;0),0),0)),""))</f>
        <v/>
      </c>
      <c r="P98" s="28" t="str">
        <f>IF($A98="","",IF($I98&lt;0,"NEGATIVE",IF(NOT(ISNUMBER($F98)),"Set threshold",IF($I98&lt;=0,"OUT OF STOCK",IF($I98&lt;=$F98,"LOW",IF($I98&lt;=$F98*Settings!$C$7,"WATCH","OK"))))))</f>
        <v>OUT OF STOCK</v>
      </c>
      <c r="Q98" s="29" t="str">
        <f>IF($A98="","",IF($P98="NEGATIVE","Issued more than received - add the missing receipt",IF($P98="OUT OF STOCK","Reorder immediately",IF($P98="LOW","Raise purchase order",IF($P98="Set threshold","Enter Critical Low in Items",IF(AND($N98&lt;&gt;"",$N98&lt;=0),"Quarantine expired lot",IF(AND($N98&lt;&gt;"",$N98&lt;=Settings!$C$6),"Use or rotate stock now","")))))))</f>
        <v>Reorder immediately</v>
      </c>
    </row>
    <row r="99" spans="1:17" x14ac:dyDescent="0.35">
      <c r="A99" s="18" t="str">
        <f>IF(Items!$A99="","",Items!$A99)</f>
        <v>Printer Toner</v>
      </c>
      <c r="B99" s="18" t="str">
        <f>IF($A99="","",Items!$B99)</f>
        <v>Office Supplies</v>
      </c>
      <c r="C99" s="19" t="str">
        <f>IF($A99="","",Items!$G99)</f>
        <v>Office Supplies</v>
      </c>
      <c r="D99" s="20">
        <f>IF($A99="","",N(Items!$D99))</f>
        <v>95</v>
      </c>
      <c r="E99" s="23">
        <f>IF($A99="","",Items!$E99)</f>
        <v>0</v>
      </c>
      <c r="F99" s="23">
        <f>IF($A99="","",Items!$F99)</f>
        <v>0</v>
      </c>
      <c r="G99" s="26">
        <f>IF($A99="","",SUMIFS(tblReceipts[Qty Received],tblReceipts[Item Name],$A99))</f>
        <v>0</v>
      </c>
      <c r="H99" s="26">
        <f>IF($A99="","",SUMIFS(tblIssues[Qty Issued],tblIssues[Item Name],$A99))</f>
        <v>0</v>
      </c>
      <c r="I99" s="27">
        <f t="shared" si="3"/>
        <v>0</v>
      </c>
      <c r="J99" s="21">
        <f t="shared" si="4"/>
        <v>0</v>
      </c>
      <c r="K99" s="26">
        <f>IF($A99="","",COUNTIFS(tblReceipts[Item Name],$A99))</f>
        <v>0</v>
      </c>
      <c r="L99" s="26">
        <f>IF($A99="","",COUNTIFS(tblLotBalance[Item Name],$A99,tblLotBalance[Lot Balance],"&gt;0"))</f>
        <v>0</v>
      </c>
      <c r="M99" s="24" t="str">
        <f>IF($A99="","",IF($L99=0,"",IFERROR(_xlfn.MINIFS(tblLotBalance[Expiry Date],tblLotBalance[Item Name],$A99,tblLotBalance[Lot Balance],"&gt;0"),"")))</f>
        <v/>
      </c>
      <c r="N99" s="26" t="str">
        <f t="shared" ca="1" si="5"/>
        <v/>
      </c>
      <c r="O99" s="18" t="str" cm="1">
        <f t="array" ref="O99">IF($M99="","",IFERROR(INDEX(tblLotBalance[Lot Number],MATCH(1,INDEX((tblLotBalance[Item Name]=$A99)*(tblLotBalance[Expiry Date]=$M99)*(tblLotBalance[Lot Balance]&gt;0),0),0)),""))</f>
        <v/>
      </c>
      <c r="P99" s="28" t="str">
        <f>IF($A99="","",IF($I99&lt;0,"NEGATIVE",IF(NOT(ISNUMBER($F99)),"Set threshold",IF($I99&lt;=0,"OUT OF STOCK",IF($I99&lt;=$F99,"LOW",IF($I99&lt;=$F99*Settings!$C$7,"WATCH","OK"))))))</f>
        <v>OUT OF STOCK</v>
      </c>
      <c r="Q99" s="29" t="str">
        <f>IF($A99="","",IF($P99="NEGATIVE","Issued more than received - add the missing receipt",IF($P99="OUT OF STOCK","Reorder immediately",IF($P99="LOW","Raise purchase order",IF($P99="Set threshold","Enter Critical Low in Items",IF(AND($N99&lt;&gt;"",$N99&lt;=0),"Quarantine expired lot",IF(AND($N99&lt;&gt;"",$N99&lt;=Settings!$C$6),"Use or rotate stock now","")))))))</f>
        <v>Reorder immediately</v>
      </c>
    </row>
    <row r="100" spans="1:17" x14ac:dyDescent="0.35">
      <c r="A100" s="18" t="str">
        <f>IF(Items!$A100="","",Items!$A100)</f>
        <v>Ink Cartridge</v>
      </c>
      <c r="B100" s="18" t="str">
        <f>IF($A100="","",Items!$B100)</f>
        <v>Office Supplies</v>
      </c>
      <c r="C100" s="19" t="str">
        <f>IF($A100="","",Items!$G100)</f>
        <v>Office Supplies</v>
      </c>
      <c r="D100" s="20">
        <f>IF($A100="","",N(Items!$D100))</f>
        <v>55</v>
      </c>
      <c r="E100" s="23">
        <f>IF($A100="","",Items!$E100)</f>
        <v>0</v>
      </c>
      <c r="F100" s="23">
        <f>IF($A100="","",Items!$F100)</f>
        <v>0</v>
      </c>
      <c r="G100" s="26">
        <f>IF($A100="","",SUMIFS(tblReceipts[Qty Received],tblReceipts[Item Name],$A100))</f>
        <v>0</v>
      </c>
      <c r="H100" s="26">
        <f>IF($A100="","",SUMIFS(tblIssues[Qty Issued],tblIssues[Item Name],$A100))</f>
        <v>0</v>
      </c>
      <c r="I100" s="27">
        <f t="shared" si="3"/>
        <v>0</v>
      </c>
      <c r="J100" s="21">
        <f t="shared" si="4"/>
        <v>0</v>
      </c>
      <c r="K100" s="26">
        <f>IF($A100="","",COUNTIFS(tblReceipts[Item Name],$A100))</f>
        <v>0</v>
      </c>
      <c r="L100" s="26">
        <f>IF($A100="","",COUNTIFS(tblLotBalance[Item Name],$A100,tblLotBalance[Lot Balance],"&gt;0"))</f>
        <v>0</v>
      </c>
      <c r="M100" s="24" t="str">
        <f>IF($A100="","",IF($L100=0,"",IFERROR(_xlfn.MINIFS(tblLotBalance[Expiry Date],tblLotBalance[Item Name],$A100,tblLotBalance[Lot Balance],"&gt;0"),"")))</f>
        <v/>
      </c>
      <c r="N100" s="26" t="str">
        <f t="shared" ca="1" si="5"/>
        <v/>
      </c>
      <c r="O100" s="18" t="str" cm="1">
        <f t="array" ref="O100">IF($M100="","",IFERROR(INDEX(tblLotBalance[Lot Number],MATCH(1,INDEX((tblLotBalance[Item Name]=$A100)*(tblLotBalance[Expiry Date]=$M100)*(tblLotBalance[Lot Balance]&gt;0),0),0)),""))</f>
        <v/>
      </c>
      <c r="P100" s="28" t="str">
        <f>IF($A100="","",IF($I100&lt;0,"NEGATIVE",IF(NOT(ISNUMBER($F100)),"Set threshold",IF($I100&lt;=0,"OUT OF STOCK",IF($I100&lt;=$F100,"LOW",IF($I100&lt;=$F100*Settings!$C$7,"WATCH","OK"))))))</f>
        <v>OUT OF STOCK</v>
      </c>
      <c r="Q100" s="29" t="str">
        <f>IF($A100="","",IF($P100="NEGATIVE","Issued more than received - add the missing receipt",IF($P100="OUT OF STOCK","Reorder immediately",IF($P100="LOW","Raise purchase order",IF($P100="Set threshold","Enter Critical Low in Items",IF(AND($N100&lt;&gt;"",$N100&lt;=0),"Quarantine expired lot",IF(AND($N100&lt;&gt;"",$N100&lt;=Settings!$C$6),"Use or rotate stock now","")))))))</f>
        <v>Reorder immediately</v>
      </c>
    </row>
    <row r="101" spans="1:17" x14ac:dyDescent="0.35">
      <c r="A101" s="18" t="str">
        <f>IF(Items!$A101="","",Items!$A101)</f>
        <v>Desk Calendar</v>
      </c>
      <c r="B101" s="18" t="str">
        <f>IF($A101="","",Items!$B101)</f>
        <v>Office Supplies</v>
      </c>
      <c r="C101" s="19" t="str">
        <f>IF($A101="","",Items!$G101)</f>
        <v>Office Supplies</v>
      </c>
      <c r="D101" s="20">
        <f>IF($A101="","",N(Items!$D101))</f>
        <v>5</v>
      </c>
      <c r="E101" s="23">
        <f>IF($A101="","",Items!$E101)</f>
        <v>0</v>
      </c>
      <c r="F101" s="23">
        <f>IF($A101="","",Items!$F101)</f>
        <v>0</v>
      </c>
      <c r="G101" s="26">
        <f>IF($A101="","",SUMIFS(tblReceipts[Qty Received],tblReceipts[Item Name],$A101))</f>
        <v>0</v>
      </c>
      <c r="H101" s="26">
        <f>IF($A101="","",SUMIFS(tblIssues[Qty Issued],tblIssues[Item Name],$A101))</f>
        <v>0</v>
      </c>
      <c r="I101" s="27">
        <f t="shared" si="3"/>
        <v>0</v>
      </c>
      <c r="J101" s="21">
        <f t="shared" si="4"/>
        <v>0</v>
      </c>
      <c r="K101" s="26">
        <f>IF($A101="","",COUNTIFS(tblReceipts[Item Name],$A101))</f>
        <v>0</v>
      </c>
      <c r="L101" s="26">
        <f>IF($A101="","",COUNTIFS(tblLotBalance[Item Name],$A101,tblLotBalance[Lot Balance],"&gt;0"))</f>
        <v>0</v>
      </c>
      <c r="M101" s="24" t="str">
        <f>IF($A101="","",IF($L101=0,"",IFERROR(_xlfn.MINIFS(tblLotBalance[Expiry Date],tblLotBalance[Item Name],$A101,tblLotBalance[Lot Balance],"&gt;0"),"")))</f>
        <v/>
      </c>
      <c r="N101" s="26" t="str">
        <f t="shared" ca="1" si="5"/>
        <v/>
      </c>
      <c r="O101" s="18" t="str" cm="1">
        <f t="array" ref="O101">IF($M101="","",IFERROR(INDEX(tblLotBalance[Lot Number],MATCH(1,INDEX((tblLotBalance[Item Name]=$A101)*(tblLotBalance[Expiry Date]=$M101)*(tblLotBalance[Lot Balance]&gt;0),0),0)),""))</f>
        <v/>
      </c>
      <c r="P101" s="28" t="str">
        <f>IF($A101="","",IF($I101&lt;0,"NEGATIVE",IF(NOT(ISNUMBER($F101)),"Set threshold",IF($I101&lt;=0,"OUT OF STOCK",IF($I101&lt;=$F101,"LOW",IF($I101&lt;=$F101*Settings!$C$7,"WATCH","OK"))))))</f>
        <v>OUT OF STOCK</v>
      </c>
      <c r="Q101" s="29" t="str">
        <f>IF($A101="","",IF($P101="NEGATIVE","Issued more than received - add the missing receipt",IF($P101="OUT OF STOCK","Reorder immediately",IF($P101="LOW","Raise purchase order",IF($P101="Set threshold","Enter Critical Low in Items",IF(AND($N101&lt;&gt;"",$N101&lt;=0),"Quarantine expired lot",IF(AND($N101&lt;&gt;"",$N101&lt;=Settings!$C$6),"Use or rotate stock now","")))))))</f>
        <v>Reorder immediately</v>
      </c>
    </row>
    <row r="102" spans="1:17" x14ac:dyDescent="0.35">
      <c r="A102" s="18" t="str">
        <f>IF(Items!$A102="","",Items!$A102)</f>
        <v>Wall Calendar</v>
      </c>
      <c r="B102" s="18" t="str">
        <f>IF($A102="","",Items!$B102)</f>
        <v>Office Supplies</v>
      </c>
      <c r="C102" s="19" t="str">
        <f>IF($A102="","",Items!$G102)</f>
        <v>Office Supplies</v>
      </c>
      <c r="D102" s="20">
        <f>IF($A102="","",N(Items!$D102))</f>
        <v>8</v>
      </c>
      <c r="E102" s="23">
        <f>IF($A102="","",Items!$E102)</f>
        <v>0</v>
      </c>
      <c r="F102" s="23">
        <f>IF($A102="","",Items!$F102)</f>
        <v>0</v>
      </c>
      <c r="G102" s="26">
        <f>IF($A102="","",SUMIFS(tblReceipts[Qty Received],tblReceipts[Item Name],$A102))</f>
        <v>0</v>
      </c>
      <c r="H102" s="26">
        <f>IF($A102="","",SUMIFS(tblIssues[Qty Issued],tblIssues[Item Name],$A102))</f>
        <v>0</v>
      </c>
      <c r="I102" s="27">
        <f t="shared" si="3"/>
        <v>0</v>
      </c>
      <c r="J102" s="21">
        <f t="shared" si="4"/>
        <v>0</v>
      </c>
      <c r="K102" s="26">
        <f>IF($A102="","",COUNTIFS(tblReceipts[Item Name],$A102))</f>
        <v>0</v>
      </c>
      <c r="L102" s="26">
        <f>IF($A102="","",COUNTIFS(tblLotBalance[Item Name],$A102,tblLotBalance[Lot Balance],"&gt;0"))</f>
        <v>0</v>
      </c>
      <c r="M102" s="24" t="str">
        <f>IF($A102="","",IF($L102=0,"",IFERROR(_xlfn.MINIFS(tblLotBalance[Expiry Date],tblLotBalance[Item Name],$A102,tblLotBalance[Lot Balance],"&gt;0"),"")))</f>
        <v/>
      </c>
      <c r="N102" s="26" t="str">
        <f t="shared" ca="1" si="5"/>
        <v/>
      </c>
      <c r="O102" s="18" t="str" cm="1">
        <f t="array" ref="O102">IF($M102="","",IFERROR(INDEX(tblLotBalance[Lot Number],MATCH(1,INDEX((tblLotBalance[Item Name]=$A102)*(tblLotBalance[Expiry Date]=$M102)*(tblLotBalance[Lot Balance]&gt;0),0),0)),""))</f>
        <v/>
      </c>
      <c r="P102" s="28" t="str">
        <f>IF($A102="","",IF($I102&lt;0,"NEGATIVE",IF(NOT(ISNUMBER($F102)),"Set threshold",IF($I102&lt;=0,"OUT OF STOCK",IF($I102&lt;=$F102,"LOW",IF($I102&lt;=$F102*Settings!$C$7,"WATCH","OK"))))))</f>
        <v>OUT OF STOCK</v>
      </c>
      <c r="Q102" s="29" t="str">
        <f>IF($A102="","",IF($P102="NEGATIVE","Issued more than received - add the missing receipt",IF($P102="OUT OF STOCK","Reorder immediately",IF($P102="LOW","Raise purchase order",IF($P102="Set threshold","Enter Critical Low in Items",IF(AND($N102&lt;&gt;"",$N102&lt;=0),"Quarantine expired lot",IF(AND($N102&lt;&gt;"",$N102&lt;=Settings!$C$6),"Use or rotate stock now","")))))))</f>
        <v>Reorder immediately</v>
      </c>
    </row>
    <row r="103" spans="1:17" x14ac:dyDescent="0.35">
      <c r="A103" s="18" t="str">
        <f>IF(Items!$A103="","",Items!$A103)</f>
        <v>Correction Tape</v>
      </c>
      <c r="B103" s="18" t="str">
        <f>IF($A103="","",Items!$B103)</f>
        <v>Office Supplies</v>
      </c>
      <c r="C103" s="19" t="str">
        <f>IF($A103="","",Items!$G103)</f>
        <v>Office Supplies</v>
      </c>
      <c r="D103" s="20">
        <f>IF($A103="","",N(Items!$D103))</f>
        <v>12.79</v>
      </c>
      <c r="E103" s="23">
        <f>IF($A103="","",Items!$E103)</f>
        <v>0</v>
      </c>
      <c r="F103" s="23">
        <f>IF($A103="","",Items!$F103)</f>
        <v>0</v>
      </c>
      <c r="G103" s="26">
        <f>IF($A103="","",SUMIFS(tblReceipts[Qty Received],tblReceipts[Item Name],$A103))</f>
        <v>0</v>
      </c>
      <c r="H103" s="26">
        <f>IF($A103="","",SUMIFS(tblIssues[Qty Issued],tblIssues[Item Name],$A103))</f>
        <v>0</v>
      </c>
      <c r="I103" s="27">
        <f t="shared" si="3"/>
        <v>0</v>
      </c>
      <c r="J103" s="21">
        <f t="shared" si="4"/>
        <v>0</v>
      </c>
      <c r="K103" s="26">
        <f>IF($A103="","",COUNTIFS(tblReceipts[Item Name],$A103))</f>
        <v>0</v>
      </c>
      <c r="L103" s="26">
        <f>IF($A103="","",COUNTIFS(tblLotBalance[Item Name],$A103,tblLotBalance[Lot Balance],"&gt;0"))</f>
        <v>0</v>
      </c>
      <c r="M103" s="24" t="str">
        <f>IF($A103="","",IF($L103=0,"",IFERROR(_xlfn.MINIFS(tblLotBalance[Expiry Date],tblLotBalance[Item Name],$A103,tblLotBalance[Lot Balance],"&gt;0"),"")))</f>
        <v/>
      </c>
      <c r="N103" s="26" t="str">
        <f t="shared" ca="1" si="5"/>
        <v/>
      </c>
      <c r="O103" s="18" t="str" cm="1">
        <f t="array" ref="O103">IF($M103="","",IFERROR(INDEX(tblLotBalance[Lot Number],MATCH(1,INDEX((tblLotBalance[Item Name]=$A103)*(tblLotBalance[Expiry Date]=$M103)*(tblLotBalance[Lot Balance]&gt;0),0),0)),""))</f>
        <v/>
      </c>
      <c r="P103" s="28" t="str">
        <f>IF($A103="","",IF($I103&lt;0,"NEGATIVE",IF(NOT(ISNUMBER($F103)),"Set threshold",IF($I103&lt;=0,"OUT OF STOCK",IF($I103&lt;=$F103,"LOW",IF($I103&lt;=$F103*Settings!$C$7,"WATCH","OK"))))))</f>
        <v>OUT OF STOCK</v>
      </c>
      <c r="Q103" s="29" t="str">
        <f>IF($A103="","",IF($P103="NEGATIVE","Issued more than received - add the missing receipt",IF($P103="OUT OF STOCK","Reorder immediately",IF($P103="LOW","Raise purchase order",IF($P103="Set threshold","Enter Critical Low in Items",IF(AND($N103&lt;&gt;"",$N103&lt;=0),"Quarantine expired lot",IF(AND($N103&lt;&gt;"",$N103&lt;=Settings!$C$6),"Use or rotate stock now","")))))))</f>
        <v>Reorder immediately</v>
      </c>
    </row>
    <row r="104" spans="1:17" x14ac:dyDescent="0.35">
      <c r="A104" s="18" t="str">
        <f>IF(Items!$A104="","",Items!$A104)</f>
        <v>Calculator</v>
      </c>
      <c r="B104" s="18" t="str">
        <f>IF($A104="","",Items!$B104)</f>
        <v>Office Supplies</v>
      </c>
      <c r="C104" s="19" t="str">
        <f>IF($A104="","",Items!$G104)</f>
        <v>Office Supplies</v>
      </c>
      <c r="D104" s="20">
        <f>IF($A104="","",N(Items!$D104))</f>
        <v>15</v>
      </c>
      <c r="E104" s="23">
        <f>IF($A104="","",Items!$E104)</f>
        <v>0</v>
      </c>
      <c r="F104" s="23">
        <f>IF($A104="","",Items!$F104)</f>
        <v>0</v>
      </c>
      <c r="G104" s="26">
        <f>IF($A104="","",SUMIFS(tblReceipts[Qty Received],tblReceipts[Item Name],$A104))</f>
        <v>0</v>
      </c>
      <c r="H104" s="26">
        <f>IF($A104="","",SUMIFS(tblIssues[Qty Issued],tblIssues[Item Name],$A104))</f>
        <v>0</v>
      </c>
      <c r="I104" s="27">
        <f t="shared" si="3"/>
        <v>0</v>
      </c>
      <c r="J104" s="21">
        <f t="shared" si="4"/>
        <v>0</v>
      </c>
      <c r="K104" s="26">
        <f>IF($A104="","",COUNTIFS(tblReceipts[Item Name],$A104))</f>
        <v>0</v>
      </c>
      <c r="L104" s="26">
        <f>IF($A104="","",COUNTIFS(tblLotBalance[Item Name],$A104,tblLotBalance[Lot Balance],"&gt;0"))</f>
        <v>0</v>
      </c>
      <c r="M104" s="24" t="str">
        <f>IF($A104="","",IF($L104=0,"",IFERROR(_xlfn.MINIFS(tblLotBalance[Expiry Date],tblLotBalance[Item Name],$A104,tblLotBalance[Lot Balance],"&gt;0"),"")))</f>
        <v/>
      </c>
      <c r="N104" s="26" t="str">
        <f t="shared" ca="1" si="5"/>
        <v/>
      </c>
      <c r="O104" s="18" t="str" cm="1">
        <f t="array" ref="O104">IF($M104="","",IFERROR(INDEX(tblLotBalance[Lot Number],MATCH(1,INDEX((tblLotBalance[Item Name]=$A104)*(tblLotBalance[Expiry Date]=$M104)*(tblLotBalance[Lot Balance]&gt;0),0),0)),""))</f>
        <v/>
      </c>
      <c r="P104" s="28" t="str">
        <f>IF($A104="","",IF($I104&lt;0,"NEGATIVE",IF(NOT(ISNUMBER($F104)),"Set threshold",IF($I104&lt;=0,"OUT OF STOCK",IF($I104&lt;=$F104,"LOW",IF($I104&lt;=$F104*Settings!$C$7,"WATCH","OK"))))))</f>
        <v>OUT OF STOCK</v>
      </c>
      <c r="Q104" s="29" t="str">
        <f>IF($A104="","",IF($P104="NEGATIVE","Issued more than received - add the missing receipt",IF($P104="OUT OF STOCK","Reorder immediately",IF($P104="LOW","Raise purchase order",IF($P104="Set threshold","Enter Critical Low in Items",IF(AND($N104&lt;&gt;"",$N104&lt;=0),"Quarantine expired lot",IF(AND($N104&lt;&gt;"",$N104&lt;=Settings!$C$6),"Use or rotate stock now","")))))))</f>
        <v>Reorder immediately</v>
      </c>
    </row>
    <row r="105" spans="1:17" x14ac:dyDescent="0.35">
      <c r="A105" s="18" t="str">
        <f>IF(Items!$A105="","",Items!$A105)</f>
        <v>Mouse Pad</v>
      </c>
      <c r="B105" s="18" t="str">
        <f>IF($A105="","",Items!$B105)</f>
        <v>Office Supplies</v>
      </c>
      <c r="C105" s="19" t="str">
        <f>IF($A105="","",Items!$G105)</f>
        <v>Office Supplies</v>
      </c>
      <c r="D105" s="20">
        <f>IF($A105="","",N(Items!$D105))</f>
        <v>4</v>
      </c>
      <c r="E105" s="23">
        <f>IF($A105="","",Items!$E105)</f>
        <v>0</v>
      </c>
      <c r="F105" s="23">
        <f>IF($A105="","",Items!$F105)</f>
        <v>0</v>
      </c>
      <c r="G105" s="26">
        <f>IF($A105="","",SUMIFS(tblReceipts[Qty Received],tblReceipts[Item Name],$A105))</f>
        <v>0</v>
      </c>
      <c r="H105" s="26">
        <f>IF($A105="","",SUMIFS(tblIssues[Qty Issued],tblIssues[Item Name],$A105))</f>
        <v>0</v>
      </c>
      <c r="I105" s="27">
        <f t="shared" si="3"/>
        <v>0</v>
      </c>
      <c r="J105" s="21">
        <f t="shared" si="4"/>
        <v>0</v>
      </c>
      <c r="K105" s="26">
        <f>IF($A105="","",COUNTIFS(tblReceipts[Item Name],$A105))</f>
        <v>0</v>
      </c>
      <c r="L105" s="26">
        <f>IF($A105="","",COUNTIFS(tblLotBalance[Item Name],$A105,tblLotBalance[Lot Balance],"&gt;0"))</f>
        <v>0</v>
      </c>
      <c r="M105" s="24" t="str">
        <f>IF($A105="","",IF($L105=0,"",IFERROR(_xlfn.MINIFS(tblLotBalance[Expiry Date],tblLotBalance[Item Name],$A105,tblLotBalance[Lot Balance],"&gt;0"),"")))</f>
        <v/>
      </c>
      <c r="N105" s="26" t="str">
        <f t="shared" ca="1" si="5"/>
        <v/>
      </c>
      <c r="O105" s="18" t="str" cm="1">
        <f t="array" ref="O105">IF($M105="","",IFERROR(INDEX(tblLotBalance[Lot Number],MATCH(1,INDEX((tblLotBalance[Item Name]=$A105)*(tblLotBalance[Expiry Date]=$M105)*(tblLotBalance[Lot Balance]&gt;0),0),0)),""))</f>
        <v/>
      </c>
      <c r="P105" s="28" t="str">
        <f>IF($A105="","",IF($I105&lt;0,"NEGATIVE",IF(NOT(ISNUMBER($F105)),"Set threshold",IF($I105&lt;=0,"OUT OF STOCK",IF($I105&lt;=$F105,"LOW",IF($I105&lt;=$F105*Settings!$C$7,"WATCH","OK"))))))</f>
        <v>OUT OF STOCK</v>
      </c>
      <c r="Q105" s="29" t="str">
        <f>IF($A105="","",IF($P105="NEGATIVE","Issued more than received - add the missing receipt",IF($P105="OUT OF STOCK","Reorder immediately",IF($P105="LOW","Raise purchase order",IF($P105="Set threshold","Enter Critical Low in Items",IF(AND($N105&lt;&gt;"",$N105&lt;=0),"Quarantine expired lot",IF(AND($N105&lt;&gt;"",$N105&lt;=Settings!$C$6),"Use or rotate stock now","")))))))</f>
        <v>Reorder immediately</v>
      </c>
    </row>
    <row r="106" spans="1:17" x14ac:dyDescent="0.35">
      <c r="A106" s="18" t="str">
        <f>IF(Items!$A106="","",Items!$A106)</f>
        <v>USB Drive</v>
      </c>
      <c r="B106" s="18" t="str">
        <f>IF($A106="","",Items!$B106)</f>
        <v>Office Supplies</v>
      </c>
      <c r="C106" s="19" t="str">
        <f>IF($A106="","",Items!$G106)</f>
        <v>Office Supplies</v>
      </c>
      <c r="D106" s="20">
        <f>IF($A106="","",N(Items!$D106))</f>
        <v>20</v>
      </c>
      <c r="E106" s="23">
        <f>IF($A106="","",Items!$E106)</f>
        <v>0</v>
      </c>
      <c r="F106" s="23">
        <f>IF($A106="","",Items!$F106)</f>
        <v>0</v>
      </c>
      <c r="G106" s="26">
        <f>IF($A106="","",SUMIFS(tblReceipts[Qty Received],tblReceipts[Item Name],$A106))</f>
        <v>0</v>
      </c>
      <c r="H106" s="26">
        <f>IF($A106="","",SUMIFS(tblIssues[Qty Issued],tblIssues[Item Name],$A106))</f>
        <v>0</v>
      </c>
      <c r="I106" s="27">
        <f t="shared" si="3"/>
        <v>0</v>
      </c>
      <c r="J106" s="21">
        <f t="shared" si="4"/>
        <v>0</v>
      </c>
      <c r="K106" s="26">
        <f>IF($A106="","",COUNTIFS(tblReceipts[Item Name],$A106))</f>
        <v>0</v>
      </c>
      <c r="L106" s="26">
        <f>IF($A106="","",COUNTIFS(tblLotBalance[Item Name],$A106,tblLotBalance[Lot Balance],"&gt;0"))</f>
        <v>0</v>
      </c>
      <c r="M106" s="24" t="str">
        <f>IF($A106="","",IF($L106=0,"",IFERROR(_xlfn.MINIFS(tblLotBalance[Expiry Date],tblLotBalance[Item Name],$A106,tblLotBalance[Lot Balance],"&gt;0"),"")))</f>
        <v/>
      </c>
      <c r="N106" s="26" t="str">
        <f t="shared" ca="1" si="5"/>
        <v/>
      </c>
      <c r="O106" s="18" t="str" cm="1">
        <f t="array" ref="O106">IF($M106="","",IFERROR(INDEX(tblLotBalance[Lot Number],MATCH(1,INDEX((tblLotBalance[Item Name]=$A106)*(tblLotBalance[Expiry Date]=$M106)*(tblLotBalance[Lot Balance]&gt;0),0),0)),""))</f>
        <v/>
      </c>
      <c r="P106" s="28" t="str">
        <f>IF($A106="","",IF($I106&lt;0,"NEGATIVE",IF(NOT(ISNUMBER($F106)),"Set threshold",IF($I106&lt;=0,"OUT OF STOCK",IF($I106&lt;=$F106,"LOW",IF($I106&lt;=$F106*Settings!$C$7,"WATCH","OK"))))))</f>
        <v>OUT OF STOCK</v>
      </c>
      <c r="Q106" s="29" t="str">
        <f>IF($A106="","",IF($P106="NEGATIVE","Issued more than received - add the missing receipt",IF($P106="OUT OF STOCK","Reorder immediately",IF($P106="LOW","Raise purchase order",IF($P106="Set threshold","Enter Critical Low in Items",IF(AND($N106&lt;&gt;"",$N106&lt;=0),"Quarantine expired lot",IF(AND($N106&lt;&gt;"",$N106&lt;=Settings!$C$6),"Use or rotate stock now","")))))))</f>
        <v>Reorder immediately</v>
      </c>
    </row>
    <row r="107" spans="1:17" x14ac:dyDescent="0.35">
      <c r="A107" s="18" t="str">
        <f>IF(Items!$A107="","",Items!$A107)</f>
        <v>Tissue Box</v>
      </c>
      <c r="B107" s="18" t="str">
        <f>IF($A107="","",Items!$B107)</f>
        <v>Pantry</v>
      </c>
      <c r="C107" s="19" t="str">
        <f>IF($A107="","",Items!$G107)</f>
        <v>Office Supplies</v>
      </c>
      <c r="D107" s="20">
        <f>IF($A107="","",N(Items!$D107))</f>
        <v>3.5</v>
      </c>
      <c r="E107" s="23">
        <f>IF($A107="","",Items!$E107)</f>
        <v>0</v>
      </c>
      <c r="F107" s="23">
        <f>IF($A107="","",Items!$F107)</f>
        <v>0</v>
      </c>
      <c r="G107" s="26">
        <f>IF($A107="","",SUMIFS(tblReceipts[Qty Received],tblReceipts[Item Name],$A107))</f>
        <v>0</v>
      </c>
      <c r="H107" s="26">
        <f>IF($A107="","",SUMIFS(tblIssues[Qty Issued],tblIssues[Item Name],$A107))</f>
        <v>0</v>
      </c>
      <c r="I107" s="27">
        <f t="shared" si="3"/>
        <v>0</v>
      </c>
      <c r="J107" s="21">
        <f t="shared" si="4"/>
        <v>0</v>
      </c>
      <c r="K107" s="26">
        <f>IF($A107="","",COUNTIFS(tblReceipts[Item Name],$A107))</f>
        <v>0</v>
      </c>
      <c r="L107" s="26">
        <f>IF($A107="","",COUNTIFS(tblLotBalance[Item Name],$A107,tblLotBalance[Lot Balance],"&gt;0"))</f>
        <v>0</v>
      </c>
      <c r="M107" s="24" t="str">
        <f>IF($A107="","",IF($L107=0,"",IFERROR(_xlfn.MINIFS(tblLotBalance[Expiry Date],tblLotBalance[Item Name],$A107,tblLotBalance[Lot Balance],"&gt;0"),"")))</f>
        <v/>
      </c>
      <c r="N107" s="26" t="str">
        <f t="shared" ca="1" si="5"/>
        <v/>
      </c>
      <c r="O107" s="18" t="str" cm="1">
        <f t="array" ref="O107">IF($M107="","",IFERROR(INDEX(tblLotBalance[Lot Number],MATCH(1,INDEX((tblLotBalance[Item Name]=$A107)*(tblLotBalance[Expiry Date]=$M107)*(tblLotBalance[Lot Balance]&gt;0),0),0)),""))</f>
        <v/>
      </c>
      <c r="P107" s="28" t="str">
        <f>IF($A107="","",IF($I107&lt;0,"NEGATIVE",IF(NOT(ISNUMBER($F107)),"Set threshold",IF($I107&lt;=0,"OUT OF STOCK",IF($I107&lt;=$F107,"LOW",IF($I107&lt;=$F107*Settings!$C$7,"WATCH","OK"))))))</f>
        <v>OUT OF STOCK</v>
      </c>
      <c r="Q107" s="29" t="str">
        <f>IF($A107="","",IF($P107="NEGATIVE","Issued more than received - add the missing receipt",IF($P107="OUT OF STOCK","Reorder immediately",IF($P107="LOW","Raise purchase order",IF($P107="Set threshold","Enter Critical Low in Items",IF(AND($N107&lt;&gt;"",$N107&lt;=0),"Quarantine expired lot",IF(AND($N107&lt;&gt;"",$N107&lt;=Settings!$C$6),"Use or rotate stock now","")))))))</f>
        <v>Reorder immediately</v>
      </c>
    </row>
    <row r="108" spans="1:17" x14ac:dyDescent="0.35">
      <c r="A108" s="18" t="str">
        <f>IF(Items!$A108="","",Items!$A108)</f>
        <v>Paper Towels</v>
      </c>
      <c r="B108" s="18" t="str">
        <f>IF($A108="","",Items!$B108)</f>
        <v>Pantry</v>
      </c>
      <c r="C108" s="19" t="str">
        <f>IF($A108="","",Items!$G108)</f>
        <v>Office Supplies</v>
      </c>
      <c r="D108" s="20">
        <f>IF($A108="","",N(Items!$D108))</f>
        <v>5</v>
      </c>
      <c r="E108" s="23">
        <f>IF($A108="","",Items!$E108)</f>
        <v>0</v>
      </c>
      <c r="F108" s="23">
        <f>IF($A108="","",Items!$F108)</f>
        <v>0</v>
      </c>
      <c r="G108" s="26">
        <f>IF($A108="","",SUMIFS(tblReceipts[Qty Received],tblReceipts[Item Name],$A108))</f>
        <v>0</v>
      </c>
      <c r="H108" s="26">
        <f>IF($A108="","",SUMIFS(tblIssues[Qty Issued],tblIssues[Item Name],$A108))</f>
        <v>0</v>
      </c>
      <c r="I108" s="27">
        <f t="shared" si="3"/>
        <v>0</v>
      </c>
      <c r="J108" s="21">
        <f t="shared" si="4"/>
        <v>0</v>
      </c>
      <c r="K108" s="26">
        <f>IF($A108="","",COUNTIFS(tblReceipts[Item Name],$A108))</f>
        <v>0</v>
      </c>
      <c r="L108" s="26">
        <f>IF($A108="","",COUNTIFS(tblLotBalance[Item Name],$A108,tblLotBalance[Lot Balance],"&gt;0"))</f>
        <v>0</v>
      </c>
      <c r="M108" s="24" t="str">
        <f>IF($A108="","",IF($L108=0,"",IFERROR(_xlfn.MINIFS(tblLotBalance[Expiry Date],tblLotBalance[Item Name],$A108,tblLotBalance[Lot Balance],"&gt;0"),"")))</f>
        <v/>
      </c>
      <c r="N108" s="26" t="str">
        <f t="shared" ca="1" si="5"/>
        <v/>
      </c>
      <c r="O108" s="18" t="str" cm="1">
        <f t="array" ref="O108">IF($M108="","",IFERROR(INDEX(tblLotBalance[Lot Number],MATCH(1,INDEX((tblLotBalance[Item Name]=$A108)*(tblLotBalance[Expiry Date]=$M108)*(tblLotBalance[Lot Balance]&gt;0),0),0)),""))</f>
        <v/>
      </c>
      <c r="P108" s="28" t="str">
        <f>IF($A108="","",IF($I108&lt;0,"NEGATIVE",IF(NOT(ISNUMBER($F108)),"Set threshold",IF($I108&lt;=0,"OUT OF STOCK",IF($I108&lt;=$F108,"LOW",IF($I108&lt;=$F108*Settings!$C$7,"WATCH","OK"))))))</f>
        <v>OUT OF STOCK</v>
      </c>
      <c r="Q108" s="29" t="str">
        <f>IF($A108="","",IF($P108="NEGATIVE","Issued more than received - add the missing receipt",IF($P108="OUT OF STOCK","Reorder immediately",IF($P108="LOW","Raise purchase order",IF($P108="Set threshold","Enter Critical Low in Items",IF(AND($N108&lt;&gt;"",$N108&lt;=0),"Quarantine expired lot",IF(AND($N108&lt;&gt;"",$N108&lt;=Settings!$C$6),"Use or rotate stock now","")))))))</f>
        <v>Reorder immediately</v>
      </c>
    </row>
    <row r="109" spans="1:17" x14ac:dyDescent="0.35">
      <c r="A109" s="18" t="str">
        <f>IF(Items!$A109="","",Items!$A109)</f>
        <v>Hand Wash</v>
      </c>
      <c r="B109" s="18" t="str">
        <f>IF($A109="","",Items!$B109)</f>
        <v>Pantry</v>
      </c>
      <c r="C109" s="19" t="str">
        <f>IF($A109="","",Items!$G109)</f>
        <v>Office Supplies</v>
      </c>
      <c r="D109" s="20">
        <f>IF($A109="","",N(Items!$D109))</f>
        <v>4</v>
      </c>
      <c r="E109" s="23">
        <f>IF($A109="","",Items!$E109)</f>
        <v>0</v>
      </c>
      <c r="F109" s="23">
        <f>IF($A109="","",Items!$F109)</f>
        <v>0</v>
      </c>
      <c r="G109" s="26">
        <f>IF($A109="","",SUMIFS(tblReceipts[Qty Received],tblReceipts[Item Name],$A109))</f>
        <v>0</v>
      </c>
      <c r="H109" s="26">
        <f>IF($A109="","",SUMIFS(tblIssues[Qty Issued],tblIssues[Item Name],$A109))</f>
        <v>0</v>
      </c>
      <c r="I109" s="27">
        <f t="shared" si="3"/>
        <v>0</v>
      </c>
      <c r="J109" s="21">
        <f t="shared" si="4"/>
        <v>0</v>
      </c>
      <c r="K109" s="26">
        <f>IF($A109="","",COUNTIFS(tblReceipts[Item Name],$A109))</f>
        <v>0</v>
      </c>
      <c r="L109" s="26">
        <f>IF($A109="","",COUNTIFS(tblLotBalance[Item Name],$A109,tblLotBalance[Lot Balance],"&gt;0"))</f>
        <v>0</v>
      </c>
      <c r="M109" s="24" t="str">
        <f>IF($A109="","",IF($L109=0,"",IFERROR(_xlfn.MINIFS(tblLotBalance[Expiry Date],tblLotBalance[Item Name],$A109,tblLotBalance[Lot Balance],"&gt;0"),"")))</f>
        <v/>
      </c>
      <c r="N109" s="26" t="str">
        <f t="shared" ca="1" si="5"/>
        <v/>
      </c>
      <c r="O109" s="18" t="str" cm="1">
        <f t="array" ref="O109">IF($M109="","",IFERROR(INDEX(tblLotBalance[Lot Number],MATCH(1,INDEX((tblLotBalance[Item Name]=$A109)*(tblLotBalance[Expiry Date]=$M109)*(tblLotBalance[Lot Balance]&gt;0),0),0)),""))</f>
        <v/>
      </c>
      <c r="P109" s="28" t="str">
        <f>IF($A109="","",IF($I109&lt;0,"NEGATIVE",IF(NOT(ISNUMBER($F109)),"Set threshold",IF($I109&lt;=0,"OUT OF STOCK",IF($I109&lt;=$F109,"LOW",IF($I109&lt;=$F109*Settings!$C$7,"WATCH","OK"))))))</f>
        <v>OUT OF STOCK</v>
      </c>
      <c r="Q109" s="29" t="str">
        <f>IF($A109="","",IF($P109="NEGATIVE","Issued more than received - add the missing receipt",IF($P109="OUT OF STOCK","Reorder immediately",IF($P109="LOW","Raise purchase order",IF($P109="Set threshold","Enter Critical Low in Items",IF(AND($N109&lt;&gt;"",$N109&lt;=0),"Quarantine expired lot",IF(AND($N109&lt;&gt;"",$N109&lt;=Settings!$C$6),"Use or rotate stock now","")))))))</f>
        <v>Reorder immediately</v>
      </c>
    </row>
    <row r="110" spans="1:17" x14ac:dyDescent="0.35">
      <c r="A110" s="18" t="str">
        <f>IF(Items!$A110="","",Items!$A110)</f>
        <v>Coffee</v>
      </c>
      <c r="B110" s="18" t="str">
        <f>IF($A110="","",Items!$B110)</f>
        <v>Pantry</v>
      </c>
      <c r="C110" s="19" t="str">
        <f>IF($A110="","",Items!$G110)</f>
        <v>Office Supplies</v>
      </c>
      <c r="D110" s="20">
        <f>IF($A110="","",N(Items!$D110))</f>
        <v>15</v>
      </c>
      <c r="E110" s="23">
        <f>IF($A110="","",Items!$E110)</f>
        <v>0</v>
      </c>
      <c r="F110" s="23">
        <f>IF($A110="","",Items!$F110)</f>
        <v>0</v>
      </c>
      <c r="G110" s="26">
        <f>IF($A110="","",SUMIFS(tblReceipts[Qty Received],tblReceipts[Item Name],$A110))</f>
        <v>0</v>
      </c>
      <c r="H110" s="26">
        <f>IF($A110="","",SUMIFS(tblIssues[Qty Issued],tblIssues[Item Name],$A110))</f>
        <v>0</v>
      </c>
      <c r="I110" s="27">
        <f t="shared" si="3"/>
        <v>0</v>
      </c>
      <c r="J110" s="21">
        <f t="shared" si="4"/>
        <v>0</v>
      </c>
      <c r="K110" s="26">
        <f>IF($A110="","",COUNTIFS(tblReceipts[Item Name],$A110))</f>
        <v>0</v>
      </c>
      <c r="L110" s="26">
        <f>IF($A110="","",COUNTIFS(tblLotBalance[Item Name],$A110,tblLotBalance[Lot Balance],"&gt;0"))</f>
        <v>0</v>
      </c>
      <c r="M110" s="24" t="str">
        <f>IF($A110="","",IF($L110=0,"",IFERROR(_xlfn.MINIFS(tblLotBalance[Expiry Date],tblLotBalance[Item Name],$A110,tblLotBalance[Lot Balance],"&gt;0"),"")))</f>
        <v/>
      </c>
      <c r="N110" s="26" t="str">
        <f t="shared" ca="1" si="5"/>
        <v/>
      </c>
      <c r="O110" s="18" t="str" cm="1">
        <f t="array" ref="O110">IF($M110="","",IFERROR(INDEX(tblLotBalance[Lot Number],MATCH(1,INDEX((tblLotBalance[Item Name]=$A110)*(tblLotBalance[Expiry Date]=$M110)*(tblLotBalance[Lot Balance]&gt;0),0),0)),""))</f>
        <v/>
      </c>
      <c r="P110" s="28" t="str">
        <f>IF($A110="","",IF($I110&lt;0,"NEGATIVE",IF(NOT(ISNUMBER($F110)),"Set threshold",IF($I110&lt;=0,"OUT OF STOCK",IF($I110&lt;=$F110,"LOW",IF($I110&lt;=$F110*Settings!$C$7,"WATCH","OK"))))))</f>
        <v>OUT OF STOCK</v>
      </c>
      <c r="Q110" s="29" t="str">
        <f>IF($A110="","",IF($P110="NEGATIVE","Issued more than received - add the missing receipt",IF($P110="OUT OF STOCK","Reorder immediately",IF($P110="LOW","Raise purchase order",IF($P110="Set threshold","Enter Critical Low in Items",IF(AND($N110&lt;&gt;"",$N110&lt;=0),"Quarantine expired lot",IF(AND($N110&lt;&gt;"",$N110&lt;=Settings!$C$6),"Use or rotate stock now","")))))))</f>
        <v>Reorder immediately</v>
      </c>
    </row>
    <row r="111" spans="1:17" x14ac:dyDescent="0.35">
      <c r="A111" s="18" t="str">
        <f>IF(Items!$A111="","",Items!$A111)</f>
        <v>Tea Bags</v>
      </c>
      <c r="B111" s="18" t="str">
        <f>IF($A111="","",Items!$B111)</f>
        <v>Pantry</v>
      </c>
      <c r="C111" s="19" t="str">
        <f>IF($A111="","",Items!$G111)</f>
        <v>Office Supplies</v>
      </c>
      <c r="D111" s="20">
        <f>IF($A111="","",N(Items!$D111))</f>
        <v>8</v>
      </c>
      <c r="E111" s="23">
        <f>IF($A111="","",Items!$E111)</f>
        <v>0</v>
      </c>
      <c r="F111" s="23">
        <f>IF($A111="","",Items!$F111)</f>
        <v>0</v>
      </c>
      <c r="G111" s="26">
        <f>IF($A111="","",SUMIFS(tblReceipts[Qty Received],tblReceipts[Item Name],$A111))</f>
        <v>0</v>
      </c>
      <c r="H111" s="26">
        <f>IF($A111="","",SUMIFS(tblIssues[Qty Issued],tblIssues[Item Name],$A111))</f>
        <v>0</v>
      </c>
      <c r="I111" s="27">
        <f t="shared" si="3"/>
        <v>0</v>
      </c>
      <c r="J111" s="21">
        <f t="shared" si="4"/>
        <v>0</v>
      </c>
      <c r="K111" s="26">
        <f>IF($A111="","",COUNTIFS(tblReceipts[Item Name],$A111))</f>
        <v>0</v>
      </c>
      <c r="L111" s="26">
        <f>IF($A111="","",COUNTIFS(tblLotBalance[Item Name],$A111,tblLotBalance[Lot Balance],"&gt;0"))</f>
        <v>0</v>
      </c>
      <c r="M111" s="24" t="str">
        <f>IF($A111="","",IF($L111=0,"",IFERROR(_xlfn.MINIFS(tblLotBalance[Expiry Date],tblLotBalance[Item Name],$A111,tblLotBalance[Lot Balance],"&gt;0"),"")))</f>
        <v/>
      </c>
      <c r="N111" s="26" t="str">
        <f t="shared" ca="1" si="5"/>
        <v/>
      </c>
      <c r="O111" s="18" t="str" cm="1">
        <f t="array" ref="O111">IF($M111="","",IFERROR(INDEX(tblLotBalance[Lot Number],MATCH(1,INDEX((tblLotBalance[Item Name]=$A111)*(tblLotBalance[Expiry Date]=$M111)*(tblLotBalance[Lot Balance]&gt;0),0),0)),""))</f>
        <v/>
      </c>
      <c r="P111" s="28" t="str">
        <f>IF($A111="","",IF($I111&lt;0,"NEGATIVE",IF(NOT(ISNUMBER($F111)),"Set threshold",IF($I111&lt;=0,"OUT OF STOCK",IF($I111&lt;=$F111,"LOW",IF($I111&lt;=$F111*Settings!$C$7,"WATCH","OK"))))))</f>
        <v>OUT OF STOCK</v>
      </c>
      <c r="Q111" s="29" t="str">
        <f>IF($A111="","",IF($P111="NEGATIVE","Issued more than received - add the missing receipt",IF($P111="OUT OF STOCK","Reorder immediately",IF($P111="LOW","Raise purchase order",IF($P111="Set threshold","Enter Critical Low in Items",IF(AND($N111&lt;&gt;"",$N111&lt;=0),"Quarantine expired lot",IF(AND($N111&lt;&gt;"",$N111&lt;=Settings!$C$6),"Use or rotate stock now","")))))))</f>
        <v>Reorder immediately</v>
      </c>
    </row>
    <row r="112" spans="1:17" x14ac:dyDescent="0.35">
      <c r="A112" s="18" t="str">
        <f>IF(Items!$A112="","",Items!$A112)</f>
        <v>Sugar Sachets</v>
      </c>
      <c r="B112" s="18" t="str">
        <f>IF($A112="","",Items!$B112)</f>
        <v>Pantry</v>
      </c>
      <c r="C112" s="19" t="str">
        <f>IF($A112="","",Items!$G112)</f>
        <v>Office Supplies</v>
      </c>
      <c r="D112" s="20">
        <f>IF($A112="","",N(Items!$D112))</f>
        <v>6</v>
      </c>
      <c r="E112" s="23">
        <f>IF($A112="","",Items!$E112)</f>
        <v>0</v>
      </c>
      <c r="F112" s="23">
        <f>IF($A112="","",Items!$F112)</f>
        <v>0</v>
      </c>
      <c r="G112" s="26">
        <f>IF($A112="","",SUMIFS(tblReceipts[Qty Received],tblReceipts[Item Name],$A112))</f>
        <v>0</v>
      </c>
      <c r="H112" s="26">
        <f>IF($A112="","",SUMIFS(tblIssues[Qty Issued],tblIssues[Item Name],$A112))</f>
        <v>0</v>
      </c>
      <c r="I112" s="27">
        <f t="shared" si="3"/>
        <v>0</v>
      </c>
      <c r="J112" s="21">
        <f t="shared" si="4"/>
        <v>0</v>
      </c>
      <c r="K112" s="26">
        <f>IF($A112="","",COUNTIFS(tblReceipts[Item Name],$A112))</f>
        <v>0</v>
      </c>
      <c r="L112" s="26">
        <f>IF($A112="","",COUNTIFS(tblLotBalance[Item Name],$A112,tblLotBalance[Lot Balance],"&gt;0"))</f>
        <v>0</v>
      </c>
      <c r="M112" s="24" t="str">
        <f>IF($A112="","",IF($L112=0,"",IFERROR(_xlfn.MINIFS(tblLotBalance[Expiry Date],tblLotBalance[Item Name],$A112,tblLotBalance[Lot Balance],"&gt;0"),"")))</f>
        <v/>
      </c>
      <c r="N112" s="26" t="str">
        <f t="shared" ca="1" si="5"/>
        <v/>
      </c>
      <c r="O112" s="18" t="str" cm="1">
        <f t="array" ref="O112">IF($M112="","",IFERROR(INDEX(tblLotBalance[Lot Number],MATCH(1,INDEX((tblLotBalance[Item Name]=$A112)*(tblLotBalance[Expiry Date]=$M112)*(tblLotBalance[Lot Balance]&gt;0),0),0)),""))</f>
        <v/>
      </c>
      <c r="P112" s="28" t="str">
        <f>IF($A112="","",IF($I112&lt;0,"NEGATIVE",IF(NOT(ISNUMBER($F112)),"Set threshold",IF($I112&lt;=0,"OUT OF STOCK",IF($I112&lt;=$F112,"LOW",IF($I112&lt;=$F112*Settings!$C$7,"WATCH","OK"))))))</f>
        <v>OUT OF STOCK</v>
      </c>
      <c r="Q112" s="29" t="str">
        <f>IF($A112="","",IF($P112="NEGATIVE","Issued more than received - add the missing receipt",IF($P112="OUT OF STOCK","Reorder immediately",IF($P112="LOW","Raise purchase order",IF($P112="Set threshold","Enter Critical Low in Items",IF(AND($N112&lt;&gt;"",$N112&lt;=0),"Quarantine expired lot",IF(AND($N112&lt;&gt;"",$N112&lt;=Settings!$C$6),"Use or rotate stock now","")))))))</f>
        <v>Reorder immediately</v>
      </c>
    </row>
    <row r="113" spans="1:17" x14ac:dyDescent="0.35">
      <c r="A113" s="18" t="str">
        <f>IF(Items!$A113="","",Items!$A113)</f>
        <v>Disposable Cups</v>
      </c>
      <c r="B113" s="18" t="str">
        <f>IF($A113="","",Items!$B113)</f>
        <v>Pantry</v>
      </c>
      <c r="C113" s="19" t="str">
        <f>IF($A113="","",Items!$G113)</f>
        <v>Office Supplies</v>
      </c>
      <c r="D113" s="20">
        <f>IF($A113="","",N(Items!$D113))</f>
        <v>5.5</v>
      </c>
      <c r="E113" s="23">
        <f>IF($A113="","",Items!$E113)</f>
        <v>0</v>
      </c>
      <c r="F113" s="23">
        <f>IF($A113="","",Items!$F113)</f>
        <v>0</v>
      </c>
      <c r="G113" s="26">
        <f>IF($A113="","",SUMIFS(tblReceipts[Qty Received],tblReceipts[Item Name],$A113))</f>
        <v>0</v>
      </c>
      <c r="H113" s="26">
        <f>IF($A113="","",SUMIFS(tblIssues[Qty Issued],tblIssues[Item Name],$A113))</f>
        <v>0</v>
      </c>
      <c r="I113" s="27">
        <f t="shared" si="3"/>
        <v>0</v>
      </c>
      <c r="J113" s="21">
        <f t="shared" si="4"/>
        <v>0</v>
      </c>
      <c r="K113" s="26">
        <f>IF($A113="","",COUNTIFS(tblReceipts[Item Name],$A113))</f>
        <v>0</v>
      </c>
      <c r="L113" s="26">
        <f>IF($A113="","",COUNTIFS(tblLotBalance[Item Name],$A113,tblLotBalance[Lot Balance],"&gt;0"))</f>
        <v>0</v>
      </c>
      <c r="M113" s="24" t="str">
        <f>IF($A113="","",IF($L113=0,"",IFERROR(_xlfn.MINIFS(tblLotBalance[Expiry Date],tblLotBalance[Item Name],$A113,tblLotBalance[Lot Balance],"&gt;0"),"")))</f>
        <v/>
      </c>
      <c r="N113" s="26" t="str">
        <f t="shared" ca="1" si="5"/>
        <v/>
      </c>
      <c r="O113" s="18" t="str" cm="1">
        <f t="array" ref="O113">IF($M113="","",IFERROR(INDEX(tblLotBalance[Lot Number],MATCH(1,INDEX((tblLotBalance[Item Name]=$A113)*(tblLotBalance[Expiry Date]=$M113)*(tblLotBalance[Lot Balance]&gt;0),0),0)),""))</f>
        <v/>
      </c>
      <c r="P113" s="28" t="str">
        <f>IF($A113="","",IF($I113&lt;0,"NEGATIVE",IF(NOT(ISNUMBER($F113)),"Set threshold",IF($I113&lt;=0,"OUT OF STOCK",IF($I113&lt;=$F113,"LOW",IF($I113&lt;=$F113*Settings!$C$7,"WATCH","OK"))))))</f>
        <v>OUT OF STOCK</v>
      </c>
      <c r="Q113" s="29" t="str">
        <f>IF($A113="","",IF($P113="NEGATIVE","Issued more than received - add the missing receipt",IF($P113="OUT OF STOCK","Reorder immediately",IF($P113="LOW","Raise purchase order",IF($P113="Set threshold","Enter Critical Low in Items",IF(AND($N113&lt;&gt;"",$N113&lt;=0),"Quarantine expired lot",IF(AND($N113&lt;&gt;"",$N113&lt;=Settings!$C$6),"Use or rotate stock now","")))))))</f>
        <v>Reorder immediately</v>
      </c>
    </row>
    <row r="114" spans="1:17" x14ac:dyDescent="0.35">
      <c r="A114" s="18" t="str">
        <f>IF(Items!$A114="","",Items!$A114)</f>
        <v>TV Monitor 65 inches Board room</v>
      </c>
      <c r="B114" s="18" t="str">
        <f>IF($A114="","",Items!$B114)</f>
        <v>Electronincs</v>
      </c>
      <c r="C114" s="19" t="str">
        <f>IF($A114="","",Items!$G114)</f>
        <v>Office Supplies</v>
      </c>
      <c r="D114" s="20">
        <f>IF($A114="","",N(Items!$D114))</f>
        <v>698</v>
      </c>
      <c r="E114" s="23">
        <f>IF($A114="","",Items!$E114)</f>
        <v>1</v>
      </c>
      <c r="F114" s="23">
        <f>IF($A114="","",Items!$F114)</f>
        <v>0</v>
      </c>
      <c r="G114" s="26">
        <f>IF($A114="","",SUMIFS(tblReceipts[Qty Received],tblReceipts[Item Name],$A114))</f>
        <v>0</v>
      </c>
      <c r="H114" s="26">
        <f>IF($A114="","",SUMIFS(tblIssues[Qty Issued],tblIssues[Item Name],$A114))</f>
        <v>0</v>
      </c>
      <c r="I114" s="27">
        <f t="shared" si="3"/>
        <v>0</v>
      </c>
      <c r="J114" s="21">
        <f t="shared" si="4"/>
        <v>0</v>
      </c>
      <c r="K114" s="26">
        <f>IF($A114="","",COUNTIFS(tblReceipts[Item Name],$A114))</f>
        <v>0</v>
      </c>
      <c r="L114" s="26">
        <f>IF($A114="","",COUNTIFS(tblLotBalance[Item Name],$A114,tblLotBalance[Lot Balance],"&gt;0"))</f>
        <v>0</v>
      </c>
      <c r="M114" s="24" t="str">
        <f>IF($A114="","",IF($L114=0,"",IFERROR(_xlfn.MINIFS(tblLotBalance[Expiry Date],tblLotBalance[Item Name],$A114,tblLotBalance[Lot Balance],"&gt;0"),"")))</f>
        <v/>
      </c>
      <c r="N114" s="26" t="str">
        <f t="shared" ca="1" si="5"/>
        <v/>
      </c>
      <c r="O114" s="18" t="str" cm="1">
        <f t="array" ref="O114">IF($M114="","",IFERROR(INDEX(tblLotBalance[Lot Number],MATCH(1,INDEX((tblLotBalance[Item Name]=$A114)*(tblLotBalance[Expiry Date]=$M114)*(tblLotBalance[Lot Balance]&gt;0),0),0)),""))</f>
        <v/>
      </c>
      <c r="P114" s="28" t="str">
        <f>IF($A114="","",IF($I114&lt;0,"NEGATIVE",IF(NOT(ISNUMBER($F114)),"Set threshold",IF($I114&lt;=0,"OUT OF STOCK",IF($I114&lt;=$F114,"LOW",IF($I114&lt;=$F114*Settings!$C$7,"WATCH","OK"))))))</f>
        <v>OUT OF STOCK</v>
      </c>
      <c r="Q114" s="29" t="str">
        <f>IF($A114="","",IF($P114="NEGATIVE","Issued more than received - add the missing receipt",IF($P114="OUT OF STOCK","Reorder immediately",IF($P114="LOW","Raise purchase order",IF($P114="Set threshold","Enter Critical Low in Items",IF(AND($N114&lt;&gt;"",$N114&lt;=0),"Quarantine expired lot",IF(AND($N114&lt;&gt;"",$N114&lt;=Settings!$C$6),"Use or rotate stock now","")))))))</f>
        <v>Reorder immediately</v>
      </c>
    </row>
    <row r="115" spans="1:17" x14ac:dyDescent="0.35">
      <c r="A115" s="18" t="str">
        <f>IF(Items!$A115="","",Items!$A115)</f>
        <v>Plastic Forks and Spoons Set</v>
      </c>
      <c r="B115" s="18" t="str">
        <f>IF($A115="","",Items!$B115)</f>
        <v>Cutlery</v>
      </c>
      <c r="C115" s="19" t="str">
        <f>IF($A115="","",Items!$G115)</f>
        <v>Office Supplies</v>
      </c>
      <c r="D115" s="20">
        <f>IF($A115="","",N(Items!$D115))</f>
        <v>30.39</v>
      </c>
      <c r="E115" s="23">
        <f>IF($A115="","",Items!$E115)</f>
        <v>0</v>
      </c>
      <c r="F115" s="23">
        <f>IF($A115="","",Items!$F115)</f>
        <v>0</v>
      </c>
      <c r="G115" s="26">
        <f>IF($A115="","",SUMIFS(tblReceipts[Qty Received],tblReceipts[Item Name],$A115))</f>
        <v>0</v>
      </c>
      <c r="H115" s="26">
        <f>IF($A115="","",SUMIFS(tblIssues[Qty Issued],tblIssues[Item Name],$A115))</f>
        <v>0</v>
      </c>
      <c r="I115" s="27">
        <f t="shared" si="3"/>
        <v>0</v>
      </c>
      <c r="J115" s="21">
        <f t="shared" si="4"/>
        <v>0</v>
      </c>
      <c r="K115" s="26">
        <f>IF($A115="","",COUNTIFS(tblReceipts[Item Name],$A115))</f>
        <v>0</v>
      </c>
      <c r="L115" s="26">
        <f>IF($A115="","",COUNTIFS(tblLotBalance[Item Name],$A115,tblLotBalance[Lot Balance],"&gt;0"))</f>
        <v>0</v>
      </c>
      <c r="M115" s="24" t="str">
        <f>IF($A115="","",IF($L115=0,"",IFERROR(_xlfn.MINIFS(tblLotBalance[Expiry Date],tblLotBalance[Item Name],$A115,tblLotBalance[Lot Balance],"&gt;0"),"")))</f>
        <v/>
      </c>
      <c r="N115" s="26" t="str">
        <f t="shared" ca="1" si="5"/>
        <v/>
      </c>
      <c r="O115" s="18" t="str" cm="1">
        <f t="array" ref="O115">IF($M115="","",IFERROR(INDEX(tblLotBalance[Lot Number],MATCH(1,INDEX((tblLotBalance[Item Name]=$A115)*(tblLotBalance[Expiry Date]=$M115)*(tblLotBalance[Lot Balance]&gt;0),0),0)),""))</f>
        <v/>
      </c>
      <c r="P115" s="28" t="str">
        <f>IF($A115="","",IF($I115&lt;0,"NEGATIVE",IF(NOT(ISNUMBER($F115)),"Set threshold",IF($I115&lt;=0,"OUT OF STOCK",IF($I115&lt;=$F115,"LOW",IF($I115&lt;=$F115*Settings!$C$7,"WATCH","OK"))))))</f>
        <v>OUT OF STOCK</v>
      </c>
      <c r="Q115" s="29" t="str">
        <f>IF($A115="","",IF($P115="NEGATIVE","Issued more than received - add the missing receipt",IF($P115="OUT OF STOCK","Reorder immediately",IF($P115="LOW","Raise purchase order",IF($P115="Set threshold","Enter Critical Low in Items",IF(AND($N115&lt;&gt;"",$N115&lt;=0),"Quarantine expired lot",IF(AND($N115&lt;&gt;"",$N115&lt;=Settings!$C$6),"Use or rotate stock now","")))))))</f>
        <v>Reorder immediately</v>
      </c>
    </row>
    <row r="116" spans="1:17" x14ac:dyDescent="0.35">
      <c r="A116" s="18" t="str">
        <f>IF(Items!$A116="","",Items!$A116)</f>
        <v>Northwind Pastel Coloured Copy Paper - 8-1/2" x 11"</v>
      </c>
      <c r="B116" s="18" t="str">
        <f>IF($A116="","",Items!$B116)</f>
        <v>Stationery</v>
      </c>
      <c r="C116" s="19" t="str">
        <f>IF($A116="","",Items!$G116)</f>
        <v>Office Supplies</v>
      </c>
      <c r="D116" s="20">
        <f>IF($A116="","",N(Items!$D116))</f>
        <v>0</v>
      </c>
      <c r="E116" s="23">
        <f>IF($A116="","",Items!$E116)</f>
        <v>0</v>
      </c>
      <c r="F116" s="23">
        <f>IF($A116="","",Items!$F116)</f>
        <v>0</v>
      </c>
      <c r="G116" s="26">
        <f>IF($A116="","",SUMIFS(tblReceipts[Qty Received],tblReceipts[Item Name],$A116))</f>
        <v>0</v>
      </c>
      <c r="H116" s="26">
        <f>IF($A116="","",SUMIFS(tblIssues[Qty Issued],tblIssues[Item Name],$A116))</f>
        <v>0</v>
      </c>
      <c r="I116" s="27">
        <f t="shared" si="3"/>
        <v>0</v>
      </c>
      <c r="J116" s="21">
        <f t="shared" si="4"/>
        <v>0</v>
      </c>
      <c r="K116" s="26">
        <f>IF($A116="","",COUNTIFS(tblReceipts[Item Name],$A116))</f>
        <v>0</v>
      </c>
      <c r="L116" s="26">
        <f>IF($A116="","",COUNTIFS(tblLotBalance[Item Name],$A116,tblLotBalance[Lot Balance],"&gt;0"))</f>
        <v>0</v>
      </c>
      <c r="M116" s="24" t="str">
        <f>IF($A116="","",IF($L116=0,"",IFERROR(_xlfn.MINIFS(tblLotBalance[Expiry Date],tblLotBalance[Item Name],$A116,tblLotBalance[Lot Balance],"&gt;0"),"")))</f>
        <v/>
      </c>
      <c r="N116" s="26" t="str">
        <f t="shared" ca="1" si="5"/>
        <v/>
      </c>
      <c r="O116" s="18" t="str" cm="1">
        <f t="array" ref="O116">IF($M116="","",IFERROR(INDEX(tblLotBalance[Lot Number],MATCH(1,INDEX((tblLotBalance[Item Name]=$A116)*(tblLotBalance[Expiry Date]=$M116)*(tblLotBalance[Lot Balance]&gt;0),0),0)),""))</f>
        <v/>
      </c>
      <c r="P116" s="28" t="str">
        <f>IF($A116="","",IF($I116&lt;0,"NEGATIVE",IF(NOT(ISNUMBER($F116)),"Set threshold",IF($I116&lt;=0,"OUT OF STOCK",IF($I116&lt;=$F116,"LOW",IF($I116&lt;=$F116*Settings!$C$7,"WATCH","OK"))))))</f>
        <v>OUT OF STOCK</v>
      </c>
      <c r="Q116" s="29" t="str">
        <f>IF($A116="","",IF($P116="NEGATIVE","Issued more than received - add the missing receipt",IF($P116="OUT OF STOCK","Reorder immediately",IF($P116="LOW","Raise purchase order",IF($P116="Set threshold","Enter Critical Low in Items",IF(AND($N116&lt;&gt;"",$N116&lt;=0),"Quarantine expired lot",IF(AND($N116&lt;&gt;"",$N116&lt;=Settings!$C$6),"Use or rotate stock now","")))))))</f>
        <v>Reorder immediately</v>
      </c>
    </row>
    <row r="117" spans="1:17" x14ac:dyDescent="0.35">
      <c r="A117" s="18" t="str">
        <f>IF(Items!$A117="","",Items!$A117)</f>
        <v>Dry-Erase Markers - Chisel Tip - Black</v>
      </c>
      <c r="B117" s="18" t="str">
        <f>IF($A117="","",Items!$B117)</f>
        <v>Stationery</v>
      </c>
      <c r="C117" s="19" t="str">
        <f>IF($A117="","",Items!$G117)</f>
        <v>Office Supplies</v>
      </c>
      <c r="D117" s="20">
        <f>IF($A117="","",N(Items!$D117))</f>
        <v>18.239999999999998</v>
      </c>
      <c r="E117" s="23">
        <f>IF($A117="","",Items!$E117)</f>
        <v>0</v>
      </c>
      <c r="F117" s="23">
        <f>IF($A117="","",Items!$F117)</f>
        <v>0</v>
      </c>
      <c r="G117" s="26">
        <f>IF($A117="","",SUMIFS(tblReceipts[Qty Received],tblReceipts[Item Name],$A117))</f>
        <v>0</v>
      </c>
      <c r="H117" s="26">
        <f>IF($A117="","",SUMIFS(tblIssues[Qty Issued],tblIssues[Item Name],$A117))</f>
        <v>0</v>
      </c>
      <c r="I117" s="27">
        <f t="shared" si="3"/>
        <v>0</v>
      </c>
      <c r="J117" s="21">
        <f t="shared" si="4"/>
        <v>0</v>
      </c>
      <c r="K117" s="26">
        <f>IF($A117="","",COUNTIFS(tblReceipts[Item Name],$A117))</f>
        <v>0</v>
      </c>
      <c r="L117" s="26">
        <f>IF($A117="","",COUNTIFS(tblLotBalance[Item Name],$A117,tblLotBalance[Lot Balance],"&gt;0"))</f>
        <v>0</v>
      </c>
      <c r="M117" s="24" t="str">
        <f>IF($A117="","",IF($L117=0,"",IFERROR(_xlfn.MINIFS(tblLotBalance[Expiry Date],tblLotBalance[Item Name],$A117,tblLotBalance[Lot Balance],"&gt;0"),"")))</f>
        <v/>
      </c>
      <c r="N117" s="26" t="str">
        <f t="shared" ca="1" si="5"/>
        <v/>
      </c>
      <c r="O117" s="18" t="str" cm="1">
        <f t="array" ref="O117">IF($M117="","",IFERROR(INDEX(tblLotBalance[Lot Number],MATCH(1,INDEX((tblLotBalance[Item Name]=$A117)*(tblLotBalance[Expiry Date]=$M117)*(tblLotBalance[Lot Balance]&gt;0),0),0)),""))</f>
        <v/>
      </c>
      <c r="P117" s="28" t="str">
        <f>IF($A117="","",IF($I117&lt;0,"NEGATIVE",IF(NOT(ISNUMBER($F117)),"Set threshold",IF($I117&lt;=0,"OUT OF STOCK",IF($I117&lt;=$F117,"LOW",IF($I117&lt;=$F117*Settings!$C$7,"WATCH","OK"))))))</f>
        <v>OUT OF STOCK</v>
      </c>
      <c r="Q117" s="29" t="str">
        <f>IF($A117="","",IF($P117="NEGATIVE","Issued more than received - add the missing receipt",IF($P117="OUT OF STOCK","Reorder immediately",IF($P117="LOW","Raise purchase order",IF($P117="Set threshold","Enter Critical Low in Items",IF(AND($N117&lt;&gt;"",$N117&lt;=0),"Quarantine expired lot",IF(AND($N117&lt;&gt;"",$N117&lt;=Settings!$C$6),"Use or rotate stock now","")))))))</f>
        <v>Reorder immediately</v>
      </c>
    </row>
    <row r="118" spans="1:17" x14ac:dyDescent="0.35">
      <c r="A118" s="18" t="str">
        <f>IF(Items!$A118="","",Items!$A118)</f>
        <v>Northwind Permanent Markers - Chisel Tip - Black</v>
      </c>
      <c r="B118" s="18" t="str">
        <f>IF($A118="","",Items!$B118)</f>
        <v>Stationery</v>
      </c>
      <c r="C118" s="19" t="str">
        <f>IF($A118="","",Items!$G118)</f>
        <v>Office Supplies</v>
      </c>
      <c r="D118" s="20">
        <f>IF($A118="","",N(Items!$D118))</f>
        <v>0</v>
      </c>
      <c r="E118" s="23">
        <f>IF($A118="","",Items!$E118)</f>
        <v>0</v>
      </c>
      <c r="F118" s="23">
        <f>IF($A118="","",Items!$F118)</f>
        <v>0</v>
      </c>
      <c r="G118" s="26">
        <f>IF($A118="","",SUMIFS(tblReceipts[Qty Received],tblReceipts[Item Name],$A118))</f>
        <v>0</v>
      </c>
      <c r="H118" s="26">
        <f>IF($A118="","",SUMIFS(tblIssues[Qty Issued],tblIssues[Item Name],$A118))</f>
        <v>0</v>
      </c>
      <c r="I118" s="27">
        <f t="shared" si="3"/>
        <v>0</v>
      </c>
      <c r="J118" s="21">
        <f t="shared" si="4"/>
        <v>0</v>
      </c>
      <c r="K118" s="26">
        <f>IF($A118="","",COUNTIFS(tblReceipts[Item Name],$A118))</f>
        <v>0</v>
      </c>
      <c r="L118" s="26">
        <f>IF($A118="","",COUNTIFS(tblLotBalance[Item Name],$A118,tblLotBalance[Lot Balance],"&gt;0"))</f>
        <v>0</v>
      </c>
      <c r="M118" s="24" t="str">
        <f>IF($A118="","",IF($L118=0,"",IFERROR(_xlfn.MINIFS(tblLotBalance[Expiry Date],tblLotBalance[Item Name],$A118,tblLotBalance[Lot Balance],"&gt;0"),"")))</f>
        <v/>
      </c>
      <c r="N118" s="26" t="str">
        <f t="shared" ca="1" si="5"/>
        <v/>
      </c>
      <c r="O118" s="18" t="str" cm="1">
        <f t="array" ref="O118">IF($M118="","",IFERROR(INDEX(tblLotBalance[Lot Number],MATCH(1,INDEX((tblLotBalance[Item Name]=$A118)*(tblLotBalance[Expiry Date]=$M118)*(tblLotBalance[Lot Balance]&gt;0),0),0)),""))</f>
        <v/>
      </c>
      <c r="P118" s="28" t="str">
        <f>IF($A118="","",IF($I118&lt;0,"NEGATIVE",IF(NOT(ISNUMBER($F118)),"Set threshold",IF($I118&lt;=0,"OUT OF STOCK",IF($I118&lt;=$F118,"LOW",IF($I118&lt;=$F118*Settings!$C$7,"WATCH","OK"))))))</f>
        <v>OUT OF STOCK</v>
      </c>
      <c r="Q118" s="29" t="str">
        <f>IF($A118="","",IF($P118="NEGATIVE","Issued more than received - add the missing receipt",IF($P118="OUT OF STOCK","Reorder immediately",IF($P118="LOW","Raise purchase order",IF($P118="Set threshold","Enter Critical Low in Items",IF(AND($N118&lt;&gt;"",$N118&lt;=0),"Quarantine expired lot",IF(AND($N118&lt;&gt;"",$N118&lt;=Settings!$C$6),"Use or rotate stock now","")))))))</f>
        <v>Reorder immediately</v>
      </c>
    </row>
    <row r="119" spans="1:17" x14ac:dyDescent="0.35">
      <c r="A119" s="18" t="str">
        <f>IF(Items!$A119="","",Items!$A119)</f>
        <v>Binder Clips L</v>
      </c>
      <c r="B119" s="18" t="str">
        <f>IF($A119="","",Items!$B119)</f>
        <v>Stationery</v>
      </c>
      <c r="C119" s="19" t="str">
        <f>IF($A119="","",Items!$G119)</f>
        <v>Office Supplies</v>
      </c>
      <c r="D119" s="20">
        <f>IF($A119="","",N(Items!$D119))</f>
        <v>7.69</v>
      </c>
      <c r="E119" s="23">
        <f>IF($A119="","",Items!$E119)</f>
        <v>0</v>
      </c>
      <c r="F119" s="23">
        <f>IF($A119="","",Items!$F119)</f>
        <v>0</v>
      </c>
      <c r="G119" s="26">
        <f>IF($A119="","",SUMIFS(tblReceipts[Qty Received],tblReceipts[Item Name],$A119))</f>
        <v>0</v>
      </c>
      <c r="H119" s="26">
        <f>IF($A119="","",SUMIFS(tblIssues[Qty Issued],tblIssues[Item Name],$A119))</f>
        <v>0</v>
      </c>
      <c r="I119" s="27">
        <f t="shared" si="3"/>
        <v>0</v>
      </c>
      <c r="J119" s="21">
        <f t="shared" si="4"/>
        <v>0</v>
      </c>
      <c r="K119" s="26">
        <f>IF($A119="","",COUNTIFS(tblReceipts[Item Name],$A119))</f>
        <v>0</v>
      </c>
      <c r="L119" s="26">
        <f>IF($A119="","",COUNTIFS(tblLotBalance[Item Name],$A119,tblLotBalance[Lot Balance],"&gt;0"))</f>
        <v>0</v>
      </c>
      <c r="M119" s="24" t="str">
        <f>IF($A119="","",IF($L119=0,"",IFERROR(_xlfn.MINIFS(tblLotBalance[Expiry Date],tblLotBalance[Item Name],$A119,tblLotBalance[Lot Balance],"&gt;0"),"")))</f>
        <v/>
      </c>
      <c r="N119" s="26" t="str">
        <f t="shared" ca="1" si="5"/>
        <v/>
      </c>
      <c r="O119" s="18" t="str" cm="1">
        <f t="array" ref="O119">IF($M119="","",IFERROR(INDEX(tblLotBalance[Lot Number],MATCH(1,INDEX((tblLotBalance[Item Name]=$A119)*(tblLotBalance[Expiry Date]=$M119)*(tblLotBalance[Lot Balance]&gt;0),0),0)),""))</f>
        <v/>
      </c>
      <c r="P119" s="28" t="str">
        <f>IF($A119="","",IF($I119&lt;0,"NEGATIVE",IF(NOT(ISNUMBER($F119)),"Set threshold",IF($I119&lt;=0,"OUT OF STOCK",IF($I119&lt;=$F119,"LOW",IF($I119&lt;=$F119*Settings!$C$7,"WATCH","OK"))))))</f>
        <v>OUT OF STOCK</v>
      </c>
      <c r="Q119" s="29" t="str">
        <f>IF($A119="","",IF($P119="NEGATIVE","Issued more than received - add the missing receipt",IF($P119="OUT OF STOCK","Reorder immediately",IF($P119="LOW","Raise purchase order",IF($P119="Set threshold","Enter Critical Low in Items",IF(AND($N119&lt;&gt;"",$N119&lt;=0),"Quarantine expired lot",IF(AND($N119&lt;&gt;"",$N119&lt;=Settings!$C$6),"Use or rotate stock now","")))))))</f>
        <v>Reorder immediately</v>
      </c>
    </row>
    <row r="120" spans="1:17" x14ac:dyDescent="0.35">
      <c r="A120" s="18" t="str">
        <f>IF(Items!$A120="","",Items!$A120)</f>
        <v>Northwind Window Envelopes - FSC Certified - 4-1/8" x 9-1/2"</v>
      </c>
      <c r="B120" s="18" t="str">
        <f>IF($A120="","",Items!$B120)</f>
        <v>Stationery</v>
      </c>
      <c r="C120" s="19" t="str">
        <f>IF($A120="","",Items!$G120)</f>
        <v>Office Supplies</v>
      </c>
      <c r="D120" s="20">
        <f>IF($A120="","",N(Items!$D120))</f>
        <v>0</v>
      </c>
      <c r="E120" s="23">
        <f>IF($A120="","",Items!$E120)</f>
        <v>0</v>
      </c>
      <c r="F120" s="23">
        <f>IF($A120="","",Items!$F120)</f>
        <v>0</v>
      </c>
      <c r="G120" s="26">
        <f>IF($A120="","",SUMIFS(tblReceipts[Qty Received],tblReceipts[Item Name],$A120))</f>
        <v>0</v>
      </c>
      <c r="H120" s="26">
        <f>IF($A120="","",SUMIFS(tblIssues[Qty Issued],tblIssues[Item Name],$A120))</f>
        <v>0</v>
      </c>
      <c r="I120" s="27">
        <f t="shared" si="3"/>
        <v>0</v>
      </c>
      <c r="J120" s="21">
        <f t="shared" si="4"/>
        <v>0</v>
      </c>
      <c r="K120" s="26">
        <f>IF($A120="","",COUNTIFS(tblReceipts[Item Name],$A120))</f>
        <v>0</v>
      </c>
      <c r="L120" s="26">
        <f>IF($A120="","",COUNTIFS(tblLotBalance[Item Name],$A120,tblLotBalance[Lot Balance],"&gt;0"))</f>
        <v>0</v>
      </c>
      <c r="M120" s="24" t="str">
        <f>IF($A120="","",IF($L120=0,"",IFERROR(_xlfn.MINIFS(tblLotBalance[Expiry Date],tblLotBalance[Item Name],$A120,tblLotBalance[Lot Balance],"&gt;0"),"")))</f>
        <v/>
      </c>
      <c r="N120" s="26" t="str">
        <f t="shared" ca="1" si="5"/>
        <v/>
      </c>
      <c r="O120" s="18" t="str" cm="1">
        <f t="array" ref="O120">IF($M120="","",IFERROR(INDEX(tblLotBalance[Lot Number],MATCH(1,INDEX((tblLotBalance[Item Name]=$A120)*(tblLotBalance[Expiry Date]=$M120)*(tblLotBalance[Lot Balance]&gt;0),0),0)),""))</f>
        <v/>
      </c>
      <c r="P120" s="28" t="str">
        <f>IF($A120="","",IF($I120&lt;0,"NEGATIVE",IF(NOT(ISNUMBER($F120)),"Set threshold",IF($I120&lt;=0,"OUT OF STOCK",IF($I120&lt;=$F120,"LOW",IF($I120&lt;=$F120*Settings!$C$7,"WATCH","OK"))))))</f>
        <v>OUT OF STOCK</v>
      </c>
      <c r="Q120" s="29" t="str">
        <f>IF($A120="","",IF($P120="NEGATIVE","Issued more than received - add the missing receipt",IF($P120="OUT OF STOCK","Reorder immediately",IF($P120="LOW","Raise purchase order",IF($P120="Set threshold","Enter Critical Low in Items",IF(AND($N120&lt;&gt;"",$N120&lt;=0),"Quarantine expired lot",IF(AND($N120&lt;&gt;"",$N120&lt;=Settings!$C$6),"Use or rotate stock now","")))))))</f>
        <v>Reorder immediately</v>
      </c>
    </row>
    <row r="121" spans="1:17" x14ac:dyDescent="0.35">
      <c r="A121" s="18" t="str">
        <f>IF(Items!$A598="","",Items!$A598)</f>
        <v/>
      </c>
      <c r="B121" s="18" t="str">
        <f>IF($A121="","",Items!$B598)</f>
        <v/>
      </c>
      <c r="C121" s="19" t="str">
        <f>IF($A121="","",Items!$G598)</f>
        <v/>
      </c>
      <c r="D121" s="20" t="str">
        <f>IF($A121="","",N(Items!$D598))</f>
        <v/>
      </c>
      <c r="E121" s="23" t="str">
        <f>IF($A121="","",Items!$E598)</f>
        <v/>
      </c>
      <c r="F121" s="23" t="str">
        <f>IF($A121="","",Items!$F598)</f>
        <v/>
      </c>
      <c r="G121" s="26" t="str">
        <f>IF($A121="","",SUMIFS(tblReceipts[Qty Received],tblReceipts[Item Name],$A121))</f>
        <v/>
      </c>
      <c r="H121" s="26" t="str">
        <f>IF($A121="","",SUMIFS(tblIssues[Qty Issued],tblIssues[Item Name],$A121))</f>
        <v/>
      </c>
      <c r="I121" s="27" t="str">
        <f>IF($A121="","",$G121-$H121)</f>
        <v/>
      </c>
      <c r="J121" s="21" t="str">
        <f>IF($A121="","",$I121*$D121)</f>
        <v/>
      </c>
      <c r="K121" s="26" t="str">
        <f>IF($A121="","",COUNTIFS(tblReceipts[Item Name],$A121))</f>
        <v/>
      </c>
      <c r="L121" s="26" t="str">
        <f>IF($A121="","",COUNTIFS(tblLotBalance[Item Name],$A121,tblLotBalance[Lot Balance],"&gt;0"))</f>
        <v/>
      </c>
      <c r="M121" s="24" t="str">
        <f>IF($A121="","",IF($L121=0,"",IFERROR(_xlfn.MINIFS(tblLotBalance[Expiry Date],tblLotBalance[Item Name],$A121,tblLotBalance[Lot Balance],"&gt;0"),"")))</f>
        <v/>
      </c>
      <c r="N121" s="26" t="str">
        <f ca="1">IF($M121="","",$M121-TODAY())</f>
        <v/>
      </c>
      <c r="O121" s="18" t="str" cm="1">
        <f t="array" ref="O121">IF($M121="","",IFERROR(INDEX(tblLotBalance[Lot Number],MATCH(1,INDEX((tblLotBalance[Item Name]=$A121)*(tblLotBalance[Expiry Date]=$M121)*(tblLotBalance[Lot Balance]&gt;0),0),0)),""))</f>
        <v/>
      </c>
      <c r="P121" s="28" t="str">
        <f>IF($A121="","",IF($I121&lt;0,"NEGATIVE",IF(NOT(ISNUMBER($F121)),"Set threshold",IF($I121&lt;=0,"OUT OF STOCK",IF($I121&lt;=$F121,"LOW",IF($I121&lt;=$F121*Settings!$C$7,"WATCH","OK"))))))</f>
        <v/>
      </c>
      <c r="Q121" s="29" t="str">
        <f>IF($A121="","",IF($P121="NEGATIVE","Issued more than received - add the missing receipt",IF($P121="OUT OF STOCK","Reorder immediately",IF($P121="LOW","Raise purchase order",IF($P121="Set threshold","Enter Critical Low in Items",IF(AND($N121&lt;&gt;"",$N121&lt;=0),"Quarantine expired lot",IF(AND($N121&lt;&gt;"",$N121&lt;=Settings!$C$6),"Use or rotate stock now","")))))))</f>
        <v/>
      </c>
    </row>
    <row r="122" spans="1:17" x14ac:dyDescent="0.35">
      <c r="A122" s="18" t="str">
        <f>IF(Items!$A599="","",Items!$A599)</f>
        <v>Pink = no Critical Low threshold set; low-stock alerts cannot fire for that item until a value is entered.</v>
      </c>
      <c r="B122" s="18">
        <f>IF($A122="","",Items!$B599)</f>
        <v>0</v>
      </c>
      <c r="C122" s="19">
        <f>IF($A122="","",Items!$G599)</f>
        <v>0</v>
      </c>
      <c r="D122" s="20">
        <f>IF($A122="","",N(Items!$D599))</f>
        <v>0</v>
      </c>
      <c r="E122" s="23">
        <f>IF($A122="","",Items!$E599)</f>
        <v>0</v>
      </c>
      <c r="F122" s="23">
        <f>IF($A122="","",Items!$F599)</f>
        <v>0</v>
      </c>
      <c r="G122" s="26">
        <f>IF($A122="","",SUMIFS(tblReceipts[Qty Received],tblReceipts[Item Name],$A122))</f>
        <v>0</v>
      </c>
      <c r="H122" s="26">
        <f>IF($A122="","",SUMIFS(tblIssues[Qty Issued],tblIssues[Item Name],$A122))</f>
        <v>0</v>
      </c>
      <c r="I122" s="27">
        <f>IF($A122="","",$G122-$H122)</f>
        <v>0</v>
      </c>
      <c r="J122" s="21">
        <f>IF($A122="","",$I122*$D122)</f>
        <v>0</v>
      </c>
      <c r="K122" s="26">
        <f>IF($A122="","",COUNTIFS(tblReceipts[Item Name],$A122))</f>
        <v>0</v>
      </c>
      <c r="L122" s="26">
        <f>IF($A122="","",COUNTIFS(tblLotBalance[Item Name],$A122,tblLotBalance[Lot Balance],"&gt;0"))</f>
        <v>0</v>
      </c>
      <c r="M122" s="24" t="str">
        <f>IF($A122="","",IF($L122=0,"",IFERROR(_xlfn.MINIFS(tblLotBalance[Expiry Date],tblLotBalance[Item Name],$A122,tblLotBalance[Lot Balance],"&gt;0"),"")))</f>
        <v/>
      </c>
      <c r="N122" s="26" t="str">
        <f ca="1">IF($M122="","",$M122-TODAY())</f>
        <v/>
      </c>
      <c r="O122" s="18" t="str" cm="1">
        <f t="array" ref="O122">IF($M122="","",IFERROR(INDEX(tblLotBalance[Lot Number],MATCH(1,INDEX((tblLotBalance[Item Name]=$A122)*(tblLotBalance[Expiry Date]=$M122)*(tblLotBalance[Lot Balance]&gt;0),0),0)),""))</f>
        <v/>
      </c>
      <c r="P122" s="28" t="str">
        <f>IF($A122="","",IF($I122&lt;0,"NEGATIVE",IF(NOT(ISNUMBER($F122)),"Set threshold",IF($I122&lt;=0,"OUT OF STOCK",IF($I122&lt;=$F122,"LOW",IF($I122&lt;=$F122*Settings!$C$7,"WATCH","OK"))))))</f>
        <v>OUT OF STOCK</v>
      </c>
      <c r="Q122" s="29" t="str">
        <f>IF($A122="","",IF($P122="NEGATIVE","Issued more than received - add the missing receipt",IF($P122="OUT OF STOCK","Reorder immediately",IF($P122="LOW","Raise purchase order",IF($P122="Set threshold","Enter Critical Low in Items",IF(AND($N122&lt;&gt;"",$N122&lt;=0),"Quarantine expired lot",IF(AND($N122&lt;&gt;"",$N122&lt;=Settings!$C$6),"Use or rotate stock now","")))))))</f>
        <v>Reorder immediately</v>
      </c>
    </row>
    <row r="123" spans="1:17" x14ac:dyDescent="0.35">
      <c r="A123" s="18" t="str">
        <f>IF(Items!$A600="","",Items!$A600)</f>
        <v>Green = a pack description that was stored in the numeric Standard Issue column in the source workbook and has been moved here (39 items). Standard Issue Qty must hold numbers only.</v>
      </c>
      <c r="B123" s="18">
        <f>IF($A123="","",Items!$B600)</f>
        <v>0</v>
      </c>
      <c r="C123" s="19">
        <f>IF($A123="","",Items!$G600)</f>
        <v>0</v>
      </c>
      <c r="D123" s="20">
        <f>IF($A123="","",N(Items!$D600))</f>
        <v>0</v>
      </c>
      <c r="E123" s="23">
        <f>IF($A123="","",Items!$E600)</f>
        <v>0</v>
      </c>
      <c r="F123" s="23">
        <f>IF($A123="","",Items!$F600)</f>
        <v>0</v>
      </c>
      <c r="G123" s="26">
        <f>IF($A123="","",SUMIFS(tblReceipts[Qty Received],tblReceipts[Item Name],$A123))</f>
        <v>0</v>
      </c>
      <c r="H123" s="26">
        <f>IF($A123="","",SUMIFS(tblIssues[Qty Issued],tblIssues[Item Name],$A123))</f>
        <v>0</v>
      </c>
      <c r="I123" s="27">
        <f>IF($A123="","",$G123-$H123)</f>
        <v>0</v>
      </c>
      <c r="J123" s="21">
        <f>IF($A123="","",$I123*$D123)</f>
        <v>0</v>
      </c>
      <c r="K123" s="26">
        <f>IF($A123="","",COUNTIFS(tblReceipts[Item Name],$A123))</f>
        <v>0</v>
      </c>
      <c r="L123" s="26">
        <f>IF($A123="","",COUNTIFS(tblLotBalance[Item Name],$A123,tblLotBalance[Lot Balance],"&gt;0"))</f>
        <v>0</v>
      </c>
      <c r="M123" s="24" t="str">
        <f>IF($A123="","",IF($L123=0,"",IFERROR(_xlfn.MINIFS(tblLotBalance[Expiry Date],tblLotBalance[Item Name],$A123,tblLotBalance[Lot Balance],"&gt;0"),"")))</f>
        <v/>
      </c>
      <c r="N123" s="26" t="str">
        <f ca="1">IF($M123="","",$M123-TODAY())</f>
        <v/>
      </c>
      <c r="O123" s="18" t="str" cm="1">
        <f t="array" ref="O123">IF($M123="","",IFERROR(INDEX(tblLotBalance[Lot Number],MATCH(1,INDEX((tblLotBalance[Item Name]=$A123)*(tblLotBalance[Expiry Date]=$M123)*(tblLotBalance[Lot Balance]&gt;0),0),0)),""))</f>
        <v/>
      </c>
      <c r="P123" s="28" t="str">
        <f>IF($A123="","",IF($I123&lt;0,"NEGATIVE",IF(NOT(ISNUMBER($F123)),"Set threshold",IF($I123&lt;=0,"OUT OF STOCK",IF($I123&lt;=$F123,"LOW",IF($I123&lt;=$F123*Settings!$C$7,"WATCH","OK"))))))</f>
        <v>OUT OF STOCK</v>
      </c>
      <c r="Q123" s="29" t="str">
        <f>IF($A123="","",IF($P123="NEGATIVE","Issued more than received - add the missing receipt",IF($P123="OUT OF STOCK","Reorder immediately",IF($P123="LOW","Raise purchase order",IF($P123="Set threshold","Enter Critical Low in Items",IF(AND($N123&lt;&gt;"",$N123&lt;=0),"Quarantine expired lot",IF(AND($N123&lt;&gt;"",$N123&lt;=Settings!$C$6),"Use or rotate stock now","")))))))</f>
        <v>Reorder immediately</v>
      </c>
    </row>
    <row r="124" spans="1:17" x14ac:dyDescent="0.35">
      <c r="A124" s="18" t="str">
        <f>IF(Items!$A121="","",Items!$A121)</f>
        <v>Sample Org CONNECT Welcome Package PSW</v>
      </c>
      <c r="B124" s="18" t="str">
        <f>IF($A124="","",Items!$B121)</f>
        <v>Documents</v>
      </c>
      <c r="C124" s="19" t="str">
        <f>IF($A124="","",Items!$G121)</f>
        <v>Document</v>
      </c>
      <c r="D124" s="20">
        <f>IF($A124="","",N(Items!$D121))</f>
        <v>0</v>
      </c>
      <c r="E124" s="23">
        <f>IF($A124="","",Items!$E121)</f>
        <v>2</v>
      </c>
      <c r="F124" s="23">
        <f>IF($A124="","",Items!$F121)</f>
        <v>0</v>
      </c>
      <c r="G124" s="26">
        <f>IF($A124="","",SUMIFS(tblReceipts[Qty Received],tblReceipts[Item Name],$A124))</f>
        <v>0</v>
      </c>
      <c r="H124" s="26">
        <f>IF($A124="","",SUMIFS(tblIssues[Qty Issued],tblIssues[Item Name],$A124))</f>
        <v>150</v>
      </c>
      <c r="I124" s="27">
        <f t="shared" si="3"/>
        <v>-150</v>
      </c>
      <c r="J124" s="21">
        <f t="shared" si="4"/>
        <v>0</v>
      </c>
      <c r="K124" s="26">
        <f>IF($A124="","",COUNTIFS(tblReceipts[Item Name],$A124))</f>
        <v>0</v>
      </c>
      <c r="L124" s="26">
        <f>IF($A124="","",COUNTIFS(tblLotBalance[Item Name],$A124,tblLotBalance[Lot Balance],"&gt;0"))</f>
        <v>0</v>
      </c>
      <c r="M124" s="24" t="str">
        <f>IF($A124="","",IF($L124=0,"",IFERROR(_xlfn.MINIFS(tblLotBalance[Expiry Date],tblLotBalance[Item Name],$A124,tblLotBalance[Lot Balance],"&gt;0"),"")))</f>
        <v/>
      </c>
      <c r="N124" s="26" t="str">
        <f t="shared" ca="1" si="5"/>
        <v/>
      </c>
      <c r="O124" s="18" t="str" cm="1">
        <f t="array" ref="O124">IF($M124="","",IFERROR(INDEX(tblLotBalance[Lot Number],MATCH(1,INDEX((tblLotBalance[Item Name]=$A124)*(tblLotBalance[Expiry Date]=$M124)*(tblLotBalance[Lot Balance]&gt;0),0),0)),""))</f>
        <v/>
      </c>
      <c r="P124" s="28" t="str">
        <f>IF($A124="","",IF($I124&lt;0,"NEGATIVE",IF(NOT(ISNUMBER($F124)),"Set threshold",IF($I124&lt;=0,"OUT OF STOCK",IF($I124&lt;=$F124,"LOW",IF($I124&lt;=$F124*Settings!$C$7,"WATCH","OK"))))))</f>
        <v>NEGATIVE</v>
      </c>
      <c r="Q124" s="29" t="str">
        <f>IF($A124="","",IF($P124="NEGATIVE","Issued more than received - add the missing receipt",IF($P124="OUT OF STOCK","Reorder immediately",IF($P124="LOW","Raise purchase order",IF($P124="Set threshold","Enter Critical Low in Items",IF(AND($N124&lt;&gt;"",$N124&lt;=0),"Quarantine expired lot",IF(AND($N124&lt;&gt;"",$N124&lt;=Settings!$C$6),"Use or rotate stock now","")))))))</f>
        <v>Issued more than received - add the missing receipt</v>
      </c>
    </row>
    <row r="125" spans="1:17" x14ac:dyDescent="0.35">
      <c r="A125" s="18" t="str">
        <f>IF(Items!$A122="","",Items!$A122)</f>
        <v>Sample Org CONNECT Welcome Package RPN TL</v>
      </c>
      <c r="B125" s="18" t="str">
        <f>IF($A125="","",Items!$B122)</f>
        <v>Documents</v>
      </c>
      <c r="C125" s="19" t="str">
        <f>IF($A125="","",Items!$G122)</f>
        <v>Document</v>
      </c>
      <c r="D125" s="20">
        <f>IF($A125="","",N(Items!$D122))</f>
        <v>0</v>
      </c>
      <c r="E125" s="23">
        <f>IF($A125="","",Items!$E122)</f>
        <v>10</v>
      </c>
      <c r="F125" s="23">
        <f>IF($A125="","",Items!$F122)</f>
        <v>0</v>
      </c>
      <c r="G125" s="26">
        <f>IF($A125="","",SUMIFS(tblReceipts[Qty Received],tblReceipts[Item Name],$A125))</f>
        <v>0</v>
      </c>
      <c r="H125" s="26">
        <f>IF($A125="","",SUMIFS(tblIssues[Qty Issued],tblIssues[Item Name],$A125))</f>
        <v>30</v>
      </c>
      <c r="I125" s="27">
        <f t="shared" si="3"/>
        <v>-30</v>
      </c>
      <c r="J125" s="21">
        <f t="shared" si="4"/>
        <v>0</v>
      </c>
      <c r="K125" s="26">
        <f>IF($A125="","",COUNTIFS(tblReceipts[Item Name],$A125))</f>
        <v>0</v>
      </c>
      <c r="L125" s="26">
        <f>IF($A125="","",COUNTIFS(tblLotBalance[Item Name],$A125,tblLotBalance[Lot Balance],"&gt;0"))</f>
        <v>0</v>
      </c>
      <c r="M125" s="24" t="str">
        <f>IF($A125="","",IF($L125=0,"",IFERROR(_xlfn.MINIFS(tblLotBalance[Expiry Date],tblLotBalance[Item Name],$A125,tblLotBalance[Lot Balance],"&gt;0"),"")))</f>
        <v/>
      </c>
      <c r="N125" s="26" t="str">
        <f t="shared" ca="1" si="5"/>
        <v/>
      </c>
      <c r="O125" s="18" t="str" cm="1">
        <f t="array" ref="O125">IF($M125="","",IFERROR(INDEX(tblLotBalance[Lot Number],MATCH(1,INDEX((tblLotBalance[Item Name]=$A125)*(tblLotBalance[Expiry Date]=$M125)*(tblLotBalance[Lot Balance]&gt;0),0),0)),""))</f>
        <v/>
      </c>
      <c r="P125" s="28" t="str">
        <f>IF($A125="","",IF($I125&lt;0,"NEGATIVE",IF(NOT(ISNUMBER($F125)),"Set threshold",IF($I125&lt;=0,"OUT OF STOCK",IF($I125&lt;=$F125,"LOW",IF($I125&lt;=$F125*Settings!$C$7,"WATCH","OK"))))))</f>
        <v>NEGATIVE</v>
      </c>
      <c r="Q125" s="29" t="str">
        <f>IF($A125="","",IF($P125="NEGATIVE","Issued more than received - add the missing receipt",IF($P125="OUT OF STOCK","Reorder immediately",IF($P125="LOW","Raise purchase order",IF($P125="Set threshold","Enter Critical Low in Items",IF(AND($N125&lt;&gt;"",$N125&lt;=0),"Quarantine expired lot",IF(AND($N125&lt;&gt;"",$N125&lt;=Settings!$C$6),"Use or rotate stock now","")))))))</f>
        <v>Issued more than received - add the missing receipt</v>
      </c>
    </row>
    <row r="126" spans="1:17" x14ac:dyDescent="0.35">
      <c r="A126" s="18" t="str">
        <f>IF(Items!$A123="","",Items!$A123)</f>
        <v>Sample Org CONNECT Welcome Package RN</v>
      </c>
      <c r="B126" s="18" t="str">
        <f>IF($A126="","",Items!$B123)</f>
        <v>Documents</v>
      </c>
      <c r="C126" s="19" t="str">
        <f>IF($A126="","",Items!$G123)</f>
        <v>Document</v>
      </c>
      <c r="D126" s="20">
        <f>IF($A126="","",N(Items!$D123))</f>
        <v>0</v>
      </c>
      <c r="E126" s="23">
        <f>IF($A126="","",Items!$E123)</f>
        <v>10</v>
      </c>
      <c r="F126" s="23">
        <f>IF($A126="","",Items!$F123)</f>
        <v>0</v>
      </c>
      <c r="G126" s="26">
        <f>IF($A126="","",SUMIFS(tblReceipts[Qty Received],tblReceipts[Item Name],$A126))</f>
        <v>0</v>
      </c>
      <c r="H126" s="26">
        <f>IF($A126="","",SUMIFS(tblIssues[Qty Issued],tblIssues[Item Name],$A126))</f>
        <v>770</v>
      </c>
      <c r="I126" s="27">
        <f t="shared" si="3"/>
        <v>-770</v>
      </c>
      <c r="J126" s="21">
        <f t="shared" si="4"/>
        <v>0</v>
      </c>
      <c r="K126" s="26">
        <f>IF($A126="","",COUNTIFS(tblReceipts[Item Name],$A126))</f>
        <v>0</v>
      </c>
      <c r="L126" s="26">
        <f>IF($A126="","",COUNTIFS(tblLotBalance[Item Name],$A126,tblLotBalance[Lot Balance],"&gt;0"))</f>
        <v>0</v>
      </c>
      <c r="M126" s="24" t="str">
        <f>IF($A126="","",IF($L126=0,"",IFERROR(_xlfn.MINIFS(tblLotBalance[Expiry Date],tblLotBalance[Item Name],$A126,tblLotBalance[Lot Balance],"&gt;0"),"")))</f>
        <v/>
      </c>
      <c r="N126" s="26" t="str">
        <f t="shared" ca="1" si="5"/>
        <v/>
      </c>
      <c r="O126" s="18" t="str" cm="1">
        <f t="array" ref="O126">IF($M126="","",IFERROR(INDEX(tblLotBalance[Lot Number],MATCH(1,INDEX((tblLotBalance[Item Name]=$A126)*(tblLotBalance[Expiry Date]=$M126)*(tblLotBalance[Lot Balance]&gt;0),0),0)),""))</f>
        <v/>
      </c>
      <c r="P126" s="28" t="str">
        <f>IF($A126="","",IF($I126&lt;0,"NEGATIVE",IF(NOT(ISNUMBER($F126)),"Set threshold",IF($I126&lt;=0,"OUT OF STOCK",IF($I126&lt;=$F126,"LOW",IF($I126&lt;=$F126*Settings!$C$7,"WATCH","OK"))))))</f>
        <v>NEGATIVE</v>
      </c>
      <c r="Q126" s="29" t="str">
        <f>IF($A126="","",IF($P126="NEGATIVE","Issued more than received - add the missing receipt",IF($P126="OUT OF STOCK","Reorder immediately",IF($P126="LOW","Raise purchase order",IF($P126="Set threshold","Enter Critical Low in Items",IF(AND($N126&lt;&gt;"",$N126&lt;=0),"Quarantine expired lot",IF(AND($N126&lt;&gt;"",$N126&lt;=Settings!$C$6),"Use or rotate stock now","")))))))</f>
        <v>Issued more than received - add the missing receipt</v>
      </c>
    </row>
    <row r="127" spans="1:17" x14ac:dyDescent="0.35">
      <c r="A127" s="18" t="str">
        <f>IF(Items!$A124="","",Items!$A124)</f>
        <v>Thermometer</v>
      </c>
      <c r="B127" s="18" t="str">
        <f>IF($A127="","",Items!$B124)</f>
        <v>Device</v>
      </c>
      <c r="C127" s="19" t="str">
        <f>IF($A127="","",Items!$G124)</f>
        <v>Tool</v>
      </c>
      <c r="D127" s="20">
        <f>IF($A127="","",N(Items!$D124))</f>
        <v>8</v>
      </c>
      <c r="E127" s="23">
        <f>IF($A127="","",Items!$E124)</f>
        <v>1</v>
      </c>
      <c r="F127" s="23">
        <f>IF($A127="","",Items!$F124)</f>
        <v>0</v>
      </c>
      <c r="G127" s="26">
        <f>IF($A127="","",SUMIFS(tblReceipts[Qty Received],tblReceipts[Item Name],$A127))</f>
        <v>10</v>
      </c>
      <c r="H127" s="26">
        <f>IF($A127="","",SUMIFS(tblIssues[Qty Issued],tblIssues[Item Name],$A127))</f>
        <v>1</v>
      </c>
      <c r="I127" s="27">
        <f t="shared" si="3"/>
        <v>9</v>
      </c>
      <c r="J127" s="21">
        <f t="shared" si="4"/>
        <v>72</v>
      </c>
      <c r="K127" s="26">
        <f>IF($A127="","",COUNTIFS(tblReceipts[Item Name],$A127))</f>
        <v>1</v>
      </c>
      <c r="L127" s="26">
        <f>IF($A127="","",COUNTIFS(tblLotBalance[Item Name],$A127,tblLotBalance[Lot Balance],"&gt;0"))</f>
        <v>1</v>
      </c>
      <c r="M127" s="24">
        <f>IF($A127="","",IF($L127=0,"",IFERROR(_xlfn.MINIFS(tblLotBalance[Expiry Date],tblLotBalance[Item Name],$A127,tblLotBalance[Lot Balance],"&gt;0"),"")))</f>
        <v>47209</v>
      </c>
      <c r="N127" s="26">
        <f t="shared" ca="1" si="5"/>
        <v>971</v>
      </c>
      <c r="O127" s="18" t="str" cm="1">
        <f t="array" ref="O127">IF($M127="","",IFERROR(INDEX(tblLotBalance[Lot Number],MATCH(1,INDEX((tblLotBalance[Item Name]=$A127)*(tblLotBalance[Expiry Date]=$M127)*(tblLotBalance[Lot Balance]&gt;0),0),0)),""))</f>
        <v>Therm-1</v>
      </c>
      <c r="P127" s="28" t="str">
        <f>IF($A127="","",IF($I127&lt;0,"NEGATIVE",IF(NOT(ISNUMBER($F127)),"Set threshold",IF($I127&lt;=0,"OUT OF STOCK",IF($I127&lt;=$F127,"LOW",IF($I127&lt;=$F127*Settings!$C$7,"WATCH","OK"))))))</f>
        <v>OK</v>
      </c>
      <c r="Q127" s="29" t="str">
        <f ca="1">IF($A127="","",IF($P127="NEGATIVE","Issued more than received - add the missing receipt",IF($P127="OUT OF STOCK","Reorder immediately",IF($P127="LOW","Raise purchase order",IF($P127="Set threshold","Enter Critical Low in Items",IF(AND($N127&lt;&gt;"",$N127&lt;=0),"Quarantine expired lot",IF(AND($N127&lt;&gt;"",$N127&lt;=Settings!$C$6),"Use or rotate stock now","")))))))</f>
        <v/>
      </c>
    </row>
    <row r="128" spans="1:17" x14ac:dyDescent="0.35">
      <c r="A128" s="18" t="str">
        <f>IF(Items!$A125="","",Items!$A125)</f>
        <v>Stethscope</v>
      </c>
      <c r="B128" s="18" t="str">
        <f>IF($A128="","",Items!$B125)</f>
        <v>Device</v>
      </c>
      <c r="C128" s="19" t="str">
        <f>IF($A128="","",Items!$G125)</f>
        <v>Tool</v>
      </c>
      <c r="D128" s="20">
        <f>IF($A128="","",N(Items!$D125))</f>
        <v>12</v>
      </c>
      <c r="E128" s="23">
        <f>IF($A128="","",Items!$E125)</f>
        <v>1</v>
      </c>
      <c r="F128" s="23">
        <f>IF($A128="","",Items!$F125)</f>
        <v>0</v>
      </c>
      <c r="G128" s="26">
        <f>IF($A128="","",SUMIFS(tblReceipts[Qty Received],tblReceipts[Item Name],$A128))</f>
        <v>5</v>
      </c>
      <c r="H128" s="26">
        <f>IF($A128="","",SUMIFS(tblIssues[Qty Issued],tblIssues[Item Name],$A128))</f>
        <v>1</v>
      </c>
      <c r="I128" s="27">
        <f t="shared" si="3"/>
        <v>4</v>
      </c>
      <c r="J128" s="21">
        <f t="shared" si="4"/>
        <v>48</v>
      </c>
      <c r="K128" s="26">
        <f>IF($A128="","",COUNTIFS(tblReceipts[Item Name],$A128))</f>
        <v>1</v>
      </c>
      <c r="L128" s="26">
        <f>IF($A128="","",COUNTIFS(tblLotBalance[Item Name],$A128,tblLotBalance[Lot Balance],"&gt;0"))</f>
        <v>1</v>
      </c>
      <c r="M128" s="24">
        <f>IF($A128="","",IF($L128=0,"",IFERROR(_xlfn.MINIFS(tblLotBalance[Expiry Date],tblLotBalance[Item Name],$A128,tblLotBalance[Lot Balance],"&gt;0"),"")))</f>
        <v>47209</v>
      </c>
      <c r="N128" s="26">
        <f t="shared" ca="1" si="5"/>
        <v>971</v>
      </c>
      <c r="O128" s="18" t="str" cm="1">
        <f t="array" ref="O128">IF($M128="","",IFERROR(INDEX(tblLotBalance[Lot Number],MATCH(1,INDEX((tblLotBalance[Item Name]=$A128)*(tblLotBalance[Expiry Date]=$M128)*(tblLotBalance[Lot Balance]&gt;0),0),0)),""))</f>
        <v>Steth-1</v>
      </c>
      <c r="P128" s="28" t="str">
        <f>IF($A128="","",IF($I128&lt;0,"NEGATIVE",IF(NOT(ISNUMBER($F128)),"Set threshold",IF($I128&lt;=0,"OUT OF STOCK",IF($I128&lt;=$F128,"LOW",IF($I128&lt;=$F128*Settings!$C$7,"WATCH","OK"))))))</f>
        <v>OK</v>
      </c>
      <c r="Q128" s="29" t="str">
        <f ca="1">IF($A128="","",IF($P128="NEGATIVE","Issued more than received - add the missing receipt",IF($P128="OUT OF STOCK","Reorder immediately",IF($P128="LOW","Raise purchase order",IF($P128="Set threshold","Enter Critical Low in Items",IF(AND($N128&lt;&gt;"",$N128&lt;=0),"Quarantine expired lot",IF(AND($N128&lt;&gt;"",$N128&lt;=Settings!$C$6),"Use or rotate stock now","")))))))</f>
        <v/>
      </c>
    </row>
    <row r="129" spans="1:17" x14ac:dyDescent="0.35">
      <c r="A129" s="18" t="str">
        <f>IF(Items!$A126="","",Items!$A126)</f>
        <v>Sample Org Week Water Bottle</v>
      </c>
      <c r="B129" s="18" t="str">
        <f>IF($A129="","",Items!$B126)</f>
        <v>Utility</v>
      </c>
      <c r="C129" s="19" t="str">
        <f>IF($A129="","",Items!$G126)</f>
        <v>Utility</v>
      </c>
      <c r="D129" s="20">
        <f>IF($A129="","",N(Items!$D126))</f>
        <v>0</v>
      </c>
      <c r="E129" s="23">
        <f>IF($A129="","",Items!$E126)</f>
        <v>1</v>
      </c>
      <c r="F129" s="23">
        <f>IF($A129="","",Items!$F126)</f>
        <v>0</v>
      </c>
      <c r="G129" s="26">
        <f>IF($A129="","",SUMIFS(tblReceipts[Qty Received],tblReceipts[Item Name],$A129))</f>
        <v>0</v>
      </c>
      <c r="H129" s="26">
        <f>IF($A129="","",SUMIFS(tblIssues[Qty Issued],tblIssues[Item Name],$A129))</f>
        <v>86</v>
      </c>
      <c r="I129" s="27">
        <f t="shared" si="3"/>
        <v>-86</v>
      </c>
      <c r="J129" s="21">
        <f t="shared" si="4"/>
        <v>0</v>
      </c>
      <c r="K129" s="26">
        <f>IF($A129="","",COUNTIFS(tblReceipts[Item Name],$A129))</f>
        <v>0</v>
      </c>
      <c r="L129" s="26">
        <f>IF($A129="","",COUNTIFS(tblLotBalance[Item Name],$A129,tblLotBalance[Lot Balance],"&gt;0"))</f>
        <v>0</v>
      </c>
      <c r="M129" s="24" t="str">
        <f>IF($A129="","",IF($L129=0,"",IFERROR(_xlfn.MINIFS(tblLotBalance[Expiry Date],tblLotBalance[Item Name],$A129,tblLotBalance[Lot Balance],"&gt;0"),"")))</f>
        <v/>
      </c>
      <c r="N129" s="26" t="str">
        <f t="shared" ca="1" si="5"/>
        <v/>
      </c>
      <c r="O129" s="18" t="str" cm="1">
        <f t="array" ref="O129">IF($M129="","",IFERROR(INDEX(tblLotBalance[Lot Number],MATCH(1,INDEX((tblLotBalance[Item Name]=$A129)*(tblLotBalance[Expiry Date]=$M129)*(tblLotBalance[Lot Balance]&gt;0),0),0)),""))</f>
        <v/>
      </c>
      <c r="P129" s="28" t="str">
        <f>IF($A129="","",IF($I129&lt;0,"NEGATIVE",IF(NOT(ISNUMBER($F129)),"Set threshold",IF($I129&lt;=0,"OUT OF STOCK",IF($I129&lt;=$F129,"LOW",IF($I129&lt;=$F129*Settings!$C$7,"WATCH","OK"))))))</f>
        <v>NEGATIVE</v>
      </c>
      <c r="Q129" s="29" t="str">
        <f>IF($A129="","",IF($P129="NEGATIVE","Issued more than received - add the missing receipt",IF($P129="OUT OF STOCK","Reorder immediately",IF($P129="LOW","Raise purchase order",IF($P129="Set threshold","Enter Critical Low in Items",IF(AND($N129&lt;&gt;"",$N129&lt;=0),"Quarantine expired lot",IF(AND($N129&lt;&gt;"",$N129&lt;=Settings!$C$6),"Use or rotate stock now","")))))))</f>
        <v>Issued more than received - add the missing receipt</v>
      </c>
    </row>
    <row r="130" spans="1:17" x14ac:dyDescent="0.35">
      <c r="A130" s="18" t="str">
        <f>IF(Items!$A127="","",Items!$A127)</f>
        <v>PPE EMERGENCY/CAR KIT</v>
      </c>
      <c r="B130" s="18" t="str">
        <f>IF($A130="","",Items!$B127)</f>
        <v>PPE</v>
      </c>
      <c r="C130" s="19" t="str">
        <f>IF($A130="","",Items!$G127)</f>
        <v>PPE</v>
      </c>
      <c r="D130" s="20">
        <f>IF($A130="","",N(Items!$D127))</f>
        <v>0</v>
      </c>
      <c r="E130" s="23">
        <f>IF($A130="","",Items!$E127)</f>
        <v>1</v>
      </c>
      <c r="F130" s="23">
        <f>IF($A130="","",Items!$F127)</f>
        <v>0</v>
      </c>
      <c r="G130" s="26">
        <f>IF($A130="","",SUMIFS(tblReceipts[Qty Received],tblReceipts[Item Name],$A130))</f>
        <v>0</v>
      </c>
      <c r="H130" s="26">
        <f>IF($A130="","",SUMIFS(tblIssues[Qty Issued],tblIssues[Item Name],$A130))</f>
        <v>1</v>
      </c>
      <c r="I130" s="27">
        <f t="shared" si="3"/>
        <v>-1</v>
      </c>
      <c r="J130" s="21">
        <f t="shared" si="4"/>
        <v>0</v>
      </c>
      <c r="K130" s="26">
        <f>IF($A130="","",COUNTIFS(tblReceipts[Item Name],$A130))</f>
        <v>0</v>
      </c>
      <c r="L130" s="26">
        <f>IF($A130="","",COUNTIFS(tblLotBalance[Item Name],$A130,tblLotBalance[Lot Balance],"&gt;0"))</f>
        <v>0</v>
      </c>
      <c r="M130" s="24" t="str">
        <f>IF($A130="","",IF($L130=0,"",IFERROR(_xlfn.MINIFS(tblLotBalance[Expiry Date],tblLotBalance[Item Name],$A130,tblLotBalance[Lot Balance],"&gt;0"),"")))</f>
        <v/>
      </c>
      <c r="N130" s="26" t="str">
        <f t="shared" ca="1" si="5"/>
        <v/>
      </c>
      <c r="O130" s="18" t="str" cm="1">
        <f t="array" ref="O130">IF($M130="","",IFERROR(INDEX(tblLotBalance[Lot Number],MATCH(1,INDEX((tblLotBalance[Item Name]=$A130)*(tblLotBalance[Expiry Date]=$M130)*(tblLotBalance[Lot Balance]&gt;0),0),0)),""))</f>
        <v/>
      </c>
      <c r="P130" s="28" t="str">
        <f>IF($A130="","",IF($I130&lt;0,"NEGATIVE",IF(NOT(ISNUMBER($F130)),"Set threshold",IF($I130&lt;=0,"OUT OF STOCK",IF($I130&lt;=$F130,"LOW",IF($I130&lt;=$F130*Settings!$C$7,"WATCH","OK"))))))</f>
        <v>NEGATIVE</v>
      </c>
      <c r="Q130" s="29" t="str">
        <f>IF($A130="","",IF($P130="NEGATIVE","Issued more than received - add the missing receipt",IF($P130="OUT OF STOCK","Reorder immediately",IF($P130="LOW","Raise purchase order",IF($P130="Set threshold","Enter Critical Low in Items",IF(AND($N130&lt;&gt;"",$N130&lt;=0),"Quarantine expired lot",IF(AND($N130&lt;&gt;"",$N130&lt;=Settings!$C$6),"Use or rotate stock now","")))))))</f>
        <v>Issued more than received - add the missing receipt</v>
      </c>
    </row>
    <row r="131" spans="1:17" x14ac:dyDescent="0.35">
      <c r="A131" s="18" t="str">
        <f>IF(Items!$A128="","",Items!$A128)</f>
        <v>Hand Sanitizer 1L OS</v>
      </c>
      <c r="B131" s="18" t="str">
        <f>IF($A131="","",Items!$B128)</f>
        <v>PPE</v>
      </c>
      <c r="C131" s="19" t="str">
        <f>IF($A131="","",Items!$G128)</f>
        <v>PPE</v>
      </c>
      <c r="D131" s="20">
        <f>IF($A131="","",N(Items!$D128))</f>
        <v>0</v>
      </c>
      <c r="E131" s="23">
        <f>IF($A131="","",Items!$E128)</f>
        <v>1</v>
      </c>
      <c r="F131" s="23">
        <f>IF($A131="","",Items!$F128)</f>
        <v>0</v>
      </c>
      <c r="G131" s="26">
        <f>IF($A131="","",SUMIFS(tblReceipts[Qty Received],tblReceipts[Item Name],$A131))</f>
        <v>12</v>
      </c>
      <c r="H131" s="26">
        <f>IF($A131="","",SUMIFS(tblIssues[Qty Issued],tblIssues[Item Name],$A131))</f>
        <v>0</v>
      </c>
      <c r="I131" s="27">
        <f t="shared" si="3"/>
        <v>12</v>
      </c>
      <c r="J131" s="21">
        <f t="shared" si="4"/>
        <v>0</v>
      </c>
      <c r="K131" s="26">
        <f>IF($A131="","",COUNTIFS(tblReceipts[Item Name],$A131))</f>
        <v>1</v>
      </c>
      <c r="L131" s="26">
        <f>IF($A131="","",COUNTIFS(tblLotBalance[Item Name],$A131,tblLotBalance[Lot Balance],"&gt;0"))</f>
        <v>1</v>
      </c>
      <c r="M131" s="24">
        <f>IF($A131="","",IF($L131=0,"",IFERROR(_xlfn.MINIFS(tblLotBalance[Expiry Date],tblLotBalance[Item Name],$A131,tblLotBalance[Lot Balance],"&gt;0"),"")))</f>
        <v>46811</v>
      </c>
      <c r="N131" s="26">
        <f t="shared" ca="1" si="5"/>
        <v>573</v>
      </c>
      <c r="O131" s="18" t="str" cm="1">
        <f t="array" ref="O131">IF($M131="","",IFERROR(INDEX(tblLotBalance[Lot Number],MATCH(1,INDEX((tblLotBalance[Item Name]=$A131)*(tblLotBalance[Expiry Date]=$M131)*(tblLotBalance[Lot Balance]&gt;0),0),0)),""))</f>
        <v>HS1L-1</v>
      </c>
      <c r="P131" s="28" t="str">
        <f>IF($A131="","",IF($I131&lt;0,"NEGATIVE",IF(NOT(ISNUMBER($F131)),"Set threshold",IF($I131&lt;=0,"OUT OF STOCK",IF($I131&lt;=$F131,"LOW",IF($I131&lt;=$F131*Settings!$C$7,"WATCH","OK"))))))</f>
        <v>OK</v>
      </c>
      <c r="Q131" s="29" t="str">
        <f ca="1">IF($A131="","",IF($P131="NEGATIVE","Issued more than received - add the missing receipt",IF($P131="OUT OF STOCK","Reorder immediately",IF($P131="LOW","Raise purchase order",IF($P131="Set threshold","Enter Critical Low in Items",IF(AND($N131&lt;&gt;"",$N131&lt;=0),"Quarantine expired lot",IF(AND($N131&lt;&gt;"",$N131&lt;=Settings!$C$6),"Use or rotate stock now","")))))))</f>
        <v/>
      </c>
    </row>
    <row r="132" spans="1:17" x14ac:dyDescent="0.35">
      <c r="A132" s="18" t="str">
        <f>IF(Items!$A129="","",Items!$A129)</f>
        <v>Disinfectant Wipes 180 OS</v>
      </c>
      <c r="B132" s="18" t="str">
        <f>IF($A132="","",Items!$B129)</f>
        <v>Wipes</v>
      </c>
      <c r="C132" s="19" t="str">
        <f>IF($A132="","",Items!$G129)</f>
        <v>PPE</v>
      </c>
      <c r="D132" s="20">
        <f>IF($A132="","",N(Items!$D129))</f>
        <v>0</v>
      </c>
      <c r="E132" s="23">
        <f>IF($A132="","",Items!$E129)</f>
        <v>180</v>
      </c>
      <c r="F132" s="23">
        <f>IF($A132="","",Items!$F129)</f>
        <v>0</v>
      </c>
      <c r="G132" s="26">
        <f>IF($A132="","",SUMIFS(tblReceipts[Qty Received],tblReceipts[Item Name],$A132))</f>
        <v>2160</v>
      </c>
      <c r="H132" s="26">
        <f>IF($A132="","",SUMIFS(tblIssues[Qty Issued],tblIssues[Item Name],$A132))</f>
        <v>0</v>
      </c>
      <c r="I132" s="27">
        <f t="shared" si="3"/>
        <v>2160</v>
      </c>
      <c r="J132" s="21">
        <f t="shared" si="4"/>
        <v>0</v>
      </c>
      <c r="K132" s="26">
        <f>IF($A132="","",COUNTIFS(tblReceipts[Item Name],$A132))</f>
        <v>1</v>
      </c>
      <c r="L132" s="26">
        <f>IF($A132="","",COUNTIFS(tblLotBalance[Item Name],$A132,tblLotBalance[Lot Balance],"&gt;0"))</f>
        <v>1</v>
      </c>
      <c r="M132" s="24">
        <f>IF($A132="","",IF($L132=0,"",IFERROR(_xlfn.MINIFS(tblLotBalance[Expiry Date],tblLotBalance[Item Name],$A132,tblLotBalance[Lot Balance],"&gt;0"),"")))</f>
        <v>46555</v>
      </c>
      <c r="N132" s="26">
        <f t="shared" ca="1" si="5"/>
        <v>317</v>
      </c>
      <c r="O132" s="18" cm="1">
        <f t="array" ref="O132">IF($M132="","",IFERROR(INDEX(tblLotBalance[Lot Number],MATCH(1,INDEX((tblLotBalance[Item Name]=$A132)*(tblLotBalance[Expiry Date]=$M132)*(tblLotBalance[Lot Balance]&gt;0),0),0)),""))</f>
        <v>2510611</v>
      </c>
      <c r="P132" s="28" t="str">
        <f>IF($A132="","",IF($I132&lt;0,"NEGATIVE",IF(NOT(ISNUMBER($F132)),"Set threshold",IF($I132&lt;=0,"OUT OF STOCK",IF($I132&lt;=$F132,"LOW",IF($I132&lt;=$F132*Settings!$C$7,"WATCH","OK"))))))</f>
        <v>OK</v>
      </c>
      <c r="Q132" s="29" t="str">
        <f ca="1">IF($A132="","",IF($P132="NEGATIVE","Issued more than received - add the missing receipt",IF($P132="OUT OF STOCK","Reorder immediately",IF($P132="LOW","Raise purchase order",IF($P132="Set threshold","Enter Critical Low in Items",IF(AND($N132&lt;&gt;"",$N132&lt;=0),"Quarantine expired lot",IF(AND($N132&lt;&gt;"",$N132&lt;=Settings!$C$6),"Use or rotate stock now","")))))))</f>
        <v/>
      </c>
    </row>
    <row r="133" spans="1:17" x14ac:dyDescent="0.35">
      <c r="A133" s="18" t="str">
        <f>IF(Items!$A130="","",Items!$A130)</f>
        <v/>
      </c>
      <c r="B133" s="18" t="str">
        <f>IF($A133="","",Items!$B130)</f>
        <v/>
      </c>
      <c r="C133" s="19" t="str">
        <f>IF($A133="","",Items!$G130)</f>
        <v/>
      </c>
      <c r="D133" s="20" t="str">
        <f>IF($A133="","",N(Items!$D130))</f>
        <v/>
      </c>
      <c r="E133" s="23" t="str">
        <f>IF($A133="","",Items!$E130)</f>
        <v/>
      </c>
      <c r="F133" s="23" t="str">
        <f>IF($A133="","",Items!$F130)</f>
        <v/>
      </c>
      <c r="G133" s="26" t="str">
        <f>IF($A133="","",SUMIFS(tblReceipts[Qty Received],tblReceipts[Item Name],$A133))</f>
        <v/>
      </c>
      <c r="H133" s="26" t="str">
        <f>IF($A133="","",SUMIFS(tblIssues[Qty Issued],tblIssues[Item Name],$A133))</f>
        <v/>
      </c>
      <c r="I133" s="27" t="str">
        <f t="shared" ref="I133:I196" si="6">IF($A133="","",$G133-$H133)</f>
        <v/>
      </c>
      <c r="J133" s="21" t="str">
        <f t="shared" ref="J133:J196" si="7">IF($A133="","",$I133*$D133)</f>
        <v/>
      </c>
      <c r="K133" s="26" t="str">
        <f>IF($A133="","",COUNTIFS(tblReceipts[Item Name],$A133))</f>
        <v/>
      </c>
      <c r="L133" s="26" t="str">
        <f>IF($A133="","",COUNTIFS(tblLotBalance[Item Name],$A133,tblLotBalance[Lot Balance],"&gt;0"))</f>
        <v/>
      </c>
      <c r="M133" s="24" t="str">
        <f>IF($A133="","",IF($L133=0,"",IFERROR(_xlfn.MINIFS(tblLotBalance[Expiry Date],tblLotBalance[Item Name],$A133,tblLotBalance[Lot Balance],"&gt;0"),"")))</f>
        <v/>
      </c>
      <c r="N133" s="26" t="str">
        <f t="shared" ref="N133:N196" ca="1" si="8">IF($M133="","",$M133-TODAY())</f>
        <v/>
      </c>
      <c r="O133" s="18" t="str" cm="1">
        <f t="array" ref="O133">IF($M133="","",IFERROR(INDEX(tblLotBalance[Lot Number],MATCH(1,INDEX((tblLotBalance[Item Name]=$A133)*(tblLotBalance[Expiry Date]=$M133)*(tblLotBalance[Lot Balance]&gt;0),0),0)),""))</f>
        <v/>
      </c>
      <c r="P133" s="28" t="str">
        <f>IF($A133="","",IF($I133&lt;0,"NEGATIVE",IF(NOT(ISNUMBER($F133)),"Set threshold",IF($I133&lt;=0,"OUT OF STOCK",IF($I133&lt;=$F133,"LOW",IF($I133&lt;=$F133*Settings!$C$7,"WATCH","OK"))))))</f>
        <v/>
      </c>
      <c r="Q133" s="29" t="str">
        <f>IF($A133="","",IF($P133="NEGATIVE","Issued more than received - add the missing receipt",IF($P133="OUT OF STOCK","Reorder immediately",IF($P133="LOW","Raise purchase order",IF($P133="Set threshold","Enter Critical Low in Items",IF(AND($N133&lt;&gt;"",$N133&lt;=0),"Quarantine expired lot",IF(AND($N133&lt;&gt;"",$N133&lt;=Settings!$C$6),"Use or rotate stock now","")))))))</f>
        <v/>
      </c>
    </row>
    <row r="134" spans="1:17" x14ac:dyDescent="0.35">
      <c r="A134" s="18" t="str">
        <f>IF(Items!$A131="","",Items!$A131)</f>
        <v/>
      </c>
      <c r="B134" s="18" t="str">
        <f>IF($A134="","",Items!$B131)</f>
        <v/>
      </c>
      <c r="C134" s="19" t="str">
        <f>IF($A134="","",Items!$G131)</f>
        <v/>
      </c>
      <c r="D134" s="20" t="str">
        <f>IF($A134="","",N(Items!$D131))</f>
        <v/>
      </c>
      <c r="E134" s="23" t="str">
        <f>IF($A134="","",Items!$E131)</f>
        <v/>
      </c>
      <c r="F134" s="23" t="str">
        <f>IF($A134="","",Items!$F131)</f>
        <v/>
      </c>
      <c r="G134" s="26" t="str">
        <f>IF($A134="","",SUMIFS(tblReceipts[Qty Received],tblReceipts[Item Name],$A134))</f>
        <v/>
      </c>
      <c r="H134" s="26" t="str">
        <f>IF($A134="","",SUMIFS(tblIssues[Qty Issued],tblIssues[Item Name],$A134))</f>
        <v/>
      </c>
      <c r="I134" s="27" t="str">
        <f t="shared" si="6"/>
        <v/>
      </c>
      <c r="J134" s="21" t="str">
        <f t="shared" si="7"/>
        <v/>
      </c>
      <c r="K134" s="26" t="str">
        <f>IF($A134="","",COUNTIFS(tblReceipts[Item Name],$A134))</f>
        <v/>
      </c>
      <c r="L134" s="26" t="str">
        <f>IF($A134="","",COUNTIFS(tblLotBalance[Item Name],$A134,tblLotBalance[Lot Balance],"&gt;0"))</f>
        <v/>
      </c>
      <c r="M134" s="24" t="str">
        <f>IF($A134="","",IF($L134=0,"",IFERROR(_xlfn.MINIFS(tblLotBalance[Expiry Date],tblLotBalance[Item Name],$A134,tblLotBalance[Lot Balance],"&gt;0"),"")))</f>
        <v/>
      </c>
      <c r="N134" s="26" t="str">
        <f t="shared" ca="1" si="8"/>
        <v/>
      </c>
      <c r="O134" s="18" t="str" cm="1">
        <f t="array" ref="O134">IF($M134="","",IFERROR(INDEX(tblLotBalance[Lot Number],MATCH(1,INDEX((tblLotBalance[Item Name]=$A134)*(tblLotBalance[Expiry Date]=$M134)*(tblLotBalance[Lot Balance]&gt;0),0),0)),""))</f>
        <v/>
      </c>
      <c r="P134" s="28" t="str">
        <f>IF($A134="","",IF($I134&lt;0,"NEGATIVE",IF(NOT(ISNUMBER($F134)),"Set threshold",IF($I134&lt;=0,"OUT OF STOCK",IF($I134&lt;=$F134,"LOW",IF($I134&lt;=$F134*Settings!$C$7,"WATCH","OK"))))))</f>
        <v/>
      </c>
      <c r="Q134" s="29" t="str">
        <f>IF($A134="","",IF($P134="NEGATIVE","Issued more than received - add the missing receipt",IF($P134="OUT OF STOCK","Reorder immediately",IF($P134="LOW","Raise purchase order",IF($P134="Set threshold","Enter Critical Low in Items",IF(AND($N134&lt;&gt;"",$N134&lt;=0),"Quarantine expired lot",IF(AND($N134&lt;&gt;"",$N134&lt;=Settings!$C$6),"Use or rotate stock now","")))))))</f>
        <v/>
      </c>
    </row>
    <row r="135" spans="1:17" x14ac:dyDescent="0.35">
      <c r="A135" s="18" t="str">
        <f>IF(Items!$A132="","",Items!$A132)</f>
        <v/>
      </c>
      <c r="B135" s="18" t="str">
        <f>IF($A135="","",Items!$B132)</f>
        <v/>
      </c>
      <c r="C135" s="19" t="str">
        <f>IF($A135="","",Items!$G132)</f>
        <v/>
      </c>
      <c r="D135" s="20" t="str">
        <f>IF($A135="","",N(Items!$D132))</f>
        <v/>
      </c>
      <c r="E135" s="23" t="str">
        <f>IF($A135="","",Items!$E132)</f>
        <v/>
      </c>
      <c r="F135" s="23" t="str">
        <f>IF($A135="","",Items!$F132)</f>
        <v/>
      </c>
      <c r="G135" s="26" t="str">
        <f>IF($A135="","",SUMIFS(tblReceipts[Qty Received],tblReceipts[Item Name],$A135))</f>
        <v/>
      </c>
      <c r="H135" s="26" t="str">
        <f>IF($A135="","",SUMIFS(tblIssues[Qty Issued],tblIssues[Item Name],$A135))</f>
        <v/>
      </c>
      <c r="I135" s="27" t="str">
        <f t="shared" si="6"/>
        <v/>
      </c>
      <c r="J135" s="21" t="str">
        <f t="shared" si="7"/>
        <v/>
      </c>
      <c r="K135" s="26" t="str">
        <f>IF($A135="","",COUNTIFS(tblReceipts[Item Name],$A135))</f>
        <v/>
      </c>
      <c r="L135" s="26" t="str">
        <f>IF($A135="","",COUNTIFS(tblLotBalance[Item Name],$A135,tblLotBalance[Lot Balance],"&gt;0"))</f>
        <v/>
      </c>
      <c r="M135" s="24" t="str">
        <f>IF($A135="","",IF($L135=0,"",IFERROR(_xlfn.MINIFS(tblLotBalance[Expiry Date],tblLotBalance[Item Name],$A135,tblLotBalance[Lot Balance],"&gt;0"),"")))</f>
        <v/>
      </c>
      <c r="N135" s="26" t="str">
        <f t="shared" ca="1" si="8"/>
        <v/>
      </c>
      <c r="O135" s="18" t="str" cm="1">
        <f t="array" ref="O135">IF($M135="","",IFERROR(INDEX(tblLotBalance[Lot Number],MATCH(1,INDEX((tblLotBalance[Item Name]=$A135)*(tblLotBalance[Expiry Date]=$M135)*(tblLotBalance[Lot Balance]&gt;0),0),0)),""))</f>
        <v/>
      </c>
      <c r="P135" s="28" t="str">
        <f>IF($A135="","",IF($I135&lt;0,"NEGATIVE",IF(NOT(ISNUMBER($F135)),"Set threshold",IF($I135&lt;=0,"OUT OF STOCK",IF($I135&lt;=$F135,"LOW",IF($I135&lt;=$F135*Settings!$C$7,"WATCH","OK"))))))</f>
        <v/>
      </c>
      <c r="Q135" s="29" t="str">
        <f>IF($A135="","",IF($P135="NEGATIVE","Issued more than received - add the missing receipt",IF($P135="OUT OF STOCK","Reorder immediately",IF($P135="LOW","Raise purchase order",IF($P135="Set threshold","Enter Critical Low in Items",IF(AND($N135&lt;&gt;"",$N135&lt;=0),"Quarantine expired lot",IF(AND($N135&lt;&gt;"",$N135&lt;=Settings!$C$6),"Use or rotate stock now","")))))))</f>
        <v/>
      </c>
    </row>
    <row r="136" spans="1:17" x14ac:dyDescent="0.35">
      <c r="A136" s="18" t="str">
        <f>IF(Items!$A133="","",Items!$A133)</f>
        <v/>
      </c>
      <c r="B136" s="18" t="str">
        <f>IF($A136="","",Items!$B133)</f>
        <v/>
      </c>
      <c r="C136" s="19" t="str">
        <f>IF($A136="","",Items!$G133)</f>
        <v/>
      </c>
      <c r="D136" s="20" t="str">
        <f>IF($A136="","",N(Items!$D133))</f>
        <v/>
      </c>
      <c r="E136" s="23" t="str">
        <f>IF($A136="","",Items!$E133)</f>
        <v/>
      </c>
      <c r="F136" s="23" t="str">
        <f>IF($A136="","",Items!$F133)</f>
        <v/>
      </c>
      <c r="G136" s="26" t="str">
        <f>IF($A136="","",SUMIFS(tblReceipts[Qty Received],tblReceipts[Item Name],$A136))</f>
        <v/>
      </c>
      <c r="H136" s="26" t="str">
        <f>IF($A136="","",SUMIFS(tblIssues[Qty Issued],tblIssues[Item Name],$A136))</f>
        <v/>
      </c>
      <c r="I136" s="27" t="str">
        <f t="shared" si="6"/>
        <v/>
      </c>
      <c r="J136" s="21" t="str">
        <f t="shared" si="7"/>
        <v/>
      </c>
      <c r="K136" s="26" t="str">
        <f>IF($A136="","",COUNTIFS(tblReceipts[Item Name],$A136))</f>
        <v/>
      </c>
      <c r="L136" s="26" t="str">
        <f>IF($A136="","",COUNTIFS(tblLotBalance[Item Name],$A136,tblLotBalance[Lot Balance],"&gt;0"))</f>
        <v/>
      </c>
      <c r="M136" s="24" t="str">
        <f>IF($A136="","",IF($L136=0,"",IFERROR(_xlfn.MINIFS(tblLotBalance[Expiry Date],tblLotBalance[Item Name],$A136,tblLotBalance[Lot Balance],"&gt;0"),"")))</f>
        <v/>
      </c>
      <c r="N136" s="26" t="str">
        <f t="shared" ca="1" si="8"/>
        <v/>
      </c>
      <c r="O136" s="18" t="str" cm="1">
        <f t="array" ref="O136">IF($M136="","",IFERROR(INDEX(tblLotBalance[Lot Number],MATCH(1,INDEX((tblLotBalance[Item Name]=$A136)*(tblLotBalance[Expiry Date]=$M136)*(tblLotBalance[Lot Balance]&gt;0),0),0)),""))</f>
        <v/>
      </c>
      <c r="P136" s="28" t="str">
        <f>IF($A136="","",IF($I136&lt;0,"NEGATIVE",IF(NOT(ISNUMBER($F136)),"Set threshold",IF($I136&lt;=0,"OUT OF STOCK",IF($I136&lt;=$F136,"LOW",IF($I136&lt;=$F136*Settings!$C$7,"WATCH","OK"))))))</f>
        <v/>
      </c>
      <c r="Q136" s="29" t="str">
        <f>IF($A136="","",IF($P136="NEGATIVE","Issued more than received - add the missing receipt",IF($P136="OUT OF STOCK","Reorder immediately",IF($P136="LOW","Raise purchase order",IF($P136="Set threshold","Enter Critical Low in Items",IF(AND($N136&lt;&gt;"",$N136&lt;=0),"Quarantine expired lot",IF(AND($N136&lt;&gt;"",$N136&lt;=Settings!$C$6),"Use or rotate stock now","")))))))</f>
        <v/>
      </c>
    </row>
    <row r="137" spans="1:17" x14ac:dyDescent="0.35">
      <c r="A137" s="18" t="str">
        <f>IF(Items!$A134="","",Items!$A134)</f>
        <v/>
      </c>
      <c r="B137" s="18" t="str">
        <f>IF($A137="","",Items!$B134)</f>
        <v/>
      </c>
      <c r="C137" s="19" t="str">
        <f>IF($A137="","",Items!$G134)</f>
        <v/>
      </c>
      <c r="D137" s="20" t="str">
        <f>IF($A137="","",N(Items!$D134))</f>
        <v/>
      </c>
      <c r="E137" s="23" t="str">
        <f>IF($A137="","",Items!$E134)</f>
        <v/>
      </c>
      <c r="F137" s="23" t="str">
        <f>IF($A137="","",Items!$F134)</f>
        <v/>
      </c>
      <c r="G137" s="26" t="str">
        <f>IF($A137="","",SUMIFS(tblReceipts[Qty Received],tblReceipts[Item Name],$A137))</f>
        <v/>
      </c>
      <c r="H137" s="26" t="str">
        <f>IF($A137="","",SUMIFS(tblIssues[Qty Issued],tblIssues[Item Name],$A137))</f>
        <v/>
      </c>
      <c r="I137" s="27" t="str">
        <f t="shared" si="6"/>
        <v/>
      </c>
      <c r="J137" s="21" t="str">
        <f t="shared" si="7"/>
        <v/>
      </c>
      <c r="K137" s="26" t="str">
        <f>IF($A137="","",COUNTIFS(tblReceipts[Item Name],$A137))</f>
        <v/>
      </c>
      <c r="L137" s="26" t="str">
        <f>IF($A137="","",COUNTIFS(tblLotBalance[Item Name],$A137,tblLotBalance[Lot Balance],"&gt;0"))</f>
        <v/>
      </c>
      <c r="M137" s="24" t="str">
        <f>IF($A137="","",IF($L137=0,"",IFERROR(_xlfn.MINIFS(tblLotBalance[Expiry Date],tblLotBalance[Item Name],$A137,tblLotBalance[Lot Balance],"&gt;0"),"")))</f>
        <v/>
      </c>
      <c r="N137" s="26" t="str">
        <f t="shared" ca="1" si="8"/>
        <v/>
      </c>
      <c r="O137" s="18" t="str" cm="1">
        <f t="array" ref="O137">IF($M137="","",IFERROR(INDEX(tblLotBalance[Lot Number],MATCH(1,INDEX((tblLotBalance[Item Name]=$A137)*(tblLotBalance[Expiry Date]=$M137)*(tblLotBalance[Lot Balance]&gt;0),0),0)),""))</f>
        <v/>
      </c>
      <c r="P137" s="28" t="str">
        <f>IF($A137="","",IF($I137&lt;0,"NEGATIVE",IF(NOT(ISNUMBER($F137)),"Set threshold",IF($I137&lt;=0,"OUT OF STOCK",IF($I137&lt;=$F137,"LOW",IF($I137&lt;=$F137*Settings!$C$7,"WATCH","OK"))))))</f>
        <v/>
      </c>
      <c r="Q137" s="29" t="str">
        <f>IF($A137="","",IF($P137="NEGATIVE","Issued more than received - add the missing receipt",IF($P137="OUT OF STOCK","Reorder immediately",IF($P137="LOW","Raise purchase order",IF($P137="Set threshold","Enter Critical Low in Items",IF(AND($N137&lt;&gt;"",$N137&lt;=0),"Quarantine expired lot",IF(AND($N137&lt;&gt;"",$N137&lt;=Settings!$C$6),"Use or rotate stock now","")))))))</f>
        <v/>
      </c>
    </row>
    <row r="138" spans="1:17" x14ac:dyDescent="0.35">
      <c r="A138" s="18" t="str">
        <f>IF(Items!$A135="","",Items!$A135)</f>
        <v/>
      </c>
      <c r="B138" s="18" t="str">
        <f>IF($A138="","",Items!$B135)</f>
        <v/>
      </c>
      <c r="C138" s="19" t="str">
        <f>IF($A138="","",Items!$G135)</f>
        <v/>
      </c>
      <c r="D138" s="20" t="str">
        <f>IF($A138="","",N(Items!$D135))</f>
        <v/>
      </c>
      <c r="E138" s="23" t="str">
        <f>IF($A138="","",Items!$E135)</f>
        <v/>
      </c>
      <c r="F138" s="23" t="str">
        <f>IF($A138="","",Items!$F135)</f>
        <v/>
      </c>
      <c r="G138" s="26" t="str">
        <f>IF($A138="","",SUMIFS(tblReceipts[Qty Received],tblReceipts[Item Name],$A138))</f>
        <v/>
      </c>
      <c r="H138" s="26" t="str">
        <f>IF($A138="","",SUMIFS(tblIssues[Qty Issued],tblIssues[Item Name],$A138))</f>
        <v/>
      </c>
      <c r="I138" s="27" t="str">
        <f t="shared" si="6"/>
        <v/>
      </c>
      <c r="J138" s="21" t="str">
        <f t="shared" si="7"/>
        <v/>
      </c>
      <c r="K138" s="26" t="str">
        <f>IF($A138="","",COUNTIFS(tblReceipts[Item Name],$A138))</f>
        <v/>
      </c>
      <c r="L138" s="26" t="str">
        <f>IF($A138="","",COUNTIFS(tblLotBalance[Item Name],$A138,tblLotBalance[Lot Balance],"&gt;0"))</f>
        <v/>
      </c>
      <c r="M138" s="24" t="str">
        <f>IF($A138="","",IF($L138=0,"",IFERROR(_xlfn.MINIFS(tblLotBalance[Expiry Date],tblLotBalance[Item Name],$A138,tblLotBalance[Lot Balance],"&gt;0"),"")))</f>
        <v/>
      </c>
      <c r="N138" s="26" t="str">
        <f t="shared" ca="1" si="8"/>
        <v/>
      </c>
      <c r="O138" s="18" t="str" cm="1">
        <f t="array" ref="O138">IF($M138="","",IFERROR(INDEX(tblLotBalance[Lot Number],MATCH(1,INDEX((tblLotBalance[Item Name]=$A138)*(tblLotBalance[Expiry Date]=$M138)*(tblLotBalance[Lot Balance]&gt;0),0),0)),""))</f>
        <v/>
      </c>
      <c r="P138" s="28" t="str">
        <f>IF($A138="","",IF($I138&lt;0,"NEGATIVE",IF(NOT(ISNUMBER($F138)),"Set threshold",IF($I138&lt;=0,"OUT OF STOCK",IF($I138&lt;=$F138,"LOW",IF($I138&lt;=$F138*Settings!$C$7,"WATCH","OK"))))))</f>
        <v/>
      </c>
      <c r="Q138" s="29" t="str">
        <f>IF($A138="","",IF($P138="NEGATIVE","Issued more than received - add the missing receipt",IF($P138="OUT OF STOCK","Reorder immediately",IF($P138="LOW","Raise purchase order",IF($P138="Set threshold","Enter Critical Low in Items",IF(AND($N138&lt;&gt;"",$N138&lt;=0),"Quarantine expired lot",IF(AND($N138&lt;&gt;"",$N138&lt;=Settings!$C$6),"Use or rotate stock now","")))))))</f>
        <v/>
      </c>
    </row>
    <row r="139" spans="1:17" x14ac:dyDescent="0.35">
      <c r="A139" s="18" t="str">
        <f>IF(Items!$A136="","",Items!$A136)</f>
        <v/>
      </c>
      <c r="B139" s="18" t="str">
        <f>IF($A139="","",Items!$B136)</f>
        <v/>
      </c>
      <c r="C139" s="19" t="str">
        <f>IF($A139="","",Items!$G136)</f>
        <v/>
      </c>
      <c r="D139" s="20" t="str">
        <f>IF($A139="","",N(Items!$D136))</f>
        <v/>
      </c>
      <c r="E139" s="23" t="str">
        <f>IF($A139="","",Items!$E136)</f>
        <v/>
      </c>
      <c r="F139" s="23" t="str">
        <f>IF($A139="","",Items!$F136)</f>
        <v/>
      </c>
      <c r="G139" s="26" t="str">
        <f>IF($A139="","",SUMIFS(tblReceipts[Qty Received],tblReceipts[Item Name],$A139))</f>
        <v/>
      </c>
      <c r="H139" s="26" t="str">
        <f>IF($A139="","",SUMIFS(tblIssues[Qty Issued],tblIssues[Item Name],$A139))</f>
        <v/>
      </c>
      <c r="I139" s="27" t="str">
        <f t="shared" si="6"/>
        <v/>
      </c>
      <c r="J139" s="21" t="str">
        <f t="shared" si="7"/>
        <v/>
      </c>
      <c r="K139" s="26" t="str">
        <f>IF($A139="","",COUNTIFS(tblReceipts[Item Name],$A139))</f>
        <v/>
      </c>
      <c r="L139" s="26" t="str">
        <f>IF($A139="","",COUNTIFS(tblLotBalance[Item Name],$A139,tblLotBalance[Lot Balance],"&gt;0"))</f>
        <v/>
      </c>
      <c r="M139" s="24" t="str">
        <f>IF($A139="","",IF($L139=0,"",IFERROR(_xlfn.MINIFS(tblLotBalance[Expiry Date],tblLotBalance[Item Name],$A139,tblLotBalance[Lot Balance],"&gt;0"),"")))</f>
        <v/>
      </c>
      <c r="N139" s="26" t="str">
        <f t="shared" ca="1" si="8"/>
        <v/>
      </c>
      <c r="O139" s="18" t="str" cm="1">
        <f t="array" ref="O139">IF($M139="","",IFERROR(INDEX(tblLotBalance[Lot Number],MATCH(1,INDEX((tblLotBalance[Item Name]=$A139)*(tblLotBalance[Expiry Date]=$M139)*(tblLotBalance[Lot Balance]&gt;0),0),0)),""))</f>
        <v/>
      </c>
      <c r="P139" s="28" t="str">
        <f>IF($A139="","",IF($I139&lt;0,"NEGATIVE",IF(NOT(ISNUMBER($F139)),"Set threshold",IF($I139&lt;=0,"OUT OF STOCK",IF($I139&lt;=$F139,"LOW",IF($I139&lt;=$F139*Settings!$C$7,"WATCH","OK"))))))</f>
        <v/>
      </c>
      <c r="Q139" s="29" t="str">
        <f>IF($A139="","",IF($P139="NEGATIVE","Issued more than received - add the missing receipt",IF($P139="OUT OF STOCK","Reorder immediately",IF($P139="LOW","Raise purchase order",IF($P139="Set threshold","Enter Critical Low in Items",IF(AND($N139&lt;&gt;"",$N139&lt;=0),"Quarantine expired lot",IF(AND($N139&lt;&gt;"",$N139&lt;=Settings!$C$6),"Use or rotate stock now","")))))))</f>
        <v/>
      </c>
    </row>
    <row r="140" spans="1:17" x14ac:dyDescent="0.35">
      <c r="A140" s="18" t="str">
        <f>IF(Items!$A137="","",Items!$A137)</f>
        <v/>
      </c>
      <c r="B140" s="18" t="str">
        <f>IF($A140="","",Items!$B137)</f>
        <v/>
      </c>
      <c r="C140" s="19" t="str">
        <f>IF($A140="","",Items!$G137)</f>
        <v/>
      </c>
      <c r="D140" s="20" t="str">
        <f>IF($A140="","",N(Items!$D137))</f>
        <v/>
      </c>
      <c r="E140" s="23" t="str">
        <f>IF($A140="","",Items!$E137)</f>
        <v/>
      </c>
      <c r="F140" s="23" t="str">
        <f>IF($A140="","",Items!$F137)</f>
        <v/>
      </c>
      <c r="G140" s="26" t="str">
        <f>IF($A140="","",SUMIFS(tblReceipts[Qty Received],tblReceipts[Item Name],$A140))</f>
        <v/>
      </c>
      <c r="H140" s="26" t="str">
        <f>IF($A140="","",SUMIFS(tblIssues[Qty Issued],tblIssues[Item Name],$A140))</f>
        <v/>
      </c>
      <c r="I140" s="27" t="str">
        <f t="shared" si="6"/>
        <v/>
      </c>
      <c r="J140" s="21" t="str">
        <f t="shared" si="7"/>
        <v/>
      </c>
      <c r="K140" s="26" t="str">
        <f>IF($A140="","",COUNTIFS(tblReceipts[Item Name],$A140))</f>
        <v/>
      </c>
      <c r="L140" s="26" t="str">
        <f>IF($A140="","",COUNTIFS(tblLotBalance[Item Name],$A140,tblLotBalance[Lot Balance],"&gt;0"))</f>
        <v/>
      </c>
      <c r="M140" s="24" t="str">
        <f>IF($A140="","",IF($L140=0,"",IFERROR(_xlfn.MINIFS(tblLotBalance[Expiry Date],tblLotBalance[Item Name],$A140,tblLotBalance[Lot Balance],"&gt;0"),"")))</f>
        <v/>
      </c>
      <c r="N140" s="26" t="str">
        <f t="shared" ca="1" si="8"/>
        <v/>
      </c>
      <c r="O140" s="18" t="str" cm="1">
        <f t="array" ref="O140">IF($M140="","",IFERROR(INDEX(tblLotBalance[Lot Number],MATCH(1,INDEX((tblLotBalance[Item Name]=$A140)*(tblLotBalance[Expiry Date]=$M140)*(tblLotBalance[Lot Balance]&gt;0),0),0)),""))</f>
        <v/>
      </c>
      <c r="P140" s="28" t="str">
        <f>IF($A140="","",IF($I140&lt;0,"NEGATIVE",IF(NOT(ISNUMBER($F140)),"Set threshold",IF($I140&lt;=0,"OUT OF STOCK",IF($I140&lt;=$F140,"LOW",IF($I140&lt;=$F140*Settings!$C$7,"WATCH","OK"))))))</f>
        <v/>
      </c>
      <c r="Q140" s="29" t="str">
        <f>IF($A140="","",IF($P140="NEGATIVE","Issued more than received - add the missing receipt",IF($P140="OUT OF STOCK","Reorder immediately",IF($P140="LOW","Raise purchase order",IF($P140="Set threshold","Enter Critical Low in Items",IF(AND($N140&lt;&gt;"",$N140&lt;=0),"Quarantine expired lot",IF(AND($N140&lt;&gt;"",$N140&lt;=Settings!$C$6),"Use or rotate stock now","")))))))</f>
        <v/>
      </c>
    </row>
    <row r="141" spans="1:17" x14ac:dyDescent="0.35">
      <c r="A141" s="18" t="str">
        <f>IF(Items!$A138="","",Items!$A138)</f>
        <v/>
      </c>
      <c r="B141" s="18" t="str">
        <f>IF($A141="","",Items!$B138)</f>
        <v/>
      </c>
      <c r="C141" s="19" t="str">
        <f>IF($A141="","",Items!$G138)</f>
        <v/>
      </c>
      <c r="D141" s="20" t="str">
        <f>IF($A141="","",N(Items!$D138))</f>
        <v/>
      </c>
      <c r="E141" s="23" t="str">
        <f>IF($A141="","",Items!$E138)</f>
        <v/>
      </c>
      <c r="F141" s="23" t="str">
        <f>IF($A141="","",Items!$F138)</f>
        <v/>
      </c>
      <c r="G141" s="26" t="str">
        <f>IF($A141="","",SUMIFS(tblReceipts[Qty Received],tblReceipts[Item Name],$A141))</f>
        <v/>
      </c>
      <c r="H141" s="26" t="str">
        <f>IF($A141="","",SUMIFS(tblIssues[Qty Issued],tblIssues[Item Name],$A141))</f>
        <v/>
      </c>
      <c r="I141" s="27" t="str">
        <f t="shared" si="6"/>
        <v/>
      </c>
      <c r="J141" s="21" t="str">
        <f t="shared" si="7"/>
        <v/>
      </c>
      <c r="K141" s="26" t="str">
        <f>IF($A141="","",COUNTIFS(tblReceipts[Item Name],$A141))</f>
        <v/>
      </c>
      <c r="L141" s="26" t="str">
        <f>IF($A141="","",COUNTIFS(tblLotBalance[Item Name],$A141,tblLotBalance[Lot Balance],"&gt;0"))</f>
        <v/>
      </c>
      <c r="M141" s="24" t="str">
        <f>IF($A141="","",IF($L141=0,"",IFERROR(_xlfn.MINIFS(tblLotBalance[Expiry Date],tblLotBalance[Item Name],$A141,tblLotBalance[Lot Balance],"&gt;0"),"")))</f>
        <v/>
      </c>
      <c r="N141" s="26" t="str">
        <f t="shared" ca="1" si="8"/>
        <v/>
      </c>
      <c r="O141" s="18" t="str" cm="1">
        <f t="array" ref="O141">IF($M141="","",IFERROR(INDEX(tblLotBalance[Lot Number],MATCH(1,INDEX((tblLotBalance[Item Name]=$A141)*(tblLotBalance[Expiry Date]=$M141)*(tblLotBalance[Lot Balance]&gt;0),0),0)),""))</f>
        <v/>
      </c>
      <c r="P141" s="28" t="str">
        <f>IF($A141="","",IF($I141&lt;0,"NEGATIVE",IF(NOT(ISNUMBER($F141)),"Set threshold",IF($I141&lt;=0,"OUT OF STOCK",IF($I141&lt;=$F141,"LOW",IF($I141&lt;=$F141*Settings!$C$7,"WATCH","OK"))))))</f>
        <v/>
      </c>
      <c r="Q141" s="29" t="str">
        <f>IF($A141="","",IF($P141="NEGATIVE","Issued more than received - add the missing receipt",IF($P141="OUT OF STOCK","Reorder immediately",IF($P141="LOW","Raise purchase order",IF($P141="Set threshold","Enter Critical Low in Items",IF(AND($N141&lt;&gt;"",$N141&lt;=0),"Quarantine expired lot",IF(AND($N141&lt;&gt;"",$N141&lt;=Settings!$C$6),"Use or rotate stock now","")))))))</f>
        <v/>
      </c>
    </row>
    <row r="142" spans="1:17" x14ac:dyDescent="0.35">
      <c r="A142" s="18" t="str">
        <f>IF(Items!$A139="","",Items!$A139)</f>
        <v/>
      </c>
      <c r="B142" s="18" t="str">
        <f>IF($A142="","",Items!$B139)</f>
        <v/>
      </c>
      <c r="C142" s="19" t="str">
        <f>IF($A142="","",Items!$G139)</f>
        <v/>
      </c>
      <c r="D142" s="20" t="str">
        <f>IF($A142="","",N(Items!$D139))</f>
        <v/>
      </c>
      <c r="E142" s="23" t="str">
        <f>IF($A142="","",Items!$E139)</f>
        <v/>
      </c>
      <c r="F142" s="23" t="str">
        <f>IF($A142="","",Items!$F139)</f>
        <v/>
      </c>
      <c r="G142" s="26" t="str">
        <f>IF($A142="","",SUMIFS(tblReceipts[Qty Received],tblReceipts[Item Name],$A142))</f>
        <v/>
      </c>
      <c r="H142" s="26" t="str">
        <f>IF($A142="","",SUMIFS(tblIssues[Qty Issued],tblIssues[Item Name],$A142))</f>
        <v/>
      </c>
      <c r="I142" s="27" t="str">
        <f t="shared" si="6"/>
        <v/>
      </c>
      <c r="J142" s="21" t="str">
        <f t="shared" si="7"/>
        <v/>
      </c>
      <c r="K142" s="26" t="str">
        <f>IF($A142="","",COUNTIFS(tblReceipts[Item Name],$A142))</f>
        <v/>
      </c>
      <c r="L142" s="26" t="str">
        <f>IF($A142="","",COUNTIFS(tblLotBalance[Item Name],$A142,tblLotBalance[Lot Balance],"&gt;0"))</f>
        <v/>
      </c>
      <c r="M142" s="24" t="str">
        <f>IF($A142="","",IF($L142=0,"",IFERROR(_xlfn.MINIFS(tblLotBalance[Expiry Date],tblLotBalance[Item Name],$A142,tblLotBalance[Lot Balance],"&gt;0"),"")))</f>
        <v/>
      </c>
      <c r="N142" s="26" t="str">
        <f t="shared" ca="1" si="8"/>
        <v/>
      </c>
      <c r="O142" s="18" t="str" cm="1">
        <f t="array" ref="O142">IF($M142="","",IFERROR(INDEX(tblLotBalance[Lot Number],MATCH(1,INDEX((tblLotBalance[Item Name]=$A142)*(tblLotBalance[Expiry Date]=$M142)*(tblLotBalance[Lot Balance]&gt;0),0),0)),""))</f>
        <v/>
      </c>
      <c r="P142" s="28" t="str">
        <f>IF($A142="","",IF($I142&lt;0,"NEGATIVE",IF(NOT(ISNUMBER($F142)),"Set threshold",IF($I142&lt;=0,"OUT OF STOCK",IF($I142&lt;=$F142,"LOW",IF($I142&lt;=$F142*Settings!$C$7,"WATCH","OK"))))))</f>
        <v/>
      </c>
      <c r="Q142" s="29" t="str">
        <f>IF($A142="","",IF($P142="NEGATIVE","Issued more than received - add the missing receipt",IF($P142="OUT OF STOCK","Reorder immediately",IF($P142="LOW","Raise purchase order",IF($P142="Set threshold","Enter Critical Low in Items",IF(AND($N142&lt;&gt;"",$N142&lt;=0),"Quarantine expired lot",IF(AND($N142&lt;&gt;"",$N142&lt;=Settings!$C$6),"Use or rotate stock now","")))))))</f>
        <v/>
      </c>
    </row>
    <row r="143" spans="1:17" x14ac:dyDescent="0.35">
      <c r="A143" s="18" t="str">
        <f>IF(Items!$A140="","",Items!$A140)</f>
        <v/>
      </c>
      <c r="B143" s="18" t="str">
        <f>IF($A143="","",Items!$B140)</f>
        <v/>
      </c>
      <c r="C143" s="19" t="str">
        <f>IF($A143="","",Items!$G140)</f>
        <v/>
      </c>
      <c r="D143" s="20" t="str">
        <f>IF($A143="","",N(Items!$D140))</f>
        <v/>
      </c>
      <c r="E143" s="23" t="str">
        <f>IF($A143="","",Items!$E140)</f>
        <v/>
      </c>
      <c r="F143" s="23" t="str">
        <f>IF($A143="","",Items!$F140)</f>
        <v/>
      </c>
      <c r="G143" s="26" t="str">
        <f>IF($A143="","",SUMIFS(tblReceipts[Qty Received],tblReceipts[Item Name],$A143))</f>
        <v/>
      </c>
      <c r="H143" s="26" t="str">
        <f>IF($A143="","",SUMIFS(tblIssues[Qty Issued],tblIssues[Item Name],$A143))</f>
        <v/>
      </c>
      <c r="I143" s="27" t="str">
        <f t="shared" si="6"/>
        <v/>
      </c>
      <c r="J143" s="21" t="str">
        <f t="shared" si="7"/>
        <v/>
      </c>
      <c r="K143" s="26" t="str">
        <f>IF($A143="","",COUNTIFS(tblReceipts[Item Name],$A143))</f>
        <v/>
      </c>
      <c r="L143" s="26" t="str">
        <f>IF($A143="","",COUNTIFS(tblLotBalance[Item Name],$A143,tblLotBalance[Lot Balance],"&gt;0"))</f>
        <v/>
      </c>
      <c r="M143" s="24" t="str">
        <f>IF($A143="","",IF($L143=0,"",IFERROR(_xlfn.MINIFS(tblLotBalance[Expiry Date],tblLotBalance[Item Name],$A143,tblLotBalance[Lot Balance],"&gt;0"),"")))</f>
        <v/>
      </c>
      <c r="N143" s="26" t="str">
        <f t="shared" ca="1" si="8"/>
        <v/>
      </c>
      <c r="O143" s="18" t="str" cm="1">
        <f t="array" ref="O143">IF($M143="","",IFERROR(INDEX(tblLotBalance[Lot Number],MATCH(1,INDEX((tblLotBalance[Item Name]=$A143)*(tblLotBalance[Expiry Date]=$M143)*(tblLotBalance[Lot Balance]&gt;0),0),0)),""))</f>
        <v/>
      </c>
      <c r="P143" s="28" t="str">
        <f>IF($A143="","",IF($I143&lt;0,"NEGATIVE",IF(NOT(ISNUMBER($F143)),"Set threshold",IF($I143&lt;=0,"OUT OF STOCK",IF($I143&lt;=$F143,"LOW",IF($I143&lt;=$F143*Settings!$C$7,"WATCH","OK"))))))</f>
        <v/>
      </c>
      <c r="Q143" s="29" t="str">
        <f>IF($A143="","",IF($P143="NEGATIVE","Issued more than received - add the missing receipt",IF($P143="OUT OF STOCK","Reorder immediately",IF($P143="LOW","Raise purchase order",IF($P143="Set threshold","Enter Critical Low in Items",IF(AND($N143&lt;&gt;"",$N143&lt;=0),"Quarantine expired lot",IF(AND($N143&lt;&gt;"",$N143&lt;=Settings!$C$6),"Use or rotate stock now","")))))))</f>
        <v/>
      </c>
    </row>
    <row r="144" spans="1:17" x14ac:dyDescent="0.35">
      <c r="A144" s="18" t="str">
        <f>IF(Items!$A141="","",Items!$A141)</f>
        <v/>
      </c>
      <c r="B144" s="18" t="str">
        <f>IF($A144="","",Items!$B141)</f>
        <v/>
      </c>
      <c r="C144" s="19" t="str">
        <f>IF($A144="","",Items!$G141)</f>
        <v/>
      </c>
      <c r="D144" s="20" t="str">
        <f>IF($A144="","",N(Items!$D141))</f>
        <v/>
      </c>
      <c r="E144" s="23" t="str">
        <f>IF($A144="","",Items!$E141)</f>
        <v/>
      </c>
      <c r="F144" s="23" t="str">
        <f>IF($A144="","",Items!$F141)</f>
        <v/>
      </c>
      <c r="G144" s="26" t="str">
        <f>IF($A144="","",SUMIFS(tblReceipts[Qty Received],tblReceipts[Item Name],$A144))</f>
        <v/>
      </c>
      <c r="H144" s="26" t="str">
        <f>IF($A144="","",SUMIFS(tblIssues[Qty Issued],tblIssues[Item Name],$A144))</f>
        <v/>
      </c>
      <c r="I144" s="27" t="str">
        <f t="shared" si="6"/>
        <v/>
      </c>
      <c r="J144" s="21" t="str">
        <f t="shared" si="7"/>
        <v/>
      </c>
      <c r="K144" s="26" t="str">
        <f>IF($A144="","",COUNTIFS(tblReceipts[Item Name],$A144))</f>
        <v/>
      </c>
      <c r="L144" s="26" t="str">
        <f>IF($A144="","",COUNTIFS(tblLotBalance[Item Name],$A144,tblLotBalance[Lot Balance],"&gt;0"))</f>
        <v/>
      </c>
      <c r="M144" s="24" t="str">
        <f>IF($A144="","",IF($L144=0,"",IFERROR(_xlfn.MINIFS(tblLotBalance[Expiry Date],tblLotBalance[Item Name],$A144,tblLotBalance[Lot Balance],"&gt;0"),"")))</f>
        <v/>
      </c>
      <c r="N144" s="26" t="str">
        <f t="shared" ca="1" si="8"/>
        <v/>
      </c>
      <c r="O144" s="18" t="str" cm="1">
        <f t="array" ref="O144">IF($M144="","",IFERROR(INDEX(tblLotBalance[Lot Number],MATCH(1,INDEX((tblLotBalance[Item Name]=$A144)*(tblLotBalance[Expiry Date]=$M144)*(tblLotBalance[Lot Balance]&gt;0),0),0)),""))</f>
        <v/>
      </c>
      <c r="P144" s="28" t="str">
        <f>IF($A144="","",IF($I144&lt;0,"NEGATIVE",IF(NOT(ISNUMBER($F144)),"Set threshold",IF($I144&lt;=0,"OUT OF STOCK",IF($I144&lt;=$F144,"LOW",IF($I144&lt;=$F144*Settings!$C$7,"WATCH","OK"))))))</f>
        <v/>
      </c>
      <c r="Q144" s="29" t="str">
        <f>IF($A144="","",IF($P144="NEGATIVE","Issued more than received - add the missing receipt",IF($P144="OUT OF STOCK","Reorder immediately",IF($P144="LOW","Raise purchase order",IF($P144="Set threshold","Enter Critical Low in Items",IF(AND($N144&lt;&gt;"",$N144&lt;=0),"Quarantine expired lot",IF(AND($N144&lt;&gt;"",$N144&lt;=Settings!$C$6),"Use or rotate stock now","")))))))</f>
        <v/>
      </c>
    </row>
    <row r="145" spans="1:17" x14ac:dyDescent="0.35">
      <c r="A145" s="18" t="str">
        <f>IF(Items!$A142="","",Items!$A142)</f>
        <v/>
      </c>
      <c r="B145" s="18" t="str">
        <f>IF($A145="","",Items!$B142)</f>
        <v/>
      </c>
      <c r="C145" s="19" t="str">
        <f>IF($A145="","",Items!$G142)</f>
        <v/>
      </c>
      <c r="D145" s="20" t="str">
        <f>IF($A145="","",N(Items!$D142))</f>
        <v/>
      </c>
      <c r="E145" s="23" t="str">
        <f>IF($A145="","",Items!$E142)</f>
        <v/>
      </c>
      <c r="F145" s="23" t="str">
        <f>IF($A145="","",Items!$F142)</f>
        <v/>
      </c>
      <c r="G145" s="26" t="str">
        <f>IF($A145="","",SUMIFS(tblReceipts[Qty Received],tblReceipts[Item Name],$A145))</f>
        <v/>
      </c>
      <c r="H145" s="26" t="str">
        <f>IF($A145="","",SUMIFS(tblIssues[Qty Issued],tblIssues[Item Name],$A145))</f>
        <v/>
      </c>
      <c r="I145" s="27" t="str">
        <f t="shared" si="6"/>
        <v/>
      </c>
      <c r="J145" s="21" t="str">
        <f t="shared" si="7"/>
        <v/>
      </c>
      <c r="K145" s="26" t="str">
        <f>IF($A145="","",COUNTIFS(tblReceipts[Item Name],$A145))</f>
        <v/>
      </c>
      <c r="L145" s="26" t="str">
        <f>IF($A145="","",COUNTIFS(tblLotBalance[Item Name],$A145,tblLotBalance[Lot Balance],"&gt;0"))</f>
        <v/>
      </c>
      <c r="M145" s="24" t="str">
        <f>IF($A145="","",IF($L145=0,"",IFERROR(_xlfn.MINIFS(tblLotBalance[Expiry Date],tblLotBalance[Item Name],$A145,tblLotBalance[Lot Balance],"&gt;0"),"")))</f>
        <v/>
      </c>
      <c r="N145" s="26" t="str">
        <f t="shared" ca="1" si="8"/>
        <v/>
      </c>
      <c r="O145" s="18" t="str" cm="1">
        <f t="array" ref="O145">IF($M145="","",IFERROR(INDEX(tblLotBalance[Lot Number],MATCH(1,INDEX((tblLotBalance[Item Name]=$A145)*(tblLotBalance[Expiry Date]=$M145)*(tblLotBalance[Lot Balance]&gt;0),0),0)),""))</f>
        <v/>
      </c>
      <c r="P145" s="28" t="str">
        <f>IF($A145="","",IF($I145&lt;0,"NEGATIVE",IF(NOT(ISNUMBER($F145)),"Set threshold",IF($I145&lt;=0,"OUT OF STOCK",IF($I145&lt;=$F145,"LOW",IF($I145&lt;=$F145*Settings!$C$7,"WATCH","OK"))))))</f>
        <v/>
      </c>
      <c r="Q145" s="29" t="str">
        <f>IF($A145="","",IF($P145="NEGATIVE","Issued more than received - add the missing receipt",IF($P145="OUT OF STOCK","Reorder immediately",IF($P145="LOW","Raise purchase order",IF($P145="Set threshold","Enter Critical Low in Items",IF(AND($N145&lt;&gt;"",$N145&lt;=0),"Quarantine expired lot",IF(AND($N145&lt;&gt;"",$N145&lt;=Settings!$C$6),"Use or rotate stock now","")))))))</f>
        <v/>
      </c>
    </row>
    <row r="146" spans="1:17" x14ac:dyDescent="0.35">
      <c r="A146" s="18" t="str">
        <f>IF(Items!$A143="","",Items!$A143)</f>
        <v/>
      </c>
      <c r="B146" s="18" t="str">
        <f>IF($A146="","",Items!$B143)</f>
        <v/>
      </c>
      <c r="C146" s="19" t="str">
        <f>IF($A146="","",Items!$G143)</f>
        <v/>
      </c>
      <c r="D146" s="20" t="str">
        <f>IF($A146="","",N(Items!$D143))</f>
        <v/>
      </c>
      <c r="E146" s="23" t="str">
        <f>IF($A146="","",Items!$E143)</f>
        <v/>
      </c>
      <c r="F146" s="23" t="str">
        <f>IF($A146="","",Items!$F143)</f>
        <v/>
      </c>
      <c r="G146" s="26" t="str">
        <f>IF($A146="","",SUMIFS(tblReceipts[Qty Received],tblReceipts[Item Name],$A146))</f>
        <v/>
      </c>
      <c r="H146" s="26" t="str">
        <f>IF($A146="","",SUMIFS(tblIssues[Qty Issued],tblIssues[Item Name],$A146))</f>
        <v/>
      </c>
      <c r="I146" s="27" t="str">
        <f t="shared" si="6"/>
        <v/>
      </c>
      <c r="J146" s="21" t="str">
        <f t="shared" si="7"/>
        <v/>
      </c>
      <c r="K146" s="26" t="str">
        <f>IF($A146="","",COUNTIFS(tblReceipts[Item Name],$A146))</f>
        <v/>
      </c>
      <c r="L146" s="26" t="str">
        <f>IF($A146="","",COUNTIFS(tblLotBalance[Item Name],$A146,tblLotBalance[Lot Balance],"&gt;0"))</f>
        <v/>
      </c>
      <c r="M146" s="24" t="str">
        <f>IF($A146="","",IF($L146=0,"",IFERROR(_xlfn.MINIFS(tblLotBalance[Expiry Date],tblLotBalance[Item Name],$A146,tblLotBalance[Lot Balance],"&gt;0"),"")))</f>
        <v/>
      </c>
      <c r="N146" s="26" t="str">
        <f t="shared" ca="1" si="8"/>
        <v/>
      </c>
      <c r="O146" s="18" t="str" cm="1">
        <f t="array" ref="O146">IF($M146="","",IFERROR(INDEX(tblLotBalance[Lot Number],MATCH(1,INDEX((tblLotBalance[Item Name]=$A146)*(tblLotBalance[Expiry Date]=$M146)*(tblLotBalance[Lot Balance]&gt;0),0),0)),""))</f>
        <v/>
      </c>
      <c r="P146" s="28" t="str">
        <f>IF($A146="","",IF($I146&lt;0,"NEGATIVE",IF(NOT(ISNUMBER($F146)),"Set threshold",IF($I146&lt;=0,"OUT OF STOCK",IF($I146&lt;=$F146,"LOW",IF($I146&lt;=$F146*Settings!$C$7,"WATCH","OK"))))))</f>
        <v/>
      </c>
      <c r="Q146" s="29" t="str">
        <f>IF($A146="","",IF($P146="NEGATIVE","Issued more than received - add the missing receipt",IF($P146="OUT OF STOCK","Reorder immediately",IF($P146="LOW","Raise purchase order",IF($P146="Set threshold","Enter Critical Low in Items",IF(AND($N146&lt;&gt;"",$N146&lt;=0),"Quarantine expired lot",IF(AND($N146&lt;&gt;"",$N146&lt;=Settings!$C$6),"Use or rotate stock now","")))))))</f>
        <v/>
      </c>
    </row>
    <row r="147" spans="1:17" x14ac:dyDescent="0.35">
      <c r="A147" s="18" t="str">
        <f>IF(Items!$A144="","",Items!$A144)</f>
        <v/>
      </c>
      <c r="B147" s="18" t="str">
        <f>IF($A147="","",Items!$B144)</f>
        <v/>
      </c>
      <c r="C147" s="19" t="str">
        <f>IF($A147="","",Items!$G144)</f>
        <v/>
      </c>
      <c r="D147" s="20" t="str">
        <f>IF($A147="","",N(Items!$D144))</f>
        <v/>
      </c>
      <c r="E147" s="23" t="str">
        <f>IF($A147="","",Items!$E144)</f>
        <v/>
      </c>
      <c r="F147" s="23" t="str">
        <f>IF($A147="","",Items!$F144)</f>
        <v/>
      </c>
      <c r="G147" s="26" t="str">
        <f>IF($A147="","",SUMIFS(tblReceipts[Qty Received],tblReceipts[Item Name],$A147))</f>
        <v/>
      </c>
      <c r="H147" s="26" t="str">
        <f>IF($A147="","",SUMIFS(tblIssues[Qty Issued],tblIssues[Item Name],$A147))</f>
        <v/>
      </c>
      <c r="I147" s="27" t="str">
        <f t="shared" si="6"/>
        <v/>
      </c>
      <c r="J147" s="21" t="str">
        <f t="shared" si="7"/>
        <v/>
      </c>
      <c r="K147" s="26" t="str">
        <f>IF($A147="","",COUNTIFS(tblReceipts[Item Name],$A147))</f>
        <v/>
      </c>
      <c r="L147" s="26" t="str">
        <f>IF($A147="","",COUNTIFS(tblLotBalance[Item Name],$A147,tblLotBalance[Lot Balance],"&gt;0"))</f>
        <v/>
      </c>
      <c r="M147" s="24" t="str">
        <f>IF($A147="","",IF($L147=0,"",IFERROR(_xlfn.MINIFS(tblLotBalance[Expiry Date],tblLotBalance[Item Name],$A147,tblLotBalance[Lot Balance],"&gt;0"),"")))</f>
        <v/>
      </c>
      <c r="N147" s="26" t="str">
        <f t="shared" ca="1" si="8"/>
        <v/>
      </c>
      <c r="O147" s="18" t="str" cm="1">
        <f t="array" ref="O147">IF($M147="","",IFERROR(INDEX(tblLotBalance[Lot Number],MATCH(1,INDEX((tblLotBalance[Item Name]=$A147)*(tblLotBalance[Expiry Date]=$M147)*(tblLotBalance[Lot Balance]&gt;0),0),0)),""))</f>
        <v/>
      </c>
      <c r="P147" s="28" t="str">
        <f>IF($A147="","",IF($I147&lt;0,"NEGATIVE",IF(NOT(ISNUMBER($F147)),"Set threshold",IF($I147&lt;=0,"OUT OF STOCK",IF($I147&lt;=$F147,"LOW",IF($I147&lt;=$F147*Settings!$C$7,"WATCH","OK"))))))</f>
        <v/>
      </c>
      <c r="Q147" s="29" t="str">
        <f>IF($A147="","",IF($P147="NEGATIVE","Issued more than received - add the missing receipt",IF($P147="OUT OF STOCK","Reorder immediately",IF($P147="LOW","Raise purchase order",IF($P147="Set threshold","Enter Critical Low in Items",IF(AND($N147&lt;&gt;"",$N147&lt;=0),"Quarantine expired lot",IF(AND($N147&lt;&gt;"",$N147&lt;=Settings!$C$6),"Use or rotate stock now","")))))))</f>
        <v/>
      </c>
    </row>
    <row r="148" spans="1:17" x14ac:dyDescent="0.35">
      <c r="A148" s="18" t="str">
        <f>IF(Items!$A145="","",Items!$A145)</f>
        <v/>
      </c>
      <c r="B148" s="18" t="str">
        <f>IF($A148="","",Items!$B145)</f>
        <v/>
      </c>
      <c r="C148" s="19" t="str">
        <f>IF($A148="","",Items!$G145)</f>
        <v/>
      </c>
      <c r="D148" s="20" t="str">
        <f>IF($A148="","",N(Items!$D145))</f>
        <v/>
      </c>
      <c r="E148" s="23" t="str">
        <f>IF($A148="","",Items!$E145)</f>
        <v/>
      </c>
      <c r="F148" s="23" t="str">
        <f>IF($A148="","",Items!$F145)</f>
        <v/>
      </c>
      <c r="G148" s="26" t="str">
        <f>IF($A148="","",SUMIFS(tblReceipts[Qty Received],tblReceipts[Item Name],$A148))</f>
        <v/>
      </c>
      <c r="H148" s="26" t="str">
        <f>IF($A148="","",SUMIFS(tblIssues[Qty Issued],tblIssues[Item Name],$A148))</f>
        <v/>
      </c>
      <c r="I148" s="27" t="str">
        <f t="shared" si="6"/>
        <v/>
      </c>
      <c r="J148" s="21" t="str">
        <f t="shared" si="7"/>
        <v/>
      </c>
      <c r="K148" s="26" t="str">
        <f>IF($A148="","",COUNTIFS(tblReceipts[Item Name],$A148))</f>
        <v/>
      </c>
      <c r="L148" s="26" t="str">
        <f>IF($A148="","",COUNTIFS(tblLotBalance[Item Name],$A148,tblLotBalance[Lot Balance],"&gt;0"))</f>
        <v/>
      </c>
      <c r="M148" s="24" t="str">
        <f>IF($A148="","",IF($L148=0,"",IFERROR(_xlfn.MINIFS(tblLotBalance[Expiry Date],tblLotBalance[Item Name],$A148,tblLotBalance[Lot Balance],"&gt;0"),"")))</f>
        <v/>
      </c>
      <c r="N148" s="26" t="str">
        <f t="shared" ca="1" si="8"/>
        <v/>
      </c>
      <c r="O148" s="18" t="str" cm="1">
        <f t="array" ref="O148">IF($M148="","",IFERROR(INDEX(tblLotBalance[Lot Number],MATCH(1,INDEX((tblLotBalance[Item Name]=$A148)*(tblLotBalance[Expiry Date]=$M148)*(tblLotBalance[Lot Balance]&gt;0),0),0)),""))</f>
        <v/>
      </c>
      <c r="P148" s="28" t="str">
        <f>IF($A148="","",IF($I148&lt;0,"NEGATIVE",IF(NOT(ISNUMBER($F148)),"Set threshold",IF($I148&lt;=0,"OUT OF STOCK",IF($I148&lt;=$F148,"LOW",IF($I148&lt;=$F148*Settings!$C$7,"WATCH","OK"))))))</f>
        <v/>
      </c>
      <c r="Q148" s="29" t="str">
        <f>IF($A148="","",IF($P148="NEGATIVE","Issued more than received - add the missing receipt",IF($P148="OUT OF STOCK","Reorder immediately",IF($P148="LOW","Raise purchase order",IF($P148="Set threshold","Enter Critical Low in Items",IF(AND($N148&lt;&gt;"",$N148&lt;=0),"Quarantine expired lot",IF(AND($N148&lt;&gt;"",$N148&lt;=Settings!$C$6),"Use or rotate stock now","")))))))</f>
        <v/>
      </c>
    </row>
    <row r="149" spans="1:17" x14ac:dyDescent="0.35">
      <c r="A149" s="18" t="str">
        <f>IF(Items!$A146="","",Items!$A146)</f>
        <v/>
      </c>
      <c r="B149" s="18" t="str">
        <f>IF($A149="","",Items!$B146)</f>
        <v/>
      </c>
      <c r="C149" s="19" t="str">
        <f>IF($A149="","",Items!$G146)</f>
        <v/>
      </c>
      <c r="D149" s="20" t="str">
        <f>IF($A149="","",N(Items!$D146))</f>
        <v/>
      </c>
      <c r="E149" s="23" t="str">
        <f>IF($A149="","",Items!$E146)</f>
        <v/>
      </c>
      <c r="F149" s="23" t="str">
        <f>IF($A149="","",Items!$F146)</f>
        <v/>
      </c>
      <c r="G149" s="26" t="str">
        <f>IF($A149="","",SUMIFS(tblReceipts[Qty Received],tblReceipts[Item Name],$A149))</f>
        <v/>
      </c>
      <c r="H149" s="26" t="str">
        <f>IF($A149="","",SUMIFS(tblIssues[Qty Issued],tblIssues[Item Name],$A149))</f>
        <v/>
      </c>
      <c r="I149" s="27" t="str">
        <f t="shared" si="6"/>
        <v/>
      </c>
      <c r="J149" s="21" t="str">
        <f t="shared" si="7"/>
        <v/>
      </c>
      <c r="K149" s="26" t="str">
        <f>IF($A149="","",COUNTIFS(tblReceipts[Item Name],$A149))</f>
        <v/>
      </c>
      <c r="L149" s="26" t="str">
        <f>IF($A149="","",COUNTIFS(tblLotBalance[Item Name],$A149,tblLotBalance[Lot Balance],"&gt;0"))</f>
        <v/>
      </c>
      <c r="M149" s="24" t="str">
        <f>IF($A149="","",IF($L149=0,"",IFERROR(_xlfn.MINIFS(tblLotBalance[Expiry Date],tblLotBalance[Item Name],$A149,tblLotBalance[Lot Balance],"&gt;0"),"")))</f>
        <v/>
      </c>
      <c r="N149" s="26" t="str">
        <f t="shared" ca="1" si="8"/>
        <v/>
      </c>
      <c r="O149" s="18" t="str" cm="1">
        <f t="array" ref="O149">IF($M149="","",IFERROR(INDEX(tblLotBalance[Lot Number],MATCH(1,INDEX((tblLotBalance[Item Name]=$A149)*(tblLotBalance[Expiry Date]=$M149)*(tblLotBalance[Lot Balance]&gt;0),0),0)),""))</f>
        <v/>
      </c>
      <c r="P149" s="28" t="str">
        <f>IF($A149="","",IF($I149&lt;0,"NEGATIVE",IF(NOT(ISNUMBER($F149)),"Set threshold",IF($I149&lt;=0,"OUT OF STOCK",IF($I149&lt;=$F149,"LOW",IF($I149&lt;=$F149*Settings!$C$7,"WATCH","OK"))))))</f>
        <v/>
      </c>
      <c r="Q149" s="29" t="str">
        <f>IF($A149="","",IF($P149="NEGATIVE","Issued more than received - add the missing receipt",IF($P149="OUT OF STOCK","Reorder immediately",IF($P149="LOW","Raise purchase order",IF($P149="Set threshold","Enter Critical Low in Items",IF(AND($N149&lt;&gt;"",$N149&lt;=0),"Quarantine expired lot",IF(AND($N149&lt;&gt;"",$N149&lt;=Settings!$C$6),"Use or rotate stock now","")))))))</f>
        <v/>
      </c>
    </row>
    <row r="150" spans="1:17" x14ac:dyDescent="0.35">
      <c r="A150" s="18" t="str">
        <f>IF(Items!$A147="","",Items!$A147)</f>
        <v/>
      </c>
      <c r="B150" s="18" t="str">
        <f>IF($A150="","",Items!$B147)</f>
        <v/>
      </c>
      <c r="C150" s="19" t="str">
        <f>IF($A150="","",Items!$G147)</f>
        <v/>
      </c>
      <c r="D150" s="20" t="str">
        <f>IF($A150="","",N(Items!$D147))</f>
        <v/>
      </c>
      <c r="E150" s="23" t="str">
        <f>IF($A150="","",Items!$E147)</f>
        <v/>
      </c>
      <c r="F150" s="23" t="str">
        <f>IF($A150="","",Items!$F147)</f>
        <v/>
      </c>
      <c r="G150" s="26" t="str">
        <f>IF($A150="","",SUMIFS(tblReceipts[Qty Received],tblReceipts[Item Name],$A150))</f>
        <v/>
      </c>
      <c r="H150" s="26" t="str">
        <f>IF($A150="","",SUMIFS(tblIssues[Qty Issued],tblIssues[Item Name],$A150))</f>
        <v/>
      </c>
      <c r="I150" s="27" t="str">
        <f t="shared" si="6"/>
        <v/>
      </c>
      <c r="J150" s="21" t="str">
        <f t="shared" si="7"/>
        <v/>
      </c>
      <c r="K150" s="26" t="str">
        <f>IF($A150="","",COUNTIFS(tblReceipts[Item Name],$A150))</f>
        <v/>
      </c>
      <c r="L150" s="26" t="str">
        <f>IF($A150="","",COUNTIFS(tblLotBalance[Item Name],$A150,tblLotBalance[Lot Balance],"&gt;0"))</f>
        <v/>
      </c>
      <c r="M150" s="24" t="str">
        <f>IF($A150="","",IF($L150=0,"",IFERROR(_xlfn.MINIFS(tblLotBalance[Expiry Date],tblLotBalance[Item Name],$A150,tblLotBalance[Lot Balance],"&gt;0"),"")))</f>
        <v/>
      </c>
      <c r="N150" s="26" t="str">
        <f t="shared" ca="1" si="8"/>
        <v/>
      </c>
      <c r="O150" s="18" t="str" cm="1">
        <f t="array" ref="O150">IF($M150="","",IFERROR(INDEX(tblLotBalance[Lot Number],MATCH(1,INDEX((tblLotBalance[Item Name]=$A150)*(tblLotBalance[Expiry Date]=$M150)*(tblLotBalance[Lot Balance]&gt;0),0),0)),""))</f>
        <v/>
      </c>
      <c r="P150" s="28" t="str">
        <f>IF($A150="","",IF($I150&lt;0,"NEGATIVE",IF(NOT(ISNUMBER($F150)),"Set threshold",IF($I150&lt;=0,"OUT OF STOCK",IF($I150&lt;=$F150,"LOW",IF($I150&lt;=$F150*Settings!$C$7,"WATCH","OK"))))))</f>
        <v/>
      </c>
      <c r="Q150" s="29" t="str">
        <f>IF($A150="","",IF($P150="NEGATIVE","Issued more than received - add the missing receipt",IF($P150="OUT OF STOCK","Reorder immediately",IF($P150="LOW","Raise purchase order",IF($P150="Set threshold","Enter Critical Low in Items",IF(AND($N150&lt;&gt;"",$N150&lt;=0),"Quarantine expired lot",IF(AND($N150&lt;&gt;"",$N150&lt;=Settings!$C$6),"Use or rotate stock now","")))))))</f>
        <v/>
      </c>
    </row>
    <row r="151" spans="1:17" x14ac:dyDescent="0.35">
      <c r="A151" s="18" t="str">
        <f>IF(Items!$A148="","",Items!$A148)</f>
        <v/>
      </c>
      <c r="B151" s="18" t="str">
        <f>IF($A151="","",Items!$B148)</f>
        <v/>
      </c>
      <c r="C151" s="19" t="str">
        <f>IF($A151="","",Items!$G148)</f>
        <v/>
      </c>
      <c r="D151" s="20" t="str">
        <f>IF($A151="","",N(Items!$D148))</f>
        <v/>
      </c>
      <c r="E151" s="23" t="str">
        <f>IF($A151="","",Items!$E148)</f>
        <v/>
      </c>
      <c r="F151" s="23" t="str">
        <f>IF($A151="","",Items!$F148)</f>
        <v/>
      </c>
      <c r="G151" s="26" t="str">
        <f>IF($A151="","",SUMIFS(tblReceipts[Qty Received],tblReceipts[Item Name],$A151))</f>
        <v/>
      </c>
      <c r="H151" s="26" t="str">
        <f>IF($A151="","",SUMIFS(tblIssues[Qty Issued],tblIssues[Item Name],$A151))</f>
        <v/>
      </c>
      <c r="I151" s="27" t="str">
        <f t="shared" si="6"/>
        <v/>
      </c>
      <c r="J151" s="21" t="str">
        <f t="shared" si="7"/>
        <v/>
      </c>
      <c r="K151" s="26" t="str">
        <f>IF($A151="","",COUNTIFS(tblReceipts[Item Name],$A151))</f>
        <v/>
      </c>
      <c r="L151" s="26" t="str">
        <f>IF($A151="","",COUNTIFS(tblLotBalance[Item Name],$A151,tblLotBalance[Lot Balance],"&gt;0"))</f>
        <v/>
      </c>
      <c r="M151" s="24" t="str">
        <f>IF($A151="","",IF($L151=0,"",IFERROR(_xlfn.MINIFS(tblLotBalance[Expiry Date],tblLotBalance[Item Name],$A151,tblLotBalance[Lot Balance],"&gt;0"),"")))</f>
        <v/>
      </c>
      <c r="N151" s="26" t="str">
        <f t="shared" ca="1" si="8"/>
        <v/>
      </c>
      <c r="O151" s="18" t="str" cm="1">
        <f t="array" ref="O151">IF($M151="","",IFERROR(INDEX(tblLotBalance[Lot Number],MATCH(1,INDEX((tblLotBalance[Item Name]=$A151)*(tblLotBalance[Expiry Date]=$M151)*(tblLotBalance[Lot Balance]&gt;0),0),0)),""))</f>
        <v/>
      </c>
      <c r="P151" s="28" t="str">
        <f>IF($A151="","",IF($I151&lt;0,"NEGATIVE",IF(NOT(ISNUMBER($F151)),"Set threshold",IF($I151&lt;=0,"OUT OF STOCK",IF($I151&lt;=$F151,"LOW",IF($I151&lt;=$F151*Settings!$C$7,"WATCH","OK"))))))</f>
        <v/>
      </c>
      <c r="Q151" s="29" t="str">
        <f>IF($A151="","",IF($P151="NEGATIVE","Issued more than received - add the missing receipt",IF($P151="OUT OF STOCK","Reorder immediately",IF($P151="LOW","Raise purchase order",IF($P151="Set threshold","Enter Critical Low in Items",IF(AND($N151&lt;&gt;"",$N151&lt;=0),"Quarantine expired lot",IF(AND($N151&lt;&gt;"",$N151&lt;=Settings!$C$6),"Use or rotate stock now","")))))))</f>
        <v/>
      </c>
    </row>
    <row r="152" spans="1:17" x14ac:dyDescent="0.35">
      <c r="A152" s="18" t="str">
        <f>IF(Items!$A149="","",Items!$A149)</f>
        <v/>
      </c>
      <c r="B152" s="18" t="str">
        <f>IF($A152="","",Items!$B149)</f>
        <v/>
      </c>
      <c r="C152" s="19" t="str">
        <f>IF($A152="","",Items!$G149)</f>
        <v/>
      </c>
      <c r="D152" s="20" t="str">
        <f>IF($A152="","",N(Items!$D149))</f>
        <v/>
      </c>
      <c r="E152" s="23" t="str">
        <f>IF($A152="","",Items!$E149)</f>
        <v/>
      </c>
      <c r="F152" s="23" t="str">
        <f>IF($A152="","",Items!$F149)</f>
        <v/>
      </c>
      <c r="G152" s="26" t="str">
        <f>IF($A152="","",SUMIFS(tblReceipts[Qty Received],tblReceipts[Item Name],$A152))</f>
        <v/>
      </c>
      <c r="H152" s="26" t="str">
        <f>IF($A152="","",SUMIFS(tblIssues[Qty Issued],tblIssues[Item Name],$A152))</f>
        <v/>
      </c>
      <c r="I152" s="27" t="str">
        <f t="shared" si="6"/>
        <v/>
      </c>
      <c r="J152" s="21" t="str">
        <f t="shared" si="7"/>
        <v/>
      </c>
      <c r="K152" s="26" t="str">
        <f>IF($A152="","",COUNTIFS(tblReceipts[Item Name],$A152))</f>
        <v/>
      </c>
      <c r="L152" s="26" t="str">
        <f>IF($A152="","",COUNTIFS(tblLotBalance[Item Name],$A152,tblLotBalance[Lot Balance],"&gt;0"))</f>
        <v/>
      </c>
      <c r="M152" s="24" t="str">
        <f>IF($A152="","",IF($L152=0,"",IFERROR(_xlfn.MINIFS(tblLotBalance[Expiry Date],tblLotBalance[Item Name],$A152,tblLotBalance[Lot Balance],"&gt;0"),"")))</f>
        <v/>
      </c>
      <c r="N152" s="26" t="str">
        <f t="shared" ca="1" si="8"/>
        <v/>
      </c>
      <c r="O152" s="18" t="str" cm="1">
        <f t="array" ref="O152">IF($M152="","",IFERROR(INDEX(tblLotBalance[Lot Number],MATCH(1,INDEX((tblLotBalance[Item Name]=$A152)*(tblLotBalance[Expiry Date]=$M152)*(tblLotBalance[Lot Balance]&gt;0),0),0)),""))</f>
        <v/>
      </c>
      <c r="P152" s="28" t="str">
        <f>IF($A152="","",IF($I152&lt;0,"NEGATIVE",IF(NOT(ISNUMBER($F152)),"Set threshold",IF($I152&lt;=0,"OUT OF STOCK",IF($I152&lt;=$F152,"LOW",IF($I152&lt;=$F152*Settings!$C$7,"WATCH","OK"))))))</f>
        <v/>
      </c>
      <c r="Q152" s="29" t="str">
        <f>IF($A152="","",IF($P152="NEGATIVE","Issued more than received - add the missing receipt",IF($P152="OUT OF STOCK","Reorder immediately",IF($P152="LOW","Raise purchase order",IF($P152="Set threshold","Enter Critical Low in Items",IF(AND($N152&lt;&gt;"",$N152&lt;=0),"Quarantine expired lot",IF(AND($N152&lt;&gt;"",$N152&lt;=Settings!$C$6),"Use or rotate stock now","")))))))</f>
        <v/>
      </c>
    </row>
    <row r="153" spans="1:17" x14ac:dyDescent="0.35">
      <c r="A153" s="18" t="str">
        <f>IF(Items!$A150="","",Items!$A150)</f>
        <v/>
      </c>
      <c r="B153" s="18" t="str">
        <f>IF($A153="","",Items!$B150)</f>
        <v/>
      </c>
      <c r="C153" s="19" t="str">
        <f>IF($A153="","",Items!$G150)</f>
        <v/>
      </c>
      <c r="D153" s="20" t="str">
        <f>IF($A153="","",N(Items!$D150))</f>
        <v/>
      </c>
      <c r="E153" s="23" t="str">
        <f>IF($A153="","",Items!$E150)</f>
        <v/>
      </c>
      <c r="F153" s="23" t="str">
        <f>IF($A153="","",Items!$F150)</f>
        <v/>
      </c>
      <c r="G153" s="26" t="str">
        <f>IF($A153="","",SUMIFS(tblReceipts[Qty Received],tblReceipts[Item Name],$A153))</f>
        <v/>
      </c>
      <c r="H153" s="26" t="str">
        <f>IF($A153="","",SUMIFS(tblIssues[Qty Issued],tblIssues[Item Name],$A153))</f>
        <v/>
      </c>
      <c r="I153" s="27" t="str">
        <f t="shared" si="6"/>
        <v/>
      </c>
      <c r="J153" s="21" t="str">
        <f t="shared" si="7"/>
        <v/>
      </c>
      <c r="K153" s="26" t="str">
        <f>IF($A153="","",COUNTIFS(tblReceipts[Item Name],$A153))</f>
        <v/>
      </c>
      <c r="L153" s="26" t="str">
        <f>IF($A153="","",COUNTIFS(tblLotBalance[Item Name],$A153,tblLotBalance[Lot Balance],"&gt;0"))</f>
        <v/>
      </c>
      <c r="M153" s="24" t="str">
        <f>IF($A153="","",IF($L153=0,"",IFERROR(_xlfn.MINIFS(tblLotBalance[Expiry Date],tblLotBalance[Item Name],$A153,tblLotBalance[Lot Balance],"&gt;0"),"")))</f>
        <v/>
      </c>
      <c r="N153" s="26" t="str">
        <f t="shared" ca="1" si="8"/>
        <v/>
      </c>
      <c r="O153" s="18" t="str" cm="1">
        <f t="array" ref="O153">IF($M153="","",IFERROR(INDEX(tblLotBalance[Lot Number],MATCH(1,INDEX((tblLotBalance[Item Name]=$A153)*(tblLotBalance[Expiry Date]=$M153)*(tblLotBalance[Lot Balance]&gt;0),0),0)),""))</f>
        <v/>
      </c>
      <c r="P153" s="28" t="str">
        <f>IF($A153="","",IF($I153&lt;0,"NEGATIVE",IF(NOT(ISNUMBER($F153)),"Set threshold",IF($I153&lt;=0,"OUT OF STOCK",IF($I153&lt;=$F153,"LOW",IF($I153&lt;=$F153*Settings!$C$7,"WATCH","OK"))))))</f>
        <v/>
      </c>
      <c r="Q153" s="29" t="str">
        <f>IF($A153="","",IF($P153="NEGATIVE","Issued more than received - add the missing receipt",IF($P153="OUT OF STOCK","Reorder immediately",IF($P153="LOW","Raise purchase order",IF($P153="Set threshold","Enter Critical Low in Items",IF(AND($N153&lt;&gt;"",$N153&lt;=0),"Quarantine expired lot",IF(AND($N153&lt;&gt;"",$N153&lt;=Settings!$C$6),"Use or rotate stock now","")))))))</f>
        <v/>
      </c>
    </row>
    <row r="154" spans="1:17" x14ac:dyDescent="0.35">
      <c r="A154" s="18" t="str">
        <f>IF(Items!$A151="","",Items!$A151)</f>
        <v/>
      </c>
      <c r="B154" s="18" t="str">
        <f>IF($A154="","",Items!$B151)</f>
        <v/>
      </c>
      <c r="C154" s="19" t="str">
        <f>IF($A154="","",Items!$G151)</f>
        <v/>
      </c>
      <c r="D154" s="20" t="str">
        <f>IF($A154="","",N(Items!$D151))</f>
        <v/>
      </c>
      <c r="E154" s="23" t="str">
        <f>IF($A154="","",Items!$E151)</f>
        <v/>
      </c>
      <c r="F154" s="23" t="str">
        <f>IF($A154="","",Items!$F151)</f>
        <v/>
      </c>
      <c r="G154" s="26" t="str">
        <f>IF($A154="","",SUMIFS(tblReceipts[Qty Received],tblReceipts[Item Name],$A154))</f>
        <v/>
      </c>
      <c r="H154" s="26" t="str">
        <f>IF($A154="","",SUMIFS(tblIssues[Qty Issued],tblIssues[Item Name],$A154))</f>
        <v/>
      </c>
      <c r="I154" s="27" t="str">
        <f t="shared" si="6"/>
        <v/>
      </c>
      <c r="J154" s="21" t="str">
        <f t="shared" si="7"/>
        <v/>
      </c>
      <c r="K154" s="26" t="str">
        <f>IF($A154="","",COUNTIFS(tblReceipts[Item Name],$A154))</f>
        <v/>
      </c>
      <c r="L154" s="26" t="str">
        <f>IF($A154="","",COUNTIFS(tblLotBalance[Item Name],$A154,tblLotBalance[Lot Balance],"&gt;0"))</f>
        <v/>
      </c>
      <c r="M154" s="24" t="str">
        <f>IF($A154="","",IF($L154=0,"",IFERROR(_xlfn.MINIFS(tblLotBalance[Expiry Date],tblLotBalance[Item Name],$A154,tblLotBalance[Lot Balance],"&gt;0"),"")))</f>
        <v/>
      </c>
      <c r="N154" s="26" t="str">
        <f t="shared" ca="1" si="8"/>
        <v/>
      </c>
      <c r="O154" s="18" t="str" cm="1">
        <f t="array" ref="O154">IF($M154="","",IFERROR(INDEX(tblLotBalance[Lot Number],MATCH(1,INDEX((tblLotBalance[Item Name]=$A154)*(tblLotBalance[Expiry Date]=$M154)*(tblLotBalance[Lot Balance]&gt;0),0),0)),""))</f>
        <v/>
      </c>
      <c r="P154" s="28" t="str">
        <f>IF($A154="","",IF($I154&lt;0,"NEGATIVE",IF(NOT(ISNUMBER($F154)),"Set threshold",IF($I154&lt;=0,"OUT OF STOCK",IF($I154&lt;=$F154,"LOW",IF($I154&lt;=$F154*Settings!$C$7,"WATCH","OK"))))))</f>
        <v/>
      </c>
      <c r="Q154" s="29" t="str">
        <f>IF($A154="","",IF($P154="NEGATIVE","Issued more than received - add the missing receipt",IF($P154="OUT OF STOCK","Reorder immediately",IF($P154="LOW","Raise purchase order",IF($P154="Set threshold","Enter Critical Low in Items",IF(AND($N154&lt;&gt;"",$N154&lt;=0),"Quarantine expired lot",IF(AND($N154&lt;&gt;"",$N154&lt;=Settings!$C$6),"Use or rotate stock now","")))))))</f>
        <v/>
      </c>
    </row>
    <row r="155" spans="1:17" x14ac:dyDescent="0.35">
      <c r="A155" s="18" t="str">
        <f>IF(Items!$A152="","",Items!$A152)</f>
        <v/>
      </c>
      <c r="B155" s="18" t="str">
        <f>IF($A155="","",Items!$B152)</f>
        <v/>
      </c>
      <c r="C155" s="19" t="str">
        <f>IF($A155="","",Items!$G152)</f>
        <v/>
      </c>
      <c r="D155" s="20" t="str">
        <f>IF($A155="","",N(Items!$D152))</f>
        <v/>
      </c>
      <c r="E155" s="23" t="str">
        <f>IF($A155="","",Items!$E152)</f>
        <v/>
      </c>
      <c r="F155" s="23" t="str">
        <f>IF($A155="","",Items!$F152)</f>
        <v/>
      </c>
      <c r="G155" s="26" t="str">
        <f>IF($A155="","",SUMIFS(tblReceipts[Qty Received],tblReceipts[Item Name],$A155))</f>
        <v/>
      </c>
      <c r="H155" s="26" t="str">
        <f>IF($A155="","",SUMIFS(tblIssues[Qty Issued],tblIssues[Item Name],$A155))</f>
        <v/>
      </c>
      <c r="I155" s="27" t="str">
        <f t="shared" si="6"/>
        <v/>
      </c>
      <c r="J155" s="21" t="str">
        <f t="shared" si="7"/>
        <v/>
      </c>
      <c r="K155" s="26" t="str">
        <f>IF($A155="","",COUNTIFS(tblReceipts[Item Name],$A155))</f>
        <v/>
      </c>
      <c r="L155" s="26" t="str">
        <f>IF($A155="","",COUNTIFS(tblLotBalance[Item Name],$A155,tblLotBalance[Lot Balance],"&gt;0"))</f>
        <v/>
      </c>
      <c r="M155" s="24" t="str">
        <f>IF($A155="","",IF($L155=0,"",IFERROR(_xlfn.MINIFS(tblLotBalance[Expiry Date],tblLotBalance[Item Name],$A155,tblLotBalance[Lot Balance],"&gt;0"),"")))</f>
        <v/>
      </c>
      <c r="N155" s="26" t="str">
        <f t="shared" ca="1" si="8"/>
        <v/>
      </c>
      <c r="O155" s="18" t="str" cm="1">
        <f t="array" ref="O155">IF($M155="","",IFERROR(INDEX(tblLotBalance[Lot Number],MATCH(1,INDEX((tblLotBalance[Item Name]=$A155)*(tblLotBalance[Expiry Date]=$M155)*(tblLotBalance[Lot Balance]&gt;0),0),0)),""))</f>
        <v/>
      </c>
      <c r="P155" s="28" t="str">
        <f>IF($A155="","",IF($I155&lt;0,"NEGATIVE",IF(NOT(ISNUMBER($F155)),"Set threshold",IF($I155&lt;=0,"OUT OF STOCK",IF($I155&lt;=$F155,"LOW",IF($I155&lt;=$F155*Settings!$C$7,"WATCH","OK"))))))</f>
        <v/>
      </c>
      <c r="Q155" s="29" t="str">
        <f>IF($A155="","",IF($P155="NEGATIVE","Issued more than received - add the missing receipt",IF($P155="OUT OF STOCK","Reorder immediately",IF($P155="LOW","Raise purchase order",IF($P155="Set threshold","Enter Critical Low in Items",IF(AND($N155&lt;&gt;"",$N155&lt;=0),"Quarantine expired lot",IF(AND($N155&lt;&gt;"",$N155&lt;=Settings!$C$6),"Use or rotate stock now","")))))))</f>
        <v/>
      </c>
    </row>
    <row r="156" spans="1:17" x14ac:dyDescent="0.35">
      <c r="A156" s="18" t="str">
        <f>IF(Items!$A153="","",Items!$A153)</f>
        <v/>
      </c>
      <c r="B156" s="18" t="str">
        <f>IF($A156="","",Items!$B153)</f>
        <v/>
      </c>
      <c r="C156" s="19" t="str">
        <f>IF($A156="","",Items!$G153)</f>
        <v/>
      </c>
      <c r="D156" s="20" t="str">
        <f>IF($A156="","",N(Items!$D153))</f>
        <v/>
      </c>
      <c r="E156" s="23" t="str">
        <f>IF($A156="","",Items!$E153)</f>
        <v/>
      </c>
      <c r="F156" s="23" t="str">
        <f>IF($A156="","",Items!$F153)</f>
        <v/>
      </c>
      <c r="G156" s="26" t="str">
        <f>IF($A156="","",SUMIFS(tblReceipts[Qty Received],tblReceipts[Item Name],$A156))</f>
        <v/>
      </c>
      <c r="H156" s="26" t="str">
        <f>IF($A156="","",SUMIFS(tblIssues[Qty Issued],tblIssues[Item Name],$A156))</f>
        <v/>
      </c>
      <c r="I156" s="27" t="str">
        <f t="shared" si="6"/>
        <v/>
      </c>
      <c r="J156" s="21" t="str">
        <f t="shared" si="7"/>
        <v/>
      </c>
      <c r="K156" s="26" t="str">
        <f>IF($A156="","",COUNTIFS(tblReceipts[Item Name],$A156))</f>
        <v/>
      </c>
      <c r="L156" s="26" t="str">
        <f>IF($A156="","",COUNTIFS(tblLotBalance[Item Name],$A156,tblLotBalance[Lot Balance],"&gt;0"))</f>
        <v/>
      </c>
      <c r="M156" s="24" t="str">
        <f>IF($A156="","",IF($L156=0,"",IFERROR(_xlfn.MINIFS(tblLotBalance[Expiry Date],tblLotBalance[Item Name],$A156,tblLotBalance[Lot Balance],"&gt;0"),"")))</f>
        <v/>
      </c>
      <c r="N156" s="26" t="str">
        <f t="shared" ca="1" si="8"/>
        <v/>
      </c>
      <c r="O156" s="18" t="str" cm="1">
        <f t="array" ref="O156">IF($M156="","",IFERROR(INDEX(tblLotBalance[Lot Number],MATCH(1,INDEX((tblLotBalance[Item Name]=$A156)*(tblLotBalance[Expiry Date]=$M156)*(tblLotBalance[Lot Balance]&gt;0),0),0)),""))</f>
        <v/>
      </c>
      <c r="P156" s="28" t="str">
        <f>IF($A156="","",IF($I156&lt;0,"NEGATIVE",IF(NOT(ISNUMBER($F156)),"Set threshold",IF($I156&lt;=0,"OUT OF STOCK",IF($I156&lt;=$F156,"LOW",IF($I156&lt;=$F156*Settings!$C$7,"WATCH","OK"))))))</f>
        <v/>
      </c>
      <c r="Q156" s="29" t="str">
        <f>IF($A156="","",IF($P156="NEGATIVE","Issued more than received - add the missing receipt",IF($P156="OUT OF STOCK","Reorder immediately",IF($P156="LOW","Raise purchase order",IF($P156="Set threshold","Enter Critical Low in Items",IF(AND($N156&lt;&gt;"",$N156&lt;=0),"Quarantine expired lot",IF(AND($N156&lt;&gt;"",$N156&lt;=Settings!$C$6),"Use or rotate stock now","")))))))</f>
        <v/>
      </c>
    </row>
    <row r="157" spans="1:17" x14ac:dyDescent="0.35">
      <c r="A157" s="18" t="str">
        <f>IF(Items!$A154="","",Items!$A154)</f>
        <v/>
      </c>
      <c r="B157" s="18" t="str">
        <f>IF($A157="","",Items!$B154)</f>
        <v/>
      </c>
      <c r="C157" s="19" t="str">
        <f>IF($A157="","",Items!$G154)</f>
        <v/>
      </c>
      <c r="D157" s="20" t="str">
        <f>IF($A157="","",N(Items!$D154))</f>
        <v/>
      </c>
      <c r="E157" s="23" t="str">
        <f>IF($A157="","",Items!$E154)</f>
        <v/>
      </c>
      <c r="F157" s="23" t="str">
        <f>IF($A157="","",Items!$F154)</f>
        <v/>
      </c>
      <c r="G157" s="26" t="str">
        <f>IF($A157="","",SUMIFS(tblReceipts[Qty Received],tblReceipts[Item Name],$A157))</f>
        <v/>
      </c>
      <c r="H157" s="26" t="str">
        <f>IF($A157="","",SUMIFS(tblIssues[Qty Issued],tblIssues[Item Name],$A157))</f>
        <v/>
      </c>
      <c r="I157" s="27" t="str">
        <f t="shared" si="6"/>
        <v/>
      </c>
      <c r="J157" s="21" t="str">
        <f t="shared" si="7"/>
        <v/>
      </c>
      <c r="K157" s="26" t="str">
        <f>IF($A157="","",COUNTIFS(tblReceipts[Item Name],$A157))</f>
        <v/>
      </c>
      <c r="L157" s="26" t="str">
        <f>IF($A157="","",COUNTIFS(tblLotBalance[Item Name],$A157,tblLotBalance[Lot Balance],"&gt;0"))</f>
        <v/>
      </c>
      <c r="M157" s="24" t="str">
        <f>IF($A157="","",IF($L157=0,"",IFERROR(_xlfn.MINIFS(tblLotBalance[Expiry Date],tblLotBalance[Item Name],$A157,tblLotBalance[Lot Balance],"&gt;0"),"")))</f>
        <v/>
      </c>
      <c r="N157" s="26" t="str">
        <f t="shared" ca="1" si="8"/>
        <v/>
      </c>
      <c r="O157" s="18" t="str" cm="1">
        <f t="array" ref="O157">IF($M157="","",IFERROR(INDEX(tblLotBalance[Lot Number],MATCH(1,INDEX((tblLotBalance[Item Name]=$A157)*(tblLotBalance[Expiry Date]=$M157)*(tblLotBalance[Lot Balance]&gt;0),0),0)),""))</f>
        <v/>
      </c>
      <c r="P157" s="28" t="str">
        <f>IF($A157="","",IF($I157&lt;0,"NEGATIVE",IF(NOT(ISNUMBER($F157)),"Set threshold",IF($I157&lt;=0,"OUT OF STOCK",IF($I157&lt;=$F157,"LOW",IF($I157&lt;=$F157*Settings!$C$7,"WATCH","OK"))))))</f>
        <v/>
      </c>
      <c r="Q157" s="29" t="str">
        <f>IF($A157="","",IF($P157="NEGATIVE","Issued more than received - add the missing receipt",IF($P157="OUT OF STOCK","Reorder immediately",IF($P157="LOW","Raise purchase order",IF($P157="Set threshold","Enter Critical Low in Items",IF(AND($N157&lt;&gt;"",$N157&lt;=0),"Quarantine expired lot",IF(AND($N157&lt;&gt;"",$N157&lt;=Settings!$C$6),"Use or rotate stock now","")))))))</f>
        <v/>
      </c>
    </row>
    <row r="158" spans="1:17" x14ac:dyDescent="0.35">
      <c r="A158" s="18" t="str">
        <f>IF(Items!$A155="","",Items!$A155)</f>
        <v/>
      </c>
      <c r="B158" s="18" t="str">
        <f>IF($A158="","",Items!$B155)</f>
        <v/>
      </c>
      <c r="C158" s="19" t="str">
        <f>IF($A158="","",Items!$G155)</f>
        <v/>
      </c>
      <c r="D158" s="20" t="str">
        <f>IF($A158="","",N(Items!$D155))</f>
        <v/>
      </c>
      <c r="E158" s="23" t="str">
        <f>IF($A158="","",Items!$E155)</f>
        <v/>
      </c>
      <c r="F158" s="23" t="str">
        <f>IF($A158="","",Items!$F155)</f>
        <v/>
      </c>
      <c r="G158" s="26" t="str">
        <f>IF($A158="","",SUMIFS(tblReceipts[Qty Received],tblReceipts[Item Name],$A158))</f>
        <v/>
      </c>
      <c r="H158" s="26" t="str">
        <f>IF($A158="","",SUMIFS(tblIssues[Qty Issued],tblIssues[Item Name],$A158))</f>
        <v/>
      </c>
      <c r="I158" s="27" t="str">
        <f t="shared" si="6"/>
        <v/>
      </c>
      <c r="J158" s="21" t="str">
        <f t="shared" si="7"/>
        <v/>
      </c>
      <c r="K158" s="26" t="str">
        <f>IF($A158="","",COUNTIFS(tblReceipts[Item Name],$A158))</f>
        <v/>
      </c>
      <c r="L158" s="26" t="str">
        <f>IF($A158="","",COUNTIFS(tblLotBalance[Item Name],$A158,tblLotBalance[Lot Balance],"&gt;0"))</f>
        <v/>
      </c>
      <c r="M158" s="24" t="str">
        <f>IF($A158="","",IF($L158=0,"",IFERROR(_xlfn.MINIFS(tblLotBalance[Expiry Date],tblLotBalance[Item Name],$A158,tblLotBalance[Lot Balance],"&gt;0"),"")))</f>
        <v/>
      </c>
      <c r="N158" s="26" t="str">
        <f t="shared" ca="1" si="8"/>
        <v/>
      </c>
      <c r="O158" s="18" t="str" cm="1">
        <f t="array" ref="O158">IF($M158="","",IFERROR(INDEX(tblLotBalance[Lot Number],MATCH(1,INDEX((tblLotBalance[Item Name]=$A158)*(tblLotBalance[Expiry Date]=$M158)*(tblLotBalance[Lot Balance]&gt;0),0),0)),""))</f>
        <v/>
      </c>
      <c r="P158" s="28" t="str">
        <f>IF($A158="","",IF($I158&lt;0,"NEGATIVE",IF(NOT(ISNUMBER($F158)),"Set threshold",IF($I158&lt;=0,"OUT OF STOCK",IF($I158&lt;=$F158,"LOW",IF($I158&lt;=$F158*Settings!$C$7,"WATCH","OK"))))))</f>
        <v/>
      </c>
      <c r="Q158" s="29" t="str">
        <f>IF($A158="","",IF($P158="NEGATIVE","Issued more than received - add the missing receipt",IF($P158="OUT OF STOCK","Reorder immediately",IF($P158="LOW","Raise purchase order",IF($P158="Set threshold","Enter Critical Low in Items",IF(AND($N158&lt;&gt;"",$N158&lt;=0),"Quarantine expired lot",IF(AND($N158&lt;&gt;"",$N158&lt;=Settings!$C$6),"Use or rotate stock now","")))))))</f>
        <v/>
      </c>
    </row>
    <row r="159" spans="1:17" x14ac:dyDescent="0.35">
      <c r="A159" s="18" t="str">
        <f>IF(Items!$A156="","",Items!$A156)</f>
        <v/>
      </c>
      <c r="B159" s="18" t="str">
        <f>IF($A159="","",Items!$B156)</f>
        <v/>
      </c>
      <c r="C159" s="19" t="str">
        <f>IF($A159="","",Items!$G156)</f>
        <v/>
      </c>
      <c r="D159" s="20" t="str">
        <f>IF($A159="","",N(Items!$D156))</f>
        <v/>
      </c>
      <c r="E159" s="23" t="str">
        <f>IF($A159="","",Items!$E156)</f>
        <v/>
      </c>
      <c r="F159" s="23" t="str">
        <f>IF($A159="","",Items!$F156)</f>
        <v/>
      </c>
      <c r="G159" s="26" t="str">
        <f>IF($A159="","",SUMIFS(tblReceipts[Qty Received],tblReceipts[Item Name],$A159))</f>
        <v/>
      </c>
      <c r="H159" s="26" t="str">
        <f>IF($A159="","",SUMIFS(tblIssues[Qty Issued],tblIssues[Item Name],$A159))</f>
        <v/>
      </c>
      <c r="I159" s="27" t="str">
        <f t="shared" si="6"/>
        <v/>
      </c>
      <c r="J159" s="21" t="str">
        <f t="shared" si="7"/>
        <v/>
      </c>
      <c r="K159" s="26" t="str">
        <f>IF($A159="","",COUNTIFS(tblReceipts[Item Name],$A159))</f>
        <v/>
      </c>
      <c r="L159" s="26" t="str">
        <f>IF($A159="","",COUNTIFS(tblLotBalance[Item Name],$A159,tblLotBalance[Lot Balance],"&gt;0"))</f>
        <v/>
      </c>
      <c r="M159" s="24" t="str">
        <f>IF($A159="","",IF($L159=0,"",IFERROR(_xlfn.MINIFS(tblLotBalance[Expiry Date],tblLotBalance[Item Name],$A159,tblLotBalance[Lot Balance],"&gt;0"),"")))</f>
        <v/>
      </c>
      <c r="N159" s="26" t="str">
        <f t="shared" ca="1" si="8"/>
        <v/>
      </c>
      <c r="O159" s="18" t="str" cm="1">
        <f t="array" ref="O159">IF($M159="","",IFERROR(INDEX(tblLotBalance[Lot Number],MATCH(1,INDEX((tblLotBalance[Item Name]=$A159)*(tblLotBalance[Expiry Date]=$M159)*(tblLotBalance[Lot Balance]&gt;0),0),0)),""))</f>
        <v/>
      </c>
      <c r="P159" s="28" t="str">
        <f>IF($A159="","",IF($I159&lt;0,"NEGATIVE",IF(NOT(ISNUMBER($F159)),"Set threshold",IF($I159&lt;=0,"OUT OF STOCK",IF($I159&lt;=$F159,"LOW",IF($I159&lt;=$F159*Settings!$C$7,"WATCH","OK"))))))</f>
        <v/>
      </c>
      <c r="Q159" s="29" t="str">
        <f>IF($A159="","",IF($P159="NEGATIVE","Issued more than received - add the missing receipt",IF($P159="OUT OF STOCK","Reorder immediately",IF($P159="LOW","Raise purchase order",IF($P159="Set threshold","Enter Critical Low in Items",IF(AND($N159&lt;&gt;"",$N159&lt;=0),"Quarantine expired lot",IF(AND($N159&lt;&gt;"",$N159&lt;=Settings!$C$6),"Use or rotate stock now","")))))))</f>
        <v/>
      </c>
    </row>
    <row r="160" spans="1:17" x14ac:dyDescent="0.35">
      <c r="A160" s="18" t="str">
        <f>IF(Items!$A157="","",Items!$A157)</f>
        <v/>
      </c>
      <c r="B160" s="18" t="str">
        <f>IF($A160="","",Items!$B157)</f>
        <v/>
      </c>
      <c r="C160" s="19" t="str">
        <f>IF($A160="","",Items!$G157)</f>
        <v/>
      </c>
      <c r="D160" s="20" t="str">
        <f>IF($A160="","",N(Items!$D157))</f>
        <v/>
      </c>
      <c r="E160" s="23" t="str">
        <f>IF($A160="","",Items!$E157)</f>
        <v/>
      </c>
      <c r="F160" s="23" t="str">
        <f>IF($A160="","",Items!$F157)</f>
        <v/>
      </c>
      <c r="G160" s="26" t="str">
        <f>IF($A160="","",SUMIFS(tblReceipts[Qty Received],tblReceipts[Item Name],$A160))</f>
        <v/>
      </c>
      <c r="H160" s="26" t="str">
        <f>IF($A160="","",SUMIFS(tblIssues[Qty Issued],tblIssues[Item Name],$A160))</f>
        <v/>
      </c>
      <c r="I160" s="27" t="str">
        <f t="shared" si="6"/>
        <v/>
      </c>
      <c r="J160" s="21" t="str">
        <f t="shared" si="7"/>
        <v/>
      </c>
      <c r="K160" s="26" t="str">
        <f>IF($A160="","",COUNTIFS(tblReceipts[Item Name],$A160))</f>
        <v/>
      </c>
      <c r="L160" s="26" t="str">
        <f>IF($A160="","",COUNTIFS(tblLotBalance[Item Name],$A160,tblLotBalance[Lot Balance],"&gt;0"))</f>
        <v/>
      </c>
      <c r="M160" s="24" t="str">
        <f>IF($A160="","",IF($L160=0,"",IFERROR(_xlfn.MINIFS(tblLotBalance[Expiry Date],tblLotBalance[Item Name],$A160,tblLotBalance[Lot Balance],"&gt;0"),"")))</f>
        <v/>
      </c>
      <c r="N160" s="26" t="str">
        <f t="shared" ca="1" si="8"/>
        <v/>
      </c>
      <c r="O160" s="18" t="str" cm="1">
        <f t="array" ref="O160">IF($M160="","",IFERROR(INDEX(tblLotBalance[Lot Number],MATCH(1,INDEX((tblLotBalance[Item Name]=$A160)*(tblLotBalance[Expiry Date]=$M160)*(tblLotBalance[Lot Balance]&gt;0),0),0)),""))</f>
        <v/>
      </c>
      <c r="P160" s="28" t="str">
        <f>IF($A160="","",IF($I160&lt;0,"NEGATIVE",IF(NOT(ISNUMBER($F160)),"Set threshold",IF($I160&lt;=0,"OUT OF STOCK",IF($I160&lt;=$F160,"LOW",IF($I160&lt;=$F160*Settings!$C$7,"WATCH","OK"))))))</f>
        <v/>
      </c>
      <c r="Q160" s="29" t="str">
        <f>IF($A160="","",IF($P160="NEGATIVE","Issued more than received - add the missing receipt",IF($P160="OUT OF STOCK","Reorder immediately",IF($P160="LOW","Raise purchase order",IF($P160="Set threshold","Enter Critical Low in Items",IF(AND($N160&lt;&gt;"",$N160&lt;=0),"Quarantine expired lot",IF(AND($N160&lt;&gt;"",$N160&lt;=Settings!$C$6),"Use or rotate stock now","")))))))</f>
        <v/>
      </c>
    </row>
    <row r="161" spans="1:17" x14ac:dyDescent="0.35">
      <c r="A161" s="18" t="str">
        <f>IF(Items!$A158="","",Items!$A158)</f>
        <v/>
      </c>
      <c r="B161" s="18" t="str">
        <f>IF($A161="","",Items!$B158)</f>
        <v/>
      </c>
      <c r="C161" s="19" t="str">
        <f>IF($A161="","",Items!$G158)</f>
        <v/>
      </c>
      <c r="D161" s="20" t="str">
        <f>IF($A161="","",N(Items!$D158))</f>
        <v/>
      </c>
      <c r="E161" s="23" t="str">
        <f>IF($A161="","",Items!$E158)</f>
        <v/>
      </c>
      <c r="F161" s="23" t="str">
        <f>IF($A161="","",Items!$F158)</f>
        <v/>
      </c>
      <c r="G161" s="26" t="str">
        <f>IF($A161="","",SUMIFS(tblReceipts[Qty Received],tblReceipts[Item Name],$A161))</f>
        <v/>
      </c>
      <c r="H161" s="26" t="str">
        <f>IF($A161="","",SUMIFS(tblIssues[Qty Issued],tblIssues[Item Name],$A161))</f>
        <v/>
      </c>
      <c r="I161" s="27" t="str">
        <f t="shared" si="6"/>
        <v/>
      </c>
      <c r="J161" s="21" t="str">
        <f t="shared" si="7"/>
        <v/>
      </c>
      <c r="K161" s="26" t="str">
        <f>IF($A161="","",COUNTIFS(tblReceipts[Item Name],$A161))</f>
        <v/>
      </c>
      <c r="L161" s="26" t="str">
        <f>IF($A161="","",COUNTIFS(tblLotBalance[Item Name],$A161,tblLotBalance[Lot Balance],"&gt;0"))</f>
        <v/>
      </c>
      <c r="M161" s="24" t="str">
        <f>IF($A161="","",IF($L161=0,"",IFERROR(_xlfn.MINIFS(tblLotBalance[Expiry Date],tblLotBalance[Item Name],$A161,tblLotBalance[Lot Balance],"&gt;0"),"")))</f>
        <v/>
      </c>
      <c r="N161" s="26" t="str">
        <f t="shared" ca="1" si="8"/>
        <v/>
      </c>
      <c r="O161" s="18" t="str" cm="1">
        <f t="array" ref="O161">IF($M161="","",IFERROR(INDEX(tblLotBalance[Lot Number],MATCH(1,INDEX((tblLotBalance[Item Name]=$A161)*(tblLotBalance[Expiry Date]=$M161)*(tblLotBalance[Lot Balance]&gt;0),0),0)),""))</f>
        <v/>
      </c>
      <c r="P161" s="28" t="str">
        <f>IF($A161="","",IF($I161&lt;0,"NEGATIVE",IF(NOT(ISNUMBER($F161)),"Set threshold",IF($I161&lt;=0,"OUT OF STOCK",IF($I161&lt;=$F161,"LOW",IF($I161&lt;=$F161*Settings!$C$7,"WATCH","OK"))))))</f>
        <v/>
      </c>
      <c r="Q161" s="29" t="str">
        <f>IF($A161="","",IF($P161="NEGATIVE","Issued more than received - add the missing receipt",IF($P161="OUT OF STOCK","Reorder immediately",IF($P161="LOW","Raise purchase order",IF($P161="Set threshold","Enter Critical Low in Items",IF(AND($N161&lt;&gt;"",$N161&lt;=0),"Quarantine expired lot",IF(AND($N161&lt;&gt;"",$N161&lt;=Settings!$C$6),"Use or rotate stock now","")))))))</f>
        <v/>
      </c>
    </row>
    <row r="162" spans="1:17" x14ac:dyDescent="0.35">
      <c r="A162" s="18" t="str">
        <f>IF(Items!$A159="","",Items!$A159)</f>
        <v/>
      </c>
      <c r="B162" s="18" t="str">
        <f>IF($A162="","",Items!$B159)</f>
        <v/>
      </c>
      <c r="C162" s="19" t="str">
        <f>IF($A162="","",Items!$G159)</f>
        <v/>
      </c>
      <c r="D162" s="20" t="str">
        <f>IF($A162="","",N(Items!$D159))</f>
        <v/>
      </c>
      <c r="E162" s="23" t="str">
        <f>IF($A162="","",Items!$E159)</f>
        <v/>
      </c>
      <c r="F162" s="23" t="str">
        <f>IF($A162="","",Items!$F159)</f>
        <v/>
      </c>
      <c r="G162" s="26" t="str">
        <f>IF($A162="","",SUMIFS(tblReceipts[Qty Received],tblReceipts[Item Name],$A162))</f>
        <v/>
      </c>
      <c r="H162" s="26" t="str">
        <f>IF($A162="","",SUMIFS(tblIssues[Qty Issued],tblIssues[Item Name],$A162))</f>
        <v/>
      </c>
      <c r="I162" s="27" t="str">
        <f t="shared" si="6"/>
        <v/>
      </c>
      <c r="J162" s="21" t="str">
        <f t="shared" si="7"/>
        <v/>
      </c>
      <c r="K162" s="26" t="str">
        <f>IF($A162="","",COUNTIFS(tblReceipts[Item Name],$A162))</f>
        <v/>
      </c>
      <c r="L162" s="26" t="str">
        <f>IF($A162="","",COUNTIFS(tblLotBalance[Item Name],$A162,tblLotBalance[Lot Balance],"&gt;0"))</f>
        <v/>
      </c>
      <c r="M162" s="24" t="str">
        <f>IF($A162="","",IF($L162=0,"",IFERROR(_xlfn.MINIFS(tblLotBalance[Expiry Date],tblLotBalance[Item Name],$A162,tblLotBalance[Lot Balance],"&gt;0"),"")))</f>
        <v/>
      </c>
      <c r="N162" s="26" t="str">
        <f t="shared" ca="1" si="8"/>
        <v/>
      </c>
      <c r="O162" s="18" t="str" cm="1">
        <f t="array" ref="O162">IF($M162="","",IFERROR(INDEX(tblLotBalance[Lot Number],MATCH(1,INDEX((tblLotBalance[Item Name]=$A162)*(tblLotBalance[Expiry Date]=$M162)*(tblLotBalance[Lot Balance]&gt;0),0),0)),""))</f>
        <v/>
      </c>
      <c r="P162" s="28" t="str">
        <f>IF($A162="","",IF($I162&lt;0,"NEGATIVE",IF(NOT(ISNUMBER($F162)),"Set threshold",IF($I162&lt;=0,"OUT OF STOCK",IF($I162&lt;=$F162,"LOW",IF($I162&lt;=$F162*Settings!$C$7,"WATCH","OK"))))))</f>
        <v/>
      </c>
      <c r="Q162" s="29" t="str">
        <f>IF($A162="","",IF($P162="NEGATIVE","Issued more than received - add the missing receipt",IF($P162="OUT OF STOCK","Reorder immediately",IF($P162="LOW","Raise purchase order",IF($P162="Set threshold","Enter Critical Low in Items",IF(AND($N162&lt;&gt;"",$N162&lt;=0),"Quarantine expired lot",IF(AND($N162&lt;&gt;"",$N162&lt;=Settings!$C$6),"Use or rotate stock now","")))))))</f>
        <v/>
      </c>
    </row>
    <row r="163" spans="1:17" x14ac:dyDescent="0.35">
      <c r="A163" s="18" t="str">
        <f>IF(Items!$A160="","",Items!$A160)</f>
        <v/>
      </c>
      <c r="B163" s="18" t="str">
        <f>IF($A163="","",Items!$B160)</f>
        <v/>
      </c>
      <c r="C163" s="19" t="str">
        <f>IF($A163="","",Items!$G160)</f>
        <v/>
      </c>
      <c r="D163" s="20" t="str">
        <f>IF($A163="","",N(Items!$D160))</f>
        <v/>
      </c>
      <c r="E163" s="23" t="str">
        <f>IF($A163="","",Items!$E160)</f>
        <v/>
      </c>
      <c r="F163" s="23" t="str">
        <f>IF($A163="","",Items!$F160)</f>
        <v/>
      </c>
      <c r="G163" s="26" t="str">
        <f>IF($A163="","",SUMIFS(tblReceipts[Qty Received],tblReceipts[Item Name],$A163))</f>
        <v/>
      </c>
      <c r="H163" s="26" t="str">
        <f>IF($A163="","",SUMIFS(tblIssues[Qty Issued],tblIssues[Item Name],$A163))</f>
        <v/>
      </c>
      <c r="I163" s="27" t="str">
        <f t="shared" si="6"/>
        <v/>
      </c>
      <c r="J163" s="21" t="str">
        <f t="shared" si="7"/>
        <v/>
      </c>
      <c r="K163" s="26" t="str">
        <f>IF($A163="","",COUNTIFS(tblReceipts[Item Name],$A163))</f>
        <v/>
      </c>
      <c r="L163" s="26" t="str">
        <f>IF($A163="","",COUNTIFS(tblLotBalance[Item Name],$A163,tblLotBalance[Lot Balance],"&gt;0"))</f>
        <v/>
      </c>
      <c r="M163" s="24" t="str">
        <f>IF($A163="","",IF($L163=0,"",IFERROR(_xlfn.MINIFS(tblLotBalance[Expiry Date],tblLotBalance[Item Name],$A163,tblLotBalance[Lot Balance],"&gt;0"),"")))</f>
        <v/>
      </c>
      <c r="N163" s="26" t="str">
        <f t="shared" ca="1" si="8"/>
        <v/>
      </c>
      <c r="O163" s="18" t="str" cm="1">
        <f t="array" ref="O163">IF($M163="","",IFERROR(INDEX(tblLotBalance[Lot Number],MATCH(1,INDEX((tblLotBalance[Item Name]=$A163)*(tblLotBalance[Expiry Date]=$M163)*(tblLotBalance[Lot Balance]&gt;0),0),0)),""))</f>
        <v/>
      </c>
      <c r="P163" s="28" t="str">
        <f>IF($A163="","",IF($I163&lt;0,"NEGATIVE",IF(NOT(ISNUMBER($F163)),"Set threshold",IF($I163&lt;=0,"OUT OF STOCK",IF($I163&lt;=$F163,"LOW",IF($I163&lt;=$F163*Settings!$C$7,"WATCH","OK"))))))</f>
        <v/>
      </c>
      <c r="Q163" s="29" t="str">
        <f>IF($A163="","",IF($P163="NEGATIVE","Issued more than received - add the missing receipt",IF($P163="OUT OF STOCK","Reorder immediately",IF($P163="LOW","Raise purchase order",IF($P163="Set threshold","Enter Critical Low in Items",IF(AND($N163&lt;&gt;"",$N163&lt;=0),"Quarantine expired lot",IF(AND($N163&lt;&gt;"",$N163&lt;=Settings!$C$6),"Use or rotate stock now","")))))))</f>
        <v/>
      </c>
    </row>
    <row r="164" spans="1:17" x14ac:dyDescent="0.35">
      <c r="A164" s="18" t="str">
        <f>IF(Items!$A161="","",Items!$A161)</f>
        <v/>
      </c>
      <c r="B164" s="18" t="str">
        <f>IF($A164="","",Items!$B161)</f>
        <v/>
      </c>
      <c r="C164" s="19" t="str">
        <f>IF($A164="","",Items!$G161)</f>
        <v/>
      </c>
      <c r="D164" s="20" t="str">
        <f>IF($A164="","",N(Items!$D161))</f>
        <v/>
      </c>
      <c r="E164" s="23" t="str">
        <f>IF($A164="","",Items!$E161)</f>
        <v/>
      </c>
      <c r="F164" s="23" t="str">
        <f>IF($A164="","",Items!$F161)</f>
        <v/>
      </c>
      <c r="G164" s="26" t="str">
        <f>IF($A164="","",SUMIFS(tblReceipts[Qty Received],tblReceipts[Item Name],$A164))</f>
        <v/>
      </c>
      <c r="H164" s="26" t="str">
        <f>IF($A164="","",SUMIFS(tblIssues[Qty Issued],tblIssues[Item Name],$A164))</f>
        <v/>
      </c>
      <c r="I164" s="27" t="str">
        <f t="shared" si="6"/>
        <v/>
      </c>
      <c r="J164" s="21" t="str">
        <f t="shared" si="7"/>
        <v/>
      </c>
      <c r="K164" s="26" t="str">
        <f>IF($A164="","",COUNTIFS(tblReceipts[Item Name],$A164))</f>
        <v/>
      </c>
      <c r="L164" s="26" t="str">
        <f>IF($A164="","",COUNTIFS(tblLotBalance[Item Name],$A164,tblLotBalance[Lot Balance],"&gt;0"))</f>
        <v/>
      </c>
      <c r="M164" s="24" t="str">
        <f>IF($A164="","",IF($L164=0,"",IFERROR(_xlfn.MINIFS(tblLotBalance[Expiry Date],tblLotBalance[Item Name],$A164,tblLotBalance[Lot Balance],"&gt;0"),"")))</f>
        <v/>
      </c>
      <c r="N164" s="26" t="str">
        <f t="shared" ca="1" si="8"/>
        <v/>
      </c>
      <c r="O164" s="18" t="str" cm="1">
        <f t="array" ref="O164">IF($M164="","",IFERROR(INDEX(tblLotBalance[Lot Number],MATCH(1,INDEX((tblLotBalance[Item Name]=$A164)*(tblLotBalance[Expiry Date]=$M164)*(tblLotBalance[Lot Balance]&gt;0),0),0)),""))</f>
        <v/>
      </c>
      <c r="P164" s="28" t="str">
        <f>IF($A164="","",IF($I164&lt;0,"NEGATIVE",IF(NOT(ISNUMBER($F164)),"Set threshold",IF($I164&lt;=0,"OUT OF STOCK",IF($I164&lt;=$F164,"LOW",IF($I164&lt;=$F164*Settings!$C$7,"WATCH","OK"))))))</f>
        <v/>
      </c>
      <c r="Q164" s="29" t="str">
        <f>IF($A164="","",IF($P164="NEGATIVE","Issued more than received - add the missing receipt",IF($P164="OUT OF STOCK","Reorder immediately",IF($P164="LOW","Raise purchase order",IF($P164="Set threshold","Enter Critical Low in Items",IF(AND($N164&lt;&gt;"",$N164&lt;=0),"Quarantine expired lot",IF(AND($N164&lt;&gt;"",$N164&lt;=Settings!$C$6),"Use or rotate stock now","")))))))</f>
        <v/>
      </c>
    </row>
    <row r="165" spans="1:17" x14ac:dyDescent="0.35">
      <c r="A165" s="18" t="str">
        <f>IF(Items!$A162="","",Items!$A162)</f>
        <v/>
      </c>
      <c r="B165" s="18" t="str">
        <f>IF($A165="","",Items!$B162)</f>
        <v/>
      </c>
      <c r="C165" s="19" t="str">
        <f>IF($A165="","",Items!$G162)</f>
        <v/>
      </c>
      <c r="D165" s="20" t="str">
        <f>IF($A165="","",N(Items!$D162))</f>
        <v/>
      </c>
      <c r="E165" s="23" t="str">
        <f>IF($A165="","",Items!$E162)</f>
        <v/>
      </c>
      <c r="F165" s="23" t="str">
        <f>IF($A165="","",Items!$F162)</f>
        <v/>
      </c>
      <c r="G165" s="26" t="str">
        <f>IF($A165="","",SUMIFS(tblReceipts[Qty Received],tblReceipts[Item Name],$A165))</f>
        <v/>
      </c>
      <c r="H165" s="26" t="str">
        <f>IF($A165="","",SUMIFS(tblIssues[Qty Issued],tblIssues[Item Name],$A165))</f>
        <v/>
      </c>
      <c r="I165" s="27" t="str">
        <f t="shared" si="6"/>
        <v/>
      </c>
      <c r="J165" s="21" t="str">
        <f t="shared" si="7"/>
        <v/>
      </c>
      <c r="K165" s="26" t="str">
        <f>IF($A165="","",COUNTIFS(tblReceipts[Item Name],$A165))</f>
        <v/>
      </c>
      <c r="L165" s="26" t="str">
        <f>IF($A165="","",COUNTIFS(tblLotBalance[Item Name],$A165,tblLotBalance[Lot Balance],"&gt;0"))</f>
        <v/>
      </c>
      <c r="M165" s="24" t="str">
        <f>IF($A165="","",IF($L165=0,"",IFERROR(_xlfn.MINIFS(tblLotBalance[Expiry Date],tblLotBalance[Item Name],$A165,tblLotBalance[Lot Balance],"&gt;0"),"")))</f>
        <v/>
      </c>
      <c r="N165" s="26" t="str">
        <f t="shared" ca="1" si="8"/>
        <v/>
      </c>
      <c r="O165" s="18" t="str" cm="1">
        <f t="array" ref="O165">IF($M165="","",IFERROR(INDEX(tblLotBalance[Lot Number],MATCH(1,INDEX((tblLotBalance[Item Name]=$A165)*(tblLotBalance[Expiry Date]=$M165)*(tblLotBalance[Lot Balance]&gt;0),0),0)),""))</f>
        <v/>
      </c>
      <c r="P165" s="28" t="str">
        <f>IF($A165="","",IF($I165&lt;0,"NEGATIVE",IF(NOT(ISNUMBER($F165)),"Set threshold",IF($I165&lt;=0,"OUT OF STOCK",IF($I165&lt;=$F165,"LOW",IF($I165&lt;=$F165*Settings!$C$7,"WATCH","OK"))))))</f>
        <v/>
      </c>
      <c r="Q165" s="29" t="str">
        <f>IF($A165="","",IF($P165="NEGATIVE","Issued more than received - add the missing receipt",IF($P165="OUT OF STOCK","Reorder immediately",IF($P165="LOW","Raise purchase order",IF($P165="Set threshold","Enter Critical Low in Items",IF(AND($N165&lt;&gt;"",$N165&lt;=0),"Quarantine expired lot",IF(AND($N165&lt;&gt;"",$N165&lt;=Settings!$C$6),"Use or rotate stock now","")))))))</f>
        <v/>
      </c>
    </row>
    <row r="166" spans="1:17" x14ac:dyDescent="0.35">
      <c r="A166" s="18" t="str">
        <f>IF(Items!$A163="","",Items!$A163)</f>
        <v/>
      </c>
      <c r="B166" s="18" t="str">
        <f>IF($A166="","",Items!$B163)</f>
        <v/>
      </c>
      <c r="C166" s="19" t="str">
        <f>IF($A166="","",Items!$G163)</f>
        <v/>
      </c>
      <c r="D166" s="20" t="str">
        <f>IF($A166="","",N(Items!$D163))</f>
        <v/>
      </c>
      <c r="E166" s="23" t="str">
        <f>IF($A166="","",Items!$E163)</f>
        <v/>
      </c>
      <c r="F166" s="23" t="str">
        <f>IF($A166="","",Items!$F163)</f>
        <v/>
      </c>
      <c r="G166" s="26" t="str">
        <f>IF($A166="","",SUMIFS(tblReceipts[Qty Received],tblReceipts[Item Name],$A166))</f>
        <v/>
      </c>
      <c r="H166" s="26" t="str">
        <f>IF($A166="","",SUMIFS(tblIssues[Qty Issued],tblIssues[Item Name],$A166))</f>
        <v/>
      </c>
      <c r="I166" s="27" t="str">
        <f t="shared" si="6"/>
        <v/>
      </c>
      <c r="J166" s="21" t="str">
        <f t="shared" si="7"/>
        <v/>
      </c>
      <c r="K166" s="26" t="str">
        <f>IF($A166="","",COUNTIFS(tblReceipts[Item Name],$A166))</f>
        <v/>
      </c>
      <c r="L166" s="26" t="str">
        <f>IF($A166="","",COUNTIFS(tblLotBalance[Item Name],$A166,tblLotBalance[Lot Balance],"&gt;0"))</f>
        <v/>
      </c>
      <c r="M166" s="24" t="str">
        <f>IF($A166="","",IF($L166=0,"",IFERROR(_xlfn.MINIFS(tblLotBalance[Expiry Date],tblLotBalance[Item Name],$A166,tblLotBalance[Lot Balance],"&gt;0"),"")))</f>
        <v/>
      </c>
      <c r="N166" s="26" t="str">
        <f t="shared" ca="1" si="8"/>
        <v/>
      </c>
      <c r="O166" s="18" t="str" cm="1">
        <f t="array" ref="O166">IF($M166="","",IFERROR(INDEX(tblLotBalance[Lot Number],MATCH(1,INDEX((tblLotBalance[Item Name]=$A166)*(tblLotBalance[Expiry Date]=$M166)*(tblLotBalance[Lot Balance]&gt;0),0),0)),""))</f>
        <v/>
      </c>
      <c r="P166" s="28" t="str">
        <f>IF($A166="","",IF($I166&lt;0,"NEGATIVE",IF(NOT(ISNUMBER($F166)),"Set threshold",IF($I166&lt;=0,"OUT OF STOCK",IF($I166&lt;=$F166,"LOW",IF($I166&lt;=$F166*Settings!$C$7,"WATCH","OK"))))))</f>
        <v/>
      </c>
      <c r="Q166" s="29" t="str">
        <f>IF($A166="","",IF($P166="NEGATIVE","Issued more than received - add the missing receipt",IF($P166="OUT OF STOCK","Reorder immediately",IF($P166="LOW","Raise purchase order",IF($P166="Set threshold","Enter Critical Low in Items",IF(AND($N166&lt;&gt;"",$N166&lt;=0),"Quarantine expired lot",IF(AND($N166&lt;&gt;"",$N166&lt;=Settings!$C$6),"Use or rotate stock now","")))))))</f>
        <v/>
      </c>
    </row>
    <row r="167" spans="1:17" x14ac:dyDescent="0.35">
      <c r="A167" s="18" t="str">
        <f>IF(Items!$A164="","",Items!$A164)</f>
        <v/>
      </c>
      <c r="B167" s="18" t="str">
        <f>IF($A167="","",Items!$B164)</f>
        <v/>
      </c>
      <c r="C167" s="19" t="str">
        <f>IF($A167="","",Items!$G164)</f>
        <v/>
      </c>
      <c r="D167" s="20" t="str">
        <f>IF($A167="","",N(Items!$D164))</f>
        <v/>
      </c>
      <c r="E167" s="23" t="str">
        <f>IF($A167="","",Items!$E164)</f>
        <v/>
      </c>
      <c r="F167" s="23" t="str">
        <f>IF($A167="","",Items!$F164)</f>
        <v/>
      </c>
      <c r="G167" s="26" t="str">
        <f>IF($A167="","",SUMIFS(tblReceipts[Qty Received],tblReceipts[Item Name],$A167))</f>
        <v/>
      </c>
      <c r="H167" s="26" t="str">
        <f>IF($A167="","",SUMIFS(tblIssues[Qty Issued],tblIssues[Item Name],$A167))</f>
        <v/>
      </c>
      <c r="I167" s="27" t="str">
        <f t="shared" si="6"/>
        <v/>
      </c>
      <c r="J167" s="21" t="str">
        <f t="shared" si="7"/>
        <v/>
      </c>
      <c r="K167" s="26" t="str">
        <f>IF($A167="","",COUNTIFS(tblReceipts[Item Name],$A167))</f>
        <v/>
      </c>
      <c r="L167" s="26" t="str">
        <f>IF($A167="","",COUNTIFS(tblLotBalance[Item Name],$A167,tblLotBalance[Lot Balance],"&gt;0"))</f>
        <v/>
      </c>
      <c r="M167" s="24" t="str">
        <f>IF($A167="","",IF($L167=0,"",IFERROR(_xlfn.MINIFS(tblLotBalance[Expiry Date],tblLotBalance[Item Name],$A167,tblLotBalance[Lot Balance],"&gt;0"),"")))</f>
        <v/>
      </c>
      <c r="N167" s="26" t="str">
        <f t="shared" ca="1" si="8"/>
        <v/>
      </c>
      <c r="O167" s="18" t="str" cm="1">
        <f t="array" ref="O167">IF($M167="","",IFERROR(INDEX(tblLotBalance[Lot Number],MATCH(1,INDEX((tblLotBalance[Item Name]=$A167)*(tblLotBalance[Expiry Date]=$M167)*(tblLotBalance[Lot Balance]&gt;0),0),0)),""))</f>
        <v/>
      </c>
      <c r="P167" s="28" t="str">
        <f>IF($A167="","",IF($I167&lt;0,"NEGATIVE",IF(NOT(ISNUMBER($F167)),"Set threshold",IF($I167&lt;=0,"OUT OF STOCK",IF($I167&lt;=$F167,"LOW",IF($I167&lt;=$F167*Settings!$C$7,"WATCH","OK"))))))</f>
        <v/>
      </c>
      <c r="Q167" s="29" t="str">
        <f>IF($A167="","",IF($P167="NEGATIVE","Issued more than received - add the missing receipt",IF($P167="OUT OF STOCK","Reorder immediately",IF($P167="LOW","Raise purchase order",IF($P167="Set threshold","Enter Critical Low in Items",IF(AND($N167&lt;&gt;"",$N167&lt;=0),"Quarantine expired lot",IF(AND($N167&lt;&gt;"",$N167&lt;=Settings!$C$6),"Use or rotate stock now","")))))))</f>
        <v/>
      </c>
    </row>
    <row r="168" spans="1:17" x14ac:dyDescent="0.35">
      <c r="A168" s="18" t="str">
        <f>IF(Items!$A165="","",Items!$A165)</f>
        <v/>
      </c>
      <c r="B168" s="18" t="str">
        <f>IF($A168="","",Items!$B165)</f>
        <v/>
      </c>
      <c r="C168" s="19" t="str">
        <f>IF($A168="","",Items!$G165)</f>
        <v/>
      </c>
      <c r="D168" s="20" t="str">
        <f>IF($A168="","",N(Items!$D165))</f>
        <v/>
      </c>
      <c r="E168" s="23" t="str">
        <f>IF($A168="","",Items!$E165)</f>
        <v/>
      </c>
      <c r="F168" s="23" t="str">
        <f>IF($A168="","",Items!$F165)</f>
        <v/>
      </c>
      <c r="G168" s="26" t="str">
        <f>IF($A168="","",SUMIFS(tblReceipts[Qty Received],tblReceipts[Item Name],$A168))</f>
        <v/>
      </c>
      <c r="H168" s="26" t="str">
        <f>IF($A168="","",SUMIFS(tblIssues[Qty Issued],tblIssues[Item Name],$A168))</f>
        <v/>
      </c>
      <c r="I168" s="27" t="str">
        <f t="shared" si="6"/>
        <v/>
      </c>
      <c r="J168" s="21" t="str">
        <f t="shared" si="7"/>
        <v/>
      </c>
      <c r="K168" s="26" t="str">
        <f>IF($A168="","",COUNTIFS(tblReceipts[Item Name],$A168))</f>
        <v/>
      </c>
      <c r="L168" s="26" t="str">
        <f>IF($A168="","",COUNTIFS(tblLotBalance[Item Name],$A168,tblLotBalance[Lot Balance],"&gt;0"))</f>
        <v/>
      </c>
      <c r="M168" s="24" t="str">
        <f>IF($A168="","",IF($L168=0,"",IFERROR(_xlfn.MINIFS(tblLotBalance[Expiry Date],tblLotBalance[Item Name],$A168,tblLotBalance[Lot Balance],"&gt;0"),"")))</f>
        <v/>
      </c>
      <c r="N168" s="26" t="str">
        <f t="shared" ca="1" si="8"/>
        <v/>
      </c>
      <c r="O168" s="18" t="str" cm="1">
        <f t="array" ref="O168">IF($M168="","",IFERROR(INDEX(tblLotBalance[Lot Number],MATCH(1,INDEX((tblLotBalance[Item Name]=$A168)*(tblLotBalance[Expiry Date]=$M168)*(tblLotBalance[Lot Balance]&gt;0),0),0)),""))</f>
        <v/>
      </c>
      <c r="P168" s="28" t="str">
        <f>IF($A168="","",IF($I168&lt;0,"NEGATIVE",IF(NOT(ISNUMBER($F168)),"Set threshold",IF($I168&lt;=0,"OUT OF STOCK",IF($I168&lt;=$F168,"LOW",IF($I168&lt;=$F168*Settings!$C$7,"WATCH","OK"))))))</f>
        <v/>
      </c>
      <c r="Q168" s="29" t="str">
        <f>IF($A168="","",IF($P168="NEGATIVE","Issued more than received - add the missing receipt",IF($P168="OUT OF STOCK","Reorder immediately",IF($P168="LOW","Raise purchase order",IF($P168="Set threshold","Enter Critical Low in Items",IF(AND($N168&lt;&gt;"",$N168&lt;=0),"Quarantine expired lot",IF(AND($N168&lt;&gt;"",$N168&lt;=Settings!$C$6),"Use or rotate stock now","")))))))</f>
        <v/>
      </c>
    </row>
    <row r="169" spans="1:17" x14ac:dyDescent="0.35">
      <c r="A169" s="18" t="str">
        <f>IF(Items!$A166="","",Items!$A166)</f>
        <v/>
      </c>
      <c r="B169" s="18" t="str">
        <f>IF($A169="","",Items!$B166)</f>
        <v/>
      </c>
      <c r="C169" s="19" t="str">
        <f>IF($A169="","",Items!$G166)</f>
        <v/>
      </c>
      <c r="D169" s="20" t="str">
        <f>IF($A169="","",N(Items!$D166))</f>
        <v/>
      </c>
      <c r="E169" s="23" t="str">
        <f>IF($A169="","",Items!$E166)</f>
        <v/>
      </c>
      <c r="F169" s="23" t="str">
        <f>IF($A169="","",Items!$F166)</f>
        <v/>
      </c>
      <c r="G169" s="26" t="str">
        <f>IF($A169="","",SUMIFS(tblReceipts[Qty Received],tblReceipts[Item Name],$A169))</f>
        <v/>
      </c>
      <c r="H169" s="26" t="str">
        <f>IF($A169="","",SUMIFS(tblIssues[Qty Issued],tblIssues[Item Name],$A169))</f>
        <v/>
      </c>
      <c r="I169" s="27" t="str">
        <f t="shared" si="6"/>
        <v/>
      </c>
      <c r="J169" s="21" t="str">
        <f t="shared" si="7"/>
        <v/>
      </c>
      <c r="K169" s="26" t="str">
        <f>IF($A169="","",COUNTIFS(tblReceipts[Item Name],$A169))</f>
        <v/>
      </c>
      <c r="L169" s="26" t="str">
        <f>IF($A169="","",COUNTIFS(tblLotBalance[Item Name],$A169,tblLotBalance[Lot Balance],"&gt;0"))</f>
        <v/>
      </c>
      <c r="M169" s="24" t="str">
        <f>IF($A169="","",IF($L169=0,"",IFERROR(_xlfn.MINIFS(tblLotBalance[Expiry Date],tblLotBalance[Item Name],$A169,tblLotBalance[Lot Balance],"&gt;0"),"")))</f>
        <v/>
      </c>
      <c r="N169" s="26" t="str">
        <f t="shared" ca="1" si="8"/>
        <v/>
      </c>
      <c r="O169" s="18" t="str" cm="1">
        <f t="array" ref="O169">IF($M169="","",IFERROR(INDEX(tblLotBalance[Lot Number],MATCH(1,INDEX((tblLotBalance[Item Name]=$A169)*(tblLotBalance[Expiry Date]=$M169)*(tblLotBalance[Lot Balance]&gt;0),0),0)),""))</f>
        <v/>
      </c>
      <c r="P169" s="28" t="str">
        <f>IF($A169="","",IF($I169&lt;0,"NEGATIVE",IF(NOT(ISNUMBER($F169)),"Set threshold",IF($I169&lt;=0,"OUT OF STOCK",IF($I169&lt;=$F169,"LOW",IF($I169&lt;=$F169*Settings!$C$7,"WATCH","OK"))))))</f>
        <v/>
      </c>
      <c r="Q169" s="29" t="str">
        <f>IF($A169="","",IF($P169="NEGATIVE","Issued more than received - add the missing receipt",IF($P169="OUT OF STOCK","Reorder immediately",IF($P169="LOW","Raise purchase order",IF($P169="Set threshold","Enter Critical Low in Items",IF(AND($N169&lt;&gt;"",$N169&lt;=0),"Quarantine expired lot",IF(AND($N169&lt;&gt;"",$N169&lt;=Settings!$C$6),"Use or rotate stock now","")))))))</f>
        <v/>
      </c>
    </row>
    <row r="170" spans="1:17" x14ac:dyDescent="0.35">
      <c r="A170" s="18" t="str">
        <f>IF(Items!$A167="","",Items!$A167)</f>
        <v/>
      </c>
      <c r="B170" s="18" t="str">
        <f>IF($A170="","",Items!$B167)</f>
        <v/>
      </c>
      <c r="C170" s="19" t="str">
        <f>IF($A170="","",Items!$G167)</f>
        <v/>
      </c>
      <c r="D170" s="20" t="str">
        <f>IF($A170="","",N(Items!$D167))</f>
        <v/>
      </c>
      <c r="E170" s="23" t="str">
        <f>IF($A170="","",Items!$E167)</f>
        <v/>
      </c>
      <c r="F170" s="23" t="str">
        <f>IF($A170="","",Items!$F167)</f>
        <v/>
      </c>
      <c r="G170" s="26" t="str">
        <f>IF($A170="","",SUMIFS(tblReceipts[Qty Received],tblReceipts[Item Name],$A170))</f>
        <v/>
      </c>
      <c r="H170" s="26" t="str">
        <f>IF($A170="","",SUMIFS(tblIssues[Qty Issued],tblIssues[Item Name],$A170))</f>
        <v/>
      </c>
      <c r="I170" s="27" t="str">
        <f t="shared" si="6"/>
        <v/>
      </c>
      <c r="J170" s="21" t="str">
        <f t="shared" si="7"/>
        <v/>
      </c>
      <c r="K170" s="26" t="str">
        <f>IF($A170="","",COUNTIFS(tblReceipts[Item Name],$A170))</f>
        <v/>
      </c>
      <c r="L170" s="26" t="str">
        <f>IF($A170="","",COUNTIFS(tblLotBalance[Item Name],$A170,tblLotBalance[Lot Balance],"&gt;0"))</f>
        <v/>
      </c>
      <c r="M170" s="24" t="str">
        <f>IF($A170="","",IF($L170=0,"",IFERROR(_xlfn.MINIFS(tblLotBalance[Expiry Date],tblLotBalance[Item Name],$A170,tblLotBalance[Lot Balance],"&gt;0"),"")))</f>
        <v/>
      </c>
      <c r="N170" s="26" t="str">
        <f t="shared" ca="1" si="8"/>
        <v/>
      </c>
      <c r="O170" s="18" t="str" cm="1">
        <f t="array" ref="O170">IF($M170="","",IFERROR(INDEX(tblLotBalance[Lot Number],MATCH(1,INDEX((tblLotBalance[Item Name]=$A170)*(tblLotBalance[Expiry Date]=$M170)*(tblLotBalance[Lot Balance]&gt;0),0),0)),""))</f>
        <v/>
      </c>
      <c r="P170" s="28" t="str">
        <f>IF($A170="","",IF($I170&lt;0,"NEGATIVE",IF(NOT(ISNUMBER($F170)),"Set threshold",IF($I170&lt;=0,"OUT OF STOCK",IF($I170&lt;=$F170,"LOW",IF($I170&lt;=$F170*Settings!$C$7,"WATCH","OK"))))))</f>
        <v/>
      </c>
      <c r="Q170" s="29" t="str">
        <f>IF($A170="","",IF($P170="NEGATIVE","Issued more than received - add the missing receipt",IF($P170="OUT OF STOCK","Reorder immediately",IF($P170="LOW","Raise purchase order",IF($P170="Set threshold","Enter Critical Low in Items",IF(AND($N170&lt;&gt;"",$N170&lt;=0),"Quarantine expired lot",IF(AND($N170&lt;&gt;"",$N170&lt;=Settings!$C$6),"Use or rotate stock now","")))))))</f>
        <v/>
      </c>
    </row>
    <row r="171" spans="1:17" x14ac:dyDescent="0.35">
      <c r="A171" s="18" t="str">
        <f>IF(Items!$A168="","",Items!$A168)</f>
        <v/>
      </c>
      <c r="B171" s="18" t="str">
        <f>IF($A171="","",Items!$B168)</f>
        <v/>
      </c>
      <c r="C171" s="19" t="str">
        <f>IF($A171="","",Items!$G168)</f>
        <v/>
      </c>
      <c r="D171" s="20" t="str">
        <f>IF($A171="","",N(Items!$D168))</f>
        <v/>
      </c>
      <c r="E171" s="23" t="str">
        <f>IF($A171="","",Items!$E168)</f>
        <v/>
      </c>
      <c r="F171" s="23" t="str">
        <f>IF($A171="","",Items!$F168)</f>
        <v/>
      </c>
      <c r="G171" s="26" t="str">
        <f>IF($A171="","",SUMIFS(tblReceipts[Qty Received],tblReceipts[Item Name],$A171))</f>
        <v/>
      </c>
      <c r="H171" s="26" t="str">
        <f>IF($A171="","",SUMIFS(tblIssues[Qty Issued],tblIssues[Item Name],$A171))</f>
        <v/>
      </c>
      <c r="I171" s="27" t="str">
        <f t="shared" si="6"/>
        <v/>
      </c>
      <c r="J171" s="21" t="str">
        <f t="shared" si="7"/>
        <v/>
      </c>
      <c r="K171" s="26" t="str">
        <f>IF($A171="","",COUNTIFS(tblReceipts[Item Name],$A171))</f>
        <v/>
      </c>
      <c r="L171" s="26" t="str">
        <f>IF($A171="","",COUNTIFS(tblLotBalance[Item Name],$A171,tblLotBalance[Lot Balance],"&gt;0"))</f>
        <v/>
      </c>
      <c r="M171" s="24" t="str">
        <f>IF($A171="","",IF($L171=0,"",IFERROR(_xlfn.MINIFS(tblLotBalance[Expiry Date],tblLotBalance[Item Name],$A171,tblLotBalance[Lot Balance],"&gt;0"),"")))</f>
        <v/>
      </c>
      <c r="N171" s="26" t="str">
        <f t="shared" ca="1" si="8"/>
        <v/>
      </c>
      <c r="O171" s="18" t="str" cm="1">
        <f t="array" ref="O171">IF($M171="","",IFERROR(INDEX(tblLotBalance[Lot Number],MATCH(1,INDEX((tblLotBalance[Item Name]=$A171)*(tblLotBalance[Expiry Date]=$M171)*(tblLotBalance[Lot Balance]&gt;0),0),0)),""))</f>
        <v/>
      </c>
      <c r="P171" s="28" t="str">
        <f>IF($A171="","",IF($I171&lt;0,"NEGATIVE",IF(NOT(ISNUMBER($F171)),"Set threshold",IF($I171&lt;=0,"OUT OF STOCK",IF($I171&lt;=$F171,"LOW",IF($I171&lt;=$F171*Settings!$C$7,"WATCH","OK"))))))</f>
        <v/>
      </c>
      <c r="Q171" s="29" t="str">
        <f>IF($A171="","",IF($P171="NEGATIVE","Issued more than received - add the missing receipt",IF($P171="OUT OF STOCK","Reorder immediately",IF($P171="LOW","Raise purchase order",IF($P171="Set threshold","Enter Critical Low in Items",IF(AND($N171&lt;&gt;"",$N171&lt;=0),"Quarantine expired lot",IF(AND($N171&lt;&gt;"",$N171&lt;=Settings!$C$6),"Use or rotate stock now","")))))))</f>
        <v/>
      </c>
    </row>
    <row r="172" spans="1:17" x14ac:dyDescent="0.35">
      <c r="A172" s="18" t="str">
        <f>IF(Items!$A169="","",Items!$A169)</f>
        <v/>
      </c>
      <c r="B172" s="18" t="str">
        <f>IF($A172="","",Items!$B169)</f>
        <v/>
      </c>
      <c r="C172" s="19" t="str">
        <f>IF($A172="","",Items!$G169)</f>
        <v/>
      </c>
      <c r="D172" s="20" t="str">
        <f>IF($A172="","",N(Items!$D169))</f>
        <v/>
      </c>
      <c r="E172" s="23" t="str">
        <f>IF($A172="","",Items!$E169)</f>
        <v/>
      </c>
      <c r="F172" s="23" t="str">
        <f>IF($A172="","",Items!$F169)</f>
        <v/>
      </c>
      <c r="G172" s="26" t="str">
        <f>IF($A172="","",SUMIFS(tblReceipts[Qty Received],tblReceipts[Item Name],$A172))</f>
        <v/>
      </c>
      <c r="H172" s="26" t="str">
        <f>IF($A172="","",SUMIFS(tblIssues[Qty Issued],tblIssues[Item Name],$A172))</f>
        <v/>
      </c>
      <c r="I172" s="27" t="str">
        <f t="shared" si="6"/>
        <v/>
      </c>
      <c r="J172" s="21" t="str">
        <f t="shared" si="7"/>
        <v/>
      </c>
      <c r="K172" s="26" t="str">
        <f>IF($A172="","",COUNTIFS(tblReceipts[Item Name],$A172))</f>
        <v/>
      </c>
      <c r="L172" s="26" t="str">
        <f>IF($A172="","",COUNTIFS(tblLotBalance[Item Name],$A172,tblLotBalance[Lot Balance],"&gt;0"))</f>
        <v/>
      </c>
      <c r="M172" s="24" t="str">
        <f>IF($A172="","",IF($L172=0,"",IFERROR(_xlfn.MINIFS(tblLotBalance[Expiry Date],tblLotBalance[Item Name],$A172,tblLotBalance[Lot Balance],"&gt;0"),"")))</f>
        <v/>
      </c>
      <c r="N172" s="26" t="str">
        <f t="shared" ca="1" si="8"/>
        <v/>
      </c>
      <c r="O172" s="18" t="str" cm="1">
        <f t="array" ref="O172">IF($M172="","",IFERROR(INDEX(tblLotBalance[Lot Number],MATCH(1,INDEX((tblLotBalance[Item Name]=$A172)*(tblLotBalance[Expiry Date]=$M172)*(tblLotBalance[Lot Balance]&gt;0),0),0)),""))</f>
        <v/>
      </c>
      <c r="P172" s="28" t="str">
        <f>IF($A172="","",IF($I172&lt;0,"NEGATIVE",IF(NOT(ISNUMBER($F172)),"Set threshold",IF($I172&lt;=0,"OUT OF STOCK",IF($I172&lt;=$F172,"LOW",IF($I172&lt;=$F172*Settings!$C$7,"WATCH","OK"))))))</f>
        <v/>
      </c>
      <c r="Q172" s="29" t="str">
        <f>IF($A172="","",IF($P172="NEGATIVE","Issued more than received - add the missing receipt",IF($P172="OUT OF STOCK","Reorder immediately",IF($P172="LOW","Raise purchase order",IF($P172="Set threshold","Enter Critical Low in Items",IF(AND($N172&lt;&gt;"",$N172&lt;=0),"Quarantine expired lot",IF(AND($N172&lt;&gt;"",$N172&lt;=Settings!$C$6),"Use or rotate stock now","")))))))</f>
        <v/>
      </c>
    </row>
    <row r="173" spans="1:17" x14ac:dyDescent="0.35">
      <c r="A173" s="18" t="str">
        <f>IF(Items!$A170="","",Items!$A170)</f>
        <v/>
      </c>
      <c r="B173" s="18" t="str">
        <f>IF($A173="","",Items!$B170)</f>
        <v/>
      </c>
      <c r="C173" s="19" t="str">
        <f>IF($A173="","",Items!$G170)</f>
        <v/>
      </c>
      <c r="D173" s="20" t="str">
        <f>IF($A173="","",N(Items!$D170))</f>
        <v/>
      </c>
      <c r="E173" s="23" t="str">
        <f>IF($A173="","",Items!$E170)</f>
        <v/>
      </c>
      <c r="F173" s="23" t="str">
        <f>IF($A173="","",Items!$F170)</f>
        <v/>
      </c>
      <c r="G173" s="26" t="str">
        <f>IF($A173="","",SUMIFS(tblReceipts[Qty Received],tblReceipts[Item Name],$A173))</f>
        <v/>
      </c>
      <c r="H173" s="26" t="str">
        <f>IF($A173="","",SUMIFS(tblIssues[Qty Issued],tblIssues[Item Name],$A173))</f>
        <v/>
      </c>
      <c r="I173" s="27" t="str">
        <f t="shared" si="6"/>
        <v/>
      </c>
      <c r="J173" s="21" t="str">
        <f t="shared" si="7"/>
        <v/>
      </c>
      <c r="K173" s="26" t="str">
        <f>IF($A173="","",COUNTIFS(tblReceipts[Item Name],$A173))</f>
        <v/>
      </c>
      <c r="L173" s="26" t="str">
        <f>IF($A173="","",COUNTIFS(tblLotBalance[Item Name],$A173,tblLotBalance[Lot Balance],"&gt;0"))</f>
        <v/>
      </c>
      <c r="M173" s="24" t="str">
        <f>IF($A173="","",IF($L173=0,"",IFERROR(_xlfn.MINIFS(tblLotBalance[Expiry Date],tblLotBalance[Item Name],$A173,tblLotBalance[Lot Balance],"&gt;0"),"")))</f>
        <v/>
      </c>
      <c r="N173" s="26" t="str">
        <f t="shared" ca="1" si="8"/>
        <v/>
      </c>
      <c r="O173" s="18" t="str" cm="1">
        <f t="array" ref="O173">IF($M173="","",IFERROR(INDEX(tblLotBalance[Lot Number],MATCH(1,INDEX((tblLotBalance[Item Name]=$A173)*(tblLotBalance[Expiry Date]=$M173)*(tblLotBalance[Lot Balance]&gt;0),0),0)),""))</f>
        <v/>
      </c>
      <c r="P173" s="28" t="str">
        <f>IF($A173="","",IF($I173&lt;0,"NEGATIVE",IF(NOT(ISNUMBER($F173)),"Set threshold",IF($I173&lt;=0,"OUT OF STOCK",IF($I173&lt;=$F173,"LOW",IF($I173&lt;=$F173*Settings!$C$7,"WATCH","OK"))))))</f>
        <v/>
      </c>
      <c r="Q173" s="29" t="str">
        <f>IF($A173="","",IF($P173="NEGATIVE","Issued more than received - add the missing receipt",IF($P173="OUT OF STOCK","Reorder immediately",IF($P173="LOW","Raise purchase order",IF($P173="Set threshold","Enter Critical Low in Items",IF(AND($N173&lt;&gt;"",$N173&lt;=0),"Quarantine expired lot",IF(AND($N173&lt;&gt;"",$N173&lt;=Settings!$C$6),"Use or rotate stock now","")))))))</f>
        <v/>
      </c>
    </row>
    <row r="174" spans="1:17" x14ac:dyDescent="0.35">
      <c r="A174" s="18" t="str">
        <f>IF(Items!$A171="","",Items!$A171)</f>
        <v/>
      </c>
      <c r="B174" s="18" t="str">
        <f>IF($A174="","",Items!$B171)</f>
        <v/>
      </c>
      <c r="C174" s="19" t="str">
        <f>IF($A174="","",Items!$G171)</f>
        <v/>
      </c>
      <c r="D174" s="20" t="str">
        <f>IF($A174="","",N(Items!$D171))</f>
        <v/>
      </c>
      <c r="E174" s="23" t="str">
        <f>IF($A174="","",Items!$E171)</f>
        <v/>
      </c>
      <c r="F174" s="23" t="str">
        <f>IF($A174="","",Items!$F171)</f>
        <v/>
      </c>
      <c r="G174" s="26" t="str">
        <f>IF($A174="","",SUMIFS(tblReceipts[Qty Received],tblReceipts[Item Name],$A174))</f>
        <v/>
      </c>
      <c r="H174" s="26" t="str">
        <f>IF($A174="","",SUMIFS(tblIssues[Qty Issued],tblIssues[Item Name],$A174))</f>
        <v/>
      </c>
      <c r="I174" s="27" t="str">
        <f t="shared" si="6"/>
        <v/>
      </c>
      <c r="J174" s="21" t="str">
        <f t="shared" si="7"/>
        <v/>
      </c>
      <c r="K174" s="26" t="str">
        <f>IF($A174="","",COUNTIFS(tblReceipts[Item Name],$A174))</f>
        <v/>
      </c>
      <c r="L174" s="26" t="str">
        <f>IF($A174="","",COUNTIFS(tblLotBalance[Item Name],$A174,tblLotBalance[Lot Balance],"&gt;0"))</f>
        <v/>
      </c>
      <c r="M174" s="24" t="str">
        <f>IF($A174="","",IF($L174=0,"",IFERROR(_xlfn.MINIFS(tblLotBalance[Expiry Date],tblLotBalance[Item Name],$A174,tblLotBalance[Lot Balance],"&gt;0"),"")))</f>
        <v/>
      </c>
      <c r="N174" s="26" t="str">
        <f t="shared" ca="1" si="8"/>
        <v/>
      </c>
      <c r="O174" s="18" t="str" cm="1">
        <f t="array" ref="O174">IF($M174="","",IFERROR(INDEX(tblLotBalance[Lot Number],MATCH(1,INDEX((tblLotBalance[Item Name]=$A174)*(tblLotBalance[Expiry Date]=$M174)*(tblLotBalance[Lot Balance]&gt;0),0),0)),""))</f>
        <v/>
      </c>
      <c r="P174" s="28" t="str">
        <f>IF($A174="","",IF($I174&lt;0,"NEGATIVE",IF(NOT(ISNUMBER($F174)),"Set threshold",IF($I174&lt;=0,"OUT OF STOCK",IF($I174&lt;=$F174,"LOW",IF($I174&lt;=$F174*Settings!$C$7,"WATCH","OK"))))))</f>
        <v/>
      </c>
      <c r="Q174" s="29" t="str">
        <f>IF($A174="","",IF($P174="NEGATIVE","Issued more than received - add the missing receipt",IF($P174="OUT OF STOCK","Reorder immediately",IF($P174="LOW","Raise purchase order",IF($P174="Set threshold","Enter Critical Low in Items",IF(AND($N174&lt;&gt;"",$N174&lt;=0),"Quarantine expired lot",IF(AND($N174&lt;&gt;"",$N174&lt;=Settings!$C$6),"Use or rotate stock now","")))))))</f>
        <v/>
      </c>
    </row>
    <row r="175" spans="1:17" x14ac:dyDescent="0.35">
      <c r="A175" s="18" t="str">
        <f>IF(Items!$A172="","",Items!$A172)</f>
        <v/>
      </c>
      <c r="B175" s="18" t="str">
        <f>IF($A175="","",Items!$B172)</f>
        <v/>
      </c>
      <c r="C175" s="19" t="str">
        <f>IF($A175="","",Items!$G172)</f>
        <v/>
      </c>
      <c r="D175" s="20" t="str">
        <f>IF($A175="","",N(Items!$D172))</f>
        <v/>
      </c>
      <c r="E175" s="23" t="str">
        <f>IF($A175="","",Items!$E172)</f>
        <v/>
      </c>
      <c r="F175" s="23" t="str">
        <f>IF($A175="","",Items!$F172)</f>
        <v/>
      </c>
      <c r="G175" s="26" t="str">
        <f>IF($A175="","",SUMIFS(tblReceipts[Qty Received],tblReceipts[Item Name],$A175))</f>
        <v/>
      </c>
      <c r="H175" s="26" t="str">
        <f>IF($A175="","",SUMIFS(tblIssues[Qty Issued],tblIssues[Item Name],$A175))</f>
        <v/>
      </c>
      <c r="I175" s="27" t="str">
        <f t="shared" si="6"/>
        <v/>
      </c>
      <c r="J175" s="21" t="str">
        <f t="shared" si="7"/>
        <v/>
      </c>
      <c r="K175" s="26" t="str">
        <f>IF($A175="","",COUNTIFS(tblReceipts[Item Name],$A175))</f>
        <v/>
      </c>
      <c r="L175" s="26" t="str">
        <f>IF($A175="","",COUNTIFS(tblLotBalance[Item Name],$A175,tblLotBalance[Lot Balance],"&gt;0"))</f>
        <v/>
      </c>
      <c r="M175" s="24" t="str">
        <f>IF($A175="","",IF($L175=0,"",IFERROR(_xlfn.MINIFS(tblLotBalance[Expiry Date],tblLotBalance[Item Name],$A175,tblLotBalance[Lot Balance],"&gt;0"),"")))</f>
        <v/>
      </c>
      <c r="N175" s="26" t="str">
        <f t="shared" ca="1" si="8"/>
        <v/>
      </c>
      <c r="O175" s="18" t="str" cm="1">
        <f t="array" ref="O175">IF($M175="","",IFERROR(INDEX(tblLotBalance[Lot Number],MATCH(1,INDEX((tblLotBalance[Item Name]=$A175)*(tblLotBalance[Expiry Date]=$M175)*(tblLotBalance[Lot Balance]&gt;0),0),0)),""))</f>
        <v/>
      </c>
      <c r="P175" s="28" t="str">
        <f>IF($A175="","",IF($I175&lt;0,"NEGATIVE",IF(NOT(ISNUMBER($F175)),"Set threshold",IF($I175&lt;=0,"OUT OF STOCK",IF($I175&lt;=$F175,"LOW",IF($I175&lt;=$F175*Settings!$C$7,"WATCH","OK"))))))</f>
        <v/>
      </c>
      <c r="Q175" s="29" t="str">
        <f>IF($A175="","",IF($P175="NEGATIVE","Issued more than received - add the missing receipt",IF($P175="OUT OF STOCK","Reorder immediately",IF($P175="LOW","Raise purchase order",IF($P175="Set threshold","Enter Critical Low in Items",IF(AND($N175&lt;&gt;"",$N175&lt;=0),"Quarantine expired lot",IF(AND($N175&lt;&gt;"",$N175&lt;=Settings!$C$6),"Use or rotate stock now","")))))))</f>
        <v/>
      </c>
    </row>
    <row r="176" spans="1:17" x14ac:dyDescent="0.35">
      <c r="A176" s="18" t="str">
        <f>IF(Items!$A173="","",Items!$A173)</f>
        <v/>
      </c>
      <c r="B176" s="18" t="str">
        <f>IF($A176="","",Items!$B173)</f>
        <v/>
      </c>
      <c r="C176" s="19" t="str">
        <f>IF($A176="","",Items!$G173)</f>
        <v/>
      </c>
      <c r="D176" s="20" t="str">
        <f>IF($A176="","",N(Items!$D173))</f>
        <v/>
      </c>
      <c r="E176" s="23" t="str">
        <f>IF($A176="","",Items!$E173)</f>
        <v/>
      </c>
      <c r="F176" s="23" t="str">
        <f>IF($A176="","",Items!$F173)</f>
        <v/>
      </c>
      <c r="G176" s="26" t="str">
        <f>IF($A176="","",SUMIFS(tblReceipts[Qty Received],tblReceipts[Item Name],$A176))</f>
        <v/>
      </c>
      <c r="H176" s="26" t="str">
        <f>IF($A176="","",SUMIFS(tblIssues[Qty Issued],tblIssues[Item Name],$A176))</f>
        <v/>
      </c>
      <c r="I176" s="27" t="str">
        <f t="shared" si="6"/>
        <v/>
      </c>
      <c r="J176" s="21" t="str">
        <f t="shared" si="7"/>
        <v/>
      </c>
      <c r="K176" s="26" t="str">
        <f>IF($A176="","",COUNTIFS(tblReceipts[Item Name],$A176))</f>
        <v/>
      </c>
      <c r="L176" s="26" t="str">
        <f>IF($A176="","",COUNTIFS(tblLotBalance[Item Name],$A176,tblLotBalance[Lot Balance],"&gt;0"))</f>
        <v/>
      </c>
      <c r="M176" s="24" t="str">
        <f>IF($A176="","",IF($L176=0,"",IFERROR(_xlfn.MINIFS(tblLotBalance[Expiry Date],tblLotBalance[Item Name],$A176,tblLotBalance[Lot Balance],"&gt;0"),"")))</f>
        <v/>
      </c>
      <c r="N176" s="26" t="str">
        <f t="shared" ca="1" si="8"/>
        <v/>
      </c>
      <c r="O176" s="18" t="str" cm="1">
        <f t="array" ref="O176">IF($M176="","",IFERROR(INDEX(tblLotBalance[Lot Number],MATCH(1,INDEX((tblLotBalance[Item Name]=$A176)*(tblLotBalance[Expiry Date]=$M176)*(tblLotBalance[Lot Balance]&gt;0),0),0)),""))</f>
        <v/>
      </c>
      <c r="P176" s="28" t="str">
        <f>IF($A176="","",IF($I176&lt;0,"NEGATIVE",IF(NOT(ISNUMBER($F176)),"Set threshold",IF($I176&lt;=0,"OUT OF STOCK",IF($I176&lt;=$F176,"LOW",IF($I176&lt;=$F176*Settings!$C$7,"WATCH","OK"))))))</f>
        <v/>
      </c>
      <c r="Q176" s="29" t="str">
        <f>IF($A176="","",IF($P176="NEGATIVE","Issued more than received - add the missing receipt",IF($P176="OUT OF STOCK","Reorder immediately",IF($P176="LOW","Raise purchase order",IF($P176="Set threshold","Enter Critical Low in Items",IF(AND($N176&lt;&gt;"",$N176&lt;=0),"Quarantine expired lot",IF(AND($N176&lt;&gt;"",$N176&lt;=Settings!$C$6),"Use or rotate stock now","")))))))</f>
        <v/>
      </c>
    </row>
    <row r="177" spans="1:17" x14ac:dyDescent="0.35">
      <c r="A177" s="18" t="str">
        <f>IF(Items!$A174="","",Items!$A174)</f>
        <v/>
      </c>
      <c r="B177" s="18" t="str">
        <f>IF($A177="","",Items!$B174)</f>
        <v/>
      </c>
      <c r="C177" s="19" t="str">
        <f>IF($A177="","",Items!$G174)</f>
        <v/>
      </c>
      <c r="D177" s="20" t="str">
        <f>IF($A177="","",N(Items!$D174))</f>
        <v/>
      </c>
      <c r="E177" s="23" t="str">
        <f>IF($A177="","",Items!$E174)</f>
        <v/>
      </c>
      <c r="F177" s="23" t="str">
        <f>IF($A177="","",Items!$F174)</f>
        <v/>
      </c>
      <c r="G177" s="26" t="str">
        <f>IF($A177="","",SUMIFS(tblReceipts[Qty Received],tblReceipts[Item Name],$A177))</f>
        <v/>
      </c>
      <c r="H177" s="26" t="str">
        <f>IF($A177="","",SUMIFS(tblIssues[Qty Issued],tblIssues[Item Name],$A177))</f>
        <v/>
      </c>
      <c r="I177" s="27" t="str">
        <f t="shared" si="6"/>
        <v/>
      </c>
      <c r="J177" s="21" t="str">
        <f t="shared" si="7"/>
        <v/>
      </c>
      <c r="K177" s="26" t="str">
        <f>IF($A177="","",COUNTIFS(tblReceipts[Item Name],$A177))</f>
        <v/>
      </c>
      <c r="L177" s="26" t="str">
        <f>IF($A177="","",COUNTIFS(tblLotBalance[Item Name],$A177,tblLotBalance[Lot Balance],"&gt;0"))</f>
        <v/>
      </c>
      <c r="M177" s="24" t="str">
        <f>IF($A177="","",IF($L177=0,"",IFERROR(_xlfn.MINIFS(tblLotBalance[Expiry Date],tblLotBalance[Item Name],$A177,tblLotBalance[Lot Balance],"&gt;0"),"")))</f>
        <v/>
      </c>
      <c r="N177" s="26" t="str">
        <f t="shared" ca="1" si="8"/>
        <v/>
      </c>
      <c r="O177" s="18" t="str" cm="1">
        <f t="array" ref="O177">IF($M177="","",IFERROR(INDEX(tblLotBalance[Lot Number],MATCH(1,INDEX((tblLotBalance[Item Name]=$A177)*(tblLotBalance[Expiry Date]=$M177)*(tblLotBalance[Lot Balance]&gt;0),0),0)),""))</f>
        <v/>
      </c>
      <c r="P177" s="28" t="str">
        <f>IF($A177="","",IF($I177&lt;0,"NEGATIVE",IF(NOT(ISNUMBER($F177)),"Set threshold",IF($I177&lt;=0,"OUT OF STOCK",IF($I177&lt;=$F177,"LOW",IF($I177&lt;=$F177*Settings!$C$7,"WATCH","OK"))))))</f>
        <v/>
      </c>
      <c r="Q177" s="29" t="str">
        <f>IF($A177="","",IF($P177="NEGATIVE","Issued more than received - add the missing receipt",IF($P177="OUT OF STOCK","Reorder immediately",IF($P177="LOW","Raise purchase order",IF($P177="Set threshold","Enter Critical Low in Items",IF(AND($N177&lt;&gt;"",$N177&lt;=0),"Quarantine expired lot",IF(AND($N177&lt;&gt;"",$N177&lt;=Settings!$C$6),"Use or rotate stock now","")))))))</f>
        <v/>
      </c>
    </row>
    <row r="178" spans="1:17" x14ac:dyDescent="0.35">
      <c r="A178" s="18" t="str">
        <f>IF(Items!$A175="","",Items!$A175)</f>
        <v/>
      </c>
      <c r="B178" s="18" t="str">
        <f>IF($A178="","",Items!$B175)</f>
        <v/>
      </c>
      <c r="C178" s="19" t="str">
        <f>IF($A178="","",Items!$G175)</f>
        <v/>
      </c>
      <c r="D178" s="20" t="str">
        <f>IF($A178="","",N(Items!$D175))</f>
        <v/>
      </c>
      <c r="E178" s="23" t="str">
        <f>IF($A178="","",Items!$E175)</f>
        <v/>
      </c>
      <c r="F178" s="23" t="str">
        <f>IF($A178="","",Items!$F175)</f>
        <v/>
      </c>
      <c r="G178" s="26" t="str">
        <f>IF($A178="","",SUMIFS(tblReceipts[Qty Received],tblReceipts[Item Name],$A178))</f>
        <v/>
      </c>
      <c r="H178" s="26" t="str">
        <f>IF($A178="","",SUMIFS(tblIssues[Qty Issued],tblIssues[Item Name],$A178))</f>
        <v/>
      </c>
      <c r="I178" s="27" t="str">
        <f t="shared" si="6"/>
        <v/>
      </c>
      <c r="J178" s="21" t="str">
        <f t="shared" si="7"/>
        <v/>
      </c>
      <c r="K178" s="26" t="str">
        <f>IF($A178="","",COUNTIFS(tblReceipts[Item Name],$A178))</f>
        <v/>
      </c>
      <c r="L178" s="26" t="str">
        <f>IF($A178="","",COUNTIFS(tblLotBalance[Item Name],$A178,tblLotBalance[Lot Balance],"&gt;0"))</f>
        <v/>
      </c>
      <c r="M178" s="24" t="str">
        <f>IF($A178="","",IF($L178=0,"",IFERROR(_xlfn.MINIFS(tblLotBalance[Expiry Date],tblLotBalance[Item Name],$A178,tblLotBalance[Lot Balance],"&gt;0"),"")))</f>
        <v/>
      </c>
      <c r="N178" s="26" t="str">
        <f t="shared" ca="1" si="8"/>
        <v/>
      </c>
      <c r="O178" s="18" t="str" cm="1">
        <f t="array" ref="O178">IF($M178="","",IFERROR(INDEX(tblLotBalance[Lot Number],MATCH(1,INDEX((tblLotBalance[Item Name]=$A178)*(tblLotBalance[Expiry Date]=$M178)*(tblLotBalance[Lot Balance]&gt;0),0),0)),""))</f>
        <v/>
      </c>
      <c r="P178" s="28" t="str">
        <f>IF($A178="","",IF($I178&lt;0,"NEGATIVE",IF(NOT(ISNUMBER($F178)),"Set threshold",IF($I178&lt;=0,"OUT OF STOCK",IF($I178&lt;=$F178,"LOW",IF($I178&lt;=$F178*Settings!$C$7,"WATCH","OK"))))))</f>
        <v/>
      </c>
      <c r="Q178" s="29" t="str">
        <f>IF($A178="","",IF($P178="NEGATIVE","Issued more than received - add the missing receipt",IF($P178="OUT OF STOCK","Reorder immediately",IF($P178="LOW","Raise purchase order",IF($P178="Set threshold","Enter Critical Low in Items",IF(AND($N178&lt;&gt;"",$N178&lt;=0),"Quarantine expired lot",IF(AND($N178&lt;&gt;"",$N178&lt;=Settings!$C$6),"Use or rotate stock now","")))))))</f>
        <v/>
      </c>
    </row>
    <row r="179" spans="1:17" x14ac:dyDescent="0.35">
      <c r="A179" s="18" t="str">
        <f>IF(Items!$A176="","",Items!$A176)</f>
        <v/>
      </c>
      <c r="B179" s="18" t="str">
        <f>IF($A179="","",Items!$B176)</f>
        <v/>
      </c>
      <c r="C179" s="19" t="str">
        <f>IF($A179="","",Items!$G176)</f>
        <v/>
      </c>
      <c r="D179" s="20" t="str">
        <f>IF($A179="","",N(Items!$D176))</f>
        <v/>
      </c>
      <c r="E179" s="23" t="str">
        <f>IF($A179="","",Items!$E176)</f>
        <v/>
      </c>
      <c r="F179" s="23" t="str">
        <f>IF($A179="","",Items!$F176)</f>
        <v/>
      </c>
      <c r="G179" s="26" t="str">
        <f>IF($A179="","",SUMIFS(tblReceipts[Qty Received],tblReceipts[Item Name],$A179))</f>
        <v/>
      </c>
      <c r="H179" s="26" t="str">
        <f>IF($A179="","",SUMIFS(tblIssues[Qty Issued],tblIssues[Item Name],$A179))</f>
        <v/>
      </c>
      <c r="I179" s="27" t="str">
        <f t="shared" si="6"/>
        <v/>
      </c>
      <c r="J179" s="21" t="str">
        <f t="shared" si="7"/>
        <v/>
      </c>
      <c r="K179" s="26" t="str">
        <f>IF($A179="","",COUNTIFS(tblReceipts[Item Name],$A179))</f>
        <v/>
      </c>
      <c r="L179" s="26" t="str">
        <f>IF($A179="","",COUNTIFS(tblLotBalance[Item Name],$A179,tblLotBalance[Lot Balance],"&gt;0"))</f>
        <v/>
      </c>
      <c r="M179" s="24" t="str">
        <f>IF($A179="","",IF($L179=0,"",IFERROR(_xlfn.MINIFS(tblLotBalance[Expiry Date],tblLotBalance[Item Name],$A179,tblLotBalance[Lot Balance],"&gt;0"),"")))</f>
        <v/>
      </c>
      <c r="N179" s="26" t="str">
        <f t="shared" ca="1" si="8"/>
        <v/>
      </c>
      <c r="O179" s="18" t="str" cm="1">
        <f t="array" ref="O179">IF($M179="","",IFERROR(INDEX(tblLotBalance[Lot Number],MATCH(1,INDEX((tblLotBalance[Item Name]=$A179)*(tblLotBalance[Expiry Date]=$M179)*(tblLotBalance[Lot Balance]&gt;0),0),0)),""))</f>
        <v/>
      </c>
      <c r="P179" s="28" t="str">
        <f>IF($A179="","",IF($I179&lt;0,"NEGATIVE",IF(NOT(ISNUMBER($F179)),"Set threshold",IF($I179&lt;=0,"OUT OF STOCK",IF($I179&lt;=$F179,"LOW",IF($I179&lt;=$F179*Settings!$C$7,"WATCH","OK"))))))</f>
        <v/>
      </c>
      <c r="Q179" s="29" t="str">
        <f>IF($A179="","",IF($P179="NEGATIVE","Issued more than received - add the missing receipt",IF($P179="OUT OF STOCK","Reorder immediately",IF($P179="LOW","Raise purchase order",IF($P179="Set threshold","Enter Critical Low in Items",IF(AND($N179&lt;&gt;"",$N179&lt;=0),"Quarantine expired lot",IF(AND($N179&lt;&gt;"",$N179&lt;=Settings!$C$6),"Use or rotate stock now","")))))))</f>
        <v/>
      </c>
    </row>
    <row r="180" spans="1:17" x14ac:dyDescent="0.35">
      <c r="A180" s="18" t="str">
        <f>IF(Items!$A177="","",Items!$A177)</f>
        <v/>
      </c>
      <c r="B180" s="18" t="str">
        <f>IF($A180="","",Items!$B177)</f>
        <v/>
      </c>
      <c r="C180" s="19" t="str">
        <f>IF($A180="","",Items!$G177)</f>
        <v/>
      </c>
      <c r="D180" s="20" t="str">
        <f>IF($A180="","",N(Items!$D177))</f>
        <v/>
      </c>
      <c r="E180" s="23" t="str">
        <f>IF($A180="","",Items!$E177)</f>
        <v/>
      </c>
      <c r="F180" s="23" t="str">
        <f>IF($A180="","",Items!$F177)</f>
        <v/>
      </c>
      <c r="G180" s="26" t="str">
        <f>IF($A180="","",SUMIFS(tblReceipts[Qty Received],tblReceipts[Item Name],$A180))</f>
        <v/>
      </c>
      <c r="H180" s="26" t="str">
        <f>IF($A180="","",SUMIFS(tblIssues[Qty Issued],tblIssues[Item Name],$A180))</f>
        <v/>
      </c>
      <c r="I180" s="27" t="str">
        <f t="shared" si="6"/>
        <v/>
      </c>
      <c r="J180" s="21" t="str">
        <f t="shared" si="7"/>
        <v/>
      </c>
      <c r="K180" s="26" t="str">
        <f>IF($A180="","",COUNTIFS(tblReceipts[Item Name],$A180))</f>
        <v/>
      </c>
      <c r="L180" s="26" t="str">
        <f>IF($A180="","",COUNTIFS(tblLotBalance[Item Name],$A180,tblLotBalance[Lot Balance],"&gt;0"))</f>
        <v/>
      </c>
      <c r="M180" s="24" t="str">
        <f>IF($A180="","",IF($L180=0,"",IFERROR(_xlfn.MINIFS(tblLotBalance[Expiry Date],tblLotBalance[Item Name],$A180,tblLotBalance[Lot Balance],"&gt;0"),"")))</f>
        <v/>
      </c>
      <c r="N180" s="26" t="str">
        <f t="shared" ca="1" si="8"/>
        <v/>
      </c>
      <c r="O180" s="18" t="str" cm="1">
        <f t="array" ref="O180">IF($M180="","",IFERROR(INDEX(tblLotBalance[Lot Number],MATCH(1,INDEX((tblLotBalance[Item Name]=$A180)*(tblLotBalance[Expiry Date]=$M180)*(tblLotBalance[Lot Balance]&gt;0),0),0)),""))</f>
        <v/>
      </c>
      <c r="P180" s="28" t="str">
        <f>IF($A180="","",IF($I180&lt;0,"NEGATIVE",IF(NOT(ISNUMBER($F180)),"Set threshold",IF($I180&lt;=0,"OUT OF STOCK",IF($I180&lt;=$F180,"LOW",IF($I180&lt;=$F180*Settings!$C$7,"WATCH","OK"))))))</f>
        <v/>
      </c>
      <c r="Q180" s="29" t="str">
        <f>IF($A180="","",IF($P180="NEGATIVE","Issued more than received - add the missing receipt",IF($P180="OUT OF STOCK","Reorder immediately",IF($P180="LOW","Raise purchase order",IF($P180="Set threshold","Enter Critical Low in Items",IF(AND($N180&lt;&gt;"",$N180&lt;=0),"Quarantine expired lot",IF(AND($N180&lt;&gt;"",$N180&lt;=Settings!$C$6),"Use or rotate stock now","")))))))</f>
        <v/>
      </c>
    </row>
    <row r="181" spans="1:17" x14ac:dyDescent="0.35">
      <c r="A181" s="18" t="str">
        <f>IF(Items!$A178="","",Items!$A178)</f>
        <v/>
      </c>
      <c r="B181" s="18" t="str">
        <f>IF($A181="","",Items!$B178)</f>
        <v/>
      </c>
      <c r="C181" s="19" t="str">
        <f>IF($A181="","",Items!$G178)</f>
        <v/>
      </c>
      <c r="D181" s="20" t="str">
        <f>IF($A181="","",N(Items!$D178))</f>
        <v/>
      </c>
      <c r="E181" s="23" t="str">
        <f>IF($A181="","",Items!$E178)</f>
        <v/>
      </c>
      <c r="F181" s="23" t="str">
        <f>IF($A181="","",Items!$F178)</f>
        <v/>
      </c>
      <c r="G181" s="26" t="str">
        <f>IF($A181="","",SUMIFS(tblReceipts[Qty Received],tblReceipts[Item Name],$A181))</f>
        <v/>
      </c>
      <c r="H181" s="26" t="str">
        <f>IF($A181="","",SUMIFS(tblIssues[Qty Issued],tblIssues[Item Name],$A181))</f>
        <v/>
      </c>
      <c r="I181" s="27" t="str">
        <f t="shared" si="6"/>
        <v/>
      </c>
      <c r="J181" s="21" t="str">
        <f t="shared" si="7"/>
        <v/>
      </c>
      <c r="K181" s="26" t="str">
        <f>IF($A181="","",COUNTIFS(tblReceipts[Item Name],$A181))</f>
        <v/>
      </c>
      <c r="L181" s="26" t="str">
        <f>IF($A181="","",COUNTIFS(tblLotBalance[Item Name],$A181,tblLotBalance[Lot Balance],"&gt;0"))</f>
        <v/>
      </c>
      <c r="M181" s="24" t="str">
        <f>IF($A181="","",IF($L181=0,"",IFERROR(_xlfn.MINIFS(tblLotBalance[Expiry Date],tblLotBalance[Item Name],$A181,tblLotBalance[Lot Balance],"&gt;0"),"")))</f>
        <v/>
      </c>
      <c r="N181" s="26" t="str">
        <f t="shared" ca="1" si="8"/>
        <v/>
      </c>
      <c r="O181" s="18" t="str" cm="1">
        <f t="array" ref="O181">IF($M181="","",IFERROR(INDEX(tblLotBalance[Lot Number],MATCH(1,INDEX((tblLotBalance[Item Name]=$A181)*(tblLotBalance[Expiry Date]=$M181)*(tblLotBalance[Lot Balance]&gt;0),0),0)),""))</f>
        <v/>
      </c>
      <c r="P181" s="28" t="str">
        <f>IF($A181="","",IF($I181&lt;0,"NEGATIVE",IF(NOT(ISNUMBER($F181)),"Set threshold",IF($I181&lt;=0,"OUT OF STOCK",IF($I181&lt;=$F181,"LOW",IF($I181&lt;=$F181*Settings!$C$7,"WATCH","OK"))))))</f>
        <v/>
      </c>
      <c r="Q181" s="29" t="str">
        <f>IF($A181="","",IF($P181="NEGATIVE","Issued more than received - add the missing receipt",IF($P181="OUT OF STOCK","Reorder immediately",IF($P181="LOW","Raise purchase order",IF($P181="Set threshold","Enter Critical Low in Items",IF(AND($N181&lt;&gt;"",$N181&lt;=0),"Quarantine expired lot",IF(AND($N181&lt;&gt;"",$N181&lt;=Settings!$C$6),"Use or rotate stock now","")))))))</f>
        <v/>
      </c>
    </row>
    <row r="182" spans="1:17" x14ac:dyDescent="0.35">
      <c r="A182" s="18" t="str">
        <f>IF(Items!$A179="","",Items!$A179)</f>
        <v/>
      </c>
      <c r="B182" s="18" t="str">
        <f>IF($A182="","",Items!$B179)</f>
        <v/>
      </c>
      <c r="C182" s="19" t="str">
        <f>IF($A182="","",Items!$G179)</f>
        <v/>
      </c>
      <c r="D182" s="20" t="str">
        <f>IF($A182="","",N(Items!$D179))</f>
        <v/>
      </c>
      <c r="E182" s="23" t="str">
        <f>IF($A182="","",Items!$E179)</f>
        <v/>
      </c>
      <c r="F182" s="23" t="str">
        <f>IF($A182="","",Items!$F179)</f>
        <v/>
      </c>
      <c r="G182" s="26" t="str">
        <f>IF($A182="","",SUMIFS(tblReceipts[Qty Received],tblReceipts[Item Name],$A182))</f>
        <v/>
      </c>
      <c r="H182" s="26" t="str">
        <f>IF($A182="","",SUMIFS(tblIssues[Qty Issued],tblIssues[Item Name],$A182))</f>
        <v/>
      </c>
      <c r="I182" s="27" t="str">
        <f t="shared" si="6"/>
        <v/>
      </c>
      <c r="J182" s="21" t="str">
        <f t="shared" si="7"/>
        <v/>
      </c>
      <c r="K182" s="26" t="str">
        <f>IF($A182="","",COUNTIFS(tblReceipts[Item Name],$A182))</f>
        <v/>
      </c>
      <c r="L182" s="26" t="str">
        <f>IF($A182="","",COUNTIFS(tblLotBalance[Item Name],$A182,tblLotBalance[Lot Balance],"&gt;0"))</f>
        <v/>
      </c>
      <c r="M182" s="24" t="str">
        <f>IF($A182="","",IF($L182=0,"",IFERROR(_xlfn.MINIFS(tblLotBalance[Expiry Date],tblLotBalance[Item Name],$A182,tblLotBalance[Lot Balance],"&gt;0"),"")))</f>
        <v/>
      </c>
      <c r="N182" s="26" t="str">
        <f t="shared" ca="1" si="8"/>
        <v/>
      </c>
      <c r="O182" s="18" t="str" cm="1">
        <f t="array" ref="O182">IF($M182="","",IFERROR(INDEX(tblLotBalance[Lot Number],MATCH(1,INDEX((tblLotBalance[Item Name]=$A182)*(tblLotBalance[Expiry Date]=$M182)*(tblLotBalance[Lot Balance]&gt;0),0),0)),""))</f>
        <v/>
      </c>
      <c r="P182" s="28" t="str">
        <f>IF($A182="","",IF($I182&lt;0,"NEGATIVE",IF(NOT(ISNUMBER($F182)),"Set threshold",IF($I182&lt;=0,"OUT OF STOCK",IF($I182&lt;=$F182,"LOW",IF($I182&lt;=$F182*Settings!$C$7,"WATCH","OK"))))))</f>
        <v/>
      </c>
      <c r="Q182" s="29" t="str">
        <f>IF($A182="","",IF($P182="NEGATIVE","Issued more than received - add the missing receipt",IF($P182="OUT OF STOCK","Reorder immediately",IF($P182="LOW","Raise purchase order",IF($P182="Set threshold","Enter Critical Low in Items",IF(AND($N182&lt;&gt;"",$N182&lt;=0),"Quarantine expired lot",IF(AND($N182&lt;&gt;"",$N182&lt;=Settings!$C$6),"Use or rotate stock now","")))))))</f>
        <v/>
      </c>
    </row>
    <row r="183" spans="1:17" x14ac:dyDescent="0.35">
      <c r="A183" s="18" t="str">
        <f>IF(Items!$A180="","",Items!$A180)</f>
        <v/>
      </c>
      <c r="B183" s="18" t="str">
        <f>IF($A183="","",Items!$B180)</f>
        <v/>
      </c>
      <c r="C183" s="19" t="str">
        <f>IF($A183="","",Items!$G180)</f>
        <v/>
      </c>
      <c r="D183" s="20" t="str">
        <f>IF($A183="","",N(Items!$D180))</f>
        <v/>
      </c>
      <c r="E183" s="23" t="str">
        <f>IF($A183="","",Items!$E180)</f>
        <v/>
      </c>
      <c r="F183" s="23" t="str">
        <f>IF($A183="","",Items!$F180)</f>
        <v/>
      </c>
      <c r="G183" s="26" t="str">
        <f>IF($A183="","",SUMIFS(tblReceipts[Qty Received],tblReceipts[Item Name],$A183))</f>
        <v/>
      </c>
      <c r="H183" s="26" t="str">
        <f>IF($A183="","",SUMIFS(tblIssues[Qty Issued],tblIssues[Item Name],$A183))</f>
        <v/>
      </c>
      <c r="I183" s="27" t="str">
        <f t="shared" si="6"/>
        <v/>
      </c>
      <c r="J183" s="21" t="str">
        <f t="shared" si="7"/>
        <v/>
      </c>
      <c r="K183" s="26" t="str">
        <f>IF($A183="","",COUNTIFS(tblReceipts[Item Name],$A183))</f>
        <v/>
      </c>
      <c r="L183" s="26" t="str">
        <f>IF($A183="","",COUNTIFS(tblLotBalance[Item Name],$A183,tblLotBalance[Lot Balance],"&gt;0"))</f>
        <v/>
      </c>
      <c r="M183" s="24" t="str">
        <f>IF($A183="","",IF($L183=0,"",IFERROR(_xlfn.MINIFS(tblLotBalance[Expiry Date],tblLotBalance[Item Name],$A183,tblLotBalance[Lot Balance],"&gt;0"),"")))</f>
        <v/>
      </c>
      <c r="N183" s="26" t="str">
        <f t="shared" ca="1" si="8"/>
        <v/>
      </c>
      <c r="O183" s="18" t="str" cm="1">
        <f t="array" ref="O183">IF($M183="","",IFERROR(INDEX(tblLotBalance[Lot Number],MATCH(1,INDEX((tblLotBalance[Item Name]=$A183)*(tblLotBalance[Expiry Date]=$M183)*(tblLotBalance[Lot Balance]&gt;0),0),0)),""))</f>
        <v/>
      </c>
      <c r="P183" s="28" t="str">
        <f>IF($A183="","",IF($I183&lt;0,"NEGATIVE",IF(NOT(ISNUMBER($F183)),"Set threshold",IF($I183&lt;=0,"OUT OF STOCK",IF($I183&lt;=$F183,"LOW",IF($I183&lt;=$F183*Settings!$C$7,"WATCH","OK"))))))</f>
        <v/>
      </c>
      <c r="Q183" s="29" t="str">
        <f>IF($A183="","",IF($P183="NEGATIVE","Issued more than received - add the missing receipt",IF($P183="OUT OF STOCK","Reorder immediately",IF($P183="LOW","Raise purchase order",IF($P183="Set threshold","Enter Critical Low in Items",IF(AND($N183&lt;&gt;"",$N183&lt;=0),"Quarantine expired lot",IF(AND($N183&lt;&gt;"",$N183&lt;=Settings!$C$6),"Use or rotate stock now","")))))))</f>
        <v/>
      </c>
    </row>
    <row r="184" spans="1:17" x14ac:dyDescent="0.35">
      <c r="A184" s="18" t="str">
        <f>IF(Items!$A181="","",Items!$A181)</f>
        <v/>
      </c>
      <c r="B184" s="18" t="str">
        <f>IF($A184="","",Items!$B181)</f>
        <v/>
      </c>
      <c r="C184" s="19" t="str">
        <f>IF($A184="","",Items!$G181)</f>
        <v/>
      </c>
      <c r="D184" s="20" t="str">
        <f>IF($A184="","",N(Items!$D181))</f>
        <v/>
      </c>
      <c r="E184" s="23" t="str">
        <f>IF($A184="","",Items!$E181)</f>
        <v/>
      </c>
      <c r="F184" s="23" t="str">
        <f>IF($A184="","",Items!$F181)</f>
        <v/>
      </c>
      <c r="G184" s="26" t="str">
        <f>IF($A184="","",SUMIFS(tblReceipts[Qty Received],tblReceipts[Item Name],$A184))</f>
        <v/>
      </c>
      <c r="H184" s="26" t="str">
        <f>IF($A184="","",SUMIFS(tblIssues[Qty Issued],tblIssues[Item Name],$A184))</f>
        <v/>
      </c>
      <c r="I184" s="27" t="str">
        <f t="shared" si="6"/>
        <v/>
      </c>
      <c r="J184" s="21" t="str">
        <f t="shared" si="7"/>
        <v/>
      </c>
      <c r="K184" s="26" t="str">
        <f>IF($A184="","",COUNTIFS(tblReceipts[Item Name],$A184))</f>
        <v/>
      </c>
      <c r="L184" s="26" t="str">
        <f>IF($A184="","",COUNTIFS(tblLotBalance[Item Name],$A184,tblLotBalance[Lot Balance],"&gt;0"))</f>
        <v/>
      </c>
      <c r="M184" s="24" t="str">
        <f>IF($A184="","",IF($L184=0,"",IFERROR(_xlfn.MINIFS(tblLotBalance[Expiry Date],tblLotBalance[Item Name],$A184,tblLotBalance[Lot Balance],"&gt;0"),"")))</f>
        <v/>
      </c>
      <c r="N184" s="26" t="str">
        <f t="shared" ca="1" si="8"/>
        <v/>
      </c>
      <c r="O184" s="18" t="str" cm="1">
        <f t="array" ref="O184">IF($M184="","",IFERROR(INDEX(tblLotBalance[Lot Number],MATCH(1,INDEX((tblLotBalance[Item Name]=$A184)*(tblLotBalance[Expiry Date]=$M184)*(tblLotBalance[Lot Balance]&gt;0),0),0)),""))</f>
        <v/>
      </c>
      <c r="P184" s="28" t="str">
        <f>IF($A184="","",IF($I184&lt;0,"NEGATIVE",IF(NOT(ISNUMBER($F184)),"Set threshold",IF($I184&lt;=0,"OUT OF STOCK",IF($I184&lt;=$F184,"LOW",IF($I184&lt;=$F184*Settings!$C$7,"WATCH","OK"))))))</f>
        <v/>
      </c>
      <c r="Q184" s="29" t="str">
        <f>IF($A184="","",IF($P184="NEGATIVE","Issued more than received - add the missing receipt",IF($P184="OUT OF STOCK","Reorder immediately",IF($P184="LOW","Raise purchase order",IF($P184="Set threshold","Enter Critical Low in Items",IF(AND($N184&lt;&gt;"",$N184&lt;=0),"Quarantine expired lot",IF(AND($N184&lt;&gt;"",$N184&lt;=Settings!$C$6),"Use or rotate stock now","")))))))</f>
        <v/>
      </c>
    </row>
    <row r="185" spans="1:17" x14ac:dyDescent="0.35">
      <c r="A185" s="18" t="str">
        <f>IF(Items!$A182="","",Items!$A182)</f>
        <v/>
      </c>
      <c r="B185" s="18" t="str">
        <f>IF($A185="","",Items!$B182)</f>
        <v/>
      </c>
      <c r="C185" s="19" t="str">
        <f>IF($A185="","",Items!$G182)</f>
        <v/>
      </c>
      <c r="D185" s="20" t="str">
        <f>IF($A185="","",N(Items!$D182))</f>
        <v/>
      </c>
      <c r="E185" s="23" t="str">
        <f>IF($A185="","",Items!$E182)</f>
        <v/>
      </c>
      <c r="F185" s="23" t="str">
        <f>IF($A185="","",Items!$F182)</f>
        <v/>
      </c>
      <c r="G185" s="26" t="str">
        <f>IF($A185="","",SUMIFS(tblReceipts[Qty Received],tblReceipts[Item Name],$A185))</f>
        <v/>
      </c>
      <c r="H185" s="26" t="str">
        <f>IF($A185="","",SUMIFS(tblIssues[Qty Issued],tblIssues[Item Name],$A185))</f>
        <v/>
      </c>
      <c r="I185" s="27" t="str">
        <f t="shared" si="6"/>
        <v/>
      </c>
      <c r="J185" s="21" t="str">
        <f t="shared" si="7"/>
        <v/>
      </c>
      <c r="K185" s="26" t="str">
        <f>IF($A185="","",COUNTIFS(tblReceipts[Item Name],$A185))</f>
        <v/>
      </c>
      <c r="L185" s="26" t="str">
        <f>IF($A185="","",COUNTIFS(tblLotBalance[Item Name],$A185,tblLotBalance[Lot Balance],"&gt;0"))</f>
        <v/>
      </c>
      <c r="M185" s="24" t="str">
        <f>IF($A185="","",IF($L185=0,"",IFERROR(_xlfn.MINIFS(tblLotBalance[Expiry Date],tblLotBalance[Item Name],$A185,tblLotBalance[Lot Balance],"&gt;0"),"")))</f>
        <v/>
      </c>
      <c r="N185" s="26" t="str">
        <f t="shared" ca="1" si="8"/>
        <v/>
      </c>
      <c r="O185" s="18" t="str" cm="1">
        <f t="array" ref="O185">IF($M185="","",IFERROR(INDEX(tblLotBalance[Lot Number],MATCH(1,INDEX((tblLotBalance[Item Name]=$A185)*(tblLotBalance[Expiry Date]=$M185)*(tblLotBalance[Lot Balance]&gt;0),0),0)),""))</f>
        <v/>
      </c>
      <c r="P185" s="28" t="str">
        <f>IF($A185="","",IF($I185&lt;0,"NEGATIVE",IF(NOT(ISNUMBER($F185)),"Set threshold",IF($I185&lt;=0,"OUT OF STOCK",IF($I185&lt;=$F185,"LOW",IF($I185&lt;=$F185*Settings!$C$7,"WATCH","OK"))))))</f>
        <v/>
      </c>
      <c r="Q185" s="29" t="str">
        <f>IF($A185="","",IF($P185="NEGATIVE","Issued more than received - add the missing receipt",IF($P185="OUT OF STOCK","Reorder immediately",IF($P185="LOW","Raise purchase order",IF($P185="Set threshold","Enter Critical Low in Items",IF(AND($N185&lt;&gt;"",$N185&lt;=0),"Quarantine expired lot",IF(AND($N185&lt;&gt;"",$N185&lt;=Settings!$C$6),"Use or rotate stock now","")))))))</f>
        <v/>
      </c>
    </row>
    <row r="186" spans="1:17" x14ac:dyDescent="0.35">
      <c r="A186" s="18" t="str">
        <f>IF(Items!$A183="","",Items!$A183)</f>
        <v/>
      </c>
      <c r="B186" s="18" t="str">
        <f>IF($A186="","",Items!$B183)</f>
        <v/>
      </c>
      <c r="C186" s="19" t="str">
        <f>IF($A186="","",Items!$G183)</f>
        <v/>
      </c>
      <c r="D186" s="20" t="str">
        <f>IF($A186="","",N(Items!$D183))</f>
        <v/>
      </c>
      <c r="E186" s="23" t="str">
        <f>IF($A186="","",Items!$E183)</f>
        <v/>
      </c>
      <c r="F186" s="23" t="str">
        <f>IF($A186="","",Items!$F183)</f>
        <v/>
      </c>
      <c r="G186" s="26" t="str">
        <f>IF($A186="","",SUMIFS(tblReceipts[Qty Received],tblReceipts[Item Name],$A186))</f>
        <v/>
      </c>
      <c r="H186" s="26" t="str">
        <f>IF($A186="","",SUMIFS(tblIssues[Qty Issued],tblIssues[Item Name],$A186))</f>
        <v/>
      </c>
      <c r="I186" s="27" t="str">
        <f t="shared" si="6"/>
        <v/>
      </c>
      <c r="J186" s="21" t="str">
        <f t="shared" si="7"/>
        <v/>
      </c>
      <c r="K186" s="26" t="str">
        <f>IF($A186="","",COUNTIFS(tblReceipts[Item Name],$A186))</f>
        <v/>
      </c>
      <c r="L186" s="26" t="str">
        <f>IF($A186="","",COUNTIFS(tblLotBalance[Item Name],$A186,tblLotBalance[Lot Balance],"&gt;0"))</f>
        <v/>
      </c>
      <c r="M186" s="24" t="str">
        <f>IF($A186="","",IF($L186=0,"",IFERROR(_xlfn.MINIFS(tblLotBalance[Expiry Date],tblLotBalance[Item Name],$A186,tblLotBalance[Lot Balance],"&gt;0"),"")))</f>
        <v/>
      </c>
      <c r="N186" s="26" t="str">
        <f t="shared" ca="1" si="8"/>
        <v/>
      </c>
      <c r="O186" s="18" t="str" cm="1">
        <f t="array" ref="O186">IF($M186="","",IFERROR(INDEX(tblLotBalance[Lot Number],MATCH(1,INDEX((tblLotBalance[Item Name]=$A186)*(tblLotBalance[Expiry Date]=$M186)*(tblLotBalance[Lot Balance]&gt;0),0),0)),""))</f>
        <v/>
      </c>
      <c r="P186" s="28" t="str">
        <f>IF($A186="","",IF($I186&lt;0,"NEGATIVE",IF(NOT(ISNUMBER($F186)),"Set threshold",IF($I186&lt;=0,"OUT OF STOCK",IF($I186&lt;=$F186,"LOW",IF($I186&lt;=$F186*Settings!$C$7,"WATCH","OK"))))))</f>
        <v/>
      </c>
      <c r="Q186" s="29" t="str">
        <f>IF($A186="","",IF($P186="NEGATIVE","Issued more than received - add the missing receipt",IF($P186="OUT OF STOCK","Reorder immediately",IF($P186="LOW","Raise purchase order",IF($P186="Set threshold","Enter Critical Low in Items",IF(AND($N186&lt;&gt;"",$N186&lt;=0),"Quarantine expired lot",IF(AND($N186&lt;&gt;"",$N186&lt;=Settings!$C$6),"Use or rotate stock now","")))))))</f>
        <v/>
      </c>
    </row>
    <row r="187" spans="1:17" x14ac:dyDescent="0.35">
      <c r="A187" s="18" t="str">
        <f>IF(Items!$A184="","",Items!$A184)</f>
        <v/>
      </c>
      <c r="B187" s="18" t="str">
        <f>IF($A187="","",Items!$B184)</f>
        <v/>
      </c>
      <c r="C187" s="19" t="str">
        <f>IF($A187="","",Items!$G184)</f>
        <v/>
      </c>
      <c r="D187" s="20" t="str">
        <f>IF($A187="","",N(Items!$D184))</f>
        <v/>
      </c>
      <c r="E187" s="23" t="str">
        <f>IF($A187="","",Items!$E184)</f>
        <v/>
      </c>
      <c r="F187" s="23" t="str">
        <f>IF($A187="","",Items!$F184)</f>
        <v/>
      </c>
      <c r="G187" s="26" t="str">
        <f>IF($A187="","",SUMIFS(tblReceipts[Qty Received],tblReceipts[Item Name],$A187))</f>
        <v/>
      </c>
      <c r="H187" s="26" t="str">
        <f>IF($A187="","",SUMIFS(tblIssues[Qty Issued],tblIssues[Item Name],$A187))</f>
        <v/>
      </c>
      <c r="I187" s="27" t="str">
        <f t="shared" si="6"/>
        <v/>
      </c>
      <c r="J187" s="21" t="str">
        <f t="shared" si="7"/>
        <v/>
      </c>
      <c r="K187" s="26" t="str">
        <f>IF($A187="","",COUNTIFS(tblReceipts[Item Name],$A187))</f>
        <v/>
      </c>
      <c r="L187" s="26" t="str">
        <f>IF($A187="","",COUNTIFS(tblLotBalance[Item Name],$A187,tblLotBalance[Lot Balance],"&gt;0"))</f>
        <v/>
      </c>
      <c r="M187" s="24" t="str">
        <f>IF($A187="","",IF($L187=0,"",IFERROR(_xlfn.MINIFS(tblLotBalance[Expiry Date],tblLotBalance[Item Name],$A187,tblLotBalance[Lot Balance],"&gt;0"),"")))</f>
        <v/>
      </c>
      <c r="N187" s="26" t="str">
        <f t="shared" ca="1" si="8"/>
        <v/>
      </c>
      <c r="O187" s="18" t="str" cm="1">
        <f t="array" ref="O187">IF($M187="","",IFERROR(INDEX(tblLotBalance[Lot Number],MATCH(1,INDEX((tblLotBalance[Item Name]=$A187)*(tblLotBalance[Expiry Date]=$M187)*(tblLotBalance[Lot Balance]&gt;0),0),0)),""))</f>
        <v/>
      </c>
      <c r="P187" s="28" t="str">
        <f>IF($A187="","",IF($I187&lt;0,"NEGATIVE",IF(NOT(ISNUMBER($F187)),"Set threshold",IF($I187&lt;=0,"OUT OF STOCK",IF($I187&lt;=$F187,"LOW",IF($I187&lt;=$F187*Settings!$C$7,"WATCH","OK"))))))</f>
        <v/>
      </c>
      <c r="Q187" s="29" t="str">
        <f>IF($A187="","",IF($P187="NEGATIVE","Issued more than received - add the missing receipt",IF($P187="OUT OF STOCK","Reorder immediately",IF($P187="LOW","Raise purchase order",IF($P187="Set threshold","Enter Critical Low in Items",IF(AND($N187&lt;&gt;"",$N187&lt;=0),"Quarantine expired lot",IF(AND($N187&lt;&gt;"",$N187&lt;=Settings!$C$6),"Use or rotate stock now","")))))))</f>
        <v/>
      </c>
    </row>
    <row r="188" spans="1:17" x14ac:dyDescent="0.35">
      <c r="A188" s="18" t="str">
        <f>IF(Items!$A185="","",Items!$A185)</f>
        <v/>
      </c>
      <c r="B188" s="18" t="str">
        <f>IF($A188="","",Items!$B185)</f>
        <v/>
      </c>
      <c r="C188" s="19" t="str">
        <f>IF($A188="","",Items!$G185)</f>
        <v/>
      </c>
      <c r="D188" s="20" t="str">
        <f>IF($A188="","",N(Items!$D185))</f>
        <v/>
      </c>
      <c r="E188" s="23" t="str">
        <f>IF($A188="","",Items!$E185)</f>
        <v/>
      </c>
      <c r="F188" s="23" t="str">
        <f>IF($A188="","",Items!$F185)</f>
        <v/>
      </c>
      <c r="G188" s="26" t="str">
        <f>IF($A188="","",SUMIFS(tblReceipts[Qty Received],tblReceipts[Item Name],$A188))</f>
        <v/>
      </c>
      <c r="H188" s="26" t="str">
        <f>IF($A188="","",SUMIFS(tblIssues[Qty Issued],tblIssues[Item Name],$A188))</f>
        <v/>
      </c>
      <c r="I188" s="27" t="str">
        <f t="shared" si="6"/>
        <v/>
      </c>
      <c r="J188" s="21" t="str">
        <f t="shared" si="7"/>
        <v/>
      </c>
      <c r="K188" s="26" t="str">
        <f>IF($A188="","",COUNTIFS(tblReceipts[Item Name],$A188))</f>
        <v/>
      </c>
      <c r="L188" s="26" t="str">
        <f>IF($A188="","",COUNTIFS(tblLotBalance[Item Name],$A188,tblLotBalance[Lot Balance],"&gt;0"))</f>
        <v/>
      </c>
      <c r="M188" s="24" t="str">
        <f>IF($A188="","",IF($L188=0,"",IFERROR(_xlfn.MINIFS(tblLotBalance[Expiry Date],tblLotBalance[Item Name],$A188,tblLotBalance[Lot Balance],"&gt;0"),"")))</f>
        <v/>
      </c>
      <c r="N188" s="26" t="str">
        <f t="shared" ca="1" si="8"/>
        <v/>
      </c>
      <c r="O188" s="18" t="str" cm="1">
        <f t="array" ref="O188">IF($M188="","",IFERROR(INDEX(tblLotBalance[Lot Number],MATCH(1,INDEX((tblLotBalance[Item Name]=$A188)*(tblLotBalance[Expiry Date]=$M188)*(tblLotBalance[Lot Balance]&gt;0),0),0)),""))</f>
        <v/>
      </c>
      <c r="P188" s="28" t="str">
        <f>IF($A188="","",IF($I188&lt;0,"NEGATIVE",IF(NOT(ISNUMBER($F188)),"Set threshold",IF($I188&lt;=0,"OUT OF STOCK",IF($I188&lt;=$F188,"LOW",IF($I188&lt;=$F188*Settings!$C$7,"WATCH","OK"))))))</f>
        <v/>
      </c>
      <c r="Q188" s="29" t="str">
        <f>IF($A188="","",IF($P188="NEGATIVE","Issued more than received - add the missing receipt",IF($P188="OUT OF STOCK","Reorder immediately",IF($P188="LOW","Raise purchase order",IF($P188="Set threshold","Enter Critical Low in Items",IF(AND($N188&lt;&gt;"",$N188&lt;=0),"Quarantine expired lot",IF(AND($N188&lt;&gt;"",$N188&lt;=Settings!$C$6),"Use or rotate stock now","")))))))</f>
        <v/>
      </c>
    </row>
    <row r="189" spans="1:17" x14ac:dyDescent="0.35">
      <c r="A189" s="18" t="str">
        <f>IF(Items!$A186="","",Items!$A186)</f>
        <v/>
      </c>
      <c r="B189" s="18" t="str">
        <f>IF($A189="","",Items!$B186)</f>
        <v/>
      </c>
      <c r="C189" s="19" t="str">
        <f>IF($A189="","",Items!$G186)</f>
        <v/>
      </c>
      <c r="D189" s="20" t="str">
        <f>IF($A189="","",N(Items!$D186))</f>
        <v/>
      </c>
      <c r="E189" s="23" t="str">
        <f>IF($A189="","",Items!$E186)</f>
        <v/>
      </c>
      <c r="F189" s="23" t="str">
        <f>IF($A189="","",Items!$F186)</f>
        <v/>
      </c>
      <c r="G189" s="26" t="str">
        <f>IF($A189="","",SUMIFS(tblReceipts[Qty Received],tblReceipts[Item Name],$A189))</f>
        <v/>
      </c>
      <c r="H189" s="26" t="str">
        <f>IF($A189="","",SUMIFS(tblIssues[Qty Issued],tblIssues[Item Name],$A189))</f>
        <v/>
      </c>
      <c r="I189" s="27" t="str">
        <f t="shared" si="6"/>
        <v/>
      </c>
      <c r="J189" s="21" t="str">
        <f t="shared" si="7"/>
        <v/>
      </c>
      <c r="K189" s="26" t="str">
        <f>IF($A189="","",COUNTIFS(tblReceipts[Item Name],$A189))</f>
        <v/>
      </c>
      <c r="L189" s="26" t="str">
        <f>IF($A189="","",COUNTIFS(tblLotBalance[Item Name],$A189,tblLotBalance[Lot Balance],"&gt;0"))</f>
        <v/>
      </c>
      <c r="M189" s="24" t="str">
        <f>IF($A189="","",IF($L189=0,"",IFERROR(_xlfn.MINIFS(tblLotBalance[Expiry Date],tblLotBalance[Item Name],$A189,tblLotBalance[Lot Balance],"&gt;0"),"")))</f>
        <v/>
      </c>
      <c r="N189" s="26" t="str">
        <f t="shared" ca="1" si="8"/>
        <v/>
      </c>
      <c r="O189" s="18" t="str" cm="1">
        <f t="array" ref="O189">IF($M189="","",IFERROR(INDEX(tblLotBalance[Lot Number],MATCH(1,INDEX((tblLotBalance[Item Name]=$A189)*(tblLotBalance[Expiry Date]=$M189)*(tblLotBalance[Lot Balance]&gt;0),0),0)),""))</f>
        <v/>
      </c>
      <c r="P189" s="28" t="str">
        <f>IF($A189="","",IF($I189&lt;0,"NEGATIVE",IF(NOT(ISNUMBER($F189)),"Set threshold",IF($I189&lt;=0,"OUT OF STOCK",IF($I189&lt;=$F189,"LOW",IF($I189&lt;=$F189*Settings!$C$7,"WATCH","OK"))))))</f>
        <v/>
      </c>
      <c r="Q189" s="29" t="str">
        <f>IF($A189="","",IF($P189="NEGATIVE","Issued more than received - add the missing receipt",IF($P189="OUT OF STOCK","Reorder immediately",IF($P189="LOW","Raise purchase order",IF($P189="Set threshold","Enter Critical Low in Items",IF(AND($N189&lt;&gt;"",$N189&lt;=0),"Quarantine expired lot",IF(AND($N189&lt;&gt;"",$N189&lt;=Settings!$C$6),"Use or rotate stock now","")))))))</f>
        <v/>
      </c>
    </row>
    <row r="190" spans="1:17" x14ac:dyDescent="0.35">
      <c r="A190" s="18" t="str">
        <f>IF(Items!$A187="","",Items!$A187)</f>
        <v/>
      </c>
      <c r="B190" s="18" t="str">
        <f>IF($A190="","",Items!$B187)</f>
        <v/>
      </c>
      <c r="C190" s="19" t="str">
        <f>IF($A190="","",Items!$G187)</f>
        <v/>
      </c>
      <c r="D190" s="20" t="str">
        <f>IF($A190="","",N(Items!$D187))</f>
        <v/>
      </c>
      <c r="E190" s="23" t="str">
        <f>IF($A190="","",Items!$E187)</f>
        <v/>
      </c>
      <c r="F190" s="23" t="str">
        <f>IF($A190="","",Items!$F187)</f>
        <v/>
      </c>
      <c r="G190" s="26" t="str">
        <f>IF($A190="","",SUMIFS(tblReceipts[Qty Received],tblReceipts[Item Name],$A190))</f>
        <v/>
      </c>
      <c r="H190" s="26" t="str">
        <f>IF($A190="","",SUMIFS(tblIssues[Qty Issued],tblIssues[Item Name],$A190))</f>
        <v/>
      </c>
      <c r="I190" s="27" t="str">
        <f t="shared" si="6"/>
        <v/>
      </c>
      <c r="J190" s="21" t="str">
        <f t="shared" si="7"/>
        <v/>
      </c>
      <c r="K190" s="26" t="str">
        <f>IF($A190="","",COUNTIFS(tblReceipts[Item Name],$A190))</f>
        <v/>
      </c>
      <c r="L190" s="26" t="str">
        <f>IF($A190="","",COUNTIFS(tblLotBalance[Item Name],$A190,tblLotBalance[Lot Balance],"&gt;0"))</f>
        <v/>
      </c>
      <c r="M190" s="24" t="str">
        <f>IF($A190="","",IF($L190=0,"",IFERROR(_xlfn.MINIFS(tblLotBalance[Expiry Date],tblLotBalance[Item Name],$A190,tblLotBalance[Lot Balance],"&gt;0"),"")))</f>
        <v/>
      </c>
      <c r="N190" s="26" t="str">
        <f t="shared" ca="1" si="8"/>
        <v/>
      </c>
      <c r="O190" s="18" t="str" cm="1">
        <f t="array" ref="O190">IF($M190="","",IFERROR(INDEX(tblLotBalance[Lot Number],MATCH(1,INDEX((tblLotBalance[Item Name]=$A190)*(tblLotBalance[Expiry Date]=$M190)*(tblLotBalance[Lot Balance]&gt;0),0),0)),""))</f>
        <v/>
      </c>
      <c r="P190" s="28" t="str">
        <f>IF($A190="","",IF($I190&lt;0,"NEGATIVE",IF(NOT(ISNUMBER($F190)),"Set threshold",IF($I190&lt;=0,"OUT OF STOCK",IF($I190&lt;=$F190,"LOW",IF($I190&lt;=$F190*Settings!$C$7,"WATCH","OK"))))))</f>
        <v/>
      </c>
      <c r="Q190" s="29" t="str">
        <f>IF($A190="","",IF($P190="NEGATIVE","Issued more than received - add the missing receipt",IF($P190="OUT OF STOCK","Reorder immediately",IF($P190="LOW","Raise purchase order",IF($P190="Set threshold","Enter Critical Low in Items",IF(AND($N190&lt;&gt;"",$N190&lt;=0),"Quarantine expired lot",IF(AND($N190&lt;&gt;"",$N190&lt;=Settings!$C$6),"Use or rotate stock now","")))))))</f>
        <v/>
      </c>
    </row>
    <row r="191" spans="1:17" x14ac:dyDescent="0.35">
      <c r="A191" s="18" t="str">
        <f>IF(Items!$A188="","",Items!$A188)</f>
        <v/>
      </c>
      <c r="B191" s="18" t="str">
        <f>IF($A191="","",Items!$B188)</f>
        <v/>
      </c>
      <c r="C191" s="19" t="str">
        <f>IF($A191="","",Items!$G188)</f>
        <v/>
      </c>
      <c r="D191" s="20" t="str">
        <f>IF($A191="","",N(Items!$D188))</f>
        <v/>
      </c>
      <c r="E191" s="23" t="str">
        <f>IF($A191="","",Items!$E188)</f>
        <v/>
      </c>
      <c r="F191" s="23" t="str">
        <f>IF($A191="","",Items!$F188)</f>
        <v/>
      </c>
      <c r="G191" s="26" t="str">
        <f>IF($A191="","",SUMIFS(tblReceipts[Qty Received],tblReceipts[Item Name],$A191))</f>
        <v/>
      </c>
      <c r="H191" s="26" t="str">
        <f>IF($A191="","",SUMIFS(tblIssues[Qty Issued],tblIssues[Item Name],$A191))</f>
        <v/>
      </c>
      <c r="I191" s="27" t="str">
        <f t="shared" si="6"/>
        <v/>
      </c>
      <c r="J191" s="21" t="str">
        <f t="shared" si="7"/>
        <v/>
      </c>
      <c r="K191" s="26" t="str">
        <f>IF($A191="","",COUNTIFS(tblReceipts[Item Name],$A191))</f>
        <v/>
      </c>
      <c r="L191" s="26" t="str">
        <f>IF($A191="","",COUNTIFS(tblLotBalance[Item Name],$A191,tblLotBalance[Lot Balance],"&gt;0"))</f>
        <v/>
      </c>
      <c r="M191" s="24" t="str">
        <f>IF($A191="","",IF($L191=0,"",IFERROR(_xlfn.MINIFS(tblLotBalance[Expiry Date],tblLotBalance[Item Name],$A191,tblLotBalance[Lot Balance],"&gt;0"),"")))</f>
        <v/>
      </c>
      <c r="N191" s="26" t="str">
        <f t="shared" ca="1" si="8"/>
        <v/>
      </c>
      <c r="O191" s="18" t="str" cm="1">
        <f t="array" ref="O191">IF($M191="","",IFERROR(INDEX(tblLotBalance[Lot Number],MATCH(1,INDEX((tblLotBalance[Item Name]=$A191)*(tblLotBalance[Expiry Date]=$M191)*(tblLotBalance[Lot Balance]&gt;0),0),0)),""))</f>
        <v/>
      </c>
      <c r="P191" s="28" t="str">
        <f>IF($A191="","",IF($I191&lt;0,"NEGATIVE",IF(NOT(ISNUMBER($F191)),"Set threshold",IF($I191&lt;=0,"OUT OF STOCK",IF($I191&lt;=$F191,"LOW",IF($I191&lt;=$F191*Settings!$C$7,"WATCH","OK"))))))</f>
        <v/>
      </c>
      <c r="Q191" s="29" t="str">
        <f>IF($A191="","",IF($P191="NEGATIVE","Issued more than received - add the missing receipt",IF($P191="OUT OF STOCK","Reorder immediately",IF($P191="LOW","Raise purchase order",IF($P191="Set threshold","Enter Critical Low in Items",IF(AND($N191&lt;&gt;"",$N191&lt;=0),"Quarantine expired lot",IF(AND($N191&lt;&gt;"",$N191&lt;=Settings!$C$6),"Use or rotate stock now","")))))))</f>
        <v/>
      </c>
    </row>
    <row r="192" spans="1:17" x14ac:dyDescent="0.35">
      <c r="A192" s="18" t="str">
        <f>IF(Items!$A189="","",Items!$A189)</f>
        <v/>
      </c>
      <c r="B192" s="18" t="str">
        <f>IF($A192="","",Items!$B189)</f>
        <v/>
      </c>
      <c r="C192" s="19" t="str">
        <f>IF($A192="","",Items!$G189)</f>
        <v/>
      </c>
      <c r="D192" s="20" t="str">
        <f>IF($A192="","",N(Items!$D189))</f>
        <v/>
      </c>
      <c r="E192" s="23" t="str">
        <f>IF($A192="","",Items!$E189)</f>
        <v/>
      </c>
      <c r="F192" s="23" t="str">
        <f>IF($A192="","",Items!$F189)</f>
        <v/>
      </c>
      <c r="G192" s="26" t="str">
        <f>IF($A192="","",SUMIFS(tblReceipts[Qty Received],tblReceipts[Item Name],$A192))</f>
        <v/>
      </c>
      <c r="H192" s="26" t="str">
        <f>IF($A192="","",SUMIFS(tblIssues[Qty Issued],tblIssues[Item Name],$A192))</f>
        <v/>
      </c>
      <c r="I192" s="27" t="str">
        <f t="shared" si="6"/>
        <v/>
      </c>
      <c r="J192" s="21" t="str">
        <f t="shared" si="7"/>
        <v/>
      </c>
      <c r="K192" s="26" t="str">
        <f>IF($A192="","",COUNTIFS(tblReceipts[Item Name],$A192))</f>
        <v/>
      </c>
      <c r="L192" s="26" t="str">
        <f>IF($A192="","",COUNTIFS(tblLotBalance[Item Name],$A192,tblLotBalance[Lot Balance],"&gt;0"))</f>
        <v/>
      </c>
      <c r="M192" s="24" t="str">
        <f>IF($A192="","",IF($L192=0,"",IFERROR(_xlfn.MINIFS(tblLotBalance[Expiry Date],tblLotBalance[Item Name],$A192,tblLotBalance[Lot Balance],"&gt;0"),"")))</f>
        <v/>
      </c>
      <c r="N192" s="26" t="str">
        <f t="shared" ca="1" si="8"/>
        <v/>
      </c>
      <c r="O192" s="18" t="str" cm="1">
        <f t="array" ref="O192">IF($M192="","",IFERROR(INDEX(tblLotBalance[Lot Number],MATCH(1,INDEX((tblLotBalance[Item Name]=$A192)*(tblLotBalance[Expiry Date]=$M192)*(tblLotBalance[Lot Balance]&gt;0),0),0)),""))</f>
        <v/>
      </c>
      <c r="P192" s="28" t="str">
        <f>IF($A192="","",IF($I192&lt;0,"NEGATIVE",IF(NOT(ISNUMBER($F192)),"Set threshold",IF($I192&lt;=0,"OUT OF STOCK",IF($I192&lt;=$F192,"LOW",IF($I192&lt;=$F192*Settings!$C$7,"WATCH","OK"))))))</f>
        <v/>
      </c>
      <c r="Q192" s="29" t="str">
        <f>IF($A192="","",IF($P192="NEGATIVE","Issued more than received - add the missing receipt",IF($P192="OUT OF STOCK","Reorder immediately",IF($P192="LOW","Raise purchase order",IF($P192="Set threshold","Enter Critical Low in Items",IF(AND($N192&lt;&gt;"",$N192&lt;=0),"Quarantine expired lot",IF(AND($N192&lt;&gt;"",$N192&lt;=Settings!$C$6),"Use or rotate stock now","")))))))</f>
        <v/>
      </c>
    </row>
    <row r="193" spans="1:17" x14ac:dyDescent="0.35">
      <c r="A193" s="18" t="str">
        <f>IF(Items!$A190="","",Items!$A190)</f>
        <v/>
      </c>
      <c r="B193" s="18" t="str">
        <f>IF($A193="","",Items!$B190)</f>
        <v/>
      </c>
      <c r="C193" s="19" t="str">
        <f>IF($A193="","",Items!$G190)</f>
        <v/>
      </c>
      <c r="D193" s="20" t="str">
        <f>IF($A193="","",N(Items!$D190))</f>
        <v/>
      </c>
      <c r="E193" s="23" t="str">
        <f>IF($A193="","",Items!$E190)</f>
        <v/>
      </c>
      <c r="F193" s="23" t="str">
        <f>IF($A193="","",Items!$F190)</f>
        <v/>
      </c>
      <c r="G193" s="26" t="str">
        <f>IF($A193="","",SUMIFS(tblReceipts[Qty Received],tblReceipts[Item Name],$A193))</f>
        <v/>
      </c>
      <c r="H193" s="26" t="str">
        <f>IF($A193="","",SUMIFS(tblIssues[Qty Issued],tblIssues[Item Name],$A193))</f>
        <v/>
      </c>
      <c r="I193" s="27" t="str">
        <f t="shared" si="6"/>
        <v/>
      </c>
      <c r="J193" s="21" t="str">
        <f t="shared" si="7"/>
        <v/>
      </c>
      <c r="K193" s="26" t="str">
        <f>IF($A193="","",COUNTIFS(tblReceipts[Item Name],$A193))</f>
        <v/>
      </c>
      <c r="L193" s="26" t="str">
        <f>IF($A193="","",COUNTIFS(tblLotBalance[Item Name],$A193,tblLotBalance[Lot Balance],"&gt;0"))</f>
        <v/>
      </c>
      <c r="M193" s="24" t="str">
        <f>IF($A193="","",IF($L193=0,"",IFERROR(_xlfn.MINIFS(tblLotBalance[Expiry Date],tblLotBalance[Item Name],$A193,tblLotBalance[Lot Balance],"&gt;0"),"")))</f>
        <v/>
      </c>
      <c r="N193" s="26" t="str">
        <f t="shared" ca="1" si="8"/>
        <v/>
      </c>
      <c r="O193" s="18" t="str" cm="1">
        <f t="array" ref="O193">IF($M193="","",IFERROR(INDEX(tblLotBalance[Lot Number],MATCH(1,INDEX((tblLotBalance[Item Name]=$A193)*(tblLotBalance[Expiry Date]=$M193)*(tblLotBalance[Lot Balance]&gt;0),0),0)),""))</f>
        <v/>
      </c>
      <c r="P193" s="28" t="str">
        <f>IF($A193="","",IF($I193&lt;0,"NEGATIVE",IF(NOT(ISNUMBER($F193)),"Set threshold",IF($I193&lt;=0,"OUT OF STOCK",IF($I193&lt;=$F193,"LOW",IF($I193&lt;=$F193*Settings!$C$7,"WATCH","OK"))))))</f>
        <v/>
      </c>
      <c r="Q193" s="29" t="str">
        <f>IF($A193="","",IF($P193="NEGATIVE","Issued more than received - add the missing receipt",IF($P193="OUT OF STOCK","Reorder immediately",IF($P193="LOW","Raise purchase order",IF($P193="Set threshold","Enter Critical Low in Items",IF(AND($N193&lt;&gt;"",$N193&lt;=0),"Quarantine expired lot",IF(AND($N193&lt;&gt;"",$N193&lt;=Settings!$C$6),"Use or rotate stock now","")))))))</f>
        <v/>
      </c>
    </row>
    <row r="194" spans="1:17" x14ac:dyDescent="0.35">
      <c r="A194" s="18" t="str">
        <f>IF(Items!$A191="","",Items!$A191)</f>
        <v/>
      </c>
      <c r="B194" s="18" t="str">
        <f>IF($A194="","",Items!$B191)</f>
        <v/>
      </c>
      <c r="C194" s="19" t="str">
        <f>IF($A194="","",Items!$G191)</f>
        <v/>
      </c>
      <c r="D194" s="20" t="str">
        <f>IF($A194="","",N(Items!$D191))</f>
        <v/>
      </c>
      <c r="E194" s="23" t="str">
        <f>IF($A194="","",Items!$E191)</f>
        <v/>
      </c>
      <c r="F194" s="23" t="str">
        <f>IF($A194="","",Items!$F191)</f>
        <v/>
      </c>
      <c r="G194" s="26" t="str">
        <f>IF($A194="","",SUMIFS(tblReceipts[Qty Received],tblReceipts[Item Name],$A194))</f>
        <v/>
      </c>
      <c r="H194" s="26" t="str">
        <f>IF($A194="","",SUMIFS(tblIssues[Qty Issued],tblIssues[Item Name],$A194))</f>
        <v/>
      </c>
      <c r="I194" s="27" t="str">
        <f t="shared" si="6"/>
        <v/>
      </c>
      <c r="J194" s="21" t="str">
        <f t="shared" si="7"/>
        <v/>
      </c>
      <c r="K194" s="26" t="str">
        <f>IF($A194="","",COUNTIFS(tblReceipts[Item Name],$A194))</f>
        <v/>
      </c>
      <c r="L194" s="26" t="str">
        <f>IF($A194="","",COUNTIFS(tblLotBalance[Item Name],$A194,tblLotBalance[Lot Balance],"&gt;0"))</f>
        <v/>
      </c>
      <c r="M194" s="24" t="str">
        <f>IF($A194="","",IF($L194=0,"",IFERROR(_xlfn.MINIFS(tblLotBalance[Expiry Date],tblLotBalance[Item Name],$A194,tblLotBalance[Lot Balance],"&gt;0"),"")))</f>
        <v/>
      </c>
      <c r="N194" s="26" t="str">
        <f t="shared" ca="1" si="8"/>
        <v/>
      </c>
      <c r="O194" s="18" t="str" cm="1">
        <f t="array" ref="O194">IF($M194="","",IFERROR(INDEX(tblLotBalance[Lot Number],MATCH(1,INDEX((tblLotBalance[Item Name]=$A194)*(tblLotBalance[Expiry Date]=$M194)*(tblLotBalance[Lot Balance]&gt;0),0),0)),""))</f>
        <v/>
      </c>
      <c r="P194" s="28" t="str">
        <f>IF($A194="","",IF($I194&lt;0,"NEGATIVE",IF(NOT(ISNUMBER($F194)),"Set threshold",IF($I194&lt;=0,"OUT OF STOCK",IF($I194&lt;=$F194,"LOW",IF($I194&lt;=$F194*Settings!$C$7,"WATCH","OK"))))))</f>
        <v/>
      </c>
      <c r="Q194" s="29" t="str">
        <f>IF($A194="","",IF($P194="NEGATIVE","Issued more than received - add the missing receipt",IF($P194="OUT OF STOCK","Reorder immediately",IF($P194="LOW","Raise purchase order",IF($P194="Set threshold","Enter Critical Low in Items",IF(AND($N194&lt;&gt;"",$N194&lt;=0),"Quarantine expired lot",IF(AND($N194&lt;&gt;"",$N194&lt;=Settings!$C$6),"Use or rotate stock now","")))))))</f>
        <v/>
      </c>
    </row>
    <row r="195" spans="1:17" x14ac:dyDescent="0.35">
      <c r="A195" s="18" t="str">
        <f>IF(Items!$A192="","",Items!$A192)</f>
        <v/>
      </c>
      <c r="B195" s="18" t="str">
        <f>IF($A195="","",Items!$B192)</f>
        <v/>
      </c>
      <c r="C195" s="19" t="str">
        <f>IF($A195="","",Items!$G192)</f>
        <v/>
      </c>
      <c r="D195" s="20" t="str">
        <f>IF($A195="","",N(Items!$D192))</f>
        <v/>
      </c>
      <c r="E195" s="23" t="str">
        <f>IF($A195="","",Items!$E192)</f>
        <v/>
      </c>
      <c r="F195" s="23" t="str">
        <f>IF($A195="","",Items!$F192)</f>
        <v/>
      </c>
      <c r="G195" s="26" t="str">
        <f>IF($A195="","",SUMIFS(tblReceipts[Qty Received],tblReceipts[Item Name],$A195))</f>
        <v/>
      </c>
      <c r="H195" s="26" t="str">
        <f>IF($A195="","",SUMIFS(tblIssues[Qty Issued],tblIssues[Item Name],$A195))</f>
        <v/>
      </c>
      <c r="I195" s="27" t="str">
        <f t="shared" si="6"/>
        <v/>
      </c>
      <c r="J195" s="21" t="str">
        <f t="shared" si="7"/>
        <v/>
      </c>
      <c r="K195" s="26" t="str">
        <f>IF($A195="","",COUNTIFS(tblReceipts[Item Name],$A195))</f>
        <v/>
      </c>
      <c r="L195" s="26" t="str">
        <f>IF($A195="","",COUNTIFS(tblLotBalance[Item Name],$A195,tblLotBalance[Lot Balance],"&gt;0"))</f>
        <v/>
      </c>
      <c r="M195" s="24" t="str">
        <f>IF($A195="","",IF($L195=0,"",IFERROR(_xlfn.MINIFS(tblLotBalance[Expiry Date],tblLotBalance[Item Name],$A195,tblLotBalance[Lot Balance],"&gt;0"),"")))</f>
        <v/>
      </c>
      <c r="N195" s="26" t="str">
        <f t="shared" ca="1" si="8"/>
        <v/>
      </c>
      <c r="O195" s="18" t="str" cm="1">
        <f t="array" ref="O195">IF($M195="","",IFERROR(INDEX(tblLotBalance[Lot Number],MATCH(1,INDEX((tblLotBalance[Item Name]=$A195)*(tblLotBalance[Expiry Date]=$M195)*(tblLotBalance[Lot Balance]&gt;0),0),0)),""))</f>
        <v/>
      </c>
      <c r="P195" s="28" t="str">
        <f>IF($A195="","",IF($I195&lt;0,"NEGATIVE",IF(NOT(ISNUMBER($F195)),"Set threshold",IF($I195&lt;=0,"OUT OF STOCK",IF($I195&lt;=$F195,"LOW",IF($I195&lt;=$F195*Settings!$C$7,"WATCH","OK"))))))</f>
        <v/>
      </c>
      <c r="Q195" s="29" t="str">
        <f>IF($A195="","",IF($P195="NEGATIVE","Issued more than received - add the missing receipt",IF($P195="OUT OF STOCK","Reorder immediately",IF($P195="LOW","Raise purchase order",IF($P195="Set threshold","Enter Critical Low in Items",IF(AND($N195&lt;&gt;"",$N195&lt;=0),"Quarantine expired lot",IF(AND($N195&lt;&gt;"",$N195&lt;=Settings!$C$6),"Use or rotate stock now","")))))))</f>
        <v/>
      </c>
    </row>
    <row r="196" spans="1:17" x14ac:dyDescent="0.35">
      <c r="A196" s="18" t="str">
        <f>IF(Items!$A193="","",Items!$A193)</f>
        <v/>
      </c>
      <c r="B196" s="18" t="str">
        <f>IF($A196="","",Items!$B193)</f>
        <v/>
      </c>
      <c r="C196" s="19" t="str">
        <f>IF($A196="","",Items!$G193)</f>
        <v/>
      </c>
      <c r="D196" s="20" t="str">
        <f>IF($A196="","",N(Items!$D193))</f>
        <v/>
      </c>
      <c r="E196" s="23" t="str">
        <f>IF($A196="","",Items!$E193)</f>
        <v/>
      </c>
      <c r="F196" s="23" t="str">
        <f>IF($A196="","",Items!$F193)</f>
        <v/>
      </c>
      <c r="G196" s="26" t="str">
        <f>IF($A196="","",SUMIFS(tblReceipts[Qty Received],tblReceipts[Item Name],$A196))</f>
        <v/>
      </c>
      <c r="H196" s="26" t="str">
        <f>IF($A196="","",SUMIFS(tblIssues[Qty Issued],tblIssues[Item Name],$A196))</f>
        <v/>
      </c>
      <c r="I196" s="27" t="str">
        <f t="shared" si="6"/>
        <v/>
      </c>
      <c r="J196" s="21" t="str">
        <f t="shared" si="7"/>
        <v/>
      </c>
      <c r="K196" s="26" t="str">
        <f>IF($A196="","",COUNTIFS(tblReceipts[Item Name],$A196))</f>
        <v/>
      </c>
      <c r="L196" s="26" t="str">
        <f>IF($A196="","",COUNTIFS(tblLotBalance[Item Name],$A196,tblLotBalance[Lot Balance],"&gt;0"))</f>
        <v/>
      </c>
      <c r="M196" s="24" t="str">
        <f>IF($A196="","",IF($L196=0,"",IFERROR(_xlfn.MINIFS(tblLotBalance[Expiry Date],tblLotBalance[Item Name],$A196,tblLotBalance[Lot Balance],"&gt;0"),"")))</f>
        <v/>
      </c>
      <c r="N196" s="26" t="str">
        <f t="shared" ca="1" si="8"/>
        <v/>
      </c>
      <c r="O196" s="18" t="str" cm="1">
        <f t="array" ref="O196">IF($M196="","",IFERROR(INDEX(tblLotBalance[Lot Number],MATCH(1,INDEX((tblLotBalance[Item Name]=$A196)*(tblLotBalance[Expiry Date]=$M196)*(tblLotBalance[Lot Balance]&gt;0),0),0)),""))</f>
        <v/>
      </c>
      <c r="P196" s="28" t="str">
        <f>IF($A196="","",IF($I196&lt;0,"NEGATIVE",IF(NOT(ISNUMBER($F196)),"Set threshold",IF($I196&lt;=0,"OUT OF STOCK",IF($I196&lt;=$F196,"LOW",IF($I196&lt;=$F196*Settings!$C$7,"WATCH","OK"))))))</f>
        <v/>
      </c>
      <c r="Q196" s="29" t="str">
        <f>IF($A196="","",IF($P196="NEGATIVE","Issued more than received - add the missing receipt",IF($P196="OUT OF STOCK","Reorder immediately",IF($P196="LOW","Raise purchase order",IF($P196="Set threshold","Enter Critical Low in Items",IF(AND($N196&lt;&gt;"",$N196&lt;=0),"Quarantine expired lot",IF(AND($N196&lt;&gt;"",$N196&lt;=Settings!$C$6),"Use or rotate stock now","")))))))</f>
        <v/>
      </c>
    </row>
    <row r="197" spans="1:17" x14ac:dyDescent="0.35">
      <c r="A197" s="18" t="str">
        <f>IF(Items!$A194="","",Items!$A194)</f>
        <v/>
      </c>
      <c r="B197" s="18" t="str">
        <f>IF($A197="","",Items!$B194)</f>
        <v/>
      </c>
      <c r="C197" s="19" t="str">
        <f>IF($A197="","",Items!$G194)</f>
        <v/>
      </c>
      <c r="D197" s="20" t="str">
        <f>IF($A197="","",N(Items!$D194))</f>
        <v/>
      </c>
      <c r="E197" s="23" t="str">
        <f>IF($A197="","",Items!$E194)</f>
        <v/>
      </c>
      <c r="F197" s="23" t="str">
        <f>IF($A197="","",Items!$F194)</f>
        <v/>
      </c>
      <c r="G197" s="26" t="str">
        <f>IF($A197="","",SUMIFS(tblReceipts[Qty Received],tblReceipts[Item Name],$A197))</f>
        <v/>
      </c>
      <c r="H197" s="26" t="str">
        <f>IF($A197="","",SUMIFS(tblIssues[Qty Issued],tblIssues[Item Name],$A197))</f>
        <v/>
      </c>
      <c r="I197" s="27" t="str">
        <f t="shared" ref="I197:I260" si="9">IF($A197="","",$G197-$H197)</f>
        <v/>
      </c>
      <c r="J197" s="21" t="str">
        <f t="shared" ref="J197:J260" si="10">IF($A197="","",$I197*$D197)</f>
        <v/>
      </c>
      <c r="K197" s="26" t="str">
        <f>IF($A197="","",COUNTIFS(tblReceipts[Item Name],$A197))</f>
        <v/>
      </c>
      <c r="L197" s="26" t="str">
        <f>IF($A197="","",COUNTIFS(tblLotBalance[Item Name],$A197,tblLotBalance[Lot Balance],"&gt;0"))</f>
        <v/>
      </c>
      <c r="M197" s="24" t="str">
        <f>IF($A197="","",IF($L197=0,"",IFERROR(_xlfn.MINIFS(tblLotBalance[Expiry Date],tblLotBalance[Item Name],$A197,tblLotBalance[Lot Balance],"&gt;0"),"")))</f>
        <v/>
      </c>
      <c r="N197" s="26" t="str">
        <f t="shared" ref="N197:N260" ca="1" si="11">IF($M197="","",$M197-TODAY())</f>
        <v/>
      </c>
      <c r="O197" s="18" t="str" cm="1">
        <f t="array" ref="O197">IF($M197="","",IFERROR(INDEX(tblLotBalance[Lot Number],MATCH(1,INDEX((tblLotBalance[Item Name]=$A197)*(tblLotBalance[Expiry Date]=$M197)*(tblLotBalance[Lot Balance]&gt;0),0),0)),""))</f>
        <v/>
      </c>
      <c r="P197" s="28" t="str">
        <f>IF($A197="","",IF($I197&lt;0,"NEGATIVE",IF(NOT(ISNUMBER($F197)),"Set threshold",IF($I197&lt;=0,"OUT OF STOCK",IF($I197&lt;=$F197,"LOW",IF($I197&lt;=$F197*Settings!$C$7,"WATCH","OK"))))))</f>
        <v/>
      </c>
      <c r="Q197" s="29" t="str">
        <f>IF($A197="","",IF($P197="NEGATIVE","Issued more than received - add the missing receipt",IF($P197="OUT OF STOCK","Reorder immediately",IF($P197="LOW","Raise purchase order",IF($P197="Set threshold","Enter Critical Low in Items",IF(AND($N197&lt;&gt;"",$N197&lt;=0),"Quarantine expired lot",IF(AND($N197&lt;&gt;"",$N197&lt;=Settings!$C$6),"Use or rotate stock now","")))))))</f>
        <v/>
      </c>
    </row>
    <row r="198" spans="1:17" x14ac:dyDescent="0.35">
      <c r="A198" s="18" t="str">
        <f>IF(Items!$A195="","",Items!$A195)</f>
        <v/>
      </c>
      <c r="B198" s="18" t="str">
        <f>IF($A198="","",Items!$B195)</f>
        <v/>
      </c>
      <c r="C198" s="19" t="str">
        <f>IF($A198="","",Items!$G195)</f>
        <v/>
      </c>
      <c r="D198" s="20" t="str">
        <f>IF($A198="","",N(Items!$D195))</f>
        <v/>
      </c>
      <c r="E198" s="23" t="str">
        <f>IF($A198="","",Items!$E195)</f>
        <v/>
      </c>
      <c r="F198" s="23" t="str">
        <f>IF($A198="","",Items!$F195)</f>
        <v/>
      </c>
      <c r="G198" s="26" t="str">
        <f>IF($A198="","",SUMIFS(tblReceipts[Qty Received],tblReceipts[Item Name],$A198))</f>
        <v/>
      </c>
      <c r="H198" s="26" t="str">
        <f>IF($A198="","",SUMIFS(tblIssues[Qty Issued],tblIssues[Item Name],$A198))</f>
        <v/>
      </c>
      <c r="I198" s="27" t="str">
        <f t="shared" si="9"/>
        <v/>
      </c>
      <c r="J198" s="21" t="str">
        <f t="shared" si="10"/>
        <v/>
      </c>
      <c r="K198" s="26" t="str">
        <f>IF($A198="","",COUNTIFS(tblReceipts[Item Name],$A198))</f>
        <v/>
      </c>
      <c r="L198" s="26" t="str">
        <f>IF($A198="","",COUNTIFS(tblLotBalance[Item Name],$A198,tblLotBalance[Lot Balance],"&gt;0"))</f>
        <v/>
      </c>
      <c r="M198" s="24" t="str">
        <f>IF($A198="","",IF($L198=0,"",IFERROR(_xlfn.MINIFS(tblLotBalance[Expiry Date],tblLotBalance[Item Name],$A198,tblLotBalance[Lot Balance],"&gt;0"),"")))</f>
        <v/>
      </c>
      <c r="N198" s="26" t="str">
        <f t="shared" ca="1" si="11"/>
        <v/>
      </c>
      <c r="O198" s="18" t="str" cm="1">
        <f t="array" ref="O198">IF($M198="","",IFERROR(INDEX(tblLotBalance[Lot Number],MATCH(1,INDEX((tblLotBalance[Item Name]=$A198)*(tblLotBalance[Expiry Date]=$M198)*(tblLotBalance[Lot Balance]&gt;0),0),0)),""))</f>
        <v/>
      </c>
      <c r="P198" s="28" t="str">
        <f>IF($A198="","",IF($I198&lt;0,"NEGATIVE",IF(NOT(ISNUMBER($F198)),"Set threshold",IF($I198&lt;=0,"OUT OF STOCK",IF($I198&lt;=$F198,"LOW",IF($I198&lt;=$F198*Settings!$C$7,"WATCH","OK"))))))</f>
        <v/>
      </c>
      <c r="Q198" s="29" t="str">
        <f>IF($A198="","",IF($P198="NEGATIVE","Issued more than received - add the missing receipt",IF($P198="OUT OF STOCK","Reorder immediately",IF($P198="LOW","Raise purchase order",IF($P198="Set threshold","Enter Critical Low in Items",IF(AND($N198&lt;&gt;"",$N198&lt;=0),"Quarantine expired lot",IF(AND($N198&lt;&gt;"",$N198&lt;=Settings!$C$6),"Use or rotate stock now","")))))))</f>
        <v/>
      </c>
    </row>
    <row r="199" spans="1:17" x14ac:dyDescent="0.35">
      <c r="A199" s="18" t="str">
        <f>IF(Items!$A196="","",Items!$A196)</f>
        <v/>
      </c>
      <c r="B199" s="18" t="str">
        <f>IF($A199="","",Items!$B196)</f>
        <v/>
      </c>
      <c r="C199" s="19" t="str">
        <f>IF($A199="","",Items!$G196)</f>
        <v/>
      </c>
      <c r="D199" s="20" t="str">
        <f>IF($A199="","",N(Items!$D196))</f>
        <v/>
      </c>
      <c r="E199" s="23" t="str">
        <f>IF($A199="","",Items!$E196)</f>
        <v/>
      </c>
      <c r="F199" s="23" t="str">
        <f>IF($A199="","",Items!$F196)</f>
        <v/>
      </c>
      <c r="G199" s="26" t="str">
        <f>IF($A199="","",SUMIFS(tblReceipts[Qty Received],tblReceipts[Item Name],$A199))</f>
        <v/>
      </c>
      <c r="H199" s="26" t="str">
        <f>IF($A199="","",SUMIFS(tblIssues[Qty Issued],tblIssues[Item Name],$A199))</f>
        <v/>
      </c>
      <c r="I199" s="27" t="str">
        <f t="shared" si="9"/>
        <v/>
      </c>
      <c r="J199" s="21" t="str">
        <f t="shared" si="10"/>
        <v/>
      </c>
      <c r="K199" s="26" t="str">
        <f>IF($A199="","",COUNTIFS(tblReceipts[Item Name],$A199))</f>
        <v/>
      </c>
      <c r="L199" s="26" t="str">
        <f>IF($A199="","",COUNTIFS(tblLotBalance[Item Name],$A199,tblLotBalance[Lot Balance],"&gt;0"))</f>
        <v/>
      </c>
      <c r="M199" s="24" t="str">
        <f>IF($A199="","",IF($L199=0,"",IFERROR(_xlfn.MINIFS(tblLotBalance[Expiry Date],tblLotBalance[Item Name],$A199,tblLotBalance[Lot Balance],"&gt;0"),"")))</f>
        <v/>
      </c>
      <c r="N199" s="26" t="str">
        <f t="shared" ca="1" si="11"/>
        <v/>
      </c>
      <c r="O199" s="18" t="str" cm="1">
        <f t="array" ref="O199">IF($M199="","",IFERROR(INDEX(tblLotBalance[Lot Number],MATCH(1,INDEX((tblLotBalance[Item Name]=$A199)*(tblLotBalance[Expiry Date]=$M199)*(tblLotBalance[Lot Balance]&gt;0),0),0)),""))</f>
        <v/>
      </c>
      <c r="P199" s="28" t="str">
        <f>IF($A199="","",IF($I199&lt;0,"NEGATIVE",IF(NOT(ISNUMBER($F199)),"Set threshold",IF($I199&lt;=0,"OUT OF STOCK",IF($I199&lt;=$F199,"LOW",IF($I199&lt;=$F199*Settings!$C$7,"WATCH","OK"))))))</f>
        <v/>
      </c>
      <c r="Q199" s="29" t="str">
        <f>IF($A199="","",IF($P199="NEGATIVE","Issued more than received - add the missing receipt",IF($P199="OUT OF STOCK","Reorder immediately",IF($P199="LOW","Raise purchase order",IF($P199="Set threshold","Enter Critical Low in Items",IF(AND($N199&lt;&gt;"",$N199&lt;=0),"Quarantine expired lot",IF(AND($N199&lt;&gt;"",$N199&lt;=Settings!$C$6),"Use or rotate stock now","")))))))</f>
        <v/>
      </c>
    </row>
    <row r="200" spans="1:17" x14ac:dyDescent="0.35">
      <c r="A200" s="18" t="str">
        <f>IF(Items!$A197="","",Items!$A197)</f>
        <v/>
      </c>
      <c r="B200" s="18" t="str">
        <f>IF($A200="","",Items!$B197)</f>
        <v/>
      </c>
      <c r="C200" s="19" t="str">
        <f>IF($A200="","",Items!$G197)</f>
        <v/>
      </c>
      <c r="D200" s="20" t="str">
        <f>IF($A200="","",N(Items!$D197))</f>
        <v/>
      </c>
      <c r="E200" s="23" t="str">
        <f>IF($A200="","",Items!$E197)</f>
        <v/>
      </c>
      <c r="F200" s="23" t="str">
        <f>IF($A200="","",Items!$F197)</f>
        <v/>
      </c>
      <c r="G200" s="26" t="str">
        <f>IF($A200="","",SUMIFS(tblReceipts[Qty Received],tblReceipts[Item Name],$A200))</f>
        <v/>
      </c>
      <c r="H200" s="26" t="str">
        <f>IF($A200="","",SUMIFS(tblIssues[Qty Issued],tblIssues[Item Name],$A200))</f>
        <v/>
      </c>
      <c r="I200" s="27" t="str">
        <f t="shared" si="9"/>
        <v/>
      </c>
      <c r="J200" s="21" t="str">
        <f t="shared" si="10"/>
        <v/>
      </c>
      <c r="K200" s="26" t="str">
        <f>IF($A200="","",COUNTIFS(tblReceipts[Item Name],$A200))</f>
        <v/>
      </c>
      <c r="L200" s="26" t="str">
        <f>IF($A200="","",COUNTIFS(tblLotBalance[Item Name],$A200,tblLotBalance[Lot Balance],"&gt;0"))</f>
        <v/>
      </c>
      <c r="M200" s="24" t="str">
        <f>IF($A200="","",IF($L200=0,"",IFERROR(_xlfn.MINIFS(tblLotBalance[Expiry Date],tblLotBalance[Item Name],$A200,tblLotBalance[Lot Balance],"&gt;0"),"")))</f>
        <v/>
      </c>
      <c r="N200" s="26" t="str">
        <f t="shared" ca="1" si="11"/>
        <v/>
      </c>
      <c r="O200" s="18" t="str" cm="1">
        <f t="array" ref="O200">IF($M200="","",IFERROR(INDEX(tblLotBalance[Lot Number],MATCH(1,INDEX((tblLotBalance[Item Name]=$A200)*(tblLotBalance[Expiry Date]=$M200)*(tblLotBalance[Lot Balance]&gt;0),0),0)),""))</f>
        <v/>
      </c>
      <c r="P200" s="28" t="str">
        <f>IF($A200="","",IF($I200&lt;0,"NEGATIVE",IF(NOT(ISNUMBER($F200)),"Set threshold",IF($I200&lt;=0,"OUT OF STOCK",IF($I200&lt;=$F200,"LOW",IF($I200&lt;=$F200*Settings!$C$7,"WATCH","OK"))))))</f>
        <v/>
      </c>
      <c r="Q200" s="29" t="str">
        <f>IF($A200="","",IF($P200="NEGATIVE","Issued more than received - add the missing receipt",IF($P200="OUT OF STOCK","Reorder immediately",IF($P200="LOW","Raise purchase order",IF($P200="Set threshold","Enter Critical Low in Items",IF(AND($N200&lt;&gt;"",$N200&lt;=0),"Quarantine expired lot",IF(AND($N200&lt;&gt;"",$N200&lt;=Settings!$C$6),"Use or rotate stock now","")))))))</f>
        <v/>
      </c>
    </row>
    <row r="201" spans="1:17" x14ac:dyDescent="0.35">
      <c r="A201" s="18" t="str">
        <f>IF(Items!$A198="","",Items!$A198)</f>
        <v/>
      </c>
      <c r="B201" s="18" t="str">
        <f>IF($A201="","",Items!$B198)</f>
        <v/>
      </c>
      <c r="C201" s="19" t="str">
        <f>IF($A201="","",Items!$G198)</f>
        <v/>
      </c>
      <c r="D201" s="20" t="str">
        <f>IF($A201="","",N(Items!$D198))</f>
        <v/>
      </c>
      <c r="E201" s="23" t="str">
        <f>IF($A201="","",Items!$E198)</f>
        <v/>
      </c>
      <c r="F201" s="23" t="str">
        <f>IF($A201="","",Items!$F198)</f>
        <v/>
      </c>
      <c r="G201" s="26" t="str">
        <f>IF($A201="","",SUMIFS(tblReceipts[Qty Received],tblReceipts[Item Name],$A201))</f>
        <v/>
      </c>
      <c r="H201" s="26" t="str">
        <f>IF($A201="","",SUMIFS(tblIssues[Qty Issued],tblIssues[Item Name],$A201))</f>
        <v/>
      </c>
      <c r="I201" s="27" t="str">
        <f t="shared" si="9"/>
        <v/>
      </c>
      <c r="J201" s="21" t="str">
        <f t="shared" si="10"/>
        <v/>
      </c>
      <c r="K201" s="26" t="str">
        <f>IF($A201="","",COUNTIFS(tblReceipts[Item Name],$A201))</f>
        <v/>
      </c>
      <c r="L201" s="26" t="str">
        <f>IF($A201="","",COUNTIFS(tblLotBalance[Item Name],$A201,tblLotBalance[Lot Balance],"&gt;0"))</f>
        <v/>
      </c>
      <c r="M201" s="24" t="str">
        <f>IF($A201="","",IF($L201=0,"",IFERROR(_xlfn.MINIFS(tblLotBalance[Expiry Date],tblLotBalance[Item Name],$A201,tblLotBalance[Lot Balance],"&gt;0"),"")))</f>
        <v/>
      </c>
      <c r="N201" s="26" t="str">
        <f t="shared" ca="1" si="11"/>
        <v/>
      </c>
      <c r="O201" s="18" t="str" cm="1">
        <f t="array" ref="O201">IF($M201="","",IFERROR(INDEX(tblLotBalance[Lot Number],MATCH(1,INDEX((tblLotBalance[Item Name]=$A201)*(tblLotBalance[Expiry Date]=$M201)*(tblLotBalance[Lot Balance]&gt;0),0),0)),""))</f>
        <v/>
      </c>
      <c r="P201" s="28" t="str">
        <f>IF($A201="","",IF($I201&lt;0,"NEGATIVE",IF(NOT(ISNUMBER($F201)),"Set threshold",IF($I201&lt;=0,"OUT OF STOCK",IF($I201&lt;=$F201,"LOW",IF($I201&lt;=$F201*Settings!$C$7,"WATCH","OK"))))))</f>
        <v/>
      </c>
      <c r="Q201" s="29" t="str">
        <f>IF($A201="","",IF($P201="NEGATIVE","Issued more than received - add the missing receipt",IF($P201="OUT OF STOCK","Reorder immediately",IF($P201="LOW","Raise purchase order",IF($P201="Set threshold","Enter Critical Low in Items",IF(AND($N201&lt;&gt;"",$N201&lt;=0),"Quarantine expired lot",IF(AND($N201&lt;&gt;"",$N201&lt;=Settings!$C$6),"Use or rotate stock now","")))))))</f>
        <v/>
      </c>
    </row>
    <row r="202" spans="1:17" x14ac:dyDescent="0.35">
      <c r="A202" s="18" t="str">
        <f>IF(Items!$A199="","",Items!$A199)</f>
        <v/>
      </c>
      <c r="B202" s="18" t="str">
        <f>IF($A202="","",Items!$B199)</f>
        <v/>
      </c>
      <c r="C202" s="19" t="str">
        <f>IF($A202="","",Items!$G199)</f>
        <v/>
      </c>
      <c r="D202" s="20" t="str">
        <f>IF($A202="","",N(Items!$D199))</f>
        <v/>
      </c>
      <c r="E202" s="23" t="str">
        <f>IF($A202="","",Items!$E199)</f>
        <v/>
      </c>
      <c r="F202" s="23" t="str">
        <f>IF($A202="","",Items!$F199)</f>
        <v/>
      </c>
      <c r="G202" s="26" t="str">
        <f>IF($A202="","",SUMIFS(tblReceipts[Qty Received],tblReceipts[Item Name],$A202))</f>
        <v/>
      </c>
      <c r="H202" s="26" t="str">
        <f>IF($A202="","",SUMIFS(tblIssues[Qty Issued],tblIssues[Item Name],$A202))</f>
        <v/>
      </c>
      <c r="I202" s="27" t="str">
        <f t="shared" si="9"/>
        <v/>
      </c>
      <c r="J202" s="21" t="str">
        <f t="shared" si="10"/>
        <v/>
      </c>
      <c r="K202" s="26" t="str">
        <f>IF($A202="","",COUNTIFS(tblReceipts[Item Name],$A202))</f>
        <v/>
      </c>
      <c r="L202" s="26" t="str">
        <f>IF($A202="","",COUNTIFS(tblLotBalance[Item Name],$A202,tblLotBalance[Lot Balance],"&gt;0"))</f>
        <v/>
      </c>
      <c r="M202" s="24" t="str">
        <f>IF($A202="","",IF($L202=0,"",IFERROR(_xlfn.MINIFS(tblLotBalance[Expiry Date],tblLotBalance[Item Name],$A202,tblLotBalance[Lot Balance],"&gt;0"),"")))</f>
        <v/>
      </c>
      <c r="N202" s="26" t="str">
        <f t="shared" ca="1" si="11"/>
        <v/>
      </c>
      <c r="O202" s="18" t="str" cm="1">
        <f t="array" ref="O202">IF($M202="","",IFERROR(INDEX(tblLotBalance[Lot Number],MATCH(1,INDEX((tblLotBalance[Item Name]=$A202)*(tblLotBalance[Expiry Date]=$M202)*(tblLotBalance[Lot Balance]&gt;0),0),0)),""))</f>
        <v/>
      </c>
      <c r="P202" s="28" t="str">
        <f>IF($A202="","",IF($I202&lt;0,"NEGATIVE",IF(NOT(ISNUMBER($F202)),"Set threshold",IF($I202&lt;=0,"OUT OF STOCK",IF($I202&lt;=$F202,"LOW",IF($I202&lt;=$F202*Settings!$C$7,"WATCH","OK"))))))</f>
        <v/>
      </c>
      <c r="Q202" s="29" t="str">
        <f>IF($A202="","",IF($P202="NEGATIVE","Issued more than received - add the missing receipt",IF($P202="OUT OF STOCK","Reorder immediately",IF($P202="LOW","Raise purchase order",IF($P202="Set threshold","Enter Critical Low in Items",IF(AND($N202&lt;&gt;"",$N202&lt;=0),"Quarantine expired lot",IF(AND($N202&lt;&gt;"",$N202&lt;=Settings!$C$6),"Use or rotate stock now","")))))))</f>
        <v/>
      </c>
    </row>
    <row r="203" spans="1:17" x14ac:dyDescent="0.35">
      <c r="A203" s="18" t="str">
        <f>IF(Items!$A200="","",Items!$A200)</f>
        <v/>
      </c>
      <c r="B203" s="18" t="str">
        <f>IF($A203="","",Items!$B200)</f>
        <v/>
      </c>
      <c r="C203" s="19" t="str">
        <f>IF($A203="","",Items!$G200)</f>
        <v/>
      </c>
      <c r="D203" s="20" t="str">
        <f>IF($A203="","",N(Items!$D200))</f>
        <v/>
      </c>
      <c r="E203" s="23" t="str">
        <f>IF($A203="","",Items!$E200)</f>
        <v/>
      </c>
      <c r="F203" s="23" t="str">
        <f>IF($A203="","",Items!$F200)</f>
        <v/>
      </c>
      <c r="G203" s="26" t="str">
        <f>IF($A203="","",SUMIFS(tblReceipts[Qty Received],tblReceipts[Item Name],$A203))</f>
        <v/>
      </c>
      <c r="H203" s="26" t="str">
        <f>IF($A203="","",SUMIFS(tblIssues[Qty Issued],tblIssues[Item Name],$A203))</f>
        <v/>
      </c>
      <c r="I203" s="27" t="str">
        <f t="shared" si="9"/>
        <v/>
      </c>
      <c r="J203" s="21" t="str">
        <f t="shared" si="10"/>
        <v/>
      </c>
      <c r="K203" s="26" t="str">
        <f>IF($A203="","",COUNTIFS(tblReceipts[Item Name],$A203))</f>
        <v/>
      </c>
      <c r="L203" s="26" t="str">
        <f>IF($A203="","",COUNTIFS(tblLotBalance[Item Name],$A203,tblLotBalance[Lot Balance],"&gt;0"))</f>
        <v/>
      </c>
      <c r="M203" s="24" t="str">
        <f>IF($A203="","",IF($L203=0,"",IFERROR(_xlfn.MINIFS(tblLotBalance[Expiry Date],tblLotBalance[Item Name],$A203,tblLotBalance[Lot Balance],"&gt;0"),"")))</f>
        <v/>
      </c>
      <c r="N203" s="26" t="str">
        <f t="shared" ca="1" si="11"/>
        <v/>
      </c>
      <c r="O203" s="18" t="str" cm="1">
        <f t="array" ref="O203">IF($M203="","",IFERROR(INDEX(tblLotBalance[Lot Number],MATCH(1,INDEX((tblLotBalance[Item Name]=$A203)*(tblLotBalance[Expiry Date]=$M203)*(tblLotBalance[Lot Balance]&gt;0),0),0)),""))</f>
        <v/>
      </c>
      <c r="P203" s="28" t="str">
        <f>IF($A203="","",IF($I203&lt;0,"NEGATIVE",IF(NOT(ISNUMBER($F203)),"Set threshold",IF($I203&lt;=0,"OUT OF STOCK",IF($I203&lt;=$F203,"LOW",IF($I203&lt;=$F203*Settings!$C$7,"WATCH","OK"))))))</f>
        <v/>
      </c>
      <c r="Q203" s="29" t="str">
        <f>IF($A203="","",IF($P203="NEGATIVE","Issued more than received - add the missing receipt",IF($P203="OUT OF STOCK","Reorder immediately",IF($P203="LOW","Raise purchase order",IF($P203="Set threshold","Enter Critical Low in Items",IF(AND($N203&lt;&gt;"",$N203&lt;=0),"Quarantine expired lot",IF(AND($N203&lt;&gt;"",$N203&lt;=Settings!$C$6),"Use or rotate stock now","")))))))</f>
        <v/>
      </c>
    </row>
    <row r="204" spans="1:17" x14ac:dyDescent="0.35">
      <c r="A204" s="18" t="str">
        <f>IF(Items!$A201="","",Items!$A201)</f>
        <v/>
      </c>
      <c r="B204" s="18" t="str">
        <f>IF($A204="","",Items!$B201)</f>
        <v/>
      </c>
      <c r="C204" s="19" t="str">
        <f>IF($A204="","",Items!$G201)</f>
        <v/>
      </c>
      <c r="D204" s="20" t="str">
        <f>IF($A204="","",N(Items!$D201))</f>
        <v/>
      </c>
      <c r="E204" s="23" t="str">
        <f>IF($A204="","",Items!$E201)</f>
        <v/>
      </c>
      <c r="F204" s="23" t="str">
        <f>IF($A204="","",Items!$F201)</f>
        <v/>
      </c>
      <c r="G204" s="26" t="str">
        <f>IF($A204="","",SUMIFS(tblReceipts[Qty Received],tblReceipts[Item Name],$A204))</f>
        <v/>
      </c>
      <c r="H204" s="26" t="str">
        <f>IF($A204="","",SUMIFS(tblIssues[Qty Issued],tblIssues[Item Name],$A204))</f>
        <v/>
      </c>
      <c r="I204" s="27" t="str">
        <f t="shared" si="9"/>
        <v/>
      </c>
      <c r="J204" s="21" t="str">
        <f t="shared" si="10"/>
        <v/>
      </c>
      <c r="K204" s="26" t="str">
        <f>IF($A204="","",COUNTIFS(tblReceipts[Item Name],$A204))</f>
        <v/>
      </c>
      <c r="L204" s="26" t="str">
        <f>IF($A204="","",COUNTIFS(tblLotBalance[Item Name],$A204,tblLotBalance[Lot Balance],"&gt;0"))</f>
        <v/>
      </c>
      <c r="M204" s="24" t="str">
        <f>IF($A204="","",IF($L204=0,"",IFERROR(_xlfn.MINIFS(tblLotBalance[Expiry Date],tblLotBalance[Item Name],$A204,tblLotBalance[Lot Balance],"&gt;0"),"")))</f>
        <v/>
      </c>
      <c r="N204" s="26" t="str">
        <f t="shared" ca="1" si="11"/>
        <v/>
      </c>
      <c r="O204" s="18" t="str" cm="1">
        <f t="array" ref="O204">IF($M204="","",IFERROR(INDEX(tblLotBalance[Lot Number],MATCH(1,INDEX((tblLotBalance[Item Name]=$A204)*(tblLotBalance[Expiry Date]=$M204)*(tblLotBalance[Lot Balance]&gt;0),0),0)),""))</f>
        <v/>
      </c>
      <c r="P204" s="28" t="str">
        <f>IF($A204="","",IF($I204&lt;0,"NEGATIVE",IF(NOT(ISNUMBER($F204)),"Set threshold",IF($I204&lt;=0,"OUT OF STOCK",IF($I204&lt;=$F204,"LOW",IF($I204&lt;=$F204*Settings!$C$7,"WATCH","OK"))))))</f>
        <v/>
      </c>
      <c r="Q204" s="29" t="str">
        <f>IF($A204="","",IF($P204="NEGATIVE","Issued more than received - add the missing receipt",IF($P204="OUT OF STOCK","Reorder immediately",IF($P204="LOW","Raise purchase order",IF($P204="Set threshold","Enter Critical Low in Items",IF(AND($N204&lt;&gt;"",$N204&lt;=0),"Quarantine expired lot",IF(AND($N204&lt;&gt;"",$N204&lt;=Settings!$C$6),"Use or rotate stock now","")))))))</f>
        <v/>
      </c>
    </row>
    <row r="205" spans="1:17" x14ac:dyDescent="0.35">
      <c r="A205" s="18" t="str">
        <f>IF(Items!$A202="","",Items!$A202)</f>
        <v/>
      </c>
      <c r="B205" s="18" t="str">
        <f>IF($A205="","",Items!$B202)</f>
        <v/>
      </c>
      <c r="C205" s="19" t="str">
        <f>IF($A205="","",Items!$G202)</f>
        <v/>
      </c>
      <c r="D205" s="20" t="str">
        <f>IF($A205="","",N(Items!$D202))</f>
        <v/>
      </c>
      <c r="E205" s="23" t="str">
        <f>IF($A205="","",Items!$E202)</f>
        <v/>
      </c>
      <c r="F205" s="23" t="str">
        <f>IF($A205="","",Items!$F202)</f>
        <v/>
      </c>
      <c r="G205" s="26" t="str">
        <f>IF($A205="","",SUMIFS(tblReceipts[Qty Received],tblReceipts[Item Name],$A205))</f>
        <v/>
      </c>
      <c r="H205" s="26" t="str">
        <f>IF($A205="","",SUMIFS(tblIssues[Qty Issued],tblIssues[Item Name],$A205))</f>
        <v/>
      </c>
      <c r="I205" s="27" t="str">
        <f t="shared" si="9"/>
        <v/>
      </c>
      <c r="J205" s="21" t="str">
        <f t="shared" si="10"/>
        <v/>
      </c>
      <c r="K205" s="26" t="str">
        <f>IF($A205="","",COUNTIFS(tblReceipts[Item Name],$A205))</f>
        <v/>
      </c>
      <c r="L205" s="26" t="str">
        <f>IF($A205="","",COUNTIFS(tblLotBalance[Item Name],$A205,tblLotBalance[Lot Balance],"&gt;0"))</f>
        <v/>
      </c>
      <c r="M205" s="24" t="str">
        <f>IF($A205="","",IF($L205=0,"",IFERROR(_xlfn.MINIFS(tblLotBalance[Expiry Date],tblLotBalance[Item Name],$A205,tblLotBalance[Lot Balance],"&gt;0"),"")))</f>
        <v/>
      </c>
      <c r="N205" s="26" t="str">
        <f t="shared" ca="1" si="11"/>
        <v/>
      </c>
      <c r="O205" s="18" t="str" cm="1">
        <f t="array" ref="O205">IF($M205="","",IFERROR(INDEX(tblLotBalance[Lot Number],MATCH(1,INDEX((tblLotBalance[Item Name]=$A205)*(tblLotBalance[Expiry Date]=$M205)*(tblLotBalance[Lot Balance]&gt;0),0),0)),""))</f>
        <v/>
      </c>
      <c r="P205" s="28" t="str">
        <f>IF($A205="","",IF($I205&lt;0,"NEGATIVE",IF(NOT(ISNUMBER($F205)),"Set threshold",IF($I205&lt;=0,"OUT OF STOCK",IF($I205&lt;=$F205,"LOW",IF($I205&lt;=$F205*Settings!$C$7,"WATCH","OK"))))))</f>
        <v/>
      </c>
      <c r="Q205" s="29" t="str">
        <f>IF($A205="","",IF($P205="NEGATIVE","Issued more than received - add the missing receipt",IF($P205="OUT OF STOCK","Reorder immediately",IF($P205="LOW","Raise purchase order",IF($P205="Set threshold","Enter Critical Low in Items",IF(AND($N205&lt;&gt;"",$N205&lt;=0),"Quarantine expired lot",IF(AND($N205&lt;&gt;"",$N205&lt;=Settings!$C$6),"Use or rotate stock now","")))))))</f>
        <v/>
      </c>
    </row>
    <row r="206" spans="1:17" x14ac:dyDescent="0.35">
      <c r="A206" s="18" t="str">
        <f>IF(Items!$A203="","",Items!$A203)</f>
        <v/>
      </c>
      <c r="B206" s="18" t="str">
        <f>IF($A206="","",Items!$B203)</f>
        <v/>
      </c>
      <c r="C206" s="19" t="str">
        <f>IF($A206="","",Items!$G203)</f>
        <v/>
      </c>
      <c r="D206" s="20" t="str">
        <f>IF($A206="","",N(Items!$D203))</f>
        <v/>
      </c>
      <c r="E206" s="23" t="str">
        <f>IF($A206="","",Items!$E203)</f>
        <v/>
      </c>
      <c r="F206" s="23" t="str">
        <f>IF($A206="","",Items!$F203)</f>
        <v/>
      </c>
      <c r="G206" s="26" t="str">
        <f>IF($A206="","",SUMIFS(tblReceipts[Qty Received],tblReceipts[Item Name],$A206))</f>
        <v/>
      </c>
      <c r="H206" s="26" t="str">
        <f>IF($A206="","",SUMIFS(tblIssues[Qty Issued],tblIssues[Item Name],$A206))</f>
        <v/>
      </c>
      <c r="I206" s="27" t="str">
        <f t="shared" si="9"/>
        <v/>
      </c>
      <c r="J206" s="21" t="str">
        <f t="shared" si="10"/>
        <v/>
      </c>
      <c r="K206" s="26" t="str">
        <f>IF($A206="","",COUNTIFS(tblReceipts[Item Name],$A206))</f>
        <v/>
      </c>
      <c r="L206" s="26" t="str">
        <f>IF($A206="","",COUNTIFS(tblLotBalance[Item Name],$A206,tblLotBalance[Lot Balance],"&gt;0"))</f>
        <v/>
      </c>
      <c r="M206" s="24" t="str">
        <f>IF($A206="","",IF($L206=0,"",IFERROR(_xlfn.MINIFS(tblLotBalance[Expiry Date],tblLotBalance[Item Name],$A206,tblLotBalance[Lot Balance],"&gt;0"),"")))</f>
        <v/>
      </c>
      <c r="N206" s="26" t="str">
        <f t="shared" ca="1" si="11"/>
        <v/>
      </c>
      <c r="O206" s="18" t="str" cm="1">
        <f t="array" ref="O206">IF($M206="","",IFERROR(INDEX(tblLotBalance[Lot Number],MATCH(1,INDEX((tblLotBalance[Item Name]=$A206)*(tblLotBalance[Expiry Date]=$M206)*(tblLotBalance[Lot Balance]&gt;0),0),0)),""))</f>
        <v/>
      </c>
      <c r="P206" s="28" t="str">
        <f>IF($A206="","",IF($I206&lt;0,"NEGATIVE",IF(NOT(ISNUMBER($F206)),"Set threshold",IF($I206&lt;=0,"OUT OF STOCK",IF($I206&lt;=$F206,"LOW",IF($I206&lt;=$F206*Settings!$C$7,"WATCH","OK"))))))</f>
        <v/>
      </c>
      <c r="Q206" s="29" t="str">
        <f>IF($A206="","",IF($P206="NEGATIVE","Issued more than received - add the missing receipt",IF($P206="OUT OF STOCK","Reorder immediately",IF($P206="LOW","Raise purchase order",IF($P206="Set threshold","Enter Critical Low in Items",IF(AND($N206&lt;&gt;"",$N206&lt;=0),"Quarantine expired lot",IF(AND($N206&lt;&gt;"",$N206&lt;=Settings!$C$6),"Use or rotate stock now","")))))))</f>
        <v/>
      </c>
    </row>
    <row r="207" spans="1:17" x14ac:dyDescent="0.35">
      <c r="A207" s="18" t="str">
        <f>IF(Items!$A204="","",Items!$A204)</f>
        <v/>
      </c>
      <c r="B207" s="18" t="str">
        <f>IF($A207="","",Items!$B204)</f>
        <v/>
      </c>
      <c r="C207" s="19" t="str">
        <f>IF($A207="","",Items!$G204)</f>
        <v/>
      </c>
      <c r="D207" s="20" t="str">
        <f>IF($A207="","",N(Items!$D204))</f>
        <v/>
      </c>
      <c r="E207" s="23" t="str">
        <f>IF($A207="","",Items!$E204)</f>
        <v/>
      </c>
      <c r="F207" s="23" t="str">
        <f>IF($A207="","",Items!$F204)</f>
        <v/>
      </c>
      <c r="G207" s="26" t="str">
        <f>IF($A207="","",SUMIFS(tblReceipts[Qty Received],tblReceipts[Item Name],$A207))</f>
        <v/>
      </c>
      <c r="H207" s="26" t="str">
        <f>IF($A207="","",SUMIFS(tblIssues[Qty Issued],tblIssues[Item Name],$A207))</f>
        <v/>
      </c>
      <c r="I207" s="27" t="str">
        <f t="shared" si="9"/>
        <v/>
      </c>
      <c r="J207" s="21" t="str">
        <f t="shared" si="10"/>
        <v/>
      </c>
      <c r="K207" s="26" t="str">
        <f>IF($A207="","",COUNTIFS(tblReceipts[Item Name],$A207))</f>
        <v/>
      </c>
      <c r="L207" s="26" t="str">
        <f>IF($A207="","",COUNTIFS(tblLotBalance[Item Name],$A207,tblLotBalance[Lot Balance],"&gt;0"))</f>
        <v/>
      </c>
      <c r="M207" s="24" t="str">
        <f>IF($A207="","",IF($L207=0,"",IFERROR(_xlfn.MINIFS(tblLotBalance[Expiry Date],tblLotBalance[Item Name],$A207,tblLotBalance[Lot Balance],"&gt;0"),"")))</f>
        <v/>
      </c>
      <c r="N207" s="26" t="str">
        <f t="shared" ca="1" si="11"/>
        <v/>
      </c>
      <c r="O207" s="18" t="str" cm="1">
        <f t="array" ref="O207">IF($M207="","",IFERROR(INDEX(tblLotBalance[Lot Number],MATCH(1,INDEX((tblLotBalance[Item Name]=$A207)*(tblLotBalance[Expiry Date]=$M207)*(tblLotBalance[Lot Balance]&gt;0),0),0)),""))</f>
        <v/>
      </c>
      <c r="P207" s="28" t="str">
        <f>IF($A207="","",IF($I207&lt;0,"NEGATIVE",IF(NOT(ISNUMBER($F207)),"Set threshold",IF($I207&lt;=0,"OUT OF STOCK",IF($I207&lt;=$F207,"LOW",IF($I207&lt;=$F207*Settings!$C$7,"WATCH","OK"))))))</f>
        <v/>
      </c>
      <c r="Q207" s="29" t="str">
        <f>IF($A207="","",IF($P207="NEGATIVE","Issued more than received - add the missing receipt",IF($P207="OUT OF STOCK","Reorder immediately",IF($P207="LOW","Raise purchase order",IF($P207="Set threshold","Enter Critical Low in Items",IF(AND($N207&lt;&gt;"",$N207&lt;=0),"Quarantine expired lot",IF(AND($N207&lt;&gt;"",$N207&lt;=Settings!$C$6),"Use or rotate stock now","")))))))</f>
        <v/>
      </c>
    </row>
    <row r="208" spans="1:17" x14ac:dyDescent="0.35">
      <c r="A208" s="18" t="str">
        <f>IF(Items!$A205="","",Items!$A205)</f>
        <v/>
      </c>
      <c r="B208" s="18" t="str">
        <f>IF($A208="","",Items!$B205)</f>
        <v/>
      </c>
      <c r="C208" s="19" t="str">
        <f>IF($A208="","",Items!$G205)</f>
        <v/>
      </c>
      <c r="D208" s="20" t="str">
        <f>IF($A208="","",N(Items!$D205))</f>
        <v/>
      </c>
      <c r="E208" s="23" t="str">
        <f>IF($A208="","",Items!$E205)</f>
        <v/>
      </c>
      <c r="F208" s="23" t="str">
        <f>IF($A208="","",Items!$F205)</f>
        <v/>
      </c>
      <c r="G208" s="26" t="str">
        <f>IF($A208="","",SUMIFS(tblReceipts[Qty Received],tblReceipts[Item Name],$A208))</f>
        <v/>
      </c>
      <c r="H208" s="26" t="str">
        <f>IF($A208="","",SUMIFS(tblIssues[Qty Issued],tblIssues[Item Name],$A208))</f>
        <v/>
      </c>
      <c r="I208" s="27" t="str">
        <f t="shared" si="9"/>
        <v/>
      </c>
      <c r="J208" s="21" t="str">
        <f t="shared" si="10"/>
        <v/>
      </c>
      <c r="K208" s="26" t="str">
        <f>IF($A208="","",COUNTIFS(tblReceipts[Item Name],$A208))</f>
        <v/>
      </c>
      <c r="L208" s="26" t="str">
        <f>IF($A208="","",COUNTIFS(tblLotBalance[Item Name],$A208,tblLotBalance[Lot Balance],"&gt;0"))</f>
        <v/>
      </c>
      <c r="M208" s="24" t="str">
        <f>IF($A208="","",IF($L208=0,"",IFERROR(_xlfn.MINIFS(tblLotBalance[Expiry Date],tblLotBalance[Item Name],$A208,tblLotBalance[Lot Balance],"&gt;0"),"")))</f>
        <v/>
      </c>
      <c r="N208" s="26" t="str">
        <f t="shared" ca="1" si="11"/>
        <v/>
      </c>
      <c r="O208" s="18" t="str" cm="1">
        <f t="array" ref="O208">IF($M208="","",IFERROR(INDEX(tblLotBalance[Lot Number],MATCH(1,INDEX((tblLotBalance[Item Name]=$A208)*(tblLotBalance[Expiry Date]=$M208)*(tblLotBalance[Lot Balance]&gt;0),0),0)),""))</f>
        <v/>
      </c>
      <c r="P208" s="28" t="str">
        <f>IF($A208="","",IF($I208&lt;0,"NEGATIVE",IF(NOT(ISNUMBER($F208)),"Set threshold",IF($I208&lt;=0,"OUT OF STOCK",IF($I208&lt;=$F208,"LOW",IF($I208&lt;=$F208*Settings!$C$7,"WATCH","OK"))))))</f>
        <v/>
      </c>
      <c r="Q208" s="29" t="str">
        <f>IF($A208="","",IF($P208="NEGATIVE","Issued more than received - add the missing receipt",IF($P208="OUT OF STOCK","Reorder immediately",IF($P208="LOW","Raise purchase order",IF($P208="Set threshold","Enter Critical Low in Items",IF(AND($N208&lt;&gt;"",$N208&lt;=0),"Quarantine expired lot",IF(AND($N208&lt;&gt;"",$N208&lt;=Settings!$C$6),"Use or rotate stock now","")))))))</f>
        <v/>
      </c>
    </row>
    <row r="209" spans="1:17" x14ac:dyDescent="0.35">
      <c r="A209" s="18" t="str">
        <f>IF(Items!$A206="","",Items!$A206)</f>
        <v/>
      </c>
      <c r="B209" s="18" t="str">
        <f>IF($A209="","",Items!$B206)</f>
        <v/>
      </c>
      <c r="C209" s="19" t="str">
        <f>IF($A209="","",Items!$G206)</f>
        <v/>
      </c>
      <c r="D209" s="20" t="str">
        <f>IF($A209="","",N(Items!$D206))</f>
        <v/>
      </c>
      <c r="E209" s="23" t="str">
        <f>IF($A209="","",Items!$E206)</f>
        <v/>
      </c>
      <c r="F209" s="23" t="str">
        <f>IF($A209="","",Items!$F206)</f>
        <v/>
      </c>
      <c r="G209" s="26" t="str">
        <f>IF($A209="","",SUMIFS(tblReceipts[Qty Received],tblReceipts[Item Name],$A209))</f>
        <v/>
      </c>
      <c r="H209" s="26" t="str">
        <f>IF($A209="","",SUMIFS(tblIssues[Qty Issued],tblIssues[Item Name],$A209))</f>
        <v/>
      </c>
      <c r="I209" s="27" t="str">
        <f t="shared" si="9"/>
        <v/>
      </c>
      <c r="J209" s="21" t="str">
        <f t="shared" si="10"/>
        <v/>
      </c>
      <c r="K209" s="26" t="str">
        <f>IF($A209="","",COUNTIFS(tblReceipts[Item Name],$A209))</f>
        <v/>
      </c>
      <c r="L209" s="26" t="str">
        <f>IF($A209="","",COUNTIFS(tblLotBalance[Item Name],$A209,tblLotBalance[Lot Balance],"&gt;0"))</f>
        <v/>
      </c>
      <c r="M209" s="24" t="str">
        <f>IF($A209="","",IF($L209=0,"",IFERROR(_xlfn.MINIFS(tblLotBalance[Expiry Date],tblLotBalance[Item Name],$A209,tblLotBalance[Lot Balance],"&gt;0"),"")))</f>
        <v/>
      </c>
      <c r="N209" s="26" t="str">
        <f t="shared" ca="1" si="11"/>
        <v/>
      </c>
      <c r="O209" s="18" t="str" cm="1">
        <f t="array" ref="O209">IF($M209="","",IFERROR(INDEX(tblLotBalance[Lot Number],MATCH(1,INDEX((tblLotBalance[Item Name]=$A209)*(tblLotBalance[Expiry Date]=$M209)*(tblLotBalance[Lot Balance]&gt;0),0),0)),""))</f>
        <v/>
      </c>
      <c r="P209" s="28" t="str">
        <f>IF($A209="","",IF($I209&lt;0,"NEGATIVE",IF(NOT(ISNUMBER($F209)),"Set threshold",IF($I209&lt;=0,"OUT OF STOCK",IF($I209&lt;=$F209,"LOW",IF($I209&lt;=$F209*Settings!$C$7,"WATCH","OK"))))))</f>
        <v/>
      </c>
      <c r="Q209" s="29" t="str">
        <f>IF($A209="","",IF($P209="NEGATIVE","Issued more than received - add the missing receipt",IF($P209="OUT OF STOCK","Reorder immediately",IF($P209="LOW","Raise purchase order",IF($P209="Set threshold","Enter Critical Low in Items",IF(AND($N209&lt;&gt;"",$N209&lt;=0),"Quarantine expired lot",IF(AND($N209&lt;&gt;"",$N209&lt;=Settings!$C$6),"Use or rotate stock now","")))))))</f>
        <v/>
      </c>
    </row>
    <row r="210" spans="1:17" x14ac:dyDescent="0.35">
      <c r="A210" s="18" t="str">
        <f>IF(Items!$A207="","",Items!$A207)</f>
        <v/>
      </c>
      <c r="B210" s="18" t="str">
        <f>IF($A210="","",Items!$B207)</f>
        <v/>
      </c>
      <c r="C210" s="19" t="str">
        <f>IF($A210="","",Items!$G207)</f>
        <v/>
      </c>
      <c r="D210" s="20" t="str">
        <f>IF($A210="","",N(Items!$D207))</f>
        <v/>
      </c>
      <c r="E210" s="23" t="str">
        <f>IF($A210="","",Items!$E207)</f>
        <v/>
      </c>
      <c r="F210" s="23" t="str">
        <f>IF($A210="","",Items!$F207)</f>
        <v/>
      </c>
      <c r="G210" s="26" t="str">
        <f>IF($A210="","",SUMIFS(tblReceipts[Qty Received],tblReceipts[Item Name],$A210))</f>
        <v/>
      </c>
      <c r="H210" s="26" t="str">
        <f>IF($A210="","",SUMIFS(tblIssues[Qty Issued],tblIssues[Item Name],$A210))</f>
        <v/>
      </c>
      <c r="I210" s="27" t="str">
        <f t="shared" si="9"/>
        <v/>
      </c>
      <c r="J210" s="21" t="str">
        <f t="shared" si="10"/>
        <v/>
      </c>
      <c r="K210" s="26" t="str">
        <f>IF($A210="","",COUNTIFS(tblReceipts[Item Name],$A210))</f>
        <v/>
      </c>
      <c r="L210" s="26" t="str">
        <f>IF($A210="","",COUNTIFS(tblLotBalance[Item Name],$A210,tblLotBalance[Lot Balance],"&gt;0"))</f>
        <v/>
      </c>
      <c r="M210" s="24" t="str">
        <f>IF($A210="","",IF($L210=0,"",IFERROR(_xlfn.MINIFS(tblLotBalance[Expiry Date],tblLotBalance[Item Name],$A210,tblLotBalance[Lot Balance],"&gt;0"),"")))</f>
        <v/>
      </c>
      <c r="N210" s="26" t="str">
        <f t="shared" ca="1" si="11"/>
        <v/>
      </c>
      <c r="O210" s="18" t="str" cm="1">
        <f t="array" ref="O210">IF($M210="","",IFERROR(INDEX(tblLotBalance[Lot Number],MATCH(1,INDEX((tblLotBalance[Item Name]=$A210)*(tblLotBalance[Expiry Date]=$M210)*(tblLotBalance[Lot Balance]&gt;0),0),0)),""))</f>
        <v/>
      </c>
      <c r="P210" s="28" t="str">
        <f>IF($A210="","",IF($I210&lt;0,"NEGATIVE",IF(NOT(ISNUMBER($F210)),"Set threshold",IF($I210&lt;=0,"OUT OF STOCK",IF($I210&lt;=$F210,"LOW",IF($I210&lt;=$F210*Settings!$C$7,"WATCH","OK"))))))</f>
        <v/>
      </c>
      <c r="Q210" s="29" t="str">
        <f>IF($A210="","",IF($P210="NEGATIVE","Issued more than received - add the missing receipt",IF($P210="OUT OF STOCK","Reorder immediately",IF($P210="LOW","Raise purchase order",IF($P210="Set threshold","Enter Critical Low in Items",IF(AND($N210&lt;&gt;"",$N210&lt;=0),"Quarantine expired lot",IF(AND($N210&lt;&gt;"",$N210&lt;=Settings!$C$6),"Use or rotate stock now","")))))))</f>
        <v/>
      </c>
    </row>
    <row r="211" spans="1:17" x14ac:dyDescent="0.35">
      <c r="A211" s="18" t="str">
        <f>IF(Items!$A208="","",Items!$A208)</f>
        <v/>
      </c>
      <c r="B211" s="18" t="str">
        <f>IF($A211="","",Items!$B208)</f>
        <v/>
      </c>
      <c r="C211" s="19" t="str">
        <f>IF($A211="","",Items!$G208)</f>
        <v/>
      </c>
      <c r="D211" s="20" t="str">
        <f>IF($A211="","",N(Items!$D208))</f>
        <v/>
      </c>
      <c r="E211" s="23" t="str">
        <f>IF($A211="","",Items!$E208)</f>
        <v/>
      </c>
      <c r="F211" s="23" t="str">
        <f>IF($A211="","",Items!$F208)</f>
        <v/>
      </c>
      <c r="G211" s="26" t="str">
        <f>IF($A211="","",SUMIFS(tblReceipts[Qty Received],tblReceipts[Item Name],$A211))</f>
        <v/>
      </c>
      <c r="H211" s="26" t="str">
        <f>IF($A211="","",SUMIFS(tblIssues[Qty Issued],tblIssues[Item Name],$A211))</f>
        <v/>
      </c>
      <c r="I211" s="27" t="str">
        <f t="shared" si="9"/>
        <v/>
      </c>
      <c r="J211" s="21" t="str">
        <f t="shared" si="10"/>
        <v/>
      </c>
      <c r="K211" s="26" t="str">
        <f>IF($A211="","",COUNTIFS(tblReceipts[Item Name],$A211))</f>
        <v/>
      </c>
      <c r="L211" s="26" t="str">
        <f>IF($A211="","",COUNTIFS(tblLotBalance[Item Name],$A211,tblLotBalance[Lot Balance],"&gt;0"))</f>
        <v/>
      </c>
      <c r="M211" s="24" t="str">
        <f>IF($A211="","",IF($L211=0,"",IFERROR(_xlfn.MINIFS(tblLotBalance[Expiry Date],tblLotBalance[Item Name],$A211,tblLotBalance[Lot Balance],"&gt;0"),"")))</f>
        <v/>
      </c>
      <c r="N211" s="26" t="str">
        <f t="shared" ca="1" si="11"/>
        <v/>
      </c>
      <c r="O211" s="18" t="str" cm="1">
        <f t="array" ref="O211">IF($M211="","",IFERROR(INDEX(tblLotBalance[Lot Number],MATCH(1,INDEX((tblLotBalance[Item Name]=$A211)*(tblLotBalance[Expiry Date]=$M211)*(tblLotBalance[Lot Balance]&gt;0),0),0)),""))</f>
        <v/>
      </c>
      <c r="P211" s="28" t="str">
        <f>IF($A211="","",IF($I211&lt;0,"NEGATIVE",IF(NOT(ISNUMBER($F211)),"Set threshold",IF($I211&lt;=0,"OUT OF STOCK",IF($I211&lt;=$F211,"LOW",IF($I211&lt;=$F211*Settings!$C$7,"WATCH","OK"))))))</f>
        <v/>
      </c>
      <c r="Q211" s="29" t="str">
        <f>IF($A211="","",IF($P211="NEGATIVE","Issued more than received - add the missing receipt",IF($P211="OUT OF STOCK","Reorder immediately",IF($P211="LOW","Raise purchase order",IF($P211="Set threshold","Enter Critical Low in Items",IF(AND($N211&lt;&gt;"",$N211&lt;=0),"Quarantine expired lot",IF(AND($N211&lt;&gt;"",$N211&lt;=Settings!$C$6),"Use or rotate stock now","")))))))</f>
        <v/>
      </c>
    </row>
    <row r="212" spans="1:17" x14ac:dyDescent="0.35">
      <c r="A212" s="18" t="str">
        <f>IF(Items!$A209="","",Items!$A209)</f>
        <v/>
      </c>
      <c r="B212" s="18" t="str">
        <f>IF($A212="","",Items!$B209)</f>
        <v/>
      </c>
      <c r="C212" s="19" t="str">
        <f>IF($A212="","",Items!$G209)</f>
        <v/>
      </c>
      <c r="D212" s="20" t="str">
        <f>IF($A212="","",N(Items!$D209))</f>
        <v/>
      </c>
      <c r="E212" s="23" t="str">
        <f>IF($A212="","",Items!$E209)</f>
        <v/>
      </c>
      <c r="F212" s="23" t="str">
        <f>IF($A212="","",Items!$F209)</f>
        <v/>
      </c>
      <c r="G212" s="26" t="str">
        <f>IF($A212="","",SUMIFS(tblReceipts[Qty Received],tblReceipts[Item Name],$A212))</f>
        <v/>
      </c>
      <c r="H212" s="26" t="str">
        <f>IF($A212="","",SUMIFS(tblIssues[Qty Issued],tblIssues[Item Name],$A212))</f>
        <v/>
      </c>
      <c r="I212" s="27" t="str">
        <f t="shared" si="9"/>
        <v/>
      </c>
      <c r="J212" s="21" t="str">
        <f t="shared" si="10"/>
        <v/>
      </c>
      <c r="K212" s="26" t="str">
        <f>IF($A212="","",COUNTIFS(tblReceipts[Item Name],$A212))</f>
        <v/>
      </c>
      <c r="L212" s="26" t="str">
        <f>IF($A212="","",COUNTIFS(tblLotBalance[Item Name],$A212,tblLotBalance[Lot Balance],"&gt;0"))</f>
        <v/>
      </c>
      <c r="M212" s="24" t="str">
        <f>IF($A212="","",IF($L212=0,"",IFERROR(_xlfn.MINIFS(tblLotBalance[Expiry Date],tblLotBalance[Item Name],$A212,tblLotBalance[Lot Balance],"&gt;0"),"")))</f>
        <v/>
      </c>
      <c r="N212" s="26" t="str">
        <f t="shared" ca="1" si="11"/>
        <v/>
      </c>
      <c r="O212" s="18" t="str" cm="1">
        <f t="array" ref="O212">IF($M212="","",IFERROR(INDEX(tblLotBalance[Lot Number],MATCH(1,INDEX((tblLotBalance[Item Name]=$A212)*(tblLotBalance[Expiry Date]=$M212)*(tblLotBalance[Lot Balance]&gt;0),0),0)),""))</f>
        <v/>
      </c>
      <c r="P212" s="28" t="str">
        <f>IF($A212="","",IF($I212&lt;0,"NEGATIVE",IF(NOT(ISNUMBER($F212)),"Set threshold",IF($I212&lt;=0,"OUT OF STOCK",IF($I212&lt;=$F212,"LOW",IF($I212&lt;=$F212*Settings!$C$7,"WATCH","OK"))))))</f>
        <v/>
      </c>
      <c r="Q212" s="29" t="str">
        <f>IF($A212="","",IF($P212="NEGATIVE","Issued more than received - add the missing receipt",IF($P212="OUT OF STOCK","Reorder immediately",IF($P212="LOW","Raise purchase order",IF($P212="Set threshold","Enter Critical Low in Items",IF(AND($N212&lt;&gt;"",$N212&lt;=0),"Quarantine expired lot",IF(AND($N212&lt;&gt;"",$N212&lt;=Settings!$C$6),"Use or rotate stock now","")))))))</f>
        <v/>
      </c>
    </row>
    <row r="213" spans="1:17" x14ac:dyDescent="0.35">
      <c r="A213" s="18" t="str">
        <f>IF(Items!$A210="","",Items!$A210)</f>
        <v/>
      </c>
      <c r="B213" s="18" t="str">
        <f>IF($A213="","",Items!$B210)</f>
        <v/>
      </c>
      <c r="C213" s="19" t="str">
        <f>IF($A213="","",Items!$G210)</f>
        <v/>
      </c>
      <c r="D213" s="20" t="str">
        <f>IF($A213="","",N(Items!$D210))</f>
        <v/>
      </c>
      <c r="E213" s="23" t="str">
        <f>IF($A213="","",Items!$E210)</f>
        <v/>
      </c>
      <c r="F213" s="23" t="str">
        <f>IF($A213="","",Items!$F210)</f>
        <v/>
      </c>
      <c r="G213" s="26" t="str">
        <f>IF($A213="","",SUMIFS(tblReceipts[Qty Received],tblReceipts[Item Name],$A213))</f>
        <v/>
      </c>
      <c r="H213" s="26" t="str">
        <f>IF($A213="","",SUMIFS(tblIssues[Qty Issued],tblIssues[Item Name],$A213))</f>
        <v/>
      </c>
      <c r="I213" s="27" t="str">
        <f t="shared" si="9"/>
        <v/>
      </c>
      <c r="J213" s="21" t="str">
        <f t="shared" si="10"/>
        <v/>
      </c>
      <c r="K213" s="26" t="str">
        <f>IF($A213="","",COUNTIFS(tblReceipts[Item Name],$A213))</f>
        <v/>
      </c>
      <c r="L213" s="26" t="str">
        <f>IF($A213="","",COUNTIFS(tblLotBalance[Item Name],$A213,tblLotBalance[Lot Balance],"&gt;0"))</f>
        <v/>
      </c>
      <c r="M213" s="24" t="str">
        <f>IF($A213="","",IF($L213=0,"",IFERROR(_xlfn.MINIFS(tblLotBalance[Expiry Date],tblLotBalance[Item Name],$A213,tblLotBalance[Lot Balance],"&gt;0"),"")))</f>
        <v/>
      </c>
      <c r="N213" s="26" t="str">
        <f t="shared" ca="1" si="11"/>
        <v/>
      </c>
      <c r="O213" s="18" t="str" cm="1">
        <f t="array" ref="O213">IF($M213="","",IFERROR(INDEX(tblLotBalance[Lot Number],MATCH(1,INDEX((tblLotBalance[Item Name]=$A213)*(tblLotBalance[Expiry Date]=$M213)*(tblLotBalance[Lot Balance]&gt;0),0),0)),""))</f>
        <v/>
      </c>
      <c r="P213" s="28" t="str">
        <f>IF($A213="","",IF($I213&lt;0,"NEGATIVE",IF(NOT(ISNUMBER($F213)),"Set threshold",IF($I213&lt;=0,"OUT OF STOCK",IF($I213&lt;=$F213,"LOW",IF($I213&lt;=$F213*Settings!$C$7,"WATCH","OK"))))))</f>
        <v/>
      </c>
      <c r="Q213" s="29" t="str">
        <f>IF($A213="","",IF($P213="NEGATIVE","Issued more than received - add the missing receipt",IF($P213="OUT OF STOCK","Reorder immediately",IF($P213="LOW","Raise purchase order",IF($P213="Set threshold","Enter Critical Low in Items",IF(AND($N213&lt;&gt;"",$N213&lt;=0),"Quarantine expired lot",IF(AND($N213&lt;&gt;"",$N213&lt;=Settings!$C$6),"Use or rotate stock now","")))))))</f>
        <v/>
      </c>
    </row>
    <row r="214" spans="1:17" x14ac:dyDescent="0.35">
      <c r="A214" s="18" t="str">
        <f>IF(Items!$A211="","",Items!$A211)</f>
        <v/>
      </c>
      <c r="B214" s="18" t="str">
        <f>IF($A214="","",Items!$B211)</f>
        <v/>
      </c>
      <c r="C214" s="19" t="str">
        <f>IF($A214="","",Items!$G211)</f>
        <v/>
      </c>
      <c r="D214" s="20" t="str">
        <f>IF($A214="","",N(Items!$D211))</f>
        <v/>
      </c>
      <c r="E214" s="23" t="str">
        <f>IF($A214="","",Items!$E211)</f>
        <v/>
      </c>
      <c r="F214" s="23" t="str">
        <f>IF($A214="","",Items!$F211)</f>
        <v/>
      </c>
      <c r="G214" s="26" t="str">
        <f>IF($A214="","",SUMIFS(tblReceipts[Qty Received],tblReceipts[Item Name],$A214))</f>
        <v/>
      </c>
      <c r="H214" s="26" t="str">
        <f>IF($A214="","",SUMIFS(tblIssues[Qty Issued],tblIssues[Item Name],$A214))</f>
        <v/>
      </c>
      <c r="I214" s="27" t="str">
        <f t="shared" si="9"/>
        <v/>
      </c>
      <c r="J214" s="21" t="str">
        <f t="shared" si="10"/>
        <v/>
      </c>
      <c r="K214" s="26" t="str">
        <f>IF($A214="","",COUNTIFS(tblReceipts[Item Name],$A214))</f>
        <v/>
      </c>
      <c r="L214" s="26" t="str">
        <f>IF($A214="","",COUNTIFS(tblLotBalance[Item Name],$A214,tblLotBalance[Lot Balance],"&gt;0"))</f>
        <v/>
      </c>
      <c r="M214" s="24" t="str">
        <f>IF($A214="","",IF($L214=0,"",IFERROR(_xlfn.MINIFS(tblLotBalance[Expiry Date],tblLotBalance[Item Name],$A214,tblLotBalance[Lot Balance],"&gt;0"),"")))</f>
        <v/>
      </c>
      <c r="N214" s="26" t="str">
        <f t="shared" ca="1" si="11"/>
        <v/>
      </c>
      <c r="O214" s="18" t="str" cm="1">
        <f t="array" ref="O214">IF($M214="","",IFERROR(INDEX(tblLotBalance[Lot Number],MATCH(1,INDEX((tblLotBalance[Item Name]=$A214)*(tblLotBalance[Expiry Date]=$M214)*(tblLotBalance[Lot Balance]&gt;0),0),0)),""))</f>
        <v/>
      </c>
      <c r="P214" s="28" t="str">
        <f>IF($A214="","",IF($I214&lt;0,"NEGATIVE",IF(NOT(ISNUMBER($F214)),"Set threshold",IF($I214&lt;=0,"OUT OF STOCK",IF($I214&lt;=$F214,"LOW",IF($I214&lt;=$F214*Settings!$C$7,"WATCH","OK"))))))</f>
        <v/>
      </c>
      <c r="Q214" s="29" t="str">
        <f>IF($A214="","",IF($P214="NEGATIVE","Issued more than received - add the missing receipt",IF($P214="OUT OF STOCK","Reorder immediately",IF($P214="LOW","Raise purchase order",IF($P214="Set threshold","Enter Critical Low in Items",IF(AND($N214&lt;&gt;"",$N214&lt;=0),"Quarantine expired lot",IF(AND($N214&lt;&gt;"",$N214&lt;=Settings!$C$6),"Use or rotate stock now","")))))))</f>
        <v/>
      </c>
    </row>
    <row r="215" spans="1:17" x14ac:dyDescent="0.35">
      <c r="A215" s="18" t="str">
        <f>IF(Items!$A212="","",Items!$A212)</f>
        <v/>
      </c>
      <c r="B215" s="18" t="str">
        <f>IF($A215="","",Items!$B212)</f>
        <v/>
      </c>
      <c r="C215" s="19" t="str">
        <f>IF($A215="","",Items!$G212)</f>
        <v/>
      </c>
      <c r="D215" s="20" t="str">
        <f>IF($A215="","",N(Items!$D212))</f>
        <v/>
      </c>
      <c r="E215" s="23" t="str">
        <f>IF($A215="","",Items!$E212)</f>
        <v/>
      </c>
      <c r="F215" s="23" t="str">
        <f>IF($A215="","",Items!$F212)</f>
        <v/>
      </c>
      <c r="G215" s="26" t="str">
        <f>IF($A215="","",SUMIFS(tblReceipts[Qty Received],tblReceipts[Item Name],$A215))</f>
        <v/>
      </c>
      <c r="H215" s="26" t="str">
        <f>IF($A215="","",SUMIFS(tblIssues[Qty Issued],tblIssues[Item Name],$A215))</f>
        <v/>
      </c>
      <c r="I215" s="27" t="str">
        <f t="shared" si="9"/>
        <v/>
      </c>
      <c r="J215" s="21" t="str">
        <f t="shared" si="10"/>
        <v/>
      </c>
      <c r="K215" s="26" t="str">
        <f>IF($A215="","",COUNTIFS(tblReceipts[Item Name],$A215))</f>
        <v/>
      </c>
      <c r="L215" s="26" t="str">
        <f>IF($A215="","",COUNTIFS(tblLotBalance[Item Name],$A215,tblLotBalance[Lot Balance],"&gt;0"))</f>
        <v/>
      </c>
      <c r="M215" s="24" t="str">
        <f>IF($A215="","",IF($L215=0,"",IFERROR(_xlfn.MINIFS(tblLotBalance[Expiry Date],tblLotBalance[Item Name],$A215,tblLotBalance[Lot Balance],"&gt;0"),"")))</f>
        <v/>
      </c>
      <c r="N215" s="26" t="str">
        <f t="shared" ca="1" si="11"/>
        <v/>
      </c>
      <c r="O215" s="18" t="str" cm="1">
        <f t="array" ref="O215">IF($M215="","",IFERROR(INDEX(tblLotBalance[Lot Number],MATCH(1,INDEX((tblLotBalance[Item Name]=$A215)*(tblLotBalance[Expiry Date]=$M215)*(tblLotBalance[Lot Balance]&gt;0),0),0)),""))</f>
        <v/>
      </c>
      <c r="P215" s="28" t="str">
        <f>IF($A215="","",IF($I215&lt;0,"NEGATIVE",IF(NOT(ISNUMBER($F215)),"Set threshold",IF($I215&lt;=0,"OUT OF STOCK",IF($I215&lt;=$F215,"LOW",IF($I215&lt;=$F215*Settings!$C$7,"WATCH","OK"))))))</f>
        <v/>
      </c>
      <c r="Q215" s="29" t="str">
        <f>IF($A215="","",IF($P215="NEGATIVE","Issued more than received - add the missing receipt",IF($P215="OUT OF STOCK","Reorder immediately",IF($P215="LOW","Raise purchase order",IF($P215="Set threshold","Enter Critical Low in Items",IF(AND($N215&lt;&gt;"",$N215&lt;=0),"Quarantine expired lot",IF(AND($N215&lt;&gt;"",$N215&lt;=Settings!$C$6),"Use or rotate stock now","")))))))</f>
        <v/>
      </c>
    </row>
    <row r="216" spans="1:17" x14ac:dyDescent="0.35">
      <c r="A216" s="18" t="str">
        <f>IF(Items!$A213="","",Items!$A213)</f>
        <v/>
      </c>
      <c r="B216" s="18" t="str">
        <f>IF($A216="","",Items!$B213)</f>
        <v/>
      </c>
      <c r="C216" s="19" t="str">
        <f>IF($A216="","",Items!$G213)</f>
        <v/>
      </c>
      <c r="D216" s="20" t="str">
        <f>IF($A216="","",N(Items!$D213))</f>
        <v/>
      </c>
      <c r="E216" s="23" t="str">
        <f>IF($A216="","",Items!$E213)</f>
        <v/>
      </c>
      <c r="F216" s="23" t="str">
        <f>IF($A216="","",Items!$F213)</f>
        <v/>
      </c>
      <c r="G216" s="26" t="str">
        <f>IF($A216="","",SUMIFS(tblReceipts[Qty Received],tblReceipts[Item Name],$A216))</f>
        <v/>
      </c>
      <c r="H216" s="26" t="str">
        <f>IF($A216="","",SUMIFS(tblIssues[Qty Issued],tblIssues[Item Name],$A216))</f>
        <v/>
      </c>
      <c r="I216" s="27" t="str">
        <f t="shared" si="9"/>
        <v/>
      </c>
      <c r="J216" s="21" t="str">
        <f t="shared" si="10"/>
        <v/>
      </c>
      <c r="K216" s="26" t="str">
        <f>IF($A216="","",COUNTIFS(tblReceipts[Item Name],$A216))</f>
        <v/>
      </c>
      <c r="L216" s="26" t="str">
        <f>IF($A216="","",COUNTIFS(tblLotBalance[Item Name],$A216,tblLotBalance[Lot Balance],"&gt;0"))</f>
        <v/>
      </c>
      <c r="M216" s="24" t="str">
        <f>IF($A216="","",IF($L216=0,"",IFERROR(_xlfn.MINIFS(tblLotBalance[Expiry Date],tblLotBalance[Item Name],$A216,tblLotBalance[Lot Balance],"&gt;0"),"")))</f>
        <v/>
      </c>
      <c r="N216" s="26" t="str">
        <f t="shared" ca="1" si="11"/>
        <v/>
      </c>
      <c r="O216" s="18" t="str" cm="1">
        <f t="array" ref="O216">IF($M216="","",IFERROR(INDEX(tblLotBalance[Lot Number],MATCH(1,INDEX((tblLotBalance[Item Name]=$A216)*(tblLotBalance[Expiry Date]=$M216)*(tblLotBalance[Lot Balance]&gt;0),0),0)),""))</f>
        <v/>
      </c>
      <c r="P216" s="28" t="str">
        <f>IF($A216="","",IF($I216&lt;0,"NEGATIVE",IF(NOT(ISNUMBER($F216)),"Set threshold",IF($I216&lt;=0,"OUT OF STOCK",IF($I216&lt;=$F216,"LOW",IF($I216&lt;=$F216*Settings!$C$7,"WATCH","OK"))))))</f>
        <v/>
      </c>
      <c r="Q216" s="29" t="str">
        <f>IF($A216="","",IF($P216="NEGATIVE","Issued more than received - add the missing receipt",IF($P216="OUT OF STOCK","Reorder immediately",IF($P216="LOW","Raise purchase order",IF($P216="Set threshold","Enter Critical Low in Items",IF(AND($N216&lt;&gt;"",$N216&lt;=0),"Quarantine expired lot",IF(AND($N216&lt;&gt;"",$N216&lt;=Settings!$C$6),"Use or rotate stock now","")))))))</f>
        <v/>
      </c>
    </row>
    <row r="217" spans="1:17" x14ac:dyDescent="0.35">
      <c r="A217" s="18" t="str">
        <f>IF(Items!$A214="","",Items!$A214)</f>
        <v/>
      </c>
      <c r="B217" s="18" t="str">
        <f>IF($A217="","",Items!$B214)</f>
        <v/>
      </c>
      <c r="C217" s="19" t="str">
        <f>IF($A217="","",Items!$G214)</f>
        <v/>
      </c>
      <c r="D217" s="20" t="str">
        <f>IF($A217="","",N(Items!$D214))</f>
        <v/>
      </c>
      <c r="E217" s="23" t="str">
        <f>IF($A217="","",Items!$E214)</f>
        <v/>
      </c>
      <c r="F217" s="23" t="str">
        <f>IF($A217="","",Items!$F214)</f>
        <v/>
      </c>
      <c r="G217" s="26" t="str">
        <f>IF($A217="","",SUMIFS(tblReceipts[Qty Received],tblReceipts[Item Name],$A217))</f>
        <v/>
      </c>
      <c r="H217" s="26" t="str">
        <f>IF($A217="","",SUMIFS(tblIssues[Qty Issued],tblIssues[Item Name],$A217))</f>
        <v/>
      </c>
      <c r="I217" s="27" t="str">
        <f t="shared" si="9"/>
        <v/>
      </c>
      <c r="J217" s="21" t="str">
        <f t="shared" si="10"/>
        <v/>
      </c>
      <c r="K217" s="26" t="str">
        <f>IF($A217="","",COUNTIFS(tblReceipts[Item Name],$A217))</f>
        <v/>
      </c>
      <c r="L217" s="26" t="str">
        <f>IF($A217="","",COUNTIFS(tblLotBalance[Item Name],$A217,tblLotBalance[Lot Balance],"&gt;0"))</f>
        <v/>
      </c>
      <c r="M217" s="24" t="str">
        <f>IF($A217="","",IF($L217=0,"",IFERROR(_xlfn.MINIFS(tblLotBalance[Expiry Date],tblLotBalance[Item Name],$A217,tblLotBalance[Lot Balance],"&gt;0"),"")))</f>
        <v/>
      </c>
      <c r="N217" s="26" t="str">
        <f t="shared" ca="1" si="11"/>
        <v/>
      </c>
      <c r="O217" s="18" t="str" cm="1">
        <f t="array" ref="O217">IF($M217="","",IFERROR(INDEX(tblLotBalance[Lot Number],MATCH(1,INDEX((tblLotBalance[Item Name]=$A217)*(tblLotBalance[Expiry Date]=$M217)*(tblLotBalance[Lot Balance]&gt;0),0),0)),""))</f>
        <v/>
      </c>
      <c r="P217" s="28" t="str">
        <f>IF($A217="","",IF($I217&lt;0,"NEGATIVE",IF(NOT(ISNUMBER($F217)),"Set threshold",IF($I217&lt;=0,"OUT OF STOCK",IF($I217&lt;=$F217,"LOW",IF($I217&lt;=$F217*Settings!$C$7,"WATCH","OK"))))))</f>
        <v/>
      </c>
      <c r="Q217" s="29" t="str">
        <f>IF($A217="","",IF($P217="NEGATIVE","Issued more than received - add the missing receipt",IF($P217="OUT OF STOCK","Reorder immediately",IF($P217="LOW","Raise purchase order",IF($P217="Set threshold","Enter Critical Low in Items",IF(AND($N217&lt;&gt;"",$N217&lt;=0),"Quarantine expired lot",IF(AND($N217&lt;&gt;"",$N217&lt;=Settings!$C$6),"Use or rotate stock now","")))))))</f>
        <v/>
      </c>
    </row>
    <row r="218" spans="1:17" x14ac:dyDescent="0.35">
      <c r="A218" s="18" t="str">
        <f>IF(Items!$A215="","",Items!$A215)</f>
        <v/>
      </c>
      <c r="B218" s="18" t="str">
        <f>IF($A218="","",Items!$B215)</f>
        <v/>
      </c>
      <c r="C218" s="19" t="str">
        <f>IF($A218="","",Items!$G215)</f>
        <v/>
      </c>
      <c r="D218" s="20" t="str">
        <f>IF($A218="","",N(Items!$D215))</f>
        <v/>
      </c>
      <c r="E218" s="23" t="str">
        <f>IF($A218="","",Items!$E215)</f>
        <v/>
      </c>
      <c r="F218" s="23" t="str">
        <f>IF($A218="","",Items!$F215)</f>
        <v/>
      </c>
      <c r="G218" s="26" t="str">
        <f>IF($A218="","",SUMIFS(tblReceipts[Qty Received],tblReceipts[Item Name],$A218))</f>
        <v/>
      </c>
      <c r="H218" s="26" t="str">
        <f>IF($A218="","",SUMIFS(tblIssues[Qty Issued],tblIssues[Item Name],$A218))</f>
        <v/>
      </c>
      <c r="I218" s="27" t="str">
        <f t="shared" si="9"/>
        <v/>
      </c>
      <c r="J218" s="21" t="str">
        <f t="shared" si="10"/>
        <v/>
      </c>
      <c r="K218" s="26" t="str">
        <f>IF($A218="","",COUNTIFS(tblReceipts[Item Name],$A218))</f>
        <v/>
      </c>
      <c r="L218" s="26" t="str">
        <f>IF($A218="","",COUNTIFS(tblLotBalance[Item Name],$A218,tblLotBalance[Lot Balance],"&gt;0"))</f>
        <v/>
      </c>
      <c r="M218" s="24" t="str">
        <f>IF($A218="","",IF($L218=0,"",IFERROR(_xlfn.MINIFS(tblLotBalance[Expiry Date],tblLotBalance[Item Name],$A218,tblLotBalance[Lot Balance],"&gt;0"),"")))</f>
        <v/>
      </c>
      <c r="N218" s="26" t="str">
        <f t="shared" ca="1" si="11"/>
        <v/>
      </c>
      <c r="O218" s="18" t="str" cm="1">
        <f t="array" ref="O218">IF($M218="","",IFERROR(INDEX(tblLotBalance[Lot Number],MATCH(1,INDEX((tblLotBalance[Item Name]=$A218)*(tblLotBalance[Expiry Date]=$M218)*(tblLotBalance[Lot Balance]&gt;0),0),0)),""))</f>
        <v/>
      </c>
      <c r="P218" s="28" t="str">
        <f>IF($A218="","",IF($I218&lt;0,"NEGATIVE",IF(NOT(ISNUMBER($F218)),"Set threshold",IF($I218&lt;=0,"OUT OF STOCK",IF($I218&lt;=$F218,"LOW",IF($I218&lt;=$F218*Settings!$C$7,"WATCH","OK"))))))</f>
        <v/>
      </c>
      <c r="Q218" s="29" t="str">
        <f>IF($A218="","",IF($P218="NEGATIVE","Issued more than received - add the missing receipt",IF($P218="OUT OF STOCK","Reorder immediately",IF($P218="LOW","Raise purchase order",IF($P218="Set threshold","Enter Critical Low in Items",IF(AND($N218&lt;&gt;"",$N218&lt;=0),"Quarantine expired lot",IF(AND($N218&lt;&gt;"",$N218&lt;=Settings!$C$6),"Use or rotate stock now","")))))))</f>
        <v/>
      </c>
    </row>
    <row r="219" spans="1:17" x14ac:dyDescent="0.35">
      <c r="A219" s="18" t="str">
        <f>IF(Items!$A216="","",Items!$A216)</f>
        <v/>
      </c>
      <c r="B219" s="18" t="str">
        <f>IF($A219="","",Items!$B216)</f>
        <v/>
      </c>
      <c r="C219" s="19" t="str">
        <f>IF($A219="","",Items!$G216)</f>
        <v/>
      </c>
      <c r="D219" s="20" t="str">
        <f>IF($A219="","",N(Items!$D216))</f>
        <v/>
      </c>
      <c r="E219" s="23" t="str">
        <f>IF($A219="","",Items!$E216)</f>
        <v/>
      </c>
      <c r="F219" s="23" t="str">
        <f>IF($A219="","",Items!$F216)</f>
        <v/>
      </c>
      <c r="G219" s="26" t="str">
        <f>IF($A219="","",SUMIFS(tblReceipts[Qty Received],tblReceipts[Item Name],$A219))</f>
        <v/>
      </c>
      <c r="H219" s="26" t="str">
        <f>IF($A219="","",SUMIFS(tblIssues[Qty Issued],tblIssues[Item Name],$A219))</f>
        <v/>
      </c>
      <c r="I219" s="27" t="str">
        <f t="shared" si="9"/>
        <v/>
      </c>
      <c r="J219" s="21" t="str">
        <f t="shared" si="10"/>
        <v/>
      </c>
      <c r="K219" s="26" t="str">
        <f>IF($A219="","",COUNTIFS(tblReceipts[Item Name],$A219))</f>
        <v/>
      </c>
      <c r="L219" s="26" t="str">
        <f>IF($A219="","",COUNTIFS(tblLotBalance[Item Name],$A219,tblLotBalance[Lot Balance],"&gt;0"))</f>
        <v/>
      </c>
      <c r="M219" s="24" t="str">
        <f>IF($A219="","",IF($L219=0,"",IFERROR(_xlfn.MINIFS(tblLotBalance[Expiry Date],tblLotBalance[Item Name],$A219,tblLotBalance[Lot Balance],"&gt;0"),"")))</f>
        <v/>
      </c>
      <c r="N219" s="26" t="str">
        <f t="shared" ca="1" si="11"/>
        <v/>
      </c>
      <c r="O219" s="18" t="str" cm="1">
        <f t="array" ref="O219">IF($M219="","",IFERROR(INDEX(tblLotBalance[Lot Number],MATCH(1,INDEX((tblLotBalance[Item Name]=$A219)*(tblLotBalance[Expiry Date]=$M219)*(tblLotBalance[Lot Balance]&gt;0),0),0)),""))</f>
        <v/>
      </c>
      <c r="P219" s="28" t="str">
        <f>IF($A219="","",IF($I219&lt;0,"NEGATIVE",IF(NOT(ISNUMBER($F219)),"Set threshold",IF($I219&lt;=0,"OUT OF STOCK",IF($I219&lt;=$F219,"LOW",IF($I219&lt;=$F219*Settings!$C$7,"WATCH","OK"))))))</f>
        <v/>
      </c>
      <c r="Q219" s="29" t="str">
        <f>IF($A219="","",IF($P219="NEGATIVE","Issued more than received - add the missing receipt",IF($P219="OUT OF STOCK","Reorder immediately",IF($P219="LOW","Raise purchase order",IF($P219="Set threshold","Enter Critical Low in Items",IF(AND($N219&lt;&gt;"",$N219&lt;=0),"Quarantine expired lot",IF(AND($N219&lt;&gt;"",$N219&lt;=Settings!$C$6),"Use or rotate stock now","")))))))</f>
        <v/>
      </c>
    </row>
    <row r="220" spans="1:17" x14ac:dyDescent="0.35">
      <c r="A220" s="18" t="str">
        <f>IF(Items!$A217="","",Items!$A217)</f>
        <v/>
      </c>
      <c r="B220" s="18" t="str">
        <f>IF($A220="","",Items!$B217)</f>
        <v/>
      </c>
      <c r="C220" s="19" t="str">
        <f>IF($A220="","",Items!$G217)</f>
        <v/>
      </c>
      <c r="D220" s="20" t="str">
        <f>IF($A220="","",N(Items!$D217))</f>
        <v/>
      </c>
      <c r="E220" s="23" t="str">
        <f>IF($A220="","",Items!$E217)</f>
        <v/>
      </c>
      <c r="F220" s="23" t="str">
        <f>IF($A220="","",Items!$F217)</f>
        <v/>
      </c>
      <c r="G220" s="26" t="str">
        <f>IF($A220="","",SUMIFS(tblReceipts[Qty Received],tblReceipts[Item Name],$A220))</f>
        <v/>
      </c>
      <c r="H220" s="26" t="str">
        <f>IF($A220="","",SUMIFS(tblIssues[Qty Issued],tblIssues[Item Name],$A220))</f>
        <v/>
      </c>
      <c r="I220" s="27" t="str">
        <f t="shared" si="9"/>
        <v/>
      </c>
      <c r="J220" s="21" t="str">
        <f t="shared" si="10"/>
        <v/>
      </c>
      <c r="K220" s="26" t="str">
        <f>IF($A220="","",COUNTIFS(tblReceipts[Item Name],$A220))</f>
        <v/>
      </c>
      <c r="L220" s="26" t="str">
        <f>IF($A220="","",COUNTIFS(tblLotBalance[Item Name],$A220,tblLotBalance[Lot Balance],"&gt;0"))</f>
        <v/>
      </c>
      <c r="M220" s="24" t="str">
        <f>IF($A220="","",IF($L220=0,"",IFERROR(_xlfn.MINIFS(tblLotBalance[Expiry Date],tblLotBalance[Item Name],$A220,tblLotBalance[Lot Balance],"&gt;0"),"")))</f>
        <v/>
      </c>
      <c r="N220" s="26" t="str">
        <f t="shared" ca="1" si="11"/>
        <v/>
      </c>
      <c r="O220" s="18" t="str" cm="1">
        <f t="array" ref="O220">IF($M220="","",IFERROR(INDEX(tblLotBalance[Lot Number],MATCH(1,INDEX((tblLotBalance[Item Name]=$A220)*(tblLotBalance[Expiry Date]=$M220)*(tblLotBalance[Lot Balance]&gt;0),0),0)),""))</f>
        <v/>
      </c>
      <c r="P220" s="28" t="str">
        <f>IF($A220="","",IF($I220&lt;0,"NEGATIVE",IF(NOT(ISNUMBER($F220)),"Set threshold",IF($I220&lt;=0,"OUT OF STOCK",IF($I220&lt;=$F220,"LOW",IF($I220&lt;=$F220*Settings!$C$7,"WATCH","OK"))))))</f>
        <v/>
      </c>
      <c r="Q220" s="29" t="str">
        <f>IF($A220="","",IF($P220="NEGATIVE","Issued more than received - add the missing receipt",IF($P220="OUT OF STOCK","Reorder immediately",IF($P220="LOW","Raise purchase order",IF($P220="Set threshold","Enter Critical Low in Items",IF(AND($N220&lt;&gt;"",$N220&lt;=0),"Quarantine expired lot",IF(AND($N220&lt;&gt;"",$N220&lt;=Settings!$C$6),"Use or rotate stock now","")))))))</f>
        <v/>
      </c>
    </row>
    <row r="221" spans="1:17" x14ac:dyDescent="0.35">
      <c r="A221" s="18" t="str">
        <f>IF(Items!$A218="","",Items!$A218)</f>
        <v/>
      </c>
      <c r="B221" s="18" t="str">
        <f>IF($A221="","",Items!$B218)</f>
        <v/>
      </c>
      <c r="C221" s="19" t="str">
        <f>IF($A221="","",Items!$G218)</f>
        <v/>
      </c>
      <c r="D221" s="20" t="str">
        <f>IF($A221="","",N(Items!$D218))</f>
        <v/>
      </c>
      <c r="E221" s="23" t="str">
        <f>IF($A221="","",Items!$E218)</f>
        <v/>
      </c>
      <c r="F221" s="23" t="str">
        <f>IF($A221="","",Items!$F218)</f>
        <v/>
      </c>
      <c r="G221" s="26" t="str">
        <f>IF($A221="","",SUMIFS(tblReceipts[Qty Received],tblReceipts[Item Name],$A221))</f>
        <v/>
      </c>
      <c r="H221" s="26" t="str">
        <f>IF($A221="","",SUMIFS(tblIssues[Qty Issued],tblIssues[Item Name],$A221))</f>
        <v/>
      </c>
      <c r="I221" s="27" t="str">
        <f t="shared" si="9"/>
        <v/>
      </c>
      <c r="J221" s="21" t="str">
        <f t="shared" si="10"/>
        <v/>
      </c>
      <c r="K221" s="26" t="str">
        <f>IF($A221="","",COUNTIFS(tblReceipts[Item Name],$A221))</f>
        <v/>
      </c>
      <c r="L221" s="26" t="str">
        <f>IF($A221="","",COUNTIFS(tblLotBalance[Item Name],$A221,tblLotBalance[Lot Balance],"&gt;0"))</f>
        <v/>
      </c>
      <c r="M221" s="24" t="str">
        <f>IF($A221="","",IF($L221=0,"",IFERROR(_xlfn.MINIFS(tblLotBalance[Expiry Date],tblLotBalance[Item Name],$A221,tblLotBalance[Lot Balance],"&gt;0"),"")))</f>
        <v/>
      </c>
      <c r="N221" s="26" t="str">
        <f t="shared" ca="1" si="11"/>
        <v/>
      </c>
      <c r="O221" s="18" t="str" cm="1">
        <f t="array" ref="O221">IF($M221="","",IFERROR(INDEX(tblLotBalance[Lot Number],MATCH(1,INDEX((tblLotBalance[Item Name]=$A221)*(tblLotBalance[Expiry Date]=$M221)*(tblLotBalance[Lot Balance]&gt;0),0),0)),""))</f>
        <v/>
      </c>
      <c r="P221" s="28" t="str">
        <f>IF($A221="","",IF($I221&lt;0,"NEGATIVE",IF(NOT(ISNUMBER($F221)),"Set threshold",IF($I221&lt;=0,"OUT OF STOCK",IF($I221&lt;=$F221,"LOW",IF($I221&lt;=$F221*Settings!$C$7,"WATCH","OK"))))))</f>
        <v/>
      </c>
      <c r="Q221" s="29" t="str">
        <f>IF($A221="","",IF($P221="NEGATIVE","Issued more than received - add the missing receipt",IF($P221="OUT OF STOCK","Reorder immediately",IF($P221="LOW","Raise purchase order",IF($P221="Set threshold","Enter Critical Low in Items",IF(AND($N221&lt;&gt;"",$N221&lt;=0),"Quarantine expired lot",IF(AND($N221&lt;&gt;"",$N221&lt;=Settings!$C$6),"Use or rotate stock now","")))))))</f>
        <v/>
      </c>
    </row>
    <row r="222" spans="1:17" x14ac:dyDescent="0.35">
      <c r="A222" s="18" t="str">
        <f>IF(Items!$A219="","",Items!$A219)</f>
        <v/>
      </c>
      <c r="B222" s="18" t="str">
        <f>IF($A222="","",Items!$B219)</f>
        <v/>
      </c>
      <c r="C222" s="19" t="str">
        <f>IF($A222="","",Items!$G219)</f>
        <v/>
      </c>
      <c r="D222" s="20" t="str">
        <f>IF($A222="","",N(Items!$D219))</f>
        <v/>
      </c>
      <c r="E222" s="23" t="str">
        <f>IF($A222="","",Items!$E219)</f>
        <v/>
      </c>
      <c r="F222" s="23" t="str">
        <f>IF($A222="","",Items!$F219)</f>
        <v/>
      </c>
      <c r="G222" s="26" t="str">
        <f>IF($A222="","",SUMIFS(tblReceipts[Qty Received],tblReceipts[Item Name],$A222))</f>
        <v/>
      </c>
      <c r="H222" s="26" t="str">
        <f>IF($A222="","",SUMIFS(tblIssues[Qty Issued],tblIssues[Item Name],$A222))</f>
        <v/>
      </c>
      <c r="I222" s="27" t="str">
        <f t="shared" si="9"/>
        <v/>
      </c>
      <c r="J222" s="21" t="str">
        <f t="shared" si="10"/>
        <v/>
      </c>
      <c r="K222" s="26" t="str">
        <f>IF($A222="","",COUNTIFS(tblReceipts[Item Name],$A222))</f>
        <v/>
      </c>
      <c r="L222" s="26" t="str">
        <f>IF($A222="","",COUNTIFS(tblLotBalance[Item Name],$A222,tblLotBalance[Lot Balance],"&gt;0"))</f>
        <v/>
      </c>
      <c r="M222" s="24" t="str">
        <f>IF($A222="","",IF($L222=0,"",IFERROR(_xlfn.MINIFS(tblLotBalance[Expiry Date],tblLotBalance[Item Name],$A222,tblLotBalance[Lot Balance],"&gt;0"),"")))</f>
        <v/>
      </c>
      <c r="N222" s="26" t="str">
        <f t="shared" ca="1" si="11"/>
        <v/>
      </c>
      <c r="O222" s="18" t="str" cm="1">
        <f t="array" ref="O222">IF($M222="","",IFERROR(INDEX(tblLotBalance[Lot Number],MATCH(1,INDEX((tblLotBalance[Item Name]=$A222)*(tblLotBalance[Expiry Date]=$M222)*(tblLotBalance[Lot Balance]&gt;0),0),0)),""))</f>
        <v/>
      </c>
      <c r="P222" s="28" t="str">
        <f>IF($A222="","",IF($I222&lt;0,"NEGATIVE",IF(NOT(ISNUMBER($F222)),"Set threshold",IF($I222&lt;=0,"OUT OF STOCK",IF($I222&lt;=$F222,"LOW",IF($I222&lt;=$F222*Settings!$C$7,"WATCH","OK"))))))</f>
        <v/>
      </c>
      <c r="Q222" s="29" t="str">
        <f>IF($A222="","",IF($P222="NEGATIVE","Issued more than received - add the missing receipt",IF($P222="OUT OF STOCK","Reorder immediately",IF($P222="LOW","Raise purchase order",IF($P222="Set threshold","Enter Critical Low in Items",IF(AND($N222&lt;&gt;"",$N222&lt;=0),"Quarantine expired lot",IF(AND($N222&lt;&gt;"",$N222&lt;=Settings!$C$6),"Use or rotate stock now","")))))))</f>
        <v/>
      </c>
    </row>
    <row r="223" spans="1:17" x14ac:dyDescent="0.35">
      <c r="A223" s="18" t="str">
        <f>IF(Items!$A220="","",Items!$A220)</f>
        <v/>
      </c>
      <c r="B223" s="18" t="str">
        <f>IF($A223="","",Items!$B220)</f>
        <v/>
      </c>
      <c r="C223" s="19" t="str">
        <f>IF($A223="","",Items!$G220)</f>
        <v/>
      </c>
      <c r="D223" s="20" t="str">
        <f>IF($A223="","",N(Items!$D220))</f>
        <v/>
      </c>
      <c r="E223" s="23" t="str">
        <f>IF($A223="","",Items!$E220)</f>
        <v/>
      </c>
      <c r="F223" s="23" t="str">
        <f>IF($A223="","",Items!$F220)</f>
        <v/>
      </c>
      <c r="G223" s="26" t="str">
        <f>IF($A223="","",SUMIFS(tblReceipts[Qty Received],tblReceipts[Item Name],$A223))</f>
        <v/>
      </c>
      <c r="H223" s="26" t="str">
        <f>IF($A223="","",SUMIFS(tblIssues[Qty Issued],tblIssues[Item Name],$A223))</f>
        <v/>
      </c>
      <c r="I223" s="27" t="str">
        <f t="shared" si="9"/>
        <v/>
      </c>
      <c r="J223" s="21" t="str">
        <f t="shared" si="10"/>
        <v/>
      </c>
      <c r="K223" s="26" t="str">
        <f>IF($A223="","",COUNTIFS(tblReceipts[Item Name],$A223))</f>
        <v/>
      </c>
      <c r="L223" s="26" t="str">
        <f>IF($A223="","",COUNTIFS(tblLotBalance[Item Name],$A223,tblLotBalance[Lot Balance],"&gt;0"))</f>
        <v/>
      </c>
      <c r="M223" s="24" t="str">
        <f>IF($A223="","",IF($L223=0,"",IFERROR(_xlfn.MINIFS(tblLotBalance[Expiry Date],tblLotBalance[Item Name],$A223,tblLotBalance[Lot Balance],"&gt;0"),"")))</f>
        <v/>
      </c>
      <c r="N223" s="26" t="str">
        <f t="shared" ca="1" si="11"/>
        <v/>
      </c>
      <c r="O223" s="18" t="str" cm="1">
        <f t="array" ref="O223">IF($M223="","",IFERROR(INDEX(tblLotBalance[Lot Number],MATCH(1,INDEX((tblLotBalance[Item Name]=$A223)*(tblLotBalance[Expiry Date]=$M223)*(tblLotBalance[Lot Balance]&gt;0),0),0)),""))</f>
        <v/>
      </c>
      <c r="P223" s="28" t="str">
        <f>IF($A223="","",IF($I223&lt;0,"NEGATIVE",IF(NOT(ISNUMBER($F223)),"Set threshold",IF($I223&lt;=0,"OUT OF STOCK",IF($I223&lt;=$F223,"LOW",IF($I223&lt;=$F223*Settings!$C$7,"WATCH","OK"))))))</f>
        <v/>
      </c>
      <c r="Q223" s="29" t="str">
        <f>IF($A223="","",IF($P223="NEGATIVE","Issued more than received - add the missing receipt",IF($P223="OUT OF STOCK","Reorder immediately",IF($P223="LOW","Raise purchase order",IF($P223="Set threshold","Enter Critical Low in Items",IF(AND($N223&lt;&gt;"",$N223&lt;=0),"Quarantine expired lot",IF(AND($N223&lt;&gt;"",$N223&lt;=Settings!$C$6),"Use or rotate stock now","")))))))</f>
        <v/>
      </c>
    </row>
    <row r="224" spans="1:17" x14ac:dyDescent="0.35">
      <c r="A224" s="18" t="str">
        <f>IF(Items!$A221="","",Items!$A221)</f>
        <v/>
      </c>
      <c r="B224" s="18" t="str">
        <f>IF($A224="","",Items!$B221)</f>
        <v/>
      </c>
      <c r="C224" s="19" t="str">
        <f>IF($A224="","",Items!$G221)</f>
        <v/>
      </c>
      <c r="D224" s="20" t="str">
        <f>IF($A224="","",N(Items!$D221))</f>
        <v/>
      </c>
      <c r="E224" s="23" t="str">
        <f>IF($A224="","",Items!$E221)</f>
        <v/>
      </c>
      <c r="F224" s="23" t="str">
        <f>IF($A224="","",Items!$F221)</f>
        <v/>
      </c>
      <c r="G224" s="26" t="str">
        <f>IF($A224="","",SUMIFS(tblReceipts[Qty Received],tblReceipts[Item Name],$A224))</f>
        <v/>
      </c>
      <c r="H224" s="26" t="str">
        <f>IF($A224="","",SUMIFS(tblIssues[Qty Issued],tblIssues[Item Name],$A224))</f>
        <v/>
      </c>
      <c r="I224" s="27" t="str">
        <f t="shared" si="9"/>
        <v/>
      </c>
      <c r="J224" s="21" t="str">
        <f t="shared" si="10"/>
        <v/>
      </c>
      <c r="K224" s="26" t="str">
        <f>IF($A224="","",COUNTIFS(tblReceipts[Item Name],$A224))</f>
        <v/>
      </c>
      <c r="L224" s="26" t="str">
        <f>IF($A224="","",COUNTIFS(tblLotBalance[Item Name],$A224,tblLotBalance[Lot Balance],"&gt;0"))</f>
        <v/>
      </c>
      <c r="M224" s="24" t="str">
        <f>IF($A224="","",IF($L224=0,"",IFERROR(_xlfn.MINIFS(tblLotBalance[Expiry Date],tblLotBalance[Item Name],$A224,tblLotBalance[Lot Balance],"&gt;0"),"")))</f>
        <v/>
      </c>
      <c r="N224" s="26" t="str">
        <f t="shared" ca="1" si="11"/>
        <v/>
      </c>
      <c r="O224" s="18" t="str" cm="1">
        <f t="array" ref="O224">IF($M224="","",IFERROR(INDEX(tblLotBalance[Lot Number],MATCH(1,INDEX((tblLotBalance[Item Name]=$A224)*(tblLotBalance[Expiry Date]=$M224)*(tblLotBalance[Lot Balance]&gt;0),0),0)),""))</f>
        <v/>
      </c>
      <c r="P224" s="28" t="str">
        <f>IF($A224="","",IF($I224&lt;0,"NEGATIVE",IF(NOT(ISNUMBER($F224)),"Set threshold",IF($I224&lt;=0,"OUT OF STOCK",IF($I224&lt;=$F224,"LOW",IF($I224&lt;=$F224*Settings!$C$7,"WATCH","OK"))))))</f>
        <v/>
      </c>
      <c r="Q224" s="29" t="str">
        <f>IF($A224="","",IF($P224="NEGATIVE","Issued more than received - add the missing receipt",IF($P224="OUT OF STOCK","Reorder immediately",IF($P224="LOW","Raise purchase order",IF($P224="Set threshold","Enter Critical Low in Items",IF(AND($N224&lt;&gt;"",$N224&lt;=0),"Quarantine expired lot",IF(AND($N224&lt;&gt;"",$N224&lt;=Settings!$C$6),"Use or rotate stock now","")))))))</f>
        <v/>
      </c>
    </row>
    <row r="225" spans="1:17" x14ac:dyDescent="0.35">
      <c r="A225" s="18" t="str">
        <f>IF(Items!$A222="","",Items!$A222)</f>
        <v/>
      </c>
      <c r="B225" s="18" t="str">
        <f>IF($A225="","",Items!$B222)</f>
        <v/>
      </c>
      <c r="C225" s="19" t="str">
        <f>IF($A225="","",Items!$G222)</f>
        <v/>
      </c>
      <c r="D225" s="20" t="str">
        <f>IF($A225="","",N(Items!$D222))</f>
        <v/>
      </c>
      <c r="E225" s="23" t="str">
        <f>IF($A225="","",Items!$E222)</f>
        <v/>
      </c>
      <c r="F225" s="23" t="str">
        <f>IF($A225="","",Items!$F222)</f>
        <v/>
      </c>
      <c r="G225" s="26" t="str">
        <f>IF($A225="","",SUMIFS(tblReceipts[Qty Received],tblReceipts[Item Name],$A225))</f>
        <v/>
      </c>
      <c r="H225" s="26" t="str">
        <f>IF($A225="","",SUMIFS(tblIssues[Qty Issued],tblIssues[Item Name],$A225))</f>
        <v/>
      </c>
      <c r="I225" s="27" t="str">
        <f t="shared" si="9"/>
        <v/>
      </c>
      <c r="J225" s="21" t="str">
        <f t="shared" si="10"/>
        <v/>
      </c>
      <c r="K225" s="26" t="str">
        <f>IF($A225="","",COUNTIFS(tblReceipts[Item Name],$A225))</f>
        <v/>
      </c>
      <c r="L225" s="26" t="str">
        <f>IF($A225="","",COUNTIFS(tblLotBalance[Item Name],$A225,tblLotBalance[Lot Balance],"&gt;0"))</f>
        <v/>
      </c>
      <c r="M225" s="24" t="str">
        <f>IF($A225="","",IF($L225=0,"",IFERROR(_xlfn.MINIFS(tblLotBalance[Expiry Date],tblLotBalance[Item Name],$A225,tblLotBalance[Lot Balance],"&gt;0"),"")))</f>
        <v/>
      </c>
      <c r="N225" s="26" t="str">
        <f t="shared" ca="1" si="11"/>
        <v/>
      </c>
      <c r="O225" s="18" t="str" cm="1">
        <f t="array" ref="O225">IF($M225="","",IFERROR(INDEX(tblLotBalance[Lot Number],MATCH(1,INDEX((tblLotBalance[Item Name]=$A225)*(tblLotBalance[Expiry Date]=$M225)*(tblLotBalance[Lot Balance]&gt;0),0),0)),""))</f>
        <v/>
      </c>
      <c r="P225" s="28" t="str">
        <f>IF($A225="","",IF($I225&lt;0,"NEGATIVE",IF(NOT(ISNUMBER($F225)),"Set threshold",IF($I225&lt;=0,"OUT OF STOCK",IF($I225&lt;=$F225,"LOW",IF($I225&lt;=$F225*Settings!$C$7,"WATCH","OK"))))))</f>
        <v/>
      </c>
      <c r="Q225" s="29" t="str">
        <f>IF($A225="","",IF($P225="NEGATIVE","Issued more than received - add the missing receipt",IF($P225="OUT OF STOCK","Reorder immediately",IF($P225="LOW","Raise purchase order",IF($P225="Set threshold","Enter Critical Low in Items",IF(AND($N225&lt;&gt;"",$N225&lt;=0),"Quarantine expired lot",IF(AND($N225&lt;&gt;"",$N225&lt;=Settings!$C$6),"Use or rotate stock now","")))))))</f>
        <v/>
      </c>
    </row>
    <row r="226" spans="1:17" x14ac:dyDescent="0.35">
      <c r="A226" s="18" t="str">
        <f>IF(Items!$A223="","",Items!$A223)</f>
        <v/>
      </c>
      <c r="B226" s="18" t="str">
        <f>IF($A226="","",Items!$B223)</f>
        <v/>
      </c>
      <c r="C226" s="19" t="str">
        <f>IF($A226="","",Items!$G223)</f>
        <v/>
      </c>
      <c r="D226" s="20" t="str">
        <f>IF($A226="","",N(Items!$D223))</f>
        <v/>
      </c>
      <c r="E226" s="23" t="str">
        <f>IF($A226="","",Items!$E223)</f>
        <v/>
      </c>
      <c r="F226" s="23" t="str">
        <f>IF($A226="","",Items!$F223)</f>
        <v/>
      </c>
      <c r="G226" s="26" t="str">
        <f>IF($A226="","",SUMIFS(tblReceipts[Qty Received],tblReceipts[Item Name],$A226))</f>
        <v/>
      </c>
      <c r="H226" s="26" t="str">
        <f>IF($A226="","",SUMIFS(tblIssues[Qty Issued],tblIssues[Item Name],$A226))</f>
        <v/>
      </c>
      <c r="I226" s="27" t="str">
        <f t="shared" si="9"/>
        <v/>
      </c>
      <c r="J226" s="21" t="str">
        <f t="shared" si="10"/>
        <v/>
      </c>
      <c r="K226" s="26" t="str">
        <f>IF($A226="","",COUNTIFS(tblReceipts[Item Name],$A226))</f>
        <v/>
      </c>
      <c r="L226" s="26" t="str">
        <f>IF($A226="","",COUNTIFS(tblLotBalance[Item Name],$A226,tblLotBalance[Lot Balance],"&gt;0"))</f>
        <v/>
      </c>
      <c r="M226" s="24" t="str">
        <f>IF($A226="","",IF($L226=0,"",IFERROR(_xlfn.MINIFS(tblLotBalance[Expiry Date],tblLotBalance[Item Name],$A226,tblLotBalance[Lot Balance],"&gt;0"),"")))</f>
        <v/>
      </c>
      <c r="N226" s="26" t="str">
        <f t="shared" ca="1" si="11"/>
        <v/>
      </c>
      <c r="O226" s="18" t="str" cm="1">
        <f t="array" ref="O226">IF($M226="","",IFERROR(INDEX(tblLotBalance[Lot Number],MATCH(1,INDEX((tblLotBalance[Item Name]=$A226)*(tblLotBalance[Expiry Date]=$M226)*(tblLotBalance[Lot Balance]&gt;0),0),0)),""))</f>
        <v/>
      </c>
      <c r="P226" s="28" t="str">
        <f>IF($A226="","",IF($I226&lt;0,"NEGATIVE",IF(NOT(ISNUMBER($F226)),"Set threshold",IF($I226&lt;=0,"OUT OF STOCK",IF($I226&lt;=$F226,"LOW",IF($I226&lt;=$F226*Settings!$C$7,"WATCH","OK"))))))</f>
        <v/>
      </c>
      <c r="Q226" s="29" t="str">
        <f>IF($A226="","",IF($P226="NEGATIVE","Issued more than received - add the missing receipt",IF($P226="OUT OF STOCK","Reorder immediately",IF($P226="LOW","Raise purchase order",IF($P226="Set threshold","Enter Critical Low in Items",IF(AND($N226&lt;&gt;"",$N226&lt;=0),"Quarantine expired lot",IF(AND($N226&lt;&gt;"",$N226&lt;=Settings!$C$6),"Use or rotate stock now","")))))))</f>
        <v/>
      </c>
    </row>
    <row r="227" spans="1:17" x14ac:dyDescent="0.35">
      <c r="A227" s="18" t="str">
        <f>IF(Items!$A224="","",Items!$A224)</f>
        <v/>
      </c>
      <c r="B227" s="18" t="str">
        <f>IF($A227="","",Items!$B224)</f>
        <v/>
      </c>
      <c r="C227" s="19" t="str">
        <f>IF($A227="","",Items!$G224)</f>
        <v/>
      </c>
      <c r="D227" s="20" t="str">
        <f>IF($A227="","",N(Items!$D224))</f>
        <v/>
      </c>
      <c r="E227" s="23" t="str">
        <f>IF($A227="","",Items!$E224)</f>
        <v/>
      </c>
      <c r="F227" s="23" t="str">
        <f>IF($A227="","",Items!$F224)</f>
        <v/>
      </c>
      <c r="G227" s="26" t="str">
        <f>IF($A227="","",SUMIFS(tblReceipts[Qty Received],tblReceipts[Item Name],$A227))</f>
        <v/>
      </c>
      <c r="H227" s="26" t="str">
        <f>IF($A227="","",SUMIFS(tblIssues[Qty Issued],tblIssues[Item Name],$A227))</f>
        <v/>
      </c>
      <c r="I227" s="27" t="str">
        <f t="shared" si="9"/>
        <v/>
      </c>
      <c r="J227" s="21" t="str">
        <f t="shared" si="10"/>
        <v/>
      </c>
      <c r="K227" s="26" t="str">
        <f>IF($A227="","",COUNTIFS(tblReceipts[Item Name],$A227))</f>
        <v/>
      </c>
      <c r="L227" s="26" t="str">
        <f>IF($A227="","",COUNTIFS(tblLotBalance[Item Name],$A227,tblLotBalance[Lot Balance],"&gt;0"))</f>
        <v/>
      </c>
      <c r="M227" s="24" t="str">
        <f>IF($A227="","",IF($L227=0,"",IFERROR(_xlfn.MINIFS(tblLotBalance[Expiry Date],tblLotBalance[Item Name],$A227,tblLotBalance[Lot Balance],"&gt;0"),"")))</f>
        <v/>
      </c>
      <c r="N227" s="26" t="str">
        <f t="shared" ca="1" si="11"/>
        <v/>
      </c>
      <c r="O227" s="18" t="str" cm="1">
        <f t="array" ref="O227">IF($M227="","",IFERROR(INDEX(tblLotBalance[Lot Number],MATCH(1,INDEX((tblLotBalance[Item Name]=$A227)*(tblLotBalance[Expiry Date]=$M227)*(tblLotBalance[Lot Balance]&gt;0),0),0)),""))</f>
        <v/>
      </c>
      <c r="P227" s="28" t="str">
        <f>IF($A227="","",IF($I227&lt;0,"NEGATIVE",IF(NOT(ISNUMBER($F227)),"Set threshold",IF($I227&lt;=0,"OUT OF STOCK",IF($I227&lt;=$F227,"LOW",IF($I227&lt;=$F227*Settings!$C$7,"WATCH","OK"))))))</f>
        <v/>
      </c>
      <c r="Q227" s="29" t="str">
        <f>IF($A227="","",IF($P227="NEGATIVE","Issued more than received - add the missing receipt",IF($P227="OUT OF STOCK","Reorder immediately",IF($P227="LOW","Raise purchase order",IF($P227="Set threshold","Enter Critical Low in Items",IF(AND($N227&lt;&gt;"",$N227&lt;=0),"Quarantine expired lot",IF(AND($N227&lt;&gt;"",$N227&lt;=Settings!$C$6),"Use or rotate stock now","")))))))</f>
        <v/>
      </c>
    </row>
    <row r="228" spans="1:17" x14ac:dyDescent="0.35">
      <c r="A228" s="18" t="str">
        <f>IF(Items!$A225="","",Items!$A225)</f>
        <v/>
      </c>
      <c r="B228" s="18" t="str">
        <f>IF($A228="","",Items!$B225)</f>
        <v/>
      </c>
      <c r="C228" s="19" t="str">
        <f>IF($A228="","",Items!$G225)</f>
        <v/>
      </c>
      <c r="D228" s="20" t="str">
        <f>IF($A228="","",N(Items!$D225))</f>
        <v/>
      </c>
      <c r="E228" s="23" t="str">
        <f>IF($A228="","",Items!$E225)</f>
        <v/>
      </c>
      <c r="F228" s="23" t="str">
        <f>IF($A228="","",Items!$F225)</f>
        <v/>
      </c>
      <c r="G228" s="26" t="str">
        <f>IF($A228="","",SUMIFS(tblReceipts[Qty Received],tblReceipts[Item Name],$A228))</f>
        <v/>
      </c>
      <c r="H228" s="26" t="str">
        <f>IF($A228="","",SUMIFS(tblIssues[Qty Issued],tblIssues[Item Name],$A228))</f>
        <v/>
      </c>
      <c r="I228" s="27" t="str">
        <f t="shared" si="9"/>
        <v/>
      </c>
      <c r="J228" s="21" t="str">
        <f t="shared" si="10"/>
        <v/>
      </c>
      <c r="K228" s="26" t="str">
        <f>IF($A228="","",COUNTIFS(tblReceipts[Item Name],$A228))</f>
        <v/>
      </c>
      <c r="L228" s="26" t="str">
        <f>IF($A228="","",COUNTIFS(tblLotBalance[Item Name],$A228,tblLotBalance[Lot Balance],"&gt;0"))</f>
        <v/>
      </c>
      <c r="M228" s="24" t="str">
        <f>IF($A228="","",IF($L228=0,"",IFERROR(_xlfn.MINIFS(tblLotBalance[Expiry Date],tblLotBalance[Item Name],$A228,tblLotBalance[Lot Balance],"&gt;0"),"")))</f>
        <v/>
      </c>
      <c r="N228" s="26" t="str">
        <f t="shared" ca="1" si="11"/>
        <v/>
      </c>
      <c r="O228" s="18" t="str" cm="1">
        <f t="array" ref="O228">IF($M228="","",IFERROR(INDEX(tblLotBalance[Lot Number],MATCH(1,INDEX((tblLotBalance[Item Name]=$A228)*(tblLotBalance[Expiry Date]=$M228)*(tblLotBalance[Lot Balance]&gt;0),0),0)),""))</f>
        <v/>
      </c>
      <c r="P228" s="28" t="str">
        <f>IF($A228="","",IF($I228&lt;0,"NEGATIVE",IF(NOT(ISNUMBER($F228)),"Set threshold",IF($I228&lt;=0,"OUT OF STOCK",IF($I228&lt;=$F228,"LOW",IF($I228&lt;=$F228*Settings!$C$7,"WATCH","OK"))))))</f>
        <v/>
      </c>
      <c r="Q228" s="29" t="str">
        <f>IF($A228="","",IF($P228="NEGATIVE","Issued more than received - add the missing receipt",IF($P228="OUT OF STOCK","Reorder immediately",IF($P228="LOW","Raise purchase order",IF($P228="Set threshold","Enter Critical Low in Items",IF(AND($N228&lt;&gt;"",$N228&lt;=0),"Quarantine expired lot",IF(AND($N228&lt;&gt;"",$N228&lt;=Settings!$C$6),"Use or rotate stock now","")))))))</f>
        <v/>
      </c>
    </row>
    <row r="229" spans="1:17" x14ac:dyDescent="0.35">
      <c r="A229" s="18" t="str">
        <f>IF(Items!$A226="","",Items!$A226)</f>
        <v/>
      </c>
      <c r="B229" s="18" t="str">
        <f>IF($A229="","",Items!$B226)</f>
        <v/>
      </c>
      <c r="C229" s="19" t="str">
        <f>IF($A229="","",Items!$G226)</f>
        <v/>
      </c>
      <c r="D229" s="20" t="str">
        <f>IF($A229="","",N(Items!$D226))</f>
        <v/>
      </c>
      <c r="E229" s="23" t="str">
        <f>IF($A229="","",Items!$E226)</f>
        <v/>
      </c>
      <c r="F229" s="23" t="str">
        <f>IF($A229="","",Items!$F226)</f>
        <v/>
      </c>
      <c r="G229" s="26" t="str">
        <f>IF($A229="","",SUMIFS(tblReceipts[Qty Received],tblReceipts[Item Name],$A229))</f>
        <v/>
      </c>
      <c r="H229" s="26" t="str">
        <f>IF($A229="","",SUMIFS(tblIssues[Qty Issued],tblIssues[Item Name],$A229))</f>
        <v/>
      </c>
      <c r="I229" s="27" t="str">
        <f t="shared" si="9"/>
        <v/>
      </c>
      <c r="J229" s="21" t="str">
        <f t="shared" si="10"/>
        <v/>
      </c>
      <c r="K229" s="26" t="str">
        <f>IF($A229="","",COUNTIFS(tblReceipts[Item Name],$A229))</f>
        <v/>
      </c>
      <c r="L229" s="26" t="str">
        <f>IF($A229="","",COUNTIFS(tblLotBalance[Item Name],$A229,tblLotBalance[Lot Balance],"&gt;0"))</f>
        <v/>
      </c>
      <c r="M229" s="24" t="str">
        <f>IF($A229="","",IF($L229=0,"",IFERROR(_xlfn.MINIFS(tblLotBalance[Expiry Date],tblLotBalance[Item Name],$A229,tblLotBalance[Lot Balance],"&gt;0"),"")))</f>
        <v/>
      </c>
      <c r="N229" s="26" t="str">
        <f t="shared" ca="1" si="11"/>
        <v/>
      </c>
      <c r="O229" s="18" t="str" cm="1">
        <f t="array" ref="O229">IF($M229="","",IFERROR(INDEX(tblLotBalance[Lot Number],MATCH(1,INDEX((tblLotBalance[Item Name]=$A229)*(tblLotBalance[Expiry Date]=$M229)*(tblLotBalance[Lot Balance]&gt;0),0),0)),""))</f>
        <v/>
      </c>
      <c r="P229" s="28" t="str">
        <f>IF($A229="","",IF($I229&lt;0,"NEGATIVE",IF(NOT(ISNUMBER($F229)),"Set threshold",IF($I229&lt;=0,"OUT OF STOCK",IF($I229&lt;=$F229,"LOW",IF($I229&lt;=$F229*Settings!$C$7,"WATCH","OK"))))))</f>
        <v/>
      </c>
      <c r="Q229" s="29" t="str">
        <f>IF($A229="","",IF($P229="NEGATIVE","Issued more than received - add the missing receipt",IF($P229="OUT OF STOCK","Reorder immediately",IF($P229="LOW","Raise purchase order",IF($P229="Set threshold","Enter Critical Low in Items",IF(AND($N229&lt;&gt;"",$N229&lt;=0),"Quarantine expired lot",IF(AND($N229&lt;&gt;"",$N229&lt;=Settings!$C$6),"Use or rotate stock now","")))))))</f>
        <v/>
      </c>
    </row>
    <row r="230" spans="1:17" x14ac:dyDescent="0.35">
      <c r="A230" s="18" t="str">
        <f>IF(Items!$A227="","",Items!$A227)</f>
        <v/>
      </c>
      <c r="B230" s="18" t="str">
        <f>IF($A230="","",Items!$B227)</f>
        <v/>
      </c>
      <c r="C230" s="19" t="str">
        <f>IF($A230="","",Items!$G227)</f>
        <v/>
      </c>
      <c r="D230" s="20" t="str">
        <f>IF($A230="","",N(Items!$D227))</f>
        <v/>
      </c>
      <c r="E230" s="23" t="str">
        <f>IF($A230="","",Items!$E227)</f>
        <v/>
      </c>
      <c r="F230" s="23" t="str">
        <f>IF($A230="","",Items!$F227)</f>
        <v/>
      </c>
      <c r="G230" s="26" t="str">
        <f>IF($A230="","",SUMIFS(tblReceipts[Qty Received],tblReceipts[Item Name],$A230))</f>
        <v/>
      </c>
      <c r="H230" s="26" t="str">
        <f>IF($A230="","",SUMIFS(tblIssues[Qty Issued],tblIssues[Item Name],$A230))</f>
        <v/>
      </c>
      <c r="I230" s="27" t="str">
        <f t="shared" si="9"/>
        <v/>
      </c>
      <c r="J230" s="21" t="str">
        <f t="shared" si="10"/>
        <v/>
      </c>
      <c r="K230" s="26" t="str">
        <f>IF($A230="","",COUNTIFS(tblReceipts[Item Name],$A230))</f>
        <v/>
      </c>
      <c r="L230" s="26" t="str">
        <f>IF($A230="","",COUNTIFS(tblLotBalance[Item Name],$A230,tblLotBalance[Lot Balance],"&gt;0"))</f>
        <v/>
      </c>
      <c r="M230" s="24" t="str">
        <f>IF($A230="","",IF($L230=0,"",IFERROR(_xlfn.MINIFS(tblLotBalance[Expiry Date],tblLotBalance[Item Name],$A230,tblLotBalance[Lot Balance],"&gt;0"),"")))</f>
        <v/>
      </c>
      <c r="N230" s="26" t="str">
        <f t="shared" ca="1" si="11"/>
        <v/>
      </c>
      <c r="O230" s="18" t="str" cm="1">
        <f t="array" ref="O230">IF($M230="","",IFERROR(INDEX(tblLotBalance[Lot Number],MATCH(1,INDEX((tblLotBalance[Item Name]=$A230)*(tblLotBalance[Expiry Date]=$M230)*(tblLotBalance[Lot Balance]&gt;0),0),0)),""))</f>
        <v/>
      </c>
      <c r="P230" s="28" t="str">
        <f>IF($A230="","",IF($I230&lt;0,"NEGATIVE",IF(NOT(ISNUMBER($F230)),"Set threshold",IF($I230&lt;=0,"OUT OF STOCK",IF($I230&lt;=$F230,"LOW",IF($I230&lt;=$F230*Settings!$C$7,"WATCH","OK"))))))</f>
        <v/>
      </c>
      <c r="Q230" s="29" t="str">
        <f>IF($A230="","",IF($P230="NEGATIVE","Issued more than received - add the missing receipt",IF($P230="OUT OF STOCK","Reorder immediately",IF($P230="LOW","Raise purchase order",IF($P230="Set threshold","Enter Critical Low in Items",IF(AND($N230&lt;&gt;"",$N230&lt;=0),"Quarantine expired lot",IF(AND($N230&lt;&gt;"",$N230&lt;=Settings!$C$6),"Use or rotate stock now","")))))))</f>
        <v/>
      </c>
    </row>
    <row r="231" spans="1:17" x14ac:dyDescent="0.35">
      <c r="A231" s="18" t="str">
        <f>IF(Items!$A228="","",Items!$A228)</f>
        <v/>
      </c>
      <c r="B231" s="18" t="str">
        <f>IF($A231="","",Items!$B228)</f>
        <v/>
      </c>
      <c r="C231" s="19" t="str">
        <f>IF($A231="","",Items!$G228)</f>
        <v/>
      </c>
      <c r="D231" s="20" t="str">
        <f>IF($A231="","",N(Items!$D228))</f>
        <v/>
      </c>
      <c r="E231" s="23" t="str">
        <f>IF($A231="","",Items!$E228)</f>
        <v/>
      </c>
      <c r="F231" s="23" t="str">
        <f>IF($A231="","",Items!$F228)</f>
        <v/>
      </c>
      <c r="G231" s="26" t="str">
        <f>IF($A231="","",SUMIFS(tblReceipts[Qty Received],tblReceipts[Item Name],$A231))</f>
        <v/>
      </c>
      <c r="H231" s="26" t="str">
        <f>IF($A231="","",SUMIFS(tblIssues[Qty Issued],tblIssues[Item Name],$A231))</f>
        <v/>
      </c>
      <c r="I231" s="27" t="str">
        <f t="shared" si="9"/>
        <v/>
      </c>
      <c r="J231" s="21" t="str">
        <f t="shared" si="10"/>
        <v/>
      </c>
      <c r="K231" s="26" t="str">
        <f>IF($A231="","",COUNTIFS(tblReceipts[Item Name],$A231))</f>
        <v/>
      </c>
      <c r="L231" s="26" t="str">
        <f>IF($A231="","",COUNTIFS(tblLotBalance[Item Name],$A231,tblLotBalance[Lot Balance],"&gt;0"))</f>
        <v/>
      </c>
      <c r="M231" s="24" t="str">
        <f>IF($A231="","",IF($L231=0,"",IFERROR(_xlfn.MINIFS(tblLotBalance[Expiry Date],tblLotBalance[Item Name],$A231,tblLotBalance[Lot Balance],"&gt;0"),"")))</f>
        <v/>
      </c>
      <c r="N231" s="26" t="str">
        <f t="shared" ca="1" si="11"/>
        <v/>
      </c>
      <c r="O231" s="18" t="str" cm="1">
        <f t="array" ref="O231">IF($M231="","",IFERROR(INDEX(tblLotBalance[Lot Number],MATCH(1,INDEX((tblLotBalance[Item Name]=$A231)*(tblLotBalance[Expiry Date]=$M231)*(tblLotBalance[Lot Balance]&gt;0),0),0)),""))</f>
        <v/>
      </c>
      <c r="P231" s="28" t="str">
        <f>IF($A231="","",IF($I231&lt;0,"NEGATIVE",IF(NOT(ISNUMBER($F231)),"Set threshold",IF($I231&lt;=0,"OUT OF STOCK",IF($I231&lt;=$F231,"LOW",IF($I231&lt;=$F231*Settings!$C$7,"WATCH","OK"))))))</f>
        <v/>
      </c>
      <c r="Q231" s="29" t="str">
        <f>IF($A231="","",IF($P231="NEGATIVE","Issued more than received - add the missing receipt",IF($P231="OUT OF STOCK","Reorder immediately",IF($P231="LOW","Raise purchase order",IF($P231="Set threshold","Enter Critical Low in Items",IF(AND($N231&lt;&gt;"",$N231&lt;=0),"Quarantine expired lot",IF(AND($N231&lt;&gt;"",$N231&lt;=Settings!$C$6),"Use or rotate stock now","")))))))</f>
        <v/>
      </c>
    </row>
    <row r="232" spans="1:17" x14ac:dyDescent="0.35">
      <c r="A232" s="18" t="str">
        <f>IF(Items!$A229="","",Items!$A229)</f>
        <v/>
      </c>
      <c r="B232" s="18" t="str">
        <f>IF($A232="","",Items!$B229)</f>
        <v/>
      </c>
      <c r="C232" s="19" t="str">
        <f>IF($A232="","",Items!$G229)</f>
        <v/>
      </c>
      <c r="D232" s="20" t="str">
        <f>IF($A232="","",N(Items!$D229))</f>
        <v/>
      </c>
      <c r="E232" s="23" t="str">
        <f>IF($A232="","",Items!$E229)</f>
        <v/>
      </c>
      <c r="F232" s="23" t="str">
        <f>IF($A232="","",Items!$F229)</f>
        <v/>
      </c>
      <c r="G232" s="26" t="str">
        <f>IF($A232="","",SUMIFS(tblReceipts[Qty Received],tblReceipts[Item Name],$A232))</f>
        <v/>
      </c>
      <c r="H232" s="26" t="str">
        <f>IF($A232="","",SUMIFS(tblIssues[Qty Issued],tblIssues[Item Name],$A232))</f>
        <v/>
      </c>
      <c r="I232" s="27" t="str">
        <f t="shared" si="9"/>
        <v/>
      </c>
      <c r="J232" s="21" t="str">
        <f t="shared" si="10"/>
        <v/>
      </c>
      <c r="K232" s="26" t="str">
        <f>IF($A232="","",COUNTIFS(tblReceipts[Item Name],$A232))</f>
        <v/>
      </c>
      <c r="L232" s="26" t="str">
        <f>IF($A232="","",COUNTIFS(tblLotBalance[Item Name],$A232,tblLotBalance[Lot Balance],"&gt;0"))</f>
        <v/>
      </c>
      <c r="M232" s="24" t="str">
        <f>IF($A232="","",IF($L232=0,"",IFERROR(_xlfn.MINIFS(tblLotBalance[Expiry Date],tblLotBalance[Item Name],$A232,tblLotBalance[Lot Balance],"&gt;0"),"")))</f>
        <v/>
      </c>
      <c r="N232" s="26" t="str">
        <f t="shared" ca="1" si="11"/>
        <v/>
      </c>
      <c r="O232" s="18" t="str" cm="1">
        <f t="array" ref="O232">IF($M232="","",IFERROR(INDEX(tblLotBalance[Lot Number],MATCH(1,INDEX((tblLotBalance[Item Name]=$A232)*(tblLotBalance[Expiry Date]=$M232)*(tblLotBalance[Lot Balance]&gt;0),0),0)),""))</f>
        <v/>
      </c>
      <c r="P232" s="28" t="str">
        <f>IF($A232="","",IF($I232&lt;0,"NEGATIVE",IF(NOT(ISNUMBER($F232)),"Set threshold",IF($I232&lt;=0,"OUT OF STOCK",IF($I232&lt;=$F232,"LOW",IF($I232&lt;=$F232*Settings!$C$7,"WATCH","OK"))))))</f>
        <v/>
      </c>
      <c r="Q232" s="29" t="str">
        <f>IF($A232="","",IF($P232="NEGATIVE","Issued more than received - add the missing receipt",IF($P232="OUT OF STOCK","Reorder immediately",IF($P232="LOW","Raise purchase order",IF($P232="Set threshold","Enter Critical Low in Items",IF(AND($N232&lt;&gt;"",$N232&lt;=0),"Quarantine expired lot",IF(AND($N232&lt;&gt;"",$N232&lt;=Settings!$C$6),"Use or rotate stock now","")))))))</f>
        <v/>
      </c>
    </row>
    <row r="233" spans="1:17" x14ac:dyDescent="0.35">
      <c r="A233" s="18" t="str">
        <f>IF(Items!$A230="","",Items!$A230)</f>
        <v/>
      </c>
      <c r="B233" s="18" t="str">
        <f>IF($A233="","",Items!$B230)</f>
        <v/>
      </c>
      <c r="C233" s="19" t="str">
        <f>IF($A233="","",Items!$G230)</f>
        <v/>
      </c>
      <c r="D233" s="20" t="str">
        <f>IF($A233="","",N(Items!$D230))</f>
        <v/>
      </c>
      <c r="E233" s="23" t="str">
        <f>IF($A233="","",Items!$E230)</f>
        <v/>
      </c>
      <c r="F233" s="23" t="str">
        <f>IF($A233="","",Items!$F230)</f>
        <v/>
      </c>
      <c r="G233" s="26" t="str">
        <f>IF($A233="","",SUMIFS(tblReceipts[Qty Received],tblReceipts[Item Name],$A233))</f>
        <v/>
      </c>
      <c r="H233" s="26" t="str">
        <f>IF($A233="","",SUMIFS(tblIssues[Qty Issued],tblIssues[Item Name],$A233))</f>
        <v/>
      </c>
      <c r="I233" s="27" t="str">
        <f t="shared" si="9"/>
        <v/>
      </c>
      <c r="J233" s="21" t="str">
        <f t="shared" si="10"/>
        <v/>
      </c>
      <c r="K233" s="26" t="str">
        <f>IF($A233="","",COUNTIFS(tblReceipts[Item Name],$A233))</f>
        <v/>
      </c>
      <c r="L233" s="26" t="str">
        <f>IF($A233="","",COUNTIFS(tblLotBalance[Item Name],$A233,tblLotBalance[Lot Balance],"&gt;0"))</f>
        <v/>
      </c>
      <c r="M233" s="24" t="str">
        <f>IF($A233="","",IF($L233=0,"",IFERROR(_xlfn.MINIFS(tblLotBalance[Expiry Date],tblLotBalance[Item Name],$A233,tblLotBalance[Lot Balance],"&gt;0"),"")))</f>
        <v/>
      </c>
      <c r="N233" s="26" t="str">
        <f t="shared" ca="1" si="11"/>
        <v/>
      </c>
      <c r="O233" s="18" t="str" cm="1">
        <f t="array" ref="O233">IF($M233="","",IFERROR(INDEX(tblLotBalance[Lot Number],MATCH(1,INDEX((tblLotBalance[Item Name]=$A233)*(tblLotBalance[Expiry Date]=$M233)*(tblLotBalance[Lot Balance]&gt;0),0),0)),""))</f>
        <v/>
      </c>
      <c r="P233" s="28" t="str">
        <f>IF($A233="","",IF($I233&lt;0,"NEGATIVE",IF(NOT(ISNUMBER($F233)),"Set threshold",IF($I233&lt;=0,"OUT OF STOCK",IF($I233&lt;=$F233,"LOW",IF($I233&lt;=$F233*Settings!$C$7,"WATCH","OK"))))))</f>
        <v/>
      </c>
      <c r="Q233" s="29" t="str">
        <f>IF($A233="","",IF($P233="NEGATIVE","Issued more than received - add the missing receipt",IF($P233="OUT OF STOCK","Reorder immediately",IF($P233="LOW","Raise purchase order",IF($P233="Set threshold","Enter Critical Low in Items",IF(AND($N233&lt;&gt;"",$N233&lt;=0),"Quarantine expired lot",IF(AND($N233&lt;&gt;"",$N233&lt;=Settings!$C$6),"Use or rotate stock now","")))))))</f>
        <v/>
      </c>
    </row>
    <row r="234" spans="1:17" x14ac:dyDescent="0.35">
      <c r="A234" s="18" t="str">
        <f>IF(Items!$A231="","",Items!$A231)</f>
        <v/>
      </c>
      <c r="B234" s="18" t="str">
        <f>IF($A234="","",Items!$B231)</f>
        <v/>
      </c>
      <c r="C234" s="19" t="str">
        <f>IF($A234="","",Items!$G231)</f>
        <v/>
      </c>
      <c r="D234" s="20" t="str">
        <f>IF($A234="","",N(Items!$D231))</f>
        <v/>
      </c>
      <c r="E234" s="23" t="str">
        <f>IF($A234="","",Items!$E231)</f>
        <v/>
      </c>
      <c r="F234" s="23" t="str">
        <f>IF($A234="","",Items!$F231)</f>
        <v/>
      </c>
      <c r="G234" s="26" t="str">
        <f>IF($A234="","",SUMIFS(tblReceipts[Qty Received],tblReceipts[Item Name],$A234))</f>
        <v/>
      </c>
      <c r="H234" s="26" t="str">
        <f>IF($A234="","",SUMIFS(tblIssues[Qty Issued],tblIssues[Item Name],$A234))</f>
        <v/>
      </c>
      <c r="I234" s="27" t="str">
        <f t="shared" si="9"/>
        <v/>
      </c>
      <c r="J234" s="21" t="str">
        <f t="shared" si="10"/>
        <v/>
      </c>
      <c r="K234" s="26" t="str">
        <f>IF($A234="","",COUNTIFS(tblReceipts[Item Name],$A234))</f>
        <v/>
      </c>
      <c r="L234" s="26" t="str">
        <f>IF($A234="","",COUNTIFS(tblLotBalance[Item Name],$A234,tblLotBalance[Lot Balance],"&gt;0"))</f>
        <v/>
      </c>
      <c r="M234" s="24" t="str">
        <f>IF($A234="","",IF($L234=0,"",IFERROR(_xlfn.MINIFS(tblLotBalance[Expiry Date],tblLotBalance[Item Name],$A234,tblLotBalance[Lot Balance],"&gt;0"),"")))</f>
        <v/>
      </c>
      <c r="N234" s="26" t="str">
        <f t="shared" ca="1" si="11"/>
        <v/>
      </c>
      <c r="O234" s="18" t="str" cm="1">
        <f t="array" ref="O234">IF($M234="","",IFERROR(INDEX(tblLotBalance[Lot Number],MATCH(1,INDEX((tblLotBalance[Item Name]=$A234)*(tblLotBalance[Expiry Date]=$M234)*(tblLotBalance[Lot Balance]&gt;0),0),0)),""))</f>
        <v/>
      </c>
      <c r="P234" s="28" t="str">
        <f>IF($A234="","",IF($I234&lt;0,"NEGATIVE",IF(NOT(ISNUMBER($F234)),"Set threshold",IF($I234&lt;=0,"OUT OF STOCK",IF($I234&lt;=$F234,"LOW",IF($I234&lt;=$F234*Settings!$C$7,"WATCH","OK"))))))</f>
        <v/>
      </c>
      <c r="Q234" s="29" t="str">
        <f>IF($A234="","",IF($P234="NEGATIVE","Issued more than received - add the missing receipt",IF($P234="OUT OF STOCK","Reorder immediately",IF($P234="LOW","Raise purchase order",IF($P234="Set threshold","Enter Critical Low in Items",IF(AND($N234&lt;&gt;"",$N234&lt;=0),"Quarantine expired lot",IF(AND($N234&lt;&gt;"",$N234&lt;=Settings!$C$6),"Use or rotate stock now","")))))))</f>
        <v/>
      </c>
    </row>
    <row r="235" spans="1:17" x14ac:dyDescent="0.35">
      <c r="A235" s="18" t="str">
        <f>IF(Items!$A232="","",Items!$A232)</f>
        <v/>
      </c>
      <c r="B235" s="18" t="str">
        <f>IF($A235="","",Items!$B232)</f>
        <v/>
      </c>
      <c r="C235" s="19" t="str">
        <f>IF($A235="","",Items!$G232)</f>
        <v/>
      </c>
      <c r="D235" s="20" t="str">
        <f>IF($A235="","",N(Items!$D232))</f>
        <v/>
      </c>
      <c r="E235" s="23" t="str">
        <f>IF($A235="","",Items!$E232)</f>
        <v/>
      </c>
      <c r="F235" s="23" t="str">
        <f>IF($A235="","",Items!$F232)</f>
        <v/>
      </c>
      <c r="G235" s="26" t="str">
        <f>IF($A235="","",SUMIFS(tblReceipts[Qty Received],tblReceipts[Item Name],$A235))</f>
        <v/>
      </c>
      <c r="H235" s="26" t="str">
        <f>IF($A235="","",SUMIFS(tblIssues[Qty Issued],tblIssues[Item Name],$A235))</f>
        <v/>
      </c>
      <c r="I235" s="27" t="str">
        <f t="shared" si="9"/>
        <v/>
      </c>
      <c r="J235" s="21" t="str">
        <f t="shared" si="10"/>
        <v/>
      </c>
      <c r="K235" s="26" t="str">
        <f>IF($A235="","",COUNTIFS(tblReceipts[Item Name],$A235))</f>
        <v/>
      </c>
      <c r="L235" s="26" t="str">
        <f>IF($A235="","",COUNTIFS(tblLotBalance[Item Name],$A235,tblLotBalance[Lot Balance],"&gt;0"))</f>
        <v/>
      </c>
      <c r="M235" s="24" t="str">
        <f>IF($A235="","",IF($L235=0,"",IFERROR(_xlfn.MINIFS(tblLotBalance[Expiry Date],tblLotBalance[Item Name],$A235,tblLotBalance[Lot Balance],"&gt;0"),"")))</f>
        <v/>
      </c>
      <c r="N235" s="26" t="str">
        <f t="shared" ca="1" si="11"/>
        <v/>
      </c>
      <c r="O235" s="18" t="str" cm="1">
        <f t="array" ref="O235">IF($M235="","",IFERROR(INDEX(tblLotBalance[Lot Number],MATCH(1,INDEX((tblLotBalance[Item Name]=$A235)*(tblLotBalance[Expiry Date]=$M235)*(tblLotBalance[Lot Balance]&gt;0),0),0)),""))</f>
        <v/>
      </c>
      <c r="P235" s="28" t="str">
        <f>IF($A235="","",IF($I235&lt;0,"NEGATIVE",IF(NOT(ISNUMBER($F235)),"Set threshold",IF($I235&lt;=0,"OUT OF STOCK",IF($I235&lt;=$F235,"LOW",IF($I235&lt;=$F235*Settings!$C$7,"WATCH","OK"))))))</f>
        <v/>
      </c>
      <c r="Q235" s="29" t="str">
        <f>IF($A235="","",IF($P235="NEGATIVE","Issued more than received - add the missing receipt",IF($P235="OUT OF STOCK","Reorder immediately",IF($P235="LOW","Raise purchase order",IF($P235="Set threshold","Enter Critical Low in Items",IF(AND($N235&lt;&gt;"",$N235&lt;=0),"Quarantine expired lot",IF(AND($N235&lt;&gt;"",$N235&lt;=Settings!$C$6),"Use or rotate stock now","")))))))</f>
        <v/>
      </c>
    </row>
    <row r="236" spans="1:17" x14ac:dyDescent="0.35">
      <c r="A236" s="18" t="str">
        <f>IF(Items!$A233="","",Items!$A233)</f>
        <v/>
      </c>
      <c r="B236" s="18" t="str">
        <f>IF($A236="","",Items!$B233)</f>
        <v/>
      </c>
      <c r="C236" s="19" t="str">
        <f>IF($A236="","",Items!$G233)</f>
        <v/>
      </c>
      <c r="D236" s="20" t="str">
        <f>IF($A236="","",N(Items!$D233))</f>
        <v/>
      </c>
      <c r="E236" s="23" t="str">
        <f>IF($A236="","",Items!$E233)</f>
        <v/>
      </c>
      <c r="F236" s="23" t="str">
        <f>IF($A236="","",Items!$F233)</f>
        <v/>
      </c>
      <c r="G236" s="26" t="str">
        <f>IF($A236="","",SUMIFS(tblReceipts[Qty Received],tblReceipts[Item Name],$A236))</f>
        <v/>
      </c>
      <c r="H236" s="26" t="str">
        <f>IF($A236="","",SUMIFS(tblIssues[Qty Issued],tblIssues[Item Name],$A236))</f>
        <v/>
      </c>
      <c r="I236" s="27" t="str">
        <f t="shared" si="9"/>
        <v/>
      </c>
      <c r="J236" s="21" t="str">
        <f t="shared" si="10"/>
        <v/>
      </c>
      <c r="K236" s="26" t="str">
        <f>IF($A236="","",COUNTIFS(tblReceipts[Item Name],$A236))</f>
        <v/>
      </c>
      <c r="L236" s="26" t="str">
        <f>IF($A236="","",COUNTIFS(tblLotBalance[Item Name],$A236,tblLotBalance[Lot Balance],"&gt;0"))</f>
        <v/>
      </c>
      <c r="M236" s="24" t="str">
        <f>IF($A236="","",IF($L236=0,"",IFERROR(_xlfn.MINIFS(tblLotBalance[Expiry Date],tblLotBalance[Item Name],$A236,tblLotBalance[Lot Balance],"&gt;0"),"")))</f>
        <v/>
      </c>
      <c r="N236" s="26" t="str">
        <f t="shared" ca="1" si="11"/>
        <v/>
      </c>
      <c r="O236" s="18" t="str" cm="1">
        <f t="array" ref="O236">IF($M236="","",IFERROR(INDEX(tblLotBalance[Lot Number],MATCH(1,INDEX((tblLotBalance[Item Name]=$A236)*(tblLotBalance[Expiry Date]=$M236)*(tblLotBalance[Lot Balance]&gt;0),0),0)),""))</f>
        <v/>
      </c>
      <c r="P236" s="28" t="str">
        <f>IF($A236="","",IF($I236&lt;0,"NEGATIVE",IF(NOT(ISNUMBER($F236)),"Set threshold",IF($I236&lt;=0,"OUT OF STOCK",IF($I236&lt;=$F236,"LOW",IF($I236&lt;=$F236*Settings!$C$7,"WATCH","OK"))))))</f>
        <v/>
      </c>
      <c r="Q236" s="29" t="str">
        <f>IF($A236="","",IF($P236="NEGATIVE","Issued more than received - add the missing receipt",IF($P236="OUT OF STOCK","Reorder immediately",IF($P236="LOW","Raise purchase order",IF($P236="Set threshold","Enter Critical Low in Items",IF(AND($N236&lt;&gt;"",$N236&lt;=0),"Quarantine expired lot",IF(AND($N236&lt;&gt;"",$N236&lt;=Settings!$C$6),"Use or rotate stock now","")))))))</f>
        <v/>
      </c>
    </row>
    <row r="237" spans="1:17" x14ac:dyDescent="0.35">
      <c r="A237" s="18" t="str">
        <f>IF(Items!$A234="","",Items!$A234)</f>
        <v/>
      </c>
      <c r="B237" s="18" t="str">
        <f>IF($A237="","",Items!$B234)</f>
        <v/>
      </c>
      <c r="C237" s="19" t="str">
        <f>IF($A237="","",Items!$G234)</f>
        <v/>
      </c>
      <c r="D237" s="20" t="str">
        <f>IF($A237="","",N(Items!$D234))</f>
        <v/>
      </c>
      <c r="E237" s="23" t="str">
        <f>IF($A237="","",Items!$E234)</f>
        <v/>
      </c>
      <c r="F237" s="23" t="str">
        <f>IF($A237="","",Items!$F234)</f>
        <v/>
      </c>
      <c r="G237" s="26" t="str">
        <f>IF($A237="","",SUMIFS(tblReceipts[Qty Received],tblReceipts[Item Name],$A237))</f>
        <v/>
      </c>
      <c r="H237" s="26" t="str">
        <f>IF($A237="","",SUMIFS(tblIssues[Qty Issued],tblIssues[Item Name],$A237))</f>
        <v/>
      </c>
      <c r="I237" s="27" t="str">
        <f t="shared" si="9"/>
        <v/>
      </c>
      <c r="J237" s="21" t="str">
        <f t="shared" si="10"/>
        <v/>
      </c>
      <c r="K237" s="26" t="str">
        <f>IF($A237="","",COUNTIFS(tblReceipts[Item Name],$A237))</f>
        <v/>
      </c>
      <c r="L237" s="26" t="str">
        <f>IF($A237="","",COUNTIFS(tblLotBalance[Item Name],$A237,tblLotBalance[Lot Balance],"&gt;0"))</f>
        <v/>
      </c>
      <c r="M237" s="24" t="str">
        <f>IF($A237="","",IF($L237=0,"",IFERROR(_xlfn.MINIFS(tblLotBalance[Expiry Date],tblLotBalance[Item Name],$A237,tblLotBalance[Lot Balance],"&gt;0"),"")))</f>
        <v/>
      </c>
      <c r="N237" s="26" t="str">
        <f t="shared" ca="1" si="11"/>
        <v/>
      </c>
      <c r="O237" s="18" t="str" cm="1">
        <f t="array" ref="O237">IF($M237="","",IFERROR(INDEX(tblLotBalance[Lot Number],MATCH(1,INDEX((tblLotBalance[Item Name]=$A237)*(tblLotBalance[Expiry Date]=$M237)*(tblLotBalance[Lot Balance]&gt;0),0),0)),""))</f>
        <v/>
      </c>
      <c r="P237" s="28" t="str">
        <f>IF($A237="","",IF($I237&lt;0,"NEGATIVE",IF(NOT(ISNUMBER($F237)),"Set threshold",IF($I237&lt;=0,"OUT OF STOCK",IF($I237&lt;=$F237,"LOW",IF($I237&lt;=$F237*Settings!$C$7,"WATCH","OK"))))))</f>
        <v/>
      </c>
      <c r="Q237" s="29" t="str">
        <f>IF($A237="","",IF($P237="NEGATIVE","Issued more than received - add the missing receipt",IF($P237="OUT OF STOCK","Reorder immediately",IF($P237="LOW","Raise purchase order",IF($P237="Set threshold","Enter Critical Low in Items",IF(AND($N237&lt;&gt;"",$N237&lt;=0),"Quarantine expired lot",IF(AND($N237&lt;&gt;"",$N237&lt;=Settings!$C$6),"Use or rotate stock now","")))))))</f>
        <v/>
      </c>
    </row>
    <row r="238" spans="1:17" x14ac:dyDescent="0.35">
      <c r="A238" s="18" t="str">
        <f>IF(Items!$A235="","",Items!$A235)</f>
        <v/>
      </c>
      <c r="B238" s="18" t="str">
        <f>IF($A238="","",Items!$B235)</f>
        <v/>
      </c>
      <c r="C238" s="19" t="str">
        <f>IF($A238="","",Items!$G235)</f>
        <v/>
      </c>
      <c r="D238" s="20" t="str">
        <f>IF($A238="","",N(Items!$D235))</f>
        <v/>
      </c>
      <c r="E238" s="23" t="str">
        <f>IF($A238="","",Items!$E235)</f>
        <v/>
      </c>
      <c r="F238" s="23" t="str">
        <f>IF($A238="","",Items!$F235)</f>
        <v/>
      </c>
      <c r="G238" s="26" t="str">
        <f>IF($A238="","",SUMIFS(tblReceipts[Qty Received],tblReceipts[Item Name],$A238))</f>
        <v/>
      </c>
      <c r="H238" s="26" t="str">
        <f>IF($A238="","",SUMIFS(tblIssues[Qty Issued],tblIssues[Item Name],$A238))</f>
        <v/>
      </c>
      <c r="I238" s="27" t="str">
        <f t="shared" si="9"/>
        <v/>
      </c>
      <c r="J238" s="21" t="str">
        <f t="shared" si="10"/>
        <v/>
      </c>
      <c r="K238" s="26" t="str">
        <f>IF($A238="","",COUNTIFS(tblReceipts[Item Name],$A238))</f>
        <v/>
      </c>
      <c r="L238" s="26" t="str">
        <f>IF($A238="","",COUNTIFS(tblLotBalance[Item Name],$A238,tblLotBalance[Lot Balance],"&gt;0"))</f>
        <v/>
      </c>
      <c r="M238" s="24" t="str">
        <f>IF($A238="","",IF($L238=0,"",IFERROR(_xlfn.MINIFS(tblLotBalance[Expiry Date],tblLotBalance[Item Name],$A238,tblLotBalance[Lot Balance],"&gt;0"),"")))</f>
        <v/>
      </c>
      <c r="N238" s="26" t="str">
        <f t="shared" ca="1" si="11"/>
        <v/>
      </c>
      <c r="O238" s="18" t="str" cm="1">
        <f t="array" ref="O238">IF($M238="","",IFERROR(INDEX(tblLotBalance[Lot Number],MATCH(1,INDEX((tblLotBalance[Item Name]=$A238)*(tblLotBalance[Expiry Date]=$M238)*(tblLotBalance[Lot Balance]&gt;0),0),0)),""))</f>
        <v/>
      </c>
      <c r="P238" s="28" t="str">
        <f>IF($A238="","",IF($I238&lt;0,"NEGATIVE",IF(NOT(ISNUMBER($F238)),"Set threshold",IF($I238&lt;=0,"OUT OF STOCK",IF($I238&lt;=$F238,"LOW",IF($I238&lt;=$F238*Settings!$C$7,"WATCH","OK"))))))</f>
        <v/>
      </c>
      <c r="Q238" s="29" t="str">
        <f>IF($A238="","",IF($P238="NEGATIVE","Issued more than received - add the missing receipt",IF($P238="OUT OF STOCK","Reorder immediately",IF($P238="LOW","Raise purchase order",IF($P238="Set threshold","Enter Critical Low in Items",IF(AND($N238&lt;&gt;"",$N238&lt;=0),"Quarantine expired lot",IF(AND($N238&lt;&gt;"",$N238&lt;=Settings!$C$6),"Use or rotate stock now","")))))))</f>
        <v/>
      </c>
    </row>
    <row r="239" spans="1:17" x14ac:dyDescent="0.35">
      <c r="A239" s="18" t="str">
        <f>IF(Items!$A236="","",Items!$A236)</f>
        <v/>
      </c>
      <c r="B239" s="18" t="str">
        <f>IF($A239="","",Items!$B236)</f>
        <v/>
      </c>
      <c r="C239" s="19" t="str">
        <f>IF($A239="","",Items!$G236)</f>
        <v/>
      </c>
      <c r="D239" s="20" t="str">
        <f>IF($A239="","",N(Items!$D236))</f>
        <v/>
      </c>
      <c r="E239" s="23" t="str">
        <f>IF($A239="","",Items!$E236)</f>
        <v/>
      </c>
      <c r="F239" s="23" t="str">
        <f>IF($A239="","",Items!$F236)</f>
        <v/>
      </c>
      <c r="G239" s="26" t="str">
        <f>IF($A239="","",SUMIFS(tblReceipts[Qty Received],tblReceipts[Item Name],$A239))</f>
        <v/>
      </c>
      <c r="H239" s="26" t="str">
        <f>IF($A239="","",SUMIFS(tblIssues[Qty Issued],tblIssues[Item Name],$A239))</f>
        <v/>
      </c>
      <c r="I239" s="27" t="str">
        <f t="shared" si="9"/>
        <v/>
      </c>
      <c r="J239" s="21" t="str">
        <f t="shared" si="10"/>
        <v/>
      </c>
      <c r="K239" s="26" t="str">
        <f>IF($A239="","",COUNTIFS(tblReceipts[Item Name],$A239))</f>
        <v/>
      </c>
      <c r="L239" s="26" t="str">
        <f>IF($A239="","",COUNTIFS(tblLotBalance[Item Name],$A239,tblLotBalance[Lot Balance],"&gt;0"))</f>
        <v/>
      </c>
      <c r="M239" s="24" t="str">
        <f>IF($A239="","",IF($L239=0,"",IFERROR(_xlfn.MINIFS(tblLotBalance[Expiry Date],tblLotBalance[Item Name],$A239,tblLotBalance[Lot Balance],"&gt;0"),"")))</f>
        <v/>
      </c>
      <c r="N239" s="26" t="str">
        <f t="shared" ca="1" si="11"/>
        <v/>
      </c>
      <c r="O239" s="18" t="str" cm="1">
        <f t="array" ref="O239">IF($M239="","",IFERROR(INDEX(tblLotBalance[Lot Number],MATCH(1,INDEX((tblLotBalance[Item Name]=$A239)*(tblLotBalance[Expiry Date]=$M239)*(tblLotBalance[Lot Balance]&gt;0),0),0)),""))</f>
        <v/>
      </c>
      <c r="P239" s="28" t="str">
        <f>IF($A239="","",IF($I239&lt;0,"NEGATIVE",IF(NOT(ISNUMBER($F239)),"Set threshold",IF($I239&lt;=0,"OUT OF STOCK",IF($I239&lt;=$F239,"LOW",IF($I239&lt;=$F239*Settings!$C$7,"WATCH","OK"))))))</f>
        <v/>
      </c>
      <c r="Q239" s="29" t="str">
        <f>IF($A239="","",IF($P239="NEGATIVE","Issued more than received - add the missing receipt",IF($P239="OUT OF STOCK","Reorder immediately",IF($P239="LOW","Raise purchase order",IF($P239="Set threshold","Enter Critical Low in Items",IF(AND($N239&lt;&gt;"",$N239&lt;=0),"Quarantine expired lot",IF(AND($N239&lt;&gt;"",$N239&lt;=Settings!$C$6),"Use or rotate stock now","")))))))</f>
        <v/>
      </c>
    </row>
    <row r="240" spans="1:17" x14ac:dyDescent="0.35">
      <c r="A240" s="18" t="str">
        <f>IF(Items!$A237="","",Items!$A237)</f>
        <v/>
      </c>
      <c r="B240" s="18" t="str">
        <f>IF($A240="","",Items!$B237)</f>
        <v/>
      </c>
      <c r="C240" s="19" t="str">
        <f>IF($A240="","",Items!$G237)</f>
        <v/>
      </c>
      <c r="D240" s="20" t="str">
        <f>IF($A240="","",N(Items!$D237))</f>
        <v/>
      </c>
      <c r="E240" s="23" t="str">
        <f>IF($A240="","",Items!$E237)</f>
        <v/>
      </c>
      <c r="F240" s="23" t="str">
        <f>IF($A240="","",Items!$F237)</f>
        <v/>
      </c>
      <c r="G240" s="26" t="str">
        <f>IF($A240="","",SUMIFS(tblReceipts[Qty Received],tblReceipts[Item Name],$A240))</f>
        <v/>
      </c>
      <c r="H240" s="26" t="str">
        <f>IF($A240="","",SUMIFS(tblIssues[Qty Issued],tblIssues[Item Name],$A240))</f>
        <v/>
      </c>
      <c r="I240" s="27" t="str">
        <f t="shared" si="9"/>
        <v/>
      </c>
      <c r="J240" s="21" t="str">
        <f t="shared" si="10"/>
        <v/>
      </c>
      <c r="K240" s="26" t="str">
        <f>IF($A240="","",COUNTIFS(tblReceipts[Item Name],$A240))</f>
        <v/>
      </c>
      <c r="L240" s="26" t="str">
        <f>IF($A240="","",COUNTIFS(tblLotBalance[Item Name],$A240,tblLotBalance[Lot Balance],"&gt;0"))</f>
        <v/>
      </c>
      <c r="M240" s="24" t="str">
        <f>IF($A240="","",IF($L240=0,"",IFERROR(_xlfn.MINIFS(tblLotBalance[Expiry Date],tblLotBalance[Item Name],$A240,tblLotBalance[Lot Balance],"&gt;0"),"")))</f>
        <v/>
      </c>
      <c r="N240" s="26" t="str">
        <f t="shared" ca="1" si="11"/>
        <v/>
      </c>
      <c r="O240" s="18" t="str" cm="1">
        <f t="array" ref="O240">IF($M240="","",IFERROR(INDEX(tblLotBalance[Lot Number],MATCH(1,INDEX((tblLotBalance[Item Name]=$A240)*(tblLotBalance[Expiry Date]=$M240)*(tblLotBalance[Lot Balance]&gt;0),0),0)),""))</f>
        <v/>
      </c>
      <c r="P240" s="28" t="str">
        <f>IF($A240="","",IF($I240&lt;0,"NEGATIVE",IF(NOT(ISNUMBER($F240)),"Set threshold",IF($I240&lt;=0,"OUT OF STOCK",IF($I240&lt;=$F240,"LOW",IF($I240&lt;=$F240*Settings!$C$7,"WATCH","OK"))))))</f>
        <v/>
      </c>
      <c r="Q240" s="29" t="str">
        <f>IF($A240="","",IF($P240="NEGATIVE","Issued more than received - add the missing receipt",IF($P240="OUT OF STOCK","Reorder immediately",IF($P240="LOW","Raise purchase order",IF($P240="Set threshold","Enter Critical Low in Items",IF(AND($N240&lt;&gt;"",$N240&lt;=0),"Quarantine expired lot",IF(AND($N240&lt;&gt;"",$N240&lt;=Settings!$C$6),"Use or rotate stock now","")))))))</f>
        <v/>
      </c>
    </row>
    <row r="241" spans="1:17" x14ac:dyDescent="0.35">
      <c r="A241" s="18" t="str">
        <f>IF(Items!$A238="","",Items!$A238)</f>
        <v/>
      </c>
      <c r="B241" s="18" t="str">
        <f>IF($A241="","",Items!$B238)</f>
        <v/>
      </c>
      <c r="C241" s="19" t="str">
        <f>IF($A241="","",Items!$G238)</f>
        <v/>
      </c>
      <c r="D241" s="20" t="str">
        <f>IF($A241="","",N(Items!$D238))</f>
        <v/>
      </c>
      <c r="E241" s="23" t="str">
        <f>IF($A241="","",Items!$E238)</f>
        <v/>
      </c>
      <c r="F241" s="23" t="str">
        <f>IF($A241="","",Items!$F238)</f>
        <v/>
      </c>
      <c r="G241" s="26" t="str">
        <f>IF($A241="","",SUMIFS(tblReceipts[Qty Received],tblReceipts[Item Name],$A241))</f>
        <v/>
      </c>
      <c r="H241" s="26" t="str">
        <f>IF($A241="","",SUMIFS(tblIssues[Qty Issued],tblIssues[Item Name],$A241))</f>
        <v/>
      </c>
      <c r="I241" s="27" t="str">
        <f t="shared" si="9"/>
        <v/>
      </c>
      <c r="J241" s="21" t="str">
        <f t="shared" si="10"/>
        <v/>
      </c>
      <c r="K241" s="26" t="str">
        <f>IF($A241="","",COUNTIFS(tblReceipts[Item Name],$A241))</f>
        <v/>
      </c>
      <c r="L241" s="26" t="str">
        <f>IF($A241="","",COUNTIFS(tblLotBalance[Item Name],$A241,tblLotBalance[Lot Balance],"&gt;0"))</f>
        <v/>
      </c>
      <c r="M241" s="24" t="str">
        <f>IF($A241="","",IF($L241=0,"",IFERROR(_xlfn.MINIFS(tblLotBalance[Expiry Date],tblLotBalance[Item Name],$A241,tblLotBalance[Lot Balance],"&gt;0"),"")))</f>
        <v/>
      </c>
      <c r="N241" s="26" t="str">
        <f t="shared" ca="1" si="11"/>
        <v/>
      </c>
      <c r="O241" s="18" t="str" cm="1">
        <f t="array" ref="O241">IF($M241="","",IFERROR(INDEX(tblLotBalance[Lot Number],MATCH(1,INDEX((tblLotBalance[Item Name]=$A241)*(tblLotBalance[Expiry Date]=$M241)*(tblLotBalance[Lot Balance]&gt;0),0),0)),""))</f>
        <v/>
      </c>
      <c r="P241" s="28" t="str">
        <f>IF($A241="","",IF($I241&lt;0,"NEGATIVE",IF(NOT(ISNUMBER($F241)),"Set threshold",IF($I241&lt;=0,"OUT OF STOCK",IF($I241&lt;=$F241,"LOW",IF($I241&lt;=$F241*Settings!$C$7,"WATCH","OK"))))))</f>
        <v/>
      </c>
      <c r="Q241" s="29" t="str">
        <f>IF($A241="","",IF($P241="NEGATIVE","Issued more than received - add the missing receipt",IF($P241="OUT OF STOCK","Reorder immediately",IF($P241="LOW","Raise purchase order",IF($P241="Set threshold","Enter Critical Low in Items",IF(AND($N241&lt;&gt;"",$N241&lt;=0),"Quarantine expired lot",IF(AND($N241&lt;&gt;"",$N241&lt;=Settings!$C$6),"Use or rotate stock now","")))))))</f>
        <v/>
      </c>
    </row>
    <row r="242" spans="1:17" x14ac:dyDescent="0.35">
      <c r="A242" s="18" t="str">
        <f>IF(Items!$A239="","",Items!$A239)</f>
        <v/>
      </c>
      <c r="B242" s="18" t="str">
        <f>IF($A242="","",Items!$B239)</f>
        <v/>
      </c>
      <c r="C242" s="19" t="str">
        <f>IF($A242="","",Items!$G239)</f>
        <v/>
      </c>
      <c r="D242" s="20" t="str">
        <f>IF($A242="","",N(Items!$D239))</f>
        <v/>
      </c>
      <c r="E242" s="23" t="str">
        <f>IF($A242="","",Items!$E239)</f>
        <v/>
      </c>
      <c r="F242" s="23" t="str">
        <f>IF($A242="","",Items!$F239)</f>
        <v/>
      </c>
      <c r="G242" s="26" t="str">
        <f>IF($A242="","",SUMIFS(tblReceipts[Qty Received],tblReceipts[Item Name],$A242))</f>
        <v/>
      </c>
      <c r="H242" s="26" t="str">
        <f>IF($A242="","",SUMIFS(tblIssues[Qty Issued],tblIssues[Item Name],$A242))</f>
        <v/>
      </c>
      <c r="I242" s="27" t="str">
        <f t="shared" si="9"/>
        <v/>
      </c>
      <c r="J242" s="21" t="str">
        <f t="shared" si="10"/>
        <v/>
      </c>
      <c r="K242" s="26" t="str">
        <f>IF($A242="","",COUNTIFS(tblReceipts[Item Name],$A242))</f>
        <v/>
      </c>
      <c r="L242" s="26" t="str">
        <f>IF($A242="","",COUNTIFS(tblLotBalance[Item Name],$A242,tblLotBalance[Lot Balance],"&gt;0"))</f>
        <v/>
      </c>
      <c r="M242" s="24" t="str">
        <f>IF($A242="","",IF($L242=0,"",IFERROR(_xlfn.MINIFS(tblLotBalance[Expiry Date],tblLotBalance[Item Name],$A242,tblLotBalance[Lot Balance],"&gt;0"),"")))</f>
        <v/>
      </c>
      <c r="N242" s="26" t="str">
        <f t="shared" ca="1" si="11"/>
        <v/>
      </c>
      <c r="O242" s="18" t="str" cm="1">
        <f t="array" ref="O242">IF($M242="","",IFERROR(INDEX(tblLotBalance[Lot Number],MATCH(1,INDEX((tblLotBalance[Item Name]=$A242)*(tblLotBalance[Expiry Date]=$M242)*(tblLotBalance[Lot Balance]&gt;0),0),0)),""))</f>
        <v/>
      </c>
      <c r="P242" s="28" t="str">
        <f>IF($A242="","",IF($I242&lt;0,"NEGATIVE",IF(NOT(ISNUMBER($F242)),"Set threshold",IF($I242&lt;=0,"OUT OF STOCK",IF($I242&lt;=$F242,"LOW",IF($I242&lt;=$F242*Settings!$C$7,"WATCH","OK"))))))</f>
        <v/>
      </c>
      <c r="Q242" s="29" t="str">
        <f>IF($A242="","",IF($P242="NEGATIVE","Issued more than received - add the missing receipt",IF($P242="OUT OF STOCK","Reorder immediately",IF($P242="LOW","Raise purchase order",IF($P242="Set threshold","Enter Critical Low in Items",IF(AND($N242&lt;&gt;"",$N242&lt;=0),"Quarantine expired lot",IF(AND($N242&lt;&gt;"",$N242&lt;=Settings!$C$6),"Use or rotate stock now","")))))))</f>
        <v/>
      </c>
    </row>
    <row r="243" spans="1:17" x14ac:dyDescent="0.35">
      <c r="A243" s="18" t="str">
        <f>IF(Items!$A240="","",Items!$A240)</f>
        <v/>
      </c>
      <c r="B243" s="18" t="str">
        <f>IF($A243="","",Items!$B240)</f>
        <v/>
      </c>
      <c r="C243" s="19" t="str">
        <f>IF($A243="","",Items!$G240)</f>
        <v/>
      </c>
      <c r="D243" s="20" t="str">
        <f>IF($A243="","",N(Items!$D240))</f>
        <v/>
      </c>
      <c r="E243" s="23" t="str">
        <f>IF($A243="","",Items!$E240)</f>
        <v/>
      </c>
      <c r="F243" s="23" t="str">
        <f>IF($A243="","",Items!$F240)</f>
        <v/>
      </c>
      <c r="G243" s="26" t="str">
        <f>IF($A243="","",SUMIFS(tblReceipts[Qty Received],tblReceipts[Item Name],$A243))</f>
        <v/>
      </c>
      <c r="H243" s="26" t="str">
        <f>IF($A243="","",SUMIFS(tblIssues[Qty Issued],tblIssues[Item Name],$A243))</f>
        <v/>
      </c>
      <c r="I243" s="27" t="str">
        <f t="shared" si="9"/>
        <v/>
      </c>
      <c r="J243" s="21" t="str">
        <f t="shared" si="10"/>
        <v/>
      </c>
      <c r="K243" s="26" t="str">
        <f>IF($A243="","",COUNTIFS(tblReceipts[Item Name],$A243))</f>
        <v/>
      </c>
      <c r="L243" s="26" t="str">
        <f>IF($A243="","",COUNTIFS(tblLotBalance[Item Name],$A243,tblLotBalance[Lot Balance],"&gt;0"))</f>
        <v/>
      </c>
      <c r="M243" s="24" t="str">
        <f>IF($A243="","",IF($L243=0,"",IFERROR(_xlfn.MINIFS(tblLotBalance[Expiry Date],tblLotBalance[Item Name],$A243,tblLotBalance[Lot Balance],"&gt;0"),"")))</f>
        <v/>
      </c>
      <c r="N243" s="26" t="str">
        <f t="shared" ca="1" si="11"/>
        <v/>
      </c>
      <c r="O243" s="18" t="str" cm="1">
        <f t="array" ref="O243">IF($M243="","",IFERROR(INDEX(tblLotBalance[Lot Number],MATCH(1,INDEX((tblLotBalance[Item Name]=$A243)*(tblLotBalance[Expiry Date]=$M243)*(tblLotBalance[Lot Balance]&gt;0),0),0)),""))</f>
        <v/>
      </c>
      <c r="P243" s="28" t="str">
        <f>IF($A243="","",IF($I243&lt;0,"NEGATIVE",IF(NOT(ISNUMBER($F243)),"Set threshold",IF($I243&lt;=0,"OUT OF STOCK",IF($I243&lt;=$F243,"LOW",IF($I243&lt;=$F243*Settings!$C$7,"WATCH","OK"))))))</f>
        <v/>
      </c>
      <c r="Q243" s="29" t="str">
        <f>IF($A243="","",IF($P243="NEGATIVE","Issued more than received - add the missing receipt",IF($P243="OUT OF STOCK","Reorder immediately",IF($P243="LOW","Raise purchase order",IF($P243="Set threshold","Enter Critical Low in Items",IF(AND($N243&lt;&gt;"",$N243&lt;=0),"Quarantine expired lot",IF(AND($N243&lt;&gt;"",$N243&lt;=Settings!$C$6),"Use or rotate stock now","")))))))</f>
        <v/>
      </c>
    </row>
    <row r="244" spans="1:17" x14ac:dyDescent="0.35">
      <c r="A244" s="18" t="str">
        <f>IF(Items!$A241="","",Items!$A241)</f>
        <v/>
      </c>
      <c r="B244" s="18" t="str">
        <f>IF($A244="","",Items!$B241)</f>
        <v/>
      </c>
      <c r="C244" s="19" t="str">
        <f>IF($A244="","",Items!$G241)</f>
        <v/>
      </c>
      <c r="D244" s="20" t="str">
        <f>IF($A244="","",N(Items!$D241))</f>
        <v/>
      </c>
      <c r="E244" s="23" t="str">
        <f>IF($A244="","",Items!$E241)</f>
        <v/>
      </c>
      <c r="F244" s="23" t="str">
        <f>IF($A244="","",Items!$F241)</f>
        <v/>
      </c>
      <c r="G244" s="26" t="str">
        <f>IF($A244="","",SUMIFS(tblReceipts[Qty Received],tblReceipts[Item Name],$A244))</f>
        <v/>
      </c>
      <c r="H244" s="26" t="str">
        <f>IF($A244="","",SUMIFS(tblIssues[Qty Issued],tblIssues[Item Name],$A244))</f>
        <v/>
      </c>
      <c r="I244" s="27" t="str">
        <f t="shared" si="9"/>
        <v/>
      </c>
      <c r="J244" s="21" t="str">
        <f t="shared" si="10"/>
        <v/>
      </c>
      <c r="K244" s="26" t="str">
        <f>IF($A244="","",COUNTIFS(tblReceipts[Item Name],$A244))</f>
        <v/>
      </c>
      <c r="L244" s="26" t="str">
        <f>IF($A244="","",COUNTIFS(tblLotBalance[Item Name],$A244,tblLotBalance[Lot Balance],"&gt;0"))</f>
        <v/>
      </c>
      <c r="M244" s="24" t="str">
        <f>IF($A244="","",IF($L244=0,"",IFERROR(_xlfn.MINIFS(tblLotBalance[Expiry Date],tblLotBalance[Item Name],$A244,tblLotBalance[Lot Balance],"&gt;0"),"")))</f>
        <v/>
      </c>
      <c r="N244" s="26" t="str">
        <f t="shared" ca="1" si="11"/>
        <v/>
      </c>
      <c r="O244" s="18" t="str" cm="1">
        <f t="array" ref="O244">IF($M244="","",IFERROR(INDEX(tblLotBalance[Lot Number],MATCH(1,INDEX((tblLotBalance[Item Name]=$A244)*(tblLotBalance[Expiry Date]=$M244)*(tblLotBalance[Lot Balance]&gt;0),0),0)),""))</f>
        <v/>
      </c>
      <c r="P244" s="28" t="str">
        <f>IF($A244="","",IF($I244&lt;0,"NEGATIVE",IF(NOT(ISNUMBER($F244)),"Set threshold",IF($I244&lt;=0,"OUT OF STOCK",IF($I244&lt;=$F244,"LOW",IF($I244&lt;=$F244*Settings!$C$7,"WATCH","OK"))))))</f>
        <v/>
      </c>
      <c r="Q244" s="29" t="str">
        <f>IF($A244="","",IF($P244="NEGATIVE","Issued more than received - add the missing receipt",IF($P244="OUT OF STOCK","Reorder immediately",IF($P244="LOW","Raise purchase order",IF($P244="Set threshold","Enter Critical Low in Items",IF(AND($N244&lt;&gt;"",$N244&lt;=0),"Quarantine expired lot",IF(AND($N244&lt;&gt;"",$N244&lt;=Settings!$C$6),"Use or rotate stock now","")))))))</f>
        <v/>
      </c>
    </row>
    <row r="245" spans="1:17" x14ac:dyDescent="0.35">
      <c r="A245" s="18" t="str">
        <f>IF(Items!$A242="","",Items!$A242)</f>
        <v/>
      </c>
      <c r="B245" s="18" t="str">
        <f>IF($A245="","",Items!$B242)</f>
        <v/>
      </c>
      <c r="C245" s="19" t="str">
        <f>IF($A245="","",Items!$G242)</f>
        <v/>
      </c>
      <c r="D245" s="20" t="str">
        <f>IF($A245="","",N(Items!$D242))</f>
        <v/>
      </c>
      <c r="E245" s="23" t="str">
        <f>IF($A245="","",Items!$E242)</f>
        <v/>
      </c>
      <c r="F245" s="23" t="str">
        <f>IF($A245="","",Items!$F242)</f>
        <v/>
      </c>
      <c r="G245" s="26" t="str">
        <f>IF($A245="","",SUMIFS(tblReceipts[Qty Received],tblReceipts[Item Name],$A245))</f>
        <v/>
      </c>
      <c r="H245" s="26" t="str">
        <f>IF($A245="","",SUMIFS(tblIssues[Qty Issued],tblIssues[Item Name],$A245))</f>
        <v/>
      </c>
      <c r="I245" s="27" t="str">
        <f t="shared" si="9"/>
        <v/>
      </c>
      <c r="J245" s="21" t="str">
        <f t="shared" si="10"/>
        <v/>
      </c>
      <c r="K245" s="26" t="str">
        <f>IF($A245="","",COUNTIFS(tblReceipts[Item Name],$A245))</f>
        <v/>
      </c>
      <c r="L245" s="26" t="str">
        <f>IF($A245="","",COUNTIFS(tblLotBalance[Item Name],$A245,tblLotBalance[Lot Balance],"&gt;0"))</f>
        <v/>
      </c>
      <c r="M245" s="24" t="str">
        <f>IF($A245="","",IF($L245=0,"",IFERROR(_xlfn.MINIFS(tblLotBalance[Expiry Date],tblLotBalance[Item Name],$A245,tblLotBalance[Lot Balance],"&gt;0"),"")))</f>
        <v/>
      </c>
      <c r="N245" s="26" t="str">
        <f t="shared" ca="1" si="11"/>
        <v/>
      </c>
      <c r="O245" s="18" t="str" cm="1">
        <f t="array" ref="O245">IF($M245="","",IFERROR(INDEX(tblLotBalance[Lot Number],MATCH(1,INDEX((tblLotBalance[Item Name]=$A245)*(tblLotBalance[Expiry Date]=$M245)*(tblLotBalance[Lot Balance]&gt;0),0),0)),""))</f>
        <v/>
      </c>
      <c r="P245" s="28" t="str">
        <f>IF($A245="","",IF($I245&lt;0,"NEGATIVE",IF(NOT(ISNUMBER($F245)),"Set threshold",IF($I245&lt;=0,"OUT OF STOCK",IF($I245&lt;=$F245,"LOW",IF($I245&lt;=$F245*Settings!$C$7,"WATCH","OK"))))))</f>
        <v/>
      </c>
      <c r="Q245" s="29" t="str">
        <f>IF($A245="","",IF($P245="NEGATIVE","Issued more than received - add the missing receipt",IF($P245="OUT OF STOCK","Reorder immediately",IF($P245="LOW","Raise purchase order",IF($P245="Set threshold","Enter Critical Low in Items",IF(AND($N245&lt;&gt;"",$N245&lt;=0),"Quarantine expired lot",IF(AND($N245&lt;&gt;"",$N245&lt;=Settings!$C$6),"Use or rotate stock now","")))))))</f>
        <v/>
      </c>
    </row>
    <row r="246" spans="1:17" x14ac:dyDescent="0.35">
      <c r="A246" s="18" t="str">
        <f>IF(Items!$A243="","",Items!$A243)</f>
        <v/>
      </c>
      <c r="B246" s="18" t="str">
        <f>IF($A246="","",Items!$B243)</f>
        <v/>
      </c>
      <c r="C246" s="19" t="str">
        <f>IF($A246="","",Items!$G243)</f>
        <v/>
      </c>
      <c r="D246" s="20" t="str">
        <f>IF($A246="","",N(Items!$D243))</f>
        <v/>
      </c>
      <c r="E246" s="23" t="str">
        <f>IF($A246="","",Items!$E243)</f>
        <v/>
      </c>
      <c r="F246" s="23" t="str">
        <f>IF($A246="","",Items!$F243)</f>
        <v/>
      </c>
      <c r="G246" s="26" t="str">
        <f>IF($A246="","",SUMIFS(tblReceipts[Qty Received],tblReceipts[Item Name],$A246))</f>
        <v/>
      </c>
      <c r="H246" s="26" t="str">
        <f>IF($A246="","",SUMIFS(tblIssues[Qty Issued],tblIssues[Item Name],$A246))</f>
        <v/>
      </c>
      <c r="I246" s="27" t="str">
        <f t="shared" si="9"/>
        <v/>
      </c>
      <c r="J246" s="21" t="str">
        <f t="shared" si="10"/>
        <v/>
      </c>
      <c r="K246" s="26" t="str">
        <f>IF($A246="","",COUNTIFS(tblReceipts[Item Name],$A246))</f>
        <v/>
      </c>
      <c r="L246" s="26" t="str">
        <f>IF($A246="","",COUNTIFS(tblLotBalance[Item Name],$A246,tblLotBalance[Lot Balance],"&gt;0"))</f>
        <v/>
      </c>
      <c r="M246" s="24" t="str">
        <f>IF($A246="","",IF($L246=0,"",IFERROR(_xlfn.MINIFS(tblLotBalance[Expiry Date],tblLotBalance[Item Name],$A246,tblLotBalance[Lot Balance],"&gt;0"),"")))</f>
        <v/>
      </c>
      <c r="N246" s="26" t="str">
        <f t="shared" ca="1" si="11"/>
        <v/>
      </c>
      <c r="O246" s="18" t="str" cm="1">
        <f t="array" ref="O246">IF($M246="","",IFERROR(INDEX(tblLotBalance[Lot Number],MATCH(1,INDEX((tblLotBalance[Item Name]=$A246)*(tblLotBalance[Expiry Date]=$M246)*(tblLotBalance[Lot Balance]&gt;0),0),0)),""))</f>
        <v/>
      </c>
      <c r="P246" s="28" t="str">
        <f>IF($A246="","",IF($I246&lt;0,"NEGATIVE",IF(NOT(ISNUMBER($F246)),"Set threshold",IF($I246&lt;=0,"OUT OF STOCK",IF($I246&lt;=$F246,"LOW",IF($I246&lt;=$F246*Settings!$C$7,"WATCH","OK"))))))</f>
        <v/>
      </c>
      <c r="Q246" s="29" t="str">
        <f>IF($A246="","",IF($P246="NEGATIVE","Issued more than received - add the missing receipt",IF($P246="OUT OF STOCK","Reorder immediately",IF($P246="LOW","Raise purchase order",IF($P246="Set threshold","Enter Critical Low in Items",IF(AND($N246&lt;&gt;"",$N246&lt;=0),"Quarantine expired lot",IF(AND($N246&lt;&gt;"",$N246&lt;=Settings!$C$6),"Use or rotate stock now","")))))))</f>
        <v/>
      </c>
    </row>
    <row r="247" spans="1:17" x14ac:dyDescent="0.35">
      <c r="A247" s="18" t="str">
        <f>IF(Items!$A244="","",Items!$A244)</f>
        <v/>
      </c>
      <c r="B247" s="18" t="str">
        <f>IF($A247="","",Items!$B244)</f>
        <v/>
      </c>
      <c r="C247" s="19" t="str">
        <f>IF($A247="","",Items!$G244)</f>
        <v/>
      </c>
      <c r="D247" s="20" t="str">
        <f>IF($A247="","",N(Items!$D244))</f>
        <v/>
      </c>
      <c r="E247" s="23" t="str">
        <f>IF($A247="","",Items!$E244)</f>
        <v/>
      </c>
      <c r="F247" s="23" t="str">
        <f>IF($A247="","",Items!$F244)</f>
        <v/>
      </c>
      <c r="G247" s="26" t="str">
        <f>IF($A247="","",SUMIFS(tblReceipts[Qty Received],tblReceipts[Item Name],$A247))</f>
        <v/>
      </c>
      <c r="H247" s="26" t="str">
        <f>IF($A247="","",SUMIFS(tblIssues[Qty Issued],tblIssues[Item Name],$A247))</f>
        <v/>
      </c>
      <c r="I247" s="27" t="str">
        <f t="shared" si="9"/>
        <v/>
      </c>
      <c r="J247" s="21" t="str">
        <f t="shared" si="10"/>
        <v/>
      </c>
      <c r="K247" s="26" t="str">
        <f>IF($A247="","",COUNTIFS(tblReceipts[Item Name],$A247))</f>
        <v/>
      </c>
      <c r="L247" s="26" t="str">
        <f>IF($A247="","",COUNTIFS(tblLotBalance[Item Name],$A247,tblLotBalance[Lot Balance],"&gt;0"))</f>
        <v/>
      </c>
      <c r="M247" s="24" t="str">
        <f>IF($A247="","",IF($L247=0,"",IFERROR(_xlfn.MINIFS(tblLotBalance[Expiry Date],tblLotBalance[Item Name],$A247,tblLotBalance[Lot Balance],"&gt;0"),"")))</f>
        <v/>
      </c>
      <c r="N247" s="26" t="str">
        <f t="shared" ca="1" si="11"/>
        <v/>
      </c>
      <c r="O247" s="18" t="str" cm="1">
        <f t="array" ref="O247">IF($M247="","",IFERROR(INDEX(tblLotBalance[Lot Number],MATCH(1,INDEX((tblLotBalance[Item Name]=$A247)*(tblLotBalance[Expiry Date]=$M247)*(tblLotBalance[Lot Balance]&gt;0),0),0)),""))</f>
        <v/>
      </c>
      <c r="P247" s="28" t="str">
        <f>IF($A247="","",IF($I247&lt;0,"NEGATIVE",IF(NOT(ISNUMBER($F247)),"Set threshold",IF($I247&lt;=0,"OUT OF STOCK",IF($I247&lt;=$F247,"LOW",IF($I247&lt;=$F247*Settings!$C$7,"WATCH","OK"))))))</f>
        <v/>
      </c>
      <c r="Q247" s="29" t="str">
        <f>IF($A247="","",IF($P247="NEGATIVE","Issued more than received - add the missing receipt",IF($P247="OUT OF STOCK","Reorder immediately",IF($P247="LOW","Raise purchase order",IF($P247="Set threshold","Enter Critical Low in Items",IF(AND($N247&lt;&gt;"",$N247&lt;=0),"Quarantine expired lot",IF(AND($N247&lt;&gt;"",$N247&lt;=Settings!$C$6),"Use or rotate stock now","")))))))</f>
        <v/>
      </c>
    </row>
    <row r="248" spans="1:17" x14ac:dyDescent="0.35">
      <c r="A248" s="18" t="str">
        <f>IF(Items!$A245="","",Items!$A245)</f>
        <v/>
      </c>
      <c r="B248" s="18" t="str">
        <f>IF($A248="","",Items!$B245)</f>
        <v/>
      </c>
      <c r="C248" s="19" t="str">
        <f>IF($A248="","",Items!$G245)</f>
        <v/>
      </c>
      <c r="D248" s="20" t="str">
        <f>IF($A248="","",N(Items!$D245))</f>
        <v/>
      </c>
      <c r="E248" s="23" t="str">
        <f>IF($A248="","",Items!$E245)</f>
        <v/>
      </c>
      <c r="F248" s="23" t="str">
        <f>IF($A248="","",Items!$F245)</f>
        <v/>
      </c>
      <c r="G248" s="26" t="str">
        <f>IF($A248="","",SUMIFS(tblReceipts[Qty Received],tblReceipts[Item Name],$A248))</f>
        <v/>
      </c>
      <c r="H248" s="26" t="str">
        <f>IF($A248="","",SUMIFS(tblIssues[Qty Issued],tblIssues[Item Name],$A248))</f>
        <v/>
      </c>
      <c r="I248" s="27" t="str">
        <f t="shared" si="9"/>
        <v/>
      </c>
      <c r="J248" s="21" t="str">
        <f t="shared" si="10"/>
        <v/>
      </c>
      <c r="K248" s="26" t="str">
        <f>IF($A248="","",COUNTIFS(tblReceipts[Item Name],$A248))</f>
        <v/>
      </c>
      <c r="L248" s="26" t="str">
        <f>IF($A248="","",COUNTIFS(tblLotBalance[Item Name],$A248,tblLotBalance[Lot Balance],"&gt;0"))</f>
        <v/>
      </c>
      <c r="M248" s="24" t="str">
        <f>IF($A248="","",IF($L248=0,"",IFERROR(_xlfn.MINIFS(tblLotBalance[Expiry Date],tblLotBalance[Item Name],$A248,tblLotBalance[Lot Balance],"&gt;0"),"")))</f>
        <v/>
      </c>
      <c r="N248" s="26" t="str">
        <f t="shared" ca="1" si="11"/>
        <v/>
      </c>
      <c r="O248" s="18" t="str" cm="1">
        <f t="array" ref="O248">IF($M248="","",IFERROR(INDEX(tblLotBalance[Lot Number],MATCH(1,INDEX((tblLotBalance[Item Name]=$A248)*(tblLotBalance[Expiry Date]=$M248)*(tblLotBalance[Lot Balance]&gt;0),0),0)),""))</f>
        <v/>
      </c>
      <c r="P248" s="28" t="str">
        <f>IF($A248="","",IF($I248&lt;0,"NEGATIVE",IF(NOT(ISNUMBER($F248)),"Set threshold",IF($I248&lt;=0,"OUT OF STOCK",IF($I248&lt;=$F248,"LOW",IF($I248&lt;=$F248*Settings!$C$7,"WATCH","OK"))))))</f>
        <v/>
      </c>
      <c r="Q248" s="29" t="str">
        <f>IF($A248="","",IF($P248="NEGATIVE","Issued more than received - add the missing receipt",IF($P248="OUT OF STOCK","Reorder immediately",IF($P248="LOW","Raise purchase order",IF($P248="Set threshold","Enter Critical Low in Items",IF(AND($N248&lt;&gt;"",$N248&lt;=0),"Quarantine expired lot",IF(AND($N248&lt;&gt;"",$N248&lt;=Settings!$C$6),"Use or rotate stock now","")))))))</f>
        <v/>
      </c>
    </row>
    <row r="249" spans="1:17" x14ac:dyDescent="0.35">
      <c r="A249" s="18" t="str">
        <f>IF(Items!$A246="","",Items!$A246)</f>
        <v/>
      </c>
      <c r="B249" s="18" t="str">
        <f>IF($A249="","",Items!$B246)</f>
        <v/>
      </c>
      <c r="C249" s="19" t="str">
        <f>IF($A249="","",Items!$G246)</f>
        <v/>
      </c>
      <c r="D249" s="20" t="str">
        <f>IF($A249="","",N(Items!$D246))</f>
        <v/>
      </c>
      <c r="E249" s="23" t="str">
        <f>IF($A249="","",Items!$E246)</f>
        <v/>
      </c>
      <c r="F249" s="23" t="str">
        <f>IF($A249="","",Items!$F246)</f>
        <v/>
      </c>
      <c r="G249" s="26" t="str">
        <f>IF($A249="","",SUMIFS(tblReceipts[Qty Received],tblReceipts[Item Name],$A249))</f>
        <v/>
      </c>
      <c r="H249" s="26" t="str">
        <f>IF($A249="","",SUMIFS(tblIssues[Qty Issued],tblIssues[Item Name],$A249))</f>
        <v/>
      </c>
      <c r="I249" s="27" t="str">
        <f t="shared" si="9"/>
        <v/>
      </c>
      <c r="J249" s="21" t="str">
        <f t="shared" si="10"/>
        <v/>
      </c>
      <c r="K249" s="26" t="str">
        <f>IF($A249="","",COUNTIFS(tblReceipts[Item Name],$A249))</f>
        <v/>
      </c>
      <c r="L249" s="26" t="str">
        <f>IF($A249="","",COUNTIFS(tblLotBalance[Item Name],$A249,tblLotBalance[Lot Balance],"&gt;0"))</f>
        <v/>
      </c>
      <c r="M249" s="24" t="str">
        <f>IF($A249="","",IF($L249=0,"",IFERROR(_xlfn.MINIFS(tblLotBalance[Expiry Date],tblLotBalance[Item Name],$A249,tblLotBalance[Lot Balance],"&gt;0"),"")))</f>
        <v/>
      </c>
      <c r="N249" s="26" t="str">
        <f t="shared" ca="1" si="11"/>
        <v/>
      </c>
      <c r="O249" s="18" t="str" cm="1">
        <f t="array" ref="O249">IF($M249="","",IFERROR(INDEX(tblLotBalance[Lot Number],MATCH(1,INDEX((tblLotBalance[Item Name]=$A249)*(tblLotBalance[Expiry Date]=$M249)*(tblLotBalance[Lot Balance]&gt;0),0),0)),""))</f>
        <v/>
      </c>
      <c r="P249" s="28" t="str">
        <f>IF($A249="","",IF($I249&lt;0,"NEGATIVE",IF(NOT(ISNUMBER($F249)),"Set threshold",IF($I249&lt;=0,"OUT OF STOCK",IF($I249&lt;=$F249,"LOW",IF($I249&lt;=$F249*Settings!$C$7,"WATCH","OK"))))))</f>
        <v/>
      </c>
      <c r="Q249" s="29" t="str">
        <f>IF($A249="","",IF($P249="NEGATIVE","Issued more than received - add the missing receipt",IF($P249="OUT OF STOCK","Reorder immediately",IF($P249="LOW","Raise purchase order",IF($P249="Set threshold","Enter Critical Low in Items",IF(AND($N249&lt;&gt;"",$N249&lt;=0),"Quarantine expired lot",IF(AND($N249&lt;&gt;"",$N249&lt;=Settings!$C$6),"Use or rotate stock now","")))))))</f>
        <v/>
      </c>
    </row>
    <row r="250" spans="1:17" x14ac:dyDescent="0.35">
      <c r="A250" s="18" t="str">
        <f>IF(Items!$A247="","",Items!$A247)</f>
        <v/>
      </c>
      <c r="B250" s="18" t="str">
        <f>IF($A250="","",Items!$B247)</f>
        <v/>
      </c>
      <c r="C250" s="19" t="str">
        <f>IF($A250="","",Items!$G247)</f>
        <v/>
      </c>
      <c r="D250" s="20" t="str">
        <f>IF($A250="","",N(Items!$D247))</f>
        <v/>
      </c>
      <c r="E250" s="23" t="str">
        <f>IF($A250="","",Items!$E247)</f>
        <v/>
      </c>
      <c r="F250" s="23" t="str">
        <f>IF($A250="","",Items!$F247)</f>
        <v/>
      </c>
      <c r="G250" s="26" t="str">
        <f>IF($A250="","",SUMIFS(tblReceipts[Qty Received],tblReceipts[Item Name],$A250))</f>
        <v/>
      </c>
      <c r="H250" s="26" t="str">
        <f>IF($A250="","",SUMIFS(tblIssues[Qty Issued],tblIssues[Item Name],$A250))</f>
        <v/>
      </c>
      <c r="I250" s="27" t="str">
        <f t="shared" si="9"/>
        <v/>
      </c>
      <c r="J250" s="21" t="str">
        <f t="shared" si="10"/>
        <v/>
      </c>
      <c r="K250" s="26" t="str">
        <f>IF($A250="","",COUNTIFS(tblReceipts[Item Name],$A250))</f>
        <v/>
      </c>
      <c r="L250" s="26" t="str">
        <f>IF($A250="","",COUNTIFS(tblLotBalance[Item Name],$A250,tblLotBalance[Lot Balance],"&gt;0"))</f>
        <v/>
      </c>
      <c r="M250" s="24" t="str">
        <f>IF($A250="","",IF($L250=0,"",IFERROR(_xlfn.MINIFS(tblLotBalance[Expiry Date],tblLotBalance[Item Name],$A250,tblLotBalance[Lot Balance],"&gt;0"),"")))</f>
        <v/>
      </c>
      <c r="N250" s="26" t="str">
        <f t="shared" ca="1" si="11"/>
        <v/>
      </c>
      <c r="O250" s="18" t="str" cm="1">
        <f t="array" ref="O250">IF($M250="","",IFERROR(INDEX(tblLotBalance[Lot Number],MATCH(1,INDEX((tblLotBalance[Item Name]=$A250)*(tblLotBalance[Expiry Date]=$M250)*(tblLotBalance[Lot Balance]&gt;0),0),0)),""))</f>
        <v/>
      </c>
      <c r="P250" s="28" t="str">
        <f>IF($A250="","",IF($I250&lt;0,"NEGATIVE",IF(NOT(ISNUMBER($F250)),"Set threshold",IF($I250&lt;=0,"OUT OF STOCK",IF($I250&lt;=$F250,"LOW",IF($I250&lt;=$F250*Settings!$C$7,"WATCH","OK"))))))</f>
        <v/>
      </c>
      <c r="Q250" s="29" t="str">
        <f>IF($A250="","",IF($P250="NEGATIVE","Issued more than received - add the missing receipt",IF($P250="OUT OF STOCK","Reorder immediately",IF($P250="LOW","Raise purchase order",IF($P250="Set threshold","Enter Critical Low in Items",IF(AND($N250&lt;&gt;"",$N250&lt;=0),"Quarantine expired lot",IF(AND($N250&lt;&gt;"",$N250&lt;=Settings!$C$6),"Use or rotate stock now","")))))))</f>
        <v/>
      </c>
    </row>
    <row r="251" spans="1:17" x14ac:dyDescent="0.35">
      <c r="A251" s="18" t="str">
        <f>IF(Items!$A248="","",Items!$A248)</f>
        <v/>
      </c>
      <c r="B251" s="18" t="str">
        <f>IF($A251="","",Items!$B248)</f>
        <v/>
      </c>
      <c r="C251" s="19" t="str">
        <f>IF($A251="","",Items!$G248)</f>
        <v/>
      </c>
      <c r="D251" s="20" t="str">
        <f>IF($A251="","",N(Items!$D248))</f>
        <v/>
      </c>
      <c r="E251" s="23" t="str">
        <f>IF($A251="","",Items!$E248)</f>
        <v/>
      </c>
      <c r="F251" s="23" t="str">
        <f>IF($A251="","",Items!$F248)</f>
        <v/>
      </c>
      <c r="G251" s="26" t="str">
        <f>IF($A251="","",SUMIFS(tblReceipts[Qty Received],tblReceipts[Item Name],$A251))</f>
        <v/>
      </c>
      <c r="H251" s="26" t="str">
        <f>IF($A251="","",SUMIFS(tblIssues[Qty Issued],tblIssues[Item Name],$A251))</f>
        <v/>
      </c>
      <c r="I251" s="27" t="str">
        <f t="shared" si="9"/>
        <v/>
      </c>
      <c r="J251" s="21" t="str">
        <f t="shared" si="10"/>
        <v/>
      </c>
      <c r="K251" s="26" t="str">
        <f>IF($A251="","",COUNTIFS(tblReceipts[Item Name],$A251))</f>
        <v/>
      </c>
      <c r="L251" s="26" t="str">
        <f>IF($A251="","",COUNTIFS(tblLotBalance[Item Name],$A251,tblLotBalance[Lot Balance],"&gt;0"))</f>
        <v/>
      </c>
      <c r="M251" s="24" t="str">
        <f>IF($A251="","",IF($L251=0,"",IFERROR(_xlfn.MINIFS(tblLotBalance[Expiry Date],tblLotBalance[Item Name],$A251,tblLotBalance[Lot Balance],"&gt;0"),"")))</f>
        <v/>
      </c>
      <c r="N251" s="26" t="str">
        <f t="shared" ca="1" si="11"/>
        <v/>
      </c>
      <c r="O251" s="18" t="str" cm="1">
        <f t="array" ref="O251">IF($M251="","",IFERROR(INDEX(tblLotBalance[Lot Number],MATCH(1,INDEX((tblLotBalance[Item Name]=$A251)*(tblLotBalance[Expiry Date]=$M251)*(tblLotBalance[Lot Balance]&gt;0),0),0)),""))</f>
        <v/>
      </c>
      <c r="P251" s="28" t="str">
        <f>IF($A251="","",IF($I251&lt;0,"NEGATIVE",IF(NOT(ISNUMBER($F251)),"Set threshold",IF($I251&lt;=0,"OUT OF STOCK",IF($I251&lt;=$F251,"LOW",IF($I251&lt;=$F251*Settings!$C$7,"WATCH","OK"))))))</f>
        <v/>
      </c>
      <c r="Q251" s="29" t="str">
        <f>IF($A251="","",IF($P251="NEGATIVE","Issued more than received - add the missing receipt",IF($P251="OUT OF STOCK","Reorder immediately",IF($P251="LOW","Raise purchase order",IF($P251="Set threshold","Enter Critical Low in Items",IF(AND($N251&lt;&gt;"",$N251&lt;=0),"Quarantine expired lot",IF(AND($N251&lt;&gt;"",$N251&lt;=Settings!$C$6),"Use or rotate stock now","")))))))</f>
        <v/>
      </c>
    </row>
    <row r="252" spans="1:17" x14ac:dyDescent="0.35">
      <c r="A252" s="18" t="str">
        <f>IF(Items!$A249="","",Items!$A249)</f>
        <v/>
      </c>
      <c r="B252" s="18" t="str">
        <f>IF($A252="","",Items!$B249)</f>
        <v/>
      </c>
      <c r="C252" s="19" t="str">
        <f>IF($A252="","",Items!$G249)</f>
        <v/>
      </c>
      <c r="D252" s="20" t="str">
        <f>IF($A252="","",N(Items!$D249))</f>
        <v/>
      </c>
      <c r="E252" s="23" t="str">
        <f>IF($A252="","",Items!$E249)</f>
        <v/>
      </c>
      <c r="F252" s="23" t="str">
        <f>IF($A252="","",Items!$F249)</f>
        <v/>
      </c>
      <c r="G252" s="26" t="str">
        <f>IF($A252="","",SUMIFS(tblReceipts[Qty Received],tblReceipts[Item Name],$A252))</f>
        <v/>
      </c>
      <c r="H252" s="26" t="str">
        <f>IF($A252="","",SUMIFS(tblIssues[Qty Issued],tblIssues[Item Name],$A252))</f>
        <v/>
      </c>
      <c r="I252" s="27" t="str">
        <f t="shared" si="9"/>
        <v/>
      </c>
      <c r="J252" s="21" t="str">
        <f t="shared" si="10"/>
        <v/>
      </c>
      <c r="K252" s="26" t="str">
        <f>IF($A252="","",COUNTIFS(tblReceipts[Item Name],$A252))</f>
        <v/>
      </c>
      <c r="L252" s="26" t="str">
        <f>IF($A252="","",COUNTIFS(tblLotBalance[Item Name],$A252,tblLotBalance[Lot Balance],"&gt;0"))</f>
        <v/>
      </c>
      <c r="M252" s="24" t="str">
        <f>IF($A252="","",IF($L252=0,"",IFERROR(_xlfn.MINIFS(tblLotBalance[Expiry Date],tblLotBalance[Item Name],$A252,tblLotBalance[Lot Balance],"&gt;0"),"")))</f>
        <v/>
      </c>
      <c r="N252" s="26" t="str">
        <f t="shared" ca="1" si="11"/>
        <v/>
      </c>
      <c r="O252" s="18" t="str" cm="1">
        <f t="array" ref="O252">IF($M252="","",IFERROR(INDEX(tblLotBalance[Lot Number],MATCH(1,INDEX((tblLotBalance[Item Name]=$A252)*(tblLotBalance[Expiry Date]=$M252)*(tblLotBalance[Lot Balance]&gt;0),0),0)),""))</f>
        <v/>
      </c>
      <c r="P252" s="28" t="str">
        <f>IF($A252="","",IF($I252&lt;0,"NEGATIVE",IF(NOT(ISNUMBER($F252)),"Set threshold",IF($I252&lt;=0,"OUT OF STOCK",IF($I252&lt;=$F252,"LOW",IF($I252&lt;=$F252*Settings!$C$7,"WATCH","OK"))))))</f>
        <v/>
      </c>
      <c r="Q252" s="29" t="str">
        <f>IF($A252="","",IF($P252="NEGATIVE","Issued more than received - add the missing receipt",IF($P252="OUT OF STOCK","Reorder immediately",IF($P252="LOW","Raise purchase order",IF($P252="Set threshold","Enter Critical Low in Items",IF(AND($N252&lt;&gt;"",$N252&lt;=0),"Quarantine expired lot",IF(AND($N252&lt;&gt;"",$N252&lt;=Settings!$C$6),"Use or rotate stock now","")))))))</f>
        <v/>
      </c>
    </row>
    <row r="253" spans="1:17" x14ac:dyDescent="0.35">
      <c r="A253" s="18" t="str">
        <f>IF(Items!$A250="","",Items!$A250)</f>
        <v/>
      </c>
      <c r="B253" s="18" t="str">
        <f>IF($A253="","",Items!$B250)</f>
        <v/>
      </c>
      <c r="C253" s="19" t="str">
        <f>IF($A253="","",Items!$G250)</f>
        <v/>
      </c>
      <c r="D253" s="20" t="str">
        <f>IF($A253="","",N(Items!$D250))</f>
        <v/>
      </c>
      <c r="E253" s="23" t="str">
        <f>IF($A253="","",Items!$E250)</f>
        <v/>
      </c>
      <c r="F253" s="23" t="str">
        <f>IF($A253="","",Items!$F250)</f>
        <v/>
      </c>
      <c r="G253" s="26" t="str">
        <f>IF($A253="","",SUMIFS(tblReceipts[Qty Received],tblReceipts[Item Name],$A253))</f>
        <v/>
      </c>
      <c r="H253" s="26" t="str">
        <f>IF($A253="","",SUMIFS(tblIssues[Qty Issued],tblIssues[Item Name],$A253))</f>
        <v/>
      </c>
      <c r="I253" s="27" t="str">
        <f t="shared" si="9"/>
        <v/>
      </c>
      <c r="J253" s="21" t="str">
        <f t="shared" si="10"/>
        <v/>
      </c>
      <c r="K253" s="26" t="str">
        <f>IF($A253="","",COUNTIFS(tblReceipts[Item Name],$A253))</f>
        <v/>
      </c>
      <c r="L253" s="26" t="str">
        <f>IF($A253="","",COUNTIFS(tblLotBalance[Item Name],$A253,tblLotBalance[Lot Balance],"&gt;0"))</f>
        <v/>
      </c>
      <c r="M253" s="24" t="str">
        <f>IF($A253="","",IF($L253=0,"",IFERROR(_xlfn.MINIFS(tblLotBalance[Expiry Date],tblLotBalance[Item Name],$A253,tblLotBalance[Lot Balance],"&gt;0"),"")))</f>
        <v/>
      </c>
      <c r="N253" s="26" t="str">
        <f t="shared" ca="1" si="11"/>
        <v/>
      </c>
      <c r="O253" s="18" t="str" cm="1">
        <f t="array" ref="O253">IF($M253="","",IFERROR(INDEX(tblLotBalance[Lot Number],MATCH(1,INDEX((tblLotBalance[Item Name]=$A253)*(tblLotBalance[Expiry Date]=$M253)*(tblLotBalance[Lot Balance]&gt;0),0),0)),""))</f>
        <v/>
      </c>
      <c r="P253" s="28" t="str">
        <f>IF($A253="","",IF($I253&lt;0,"NEGATIVE",IF(NOT(ISNUMBER($F253)),"Set threshold",IF($I253&lt;=0,"OUT OF STOCK",IF($I253&lt;=$F253,"LOW",IF($I253&lt;=$F253*Settings!$C$7,"WATCH","OK"))))))</f>
        <v/>
      </c>
      <c r="Q253" s="29" t="str">
        <f>IF($A253="","",IF($P253="NEGATIVE","Issued more than received - add the missing receipt",IF($P253="OUT OF STOCK","Reorder immediately",IF($P253="LOW","Raise purchase order",IF($P253="Set threshold","Enter Critical Low in Items",IF(AND($N253&lt;&gt;"",$N253&lt;=0),"Quarantine expired lot",IF(AND($N253&lt;&gt;"",$N253&lt;=Settings!$C$6),"Use or rotate stock now","")))))))</f>
        <v/>
      </c>
    </row>
    <row r="254" spans="1:17" x14ac:dyDescent="0.35">
      <c r="A254" s="18" t="str">
        <f>IF(Items!$A251="","",Items!$A251)</f>
        <v/>
      </c>
      <c r="B254" s="18" t="str">
        <f>IF($A254="","",Items!$B251)</f>
        <v/>
      </c>
      <c r="C254" s="19" t="str">
        <f>IF($A254="","",Items!$G251)</f>
        <v/>
      </c>
      <c r="D254" s="20" t="str">
        <f>IF($A254="","",N(Items!$D251))</f>
        <v/>
      </c>
      <c r="E254" s="23" t="str">
        <f>IF($A254="","",Items!$E251)</f>
        <v/>
      </c>
      <c r="F254" s="23" t="str">
        <f>IF($A254="","",Items!$F251)</f>
        <v/>
      </c>
      <c r="G254" s="26" t="str">
        <f>IF($A254="","",SUMIFS(tblReceipts[Qty Received],tblReceipts[Item Name],$A254))</f>
        <v/>
      </c>
      <c r="H254" s="26" t="str">
        <f>IF($A254="","",SUMIFS(tblIssues[Qty Issued],tblIssues[Item Name],$A254))</f>
        <v/>
      </c>
      <c r="I254" s="27" t="str">
        <f t="shared" si="9"/>
        <v/>
      </c>
      <c r="J254" s="21" t="str">
        <f t="shared" si="10"/>
        <v/>
      </c>
      <c r="K254" s="26" t="str">
        <f>IF($A254="","",COUNTIFS(tblReceipts[Item Name],$A254))</f>
        <v/>
      </c>
      <c r="L254" s="26" t="str">
        <f>IF($A254="","",COUNTIFS(tblLotBalance[Item Name],$A254,tblLotBalance[Lot Balance],"&gt;0"))</f>
        <v/>
      </c>
      <c r="M254" s="24" t="str">
        <f>IF($A254="","",IF($L254=0,"",IFERROR(_xlfn.MINIFS(tblLotBalance[Expiry Date],tblLotBalance[Item Name],$A254,tblLotBalance[Lot Balance],"&gt;0"),"")))</f>
        <v/>
      </c>
      <c r="N254" s="26" t="str">
        <f t="shared" ca="1" si="11"/>
        <v/>
      </c>
      <c r="O254" s="18" t="str" cm="1">
        <f t="array" ref="O254">IF($M254="","",IFERROR(INDEX(tblLotBalance[Lot Number],MATCH(1,INDEX((tblLotBalance[Item Name]=$A254)*(tblLotBalance[Expiry Date]=$M254)*(tblLotBalance[Lot Balance]&gt;0),0),0)),""))</f>
        <v/>
      </c>
      <c r="P254" s="28" t="str">
        <f>IF($A254="","",IF($I254&lt;0,"NEGATIVE",IF(NOT(ISNUMBER($F254)),"Set threshold",IF($I254&lt;=0,"OUT OF STOCK",IF($I254&lt;=$F254,"LOW",IF($I254&lt;=$F254*Settings!$C$7,"WATCH","OK"))))))</f>
        <v/>
      </c>
      <c r="Q254" s="29" t="str">
        <f>IF($A254="","",IF($P254="NEGATIVE","Issued more than received - add the missing receipt",IF($P254="OUT OF STOCK","Reorder immediately",IF($P254="LOW","Raise purchase order",IF($P254="Set threshold","Enter Critical Low in Items",IF(AND($N254&lt;&gt;"",$N254&lt;=0),"Quarantine expired lot",IF(AND($N254&lt;&gt;"",$N254&lt;=Settings!$C$6),"Use or rotate stock now","")))))))</f>
        <v/>
      </c>
    </row>
    <row r="255" spans="1:17" x14ac:dyDescent="0.35">
      <c r="A255" s="18" t="str">
        <f>IF(Items!$A252="","",Items!$A252)</f>
        <v/>
      </c>
      <c r="B255" s="18" t="str">
        <f>IF($A255="","",Items!$B252)</f>
        <v/>
      </c>
      <c r="C255" s="19" t="str">
        <f>IF($A255="","",Items!$G252)</f>
        <v/>
      </c>
      <c r="D255" s="20" t="str">
        <f>IF($A255="","",N(Items!$D252))</f>
        <v/>
      </c>
      <c r="E255" s="23" t="str">
        <f>IF($A255="","",Items!$E252)</f>
        <v/>
      </c>
      <c r="F255" s="23" t="str">
        <f>IF($A255="","",Items!$F252)</f>
        <v/>
      </c>
      <c r="G255" s="26" t="str">
        <f>IF($A255="","",SUMIFS(tblReceipts[Qty Received],tblReceipts[Item Name],$A255))</f>
        <v/>
      </c>
      <c r="H255" s="26" t="str">
        <f>IF($A255="","",SUMIFS(tblIssues[Qty Issued],tblIssues[Item Name],$A255))</f>
        <v/>
      </c>
      <c r="I255" s="27" t="str">
        <f t="shared" si="9"/>
        <v/>
      </c>
      <c r="J255" s="21" t="str">
        <f t="shared" si="10"/>
        <v/>
      </c>
      <c r="K255" s="26" t="str">
        <f>IF($A255="","",COUNTIFS(tblReceipts[Item Name],$A255))</f>
        <v/>
      </c>
      <c r="L255" s="26" t="str">
        <f>IF($A255="","",COUNTIFS(tblLotBalance[Item Name],$A255,tblLotBalance[Lot Balance],"&gt;0"))</f>
        <v/>
      </c>
      <c r="M255" s="24" t="str">
        <f>IF($A255="","",IF($L255=0,"",IFERROR(_xlfn.MINIFS(tblLotBalance[Expiry Date],tblLotBalance[Item Name],$A255,tblLotBalance[Lot Balance],"&gt;0"),"")))</f>
        <v/>
      </c>
      <c r="N255" s="26" t="str">
        <f t="shared" ca="1" si="11"/>
        <v/>
      </c>
      <c r="O255" s="18" t="str" cm="1">
        <f t="array" ref="O255">IF($M255="","",IFERROR(INDEX(tblLotBalance[Lot Number],MATCH(1,INDEX((tblLotBalance[Item Name]=$A255)*(tblLotBalance[Expiry Date]=$M255)*(tblLotBalance[Lot Balance]&gt;0),0),0)),""))</f>
        <v/>
      </c>
      <c r="P255" s="28" t="str">
        <f>IF($A255="","",IF($I255&lt;0,"NEGATIVE",IF(NOT(ISNUMBER($F255)),"Set threshold",IF($I255&lt;=0,"OUT OF STOCK",IF($I255&lt;=$F255,"LOW",IF($I255&lt;=$F255*Settings!$C$7,"WATCH","OK"))))))</f>
        <v/>
      </c>
      <c r="Q255" s="29" t="str">
        <f>IF($A255="","",IF($P255="NEGATIVE","Issued more than received - add the missing receipt",IF($P255="OUT OF STOCK","Reorder immediately",IF($P255="LOW","Raise purchase order",IF($P255="Set threshold","Enter Critical Low in Items",IF(AND($N255&lt;&gt;"",$N255&lt;=0),"Quarantine expired lot",IF(AND($N255&lt;&gt;"",$N255&lt;=Settings!$C$6),"Use or rotate stock now","")))))))</f>
        <v/>
      </c>
    </row>
    <row r="256" spans="1:17" x14ac:dyDescent="0.35">
      <c r="A256" s="18" t="str">
        <f>IF(Items!$A253="","",Items!$A253)</f>
        <v/>
      </c>
      <c r="B256" s="18" t="str">
        <f>IF($A256="","",Items!$B253)</f>
        <v/>
      </c>
      <c r="C256" s="19" t="str">
        <f>IF($A256="","",Items!$G253)</f>
        <v/>
      </c>
      <c r="D256" s="20" t="str">
        <f>IF($A256="","",N(Items!$D253))</f>
        <v/>
      </c>
      <c r="E256" s="23" t="str">
        <f>IF($A256="","",Items!$E253)</f>
        <v/>
      </c>
      <c r="F256" s="23" t="str">
        <f>IF($A256="","",Items!$F253)</f>
        <v/>
      </c>
      <c r="G256" s="26" t="str">
        <f>IF($A256="","",SUMIFS(tblReceipts[Qty Received],tblReceipts[Item Name],$A256))</f>
        <v/>
      </c>
      <c r="H256" s="26" t="str">
        <f>IF($A256="","",SUMIFS(tblIssues[Qty Issued],tblIssues[Item Name],$A256))</f>
        <v/>
      </c>
      <c r="I256" s="27" t="str">
        <f t="shared" si="9"/>
        <v/>
      </c>
      <c r="J256" s="21" t="str">
        <f t="shared" si="10"/>
        <v/>
      </c>
      <c r="K256" s="26" t="str">
        <f>IF($A256="","",COUNTIFS(tblReceipts[Item Name],$A256))</f>
        <v/>
      </c>
      <c r="L256" s="26" t="str">
        <f>IF($A256="","",COUNTIFS(tblLotBalance[Item Name],$A256,tblLotBalance[Lot Balance],"&gt;0"))</f>
        <v/>
      </c>
      <c r="M256" s="24" t="str">
        <f>IF($A256="","",IF($L256=0,"",IFERROR(_xlfn.MINIFS(tblLotBalance[Expiry Date],tblLotBalance[Item Name],$A256,tblLotBalance[Lot Balance],"&gt;0"),"")))</f>
        <v/>
      </c>
      <c r="N256" s="26" t="str">
        <f t="shared" ca="1" si="11"/>
        <v/>
      </c>
      <c r="O256" s="18" t="str" cm="1">
        <f t="array" ref="O256">IF($M256="","",IFERROR(INDEX(tblLotBalance[Lot Number],MATCH(1,INDEX((tblLotBalance[Item Name]=$A256)*(tblLotBalance[Expiry Date]=$M256)*(tblLotBalance[Lot Balance]&gt;0),0),0)),""))</f>
        <v/>
      </c>
      <c r="P256" s="28" t="str">
        <f>IF($A256="","",IF($I256&lt;0,"NEGATIVE",IF(NOT(ISNUMBER($F256)),"Set threshold",IF($I256&lt;=0,"OUT OF STOCK",IF($I256&lt;=$F256,"LOW",IF($I256&lt;=$F256*Settings!$C$7,"WATCH","OK"))))))</f>
        <v/>
      </c>
      <c r="Q256" s="29" t="str">
        <f>IF($A256="","",IF($P256="NEGATIVE","Issued more than received - add the missing receipt",IF($P256="OUT OF STOCK","Reorder immediately",IF($P256="LOW","Raise purchase order",IF($P256="Set threshold","Enter Critical Low in Items",IF(AND($N256&lt;&gt;"",$N256&lt;=0),"Quarantine expired lot",IF(AND($N256&lt;&gt;"",$N256&lt;=Settings!$C$6),"Use or rotate stock now","")))))))</f>
        <v/>
      </c>
    </row>
    <row r="257" spans="1:17" x14ac:dyDescent="0.35">
      <c r="A257" s="18" t="str">
        <f>IF(Items!$A254="","",Items!$A254)</f>
        <v/>
      </c>
      <c r="B257" s="18" t="str">
        <f>IF($A257="","",Items!$B254)</f>
        <v/>
      </c>
      <c r="C257" s="19" t="str">
        <f>IF($A257="","",Items!$G254)</f>
        <v/>
      </c>
      <c r="D257" s="20" t="str">
        <f>IF($A257="","",N(Items!$D254))</f>
        <v/>
      </c>
      <c r="E257" s="23" t="str">
        <f>IF($A257="","",Items!$E254)</f>
        <v/>
      </c>
      <c r="F257" s="23" t="str">
        <f>IF($A257="","",Items!$F254)</f>
        <v/>
      </c>
      <c r="G257" s="26" t="str">
        <f>IF($A257="","",SUMIFS(tblReceipts[Qty Received],tblReceipts[Item Name],$A257))</f>
        <v/>
      </c>
      <c r="H257" s="26" t="str">
        <f>IF($A257="","",SUMIFS(tblIssues[Qty Issued],tblIssues[Item Name],$A257))</f>
        <v/>
      </c>
      <c r="I257" s="27" t="str">
        <f t="shared" si="9"/>
        <v/>
      </c>
      <c r="J257" s="21" t="str">
        <f t="shared" si="10"/>
        <v/>
      </c>
      <c r="K257" s="26" t="str">
        <f>IF($A257="","",COUNTIFS(tblReceipts[Item Name],$A257))</f>
        <v/>
      </c>
      <c r="L257" s="26" t="str">
        <f>IF($A257="","",COUNTIFS(tblLotBalance[Item Name],$A257,tblLotBalance[Lot Balance],"&gt;0"))</f>
        <v/>
      </c>
      <c r="M257" s="24" t="str">
        <f>IF($A257="","",IF($L257=0,"",IFERROR(_xlfn.MINIFS(tblLotBalance[Expiry Date],tblLotBalance[Item Name],$A257,tblLotBalance[Lot Balance],"&gt;0"),"")))</f>
        <v/>
      </c>
      <c r="N257" s="26" t="str">
        <f t="shared" ca="1" si="11"/>
        <v/>
      </c>
      <c r="O257" s="18" t="str" cm="1">
        <f t="array" ref="O257">IF($M257="","",IFERROR(INDEX(tblLotBalance[Lot Number],MATCH(1,INDEX((tblLotBalance[Item Name]=$A257)*(tblLotBalance[Expiry Date]=$M257)*(tblLotBalance[Lot Balance]&gt;0),0),0)),""))</f>
        <v/>
      </c>
      <c r="P257" s="28" t="str">
        <f>IF($A257="","",IF($I257&lt;0,"NEGATIVE",IF(NOT(ISNUMBER($F257)),"Set threshold",IF($I257&lt;=0,"OUT OF STOCK",IF($I257&lt;=$F257,"LOW",IF($I257&lt;=$F257*Settings!$C$7,"WATCH","OK"))))))</f>
        <v/>
      </c>
      <c r="Q257" s="29" t="str">
        <f>IF($A257="","",IF($P257="NEGATIVE","Issued more than received - add the missing receipt",IF($P257="OUT OF STOCK","Reorder immediately",IF($P257="LOW","Raise purchase order",IF($P257="Set threshold","Enter Critical Low in Items",IF(AND($N257&lt;&gt;"",$N257&lt;=0),"Quarantine expired lot",IF(AND($N257&lt;&gt;"",$N257&lt;=Settings!$C$6),"Use or rotate stock now","")))))))</f>
        <v/>
      </c>
    </row>
    <row r="258" spans="1:17" x14ac:dyDescent="0.35">
      <c r="A258" s="18" t="str">
        <f>IF(Items!$A255="","",Items!$A255)</f>
        <v/>
      </c>
      <c r="B258" s="18" t="str">
        <f>IF($A258="","",Items!$B255)</f>
        <v/>
      </c>
      <c r="C258" s="19" t="str">
        <f>IF($A258="","",Items!$G255)</f>
        <v/>
      </c>
      <c r="D258" s="20" t="str">
        <f>IF($A258="","",N(Items!$D255))</f>
        <v/>
      </c>
      <c r="E258" s="23" t="str">
        <f>IF($A258="","",Items!$E255)</f>
        <v/>
      </c>
      <c r="F258" s="23" t="str">
        <f>IF($A258="","",Items!$F255)</f>
        <v/>
      </c>
      <c r="G258" s="26" t="str">
        <f>IF($A258="","",SUMIFS(tblReceipts[Qty Received],tblReceipts[Item Name],$A258))</f>
        <v/>
      </c>
      <c r="H258" s="26" t="str">
        <f>IF($A258="","",SUMIFS(tblIssues[Qty Issued],tblIssues[Item Name],$A258))</f>
        <v/>
      </c>
      <c r="I258" s="27" t="str">
        <f t="shared" si="9"/>
        <v/>
      </c>
      <c r="J258" s="21" t="str">
        <f t="shared" si="10"/>
        <v/>
      </c>
      <c r="K258" s="26" t="str">
        <f>IF($A258="","",COUNTIFS(tblReceipts[Item Name],$A258))</f>
        <v/>
      </c>
      <c r="L258" s="26" t="str">
        <f>IF($A258="","",COUNTIFS(tblLotBalance[Item Name],$A258,tblLotBalance[Lot Balance],"&gt;0"))</f>
        <v/>
      </c>
      <c r="M258" s="24" t="str">
        <f>IF($A258="","",IF($L258=0,"",IFERROR(_xlfn.MINIFS(tblLotBalance[Expiry Date],tblLotBalance[Item Name],$A258,tblLotBalance[Lot Balance],"&gt;0"),"")))</f>
        <v/>
      </c>
      <c r="N258" s="26" t="str">
        <f t="shared" ca="1" si="11"/>
        <v/>
      </c>
      <c r="O258" s="18" t="str" cm="1">
        <f t="array" ref="O258">IF($M258="","",IFERROR(INDEX(tblLotBalance[Lot Number],MATCH(1,INDEX((tblLotBalance[Item Name]=$A258)*(tblLotBalance[Expiry Date]=$M258)*(tblLotBalance[Lot Balance]&gt;0),0),0)),""))</f>
        <v/>
      </c>
      <c r="P258" s="28" t="str">
        <f>IF($A258="","",IF($I258&lt;0,"NEGATIVE",IF(NOT(ISNUMBER($F258)),"Set threshold",IF($I258&lt;=0,"OUT OF STOCK",IF($I258&lt;=$F258,"LOW",IF($I258&lt;=$F258*Settings!$C$7,"WATCH","OK"))))))</f>
        <v/>
      </c>
      <c r="Q258" s="29" t="str">
        <f>IF($A258="","",IF($P258="NEGATIVE","Issued more than received - add the missing receipt",IF($P258="OUT OF STOCK","Reorder immediately",IF($P258="LOW","Raise purchase order",IF($P258="Set threshold","Enter Critical Low in Items",IF(AND($N258&lt;&gt;"",$N258&lt;=0),"Quarantine expired lot",IF(AND($N258&lt;&gt;"",$N258&lt;=Settings!$C$6),"Use or rotate stock now","")))))))</f>
        <v/>
      </c>
    </row>
    <row r="259" spans="1:17" x14ac:dyDescent="0.35">
      <c r="A259" s="18" t="str">
        <f>IF(Items!$A256="","",Items!$A256)</f>
        <v/>
      </c>
      <c r="B259" s="18" t="str">
        <f>IF($A259="","",Items!$B256)</f>
        <v/>
      </c>
      <c r="C259" s="19" t="str">
        <f>IF($A259="","",Items!$G256)</f>
        <v/>
      </c>
      <c r="D259" s="20" t="str">
        <f>IF($A259="","",N(Items!$D256))</f>
        <v/>
      </c>
      <c r="E259" s="23" t="str">
        <f>IF($A259="","",Items!$E256)</f>
        <v/>
      </c>
      <c r="F259" s="23" t="str">
        <f>IF($A259="","",Items!$F256)</f>
        <v/>
      </c>
      <c r="G259" s="26" t="str">
        <f>IF($A259="","",SUMIFS(tblReceipts[Qty Received],tblReceipts[Item Name],$A259))</f>
        <v/>
      </c>
      <c r="H259" s="26" t="str">
        <f>IF($A259="","",SUMIFS(tblIssues[Qty Issued],tblIssues[Item Name],$A259))</f>
        <v/>
      </c>
      <c r="I259" s="27" t="str">
        <f t="shared" si="9"/>
        <v/>
      </c>
      <c r="J259" s="21" t="str">
        <f t="shared" si="10"/>
        <v/>
      </c>
      <c r="K259" s="26" t="str">
        <f>IF($A259="","",COUNTIFS(tblReceipts[Item Name],$A259))</f>
        <v/>
      </c>
      <c r="L259" s="26" t="str">
        <f>IF($A259="","",COUNTIFS(tblLotBalance[Item Name],$A259,tblLotBalance[Lot Balance],"&gt;0"))</f>
        <v/>
      </c>
      <c r="M259" s="24" t="str">
        <f>IF($A259="","",IF($L259=0,"",IFERROR(_xlfn.MINIFS(tblLotBalance[Expiry Date],tblLotBalance[Item Name],$A259,tblLotBalance[Lot Balance],"&gt;0"),"")))</f>
        <v/>
      </c>
      <c r="N259" s="26" t="str">
        <f t="shared" ca="1" si="11"/>
        <v/>
      </c>
      <c r="O259" s="18" t="str" cm="1">
        <f t="array" ref="O259">IF($M259="","",IFERROR(INDEX(tblLotBalance[Lot Number],MATCH(1,INDEX((tblLotBalance[Item Name]=$A259)*(tblLotBalance[Expiry Date]=$M259)*(tblLotBalance[Lot Balance]&gt;0),0),0)),""))</f>
        <v/>
      </c>
      <c r="P259" s="28" t="str">
        <f>IF($A259="","",IF($I259&lt;0,"NEGATIVE",IF(NOT(ISNUMBER($F259)),"Set threshold",IF($I259&lt;=0,"OUT OF STOCK",IF($I259&lt;=$F259,"LOW",IF($I259&lt;=$F259*Settings!$C$7,"WATCH","OK"))))))</f>
        <v/>
      </c>
      <c r="Q259" s="29" t="str">
        <f>IF($A259="","",IF($P259="NEGATIVE","Issued more than received - add the missing receipt",IF($P259="OUT OF STOCK","Reorder immediately",IF($P259="LOW","Raise purchase order",IF($P259="Set threshold","Enter Critical Low in Items",IF(AND($N259&lt;&gt;"",$N259&lt;=0),"Quarantine expired lot",IF(AND($N259&lt;&gt;"",$N259&lt;=Settings!$C$6),"Use or rotate stock now","")))))))</f>
        <v/>
      </c>
    </row>
    <row r="260" spans="1:17" x14ac:dyDescent="0.35">
      <c r="A260" s="18" t="str">
        <f>IF(Items!$A257="","",Items!$A257)</f>
        <v/>
      </c>
      <c r="B260" s="18" t="str">
        <f>IF($A260="","",Items!$B257)</f>
        <v/>
      </c>
      <c r="C260" s="19" t="str">
        <f>IF($A260="","",Items!$G257)</f>
        <v/>
      </c>
      <c r="D260" s="20" t="str">
        <f>IF($A260="","",N(Items!$D257))</f>
        <v/>
      </c>
      <c r="E260" s="23" t="str">
        <f>IF($A260="","",Items!$E257)</f>
        <v/>
      </c>
      <c r="F260" s="23" t="str">
        <f>IF($A260="","",Items!$F257)</f>
        <v/>
      </c>
      <c r="G260" s="26" t="str">
        <f>IF($A260="","",SUMIFS(tblReceipts[Qty Received],tblReceipts[Item Name],$A260))</f>
        <v/>
      </c>
      <c r="H260" s="26" t="str">
        <f>IF($A260="","",SUMIFS(tblIssues[Qty Issued],tblIssues[Item Name],$A260))</f>
        <v/>
      </c>
      <c r="I260" s="27" t="str">
        <f t="shared" si="9"/>
        <v/>
      </c>
      <c r="J260" s="21" t="str">
        <f t="shared" si="10"/>
        <v/>
      </c>
      <c r="K260" s="26" t="str">
        <f>IF($A260="","",COUNTIFS(tblReceipts[Item Name],$A260))</f>
        <v/>
      </c>
      <c r="L260" s="26" t="str">
        <f>IF($A260="","",COUNTIFS(tblLotBalance[Item Name],$A260,tblLotBalance[Lot Balance],"&gt;0"))</f>
        <v/>
      </c>
      <c r="M260" s="24" t="str">
        <f>IF($A260="","",IF($L260=0,"",IFERROR(_xlfn.MINIFS(tblLotBalance[Expiry Date],tblLotBalance[Item Name],$A260,tblLotBalance[Lot Balance],"&gt;0"),"")))</f>
        <v/>
      </c>
      <c r="N260" s="26" t="str">
        <f t="shared" ca="1" si="11"/>
        <v/>
      </c>
      <c r="O260" s="18" t="str" cm="1">
        <f t="array" ref="O260">IF($M260="","",IFERROR(INDEX(tblLotBalance[Lot Number],MATCH(1,INDEX((tblLotBalance[Item Name]=$A260)*(tblLotBalance[Expiry Date]=$M260)*(tblLotBalance[Lot Balance]&gt;0),0),0)),""))</f>
        <v/>
      </c>
      <c r="P260" s="28" t="str">
        <f>IF($A260="","",IF($I260&lt;0,"NEGATIVE",IF(NOT(ISNUMBER($F260)),"Set threshold",IF($I260&lt;=0,"OUT OF STOCK",IF($I260&lt;=$F260,"LOW",IF($I260&lt;=$F260*Settings!$C$7,"WATCH","OK"))))))</f>
        <v/>
      </c>
      <c r="Q260" s="29" t="str">
        <f>IF($A260="","",IF($P260="NEGATIVE","Issued more than received - add the missing receipt",IF($P260="OUT OF STOCK","Reorder immediately",IF($P260="LOW","Raise purchase order",IF($P260="Set threshold","Enter Critical Low in Items",IF(AND($N260&lt;&gt;"",$N260&lt;=0),"Quarantine expired lot",IF(AND($N260&lt;&gt;"",$N260&lt;=Settings!$C$6),"Use or rotate stock now","")))))))</f>
        <v/>
      </c>
    </row>
    <row r="261" spans="1:17" x14ac:dyDescent="0.35">
      <c r="A261" s="18" t="str">
        <f>IF(Items!$A258="","",Items!$A258)</f>
        <v/>
      </c>
      <c r="B261" s="18" t="str">
        <f>IF($A261="","",Items!$B258)</f>
        <v/>
      </c>
      <c r="C261" s="19" t="str">
        <f>IF($A261="","",Items!$G258)</f>
        <v/>
      </c>
      <c r="D261" s="20" t="str">
        <f>IF($A261="","",N(Items!$D258))</f>
        <v/>
      </c>
      <c r="E261" s="23" t="str">
        <f>IF($A261="","",Items!$E258)</f>
        <v/>
      </c>
      <c r="F261" s="23" t="str">
        <f>IF($A261="","",Items!$F258)</f>
        <v/>
      </c>
      <c r="G261" s="26" t="str">
        <f>IF($A261="","",SUMIFS(tblReceipts[Qty Received],tblReceipts[Item Name],$A261))</f>
        <v/>
      </c>
      <c r="H261" s="26" t="str">
        <f>IF($A261="","",SUMIFS(tblIssues[Qty Issued],tblIssues[Item Name],$A261))</f>
        <v/>
      </c>
      <c r="I261" s="27" t="str">
        <f t="shared" ref="I261:I324" si="12">IF($A261="","",$G261-$H261)</f>
        <v/>
      </c>
      <c r="J261" s="21" t="str">
        <f t="shared" ref="J261:J324" si="13">IF($A261="","",$I261*$D261)</f>
        <v/>
      </c>
      <c r="K261" s="26" t="str">
        <f>IF($A261="","",COUNTIFS(tblReceipts[Item Name],$A261))</f>
        <v/>
      </c>
      <c r="L261" s="26" t="str">
        <f>IF($A261="","",COUNTIFS(tblLotBalance[Item Name],$A261,tblLotBalance[Lot Balance],"&gt;0"))</f>
        <v/>
      </c>
      <c r="M261" s="24" t="str">
        <f>IF($A261="","",IF($L261=0,"",IFERROR(_xlfn.MINIFS(tblLotBalance[Expiry Date],tblLotBalance[Item Name],$A261,tblLotBalance[Lot Balance],"&gt;0"),"")))</f>
        <v/>
      </c>
      <c r="N261" s="26" t="str">
        <f t="shared" ref="N261:N324" ca="1" si="14">IF($M261="","",$M261-TODAY())</f>
        <v/>
      </c>
      <c r="O261" s="18" t="str" cm="1">
        <f t="array" ref="O261">IF($M261="","",IFERROR(INDEX(tblLotBalance[Lot Number],MATCH(1,INDEX((tblLotBalance[Item Name]=$A261)*(tblLotBalance[Expiry Date]=$M261)*(tblLotBalance[Lot Balance]&gt;0),0),0)),""))</f>
        <v/>
      </c>
      <c r="P261" s="28" t="str">
        <f>IF($A261="","",IF($I261&lt;0,"NEGATIVE",IF(NOT(ISNUMBER($F261)),"Set threshold",IF($I261&lt;=0,"OUT OF STOCK",IF($I261&lt;=$F261,"LOW",IF($I261&lt;=$F261*Settings!$C$7,"WATCH","OK"))))))</f>
        <v/>
      </c>
      <c r="Q261" s="29" t="str">
        <f>IF($A261="","",IF($P261="NEGATIVE","Issued more than received - add the missing receipt",IF($P261="OUT OF STOCK","Reorder immediately",IF($P261="LOW","Raise purchase order",IF($P261="Set threshold","Enter Critical Low in Items",IF(AND($N261&lt;&gt;"",$N261&lt;=0),"Quarantine expired lot",IF(AND($N261&lt;&gt;"",$N261&lt;=Settings!$C$6),"Use or rotate stock now","")))))))</f>
        <v/>
      </c>
    </row>
    <row r="262" spans="1:17" x14ac:dyDescent="0.35">
      <c r="A262" s="18" t="str">
        <f>IF(Items!$A259="","",Items!$A259)</f>
        <v/>
      </c>
      <c r="B262" s="18" t="str">
        <f>IF($A262="","",Items!$B259)</f>
        <v/>
      </c>
      <c r="C262" s="19" t="str">
        <f>IF($A262="","",Items!$G259)</f>
        <v/>
      </c>
      <c r="D262" s="20" t="str">
        <f>IF($A262="","",N(Items!$D259))</f>
        <v/>
      </c>
      <c r="E262" s="23" t="str">
        <f>IF($A262="","",Items!$E259)</f>
        <v/>
      </c>
      <c r="F262" s="23" t="str">
        <f>IF($A262="","",Items!$F259)</f>
        <v/>
      </c>
      <c r="G262" s="26" t="str">
        <f>IF($A262="","",SUMIFS(tblReceipts[Qty Received],tblReceipts[Item Name],$A262))</f>
        <v/>
      </c>
      <c r="H262" s="26" t="str">
        <f>IF($A262="","",SUMIFS(tblIssues[Qty Issued],tblIssues[Item Name],$A262))</f>
        <v/>
      </c>
      <c r="I262" s="27" t="str">
        <f t="shared" si="12"/>
        <v/>
      </c>
      <c r="J262" s="21" t="str">
        <f t="shared" si="13"/>
        <v/>
      </c>
      <c r="K262" s="26" t="str">
        <f>IF($A262="","",COUNTIFS(tblReceipts[Item Name],$A262))</f>
        <v/>
      </c>
      <c r="L262" s="26" t="str">
        <f>IF($A262="","",COUNTIFS(tblLotBalance[Item Name],$A262,tblLotBalance[Lot Balance],"&gt;0"))</f>
        <v/>
      </c>
      <c r="M262" s="24" t="str">
        <f>IF($A262="","",IF($L262=0,"",IFERROR(_xlfn.MINIFS(tblLotBalance[Expiry Date],tblLotBalance[Item Name],$A262,tblLotBalance[Lot Balance],"&gt;0"),"")))</f>
        <v/>
      </c>
      <c r="N262" s="26" t="str">
        <f t="shared" ca="1" si="14"/>
        <v/>
      </c>
      <c r="O262" s="18" t="str" cm="1">
        <f t="array" ref="O262">IF($M262="","",IFERROR(INDEX(tblLotBalance[Lot Number],MATCH(1,INDEX((tblLotBalance[Item Name]=$A262)*(tblLotBalance[Expiry Date]=$M262)*(tblLotBalance[Lot Balance]&gt;0),0),0)),""))</f>
        <v/>
      </c>
      <c r="P262" s="28" t="str">
        <f>IF($A262="","",IF($I262&lt;0,"NEGATIVE",IF(NOT(ISNUMBER($F262)),"Set threshold",IF($I262&lt;=0,"OUT OF STOCK",IF($I262&lt;=$F262,"LOW",IF($I262&lt;=$F262*Settings!$C$7,"WATCH","OK"))))))</f>
        <v/>
      </c>
      <c r="Q262" s="29" t="str">
        <f>IF($A262="","",IF($P262="NEGATIVE","Issued more than received - add the missing receipt",IF($P262="OUT OF STOCK","Reorder immediately",IF($P262="LOW","Raise purchase order",IF($P262="Set threshold","Enter Critical Low in Items",IF(AND($N262&lt;&gt;"",$N262&lt;=0),"Quarantine expired lot",IF(AND($N262&lt;&gt;"",$N262&lt;=Settings!$C$6),"Use or rotate stock now","")))))))</f>
        <v/>
      </c>
    </row>
    <row r="263" spans="1:17" x14ac:dyDescent="0.35">
      <c r="A263" s="18" t="str">
        <f>IF(Items!$A260="","",Items!$A260)</f>
        <v/>
      </c>
      <c r="B263" s="18" t="str">
        <f>IF($A263="","",Items!$B260)</f>
        <v/>
      </c>
      <c r="C263" s="19" t="str">
        <f>IF($A263="","",Items!$G260)</f>
        <v/>
      </c>
      <c r="D263" s="20" t="str">
        <f>IF($A263="","",N(Items!$D260))</f>
        <v/>
      </c>
      <c r="E263" s="23" t="str">
        <f>IF($A263="","",Items!$E260)</f>
        <v/>
      </c>
      <c r="F263" s="23" t="str">
        <f>IF($A263="","",Items!$F260)</f>
        <v/>
      </c>
      <c r="G263" s="26" t="str">
        <f>IF($A263="","",SUMIFS(tblReceipts[Qty Received],tblReceipts[Item Name],$A263))</f>
        <v/>
      </c>
      <c r="H263" s="26" t="str">
        <f>IF($A263="","",SUMIFS(tblIssues[Qty Issued],tblIssues[Item Name],$A263))</f>
        <v/>
      </c>
      <c r="I263" s="27" t="str">
        <f t="shared" si="12"/>
        <v/>
      </c>
      <c r="J263" s="21" t="str">
        <f t="shared" si="13"/>
        <v/>
      </c>
      <c r="K263" s="26" t="str">
        <f>IF($A263="","",COUNTIFS(tblReceipts[Item Name],$A263))</f>
        <v/>
      </c>
      <c r="L263" s="26" t="str">
        <f>IF($A263="","",COUNTIFS(tblLotBalance[Item Name],$A263,tblLotBalance[Lot Balance],"&gt;0"))</f>
        <v/>
      </c>
      <c r="M263" s="24" t="str">
        <f>IF($A263="","",IF($L263=0,"",IFERROR(_xlfn.MINIFS(tblLotBalance[Expiry Date],tblLotBalance[Item Name],$A263,tblLotBalance[Lot Balance],"&gt;0"),"")))</f>
        <v/>
      </c>
      <c r="N263" s="26" t="str">
        <f t="shared" ca="1" si="14"/>
        <v/>
      </c>
      <c r="O263" s="18" t="str" cm="1">
        <f t="array" ref="O263">IF($M263="","",IFERROR(INDEX(tblLotBalance[Lot Number],MATCH(1,INDEX((tblLotBalance[Item Name]=$A263)*(tblLotBalance[Expiry Date]=$M263)*(tblLotBalance[Lot Balance]&gt;0),0),0)),""))</f>
        <v/>
      </c>
      <c r="P263" s="28" t="str">
        <f>IF($A263="","",IF($I263&lt;0,"NEGATIVE",IF(NOT(ISNUMBER($F263)),"Set threshold",IF($I263&lt;=0,"OUT OF STOCK",IF($I263&lt;=$F263,"LOW",IF($I263&lt;=$F263*Settings!$C$7,"WATCH","OK"))))))</f>
        <v/>
      </c>
      <c r="Q263" s="29" t="str">
        <f>IF($A263="","",IF($P263="NEGATIVE","Issued more than received - add the missing receipt",IF($P263="OUT OF STOCK","Reorder immediately",IF($P263="LOW","Raise purchase order",IF($P263="Set threshold","Enter Critical Low in Items",IF(AND($N263&lt;&gt;"",$N263&lt;=0),"Quarantine expired lot",IF(AND($N263&lt;&gt;"",$N263&lt;=Settings!$C$6),"Use or rotate stock now","")))))))</f>
        <v/>
      </c>
    </row>
    <row r="264" spans="1:17" x14ac:dyDescent="0.35">
      <c r="A264" s="18" t="str">
        <f>IF(Items!$A261="","",Items!$A261)</f>
        <v/>
      </c>
      <c r="B264" s="18" t="str">
        <f>IF($A264="","",Items!$B261)</f>
        <v/>
      </c>
      <c r="C264" s="19" t="str">
        <f>IF($A264="","",Items!$G261)</f>
        <v/>
      </c>
      <c r="D264" s="20" t="str">
        <f>IF($A264="","",N(Items!$D261))</f>
        <v/>
      </c>
      <c r="E264" s="23" t="str">
        <f>IF($A264="","",Items!$E261)</f>
        <v/>
      </c>
      <c r="F264" s="23" t="str">
        <f>IF($A264="","",Items!$F261)</f>
        <v/>
      </c>
      <c r="G264" s="26" t="str">
        <f>IF($A264="","",SUMIFS(tblReceipts[Qty Received],tblReceipts[Item Name],$A264))</f>
        <v/>
      </c>
      <c r="H264" s="26" t="str">
        <f>IF($A264="","",SUMIFS(tblIssues[Qty Issued],tblIssues[Item Name],$A264))</f>
        <v/>
      </c>
      <c r="I264" s="27" t="str">
        <f t="shared" si="12"/>
        <v/>
      </c>
      <c r="J264" s="21" t="str">
        <f t="shared" si="13"/>
        <v/>
      </c>
      <c r="K264" s="26" t="str">
        <f>IF($A264="","",COUNTIFS(tblReceipts[Item Name],$A264))</f>
        <v/>
      </c>
      <c r="L264" s="26" t="str">
        <f>IF($A264="","",COUNTIFS(tblLotBalance[Item Name],$A264,tblLotBalance[Lot Balance],"&gt;0"))</f>
        <v/>
      </c>
      <c r="M264" s="24" t="str">
        <f>IF($A264="","",IF($L264=0,"",IFERROR(_xlfn.MINIFS(tblLotBalance[Expiry Date],tblLotBalance[Item Name],$A264,tblLotBalance[Lot Balance],"&gt;0"),"")))</f>
        <v/>
      </c>
      <c r="N264" s="26" t="str">
        <f t="shared" ca="1" si="14"/>
        <v/>
      </c>
      <c r="O264" s="18" t="str" cm="1">
        <f t="array" ref="O264">IF($M264="","",IFERROR(INDEX(tblLotBalance[Lot Number],MATCH(1,INDEX((tblLotBalance[Item Name]=$A264)*(tblLotBalance[Expiry Date]=$M264)*(tblLotBalance[Lot Balance]&gt;0),0),0)),""))</f>
        <v/>
      </c>
      <c r="P264" s="28" t="str">
        <f>IF($A264="","",IF($I264&lt;0,"NEGATIVE",IF(NOT(ISNUMBER($F264)),"Set threshold",IF($I264&lt;=0,"OUT OF STOCK",IF($I264&lt;=$F264,"LOW",IF($I264&lt;=$F264*Settings!$C$7,"WATCH","OK"))))))</f>
        <v/>
      </c>
      <c r="Q264" s="29" t="str">
        <f>IF($A264="","",IF($P264="NEGATIVE","Issued more than received - add the missing receipt",IF($P264="OUT OF STOCK","Reorder immediately",IF($P264="LOW","Raise purchase order",IF($P264="Set threshold","Enter Critical Low in Items",IF(AND($N264&lt;&gt;"",$N264&lt;=0),"Quarantine expired lot",IF(AND($N264&lt;&gt;"",$N264&lt;=Settings!$C$6),"Use or rotate stock now","")))))))</f>
        <v/>
      </c>
    </row>
    <row r="265" spans="1:17" x14ac:dyDescent="0.35">
      <c r="A265" s="18" t="str">
        <f>IF(Items!$A262="","",Items!$A262)</f>
        <v/>
      </c>
      <c r="B265" s="18" t="str">
        <f>IF($A265="","",Items!$B262)</f>
        <v/>
      </c>
      <c r="C265" s="19" t="str">
        <f>IF($A265="","",Items!$G262)</f>
        <v/>
      </c>
      <c r="D265" s="20" t="str">
        <f>IF($A265="","",N(Items!$D262))</f>
        <v/>
      </c>
      <c r="E265" s="23" t="str">
        <f>IF($A265="","",Items!$E262)</f>
        <v/>
      </c>
      <c r="F265" s="23" t="str">
        <f>IF($A265="","",Items!$F262)</f>
        <v/>
      </c>
      <c r="G265" s="26" t="str">
        <f>IF($A265="","",SUMIFS(tblReceipts[Qty Received],tblReceipts[Item Name],$A265))</f>
        <v/>
      </c>
      <c r="H265" s="26" t="str">
        <f>IF($A265="","",SUMIFS(tblIssues[Qty Issued],tblIssues[Item Name],$A265))</f>
        <v/>
      </c>
      <c r="I265" s="27" t="str">
        <f t="shared" si="12"/>
        <v/>
      </c>
      <c r="J265" s="21" t="str">
        <f t="shared" si="13"/>
        <v/>
      </c>
      <c r="K265" s="26" t="str">
        <f>IF($A265="","",COUNTIFS(tblReceipts[Item Name],$A265))</f>
        <v/>
      </c>
      <c r="L265" s="26" t="str">
        <f>IF($A265="","",COUNTIFS(tblLotBalance[Item Name],$A265,tblLotBalance[Lot Balance],"&gt;0"))</f>
        <v/>
      </c>
      <c r="M265" s="24" t="str">
        <f>IF($A265="","",IF($L265=0,"",IFERROR(_xlfn.MINIFS(tblLotBalance[Expiry Date],tblLotBalance[Item Name],$A265,tblLotBalance[Lot Balance],"&gt;0"),"")))</f>
        <v/>
      </c>
      <c r="N265" s="26" t="str">
        <f t="shared" ca="1" si="14"/>
        <v/>
      </c>
      <c r="O265" s="18" t="str" cm="1">
        <f t="array" ref="O265">IF($M265="","",IFERROR(INDEX(tblLotBalance[Lot Number],MATCH(1,INDEX((tblLotBalance[Item Name]=$A265)*(tblLotBalance[Expiry Date]=$M265)*(tblLotBalance[Lot Balance]&gt;0),0),0)),""))</f>
        <v/>
      </c>
      <c r="P265" s="28" t="str">
        <f>IF($A265="","",IF($I265&lt;0,"NEGATIVE",IF(NOT(ISNUMBER($F265)),"Set threshold",IF($I265&lt;=0,"OUT OF STOCK",IF($I265&lt;=$F265,"LOW",IF($I265&lt;=$F265*Settings!$C$7,"WATCH","OK"))))))</f>
        <v/>
      </c>
      <c r="Q265" s="29" t="str">
        <f>IF($A265="","",IF($P265="NEGATIVE","Issued more than received - add the missing receipt",IF($P265="OUT OF STOCK","Reorder immediately",IF($P265="LOW","Raise purchase order",IF($P265="Set threshold","Enter Critical Low in Items",IF(AND($N265&lt;&gt;"",$N265&lt;=0),"Quarantine expired lot",IF(AND($N265&lt;&gt;"",$N265&lt;=Settings!$C$6),"Use or rotate stock now","")))))))</f>
        <v/>
      </c>
    </row>
    <row r="266" spans="1:17" x14ac:dyDescent="0.35">
      <c r="A266" s="18" t="str">
        <f>IF(Items!$A263="","",Items!$A263)</f>
        <v/>
      </c>
      <c r="B266" s="18" t="str">
        <f>IF($A266="","",Items!$B263)</f>
        <v/>
      </c>
      <c r="C266" s="19" t="str">
        <f>IF($A266="","",Items!$G263)</f>
        <v/>
      </c>
      <c r="D266" s="20" t="str">
        <f>IF($A266="","",N(Items!$D263))</f>
        <v/>
      </c>
      <c r="E266" s="23" t="str">
        <f>IF($A266="","",Items!$E263)</f>
        <v/>
      </c>
      <c r="F266" s="23" t="str">
        <f>IF($A266="","",Items!$F263)</f>
        <v/>
      </c>
      <c r="G266" s="26" t="str">
        <f>IF($A266="","",SUMIFS(tblReceipts[Qty Received],tblReceipts[Item Name],$A266))</f>
        <v/>
      </c>
      <c r="H266" s="26" t="str">
        <f>IF($A266="","",SUMIFS(tblIssues[Qty Issued],tblIssues[Item Name],$A266))</f>
        <v/>
      </c>
      <c r="I266" s="27" t="str">
        <f t="shared" si="12"/>
        <v/>
      </c>
      <c r="J266" s="21" t="str">
        <f t="shared" si="13"/>
        <v/>
      </c>
      <c r="K266" s="26" t="str">
        <f>IF($A266="","",COUNTIFS(tblReceipts[Item Name],$A266))</f>
        <v/>
      </c>
      <c r="L266" s="26" t="str">
        <f>IF($A266="","",COUNTIFS(tblLotBalance[Item Name],$A266,tblLotBalance[Lot Balance],"&gt;0"))</f>
        <v/>
      </c>
      <c r="M266" s="24" t="str">
        <f>IF($A266="","",IF($L266=0,"",IFERROR(_xlfn.MINIFS(tblLotBalance[Expiry Date],tblLotBalance[Item Name],$A266,tblLotBalance[Lot Balance],"&gt;0"),"")))</f>
        <v/>
      </c>
      <c r="N266" s="26" t="str">
        <f t="shared" ca="1" si="14"/>
        <v/>
      </c>
      <c r="O266" s="18" t="str" cm="1">
        <f t="array" ref="O266">IF($M266="","",IFERROR(INDEX(tblLotBalance[Lot Number],MATCH(1,INDEX((tblLotBalance[Item Name]=$A266)*(tblLotBalance[Expiry Date]=$M266)*(tblLotBalance[Lot Balance]&gt;0),0),0)),""))</f>
        <v/>
      </c>
      <c r="P266" s="28" t="str">
        <f>IF($A266="","",IF($I266&lt;0,"NEGATIVE",IF(NOT(ISNUMBER($F266)),"Set threshold",IF($I266&lt;=0,"OUT OF STOCK",IF($I266&lt;=$F266,"LOW",IF($I266&lt;=$F266*Settings!$C$7,"WATCH","OK"))))))</f>
        <v/>
      </c>
      <c r="Q266" s="29" t="str">
        <f>IF($A266="","",IF($P266="NEGATIVE","Issued more than received - add the missing receipt",IF($P266="OUT OF STOCK","Reorder immediately",IF($P266="LOW","Raise purchase order",IF($P266="Set threshold","Enter Critical Low in Items",IF(AND($N266&lt;&gt;"",$N266&lt;=0),"Quarantine expired lot",IF(AND($N266&lt;&gt;"",$N266&lt;=Settings!$C$6),"Use or rotate stock now","")))))))</f>
        <v/>
      </c>
    </row>
    <row r="267" spans="1:17" x14ac:dyDescent="0.35">
      <c r="A267" s="18" t="str">
        <f>IF(Items!$A264="","",Items!$A264)</f>
        <v/>
      </c>
      <c r="B267" s="18" t="str">
        <f>IF($A267="","",Items!$B264)</f>
        <v/>
      </c>
      <c r="C267" s="19" t="str">
        <f>IF($A267="","",Items!$G264)</f>
        <v/>
      </c>
      <c r="D267" s="20" t="str">
        <f>IF($A267="","",N(Items!$D264))</f>
        <v/>
      </c>
      <c r="E267" s="23" t="str">
        <f>IF($A267="","",Items!$E264)</f>
        <v/>
      </c>
      <c r="F267" s="23" t="str">
        <f>IF($A267="","",Items!$F264)</f>
        <v/>
      </c>
      <c r="G267" s="26" t="str">
        <f>IF($A267="","",SUMIFS(tblReceipts[Qty Received],tblReceipts[Item Name],$A267))</f>
        <v/>
      </c>
      <c r="H267" s="26" t="str">
        <f>IF($A267="","",SUMIFS(tblIssues[Qty Issued],tblIssues[Item Name],$A267))</f>
        <v/>
      </c>
      <c r="I267" s="27" t="str">
        <f t="shared" si="12"/>
        <v/>
      </c>
      <c r="J267" s="21" t="str">
        <f t="shared" si="13"/>
        <v/>
      </c>
      <c r="K267" s="26" t="str">
        <f>IF($A267="","",COUNTIFS(tblReceipts[Item Name],$A267))</f>
        <v/>
      </c>
      <c r="L267" s="26" t="str">
        <f>IF($A267="","",COUNTIFS(tblLotBalance[Item Name],$A267,tblLotBalance[Lot Balance],"&gt;0"))</f>
        <v/>
      </c>
      <c r="M267" s="24" t="str">
        <f>IF($A267="","",IF($L267=0,"",IFERROR(_xlfn.MINIFS(tblLotBalance[Expiry Date],tblLotBalance[Item Name],$A267,tblLotBalance[Lot Balance],"&gt;0"),"")))</f>
        <v/>
      </c>
      <c r="N267" s="26" t="str">
        <f t="shared" ca="1" si="14"/>
        <v/>
      </c>
      <c r="O267" s="18" t="str" cm="1">
        <f t="array" ref="O267">IF($M267="","",IFERROR(INDEX(tblLotBalance[Lot Number],MATCH(1,INDEX((tblLotBalance[Item Name]=$A267)*(tblLotBalance[Expiry Date]=$M267)*(tblLotBalance[Lot Balance]&gt;0),0),0)),""))</f>
        <v/>
      </c>
      <c r="P267" s="28" t="str">
        <f>IF($A267="","",IF($I267&lt;0,"NEGATIVE",IF(NOT(ISNUMBER($F267)),"Set threshold",IF($I267&lt;=0,"OUT OF STOCK",IF($I267&lt;=$F267,"LOW",IF($I267&lt;=$F267*Settings!$C$7,"WATCH","OK"))))))</f>
        <v/>
      </c>
      <c r="Q267" s="29" t="str">
        <f>IF($A267="","",IF($P267="NEGATIVE","Issued more than received - add the missing receipt",IF($P267="OUT OF STOCK","Reorder immediately",IF($P267="LOW","Raise purchase order",IF($P267="Set threshold","Enter Critical Low in Items",IF(AND($N267&lt;&gt;"",$N267&lt;=0),"Quarantine expired lot",IF(AND($N267&lt;&gt;"",$N267&lt;=Settings!$C$6),"Use or rotate stock now","")))))))</f>
        <v/>
      </c>
    </row>
    <row r="268" spans="1:17" x14ac:dyDescent="0.35">
      <c r="A268" s="18" t="str">
        <f>IF(Items!$A265="","",Items!$A265)</f>
        <v/>
      </c>
      <c r="B268" s="18" t="str">
        <f>IF($A268="","",Items!$B265)</f>
        <v/>
      </c>
      <c r="C268" s="19" t="str">
        <f>IF($A268="","",Items!$G265)</f>
        <v/>
      </c>
      <c r="D268" s="20" t="str">
        <f>IF($A268="","",N(Items!$D265))</f>
        <v/>
      </c>
      <c r="E268" s="23" t="str">
        <f>IF($A268="","",Items!$E265)</f>
        <v/>
      </c>
      <c r="F268" s="23" t="str">
        <f>IF($A268="","",Items!$F265)</f>
        <v/>
      </c>
      <c r="G268" s="26" t="str">
        <f>IF($A268="","",SUMIFS(tblReceipts[Qty Received],tblReceipts[Item Name],$A268))</f>
        <v/>
      </c>
      <c r="H268" s="26" t="str">
        <f>IF($A268="","",SUMIFS(tblIssues[Qty Issued],tblIssues[Item Name],$A268))</f>
        <v/>
      </c>
      <c r="I268" s="27" t="str">
        <f t="shared" si="12"/>
        <v/>
      </c>
      <c r="J268" s="21" t="str">
        <f t="shared" si="13"/>
        <v/>
      </c>
      <c r="K268" s="26" t="str">
        <f>IF($A268="","",COUNTIFS(tblReceipts[Item Name],$A268))</f>
        <v/>
      </c>
      <c r="L268" s="26" t="str">
        <f>IF($A268="","",COUNTIFS(tblLotBalance[Item Name],$A268,tblLotBalance[Lot Balance],"&gt;0"))</f>
        <v/>
      </c>
      <c r="M268" s="24" t="str">
        <f>IF($A268="","",IF($L268=0,"",IFERROR(_xlfn.MINIFS(tblLotBalance[Expiry Date],tblLotBalance[Item Name],$A268,tblLotBalance[Lot Balance],"&gt;0"),"")))</f>
        <v/>
      </c>
      <c r="N268" s="26" t="str">
        <f t="shared" ca="1" si="14"/>
        <v/>
      </c>
      <c r="O268" s="18" t="str" cm="1">
        <f t="array" ref="O268">IF($M268="","",IFERROR(INDEX(tblLotBalance[Lot Number],MATCH(1,INDEX((tblLotBalance[Item Name]=$A268)*(tblLotBalance[Expiry Date]=$M268)*(tblLotBalance[Lot Balance]&gt;0),0),0)),""))</f>
        <v/>
      </c>
      <c r="P268" s="28" t="str">
        <f>IF($A268="","",IF($I268&lt;0,"NEGATIVE",IF(NOT(ISNUMBER($F268)),"Set threshold",IF($I268&lt;=0,"OUT OF STOCK",IF($I268&lt;=$F268,"LOW",IF($I268&lt;=$F268*Settings!$C$7,"WATCH","OK"))))))</f>
        <v/>
      </c>
      <c r="Q268" s="29" t="str">
        <f>IF($A268="","",IF($P268="NEGATIVE","Issued more than received - add the missing receipt",IF($P268="OUT OF STOCK","Reorder immediately",IF($P268="LOW","Raise purchase order",IF($P268="Set threshold","Enter Critical Low in Items",IF(AND($N268&lt;&gt;"",$N268&lt;=0),"Quarantine expired lot",IF(AND($N268&lt;&gt;"",$N268&lt;=Settings!$C$6),"Use or rotate stock now","")))))))</f>
        <v/>
      </c>
    </row>
    <row r="269" spans="1:17" x14ac:dyDescent="0.35">
      <c r="A269" s="18" t="str">
        <f>IF(Items!$A266="","",Items!$A266)</f>
        <v/>
      </c>
      <c r="B269" s="18" t="str">
        <f>IF($A269="","",Items!$B266)</f>
        <v/>
      </c>
      <c r="C269" s="19" t="str">
        <f>IF($A269="","",Items!$G266)</f>
        <v/>
      </c>
      <c r="D269" s="20" t="str">
        <f>IF($A269="","",N(Items!$D266))</f>
        <v/>
      </c>
      <c r="E269" s="23" t="str">
        <f>IF($A269="","",Items!$E266)</f>
        <v/>
      </c>
      <c r="F269" s="23" t="str">
        <f>IF($A269="","",Items!$F266)</f>
        <v/>
      </c>
      <c r="G269" s="26" t="str">
        <f>IF($A269="","",SUMIFS(tblReceipts[Qty Received],tblReceipts[Item Name],$A269))</f>
        <v/>
      </c>
      <c r="H269" s="26" t="str">
        <f>IF($A269="","",SUMIFS(tblIssues[Qty Issued],tblIssues[Item Name],$A269))</f>
        <v/>
      </c>
      <c r="I269" s="27" t="str">
        <f t="shared" si="12"/>
        <v/>
      </c>
      <c r="J269" s="21" t="str">
        <f t="shared" si="13"/>
        <v/>
      </c>
      <c r="K269" s="26" t="str">
        <f>IF($A269="","",COUNTIFS(tblReceipts[Item Name],$A269))</f>
        <v/>
      </c>
      <c r="L269" s="26" t="str">
        <f>IF($A269="","",COUNTIFS(tblLotBalance[Item Name],$A269,tblLotBalance[Lot Balance],"&gt;0"))</f>
        <v/>
      </c>
      <c r="M269" s="24" t="str">
        <f>IF($A269="","",IF($L269=0,"",IFERROR(_xlfn.MINIFS(tblLotBalance[Expiry Date],tblLotBalance[Item Name],$A269,tblLotBalance[Lot Balance],"&gt;0"),"")))</f>
        <v/>
      </c>
      <c r="N269" s="26" t="str">
        <f t="shared" ca="1" si="14"/>
        <v/>
      </c>
      <c r="O269" s="18" t="str" cm="1">
        <f t="array" ref="O269">IF($M269="","",IFERROR(INDEX(tblLotBalance[Lot Number],MATCH(1,INDEX((tblLotBalance[Item Name]=$A269)*(tblLotBalance[Expiry Date]=$M269)*(tblLotBalance[Lot Balance]&gt;0),0),0)),""))</f>
        <v/>
      </c>
      <c r="P269" s="28" t="str">
        <f>IF($A269="","",IF($I269&lt;0,"NEGATIVE",IF(NOT(ISNUMBER($F269)),"Set threshold",IF($I269&lt;=0,"OUT OF STOCK",IF($I269&lt;=$F269,"LOW",IF($I269&lt;=$F269*Settings!$C$7,"WATCH","OK"))))))</f>
        <v/>
      </c>
      <c r="Q269" s="29" t="str">
        <f>IF($A269="","",IF($P269="NEGATIVE","Issued more than received - add the missing receipt",IF($P269="OUT OF STOCK","Reorder immediately",IF($P269="LOW","Raise purchase order",IF($P269="Set threshold","Enter Critical Low in Items",IF(AND($N269&lt;&gt;"",$N269&lt;=0),"Quarantine expired lot",IF(AND($N269&lt;&gt;"",$N269&lt;=Settings!$C$6),"Use or rotate stock now","")))))))</f>
        <v/>
      </c>
    </row>
    <row r="270" spans="1:17" x14ac:dyDescent="0.35">
      <c r="A270" s="18" t="str">
        <f>IF(Items!$A267="","",Items!$A267)</f>
        <v/>
      </c>
      <c r="B270" s="18" t="str">
        <f>IF($A270="","",Items!$B267)</f>
        <v/>
      </c>
      <c r="C270" s="19" t="str">
        <f>IF($A270="","",Items!$G267)</f>
        <v/>
      </c>
      <c r="D270" s="20" t="str">
        <f>IF($A270="","",N(Items!$D267))</f>
        <v/>
      </c>
      <c r="E270" s="23" t="str">
        <f>IF($A270="","",Items!$E267)</f>
        <v/>
      </c>
      <c r="F270" s="23" t="str">
        <f>IF($A270="","",Items!$F267)</f>
        <v/>
      </c>
      <c r="G270" s="26" t="str">
        <f>IF($A270="","",SUMIFS(tblReceipts[Qty Received],tblReceipts[Item Name],$A270))</f>
        <v/>
      </c>
      <c r="H270" s="26" t="str">
        <f>IF($A270="","",SUMIFS(tblIssues[Qty Issued],tblIssues[Item Name],$A270))</f>
        <v/>
      </c>
      <c r="I270" s="27" t="str">
        <f t="shared" si="12"/>
        <v/>
      </c>
      <c r="J270" s="21" t="str">
        <f t="shared" si="13"/>
        <v/>
      </c>
      <c r="K270" s="26" t="str">
        <f>IF($A270="","",COUNTIFS(tblReceipts[Item Name],$A270))</f>
        <v/>
      </c>
      <c r="L270" s="26" t="str">
        <f>IF($A270="","",COUNTIFS(tblLotBalance[Item Name],$A270,tblLotBalance[Lot Balance],"&gt;0"))</f>
        <v/>
      </c>
      <c r="M270" s="24" t="str">
        <f>IF($A270="","",IF($L270=0,"",IFERROR(_xlfn.MINIFS(tblLotBalance[Expiry Date],tblLotBalance[Item Name],$A270,tblLotBalance[Lot Balance],"&gt;0"),"")))</f>
        <v/>
      </c>
      <c r="N270" s="26" t="str">
        <f t="shared" ca="1" si="14"/>
        <v/>
      </c>
      <c r="O270" s="18" t="str" cm="1">
        <f t="array" ref="O270">IF($M270="","",IFERROR(INDEX(tblLotBalance[Lot Number],MATCH(1,INDEX((tblLotBalance[Item Name]=$A270)*(tblLotBalance[Expiry Date]=$M270)*(tblLotBalance[Lot Balance]&gt;0),0),0)),""))</f>
        <v/>
      </c>
      <c r="P270" s="28" t="str">
        <f>IF($A270="","",IF($I270&lt;0,"NEGATIVE",IF(NOT(ISNUMBER($F270)),"Set threshold",IF($I270&lt;=0,"OUT OF STOCK",IF($I270&lt;=$F270,"LOW",IF($I270&lt;=$F270*Settings!$C$7,"WATCH","OK"))))))</f>
        <v/>
      </c>
      <c r="Q270" s="29" t="str">
        <f>IF($A270="","",IF($P270="NEGATIVE","Issued more than received - add the missing receipt",IF($P270="OUT OF STOCK","Reorder immediately",IF($P270="LOW","Raise purchase order",IF($P270="Set threshold","Enter Critical Low in Items",IF(AND($N270&lt;&gt;"",$N270&lt;=0),"Quarantine expired lot",IF(AND($N270&lt;&gt;"",$N270&lt;=Settings!$C$6),"Use or rotate stock now","")))))))</f>
        <v/>
      </c>
    </row>
    <row r="271" spans="1:17" x14ac:dyDescent="0.35">
      <c r="A271" s="18" t="str">
        <f>IF(Items!$A268="","",Items!$A268)</f>
        <v/>
      </c>
      <c r="B271" s="18" t="str">
        <f>IF($A271="","",Items!$B268)</f>
        <v/>
      </c>
      <c r="C271" s="19" t="str">
        <f>IF($A271="","",Items!$G268)</f>
        <v/>
      </c>
      <c r="D271" s="20" t="str">
        <f>IF($A271="","",N(Items!$D268))</f>
        <v/>
      </c>
      <c r="E271" s="23" t="str">
        <f>IF($A271="","",Items!$E268)</f>
        <v/>
      </c>
      <c r="F271" s="23" t="str">
        <f>IF($A271="","",Items!$F268)</f>
        <v/>
      </c>
      <c r="G271" s="26" t="str">
        <f>IF($A271="","",SUMIFS(tblReceipts[Qty Received],tblReceipts[Item Name],$A271))</f>
        <v/>
      </c>
      <c r="H271" s="26" t="str">
        <f>IF($A271="","",SUMIFS(tblIssues[Qty Issued],tblIssues[Item Name],$A271))</f>
        <v/>
      </c>
      <c r="I271" s="27" t="str">
        <f t="shared" si="12"/>
        <v/>
      </c>
      <c r="J271" s="21" t="str">
        <f t="shared" si="13"/>
        <v/>
      </c>
      <c r="K271" s="26" t="str">
        <f>IF($A271="","",COUNTIFS(tblReceipts[Item Name],$A271))</f>
        <v/>
      </c>
      <c r="L271" s="26" t="str">
        <f>IF($A271="","",COUNTIFS(tblLotBalance[Item Name],$A271,tblLotBalance[Lot Balance],"&gt;0"))</f>
        <v/>
      </c>
      <c r="M271" s="24" t="str">
        <f>IF($A271="","",IF($L271=0,"",IFERROR(_xlfn.MINIFS(tblLotBalance[Expiry Date],tblLotBalance[Item Name],$A271,tblLotBalance[Lot Balance],"&gt;0"),"")))</f>
        <v/>
      </c>
      <c r="N271" s="26" t="str">
        <f t="shared" ca="1" si="14"/>
        <v/>
      </c>
      <c r="O271" s="18" t="str" cm="1">
        <f t="array" ref="O271">IF($M271="","",IFERROR(INDEX(tblLotBalance[Lot Number],MATCH(1,INDEX((tblLotBalance[Item Name]=$A271)*(tblLotBalance[Expiry Date]=$M271)*(tblLotBalance[Lot Balance]&gt;0),0),0)),""))</f>
        <v/>
      </c>
      <c r="P271" s="28" t="str">
        <f>IF($A271="","",IF($I271&lt;0,"NEGATIVE",IF(NOT(ISNUMBER($F271)),"Set threshold",IF($I271&lt;=0,"OUT OF STOCK",IF($I271&lt;=$F271,"LOW",IF($I271&lt;=$F271*Settings!$C$7,"WATCH","OK"))))))</f>
        <v/>
      </c>
      <c r="Q271" s="29" t="str">
        <f>IF($A271="","",IF($P271="NEGATIVE","Issued more than received - add the missing receipt",IF($P271="OUT OF STOCK","Reorder immediately",IF($P271="LOW","Raise purchase order",IF($P271="Set threshold","Enter Critical Low in Items",IF(AND($N271&lt;&gt;"",$N271&lt;=0),"Quarantine expired lot",IF(AND($N271&lt;&gt;"",$N271&lt;=Settings!$C$6),"Use or rotate stock now","")))))))</f>
        <v/>
      </c>
    </row>
    <row r="272" spans="1:17" x14ac:dyDescent="0.35">
      <c r="A272" s="18" t="str">
        <f>IF(Items!$A269="","",Items!$A269)</f>
        <v/>
      </c>
      <c r="B272" s="18" t="str">
        <f>IF($A272="","",Items!$B269)</f>
        <v/>
      </c>
      <c r="C272" s="19" t="str">
        <f>IF($A272="","",Items!$G269)</f>
        <v/>
      </c>
      <c r="D272" s="20" t="str">
        <f>IF($A272="","",N(Items!$D269))</f>
        <v/>
      </c>
      <c r="E272" s="23" t="str">
        <f>IF($A272="","",Items!$E269)</f>
        <v/>
      </c>
      <c r="F272" s="23" t="str">
        <f>IF($A272="","",Items!$F269)</f>
        <v/>
      </c>
      <c r="G272" s="26" t="str">
        <f>IF($A272="","",SUMIFS(tblReceipts[Qty Received],tblReceipts[Item Name],$A272))</f>
        <v/>
      </c>
      <c r="H272" s="26" t="str">
        <f>IF($A272="","",SUMIFS(tblIssues[Qty Issued],tblIssues[Item Name],$A272))</f>
        <v/>
      </c>
      <c r="I272" s="27" t="str">
        <f t="shared" si="12"/>
        <v/>
      </c>
      <c r="J272" s="21" t="str">
        <f t="shared" si="13"/>
        <v/>
      </c>
      <c r="K272" s="26" t="str">
        <f>IF($A272="","",COUNTIFS(tblReceipts[Item Name],$A272))</f>
        <v/>
      </c>
      <c r="L272" s="26" t="str">
        <f>IF($A272="","",COUNTIFS(tblLotBalance[Item Name],$A272,tblLotBalance[Lot Balance],"&gt;0"))</f>
        <v/>
      </c>
      <c r="M272" s="24" t="str">
        <f>IF($A272="","",IF($L272=0,"",IFERROR(_xlfn.MINIFS(tblLotBalance[Expiry Date],tblLotBalance[Item Name],$A272,tblLotBalance[Lot Balance],"&gt;0"),"")))</f>
        <v/>
      </c>
      <c r="N272" s="26" t="str">
        <f t="shared" ca="1" si="14"/>
        <v/>
      </c>
      <c r="O272" s="18" t="str" cm="1">
        <f t="array" ref="O272">IF($M272="","",IFERROR(INDEX(tblLotBalance[Lot Number],MATCH(1,INDEX((tblLotBalance[Item Name]=$A272)*(tblLotBalance[Expiry Date]=$M272)*(tblLotBalance[Lot Balance]&gt;0),0),0)),""))</f>
        <v/>
      </c>
      <c r="P272" s="28" t="str">
        <f>IF($A272="","",IF($I272&lt;0,"NEGATIVE",IF(NOT(ISNUMBER($F272)),"Set threshold",IF($I272&lt;=0,"OUT OF STOCK",IF($I272&lt;=$F272,"LOW",IF($I272&lt;=$F272*Settings!$C$7,"WATCH","OK"))))))</f>
        <v/>
      </c>
      <c r="Q272" s="29" t="str">
        <f>IF($A272="","",IF($P272="NEGATIVE","Issued more than received - add the missing receipt",IF($P272="OUT OF STOCK","Reorder immediately",IF($P272="LOW","Raise purchase order",IF($P272="Set threshold","Enter Critical Low in Items",IF(AND($N272&lt;&gt;"",$N272&lt;=0),"Quarantine expired lot",IF(AND($N272&lt;&gt;"",$N272&lt;=Settings!$C$6),"Use or rotate stock now","")))))))</f>
        <v/>
      </c>
    </row>
    <row r="273" spans="1:17" x14ac:dyDescent="0.35">
      <c r="A273" s="18" t="str">
        <f>IF(Items!$A270="","",Items!$A270)</f>
        <v/>
      </c>
      <c r="B273" s="18" t="str">
        <f>IF($A273="","",Items!$B270)</f>
        <v/>
      </c>
      <c r="C273" s="19" t="str">
        <f>IF($A273="","",Items!$G270)</f>
        <v/>
      </c>
      <c r="D273" s="20" t="str">
        <f>IF($A273="","",N(Items!$D270))</f>
        <v/>
      </c>
      <c r="E273" s="23" t="str">
        <f>IF($A273="","",Items!$E270)</f>
        <v/>
      </c>
      <c r="F273" s="23" t="str">
        <f>IF($A273="","",Items!$F270)</f>
        <v/>
      </c>
      <c r="G273" s="26" t="str">
        <f>IF($A273="","",SUMIFS(tblReceipts[Qty Received],tblReceipts[Item Name],$A273))</f>
        <v/>
      </c>
      <c r="H273" s="26" t="str">
        <f>IF($A273="","",SUMIFS(tblIssues[Qty Issued],tblIssues[Item Name],$A273))</f>
        <v/>
      </c>
      <c r="I273" s="27" t="str">
        <f t="shared" si="12"/>
        <v/>
      </c>
      <c r="J273" s="21" t="str">
        <f t="shared" si="13"/>
        <v/>
      </c>
      <c r="K273" s="26" t="str">
        <f>IF($A273="","",COUNTIFS(tblReceipts[Item Name],$A273))</f>
        <v/>
      </c>
      <c r="L273" s="26" t="str">
        <f>IF($A273="","",COUNTIFS(tblLotBalance[Item Name],$A273,tblLotBalance[Lot Balance],"&gt;0"))</f>
        <v/>
      </c>
      <c r="M273" s="24" t="str">
        <f>IF($A273="","",IF($L273=0,"",IFERROR(_xlfn.MINIFS(tblLotBalance[Expiry Date],tblLotBalance[Item Name],$A273,tblLotBalance[Lot Balance],"&gt;0"),"")))</f>
        <v/>
      </c>
      <c r="N273" s="26" t="str">
        <f t="shared" ca="1" si="14"/>
        <v/>
      </c>
      <c r="O273" s="18" t="str" cm="1">
        <f t="array" ref="O273">IF($M273="","",IFERROR(INDEX(tblLotBalance[Lot Number],MATCH(1,INDEX((tblLotBalance[Item Name]=$A273)*(tblLotBalance[Expiry Date]=$M273)*(tblLotBalance[Lot Balance]&gt;0),0),0)),""))</f>
        <v/>
      </c>
      <c r="P273" s="28" t="str">
        <f>IF($A273="","",IF($I273&lt;0,"NEGATIVE",IF(NOT(ISNUMBER($F273)),"Set threshold",IF($I273&lt;=0,"OUT OF STOCK",IF($I273&lt;=$F273,"LOW",IF($I273&lt;=$F273*Settings!$C$7,"WATCH","OK"))))))</f>
        <v/>
      </c>
      <c r="Q273" s="29" t="str">
        <f>IF($A273="","",IF($P273="NEGATIVE","Issued more than received - add the missing receipt",IF($P273="OUT OF STOCK","Reorder immediately",IF($P273="LOW","Raise purchase order",IF($P273="Set threshold","Enter Critical Low in Items",IF(AND($N273&lt;&gt;"",$N273&lt;=0),"Quarantine expired lot",IF(AND($N273&lt;&gt;"",$N273&lt;=Settings!$C$6),"Use or rotate stock now","")))))))</f>
        <v/>
      </c>
    </row>
    <row r="274" spans="1:17" x14ac:dyDescent="0.35">
      <c r="A274" s="18" t="str">
        <f>IF(Items!$A271="","",Items!$A271)</f>
        <v/>
      </c>
      <c r="B274" s="18" t="str">
        <f>IF($A274="","",Items!$B271)</f>
        <v/>
      </c>
      <c r="C274" s="19" t="str">
        <f>IF($A274="","",Items!$G271)</f>
        <v/>
      </c>
      <c r="D274" s="20" t="str">
        <f>IF($A274="","",N(Items!$D271))</f>
        <v/>
      </c>
      <c r="E274" s="23" t="str">
        <f>IF($A274="","",Items!$E271)</f>
        <v/>
      </c>
      <c r="F274" s="23" t="str">
        <f>IF($A274="","",Items!$F271)</f>
        <v/>
      </c>
      <c r="G274" s="26" t="str">
        <f>IF($A274="","",SUMIFS(tblReceipts[Qty Received],tblReceipts[Item Name],$A274))</f>
        <v/>
      </c>
      <c r="H274" s="26" t="str">
        <f>IF($A274="","",SUMIFS(tblIssues[Qty Issued],tblIssues[Item Name],$A274))</f>
        <v/>
      </c>
      <c r="I274" s="27" t="str">
        <f t="shared" si="12"/>
        <v/>
      </c>
      <c r="J274" s="21" t="str">
        <f t="shared" si="13"/>
        <v/>
      </c>
      <c r="K274" s="26" t="str">
        <f>IF($A274="","",COUNTIFS(tblReceipts[Item Name],$A274))</f>
        <v/>
      </c>
      <c r="L274" s="26" t="str">
        <f>IF($A274="","",COUNTIFS(tblLotBalance[Item Name],$A274,tblLotBalance[Lot Balance],"&gt;0"))</f>
        <v/>
      </c>
      <c r="M274" s="24" t="str">
        <f>IF($A274="","",IF($L274=0,"",IFERROR(_xlfn.MINIFS(tblLotBalance[Expiry Date],tblLotBalance[Item Name],$A274,tblLotBalance[Lot Balance],"&gt;0"),"")))</f>
        <v/>
      </c>
      <c r="N274" s="26" t="str">
        <f t="shared" ca="1" si="14"/>
        <v/>
      </c>
      <c r="O274" s="18" t="str" cm="1">
        <f t="array" ref="O274">IF($M274="","",IFERROR(INDEX(tblLotBalance[Lot Number],MATCH(1,INDEX((tblLotBalance[Item Name]=$A274)*(tblLotBalance[Expiry Date]=$M274)*(tblLotBalance[Lot Balance]&gt;0),0),0)),""))</f>
        <v/>
      </c>
      <c r="P274" s="28" t="str">
        <f>IF($A274="","",IF($I274&lt;0,"NEGATIVE",IF(NOT(ISNUMBER($F274)),"Set threshold",IF($I274&lt;=0,"OUT OF STOCK",IF($I274&lt;=$F274,"LOW",IF($I274&lt;=$F274*Settings!$C$7,"WATCH","OK"))))))</f>
        <v/>
      </c>
      <c r="Q274" s="29" t="str">
        <f>IF($A274="","",IF($P274="NEGATIVE","Issued more than received - add the missing receipt",IF($P274="OUT OF STOCK","Reorder immediately",IF($P274="LOW","Raise purchase order",IF($P274="Set threshold","Enter Critical Low in Items",IF(AND($N274&lt;&gt;"",$N274&lt;=0),"Quarantine expired lot",IF(AND($N274&lt;&gt;"",$N274&lt;=Settings!$C$6),"Use or rotate stock now","")))))))</f>
        <v/>
      </c>
    </row>
    <row r="275" spans="1:17" x14ac:dyDescent="0.35">
      <c r="A275" s="18" t="str">
        <f>IF(Items!$A272="","",Items!$A272)</f>
        <v/>
      </c>
      <c r="B275" s="18" t="str">
        <f>IF($A275="","",Items!$B272)</f>
        <v/>
      </c>
      <c r="C275" s="19" t="str">
        <f>IF($A275="","",Items!$G272)</f>
        <v/>
      </c>
      <c r="D275" s="20" t="str">
        <f>IF($A275="","",N(Items!$D272))</f>
        <v/>
      </c>
      <c r="E275" s="23" t="str">
        <f>IF($A275="","",Items!$E272)</f>
        <v/>
      </c>
      <c r="F275" s="23" t="str">
        <f>IF($A275="","",Items!$F272)</f>
        <v/>
      </c>
      <c r="G275" s="26" t="str">
        <f>IF($A275="","",SUMIFS(tblReceipts[Qty Received],tblReceipts[Item Name],$A275))</f>
        <v/>
      </c>
      <c r="H275" s="26" t="str">
        <f>IF($A275="","",SUMIFS(tblIssues[Qty Issued],tblIssues[Item Name],$A275))</f>
        <v/>
      </c>
      <c r="I275" s="27" t="str">
        <f t="shared" si="12"/>
        <v/>
      </c>
      <c r="J275" s="21" t="str">
        <f t="shared" si="13"/>
        <v/>
      </c>
      <c r="K275" s="26" t="str">
        <f>IF($A275="","",COUNTIFS(tblReceipts[Item Name],$A275))</f>
        <v/>
      </c>
      <c r="L275" s="26" t="str">
        <f>IF($A275="","",COUNTIFS(tblLotBalance[Item Name],$A275,tblLotBalance[Lot Balance],"&gt;0"))</f>
        <v/>
      </c>
      <c r="M275" s="24" t="str">
        <f>IF($A275="","",IF($L275=0,"",IFERROR(_xlfn.MINIFS(tblLotBalance[Expiry Date],tblLotBalance[Item Name],$A275,tblLotBalance[Lot Balance],"&gt;0"),"")))</f>
        <v/>
      </c>
      <c r="N275" s="26" t="str">
        <f t="shared" ca="1" si="14"/>
        <v/>
      </c>
      <c r="O275" s="18" t="str" cm="1">
        <f t="array" ref="O275">IF($M275="","",IFERROR(INDEX(tblLotBalance[Lot Number],MATCH(1,INDEX((tblLotBalance[Item Name]=$A275)*(tblLotBalance[Expiry Date]=$M275)*(tblLotBalance[Lot Balance]&gt;0),0),0)),""))</f>
        <v/>
      </c>
      <c r="P275" s="28" t="str">
        <f>IF($A275="","",IF($I275&lt;0,"NEGATIVE",IF(NOT(ISNUMBER($F275)),"Set threshold",IF($I275&lt;=0,"OUT OF STOCK",IF($I275&lt;=$F275,"LOW",IF($I275&lt;=$F275*Settings!$C$7,"WATCH","OK"))))))</f>
        <v/>
      </c>
      <c r="Q275" s="29" t="str">
        <f>IF($A275="","",IF($P275="NEGATIVE","Issued more than received - add the missing receipt",IF($P275="OUT OF STOCK","Reorder immediately",IF($P275="LOW","Raise purchase order",IF($P275="Set threshold","Enter Critical Low in Items",IF(AND($N275&lt;&gt;"",$N275&lt;=0),"Quarantine expired lot",IF(AND($N275&lt;&gt;"",$N275&lt;=Settings!$C$6),"Use or rotate stock now","")))))))</f>
        <v/>
      </c>
    </row>
    <row r="276" spans="1:17" x14ac:dyDescent="0.35">
      <c r="A276" s="18" t="str">
        <f>IF(Items!$A273="","",Items!$A273)</f>
        <v/>
      </c>
      <c r="B276" s="18" t="str">
        <f>IF($A276="","",Items!$B273)</f>
        <v/>
      </c>
      <c r="C276" s="19" t="str">
        <f>IF($A276="","",Items!$G273)</f>
        <v/>
      </c>
      <c r="D276" s="20" t="str">
        <f>IF($A276="","",N(Items!$D273))</f>
        <v/>
      </c>
      <c r="E276" s="23" t="str">
        <f>IF($A276="","",Items!$E273)</f>
        <v/>
      </c>
      <c r="F276" s="23" t="str">
        <f>IF($A276="","",Items!$F273)</f>
        <v/>
      </c>
      <c r="G276" s="26" t="str">
        <f>IF($A276="","",SUMIFS(tblReceipts[Qty Received],tblReceipts[Item Name],$A276))</f>
        <v/>
      </c>
      <c r="H276" s="26" t="str">
        <f>IF($A276="","",SUMIFS(tblIssues[Qty Issued],tblIssues[Item Name],$A276))</f>
        <v/>
      </c>
      <c r="I276" s="27" t="str">
        <f t="shared" si="12"/>
        <v/>
      </c>
      <c r="J276" s="21" t="str">
        <f t="shared" si="13"/>
        <v/>
      </c>
      <c r="K276" s="26" t="str">
        <f>IF($A276="","",COUNTIFS(tblReceipts[Item Name],$A276))</f>
        <v/>
      </c>
      <c r="L276" s="26" t="str">
        <f>IF($A276="","",COUNTIFS(tblLotBalance[Item Name],$A276,tblLotBalance[Lot Balance],"&gt;0"))</f>
        <v/>
      </c>
      <c r="M276" s="24" t="str">
        <f>IF($A276="","",IF($L276=0,"",IFERROR(_xlfn.MINIFS(tblLotBalance[Expiry Date],tblLotBalance[Item Name],$A276,tblLotBalance[Lot Balance],"&gt;0"),"")))</f>
        <v/>
      </c>
      <c r="N276" s="26" t="str">
        <f t="shared" ca="1" si="14"/>
        <v/>
      </c>
      <c r="O276" s="18" t="str" cm="1">
        <f t="array" ref="O276">IF($M276="","",IFERROR(INDEX(tblLotBalance[Lot Number],MATCH(1,INDEX((tblLotBalance[Item Name]=$A276)*(tblLotBalance[Expiry Date]=$M276)*(tblLotBalance[Lot Balance]&gt;0),0),0)),""))</f>
        <v/>
      </c>
      <c r="P276" s="28" t="str">
        <f>IF($A276="","",IF($I276&lt;0,"NEGATIVE",IF(NOT(ISNUMBER($F276)),"Set threshold",IF($I276&lt;=0,"OUT OF STOCK",IF($I276&lt;=$F276,"LOW",IF($I276&lt;=$F276*Settings!$C$7,"WATCH","OK"))))))</f>
        <v/>
      </c>
      <c r="Q276" s="29" t="str">
        <f>IF($A276="","",IF($P276="NEGATIVE","Issued more than received - add the missing receipt",IF($P276="OUT OF STOCK","Reorder immediately",IF($P276="LOW","Raise purchase order",IF($P276="Set threshold","Enter Critical Low in Items",IF(AND($N276&lt;&gt;"",$N276&lt;=0),"Quarantine expired lot",IF(AND($N276&lt;&gt;"",$N276&lt;=Settings!$C$6),"Use or rotate stock now","")))))))</f>
        <v/>
      </c>
    </row>
    <row r="277" spans="1:17" x14ac:dyDescent="0.35">
      <c r="A277" s="18" t="str">
        <f>IF(Items!$A274="","",Items!$A274)</f>
        <v/>
      </c>
      <c r="B277" s="18" t="str">
        <f>IF($A277="","",Items!$B274)</f>
        <v/>
      </c>
      <c r="C277" s="19" t="str">
        <f>IF($A277="","",Items!$G274)</f>
        <v/>
      </c>
      <c r="D277" s="20" t="str">
        <f>IF($A277="","",N(Items!$D274))</f>
        <v/>
      </c>
      <c r="E277" s="23" t="str">
        <f>IF($A277="","",Items!$E274)</f>
        <v/>
      </c>
      <c r="F277" s="23" t="str">
        <f>IF($A277="","",Items!$F274)</f>
        <v/>
      </c>
      <c r="G277" s="26" t="str">
        <f>IF($A277="","",SUMIFS(tblReceipts[Qty Received],tblReceipts[Item Name],$A277))</f>
        <v/>
      </c>
      <c r="H277" s="26" t="str">
        <f>IF($A277="","",SUMIFS(tblIssues[Qty Issued],tblIssues[Item Name],$A277))</f>
        <v/>
      </c>
      <c r="I277" s="27" t="str">
        <f t="shared" si="12"/>
        <v/>
      </c>
      <c r="J277" s="21" t="str">
        <f t="shared" si="13"/>
        <v/>
      </c>
      <c r="K277" s="26" t="str">
        <f>IF($A277="","",COUNTIFS(tblReceipts[Item Name],$A277))</f>
        <v/>
      </c>
      <c r="L277" s="26" t="str">
        <f>IF($A277="","",COUNTIFS(tblLotBalance[Item Name],$A277,tblLotBalance[Lot Balance],"&gt;0"))</f>
        <v/>
      </c>
      <c r="M277" s="24" t="str">
        <f>IF($A277="","",IF($L277=0,"",IFERROR(_xlfn.MINIFS(tblLotBalance[Expiry Date],tblLotBalance[Item Name],$A277,tblLotBalance[Lot Balance],"&gt;0"),"")))</f>
        <v/>
      </c>
      <c r="N277" s="26" t="str">
        <f t="shared" ca="1" si="14"/>
        <v/>
      </c>
      <c r="O277" s="18" t="str" cm="1">
        <f t="array" ref="O277">IF($M277="","",IFERROR(INDEX(tblLotBalance[Lot Number],MATCH(1,INDEX((tblLotBalance[Item Name]=$A277)*(tblLotBalance[Expiry Date]=$M277)*(tblLotBalance[Lot Balance]&gt;0),0),0)),""))</f>
        <v/>
      </c>
      <c r="P277" s="28" t="str">
        <f>IF($A277="","",IF($I277&lt;0,"NEGATIVE",IF(NOT(ISNUMBER($F277)),"Set threshold",IF($I277&lt;=0,"OUT OF STOCK",IF($I277&lt;=$F277,"LOW",IF($I277&lt;=$F277*Settings!$C$7,"WATCH","OK"))))))</f>
        <v/>
      </c>
      <c r="Q277" s="29" t="str">
        <f>IF($A277="","",IF($P277="NEGATIVE","Issued more than received - add the missing receipt",IF($P277="OUT OF STOCK","Reorder immediately",IF($P277="LOW","Raise purchase order",IF($P277="Set threshold","Enter Critical Low in Items",IF(AND($N277&lt;&gt;"",$N277&lt;=0),"Quarantine expired lot",IF(AND($N277&lt;&gt;"",$N277&lt;=Settings!$C$6),"Use or rotate stock now","")))))))</f>
        <v/>
      </c>
    </row>
    <row r="278" spans="1:17" x14ac:dyDescent="0.35">
      <c r="A278" s="18" t="str">
        <f>IF(Items!$A275="","",Items!$A275)</f>
        <v/>
      </c>
      <c r="B278" s="18" t="str">
        <f>IF($A278="","",Items!$B275)</f>
        <v/>
      </c>
      <c r="C278" s="19" t="str">
        <f>IF($A278="","",Items!$G275)</f>
        <v/>
      </c>
      <c r="D278" s="20" t="str">
        <f>IF($A278="","",N(Items!$D275))</f>
        <v/>
      </c>
      <c r="E278" s="23" t="str">
        <f>IF($A278="","",Items!$E275)</f>
        <v/>
      </c>
      <c r="F278" s="23" t="str">
        <f>IF($A278="","",Items!$F275)</f>
        <v/>
      </c>
      <c r="G278" s="26" t="str">
        <f>IF($A278="","",SUMIFS(tblReceipts[Qty Received],tblReceipts[Item Name],$A278))</f>
        <v/>
      </c>
      <c r="H278" s="26" t="str">
        <f>IF($A278="","",SUMIFS(tblIssues[Qty Issued],tblIssues[Item Name],$A278))</f>
        <v/>
      </c>
      <c r="I278" s="27" t="str">
        <f t="shared" si="12"/>
        <v/>
      </c>
      <c r="J278" s="21" t="str">
        <f t="shared" si="13"/>
        <v/>
      </c>
      <c r="K278" s="26" t="str">
        <f>IF($A278="","",COUNTIFS(tblReceipts[Item Name],$A278))</f>
        <v/>
      </c>
      <c r="L278" s="26" t="str">
        <f>IF($A278="","",COUNTIFS(tblLotBalance[Item Name],$A278,tblLotBalance[Lot Balance],"&gt;0"))</f>
        <v/>
      </c>
      <c r="M278" s="24" t="str">
        <f>IF($A278="","",IF($L278=0,"",IFERROR(_xlfn.MINIFS(tblLotBalance[Expiry Date],tblLotBalance[Item Name],$A278,tblLotBalance[Lot Balance],"&gt;0"),"")))</f>
        <v/>
      </c>
      <c r="N278" s="26" t="str">
        <f t="shared" ca="1" si="14"/>
        <v/>
      </c>
      <c r="O278" s="18" t="str" cm="1">
        <f t="array" ref="O278">IF($M278="","",IFERROR(INDEX(tblLotBalance[Lot Number],MATCH(1,INDEX((tblLotBalance[Item Name]=$A278)*(tblLotBalance[Expiry Date]=$M278)*(tblLotBalance[Lot Balance]&gt;0),0),0)),""))</f>
        <v/>
      </c>
      <c r="P278" s="28" t="str">
        <f>IF($A278="","",IF($I278&lt;0,"NEGATIVE",IF(NOT(ISNUMBER($F278)),"Set threshold",IF($I278&lt;=0,"OUT OF STOCK",IF($I278&lt;=$F278,"LOW",IF($I278&lt;=$F278*Settings!$C$7,"WATCH","OK"))))))</f>
        <v/>
      </c>
      <c r="Q278" s="29" t="str">
        <f>IF($A278="","",IF($P278="NEGATIVE","Issued more than received - add the missing receipt",IF($P278="OUT OF STOCK","Reorder immediately",IF($P278="LOW","Raise purchase order",IF($P278="Set threshold","Enter Critical Low in Items",IF(AND($N278&lt;&gt;"",$N278&lt;=0),"Quarantine expired lot",IF(AND($N278&lt;&gt;"",$N278&lt;=Settings!$C$6),"Use or rotate stock now","")))))))</f>
        <v/>
      </c>
    </row>
    <row r="279" spans="1:17" x14ac:dyDescent="0.35">
      <c r="A279" s="18" t="str">
        <f>IF(Items!$A276="","",Items!$A276)</f>
        <v/>
      </c>
      <c r="B279" s="18" t="str">
        <f>IF($A279="","",Items!$B276)</f>
        <v/>
      </c>
      <c r="C279" s="19" t="str">
        <f>IF($A279="","",Items!$G276)</f>
        <v/>
      </c>
      <c r="D279" s="20" t="str">
        <f>IF($A279="","",N(Items!$D276))</f>
        <v/>
      </c>
      <c r="E279" s="23" t="str">
        <f>IF($A279="","",Items!$E276)</f>
        <v/>
      </c>
      <c r="F279" s="23" t="str">
        <f>IF($A279="","",Items!$F276)</f>
        <v/>
      </c>
      <c r="G279" s="26" t="str">
        <f>IF($A279="","",SUMIFS(tblReceipts[Qty Received],tblReceipts[Item Name],$A279))</f>
        <v/>
      </c>
      <c r="H279" s="26" t="str">
        <f>IF($A279="","",SUMIFS(tblIssues[Qty Issued],tblIssues[Item Name],$A279))</f>
        <v/>
      </c>
      <c r="I279" s="27" t="str">
        <f t="shared" si="12"/>
        <v/>
      </c>
      <c r="J279" s="21" t="str">
        <f t="shared" si="13"/>
        <v/>
      </c>
      <c r="K279" s="26" t="str">
        <f>IF($A279="","",COUNTIFS(tblReceipts[Item Name],$A279))</f>
        <v/>
      </c>
      <c r="L279" s="26" t="str">
        <f>IF($A279="","",COUNTIFS(tblLotBalance[Item Name],$A279,tblLotBalance[Lot Balance],"&gt;0"))</f>
        <v/>
      </c>
      <c r="M279" s="24" t="str">
        <f>IF($A279="","",IF($L279=0,"",IFERROR(_xlfn.MINIFS(tblLotBalance[Expiry Date],tblLotBalance[Item Name],$A279,tblLotBalance[Lot Balance],"&gt;0"),"")))</f>
        <v/>
      </c>
      <c r="N279" s="26" t="str">
        <f t="shared" ca="1" si="14"/>
        <v/>
      </c>
      <c r="O279" s="18" t="str" cm="1">
        <f t="array" ref="O279">IF($M279="","",IFERROR(INDEX(tblLotBalance[Lot Number],MATCH(1,INDEX((tblLotBalance[Item Name]=$A279)*(tblLotBalance[Expiry Date]=$M279)*(tblLotBalance[Lot Balance]&gt;0),0),0)),""))</f>
        <v/>
      </c>
      <c r="P279" s="28" t="str">
        <f>IF($A279="","",IF($I279&lt;0,"NEGATIVE",IF(NOT(ISNUMBER($F279)),"Set threshold",IF($I279&lt;=0,"OUT OF STOCK",IF($I279&lt;=$F279,"LOW",IF($I279&lt;=$F279*Settings!$C$7,"WATCH","OK"))))))</f>
        <v/>
      </c>
      <c r="Q279" s="29" t="str">
        <f>IF($A279="","",IF($P279="NEGATIVE","Issued more than received - add the missing receipt",IF($P279="OUT OF STOCK","Reorder immediately",IF($P279="LOW","Raise purchase order",IF($P279="Set threshold","Enter Critical Low in Items",IF(AND($N279&lt;&gt;"",$N279&lt;=0),"Quarantine expired lot",IF(AND($N279&lt;&gt;"",$N279&lt;=Settings!$C$6),"Use or rotate stock now","")))))))</f>
        <v/>
      </c>
    </row>
    <row r="280" spans="1:17" x14ac:dyDescent="0.35">
      <c r="A280" s="18" t="str">
        <f>IF(Items!$A277="","",Items!$A277)</f>
        <v/>
      </c>
      <c r="B280" s="18" t="str">
        <f>IF($A280="","",Items!$B277)</f>
        <v/>
      </c>
      <c r="C280" s="19" t="str">
        <f>IF($A280="","",Items!$G277)</f>
        <v/>
      </c>
      <c r="D280" s="20" t="str">
        <f>IF($A280="","",N(Items!$D277))</f>
        <v/>
      </c>
      <c r="E280" s="23" t="str">
        <f>IF($A280="","",Items!$E277)</f>
        <v/>
      </c>
      <c r="F280" s="23" t="str">
        <f>IF($A280="","",Items!$F277)</f>
        <v/>
      </c>
      <c r="G280" s="26" t="str">
        <f>IF($A280="","",SUMIFS(tblReceipts[Qty Received],tblReceipts[Item Name],$A280))</f>
        <v/>
      </c>
      <c r="H280" s="26" t="str">
        <f>IF($A280="","",SUMIFS(tblIssues[Qty Issued],tblIssues[Item Name],$A280))</f>
        <v/>
      </c>
      <c r="I280" s="27" t="str">
        <f t="shared" si="12"/>
        <v/>
      </c>
      <c r="J280" s="21" t="str">
        <f t="shared" si="13"/>
        <v/>
      </c>
      <c r="K280" s="26" t="str">
        <f>IF($A280="","",COUNTIFS(tblReceipts[Item Name],$A280))</f>
        <v/>
      </c>
      <c r="L280" s="26" t="str">
        <f>IF($A280="","",COUNTIFS(tblLotBalance[Item Name],$A280,tblLotBalance[Lot Balance],"&gt;0"))</f>
        <v/>
      </c>
      <c r="M280" s="24" t="str">
        <f>IF($A280="","",IF($L280=0,"",IFERROR(_xlfn.MINIFS(tblLotBalance[Expiry Date],tblLotBalance[Item Name],$A280,tblLotBalance[Lot Balance],"&gt;0"),"")))</f>
        <v/>
      </c>
      <c r="N280" s="26" t="str">
        <f t="shared" ca="1" si="14"/>
        <v/>
      </c>
      <c r="O280" s="18" t="str" cm="1">
        <f t="array" ref="O280">IF($M280="","",IFERROR(INDEX(tblLotBalance[Lot Number],MATCH(1,INDEX((tblLotBalance[Item Name]=$A280)*(tblLotBalance[Expiry Date]=$M280)*(tblLotBalance[Lot Balance]&gt;0),0),0)),""))</f>
        <v/>
      </c>
      <c r="P280" s="28" t="str">
        <f>IF($A280="","",IF($I280&lt;0,"NEGATIVE",IF(NOT(ISNUMBER($F280)),"Set threshold",IF($I280&lt;=0,"OUT OF STOCK",IF($I280&lt;=$F280,"LOW",IF($I280&lt;=$F280*Settings!$C$7,"WATCH","OK"))))))</f>
        <v/>
      </c>
      <c r="Q280" s="29" t="str">
        <f>IF($A280="","",IF($P280="NEGATIVE","Issued more than received - add the missing receipt",IF($P280="OUT OF STOCK","Reorder immediately",IF($P280="LOW","Raise purchase order",IF($P280="Set threshold","Enter Critical Low in Items",IF(AND($N280&lt;&gt;"",$N280&lt;=0),"Quarantine expired lot",IF(AND($N280&lt;&gt;"",$N280&lt;=Settings!$C$6),"Use or rotate stock now","")))))))</f>
        <v/>
      </c>
    </row>
    <row r="281" spans="1:17" x14ac:dyDescent="0.35">
      <c r="A281" s="18" t="str">
        <f>IF(Items!$A278="","",Items!$A278)</f>
        <v/>
      </c>
      <c r="B281" s="18" t="str">
        <f>IF($A281="","",Items!$B278)</f>
        <v/>
      </c>
      <c r="C281" s="19" t="str">
        <f>IF($A281="","",Items!$G278)</f>
        <v/>
      </c>
      <c r="D281" s="20" t="str">
        <f>IF($A281="","",N(Items!$D278))</f>
        <v/>
      </c>
      <c r="E281" s="23" t="str">
        <f>IF($A281="","",Items!$E278)</f>
        <v/>
      </c>
      <c r="F281" s="23" t="str">
        <f>IF($A281="","",Items!$F278)</f>
        <v/>
      </c>
      <c r="G281" s="26" t="str">
        <f>IF($A281="","",SUMIFS(tblReceipts[Qty Received],tblReceipts[Item Name],$A281))</f>
        <v/>
      </c>
      <c r="H281" s="26" t="str">
        <f>IF($A281="","",SUMIFS(tblIssues[Qty Issued],tblIssues[Item Name],$A281))</f>
        <v/>
      </c>
      <c r="I281" s="27" t="str">
        <f t="shared" si="12"/>
        <v/>
      </c>
      <c r="J281" s="21" t="str">
        <f t="shared" si="13"/>
        <v/>
      </c>
      <c r="K281" s="26" t="str">
        <f>IF($A281="","",COUNTIFS(tblReceipts[Item Name],$A281))</f>
        <v/>
      </c>
      <c r="L281" s="26" t="str">
        <f>IF($A281="","",COUNTIFS(tblLotBalance[Item Name],$A281,tblLotBalance[Lot Balance],"&gt;0"))</f>
        <v/>
      </c>
      <c r="M281" s="24" t="str">
        <f>IF($A281="","",IF($L281=0,"",IFERROR(_xlfn.MINIFS(tblLotBalance[Expiry Date],tblLotBalance[Item Name],$A281,tblLotBalance[Lot Balance],"&gt;0"),"")))</f>
        <v/>
      </c>
      <c r="N281" s="26" t="str">
        <f t="shared" ca="1" si="14"/>
        <v/>
      </c>
      <c r="O281" s="18" t="str" cm="1">
        <f t="array" ref="O281">IF($M281="","",IFERROR(INDEX(tblLotBalance[Lot Number],MATCH(1,INDEX((tblLotBalance[Item Name]=$A281)*(tblLotBalance[Expiry Date]=$M281)*(tblLotBalance[Lot Balance]&gt;0),0),0)),""))</f>
        <v/>
      </c>
      <c r="P281" s="28" t="str">
        <f>IF($A281="","",IF($I281&lt;0,"NEGATIVE",IF(NOT(ISNUMBER($F281)),"Set threshold",IF($I281&lt;=0,"OUT OF STOCK",IF($I281&lt;=$F281,"LOW",IF($I281&lt;=$F281*Settings!$C$7,"WATCH","OK"))))))</f>
        <v/>
      </c>
      <c r="Q281" s="29" t="str">
        <f>IF($A281="","",IF($P281="NEGATIVE","Issued more than received - add the missing receipt",IF($P281="OUT OF STOCK","Reorder immediately",IF($P281="LOW","Raise purchase order",IF($P281="Set threshold","Enter Critical Low in Items",IF(AND($N281&lt;&gt;"",$N281&lt;=0),"Quarantine expired lot",IF(AND($N281&lt;&gt;"",$N281&lt;=Settings!$C$6),"Use or rotate stock now","")))))))</f>
        <v/>
      </c>
    </row>
    <row r="282" spans="1:17" x14ac:dyDescent="0.35">
      <c r="A282" s="18" t="str">
        <f>IF(Items!$A279="","",Items!$A279)</f>
        <v/>
      </c>
      <c r="B282" s="18" t="str">
        <f>IF($A282="","",Items!$B279)</f>
        <v/>
      </c>
      <c r="C282" s="19" t="str">
        <f>IF($A282="","",Items!$G279)</f>
        <v/>
      </c>
      <c r="D282" s="20" t="str">
        <f>IF($A282="","",N(Items!$D279))</f>
        <v/>
      </c>
      <c r="E282" s="23" t="str">
        <f>IF($A282="","",Items!$E279)</f>
        <v/>
      </c>
      <c r="F282" s="23" t="str">
        <f>IF($A282="","",Items!$F279)</f>
        <v/>
      </c>
      <c r="G282" s="26" t="str">
        <f>IF($A282="","",SUMIFS(tblReceipts[Qty Received],tblReceipts[Item Name],$A282))</f>
        <v/>
      </c>
      <c r="H282" s="26" t="str">
        <f>IF($A282="","",SUMIFS(tblIssues[Qty Issued],tblIssues[Item Name],$A282))</f>
        <v/>
      </c>
      <c r="I282" s="27" t="str">
        <f t="shared" si="12"/>
        <v/>
      </c>
      <c r="J282" s="21" t="str">
        <f t="shared" si="13"/>
        <v/>
      </c>
      <c r="K282" s="26" t="str">
        <f>IF($A282="","",COUNTIFS(tblReceipts[Item Name],$A282))</f>
        <v/>
      </c>
      <c r="L282" s="26" t="str">
        <f>IF($A282="","",COUNTIFS(tblLotBalance[Item Name],$A282,tblLotBalance[Lot Balance],"&gt;0"))</f>
        <v/>
      </c>
      <c r="M282" s="24" t="str">
        <f>IF($A282="","",IF($L282=0,"",IFERROR(_xlfn.MINIFS(tblLotBalance[Expiry Date],tblLotBalance[Item Name],$A282,tblLotBalance[Lot Balance],"&gt;0"),"")))</f>
        <v/>
      </c>
      <c r="N282" s="26" t="str">
        <f t="shared" ca="1" si="14"/>
        <v/>
      </c>
      <c r="O282" s="18" t="str" cm="1">
        <f t="array" ref="O282">IF($M282="","",IFERROR(INDEX(tblLotBalance[Lot Number],MATCH(1,INDEX((tblLotBalance[Item Name]=$A282)*(tblLotBalance[Expiry Date]=$M282)*(tblLotBalance[Lot Balance]&gt;0),0),0)),""))</f>
        <v/>
      </c>
      <c r="P282" s="28" t="str">
        <f>IF($A282="","",IF($I282&lt;0,"NEGATIVE",IF(NOT(ISNUMBER($F282)),"Set threshold",IF($I282&lt;=0,"OUT OF STOCK",IF($I282&lt;=$F282,"LOW",IF($I282&lt;=$F282*Settings!$C$7,"WATCH","OK"))))))</f>
        <v/>
      </c>
      <c r="Q282" s="29" t="str">
        <f>IF($A282="","",IF($P282="NEGATIVE","Issued more than received - add the missing receipt",IF($P282="OUT OF STOCK","Reorder immediately",IF($P282="LOW","Raise purchase order",IF($P282="Set threshold","Enter Critical Low in Items",IF(AND($N282&lt;&gt;"",$N282&lt;=0),"Quarantine expired lot",IF(AND($N282&lt;&gt;"",$N282&lt;=Settings!$C$6),"Use or rotate stock now","")))))))</f>
        <v/>
      </c>
    </row>
    <row r="283" spans="1:17" x14ac:dyDescent="0.35">
      <c r="A283" s="18" t="str">
        <f>IF(Items!$A280="","",Items!$A280)</f>
        <v/>
      </c>
      <c r="B283" s="18" t="str">
        <f>IF($A283="","",Items!$B280)</f>
        <v/>
      </c>
      <c r="C283" s="19" t="str">
        <f>IF($A283="","",Items!$G280)</f>
        <v/>
      </c>
      <c r="D283" s="20" t="str">
        <f>IF($A283="","",N(Items!$D280))</f>
        <v/>
      </c>
      <c r="E283" s="23" t="str">
        <f>IF($A283="","",Items!$E280)</f>
        <v/>
      </c>
      <c r="F283" s="23" t="str">
        <f>IF($A283="","",Items!$F280)</f>
        <v/>
      </c>
      <c r="G283" s="26" t="str">
        <f>IF($A283="","",SUMIFS(tblReceipts[Qty Received],tblReceipts[Item Name],$A283))</f>
        <v/>
      </c>
      <c r="H283" s="26" t="str">
        <f>IF($A283="","",SUMIFS(tblIssues[Qty Issued],tblIssues[Item Name],$A283))</f>
        <v/>
      </c>
      <c r="I283" s="27" t="str">
        <f t="shared" si="12"/>
        <v/>
      </c>
      <c r="J283" s="21" t="str">
        <f t="shared" si="13"/>
        <v/>
      </c>
      <c r="K283" s="26" t="str">
        <f>IF($A283="","",COUNTIFS(tblReceipts[Item Name],$A283))</f>
        <v/>
      </c>
      <c r="L283" s="26" t="str">
        <f>IF($A283="","",COUNTIFS(tblLotBalance[Item Name],$A283,tblLotBalance[Lot Balance],"&gt;0"))</f>
        <v/>
      </c>
      <c r="M283" s="24" t="str">
        <f>IF($A283="","",IF($L283=0,"",IFERROR(_xlfn.MINIFS(tblLotBalance[Expiry Date],tblLotBalance[Item Name],$A283,tblLotBalance[Lot Balance],"&gt;0"),"")))</f>
        <v/>
      </c>
      <c r="N283" s="26" t="str">
        <f t="shared" ca="1" si="14"/>
        <v/>
      </c>
      <c r="O283" s="18" t="str" cm="1">
        <f t="array" ref="O283">IF($M283="","",IFERROR(INDEX(tblLotBalance[Lot Number],MATCH(1,INDEX((tblLotBalance[Item Name]=$A283)*(tblLotBalance[Expiry Date]=$M283)*(tblLotBalance[Lot Balance]&gt;0),0),0)),""))</f>
        <v/>
      </c>
      <c r="P283" s="28" t="str">
        <f>IF($A283="","",IF($I283&lt;0,"NEGATIVE",IF(NOT(ISNUMBER($F283)),"Set threshold",IF($I283&lt;=0,"OUT OF STOCK",IF($I283&lt;=$F283,"LOW",IF($I283&lt;=$F283*Settings!$C$7,"WATCH","OK"))))))</f>
        <v/>
      </c>
      <c r="Q283" s="29" t="str">
        <f>IF($A283="","",IF($P283="NEGATIVE","Issued more than received - add the missing receipt",IF($P283="OUT OF STOCK","Reorder immediately",IF($P283="LOW","Raise purchase order",IF($P283="Set threshold","Enter Critical Low in Items",IF(AND($N283&lt;&gt;"",$N283&lt;=0),"Quarantine expired lot",IF(AND($N283&lt;&gt;"",$N283&lt;=Settings!$C$6),"Use or rotate stock now","")))))))</f>
        <v/>
      </c>
    </row>
    <row r="284" spans="1:17" x14ac:dyDescent="0.35">
      <c r="A284" s="18" t="str">
        <f>IF(Items!$A281="","",Items!$A281)</f>
        <v/>
      </c>
      <c r="B284" s="18" t="str">
        <f>IF($A284="","",Items!$B281)</f>
        <v/>
      </c>
      <c r="C284" s="19" t="str">
        <f>IF($A284="","",Items!$G281)</f>
        <v/>
      </c>
      <c r="D284" s="20" t="str">
        <f>IF($A284="","",N(Items!$D281))</f>
        <v/>
      </c>
      <c r="E284" s="23" t="str">
        <f>IF($A284="","",Items!$E281)</f>
        <v/>
      </c>
      <c r="F284" s="23" t="str">
        <f>IF($A284="","",Items!$F281)</f>
        <v/>
      </c>
      <c r="G284" s="26" t="str">
        <f>IF($A284="","",SUMIFS(tblReceipts[Qty Received],tblReceipts[Item Name],$A284))</f>
        <v/>
      </c>
      <c r="H284" s="26" t="str">
        <f>IF($A284="","",SUMIFS(tblIssues[Qty Issued],tblIssues[Item Name],$A284))</f>
        <v/>
      </c>
      <c r="I284" s="27" t="str">
        <f t="shared" si="12"/>
        <v/>
      </c>
      <c r="J284" s="21" t="str">
        <f t="shared" si="13"/>
        <v/>
      </c>
      <c r="K284" s="26" t="str">
        <f>IF($A284="","",COUNTIFS(tblReceipts[Item Name],$A284))</f>
        <v/>
      </c>
      <c r="L284" s="26" t="str">
        <f>IF($A284="","",COUNTIFS(tblLotBalance[Item Name],$A284,tblLotBalance[Lot Balance],"&gt;0"))</f>
        <v/>
      </c>
      <c r="M284" s="24" t="str">
        <f>IF($A284="","",IF($L284=0,"",IFERROR(_xlfn.MINIFS(tblLotBalance[Expiry Date],tblLotBalance[Item Name],$A284,tblLotBalance[Lot Balance],"&gt;0"),"")))</f>
        <v/>
      </c>
      <c r="N284" s="26" t="str">
        <f t="shared" ca="1" si="14"/>
        <v/>
      </c>
      <c r="O284" s="18" t="str" cm="1">
        <f t="array" ref="O284">IF($M284="","",IFERROR(INDEX(tblLotBalance[Lot Number],MATCH(1,INDEX((tblLotBalance[Item Name]=$A284)*(tblLotBalance[Expiry Date]=$M284)*(tblLotBalance[Lot Balance]&gt;0),0),0)),""))</f>
        <v/>
      </c>
      <c r="P284" s="28" t="str">
        <f>IF($A284="","",IF($I284&lt;0,"NEGATIVE",IF(NOT(ISNUMBER($F284)),"Set threshold",IF($I284&lt;=0,"OUT OF STOCK",IF($I284&lt;=$F284,"LOW",IF($I284&lt;=$F284*Settings!$C$7,"WATCH","OK"))))))</f>
        <v/>
      </c>
      <c r="Q284" s="29" t="str">
        <f>IF($A284="","",IF($P284="NEGATIVE","Issued more than received - add the missing receipt",IF($P284="OUT OF STOCK","Reorder immediately",IF($P284="LOW","Raise purchase order",IF($P284="Set threshold","Enter Critical Low in Items",IF(AND($N284&lt;&gt;"",$N284&lt;=0),"Quarantine expired lot",IF(AND($N284&lt;&gt;"",$N284&lt;=Settings!$C$6),"Use or rotate stock now","")))))))</f>
        <v/>
      </c>
    </row>
    <row r="285" spans="1:17" x14ac:dyDescent="0.35">
      <c r="A285" s="18" t="str">
        <f>IF(Items!$A282="","",Items!$A282)</f>
        <v/>
      </c>
      <c r="B285" s="18" t="str">
        <f>IF($A285="","",Items!$B282)</f>
        <v/>
      </c>
      <c r="C285" s="19" t="str">
        <f>IF($A285="","",Items!$G282)</f>
        <v/>
      </c>
      <c r="D285" s="20" t="str">
        <f>IF($A285="","",N(Items!$D282))</f>
        <v/>
      </c>
      <c r="E285" s="23" t="str">
        <f>IF($A285="","",Items!$E282)</f>
        <v/>
      </c>
      <c r="F285" s="23" t="str">
        <f>IF($A285="","",Items!$F282)</f>
        <v/>
      </c>
      <c r="G285" s="26" t="str">
        <f>IF($A285="","",SUMIFS(tblReceipts[Qty Received],tblReceipts[Item Name],$A285))</f>
        <v/>
      </c>
      <c r="H285" s="26" t="str">
        <f>IF($A285="","",SUMIFS(tblIssues[Qty Issued],tblIssues[Item Name],$A285))</f>
        <v/>
      </c>
      <c r="I285" s="27" t="str">
        <f t="shared" si="12"/>
        <v/>
      </c>
      <c r="J285" s="21" t="str">
        <f t="shared" si="13"/>
        <v/>
      </c>
      <c r="K285" s="26" t="str">
        <f>IF($A285="","",COUNTIFS(tblReceipts[Item Name],$A285))</f>
        <v/>
      </c>
      <c r="L285" s="26" t="str">
        <f>IF($A285="","",COUNTIFS(tblLotBalance[Item Name],$A285,tblLotBalance[Lot Balance],"&gt;0"))</f>
        <v/>
      </c>
      <c r="M285" s="24" t="str">
        <f>IF($A285="","",IF($L285=0,"",IFERROR(_xlfn.MINIFS(tblLotBalance[Expiry Date],tblLotBalance[Item Name],$A285,tblLotBalance[Lot Balance],"&gt;0"),"")))</f>
        <v/>
      </c>
      <c r="N285" s="26" t="str">
        <f t="shared" ca="1" si="14"/>
        <v/>
      </c>
      <c r="O285" s="18" t="str" cm="1">
        <f t="array" ref="O285">IF($M285="","",IFERROR(INDEX(tblLotBalance[Lot Number],MATCH(1,INDEX((tblLotBalance[Item Name]=$A285)*(tblLotBalance[Expiry Date]=$M285)*(tblLotBalance[Lot Balance]&gt;0),0),0)),""))</f>
        <v/>
      </c>
      <c r="P285" s="28" t="str">
        <f>IF($A285="","",IF($I285&lt;0,"NEGATIVE",IF(NOT(ISNUMBER($F285)),"Set threshold",IF($I285&lt;=0,"OUT OF STOCK",IF($I285&lt;=$F285,"LOW",IF($I285&lt;=$F285*Settings!$C$7,"WATCH","OK"))))))</f>
        <v/>
      </c>
      <c r="Q285" s="29" t="str">
        <f>IF($A285="","",IF($P285="NEGATIVE","Issued more than received - add the missing receipt",IF($P285="OUT OF STOCK","Reorder immediately",IF($P285="LOW","Raise purchase order",IF($P285="Set threshold","Enter Critical Low in Items",IF(AND($N285&lt;&gt;"",$N285&lt;=0),"Quarantine expired lot",IF(AND($N285&lt;&gt;"",$N285&lt;=Settings!$C$6),"Use or rotate stock now","")))))))</f>
        <v/>
      </c>
    </row>
    <row r="286" spans="1:17" x14ac:dyDescent="0.35">
      <c r="A286" s="18" t="str">
        <f>IF(Items!$A283="","",Items!$A283)</f>
        <v/>
      </c>
      <c r="B286" s="18" t="str">
        <f>IF($A286="","",Items!$B283)</f>
        <v/>
      </c>
      <c r="C286" s="19" t="str">
        <f>IF($A286="","",Items!$G283)</f>
        <v/>
      </c>
      <c r="D286" s="20" t="str">
        <f>IF($A286="","",N(Items!$D283))</f>
        <v/>
      </c>
      <c r="E286" s="23" t="str">
        <f>IF($A286="","",Items!$E283)</f>
        <v/>
      </c>
      <c r="F286" s="23" t="str">
        <f>IF($A286="","",Items!$F283)</f>
        <v/>
      </c>
      <c r="G286" s="26" t="str">
        <f>IF($A286="","",SUMIFS(tblReceipts[Qty Received],tblReceipts[Item Name],$A286))</f>
        <v/>
      </c>
      <c r="H286" s="26" t="str">
        <f>IF($A286="","",SUMIFS(tblIssues[Qty Issued],tblIssues[Item Name],$A286))</f>
        <v/>
      </c>
      <c r="I286" s="27" t="str">
        <f t="shared" si="12"/>
        <v/>
      </c>
      <c r="J286" s="21" t="str">
        <f t="shared" si="13"/>
        <v/>
      </c>
      <c r="K286" s="26" t="str">
        <f>IF($A286="","",COUNTIFS(tblReceipts[Item Name],$A286))</f>
        <v/>
      </c>
      <c r="L286" s="26" t="str">
        <f>IF($A286="","",COUNTIFS(tblLotBalance[Item Name],$A286,tblLotBalance[Lot Balance],"&gt;0"))</f>
        <v/>
      </c>
      <c r="M286" s="24" t="str">
        <f>IF($A286="","",IF($L286=0,"",IFERROR(_xlfn.MINIFS(tblLotBalance[Expiry Date],tblLotBalance[Item Name],$A286,tblLotBalance[Lot Balance],"&gt;0"),"")))</f>
        <v/>
      </c>
      <c r="N286" s="26" t="str">
        <f t="shared" ca="1" si="14"/>
        <v/>
      </c>
      <c r="O286" s="18" t="str" cm="1">
        <f t="array" ref="O286">IF($M286="","",IFERROR(INDEX(tblLotBalance[Lot Number],MATCH(1,INDEX((tblLotBalance[Item Name]=$A286)*(tblLotBalance[Expiry Date]=$M286)*(tblLotBalance[Lot Balance]&gt;0),0),0)),""))</f>
        <v/>
      </c>
      <c r="P286" s="28" t="str">
        <f>IF($A286="","",IF($I286&lt;0,"NEGATIVE",IF(NOT(ISNUMBER($F286)),"Set threshold",IF($I286&lt;=0,"OUT OF STOCK",IF($I286&lt;=$F286,"LOW",IF($I286&lt;=$F286*Settings!$C$7,"WATCH","OK"))))))</f>
        <v/>
      </c>
      <c r="Q286" s="29" t="str">
        <f>IF($A286="","",IF($P286="NEGATIVE","Issued more than received - add the missing receipt",IF($P286="OUT OF STOCK","Reorder immediately",IF($P286="LOW","Raise purchase order",IF($P286="Set threshold","Enter Critical Low in Items",IF(AND($N286&lt;&gt;"",$N286&lt;=0),"Quarantine expired lot",IF(AND($N286&lt;&gt;"",$N286&lt;=Settings!$C$6),"Use or rotate stock now","")))))))</f>
        <v/>
      </c>
    </row>
    <row r="287" spans="1:17" x14ac:dyDescent="0.35">
      <c r="A287" s="18" t="str">
        <f>IF(Items!$A284="","",Items!$A284)</f>
        <v/>
      </c>
      <c r="B287" s="18" t="str">
        <f>IF($A287="","",Items!$B284)</f>
        <v/>
      </c>
      <c r="C287" s="19" t="str">
        <f>IF($A287="","",Items!$G284)</f>
        <v/>
      </c>
      <c r="D287" s="20" t="str">
        <f>IF($A287="","",N(Items!$D284))</f>
        <v/>
      </c>
      <c r="E287" s="23" t="str">
        <f>IF($A287="","",Items!$E284)</f>
        <v/>
      </c>
      <c r="F287" s="23" t="str">
        <f>IF($A287="","",Items!$F284)</f>
        <v/>
      </c>
      <c r="G287" s="26" t="str">
        <f>IF($A287="","",SUMIFS(tblReceipts[Qty Received],tblReceipts[Item Name],$A287))</f>
        <v/>
      </c>
      <c r="H287" s="26" t="str">
        <f>IF($A287="","",SUMIFS(tblIssues[Qty Issued],tblIssues[Item Name],$A287))</f>
        <v/>
      </c>
      <c r="I287" s="27" t="str">
        <f t="shared" si="12"/>
        <v/>
      </c>
      <c r="J287" s="21" t="str">
        <f t="shared" si="13"/>
        <v/>
      </c>
      <c r="K287" s="26" t="str">
        <f>IF($A287="","",COUNTIFS(tblReceipts[Item Name],$A287))</f>
        <v/>
      </c>
      <c r="L287" s="26" t="str">
        <f>IF($A287="","",COUNTIFS(tblLotBalance[Item Name],$A287,tblLotBalance[Lot Balance],"&gt;0"))</f>
        <v/>
      </c>
      <c r="M287" s="24" t="str">
        <f>IF($A287="","",IF($L287=0,"",IFERROR(_xlfn.MINIFS(tblLotBalance[Expiry Date],tblLotBalance[Item Name],$A287,tblLotBalance[Lot Balance],"&gt;0"),"")))</f>
        <v/>
      </c>
      <c r="N287" s="26" t="str">
        <f t="shared" ca="1" si="14"/>
        <v/>
      </c>
      <c r="O287" s="18" t="str" cm="1">
        <f t="array" ref="O287">IF($M287="","",IFERROR(INDEX(tblLotBalance[Lot Number],MATCH(1,INDEX((tblLotBalance[Item Name]=$A287)*(tblLotBalance[Expiry Date]=$M287)*(tblLotBalance[Lot Balance]&gt;0),0),0)),""))</f>
        <v/>
      </c>
      <c r="P287" s="28" t="str">
        <f>IF($A287="","",IF($I287&lt;0,"NEGATIVE",IF(NOT(ISNUMBER($F287)),"Set threshold",IF($I287&lt;=0,"OUT OF STOCK",IF($I287&lt;=$F287,"LOW",IF($I287&lt;=$F287*Settings!$C$7,"WATCH","OK"))))))</f>
        <v/>
      </c>
      <c r="Q287" s="29" t="str">
        <f>IF($A287="","",IF($P287="NEGATIVE","Issued more than received - add the missing receipt",IF($P287="OUT OF STOCK","Reorder immediately",IF($P287="LOW","Raise purchase order",IF($P287="Set threshold","Enter Critical Low in Items",IF(AND($N287&lt;&gt;"",$N287&lt;=0),"Quarantine expired lot",IF(AND($N287&lt;&gt;"",$N287&lt;=Settings!$C$6),"Use or rotate stock now","")))))))</f>
        <v/>
      </c>
    </row>
    <row r="288" spans="1:17" x14ac:dyDescent="0.35">
      <c r="A288" s="18" t="str">
        <f>IF(Items!$A285="","",Items!$A285)</f>
        <v/>
      </c>
      <c r="B288" s="18" t="str">
        <f>IF($A288="","",Items!$B285)</f>
        <v/>
      </c>
      <c r="C288" s="19" t="str">
        <f>IF($A288="","",Items!$G285)</f>
        <v/>
      </c>
      <c r="D288" s="20" t="str">
        <f>IF($A288="","",N(Items!$D285))</f>
        <v/>
      </c>
      <c r="E288" s="23" t="str">
        <f>IF($A288="","",Items!$E285)</f>
        <v/>
      </c>
      <c r="F288" s="23" t="str">
        <f>IF($A288="","",Items!$F285)</f>
        <v/>
      </c>
      <c r="G288" s="26" t="str">
        <f>IF($A288="","",SUMIFS(tblReceipts[Qty Received],tblReceipts[Item Name],$A288))</f>
        <v/>
      </c>
      <c r="H288" s="26" t="str">
        <f>IF($A288="","",SUMIFS(tblIssues[Qty Issued],tblIssues[Item Name],$A288))</f>
        <v/>
      </c>
      <c r="I288" s="27" t="str">
        <f t="shared" si="12"/>
        <v/>
      </c>
      <c r="J288" s="21" t="str">
        <f t="shared" si="13"/>
        <v/>
      </c>
      <c r="K288" s="26" t="str">
        <f>IF($A288="","",COUNTIFS(tblReceipts[Item Name],$A288))</f>
        <v/>
      </c>
      <c r="L288" s="26" t="str">
        <f>IF($A288="","",COUNTIFS(tblLotBalance[Item Name],$A288,tblLotBalance[Lot Balance],"&gt;0"))</f>
        <v/>
      </c>
      <c r="M288" s="24" t="str">
        <f>IF($A288="","",IF($L288=0,"",IFERROR(_xlfn.MINIFS(tblLotBalance[Expiry Date],tblLotBalance[Item Name],$A288,tblLotBalance[Lot Balance],"&gt;0"),"")))</f>
        <v/>
      </c>
      <c r="N288" s="26" t="str">
        <f t="shared" ca="1" si="14"/>
        <v/>
      </c>
      <c r="O288" s="18" t="str" cm="1">
        <f t="array" ref="O288">IF($M288="","",IFERROR(INDEX(tblLotBalance[Lot Number],MATCH(1,INDEX((tblLotBalance[Item Name]=$A288)*(tblLotBalance[Expiry Date]=$M288)*(tblLotBalance[Lot Balance]&gt;0),0),0)),""))</f>
        <v/>
      </c>
      <c r="P288" s="28" t="str">
        <f>IF($A288="","",IF($I288&lt;0,"NEGATIVE",IF(NOT(ISNUMBER($F288)),"Set threshold",IF($I288&lt;=0,"OUT OF STOCK",IF($I288&lt;=$F288,"LOW",IF($I288&lt;=$F288*Settings!$C$7,"WATCH","OK"))))))</f>
        <v/>
      </c>
      <c r="Q288" s="29" t="str">
        <f>IF($A288="","",IF($P288="NEGATIVE","Issued more than received - add the missing receipt",IF($P288="OUT OF STOCK","Reorder immediately",IF($P288="LOW","Raise purchase order",IF($P288="Set threshold","Enter Critical Low in Items",IF(AND($N288&lt;&gt;"",$N288&lt;=0),"Quarantine expired lot",IF(AND($N288&lt;&gt;"",$N288&lt;=Settings!$C$6),"Use or rotate stock now","")))))))</f>
        <v/>
      </c>
    </row>
    <row r="289" spans="1:17" x14ac:dyDescent="0.35">
      <c r="A289" s="18" t="str">
        <f>IF(Items!$A286="","",Items!$A286)</f>
        <v/>
      </c>
      <c r="B289" s="18" t="str">
        <f>IF($A289="","",Items!$B286)</f>
        <v/>
      </c>
      <c r="C289" s="19" t="str">
        <f>IF($A289="","",Items!$G286)</f>
        <v/>
      </c>
      <c r="D289" s="20" t="str">
        <f>IF($A289="","",N(Items!$D286))</f>
        <v/>
      </c>
      <c r="E289" s="23" t="str">
        <f>IF($A289="","",Items!$E286)</f>
        <v/>
      </c>
      <c r="F289" s="23" t="str">
        <f>IF($A289="","",Items!$F286)</f>
        <v/>
      </c>
      <c r="G289" s="26" t="str">
        <f>IF($A289="","",SUMIFS(tblReceipts[Qty Received],tblReceipts[Item Name],$A289))</f>
        <v/>
      </c>
      <c r="H289" s="26" t="str">
        <f>IF($A289="","",SUMIFS(tblIssues[Qty Issued],tblIssues[Item Name],$A289))</f>
        <v/>
      </c>
      <c r="I289" s="27" t="str">
        <f t="shared" si="12"/>
        <v/>
      </c>
      <c r="J289" s="21" t="str">
        <f t="shared" si="13"/>
        <v/>
      </c>
      <c r="K289" s="26" t="str">
        <f>IF($A289="","",COUNTIFS(tblReceipts[Item Name],$A289))</f>
        <v/>
      </c>
      <c r="L289" s="26" t="str">
        <f>IF($A289="","",COUNTIFS(tblLotBalance[Item Name],$A289,tblLotBalance[Lot Balance],"&gt;0"))</f>
        <v/>
      </c>
      <c r="M289" s="24" t="str">
        <f>IF($A289="","",IF($L289=0,"",IFERROR(_xlfn.MINIFS(tblLotBalance[Expiry Date],tblLotBalance[Item Name],$A289,tblLotBalance[Lot Balance],"&gt;0"),"")))</f>
        <v/>
      </c>
      <c r="N289" s="26" t="str">
        <f t="shared" ca="1" si="14"/>
        <v/>
      </c>
      <c r="O289" s="18" t="str" cm="1">
        <f t="array" ref="O289">IF($M289="","",IFERROR(INDEX(tblLotBalance[Lot Number],MATCH(1,INDEX((tblLotBalance[Item Name]=$A289)*(tblLotBalance[Expiry Date]=$M289)*(tblLotBalance[Lot Balance]&gt;0),0),0)),""))</f>
        <v/>
      </c>
      <c r="P289" s="28" t="str">
        <f>IF($A289="","",IF($I289&lt;0,"NEGATIVE",IF(NOT(ISNUMBER($F289)),"Set threshold",IF($I289&lt;=0,"OUT OF STOCK",IF($I289&lt;=$F289,"LOW",IF($I289&lt;=$F289*Settings!$C$7,"WATCH","OK"))))))</f>
        <v/>
      </c>
      <c r="Q289" s="29" t="str">
        <f>IF($A289="","",IF($P289="NEGATIVE","Issued more than received - add the missing receipt",IF($P289="OUT OF STOCK","Reorder immediately",IF($P289="LOW","Raise purchase order",IF($P289="Set threshold","Enter Critical Low in Items",IF(AND($N289&lt;&gt;"",$N289&lt;=0),"Quarantine expired lot",IF(AND($N289&lt;&gt;"",$N289&lt;=Settings!$C$6),"Use or rotate stock now","")))))))</f>
        <v/>
      </c>
    </row>
    <row r="290" spans="1:17" x14ac:dyDescent="0.35">
      <c r="A290" s="18" t="str">
        <f>IF(Items!$A287="","",Items!$A287)</f>
        <v/>
      </c>
      <c r="B290" s="18" t="str">
        <f>IF($A290="","",Items!$B287)</f>
        <v/>
      </c>
      <c r="C290" s="19" t="str">
        <f>IF($A290="","",Items!$G287)</f>
        <v/>
      </c>
      <c r="D290" s="20" t="str">
        <f>IF($A290="","",N(Items!$D287))</f>
        <v/>
      </c>
      <c r="E290" s="23" t="str">
        <f>IF($A290="","",Items!$E287)</f>
        <v/>
      </c>
      <c r="F290" s="23" t="str">
        <f>IF($A290="","",Items!$F287)</f>
        <v/>
      </c>
      <c r="G290" s="26" t="str">
        <f>IF($A290="","",SUMIFS(tblReceipts[Qty Received],tblReceipts[Item Name],$A290))</f>
        <v/>
      </c>
      <c r="H290" s="26" t="str">
        <f>IF($A290="","",SUMIFS(tblIssues[Qty Issued],tblIssues[Item Name],$A290))</f>
        <v/>
      </c>
      <c r="I290" s="27" t="str">
        <f t="shared" si="12"/>
        <v/>
      </c>
      <c r="J290" s="21" t="str">
        <f t="shared" si="13"/>
        <v/>
      </c>
      <c r="K290" s="26" t="str">
        <f>IF($A290="","",COUNTIFS(tblReceipts[Item Name],$A290))</f>
        <v/>
      </c>
      <c r="L290" s="26" t="str">
        <f>IF($A290="","",COUNTIFS(tblLotBalance[Item Name],$A290,tblLotBalance[Lot Balance],"&gt;0"))</f>
        <v/>
      </c>
      <c r="M290" s="24" t="str">
        <f>IF($A290="","",IF($L290=0,"",IFERROR(_xlfn.MINIFS(tblLotBalance[Expiry Date],tblLotBalance[Item Name],$A290,tblLotBalance[Lot Balance],"&gt;0"),"")))</f>
        <v/>
      </c>
      <c r="N290" s="26" t="str">
        <f t="shared" ca="1" si="14"/>
        <v/>
      </c>
      <c r="O290" s="18" t="str" cm="1">
        <f t="array" ref="O290">IF($M290="","",IFERROR(INDEX(tblLotBalance[Lot Number],MATCH(1,INDEX((tblLotBalance[Item Name]=$A290)*(tblLotBalance[Expiry Date]=$M290)*(tblLotBalance[Lot Balance]&gt;0),0),0)),""))</f>
        <v/>
      </c>
      <c r="P290" s="28" t="str">
        <f>IF($A290="","",IF($I290&lt;0,"NEGATIVE",IF(NOT(ISNUMBER($F290)),"Set threshold",IF($I290&lt;=0,"OUT OF STOCK",IF($I290&lt;=$F290,"LOW",IF($I290&lt;=$F290*Settings!$C$7,"WATCH","OK"))))))</f>
        <v/>
      </c>
      <c r="Q290" s="29" t="str">
        <f>IF($A290="","",IF($P290="NEGATIVE","Issued more than received - add the missing receipt",IF($P290="OUT OF STOCK","Reorder immediately",IF($P290="LOW","Raise purchase order",IF($P290="Set threshold","Enter Critical Low in Items",IF(AND($N290&lt;&gt;"",$N290&lt;=0),"Quarantine expired lot",IF(AND($N290&lt;&gt;"",$N290&lt;=Settings!$C$6),"Use or rotate stock now","")))))))</f>
        <v/>
      </c>
    </row>
    <row r="291" spans="1:17" x14ac:dyDescent="0.35">
      <c r="A291" s="18" t="str">
        <f>IF(Items!$A288="","",Items!$A288)</f>
        <v/>
      </c>
      <c r="B291" s="18" t="str">
        <f>IF($A291="","",Items!$B288)</f>
        <v/>
      </c>
      <c r="C291" s="19" t="str">
        <f>IF($A291="","",Items!$G288)</f>
        <v/>
      </c>
      <c r="D291" s="20" t="str">
        <f>IF($A291="","",N(Items!$D288))</f>
        <v/>
      </c>
      <c r="E291" s="23" t="str">
        <f>IF($A291="","",Items!$E288)</f>
        <v/>
      </c>
      <c r="F291" s="23" t="str">
        <f>IF($A291="","",Items!$F288)</f>
        <v/>
      </c>
      <c r="G291" s="26" t="str">
        <f>IF($A291="","",SUMIFS(tblReceipts[Qty Received],tblReceipts[Item Name],$A291))</f>
        <v/>
      </c>
      <c r="H291" s="26" t="str">
        <f>IF($A291="","",SUMIFS(tblIssues[Qty Issued],tblIssues[Item Name],$A291))</f>
        <v/>
      </c>
      <c r="I291" s="27" t="str">
        <f t="shared" si="12"/>
        <v/>
      </c>
      <c r="J291" s="21" t="str">
        <f t="shared" si="13"/>
        <v/>
      </c>
      <c r="K291" s="26" t="str">
        <f>IF($A291="","",COUNTIFS(tblReceipts[Item Name],$A291))</f>
        <v/>
      </c>
      <c r="L291" s="26" t="str">
        <f>IF($A291="","",COUNTIFS(tblLotBalance[Item Name],$A291,tblLotBalance[Lot Balance],"&gt;0"))</f>
        <v/>
      </c>
      <c r="M291" s="24" t="str">
        <f>IF($A291="","",IF($L291=0,"",IFERROR(_xlfn.MINIFS(tblLotBalance[Expiry Date],tblLotBalance[Item Name],$A291,tblLotBalance[Lot Balance],"&gt;0"),"")))</f>
        <v/>
      </c>
      <c r="N291" s="26" t="str">
        <f t="shared" ca="1" si="14"/>
        <v/>
      </c>
      <c r="O291" s="18" t="str" cm="1">
        <f t="array" ref="O291">IF($M291="","",IFERROR(INDEX(tblLotBalance[Lot Number],MATCH(1,INDEX((tblLotBalance[Item Name]=$A291)*(tblLotBalance[Expiry Date]=$M291)*(tblLotBalance[Lot Balance]&gt;0),0),0)),""))</f>
        <v/>
      </c>
      <c r="P291" s="28" t="str">
        <f>IF($A291="","",IF($I291&lt;0,"NEGATIVE",IF(NOT(ISNUMBER($F291)),"Set threshold",IF($I291&lt;=0,"OUT OF STOCK",IF($I291&lt;=$F291,"LOW",IF($I291&lt;=$F291*Settings!$C$7,"WATCH","OK"))))))</f>
        <v/>
      </c>
      <c r="Q291" s="29" t="str">
        <f>IF($A291="","",IF($P291="NEGATIVE","Issued more than received - add the missing receipt",IF($P291="OUT OF STOCK","Reorder immediately",IF($P291="LOW","Raise purchase order",IF($P291="Set threshold","Enter Critical Low in Items",IF(AND($N291&lt;&gt;"",$N291&lt;=0),"Quarantine expired lot",IF(AND($N291&lt;&gt;"",$N291&lt;=Settings!$C$6),"Use or rotate stock now","")))))))</f>
        <v/>
      </c>
    </row>
    <row r="292" spans="1:17" x14ac:dyDescent="0.35">
      <c r="A292" s="18" t="str">
        <f>IF(Items!$A289="","",Items!$A289)</f>
        <v/>
      </c>
      <c r="B292" s="18" t="str">
        <f>IF($A292="","",Items!$B289)</f>
        <v/>
      </c>
      <c r="C292" s="19" t="str">
        <f>IF($A292="","",Items!$G289)</f>
        <v/>
      </c>
      <c r="D292" s="20" t="str">
        <f>IF($A292="","",N(Items!$D289))</f>
        <v/>
      </c>
      <c r="E292" s="23" t="str">
        <f>IF($A292="","",Items!$E289)</f>
        <v/>
      </c>
      <c r="F292" s="23" t="str">
        <f>IF($A292="","",Items!$F289)</f>
        <v/>
      </c>
      <c r="G292" s="26" t="str">
        <f>IF($A292="","",SUMIFS(tblReceipts[Qty Received],tblReceipts[Item Name],$A292))</f>
        <v/>
      </c>
      <c r="H292" s="26" t="str">
        <f>IF($A292="","",SUMIFS(tblIssues[Qty Issued],tblIssues[Item Name],$A292))</f>
        <v/>
      </c>
      <c r="I292" s="27" t="str">
        <f t="shared" si="12"/>
        <v/>
      </c>
      <c r="J292" s="21" t="str">
        <f t="shared" si="13"/>
        <v/>
      </c>
      <c r="K292" s="26" t="str">
        <f>IF($A292="","",COUNTIFS(tblReceipts[Item Name],$A292))</f>
        <v/>
      </c>
      <c r="L292" s="26" t="str">
        <f>IF($A292="","",COUNTIFS(tblLotBalance[Item Name],$A292,tblLotBalance[Lot Balance],"&gt;0"))</f>
        <v/>
      </c>
      <c r="M292" s="24" t="str">
        <f>IF($A292="","",IF($L292=0,"",IFERROR(_xlfn.MINIFS(tblLotBalance[Expiry Date],tblLotBalance[Item Name],$A292,tblLotBalance[Lot Balance],"&gt;0"),"")))</f>
        <v/>
      </c>
      <c r="N292" s="26" t="str">
        <f t="shared" ca="1" si="14"/>
        <v/>
      </c>
      <c r="O292" s="18" t="str" cm="1">
        <f t="array" ref="O292">IF($M292="","",IFERROR(INDEX(tblLotBalance[Lot Number],MATCH(1,INDEX((tblLotBalance[Item Name]=$A292)*(tblLotBalance[Expiry Date]=$M292)*(tblLotBalance[Lot Balance]&gt;0),0),0)),""))</f>
        <v/>
      </c>
      <c r="P292" s="28" t="str">
        <f>IF($A292="","",IF($I292&lt;0,"NEGATIVE",IF(NOT(ISNUMBER($F292)),"Set threshold",IF($I292&lt;=0,"OUT OF STOCK",IF($I292&lt;=$F292,"LOW",IF($I292&lt;=$F292*Settings!$C$7,"WATCH","OK"))))))</f>
        <v/>
      </c>
      <c r="Q292" s="29" t="str">
        <f>IF($A292="","",IF($P292="NEGATIVE","Issued more than received - add the missing receipt",IF($P292="OUT OF STOCK","Reorder immediately",IF($P292="LOW","Raise purchase order",IF($P292="Set threshold","Enter Critical Low in Items",IF(AND($N292&lt;&gt;"",$N292&lt;=0),"Quarantine expired lot",IF(AND($N292&lt;&gt;"",$N292&lt;=Settings!$C$6),"Use or rotate stock now","")))))))</f>
        <v/>
      </c>
    </row>
    <row r="293" spans="1:17" x14ac:dyDescent="0.35">
      <c r="A293" s="18" t="str">
        <f>IF(Items!$A290="","",Items!$A290)</f>
        <v/>
      </c>
      <c r="B293" s="18" t="str">
        <f>IF($A293="","",Items!$B290)</f>
        <v/>
      </c>
      <c r="C293" s="19" t="str">
        <f>IF($A293="","",Items!$G290)</f>
        <v/>
      </c>
      <c r="D293" s="20" t="str">
        <f>IF($A293="","",N(Items!$D290))</f>
        <v/>
      </c>
      <c r="E293" s="23" t="str">
        <f>IF($A293="","",Items!$E290)</f>
        <v/>
      </c>
      <c r="F293" s="23" t="str">
        <f>IF($A293="","",Items!$F290)</f>
        <v/>
      </c>
      <c r="G293" s="26" t="str">
        <f>IF($A293="","",SUMIFS(tblReceipts[Qty Received],tblReceipts[Item Name],$A293))</f>
        <v/>
      </c>
      <c r="H293" s="26" t="str">
        <f>IF($A293="","",SUMIFS(tblIssues[Qty Issued],tblIssues[Item Name],$A293))</f>
        <v/>
      </c>
      <c r="I293" s="27" t="str">
        <f t="shared" si="12"/>
        <v/>
      </c>
      <c r="J293" s="21" t="str">
        <f t="shared" si="13"/>
        <v/>
      </c>
      <c r="K293" s="26" t="str">
        <f>IF($A293="","",COUNTIFS(tblReceipts[Item Name],$A293))</f>
        <v/>
      </c>
      <c r="L293" s="26" t="str">
        <f>IF($A293="","",COUNTIFS(tblLotBalance[Item Name],$A293,tblLotBalance[Lot Balance],"&gt;0"))</f>
        <v/>
      </c>
      <c r="M293" s="24" t="str">
        <f>IF($A293="","",IF($L293=0,"",IFERROR(_xlfn.MINIFS(tblLotBalance[Expiry Date],tblLotBalance[Item Name],$A293,tblLotBalance[Lot Balance],"&gt;0"),"")))</f>
        <v/>
      </c>
      <c r="N293" s="26" t="str">
        <f t="shared" ca="1" si="14"/>
        <v/>
      </c>
      <c r="O293" s="18" t="str" cm="1">
        <f t="array" ref="O293">IF($M293="","",IFERROR(INDEX(tblLotBalance[Lot Number],MATCH(1,INDEX((tblLotBalance[Item Name]=$A293)*(tblLotBalance[Expiry Date]=$M293)*(tblLotBalance[Lot Balance]&gt;0),0),0)),""))</f>
        <v/>
      </c>
      <c r="P293" s="28" t="str">
        <f>IF($A293="","",IF($I293&lt;0,"NEGATIVE",IF(NOT(ISNUMBER($F293)),"Set threshold",IF($I293&lt;=0,"OUT OF STOCK",IF($I293&lt;=$F293,"LOW",IF($I293&lt;=$F293*Settings!$C$7,"WATCH","OK"))))))</f>
        <v/>
      </c>
      <c r="Q293" s="29" t="str">
        <f>IF($A293="","",IF($P293="NEGATIVE","Issued more than received - add the missing receipt",IF($P293="OUT OF STOCK","Reorder immediately",IF($P293="LOW","Raise purchase order",IF($P293="Set threshold","Enter Critical Low in Items",IF(AND($N293&lt;&gt;"",$N293&lt;=0),"Quarantine expired lot",IF(AND($N293&lt;&gt;"",$N293&lt;=Settings!$C$6),"Use or rotate stock now","")))))))</f>
        <v/>
      </c>
    </row>
    <row r="294" spans="1:17" x14ac:dyDescent="0.35">
      <c r="A294" s="18" t="str">
        <f>IF(Items!$A291="","",Items!$A291)</f>
        <v/>
      </c>
      <c r="B294" s="18" t="str">
        <f>IF($A294="","",Items!$B291)</f>
        <v/>
      </c>
      <c r="C294" s="19" t="str">
        <f>IF($A294="","",Items!$G291)</f>
        <v/>
      </c>
      <c r="D294" s="20" t="str">
        <f>IF($A294="","",N(Items!$D291))</f>
        <v/>
      </c>
      <c r="E294" s="23" t="str">
        <f>IF($A294="","",Items!$E291)</f>
        <v/>
      </c>
      <c r="F294" s="23" t="str">
        <f>IF($A294="","",Items!$F291)</f>
        <v/>
      </c>
      <c r="G294" s="26" t="str">
        <f>IF($A294="","",SUMIFS(tblReceipts[Qty Received],tblReceipts[Item Name],$A294))</f>
        <v/>
      </c>
      <c r="H294" s="26" t="str">
        <f>IF($A294="","",SUMIFS(tblIssues[Qty Issued],tblIssues[Item Name],$A294))</f>
        <v/>
      </c>
      <c r="I294" s="27" t="str">
        <f t="shared" si="12"/>
        <v/>
      </c>
      <c r="J294" s="21" t="str">
        <f t="shared" si="13"/>
        <v/>
      </c>
      <c r="K294" s="26" t="str">
        <f>IF($A294="","",COUNTIFS(tblReceipts[Item Name],$A294))</f>
        <v/>
      </c>
      <c r="L294" s="26" t="str">
        <f>IF($A294="","",COUNTIFS(tblLotBalance[Item Name],$A294,tblLotBalance[Lot Balance],"&gt;0"))</f>
        <v/>
      </c>
      <c r="M294" s="24" t="str">
        <f>IF($A294="","",IF($L294=0,"",IFERROR(_xlfn.MINIFS(tblLotBalance[Expiry Date],tblLotBalance[Item Name],$A294,tblLotBalance[Lot Balance],"&gt;0"),"")))</f>
        <v/>
      </c>
      <c r="N294" s="26" t="str">
        <f t="shared" ca="1" si="14"/>
        <v/>
      </c>
      <c r="O294" s="18" t="str" cm="1">
        <f t="array" ref="O294">IF($M294="","",IFERROR(INDEX(tblLotBalance[Lot Number],MATCH(1,INDEX((tblLotBalance[Item Name]=$A294)*(tblLotBalance[Expiry Date]=$M294)*(tblLotBalance[Lot Balance]&gt;0),0),0)),""))</f>
        <v/>
      </c>
      <c r="P294" s="28" t="str">
        <f>IF($A294="","",IF($I294&lt;0,"NEGATIVE",IF(NOT(ISNUMBER($F294)),"Set threshold",IF($I294&lt;=0,"OUT OF STOCK",IF($I294&lt;=$F294,"LOW",IF($I294&lt;=$F294*Settings!$C$7,"WATCH","OK"))))))</f>
        <v/>
      </c>
      <c r="Q294" s="29" t="str">
        <f>IF($A294="","",IF($P294="NEGATIVE","Issued more than received - add the missing receipt",IF($P294="OUT OF STOCK","Reorder immediately",IF($P294="LOW","Raise purchase order",IF($P294="Set threshold","Enter Critical Low in Items",IF(AND($N294&lt;&gt;"",$N294&lt;=0),"Quarantine expired lot",IF(AND($N294&lt;&gt;"",$N294&lt;=Settings!$C$6),"Use or rotate stock now","")))))))</f>
        <v/>
      </c>
    </row>
    <row r="295" spans="1:17" x14ac:dyDescent="0.35">
      <c r="A295" s="18" t="str">
        <f>IF(Items!$A292="","",Items!$A292)</f>
        <v/>
      </c>
      <c r="B295" s="18" t="str">
        <f>IF($A295="","",Items!$B292)</f>
        <v/>
      </c>
      <c r="C295" s="19" t="str">
        <f>IF($A295="","",Items!$G292)</f>
        <v/>
      </c>
      <c r="D295" s="20" t="str">
        <f>IF($A295="","",N(Items!$D292))</f>
        <v/>
      </c>
      <c r="E295" s="23" t="str">
        <f>IF($A295="","",Items!$E292)</f>
        <v/>
      </c>
      <c r="F295" s="23" t="str">
        <f>IF($A295="","",Items!$F292)</f>
        <v/>
      </c>
      <c r="G295" s="26" t="str">
        <f>IF($A295="","",SUMIFS(tblReceipts[Qty Received],tblReceipts[Item Name],$A295))</f>
        <v/>
      </c>
      <c r="H295" s="26" t="str">
        <f>IF($A295="","",SUMIFS(tblIssues[Qty Issued],tblIssues[Item Name],$A295))</f>
        <v/>
      </c>
      <c r="I295" s="27" t="str">
        <f t="shared" si="12"/>
        <v/>
      </c>
      <c r="J295" s="21" t="str">
        <f t="shared" si="13"/>
        <v/>
      </c>
      <c r="K295" s="26" t="str">
        <f>IF($A295="","",COUNTIFS(tblReceipts[Item Name],$A295))</f>
        <v/>
      </c>
      <c r="L295" s="26" t="str">
        <f>IF($A295="","",COUNTIFS(tblLotBalance[Item Name],$A295,tblLotBalance[Lot Balance],"&gt;0"))</f>
        <v/>
      </c>
      <c r="M295" s="24" t="str">
        <f>IF($A295="","",IF($L295=0,"",IFERROR(_xlfn.MINIFS(tblLotBalance[Expiry Date],tblLotBalance[Item Name],$A295,tblLotBalance[Lot Balance],"&gt;0"),"")))</f>
        <v/>
      </c>
      <c r="N295" s="26" t="str">
        <f t="shared" ca="1" si="14"/>
        <v/>
      </c>
      <c r="O295" s="18" t="str" cm="1">
        <f t="array" ref="O295">IF($M295="","",IFERROR(INDEX(tblLotBalance[Lot Number],MATCH(1,INDEX((tblLotBalance[Item Name]=$A295)*(tblLotBalance[Expiry Date]=$M295)*(tblLotBalance[Lot Balance]&gt;0),0),0)),""))</f>
        <v/>
      </c>
      <c r="P295" s="28" t="str">
        <f>IF($A295="","",IF($I295&lt;0,"NEGATIVE",IF(NOT(ISNUMBER($F295)),"Set threshold",IF($I295&lt;=0,"OUT OF STOCK",IF($I295&lt;=$F295,"LOW",IF($I295&lt;=$F295*Settings!$C$7,"WATCH","OK"))))))</f>
        <v/>
      </c>
      <c r="Q295" s="29" t="str">
        <f>IF($A295="","",IF($P295="NEGATIVE","Issued more than received - add the missing receipt",IF($P295="OUT OF STOCK","Reorder immediately",IF($P295="LOW","Raise purchase order",IF($P295="Set threshold","Enter Critical Low in Items",IF(AND($N295&lt;&gt;"",$N295&lt;=0),"Quarantine expired lot",IF(AND($N295&lt;&gt;"",$N295&lt;=Settings!$C$6),"Use or rotate stock now","")))))))</f>
        <v/>
      </c>
    </row>
    <row r="296" spans="1:17" x14ac:dyDescent="0.35">
      <c r="A296" s="18" t="str">
        <f>IF(Items!$A293="","",Items!$A293)</f>
        <v/>
      </c>
      <c r="B296" s="18" t="str">
        <f>IF($A296="","",Items!$B293)</f>
        <v/>
      </c>
      <c r="C296" s="19" t="str">
        <f>IF($A296="","",Items!$G293)</f>
        <v/>
      </c>
      <c r="D296" s="20" t="str">
        <f>IF($A296="","",N(Items!$D293))</f>
        <v/>
      </c>
      <c r="E296" s="23" t="str">
        <f>IF($A296="","",Items!$E293)</f>
        <v/>
      </c>
      <c r="F296" s="23" t="str">
        <f>IF($A296="","",Items!$F293)</f>
        <v/>
      </c>
      <c r="G296" s="26" t="str">
        <f>IF($A296="","",SUMIFS(tblReceipts[Qty Received],tblReceipts[Item Name],$A296))</f>
        <v/>
      </c>
      <c r="H296" s="26" t="str">
        <f>IF($A296="","",SUMIFS(tblIssues[Qty Issued],tblIssues[Item Name],$A296))</f>
        <v/>
      </c>
      <c r="I296" s="27" t="str">
        <f t="shared" si="12"/>
        <v/>
      </c>
      <c r="J296" s="21" t="str">
        <f t="shared" si="13"/>
        <v/>
      </c>
      <c r="K296" s="26" t="str">
        <f>IF($A296="","",COUNTIFS(tblReceipts[Item Name],$A296))</f>
        <v/>
      </c>
      <c r="L296" s="26" t="str">
        <f>IF($A296="","",COUNTIFS(tblLotBalance[Item Name],$A296,tblLotBalance[Lot Balance],"&gt;0"))</f>
        <v/>
      </c>
      <c r="M296" s="24" t="str">
        <f>IF($A296="","",IF($L296=0,"",IFERROR(_xlfn.MINIFS(tblLotBalance[Expiry Date],tblLotBalance[Item Name],$A296,tblLotBalance[Lot Balance],"&gt;0"),"")))</f>
        <v/>
      </c>
      <c r="N296" s="26" t="str">
        <f t="shared" ca="1" si="14"/>
        <v/>
      </c>
      <c r="O296" s="18" t="str" cm="1">
        <f t="array" ref="O296">IF($M296="","",IFERROR(INDEX(tblLotBalance[Lot Number],MATCH(1,INDEX((tblLotBalance[Item Name]=$A296)*(tblLotBalance[Expiry Date]=$M296)*(tblLotBalance[Lot Balance]&gt;0),0),0)),""))</f>
        <v/>
      </c>
      <c r="P296" s="28" t="str">
        <f>IF($A296="","",IF($I296&lt;0,"NEGATIVE",IF(NOT(ISNUMBER($F296)),"Set threshold",IF($I296&lt;=0,"OUT OF STOCK",IF($I296&lt;=$F296,"LOW",IF($I296&lt;=$F296*Settings!$C$7,"WATCH","OK"))))))</f>
        <v/>
      </c>
      <c r="Q296" s="29" t="str">
        <f>IF($A296="","",IF($P296="NEGATIVE","Issued more than received - add the missing receipt",IF($P296="OUT OF STOCK","Reorder immediately",IF($P296="LOW","Raise purchase order",IF($P296="Set threshold","Enter Critical Low in Items",IF(AND($N296&lt;&gt;"",$N296&lt;=0),"Quarantine expired lot",IF(AND($N296&lt;&gt;"",$N296&lt;=Settings!$C$6),"Use or rotate stock now","")))))))</f>
        <v/>
      </c>
    </row>
    <row r="297" spans="1:17" x14ac:dyDescent="0.35">
      <c r="A297" s="18" t="str">
        <f>IF(Items!$A294="","",Items!$A294)</f>
        <v/>
      </c>
      <c r="B297" s="18" t="str">
        <f>IF($A297="","",Items!$B294)</f>
        <v/>
      </c>
      <c r="C297" s="19" t="str">
        <f>IF($A297="","",Items!$G294)</f>
        <v/>
      </c>
      <c r="D297" s="20" t="str">
        <f>IF($A297="","",N(Items!$D294))</f>
        <v/>
      </c>
      <c r="E297" s="23" t="str">
        <f>IF($A297="","",Items!$E294)</f>
        <v/>
      </c>
      <c r="F297" s="23" t="str">
        <f>IF($A297="","",Items!$F294)</f>
        <v/>
      </c>
      <c r="G297" s="26" t="str">
        <f>IF($A297="","",SUMIFS(tblReceipts[Qty Received],tblReceipts[Item Name],$A297))</f>
        <v/>
      </c>
      <c r="H297" s="26" t="str">
        <f>IF($A297="","",SUMIFS(tblIssues[Qty Issued],tblIssues[Item Name],$A297))</f>
        <v/>
      </c>
      <c r="I297" s="27" t="str">
        <f t="shared" si="12"/>
        <v/>
      </c>
      <c r="J297" s="21" t="str">
        <f t="shared" si="13"/>
        <v/>
      </c>
      <c r="K297" s="26" t="str">
        <f>IF($A297="","",COUNTIFS(tblReceipts[Item Name],$A297))</f>
        <v/>
      </c>
      <c r="L297" s="26" t="str">
        <f>IF($A297="","",COUNTIFS(tblLotBalance[Item Name],$A297,tblLotBalance[Lot Balance],"&gt;0"))</f>
        <v/>
      </c>
      <c r="M297" s="24" t="str">
        <f>IF($A297="","",IF($L297=0,"",IFERROR(_xlfn.MINIFS(tblLotBalance[Expiry Date],tblLotBalance[Item Name],$A297,tblLotBalance[Lot Balance],"&gt;0"),"")))</f>
        <v/>
      </c>
      <c r="N297" s="26" t="str">
        <f t="shared" ca="1" si="14"/>
        <v/>
      </c>
      <c r="O297" s="18" t="str" cm="1">
        <f t="array" ref="O297">IF($M297="","",IFERROR(INDEX(tblLotBalance[Lot Number],MATCH(1,INDEX((tblLotBalance[Item Name]=$A297)*(tblLotBalance[Expiry Date]=$M297)*(tblLotBalance[Lot Balance]&gt;0),0),0)),""))</f>
        <v/>
      </c>
      <c r="P297" s="28" t="str">
        <f>IF($A297="","",IF($I297&lt;0,"NEGATIVE",IF(NOT(ISNUMBER($F297)),"Set threshold",IF($I297&lt;=0,"OUT OF STOCK",IF($I297&lt;=$F297,"LOW",IF($I297&lt;=$F297*Settings!$C$7,"WATCH","OK"))))))</f>
        <v/>
      </c>
      <c r="Q297" s="29" t="str">
        <f>IF($A297="","",IF($P297="NEGATIVE","Issued more than received - add the missing receipt",IF($P297="OUT OF STOCK","Reorder immediately",IF($P297="LOW","Raise purchase order",IF($P297="Set threshold","Enter Critical Low in Items",IF(AND($N297&lt;&gt;"",$N297&lt;=0),"Quarantine expired lot",IF(AND($N297&lt;&gt;"",$N297&lt;=Settings!$C$6),"Use or rotate stock now","")))))))</f>
        <v/>
      </c>
    </row>
    <row r="298" spans="1:17" x14ac:dyDescent="0.35">
      <c r="A298" s="18" t="str">
        <f>IF(Items!$A295="","",Items!$A295)</f>
        <v/>
      </c>
      <c r="B298" s="18" t="str">
        <f>IF($A298="","",Items!$B295)</f>
        <v/>
      </c>
      <c r="C298" s="19" t="str">
        <f>IF($A298="","",Items!$G295)</f>
        <v/>
      </c>
      <c r="D298" s="20" t="str">
        <f>IF($A298="","",N(Items!$D295))</f>
        <v/>
      </c>
      <c r="E298" s="23" t="str">
        <f>IF($A298="","",Items!$E295)</f>
        <v/>
      </c>
      <c r="F298" s="23" t="str">
        <f>IF($A298="","",Items!$F295)</f>
        <v/>
      </c>
      <c r="G298" s="26" t="str">
        <f>IF($A298="","",SUMIFS(tblReceipts[Qty Received],tblReceipts[Item Name],$A298))</f>
        <v/>
      </c>
      <c r="H298" s="26" t="str">
        <f>IF($A298="","",SUMIFS(tblIssues[Qty Issued],tblIssues[Item Name],$A298))</f>
        <v/>
      </c>
      <c r="I298" s="27" t="str">
        <f t="shared" si="12"/>
        <v/>
      </c>
      <c r="J298" s="21" t="str">
        <f t="shared" si="13"/>
        <v/>
      </c>
      <c r="K298" s="26" t="str">
        <f>IF($A298="","",COUNTIFS(tblReceipts[Item Name],$A298))</f>
        <v/>
      </c>
      <c r="L298" s="26" t="str">
        <f>IF($A298="","",COUNTIFS(tblLotBalance[Item Name],$A298,tblLotBalance[Lot Balance],"&gt;0"))</f>
        <v/>
      </c>
      <c r="M298" s="24" t="str">
        <f>IF($A298="","",IF($L298=0,"",IFERROR(_xlfn.MINIFS(tblLotBalance[Expiry Date],tblLotBalance[Item Name],$A298,tblLotBalance[Lot Balance],"&gt;0"),"")))</f>
        <v/>
      </c>
      <c r="N298" s="26" t="str">
        <f t="shared" ca="1" si="14"/>
        <v/>
      </c>
      <c r="O298" s="18" t="str" cm="1">
        <f t="array" ref="O298">IF($M298="","",IFERROR(INDEX(tblLotBalance[Lot Number],MATCH(1,INDEX((tblLotBalance[Item Name]=$A298)*(tblLotBalance[Expiry Date]=$M298)*(tblLotBalance[Lot Balance]&gt;0),0),0)),""))</f>
        <v/>
      </c>
      <c r="P298" s="28" t="str">
        <f>IF($A298="","",IF($I298&lt;0,"NEGATIVE",IF(NOT(ISNUMBER($F298)),"Set threshold",IF($I298&lt;=0,"OUT OF STOCK",IF($I298&lt;=$F298,"LOW",IF($I298&lt;=$F298*Settings!$C$7,"WATCH","OK"))))))</f>
        <v/>
      </c>
      <c r="Q298" s="29" t="str">
        <f>IF($A298="","",IF($P298="NEGATIVE","Issued more than received - add the missing receipt",IF($P298="OUT OF STOCK","Reorder immediately",IF($P298="LOW","Raise purchase order",IF($P298="Set threshold","Enter Critical Low in Items",IF(AND($N298&lt;&gt;"",$N298&lt;=0),"Quarantine expired lot",IF(AND($N298&lt;&gt;"",$N298&lt;=Settings!$C$6),"Use or rotate stock now","")))))))</f>
        <v/>
      </c>
    </row>
    <row r="299" spans="1:17" x14ac:dyDescent="0.35">
      <c r="A299" s="18" t="str">
        <f>IF(Items!$A296="","",Items!$A296)</f>
        <v/>
      </c>
      <c r="B299" s="18" t="str">
        <f>IF($A299="","",Items!$B296)</f>
        <v/>
      </c>
      <c r="C299" s="19" t="str">
        <f>IF($A299="","",Items!$G296)</f>
        <v/>
      </c>
      <c r="D299" s="20" t="str">
        <f>IF($A299="","",N(Items!$D296))</f>
        <v/>
      </c>
      <c r="E299" s="23" t="str">
        <f>IF($A299="","",Items!$E296)</f>
        <v/>
      </c>
      <c r="F299" s="23" t="str">
        <f>IF($A299="","",Items!$F296)</f>
        <v/>
      </c>
      <c r="G299" s="26" t="str">
        <f>IF($A299="","",SUMIFS(tblReceipts[Qty Received],tblReceipts[Item Name],$A299))</f>
        <v/>
      </c>
      <c r="H299" s="26" t="str">
        <f>IF($A299="","",SUMIFS(tblIssues[Qty Issued],tblIssues[Item Name],$A299))</f>
        <v/>
      </c>
      <c r="I299" s="27" t="str">
        <f t="shared" si="12"/>
        <v/>
      </c>
      <c r="J299" s="21" t="str">
        <f t="shared" si="13"/>
        <v/>
      </c>
      <c r="K299" s="26" t="str">
        <f>IF($A299="","",COUNTIFS(tblReceipts[Item Name],$A299))</f>
        <v/>
      </c>
      <c r="L299" s="26" t="str">
        <f>IF($A299="","",COUNTIFS(tblLotBalance[Item Name],$A299,tblLotBalance[Lot Balance],"&gt;0"))</f>
        <v/>
      </c>
      <c r="M299" s="24" t="str">
        <f>IF($A299="","",IF($L299=0,"",IFERROR(_xlfn.MINIFS(tblLotBalance[Expiry Date],tblLotBalance[Item Name],$A299,tblLotBalance[Lot Balance],"&gt;0"),"")))</f>
        <v/>
      </c>
      <c r="N299" s="26" t="str">
        <f t="shared" ca="1" si="14"/>
        <v/>
      </c>
      <c r="O299" s="18" t="str" cm="1">
        <f t="array" ref="O299">IF($M299="","",IFERROR(INDEX(tblLotBalance[Lot Number],MATCH(1,INDEX((tblLotBalance[Item Name]=$A299)*(tblLotBalance[Expiry Date]=$M299)*(tblLotBalance[Lot Balance]&gt;0),0),0)),""))</f>
        <v/>
      </c>
      <c r="P299" s="28" t="str">
        <f>IF($A299="","",IF($I299&lt;0,"NEGATIVE",IF(NOT(ISNUMBER($F299)),"Set threshold",IF($I299&lt;=0,"OUT OF STOCK",IF($I299&lt;=$F299,"LOW",IF($I299&lt;=$F299*Settings!$C$7,"WATCH","OK"))))))</f>
        <v/>
      </c>
      <c r="Q299" s="29" t="str">
        <f>IF($A299="","",IF($P299="NEGATIVE","Issued more than received - add the missing receipt",IF($P299="OUT OF STOCK","Reorder immediately",IF($P299="LOW","Raise purchase order",IF($P299="Set threshold","Enter Critical Low in Items",IF(AND($N299&lt;&gt;"",$N299&lt;=0),"Quarantine expired lot",IF(AND($N299&lt;&gt;"",$N299&lt;=Settings!$C$6),"Use or rotate stock now","")))))))</f>
        <v/>
      </c>
    </row>
    <row r="300" spans="1:17" x14ac:dyDescent="0.35">
      <c r="A300" s="18" t="str">
        <f>IF(Items!$A297="","",Items!$A297)</f>
        <v/>
      </c>
      <c r="B300" s="18" t="str">
        <f>IF($A300="","",Items!$B297)</f>
        <v/>
      </c>
      <c r="C300" s="19" t="str">
        <f>IF($A300="","",Items!$G297)</f>
        <v/>
      </c>
      <c r="D300" s="20" t="str">
        <f>IF($A300="","",N(Items!$D297))</f>
        <v/>
      </c>
      <c r="E300" s="23" t="str">
        <f>IF($A300="","",Items!$E297)</f>
        <v/>
      </c>
      <c r="F300" s="23" t="str">
        <f>IF($A300="","",Items!$F297)</f>
        <v/>
      </c>
      <c r="G300" s="26" t="str">
        <f>IF($A300="","",SUMIFS(tblReceipts[Qty Received],tblReceipts[Item Name],$A300))</f>
        <v/>
      </c>
      <c r="H300" s="26" t="str">
        <f>IF($A300="","",SUMIFS(tblIssues[Qty Issued],tblIssues[Item Name],$A300))</f>
        <v/>
      </c>
      <c r="I300" s="27" t="str">
        <f t="shared" si="12"/>
        <v/>
      </c>
      <c r="J300" s="21" t="str">
        <f t="shared" si="13"/>
        <v/>
      </c>
      <c r="K300" s="26" t="str">
        <f>IF($A300="","",COUNTIFS(tblReceipts[Item Name],$A300))</f>
        <v/>
      </c>
      <c r="L300" s="26" t="str">
        <f>IF($A300="","",COUNTIFS(tblLotBalance[Item Name],$A300,tblLotBalance[Lot Balance],"&gt;0"))</f>
        <v/>
      </c>
      <c r="M300" s="24" t="str">
        <f>IF($A300="","",IF($L300=0,"",IFERROR(_xlfn.MINIFS(tblLotBalance[Expiry Date],tblLotBalance[Item Name],$A300,tblLotBalance[Lot Balance],"&gt;0"),"")))</f>
        <v/>
      </c>
      <c r="N300" s="26" t="str">
        <f t="shared" ca="1" si="14"/>
        <v/>
      </c>
      <c r="O300" s="18" t="str" cm="1">
        <f t="array" ref="O300">IF($M300="","",IFERROR(INDEX(tblLotBalance[Lot Number],MATCH(1,INDEX((tblLotBalance[Item Name]=$A300)*(tblLotBalance[Expiry Date]=$M300)*(tblLotBalance[Lot Balance]&gt;0),0),0)),""))</f>
        <v/>
      </c>
      <c r="P300" s="28" t="str">
        <f>IF($A300="","",IF($I300&lt;0,"NEGATIVE",IF(NOT(ISNUMBER($F300)),"Set threshold",IF($I300&lt;=0,"OUT OF STOCK",IF($I300&lt;=$F300,"LOW",IF($I300&lt;=$F300*Settings!$C$7,"WATCH","OK"))))))</f>
        <v/>
      </c>
      <c r="Q300" s="29" t="str">
        <f>IF($A300="","",IF($P300="NEGATIVE","Issued more than received - add the missing receipt",IF($P300="OUT OF STOCK","Reorder immediately",IF($P300="LOW","Raise purchase order",IF($P300="Set threshold","Enter Critical Low in Items",IF(AND($N300&lt;&gt;"",$N300&lt;=0),"Quarantine expired lot",IF(AND($N300&lt;&gt;"",$N300&lt;=Settings!$C$6),"Use or rotate stock now","")))))))</f>
        <v/>
      </c>
    </row>
    <row r="301" spans="1:17" x14ac:dyDescent="0.35">
      <c r="A301" s="18" t="str">
        <f>IF(Items!$A298="","",Items!$A298)</f>
        <v/>
      </c>
      <c r="B301" s="18" t="str">
        <f>IF($A301="","",Items!$B298)</f>
        <v/>
      </c>
      <c r="C301" s="19" t="str">
        <f>IF($A301="","",Items!$G298)</f>
        <v/>
      </c>
      <c r="D301" s="20" t="str">
        <f>IF($A301="","",N(Items!$D298))</f>
        <v/>
      </c>
      <c r="E301" s="23" t="str">
        <f>IF($A301="","",Items!$E298)</f>
        <v/>
      </c>
      <c r="F301" s="23" t="str">
        <f>IF($A301="","",Items!$F298)</f>
        <v/>
      </c>
      <c r="G301" s="26" t="str">
        <f>IF($A301="","",SUMIFS(tblReceipts[Qty Received],tblReceipts[Item Name],$A301))</f>
        <v/>
      </c>
      <c r="H301" s="26" t="str">
        <f>IF($A301="","",SUMIFS(tblIssues[Qty Issued],tblIssues[Item Name],$A301))</f>
        <v/>
      </c>
      <c r="I301" s="27" t="str">
        <f t="shared" si="12"/>
        <v/>
      </c>
      <c r="J301" s="21" t="str">
        <f t="shared" si="13"/>
        <v/>
      </c>
      <c r="K301" s="26" t="str">
        <f>IF($A301="","",COUNTIFS(tblReceipts[Item Name],$A301))</f>
        <v/>
      </c>
      <c r="L301" s="26" t="str">
        <f>IF($A301="","",COUNTIFS(tblLotBalance[Item Name],$A301,tblLotBalance[Lot Balance],"&gt;0"))</f>
        <v/>
      </c>
      <c r="M301" s="24" t="str">
        <f>IF($A301="","",IF($L301=0,"",IFERROR(_xlfn.MINIFS(tblLotBalance[Expiry Date],tblLotBalance[Item Name],$A301,tblLotBalance[Lot Balance],"&gt;0"),"")))</f>
        <v/>
      </c>
      <c r="N301" s="26" t="str">
        <f t="shared" ca="1" si="14"/>
        <v/>
      </c>
      <c r="O301" s="18" t="str" cm="1">
        <f t="array" ref="O301">IF($M301="","",IFERROR(INDEX(tblLotBalance[Lot Number],MATCH(1,INDEX((tblLotBalance[Item Name]=$A301)*(tblLotBalance[Expiry Date]=$M301)*(tblLotBalance[Lot Balance]&gt;0),0),0)),""))</f>
        <v/>
      </c>
      <c r="P301" s="28" t="str">
        <f>IF($A301="","",IF($I301&lt;0,"NEGATIVE",IF(NOT(ISNUMBER($F301)),"Set threshold",IF($I301&lt;=0,"OUT OF STOCK",IF($I301&lt;=$F301,"LOW",IF($I301&lt;=$F301*Settings!$C$7,"WATCH","OK"))))))</f>
        <v/>
      </c>
      <c r="Q301" s="29" t="str">
        <f>IF($A301="","",IF($P301="NEGATIVE","Issued more than received - add the missing receipt",IF($P301="OUT OF STOCK","Reorder immediately",IF($P301="LOW","Raise purchase order",IF($P301="Set threshold","Enter Critical Low in Items",IF(AND($N301&lt;&gt;"",$N301&lt;=0),"Quarantine expired lot",IF(AND($N301&lt;&gt;"",$N301&lt;=Settings!$C$6),"Use or rotate stock now","")))))))</f>
        <v/>
      </c>
    </row>
    <row r="302" spans="1:17" x14ac:dyDescent="0.35">
      <c r="A302" s="18" t="str">
        <f>IF(Items!$A299="","",Items!$A299)</f>
        <v/>
      </c>
      <c r="B302" s="18" t="str">
        <f>IF($A302="","",Items!$B299)</f>
        <v/>
      </c>
      <c r="C302" s="19" t="str">
        <f>IF($A302="","",Items!$G299)</f>
        <v/>
      </c>
      <c r="D302" s="20" t="str">
        <f>IF($A302="","",N(Items!$D299))</f>
        <v/>
      </c>
      <c r="E302" s="23" t="str">
        <f>IF($A302="","",Items!$E299)</f>
        <v/>
      </c>
      <c r="F302" s="23" t="str">
        <f>IF($A302="","",Items!$F299)</f>
        <v/>
      </c>
      <c r="G302" s="26" t="str">
        <f>IF($A302="","",SUMIFS(tblReceipts[Qty Received],tblReceipts[Item Name],$A302))</f>
        <v/>
      </c>
      <c r="H302" s="26" t="str">
        <f>IF($A302="","",SUMIFS(tblIssues[Qty Issued],tblIssues[Item Name],$A302))</f>
        <v/>
      </c>
      <c r="I302" s="27" t="str">
        <f t="shared" si="12"/>
        <v/>
      </c>
      <c r="J302" s="21" t="str">
        <f t="shared" si="13"/>
        <v/>
      </c>
      <c r="K302" s="26" t="str">
        <f>IF($A302="","",COUNTIFS(tblReceipts[Item Name],$A302))</f>
        <v/>
      </c>
      <c r="L302" s="26" t="str">
        <f>IF($A302="","",COUNTIFS(tblLotBalance[Item Name],$A302,tblLotBalance[Lot Balance],"&gt;0"))</f>
        <v/>
      </c>
      <c r="M302" s="24" t="str">
        <f>IF($A302="","",IF($L302=0,"",IFERROR(_xlfn.MINIFS(tblLotBalance[Expiry Date],tblLotBalance[Item Name],$A302,tblLotBalance[Lot Balance],"&gt;0"),"")))</f>
        <v/>
      </c>
      <c r="N302" s="26" t="str">
        <f t="shared" ca="1" si="14"/>
        <v/>
      </c>
      <c r="O302" s="18" t="str" cm="1">
        <f t="array" ref="O302">IF($M302="","",IFERROR(INDEX(tblLotBalance[Lot Number],MATCH(1,INDEX((tblLotBalance[Item Name]=$A302)*(tblLotBalance[Expiry Date]=$M302)*(tblLotBalance[Lot Balance]&gt;0),0),0)),""))</f>
        <v/>
      </c>
      <c r="P302" s="28" t="str">
        <f>IF($A302="","",IF($I302&lt;0,"NEGATIVE",IF(NOT(ISNUMBER($F302)),"Set threshold",IF($I302&lt;=0,"OUT OF STOCK",IF($I302&lt;=$F302,"LOW",IF($I302&lt;=$F302*Settings!$C$7,"WATCH","OK"))))))</f>
        <v/>
      </c>
      <c r="Q302" s="29" t="str">
        <f>IF($A302="","",IF($P302="NEGATIVE","Issued more than received - add the missing receipt",IF($P302="OUT OF STOCK","Reorder immediately",IF($P302="LOW","Raise purchase order",IF($P302="Set threshold","Enter Critical Low in Items",IF(AND($N302&lt;&gt;"",$N302&lt;=0),"Quarantine expired lot",IF(AND($N302&lt;&gt;"",$N302&lt;=Settings!$C$6),"Use or rotate stock now","")))))))</f>
        <v/>
      </c>
    </row>
    <row r="303" spans="1:17" x14ac:dyDescent="0.35">
      <c r="A303" s="18" t="str">
        <f>IF(Items!$A300="","",Items!$A300)</f>
        <v/>
      </c>
      <c r="B303" s="18" t="str">
        <f>IF($A303="","",Items!$B300)</f>
        <v/>
      </c>
      <c r="C303" s="19" t="str">
        <f>IF($A303="","",Items!$G300)</f>
        <v/>
      </c>
      <c r="D303" s="20" t="str">
        <f>IF($A303="","",N(Items!$D300))</f>
        <v/>
      </c>
      <c r="E303" s="23" t="str">
        <f>IF($A303="","",Items!$E300)</f>
        <v/>
      </c>
      <c r="F303" s="23" t="str">
        <f>IF($A303="","",Items!$F300)</f>
        <v/>
      </c>
      <c r="G303" s="26" t="str">
        <f>IF($A303="","",SUMIFS(tblReceipts[Qty Received],tblReceipts[Item Name],$A303))</f>
        <v/>
      </c>
      <c r="H303" s="26" t="str">
        <f>IF($A303="","",SUMIFS(tblIssues[Qty Issued],tblIssues[Item Name],$A303))</f>
        <v/>
      </c>
      <c r="I303" s="27" t="str">
        <f t="shared" si="12"/>
        <v/>
      </c>
      <c r="J303" s="21" t="str">
        <f t="shared" si="13"/>
        <v/>
      </c>
      <c r="K303" s="26" t="str">
        <f>IF($A303="","",COUNTIFS(tblReceipts[Item Name],$A303))</f>
        <v/>
      </c>
      <c r="L303" s="26" t="str">
        <f>IF($A303="","",COUNTIFS(tblLotBalance[Item Name],$A303,tblLotBalance[Lot Balance],"&gt;0"))</f>
        <v/>
      </c>
      <c r="M303" s="24" t="str">
        <f>IF($A303="","",IF($L303=0,"",IFERROR(_xlfn.MINIFS(tblLotBalance[Expiry Date],tblLotBalance[Item Name],$A303,tblLotBalance[Lot Balance],"&gt;0"),"")))</f>
        <v/>
      </c>
      <c r="N303" s="26" t="str">
        <f t="shared" ca="1" si="14"/>
        <v/>
      </c>
      <c r="O303" s="18" t="str" cm="1">
        <f t="array" ref="O303">IF($M303="","",IFERROR(INDEX(tblLotBalance[Lot Number],MATCH(1,INDEX((tblLotBalance[Item Name]=$A303)*(tblLotBalance[Expiry Date]=$M303)*(tblLotBalance[Lot Balance]&gt;0),0),0)),""))</f>
        <v/>
      </c>
      <c r="P303" s="28" t="str">
        <f>IF($A303="","",IF($I303&lt;0,"NEGATIVE",IF(NOT(ISNUMBER($F303)),"Set threshold",IF($I303&lt;=0,"OUT OF STOCK",IF($I303&lt;=$F303,"LOW",IF($I303&lt;=$F303*Settings!$C$7,"WATCH","OK"))))))</f>
        <v/>
      </c>
      <c r="Q303" s="29" t="str">
        <f>IF($A303="","",IF($P303="NEGATIVE","Issued more than received - add the missing receipt",IF($P303="OUT OF STOCK","Reorder immediately",IF($P303="LOW","Raise purchase order",IF($P303="Set threshold","Enter Critical Low in Items",IF(AND($N303&lt;&gt;"",$N303&lt;=0),"Quarantine expired lot",IF(AND($N303&lt;&gt;"",$N303&lt;=Settings!$C$6),"Use or rotate stock now","")))))))</f>
        <v/>
      </c>
    </row>
    <row r="304" spans="1:17" x14ac:dyDescent="0.35">
      <c r="A304" s="18" t="str">
        <f>IF(Items!$A301="","",Items!$A301)</f>
        <v/>
      </c>
      <c r="B304" s="18" t="str">
        <f>IF($A304="","",Items!$B301)</f>
        <v/>
      </c>
      <c r="C304" s="19" t="str">
        <f>IF($A304="","",Items!$G301)</f>
        <v/>
      </c>
      <c r="D304" s="20" t="str">
        <f>IF($A304="","",N(Items!$D301))</f>
        <v/>
      </c>
      <c r="E304" s="23" t="str">
        <f>IF($A304="","",Items!$E301)</f>
        <v/>
      </c>
      <c r="F304" s="23" t="str">
        <f>IF($A304="","",Items!$F301)</f>
        <v/>
      </c>
      <c r="G304" s="26" t="str">
        <f>IF($A304="","",SUMIFS(tblReceipts[Qty Received],tblReceipts[Item Name],$A304))</f>
        <v/>
      </c>
      <c r="H304" s="26" t="str">
        <f>IF($A304="","",SUMIFS(tblIssues[Qty Issued],tblIssues[Item Name],$A304))</f>
        <v/>
      </c>
      <c r="I304" s="27" t="str">
        <f t="shared" si="12"/>
        <v/>
      </c>
      <c r="J304" s="21" t="str">
        <f t="shared" si="13"/>
        <v/>
      </c>
      <c r="K304" s="26" t="str">
        <f>IF($A304="","",COUNTIFS(tblReceipts[Item Name],$A304))</f>
        <v/>
      </c>
      <c r="L304" s="26" t="str">
        <f>IF($A304="","",COUNTIFS(tblLotBalance[Item Name],$A304,tblLotBalance[Lot Balance],"&gt;0"))</f>
        <v/>
      </c>
      <c r="M304" s="24" t="str">
        <f>IF($A304="","",IF($L304=0,"",IFERROR(_xlfn.MINIFS(tblLotBalance[Expiry Date],tblLotBalance[Item Name],$A304,tblLotBalance[Lot Balance],"&gt;0"),"")))</f>
        <v/>
      </c>
      <c r="N304" s="26" t="str">
        <f t="shared" ca="1" si="14"/>
        <v/>
      </c>
      <c r="O304" s="18" t="str" cm="1">
        <f t="array" ref="O304">IF($M304="","",IFERROR(INDEX(tblLotBalance[Lot Number],MATCH(1,INDEX((tblLotBalance[Item Name]=$A304)*(tblLotBalance[Expiry Date]=$M304)*(tblLotBalance[Lot Balance]&gt;0),0),0)),""))</f>
        <v/>
      </c>
      <c r="P304" s="28" t="str">
        <f>IF($A304="","",IF($I304&lt;0,"NEGATIVE",IF(NOT(ISNUMBER($F304)),"Set threshold",IF($I304&lt;=0,"OUT OF STOCK",IF($I304&lt;=$F304,"LOW",IF($I304&lt;=$F304*Settings!$C$7,"WATCH","OK"))))))</f>
        <v/>
      </c>
      <c r="Q304" s="29" t="str">
        <f>IF($A304="","",IF($P304="NEGATIVE","Issued more than received - add the missing receipt",IF($P304="OUT OF STOCK","Reorder immediately",IF($P304="LOW","Raise purchase order",IF($P304="Set threshold","Enter Critical Low in Items",IF(AND($N304&lt;&gt;"",$N304&lt;=0),"Quarantine expired lot",IF(AND($N304&lt;&gt;"",$N304&lt;=Settings!$C$6),"Use or rotate stock now","")))))))</f>
        <v/>
      </c>
    </row>
    <row r="305" spans="1:17" x14ac:dyDescent="0.35">
      <c r="A305" s="18" t="str">
        <f>IF(Items!$A302="","",Items!$A302)</f>
        <v/>
      </c>
      <c r="B305" s="18" t="str">
        <f>IF($A305="","",Items!$B302)</f>
        <v/>
      </c>
      <c r="C305" s="19" t="str">
        <f>IF($A305="","",Items!$G302)</f>
        <v/>
      </c>
      <c r="D305" s="20" t="str">
        <f>IF($A305="","",N(Items!$D302))</f>
        <v/>
      </c>
      <c r="E305" s="23" t="str">
        <f>IF($A305="","",Items!$E302)</f>
        <v/>
      </c>
      <c r="F305" s="23" t="str">
        <f>IF($A305="","",Items!$F302)</f>
        <v/>
      </c>
      <c r="G305" s="26" t="str">
        <f>IF($A305="","",SUMIFS(tblReceipts[Qty Received],tblReceipts[Item Name],$A305))</f>
        <v/>
      </c>
      <c r="H305" s="26" t="str">
        <f>IF($A305="","",SUMIFS(tblIssues[Qty Issued],tblIssues[Item Name],$A305))</f>
        <v/>
      </c>
      <c r="I305" s="27" t="str">
        <f t="shared" si="12"/>
        <v/>
      </c>
      <c r="J305" s="21" t="str">
        <f t="shared" si="13"/>
        <v/>
      </c>
      <c r="K305" s="26" t="str">
        <f>IF($A305="","",COUNTIFS(tblReceipts[Item Name],$A305))</f>
        <v/>
      </c>
      <c r="L305" s="26" t="str">
        <f>IF($A305="","",COUNTIFS(tblLotBalance[Item Name],$A305,tblLotBalance[Lot Balance],"&gt;0"))</f>
        <v/>
      </c>
      <c r="M305" s="24" t="str">
        <f>IF($A305="","",IF($L305=0,"",IFERROR(_xlfn.MINIFS(tblLotBalance[Expiry Date],tblLotBalance[Item Name],$A305,tblLotBalance[Lot Balance],"&gt;0"),"")))</f>
        <v/>
      </c>
      <c r="N305" s="26" t="str">
        <f t="shared" ca="1" si="14"/>
        <v/>
      </c>
      <c r="O305" s="18" t="str" cm="1">
        <f t="array" ref="O305">IF($M305="","",IFERROR(INDEX(tblLotBalance[Lot Number],MATCH(1,INDEX((tblLotBalance[Item Name]=$A305)*(tblLotBalance[Expiry Date]=$M305)*(tblLotBalance[Lot Balance]&gt;0),0),0)),""))</f>
        <v/>
      </c>
      <c r="P305" s="28" t="str">
        <f>IF($A305="","",IF($I305&lt;0,"NEGATIVE",IF(NOT(ISNUMBER($F305)),"Set threshold",IF($I305&lt;=0,"OUT OF STOCK",IF($I305&lt;=$F305,"LOW",IF($I305&lt;=$F305*Settings!$C$7,"WATCH","OK"))))))</f>
        <v/>
      </c>
      <c r="Q305" s="29" t="str">
        <f>IF($A305="","",IF($P305="NEGATIVE","Issued more than received - add the missing receipt",IF($P305="OUT OF STOCK","Reorder immediately",IF($P305="LOW","Raise purchase order",IF($P305="Set threshold","Enter Critical Low in Items",IF(AND($N305&lt;&gt;"",$N305&lt;=0),"Quarantine expired lot",IF(AND($N305&lt;&gt;"",$N305&lt;=Settings!$C$6),"Use or rotate stock now","")))))))</f>
        <v/>
      </c>
    </row>
    <row r="306" spans="1:17" x14ac:dyDescent="0.35">
      <c r="A306" s="18" t="str">
        <f>IF(Items!$A303="","",Items!$A303)</f>
        <v/>
      </c>
      <c r="B306" s="18" t="str">
        <f>IF($A306="","",Items!$B303)</f>
        <v/>
      </c>
      <c r="C306" s="19" t="str">
        <f>IF($A306="","",Items!$G303)</f>
        <v/>
      </c>
      <c r="D306" s="20" t="str">
        <f>IF($A306="","",N(Items!$D303))</f>
        <v/>
      </c>
      <c r="E306" s="23" t="str">
        <f>IF($A306="","",Items!$E303)</f>
        <v/>
      </c>
      <c r="F306" s="23" t="str">
        <f>IF($A306="","",Items!$F303)</f>
        <v/>
      </c>
      <c r="G306" s="26" t="str">
        <f>IF($A306="","",SUMIFS(tblReceipts[Qty Received],tblReceipts[Item Name],$A306))</f>
        <v/>
      </c>
      <c r="H306" s="26" t="str">
        <f>IF($A306="","",SUMIFS(tblIssues[Qty Issued],tblIssues[Item Name],$A306))</f>
        <v/>
      </c>
      <c r="I306" s="27" t="str">
        <f t="shared" si="12"/>
        <v/>
      </c>
      <c r="J306" s="21" t="str">
        <f t="shared" si="13"/>
        <v/>
      </c>
      <c r="K306" s="26" t="str">
        <f>IF($A306="","",COUNTIFS(tblReceipts[Item Name],$A306))</f>
        <v/>
      </c>
      <c r="L306" s="26" t="str">
        <f>IF($A306="","",COUNTIFS(tblLotBalance[Item Name],$A306,tblLotBalance[Lot Balance],"&gt;0"))</f>
        <v/>
      </c>
      <c r="M306" s="24" t="str">
        <f>IF($A306="","",IF($L306=0,"",IFERROR(_xlfn.MINIFS(tblLotBalance[Expiry Date],tblLotBalance[Item Name],$A306,tblLotBalance[Lot Balance],"&gt;0"),"")))</f>
        <v/>
      </c>
      <c r="N306" s="26" t="str">
        <f t="shared" ca="1" si="14"/>
        <v/>
      </c>
      <c r="O306" s="18" t="str" cm="1">
        <f t="array" ref="O306">IF($M306="","",IFERROR(INDEX(tblLotBalance[Lot Number],MATCH(1,INDEX((tblLotBalance[Item Name]=$A306)*(tblLotBalance[Expiry Date]=$M306)*(tblLotBalance[Lot Balance]&gt;0),0),0)),""))</f>
        <v/>
      </c>
      <c r="P306" s="28" t="str">
        <f>IF($A306="","",IF($I306&lt;0,"NEGATIVE",IF(NOT(ISNUMBER($F306)),"Set threshold",IF($I306&lt;=0,"OUT OF STOCK",IF($I306&lt;=$F306,"LOW",IF($I306&lt;=$F306*Settings!$C$7,"WATCH","OK"))))))</f>
        <v/>
      </c>
      <c r="Q306" s="29" t="str">
        <f>IF($A306="","",IF($P306="NEGATIVE","Issued more than received - add the missing receipt",IF($P306="OUT OF STOCK","Reorder immediately",IF($P306="LOW","Raise purchase order",IF($P306="Set threshold","Enter Critical Low in Items",IF(AND($N306&lt;&gt;"",$N306&lt;=0),"Quarantine expired lot",IF(AND($N306&lt;&gt;"",$N306&lt;=Settings!$C$6),"Use or rotate stock now","")))))))</f>
        <v/>
      </c>
    </row>
    <row r="307" spans="1:17" x14ac:dyDescent="0.35">
      <c r="A307" s="18" t="str">
        <f>IF(Items!$A304="","",Items!$A304)</f>
        <v/>
      </c>
      <c r="B307" s="18" t="str">
        <f>IF($A307="","",Items!$B304)</f>
        <v/>
      </c>
      <c r="C307" s="19" t="str">
        <f>IF($A307="","",Items!$G304)</f>
        <v/>
      </c>
      <c r="D307" s="20" t="str">
        <f>IF($A307="","",N(Items!$D304))</f>
        <v/>
      </c>
      <c r="E307" s="23" t="str">
        <f>IF($A307="","",Items!$E304)</f>
        <v/>
      </c>
      <c r="F307" s="23" t="str">
        <f>IF($A307="","",Items!$F304)</f>
        <v/>
      </c>
      <c r="G307" s="26" t="str">
        <f>IF($A307="","",SUMIFS(tblReceipts[Qty Received],tblReceipts[Item Name],$A307))</f>
        <v/>
      </c>
      <c r="H307" s="26" t="str">
        <f>IF($A307="","",SUMIFS(tblIssues[Qty Issued],tblIssues[Item Name],$A307))</f>
        <v/>
      </c>
      <c r="I307" s="27" t="str">
        <f t="shared" si="12"/>
        <v/>
      </c>
      <c r="J307" s="21" t="str">
        <f t="shared" si="13"/>
        <v/>
      </c>
      <c r="K307" s="26" t="str">
        <f>IF($A307="","",COUNTIFS(tblReceipts[Item Name],$A307))</f>
        <v/>
      </c>
      <c r="L307" s="26" t="str">
        <f>IF($A307="","",COUNTIFS(tblLotBalance[Item Name],$A307,tblLotBalance[Lot Balance],"&gt;0"))</f>
        <v/>
      </c>
      <c r="M307" s="24" t="str">
        <f>IF($A307="","",IF($L307=0,"",IFERROR(_xlfn.MINIFS(tblLotBalance[Expiry Date],tblLotBalance[Item Name],$A307,tblLotBalance[Lot Balance],"&gt;0"),"")))</f>
        <v/>
      </c>
      <c r="N307" s="26" t="str">
        <f t="shared" ca="1" si="14"/>
        <v/>
      </c>
      <c r="O307" s="18" t="str" cm="1">
        <f t="array" ref="O307">IF($M307="","",IFERROR(INDEX(tblLotBalance[Lot Number],MATCH(1,INDEX((tblLotBalance[Item Name]=$A307)*(tblLotBalance[Expiry Date]=$M307)*(tblLotBalance[Lot Balance]&gt;0),0),0)),""))</f>
        <v/>
      </c>
      <c r="P307" s="28" t="str">
        <f>IF($A307="","",IF($I307&lt;0,"NEGATIVE",IF(NOT(ISNUMBER($F307)),"Set threshold",IF($I307&lt;=0,"OUT OF STOCK",IF($I307&lt;=$F307,"LOW",IF($I307&lt;=$F307*Settings!$C$7,"WATCH","OK"))))))</f>
        <v/>
      </c>
      <c r="Q307" s="29" t="str">
        <f>IF($A307="","",IF($P307="NEGATIVE","Issued more than received - add the missing receipt",IF($P307="OUT OF STOCK","Reorder immediately",IF($P307="LOW","Raise purchase order",IF($P307="Set threshold","Enter Critical Low in Items",IF(AND($N307&lt;&gt;"",$N307&lt;=0),"Quarantine expired lot",IF(AND($N307&lt;&gt;"",$N307&lt;=Settings!$C$6),"Use or rotate stock now","")))))))</f>
        <v/>
      </c>
    </row>
    <row r="308" spans="1:17" x14ac:dyDescent="0.35">
      <c r="A308" s="18" t="str">
        <f>IF(Items!$A305="","",Items!$A305)</f>
        <v/>
      </c>
      <c r="B308" s="18" t="str">
        <f>IF($A308="","",Items!$B305)</f>
        <v/>
      </c>
      <c r="C308" s="19" t="str">
        <f>IF($A308="","",Items!$G305)</f>
        <v/>
      </c>
      <c r="D308" s="20" t="str">
        <f>IF($A308="","",N(Items!$D305))</f>
        <v/>
      </c>
      <c r="E308" s="23" t="str">
        <f>IF($A308="","",Items!$E305)</f>
        <v/>
      </c>
      <c r="F308" s="23" t="str">
        <f>IF($A308="","",Items!$F305)</f>
        <v/>
      </c>
      <c r="G308" s="26" t="str">
        <f>IF($A308="","",SUMIFS(tblReceipts[Qty Received],tblReceipts[Item Name],$A308))</f>
        <v/>
      </c>
      <c r="H308" s="26" t="str">
        <f>IF($A308="","",SUMIFS(tblIssues[Qty Issued],tblIssues[Item Name],$A308))</f>
        <v/>
      </c>
      <c r="I308" s="27" t="str">
        <f t="shared" si="12"/>
        <v/>
      </c>
      <c r="J308" s="21" t="str">
        <f t="shared" si="13"/>
        <v/>
      </c>
      <c r="K308" s="26" t="str">
        <f>IF($A308="","",COUNTIFS(tblReceipts[Item Name],$A308))</f>
        <v/>
      </c>
      <c r="L308" s="26" t="str">
        <f>IF($A308="","",COUNTIFS(tblLotBalance[Item Name],$A308,tblLotBalance[Lot Balance],"&gt;0"))</f>
        <v/>
      </c>
      <c r="M308" s="24" t="str">
        <f>IF($A308="","",IF($L308=0,"",IFERROR(_xlfn.MINIFS(tblLotBalance[Expiry Date],tblLotBalance[Item Name],$A308,tblLotBalance[Lot Balance],"&gt;0"),"")))</f>
        <v/>
      </c>
      <c r="N308" s="26" t="str">
        <f t="shared" ca="1" si="14"/>
        <v/>
      </c>
      <c r="O308" s="18" t="str" cm="1">
        <f t="array" ref="O308">IF($M308="","",IFERROR(INDEX(tblLotBalance[Lot Number],MATCH(1,INDEX((tblLotBalance[Item Name]=$A308)*(tblLotBalance[Expiry Date]=$M308)*(tblLotBalance[Lot Balance]&gt;0),0),0)),""))</f>
        <v/>
      </c>
      <c r="P308" s="28" t="str">
        <f>IF($A308="","",IF($I308&lt;0,"NEGATIVE",IF(NOT(ISNUMBER($F308)),"Set threshold",IF($I308&lt;=0,"OUT OF STOCK",IF($I308&lt;=$F308,"LOW",IF($I308&lt;=$F308*Settings!$C$7,"WATCH","OK"))))))</f>
        <v/>
      </c>
      <c r="Q308" s="29" t="str">
        <f>IF($A308="","",IF($P308="NEGATIVE","Issued more than received - add the missing receipt",IF($P308="OUT OF STOCK","Reorder immediately",IF($P308="LOW","Raise purchase order",IF($P308="Set threshold","Enter Critical Low in Items",IF(AND($N308&lt;&gt;"",$N308&lt;=0),"Quarantine expired lot",IF(AND($N308&lt;&gt;"",$N308&lt;=Settings!$C$6),"Use or rotate stock now","")))))))</f>
        <v/>
      </c>
    </row>
    <row r="309" spans="1:17" x14ac:dyDescent="0.35">
      <c r="A309" s="18" t="str">
        <f>IF(Items!$A306="","",Items!$A306)</f>
        <v/>
      </c>
      <c r="B309" s="18" t="str">
        <f>IF($A309="","",Items!$B306)</f>
        <v/>
      </c>
      <c r="C309" s="19" t="str">
        <f>IF($A309="","",Items!$G306)</f>
        <v/>
      </c>
      <c r="D309" s="20" t="str">
        <f>IF($A309="","",N(Items!$D306))</f>
        <v/>
      </c>
      <c r="E309" s="23" t="str">
        <f>IF($A309="","",Items!$E306)</f>
        <v/>
      </c>
      <c r="F309" s="23" t="str">
        <f>IF($A309="","",Items!$F306)</f>
        <v/>
      </c>
      <c r="G309" s="26" t="str">
        <f>IF($A309="","",SUMIFS(tblReceipts[Qty Received],tblReceipts[Item Name],$A309))</f>
        <v/>
      </c>
      <c r="H309" s="26" t="str">
        <f>IF($A309="","",SUMIFS(tblIssues[Qty Issued],tblIssues[Item Name],$A309))</f>
        <v/>
      </c>
      <c r="I309" s="27" t="str">
        <f t="shared" si="12"/>
        <v/>
      </c>
      <c r="J309" s="21" t="str">
        <f t="shared" si="13"/>
        <v/>
      </c>
      <c r="K309" s="26" t="str">
        <f>IF($A309="","",COUNTIFS(tblReceipts[Item Name],$A309))</f>
        <v/>
      </c>
      <c r="L309" s="26" t="str">
        <f>IF($A309="","",COUNTIFS(tblLotBalance[Item Name],$A309,tblLotBalance[Lot Balance],"&gt;0"))</f>
        <v/>
      </c>
      <c r="M309" s="24" t="str">
        <f>IF($A309="","",IF($L309=0,"",IFERROR(_xlfn.MINIFS(tblLotBalance[Expiry Date],tblLotBalance[Item Name],$A309,tblLotBalance[Lot Balance],"&gt;0"),"")))</f>
        <v/>
      </c>
      <c r="N309" s="26" t="str">
        <f t="shared" ca="1" si="14"/>
        <v/>
      </c>
      <c r="O309" s="18" t="str" cm="1">
        <f t="array" ref="O309">IF($M309="","",IFERROR(INDEX(tblLotBalance[Lot Number],MATCH(1,INDEX((tblLotBalance[Item Name]=$A309)*(tblLotBalance[Expiry Date]=$M309)*(tblLotBalance[Lot Balance]&gt;0),0),0)),""))</f>
        <v/>
      </c>
      <c r="P309" s="28" t="str">
        <f>IF($A309="","",IF($I309&lt;0,"NEGATIVE",IF(NOT(ISNUMBER($F309)),"Set threshold",IF($I309&lt;=0,"OUT OF STOCK",IF($I309&lt;=$F309,"LOW",IF($I309&lt;=$F309*Settings!$C$7,"WATCH","OK"))))))</f>
        <v/>
      </c>
      <c r="Q309" s="29" t="str">
        <f>IF($A309="","",IF($P309="NEGATIVE","Issued more than received - add the missing receipt",IF($P309="OUT OF STOCK","Reorder immediately",IF($P309="LOW","Raise purchase order",IF($P309="Set threshold","Enter Critical Low in Items",IF(AND($N309&lt;&gt;"",$N309&lt;=0),"Quarantine expired lot",IF(AND($N309&lt;&gt;"",$N309&lt;=Settings!$C$6),"Use or rotate stock now","")))))))</f>
        <v/>
      </c>
    </row>
    <row r="310" spans="1:17" x14ac:dyDescent="0.35">
      <c r="A310" s="18" t="str">
        <f>IF(Items!$A307="","",Items!$A307)</f>
        <v/>
      </c>
      <c r="B310" s="18" t="str">
        <f>IF($A310="","",Items!$B307)</f>
        <v/>
      </c>
      <c r="C310" s="19" t="str">
        <f>IF($A310="","",Items!$G307)</f>
        <v/>
      </c>
      <c r="D310" s="20" t="str">
        <f>IF($A310="","",N(Items!$D307))</f>
        <v/>
      </c>
      <c r="E310" s="23" t="str">
        <f>IF($A310="","",Items!$E307)</f>
        <v/>
      </c>
      <c r="F310" s="23" t="str">
        <f>IF($A310="","",Items!$F307)</f>
        <v/>
      </c>
      <c r="G310" s="26" t="str">
        <f>IF($A310="","",SUMIFS(tblReceipts[Qty Received],tblReceipts[Item Name],$A310))</f>
        <v/>
      </c>
      <c r="H310" s="26" t="str">
        <f>IF($A310="","",SUMIFS(tblIssues[Qty Issued],tblIssues[Item Name],$A310))</f>
        <v/>
      </c>
      <c r="I310" s="27" t="str">
        <f t="shared" si="12"/>
        <v/>
      </c>
      <c r="J310" s="21" t="str">
        <f t="shared" si="13"/>
        <v/>
      </c>
      <c r="K310" s="26" t="str">
        <f>IF($A310="","",COUNTIFS(tblReceipts[Item Name],$A310))</f>
        <v/>
      </c>
      <c r="L310" s="26" t="str">
        <f>IF($A310="","",COUNTIFS(tblLotBalance[Item Name],$A310,tblLotBalance[Lot Balance],"&gt;0"))</f>
        <v/>
      </c>
      <c r="M310" s="24" t="str">
        <f>IF($A310="","",IF($L310=0,"",IFERROR(_xlfn.MINIFS(tblLotBalance[Expiry Date],tblLotBalance[Item Name],$A310,tblLotBalance[Lot Balance],"&gt;0"),"")))</f>
        <v/>
      </c>
      <c r="N310" s="26" t="str">
        <f t="shared" ca="1" si="14"/>
        <v/>
      </c>
      <c r="O310" s="18" t="str" cm="1">
        <f t="array" ref="O310">IF($M310="","",IFERROR(INDEX(tblLotBalance[Lot Number],MATCH(1,INDEX((tblLotBalance[Item Name]=$A310)*(tblLotBalance[Expiry Date]=$M310)*(tblLotBalance[Lot Balance]&gt;0),0),0)),""))</f>
        <v/>
      </c>
      <c r="P310" s="28" t="str">
        <f>IF($A310="","",IF($I310&lt;0,"NEGATIVE",IF(NOT(ISNUMBER($F310)),"Set threshold",IF($I310&lt;=0,"OUT OF STOCK",IF($I310&lt;=$F310,"LOW",IF($I310&lt;=$F310*Settings!$C$7,"WATCH","OK"))))))</f>
        <v/>
      </c>
      <c r="Q310" s="29" t="str">
        <f>IF($A310="","",IF($P310="NEGATIVE","Issued more than received - add the missing receipt",IF($P310="OUT OF STOCK","Reorder immediately",IF($P310="LOW","Raise purchase order",IF($P310="Set threshold","Enter Critical Low in Items",IF(AND($N310&lt;&gt;"",$N310&lt;=0),"Quarantine expired lot",IF(AND($N310&lt;&gt;"",$N310&lt;=Settings!$C$6),"Use or rotate stock now","")))))))</f>
        <v/>
      </c>
    </row>
    <row r="311" spans="1:17" x14ac:dyDescent="0.35">
      <c r="A311" s="18" t="str">
        <f>IF(Items!$A308="","",Items!$A308)</f>
        <v/>
      </c>
      <c r="B311" s="18" t="str">
        <f>IF($A311="","",Items!$B308)</f>
        <v/>
      </c>
      <c r="C311" s="19" t="str">
        <f>IF($A311="","",Items!$G308)</f>
        <v/>
      </c>
      <c r="D311" s="20" t="str">
        <f>IF($A311="","",N(Items!$D308))</f>
        <v/>
      </c>
      <c r="E311" s="23" t="str">
        <f>IF($A311="","",Items!$E308)</f>
        <v/>
      </c>
      <c r="F311" s="23" t="str">
        <f>IF($A311="","",Items!$F308)</f>
        <v/>
      </c>
      <c r="G311" s="26" t="str">
        <f>IF($A311="","",SUMIFS(tblReceipts[Qty Received],tblReceipts[Item Name],$A311))</f>
        <v/>
      </c>
      <c r="H311" s="26" t="str">
        <f>IF($A311="","",SUMIFS(tblIssues[Qty Issued],tblIssues[Item Name],$A311))</f>
        <v/>
      </c>
      <c r="I311" s="27" t="str">
        <f t="shared" si="12"/>
        <v/>
      </c>
      <c r="J311" s="21" t="str">
        <f t="shared" si="13"/>
        <v/>
      </c>
      <c r="K311" s="26" t="str">
        <f>IF($A311="","",COUNTIFS(tblReceipts[Item Name],$A311))</f>
        <v/>
      </c>
      <c r="L311" s="26" t="str">
        <f>IF($A311="","",COUNTIFS(tblLotBalance[Item Name],$A311,tblLotBalance[Lot Balance],"&gt;0"))</f>
        <v/>
      </c>
      <c r="M311" s="24" t="str">
        <f>IF($A311="","",IF($L311=0,"",IFERROR(_xlfn.MINIFS(tblLotBalance[Expiry Date],tblLotBalance[Item Name],$A311,tblLotBalance[Lot Balance],"&gt;0"),"")))</f>
        <v/>
      </c>
      <c r="N311" s="26" t="str">
        <f t="shared" ca="1" si="14"/>
        <v/>
      </c>
      <c r="O311" s="18" t="str" cm="1">
        <f t="array" ref="O311">IF($M311="","",IFERROR(INDEX(tblLotBalance[Lot Number],MATCH(1,INDEX((tblLotBalance[Item Name]=$A311)*(tblLotBalance[Expiry Date]=$M311)*(tblLotBalance[Lot Balance]&gt;0),0),0)),""))</f>
        <v/>
      </c>
      <c r="P311" s="28" t="str">
        <f>IF($A311="","",IF($I311&lt;0,"NEGATIVE",IF(NOT(ISNUMBER($F311)),"Set threshold",IF($I311&lt;=0,"OUT OF STOCK",IF($I311&lt;=$F311,"LOW",IF($I311&lt;=$F311*Settings!$C$7,"WATCH","OK"))))))</f>
        <v/>
      </c>
      <c r="Q311" s="29" t="str">
        <f>IF($A311="","",IF($P311="NEGATIVE","Issued more than received - add the missing receipt",IF($P311="OUT OF STOCK","Reorder immediately",IF($P311="LOW","Raise purchase order",IF($P311="Set threshold","Enter Critical Low in Items",IF(AND($N311&lt;&gt;"",$N311&lt;=0),"Quarantine expired lot",IF(AND($N311&lt;&gt;"",$N311&lt;=Settings!$C$6),"Use or rotate stock now","")))))))</f>
        <v/>
      </c>
    </row>
    <row r="312" spans="1:17" x14ac:dyDescent="0.35">
      <c r="A312" s="18" t="str">
        <f>IF(Items!$A309="","",Items!$A309)</f>
        <v/>
      </c>
      <c r="B312" s="18" t="str">
        <f>IF($A312="","",Items!$B309)</f>
        <v/>
      </c>
      <c r="C312" s="19" t="str">
        <f>IF($A312="","",Items!$G309)</f>
        <v/>
      </c>
      <c r="D312" s="20" t="str">
        <f>IF($A312="","",N(Items!$D309))</f>
        <v/>
      </c>
      <c r="E312" s="23" t="str">
        <f>IF($A312="","",Items!$E309)</f>
        <v/>
      </c>
      <c r="F312" s="23" t="str">
        <f>IF($A312="","",Items!$F309)</f>
        <v/>
      </c>
      <c r="G312" s="26" t="str">
        <f>IF($A312="","",SUMIFS(tblReceipts[Qty Received],tblReceipts[Item Name],$A312))</f>
        <v/>
      </c>
      <c r="H312" s="26" t="str">
        <f>IF($A312="","",SUMIFS(tblIssues[Qty Issued],tblIssues[Item Name],$A312))</f>
        <v/>
      </c>
      <c r="I312" s="27" t="str">
        <f t="shared" si="12"/>
        <v/>
      </c>
      <c r="J312" s="21" t="str">
        <f t="shared" si="13"/>
        <v/>
      </c>
      <c r="K312" s="26" t="str">
        <f>IF($A312="","",COUNTIFS(tblReceipts[Item Name],$A312))</f>
        <v/>
      </c>
      <c r="L312" s="26" t="str">
        <f>IF($A312="","",COUNTIFS(tblLotBalance[Item Name],$A312,tblLotBalance[Lot Balance],"&gt;0"))</f>
        <v/>
      </c>
      <c r="M312" s="24" t="str">
        <f>IF($A312="","",IF($L312=0,"",IFERROR(_xlfn.MINIFS(tblLotBalance[Expiry Date],tblLotBalance[Item Name],$A312,tblLotBalance[Lot Balance],"&gt;0"),"")))</f>
        <v/>
      </c>
      <c r="N312" s="26" t="str">
        <f t="shared" ca="1" si="14"/>
        <v/>
      </c>
      <c r="O312" s="18" t="str" cm="1">
        <f t="array" ref="O312">IF($M312="","",IFERROR(INDEX(tblLotBalance[Lot Number],MATCH(1,INDEX((tblLotBalance[Item Name]=$A312)*(tblLotBalance[Expiry Date]=$M312)*(tblLotBalance[Lot Balance]&gt;0),0),0)),""))</f>
        <v/>
      </c>
      <c r="P312" s="28" t="str">
        <f>IF($A312="","",IF($I312&lt;0,"NEGATIVE",IF(NOT(ISNUMBER($F312)),"Set threshold",IF($I312&lt;=0,"OUT OF STOCK",IF($I312&lt;=$F312,"LOW",IF($I312&lt;=$F312*Settings!$C$7,"WATCH","OK"))))))</f>
        <v/>
      </c>
      <c r="Q312" s="29" t="str">
        <f>IF($A312="","",IF($P312="NEGATIVE","Issued more than received - add the missing receipt",IF($P312="OUT OF STOCK","Reorder immediately",IF($P312="LOW","Raise purchase order",IF($P312="Set threshold","Enter Critical Low in Items",IF(AND($N312&lt;&gt;"",$N312&lt;=0),"Quarantine expired lot",IF(AND($N312&lt;&gt;"",$N312&lt;=Settings!$C$6),"Use or rotate stock now","")))))))</f>
        <v/>
      </c>
    </row>
    <row r="313" spans="1:17" x14ac:dyDescent="0.35">
      <c r="A313" s="18" t="str">
        <f>IF(Items!$A310="","",Items!$A310)</f>
        <v/>
      </c>
      <c r="B313" s="18" t="str">
        <f>IF($A313="","",Items!$B310)</f>
        <v/>
      </c>
      <c r="C313" s="19" t="str">
        <f>IF($A313="","",Items!$G310)</f>
        <v/>
      </c>
      <c r="D313" s="20" t="str">
        <f>IF($A313="","",N(Items!$D310))</f>
        <v/>
      </c>
      <c r="E313" s="23" t="str">
        <f>IF($A313="","",Items!$E310)</f>
        <v/>
      </c>
      <c r="F313" s="23" t="str">
        <f>IF($A313="","",Items!$F310)</f>
        <v/>
      </c>
      <c r="G313" s="26" t="str">
        <f>IF($A313="","",SUMIFS(tblReceipts[Qty Received],tblReceipts[Item Name],$A313))</f>
        <v/>
      </c>
      <c r="H313" s="26" t="str">
        <f>IF($A313="","",SUMIFS(tblIssues[Qty Issued],tblIssues[Item Name],$A313))</f>
        <v/>
      </c>
      <c r="I313" s="27" t="str">
        <f t="shared" si="12"/>
        <v/>
      </c>
      <c r="J313" s="21" t="str">
        <f t="shared" si="13"/>
        <v/>
      </c>
      <c r="K313" s="26" t="str">
        <f>IF($A313="","",COUNTIFS(tblReceipts[Item Name],$A313))</f>
        <v/>
      </c>
      <c r="L313" s="26" t="str">
        <f>IF($A313="","",COUNTIFS(tblLotBalance[Item Name],$A313,tblLotBalance[Lot Balance],"&gt;0"))</f>
        <v/>
      </c>
      <c r="M313" s="24" t="str">
        <f>IF($A313="","",IF($L313=0,"",IFERROR(_xlfn.MINIFS(tblLotBalance[Expiry Date],tblLotBalance[Item Name],$A313,tblLotBalance[Lot Balance],"&gt;0"),"")))</f>
        <v/>
      </c>
      <c r="N313" s="26" t="str">
        <f t="shared" ca="1" si="14"/>
        <v/>
      </c>
      <c r="O313" s="18" t="str" cm="1">
        <f t="array" ref="O313">IF($M313="","",IFERROR(INDEX(tblLotBalance[Lot Number],MATCH(1,INDEX((tblLotBalance[Item Name]=$A313)*(tblLotBalance[Expiry Date]=$M313)*(tblLotBalance[Lot Balance]&gt;0),0),0)),""))</f>
        <v/>
      </c>
      <c r="P313" s="28" t="str">
        <f>IF($A313="","",IF($I313&lt;0,"NEGATIVE",IF(NOT(ISNUMBER($F313)),"Set threshold",IF($I313&lt;=0,"OUT OF STOCK",IF($I313&lt;=$F313,"LOW",IF($I313&lt;=$F313*Settings!$C$7,"WATCH","OK"))))))</f>
        <v/>
      </c>
      <c r="Q313" s="29" t="str">
        <f>IF($A313="","",IF($P313="NEGATIVE","Issued more than received - add the missing receipt",IF($P313="OUT OF STOCK","Reorder immediately",IF($P313="LOW","Raise purchase order",IF($P313="Set threshold","Enter Critical Low in Items",IF(AND($N313&lt;&gt;"",$N313&lt;=0),"Quarantine expired lot",IF(AND($N313&lt;&gt;"",$N313&lt;=Settings!$C$6),"Use or rotate stock now","")))))))</f>
        <v/>
      </c>
    </row>
    <row r="314" spans="1:17" x14ac:dyDescent="0.35">
      <c r="A314" s="18" t="str">
        <f>IF(Items!$A311="","",Items!$A311)</f>
        <v/>
      </c>
      <c r="B314" s="18" t="str">
        <f>IF($A314="","",Items!$B311)</f>
        <v/>
      </c>
      <c r="C314" s="19" t="str">
        <f>IF($A314="","",Items!$G311)</f>
        <v/>
      </c>
      <c r="D314" s="20" t="str">
        <f>IF($A314="","",N(Items!$D311))</f>
        <v/>
      </c>
      <c r="E314" s="23" t="str">
        <f>IF($A314="","",Items!$E311)</f>
        <v/>
      </c>
      <c r="F314" s="23" t="str">
        <f>IF($A314="","",Items!$F311)</f>
        <v/>
      </c>
      <c r="G314" s="26" t="str">
        <f>IF($A314="","",SUMIFS(tblReceipts[Qty Received],tblReceipts[Item Name],$A314))</f>
        <v/>
      </c>
      <c r="H314" s="26" t="str">
        <f>IF($A314="","",SUMIFS(tblIssues[Qty Issued],tblIssues[Item Name],$A314))</f>
        <v/>
      </c>
      <c r="I314" s="27" t="str">
        <f t="shared" si="12"/>
        <v/>
      </c>
      <c r="J314" s="21" t="str">
        <f t="shared" si="13"/>
        <v/>
      </c>
      <c r="K314" s="26" t="str">
        <f>IF($A314="","",COUNTIFS(tblReceipts[Item Name],$A314))</f>
        <v/>
      </c>
      <c r="L314" s="26" t="str">
        <f>IF($A314="","",COUNTIFS(tblLotBalance[Item Name],$A314,tblLotBalance[Lot Balance],"&gt;0"))</f>
        <v/>
      </c>
      <c r="M314" s="24" t="str">
        <f>IF($A314="","",IF($L314=0,"",IFERROR(_xlfn.MINIFS(tblLotBalance[Expiry Date],tblLotBalance[Item Name],$A314,tblLotBalance[Lot Balance],"&gt;0"),"")))</f>
        <v/>
      </c>
      <c r="N314" s="26" t="str">
        <f t="shared" ca="1" si="14"/>
        <v/>
      </c>
      <c r="O314" s="18" t="str" cm="1">
        <f t="array" ref="O314">IF($M314="","",IFERROR(INDEX(tblLotBalance[Lot Number],MATCH(1,INDEX((tblLotBalance[Item Name]=$A314)*(tblLotBalance[Expiry Date]=$M314)*(tblLotBalance[Lot Balance]&gt;0),0),0)),""))</f>
        <v/>
      </c>
      <c r="P314" s="28" t="str">
        <f>IF($A314="","",IF($I314&lt;0,"NEGATIVE",IF(NOT(ISNUMBER($F314)),"Set threshold",IF($I314&lt;=0,"OUT OF STOCK",IF($I314&lt;=$F314,"LOW",IF($I314&lt;=$F314*Settings!$C$7,"WATCH","OK"))))))</f>
        <v/>
      </c>
      <c r="Q314" s="29" t="str">
        <f>IF($A314="","",IF($P314="NEGATIVE","Issued more than received - add the missing receipt",IF($P314="OUT OF STOCK","Reorder immediately",IF($P314="LOW","Raise purchase order",IF($P314="Set threshold","Enter Critical Low in Items",IF(AND($N314&lt;&gt;"",$N314&lt;=0),"Quarantine expired lot",IF(AND($N314&lt;&gt;"",$N314&lt;=Settings!$C$6),"Use or rotate stock now","")))))))</f>
        <v/>
      </c>
    </row>
    <row r="315" spans="1:17" x14ac:dyDescent="0.35">
      <c r="A315" s="18" t="str">
        <f>IF(Items!$A312="","",Items!$A312)</f>
        <v/>
      </c>
      <c r="B315" s="18" t="str">
        <f>IF($A315="","",Items!$B312)</f>
        <v/>
      </c>
      <c r="C315" s="19" t="str">
        <f>IF($A315="","",Items!$G312)</f>
        <v/>
      </c>
      <c r="D315" s="20" t="str">
        <f>IF($A315="","",N(Items!$D312))</f>
        <v/>
      </c>
      <c r="E315" s="23" t="str">
        <f>IF($A315="","",Items!$E312)</f>
        <v/>
      </c>
      <c r="F315" s="23" t="str">
        <f>IF($A315="","",Items!$F312)</f>
        <v/>
      </c>
      <c r="G315" s="26" t="str">
        <f>IF($A315="","",SUMIFS(tblReceipts[Qty Received],tblReceipts[Item Name],$A315))</f>
        <v/>
      </c>
      <c r="H315" s="26" t="str">
        <f>IF($A315="","",SUMIFS(tblIssues[Qty Issued],tblIssues[Item Name],$A315))</f>
        <v/>
      </c>
      <c r="I315" s="27" t="str">
        <f t="shared" si="12"/>
        <v/>
      </c>
      <c r="J315" s="21" t="str">
        <f t="shared" si="13"/>
        <v/>
      </c>
      <c r="K315" s="26" t="str">
        <f>IF($A315="","",COUNTIFS(tblReceipts[Item Name],$A315))</f>
        <v/>
      </c>
      <c r="L315" s="26" t="str">
        <f>IF($A315="","",COUNTIFS(tblLotBalance[Item Name],$A315,tblLotBalance[Lot Balance],"&gt;0"))</f>
        <v/>
      </c>
      <c r="M315" s="24" t="str">
        <f>IF($A315="","",IF($L315=0,"",IFERROR(_xlfn.MINIFS(tblLotBalance[Expiry Date],tblLotBalance[Item Name],$A315,tblLotBalance[Lot Balance],"&gt;0"),"")))</f>
        <v/>
      </c>
      <c r="N315" s="26" t="str">
        <f t="shared" ca="1" si="14"/>
        <v/>
      </c>
      <c r="O315" s="18" t="str" cm="1">
        <f t="array" ref="O315">IF($M315="","",IFERROR(INDEX(tblLotBalance[Lot Number],MATCH(1,INDEX((tblLotBalance[Item Name]=$A315)*(tblLotBalance[Expiry Date]=$M315)*(tblLotBalance[Lot Balance]&gt;0),0),0)),""))</f>
        <v/>
      </c>
      <c r="P315" s="28" t="str">
        <f>IF($A315="","",IF($I315&lt;0,"NEGATIVE",IF(NOT(ISNUMBER($F315)),"Set threshold",IF($I315&lt;=0,"OUT OF STOCK",IF($I315&lt;=$F315,"LOW",IF($I315&lt;=$F315*Settings!$C$7,"WATCH","OK"))))))</f>
        <v/>
      </c>
      <c r="Q315" s="29" t="str">
        <f>IF($A315="","",IF($P315="NEGATIVE","Issued more than received - add the missing receipt",IF($P315="OUT OF STOCK","Reorder immediately",IF($P315="LOW","Raise purchase order",IF($P315="Set threshold","Enter Critical Low in Items",IF(AND($N315&lt;&gt;"",$N315&lt;=0),"Quarantine expired lot",IF(AND($N315&lt;&gt;"",$N315&lt;=Settings!$C$6),"Use or rotate stock now","")))))))</f>
        <v/>
      </c>
    </row>
    <row r="316" spans="1:17" x14ac:dyDescent="0.35">
      <c r="A316" s="18" t="str">
        <f>IF(Items!$A313="","",Items!$A313)</f>
        <v/>
      </c>
      <c r="B316" s="18" t="str">
        <f>IF($A316="","",Items!$B313)</f>
        <v/>
      </c>
      <c r="C316" s="19" t="str">
        <f>IF($A316="","",Items!$G313)</f>
        <v/>
      </c>
      <c r="D316" s="20" t="str">
        <f>IF($A316="","",N(Items!$D313))</f>
        <v/>
      </c>
      <c r="E316" s="23" t="str">
        <f>IF($A316="","",Items!$E313)</f>
        <v/>
      </c>
      <c r="F316" s="23" t="str">
        <f>IF($A316="","",Items!$F313)</f>
        <v/>
      </c>
      <c r="G316" s="26" t="str">
        <f>IF($A316="","",SUMIFS(tblReceipts[Qty Received],tblReceipts[Item Name],$A316))</f>
        <v/>
      </c>
      <c r="H316" s="26" t="str">
        <f>IF($A316="","",SUMIFS(tblIssues[Qty Issued],tblIssues[Item Name],$A316))</f>
        <v/>
      </c>
      <c r="I316" s="27" t="str">
        <f t="shared" si="12"/>
        <v/>
      </c>
      <c r="J316" s="21" t="str">
        <f t="shared" si="13"/>
        <v/>
      </c>
      <c r="K316" s="26" t="str">
        <f>IF($A316="","",COUNTIFS(tblReceipts[Item Name],$A316))</f>
        <v/>
      </c>
      <c r="L316" s="26" t="str">
        <f>IF($A316="","",COUNTIFS(tblLotBalance[Item Name],$A316,tblLotBalance[Lot Balance],"&gt;0"))</f>
        <v/>
      </c>
      <c r="M316" s="24" t="str">
        <f>IF($A316="","",IF($L316=0,"",IFERROR(_xlfn.MINIFS(tblLotBalance[Expiry Date],tblLotBalance[Item Name],$A316,tblLotBalance[Lot Balance],"&gt;0"),"")))</f>
        <v/>
      </c>
      <c r="N316" s="26" t="str">
        <f t="shared" ca="1" si="14"/>
        <v/>
      </c>
      <c r="O316" s="18" t="str" cm="1">
        <f t="array" ref="O316">IF($M316="","",IFERROR(INDEX(tblLotBalance[Lot Number],MATCH(1,INDEX((tblLotBalance[Item Name]=$A316)*(tblLotBalance[Expiry Date]=$M316)*(tblLotBalance[Lot Balance]&gt;0),0),0)),""))</f>
        <v/>
      </c>
      <c r="P316" s="28" t="str">
        <f>IF($A316="","",IF($I316&lt;0,"NEGATIVE",IF(NOT(ISNUMBER($F316)),"Set threshold",IF($I316&lt;=0,"OUT OF STOCK",IF($I316&lt;=$F316,"LOW",IF($I316&lt;=$F316*Settings!$C$7,"WATCH","OK"))))))</f>
        <v/>
      </c>
      <c r="Q316" s="29" t="str">
        <f>IF($A316="","",IF($P316="NEGATIVE","Issued more than received - add the missing receipt",IF($P316="OUT OF STOCK","Reorder immediately",IF($P316="LOW","Raise purchase order",IF($P316="Set threshold","Enter Critical Low in Items",IF(AND($N316&lt;&gt;"",$N316&lt;=0),"Quarantine expired lot",IF(AND($N316&lt;&gt;"",$N316&lt;=Settings!$C$6),"Use or rotate stock now","")))))))</f>
        <v/>
      </c>
    </row>
    <row r="317" spans="1:17" x14ac:dyDescent="0.35">
      <c r="A317" s="18" t="str">
        <f>IF(Items!$A314="","",Items!$A314)</f>
        <v/>
      </c>
      <c r="B317" s="18" t="str">
        <f>IF($A317="","",Items!$B314)</f>
        <v/>
      </c>
      <c r="C317" s="19" t="str">
        <f>IF($A317="","",Items!$G314)</f>
        <v/>
      </c>
      <c r="D317" s="20" t="str">
        <f>IF($A317="","",N(Items!$D314))</f>
        <v/>
      </c>
      <c r="E317" s="23" t="str">
        <f>IF($A317="","",Items!$E314)</f>
        <v/>
      </c>
      <c r="F317" s="23" t="str">
        <f>IF($A317="","",Items!$F314)</f>
        <v/>
      </c>
      <c r="G317" s="26" t="str">
        <f>IF($A317="","",SUMIFS(tblReceipts[Qty Received],tblReceipts[Item Name],$A317))</f>
        <v/>
      </c>
      <c r="H317" s="26" t="str">
        <f>IF($A317="","",SUMIFS(tblIssues[Qty Issued],tblIssues[Item Name],$A317))</f>
        <v/>
      </c>
      <c r="I317" s="27" t="str">
        <f t="shared" si="12"/>
        <v/>
      </c>
      <c r="J317" s="21" t="str">
        <f t="shared" si="13"/>
        <v/>
      </c>
      <c r="K317" s="26" t="str">
        <f>IF($A317="","",COUNTIFS(tblReceipts[Item Name],$A317))</f>
        <v/>
      </c>
      <c r="L317" s="26" t="str">
        <f>IF($A317="","",COUNTIFS(tblLotBalance[Item Name],$A317,tblLotBalance[Lot Balance],"&gt;0"))</f>
        <v/>
      </c>
      <c r="M317" s="24" t="str">
        <f>IF($A317="","",IF($L317=0,"",IFERROR(_xlfn.MINIFS(tblLotBalance[Expiry Date],tblLotBalance[Item Name],$A317,tblLotBalance[Lot Balance],"&gt;0"),"")))</f>
        <v/>
      </c>
      <c r="N317" s="26" t="str">
        <f t="shared" ca="1" si="14"/>
        <v/>
      </c>
      <c r="O317" s="18" t="str" cm="1">
        <f t="array" ref="O317">IF($M317="","",IFERROR(INDEX(tblLotBalance[Lot Number],MATCH(1,INDEX((tblLotBalance[Item Name]=$A317)*(tblLotBalance[Expiry Date]=$M317)*(tblLotBalance[Lot Balance]&gt;0),0),0)),""))</f>
        <v/>
      </c>
      <c r="P317" s="28" t="str">
        <f>IF($A317="","",IF($I317&lt;0,"NEGATIVE",IF(NOT(ISNUMBER($F317)),"Set threshold",IF($I317&lt;=0,"OUT OF STOCK",IF($I317&lt;=$F317,"LOW",IF($I317&lt;=$F317*Settings!$C$7,"WATCH","OK"))))))</f>
        <v/>
      </c>
      <c r="Q317" s="29" t="str">
        <f>IF($A317="","",IF($P317="NEGATIVE","Issued more than received - add the missing receipt",IF($P317="OUT OF STOCK","Reorder immediately",IF($P317="LOW","Raise purchase order",IF($P317="Set threshold","Enter Critical Low in Items",IF(AND($N317&lt;&gt;"",$N317&lt;=0),"Quarantine expired lot",IF(AND($N317&lt;&gt;"",$N317&lt;=Settings!$C$6),"Use or rotate stock now","")))))))</f>
        <v/>
      </c>
    </row>
    <row r="318" spans="1:17" x14ac:dyDescent="0.35">
      <c r="A318" s="18" t="str">
        <f>IF(Items!$A315="","",Items!$A315)</f>
        <v/>
      </c>
      <c r="B318" s="18" t="str">
        <f>IF($A318="","",Items!$B315)</f>
        <v/>
      </c>
      <c r="C318" s="19" t="str">
        <f>IF($A318="","",Items!$G315)</f>
        <v/>
      </c>
      <c r="D318" s="20" t="str">
        <f>IF($A318="","",N(Items!$D315))</f>
        <v/>
      </c>
      <c r="E318" s="23" t="str">
        <f>IF($A318="","",Items!$E315)</f>
        <v/>
      </c>
      <c r="F318" s="23" t="str">
        <f>IF($A318="","",Items!$F315)</f>
        <v/>
      </c>
      <c r="G318" s="26" t="str">
        <f>IF($A318="","",SUMIFS(tblReceipts[Qty Received],tblReceipts[Item Name],$A318))</f>
        <v/>
      </c>
      <c r="H318" s="26" t="str">
        <f>IF($A318="","",SUMIFS(tblIssues[Qty Issued],tblIssues[Item Name],$A318))</f>
        <v/>
      </c>
      <c r="I318" s="27" t="str">
        <f t="shared" si="12"/>
        <v/>
      </c>
      <c r="J318" s="21" t="str">
        <f t="shared" si="13"/>
        <v/>
      </c>
      <c r="K318" s="26" t="str">
        <f>IF($A318="","",COUNTIFS(tblReceipts[Item Name],$A318))</f>
        <v/>
      </c>
      <c r="L318" s="26" t="str">
        <f>IF($A318="","",COUNTIFS(tblLotBalance[Item Name],$A318,tblLotBalance[Lot Balance],"&gt;0"))</f>
        <v/>
      </c>
      <c r="M318" s="24" t="str">
        <f>IF($A318="","",IF($L318=0,"",IFERROR(_xlfn.MINIFS(tblLotBalance[Expiry Date],tblLotBalance[Item Name],$A318,tblLotBalance[Lot Balance],"&gt;0"),"")))</f>
        <v/>
      </c>
      <c r="N318" s="26" t="str">
        <f t="shared" ca="1" si="14"/>
        <v/>
      </c>
      <c r="O318" s="18" t="str" cm="1">
        <f t="array" ref="O318">IF($M318="","",IFERROR(INDEX(tblLotBalance[Lot Number],MATCH(1,INDEX((tblLotBalance[Item Name]=$A318)*(tblLotBalance[Expiry Date]=$M318)*(tblLotBalance[Lot Balance]&gt;0),0),0)),""))</f>
        <v/>
      </c>
      <c r="P318" s="28" t="str">
        <f>IF($A318="","",IF($I318&lt;0,"NEGATIVE",IF(NOT(ISNUMBER($F318)),"Set threshold",IF($I318&lt;=0,"OUT OF STOCK",IF($I318&lt;=$F318,"LOW",IF($I318&lt;=$F318*Settings!$C$7,"WATCH","OK"))))))</f>
        <v/>
      </c>
      <c r="Q318" s="29" t="str">
        <f>IF($A318="","",IF($P318="NEGATIVE","Issued more than received - add the missing receipt",IF($P318="OUT OF STOCK","Reorder immediately",IF($P318="LOW","Raise purchase order",IF($P318="Set threshold","Enter Critical Low in Items",IF(AND($N318&lt;&gt;"",$N318&lt;=0),"Quarantine expired lot",IF(AND($N318&lt;&gt;"",$N318&lt;=Settings!$C$6),"Use or rotate stock now","")))))))</f>
        <v/>
      </c>
    </row>
    <row r="319" spans="1:17" x14ac:dyDescent="0.35">
      <c r="A319" s="18" t="str">
        <f>IF(Items!$A316="","",Items!$A316)</f>
        <v/>
      </c>
      <c r="B319" s="18" t="str">
        <f>IF($A319="","",Items!$B316)</f>
        <v/>
      </c>
      <c r="C319" s="19" t="str">
        <f>IF($A319="","",Items!$G316)</f>
        <v/>
      </c>
      <c r="D319" s="20" t="str">
        <f>IF($A319="","",N(Items!$D316))</f>
        <v/>
      </c>
      <c r="E319" s="23" t="str">
        <f>IF($A319="","",Items!$E316)</f>
        <v/>
      </c>
      <c r="F319" s="23" t="str">
        <f>IF($A319="","",Items!$F316)</f>
        <v/>
      </c>
      <c r="G319" s="26" t="str">
        <f>IF($A319="","",SUMIFS(tblReceipts[Qty Received],tblReceipts[Item Name],$A319))</f>
        <v/>
      </c>
      <c r="H319" s="26" t="str">
        <f>IF($A319="","",SUMIFS(tblIssues[Qty Issued],tblIssues[Item Name],$A319))</f>
        <v/>
      </c>
      <c r="I319" s="27" t="str">
        <f t="shared" si="12"/>
        <v/>
      </c>
      <c r="J319" s="21" t="str">
        <f t="shared" si="13"/>
        <v/>
      </c>
      <c r="K319" s="26" t="str">
        <f>IF($A319="","",COUNTIFS(tblReceipts[Item Name],$A319))</f>
        <v/>
      </c>
      <c r="L319" s="26" t="str">
        <f>IF($A319="","",COUNTIFS(tblLotBalance[Item Name],$A319,tblLotBalance[Lot Balance],"&gt;0"))</f>
        <v/>
      </c>
      <c r="M319" s="24" t="str">
        <f>IF($A319="","",IF($L319=0,"",IFERROR(_xlfn.MINIFS(tblLotBalance[Expiry Date],tblLotBalance[Item Name],$A319,tblLotBalance[Lot Balance],"&gt;0"),"")))</f>
        <v/>
      </c>
      <c r="N319" s="26" t="str">
        <f t="shared" ca="1" si="14"/>
        <v/>
      </c>
      <c r="O319" s="18" t="str" cm="1">
        <f t="array" ref="O319">IF($M319="","",IFERROR(INDEX(tblLotBalance[Lot Number],MATCH(1,INDEX((tblLotBalance[Item Name]=$A319)*(tblLotBalance[Expiry Date]=$M319)*(tblLotBalance[Lot Balance]&gt;0),0),0)),""))</f>
        <v/>
      </c>
      <c r="P319" s="28" t="str">
        <f>IF($A319="","",IF($I319&lt;0,"NEGATIVE",IF(NOT(ISNUMBER($F319)),"Set threshold",IF($I319&lt;=0,"OUT OF STOCK",IF($I319&lt;=$F319,"LOW",IF($I319&lt;=$F319*Settings!$C$7,"WATCH","OK"))))))</f>
        <v/>
      </c>
      <c r="Q319" s="29" t="str">
        <f>IF($A319="","",IF($P319="NEGATIVE","Issued more than received - add the missing receipt",IF($P319="OUT OF STOCK","Reorder immediately",IF($P319="LOW","Raise purchase order",IF($P319="Set threshold","Enter Critical Low in Items",IF(AND($N319&lt;&gt;"",$N319&lt;=0),"Quarantine expired lot",IF(AND($N319&lt;&gt;"",$N319&lt;=Settings!$C$6),"Use or rotate stock now","")))))))</f>
        <v/>
      </c>
    </row>
    <row r="320" spans="1:17" x14ac:dyDescent="0.35">
      <c r="A320" s="18" t="str">
        <f>IF(Items!$A317="","",Items!$A317)</f>
        <v/>
      </c>
      <c r="B320" s="18" t="str">
        <f>IF($A320="","",Items!$B317)</f>
        <v/>
      </c>
      <c r="C320" s="19" t="str">
        <f>IF($A320="","",Items!$G317)</f>
        <v/>
      </c>
      <c r="D320" s="20" t="str">
        <f>IF($A320="","",N(Items!$D317))</f>
        <v/>
      </c>
      <c r="E320" s="23" t="str">
        <f>IF($A320="","",Items!$E317)</f>
        <v/>
      </c>
      <c r="F320" s="23" t="str">
        <f>IF($A320="","",Items!$F317)</f>
        <v/>
      </c>
      <c r="G320" s="26" t="str">
        <f>IF($A320="","",SUMIFS(tblReceipts[Qty Received],tblReceipts[Item Name],$A320))</f>
        <v/>
      </c>
      <c r="H320" s="26" t="str">
        <f>IF($A320="","",SUMIFS(tblIssues[Qty Issued],tblIssues[Item Name],$A320))</f>
        <v/>
      </c>
      <c r="I320" s="27" t="str">
        <f t="shared" si="12"/>
        <v/>
      </c>
      <c r="J320" s="21" t="str">
        <f t="shared" si="13"/>
        <v/>
      </c>
      <c r="K320" s="26" t="str">
        <f>IF($A320="","",COUNTIFS(tblReceipts[Item Name],$A320))</f>
        <v/>
      </c>
      <c r="L320" s="26" t="str">
        <f>IF($A320="","",COUNTIFS(tblLotBalance[Item Name],$A320,tblLotBalance[Lot Balance],"&gt;0"))</f>
        <v/>
      </c>
      <c r="M320" s="24" t="str">
        <f>IF($A320="","",IF($L320=0,"",IFERROR(_xlfn.MINIFS(tblLotBalance[Expiry Date],tblLotBalance[Item Name],$A320,tblLotBalance[Lot Balance],"&gt;0"),"")))</f>
        <v/>
      </c>
      <c r="N320" s="26" t="str">
        <f t="shared" ca="1" si="14"/>
        <v/>
      </c>
      <c r="O320" s="18" t="str" cm="1">
        <f t="array" ref="O320">IF($M320="","",IFERROR(INDEX(tblLotBalance[Lot Number],MATCH(1,INDEX((tblLotBalance[Item Name]=$A320)*(tblLotBalance[Expiry Date]=$M320)*(tblLotBalance[Lot Balance]&gt;0),0),0)),""))</f>
        <v/>
      </c>
      <c r="P320" s="28" t="str">
        <f>IF($A320="","",IF($I320&lt;0,"NEGATIVE",IF(NOT(ISNUMBER($F320)),"Set threshold",IF($I320&lt;=0,"OUT OF STOCK",IF($I320&lt;=$F320,"LOW",IF($I320&lt;=$F320*Settings!$C$7,"WATCH","OK"))))))</f>
        <v/>
      </c>
      <c r="Q320" s="29" t="str">
        <f>IF($A320="","",IF($P320="NEGATIVE","Issued more than received - add the missing receipt",IF($P320="OUT OF STOCK","Reorder immediately",IF($P320="LOW","Raise purchase order",IF($P320="Set threshold","Enter Critical Low in Items",IF(AND($N320&lt;&gt;"",$N320&lt;=0),"Quarantine expired lot",IF(AND($N320&lt;&gt;"",$N320&lt;=Settings!$C$6),"Use or rotate stock now","")))))))</f>
        <v/>
      </c>
    </row>
    <row r="321" spans="1:17" x14ac:dyDescent="0.35">
      <c r="A321" s="18" t="str">
        <f>IF(Items!$A318="","",Items!$A318)</f>
        <v/>
      </c>
      <c r="B321" s="18" t="str">
        <f>IF($A321="","",Items!$B318)</f>
        <v/>
      </c>
      <c r="C321" s="19" t="str">
        <f>IF($A321="","",Items!$G318)</f>
        <v/>
      </c>
      <c r="D321" s="20" t="str">
        <f>IF($A321="","",N(Items!$D318))</f>
        <v/>
      </c>
      <c r="E321" s="23" t="str">
        <f>IF($A321="","",Items!$E318)</f>
        <v/>
      </c>
      <c r="F321" s="23" t="str">
        <f>IF($A321="","",Items!$F318)</f>
        <v/>
      </c>
      <c r="G321" s="26" t="str">
        <f>IF($A321="","",SUMIFS(tblReceipts[Qty Received],tblReceipts[Item Name],$A321))</f>
        <v/>
      </c>
      <c r="H321" s="26" t="str">
        <f>IF($A321="","",SUMIFS(tblIssues[Qty Issued],tblIssues[Item Name],$A321))</f>
        <v/>
      </c>
      <c r="I321" s="27" t="str">
        <f t="shared" si="12"/>
        <v/>
      </c>
      <c r="J321" s="21" t="str">
        <f t="shared" si="13"/>
        <v/>
      </c>
      <c r="K321" s="26" t="str">
        <f>IF($A321="","",COUNTIFS(tblReceipts[Item Name],$A321))</f>
        <v/>
      </c>
      <c r="L321" s="26" t="str">
        <f>IF($A321="","",COUNTIFS(tblLotBalance[Item Name],$A321,tblLotBalance[Lot Balance],"&gt;0"))</f>
        <v/>
      </c>
      <c r="M321" s="24" t="str">
        <f>IF($A321="","",IF($L321=0,"",IFERROR(_xlfn.MINIFS(tblLotBalance[Expiry Date],tblLotBalance[Item Name],$A321,tblLotBalance[Lot Balance],"&gt;0"),"")))</f>
        <v/>
      </c>
      <c r="N321" s="26" t="str">
        <f t="shared" ca="1" si="14"/>
        <v/>
      </c>
      <c r="O321" s="18" t="str" cm="1">
        <f t="array" ref="O321">IF($M321="","",IFERROR(INDEX(tblLotBalance[Lot Number],MATCH(1,INDEX((tblLotBalance[Item Name]=$A321)*(tblLotBalance[Expiry Date]=$M321)*(tblLotBalance[Lot Balance]&gt;0),0),0)),""))</f>
        <v/>
      </c>
      <c r="P321" s="28" t="str">
        <f>IF($A321="","",IF($I321&lt;0,"NEGATIVE",IF(NOT(ISNUMBER($F321)),"Set threshold",IF($I321&lt;=0,"OUT OF STOCK",IF($I321&lt;=$F321,"LOW",IF($I321&lt;=$F321*Settings!$C$7,"WATCH","OK"))))))</f>
        <v/>
      </c>
      <c r="Q321" s="29" t="str">
        <f>IF($A321="","",IF($P321="NEGATIVE","Issued more than received - add the missing receipt",IF($P321="OUT OF STOCK","Reorder immediately",IF($P321="LOW","Raise purchase order",IF($P321="Set threshold","Enter Critical Low in Items",IF(AND($N321&lt;&gt;"",$N321&lt;=0),"Quarantine expired lot",IF(AND($N321&lt;&gt;"",$N321&lt;=Settings!$C$6),"Use or rotate stock now","")))))))</f>
        <v/>
      </c>
    </row>
    <row r="322" spans="1:17" x14ac:dyDescent="0.35">
      <c r="A322" s="18" t="str">
        <f>IF(Items!$A319="","",Items!$A319)</f>
        <v/>
      </c>
      <c r="B322" s="18" t="str">
        <f>IF($A322="","",Items!$B319)</f>
        <v/>
      </c>
      <c r="C322" s="19" t="str">
        <f>IF($A322="","",Items!$G319)</f>
        <v/>
      </c>
      <c r="D322" s="20" t="str">
        <f>IF($A322="","",N(Items!$D319))</f>
        <v/>
      </c>
      <c r="E322" s="23" t="str">
        <f>IF($A322="","",Items!$E319)</f>
        <v/>
      </c>
      <c r="F322" s="23" t="str">
        <f>IF($A322="","",Items!$F319)</f>
        <v/>
      </c>
      <c r="G322" s="26" t="str">
        <f>IF($A322="","",SUMIFS(tblReceipts[Qty Received],tblReceipts[Item Name],$A322))</f>
        <v/>
      </c>
      <c r="H322" s="26" t="str">
        <f>IF($A322="","",SUMIFS(tblIssues[Qty Issued],tblIssues[Item Name],$A322))</f>
        <v/>
      </c>
      <c r="I322" s="27" t="str">
        <f t="shared" si="12"/>
        <v/>
      </c>
      <c r="J322" s="21" t="str">
        <f t="shared" si="13"/>
        <v/>
      </c>
      <c r="K322" s="26" t="str">
        <f>IF($A322="","",COUNTIFS(tblReceipts[Item Name],$A322))</f>
        <v/>
      </c>
      <c r="L322" s="26" t="str">
        <f>IF($A322="","",COUNTIFS(tblLotBalance[Item Name],$A322,tblLotBalance[Lot Balance],"&gt;0"))</f>
        <v/>
      </c>
      <c r="M322" s="24" t="str">
        <f>IF($A322="","",IF($L322=0,"",IFERROR(_xlfn.MINIFS(tblLotBalance[Expiry Date],tblLotBalance[Item Name],$A322,tblLotBalance[Lot Balance],"&gt;0"),"")))</f>
        <v/>
      </c>
      <c r="N322" s="26" t="str">
        <f t="shared" ca="1" si="14"/>
        <v/>
      </c>
      <c r="O322" s="18" t="str" cm="1">
        <f t="array" ref="O322">IF($M322="","",IFERROR(INDEX(tblLotBalance[Lot Number],MATCH(1,INDEX((tblLotBalance[Item Name]=$A322)*(tblLotBalance[Expiry Date]=$M322)*(tblLotBalance[Lot Balance]&gt;0),0),0)),""))</f>
        <v/>
      </c>
      <c r="P322" s="28" t="str">
        <f>IF($A322="","",IF($I322&lt;0,"NEGATIVE",IF(NOT(ISNUMBER($F322)),"Set threshold",IF($I322&lt;=0,"OUT OF STOCK",IF($I322&lt;=$F322,"LOW",IF($I322&lt;=$F322*Settings!$C$7,"WATCH","OK"))))))</f>
        <v/>
      </c>
      <c r="Q322" s="29" t="str">
        <f>IF($A322="","",IF($P322="NEGATIVE","Issued more than received - add the missing receipt",IF($P322="OUT OF STOCK","Reorder immediately",IF($P322="LOW","Raise purchase order",IF($P322="Set threshold","Enter Critical Low in Items",IF(AND($N322&lt;&gt;"",$N322&lt;=0),"Quarantine expired lot",IF(AND($N322&lt;&gt;"",$N322&lt;=Settings!$C$6),"Use or rotate stock now","")))))))</f>
        <v/>
      </c>
    </row>
    <row r="323" spans="1:17" x14ac:dyDescent="0.35">
      <c r="A323" s="18" t="str">
        <f>IF(Items!$A320="","",Items!$A320)</f>
        <v/>
      </c>
      <c r="B323" s="18" t="str">
        <f>IF($A323="","",Items!$B320)</f>
        <v/>
      </c>
      <c r="C323" s="19" t="str">
        <f>IF($A323="","",Items!$G320)</f>
        <v/>
      </c>
      <c r="D323" s="20" t="str">
        <f>IF($A323="","",N(Items!$D320))</f>
        <v/>
      </c>
      <c r="E323" s="23" t="str">
        <f>IF($A323="","",Items!$E320)</f>
        <v/>
      </c>
      <c r="F323" s="23" t="str">
        <f>IF($A323="","",Items!$F320)</f>
        <v/>
      </c>
      <c r="G323" s="26" t="str">
        <f>IF($A323="","",SUMIFS(tblReceipts[Qty Received],tblReceipts[Item Name],$A323))</f>
        <v/>
      </c>
      <c r="H323" s="26" t="str">
        <f>IF($A323="","",SUMIFS(tblIssues[Qty Issued],tblIssues[Item Name],$A323))</f>
        <v/>
      </c>
      <c r="I323" s="27" t="str">
        <f t="shared" si="12"/>
        <v/>
      </c>
      <c r="J323" s="21" t="str">
        <f t="shared" si="13"/>
        <v/>
      </c>
      <c r="K323" s="26" t="str">
        <f>IF($A323="","",COUNTIFS(tblReceipts[Item Name],$A323))</f>
        <v/>
      </c>
      <c r="L323" s="26" t="str">
        <f>IF($A323="","",COUNTIFS(tblLotBalance[Item Name],$A323,tblLotBalance[Lot Balance],"&gt;0"))</f>
        <v/>
      </c>
      <c r="M323" s="24" t="str">
        <f>IF($A323="","",IF($L323=0,"",IFERROR(_xlfn.MINIFS(tblLotBalance[Expiry Date],tblLotBalance[Item Name],$A323,tblLotBalance[Lot Balance],"&gt;0"),"")))</f>
        <v/>
      </c>
      <c r="N323" s="26" t="str">
        <f t="shared" ca="1" si="14"/>
        <v/>
      </c>
      <c r="O323" s="18" t="str" cm="1">
        <f t="array" ref="O323">IF($M323="","",IFERROR(INDEX(tblLotBalance[Lot Number],MATCH(1,INDEX((tblLotBalance[Item Name]=$A323)*(tblLotBalance[Expiry Date]=$M323)*(tblLotBalance[Lot Balance]&gt;0),0),0)),""))</f>
        <v/>
      </c>
      <c r="P323" s="28" t="str">
        <f>IF($A323="","",IF($I323&lt;0,"NEGATIVE",IF(NOT(ISNUMBER($F323)),"Set threshold",IF($I323&lt;=0,"OUT OF STOCK",IF($I323&lt;=$F323,"LOW",IF($I323&lt;=$F323*Settings!$C$7,"WATCH","OK"))))))</f>
        <v/>
      </c>
      <c r="Q323" s="29" t="str">
        <f>IF($A323="","",IF($P323="NEGATIVE","Issued more than received - add the missing receipt",IF($P323="OUT OF STOCK","Reorder immediately",IF($P323="LOW","Raise purchase order",IF($P323="Set threshold","Enter Critical Low in Items",IF(AND($N323&lt;&gt;"",$N323&lt;=0),"Quarantine expired lot",IF(AND($N323&lt;&gt;"",$N323&lt;=Settings!$C$6),"Use or rotate stock now","")))))))</f>
        <v/>
      </c>
    </row>
    <row r="324" spans="1:17" x14ac:dyDescent="0.35">
      <c r="A324" s="18" t="str">
        <f>IF(Items!$A321="","",Items!$A321)</f>
        <v/>
      </c>
      <c r="B324" s="18" t="str">
        <f>IF($A324="","",Items!$B321)</f>
        <v/>
      </c>
      <c r="C324" s="19" t="str">
        <f>IF($A324="","",Items!$G321)</f>
        <v/>
      </c>
      <c r="D324" s="20" t="str">
        <f>IF($A324="","",N(Items!$D321))</f>
        <v/>
      </c>
      <c r="E324" s="23" t="str">
        <f>IF($A324="","",Items!$E321)</f>
        <v/>
      </c>
      <c r="F324" s="23" t="str">
        <f>IF($A324="","",Items!$F321)</f>
        <v/>
      </c>
      <c r="G324" s="26" t="str">
        <f>IF($A324="","",SUMIFS(tblReceipts[Qty Received],tblReceipts[Item Name],$A324))</f>
        <v/>
      </c>
      <c r="H324" s="26" t="str">
        <f>IF($A324="","",SUMIFS(tblIssues[Qty Issued],tblIssues[Item Name],$A324))</f>
        <v/>
      </c>
      <c r="I324" s="27" t="str">
        <f t="shared" si="12"/>
        <v/>
      </c>
      <c r="J324" s="21" t="str">
        <f t="shared" si="13"/>
        <v/>
      </c>
      <c r="K324" s="26" t="str">
        <f>IF($A324="","",COUNTIFS(tblReceipts[Item Name],$A324))</f>
        <v/>
      </c>
      <c r="L324" s="26" t="str">
        <f>IF($A324="","",COUNTIFS(tblLotBalance[Item Name],$A324,tblLotBalance[Lot Balance],"&gt;0"))</f>
        <v/>
      </c>
      <c r="M324" s="24" t="str">
        <f>IF($A324="","",IF($L324=0,"",IFERROR(_xlfn.MINIFS(tblLotBalance[Expiry Date],tblLotBalance[Item Name],$A324,tblLotBalance[Lot Balance],"&gt;0"),"")))</f>
        <v/>
      </c>
      <c r="N324" s="26" t="str">
        <f t="shared" ca="1" si="14"/>
        <v/>
      </c>
      <c r="O324" s="18" t="str" cm="1">
        <f t="array" ref="O324">IF($M324="","",IFERROR(INDEX(tblLotBalance[Lot Number],MATCH(1,INDEX((tblLotBalance[Item Name]=$A324)*(tblLotBalance[Expiry Date]=$M324)*(tblLotBalance[Lot Balance]&gt;0),0),0)),""))</f>
        <v/>
      </c>
      <c r="P324" s="28" t="str">
        <f>IF($A324="","",IF($I324&lt;0,"NEGATIVE",IF(NOT(ISNUMBER($F324)),"Set threshold",IF($I324&lt;=0,"OUT OF STOCK",IF($I324&lt;=$F324,"LOW",IF($I324&lt;=$F324*Settings!$C$7,"WATCH","OK"))))))</f>
        <v/>
      </c>
      <c r="Q324" s="29" t="str">
        <f>IF($A324="","",IF($P324="NEGATIVE","Issued more than received - add the missing receipt",IF($P324="OUT OF STOCK","Reorder immediately",IF($P324="LOW","Raise purchase order",IF($P324="Set threshold","Enter Critical Low in Items",IF(AND($N324&lt;&gt;"",$N324&lt;=0),"Quarantine expired lot",IF(AND($N324&lt;&gt;"",$N324&lt;=Settings!$C$6),"Use or rotate stock now","")))))))</f>
        <v/>
      </c>
    </row>
    <row r="325" spans="1:17" x14ac:dyDescent="0.35">
      <c r="A325" s="18" t="str">
        <f>IF(Items!$A322="","",Items!$A322)</f>
        <v/>
      </c>
      <c r="B325" s="18" t="str">
        <f>IF($A325="","",Items!$B322)</f>
        <v/>
      </c>
      <c r="C325" s="19" t="str">
        <f>IF($A325="","",Items!$G322)</f>
        <v/>
      </c>
      <c r="D325" s="20" t="str">
        <f>IF($A325="","",N(Items!$D322))</f>
        <v/>
      </c>
      <c r="E325" s="23" t="str">
        <f>IF($A325="","",Items!$E322)</f>
        <v/>
      </c>
      <c r="F325" s="23" t="str">
        <f>IF($A325="","",Items!$F322)</f>
        <v/>
      </c>
      <c r="G325" s="26" t="str">
        <f>IF($A325="","",SUMIFS(tblReceipts[Qty Received],tblReceipts[Item Name],$A325))</f>
        <v/>
      </c>
      <c r="H325" s="26" t="str">
        <f>IF($A325="","",SUMIFS(tblIssues[Qty Issued],tblIssues[Item Name],$A325))</f>
        <v/>
      </c>
      <c r="I325" s="27" t="str">
        <f t="shared" ref="I325:I388" si="15">IF($A325="","",$G325-$H325)</f>
        <v/>
      </c>
      <c r="J325" s="21" t="str">
        <f t="shared" ref="J325:J388" si="16">IF($A325="","",$I325*$D325)</f>
        <v/>
      </c>
      <c r="K325" s="26" t="str">
        <f>IF($A325="","",COUNTIFS(tblReceipts[Item Name],$A325))</f>
        <v/>
      </c>
      <c r="L325" s="26" t="str">
        <f>IF($A325="","",COUNTIFS(tblLotBalance[Item Name],$A325,tblLotBalance[Lot Balance],"&gt;0"))</f>
        <v/>
      </c>
      <c r="M325" s="24" t="str">
        <f>IF($A325="","",IF($L325=0,"",IFERROR(_xlfn.MINIFS(tblLotBalance[Expiry Date],tblLotBalance[Item Name],$A325,tblLotBalance[Lot Balance],"&gt;0"),"")))</f>
        <v/>
      </c>
      <c r="N325" s="26" t="str">
        <f t="shared" ref="N325:N388" ca="1" si="17">IF($M325="","",$M325-TODAY())</f>
        <v/>
      </c>
      <c r="O325" s="18" t="str" cm="1">
        <f t="array" ref="O325">IF($M325="","",IFERROR(INDEX(tblLotBalance[Lot Number],MATCH(1,INDEX((tblLotBalance[Item Name]=$A325)*(tblLotBalance[Expiry Date]=$M325)*(tblLotBalance[Lot Balance]&gt;0),0),0)),""))</f>
        <v/>
      </c>
      <c r="P325" s="28" t="str">
        <f>IF($A325="","",IF($I325&lt;0,"NEGATIVE",IF(NOT(ISNUMBER($F325)),"Set threshold",IF($I325&lt;=0,"OUT OF STOCK",IF($I325&lt;=$F325,"LOW",IF($I325&lt;=$F325*Settings!$C$7,"WATCH","OK"))))))</f>
        <v/>
      </c>
      <c r="Q325" s="29" t="str">
        <f>IF($A325="","",IF($P325="NEGATIVE","Issued more than received - add the missing receipt",IF($P325="OUT OF STOCK","Reorder immediately",IF($P325="LOW","Raise purchase order",IF($P325="Set threshold","Enter Critical Low in Items",IF(AND($N325&lt;&gt;"",$N325&lt;=0),"Quarantine expired lot",IF(AND($N325&lt;&gt;"",$N325&lt;=Settings!$C$6),"Use or rotate stock now","")))))))</f>
        <v/>
      </c>
    </row>
    <row r="326" spans="1:17" x14ac:dyDescent="0.35">
      <c r="A326" s="18" t="str">
        <f>IF(Items!$A323="","",Items!$A323)</f>
        <v/>
      </c>
      <c r="B326" s="18" t="str">
        <f>IF($A326="","",Items!$B323)</f>
        <v/>
      </c>
      <c r="C326" s="19" t="str">
        <f>IF($A326="","",Items!$G323)</f>
        <v/>
      </c>
      <c r="D326" s="20" t="str">
        <f>IF($A326="","",N(Items!$D323))</f>
        <v/>
      </c>
      <c r="E326" s="23" t="str">
        <f>IF($A326="","",Items!$E323)</f>
        <v/>
      </c>
      <c r="F326" s="23" t="str">
        <f>IF($A326="","",Items!$F323)</f>
        <v/>
      </c>
      <c r="G326" s="26" t="str">
        <f>IF($A326="","",SUMIFS(tblReceipts[Qty Received],tblReceipts[Item Name],$A326))</f>
        <v/>
      </c>
      <c r="H326" s="26" t="str">
        <f>IF($A326="","",SUMIFS(tblIssues[Qty Issued],tblIssues[Item Name],$A326))</f>
        <v/>
      </c>
      <c r="I326" s="27" t="str">
        <f t="shared" si="15"/>
        <v/>
      </c>
      <c r="J326" s="21" t="str">
        <f t="shared" si="16"/>
        <v/>
      </c>
      <c r="K326" s="26" t="str">
        <f>IF($A326="","",COUNTIFS(tblReceipts[Item Name],$A326))</f>
        <v/>
      </c>
      <c r="L326" s="26" t="str">
        <f>IF($A326="","",COUNTIFS(tblLotBalance[Item Name],$A326,tblLotBalance[Lot Balance],"&gt;0"))</f>
        <v/>
      </c>
      <c r="M326" s="24" t="str">
        <f>IF($A326="","",IF($L326=0,"",IFERROR(_xlfn.MINIFS(tblLotBalance[Expiry Date],tblLotBalance[Item Name],$A326,tblLotBalance[Lot Balance],"&gt;0"),"")))</f>
        <v/>
      </c>
      <c r="N326" s="26" t="str">
        <f t="shared" ca="1" si="17"/>
        <v/>
      </c>
      <c r="O326" s="18" t="str" cm="1">
        <f t="array" ref="O326">IF($M326="","",IFERROR(INDEX(tblLotBalance[Lot Number],MATCH(1,INDEX((tblLotBalance[Item Name]=$A326)*(tblLotBalance[Expiry Date]=$M326)*(tblLotBalance[Lot Balance]&gt;0),0),0)),""))</f>
        <v/>
      </c>
      <c r="P326" s="28" t="str">
        <f>IF($A326="","",IF($I326&lt;0,"NEGATIVE",IF(NOT(ISNUMBER($F326)),"Set threshold",IF($I326&lt;=0,"OUT OF STOCK",IF($I326&lt;=$F326,"LOW",IF($I326&lt;=$F326*Settings!$C$7,"WATCH","OK"))))))</f>
        <v/>
      </c>
      <c r="Q326" s="29" t="str">
        <f>IF($A326="","",IF($P326="NEGATIVE","Issued more than received - add the missing receipt",IF($P326="OUT OF STOCK","Reorder immediately",IF($P326="LOW","Raise purchase order",IF($P326="Set threshold","Enter Critical Low in Items",IF(AND($N326&lt;&gt;"",$N326&lt;=0),"Quarantine expired lot",IF(AND($N326&lt;&gt;"",$N326&lt;=Settings!$C$6),"Use or rotate stock now","")))))))</f>
        <v/>
      </c>
    </row>
    <row r="327" spans="1:17" x14ac:dyDescent="0.35">
      <c r="A327" s="18" t="str">
        <f>IF(Items!$A324="","",Items!$A324)</f>
        <v/>
      </c>
      <c r="B327" s="18" t="str">
        <f>IF($A327="","",Items!$B324)</f>
        <v/>
      </c>
      <c r="C327" s="19" t="str">
        <f>IF($A327="","",Items!$G324)</f>
        <v/>
      </c>
      <c r="D327" s="20" t="str">
        <f>IF($A327="","",N(Items!$D324))</f>
        <v/>
      </c>
      <c r="E327" s="23" t="str">
        <f>IF($A327="","",Items!$E324)</f>
        <v/>
      </c>
      <c r="F327" s="23" t="str">
        <f>IF($A327="","",Items!$F324)</f>
        <v/>
      </c>
      <c r="G327" s="26" t="str">
        <f>IF($A327="","",SUMIFS(tblReceipts[Qty Received],tblReceipts[Item Name],$A327))</f>
        <v/>
      </c>
      <c r="H327" s="26" t="str">
        <f>IF($A327="","",SUMIFS(tblIssues[Qty Issued],tblIssues[Item Name],$A327))</f>
        <v/>
      </c>
      <c r="I327" s="27" t="str">
        <f t="shared" si="15"/>
        <v/>
      </c>
      <c r="J327" s="21" t="str">
        <f t="shared" si="16"/>
        <v/>
      </c>
      <c r="K327" s="26" t="str">
        <f>IF($A327="","",COUNTIFS(tblReceipts[Item Name],$A327))</f>
        <v/>
      </c>
      <c r="L327" s="26" t="str">
        <f>IF($A327="","",COUNTIFS(tblLotBalance[Item Name],$A327,tblLotBalance[Lot Balance],"&gt;0"))</f>
        <v/>
      </c>
      <c r="M327" s="24" t="str">
        <f>IF($A327="","",IF($L327=0,"",IFERROR(_xlfn.MINIFS(tblLotBalance[Expiry Date],tblLotBalance[Item Name],$A327,tblLotBalance[Lot Balance],"&gt;0"),"")))</f>
        <v/>
      </c>
      <c r="N327" s="26" t="str">
        <f t="shared" ca="1" si="17"/>
        <v/>
      </c>
      <c r="O327" s="18" t="str" cm="1">
        <f t="array" ref="O327">IF($M327="","",IFERROR(INDEX(tblLotBalance[Lot Number],MATCH(1,INDEX((tblLotBalance[Item Name]=$A327)*(tblLotBalance[Expiry Date]=$M327)*(tblLotBalance[Lot Balance]&gt;0),0),0)),""))</f>
        <v/>
      </c>
      <c r="P327" s="28" t="str">
        <f>IF($A327="","",IF($I327&lt;0,"NEGATIVE",IF(NOT(ISNUMBER($F327)),"Set threshold",IF($I327&lt;=0,"OUT OF STOCK",IF($I327&lt;=$F327,"LOW",IF($I327&lt;=$F327*Settings!$C$7,"WATCH","OK"))))))</f>
        <v/>
      </c>
      <c r="Q327" s="29" t="str">
        <f>IF($A327="","",IF($P327="NEGATIVE","Issued more than received - add the missing receipt",IF($P327="OUT OF STOCK","Reorder immediately",IF($P327="LOW","Raise purchase order",IF($P327="Set threshold","Enter Critical Low in Items",IF(AND($N327&lt;&gt;"",$N327&lt;=0),"Quarantine expired lot",IF(AND($N327&lt;&gt;"",$N327&lt;=Settings!$C$6),"Use or rotate stock now","")))))))</f>
        <v/>
      </c>
    </row>
    <row r="328" spans="1:17" x14ac:dyDescent="0.35">
      <c r="A328" s="18" t="str">
        <f>IF(Items!$A325="","",Items!$A325)</f>
        <v/>
      </c>
      <c r="B328" s="18" t="str">
        <f>IF($A328="","",Items!$B325)</f>
        <v/>
      </c>
      <c r="C328" s="19" t="str">
        <f>IF($A328="","",Items!$G325)</f>
        <v/>
      </c>
      <c r="D328" s="20" t="str">
        <f>IF($A328="","",N(Items!$D325))</f>
        <v/>
      </c>
      <c r="E328" s="23" t="str">
        <f>IF($A328="","",Items!$E325)</f>
        <v/>
      </c>
      <c r="F328" s="23" t="str">
        <f>IF($A328="","",Items!$F325)</f>
        <v/>
      </c>
      <c r="G328" s="26" t="str">
        <f>IF($A328="","",SUMIFS(tblReceipts[Qty Received],tblReceipts[Item Name],$A328))</f>
        <v/>
      </c>
      <c r="H328" s="26" t="str">
        <f>IF($A328="","",SUMIFS(tblIssues[Qty Issued],tblIssues[Item Name],$A328))</f>
        <v/>
      </c>
      <c r="I328" s="27" t="str">
        <f t="shared" si="15"/>
        <v/>
      </c>
      <c r="J328" s="21" t="str">
        <f t="shared" si="16"/>
        <v/>
      </c>
      <c r="K328" s="26" t="str">
        <f>IF($A328="","",COUNTIFS(tblReceipts[Item Name],$A328))</f>
        <v/>
      </c>
      <c r="L328" s="26" t="str">
        <f>IF($A328="","",COUNTIFS(tblLotBalance[Item Name],$A328,tblLotBalance[Lot Balance],"&gt;0"))</f>
        <v/>
      </c>
      <c r="M328" s="24" t="str">
        <f>IF($A328="","",IF($L328=0,"",IFERROR(_xlfn.MINIFS(tblLotBalance[Expiry Date],tblLotBalance[Item Name],$A328,tblLotBalance[Lot Balance],"&gt;0"),"")))</f>
        <v/>
      </c>
      <c r="N328" s="26" t="str">
        <f t="shared" ca="1" si="17"/>
        <v/>
      </c>
      <c r="O328" s="18" t="str" cm="1">
        <f t="array" ref="O328">IF($M328="","",IFERROR(INDEX(tblLotBalance[Lot Number],MATCH(1,INDEX((tblLotBalance[Item Name]=$A328)*(tblLotBalance[Expiry Date]=$M328)*(tblLotBalance[Lot Balance]&gt;0),0),0)),""))</f>
        <v/>
      </c>
      <c r="P328" s="28" t="str">
        <f>IF($A328="","",IF($I328&lt;0,"NEGATIVE",IF(NOT(ISNUMBER($F328)),"Set threshold",IF($I328&lt;=0,"OUT OF STOCK",IF($I328&lt;=$F328,"LOW",IF($I328&lt;=$F328*Settings!$C$7,"WATCH","OK"))))))</f>
        <v/>
      </c>
      <c r="Q328" s="29" t="str">
        <f>IF($A328="","",IF($P328="NEGATIVE","Issued more than received - add the missing receipt",IF($P328="OUT OF STOCK","Reorder immediately",IF($P328="LOW","Raise purchase order",IF($P328="Set threshold","Enter Critical Low in Items",IF(AND($N328&lt;&gt;"",$N328&lt;=0),"Quarantine expired lot",IF(AND($N328&lt;&gt;"",$N328&lt;=Settings!$C$6),"Use or rotate stock now","")))))))</f>
        <v/>
      </c>
    </row>
    <row r="329" spans="1:17" x14ac:dyDescent="0.35">
      <c r="A329" s="18" t="str">
        <f>IF(Items!$A326="","",Items!$A326)</f>
        <v/>
      </c>
      <c r="B329" s="18" t="str">
        <f>IF($A329="","",Items!$B326)</f>
        <v/>
      </c>
      <c r="C329" s="19" t="str">
        <f>IF($A329="","",Items!$G326)</f>
        <v/>
      </c>
      <c r="D329" s="20" t="str">
        <f>IF($A329="","",N(Items!$D326))</f>
        <v/>
      </c>
      <c r="E329" s="23" t="str">
        <f>IF($A329="","",Items!$E326)</f>
        <v/>
      </c>
      <c r="F329" s="23" t="str">
        <f>IF($A329="","",Items!$F326)</f>
        <v/>
      </c>
      <c r="G329" s="26" t="str">
        <f>IF($A329="","",SUMIFS(tblReceipts[Qty Received],tblReceipts[Item Name],$A329))</f>
        <v/>
      </c>
      <c r="H329" s="26" t="str">
        <f>IF($A329="","",SUMIFS(tblIssues[Qty Issued],tblIssues[Item Name],$A329))</f>
        <v/>
      </c>
      <c r="I329" s="27" t="str">
        <f t="shared" si="15"/>
        <v/>
      </c>
      <c r="J329" s="21" t="str">
        <f t="shared" si="16"/>
        <v/>
      </c>
      <c r="K329" s="26" t="str">
        <f>IF($A329="","",COUNTIFS(tblReceipts[Item Name],$A329))</f>
        <v/>
      </c>
      <c r="L329" s="26" t="str">
        <f>IF($A329="","",COUNTIFS(tblLotBalance[Item Name],$A329,tblLotBalance[Lot Balance],"&gt;0"))</f>
        <v/>
      </c>
      <c r="M329" s="24" t="str">
        <f>IF($A329="","",IF($L329=0,"",IFERROR(_xlfn.MINIFS(tblLotBalance[Expiry Date],tblLotBalance[Item Name],$A329,tblLotBalance[Lot Balance],"&gt;0"),"")))</f>
        <v/>
      </c>
      <c r="N329" s="26" t="str">
        <f t="shared" ca="1" si="17"/>
        <v/>
      </c>
      <c r="O329" s="18" t="str" cm="1">
        <f t="array" ref="O329">IF($M329="","",IFERROR(INDEX(tblLotBalance[Lot Number],MATCH(1,INDEX((tblLotBalance[Item Name]=$A329)*(tblLotBalance[Expiry Date]=$M329)*(tblLotBalance[Lot Balance]&gt;0),0),0)),""))</f>
        <v/>
      </c>
      <c r="P329" s="28" t="str">
        <f>IF($A329="","",IF($I329&lt;0,"NEGATIVE",IF(NOT(ISNUMBER($F329)),"Set threshold",IF($I329&lt;=0,"OUT OF STOCK",IF($I329&lt;=$F329,"LOW",IF($I329&lt;=$F329*Settings!$C$7,"WATCH","OK"))))))</f>
        <v/>
      </c>
      <c r="Q329" s="29" t="str">
        <f>IF($A329="","",IF($P329="NEGATIVE","Issued more than received - add the missing receipt",IF($P329="OUT OF STOCK","Reorder immediately",IF($P329="LOW","Raise purchase order",IF($P329="Set threshold","Enter Critical Low in Items",IF(AND($N329&lt;&gt;"",$N329&lt;=0),"Quarantine expired lot",IF(AND($N329&lt;&gt;"",$N329&lt;=Settings!$C$6),"Use or rotate stock now","")))))))</f>
        <v/>
      </c>
    </row>
    <row r="330" spans="1:17" x14ac:dyDescent="0.35">
      <c r="A330" s="18" t="str">
        <f>IF(Items!$A327="","",Items!$A327)</f>
        <v/>
      </c>
      <c r="B330" s="18" t="str">
        <f>IF($A330="","",Items!$B327)</f>
        <v/>
      </c>
      <c r="C330" s="19" t="str">
        <f>IF($A330="","",Items!$G327)</f>
        <v/>
      </c>
      <c r="D330" s="20" t="str">
        <f>IF($A330="","",N(Items!$D327))</f>
        <v/>
      </c>
      <c r="E330" s="23" t="str">
        <f>IF($A330="","",Items!$E327)</f>
        <v/>
      </c>
      <c r="F330" s="23" t="str">
        <f>IF($A330="","",Items!$F327)</f>
        <v/>
      </c>
      <c r="G330" s="26" t="str">
        <f>IF($A330="","",SUMIFS(tblReceipts[Qty Received],tblReceipts[Item Name],$A330))</f>
        <v/>
      </c>
      <c r="H330" s="26" t="str">
        <f>IF($A330="","",SUMIFS(tblIssues[Qty Issued],tblIssues[Item Name],$A330))</f>
        <v/>
      </c>
      <c r="I330" s="27" t="str">
        <f t="shared" si="15"/>
        <v/>
      </c>
      <c r="J330" s="21" t="str">
        <f t="shared" si="16"/>
        <v/>
      </c>
      <c r="K330" s="26" t="str">
        <f>IF($A330="","",COUNTIFS(tblReceipts[Item Name],$A330))</f>
        <v/>
      </c>
      <c r="L330" s="26" t="str">
        <f>IF($A330="","",COUNTIFS(tblLotBalance[Item Name],$A330,tblLotBalance[Lot Balance],"&gt;0"))</f>
        <v/>
      </c>
      <c r="M330" s="24" t="str">
        <f>IF($A330="","",IF($L330=0,"",IFERROR(_xlfn.MINIFS(tblLotBalance[Expiry Date],tblLotBalance[Item Name],$A330,tblLotBalance[Lot Balance],"&gt;0"),"")))</f>
        <v/>
      </c>
      <c r="N330" s="26" t="str">
        <f t="shared" ca="1" si="17"/>
        <v/>
      </c>
      <c r="O330" s="18" t="str" cm="1">
        <f t="array" ref="O330">IF($M330="","",IFERROR(INDEX(tblLotBalance[Lot Number],MATCH(1,INDEX((tblLotBalance[Item Name]=$A330)*(tblLotBalance[Expiry Date]=$M330)*(tblLotBalance[Lot Balance]&gt;0),0),0)),""))</f>
        <v/>
      </c>
      <c r="P330" s="28" t="str">
        <f>IF($A330="","",IF($I330&lt;0,"NEGATIVE",IF(NOT(ISNUMBER($F330)),"Set threshold",IF($I330&lt;=0,"OUT OF STOCK",IF($I330&lt;=$F330,"LOW",IF($I330&lt;=$F330*Settings!$C$7,"WATCH","OK"))))))</f>
        <v/>
      </c>
      <c r="Q330" s="29" t="str">
        <f>IF($A330="","",IF($P330="NEGATIVE","Issued more than received - add the missing receipt",IF($P330="OUT OF STOCK","Reorder immediately",IF($P330="LOW","Raise purchase order",IF($P330="Set threshold","Enter Critical Low in Items",IF(AND($N330&lt;&gt;"",$N330&lt;=0),"Quarantine expired lot",IF(AND($N330&lt;&gt;"",$N330&lt;=Settings!$C$6),"Use or rotate stock now","")))))))</f>
        <v/>
      </c>
    </row>
    <row r="331" spans="1:17" x14ac:dyDescent="0.35">
      <c r="A331" s="18" t="str">
        <f>IF(Items!$A328="","",Items!$A328)</f>
        <v/>
      </c>
      <c r="B331" s="18" t="str">
        <f>IF($A331="","",Items!$B328)</f>
        <v/>
      </c>
      <c r="C331" s="19" t="str">
        <f>IF($A331="","",Items!$G328)</f>
        <v/>
      </c>
      <c r="D331" s="20" t="str">
        <f>IF($A331="","",N(Items!$D328))</f>
        <v/>
      </c>
      <c r="E331" s="23" t="str">
        <f>IF($A331="","",Items!$E328)</f>
        <v/>
      </c>
      <c r="F331" s="23" t="str">
        <f>IF($A331="","",Items!$F328)</f>
        <v/>
      </c>
      <c r="G331" s="26" t="str">
        <f>IF($A331="","",SUMIFS(tblReceipts[Qty Received],tblReceipts[Item Name],$A331))</f>
        <v/>
      </c>
      <c r="H331" s="26" t="str">
        <f>IF($A331="","",SUMIFS(tblIssues[Qty Issued],tblIssues[Item Name],$A331))</f>
        <v/>
      </c>
      <c r="I331" s="27" t="str">
        <f t="shared" si="15"/>
        <v/>
      </c>
      <c r="J331" s="21" t="str">
        <f t="shared" si="16"/>
        <v/>
      </c>
      <c r="K331" s="26" t="str">
        <f>IF($A331="","",COUNTIFS(tblReceipts[Item Name],$A331))</f>
        <v/>
      </c>
      <c r="L331" s="26" t="str">
        <f>IF($A331="","",COUNTIFS(tblLotBalance[Item Name],$A331,tblLotBalance[Lot Balance],"&gt;0"))</f>
        <v/>
      </c>
      <c r="M331" s="24" t="str">
        <f>IF($A331="","",IF($L331=0,"",IFERROR(_xlfn.MINIFS(tblLotBalance[Expiry Date],tblLotBalance[Item Name],$A331,tblLotBalance[Lot Balance],"&gt;0"),"")))</f>
        <v/>
      </c>
      <c r="N331" s="26" t="str">
        <f t="shared" ca="1" si="17"/>
        <v/>
      </c>
      <c r="O331" s="18" t="str" cm="1">
        <f t="array" ref="O331">IF($M331="","",IFERROR(INDEX(tblLotBalance[Lot Number],MATCH(1,INDEX((tblLotBalance[Item Name]=$A331)*(tblLotBalance[Expiry Date]=$M331)*(tblLotBalance[Lot Balance]&gt;0),0),0)),""))</f>
        <v/>
      </c>
      <c r="P331" s="28" t="str">
        <f>IF($A331="","",IF($I331&lt;0,"NEGATIVE",IF(NOT(ISNUMBER($F331)),"Set threshold",IF($I331&lt;=0,"OUT OF STOCK",IF($I331&lt;=$F331,"LOW",IF($I331&lt;=$F331*Settings!$C$7,"WATCH","OK"))))))</f>
        <v/>
      </c>
      <c r="Q331" s="29" t="str">
        <f>IF($A331="","",IF($P331="NEGATIVE","Issued more than received - add the missing receipt",IF($P331="OUT OF STOCK","Reorder immediately",IF($P331="LOW","Raise purchase order",IF($P331="Set threshold","Enter Critical Low in Items",IF(AND($N331&lt;&gt;"",$N331&lt;=0),"Quarantine expired lot",IF(AND($N331&lt;&gt;"",$N331&lt;=Settings!$C$6),"Use or rotate stock now","")))))))</f>
        <v/>
      </c>
    </row>
    <row r="332" spans="1:17" x14ac:dyDescent="0.35">
      <c r="A332" s="18" t="str">
        <f>IF(Items!$A329="","",Items!$A329)</f>
        <v/>
      </c>
      <c r="B332" s="18" t="str">
        <f>IF($A332="","",Items!$B329)</f>
        <v/>
      </c>
      <c r="C332" s="19" t="str">
        <f>IF($A332="","",Items!$G329)</f>
        <v/>
      </c>
      <c r="D332" s="20" t="str">
        <f>IF($A332="","",N(Items!$D329))</f>
        <v/>
      </c>
      <c r="E332" s="23" t="str">
        <f>IF($A332="","",Items!$E329)</f>
        <v/>
      </c>
      <c r="F332" s="23" t="str">
        <f>IF($A332="","",Items!$F329)</f>
        <v/>
      </c>
      <c r="G332" s="26" t="str">
        <f>IF($A332="","",SUMIFS(tblReceipts[Qty Received],tblReceipts[Item Name],$A332))</f>
        <v/>
      </c>
      <c r="H332" s="26" t="str">
        <f>IF($A332="","",SUMIFS(tblIssues[Qty Issued],tblIssues[Item Name],$A332))</f>
        <v/>
      </c>
      <c r="I332" s="27" t="str">
        <f t="shared" si="15"/>
        <v/>
      </c>
      <c r="J332" s="21" t="str">
        <f t="shared" si="16"/>
        <v/>
      </c>
      <c r="K332" s="26" t="str">
        <f>IF($A332="","",COUNTIFS(tblReceipts[Item Name],$A332))</f>
        <v/>
      </c>
      <c r="L332" s="26" t="str">
        <f>IF($A332="","",COUNTIFS(tblLotBalance[Item Name],$A332,tblLotBalance[Lot Balance],"&gt;0"))</f>
        <v/>
      </c>
      <c r="M332" s="24" t="str">
        <f>IF($A332="","",IF($L332=0,"",IFERROR(_xlfn.MINIFS(tblLotBalance[Expiry Date],tblLotBalance[Item Name],$A332,tblLotBalance[Lot Balance],"&gt;0"),"")))</f>
        <v/>
      </c>
      <c r="N332" s="26" t="str">
        <f t="shared" ca="1" si="17"/>
        <v/>
      </c>
      <c r="O332" s="18" t="str" cm="1">
        <f t="array" ref="O332">IF($M332="","",IFERROR(INDEX(tblLotBalance[Lot Number],MATCH(1,INDEX((tblLotBalance[Item Name]=$A332)*(tblLotBalance[Expiry Date]=$M332)*(tblLotBalance[Lot Balance]&gt;0),0),0)),""))</f>
        <v/>
      </c>
      <c r="P332" s="28" t="str">
        <f>IF($A332="","",IF($I332&lt;0,"NEGATIVE",IF(NOT(ISNUMBER($F332)),"Set threshold",IF($I332&lt;=0,"OUT OF STOCK",IF($I332&lt;=$F332,"LOW",IF($I332&lt;=$F332*Settings!$C$7,"WATCH","OK"))))))</f>
        <v/>
      </c>
      <c r="Q332" s="29" t="str">
        <f>IF($A332="","",IF($P332="NEGATIVE","Issued more than received - add the missing receipt",IF($P332="OUT OF STOCK","Reorder immediately",IF($P332="LOW","Raise purchase order",IF($P332="Set threshold","Enter Critical Low in Items",IF(AND($N332&lt;&gt;"",$N332&lt;=0),"Quarantine expired lot",IF(AND($N332&lt;&gt;"",$N332&lt;=Settings!$C$6),"Use or rotate stock now","")))))))</f>
        <v/>
      </c>
    </row>
    <row r="333" spans="1:17" x14ac:dyDescent="0.35">
      <c r="A333" s="18" t="str">
        <f>IF(Items!$A330="","",Items!$A330)</f>
        <v/>
      </c>
      <c r="B333" s="18" t="str">
        <f>IF($A333="","",Items!$B330)</f>
        <v/>
      </c>
      <c r="C333" s="19" t="str">
        <f>IF($A333="","",Items!$G330)</f>
        <v/>
      </c>
      <c r="D333" s="20" t="str">
        <f>IF($A333="","",N(Items!$D330))</f>
        <v/>
      </c>
      <c r="E333" s="23" t="str">
        <f>IF($A333="","",Items!$E330)</f>
        <v/>
      </c>
      <c r="F333" s="23" t="str">
        <f>IF($A333="","",Items!$F330)</f>
        <v/>
      </c>
      <c r="G333" s="26" t="str">
        <f>IF($A333="","",SUMIFS(tblReceipts[Qty Received],tblReceipts[Item Name],$A333))</f>
        <v/>
      </c>
      <c r="H333" s="26" t="str">
        <f>IF($A333="","",SUMIFS(tblIssues[Qty Issued],tblIssues[Item Name],$A333))</f>
        <v/>
      </c>
      <c r="I333" s="27" t="str">
        <f t="shared" si="15"/>
        <v/>
      </c>
      <c r="J333" s="21" t="str">
        <f t="shared" si="16"/>
        <v/>
      </c>
      <c r="K333" s="26" t="str">
        <f>IF($A333="","",COUNTIFS(tblReceipts[Item Name],$A333))</f>
        <v/>
      </c>
      <c r="L333" s="26" t="str">
        <f>IF($A333="","",COUNTIFS(tblLotBalance[Item Name],$A333,tblLotBalance[Lot Balance],"&gt;0"))</f>
        <v/>
      </c>
      <c r="M333" s="24" t="str">
        <f>IF($A333="","",IF($L333=0,"",IFERROR(_xlfn.MINIFS(tblLotBalance[Expiry Date],tblLotBalance[Item Name],$A333,tblLotBalance[Lot Balance],"&gt;0"),"")))</f>
        <v/>
      </c>
      <c r="N333" s="26" t="str">
        <f t="shared" ca="1" si="17"/>
        <v/>
      </c>
      <c r="O333" s="18" t="str" cm="1">
        <f t="array" ref="O333">IF($M333="","",IFERROR(INDEX(tblLotBalance[Lot Number],MATCH(1,INDEX((tblLotBalance[Item Name]=$A333)*(tblLotBalance[Expiry Date]=$M333)*(tblLotBalance[Lot Balance]&gt;0),0),0)),""))</f>
        <v/>
      </c>
      <c r="P333" s="28" t="str">
        <f>IF($A333="","",IF($I333&lt;0,"NEGATIVE",IF(NOT(ISNUMBER($F333)),"Set threshold",IF($I333&lt;=0,"OUT OF STOCK",IF($I333&lt;=$F333,"LOW",IF($I333&lt;=$F333*Settings!$C$7,"WATCH","OK"))))))</f>
        <v/>
      </c>
      <c r="Q333" s="29" t="str">
        <f>IF($A333="","",IF($P333="NEGATIVE","Issued more than received - add the missing receipt",IF($P333="OUT OF STOCK","Reorder immediately",IF($P333="LOW","Raise purchase order",IF($P333="Set threshold","Enter Critical Low in Items",IF(AND($N333&lt;&gt;"",$N333&lt;=0),"Quarantine expired lot",IF(AND($N333&lt;&gt;"",$N333&lt;=Settings!$C$6),"Use or rotate stock now","")))))))</f>
        <v/>
      </c>
    </row>
    <row r="334" spans="1:17" x14ac:dyDescent="0.35">
      <c r="A334" s="18" t="str">
        <f>IF(Items!$A331="","",Items!$A331)</f>
        <v/>
      </c>
      <c r="B334" s="18" t="str">
        <f>IF($A334="","",Items!$B331)</f>
        <v/>
      </c>
      <c r="C334" s="19" t="str">
        <f>IF($A334="","",Items!$G331)</f>
        <v/>
      </c>
      <c r="D334" s="20" t="str">
        <f>IF($A334="","",N(Items!$D331))</f>
        <v/>
      </c>
      <c r="E334" s="23" t="str">
        <f>IF($A334="","",Items!$E331)</f>
        <v/>
      </c>
      <c r="F334" s="23" t="str">
        <f>IF($A334="","",Items!$F331)</f>
        <v/>
      </c>
      <c r="G334" s="26" t="str">
        <f>IF($A334="","",SUMIFS(tblReceipts[Qty Received],tblReceipts[Item Name],$A334))</f>
        <v/>
      </c>
      <c r="H334" s="26" t="str">
        <f>IF($A334="","",SUMIFS(tblIssues[Qty Issued],tblIssues[Item Name],$A334))</f>
        <v/>
      </c>
      <c r="I334" s="27" t="str">
        <f t="shared" si="15"/>
        <v/>
      </c>
      <c r="J334" s="21" t="str">
        <f t="shared" si="16"/>
        <v/>
      </c>
      <c r="K334" s="26" t="str">
        <f>IF($A334="","",COUNTIFS(tblReceipts[Item Name],$A334))</f>
        <v/>
      </c>
      <c r="L334" s="26" t="str">
        <f>IF($A334="","",COUNTIFS(tblLotBalance[Item Name],$A334,tblLotBalance[Lot Balance],"&gt;0"))</f>
        <v/>
      </c>
      <c r="M334" s="24" t="str">
        <f>IF($A334="","",IF($L334=0,"",IFERROR(_xlfn.MINIFS(tblLotBalance[Expiry Date],tblLotBalance[Item Name],$A334,tblLotBalance[Lot Balance],"&gt;0"),"")))</f>
        <v/>
      </c>
      <c r="N334" s="26" t="str">
        <f t="shared" ca="1" si="17"/>
        <v/>
      </c>
      <c r="O334" s="18" t="str" cm="1">
        <f t="array" ref="O334">IF($M334="","",IFERROR(INDEX(tblLotBalance[Lot Number],MATCH(1,INDEX((tblLotBalance[Item Name]=$A334)*(tblLotBalance[Expiry Date]=$M334)*(tblLotBalance[Lot Balance]&gt;0),0),0)),""))</f>
        <v/>
      </c>
      <c r="P334" s="28" t="str">
        <f>IF($A334="","",IF($I334&lt;0,"NEGATIVE",IF(NOT(ISNUMBER($F334)),"Set threshold",IF($I334&lt;=0,"OUT OF STOCK",IF($I334&lt;=$F334,"LOW",IF($I334&lt;=$F334*Settings!$C$7,"WATCH","OK"))))))</f>
        <v/>
      </c>
      <c r="Q334" s="29" t="str">
        <f>IF($A334="","",IF($P334="NEGATIVE","Issued more than received - add the missing receipt",IF($P334="OUT OF STOCK","Reorder immediately",IF($P334="LOW","Raise purchase order",IF($P334="Set threshold","Enter Critical Low in Items",IF(AND($N334&lt;&gt;"",$N334&lt;=0),"Quarantine expired lot",IF(AND($N334&lt;&gt;"",$N334&lt;=Settings!$C$6),"Use or rotate stock now","")))))))</f>
        <v/>
      </c>
    </row>
    <row r="335" spans="1:17" x14ac:dyDescent="0.35">
      <c r="A335" s="18" t="str">
        <f>IF(Items!$A332="","",Items!$A332)</f>
        <v/>
      </c>
      <c r="B335" s="18" t="str">
        <f>IF($A335="","",Items!$B332)</f>
        <v/>
      </c>
      <c r="C335" s="19" t="str">
        <f>IF($A335="","",Items!$G332)</f>
        <v/>
      </c>
      <c r="D335" s="20" t="str">
        <f>IF($A335="","",N(Items!$D332))</f>
        <v/>
      </c>
      <c r="E335" s="23" t="str">
        <f>IF($A335="","",Items!$E332)</f>
        <v/>
      </c>
      <c r="F335" s="23" t="str">
        <f>IF($A335="","",Items!$F332)</f>
        <v/>
      </c>
      <c r="G335" s="26" t="str">
        <f>IF($A335="","",SUMIFS(tblReceipts[Qty Received],tblReceipts[Item Name],$A335))</f>
        <v/>
      </c>
      <c r="H335" s="26" t="str">
        <f>IF($A335="","",SUMIFS(tblIssues[Qty Issued],tblIssues[Item Name],$A335))</f>
        <v/>
      </c>
      <c r="I335" s="27" t="str">
        <f t="shared" si="15"/>
        <v/>
      </c>
      <c r="J335" s="21" t="str">
        <f t="shared" si="16"/>
        <v/>
      </c>
      <c r="K335" s="26" t="str">
        <f>IF($A335="","",COUNTIFS(tblReceipts[Item Name],$A335))</f>
        <v/>
      </c>
      <c r="L335" s="26" t="str">
        <f>IF($A335="","",COUNTIFS(tblLotBalance[Item Name],$A335,tblLotBalance[Lot Balance],"&gt;0"))</f>
        <v/>
      </c>
      <c r="M335" s="24" t="str">
        <f>IF($A335="","",IF($L335=0,"",IFERROR(_xlfn.MINIFS(tblLotBalance[Expiry Date],tblLotBalance[Item Name],$A335,tblLotBalance[Lot Balance],"&gt;0"),"")))</f>
        <v/>
      </c>
      <c r="N335" s="26" t="str">
        <f t="shared" ca="1" si="17"/>
        <v/>
      </c>
      <c r="O335" s="18" t="str" cm="1">
        <f t="array" ref="O335">IF($M335="","",IFERROR(INDEX(tblLotBalance[Lot Number],MATCH(1,INDEX((tblLotBalance[Item Name]=$A335)*(tblLotBalance[Expiry Date]=$M335)*(tblLotBalance[Lot Balance]&gt;0),0),0)),""))</f>
        <v/>
      </c>
      <c r="P335" s="28" t="str">
        <f>IF($A335="","",IF($I335&lt;0,"NEGATIVE",IF(NOT(ISNUMBER($F335)),"Set threshold",IF($I335&lt;=0,"OUT OF STOCK",IF($I335&lt;=$F335,"LOW",IF($I335&lt;=$F335*Settings!$C$7,"WATCH","OK"))))))</f>
        <v/>
      </c>
      <c r="Q335" s="29" t="str">
        <f>IF($A335="","",IF($P335="NEGATIVE","Issued more than received - add the missing receipt",IF($P335="OUT OF STOCK","Reorder immediately",IF($P335="LOW","Raise purchase order",IF($P335="Set threshold","Enter Critical Low in Items",IF(AND($N335&lt;&gt;"",$N335&lt;=0),"Quarantine expired lot",IF(AND($N335&lt;&gt;"",$N335&lt;=Settings!$C$6),"Use or rotate stock now","")))))))</f>
        <v/>
      </c>
    </row>
    <row r="336" spans="1:17" x14ac:dyDescent="0.35">
      <c r="A336" s="18" t="str">
        <f>IF(Items!$A333="","",Items!$A333)</f>
        <v/>
      </c>
      <c r="B336" s="18" t="str">
        <f>IF($A336="","",Items!$B333)</f>
        <v/>
      </c>
      <c r="C336" s="19" t="str">
        <f>IF($A336="","",Items!$G333)</f>
        <v/>
      </c>
      <c r="D336" s="20" t="str">
        <f>IF($A336="","",N(Items!$D333))</f>
        <v/>
      </c>
      <c r="E336" s="23" t="str">
        <f>IF($A336="","",Items!$E333)</f>
        <v/>
      </c>
      <c r="F336" s="23" t="str">
        <f>IF($A336="","",Items!$F333)</f>
        <v/>
      </c>
      <c r="G336" s="26" t="str">
        <f>IF($A336="","",SUMIFS(tblReceipts[Qty Received],tblReceipts[Item Name],$A336))</f>
        <v/>
      </c>
      <c r="H336" s="26" t="str">
        <f>IF($A336="","",SUMIFS(tblIssues[Qty Issued],tblIssues[Item Name],$A336))</f>
        <v/>
      </c>
      <c r="I336" s="27" t="str">
        <f t="shared" si="15"/>
        <v/>
      </c>
      <c r="J336" s="21" t="str">
        <f t="shared" si="16"/>
        <v/>
      </c>
      <c r="K336" s="26" t="str">
        <f>IF($A336="","",COUNTIFS(tblReceipts[Item Name],$A336))</f>
        <v/>
      </c>
      <c r="L336" s="26" t="str">
        <f>IF($A336="","",COUNTIFS(tblLotBalance[Item Name],$A336,tblLotBalance[Lot Balance],"&gt;0"))</f>
        <v/>
      </c>
      <c r="M336" s="24" t="str">
        <f>IF($A336="","",IF($L336=0,"",IFERROR(_xlfn.MINIFS(tblLotBalance[Expiry Date],tblLotBalance[Item Name],$A336,tblLotBalance[Lot Balance],"&gt;0"),"")))</f>
        <v/>
      </c>
      <c r="N336" s="26" t="str">
        <f t="shared" ca="1" si="17"/>
        <v/>
      </c>
      <c r="O336" s="18" t="str" cm="1">
        <f t="array" ref="O336">IF($M336="","",IFERROR(INDEX(tblLotBalance[Lot Number],MATCH(1,INDEX((tblLotBalance[Item Name]=$A336)*(tblLotBalance[Expiry Date]=$M336)*(tblLotBalance[Lot Balance]&gt;0),0),0)),""))</f>
        <v/>
      </c>
      <c r="P336" s="28" t="str">
        <f>IF($A336="","",IF($I336&lt;0,"NEGATIVE",IF(NOT(ISNUMBER($F336)),"Set threshold",IF($I336&lt;=0,"OUT OF STOCK",IF($I336&lt;=$F336,"LOW",IF($I336&lt;=$F336*Settings!$C$7,"WATCH","OK"))))))</f>
        <v/>
      </c>
      <c r="Q336" s="29" t="str">
        <f>IF($A336="","",IF($P336="NEGATIVE","Issued more than received - add the missing receipt",IF($P336="OUT OF STOCK","Reorder immediately",IF($P336="LOW","Raise purchase order",IF($P336="Set threshold","Enter Critical Low in Items",IF(AND($N336&lt;&gt;"",$N336&lt;=0),"Quarantine expired lot",IF(AND($N336&lt;&gt;"",$N336&lt;=Settings!$C$6),"Use or rotate stock now","")))))))</f>
        <v/>
      </c>
    </row>
    <row r="337" spans="1:17" x14ac:dyDescent="0.35">
      <c r="A337" s="18" t="str">
        <f>IF(Items!$A334="","",Items!$A334)</f>
        <v/>
      </c>
      <c r="B337" s="18" t="str">
        <f>IF($A337="","",Items!$B334)</f>
        <v/>
      </c>
      <c r="C337" s="19" t="str">
        <f>IF($A337="","",Items!$G334)</f>
        <v/>
      </c>
      <c r="D337" s="20" t="str">
        <f>IF($A337="","",N(Items!$D334))</f>
        <v/>
      </c>
      <c r="E337" s="23" t="str">
        <f>IF($A337="","",Items!$E334)</f>
        <v/>
      </c>
      <c r="F337" s="23" t="str">
        <f>IF($A337="","",Items!$F334)</f>
        <v/>
      </c>
      <c r="G337" s="26" t="str">
        <f>IF($A337="","",SUMIFS(tblReceipts[Qty Received],tblReceipts[Item Name],$A337))</f>
        <v/>
      </c>
      <c r="H337" s="26" t="str">
        <f>IF($A337="","",SUMIFS(tblIssues[Qty Issued],tblIssues[Item Name],$A337))</f>
        <v/>
      </c>
      <c r="I337" s="27" t="str">
        <f t="shared" si="15"/>
        <v/>
      </c>
      <c r="J337" s="21" t="str">
        <f t="shared" si="16"/>
        <v/>
      </c>
      <c r="K337" s="26" t="str">
        <f>IF($A337="","",COUNTIFS(tblReceipts[Item Name],$A337))</f>
        <v/>
      </c>
      <c r="L337" s="26" t="str">
        <f>IF($A337="","",COUNTIFS(tblLotBalance[Item Name],$A337,tblLotBalance[Lot Balance],"&gt;0"))</f>
        <v/>
      </c>
      <c r="M337" s="24" t="str">
        <f>IF($A337="","",IF($L337=0,"",IFERROR(_xlfn.MINIFS(tblLotBalance[Expiry Date],tblLotBalance[Item Name],$A337,tblLotBalance[Lot Balance],"&gt;0"),"")))</f>
        <v/>
      </c>
      <c r="N337" s="26" t="str">
        <f t="shared" ca="1" si="17"/>
        <v/>
      </c>
      <c r="O337" s="18" t="str" cm="1">
        <f t="array" ref="O337">IF($M337="","",IFERROR(INDEX(tblLotBalance[Lot Number],MATCH(1,INDEX((tblLotBalance[Item Name]=$A337)*(tblLotBalance[Expiry Date]=$M337)*(tblLotBalance[Lot Balance]&gt;0),0),0)),""))</f>
        <v/>
      </c>
      <c r="P337" s="28" t="str">
        <f>IF($A337="","",IF($I337&lt;0,"NEGATIVE",IF(NOT(ISNUMBER($F337)),"Set threshold",IF($I337&lt;=0,"OUT OF STOCK",IF($I337&lt;=$F337,"LOW",IF($I337&lt;=$F337*Settings!$C$7,"WATCH","OK"))))))</f>
        <v/>
      </c>
      <c r="Q337" s="29" t="str">
        <f>IF($A337="","",IF($P337="NEGATIVE","Issued more than received - add the missing receipt",IF($P337="OUT OF STOCK","Reorder immediately",IF($P337="LOW","Raise purchase order",IF($P337="Set threshold","Enter Critical Low in Items",IF(AND($N337&lt;&gt;"",$N337&lt;=0),"Quarantine expired lot",IF(AND($N337&lt;&gt;"",$N337&lt;=Settings!$C$6),"Use or rotate stock now","")))))))</f>
        <v/>
      </c>
    </row>
    <row r="338" spans="1:17" x14ac:dyDescent="0.35">
      <c r="A338" s="18" t="str">
        <f>IF(Items!$A335="","",Items!$A335)</f>
        <v/>
      </c>
      <c r="B338" s="18" t="str">
        <f>IF($A338="","",Items!$B335)</f>
        <v/>
      </c>
      <c r="C338" s="19" t="str">
        <f>IF($A338="","",Items!$G335)</f>
        <v/>
      </c>
      <c r="D338" s="20" t="str">
        <f>IF($A338="","",N(Items!$D335))</f>
        <v/>
      </c>
      <c r="E338" s="23" t="str">
        <f>IF($A338="","",Items!$E335)</f>
        <v/>
      </c>
      <c r="F338" s="23" t="str">
        <f>IF($A338="","",Items!$F335)</f>
        <v/>
      </c>
      <c r="G338" s="26" t="str">
        <f>IF($A338="","",SUMIFS(tblReceipts[Qty Received],tblReceipts[Item Name],$A338))</f>
        <v/>
      </c>
      <c r="H338" s="26" t="str">
        <f>IF($A338="","",SUMIFS(tblIssues[Qty Issued],tblIssues[Item Name],$A338))</f>
        <v/>
      </c>
      <c r="I338" s="27" t="str">
        <f t="shared" si="15"/>
        <v/>
      </c>
      <c r="J338" s="21" t="str">
        <f t="shared" si="16"/>
        <v/>
      </c>
      <c r="K338" s="26" t="str">
        <f>IF($A338="","",COUNTIFS(tblReceipts[Item Name],$A338))</f>
        <v/>
      </c>
      <c r="L338" s="26" t="str">
        <f>IF($A338="","",COUNTIFS(tblLotBalance[Item Name],$A338,tblLotBalance[Lot Balance],"&gt;0"))</f>
        <v/>
      </c>
      <c r="M338" s="24" t="str">
        <f>IF($A338="","",IF($L338=0,"",IFERROR(_xlfn.MINIFS(tblLotBalance[Expiry Date],tblLotBalance[Item Name],$A338,tblLotBalance[Lot Balance],"&gt;0"),"")))</f>
        <v/>
      </c>
      <c r="N338" s="26" t="str">
        <f t="shared" ca="1" si="17"/>
        <v/>
      </c>
      <c r="O338" s="18" t="str" cm="1">
        <f t="array" ref="O338">IF($M338="","",IFERROR(INDEX(tblLotBalance[Lot Number],MATCH(1,INDEX((tblLotBalance[Item Name]=$A338)*(tblLotBalance[Expiry Date]=$M338)*(tblLotBalance[Lot Balance]&gt;0),0),0)),""))</f>
        <v/>
      </c>
      <c r="P338" s="28" t="str">
        <f>IF($A338="","",IF($I338&lt;0,"NEGATIVE",IF(NOT(ISNUMBER($F338)),"Set threshold",IF($I338&lt;=0,"OUT OF STOCK",IF($I338&lt;=$F338,"LOW",IF($I338&lt;=$F338*Settings!$C$7,"WATCH","OK"))))))</f>
        <v/>
      </c>
      <c r="Q338" s="29" t="str">
        <f>IF($A338="","",IF($P338="NEGATIVE","Issued more than received - add the missing receipt",IF($P338="OUT OF STOCK","Reorder immediately",IF($P338="LOW","Raise purchase order",IF($P338="Set threshold","Enter Critical Low in Items",IF(AND($N338&lt;&gt;"",$N338&lt;=0),"Quarantine expired lot",IF(AND($N338&lt;&gt;"",$N338&lt;=Settings!$C$6),"Use or rotate stock now","")))))))</f>
        <v/>
      </c>
    </row>
    <row r="339" spans="1:17" x14ac:dyDescent="0.35">
      <c r="A339" s="18" t="str">
        <f>IF(Items!$A336="","",Items!$A336)</f>
        <v/>
      </c>
      <c r="B339" s="18" t="str">
        <f>IF($A339="","",Items!$B336)</f>
        <v/>
      </c>
      <c r="C339" s="19" t="str">
        <f>IF($A339="","",Items!$G336)</f>
        <v/>
      </c>
      <c r="D339" s="20" t="str">
        <f>IF($A339="","",N(Items!$D336))</f>
        <v/>
      </c>
      <c r="E339" s="23" t="str">
        <f>IF($A339="","",Items!$E336)</f>
        <v/>
      </c>
      <c r="F339" s="23" t="str">
        <f>IF($A339="","",Items!$F336)</f>
        <v/>
      </c>
      <c r="G339" s="26" t="str">
        <f>IF($A339="","",SUMIFS(tblReceipts[Qty Received],tblReceipts[Item Name],$A339))</f>
        <v/>
      </c>
      <c r="H339" s="26" t="str">
        <f>IF($A339="","",SUMIFS(tblIssues[Qty Issued],tblIssues[Item Name],$A339))</f>
        <v/>
      </c>
      <c r="I339" s="27" t="str">
        <f t="shared" si="15"/>
        <v/>
      </c>
      <c r="J339" s="21" t="str">
        <f t="shared" si="16"/>
        <v/>
      </c>
      <c r="K339" s="26" t="str">
        <f>IF($A339="","",COUNTIFS(tblReceipts[Item Name],$A339))</f>
        <v/>
      </c>
      <c r="L339" s="26" t="str">
        <f>IF($A339="","",COUNTIFS(tblLotBalance[Item Name],$A339,tblLotBalance[Lot Balance],"&gt;0"))</f>
        <v/>
      </c>
      <c r="M339" s="24" t="str">
        <f>IF($A339="","",IF($L339=0,"",IFERROR(_xlfn.MINIFS(tblLotBalance[Expiry Date],tblLotBalance[Item Name],$A339,tblLotBalance[Lot Balance],"&gt;0"),"")))</f>
        <v/>
      </c>
      <c r="N339" s="26" t="str">
        <f t="shared" ca="1" si="17"/>
        <v/>
      </c>
      <c r="O339" s="18" t="str" cm="1">
        <f t="array" ref="O339">IF($M339="","",IFERROR(INDEX(tblLotBalance[Lot Number],MATCH(1,INDEX((tblLotBalance[Item Name]=$A339)*(tblLotBalance[Expiry Date]=$M339)*(tblLotBalance[Lot Balance]&gt;0),0),0)),""))</f>
        <v/>
      </c>
      <c r="P339" s="28" t="str">
        <f>IF($A339="","",IF($I339&lt;0,"NEGATIVE",IF(NOT(ISNUMBER($F339)),"Set threshold",IF($I339&lt;=0,"OUT OF STOCK",IF($I339&lt;=$F339,"LOW",IF($I339&lt;=$F339*Settings!$C$7,"WATCH","OK"))))))</f>
        <v/>
      </c>
      <c r="Q339" s="29" t="str">
        <f>IF($A339="","",IF($P339="NEGATIVE","Issued more than received - add the missing receipt",IF($P339="OUT OF STOCK","Reorder immediately",IF($P339="LOW","Raise purchase order",IF($P339="Set threshold","Enter Critical Low in Items",IF(AND($N339&lt;&gt;"",$N339&lt;=0),"Quarantine expired lot",IF(AND($N339&lt;&gt;"",$N339&lt;=Settings!$C$6),"Use or rotate stock now","")))))))</f>
        <v/>
      </c>
    </row>
    <row r="340" spans="1:17" x14ac:dyDescent="0.35">
      <c r="A340" s="18" t="str">
        <f>IF(Items!$A337="","",Items!$A337)</f>
        <v/>
      </c>
      <c r="B340" s="18" t="str">
        <f>IF($A340="","",Items!$B337)</f>
        <v/>
      </c>
      <c r="C340" s="19" t="str">
        <f>IF($A340="","",Items!$G337)</f>
        <v/>
      </c>
      <c r="D340" s="20" t="str">
        <f>IF($A340="","",N(Items!$D337))</f>
        <v/>
      </c>
      <c r="E340" s="23" t="str">
        <f>IF($A340="","",Items!$E337)</f>
        <v/>
      </c>
      <c r="F340" s="23" t="str">
        <f>IF($A340="","",Items!$F337)</f>
        <v/>
      </c>
      <c r="G340" s="26" t="str">
        <f>IF($A340="","",SUMIFS(tblReceipts[Qty Received],tblReceipts[Item Name],$A340))</f>
        <v/>
      </c>
      <c r="H340" s="26" t="str">
        <f>IF($A340="","",SUMIFS(tblIssues[Qty Issued],tblIssues[Item Name],$A340))</f>
        <v/>
      </c>
      <c r="I340" s="27" t="str">
        <f t="shared" si="15"/>
        <v/>
      </c>
      <c r="J340" s="21" t="str">
        <f t="shared" si="16"/>
        <v/>
      </c>
      <c r="K340" s="26" t="str">
        <f>IF($A340="","",COUNTIFS(tblReceipts[Item Name],$A340))</f>
        <v/>
      </c>
      <c r="L340" s="26" t="str">
        <f>IF($A340="","",COUNTIFS(tblLotBalance[Item Name],$A340,tblLotBalance[Lot Balance],"&gt;0"))</f>
        <v/>
      </c>
      <c r="M340" s="24" t="str">
        <f>IF($A340="","",IF($L340=0,"",IFERROR(_xlfn.MINIFS(tblLotBalance[Expiry Date],tblLotBalance[Item Name],$A340,tblLotBalance[Lot Balance],"&gt;0"),"")))</f>
        <v/>
      </c>
      <c r="N340" s="26" t="str">
        <f t="shared" ca="1" si="17"/>
        <v/>
      </c>
      <c r="O340" s="18" t="str" cm="1">
        <f t="array" ref="O340">IF($M340="","",IFERROR(INDEX(tblLotBalance[Lot Number],MATCH(1,INDEX((tblLotBalance[Item Name]=$A340)*(tblLotBalance[Expiry Date]=$M340)*(tblLotBalance[Lot Balance]&gt;0),0),0)),""))</f>
        <v/>
      </c>
      <c r="P340" s="28" t="str">
        <f>IF($A340="","",IF($I340&lt;0,"NEGATIVE",IF(NOT(ISNUMBER($F340)),"Set threshold",IF($I340&lt;=0,"OUT OF STOCK",IF($I340&lt;=$F340,"LOW",IF($I340&lt;=$F340*Settings!$C$7,"WATCH","OK"))))))</f>
        <v/>
      </c>
      <c r="Q340" s="29" t="str">
        <f>IF($A340="","",IF($P340="NEGATIVE","Issued more than received - add the missing receipt",IF($P340="OUT OF STOCK","Reorder immediately",IF($P340="LOW","Raise purchase order",IF($P340="Set threshold","Enter Critical Low in Items",IF(AND($N340&lt;&gt;"",$N340&lt;=0),"Quarantine expired lot",IF(AND($N340&lt;&gt;"",$N340&lt;=Settings!$C$6),"Use or rotate stock now","")))))))</f>
        <v/>
      </c>
    </row>
    <row r="341" spans="1:17" x14ac:dyDescent="0.35">
      <c r="A341" s="18" t="str">
        <f>IF(Items!$A338="","",Items!$A338)</f>
        <v/>
      </c>
      <c r="B341" s="18" t="str">
        <f>IF($A341="","",Items!$B338)</f>
        <v/>
      </c>
      <c r="C341" s="19" t="str">
        <f>IF($A341="","",Items!$G338)</f>
        <v/>
      </c>
      <c r="D341" s="20" t="str">
        <f>IF($A341="","",N(Items!$D338))</f>
        <v/>
      </c>
      <c r="E341" s="23" t="str">
        <f>IF($A341="","",Items!$E338)</f>
        <v/>
      </c>
      <c r="F341" s="23" t="str">
        <f>IF($A341="","",Items!$F338)</f>
        <v/>
      </c>
      <c r="G341" s="26" t="str">
        <f>IF($A341="","",SUMIFS(tblReceipts[Qty Received],tblReceipts[Item Name],$A341))</f>
        <v/>
      </c>
      <c r="H341" s="26" t="str">
        <f>IF($A341="","",SUMIFS(tblIssues[Qty Issued],tblIssues[Item Name],$A341))</f>
        <v/>
      </c>
      <c r="I341" s="27" t="str">
        <f t="shared" si="15"/>
        <v/>
      </c>
      <c r="J341" s="21" t="str">
        <f t="shared" si="16"/>
        <v/>
      </c>
      <c r="K341" s="26" t="str">
        <f>IF($A341="","",COUNTIFS(tblReceipts[Item Name],$A341))</f>
        <v/>
      </c>
      <c r="L341" s="26" t="str">
        <f>IF($A341="","",COUNTIFS(tblLotBalance[Item Name],$A341,tblLotBalance[Lot Balance],"&gt;0"))</f>
        <v/>
      </c>
      <c r="M341" s="24" t="str">
        <f>IF($A341="","",IF($L341=0,"",IFERROR(_xlfn.MINIFS(tblLotBalance[Expiry Date],tblLotBalance[Item Name],$A341,tblLotBalance[Lot Balance],"&gt;0"),"")))</f>
        <v/>
      </c>
      <c r="N341" s="26" t="str">
        <f t="shared" ca="1" si="17"/>
        <v/>
      </c>
      <c r="O341" s="18" t="str" cm="1">
        <f t="array" ref="O341">IF($M341="","",IFERROR(INDEX(tblLotBalance[Lot Number],MATCH(1,INDEX((tblLotBalance[Item Name]=$A341)*(tblLotBalance[Expiry Date]=$M341)*(tblLotBalance[Lot Balance]&gt;0),0),0)),""))</f>
        <v/>
      </c>
      <c r="P341" s="28" t="str">
        <f>IF($A341="","",IF($I341&lt;0,"NEGATIVE",IF(NOT(ISNUMBER($F341)),"Set threshold",IF($I341&lt;=0,"OUT OF STOCK",IF($I341&lt;=$F341,"LOW",IF($I341&lt;=$F341*Settings!$C$7,"WATCH","OK"))))))</f>
        <v/>
      </c>
      <c r="Q341" s="29" t="str">
        <f>IF($A341="","",IF($P341="NEGATIVE","Issued more than received - add the missing receipt",IF($P341="OUT OF STOCK","Reorder immediately",IF($P341="LOW","Raise purchase order",IF($P341="Set threshold","Enter Critical Low in Items",IF(AND($N341&lt;&gt;"",$N341&lt;=0),"Quarantine expired lot",IF(AND($N341&lt;&gt;"",$N341&lt;=Settings!$C$6),"Use or rotate stock now","")))))))</f>
        <v/>
      </c>
    </row>
    <row r="342" spans="1:17" x14ac:dyDescent="0.35">
      <c r="A342" s="18" t="str">
        <f>IF(Items!$A339="","",Items!$A339)</f>
        <v/>
      </c>
      <c r="B342" s="18" t="str">
        <f>IF($A342="","",Items!$B339)</f>
        <v/>
      </c>
      <c r="C342" s="19" t="str">
        <f>IF($A342="","",Items!$G339)</f>
        <v/>
      </c>
      <c r="D342" s="20" t="str">
        <f>IF($A342="","",N(Items!$D339))</f>
        <v/>
      </c>
      <c r="E342" s="23" t="str">
        <f>IF($A342="","",Items!$E339)</f>
        <v/>
      </c>
      <c r="F342" s="23" t="str">
        <f>IF($A342="","",Items!$F339)</f>
        <v/>
      </c>
      <c r="G342" s="26" t="str">
        <f>IF($A342="","",SUMIFS(tblReceipts[Qty Received],tblReceipts[Item Name],$A342))</f>
        <v/>
      </c>
      <c r="H342" s="26" t="str">
        <f>IF($A342="","",SUMIFS(tblIssues[Qty Issued],tblIssues[Item Name],$A342))</f>
        <v/>
      </c>
      <c r="I342" s="27" t="str">
        <f t="shared" si="15"/>
        <v/>
      </c>
      <c r="J342" s="21" t="str">
        <f t="shared" si="16"/>
        <v/>
      </c>
      <c r="K342" s="26" t="str">
        <f>IF($A342="","",COUNTIFS(tblReceipts[Item Name],$A342))</f>
        <v/>
      </c>
      <c r="L342" s="26" t="str">
        <f>IF($A342="","",COUNTIFS(tblLotBalance[Item Name],$A342,tblLotBalance[Lot Balance],"&gt;0"))</f>
        <v/>
      </c>
      <c r="M342" s="24" t="str">
        <f>IF($A342="","",IF($L342=0,"",IFERROR(_xlfn.MINIFS(tblLotBalance[Expiry Date],tblLotBalance[Item Name],$A342,tblLotBalance[Lot Balance],"&gt;0"),"")))</f>
        <v/>
      </c>
      <c r="N342" s="26" t="str">
        <f t="shared" ca="1" si="17"/>
        <v/>
      </c>
      <c r="O342" s="18" t="str" cm="1">
        <f t="array" ref="O342">IF($M342="","",IFERROR(INDEX(tblLotBalance[Lot Number],MATCH(1,INDEX((tblLotBalance[Item Name]=$A342)*(tblLotBalance[Expiry Date]=$M342)*(tblLotBalance[Lot Balance]&gt;0),0),0)),""))</f>
        <v/>
      </c>
      <c r="P342" s="28" t="str">
        <f>IF($A342="","",IF($I342&lt;0,"NEGATIVE",IF(NOT(ISNUMBER($F342)),"Set threshold",IF($I342&lt;=0,"OUT OF STOCK",IF($I342&lt;=$F342,"LOW",IF($I342&lt;=$F342*Settings!$C$7,"WATCH","OK"))))))</f>
        <v/>
      </c>
      <c r="Q342" s="29" t="str">
        <f>IF($A342="","",IF($P342="NEGATIVE","Issued more than received - add the missing receipt",IF($P342="OUT OF STOCK","Reorder immediately",IF($P342="LOW","Raise purchase order",IF($P342="Set threshold","Enter Critical Low in Items",IF(AND($N342&lt;&gt;"",$N342&lt;=0),"Quarantine expired lot",IF(AND($N342&lt;&gt;"",$N342&lt;=Settings!$C$6),"Use or rotate stock now","")))))))</f>
        <v/>
      </c>
    </row>
    <row r="343" spans="1:17" x14ac:dyDescent="0.35">
      <c r="A343" s="18" t="str">
        <f>IF(Items!$A340="","",Items!$A340)</f>
        <v/>
      </c>
      <c r="B343" s="18" t="str">
        <f>IF($A343="","",Items!$B340)</f>
        <v/>
      </c>
      <c r="C343" s="19" t="str">
        <f>IF($A343="","",Items!$G340)</f>
        <v/>
      </c>
      <c r="D343" s="20" t="str">
        <f>IF($A343="","",N(Items!$D340))</f>
        <v/>
      </c>
      <c r="E343" s="23" t="str">
        <f>IF($A343="","",Items!$E340)</f>
        <v/>
      </c>
      <c r="F343" s="23" t="str">
        <f>IF($A343="","",Items!$F340)</f>
        <v/>
      </c>
      <c r="G343" s="26" t="str">
        <f>IF($A343="","",SUMIFS(tblReceipts[Qty Received],tblReceipts[Item Name],$A343))</f>
        <v/>
      </c>
      <c r="H343" s="26" t="str">
        <f>IF($A343="","",SUMIFS(tblIssues[Qty Issued],tblIssues[Item Name],$A343))</f>
        <v/>
      </c>
      <c r="I343" s="27" t="str">
        <f t="shared" si="15"/>
        <v/>
      </c>
      <c r="J343" s="21" t="str">
        <f t="shared" si="16"/>
        <v/>
      </c>
      <c r="K343" s="26" t="str">
        <f>IF($A343="","",COUNTIFS(tblReceipts[Item Name],$A343))</f>
        <v/>
      </c>
      <c r="L343" s="26" t="str">
        <f>IF($A343="","",COUNTIFS(tblLotBalance[Item Name],$A343,tblLotBalance[Lot Balance],"&gt;0"))</f>
        <v/>
      </c>
      <c r="M343" s="24" t="str">
        <f>IF($A343="","",IF($L343=0,"",IFERROR(_xlfn.MINIFS(tblLotBalance[Expiry Date],tblLotBalance[Item Name],$A343,tblLotBalance[Lot Balance],"&gt;0"),"")))</f>
        <v/>
      </c>
      <c r="N343" s="26" t="str">
        <f t="shared" ca="1" si="17"/>
        <v/>
      </c>
      <c r="O343" s="18" t="str" cm="1">
        <f t="array" ref="O343">IF($M343="","",IFERROR(INDEX(tblLotBalance[Lot Number],MATCH(1,INDEX((tblLotBalance[Item Name]=$A343)*(tblLotBalance[Expiry Date]=$M343)*(tblLotBalance[Lot Balance]&gt;0),0),0)),""))</f>
        <v/>
      </c>
      <c r="P343" s="28" t="str">
        <f>IF($A343="","",IF($I343&lt;0,"NEGATIVE",IF(NOT(ISNUMBER($F343)),"Set threshold",IF($I343&lt;=0,"OUT OF STOCK",IF($I343&lt;=$F343,"LOW",IF($I343&lt;=$F343*Settings!$C$7,"WATCH","OK"))))))</f>
        <v/>
      </c>
      <c r="Q343" s="29" t="str">
        <f>IF($A343="","",IF($P343="NEGATIVE","Issued more than received - add the missing receipt",IF($P343="OUT OF STOCK","Reorder immediately",IF($P343="LOW","Raise purchase order",IF($P343="Set threshold","Enter Critical Low in Items",IF(AND($N343&lt;&gt;"",$N343&lt;=0),"Quarantine expired lot",IF(AND($N343&lt;&gt;"",$N343&lt;=Settings!$C$6),"Use or rotate stock now","")))))))</f>
        <v/>
      </c>
    </row>
    <row r="344" spans="1:17" x14ac:dyDescent="0.35">
      <c r="A344" s="18" t="str">
        <f>IF(Items!$A341="","",Items!$A341)</f>
        <v/>
      </c>
      <c r="B344" s="18" t="str">
        <f>IF($A344="","",Items!$B341)</f>
        <v/>
      </c>
      <c r="C344" s="19" t="str">
        <f>IF($A344="","",Items!$G341)</f>
        <v/>
      </c>
      <c r="D344" s="20" t="str">
        <f>IF($A344="","",N(Items!$D341))</f>
        <v/>
      </c>
      <c r="E344" s="23" t="str">
        <f>IF($A344="","",Items!$E341)</f>
        <v/>
      </c>
      <c r="F344" s="23" t="str">
        <f>IF($A344="","",Items!$F341)</f>
        <v/>
      </c>
      <c r="G344" s="26" t="str">
        <f>IF($A344="","",SUMIFS(tblReceipts[Qty Received],tblReceipts[Item Name],$A344))</f>
        <v/>
      </c>
      <c r="H344" s="26" t="str">
        <f>IF($A344="","",SUMIFS(tblIssues[Qty Issued],tblIssues[Item Name],$A344))</f>
        <v/>
      </c>
      <c r="I344" s="27" t="str">
        <f t="shared" si="15"/>
        <v/>
      </c>
      <c r="J344" s="21" t="str">
        <f t="shared" si="16"/>
        <v/>
      </c>
      <c r="K344" s="26" t="str">
        <f>IF($A344="","",COUNTIFS(tblReceipts[Item Name],$A344))</f>
        <v/>
      </c>
      <c r="L344" s="26" t="str">
        <f>IF($A344="","",COUNTIFS(tblLotBalance[Item Name],$A344,tblLotBalance[Lot Balance],"&gt;0"))</f>
        <v/>
      </c>
      <c r="M344" s="24" t="str">
        <f>IF($A344="","",IF($L344=0,"",IFERROR(_xlfn.MINIFS(tblLotBalance[Expiry Date],tblLotBalance[Item Name],$A344,tblLotBalance[Lot Balance],"&gt;0"),"")))</f>
        <v/>
      </c>
      <c r="N344" s="26" t="str">
        <f t="shared" ca="1" si="17"/>
        <v/>
      </c>
      <c r="O344" s="18" t="str" cm="1">
        <f t="array" ref="O344">IF($M344="","",IFERROR(INDEX(tblLotBalance[Lot Number],MATCH(1,INDEX((tblLotBalance[Item Name]=$A344)*(tblLotBalance[Expiry Date]=$M344)*(tblLotBalance[Lot Balance]&gt;0),0),0)),""))</f>
        <v/>
      </c>
      <c r="P344" s="28" t="str">
        <f>IF($A344="","",IF($I344&lt;0,"NEGATIVE",IF(NOT(ISNUMBER($F344)),"Set threshold",IF($I344&lt;=0,"OUT OF STOCK",IF($I344&lt;=$F344,"LOW",IF($I344&lt;=$F344*Settings!$C$7,"WATCH","OK"))))))</f>
        <v/>
      </c>
      <c r="Q344" s="29" t="str">
        <f>IF($A344="","",IF($P344="NEGATIVE","Issued more than received - add the missing receipt",IF($P344="OUT OF STOCK","Reorder immediately",IF($P344="LOW","Raise purchase order",IF($P344="Set threshold","Enter Critical Low in Items",IF(AND($N344&lt;&gt;"",$N344&lt;=0),"Quarantine expired lot",IF(AND($N344&lt;&gt;"",$N344&lt;=Settings!$C$6),"Use or rotate stock now","")))))))</f>
        <v/>
      </c>
    </row>
    <row r="345" spans="1:17" x14ac:dyDescent="0.35">
      <c r="A345" s="18" t="str">
        <f>IF(Items!$A342="","",Items!$A342)</f>
        <v/>
      </c>
      <c r="B345" s="18" t="str">
        <f>IF($A345="","",Items!$B342)</f>
        <v/>
      </c>
      <c r="C345" s="19" t="str">
        <f>IF($A345="","",Items!$G342)</f>
        <v/>
      </c>
      <c r="D345" s="20" t="str">
        <f>IF($A345="","",N(Items!$D342))</f>
        <v/>
      </c>
      <c r="E345" s="23" t="str">
        <f>IF($A345="","",Items!$E342)</f>
        <v/>
      </c>
      <c r="F345" s="23" t="str">
        <f>IF($A345="","",Items!$F342)</f>
        <v/>
      </c>
      <c r="G345" s="26" t="str">
        <f>IF($A345="","",SUMIFS(tblReceipts[Qty Received],tblReceipts[Item Name],$A345))</f>
        <v/>
      </c>
      <c r="H345" s="26" t="str">
        <f>IF($A345="","",SUMIFS(tblIssues[Qty Issued],tblIssues[Item Name],$A345))</f>
        <v/>
      </c>
      <c r="I345" s="27" t="str">
        <f t="shared" si="15"/>
        <v/>
      </c>
      <c r="J345" s="21" t="str">
        <f t="shared" si="16"/>
        <v/>
      </c>
      <c r="K345" s="26" t="str">
        <f>IF($A345="","",COUNTIFS(tblReceipts[Item Name],$A345))</f>
        <v/>
      </c>
      <c r="L345" s="26" t="str">
        <f>IF($A345="","",COUNTIFS(tblLotBalance[Item Name],$A345,tblLotBalance[Lot Balance],"&gt;0"))</f>
        <v/>
      </c>
      <c r="M345" s="24" t="str">
        <f>IF($A345="","",IF($L345=0,"",IFERROR(_xlfn.MINIFS(tblLotBalance[Expiry Date],tblLotBalance[Item Name],$A345,tblLotBalance[Lot Balance],"&gt;0"),"")))</f>
        <v/>
      </c>
      <c r="N345" s="26" t="str">
        <f t="shared" ca="1" si="17"/>
        <v/>
      </c>
      <c r="O345" s="18" t="str" cm="1">
        <f t="array" ref="O345">IF($M345="","",IFERROR(INDEX(tblLotBalance[Lot Number],MATCH(1,INDEX((tblLotBalance[Item Name]=$A345)*(tblLotBalance[Expiry Date]=$M345)*(tblLotBalance[Lot Balance]&gt;0),0),0)),""))</f>
        <v/>
      </c>
      <c r="P345" s="28" t="str">
        <f>IF($A345="","",IF($I345&lt;0,"NEGATIVE",IF(NOT(ISNUMBER($F345)),"Set threshold",IF($I345&lt;=0,"OUT OF STOCK",IF($I345&lt;=$F345,"LOW",IF($I345&lt;=$F345*Settings!$C$7,"WATCH","OK"))))))</f>
        <v/>
      </c>
      <c r="Q345" s="29" t="str">
        <f>IF($A345="","",IF($P345="NEGATIVE","Issued more than received - add the missing receipt",IF($P345="OUT OF STOCK","Reorder immediately",IF($P345="LOW","Raise purchase order",IF($P345="Set threshold","Enter Critical Low in Items",IF(AND($N345&lt;&gt;"",$N345&lt;=0),"Quarantine expired lot",IF(AND($N345&lt;&gt;"",$N345&lt;=Settings!$C$6),"Use or rotate stock now","")))))))</f>
        <v/>
      </c>
    </row>
    <row r="346" spans="1:17" x14ac:dyDescent="0.35">
      <c r="A346" s="18" t="str">
        <f>IF(Items!$A343="","",Items!$A343)</f>
        <v/>
      </c>
      <c r="B346" s="18" t="str">
        <f>IF($A346="","",Items!$B343)</f>
        <v/>
      </c>
      <c r="C346" s="19" t="str">
        <f>IF($A346="","",Items!$G343)</f>
        <v/>
      </c>
      <c r="D346" s="20" t="str">
        <f>IF($A346="","",N(Items!$D343))</f>
        <v/>
      </c>
      <c r="E346" s="23" t="str">
        <f>IF($A346="","",Items!$E343)</f>
        <v/>
      </c>
      <c r="F346" s="23" t="str">
        <f>IF($A346="","",Items!$F343)</f>
        <v/>
      </c>
      <c r="G346" s="26" t="str">
        <f>IF($A346="","",SUMIFS(tblReceipts[Qty Received],tblReceipts[Item Name],$A346))</f>
        <v/>
      </c>
      <c r="H346" s="26" t="str">
        <f>IF($A346="","",SUMIFS(tblIssues[Qty Issued],tblIssues[Item Name],$A346))</f>
        <v/>
      </c>
      <c r="I346" s="27" t="str">
        <f t="shared" si="15"/>
        <v/>
      </c>
      <c r="J346" s="21" t="str">
        <f t="shared" si="16"/>
        <v/>
      </c>
      <c r="K346" s="26" t="str">
        <f>IF($A346="","",COUNTIFS(tblReceipts[Item Name],$A346))</f>
        <v/>
      </c>
      <c r="L346" s="26" t="str">
        <f>IF($A346="","",COUNTIFS(tblLotBalance[Item Name],$A346,tblLotBalance[Lot Balance],"&gt;0"))</f>
        <v/>
      </c>
      <c r="M346" s="24" t="str">
        <f>IF($A346="","",IF($L346=0,"",IFERROR(_xlfn.MINIFS(tblLotBalance[Expiry Date],tblLotBalance[Item Name],$A346,tblLotBalance[Lot Balance],"&gt;0"),"")))</f>
        <v/>
      </c>
      <c r="N346" s="26" t="str">
        <f t="shared" ca="1" si="17"/>
        <v/>
      </c>
      <c r="O346" s="18" t="str" cm="1">
        <f t="array" ref="O346">IF($M346="","",IFERROR(INDEX(tblLotBalance[Lot Number],MATCH(1,INDEX((tblLotBalance[Item Name]=$A346)*(tblLotBalance[Expiry Date]=$M346)*(tblLotBalance[Lot Balance]&gt;0),0),0)),""))</f>
        <v/>
      </c>
      <c r="P346" s="28" t="str">
        <f>IF($A346="","",IF($I346&lt;0,"NEGATIVE",IF(NOT(ISNUMBER($F346)),"Set threshold",IF($I346&lt;=0,"OUT OF STOCK",IF($I346&lt;=$F346,"LOW",IF($I346&lt;=$F346*Settings!$C$7,"WATCH","OK"))))))</f>
        <v/>
      </c>
      <c r="Q346" s="29" t="str">
        <f>IF($A346="","",IF($P346="NEGATIVE","Issued more than received - add the missing receipt",IF($P346="OUT OF STOCK","Reorder immediately",IF($P346="LOW","Raise purchase order",IF($P346="Set threshold","Enter Critical Low in Items",IF(AND($N346&lt;&gt;"",$N346&lt;=0),"Quarantine expired lot",IF(AND($N346&lt;&gt;"",$N346&lt;=Settings!$C$6),"Use or rotate stock now","")))))))</f>
        <v/>
      </c>
    </row>
    <row r="347" spans="1:17" x14ac:dyDescent="0.35">
      <c r="A347" s="18" t="str">
        <f>IF(Items!$A344="","",Items!$A344)</f>
        <v/>
      </c>
      <c r="B347" s="18" t="str">
        <f>IF($A347="","",Items!$B344)</f>
        <v/>
      </c>
      <c r="C347" s="19" t="str">
        <f>IF($A347="","",Items!$G344)</f>
        <v/>
      </c>
      <c r="D347" s="20" t="str">
        <f>IF($A347="","",N(Items!$D344))</f>
        <v/>
      </c>
      <c r="E347" s="23" t="str">
        <f>IF($A347="","",Items!$E344)</f>
        <v/>
      </c>
      <c r="F347" s="23" t="str">
        <f>IF($A347="","",Items!$F344)</f>
        <v/>
      </c>
      <c r="G347" s="26" t="str">
        <f>IF($A347="","",SUMIFS(tblReceipts[Qty Received],tblReceipts[Item Name],$A347))</f>
        <v/>
      </c>
      <c r="H347" s="26" t="str">
        <f>IF($A347="","",SUMIFS(tblIssues[Qty Issued],tblIssues[Item Name],$A347))</f>
        <v/>
      </c>
      <c r="I347" s="27" t="str">
        <f t="shared" si="15"/>
        <v/>
      </c>
      <c r="J347" s="21" t="str">
        <f t="shared" si="16"/>
        <v/>
      </c>
      <c r="K347" s="26" t="str">
        <f>IF($A347="","",COUNTIFS(tblReceipts[Item Name],$A347))</f>
        <v/>
      </c>
      <c r="L347" s="26" t="str">
        <f>IF($A347="","",COUNTIFS(tblLotBalance[Item Name],$A347,tblLotBalance[Lot Balance],"&gt;0"))</f>
        <v/>
      </c>
      <c r="M347" s="24" t="str">
        <f>IF($A347="","",IF($L347=0,"",IFERROR(_xlfn.MINIFS(tblLotBalance[Expiry Date],tblLotBalance[Item Name],$A347,tblLotBalance[Lot Balance],"&gt;0"),"")))</f>
        <v/>
      </c>
      <c r="N347" s="26" t="str">
        <f t="shared" ca="1" si="17"/>
        <v/>
      </c>
      <c r="O347" s="18" t="str" cm="1">
        <f t="array" ref="O347">IF($M347="","",IFERROR(INDEX(tblLotBalance[Lot Number],MATCH(1,INDEX((tblLotBalance[Item Name]=$A347)*(tblLotBalance[Expiry Date]=$M347)*(tblLotBalance[Lot Balance]&gt;0),0),0)),""))</f>
        <v/>
      </c>
      <c r="P347" s="28" t="str">
        <f>IF($A347="","",IF($I347&lt;0,"NEGATIVE",IF(NOT(ISNUMBER($F347)),"Set threshold",IF($I347&lt;=0,"OUT OF STOCK",IF($I347&lt;=$F347,"LOW",IF($I347&lt;=$F347*Settings!$C$7,"WATCH","OK"))))))</f>
        <v/>
      </c>
      <c r="Q347" s="29" t="str">
        <f>IF($A347="","",IF($P347="NEGATIVE","Issued more than received - add the missing receipt",IF($P347="OUT OF STOCK","Reorder immediately",IF($P347="LOW","Raise purchase order",IF($P347="Set threshold","Enter Critical Low in Items",IF(AND($N347&lt;&gt;"",$N347&lt;=0),"Quarantine expired lot",IF(AND($N347&lt;&gt;"",$N347&lt;=Settings!$C$6),"Use or rotate stock now","")))))))</f>
        <v/>
      </c>
    </row>
    <row r="348" spans="1:17" x14ac:dyDescent="0.35">
      <c r="A348" s="18" t="str">
        <f>IF(Items!$A345="","",Items!$A345)</f>
        <v/>
      </c>
      <c r="B348" s="18" t="str">
        <f>IF($A348="","",Items!$B345)</f>
        <v/>
      </c>
      <c r="C348" s="19" t="str">
        <f>IF($A348="","",Items!$G345)</f>
        <v/>
      </c>
      <c r="D348" s="20" t="str">
        <f>IF($A348="","",N(Items!$D345))</f>
        <v/>
      </c>
      <c r="E348" s="23" t="str">
        <f>IF($A348="","",Items!$E345)</f>
        <v/>
      </c>
      <c r="F348" s="23" t="str">
        <f>IF($A348="","",Items!$F345)</f>
        <v/>
      </c>
      <c r="G348" s="26" t="str">
        <f>IF($A348="","",SUMIFS(tblReceipts[Qty Received],tblReceipts[Item Name],$A348))</f>
        <v/>
      </c>
      <c r="H348" s="26" t="str">
        <f>IF($A348="","",SUMIFS(tblIssues[Qty Issued],tblIssues[Item Name],$A348))</f>
        <v/>
      </c>
      <c r="I348" s="27" t="str">
        <f t="shared" si="15"/>
        <v/>
      </c>
      <c r="J348" s="21" t="str">
        <f t="shared" si="16"/>
        <v/>
      </c>
      <c r="K348" s="26" t="str">
        <f>IF($A348="","",COUNTIFS(tblReceipts[Item Name],$A348))</f>
        <v/>
      </c>
      <c r="L348" s="26" t="str">
        <f>IF($A348="","",COUNTIFS(tblLotBalance[Item Name],$A348,tblLotBalance[Lot Balance],"&gt;0"))</f>
        <v/>
      </c>
      <c r="M348" s="24" t="str">
        <f>IF($A348="","",IF($L348=0,"",IFERROR(_xlfn.MINIFS(tblLotBalance[Expiry Date],tblLotBalance[Item Name],$A348,tblLotBalance[Lot Balance],"&gt;0"),"")))</f>
        <v/>
      </c>
      <c r="N348" s="26" t="str">
        <f t="shared" ca="1" si="17"/>
        <v/>
      </c>
      <c r="O348" s="18" t="str" cm="1">
        <f t="array" ref="O348">IF($M348="","",IFERROR(INDEX(tblLotBalance[Lot Number],MATCH(1,INDEX((tblLotBalance[Item Name]=$A348)*(tblLotBalance[Expiry Date]=$M348)*(tblLotBalance[Lot Balance]&gt;0),0),0)),""))</f>
        <v/>
      </c>
      <c r="P348" s="28" t="str">
        <f>IF($A348="","",IF($I348&lt;0,"NEGATIVE",IF(NOT(ISNUMBER($F348)),"Set threshold",IF($I348&lt;=0,"OUT OF STOCK",IF($I348&lt;=$F348,"LOW",IF($I348&lt;=$F348*Settings!$C$7,"WATCH","OK"))))))</f>
        <v/>
      </c>
      <c r="Q348" s="29" t="str">
        <f>IF($A348="","",IF($P348="NEGATIVE","Issued more than received - add the missing receipt",IF($P348="OUT OF STOCK","Reorder immediately",IF($P348="LOW","Raise purchase order",IF($P348="Set threshold","Enter Critical Low in Items",IF(AND($N348&lt;&gt;"",$N348&lt;=0),"Quarantine expired lot",IF(AND($N348&lt;&gt;"",$N348&lt;=Settings!$C$6),"Use or rotate stock now","")))))))</f>
        <v/>
      </c>
    </row>
    <row r="349" spans="1:17" x14ac:dyDescent="0.35">
      <c r="A349" s="18" t="str">
        <f>IF(Items!$A346="","",Items!$A346)</f>
        <v/>
      </c>
      <c r="B349" s="18" t="str">
        <f>IF($A349="","",Items!$B346)</f>
        <v/>
      </c>
      <c r="C349" s="19" t="str">
        <f>IF($A349="","",Items!$G346)</f>
        <v/>
      </c>
      <c r="D349" s="20" t="str">
        <f>IF($A349="","",N(Items!$D346))</f>
        <v/>
      </c>
      <c r="E349" s="23" t="str">
        <f>IF($A349="","",Items!$E346)</f>
        <v/>
      </c>
      <c r="F349" s="23" t="str">
        <f>IF($A349="","",Items!$F346)</f>
        <v/>
      </c>
      <c r="G349" s="26" t="str">
        <f>IF($A349="","",SUMIFS(tblReceipts[Qty Received],tblReceipts[Item Name],$A349))</f>
        <v/>
      </c>
      <c r="H349" s="26" t="str">
        <f>IF($A349="","",SUMIFS(tblIssues[Qty Issued],tblIssues[Item Name],$A349))</f>
        <v/>
      </c>
      <c r="I349" s="27" t="str">
        <f t="shared" si="15"/>
        <v/>
      </c>
      <c r="J349" s="21" t="str">
        <f t="shared" si="16"/>
        <v/>
      </c>
      <c r="K349" s="26" t="str">
        <f>IF($A349="","",COUNTIFS(tblReceipts[Item Name],$A349))</f>
        <v/>
      </c>
      <c r="L349" s="26" t="str">
        <f>IF($A349="","",COUNTIFS(tblLotBalance[Item Name],$A349,tblLotBalance[Lot Balance],"&gt;0"))</f>
        <v/>
      </c>
      <c r="M349" s="24" t="str">
        <f>IF($A349="","",IF($L349=0,"",IFERROR(_xlfn.MINIFS(tblLotBalance[Expiry Date],tblLotBalance[Item Name],$A349,tblLotBalance[Lot Balance],"&gt;0"),"")))</f>
        <v/>
      </c>
      <c r="N349" s="26" t="str">
        <f t="shared" ca="1" si="17"/>
        <v/>
      </c>
      <c r="O349" s="18" t="str" cm="1">
        <f t="array" ref="O349">IF($M349="","",IFERROR(INDEX(tblLotBalance[Lot Number],MATCH(1,INDEX((tblLotBalance[Item Name]=$A349)*(tblLotBalance[Expiry Date]=$M349)*(tblLotBalance[Lot Balance]&gt;0),0),0)),""))</f>
        <v/>
      </c>
      <c r="P349" s="28" t="str">
        <f>IF($A349="","",IF($I349&lt;0,"NEGATIVE",IF(NOT(ISNUMBER($F349)),"Set threshold",IF($I349&lt;=0,"OUT OF STOCK",IF($I349&lt;=$F349,"LOW",IF($I349&lt;=$F349*Settings!$C$7,"WATCH","OK"))))))</f>
        <v/>
      </c>
      <c r="Q349" s="29" t="str">
        <f>IF($A349="","",IF($P349="NEGATIVE","Issued more than received - add the missing receipt",IF($P349="OUT OF STOCK","Reorder immediately",IF($P349="LOW","Raise purchase order",IF($P349="Set threshold","Enter Critical Low in Items",IF(AND($N349&lt;&gt;"",$N349&lt;=0),"Quarantine expired lot",IF(AND($N349&lt;&gt;"",$N349&lt;=Settings!$C$6),"Use or rotate stock now","")))))))</f>
        <v/>
      </c>
    </row>
    <row r="350" spans="1:17" x14ac:dyDescent="0.35">
      <c r="A350" s="18" t="str">
        <f>IF(Items!$A347="","",Items!$A347)</f>
        <v/>
      </c>
      <c r="B350" s="18" t="str">
        <f>IF($A350="","",Items!$B347)</f>
        <v/>
      </c>
      <c r="C350" s="19" t="str">
        <f>IF($A350="","",Items!$G347)</f>
        <v/>
      </c>
      <c r="D350" s="20" t="str">
        <f>IF($A350="","",N(Items!$D347))</f>
        <v/>
      </c>
      <c r="E350" s="23" t="str">
        <f>IF($A350="","",Items!$E347)</f>
        <v/>
      </c>
      <c r="F350" s="23" t="str">
        <f>IF($A350="","",Items!$F347)</f>
        <v/>
      </c>
      <c r="G350" s="26" t="str">
        <f>IF($A350="","",SUMIFS(tblReceipts[Qty Received],tblReceipts[Item Name],$A350))</f>
        <v/>
      </c>
      <c r="H350" s="26" t="str">
        <f>IF($A350="","",SUMIFS(tblIssues[Qty Issued],tblIssues[Item Name],$A350))</f>
        <v/>
      </c>
      <c r="I350" s="27" t="str">
        <f t="shared" si="15"/>
        <v/>
      </c>
      <c r="J350" s="21" t="str">
        <f t="shared" si="16"/>
        <v/>
      </c>
      <c r="K350" s="26" t="str">
        <f>IF($A350="","",COUNTIFS(tblReceipts[Item Name],$A350))</f>
        <v/>
      </c>
      <c r="L350" s="26" t="str">
        <f>IF($A350="","",COUNTIFS(tblLotBalance[Item Name],$A350,tblLotBalance[Lot Balance],"&gt;0"))</f>
        <v/>
      </c>
      <c r="M350" s="24" t="str">
        <f>IF($A350="","",IF($L350=0,"",IFERROR(_xlfn.MINIFS(tblLotBalance[Expiry Date],tblLotBalance[Item Name],$A350,tblLotBalance[Lot Balance],"&gt;0"),"")))</f>
        <v/>
      </c>
      <c r="N350" s="26" t="str">
        <f t="shared" ca="1" si="17"/>
        <v/>
      </c>
      <c r="O350" s="18" t="str" cm="1">
        <f t="array" ref="O350">IF($M350="","",IFERROR(INDEX(tblLotBalance[Lot Number],MATCH(1,INDEX((tblLotBalance[Item Name]=$A350)*(tblLotBalance[Expiry Date]=$M350)*(tblLotBalance[Lot Balance]&gt;0),0),0)),""))</f>
        <v/>
      </c>
      <c r="P350" s="28" t="str">
        <f>IF($A350="","",IF($I350&lt;0,"NEGATIVE",IF(NOT(ISNUMBER($F350)),"Set threshold",IF($I350&lt;=0,"OUT OF STOCK",IF($I350&lt;=$F350,"LOW",IF($I350&lt;=$F350*Settings!$C$7,"WATCH","OK"))))))</f>
        <v/>
      </c>
      <c r="Q350" s="29" t="str">
        <f>IF($A350="","",IF($P350="NEGATIVE","Issued more than received - add the missing receipt",IF($P350="OUT OF STOCK","Reorder immediately",IF($P350="LOW","Raise purchase order",IF($P350="Set threshold","Enter Critical Low in Items",IF(AND($N350&lt;&gt;"",$N350&lt;=0),"Quarantine expired lot",IF(AND($N350&lt;&gt;"",$N350&lt;=Settings!$C$6),"Use or rotate stock now","")))))))</f>
        <v/>
      </c>
    </row>
    <row r="351" spans="1:17" x14ac:dyDescent="0.35">
      <c r="A351" s="18" t="str">
        <f>IF(Items!$A348="","",Items!$A348)</f>
        <v/>
      </c>
      <c r="B351" s="18" t="str">
        <f>IF($A351="","",Items!$B348)</f>
        <v/>
      </c>
      <c r="C351" s="19" t="str">
        <f>IF($A351="","",Items!$G348)</f>
        <v/>
      </c>
      <c r="D351" s="20" t="str">
        <f>IF($A351="","",N(Items!$D348))</f>
        <v/>
      </c>
      <c r="E351" s="23" t="str">
        <f>IF($A351="","",Items!$E348)</f>
        <v/>
      </c>
      <c r="F351" s="23" t="str">
        <f>IF($A351="","",Items!$F348)</f>
        <v/>
      </c>
      <c r="G351" s="26" t="str">
        <f>IF($A351="","",SUMIFS(tblReceipts[Qty Received],tblReceipts[Item Name],$A351))</f>
        <v/>
      </c>
      <c r="H351" s="26" t="str">
        <f>IF($A351="","",SUMIFS(tblIssues[Qty Issued],tblIssues[Item Name],$A351))</f>
        <v/>
      </c>
      <c r="I351" s="27" t="str">
        <f t="shared" si="15"/>
        <v/>
      </c>
      <c r="J351" s="21" t="str">
        <f t="shared" si="16"/>
        <v/>
      </c>
      <c r="K351" s="26" t="str">
        <f>IF($A351="","",COUNTIFS(tblReceipts[Item Name],$A351))</f>
        <v/>
      </c>
      <c r="L351" s="26" t="str">
        <f>IF($A351="","",COUNTIFS(tblLotBalance[Item Name],$A351,tblLotBalance[Lot Balance],"&gt;0"))</f>
        <v/>
      </c>
      <c r="M351" s="24" t="str">
        <f>IF($A351="","",IF($L351=0,"",IFERROR(_xlfn.MINIFS(tblLotBalance[Expiry Date],tblLotBalance[Item Name],$A351,tblLotBalance[Lot Balance],"&gt;0"),"")))</f>
        <v/>
      </c>
      <c r="N351" s="26" t="str">
        <f t="shared" ca="1" si="17"/>
        <v/>
      </c>
      <c r="O351" s="18" t="str" cm="1">
        <f t="array" ref="O351">IF($M351="","",IFERROR(INDEX(tblLotBalance[Lot Number],MATCH(1,INDEX((tblLotBalance[Item Name]=$A351)*(tblLotBalance[Expiry Date]=$M351)*(tblLotBalance[Lot Balance]&gt;0),0),0)),""))</f>
        <v/>
      </c>
      <c r="P351" s="28" t="str">
        <f>IF($A351="","",IF($I351&lt;0,"NEGATIVE",IF(NOT(ISNUMBER($F351)),"Set threshold",IF($I351&lt;=0,"OUT OF STOCK",IF($I351&lt;=$F351,"LOW",IF($I351&lt;=$F351*Settings!$C$7,"WATCH","OK"))))))</f>
        <v/>
      </c>
      <c r="Q351" s="29" t="str">
        <f>IF($A351="","",IF($P351="NEGATIVE","Issued more than received - add the missing receipt",IF($P351="OUT OF STOCK","Reorder immediately",IF($P351="LOW","Raise purchase order",IF($P351="Set threshold","Enter Critical Low in Items",IF(AND($N351&lt;&gt;"",$N351&lt;=0),"Quarantine expired lot",IF(AND($N351&lt;&gt;"",$N351&lt;=Settings!$C$6),"Use or rotate stock now","")))))))</f>
        <v/>
      </c>
    </row>
    <row r="352" spans="1:17" x14ac:dyDescent="0.35">
      <c r="A352" s="18" t="str">
        <f>IF(Items!$A349="","",Items!$A349)</f>
        <v/>
      </c>
      <c r="B352" s="18" t="str">
        <f>IF($A352="","",Items!$B349)</f>
        <v/>
      </c>
      <c r="C352" s="19" t="str">
        <f>IF($A352="","",Items!$G349)</f>
        <v/>
      </c>
      <c r="D352" s="20" t="str">
        <f>IF($A352="","",N(Items!$D349))</f>
        <v/>
      </c>
      <c r="E352" s="23" t="str">
        <f>IF($A352="","",Items!$E349)</f>
        <v/>
      </c>
      <c r="F352" s="23" t="str">
        <f>IF($A352="","",Items!$F349)</f>
        <v/>
      </c>
      <c r="G352" s="26" t="str">
        <f>IF($A352="","",SUMIFS(tblReceipts[Qty Received],tblReceipts[Item Name],$A352))</f>
        <v/>
      </c>
      <c r="H352" s="26" t="str">
        <f>IF($A352="","",SUMIFS(tblIssues[Qty Issued],tblIssues[Item Name],$A352))</f>
        <v/>
      </c>
      <c r="I352" s="27" t="str">
        <f t="shared" si="15"/>
        <v/>
      </c>
      <c r="J352" s="21" t="str">
        <f t="shared" si="16"/>
        <v/>
      </c>
      <c r="K352" s="26" t="str">
        <f>IF($A352="","",COUNTIFS(tblReceipts[Item Name],$A352))</f>
        <v/>
      </c>
      <c r="L352" s="26" t="str">
        <f>IF($A352="","",COUNTIFS(tblLotBalance[Item Name],$A352,tblLotBalance[Lot Balance],"&gt;0"))</f>
        <v/>
      </c>
      <c r="M352" s="24" t="str">
        <f>IF($A352="","",IF($L352=0,"",IFERROR(_xlfn.MINIFS(tblLotBalance[Expiry Date],tblLotBalance[Item Name],$A352,tblLotBalance[Lot Balance],"&gt;0"),"")))</f>
        <v/>
      </c>
      <c r="N352" s="26" t="str">
        <f t="shared" ca="1" si="17"/>
        <v/>
      </c>
      <c r="O352" s="18" t="str" cm="1">
        <f t="array" ref="O352">IF($M352="","",IFERROR(INDEX(tblLotBalance[Lot Number],MATCH(1,INDEX((tblLotBalance[Item Name]=$A352)*(tblLotBalance[Expiry Date]=$M352)*(tblLotBalance[Lot Balance]&gt;0),0),0)),""))</f>
        <v/>
      </c>
      <c r="P352" s="28" t="str">
        <f>IF($A352="","",IF($I352&lt;0,"NEGATIVE",IF(NOT(ISNUMBER($F352)),"Set threshold",IF($I352&lt;=0,"OUT OF STOCK",IF($I352&lt;=$F352,"LOW",IF($I352&lt;=$F352*Settings!$C$7,"WATCH","OK"))))))</f>
        <v/>
      </c>
      <c r="Q352" s="29" t="str">
        <f>IF($A352="","",IF($P352="NEGATIVE","Issued more than received - add the missing receipt",IF($P352="OUT OF STOCK","Reorder immediately",IF($P352="LOW","Raise purchase order",IF($P352="Set threshold","Enter Critical Low in Items",IF(AND($N352&lt;&gt;"",$N352&lt;=0),"Quarantine expired lot",IF(AND($N352&lt;&gt;"",$N352&lt;=Settings!$C$6),"Use or rotate stock now","")))))))</f>
        <v/>
      </c>
    </row>
    <row r="353" spans="1:17" x14ac:dyDescent="0.35">
      <c r="A353" s="18" t="str">
        <f>IF(Items!$A350="","",Items!$A350)</f>
        <v/>
      </c>
      <c r="B353" s="18" t="str">
        <f>IF($A353="","",Items!$B350)</f>
        <v/>
      </c>
      <c r="C353" s="19" t="str">
        <f>IF($A353="","",Items!$G350)</f>
        <v/>
      </c>
      <c r="D353" s="20" t="str">
        <f>IF($A353="","",N(Items!$D350))</f>
        <v/>
      </c>
      <c r="E353" s="23" t="str">
        <f>IF($A353="","",Items!$E350)</f>
        <v/>
      </c>
      <c r="F353" s="23" t="str">
        <f>IF($A353="","",Items!$F350)</f>
        <v/>
      </c>
      <c r="G353" s="26" t="str">
        <f>IF($A353="","",SUMIFS(tblReceipts[Qty Received],tblReceipts[Item Name],$A353))</f>
        <v/>
      </c>
      <c r="H353" s="26" t="str">
        <f>IF($A353="","",SUMIFS(tblIssues[Qty Issued],tblIssues[Item Name],$A353))</f>
        <v/>
      </c>
      <c r="I353" s="27" t="str">
        <f t="shared" si="15"/>
        <v/>
      </c>
      <c r="J353" s="21" t="str">
        <f t="shared" si="16"/>
        <v/>
      </c>
      <c r="K353" s="26" t="str">
        <f>IF($A353="","",COUNTIFS(tblReceipts[Item Name],$A353))</f>
        <v/>
      </c>
      <c r="L353" s="26" t="str">
        <f>IF($A353="","",COUNTIFS(tblLotBalance[Item Name],$A353,tblLotBalance[Lot Balance],"&gt;0"))</f>
        <v/>
      </c>
      <c r="M353" s="24" t="str">
        <f>IF($A353="","",IF($L353=0,"",IFERROR(_xlfn.MINIFS(tblLotBalance[Expiry Date],tblLotBalance[Item Name],$A353,tblLotBalance[Lot Balance],"&gt;0"),"")))</f>
        <v/>
      </c>
      <c r="N353" s="26" t="str">
        <f t="shared" ca="1" si="17"/>
        <v/>
      </c>
      <c r="O353" s="18" t="str" cm="1">
        <f t="array" ref="O353">IF($M353="","",IFERROR(INDEX(tblLotBalance[Lot Number],MATCH(1,INDEX((tblLotBalance[Item Name]=$A353)*(tblLotBalance[Expiry Date]=$M353)*(tblLotBalance[Lot Balance]&gt;0),0),0)),""))</f>
        <v/>
      </c>
      <c r="P353" s="28" t="str">
        <f>IF($A353="","",IF($I353&lt;0,"NEGATIVE",IF(NOT(ISNUMBER($F353)),"Set threshold",IF($I353&lt;=0,"OUT OF STOCK",IF($I353&lt;=$F353,"LOW",IF($I353&lt;=$F353*Settings!$C$7,"WATCH","OK"))))))</f>
        <v/>
      </c>
      <c r="Q353" s="29" t="str">
        <f>IF($A353="","",IF($P353="NEGATIVE","Issued more than received - add the missing receipt",IF($P353="OUT OF STOCK","Reorder immediately",IF($P353="LOW","Raise purchase order",IF($P353="Set threshold","Enter Critical Low in Items",IF(AND($N353&lt;&gt;"",$N353&lt;=0),"Quarantine expired lot",IF(AND($N353&lt;&gt;"",$N353&lt;=Settings!$C$6),"Use or rotate stock now","")))))))</f>
        <v/>
      </c>
    </row>
    <row r="354" spans="1:17" x14ac:dyDescent="0.35">
      <c r="A354" s="18" t="str">
        <f>IF(Items!$A351="","",Items!$A351)</f>
        <v/>
      </c>
      <c r="B354" s="18" t="str">
        <f>IF($A354="","",Items!$B351)</f>
        <v/>
      </c>
      <c r="C354" s="19" t="str">
        <f>IF($A354="","",Items!$G351)</f>
        <v/>
      </c>
      <c r="D354" s="20" t="str">
        <f>IF($A354="","",N(Items!$D351))</f>
        <v/>
      </c>
      <c r="E354" s="23" t="str">
        <f>IF($A354="","",Items!$E351)</f>
        <v/>
      </c>
      <c r="F354" s="23" t="str">
        <f>IF($A354="","",Items!$F351)</f>
        <v/>
      </c>
      <c r="G354" s="26" t="str">
        <f>IF($A354="","",SUMIFS(tblReceipts[Qty Received],tblReceipts[Item Name],$A354))</f>
        <v/>
      </c>
      <c r="H354" s="26" t="str">
        <f>IF($A354="","",SUMIFS(tblIssues[Qty Issued],tblIssues[Item Name],$A354))</f>
        <v/>
      </c>
      <c r="I354" s="27" t="str">
        <f t="shared" si="15"/>
        <v/>
      </c>
      <c r="J354" s="21" t="str">
        <f t="shared" si="16"/>
        <v/>
      </c>
      <c r="K354" s="26" t="str">
        <f>IF($A354="","",COUNTIFS(tblReceipts[Item Name],$A354))</f>
        <v/>
      </c>
      <c r="L354" s="26" t="str">
        <f>IF($A354="","",COUNTIFS(tblLotBalance[Item Name],$A354,tblLotBalance[Lot Balance],"&gt;0"))</f>
        <v/>
      </c>
      <c r="M354" s="24" t="str">
        <f>IF($A354="","",IF($L354=0,"",IFERROR(_xlfn.MINIFS(tblLotBalance[Expiry Date],tblLotBalance[Item Name],$A354,tblLotBalance[Lot Balance],"&gt;0"),"")))</f>
        <v/>
      </c>
      <c r="N354" s="26" t="str">
        <f t="shared" ca="1" si="17"/>
        <v/>
      </c>
      <c r="O354" s="18" t="str" cm="1">
        <f t="array" ref="O354">IF($M354="","",IFERROR(INDEX(tblLotBalance[Lot Number],MATCH(1,INDEX((tblLotBalance[Item Name]=$A354)*(tblLotBalance[Expiry Date]=$M354)*(tblLotBalance[Lot Balance]&gt;0),0),0)),""))</f>
        <v/>
      </c>
      <c r="P354" s="28" t="str">
        <f>IF($A354="","",IF($I354&lt;0,"NEGATIVE",IF(NOT(ISNUMBER($F354)),"Set threshold",IF($I354&lt;=0,"OUT OF STOCK",IF($I354&lt;=$F354,"LOW",IF($I354&lt;=$F354*Settings!$C$7,"WATCH","OK"))))))</f>
        <v/>
      </c>
      <c r="Q354" s="29" t="str">
        <f>IF($A354="","",IF($P354="NEGATIVE","Issued more than received - add the missing receipt",IF($P354="OUT OF STOCK","Reorder immediately",IF($P354="LOW","Raise purchase order",IF($P354="Set threshold","Enter Critical Low in Items",IF(AND($N354&lt;&gt;"",$N354&lt;=0),"Quarantine expired lot",IF(AND($N354&lt;&gt;"",$N354&lt;=Settings!$C$6),"Use or rotate stock now","")))))))</f>
        <v/>
      </c>
    </row>
    <row r="355" spans="1:17" x14ac:dyDescent="0.35">
      <c r="A355" s="18" t="str">
        <f>IF(Items!$A352="","",Items!$A352)</f>
        <v/>
      </c>
      <c r="B355" s="18" t="str">
        <f>IF($A355="","",Items!$B352)</f>
        <v/>
      </c>
      <c r="C355" s="19" t="str">
        <f>IF($A355="","",Items!$G352)</f>
        <v/>
      </c>
      <c r="D355" s="20" t="str">
        <f>IF($A355="","",N(Items!$D352))</f>
        <v/>
      </c>
      <c r="E355" s="23" t="str">
        <f>IF($A355="","",Items!$E352)</f>
        <v/>
      </c>
      <c r="F355" s="23" t="str">
        <f>IF($A355="","",Items!$F352)</f>
        <v/>
      </c>
      <c r="G355" s="26" t="str">
        <f>IF($A355="","",SUMIFS(tblReceipts[Qty Received],tblReceipts[Item Name],$A355))</f>
        <v/>
      </c>
      <c r="H355" s="26" t="str">
        <f>IF($A355="","",SUMIFS(tblIssues[Qty Issued],tblIssues[Item Name],$A355))</f>
        <v/>
      </c>
      <c r="I355" s="27" t="str">
        <f t="shared" si="15"/>
        <v/>
      </c>
      <c r="J355" s="21" t="str">
        <f t="shared" si="16"/>
        <v/>
      </c>
      <c r="K355" s="26" t="str">
        <f>IF($A355="","",COUNTIFS(tblReceipts[Item Name],$A355))</f>
        <v/>
      </c>
      <c r="L355" s="26" t="str">
        <f>IF($A355="","",COUNTIFS(tblLotBalance[Item Name],$A355,tblLotBalance[Lot Balance],"&gt;0"))</f>
        <v/>
      </c>
      <c r="M355" s="24" t="str">
        <f>IF($A355="","",IF($L355=0,"",IFERROR(_xlfn.MINIFS(tblLotBalance[Expiry Date],tblLotBalance[Item Name],$A355,tblLotBalance[Lot Balance],"&gt;0"),"")))</f>
        <v/>
      </c>
      <c r="N355" s="26" t="str">
        <f t="shared" ca="1" si="17"/>
        <v/>
      </c>
      <c r="O355" s="18" t="str" cm="1">
        <f t="array" ref="O355">IF($M355="","",IFERROR(INDEX(tblLotBalance[Lot Number],MATCH(1,INDEX((tblLotBalance[Item Name]=$A355)*(tblLotBalance[Expiry Date]=$M355)*(tblLotBalance[Lot Balance]&gt;0),0),0)),""))</f>
        <v/>
      </c>
      <c r="P355" s="28" t="str">
        <f>IF($A355="","",IF($I355&lt;0,"NEGATIVE",IF(NOT(ISNUMBER($F355)),"Set threshold",IF($I355&lt;=0,"OUT OF STOCK",IF($I355&lt;=$F355,"LOW",IF($I355&lt;=$F355*Settings!$C$7,"WATCH","OK"))))))</f>
        <v/>
      </c>
      <c r="Q355" s="29" t="str">
        <f>IF($A355="","",IF($P355="NEGATIVE","Issued more than received - add the missing receipt",IF($P355="OUT OF STOCK","Reorder immediately",IF($P355="LOW","Raise purchase order",IF($P355="Set threshold","Enter Critical Low in Items",IF(AND($N355&lt;&gt;"",$N355&lt;=0),"Quarantine expired lot",IF(AND($N355&lt;&gt;"",$N355&lt;=Settings!$C$6),"Use or rotate stock now","")))))))</f>
        <v/>
      </c>
    </row>
    <row r="356" spans="1:17" x14ac:dyDescent="0.35">
      <c r="A356" s="18" t="str">
        <f>IF(Items!$A353="","",Items!$A353)</f>
        <v/>
      </c>
      <c r="B356" s="18" t="str">
        <f>IF($A356="","",Items!$B353)</f>
        <v/>
      </c>
      <c r="C356" s="19" t="str">
        <f>IF($A356="","",Items!$G353)</f>
        <v/>
      </c>
      <c r="D356" s="20" t="str">
        <f>IF($A356="","",N(Items!$D353))</f>
        <v/>
      </c>
      <c r="E356" s="23" t="str">
        <f>IF($A356="","",Items!$E353)</f>
        <v/>
      </c>
      <c r="F356" s="23" t="str">
        <f>IF($A356="","",Items!$F353)</f>
        <v/>
      </c>
      <c r="G356" s="26" t="str">
        <f>IF($A356="","",SUMIFS(tblReceipts[Qty Received],tblReceipts[Item Name],$A356))</f>
        <v/>
      </c>
      <c r="H356" s="26" t="str">
        <f>IF($A356="","",SUMIFS(tblIssues[Qty Issued],tblIssues[Item Name],$A356))</f>
        <v/>
      </c>
      <c r="I356" s="27" t="str">
        <f t="shared" si="15"/>
        <v/>
      </c>
      <c r="J356" s="21" t="str">
        <f t="shared" si="16"/>
        <v/>
      </c>
      <c r="K356" s="26" t="str">
        <f>IF($A356="","",COUNTIFS(tblReceipts[Item Name],$A356))</f>
        <v/>
      </c>
      <c r="L356" s="26" t="str">
        <f>IF($A356="","",COUNTIFS(tblLotBalance[Item Name],$A356,tblLotBalance[Lot Balance],"&gt;0"))</f>
        <v/>
      </c>
      <c r="M356" s="24" t="str">
        <f>IF($A356="","",IF($L356=0,"",IFERROR(_xlfn.MINIFS(tblLotBalance[Expiry Date],tblLotBalance[Item Name],$A356,tblLotBalance[Lot Balance],"&gt;0"),"")))</f>
        <v/>
      </c>
      <c r="N356" s="26" t="str">
        <f t="shared" ca="1" si="17"/>
        <v/>
      </c>
      <c r="O356" s="18" t="str" cm="1">
        <f t="array" ref="O356">IF($M356="","",IFERROR(INDEX(tblLotBalance[Lot Number],MATCH(1,INDEX((tblLotBalance[Item Name]=$A356)*(tblLotBalance[Expiry Date]=$M356)*(tblLotBalance[Lot Balance]&gt;0),0),0)),""))</f>
        <v/>
      </c>
      <c r="P356" s="28" t="str">
        <f>IF($A356="","",IF($I356&lt;0,"NEGATIVE",IF(NOT(ISNUMBER($F356)),"Set threshold",IF($I356&lt;=0,"OUT OF STOCK",IF($I356&lt;=$F356,"LOW",IF($I356&lt;=$F356*Settings!$C$7,"WATCH","OK"))))))</f>
        <v/>
      </c>
      <c r="Q356" s="29" t="str">
        <f>IF($A356="","",IF($P356="NEGATIVE","Issued more than received - add the missing receipt",IF($P356="OUT OF STOCK","Reorder immediately",IF($P356="LOW","Raise purchase order",IF($P356="Set threshold","Enter Critical Low in Items",IF(AND($N356&lt;&gt;"",$N356&lt;=0),"Quarantine expired lot",IF(AND($N356&lt;&gt;"",$N356&lt;=Settings!$C$6),"Use or rotate stock now","")))))))</f>
        <v/>
      </c>
    </row>
    <row r="357" spans="1:17" x14ac:dyDescent="0.35">
      <c r="A357" s="18" t="str">
        <f>IF(Items!$A354="","",Items!$A354)</f>
        <v/>
      </c>
      <c r="B357" s="18" t="str">
        <f>IF($A357="","",Items!$B354)</f>
        <v/>
      </c>
      <c r="C357" s="19" t="str">
        <f>IF($A357="","",Items!$G354)</f>
        <v/>
      </c>
      <c r="D357" s="20" t="str">
        <f>IF($A357="","",N(Items!$D354))</f>
        <v/>
      </c>
      <c r="E357" s="23" t="str">
        <f>IF($A357="","",Items!$E354)</f>
        <v/>
      </c>
      <c r="F357" s="23" t="str">
        <f>IF($A357="","",Items!$F354)</f>
        <v/>
      </c>
      <c r="G357" s="26" t="str">
        <f>IF($A357="","",SUMIFS(tblReceipts[Qty Received],tblReceipts[Item Name],$A357))</f>
        <v/>
      </c>
      <c r="H357" s="26" t="str">
        <f>IF($A357="","",SUMIFS(tblIssues[Qty Issued],tblIssues[Item Name],$A357))</f>
        <v/>
      </c>
      <c r="I357" s="27" t="str">
        <f t="shared" si="15"/>
        <v/>
      </c>
      <c r="J357" s="21" t="str">
        <f t="shared" si="16"/>
        <v/>
      </c>
      <c r="K357" s="26" t="str">
        <f>IF($A357="","",COUNTIFS(tblReceipts[Item Name],$A357))</f>
        <v/>
      </c>
      <c r="L357" s="26" t="str">
        <f>IF($A357="","",COUNTIFS(tblLotBalance[Item Name],$A357,tblLotBalance[Lot Balance],"&gt;0"))</f>
        <v/>
      </c>
      <c r="M357" s="24" t="str">
        <f>IF($A357="","",IF($L357=0,"",IFERROR(_xlfn.MINIFS(tblLotBalance[Expiry Date],tblLotBalance[Item Name],$A357,tblLotBalance[Lot Balance],"&gt;0"),"")))</f>
        <v/>
      </c>
      <c r="N357" s="26" t="str">
        <f t="shared" ca="1" si="17"/>
        <v/>
      </c>
      <c r="O357" s="18" t="str" cm="1">
        <f t="array" ref="O357">IF($M357="","",IFERROR(INDEX(tblLotBalance[Lot Number],MATCH(1,INDEX((tblLotBalance[Item Name]=$A357)*(tblLotBalance[Expiry Date]=$M357)*(tblLotBalance[Lot Balance]&gt;0),0),0)),""))</f>
        <v/>
      </c>
      <c r="P357" s="28" t="str">
        <f>IF($A357="","",IF($I357&lt;0,"NEGATIVE",IF(NOT(ISNUMBER($F357)),"Set threshold",IF($I357&lt;=0,"OUT OF STOCK",IF($I357&lt;=$F357,"LOW",IF($I357&lt;=$F357*Settings!$C$7,"WATCH","OK"))))))</f>
        <v/>
      </c>
      <c r="Q357" s="29" t="str">
        <f>IF($A357="","",IF($P357="NEGATIVE","Issued more than received - add the missing receipt",IF($P357="OUT OF STOCK","Reorder immediately",IF($P357="LOW","Raise purchase order",IF($P357="Set threshold","Enter Critical Low in Items",IF(AND($N357&lt;&gt;"",$N357&lt;=0),"Quarantine expired lot",IF(AND($N357&lt;&gt;"",$N357&lt;=Settings!$C$6),"Use or rotate stock now","")))))))</f>
        <v/>
      </c>
    </row>
    <row r="358" spans="1:17" x14ac:dyDescent="0.35">
      <c r="A358" s="18" t="str">
        <f>IF(Items!$A355="","",Items!$A355)</f>
        <v/>
      </c>
      <c r="B358" s="18" t="str">
        <f>IF($A358="","",Items!$B355)</f>
        <v/>
      </c>
      <c r="C358" s="19" t="str">
        <f>IF($A358="","",Items!$G355)</f>
        <v/>
      </c>
      <c r="D358" s="20" t="str">
        <f>IF($A358="","",N(Items!$D355))</f>
        <v/>
      </c>
      <c r="E358" s="23" t="str">
        <f>IF($A358="","",Items!$E355)</f>
        <v/>
      </c>
      <c r="F358" s="23" t="str">
        <f>IF($A358="","",Items!$F355)</f>
        <v/>
      </c>
      <c r="G358" s="26" t="str">
        <f>IF($A358="","",SUMIFS(tblReceipts[Qty Received],tblReceipts[Item Name],$A358))</f>
        <v/>
      </c>
      <c r="H358" s="26" t="str">
        <f>IF($A358="","",SUMIFS(tblIssues[Qty Issued],tblIssues[Item Name],$A358))</f>
        <v/>
      </c>
      <c r="I358" s="27" t="str">
        <f t="shared" si="15"/>
        <v/>
      </c>
      <c r="J358" s="21" t="str">
        <f t="shared" si="16"/>
        <v/>
      </c>
      <c r="K358" s="26" t="str">
        <f>IF($A358="","",COUNTIFS(tblReceipts[Item Name],$A358))</f>
        <v/>
      </c>
      <c r="L358" s="26" t="str">
        <f>IF($A358="","",COUNTIFS(tblLotBalance[Item Name],$A358,tblLotBalance[Lot Balance],"&gt;0"))</f>
        <v/>
      </c>
      <c r="M358" s="24" t="str">
        <f>IF($A358="","",IF($L358=0,"",IFERROR(_xlfn.MINIFS(tblLotBalance[Expiry Date],tblLotBalance[Item Name],$A358,tblLotBalance[Lot Balance],"&gt;0"),"")))</f>
        <v/>
      </c>
      <c r="N358" s="26" t="str">
        <f t="shared" ca="1" si="17"/>
        <v/>
      </c>
      <c r="O358" s="18" t="str" cm="1">
        <f t="array" ref="O358">IF($M358="","",IFERROR(INDEX(tblLotBalance[Lot Number],MATCH(1,INDEX((tblLotBalance[Item Name]=$A358)*(tblLotBalance[Expiry Date]=$M358)*(tblLotBalance[Lot Balance]&gt;0),0),0)),""))</f>
        <v/>
      </c>
      <c r="P358" s="28" t="str">
        <f>IF($A358="","",IF($I358&lt;0,"NEGATIVE",IF(NOT(ISNUMBER($F358)),"Set threshold",IF($I358&lt;=0,"OUT OF STOCK",IF($I358&lt;=$F358,"LOW",IF($I358&lt;=$F358*Settings!$C$7,"WATCH","OK"))))))</f>
        <v/>
      </c>
      <c r="Q358" s="29" t="str">
        <f>IF($A358="","",IF($P358="NEGATIVE","Issued more than received - add the missing receipt",IF($P358="OUT OF STOCK","Reorder immediately",IF($P358="LOW","Raise purchase order",IF($P358="Set threshold","Enter Critical Low in Items",IF(AND($N358&lt;&gt;"",$N358&lt;=0),"Quarantine expired lot",IF(AND($N358&lt;&gt;"",$N358&lt;=Settings!$C$6),"Use or rotate stock now","")))))))</f>
        <v/>
      </c>
    </row>
    <row r="359" spans="1:17" x14ac:dyDescent="0.35">
      <c r="A359" s="18" t="str">
        <f>IF(Items!$A356="","",Items!$A356)</f>
        <v/>
      </c>
      <c r="B359" s="18" t="str">
        <f>IF($A359="","",Items!$B356)</f>
        <v/>
      </c>
      <c r="C359" s="19" t="str">
        <f>IF($A359="","",Items!$G356)</f>
        <v/>
      </c>
      <c r="D359" s="20" t="str">
        <f>IF($A359="","",N(Items!$D356))</f>
        <v/>
      </c>
      <c r="E359" s="23" t="str">
        <f>IF($A359="","",Items!$E356)</f>
        <v/>
      </c>
      <c r="F359" s="23" t="str">
        <f>IF($A359="","",Items!$F356)</f>
        <v/>
      </c>
      <c r="G359" s="26" t="str">
        <f>IF($A359="","",SUMIFS(tblReceipts[Qty Received],tblReceipts[Item Name],$A359))</f>
        <v/>
      </c>
      <c r="H359" s="26" t="str">
        <f>IF($A359="","",SUMIFS(tblIssues[Qty Issued],tblIssues[Item Name],$A359))</f>
        <v/>
      </c>
      <c r="I359" s="27" t="str">
        <f t="shared" si="15"/>
        <v/>
      </c>
      <c r="J359" s="21" t="str">
        <f t="shared" si="16"/>
        <v/>
      </c>
      <c r="K359" s="26" t="str">
        <f>IF($A359="","",COUNTIFS(tblReceipts[Item Name],$A359))</f>
        <v/>
      </c>
      <c r="L359" s="26" t="str">
        <f>IF($A359="","",COUNTIFS(tblLotBalance[Item Name],$A359,tblLotBalance[Lot Balance],"&gt;0"))</f>
        <v/>
      </c>
      <c r="M359" s="24" t="str">
        <f>IF($A359="","",IF($L359=0,"",IFERROR(_xlfn.MINIFS(tblLotBalance[Expiry Date],tblLotBalance[Item Name],$A359,tblLotBalance[Lot Balance],"&gt;0"),"")))</f>
        <v/>
      </c>
      <c r="N359" s="26" t="str">
        <f t="shared" ca="1" si="17"/>
        <v/>
      </c>
      <c r="O359" s="18" t="str" cm="1">
        <f t="array" ref="O359">IF($M359="","",IFERROR(INDEX(tblLotBalance[Lot Number],MATCH(1,INDEX((tblLotBalance[Item Name]=$A359)*(tblLotBalance[Expiry Date]=$M359)*(tblLotBalance[Lot Balance]&gt;0),0),0)),""))</f>
        <v/>
      </c>
      <c r="P359" s="28" t="str">
        <f>IF($A359="","",IF($I359&lt;0,"NEGATIVE",IF(NOT(ISNUMBER($F359)),"Set threshold",IF($I359&lt;=0,"OUT OF STOCK",IF($I359&lt;=$F359,"LOW",IF($I359&lt;=$F359*Settings!$C$7,"WATCH","OK"))))))</f>
        <v/>
      </c>
      <c r="Q359" s="29" t="str">
        <f>IF($A359="","",IF($P359="NEGATIVE","Issued more than received - add the missing receipt",IF($P359="OUT OF STOCK","Reorder immediately",IF($P359="LOW","Raise purchase order",IF($P359="Set threshold","Enter Critical Low in Items",IF(AND($N359&lt;&gt;"",$N359&lt;=0),"Quarantine expired lot",IF(AND($N359&lt;&gt;"",$N359&lt;=Settings!$C$6),"Use or rotate stock now","")))))))</f>
        <v/>
      </c>
    </row>
    <row r="360" spans="1:17" x14ac:dyDescent="0.35">
      <c r="A360" s="18" t="str">
        <f>IF(Items!$A357="","",Items!$A357)</f>
        <v/>
      </c>
      <c r="B360" s="18" t="str">
        <f>IF($A360="","",Items!$B357)</f>
        <v/>
      </c>
      <c r="C360" s="19" t="str">
        <f>IF($A360="","",Items!$G357)</f>
        <v/>
      </c>
      <c r="D360" s="20" t="str">
        <f>IF($A360="","",N(Items!$D357))</f>
        <v/>
      </c>
      <c r="E360" s="23" t="str">
        <f>IF($A360="","",Items!$E357)</f>
        <v/>
      </c>
      <c r="F360" s="23" t="str">
        <f>IF($A360="","",Items!$F357)</f>
        <v/>
      </c>
      <c r="G360" s="26" t="str">
        <f>IF($A360="","",SUMIFS(tblReceipts[Qty Received],tblReceipts[Item Name],$A360))</f>
        <v/>
      </c>
      <c r="H360" s="26" t="str">
        <f>IF($A360="","",SUMIFS(tblIssues[Qty Issued],tblIssues[Item Name],$A360))</f>
        <v/>
      </c>
      <c r="I360" s="27" t="str">
        <f t="shared" si="15"/>
        <v/>
      </c>
      <c r="J360" s="21" t="str">
        <f t="shared" si="16"/>
        <v/>
      </c>
      <c r="K360" s="26" t="str">
        <f>IF($A360="","",COUNTIFS(tblReceipts[Item Name],$A360))</f>
        <v/>
      </c>
      <c r="L360" s="26" t="str">
        <f>IF($A360="","",COUNTIFS(tblLotBalance[Item Name],$A360,tblLotBalance[Lot Balance],"&gt;0"))</f>
        <v/>
      </c>
      <c r="M360" s="24" t="str">
        <f>IF($A360="","",IF($L360=0,"",IFERROR(_xlfn.MINIFS(tblLotBalance[Expiry Date],tblLotBalance[Item Name],$A360,tblLotBalance[Lot Balance],"&gt;0"),"")))</f>
        <v/>
      </c>
      <c r="N360" s="26" t="str">
        <f t="shared" ca="1" si="17"/>
        <v/>
      </c>
      <c r="O360" s="18" t="str" cm="1">
        <f t="array" ref="O360">IF($M360="","",IFERROR(INDEX(tblLotBalance[Lot Number],MATCH(1,INDEX((tblLotBalance[Item Name]=$A360)*(tblLotBalance[Expiry Date]=$M360)*(tblLotBalance[Lot Balance]&gt;0),0),0)),""))</f>
        <v/>
      </c>
      <c r="P360" s="28" t="str">
        <f>IF($A360="","",IF($I360&lt;0,"NEGATIVE",IF(NOT(ISNUMBER($F360)),"Set threshold",IF($I360&lt;=0,"OUT OF STOCK",IF($I360&lt;=$F360,"LOW",IF($I360&lt;=$F360*Settings!$C$7,"WATCH","OK"))))))</f>
        <v/>
      </c>
      <c r="Q360" s="29" t="str">
        <f>IF($A360="","",IF($P360="NEGATIVE","Issued more than received - add the missing receipt",IF($P360="OUT OF STOCK","Reorder immediately",IF($P360="LOW","Raise purchase order",IF($P360="Set threshold","Enter Critical Low in Items",IF(AND($N360&lt;&gt;"",$N360&lt;=0),"Quarantine expired lot",IF(AND($N360&lt;&gt;"",$N360&lt;=Settings!$C$6),"Use or rotate stock now","")))))))</f>
        <v/>
      </c>
    </row>
    <row r="361" spans="1:17" x14ac:dyDescent="0.35">
      <c r="A361" s="18" t="str">
        <f>IF(Items!$A358="","",Items!$A358)</f>
        <v/>
      </c>
      <c r="B361" s="18" t="str">
        <f>IF($A361="","",Items!$B358)</f>
        <v/>
      </c>
      <c r="C361" s="19" t="str">
        <f>IF($A361="","",Items!$G358)</f>
        <v/>
      </c>
      <c r="D361" s="20" t="str">
        <f>IF($A361="","",N(Items!$D358))</f>
        <v/>
      </c>
      <c r="E361" s="23" t="str">
        <f>IF($A361="","",Items!$E358)</f>
        <v/>
      </c>
      <c r="F361" s="23" t="str">
        <f>IF($A361="","",Items!$F358)</f>
        <v/>
      </c>
      <c r="G361" s="26" t="str">
        <f>IF($A361="","",SUMIFS(tblReceipts[Qty Received],tblReceipts[Item Name],$A361))</f>
        <v/>
      </c>
      <c r="H361" s="26" t="str">
        <f>IF($A361="","",SUMIFS(tblIssues[Qty Issued],tblIssues[Item Name],$A361))</f>
        <v/>
      </c>
      <c r="I361" s="27" t="str">
        <f t="shared" si="15"/>
        <v/>
      </c>
      <c r="J361" s="21" t="str">
        <f t="shared" si="16"/>
        <v/>
      </c>
      <c r="K361" s="26" t="str">
        <f>IF($A361="","",COUNTIFS(tblReceipts[Item Name],$A361))</f>
        <v/>
      </c>
      <c r="L361" s="26" t="str">
        <f>IF($A361="","",COUNTIFS(tblLotBalance[Item Name],$A361,tblLotBalance[Lot Balance],"&gt;0"))</f>
        <v/>
      </c>
      <c r="M361" s="24" t="str">
        <f>IF($A361="","",IF($L361=0,"",IFERROR(_xlfn.MINIFS(tblLotBalance[Expiry Date],tblLotBalance[Item Name],$A361,tblLotBalance[Lot Balance],"&gt;0"),"")))</f>
        <v/>
      </c>
      <c r="N361" s="26" t="str">
        <f t="shared" ca="1" si="17"/>
        <v/>
      </c>
      <c r="O361" s="18" t="str" cm="1">
        <f t="array" ref="O361">IF($M361="","",IFERROR(INDEX(tblLotBalance[Lot Number],MATCH(1,INDEX((tblLotBalance[Item Name]=$A361)*(tblLotBalance[Expiry Date]=$M361)*(tblLotBalance[Lot Balance]&gt;0),0),0)),""))</f>
        <v/>
      </c>
      <c r="P361" s="28" t="str">
        <f>IF($A361="","",IF($I361&lt;0,"NEGATIVE",IF(NOT(ISNUMBER($F361)),"Set threshold",IF($I361&lt;=0,"OUT OF STOCK",IF($I361&lt;=$F361,"LOW",IF($I361&lt;=$F361*Settings!$C$7,"WATCH","OK"))))))</f>
        <v/>
      </c>
      <c r="Q361" s="29" t="str">
        <f>IF($A361="","",IF($P361="NEGATIVE","Issued more than received - add the missing receipt",IF($P361="OUT OF STOCK","Reorder immediately",IF($P361="LOW","Raise purchase order",IF($P361="Set threshold","Enter Critical Low in Items",IF(AND($N361&lt;&gt;"",$N361&lt;=0),"Quarantine expired lot",IF(AND($N361&lt;&gt;"",$N361&lt;=Settings!$C$6),"Use or rotate stock now","")))))))</f>
        <v/>
      </c>
    </row>
    <row r="362" spans="1:17" x14ac:dyDescent="0.35">
      <c r="A362" s="18" t="str">
        <f>IF(Items!$A359="","",Items!$A359)</f>
        <v/>
      </c>
      <c r="B362" s="18" t="str">
        <f>IF($A362="","",Items!$B359)</f>
        <v/>
      </c>
      <c r="C362" s="19" t="str">
        <f>IF($A362="","",Items!$G359)</f>
        <v/>
      </c>
      <c r="D362" s="20" t="str">
        <f>IF($A362="","",N(Items!$D359))</f>
        <v/>
      </c>
      <c r="E362" s="23" t="str">
        <f>IF($A362="","",Items!$E359)</f>
        <v/>
      </c>
      <c r="F362" s="23" t="str">
        <f>IF($A362="","",Items!$F359)</f>
        <v/>
      </c>
      <c r="G362" s="26" t="str">
        <f>IF($A362="","",SUMIFS(tblReceipts[Qty Received],tblReceipts[Item Name],$A362))</f>
        <v/>
      </c>
      <c r="H362" s="26" t="str">
        <f>IF($A362="","",SUMIFS(tblIssues[Qty Issued],tblIssues[Item Name],$A362))</f>
        <v/>
      </c>
      <c r="I362" s="27" t="str">
        <f t="shared" si="15"/>
        <v/>
      </c>
      <c r="J362" s="21" t="str">
        <f t="shared" si="16"/>
        <v/>
      </c>
      <c r="K362" s="26" t="str">
        <f>IF($A362="","",COUNTIFS(tblReceipts[Item Name],$A362))</f>
        <v/>
      </c>
      <c r="L362" s="26" t="str">
        <f>IF($A362="","",COUNTIFS(tblLotBalance[Item Name],$A362,tblLotBalance[Lot Balance],"&gt;0"))</f>
        <v/>
      </c>
      <c r="M362" s="24" t="str">
        <f>IF($A362="","",IF($L362=0,"",IFERROR(_xlfn.MINIFS(tblLotBalance[Expiry Date],tblLotBalance[Item Name],$A362,tblLotBalance[Lot Balance],"&gt;0"),"")))</f>
        <v/>
      </c>
      <c r="N362" s="26" t="str">
        <f t="shared" ca="1" si="17"/>
        <v/>
      </c>
      <c r="O362" s="18" t="str" cm="1">
        <f t="array" ref="O362">IF($M362="","",IFERROR(INDEX(tblLotBalance[Lot Number],MATCH(1,INDEX((tblLotBalance[Item Name]=$A362)*(tblLotBalance[Expiry Date]=$M362)*(tblLotBalance[Lot Balance]&gt;0),0),0)),""))</f>
        <v/>
      </c>
      <c r="P362" s="28" t="str">
        <f>IF($A362="","",IF($I362&lt;0,"NEGATIVE",IF(NOT(ISNUMBER($F362)),"Set threshold",IF($I362&lt;=0,"OUT OF STOCK",IF($I362&lt;=$F362,"LOW",IF($I362&lt;=$F362*Settings!$C$7,"WATCH","OK"))))))</f>
        <v/>
      </c>
      <c r="Q362" s="29" t="str">
        <f>IF($A362="","",IF($P362="NEGATIVE","Issued more than received - add the missing receipt",IF($P362="OUT OF STOCK","Reorder immediately",IF($P362="LOW","Raise purchase order",IF($P362="Set threshold","Enter Critical Low in Items",IF(AND($N362&lt;&gt;"",$N362&lt;=0),"Quarantine expired lot",IF(AND($N362&lt;&gt;"",$N362&lt;=Settings!$C$6),"Use or rotate stock now","")))))))</f>
        <v/>
      </c>
    </row>
    <row r="363" spans="1:17" x14ac:dyDescent="0.35">
      <c r="A363" s="18" t="str">
        <f>IF(Items!$A360="","",Items!$A360)</f>
        <v/>
      </c>
      <c r="B363" s="18" t="str">
        <f>IF($A363="","",Items!$B360)</f>
        <v/>
      </c>
      <c r="C363" s="19" t="str">
        <f>IF($A363="","",Items!$G360)</f>
        <v/>
      </c>
      <c r="D363" s="20" t="str">
        <f>IF($A363="","",N(Items!$D360))</f>
        <v/>
      </c>
      <c r="E363" s="23" t="str">
        <f>IF($A363="","",Items!$E360)</f>
        <v/>
      </c>
      <c r="F363" s="23" t="str">
        <f>IF($A363="","",Items!$F360)</f>
        <v/>
      </c>
      <c r="G363" s="26" t="str">
        <f>IF($A363="","",SUMIFS(tblReceipts[Qty Received],tblReceipts[Item Name],$A363))</f>
        <v/>
      </c>
      <c r="H363" s="26" t="str">
        <f>IF($A363="","",SUMIFS(tblIssues[Qty Issued],tblIssues[Item Name],$A363))</f>
        <v/>
      </c>
      <c r="I363" s="27" t="str">
        <f t="shared" si="15"/>
        <v/>
      </c>
      <c r="J363" s="21" t="str">
        <f t="shared" si="16"/>
        <v/>
      </c>
      <c r="K363" s="26" t="str">
        <f>IF($A363="","",COUNTIFS(tblReceipts[Item Name],$A363))</f>
        <v/>
      </c>
      <c r="L363" s="26" t="str">
        <f>IF($A363="","",COUNTIFS(tblLotBalance[Item Name],$A363,tblLotBalance[Lot Balance],"&gt;0"))</f>
        <v/>
      </c>
      <c r="M363" s="24" t="str">
        <f>IF($A363="","",IF($L363=0,"",IFERROR(_xlfn.MINIFS(tblLotBalance[Expiry Date],tblLotBalance[Item Name],$A363,tblLotBalance[Lot Balance],"&gt;0"),"")))</f>
        <v/>
      </c>
      <c r="N363" s="26" t="str">
        <f t="shared" ca="1" si="17"/>
        <v/>
      </c>
      <c r="O363" s="18" t="str" cm="1">
        <f t="array" ref="O363">IF($M363="","",IFERROR(INDEX(tblLotBalance[Lot Number],MATCH(1,INDEX((tblLotBalance[Item Name]=$A363)*(tblLotBalance[Expiry Date]=$M363)*(tblLotBalance[Lot Balance]&gt;0),0),0)),""))</f>
        <v/>
      </c>
      <c r="P363" s="28" t="str">
        <f>IF($A363="","",IF($I363&lt;0,"NEGATIVE",IF(NOT(ISNUMBER($F363)),"Set threshold",IF($I363&lt;=0,"OUT OF STOCK",IF($I363&lt;=$F363,"LOW",IF($I363&lt;=$F363*Settings!$C$7,"WATCH","OK"))))))</f>
        <v/>
      </c>
      <c r="Q363" s="29" t="str">
        <f>IF($A363="","",IF($P363="NEGATIVE","Issued more than received - add the missing receipt",IF($P363="OUT OF STOCK","Reorder immediately",IF($P363="LOW","Raise purchase order",IF($P363="Set threshold","Enter Critical Low in Items",IF(AND($N363&lt;&gt;"",$N363&lt;=0),"Quarantine expired lot",IF(AND($N363&lt;&gt;"",$N363&lt;=Settings!$C$6),"Use or rotate stock now","")))))))</f>
        <v/>
      </c>
    </row>
    <row r="364" spans="1:17" x14ac:dyDescent="0.35">
      <c r="A364" s="18" t="str">
        <f>IF(Items!$A361="","",Items!$A361)</f>
        <v/>
      </c>
      <c r="B364" s="18" t="str">
        <f>IF($A364="","",Items!$B361)</f>
        <v/>
      </c>
      <c r="C364" s="19" t="str">
        <f>IF($A364="","",Items!$G361)</f>
        <v/>
      </c>
      <c r="D364" s="20" t="str">
        <f>IF($A364="","",N(Items!$D361))</f>
        <v/>
      </c>
      <c r="E364" s="23" t="str">
        <f>IF($A364="","",Items!$E361)</f>
        <v/>
      </c>
      <c r="F364" s="23" t="str">
        <f>IF($A364="","",Items!$F361)</f>
        <v/>
      </c>
      <c r="G364" s="26" t="str">
        <f>IF($A364="","",SUMIFS(tblReceipts[Qty Received],tblReceipts[Item Name],$A364))</f>
        <v/>
      </c>
      <c r="H364" s="26" t="str">
        <f>IF($A364="","",SUMIFS(tblIssues[Qty Issued],tblIssues[Item Name],$A364))</f>
        <v/>
      </c>
      <c r="I364" s="27" t="str">
        <f t="shared" si="15"/>
        <v/>
      </c>
      <c r="J364" s="21" t="str">
        <f t="shared" si="16"/>
        <v/>
      </c>
      <c r="K364" s="26" t="str">
        <f>IF($A364="","",COUNTIFS(tblReceipts[Item Name],$A364))</f>
        <v/>
      </c>
      <c r="L364" s="26" t="str">
        <f>IF($A364="","",COUNTIFS(tblLotBalance[Item Name],$A364,tblLotBalance[Lot Balance],"&gt;0"))</f>
        <v/>
      </c>
      <c r="M364" s="24" t="str">
        <f>IF($A364="","",IF($L364=0,"",IFERROR(_xlfn.MINIFS(tblLotBalance[Expiry Date],tblLotBalance[Item Name],$A364,tblLotBalance[Lot Balance],"&gt;0"),"")))</f>
        <v/>
      </c>
      <c r="N364" s="26" t="str">
        <f t="shared" ca="1" si="17"/>
        <v/>
      </c>
      <c r="O364" s="18" t="str" cm="1">
        <f t="array" ref="O364">IF($M364="","",IFERROR(INDEX(tblLotBalance[Lot Number],MATCH(1,INDEX((tblLotBalance[Item Name]=$A364)*(tblLotBalance[Expiry Date]=$M364)*(tblLotBalance[Lot Balance]&gt;0),0),0)),""))</f>
        <v/>
      </c>
      <c r="P364" s="28" t="str">
        <f>IF($A364="","",IF($I364&lt;0,"NEGATIVE",IF(NOT(ISNUMBER($F364)),"Set threshold",IF($I364&lt;=0,"OUT OF STOCK",IF($I364&lt;=$F364,"LOW",IF($I364&lt;=$F364*Settings!$C$7,"WATCH","OK"))))))</f>
        <v/>
      </c>
      <c r="Q364" s="29" t="str">
        <f>IF($A364="","",IF($P364="NEGATIVE","Issued more than received - add the missing receipt",IF($P364="OUT OF STOCK","Reorder immediately",IF($P364="LOW","Raise purchase order",IF($P364="Set threshold","Enter Critical Low in Items",IF(AND($N364&lt;&gt;"",$N364&lt;=0),"Quarantine expired lot",IF(AND($N364&lt;&gt;"",$N364&lt;=Settings!$C$6),"Use or rotate stock now","")))))))</f>
        <v/>
      </c>
    </row>
    <row r="365" spans="1:17" x14ac:dyDescent="0.35">
      <c r="A365" s="18" t="str">
        <f>IF(Items!$A362="","",Items!$A362)</f>
        <v/>
      </c>
      <c r="B365" s="18" t="str">
        <f>IF($A365="","",Items!$B362)</f>
        <v/>
      </c>
      <c r="C365" s="19" t="str">
        <f>IF($A365="","",Items!$G362)</f>
        <v/>
      </c>
      <c r="D365" s="20" t="str">
        <f>IF($A365="","",N(Items!$D362))</f>
        <v/>
      </c>
      <c r="E365" s="23" t="str">
        <f>IF($A365="","",Items!$E362)</f>
        <v/>
      </c>
      <c r="F365" s="23" t="str">
        <f>IF($A365="","",Items!$F362)</f>
        <v/>
      </c>
      <c r="G365" s="26" t="str">
        <f>IF($A365="","",SUMIFS(tblReceipts[Qty Received],tblReceipts[Item Name],$A365))</f>
        <v/>
      </c>
      <c r="H365" s="26" t="str">
        <f>IF($A365="","",SUMIFS(tblIssues[Qty Issued],tblIssues[Item Name],$A365))</f>
        <v/>
      </c>
      <c r="I365" s="27" t="str">
        <f t="shared" si="15"/>
        <v/>
      </c>
      <c r="J365" s="21" t="str">
        <f t="shared" si="16"/>
        <v/>
      </c>
      <c r="K365" s="26" t="str">
        <f>IF($A365="","",COUNTIFS(tblReceipts[Item Name],$A365))</f>
        <v/>
      </c>
      <c r="L365" s="26" t="str">
        <f>IF($A365="","",COUNTIFS(tblLotBalance[Item Name],$A365,tblLotBalance[Lot Balance],"&gt;0"))</f>
        <v/>
      </c>
      <c r="M365" s="24" t="str">
        <f>IF($A365="","",IF($L365=0,"",IFERROR(_xlfn.MINIFS(tblLotBalance[Expiry Date],tblLotBalance[Item Name],$A365,tblLotBalance[Lot Balance],"&gt;0"),"")))</f>
        <v/>
      </c>
      <c r="N365" s="26" t="str">
        <f t="shared" ca="1" si="17"/>
        <v/>
      </c>
      <c r="O365" s="18" t="str" cm="1">
        <f t="array" ref="O365">IF($M365="","",IFERROR(INDEX(tblLotBalance[Lot Number],MATCH(1,INDEX((tblLotBalance[Item Name]=$A365)*(tblLotBalance[Expiry Date]=$M365)*(tblLotBalance[Lot Balance]&gt;0),0),0)),""))</f>
        <v/>
      </c>
      <c r="P365" s="28" t="str">
        <f>IF($A365="","",IF($I365&lt;0,"NEGATIVE",IF(NOT(ISNUMBER($F365)),"Set threshold",IF($I365&lt;=0,"OUT OF STOCK",IF($I365&lt;=$F365,"LOW",IF($I365&lt;=$F365*Settings!$C$7,"WATCH","OK"))))))</f>
        <v/>
      </c>
      <c r="Q365" s="29" t="str">
        <f>IF($A365="","",IF($P365="NEGATIVE","Issued more than received - add the missing receipt",IF($P365="OUT OF STOCK","Reorder immediately",IF($P365="LOW","Raise purchase order",IF($P365="Set threshold","Enter Critical Low in Items",IF(AND($N365&lt;&gt;"",$N365&lt;=0),"Quarantine expired lot",IF(AND($N365&lt;&gt;"",$N365&lt;=Settings!$C$6),"Use or rotate stock now","")))))))</f>
        <v/>
      </c>
    </row>
    <row r="366" spans="1:17" x14ac:dyDescent="0.35">
      <c r="A366" s="18" t="str">
        <f>IF(Items!$A363="","",Items!$A363)</f>
        <v/>
      </c>
      <c r="B366" s="18" t="str">
        <f>IF($A366="","",Items!$B363)</f>
        <v/>
      </c>
      <c r="C366" s="19" t="str">
        <f>IF($A366="","",Items!$G363)</f>
        <v/>
      </c>
      <c r="D366" s="20" t="str">
        <f>IF($A366="","",N(Items!$D363))</f>
        <v/>
      </c>
      <c r="E366" s="23" t="str">
        <f>IF($A366="","",Items!$E363)</f>
        <v/>
      </c>
      <c r="F366" s="23" t="str">
        <f>IF($A366="","",Items!$F363)</f>
        <v/>
      </c>
      <c r="G366" s="26" t="str">
        <f>IF($A366="","",SUMIFS(tblReceipts[Qty Received],tblReceipts[Item Name],$A366))</f>
        <v/>
      </c>
      <c r="H366" s="26" t="str">
        <f>IF($A366="","",SUMIFS(tblIssues[Qty Issued],tblIssues[Item Name],$A366))</f>
        <v/>
      </c>
      <c r="I366" s="27" t="str">
        <f t="shared" si="15"/>
        <v/>
      </c>
      <c r="J366" s="21" t="str">
        <f t="shared" si="16"/>
        <v/>
      </c>
      <c r="K366" s="26" t="str">
        <f>IF($A366="","",COUNTIFS(tblReceipts[Item Name],$A366))</f>
        <v/>
      </c>
      <c r="L366" s="26" t="str">
        <f>IF($A366="","",COUNTIFS(tblLotBalance[Item Name],$A366,tblLotBalance[Lot Balance],"&gt;0"))</f>
        <v/>
      </c>
      <c r="M366" s="24" t="str">
        <f>IF($A366="","",IF($L366=0,"",IFERROR(_xlfn.MINIFS(tblLotBalance[Expiry Date],tblLotBalance[Item Name],$A366,tblLotBalance[Lot Balance],"&gt;0"),"")))</f>
        <v/>
      </c>
      <c r="N366" s="26" t="str">
        <f t="shared" ca="1" si="17"/>
        <v/>
      </c>
      <c r="O366" s="18" t="str" cm="1">
        <f t="array" ref="O366">IF($M366="","",IFERROR(INDEX(tblLotBalance[Lot Number],MATCH(1,INDEX((tblLotBalance[Item Name]=$A366)*(tblLotBalance[Expiry Date]=$M366)*(tblLotBalance[Lot Balance]&gt;0),0),0)),""))</f>
        <v/>
      </c>
      <c r="P366" s="28" t="str">
        <f>IF($A366="","",IF($I366&lt;0,"NEGATIVE",IF(NOT(ISNUMBER($F366)),"Set threshold",IF($I366&lt;=0,"OUT OF STOCK",IF($I366&lt;=$F366,"LOW",IF($I366&lt;=$F366*Settings!$C$7,"WATCH","OK"))))))</f>
        <v/>
      </c>
      <c r="Q366" s="29" t="str">
        <f>IF($A366="","",IF($P366="NEGATIVE","Issued more than received - add the missing receipt",IF($P366="OUT OF STOCK","Reorder immediately",IF($P366="LOW","Raise purchase order",IF($P366="Set threshold","Enter Critical Low in Items",IF(AND($N366&lt;&gt;"",$N366&lt;=0),"Quarantine expired lot",IF(AND($N366&lt;&gt;"",$N366&lt;=Settings!$C$6),"Use or rotate stock now","")))))))</f>
        <v/>
      </c>
    </row>
    <row r="367" spans="1:17" x14ac:dyDescent="0.35">
      <c r="A367" s="18" t="str">
        <f>IF(Items!$A364="","",Items!$A364)</f>
        <v/>
      </c>
      <c r="B367" s="18" t="str">
        <f>IF($A367="","",Items!$B364)</f>
        <v/>
      </c>
      <c r="C367" s="19" t="str">
        <f>IF($A367="","",Items!$G364)</f>
        <v/>
      </c>
      <c r="D367" s="20" t="str">
        <f>IF($A367="","",N(Items!$D364))</f>
        <v/>
      </c>
      <c r="E367" s="23" t="str">
        <f>IF($A367="","",Items!$E364)</f>
        <v/>
      </c>
      <c r="F367" s="23" t="str">
        <f>IF($A367="","",Items!$F364)</f>
        <v/>
      </c>
      <c r="G367" s="26" t="str">
        <f>IF($A367="","",SUMIFS(tblReceipts[Qty Received],tblReceipts[Item Name],$A367))</f>
        <v/>
      </c>
      <c r="H367" s="26" t="str">
        <f>IF($A367="","",SUMIFS(tblIssues[Qty Issued],tblIssues[Item Name],$A367))</f>
        <v/>
      </c>
      <c r="I367" s="27" t="str">
        <f t="shared" si="15"/>
        <v/>
      </c>
      <c r="J367" s="21" t="str">
        <f t="shared" si="16"/>
        <v/>
      </c>
      <c r="K367" s="26" t="str">
        <f>IF($A367="","",COUNTIFS(tblReceipts[Item Name],$A367))</f>
        <v/>
      </c>
      <c r="L367" s="26" t="str">
        <f>IF($A367="","",COUNTIFS(tblLotBalance[Item Name],$A367,tblLotBalance[Lot Balance],"&gt;0"))</f>
        <v/>
      </c>
      <c r="M367" s="24" t="str">
        <f>IF($A367="","",IF($L367=0,"",IFERROR(_xlfn.MINIFS(tblLotBalance[Expiry Date],tblLotBalance[Item Name],$A367,tblLotBalance[Lot Balance],"&gt;0"),"")))</f>
        <v/>
      </c>
      <c r="N367" s="26" t="str">
        <f t="shared" ca="1" si="17"/>
        <v/>
      </c>
      <c r="O367" s="18" t="str" cm="1">
        <f t="array" ref="O367">IF($M367="","",IFERROR(INDEX(tblLotBalance[Lot Number],MATCH(1,INDEX((tblLotBalance[Item Name]=$A367)*(tblLotBalance[Expiry Date]=$M367)*(tblLotBalance[Lot Balance]&gt;0),0),0)),""))</f>
        <v/>
      </c>
      <c r="P367" s="28" t="str">
        <f>IF($A367="","",IF($I367&lt;0,"NEGATIVE",IF(NOT(ISNUMBER($F367)),"Set threshold",IF($I367&lt;=0,"OUT OF STOCK",IF($I367&lt;=$F367,"LOW",IF($I367&lt;=$F367*Settings!$C$7,"WATCH","OK"))))))</f>
        <v/>
      </c>
      <c r="Q367" s="29" t="str">
        <f>IF($A367="","",IF($P367="NEGATIVE","Issued more than received - add the missing receipt",IF($P367="OUT OF STOCK","Reorder immediately",IF($P367="LOW","Raise purchase order",IF($P367="Set threshold","Enter Critical Low in Items",IF(AND($N367&lt;&gt;"",$N367&lt;=0),"Quarantine expired lot",IF(AND($N367&lt;&gt;"",$N367&lt;=Settings!$C$6),"Use or rotate stock now","")))))))</f>
        <v/>
      </c>
    </row>
    <row r="368" spans="1:17" x14ac:dyDescent="0.35">
      <c r="A368" s="18" t="str">
        <f>IF(Items!$A365="","",Items!$A365)</f>
        <v/>
      </c>
      <c r="B368" s="18" t="str">
        <f>IF($A368="","",Items!$B365)</f>
        <v/>
      </c>
      <c r="C368" s="19" t="str">
        <f>IF($A368="","",Items!$G365)</f>
        <v/>
      </c>
      <c r="D368" s="20" t="str">
        <f>IF($A368="","",N(Items!$D365))</f>
        <v/>
      </c>
      <c r="E368" s="23" t="str">
        <f>IF($A368="","",Items!$E365)</f>
        <v/>
      </c>
      <c r="F368" s="23" t="str">
        <f>IF($A368="","",Items!$F365)</f>
        <v/>
      </c>
      <c r="G368" s="26" t="str">
        <f>IF($A368="","",SUMIFS(tblReceipts[Qty Received],tblReceipts[Item Name],$A368))</f>
        <v/>
      </c>
      <c r="H368" s="26" t="str">
        <f>IF($A368="","",SUMIFS(tblIssues[Qty Issued],tblIssues[Item Name],$A368))</f>
        <v/>
      </c>
      <c r="I368" s="27" t="str">
        <f t="shared" si="15"/>
        <v/>
      </c>
      <c r="J368" s="21" t="str">
        <f t="shared" si="16"/>
        <v/>
      </c>
      <c r="K368" s="26" t="str">
        <f>IF($A368="","",COUNTIFS(tblReceipts[Item Name],$A368))</f>
        <v/>
      </c>
      <c r="L368" s="26" t="str">
        <f>IF($A368="","",COUNTIFS(tblLotBalance[Item Name],$A368,tblLotBalance[Lot Balance],"&gt;0"))</f>
        <v/>
      </c>
      <c r="M368" s="24" t="str">
        <f>IF($A368="","",IF($L368=0,"",IFERROR(_xlfn.MINIFS(tblLotBalance[Expiry Date],tblLotBalance[Item Name],$A368,tblLotBalance[Lot Balance],"&gt;0"),"")))</f>
        <v/>
      </c>
      <c r="N368" s="26" t="str">
        <f t="shared" ca="1" si="17"/>
        <v/>
      </c>
      <c r="O368" s="18" t="str" cm="1">
        <f t="array" ref="O368">IF($M368="","",IFERROR(INDEX(tblLotBalance[Lot Number],MATCH(1,INDEX((tblLotBalance[Item Name]=$A368)*(tblLotBalance[Expiry Date]=$M368)*(tblLotBalance[Lot Balance]&gt;0),0),0)),""))</f>
        <v/>
      </c>
      <c r="P368" s="28" t="str">
        <f>IF($A368="","",IF($I368&lt;0,"NEGATIVE",IF(NOT(ISNUMBER($F368)),"Set threshold",IF($I368&lt;=0,"OUT OF STOCK",IF($I368&lt;=$F368,"LOW",IF($I368&lt;=$F368*Settings!$C$7,"WATCH","OK"))))))</f>
        <v/>
      </c>
      <c r="Q368" s="29" t="str">
        <f>IF($A368="","",IF($P368="NEGATIVE","Issued more than received - add the missing receipt",IF($P368="OUT OF STOCK","Reorder immediately",IF($P368="LOW","Raise purchase order",IF($P368="Set threshold","Enter Critical Low in Items",IF(AND($N368&lt;&gt;"",$N368&lt;=0),"Quarantine expired lot",IF(AND($N368&lt;&gt;"",$N368&lt;=Settings!$C$6),"Use or rotate stock now","")))))))</f>
        <v/>
      </c>
    </row>
    <row r="369" spans="1:17" x14ac:dyDescent="0.35">
      <c r="A369" s="18" t="str">
        <f>IF(Items!$A366="","",Items!$A366)</f>
        <v/>
      </c>
      <c r="B369" s="18" t="str">
        <f>IF($A369="","",Items!$B366)</f>
        <v/>
      </c>
      <c r="C369" s="19" t="str">
        <f>IF($A369="","",Items!$G366)</f>
        <v/>
      </c>
      <c r="D369" s="20" t="str">
        <f>IF($A369="","",N(Items!$D366))</f>
        <v/>
      </c>
      <c r="E369" s="23" t="str">
        <f>IF($A369="","",Items!$E366)</f>
        <v/>
      </c>
      <c r="F369" s="23" t="str">
        <f>IF($A369="","",Items!$F366)</f>
        <v/>
      </c>
      <c r="G369" s="26" t="str">
        <f>IF($A369="","",SUMIFS(tblReceipts[Qty Received],tblReceipts[Item Name],$A369))</f>
        <v/>
      </c>
      <c r="H369" s="26" t="str">
        <f>IF($A369="","",SUMIFS(tblIssues[Qty Issued],tblIssues[Item Name],$A369))</f>
        <v/>
      </c>
      <c r="I369" s="27" t="str">
        <f t="shared" si="15"/>
        <v/>
      </c>
      <c r="J369" s="21" t="str">
        <f t="shared" si="16"/>
        <v/>
      </c>
      <c r="K369" s="26" t="str">
        <f>IF($A369="","",COUNTIFS(tblReceipts[Item Name],$A369))</f>
        <v/>
      </c>
      <c r="L369" s="26" t="str">
        <f>IF($A369="","",COUNTIFS(tblLotBalance[Item Name],$A369,tblLotBalance[Lot Balance],"&gt;0"))</f>
        <v/>
      </c>
      <c r="M369" s="24" t="str">
        <f>IF($A369="","",IF($L369=0,"",IFERROR(_xlfn.MINIFS(tblLotBalance[Expiry Date],tblLotBalance[Item Name],$A369,tblLotBalance[Lot Balance],"&gt;0"),"")))</f>
        <v/>
      </c>
      <c r="N369" s="26" t="str">
        <f t="shared" ca="1" si="17"/>
        <v/>
      </c>
      <c r="O369" s="18" t="str" cm="1">
        <f t="array" ref="O369">IF($M369="","",IFERROR(INDEX(tblLotBalance[Lot Number],MATCH(1,INDEX((tblLotBalance[Item Name]=$A369)*(tblLotBalance[Expiry Date]=$M369)*(tblLotBalance[Lot Balance]&gt;0),0),0)),""))</f>
        <v/>
      </c>
      <c r="P369" s="28" t="str">
        <f>IF($A369="","",IF($I369&lt;0,"NEGATIVE",IF(NOT(ISNUMBER($F369)),"Set threshold",IF($I369&lt;=0,"OUT OF STOCK",IF($I369&lt;=$F369,"LOW",IF($I369&lt;=$F369*Settings!$C$7,"WATCH","OK"))))))</f>
        <v/>
      </c>
      <c r="Q369" s="29" t="str">
        <f>IF($A369="","",IF($P369="NEGATIVE","Issued more than received - add the missing receipt",IF($P369="OUT OF STOCK","Reorder immediately",IF($P369="LOW","Raise purchase order",IF($P369="Set threshold","Enter Critical Low in Items",IF(AND($N369&lt;&gt;"",$N369&lt;=0),"Quarantine expired lot",IF(AND($N369&lt;&gt;"",$N369&lt;=Settings!$C$6),"Use or rotate stock now","")))))))</f>
        <v/>
      </c>
    </row>
    <row r="370" spans="1:17" x14ac:dyDescent="0.35">
      <c r="A370" s="18" t="str">
        <f>IF(Items!$A367="","",Items!$A367)</f>
        <v/>
      </c>
      <c r="B370" s="18" t="str">
        <f>IF($A370="","",Items!$B367)</f>
        <v/>
      </c>
      <c r="C370" s="19" t="str">
        <f>IF($A370="","",Items!$G367)</f>
        <v/>
      </c>
      <c r="D370" s="20" t="str">
        <f>IF($A370="","",N(Items!$D367))</f>
        <v/>
      </c>
      <c r="E370" s="23" t="str">
        <f>IF($A370="","",Items!$E367)</f>
        <v/>
      </c>
      <c r="F370" s="23" t="str">
        <f>IF($A370="","",Items!$F367)</f>
        <v/>
      </c>
      <c r="G370" s="26" t="str">
        <f>IF($A370="","",SUMIFS(tblReceipts[Qty Received],tblReceipts[Item Name],$A370))</f>
        <v/>
      </c>
      <c r="H370" s="26" t="str">
        <f>IF($A370="","",SUMIFS(tblIssues[Qty Issued],tblIssues[Item Name],$A370))</f>
        <v/>
      </c>
      <c r="I370" s="27" t="str">
        <f t="shared" si="15"/>
        <v/>
      </c>
      <c r="J370" s="21" t="str">
        <f t="shared" si="16"/>
        <v/>
      </c>
      <c r="K370" s="26" t="str">
        <f>IF($A370="","",COUNTIFS(tblReceipts[Item Name],$A370))</f>
        <v/>
      </c>
      <c r="L370" s="26" t="str">
        <f>IF($A370="","",COUNTIFS(tblLotBalance[Item Name],$A370,tblLotBalance[Lot Balance],"&gt;0"))</f>
        <v/>
      </c>
      <c r="M370" s="24" t="str">
        <f>IF($A370="","",IF($L370=0,"",IFERROR(_xlfn.MINIFS(tblLotBalance[Expiry Date],tblLotBalance[Item Name],$A370,tblLotBalance[Lot Balance],"&gt;0"),"")))</f>
        <v/>
      </c>
      <c r="N370" s="26" t="str">
        <f t="shared" ca="1" si="17"/>
        <v/>
      </c>
      <c r="O370" s="18" t="str" cm="1">
        <f t="array" ref="O370">IF($M370="","",IFERROR(INDEX(tblLotBalance[Lot Number],MATCH(1,INDEX((tblLotBalance[Item Name]=$A370)*(tblLotBalance[Expiry Date]=$M370)*(tblLotBalance[Lot Balance]&gt;0),0),0)),""))</f>
        <v/>
      </c>
      <c r="P370" s="28" t="str">
        <f>IF($A370="","",IF($I370&lt;0,"NEGATIVE",IF(NOT(ISNUMBER($F370)),"Set threshold",IF($I370&lt;=0,"OUT OF STOCK",IF($I370&lt;=$F370,"LOW",IF($I370&lt;=$F370*Settings!$C$7,"WATCH","OK"))))))</f>
        <v/>
      </c>
      <c r="Q370" s="29" t="str">
        <f>IF($A370="","",IF($P370="NEGATIVE","Issued more than received - add the missing receipt",IF($P370="OUT OF STOCK","Reorder immediately",IF($P370="LOW","Raise purchase order",IF($P370="Set threshold","Enter Critical Low in Items",IF(AND($N370&lt;&gt;"",$N370&lt;=0),"Quarantine expired lot",IF(AND($N370&lt;&gt;"",$N370&lt;=Settings!$C$6),"Use or rotate stock now","")))))))</f>
        <v/>
      </c>
    </row>
    <row r="371" spans="1:17" x14ac:dyDescent="0.35">
      <c r="A371" s="18" t="str">
        <f>IF(Items!$A368="","",Items!$A368)</f>
        <v/>
      </c>
      <c r="B371" s="18" t="str">
        <f>IF($A371="","",Items!$B368)</f>
        <v/>
      </c>
      <c r="C371" s="19" t="str">
        <f>IF($A371="","",Items!$G368)</f>
        <v/>
      </c>
      <c r="D371" s="20" t="str">
        <f>IF($A371="","",N(Items!$D368))</f>
        <v/>
      </c>
      <c r="E371" s="23" t="str">
        <f>IF($A371="","",Items!$E368)</f>
        <v/>
      </c>
      <c r="F371" s="23" t="str">
        <f>IF($A371="","",Items!$F368)</f>
        <v/>
      </c>
      <c r="G371" s="26" t="str">
        <f>IF($A371="","",SUMIFS(tblReceipts[Qty Received],tblReceipts[Item Name],$A371))</f>
        <v/>
      </c>
      <c r="H371" s="26" t="str">
        <f>IF($A371="","",SUMIFS(tblIssues[Qty Issued],tblIssues[Item Name],$A371))</f>
        <v/>
      </c>
      <c r="I371" s="27" t="str">
        <f t="shared" si="15"/>
        <v/>
      </c>
      <c r="J371" s="21" t="str">
        <f t="shared" si="16"/>
        <v/>
      </c>
      <c r="K371" s="26" t="str">
        <f>IF($A371="","",COUNTIFS(tblReceipts[Item Name],$A371))</f>
        <v/>
      </c>
      <c r="L371" s="26" t="str">
        <f>IF($A371="","",COUNTIFS(tblLotBalance[Item Name],$A371,tblLotBalance[Lot Balance],"&gt;0"))</f>
        <v/>
      </c>
      <c r="M371" s="24" t="str">
        <f>IF($A371="","",IF($L371=0,"",IFERROR(_xlfn.MINIFS(tblLotBalance[Expiry Date],tblLotBalance[Item Name],$A371,tblLotBalance[Lot Balance],"&gt;0"),"")))</f>
        <v/>
      </c>
      <c r="N371" s="26" t="str">
        <f t="shared" ca="1" si="17"/>
        <v/>
      </c>
      <c r="O371" s="18" t="str" cm="1">
        <f t="array" ref="O371">IF($M371="","",IFERROR(INDEX(tblLotBalance[Lot Number],MATCH(1,INDEX((tblLotBalance[Item Name]=$A371)*(tblLotBalance[Expiry Date]=$M371)*(tblLotBalance[Lot Balance]&gt;0),0),0)),""))</f>
        <v/>
      </c>
      <c r="P371" s="28" t="str">
        <f>IF($A371="","",IF($I371&lt;0,"NEGATIVE",IF(NOT(ISNUMBER($F371)),"Set threshold",IF($I371&lt;=0,"OUT OF STOCK",IF($I371&lt;=$F371,"LOW",IF($I371&lt;=$F371*Settings!$C$7,"WATCH","OK"))))))</f>
        <v/>
      </c>
      <c r="Q371" s="29" t="str">
        <f>IF($A371="","",IF($P371="NEGATIVE","Issued more than received - add the missing receipt",IF($P371="OUT OF STOCK","Reorder immediately",IF($P371="LOW","Raise purchase order",IF($P371="Set threshold","Enter Critical Low in Items",IF(AND($N371&lt;&gt;"",$N371&lt;=0),"Quarantine expired lot",IF(AND($N371&lt;&gt;"",$N371&lt;=Settings!$C$6),"Use or rotate stock now","")))))))</f>
        <v/>
      </c>
    </row>
    <row r="372" spans="1:17" x14ac:dyDescent="0.35">
      <c r="A372" s="18" t="str">
        <f>IF(Items!$A369="","",Items!$A369)</f>
        <v/>
      </c>
      <c r="B372" s="18" t="str">
        <f>IF($A372="","",Items!$B369)</f>
        <v/>
      </c>
      <c r="C372" s="19" t="str">
        <f>IF($A372="","",Items!$G369)</f>
        <v/>
      </c>
      <c r="D372" s="20" t="str">
        <f>IF($A372="","",N(Items!$D369))</f>
        <v/>
      </c>
      <c r="E372" s="23" t="str">
        <f>IF($A372="","",Items!$E369)</f>
        <v/>
      </c>
      <c r="F372" s="23" t="str">
        <f>IF($A372="","",Items!$F369)</f>
        <v/>
      </c>
      <c r="G372" s="26" t="str">
        <f>IF($A372="","",SUMIFS(tblReceipts[Qty Received],tblReceipts[Item Name],$A372))</f>
        <v/>
      </c>
      <c r="H372" s="26" t="str">
        <f>IF($A372="","",SUMIFS(tblIssues[Qty Issued],tblIssues[Item Name],$A372))</f>
        <v/>
      </c>
      <c r="I372" s="27" t="str">
        <f t="shared" si="15"/>
        <v/>
      </c>
      <c r="J372" s="21" t="str">
        <f t="shared" si="16"/>
        <v/>
      </c>
      <c r="K372" s="26" t="str">
        <f>IF($A372="","",COUNTIFS(tblReceipts[Item Name],$A372))</f>
        <v/>
      </c>
      <c r="L372" s="26" t="str">
        <f>IF($A372="","",COUNTIFS(tblLotBalance[Item Name],$A372,tblLotBalance[Lot Balance],"&gt;0"))</f>
        <v/>
      </c>
      <c r="M372" s="24" t="str">
        <f>IF($A372="","",IF($L372=0,"",IFERROR(_xlfn.MINIFS(tblLotBalance[Expiry Date],tblLotBalance[Item Name],$A372,tblLotBalance[Lot Balance],"&gt;0"),"")))</f>
        <v/>
      </c>
      <c r="N372" s="26" t="str">
        <f t="shared" ca="1" si="17"/>
        <v/>
      </c>
      <c r="O372" s="18" t="str" cm="1">
        <f t="array" ref="O372">IF($M372="","",IFERROR(INDEX(tblLotBalance[Lot Number],MATCH(1,INDEX((tblLotBalance[Item Name]=$A372)*(tblLotBalance[Expiry Date]=$M372)*(tblLotBalance[Lot Balance]&gt;0),0),0)),""))</f>
        <v/>
      </c>
      <c r="P372" s="28" t="str">
        <f>IF($A372="","",IF($I372&lt;0,"NEGATIVE",IF(NOT(ISNUMBER($F372)),"Set threshold",IF($I372&lt;=0,"OUT OF STOCK",IF($I372&lt;=$F372,"LOW",IF($I372&lt;=$F372*Settings!$C$7,"WATCH","OK"))))))</f>
        <v/>
      </c>
      <c r="Q372" s="29" t="str">
        <f>IF($A372="","",IF($P372="NEGATIVE","Issued more than received - add the missing receipt",IF($P372="OUT OF STOCK","Reorder immediately",IF($P372="LOW","Raise purchase order",IF($P372="Set threshold","Enter Critical Low in Items",IF(AND($N372&lt;&gt;"",$N372&lt;=0),"Quarantine expired lot",IF(AND($N372&lt;&gt;"",$N372&lt;=Settings!$C$6),"Use or rotate stock now","")))))))</f>
        <v/>
      </c>
    </row>
    <row r="373" spans="1:17" x14ac:dyDescent="0.35">
      <c r="A373" s="18" t="str">
        <f>IF(Items!$A370="","",Items!$A370)</f>
        <v/>
      </c>
      <c r="B373" s="18" t="str">
        <f>IF($A373="","",Items!$B370)</f>
        <v/>
      </c>
      <c r="C373" s="19" t="str">
        <f>IF($A373="","",Items!$G370)</f>
        <v/>
      </c>
      <c r="D373" s="20" t="str">
        <f>IF($A373="","",N(Items!$D370))</f>
        <v/>
      </c>
      <c r="E373" s="23" t="str">
        <f>IF($A373="","",Items!$E370)</f>
        <v/>
      </c>
      <c r="F373" s="23" t="str">
        <f>IF($A373="","",Items!$F370)</f>
        <v/>
      </c>
      <c r="G373" s="26" t="str">
        <f>IF($A373="","",SUMIFS(tblReceipts[Qty Received],tblReceipts[Item Name],$A373))</f>
        <v/>
      </c>
      <c r="H373" s="26" t="str">
        <f>IF($A373="","",SUMIFS(tblIssues[Qty Issued],tblIssues[Item Name],$A373))</f>
        <v/>
      </c>
      <c r="I373" s="27" t="str">
        <f t="shared" si="15"/>
        <v/>
      </c>
      <c r="J373" s="21" t="str">
        <f t="shared" si="16"/>
        <v/>
      </c>
      <c r="K373" s="26" t="str">
        <f>IF($A373="","",COUNTIFS(tblReceipts[Item Name],$A373))</f>
        <v/>
      </c>
      <c r="L373" s="26" t="str">
        <f>IF($A373="","",COUNTIFS(tblLotBalance[Item Name],$A373,tblLotBalance[Lot Balance],"&gt;0"))</f>
        <v/>
      </c>
      <c r="M373" s="24" t="str">
        <f>IF($A373="","",IF($L373=0,"",IFERROR(_xlfn.MINIFS(tblLotBalance[Expiry Date],tblLotBalance[Item Name],$A373,tblLotBalance[Lot Balance],"&gt;0"),"")))</f>
        <v/>
      </c>
      <c r="N373" s="26" t="str">
        <f t="shared" ca="1" si="17"/>
        <v/>
      </c>
      <c r="O373" s="18" t="str" cm="1">
        <f t="array" ref="O373">IF($M373="","",IFERROR(INDEX(tblLotBalance[Lot Number],MATCH(1,INDEX((tblLotBalance[Item Name]=$A373)*(tblLotBalance[Expiry Date]=$M373)*(tblLotBalance[Lot Balance]&gt;0),0),0)),""))</f>
        <v/>
      </c>
      <c r="P373" s="28" t="str">
        <f>IF($A373="","",IF($I373&lt;0,"NEGATIVE",IF(NOT(ISNUMBER($F373)),"Set threshold",IF($I373&lt;=0,"OUT OF STOCK",IF($I373&lt;=$F373,"LOW",IF($I373&lt;=$F373*Settings!$C$7,"WATCH","OK"))))))</f>
        <v/>
      </c>
      <c r="Q373" s="29" t="str">
        <f>IF($A373="","",IF($P373="NEGATIVE","Issued more than received - add the missing receipt",IF($P373="OUT OF STOCK","Reorder immediately",IF($P373="LOW","Raise purchase order",IF($P373="Set threshold","Enter Critical Low in Items",IF(AND($N373&lt;&gt;"",$N373&lt;=0),"Quarantine expired lot",IF(AND($N373&lt;&gt;"",$N373&lt;=Settings!$C$6),"Use or rotate stock now","")))))))</f>
        <v/>
      </c>
    </row>
    <row r="374" spans="1:17" x14ac:dyDescent="0.35">
      <c r="A374" s="18" t="str">
        <f>IF(Items!$A371="","",Items!$A371)</f>
        <v/>
      </c>
      <c r="B374" s="18" t="str">
        <f>IF($A374="","",Items!$B371)</f>
        <v/>
      </c>
      <c r="C374" s="19" t="str">
        <f>IF($A374="","",Items!$G371)</f>
        <v/>
      </c>
      <c r="D374" s="20" t="str">
        <f>IF($A374="","",N(Items!$D371))</f>
        <v/>
      </c>
      <c r="E374" s="23" t="str">
        <f>IF($A374="","",Items!$E371)</f>
        <v/>
      </c>
      <c r="F374" s="23" t="str">
        <f>IF($A374="","",Items!$F371)</f>
        <v/>
      </c>
      <c r="G374" s="26" t="str">
        <f>IF($A374="","",SUMIFS(tblReceipts[Qty Received],tblReceipts[Item Name],$A374))</f>
        <v/>
      </c>
      <c r="H374" s="26" t="str">
        <f>IF($A374="","",SUMIFS(tblIssues[Qty Issued],tblIssues[Item Name],$A374))</f>
        <v/>
      </c>
      <c r="I374" s="27" t="str">
        <f t="shared" si="15"/>
        <v/>
      </c>
      <c r="J374" s="21" t="str">
        <f t="shared" si="16"/>
        <v/>
      </c>
      <c r="K374" s="26" t="str">
        <f>IF($A374="","",COUNTIFS(tblReceipts[Item Name],$A374))</f>
        <v/>
      </c>
      <c r="L374" s="26" t="str">
        <f>IF($A374="","",COUNTIFS(tblLotBalance[Item Name],$A374,tblLotBalance[Lot Balance],"&gt;0"))</f>
        <v/>
      </c>
      <c r="M374" s="24" t="str">
        <f>IF($A374="","",IF($L374=0,"",IFERROR(_xlfn.MINIFS(tblLotBalance[Expiry Date],tblLotBalance[Item Name],$A374,tblLotBalance[Lot Balance],"&gt;0"),"")))</f>
        <v/>
      </c>
      <c r="N374" s="26" t="str">
        <f t="shared" ca="1" si="17"/>
        <v/>
      </c>
      <c r="O374" s="18" t="str" cm="1">
        <f t="array" ref="O374">IF($M374="","",IFERROR(INDEX(tblLotBalance[Lot Number],MATCH(1,INDEX((tblLotBalance[Item Name]=$A374)*(tblLotBalance[Expiry Date]=$M374)*(tblLotBalance[Lot Balance]&gt;0),0),0)),""))</f>
        <v/>
      </c>
      <c r="P374" s="28" t="str">
        <f>IF($A374="","",IF($I374&lt;0,"NEGATIVE",IF(NOT(ISNUMBER($F374)),"Set threshold",IF($I374&lt;=0,"OUT OF STOCK",IF($I374&lt;=$F374,"LOW",IF($I374&lt;=$F374*Settings!$C$7,"WATCH","OK"))))))</f>
        <v/>
      </c>
      <c r="Q374" s="29" t="str">
        <f>IF($A374="","",IF($P374="NEGATIVE","Issued more than received - add the missing receipt",IF($P374="OUT OF STOCK","Reorder immediately",IF($P374="LOW","Raise purchase order",IF($P374="Set threshold","Enter Critical Low in Items",IF(AND($N374&lt;&gt;"",$N374&lt;=0),"Quarantine expired lot",IF(AND($N374&lt;&gt;"",$N374&lt;=Settings!$C$6),"Use or rotate stock now","")))))))</f>
        <v/>
      </c>
    </row>
    <row r="375" spans="1:17" x14ac:dyDescent="0.35">
      <c r="A375" s="18" t="str">
        <f>IF(Items!$A372="","",Items!$A372)</f>
        <v/>
      </c>
      <c r="B375" s="18" t="str">
        <f>IF($A375="","",Items!$B372)</f>
        <v/>
      </c>
      <c r="C375" s="19" t="str">
        <f>IF($A375="","",Items!$G372)</f>
        <v/>
      </c>
      <c r="D375" s="20" t="str">
        <f>IF($A375="","",N(Items!$D372))</f>
        <v/>
      </c>
      <c r="E375" s="23" t="str">
        <f>IF($A375="","",Items!$E372)</f>
        <v/>
      </c>
      <c r="F375" s="23" t="str">
        <f>IF($A375="","",Items!$F372)</f>
        <v/>
      </c>
      <c r="G375" s="26" t="str">
        <f>IF($A375="","",SUMIFS(tblReceipts[Qty Received],tblReceipts[Item Name],$A375))</f>
        <v/>
      </c>
      <c r="H375" s="26" t="str">
        <f>IF($A375="","",SUMIFS(tblIssues[Qty Issued],tblIssues[Item Name],$A375))</f>
        <v/>
      </c>
      <c r="I375" s="27" t="str">
        <f t="shared" si="15"/>
        <v/>
      </c>
      <c r="J375" s="21" t="str">
        <f t="shared" si="16"/>
        <v/>
      </c>
      <c r="K375" s="26" t="str">
        <f>IF($A375="","",COUNTIFS(tblReceipts[Item Name],$A375))</f>
        <v/>
      </c>
      <c r="L375" s="26" t="str">
        <f>IF($A375="","",COUNTIFS(tblLotBalance[Item Name],$A375,tblLotBalance[Lot Balance],"&gt;0"))</f>
        <v/>
      </c>
      <c r="M375" s="24" t="str">
        <f>IF($A375="","",IF($L375=0,"",IFERROR(_xlfn.MINIFS(tblLotBalance[Expiry Date],tblLotBalance[Item Name],$A375,tblLotBalance[Lot Balance],"&gt;0"),"")))</f>
        <v/>
      </c>
      <c r="N375" s="26" t="str">
        <f t="shared" ca="1" si="17"/>
        <v/>
      </c>
      <c r="O375" s="18" t="str" cm="1">
        <f t="array" ref="O375">IF($M375="","",IFERROR(INDEX(tblLotBalance[Lot Number],MATCH(1,INDEX((tblLotBalance[Item Name]=$A375)*(tblLotBalance[Expiry Date]=$M375)*(tblLotBalance[Lot Balance]&gt;0),0),0)),""))</f>
        <v/>
      </c>
      <c r="P375" s="28" t="str">
        <f>IF($A375="","",IF($I375&lt;0,"NEGATIVE",IF(NOT(ISNUMBER($F375)),"Set threshold",IF($I375&lt;=0,"OUT OF STOCK",IF($I375&lt;=$F375,"LOW",IF($I375&lt;=$F375*Settings!$C$7,"WATCH","OK"))))))</f>
        <v/>
      </c>
      <c r="Q375" s="29" t="str">
        <f>IF($A375="","",IF($P375="NEGATIVE","Issued more than received - add the missing receipt",IF($P375="OUT OF STOCK","Reorder immediately",IF($P375="LOW","Raise purchase order",IF($P375="Set threshold","Enter Critical Low in Items",IF(AND($N375&lt;&gt;"",$N375&lt;=0),"Quarantine expired lot",IF(AND($N375&lt;&gt;"",$N375&lt;=Settings!$C$6),"Use or rotate stock now","")))))))</f>
        <v/>
      </c>
    </row>
    <row r="376" spans="1:17" x14ac:dyDescent="0.35">
      <c r="A376" s="18" t="str">
        <f>IF(Items!$A373="","",Items!$A373)</f>
        <v/>
      </c>
      <c r="B376" s="18" t="str">
        <f>IF($A376="","",Items!$B373)</f>
        <v/>
      </c>
      <c r="C376" s="19" t="str">
        <f>IF($A376="","",Items!$G373)</f>
        <v/>
      </c>
      <c r="D376" s="20" t="str">
        <f>IF($A376="","",N(Items!$D373))</f>
        <v/>
      </c>
      <c r="E376" s="23" t="str">
        <f>IF($A376="","",Items!$E373)</f>
        <v/>
      </c>
      <c r="F376" s="23" t="str">
        <f>IF($A376="","",Items!$F373)</f>
        <v/>
      </c>
      <c r="G376" s="26" t="str">
        <f>IF($A376="","",SUMIFS(tblReceipts[Qty Received],tblReceipts[Item Name],$A376))</f>
        <v/>
      </c>
      <c r="H376" s="26" t="str">
        <f>IF($A376="","",SUMIFS(tblIssues[Qty Issued],tblIssues[Item Name],$A376))</f>
        <v/>
      </c>
      <c r="I376" s="27" t="str">
        <f t="shared" si="15"/>
        <v/>
      </c>
      <c r="J376" s="21" t="str">
        <f t="shared" si="16"/>
        <v/>
      </c>
      <c r="K376" s="26" t="str">
        <f>IF($A376="","",COUNTIFS(tblReceipts[Item Name],$A376))</f>
        <v/>
      </c>
      <c r="L376" s="26" t="str">
        <f>IF($A376="","",COUNTIFS(tblLotBalance[Item Name],$A376,tblLotBalance[Lot Balance],"&gt;0"))</f>
        <v/>
      </c>
      <c r="M376" s="24" t="str">
        <f>IF($A376="","",IF($L376=0,"",IFERROR(_xlfn.MINIFS(tblLotBalance[Expiry Date],tblLotBalance[Item Name],$A376,tblLotBalance[Lot Balance],"&gt;0"),"")))</f>
        <v/>
      </c>
      <c r="N376" s="26" t="str">
        <f t="shared" ca="1" si="17"/>
        <v/>
      </c>
      <c r="O376" s="18" t="str" cm="1">
        <f t="array" ref="O376">IF($M376="","",IFERROR(INDEX(tblLotBalance[Lot Number],MATCH(1,INDEX((tblLotBalance[Item Name]=$A376)*(tblLotBalance[Expiry Date]=$M376)*(tblLotBalance[Lot Balance]&gt;0),0),0)),""))</f>
        <v/>
      </c>
      <c r="P376" s="28" t="str">
        <f>IF($A376="","",IF($I376&lt;0,"NEGATIVE",IF(NOT(ISNUMBER($F376)),"Set threshold",IF($I376&lt;=0,"OUT OF STOCK",IF($I376&lt;=$F376,"LOW",IF($I376&lt;=$F376*Settings!$C$7,"WATCH","OK"))))))</f>
        <v/>
      </c>
      <c r="Q376" s="29" t="str">
        <f>IF($A376="","",IF($P376="NEGATIVE","Issued more than received - add the missing receipt",IF($P376="OUT OF STOCK","Reorder immediately",IF($P376="LOW","Raise purchase order",IF($P376="Set threshold","Enter Critical Low in Items",IF(AND($N376&lt;&gt;"",$N376&lt;=0),"Quarantine expired lot",IF(AND($N376&lt;&gt;"",$N376&lt;=Settings!$C$6),"Use or rotate stock now","")))))))</f>
        <v/>
      </c>
    </row>
    <row r="377" spans="1:17" x14ac:dyDescent="0.35">
      <c r="A377" s="18" t="str">
        <f>IF(Items!$A374="","",Items!$A374)</f>
        <v/>
      </c>
      <c r="B377" s="18" t="str">
        <f>IF($A377="","",Items!$B374)</f>
        <v/>
      </c>
      <c r="C377" s="19" t="str">
        <f>IF($A377="","",Items!$G374)</f>
        <v/>
      </c>
      <c r="D377" s="20" t="str">
        <f>IF($A377="","",N(Items!$D374))</f>
        <v/>
      </c>
      <c r="E377" s="23" t="str">
        <f>IF($A377="","",Items!$E374)</f>
        <v/>
      </c>
      <c r="F377" s="23" t="str">
        <f>IF($A377="","",Items!$F374)</f>
        <v/>
      </c>
      <c r="G377" s="26" t="str">
        <f>IF($A377="","",SUMIFS(tblReceipts[Qty Received],tblReceipts[Item Name],$A377))</f>
        <v/>
      </c>
      <c r="H377" s="26" t="str">
        <f>IF($A377="","",SUMIFS(tblIssues[Qty Issued],tblIssues[Item Name],$A377))</f>
        <v/>
      </c>
      <c r="I377" s="27" t="str">
        <f t="shared" si="15"/>
        <v/>
      </c>
      <c r="J377" s="21" t="str">
        <f t="shared" si="16"/>
        <v/>
      </c>
      <c r="K377" s="26" t="str">
        <f>IF($A377="","",COUNTIFS(tblReceipts[Item Name],$A377))</f>
        <v/>
      </c>
      <c r="L377" s="26" t="str">
        <f>IF($A377="","",COUNTIFS(tblLotBalance[Item Name],$A377,tblLotBalance[Lot Balance],"&gt;0"))</f>
        <v/>
      </c>
      <c r="M377" s="24" t="str">
        <f>IF($A377="","",IF($L377=0,"",IFERROR(_xlfn.MINIFS(tblLotBalance[Expiry Date],tblLotBalance[Item Name],$A377,tblLotBalance[Lot Balance],"&gt;0"),"")))</f>
        <v/>
      </c>
      <c r="N377" s="26" t="str">
        <f t="shared" ca="1" si="17"/>
        <v/>
      </c>
      <c r="O377" s="18" t="str" cm="1">
        <f t="array" ref="O377">IF($M377="","",IFERROR(INDEX(tblLotBalance[Lot Number],MATCH(1,INDEX((tblLotBalance[Item Name]=$A377)*(tblLotBalance[Expiry Date]=$M377)*(tblLotBalance[Lot Balance]&gt;0),0),0)),""))</f>
        <v/>
      </c>
      <c r="P377" s="28" t="str">
        <f>IF($A377="","",IF($I377&lt;0,"NEGATIVE",IF(NOT(ISNUMBER($F377)),"Set threshold",IF($I377&lt;=0,"OUT OF STOCK",IF($I377&lt;=$F377,"LOW",IF($I377&lt;=$F377*Settings!$C$7,"WATCH","OK"))))))</f>
        <v/>
      </c>
      <c r="Q377" s="29" t="str">
        <f>IF($A377="","",IF($P377="NEGATIVE","Issued more than received - add the missing receipt",IF($P377="OUT OF STOCK","Reorder immediately",IF($P377="LOW","Raise purchase order",IF($P377="Set threshold","Enter Critical Low in Items",IF(AND($N377&lt;&gt;"",$N377&lt;=0),"Quarantine expired lot",IF(AND($N377&lt;&gt;"",$N377&lt;=Settings!$C$6),"Use or rotate stock now","")))))))</f>
        <v/>
      </c>
    </row>
    <row r="378" spans="1:17" x14ac:dyDescent="0.35">
      <c r="A378" s="18" t="str">
        <f>IF(Items!$A375="","",Items!$A375)</f>
        <v/>
      </c>
      <c r="B378" s="18" t="str">
        <f>IF($A378="","",Items!$B375)</f>
        <v/>
      </c>
      <c r="C378" s="19" t="str">
        <f>IF($A378="","",Items!$G375)</f>
        <v/>
      </c>
      <c r="D378" s="20" t="str">
        <f>IF($A378="","",N(Items!$D375))</f>
        <v/>
      </c>
      <c r="E378" s="23" t="str">
        <f>IF($A378="","",Items!$E375)</f>
        <v/>
      </c>
      <c r="F378" s="23" t="str">
        <f>IF($A378="","",Items!$F375)</f>
        <v/>
      </c>
      <c r="G378" s="26" t="str">
        <f>IF($A378="","",SUMIFS(tblReceipts[Qty Received],tblReceipts[Item Name],$A378))</f>
        <v/>
      </c>
      <c r="H378" s="26" t="str">
        <f>IF($A378="","",SUMIFS(tblIssues[Qty Issued],tblIssues[Item Name],$A378))</f>
        <v/>
      </c>
      <c r="I378" s="27" t="str">
        <f t="shared" si="15"/>
        <v/>
      </c>
      <c r="J378" s="21" t="str">
        <f t="shared" si="16"/>
        <v/>
      </c>
      <c r="K378" s="26" t="str">
        <f>IF($A378="","",COUNTIFS(tblReceipts[Item Name],$A378))</f>
        <v/>
      </c>
      <c r="L378" s="26" t="str">
        <f>IF($A378="","",COUNTIFS(tblLotBalance[Item Name],$A378,tblLotBalance[Lot Balance],"&gt;0"))</f>
        <v/>
      </c>
      <c r="M378" s="24" t="str">
        <f>IF($A378="","",IF($L378=0,"",IFERROR(_xlfn.MINIFS(tblLotBalance[Expiry Date],tblLotBalance[Item Name],$A378,tblLotBalance[Lot Balance],"&gt;0"),"")))</f>
        <v/>
      </c>
      <c r="N378" s="26" t="str">
        <f t="shared" ca="1" si="17"/>
        <v/>
      </c>
      <c r="O378" s="18" t="str" cm="1">
        <f t="array" ref="O378">IF($M378="","",IFERROR(INDEX(tblLotBalance[Lot Number],MATCH(1,INDEX((tblLotBalance[Item Name]=$A378)*(tblLotBalance[Expiry Date]=$M378)*(tblLotBalance[Lot Balance]&gt;0),0),0)),""))</f>
        <v/>
      </c>
      <c r="P378" s="28" t="str">
        <f>IF($A378="","",IF($I378&lt;0,"NEGATIVE",IF(NOT(ISNUMBER($F378)),"Set threshold",IF($I378&lt;=0,"OUT OF STOCK",IF($I378&lt;=$F378,"LOW",IF($I378&lt;=$F378*Settings!$C$7,"WATCH","OK"))))))</f>
        <v/>
      </c>
      <c r="Q378" s="29" t="str">
        <f>IF($A378="","",IF($P378="NEGATIVE","Issued more than received - add the missing receipt",IF($P378="OUT OF STOCK","Reorder immediately",IF($P378="LOW","Raise purchase order",IF($P378="Set threshold","Enter Critical Low in Items",IF(AND($N378&lt;&gt;"",$N378&lt;=0),"Quarantine expired lot",IF(AND($N378&lt;&gt;"",$N378&lt;=Settings!$C$6),"Use or rotate stock now","")))))))</f>
        <v/>
      </c>
    </row>
    <row r="379" spans="1:17" x14ac:dyDescent="0.35">
      <c r="A379" s="18" t="str">
        <f>IF(Items!$A376="","",Items!$A376)</f>
        <v/>
      </c>
      <c r="B379" s="18" t="str">
        <f>IF($A379="","",Items!$B376)</f>
        <v/>
      </c>
      <c r="C379" s="19" t="str">
        <f>IF($A379="","",Items!$G376)</f>
        <v/>
      </c>
      <c r="D379" s="20" t="str">
        <f>IF($A379="","",N(Items!$D376))</f>
        <v/>
      </c>
      <c r="E379" s="23" t="str">
        <f>IF($A379="","",Items!$E376)</f>
        <v/>
      </c>
      <c r="F379" s="23" t="str">
        <f>IF($A379="","",Items!$F376)</f>
        <v/>
      </c>
      <c r="G379" s="26" t="str">
        <f>IF($A379="","",SUMIFS(tblReceipts[Qty Received],tblReceipts[Item Name],$A379))</f>
        <v/>
      </c>
      <c r="H379" s="26" t="str">
        <f>IF($A379="","",SUMIFS(tblIssues[Qty Issued],tblIssues[Item Name],$A379))</f>
        <v/>
      </c>
      <c r="I379" s="27" t="str">
        <f t="shared" si="15"/>
        <v/>
      </c>
      <c r="J379" s="21" t="str">
        <f t="shared" si="16"/>
        <v/>
      </c>
      <c r="K379" s="26" t="str">
        <f>IF($A379="","",COUNTIFS(tblReceipts[Item Name],$A379))</f>
        <v/>
      </c>
      <c r="L379" s="26" t="str">
        <f>IF($A379="","",COUNTIFS(tblLotBalance[Item Name],$A379,tblLotBalance[Lot Balance],"&gt;0"))</f>
        <v/>
      </c>
      <c r="M379" s="24" t="str">
        <f>IF($A379="","",IF($L379=0,"",IFERROR(_xlfn.MINIFS(tblLotBalance[Expiry Date],tblLotBalance[Item Name],$A379,tblLotBalance[Lot Balance],"&gt;0"),"")))</f>
        <v/>
      </c>
      <c r="N379" s="26" t="str">
        <f t="shared" ca="1" si="17"/>
        <v/>
      </c>
      <c r="O379" s="18" t="str" cm="1">
        <f t="array" ref="O379">IF($M379="","",IFERROR(INDEX(tblLotBalance[Lot Number],MATCH(1,INDEX((tblLotBalance[Item Name]=$A379)*(tblLotBalance[Expiry Date]=$M379)*(tblLotBalance[Lot Balance]&gt;0),0),0)),""))</f>
        <v/>
      </c>
      <c r="P379" s="28" t="str">
        <f>IF($A379="","",IF($I379&lt;0,"NEGATIVE",IF(NOT(ISNUMBER($F379)),"Set threshold",IF($I379&lt;=0,"OUT OF STOCK",IF($I379&lt;=$F379,"LOW",IF($I379&lt;=$F379*Settings!$C$7,"WATCH","OK"))))))</f>
        <v/>
      </c>
      <c r="Q379" s="29" t="str">
        <f>IF($A379="","",IF($P379="NEGATIVE","Issued more than received - add the missing receipt",IF($P379="OUT OF STOCK","Reorder immediately",IF($P379="LOW","Raise purchase order",IF($P379="Set threshold","Enter Critical Low in Items",IF(AND($N379&lt;&gt;"",$N379&lt;=0),"Quarantine expired lot",IF(AND($N379&lt;&gt;"",$N379&lt;=Settings!$C$6),"Use or rotate stock now","")))))))</f>
        <v/>
      </c>
    </row>
    <row r="380" spans="1:17" x14ac:dyDescent="0.35">
      <c r="A380" s="18" t="str">
        <f>IF(Items!$A377="","",Items!$A377)</f>
        <v/>
      </c>
      <c r="B380" s="18" t="str">
        <f>IF($A380="","",Items!$B377)</f>
        <v/>
      </c>
      <c r="C380" s="19" t="str">
        <f>IF($A380="","",Items!$G377)</f>
        <v/>
      </c>
      <c r="D380" s="20" t="str">
        <f>IF($A380="","",N(Items!$D377))</f>
        <v/>
      </c>
      <c r="E380" s="23" t="str">
        <f>IF($A380="","",Items!$E377)</f>
        <v/>
      </c>
      <c r="F380" s="23" t="str">
        <f>IF($A380="","",Items!$F377)</f>
        <v/>
      </c>
      <c r="G380" s="26" t="str">
        <f>IF($A380="","",SUMIFS(tblReceipts[Qty Received],tblReceipts[Item Name],$A380))</f>
        <v/>
      </c>
      <c r="H380" s="26" t="str">
        <f>IF($A380="","",SUMIFS(tblIssues[Qty Issued],tblIssues[Item Name],$A380))</f>
        <v/>
      </c>
      <c r="I380" s="27" t="str">
        <f t="shared" si="15"/>
        <v/>
      </c>
      <c r="J380" s="21" t="str">
        <f t="shared" si="16"/>
        <v/>
      </c>
      <c r="K380" s="26" t="str">
        <f>IF($A380="","",COUNTIFS(tblReceipts[Item Name],$A380))</f>
        <v/>
      </c>
      <c r="L380" s="26" t="str">
        <f>IF($A380="","",COUNTIFS(tblLotBalance[Item Name],$A380,tblLotBalance[Lot Balance],"&gt;0"))</f>
        <v/>
      </c>
      <c r="M380" s="24" t="str">
        <f>IF($A380="","",IF($L380=0,"",IFERROR(_xlfn.MINIFS(tblLotBalance[Expiry Date],tblLotBalance[Item Name],$A380,tblLotBalance[Lot Balance],"&gt;0"),"")))</f>
        <v/>
      </c>
      <c r="N380" s="26" t="str">
        <f t="shared" ca="1" si="17"/>
        <v/>
      </c>
      <c r="O380" s="18" t="str" cm="1">
        <f t="array" ref="O380">IF($M380="","",IFERROR(INDEX(tblLotBalance[Lot Number],MATCH(1,INDEX((tblLotBalance[Item Name]=$A380)*(tblLotBalance[Expiry Date]=$M380)*(tblLotBalance[Lot Balance]&gt;0),0),0)),""))</f>
        <v/>
      </c>
      <c r="P380" s="28" t="str">
        <f>IF($A380="","",IF($I380&lt;0,"NEGATIVE",IF(NOT(ISNUMBER($F380)),"Set threshold",IF($I380&lt;=0,"OUT OF STOCK",IF($I380&lt;=$F380,"LOW",IF($I380&lt;=$F380*Settings!$C$7,"WATCH","OK"))))))</f>
        <v/>
      </c>
      <c r="Q380" s="29" t="str">
        <f>IF($A380="","",IF($P380="NEGATIVE","Issued more than received - add the missing receipt",IF($P380="OUT OF STOCK","Reorder immediately",IF($P380="LOW","Raise purchase order",IF($P380="Set threshold","Enter Critical Low in Items",IF(AND($N380&lt;&gt;"",$N380&lt;=0),"Quarantine expired lot",IF(AND($N380&lt;&gt;"",$N380&lt;=Settings!$C$6),"Use or rotate stock now","")))))))</f>
        <v/>
      </c>
    </row>
    <row r="381" spans="1:17" x14ac:dyDescent="0.35">
      <c r="A381" s="18" t="str">
        <f>IF(Items!$A378="","",Items!$A378)</f>
        <v/>
      </c>
      <c r="B381" s="18" t="str">
        <f>IF($A381="","",Items!$B378)</f>
        <v/>
      </c>
      <c r="C381" s="19" t="str">
        <f>IF($A381="","",Items!$G378)</f>
        <v/>
      </c>
      <c r="D381" s="20" t="str">
        <f>IF($A381="","",N(Items!$D378))</f>
        <v/>
      </c>
      <c r="E381" s="23" t="str">
        <f>IF($A381="","",Items!$E378)</f>
        <v/>
      </c>
      <c r="F381" s="23" t="str">
        <f>IF($A381="","",Items!$F378)</f>
        <v/>
      </c>
      <c r="G381" s="26" t="str">
        <f>IF($A381="","",SUMIFS(tblReceipts[Qty Received],tblReceipts[Item Name],$A381))</f>
        <v/>
      </c>
      <c r="H381" s="26" t="str">
        <f>IF($A381="","",SUMIFS(tblIssues[Qty Issued],tblIssues[Item Name],$A381))</f>
        <v/>
      </c>
      <c r="I381" s="27" t="str">
        <f t="shared" si="15"/>
        <v/>
      </c>
      <c r="J381" s="21" t="str">
        <f t="shared" si="16"/>
        <v/>
      </c>
      <c r="K381" s="26" t="str">
        <f>IF($A381="","",COUNTIFS(tblReceipts[Item Name],$A381))</f>
        <v/>
      </c>
      <c r="L381" s="26" t="str">
        <f>IF($A381="","",COUNTIFS(tblLotBalance[Item Name],$A381,tblLotBalance[Lot Balance],"&gt;0"))</f>
        <v/>
      </c>
      <c r="M381" s="24" t="str">
        <f>IF($A381="","",IF($L381=0,"",IFERROR(_xlfn.MINIFS(tblLotBalance[Expiry Date],tblLotBalance[Item Name],$A381,tblLotBalance[Lot Balance],"&gt;0"),"")))</f>
        <v/>
      </c>
      <c r="N381" s="26" t="str">
        <f t="shared" ca="1" si="17"/>
        <v/>
      </c>
      <c r="O381" s="18" t="str" cm="1">
        <f t="array" ref="O381">IF($M381="","",IFERROR(INDEX(tblLotBalance[Lot Number],MATCH(1,INDEX((tblLotBalance[Item Name]=$A381)*(tblLotBalance[Expiry Date]=$M381)*(tblLotBalance[Lot Balance]&gt;0),0),0)),""))</f>
        <v/>
      </c>
      <c r="P381" s="28" t="str">
        <f>IF($A381="","",IF($I381&lt;0,"NEGATIVE",IF(NOT(ISNUMBER($F381)),"Set threshold",IF($I381&lt;=0,"OUT OF STOCK",IF($I381&lt;=$F381,"LOW",IF($I381&lt;=$F381*Settings!$C$7,"WATCH","OK"))))))</f>
        <v/>
      </c>
      <c r="Q381" s="29" t="str">
        <f>IF($A381="","",IF($P381="NEGATIVE","Issued more than received - add the missing receipt",IF($P381="OUT OF STOCK","Reorder immediately",IF($P381="LOW","Raise purchase order",IF($P381="Set threshold","Enter Critical Low in Items",IF(AND($N381&lt;&gt;"",$N381&lt;=0),"Quarantine expired lot",IF(AND($N381&lt;&gt;"",$N381&lt;=Settings!$C$6),"Use or rotate stock now","")))))))</f>
        <v/>
      </c>
    </row>
    <row r="382" spans="1:17" x14ac:dyDescent="0.35">
      <c r="A382" s="18" t="str">
        <f>IF(Items!$A379="","",Items!$A379)</f>
        <v/>
      </c>
      <c r="B382" s="18" t="str">
        <f>IF($A382="","",Items!$B379)</f>
        <v/>
      </c>
      <c r="C382" s="19" t="str">
        <f>IF($A382="","",Items!$G379)</f>
        <v/>
      </c>
      <c r="D382" s="20" t="str">
        <f>IF($A382="","",N(Items!$D379))</f>
        <v/>
      </c>
      <c r="E382" s="23" t="str">
        <f>IF($A382="","",Items!$E379)</f>
        <v/>
      </c>
      <c r="F382" s="23" t="str">
        <f>IF($A382="","",Items!$F379)</f>
        <v/>
      </c>
      <c r="G382" s="26" t="str">
        <f>IF($A382="","",SUMIFS(tblReceipts[Qty Received],tblReceipts[Item Name],$A382))</f>
        <v/>
      </c>
      <c r="H382" s="26" t="str">
        <f>IF($A382="","",SUMIFS(tblIssues[Qty Issued],tblIssues[Item Name],$A382))</f>
        <v/>
      </c>
      <c r="I382" s="27" t="str">
        <f t="shared" si="15"/>
        <v/>
      </c>
      <c r="J382" s="21" t="str">
        <f t="shared" si="16"/>
        <v/>
      </c>
      <c r="K382" s="26" t="str">
        <f>IF($A382="","",COUNTIFS(tblReceipts[Item Name],$A382))</f>
        <v/>
      </c>
      <c r="L382" s="26" t="str">
        <f>IF($A382="","",COUNTIFS(tblLotBalance[Item Name],$A382,tblLotBalance[Lot Balance],"&gt;0"))</f>
        <v/>
      </c>
      <c r="M382" s="24" t="str">
        <f>IF($A382="","",IF($L382=0,"",IFERROR(_xlfn.MINIFS(tblLotBalance[Expiry Date],tblLotBalance[Item Name],$A382,tblLotBalance[Lot Balance],"&gt;0"),"")))</f>
        <v/>
      </c>
      <c r="N382" s="26" t="str">
        <f t="shared" ca="1" si="17"/>
        <v/>
      </c>
      <c r="O382" s="18" t="str" cm="1">
        <f t="array" ref="O382">IF($M382="","",IFERROR(INDEX(tblLotBalance[Lot Number],MATCH(1,INDEX((tblLotBalance[Item Name]=$A382)*(tblLotBalance[Expiry Date]=$M382)*(tblLotBalance[Lot Balance]&gt;0),0),0)),""))</f>
        <v/>
      </c>
      <c r="P382" s="28" t="str">
        <f>IF($A382="","",IF($I382&lt;0,"NEGATIVE",IF(NOT(ISNUMBER($F382)),"Set threshold",IF($I382&lt;=0,"OUT OF STOCK",IF($I382&lt;=$F382,"LOW",IF($I382&lt;=$F382*Settings!$C$7,"WATCH","OK"))))))</f>
        <v/>
      </c>
      <c r="Q382" s="29" t="str">
        <f>IF($A382="","",IF($P382="NEGATIVE","Issued more than received - add the missing receipt",IF($P382="OUT OF STOCK","Reorder immediately",IF($P382="LOW","Raise purchase order",IF($P382="Set threshold","Enter Critical Low in Items",IF(AND($N382&lt;&gt;"",$N382&lt;=0),"Quarantine expired lot",IF(AND($N382&lt;&gt;"",$N382&lt;=Settings!$C$6),"Use or rotate stock now","")))))))</f>
        <v/>
      </c>
    </row>
    <row r="383" spans="1:17" x14ac:dyDescent="0.35">
      <c r="A383" s="18" t="str">
        <f>IF(Items!$A380="","",Items!$A380)</f>
        <v/>
      </c>
      <c r="B383" s="18" t="str">
        <f>IF($A383="","",Items!$B380)</f>
        <v/>
      </c>
      <c r="C383" s="19" t="str">
        <f>IF($A383="","",Items!$G380)</f>
        <v/>
      </c>
      <c r="D383" s="20" t="str">
        <f>IF($A383="","",N(Items!$D380))</f>
        <v/>
      </c>
      <c r="E383" s="23" t="str">
        <f>IF($A383="","",Items!$E380)</f>
        <v/>
      </c>
      <c r="F383" s="23" t="str">
        <f>IF($A383="","",Items!$F380)</f>
        <v/>
      </c>
      <c r="G383" s="26" t="str">
        <f>IF($A383="","",SUMIFS(tblReceipts[Qty Received],tblReceipts[Item Name],$A383))</f>
        <v/>
      </c>
      <c r="H383" s="26" t="str">
        <f>IF($A383="","",SUMIFS(tblIssues[Qty Issued],tblIssues[Item Name],$A383))</f>
        <v/>
      </c>
      <c r="I383" s="27" t="str">
        <f t="shared" si="15"/>
        <v/>
      </c>
      <c r="J383" s="21" t="str">
        <f t="shared" si="16"/>
        <v/>
      </c>
      <c r="K383" s="26" t="str">
        <f>IF($A383="","",COUNTIFS(tblReceipts[Item Name],$A383))</f>
        <v/>
      </c>
      <c r="L383" s="26" t="str">
        <f>IF($A383="","",COUNTIFS(tblLotBalance[Item Name],$A383,tblLotBalance[Lot Balance],"&gt;0"))</f>
        <v/>
      </c>
      <c r="M383" s="24" t="str">
        <f>IF($A383="","",IF($L383=0,"",IFERROR(_xlfn.MINIFS(tblLotBalance[Expiry Date],tblLotBalance[Item Name],$A383,tblLotBalance[Lot Balance],"&gt;0"),"")))</f>
        <v/>
      </c>
      <c r="N383" s="26" t="str">
        <f t="shared" ca="1" si="17"/>
        <v/>
      </c>
      <c r="O383" s="18" t="str" cm="1">
        <f t="array" ref="O383">IF($M383="","",IFERROR(INDEX(tblLotBalance[Lot Number],MATCH(1,INDEX((tblLotBalance[Item Name]=$A383)*(tblLotBalance[Expiry Date]=$M383)*(tblLotBalance[Lot Balance]&gt;0),0),0)),""))</f>
        <v/>
      </c>
      <c r="P383" s="28" t="str">
        <f>IF($A383="","",IF($I383&lt;0,"NEGATIVE",IF(NOT(ISNUMBER($F383)),"Set threshold",IF($I383&lt;=0,"OUT OF STOCK",IF($I383&lt;=$F383,"LOW",IF($I383&lt;=$F383*Settings!$C$7,"WATCH","OK"))))))</f>
        <v/>
      </c>
      <c r="Q383" s="29" t="str">
        <f>IF($A383="","",IF($P383="NEGATIVE","Issued more than received - add the missing receipt",IF($P383="OUT OF STOCK","Reorder immediately",IF($P383="LOW","Raise purchase order",IF($P383="Set threshold","Enter Critical Low in Items",IF(AND($N383&lt;&gt;"",$N383&lt;=0),"Quarantine expired lot",IF(AND($N383&lt;&gt;"",$N383&lt;=Settings!$C$6),"Use or rotate stock now","")))))))</f>
        <v/>
      </c>
    </row>
    <row r="384" spans="1:17" x14ac:dyDescent="0.35">
      <c r="A384" s="18" t="str">
        <f>IF(Items!$A381="","",Items!$A381)</f>
        <v/>
      </c>
      <c r="B384" s="18" t="str">
        <f>IF($A384="","",Items!$B381)</f>
        <v/>
      </c>
      <c r="C384" s="19" t="str">
        <f>IF($A384="","",Items!$G381)</f>
        <v/>
      </c>
      <c r="D384" s="20" t="str">
        <f>IF($A384="","",N(Items!$D381))</f>
        <v/>
      </c>
      <c r="E384" s="23" t="str">
        <f>IF($A384="","",Items!$E381)</f>
        <v/>
      </c>
      <c r="F384" s="23" t="str">
        <f>IF($A384="","",Items!$F381)</f>
        <v/>
      </c>
      <c r="G384" s="26" t="str">
        <f>IF($A384="","",SUMIFS(tblReceipts[Qty Received],tblReceipts[Item Name],$A384))</f>
        <v/>
      </c>
      <c r="H384" s="26" t="str">
        <f>IF($A384="","",SUMIFS(tblIssues[Qty Issued],tblIssues[Item Name],$A384))</f>
        <v/>
      </c>
      <c r="I384" s="27" t="str">
        <f t="shared" si="15"/>
        <v/>
      </c>
      <c r="J384" s="21" t="str">
        <f t="shared" si="16"/>
        <v/>
      </c>
      <c r="K384" s="26" t="str">
        <f>IF($A384="","",COUNTIFS(tblReceipts[Item Name],$A384))</f>
        <v/>
      </c>
      <c r="L384" s="26" t="str">
        <f>IF($A384="","",COUNTIFS(tblLotBalance[Item Name],$A384,tblLotBalance[Lot Balance],"&gt;0"))</f>
        <v/>
      </c>
      <c r="M384" s="24" t="str">
        <f>IF($A384="","",IF($L384=0,"",IFERROR(_xlfn.MINIFS(tblLotBalance[Expiry Date],tblLotBalance[Item Name],$A384,tblLotBalance[Lot Balance],"&gt;0"),"")))</f>
        <v/>
      </c>
      <c r="N384" s="26" t="str">
        <f t="shared" ca="1" si="17"/>
        <v/>
      </c>
      <c r="O384" s="18" t="str" cm="1">
        <f t="array" ref="O384">IF($M384="","",IFERROR(INDEX(tblLotBalance[Lot Number],MATCH(1,INDEX((tblLotBalance[Item Name]=$A384)*(tblLotBalance[Expiry Date]=$M384)*(tblLotBalance[Lot Balance]&gt;0),0),0)),""))</f>
        <v/>
      </c>
      <c r="P384" s="28" t="str">
        <f>IF($A384="","",IF($I384&lt;0,"NEGATIVE",IF(NOT(ISNUMBER($F384)),"Set threshold",IF($I384&lt;=0,"OUT OF STOCK",IF($I384&lt;=$F384,"LOW",IF($I384&lt;=$F384*Settings!$C$7,"WATCH","OK"))))))</f>
        <v/>
      </c>
      <c r="Q384" s="29" t="str">
        <f>IF($A384="","",IF($P384="NEGATIVE","Issued more than received - add the missing receipt",IF($P384="OUT OF STOCK","Reorder immediately",IF($P384="LOW","Raise purchase order",IF($P384="Set threshold","Enter Critical Low in Items",IF(AND($N384&lt;&gt;"",$N384&lt;=0),"Quarantine expired lot",IF(AND($N384&lt;&gt;"",$N384&lt;=Settings!$C$6),"Use or rotate stock now","")))))))</f>
        <v/>
      </c>
    </row>
    <row r="385" spans="1:17" x14ac:dyDescent="0.35">
      <c r="A385" s="18" t="str">
        <f>IF(Items!$A382="","",Items!$A382)</f>
        <v/>
      </c>
      <c r="B385" s="18" t="str">
        <f>IF($A385="","",Items!$B382)</f>
        <v/>
      </c>
      <c r="C385" s="19" t="str">
        <f>IF($A385="","",Items!$G382)</f>
        <v/>
      </c>
      <c r="D385" s="20" t="str">
        <f>IF($A385="","",N(Items!$D382))</f>
        <v/>
      </c>
      <c r="E385" s="23" t="str">
        <f>IF($A385="","",Items!$E382)</f>
        <v/>
      </c>
      <c r="F385" s="23" t="str">
        <f>IF($A385="","",Items!$F382)</f>
        <v/>
      </c>
      <c r="G385" s="26" t="str">
        <f>IF($A385="","",SUMIFS(tblReceipts[Qty Received],tblReceipts[Item Name],$A385))</f>
        <v/>
      </c>
      <c r="H385" s="26" t="str">
        <f>IF($A385="","",SUMIFS(tblIssues[Qty Issued],tblIssues[Item Name],$A385))</f>
        <v/>
      </c>
      <c r="I385" s="27" t="str">
        <f t="shared" si="15"/>
        <v/>
      </c>
      <c r="J385" s="21" t="str">
        <f t="shared" si="16"/>
        <v/>
      </c>
      <c r="K385" s="26" t="str">
        <f>IF($A385="","",COUNTIFS(tblReceipts[Item Name],$A385))</f>
        <v/>
      </c>
      <c r="L385" s="26" t="str">
        <f>IF($A385="","",COUNTIFS(tblLotBalance[Item Name],$A385,tblLotBalance[Lot Balance],"&gt;0"))</f>
        <v/>
      </c>
      <c r="M385" s="24" t="str">
        <f>IF($A385="","",IF($L385=0,"",IFERROR(_xlfn.MINIFS(tblLotBalance[Expiry Date],tblLotBalance[Item Name],$A385,tblLotBalance[Lot Balance],"&gt;0"),"")))</f>
        <v/>
      </c>
      <c r="N385" s="26" t="str">
        <f t="shared" ca="1" si="17"/>
        <v/>
      </c>
      <c r="O385" s="18" t="str" cm="1">
        <f t="array" ref="O385">IF($M385="","",IFERROR(INDEX(tblLotBalance[Lot Number],MATCH(1,INDEX((tblLotBalance[Item Name]=$A385)*(tblLotBalance[Expiry Date]=$M385)*(tblLotBalance[Lot Balance]&gt;0),0),0)),""))</f>
        <v/>
      </c>
      <c r="P385" s="28" t="str">
        <f>IF($A385="","",IF($I385&lt;0,"NEGATIVE",IF(NOT(ISNUMBER($F385)),"Set threshold",IF($I385&lt;=0,"OUT OF STOCK",IF($I385&lt;=$F385,"LOW",IF($I385&lt;=$F385*Settings!$C$7,"WATCH","OK"))))))</f>
        <v/>
      </c>
      <c r="Q385" s="29" t="str">
        <f>IF($A385="","",IF($P385="NEGATIVE","Issued more than received - add the missing receipt",IF($P385="OUT OF STOCK","Reorder immediately",IF($P385="LOW","Raise purchase order",IF($P385="Set threshold","Enter Critical Low in Items",IF(AND($N385&lt;&gt;"",$N385&lt;=0),"Quarantine expired lot",IF(AND($N385&lt;&gt;"",$N385&lt;=Settings!$C$6),"Use or rotate stock now","")))))))</f>
        <v/>
      </c>
    </row>
    <row r="386" spans="1:17" x14ac:dyDescent="0.35">
      <c r="A386" s="18" t="str">
        <f>IF(Items!$A383="","",Items!$A383)</f>
        <v/>
      </c>
      <c r="B386" s="18" t="str">
        <f>IF($A386="","",Items!$B383)</f>
        <v/>
      </c>
      <c r="C386" s="19" t="str">
        <f>IF($A386="","",Items!$G383)</f>
        <v/>
      </c>
      <c r="D386" s="20" t="str">
        <f>IF($A386="","",N(Items!$D383))</f>
        <v/>
      </c>
      <c r="E386" s="23" t="str">
        <f>IF($A386="","",Items!$E383)</f>
        <v/>
      </c>
      <c r="F386" s="23" t="str">
        <f>IF($A386="","",Items!$F383)</f>
        <v/>
      </c>
      <c r="G386" s="26" t="str">
        <f>IF($A386="","",SUMIFS(tblReceipts[Qty Received],tblReceipts[Item Name],$A386))</f>
        <v/>
      </c>
      <c r="H386" s="26" t="str">
        <f>IF($A386="","",SUMIFS(tblIssues[Qty Issued],tblIssues[Item Name],$A386))</f>
        <v/>
      </c>
      <c r="I386" s="27" t="str">
        <f t="shared" si="15"/>
        <v/>
      </c>
      <c r="J386" s="21" t="str">
        <f t="shared" si="16"/>
        <v/>
      </c>
      <c r="K386" s="26" t="str">
        <f>IF($A386="","",COUNTIFS(tblReceipts[Item Name],$A386))</f>
        <v/>
      </c>
      <c r="L386" s="26" t="str">
        <f>IF($A386="","",COUNTIFS(tblLotBalance[Item Name],$A386,tblLotBalance[Lot Balance],"&gt;0"))</f>
        <v/>
      </c>
      <c r="M386" s="24" t="str">
        <f>IF($A386="","",IF($L386=0,"",IFERROR(_xlfn.MINIFS(tblLotBalance[Expiry Date],tblLotBalance[Item Name],$A386,tblLotBalance[Lot Balance],"&gt;0"),"")))</f>
        <v/>
      </c>
      <c r="N386" s="26" t="str">
        <f t="shared" ca="1" si="17"/>
        <v/>
      </c>
      <c r="O386" s="18" t="str" cm="1">
        <f t="array" ref="O386">IF($M386="","",IFERROR(INDEX(tblLotBalance[Lot Number],MATCH(1,INDEX((tblLotBalance[Item Name]=$A386)*(tblLotBalance[Expiry Date]=$M386)*(tblLotBalance[Lot Balance]&gt;0),0),0)),""))</f>
        <v/>
      </c>
      <c r="P386" s="28" t="str">
        <f>IF($A386="","",IF($I386&lt;0,"NEGATIVE",IF(NOT(ISNUMBER($F386)),"Set threshold",IF($I386&lt;=0,"OUT OF STOCK",IF($I386&lt;=$F386,"LOW",IF($I386&lt;=$F386*Settings!$C$7,"WATCH","OK"))))))</f>
        <v/>
      </c>
      <c r="Q386" s="29" t="str">
        <f>IF($A386="","",IF($P386="NEGATIVE","Issued more than received - add the missing receipt",IF($P386="OUT OF STOCK","Reorder immediately",IF($P386="LOW","Raise purchase order",IF($P386="Set threshold","Enter Critical Low in Items",IF(AND($N386&lt;&gt;"",$N386&lt;=0),"Quarantine expired lot",IF(AND($N386&lt;&gt;"",$N386&lt;=Settings!$C$6),"Use or rotate stock now","")))))))</f>
        <v/>
      </c>
    </row>
    <row r="387" spans="1:17" x14ac:dyDescent="0.35">
      <c r="A387" s="18" t="str">
        <f>IF(Items!$A384="","",Items!$A384)</f>
        <v/>
      </c>
      <c r="B387" s="18" t="str">
        <f>IF($A387="","",Items!$B384)</f>
        <v/>
      </c>
      <c r="C387" s="19" t="str">
        <f>IF($A387="","",Items!$G384)</f>
        <v/>
      </c>
      <c r="D387" s="20" t="str">
        <f>IF($A387="","",N(Items!$D384))</f>
        <v/>
      </c>
      <c r="E387" s="23" t="str">
        <f>IF($A387="","",Items!$E384)</f>
        <v/>
      </c>
      <c r="F387" s="23" t="str">
        <f>IF($A387="","",Items!$F384)</f>
        <v/>
      </c>
      <c r="G387" s="26" t="str">
        <f>IF($A387="","",SUMIFS(tblReceipts[Qty Received],tblReceipts[Item Name],$A387))</f>
        <v/>
      </c>
      <c r="H387" s="26" t="str">
        <f>IF($A387="","",SUMIFS(tblIssues[Qty Issued],tblIssues[Item Name],$A387))</f>
        <v/>
      </c>
      <c r="I387" s="27" t="str">
        <f t="shared" si="15"/>
        <v/>
      </c>
      <c r="J387" s="21" t="str">
        <f t="shared" si="16"/>
        <v/>
      </c>
      <c r="K387" s="26" t="str">
        <f>IF($A387="","",COUNTIFS(tblReceipts[Item Name],$A387))</f>
        <v/>
      </c>
      <c r="L387" s="26" t="str">
        <f>IF($A387="","",COUNTIFS(tblLotBalance[Item Name],$A387,tblLotBalance[Lot Balance],"&gt;0"))</f>
        <v/>
      </c>
      <c r="M387" s="24" t="str">
        <f>IF($A387="","",IF($L387=0,"",IFERROR(_xlfn.MINIFS(tblLotBalance[Expiry Date],tblLotBalance[Item Name],$A387,tblLotBalance[Lot Balance],"&gt;0"),"")))</f>
        <v/>
      </c>
      <c r="N387" s="26" t="str">
        <f t="shared" ca="1" si="17"/>
        <v/>
      </c>
      <c r="O387" s="18" t="str" cm="1">
        <f t="array" ref="O387">IF($M387="","",IFERROR(INDEX(tblLotBalance[Lot Number],MATCH(1,INDEX((tblLotBalance[Item Name]=$A387)*(tblLotBalance[Expiry Date]=$M387)*(tblLotBalance[Lot Balance]&gt;0),0),0)),""))</f>
        <v/>
      </c>
      <c r="P387" s="28" t="str">
        <f>IF($A387="","",IF($I387&lt;0,"NEGATIVE",IF(NOT(ISNUMBER($F387)),"Set threshold",IF($I387&lt;=0,"OUT OF STOCK",IF($I387&lt;=$F387,"LOW",IF($I387&lt;=$F387*Settings!$C$7,"WATCH","OK"))))))</f>
        <v/>
      </c>
      <c r="Q387" s="29" t="str">
        <f>IF($A387="","",IF($P387="NEGATIVE","Issued more than received - add the missing receipt",IF($P387="OUT OF STOCK","Reorder immediately",IF($P387="LOW","Raise purchase order",IF($P387="Set threshold","Enter Critical Low in Items",IF(AND($N387&lt;&gt;"",$N387&lt;=0),"Quarantine expired lot",IF(AND($N387&lt;&gt;"",$N387&lt;=Settings!$C$6),"Use or rotate stock now","")))))))</f>
        <v/>
      </c>
    </row>
    <row r="388" spans="1:17" x14ac:dyDescent="0.35">
      <c r="A388" s="18" t="str">
        <f>IF(Items!$A385="","",Items!$A385)</f>
        <v/>
      </c>
      <c r="B388" s="18" t="str">
        <f>IF($A388="","",Items!$B385)</f>
        <v/>
      </c>
      <c r="C388" s="19" t="str">
        <f>IF($A388="","",Items!$G385)</f>
        <v/>
      </c>
      <c r="D388" s="20" t="str">
        <f>IF($A388="","",N(Items!$D385))</f>
        <v/>
      </c>
      <c r="E388" s="23" t="str">
        <f>IF($A388="","",Items!$E385)</f>
        <v/>
      </c>
      <c r="F388" s="23" t="str">
        <f>IF($A388="","",Items!$F385)</f>
        <v/>
      </c>
      <c r="G388" s="26" t="str">
        <f>IF($A388="","",SUMIFS(tblReceipts[Qty Received],tblReceipts[Item Name],$A388))</f>
        <v/>
      </c>
      <c r="H388" s="26" t="str">
        <f>IF($A388="","",SUMIFS(tblIssues[Qty Issued],tblIssues[Item Name],$A388))</f>
        <v/>
      </c>
      <c r="I388" s="27" t="str">
        <f t="shared" si="15"/>
        <v/>
      </c>
      <c r="J388" s="21" t="str">
        <f t="shared" si="16"/>
        <v/>
      </c>
      <c r="K388" s="26" t="str">
        <f>IF($A388="","",COUNTIFS(tblReceipts[Item Name],$A388))</f>
        <v/>
      </c>
      <c r="L388" s="26" t="str">
        <f>IF($A388="","",COUNTIFS(tblLotBalance[Item Name],$A388,tblLotBalance[Lot Balance],"&gt;0"))</f>
        <v/>
      </c>
      <c r="M388" s="24" t="str">
        <f>IF($A388="","",IF($L388=0,"",IFERROR(_xlfn.MINIFS(tblLotBalance[Expiry Date],tblLotBalance[Item Name],$A388,tblLotBalance[Lot Balance],"&gt;0"),"")))</f>
        <v/>
      </c>
      <c r="N388" s="26" t="str">
        <f t="shared" ca="1" si="17"/>
        <v/>
      </c>
      <c r="O388" s="18" t="str" cm="1">
        <f t="array" ref="O388">IF($M388="","",IFERROR(INDEX(tblLotBalance[Lot Number],MATCH(1,INDEX((tblLotBalance[Item Name]=$A388)*(tblLotBalance[Expiry Date]=$M388)*(tblLotBalance[Lot Balance]&gt;0),0),0)),""))</f>
        <v/>
      </c>
      <c r="P388" s="28" t="str">
        <f>IF($A388="","",IF($I388&lt;0,"NEGATIVE",IF(NOT(ISNUMBER($F388)),"Set threshold",IF($I388&lt;=0,"OUT OF STOCK",IF($I388&lt;=$F388,"LOW",IF($I388&lt;=$F388*Settings!$C$7,"WATCH","OK"))))))</f>
        <v/>
      </c>
      <c r="Q388" s="29" t="str">
        <f>IF($A388="","",IF($P388="NEGATIVE","Issued more than received - add the missing receipt",IF($P388="OUT OF STOCK","Reorder immediately",IF($P388="LOW","Raise purchase order",IF($P388="Set threshold","Enter Critical Low in Items",IF(AND($N388&lt;&gt;"",$N388&lt;=0),"Quarantine expired lot",IF(AND($N388&lt;&gt;"",$N388&lt;=Settings!$C$6),"Use or rotate stock now","")))))))</f>
        <v/>
      </c>
    </row>
    <row r="389" spans="1:17" x14ac:dyDescent="0.35">
      <c r="A389" s="18" t="str">
        <f>IF(Items!$A386="","",Items!$A386)</f>
        <v/>
      </c>
      <c r="B389" s="18" t="str">
        <f>IF($A389="","",Items!$B386)</f>
        <v/>
      </c>
      <c r="C389" s="19" t="str">
        <f>IF($A389="","",Items!$G386)</f>
        <v/>
      </c>
      <c r="D389" s="20" t="str">
        <f>IF($A389="","",N(Items!$D386))</f>
        <v/>
      </c>
      <c r="E389" s="23" t="str">
        <f>IF($A389="","",Items!$E386)</f>
        <v/>
      </c>
      <c r="F389" s="23" t="str">
        <f>IF($A389="","",Items!$F386)</f>
        <v/>
      </c>
      <c r="G389" s="26" t="str">
        <f>IF($A389="","",SUMIFS(tblReceipts[Qty Received],tblReceipts[Item Name],$A389))</f>
        <v/>
      </c>
      <c r="H389" s="26" t="str">
        <f>IF($A389="","",SUMIFS(tblIssues[Qty Issued],tblIssues[Item Name],$A389))</f>
        <v/>
      </c>
      <c r="I389" s="27" t="str">
        <f t="shared" ref="I389:I452" si="18">IF($A389="","",$G389-$H389)</f>
        <v/>
      </c>
      <c r="J389" s="21" t="str">
        <f t="shared" ref="J389:J452" si="19">IF($A389="","",$I389*$D389)</f>
        <v/>
      </c>
      <c r="K389" s="26" t="str">
        <f>IF($A389="","",COUNTIFS(tblReceipts[Item Name],$A389))</f>
        <v/>
      </c>
      <c r="L389" s="26" t="str">
        <f>IF($A389="","",COUNTIFS(tblLotBalance[Item Name],$A389,tblLotBalance[Lot Balance],"&gt;0"))</f>
        <v/>
      </c>
      <c r="M389" s="24" t="str">
        <f>IF($A389="","",IF($L389=0,"",IFERROR(_xlfn.MINIFS(tblLotBalance[Expiry Date],tblLotBalance[Item Name],$A389,tblLotBalance[Lot Balance],"&gt;0"),"")))</f>
        <v/>
      </c>
      <c r="N389" s="26" t="str">
        <f t="shared" ref="N389:N452" ca="1" si="20">IF($M389="","",$M389-TODAY())</f>
        <v/>
      </c>
      <c r="O389" s="18" t="str" cm="1">
        <f t="array" ref="O389">IF($M389="","",IFERROR(INDEX(tblLotBalance[Lot Number],MATCH(1,INDEX((tblLotBalance[Item Name]=$A389)*(tblLotBalance[Expiry Date]=$M389)*(tblLotBalance[Lot Balance]&gt;0),0),0)),""))</f>
        <v/>
      </c>
      <c r="P389" s="28" t="str">
        <f>IF($A389="","",IF($I389&lt;0,"NEGATIVE",IF(NOT(ISNUMBER($F389)),"Set threshold",IF($I389&lt;=0,"OUT OF STOCK",IF($I389&lt;=$F389,"LOW",IF($I389&lt;=$F389*Settings!$C$7,"WATCH","OK"))))))</f>
        <v/>
      </c>
      <c r="Q389" s="29" t="str">
        <f>IF($A389="","",IF($P389="NEGATIVE","Issued more than received - add the missing receipt",IF($P389="OUT OF STOCK","Reorder immediately",IF($P389="LOW","Raise purchase order",IF($P389="Set threshold","Enter Critical Low in Items",IF(AND($N389&lt;&gt;"",$N389&lt;=0),"Quarantine expired lot",IF(AND($N389&lt;&gt;"",$N389&lt;=Settings!$C$6),"Use or rotate stock now","")))))))</f>
        <v/>
      </c>
    </row>
    <row r="390" spans="1:17" x14ac:dyDescent="0.35">
      <c r="A390" s="18" t="str">
        <f>IF(Items!$A387="","",Items!$A387)</f>
        <v/>
      </c>
      <c r="B390" s="18" t="str">
        <f>IF($A390="","",Items!$B387)</f>
        <v/>
      </c>
      <c r="C390" s="19" t="str">
        <f>IF($A390="","",Items!$G387)</f>
        <v/>
      </c>
      <c r="D390" s="20" t="str">
        <f>IF($A390="","",N(Items!$D387))</f>
        <v/>
      </c>
      <c r="E390" s="23" t="str">
        <f>IF($A390="","",Items!$E387)</f>
        <v/>
      </c>
      <c r="F390" s="23" t="str">
        <f>IF($A390="","",Items!$F387)</f>
        <v/>
      </c>
      <c r="G390" s="26" t="str">
        <f>IF($A390="","",SUMIFS(tblReceipts[Qty Received],tblReceipts[Item Name],$A390))</f>
        <v/>
      </c>
      <c r="H390" s="26" t="str">
        <f>IF($A390="","",SUMIFS(tblIssues[Qty Issued],tblIssues[Item Name],$A390))</f>
        <v/>
      </c>
      <c r="I390" s="27" t="str">
        <f t="shared" si="18"/>
        <v/>
      </c>
      <c r="J390" s="21" t="str">
        <f t="shared" si="19"/>
        <v/>
      </c>
      <c r="K390" s="26" t="str">
        <f>IF($A390="","",COUNTIFS(tblReceipts[Item Name],$A390))</f>
        <v/>
      </c>
      <c r="L390" s="26" t="str">
        <f>IF($A390="","",COUNTIFS(tblLotBalance[Item Name],$A390,tblLotBalance[Lot Balance],"&gt;0"))</f>
        <v/>
      </c>
      <c r="M390" s="24" t="str">
        <f>IF($A390="","",IF($L390=0,"",IFERROR(_xlfn.MINIFS(tblLotBalance[Expiry Date],tblLotBalance[Item Name],$A390,tblLotBalance[Lot Balance],"&gt;0"),"")))</f>
        <v/>
      </c>
      <c r="N390" s="26" t="str">
        <f t="shared" ca="1" si="20"/>
        <v/>
      </c>
      <c r="O390" s="18" t="str" cm="1">
        <f t="array" ref="O390">IF($M390="","",IFERROR(INDEX(tblLotBalance[Lot Number],MATCH(1,INDEX((tblLotBalance[Item Name]=$A390)*(tblLotBalance[Expiry Date]=$M390)*(tblLotBalance[Lot Balance]&gt;0),0),0)),""))</f>
        <v/>
      </c>
      <c r="P390" s="28" t="str">
        <f>IF($A390="","",IF($I390&lt;0,"NEGATIVE",IF(NOT(ISNUMBER($F390)),"Set threshold",IF($I390&lt;=0,"OUT OF STOCK",IF($I390&lt;=$F390,"LOW",IF($I390&lt;=$F390*Settings!$C$7,"WATCH","OK"))))))</f>
        <v/>
      </c>
      <c r="Q390" s="29" t="str">
        <f>IF($A390="","",IF($P390="NEGATIVE","Issued more than received - add the missing receipt",IF($P390="OUT OF STOCK","Reorder immediately",IF($P390="LOW","Raise purchase order",IF($P390="Set threshold","Enter Critical Low in Items",IF(AND($N390&lt;&gt;"",$N390&lt;=0),"Quarantine expired lot",IF(AND($N390&lt;&gt;"",$N390&lt;=Settings!$C$6),"Use or rotate stock now","")))))))</f>
        <v/>
      </c>
    </row>
    <row r="391" spans="1:17" x14ac:dyDescent="0.35">
      <c r="A391" s="18" t="str">
        <f>IF(Items!$A388="","",Items!$A388)</f>
        <v/>
      </c>
      <c r="B391" s="18" t="str">
        <f>IF($A391="","",Items!$B388)</f>
        <v/>
      </c>
      <c r="C391" s="19" t="str">
        <f>IF($A391="","",Items!$G388)</f>
        <v/>
      </c>
      <c r="D391" s="20" t="str">
        <f>IF($A391="","",N(Items!$D388))</f>
        <v/>
      </c>
      <c r="E391" s="23" t="str">
        <f>IF($A391="","",Items!$E388)</f>
        <v/>
      </c>
      <c r="F391" s="23" t="str">
        <f>IF($A391="","",Items!$F388)</f>
        <v/>
      </c>
      <c r="G391" s="26" t="str">
        <f>IF($A391="","",SUMIFS(tblReceipts[Qty Received],tblReceipts[Item Name],$A391))</f>
        <v/>
      </c>
      <c r="H391" s="26" t="str">
        <f>IF($A391="","",SUMIFS(tblIssues[Qty Issued],tblIssues[Item Name],$A391))</f>
        <v/>
      </c>
      <c r="I391" s="27" t="str">
        <f t="shared" si="18"/>
        <v/>
      </c>
      <c r="J391" s="21" t="str">
        <f t="shared" si="19"/>
        <v/>
      </c>
      <c r="K391" s="26" t="str">
        <f>IF($A391="","",COUNTIFS(tblReceipts[Item Name],$A391))</f>
        <v/>
      </c>
      <c r="L391" s="26" t="str">
        <f>IF($A391="","",COUNTIFS(tblLotBalance[Item Name],$A391,tblLotBalance[Lot Balance],"&gt;0"))</f>
        <v/>
      </c>
      <c r="M391" s="24" t="str">
        <f>IF($A391="","",IF($L391=0,"",IFERROR(_xlfn.MINIFS(tblLotBalance[Expiry Date],tblLotBalance[Item Name],$A391,tblLotBalance[Lot Balance],"&gt;0"),"")))</f>
        <v/>
      </c>
      <c r="N391" s="26" t="str">
        <f t="shared" ca="1" si="20"/>
        <v/>
      </c>
      <c r="O391" s="18" t="str" cm="1">
        <f t="array" ref="O391">IF($M391="","",IFERROR(INDEX(tblLotBalance[Lot Number],MATCH(1,INDEX((tblLotBalance[Item Name]=$A391)*(tblLotBalance[Expiry Date]=$M391)*(tblLotBalance[Lot Balance]&gt;0),0),0)),""))</f>
        <v/>
      </c>
      <c r="P391" s="28" t="str">
        <f>IF($A391="","",IF($I391&lt;0,"NEGATIVE",IF(NOT(ISNUMBER($F391)),"Set threshold",IF($I391&lt;=0,"OUT OF STOCK",IF($I391&lt;=$F391,"LOW",IF($I391&lt;=$F391*Settings!$C$7,"WATCH","OK"))))))</f>
        <v/>
      </c>
      <c r="Q391" s="29" t="str">
        <f>IF($A391="","",IF($P391="NEGATIVE","Issued more than received - add the missing receipt",IF($P391="OUT OF STOCK","Reorder immediately",IF($P391="LOW","Raise purchase order",IF($P391="Set threshold","Enter Critical Low in Items",IF(AND($N391&lt;&gt;"",$N391&lt;=0),"Quarantine expired lot",IF(AND($N391&lt;&gt;"",$N391&lt;=Settings!$C$6),"Use or rotate stock now","")))))))</f>
        <v/>
      </c>
    </row>
    <row r="392" spans="1:17" x14ac:dyDescent="0.35">
      <c r="A392" s="18" t="str">
        <f>IF(Items!$A389="","",Items!$A389)</f>
        <v/>
      </c>
      <c r="B392" s="18" t="str">
        <f>IF($A392="","",Items!$B389)</f>
        <v/>
      </c>
      <c r="C392" s="19" t="str">
        <f>IF($A392="","",Items!$G389)</f>
        <v/>
      </c>
      <c r="D392" s="20" t="str">
        <f>IF($A392="","",N(Items!$D389))</f>
        <v/>
      </c>
      <c r="E392" s="23" t="str">
        <f>IF($A392="","",Items!$E389)</f>
        <v/>
      </c>
      <c r="F392" s="23" t="str">
        <f>IF($A392="","",Items!$F389)</f>
        <v/>
      </c>
      <c r="G392" s="26" t="str">
        <f>IF($A392="","",SUMIFS(tblReceipts[Qty Received],tblReceipts[Item Name],$A392))</f>
        <v/>
      </c>
      <c r="H392" s="26" t="str">
        <f>IF($A392="","",SUMIFS(tblIssues[Qty Issued],tblIssues[Item Name],$A392))</f>
        <v/>
      </c>
      <c r="I392" s="27" t="str">
        <f t="shared" si="18"/>
        <v/>
      </c>
      <c r="J392" s="21" t="str">
        <f t="shared" si="19"/>
        <v/>
      </c>
      <c r="K392" s="26" t="str">
        <f>IF($A392="","",COUNTIFS(tblReceipts[Item Name],$A392))</f>
        <v/>
      </c>
      <c r="L392" s="26" t="str">
        <f>IF($A392="","",COUNTIFS(tblLotBalance[Item Name],$A392,tblLotBalance[Lot Balance],"&gt;0"))</f>
        <v/>
      </c>
      <c r="M392" s="24" t="str">
        <f>IF($A392="","",IF($L392=0,"",IFERROR(_xlfn.MINIFS(tblLotBalance[Expiry Date],tblLotBalance[Item Name],$A392,tblLotBalance[Lot Balance],"&gt;0"),"")))</f>
        <v/>
      </c>
      <c r="N392" s="26" t="str">
        <f t="shared" ca="1" si="20"/>
        <v/>
      </c>
      <c r="O392" s="18" t="str" cm="1">
        <f t="array" ref="O392">IF($M392="","",IFERROR(INDEX(tblLotBalance[Lot Number],MATCH(1,INDEX((tblLotBalance[Item Name]=$A392)*(tblLotBalance[Expiry Date]=$M392)*(tblLotBalance[Lot Balance]&gt;0),0),0)),""))</f>
        <v/>
      </c>
      <c r="P392" s="28" t="str">
        <f>IF($A392="","",IF($I392&lt;0,"NEGATIVE",IF(NOT(ISNUMBER($F392)),"Set threshold",IF($I392&lt;=0,"OUT OF STOCK",IF($I392&lt;=$F392,"LOW",IF($I392&lt;=$F392*Settings!$C$7,"WATCH","OK"))))))</f>
        <v/>
      </c>
      <c r="Q392" s="29" t="str">
        <f>IF($A392="","",IF($P392="NEGATIVE","Issued more than received - add the missing receipt",IF($P392="OUT OF STOCK","Reorder immediately",IF($P392="LOW","Raise purchase order",IF($P392="Set threshold","Enter Critical Low in Items",IF(AND($N392&lt;&gt;"",$N392&lt;=0),"Quarantine expired lot",IF(AND($N392&lt;&gt;"",$N392&lt;=Settings!$C$6),"Use or rotate stock now","")))))))</f>
        <v/>
      </c>
    </row>
    <row r="393" spans="1:17" x14ac:dyDescent="0.35">
      <c r="A393" s="18" t="str">
        <f>IF(Items!$A390="","",Items!$A390)</f>
        <v/>
      </c>
      <c r="B393" s="18" t="str">
        <f>IF($A393="","",Items!$B390)</f>
        <v/>
      </c>
      <c r="C393" s="19" t="str">
        <f>IF($A393="","",Items!$G390)</f>
        <v/>
      </c>
      <c r="D393" s="20" t="str">
        <f>IF($A393="","",N(Items!$D390))</f>
        <v/>
      </c>
      <c r="E393" s="23" t="str">
        <f>IF($A393="","",Items!$E390)</f>
        <v/>
      </c>
      <c r="F393" s="23" t="str">
        <f>IF($A393="","",Items!$F390)</f>
        <v/>
      </c>
      <c r="G393" s="26" t="str">
        <f>IF($A393="","",SUMIFS(tblReceipts[Qty Received],tblReceipts[Item Name],$A393))</f>
        <v/>
      </c>
      <c r="H393" s="26" t="str">
        <f>IF($A393="","",SUMIFS(tblIssues[Qty Issued],tblIssues[Item Name],$A393))</f>
        <v/>
      </c>
      <c r="I393" s="27" t="str">
        <f t="shared" si="18"/>
        <v/>
      </c>
      <c r="J393" s="21" t="str">
        <f t="shared" si="19"/>
        <v/>
      </c>
      <c r="K393" s="26" t="str">
        <f>IF($A393="","",COUNTIFS(tblReceipts[Item Name],$A393))</f>
        <v/>
      </c>
      <c r="L393" s="26" t="str">
        <f>IF($A393="","",COUNTIFS(tblLotBalance[Item Name],$A393,tblLotBalance[Lot Balance],"&gt;0"))</f>
        <v/>
      </c>
      <c r="M393" s="24" t="str">
        <f>IF($A393="","",IF($L393=0,"",IFERROR(_xlfn.MINIFS(tblLotBalance[Expiry Date],tblLotBalance[Item Name],$A393,tblLotBalance[Lot Balance],"&gt;0"),"")))</f>
        <v/>
      </c>
      <c r="N393" s="26" t="str">
        <f t="shared" ca="1" si="20"/>
        <v/>
      </c>
      <c r="O393" s="18" t="str" cm="1">
        <f t="array" ref="O393">IF($M393="","",IFERROR(INDEX(tblLotBalance[Lot Number],MATCH(1,INDEX((tblLotBalance[Item Name]=$A393)*(tblLotBalance[Expiry Date]=$M393)*(tblLotBalance[Lot Balance]&gt;0),0),0)),""))</f>
        <v/>
      </c>
      <c r="P393" s="28" t="str">
        <f>IF($A393="","",IF($I393&lt;0,"NEGATIVE",IF(NOT(ISNUMBER($F393)),"Set threshold",IF($I393&lt;=0,"OUT OF STOCK",IF($I393&lt;=$F393,"LOW",IF($I393&lt;=$F393*Settings!$C$7,"WATCH","OK"))))))</f>
        <v/>
      </c>
      <c r="Q393" s="29" t="str">
        <f>IF($A393="","",IF($P393="NEGATIVE","Issued more than received - add the missing receipt",IF($P393="OUT OF STOCK","Reorder immediately",IF($P393="LOW","Raise purchase order",IF($P393="Set threshold","Enter Critical Low in Items",IF(AND($N393&lt;&gt;"",$N393&lt;=0),"Quarantine expired lot",IF(AND($N393&lt;&gt;"",$N393&lt;=Settings!$C$6),"Use or rotate stock now","")))))))</f>
        <v/>
      </c>
    </row>
    <row r="394" spans="1:17" x14ac:dyDescent="0.35">
      <c r="A394" s="18" t="str">
        <f>IF(Items!$A391="","",Items!$A391)</f>
        <v/>
      </c>
      <c r="B394" s="18" t="str">
        <f>IF($A394="","",Items!$B391)</f>
        <v/>
      </c>
      <c r="C394" s="19" t="str">
        <f>IF($A394="","",Items!$G391)</f>
        <v/>
      </c>
      <c r="D394" s="20" t="str">
        <f>IF($A394="","",N(Items!$D391))</f>
        <v/>
      </c>
      <c r="E394" s="23" t="str">
        <f>IF($A394="","",Items!$E391)</f>
        <v/>
      </c>
      <c r="F394" s="23" t="str">
        <f>IF($A394="","",Items!$F391)</f>
        <v/>
      </c>
      <c r="G394" s="26" t="str">
        <f>IF($A394="","",SUMIFS(tblReceipts[Qty Received],tblReceipts[Item Name],$A394))</f>
        <v/>
      </c>
      <c r="H394" s="26" t="str">
        <f>IF($A394="","",SUMIFS(tblIssues[Qty Issued],tblIssues[Item Name],$A394))</f>
        <v/>
      </c>
      <c r="I394" s="27" t="str">
        <f t="shared" si="18"/>
        <v/>
      </c>
      <c r="J394" s="21" t="str">
        <f t="shared" si="19"/>
        <v/>
      </c>
      <c r="K394" s="26" t="str">
        <f>IF($A394="","",COUNTIFS(tblReceipts[Item Name],$A394))</f>
        <v/>
      </c>
      <c r="L394" s="26" t="str">
        <f>IF($A394="","",COUNTIFS(tblLotBalance[Item Name],$A394,tblLotBalance[Lot Balance],"&gt;0"))</f>
        <v/>
      </c>
      <c r="M394" s="24" t="str">
        <f>IF($A394="","",IF($L394=0,"",IFERROR(_xlfn.MINIFS(tblLotBalance[Expiry Date],tblLotBalance[Item Name],$A394,tblLotBalance[Lot Balance],"&gt;0"),"")))</f>
        <v/>
      </c>
      <c r="N394" s="26" t="str">
        <f t="shared" ca="1" si="20"/>
        <v/>
      </c>
      <c r="O394" s="18" t="str" cm="1">
        <f t="array" ref="O394">IF($M394="","",IFERROR(INDEX(tblLotBalance[Lot Number],MATCH(1,INDEX((tblLotBalance[Item Name]=$A394)*(tblLotBalance[Expiry Date]=$M394)*(tblLotBalance[Lot Balance]&gt;0),0),0)),""))</f>
        <v/>
      </c>
      <c r="P394" s="28" t="str">
        <f>IF($A394="","",IF($I394&lt;0,"NEGATIVE",IF(NOT(ISNUMBER($F394)),"Set threshold",IF($I394&lt;=0,"OUT OF STOCK",IF($I394&lt;=$F394,"LOW",IF($I394&lt;=$F394*Settings!$C$7,"WATCH","OK"))))))</f>
        <v/>
      </c>
      <c r="Q394" s="29" t="str">
        <f>IF($A394="","",IF($P394="NEGATIVE","Issued more than received - add the missing receipt",IF($P394="OUT OF STOCK","Reorder immediately",IF($P394="LOW","Raise purchase order",IF($P394="Set threshold","Enter Critical Low in Items",IF(AND($N394&lt;&gt;"",$N394&lt;=0),"Quarantine expired lot",IF(AND($N394&lt;&gt;"",$N394&lt;=Settings!$C$6),"Use or rotate stock now","")))))))</f>
        <v/>
      </c>
    </row>
    <row r="395" spans="1:17" x14ac:dyDescent="0.35">
      <c r="A395" s="18" t="str">
        <f>IF(Items!$A392="","",Items!$A392)</f>
        <v/>
      </c>
      <c r="B395" s="18" t="str">
        <f>IF($A395="","",Items!$B392)</f>
        <v/>
      </c>
      <c r="C395" s="19" t="str">
        <f>IF($A395="","",Items!$G392)</f>
        <v/>
      </c>
      <c r="D395" s="20" t="str">
        <f>IF($A395="","",N(Items!$D392))</f>
        <v/>
      </c>
      <c r="E395" s="23" t="str">
        <f>IF($A395="","",Items!$E392)</f>
        <v/>
      </c>
      <c r="F395" s="23" t="str">
        <f>IF($A395="","",Items!$F392)</f>
        <v/>
      </c>
      <c r="G395" s="26" t="str">
        <f>IF($A395="","",SUMIFS(tblReceipts[Qty Received],tblReceipts[Item Name],$A395))</f>
        <v/>
      </c>
      <c r="H395" s="26" t="str">
        <f>IF($A395="","",SUMIFS(tblIssues[Qty Issued],tblIssues[Item Name],$A395))</f>
        <v/>
      </c>
      <c r="I395" s="27" t="str">
        <f t="shared" si="18"/>
        <v/>
      </c>
      <c r="J395" s="21" t="str">
        <f t="shared" si="19"/>
        <v/>
      </c>
      <c r="K395" s="26" t="str">
        <f>IF($A395="","",COUNTIFS(tblReceipts[Item Name],$A395))</f>
        <v/>
      </c>
      <c r="L395" s="26" t="str">
        <f>IF($A395="","",COUNTIFS(tblLotBalance[Item Name],$A395,tblLotBalance[Lot Balance],"&gt;0"))</f>
        <v/>
      </c>
      <c r="M395" s="24" t="str">
        <f>IF($A395="","",IF($L395=0,"",IFERROR(_xlfn.MINIFS(tblLotBalance[Expiry Date],tblLotBalance[Item Name],$A395,tblLotBalance[Lot Balance],"&gt;0"),"")))</f>
        <v/>
      </c>
      <c r="N395" s="26" t="str">
        <f t="shared" ca="1" si="20"/>
        <v/>
      </c>
      <c r="O395" s="18" t="str" cm="1">
        <f t="array" ref="O395">IF($M395="","",IFERROR(INDEX(tblLotBalance[Lot Number],MATCH(1,INDEX((tblLotBalance[Item Name]=$A395)*(tblLotBalance[Expiry Date]=$M395)*(tblLotBalance[Lot Balance]&gt;0),0),0)),""))</f>
        <v/>
      </c>
      <c r="P395" s="28" t="str">
        <f>IF($A395="","",IF($I395&lt;0,"NEGATIVE",IF(NOT(ISNUMBER($F395)),"Set threshold",IF($I395&lt;=0,"OUT OF STOCK",IF($I395&lt;=$F395,"LOW",IF($I395&lt;=$F395*Settings!$C$7,"WATCH","OK"))))))</f>
        <v/>
      </c>
      <c r="Q395" s="29" t="str">
        <f>IF($A395="","",IF($P395="NEGATIVE","Issued more than received - add the missing receipt",IF($P395="OUT OF STOCK","Reorder immediately",IF($P395="LOW","Raise purchase order",IF($P395="Set threshold","Enter Critical Low in Items",IF(AND($N395&lt;&gt;"",$N395&lt;=0),"Quarantine expired lot",IF(AND($N395&lt;&gt;"",$N395&lt;=Settings!$C$6),"Use or rotate stock now","")))))))</f>
        <v/>
      </c>
    </row>
    <row r="396" spans="1:17" x14ac:dyDescent="0.35">
      <c r="A396" s="18" t="str">
        <f>IF(Items!$A393="","",Items!$A393)</f>
        <v/>
      </c>
      <c r="B396" s="18" t="str">
        <f>IF($A396="","",Items!$B393)</f>
        <v/>
      </c>
      <c r="C396" s="19" t="str">
        <f>IF($A396="","",Items!$G393)</f>
        <v/>
      </c>
      <c r="D396" s="20" t="str">
        <f>IF($A396="","",N(Items!$D393))</f>
        <v/>
      </c>
      <c r="E396" s="23" t="str">
        <f>IF($A396="","",Items!$E393)</f>
        <v/>
      </c>
      <c r="F396" s="23" t="str">
        <f>IF($A396="","",Items!$F393)</f>
        <v/>
      </c>
      <c r="G396" s="26" t="str">
        <f>IF($A396="","",SUMIFS(tblReceipts[Qty Received],tblReceipts[Item Name],$A396))</f>
        <v/>
      </c>
      <c r="H396" s="26" t="str">
        <f>IF($A396="","",SUMIFS(tblIssues[Qty Issued],tblIssues[Item Name],$A396))</f>
        <v/>
      </c>
      <c r="I396" s="27" t="str">
        <f t="shared" si="18"/>
        <v/>
      </c>
      <c r="J396" s="21" t="str">
        <f t="shared" si="19"/>
        <v/>
      </c>
      <c r="K396" s="26" t="str">
        <f>IF($A396="","",COUNTIFS(tblReceipts[Item Name],$A396))</f>
        <v/>
      </c>
      <c r="L396" s="26" t="str">
        <f>IF($A396="","",COUNTIFS(tblLotBalance[Item Name],$A396,tblLotBalance[Lot Balance],"&gt;0"))</f>
        <v/>
      </c>
      <c r="M396" s="24" t="str">
        <f>IF($A396="","",IF($L396=0,"",IFERROR(_xlfn.MINIFS(tblLotBalance[Expiry Date],tblLotBalance[Item Name],$A396,tblLotBalance[Lot Balance],"&gt;0"),"")))</f>
        <v/>
      </c>
      <c r="N396" s="26" t="str">
        <f t="shared" ca="1" si="20"/>
        <v/>
      </c>
      <c r="O396" s="18" t="str" cm="1">
        <f t="array" ref="O396">IF($M396="","",IFERROR(INDEX(tblLotBalance[Lot Number],MATCH(1,INDEX((tblLotBalance[Item Name]=$A396)*(tblLotBalance[Expiry Date]=$M396)*(tblLotBalance[Lot Balance]&gt;0),0),0)),""))</f>
        <v/>
      </c>
      <c r="P396" s="28" t="str">
        <f>IF($A396="","",IF($I396&lt;0,"NEGATIVE",IF(NOT(ISNUMBER($F396)),"Set threshold",IF($I396&lt;=0,"OUT OF STOCK",IF($I396&lt;=$F396,"LOW",IF($I396&lt;=$F396*Settings!$C$7,"WATCH","OK"))))))</f>
        <v/>
      </c>
      <c r="Q396" s="29" t="str">
        <f>IF($A396="","",IF($P396="NEGATIVE","Issued more than received - add the missing receipt",IF($P396="OUT OF STOCK","Reorder immediately",IF($P396="LOW","Raise purchase order",IF($P396="Set threshold","Enter Critical Low in Items",IF(AND($N396&lt;&gt;"",$N396&lt;=0),"Quarantine expired lot",IF(AND($N396&lt;&gt;"",$N396&lt;=Settings!$C$6),"Use or rotate stock now","")))))))</f>
        <v/>
      </c>
    </row>
    <row r="397" spans="1:17" x14ac:dyDescent="0.35">
      <c r="A397" s="18" t="str">
        <f>IF(Items!$A394="","",Items!$A394)</f>
        <v/>
      </c>
      <c r="B397" s="18" t="str">
        <f>IF($A397="","",Items!$B394)</f>
        <v/>
      </c>
      <c r="C397" s="19" t="str">
        <f>IF($A397="","",Items!$G394)</f>
        <v/>
      </c>
      <c r="D397" s="20" t="str">
        <f>IF($A397="","",N(Items!$D394))</f>
        <v/>
      </c>
      <c r="E397" s="23" t="str">
        <f>IF($A397="","",Items!$E394)</f>
        <v/>
      </c>
      <c r="F397" s="23" t="str">
        <f>IF($A397="","",Items!$F394)</f>
        <v/>
      </c>
      <c r="G397" s="26" t="str">
        <f>IF($A397="","",SUMIFS(tblReceipts[Qty Received],tblReceipts[Item Name],$A397))</f>
        <v/>
      </c>
      <c r="H397" s="26" t="str">
        <f>IF($A397="","",SUMIFS(tblIssues[Qty Issued],tblIssues[Item Name],$A397))</f>
        <v/>
      </c>
      <c r="I397" s="27" t="str">
        <f t="shared" si="18"/>
        <v/>
      </c>
      <c r="J397" s="21" t="str">
        <f t="shared" si="19"/>
        <v/>
      </c>
      <c r="K397" s="26" t="str">
        <f>IF($A397="","",COUNTIFS(tblReceipts[Item Name],$A397))</f>
        <v/>
      </c>
      <c r="L397" s="26" t="str">
        <f>IF($A397="","",COUNTIFS(tblLotBalance[Item Name],$A397,tblLotBalance[Lot Balance],"&gt;0"))</f>
        <v/>
      </c>
      <c r="M397" s="24" t="str">
        <f>IF($A397="","",IF($L397=0,"",IFERROR(_xlfn.MINIFS(tblLotBalance[Expiry Date],tblLotBalance[Item Name],$A397,tblLotBalance[Lot Balance],"&gt;0"),"")))</f>
        <v/>
      </c>
      <c r="N397" s="26" t="str">
        <f t="shared" ca="1" si="20"/>
        <v/>
      </c>
      <c r="O397" s="18" t="str" cm="1">
        <f t="array" ref="O397">IF($M397="","",IFERROR(INDEX(tblLotBalance[Lot Number],MATCH(1,INDEX((tblLotBalance[Item Name]=$A397)*(tblLotBalance[Expiry Date]=$M397)*(tblLotBalance[Lot Balance]&gt;0),0),0)),""))</f>
        <v/>
      </c>
      <c r="P397" s="28" t="str">
        <f>IF($A397="","",IF($I397&lt;0,"NEGATIVE",IF(NOT(ISNUMBER($F397)),"Set threshold",IF($I397&lt;=0,"OUT OF STOCK",IF($I397&lt;=$F397,"LOW",IF($I397&lt;=$F397*Settings!$C$7,"WATCH","OK"))))))</f>
        <v/>
      </c>
      <c r="Q397" s="29" t="str">
        <f>IF($A397="","",IF($P397="NEGATIVE","Issued more than received - add the missing receipt",IF($P397="OUT OF STOCK","Reorder immediately",IF($P397="LOW","Raise purchase order",IF($P397="Set threshold","Enter Critical Low in Items",IF(AND($N397&lt;&gt;"",$N397&lt;=0),"Quarantine expired lot",IF(AND($N397&lt;&gt;"",$N397&lt;=Settings!$C$6),"Use or rotate stock now","")))))))</f>
        <v/>
      </c>
    </row>
    <row r="398" spans="1:17" x14ac:dyDescent="0.35">
      <c r="A398" s="18" t="str">
        <f>IF(Items!$A395="","",Items!$A395)</f>
        <v/>
      </c>
      <c r="B398" s="18" t="str">
        <f>IF($A398="","",Items!$B395)</f>
        <v/>
      </c>
      <c r="C398" s="19" t="str">
        <f>IF($A398="","",Items!$G395)</f>
        <v/>
      </c>
      <c r="D398" s="20" t="str">
        <f>IF($A398="","",N(Items!$D395))</f>
        <v/>
      </c>
      <c r="E398" s="23" t="str">
        <f>IF($A398="","",Items!$E395)</f>
        <v/>
      </c>
      <c r="F398" s="23" t="str">
        <f>IF($A398="","",Items!$F395)</f>
        <v/>
      </c>
      <c r="G398" s="26" t="str">
        <f>IF($A398="","",SUMIFS(tblReceipts[Qty Received],tblReceipts[Item Name],$A398))</f>
        <v/>
      </c>
      <c r="H398" s="26" t="str">
        <f>IF($A398="","",SUMIFS(tblIssues[Qty Issued],tblIssues[Item Name],$A398))</f>
        <v/>
      </c>
      <c r="I398" s="27" t="str">
        <f t="shared" si="18"/>
        <v/>
      </c>
      <c r="J398" s="21" t="str">
        <f t="shared" si="19"/>
        <v/>
      </c>
      <c r="K398" s="26" t="str">
        <f>IF($A398="","",COUNTIFS(tblReceipts[Item Name],$A398))</f>
        <v/>
      </c>
      <c r="L398" s="26" t="str">
        <f>IF($A398="","",COUNTIFS(tblLotBalance[Item Name],$A398,tblLotBalance[Lot Balance],"&gt;0"))</f>
        <v/>
      </c>
      <c r="M398" s="24" t="str">
        <f>IF($A398="","",IF($L398=0,"",IFERROR(_xlfn.MINIFS(tblLotBalance[Expiry Date],tblLotBalance[Item Name],$A398,tblLotBalance[Lot Balance],"&gt;0"),"")))</f>
        <v/>
      </c>
      <c r="N398" s="26" t="str">
        <f t="shared" ca="1" si="20"/>
        <v/>
      </c>
      <c r="O398" s="18" t="str" cm="1">
        <f t="array" ref="O398">IF($M398="","",IFERROR(INDEX(tblLotBalance[Lot Number],MATCH(1,INDEX((tblLotBalance[Item Name]=$A398)*(tblLotBalance[Expiry Date]=$M398)*(tblLotBalance[Lot Balance]&gt;0),0),0)),""))</f>
        <v/>
      </c>
      <c r="P398" s="28" t="str">
        <f>IF($A398="","",IF($I398&lt;0,"NEGATIVE",IF(NOT(ISNUMBER($F398)),"Set threshold",IF($I398&lt;=0,"OUT OF STOCK",IF($I398&lt;=$F398,"LOW",IF($I398&lt;=$F398*Settings!$C$7,"WATCH","OK"))))))</f>
        <v/>
      </c>
      <c r="Q398" s="29" t="str">
        <f>IF($A398="","",IF($P398="NEGATIVE","Issued more than received - add the missing receipt",IF($P398="OUT OF STOCK","Reorder immediately",IF($P398="LOW","Raise purchase order",IF($P398="Set threshold","Enter Critical Low in Items",IF(AND($N398&lt;&gt;"",$N398&lt;=0),"Quarantine expired lot",IF(AND($N398&lt;&gt;"",$N398&lt;=Settings!$C$6),"Use or rotate stock now","")))))))</f>
        <v/>
      </c>
    </row>
    <row r="399" spans="1:17" x14ac:dyDescent="0.35">
      <c r="A399" s="18" t="str">
        <f>IF(Items!$A396="","",Items!$A396)</f>
        <v/>
      </c>
      <c r="B399" s="18" t="str">
        <f>IF($A399="","",Items!$B396)</f>
        <v/>
      </c>
      <c r="C399" s="19" t="str">
        <f>IF($A399="","",Items!$G396)</f>
        <v/>
      </c>
      <c r="D399" s="20" t="str">
        <f>IF($A399="","",N(Items!$D396))</f>
        <v/>
      </c>
      <c r="E399" s="23" t="str">
        <f>IF($A399="","",Items!$E396)</f>
        <v/>
      </c>
      <c r="F399" s="23" t="str">
        <f>IF($A399="","",Items!$F396)</f>
        <v/>
      </c>
      <c r="G399" s="26" t="str">
        <f>IF($A399="","",SUMIFS(tblReceipts[Qty Received],tblReceipts[Item Name],$A399))</f>
        <v/>
      </c>
      <c r="H399" s="26" t="str">
        <f>IF($A399="","",SUMIFS(tblIssues[Qty Issued],tblIssues[Item Name],$A399))</f>
        <v/>
      </c>
      <c r="I399" s="27" t="str">
        <f t="shared" si="18"/>
        <v/>
      </c>
      <c r="J399" s="21" t="str">
        <f t="shared" si="19"/>
        <v/>
      </c>
      <c r="K399" s="26" t="str">
        <f>IF($A399="","",COUNTIFS(tblReceipts[Item Name],$A399))</f>
        <v/>
      </c>
      <c r="L399" s="26" t="str">
        <f>IF($A399="","",COUNTIFS(tblLotBalance[Item Name],$A399,tblLotBalance[Lot Balance],"&gt;0"))</f>
        <v/>
      </c>
      <c r="M399" s="24" t="str">
        <f>IF($A399="","",IF($L399=0,"",IFERROR(_xlfn.MINIFS(tblLotBalance[Expiry Date],tblLotBalance[Item Name],$A399,tblLotBalance[Lot Balance],"&gt;0"),"")))</f>
        <v/>
      </c>
      <c r="N399" s="26" t="str">
        <f t="shared" ca="1" si="20"/>
        <v/>
      </c>
      <c r="O399" s="18" t="str" cm="1">
        <f t="array" ref="O399">IF($M399="","",IFERROR(INDEX(tblLotBalance[Lot Number],MATCH(1,INDEX((tblLotBalance[Item Name]=$A399)*(tblLotBalance[Expiry Date]=$M399)*(tblLotBalance[Lot Balance]&gt;0),0),0)),""))</f>
        <v/>
      </c>
      <c r="P399" s="28" t="str">
        <f>IF($A399="","",IF($I399&lt;0,"NEGATIVE",IF(NOT(ISNUMBER($F399)),"Set threshold",IF($I399&lt;=0,"OUT OF STOCK",IF($I399&lt;=$F399,"LOW",IF($I399&lt;=$F399*Settings!$C$7,"WATCH","OK"))))))</f>
        <v/>
      </c>
      <c r="Q399" s="29" t="str">
        <f>IF($A399="","",IF($P399="NEGATIVE","Issued more than received - add the missing receipt",IF($P399="OUT OF STOCK","Reorder immediately",IF($P399="LOW","Raise purchase order",IF($P399="Set threshold","Enter Critical Low in Items",IF(AND($N399&lt;&gt;"",$N399&lt;=0),"Quarantine expired lot",IF(AND($N399&lt;&gt;"",$N399&lt;=Settings!$C$6),"Use or rotate stock now","")))))))</f>
        <v/>
      </c>
    </row>
    <row r="400" spans="1:17" x14ac:dyDescent="0.35">
      <c r="A400" s="18" t="str">
        <f>IF(Items!$A397="","",Items!$A397)</f>
        <v/>
      </c>
      <c r="B400" s="18" t="str">
        <f>IF($A400="","",Items!$B397)</f>
        <v/>
      </c>
      <c r="C400" s="19" t="str">
        <f>IF($A400="","",Items!$G397)</f>
        <v/>
      </c>
      <c r="D400" s="20" t="str">
        <f>IF($A400="","",N(Items!$D397))</f>
        <v/>
      </c>
      <c r="E400" s="23" t="str">
        <f>IF($A400="","",Items!$E397)</f>
        <v/>
      </c>
      <c r="F400" s="23" t="str">
        <f>IF($A400="","",Items!$F397)</f>
        <v/>
      </c>
      <c r="G400" s="26" t="str">
        <f>IF($A400="","",SUMIFS(tblReceipts[Qty Received],tblReceipts[Item Name],$A400))</f>
        <v/>
      </c>
      <c r="H400" s="26" t="str">
        <f>IF($A400="","",SUMIFS(tblIssues[Qty Issued],tblIssues[Item Name],$A400))</f>
        <v/>
      </c>
      <c r="I400" s="27" t="str">
        <f t="shared" si="18"/>
        <v/>
      </c>
      <c r="J400" s="21" t="str">
        <f t="shared" si="19"/>
        <v/>
      </c>
      <c r="K400" s="26" t="str">
        <f>IF($A400="","",COUNTIFS(tblReceipts[Item Name],$A400))</f>
        <v/>
      </c>
      <c r="L400" s="26" t="str">
        <f>IF($A400="","",COUNTIFS(tblLotBalance[Item Name],$A400,tblLotBalance[Lot Balance],"&gt;0"))</f>
        <v/>
      </c>
      <c r="M400" s="24" t="str">
        <f>IF($A400="","",IF($L400=0,"",IFERROR(_xlfn.MINIFS(tblLotBalance[Expiry Date],tblLotBalance[Item Name],$A400,tblLotBalance[Lot Balance],"&gt;0"),"")))</f>
        <v/>
      </c>
      <c r="N400" s="26" t="str">
        <f t="shared" ca="1" si="20"/>
        <v/>
      </c>
      <c r="O400" s="18" t="str" cm="1">
        <f t="array" ref="O400">IF($M400="","",IFERROR(INDEX(tblLotBalance[Lot Number],MATCH(1,INDEX((tblLotBalance[Item Name]=$A400)*(tblLotBalance[Expiry Date]=$M400)*(tblLotBalance[Lot Balance]&gt;0),0),0)),""))</f>
        <v/>
      </c>
      <c r="P400" s="28" t="str">
        <f>IF($A400="","",IF($I400&lt;0,"NEGATIVE",IF(NOT(ISNUMBER($F400)),"Set threshold",IF($I400&lt;=0,"OUT OF STOCK",IF($I400&lt;=$F400,"LOW",IF($I400&lt;=$F400*Settings!$C$7,"WATCH","OK"))))))</f>
        <v/>
      </c>
      <c r="Q400" s="29" t="str">
        <f>IF($A400="","",IF($P400="NEGATIVE","Issued more than received - add the missing receipt",IF($P400="OUT OF STOCK","Reorder immediately",IF($P400="LOW","Raise purchase order",IF($P400="Set threshold","Enter Critical Low in Items",IF(AND($N400&lt;&gt;"",$N400&lt;=0),"Quarantine expired lot",IF(AND($N400&lt;&gt;"",$N400&lt;=Settings!$C$6),"Use or rotate stock now","")))))))</f>
        <v/>
      </c>
    </row>
    <row r="401" spans="1:17" x14ac:dyDescent="0.35">
      <c r="A401" s="18" t="str">
        <f>IF(Items!$A398="","",Items!$A398)</f>
        <v/>
      </c>
      <c r="B401" s="18" t="str">
        <f>IF($A401="","",Items!$B398)</f>
        <v/>
      </c>
      <c r="C401" s="19" t="str">
        <f>IF($A401="","",Items!$G398)</f>
        <v/>
      </c>
      <c r="D401" s="20" t="str">
        <f>IF($A401="","",N(Items!$D398))</f>
        <v/>
      </c>
      <c r="E401" s="23" t="str">
        <f>IF($A401="","",Items!$E398)</f>
        <v/>
      </c>
      <c r="F401" s="23" t="str">
        <f>IF($A401="","",Items!$F398)</f>
        <v/>
      </c>
      <c r="G401" s="26" t="str">
        <f>IF($A401="","",SUMIFS(tblReceipts[Qty Received],tblReceipts[Item Name],$A401))</f>
        <v/>
      </c>
      <c r="H401" s="26" t="str">
        <f>IF($A401="","",SUMIFS(tblIssues[Qty Issued],tblIssues[Item Name],$A401))</f>
        <v/>
      </c>
      <c r="I401" s="27" t="str">
        <f t="shared" si="18"/>
        <v/>
      </c>
      <c r="J401" s="21" t="str">
        <f t="shared" si="19"/>
        <v/>
      </c>
      <c r="K401" s="26" t="str">
        <f>IF($A401="","",COUNTIFS(tblReceipts[Item Name],$A401))</f>
        <v/>
      </c>
      <c r="L401" s="26" t="str">
        <f>IF($A401="","",COUNTIFS(tblLotBalance[Item Name],$A401,tblLotBalance[Lot Balance],"&gt;0"))</f>
        <v/>
      </c>
      <c r="M401" s="24" t="str">
        <f>IF($A401="","",IF($L401=0,"",IFERROR(_xlfn.MINIFS(tblLotBalance[Expiry Date],tblLotBalance[Item Name],$A401,tblLotBalance[Lot Balance],"&gt;0"),"")))</f>
        <v/>
      </c>
      <c r="N401" s="26" t="str">
        <f t="shared" ca="1" si="20"/>
        <v/>
      </c>
      <c r="O401" s="18" t="str" cm="1">
        <f t="array" ref="O401">IF($M401="","",IFERROR(INDEX(tblLotBalance[Lot Number],MATCH(1,INDEX((tblLotBalance[Item Name]=$A401)*(tblLotBalance[Expiry Date]=$M401)*(tblLotBalance[Lot Balance]&gt;0),0),0)),""))</f>
        <v/>
      </c>
      <c r="P401" s="28" t="str">
        <f>IF($A401="","",IF($I401&lt;0,"NEGATIVE",IF(NOT(ISNUMBER($F401)),"Set threshold",IF($I401&lt;=0,"OUT OF STOCK",IF($I401&lt;=$F401,"LOW",IF($I401&lt;=$F401*Settings!$C$7,"WATCH","OK"))))))</f>
        <v/>
      </c>
      <c r="Q401" s="29" t="str">
        <f>IF($A401="","",IF($P401="NEGATIVE","Issued more than received - add the missing receipt",IF($P401="OUT OF STOCK","Reorder immediately",IF($P401="LOW","Raise purchase order",IF($P401="Set threshold","Enter Critical Low in Items",IF(AND($N401&lt;&gt;"",$N401&lt;=0),"Quarantine expired lot",IF(AND($N401&lt;&gt;"",$N401&lt;=Settings!$C$6),"Use or rotate stock now","")))))))</f>
        <v/>
      </c>
    </row>
    <row r="402" spans="1:17" x14ac:dyDescent="0.35">
      <c r="A402" s="18" t="str">
        <f>IF(Items!$A399="","",Items!$A399)</f>
        <v/>
      </c>
      <c r="B402" s="18" t="str">
        <f>IF($A402="","",Items!$B399)</f>
        <v/>
      </c>
      <c r="C402" s="19" t="str">
        <f>IF($A402="","",Items!$G399)</f>
        <v/>
      </c>
      <c r="D402" s="20" t="str">
        <f>IF($A402="","",N(Items!$D399))</f>
        <v/>
      </c>
      <c r="E402" s="23" t="str">
        <f>IF($A402="","",Items!$E399)</f>
        <v/>
      </c>
      <c r="F402" s="23" t="str">
        <f>IF($A402="","",Items!$F399)</f>
        <v/>
      </c>
      <c r="G402" s="26" t="str">
        <f>IF($A402="","",SUMIFS(tblReceipts[Qty Received],tblReceipts[Item Name],$A402))</f>
        <v/>
      </c>
      <c r="H402" s="26" t="str">
        <f>IF($A402="","",SUMIFS(tblIssues[Qty Issued],tblIssues[Item Name],$A402))</f>
        <v/>
      </c>
      <c r="I402" s="27" t="str">
        <f t="shared" si="18"/>
        <v/>
      </c>
      <c r="J402" s="21" t="str">
        <f t="shared" si="19"/>
        <v/>
      </c>
      <c r="K402" s="26" t="str">
        <f>IF($A402="","",COUNTIFS(tblReceipts[Item Name],$A402))</f>
        <v/>
      </c>
      <c r="L402" s="26" t="str">
        <f>IF($A402="","",COUNTIFS(tblLotBalance[Item Name],$A402,tblLotBalance[Lot Balance],"&gt;0"))</f>
        <v/>
      </c>
      <c r="M402" s="24" t="str">
        <f>IF($A402="","",IF($L402=0,"",IFERROR(_xlfn.MINIFS(tblLotBalance[Expiry Date],tblLotBalance[Item Name],$A402,tblLotBalance[Lot Balance],"&gt;0"),"")))</f>
        <v/>
      </c>
      <c r="N402" s="26" t="str">
        <f t="shared" ca="1" si="20"/>
        <v/>
      </c>
      <c r="O402" s="18" t="str" cm="1">
        <f t="array" ref="O402">IF($M402="","",IFERROR(INDEX(tblLotBalance[Lot Number],MATCH(1,INDEX((tblLotBalance[Item Name]=$A402)*(tblLotBalance[Expiry Date]=$M402)*(tblLotBalance[Lot Balance]&gt;0),0),0)),""))</f>
        <v/>
      </c>
      <c r="P402" s="28" t="str">
        <f>IF($A402="","",IF($I402&lt;0,"NEGATIVE",IF(NOT(ISNUMBER($F402)),"Set threshold",IF($I402&lt;=0,"OUT OF STOCK",IF($I402&lt;=$F402,"LOW",IF($I402&lt;=$F402*Settings!$C$7,"WATCH","OK"))))))</f>
        <v/>
      </c>
      <c r="Q402" s="29" t="str">
        <f>IF($A402="","",IF($P402="NEGATIVE","Issued more than received - add the missing receipt",IF($P402="OUT OF STOCK","Reorder immediately",IF($P402="LOW","Raise purchase order",IF($P402="Set threshold","Enter Critical Low in Items",IF(AND($N402&lt;&gt;"",$N402&lt;=0),"Quarantine expired lot",IF(AND($N402&lt;&gt;"",$N402&lt;=Settings!$C$6),"Use or rotate stock now","")))))))</f>
        <v/>
      </c>
    </row>
    <row r="403" spans="1:17" x14ac:dyDescent="0.35">
      <c r="A403" s="18" t="str">
        <f>IF(Items!$A400="","",Items!$A400)</f>
        <v/>
      </c>
      <c r="B403" s="18" t="str">
        <f>IF($A403="","",Items!$B400)</f>
        <v/>
      </c>
      <c r="C403" s="19" t="str">
        <f>IF($A403="","",Items!$G400)</f>
        <v/>
      </c>
      <c r="D403" s="20" t="str">
        <f>IF($A403="","",N(Items!$D400))</f>
        <v/>
      </c>
      <c r="E403" s="23" t="str">
        <f>IF($A403="","",Items!$E400)</f>
        <v/>
      </c>
      <c r="F403" s="23" t="str">
        <f>IF($A403="","",Items!$F400)</f>
        <v/>
      </c>
      <c r="G403" s="26" t="str">
        <f>IF($A403="","",SUMIFS(tblReceipts[Qty Received],tblReceipts[Item Name],$A403))</f>
        <v/>
      </c>
      <c r="H403" s="26" t="str">
        <f>IF($A403="","",SUMIFS(tblIssues[Qty Issued],tblIssues[Item Name],$A403))</f>
        <v/>
      </c>
      <c r="I403" s="27" t="str">
        <f t="shared" si="18"/>
        <v/>
      </c>
      <c r="J403" s="21" t="str">
        <f t="shared" si="19"/>
        <v/>
      </c>
      <c r="K403" s="26" t="str">
        <f>IF($A403="","",COUNTIFS(tblReceipts[Item Name],$A403))</f>
        <v/>
      </c>
      <c r="L403" s="26" t="str">
        <f>IF($A403="","",COUNTIFS(tblLotBalance[Item Name],$A403,tblLotBalance[Lot Balance],"&gt;0"))</f>
        <v/>
      </c>
      <c r="M403" s="24" t="str">
        <f>IF($A403="","",IF($L403=0,"",IFERROR(_xlfn.MINIFS(tblLotBalance[Expiry Date],tblLotBalance[Item Name],$A403,tblLotBalance[Lot Balance],"&gt;0"),"")))</f>
        <v/>
      </c>
      <c r="N403" s="26" t="str">
        <f t="shared" ca="1" si="20"/>
        <v/>
      </c>
      <c r="O403" s="18" t="str" cm="1">
        <f t="array" ref="O403">IF($M403="","",IFERROR(INDEX(tblLotBalance[Lot Number],MATCH(1,INDEX((tblLotBalance[Item Name]=$A403)*(tblLotBalance[Expiry Date]=$M403)*(tblLotBalance[Lot Balance]&gt;0),0),0)),""))</f>
        <v/>
      </c>
      <c r="P403" s="28" t="str">
        <f>IF($A403="","",IF($I403&lt;0,"NEGATIVE",IF(NOT(ISNUMBER($F403)),"Set threshold",IF($I403&lt;=0,"OUT OF STOCK",IF($I403&lt;=$F403,"LOW",IF($I403&lt;=$F403*Settings!$C$7,"WATCH","OK"))))))</f>
        <v/>
      </c>
      <c r="Q403" s="29" t="str">
        <f>IF($A403="","",IF($P403="NEGATIVE","Issued more than received - add the missing receipt",IF($P403="OUT OF STOCK","Reorder immediately",IF($P403="LOW","Raise purchase order",IF($P403="Set threshold","Enter Critical Low in Items",IF(AND($N403&lt;&gt;"",$N403&lt;=0),"Quarantine expired lot",IF(AND($N403&lt;&gt;"",$N403&lt;=Settings!$C$6),"Use or rotate stock now","")))))))</f>
        <v/>
      </c>
    </row>
    <row r="404" spans="1:17" x14ac:dyDescent="0.35">
      <c r="A404" s="18" t="str">
        <f>IF(Items!$A401="","",Items!$A401)</f>
        <v/>
      </c>
      <c r="B404" s="18" t="str">
        <f>IF($A404="","",Items!$B401)</f>
        <v/>
      </c>
      <c r="C404" s="19" t="str">
        <f>IF($A404="","",Items!$G401)</f>
        <v/>
      </c>
      <c r="D404" s="20" t="str">
        <f>IF($A404="","",N(Items!$D401))</f>
        <v/>
      </c>
      <c r="E404" s="23" t="str">
        <f>IF($A404="","",Items!$E401)</f>
        <v/>
      </c>
      <c r="F404" s="23" t="str">
        <f>IF($A404="","",Items!$F401)</f>
        <v/>
      </c>
      <c r="G404" s="26" t="str">
        <f>IF($A404="","",SUMIFS(tblReceipts[Qty Received],tblReceipts[Item Name],$A404))</f>
        <v/>
      </c>
      <c r="H404" s="26" t="str">
        <f>IF($A404="","",SUMIFS(tblIssues[Qty Issued],tblIssues[Item Name],$A404))</f>
        <v/>
      </c>
      <c r="I404" s="27" t="str">
        <f t="shared" si="18"/>
        <v/>
      </c>
      <c r="J404" s="21" t="str">
        <f t="shared" si="19"/>
        <v/>
      </c>
      <c r="K404" s="26" t="str">
        <f>IF($A404="","",COUNTIFS(tblReceipts[Item Name],$A404))</f>
        <v/>
      </c>
      <c r="L404" s="26" t="str">
        <f>IF($A404="","",COUNTIFS(tblLotBalance[Item Name],$A404,tblLotBalance[Lot Balance],"&gt;0"))</f>
        <v/>
      </c>
      <c r="M404" s="24" t="str">
        <f>IF($A404="","",IF($L404=0,"",IFERROR(_xlfn.MINIFS(tblLotBalance[Expiry Date],tblLotBalance[Item Name],$A404,tblLotBalance[Lot Balance],"&gt;0"),"")))</f>
        <v/>
      </c>
      <c r="N404" s="26" t="str">
        <f t="shared" ca="1" si="20"/>
        <v/>
      </c>
      <c r="O404" s="18" t="str" cm="1">
        <f t="array" ref="O404">IF($M404="","",IFERROR(INDEX(tblLotBalance[Lot Number],MATCH(1,INDEX((tblLotBalance[Item Name]=$A404)*(tblLotBalance[Expiry Date]=$M404)*(tblLotBalance[Lot Balance]&gt;0),0),0)),""))</f>
        <v/>
      </c>
      <c r="P404" s="28" t="str">
        <f>IF($A404="","",IF($I404&lt;0,"NEGATIVE",IF(NOT(ISNUMBER($F404)),"Set threshold",IF($I404&lt;=0,"OUT OF STOCK",IF($I404&lt;=$F404,"LOW",IF($I404&lt;=$F404*Settings!$C$7,"WATCH","OK"))))))</f>
        <v/>
      </c>
      <c r="Q404" s="29" t="str">
        <f>IF($A404="","",IF($P404="NEGATIVE","Issued more than received - add the missing receipt",IF($P404="OUT OF STOCK","Reorder immediately",IF($P404="LOW","Raise purchase order",IF($P404="Set threshold","Enter Critical Low in Items",IF(AND($N404&lt;&gt;"",$N404&lt;=0),"Quarantine expired lot",IF(AND($N404&lt;&gt;"",$N404&lt;=Settings!$C$6),"Use or rotate stock now","")))))))</f>
        <v/>
      </c>
    </row>
    <row r="405" spans="1:17" x14ac:dyDescent="0.35">
      <c r="A405" s="18" t="str">
        <f>IF(Items!$A402="","",Items!$A402)</f>
        <v/>
      </c>
      <c r="B405" s="18" t="str">
        <f>IF($A405="","",Items!$B402)</f>
        <v/>
      </c>
      <c r="C405" s="19" t="str">
        <f>IF($A405="","",Items!$G402)</f>
        <v/>
      </c>
      <c r="D405" s="20" t="str">
        <f>IF($A405="","",N(Items!$D402))</f>
        <v/>
      </c>
      <c r="E405" s="23" t="str">
        <f>IF($A405="","",Items!$E402)</f>
        <v/>
      </c>
      <c r="F405" s="23" t="str">
        <f>IF($A405="","",Items!$F402)</f>
        <v/>
      </c>
      <c r="G405" s="26" t="str">
        <f>IF($A405="","",SUMIFS(tblReceipts[Qty Received],tblReceipts[Item Name],$A405))</f>
        <v/>
      </c>
      <c r="H405" s="26" t="str">
        <f>IF($A405="","",SUMIFS(tblIssues[Qty Issued],tblIssues[Item Name],$A405))</f>
        <v/>
      </c>
      <c r="I405" s="27" t="str">
        <f t="shared" si="18"/>
        <v/>
      </c>
      <c r="J405" s="21" t="str">
        <f t="shared" si="19"/>
        <v/>
      </c>
      <c r="K405" s="26" t="str">
        <f>IF($A405="","",COUNTIFS(tblReceipts[Item Name],$A405))</f>
        <v/>
      </c>
      <c r="L405" s="26" t="str">
        <f>IF($A405="","",COUNTIFS(tblLotBalance[Item Name],$A405,tblLotBalance[Lot Balance],"&gt;0"))</f>
        <v/>
      </c>
      <c r="M405" s="24" t="str">
        <f>IF($A405="","",IF($L405=0,"",IFERROR(_xlfn.MINIFS(tblLotBalance[Expiry Date],tblLotBalance[Item Name],$A405,tblLotBalance[Lot Balance],"&gt;0"),"")))</f>
        <v/>
      </c>
      <c r="N405" s="26" t="str">
        <f t="shared" ca="1" si="20"/>
        <v/>
      </c>
      <c r="O405" s="18" t="str" cm="1">
        <f t="array" ref="O405">IF($M405="","",IFERROR(INDEX(tblLotBalance[Lot Number],MATCH(1,INDEX((tblLotBalance[Item Name]=$A405)*(tblLotBalance[Expiry Date]=$M405)*(tblLotBalance[Lot Balance]&gt;0),0),0)),""))</f>
        <v/>
      </c>
      <c r="P405" s="28" t="str">
        <f>IF($A405="","",IF($I405&lt;0,"NEGATIVE",IF(NOT(ISNUMBER($F405)),"Set threshold",IF($I405&lt;=0,"OUT OF STOCK",IF($I405&lt;=$F405,"LOW",IF($I405&lt;=$F405*Settings!$C$7,"WATCH","OK"))))))</f>
        <v/>
      </c>
      <c r="Q405" s="29" t="str">
        <f>IF($A405="","",IF($P405="NEGATIVE","Issued more than received - add the missing receipt",IF($P405="OUT OF STOCK","Reorder immediately",IF($P405="LOW","Raise purchase order",IF($P405="Set threshold","Enter Critical Low in Items",IF(AND($N405&lt;&gt;"",$N405&lt;=0),"Quarantine expired lot",IF(AND($N405&lt;&gt;"",$N405&lt;=Settings!$C$6),"Use or rotate stock now","")))))))</f>
        <v/>
      </c>
    </row>
    <row r="406" spans="1:17" x14ac:dyDescent="0.35">
      <c r="A406" s="18" t="str">
        <f>IF(Items!$A403="","",Items!$A403)</f>
        <v/>
      </c>
      <c r="B406" s="18" t="str">
        <f>IF($A406="","",Items!$B403)</f>
        <v/>
      </c>
      <c r="C406" s="19" t="str">
        <f>IF($A406="","",Items!$G403)</f>
        <v/>
      </c>
      <c r="D406" s="20" t="str">
        <f>IF($A406="","",N(Items!$D403))</f>
        <v/>
      </c>
      <c r="E406" s="23" t="str">
        <f>IF($A406="","",Items!$E403)</f>
        <v/>
      </c>
      <c r="F406" s="23" t="str">
        <f>IF($A406="","",Items!$F403)</f>
        <v/>
      </c>
      <c r="G406" s="26" t="str">
        <f>IF($A406="","",SUMIFS(tblReceipts[Qty Received],tblReceipts[Item Name],$A406))</f>
        <v/>
      </c>
      <c r="H406" s="26" t="str">
        <f>IF($A406="","",SUMIFS(tblIssues[Qty Issued],tblIssues[Item Name],$A406))</f>
        <v/>
      </c>
      <c r="I406" s="27" t="str">
        <f t="shared" si="18"/>
        <v/>
      </c>
      <c r="J406" s="21" t="str">
        <f t="shared" si="19"/>
        <v/>
      </c>
      <c r="K406" s="26" t="str">
        <f>IF($A406="","",COUNTIFS(tblReceipts[Item Name],$A406))</f>
        <v/>
      </c>
      <c r="L406" s="26" t="str">
        <f>IF($A406="","",COUNTIFS(tblLotBalance[Item Name],$A406,tblLotBalance[Lot Balance],"&gt;0"))</f>
        <v/>
      </c>
      <c r="M406" s="24" t="str">
        <f>IF($A406="","",IF($L406=0,"",IFERROR(_xlfn.MINIFS(tblLotBalance[Expiry Date],tblLotBalance[Item Name],$A406,tblLotBalance[Lot Balance],"&gt;0"),"")))</f>
        <v/>
      </c>
      <c r="N406" s="26" t="str">
        <f t="shared" ca="1" si="20"/>
        <v/>
      </c>
      <c r="O406" s="18" t="str" cm="1">
        <f t="array" ref="O406">IF($M406="","",IFERROR(INDEX(tblLotBalance[Lot Number],MATCH(1,INDEX((tblLotBalance[Item Name]=$A406)*(tblLotBalance[Expiry Date]=$M406)*(tblLotBalance[Lot Balance]&gt;0),0),0)),""))</f>
        <v/>
      </c>
      <c r="P406" s="28" t="str">
        <f>IF($A406="","",IF($I406&lt;0,"NEGATIVE",IF(NOT(ISNUMBER($F406)),"Set threshold",IF($I406&lt;=0,"OUT OF STOCK",IF($I406&lt;=$F406,"LOW",IF($I406&lt;=$F406*Settings!$C$7,"WATCH","OK"))))))</f>
        <v/>
      </c>
      <c r="Q406" s="29" t="str">
        <f>IF($A406="","",IF($P406="NEGATIVE","Issued more than received - add the missing receipt",IF($P406="OUT OF STOCK","Reorder immediately",IF($P406="LOW","Raise purchase order",IF($P406="Set threshold","Enter Critical Low in Items",IF(AND($N406&lt;&gt;"",$N406&lt;=0),"Quarantine expired lot",IF(AND($N406&lt;&gt;"",$N406&lt;=Settings!$C$6),"Use or rotate stock now","")))))))</f>
        <v/>
      </c>
    </row>
    <row r="407" spans="1:17" x14ac:dyDescent="0.35">
      <c r="A407" s="18" t="str">
        <f>IF(Items!$A404="","",Items!$A404)</f>
        <v/>
      </c>
      <c r="B407" s="18" t="str">
        <f>IF($A407="","",Items!$B404)</f>
        <v/>
      </c>
      <c r="C407" s="19" t="str">
        <f>IF($A407="","",Items!$G404)</f>
        <v/>
      </c>
      <c r="D407" s="20" t="str">
        <f>IF($A407="","",N(Items!$D404))</f>
        <v/>
      </c>
      <c r="E407" s="23" t="str">
        <f>IF($A407="","",Items!$E404)</f>
        <v/>
      </c>
      <c r="F407" s="23" t="str">
        <f>IF($A407="","",Items!$F404)</f>
        <v/>
      </c>
      <c r="G407" s="26" t="str">
        <f>IF($A407="","",SUMIFS(tblReceipts[Qty Received],tblReceipts[Item Name],$A407))</f>
        <v/>
      </c>
      <c r="H407" s="26" t="str">
        <f>IF($A407="","",SUMIFS(tblIssues[Qty Issued],tblIssues[Item Name],$A407))</f>
        <v/>
      </c>
      <c r="I407" s="27" t="str">
        <f t="shared" si="18"/>
        <v/>
      </c>
      <c r="J407" s="21" t="str">
        <f t="shared" si="19"/>
        <v/>
      </c>
      <c r="K407" s="26" t="str">
        <f>IF($A407="","",COUNTIFS(tblReceipts[Item Name],$A407))</f>
        <v/>
      </c>
      <c r="L407" s="26" t="str">
        <f>IF($A407="","",COUNTIFS(tblLotBalance[Item Name],$A407,tblLotBalance[Lot Balance],"&gt;0"))</f>
        <v/>
      </c>
      <c r="M407" s="24" t="str">
        <f>IF($A407="","",IF($L407=0,"",IFERROR(_xlfn.MINIFS(tblLotBalance[Expiry Date],tblLotBalance[Item Name],$A407,tblLotBalance[Lot Balance],"&gt;0"),"")))</f>
        <v/>
      </c>
      <c r="N407" s="26" t="str">
        <f t="shared" ca="1" si="20"/>
        <v/>
      </c>
      <c r="O407" s="18" t="str" cm="1">
        <f t="array" ref="O407">IF($M407="","",IFERROR(INDEX(tblLotBalance[Lot Number],MATCH(1,INDEX((tblLotBalance[Item Name]=$A407)*(tblLotBalance[Expiry Date]=$M407)*(tblLotBalance[Lot Balance]&gt;0),0),0)),""))</f>
        <v/>
      </c>
      <c r="P407" s="28" t="str">
        <f>IF($A407="","",IF($I407&lt;0,"NEGATIVE",IF(NOT(ISNUMBER($F407)),"Set threshold",IF($I407&lt;=0,"OUT OF STOCK",IF($I407&lt;=$F407,"LOW",IF($I407&lt;=$F407*Settings!$C$7,"WATCH","OK"))))))</f>
        <v/>
      </c>
      <c r="Q407" s="29" t="str">
        <f>IF($A407="","",IF($P407="NEGATIVE","Issued more than received - add the missing receipt",IF($P407="OUT OF STOCK","Reorder immediately",IF($P407="LOW","Raise purchase order",IF($P407="Set threshold","Enter Critical Low in Items",IF(AND($N407&lt;&gt;"",$N407&lt;=0),"Quarantine expired lot",IF(AND($N407&lt;&gt;"",$N407&lt;=Settings!$C$6),"Use or rotate stock now","")))))))</f>
        <v/>
      </c>
    </row>
    <row r="408" spans="1:17" x14ac:dyDescent="0.35">
      <c r="A408" s="18" t="str">
        <f>IF(Items!$A405="","",Items!$A405)</f>
        <v/>
      </c>
      <c r="B408" s="18" t="str">
        <f>IF($A408="","",Items!$B405)</f>
        <v/>
      </c>
      <c r="C408" s="19" t="str">
        <f>IF($A408="","",Items!$G405)</f>
        <v/>
      </c>
      <c r="D408" s="20" t="str">
        <f>IF($A408="","",N(Items!$D405))</f>
        <v/>
      </c>
      <c r="E408" s="23" t="str">
        <f>IF($A408="","",Items!$E405)</f>
        <v/>
      </c>
      <c r="F408" s="23" t="str">
        <f>IF($A408="","",Items!$F405)</f>
        <v/>
      </c>
      <c r="G408" s="26" t="str">
        <f>IF($A408="","",SUMIFS(tblReceipts[Qty Received],tblReceipts[Item Name],$A408))</f>
        <v/>
      </c>
      <c r="H408" s="26" t="str">
        <f>IF($A408="","",SUMIFS(tblIssues[Qty Issued],tblIssues[Item Name],$A408))</f>
        <v/>
      </c>
      <c r="I408" s="27" t="str">
        <f t="shared" si="18"/>
        <v/>
      </c>
      <c r="J408" s="21" t="str">
        <f t="shared" si="19"/>
        <v/>
      </c>
      <c r="K408" s="26" t="str">
        <f>IF($A408="","",COUNTIFS(tblReceipts[Item Name],$A408))</f>
        <v/>
      </c>
      <c r="L408" s="26" t="str">
        <f>IF($A408="","",COUNTIFS(tblLotBalance[Item Name],$A408,tblLotBalance[Lot Balance],"&gt;0"))</f>
        <v/>
      </c>
      <c r="M408" s="24" t="str">
        <f>IF($A408="","",IF($L408=0,"",IFERROR(_xlfn.MINIFS(tblLotBalance[Expiry Date],tblLotBalance[Item Name],$A408,tblLotBalance[Lot Balance],"&gt;0"),"")))</f>
        <v/>
      </c>
      <c r="N408" s="26" t="str">
        <f t="shared" ca="1" si="20"/>
        <v/>
      </c>
      <c r="O408" s="18" t="str" cm="1">
        <f t="array" ref="O408">IF($M408="","",IFERROR(INDEX(tblLotBalance[Lot Number],MATCH(1,INDEX((tblLotBalance[Item Name]=$A408)*(tblLotBalance[Expiry Date]=$M408)*(tblLotBalance[Lot Balance]&gt;0),0),0)),""))</f>
        <v/>
      </c>
      <c r="P408" s="28" t="str">
        <f>IF($A408="","",IF($I408&lt;0,"NEGATIVE",IF(NOT(ISNUMBER($F408)),"Set threshold",IF($I408&lt;=0,"OUT OF STOCK",IF($I408&lt;=$F408,"LOW",IF($I408&lt;=$F408*Settings!$C$7,"WATCH","OK"))))))</f>
        <v/>
      </c>
      <c r="Q408" s="29" t="str">
        <f>IF($A408="","",IF($P408="NEGATIVE","Issued more than received - add the missing receipt",IF($P408="OUT OF STOCK","Reorder immediately",IF($P408="LOW","Raise purchase order",IF($P408="Set threshold","Enter Critical Low in Items",IF(AND($N408&lt;&gt;"",$N408&lt;=0),"Quarantine expired lot",IF(AND($N408&lt;&gt;"",$N408&lt;=Settings!$C$6),"Use or rotate stock now","")))))))</f>
        <v/>
      </c>
    </row>
    <row r="409" spans="1:17" x14ac:dyDescent="0.35">
      <c r="A409" s="18" t="str">
        <f>IF(Items!$A406="","",Items!$A406)</f>
        <v/>
      </c>
      <c r="B409" s="18" t="str">
        <f>IF($A409="","",Items!$B406)</f>
        <v/>
      </c>
      <c r="C409" s="19" t="str">
        <f>IF($A409="","",Items!$G406)</f>
        <v/>
      </c>
      <c r="D409" s="20" t="str">
        <f>IF($A409="","",N(Items!$D406))</f>
        <v/>
      </c>
      <c r="E409" s="23" t="str">
        <f>IF($A409="","",Items!$E406)</f>
        <v/>
      </c>
      <c r="F409" s="23" t="str">
        <f>IF($A409="","",Items!$F406)</f>
        <v/>
      </c>
      <c r="G409" s="26" t="str">
        <f>IF($A409="","",SUMIFS(tblReceipts[Qty Received],tblReceipts[Item Name],$A409))</f>
        <v/>
      </c>
      <c r="H409" s="26" t="str">
        <f>IF($A409="","",SUMIFS(tblIssues[Qty Issued],tblIssues[Item Name],$A409))</f>
        <v/>
      </c>
      <c r="I409" s="27" t="str">
        <f t="shared" si="18"/>
        <v/>
      </c>
      <c r="J409" s="21" t="str">
        <f t="shared" si="19"/>
        <v/>
      </c>
      <c r="K409" s="26" t="str">
        <f>IF($A409="","",COUNTIFS(tblReceipts[Item Name],$A409))</f>
        <v/>
      </c>
      <c r="L409" s="26" t="str">
        <f>IF($A409="","",COUNTIFS(tblLotBalance[Item Name],$A409,tblLotBalance[Lot Balance],"&gt;0"))</f>
        <v/>
      </c>
      <c r="M409" s="24" t="str">
        <f>IF($A409="","",IF($L409=0,"",IFERROR(_xlfn.MINIFS(tblLotBalance[Expiry Date],tblLotBalance[Item Name],$A409,tblLotBalance[Lot Balance],"&gt;0"),"")))</f>
        <v/>
      </c>
      <c r="N409" s="26" t="str">
        <f t="shared" ca="1" si="20"/>
        <v/>
      </c>
      <c r="O409" s="18" t="str" cm="1">
        <f t="array" ref="O409">IF($M409="","",IFERROR(INDEX(tblLotBalance[Lot Number],MATCH(1,INDEX((tblLotBalance[Item Name]=$A409)*(tblLotBalance[Expiry Date]=$M409)*(tblLotBalance[Lot Balance]&gt;0),0),0)),""))</f>
        <v/>
      </c>
      <c r="P409" s="28" t="str">
        <f>IF($A409="","",IF($I409&lt;0,"NEGATIVE",IF(NOT(ISNUMBER($F409)),"Set threshold",IF($I409&lt;=0,"OUT OF STOCK",IF($I409&lt;=$F409,"LOW",IF($I409&lt;=$F409*Settings!$C$7,"WATCH","OK"))))))</f>
        <v/>
      </c>
      <c r="Q409" s="29" t="str">
        <f>IF($A409="","",IF($P409="NEGATIVE","Issued more than received - add the missing receipt",IF($P409="OUT OF STOCK","Reorder immediately",IF($P409="LOW","Raise purchase order",IF($P409="Set threshold","Enter Critical Low in Items",IF(AND($N409&lt;&gt;"",$N409&lt;=0),"Quarantine expired lot",IF(AND($N409&lt;&gt;"",$N409&lt;=Settings!$C$6),"Use or rotate stock now","")))))))</f>
        <v/>
      </c>
    </row>
    <row r="410" spans="1:17" x14ac:dyDescent="0.35">
      <c r="A410" s="18" t="str">
        <f>IF(Items!$A407="","",Items!$A407)</f>
        <v/>
      </c>
      <c r="B410" s="18" t="str">
        <f>IF($A410="","",Items!$B407)</f>
        <v/>
      </c>
      <c r="C410" s="19" t="str">
        <f>IF($A410="","",Items!$G407)</f>
        <v/>
      </c>
      <c r="D410" s="20" t="str">
        <f>IF($A410="","",N(Items!$D407))</f>
        <v/>
      </c>
      <c r="E410" s="23" t="str">
        <f>IF($A410="","",Items!$E407)</f>
        <v/>
      </c>
      <c r="F410" s="23" t="str">
        <f>IF($A410="","",Items!$F407)</f>
        <v/>
      </c>
      <c r="G410" s="26" t="str">
        <f>IF($A410="","",SUMIFS(tblReceipts[Qty Received],tblReceipts[Item Name],$A410))</f>
        <v/>
      </c>
      <c r="H410" s="26" t="str">
        <f>IF($A410="","",SUMIFS(tblIssues[Qty Issued],tblIssues[Item Name],$A410))</f>
        <v/>
      </c>
      <c r="I410" s="27" t="str">
        <f t="shared" si="18"/>
        <v/>
      </c>
      <c r="J410" s="21" t="str">
        <f t="shared" si="19"/>
        <v/>
      </c>
      <c r="K410" s="26" t="str">
        <f>IF($A410="","",COUNTIFS(tblReceipts[Item Name],$A410))</f>
        <v/>
      </c>
      <c r="L410" s="26" t="str">
        <f>IF($A410="","",COUNTIFS(tblLotBalance[Item Name],$A410,tblLotBalance[Lot Balance],"&gt;0"))</f>
        <v/>
      </c>
      <c r="M410" s="24" t="str">
        <f>IF($A410="","",IF($L410=0,"",IFERROR(_xlfn.MINIFS(tblLotBalance[Expiry Date],tblLotBalance[Item Name],$A410,tblLotBalance[Lot Balance],"&gt;0"),"")))</f>
        <v/>
      </c>
      <c r="N410" s="26" t="str">
        <f t="shared" ca="1" si="20"/>
        <v/>
      </c>
      <c r="O410" s="18" t="str" cm="1">
        <f t="array" ref="O410">IF($M410="","",IFERROR(INDEX(tblLotBalance[Lot Number],MATCH(1,INDEX((tblLotBalance[Item Name]=$A410)*(tblLotBalance[Expiry Date]=$M410)*(tblLotBalance[Lot Balance]&gt;0),0),0)),""))</f>
        <v/>
      </c>
      <c r="P410" s="28" t="str">
        <f>IF($A410="","",IF($I410&lt;0,"NEGATIVE",IF(NOT(ISNUMBER($F410)),"Set threshold",IF($I410&lt;=0,"OUT OF STOCK",IF($I410&lt;=$F410,"LOW",IF($I410&lt;=$F410*Settings!$C$7,"WATCH","OK"))))))</f>
        <v/>
      </c>
      <c r="Q410" s="29" t="str">
        <f>IF($A410="","",IF($P410="NEGATIVE","Issued more than received - add the missing receipt",IF($P410="OUT OF STOCK","Reorder immediately",IF($P410="LOW","Raise purchase order",IF($P410="Set threshold","Enter Critical Low in Items",IF(AND($N410&lt;&gt;"",$N410&lt;=0),"Quarantine expired lot",IF(AND($N410&lt;&gt;"",$N410&lt;=Settings!$C$6),"Use or rotate stock now","")))))))</f>
        <v/>
      </c>
    </row>
    <row r="411" spans="1:17" x14ac:dyDescent="0.35">
      <c r="A411" s="18" t="str">
        <f>IF(Items!$A408="","",Items!$A408)</f>
        <v/>
      </c>
      <c r="B411" s="18" t="str">
        <f>IF($A411="","",Items!$B408)</f>
        <v/>
      </c>
      <c r="C411" s="19" t="str">
        <f>IF($A411="","",Items!$G408)</f>
        <v/>
      </c>
      <c r="D411" s="20" t="str">
        <f>IF($A411="","",N(Items!$D408))</f>
        <v/>
      </c>
      <c r="E411" s="23" t="str">
        <f>IF($A411="","",Items!$E408)</f>
        <v/>
      </c>
      <c r="F411" s="23" t="str">
        <f>IF($A411="","",Items!$F408)</f>
        <v/>
      </c>
      <c r="G411" s="26" t="str">
        <f>IF($A411="","",SUMIFS(tblReceipts[Qty Received],tblReceipts[Item Name],$A411))</f>
        <v/>
      </c>
      <c r="H411" s="26" t="str">
        <f>IF($A411="","",SUMIFS(tblIssues[Qty Issued],tblIssues[Item Name],$A411))</f>
        <v/>
      </c>
      <c r="I411" s="27" t="str">
        <f t="shared" si="18"/>
        <v/>
      </c>
      <c r="J411" s="21" t="str">
        <f t="shared" si="19"/>
        <v/>
      </c>
      <c r="K411" s="26" t="str">
        <f>IF($A411="","",COUNTIFS(tblReceipts[Item Name],$A411))</f>
        <v/>
      </c>
      <c r="L411" s="26" t="str">
        <f>IF($A411="","",COUNTIFS(tblLotBalance[Item Name],$A411,tblLotBalance[Lot Balance],"&gt;0"))</f>
        <v/>
      </c>
      <c r="M411" s="24" t="str">
        <f>IF($A411="","",IF($L411=0,"",IFERROR(_xlfn.MINIFS(tblLotBalance[Expiry Date],tblLotBalance[Item Name],$A411,tblLotBalance[Lot Balance],"&gt;0"),"")))</f>
        <v/>
      </c>
      <c r="N411" s="26" t="str">
        <f t="shared" ca="1" si="20"/>
        <v/>
      </c>
      <c r="O411" s="18" t="str" cm="1">
        <f t="array" ref="O411">IF($M411="","",IFERROR(INDEX(tblLotBalance[Lot Number],MATCH(1,INDEX((tblLotBalance[Item Name]=$A411)*(tblLotBalance[Expiry Date]=$M411)*(tblLotBalance[Lot Balance]&gt;0),0),0)),""))</f>
        <v/>
      </c>
      <c r="P411" s="28" t="str">
        <f>IF($A411="","",IF($I411&lt;0,"NEGATIVE",IF(NOT(ISNUMBER($F411)),"Set threshold",IF($I411&lt;=0,"OUT OF STOCK",IF($I411&lt;=$F411,"LOW",IF($I411&lt;=$F411*Settings!$C$7,"WATCH","OK"))))))</f>
        <v/>
      </c>
      <c r="Q411" s="29" t="str">
        <f>IF($A411="","",IF($P411="NEGATIVE","Issued more than received - add the missing receipt",IF($P411="OUT OF STOCK","Reorder immediately",IF($P411="LOW","Raise purchase order",IF($P411="Set threshold","Enter Critical Low in Items",IF(AND($N411&lt;&gt;"",$N411&lt;=0),"Quarantine expired lot",IF(AND($N411&lt;&gt;"",$N411&lt;=Settings!$C$6),"Use or rotate stock now","")))))))</f>
        <v/>
      </c>
    </row>
    <row r="412" spans="1:17" x14ac:dyDescent="0.35">
      <c r="A412" s="18" t="str">
        <f>IF(Items!$A409="","",Items!$A409)</f>
        <v/>
      </c>
      <c r="B412" s="18" t="str">
        <f>IF($A412="","",Items!$B409)</f>
        <v/>
      </c>
      <c r="C412" s="19" t="str">
        <f>IF($A412="","",Items!$G409)</f>
        <v/>
      </c>
      <c r="D412" s="20" t="str">
        <f>IF($A412="","",N(Items!$D409))</f>
        <v/>
      </c>
      <c r="E412" s="23" t="str">
        <f>IF($A412="","",Items!$E409)</f>
        <v/>
      </c>
      <c r="F412" s="23" t="str">
        <f>IF($A412="","",Items!$F409)</f>
        <v/>
      </c>
      <c r="G412" s="26" t="str">
        <f>IF($A412="","",SUMIFS(tblReceipts[Qty Received],tblReceipts[Item Name],$A412))</f>
        <v/>
      </c>
      <c r="H412" s="26" t="str">
        <f>IF($A412="","",SUMIFS(tblIssues[Qty Issued],tblIssues[Item Name],$A412))</f>
        <v/>
      </c>
      <c r="I412" s="27" t="str">
        <f t="shared" si="18"/>
        <v/>
      </c>
      <c r="J412" s="21" t="str">
        <f t="shared" si="19"/>
        <v/>
      </c>
      <c r="K412" s="26" t="str">
        <f>IF($A412="","",COUNTIFS(tblReceipts[Item Name],$A412))</f>
        <v/>
      </c>
      <c r="L412" s="26" t="str">
        <f>IF($A412="","",COUNTIFS(tblLotBalance[Item Name],$A412,tblLotBalance[Lot Balance],"&gt;0"))</f>
        <v/>
      </c>
      <c r="M412" s="24" t="str">
        <f>IF($A412="","",IF($L412=0,"",IFERROR(_xlfn.MINIFS(tblLotBalance[Expiry Date],tblLotBalance[Item Name],$A412,tblLotBalance[Lot Balance],"&gt;0"),"")))</f>
        <v/>
      </c>
      <c r="N412" s="26" t="str">
        <f t="shared" ca="1" si="20"/>
        <v/>
      </c>
      <c r="O412" s="18" t="str" cm="1">
        <f t="array" ref="O412">IF($M412="","",IFERROR(INDEX(tblLotBalance[Lot Number],MATCH(1,INDEX((tblLotBalance[Item Name]=$A412)*(tblLotBalance[Expiry Date]=$M412)*(tblLotBalance[Lot Balance]&gt;0),0),0)),""))</f>
        <v/>
      </c>
      <c r="P412" s="28" t="str">
        <f>IF($A412="","",IF($I412&lt;0,"NEGATIVE",IF(NOT(ISNUMBER($F412)),"Set threshold",IF($I412&lt;=0,"OUT OF STOCK",IF($I412&lt;=$F412,"LOW",IF($I412&lt;=$F412*Settings!$C$7,"WATCH","OK"))))))</f>
        <v/>
      </c>
      <c r="Q412" s="29" t="str">
        <f>IF($A412="","",IF($P412="NEGATIVE","Issued more than received - add the missing receipt",IF($P412="OUT OF STOCK","Reorder immediately",IF($P412="LOW","Raise purchase order",IF($P412="Set threshold","Enter Critical Low in Items",IF(AND($N412&lt;&gt;"",$N412&lt;=0),"Quarantine expired lot",IF(AND($N412&lt;&gt;"",$N412&lt;=Settings!$C$6),"Use or rotate stock now","")))))))</f>
        <v/>
      </c>
    </row>
    <row r="413" spans="1:17" x14ac:dyDescent="0.35">
      <c r="A413" s="18" t="str">
        <f>IF(Items!$A410="","",Items!$A410)</f>
        <v/>
      </c>
      <c r="B413" s="18" t="str">
        <f>IF($A413="","",Items!$B410)</f>
        <v/>
      </c>
      <c r="C413" s="19" t="str">
        <f>IF($A413="","",Items!$G410)</f>
        <v/>
      </c>
      <c r="D413" s="20" t="str">
        <f>IF($A413="","",N(Items!$D410))</f>
        <v/>
      </c>
      <c r="E413" s="23" t="str">
        <f>IF($A413="","",Items!$E410)</f>
        <v/>
      </c>
      <c r="F413" s="23" t="str">
        <f>IF($A413="","",Items!$F410)</f>
        <v/>
      </c>
      <c r="G413" s="26" t="str">
        <f>IF($A413="","",SUMIFS(tblReceipts[Qty Received],tblReceipts[Item Name],$A413))</f>
        <v/>
      </c>
      <c r="H413" s="26" t="str">
        <f>IF($A413="","",SUMIFS(tblIssues[Qty Issued],tblIssues[Item Name],$A413))</f>
        <v/>
      </c>
      <c r="I413" s="27" t="str">
        <f t="shared" si="18"/>
        <v/>
      </c>
      <c r="J413" s="21" t="str">
        <f t="shared" si="19"/>
        <v/>
      </c>
      <c r="K413" s="26" t="str">
        <f>IF($A413="","",COUNTIFS(tblReceipts[Item Name],$A413))</f>
        <v/>
      </c>
      <c r="L413" s="26" t="str">
        <f>IF($A413="","",COUNTIFS(tblLotBalance[Item Name],$A413,tblLotBalance[Lot Balance],"&gt;0"))</f>
        <v/>
      </c>
      <c r="M413" s="24" t="str">
        <f>IF($A413="","",IF($L413=0,"",IFERROR(_xlfn.MINIFS(tblLotBalance[Expiry Date],tblLotBalance[Item Name],$A413,tblLotBalance[Lot Balance],"&gt;0"),"")))</f>
        <v/>
      </c>
      <c r="N413" s="26" t="str">
        <f t="shared" ca="1" si="20"/>
        <v/>
      </c>
      <c r="O413" s="18" t="str" cm="1">
        <f t="array" ref="O413">IF($M413="","",IFERROR(INDEX(tblLotBalance[Lot Number],MATCH(1,INDEX((tblLotBalance[Item Name]=$A413)*(tblLotBalance[Expiry Date]=$M413)*(tblLotBalance[Lot Balance]&gt;0),0),0)),""))</f>
        <v/>
      </c>
      <c r="P413" s="28" t="str">
        <f>IF($A413="","",IF($I413&lt;0,"NEGATIVE",IF(NOT(ISNUMBER($F413)),"Set threshold",IF($I413&lt;=0,"OUT OF STOCK",IF($I413&lt;=$F413,"LOW",IF($I413&lt;=$F413*Settings!$C$7,"WATCH","OK"))))))</f>
        <v/>
      </c>
      <c r="Q413" s="29" t="str">
        <f>IF($A413="","",IF($P413="NEGATIVE","Issued more than received - add the missing receipt",IF($P413="OUT OF STOCK","Reorder immediately",IF($P413="LOW","Raise purchase order",IF($P413="Set threshold","Enter Critical Low in Items",IF(AND($N413&lt;&gt;"",$N413&lt;=0),"Quarantine expired lot",IF(AND($N413&lt;&gt;"",$N413&lt;=Settings!$C$6),"Use or rotate stock now","")))))))</f>
        <v/>
      </c>
    </row>
    <row r="414" spans="1:17" x14ac:dyDescent="0.35">
      <c r="A414" s="18" t="str">
        <f>IF(Items!$A411="","",Items!$A411)</f>
        <v/>
      </c>
      <c r="B414" s="18" t="str">
        <f>IF($A414="","",Items!$B411)</f>
        <v/>
      </c>
      <c r="C414" s="19" t="str">
        <f>IF($A414="","",Items!$G411)</f>
        <v/>
      </c>
      <c r="D414" s="20" t="str">
        <f>IF($A414="","",N(Items!$D411))</f>
        <v/>
      </c>
      <c r="E414" s="23" t="str">
        <f>IF($A414="","",Items!$E411)</f>
        <v/>
      </c>
      <c r="F414" s="23" t="str">
        <f>IF($A414="","",Items!$F411)</f>
        <v/>
      </c>
      <c r="G414" s="26" t="str">
        <f>IF($A414="","",SUMIFS(tblReceipts[Qty Received],tblReceipts[Item Name],$A414))</f>
        <v/>
      </c>
      <c r="H414" s="26" t="str">
        <f>IF($A414="","",SUMIFS(tblIssues[Qty Issued],tblIssues[Item Name],$A414))</f>
        <v/>
      </c>
      <c r="I414" s="27" t="str">
        <f t="shared" si="18"/>
        <v/>
      </c>
      <c r="J414" s="21" t="str">
        <f t="shared" si="19"/>
        <v/>
      </c>
      <c r="K414" s="26" t="str">
        <f>IF($A414="","",COUNTIFS(tblReceipts[Item Name],$A414))</f>
        <v/>
      </c>
      <c r="L414" s="26" t="str">
        <f>IF($A414="","",COUNTIFS(tblLotBalance[Item Name],$A414,tblLotBalance[Lot Balance],"&gt;0"))</f>
        <v/>
      </c>
      <c r="M414" s="24" t="str">
        <f>IF($A414="","",IF($L414=0,"",IFERROR(_xlfn.MINIFS(tblLotBalance[Expiry Date],tblLotBalance[Item Name],$A414,tblLotBalance[Lot Balance],"&gt;0"),"")))</f>
        <v/>
      </c>
      <c r="N414" s="26" t="str">
        <f t="shared" ca="1" si="20"/>
        <v/>
      </c>
      <c r="O414" s="18" t="str" cm="1">
        <f t="array" ref="O414">IF($M414="","",IFERROR(INDEX(tblLotBalance[Lot Number],MATCH(1,INDEX((tblLotBalance[Item Name]=$A414)*(tblLotBalance[Expiry Date]=$M414)*(tblLotBalance[Lot Balance]&gt;0),0),0)),""))</f>
        <v/>
      </c>
      <c r="P414" s="28" t="str">
        <f>IF($A414="","",IF($I414&lt;0,"NEGATIVE",IF(NOT(ISNUMBER($F414)),"Set threshold",IF($I414&lt;=0,"OUT OF STOCK",IF($I414&lt;=$F414,"LOW",IF($I414&lt;=$F414*Settings!$C$7,"WATCH","OK"))))))</f>
        <v/>
      </c>
      <c r="Q414" s="29" t="str">
        <f>IF($A414="","",IF($P414="NEGATIVE","Issued more than received - add the missing receipt",IF($P414="OUT OF STOCK","Reorder immediately",IF($P414="LOW","Raise purchase order",IF($P414="Set threshold","Enter Critical Low in Items",IF(AND($N414&lt;&gt;"",$N414&lt;=0),"Quarantine expired lot",IF(AND($N414&lt;&gt;"",$N414&lt;=Settings!$C$6),"Use or rotate stock now","")))))))</f>
        <v/>
      </c>
    </row>
    <row r="415" spans="1:17" x14ac:dyDescent="0.35">
      <c r="A415" s="18" t="str">
        <f>IF(Items!$A412="","",Items!$A412)</f>
        <v/>
      </c>
      <c r="B415" s="18" t="str">
        <f>IF($A415="","",Items!$B412)</f>
        <v/>
      </c>
      <c r="C415" s="19" t="str">
        <f>IF($A415="","",Items!$G412)</f>
        <v/>
      </c>
      <c r="D415" s="20" t="str">
        <f>IF($A415="","",N(Items!$D412))</f>
        <v/>
      </c>
      <c r="E415" s="23" t="str">
        <f>IF($A415="","",Items!$E412)</f>
        <v/>
      </c>
      <c r="F415" s="23" t="str">
        <f>IF($A415="","",Items!$F412)</f>
        <v/>
      </c>
      <c r="G415" s="26" t="str">
        <f>IF($A415="","",SUMIFS(tblReceipts[Qty Received],tblReceipts[Item Name],$A415))</f>
        <v/>
      </c>
      <c r="H415" s="26" t="str">
        <f>IF($A415="","",SUMIFS(tblIssues[Qty Issued],tblIssues[Item Name],$A415))</f>
        <v/>
      </c>
      <c r="I415" s="27" t="str">
        <f t="shared" si="18"/>
        <v/>
      </c>
      <c r="J415" s="21" t="str">
        <f t="shared" si="19"/>
        <v/>
      </c>
      <c r="K415" s="26" t="str">
        <f>IF($A415="","",COUNTIFS(tblReceipts[Item Name],$A415))</f>
        <v/>
      </c>
      <c r="L415" s="26" t="str">
        <f>IF($A415="","",COUNTIFS(tblLotBalance[Item Name],$A415,tblLotBalance[Lot Balance],"&gt;0"))</f>
        <v/>
      </c>
      <c r="M415" s="24" t="str">
        <f>IF($A415="","",IF($L415=0,"",IFERROR(_xlfn.MINIFS(tblLotBalance[Expiry Date],tblLotBalance[Item Name],$A415,tblLotBalance[Lot Balance],"&gt;0"),"")))</f>
        <v/>
      </c>
      <c r="N415" s="26" t="str">
        <f t="shared" ca="1" si="20"/>
        <v/>
      </c>
      <c r="O415" s="18" t="str" cm="1">
        <f t="array" ref="O415">IF($M415="","",IFERROR(INDEX(tblLotBalance[Lot Number],MATCH(1,INDEX((tblLotBalance[Item Name]=$A415)*(tblLotBalance[Expiry Date]=$M415)*(tblLotBalance[Lot Balance]&gt;0),0),0)),""))</f>
        <v/>
      </c>
      <c r="P415" s="28" t="str">
        <f>IF($A415="","",IF($I415&lt;0,"NEGATIVE",IF(NOT(ISNUMBER($F415)),"Set threshold",IF($I415&lt;=0,"OUT OF STOCK",IF($I415&lt;=$F415,"LOW",IF($I415&lt;=$F415*Settings!$C$7,"WATCH","OK"))))))</f>
        <v/>
      </c>
      <c r="Q415" s="29" t="str">
        <f>IF($A415="","",IF($P415="NEGATIVE","Issued more than received - add the missing receipt",IF($P415="OUT OF STOCK","Reorder immediately",IF($P415="LOW","Raise purchase order",IF($P415="Set threshold","Enter Critical Low in Items",IF(AND($N415&lt;&gt;"",$N415&lt;=0),"Quarantine expired lot",IF(AND($N415&lt;&gt;"",$N415&lt;=Settings!$C$6),"Use or rotate stock now","")))))))</f>
        <v/>
      </c>
    </row>
    <row r="416" spans="1:17" x14ac:dyDescent="0.35">
      <c r="A416" s="18" t="str">
        <f>IF(Items!$A413="","",Items!$A413)</f>
        <v/>
      </c>
      <c r="B416" s="18" t="str">
        <f>IF($A416="","",Items!$B413)</f>
        <v/>
      </c>
      <c r="C416" s="19" t="str">
        <f>IF($A416="","",Items!$G413)</f>
        <v/>
      </c>
      <c r="D416" s="20" t="str">
        <f>IF($A416="","",N(Items!$D413))</f>
        <v/>
      </c>
      <c r="E416" s="23" t="str">
        <f>IF($A416="","",Items!$E413)</f>
        <v/>
      </c>
      <c r="F416" s="23" t="str">
        <f>IF($A416="","",Items!$F413)</f>
        <v/>
      </c>
      <c r="G416" s="26" t="str">
        <f>IF($A416="","",SUMIFS(tblReceipts[Qty Received],tblReceipts[Item Name],$A416))</f>
        <v/>
      </c>
      <c r="H416" s="26" t="str">
        <f>IF($A416="","",SUMIFS(tblIssues[Qty Issued],tblIssues[Item Name],$A416))</f>
        <v/>
      </c>
      <c r="I416" s="27" t="str">
        <f t="shared" si="18"/>
        <v/>
      </c>
      <c r="J416" s="21" t="str">
        <f t="shared" si="19"/>
        <v/>
      </c>
      <c r="K416" s="26" t="str">
        <f>IF($A416="","",COUNTIFS(tblReceipts[Item Name],$A416))</f>
        <v/>
      </c>
      <c r="L416" s="26" t="str">
        <f>IF($A416="","",COUNTIFS(tblLotBalance[Item Name],$A416,tblLotBalance[Lot Balance],"&gt;0"))</f>
        <v/>
      </c>
      <c r="M416" s="24" t="str">
        <f>IF($A416="","",IF($L416=0,"",IFERROR(_xlfn.MINIFS(tblLotBalance[Expiry Date],tblLotBalance[Item Name],$A416,tblLotBalance[Lot Balance],"&gt;0"),"")))</f>
        <v/>
      </c>
      <c r="N416" s="26" t="str">
        <f t="shared" ca="1" si="20"/>
        <v/>
      </c>
      <c r="O416" s="18" t="str" cm="1">
        <f t="array" ref="O416">IF($M416="","",IFERROR(INDEX(tblLotBalance[Lot Number],MATCH(1,INDEX((tblLotBalance[Item Name]=$A416)*(tblLotBalance[Expiry Date]=$M416)*(tblLotBalance[Lot Balance]&gt;0),0),0)),""))</f>
        <v/>
      </c>
      <c r="P416" s="28" t="str">
        <f>IF($A416="","",IF($I416&lt;0,"NEGATIVE",IF(NOT(ISNUMBER($F416)),"Set threshold",IF($I416&lt;=0,"OUT OF STOCK",IF($I416&lt;=$F416,"LOW",IF($I416&lt;=$F416*Settings!$C$7,"WATCH","OK"))))))</f>
        <v/>
      </c>
      <c r="Q416" s="29" t="str">
        <f>IF($A416="","",IF($P416="NEGATIVE","Issued more than received - add the missing receipt",IF($P416="OUT OF STOCK","Reorder immediately",IF($P416="LOW","Raise purchase order",IF($P416="Set threshold","Enter Critical Low in Items",IF(AND($N416&lt;&gt;"",$N416&lt;=0),"Quarantine expired lot",IF(AND($N416&lt;&gt;"",$N416&lt;=Settings!$C$6),"Use or rotate stock now","")))))))</f>
        <v/>
      </c>
    </row>
    <row r="417" spans="1:17" x14ac:dyDescent="0.35">
      <c r="A417" s="18" t="str">
        <f>IF(Items!$A414="","",Items!$A414)</f>
        <v/>
      </c>
      <c r="B417" s="18" t="str">
        <f>IF($A417="","",Items!$B414)</f>
        <v/>
      </c>
      <c r="C417" s="19" t="str">
        <f>IF($A417="","",Items!$G414)</f>
        <v/>
      </c>
      <c r="D417" s="20" t="str">
        <f>IF($A417="","",N(Items!$D414))</f>
        <v/>
      </c>
      <c r="E417" s="23" t="str">
        <f>IF($A417="","",Items!$E414)</f>
        <v/>
      </c>
      <c r="F417" s="23" t="str">
        <f>IF($A417="","",Items!$F414)</f>
        <v/>
      </c>
      <c r="G417" s="26" t="str">
        <f>IF($A417="","",SUMIFS(tblReceipts[Qty Received],tblReceipts[Item Name],$A417))</f>
        <v/>
      </c>
      <c r="H417" s="26" t="str">
        <f>IF($A417="","",SUMIFS(tblIssues[Qty Issued],tblIssues[Item Name],$A417))</f>
        <v/>
      </c>
      <c r="I417" s="27" t="str">
        <f t="shared" si="18"/>
        <v/>
      </c>
      <c r="J417" s="21" t="str">
        <f t="shared" si="19"/>
        <v/>
      </c>
      <c r="K417" s="26" t="str">
        <f>IF($A417="","",COUNTIFS(tblReceipts[Item Name],$A417))</f>
        <v/>
      </c>
      <c r="L417" s="26" t="str">
        <f>IF($A417="","",COUNTIFS(tblLotBalance[Item Name],$A417,tblLotBalance[Lot Balance],"&gt;0"))</f>
        <v/>
      </c>
      <c r="M417" s="24" t="str">
        <f>IF($A417="","",IF($L417=0,"",IFERROR(_xlfn.MINIFS(tblLotBalance[Expiry Date],tblLotBalance[Item Name],$A417,tblLotBalance[Lot Balance],"&gt;0"),"")))</f>
        <v/>
      </c>
      <c r="N417" s="26" t="str">
        <f t="shared" ca="1" si="20"/>
        <v/>
      </c>
      <c r="O417" s="18" t="str" cm="1">
        <f t="array" ref="O417">IF($M417="","",IFERROR(INDEX(tblLotBalance[Lot Number],MATCH(1,INDEX((tblLotBalance[Item Name]=$A417)*(tblLotBalance[Expiry Date]=$M417)*(tblLotBalance[Lot Balance]&gt;0),0),0)),""))</f>
        <v/>
      </c>
      <c r="P417" s="28" t="str">
        <f>IF($A417="","",IF($I417&lt;0,"NEGATIVE",IF(NOT(ISNUMBER($F417)),"Set threshold",IF($I417&lt;=0,"OUT OF STOCK",IF($I417&lt;=$F417,"LOW",IF($I417&lt;=$F417*Settings!$C$7,"WATCH","OK"))))))</f>
        <v/>
      </c>
      <c r="Q417" s="29" t="str">
        <f>IF($A417="","",IF($P417="NEGATIVE","Issued more than received - add the missing receipt",IF($P417="OUT OF STOCK","Reorder immediately",IF($P417="LOW","Raise purchase order",IF($P417="Set threshold","Enter Critical Low in Items",IF(AND($N417&lt;&gt;"",$N417&lt;=0),"Quarantine expired lot",IF(AND($N417&lt;&gt;"",$N417&lt;=Settings!$C$6),"Use or rotate stock now","")))))))</f>
        <v/>
      </c>
    </row>
    <row r="418" spans="1:17" x14ac:dyDescent="0.35">
      <c r="A418" s="18" t="str">
        <f>IF(Items!$A415="","",Items!$A415)</f>
        <v/>
      </c>
      <c r="B418" s="18" t="str">
        <f>IF($A418="","",Items!$B415)</f>
        <v/>
      </c>
      <c r="C418" s="19" t="str">
        <f>IF($A418="","",Items!$G415)</f>
        <v/>
      </c>
      <c r="D418" s="20" t="str">
        <f>IF($A418="","",N(Items!$D415))</f>
        <v/>
      </c>
      <c r="E418" s="23" t="str">
        <f>IF($A418="","",Items!$E415)</f>
        <v/>
      </c>
      <c r="F418" s="23" t="str">
        <f>IF($A418="","",Items!$F415)</f>
        <v/>
      </c>
      <c r="G418" s="26" t="str">
        <f>IF($A418="","",SUMIFS(tblReceipts[Qty Received],tblReceipts[Item Name],$A418))</f>
        <v/>
      </c>
      <c r="H418" s="26" t="str">
        <f>IF($A418="","",SUMIFS(tblIssues[Qty Issued],tblIssues[Item Name],$A418))</f>
        <v/>
      </c>
      <c r="I418" s="27" t="str">
        <f t="shared" si="18"/>
        <v/>
      </c>
      <c r="J418" s="21" t="str">
        <f t="shared" si="19"/>
        <v/>
      </c>
      <c r="K418" s="26" t="str">
        <f>IF($A418="","",COUNTIFS(tblReceipts[Item Name],$A418))</f>
        <v/>
      </c>
      <c r="L418" s="26" t="str">
        <f>IF($A418="","",COUNTIFS(tblLotBalance[Item Name],$A418,tblLotBalance[Lot Balance],"&gt;0"))</f>
        <v/>
      </c>
      <c r="M418" s="24" t="str">
        <f>IF($A418="","",IF($L418=0,"",IFERROR(_xlfn.MINIFS(tblLotBalance[Expiry Date],tblLotBalance[Item Name],$A418,tblLotBalance[Lot Balance],"&gt;0"),"")))</f>
        <v/>
      </c>
      <c r="N418" s="26" t="str">
        <f t="shared" ca="1" si="20"/>
        <v/>
      </c>
      <c r="O418" s="18" t="str" cm="1">
        <f t="array" ref="O418">IF($M418="","",IFERROR(INDEX(tblLotBalance[Lot Number],MATCH(1,INDEX((tblLotBalance[Item Name]=$A418)*(tblLotBalance[Expiry Date]=$M418)*(tblLotBalance[Lot Balance]&gt;0),0),0)),""))</f>
        <v/>
      </c>
      <c r="P418" s="28" t="str">
        <f>IF($A418="","",IF($I418&lt;0,"NEGATIVE",IF(NOT(ISNUMBER($F418)),"Set threshold",IF($I418&lt;=0,"OUT OF STOCK",IF($I418&lt;=$F418,"LOW",IF($I418&lt;=$F418*Settings!$C$7,"WATCH","OK"))))))</f>
        <v/>
      </c>
      <c r="Q418" s="29" t="str">
        <f>IF($A418="","",IF($P418="NEGATIVE","Issued more than received - add the missing receipt",IF($P418="OUT OF STOCK","Reorder immediately",IF($P418="LOW","Raise purchase order",IF($P418="Set threshold","Enter Critical Low in Items",IF(AND($N418&lt;&gt;"",$N418&lt;=0),"Quarantine expired lot",IF(AND($N418&lt;&gt;"",$N418&lt;=Settings!$C$6),"Use or rotate stock now","")))))))</f>
        <v/>
      </c>
    </row>
    <row r="419" spans="1:17" x14ac:dyDescent="0.35">
      <c r="A419" s="18" t="str">
        <f>IF(Items!$A416="","",Items!$A416)</f>
        <v/>
      </c>
      <c r="B419" s="18" t="str">
        <f>IF($A419="","",Items!$B416)</f>
        <v/>
      </c>
      <c r="C419" s="19" t="str">
        <f>IF($A419="","",Items!$G416)</f>
        <v/>
      </c>
      <c r="D419" s="20" t="str">
        <f>IF($A419="","",N(Items!$D416))</f>
        <v/>
      </c>
      <c r="E419" s="23" t="str">
        <f>IF($A419="","",Items!$E416)</f>
        <v/>
      </c>
      <c r="F419" s="23" t="str">
        <f>IF($A419="","",Items!$F416)</f>
        <v/>
      </c>
      <c r="G419" s="26" t="str">
        <f>IF($A419="","",SUMIFS(tblReceipts[Qty Received],tblReceipts[Item Name],$A419))</f>
        <v/>
      </c>
      <c r="H419" s="26" t="str">
        <f>IF($A419="","",SUMIFS(tblIssues[Qty Issued],tblIssues[Item Name],$A419))</f>
        <v/>
      </c>
      <c r="I419" s="27" t="str">
        <f t="shared" si="18"/>
        <v/>
      </c>
      <c r="J419" s="21" t="str">
        <f t="shared" si="19"/>
        <v/>
      </c>
      <c r="K419" s="26" t="str">
        <f>IF($A419="","",COUNTIFS(tblReceipts[Item Name],$A419))</f>
        <v/>
      </c>
      <c r="L419" s="26" t="str">
        <f>IF($A419="","",COUNTIFS(tblLotBalance[Item Name],$A419,tblLotBalance[Lot Balance],"&gt;0"))</f>
        <v/>
      </c>
      <c r="M419" s="24" t="str">
        <f>IF($A419="","",IF($L419=0,"",IFERROR(_xlfn.MINIFS(tblLotBalance[Expiry Date],tblLotBalance[Item Name],$A419,tblLotBalance[Lot Balance],"&gt;0"),"")))</f>
        <v/>
      </c>
      <c r="N419" s="26" t="str">
        <f t="shared" ca="1" si="20"/>
        <v/>
      </c>
      <c r="O419" s="18" t="str" cm="1">
        <f t="array" ref="O419">IF($M419="","",IFERROR(INDEX(tblLotBalance[Lot Number],MATCH(1,INDEX((tblLotBalance[Item Name]=$A419)*(tblLotBalance[Expiry Date]=$M419)*(tblLotBalance[Lot Balance]&gt;0),0),0)),""))</f>
        <v/>
      </c>
      <c r="P419" s="28" t="str">
        <f>IF($A419="","",IF($I419&lt;0,"NEGATIVE",IF(NOT(ISNUMBER($F419)),"Set threshold",IF($I419&lt;=0,"OUT OF STOCK",IF($I419&lt;=$F419,"LOW",IF($I419&lt;=$F419*Settings!$C$7,"WATCH","OK"))))))</f>
        <v/>
      </c>
      <c r="Q419" s="29" t="str">
        <f>IF($A419="","",IF($P419="NEGATIVE","Issued more than received - add the missing receipt",IF($P419="OUT OF STOCK","Reorder immediately",IF($P419="LOW","Raise purchase order",IF($P419="Set threshold","Enter Critical Low in Items",IF(AND($N419&lt;&gt;"",$N419&lt;=0),"Quarantine expired lot",IF(AND($N419&lt;&gt;"",$N419&lt;=Settings!$C$6),"Use or rotate stock now","")))))))</f>
        <v/>
      </c>
    </row>
    <row r="420" spans="1:17" x14ac:dyDescent="0.35">
      <c r="A420" s="18" t="str">
        <f>IF(Items!$A417="","",Items!$A417)</f>
        <v/>
      </c>
      <c r="B420" s="18" t="str">
        <f>IF($A420="","",Items!$B417)</f>
        <v/>
      </c>
      <c r="C420" s="19" t="str">
        <f>IF($A420="","",Items!$G417)</f>
        <v/>
      </c>
      <c r="D420" s="20" t="str">
        <f>IF($A420="","",N(Items!$D417))</f>
        <v/>
      </c>
      <c r="E420" s="23" t="str">
        <f>IF($A420="","",Items!$E417)</f>
        <v/>
      </c>
      <c r="F420" s="23" t="str">
        <f>IF($A420="","",Items!$F417)</f>
        <v/>
      </c>
      <c r="G420" s="26" t="str">
        <f>IF($A420="","",SUMIFS(tblReceipts[Qty Received],tblReceipts[Item Name],$A420))</f>
        <v/>
      </c>
      <c r="H420" s="26" t="str">
        <f>IF($A420="","",SUMIFS(tblIssues[Qty Issued],tblIssues[Item Name],$A420))</f>
        <v/>
      </c>
      <c r="I420" s="27" t="str">
        <f t="shared" si="18"/>
        <v/>
      </c>
      <c r="J420" s="21" t="str">
        <f t="shared" si="19"/>
        <v/>
      </c>
      <c r="K420" s="26" t="str">
        <f>IF($A420="","",COUNTIFS(tblReceipts[Item Name],$A420))</f>
        <v/>
      </c>
      <c r="L420" s="26" t="str">
        <f>IF($A420="","",COUNTIFS(tblLotBalance[Item Name],$A420,tblLotBalance[Lot Balance],"&gt;0"))</f>
        <v/>
      </c>
      <c r="M420" s="24" t="str">
        <f>IF($A420="","",IF($L420=0,"",IFERROR(_xlfn.MINIFS(tblLotBalance[Expiry Date],tblLotBalance[Item Name],$A420,tblLotBalance[Lot Balance],"&gt;0"),"")))</f>
        <v/>
      </c>
      <c r="N420" s="26" t="str">
        <f t="shared" ca="1" si="20"/>
        <v/>
      </c>
      <c r="O420" s="18" t="str" cm="1">
        <f t="array" ref="O420">IF($M420="","",IFERROR(INDEX(tblLotBalance[Lot Number],MATCH(1,INDEX((tblLotBalance[Item Name]=$A420)*(tblLotBalance[Expiry Date]=$M420)*(tblLotBalance[Lot Balance]&gt;0),0),0)),""))</f>
        <v/>
      </c>
      <c r="P420" s="28" t="str">
        <f>IF($A420="","",IF($I420&lt;0,"NEGATIVE",IF(NOT(ISNUMBER($F420)),"Set threshold",IF($I420&lt;=0,"OUT OF STOCK",IF($I420&lt;=$F420,"LOW",IF($I420&lt;=$F420*Settings!$C$7,"WATCH","OK"))))))</f>
        <v/>
      </c>
      <c r="Q420" s="29" t="str">
        <f>IF($A420="","",IF($P420="NEGATIVE","Issued more than received - add the missing receipt",IF($P420="OUT OF STOCK","Reorder immediately",IF($P420="LOW","Raise purchase order",IF($P420="Set threshold","Enter Critical Low in Items",IF(AND($N420&lt;&gt;"",$N420&lt;=0),"Quarantine expired lot",IF(AND($N420&lt;&gt;"",$N420&lt;=Settings!$C$6),"Use or rotate stock now","")))))))</f>
        <v/>
      </c>
    </row>
    <row r="421" spans="1:17" x14ac:dyDescent="0.35">
      <c r="A421" s="18" t="str">
        <f>IF(Items!$A418="","",Items!$A418)</f>
        <v/>
      </c>
      <c r="B421" s="18" t="str">
        <f>IF($A421="","",Items!$B418)</f>
        <v/>
      </c>
      <c r="C421" s="19" t="str">
        <f>IF($A421="","",Items!$G418)</f>
        <v/>
      </c>
      <c r="D421" s="20" t="str">
        <f>IF($A421="","",N(Items!$D418))</f>
        <v/>
      </c>
      <c r="E421" s="23" t="str">
        <f>IF($A421="","",Items!$E418)</f>
        <v/>
      </c>
      <c r="F421" s="23" t="str">
        <f>IF($A421="","",Items!$F418)</f>
        <v/>
      </c>
      <c r="G421" s="26" t="str">
        <f>IF($A421="","",SUMIFS(tblReceipts[Qty Received],tblReceipts[Item Name],$A421))</f>
        <v/>
      </c>
      <c r="H421" s="26" t="str">
        <f>IF($A421="","",SUMIFS(tblIssues[Qty Issued],tblIssues[Item Name],$A421))</f>
        <v/>
      </c>
      <c r="I421" s="27" t="str">
        <f t="shared" si="18"/>
        <v/>
      </c>
      <c r="J421" s="21" t="str">
        <f t="shared" si="19"/>
        <v/>
      </c>
      <c r="K421" s="26" t="str">
        <f>IF($A421="","",COUNTIFS(tblReceipts[Item Name],$A421))</f>
        <v/>
      </c>
      <c r="L421" s="26" t="str">
        <f>IF($A421="","",COUNTIFS(tblLotBalance[Item Name],$A421,tblLotBalance[Lot Balance],"&gt;0"))</f>
        <v/>
      </c>
      <c r="M421" s="24" t="str">
        <f>IF($A421="","",IF($L421=0,"",IFERROR(_xlfn.MINIFS(tblLotBalance[Expiry Date],tblLotBalance[Item Name],$A421,tblLotBalance[Lot Balance],"&gt;0"),"")))</f>
        <v/>
      </c>
      <c r="N421" s="26" t="str">
        <f t="shared" ca="1" si="20"/>
        <v/>
      </c>
      <c r="O421" s="18" t="str" cm="1">
        <f t="array" ref="O421">IF($M421="","",IFERROR(INDEX(tblLotBalance[Lot Number],MATCH(1,INDEX((tblLotBalance[Item Name]=$A421)*(tblLotBalance[Expiry Date]=$M421)*(tblLotBalance[Lot Balance]&gt;0),0),0)),""))</f>
        <v/>
      </c>
      <c r="P421" s="28" t="str">
        <f>IF($A421="","",IF($I421&lt;0,"NEGATIVE",IF(NOT(ISNUMBER($F421)),"Set threshold",IF($I421&lt;=0,"OUT OF STOCK",IF($I421&lt;=$F421,"LOW",IF($I421&lt;=$F421*Settings!$C$7,"WATCH","OK"))))))</f>
        <v/>
      </c>
      <c r="Q421" s="29" t="str">
        <f>IF($A421="","",IF($P421="NEGATIVE","Issued more than received - add the missing receipt",IF($P421="OUT OF STOCK","Reorder immediately",IF($P421="LOW","Raise purchase order",IF($P421="Set threshold","Enter Critical Low in Items",IF(AND($N421&lt;&gt;"",$N421&lt;=0),"Quarantine expired lot",IF(AND($N421&lt;&gt;"",$N421&lt;=Settings!$C$6),"Use or rotate stock now","")))))))</f>
        <v/>
      </c>
    </row>
    <row r="422" spans="1:17" x14ac:dyDescent="0.35">
      <c r="A422" s="18" t="str">
        <f>IF(Items!$A419="","",Items!$A419)</f>
        <v/>
      </c>
      <c r="B422" s="18" t="str">
        <f>IF($A422="","",Items!$B419)</f>
        <v/>
      </c>
      <c r="C422" s="19" t="str">
        <f>IF($A422="","",Items!$G419)</f>
        <v/>
      </c>
      <c r="D422" s="20" t="str">
        <f>IF($A422="","",N(Items!$D419))</f>
        <v/>
      </c>
      <c r="E422" s="23" t="str">
        <f>IF($A422="","",Items!$E419)</f>
        <v/>
      </c>
      <c r="F422" s="23" t="str">
        <f>IF($A422="","",Items!$F419)</f>
        <v/>
      </c>
      <c r="G422" s="26" t="str">
        <f>IF($A422="","",SUMIFS(tblReceipts[Qty Received],tblReceipts[Item Name],$A422))</f>
        <v/>
      </c>
      <c r="H422" s="26" t="str">
        <f>IF($A422="","",SUMIFS(tblIssues[Qty Issued],tblIssues[Item Name],$A422))</f>
        <v/>
      </c>
      <c r="I422" s="27" t="str">
        <f t="shared" si="18"/>
        <v/>
      </c>
      <c r="J422" s="21" t="str">
        <f t="shared" si="19"/>
        <v/>
      </c>
      <c r="K422" s="26" t="str">
        <f>IF($A422="","",COUNTIFS(tblReceipts[Item Name],$A422))</f>
        <v/>
      </c>
      <c r="L422" s="26" t="str">
        <f>IF($A422="","",COUNTIFS(tblLotBalance[Item Name],$A422,tblLotBalance[Lot Balance],"&gt;0"))</f>
        <v/>
      </c>
      <c r="M422" s="24" t="str">
        <f>IF($A422="","",IF($L422=0,"",IFERROR(_xlfn.MINIFS(tblLotBalance[Expiry Date],tblLotBalance[Item Name],$A422,tblLotBalance[Lot Balance],"&gt;0"),"")))</f>
        <v/>
      </c>
      <c r="N422" s="26" t="str">
        <f t="shared" ca="1" si="20"/>
        <v/>
      </c>
      <c r="O422" s="18" t="str" cm="1">
        <f t="array" ref="O422">IF($M422="","",IFERROR(INDEX(tblLotBalance[Lot Number],MATCH(1,INDEX((tblLotBalance[Item Name]=$A422)*(tblLotBalance[Expiry Date]=$M422)*(tblLotBalance[Lot Balance]&gt;0),0),0)),""))</f>
        <v/>
      </c>
      <c r="P422" s="28" t="str">
        <f>IF($A422="","",IF($I422&lt;0,"NEGATIVE",IF(NOT(ISNUMBER($F422)),"Set threshold",IF($I422&lt;=0,"OUT OF STOCK",IF($I422&lt;=$F422,"LOW",IF($I422&lt;=$F422*Settings!$C$7,"WATCH","OK"))))))</f>
        <v/>
      </c>
      <c r="Q422" s="29" t="str">
        <f>IF($A422="","",IF($P422="NEGATIVE","Issued more than received - add the missing receipt",IF($P422="OUT OF STOCK","Reorder immediately",IF($P422="LOW","Raise purchase order",IF($P422="Set threshold","Enter Critical Low in Items",IF(AND($N422&lt;&gt;"",$N422&lt;=0),"Quarantine expired lot",IF(AND($N422&lt;&gt;"",$N422&lt;=Settings!$C$6),"Use or rotate stock now","")))))))</f>
        <v/>
      </c>
    </row>
    <row r="423" spans="1:17" x14ac:dyDescent="0.35">
      <c r="A423" s="18" t="str">
        <f>IF(Items!$A420="","",Items!$A420)</f>
        <v/>
      </c>
      <c r="B423" s="18" t="str">
        <f>IF($A423="","",Items!$B420)</f>
        <v/>
      </c>
      <c r="C423" s="19" t="str">
        <f>IF($A423="","",Items!$G420)</f>
        <v/>
      </c>
      <c r="D423" s="20" t="str">
        <f>IF($A423="","",N(Items!$D420))</f>
        <v/>
      </c>
      <c r="E423" s="23" t="str">
        <f>IF($A423="","",Items!$E420)</f>
        <v/>
      </c>
      <c r="F423" s="23" t="str">
        <f>IF($A423="","",Items!$F420)</f>
        <v/>
      </c>
      <c r="G423" s="26" t="str">
        <f>IF($A423="","",SUMIFS(tblReceipts[Qty Received],tblReceipts[Item Name],$A423))</f>
        <v/>
      </c>
      <c r="H423" s="26" t="str">
        <f>IF($A423="","",SUMIFS(tblIssues[Qty Issued],tblIssues[Item Name],$A423))</f>
        <v/>
      </c>
      <c r="I423" s="27" t="str">
        <f t="shared" si="18"/>
        <v/>
      </c>
      <c r="J423" s="21" t="str">
        <f t="shared" si="19"/>
        <v/>
      </c>
      <c r="K423" s="26" t="str">
        <f>IF($A423="","",COUNTIFS(tblReceipts[Item Name],$A423))</f>
        <v/>
      </c>
      <c r="L423" s="26" t="str">
        <f>IF($A423="","",COUNTIFS(tblLotBalance[Item Name],$A423,tblLotBalance[Lot Balance],"&gt;0"))</f>
        <v/>
      </c>
      <c r="M423" s="24" t="str">
        <f>IF($A423="","",IF($L423=0,"",IFERROR(_xlfn.MINIFS(tblLotBalance[Expiry Date],tblLotBalance[Item Name],$A423,tblLotBalance[Lot Balance],"&gt;0"),"")))</f>
        <v/>
      </c>
      <c r="N423" s="26" t="str">
        <f t="shared" ca="1" si="20"/>
        <v/>
      </c>
      <c r="O423" s="18" t="str" cm="1">
        <f t="array" ref="O423">IF($M423="","",IFERROR(INDEX(tblLotBalance[Lot Number],MATCH(1,INDEX((tblLotBalance[Item Name]=$A423)*(tblLotBalance[Expiry Date]=$M423)*(tblLotBalance[Lot Balance]&gt;0),0),0)),""))</f>
        <v/>
      </c>
      <c r="P423" s="28" t="str">
        <f>IF($A423="","",IF($I423&lt;0,"NEGATIVE",IF(NOT(ISNUMBER($F423)),"Set threshold",IF($I423&lt;=0,"OUT OF STOCK",IF($I423&lt;=$F423,"LOW",IF($I423&lt;=$F423*Settings!$C$7,"WATCH","OK"))))))</f>
        <v/>
      </c>
      <c r="Q423" s="29" t="str">
        <f>IF($A423="","",IF($P423="NEGATIVE","Issued more than received - add the missing receipt",IF($P423="OUT OF STOCK","Reorder immediately",IF($P423="LOW","Raise purchase order",IF($P423="Set threshold","Enter Critical Low in Items",IF(AND($N423&lt;&gt;"",$N423&lt;=0),"Quarantine expired lot",IF(AND($N423&lt;&gt;"",$N423&lt;=Settings!$C$6),"Use or rotate stock now","")))))))</f>
        <v/>
      </c>
    </row>
    <row r="424" spans="1:17" x14ac:dyDescent="0.35">
      <c r="A424" s="18" t="str">
        <f>IF(Items!$A421="","",Items!$A421)</f>
        <v/>
      </c>
      <c r="B424" s="18" t="str">
        <f>IF($A424="","",Items!$B421)</f>
        <v/>
      </c>
      <c r="C424" s="19" t="str">
        <f>IF($A424="","",Items!$G421)</f>
        <v/>
      </c>
      <c r="D424" s="20" t="str">
        <f>IF($A424="","",N(Items!$D421))</f>
        <v/>
      </c>
      <c r="E424" s="23" t="str">
        <f>IF($A424="","",Items!$E421)</f>
        <v/>
      </c>
      <c r="F424" s="23" t="str">
        <f>IF($A424="","",Items!$F421)</f>
        <v/>
      </c>
      <c r="G424" s="26" t="str">
        <f>IF($A424="","",SUMIFS(tblReceipts[Qty Received],tblReceipts[Item Name],$A424))</f>
        <v/>
      </c>
      <c r="H424" s="26" t="str">
        <f>IF($A424="","",SUMIFS(tblIssues[Qty Issued],tblIssues[Item Name],$A424))</f>
        <v/>
      </c>
      <c r="I424" s="27" t="str">
        <f t="shared" si="18"/>
        <v/>
      </c>
      <c r="J424" s="21" t="str">
        <f t="shared" si="19"/>
        <v/>
      </c>
      <c r="K424" s="26" t="str">
        <f>IF($A424="","",COUNTIFS(tblReceipts[Item Name],$A424))</f>
        <v/>
      </c>
      <c r="L424" s="26" t="str">
        <f>IF($A424="","",COUNTIFS(tblLotBalance[Item Name],$A424,tblLotBalance[Lot Balance],"&gt;0"))</f>
        <v/>
      </c>
      <c r="M424" s="24" t="str">
        <f>IF($A424="","",IF($L424=0,"",IFERROR(_xlfn.MINIFS(tblLotBalance[Expiry Date],tblLotBalance[Item Name],$A424,tblLotBalance[Lot Balance],"&gt;0"),"")))</f>
        <v/>
      </c>
      <c r="N424" s="26" t="str">
        <f t="shared" ca="1" si="20"/>
        <v/>
      </c>
      <c r="O424" s="18" t="str" cm="1">
        <f t="array" ref="O424">IF($M424="","",IFERROR(INDEX(tblLotBalance[Lot Number],MATCH(1,INDEX((tblLotBalance[Item Name]=$A424)*(tblLotBalance[Expiry Date]=$M424)*(tblLotBalance[Lot Balance]&gt;0),0),0)),""))</f>
        <v/>
      </c>
      <c r="P424" s="28" t="str">
        <f>IF($A424="","",IF($I424&lt;0,"NEGATIVE",IF(NOT(ISNUMBER($F424)),"Set threshold",IF($I424&lt;=0,"OUT OF STOCK",IF($I424&lt;=$F424,"LOW",IF($I424&lt;=$F424*Settings!$C$7,"WATCH","OK"))))))</f>
        <v/>
      </c>
      <c r="Q424" s="29" t="str">
        <f>IF($A424="","",IF($P424="NEGATIVE","Issued more than received - add the missing receipt",IF($P424="OUT OF STOCK","Reorder immediately",IF($P424="LOW","Raise purchase order",IF($P424="Set threshold","Enter Critical Low in Items",IF(AND($N424&lt;&gt;"",$N424&lt;=0),"Quarantine expired lot",IF(AND($N424&lt;&gt;"",$N424&lt;=Settings!$C$6),"Use or rotate stock now","")))))))</f>
        <v/>
      </c>
    </row>
    <row r="425" spans="1:17" x14ac:dyDescent="0.35">
      <c r="A425" s="18" t="str">
        <f>IF(Items!$A422="","",Items!$A422)</f>
        <v/>
      </c>
      <c r="B425" s="18" t="str">
        <f>IF($A425="","",Items!$B422)</f>
        <v/>
      </c>
      <c r="C425" s="19" t="str">
        <f>IF($A425="","",Items!$G422)</f>
        <v/>
      </c>
      <c r="D425" s="20" t="str">
        <f>IF($A425="","",N(Items!$D422))</f>
        <v/>
      </c>
      <c r="E425" s="23" t="str">
        <f>IF($A425="","",Items!$E422)</f>
        <v/>
      </c>
      <c r="F425" s="23" t="str">
        <f>IF($A425="","",Items!$F422)</f>
        <v/>
      </c>
      <c r="G425" s="26" t="str">
        <f>IF($A425="","",SUMIFS(tblReceipts[Qty Received],tblReceipts[Item Name],$A425))</f>
        <v/>
      </c>
      <c r="H425" s="26" t="str">
        <f>IF($A425="","",SUMIFS(tblIssues[Qty Issued],tblIssues[Item Name],$A425))</f>
        <v/>
      </c>
      <c r="I425" s="27" t="str">
        <f t="shared" si="18"/>
        <v/>
      </c>
      <c r="J425" s="21" t="str">
        <f t="shared" si="19"/>
        <v/>
      </c>
      <c r="K425" s="26" t="str">
        <f>IF($A425="","",COUNTIFS(tblReceipts[Item Name],$A425))</f>
        <v/>
      </c>
      <c r="L425" s="26" t="str">
        <f>IF($A425="","",COUNTIFS(tblLotBalance[Item Name],$A425,tblLotBalance[Lot Balance],"&gt;0"))</f>
        <v/>
      </c>
      <c r="M425" s="24" t="str">
        <f>IF($A425="","",IF($L425=0,"",IFERROR(_xlfn.MINIFS(tblLotBalance[Expiry Date],tblLotBalance[Item Name],$A425,tblLotBalance[Lot Balance],"&gt;0"),"")))</f>
        <v/>
      </c>
      <c r="N425" s="26" t="str">
        <f t="shared" ca="1" si="20"/>
        <v/>
      </c>
      <c r="O425" s="18" t="str" cm="1">
        <f t="array" ref="O425">IF($M425="","",IFERROR(INDEX(tblLotBalance[Lot Number],MATCH(1,INDEX((tblLotBalance[Item Name]=$A425)*(tblLotBalance[Expiry Date]=$M425)*(tblLotBalance[Lot Balance]&gt;0),0),0)),""))</f>
        <v/>
      </c>
      <c r="P425" s="28" t="str">
        <f>IF($A425="","",IF($I425&lt;0,"NEGATIVE",IF(NOT(ISNUMBER($F425)),"Set threshold",IF($I425&lt;=0,"OUT OF STOCK",IF($I425&lt;=$F425,"LOW",IF($I425&lt;=$F425*Settings!$C$7,"WATCH","OK"))))))</f>
        <v/>
      </c>
      <c r="Q425" s="29" t="str">
        <f>IF($A425="","",IF($P425="NEGATIVE","Issued more than received - add the missing receipt",IF($P425="OUT OF STOCK","Reorder immediately",IF($P425="LOW","Raise purchase order",IF($P425="Set threshold","Enter Critical Low in Items",IF(AND($N425&lt;&gt;"",$N425&lt;=0),"Quarantine expired lot",IF(AND($N425&lt;&gt;"",$N425&lt;=Settings!$C$6),"Use or rotate stock now","")))))))</f>
        <v/>
      </c>
    </row>
    <row r="426" spans="1:17" x14ac:dyDescent="0.35">
      <c r="A426" s="18" t="str">
        <f>IF(Items!$A423="","",Items!$A423)</f>
        <v/>
      </c>
      <c r="B426" s="18" t="str">
        <f>IF($A426="","",Items!$B423)</f>
        <v/>
      </c>
      <c r="C426" s="19" t="str">
        <f>IF($A426="","",Items!$G423)</f>
        <v/>
      </c>
      <c r="D426" s="20" t="str">
        <f>IF($A426="","",N(Items!$D423))</f>
        <v/>
      </c>
      <c r="E426" s="23" t="str">
        <f>IF($A426="","",Items!$E423)</f>
        <v/>
      </c>
      <c r="F426" s="23" t="str">
        <f>IF($A426="","",Items!$F423)</f>
        <v/>
      </c>
      <c r="G426" s="26" t="str">
        <f>IF($A426="","",SUMIFS(tblReceipts[Qty Received],tblReceipts[Item Name],$A426))</f>
        <v/>
      </c>
      <c r="H426" s="26" t="str">
        <f>IF($A426="","",SUMIFS(tblIssues[Qty Issued],tblIssues[Item Name],$A426))</f>
        <v/>
      </c>
      <c r="I426" s="27" t="str">
        <f t="shared" si="18"/>
        <v/>
      </c>
      <c r="J426" s="21" t="str">
        <f t="shared" si="19"/>
        <v/>
      </c>
      <c r="K426" s="26" t="str">
        <f>IF($A426="","",COUNTIFS(tblReceipts[Item Name],$A426))</f>
        <v/>
      </c>
      <c r="L426" s="26" t="str">
        <f>IF($A426="","",COUNTIFS(tblLotBalance[Item Name],$A426,tblLotBalance[Lot Balance],"&gt;0"))</f>
        <v/>
      </c>
      <c r="M426" s="24" t="str">
        <f>IF($A426="","",IF($L426=0,"",IFERROR(_xlfn.MINIFS(tblLotBalance[Expiry Date],tblLotBalance[Item Name],$A426,tblLotBalance[Lot Balance],"&gt;0"),"")))</f>
        <v/>
      </c>
      <c r="N426" s="26" t="str">
        <f t="shared" ca="1" si="20"/>
        <v/>
      </c>
      <c r="O426" s="18" t="str" cm="1">
        <f t="array" ref="O426">IF($M426="","",IFERROR(INDEX(tblLotBalance[Lot Number],MATCH(1,INDEX((tblLotBalance[Item Name]=$A426)*(tblLotBalance[Expiry Date]=$M426)*(tblLotBalance[Lot Balance]&gt;0),0),0)),""))</f>
        <v/>
      </c>
      <c r="P426" s="28" t="str">
        <f>IF($A426="","",IF($I426&lt;0,"NEGATIVE",IF(NOT(ISNUMBER($F426)),"Set threshold",IF($I426&lt;=0,"OUT OF STOCK",IF($I426&lt;=$F426,"LOW",IF($I426&lt;=$F426*Settings!$C$7,"WATCH","OK"))))))</f>
        <v/>
      </c>
      <c r="Q426" s="29" t="str">
        <f>IF($A426="","",IF($P426="NEGATIVE","Issued more than received - add the missing receipt",IF($P426="OUT OF STOCK","Reorder immediately",IF($P426="LOW","Raise purchase order",IF($P426="Set threshold","Enter Critical Low in Items",IF(AND($N426&lt;&gt;"",$N426&lt;=0),"Quarantine expired lot",IF(AND($N426&lt;&gt;"",$N426&lt;=Settings!$C$6),"Use or rotate stock now","")))))))</f>
        <v/>
      </c>
    </row>
    <row r="427" spans="1:17" x14ac:dyDescent="0.35">
      <c r="A427" s="18" t="str">
        <f>IF(Items!$A424="","",Items!$A424)</f>
        <v/>
      </c>
      <c r="B427" s="18" t="str">
        <f>IF($A427="","",Items!$B424)</f>
        <v/>
      </c>
      <c r="C427" s="19" t="str">
        <f>IF($A427="","",Items!$G424)</f>
        <v/>
      </c>
      <c r="D427" s="20" t="str">
        <f>IF($A427="","",N(Items!$D424))</f>
        <v/>
      </c>
      <c r="E427" s="23" t="str">
        <f>IF($A427="","",Items!$E424)</f>
        <v/>
      </c>
      <c r="F427" s="23" t="str">
        <f>IF($A427="","",Items!$F424)</f>
        <v/>
      </c>
      <c r="G427" s="26" t="str">
        <f>IF($A427="","",SUMIFS(tblReceipts[Qty Received],tblReceipts[Item Name],$A427))</f>
        <v/>
      </c>
      <c r="H427" s="26" t="str">
        <f>IF($A427="","",SUMIFS(tblIssues[Qty Issued],tblIssues[Item Name],$A427))</f>
        <v/>
      </c>
      <c r="I427" s="27" t="str">
        <f t="shared" si="18"/>
        <v/>
      </c>
      <c r="J427" s="21" t="str">
        <f t="shared" si="19"/>
        <v/>
      </c>
      <c r="K427" s="26" t="str">
        <f>IF($A427="","",COUNTIFS(tblReceipts[Item Name],$A427))</f>
        <v/>
      </c>
      <c r="L427" s="26" t="str">
        <f>IF($A427="","",COUNTIFS(tblLotBalance[Item Name],$A427,tblLotBalance[Lot Balance],"&gt;0"))</f>
        <v/>
      </c>
      <c r="M427" s="24" t="str">
        <f>IF($A427="","",IF($L427=0,"",IFERROR(_xlfn.MINIFS(tblLotBalance[Expiry Date],tblLotBalance[Item Name],$A427,tblLotBalance[Lot Balance],"&gt;0"),"")))</f>
        <v/>
      </c>
      <c r="N427" s="26" t="str">
        <f t="shared" ca="1" si="20"/>
        <v/>
      </c>
      <c r="O427" s="18" t="str" cm="1">
        <f t="array" ref="O427">IF($M427="","",IFERROR(INDEX(tblLotBalance[Lot Number],MATCH(1,INDEX((tblLotBalance[Item Name]=$A427)*(tblLotBalance[Expiry Date]=$M427)*(tblLotBalance[Lot Balance]&gt;0),0),0)),""))</f>
        <v/>
      </c>
      <c r="P427" s="28" t="str">
        <f>IF($A427="","",IF($I427&lt;0,"NEGATIVE",IF(NOT(ISNUMBER($F427)),"Set threshold",IF($I427&lt;=0,"OUT OF STOCK",IF($I427&lt;=$F427,"LOW",IF($I427&lt;=$F427*Settings!$C$7,"WATCH","OK"))))))</f>
        <v/>
      </c>
      <c r="Q427" s="29" t="str">
        <f>IF($A427="","",IF($P427="NEGATIVE","Issued more than received - add the missing receipt",IF($P427="OUT OF STOCK","Reorder immediately",IF($P427="LOW","Raise purchase order",IF($P427="Set threshold","Enter Critical Low in Items",IF(AND($N427&lt;&gt;"",$N427&lt;=0),"Quarantine expired lot",IF(AND($N427&lt;&gt;"",$N427&lt;=Settings!$C$6),"Use or rotate stock now","")))))))</f>
        <v/>
      </c>
    </row>
    <row r="428" spans="1:17" x14ac:dyDescent="0.35">
      <c r="A428" s="18" t="str">
        <f>IF(Items!$A425="","",Items!$A425)</f>
        <v/>
      </c>
      <c r="B428" s="18" t="str">
        <f>IF($A428="","",Items!$B425)</f>
        <v/>
      </c>
      <c r="C428" s="19" t="str">
        <f>IF($A428="","",Items!$G425)</f>
        <v/>
      </c>
      <c r="D428" s="20" t="str">
        <f>IF($A428="","",N(Items!$D425))</f>
        <v/>
      </c>
      <c r="E428" s="23" t="str">
        <f>IF($A428="","",Items!$E425)</f>
        <v/>
      </c>
      <c r="F428" s="23" t="str">
        <f>IF($A428="","",Items!$F425)</f>
        <v/>
      </c>
      <c r="G428" s="26" t="str">
        <f>IF($A428="","",SUMIFS(tblReceipts[Qty Received],tblReceipts[Item Name],$A428))</f>
        <v/>
      </c>
      <c r="H428" s="26" t="str">
        <f>IF($A428="","",SUMIFS(tblIssues[Qty Issued],tblIssues[Item Name],$A428))</f>
        <v/>
      </c>
      <c r="I428" s="27" t="str">
        <f t="shared" si="18"/>
        <v/>
      </c>
      <c r="J428" s="21" t="str">
        <f t="shared" si="19"/>
        <v/>
      </c>
      <c r="K428" s="26" t="str">
        <f>IF($A428="","",COUNTIFS(tblReceipts[Item Name],$A428))</f>
        <v/>
      </c>
      <c r="L428" s="26" t="str">
        <f>IF($A428="","",COUNTIFS(tblLotBalance[Item Name],$A428,tblLotBalance[Lot Balance],"&gt;0"))</f>
        <v/>
      </c>
      <c r="M428" s="24" t="str">
        <f>IF($A428="","",IF($L428=0,"",IFERROR(_xlfn.MINIFS(tblLotBalance[Expiry Date],tblLotBalance[Item Name],$A428,tblLotBalance[Lot Balance],"&gt;0"),"")))</f>
        <v/>
      </c>
      <c r="N428" s="26" t="str">
        <f t="shared" ca="1" si="20"/>
        <v/>
      </c>
      <c r="O428" s="18" t="str" cm="1">
        <f t="array" ref="O428">IF($M428="","",IFERROR(INDEX(tblLotBalance[Lot Number],MATCH(1,INDEX((tblLotBalance[Item Name]=$A428)*(tblLotBalance[Expiry Date]=$M428)*(tblLotBalance[Lot Balance]&gt;0),0),0)),""))</f>
        <v/>
      </c>
      <c r="P428" s="28" t="str">
        <f>IF($A428="","",IF($I428&lt;0,"NEGATIVE",IF(NOT(ISNUMBER($F428)),"Set threshold",IF($I428&lt;=0,"OUT OF STOCK",IF($I428&lt;=$F428,"LOW",IF($I428&lt;=$F428*Settings!$C$7,"WATCH","OK"))))))</f>
        <v/>
      </c>
      <c r="Q428" s="29" t="str">
        <f>IF($A428="","",IF($P428="NEGATIVE","Issued more than received - add the missing receipt",IF($P428="OUT OF STOCK","Reorder immediately",IF($P428="LOW","Raise purchase order",IF($P428="Set threshold","Enter Critical Low in Items",IF(AND($N428&lt;&gt;"",$N428&lt;=0),"Quarantine expired lot",IF(AND($N428&lt;&gt;"",$N428&lt;=Settings!$C$6),"Use or rotate stock now","")))))))</f>
        <v/>
      </c>
    </row>
    <row r="429" spans="1:17" x14ac:dyDescent="0.35">
      <c r="A429" s="18" t="str">
        <f>IF(Items!$A426="","",Items!$A426)</f>
        <v/>
      </c>
      <c r="B429" s="18" t="str">
        <f>IF($A429="","",Items!$B426)</f>
        <v/>
      </c>
      <c r="C429" s="19" t="str">
        <f>IF($A429="","",Items!$G426)</f>
        <v/>
      </c>
      <c r="D429" s="20" t="str">
        <f>IF($A429="","",N(Items!$D426))</f>
        <v/>
      </c>
      <c r="E429" s="23" t="str">
        <f>IF($A429="","",Items!$E426)</f>
        <v/>
      </c>
      <c r="F429" s="23" t="str">
        <f>IF($A429="","",Items!$F426)</f>
        <v/>
      </c>
      <c r="G429" s="26" t="str">
        <f>IF($A429="","",SUMIFS(tblReceipts[Qty Received],tblReceipts[Item Name],$A429))</f>
        <v/>
      </c>
      <c r="H429" s="26" t="str">
        <f>IF($A429="","",SUMIFS(tblIssues[Qty Issued],tblIssues[Item Name],$A429))</f>
        <v/>
      </c>
      <c r="I429" s="27" t="str">
        <f t="shared" si="18"/>
        <v/>
      </c>
      <c r="J429" s="21" t="str">
        <f t="shared" si="19"/>
        <v/>
      </c>
      <c r="K429" s="26" t="str">
        <f>IF($A429="","",COUNTIFS(tblReceipts[Item Name],$A429))</f>
        <v/>
      </c>
      <c r="L429" s="26" t="str">
        <f>IF($A429="","",COUNTIFS(tblLotBalance[Item Name],$A429,tblLotBalance[Lot Balance],"&gt;0"))</f>
        <v/>
      </c>
      <c r="M429" s="24" t="str">
        <f>IF($A429="","",IF($L429=0,"",IFERROR(_xlfn.MINIFS(tblLotBalance[Expiry Date],tblLotBalance[Item Name],$A429,tblLotBalance[Lot Balance],"&gt;0"),"")))</f>
        <v/>
      </c>
      <c r="N429" s="26" t="str">
        <f t="shared" ca="1" si="20"/>
        <v/>
      </c>
      <c r="O429" s="18" t="str" cm="1">
        <f t="array" ref="O429">IF($M429="","",IFERROR(INDEX(tblLotBalance[Lot Number],MATCH(1,INDEX((tblLotBalance[Item Name]=$A429)*(tblLotBalance[Expiry Date]=$M429)*(tblLotBalance[Lot Balance]&gt;0),0),0)),""))</f>
        <v/>
      </c>
      <c r="P429" s="28" t="str">
        <f>IF($A429="","",IF($I429&lt;0,"NEGATIVE",IF(NOT(ISNUMBER($F429)),"Set threshold",IF($I429&lt;=0,"OUT OF STOCK",IF($I429&lt;=$F429,"LOW",IF($I429&lt;=$F429*Settings!$C$7,"WATCH","OK"))))))</f>
        <v/>
      </c>
      <c r="Q429" s="29" t="str">
        <f>IF($A429="","",IF($P429="NEGATIVE","Issued more than received - add the missing receipt",IF($P429="OUT OF STOCK","Reorder immediately",IF($P429="LOW","Raise purchase order",IF($P429="Set threshold","Enter Critical Low in Items",IF(AND($N429&lt;&gt;"",$N429&lt;=0),"Quarantine expired lot",IF(AND($N429&lt;&gt;"",$N429&lt;=Settings!$C$6),"Use or rotate stock now","")))))))</f>
        <v/>
      </c>
    </row>
    <row r="430" spans="1:17" x14ac:dyDescent="0.35">
      <c r="A430" s="18" t="str">
        <f>IF(Items!$A427="","",Items!$A427)</f>
        <v/>
      </c>
      <c r="B430" s="18" t="str">
        <f>IF($A430="","",Items!$B427)</f>
        <v/>
      </c>
      <c r="C430" s="19" t="str">
        <f>IF($A430="","",Items!$G427)</f>
        <v/>
      </c>
      <c r="D430" s="20" t="str">
        <f>IF($A430="","",N(Items!$D427))</f>
        <v/>
      </c>
      <c r="E430" s="23" t="str">
        <f>IF($A430="","",Items!$E427)</f>
        <v/>
      </c>
      <c r="F430" s="23" t="str">
        <f>IF($A430="","",Items!$F427)</f>
        <v/>
      </c>
      <c r="G430" s="26" t="str">
        <f>IF($A430="","",SUMIFS(tblReceipts[Qty Received],tblReceipts[Item Name],$A430))</f>
        <v/>
      </c>
      <c r="H430" s="26" t="str">
        <f>IF($A430="","",SUMIFS(tblIssues[Qty Issued],tblIssues[Item Name],$A430))</f>
        <v/>
      </c>
      <c r="I430" s="27" t="str">
        <f t="shared" si="18"/>
        <v/>
      </c>
      <c r="J430" s="21" t="str">
        <f t="shared" si="19"/>
        <v/>
      </c>
      <c r="K430" s="26" t="str">
        <f>IF($A430="","",COUNTIFS(tblReceipts[Item Name],$A430))</f>
        <v/>
      </c>
      <c r="L430" s="26" t="str">
        <f>IF($A430="","",COUNTIFS(tblLotBalance[Item Name],$A430,tblLotBalance[Lot Balance],"&gt;0"))</f>
        <v/>
      </c>
      <c r="M430" s="24" t="str">
        <f>IF($A430="","",IF($L430=0,"",IFERROR(_xlfn.MINIFS(tblLotBalance[Expiry Date],tblLotBalance[Item Name],$A430,tblLotBalance[Lot Balance],"&gt;0"),"")))</f>
        <v/>
      </c>
      <c r="N430" s="26" t="str">
        <f t="shared" ca="1" si="20"/>
        <v/>
      </c>
      <c r="O430" s="18" t="str" cm="1">
        <f t="array" ref="O430">IF($M430="","",IFERROR(INDEX(tblLotBalance[Lot Number],MATCH(1,INDEX((tblLotBalance[Item Name]=$A430)*(tblLotBalance[Expiry Date]=$M430)*(tblLotBalance[Lot Balance]&gt;0),0),0)),""))</f>
        <v/>
      </c>
      <c r="P430" s="28" t="str">
        <f>IF($A430="","",IF($I430&lt;0,"NEGATIVE",IF(NOT(ISNUMBER($F430)),"Set threshold",IF($I430&lt;=0,"OUT OF STOCK",IF($I430&lt;=$F430,"LOW",IF($I430&lt;=$F430*Settings!$C$7,"WATCH","OK"))))))</f>
        <v/>
      </c>
      <c r="Q430" s="29" t="str">
        <f>IF($A430="","",IF($P430="NEGATIVE","Issued more than received - add the missing receipt",IF($P430="OUT OF STOCK","Reorder immediately",IF($P430="LOW","Raise purchase order",IF($P430="Set threshold","Enter Critical Low in Items",IF(AND($N430&lt;&gt;"",$N430&lt;=0),"Quarantine expired lot",IF(AND($N430&lt;&gt;"",$N430&lt;=Settings!$C$6),"Use or rotate stock now","")))))))</f>
        <v/>
      </c>
    </row>
    <row r="431" spans="1:17" x14ac:dyDescent="0.35">
      <c r="A431" s="18" t="str">
        <f>IF(Items!$A428="","",Items!$A428)</f>
        <v/>
      </c>
      <c r="B431" s="18" t="str">
        <f>IF($A431="","",Items!$B428)</f>
        <v/>
      </c>
      <c r="C431" s="19" t="str">
        <f>IF($A431="","",Items!$G428)</f>
        <v/>
      </c>
      <c r="D431" s="20" t="str">
        <f>IF($A431="","",N(Items!$D428))</f>
        <v/>
      </c>
      <c r="E431" s="23" t="str">
        <f>IF($A431="","",Items!$E428)</f>
        <v/>
      </c>
      <c r="F431" s="23" t="str">
        <f>IF($A431="","",Items!$F428)</f>
        <v/>
      </c>
      <c r="G431" s="26" t="str">
        <f>IF($A431="","",SUMIFS(tblReceipts[Qty Received],tblReceipts[Item Name],$A431))</f>
        <v/>
      </c>
      <c r="H431" s="26" t="str">
        <f>IF($A431="","",SUMIFS(tblIssues[Qty Issued],tblIssues[Item Name],$A431))</f>
        <v/>
      </c>
      <c r="I431" s="27" t="str">
        <f t="shared" si="18"/>
        <v/>
      </c>
      <c r="J431" s="21" t="str">
        <f t="shared" si="19"/>
        <v/>
      </c>
      <c r="K431" s="26" t="str">
        <f>IF($A431="","",COUNTIFS(tblReceipts[Item Name],$A431))</f>
        <v/>
      </c>
      <c r="L431" s="26" t="str">
        <f>IF($A431="","",COUNTIFS(tblLotBalance[Item Name],$A431,tblLotBalance[Lot Balance],"&gt;0"))</f>
        <v/>
      </c>
      <c r="M431" s="24" t="str">
        <f>IF($A431="","",IF($L431=0,"",IFERROR(_xlfn.MINIFS(tblLotBalance[Expiry Date],tblLotBalance[Item Name],$A431,tblLotBalance[Lot Balance],"&gt;0"),"")))</f>
        <v/>
      </c>
      <c r="N431" s="26" t="str">
        <f t="shared" ca="1" si="20"/>
        <v/>
      </c>
      <c r="O431" s="18" t="str" cm="1">
        <f t="array" ref="O431">IF($M431="","",IFERROR(INDEX(tblLotBalance[Lot Number],MATCH(1,INDEX((tblLotBalance[Item Name]=$A431)*(tblLotBalance[Expiry Date]=$M431)*(tblLotBalance[Lot Balance]&gt;0),0),0)),""))</f>
        <v/>
      </c>
      <c r="P431" s="28" t="str">
        <f>IF($A431="","",IF($I431&lt;0,"NEGATIVE",IF(NOT(ISNUMBER($F431)),"Set threshold",IF($I431&lt;=0,"OUT OF STOCK",IF($I431&lt;=$F431,"LOW",IF($I431&lt;=$F431*Settings!$C$7,"WATCH","OK"))))))</f>
        <v/>
      </c>
      <c r="Q431" s="29" t="str">
        <f>IF($A431="","",IF($P431="NEGATIVE","Issued more than received - add the missing receipt",IF($P431="OUT OF STOCK","Reorder immediately",IF($P431="LOW","Raise purchase order",IF($P431="Set threshold","Enter Critical Low in Items",IF(AND($N431&lt;&gt;"",$N431&lt;=0),"Quarantine expired lot",IF(AND($N431&lt;&gt;"",$N431&lt;=Settings!$C$6),"Use or rotate stock now","")))))))</f>
        <v/>
      </c>
    </row>
    <row r="432" spans="1:17" x14ac:dyDescent="0.35">
      <c r="A432" s="18" t="str">
        <f>IF(Items!$A429="","",Items!$A429)</f>
        <v/>
      </c>
      <c r="B432" s="18" t="str">
        <f>IF($A432="","",Items!$B429)</f>
        <v/>
      </c>
      <c r="C432" s="19" t="str">
        <f>IF($A432="","",Items!$G429)</f>
        <v/>
      </c>
      <c r="D432" s="20" t="str">
        <f>IF($A432="","",N(Items!$D429))</f>
        <v/>
      </c>
      <c r="E432" s="23" t="str">
        <f>IF($A432="","",Items!$E429)</f>
        <v/>
      </c>
      <c r="F432" s="23" t="str">
        <f>IF($A432="","",Items!$F429)</f>
        <v/>
      </c>
      <c r="G432" s="26" t="str">
        <f>IF($A432="","",SUMIFS(tblReceipts[Qty Received],tblReceipts[Item Name],$A432))</f>
        <v/>
      </c>
      <c r="H432" s="26" t="str">
        <f>IF($A432="","",SUMIFS(tblIssues[Qty Issued],tblIssues[Item Name],$A432))</f>
        <v/>
      </c>
      <c r="I432" s="27" t="str">
        <f t="shared" si="18"/>
        <v/>
      </c>
      <c r="J432" s="21" t="str">
        <f t="shared" si="19"/>
        <v/>
      </c>
      <c r="K432" s="26" t="str">
        <f>IF($A432="","",COUNTIFS(tblReceipts[Item Name],$A432))</f>
        <v/>
      </c>
      <c r="L432" s="26" t="str">
        <f>IF($A432="","",COUNTIFS(tblLotBalance[Item Name],$A432,tblLotBalance[Lot Balance],"&gt;0"))</f>
        <v/>
      </c>
      <c r="M432" s="24" t="str">
        <f>IF($A432="","",IF($L432=0,"",IFERROR(_xlfn.MINIFS(tblLotBalance[Expiry Date],tblLotBalance[Item Name],$A432,tblLotBalance[Lot Balance],"&gt;0"),"")))</f>
        <v/>
      </c>
      <c r="N432" s="26" t="str">
        <f t="shared" ca="1" si="20"/>
        <v/>
      </c>
      <c r="O432" s="18" t="str" cm="1">
        <f t="array" ref="O432">IF($M432="","",IFERROR(INDEX(tblLotBalance[Lot Number],MATCH(1,INDEX((tblLotBalance[Item Name]=$A432)*(tblLotBalance[Expiry Date]=$M432)*(tblLotBalance[Lot Balance]&gt;0),0),0)),""))</f>
        <v/>
      </c>
      <c r="P432" s="28" t="str">
        <f>IF($A432="","",IF($I432&lt;0,"NEGATIVE",IF(NOT(ISNUMBER($F432)),"Set threshold",IF($I432&lt;=0,"OUT OF STOCK",IF($I432&lt;=$F432,"LOW",IF($I432&lt;=$F432*Settings!$C$7,"WATCH","OK"))))))</f>
        <v/>
      </c>
      <c r="Q432" s="29" t="str">
        <f>IF($A432="","",IF($P432="NEGATIVE","Issued more than received - add the missing receipt",IF($P432="OUT OF STOCK","Reorder immediately",IF($P432="LOW","Raise purchase order",IF($P432="Set threshold","Enter Critical Low in Items",IF(AND($N432&lt;&gt;"",$N432&lt;=0),"Quarantine expired lot",IF(AND($N432&lt;&gt;"",$N432&lt;=Settings!$C$6),"Use or rotate stock now","")))))))</f>
        <v/>
      </c>
    </row>
    <row r="433" spans="1:17" x14ac:dyDescent="0.35">
      <c r="A433" s="18" t="str">
        <f>IF(Items!$A430="","",Items!$A430)</f>
        <v/>
      </c>
      <c r="B433" s="18" t="str">
        <f>IF($A433="","",Items!$B430)</f>
        <v/>
      </c>
      <c r="C433" s="19" t="str">
        <f>IF($A433="","",Items!$G430)</f>
        <v/>
      </c>
      <c r="D433" s="20" t="str">
        <f>IF($A433="","",N(Items!$D430))</f>
        <v/>
      </c>
      <c r="E433" s="23" t="str">
        <f>IF($A433="","",Items!$E430)</f>
        <v/>
      </c>
      <c r="F433" s="23" t="str">
        <f>IF($A433="","",Items!$F430)</f>
        <v/>
      </c>
      <c r="G433" s="26" t="str">
        <f>IF($A433="","",SUMIFS(tblReceipts[Qty Received],tblReceipts[Item Name],$A433))</f>
        <v/>
      </c>
      <c r="H433" s="26" t="str">
        <f>IF($A433="","",SUMIFS(tblIssues[Qty Issued],tblIssues[Item Name],$A433))</f>
        <v/>
      </c>
      <c r="I433" s="27" t="str">
        <f t="shared" si="18"/>
        <v/>
      </c>
      <c r="J433" s="21" t="str">
        <f t="shared" si="19"/>
        <v/>
      </c>
      <c r="K433" s="26" t="str">
        <f>IF($A433="","",COUNTIFS(tblReceipts[Item Name],$A433))</f>
        <v/>
      </c>
      <c r="L433" s="26" t="str">
        <f>IF($A433="","",COUNTIFS(tblLotBalance[Item Name],$A433,tblLotBalance[Lot Balance],"&gt;0"))</f>
        <v/>
      </c>
      <c r="M433" s="24" t="str">
        <f>IF($A433="","",IF($L433=0,"",IFERROR(_xlfn.MINIFS(tblLotBalance[Expiry Date],tblLotBalance[Item Name],$A433,tblLotBalance[Lot Balance],"&gt;0"),"")))</f>
        <v/>
      </c>
      <c r="N433" s="26" t="str">
        <f t="shared" ca="1" si="20"/>
        <v/>
      </c>
      <c r="O433" s="18" t="str" cm="1">
        <f t="array" ref="O433">IF($M433="","",IFERROR(INDEX(tblLotBalance[Lot Number],MATCH(1,INDEX((tblLotBalance[Item Name]=$A433)*(tblLotBalance[Expiry Date]=$M433)*(tblLotBalance[Lot Balance]&gt;0),0),0)),""))</f>
        <v/>
      </c>
      <c r="P433" s="28" t="str">
        <f>IF($A433="","",IF($I433&lt;0,"NEGATIVE",IF(NOT(ISNUMBER($F433)),"Set threshold",IF($I433&lt;=0,"OUT OF STOCK",IF($I433&lt;=$F433,"LOW",IF($I433&lt;=$F433*Settings!$C$7,"WATCH","OK"))))))</f>
        <v/>
      </c>
      <c r="Q433" s="29" t="str">
        <f>IF($A433="","",IF($P433="NEGATIVE","Issued more than received - add the missing receipt",IF($P433="OUT OF STOCK","Reorder immediately",IF($P433="LOW","Raise purchase order",IF($P433="Set threshold","Enter Critical Low in Items",IF(AND($N433&lt;&gt;"",$N433&lt;=0),"Quarantine expired lot",IF(AND($N433&lt;&gt;"",$N433&lt;=Settings!$C$6),"Use or rotate stock now","")))))))</f>
        <v/>
      </c>
    </row>
    <row r="434" spans="1:17" x14ac:dyDescent="0.35">
      <c r="A434" s="18" t="str">
        <f>IF(Items!$A431="","",Items!$A431)</f>
        <v/>
      </c>
      <c r="B434" s="18" t="str">
        <f>IF($A434="","",Items!$B431)</f>
        <v/>
      </c>
      <c r="C434" s="19" t="str">
        <f>IF($A434="","",Items!$G431)</f>
        <v/>
      </c>
      <c r="D434" s="20" t="str">
        <f>IF($A434="","",N(Items!$D431))</f>
        <v/>
      </c>
      <c r="E434" s="23" t="str">
        <f>IF($A434="","",Items!$E431)</f>
        <v/>
      </c>
      <c r="F434" s="23" t="str">
        <f>IF($A434="","",Items!$F431)</f>
        <v/>
      </c>
      <c r="G434" s="26" t="str">
        <f>IF($A434="","",SUMIFS(tblReceipts[Qty Received],tblReceipts[Item Name],$A434))</f>
        <v/>
      </c>
      <c r="H434" s="26" t="str">
        <f>IF($A434="","",SUMIFS(tblIssues[Qty Issued],tblIssues[Item Name],$A434))</f>
        <v/>
      </c>
      <c r="I434" s="27" t="str">
        <f t="shared" si="18"/>
        <v/>
      </c>
      <c r="J434" s="21" t="str">
        <f t="shared" si="19"/>
        <v/>
      </c>
      <c r="K434" s="26" t="str">
        <f>IF($A434="","",COUNTIFS(tblReceipts[Item Name],$A434))</f>
        <v/>
      </c>
      <c r="L434" s="26" t="str">
        <f>IF($A434="","",COUNTIFS(tblLotBalance[Item Name],$A434,tblLotBalance[Lot Balance],"&gt;0"))</f>
        <v/>
      </c>
      <c r="M434" s="24" t="str">
        <f>IF($A434="","",IF($L434=0,"",IFERROR(_xlfn.MINIFS(tblLotBalance[Expiry Date],tblLotBalance[Item Name],$A434,tblLotBalance[Lot Balance],"&gt;0"),"")))</f>
        <v/>
      </c>
      <c r="N434" s="26" t="str">
        <f t="shared" ca="1" si="20"/>
        <v/>
      </c>
      <c r="O434" s="18" t="str" cm="1">
        <f t="array" ref="O434">IF($M434="","",IFERROR(INDEX(tblLotBalance[Lot Number],MATCH(1,INDEX((tblLotBalance[Item Name]=$A434)*(tblLotBalance[Expiry Date]=$M434)*(tblLotBalance[Lot Balance]&gt;0),0),0)),""))</f>
        <v/>
      </c>
      <c r="P434" s="28" t="str">
        <f>IF($A434="","",IF($I434&lt;0,"NEGATIVE",IF(NOT(ISNUMBER($F434)),"Set threshold",IF($I434&lt;=0,"OUT OF STOCK",IF($I434&lt;=$F434,"LOW",IF($I434&lt;=$F434*Settings!$C$7,"WATCH","OK"))))))</f>
        <v/>
      </c>
      <c r="Q434" s="29" t="str">
        <f>IF($A434="","",IF($P434="NEGATIVE","Issued more than received - add the missing receipt",IF($P434="OUT OF STOCK","Reorder immediately",IF($P434="LOW","Raise purchase order",IF($P434="Set threshold","Enter Critical Low in Items",IF(AND($N434&lt;&gt;"",$N434&lt;=0),"Quarantine expired lot",IF(AND($N434&lt;&gt;"",$N434&lt;=Settings!$C$6),"Use or rotate stock now","")))))))</f>
        <v/>
      </c>
    </row>
    <row r="435" spans="1:17" x14ac:dyDescent="0.35">
      <c r="A435" s="18" t="str">
        <f>IF(Items!$A432="","",Items!$A432)</f>
        <v/>
      </c>
      <c r="B435" s="18" t="str">
        <f>IF($A435="","",Items!$B432)</f>
        <v/>
      </c>
      <c r="C435" s="19" t="str">
        <f>IF($A435="","",Items!$G432)</f>
        <v/>
      </c>
      <c r="D435" s="20" t="str">
        <f>IF($A435="","",N(Items!$D432))</f>
        <v/>
      </c>
      <c r="E435" s="23" t="str">
        <f>IF($A435="","",Items!$E432)</f>
        <v/>
      </c>
      <c r="F435" s="23" t="str">
        <f>IF($A435="","",Items!$F432)</f>
        <v/>
      </c>
      <c r="G435" s="26" t="str">
        <f>IF($A435="","",SUMIFS(tblReceipts[Qty Received],tblReceipts[Item Name],$A435))</f>
        <v/>
      </c>
      <c r="H435" s="26" t="str">
        <f>IF($A435="","",SUMIFS(tblIssues[Qty Issued],tblIssues[Item Name],$A435))</f>
        <v/>
      </c>
      <c r="I435" s="27" t="str">
        <f t="shared" si="18"/>
        <v/>
      </c>
      <c r="J435" s="21" t="str">
        <f t="shared" si="19"/>
        <v/>
      </c>
      <c r="K435" s="26" t="str">
        <f>IF($A435="","",COUNTIFS(tblReceipts[Item Name],$A435))</f>
        <v/>
      </c>
      <c r="L435" s="26" t="str">
        <f>IF($A435="","",COUNTIFS(tblLotBalance[Item Name],$A435,tblLotBalance[Lot Balance],"&gt;0"))</f>
        <v/>
      </c>
      <c r="M435" s="24" t="str">
        <f>IF($A435="","",IF($L435=0,"",IFERROR(_xlfn.MINIFS(tblLotBalance[Expiry Date],tblLotBalance[Item Name],$A435,tblLotBalance[Lot Balance],"&gt;0"),"")))</f>
        <v/>
      </c>
      <c r="N435" s="26" t="str">
        <f t="shared" ca="1" si="20"/>
        <v/>
      </c>
      <c r="O435" s="18" t="str" cm="1">
        <f t="array" ref="O435">IF($M435="","",IFERROR(INDEX(tblLotBalance[Lot Number],MATCH(1,INDEX((tblLotBalance[Item Name]=$A435)*(tblLotBalance[Expiry Date]=$M435)*(tblLotBalance[Lot Balance]&gt;0),0),0)),""))</f>
        <v/>
      </c>
      <c r="P435" s="28" t="str">
        <f>IF($A435="","",IF($I435&lt;0,"NEGATIVE",IF(NOT(ISNUMBER($F435)),"Set threshold",IF($I435&lt;=0,"OUT OF STOCK",IF($I435&lt;=$F435,"LOW",IF($I435&lt;=$F435*Settings!$C$7,"WATCH","OK"))))))</f>
        <v/>
      </c>
      <c r="Q435" s="29" t="str">
        <f>IF($A435="","",IF($P435="NEGATIVE","Issued more than received - add the missing receipt",IF($P435="OUT OF STOCK","Reorder immediately",IF($P435="LOW","Raise purchase order",IF($P435="Set threshold","Enter Critical Low in Items",IF(AND($N435&lt;&gt;"",$N435&lt;=0),"Quarantine expired lot",IF(AND($N435&lt;&gt;"",$N435&lt;=Settings!$C$6),"Use or rotate stock now","")))))))</f>
        <v/>
      </c>
    </row>
    <row r="436" spans="1:17" x14ac:dyDescent="0.35">
      <c r="A436" s="18" t="str">
        <f>IF(Items!$A433="","",Items!$A433)</f>
        <v/>
      </c>
      <c r="B436" s="18" t="str">
        <f>IF($A436="","",Items!$B433)</f>
        <v/>
      </c>
      <c r="C436" s="19" t="str">
        <f>IF($A436="","",Items!$G433)</f>
        <v/>
      </c>
      <c r="D436" s="20" t="str">
        <f>IF($A436="","",N(Items!$D433))</f>
        <v/>
      </c>
      <c r="E436" s="23" t="str">
        <f>IF($A436="","",Items!$E433)</f>
        <v/>
      </c>
      <c r="F436" s="23" t="str">
        <f>IF($A436="","",Items!$F433)</f>
        <v/>
      </c>
      <c r="G436" s="26" t="str">
        <f>IF($A436="","",SUMIFS(tblReceipts[Qty Received],tblReceipts[Item Name],$A436))</f>
        <v/>
      </c>
      <c r="H436" s="26" t="str">
        <f>IF($A436="","",SUMIFS(tblIssues[Qty Issued],tblIssues[Item Name],$A436))</f>
        <v/>
      </c>
      <c r="I436" s="27" t="str">
        <f t="shared" si="18"/>
        <v/>
      </c>
      <c r="J436" s="21" t="str">
        <f t="shared" si="19"/>
        <v/>
      </c>
      <c r="K436" s="26" t="str">
        <f>IF($A436="","",COUNTIFS(tblReceipts[Item Name],$A436))</f>
        <v/>
      </c>
      <c r="L436" s="26" t="str">
        <f>IF($A436="","",COUNTIFS(tblLotBalance[Item Name],$A436,tblLotBalance[Lot Balance],"&gt;0"))</f>
        <v/>
      </c>
      <c r="M436" s="24" t="str">
        <f>IF($A436="","",IF($L436=0,"",IFERROR(_xlfn.MINIFS(tblLotBalance[Expiry Date],tblLotBalance[Item Name],$A436,tblLotBalance[Lot Balance],"&gt;0"),"")))</f>
        <v/>
      </c>
      <c r="N436" s="26" t="str">
        <f t="shared" ca="1" si="20"/>
        <v/>
      </c>
      <c r="O436" s="18" t="str" cm="1">
        <f t="array" ref="O436">IF($M436="","",IFERROR(INDEX(tblLotBalance[Lot Number],MATCH(1,INDEX((tblLotBalance[Item Name]=$A436)*(tblLotBalance[Expiry Date]=$M436)*(tblLotBalance[Lot Balance]&gt;0),0),0)),""))</f>
        <v/>
      </c>
      <c r="P436" s="28" t="str">
        <f>IF($A436="","",IF($I436&lt;0,"NEGATIVE",IF(NOT(ISNUMBER($F436)),"Set threshold",IF($I436&lt;=0,"OUT OF STOCK",IF($I436&lt;=$F436,"LOW",IF($I436&lt;=$F436*Settings!$C$7,"WATCH","OK"))))))</f>
        <v/>
      </c>
      <c r="Q436" s="29" t="str">
        <f>IF($A436="","",IF($P436="NEGATIVE","Issued more than received - add the missing receipt",IF($P436="OUT OF STOCK","Reorder immediately",IF($P436="LOW","Raise purchase order",IF($P436="Set threshold","Enter Critical Low in Items",IF(AND($N436&lt;&gt;"",$N436&lt;=0),"Quarantine expired lot",IF(AND($N436&lt;&gt;"",$N436&lt;=Settings!$C$6),"Use or rotate stock now","")))))))</f>
        <v/>
      </c>
    </row>
    <row r="437" spans="1:17" x14ac:dyDescent="0.35">
      <c r="A437" s="18" t="str">
        <f>IF(Items!$A434="","",Items!$A434)</f>
        <v/>
      </c>
      <c r="B437" s="18" t="str">
        <f>IF($A437="","",Items!$B434)</f>
        <v/>
      </c>
      <c r="C437" s="19" t="str">
        <f>IF($A437="","",Items!$G434)</f>
        <v/>
      </c>
      <c r="D437" s="20" t="str">
        <f>IF($A437="","",N(Items!$D434))</f>
        <v/>
      </c>
      <c r="E437" s="23" t="str">
        <f>IF($A437="","",Items!$E434)</f>
        <v/>
      </c>
      <c r="F437" s="23" t="str">
        <f>IF($A437="","",Items!$F434)</f>
        <v/>
      </c>
      <c r="G437" s="26" t="str">
        <f>IF($A437="","",SUMIFS(tblReceipts[Qty Received],tblReceipts[Item Name],$A437))</f>
        <v/>
      </c>
      <c r="H437" s="26" t="str">
        <f>IF($A437="","",SUMIFS(tblIssues[Qty Issued],tblIssues[Item Name],$A437))</f>
        <v/>
      </c>
      <c r="I437" s="27" t="str">
        <f t="shared" si="18"/>
        <v/>
      </c>
      <c r="J437" s="21" t="str">
        <f t="shared" si="19"/>
        <v/>
      </c>
      <c r="K437" s="26" t="str">
        <f>IF($A437="","",COUNTIFS(tblReceipts[Item Name],$A437))</f>
        <v/>
      </c>
      <c r="L437" s="26" t="str">
        <f>IF($A437="","",COUNTIFS(tblLotBalance[Item Name],$A437,tblLotBalance[Lot Balance],"&gt;0"))</f>
        <v/>
      </c>
      <c r="M437" s="24" t="str">
        <f>IF($A437="","",IF($L437=0,"",IFERROR(_xlfn.MINIFS(tblLotBalance[Expiry Date],tblLotBalance[Item Name],$A437,tblLotBalance[Lot Balance],"&gt;0"),"")))</f>
        <v/>
      </c>
      <c r="N437" s="26" t="str">
        <f t="shared" ca="1" si="20"/>
        <v/>
      </c>
      <c r="O437" s="18" t="str" cm="1">
        <f t="array" ref="O437">IF($M437="","",IFERROR(INDEX(tblLotBalance[Lot Number],MATCH(1,INDEX((tblLotBalance[Item Name]=$A437)*(tblLotBalance[Expiry Date]=$M437)*(tblLotBalance[Lot Balance]&gt;0),0),0)),""))</f>
        <v/>
      </c>
      <c r="P437" s="28" t="str">
        <f>IF($A437="","",IF($I437&lt;0,"NEGATIVE",IF(NOT(ISNUMBER($F437)),"Set threshold",IF($I437&lt;=0,"OUT OF STOCK",IF($I437&lt;=$F437,"LOW",IF($I437&lt;=$F437*Settings!$C$7,"WATCH","OK"))))))</f>
        <v/>
      </c>
      <c r="Q437" s="29" t="str">
        <f>IF($A437="","",IF($P437="NEGATIVE","Issued more than received - add the missing receipt",IF($P437="OUT OF STOCK","Reorder immediately",IF($P437="LOW","Raise purchase order",IF($P437="Set threshold","Enter Critical Low in Items",IF(AND($N437&lt;&gt;"",$N437&lt;=0),"Quarantine expired lot",IF(AND($N437&lt;&gt;"",$N437&lt;=Settings!$C$6),"Use or rotate stock now","")))))))</f>
        <v/>
      </c>
    </row>
    <row r="438" spans="1:17" x14ac:dyDescent="0.35">
      <c r="A438" s="18" t="str">
        <f>IF(Items!$A435="","",Items!$A435)</f>
        <v/>
      </c>
      <c r="B438" s="18" t="str">
        <f>IF($A438="","",Items!$B435)</f>
        <v/>
      </c>
      <c r="C438" s="19" t="str">
        <f>IF($A438="","",Items!$G435)</f>
        <v/>
      </c>
      <c r="D438" s="20" t="str">
        <f>IF($A438="","",N(Items!$D435))</f>
        <v/>
      </c>
      <c r="E438" s="23" t="str">
        <f>IF($A438="","",Items!$E435)</f>
        <v/>
      </c>
      <c r="F438" s="23" t="str">
        <f>IF($A438="","",Items!$F435)</f>
        <v/>
      </c>
      <c r="G438" s="26" t="str">
        <f>IF($A438="","",SUMIFS(tblReceipts[Qty Received],tblReceipts[Item Name],$A438))</f>
        <v/>
      </c>
      <c r="H438" s="26" t="str">
        <f>IF($A438="","",SUMIFS(tblIssues[Qty Issued],tblIssues[Item Name],$A438))</f>
        <v/>
      </c>
      <c r="I438" s="27" t="str">
        <f t="shared" si="18"/>
        <v/>
      </c>
      <c r="J438" s="21" t="str">
        <f t="shared" si="19"/>
        <v/>
      </c>
      <c r="K438" s="26" t="str">
        <f>IF($A438="","",COUNTIFS(tblReceipts[Item Name],$A438))</f>
        <v/>
      </c>
      <c r="L438" s="26" t="str">
        <f>IF($A438="","",COUNTIFS(tblLotBalance[Item Name],$A438,tblLotBalance[Lot Balance],"&gt;0"))</f>
        <v/>
      </c>
      <c r="M438" s="24" t="str">
        <f>IF($A438="","",IF($L438=0,"",IFERROR(_xlfn.MINIFS(tblLotBalance[Expiry Date],tblLotBalance[Item Name],$A438,tblLotBalance[Lot Balance],"&gt;0"),"")))</f>
        <v/>
      </c>
      <c r="N438" s="26" t="str">
        <f t="shared" ca="1" si="20"/>
        <v/>
      </c>
      <c r="O438" s="18" t="str" cm="1">
        <f t="array" ref="O438">IF($M438="","",IFERROR(INDEX(tblLotBalance[Lot Number],MATCH(1,INDEX((tblLotBalance[Item Name]=$A438)*(tblLotBalance[Expiry Date]=$M438)*(tblLotBalance[Lot Balance]&gt;0),0),0)),""))</f>
        <v/>
      </c>
      <c r="P438" s="28" t="str">
        <f>IF($A438="","",IF($I438&lt;0,"NEGATIVE",IF(NOT(ISNUMBER($F438)),"Set threshold",IF($I438&lt;=0,"OUT OF STOCK",IF($I438&lt;=$F438,"LOW",IF($I438&lt;=$F438*Settings!$C$7,"WATCH","OK"))))))</f>
        <v/>
      </c>
      <c r="Q438" s="29" t="str">
        <f>IF($A438="","",IF($P438="NEGATIVE","Issued more than received - add the missing receipt",IF($P438="OUT OF STOCK","Reorder immediately",IF($P438="LOW","Raise purchase order",IF($P438="Set threshold","Enter Critical Low in Items",IF(AND($N438&lt;&gt;"",$N438&lt;=0),"Quarantine expired lot",IF(AND($N438&lt;&gt;"",$N438&lt;=Settings!$C$6),"Use or rotate stock now","")))))))</f>
        <v/>
      </c>
    </row>
    <row r="439" spans="1:17" x14ac:dyDescent="0.35">
      <c r="A439" s="18" t="str">
        <f>IF(Items!$A436="","",Items!$A436)</f>
        <v/>
      </c>
      <c r="B439" s="18" t="str">
        <f>IF($A439="","",Items!$B436)</f>
        <v/>
      </c>
      <c r="C439" s="19" t="str">
        <f>IF($A439="","",Items!$G436)</f>
        <v/>
      </c>
      <c r="D439" s="20" t="str">
        <f>IF($A439="","",N(Items!$D436))</f>
        <v/>
      </c>
      <c r="E439" s="23" t="str">
        <f>IF($A439="","",Items!$E436)</f>
        <v/>
      </c>
      <c r="F439" s="23" t="str">
        <f>IF($A439="","",Items!$F436)</f>
        <v/>
      </c>
      <c r="G439" s="26" t="str">
        <f>IF($A439="","",SUMIFS(tblReceipts[Qty Received],tblReceipts[Item Name],$A439))</f>
        <v/>
      </c>
      <c r="H439" s="26" t="str">
        <f>IF($A439="","",SUMIFS(tblIssues[Qty Issued],tblIssues[Item Name],$A439))</f>
        <v/>
      </c>
      <c r="I439" s="27" t="str">
        <f t="shared" si="18"/>
        <v/>
      </c>
      <c r="J439" s="21" t="str">
        <f t="shared" si="19"/>
        <v/>
      </c>
      <c r="K439" s="26" t="str">
        <f>IF($A439="","",COUNTIFS(tblReceipts[Item Name],$A439))</f>
        <v/>
      </c>
      <c r="L439" s="26" t="str">
        <f>IF($A439="","",COUNTIFS(tblLotBalance[Item Name],$A439,tblLotBalance[Lot Balance],"&gt;0"))</f>
        <v/>
      </c>
      <c r="M439" s="24" t="str">
        <f>IF($A439="","",IF($L439=0,"",IFERROR(_xlfn.MINIFS(tblLotBalance[Expiry Date],tblLotBalance[Item Name],$A439,tblLotBalance[Lot Balance],"&gt;0"),"")))</f>
        <v/>
      </c>
      <c r="N439" s="26" t="str">
        <f t="shared" ca="1" si="20"/>
        <v/>
      </c>
      <c r="O439" s="18" t="str" cm="1">
        <f t="array" ref="O439">IF($M439="","",IFERROR(INDEX(tblLotBalance[Lot Number],MATCH(1,INDEX((tblLotBalance[Item Name]=$A439)*(tblLotBalance[Expiry Date]=$M439)*(tblLotBalance[Lot Balance]&gt;0),0),0)),""))</f>
        <v/>
      </c>
      <c r="P439" s="28" t="str">
        <f>IF($A439="","",IF($I439&lt;0,"NEGATIVE",IF(NOT(ISNUMBER($F439)),"Set threshold",IF($I439&lt;=0,"OUT OF STOCK",IF($I439&lt;=$F439,"LOW",IF($I439&lt;=$F439*Settings!$C$7,"WATCH","OK"))))))</f>
        <v/>
      </c>
      <c r="Q439" s="29" t="str">
        <f>IF($A439="","",IF($P439="NEGATIVE","Issued more than received - add the missing receipt",IF($P439="OUT OF STOCK","Reorder immediately",IF($P439="LOW","Raise purchase order",IF($P439="Set threshold","Enter Critical Low in Items",IF(AND($N439&lt;&gt;"",$N439&lt;=0),"Quarantine expired lot",IF(AND($N439&lt;&gt;"",$N439&lt;=Settings!$C$6),"Use or rotate stock now","")))))))</f>
        <v/>
      </c>
    </row>
    <row r="440" spans="1:17" x14ac:dyDescent="0.35">
      <c r="A440" s="18" t="str">
        <f>IF(Items!$A437="","",Items!$A437)</f>
        <v/>
      </c>
      <c r="B440" s="18" t="str">
        <f>IF($A440="","",Items!$B437)</f>
        <v/>
      </c>
      <c r="C440" s="19" t="str">
        <f>IF($A440="","",Items!$G437)</f>
        <v/>
      </c>
      <c r="D440" s="20" t="str">
        <f>IF($A440="","",N(Items!$D437))</f>
        <v/>
      </c>
      <c r="E440" s="23" t="str">
        <f>IF($A440="","",Items!$E437)</f>
        <v/>
      </c>
      <c r="F440" s="23" t="str">
        <f>IF($A440="","",Items!$F437)</f>
        <v/>
      </c>
      <c r="G440" s="26" t="str">
        <f>IF($A440="","",SUMIFS(tblReceipts[Qty Received],tblReceipts[Item Name],$A440))</f>
        <v/>
      </c>
      <c r="H440" s="26" t="str">
        <f>IF($A440="","",SUMIFS(tblIssues[Qty Issued],tblIssues[Item Name],$A440))</f>
        <v/>
      </c>
      <c r="I440" s="27" t="str">
        <f t="shared" si="18"/>
        <v/>
      </c>
      <c r="J440" s="21" t="str">
        <f t="shared" si="19"/>
        <v/>
      </c>
      <c r="K440" s="26" t="str">
        <f>IF($A440="","",COUNTIFS(tblReceipts[Item Name],$A440))</f>
        <v/>
      </c>
      <c r="L440" s="26" t="str">
        <f>IF($A440="","",COUNTIFS(tblLotBalance[Item Name],$A440,tblLotBalance[Lot Balance],"&gt;0"))</f>
        <v/>
      </c>
      <c r="M440" s="24" t="str">
        <f>IF($A440="","",IF($L440=0,"",IFERROR(_xlfn.MINIFS(tblLotBalance[Expiry Date],tblLotBalance[Item Name],$A440,tblLotBalance[Lot Balance],"&gt;0"),"")))</f>
        <v/>
      </c>
      <c r="N440" s="26" t="str">
        <f t="shared" ca="1" si="20"/>
        <v/>
      </c>
      <c r="O440" s="18" t="str" cm="1">
        <f t="array" ref="O440">IF($M440="","",IFERROR(INDEX(tblLotBalance[Lot Number],MATCH(1,INDEX((tblLotBalance[Item Name]=$A440)*(tblLotBalance[Expiry Date]=$M440)*(tblLotBalance[Lot Balance]&gt;0),0),0)),""))</f>
        <v/>
      </c>
      <c r="P440" s="28" t="str">
        <f>IF($A440="","",IF($I440&lt;0,"NEGATIVE",IF(NOT(ISNUMBER($F440)),"Set threshold",IF($I440&lt;=0,"OUT OF STOCK",IF($I440&lt;=$F440,"LOW",IF($I440&lt;=$F440*Settings!$C$7,"WATCH","OK"))))))</f>
        <v/>
      </c>
      <c r="Q440" s="29" t="str">
        <f>IF($A440="","",IF($P440="NEGATIVE","Issued more than received - add the missing receipt",IF($P440="OUT OF STOCK","Reorder immediately",IF($P440="LOW","Raise purchase order",IF($P440="Set threshold","Enter Critical Low in Items",IF(AND($N440&lt;&gt;"",$N440&lt;=0),"Quarantine expired lot",IF(AND($N440&lt;&gt;"",$N440&lt;=Settings!$C$6),"Use or rotate stock now","")))))))</f>
        <v/>
      </c>
    </row>
    <row r="441" spans="1:17" x14ac:dyDescent="0.35">
      <c r="A441" s="18" t="str">
        <f>IF(Items!$A438="","",Items!$A438)</f>
        <v/>
      </c>
      <c r="B441" s="18" t="str">
        <f>IF($A441="","",Items!$B438)</f>
        <v/>
      </c>
      <c r="C441" s="19" t="str">
        <f>IF($A441="","",Items!$G438)</f>
        <v/>
      </c>
      <c r="D441" s="20" t="str">
        <f>IF($A441="","",N(Items!$D438))</f>
        <v/>
      </c>
      <c r="E441" s="23" t="str">
        <f>IF($A441="","",Items!$E438)</f>
        <v/>
      </c>
      <c r="F441" s="23" t="str">
        <f>IF($A441="","",Items!$F438)</f>
        <v/>
      </c>
      <c r="G441" s="26" t="str">
        <f>IF($A441="","",SUMIFS(tblReceipts[Qty Received],tblReceipts[Item Name],$A441))</f>
        <v/>
      </c>
      <c r="H441" s="26" t="str">
        <f>IF($A441="","",SUMIFS(tblIssues[Qty Issued],tblIssues[Item Name],$A441))</f>
        <v/>
      </c>
      <c r="I441" s="27" t="str">
        <f t="shared" si="18"/>
        <v/>
      </c>
      <c r="J441" s="21" t="str">
        <f t="shared" si="19"/>
        <v/>
      </c>
      <c r="K441" s="26" t="str">
        <f>IF($A441="","",COUNTIFS(tblReceipts[Item Name],$A441))</f>
        <v/>
      </c>
      <c r="L441" s="26" t="str">
        <f>IF($A441="","",COUNTIFS(tblLotBalance[Item Name],$A441,tblLotBalance[Lot Balance],"&gt;0"))</f>
        <v/>
      </c>
      <c r="M441" s="24" t="str">
        <f>IF($A441="","",IF($L441=0,"",IFERROR(_xlfn.MINIFS(tblLotBalance[Expiry Date],tblLotBalance[Item Name],$A441,tblLotBalance[Lot Balance],"&gt;0"),"")))</f>
        <v/>
      </c>
      <c r="N441" s="26" t="str">
        <f t="shared" ca="1" si="20"/>
        <v/>
      </c>
      <c r="O441" s="18" t="str" cm="1">
        <f t="array" ref="O441">IF($M441="","",IFERROR(INDEX(tblLotBalance[Lot Number],MATCH(1,INDEX((tblLotBalance[Item Name]=$A441)*(tblLotBalance[Expiry Date]=$M441)*(tblLotBalance[Lot Balance]&gt;0),0),0)),""))</f>
        <v/>
      </c>
      <c r="P441" s="28" t="str">
        <f>IF($A441="","",IF($I441&lt;0,"NEGATIVE",IF(NOT(ISNUMBER($F441)),"Set threshold",IF($I441&lt;=0,"OUT OF STOCK",IF($I441&lt;=$F441,"LOW",IF($I441&lt;=$F441*Settings!$C$7,"WATCH","OK"))))))</f>
        <v/>
      </c>
      <c r="Q441" s="29" t="str">
        <f>IF($A441="","",IF($P441="NEGATIVE","Issued more than received - add the missing receipt",IF($P441="OUT OF STOCK","Reorder immediately",IF($P441="LOW","Raise purchase order",IF($P441="Set threshold","Enter Critical Low in Items",IF(AND($N441&lt;&gt;"",$N441&lt;=0),"Quarantine expired lot",IF(AND($N441&lt;&gt;"",$N441&lt;=Settings!$C$6),"Use or rotate stock now","")))))))</f>
        <v/>
      </c>
    </row>
    <row r="442" spans="1:17" x14ac:dyDescent="0.35">
      <c r="A442" s="18" t="str">
        <f>IF(Items!$A439="","",Items!$A439)</f>
        <v/>
      </c>
      <c r="B442" s="18" t="str">
        <f>IF($A442="","",Items!$B439)</f>
        <v/>
      </c>
      <c r="C442" s="19" t="str">
        <f>IF($A442="","",Items!$G439)</f>
        <v/>
      </c>
      <c r="D442" s="20" t="str">
        <f>IF($A442="","",N(Items!$D439))</f>
        <v/>
      </c>
      <c r="E442" s="23" t="str">
        <f>IF($A442="","",Items!$E439)</f>
        <v/>
      </c>
      <c r="F442" s="23" t="str">
        <f>IF($A442="","",Items!$F439)</f>
        <v/>
      </c>
      <c r="G442" s="26" t="str">
        <f>IF($A442="","",SUMIFS(tblReceipts[Qty Received],tblReceipts[Item Name],$A442))</f>
        <v/>
      </c>
      <c r="H442" s="26" t="str">
        <f>IF($A442="","",SUMIFS(tblIssues[Qty Issued],tblIssues[Item Name],$A442))</f>
        <v/>
      </c>
      <c r="I442" s="27" t="str">
        <f t="shared" si="18"/>
        <v/>
      </c>
      <c r="J442" s="21" t="str">
        <f t="shared" si="19"/>
        <v/>
      </c>
      <c r="K442" s="26" t="str">
        <f>IF($A442="","",COUNTIFS(tblReceipts[Item Name],$A442))</f>
        <v/>
      </c>
      <c r="L442" s="26" t="str">
        <f>IF($A442="","",COUNTIFS(tblLotBalance[Item Name],$A442,tblLotBalance[Lot Balance],"&gt;0"))</f>
        <v/>
      </c>
      <c r="M442" s="24" t="str">
        <f>IF($A442="","",IF($L442=0,"",IFERROR(_xlfn.MINIFS(tblLotBalance[Expiry Date],tblLotBalance[Item Name],$A442,tblLotBalance[Lot Balance],"&gt;0"),"")))</f>
        <v/>
      </c>
      <c r="N442" s="26" t="str">
        <f t="shared" ca="1" si="20"/>
        <v/>
      </c>
      <c r="O442" s="18" t="str" cm="1">
        <f t="array" ref="O442">IF($M442="","",IFERROR(INDEX(tblLotBalance[Lot Number],MATCH(1,INDEX((tblLotBalance[Item Name]=$A442)*(tblLotBalance[Expiry Date]=$M442)*(tblLotBalance[Lot Balance]&gt;0),0),0)),""))</f>
        <v/>
      </c>
      <c r="P442" s="28" t="str">
        <f>IF($A442="","",IF($I442&lt;0,"NEGATIVE",IF(NOT(ISNUMBER($F442)),"Set threshold",IF($I442&lt;=0,"OUT OF STOCK",IF($I442&lt;=$F442,"LOW",IF($I442&lt;=$F442*Settings!$C$7,"WATCH","OK"))))))</f>
        <v/>
      </c>
      <c r="Q442" s="29" t="str">
        <f>IF($A442="","",IF($P442="NEGATIVE","Issued more than received - add the missing receipt",IF($P442="OUT OF STOCK","Reorder immediately",IF($P442="LOW","Raise purchase order",IF($P442="Set threshold","Enter Critical Low in Items",IF(AND($N442&lt;&gt;"",$N442&lt;=0),"Quarantine expired lot",IF(AND($N442&lt;&gt;"",$N442&lt;=Settings!$C$6),"Use or rotate stock now","")))))))</f>
        <v/>
      </c>
    </row>
    <row r="443" spans="1:17" x14ac:dyDescent="0.35">
      <c r="A443" s="18" t="str">
        <f>IF(Items!$A440="","",Items!$A440)</f>
        <v/>
      </c>
      <c r="B443" s="18" t="str">
        <f>IF($A443="","",Items!$B440)</f>
        <v/>
      </c>
      <c r="C443" s="19" t="str">
        <f>IF($A443="","",Items!$G440)</f>
        <v/>
      </c>
      <c r="D443" s="20" t="str">
        <f>IF($A443="","",N(Items!$D440))</f>
        <v/>
      </c>
      <c r="E443" s="23" t="str">
        <f>IF($A443="","",Items!$E440)</f>
        <v/>
      </c>
      <c r="F443" s="23" t="str">
        <f>IF($A443="","",Items!$F440)</f>
        <v/>
      </c>
      <c r="G443" s="26" t="str">
        <f>IF($A443="","",SUMIFS(tblReceipts[Qty Received],tblReceipts[Item Name],$A443))</f>
        <v/>
      </c>
      <c r="H443" s="26" t="str">
        <f>IF($A443="","",SUMIFS(tblIssues[Qty Issued],tblIssues[Item Name],$A443))</f>
        <v/>
      </c>
      <c r="I443" s="27" t="str">
        <f t="shared" si="18"/>
        <v/>
      </c>
      <c r="J443" s="21" t="str">
        <f t="shared" si="19"/>
        <v/>
      </c>
      <c r="K443" s="26" t="str">
        <f>IF($A443="","",COUNTIFS(tblReceipts[Item Name],$A443))</f>
        <v/>
      </c>
      <c r="L443" s="26" t="str">
        <f>IF($A443="","",COUNTIFS(tblLotBalance[Item Name],$A443,tblLotBalance[Lot Balance],"&gt;0"))</f>
        <v/>
      </c>
      <c r="M443" s="24" t="str">
        <f>IF($A443="","",IF($L443=0,"",IFERROR(_xlfn.MINIFS(tblLotBalance[Expiry Date],tblLotBalance[Item Name],$A443,tblLotBalance[Lot Balance],"&gt;0"),"")))</f>
        <v/>
      </c>
      <c r="N443" s="26" t="str">
        <f t="shared" ca="1" si="20"/>
        <v/>
      </c>
      <c r="O443" s="18" t="str" cm="1">
        <f t="array" ref="O443">IF($M443="","",IFERROR(INDEX(tblLotBalance[Lot Number],MATCH(1,INDEX((tblLotBalance[Item Name]=$A443)*(tblLotBalance[Expiry Date]=$M443)*(tblLotBalance[Lot Balance]&gt;0),0),0)),""))</f>
        <v/>
      </c>
      <c r="P443" s="28" t="str">
        <f>IF($A443="","",IF($I443&lt;0,"NEGATIVE",IF(NOT(ISNUMBER($F443)),"Set threshold",IF($I443&lt;=0,"OUT OF STOCK",IF($I443&lt;=$F443,"LOW",IF($I443&lt;=$F443*Settings!$C$7,"WATCH","OK"))))))</f>
        <v/>
      </c>
      <c r="Q443" s="29" t="str">
        <f>IF($A443="","",IF($P443="NEGATIVE","Issued more than received - add the missing receipt",IF($P443="OUT OF STOCK","Reorder immediately",IF($P443="LOW","Raise purchase order",IF($P443="Set threshold","Enter Critical Low in Items",IF(AND($N443&lt;&gt;"",$N443&lt;=0),"Quarantine expired lot",IF(AND($N443&lt;&gt;"",$N443&lt;=Settings!$C$6),"Use or rotate stock now","")))))))</f>
        <v/>
      </c>
    </row>
    <row r="444" spans="1:17" x14ac:dyDescent="0.35">
      <c r="A444" s="18" t="str">
        <f>IF(Items!$A441="","",Items!$A441)</f>
        <v/>
      </c>
      <c r="B444" s="18" t="str">
        <f>IF($A444="","",Items!$B441)</f>
        <v/>
      </c>
      <c r="C444" s="19" t="str">
        <f>IF($A444="","",Items!$G441)</f>
        <v/>
      </c>
      <c r="D444" s="20" t="str">
        <f>IF($A444="","",N(Items!$D441))</f>
        <v/>
      </c>
      <c r="E444" s="23" t="str">
        <f>IF($A444="","",Items!$E441)</f>
        <v/>
      </c>
      <c r="F444" s="23" t="str">
        <f>IF($A444="","",Items!$F441)</f>
        <v/>
      </c>
      <c r="G444" s="26" t="str">
        <f>IF($A444="","",SUMIFS(tblReceipts[Qty Received],tblReceipts[Item Name],$A444))</f>
        <v/>
      </c>
      <c r="H444" s="26" t="str">
        <f>IF($A444="","",SUMIFS(tblIssues[Qty Issued],tblIssues[Item Name],$A444))</f>
        <v/>
      </c>
      <c r="I444" s="27" t="str">
        <f t="shared" si="18"/>
        <v/>
      </c>
      <c r="J444" s="21" t="str">
        <f t="shared" si="19"/>
        <v/>
      </c>
      <c r="K444" s="26" t="str">
        <f>IF($A444="","",COUNTIFS(tblReceipts[Item Name],$A444))</f>
        <v/>
      </c>
      <c r="L444" s="26" t="str">
        <f>IF($A444="","",COUNTIFS(tblLotBalance[Item Name],$A444,tblLotBalance[Lot Balance],"&gt;0"))</f>
        <v/>
      </c>
      <c r="M444" s="24" t="str">
        <f>IF($A444="","",IF($L444=0,"",IFERROR(_xlfn.MINIFS(tblLotBalance[Expiry Date],tblLotBalance[Item Name],$A444,tblLotBalance[Lot Balance],"&gt;0"),"")))</f>
        <v/>
      </c>
      <c r="N444" s="26" t="str">
        <f t="shared" ca="1" si="20"/>
        <v/>
      </c>
      <c r="O444" s="18" t="str" cm="1">
        <f t="array" ref="O444">IF($M444="","",IFERROR(INDEX(tblLotBalance[Lot Number],MATCH(1,INDEX((tblLotBalance[Item Name]=$A444)*(tblLotBalance[Expiry Date]=$M444)*(tblLotBalance[Lot Balance]&gt;0),0),0)),""))</f>
        <v/>
      </c>
      <c r="P444" s="28" t="str">
        <f>IF($A444="","",IF($I444&lt;0,"NEGATIVE",IF(NOT(ISNUMBER($F444)),"Set threshold",IF($I444&lt;=0,"OUT OF STOCK",IF($I444&lt;=$F444,"LOW",IF($I444&lt;=$F444*Settings!$C$7,"WATCH","OK"))))))</f>
        <v/>
      </c>
      <c r="Q444" s="29" t="str">
        <f>IF($A444="","",IF($P444="NEGATIVE","Issued more than received - add the missing receipt",IF($P444="OUT OF STOCK","Reorder immediately",IF($P444="LOW","Raise purchase order",IF($P444="Set threshold","Enter Critical Low in Items",IF(AND($N444&lt;&gt;"",$N444&lt;=0),"Quarantine expired lot",IF(AND($N444&lt;&gt;"",$N444&lt;=Settings!$C$6),"Use or rotate stock now","")))))))</f>
        <v/>
      </c>
    </row>
    <row r="445" spans="1:17" x14ac:dyDescent="0.35">
      <c r="A445" s="18" t="str">
        <f>IF(Items!$A442="","",Items!$A442)</f>
        <v/>
      </c>
      <c r="B445" s="18" t="str">
        <f>IF($A445="","",Items!$B442)</f>
        <v/>
      </c>
      <c r="C445" s="19" t="str">
        <f>IF($A445="","",Items!$G442)</f>
        <v/>
      </c>
      <c r="D445" s="20" t="str">
        <f>IF($A445="","",N(Items!$D442))</f>
        <v/>
      </c>
      <c r="E445" s="23" t="str">
        <f>IF($A445="","",Items!$E442)</f>
        <v/>
      </c>
      <c r="F445" s="23" t="str">
        <f>IF($A445="","",Items!$F442)</f>
        <v/>
      </c>
      <c r="G445" s="26" t="str">
        <f>IF($A445="","",SUMIFS(tblReceipts[Qty Received],tblReceipts[Item Name],$A445))</f>
        <v/>
      </c>
      <c r="H445" s="26" t="str">
        <f>IF($A445="","",SUMIFS(tblIssues[Qty Issued],tblIssues[Item Name],$A445))</f>
        <v/>
      </c>
      <c r="I445" s="27" t="str">
        <f t="shared" si="18"/>
        <v/>
      </c>
      <c r="J445" s="21" t="str">
        <f t="shared" si="19"/>
        <v/>
      </c>
      <c r="K445" s="26" t="str">
        <f>IF($A445="","",COUNTIFS(tblReceipts[Item Name],$A445))</f>
        <v/>
      </c>
      <c r="L445" s="26" t="str">
        <f>IF($A445="","",COUNTIFS(tblLotBalance[Item Name],$A445,tblLotBalance[Lot Balance],"&gt;0"))</f>
        <v/>
      </c>
      <c r="M445" s="24" t="str">
        <f>IF($A445="","",IF($L445=0,"",IFERROR(_xlfn.MINIFS(tblLotBalance[Expiry Date],tblLotBalance[Item Name],$A445,tblLotBalance[Lot Balance],"&gt;0"),"")))</f>
        <v/>
      </c>
      <c r="N445" s="26" t="str">
        <f t="shared" ca="1" si="20"/>
        <v/>
      </c>
      <c r="O445" s="18" t="str" cm="1">
        <f t="array" ref="O445">IF($M445="","",IFERROR(INDEX(tblLotBalance[Lot Number],MATCH(1,INDEX((tblLotBalance[Item Name]=$A445)*(tblLotBalance[Expiry Date]=$M445)*(tblLotBalance[Lot Balance]&gt;0),0),0)),""))</f>
        <v/>
      </c>
      <c r="P445" s="28" t="str">
        <f>IF($A445="","",IF($I445&lt;0,"NEGATIVE",IF(NOT(ISNUMBER($F445)),"Set threshold",IF($I445&lt;=0,"OUT OF STOCK",IF($I445&lt;=$F445,"LOW",IF($I445&lt;=$F445*Settings!$C$7,"WATCH","OK"))))))</f>
        <v/>
      </c>
      <c r="Q445" s="29" t="str">
        <f>IF($A445="","",IF($P445="NEGATIVE","Issued more than received - add the missing receipt",IF($P445="OUT OF STOCK","Reorder immediately",IF($P445="LOW","Raise purchase order",IF($P445="Set threshold","Enter Critical Low in Items",IF(AND($N445&lt;&gt;"",$N445&lt;=0),"Quarantine expired lot",IF(AND($N445&lt;&gt;"",$N445&lt;=Settings!$C$6),"Use or rotate stock now","")))))))</f>
        <v/>
      </c>
    </row>
    <row r="446" spans="1:17" x14ac:dyDescent="0.35">
      <c r="A446" s="18" t="str">
        <f>IF(Items!$A443="","",Items!$A443)</f>
        <v/>
      </c>
      <c r="B446" s="18" t="str">
        <f>IF($A446="","",Items!$B443)</f>
        <v/>
      </c>
      <c r="C446" s="19" t="str">
        <f>IF($A446="","",Items!$G443)</f>
        <v/>
      </c>
      <c r="D446" s="20" t="str">
        <f>IF($A446="","",N(Items!$D443))</f>
        <v/>
      </c>
      <c r="E446" s="23" t="str">
        <f>IF($A446="","",Items!$E443)</f>
        <v/>
      </c>
      <c r="F446" s="23" t="str">
        <f>IF($A446="","",Items!$F443)</f>
        <v/>
      </c>
      <c r="G446" s="26" t="str">
        <f>IF($A446="","",SUMIFS(tblReceipts[Qty Received],tblReceipts[Item Name],$A446))</f>
        <v/>
      </c>
      <c r="H446" s="26" t="str">
        <f>IF($A446="","",SUMIFS(tblIssues[Qty Issued],tblIssues[Item Name],$A446))</f>
        <v/>
      </c>
      <c r="I446" s="27" t="str">
        <f t="shared" si="18"/>
        <v/>
      </c>
      <c r="J446" s="21" t="str">
        <f t="shared" si="19"/>
        <v/>
      </c>
      <c r="K446" s="26" t="str">
        <f>IF($A446="","",COUNTIFS(tblReceipts[Item Name],$A446))</f>
        <v/>
      </c>
      <c r="L446" s="26" t="str">
        <f>IF($A446="","",COUNTIFS(tblLotBalance[Item Name],$A446,tblLotBalance[Lot Balance],"&gt;0"))</f>
        <v/>
      </c>
      <c r="M446" s="24" t="str">
        <f>IF($A446="","",IF($L446=0,"",IFERROR(_xlfn.MINIFS(tblLotBalance[Expiry Date],tblLotBalance[Item Name],$A446,tblLotBalance[Lot Balance],"&gt;0"),"")))</f>
        <v/>
      </c>
      <c r="N446" s="26" t="str">
        <f t="shared" ca="1" si="20"/>
        <v/>
      </c>
      <c r="O446" s="18" t="str" cm="1">
        <f t="array" ref="O446">IF($M446="","",IFERROR(INDEX(tblLotBalance[Lot Number],MATCH(1,INDEX((tblLotBalance[Item Name]=$A446)*(tblLotBalance[Expiry Date]=$M446)*(tblLotBalance[Lot Balance]&gt;0),0),0)),""))</f>
        <v/>
      </c>
      <c r="P446" s="28" t="str">
        <f>IF($A446="","",IF($I446&lt;0,"NEGATIVE",IF(NOT(ISNUMBER($F446)),"Set threshold",IF($I446&lt;=0,"OUT OF STOCK",IF($I446&lt;=$F446,"LOW",IF($I446&lt;=$F446*Settings!$C$7,"WATCH","OK"))))))</f>
        <v/>
      </c>
      <c r="Q446" s="29" t="str">
        <f>IF($A446="","",IF($P446="NEGATIVE","Issued more than received - add the missing receipt",IF($P446="OUT OF STOCK","Reorder immediately",IF($P446="LOW","Raise purchase order",IF($P446="Set threshold","Enter Critical Low in Items",IF(AND($N446&lt;&gt;"",$N446&lt;=0),"Quarantine expired lot",IF(AND($N446&lt;&gt;"",$N446&lt;=Settings!$C$6),"Use or rotate stock now","")))))))</f>
        <v/>
      </c>
    </row>
    <row r="447" spans="1:17" x14ac:dyDescent="0.35">
      <c r="A447" s="18" t="str">
        <f>IF(Items!$A444="","",Items!$A444)</f>
        <v/>
      </c>
      <c r="B447" s="18" t="str">
        <f>IF($A447="","",Items!$B444)</f>
        <v/>
      </c>
      <c r="C447" s="19" t="str">
        <f>IF($A447="","",Items!$G444)</f>
        <v/>
      </c>
      <c r="D447" s="20" t="str">
        <f>IF($A447="","",N(Items!$D444))</f>
        <v/>
      </c>
      <c r="E447" s="23" t="str">
        <f>IF($A447="","",Items!$E444)</f>
        <v/>
      </c>
      <c r="F447" s="23" t="str">
        <f>IF($A447="","",Items!$F444)</f>
        <v/>
      </c>
      <c r="G447" s="26" t="str">
        <f>IF($A447="","",SUMIFS(tblReceipts[Qty Received],tblReceipts[Item Name],$A447))</f>
        <v/>
      </c>
      <c r="H447" s="26" t="str">
        <f>IF($A447="","",SUMIFS(tblIssues[Qty Issued],tblIssues[Item Name],$A447))</f>
        <v/>
      </c>
      <c r="I447" s="27" t="str">
        <f t="shared" si="18"/>
        <v/>
      </c>
      <c r="J447" s="21" t="str">
        <f t="shared" si="19"/>
        <v/>
      </c>
      <c r="K447" s="26" t="str">
        <f>IF($A447="","",COUNTIFS(tblReceipts[Item Name],$A447))</f>
        <v/>
      </c>
      <c r="L447" s="26" t="str">
        <f>IF($A447="","",COUNTIFS(tblLotBalance[Item Name],$A447,tblLotBalance[Lot Balance],"&gt;0"))</f>
        <v/>
      </c>
      <c r="M447" s="24" t="str">
        <f>IF($A447="","",IF($L447=0,"",IFERROR(_xlfn.MINIFS(tblLotBalance[Expiry Date],tblLotBalance[Item Name],$A447,tblLotBalance[Lot Balance],"&gt;0"),"")))</f>
        <v/>
      </c>
      <c r="N447" s="26" t="str">
        <f t="shared" ca="1" si="20"/>
        <v/>
      </c>
      <c r="O447" s="18" t="str" cm="1">
        <f t="array" ref="O447">IF($M447="","",IFERROR(INDEX(tblLotBalance[Lot Number],MATCH(1,INDEX((tblLotBalance[Item Name]=$A447)*(tblLotBalance[Expiry Date]=$M447)*(tblLotBalance[Lot Balance]&gt;0),0),0)),""))</f>
        <v/>
      </c>
      <c r="P447" s="28" t="str">
        <f>IF($A447="","",IF($I447&lt;0,"NEGATIVE",IF(NOT(ISNUMBER($F447)),"Set threshold",IF($I447&lt;=0,"OUT OF STOCK",IF($I447&lt;=$F447,"LOW",IF($I447&lt;=$F447*Settings!$C$7,"WATCH","OK"))))))</f>
        <v/>
      </c>
      <c r="Q447" s="29" t="str">
        <f>IF($A447="","",IF($P447="NEGATIVE","Issued more than received - add the missing receipt",IF($P447="OUT OF STOCK","Reorder immediately",IF($P447="LOW","Raise purchase order",IF($P447="Set threshold","Enter Critical Low in Items",IF(AND($N447&lt;&gt;"",$N447&lt;=0),"Quarantine expired lot",IF(AND($N447&lt;&gt;"",$N447&lt;=Settings!$C$6),"Use or rotate stock now","")))))))</f>
        <v/>
      </c>
    </row>
    <row r="448" spans="1:17" x14ac:dyDescent="0.35">
      <c r="A448" s="18" t="str">
        <f>IF(Items!$A445="","",Items!$A445)</f>
        <v/>
      </c>
      <c r="B448" s="18" t="str">
        <f>IF($A448="","",Items!$B445)</f>
        <v/>
      </c>
      <c r="C448" s="19" t="str">
        <f>IF($A448="","",Items!$G445)</f>
        <v/>
      </c>
      <c r="D448" s="20" t="str">
        <f>IF($A448="","",N(Items!$D445))</f>
        <v/>
      </c>
      <c r="E448" s="23" t="str">
        <f>IF($A448="","",Items!$E445)</f>
        <v/>
      </c>
      <c r="F448" s="23" t="str">
        <f>IF($A448="","",Items!$F445)</f>
        <v/>
      </c>
      <c r="G448" s="26" t="str">
        <f>IF($A448="","",SUMIFS(tblReceipts[Qty Received],tblReceipts[Item Name],$A448))</f>
        <v/>
      </c>
      <c r="H448" s="26" t="str">
        <f>IF($A448="","",SUMIFS(tblIssues[Qty Issued],tblIssues[Item Name],$A448))</f>
        <v/>
      </c>
      <c r="I448" s="27" t="str">
        <f t="shared" si="18"/>
        <v/>
      </c>
      <c r="J448" s="21" t="str">
        <f t="shared" si="19"/>
        <v/>
      </c>
      <c r="K448" s="26" t="str">
        <f>IF($A448="","",COUNTIFS(tblReceipts[Item Name],$A448))</f>
        <v/>
      </c>
      <c r="L448" s="26" t="str">
        <f>IF($A448="","",COUNTIFS(tblLotBalance[Item Name],$A448,tblLotBalance[Lot Balance],"&gt;0"))</f>
        <v/>
      </c>
      <c r="M448" s="24" t="str">
        <f>IF($A448="","",IF($L448=0,"",IFERROR(_xlfn.MINIFS(tblLotBalance[Expiry Date],tblLotBalance[Item Name],$A448,tblLotBalance[Lot Balance],"&gt;0"),"")))</f>
        <v/>
      </c>
      <c r="N448" s="26" t="str">
        <f t="shared" ca="1" si="20"/>
        <v/>
      </c>
      <c r="O448" s="18" t="str" cm="1">
        <f t="array" ref="O448">IF($M448="","",IFERROR(INDEX(tblLotBalance[Lot Number],MATCH(1,INDEX((tblLotBalance[Item Name]=$A448)*(tblLotBalance[Expiry Date]=$M448)*(tblLotBalance[Lot Balance]&gt;0),0),0)),""))</f>
        <v/>
      </c>
      <c r="P448" s="28" t="str">
        <f>IF($A448="","",IF($I448&lt;0,"NEGATIVE",IF(NOT(ISNUMBER($F448)),"Set threshold",IF($I448&lt;=0,"OUT OF STOCK",IF($I448&lt;=$F448,"LOW",IF($I448&lt;=$F448*Settings!$C$7,"WATCH","OK"))))))</f>
        <v/>
      </c>
      <c r="Q448" s="29" t="str">
        <f>IF($A448="","",IF($P448="NEGATIVE","Issued more than received - add the missing receipt",IF($P448="OUT OF STOCK","Reorder immediately",IF($P448="LOW","Raise purchase order",IF($P448="Set threshold","Enter Critical Low in Items",IF(AND($N448&lt;&gt;"",$N448&lt;=0),"Quarantine expired lot",IF(AND($N448&lt;&gt;"",$N448&lt;=Settings!$C$6),"Use or rotate stock now","")))))))</f>
        <v/>
      </c>
    </row>
    <row r="449" spans="1:17" x14ac:dyDescent="0.35">
      <c r="A449" s="18" t="str">
        <f>IF(Items!$A446="","",Items!$A446)</f>
        <v/>
      </c>
      <c r="B449" s="18" t="str">
        <f>IF($A449="","",Items!$B446)</f>
        <v/>
      </c>
      <c r="C449" s="19" t="str">
        <f>IF($A449="","",Items!$G446)</f>
        <v/>
      </c>
      <c r="D449" s="20" t="str">
        <f>IF($A449="","",N(Items!$D446))</f>
        <v/>
      </c>
      <c r="E449" s="23" t="str">
        <f>IF($A449="","",Items!$E446)</f>
        <v/>
      </c>
      <c r="F449" s="23" t="str">
        <f>IF($A449="","",Items!$F446)</f>
        <v/>
      </c>
      <c r="G449" s="26" t="str">
        <f>IF($A449="","",SUMIFS(tblReceipts[Qty Received],tblReceipts[Item Name],$A449))</f>
        <v/>
      </c>
      <c r="H449" s="26" t="str">
        <f>IF($A449="","",SUMIFS(tblIssues[Qty Issued],tblIssues[Item Name],$A449))</f>
        <v/>
      </c>
      <c r="I449" s="27" t="str">
        <f t="shared" si="18"/>
        <v/>
      </c>
      <c r="J449" s="21" t="str">
        <f t="shared" si="19"/>
        <v/>
      </c>
      <c r="K449" s="26" t="str">
        <f>IF($A449="","",COUNTIFS(tblReceipts[Item Name],$A449))</f>
        <v/>
      </c>
      <c r="L449" s="26" t="str">
        <f>IF($A449="","",COUNTIFS(tblLotBalance[Item Name],$A449,tblLotBalance[Lot Balance],"&gt;0"))</f>
        <v/>
      </c>
      <c r="M449" s="24" t="str">
        <f>IF($A449="","",IF($L449=0,"",IFERROR(_xlfn.MINIFS(tblLotBalance[Expiry Date],tblLotBalance[Item Name],$A449,tblLotBalance[Lot Balance],"&gt;0"),"")))</f>
        <v/>
      </c>
      <c r="N449" s="26" t="str">
        <f t="shared" ca="1" si="20"/>
        <v/>
      </c>
      <c r="O449" s="18" t="str" cm="1">
        <f t="array" ref="O449">IF($M449="","",IFERROR(INDEX(tblLotBalance[Lot Number],MATCH(1,INDEX((tblLotBalance[Item Name]=$A449)*(tblLotBalance[Expiry Date]=$M449)*(tblLotBalance[Lot Balance]&gt;0),0),0)),""))</f>
        <v/>
      </c>
      <c r="P449" s="28" t="str">
        <f>IF($A449="","",IF($I449&lt;0,"NEGATIVE",IF(NOT(ISNUMBER($F449)),"Set threshold",IF($I449&lt;=0,"OUT OF STOCK",IF($I449&lt;=$F449,"LOW",IF($I449&lt;=$F449*Settings!$C$7,"WATCH","OK"))))))</f>
        <v/>
      </c>
      <c r="Q449" s="29" t="str">
        <f>IF($A449="","",IF($P449="NEGATIVE","Issued more than received - add the missing receipt",IF($P449="OUT OF STOCK","Reorder immediately",IF($P449="LOW","Raise purchase order",IF($P449="Set threshold","Enter Critical Low in Items",IF(AND($N449&lt;&gt;"",$N449&lt;=0),"Quarantine expired lot",IF(AND($N449&lt;&gt;"",$N449&lt;=Settings!$C$6),"Use or rotate stock now","")))))))</f>
        <v/>
      </c>
    </row>
    <row r="450" spans="1:17" x14ac:dyDescent="0.35">
      <c r="A450" s="18" t="str">
        <f>IF(Items!$A447="","",Items!$A447)</f>
        <v/>
      </c>
      <c r="B450" s="18" t="str">
        <f>IF($A450="","",Items!$B447)</f>
        <v/>
      </c>
      <c r="C450" s="19" t="str">
        <f>IF($A450="","",Items!$G447)</f>
        <v/>
      </c>
      <c r="D450" s="20" t="str">
        <f>IF($A450="","",N(Items!$D447))</f>
        <v/>
      </c>
      <c r="E450" s="23" t="str">
        <f>IF($A450="","",Items!$E447)</f>
        <v/>
      </c>
      <c r="F450" s="23" t="str">
        <f>IF($A450="","",Items!$F447)</f>
        <v/>
      </c>
      <c r="G450" s="26" t="str">
        <f>IF($A450="","",SUMIFS(tblReceipts[Qty Received],tblReceipts[Item Name],$A450))</f>
        <v/>
      </c>
      <c r="H450" s="26" t="str">
        <f>IF($A450="","",SUMIFS(tblIssues[Qty Issued],tblIssues[Item Name],$A450))</f>
        <v/>
      </c>
      <c r="I450" s="27" t="str">
        <f t="shared" si="18"/>
        <v/>
      </c>
      <c r="J450" s="21" t="str">
        <f t="shared" si="19"/>
        <v/>
      </c>
      <c r="K450" s="26" t="str">
        <f>IF($A450="","",COUNTIFS(tblReceipts[Item Name],$A450))</f>
        <v/>
      </c>
      <c r="L450" s="26" t="str">
        <f>IF($A450="","",COUNTIFS(tblLotBalance[Item Name],$A450,tblLotBalance[Lot Balance],"&gt;0"))</f>
        <v/>
      </c>
      <c r="M450" s="24" t="str">
        <f>IF($A450="","",IF($L450=0,"",IFERROR(_xlfn.MINIFS(tblLotBalance[Expiry Date],tblLotBalance[Item Name],$A450,tblLotBalance[Lot Balance],"&gt;0"),"")))</f>
        <v/>
      </c>
      <c r="N450" s="26" t="str">
        <f t="shared" ca="1" si="20"/>
        <v/>
      </c>
      <c r="O450" s="18" t="str" cm="1">
        <f t="array" ref="O450">IF($M450="","",IFERROR(INDEX(tblLotBalance[Lot Number],MATCH(1,INDEX((tblLotBalance[Item Name]=$A450)*(tblLotBalance[Expiry Date]=$M450)*(tblLotBalance[Lot Balance]&gt;0),0),0)),""))</f>
        <v/>
      </c>
      <c r="P450" s="28" t="str">
        <f>IF($A450="","",IF($I450&lt;0,"NEGATIVE",IF(NOT(ISNUMBER($F450)),"Set threshold",IF($I450&lt;=0,"OUT OF STOCK",IF($I450&lt;=$F450,"LOW",IF($I450&lt;=$F450*Settings!$C$7,"WATCH","OK"))))))</f>
        <v/>
      </c>
      <c r="Q450" s="29" t="str">
        <f>IF($A450="","",IF($P450="NEGATIVE","Issued more than received - add the missing receipt",IF($P450="OUT OF STOCK","Reorder immediately",IF($P450="LOW","Raise purchase order",IF($P450="Set threshold","Enter Critical Low in Items",IF(AND($N450&lt;&gt;"",$N450&lt;=0),"Quarantine expired lot",IF(AND($N450&lt;&gt;"",$N450&lt;=Settings!$C$6),"Use or rotate stock now","")))))))</f>
        <v/>
      </c>
    </row>
    <row r="451" spans="1:17" x14ac:dyDescent="0.35">
      <c r="A451" s="18" t="str">
        <f>IF(Items!$A448="","",Items!$A448)</f>
        <v/>
      </c>
      <c r="B451" s="18" t="str">
        <f>IF($A451="","",Items!$B448)</f>
        <v/>
      </c>
      <c r="C451" s="19" t="str">
        <f>IF($A451="","",Items!$G448)</f>
        <v/>
      </c>
      <c r="D451" s="20" t="str">
        <f>IF($A451="","",N(Items!$D448))</f>
        <v/>
      </c>
      <c r="E451" s="23" t="str">
        <f>IF($A451="","",Items!$E448)</f>
        <v/>
      </c>
      <c r="F451" s="23" t="str">
        <f>IF($A451="","",Items!$F448)</f>
        <v/>
      </c>
      <c r="G451" s="26" t="str">
        <f>IF($A451="","",SUMIFS(tblReceipts[Qty Received],tblReceipts[Item Name],$A451))</f>
        <v/>
      </c>
      <c r="H451" s="26" t="str">
        <f>IF($A451="","",SUMIFS(tblIssues[Qty Issued],tblIssues[Item Name],$A451))</f>
        <v/>
      </c>
      <c r="I451" s="27" t="str">
        <f t="shared" si="18"/>
        <v/>
      </c>
      <c r="J451" s="21" t="str">
        <f t="shared" si="19"/>
        <v/>
      </c>
      <c r="K451" s="26" t="str">
        <f>IF($A451="","",COUNTIFS(tblReceipts[Item Name],$A451))</f>
        <v/>
      </c>
      <c r="L451" s="26" t="str">
        <f>IF($A451="","",COUNTIFS(tblLotBalance[Item Name],$A451,tblLotBalance[Lot Balance],"&gt;0"))</f>
        <v/>
      </c>
      <c r="M451" s="24" t="str">
        <f>IF($A451="","",IF($L451=0,"",IFERROR(_xlfn.MINIFS(tblLotBalance[Expiry Date],tblLotBalance[Item Name],$A451,tblLotBalance[Lot Balance],"&gt;0"),"")))</f>
        <v/>
      </c>
      <c r="N451" s="26" t="str">
        <f t="shared" ca="1" si="20"/>
        <v/>
      </c>
      <c r="O451" s="18" t="str" cm="1">
        <f t="array" ref="O451">IF($M451="","",IFERROR(INDEX(tblLotBalance[Lot Number],MATCH(1,INDEX((tblLotBalance[Item Name]=$A451)*(tblLotBalance[Expiry Date]=$M451)*(tblLotBalance[Lot Balance]&gt;0),0),0)),""))</f>
        <v/>
      </c>
      <c r="P451" s="28" t="str">
        <f>IF($A451="","",IF($I451&lt;0,"NEGATIVE",IF(NOT(ISNUMBER($F451)),"Set threshold",IF($I451&lt;=0,"OUT OF STOCK",IF($I451&lt;=$F451,"LOW",IF($I451&lt;=$F451*Settings!$C$7,"WATCH","OK"))))))</f>
        <v/>
      </c>
      <c r="Q451" s="29" t="str">
        <f>IF($A451="","",IF($P451="NEGATIVE","Issued more than received - add the missing receipt",IF($P451="OUT OF STOCK","Reorder immediately",IF($P451="LOW","Raise purchase order",IF($P451="Set threshold","Enter Critical Low in Items",IF(AND($N451&lt;&gt;"",$N451&lt;=0),"Quarantine expired lot",IF(AND($N451&lt;&gt;"",$N451&lt;=Settings!$C$6),"Use or rotate stock now","")))))))</f>
        <v/>
      </c>
    </row>
    <row r="452" spans="1:17" x14ac:dyDescent="0.35">
      <c r="A452" s="18" t="str">
        <f>IF(Items!$A449="","",Items!$A449)</f>
        <v/>
      </c>
      <c r="B452" s="18" t="str">
        <f>IF($A452="","",Items!$B449)</f>
        <v/>
      </c>
      <c r="C452" s="19" t="str">
        <f>IF($A452="","",Items!$G449)</f>
        <v/>
      </c>
      <c r="D452" s="20" t="str">
        <f>IF($A452="","",N(Items!$D449))</f>
        <v/>
      </c>
      <c r="E452" s="23" t="str">
        <f>IF($A452="","",Items!$E449)</f>
        <v/>
      </c>
      <c r="F452" s="23" t="str">
        <f>IF($A452="","",Items!$F449)</f>
        <v/>
      </c>
      <c r="G452" s="26" t="str">
        <f>IF($A452="","",SUMIFS(tblReceipts[Qty Received],tblReceipts[Item Name],$A452))</f>
        <v/>
      </c>
      <c r="H452" s="26" t="str">
        <f>IF($A452="","",SUMIFS(tblIssues[Qty Issued],tblIssues[Item Name],$A452))</f>
        <v/>
      </c>
      <c r="I452" s="27" t="str">
        <f t="shared" si="18"/>
        <v/>
      </c>
      <c r="J452" s="21" t="str">
        <f t="shared" si="19"/>
        <v/>
      </c>
      <c r="K452" s="26" t="str">
        <f>IF($A452="","",COUNTIFS(tblReceipts[Item Name],$A452))</f>
        <v/>
      </c>
      <c r="L452" s="26" t="str">
        <f>IF($A452="","",COUNTIFS(tblLotBalance[Item Name],$A452,tblLotBalance[Lot Balance],"&gt;0"))</f>
        <v/>
      </c>
      <c r="M452" s="24" t="str">
        <f>IF($A452="","",IF($L452=0,"",IFERROR(_xlfn.MINIFS(tblLotBalance[Expiry Date],tblLotBalance[Item Name],$A452,tblLotBalance[Lot Balance],"&gt;0"),"")))</f>
        <v/>
      </c>
      <c r="N452" s="26" t="str">
        <f t="shared" ca="1" si="20"/>
        <v/>
      </c>
      <c r="O452" s="18" t="str" cm="1">
        <f t="array" ref="O452">IF($M452="","",IFERROR(INDEX(tblLotBalance[Lot Number],MATCH(1,INDEX((tblLotBalance[Item Name]=$A452)*(tblLotBalance[Expiry Date]=$M452)*(tblLotBalance[Lot Balance]&gt;0),0),0)),""))</f>
        <v/>
      </c>
      <c r="P452" s="28" t="str">
        <f>IF($A452="","",IF($I452&lt;0,"NEGATIVE",IF(NOT(ISNUMBER($F452)),"Set threshold",IF($I452&lt;=0,"OUT OF STOCK",IF($I452&lt;=$F452,"LOW",IF($I452&lt;=$F452*Settings!$C$7,"WATCH","OK"))))))</f>
        <v/>
      </c>
      <c r="Q452" s="29" t="str">
        <f>IF($A452="","",IF($P452="NEGATIVE","Issued more than received - add the missing receipt",IF($P452="OUT OF STOCK","Reorder immediately",IF($P452="LOW","Raise purchase order",IF($P452="Set threshold","Enter Critical Low in Items",IF(AND($N452&lt;&gt;"",$N452&lt;=0),"Quarantine expired lot",IF(AND($N452&lt;&gt;"",$N452&lt;=Settings!$C$6),"Use or rotate stock now","")))))))</f>
        <v/>
      </c>
    </row>
    <row r="453" spans="1:17" x14ac:dyDescent="0.35">
      <c r="A453" s="18" t="str">
        <f>IF(Items!$A450="","",Items!$A450)</f>
        <v/>
      </c>
      <c r="B453" s="18" t="str">
        <f>IF($A453="","",Items!$B450)</f>
        <v/>
      </c>
      <c r="C453" s="19" t="str">
        <f>IF($A453="","",Items!$G450)</f>
        <v/>
      </c>
      <c r="D453" s="20" t="str">
        <f>IF($A453="","",N(Items!$D450))</f>
        <v/>
      </c>
      <c r="E453" s="23" t="str">
        <f>IF($A453="","",Items!$E450)</f>
        <v/>
      </c>
      <c r="F453" s="23" t="str">
        <f>IF($A453="","",Items!$F450)</f>
        <v/>
      </c>
      <c r="G453" s="26" t="str">
        <f>IF($A453="","",SUMIFS(tblReceipts[Qty Received],tblReceipts[Item Name],$A453))</f>
        <v/>
      </c>
      <c r="H453" s="26" t="str">
        <f>IF($A453="","",SUMIFS(tblIssues[Qty Issued],tblIssues[Item Name],$A453))</f>
        <v/>
      </c>
      <c r="I453" s="27" t="str">
        <f t="shared" ref="I453:I516" si="21">IF($A453="","",$G453-$H453)</f>
        <v/>
      </c>
      <c r="J453" s="21" t="str">
        <f t="shared" ref="J453:J516" si="22">IF($A453="","",$I453*$D453)</f>
        <v/>
      </c>
      <c r="K453" s="26" t="str">
        <f>IF($A453="","",COUNTIFS(tblReceipts[Item Name],$A453))</f>
        <v/>
      </c>
      <c r="L453" s="26" t="str">
        <f>IF($A453="","",COUNTIFS(tblLotBalance[Item Name],$A453,tblLotBalance[Lot Balance],"&gt;0"))</f>
        <v/>
      </c>
      <c r="M453" s="24" t="str">
        <f>IF($A453="","",IF($L453=0,"",IFERROR(_xlfn.MINIFS(tblLotBalance[Expiry Date],tblLotBalance[Item Name],$A453,tblLotBalance[Lot Balance],"&gt;0"),"")))</f>
        <v/>
      </c>
      <c r="N453" s="26" t="str">
        <f t="shared" ref="N453:N516" ca="1" si="23">IF($M453="","",$M453-TODAY())</f>
        <v/>
      </c>
      <c r="O453" s="18" t="str" cm="1">
        <f t="array" ref="O453">IF($M453="","",IFERROR(INDEX(tblLotBalance[Lot Number],MATCH(1,INDEX((tblLotBalance[Item Name]=$A453)*(tblLotBalance[Expiry Date]=$M453)*(tblLotBalance[Lot Balance]&gt;0),0),0)),""))</f>
        <v/>
      </c>
      <c r="P453" s="28" t="str">
        <f>IF($A453="","",IF($I453&lt;0,"NEGATIVE",IF(NOT(ISNUMBER($F453)),"Set threshold",IF($I453&lt;=0,"OUT OF STOCK",IF($I453&lt;=$F453,"LOW",IF($I453&lt;=$F453*Settings!$C$7,"WATCH","OK"))))))</f>
        <v/>
      </c>
      <c r="Q453" s="29" t="str">
        <f>IF($A453="","",IF($P453="NEGATIVE","Issued more than received - add the missing receipt",IF($P453="OUT OF STOCK","Reorder immediately",IF($P453="LOW","Raise purchase order",IF($P453="Set threshold","Enter Critical Low in Items",IF(AND($N453&lt;&gt;"",$N453&lt;=0),"Quarantine expired lot",IF(AND($N453&lt;&gt;"",$N453&lt;=Settings!$C$6),"Use or rotate stock now","")))))))</f>
        <v/>
      </c>
    </row>
    <row r="454" spans="1:17" x14ac:dyDescent="0.35">
      <c r="A454" s="18" t="str">
        <f>IF(Items!$A451="","",Items!$A451)</f>
        <v/>
      </c>
      <c r="B454" s="18" t="str">
        <f>IF($A454="","",Items!$B451)</f>
        <v/>
      </c>
      <c r="C454" s="19" t="str">
        <f>IF($A454="","",Items!$G451)</f>
        <v/>
      </c>
      <c r="D454" s="20" t="str">
        <f>IF($A454="","",N(Items!$D451))</f>
        <v/>
      </c>
      <c r="E454" s="23" t="str">
        <f>IF($A454="","",Items!$E451)</f>
        <v/>
      </c>
      <c r="F454" s="23" t="str">
        <f>IF($A454="","",Items!$F451)</f>
        <v/>
      </c>
      <c r="G454" s="26" t="str">
        <f>IF($A454="","",SUMIFS(tblReceipts[Qty Received],tblReceipts[Item Name],$A454))</f>
        <v/>
      </c>
      <c r="H454" s="26" t="str">
        <f>IF($A454="","",SUMIFS(tblIssues[Qty Issued],tblIssues[Item Name],$A454))</f>
        <v/>
      </c>
      <c r="I454" s="27" t="str">
        <f t="shared" si="21"/>
        <v/>
      </c>
      <c r="J454" s="21" t="str">
        <f t="shared" si="22"/>
        <v/>
      </c>
      <c r="K454" s="26" t="str">
        <f>IF($A454="","",COUNTIFS(tblReceipts[Item Name],$A454))</f>
        <v/>
      </c>
      <c r="L454" s="26" t="str">
        <f>IF($A454="","",COUNTIFS(tblLotBalance[Item Name],$A454,tblLotBalance[Lot Balance],"&gt;0"))</f>
        <v/>
      </c>
      <c r="M454" s="24" t="str">
        <f>IF($A454="","",IF($L454=0,"",IFERROR(_xlfn.MINIFS(tblLotBalance[Expiry Date],tblLotBalance[Item Name],$A454,tblLotBalance[Lot Balance],"&gt;0"),"")))</f>
        <v/>
      </c>
      <c r="N454" s="26" t="str">
        <f t="shared" ca="1" si="23"/>
        <v/>
      </c>
      <c r="O454" s="18" t="str" cm="1">
        <f t="array" ref="O454">IF($M454="","",IFERROR(INDEX(tblLotBalance[Lot Number],MATCH(1,INDEX((tblLotBalance[Item Name]=$A454)*(tblLotBalance[Expiry Date]=$M454)*(tblLotBalance[Lot Balance]&gt;0),0),0)),""))</f>
        <v/>
      </c>
      <c r="P454" s="28" t="str">
        <f>IF($A454="","",IF($I454&lt;0,"NEGATIVE",IF(NOT(ISNUMBER($F454)),"Set threshold",IF($I454&lt;=0,"OUT OF STOCK",IF($I454&lt;=$F454,"LOW",IF($I454&lt;=$F454*Settings!$C$7,"WATCH","OK"))))))</f>
        <v/>
      </c>
      <c r="Q454" s="29" t="str">
        <f>IF($A454="","",IF($P454="NEGATIVE","Issued more than received - add the missing receipt",IF($P454="OUT OF STOCK","Reorder immediately",IF($P454="LOW","Raise purchase order",IF($P454="Set threshold","Enter Critical Low in Items",IF(AND($N454&lt;&gt;"",$N454&lt;=0),"Quarantine expired lot",IF(AND($N454&lt;&gt;"",$N454&lt;=Settings!$C$6),"Use or rotate stock now","")))))))</f>
        <v/>
      </c>
    </row>
    <row r="455" spans="1:17" x14ac:dyDescent="0.35">
      <c r="A455" s="18" t="str">
        <f>IF(Items!$A452="","",Items!$A452)</f>
        <v/>
      </c>
      <c r="B455" s="18" t="str">
        <f>IF($A455="","",Items!$B452)</f>
        <v/>
      </c>
      <c r="C455" s="19" t="str">
        <f>IF($A455="","",Items!$G452)</f>
        <v/>
      </c>
      <c r="D455" s="20" t="str">
        <f>IF($A455="","",N(Items!$D452))</f>
        <v/>
      </c>
      <c r="E455" s="23" t="str">
        <f>IF($A455="","",Items!$E452)</f>
        <v/>
      </c>
      <c r="F455" s="23" t="str">
        <f>IF($A455="","",Items!$F452)</f>
        <v/>
      </c>
      <c r="G455" s="26" t="str">
        <f>IF($A455="","",SUMIFS(tblReceipts[Qty Received],tblReceipts[Item Name],$A455))</f>
        <v/>
      </c>
      <c r="H455" s="26" t="str">
        <f>IF($A455="","",SUMIFS(tblIssues[Qty Issued],tblIssues[Item Name],$A455))</f>
        <v/>
      </c>
      <c r="I455" s="27" t="str">
        <f t="shared" si="21"/>
        <v/>
      </c>
      <c r="J455" s="21" t="str">
        <f t="shared" si="22"/>
        <v/>
      </c>
      <c r="K455" s="26" t="str">
        <f>IF($A455="","",COUNTIFS(tblReceipts[Item Name],$A455))</f>
        <v/>
      </c>
      <c r="L455" s="26" t="str">
        <f>IF($A455="","",COUNTIFS(tblLotBalance[Item Name],$A455,tblLotBalance[Lot Balance],"&gt;0"))</f>
        <v/>
      </c>
      <c r="M455" s="24" t="str">
        <f>IF($A455="","",IF($L455=0,"",IFERROR(_xlfn.MINIFS(tblLotBalance[Expiry Date],tblLotBalance[Item Name],$A455,tblLotBalance[Lot Balance],"&gt;0"),"")))</f>
        <v/>
      </c>
      <c r="N455" s="26" t="str">
        <f t="shared" ca="1" si="23"/>
        <v/>
      </c>
      <c r="O455" s="18" t="str" cm="1">
        <f t="array" ref="O455">IF($M455="","",IFERROR(INDEX(tblLotBalance[Lot Number],MATCH(1,INDEX((tblLotBalance[Item Name]=$A455)*(tblLotBalance[Expiry Date]=$M455)*(tblLotBalance[Lot Balance]&gt;0),0),0)),""))</f>
        <v/>
      </c>
      <c r="P455" s="28" t="str">
        <f>IF($A455="","",IF($I455&lt;0,"NEGATIVE",IF(NOT(ISNUMBER($F455)),"Set threshold",IF($I455&lt;=0,"OUT OF STOCK",IF($I455&lt;=$F455,"LOW",IF($I455&lt;=$F455*Settings!$C$7,"WATCH","OK"))))))</f>
        <v/>
      </c>
      <c r="Q455" s="29" t="str">
        <f>IF($A455="","",IF($P455="NEGATIVE","Issued more than received - add the missing receipt",IF($P455="OUT OF STOCK","Reorder immediately",IF($P455="LOW","Raise purchase order",IF($P455="Set threshold","Enter Critical Low in Items",IF(AND($N455&lt;&gt;"",$N455&lt;=0),"Quarantine expired lot",IF(AND($N455&lt;&gt;"",$N455&lt;=Settings!$C$6),"Use or rotate stock now","")))))))</f>
        <v/>
      </c>
    </row>
    <row r="456" spans="1:17" x14ac:dyDescent="0.35">
      <c r="A456" s="18" t="str">
        <f>IF(Items!$A453="","",Items!$A453)</f>
        <v/>
      </c>
      <c r="B456" s="18" t="str">
        <f>IF($A456="","",Items!$B453)</f>
        <v/>
      </c>
      <c r="C456" s="19" t="str">
        <f>IF($A456="","",Items!$G453)</f>
        <v/>
      </c>
      <c r="D456" s="20" t="str">
        <f>IF($A456="","",N(Items!$D453))</f>
        <v/>
      </c>
      <c r="E456" s="23" t="str">
        <f>IF($A456="","",Items!$E453)</f>
        <v/>
      </c>
      <c r="F456" s="23" t="str">
        <f>IF($A456="","",Items!$F453)</f>
        <v/>
      </c>
      <c r="G456" s="26" t="str">
        <f>IF($A456="","",SUMIFS(tblReceipts[Qty Received],tblReceipts[Item Name],$A456))</f>
        <v/>
      </c>
      <c r="H456" s="26" t="str">
        <f>IF($A456="","",SUMIFS(tblIssues[Qty Issued],tblIssues[Item Name],$A456))</f>
        <v/>
      </c>
      <c r="I456" s="27" t="str">
        <f t="shared" si="21"/>
        <v/>
      </c>
      <c r="J456" s="21" t="str">
        <f t="shared" si="22"/>
        <v/>
      </c>
      <c r="K456" s="26" t="str">
        <f>IF($A456="","",COUNTIFS(tblReceipts[Item Name],$A456))</f>
        <v/>
      </c>
      <c r="L456" s="26" t="str">
        <f>IF($A456="","",COUNTIFS(tblLotBalance[Item Name],$A456,tblLotBalance[Lot Balance],"&gt;0"))</f>
        <v/>
      </c>
      <c r="M456" s="24" t="str">
        <f>IF($A456="","",IF($L456=0,"",IFERROR(_xlfn.MINIFS(tblLotBalance[Expiry Date],tblLotBalance[Item Name],$A456,tblLotBalance[Lot Balance],"&gt;0"),"")))</f>
        <v/>
      </c>
      <c r="N456" s="26" t="str">
        <f t="shared" ca="1" si="23"/>
        <v/>
      </c>
      <c r="O456" s="18" t="str" cm="1">
        <f t="array" ref="O456">IF($M456="","",IFERROR(INDEX(tblLotBalance[Lot Number],MATCH(1,INDEX((tblLotBalance[Item Name]=$A456)*(tblLotBalance[Expiry Date]=$M456)*(tblLotBalance[Lot Balance]&gt;0),0),0)),""))</f>
        <v/>
      </c>
      <c r="P456" s="28" t="str">
        <f>IF($A456="","",IF($I456&lt;0,"NEGATIVE",IF(NOT(ISNUMBER($F456)),"Set threshold",IF($I456&lt;=0,"OUT OF STOCK",IF($I456&lt;=$F456,"LOW",IF($I456&lt;=$F456*Settings!$C$7,"WATCH","OK"))))))</f>
        <v/>
      </c>
      <c r="Q456" s="29" t="str">
        <f>IF($A456="","",IF($P456="NEGATIVE","Issued more than received - add the missing receipt",IF($P456="OUT OF STOCK","Reorder immediately",IF($P456="LOW","Raise purchase order",IF($P456="Set threshold","Enter Critical Low in Items",IF(AND($N456&lt;&gt;"",$N456&lt;=0),"Quarantine expired lot",IF(AND($N456&lt;&gt;"",$N456&lt;=Settings!$C$6),"Use or rotate stock now","")))))))</f>
        <v/>
      </c>
    </row>
    <row r="457" spans="1:17" x14ac:dyDescent="0.35">
      <c r="A457" s="18" t="str">
        <f>IF(Items!$A454="","",Items!$A454)</f>
        <v/>
      </c>
      <c r="B457" s="18" t="str">
        <f>IF($A457="","",Items!$B454)</f>
        <v/>
      </c>
      <c r="C457" s="19" t="str">
        <f>IF($A457="","",Items!$G454)</f>
        <v/>
      </c>
      <c r="D457" s="20" t="str">
        <f>IF($A457="","",N(Items!$D454))</f>
        <v/>
      </c>
      <c r="E457" s="23" t="str">
        <f>IF($A457="","",Items!$E454)</f>
        <v/>
      </c>
      <c r="F457" s="23" t="str">
        <f>IF($A457="","",Items!$F454)</f>
        <v/>
      </c>
      <c r="G457" s="26" t="str">
        <f>IF($A457="","",SUMIFS(tblReceipts[Qty Received],tblReceipts[Item Name],$A457))</f>
        <v/>
      </c>
      <c r="H457" s="26" t="str">
        <f>IF($A457="","",SUMIFS(tblIssues[Qty Issued],tblIssues[Item Name],$A457))</f>
        <v/>
      </c>
      <c r="I457" s="27" t="str">
        <f t="shared" si="21"/>
        <v/>
      </c>
      <c r="J457" s="21" t="str">
        <f t="shared" si="22"/>
        <v/>
      </c>
      <c r="K457" s="26" t="str">
        <f>IF($A457="","",COUNTIFS(tblReceipts[Item Name],$A457))</f>
        <v/>
      </c>
      <c r="L457" s="26" t="str">
        <f>IF($A457="","",COUNTIFS(tblLotBalance[Item Name],$A457,tblLotBalance[Lot Balance],"&gt;0"))</f>
        <v/>
      </c>
      <c r="M457" s="24" t="str">
        <f>IF($A457="","",IF($L457=0,"",IFERROR(_xlfn.MINIFS(tblLotBalance[Expiry Date],tblLotBalance[Item Name],$A457,tblLotBalance[Lot Balance],"&gt;0"),"")))</f>
        <v/>
      </c>
      <c r="N457" s="26" t="str">
        <f t="shared" ca="1" si="23"/>
        <v/>
      </c>
      <c r="O457" s="18" t="str" cm="1">
        <f t="array" ref="O457">IF($M457="","",IFERROR(INDEX(tblLotBalance[Lot Number],MATCH(1,INDEX((tblLotBalance[Item Name]=$A457)*(tblLotBalance[Expiry Date]=$M457)*(tblLotBalance[Lot Balance]&gt;0),0),0)),""))</f>
        <v/>
      </c>
      <c r="P457" s="28" t="str">
        <f>IF($A457="","",IF($I457&lt;0,"NEGATIVE",IF(NOT(ISNUMBER($F457)),"Set threshold",IF($I457&lt;=0,"OUT OF STOCK",IF($I457&lt;=$F457,"LOW",IF($I457&lt;=$F457*Settings!$C$7,"WATCH","OK"))))))</f>
        <v/>
      </c>
      <c r="Q457" s="29" t="str">
        <f>IF($A457="","",IF($P457="NEGATIVE","Issued more than received - add the missing receipt",IF($P457="OUT OF STOCK","Reorder immediately",IF($P457="LOW","Raise purchase order",IF($P457="Set threshold","Enter Critical Low in Items",IF(AND($N457&lt;&gt;"",$N457&lt;=0),"Quarantine expired lot",IF(AND($N457&lt;&gt;"",$N457&lt;=Settings!$C$6),"Use or rotate stock now","")))))))</f>
        <v/>
      </c>
    </row>
    <row r="458" spans="1:17" x14ac:dyDescent="0.35">
      <c r="A458" s="18" t="str">
        <f>IF(Items!$A455="","",Items!$A455)</f>
        <v/>
      </c>
      <c r="B458" s="18" t="str">
        <f>IF($A458="","",Items!$B455)</f>
        <v/>
      </c>
      <c r="C458" s="19" t="str">
        <f>IF($A458="","",Items!$G455)</f>
        <v/>
      </c>
      <c r="D458" s="20" t="str">
        <f>IF($A458="","",N(Items!$D455))</f>
        <v/>
      </c>
      <c r="E458" s="23" t="str">
        <f>IF($A458="","",Items!$E455)</f>
        <v/>
      </c>
      <c r="F458" s="23" t="str">
        <f>IF($A458="","",Items!$F455)</f>
        <v/>
      </c>
      <c r="G458" s="26" t="str">
        <f>IF($A458="","",SUMIFS(tblReceipts[Qty Received],tblReceipts[Item Name],$A458))</f>
        <v/>
      </c>
      <c r="H458" s="26" t="str">
        <f>IF($A458="","",SUMIFS(tblIssues[Qty Issued],tblIssues[Item Name],$A458))</f>
        <v/>
      </c>
      <c r="I458" s="27" t="str">
        <f t="shared" si="21"/>
        <v/>
      </c>
      <c r="J458" s="21" t="str">
        <f t="shared" si="22"/>
        <v/>
      </c>
      <c r="K458" s="26" t="str">
        <f>IF($A458="","",COUNTIFS(tblReceipts[Item Name],$A458))</f>
        <v/>
      </c>
      <c r="L458" s="26" t="str">
        <f>IF($A458="","",COUNTIFS(tblLotBalance[Item Name],$A458,tblLotBalance[Lot Balance],"&gt;0"))</f>
        <v/>
      </c>
      <c r="M458" s="24" t="str">
        <f>IF($A458="","",IF($L458=0,"",IFERROR(_xlfn.MINIFS(tblLotBalance[Expiry Date],tblLotBalance[Item Name],$A458,tblLotBalance[Lot Balance],"&gt;0"),"")))</f>
        <v/>
      </c>
      <c r="N458" s="26" t="str">
        <f t="shared" ca="1" si="23"/>
        <v/>
      </c>
      <c r="O458" s="18" t="str" cm="1">
        <f t="array" ref="O458">IF($M458="","",IFERROR(INDEX(tblLotBalance[Lot Number],MATCH(1,INDEX((tblLotBalance[Item Name]=$A458)*(tblLotBalance[Expiry Date]=$M458)*(tblLotBalance[Lot Balance]&gt;0),0),0)),""))</f>
        <v/>
      </c>
      <c r="P458" s="28" t="str">
        <f>IF($A458="","",IF($I458&lt;0,"NEGATIVE",IF(NOT(ISNUMBER($F458)),"Set threshold",IF($I458&lt;=0,"OUT OF STOCK",IF($I458&lt;=$F458,"LOW",IF($I458&lt;=$F458*Settings!$C$7,"WATCH","OK"))))))</f>
        <v/>
      </c>
      <c r="Q458" s="29" t="str">
        <f>IF($A458="","",IF($P458="NEGATIVE","Issued more than received - add the missing receipt",IF($P458="OUT OF STOCK","Reorder immediately",IF($P458="LOW","Raise purchase order",IF($P458="Set threshold","Enter Critical Low in Items",IF(AND($N458&lt;&gt;"",$N458&lt;=0),"Quarantine expired lot",IF(AND($N458&lt;&gt;"",$N458&lt;=Settings!$C$6),"Use or rotate stock now","")))))))</f>
        <v/>
      </c>
    </row>
    <row r="459" spans="1:17" x14ac:dyDescent="0.35">
      <c r="A459" s="18" t="str">
        <f>IF(Items!$A456="","",Items!$A456)</f>
        <v/>
      </c>
      <c r="B459" s="18" t="str">
        <f>IF($A459="","",Items!$B456)</f>
        <v/>
      </c>
      <c r="C459" s="19" t="str">
        <f>IF($A459="","",Items!$G456)</f>
        <v/>
      </c>
      <c r="D459" s="20" t="str">
        <f>IF($A459="","",N(Items!$D456))</f>
        <v/>
      </c>
      <c r="E459" s="23" t="str">
        <f>IF($A459="","",Items!$E456)</f>
        <v/>
      </c>
      <c r="F459" s="23" t="str">
        <f>IF($A459="","",Items!$F456)</f>
        <v/>
      </c>
      <c r="G459" s="26" t="str">
        <f>IF($A459="","",SUMIFS(tblReceipts[Qty Received],tblReceipts[Item Name],$A459))</f>
        <v/>
      </c>
      <c r="H459" s="26" t="str">
        <f>IF($A459="","",SUMIFS(tblIssues[Qty Issued],tblIssues[Item Name],$A459))</f>
        <v/>
      </c>
      <c r="I459" s="27" t="str">
        <f t="shared" si="21"/>
        <v/>
      </c>
      <c r="J459" s="21" t="str">
        <f t="shared" si="22"/>
        <v/>
      </c>
      <c r="K459" s="26" t="str">
        <f>IF($A459="","",COUNTIFS(tblReceipts[Item Name],$A459))</f>
        <v/>
      </c>
      <c r="L459" s="26" t="str">
        <f>IF($A459="","",COUNTIFS(tblLotBalance[Item Name],$A459,tblLotBalance[Lot Balance],"&gt;0"))</f>
        <v/>
      </c>
      <c r="M459" s="24" t="str">
        <f>IF($A459="","",IF($L459=0,"",IFERROR(_xlfn.MINIFS(tblLotBalance[Expiry Date],tblLotBalance[Item Name],$A459,tblLotBalance[Lot Balance],"&gt;0"),"")))</f>
        <v/>
      </c>
      <c r="N459" s="26" t="str">
        <f t="shared" ca="1" si="23"/>
        <v/>
      </c>
      <c r="O459" s="18" t="str" cm="1">
        <f t="array" ref="O459">IF($M459="","",IFERROR(INDEX(tblLotBalance[Lot Number],MATCH(1,INDEX((tblLotBalance[Item Name]=$A459)*(tblLotBalance[Expiry Date]=$M459)*(tblLotBalance[Lot Balance]&gt;0),0),0)),""))</f>
        <v/>
      </c>
      <c r="P459" s="28" t="str">
        <f>IF($A459="","",IF($I459&lt;0,"NEGATIVE",IF(NOT(ISNUMBER($F459)),"Set threshold",IF($I459&lt;=0,"OUT OF STOCK",IF($I459&lt;=$F459,"LOW",IF($I459&lt;=$F459*Settings!$C$7,"WATCH","OK"))))))</f>
        <v/>
      </c>
      <c r="Q459" s="29" t="str">
        <f>IF($A459="","",IF($P459="NEGATIVE","Issued more than received - add the missing receipt",IF($P459="OUT OF STOCK","Reorder immediately",IF($P459="LOW","Raise purchase order",IF($P459="Set threshold","Enter Critical Low in Items",IF(AND($N459&lt;&gt;"",$N459&lt;=0),"Quarantine expired lot",IF(AND($N459&lt;&gt;"",$N459&lt;=Settings!$C$6),"Use or rotate stock now","")))))))</f>
        <v/>
      </c>
    </row>
    <row r="460" spans="1:17" x14ac:dyDescent="0.35">
      <c r="A460" s="18" t="str">
        <f>IF(Items!$A457="","",Items!$A457)</f>
        <v/>
      </c>
      <c r="B460" s="18" t="str">
        <f>IF($A460="","",Items!$B457)</f>
        <v/>
      </c>
      <c r="C460" s="19" t="str">
        <f>IF($A460="","",Items!$G457)</f>
        <v/>
      </c>
      <c r="D460" s="20" t="str">
        <f>IF($A460="","",N(Items!$D457))</f>
        <v/>
      </c>
      <c r="E460" s="23" t="str">
        <f>IF($A460="","",Items!$E457)</f>
        <v/>
      </c>
      <c r="F460" s="23" t="str">
        <f>IF($A460="","",Items!$F457)</f>
        <v/>
      </c>
      <c r="G460" s="26" t="str">
        <f>IF($A460="","",SUMIFS(tblReceipts[Qty Received],tblReceipts[Item Name],$A460))</f>
        <v/>
      </c>
      <c r="H460" s="26" t="str">
        <f>IF($A460="","",SUMIFS(tblIssues[Qty Issued],tblIssues[Item Name],$A460))</f>
        <v/>
      </c>
      <c r="I460" s="27" t="str">
        <f t="shared" si="21"/>
        <v/>
      </c>
      <c r="J460" s="21" t="str">
        <f t="shared" si="22"/>
        <v/>
      </c>
      <c r="K460" s="26" t="str">
        <f>IF($A460="","",COUNTIFS(tblReceipts[Item Name],$A460))</f>
        <v/>
      </c>
      <c r="L460" s="26" t="str">
        <f>IF($A460="","",COUNTIFS(tblLotBalance[Item Name],$A460,tblLotBalance[Lot Balance],"&gt;0"))</f>
        <v/>
      </c>
      <c r="M460" s="24" t="str">
        <f>IF($A460="","",IF($L460=0,"",IFERROR(_xlfn.MINIFS(tblLotBalance[Expiry Date],tblLotBalance[Item Name],$A460,tblLotBalance[Lot Balance],"&gt;0"),"")))</f>
        <v/>
      </c>
      <c r="N460" s="26" t="str">
        <f t="shared" ca="1" si="23"/>
        <v/>
      </c>
      <c r="O460" s="18" t="str" cm="1">
        <f t="array" ref="O460">IF($M460="","",IFERROR(INDEX(tblLotBalance[Lot Number],MATCH(1,INDEX((tblLotBalance[Item Name]=$A460)*(tblLotBalance[Expiry Date]=$M460)*(tblLotBalance[Lot Balance]&gt;0),0),0)),""))</f>
        <v/>
      </c>
      <c r="P460" s="28" t="str">
        <f>IF($A460="","",IF($I460&lt;0,"NEGATIVE",IF(NOT(ISNUMBER($F460)),"Set threshold",IF($I460&lt;=0,"OUT OF STOCK",IF($I460&lt;=$F460,"LOW",IF($I460&lt;=$F460*Settings!$C$7,"WATCH","OK"))))))</f>
        <v/>
      </c>
      <c r="Q460" s="29" t="str">
        <f>IF($A460="","",IF($P460="NEGATIVE","Issued more than received - add the missing receipt",IF($P460="OUT OF STOCK","Reorder immediately",IF($P460="LOW","Raise purchase order",IF($P460="Set threshold","Enter Critical Low in Items",IF(AND($N460&lt;&gt;"",$N460&lt;=0),"Quarantine expired lot",IF(AND($N460&lt;&gt;"",$N460&lt;=Settings!$C$6),"Use or rotate stock now","")))))))</f>
        <v/>
      </c>
    </row>
    <row r="461" spans="1:17" x14ac:dyDescent="0.35">
      <c r="A461" s="18" t="str">
        <f>IF(Items!$A458="","",Items!$A458)</f>
        <v/>
      </c>
      <c r="B461" s="18" t="str">
        <f>IF($A461="","",Items!$B458)</f>
        <v/>
      </c>
      <c r="C461" s="19" t="str">
        <f>IF($A461="","",Items!$G458)</f>
        <v/>
      </c>
      <c r="D461" s="20" t="str">
        <f>IF($A461="","",N(Items!$D458))</f>
        <v/>
      </c>
      <c r="E461" s="23" t="str">
        <f>IF($A461="","",Items!$E458)</f>
        <v/>
      </c>
      <c r="F461" s="23" t="str">
        <f>IF($A461="","",Items!$F458)</f>
        <v/>
      </c>
      <c r="G461" s="26" t="str">
        <f>IF($A461="","",SUMIFS(tblReceipts[Qty Received],tblReceipts[Item Name],$A461))</f>
        <v/>
      </c>
      <c r="H461" s="26" t="str">
        <f>IF($A461="","",SUMIFS(tblIssues[Qty Issued],tblIssues[Item Name],$A461))</f>
        <v/>
      </c>
      <c r="I461" s="27" t="str">
        <f t="shared" si="21"/>
        <v/>
      </c>
      <c r="J461" s="21" t="str">
        <f t="shared" si="22"/>
        <v/>
      </c>
      <c r="K461" s="26" t="str">
        <f>IF($A461="","",COUNTIFS(tblReceipts[Item Name],$A461))</f>
        <v/>
      </c>
      <c r="L461" s="26" t="str">
        <f>IF($A461="","",COUNTIFS(tblLotBalance[Item Name],$A461,tblLotBalance[Lot Balance],"&gt;0"))</f>
        <v/>
      </c>
      <c r="M461" s="24" t="str">
        <f>IF($A461="","",IF($L461=0,"",IFERROR(_xlfn.MINIFS(tblLotBalance[Expiry Date],tblLotBalance[Item Name],$A461,tblLotBalance[Lot Balance],"&gt;0"),"")))</f>
        <v/>
      </c>
      <c r="N461" s="26" t="str">
        <f t="shared" ca="1" si="23"/>
        <v/>
      </c>
      <c r="O461" s="18" t="str" cm="1">
        <f t="array" ref="O461">IF($M461="","",IFERROR(INDEX(tblLotBalance[Lot Number],MATCH(1,INDEX((tblLotBalance[Item Name]=$A461)*(tblLotBalance[Expiry Date]=$M461)*(tblLotBalance[Lot Balance]&gt;0),0),0)),""))</f>
        <v/>
      </c>
      <c r="P461" s="28" t="str">
        <f>IF($A461="","",IF($I461&lt;0,"NEGATIVE",IF(NOT(ISNUMBER($F461)),"Set threshold",IF($I461&lt;=0,"OUT OF STOCK",IF($I461&lt;=$F461,"LOW",IF($I461&lt;=$F461*Settings!$C$7,"WATCH","OK"))))))</f>
        <v/>
      </c>
      <c r="Q461" s="29" t="str">
        <f>IF($A461="","",IF($P461="NEGATIVE","Issued more than received - add the missing receipt",IF($P461="OUT OF STOCK","Reorder immediately",IF($P461="LOW","Raise purchase order",IF($P461="Set threshold","Enter Critical Low in Items",IF(AND($N461&lt;&gt;"",$N461&lt;=0),"Quarantine expired lot",IF(AND($N461&lt;&gt;"",$N461&lt;=Settings!$C$6),"Use or rotate stock now","")))))))</f>
        <v/>
      </c>
    </row>
    <row r="462" spans="1:17" x14ac:dyDescent="0.35">
      <c r="A462" s="18" t="str">
        <f>IF(Items!$A459="","",Items!$A459)</f>
        <v/>
      </c>
      <c r="B462" s="18" t="str">
        <f>IF($A462="","",Items!$B459)</f>
        <v/>
      </c>
      <c r="C462" s="19" t="str">
        <f>IF($A462="","",Items!$G459)</f>
        <v/>
      </c>
      <c r="D462" s="20" t="str">
        <f>IF($A462="","",N(Items!$D459))</f>
        <v/>
      </c>
      <c r="E462" s="23" t="str">
        <f>IF($A462="","",Items!$E459)</f>
        <v/>
      </c>
      <c r="F462" s="23" t="str">
        <f>IF($A462="","",Items!$F459)</f>
        <v/>
      </c>
      <c r="G462" s="26" t="str">
        <f>IF($A462="","",SUMIFS(tblReceipts[Qty Received],tblReceipts[Item Name],$A462))</f>
        <v/>
      </c>
      <c r="H462" s="26" t="str">
        <f>IF($A462="","",SUMIFS(tblIssues[Qty Issued],tblIssues[Item Name],$A462))</f>
        <v/>
      </c>
      <c r="I462" s="27" t="str">
        <f t="shared" si="21"/>
        <v/>
      </c>
      <c r="J462" s="21" t="str">
        <f t="shared" si="22"/>
        <v/>
      </c>
      <c r="K462" s="26" t="str">
        <f>IF($A462="","",COUNTIFS(tblReceipts[Item Name],$A462))</f>
        <v/>
      </c>
      <c r="L462" s="26" t="str">
        <f>IF($A462="","",COUNTIFS(tblLotBalance[Item Name],$A462,tblLotBalance[Lot Balance],"&gt;0"))</f>
        <v/>
      </c>
      <c r="M462" s="24" t="str">
        <f>IF($A462="","",IF($L462=0,"",IFERROR(_xlfn.MINIFS(tblLotBalance[Expiry Date],tblLotBalance[Item Name],$A462,tblLotBalance[Lot Balance],"&gt;0"),"")))</f>
        <v/>
      </c>
      <c r="N462" s="26" t="str">
        <f t="shared" ca="1" si="23"/>
        <v/>
      </c>
      <c r="O462" s="18" t="str" cm="1">
        <f t="array" ref="O462">IF($M462="","",IFERROR(INDEX(tblLotBalance[Lot Number],MATCH(1,INDEX((tblLotBalance[Item Name]=$A462)*(tblLotBalance[Expiry Date]=$M462)*(tblLotBalance[Lot Balance]&gt;0),0),0)),""))</f>
        <v/>
      </c>
      <c r="P462" s="28" t="str">
        <f>IF($A462="","",IF($I462&lt;0,"NEGATIVE",IF(NOT(ISNUMBER($F462)),"Set threshold",IF($I462&lt;=0,"OUT OF STOCK",IF($I462&lt;=$F462,"LOW",IF($I462&lt;=$F462*Settings!$C$7,"WATCH","OK"))))))</f>
        <v/>
      </c>
      <c r="Q462" s="29" t="str">
        <f>IF($A462="","",IF($P462="NEGATIVE","Issued more than received - add the missing receipt",IF($P462="OUT OF STOCK","Reorder immediately",IF($P462="LOW","Raise purchase order",IF($P462="Set threshold","Enter Critical Low in Items",IF(AND($N462&lt;&gt;"",$N462&lt;=0),"Quarantine expired lot",IF(AND($N462&lt;&gt;"",$N462&lt;=Settings!$C$6),"Use or rotate stock now","")))))))</f>
        <v/>
      </c>
    </row>
    <row r="463" spans="1:17" x14ac:dyDescent="0.35">
      <c r="A463" s="18" t="str">
        <f>IF(Items!$A460="","",Items!$A460)</f>
        <v/>
      </c>
      <c r="B463" s="18" t="str">
        <f>IF($A463="","",Items!$B460)</f>
        <v/>
      </c>
      <c r="C463" s="19" t="str">
        <f>IF($A463="","",Items!$G460)</f>
        <v/>
      </c>
      <c r="D463" s="20" t="str">
        <f>IF($A463="","",N(Items!$D460))</f>
        <v/>
      </c>
      <c r="E463" s="23" t="str">
        <f>IF($A463="","",Items!$E460)</f>
        <v/>
      </c>
      <c r="F463" s="23" t="str">
        <f>IF($A463="","",Items!$F460)</f>
        <v/>
      </c>
      <c r="G463" s="26" t="str">
        <f>IF($A463="","",SUMIFS(tblReceipts[Qty Received],tblReceipts[Item Name],$A463))</f>
        <v/>
      </c>
      <c r="H463" s="26" t="str">
        <f>IF($A463="","",SUMIFS(tblIssues[Qty Issued],tblIssues[Item Name],$A463))</f>
        <v/>
      </c>
      <c r="I463" s="27" t="str">
        <f t="shared" si="21"/>
        <v/>
      </c>
      <c r="J463" s="21" t="str">
        <f t="shared" si="22"/>
        <v/>
      </c>
      <c r="K463" s="26" t="str">
        <f>IF($A463="","",COUNTIFS(tblReceipts[Item Name],$A463))</f>
        <v/>
      </c>
      <c r="L463" s="26" t="str">
        <f>IF($A463="","",COUNTIFS(tblLotBalance[Item Name],$A463,tblLotBalance[Lot Balance],"&gt;0"))</f>
        <v/>
      </c>
      <c r="M463" s="24" t="str">
        <f>IF($A463="","",IF($L463=0,"",IFERROR(_xlfn.MINIFS(tblLotBalance[Expiry Date],tblLotBalance[Item Name],$A463,tblLotBalance[Lot Balance],"&gt;0"),"")))</f>
        <v/>
      </c>
      <c r="N463" s="26" t="str">
        <f t="shared" ca="1" si="23"/>
        <v/>
      </c>
      <c r="O463" s="18" t="str" cm="1">
        <f t="array" ref="O463">IF($M463="","",IFERROR(INDEX(tblLotBalance[Lot Number],MATCH(1,INDEX((tblLotBalance[Item Name]=$A463)*(tblLotBalance[Expiry Date]=$M463)*(tblLotBalance[Lot Balance]&gt;0),0),0)),""))</f>
        <v/>
      </c>
      <c r="P463" s="28" t="str">
        <f>IF($A463="","",IF($I463&lt;0,"NEGATIVE",IF(NOT(ISNUMBER($F463)),"Set threshold",IF($I463&lt;=0,"OUT OF STOCK",IF($I463&lt;=$F463,"LOW",IF($I463&lt;=$F463*Settings!$C$7,"WATCH","OK"))))))</f>
        <v/>
      </c>
      <c r="Q463" s="29" t="str">
        <f>IF($A463="","",IF($P463="NEGATIVE","Issued more than received - add the missing receipt",IF($P463="OUT OF STOCK","Reorder immediately",IF($P463="LOW","Raise purchase order",IF($P463="Set threshold","Enter Critical Low in Items",IF(AND($N463&lt;&gt;"",$N463&lt;=0),"Quarantine expired lot",IF(AND($N463&lt;&gt;"",$N463&lt;=Settings!$C$6),"Use or rotate stock now","")))))))</f>
        <v/>
      </c>
    </row>
    <row r="464" spans="1:17" x14ac:dyDescent="0.35">
      <c r="A464" s="18" t="str">
        <f>IF(Items!$A461="","",Items!$A461)</f>
        <v/>
      </c>
      <c r="B464" s="18" t="str">
        <f>IF($A464="","",Items!$B461)</f>
        <v/>
      </c>
      <c r="C464" s="19" t="str">
        <f>IF($A464="","",Items!$G461)</f>
        <v/>
      </c>
      <c r="D464" s="20" t="str">
        <f>IF($A464="","",N(Items!$D461))</f>
        <v/>
      </c>
      <c r="E464" s="23" t="str">
        <f>IF($A464="","",Items!$E461)</f>
        <v/>
      </c>
      <c r="F464" s="23" t="str">
        <f>IF($A464="","",Items!$F461)</f>
        <v/>
      </c>
      <c r="G464" s="26" t="str">
        <f>IF($A464="","",SUMIFS(tblReceipts[Qty Received],tblReceipts[Item Name],$A464))</f>
        <v/>
      </c>
      <c r="H464" s="26" t="str">
        <f>IF($A464="","",SUMIFS(tblIssues[Qty Issued],tblIssues[Item Name],$A464))</f>
        <v/>
      </c>
      <c r="I464" s="27" t="str">
        <f t="shared" si="21"/>
        <v/>
      </c>
      <c r="J464" s="21" t="str">
        <f t="shared" si="22"/>
        <v/>
      </c>
      <c r="K464" s="26" t="str">
        <f>IF($A464="","",COUNTIFS(tblReceipts[Item Name],$A464))</f>
        <v/>
      </c>
      <c r="L464" s="26" t="str">
        <f>IF($A464="","",COUNTIFS(tblLotBalance[Item Name],$A464,tblLotBalance[Lot Balance],"&gt;0"))</f>
        <v/>
      </c>
      <c r="M464" s="24" t="str">
        <f>IF($A464="","",IF($L464=0,"",IFERROR(_xlfn.MINIFS(tblLotBalance[Expiry Date],tblLotBalance[Item Name],$A464,tblLotBalance[Lot Balance],"&gt;0"),"")))</f>
        <v/>
      </c>
      <c r="N464" s="26" t="str">
        <f t="shared" ca="1" si="23"/>
        <v/>
      </c>
      <c r="O464" s="18" t="str" cm="1">
        <f t="array" ref="O464">IF($M464="","",IFERROR(INDEX(tblLotBalance[Lot Number],MATCH(1,INDEX((tblLotBalance[Item Name]=$A464)*(tblLotBalance[Expiry Date]=$M464)*(tblLotBalance[Lot Balance]&gt;0),0),0)),""))</f>
        <v/>
      </c>
      <c r="P464" s="28" t="str">
        <f>IF($A464="","",IF($I464&lt;0,"NEGATIVE",IF(NOT(ISNUMBER($F464)),"Set threshold",IF($I464&lt;=0,"OUT OF STOCK",IF($I464&lt;=$F464,"LOW",IF($I464&lt;=$F464*Settings!$C$7,"WATCH","OK"))))))</f>
        <v/>
      </c>
      <c r="Q464" s="29" t="str">
        <f>IF($A464="","",IF($P464="NEGATIVE","Issued more than received - add the missing receipt",IF($P464="OUT OF STOCK","Reorder immediately",IF($P464="LOW","Raise purchase order",IF($P464="Set threshold","Enter Critical Low in Items",IF(AND($N464&lt;&gt;"",$N464&lt;=0),"Quarantine expired lot",IF(AND($N464&lt;&gt;"",$N464&lt;=Settings!$C$6),"Use or rotate stock now","")))))))</f>
        <v/>
      </c>
    </row>
    <row r="465" spans="1:17" x14ac:dyDescent="0.35">
      <c r="A465" s="18" t="str">
        <f>IF(Items!$A462="","",Items!$A462)</f>
        <v/>
      </c>
      <c r="B465" s="18" t="str">
        <f>IF($A465="","",Items!$B462)</f>
        <v/>
      </c>
      <c r="C465" s="19" t="str">
        <f>IF($A465="","",Items!$G462)</f>
        <v/>
      </c>
      <c r="D465" s="20" t="str">
        <f>IF($A465="","",N(Items!$D462))</f>
        <v/>
      </c>
      <c r="E465" s="23" t="str">
        <f>IF($A465="","",Items!$E462)</f>
        <v/>
      </c>
      <c r="F465" s="23" t="str">
        <f>IF($A465="","",Items!$F462)</f>
        <v/>
      </c>
      <c r="G465" s="26" t="str">
        <f>IF($A465="","",SUMIFS(tblReceipts[Qty Received],tblReceipts[Item Name],$A465))</f>
        <v/>
      </c>
      <c r="H465" s="26" t="str">
        <f>IF($A465="","",SUMIFS(tblIssues[Qty Issued],tblIssues[Item Name],$A465))</f>
        <v/>
      </c>
      <c r="I465" s="27" t="str">
        <f t="shared" si="21"/>
        <v/>
      </c>
      <c r="J465" s="21" t="str">
        <f t="shared" si="22"/>
        <v/>
      </c>
      <c r="K465" s="26" t="str">
        <f>IF($A465="","",COUNTIFS(tblReceipts[Item Name],$A465))</f>
        <v/>
      </c>
      <c r="L465" s="26" t="str">
        <f>IF($A465="","",COUNTIFS(tblLotBalance[Item Name],$A465,tblLotBalance[Lot Balance],"&gt;0"))</f>
        <v/>
      </c>
      <c r="M465" s="24" t="str">
        <f>IF($A465="","",IF($L465=0,"",IFERROR(_xlfn.MINIFS(tblLotBalance[Expiry Date],tblLotBalance[Item Name],$A465,tblLotBalance[Lot Balance],"&gt;0"),"")))</f>
        <v/>
      </c>
      <c r="N465" s="26" t="str">
        <f t="shared" ca="1" si="23"/>
        <v/>
      </c>
      <c r="O465" s="18" t="str" cm="1">
        <f t="array" ref="O465">IF($M465="","",IFERROR(INDEX(tblLotBalance[Lot Number],MATCH(1,INDEX((tblLotBalance[Item Name]=$A465)*(tblLotBalance[Expiry Date]=$M465)*(tblLotBalance[Lot Balance]&gt;0),0),0)),""))</f>
        <v/>
      </c>
      <c r="P465" s="28" t="str">
        <f>IF($A465="","",IF($I465&lt;0,"NEGATIVE",IF(NOT(ISNUMBER($F465)),"Set threshold",IF($I465&lt;=0,"OUT OF STOCK",IF($I465&lt;=$F465,"LOW",IF($I465&lt;=$F465*Settings!$C$7,"WATCH","OK"))))))</f>
        <v/>
      </c>
      <c r="Q465" s="29" t="str">
        <f>IF($A465="","",IF($P465="NEGATIVE","Issued more than received - add the missing receipt",IF($P465="OUT OF STOCK","Reorder immediately",IF($P465="LOW","Raise purchase order",IF($P465="Set threshold","Enter Critical Low in Items",IF(AND($N465&lt;&gt;"",$N465&lt;=0),"Quarantine expired lot",IF(AND($N465&lt;&gt;"",$N465&lt;=Settings!$C$6),"Use or rotate stock now","")))))))</f>
        <v/>
      </c>
    </row>
    <row r="466" spans="1:17" x14ac:dyDescent="0.35">
      <c r="A466" s="18" t="str">
        <f>IF(Items!$A463="","",Items!$A463)</f>
        <v/>
      </c>
      <c r="B466" s="18" t="str">
        <f>IF($A466="","",Items!$B463)</f>
        <v/>
      </c>
      <c r="C466" s="19" t="str">
        <f>IF($A466="","",Items!$G463)</f>
        <v/>
      </c>
      <c r="D466" s="20" t="str">
        <f>IF($A466="","",N(Items!$D463))</f>
        <v/>
      </c>
      <c r="E466" s="23" t="str">
        <f>IF($A466="","",Items!$E463)</f>
        <v/>
      </c>
      <c r="F466" s="23" t="str">
        <f>IF($A466="","",Items!$F463)</f>
        <v/>
      </c>
      <c r="G466" s="26" t="str">
        <f>IF($A466="","",SUMIFS(tblReceipts[Qty Received],tblReceipts[Item Name],$A466))</f>
        <v/>
      </c>
      <c r="H466" s="26" t="str">
        <f>IF($A466="","",SUMIFS(tblIssues[Qty Issued],tblIssues[Item Name],$A466))</f>
        <v/>
      </c>
      <c r="I466" s="27" t="str">
        <f t="shared" si="21"/>
        <v/>
      </c>
      <c r="J466" s="21" t="str">
        <f t="shared" si="22"/>
        <v/>
      </c>
      <c r="K466" s="26" t="str">
        <f>IF($A466="","",COUNTIFS(tblReceipts[Item Name],$A466))</f>
        <v/>
      </c>
      <c r="L466" s="26" t="str">
        <f>IF($A466="","",COUNTIFS(tblLotBalance[Item Name],$A466,tblLotBalance[Lot Balance],"&gt;0"))</f>
        <v/>
      </c>
      <c r="M466" s="24" t="str">
        <f>IF($A466="","",IF($L466=0,"",IFERROR(_xlfn.MINIFS(tblLotBalance[Expiry Date],tblLotBalance[Item Name],$A466,tblLotBalance[Lot Balance],"&gt;0"),"")))</f>
        <v/>
      </c>
      <c r="N466" s="26" t="str">
        <f t="shared" ca="1" si="23"/>
        <v/>
      </c>
      <c r="O466" s="18" t="str" cm="1">
        <f t="array" ref="O466">IF($M466="","",IFERROR(INDEX(tblLotBalance[Lot Number],MATCH(1,INDEX((tblLotBalance[Item Name]=$A466)*(tblLotBalance[Expiry Date]=$M466)*(tblLotBalance[Lot Balance]&gt;0),0),0)),""))</f>
        <v/>
      </c>
      <c r="P466" s="28" t="str">
        <f>IF($A466="","",IF($I466&lt;0,"NEGATIVE",IF(NOT(ISNUMBER($F466)),"Set threshold",IF($I466&lt;=0,"OUT OF STOCK",IF($I466&lt;=$F466,"LOW",IF($I466&lt;=$F466*Settings!$C$7,"WATCH","OK"))))))</f>
        <v/>
      </c>
      <c r="Q466" s="29" t="str">
        <f>IF($A466="","",IF($P466="NEGATIVE","Issued more than received - add the missing receipt",IF($P466="OUT OF STOCK","Reorder immediately",IF($P466="LOW","Raise purchase order",IF($P466="Set threshold","Enter Critical Low in Items",IF(AND($N466&lt;&gt;"",$N466&lt;=0),"Quarantine expired lot",IF(AND($N466&lt;&gt;"",$N466&lt;=Settings!$C$6),"Use or rotate stock now","")))))))</f>
        <v/>
      </c>
    </row>
    <row r="467" spans="1:17" x14ac:dyDescent="0.35">
      <c r="A467" s="18" t="str">
        <f>IF(Items!$A464="","",Items!$A464)</f>
        <v/>
      </c>
      <c r="B467" s="18" t="str">
        <f>IF($A467="","",Items!$B464)</f>
        <v/>
      </c>
      <c r="C467" s="19" t="str">
        <f>IF($A467="","",Items!$G464)</f>
        <v/>
      </c>
      <c r="D467" s="20" t="str">
        <f>IF($A467="","",N(Items!$D464))</f>
        <v/>
      </c>
      <c r="E467" s="23" t="str">
        <f>IF($A467="","",Items!$E464)</f>
        <v/>
      </c>
      <c r="F467" s="23" t="str">
        <f>IF($A467="","",Items!$F464)</f>
        <v/>
      </c>
      <c r="G467" s="26" t="str">
        <f>IF($A467="","",SUMIFS(tblReceipts[Qty Received],tblReceipts[Item Name],$A467))</f>
        <v/>
      </c>
      <c r="H467" s="26" t="str">
        <f>IF($A467="","",SUMIFS(tblIssues[Qty Issued],tblIssues[Item Name],$A467))</f>
        <v/>
      </c>
      <c r="I467" s="27" t="str">
        <f t="shared" si="21"/>
        <v/>
      </c>
      <c r="J467" s="21" t="str">
        <f t="shared" si="22"/>
        <v/>
      </c>
      <c r="K467" s="26" t="str">
        <f>IF($A467="","",COUNTIFS(tblReceipts[Item Name],$A467))</f>
        <v/>
      </c>
      <c r="L467" s="26" t="str">
        <f>IF($A467="","",COUNTIFS(tblLotBalance[Item Name],$A467,tblLotBalance[Lot Balance],"&gt;0"))</f>
        <v/>
      </c>
      <c r="M467" s="24" t="str">
        <f>IF($A467="","",IF($L467=0,"",IFERROR(_xlfn.MINIFS(tblLotBalance[Expiry Date],tblLotBalance[Item Name],$A467,tblLotBalance[Lot Balance],"&gt;0"),"")))</f>
        <v/>
      </c>
      <c r="N467" s="26" t="str">
        <f t="shared" ca="1" si="23"/>
        <v/>
      </c>
      <c r="O467" s="18" t="str" cm="1">
        <f t="array" ref="O467">IF($M467="","",IFERROR(INDEX(tblLotBalance[Lot Number],MATCH(1,INDEX((tblLotBalance[Item Name]=$A467)*(tblLotBalance[Expiry Date]=$M467)*(tblLotBalance[Lot Balance]&gt;0),0),0)),""))</f>
        <v/>
      </c>
      <c r="P467" s="28" t="str">
        <f>IF($A467="","",IF($I467&lt;0,"NEGATIVE",IF(NOT(ISNUMBER($F467)),"Set threshold",IF($I467&lt;=0,"OUT OF STOCK",IF($I467&lt;=$F467,"LOW",IF($I467&lt;=$F467*Settings!$C$7,"WATCH","OK"))))))</f>
        <v/>
      </c>
      <c r="Q467" s="29" t="str">
        <f>IF($A467="","",IF($P467="NEGATIVE","Issued more than received - add the missing receipt",IF($P467="OUT OF STOCK","Reorder immediately",IF($P467="LOW","Raise purchase order",IF($P467="Set threshold","Enter Critical Low in Items",IF(AND($N467&lt;&gt;"",$N467&lt;=0),"Quarantine expired lot",IF(AND($N467&lt;&gt;"",$N467&lt;=Settings!$C$6),"Use or rotate stock now","")))))))</f>
        <v/>
      </c>
    </row>
    <row r="468" spans="1:17" x14ac:dyDescent="0.35">
      <c r="A468" s="18" t="str">
        <f>IF(Items!$A465="","",Items!$A465)</f>
        <v/>
      </c>
      <c r="B468" s="18" t="str">
        <f>IF($A468="","",Items!$B465)</f>
        <v/>
      </c>
      <c r="C468" s="19" t="str">
        <f>IF($A468="","",Items!$G465)</f>
        <v/>
      </c>
      <c r="D468" s="20" t="str">
        <f>IF($A468="","",N(Items!$D465))</f>
        <v/>
      </c>
      <c r="E468" s="23" t="str">
        <f>IF($A468="","",Items!$E465)</f>
        <v/>
      </c>
      <c r="F468" s="23" t="str">
        <f>IF($A468="","",Items!$F465)</f>
        <v/>
      </c>
      <c r="G468" s="26" t="str">
        <f>IF($A468="","",SUMIFS(tblReceipts[Qty Received],tblReceipts[Item Name],$A468))</f>
        <v/>
      </c>
      <c r="H468" s="26" t="str">
        <f>IF($A468="","",SUMIFS(tblIssues[Qty Issued],tblIssues[Item Name],$A468))</f>
        <v/>
      </c>
      <c r="I468" s="27" t="str">
        <f t="shared" si="21"/>
        <v/>
      </c>
      <c r="J468" s="21" t="str">
        <f t="shared" si="22"/>
        <v/>
      </c>
      <c r="K468" s="26" t="str">
        <f>IF($A468="","",COUNTIFS(tblReceipts[Item Name],$A468))</f>
        <v/>
      </c>
      <c r="L468" s="26" t="str">
        <f>IF($A468="","",COUNTIFS(tblLotBalance[Item Name],$A468,tblLotBalance[Lot Balance],"&gt;0"))</f>
        <v/>
      </c>
      <c r="M468" s="24" t="str">
        <f>IF($A468="","",IF($L468=0,"",IFERROR(_xlfn.MINIFS(tblLotBalance[Expiry Date],tblLotBalance[Item Name],$A468,tblLotBalance[Lot Balance],"&gt;0"),"")))</f>
        <v/>
      </c>
      <c r="N468" s="26" t="str">
        <f t="shared" ca="1" si="23"/>
        <v/>
      </c>
      <c r="O468" s="18" t="str" cm="1">
        <f t="array" ref="O468">IF($M468="","",IFERROR(INDEX(tblLotBalance[Lot Number],MATCH(1,INDEX((tblLotBalance[Item Name]=$A468)*(tblLotBalance[Expiry Date]=$M468)*(tblLotBalance[Lot Balance]&gt;0),0),0)),""))</f>
        <v/>
      </c>
      <c r="P468" s="28" t="str">
        <f>IF($A468="","",IF($I468&lt;0,"NEGATIVE",IF(NOT(ISNUMBER($F468)),"Set threshold",IF($I468&lt;=0,"OUT OF STOCK",IF($I468&lt;=$F468,"LOW",IF($I468&lt;=$F468*Settings!$C$7,"WATCH","OK"))))))</f>
        <v/>
      </c>
      <c r="Q468" s="29" t="str">
        <f>IF($A468="","",IF($P468="NEGATIVE","Issued more than received - add the missing receipt",IF($P468="OUT OF STOCK","Reorder immediately",IF($P468="LOW","Raise purchase order",IF($P468="Set threshold","Enter Critical Low in Items",IF(AND($N468&lt;&gt;"",$N468&lt;=0),"Quarantine expired lot",IF(AND($N468&lt;&gt;"",$N468&lt;=Settings!$C$6),"Use or rotate stock now","")))))))</f>
        <v/>
      </c>
    </row>
    <row r="469" spans="1:17" x14ac:dyDescent="0.35">
      <c r="A469" s="18" t="str">
        <f>IF(Items!$A466="","",Items!$A466)</f>
        <v/>
      </c>
      <c r="B469" s="18" t="str">
        <f>IF($A469="","",Items!$B466)</f>
        <v/>
      </c>
      <c r="C469" s="19" t="str">
        <f>IF($A469="","",Items!$G466)</f>
        <v/>
      </c>
      <c r="D469" s="20" t="str">
        <f>IF($A469="","",N(Items!$D466))</f>
        <v/>
      </c>
      <c r="E469" s="23" t="str">
        <f>IF($A469="","",Items!$E466)</f>
        <v/>
      </c>
      <c r="F469" s="23" t="str">
        <f>IF($A469="","",Items!$F466)</f>
        <v/>
      </c>
      <c r="G469" s="26" t="str">
        <f>IF($A469="","",SUMIFS(tblReceipts[Qty Received],tblReceipts[Item Name],$A469))</f>
        <v/>
      </c>
      <c r="H469" s="26" t="str">
        <f>IF($A469="","",SUMIFS(tblIssues[Qty Issued],tblIssues[Item Name],$A469))</f>
        <v/>
      </c>
      <c r="I469" s="27" t="str">
        <f t="shared" si="21"/>
        <v/>
      </c>
      <c r="J469" s="21" t="str">
        <f t="shared" si="22"/>
        <v/>
      </c>
      <c r="K469" s="26" t="str">
        <f>IF($A469="","",COUNTIFS(tblReceipts[Item Name],$A469))</f>
        <v/>
      </c>
      <c r="L469" s="26" t="str">
        <f>IF($A469="","",COUNTIFS(tblLotBalance[Item Name],$A469,tblLotBalance[Lot Balance],"&gt;0"))</f>
        <v/>
      </c>
      <c r="M469" s="24" t="str">
        <f>IF($A469="","",IF($L469=0,"",IFERROR(_xlfn.MINIFS(tblLotBalance[Expiry Date],tblLotBalance[Item Name],$A469,tblLotBalance[Lot Balance],"&gt;0"),"")))</f>
        <v/>
      </c>
      <c r="N469" s="26" t="str">
        <f t="shared" ca="1" si="23"/>
        <v/>
      </c>
      <c r="O469" s="18" t="str" cm="1">
        <f t="array" ref="O469">IF($M469="","",IFERROR(INDEX(tblLotBalance[Lot Number],MATCH(1,INDEX((tblLotBalance[Item Name]=$A469)*(tblLotBalance[Expiry Date]=$M469)*(tblLotBalance[Lot Balance]&gt;0),0),0)),""))</f>
        <v/>
      </c>
      <c r="P469" s="28" t="str">
        <f>IF($A469="","",IF($I469&lt;0,"NEGATIVE",IF(NOT(ISNUMBER($F469)),"Set threshold",IF($I469&lt;=0,"OUT OF STOCK",IF($I469&lt;=$F469,"LOW",IF($I469&lt;=$F469*Settings!$C$7,"WATCH","OK"))))))</f>
        <v/>
      </c>
      <c r="Q469" s="29" t="str">
        <f>IF($A469="","",IF($P469="NEGATIVE","Issued more than received - add the missing receipt",IF($P469="OUT OF STOCK","Reorder immediately",IF($P469="LOW","Raise purchase order",IF($P469="Set threshold","Enter Critical Low in Items",IF(AND($N469&lt;&gt;"",$N469&lt;=0),"Quarantine expired lot",IF(AND($N469&lt;&gt;"",$N469&lt;=Settings!$C$6),"Use or rotate stock now","")))))))</f>
        <v/>
      </c>
    </row>
    <row r="470" spans="1:17" x14ac:dyDescent="0.35">
      <c r="A470" s="18" t="str">
        <f>IF(Items!$A467="","",Items!$A467)</f>
        <v/>
      </c>
      <c r="B470" s="18" t="str">
        <f>IF($A470="","",Items!$B467)</f>
        <v/>
      </c>
      <c r="C470" s="19" t="str">
        <f>IF($A470="","",Items!$G467)</f>
        <v/>
      </c>
      <c r="D470" s="20" t="str">
        <f>IF($A470="","",N(Items!$D467))</f>
        <v/>
      </c>
      <c r="E470" s="23" t="str">
        <f>IF($A470="","",Items!$E467)</f>
        <v/>
      </c>
      <c r="F470" s="23" t="str">
        <f>IF($A470="","",Items!$F467)</f>
        <v/>
      </c>
      <c r="G470" s="26" t="str">
        <f>IF($A470="","",SUMIFS(tblReceipts[Qty Received],tblReceipts[Item Name],$A470))</f>
        <v/>
      </c>
      <c r="H470" s="26" t="str">
        <f>IF($A470="","",SUMIFS(tblIssues[Qty Issued],tblIssues[Item Name],$A470))</f>
        <v/>
      </c>
      <c r="I470" s="27" t="str">
        <f t="shared" si="21"/>
        <v/>
      </c>
      <c r="J470" s="21" t="str">
        <f t="shared" si="22"/>
        <v/>
      </c>
      <c r="K470" s="26" t="str">
        <f>IF($A470="","",COUNTIFS(tblReceipts[Item Name],$A470))</f>
        <v/>
      </c>
      <c r="L470" s="26" t="str">
        <f>IF($A470="","",COUNTIFS(tblLotBalance[Item Name],$A470,tblLotBalance[Lot Balance],"&gt;0"))</f>
        <v/>
      </c>
      <c r="M470" s="24" t="str">
        <f>IF($A470="","",IF($L470=0,"",IFERROR(_xlfn.MINIFS(tblLotBalance[Expiry Date],tblLotBalance[Item Name],$A470,tblLotBalance[Lot Balance],"&gt;0"),"")))</f>
        <v/>
      </c>
      <c r="N470" s="26" t="str">
        <f t="shared" ca="1" si="23"/>
        <v/>
      </c>
      <c r="O470" s="18" t="str" cm="1">
        <f t="array" ref="O470">IF($M470="","",IFERROR(INDEX(tblLotBalance[Lot Number],MATCH(1,INDEX((tblLotBalance[Item Name]=$A470)*(tblLotBalance[Expiry Date]=$M470)*(tblLotBalance[Lot Balance]&gt;0),0),0)),""))</f>
        <v/>
      </c>
      <c r="P470" s="28" t="str">
        <f>IF($A470="","",IF($I470&lt;0,"NEGATIVE",IF(NOT(ISNUMBER($F470)),"Set threshold",IF($I470&lt;=0,"OUT OF STOCK",IF($I470&lt;=$F470,"LOW",IF($I470&lt;=$F470*Settings!$C$7,"WATCH","OK"))))))</f>
        <v/>
      </c>
      <c r="Q470" s="29" t="str">
        <f>IF($A470="","",IF($P470="NEGATIVE","Issued more than received - add the missing receipt",IF($P470="OUT OF STOCK","Reorder immediately",IF($P470="LOW","Raise purchase order",IF($P470="Set threshold","Enter Critical Low in Items",IF(AND($N470&lt;&gt;"",$N470&lt;=0),"Quarantine expired lot",IF(AND($N470&lt;&gt;"",$N470&lt;=Settings!$C$6),"Use or rotate stock now","")))))))</f>
        <v/>
      </c>
    </row>
    <row r="471" spans="1:17" x14ac:dyDescent="0.35">
      <c r="A471" s="18" t="str">
        <f>IF(Items!$A468="","",Items!$A468)</f>
        <v/>
      </c>
      <c r="B471" s="18" t="str">
        <f>IF($A471="","",Items!$B468)</f>
        <v/>
      </c>
      <c r="C471" s="19" t="str">
        <f>IF($A471="","",Items!$G468)</f>
        <v/>
      </c>
      <c r="D471" s="20" t="str">
        <f>IF($A471="","",N(Items!$D468))</f>
        <v/>
      </c>
      <c r="E471" s="23" t="str">
        <f>IF($A471="","",Items!$E468)</f>
        <v/>
      </c>
      <c r="F471" s="23" t="str">
        <f>IF($A471="","",Items!$F468)</f>
        <v/>
      </c>
      <c r="G471" s="26" t="str">
        <f>IF($A471="","",SUMIFS(tblReceipts[Qty Received],tblReceipts[Item Name],$A471))</f>
        <v/>
      </c>
      <c r="H471" s="26" t="str">
        <f>IF($A471="","",SUMIFS(tblIssues[Qty Issued],tblIssues[Item Name],$A471))</f>
        <v/>
      </c>
      <c r="I471" s="27" t="str">
        <f t="shared" si="21"/>
        <v/>
      </c>
      <c r="J471" s="21" t="str">
        <f t="shared" si="22"/>
        <v/>
      </c>
      <c r="K471" s="26" t="str">
        <f>IF($A471="","",COUNTIFS(tblReceipts[Item Name],$A471))</f>
        <v/>
      </c>
      <c r="L471" s="26" t="str">
        <f>IF($A471="","",COUNTIFS(tblLotBalance[Item Name],$A471,tblLotBalance[Lot Balance],"&gt;0"))</f>
        <v/>
      </c>
      <c r="M471" s="24" t="str">
        <f>IF($A471="","",IF($L471=0,"",IFERROR(_xlfn.MINIFS(tblLotBalance[Expiry Date],tblLotBalance[Item Name],$A471,tblLotBalance[Lot Balance],"&gt;0"),"")))</f>
        <v/>
      </c>
      <c r="N471" s="26" t="str">
        <f t="shared" ca="1" si="23"/>
        <v/>
      </c>
      <c r="O471" s="18" t="str" cm="1">
        <f t="array" ref="O471">IF($M471="","",IFERROR(INDEX(tblLotBalance[Lot Number],MATCH(1,INDEX((tblLotBalance[Item Name]=$A471)*(tblLotBalance[Expiry Date]=$M471)*(tblLotBalance[Lot Balance]&gt;0),0),0)),""))</f>
        <v/>
      </c>
      <c r="P471" s="28" t="str">
        <f>IF($A471="","",IF($I471&lt;0,"NEGATIVE",IF(NOT(ISNUMBER($F471)),"Set threshold",IF($I471&lt;=0,"OUT OF STOCK",IF($I471&lt;=$F471,"LOW",IF($I471&lt;=$F471*Settings!$C$7,"WATCH","OK"))))))</f>
        <v/>
      </c>
      <c r="Q471" s="29" t="str">
        <f>IF($A471="","",IF($P471="NEGATIVE","Issued more than received - add the missing receipt",IF($P471="OUT OF STOCK","Reorder immediately",IF($P471="LOW","Raise purchase order",IF($P471="Set threshold","Enter Critical Low in Items",IF(AND($N471&lt;&gt;"",$N471&lt;=0),"Quarantine expired lot",IF(AND($N471&lt;&gt;"",$N471&lt;=Settings!$C$6),"Use or rotate stock now","")))))))</f>
        <v/>
      </c>
    </row>
    <row r="472" spans="1:17" x14ac:dyDescent="0.35">
      <c r="A472" s="18" t="str">
        <f>IF(Items!$A469="","",Items!$A469)</f>
        <v/>
      </c>
      <c r="B472" s="18" t="str">
        <f>IF($A472="","",Items!$B469)</f>
        <v/>
      </c>
      <c r="C472" s="19" t="str">
        <f>IF($A472="","",Items!$G469)</f>
        <v/>
      </c>
      <c r="D472" s="20" t="str">
        <f>IF($A472="","",N(Items!$D469))</f>
        <v/>
      </c>
      <c r="E472" s="23" t="str">
        <f>IF($A472="","",Items!$E469)</f>
        <v/>
      </c>
      <c r="F472" s="23" t="str">
        <f>IF($A472="","",Items!$F469)</f>
        <v/>
      </c>
      <c r="G472" s="26" t="str">
        <f>IF($A472="","",SUMIFS(tblReceipts[Qty Received],tblReceipts[Item Name],$A472))</f>
        <v/>
      </c>
      <c r="H472" s="26" t="str">
        <f>IF($A472="","",SUMIFS(tblIssues[Qty Issued],tblIssues[Item Name],$A472))</f>
        <v/>
      </c>
      <c r="I472" s="27" t="str">
        <f t="shared" si="21"/>
        <v/>
      </c>
      <c r="J472" s="21" t="str">
        <f t="shared" si="22"/>
        <v/>
      </c>
      <c r="K472" s="26" t="str">
        <f>IF($A472="","",COUNTIFS(tblReceipts[Item Name],$A472))</f>
        <v/>
      </c>
      <c r="L472" s="26" t="str">
        <f>IF($A472="","",COUNTIFS(tblLotBalance[Item Name],$A472,tblLotBalance[Lot Balance],"&gt;0"))</f>
        <v/>
      </c>
      <c r="M472" s="24" t="str">
        <f>IF($A472="","",IF($L472=0,"",IFERROR(_xlfn.MINIFS(tblLotBalance[Expiry Date],tblLotBalance[Item Name],$A472,tblLotBalance[Lot Balance],"&gt;0"),"")))</f>
        <v/>
      </c>
      <c r="N472" s="26" t="str">
        <f t="shared" ca="1" si="23"/>
        <v/>
      </c>
      <c r="O472" s="18" t="str" cm="1">
        <f t="array" ref="O472">IF($M472="","",IFERROR(INDEX(tblLotBalance[Lot Number],MATCH(1,INDEX((tblLotBalance[Item Name]=$A472)*(tblLotBalance[Expiry Date]=$M472)*(tblLotBalance[Lot Balance]&gt;0),0),0)),""))</f>
        <v/>
      </c>
      <c r="P472" s="28" t="str">
        <f>IF($A472="","",IF($I472&lt;0,"NEGATIVE",IF(NOT(ISNUMBER($F472)),"Set threshold",IF($I472&lt;=0,"OUT OF STOCK",IF($I472&lt;=$F472,"LOW",IF($I472&lt;=$F472*Settings!$C$7,"WATCH","OK"))))))</f>
        <v/>
      </c>
      <c r="Q472" s="29" t="str">
        <f>IF($A472="","",IF($P472="NEGATIVE","Issued more than received - add the missing receipt",IF($P472="OUT OF STOCK","Reorder immediately",IF($P472="LOW","Raise purchase order",IF($P472="Set threshold","Enter Critical Low in Items",IF(AND($N472&lt;&gt;"",$N472&lt;=0),"Quarantine expired lot",IF(AND($N472&lt;&gt;"",$N472&lt;=Settings!$C$6),"Use or rotate stock now","")))))))</f>
        <v/>
      </c>
    </row>
    <row r="473" spans="1:17" x14ac:dyDescent="0.35">
      <c r="A473" s="18" t="str">
        <f>IF(Items!$A470="","",Items!$A470)</f>
        <v/>
      </c>
      <c r="B473" s="18" t="str">
        <f>IF($A473="","",Items!$B470)</f>
        <v/>
      </c>
      <c r="C473" s="19" t="str">
        <f>IF($A473="","",Items!$G470)</f>
        <v/>
      </c>
      <c r="D473" s="20" t="str">
        <f>IF($A473="","",N(Items!$D470))</f>
        <v/>
      </c>
      <c r="E473" s="23" t="str">
        <f>IF($A473="","",Items!$E470)</f>
        <v/>
      </c>
      <c r="F473" s="23" t="str">
        <f>IF($A473="","",Items!$F470)</f>
        <v/>
      </c>
      <c r="G473" s="26" t="str">
        <f>IF($A473="","",SUMIFS(tblReceipts[Qty Received],tblReceipts[Item Name],$A473))</f>
        <v/>
      </c>
      <c r="H473" s="26" t="str">
        <f>IF($A473="","",SUMIFS(tblIssues[Qty Issued],tblIssues[Item Name],$A473))</f>
        <v/>
      </c>
      <c r="I473" s="27" t="str">
        <f t="shared" si="21"/>
        <v/>
      </c>
      <c r="J473" s="21" t="str">
        <f t="shared" si="22"/>
        <v/>
      </c>
      <c r="K473" s="26" t="str">
        <f>IF($A473="","",COUNTIFS(tblReceipts[Item Name],$A473))</f>
        <v/>
      </c>
      <c r="L473" s="26" t="str">
        <f>IF($A473="","",COUNTIFS(tblLotBalance[Item Name],$A473,tblLotBalance[Lot Balance],"&gt;0"))</f>
        <v/>
      </c>
      <c r="M473" s="24" t="str">
        <f>IF($A473="","",IF($L473=0,"",IFERROR(_xlfn.MINIFS(tblLotBalance[Expiry Date],tblLotBalance[Item Name],$A473,tblLotBalance[Lot Balance],"&gt;0"),"")))</f>
        <v/>
      </c>
      <c r="N473" s="26" t="str">
        <f t="shared" ca="1" si="23"/>
        <v/>
      </c>
      <c r="O473" s="18" t="str" cm="1">
        <f t="array" ref="O473">IF($M473="","",IFERROR(INDEX(tblLotBalance[Lot Number],MATCH(1,INDEX((tblLotBalance[Item Name]=$A473)*(tblLotBalance[Expiry Date]=$M473)*(tblLotBalance[Lot Balance]&gt;0),0),0)),""))</f>
        <v/>
      </c>
      <c r="P473" s="28" t="str">
        <f>IF($A473="","",IF($I473&lt;0,"NEGATIVE",IF(NOT(ISNUMBER($F473)),"Set threshold",IF($I473&lt;=0,"OUT OF STOCK",IF($I473&lt;=$F473,"LOW",IF($I473&lt;=$F473*Settings!$C$7,"WATCH","OK"))))))</f>
        <v/>
      </c>
      <c r="Q473" s="29" t="str">
        <f>IF($A473="","",IF($P473="NEGATIVE","Issued more than received - add the missing receipt",IF($P473="OUT OF STOCK","Reorder immediately",IF($P473="LOW","Raise purchase order",IF($P473="Set threshold","Enter Critical Low in Items",IF(AND($N473&lt;&gt;"",$N473&lt;=0),"Quarantine expired lot",IF(AND($N473&lt;&gt;"",$N473&lt;=Settings!$C$6),"Use or rotate stock now","")))))))</f>
        <v/>
      </c>
    </row>
    <row r="474" spans="1:17" x14ac:dyDescent="0.35">
      <c r="A474" s="18" t="str">
        <f>IF(Items!$A471="","",Items!$A471)</f>
        <v/>
      </c>
      <c r="B474" s="18" t="str">
        <f>IF($A474="","",Items!$B471)</f>
        <v/>
      </c>
      <c r="C474" s="19" t="str">
        <f>IF($A474="","",Items!$G471)</f>
        <v/>
      </c>
      <c r="D474" s="20" t="str">
        <f>IF($A474="","",N(Items!$D471))</f>
        <v/>
      </c>
      <c r="E474" s="23" t="str">
        <f>IF($A474="","",Items!$E471)</f>
        <v/>
      </c>
      <c r="F474" s="23" t="str">
        <f>IF($A474="","",Items!$F471)</f>
        <v/>
      </c>
      <c r="G474" s="26" t="str">
        <f>IF($A474="","",SUMIFS(tblReceipts[Qty Received],tblReceipts[Item Name],$A474))</f>
        <v/>
      </c>
      <c r="H474" s="26" t="str">
        <f>IF($A474="","",SUMIFS(tblIssues[Qty Issued],tblIssues[Item Name],$A474))</f>
        <v/>
      </c>
      <c r="I474" s="27" t="str">
        <f t="shared" si="21"/>
        <v/>
      </c>
      <c r="J474" s="21" t="str">
        <f t="shared" si="22"/>
        <v/>
      </c>
      <c r="K474" s="26" t="str">
        <f>IF($A474="","",COUNTIFS(tblReceipts[Item Name],$A474))</f>
        <v/>
      </c>
      <c r="L474" s="26" t="str">
        <f>IF($A474="","",COUNTIFS(tblLotBalance[Item Name],$A474,tblLotBalance[Lot Balance],"&gt;0"))</f>
        <v/>
      </c>
      <c r="M474" s="24" t="str">
        <f>IF($A474="","",IF($L474=0,"",IFERROR(_xlfn.MINIFS(tblLotBalance[Expiry Date],tblLotBalance[Item Name],$A474,tblLotBalance[Lot Balance],"&gt;0"),"")))</f>
        <v/>
      </c>
      <c r="N474" s="26" t="str">
        <f t="shared" ca="1" si="23"/>
        <v/>
      </c>
      <c r="O474" s="18" t="str" cm="1">
        <f t="array" ref="O474">IF($M474="","",IFERROR(INDEX(tblLotBalance[Lot Number],MATCH(1,INDEX((tblLotBalance[Item Name]=$A474)*(tblLotBalance[Expiry Date]=$M474)*(tblLotBalance[Lot Balance]&gt;0),0),0)),""))</f>
        <v/>
      </c>
      <c r="P474" s="28" t="str">
        <f>IF($A474="","",IF($I474&lt;0,"NEGATIVE",IF(NOT(ISNUMBER($F474)),"Set threshold",IF($I474&lt;=0,"OUT OF STOCK",IF($I474&lt;=$F474,"LOW",IF($I474&lt;=$F474*Settings!$C$7,"WATCH","OK"))))))</f>
        <v/>
      </c>
      <c r="Q474" s="29" t="str">
        <f>IF($A474="","",IF($P474="NEGATIVE","Issued more than received - add the missing receipt",IF($P474="OUT OF STOCK","Reorder immediately",IF($P474="LOW","Raise purchase order",IF($P474="Set threshold","Enter Critical Low in Items",IF(AND($N474&lt;&gt;"",$N474&lt;=0),"Quarantine expired lot",IF(AND($N474&lt;&gt;"",$N474&lt;=Settings!$C$6),"Use or rotate stock now","")))))))</f>
        <v/>
      </c>
    </row>
    <row r="475" spans="1:17" x14ac:dyDescent="0.35">
      <c r="A475" s="18" t="str">
        <f>IF(Items!$A472="","",Items!$A472)</f>
        <v/>
      </c>
      <c r="B475" s="18" t="str">
        <f>IF($A475="","",Items!$B472)</f>
        <v/>
      </c>
      <c r="C475" s="19" t="str">
        <f>IF($A475="","",Items!$G472)</f>
        <v/>
      </c>
      <c r="D475" s="20" t="str">
        <f>IF($A475="","",N(Items!$D472))</f>
        <v/>
      </c>
      <c r="E475" s="23" t="str">
        <f>IF($A475="","",Items!$E472)</f>
        <v/>
      </c>
      <c r="F475" s="23" t="str">
        <f>IF($A475="","",Items!$F472)</f>
        <v/>
      </c>
      <c r="G475" s="26" t="str">
        <f>IF($A475="","",SUMIFS(tblReceipts[Qty Received],tblReceipts[Item Name],$A475))</f>
        <v/>
      </c>
      <c r="H475" s="26" t="str">
        <f>IF($A475="","",SUMIFS(tblIssues[Qty Issued],tblIssues[Item Name],$A475))</f>
        <v/>
      </c>
      <c r="I475" s="27" t="str">
        <f t="shared" si="21"/>
        <v/>
      </c>
      <c r="J475" s="21" t="str">
        <f t="shared" si="22"/>
        <v/>
      </c>
      <c r="K475" s="26" t="str">
        <f>IF($A475="","",COUNTIFS(tblReceipts[Item Name],$A475))</f>
        <v/>
      </c>
      <c r="L475" s="26" t="str">
        <f>IF($A475="","",COUNTIFS(tblLotBalance[Item Name],$A475,tblLotBalance[Lot Balance],"&gt;0"))</f>
        <v/>
      </c>
      <c r="M475" s="24" t="str">
        <f>IF($A475="","",IF($L475=0,"",IFERROR(_xlfn.MINIFS(tblLotBalance[Expiry Date],tblLotBalance[Item Name],$A475,tblLotBalance[Lot Balance],"&gt;0"),"")))</f>
        <v/>
      </c>
      <c r="N475" s="26" t="str">
        <f t="shared" ca="1" si="23"/>
        <v/>
      </c>
      <c r="O475" s="18" t="str" cm="1">
        <f t="array" ref="O475">IF($M475="","",IFERROR(INDEX(tblLotBalance[Lot Number],MATCH(1,INDEX((tblLotBalance[Item Name]=$A475)*(tblLotBalance[Expiry Date]=$M475)*(tblLotBalance[Lot Balance]&gt;0),0),0)),""))</f>
        <v/>
      </c>
      <c r="P475" s="28" t="str">
        <f>IF($A475="","",IF($I475&lt;0,"NEGATIVE",IF(NOT(ISNUMBER($F475)),"Set threshold",IF($I475&lt;=0,"OUT OF STOCK",IF($I475&lt;=$F475,"LOW",IF($I475&lt;=$F475*Settings!$C$7,"WATCH","OK"))))))</f>
        <v/>
      </c>
      <c r="Q475" s="29" t="str">
        <f>IF($A475="","",IF($P475="NEGATIVE","Issued more than received - add the missing receipt",IF($P475="OUT OF STOCK","Reorder immediately",IF($P475="LOW","Raise purchase order",IF($P475="Set threshold","Enter Critical Low in Items",IF(AND($N475&lt;&gt;"",$N475&lt;=0),"Quarantine expired lot",IF(AND($N475&lt;&gt;"",$N475&lt;=Settings!$C$6),"Use or rotate stock now","")))))))</f>
        <v/>
      </c>
    </row>
    <row r="476" spans="1:17" x14ac:dyDescent="0.35">
      <c r="A476" s="18" t="str">
        <f>IF(Items!$A473="","",Items!$A473)</f>
        <v/>
      </c>
      <c r="B476" s="18" t="str">
        <f>IF($A476="","",Items!$B473)</f>
        <v/>
      </c>
      <c r="C476" s="19" t="str">
        <f>IF($A476="","",Items!$G473)</f>
        <v/>
      </c>
      <c r="D476" s="20" t="str">
        <f>IF($A476="","",N(Items!$D473))</f>
        <v/>
      </c>
      <c r="E476" s="23" t="str">
        <f>IF($A476="","",Items!$E473)</f>
        <v/>
      </c>
      <c r="F476" s="23" t="str">
        <f>IF($A476="","",Items!$F473)</f>
        <v/>
      </c>
      <c r="G476" s="26" t="str">
        <f>IF($A476="","",SUMIFS(tblReceipts[Qty Received],tblReceipts[Item Name],$A476))</f>
        <v/>
      </c>
      <c r="H476" s="26" t="str">
        <f>IF($A476="","",SUMIFS(tblIssues[Qty Issued],tblIssues[Item Name],$A476))</f>
        <v/>
      </c>
      <c r="I476" s="27" t="str">
        <f t="shared" si="21"/>
        <v/>
      </c>
      <c r="J476" s="21" t="str">
        <f t="shared" si="22"/>
        <v/>
      </c>
      <c r="K476" s="26" t="str">
        <f>IF($A476="","",COUNTIFS(tblReceipts[Item Name],$A476))</f>
        <v/>
      </c>
      <c r="L476" s="26" t="str">
        <f>IF($A476="","",COUNTIFS(tblLotBalance[Item Name],$A476,tblLotBalance[Lot Balance],"&gt;0"))</f>
        <v/>
      </c>
      <c r="M476" s="24" t="str">
        <f>IF($A476="","",IF($L476=0,"",IFERROR(_xlfn.MINIFS(tblLotBalance[Expiry Date],tblLotBalance[Item Name],$A476,tblLotBalance[Lot Balance],"&gt;0"),"")))</f>
        <v/>
      </c>
      <c r="N476" s="26" t="str">
        <f t="shared" ca="1" si="23"/>
        <v/>
      </c>
      <c r="O476" s="18" t="str" cm="1">
        <f t="array" ref="O476">IF($M476="","",IFERROR(INDEX(tblLotBalance[Lot Number],MATCH(1,INDEX((tblLotBalance[Item Name]=$A476)*(tblLotBalance[Expiry Date]=$M476)*(tblLotBalance[Lot Balance]&gt;0),0),0)),""))</f>
        <v/>
      </c>
      <c r="P476" s="28" t="str">
        <f>IF($A476="","",IF($I476&lt;0,"NEGATIVE",IF(NOT(ISNUMBER($F476)),"Set threshold",IF($I476&lt;=0,"OUT OF STOCK",IF($I476&lt;=$F476,"LOW",IF($I476&lt;=$F476*Settings!$C$7,"WATCH","OK"))))))</f>
        <v/>
      </c>
      <c r="Q476" s="29" t="str">
        <f>IF($A476="","",IF($P476="NEGATIVE","Issued more than received - add the missing receipt",IF($P476="OUT OF STOCK","Reorder immediately",IF($P476="LOW","Raise purchase order",IF($P476="Set threshold","Enter Critical Low in Items",IF(AND($N476&lt;&gt;"",$N476&lt;=0),"Quarantine expired lot",IF(AND($N476&lt;&gt;"",$N476&lt;=Settings!$C$6),"Use or rotate stock now","")))))))</f>
        <v/>
      </c>
    </row>
    <row r="477" spans="1:17" x14ac:dyDescent="0.35">
      <c r="A477" s="18" t="str">
        <f>IF(Items!$A474="","",Items!$A474)</f>
        <v/>
      </c>
      <c r="B477" s="18" t="str">
        <f>IF($A477="","",Items!$B474)</f>
        <v/>
      </c>
      <c r="C477" s="19" t="str">
        <f>IF($A477="","",Items!$G474)</f>
        <v/>
      </c>
      <c r="D477" s="20" t="str">
        <f>IF($A477="","",N(Items!$D474))</f>
        <v/>
      </c>
      <c r="E477" s="23" t="str">
        <f>IF($A477="","",Items!$E474)</f>
        <v/>
      </c>
      <c r="F477" s="23" t="str">
        <f>IF($A477="","",Items!$F474)</f>
        <v/>
      </c>
      <c r="G477" s="26" t="str">
        <f>IF($A477="","",SUMIFS(tblReceipts[Qty Received],tblReceipts[Item Name],$A477))</f>
        <v/>
      </c>
      <c r="H477" s="26" t="str">
        <f>IF($A477="","",SUMIFS(tblIssues[Qty Issued],tblIssues[Item Name],$A477))</f>
        <v/>
      </c>
      <c r="I477" s="27" t="str">
        <f t="shared" si="21"/>
        <v/>
      </c>
      <c r="J477" s="21" t="str">
        <f t="shared" si="22"/>
        <v/>
      </c>
      <c r="K477" s="26" t="str">
        <f>IF($A477="","",COUNTIFS(tblReceipts[Item Name],$A477))</f>
        <v/>
      </c>
      <c r="L477" s="26" t="str">
        <f>IF($A477="","",COUNTIFS(tblLotBalance[Item Name],$A477,tblLotBalance[Lot Balance],"&gt;0"))</f>
        <v/>
      </c>
      <c r="M477" s="24" t="str">
        <f>IF($A477="","",IF($L477=0,"",IFERROR(_xlfn.MINIFS(tblLotBalance[Expiry Date],tblLotBalance[Item Name],$A477,tblLotBalance[Lot Balance],"&gt;0"),"")))</f>
        <v/>
      </c>
      <c r="N477" s="26" t="str">
        <f t="shared" ca="1" si="23"/>
        <v/>
      </c>
      <c r="O477" s="18" t="str" cm="1">
        <f t="array" ref="O477">IF($M477="","",IFERROR(INDEX(tblLotBalance[Lot Number],MATCH(1,INDEX((tblLotBalance[Item Name]=$A477)*(tblLotBalance[Expiry Date]=$M477)*(tblLotBalance[Lot Balance]&gt;0),0),0)),""))</f>
        <v/>
      </c>
      <c r="P477" s="28" t="str">
        <f>IF($A477="","",IF($I477&lt;0,"NEGATIVE",IF(NOT(ISNUMBER($F477)),"Set threshold",IF($I477&lt;=0,"OUT OF STOCK",IF($I477&lt;=$F477,"LOW",IF($I477&lt;=$F477*Settings!$C$7,"WATCH","OK"))))))</f>
        <v/>
      </c>
      <c r="Q477" s="29" t="str">
        <f>IF($A477="","",IF($P477="NEGATIVE","Issued more than received - add the missing receipt",IF($P477="OUT OF STOCK","Reorder immediately",IF($P477="LOW","Raise purchase order",IF($P477="Set threshold","Enter Critical Low in Items",IF(AND($N477&lt;&gt;"",$N477&lt;=0),"Quarantine expired lot",IF(AND($N477&lt;&gt;"",$N477&lt;=Settings!$C$6),"Use or rotate stock now","")))))))</f>
        <v/>
      </c>
    </row>
    <row r="478" spans="1:17" x14ac:dyDescent="0.35">
      <c r="A478" s="18" t="str">
        <f>IF(Items!$A475="","",Items!$A475)</f>
        <v/>
      </c>
      <c r="B478" s="18" t="str">
        <f>IF($A478="","",Items!$B475)</f>
        <v/>
      </c>
      <c r="C478" s="19" t="str">
        <f>IF($A478="","",Items!$G475)</f>
        <v/>
      </c>
      <c r="D478" s="20" t="str">
        <f>IF($A478="","",N(Items!$D475))</f>
        <v/>
      </c>
      <c r="E478" s="23" t="str">
        <f>IF($A478="","",Items!$E475)</f>
        <v/>
      </c>
      <c r="F478" s="23" t="str">
        <f>IF($A478="","",Items!$F475)</f>
        <v/>
      </c>
      <c r="G478" s="26" t="str">
        <f>IF($A478="","",SUMIFS(tblReceipts[Qty Received],tblReceipts[Item Name],$A478))</f>
        <v/>
      </c>
      <c r="H478" s="26" t="str">
        <f>IF($A478="","",SUMIFS(tblIssues[Qty Issued],tblIssues[Item Name],$A478))</f>
        <v/>
      </c>
      <c r="I478" s="27" t="str">
        <f t="shared" si="21"/>
        <v/>
      </c>
      <c r="J478" s="21" t="str">
        <f t="shared" si="22"/>
        <v/>
      </c>
      <c r="K478" s="26" t="str">
        <f>IF($A478="","",COUNTIFS(tblReceipts[Item Name],$A478))</f>
        <v/>
      </c>
      <c r="L478" s="26" t="str">
        <f>IF($A478="","",COUNTIFS(tblLotBalance[Item Name],$A478,tblLotBalance[Lot Balance],"&gt;0"))</f>
        <v/>
      </c>
      <c r="M478" s="24" t="str">
        <f>IF($A478="","",IF($L478=0,"",IFERROR(_xlfn.MINIFS(tblLotBalance[Expiry Date],tblLotBalance[Item Name],$A478,tblLotBalance[Lot Balance],"&gt;0"),"")))</f>
        <v/>
      </c>
      <c r="N478" s="26" t="str">
        <f t="shared" ca="1" si="23"/>
        <v/>
      </c>
      <c r="O478" s="18" t="str" cm="1">
        <f t="array" ref="O478">IF($M478="","",IFERROR(INDEX(tblLotBalance[Lot Number],MATCH(1,INDEX((tblLotBalance[Item Name]=$A478)*(tblLotBalance[Expiry Date]=$M478)*(tblLotBalance[Lot Balance]&gt;0),0),0)),""))</f>
        <v/>
      </c>
      <c r="P478" s="28" t="str">
        <f>IF($A478="","",IF($I478&lt;0,"NEGATIVE",IF(NOT(ISNUMBER($F478)),"Set threshold",IF($I478&lt;=0,"OUT OF STOCK",IF($I478&lt;=$F478,"LOW",IF($I478&lt;=$F478*Settings!$C$7,"WATCH","OK"))))))</f>
        <v/>
      </c>
      <c r="Q478" s="29" t="str">
        <f>IF($A478="","",IF($P478="NEGATIVE","Issued more than received - add the missing receipt",IF($P478="OUT OF STOCK","Reorder immediately",IF($P478="LOW","Raise purchase order",IF($P478="Set threshold","Enter Critical Low in Items",IF(AND($N478&lt;&gt;"",$N478&lt;=0),"Quarantine expired lot",IF(AND($N478&lt;&gt;"",$N478&lt;=Settings!$C$6),"Use or rotate stock now","")))))))</f>
        <v/>
      </c>
    </row>
    <row r="479" spans="1:17" x14ac:dyDescent="0.35">
      <c r="A479" s="18" t="str">
        <f>IF(Items!$A476="","",Items!$A476)</f>
        <v/>
      </c>
      <c r="B479" s="18" t="str">
        <f>IF($A479="","",Items!$B476)</f>
        <v/>
      </c>
      <c r="C479" s="19" t="str">
        <f>IF($A479="","",Items!$G476)</f>
        <v/>
      </c>
      <c r="D479" s="20" t="str">
        <f>IF($A479="","",N(Items!$D476))</f>
        <v/>
      </c>
      <c r="E479" s="23" t="str">
        <f>IF($A479="","",Items!$E476)</f>
        <v/>
      </c>
      <c r="F479" s="23" t="str">
        <f>IF($A479="","",Items!$F476)</f>
        <v/>
      </c>
      <c r="G479" s="26" t="str">
        <f>IF($A479="","",SUMIFS(tblReceipts[Qty Received],tblReceipts[Item Name],$A479))</f>
        <v/>
      </c>
      <c r="H479" s="26" t="str">
        <f>IF($A479="","",SUMIFS(tblIssues[Qty Issued],tblIssues[Item Name],$A479))</f>
        <v/>
      </c>
      <c r="I479" s="27" t="str">
        <f t="shared" si="21"/>
        <v/>
      </c>
      <c r="J479" s="21" t="str">
        <f t="shared" si="22"/>
        <v/>
      </c>
      <c r="K479" s="26" t="str">
        <f>IF($A479="","",COUNTIFS(tblReceipts[Item Name],$A479))</f>
        <v/>
      </c>
      <c r="L479" s="26" t="str">
        <f>IF($A479="","",COUNTIFS(tblLotBalance[Item Name],$A479,tblLotBalance[Lot Balance],"&gt;0"))</f>
        <v/>
      </c>
      <c r="M479" s="24" t="str">
        <f>IF($A479="","",IF($L479=0,"",IFERROR(_xlfn.MINIFS(tblLotBalance[Expiry Date],tblLotBalance[Item Name],$A479,tblLotBalance[Lot Balance],"&gt;0"),"")))</f>
        <v/>
      </c>
      <c r="N479" s="26" t="str">
        <f t="shared" ca="1" si="23"/>
        <v/>
      </c>
      <c r="O479" s="18" t="str" cm="1">
        <f t="array" ref="O479">IF($M479="","",IFERROR(INDEX(tblLotBalance[Lot Number],MATCH(1,INDEX((tblLotBalance[Item Name]=$A479)*(tblLotBalance[Expiry Date]=$M479)*(tblLotBalance[Lot Balance]&gt;0),0),0)),""))</f>
        <v/>
      </c>
      <c r="P479" s="28" t="str">
        <f>IF($A479="","",IF($I479&lt;0,"NEGATIVE",IF(NOT(ISNUMBER($F479)),"Set threshold",IF($I479&lt;=0,"OUT OF STOCK",IF($I479&lt;=$F479,"LOW",IF($I479&lt;=$F479*Settings!$C$7,"WATCH","OK"))))))</f>
        <v/>
      </c>
      <c r="Q479" s="29" t="str">
        <f>IF($A479="","",IF($P479="NEGATIVE","Issued more than received - add the missing receipt",IF($P479="OUT OF STOCK","Reorder immediately",IF($P479="LOW","Raise purchase order",IF($P479="Set threshold","Enter Critical Low in Items",IF(AND($N479&lt;&gt;"",$N479&lt;=0),"Quarantine expired lot",IF(AND($N479&lt;&gt;"",$N479&lt;=Settings!$C$6),"Use or rotate stock now","")))))))</f>
        <v/>
      </c>
    </row>
    <row r="480" spans="1:17" x14ac:dyDescent="0.35">
      <c r="A480" s="18" t="str">
        <f>IF(Items!$A477="","",Items!$A477)</f>
        <v/>
      </c>
      <c r="B480" s="18" t="str">
        <f>IF($A480="","",Items!$B477)</f>
        <v/>
      </c>
      <c r="C480" s="19" t="str">
        <f>IF($A480="","",Items!$G477)</f>
        <v/>
      </c>
      <c r="D480" s="20" t="str">
        <f>IF($A480="","",N(Items!$D477))</f>
        <v/>
      </c>
      <c r="E480" s="23" t="str">
        <f>IF($A480="","",Items!$E477)</f>
        <v/>
      </c>
      <c r="F480" s="23" t="str">
        <f>IF($A480="","",Items!$F477)</f>
        <v/>
      </c>
      <c r="G480" s="26" t="str">
        <f>IF($A480="","",SUMIFS(tblReceipts[Qty Received],tblReceipts[Item Name],$A480))</f>
        <v/>
      </c>
      <c r="H480" s="26" t="str">
        <f>IF($A480="","",SUMIFS(tblIssues[Qty Issued],tblIssues[Item Name],$A480))</f>
        <v/>
      </c>
      <c r="I480" s="27" t="str">
        <f t="shared" si="21"/>
        <v/>
      </c>
      <c r="J480" s="21" t="str">
        <f t="shared" si="22"/>
        <v/>
      </c>
      <c r="K480" s="26" t="str">
        <f>IF($A480="","",COUNTIFS(tblReceipts[Item Name],$A480))</f>
        <v/>
      </c>
      <c r="L480" s="26" t="str">
        <f>IF($A480="","",COUNTIFS(tblLotBalance[Item Name],$A480,tblLotBalance[Lot Balance],"&gt;0"))</f>
        <v/>
      </c>
      <c r="M480" s="24" t="str">
        <f>IF($A480="","",IF($L480=0,"",IFERROR(_xlfn.MINIFS(tblLotBalance[Expiry Date],tblLotBalance[Item Name],$A480,tblLotBalance[Lot Balance],"&gt;0"),"")))</f>
        <v/>
      </c>
      <c r="N480" s="26" t="str">
        <f t="shared" ca="1" si="23"/>
        <v/>
      </c>
      <c r="O480" s="18" t="str" cm="1">
        <f t="array" ref="O480">IF($M480="","",IFERROR(INDEX(tblLotBalance[Lot Number],MATCH(1,INDEX((tblLotBalance[Item Name]=$A480)*(tblLotBalance[Expiry Date]=$M480)*(tblLotBalance[Lot Balance]&gt;0),0),0)),""))</f>
        <v/>
      </c>
      <c r="P480" s="28" t="str">
        <f>IF($A480="","",IF($I480&lt;0,"NEGATIVE",IF(NOT(ISNUMBER($F480)),"Set threshold",IF($I480&lt;=0,"OUT OF STOCK",IF($I480&lt;=$F480,"LOW",IF($I480&lt;=$F480*Settings!$C$7,"WATCH","OK"))))))</f>
        <v/>
      </c>
      <c r="Q480" s="29" t="str">
        <f>IF($A480="","",IF($P480="NEGATIVE","Issued more than received - add the missing receipt",IF($P480="OUT OF STOCK","Reorder immediately",IF($P480="LOW","Raise purchase order",IF($P480="Set threshold","Enter Critical Low in Items",IF(AND($N480&lt;&gt;"",$N480&lt;=0),"Quarantine expired lot",IF(AND($N480&lt;&gt;"",$N480&lt;=Settings!$C$6),"Use or rotate stock now","")))))))</f>
        <v/>
      </c>
    </row>
    <row r="481" spans="1:17" x14ac:dyDescent="0.35">
      <c r="A481" s="18" t="str">
        <f>IF(Items!$A478="","",Items!$A478)</f>
        <v/>
      </c>
      <c r="B481" s="18" t="str">
        <f>IF($A481="","",Items!$B478)</f>
        <v/>
      </c>
      <c r="C481" s="19" t="str">
        <f>IF($A481="","",Items!$G478)</f>
        <v/>
      </c>
      <c r="D481" s="20" t="str">
        <f>IF($A481="","",N(Items!$D478))</f>
        <v/>
      </c>
      <c r="E481" s="23" t="str">
        <f>IF($A481="","",Items!$E478)</f>
        <v/>
      </c>
      <c r="F481" s="23" t="str">
        <f>IF($A481="","",Items!$F478)</f>
        <v/>
      </c>
      <c r="G481" s="26" t="str">
        <f>IF($A481="","",SUMIFS(tblReceipts[Qty Received],tblReceipts[Item Name],$A481))</f>
        <v/>
      </c>
      <c r="H481" s="26" t="str">
        <f>IF($A481="","",SUMIFS(tblIssues[Qty Issued],tblIssues[Item Name],$A481))</f>
        <v/>
      </c>
      <c r="I481" s="27" t="str">
        <f t="shared" si="21"/>
        <v/>
      </c>
      <c r="J481" s="21" t="str">
        <f t="shared" si="22"/>
        <v/>
      </c>
      <c r="K481" s="26" t="str">
        <f>IF($A481="","",COUNTIFS(tblReceipts[Item Name],$A481))</f>
        <v/>
      </c>
      <c r="L481" s="26" t="str">
        <f>IF($A481="","",COUNTIFS(tblLotBalance[Item Name],$A481,tblLotBalance[Lot Balance],"&gt;0"))</f>
        <v/>
      </c>
      <c r="M481" s="24" t="str">
        <f>IF($A481="","",IF($L481=0,"",IFERROR(_xlfn.MINIFS(tblLotBalance[Expiry Date],tblLotBalance[Item Name],$A481,tblLotBalance[Lot Balance],"&gt;0"),"")))</f>
        <v/>
      </c>
      <c r="N481" s="26" t="str">
        <f t="shared" ca="1" si="23"/>
        <v/>
      </c>
      <c r="O481" s="18" t="str" cm="1">
        <f t="array" ref="O481">IF($M481="","",IFERROR(INDEX(tblLotBalance[Lot Number],MATCH(1,INDEX((tblLotBalance[Item Name]=$A481)*(tblLotBalance[Expiry Date]=$M481)*(tblLotBalance[Lot Balance]&gt;0),0),0)),""))</f>
        <v/>
      </c>
      <c r="P481" s="28" t="str">
        <f>IF($A481="","",IF($I481&lt;0,"NEGATIVE",IF(NOT(ISNUMBER($F481)),"Set threshold",IF($I481&lt;=0,"OUT OF STOCK",IF($I481&lt;=$F481,"LOW",IF($I481&lt;=$F481*Settings!$C$7,"WATCH","OK"))))))</f>
        <v/>
      </c>
      <c r="Q481" s="29" t="str">
        <f>IF($A481="","",IF($P481="NEGATIVE","Issued more than received - add the missing receipt",IF($P481="OUT OF STOCK","Reorder immediately",IF($P481="LOW","Raise purchase order",IF($P481="Set threshold","Enter Critical Low in Items",IF(AND($N481&lt;&gt;"",$N481&lt;=0),"Quarantine expired lot",IF(AND($N481&lt;&gt;"",$N481&lt;=Settings!$C$6),"Use or rotate stock now","")))))))</f>
        <v/>
      </c>
    </row>
    <row r="482" spans="1:17" x14ac:dyDescent="0.35">
      <c r="A482" s="18" t="str">
        <f>IF(Items!$A479="","",Items!$A479)</f>
        <v/>
      </c>
      <c r="B482" s="18" t="str">
        <f>IF($A482="","",Items!$B479)</f>
        <v/>
      </c>
      <c r="C482" s="19" t="str">
        <f>IF($A482="","",Items!$G479)</f>
        <v/>
      </c>
      <c r="D482" s="20" t="str">
        <f>IF($A482="","",N(Items!$D479))</f>
        <v/>
      </c>
      <c r="E482" s="23" t="str">
        <f>IF($A482="","",Items!$E479)</f>
        <v/>
      </c>
      <c r="F482" s="23" t="str">
        <f>IF($A482="","",Items!$F479)</f>
        <v/>
      </c>
      <c r="G482" s="26" t="str">
        <f>IF($A482="","",SUMIFS(tblReceipts[Qty Received],tblReceipts[Item Name],$A482))</f>
        <v/>
      </c>
      <c r="H482" s="26" t="str">
        <f>IF($A482="","",SUMIFS(tblIssues[Qty Issued],tblIssues[Item Name],$A482))</f>
        <v/>
      </c>
      <c r="I482" s="27" t="str">
        <f t="shared" si="21"/>
        <v/>
      </c>
      <c r="J482" s="21" t="str">
        <f t="shared" si="22"/>
        <v/>
      </c>
      <c r="K482" s="26" t="str">
        <f>IF($A482="","",COUNTIFS(tblReceipts[Item Name],$A482))</f>
        <v/>
      </c>
      <c r="L482" s="26" t="str">
        <f>IF($A482="","",COUNTIFS(tblLotBalance[Item Name],$A482,tblLotBalance[Lot Balance],"&gt;0"))</f>
        <v/>
      </c>
      <c r="M482" s="24" t="str">
        <f>IF($A482="","",IF($L482=0,"",IFERROR(_xlfn.MINIFS(tblLotBalance[Expiry Date],tblLotBalance[Item Name],$A482,tblLotBalance[Lot Balance],"&gt;0"),"")))</f>
        <v/>
      </c>
      <c r="N482" s="26" t="str">
        <f t="shared" ca="1" si="23"/>
        <v/>
      </c>
      <c r="O482" s="18" t="str" cm="1">
        <f t="array" ref="O482">IF($M482="","",IFERROR(INDEX(tblLotBalance[Lot Number],MATCH(1,INDEX((tblLotBalance[Item Name]=$A482)*(tblLotBalance[Expiry Date]=$M482)*(tblLotBalance[Lot Balance]&gt;0),0),0)),""))</f>
        <v/>
      </c>
      <c r="P482" s="28" t="str">
        <f>IF($A482="","",IF($I482&lt;0,"NEGATIVE",IF(NOT(ISNUMBER($F482)),"Set threshold",IF($I482&lt;=0,"OUT OF STOCK",IF($I482&lt;=$F482,"LOW",IF($I482&lt;=$F482*Settings!$C$7,"WATCH","OK"))))))</f>
        <v/>
      </c>
      <c r="Q482" s="29" t="str">
        <f>IF($A482="","",IF($P482="NEGATIVE","Issued more than received - add the missing receipt",IF($P482="OUT OF STOCK","Reorder immediately",IF($P482="LOW","Raise purchase order",IF($P482="Set threshold","Enter Critical Low in Items",IF(AND($N482&lt;&gt;"",$N482&lt;=0),"Quarantine expired lot",IF(AND($N482&lt;&gt;"",$N482&lt;=Settings!$C$6),"Use or rotate stock now","")))))))</f>
        <v/>
      </c>
    </row>
    <row r="483" spans="1:17" x14ac:dyDescent="0.35">
      <c r="A483" s="18" t="str">
        <f>IF(Items!$A480="","",Items!$A480)</f>
        <v/>
      </c>
      <c r="B483" s="18" t="str">
        <f>IF($A483="","",Items!$B480)</f>
        <v/>
      </c>
      <c r="C483" s="19" t="str">
        <f>IF($A483="","",Items!$G480)</f>
        <v/>
      </c>
      <c r="D483" s="20" t="str">
        <f>IF($A483="","",N(Items!$D480))</f>
        <v/>
      </c>
      <c r="E483" s="23" t="str">
        <f>IF($A483="","",Items!$E480)</f>
        <v/>
      </c>
      <c r="F483" s="23" t="str">
        <f>IF($A483="","",Items!$F480)</f>
        <v/>
      </c>
      <c r="G483" s="26" t="str">
        <f>IF($A483="","",SUMIFS(tblReceipts[Qty Received],tblReceipts[Item Name],$A483))</f>
        <v/>
      </c>
      <c r="H483" s="26" t="str">
        <f>IF($A483="","",SUMIFS(tblIssues[Qty Issued],tblIssues[Item Name],$A483))</f>
        <v/>
      </c>
      <c r="I483" s="27" t="str">
        <f t="shared" si="21"/>
        <v/>
      </c>
      <c r="J483" s="21" t="str">
        <f t="shared" si="22"/>
        <v/>
      </c>
      <c r="K483" s="26" t="str">
        <f>IF($A483="","",COUNTIFS(tblReceipts[Item Name],$A483))</f>
        <v/>
      </c>
      <c r="L483" s="26" t="str">
        <f>IF($A483="","",COUNTIFS(tblLotBalance[Item Name],$A483,tblLotBalance[Lot Balance],"&gt;0"))</f>
        <v/>
      </c>
      <c r="M483" s="24" t="str">
        <f>IF($A483="","",IF($L483=0,"",IFERROR(_xlfn.MINIFS(tblLotBalance[Expiry Date],tblLotBalance[Item Name],$A483,tblLotBalance[Lot Balance],"&gt;0"),"")))</f>
        <v/>
      </c>
      <c r="N483" s="26" t="str">
        <f t="shared" ca="1" si="23"/>
        <v/>
      </c>
      <c r="O483" s="18" t="str" cm="1">
        <f t="array" ref="O483">IF($M483="","",IFERROR(INDEX(tblLotBalance[Lot Number],MATCH(1,INDEX((tblLotBalance[Item Name]=$A483)*(tblLotBalance[Expiry Date]=$M483)*(tblLotBalance[Lot Balance]&gt;0),0),0)),""))</f>
        <v/>
      </c>
      <c r="P483" s="28" t="str">
        <f>IF($A483="","",IF($I483&lt;0,"NEGATIVE",IF(NOT(ISNUMBER($F483)),"Set threshold",IF($I483&lt;=0,"OUT OF STOCK",IF($I483&lt;=$F483,"LOW",IF($I483&lt;=$F483*Settings!$C$7,"WATCH","OK"))))))</f>
        <v/>
      </c>
      <c r="Q483" s="29" t="str">
        <f>IF($A483="","",IF($P483="NEGATIVE","Issued more than received - add the missing receipt",IF($P483="OUT OF STOCK","Reorder immediately",IF($P483="LOW","Raise purchase order",IF($P483="Set threshold","Enter Critical Low in Items",IF(AND($N483&lt;&gt;"",$N483&lt;=0),"Quarantine expired lot",IF(AND($N483&lt;&gt;"",$N483&lt;=Settings!$C$6),"Use or rotate stock now","")))))))</f>
        <v/>
      </c>
    </row>
    <row r="484" spans="1:17" x14ac:dyDescent="0.35">
      <c r="A484" s="18" t="str">
        <f>IF(Items!$A481="","",Items!$A481)</f>
        <v/>
      </c>
      <c r="B484" s="18" t="str">
        <f>IF($A484="","",Items!$B481)</f>
        <v/>
      </c>
      <c r="C484" s="19" t="str">
        <f>IF($A484="","",Items!$G481)</f>
        <v/>
      </c>
      <c r="D484" s="20" t="str">
        <f>IF($A484="","",N(Items!$D481))</f>
        <v/>
      </c>
      <c r="E484" s="23" t="str">
        <f>IF($A484="","",Items!$E481)</f>
        <v/>
      </c>
      <c r="F484" s="23" t="str">
        <f>IF($A484="","",Items!$F481)</f>
        <v/>
      </c>
      <c r="G484" s="26" t="str">
        <f>IF($A484="","",SUMIFS(tblReceipts[Qty Received],tblReceipts[Item Name],$A484))</f>
        <v/>
      </c>
      <c r="H484" s="26" t="str">
        <f>IF($A484="","",SUMIFS(tblIssues[Qty Issued],tblIssues[Item Name],$A484))</f>
        <v/>
      </c>
      <c r="I484" s="27" t="str">
        <f t="shared" si="21"/>
        <v/>
      </c>
      <c r="J484" s="21" t="str">
        <f t="shared" si="22"/>
        <v/>
      </c>
      <c r="K484" s="26" t="str">
        <f>IF($A484="","",COUNTIFS(tblReceipts[Item Name],$A484))</f>
        <v/>
      </c>
      <c r="L484" s="26" t="str">
        <f>IF($A484="","",COUNTIFS(tblLotBalance[Item Name],$A484,tblLotBalance[Lot Balance],"&gt;0"))</f>
        <v/>
      </c>
      <c r="M484" s="24" t="str">
        <f>IF($A484="","",IF($L484=0,"",IFERROR(_xlfn.MINIFS(tblLotBalance[Expiry Date],tblLotBalance[Item Name],$A484,tblLotBalance[Lot Balance],"&gt;0"),"")))</f>
        <v/>
      </c>
      <c r="N484" s="26" t="str">
        <f t="shared" ca="1" si="23"/>
        <v/>
      </c>
      <c r="O484" s="18" t="str" cm="1">
        <f t="array" ref="O484">IF($M484="","",IFERROR(INDEX(tblLotBalance[Lot Number],MATCH(1,INDEX((tblLotBalance[Item Name]=$A484)*(tblLotBalance[Expiry Date]=$M484)*(tblLotBalance[Lot Balance]&gt;0),0),0)),""))</f>
        <v/>
      </c>
      <c r="P484" s="28" t="str">
        <f>IF($A484="","",IF($I484&lt;0,"NEGATIVE",IF(NOT(ISNUMBER($F484)),"Set threshold",IF($I484&lt;=0,"OUT OF STOCK",IF($I484&lt;=$F484,"LOW",IF($I484&lt;=$F484*Settings!$C$7,"WATCH","OK"))))))</f>
        <v/>
      </c>
      <c r="Q484" s="29" t="str">
        <f>IF($A484="","",IF($P484="NEGATIVE","Issued more than received - add the missing receipt",IF($P484="OUT OF STOCK","Reorder immediately",IF($P484="LOW","Raise purchase order",IF($P484="Set threshold","Enter Critical Low in Items",IF(AND($N484&lt;&gt;"",$N484&lt;=0),"Quarantine expired lot",IF(AND($N484&lt;&gt;"",$N484&lt;=Settings!$C$6),"Use or rotate stock now","")))))))</f>
        <v/>
      </c>
    </row>
    <row r="485" spans="1:17" x14ac:dyDescent="0.35">
      <c r="A485" s="18" t="str">
        <f>IF(Items!$A482="","",Items!$A482)</f>
        <v/>
      </c>
      <c r="B485" s="18" t="str">
        <f>IF($A485="","",Items!$B482)</f>
        <v/>
      </c>
      <c r="C485" s="19" t="str">
        <f>IF($A485="","",Items!$G482)</f>
        <v/>
      </c>
      <c r="D485" s="20" t="str">
        <f>IF($A485="","",N(Items!$D482))</f>
        <v/>
      </c>
      <c r="E485" s="23" t="str">
        <f>IF($A485="","",Items!$E482)</f>
        <v/>
      </c>
      <c r="F485" s="23" t="str">
        <f>IF($A485="","",Items!$F482)</f>
        <v/>
      </c>
      <c r="G485" s="26" t="str">
        <f>IF($A485="","",SUMIFS(tblReceipts[Qty Received],tblReceipts[Item Name],$A485))</f>
        <v/>
      </c>
      <c r="H485" s="26" t="str">
        <f>IF($A485="","",SUMIFS(tblIssues[Qty Issued],tblIssues[Item Name],$A485))</f>
        <v/>
      </c>
      <c r="I485" s="27" t="str">
        <f t="shared" si="21"/>
        <v/>
      </c>
      <c r="J485" s="21" t="str">
        <f t="shared" si="22"/>
        <v/>
      </c>
      <c r="K485" s="26" t="str">
        <f>IF($A485="","",COUNTIFS(tblReceipts[Item Name],$A485))</f>
        <v/>
      </c>
      <c r="L485" s="26" t="str">
        <f>IF($A485="","",COUNTIFS(tblLotBalance[Item Name],$A485,tblLotBalance[Lot Balance],"&gt;0"))</f>
        <v/>
      </c>
      <c r="M485" s="24" t="str">
        <f>IF($A485="","",IF($L485=0,"",IFERROR(_xlfn.MINIFS(tblLotBalance[Expiry Date],tblLotBalance[Item Name],$A485,tblLotBalance[Lot Balance],"&gt;0"),"")))</f>
        <v/>
      </c>
      <c r="N485" s="26" t="str">
        <f t="shared" ca="1" si="23"/>
        <v/>
      </c>
      <c r="O485" s="18" t="str" cm="1">
        <f t="array" ref="O485">IF($M485="","",IFERROR(INDEX(tblLotBalance[Lot Number],MATCH(1,INDEX((tblLotBalance[Item Name]=$A485)*(tblLotBalance[Expiry Date]=$M485)*(tblLotBalance[Lot Balance]&gt;0),0),0)),""))</f>
        <v/>
      </c>
      <c r="P485" s="28" t="str">
        <f>IF($A485="","",IF($I485&lt;0,"NEGATIVE",IF(NOT(ISNUMBER($F485)),"Set threshold",IF($I485&lt;=0,"OUT OF STOCK",IF($I485&lt;=$F485,"LOW",IF($I485&lt;=$F485*Settings!$C$7,"WATCH","OK"))))))</f>
        <v/>
      </c>
      <c r="Q485" s="29" t="str">
        <f>IF($A485="","",IF($P485="NEGATIVE","Issued more than received - add the missing receipt",IF($P485="OUT OF STOCK","Reorder immediately",IF($P485="LOW","Raise purchase order",IF($P485="Set threshold","Enter Critical Low in Items",IF(AND($N485&lt;&gt;"",$N485&lt;=0),"Quarantine expired lot",IF(AND($N485&lt;&gt;"",$N485&lt;=Settings!$C$6),"Use or rotate stock now","")))))))</f>
        <v/>
      </c>
    </row>
    <row r="486" spans="1:17" x14ac:dyDescent="0.35">
      <c r="A486" s="18" t="str">
        <f>IF(Items!$A483="","",Items!$A483)</f>
        <v/>
      </c>
      <c r="B486" s="18" t="str">
        <f>IF($A486="","",Items!$B483)</f>
        <v/>
      </c>
      <c r="C486" s="19" t="str">
        <f>IF($A486="","",Items!$G483)</f>
        <v/>
      </c>
      <c r="D486" s="20" t="str">
        <f>IF($A486="","",N(Items!$D483))</f>
        <v/>
      </c>
      <c r="E486" s="23" t="str">
        <f>IF($A486="","",Items!$E483)</f>
        <v/>
      </c>
      <c r="F486" s="23" t="str">
        <f>IF($A486="","",Items!$F483)</f>
        <v/>
      </c>
      <c r="G486" s="26" t="str">
        <f>IF($A486="","",SUMIFS(tblReceipts[Qty Received],tblReceipts[Item Name],$A486))</f>
        <v/>
      </c>
      <c r="H486" s="26" t="str">
        <f>IF($A486="","",SUMIFS(tblIssues[Qty Issued],tblIssues[Item Name],$A486))</f>
        <v/>
      </c>
      <c r="I486" s="27" t="str">
        <f t="shared" si="21"/>
        <v/>
      </c>
      <c r="J486" s="21" t="str">
        <f t="shared" si="22"/>
        <v/>
      </c>
      <c r="K486" s="26" t="str">
        <f>IF($A486="","",COUNTIFS(tblReceipts[Item Name],$A486))</f>
        <v/>
      </c>
      <c r="L486" s="26" t="str">
        <f>IF($A486="","",COUNTIFS(tblLotBalance[Item Name],$A486,tblLotBalance[Lot Balance],"&gt;0"))</f>
        <v/>
      </c>
      <c r="M486" s="24" t="str">
        <f>IF($A486="","",IF($L486=0,"",IFERROR(_xlfn.MINIFS(tblLotBalance[Expiry Date],tblLotBalance[Item Name],$A486,tblLotBalance[Lot Balance],"&gt;0"),"")))</f>
        <v/>
      </c>
      <c r="N486" s="26" t="str">
        <f t="shared" ca="1" si="23"/>
        <v/>
      </c>
      <c r="O486" s="18" t="str" cm="1">
        <f t="array" ref="O486">IF($M486="","",IFERROR(INDEX(tblLotBalance[Lot Number],MATCH(1,INDEX((tblLotBalance[Item Name]=$A486)*(tblLotBalance[Expiry Date]=$M486)*(tblLotBalance[Lot Balance]&gt;0),0),0)),""))</f>
        <v/>
      </c>
      <c r="P486" s="28" t="str">
        <f>IF($A486="","",IF($I486&lt;0,"NEGATIVE",IF(NOT(ISNUMBER($F486)),"Set threshold",IF($I486&lt;=0,"OUT OF STOCK",IF($I486&lt;=$F486,"LOW",IF($I486&lt;=$F486*Settings!$C$7,"WATCH","OK"))))))</f>
        <v/>
      </c>
      <c r="Q486" s="29" t="str">
        <f>IF($A486="","",IF($P486="NEGATIVE","Issued more than received - add the missing receipt",IF($P486="OUT OF STOCK","Reorder immediately",IF($P486="LOW","Raise purchase order",IF($P486="Set threshold","Enter Critical Low in Items",IF(AND($N486&lt;&gt;"",$N486&lt;=0),"Quarantine expired lot",IF(AND($N486&lt;&gt;"",$N486&lt;=Settings!$C$6),"Use or rotate stock now","")))))))</f>
        <v/>
      </c>
    </row>
    <row r="487" spans="1:17" x14ac:dyDescent="0.35">
      <c r="A487" s="18" t="str">
        <f>IF(Items!$A484="","",Items!$A484)</f>
        <v/>
      </c>
      <c r="B487" s="18" t="str">
        <f>IF($A487="","",Items!$B484)</f>
        <v/>
      </c>
      <c r="C487" s="19" t="str">
        <f>IF($A487="","",Items!$G484)</f>
        <v/>
      </c>
      <c r="D487" s="20" t="str">
        <f>IF($A487="","",N(Items!$D484))</f>
        <v/>
      </c>
      <c r="E487" s="23" t="str">
        <f>IF($A487="","",Items!$E484)</f>
        <v/>
      </c>
      <c r="F487" s="23" t="str">
        <f>IF($A487="","",Items!$F484)</f>
        <v/>
      </c>
      <c r="G487" s="26" t="str">
        <f>IF($A487="","",SUMIFS(tblReceipts[Qty Received],tblReceipts[Item Name],$A487))</f>
        <v/>
      </c>
      <c r="H487" s="26" t="str">
        <f>IF($A487="","",SUMIFS(tblIssues[Qty Issued],tblIssues[Item Name],$A487))</f>
        <v/>
      </c>
      <c r="I487" s="27" t="str">
        <f t="shared" si="21"/>
        <v/>
      </c>
      <c r="J487" s="21" t="str">
        <f t="shared" si="22"/>
        <v/>
      </c>
      <c r="K487" s="26" t="str">
        <f>IF($A487="","",COUNTIFS(tblReceipts[Item Name],$A487))</f>
        <v/>
      </c>
      <c r="L487" s="26" t="str">
        <f>IF($A487="","",COUNTIFS(tblLotBalance[Item Name],$A487,tblLotBalance[Lot Balance],"&gt;0"))</f>
        <v/>
      </c>
      <c r="M487" s="24" t="str">
        <f>IF($A487="","",IF($L487=0,"",IFERROR(_xlfn.MINIFS(tblLotBalance[Expiry Date],tblLotBalance[Item Name],$A487,tblLotBalance[Lot Balance],"&gt;0"),"")))</f>
        <v/>
      </c>
      <c r="N487" s="26" t="str">
        <f t="shared" ca="1" si="23"/>
        <v/>
      </c>
      <c r="O487" s="18" t="str" cm="1">
        <f t="array" ref="O487">IF($M487="","",IFERROR(INDEX(tblLotBalance[Lot Number],MATCH(1,INDEX((tblLotBalance[Item Name]=$A487)*(tblLotBalance[Expiry Date]=$M487)*(tblLotBalance[Lot Balance]&gt;0),0),0)),""))</f>
        <v/>
      </c>
      <c r="P487" s="28" t="str">
        <f>IF($A487="","",IF($I487&lt;0,"NEGATIVE",IF(NOT(ISNUMBER($F487)),"Set threshold",IF($I487&lt;=0,"OUT OF STOCK",IF($I487&lt;=$F487,"LOW",IF($I487&lt;=$F487*Settings!$C$7,"WATCH","OK"))))))</f>
        <v/>
      </c>
      <c r="Q487" s="29" t="str">
        <f>IF($A487="","",IF($P487="NEGATIVE","Issued more than received - add the missing receipt",IF($P487="OUT OF STOCK","Reorder immediately",IF($P487="LOW","Raise purchase order",IF($P487="Set threshold","Enter Critical Low in Items",IF(AND($N487&lt;&gt;"",$N487&lt;=0),"Quarantine expired lot",IF(AND($N487&lt;&gt;"",$N487&lt;=Settings!$C$6),"Use or rotate stock now","")))))))</f>
        <v/>
      </c>
    </row>
    <row r="488" spans="1:17" x14ac:dyDescent="0.35">
      <c r="A488" s="18" t="str">
        <f>IF(Items!$A485="","",Items!$A485)</f>
        <v/>
      </c>
      <c r="B488" s="18" t="str">
        <f>IF($A488="","",Items!$B485)</f>
        <v/>
      </c>
      <c r="C488" s="19" t="str">
        <f>IF($A488="","",Items!$G485)</f>
        <v/>
      </c>
      <c r="D488" s="20" t="str">
        <f>IF($A488="","",N(Items!$D485))</f>
        <v/>
      </c>
      <c r="E488" s="23" t="str">
        <f>IF($A488="","",Items!$E485)</f>
        <v/>
      </c>
      <c r="F488" s="23" t="str">
        <f>IF($A488="","",Items!$F485)</f>
        <v/>
      </c>
      <c r="G488" s="26" t="str">
        <f>IF($A488="","",SUMIFS(tblReceipts[Qty Received],tblReceipts[Item Name],$A488))</f>
        <v/>
      </c>
      <c r="H488" s="26" t="str">
        <f>IF($A488="","",SUMIFS(tblIssues[Qty Issued],tblIssues[Item Name],$A488))</f>
        <v/>
      </c>
      <c r="I488" s="27" t="str">
        <f t="shared" si="21"/>
        <v/>
      </c>
      <c r="J488" s="21" t="str">
        <f t="shared" si="22"/>
        <v/>
      </c>
      <c r="K488" s="26" t="str">
        <f>IF($A488="","",COUNTIFS(tblReceipts[Item Name],$A488))</f>
        <v/>
      </c>
      <c r="L488" s="26" t="str">
        <f>IF($A488="","",COUNTIFS(tblLotBalance[Item Name],$A488,tblLotBalance[Lot Balance],"&gt;0"))</f>
        <v/>
      </c>
      <c r="M488" s="24" t="str">
        <f>IF($A488="","",IF($L488=0,"",IFERROR(_xlfn.MINIFS(tblLotBalance[Expiry Date],tblLotBalance[Item Name],$A488,tblLotBalance[Lot Balance],"&gt;0"),"")))</f>
        <v/>
      </c>
      <c r="N488" s="26" t="str">
        <f t="shared" ca="1" si="23"/>
        <v/>
      </c>
      <c r="O488" s="18" t="str" cm="1">
        <f t="array" ref="O488">IF($M488="","",IFERROR(INDEX(tblLotBalance[Lot Number],MATCH(1,INDEX((tblLotBalance[Item Name]=$A488)*(tblLotBalance[Expiry Date]=$M488)*(tblLotBalance[Lot Balance]&gt;0),0),0)),""))</f>
        <v/>
      </c>
      <c r="P488" s="28" t="str">
        <f>IF($A488="","",IF($I488&lt;0,"NEGATIVE",IF(NOT(ISNUMBER($F488)),"Set threshold",IF($I488&lt;=0,"OUT OF STOCK",IF($I488&lt;=$F488,"LOW",IF($I488&lt;=$F488*Settings!$C$7,"WATCH","OK"))))))</f>
        <v/>
      </c>
      <c r="Q488" s="29" t="str">
        <f>IF($A488="","",IF($P488="NEGATIVE","Issued more than received - add the missing receipt",IF($P488="OUT OF STOCK","Reorder immediately",IF($P488="LOW","Raise purchase order",IF($P488="Set threshold","Enter Critical Low in Items",IF(AND($N488&lt;&gt;"",$N488&lt;=0),"Quarantine expired lot",IF(AND($N488&lt;&gt;"",$N488&lt;=Settings!$C$6),"Use or rotate stock now","")))))))</f>
        <v/>
      </c>
    </row>
    <row r="489" spans="1:17" x14ac:dyDescent="0.35">
      <c r="A489" s="18" t="str">
        <f>IF(Items!$A486="","",Items!$A486)</f>
        <v/>
      </c>
      <c r="B489" s="18" t="str">
        <f>IF($A489="","",Items!$B486)</f>
        <v/>
      </c>
      <c r="C489" s="19" t="str">
        <f>IF($A489="","",Items!$G486)</f>
        <v/>
      </c>
      <c r="D489" s="20" t="str">
        <f>IF($A489="","",N(Items!$D486))</f>
        <v/>
      </c>
      <c r="E489" s="23" t="str">
        <f>IF($A489="","",Items!$E486)</f>
        <v/>
      </c>
      <c r="F489" s="23" t="str">
        <f>IF($A489="","",Items!$F486)</f>
        <v/>
      </c>
      <c r="G489" s="26" t="str">
        <f>IF($A489="","",SUMIFS(tblReceipts[Qty Received],tblReceipts[Item Name],$A489))</f>
        <v/>
      </c>
      <c r="H489" s="26" t="str">
        <f>IF($A489="","",SUMIFS(tblIssues[Qty Issued],tblIssues[Item Name],$A489))</f>
        <v/>
      </c>
      <c r="I489" s="27" t="str">
        <f t="shared" si="21"/>
        <v/>
      </c>
      <c r="J489" s="21" t="str">
        <f t="shared" si="22"/>
        <v/>
      </c>
      <c r="K489" s="26" t="str">
        <f>IF($A489="","",COUNTIFS(tblReceipts[Item Name],$A489))</f>
        <v/>
      </c>
      <c r="L489" s="26" t="str">
        <f>IF($A489="","",COUNTIFS(tblLotBalance[Item Name],$A489,tblLotBalance[Lot Balance],"&gt;0"))</f>
        <v/>
      </c>
      <c r="M489" s="24" t="str">
        <f>IF($A489="","",IF($L489=0,"",IFERROR(_xlfn.MINIFS(tblLotBalance[Expiry Date],tblLotBalance[Item Name],$A489,tblLotBalance[Lot Balance],"&gt;0"),"")))</f>
        <v/>
      </c>
      <c r="N489" s="26" t="str">
        <f t="shared" ca="1" si="23"/>
        <v/>
      </c>
      <c r="O489" s="18" t="str" cm="1">
        <f t="array" ref="O489">IF($M489="","",IFERROR(INDEX(tblLotBalance[Lot Number],MATCH(1,INDEX((tblLotBalance[Item Name]=$A489)*(tblLotBalance[Expiry Date]=$M489)*(tblLotBalance[Lot Balance]&gt;0),0),0)),""))</f>
        <v/>
      </c>
      <c r="P489" s="28" t="str">
        <f>IF($A489="","",IF($I489&lt;0,"NEGATIVE",IF(NOT(ISNUMBER($F489)),"Set threshold",IF($I489&lt;=0,"OUT OF STOCK",IF($I489&lt;=$F489,"LOW",IF($I489&lt;=$F489*Settings!$C$7,"WATCH","OK"))))))</f>
        <v/>
      </c>
      <c r="Q489" s="29" t="str">
        <f>IF($A489="","",IF($P489="NEGATIVE","Issued more than received - add the missing receipt",IF($P489="OUT OF STOCK","Reorder immediately",IF($P489="LOW","Raise purchase order",IF($P489="Set threshold","Enter Critical Low in Items",IF(AND($N489&lt;&gt;"",$N489&lt;=0),"Quarantine expired lot",IF(AND($N489&lt;&gt;"",$N489&lt;=Settings!$C$6),"Use or rotate stock now","")))))))</f>
        <v/>
      </c>
    </row>
    <row r="490" spans="1:17" x14ac:dyDescent="0.35">
      <c r="A490" s="18" t="str">
        <f>IF(Items!$A487="","",Items!$A487)</f>
        <v/>
      </c>
      <c r="B490" s="18" t="str">
        <f>IF($A490="","",Items!$B487)</f>
        <v/>
      </c>
      <c r="C490" s="19" t="str">
        <f>IF($A490="","",Items!$G487)</f>
        <v/>
      </c>
      <c r="D490" s="20" t="str">
        <f>IF($A490="","",N(Items!$D487))</f>
        <v/>
      </c>
      <c r="E490" s="23" t="str">
        <f>IF($A490="","",Items!$E487)</f>
        <v/>
      </c>
      <c r="F490" s="23" t="str">
        <f>IF($A490="","",Items!$F487)</f>
        <v/>
      </c>
      <c r="G490" s="26" t="str">
        <f>IF($A490="","",SUMIFS(tblReceipts[Qty Received],tblReceipts[Item Name],$A490))</f>
        <v/>
      </c>
      <c r="H490" s="26" t="str">
        <f>IF($A490="","",SUMIFS(tblIssues[Qty Issued],tblIssues[Item Name],$A490))</f>
        <v/>
      </c>
      <c r="I490" s="27" t="str">
        <f t="shared" si="21"/>
        <v/>
      </c>
      <c r="J490" s="21" t="str">
        <f t="shared" si="22"/>
        <v/>
      </c>
      <c r="K490" s="26" t="str">
        <f>IF($A490="","",COUNTIFS(tblReceipts[Item Name],$A490))</f>
        <v/>
      </c>
      <c r="L490" s="26" t="str">
        <f>IF($A490="","",COUNTIFS(tblLotBalance[Item Name],$A490,tblLotBalance[Lot Balance],"&gt;0"))</f>
        <v/>
      </c>
      <c r="M490" s="24" t="str">
        <f>IF($A490="","",IF($L490=0,"",IFERROR(_xlfn.MINIFS(tblLotBalance[Expiry Date],tblLotBalance[Item Name],$A490,tblLotBalance[Lot Balance],"&gt;0"),"")))</f>
        <v/>
      </c>
      <c r="N490" s="26" t="str">
        <f t="shared" ca="1" si="23"/>
        <v/>
      </c>
      <c r="O490" s="18" t="str" cm="1">
        <f t="array" ref="O490">IF($M490="","",IFERROR(INDEX(tblLotBalance[Lot Number],MATCH(1,INDEX((tblLotBalance[Item Name]=$A490)*(tblLotBalance[Expiry Date]=$M490)*(tblLotBalance[Lot Balance]&gt;0),0),0)),""))</f>
        <v/>
      </c>
      <c r="P490" s="28" t="str">
        <f>IF($A490="","",IF($I490&lt;0,"NEGATIVE",IF(NOT(ISNUMBER($F490)),"Set threshold",IF($I490&lt;=0,"OUT OF STOCK",IF($I490&lt;=$F490,"LOW",IF($I490&lt;=$F490*Settings!$C$7,"WATCH","OK"))))))</f>
        <v/>
      </c>
      <c r="Q490" s="29" t="str">
        <f>IF($A490="","",IF($P490="NEGATIVE","Issued more than received - add the missing receipt",IF($P490="OUT OF STOCK","Reorder immediately",IF($P490="LOW","Raise purchase order",IF($P490="Set threshold","Enter Critical Low in Items",IF(AND($N490&lt;&gt;"",$N490&lt;=0),"Quarantine expired lot",IF(AND($N490&lt;&gt;"",$N490&lt;=Settings!$C$6),"Use or rotate stock now","")))))))</f>
        <v/>
      </c>
    </row>
    <row r="491" spans="1:17" x14ac:dyDescent="0.35">
      <c r="A491" s="18" t="str">
        <f>IF(Items!$A488="","",Items!$A488)</f>
        <v/>
      </c>
      <c r="B491" s="18" t="str">
        <f>IF($A491="","",Items!$B488)</f>
        <v/>
      </c>
      <c r="C491" s="19" t="str">
        <f>IF($A491="","",Items!$G488)</f>
        <v/>
      </c>
      <c r="D491" s="20" t="str">
        <f>IF($A491="","",N(Items!$D488))</f>
        <v/>
      </c>
      <c r="E491" s="23" t="str">
        <f>IF($A491="","",Items!$E488)</f>
        <v/>
      </c>
      <c r="F491" s="23" t="str">
        <f>IF($A491="","",Items!$F488)</f>
        <v/>
      </c>
      <c r="G491" s="26" t="str">
        <f>IF($A491="","",SUMIFS(tblReceipts[Qty Received],tblReceipts[Item Name],$A491))</f>
        <v/>
      </c>
      <c r="H491" s="26" t="str">
        <f>IF($A491="","",SUMIFS(tblIssues[Qty Issued],tblIssues[Item Name],$A491))</f>
        <v/>
      </c>
      <c r="I491" s="27" t="str">
        <f t="shared" si="21"/>
        <v/>
      </c>
      <c r="J491" s="21" t="str">
        <f t="shared" si="22"/>
        <v/>
      </c>
      <c r="K491" s="26" t="str">
        <f>IF($A491="","",COUNTIFS(tblReceipts[Item Name],$A491))</f>
        <v/>
      </c>
      <c r="L491" s="26" t="str">
        <f>IF($A491="","",COUNTIFS(tblLotBalance[Item Name],$A491,tblLotBalance[Lot Balance],"&gt;0"))</f>
        <v/>
      </c>
      <c r="M491" s="24" t="str">
        <f>IF($A491="","",IF($L491=0,"",IFERROR(_xlfn.MINIFS(tblLotBalance[Expiry Date],tblLotBalance[Item Name],$A491,tblLotBalance[Lot Balance],"&gt;0"),"")))</f>
        <v/>
      </c>
      <c r="N491" s="26" t="str">
        <f t="shared" ca="1" si="23"/>
        <v/>
      </c>
      <c r="O491" s="18" t="str" cm="1">
        <f t="array" ref="O491">IF($M491="","",IFERROR(INDEX(tblLotBalance[Lot Number],MATCH(1,INDEX((tblLotBalance[Item Name]=$A491)*(tblLotBalance[Expiry Date]=$M491)*(tblLotBalance[Lot Balance]&gt;0),0),0)),""))</f>
        <v/>
      </c>
      <c r="P491" s="28" t="str">
        <f>IF($A491="","",IF($I491&lt;0,"NEGATIVE",IF(NOT(ISNUMBER($F491)),"Set threshold",IF($I491&lt;=0,"OUT OF STOCK",IF($I491&lt;=$F491,"LOW",IF($I491&lt;=$F491*Settings!$C$7,"WATCH","OK"))))))</f>
        <v/>
      </c>
      <c r="Q491" s="29" t="str">
        <f>IF($A491="","",IF($P491="NEGATIVE","Issued more than received - add the missing receipt",IF($P491="OUT OF STOCK","Reorder immediately",IF($P491="LOW","Raise purchase order",IF($P491="Set threshold","Enter Critical Low in Items",IF(AND($N491&lt;&gt;"",$N491&lt;=0),"Quarantine expired lot",IF(AND($N491&lt;&gt;"",$N491&lt;=Settings!$C$6),"Use or rotate stock now","")))))))</f>
        <v/>
      </c>
    </row>
    <row r="492" spans="1:17" x14ac:dyDescent="0.35">
      <c r="A492" s="18" t="str">
        <f>IF(Items!$A489="","",Items!$A489)</f>
        <v/>
      </c>
      <c r="B492" s="18" t="str">
        <f>IF($A492="","",Items!$B489)</f>
        <v/>
      </c>
      <c r="C492" s="19" t="str">
        <f>IF($A492="","",Items!$G489)</f>
        <v/>
      </c>
      <c r="D492" s="20" t="str">
        <f>IF($A492="","",N(Items!$D489))</f>
        <v/>
      </c>
      <c r="E492" s="23" t="str">
        <f>IF($A492="","",Items!$E489)</f>
        <v/>
      </c>
      <c r="F492" s="23" t="str">
        <f>IF($A492="","",Items!$F489)</f>
        <v/>
      </c>
      <c r="G492" s="26" t="str">
        <f>IF($A492="","",SUMIFS(tblReceipts[Qty Received],tblReceipts[Item Name],$A492))</f>
        <v/>
      </c>
      <c r="H492" s="26" t="str">
        <f>IF($A492="","",SUMIFS(tblIssues[Qty Issued],tblIssues[Item Name],$A492))</f>
        <v/>
      </c>
      <c r="I492" s="27" t="str">
        <f t="shared" si="21"/>
        <v/>
      </c>
      <c r="J492" s="21" t="str">
        <f t="shared" si="22"/>
        <v/>
      </c>
      <c r="K492" s="26" t="str">
        <f>IF($A492="","",COUNTIFS(tblReceipts[Item Name],$A492))</f>
        <v/>
      </c>
      <c r="L492" s="26" t="str">
        <f>IF($A492="","",COUNTIFS(tblLotBalance[Item Name],$A492,tblLotBalance[Lot Balance],"&gt;0"))</f>
        <v/>
      </c>
      <c r="M492" s="24" t="str">
        <f>IF($A492="","",IF($L492=0,"",IFERROR(_xlfn.MINIFS(tblLotBalance[Expiry Date],tblLotBalance[Item Name],$A492,tblLotBalance[Lot Balance],"&gt;0"),"")))</f>
        <v/>
      </c>
      <c r="N492" s="26" t="str">
        <f t="shared" ca="1" si="23"/>
        <v/>
      </c>
      <c r="O492" s="18" t="str" cm="1">
        <f t="array" ref="O492">IF($M492="","",IFERROR(INDEX(tblLotBalance[Lot Number],MATCH(1,INDEX((tblLotBalance[Item Name]=$A492)*(tblLotBalance[Expiry Date]=$M492)*(tblLotBalance[Lot Balance]&gt;0),0),0)),""))</f>
        <v/>
      </c>
      <c r="P492" s="28" t="str">
        <f>IF($A492="","",IF($I492&lt;0,"NEGATIVE",IF(NOT(ISNUMBER($F492)),"Set threshold",IF($I492&lt;=0,"OUT OF STOCK",IF($I492&lt;=$F492,"LOW",IF($I492&lt;=$F492*Settings!$C$7,"WATCH","OK"))))))</f>
        <v/>
      </c>
      <c r="Q492" s="29" t="str">
        <f>IF($A492="","",IF($P492="NEGATIVE","Issued more than received - add the missing receipt",IF($P492="OUT OF STOCK","Reorder immediately",IF($P492="LOW","Raise purchase order",IF($P492="Set threshold","Enter Critical Low in Items",IF(AND($N492&lt;&gt;"",$N492&lt;=0),"Quarantine expired lot",IF(AND($N492&lt;&gt;"",$N492&lt;=Settings!$C$6),"Use or rotate stock now","")))))))</f>
        <v/>
      </c>
    </row>
    <row r="493" spans="1:17" x14ac:dyDescent="0.35">
      <c r="A493" s="18" t="str">
        <f>IF(Items!$A490="","",Items!$A490)</f>
        <v/>
      </c>
      <c r="B493" s="18" t="str">
        <f>IF($A493="","",Items!$B490)</f>
        <v/>
      </c>
      <c r="C493" s="19" t="str">
        <f>IF($A493="","",Items!$G490)</f>
        <v/>
      </c>
      <c r="D493" s="20" t="str">
        <f>IF($A493="","",N(Items!$D490))</f>
        <v/>
      </c>
      <c r="E493" s="23" t="str">
        <f>IF($A493="","",Items!$E490)</f>
        <v/>
      </c>
      <c r="F493" s="23" t="str">
        <f>IF($A493="","",Items!$F490)</f>
        <v/>
      </c>
      <c r="G493" s="26" t="str">
        <f>IF($A493="","",SUMIFS(tblReceipts[Qty Received],tblReceipts[Item Name],$A493))</f>
        <v/>
      </c>
      <c r="H493" s="26" t="str">
        <f>IF($A493="","",SUMIFS(tblIssues[Qty Issued],tblIssues[Item Name],$A493))</f>
        <v/>
      </c>
      <c r="I493" s="27" t="str">
        <f t="shared" si="21"/>
        <v/>
      </c>
      <c r="J493" s="21" t="str">
        <f t="shared" si="22"/>
        <v/>
      </c>
      <c r="K493" s="26" t="str">
        <f>IF($A493="","",COUNTIFS(tblReceipts[Item Name],$A493))</f>
        <v/>
      </c>
      <c r="L493" s="26" t="str">
        <f>IF($A493="","",COUNTIFS(tblLotBalance[Item Name],$A493,tblLotBalance[Lot Balance],"&gt;0"))</f>
        <v/>
      </c>
      <c r="M493" s="24" t="str">
        <f>IF($A493="","",IF($L493=0,"",IFERROR(_xlfn.MINIFS(tblLotBalance[Expiry Date],tblLotBalance[Item Name],$A493,tblLotBalance[Lot Balance],"&gt;0"),"")))</f>
        <v/>
      </c>
      <c r="N493" s="26" t="str">
        <f t="shared" ca="1" si="23"/>
        <v/>
      </c>
      <c r="O493" s="18" t="str" cm="1">
        <f t="array" ref="O493">IF($M493="","",IFERROR(INDEX(tblLotBalance[Lot Number],MATCH(1,INDEX((tblLotBalance[Item Name]=$A493)*(tblLotBalance[Expiry Date]=$M493)*(tblLotBalance[Lot Balance]&gt;0),0),0)),""))</f>
        <v/>
      </c>
      <c r="P493" s="28" t="str">
        <f>IF($A493="","",IF($I493&lt;0,"NEGATIVE",IF(NOT(ISNUMBER($F493)),"Set threshold",IF($I493&lt;=0,"OUT OF STOCK",IF($I493&lt;=$F493,"LOW",IF($I493&lt;=$F493*Settings!$C$7,"WATCH","OK"))))))</f>
        <v/>
      </c>
      <c r="Q493" s="29" t="str">
        <f>IF($A493="","",IF($P493="NEGATIVE","Issued more than received - add the missing receipt",IF($P493="OUT OF STOCK","Reorder immediately",IF($P493="LOW","Raise purchase order",IF($P493="Set threshold","Enter Critical Low in Items",IF(AND($N493&lt;&gt;"",$N493&lt;=0),"Quarantine expired lot",IF(AND($N493&lt;&gt;"",$N493&lt;=Settings!$C$6),"Use or rotate stock now","")))))))</f>
        <v/>
      </c>
    </row>
    <row r="494" spans="1:17" x14ac:dyDescent="0.35">
      <c r="A494" s="18" t="str">
        <f>IF(Items!$A491="","",Items!$A491)</f>
        <v/>
      </c>
      <c r="B494" s="18" t="str">
        <f>IF($A494="","",Items!$B491)</f>
        <v/>
      </c>
      <c r="C494" s="19" t="str">
        <f>IF($A494="","",Items!$G491)</f>
        <v/>
      </c>
      <c r="D494" s="20" t="str">
        <f>IF($A494="","",N(Items!$D491))</f>
        <v/>
      </c>
      <c r="E494" s="23" t="str">
        <f>IF($A494="","",Items!$E491)</f>
        <v/>
      </c>
      <c r="F494" s="23" t="str">
        <f>IF($A494="","",Items!$F491)</f>
        <v/>
      </c>
      <c r="G494" s="26" t="str">
        <f>IF($A494="","",SUMIFS(tblReceipts[Qty Received],tblReceipts[Item Name],$A494))</f>
        <v/>
      </c>
      <c r="H494" s="26" t="str">
        <f>IF($A494="","",SUMIFS(tblIssues[Qty Issued],tblIssues[Item Name],$A494))</f>
        <v/>
      </c>
      <c r="I494" s="27" t="str">
        <f t="shared" si="21"/>
        <v/>
      </c>
      <c r="J494" s="21" t="str">
        <f t="shared" si="22"/>
        <v/>
      </c>
      <c r="K494" s="26" t="str">
        <f>IF($A494="","",COUNTIFS(tblReceipts[Item Name],$A494))</f>
        <v/>
      </c>
      <c r="L494" s="26" t="str">
        <f>IF($A494="","",COUNTIFS(tblLotBalance[Item Name],$A494,tblLotBalance[Lot Balance],"&gt;0"))</f>
        <v/>
      </c>
      <c r="M494" s="24" t="str">
        <f>IF($A494="","",IF($L494=0,"",IFERROR(_xlfn.MINIFS(tblLotBalance[Expiry Date],tblLotBalance[Item Name],$A494,tblLotBalance[Lot Balance],"&gt;0"),"")))</f>
        <v/>
      </c>
      <c r="N494" s="26" t="str">
        <f t="shared" ca="1" si="23"/>
        <v/>
      </c>
      <c r="O494" s="18" t="str" cm="1">
        <f t="array" ref="O494">IF($M494="","",IFERROR(INDEX(tblLotBalance[Lot Number],MATCH(1,INDEX((tblLotBalance[Item Name]=$A494)*(tblLotBalance[Expiry Date]=$M494)*(tblLotBalance[Lot Balance]&gt;0),0),0)),""))</f>
        <v/>
      </c>
      <c r="P494" s="28" t="str">
        <f>IF($A494="","",IF($I494&lt;0,"NEGATIVE",IF(NOT(ISNUMBER($F494)),"Set threshold",IF($I494&lt;=0,"OUT OF STOCK",IF($I494&lt;=$F494,"LOW",IF($I494&lt;=$F494*Settings!$C$7,"WATCH","OK"))))))</f>
        <v/>
      </c>
      <c r="Q494" s="29" t="str">
        <f>IF($A494="","",IF($P494="NEGATIVE","Issued more than received - add the missing receipt",IF($P494="OUT OF STOCK","Reorder immediately",IF($P494="LOW","Raise purchase order",IF($P494="Set threshold","Enter Critical Low in Items",IF(AND($N494&lt;&gt;"",$N494&lt;=0),"Quarantine expired lot",IF(AND($N494&lt;&gt;"",$N494&lt;=Settings!$C$6),"Use or rotate stock now","")))))))</f>
        <v/>
      </c>
    </row>
    <row r="495" spans="1:17" x14ac:dyDescent="0.35">
      <c r="A495" s="18" t="str">
        <f>IF(Items!$A492="","",Items!$A492)</f>
        <v/>
      </c>
      <c r="B495" s="18" t="str">
        <f>IF($A495="","",Items!$B492)</f>
        <v/>
      </c>
      <c r="C495" s="19" t="str">
        <f>IF($A495="","",Items!$G492)</f>
        <v/>
      </c>
      <c r="D495" s="20" t="str">
        <f>IF($A495="","",N(Items!$D492))</f>
        <v/>
      </c>
      <c r="E495" s="23" t="str">
        <f>IF($A495="","",Items!$E492)</f>
        <v/>
      </c>
      <c r="F495" s="23" t="str">
        <f>IF($A495="","",Items!$F492)</f>
        <v/>
      </c>
      <c r="G495" s="26" t="str">
        <f>IF($A495="","",SUMIFS(tblReceipts[Qty Received],tblReceipts[Item Name],$A495))</f>
        <v/>
      </c>
      <c r="H495" s="26" t="str">
        <f>IF($A495="","",SUMIFS(tblIssues[Qty Issued],tblIssues[Item Name],$A495))</f>
        <v/>
      </c>
      <c r="I495" s="27" t="str">
        <f t="shared" si="21"/>
        <v/>
      </c>
      <c r="J495" s="21" t="str">
        <f t="shared" si="22"/>
        <v/>
      </c>
      <c r="K495" s="26" t="str">
        <f>IF($A495="","",COUNTIFS(tblReceipts[Item Name],$A495))</f>
        <v/>
      </c>
      <c r="L495" s="26" t="str">
        <f>IF($A495="","",COUNTIFS(tblLotBalance[Item Name],$A495,tblLotBalance[Lot Balance],"&gt;0"))</f>
        <v/>
      </c>
      <c r="M495" s="24" t="str">
        <f>IF($A495="","",IF($L495=0,"",IFERROR(_xlfn.MINIFS(tblLotBalance[Expiry Date],tblLotBalance[Item Name],$A495,tblLotBalance[Lot Balance],"&gt;0"),"")))</f>
        <v/>
      </c>
      <c r="N495" s="26" t="str">
        <f t="shared" ca="1" si="23"/>
        <v/>
      </c>
      <c r="O495" s="18" t="str" cm="1">
        <f t="array" ref="O495">IF($M495="","",IFERROR(INDEX(tblLotBalance[Lot Number],MATCH(1,INDEX((tblLotBalance[Item Name]=$A495)*(tblLotBalance[Expiry Date]=$M495)*(tblLotBalance[Lot Balance]&gt;0),0),0)),""))</f>
        <v/>
      </c>
      <c r="P495" s="28" t="str">
        <f>IF($A495="","",IF($I495&lt;0,"NEGATIVE",IF(NOT(ISNUMBER($F495)),"Set threshold",IF($I495&lt;=0,"OUT OF STOCK",IF($I495&lt;=$F495,"LOW",IF($I495&lt;=$F495*Settings!$C$7,"WATCH","OK"))))))</f>
        <v/>
      </c>
      <c r="Q495" s="29" t="str">
        <f>IF($A495="","",IF($P495="NEGATIVE","Issued more than received - add the missing receipt",IF($P495="OUT OF STOCK","Reorder immediately",IF($P495="LOW","Raise purchase order",IF($P495="Set threshold","Enter Critical Low in Items",IF(AND($N495&lt;&gt;"",$N495&lt;=0),"Quarantine expired lot",IF(AND($N495&lt;&gt;"",$N495&lt;=Settings!$C$6),"Use or rotate stock now","")))))))</f>
        <v/>
      </c>
    </row>
    <row r="496" spans="1:17" x14ac:dyDescent="0.35">
      <c r="A496" s="18" t="str">
        <f>IF(Items!$A493="","",Items!$A493)</f>
        <v/>
      </c>
      <c r="B496" s="18" t="str">
        <f>IF($A496="","",Items!$B493)</f>
        <v/>
      </c>
      <c r="C496" s="19" t="str">
        <f>IF($A496="","",Items!$G493)</f>
        <v/>
      </c>
      <c r="D496" s="20" t="str">
        <f>IF($A496="","",N(Items!$D493))</f>
        <v/>
      </c>
      <c r="E496" s="23" t="str">
        <f>IF($A496="","",Items!$E493)</f>
        <v/>
      </c>
      <c r="F496" s="23" t="str">
        <f>IF($A496="","",Items!$F493)</f>
        <v/>
      </c>
      <c r="G496" s="26" t="str">
        <f>IF($A496="","",SUMIFS(tblReceipts[Qty Received],tblReceipts[Item Name],$A496))</f>
        <v/>
      </c>
      <c r="H496" s="26" t="str">
        <f>IF($A496="","",SUMIFS(tblIssues[Qty Issued],tblIssues[Item Name],$A496))</f>
        <v/>
      </c>
      <c r="I496" s="27" t="str">
        <f t="shared" si="21"/>
        <v/>
      </c>
      <c r="J496" s="21" t="str">
        <f t="shared" si="22"/>
        <v/>
      </c>
      <c r="K496" s="26" t="str">
        <f>IF($A496="","",COUNTIFS(tblReceipts[Item Name],$A496))</f>
        <v/>
      </c>
      <c r="L496" s="26" t="str">
        <f>IF($A496="","",COUNTIFS(tblLotBalance[Item Name],$A496,tblLotBalance[Lot Balance],"&gt;0"))</f>
        <v/>
      </c>
      <c r="M496" s="24" t="str">
        <f>IF($A496="","",IF($L496=0,"",IFERROR(_xlfn.MINIFS(tblLotBalance[Expiry Date],tblLotBalance[Item Name],$A496,tblLotBalance[Lot Balance],"&gt;0"),"")))</f>
        <v/>
      </c>
      <c r="N496" s="26" t="str">
        <f t="shared" ca="1" si="23"/>
        <v/>
      </c>
      <c r="O496" s="18" t="str" cm="1">
        <f t="array" ref="O496">IF($M496="","",IFERROR(INDEX(tblLotBalance[Lot Number],MATCH(1,INDEX((tblLotBalance[Item Name]=$A496)*(tblLotBalance[Expiry Date]=$M496)*(tblLotBalance[Lot Balance]&gt;0),0),0)),""))</f>
        <v/>
      </c>
      <c r="P496" s="28" t="str">
        <f>IF($A496="","",IF($I496&lt;0,"NEGATIVE",IF(NOT(ISNUMBER($F496)),"Set threshold",IF($I496&lt;=0,"OUT OF STOCK",IF($I496&lt;=$F496,"LOW",IF($I496&lt;=$F496*Settings!$C$7,"WATCH","OK"))))))</f>
        <v/>
      </c>
      <c r="Q496" s="29" t="str">
        <f>IF($A496="","",IF($P496="NEGATIVE","Issued more than received - add the missing receipt",IF($P496="OUT OF STOCK","Reorder immediately",IF($P496="LOW","Raise purchase order",IF($P496="Set threshold","Enter Critical Low in Items",IF(AND($N496&lt;&gt;"",$N496&lt;=0),"Quarantine expired lot",IF(AND($N496&lt;&gt;"",$N496&lt;=Settings!$C$6),"Use or rotate stock now","")))))))</f>
        <v/>
      </c>
    </row>
    <row r="497" spans="1:17" x14ac:dyDescent="0.35">
      <c r="A497" s="18" t="str">
        <f>IF(Items!$A494="","",Items!$A494)</f>
        <v/>
      </c>
      <c r="B497" s="18" t="str">
        <f>IF($A497="","",Items!$B494)</f>
        <v/>
      </c>
      <c r="C497" s="19" t="str">
        <f>IF($A497="","",Items!$G494)</f>
        <v/>
      </c>
      <c r="D497" s="20" t="str">
        <f>IF($A497="","",N(Items!$D494))</f>
        <v/>
      </c>
      <c r="E497" s="23" t="str">
        <f>IF($A497="","",Items!$E494)</f>
        <v/>
      </c>
      <c r="F497" s="23" t="str">
        <f>IF($A497="","",Items!$F494)</f>
        <v/>
      </c>
      <c r="G497" s="26" t="str">
        <f>IF($A497="","",SUMIFS(tblReceipts[Qty Received],tblReceipts[Item Name],$A497))</f>
        <v/>
      </c>
      <c r="H497" s="26" t="str">
        <f>IF($A497="","",SUMIFS(tblIssues[Qty Issued],tblIssues[Item Name],$A497))</f>
        <v/>
      </c>
      <c r="I497" s="27" t="str">
        <f t="shared" si="21"/>
        <v/>
      </c>
      <c r="J497" s="21" t="str">
        <f t="shared" si="22"/>
        <v/>
      </c>
      <c r="K497" s="26" t="str">
        <f>IF($A497="","",COUNTIFS(tblReceipts[Item Name],$A497))</f>
        <v/>
      </c>
      <c r="L497" s="26" t="str">
        <f>IF($A497="","",COUNTIFS(tblLotBalance[Item Name],$A497,tblLotBalance[Lot Balance],"&gt;0"))</f>
        <v/>
      </c>
      <c r="M497" s="24" t="str">
        <f>IF($A497="","",IF($L497=0,"",IFERROR(_xlfn.MINIFS(tblLotBalance[Expiry Date],tblLotBalance[Item Name],$A497,tblLotBalance[Lot Balance],"&gt;0"),"")))</f>
        <v/>
      </c>
      <c r="N497" s="26" t="str">
        <f t="shared" ca="1" si="23"/>
        <v/>
      </c>
      <c r="O497" s="18" t="str" cm="1">
        <f t="array" ref="O497">IF($M497="","",IFERROR(INDEX(tblLotBalance[Lot Number],MATCH(1,INDEX((tblLotBalance[Item Name]=$A497)*(tblLotBalance[Expiry Date]=$M497)*(tblLotBalance[Lot Balance]&gt;0),0),0)),""))</f>
        <v/>
      </c>
      <c r="P497" s="28" t="str">
        <f>IF($A497="","",IF($I497&lt;0,"NEGATIVE",IF(NOT(ISNUMBER($F497)),"Set threshold",IF($I497&lt;=0,"OUT OF STOCK",IF($I497&lt;=$F497,"LOW",IF($I497&lt;=$F497*Settings!$C$7,"WATCH","OK"))))))</f>
        <v/>
      </c>
      <c r="Q497" s="29" t="str">
        <f>IF($A497="","",IF($P497="NEGATIVE","Issued more than received - add the missing receipt",IF($P497="OUT OF STOCK","Reorder immediately",IF($P497="LOW","Raise purchase order",IF($P497="Set threshold","Enter Critical Low in Items",IF(AND($N497&lt;&gt;"",$N497&lt;=0),"Quarantine expired lot",IF(AND($N497&lt;&gt;"",$N497&lt;=Settings!$C$6),"Use or rotate stock now","")))))))</f>
        <v/>
      </c>
    </row>
    <row r="498" spans="1:17" x14ac:dyDescent="0.35">
      <c r="A498" s="18" t="str">
        <f>IF(Items!$A495="","",Items!$A495)</f>
        <v/>
      </c>
      <c r="B498" s="18" t="str">
        <f>IF($A498="","",Items!$B495)</f>
        <v/>
      </c>
      <c r="C498" s="19" t="str">
        <f>IF($A498="","",Items!$G495)</f>
        <v/>
      </c>
      <c r="D498" s="20" t="str">
        <f>IF($A498="","",N(Items!$D495))</f>
        <v/>
      </c>
      <c r="E498" s="23" t="str">
        <f>IF($A498="","",Items!$E495)</f>
        <v/>
      </c>
      <c r="F498" s="23" t="str">
        <f>IF($A498="","",Items!$F495)</f>
        <v/>
      </c>
      <c r="G498" s="26" t="str">
        <f>IF($A498="","",SUMIFS(tblReceipts[Qty Received],tblReceipts[Item Name],$A498))</f>
        <v/>
      </c>
      <c r="H498" s="26" t="str">
        <f>IF($A498="","",SUMIFS(tblIssues[Qty Issued],tblIssues[Item Name],$A498))</f>
        <v/>
      </c>
      <c r="I498" s="27" t="str">
        <f t="shared" si="21"/>
        <v/>
      </c>
      <c r="J498" s="21" t="str">
        <f t="shared" si="22"/>
        <v/>
      </c>
      <c r="K498" s="26" t="str">
        <f>IF($A498="","",COUNTIFS(tblReceipts[Item Name],$A498))</f>
        <v/>
      </c>
      <c r="L498" s="26" t="str">
        <f>IF($A498="","",COUNTIFS(tblLotBalance[Item Name],$A498,tblLotBalance[Lot Balance],"&gt;0"))</f>
        <v/>
      </c>
      <c r="M498" s="24" t="str">
        <f>IF($A498="","",IF($L498=0,"",IFERROR(_xlfn.MINIFS(tblLotBalance[Expiry Date],tblLotBalance[Item Name],$A498,tblLotBalance[Lot Balance],"&gt;0"),"")))</f>
        <v/>
      </c>
      <c r="N498" s="26" t="str">
        <f t="shared" ca="1" si="23"/>
        <v/>
      </c>
      <c r="O498" s="18" t="str" cm="1">
        <f t="array" ref="O498">IF($M498="","",IFERROR(INDEX(tblLotBalance[Lot Number],MATCH(1,INDEX((tblLotBalance[Item Name]=$A498)*(tblLotBalance[Expiry Date]=$M498)*(tblLotBalance[Lot Balance]&gt;0),0),0)),""))</f>
        <v/>
      </c>
      <c r="P498" s="28" t="str">
        <f>IF($A498="","",IF($I498&lt;0,"NEGATIVE",IF(NOT(ISNUMBER($F498)),"Set threshold",IF($I498&lt;=0,"OUT OF STOCK",IF($I498&lt;=$F498,"LOW",IF($I498&lt;=$F498*Settings!$C$7,"WATCH","OK"))))))</f>
        <v/>
      </c>
      <c r="Q498" s="29" t="str">
        <f>IF($A498="","",IF($P498="NEGATIVE","Issued more than received - add the missing receipt",IF($P498="OUT OF STOCK","Reorder immediately",IF($P498="LOW","Raise purchase order",IF($P498="Set threshold","Enter Critical Low in Items",IF(AND($N498&lt;&gt;"",$N498&lt;=0),"Quarantine expired lot",IF(AND($N498&lt;&gt;"",$N498&lt;=Settings!$C$6),"Use or rotate stock now","")))))))</f>
        <v/>
      </c>
    </row>
    <row r="499" spans="1:17" x14ac:dyDescent="0.35">
      <c r="A499" s="18" t="str">
        <f>IF(Items!$A496="","",Items!$A496)</f>
        <v/>
      </c>
      <c r="B499" s="18" t="str">
        <f>IF($A499="","",Items!$B496)</f>
        <v/>
      </c>
      <c r="C499" s="19" t="str">
        <f>IF($A499="","",Items!$G496)</f>
        <v/>
      </c>
      <c r="D499" s="20" t="str">
        <f>IF($A499="","",N(Items!$D496))</f>
        <v/>
      </c>
      <c r="E499" s="23" t="str">
        <f>IF($A499="","",Items!$E496)</f>
        <v/>
      </c>
      <c r="F499" s="23" t="str">
        <f>IF($A499="","",Items!$F496)</f>
        <v/>
      </c>
      <c r="G499" s="26" t="str">
        <f>IF($A499="","",SUMIFS(tblReceipts[Qty Received],tblReceipts[Item Name],$A499))</f>
        <v/>
      </c>
      <c r="H499" s="26" t="str">
        <f>IF($A499="","",SUMIFS(tblIssues[Qty Issued],tblIssues[Item Name],$A499))</f>
        <v/>
      </c>
      <c r="I499" s="27" t="str">
        <f t="shared" si="21"/>
        <v/>
      </c>
      <c r="J499" s="21" t="str">
        <f t="shared" si="22"/>
        <v/>
      </c>
      <c r="K499" s="26" t="str">
        <f>IF($A499="","",COUNTIFS(tblReceipts[Item Name],$A499))</f>
        <v/>
      </c>
      <c r="L499" s="26" t="str">
        <f>IF($A499="","",COUNTIFS(tblLotBalance[Item Name],$A499,tblLotBalance[Lot Balance],"&gt;0"))</f>
        <v/>
      </c>
      <c r="M499" s="24" t="str">
        <f>IF($A499="","",IF($L499=0,"",IFERROR(_xlfn.MINIFS(tblLotBalance[Expiry Date],tblLotBalance[Item Name],$A499,tblLotBalance[Lot Balance],"&gt;0"),"")))</f>
        <v/>
      </c>
      <c r="N499" s="26" t="str">
        <f t="shared" ca="1" si="23"/>
        <v/>
      </c>
      <c r="O499" s="18" t="str" cm="1">
        <f t="array" ref="O499">IF($M499="","",IFERROR(INDEX(tblLotBalance[Lot Number],MATCH(1,INDEX((tblLotBalance[Item Name]=$A499)*(tblLotBalance[Expiry Date]=$M499)*(tblLotBalance[Lot Balance]&gt;0),0),0)),""))</f>
        <v/>
      </c>
      <c r="P499" s="28" t="str">
        <f>IF($A499="","",IF($I499&lt;0,"NEGATIVE",IF(NOT(ISNUMBER($F499)),"Set threshold",IF($I499&lt;=0,"OUT OF STOCK",IF($I499&lt;=$F499,"LOW",IF($I499&lt;=$F499*Settings!$C$7,"WATCH","OK"))))))</f>
        <v/>
      </c>
      <c r="Q499" s="29" t="str">
        <f>IF($A499="","",IF($P499="NEGATIVE","Issued more than received - add the missing receipt",IF($P499="OUT OF STOCK","Reorder immediately",IF($P499="LOW","Raise purchase order",IF($P499="Set threshold","Enter Critical Low in Items",IF(AND($N499&lt;&gt;"",$N499&lt;=0),"Quarantine expired lot",IF(AND($N499&lt;&gt;"",$N499&lt;=Settings!$C$6),"Use or rotate stock now","")))))))</f>
        <v/>
      </c>
    </row>
    <row r="500" spans="1:17" x14ac:dyDescent="0.35">
      <c r="A500" s="18" t="str">
        <f>IF(Items!$A497="","",Items!$A497)</f>
        <v/>
      </c>
      <c r="B500" s="18" t="str">
        <f>IF($A500="","",Items!$B497)</f>
        <v/>
      </c>
      <c r="C500" s="19" t="str">
        <f>IF($A500="","",Items!$G497)</f>
        <v/>
      </c>
      <c r="D500" s="20" t="str">
        <f>IF($A500="","",N(Items!$D497))</f>
        <v/>
      </c>
      <c r="E500" s="23" t="str">
        <f>IF($A500="","",Items!$E497)</f>
        <v/>
      </c>
      <c r="F500" s="23" t="str">
        <f>IF($A500="","",Items!$F497)</f>
        <v/>
      </c>
      <c r="G500" s="26" t="str">
        <f>IF($A500="","",SUMIFS(tblReceipts[Qty Received],tblReceipts[Item Name],$A500))</f>
        <v/>
      </c>
      <c r="H500" s="26" t="str">
        <f>IF($A500="","",SUMIFS(tblIssues[Qty Issued],tblIssues[Item Name],$A500))</f>
        <v/>
      </c>
      <c r="I500" s="27" t="str">
        <f t="shared" si="21"/>
        <v/>
      </c>
      <c r="J500" s="21" t="str">
        <f t="shared" si="22"/>
        <v/>
      </c>
      <c r="K500" s="26" t="str">
        <f>IF($A500="","",COUNTIFS(tblReceipts[Item Name],$A500))</f>
        <v/>
      </c>
      <c r="L500" s="26" t="str">
        <f>IF($A500="","",COUNTIFS(tblLotBalance[Item Name],$A500,tblLotBalance[Lot Balance],"&gt;0"))</f>
        <v/>
      </c>
      <c r="M500" s="24" t="str">
        <f>IF($A500="","",IF($L500=0,"",IFERROR(_xlfn.MINIFS(tblLotBalance[Expiry Date],tblLotBalance[Item Name],$A500,tblLotBalance[Lot Balance],"&gt;0"),"")))</f>
        <v/>
      </c>
      <c r="N500" s="26" t="str">
        <f t="shared" ca="1" si="23"/>
        <v/>
      </c>
      <c r="O500" s="18" t="str" cm="1">
        <f t="array" ref="O500">IF($M500="","",IFERROR(INDEX(tblLotBalance[Lot Number],MATCH(1,INDEX((tblLotBalance[Item Name]=$A500)*(tblLotBalance[Expiry Date]=$M500)*(tblLotBalance[Lot Balance]&gt;0),0),0)),""))</f>
        <v/>
      </c>
      <c r="P500" s="28" t="str">
        <f>IF($A500="","",IF($I500&lt;0,"NEGATIVE",IF(NOT(ISNUMBER($F500)),"Set threshold",IF($I500&lt;=0,"OUT OF STOCK",IF($I500&lt;=$F500,"LOW",IF($I500&lt;=$F500*Settings!$C$7,"WATCH","OK"))))))</f>
        <v/>
      </c>
      <c r="Q500" s="29" t="str">
        <f>IF($A500="","",IF($P500="NEGATIVE","Issued more than received - add the missing receipt",IF($P500="OUT OF STOCK","Reorder immediately",IF($P500="LOW","Raise purchase order",IF($P500="Set threshold","Enter Critical Low in Items",IF(AND($N500&lt;&gt;"",$N500&lt;=0),"Quarantine expired lot",IF(AND($N500&lt;&gt;"",$N500&lt;=Settings!$C$6),"Use or rotate stock now","")))))))</f>
        <v/>
      </c>
    </row>
    <row r="501" spans="1:17" x14ac:dyDescent="0.35">
      <c r="A501" s="18" t="str">
        <f>IF(Items!$A498="","",Items!$A498)</f>
        <v/>
      </c>
      <c r="B501" s="18" t="str">
        <f>IF($A501="","",Items!$B498)</f>
        <v/>
      </c>
      <c r="C501" s="19" t="str">
        <f>IF($A501="","",Items!$G498)</f>
        <v/>
      </c>
      <c r="D501" s="20" t="str">
        <f>IF($A501="","",N(Items!$D498))</f>
        <v/>
      </c>
      <c r="E501" s="23" t="str">
        <f>IF($A501="","",Items!$E498)</f>
        <v/>
      </c>
      <c r="F501" s="23" t="str">
        <f>IF($A501="","",Items!$F498)</f>
        <v/>
      </c>
      <c r="G501" s="26" t="str">
        <f>IF($A501="","",SUMIFS(tblReceipts[Qty Received],tblReceipts[Item Name],$A501))</f>
        <v/>
      </c>
      <c r="H501" s="26" t="str">
        <f>IF($A501="","",SUMIFS(tblIssues[Qty Issued],tblIssues[Item Name],$A501))</f>
        <v/>
      </c>
      <c r="I501" s="27" t="str">
        <f t="shared" si="21"/>
        <v/>
      </c>
      <c r="J501" s="21" t="str">
        <f t="shared" si="22"/>
        <v/>
      </c>
      <c r="K501" s="26" t="str">
        <f>IF($A501="","",COUNTIFS(tblReceipts[Item Name],$A501))</f>
        <v/>
      </c>
      <c r="L501" s="26" t="str">
        <f>IF($A501="","",COUNTIFS(tblLotBalance[Item Name],$A501,tblLotBalance[Lot Balance],"&gt;0"))</f>
        <v/>
      </c>
      <c r="M501" s="24" t="str">
        <f>IF($A501="","",IF($L501=0,"",IFERROR(_xlfn.MINIFS(tblLotBalance[Expiry Date],tblLotBalance[Item Name],$A501,tblLotBalance[Lot Balance],"&gt;0"),"")))</f>
        <v/>
      </c>
      <c r="N501" s="26" t="str">
        <f t="shared" ca="1" si="23"/>
        <v/>
      </c>
      <c r="O501" s="18" t="str" cm="1">
        <f t="array" ref="O501">IF($M501="","",IFERROR(INDEX(tblLotBalance[Lot Number],MATCH(1,INDEX((tblLotBalance[Item Name]=$A501)*(tblLotBalance[Expiry Date]=$M501)*(tblLotBalance[Lot Balance]&gt;0),0),0)),""))</f>
        <v/>
      </c>
      <c r="P501" s="28" t="str">
        <f>IF($A501="","",IF($I501&lt;0,"NEGATIVE",IF(NOT(ISNUMBER($F501)),"Set threshold",IF($I501&lt;=0,"OUT OF STOCK",IF($I501&lt;=$F501,"LOW",IF($I501&lt;=$F501*Settings!$C$7,"WATCH","OK"))))))</f>
        <v/>
      </c>
      <c r="Q501" s="29" t="str">
        <f>IF($A501="","",IF($P501="NEGATIVE","Issued more than received - add the missing receipt",IF($P501="OUT OF STOCK","Reorder immediately",IF($P501="LOW","Raise purchase order",IF($P501="Set threshold","Enter Critical Low in Items",IF(AND($N501&lt;&gt;"",$N501&lt;=0),"Quarantine expired lot",IF(AND($N501&lt;&gt;"",$N501&lt;=Settings!$C$6),"Use or rotate stock now","")))))))</f>
        <v/>
      </c>
    </row>
    <row r="502" spans="1:17" x14ac:dyDescent="0.35">
      <c r="A502" s="18" t="str">
        <f>IF(Items!$A499="","",Items!$A499)</f>
        <v/>
      </c>
      <c r="B502" s="18" t="str">
        <f>IF($A502="","",Items!$B499)</f>
        <v/>
      </c>
      <c r="C502" s="19" t="str">
        <f>IF($A502="","",Items!$G499)</f>
        <v/>
      </c>
      <c r="D502" s="20" t="str">
        <f>IF($A502="","",N(Items!$D499))</f>
        <v/>
      </c>
      <c r="E502" s="23" t="str">
        <f>IF($A502="","",Items!$E499)</f>
        <v/>
      </c>
      <c r="F502" s="23" t="str">
        <f>IF($A502="","",Items!$F499)</f>
        <v/>
      </c>
      <c r="G502" s="26" t="str">
        <f>IF($A502="","",SUMIFS(tblReceipts[Qty Received],tblReceipts[Item Name],$A502))</f>
        <v/>
      </c>
      <c r="H502" s="26" t="str">
        <f>IF($A502="","",SUMIFS(tblIssues[Qty Issued],tblIssues[Item Name],$A502))</f>
        <v/>
      </c>
      <c r="I502" s="27" t="str">
        <f t="shared" si="21"/>
        <v/>
      </c>
      <c r="J502" s="21" t="str">
        <f t="shared" si="22"/>
        <v/>
      </c>
      <c r="K502" s="26" t="str">
        <f>IF($A502="","",COUNTIFS(tblReceipts[Item Name],$A502))</f>
        <v/>
      </c>
      <c r="L502" s="26" t="str">
        <f>IF($A502="","",COUNTIFS(tblLotBalance[Item Name],$A502,tblLotBalance[Lot Balance],"&gt;0"))</f>
        <v/>
      </c>
      <c r="M502" s="24" t="str">
        <f>IF($A502="","",IF($L502=0,"",IFERROR(_xlfn.MINIFS(tblLotBalance[Expiry Date],tblLotBalance[Item Name],$A502,tblLotBalance[Lot Balance],"&gt;0"),"")))</f>
        <v/>
      </c>
      <c r="N502" s="26" t="str">
        <f t="shared" ca="1" si="23"/>
        <v/>
      </c>
      <c r="O502" s="18" t="str" cm="1">
        <f t="array" ref="O502">IF($M502="","",IFERROR(INDEX(tblLotBalance[Lot Number],MATCH(1,INDEX((tblLotBalance[Item Name]=$A502)*(tblLotBalance[Expiry Date]=$M502)*(tblLotBalance[Lot Balance]&gt;0),0),0)),""))</f>
        <v/>
      </c>
      <c r="P502" s="28" t="str">
        <f>IF($A502="","",IF($I502&lt;0,"NEGATIVE",IF(NOT(ISNUMBER($F502)),"Set threshold",IF($I502&lt;=0,"OUT OF STOCK",IF($I502&lt;=$F502,"LOW",IF($I502&lt;=$F502*Settings!$C$7,"WATCH","OK"))))))</f>
        <v/>
      </c>
      <c r="Q502" s="29" t="str">
        <f>IF($A502="","",IF($P502="NEGATIVE","Issued more than received - add the missing receipt",IF($P502="OUT OF STOCK","Reorder immediately",IF($P502="LOW","Raise purchase order",IF($P502="Set threshold","Enter Critical Low in Items",IF(AND($N502&lt;&gt;"",$N502&lt;=0),"Quarantine expired lot",IF(AND($N502&lt;&gt;"",$N502&lt;=Settings!$C$6),"Use or rotate stock now","")))))))</f>
        <v/>
      </c>
    </row>
    <row r="503" spans="1:17" x14ac:dyDescent="0.35">
      <c r="A503" s="18" t="str">
        <f>IF(Items!$A500="","",Items!$A500)</f>
        <v/>
      </c>
      <c r="B503" s="18" t="str">
        <f>IF($A503="","",Items!$B500)</f>
        <v/>
      </c>
      <c r="C503" s="19" t="str">
        <f>IF($A503="","",Items!$G500)</f>
        <v/>
      </c>
      <c r="D503" s="20" t="str">
        <f>IF($A503="","",N(Items!$D500))</f>
        <v/>
      </c>
      <c r="E503" s="23" t="str">
        <f>IF($A503="","",Items!$E500)</f>
        <v/>
      </c>
      <c r="F503" s="23" t="str">
        <f>IF($A503="","",Items!$F500)</f>
        <v/>
      </c>
      <c r="G503" s="26" t="str">
        <f>IF($A503="","",SUMIFS(tblReceipts[Qty Received],tblReceipts[Item Name],$A503))</f>
        <v/>
      </c>
      <c r="H503" s="26" t="str">
        <f>IF($A503="","",SUMIFS(tblIssues[Qty Issued],tblIssues[Item Name],$A503))</f>
        <v/>
      </c>
      <c r="I503" s="27" t="str">
        <f t="shared" si="21"/>
        <v/>
      </c>
      <c r="J503" s="21" t="str">
        <f t="shared" si="22"/>
        <v/>
      </c>
      <c r="K503" s="26" t="str">
        <f>IF($A503="","",COUNTIFS(tblReceipts[Item Name],$A503))</f>
        <v/>
      </c>
      <c r="L503" s="26" t="str">
        <f>IF($A503="","",COUNTIFS(tblLotBalance[Item Name],$A503,tblLotBalance[Lot Balance],"&gt;0"))</f>
        <v/>
      </c>
      <c r="M503" s="24" t="str">
        <f>IF($A503="","",IF($L503=0,"",IFERROR(_xlfn.MINIFS(tblLotBalance[Expiry Date],tblLotBalance[Item Name],$A503,tblLotBalance[Lot Balance],"&gt;0"),"")))</f>
        <v/>
      </c>
      <c r="N503" s="26" t="str">
        <f t="shared" ca="1" si="23"/>
        <v/>
      </c>
      <c r="O503" s="18" t="str" cm="1">
        <f t="array" ref="O503">IF($M503="","",IFERROR(INDEX(tblLotBalance[Lot Number],MATCH(1,INDEX((tblLotBalance[Item Name]=$A503)*(tblLotBalance[Expiry Date]=$M503)*(tblLotBalance[Lot Balance]&gt;0),0),0)),""))</f>
        <v/>
      </c>
      <c r="P503" s="28" t="str">
        <f>IF($A503="","",IF($I503&lt;0,"NEGATIVE",IF(NOT(ISNUMBER($F503)),"Set threshold",IF($I503&lt;=0,"OUT OF STOCK",IF($I503&lt;=$F503,"LOW",IF($I503&lt;=$F503*Settings!$C$7,"WATCH","OK"))))))</f>
        <v/>
      </c>
      <c r="Q503" s="29" t="str">
        <f>IF($A503="","",IF($P503="NEGATIVE","Issued more than received - add the missing receipt",IF($P503="OUT OF STOCK","Reorder immediately",IF($P503="LOW","Raise purchase order",IF($P503="Set threshold","Enter Critical Low in Items",IF(AND($N503&lt;&gt;"",$N503&lt;=0),"Quarantine expired lot",IF(AND($N503&lt;&gt;"",$N503&lt;=Settings!$C$6),"Use or rotate stock now","")))))))</f>
        <v/>
      </c>
    </row>
    <row r="504" spans="1:17" x14ac:dyDescent="0.35">
      <c r="A504" s="18" t="str">
        <f>IF(Items!$A501="","",Items!$A501)</f>
        <v/>
      </c>
      <c r="B504" s="18" t="str">
        <f>IF($A504="","",Items!$B501)</f>
        <v/>
      </c>
      <c r="C504" s="19" t="str">
        <f>IF($A504="","",Items!$G501)</f>
        <v/>
      </c>
      <c r="D504" s="20" t="str">
        <f>IF($A504="","",N(Items!$D501))</f>
        <v/>
      </c>
      <c r="E504" s="23" t="str">
        <f>IF($A504="","",Items!$E501)</f>
        <v/>
      </c>
      <c r="F504" s="23" t="str">
        <f>IF($A504="","",Items!$F501)</f>
        <v/>
      </c>
      <c r="G504" s="26" t="str">
        <f>IF($A504="","",SUMIFS(tblReceipts[Qty Received],tblReceipts[Item Name],$A504))</f>
        <v/>
      </c>
      <c r="H504" s="26" t="str">
        <f>IF($A504="","",SUMIFS(tblIssues[Qty Issued],tblIssues[Item Name],$A504))</f>
        <v/>
      </c>
      <c r="I504" s="27" t="str">
        <f t="shared" si="21"/>
        <v/>
      </c>
      <c r="J504" s="21" t="str">
        <f t="shared" si="22"/>
        <v/>
      </c>
      <c r="K504" s="26" t="str">
        <f>IF($A504="","",COUNTIFS(tblReceipts[Item Name],$A504))</f>
        <v/>
      </c>
      <c r="L504" s="26" t="str">
        <f>IF($A504="","",COUNTIFS(tblLotBalance[Item Name],$A504,tblLotBalance[Lot Balance],"&gt;0"))</f>
        <v/>
      </c>
      <c r="M504" s="24" t="str">
        <f>IF($A504="","",IF($L504=0,"",IFERROR(_xlfn.MINIFS(tblLotBalance[Expiry Date],tblLotBalance[Item Name],$A504,tblLotBalance[Lot Balance],"&gt;0"),"")))</f>
        <v/>
      </c>
      <c r="N504" s="26" t="str">
        <f t="shared" ca="1" si="23"/>
        <v/>
      </c>
      <c r="O504" s="18" t="str" cm="1">
        <f t="array" ref="O504">IF($M504="","",IFERROR(INDEX(tblLotBalance[Lot Number],MATCH(1,INDEX((tblLotBalance[Item Name]=$A504)*(tblLotBalance[Expiry Date]=$M504)*(tblLotBalance[Lot Balance]&gt;0),0),0)),""))</f>
        <v/>
      </c>
      <c r="P504" s="28" t="str">
        <f>IF($A504="","",IF($I504&lt;0,"NEGATIVE",IF(NOT(ISNUMBER($F504)),"Set threshold",IF($I504&lt;=0,"OUT OF STOCK",IF($I504&lt;=$F504,"LOW",IF($I504&lt;=$F504*Settings!$C$7,"WATCH","OK"))))))</f>
        <v/>
      </c>
      <c r="Q504" s="29" t="str">
        <f>IF($A504="","",IF($P504="NEGATIVE","Issued more than received - add the missing receipt",IF($P504="OUT OF STOCK","Reorder immediately",IF($P504="LOW","Raise purchase order",IF($P504="Set threshold","Enter Critical Low in Items",IF(AND($N504&lt;&gt;"",$N504&lt;=0),"Quarantine expired lot",IF(AND($N504&lt;&gt;"",$N504&lt;=Settings!$C$6),"Use or rotate stock now","")))))))</f>
        <v/>
      </c>
    </row>
    <row r="505" spans="1:17" x14ac:dyDescent="0.35">
      <c r="A505" s="18" t="str">
        <f>IF(Items!$A502="","",Items!$A502)</f>
        <v/>
      </c>
      <c r="B505" s="18" t="str">
        <f>IF($A505="","",Items!$B502)</f>
        <v/>
      </c>
      <c r="C505" s="19" t="str">
        <f>IF($A505="","",Items!$G502)</f>
        <v/>
      </c>
      <c r="D505" s="20" t="str">
        <f>IF($A505="","",N(Items!$D502))</f>
        <v/>
      </c>
      <c r="E505" s="23" t="str">
        <f>IF($A505="","",Items!$E502)</f>
        <v/>
      </c>
      <c r="F505" s="23" t="str">
        <f>IF($A505="","",Items!$F502)</f>
        <v/>
      </c>
      <c r="G505" s="26" t="str">
        <f>IF($A505="","",SUMIFS(tblReceipts[Qty Received],tblReceipts[Item Name],$A505))</f>
        <v/>
      </c>
      <c r="H505" s="26" t="str">
        <f>IF($A505="","",SUMIFS(tblIssues[Qty Issued],tblIssues[Item Name],$A505))</f>
        <v/>
      </c>
      <c r="I505" s="27" t="str">
        <f t="shared" si="21"/>
        <v/>
      </c>
      <c r="J505" s="21" t="str">
        <f t="shared" si="22"/>
        <v/>
      </c>
      <c r="K505" s="26" t="str">
        <f>IF($A505="","",COUNTIFS(tblReceipts[Item Name],$A505))</f>
        <v/>
      </c>
      <c r="L505" s="26" t="str">
        <f>IF($A505="","",COUNTIFS(tblLotBalance[Item Name],$A505,tblLotBalance[Lot Balance],"&gt;0"))</f>
        <v/>
      </c>
      <c r="M505" s="24" t="str">
        <f>IF($A505="","",IF($L505=0,"",IFERROR(_xlfn.MINIFS(tblLotBalance[Expiry Date],tblLotBalance[Item Name],$A505,tblLotBalance[Lot Balance],"&gt;0"),"")))</f>
        <v/>
      </c>
      <c r="N505" s="26" t="str">
        <f t="shared" ca="1" si="23"/>
        <v/>
      </c>
      <c r="O505" s="18" t="str" cm="1">
        <f t="array" ref="O505">IF($M505="","",IFERROR(INDEX(tblLotBalance[Lot Number],MATCH(1,INDEX((tblLotBalance[Item Name]=$A505)*(tblLotBalance[Expiry Date]=$M505)*(tblLotBalance[Lot Balance]&gt;0),0),0)),""))</f>
        <v/>
      </c>
      <c r="P505" s="28" t="str">
        <f>IF($A505="","",IF($I505&lt;0,"NEGATIVE",IF(NOT(ISNUMBER($F505)),"Set threshold",IF($I505&lt;=0,"OUT OF STOCK",IF($I505&lt;=$F505,"LOW",IF($I505&lt;=$F505*Settings!$C$7,"WATCH","OK"))))))</f>
        <v/>
      </c>
      <c r="Q505" s="29" t="str">
        <f>IF($A505="","",IF($P505="NEGATIVE","Issued more than received - add the missing receipt",IF($P505="OUT OF STOCK","Reorder immediately",IF($P505="LOW","Raise purchase order",IF($P505="Set threshold","Enter Critical Low in Items",IF(AND($N505&lt;&gt;"",$N505&lt;=0),"Quarantine expired lot",IF(AND($N505&lt;&gt;"",$N505&lt;=Settings!$C$6),"Use or rotate stock now","")))))))</f>
        <v/>
      </c>
    </row>
    <row r="506" spans="1:17" x14ac:dyDescent="0.35">
      <c r="A506" s="18" t="str">
        <f>IF(Items!$A503="","",Items!$A503)</f>
        <v/>
      </c>
      <c r="B506" s="18" t="str">
        <f>IF($A506="","",Items!$B503)</f>
        <v/>
      </c>
      <c r="C506" s="19" t="str">
        <f>IF($A506="","",Items!$G503)</f>
        <v/>
      </c>
      <c r="D506" s="20" t="str">
        <f>IF($A506="","",N(Items!$D503))</f>
        <v/>
      </c>
      <c r="E506" s="23" t="str">
        <f>IF($A506="","",Items!$E503)</f>
        <v/>
      </c>
      <c r="F506" s="23" t="str">
        <f>IF($A506="","",Items!$F503)</f>
        <v/>
      </c>
      <c r="G506" s="26" t="str">
        <f>IF($A506="","",SUMIFS(tblReceipts[Qty Received],tblReceipts[Item Name],$A506))</f>
        <v/>
      </c>
      <c r="H506" s="26" t="str">
        <f>IF($A506="","",SUMIFS(tblIssues[Qty Issued],tblIssues[Item Name],$A506))</f>
        <v/>
      </c>
      <c r="I506" s="27" t="str">
        <f t="shared" si="21"/>
        <v/>
      </c>
      <c r="J506" s="21" t="str">
        <f t="shared" si="22"/>
        <v/>
      </c>
      <c r="K506" s="26" t="str">
        <f>IF($A506="","",COUNTIFS(tblReceipts[Item Name],$A506))</f>
        <v/>
      </c>
      <c r="L506" s="26" t="str">
        <f>IF($A506="","",COUNTIFS(tblLotBalance[Item Name],$A506,tblLotBalance[Lot Balance],"&gt;0"))</f>
        <v/>
      </c>
      <c r="M506" s="24" t="str">
        <f>IF($A506="","",IF($L506=0,"",IFERROR(_xlfn.MINIFS(tblLotBalance[Expiry Date],tblLotBalance[Item Name],$A506,tblLotBalance[Lot Balance],"&gt;0"),"")))</f>
        <v/>
      </c>
      <c r="N506" s="26" t="str">
        <f t="shared" ca="1" si="23"/>
        <v/>
      </c>
      <c r="O506" s="18" t="str" cm="1">
        <f t="array" ref="O506">IF($M506="","",IFERROR(INDEX(tblLotBalance[Lot Number],MATCH(1,INDEX((tblLotBalance[Item Name]=$A506)*(tblLotBalance[Expiry Date]=$M506)*(tblLotBalance[Lot Balance]&gt;0),0),0)),""))</f>
        <v/>
      </c>
      <c r="P506" s="28" t="str">
        <f>IF($A506="","",IF($I506&lt;0,"NEGATIVE",IF(NOT(ISNUMBER($F506)),"Set threshold",IF($I506&lt;=0,"OUT OF STOCK",IF($I506&lt;=$F506,"LOW",IF($I506&lt;=$F506*Settings!$C$7,"WATCH","OK"))))))</f>
        <v/>
      </c>
      <c r="Q506" s="29" t="str">
        <f>IF($A506="","",IF($P506="NEGATIVE","Issued more than received - add the missing receipt",IF($P506="OUT OF STOCK","Reorder immediately",IF($P506="LOW","Raise purchase order",IF($P506="Set threshold","Enter Critical Low in Items",IF(AND($N506&lt;&gt;"",$N506&lt;=0),"Quarantine expired lot",IF(AND($N506&lt;&gt;"",$N506&lt;=Settings!$C$6),"Use or rotate stock now","")))))))</f>
        <v/>
      </c>
    </row>
    <row r="507" spans="1:17" x14ac:dyDescent="0.35">
      <c r="A507" s="18" t="str">
        <f>IF(Items!$A504="","",Items!$A504)</f>
        <v/>
      </c>
      <c r="B507" s="18" t="str">
        <f>IF($A507="","",Items!$B504)</f>
        <v/>
      </c>
      <c r="C507" s="19" t="str">
        <f>IF($A507="","",Items!$G504)</f>
        <v/>
      </c>
      <c r="D507" s="20" t="str">
        <f>IF($A507="","",N(Items!$D504))</f>
        <v/>
      </c>
      <c r="E507" s="23" t="str">
        <f>IF($A507="","",Items!$E504)</f>
        <v/>
      </c>
      <c r="F507" s="23" t="str">
        <f>IF($A507="","",Items!$F504)</f>
        <v/>
      </c>
      <c r="G507" s="26" t="str">
        <f>IF($A507="","",SUMIFS(tblReceipts[Qty Received],tblReceipts[Item Name],$A507))</f>
        <v/>
      </c>
      <c r="H507" s="26" t="str">
        <f>IF($A507="","",SUMIFS(tblIssues[Qty Issued],tblIssues[Item Name],$A507))</f>
        <v/>
      </c>
      <c r="I507" s="27" t="str">
        <f t="shared" si="21"/>
        <v/>
      </c>
      <c r="J507" s="21" t="str">
        <f t="shared" si="22"/>
        <v/>
      </c>
      <c r="K507" s="26" t="str">
        <f>IF($A507="","",COUNTIFS(tblReceipts[Item Name],$A507))</f>
        <v/>
      </c>
      <c r="L507" s="26" t="str">
        <f>IF($A507="","",COUNTIFS(tblLotBalance[Item Name],$A507,tblLotBalance[Lot Balance],"&gt;0"))</f>
        <v/>
      </c>
      <c r="M507" s="24" t="str">
        <f>IF($A507="","",IF($L507=0,"",IFERROR(_xlfn.MINIFS(tblLotBalance[Expiry Date],tblLotBalance[Item Name],$A507,tblLotBalance[Lot Balance],"&gt;0"),"")))</f>
        <v/>
      </c>
      <c r="N507" s="26" t="str">
        <f t="shared" ca="1" si="23"/>
        <v/>
      </c>
      <c r="O507" s="18" t="str" cm="1">
        <f t="array" ref="O507">IF($M507="","",IFERROR(INDEX(tblLotBalance[Lot Number],MATCH(1,INDEX((tblLotBalance[Item Name]=$A507)*(tblLotBalance[Expiry Date]=$M507)*(tblLotBalance[Lot Balance]&gt;0),0),0)),""))</f>
        <v/>
      </c>
      <c r="P507" s="28" t="str">
        <f>IF($A507="","",IF($I507&lt;0,"NEGATIVE",IF(NOT(ISNUMBER($F507)),"Set threshold",IF($I507&lt;=0,"OUT OF STOCK",IF($I507&lt;=$F507,"LOW",IF($I507&lt;=$F507*Settings!$C$7,"WATCH","OK"))))))</f>
        <v/>
      </c>
      <c r="Q507" s="29" t="str">
        <f>IF($A507="","",IF($P507="NEGATIVE","Issued more than received - add the missing receipt",IF($P507="OUT OF STOCK","Reorder immediately",IF($P507="LOW","Raise purchase order",IF($P507="Set threshold","Enter Critical Low in Items",IF(AND($N507&lt;&gt;"",$N507&lt;=0),"Quarantine expired lot",IF(AND($N507&lt;&gt;"",$N507&lt;=Settings!$C$6),"Use or rotate stock now","")))))))</f>
        <v/>
      </c>
    </row>
    <row r="508" spans="1:17" x14ac:dyDescent="0.35">
      <c r="A508" s="18" t="str">
        <f>IF(Items!$A505="","",Items!$A505)</f>
        <v/>
      </c>
      <c r="B508" s="18" t="str">
        <f>IF($A508="","",Items!$B505)</f>
        <v/>
      </c>
      <c r="C508" s="19" t="str">
        <f>IF($A508="","",Items!$G505)</f>
        <v/>
      </c>
      <c r="D508" s="20" t="str">
        <f>IF($A508="","",N(Items!$D505))</f>
        <v/>
      </c>
      <c r="E508" s="23" t="str">
        <f>IF($A508="","",Items!$E505)</f>
        <v/>
      </c>
      <c r="F508" s="23" t="str">
        <f>IF($A508="","",Items!$F505)</f>
        <v/>
      </c>
      <c r="G508" s="26" t="str">
        <f>IF($A508="","",SUMIFS(tblReceipts[Qty Received],tblReceipts[Item Name],$A508))</f>
        <v/>
      </c>
      <c r="H508" s="26" t="str">
        <f>IF($A508="","",SUMIFS(tblIssues[Qty Issued],tblIssues[Item Name],$A508))</f>
        <v/>
      </c>
      <c r="I508" s="27" t="str">
        <f t="shared" si="21"/>
        <v/>
      </c>
      <c r="J508" s="21" t="str">
        <f t="shared" si="22"/>
        <v/>
      </c>
      <c r="K508" s="26" t="str">
        <f>IF($A508="","",COUNTIFS(tblReceipts[Item Name],$A508))</f>
        <v/>
      </c>
      <c r="L508" s="26" t="str">
        <f>IF($A508="","",COUNTIFS(tblLotBalance[Item Name],$A508,tblLotBalance[Lot Balance],"&gt;0"))</f>
        <v/>
      </c>
      <c r="M508" s="24" t="str">
        <f>IF($A508="","",IF($L508=0,"",IFERROR(_xlfn.MINIFS(tblLotBalance[Expiry Date],tblLotBalance[Item Name],$A508,tblLotBalance[Lot Balance],"&gt;0"),"")))</f>
        <v/>
      </c>
      <c r="N508" s="26" t="str">
        <f t="shared" ca="1" si="23"/>
        <v/>
      </c>
      <c r="O508" s="18" t="str" cm="1">
        <f t="array" ref="O508">IF($M508="","",IFERROR(INDEX(tblLotBalance[Lot Number],MATCH(1,INDEX((tblLotBalance[Item Name]=$A508)*(tblLotBalance[Expiry Date]=$M508)*(tblLotBalance[Lot Balance]&gt;0),0),0)),""))</f>
        <v/>
      </c>
      <c r="P508" s="28" t="str">
        <f>IF($A508="","",IF($I508&lt;0,"NEGATIVE",IF(NOT(ISNUMBER($F508)),"Set threshold",IF($I508&lt;=0,"OUT OF STOCK",IF($I508&lt;=$F508,"LOW",IF($I508&lt;=$F508*Settings!$C$7,"WATCH","OK"))))))</f>
        <v/>
      </c>
      <c r="Q508" s="29" t="str">
        <f>IF($A508="","",IF($P508="NEGATIVE","Issued more than received - add the missing receipt",IF($P508="OUT OF STOCK","Reorder immediately",IF($P508="LOW","Raise purchase order",IF($P508="Set threshold","Enter Critical Low in Items",IF(AND($N508&lt;&gt;"",$N508&lt;=0),"Quarantine expired lot",IF(AND($N508&lt;&gt;"",$N508&lt;=Settings!$C$6),"Use or rotate stock now","")))))))</f>
        <v/>
      </c>
    </row>
    <row r="509" spans="1:17" x14ac:dyDescent="0.35">
      <c r="A509" s="18" t="str">
        <f>IF(Items!$A506="","",Items!$A506)</f>
        <v/>
      </c>
      <c r="B509" s="18" t="str">
        <f>IF($A509="","",Items!$B506)</f>
        <v/>
      </c>
      <c r="C509" s="19" t="str">
        <f>IF($A509="","",Items!$G506)</f>
        <v/>
      </c>
      <c r="D509" s="20" t="str">
        <f>IF($A509="","",N(Items!$D506))</f>
        <v/>
      </c>
      <c r="E509" s="23" t="str">
        <f>IF($A509="","",Items!$E506)</f>
        <v/>
      </c>
      <c r="F509" s="23" t="str">
        <f>IF($A509="","",Items!$F506)</f>
        <v/>
      </c>
      <c r="G509" s="26" t="str">
        <f>IF($A509="","",SUMIFS(tblReceipts[Qty Received],tblReceipts[Item Name],$A509))</f>
        <v/>
      </c>
      <c r="H509" s="26" t="str">
        <f>IF($A509="","",SUMIFS(tblIssues[Qty Issued],tblIssues[Item Name],$A509))</f>
        <v/>
      </c>
      <c r="I509" s="27" t="str">
        <f t="shared" si="21"/>
        <v/>
      </c>
      <c r="J509" s="21" t="str">
        <f t="shared" si="22"/>
        <v/>
      </c>
      <c r="K509" s="26" t="str">
        <f>IF($A509="","",COUNTIFS(tblReceipts[Item Name],$A509))</f>
        <v/>
      </c>
      <c r="L509" s="26" t="str">
        <f>IF($A509="","",COUNTIFS(tblLotBalance[Item Name],$A509,tblLotBalance[Lot Balance],"&gt;0"))</f>
        <v/>
      </c>
      <c r="M509" s="24" t="str">
        <f>IF($A509="","",IF($L509=0,"",IFERROR(_xlfn.MINIFS(tblLotBalance[Expiry Date],tblLotBalance[Item Name],$A509,tblLotBalance[Lot Balance],"&gt;0"),"")))</f>
        <v/>
      </c>
      <c r="N509" s="26" t="str">
        <f t="shared" ca="1" si="23"/>
        <v/>
      </c>
      <c r="O509" s="18" t="str" cm="1">
        <f t="array" ref="O509">IF($M509="","",IFERROR(INDEX(tblLotBalance[Lot Number],MATCH(1,INDEX((tblLotBalance[Item Name]=$A509)*(tblLotBalance[Expiry Date]=$M509)*(tblLotBalance[Lot Balance]&gt;0),0),0)),""))</f>
        <v/>
      </c>
      <c r="P509" s="28" t="str">
        <f>IF($A509="","",IF($I509&lt;0,"NEGATIVE",IF(NOT(ISNUMBER($F509)),"Set threshold",IF($I509&lt;=0,"OUT OF STOCK",IF($I509&lt;=$F509,"LOW",IF($I509&lt;=$F509*Settings!$C$7,"WATCH","OK"))))))</f>
        <v/>
      </c>
      <c r="Q509" s="29" t="str">
        <f>IF($A509="","",IF($P509="NEGATIVE","Issued more than received - add the missing receipt",IF($P509="OUT OF STOCK","Reorder immediately",IF($P509="LOW","Raise purchase order",IF($P509="Set threshold","Enter Critical Low in Items",IF(AND($N509&lt;&gt;"",$N509&lt;=0),"Quarantine expired lot",IF(AND($N509&lt;&gt;"",$N509&lt;=Settings!$C$6),"Use or rotate stock now","")))))))</f>
        <v/>
      </c>
    </row>
    <row r="510" spans="1:17" x14ac:dyDescent="0.35">
      <c r="A510" s="18" t="str">
        <f>IF(Items!$A507="","",Items!$A507)</f>
        <v/>
      </c>
      <c r="B510" s="18" t="str">
        <f>IF($A510="","",Items!$B507)</f>
        <v/>
      </c>
      <c r="C510" s="19" t="str">
        <f>IF($A510="","",Items!$G507)</f>
        <v/>
      </c>
      <c r="D510" s="20" t="str">
        <f>IF($A510="","",N(Items!$D507))</f>
        <v/>
      </c>
      <c r="E510" s="23" t="str">
        <f>IF($A510="","",Items!$E507)</f>
        <v/>
      </c>
      <c r="F510" s="23" t="str">
        <f>IF($A510="","",Items!$F507)</f>
        <v/>
      </c>
      <c r="G510" s="26" t="str">
        <f>IF($A510="","",SUMIFS(tblReceipts[Qty Received],tblReceipts[Item Name],$A510))</f>
        <v/>
      </c>
      <c r="H510" s="26" t="str">
        <f>IF($A510="","",SUMIFS(tblIssues[Qty Issued],tblIssues[Item Name],$A510))</f>
        <v/>
      </c>
      <c r="I510" s="27" t="str">
        <f t="shared" si="21"/>
        <v/>
      </c>
      <c r="J510" s="21" t="str">
        <f t="shared" si="22"/>
        <v/>
      </c>
      <c r="K510" s="26" t="str">
        <f>IF($A510="","",COUNTIFS(tblReceipts[Item Name],$A510))</f>
        <v/>
      </c>
      <c r="L510" s="26" t="str">
        <f>IF($A510="","",COUNTIFS(tblLotBalance[Item Name],$A510,tblLotBalance[Lot Balance],"&gt;0"))</f>
        <v/>
      </c>
      <c r="M510" s="24" t="str">
        <f>IF($A510="","",IF($L510=0,"",IFERROR(_xlfn.MINIFS(tblLotBalance[Expiry Date],tblLotBalance[Item Name],$A510,tblLotBalance[Lot Balance],"&gt;0"),"")))</f>
        <v/>
      </c>
      <c r="N510" s="26" t="str">
        <f t="shared" ca="1" si="23"/>
        <v/>
      </c>
      <c r="O510" s="18" t="str" cm="1">
        <f t="array" ref="O510">IF($M510="","",IFERROR(INDEX(tblLotBalance[Lot Number],MATCH(1,INDEX((tblLotBalance[Item Name]=$A510)*(tblLotBalance[Expiry Date]=$M510)*(tblLotBalance[Lot Balance]&gt;0),0),0)),""))</f>
        <v/>
      </c>
      <c r="P510" s="28" t="str">
        <f>IF($A510="","",IF($I510&lt;0,"NEGATIVE",IF(NOT(ISNUMBER($F510)),"Set threshold",IF($I510&lt;=0,"OUT OF STOCK",IF($I510&lt;=$F510,"LOW",IF($I510&lt;=$F510*Settings!$C$7,"WATCH","OK"))))))</f>
        <v/>
      </c>
      <c r="Q510" s="29" t="str">
        <f>IF($A510="","",IF($P510="NEGATIVE","Issued more than received - add the missing receipt",IF($P510="OUT OF STOCK","Reorder immediately",IF($P510="LOW","Raise purchase order",IF($P510="Set threshold","Enter Critical Low in Items",IF(AND($N510&lt;&gt;"",$N510&lt;=0),"Quarantine expired lot",IF(AND($N510&lt;&gt;"",$N510&lt;=Settings!$C$6),"Use or rotate stock now","")))))))</f>
        <v/>
      </c>
    </row>
    <row r="511" spans="1:17" x14ac:dyDescent="0.35">
      <c r="A511" s="18" t="str">
        <f>IF(Items!$A508="","",Items!$A508)</f>
        <v/>
      </c>
      <c r="B511" s="18" t="str">
        <f>IF($A511="","",Items!$B508)</f>
        <v/>
      </c>
      <c r="C511" s="19" t="str">
        <f>IF($A511="","",Items!$G508)</f>
        <v/>
      </c>
      <c r="D511" s="20" t="str">
        <f>IF($A511="","",N(Items!$D508))</f>
        <v/>
      </c>
      <c r="E511" s="23" t="str">
        <f>IF($A511="","",Items!$E508)</f>
        <v/>
      </c>
      <c r="F511" s="23" t="str">
        <f>IF($A511="","",Items!$F508)</f>
        <v/>
      </c>
      <c r="G511" s="26" t="str">
        <f>IF($A511="","",SUMIFS(tblReceipts[Qty Received],tblReceipts[Item Name],$A511))</f>
        <v/>
      </c>
      <c r="H511" s="26" t="str">
        <f>IF($A511="","",SUMIFS(tblIssues[Qty Issued],tblIssues[Item Name],$A511))</f>
        <v/>
      </c>
      <c r="I511" s="27" t="str">
        <f t="shared" si="21"/>
        <v/>
      </c>
      <c r="J511" s="21" t="str">
        <f t="shared" si="22"/>
        <v/>
      </c>
      <c r="K511" s="26" t="str">
        <f>IF($A511="","",COUNTIFS(tblReceipts[Item Name],$A511))</f>
        <v/>
      </c>
      <c r="L511" s="26" t="str">
        <f>IF($A511="","",COUNTIFS(tblLotBalance[Item Name],$A511,tblLotBalance[Lot Balance],"&gt;0"))</f>
        <v/>
      </c>
      <c r="M511" s="24" t="str">
        <f>IF($A511="","",IF($L511=0,"",IFERROR(_xlfn.MINIFS(tblLotBalance[Expiry Date],tblLotBalance[Item Name],$A511,tblLotBalance[Lot Balance],"&gt;0"),"")))</f>
        <v/>
      </c>
      <c r="N511" s="26" t="str">
        <f t="shared" ca="1" si="23"/>
        <v/>
      </c>
      <c r="O511" s="18" t="str" cm="1">
        <f t="array" ref="O511">IF($M511="","",IFERROR(INDEX(tblLotBalance[Lot Number],MATCH(1,INDEX((tblLotBalance[Item Name]=$A511)*(tblLotBalance[Expiry Date]=$M511)*(tblLotBalance[Lot Balance]&gt;0),0),0)),""))</f>
        <v/>
      </c>
      <c r="P511" s="28" t="str">
        <f>IF($A511="","",IF($I511&lt;0,"NEGATIVE",IF(NOT(ISNUMBER($F511)),"Set threshold",IF($I511&lt;=0,"OUT OF STOCK",IF($I511&lt;=$F511,"LOW",IF($I511&lt;=$F511*Settings!$C$7,"WATCH","OK"))))))</f>
        <v/>
      </c>
      <c r="Q511" s="29" t="str">
        <f>IF($A511="","",IF($P511="NEGATIVE","Issued more than received - add the missing receipt",IF($P511="OUT OF STOCK","Reorder immediately",IF($P511="LOW","Raise purchase order",IF($P511="Set threshold","Enter Critical Low in Items",IF(AND($N511&lt;&gt;"",$N511&lt;=0),"Quarantine expired lot",IF(AND($N511&lt;&gt;"",$N511&lt;=Settings!$C$6),"Use or rotate stock now","")))))))</f>
        <v/>
      </c>
    </row>
    <row r="512" spans="1:17" x14ac:dyDescent="0.35">
      <c r="A512" s="18" t="str">
        <f>IF(Items!$A509="","",Items!$A509)</f>
        <v/>
      </c>
      <c r="B512" s="18" t="str">
        <f>IF($A512="","",Items!$B509)</f>
        <v/>
      </c>
      <c r="C512" s="19" t="str">
        <f>IF($A512="","",Items!$G509)</f>
        <v/>
      </c>
      <c r="D512" s="20" t="str">
        <f>IF($A512="","",N(Items!$D509))</f>
        <v/>
      </c>
      <c r="E512" s="23" t="str">
        <f>IF($A512="","",Items!$E509)</f>
        <v/>
      </c>
      <c r="F512" s="23" t="str">
        <f>IF($A512="","",Items!$F509)</f>
        <v/>
      </c>
      <c r="G512" s="26" t="str">
        <f>IF($A512="","",SUMIFS(tblReceipts[Qty Received],tblReceipts[Item Name],$A512))</f>
        <v/>
      </c>
      <c r="H512" s="26" t="str">
        <f>IF($A512="","",SUMIFS(tblIssues[Qty Issued],tblIssues[Item Name],$A512))</f>
        <v/>
      </c>
      <c r="I512" s="27" t="str">
        <f t="shared" si="21"/>
        <v/>
      </c>
      <c r="J512" s="21" t="str">
        <f t="shared" si="22"/>
        <v/>
      </c>
      <c r="K512" s="26" t="str">
        <f>IF($A512="","",COUNTIFS(tblReceipts[Item Name],$A512))</f>
        <v/>
      </c>
      <c r="L512" s="26" t="str">
        <f>IF($A512="","",COUNTIFS(tblLotBalance[Item Name],$A512,tblLotBalance[Lot Balance],"&gt;0"))</f>
        <v/>
      </c>
      <c r="M512" s="24" t="str">
        <f>IF($A512="","",IF($L512=0,"",IFERROR(_xlfn.MINIFS(tblLotBalance[Expiry Date],tblLotBalance[Item Name],$A512,tblLotBalance[Lot Balance],"&gt;0"),"")))</f>
        <v/>
      </c>
      <c r="N512" s="26" t="str">
        <f t="shared" ca="1" si="23"/>
        <v/>
      </c>
      <c r="O512" s="18" t="str" cm="1">
        <f t="array" ref="O512">IF($M512="","",IFERROR(INDEX(tblLotBalance[Lot Number],MATCH(1,INDEX((tblLotBalance[Item Name]=$A512)*(tblLotBalance[Expiry Date]=$M512)*(tblLotBalance[Lot Balance]&gt;0),0),0)),""))</f>
        <v/>
      </c>
      <c r="P512" s="28" t="str">
        <f>IF($A512="","",IF($I512&lt;0,"NEGATIVE",IF(NOT(ISNUMBER($F512)),"Set threshold",IF($I512&lt;=0,"OUT OF STOCK",IF($I512&lt;=$F512,"LOW",IF($I512&lt;=$F512*Settings!$C$7,"WATCH","OK"))))))</f>
        <v/>
      </c>
      <c r="Q512" s="29" t="str">
        <f>IF($A512="","",IF($P512="NEGATIVE","Issued more than received - add the missing receipt",IF($P512="OUT OF STOCK","Reorder immediately",IF($P512="LOW","Raise purchase order",IF($P512="Set threshold","Enter Critical Low in Items",IF(AND($N512&lt;&gt;"",$N512&lt;=0),"Quarantine expired lot",IF(AND($N512&lt;&gt;"",$N512&lt;=Settings!$C$6),"Use or rotate stock now","")))))))</f>
        <v/>
      </c>
    </row>
    <row r="513" spans="1:17" x14ac:dyDescent="0.35">
      <c r="A513" s="18" t="str">
        <f>IF(Items!$A510="","",Items!$A510)</f>
        <v/>
      </c>
      <c r="B513" s="18" t="str">
        <f>IF($A513="","",Items!$B510)</f>
        <v/>
      </c>
      <c r="C513" s="19" t="str">
        <f>IF($A513="","",Items!$G510)</f>
        <v/>
      </c>
      <c r="D513" s="20" t="str">
        <f>IF($A513="","",N(Items!$D510))</f>
        <v/>
      </c>
      <c r="E513" s="23" t="str">
        <f>IF($A513="","",Items!$E510)</f>
        <v/>
      </c>
      <c r="F513" s="23" t="str">
        <f>IF($A513="","",Items!$F510)</f>
        <v/>
      </c>
      <c r="G513" s="26" t="str">
        <f>IF($A513="","",SUMIFS(tblReceipts[Qty Received],tblReceipts[Item Name],$A513))</f>
        <v/>
      </c>
      <c r="H513" s="26" t="str">
        <f>IF($A513="","",SUMIFS(tblIssues[Qty Issued],tblIssues[Item Name],$A513))</f>
        <v/>
      </c>
      <c r="I513" s="27" t="str">
        <f t="shared" si="21"/>
        <v/>
      </c>
      <c r="J513" s="21" t="str">
        <f t="shared" si="22"/>
        <v/>
      </c>
      <c r="K513" s="26" t="str">
        <f>IF($A513="","",COUNTIFS(tblReceipts[Item Name],$A513))</f>
        <v/>
      </c>
      <c r="L513" s="26" t="str">
        <f>IF($A513="","",COUNTIFS(tblLotBalance[Item Name],$A513,tblLotBalance[Lot Balance],"&gt;0"))</f>
        <v/>
      </c>
      <c r="M513" s="24" t="str">
        <f>IF($A513="","",IF($L513=0,"",IFERROR(_xlfn.MINIFS(tblLotBalance[Expiry Date],tblLotBalance[Item Name],$A513,tblLotBalance[Lot Balance],"&gt;0"),"")))</f>
        <v/>
      </c>
      <c r="N513" s="26" t="str">
        <f t="shared" ca="1" si="23"/>
        <v/>
      </c>
      <c r="O513" s="18" t="str" cm="1">
        <f t="array" ref="O513">IF($M513="","",IFERROR(INDEX(tblLotBalance[Lot Number],MATCH(1,INDEX((tblLotBalance[Item Name]=$A513)*(tblLotBalance[Expiry Date]=$M513)*(tblLotBalance[Lot Balance]&gt;0),0),0)),""))</f>
        <v/>
      </c>
      <c r="P513" s="28" t="str">
        <f>IF($A513="","",IF($I513&lt;0,"NEGATIVE",IF(NOT(ISNUMBER($F513)),"Set threshold",IF($I513&lt;=0,"OUT OF STOCK",IF($I513&lt;=$F513,"LOW",IF($I513&lt;=$F513*Settings!$C$7,"WATCH","OK"))))))</f>
        <v/>
      </c>
      <c r="Q513" s="29" t="str">
        <f>IF($A513="","",IF($P513="NEGATIVE","Issued more than received - add the missing receipt",IF($P513="OUT OF STOCK","Reorder immediately",IF($P513="LOW","Raise purchase order",IF($P513="Set threshold","Enter Critical Low in Items",IF(AND($N513&lt;&gt;"",$N513&lt;=0),"Quarantine expired lot",IF(AND($N513&lt;&gt;"",$N513&lt;=Settings!$C$6),"Use or rotate stock now","")))))))</f>
        <v/>
      </c>
    </row>
    <row r="514" spans="1:17" x14ac:dyDescent="0.35">
      <c r="A514" s="18" t="str">
        <f>IF(Items!$A511="","",Items!$A511)</f>
        <v/>
      </c>
      <c r="B514" s="18" t="str">
        <f>IF($A514="","",Items!$B511)</f>
        <v/>
      </c>
      <c r="C514" s="19" t="str">
        <f>IF($A514="","",Items!$G511)</f>
        <v/>
      </c>
      <c r="D514" s="20" t="str">
        <f>IF($A514="","",N(Items!$D511))</f>
        <v/>
      </c>
      <c r="E514" s="23" t="str">
        <f>IF($A514="","",Items!$E511)</f>
        <v/>
      </c>
      <c r="F514" s="23" t="str">
        <f>IF($A514="","",Items!$F511)</f>
        <v/>
      </c>
      <c r="G514" s="26" t="str">
        <f>IF($A514="","",SUMIFS(tblReceipts[Qty Received],tblReceipts[Item Name],$A514))</f>
        <v/>
      </c>
      <c r="H514" s="26" t="str">
        <f>IF($A514="","",SUMIFS(tblIssues[Qty Issued],tblIssues[Item Name],$A514))</f>
        <v/>
      </c>
      <c r="I514" s="27" t="str">
        <f t="shared" si="21"/>
        <v/>
      </c>
      <c r="J514" s="21" t="str">
        <f t="shared" si="22"/>
        <v/>
      </c>
      <c r="K514" s="26" t="str">
        <f>IF($A514="","",COUNTIFS(tblReceipts[Item Name],$A514))</f>
        <v/>
      </c>
      <c r="L514" s="26" t="str">
        <f>IF($A514="","",COUNTIFS(tblLotBalance[Item Name],$A514,tblLotBalance[Lot Balance],"&gt;0"))</f>
        <v/>
      </c>
      <c r="M514" s="24" t="str">
        <f>IF($A514="","",IF($L514=0,"",IFERROR(_xlfn.MINIFS(tblLotBalance[Expiry Date],tblLotBalance[Item Name],$A514,tblLotBalance[Lot Balance],"&gt;0"),"")))</f>
        <v/>
      </c>
      <c r="N514" s="26" t="str">
        <f t="shared" ca="1" si="23"/>
        <v/>
      </c>
      <c r="O514" s="18" t="str" cm="1">
        <f t="array" ref="O514">IF($M514="","",IFERROR(INDEX(tblLotBalance[Lot Number],MATCH(1,INDEX((tblLotBalance[Item Name]=$A514)*(tblLotBalance[Expiry Date]=$M514)*(tblLotBalance[Lot Balance]&gt;0),0),0)),""))</f>
        <v/>
      </c>
      <c r="P514" s="28" t="str">
        <f>IF($A514="","",IF($I514&lt;0,"NEGATIVE",IF(NOT(ISNUMBER($F514)),"Set threshold",IF($I514&lt;=0,"OUT OF STOCK",IF($I514&lt;=$F514,"LOW",IF($I514&lt;=$F514*Settings!$C$7,"WATCH","OK"))))))</f>
        <v/>
      </c>
      <c r="Q514" s="29" t="str">
        <f>IF($A514="","",IF($P514="NEGATIVE","Issued more than received - add the missing receipt",IF($P514="OUT OF STOCK","Reorder immediately",IF($P514="LOW","Raise purchase order",IF($P514="Set threshold","Enter Critical Low in Items",IF(AND($N514&lt;&gt;"",$N514&lt;=0),"Quarantine expired lot",IF(AND($N514&lt;&gt;"",$N514&lt;=Settings!$C$6),"Use or rotate stock now","")))))))</f>
        <v/>
      </c>
    </row>
    <row r="515" spans="1:17" x14ac:dyDescent="0.35">
      <c r="A515" s="18" t="str">
        <f>IF(Items!$A512="","",Items!$A512)</f>
        <v/>
      </c>
      <c r="B515" s="18" t="str">
        <f>IF($A515="","",Items!$B512)</f>
        <v/>
      </c>
      <c r="C515" s="19" t="str">
        <f>IF($A515="","",Items!$G512)</f>
        <v/>
      </c>
      <c r="D515" s="20" t="str">
        <f>IF($A515="","",N(Items!$D512))</f>
        <v/>
      </c>
      <c r="E515" s="23" t="str">
        <f>IF($A515="","",Items!$E512)</f>
        <v/>
      </c>
      <c r="F515" s="23" t="str">
        <f>IF($A515="","",Items!$F512)</f>
        <v/>
      </c>
      <c r="G515" s="26" t="str">
        <f>IF($A515="","",SUMIFS(tblReceipts[Qty Received],tblReceipts[Item Name],$A515))</f>
        <v/>
      </c>
      <c r="H515" s="26" t="str">
        <f>IF($A515="","",SUMIFS(tblIssues[Qty Issued],tblIssues[Item Name],$A515))</f>
        <v/>
      </c>
      <c r="I515" s="27" t="str">
        <f t="shared" si="21"/>
        <v/>
      </c>
      <c r="J515" s="21" t="str">
        <f t="shared" si="22"/>
        <v/>
      </c>
      <c r="K515" s="26" t="str">
        <f>IF($A515="","",COUNTIFS(tblReceipts[Item Name],$A515))</f>
        <v/>
      </c>
      <c r="L515" s="26" t="str">
        <f>IF($A515="","",COUNTIFS(tblLotBalance[Item Name],$A515,tblLotBalance[Lot Balance],"&gt;0"))</f>
        <v/>
      </c>
      <c r="M515" s="24" t="str">
        <f>IF($A515="","",IF($L515=0,"",IFERROR(_xlfn.MINIFS(tblLotBalance[Expiry Date],tblLotBalance[Item Name],$A515,tblLotBalance[Lot Balance],"&gt;0"),"")))</f>
        <v/>
      </c>
      <c r="N515" s="26" t="str">
        <f t="shared" ca="1" si="23"/>
        <v/>
      </c>
      <c r="O515" s="18" t="str" cm="1">
        <f t="array" ref="O515">IF($M515="","",IFERROR(INDEX(tblLotBalance[Lot Number],MATCH(1,INDEX((tblLotBalance[Item Name]=$A515)*(tblLotBalance[Expiry Date]=$M515)*(tblLotBalance[Lot Balance]&gt;0),0),0)),""))</f>
        <v/>
      </c>
      <c r="P515" s="28" t="str">
        <f>IF($A515="","",IF($I515&lt;0,"NEGATIVE",IF(NOT(ISNUMBER($F515)),"Set threshold",IF($I515&lt;=0,"OUT OF STOCK",IF($I515&lt;=$F515,"LOW",IF($I515&lt;=$F515*Settings!$C$7,"WATCH","OK"))))))</f>
        <v/>
      </c>
      <c r="Q515" s="29" t="str">
        <f>IF($A515="","",IF($P515="NEGATIVE","Issued more than received - add the missing receipt",IF($P515="OUT OF STOCK","Reorder immediately",IF($P515="LOW","Raise purchase order",IF($P515="Set threshold","Enter Critical Low in Items",IF(AND($N515&lt;&gt;"",$N515&lt;=0),"Quarantine expired lot",IF(AND($N515&lt;&gt;"",$N515&lt;=Settings!$C$6),"Use or rotate stock now","")))))))</f>
        <v/>
      </c>
    </row>
    <row r="516" spans="1:17" x14ac:dyDescent="0.35">
      <c r="A516" s="18" t="str">
        <f>IF(Items!$A513="","",Items!$A513)</f>
        <v/>
      </c>
      <c r="B516" s="18" t="str">
        <f>IF($A516="","",Items!$B513)</f>
        <v/>
      </c>
      <c r="C516" s="19" t="str">
        <f>IF($A516="","",Items!$G513)</f>
        <v/>
      </c>
      <c r="D516" s="20" t="str">
        <f>IF($A516="","",N(Items!$D513))</f>
        <v/>
      </c>
      <c r="E516" s="23" t="str">
        <f>IF($A516="","",Items!$E513)</f>
        <v/>
      </c>
      <c r="F516" s="23" t="str">
        <f>IF($A516="","",Items!$F513)</f>
        <v/>
      </c>
      <c r="G516" s="26" t="str">
        <f>IF($A516="","",SUMIFS(tblReceipts[Qty Received],tblReceipts[Item Name],$A516))</f>
        <v/>
      </c>
      <c r="H516" s="26" t="str">
        <f>IF($A516="","",SUMIFS(tblIssues[Qty Issued],tblIssues[Item Name],$A516))</f>
        <v/>
      </c>
      <c r="I516" s="27" t="str">
        <f t="shared" si="21"/>
        <v/>
      </c>
      <c r="J516" s="21" t="str">
        <f t="shared" si="22"/>
        <v/>
      </c>
      <c r="K516" s="26" t="str">
        <f>IF($A516="","",COUNTIFS(tblReceipts[Item Name],$A516))</f>
        <v/>
      </c>
      <c r="L516" s="26" t="str">
        <f>IF($A516="","",COUNTIFS(tblLotBalance[Item Name],$A516,tblLotBalance[Lot Balance],"&gt;0"))</f>
        <v/>
      </c>
      <c r="M516" s="24" t="str">
        <f>IF($A516="","",IF($L516=0,"",IFERROR(_xlfn.MINIFS(tblLotBalance[Expiry Date],tblLotBalance[Item Name],$A516,tblLotBalance[Lot Balance],"&gt;0"),"")))</f>
        <v/>
      </c>
      <c r="N516" s="26" t="str">
        <f t="shared" ca="1" si="23"/>
        <v/>
      </c>
      <c r="O516" s="18" t="str" cm="1">
        <f t="array" ref="O516">IF($M516="","",IFERROR(INDEX(tblLotBalance[Lot Number],MATCH(1,INDEX((tblLotBalance[Item Name]=$A516)*(tblLotBalance[Expiry Date]=$M516)*(tblLotBalance[Lot Balance]&gt;0),0),0)),""))</f>
        <v/>
      </c>
      <c r="P516" s="28" t="str">
        <f>IF($A516="","",IF($I516&lt;0,"NEGATIVE",IF(NOT(ISNUMBER($F516)),"Set threshold",IF($I516&lt;=0,"OUT OF STOCK",IF($I516&lt;=$F516,"LOW",IF($I516&lt;=$F516*Settings!$C$7,"WATCH","OK"))))))</f>
        <v/>
      </c>
      <c r="Q516" s="29" t="str">
        <f>IF($A516="","",IF($P516="NEGATIVE","Issued more than received - add the missing receipt",IF($P516="OUT OF STOCK","Reorder immediately",IF($P516="LOW","Raise purchase order",IF($P516="Set threshold","Enter Critical Low in Items",IF(AND($N516&lt;&gt;"",$N516&lt;=0),"Quarantine expired lot",IF(AND($N516&lt;&gt;"",$N516&lt;=Settings!$C$6),"Use or rotate stock now","")))))))</f>
        <v/>
      </c>
    </row>
    <row r="517" spans="1:17" x14ac:dyDescent="0.35">
      <c r="A517" s="18" t="str">
        <f>IF(Items!$A514="","",Items!$A514)</f>
        <v/>
      </c>
      <c r="B517" s="18" t="str">
        <f>IF($A517="","",Items!$B514)</f>
        <v/>
      </c>
      <c r="C517" s="19" t="str">
        <f>IF($A517="","",Items!$G514)</f>
        <v/>
      </c>
      <c r="D517" s="20" t="str">
        <f>IF($A517="","",N(Items!$D514))</f>
        <v/>
      </c>
      <c r="E517" s="23" t="str">
        <f>IF($A517="","",Items!$E514)</f>
        <v/>
      </c>
      <c r="F517" s="23" t="str">
        <f>IF($A517="","",Items!$F514)</f>
        <v/>
      </c>
      <c r="G517" s="26" t="str">
        <f>IF($A517="","",SUMIFS(tblReceipts[Qty Received],tblReceipts[Item Name],$A517))</f>
        <v/>
      </c>
      <c r="H517" s="26" t="str">
        <f>IF($A517="","",SUMIFS(tblIssues[Qty Issued],tblIssues[Item Name],$A517))</f>
        <v/>
      </c>
      <c r="I517" s="27" t="str">
        <f t="shared" ref="I517:I580" si="24">IF($A517="","",$G517-$H517)</f>
        <v/>
      </c>
      <c r="J517" s="21" t="str">
        <f t="shared" ref="J517:J580" si="25">IF($A517="","",$I517*$D517)</f>
        <v/>
      </c>
      <c r="K517" s="26" t="str">
        <f>IF($A517="","",COUNTIFS(tblReceipts[Item Name],$A517))</f>
        <v/>
      </c>
      <c r="L517" s="26" t="str">
        <f>IF($A517="","",COUNTIFS(tblLotBalance[Item Name],$A517,tblLotBalance[Lot Balance],"&gt;0"))</f>
        <v/>
      </c>
      <c r="M517" s="24" t="str">
        <f>IF($A517="","",IF($L517=0,"",IFERROR(_xlfn.MINIFS(tblLotBalance[Expiry Date],tblLotBalance[Item Name],$A517,tblLotBalance[Lot Balance],"&gt;0"),"")))</f>
        <v/>
      </c>
      <c r="N517" s="26" t="str">
        <f t="shared" ref="N517:N580" ca="1" si="26">IF($M517="","",$M517-TODAY())</f>
        <v/>
      </c>
      <c r="O517" s="18" t="str" cm="1">
        <f t="array" ref="O517">IF($M517="","",IFERROR(INDEX(tblLotBalance[Lot Number],MATCH(1,INDEX((tblLotBalance[Item Name]=$A517)*(tblLotBalance[Expiry Date]=$M517)*(tblLotBalance[Lot Balance]&gt;0),0),0)),""))</f>
        <v/>
      </c>
      <c r="P517" s="28" t="str">
        <f>IF($A517="","",IF($I517&lt;0,"NEGATIVE",IF(NOT(ISNUMBER($F517)),"Set threshold",IF($I517&lt;=0,"OUT OF STOCK",IF($I517&lt;=$F517,"LOW",IF($I517&lt;=$F517*Settings!$C$7,"WATCH","OK"))))))</f>
        <v/>
      </c>
      <c r="Q517" s="29" t="str">
        <f>IF($A517="","",IF($P517="NEGATIVE","Issued more than received - add the missing receipt",IF($P517="OUT OF STOCK","Reorder immediately",IF($P517="LOW","Raise purchase order",IF($P517="Set threshold","Enter Critical Low in Items",IF(AND($N517&lt;&gt;"",$N517&lt;=0),"Quarantine expired lot",IF(AND($N517&lt;&gt;"",$N517&lt;=Settings!$C$6),"Use or rotate stock now","")))))))</f>
        <v/>
      </c>
    </row>
    <row r="518" spans="1:17" x14ac:dyDescent="0.35">
      <c r="A518" s="18" t="str">
        <f>IF(Items!$A515="","",Items!$A515)</f>
        <v/>
      </c>
      <c r="B518" s="18" t="str">
        <f>IF($A518="","",Items!$B515)</f>
        <v/>
      </c>
      <c r="C518" s="19" t="str">
        <f>IF($A518="","",Items!$G515)</f>
        <v/>
      </c>
      <c r="D518" s="20" t="str">
        <f>IF($A518="","",N(Items!$D515))</f>
        <v/>
      </c>
      <c r="E518" s="23" t="str">
        <f>IF($A518="","",Items!$E515)</f>
        <v/>
      </c>
      <c r="F518" s="23" t="str">
        <f>IF($A518="","",Items!$F515)</f>
        <v/>
      </c>
      <c r="G518" s="26" t="str">
        <f>IF($A518="","",SUMIFS(tblReceipts[Qty Received],tblReceipts[Item Name],$A518))</f>
        <v/>
      </c>
      <c r="H518" s="26" t="str">
        <f>IF($A518="","",SUMIFS(tblIssues[Qty Issued],tblIssues[Item Name],$A518))</f>
        <v/>
      </c>
      <c r="I518" s="27" t="str">
        <f t="shared" si="24"/>
        <v/>
      </c>
      <c r="J518" s="21" t="str">
        <f t="shared" si="25"/>
        <v/>
      </c>
      <c r="K518" s="26" t="str">
        <f>IF($A518="","",COUNTIFS(tblReceipts[Item Name],$A518))</f>
        <v/>
      </c>
      <c r="L518" s="26" t="str">
        <f>IF($A518="","",COUNTIFS(tblLotBalance[Item Name],$A518,tblLotBalance[Lot Balance],"&gt;0"))</f>
        <v/>
      </c>
      <c r="M518" s="24" t="str">
        <f>IF($A518="","",IF($L518=0,"",IFERROR(_xlfn.MINIFS(tblLotBalance[Expiry Date],tblLotBalance[Item Name],$A518,tblLotBalance[Lot Balance],"&gt;0"),"")))</f>
        <v/>
      </c>
      <c r="N518" s="26" t="str">
        <f t="shared" ca="1" si="26"/>
        <v/>
      </c>
      <c r="O518" s="18" t="str" cm="1">
        <f t="array" ref="O518">IF($M518="","",IFERROR(INDEX(tblLotBalance[Lot Number],MATCH(1,INDEX((tblLotBalance[Item Name]=$A518)*(tblLotBalance[Expiry Date]=$M518)*(tblLotBalance[Lot Balance]&gt;0),0),0)),""))</f>
        <v/>
      </c>
      <c r="P518" s="28" t="str">
        <f>IF($A518="","",IF($I518&lt;0,"NEGATIVE",IF(NOT(ISNUMBER($F518)),"Set threshold",IF($I518&lt;=0,"OUT OF STOCK",IF($I518&lt;=$F518,"LOW",IF($I518&lt;=$F518*Settings!$C$7,"WATCH","OK"))))))</f>
        <v/>
      </c>
      <c r="Q518" s="29" t="str">
        <f>IF($A518="","",IF($P518="NEGATIVE","Issued more than received - add the missing receipt",IF($P518="OUT OF STOCK","Reorder immediately",IF($P518="LOW","Raise purchase order",IF($P518="Set threshold","Enter Critical Low in Items",IF(AND($N518&lt;&gt;"",$N518&lt;=0),"Quarantine expired lot",IF(AND($N518&lt;&gt;"",$N518&lt;=Settings!$C$6),"Use or rotate stock now","")))))))</f>
        <v/>
      </c>
    </row>
    <row r="519" spans="1:17" x14ac:dyDescent="0.35">
      <c r="A519" s="18" t="str">
        <f>IF(Items!$A516="","",Items!$A516)</f>
        <v/>
      </c>
      <c r="B519" s="18" t="str">
        <f>IF($A519="","",Items!$B516)</f>
        <v/>
      </c>
      <c r="C519" s="19" t="str">
        <f>IF($A519="","",Items!$G516)</f>
        <v/>
      </c>
      <c r="D519" s="20" t="str">
        <f>IF($A519="","",N(Items!$D516))</f>
        <v/>
      </c>
      <c r="E519" s="23" t="str">
        <f>IF($A519="","",Items!$E516)</f>
        <v/>
      </c>
      <c r="F519" s="23" t="str">
        <f>IF($A519="","",Items!$F516)</f>
        <v/>
      </c>
      <c r="G519" s="26" t="str">
        <f>IF($A519="","",SUMIFS(tblReceipts[Qty Received],tblReceipts[Item Name],$A519))</f>
        <v/>
      </c>
      <c r="H519" s="26" t="str">
        <f>IF($A519="","",SUMIFS(tblIssues[Qty Issued],tblIssues[Item Name],$A519))</f>
        <v/>
      </c>
      <c r="I519" s="27" t="str">
        <f t="shared" si="24"/>
        <v/>
      </c>
      <c r="J519" s="21" t="str">
        <f t="shared" si="25"/>
        <v/>
      </c>
      <c r="K519" s="26" t="str">
        <f>IF($A519="","",COUNTIFS(tblReceipts[Item Name],$A519))</f>
        <v/>
      </c>
      <c r="L519" s="26" t="str">
        <f>IF($A519="","",COUNTIFS(tblLotBalance[Item Name],$A519,tblLotBalance[Lot Balance],"&gt;0"))</f>
        <v/>
      </c>
      <c r="M519" s="24" t="str">
        <f>IF($A519="","",IF($L519=0,"",IFERROR(_xlfn.MINIFS(tblLotBalance[Expiry Date],tblLotBalance[Item Name],$A519,tblLotBalance[Lot Balance],"&gt;0"),"")))</f>
        <v/>
      </c>
      <c r="N519" s="26" t="str">
        <f t="shared" ca="1" si="26"/>
        <v/>
      </c>
      <c r="O519" s="18" t="str" cm="1">
        <f t="array" ref="O519">IF($M519="","",IFERROR(INDEX(tblLotBalance[Lot Number],MATCH(1,INDEX((tblLotBalance[Item Name]=$A519)*(tblLotBalance[Expiry Date]=$M519)*(tblLotBalance[Lot Balance]&gt;0),0),0)),""))</f>
        <v/>
      </c>
      <c r="P519" s="28" t="str">
        <f>IF($A519="","",IF($I519&lt;0,"NEGATIVE",IF(NOT(ISNUMBER($F519)),"Set threshold",IF($I519&lt;=0,"OUT OF STOCK",IF($I519&lt;=$F519,"LOW",IF($I519&lt;=$F519*Settings!$C$7,"WATCH","OK"))))))</f>
        <v/>
      </c>
      <c r="Q519" s="29" t="str">
        <f>IF($A519="","",IF($P519="NEGATIVE","Issued more than received - add the missing receipt",IF($P519="OUT OF STOCK","Reorder immediately",IF($P519="LOW","Raise purchase order",IF($P519="Set threshold","Enter Critical Low in Items",IF(AND($N519&lt;&gt;"",$N519&lt;=0),"Quarantine expired lot",IF(AND($N519&lt;&gt;"",$N519&lt;=Settings!$C$6),"Use or rotate stock now","")))))))</f>
        <v/>
      </c>
    </row>
    <row r="520" spans="1:17" x14ac:dyDescent="0.35">
      <c r="A520" s="18" t="str">
        <f>IF(Items!$A517="","",Items!$A517)</f>
        <v/>
      </c>
      <c r="B520" s="18" t="str">
        <f>IF($A520="","",Items!$B517)</f>
        <v/>
      </c>
      <c r="C520" s="19" t="str">
        <f>IF($A520="","",Items!$G517)</f>
        <v/>
      </c>
      <c r="D520" s="20" t="str">
        <f>IF($A520="","",N(Items!$D517))</f>
        <v/>
      </c>
      <c r="E520" s="23" t="str">
        <f>IF($A520="","",Items!$E517)</f>
        <v/>
      </c>
      <c r="F520" s="23" t="str">
        <f>IF($A520="","",Items!$F517)</f>
        <v/>
      </c>
      <c r="G520" s="26" t="str">
        <f>IF($A520="","",SUMIFS(tblReceipts[Qty Received],tblReceipts[Item Name],$A520))</f>
        <v/>
      </c>
      <c r="H520" s="26" t="str">
        <f>IF($A520="","",SUMIFS(tblIssues[Qty Issued],tblIssues[Item Name],$A520))</f>
        <v/>
      </c>
      <c r="I520" s="27" t="str">
        <f t="shared" si="24"/>
        <v/>
      </c>
      <c r="J520" s="21" t="str">
        <f t="shared" si="25"/>
        <v/>
      </c>
      <c r="K520" s="26" t="str">
        <f>IF($A520="","",COUNTIFS(tblReceipts[Item Name],$A520))</f>
        <v/>
      </c>
      <c r="L520" s="26" t="str">
        <f>IF($A520="","",COUNTIFS(tblLotBalance[Item Name],$A520,tblLotBalance[Lot Balance],"&gt;0"))</f>
        <v/>
      </c>
      <c r="M520" s="24" t="str">
        <f>IF($A520="","",IF($L520=0,"",IFERROR(_xlfn.MINIFS(tblLotBalance[Expiry Date],tblLotBalance[Item Name],$A520,tblLotBalance[Lot Balance],"&gt;0"),"")))</f>
        <v/>
      </c>
      <c r="N520" s="26" t="str">
        <f t="shared" ca="1" si="26"/>
        <v/>
      </c>
      <c r="O520" s="18" t="str" cm="1">
        <f t="array" ref="O520">IF($M520="","",IFERROR(INDEX(tblLotBalance[Lot Number],MATCH(1,INDEX((tblLotBalance[Item Name]=$A520)*(tblLotBalance[Expiry Date]=$M520)*(tblLotBalance[Lot Balance]&gt;0),0),0)),""))</f>
        <v/>
      </c>
      <c r="P520" s="28" t="str">
        <f>IF($A520="","",IF($I520&lt;0,"NEGATIVE",IF(NOT(ISNUMBER($F520)),"Set threshold",IF($I520&lt;=0,"OUT OF STOCK",IF($I520&lt;=$F520,"LOW",IF($I520&lt;=$F520*Settings!$C$7,"WATCH","OK"))))))</f>
        <v/>
      </c>
      <c r="Q520" s="29" t="str">
        <f>IF($A520="","",IF($P520="NEGATIVE","Issued more than received - add the missing receipt",IF($P520="OUT OF STOCK","Reorder immediately",IF($P520="LOW","Raise purchase order",IF($P520="Set threshold","Enter Critical Low in Items",IF(AND($N520&lt;&gt;"",$N520&lt;=0),"Quarantine expired lot",IF(AND($N520&lt;&gt;"",$N520&lt;=Settings!$C$6),"Use or rotate stock now","")))))))</f>
        <v/>
      </c>
    </row>
    <row r="521" spans="1:17" x14ac:dyDescent="0.35">
      <c r="A521" s="18" t="str">
        <f>IF(Items!$A518="","",Items!$A518)</f>
        <v/>
      </c>
      <c r="B521" s="18" t="str">
        <f>IF($A521="","",Items!$B518)</f>
        <v/>
      </c>
      <c r="C521" s="19" t="str">
        <f>IF($A521="","",Items!$G518)</f>
        <v/>
      </c>
      <c r="D521" s="20" t="str">
        <f>IF($A521="","",N(Items!$D518))</f>
        <v/>
      </c>
      <c r="E521" s="23" t="str">
        <f>IF($A521="","",Items!$E518)</f>
        <v/>
      </c>
      <c r="F521" s="23" t="str">
        <f>IF($A521="","",Items!$F518)</f>
        <v/>
      </c>
      <c r="G521" s="26" t="str">
        <f>IF($A521="","",SUMIFS(tblReceipts[Qty Received],tblReceipts[Item Name],$A521))</f>
        <v/>
      </c>
      <c r="H521" s="26" t="str">
        <f>IF($A521="","",SUMIFS(tblIssues[Qty Issued],tblIssues[Item Name],$A521))</f>
        <v/>
      </c>
      <c r="I521" s="27" t="str">
        <f t="shared" si="24"/>
        <v/>
      </c>
      <c r="J521" s="21" t="str">
        <f t="shared" si="25"/>
        <v/>
      </c>
      <c r="K521" s="26" t="str">
        <f>IF($A521="","",COUNTIFS(tblReceipts[Item Name],$A521))</f>
        <v/>
      </c>
      <c r="L521" s="26" t="str">
        <f>IF($A521="","",COUNTIFS(tblLotBalance[Item Name],$A521,tblLotBalance[Lot Balance],"&gt;0"))</f>
        <v/>
      </c>
      <c r="M521" s="24" t="str">
        <f>IF($A521="","",IF($L521=0,"",IFERROR(_xlfn.MINIFS(tblLotBalance[Expiry Date],tblLotBalance[Item Name],$A521,tblLotBalance[Lot Balance],"&gt;0"),"")))</f>
        <v/>
      </c>
      <c r="N521" s="26" t="str">
        <f t="shared" ca="1" si="26"/>
        <v/>
      </c>
      <c r="O521" s="18" t="str" cm="1">
        <f t="array" ref="O521">IF($M521="","",IFERROR(INDEX(tblLotBalance[Lot Number],MATCH(1,INDEX((tblLotBalance[Item Name]=$A521)*(tblLotBalance[Expiry Date]=$M521)*(tblLotBalance[Lot Balance]&gt;0),0),0)),""))</f>
        <v/>
      </c>
      <c r="P521" s="28" t="str">
        <f>IF($A521="","",IF($I521&lt;0,"NEGATIVE",IF(NOT(ISNUMBER($F521)),"Set threshold",IF($I521&lt;=0,"OUT OF STOCK",IF($I521&lt;=$F521,"LOW",IF($I521&lt;=$F521*Settings!$C$7,"WATCH","OK"))))))</f>
        <v/>
      </c>
      <c r="Q521" s="29" t="str">
        <f>IF($A521="","",IF($P521="NEGATIVE","Issued more than received - add the missing receipt",IF($P521="OUT OF STOCK","Reorder immediately",IF($P521="LOW","Raise purchase order",IF($P521="Set threshold","Enter Critical Low in Items",IF(AND($N521&lt;&gt;"",$N521&lt;=0),"Quarantine expired lot",IF(AND($N521&lt;&gt;"",$N521&lt;=Settings!$C$6),"Use or rotate stock now","")))))))</f>
        <v/>
      </c>
    </row>
    <row r="522" spans="1:17" x14ac:dyDescent="0.35">
      <c r="A522" s="18" t="str">
        <f>IF(Items!$A519="","",Items!$A519)</f>
        <v/>
      </c>
      <c r="B522" s="18" t="str">
        <f>IF($A522="","",Items!$B519)</f>
        <v/>
      </c>
      <c r="C522" s="19" t="str">
        <f>IF($A522="","",Items!$G519)</f>
        <v/>
      </c>
      <c r="D522" s="20" t="str">
        <f>IF($A522="","",N(Items!$D519))</f>
        <v/>
      </c>
      <c r="E522" s="23" t="str">
        <f>IF($A522="","",Items!$E519)</f>
        <v/>
      </c>
      <c r="F522" s="23" t="str">
        <f>IF($A522="","",Items!$F519)</f>
        <v/>
      </c>
      <c r="G522" s="26" t="str">
        <f>IF($A522="","",SUMIFS(tblReceipts[Qty Received],tblReceipts[Item Name],$A522))</f>
        <v/>
      </c>
      <c r="H522" s="26" t="str">
        <f>IF($A522="","",SUMIFS(tblIssues[Qty Issued],tblIssues[Item Name],$A522))</f>
        <v/>
      </c>
      <c r="I522" s="27" t="str">
        <f t="shared" si="24"/>
        <v/>
      </c>
      <c r="J522" s="21" t="str">
        <f t="shared" si="25"/>
        <v/>
      </c>
      <c r="K522" s="26" t="str">
        <f>IF($A522="","",COUNTIFS(tblReceipts[Item Name],$A522))</f>
        <v/>
      </c>
      <c r="L522" s="26" t="str">
        <f>IF($A522="","",COUNTIFS(tblLotBalance[Item Name],$A522,tblLotBalance[Lot Balance],"&gt;0"))</f>
        <v/>
      </c>
      <c r="M522" s="24" t="str">
        <f>IF($A522="","",IF($L522=0,"",IFERROR(_xlfn.MINIFS(tblLotBalance[Expiry Date],tblLotBalance[Item Name],$A522,tblLotBalance[Lot Balance],"&gt;0"),"")))</f>
        <v/>
      </c>
      <c r="N522" s="26" t="str">
        <f t="shared" ca="1" si="26"/>
        <v/>
      </c>
      <c r="O522" s="18" t="str" cm="1">
        <f t="array" ref="O522">IF($M522="","",IFERROR(INDEX(tblLotBalance[Lot Number],MATCH(1,INDEX((tblLotBalance[Item Name]=$A522)*(tblLotBalance[Expiry Date]=$M522)*(tblLotBalance[Lot Balance]&gt;0),0),0)),""))</f>
        <v/>
      </c>
      <c r="P522" s="28" t="str">
        <f>IF($A522="","",IF($I522&lt;0,"NEGATIVE",IF(NOT(ISNUMBER($F522)),"Set threshold",IF($I522&lt;=0,"OUT OF STOCK",IF($I522&lt;=$F522,"LOW",IF($I522&lt;=$F522*Settings!$C$7,"WATCH","OK"))))))</f>
        <v/>
      </c>
      <c r="Q522" s="29" t="str">
        <f>IF($A522="","",IF($P522="NEGATIVE","Issued more than received - add the missing receipt",IF($P522="OUT OF STOCK","Reorder immediately",IF($P522="LOW","Raise purchase order",IF($P522="Set threshold","Enter Critical Low in Items",IF(AND($N522&lt;&gt;"",$N522&lt;=0),"Quarantine expired lot",IF(AND($N522&lt;&gt;"",$N522&lt;=Settings!$C$6),"Use or rotate stock now","")))))))</f>
        <v/>
      </c>
    </row>
    <row r="523" spans="1:17" x14ac:dyDescent="0.35">
      <c r="A523" s="18" t="str">
        <f>IF(Items!$A520="","",Items!$A520)</f>
        <v/>
      </c>
      <c r="B523" s="18" t="str">
        <f>IF($A523="","",Items!$B520)</f>
        <v/>
      </c>
      <c r="C523" s="19" t="str">
        <f>IF($A523="","",Items!$G520)</f>
        <v/>
      </c>
      <c r="D523" s="20" t="str">
        <f>IF($A523="","",N(Items!$D520))</f>
        <v/>
      </c>
      <c r="E523" s="23" t="str">
        <f>IF($A523="","",Items!$E520)</f>
        <v/>
      </c>
      <c r="F523" s="23" t="str">
        <f>IF($A523="","",Items!$F520)</f>
        <v/>
      </c>
      <c r="G523" s="26" t="str">
        <f>IF($A523="","",SUMIFS(tblReceipts[Qty Received],tblReceipts[Item Name],$A523))</f>
        <v/>
      </c>
      <c r="H523" s="26" t="str">
        <f>IF($A523="","",SUMIFS(tblIssues[Qty Issued],tblIssues[Item Name],$A523))</f>
        <v/>
      </c>
      <c r="I523" s="27" t="str">
        <f t="shared" si="24"/>
        <v/>
      </c>
      <c r="J523" s="21" t="str">
        <f t="shared" si="25"/>
        <v/>
      </c>
      <c r="K523" s="26" t="str">
        <f>IF($A523="","",COUNTIFS(tblReceipts[Item Name],$A523))</f>
        <v/>
      </c>
      <c r="L523" s="26" t="str">
        <f>IF($A523="","",COUNTIFS(tblLotBalance[Item Name],$A523,tblLotBalance[Lot Balance],"&gt;0"))</f>
        <v/>
      </c>
      <c r="M523" s="24" t="str">
        <f>IF($A523="","",IF($L523=0,"",IFERROR(_xlfn.MINIFS(tblLotBalance[Expiry Date],tblLotBalance[Item Name],$A523,tblLotBalance[Lot Balance],"&gt;0"),"")))</f>
        <v/>
      </c>
      <c r="N523" s="26" t="str">
        <f t="shared" ca="1" si="26"/>
        <v/>
      </c>
      <c r="O523" s="18" t="str" cm="1">
        <f t="array" ref="O523">IF($M523="","",IFERROR(INDEX(tblLotBalance[Lot Number],MATCH(1,INDEX((tblLotBalance[Item Name]=$A523)*(tblLotBalance[Expiry Date]=$M523)*(tblLotBalance[Lot Balance]&gt;0),0),0)),""))</f>
        <v/>
      </c>
      <c r="P523" s="28" t="str">
        <f>IF($A523="","",IF($I523&lt;0,"NEGATIVE",IF(NOT(ISNUMBER($F523)),"Set threshold",IF($I523&lt;=0,"OUT OF STOCK",IF($I523&lt;=$F523,"LOW",IF($I523&lt;=$F523*Settings!$C$7,"WATCH","OK"))))))</f>
        <v/>
      </c>
      <c r="Q523" s="29" t="str">
        <f>IF($A523="","",IF($P523="NEGATIVE","Issued more than received - add the missing receipt",IF($P523="OUT OF STOCK","Reorder immediately",IF($P523="LOW","Raise purchase order",IF($P523="Set threshold","Enter Critical Low in Items",IF(AND($N523&lt;&gt;"",$N523&lt;=0),"Quarantine expired lot",IF(AND($N523&lt;&gt;"",$N523&lt;=Settings!$C$6),"Use or rotate stock now","")))))))</f>
        <v/>
      </c>
    </row>
    <row r="524" spans="1:17" x14ac:dyDescent="0.35">
      <c r="A524" s="18" t="str">
        <f>IF(Items!$A521="","",Items!$A521)</f>
        <v/>
      </c>
      <c r="B524" s="18" t="str">
        <f>IF($A524="","",Items!$B521)</f>
        <v/>
      </c>
      <c r="C524" s="19" t="str">
        <f>IF($A524="","",Items!$G521)</f>
        <v/>
      </c>
      <c r="D524" s="20" t="str">
        <f>IF($A524="","",N(Items!$D521))</f>
        <v/>
      </c>
      <c r="E524" s="23" t="str">
        <f>IF($A524="","",Items!$E521)</f>
        <v/>
      </c>
      <c r="F524" s="23" t="str">
        <f>IF($A524="","",Items!$F521)</f>
        <v/>
      </c>
      <c r="G524" s="26" t="str">
        <f>IF($A524="","",SUMIFS(tblReceipts[Qty Received],tblReceipts[Item Name],$A524))</f>
        <v/>
      </c>
      <c r="H524" s="26" t="str">
        <f>IF($A524="","",SUMIFS(tblIssues[Qty Issued],tblIssues[Item Name],$A524))</f>
        <v/>
      </c>
      <c r="I524" s="27" t="str">
        <f t="shared" si="24"/>
        <v/>
      </c>
      <c r="J524" s="21" t="str">
        <f t="shared" si="25"/>
        <v/>
      </c>
      <c r="K524" s="26" t="str">
        <f>IF($A524="","",COUNTIFS(tblReceipts[Item Name],$A524))</f>
        <v/>
      </c>
      <c r="L524" s="26" t="str">
        <f>IF($A524="","",COUNTIFS(tblLotBalance[Item Name],$A524,tblLotBalance[Lot Balance],"&gt;0"))</f>
        <v/>
      </c>
      <c r="M524" s="24" t="str">
        <f>IF($A524="","",IF($L524=0,"",IFERROR(_xlfn.MINIFS(tblLotBalance[Expiry Date],tblLotBalance[Item Name],$A524,tblLotBalance[Lot Balance],"&gt;0"),"")))</f>
        <v/>
      </c>
      <c r="N524" s="26" t="str">
        <f t="shared" ca="1" si="26"/>
        <v/>
      </c>
      <c r="O524" s="18" t="str" cm="1">
        <f t="array" ref="O524">IF($M524="","",IFERROR(INDEX(tblLotBalance[Lot Number],MATCH(1,INDEX((tblLotBalance[Item Name]=$A524)*(tblLotBalance[Expiry Date]=$M524)*(tblLotBalance[Lot Balance]&gt;0),0),0)),""))</f>
        <v/>
      </c>
      <c r="P524" s="28" t="str">
        <f>IF($A524="","",IF($I524&lt;0,"NEGATIVE",IF(NOT(ISNUMBER($F524)),"Set threshold",IF($I524&lt;=0,"OUT OF STOCK",IF($I524&lt;=$F524,"LOW",IF($I524&lt;=$F524*Settings!$C$7,"WATCH","OK"))))))</f>
        <v/>
      </c>
      <c r="Q524" s="29" t="str">
        <f>IF($A524="","",IF($P524="NEGATIVE","Issued more than received - add the missing receipt",IF($P524="OUT OF STOCK","Reorder immediately",IF($P524="LOW","Raise purchase order",IF($P524="Set threshold","Enter Critical Low in Items",IF(AND($N524&lt;&gt;"",$N524&lt;=0),"Quarantine expired lot",IF(AND($N524&lt;&gt;"",$N524&lt;=Settings!$C$6),"Use or rotate stock now","")))))))</f>
        <v/>
      </c>
    </row>
    <row r="525" spans="1:17" x14ac:dyDescent="0.35">
      <c r="A525" s="18" t="str">
        <f>IF(Items!$A522="","",Items!$A522)</f>
        <v/>
      </c>
      <c r="B525" s="18" t="str">
        <f>IF($A525="","",Items!$B522)</f>
        <v/>
      </c>
      <c r="C525" s="19" t="str">
        <f>IF($A525="","",Items!$G522)</f>
        <v/>
      </c>
      <c r="D525" s="20" t="str">
        <f>IF($A525="","",N(Items!$D522))</f>
        <v/>
      </c>
      <c r="E525" s="23" t="str">
        <f>IF($A525="","",Items!$E522)</f>
        <v/>
      </c>
      <c r="F525" s="23" t="str">
        <f>IF($A525="","",Items!$F522)</f>
        <v/>
      </c>
      <c r="G525" s="26" t="str">
        <f>IF($A525="","",SUMIFS(tblReceipts[Qty Received],tblReceipts[Item Name],$A525))</f>
        <v/>
      </c>
      <c r="H525" s="26" t="str">
        <f>IF($A525="","",SUMIFS(tblIssues[Qty Issued],tblIssues[Item Name],$A525))</f>
        <v/>
      </c>
      <c r="I525" s="27" t="str">
        <f t="shared" si="24"/>
        <v/>
      </c>
      <c r="J525" s="21" t="str">
        <f t="shared" si="25"/>
        <v/>
      </c>
      <c r="K525" s="26" t="str">
        <f>IF($A525="","",COUNTIFS(tblReceipts[Item Name],$A525))</f>
        <v/>
      </c>
      <c r="L525" s="26" t="str">
        <f>IF($A525="","",COUNTIFS(tblLotBalance[Item Name],$A525,tblLotBalance[Lot Balance],"&gt;0"))</f>
        <v/>
      </c>
      <c r="M525" s="24" t="str">
        <f>IF($A525="","",IF($L525=0,"",IFERROR(_xlfn.MINIFS(tblLotBalance[Expiry Date],tblLotBalance[Item Name],$A525,tblLotBalance[Lot Balance],"&gt;0"),"")))</f>
        <v/>
      </c>
      <c r="N525" s="26" t="str">
        <f t="shared" ca="1" si="26"/>
        <v/>
      </c>
      <c r="O525" s="18" t="str" cm="1">
        <f t="array" ref="O525">IF($M525="","",IFERROR(INDEX(tblLotBalance[Lot Number],MATCH(1,INDEX((tblLotBalance[Item Name]=$A525)*(tblLotBalance[Expiry Date]=$M525)*(tblLotBalance[Lot Balance]&gt;0),0),0)),""))</f>
        <v/>
      </c>
      <c r="P525" s="28" t="str">
        <f>IF($A525="","",IF($I525&lt;0,"NEGATIVE",IF(NOT(ISNUMBER($F525)),"Set threshold",IF($I525&lt;=0,"OUT OF STOCK",IF($I525&lt;=$F525,"LOW",IF($I525&lt;=$F525*Settings!$C$7,"WATCH","OK"))))))</f>
        <v/>
      </c>
      <c r="Q525" s="29" t="str">
        <f>IF($A525="","",IF($P525="NEGATIVE","Issued more than received - add the missing receipt",IF($P525="OUT OF STOCK","Reorder immediately",IF($P525="LOW","Raise purchase order",IF($P525="Set threshold","Enter Critical Low in Items",IF(AND($N525&lt;&gt;"",$N525&lt;=0),"Quarantine expired lot",IF(AND($N525&lt;&gt;"",$N525&lt;=Settings!$C$6),"Use or rotate stock now","")))))))</f>
        <v/>
      </c>
    </row>
    <row r="526" spans="1:17" x14ac:dyDescent="0.35">
      <c r="A526" s="18" t="str">
        <f>IF(Items!$A523="","",Items!$A523)</f>
        <v/>
      </c>
      <c r="B526" s="18" t="str">
        <f>IF($A526="","",Items!$B523)</f>
        <v/>
      </c>
      <c r="C526" s="19" t="str">
        <f>IF($A526="","",Items!$G523)</f>
        <v/>
      </c>
      <c r="D526" s="20" t="str">
        <f>IF($A526="","",N(Items!$D523))</f>
        <v/>
      </c>
      <c r="E526" s="23" t="str">
        <f>IF($A526="","",Items!$E523)</f>
        <v/>
      </c>
      <c r="F526" s="23" t="str">
        <f>IF($A526="","",Items!$F523)</f>
        <v/>
      </c>
      <c r="G526" s="26" t="str">
        <f>IF($A526="","",SUMIFS(tblReceipts[Qty Received],tblReceipts[Item Name],$A526))</f>
        <v/>
      </c>
      <c r="H526" s="26" t="str">
        <f>IF($A526="","",SUMIFS(tblIssues[Qty Issued],tblIssues[Item Name],$A526))</f>
        <v/>
      </c>
      <c r="I526" s="27" t="str">
        <f t="shared" si="24"/>
        <v/>
      </c>
      <c r="J526" s="21" t="str">
        <f t="shared" si="25"/>
        <v/>
      </c>
      <c r="K526" s="26" t="str">
        <f>IF($A526="","",COUNTIFS(tblReceipts[Item Name],$A526))</f>
        <v/>
      </c>
      <c r="L526" s="26" t="str">
        <f>IF($A526="","",COUNTIFS(tblLotBalance[Item Name],$A526,tblLotBalance[Lot Balance],"&gt;0"))</f>
        <v/>
      </c>
      <c r="M526" s="24" t="str">
        <f>IF($A526="","",IF($L526=0,"",IFERROR(_xlfn.MINIFS(tblLotBalance[Expiry Date],tblLotBalance[Item Name],$A526,tblLotBalance[Lot Balance],"&gt;0"),"")))</f>
        <v/>
      </c>
      <c r="N526" s="26" t="str">
        <f t="shared" ca="1" si="26"/>
        <v/>
      </c>
      <c r="O526" s="18" t="str" cm="1">
        <f t="array" ref="O526">IF($M526="","",IFERROR(INDEX(tblLotBalance[Lot Number],MATCH(1,INDEX((tblLotBalance[Item Name]=$A526)*(tblLotBalance[Expiry Date]=$M526)*(tblLotBalance[Lot Balance]&gt;0),0),0)),""))</f>
        <v/>
      </c>
      <c r="P526" s="28" t="str">
        <f>IF($A526="","",IF($I526&lt;0,"NEGATIVE",IF(NOT(ISNUMBER($F526)),"Set threshold",IF($I526&lt;=0,"OUT OF STOCK",IF($I526&lt;=$F526,"LOW",IF($I526&lt;=$F526*Settings!$C$7,"WATCH","OK"))))))</f>
        <v/>
      </c>
      <c r="Q526" s="29" t="str">
        <f>IF($A526="","",IF($P526="NEGATIVE","Issued more than received - add the missing receipt",IF($P526="OUT OF STOCK","Reorder immediately",IF($P526="LOW","Raise purchase order",IF($P526="Set threshold","Enter Critical Low in Items",IF(AND($N526&lt;&gt;"",$N526&lt;=0),"Quarantine expired lot",IF(AND($N526&lt;&gt;"",$N526&lt;=Settings!$C$6),"Use or rotate stock now","")))))))</f>
        <v/>
      </c>
    </row>
    <row r="527" spans="1:17" x14ac:dyDescent="0.35">
      <c r="A527" s="18" t="str">
        <f>IF(Items!$A524="","",Items!$A524)</f>
        <v/>
      </c>
      <c r="B527" s="18" t="str">
        <f>IF($A527="","",Items!$B524)</f>
        <v/>
      </c>
      <c r="C527" s="19" t="str">
        <f>IF($A527="","",Items!$G524)</f>
        <v/>
      </c>
      <c r="D527" s="20" t="str">
        <f>IF($A527="","",N(Items!$D524))</f>
        <v/>
      </c>
      <c r="E527" s="23" t="str">
        <f>IF($A527="","",Items!$E524)</f>
        <v/>
      </c>
      <c r="F527" s="23" t="str">
        <f>IF($A527="","",Items!$F524)</f>
        <v/>
      </c>
      <c r="G527" s="26" t="str">
        <f>IF($A527="","",SUMIFS(tblReceipts[Qty Received],tblReceipts[Item Name],$A527))</f>
        <v/>
      </c>
      <c r="H527" s="26" t="str">
        <f>IF($A527="","",SUMIFS(tblIssues[Qty Issued],tblIssues[Item Name],$A527))</f>
        <v/>
      </c>
      <c r="I527" s="27" t="str">
        <f t="shared" si="24"/>
        <v/>
      </c>
      <c r="J527" s="21" t="str">
        <f t="shared" si="25"/>
        <v/>
      </c>
      <c r="K527" s="26" t="str">
        <f>IF($A527="","",COUNTIFS(tblReceipts[Item Name],$A527))</f>
        <v/>
      </c>
      <c r="L527" s="26" t="str">
        <f>IF($A527="","",COUNTIFS(tblLotBalance[Item Name],$A527,tblLotBalance[Lot Balance],"&gt;0"))</f>
        <v/>
      </c>
      <c r="M527" s="24" t="str">
        <f>IF($A527="","",IF($L527=0,"",IFERROR(_xlfn.MINIFS(tblLotBalance[Expiry Date],tblLotBalance[Item Name],$A527,tblLotBalance[Lot Balance],"&gt;0"),"")))</f>
        <v/>
      </c>
      <c r="N527" s="26" t="str">
        <f t="shared" ca="1" si="26"/>
        <v/>
      </c>
      <c r="O527" s="18" t="str" cm="1">
        <f t="array" ref="O527">IF($M527="","",IFERROR(INDEX(tblLotBalance[Lot Number],MATCH(1,INDEX((tblLotBalance[Item Name]=$A527)*(tblLotBalance[Expiry Date]=$M527)*(tblLotBalance[Lot Balance]&gt;0),0),0)),""))</f>
        <v/>
      </c>
      <c r="P527" s="28" t="str">
        <f>IF($A527="","",IF($I527&lt;0,"NEGATIVE",IF(NOT(ISNUMBER($F527)),"Set threshold",IF($I527&lt;=0,"OUT OF STOCK",IF($I527&lt;=$F527,"LOW",IF($I527&lt;=$F527*Settings!$C$7,"WATCH","OK"))))))</f>
        <v/>
      </c>
      <c r="Q527" s="29" t="str">
        <f>IF($A527="","",IF($P527="NEGATIVE","Issued more than received - add the missing receipt",IF($P527="OUT OF STOCK","Reorder immediately",IF($P527="LOW","Raise purchase order",IF($P527="Set threshold","Enter Critical Low in Items",IF(AND($N527&lt;&gt;"",$N527&lt;=0),"Quarantine expired lot",IF(AND($N527&lt;&gt;"",$N527&lt;=Settings!$C$6),"Use or rotate stock now","")))))))</f>
        <v/>
      </c>
    </row>
    <row r="528" spans="1:17" x14ac:dyDescent="0.35">
      <c r="A528" s="18" t="str">
        <f>IF(Items!$A525="","",Items!$A525)</f>
        <v/>
      </c>
      <c r="B528" s="18" t="str">
        <f>IF($A528="","",Items!$B525)</f>
        <v/>
      </c>
      <c r="C528" s="19" t="str">
        <f>IF($A528="","",Items!$G525)</f>
        <v/>
      </c>
      <c r="D528" s="20" t="str">
        <f>IF($A528="","",N(Items!$D525))</f>
        <v/>
      </c>
      <c r="E528" s="23" t="str">
        <f>IF($A528="","",Items!$E525)</f>
        <v/>
      </c>
      <c r="F528" s="23" t="str">
        <f>IF($A528="","",Items!$F525)</f>
        <v/>
      </c>
      <c r="G528" s="26" t="str">
        <f>IF($A528="","",SUMIFS(tblReceipts[Qty Received],tblReceipts[Item Name],$A528))</f>
        <v/>
      </c>
      <c r="H528" s="26" t="str">
        <f>IF($A528="","",SUMIFS(tblIssues[Qty Issued],tblIssues[Item Name],$A528))</f>
        <v/>
      </c>
      <c r="I528" s="27" t="str">
        <f t="shared" si="24"/>
        <v/>
      </c>
      <c r="J528" s="21" t="str">
        <f t="shared" si="25"/>
        <v/>
      </c>
      <c r="K528" s="26" t="str">
        <f>IF($A528="","",COUNTIFS(tblReceipts[Item Name],$A528))</f>
        <v/>
      </c>
      <c r="L528" s="26" t="str">
        <f>IF($A528="","",COUNTIFS(tblLotBalance[Item Name],$A528,tblLotBalance[Lot Balance],"&gt;0"))</f>
        <v/>
      </c>
      <c r="M528" s="24" t="str">
        <f>IF($A528="","",IF($L528=0,"",IFERROR(_xlfn.MINIFS(tblLotBalance[Expiry Date],tblLotBalance[Item Name],$A528,tblLotBalance[Lot Balance],"&gt;0"),"")))</f>
        <v/>
      </c>
      <c r="N528" s="26" t="str">
        <f t="shared" ca="1" si="26"/>
        <v/>
      </c>
      <c r="O528" s="18" t="str" cm="1">
        <f t="array" ref="O528">IF($M528="","",IFERROR(INDEX(tblLotBalance[Lot Number],MATCH(1,INDEX((tblLotBalance[Item Name]=$A528)*(tblLotBalance[Expiry Date]=$M528)*(tblLotBalance[Lot Balance]&gt;0),0),0)),""))</f>
        <v/>
      </c>
      <c r="P528" s="28" t="str">
        <f>IF($A528="","",IF($I528&lt;0,"NEGATIVE",IF(NOT(ISNUMBER($F528)),"Set threshold",IF($I528&lt;=0,"OUT OF STOCK",IF($I528&lt;=$F528,"LOW",IF($I528&lt;=$F528*Settings!$C$7,"WATCH","OK"))))))</f>
        <v/>
      </c>
      <c r="Q528" s="29" t="str">
        <f>IF($A528="","",IF($P528="NEGATIVE","Issued more than received - add the missing receipt",IF($P528="OUT OF STOCK","Reorder immediately",IF($P528="LOW","Raise purchase order",IF($P528="Set threshold","Enter Critical Low in Items",IF(AND($N528&lt;&gt;"",$N528&lt;=0),"Quarantine expired lot",IF(AND($N528&lt;&gt;"",$N528&lt;=Settings!$C$6),"Use or rotate stock now","")))))))</f>
        <v/>
      </c>
    </row>
    <row r="529" spans="1:17" x14ac:dyDescent="0.35">
      <c r="A529" s="18" t="str">
        <f>IF(Items!$A526="","",Items!$A526)</f>
        <v/>
      </c>
      <c r="B529" s="18" t="str">
        <f>IF($A529="","",Items!$B526)</f>
        <v/>
      </c>
      <c r="C529" s="19" t="str">
        <f>IF($A529="","",Items!$G526)</f>
        <v/>
      </c>
      <c r="D529" s="20" t="str">
        <f>IF($A529="","",N(Items!$D526))</f>
        <v/>
      </c>
      <c r="E529" s="23" t="str">
        <f>IF($A529="","",Items!$E526)</f>
        <v/>
      </c>
      <c r="F529" s="23" t="str">
        <f>IF($A529="","",Items!$F526)</f>
        <v/>
      </c>
      <c r="G529" s="26" t="str">
        <f>IF($A529="","",SUMIFS(tblReceipts[Qty Received],tblReceipts[Item Name],$A529))</f>
        <v/>
      </c>
      <c r="H529" s="26" t="str">
        <f>IF($A529="","",SUMIFS(tblIssues[Qty Issued],tblIssues[Item Name],$A529))</f>
        <v/>
      </c>
      <c r="I529" s="27" t="str">
        <f t="shared" si="24"/>
        <v/>
      </c>
      <c r="J529" s="21" t="str">
        <f t="shared" si="25"/>
        <v/>
      </c>
      <c r="K529" s="26" t="str">
        <f>IF($A529="","",COUNTIFS(tblReceipts[Item Name],$A529))</f>
        <v/>
      </c>
      <c r="L529" s="26" t="str">
        <f>IF($A529="","",COUNTIFS(tblLotBalance[Item Name],$A529,tblLotBalance[Lot Balance],"&gt;0"))</f>
        <v/>
      </c>
      <c r="M529" s="24" t="str">
        <f>IF($A529="","",IF($L529=0,"",IFERROR(_xlfn.MINIFS(tblLotBalance[Expiry Date],tblLotBalance[Item Name],$A529,tblLotBalance[Lot Balance],"&gt;0"),"")))</f>
        <v/>
      </c>
      <c r="N529" s="26" t="str">
        <f t="shared" ca="1" si="26"/>
        <v/>
      </c>
      <c r="O529" s="18" t="str" cm="1">
        <f t="array" ref="O529">IF($M529="","",IFERROR(INDEX(tblLotBalance[Lot Number],MATCH(1,INDEX((tblLotBalance[Item Name]=$A529)*(tblLotBalance[Expiry Date]=$M529)*(tblLotBalance[Lot Balance]&gt;0),0),0)),""))</f>
        <v/>
      </c>
      <c r="P529" s="28" t="str">
        <f>IF($A529="","",IF($I529&lt;0,"NEGATIVE",IF(NOT(ISNUMBER($F529)),"Set threshold",IF($I529&lt;=0,"OUT OF STOCK",IF($I529&lt;=$F529,"LOW",IF($I529&lt;=$F529*Settings!$C$7,"WATCH","OK"))))))</f>
        <v/>
      </c>
      <c r="Q529" s="29" t="str">
        <f>IF($A529="","",IF($P529="NEGATIVE","Issued more than received - add the missing receipt",IF($P529="OUT OF STOCK","Reorder immediately",IF($P529="LOW","Raise purchase order",IF($P529="Set threshold","Enter Critical Low in Items",IF(AND($N529&lt;&gt;"",$N529&lt;=0),"Quarantine expired lot",IF(AND($N529&lt;&gt;"",$N529&lt;=Settings!$C$6),"Use or rotate stock now","")))))))</f>
        <v/>
      </c>
    </row>
    <row r="530" spans="1:17" x14ac:dyDescent="0.35">
      <c r="A530" s="18" t="str">
        <f>IF(Items!$A527="","",Items!$A527)</f>
        <v/>
      </c>
      <c r="B530" s="18" t="str">
        <f>IF($A530="","",Items!$B527)</f>
        <v/>
      </c>
      <c r="C530" s="19" t="str">
        <f>IF($A530="","",Items!$G527)</f>
        <v/>
      </c>
      <c r="D530" s="20" t="str">
        <f>IF($A530="","",N(Items!$D527))</f>
        <v/>
      </c>
      <c r="E530" s="23" t="str">
        <f>IF($A530="","",Items!$E527)</f>
        <v/>
      </c>
      <c r="F530" s="23" t="str">
        <f>IF($A530="","",Items!$F527)</f>
        <v/>
      </c>
      <c r="G530" s="26" t="str">
        <f>IF($A530="","",SUMIFS(tblReceipts[Qty Received],tblReceipts[Item Name],$A530))</f>
        <v/>
      </c>
      <c r="H530" s="26" t="str">
        <f>IF($A530="","",SUMIFS(tblIssues[Qty Issued],tblIssues[Item Name],$A530))</f>
        <v/>
      </c>
      <c r="I530" s="27" t="str">
        <f t="shared" si="24"/>
        <v/>
      </c>
      <c r="J530" s="21" t="str">
        <f t="shared" si="25"/>
        <v/>
      </c>
      <c r="K530" s="26" t="str">
        <f>IF($A530="","",COUNTIFS(tblReceipts[Item Name],$A530))</f>
        <v/>
      </c>
      <c r="L530" s="26" t="str">
        <f>IF($A530="","",COUNTIFS(tblLotBalance[Item Name],$A530,tblLotBalance[Lot Balance],"&gt;0"))</f>
        <v/>
      </c>
      <c r="M530" s="24" t="str">
        <f>IF($A530="","",IF($L530=0,"",IFERROR(_xlfn.MINIFS(tblLotBalance[Expiry Date],tblLotBalance[Item Name],$A530,tblLotBalance[Lot Balance],"&gt;0"),"")))</f>
        <v/>
      </c>
      <c r="N530" s="26" t="str">
        <f t="shared" ca="1" si="26"/>
        <v/>
      </c>
      <c r="O530" s="18" t="str" cm="1">
        <f t="array" ref="O530">IF($M530="","",IFERROR(INDEX(tblLotBalance[Lot Number],MATCH(1,INDEX((tblLotBalance[Item Name]=$A530)*(tblLotBalance[Expiry Date]=$M530)*(tblLotBalance[Lot Balance]&gt;0),0),0)),""))</f>
        <v/>
      </c>
      <c r="P530" s="28" t="str">
        <f>IF($A530="","",IF($I530&lt;0,"NEGATIVE",IF(NOT(ISNUMBER($F530)),"Set threshold",IF($I530&lt;=0,"OUT OF STOCK",IF($I530&lt;=$F530,"LOW",IF($I530&lt;=$F530*Settings!$C$7,"WATCH","OK"))))))</f>
        <v/>
      </c>
      <c r="Q530" s="29" t="str">
        <f>IF($A530="","",IF($P530="NEGATIVE","Issued more than received - add the missing receipt",IF($P530="OUT OF STOCK","Reorder immediately",IF($P530="LOW","Raise purchase order",IF($P530="Set threshold","Enter Critical Low in Items",IF(AND($N530&lt;&gt;"",$N530&lt;=0),"Quarantine expired lot",IF(AND($N530&lt;&gt;"",$N530&lt;=Settings!$C$6),"Use or rotate stock now","")))))))</f>
        <v/>
      </c>
    </row>
    <row r="531" spans="1:17" x14ac:dyDescent="0.35">
      <c r="A531" s="18" t="str">
        <f>IF(Items!$A528="","",Items!$A528)</f>
        <v/>
      </c>
      <c r="B531" s="18" t="str">
        <f>IF($A531="","",Items!$B528)</f>
        <v/>
      </c>
      <c r="C531" s="19" t="str">
        <f>IF($A531="","",Items!$G528)</f>
        <v/>
      </c>
      <c r="D531" s="20" t="str">
        <f>IF($A531="","",N(Items!$D528))</f>
        <v/>
      </c>
      <c r="E531" s="23" t="str">
        <f>IF($A531="","",Items!$E528)</f>
        <v/>
      </c>
      <c r="F531" s="23" t="str">
        <f>IF($A531="","",Items!$F528)</f>
        <v/>
      </c>
      <c r="G531" s="26" t="str">
        <f>IF($A531="","",SUMIFS(tblReceipts[Qty Received],tblReceipts[Item Name],$A531))</f>
        <v/>
      </c>
      <c r="H531" s="26" t="str">
        <f>IF($A531="","",SUMIFS(tblIssues[Qty Issued],tblIssues[Item Name],$A531))</f>
        <v/>
      </c>
      <c r="I531" s="27" t="str">
        <f t="shared" si="24"/>
        <v/>
      </c>
      <c r="J531" s="21" t="str">
        <f t="shared" si="25"/>
        <v/>
      </c>
      <c r="K531" s="26" t="str">
        <f>IF($A531="","",COUNTIFS(tblReceipts[Item Name],$A531))</f>
        <v/>
      </c>
      <c r="L531" s="26" t="str">
        <f>IF($A531="","",COUNTIFS(tblLotBalance[Item Name],$A531,tblLotBalance[Lot Balance],"&gt;0"))</f>
        <v/>
      </c>
      <c r="M531" s="24" t="str">
        <f>IF($A531="","",IF($L531=0,"",IFERROR(_xlfn.MINIFS(tblLotBalance[Expiry Date],tblLotBalance[Item Name],$A531,tblLotBalance[Lot Balance],"&gt;0"),"")))</f>
        <v/>
      </c>
      <c r="N531" s="26" t="str">
        <f t="shared" ca="1" si="26"/>
        <v/>
      </c>
      <c r="O531" s="18" t="str" cm="1">
        <f t="array" ref="O531">IF($M531="","",IFERROR(INDEX(tblLotBalance[Lot Number],MATCH(1,INDEX((tblLotBalance[Item Name]=$A531)*(tblLotBalance[Expiry Date]=$M531)*(tblLotBalance[Lot Balance]&gt;0),0),0)),""))</f>
        <v/>
      </c>
      <c r="P531" s="28" t="str">
        <f>IF($A531="","",IF($I531&lt;0,"NEGATIVE",IF(NOT(ISNUMBER($F531)),"Set threshold",IF($I531&lt;=0,"OUT OF STOCK",IF($I531&lt;=$F531,"LOW",IF($I531&lt;=$F531*Settings!$C$7,"WATCH","OK"))))))</f>
        <v/>
      </c>
      <c r="Q531" s="29" t="str">
        <f>IF($A531="","",IF($P531="NEGATIVE","Issued more than received - add the missing receipt",IF($P531="OUT OF STOCK","Reorder immediately",IF($P531="LOW","Raise purchase order",IF($P531="Set threshold","Enter Critical Low in Items",IF(AND($N531&lt;&gt;"",$N531&lt;=0),"Quarantine expired lot",IF(AND($N531&lt;&gt;"",$N531&lt;=Settings!$C$6),"Use or rotate stock now","")))))))</f>
        <v/>
      </c>
    </row>
    <row r="532" spans="1:17" x14ac:dyDescent="0.35">
      <c r="A532" s="18" t="str">
        <f>IF(Items!$A529="","",Items!$A529)</f>
        <v/>
      </c>
      <c r="B532" s="18" t="str">
        <f>IF($A532="","",Items!$B529)</f>
        <v/>
      </c>
      <c r="C532" s="19" t="str">
        <f>IF($A532="","",Items!$G529)</f>
        <v/>
      </c>
      <c r="D532" s="20" t="str">
        <f>IF($A532="","",N(Items!$D529))</f>
        <v/>
      </c>
      <c r="E532" s="23" t="str">
        <f>IF($A532="","",Items!$E529)</f>
        <v/>
      </c>
      <c r="F532" s="23" t="str">
        <f>IF($A532="","",Items!$F529)</f>
        <v/>
      </c>
      <c r="G532" s="26" t="str">
        <f>IF($A532="","",SUMIFS(tblReceipts[Qty Received],tblReceipts[Item Name],$A532))</f>
        <v/>
      </c>
      <c r="H532" s="26" t="str">
        <f>IF($A532="","",SUMIFS(tblIssues[Qty Issued],tblIssues[Item Name],$A532))</f>
        <v/>
      </c>
      <c r="I532" s="27" t="str">
        <f t="shared" si="24"/>
        <v/>
      </c>
      <c r="J532" s="21" t="str">
        <f t="shared" si="25"/>
        <v/>
      </c>
      <c r="K532" s="26" t="str">
        <f>IF($A532="","",COUNTIFS(tblReceipts[Item Name],$A532))</f>
        <v/>
      </c>
      <c r="L532" s="26" t="str">
        <f>IF($A532="","",COUNTIFS(tblLotBalance[Item Name],$A532,tblLotBalance[Lot Balance],"&gt;0"))</f>
        <v/>
      </c>
      <c r="M532" s="24" t="str">
        <f>IF($A532="","",IF($L532=0,"",IFERROR(_xlfn.MINIFS(tblLotBalance[Expiry Date],tblLotBalance[Item Name],$A532,tblLotBalance[Lot Balance],"&gt;0"),"")))</f>
        <v/>
      </c>
      <c r="N532" s="26" t="str">
        <f t="shared" ca="1" si="26"/>
        <v/>
      </c>
      <c r="O532" s="18" t="str" cm="1">
        <f t="array" ref="O532">IF($M532="","",IFERROR(INDEX(tblLotBalance[Lot Number],MATCH(1,INDEX((tblLotBalance[Item Name]=$A532)*(tblLotBalance[Expiry Date]=$M532)*(tblLotBalance[Lot Balance]&gt;0),0),0)),""))</f>
        <v/>
      </c>
      <c r="P532" s="28" t="str">
        <f>IF($A532="","",IF($I532&lt;0,"NEGATIVE",IF(NOT(ISNUMBER($F532)),"Set threshold",IF($I532&lt;=0,"OUT OF STOCK",IF($I532&lt;=$F532,"LOW",IF($I532&lt;=$F532*Settings!$C$7,"WATCH","OK"))))))</f>
        <v/>
      </c>
      <c r="Q532" s="29" t="str">
        <f>IF($A532="","",IF($P532="NEGATIVE","Issued more than received - add the missing receipt",IF($P532="OUT OF STOCK","Reorder immediately",IF($P532="LOW","Raise purchase order",IF($P532="Set threshold","Enter Critical Low in Items",IF(AND($N532&lt;&gt;"",$N532&lt;=0),"Quarantine expired lot",IF(AND($N532&lt;&gt;"",$N532&lt;=Settings!$C$6),"Use or rotate stock now","")))))))</f>
        <v/>
      </c>
    </row>
    <row r="533" spans="1:17" x14ac:dyDescent="0.35">
      <c r="A533" s="18" t="str">
        <f>IF(Items!$A530="","",Items!$A530)</f>
        <v/>
      </c>
      <c r="B533" s="18" t="str">
        <f>IF($A533="","",Items!$B530)</f>
        <v/>
      </c>
      <c r="C533" s="19" t="str">
        <f>IF($A533="","",Items!$G530)</f>
        <v/>
      </c>
      <c r="D533" s="20" t="str">
        <f>IF($A533="","",N(Items!$D530))</f>
        <v/>
      </c>
      <c r="E533" s="23" t="str">
        <f>IF($A533="","",Items!$E530)</f>
        <v/>
      </c>
      <c r="F533" s="23" t="str">
        <f>IF($A533="","",Items!$F530)</f>
        <v/>
      </c>
      <c r="G533" s="26" t="str">
        <f>IF($A533="","",SUMIFS(tblReceipts[Qty Received],tblReceipts[Item Name],$A533))</f>
        <v/>
      </c>
      <c r="H533" s="26" t="str">
        <f>IF($A533="","",SUMIFS(tblIssues[Qty Issued],tblIssues[Item Name],$A533))</f>
        <v/>
      </c>
      <c r="I533" s="27" t="str">
        <f t="shared" si="24"/>
        <v/>
      </c>
      <c r="J533" s="21" t="str">
        <f t="shared" si="25"/>
        <v/>
      </c>
      <c r="K533" s="26" t="str">
        <f>IF($A533="","",COUNTIFS(tblReceipts[Item Name],$A533))</f>
        <v/>
      </c>
      <c r="L533" s="26" t="str">
        <f>IF($A533="","",COUNTIFS(tblLotBalance[Item Name],$A533,tblLotBalance[Lot Balance],"&gt;0"))</f>
        <v/>
      </c>
      <c r="M533" s="24" t="str">
        <f>IF($A533="","",IF($L533=0,"",IFERROR(_xlfn.MINIFS(tblLotBalance[Expiry Date],tblLotBalance[Item Name],$A533,tblLotBalance[Lot Balance],"&gt;0"),"")))</f>
        <v/>
      </c>
      <c r="N533" s="26" t="str">
        <f t="shared" ca="1" si="26"/>
        <v/>
      </c>
      <c r="O533" s="18" t="str" cm="1">
        <f t="array" ref="O533">IF($M533="","",IFERROR(INDEX(tblLotBalance[Lot Number],MATCH(1,INDEX((tblLotBalance[Item Name]=$A533)*(tblLotBalance[Expiry Date]=$M533)*(tblLotBalance[Lot Balance]&gt;0),0),0)),""))</f>
        <v/>
      </c>
      <c r="P533" s="28" t="str">
        <f>IF($A533="","",IF($I533&lt;0,"NEGATIVE",IF(NOT(ISNUMBER($F533)),"Set threshold",IF($I533&lt;=0,"OUT OF STOCK",IF($I533&lt;=$F533,"LOW",IF($I533&lt;=$F533*Settings!$C$7,"WATCH","OK"))))))</f>
        <v/>
      </c>
      <c r="Q533" s="29" t="str">
        <f>IF($A533="","",IF($P533="NEGATIVE","Issued more than received - add the missing receipt",IF($P533="OUT OF STOCK","Reorder immediately",IF($P533="LOW","Raise purchase order",IF($P533="Set threshold","Enter Critical Low in Items",IF(AND($N533&lt;&gt;"",$N533&lt;=0),"Quarantine expired lot",IF(AND($N533&lt;&gt;"",$N533&lt;=Settings!$C$6),"Use or rotate stock now","")))))))</f>
        <v/>
      </c>
    </row>
    <row r="534" spans="1:17" x14ac:dyDescent="0.35">
      <c r="A534" s="18" t="str">
        <f>IF(Items!$A531="","",Items!$A531)</f>
        <v/>
      </c>
      <c r="B534" s="18" t="str">
        <f>IF($A534="","",Items!$B531)</f>
        <v/>
      </c>
      <c r="C534" s="19" t="str">
        <f>IF($A534="","",Items!$G531)</f>
        <v/>
      </c>
      <c r="D534" s="20" t="str">
        <f>IF($A534="","",N(Items!$D531))</f>
        <v/>
      </c>
      <c r="E534" s="23" t="str">
        <f>IF($A534="","",Items!$E531)</f>
        <v/>
      </c>
      <c r="F534" s="23" t="str">
        <f>IF($A534="","",Items!$F531)</f>
        <v/>
      </c>
      <c r="G534" s="26" t="str">
        <f>IF($A534="","",SUMIFS(tblReceipts[Qty Received],tblReceipts[Item Name],$A534))</f>
        <v/>
      </c>
      <c r="H534" s="26" t="str">
        <f>IF($A534="","",SUMIFS(tblIssues[Qty Issued],tblIssues[Item Name],$A534))</f>
        <v/>
      </c>
      <c r="I534" s="27" t="str">
        <f t="shared" si="24"/>
        <v/>
      </c>
      <c r="J534" s="21" t="str">
        <f t="shared" si="25"/>
        <v/>
      </c>
      <c r="K534" s="26" t="str">
        <f>IF($A534="","",COUNTIFS(tblReceipts[Item Name],$A534))</f>
        <v/>
      </c>
      <c r="L534" s="26" t="str">
        <f>IF($A534="","",COUNTIFS(tblLotBalance[Item Name],$A534,tblLotBalance[Lot Balance],"&gt;0"))</f>
        <v/>
      </c>
      <c r="M534" s="24" t="str">
        <f>IF($A534="","",IF($L534=0,"",IFERROR(_xlfn.MINIFS(tblLotBalance[Expiry Date],tblLotBalance[Item Name],$A534,tblLotBalance[Lot Balance],"&gt;0"),"")))</f>
        <v/>
      </c>
      <c r="N534" s="26" t="str">
        <f t="shared" ca="1" si="26"/>
        <v/>
      </c>
      <c r="O534" s="18" t="str" cm="1">
        <f t="array" ref="O534">IF($M534="","",IFERROR(INDEX(tblLotBalance[Lot Number],MATCH(1,INDEX((tblLotBalance[Item Name]=$A534)*(tblLotBalance[Expiry Date]=$M534)*(tblLotBalance[Lot Balance]&gt;0),0),0)),""))</f>
        <v/>
      </c>
      <c r="P534" s="28" t="str">
        <f>IF($A534="","",IF($I534&lt;0,"NEGATIVE",IF(NOT(ISNUMBER($F534)),"Set threshold",IF($I534&lt;=0,"OUT OF STOCK",IF($I534&lt;=$F534,"LOW",IF($I534&lt;=$F534*Settings!$C$7,"WATCH","OK"))))))</f>
        <v/>
      </c>
      <c r="Q534" s="29" t="str">
        <f>IF($A534="","",IF($P534="NEGATIVE","Issued more than received - add the missing receipt",IF($P534="OUT OF STOCK","Reorder immediately",IF($P534="LOW","Raise purchase order",IF($P534="Set threshold","Enter Critical Low in Items",IF(AND($N534&lt;&gt;"",$N534&lt;=0),"Quarantine expired lot",IF(AND($N534&lt;&gt;"",$N534&lt;=Settings!$C$6),"Use or rotate stock now","")))))))</f>
        <v/>
      </c>
    </row>
    <row r="535" spans="1:17" x14ac:dyDescent="0.35">
      <c r="A535" s="18" t="str">
        <f>IF(Items!$A532="","",Items!$A532)</f>
        <v/>
      </c>
      <c r="B535" s="18" t="str">
        <f>IF($A535="","",Items!$B532)</f>
        <v/>
      </c>
      <c r="C535" s="19" t="str">
        <f>IF($A535="","",Items!$G532)</f>
        <v/>
      </c>
      <c r="D535" s="20" t="str">
        <f>IF($A535="","",N(Items!$D532))</f>
        <v/>
      </c>
      <c r="E535" s="23" t="str">
        <f>IF($A535="","",Items!$E532)</f>
        <v/>
      </c>
      <c r="F535" s="23" t="str">
        <f>IF($A535="","",Items!$F532)</f>
        <v/>
      </c>
      <c r="G535" s="26" t="str">
        <f>IF($A535="","",SUMIFS(tblReceipts[Qty Received],tblReceipts[Item Name],$A535))</f>
        <v/>
      </c>
      <c r="H535" s="26" t="str">
        <f>IF($A535="","",SUMIFS(tblIssues[Qty Issued],tblIssues[Item Name],$A535))</f>
        <v/>
      </c>
      <c r="I535" s="27" t="str">
        <f t="shared" si="24"/>
        <v/>
      </c>
      <c r="J535" s="21" t="str">
        <f t="shared" si="25"/>
        <v/>
      </c>
      <c r="K535" s="26" t="str">
        <f>IF($A535="","",COUNTIFS(tblReceipts[Item Name],$A535))</f>
        <v/>
      </c>
      <c r="L535" s="26" t="str">
        <f>IF($A535="","",COUNTIFS(tblLotBalance[Item Name],$A535,tblLotBalance[Lot Balance],"&gt;0"))</f>
        <v/>
      </c>
      <c r="M535" s="24" t="str">
        <f>IF($A535="","",IF($L535=0,"",IFERROR(_xlfn.MINIFS(tblLotBalance[Expiry Date],tblLotBalance[Item Name],$A535,tblLotBalance[Lot Balance],"&gt;0"),"")))</f>
        <v/>
      </c>
      <c r="N535" s="26" t="str">
        <f t="shared" ca="1" si="26"/>
        <v/>
      </c>
      <c r="O535" s="18" t="str" cm="1">
        <f t="array" ref="O535">IF($M535="","",IFERROR(INDEX(tblLotBalance[Lot Number],MATCH(1,INDEX((tblLotBalance[Item Name]=$A535)*(tblLotBalance[Expiry Date]=$M535)*(tblLotBalance[Lot Balance]&gt;0),0),0)),""))</f>
        <v/>
      </c>
      <c r="P535" s="28" t="str">
        <f>IF($A535="","",IF($I535&lt;0,"NEGATIVE",IF(NOT(ISNUMBER($F535)),"Set threshold",IF($I535&lt;=0,"OUT OF STOCK",IF($I535&lt;=$F535,"LOW",IF($I535&lt;=$F535*Settings!$C$7,"WATCH","OK"))))))</f>
        <v/>
      </c>
      <c r="Q535" s="29" t="str">
        <f>IF($A535="","",IF($P535="NEGATIVE","Issued more than received - add the missing receipt",IF($P535="OUT OF STOCK","Reorder immediately",IF($P535="LOW","Raise purchase order",IF($P535="Set threshold","Enter Critical Low in Items",IF(AND($N535&lt;&gt;"",$N535&lt;=0),"Quarantine expired lot",IF(AND($N535&lt;&gt;"",$N535&lt;=Settings!$C$6),"Use or rotate stock now","")))))))</f>
        <v/>
      </c>
    </row>
    <row r="536" spans="1:17" x14ac:dyDescent="0.35">
      <c r="A536" s="18" t="str">
        <f>IF(Items!$A533="","",Items!$A533)</f>
        <v/>
      </c>
      <c r="B536" s="18" t="str">
        <f>IF($A536="","",Items!$B533)</f>
        <v/>
      </c>
      <c r="C536" s="19" t="str">
        <f>IF($A536="","",Items!$G533)</f>
        <v/>
      </c>
      <c r="D536" s="20" t="str">
        <f>IF($A536="","",N(Items!$D533))</f>
        <v/>
      </c>
      <c r="E536" s="23" t="str">
        <f>IF($A536="","",Items!$E533)</f>
        <v/>
      </c>
      <c r="F536" s="23" t="str">
        <f>IF($A536="","",Items!$F533)</f>
        <v/>
      </c>
      <c r="G536" s="26" t="str">
        <f>IF($A536="","",SUMIFS(tblReceipts[Qty Received],tblReceipts[Item Name],$A536))</f>
        <v/>
      </c>
      <c r="H536" s="26" t="str">
        <f>IF($A536="","",SUMIFS(tblIssues[Qty Issued],tblIssues[Item Name],$A536))</f>
        <v/>
      </c>
      <c r="I536" s="27" t="str">
        <f t="shared" si="24"/>
        <v/>
      </c>
      <c r="J536" s="21" t="str">
        <f t="shared" si="25"/>
        <v/>
      </c>
      <c r="K536" s="26" t="str">
        <f>IF($A536="","",COUNTIFS(tblReceipts[Item Name],$A536))</f>
        <v/>
      </c>
      <c r="L536" s="26" t="str">
        <f>IF($A536="","",COUNTIFS(tblLotBalance[Item Name],$A536,tblLotBalance[Lot Balance],"&gt;0"))</f>
        <v/>
      </c>
      <c r="M536" s="24" t="str">
        <f>IF($A536="","",IF($L536=0,"",IFERROR(_xlfn.MINIFS(tblLotBalance[Expiry Date],tblLotBalance[Item Name],$A536,tblLotBalance[Lot Balance],"&gt;0"),"")))</f>
        <v/>
      </c>
      <c r="N536" s="26" t="str">
        <f t="shared" ca="1" si="26"/>
        <v/>
      </c>
      <c r="O536" s="18" t="str" cm="1">
        <f t="array" ref="O536">IF($M536="","",IFERROR(INDEX(tblLotBalance[Lot Number],MATCH(1,INDEX((tblLotBalance[Item Name]=$A536)*(tblLotBalance[Expiry Date]=$M536)*(tblLotBalance[Lot Balance]&gt;0),0),0)),""))</f>
        <v/>
      </c>
      <c r="P536" s="28" t="str">
        <f>IF($A536="","",IF($I536&lt;0,"NEGATIVE",IF(NOT(ISNUMBER($F536)),"Set threshold",IF($I536&lt;=0,"OUT OF STOCK",IF($I536&lt;=$F536,"LOW",IF($I536&lt;=$F536*Settings!$C$7,"WATCH","OK"))))))</f>
        <v/>
      </c>
      <c r="Q536" s="29" t="str">
        <f>IF($A536="","",IF($P536="NEGATIVE","Issued more than received - add the missing receipt",IF($P536="OUT OF STOCK","Reorder immediately",IF($P536="LOW","Raise purchase order",IF($P536="Set threshold","Enter Critical Low in Items",IF(AND($N536&lt;&gt;"",$N536&lt;=0),"Quarantine expired lot",IF(AND($N536&lt;&gt;"",$N536&lt;=Settings!$C$6),"Use or rotate stock now","")))))))</f>
        <v/>
      </c>
    </row>
    <row r="537" spans="1:17" x14ac:dyDescent="0.35">
      <c r="A537" s="18" t="str">
        <f>IF(Items!$A534="","",Items!$A534)</f>
        <v/>
      </c>
      <c r="B537" s="18" t="str">
        <f>IF($A537="","",Items!$B534)</f>
        <v/>
      </c>
      <c r="C537" s="19" t="str">
        <f>IF($A537="","",Items!$G534)</f>
        <v/>
      </c>
      <c r="D537" s="20" t="str">
        <f>IF($A537="","",N(Items!$D534))</f>
        <v/>
      </c>
      <c r="E537" s="23" t="str">
        <f>IF($A537="","",Items!$E534)</f>
        <v/>
      </c>
      <c r="F537" s="23" t="str">
        <f>IF($A537="","",Items!$F534)</f>
        <v/>
      </c>
      <c r="G537" s="26" t="str">
        <f>IF($A537="","",SUMIFS(tblReceipts[Qty Received],tblReceipts[Item Name],$A537))</f>
        <v/>
      </c>
      <c r="H537" s="26" t="str">
        <f>IF($A537="","",SUMIFS(tblIssues[Qty Issued],tblIssues[Item Name],$A537))</f>
        <v/>
      </c>
      <c r="I537" s="27" t="str">
        <f t="shared" si="24"/>
        <v/>
      </c>
      <c r="J537" s="21" t="str">
        <f t="shared" si="25"/>
        <v/>
      </c>
      <c r="K537" s="26" t="str">
        <f>IF($A537="","",COUNTIFS(tblReceipts[Item Name],$A537))</f>
        <v/>
      </c>
      <c r="L537" s="26" t="str">
        <f>IF($A537="","",COUNTIFS(tblLotBalance[Item Name],$A537,tblLotBalance[Lot Balance],"&gt;0"))</f>
        <v/>
      </c>
      <c r="M537" s="24" t="str">
        <f>IF($A537="","",IF($L537=0,"",IFERROR(_xlfn.MINIFS(tblLotBalance[Expiry Date],tblLotBalance[Item Name],$A537,tblLotBalance[Lot Balance],"&gt;0"),"")))</f>
        <v/>
      </c>
      <c r="N537" s="26" t="str">
        <f t="shared" ca="1" si="26"/>
        <v/>
      </c>
      <c r="O537" s="18" t="str" cm="1">
        <f t="array" ref="O537">IF($M537="","",IFERROR(INDEX(tblLotBalance[Lot Number],MATCH(1,INDEX((tblLotBalance[Item Name]=$A537)*(tblLotBalance[Expiry Date]=$M537)*(tblLotBalance[Lot Balance]&gt;0),0),0)),""))</f>
        <v/>
      </c>
      <c r="P537" s="28" t="str">
        <f>IF($A537="","",IF($I537&lt;0,"NEGATIVE",IF(NOT(ISNUMBER($F537)),"Set threshold",IF($I537&lt;=0,"OUT OF STOCK",IF($I537&lt;=$F537,"LOW",IF($I537&lt;=$F537*Settings!$C$7,"WATCH","OK"))))))</f>
        <v/>
      </c>
      <c r="Q537" s="29" t="str">
        <f>IF($A537="","",IF($P537="NEGATIVE","Issued more than received - add the missing receipt",IF($P537="OUT OF STOCK","Reorder immediately",IF($P537="LOW","Raise purchase order",IF($P537="Set threshold","Enter Critical Low in Items",IF(AND($N537&lt;&gt;"",$N537&lt;=0),"Quarantine expired lot",IF(AND($N537&lt;&gt;"",$N537&lt;=Settings!$C$6),"Use or rotate stock now","")))))))</f>
        <v/>
      </c>
    </row>
    <row r="538" spans="1:17" x14ac:dyDescent="0.35">
      <c r="A538" s="18" t="str">
        <f>IF(Items!$A535="","",Items!$A535)</f>
        <v/>
      </c>
      <c r="B538" s="18" t="str">
        <f>IF($A538="","",Items!$B535)</f>
        <v/>
      </c>
      <c r="C538" s="19" t="str">
        <f>IF($A538="","",Items!$G535)</f>
        <v/>
      </c>
      <c r="D538" s="20" t="str">
        <f>IF($A538="","",N(Items!$D535))</f>
        <v/>
      </c>
      <c r="E538" s="23" t="str">
        <f>IF($A538="","",Items!$E535)</f>
        <v/>
      </c>
      <c r="F538" s="23" t="str">
        <f>IF($A538="","",Items!$F535)</f>
        <v/>
      </c>
      <c r="G538" s="26" t="str">
        <f>IF($A538="","",SUMIFS(tblReceipts[Qty Received],tblReceipts[Item Name],$A538))</f>
        <v/>
      </c>
      <c r="H538" s="26" t="str">
        <f>IF($A538="","",SUMIFS(tblIssues[Qty Issued],tblIssues[Item Name],$A538))</f>
        <v/>
      </c>
      <c r="I538" s="27" t="str">
        <f t="shared" si="24"/>
        <v/>
      </c>
      <c r="J538" s="21" t="str">
        <f t="shared" si="25"/>
        <v/>
      </c>
      <c r="K538" s="26" t="str">
        <f>IF($A538="","",COUNTIFS(tblReceipts[Item Name],$A538))</f>
        <v/>
      </c>
      <c r="L538" s="26" t="str">
        <f>IF($A538="","",COUNTIFS(tblLotBalance[Item Name],$A538,tblLotBalance[Lot Balance],"&gt;0"))</f>
        <v/>
      </c>
      <c r="M538" s="24" t="str">
        <f>IF($A538="","",IF($L538=0,"",IFERROR(_xlfn.MINIFS(tblLotBalance[Expiry Date],tblLotBalance[Item Name],$A538,tblLotBalance[Lot Balance],"&gt;0"),"")))</f>
        <v/>
      </c>
      <c r="N538" s="26" t="str">
        <f t="shared" ca="1" si="26"/>
        <v/>
      </c>
      <c r="O538" s="18" t="str" cm="1">
        <f t="array" ref="O538">IF($M538="","",IFERROR(INDEX(tblLotBalance[Lot Number],MATCH(1,INDEX((tblLotBalance[Item Name]=$A538)*(tblLotBalance[Expiry Date]=$M538)*(tblLotBalance[Lot Balance]&gt;0),0),0)),""))</f>
        <v/>
      </c>
      <c r="P538" s="28" t="str">
        <f>IF($A538="","",IF($I538&lt;0,"NEGATIVE",IF(NOT(ISNUMBER($F538)),"Set threshold",IF($I538&lt;=0,"OUT OF STOCK",IF($I538&lt;=$F538,"LOW",IF($I538&lt;=$F538*Settings!$C$7,"WATCH","OK"))))))</f>
        <v/>
      </c>
      <c r="Q538" s="29" t="str">
        <f>IF($A538="","",IF($P538="NEGATIVE","Issued more than received - add the missing receipt",IF($P538="OUT OF STOCK","Reorder immediately",IF($P538="LOW","Raise purchase order",IF($P538="Set threshold","Enter Critical Low in Items",IF(AND($N538&lt;&gt;"",$N538&lt;=0),"Quarantine expired lot",IF(AND($N538&lt;&gt;"",$N538&lt;=Settings!$C$6),"Use or rotate stock now","")))))))</f>
        <v/>
      </c>
    </row>
    <row r="539" spans="1:17" x14ac:dyDescent="0.35">
      <c r="A539" s="18" t="str">
        <f>IF(Items!$A536="","",Items!$A536)</f>
        <v/>
      </c>
      <c r="B539" s="18" t="str">
        <f>IF($A539="","",Items!$B536)</f>
        <v/>
      </c>
      <c r="C539" s="19" t="str">
        <f>IF($A539="","",Items!$G536)</f>
        <v/>
      </c>
      <c r="D539" s="20" t="str">
        <f>IF($A539="","",N(Items!$D536))</f>
        <v/>
      </c>
      <c r="E539" s="23" t="str">
        <f>IF($A539="","",Items!$E536)</f>
        <v/>
      </c>
      <c r="F539" s="23" t="str">
        <f>IF($A539="","",Items!$F536)</f>
        <v/>
      </c>
      <c r="G539" s="26" t="str">
        <f>IF($A539="","",SUMIFS(tblReceipts[Qty Received],tblReceipts[Item Name],$A539))</f>
        <v/>
      </c>
      <c r="H539" s="26" t="str">
        <f>IF($A539="","",SUMIFS(tblIssues[Qty Issued],tblIssues[Item Name],$A539))</f>
        <v/>
      </c>
      <c r="I539" s="27" t="str">
        <f t="shared" si="24"/>
        <v/>
      </c>
      <c r="J539" s="21" t="str">
        <f t="shared" si="25"/>
        <v/>
      </c>
      <c r="K539" s="26" t="str">
        <f>IF($A539="","",COUNTIFS(tblReceipts[Item Name],$A539))</f>
        <v/>
      </c>
      <c r="L539" s="26" t="str">
        <f>IF($A539="","",COUNTIFS(tblLotBalance[Item Name],$A539,tblLotBalance[Lot Balance],"&gt;0"))</f>
        <v/>
      </c>
      <c r="M539" s="24" t="str">
        <f>IF($A539="","",IF($L539=0,"",IFERROR(_xlfn.MINIFS(tblLotBalance[Expiry Date],tblLotBalance[Item Name],$A539,tblLotBalance[Lot Balance],"&gt;0"),"")))</f>
        <v/>
      </c>
      <c r="N539" s="26" t="str">
        <f t="shared" ca="1" si="26"/>
        <v/>
      </c>
      <c r="O539" s="18" t="str" cm="1">
        <f t="array" ref="O539">IF($M539="","",IFERROR(INDEX(tblLotBalance[Lot Number],MATCH(1,INDEX((tblLotBalance[Item Name]=$A539)*(tblLotBalance[Expiry Date]=$M539)*(tblLotBalance[Lot Balance]&gt;0),0),0)),""))</f>
        <v/>
      </c>
      <c r="P539" s="28" t="str">
        <f>IF($A539="","",IF($I539&lt;0,"NEGATIVE",IF(NOT(ISNUMBER($F539)),"Set threshold",IF($I539&lt;=0,"OUT OF STOCK",IF($I539&lt;=$F539,"LOW",IF($I539&lt;=$F539*Settings!$C$7,"WATCH","OK"))))))</f>
        <v/>
      </c>
      <c r="Q539" s="29" t="str">
        <f>IF($A539="","",IF($P539="NEGATIVE","Issued more than received - add the missing receipt",IF($P539="OUT OF STOCK","Reorder immediately",IF($P539="LOW","Raise purchase order",IF($P539="Set threshold","Enter Critical Low in Items",IF(AND($N539&lt;&gt;"",$N539&lt;=0),"Quarantine expired lot",IF(AND($N539&lt;&gt;"",$N539&lt;=Settings!$C$6),"Use or rotate stock now","")))))))</f>
        <v/>
      </c>
    </row>
    <row r="540" spans="1:17" x14ac:dyDescent="0.35">
      <c r="A540" s="18" t="str">
        <f>IF(Items!$A537="","",Items!$A537)</f>
        <v/>
      </c>
      <c r="B540" s="18" t="str">
        <f>IF($A540="","",Items!$B537)</f>
        <v/>
      </c>
      <c r="C540" s="19" t="str">
        <f>IF($A540="","",Items!$G537)</f>
        <v/>
      </c>
      <c r="D540" s="20" t="str">
        <f>IF($A540="","",N(Items!$D537))</f>
        <v/>
      </c>
      <c r="E540" s="23" t="str">
        <f>IF($A540="","",Items!$E537)</f>
        <v/>
      </c>
      <c r="F540" s="23" t="str">
        <f>IF($A540="","",Items!$F537)</f>
        <v/>
      </c>
      <c r="G540" s="26" t="str">
        <f>IF($A540="","",SUMIFS(tblReceipts[Qty Received],tblReceipts[Item Name],$A540))</f>
        <v/>
      </c>
      <c r="H540" s="26" t="str">
        <f>IF($A540="","",SUMIFS(tblIssues[Qty Issued],tblIssues[Item Name],$A540))</f>
        <v/>
      </c>
      <c r="I540" s="27" t="str">
        <f t="shared" si="24"/>
        <v/>
      </c>
      <c r="J540" s="21" t="str">
        <f t="shared" si="25"/>
        <v/>
      </c>
      <c r="K540" s="26" t="str">
        <f>IF($A540="","",COUNTIFS(tblReceipts[Item Name],$A540))</f>
        <v/>
      </c>
      <c r="L540" s="26" t="str">
        <f>IF($A540="","",COUNTIFS(tblLotBalance[Item Name],$A540,tblLotBalance[Lot Balance],"&gt;0"))</f>
        <v/>
      </c>
      <c r="M540" s="24" t="str">
        <f>IF($A540="","",IF($L540=0,"",IFERROR(_xlfn.MINIFS(tblLotBalance[Expiry Date],tblLotBalance[Item Name],$A540,tblLotBalance[Lot Balance],"&gt;0"),"")))</f>
        <v/>
      </c>
      <c r="N540" s="26" t="str">
        <f t="shared" ca="1" si="26"/>
        <v/>
      </c>
      <c r="O540" s="18" t="str" cm="1">
        <f t="array" ref="O540">IF($M540="","",IFERROR(INDEX(tblLotBalance[Lot Number],MATCH(1,INDEX((tblLotBalance[Item Name]=$A540)*(tblLotBalance[Expiry Date]=$M540)*(tblLotBalance[Lot Balance]&gt;0),0),0)),""))</f>
        <v/>
      </c>
      <c r="P540" s="28" t="str">
        <f>IF($A540="","",IF($I540&lt;0,"NEGATIVE",IF(NOT(ISNUMBER($F540)),"Set threshold",IF($I540&lt;=0,"OUT OF STOCK",IF($I540&lt;=$F540,"LOW",IF($I540&lt;=$F540*Settings!$C$7,"WATCH","OK"))))))</f>
        <v/>
      </c>
      <c r="Q540" s="29" t="str">
        <f>IF($A540="","",IF($P540="NEGATIVE","Issued more than received - add the missing receipt",IF($P540="OUT OF STOCK","Reorder immediately",IF($P540="LOW","Raise purchase order",IF($P540="Set threshold","Enter Critical Low in Items",IF(AND($N540&lt;&gt;"",$N540&lt;=0),"Quarantine expired lot",IF(AND($N540&lt;&gt;"",$N540&lt;=Settings!$C$6),"Use or rotate stock now","")))))))</f>
        <v/>
      </c>
    </row>
    <row r="541" spans="1:17" x14ac:dyDescent="0.35">
      <c r="A541" s="18" t="str">
        <f>IF(Items!$A538="","",Items!$A538)</f>
        <v/>
      </c>
      <c r="B541" s="18" t="str">
        <f>IF($A541="","",Items!$B538)</f>
        <v/>
      </c>
      <c r="C541" s="19" t="str">
        <f>IF($A541="","",Items!$G538)</f>
        <v/>
      </c>
      <c r="D541" s="20" t="str">
        <f>IF($A541="","",N(Items!$D538))</f>
        <v/>
      </c>
      <c r="E541" s="23" t="str">
        <f>IF($A541="","",Items!$E538)</f>
        <v/>
      </c>
      <c r="F541" s="23" t="str">
        <f>IF($A541="","",Items!$F538)</f>
        <v/>
      </c>
      <c r="G541" s="26" t="str">
        <f>IF($A541="","",SUMIFS(tblReceipts[Qty Received],tblReceipts[Item Name],$A541))</f>
        <v/>
      </c>
      <c r="H541" s="26" t="str">
        <f>IF($A541="","",SUMIFS(tblIssues[Qty Issued],tblIssues[Item Name],$A541))</f>
        <v/>
      </c>
      <c r="I541" s="27" t="str">
        <f t="shared" si="24"/>
        <v/>
      </c>
      <c r="J541" s="21" t="str">
        <f t="shared" si="25"/>
        <v/>
      </c>
      <c r="K541" s="26" t="str">
        <f>IF($A541="","",COUNTIFS(tblReceipts[Item Name],$A541))</f>
        <v/>
      </c>
      <c r="L541" s="26" t="str">
        <f>IF($A541="","",COUNTIFS(tblLotBalance[Item Name],$A541,tblLotBalance[Lot Balance],"&gt;0"))</f>
        <v/>
      </c>
      <c r="M541" s="24" t="str">
        <f>IF($A541="","",IF($L541=0,"",IFERROR(_xlfn.MINIFS(tblLotBalance[Expiry Date],tblLotBalance[Item Name],$A541,tblLotBalance[Lot Balance],"&gt;0"),"")))</f>
        <v/>
      </c>
      <c r="N541" s="26" t="str">
        <f t="shared" ca="1" si="26"/>
        <v/>
      </c>
      <c r="O541" s="18" t="str" cm="1">
        <f t="array" ref="O541">IF($M541="","",IFERROR(INDEX(tblLotBalance[Lot Number],MATCH(1,INDEX((tblLotBalance[Item Name]=$A541)*(tblLotBalance[Expiry Date]=$M541)*(tblLotBalance[Lot Balance]&gt;0),0),0)),""))</f>
        <v/>
      </c>
      <c r="P541" s="28" t="str">
        <f>IF($A541="","",IF($I541&lt;0,"NEGATIVE",IF(NOT(ISNUMBER($F541)),"Set threshold",IF($I541&lt;=0,"OUT OF STOCK",IF($I541&lt;=$F541,"LOW",IF($I541&lt;=$F541*Settings!$C$7,"WATCH","OK"))))))</f>
        <v/>
      </c>
      <c r="Q541" s="29" t="str">
        <f>IF($A541="","",IF($P541="NEGATIVE","Issued more than received - add the missing receipt",IF($P541="OUT OF STOCK","Reorder immediately",IF($P541="LOW","Raise purchase order",IF($P541="Set threshold","Enter Critical Low in Items",IF(AND($N541&lt;&gt;"",$N541&lt;=0),"Quarantine expired lot",IF(AND($N541&lt;&gt;"",$N541&lt;=Settings!$C$6),"Use or rotate stock now","")))))))</f>
        <v/>
      </c>
    </row>
    <row r="542" spans="1:17" x14ac:dyDescent="0.35">
      <c r="A542" s="18" t="str">
        <f>IF(Items!$A539="","",Items!$A539)</f>
        <v/>
      </c>
      <c r="B542" s="18" t="str">
        <f>IF($A542="","",Items!$B539)</f>
        <v/>
      </c>
      <c r="C542" s="19" t="str">
        <f>IF($A542="","",Items!$G539)</f>
        <v/>
      </c>
      <c r="D542" s="20" t="str">
        <f>IF($A542="","",N(Items!$D539))</f>
        <v/>
      </c>
      <c r="E542" s="23" t="str">
        <f>IF($A542="","",Items!$E539)</f>
        <v/>
      </c>
      <c r="F542" s="23" t="str">
        <f>IF($A542="","",Items!$F539)</f>
        <v/>
      </c>
      <c r="G542" s="26" t="str">
        <f>IF($A542="","",SUMIFS(tblReceipts[Qty Received],tblReceipts[Item Name],$A542))</f>
        <v/>
      </c>
      <c r="H542" s="26" t="str">
        <f>IF($A542="","",SUMIFS(tblIssues[Qty Issued],tblIssues[Item Name],$A542))</f>
        <v/>
      </c>
      <c r="I542" s="27" t="str">
        <f t="shared" si="24"/>
        <v/>
      </c>
      <c r="J542" s="21" t="str">
        <f t="shared" si="25"/>
        <v/>
      </c>
      <c r="K542" s="26" t="str">
        <f>IF($A542="","",COUNTIFS(tblReceipts[Item Name],$A542))</f>
        <v/>
      </c>
      <c r="L542" s="26" t="str">
        <f>IF($A542="","",COUNTIFS(tblLotBalance[Item Name],$A542,tblLotBalance[Lot Balance],"&gt;0"))</f>
        <v/>
      </c>
      <c r="M542" s="24" t="str">
        <f>IF($A542="","",IF($L542=0,"",IFERROR(_xlfn.MINIFS(tblLotBalance[Expiry Date],tblLotBalance[Item Name],$A542,tblLotBalance[Lot Balance],"&gt;0"),"")))</f>
        <v/>
      </c>
      <c r="N542" s="26" t="str">
        <f t="shared" ca="1" si="26"/>
        <v/>
      </c>
      <c r="O542" s="18" t="str" cm="1">
        <f t="array" ref="O542">IF($M542="","",IFERROR(INDEX(tblLotBalance[Lot Number],MATCH(1,INDEX((tblLotBalance[Item Name]=$A542)*(tblLotBalance[Expiry Date]=$M542)*(tblLotBalance[Lot Balance]&gt;0),0),0)),""))</f>
        <v/>
      </c>
      <c r="P542" s="28" t="str">
        <f>IF($A542="","",IF($I542&lt;0,"NEGATIVE",IF(NOT(ISNUMBER($F542)),"Set threshold",IF($I542&lt;=0,"OUT OF STOCK",IF($I542&lt;=$F542,"LOW",IF($I542&lt;=$F542*Settings!$C$7,"WATCH","OK"))))))</f>
        <v/>
      </c>
      <c r="Q542" s="29" t="str">
        <f>IF($A542="","",IF($P542="NEGATIVE","Issued more than received - add the missing receipt",IF($P542="OUT OF STOCK","Reorder immediately",IF($P542="LOW","Raise purchase order",IF($P542="Set threshold","Enter Critical Low in Items",IF(AND($N542&lt;&gt;"",$N542&lt;=0),"Quarantine expired lot",IF(AND($N542&lt;&gt;"",$N542&lt;=Settings!$C$6),"Use or rotate stock now","")))))))</f>
        <v/>
      </c>
    </row>
    <row r="543" spans="1:17" x14ac:dyDescent="0.35">
      <c r="A543" s="18" t="str">
        <f>IF(Items!$A540="","",Items!$A540)</f>
        <v/>
      </c>
      <c r="B543" s="18" t="str">
        <f>IF($A543="","",Items!$B540)</f>
        <v/>
      </c>
      <c r="C543" s="19" t="str">
        <f>IF($A543="","",Items!$G540)</f>
        <v/>
      </c>
      <c r="D543" s="20" t="str">
        <f>IF($A543="","",N(Items!$D540))</f>
        <v/>
      </c>
      <c r="E543" s="23" t="str">
        <f>IF($A543="","",Items!$E540)</f>
        <v/>
      </c>
      <c r="F543" s="23" t="str">
        <f>IF($A543="","",Items!$F540)</f>
        <v/>
      </c>
      <c r="G543" s="26" t="str">
        <f>IF($A543="","",SUMIFS(tblReceipts[Qty Received],tblReceipts[Item Name],$A543))</f>
        <v/>
      </c>
      <c r="H543" s="26" t="str">
        <f>IF($A543="","",SUMIFS(tblIssues[Qty Issued],tblIssues[Item Name],$A543))</f>
        <v/>
      </c>
      <c r="I543" s="27" t="str">
        <f t="shared" si="24"/>
        <v/>
      </c>
      <c r="J543" s="21" t="str">
        <f t="shared" si="25"/>
        <v/>
      </c>
      <c r="K543" s="26" t="str">
        <f>IF($A543="","",COUNTIFS(tblReceipts[Item Name],$A543))</f>
        <v/>
      </c>
      <c r="L543" s="26" t="str">
        <f>IF($A543="","",COUNTIFS(tblLotBalance[Item Name],$A543,tblLotBalance[Lot Balance],"&gt;0"))</f>
        <v/>
      </c>
      <c r="M543" s="24" t="str">
        <f>IF($A543="","",IF($L543=0,"",IFERROR(_xlfn.MINIFS(tblLotBalance[Expiry Date],tblLotBalance[Item Name],$A543,tblLotBalance[Lot Balance],"&gt;0"),"")))</f>
        <v/>
      </c>
      <c r="N543" s="26" t="str">
        <f t="shared" ca="1" si="26"/>
        <v/>
      </c>
      <c r="O543" s="18" t="str" cm="1">
        <f t="array" ref="O543">IF($M543="","",IFERROR(INDEX(tblLotBalance[Lot Number],MATCH(1,INDEX((tblLotBalance[Item Name]=$A543)*(tblLotBalance[Expiry Date]=$M543)*(tblLotBalance[Lot Balance]&gt;0),0),0)),""))</f>
        <v/>
      </c>
      <c r="P543" s="28" t="str">
        <f>IF($A543="","",IF($I543&lt;0,"NEGATIVE",IF(NOT(ISNUMBER($F543)),"Set threshold",IF($I543&lt;=0,"OUT OF STOCK",IF($I543&lt;=$F543,"LOW",IF($I543&lt;=$F543*Settings!$C$7,"WATCH","OK"))))))</f>
        <v/>
      </c>
      <c r="Q543" s="29" t="str">
        <f>IF($A543="","",IF($P543="NEGATIVE","Issued more than received - add the missing receipt",IF($P543="OUT OF STOCK","Reorder immediately",IF($P543="LOW","Raise purchase order",IF($P543="Set threshold","Enter Critical Low in Items",IF(AND($N543&lt;&gt;"",$N543&lt;=0),"Quarantine expired lot",IF(AND($N543&lt;&gt;"",$N543&lt;=Settings!$C$6),"Use or rotate stock now","")))))))</f>
        <v/>
      </c>
    </row>
    <row r="544" spans="1:17" x14ac:dyDescent="0.35">
      <c r="A544" s="18" t="str">
        <f>IF(Items!$A541="","",Items!$A541)</f>
        <v/>
      </c>
      <c r="B544" s="18" t="str">
        <f>IF($A544="","",Items!$B541)</f>
        <v/>
      </c>
      <c r="C544" s="19" t="str">
        <f>IF($A544="","",Items!$G541)</f>
        <v/>
      </c>
      <c r="D544" s="20" t="str">
        <f>IF($A544="","",N(Items!$D541))</f>
        <v/>
      </c>
      <c r="E544" s="23" t="str">
        <f>IF($A544="","",Items!$E541)</f>
        <v/>
      </c>
      <c r="F544" s="23" t="str">
        <f>IF($A544="","",Items!$F541)</f>
        <v/>
      </c>
      <c r="G544" s="26" t="str">
        <f>IF($A544="","",SUMIFS(tblReceipts[Qty Received],tblReceipts[Item Name],$A544))</f>
        <v/>
      </c>
      <c r="H544" s="26" t="str">
        <f>IF($A544="","",SUMIFS(tblIssues[Qty Issued],tblIssues[Item Name],$A544))</f>
        <v/>
      </c>
      <c r="I544" s="27" t="str">
        <f t="shared" si="24"/>
        <v/>
      </c>
      <c r="J544" s="21" t="str">
        <f t="shared" si="25"/>
        <v/>
      </c>
      <c r="K544" s="26" t="str">
        <f>IF($A544="","",COUNTIFS(tblReceipts[Item Name],$A544))</f>
        <v/>
      </c>
      <c r="L544" s="26" t="str">
        <f>IF($A544="","",COUNTIFS(tblLotBalance[Item Name],$A544,tblLotBalance[Lot Balance],"&gt;0"))</f>
        <v/>
      </c>
      <c r="M544" s="24" t="str">
        <f>IF($A544="","",IF($L544=0,"",IFERROR(_xlfn.MINIFS(tblLotBalance[Expiry Date],tblLotBalance[Item Name],$A544,tblLotBalance[Lot Balance],"&gt;0"),"")))</f>
        <v/>
      </c>
      <c r="N544" s="26" t="str">
        <f t="shared" ca="1" si="26"/>
        <v/>
      </c>
      <c r="O544" s="18" t="str" cm="1">
        <f t="array" ref="O544">IF($M544="","",IFERROR(INDEX(tblLotBalance[Lot Number],MATCH(1,INDEX((tblLotBalance[Item Name]=$A544)*(tblLotBalance[Expiry Date]=$M544)*(tblLotBalance[Lot Balance]&gt;0),0),0)),""))</f>
        <v/>
      </c>
      <c r="P544" s="28" t="str">
        <f>IF($A544="","",IF($I544&lt;0,"NEGATIVE",IF(NOT(ISNUMBER($F544)),"Set threshold",IF($I544&lt;=0,"OUT OF STOCK",IF($I544&lt;=$F544,"LOW",IF($I544&lt;=$F544*Settings!$C$7,"WATCH","OK"))))))</f>
        <v/>
      </c>
      <c r="Q544" s="29" t="str">
        <f>IF($A544="","",IF($P544="NEGATIVE","Issued more than received - add the missing receipt",IF($P544="OUT OF STOCK","Reorder immediately",IF($P544="LOW","Raise purchase order",IF($P544="Set threshold","Enter Critical Low in Items",IF(AND($N544&lt;&gt;"",$N544&lt;=0),"Quarantine expired lot",IF(AND($N544&lt;&gt;"",$N544&lt;=Settings!$C$6),"Use or rotate stock now","")))))))</f>
        <v/>
      </c>
    </row>
    <row r="545" spans="1:17" x14ac:dyDescent="0.35">
      <c r="A545" s="18" t="str">
        <f>IF(Items!$A542="","",Items!$A542)</f>
        <v/>
      </c>
      <c r="B545" s="18" t="str">
        <f>IF($A545="","",Items!$B542)</f>
        <v/>
      </c>
      <c r="C545" s="19" t="str">
        <f>IF($A545="","",Items!$G542)</f>
        <v/>
      </c>
      <c r="D545" s="20" t="str">
        <f>IF($A545="","",N(Items!$D542))</f>
        <v/>
      </c>
      <c r="E545" s="23" t="str">
        <f>IF($A545="","",Items!$E542)</f>
        <v/>
      </c>
      <c r="F545" s="23" t="str">
        <f>IF($A545="","",Items!$F542)</f>
        <v/>
      </c>
      <c r="G545" s="26" t="str">
        <f>IF($A545="","",SUMIFS(tblReceipts[Qty Received],tblReceipts[Item Name],$A545))</f>
        <v/>
      </c>
      <c r="H545" s="26" t="str">
        <f>IF($A545="","",SUMIFS(tblIssues[Qty Issued],tblIssues[Item Name],$A545))</f>
        <v/>
      </c>
      <c r="I545" s="27" t="str">
        <f t="shared" si="24"/>
        <v/>
      </c>
      <c r="J545" s="21" t="str">
        <f t="shared" si="25"/>
        <v/>
      </c>
      <c r="K545" s="26" t="str">
        <f>IF($A545="","",COUNTIFS(tblReceipts[Item Name],$A545))</f>
        <v/>
      </c>
      <c r="L545" s="26" t="str">
        <f>IF($A545="","",COUNTIFS(tblLotBalance[Item Name],$A545,tblLotBalance[Lot Balance],"&gt;0"))</f>
        <v/>
      </c>
      <c r="M545" s="24" t="str">
        <f>IF($A545="","",IF($L545=0,"",IFERROR(_xlfn.MINIFS(tblLotBalance[Expiry Date],tblLotBalance[Item Name],$A545,tblLotBalance[Lot Balance],"&gt;0"),"")))</f>
        <v/>
      </c>
      <c r="N545" s="26" t="str">
        <f t="shared" ca="1" si="26"/>
        <v/>
      </c>
      <c r="O545" s="18" t="str" cm="1">
        <f t="array" ref="O545">IF($M545="","",IFERROR(INDEX(tblLotBalance[Lot Number],MATCH(1,INDEX((tblLotBalance[Item Name]=$A545)*(tblLotBalance[Expiry Date]=$M545)*(tblLotBalance[Lot Balance]&gt;0),0),0)),""))</f>
        <v/>
      </c>
      <c r="P545" s="28" t="str">
        <f>IF($A545="","",IF($I545&lt;0,"NEGATIVE",IF(NOT(ISNUMBER($F545)),"Set threshold",IF($I545&lt;=0,"OUT OF STOCK",IF($I545&lt;=$F545,"LOW",IF($I545&lt;=$F545*Settings!$C$7,"WATCH","OK"))))))</f>
        <v/>
      </c>
      <c r="Q545" s="29" t="str">
        <f>IF($A545="","",IF($P545="NEGATIVE","Issued more than received - add the missing receipt",IF($P545="OUT OF STOCK","Reorder immediately",IF($P545="LOW","Raise purchase order",IF($P545="Set threshold","Enter Critical Low in Items",IF(AND($N545&lt;&gt;"",$N545&lt;=0),"Quarantine expired lot",IF(AND($N545&lt;&gt;"",$N545&lt;=Settings!$C$6),"Use or rotate stock now","")))))))</f>
        <v/>
      </c>
    </row>
    <row r="546" spans="1:17" x14ac:dyDescent="0.35">
      <c r="A546" s="18" t="str">
        <f>IF(Items!$A543="","",Items!$A543)</f>
        <v/>
      </c>
      <c r="B546" s="18" t="str">
        <f>IF($A546="","",Items!$B543)</f>
        <v/>
      </c>
      <c r="C546" s="19" t="str">
        <f>IF($A546="","",Items!$G543)</f>
        <v/>
      </c>
      <c r="D546" s="20" t="str">
        <f>IF($A546="","",N(Items!$D543))</f>
        <v/>
      </c>
      <c r="E546" s="23" t="str">
        <f>IF($A546="","",Items!$E543)</f>
        <v/>
      </c>
      <c r="F546" s="23" t="str">
        <f>IF($A546="","",Items!$F543)</f>
        <v/>
      </c>
      <c r="G546" s="26" t="str">
        <f>IF($A546="","",SUMIFS(tblReceipts[Qty Received],tblReceipts[Item Name],$A546))</f>
        <v/>
      </c>
      <c r="H546" s="26" t="str">
        <f>IF($A546="","",SUMIFS(tblIssues[Qty Issued],tblIssues[Item Name],$A546))</f>
        <v/>
      </c>
      <c r="I546" s="27" t="str">
        <f t="shared" si="24"/>
        <v/>
      </c>
      <c r="J546" s="21" t="str">
        <f t="shared" si="25"/>
        <v/>
      </c>
      <c r="K546" s="26" t="str">
        <f>IF($A546="","",COUNTIFS(tblReceipts[Item Name],$A546))</f>
        <v/>
      </c>
      <c r="L546" s="26" t="str">
        <f>IF($A546="","",COUNTIFS(tblLotBalance[Item Name],$A546,tblLotBalance[Lot Balance],"&gt;0"))</f>
        <v/>
      </c>
      <c r="M546" s="24" t="str">
        <f>IF($A546="","",IF($L546=0,"",IFERROR(_xlfn.MINIFS(tblLotBalance[Expiry Date],tblLotBalance[Item Name],$A546,tblLotBalance[Lot Balance],"&gt;0"),"")))</f>
        <v/>
      </c>
      <c r="N546" s="26" t="str">
        <f t="shared" ca="1" si="26"/>
        <v/>
      </c>
      <c r="O546" s="18" t="str" cm="1">
        <f t="array" ref="O546">IF($M546="","",IFERROR(INDEX(tblLotBalance[Lot Number],MATCH(1,INDEX((tblLotBalance[Item Name]=$A546)*(tblLotBalance[Expiry Date]=$M546)*(tblLotBalance[Lot Balance]&gt;0),0),0)),""))</f>
        <v/>
      </c>
      <c r="P546" s="28" t="str">
        <f>IF($A546="","",IF($I546&lt;0,"NEGATIVE",IF(NOT(ISNUMBER($F546)),"Set threshold",IF($I546&lt;=0,"OUT OF STOCK",IF($I546&lt;=$F546,"LOW",IF($I546&lt;=$F546*Settings!$C$7,"WATCH","OK"))))))</f>
        <v/>
      </c>
      <c r="Q546" s="29" t="str">
        <f>IF($A546="","",IF($P546="NEGATIVE","Issued more than received - add the missing receipt",IF($P546="OUT OF STOCK","Reorder immediately",IF($P546="LOW","Raise purchase order",IF($P546="Set threshold","Enter Critical Low in Items",IF(AND($N546&lt;&gt;"",$N546&lt;=0),"Quarantine expired lot",IF(AND($N546&lt;&gt;"",$N546&lt;=Settings!$C$6),"Use or rotate stock now","")))))))</f>
        <v/>
      </c>
    </row>
    <row r="547" spans="1:17" x14ac:dyDescent="0.35">
      <c r="A547" s="18" t="str">
        <f>IF(Items!$A544="","",Items!$A544)</f>
        <v/>
      </c>
      <c r="B547" s="18" t="str">
        <f>IF($A547="","",Items!$B544)</f>
        <v/>
      </c>
      <c r="C547" s="19" t="str">
        <f>IF($A547="","",Items!$G544)</f>
        <v/>
      </c>
      <c r="D547" s="20" t="str">
        <f>IF($A547="","",N(Items!$D544))</f>
        <v/>
      </c>
      <c r="E547" s="23" t="str">
        <f>IF($A547="","",Items!$E544)</f>
        <v/>
      </c>
      <c r="F547" s="23" t="str">
        <f>IF($A547="","",Items!$F544)</f>
        <v/>
      </c>
      <c r="G547" s="26" t="str">
        <f>IF($A547="","",SUMIFS(tblReceipts[Qty Received],tblReceipts[Item Name],$A547))</f>
        <v/>
      </c>
      <c r="H547" s="26" t="str">
        <f>IF($A547="","",SUMIFS(tblIssues[Qty Issued],tblIssues[Item Name],$A547))</f>
        <v/>
      </c>
      <c r="I547" s="27" t="str">
        <f t="shared" si="24"/>
        <v/>
      </c>
      <c r="J547" s="21" t="str">
        <f t="shared" si="25"/>
        <v/>
      </c>
      <c r="K547" s="26" t="str">
        <f>IF($A547="","",COUNTIFS(tblReceipts[Item Name],$A547))</f>
        <v/>
      </c>
      <c r="L547" s="26" t="str">
        <f>IF($A547="","",COUNTIFS(tblLotBalance[Item Name],$A547,tblLotBalance[Lot Balance],"&gt;0"))</f>
        <v/>
      </c>
      <c r="M547" s="24" t="str">
        <f>IF($A547="","",IF($L547=0,"",IFERROR(_xlfn.MINIFS(tblLotBalance[Expiry Date],tblLotBalance[Item Name],$A547,tblLotBalance[Lot Balance],"&gt;0"),"")))</f>
        <v/>
      </c>
      <c r="N547" s="26" t="str">
        <f t="shared" ca="1" si="26"/>
        <v/>
      </c>
      <c r="O547" s="18" t="str" cm="1">
        <f t="array" ref="O547">IF($M547="","",IFERROR(INDEX(tblLotBalance[Lot Number],MATCH(1,INDEX((tblLotBalance[Item Name]=$A547)*(tblLotBalance[Expiry Date]=$M547)*(tblLotBalance[Lot Balance]&gt;0),0),0)),""))</f>
        <v/>
      </c>
      <c r="P547" s="28" t="str">
        <f>IF($A547="","",IF($I547&lt;0,"NEGATIVE",IF(NOT(ISNUMBER($F547)),"Set threshold",IF($I547&lt;=0,"OUT OF STOCK",IF($I547&lt;=$F547,"LOW",IF($I547&lt;=$F547*Settings!$C$7,"WATCH","OK"))))))</f>
        <v/>
      </c>
      <c r="Q547" s="29" t="str">
        <f>IF($A547="","",IF($P547="NEGATIVE","Issued more than received - add the missing receipt",IF($P547="OUT OF STOCK","Reorder immediately",IF($P547="LOW","Raise purchase order",IF($P547="Set threshold","Enter Critical Low in Items",IF(AND($N547&lt;&gt;"",$N547&lt;=0),"Quarantine expired lot",IF(AND($N547&lt;&gt;"",$N547&lt;=Settings!$C$6),"Use or rotate stock now","")))))))</f>
        <v/>
      </c>
    </row>
    <row r="548" spans="1:17" x14ac:dyDescent="0.35">
      <c r="A548" s="18" t="str">
        <f>IF(Items!$A545="","",Items!$A545)</f>
        <v/>
      </c>
      <c r="B548" s="18" t="str">
        <f>IF($A548="","",Items!$B545)</f>
        <v/>
      </c>
      <c r="C548" s="19" t="str">
        <f>IF($A548="","",Items!$G545)</f>
        <v/>
      </c>
      <c r="D548" s="20" t="str">
        <f>IF($A548="","",N(Items!$D545))</f>
        <v/>
      </c>
      <c r="E548" s="23" t="str">
        <f>IF($A548="","",Items!$E545)</f>
        <v/>
      </c>
      <c r="F548" s="23" t="str">
        <f>IF($A548="","",Items!$F545)</f>
        <v/>
      </c>
      <c r="G548" s="26" t="str">
        <f>IF($A548="","",SUMIFS(tblReceipts[Qty Received],tblReceipts[Item Name],$A548))</f>
        <v/>
      </c>
      <c r="H548" s="26" t="str">
        <f>IF($A548="","",SUMIFS(tblIssues[Qty Issued],tblIssues[Item Name],$A548))</f>
        <v/>
      </c>
      <c r="I548" s="27" t="str">
        <f t="shared" si="24"/>
        <v/>
      </c>
      <c r="J548" s="21" t="str">
        <f t="shared" si="25"/>
        <v/>
      </c>
      <c r="K548" s="26" t="str">
        <f>IF($A548="","",COUNTIFS(tblReceipts[Item Name],$A548))</f>
        <v/>
      </c>
      <c r="L548" s="26" t="str">
        <f>IF($A548="","",COUNTIFS(tblLotBalance[Item Name],$A548,tblLotBalance[Lot Balance],"&gt;0"))</f>
        <v/>
      </c>
      <c r="M548" s="24" t="str">
        <f>IF($A548="","",IF($L548=0,"",IFERROR(_xlfn.MINIFS(tblLotBalance[Expiry Date],tblLotBalance[Item Name],$A548,tblLotBalance[Lot Balance],"&gt;0"),"")))</f>
        <v/>
      </c>
      <c r="N548" s="26" t="str">
        <f t="shared" ca="1" si="26"/>
        <v/>
      </c>
      <c r="O548" s="18" t="str" cm="1">
        <f t="array" ref="O548">IF($M548="","",IFERROR(INDEX(tblLotBalance[Lot Number],MATCH(1,INDEX((tblLotBalance[Item Name]=$A548)*(tblLotBalance[Expiry Date]=$M548)*(tblLotBalance[Lot Balance]&gt;0),0),0)),""))</f>
        <v/>
      </c>
      <c r="P548" s="28" t="str">
        <f>IF($A548="","",IF($I548&lt;0,"NEGATIVE",IF(NOT(ISNUMBER($F548)),"Set threshold",IF($I548&lt;=0,"OUT OF STOCK",IF($I548&lt;=$F548,"LOW",IF($I548&lt;=$F548*Settings!$C$7,"WATCH","OK"))))))</f>
        <v/>
      </c>
      <c r="Q548" s="29" t="str">
        <f>IF($A548="","",IF($P548="NEGATIVE","Issued more than received - add the missing receipt",IF($P548="OUT OF STOCK","Reorder immediately",IF($P548="LOW","Raise purchase order",IF($P548="Set threshold","Enter Critical Low in Items",IF(AND($N548&lt;&gt;"",$N548&lt;=0),"Quarantine expired lot",IF(AND($N548&lt;&gt;"",$N548&lt;=Settings!$C$6),"Use or rotate stock now","")))))))</f>
        <v/>
      </c>
    </row>
    <row r="549" spans="1:17" x14ac:dyDescent="0.35">
      <c r="A549" s="18" t="str">
        <f>IF(Items!$A546="","",Items!$A546)</f>
        <v/>
      </c>
      <c r="B549" s="18" t="str">
        <f>IF($A549="","",Items!$B546)</f>
        <v/>
      </c>
      <c r="C549" s="19" t="str">
        <f>IF($A549="","",Items!$G546)</f>
        <v/>
      </c>
      <c r="D549" s="20" t="str">
        <f>IF($A549="","",N(Items!$D546))</f>
        <v/>
      </c>
      <c r="E549" s="23" t="str">
        <f>IF($A549="","",Items!$E546)</f>
        <v/>
      </c>
      <c r="F549" s="23" t="str">
        <f>IF($A549="","",Items!$F546)</f>
        <v/>
      </c>
      <c r="G549" s="26" t="str">
        <f>IF($A549="","",SUMIFS(tblReceipts[Qty Received],tblReceipts[Item Name],$A549))</f>
        <v/>
      </c>
      <c r="H549" s="26" t="str">
        <f>IF($A549="","",SUMIFS(tblIssues[Qty Issued],tblIssues[Item Name],$A549))</f>
        <v/>
      </c>
      <c r="I549" s="27" t="str">
        <f t="shared" si="24"/>
        <v/>
      </c>
      <c r="J549" s="21" t="str">
        <f t="shared" si="25"/>
        <v/>
      </c>
      <c r="K549" s="26" t="str">
        <f>IF($A549="","",COUNTIFS(tblReceipts[Item Name],$A549))</f>
        <v/>
      </c>
      <c r="L549" s="26" t="str">
        <f>IF($A549="","",COUNTIFS(tblLotBalance[Item Name],$A549,tblLotBalance[Lot Balance],"&gt;0"))</f>
        <v/>
      </c>
      <c r="M549" s="24" t="str">
        <f>IF($A549="","",IF($L549=0,"",IFERROR(_xlfn.MINIFS(tblLotBalance[Expiry Date],tblLotBalance[Item Name],$A549,tblLotBalance[Lot Balance],"&gt;0"),"")))</f>
        <v/>
      </c>
      <c r="N549" s="26" t="str">
        <f t="shared" ca="1" si="26"/>
        <v/>
      </c>
      <c r="O549" s="18" t="str" cm="1">
        <f t="array" ref="O549">IF($M549="","",IFERROR(INDEX(tblLotBalance[Lot Number],MATCH(1,INDEX((tblLotBalance[Item Name]=$A549)*(tblLotBalance[Expiry Date]=$M549)*(tblLotBalance[Lot Balance]&gt;0),0),0)),""))</f>
        <v/>
      </c>
      <c r="P549" s="28" t="str">
        <f>IF($A549="","",IF($I549&lt;0,"NEGATIVE",IF(NOT(ISNUMBER($F549)),"Set threshold",IF($I549&lt;=0,"OUT OF STOCK",IF($I549&lt;=$F549,"LOW",IF($I549&lt;=$F549*Settings!$C$7,"WATCH","OK"))))))</f>
        <v/>
      </c>
      <c r="Q549" s="29" t="str">
        <f>IF($A549="","",IF($P549="NEGATIVE","Issued more than received - add the missing receipt",IF($P549="OUT OF STOCK","Reorder immediately",IF($P549="LOW","Raise purchase order",IF($P549="Set threshold","Enter Critical Low in Items",IF(AND($N549&lt;&gt;"",$N549&lt;=0),"Quarantine expired lot",IF(AND($N549&lt;&gt;"",$N549&lt;=Settings!$C$6),"Use or rotate stock now","")))))))</f>
        <v/>
      </c>
    </row>
    <row r="550" spans="1:17" x14ac:dyDescent="0.35">
      <c r="A550" s="18" t="str">
        <f>IF(Items!$A547="","",Items!$A547)</f>
        <v/>
      </c>
      <c r="B550" s="18" t="str">
        <f>IF($A550="","",Items!$B547)</f>
        <v/>
      </c>
      <c r="C550" s="19" t="str">
        <f>IF($A550="","",Items!$G547)</f>
        <v/>
      </c>
      <c r="D550" s="20" t="str">
        <f>IF($A550="","",N(Items!$D547))</f>
        <v/>
      </c>
      <c r="E550" s="23" t="str">
        <f>IF($A550="","",Items!$E547)</f>
        <v/>
      </c>
      <c r="F550" s="23" t="str">
        <f>IF($A550="","",Items!$F547)</f>
        <v/>
      </c>
      <c r="G550" s="26" t="str">
        <f>IF($A550="","",SUMIFS(tblReceipts[Qty Received],tblReceipts[Item Name],$A550))</f>
        <v/>
      </c>
      <c r="H550" s="26" t="str">
        <f>IF($A550="","",SUMIFS(tblIssues[Qty Issued],tblIssues[Item Name],$A550))</f>
        <v/>
      </c>
      <c r="I550" s="27" t="str">
        <f t="shared" si="24"/>
        <v/>
      </c>
      <c r="J550" s="21" t="str">
        <f t="shared" si="25"/>
        <v/>
      </c>
      <c r="K550" s="26" t="str">
        <f>IF($A550="","",COUNTIFS(tblReceipts[Item Name],$A550))</f>
        <v/>
      </c>
      <c r="L550" s="26" t="str">
        <f>IF($A550="","",COUNTIFS(tblLotBalance[Item Name],$A550,tblLotBalance[Lot Balance],"&gt;0"))</f>
        <v/>
      </c>
      <c r="M550" s="24" t="str">
        <f>IF($A550="","",IF($L550=0,"",IFERROR(_xlfn.MINIFS(tblLotBalance[Expiry Date],tblLotBalance[Item Name],$A550,tblLotBalance[Lot Balance],"&gt;0"),"")))</f>
        <v/>
      </c>
      <c r="N550" s="26" t="str">
        <f t="shared" ca="1" si="26"/>
        <v/>
      </c>
      <c r="O550" s="18" t="str" cm="1">
        <f t="array" ref="O550">IF($M550="","",IFERROR(INDEX(tblLotBalance[Lot Number],MATCH(1,INDEX((tblLotBalance[Item Name]=$A550)*(tblLotBalance[Expiry Date]=$M550)*(tblLotBalance[Lot Balance]&gt;0),0),0)),""))</f>
        <v/>
      </c>
      <c r="P550" s="28" t="str">
        <f>IF($A550="","",IF($I550&lt;0,"NEGATIVE",IF(NOT(ISNUMBER($F550)),"Set threshold",IF($I550&lt;=0,"OUT OF STOCK",IF($I550&lt;=$F550,"LOW",IF($I550&lt;=$F550*Settings!$C$7,"WATCH","OK"))))))</f>
        <v/>
      </c>
      <c r="Q550" s="29" t="str">
        <f>IF($A550="","",IF($P550="NEGATIVE","Issued more than received - add the missing receipt",IF($P550="OUT OF STOCK","Reorder immediately",IF($P550="LOW","Raise purchase order",IF($P550="Set threshold","Enter Critical Low in Items",IF(AND($N550&lt;&gt;"",$N550&lt;=0),"Quarantine expired lot",IF(AND($N550&lt;&gt;"",$N550&lt;=Settings!$C$6),"Use or rotate stock now","")))))))</f>
        <v/>
      </c>
    </row>
    <row r="551" spans="1:17" x14ac:dyDescent="0.35">
      <c r="A551" s="18" t="str">
        <f>IF(Items!$A548="","",Items!$A548)</f>
        <v/>
      </c>
      <c r="B551" s="18" t="str">
        <f>IF($A551="","",Items!$B548)</f>
        <v/>
      </c>
      <c r="C551" s="19" t="str">
        <f>IF($A551="","",Items!$G548)</f>
        <v/>
      </c>
      <c r="D551" s="20" t="str">
        <f>IF($A551="","",N(Items!$D548))</f>
        <v/>
      </c>
      <c r="E551" s="23" t="str">
        <f>IF($A551="","",Items!$E548)</f>
        <v/>
      </c>
      <c r="F551" s="23" t="str">
        <f>IF($A551="","",Items!$F548)</f>
        <v/>
      </c>
      <c r="G551" s="26" t="str">
        <f>IF($A551="","",SUMIFS(tblReceipts[Qty Received],tblReceipts[Item Name],$A551))</f>
        <v/>
      </c>
      <c r="H551" s="26" t="str">
        <f>IF($A551="","",SUMIFS(tblIssues[Qty Issued],tblIssues[Item Name],$A551))</f>
        <v/>
      </c>
      <c r="I551" s="27" t="str">
        <f t="shared" si="24"/>
        <v/>
      </c>
      <c r="J551" s="21" t="str">
        <f t="shared" si="25"/>
        <v/>
      </c>
      <c r="K551" s="26" t="str">
        <f>IF($A551="","",COUNTIFS(tblReceipts[Item Name],$A551))</f>
        <v/>
      </c>
      <c r="L551" s="26" t="str">
        <f>IF($A551="","",COUNTIFS(tblLotBalance[Item Name],$A551,tblLotBalance[Lot Balance],"&gt;0"))</f>
        <v/>
      </c>
      <c r="M551" s="24" t="str">
        <f>IF($A551="","",IF($L551=0,"",IFERROR(_xlfn.MINIFS(tblLotBalance[Expiry Date],tblLotBalance[Item Name],$A551,tblLotBalance[Lot Balance],"&gt;0"),"")))</f>
        <v/>
      </c>
      <c r="N551" s="26" t="str">
        <f t="shared" ca="1" si="26"/>
        <v/>
      </c>
      <c r="O551" s="18" t="str" cm="1">
        <f t="array" ref="O551">IF($M551="","",IFERROR(INDEX(tblLotBalance[Lot Number],MATCH(1,INDEX((tblLotBalance[Item Name]=$A551)*(tblLotBalance[Expiry Date]=$M551)*(tblLotBalance[Lot Balance]&gt;0),0),0)),""))</f>
        <v/>
      </c>
      <c r="P551" s="28" t="str">
        <f>IF($A551="","",IF($I551&lt;0,"NEGATIVE",IF(NOT(ISNUMBER($F551)),"Set threshold",IF($I551&lt;=0,"OUT OF STOCK",IF($I551&lt;=$F551,"LOW",IF($I551&lt;=$F551*Settings!$C$7,"WATCH","OK"))))))</f>
        <v/>
      </c>
      <c r="Q551" s="29" t="str">
        <f>IF($A551="","",IF($P551="NEGATIVE","Issued more than received - add the missing receipt",IF($P551="OUT OF STOCK","Reorder immediately",IF($P551="LOW","Raise purchase order",IF($P551="Set threshold","Enter Critical Low in Items",IF(AND($N551&lt;&gt;"",$N551&lt;=0),"Quarantine expired lot",IF(AND($N551&lt;&gt;"",$N551&lt;=Settings!$C$6),"Use or rotate stock now","")))))))</f>
        <v/>
      </c>
    </row>
    <row r="552" spans="1:17" x14ac:dyDescent="0.35">
      <c r="A552" s="18" t="str">
        <f>IF(Items!$A549="","",Items!$A549)</f>
        <v/>
      </c>
      <c r="B552" s="18" t="str">
        <f>IF($A552="","",Items!$B549)</f>
        <v/>
      </c>
      <c r="C552" s="19" t="str">
        <f>IF($A552="","",Items!$G549)</f>
        <v/>
      </c>
      <c r="D552" s="20" t="str">
        <f>IF($A552="","",N(Items!$D549))</f>
        <v/>
      </c>
      <c r="E552" s="23" t="str">
        <f>IF($A552="","",Items!$E549)</f>
        <v/>
      </c>
      <c r="F552" s="23" t="str">
        <f>IF($A552="","",Items!$F549)</f>
        <v/>
      </c>
      <c r="G552" s="26" t="str">
        <f>IF($A552="","",SUMIFS(tblReceipts[Qty Received],tblReceipts[Item Name],$A552))</f>
        <v/>
      </c>
      <c r="H552" s="26" t="str">
        <f>IF($A552="","",SUMIFS(tblIssues[Qty Issued],tblIssues[Item Name],$A552))</f>
        <v/>
      </c>
      <c r="I552" s="27" t="str">
        <f t="shared" si="24"/>
        <v/>
      </c>
      <c r="J552" s="21" t="str">
        <f t="shared" si="25"/>
        <v/>
      </c>
      <c r="K552" s="26" t="str">
        <f>IF($A552="","",COUNTIFS(tblReceipts[Item Name],$A552))</f>
        <v/>
      </c>
      <c r="L552" s="26" t="str">
        <f>IF($A552="","",COUNTIFS(tblLotBalance[Item Name],$A552,tblLotBalance[Lot Balance],"&gt;0"))</f>
        <v/>
      </c>
      <c r="M552" s="24" t="str">
        <f>IF($A552="","",IF($L552=0,"",IFERROR(_xlfn.MINIFS(tblLotBalance[Expiry Date],tblLotBalance[Item Name],$A552,tblLotBalance[Lot Balance],"&gt;0"),"")))</f>
        <v/>
      </c>
      <c r="N552" s="26" t="str">
        <f t="shared" ca="1" si="26"/>
        <v/>
      </c>
      <c r="O552" s="18" t="str" cm="1">
        <f t="array" ref="O552">IF($M552="","",IFERROR(INDEX(tblLotBalance[Lot Number],MATCH(1,INDEX((tblLotBalance[Item Name]=$A552)*(tblLotBalance[Expiry Date]=$M552)*(tblLotBalance[Lot Balance]&gt;0),0),0)),""))</f>
        <v/>
      </c>
      <c r="P552" s="28" t="str">
        <f>IF($A552="","",IF($I552&lt;0,"NEGATIVE",IF(NOT(ISNUMBER($F552)),"Set threshold",IF($I552&lt;=0,"OUT OF STOCK",IF($I552&lt;=$F552,"LOW",IF($I552&lt;=$F552*Settings!$C$7,"WATCH","OK"))))))</f>
        <v/>
      </c>
      <c r="Q552" s="29" t="str">
        <f>IF($A552="","",IF($P552="NEGATIVE","Issued more than received - add the missing receipt",IF($P552="OUT OF STOCK","Reorder immediately",IF($P552="LOW","Raise purchase order",IF($P552="Set threshold","Enter Critical Low in Items",IF(AND($N552&lt;&gt;"",$N552&lt;=0),"Quarantine expired lot",IF(AND($N552&lt;&gt;"",$N552&lt;=Settings!$C$6),"Use or rotate stock now","")))))))</f>
        <v/>
      </c>
    </row>
    <row r="553" spans="1:17" x14ac:dyDescent="0.35">
      <c r="A553" s="18" t="str">
        <f>IF(Items!$A550="","",Items!$A550)</f>
        <v/>
      </c>
      <c r="B553" s="18" t="str">
        <f>IF($A553="","",Items!$B550)</f>
        <v/>
      </c>
      <c r="C553" s="19" t="str">
        <f>IF($A553="","",Items!$G550)</f>
        <v/>
      </c>
      <c r="D553" s="20" t="str">
        <f>IF($A553="","",N(Items!$D550))</f>
        <v/>
      </c>
      <c r="E553" s="23" t="str">
        <f>IF($A553="","",Items!$E550)</f>
        <v/>
      </c>
      <c r="F553" s="23" t="str">
        <f>IF($A553="","",Items!$F550)</f>
        <v/>
      </c>
      <c r="G553" s="26" t="str">
        <f>IF($A553="","",SUMIFS(tblReceipts[Qty Received],tblReceipts[Item Name],$A553))</f>
        <v/>
      </c>
      <c r="H553" s="26" t="str">
        <f>IF($A553="","",SUMIFS(tblIssues[Qty Issued],tblIssues[Item Name],$A553))</f>
        <v/>
      </c>
      <c r="I553" s="27" t="str">
        <f t="shared" si="24"/>
        <v/>
      </c>
      <c r="J553" s="21" t="str">
        <f t="shared" si="25"/>
        <v/>
      </c>
      <c r="K553" s="26" t="str">
        <f>IF($A553="","",COUNTIFS(tblReceipts[Item Name],$A553))</f>
        <v/>
      </c>
      <c r="L553" s="26" t="str">
        <f>IF($A553="","",COUNTIFS(tblLotBalance[Item Name],$A553,tblLotBalance[Lot Balance],"&gt;0"))</f>
        <v/>
      </c>
      <c r="M553" s="24" t="str">
        <f>IF($A553="","",IF($L553=0,"",IFERROR(_xlfn.MINIFS(tblLotBalance[Expiry Date],tblLotBalance[Item Name],$A553,tblLotBalance[Lot Balance],"&gt;0"),"")))</f>
        <v/>
      </c>
      <c r="N553" s="26" t="str">
        <f t="shared" ca="1" si="26"/>
        <v/>
      </c>
      <c r="O553" s="18" t="str" cm="1">
        <f t="array" ref="O553">IF($M553="","",IFERROR(INDEX(tblLotBalance[Lot Number],MATCH(1,INDEX((tblLotBalance[Item Name]=$A553)*(tblLotBalance[Expiry Date]=$M553)*(tblLotBalance[Lot Balance]&gt;0),0),0)),""))</f>
        <v/>
      </c>
      <c r="P553" s="28" t="str">
        <f>IF($A553="","",IF($I553&lt;0,"NEGATIVE",IF(NOT(ISNUMBER($F553)),"Set threshold",IF($I553&lt;=0,"OUT OF STOCK",IF($I553&lt;=$F553,"LOW",IF($I553&lt;=$F553*Settings!$C$7,"WATCH","OK"))))))</f>
        <v/>
      </c>
      <c r="Q553" s="29" t="str">
        <f>IF($A553="","",IF($P553="NEGATIVE","Issued more than received - add the missing receipt",IF($P553="OUT OF STOCK","Reorder immediately",IF($P553="LOW","Raise purchase order",IF($P553="Set threshold","Enter Critical Low in Items",IF(AND($N553&lt;&gt;"",$N553&lt;=0),"Quarantine expired lot",IF(AND($N553&lt;&gt;"",$N553&lt;=Settings!$C$6),"Use or rotate stock now","")))))))</f>
        <v/>
      </c>
    </row>
    <row r="554" spans="1:17" x14ac:dyDescent="0.35">
      <c r="A554" s="18" t="str">
        <f>IF(Items!$A551="","",Items!$A551)</f>
        <v/>
      </c>
      <c r="B554" s="18" t="str">
        <f>IF($A554="","",Items!$B551)</f>
        <v/>
      </c>
      <c r="C554" s="19" t="str">
        <f>IF($A554="","",Items!$G551)</f>
        <v/>
      </c>
      <c r="D554" s="20" t="str">
        <f>IF($A554="","",N(Items!$D551))</f>
        <v/>
      </c>
      <c r="E554" s="23" t="str">
        <f>IF($A554="","",Items!$E551)</f>
        <v/>
      </c>
      <c r="F554" s="23" t="str">
        <f>IF($A554="","",Items!$F551)</f>
        <v/>
      </c>
      <c r="G554" s="26" t="str">
        <f>IF($A554="","",SUMIFS(tblReceipts[Qty Received],tblReceipts[Item Name],$A554))</f>
        <v/>
      </c>
      <c r="H554" s="26" t="str">
        <f>IF($A554="","",SUMIFS(tblIssues[Qty Issued],tblIssues[Item Name],$A554))</f>
        <v/>
      </c>
      <c r="I554" s="27" t="str">
        <f t="shared" si="24"/>
        <v/>
      </c>
      <c r="J554" s="21" t="str">
        <f t="shared" si="25"/>
        <v/>
      </c>
      <c r="K554" s="26" t="str">
        <f>IF($A554="","",COUNTIFS(tblReceipts[Item Name],$A554))</f>
        <v/>
      </c>
      <c r="L554" s="26" t="str">
        <f>IF($A554="","",COUNTIFS(tblLotBalance[Item Name],$A554,tblLotBalance[Lot Balance],"&gt;0"))</f>
        <v/>
      </c>
      <c r="M554" s="24" t="str">
        <f>IF($A554="","",IF($L554=0,"",IFERROR(_xlfn.MINIFS(tblLotBalance[Expiry Date],tblLotBalance[Item Name],$A554,tblLotBalance[Lot Balance],"&gt;0"),"")))</f>
        <v/>
      </c>
      <c r="N554" s="26" t="str">
        <f t="shared" ca="1" si="26"/>
        <v/>
      </c>
      <c r="O554" s="18" t="str" cm="1">
        <f t="array" ref="O554">IF($M554="","",IFERROR(INDEX(tblLotBalance[Lot Number],MATCH(1,INDEX((tblLotBalance[Item Name]=$A554)*(tblLotBalance[Expiry Date]=$M554)*(tblLotBalance[Lot Balance]&gt;0),0),0)),""))</f>
        <v/>
      </c>
      <c r="P554" s="28" t="str">
        <f>IF($A554="","",IF($I554&lt;0,"NEGATIVE",IF(NOT(ISNUMBER($F554)),"Set threshold",IF($I554&lt;=0,"OUT OF STOCK",IF($I554&lt;=$F554,"LOW",IF($I554&lt;=$F554*Settings!$C$7,"WATCH","OK"))))))</f>
        <v/>
      </c>
      <c r="Q554" s="29" t="str">
        <f>IF($A554="","",IF($P554="NEGATIVE","Issued more than received - add the missing receipt",IF($P554="OUT OF STOCK","Reorder immediately",IF($P554="LOW","Raise purchase order",IF($P554="Set threshold","Enter Critical Low in Items",IF(AND($N554&lt;&gt;"",$N554&lt;=0),"Quarantine expired lot",IF(AND($N554&lt;&gt;"",$N554&lt;=Settings!$C$6),"Use or rotate stock now","")))))))</f>
        <v/>
      </c>
    </row>
    <row r="555" spans="1:17" x14ac:dyDescent="0.35">
      <c r="A555" s="18" t="str">
        <f>IF(Items!$A552="","",Items!$A552)</f>
        <v/>
      </c>
      <c r="B555" s="18" t="str">
        <f>IF($A555="","",Items!$B552)</f>
        <v/>
      </c>
      <c r="C555" s="19" t="str">
        <f>IF($A555="","",Items!$G552)</f>
        <v/>
      </c>
      <c r="D555" s="20" t="str">
        <f>IF($A555="","",N(Items!$D552))</f>
        <v/>
      </c>
      <c r="E555" s="23" t="str">
        <f>IF($A555="","",Items!$E552)</f>
        <v/>
      </c>
      <c r="F555" s="23" t="str">
        <f>IF($A555="","",Items!$F552)</f>
        <v/>
      </c>
      <c r="G555" s="26" t="str">
        <f>IF($A555="","",SUMIFS(tblReceipts[Qty Received],tblReceipts[Item Name],$A555))</f>
        <v/>
      </c>
      <c r="H555" s="26" t="str">
        <f>IF($A555="","",SUMIFS(tblIssues[Qty Issued],tblIssues[Item Name],$A555))</f>
        <v/>
      </c>
      <c r="I555" s="27" t="str">
        <f t="shared" si="24"/>
        <v/>
      </c>
      <c r="J555" s="21" t="str">
        <f t="shared" si="25"/>
        <v/>
      </c>
      <c r="K555" s="26" t="str">
        <f>IF($A555="","",COUNTIFS(tblReceipts[Item Name],$A555))</f>
        <v/>
      </c>
      <c r="L555" s="26" t="str">
        <f>IF($A555="","",COUNTIFS(tblLotBalance[Item Name],$A555,tblLotBalance[Lot Balance],"&gt;0"))</f>
        <v/>
      </c>
      <c r="M555" s="24" t="str">
        <f>IF($A555="","",IF($L555=0,"",IFERROR(_xlfn.MINIFS(tblLotBalance[Expiry Date],tblLotBalance[Item Name],$A555,tblLotBalance[Lot Balance],"&gt;0"),"")))</f>
        <v/>
      </c>
      <c r="N555" s="26" t="str">
        <f t="shared" ca="1" si="26"/>
        <v/>
      </c>
      <c r="O555" s="18" t="str" cm="1">
        <f t="array" ref="O555">IF($M555="","",IFERROR(INDEX(tblLotBalance[Lot Number],MATCH(1,INDEX((tblLotBalance[Item Name]=$A555)*(tblLotBalance[Expiry Date]=$M555)*(tblLotBalance[Lot Balance]&gt;0),0),0)),""))</f>
        <v/>
      </c>
      <c r="P555" s="28" t="str">
        <f>IF($A555="","",IF($I555&lt;0,"NEGATIVE",IF(NOT(ISNUMBER($F555)),"Set threshold",IF($I555&lt;=0,"OUT OF STOCK",IF($I555&lt;=$F555,"LOW",IF($I555&lt;=$F555*Settings!$C$7,"WATCH","OK"))))))</f>
        <v/>
      </c>
      <c r="Q555" s="29" t="str">
        <f>IF($A555="","",IF($P555="NEGATIVE","Issued more than received - add the missing receipt",IF($P555="OUT OF STOCK","Reorder immediately",IF($P555="LOW","Raise purchase order",IF($P555="Set threshold","Enter Critical Low in Items",IF(AND($N555&lt;&gt;"",$N555&lt;=0),"Quarantine expired lot",IF(AND($N555&lt;&gt;"",$N555&lt;=Settings!$C$6),"Use or rotate stock now","")))))))</f>
        <v/>
      </c>
    </row>
    <row r="556" spans="1:17" x14ac:dyDescent="0.35">
      <c r="A556" s="18" t="str">
        <f>IF(Items!$A553="","",Items!$A553)</f>
        <v/>
      </c>
      <c r="B556" s="18" t="str">
        <f>IF($A556="","",Items!$B553)</f>
        <v/>
      </c>
      <c r="C556" s="19" t="str">
        <f>IF($A556="","",Items!$G553)</f>
        <v/>
      </c>
      <c r="D556" s="20" t="str">
        <f>IF($A556="","",N(Items!$D553))</f>
        <v/>
      </c>
      <c r="E556" s="23" t="str">
        <f>IF($A556="","",Items!$E553)</f>
        <v/>
      </c>
      <c r="F556" s="23" t="str">
        <f>IF($A556="","",Items!$F553)</f>
        <v/>
      </c>
      <c r="G556" s="26" t="str">
        <f>IF($A556="","",SUMIFS(tblReceipts[Qty Received],tblReceipts[Item Name],$A556))</f>
        <v/>
      </c>
      <c r="H556" s="26" t="str">
        <f>IF($A556="","",SUMIFS(tblIssues[Qty Issued],tblIssues[Item Name],$A556))</f>
        <v/>
      </c>
      <c r="I556" s="27" t="str">
        <f t="shared" si="24"/>
        <v/>
      </c>
      <c r="J556" s="21" t="str">
        <f t="shared" si="25"/>
        <v/>
      </c>
      <c r="K556" s="26" t="str">
        <f>IF($A556="","",COUNTIFS(tblReceipts[Item Name],$A556))</f>
        <v/>
      </c>
      <c r="L556" s="26" t="str">
        <f>IF($A556="","",COUNTIFS(tblLotBalance[Item Name],$A556,tblLotBalance[Lot Balance],"&gt;0"))</f>
        <v/>
      </c>
      <c r="M556" s="24" t="str">
        <f>IF($A556="","",IF($L556=0,"",IFERROR(_xlfn.MINIFS(tblLotBalance[Expiry Date],tblLotBalance[Item Name],$A556,tblLotBalance[Lot Balance],"&gt;0"),"")))</f>
        <v/>
      </c>
      <c r="N556" s="26" t="str">
        <f t="shared" ca="1" si="26"/>
        <v/>
      </c>
      <c r="O556" s="18" t="str" cm="1">
        <f t="array" ref="O556">IF($M556="","",IFERROR(INDEX(tblLotBalance[Lot Number],MATCH(1,INDEX((tblLotBalance[Item Name]=$A556)*(tblLotBalance[Expiry Date]=$M556)*(tblLotBalance[Lot Balance]&gt;0),0),0)),""))</f>
        <v/>
      </c>
      <c r="P556" s="28" t="str">
        <f>IF($A556="","",IF($I556&lt;0,"NEGATIVE",IF(NOT(ISNUMBER($F556)),"Set threshold",IF($I556&lt;=0,"OUT OF STOCK",IF($I556&lt;=$F556,"LOW",IF($I556&lt;=$F556*Settings!$C$7,"WATCH","OK"))))))</f>
        <v/>
      </c>
      <c r="Q556" s="29" t="str">
        <f>IF($A556="","",IF($P556="NEGATIVE","Issued more than received - add the missing receipt",IF($P556="OUT OF STOCK","Reorder immediately",IF($P556="LOW","Raise purchase order",IF($P556="Set threshold","Enter Critical Low in Items",IF(AND($N556&lt;&gt;"",$N556&lt;=0),"Quarantine expired lot",IF(AND($N556&lt;&gt;"",$N556&lt;=Settings!$C$6),"Use or rotate stock now","")))))))</f>
        <v/>
      </c>
    </row>
    <row r="557" spans="1:17" x14ac:dyDescent="0.35">
      <c r="A557" s="18" t="str">
        <f>IF(Items!$A554="","",Items!$A554)</f>
        <v/>
      </c>
      <c r="B557" s="18" t="str">
        <f>IF($A557="","",Items!$B554)</f>
        <v/>
      </c>
      <c r="C557" s="19" t="str">
        <f>IF($A557="","",Items!$G554)</f>
        <v/>
      </c>
      <c r="D557" s="20" t="str">
        <f>IF($A557="","",N(Items!$D554))</f>
        <v/>
      </c>
      <c r="E557" s="23" t="str">
        <f>IF($A557="","",Items!$E554)</f>
        <v/>
      </c>
      <c r="F557" s="23" t="str">
        <f>IF($A557="","",Items!$F554)</f>
        <v/>
      </c>
      <c r="G557" s="26" t="str">
        <f>IF($A557="","",SUMIFS(tblReceipts[Qty Received],tblReceipts[Item Name],$A557))</f>
        <v/>
      </c>
      <c r="H557" s="26" t="str">
        <f>IF($A557="","",SUMIFS(tblIssues[Qty Issued],tblIssues[Item Name],$A557))</f>
        <v/>
      </c>
      <c r="I557" s="27" t="str">
        <f t="shared" si="24"/>
        <v/>
      </c>
      <c r="J557" s="21" t="str">
        <f t="shared" si="25"/>
        <v/>
      </c>
      <c r="K557" s="26" t="str">
        <f>IF($A557="","",COUNTIFS(tblReceipts[Item Name],$A557))</f>
        <v/>
      </c>
      <c r="L557" s="26" t="str">
        <f>IF($A557="","",COUNTIFS(tblLotBalance[Item Name],$A557,tblLotBalance[Lot Balance],"&gt;0"))</f>
        <v/>
      </c>
      <c r="M557" s="24" t="str">
        <f>IF($A557="","",IF($L557=0,"",IFERROR(_xlfn.MINIFS(tblLotBalance[Expiry Date],tblLotBalance[Item Name],$A557,tblLotBalance[Lot Balance],"&gt;0"),"")))</f>
        <v/>
      </c>
      <c r="N557" s="26" t="str">
        <f t="shared" ca="1" si="26"/>
        <v/>
      </c>
      <c r="O557" s="18" t="str" cm="1">
        <f t="array" ref="O557">IF($M557="","",IFERROR(INDEX(tblLotBalance[Lot Number],MATCH(1,INDEX((tblLotBalance[Item Name]=$A557)*(tblLotBalance[Expiry Date]=$M557)*(tblLotBalance[Lot Balance]&gt;0),0),0)),""))</f>
        <v/>
      </c>
      <c r="P557" s="28" t="str">
        <f>IF($A557="","",IF($I557&lt;0,"NEGATIVE",IF(NOT(ISNUMBER($F557)),"Set threshold",IF($I557&lt;=0,"OUT OF STOCK",IF($I557&lt;=$F557,"LOW",IF($I557&lt;=$F557*Settings!$C$7,"WATCH","OK"))))))</f>
        <v/>
      </c>
      <c r="Q557" s="29" t="str">
        <f>IF($A557="","",IF($P557="NEGATIVE","Issued more than received - add the missing receipt",IF($P557="OUT OF STOCK","Reorder immediately",IF($P557="LOW","Raise purchase order",IF($P557="Set threshold","Enter Critical Low in Items",IF(AND($N557&lt;&gt;"",$N557&lt;=0),"Quarantine expired lot",IF(AND($N557&lt;&gt;"",$N557&lt;=Settings!$C$6),"Use or rotate stock now","")))))))</f>
        <v/>
      </c>
    </row>
    <row r="558" spans="1:17" x14ac:dyDescent="0.35">
      <c r="A558" s="18" t="str">
        <f>IF(Items!$A555="","",Items!$A555)</f>
        <v/>
      </c>
      <c r="B558" s="18" t="str">
        <f>IF($A558="","",Items!$B555)</f>
        <v/>
      </c>
      <c r="C558" s="19" t="str">
        <f>IF($A558="","",Items!$G555)</f>
        <v/>
      </c>
      <c r="D558" s="20" t="str">
        <f>IF($A558="","",N(Items!$D555))</f>
        <v/>
      </c>
      <c r="E558" s="23" t="str">
        <f>IF($A558="","",Items!$E555)</f>
        <v/>
      </c>
      <c r="F558" s="23" t="str">
        <f>IF($A558="","",Items!$F555)</f>
        <v/>
      </c>
      <c r="G558" s="26" t="str">
        <f>IF($A558="","",SUMIFS(tblReceipts[Qty Received],tblReceipts[Item Name],$A558))</f>
        <v/>
      </c>
      <c r="H558" s="26" t="str">
        <f>IF($A558="","",SUMIFS(tblIssues[Qty Issued],tblIssues[Item Name],$A558))</f>
        <v/>
      </c>
      <c r="I558" s="27" t="str">
        <f t="shared" si="24"/>
        <v/>
      </c>
      <c r="J558" s="21" t="str">
        <f t="shared" si="25"/>
        <v/>
      </c>
      <c r="K558" s="26" t="str">
        <f>IF($A558="","",COUNTIFS(tblReceipts[Item Name],$A558))</f>
        <v/>
      </c>
      <c r="L558" s="26" t="str">
        <f>IF($A558="","",COUNTIFS(tblLotBalance[Item Name],$A558,tblLotBalance[Lot Balance],"&gt;0"))</f>
        <v/>
      </c>
      <c r="M558" s="24" t="str">
        <f>IF($A558="","",IF($L558=0,"",IFERROR(_xlfn.MINIFS(tblLotBalance[Expiry Date],tblLotBalance[Item Name],$A558,tblLotBalance[Lot Balance],"&gt;0"),"")))</f>
        <v/>
      </c>
      <c r="N558" s="26" t="str">
        <f t="shared" ca="1" si="26"/>
        <v/>
      </c>
      <c r="O558" s="18" t="str" cm="1">
        <f t="array" ref="O558">IF($M558="","",IFERROR(INDEX(tblLotBalance[Lot Number],MATCH(1,INDEX((tblLotBalance[Item Name]=$A558)*(tblLotBalance[Expiry Date]=$M558)*(tblLotBalance[Lot Balance]&gt;0),0),0)),""))</f>
        <v/>
      </c>
      <c r="P558" s="28" t="str">
        <f>IF($A558="","",IF($I558&lt;0,"NEGATIVE",IF(NOT(ISNUMBER($F558)),"Set threshold",IF($I558&lt;=0,"OUT OF STOCK",IF($I558&lt;=$F558,"LOW",IF($I558&lt;=$F558*Settings!$C$7,"WATCH","OK"))))))</f>
        <v/>
      </c>
      <c r="Q558" s="29" t="str">
        <f>IF($A558="","",IF($P558="NEGATIVE","Issued more than received - add the missing receipt",IF($P558="OUT OF STOCK","Reorder immediately",IF($P558="LOW","Raise purchase order",IF($P558="Set threshold","Enter Critical Low in Items",IF(AND($N558&lt;&gt;"",$N558&lt;=0),"Quarantine expired lot",IF(AND($N558&lt;&gt;"",$N558&lt;=Settings!$C$6),"Use or rotate stock now","")))))))</f>
        <v/>
      </c>
    </row>
    <row r="559" spans="1:17" x14ac:dyDescent="0.35">
      <c r="A559" s="18" t="str">
        <f>IF(Items!$A556="","",Items!$A556)</f>
        <v/>
      </c>
      <c r="B559" s="18" t="str">
        <f>IF($A559="","",Items!$B556)</f>
        <v/>
      </c>
      <c r="C559" s="19" t="str">
        <f>IF($A559="","",Items!$G556)</f>
        <v/>
      </c>
      <c r="D559" s="20" t="str">
        <f>IF($A559="","",N(Items!$D556))</f>
        <v/>
      </c>
      <c r="E559" s="23" t="str">
        <f>IF($A559="","",Items!$E556)</f>
        <v/>
      </c>
      <c r="F559" s="23" t="str">
        <f>IF($A559="","",Items!$F556)</f>
        <v/>
      </c>
      <c r="G559" s="26" t="str">
        <f>IF($A559="","",SUMIFS(tblReceipts[Qty Received],tblReceipts[Item Name],$A559))</f>
        <v/>
      </c>
      <c r="H559" s="26" t="str">
        <f>IF($A559="","",SUMIFS(tblIssues[Qty Issued],tblIssues[Item Name],$A559))</f>
        <v/>
      </c>
      <c r="I559" s="27" t="str">
        <f t="shared" si="24"/>
        <v/>
      </c>
      <c r="J559" s="21" t="str">
        <f t="shared" si="25"/>
        <v/>
      </c>
      <c r="K559" s="26" t="str">
        <f>IF($A559="","",COUNTIFS(tblReceipts[Item Name],$A559))</f>
        <v/>
      </c>
      <c r="L559" s="26" t="str">
        <f>IF($A559="","",COUNTIFS(tblLotBalance[Item Name],$A559,tblLotBalance[Lot Balance],"&gt;0"))</f>
        <v/>
      </c>
      <c r="M559" s="24" t="str">
        <f>IF($A559="","",IF($L559=0,"",IFERROR(_xlfn.MINIFS(tblLotBalance[Expiry Date],tblLotBalance[Item Name],$A559,tblLotBalance[Lot Balance],"&gt;0"),"")))</f>
        <v/>
      </c>
      <c r="N559" s="26" t="str">
        <f t="shared" ca="1" si="26"/>
        <v/>
      </c>
      <c r="O559" s="18" t="str" cm="1">
        <f t="array" ref="O559">IF($M559="","",IFERROR(INDEX(tblLotBalance[Lot Number],MATCH(1,INDEX((tblLotBalance[Item Name]=$A559)*(tblLotBalance[Expiry Date]=$M559)*(tblLotBalance[Lot Balance]&gt;0),0),0)),""))</f>
        <v/>
      </c>
      <c r="P559" s="28" t="str">
        <f>IF($A559="","",IF($I559&lt;0,"NEGATIVE",IF(NOT(ISNUMBER($F559)),"Set threshold",IF($I559&lt;=0,"OUT OF STOCK",IF($I559&lt;=$F559,"LOW",IF($I559&lt;=$F559*Settings!$C$7,"WATCH","OK"))))))</f>
        <v/>
      </c>
      <c r="Q559" s="29" t="str">
        <f>IF($A559="","",IF($P559="NEGATIVE","Issued more than received - add the missing receipt",IF($P559="OUT OF STOCK","Reorder immediately",IF($P559="LOW","Raise purchase order",IF($P559="Set threshold","Enter Critical Low in Items",IF(AND($N559&lt;&gt;"",$N559&lt;=0),"Quarantine expired lot",IF(AND($N559&lt;&gt;"",$N559&lt;=Settings!$C$6),"Use or rotate stock now","")))))))</f>
        <v/>
      </c>
    </row>
    <row r="560" spans="1:17" x14ac:dyDescent="0.35">
      <c r="A560" s="18" t="str">
        <f>IF(Items!$A557="","",Items!$A557)</f>
        <v/>
      </c>
      <c r="B560" s="18" t="str">
        <f>IF($A560="","",Items!$B557)</f>
        <v/>
      </c>
      <c r="C560" s="19" t="str">
        <f>IF($A560="","",Items!$G557)</f>
        <v/>
      </c>
      <c r="D560" s="20" t="str">
        <f>IF($A560="","",N(Items!$D557))</f>
        <v/>
      </c>
      <c r="E560" s="23" t="str">
        <f>IF($A560="","",Items!$E557)</f>
        <v/>
      </c>
      <c r="F560" s="23" t="str">
        <f>IF($A560="","",Items!$F557)</f>
        <v/>
      </c>
      <c r="G560" s="26" t="str">
        <f>IF($A560="","",SUMIFS(tblReceipts[Qty Received],tblReceipts[Item Name],$A560))</f>
        <v/>
      </c>
      <c r="H560" s="26" t="str">
        <f>IF($A560="","",SUMIFS(tblIssues[Qty Issued],tblIssues[Item Name],$A560))</f>
        <v/>
      </c>
      <c r="I560" s="27" t="str">
        <f t="shared" si="24"/>
        <v/>
      </c>
      <c r="J560" s="21" t="str">
        <f t="shared" si="25"/>
        <v/>
      </c>
      <c r="K560" s="26" t="str">
        <f>IF($A560="","",COUNTIFS(tblReceipts[Item Name],$A560))</f>
        <v/>
      </c>
      <c r="L560" s="26" t="str">
        <f>IF($A560="","",COUNTIFS(tblLotBalance[Item Name],$A560,tblLotBalance[Lot Balance],"&gt;0"))</f>
        <v/>
      </c>
      <c r="M560" s="24" t="str">
        <f>IF($A560="","",IF($L560=0,"",IFERROR(_xlfn.MINIFS(tblLotBalance[Expiry Date],tblLotBalance[Item Name],$A560,tblLotBalance[Lot Balance],"&gt;0"),"")))</f>
        <v/>
      </c>
      <c r="N560" s="26" t="str">
        <f t="shared" ca="1" si="26"/>
        <v/>
      </c>
      <c r="O560" s="18" t="str" cm="1">
        <f t="array" ref="O560">IF($M560="","",IFERROR(INDEX(tblLotBalance[Lot Number],MATCH(1,INDEX((tblLotBalance[Item Name]=$A560)*(tblLotBalance[Expiry Date]=$M560)*(tblLotBalance[Lot Balance]&gt;0),0),0)),""))</f>
        <v/>
      </c>
      <c r="P560" s="28" t="str">
        <f>IF($A560="","",IF($I560&lt;0,"NEGATIVE",IF(NOT(ISNUMBER($F560)),"Set threshold",IF($I560&lt;=0,"OUT OF STOCK",IF($I560&lt;=$F560,"LOW",IF($I560&lt;=$F560*Settings!$C$7,"WATCH","OK"))))))</f>
        <v/>
      </c>
      <c r="Q560" s="29" t="str">
        <f>IF($A560="","",IF($P560="NEGATIVE","Issued more than received - add the missing receipt",IF($P560="OUT OF STOCK","Reorder immediately",IF($P560="LOW","Raise purchase order",IF($P560="Set threshold","Enter Critical Low in Items",IF(AND($N560&lt;&gt;"",$N560&lt;=0),"Quarantine expired lot",IF(AND($N560&lt;&gt;"",$N560&lt;=Settings!$C$6),"Use or rotate stock now","")))))))</f>
        <v/>
      </c>
    </row>
    <row r="561" spans="1:17" x14ac:dyDescent="0.35">
      <c r="A561" s="18" t="str">
        <f>IF(Items!$A558="","",Items!$A558)</f>
        <v/>
      </c>
      <c r="B561" s="18" t="str">
        <f>IF($A561="","",Items!$B558)</f>
        <v/>
      </c>
      <c r="C561" s="19" t="str">
        <f>IF($A561="","",Items!$G558)</f>
        <v/>
      </c>
      <c r="D561" s="20" t="str">
        <f>IF($A561="","",N(Items!$D558))</f>
        <v/>
      </c>
      <c r="E561" s="23" t="str">
        <f>IF($A561="","",Items!$E558)</f>
        <v/>
      </c>
      <c r="F561" s="23" t="str">
        <f>IF($A561="","",Items!$F558)</f>
        <v/>
      </c>
      <c r="G561" s="26" t="str">
        <f>IF($A561="","",SUMIFS(tblReceipts[Qty Received],tblReceipts[Item Name],$A561))</f>
        <v/>
      </c>
      <c r="H561" s="26" t="str">
        <f>IF($A561="","",SUMIFS(tblIssues[Qty Issued],tblIssues[Item Name],$A561))</f>
        <v/>
      </c>
      <c r="I561" s="27" t="str">
        <f t="shared" si="24"/>
        <v/>
      </c>
      <c r="J561" s="21" t="str">
        <f t="shared" si="25"/>
        <v/>
      </c>
      <c r="K561" s="26" t="str">
        <f>IF($A561="","",COUNTIFS(tblReceipts[Item Name],$A561))</f>
        <v/>
      </c>
      <c r="L561" s="26" t="str">
        <f>IF($A561="","",COUNTIFS(tblLotBalance[Item Name],$A561,tblLotBalance[Lot Balance],"&gt;0"))</f>
        <v/>
      </c>
      <c r="M561" s="24" t="str">
        <f>IF($A561="","",IF($L561=0,"",IFERROR(_xlfn.MINIFS(tblLotBalance[Expiry Date],tblLotBalance[Item Name],$A561,tblLotBalance[Lot Balance],"&gt;0"),"")))</f>
        <v/>
      </c>
      <c r="N561" s="26" t="str">
        <f t="shared" ca="1" si="26"/>
        <v/>
      </c>
      <c r="O561" s="18" t="str" cm="1">
        <f t="array" ref="O561">IF($M561="","",IFERROR(INDEX(tblLotBalance[Lot Number],MATCH(1,INDEX((tblLotBalance[Item Name]=$A561)*(tblLotBalance[Expiry Date]=$M561)*(tblLotBalance[Lot Balance]&gt;0),0),0)),""))</f>
        <v/>
      </c>
      <c r="P561" s="28" t="str">
        <f>IF($A561="","",IF($I561&lt;0,"NEGATIVE",IF(NOT(ISNUMBER($F561)),"Set threshold",IF($I561&lt;=0,"OUT OF STOCK",IF($I561&lt;=$F561,"LOW",IF($I561&lt;=$F561*Settings!$C$7,"WATCH","OK"))))))</f>
        <v/>
      </c>
      <c r="Q561" s="29" t="str">
        <f>IF($A561="","",IF($P561="NEGATIVE","Issued more than received - add the missing receipt",IF($P561="OUT OF STOCK","Reorder immediately",IF($P561="LOW","Raise purchase order",IF($P561="Set threshold","Enter Critical Low in Items",IF(AND($N561&lt;&gt;"",$N561&lt;=0),"Quarantine expired lot",IF(AND($N561&lt;&gt;"",$N561&lt;=Settings!$C$6),"Use or rotate stock now","")))))))</f>
        <v/>
      </c>
    </row>
    <row r="562" spans="1:17" x14ac:dyDescent="0.35">
      <c r="A562" s="18" t="str">
        <f>IF(Items!$A559="","",Items!$A559)</f>
        <v/>
      </c>
      <c r="B562" s="18" t="str">
        <f>IF($A562="","",Items!$B559)</f>
        <v/>
      </c>
      <c r="C562" s="19" t="str">
        <f>IF($A562="","",Items!$G559)</f>
        <v/>
      </c>
      <c r="D562" s="20" t="str">
        <f>IF($A562="","",N(Items!$D559))</f>
        <v/>
      </c>
      <c r="E562" s="23" t="str">
        <f>IF($A562="","",Items!$E559)</f>
        <v/>
      </c>
      <c r="F562" s="23" t="str">
        <f>IF($A562="","",Items!$F559)</f>
        <v/>
      </c>
      <c r="G562" s="26" t="str">
        <f>IF($A562="","",SUMIFS(tblReceipts[Qty Received],tblReceipts[Item Name],$A562))</f>
        <v/>
      </c>
      <c r="H562" s="26" t="str">
        <f>IF($A562="","",SUMIFS(tblIssues[Qty Issued],tblIssues[Item Name],$A562))</f>
        <v/>
      </c>
      <c r="I562" s="27" t="str">
        <f t="shared" si="24"/>
        <v/>
      </c>
      <c r="J562" s="21" t="str">
        <f t="shared" si="25"/>
        <v/>
      </c>
      <c r="K562" s="26" t="str">
        <f>IF($A562="","",COUNTIFS(tblReceipts[Item Name],$A562))</f>
        <v/>
      </c>
      <c r="L562" s="26" t="str">
        <f>IF($A562="","",COUNTIFS(tblLotBalance[Item Name],$A562,tblLotBalance[Lot Balance],"&gt;0"))</f>
        <v/>
      </c>
      <c r="M562" s="24" t="str">
        <f>IF($A562="","",IF($L562=0,"",IFERROR(_xlfn.MINIFS(tblLotBalance[Expiry Date],tblLotBalance[Item Name],$A562,tblLotBalance[Lot Balance],"&gt;0"),"")))</f>
        <v/>
      </c>
      <c r="N562" s="26" t="str">
        <f t="shared" ca="1" si="26"/>
        <v/>
      </c>
      <c r="O562" s="18" t="str" cm="1">
        <f t="array" ref="O562">IF($M562="","",IFERROR(INDEX(tblLotBalance[Lot Number],MATCH(1,INDEX((tblLotBalance[Item Name]=$A562)*(tblLotBalance[Expiry Date]=$M562)*(tblLotBalance[Lot Balance]&gt;0),0),0)),""))</f>
        <v/>
      </c>
      <c r="P562" s="28" t="str">
        <f>IF($A562="","",IF($I562&lt;0,"NEGATIVE",IF(NOT(ISNUMBER($F562)),"Set threshold",IF($I562&lt;=0,"OUT OF STOCK",IF($I562&lt;=$F562,"LOW",IF($I562&lt;=$F562*Settings!$C$7,"WATCH","OK"))))))</f>
        <v/>
      </c>
      <c r="Q562" s="29" t="str">
        <f>IF($A562="","",IF($P562="NEGATIVE","Issued more than received - add the missing receipt",IF($P562="OUT OF STOCK","Reorder immediately",IF($P562="LOW","Raise purchase order",IF($P562="Set threshold","Enter Critical Low in Items",IF(AND($N562&lt;&gt;"",$N562&lt;=0),"Quarantine expired lot",IF(AND($N562&lt;&gt;"",$N562&lt;=Settings!$C$6),"Use or rotate stock now","")))))))</f>
        <v/>
      </c>
    </row>
    <row r="563" spans="1:17" x14ac:dyDescent="0.35">
      <c r="A563" s="18" t="str">
        <f>IF(Items!$A560="","",Items!$A560)</f>
        <v/>
      </c>
      <c r="B563" s="18" t="str">
        <f>IF($A563="","",Items!$B560)</f>
        <v/>
      </c>
      <c r="C563" s="19" t="str">
        <f>IF($A563="","",Items!$G560)</f>
        <v/>
      </c>
      <c r="D563" s="20" t="str">
        <f>IF($A563="","",N(Items!$D560))</f>
        <v/>
      </c>
      <c r="E563" s="23" t="str">
        <f>IF($A563="","",Items!$E560)</f>
        <v/>
      </c>
      <c r="F563" s="23" t="str">
        <f>IF($A563="","",Items!$F560)</f>
        <v/>
      </c>
      <c r="G563" s="26" t="str">
        <f>IF($A563="","",SUMIFS(tblReceipts[Qty Received],tblReceipts[Item Name],$A563))</f>
        <v/>
      </c>
      <c r="H563" s="26" t="str">
        <f>IF($A563="","",SUMIFS(tblIssues[Qty Issued],tblIssues[Item Name],$A563))</f>
        <v/>
      </c>
      <c r="I563" s="27" t="str">
        <f t="shared" si="24"/>
        <v/>
      </c>
      <c r="J563" s="21" t="str">
        <f t="shared" si="25"/>
        <v/>
      </c>
      <c r="K563" s="26" t="str">
        <f>IF($A563="","",COUNTIFS(tblReceipts[Item Name],$A563))</f>
        <v/>
      </c>
      <c r="L563" s="26" t="str">
        <f>IF($A563="","",COUNTIFS(tblLotBalance[Item Name],$A563,tblLotBalance[Lot Balance],"&gt;0"))</f>
        <v/>
      </c>
      <c r="M563" s="24" t="str">
        <f>IF($A563="","",IF($L563=0,"",IFERROR(_xlfn.MINIFS(tblLotBalance[Expiry Date],tblLotBalance[Item Name],$A563,tblLotBalance[Lot Balance],"&gt;0"),"")))</f>
        <v/>
      </c>
      <c r="N563" s="26" t="str">
        <f t="shared" ca="1" si="26"/>
        <v/>
      </c>
      <c r="O563" s="18" t="str" cm="1">
        <f t="array" ref="O563">IF($M563="","",IFERROR(INDEX(tblLotBalance[Lot Number],MATCH(1,INDEX((tblLotBalance[Item Name]=$A563)*(tblLotBalance[Expiry Date]=$M563)*(tblLotBalance[Lot Balance]&gt;0),0),0)),""))</f>
        <v/>
      </c>
      <c r="P563" s="28" t="str">
        <f>IF($A563="","",IF($I563&lt;0,"NEGATIVE",IF(NOT(ISNUMBER($F563)),"Set threshold",IF($I563&lt;=0,"OUT OF STOCK",IF($I563&lt;=$F563,"LOW",IF($I563&lt;=$F563*Settings!$C$7,"WATCH","OK"))))))</f>
        <v/>
      </c>
      <c r="Q563" s="29" t="str">
        <f>IF($A563="","",IF($P563="NEGATIVE","Issued more than received - add the missing receipt",IF($P563="OUT OF STOCK","Reorder immediately",IF($P563="LOW","Raise purchase order",IF($P563="Set threshold","Enter Critical Low in Items",IF(AND($N563&lt;&gt;"",$N563&lt;=0),"Quarantine expired lot",IF(AND($N563&lt;&gt;"",$N563&lt;=Settings!$C$6),"Use or rotate stock now","")))))))</f>
        <v/>
      </c>
    </row>
    <row r="564" spans="1:17" x14ac:dyDescent="0.35">
      <c r="A564" s="18" t="str">
        <f>IF(Items!$A561="","",Items!$A561)</f>
        <v/>
      </c>
      <c r="B564" s="18" t="str">
        <f>IF($A564="","",Items!$B561)</f>
        <v/>
      </c>
      <c r="C564" s="19" t="str">
        <f>IF($A564="","",Items!$G561)</f>
        <v/>
      </c>
      <c r="D564" s="20" t="str">
        <f>IF($A564="","",N(Items!$D561))</f>
        <v/>
      </c>
      <c r="E564" s="23" t="str">
        <f>IF($A564="","",Items!$E561)</f>
        <v/>
      </c>
      <c r="F564" s="23" t="str">
        <f>IF($A564="","",Items!$F561)</f>
        <v/>
      </c>
      <c r="G564" s="26" t="str">
        <f>IF($A564="","",SUMIFS(tblReceipts[Qty Received],tblReceipts[Item Name],$A564))</f>
        <v/>
      </c>
      <c r="H564" s="26" t="str">
        <f>IF($A564="","",SUMIFS(tblIssues[Qty Issued],tblIssues[Item Name],$A564))</f>
        <v/>
      </c>
      <c r="I564" s="27" t="str">
        <f t="shared" si="24"/>
        <v/>
      </c>
      <c r="J564" s="21" t="str">
        <f t="shared" si="25"/>
        <v/>
      </c>
      <c r="K564" s="26" t="str">
        <f>IF($A564="","",COUNTIFS(tblReceipts[Item Name],$A564))</f>
        <v/>
      </c>
      <c r="L564" s="26" t="str">
        <f>IF($A564="","",COUNTIFS(tblLotBalance[Item Name],$A564,tblLotBalance[Lot Balance],"&gt;0"))</f>
        <v/>
      </c>
      <c r="M564" s="24" t="str">
        <f>IF($A564="","",IF($L564=0,"",IFERROR(_xlfn.MINIFS(tblLotBalance[Expiry Date],tblLotBalance[Item Name],$A564,tblLotBalance[Lot Balance],"&gt;0"),"")))</f>
        <v/>
      </c>
      <c r="N564" s="26" t="str">
        <f t="shared" ca="1" si="26"/>
        <v/>
      </c>
      <c r="O564" s="18" t="str" cm="1">
        <f t="array" ref="O564">IF($M564="","",IFERROR(INDEX(tblLotBalance[Lot Number],MATCH(1,INDEX((tblLotBalance[Item Name]=$A564)*(tblLotBalance[Expiry Date]=$M564)*(tblLotBalance[Lot Balance]&gt;0),0),0)),""))</f>
        <v/>
      </c>
      <c r="P564" s="28" t="str">
        <f>IF($A564="","",IF($I564&lt;0,"NEGATIVE",IF(NOT(ISNUMBER($F564)),"Set threshold",IF($I564&lt;=0,"OUT OF STOCK",IF($I564&lt;=$F564,"LOW",IF($I564&lt;=$F564*Settings!$C$7,"WATCH","OK"))))))</f>
        <v/>
      </c>
      <c r="Q564" s="29" t="str">
        <f>IF($A564="","",IF($P564="NEGATIVE","Issued more than received - add the missing receipt",IF($P564="OUT OF STOCK","Reorder immediately",IF($P564="LOW","Raise purchase order",IF($P564="Set threshold","Enter Critical Low in Items",IF(AND($N564&lt;&gt;"",$N564&lt;=0),"Quarantine expired lot",IF(AND($N564&lt;&gt;"",$N564&lt;=Settings!$C$6),"Use or rotate stock now","")))))))</f>
        <v/>
      </c>
    </row>
    <row r="565" spans="1:17" x14ac:dyDescent="0.35">
      <c r="A565" s="18" t="str">
        <f>IF(Items!$A562="","",Items!$A562)</f>
        <v/>
      </c>
      <c r="B565" s="18" t="str">
        <f>IF($A565="","",Items!$B562)</f>
        <v/>
      </c>
      <c r="C565" s="19" t="str">
        <f>IF($A565="","",Items!$G562)</f>
        <v/>
      </c>
      <c r="D565" s="20" t="str">
        <f>IF($A565="","",N(Items!$D562))</f>
        <v/>
      </c>
      <c r="E565" s="23" t="str">
        <f>IF($A565="","",Items!$E562)</f>
        <v/>
      </c>
      <c r="F565" s="23" t="str">
        <f>IF($A565="","",Items!$F562)</f>
        <v/>
      </c>
      <c r="G565" s="26" t="str">
        <f>IF($A565="","",SUMIFS(tblReceipts[Qty Received],tblReceipts[Item Name],$A565))</f>
        <v/>
      </c>
      <c r="H565" s="26" t="str">
        <f>IF($A565="","",SUMIFS(tblIssues[Qty Issued],tblIssues[Item Name],$A565))</f>
        <v/>
      </c>
      <c r="I565" s="27" t="str">
        <f t="shared" si="24"/>
        <v/>
      </c>
      <c r="J565" s="21" t="str">
        <f t="shared" si="25"/>
        <v/>
      </c>
      <c r="K565" s="26" t="str">
        <f>IF($A565="","",COUNTIFS(tblReceipts[Item Name],$A565))</f>
        <v/>
      </c>
      <c r="L565" s="26" t="str">
        <f>IF($A565="","",COUNTIFS(tblLotBalance[Item Name],$A565,tblLotBalance[Lot Balance],"&gt;0"))</f>
        <v/>
      </c>
      <c r="M565" s="24" t="str">
        <f>IF($A565="","",IF($L565=0,"",IFERROR(_xlfn.MINIFS(tblLotBalance[Expiry Date],tblLotBalance[Item Name],$A565,tblLotBalance[Lot Balance],"&gt;0"),"")))</f>
        <v/>
      </c>
      <c r="N565" s="26" t="str">
        <f t="shared" ca="1" si="26"/>
        <v/>
      </c>
      <c r="O565" s="18" t="str" cm="1">
        <f t="array" ref="O565">IF($M565="","",IFERROR(INDEX(tblLotBalance[Lot Number],MATCH(1,INDEX((tblLotBalance[Item Name]=$A565)*(tblLotBalance[Expiry Date]=$M565)*(tblLotBalance[Lot Balance]&gt;0),0),0)),""))</f>
        <v/>
      </c>
      <c r="P565" s="28" t="str">
        <f>IF($A565="","",IF($I565&lt;0,"NEGATIVE",IF(NOT(ISNUMBER($F565)),"Set threshold",IF($I565&lt;=0,"OUT OF STOCK",IF($I565&lt;=$F565,"LOW",IF($I565&lt;=$F565*Settings!$C$7,"WATCH","OK"))))))</f>
        <v/>
      </c>
      <c r="Q565" s="29" t="str">
        <f>IF($A565="","",IF($P565="NEGATIVE","Issued more than received - add the missing receipt",IF($P565="OUT OF STOCK","Reorder immediately",IF($P565="LOW","Raise purchase order",IF($P565="Set threshold","Enter Critical Low in Items",IF(AND($N565&lt;&gt;"",$N565&lt;=0),"Quarantine expired lot",IF(AND($N565&lt;&gt;"",$N565&lt;=Settings!$C$6),"Use or rotate stock now","")))))))</f>
        <v/>
      </c>
    </row>
    <row r="566" spans="1:17" x14ac:dyDescent="0.35">
      <c r="A566" s="18" t="str">
        <f>IF(Items!$A563="","",Items!$A563)</f>
        <v/>
      </c>
      <c r="B566" s="18" t="str">
        <f>IF($A566="","",Items!$B563)</f>
        <v/>
      </c>
      <c r="C566" s="19" t="str">
        <f>IF($A566="","",Items!$G563)</f>
        <v/>
      </c>
      <c r="D566" s="20" t="str">
        <f>IF($A566="","",N(Items!$D563))</f>
        <v/>
      </c>
      <c r="E566" s="23" t="str">
        <f>IF($A566="","",Items!$E563)</f>
        <v/>
      </c>
      <c r="F566" s="23" t="str">
        <f>IF($A566="","",Items!$F563)</f>
        <v/>
      </c>
      <c r="G566" s="26" t="str">
        <f>IF($A566="","",SUMIFS(tblReceipts[Qty Received],tblReceipts[Item Name],$A566))</f>
        <v/>
      </c>
      <c r="H566" s="26" t="str">
        <f>IF($A566="","",SUMIFS(tblIssues[Qty Issued],tblIssues[Item Name],$A566))</f>
        <v/>
      </c>
      <c r="I566" s="27" t="str">
        <f t="shared" si="24"/>
        <v/>
      </c>
      <c r="J566" s="21" t="str">
        <f t="shared" si="25"/>
        <v/>
      </c>
      <c r="K566" s="26" t="str">
        <f>IF($A566="","",COUNTIFS(tblReceipts[Item Name],$A566))</f>
        <v/>
      </c>
      <c r="L566" s="26" t="str">
        <f>IF($A566="","",COUNTIFS(tblLotBalance[Item Name],$A566,tblLotBalance[Lot Balance],"&gt;0"))</f>
        <v/>
      </c>
      <c r="M566" s="24" t="str">
        <f>IF($A566="","",IF($L566=0,"",IFERROR(_xlfn.MINIFS(tblLotBalance[Expiry Date],tblLotBalance[Item Name],$A566,tblLotBalance[Lot Balance],"&gt;0"),"")))</f>
        <v/>
      </c>
      <c r="N566" s="26" t="str">
        <f t="shared" ca="1" si="26"/>
        <v/>
      </c>
      <c r="O566" s="18" t="str" cm="1">
        <f t="array" ref="O566">IF($M566="","",IFERROR(INDEX(tblLotBalance[Lot Number],MATCH(1,INDEX((tblLotBalance[Item Name]=$A566)*(tblLotBalance[Expiry Date]=$M566)*(tblLotBalance[Lot Balance]&gt;0),0),0)),""))</f>
        <v/>
      </c>
      <c r="P566" s="28" t="str">
        <f>IF($A566="","",IF($I566&lt;0,"NEGATIVE",IF(NOT(ISNUMBER($F566)),"Set threshold",IF($I566&lt;=0,"OUT OF STOCK",IF($I566&lt;=$F566,"LOW",IF($I566&lt;=$F566*Settings!$C$7,"WATCH","OK"))))))</f>
        <v/>
      </c>
      <c r="Q566" s="29" t="str">
        <f>IF($A566="","",IF($P566="NEGATIVE","Issued more than received - add the missing receipt",IF($P566="OUT OF STOCK","Reorder immediately",IF($P566="LOW","Raise purchase order",IF($P566="Set threshold","Enter Critical Low in Items",IF(AND($N566&lt;&gt;"",$N566&lt;=0),"Quarantine expired lot",IF(AND($N566&lt;&gt;"",$N566&lt;=Settings!$C$6),"Use or rotate stock now","")))))))</f>
        <v/>
      </c>
    </row>
    <row r="567" spans="1:17" x14ac:dyDescent="0.35">
      <c r="A567" s="18" t="str">
        <f>IF(Items!$A564="","",Items!$A564)</f>
        <v/>
      </c>
      <c r="B567" s="18" t="str">
        <f>IF($A567="","",Items!$B564)</f>
        <v/>
      </c>
      <c r="C567" s="19" t="str">
        <f>IF($A567="","",Items!$G564)</f>
        <v/>
      </c>
      <c r="D567" s="20" t="str">
        <f>IF($A567="","",N(Items!$D564))</f>
        <v/>
      </c>
      <c r="E567" s="23" t="str">
        <f>IF($A567="","",Items!$E564)</f>
        <v/>
      </c>
      <c r="F567" s="23" t="str">
        <f>IF($A567="","",Items!$F564)</f>
        <v/>
      </c>
      <c r="G567" s="26" t="str">
        <f>IF($A567="","",SUMIFS(tblReceipts[Qty Received],tblReceipts[Item Name],$A567))</f>
        <v/>
      </c>
      <c r="H567" s="26" t="str">
        <f>IF($A567="","",SUMIFS(tblIssues[Qty Issued],tblIssues[Item Name],$A567))</f>
        <v/>
      </c>
      <c r="I567" s="27" t="str">
        <f t="shared" si="24"/>
        <v/>
      </c>
      <c r="J567" s="21" t="str">
        <f t="shared" si="25"/>
        <v/>
      </c>
      <c r="K567" s="26" t="str">
        <f>IF($A567="","",COUNTIFS(tblReceipts[Item Name],$A567))</f>
        <v/>
      </c>
      <c r="L567" s="26" t="str">
        <f>IF($A567="","",COUNTIFS(tblLotBalance[Item Name],$A567,tblLotBalance[Lot Balance],"&gt;0"))</f>
        <v/>
      </c>
      <c r="M567" s="24" t="str">
        <f>IF($A567="","",IF($L567=0,"",IFERROR(_xlfn.MINIFS(tblLotBalance[Expiry Date],tblLotBalance[Item Name],$A567,tblLotBalance[Lot Balance],"&gt;0"),"")))</f>
        <v/>
      </c>
      <c r="N567" s="26" t="str">
        <f t="shared" ca="1" si="26"/>
        <v/>
      </c>
      <c r="O567" s="18" t="str" cm="1">
        <f t="array" ref="O567">IF($M567="","",IFERROR(INDEX(tblLotBalance[Lot Number],MATCH(1,INDEX((tblLotBalance[Item Name]=$A567)*(tblLotBalance[Expiry Date]=$M567)*(tblLotBalance[Lot Balance]&gt;0),0),0)),""))</f>
        <v/>
      </c>
      <c r="P567" s="28" t="str">
        <f>IF($A567="","",IF($I567&lt;0,"NEGATIVE",IF(NOT(ISNUMBER($F567)),"Set threshold",IF($I567&lt;=0,"OUT OF STOCK",IF($I567&lt;=$F567,"LOW",IF($I567&lt;=$F567*Settings!$C$7,"WATCH","OK"))))))</f>
        <v/>
      </c>
      <c r="Q567" s="29" t="str">
        <f>IF($A567="","",IF($P567="NEGATIVE","Issued more than received - add the missing receipt",IF($P567="OUT OF STOCK","Reorder immediately",IF($P567="LOW","Raise purchase order",IF($P567="Set threshold","Enter Critical Low in Items",IF(AND($N567&lt;&gt;"",$N567&lt;=0),"Quarantine expired lot",IF(AND($N567&lt;&gt;"",$N567&lt;=Settings!$C$6),"Use or rotate stock now","")))))))</f>
        <v/>
      </c>
    </row>
    <row r="568" spans="1:17" x14ac:dyDescent="0.35">
      <c r="A568" s="18" t="str">
        <f>IF(Items!$A565="","",Items!$A565)</f>
        <v/>
      </c>
      <c r="B568" s="18" t="str">
        <f>IF($A568="","",Items!$B565)</f>
        <v/>
      </c>
      <c r="C568" s="19" t="str">
        <f>IF($A568="","",Items!$G565)</f>
        <v/>
      </c>
      <c r="D568" s="20" t="str">
        <f>IF($A568="","",N(Items!$D565))</f>
        <v/>
      </c>
      <c r="E568" s="23" t="str">
        <f>IF($A568="","",Items!$E565)</f>
        <v/>
      </c>
      <c r="F568" s="23" t="str">
        <f>IF($A568="","",Items!$F565)</f>
        <v/>
      </c>
      <c r="G568" s="26" t="str">
        <f>IF($A568="","",SUMIFS(tblReceipts[Qty Received],tblReceipts[Item Name],$A568))</f>
        <v/>
      </c>
      <c r="H568" s="26" t="str">
        <f>IF($A568="","",SUMIFS(tblIssues[Qty Issued],tblIssues[Item Name],$A568))</f>
        <v/>
      </c>
      <c r="I568" s="27" t="str">
        <f t="shared" si="24"/>
        <v/>
      </c>
      <c r="J568" s="21" t="str">
        <f t="shared" si="25"/>
        <v/>
      </c>
      <c r="K568" s="26" t="str">
        <f>IF($A568="","",COUNTIFS(tblReceipts[Item Name],$A568))</f>
        <v/>
      </c>
      <c r="L568" s="26" t="str">
        <f>IF($A568="","",COUNTIFS(tblLotBalance[Item Name],$A568,tblLotBalance[Lot Balance],"&gt;0"))</f>
        <v/>
      </c>
      <c r="M568" s="24" t="str">
        <f>IF($A568="","",IF($L568=0,"",IFERROR(_xlfn.MINIFS(tblLotBalance[Expiry Date],tblLotBalance[Item Name],$A568,tblLotBalance[Lot Balance],"&gt;0"),"")))</f>
        <v/>
      </c>
      <c r="N568" s="26" t="str">
        <f t="shared" ca="1" si="26"/>
        <v/>
      </c>
      <c r="O568" s="18" t="str" cm="1">
        <f t="array" ref="O568">IF($M568="","",IFERROR(INDEX(tblLotBalance[Lot Number],MATCH(1,INDEX((tblLotBalance[Item Name]=$A568)*(tblLotBalance[Expiry Date]=$M568)*(tblLotBalance[Lot Balance]&gt;0),0),0)),""))</f>
        <v/>
      </c>
      <c r="P568" s="28" t="str">
        <f>IF($A568="","",IF($I568&lt;0,"NEGATIVE",IF(NOT(ISNUMBER($F568)),"Set threshold",IF($I568&lt;=0,"OUT OF STOCK",IF($I568&lt;=$F568,"LOW",IF($I568&lt;=$F568*Settings!$C$7,"WATCH","OK"))))))</f>
        <v/>
      </c>
      <c r="Q568" s="29" t="str">
        <f>IF($A568="","",IF($P568="NEGATIVE","Issued more than received - add the missing receipt",IF($P568="OUT OF STOCK","Reorder immediately",IF($P568="LOW","Raise purchase order",IF($P568="Set threshold","Enter Critical Low in Items",IF(AND($N568&lt;&gt;"",$N568&lt;=0),"Quarantine expired lot",IF(AND($N568&lt;&gt;"",$N568&lt;=Settings!$C$6),"Use or rotate stock now","")))))))</f>
        <v/>
      </c>
    </row>
    <row r="569" spans="1:17" x14ac:dyDescent="0.35">
      <c r="A569" s="18" t="str">
        <f>IF(Items!$A566="","",Items!$A566)</f>
        <v/>
      </c>
      <c r="B569" s="18" t="str">
        <f>IF($A569="","",Items!$B566)</f>
        <v/>
      </c>
      <c r="C569" s="19" t="str">
        <f>IF($A569="","",Items!$G566)</f>
        <v/>
      </c>
      <c r="D569" s="20" t="str">
        <f>IF($A569="","",N(Items!$D566))</f>
        <v/>
      </c>
      <c r="E569" s="23" t="str">
        <f>IF($A569="","",Items!$E566)</f>
        <v/>
      </c>
      <c r="F569" s="23" t="str">
        <f>IF($A569="","",Items!$F566)</f>
        <v/>
      </c>
      <c r="G569" s="26" t="str">
        <f>IF($A569="","",SUMIFS(tblReceipts[Qty Received],tblReceipts[Item Name],$A569))</f>
        <v/>
      </c>
      <c r="H569" s="26" t="str">
        <f>IF($A569="","",SUMIFS(tblIssues[Qty Issued],tblIssues[Item Name],$A569))</f>
        <v/>
      </c>
      <c r="I569" s="27" t="str">
        <f t="shared" si="24"/>
        <v/>
      </c>
      <c r="J569" s="21" t="str">
        <f t="shared" si="25"/>
        <v/>
      </c>
      <c r="K569" s="26" t="str">
        <f>IF($A569="","",COUNTIFS(tblReceipts[Item Name],$A569))</f>
        <v/>
      </c>
      <c r="L569" s="26" t="str">
        <f>IF($A569="","",COUNTIFS(tblLotBalance[Item Name],$A569,tblLotBalance[Lot Balance],"&gt;0"))</f>
        <v/>
      </c>
      <c r="M569" s="24" t="str">
        <f>IF($A569="","",IF($L569=0,"",IFERROR(_xlfn.MINIFS(tblLotBalance[Expiry Date],tblLotBalance[Item Name],$A569,tblLotBalance[Lot Balance],"&gt;0"),"")))</f>
        <v/>
      </c>
      <c r="N569" s="26" t="str">
        <f t="shared" ca="1" si="26"/>
        <v/>
      </c>
      <c r="O569" s="18" t="str" cm="1">
        <f t="array" ref="O569">IF($M569="","",IFERROR(INDEX(tblLotBalance[Lot Number],MATCH(1,INDEX((tblLotBalance[Item Name]=$A569)*(tblLotBalance[Expiry Date]=$M569)*(tblLotBalance[Lot Balance]&gt;0),0),0)),""))</f>
        <v/>
      </c>
      <c r="P569" s="28" t="str">
        <f>IF($A569="","",IF($I569&lt;0,"NEGATIVE",IF(NOT(ISNUMBER($F569)),"Set threshold",IF($I569&lt;=0,"OUT OF STOCK",IF($I569&lt;=$F569,"LOW",IF($I569&lt;=$F569*Settings!$C$7,"WATCH","OK"))))))</f>
        <v/>
      </c>
      <c r="Q569" s="29" t="str">
        <f>IF($A569="","",IF($P569="NEGATIVE","Issued more than received - add the missing receipt",IF($P569="OUT OF STOCK","Reorder immediately",IF($P569="LOW","Raise purchase order",IF($P569="Set threshold","Enter Critical Low in Items",IF(AND($N569&lt;&gt;"",$N569&lt;=0),"Quarantine expired lot",IF(AND($N569&lt;&gt;"",$N569&lt;=Settings!$C$6),"Use or rotate stock now","")))))))</f>
        <v/>
      </c>
    </row>
    <row r="570" spans="1:17" x14ac:dyDescent="0.35">
      <c r="A570" s="18" t="str">
        <f>IF(Items!$A567="","",Items!$A567)</f>
        <v/>
      </c>
      <c r="B570" s="18" t="str">
        <f>IF($A570="","",Items!$B567)</f>
        <v/>
      </c>
      <c r="C570" s="19" t="str">
        <f>IF($A570="","",Items!$G567)</f>
        <v/>
      </c>
      <c r="D570" s="20" t="str">
        <f>IF($A570="","",N(Items!$D567))</f>
        <v/>
      </c>
      <c r="E570" s="23" t="str">
        <f>IF($A570="","",Items!$E567)</f>
        <v/>
      </c>
      <c r="F570" s="23" t="str">
        <f>IF($A570="","",Items!$F567)</f>
        <v/>
      </c>
      <c r="G570" s="26" t="str">
        <f>IF($A570="","",SUMIFS(tblReceipts[Qty Received],tblReceipts[Item Name],$A570))</f>
        <v/>
      </c>
      <c r="H570" s="26" t="str">
        <f>IF($A570="","",SUMIFS(tblIssues[Qty Issued],tblIssues[Item Name],$A570))</f>
        <v/>
      </c>
      <c r="I570" s="27" t="str">
        <f t="shared" si="24"/>
        <v/>
      </c>
      <c r="J570" s="21" t="str">
        <f t="shared" si="25"/>
        <v/>
      </c>
      <c r="K570" s="26" t="str">
        <f>IF($A570="","",COUNTIFS(tblReceipts[Item Name],$A570))</f>
        <v/>
      </c>
      <c r="L570" s="26" t="str">
        <f>IF($A570="","",COUNTIFS(tblLotBalance[Item Name],$A570,tblLotBalance[Lot Balance],"&gt;0"))</f>
        <v/>
      </c>
      <c r="M570" s="24" t="str">
        <f>IF($A570="","",IF($L570=0,"",IFERROR(_xlfn.MINIFS(tblLotBalance[Expiry Date],tblLotBalance[Item Name],$A570,tblLotBalance[Lot Balance],"&gt;0"),"")))</f>
        <v/>
      </c>
      <c r="N570" s="26" t="str">
        <f t="shared" ca="1" si="26"/>
        <v/>
      </c>
      <c r="O570" s="18" t="str" cm="1">
        <f t="array" ref="O570">IF($M570="","",IFERROR(INDEX(tblLotBalance[Lot Number],MATCH(1,INDEX((tblLotBalance[Item Name]=$A570)*(tblLotBalance[Expiry Date]=$M570)*(tblLotBalance[Lot Balance]&gt;0),0),0)),""))</f>
        <v/>
      </c>
      <c r="P570" s="28" t="str">
        <f>IF($A570="","",IF($I570&lt;0,"NEGATIVE",IF(NOT(ISNUMBER($F570)),"Set threshold",IF($I570&lt;=0,"OUT OF STOCK",IF($I570&lt;=$F570,"LOW",IF($I570&lt;=$F570*Settings!$C$7,"WATCH","OK"))))))</f>
        <v/>
      </c>
      <c r="Q570" s="29" t="str">
        <f>IF($A570="","",IF($P570="NEGATIVE","Issued more than received - add the missing receipt",IF($P570="OUT OF STOCK","Reorder immediately",IF($P570="LOW","Raise purchase order",IF($P570="Set threshold","Enter Critical Low in Items",IF(AND($N570&lt;&gt;"",$N570&lt;=0),"Quarantine expired lot",IF(AND($N570&lt;&gt;"",$N570&lt;=Settings!$C$6),"Use or rotate stock now","")))))))</f>
        <v/>
      </c>
    </row>
    <row r="571" spans="1:17" x14ac:dyDescent="0.35">
      <c r="A571" s="18" t="str">
        <f>IF(Items!$A568="","",Items!$A568)</f>
        <v/>
      </c>
      <c r="B571" s="18" t="str">
        <f>IF($A571="","",Items!$B568)</f>
        <v/>
      </c>
      <c r="C571" s="19" t="str">
        <f>IF($A571="","",Items!$G568)</f>
        <v/>
      </c>
      <c r="D571" s="20" t="str">
        <f>IF($A571="","",N(Items!$D568))</f>
        <v/>
      </c>
      <c r="E571" s="23" t="str">
        <f>IF($A571="","",Items!$E568)</f>
        <v/>
      </c>
      <c r="F571" s="23" t="str">
        <f>IF($A571="","",Items!$F568)</f>
        <v/>
      </c>
      <c r="G571" s="26" t="str">
        <f>IF($A571="","",SUMIFS(tblReceipts[Qty Received],tblReceipts[Item Name],$A571))</f>
        <v/>
      </c>
      <c r="H571" s="26" t="str">
        <f>IF($A571="","",SUMIFS(tblIssues[Qty Issued],tblIssues[Item Name],$A571))</f>
        <v/>
      </c>
      <c r="I571" s="27" t="str">
        <f t="shared" si="24"/>
        <v/>
      </c>
      <c r="J571" s="21" t="str">
        <f t="shared" si="25"/>
        <v/>
      </c>
      <c r="K571" s="26" t="str">
        <f>IF($A571="","",COUNTIFS(tblReceipts[Item Name],$A571))</f>
        <v/>
      </c>
      <c r="L571" s="26" t="str">
        <f>IF($A571="","",COUNTIFS(tblLotBalance[Item Name],$A571,tblLotBalance[Lot Balance],"&gt;0"))</f>
        <v/>
      </c>
      <c r="M571" s="24" t="str">
        <f>IF($A571="","",IF($L571=0,"",IFERROR(_xlfn.MINIFS(tblLotBalance[Expiry Date],tblLotBalance[Item Name],$A571,tblLotBalance[Lot Balance],"&gt;0"),"")))</f>
        <v/>
      </c>
      <c r="N571" s="26" t="str">
        <f t="shared" ca="1" si="26"/>
        <v/>
      </c>
      <c r="O571" s="18" t="str" cm="1">
        <f t="array" ref="O571">IF($M571="","",IFERROR(INDEX(tblLotBalance[Lot Number],MATCH(1,INDEX((tblLotBalance[Item Name]=$A571)*(tblLotBalance[Expiry Date]=$M571)*(tblLotBalance[Lot Balance]&gt;0),0),0)),""))</f>
        <v/>
      </c>
      <c r="P571" s="28" t="str">
        <f>IF($A571="","",IF($I571&lt;0,"NEGATIVE",IF(NOT(ISNUMBER($F571)),"Set threshold",IF($I571&lt;=0,"OUT OF STOCK",IF($I571&lt;=$F571,"LOW",IF($I571&lt;=$F571*Settings!$C$7,"WATCH","OK"))))))</f>
        <v/>
      </c>
      <c r="Q571" s="29" t="str">
        <f>IF($A571="","",IF($P571="NEGATIVE","Issued more than received - add the missing receipt",IF($P571="OUT OF STOCK","Reorder immediately",IF($P571="LOW","Raise purchase order",IF($P571="Set threshold","Enter Critical Low in Items",IF(AND($N571&lt;&gt;"",$N571&lt;=0),"Quarantine expired lot",IF(AND($N571&lt;&gt;"",$N571&lt;=Settings!$C$6),"Use or rotate stock now","")))))))</f>
        <v/>
      </c>
    </row>
    <row r="572" spans="1:17" x14ac:dyDescent="0.35">
      <c r="A572" s="18" t="str">
        <f>IF(Items!$A569="","",Items!$A569)</f>
        <v/>
      </c>
      <c r="B572" s="18" t="str">
        <f>IF($A572="","",Items!$B569)</f>
        <v/>
      </c>
      <c r="C572" s="19" t="str">
        <f>IF($A572="","",Items!$G569)</f>
        <v/>
      </c>
      <c r="D572" s="20" t="str">
        <f>IF($A572="","",N(Items!$D569))</f>
        <v/>
      </c>
      <c r="E572" s="23" t="str">
        <f>IF($A572="","",Items!$E569)</f>
        <v/>
      </c>
      <c r="F572" s="23" t="str">
        <f>IF($A572="","",Items!$F569)</f>
        <v/>
      </c>
      <c r="G572" s="26" t="str">
        <f>IF($A572="","",SUMIFS(tblReceipts[Qty Received],tblReceipts[Item Name],$A572))</f>
        <v/>
      </c>
      <c r="H572" s="26" t="str">
        <f>IF($A572="","",SUMIFS(tblIssues[Qty Issued],tblIssues[Item Name],$A572))</f>
        <v/>
      </c>
      <c r="I572" s="27" t="str">
        <f t="shared" si="24"/>
        <v/>
      </c>
      <c r="J572" s="21" t="str">
        <f t="shared" si="25"/>
        <v/>
      </c>
      <c r="K572" s="26" t="str">
        <f>IF($A572="","",COUNTIFS(tblReceipts[Item Name],$A572))</f>
        <v/>
      </c>
      <c r="L572" s="26" t="str">
        <f>IF($A572="","",COUNTIFS(tblLotBalance[Item Name],$A572,tblLotBalance[Lot Balance],"&gt;0"))</f>
        <v/>
      </c>
      <c r="M572" s="24" t="str">
        <f>IF($A572="","",IF($L572=0,"",IFERROR(_xlfn.MINIFS(tblLotBalance[Expiry Date],tblLotBalance[Item Name],$A572,tblLotBalance[Lot Balance],"&gt;0"),"")))</f>
        <v/>
      </c>
      <c r="N572" s="26" t="str">
        <f t="shared" ca="1" si="26"/>
        <v/>
      </c>
      <c r="O572" s="18" t="str" cm="1">
        <f t="array" ref="O572">IF($M572="","",IFERROR(INDEX(tblLotBalance[Lot Number],MATCH(1,INDEX((tblLotBalance[Item Name]=$A572)*(tblLotBalance[Expiry Date]=$M572)*(tblLotBalance[Lot Balance]&gt;0),0),0)),""))</f>
        <v/>
      </c>
      <c r="P572" s="28" t="str">
        <f>IF($A572="","",IF($I572&lt;0,"NEGATIVE",IF(NOT(ISNUMBER($F572)),"Set threshold",IF($I572&lt;=0,"OUT OF STOCK",IF($I572&lt;=$F572,"LOW",IF($I572&lt;=$F572*Settings!$C$7,"WATCH","OK"))))))</f>
        <v/>
      </c>
      <c r="Q572" s="29" t="str">
        <f>IF($A572="","",IF($P572="NEGATIVE","Issued more than received - add the missing receipt",IF($P572="OUT OF STOCK","Reorder immediately",IF($P572="LOW","Raise purchase order",IF($P572="Set threshold","Enter Critical Low in Items",IF(AND($N572&lt;&gt;"",$N572&lt;=0),"Quarantine expired lot",IF(AND($N572&lt;&gt;"",$N572&lt;=Settings!$C$6),"Use or rotate stock now","")))))))</f>
        <v/>
      </c>
    </row>
    <row r="573" spans="1:17" x14ac:dyDescent="0.35">
      <c r="A573" s="18" t="str">
        <f>IF(Items!$A570="","",Items!$A570)</f>
        <v/>
      </c>
      <c r="B573" s="18" t="str">
        <f>IF($A573="","",Items!$B570)</f>
        <v/>
      </c>
      <c r="C573" s="19" t="str">
        <f>IF($A573="","",Items!$G570)</f>
        <v/>
      </c>
      <c r="D573" s="20" t="str">
        <f>IF($A573="","",N(Items!$D570))</f>
        <v/>
      </c>
      <c r="E573" s="23" t="str">
        <f>IF($A573="","",Items!$E570)</f>
        <v/>
      </c>
      <c r="F573" s="23" t="str">
        <f>IF($A573="","",Items!$F570)</f>
        <v/>
      </c>
      <c r="G573" s="26" t="str">
        <f>IF($A573="","",SUMIFS(tblReceipts[Qty Received],tblReceipts[Item Name],$A573))</f>
        <v/>
      </c>
      <c r="H573" s="26" t="str">
        <f>IF($A573="","",SUMIFS(tblIssues[Qty Issued],tblIssues[Item Name],$A573))</f>
        <v/>
      </c>
      <c r="I573" s="27" t="str">
        <f t="shared" si="24"/>
        <v/>
      </c>
      <c r="J573" s="21" t="str">
        <f t="shared" si="25"/>
        <v/>
      </c>
      <c r="K573" s="26" t="str">
        <f>IF($A573="","",COUNTIFS(tblReceipts[Item Name],$A573))</f>
        <v/>
      </c>
      <c r="L573" s="26" t="str">
        <f>IF($A573="","",COUNTIFS(tblLotBalance[Item Name],$A573,tblLotBalance[Lot Balance],"&gt;0"))</f>
        <v/>
      </c>
      <c r="M573" s="24" t="str">
        <f>IF($A573="","",IF($L573=0,"",IFERROR(_xlfn.MINIFS(tblLotBalance[Expiry Date],tblLotBalance[Item Name],$A573,tblLotBalance[Lot Balance],"&gt;0"),"")))</f>
        <v/>
      </c>
      <c r="N573" s="26" t="str">
        <f t="shared" ca="1" si="26"/>
        <v/>
      </c>
      <c r="O573" s="18" t="str" cm="1">
        <f t="array" ref="O573">IF($M573="","",IFERROR(INDEX(tblLotBalance[Lot Number],MATCH(1,INDEX((tblLotBalance[Item Name]=$A573)*(tblLotBalance[Expiry Date]=$M573)*(tblLotBalance[Lot Balance]&gt;0),0),0)),""))</f>
        <v/>
      </c>
      <c r="P573" s="28" t="str">
        <f>IF($A573="","",IF($I573&lt;0,"NEGATIVE",IF(NOT(ISNUMBER($F573)),"Set threshold",IF($I573&lt;=0,"OUT OF STOCK",IF($I573&lt;=$F573,"LOW",IF($I573&lt;=$F573*Settings!$C$7,"WATCH","OK"))))))</f>
        <v/>
      </c>
      <c r="Q573" s="29" t="str">
        <f>IF($A573="","",IF($P573="NEGATIVE","Issued more than received - add the missing receipt",IF($P573="OUT OF STOCK","Reorder immediately",IF($P573="LOW","Raise purchase order",IF($P573="Set threshold","Enter Critical Low in Items",IF(AND($N573&lt;&gt;"",$N573&lt;=0),"Quarantine expired lot",IF(AND($N573&lt;&gt;"",$N573&lt;=Settings!$C$6),"Use or rotate stock now","")))))))</f>
        <v/>
      </c>
    </row>
    <row r="574" spans="1:17" x14ac:dyDescent="0.35">
      <c r="A574" s="18" t="str">
        <f>IF(Items!$A571="","",Items!$A571)</f>
        <v/>
      </c>
      <c r="B574" s="18" t="str">
        <f>IF($A574="","",Items!$B571)</f>
        <v/>
      </c>
      <c r="C574" s="19" t="str">
        <f>IF($A574="","",Items!$G571)</f>
        <v/>
      </c>
      <c r="D574" s="20" t="str">
        <f>IF($A574="","",N(Items!$D571))</f>
        <v/>
      </c>
      <c r="E574" s="23" t="str">
        <f>IF($A574="","",Items!$E571)</f>
        <v/>
      </c>
      <c r="F574" s="23" t="str">
        <f>IF($A574="","",Items!$F571)</f>
        <v/>
      </c>
      <c r="G574" s="26" t="str">
        <f>IF($A574="","",SUMIFS(tblReceipts[Qty Received],tblReceipts[Item Name],$A574))</f>
        <v/>
      </c>
      <c r="H574" s="26" t="str">
        <f>IF($A574="","",SUMIFS(tblIssues[Qty Issued],tblIssues[Item Name],$A574))</f>
        <v/>
      </c>
      <c r="I574" s="27" t="str">
        <f t="shared" si="24"/>
        <v/>
      </c>
      <c r="J574" s="21" t="str">
        <f t="shared" si="25"/>
        <v/>
      </c>
      <c r="K574" s="26" t="str">
        <f>IF($A574="","",COUNTIFS(tblReceipts[Item Name],$A574))</f>
        <v/>
      </c>
      <c r="L574" s="26" t="str">
        <f>IF($A574="","",COUNTIFS(tblLotBalance[Item Name],$A574,tblLotBalance[Lot Balance],"&gt;0"))</f>
        <v/>
      </c>
      <c r="M574" s="24" t="str">
        <f>IF($A574="","",IF($L574=0,"",IFERROR(_xlfn.MINIFS(tblLotBalance[Expiry Date],tblLotBalance[Item Name],$A574,tblLotBalance[Lot Balance],"&gt;0"),"")))</f>
        <v/>
      </c>
      <c r="N574" s="26" t="str">
        <f t="shared" ca="1" si="26"/>
        <v/>
      </c>
      <c r="O574" s="18" t="str" cm="1">
        <f t="array" ref="O574">IF($M574="","",IFERROR(INDEX(tblLotBalance[Lot Number],MATCH(1,INDEX((tblLotBalance[Item Name]=$A574)*(tblLotBalance[Expiry Date]=$M574)*(tblLotBalance[Lot Balance]&gt;0),0),0)),""))</f>
        <v/>
      </c>
      <c r="P574" s="28" t="str">
        <f>IF($A574="","",IF($I574&lt;0,"NEGATIVE",IF(NOT(ISNUMBER($F574)),"Set threshold",IF($I574&lt;=0,"OUT OF STOCK",IF($I574&lt;=$F574,"LOW",IF($I574&lt;=$F574*Settings!$C$7,"WATCH","OK"))))))</f>
        <v/>
      </c>
      <c r="Q574" s="29" t="str">
        <f>IF($A574="","",IF($P574="NEGATIVE","Issued more than received - add the missing receipt",IF($P574="OUT OF STOCK","Reorder immediately",IF($P574="LOW","Raise purchase order",IF($P574="Set threshold","Enter Critical Low in Items",IF(AND($N574&lt;&gt;"",$N574&lt;=0),"Quarantine expired lot",IF(AND($N574&lt;&gt;"",$N574&lt;=Settings!$C$6),"Use or rotate stock now","")))))))</f>
        <v/>
      </c>
    </row>
    <row r="575" spans="1:17" x14ac:dyDescent="0.35">
      <c r="A575" s="18" t="str">
        <f>IF(Items!$A572="","",Items!$A572)</f>
        <v/>
      </c>
      <c r="B575" s="18" t="str">
        <f>IF($A575="","",Items!$B572)</f>
        <v/>
      </c>
      <c r="C575" s="19" t="str">
        <f>IF($A575="","",Items!$G572)</f>
        <v/>
      </c>
      <c r="D575" s="20" t="str">
        <f>IF($A575="","",N(Items!$D572))</f>
        <v/>
      </c>
      <c r="E575" s="23" t="str">
        <f>IF($A575="","",Items!$E572)</f>
        <v/>
      </c>
      <c r="F575" s="23" t="str">
        <f>IF($A575="","",Items!$F572)</f>
        <v/>
      </c>
      <c r="G575" s="26" t="str">
        <f>IF($A575="","",SUMIFS(tblReceipts[Qty Received],tblReceipts[Item Name],$A575))</f>
        <v/>
      </c>
      <c r="H575" s="26" t="str">
        <f>IF($A575="","",SUMIFS(tblIssues[Qty Issued],tblIssues[Item Name],$A575))</f>
        <v/>
      </c>
      <c r="I575" s="27" t="str">
        <f t="shared" si="24"/>
        <v/>
      </c>
      <c r="J575" s="21" t="str">
        <f t="shared" si="25"/>
        <v/>
      </c>
      <c r="K575" s="26" t="str">
        <f>IF($A575="","",COUNTIFS(tblReceipts[Item Name],$A575))</f>
        <v/>
      </c>
      <c r="L575" s="26" t="str">
        <f>IF($A575="","",COUNTIFS(tblLotBalance[Item Name],$A575,tblLotBalance[Lot Balance],"&gt;0"))</f>
        <v/>
      </c>
      <c r="M575" s="24" t="str">
        <f>IF($A575="","",IF($L575=0,"",IFERROR(_xlfn.MINIFS(tblLotBalance[Expiry Date],tblLotBalance[Item Name],$A575,tblLotBalance[Lot Balance],"&gt;0"),"")))</f>
        <v/>
      </c>
      <c r="N575" s="26" t="str">
        <f t="shared" ca="1" si="26"/>
        <v/>
      </c>
      <c r="O575" s="18" t="str" cm="1">
        <f t="array" ref="O575">IF($M575="","",IFERROR(INDEX(tblLotBalance[Lot Number],MATCH(1,INDEX((tblLotBalance[Item Name]=$A575)*(tblLotBalance[Expiry Date]=$M575)*(tblLotBalance[Lot Balance]&gt;0),0),0)),""))</f>
        <v/>
      </c>
      <c r="P575" s="28" t="str">
        <f>IF($A575="","",IF($I575&lt;0,"NEGATIVE",IF(NOT(ISNUMBER($F575)),"Set threshold",IF($I575&lt;=0,"OUT OF STOCK",IF($I575&lt;=$F575,"LOW",IF($I575&lt;=$F575*Settings!$C$7,"WATCH","OK"))))))</f>
        <v/>
      </c>
      <c r="Q575" s="29" t="str">
        <f>IF($A575="","",IF($P575="NEGATIVE","Issued more than received - add the missing receipt",IF($P575="OUT OF STOCK","Reorder immediately",IF($P575="LOW","Raise purchase order",IF($P575="Set threshold","Enter Critical Low in Items",IF(AND($N575&lt;&gt;"",$N575&lt;=0),"Quarantine expired lot",IF(AND($N575&lt;&gt;"",$N575&lt;=Settings!$C$6),"Use or rotate stock now","")))))))</f>
        <v/>
      </c>
    </row>
    <row r="576" spans="1:17" x14ac:dyDescent="0.35">
      <c r="A576" s="18" t="str">
        <f>IF(Items!$A573="","",Items!$A573)</f>
        <v/>
      </c>
      <c r="B576" s="18" t="str">
        <f>IF($A576="","",Items!$B573)</f>
        <v/>
      </c>
      <c r="C576" s="19" t="str">
        <f>IF($A576="","",Items!$G573)</f>
        <v/>
      </c>
      <c r="D576" s="20" t="str">
        <f>IF($A576="","",N(Items!$D573))</f>
        <v/>
      </c>
      <c r="E576" s="23" t="str">
        <f>IF($A576="","",Items!$E573)</f>
        <v/>
      </c>
      <c r="F576" s="23" t="str">
        <f>IF($A576="","",Items!$F573)</f>
        <v/>
      </c>
      <c r="G576" s="26" t="str">
        <f>IF($A576="","",SUMIFS(tblReceipts[Qty Received],tblReceipts[Item Name],$A576))</f>
        <v/>
      </c>
      <c r="H576" s="26" t="str">
        <f>IF($A576="","",SUMIFS(tblIssues[Qty Issued],tblIssues[Item Name],$A576))</f>
        <v/>
      </c>
      <c r="I576" s="27" t="str">
        <f t="shared" si="24"/>
        <v/>
      </c>
      <c r="J576" s="21" t="str">
        <f t="shared" si="25"/>
        <v/>
      </c>
      <c r="K576" s="26" t="str">
        <f>IF($A576="","",COUNTIFS(tblReceipts[Item Name],$A576))</f>
        <v/>
      </c>
      <c r="L576" s="26" t="str">
        <f>IF($A576="","",COUNTIFS(tblLotBalance[Item Name],$A576,tblLotBalance[Lot Balance],"&gt;0"))</f>
        <v/>
      </c>
      <c r="M576" s="24" t="str">
        <f>IF($A576="","",IF($L576=0,"",IFERROR(_xlfn.MINIFS(tblLotBalance[Expiry Date],tblLotBalance[Item Name],$A576,tblLotBalance[Lot Balance],"&gt;0"),"")))</f>
        <v/>
      </c>
      <c r="N576" s="26" t="str">
        <f t="shared" ca="1" si="26"/>
        <v/>
      </c>
      <c r="O576" s="18" t="str" cm="1">
        <f t="array" ref="O576">IF($M576="","",IFERROR(INDEX(tblLotBalance[Lot Number],MATCH(1,INDEX((tblLotBalance[Item Name]=$A576)*(tblLotBalance[Expiry Date]=$M576)*(tblLotBalance[Lot Balance]&gt;0),0),0)),""))</f>
        <v/>
      </c>
      <c r="P576" s="28" t="str">
        <f>IF($A576="","",IF($I576&lt;0,"NEGATIVE",IF(NOT(ISNUMBER($F576)),"Set threshold",IF($I576&lt;=0,"OUT OF STOCK",IF($I576&lt;=$F576,"LOW",IF($I576&lt;=$F576*Settings!$C$7,"WATCH","OK"))))))</f>
        <v/>
      </c>
      <c r="Q576" s="29" t="str">
        <f>IF($A576="","",IF($P576="NEGATIVE","Issued more than received - add the missing receipt",IF($P576="OUT OF STOCK","Reorder immediately",IF($P576="LOW","Raise purchase order",IF($P576="Set threshold","Enter Critical Low in Items",IF(AND($N576&lt;&gt;"",$N576&lt;=0),"Quarantine expired lot",IF(AND($N576&lt;&gt;"",$N576&lt;=Settings!$C$6),"Use or rotate stock now","")))))))</f>
        <v/>
      </c>
    </row>
    <row r="577" spans="1:17" x14ac:dyDescent="0.35">
      <c r="A577" s="18" t="str">
        <f>IF(Items!$A574="","",Items!$A574)</f>
        <v/>
      </c>
      <c r="B577" s="18" t="str">
        <f>IF($A577="","",Items!$B574)</f>
        <v/>
      </c>
      <c r="C577" s="19" t="str">
        <f>IF($A577="","",Items!$G574)</f>
        <v/>
      </c>
      <c r="D577" s="20" t="str">
        <f>IF($A577="","",N(Items!$D574))</f>
        <v/>
      </c>
      <c r="E577" s="23" t="str">
        <f>IF($A577="","",Items!$E574)</f>
        <v/>
      </c>
      <c r="F577" s="23" t="str">
        <f>IF($A577="","",Items!$F574)</f>
        <v/>
      </c>
      <c r="G577" s="26" t="str">
        <f>IF($A577="","",SUMIFS(tblReceipts[Qty Received],tblReceipts[Item Name],$A577))</f>
        <v/>
      </c>
      <c r="H577" s="26" t="str">
        <f>IF($A577="","",SUMIFS(tblIssues[Qty Issued],tblIssues[Item Name],$A577))</f>
        <v/>
      </c>
      <c r="I577" s="27" t="str">
        <f t="shared" si="24"/>
        <v/>
      </c>
      <c r="J577" s="21" t="str">
        <f t="shared" si="25"/>
        <v/>
      </c>
      <c r="K577" s="26" t="str">
        <f>IF($A577="","",COUNTIFS(tblReceipts[Item Name],$A577))</f>
        <v/>
      </c>
      <c r="L577" s="26" t="str">
        <f>IF($A577="","",COUNTIFS(tblLotBalance[Item Name],$A577,tblLotBalance[Lot Balance],"&gt;0"))</f>
        <v/>
      </c>
      <c r="M577" s="24" t="str">
        <f>IF($A577="","",IF($L577=0,"",IFERROR(_xlfn.MINIFS(tblLotBalance[Expiry Date],tblLotBalance[Item Name],$A577,tblLotBalance[Lot Balance],"&gt;0"),"")))</f>
        <v/>
      </c>
      <c r="N577" s="26" t="str">
        <f t="shared" ca="1" si="26"/>
        <v/>
      </c>
      <c r="O577" s="18" t="str" cm="1">
        <f t="array" ref="O577">IF($M577="","",IFERROR(INDEX(tblLotBalance[Lot Number],MATCH(1,INDEX((tblLotBalance[Item Name]=$A577)*(tblLotBalance[Expiry Date]=$M577)*(tblLotBalance[Lot Balance]&gt;0),0),0)),""))</f>
        <v/>
      </c>
      <c r="P577" s="28" t="str">
        <f>IF($A577="","",IF($I577&lt;0,"NEGATIVE",IF(NOT(ISNUMBER($F577)),"Set threshold",IF($I577&lt;=0,"OUT OF STOCK",IF($I577&lt;=$F577,"LOW",IF($I577&lt;=$F577*Settings!$C$7,"WATCH","OK"))))))</f>
        <v/>
      </c>
      <c r="Q577" s="29" t="str">
        <f>IF($A577="","",IF($P577="NEGATIVE","Issued more than received - add the missing receipt",IF($P577="OUT OF STOCK","Reorder immediately",IF($P577="LOW","Raise purchase order",IF($P577="Set threshold","Enter Critical Low in Items",IF(AND($N577&lt;&gt;"",$N577&lt;=0),"Quarantine expired lot",IF(AND($N577&lt;&gt;"",$N577&lt;=Settings!$C$6),"Use or rotate stock now","")))))))</f>
        <v/>
      </c>
    </row>
    <row r="578" spans="1:17" x14ac:dyDescent="0.35">
      <c r="A578" s="18" t="str">
        <f>IF(Items!$A575="","",Items!$A575)</f>
        <v/>
      </c>
      <c r="B578" s="18" t="str">
        <f>IF($A578="","",Items!$B575)</f>
        <v/>
      </c>
      <c r="C578" s="19" t="str">
        <f>IF($A578="","",Items!$G575)</f>
        <v/>
      </c>
      <c r="D578" s="20" t="str">
        <f>IF($A578="","",N(Items!$D575))</f>
        <v/>
      </c>
      <c r="E578" s="23" t="str">
        <f>IF($A578="","",Items!$E575)</f>
        <v/>
      </c>
      <c r="F578" s="23" t="str">
        <f>IF($A578="","",Items!$F575)</f>
        <v/>
      </c>
      <c r="G578" s="26" t="str">
        <f>IF($A578="","",SUMIFS(tblReceipts[Qty Received],tblReceipts[Item Name],$A578))</f>
        <v/>
      </c>
      <c r="H578" s="26" t="str">
        <f>IF($A578="","",SUMIFS(tblIssues[Qty Issued],tblIssues[Item Name],$A578))</f>
        <v/>
      </c>
      <c r="I578" s="27" t="str">
        <f t="shared" si="24"/>
        <v/>
      </c>
      <c r="J578" s="21" t="str">
        <f t="shared" si="25"/>
        <v/>
      </c>
      <c r="K578" s="26" t="str">
        <f>IF($A578="","",COUNTIFS(tblReceipts[Item Name],$A578))</f>
        <v/>
      </c>
      <c r="L578" s="26" t="str">
        <f>IF($A578="","",COUNTIFS(tblLotBalance[Item Name],$A578,tblLotBalance[Lot Balance],"&gt;0"))</f>
        <v/>
      </c>
      <c r="M578" s="24" t="str">
        <f>IF($A578="","",IF($L578=0,"",IFERROR(_xlfn.MINIFS(tblLotBalance[Expiry Date],tblLotBalance[Item Name],$A578,tblLotBalance[Lot Balance],"&gt;0"),"")))</f>
        <v/>
      </c>
      <c r="N578" s="26" t="str">
        <f t="shared" ca="1" si="26"/>
        <v/>
      </c>
      <c r="O578" s="18" t="str" cm="1">
        <f t="array" ref="O578">IF($M578="","",IFERROR(INDEX(tblLotBalance[Lot Number],MATCH(1,INDEX((tblLotBalance[Item Name]=$A578)*(tblLotBalance[Expiry Date]=$M578)*(tblLotBalance[Lot Balance]&gt;0),0),0)),""))</f>
        <v/>
      </c>
      <c r="P578" s="28" t="str">
        <f>IF($A578="","",IF($I578&lt;0,"NEGATIVE",IF(NOT(ISNUMBER($F578)),"Set threshold",IF($I578&lt;=0,"OUT OF STOCK",IF($I578&lt;=$F578,"LOW",IF($I578&lt;=$F578*Settings!$C$7,"WATCH","OK"))))))</f>
        <v/>
      </c>
      <c r="Q578" s="29" t="str">
        <f>IF($A578="","",IF($P578="NEGATIVE","Issued more than received - add the missing receipt",IF($P578="OUT OF STOCK","Reorder immediately",IF($P578="LOW","Raise purchase order",IF($P578="Set threshold","Enter Critical Low in Items",IF(AND($N578&lt;&gt;"",$N578&lt;=0),"Quarantine expired lot",IF(AND($N578&lt;&gt;"",$N578&lt;=Settings!$C$6),"Use or rotate stock now","")))))))</f>
        <v/>
      </c>
    </row>
    <row r="579" spans="1:17" x14ac:dyDescent="0.35">
      <c r="A579" s="18" t="str">
        <f>IF(Items!$A576="","",Items!$A576)</f>
        <v/>
      </c>
      <c r="B579" s="18" t="str">
        <f>IF($A579="","",Items!$B576)</f>
        <v/>
      </c>
      <c r="C579" s="19" t="str">
        <f>IF($A579="","",Items!$G576)</f>
        <v/>
      </c>
      <c r="D579" s="20" t="str">
        <f>IF($A579="","",N(Items!$D576))</f>
        <v/>
      </c>
      <c r="E579" s="23" t="str">
        <f>IF($A579="","",Items!$E576)</f>
        <v/>
      </c>
      <c r="F579" s="23" t="str">
        <f>IF($A579="","",Items!$F576)</f>
        <v/>
      </c>
      <c r="G579" s="26" t="str">
        <f>IF($A579="","",SUMIFS(tblReceipts[Qty Received],tblReceipts[Item Name],$A579))</f>
        <v/>
      </c>
      <c r="H579" s="26" t="str">
        <f>IF($A579="","",SUMIFS(tblIssues[Qty Issued],tblIssues[Item Name],$A579))</f>
        <v/>
      </c>
      <c r="I579" s="27" t="str">
        <f t="shared" si="24"/>
        <v/>
      </c>
      <c r="J579" s="21" t="str">
        <f t="shared" si="25"/>
        <v/>
      </c>
      <c r="K579" s="26" t="str">
        <f>IF($A579="","",COUNTIFS(tblReceipts[Item Name],$A579))</f>
        <v/>
      </c>
      <c r="L579" s="26" t="str">
        <f>IF($A579="","",COUNTIFS(tblLotBalance[Item Name],$A579,tblLotBalance[Lot Balance],"&gt;0"))</f>
        <v/>
      </c>
      <c r="M579" s="24" t="str">
        <f>IF($A579="","",IF($L579=0,"",IFERROR(_xlfn.MINIFS(tblLotBalance[Expiry Date],tblLotBalance[Item Name],$A579,tblLotBalance[Lot Balance],"&gt;0"),"")))</f>
        <v/>
      </c>
      <c r="N579" s="26" t="str">
        <f t="shared" ca="1" si="26"/>
        <v/>
      </c>
      <c r="O579" s="18" t="str" cm="1">
        <f t="array" ref="O579">IF($M579="","",IFERROR(INDEX(tblLotBalance[Lot Number],MATCH(1,INDEX((tblLotBalance[Item Name]=$A579)*(tblLotBalance[Expiry Date]=$M579)*(tblLotBalance[Lot Balance]&gt;0),0),0)),""))</f>
        <v/>
      </c>
      <c r="P579" s="28" t="str">
        <f>IF($A579="","",IF($I579&lt;0,"NEGATIVE",IF(NOT(ISNUMBER($F579)),"Set threshold",IF($I579&lt;=0,"OUT OF STOCK",IF($I579&lt;=$F579,"LOW",IF($I579&lt;=$F579*Settings!$C$7,"WATCH","OK"))))))</f>
        <v/>
      </c>
      <c r="Q579" s="29" t="str">
        <f>IF($A579="","",IF($P579="NEGATIVE","Issued more than received - add the missing receipt",IF($P579="OUT OF STOCK","Reorder immediately",IF($P579="LOW","Raise purchase order",IF($P579="Set threshold","Enter Critical Low in Items",IF(AND($N579&lt;&gt;"",$N579&lt;=0),"Quarantine expired lot",IF(AND($N579&lt;&gt;"",$N579&lt;=Settings!$C$6),"Use or rotate stock now","")))))))</f>
        <v/>
      </c>
    </row>
    <row r="580" spans="1:17" x14ac:dyDescent="0.35">
      <c r="A580" s="18" t="str">
        <f>IF(Items!$A577="","",Items!$A577)</f>
        <v/>
      </c>
      <c r="B580" s="18" t="str">
        <f>IF($A580="","",Items!$B577)</f>
        <v/>
      </c>
      <c r="C580" s="19" t="str">
        <f>IF($A580="","",Items!$G577)</f>
        <v/>
      </c>
      <c r="D580" s="20" t="str">
        <f>IF($A580="","",N(Items!$D577))</f>
        <v/>
      </c>
      <c r="E580" s="23" t="str">
        <f>IF($A580="","",Items!$E577)</f>
        <v/>
      </c>
      <c r="F580" s="23" t="str">
        <f>IF($A580="","",Items!$F577)</f>
        <v/>
      </c>
      <c r="G580" s="26" t="str">
        <f>IF($A580="","",SUMIFS(tblReceipts[Qty Received],tblReceipts[Item Name],$A580))</f>
        <v/>
      </c>
      <c r="H580" s="26" t="str">
        <f>IF($A580="","",SUMIFS(tblIssues[Qty Issued],tblIssues[Item Name],$A580))</f>
        <v/>
      </c>
      <c r="I580" s="27" t="str">
        <f t="shared" si="24"/>
        <v/>
      </c>
      <c r="J580" s="21" t="str">
        <f t="shared" si="25"/>
        <v/>
      </c>
      <c r="K580" s="26" t="str">
        <f>IF($A580="","",COUNTIFS(tblReceipts[Item Name],$A580))</f>
        <v/>
      </c>
      <c r="L580" s="26" t="str">
        <f>IF($A580="","",COUNTIFS(tblLotBalance[Item Name],$A580,tblLotBalance[Lot Balance],"&gt;0"))</f>
        <v/>
      </c>
      <c r="M580" s="24" t="str">
        <f>IF($A580="","",IF($L580=0,"",IFERROR(_xlfn.MINIFS(tblLotBalance[Expiry Date],tblLotBalance[Item Name],$A580,tblLotBalance[Lot Balance],"&gt;0"),"")))</f>
        <v/>
      </c>
      <c r="N580" s="26" t="str">
        <f t="shared" ca="1" si="26"/>
        <v/>
      </c>
      <c r="O580" s="18" t="str" cm="1">
        <f t="array" ref="O580">IF($M580="","",IFERROR(INDEX(tblLotBalance[Lot Number],MATCH(1,INDEX((tblLotBalance[Item Name]=$A580)*(tblLotBalance[Expiry Date]=$M580)*(tblLotBalance[Lot Balance]&gt;0),0),0)),""))</f>
        <v/>
      </c>
      <c r="P580" s="28" t="str">
        <f>IF($A580="","",IF($I580&lt;0,"NEGATIVE",IF(NOT(ISNUMBER($F580)),"Set threshold",IF($I580&lt;=0,"OUT OF STOCK",IF($I580&lt;=$F580,"LOW",IF($I580&lt;=$F580*Settings!$C$7,"WATCH","OK"))))))</f>
        <v/>
      </c>
      <c r="Q580" s="29" t="str">
        <f>IF($A580="","",IF($P580="NEGATIVE","Issued more than received - add the missing receipt",IF($P580="OUT OF STOCK","Reorder immediately",IF($P580="LOW","Raise purchase order",IF($P580="Set threshold","Enter Critical Low in Items",IF(AND($N580&lt;&gt;"",$N580&lt;=0),"Quarantine expired lot",IF(AND($N580&lt;&gt;"",$N580&lt;=Settings!$C$6),"Use or rotate stock now","")))))))</f>
        <v/>
      </c>
    </row>
    <row r="581" spans="1:17" x14ac:dyDescent="0.35">
      <c r="A581" s="18" t="str">
        <f>IF(Items!$A578="","",Items!$A578)</f>
        <v/>
      </c>
      <c r="B581" s="18" t="str">
        <f>IF($A581="","",Items!$B578)</f>
        <v/>
      </c>
      <c r="C581" s="19" t="str">
        <f>IF($A581="","",Items!$G578)</f>
        <v/>
      </c>
      <c r="D581" s="20" t="str">
        <f>IF($A581="","",N(Items!$D578))</f>
        <v/>
      </c>
      <c r="E581" s="23" t="str">
        <f>IF($A581="","",Items!$E578)</f>
        <v/>
      </c>
      <c r="F581" s="23" t="str">
        <f>IF($A581="","",Items!$F578)</f>
        <v/>
      </c>
      <c r="G581" s="26" t="str">
        <f>IF($A581="","",SUMIFS(tblReceipts[Qty Received],tblReceipts[Item Name],$A581))</f>
        <v/>
      </c>
      <c r="H581" s="26" t="str">
        <f>IF($A581="","",SUMIFS(tblIssues[Qty Issued],tblIssues[Item Name],$A581))</f>
        <v/>
      </c>
      <c r="I581" s="27" t="str">
        <f t="shared" ref="I581:I600" si="27">IF($A581="","",$G581-$H581)</f>
        <v/>
      </c>
      <c r="J581" s="21" t="str">
        <f t="shared" ref="J581:J600" si="28">IF($A581="","",$I581*$D581)</f>
        <v/>
      </c>
      <c r="K581" s="26" t="str">
        <f>IF($A581="","",COUNTIFS(tblReceipts[Item Name],$A581))</f>
        <v/>
      </c>
      <c r="L581" s="26" t="str">
        <f>IF($A581="","",COUNTIFS(tblLotBalance[Item Name],$A581,tblLotBalance[Lot Balance],"&gt;0"))</f>
        <v/>
      </c>
      <c r="M581" s="24" t="str">
        <f>IF($A581="","",IF($L581=0,"",IFERROR(_xlfn.MINIFS(tblLotBalance[Expiry Date],tblLotBalance[Item Name],$A581,tblLotBalance[Lot Balance],"&gt;0"),"")))</f>
        <v/>
      </c>
      <c r="N581" s="26" t="str">
        <f t="shared" ref="N581:N600" ca="1" si="29">IF($M581="","",$M581-TODAY())</f>
        <v/>
      </c>
      <c r="O581" s="18" t="str" cm="1">
        <f t="array" ref="O581">IF($M581="","",IFERROR(INDEX(tblLotBalance[Lot Number],MATCH(1,INDEX((tblLotBalance[Item Name]=$A581)*(tblLotBalance[Expiry Date]=$M581)*(tblLotBalance[Lot Balance]&gt;0),0),0)),""))</f>
        <v/>
      </c>
      <c r="P581" s="28" t="str">
        <f>IF($A581="","",IF($I581&lt;0,"NEGATIVE",IF(NOT(ISNUMBER($F581)),"Set threshold",IF($I581&lt;=0,"OUT OF STOCK",IF($I581&lt;=$F581,"LOW",IF($I581&lt;=$F581*Settings!$C$7,"WATCH","OK"))))))</f>
        <v/>
      </c>
      <c r="Q581" s="29" t="str">
        <f>IF($A581="","",IF($P581="NEGATIVE","Issued more than received - add the missing receipt",IF($P581="OUT OF STOCK","Reorder immediately",IF($P581="LOW","Raise purchase order",IF($P581="Set threshold","Enter Critical Low in Items",IF(AND($N581&lt;&gt;"",$N581&lt;=0),"Quarantine expired lot",IF(AND($N581&lt;&gt;"",$N581&lt;=Settings!$C$6),"Use or rotate stock now","")))))))</f>
        <v/>
      </c>
    </row>
    <row r="582" spans="1:17" x14ac:dyDescent="0.35">
      <c r="A582" s="18" t="str">
        <f>IF(Items!$A579="","",Items!$A579)</f>
        <v/>
      </c>
      <c r="B582" s="18" t="str">
        <f>IF($A582="","",Items!$B579)</f>
        <v/>
      </c>
      <c r="C582" s="19" t="str">
        <f>IF($A582="","",Items!$G579)</f>
        <v/>
      </c>
      <c r="D582" s="20" t="str">
        <f>IF($A582="","",N(Items!$D579))</f>
        <v/>
      </c>
      <c r="E582" s="23" t="str">
        <f>IF($A582="","",Items!$E579)</f>
        <v/>
      </c>
      <c r="F582" s="23" t="str">
        <f>IF($A582="","",Items!$F579)</f>
        <v/>
      </c>
      <c r="G582" s="26" t="str">
        <f>IF($A582="","",SUMIFS(tblReceipts[Qty Received],tblReceipts[Item Name],$A582))</f>
        <v/>
      </c>
      <c r="H582" s="26" t="str">
        <f>IF($A582="","",SUMIFS(tblIssues[Qty Issued],tblIssues[Item Name],$A582))</f>
        <v/>
      </c>
      <c r="I582" s="27" t="str">
        <f t="shared" si="27"/>
        <v/>
      </c>
      <c r="J582" s="21" t="str">
        <f t="shared" si="28"/>
        <v/>
      </c>
      <c r="K582" s="26" t="str">
        <f>IF($A582="","",COUNTIFS(tblReceipts[Item Name],$A582))</f>
        <v/>
      </c>
      <c r="L582" s="26" t="str">
        <f>IF($A582="","",COUNTIFS(tblLotBalance[Item Name],$A582,tblLotBalance[Lot Balance],"&gt;0"))</f>
        <v/>
      </c>
      <c r="M582" s="24" t="str">
        <f>IF($A582="","",IF($L582=0,"",IFERROR(_xlfn.MINIFS(tblLotBalance[Expiry Date],tblLotBalance[Item Name],$A582,tblLotBalance[Lot Balance],"&gt;0"),"")))</f>
        <v/>
      </c>
      <c r="N582" s="26" t="str">
        <f t="shared" ca="1" si="29"/>
        <v/>
      </c>
      <c r="O582" s="18" t="str" cm="1">
        <f t="array" ref="O582">IF($M582="","",IFERROR(INDEX(tblLotBalance[Lot Number],MATCH(1,INDEX((tblLotBalance[Item Name]=$A582)*(tblLotBalance[Expiry Date]=$M582)*(tblLotBalance[Lot Balance]&gt;0),0),0)),""))</f>
        <v/>
      </c>
      <c r="P582" s="28" t="str">
        <f>IF($A582="","",IF($I582&lt;0,"NEGATIVE",IF(NOT(ISNUMBER($F582)),"Set threshold",IF($I582&lt;=0,"OUT OF STOCK",IF($I582&lt;=$F582,"LOW",IF($I582&lt;=$F582*Settings!$C$7,"WATCH","OK"))))))</f>
        <v/>
      </c>
      <c r="Q582" s="29" t="str">
        <f>IF($A582="","",IF($P582="NEGATIVE","Issued more than received - add the missing receipt",IF($P582="OUT OF STOCK","Reorder immediately",IF($P582="LOW","Raise purchase order",IF($P582="Set threshold","Enter Critical Low in Items",IF(AND($N582&lt;&gt;"",$N582&lt;=0),"Quarantine expired lot",IF(AND($N582&lt;&gt;"",$N582&lt;=Settings!$C$6),"Use or rotate stock now","")))))))</f>
        <v/>
      </c>
    </row>
    <row r="583" spans="1:17" x14ac:dyDescent="0.35">
      <c r="A583" s="18" t="str">
        <f>IF(Items!$A580="","",Items!$A580)</f>
        <v/>
      </c>
      <c r="B583" s="18" t="str">
        <f>IF($A583="","",Items!$B580)</f>
        <v/>
      </c>
      <c r="C583" s="19" t="str">
        <f>IF($A583="","",Items!$G580)</f>
        <v/>
      </c>
      <c r="D583" s="20" t="str">
        <f>IF($A583="","",N(Items!$D580))</f>
        <v/>
      </c>
      <c r="E583" s="23" t="str">
        <f>IF($A583="","",Items!$E580)</f>
        <v/>
      </c>
      <c r="F583" s="23" t="str">
        <f>IF($A583="","",Items!$F580)</f>
        <v/>
      </c>
      <c r="G583" s="26" t="str">
        <f>IF($A583="","",SUMIFS(tblReceipts[Qty Received],tblReceipts[Item Name],$A583))</f>
        <v/>
      </c>
      <c r="H583" s="26" t="str">
        <f>IF($A583="","",SUMIFS(tblIssues[Qty Issued],tblIssues[Item Name],$A583))</f>
        <v/>
      </c>
      <c r="I583" s="27" t="str">
        <f t="shared" si="27"/>
        <v/>
      </c>
      <c r="J583" s="21" t="str">
        <f t="shared" si="28"/>
        <v/>
      </c>
      <c r="K583" s="26" t="str">
        <f>IF($A583="","",COUNTIFS(tblReceipts[Item Name],$A583))</f>
        <v/>
      </c>
      <c r="L583" s="26" t="str">
        <f>IF($A583="","",COUNTIFS(tblLotBalance[Item Name],$A583,tblLotBalance[Lot Balance],"&gt;0"))</f>
        <v/>
      </c>
      <c r="M583" s="24" t="str">
        <f>IF($A583="","",IF($L583=0,"",IFERROR(_xlfn.MINIFS(tblLotBalance[Expiry Date],tblLotBalance[Item Name],$A583,tblLotBalance[Lot Balance],"&gt;0"),"")))</f>
        <v/>
      </c>
      <c r="N583" s="26" t="str">
        <f t="shared" ca="1" si="29"/>
        <v/>
      </c>
      <c r="O583" s="18" t="str" cm="1">
        <f t="array" ref="O583">IF($M583="","",IFERROR(INDEX(tblLotBalance[Lot Number],MATCH(1,INDEX((tblLotBalance[Item Name]=$A583)*(tblLotBalance[Expiry Date]=$M583)*(tblLotBalance[Lot Balance]&gt;0),0),0)),""))</f>
        <v/>
      </c>
      <c r="P583" s="28" t="str">
        <f>IF($A583="","",IF($I583&lt;0,"NEGATIVE",IF(NOT(ISNUMBER($F583)),"Set threshold",IF($I583&lt;=0,"OUT OF STOCK",IF($I583&lt;=$F583,"LOW",IF($I583&lt;=$F583*Settings!$C$7,"WATCH","OK"))))))</f>
        <v/>
      </c>
      <c r="Q583" s="29" t="str">
        <f>IF($A583="","",IF($P583="NEGATIVE","Issued more than received - add the missing receipt",IF($P583="OUT OF STOCK","Reorder immediately",IF($P583="LOW","Raise purchase order",IF($P583="Set threshold","Enter Critical Low in Items",IF(AND($N583&lt;&gt;"",$N583&lt;=0),"Quarantine expired lot",IF(AND($N583&lt;&gt;"",$N583&lt;=Settings!$C$6),"Use or rotate stock now","")))))))</f>
        <v/>
      </c>
    </row>
    <row r="584" spans="1:17" x14ac:dyDescent="0.35">
      <c r="A584" s="18" t="str">
        <f>IF(Items!$A581="","",Items!$A581)</f>
        <v/>
      </c>
      <c r="B584" s="18" t="str">
        <f>IF($A584="","",Items!$B581)</f>
        <v/>
      </c>
      <c r="C584" s="19" t="str">
        <f>IF($A584="","",Items!$G581)</f>
        <v/>
      </c>
      <c r="D584" s="20" t="str">
        <f>IF($A584="","",N(Items!$D581))</f>
        <v/>
      </c>
      <c r="E584" s="23" t="str">
        <f>IF($A584="","",Items!$E581)</f>
        <v/>
      </c>
      <c r="F584" s="23" t="str">
        <f>IF($A584="","",Items!$F581)</f>
        <v/>
      </c>
      <c r="G584" s="26" t="str">
        <f>IF($A584="","",SUMIFS(tblReceipts[Qty Received],tblReceipts[Item Name],$A584))</f>
        <v/>
      </c>
      <c r="H584" s="26" t="str">
        <f>IF($A584="","",SUMIFS(tblIssues[Qty Issued],tblIssues[Item Name],$A584))</f>
        <v/>
      </c>
      <c r="I584" s="27" t="str">
        <f t="shared" si="27"/>
        <v/>
      </c>
      <c r="J584" s="21" t="str">
        <f t="shared" si="28"/>
        <v/>
      </c>
      <c r="K584" s="26" t="str">
        <f>IF($A584="","",COUNTIFS(tblReceipts[Item Name],$A584))</f>
        <v/>
      </c>
      <c r="L584" s="26" t="str">
        <f>IF($A584="","",COUNTIFS(tblLotBalance[Item Name],$A584,tblLotBalance[Lot Balance],"&gt;0"))</f>
        <v/>
      </c>
      <c r="M584" s="24" t="str">
        <f>IF($A584="","",IF($L584=0,"",IFERROR(_xlfn.MINIFS(tblLotBalance[Expiry Date],tblLotBalance[Item Name],$A584,tblLotBalance[Lot Balance],"&gt;0"),"")))</f>
        <v/>
      </c>
      <c r="N584" s="26" t="str">
        <f t="shared" ca="1" si="29"/>
        <v/>
      </c>
      <c r="O584" s="18" t="str" cm="1">
        <f t="array" ref="O584">IF($M584="","",IFERROR(INDEX(tblLotBalance[Lot Number],MATCH(1,INDEX((tblLotBalance[Item Name]=$A584)*(tblLotBalance[Expiry Date]=$M584)*(tblLotBalance[Lot Balance]&gt;0),0),0)),""))</f>
        <v/>
      </c>
      <c r="P584" s="28" t="str">
        <f>IF($A584="","",IF($I584&lt;0,"NEGATIVE",IF(NOT(ISNUMBER($F584)),"Set threshold",IF($I584&lt;=0,"OUT OF STOCK",IF($I584&lt;=$F584,"LOW",IF($I584&lt;=$F584*Settings!$C$7,"WATCH","OK"))))))</f>
        <v/>
      </c>
      <c r="Q584" s="29" t="str">
        <f>IF($A584="","",IF($P584="NEGATIVE","Issued more than received - add the missing receipt",IF($P584="OUT OF STOCK","Reorder immediately",IF($P584="LOW","Raise purchase order",IF($P584="Set threshold","Enter Critical Low in Items",IF(AND($N584&lt;&gt;"",$N584&lt;=0),"Quarantine expired lot",IF(AND($N584&lt;&gt;"",$N584&lt;=Settings!$C$6),"Use or rotate stock now","")))))))</f>
        <v/>
      </c>
    </row>
    <row r="585" spans="1:17" x14ac:dyDescent="0.35">
      <c r="A585" s="18" t="str">
        <f>IF(Items!$A582="","",Items!$A582)</f>
        <v/>
      </c>
      <c r="B585" s="18" t="str">
        <f>IF($A585="","",Items!$B582)</f>
        <v/>
      </c>
      <c r="C585" s="19" t="str">
        <f>IF($A585="","",Items!$G582)</f>
        <v/>
      </c>
      <c r="D585" s="20" t="str">
        <f>IF($A585="","",N(Items!$D582))</f>
        <v/>
      </c>
      <c r="E585" s="23" t="str">
        <f>IF($A585="","",Items!$E582)</f>
        <v/>
      </c>
      <c r="F585" s="23" t="str">
        <f>IF($A585="","",Items!$F582)</f>
        <v/>
      </c>
      <c r="G585" s="26" t="str">
        <f>IF($A585="","",SUMIFS(tblReceipts[Qty Received],tblReceipts[Item Name],$A585))</f>
        <v/>
      </c>
      <c r="H585" s="26" t="str">
        <f>IF($A585="","",SUMIFS(tblIssues[Qty Issued],tblIssues[Item Name],$A585))</f>
        <v/>
      </c>
      <c r="I585" s="27" t="str">
        <f t="shared" si="27"/>
        <v/>
      </c>
      <c r="J585" s="21" t="str">
        <f t="shared" si="28"/>
        <v/>
      </c>
      <c r="K585" s="26" t="str">
        <f>IF($A585="","",COUNTIFS(tblReceipts[Item Name],$A585))</f>
        <v/>
      </c>
      <c r="L585" s="26" t="str">
        <f>IF($A585="","",COUNTIFS(tblLotBalance[Item Name],$A585,tblLotBalance[Lot Balance],"&gt;0"))</f>
        <v/>
      </c>
      <c r="M585" s="24" t="str">
        <f>IF($A585="","",IF($L585=0,"",IFERROR(_xlfn.MINIFS(tblLotBalance[Expiry Date],tblLotBalance[Item Name],$A585,tblLotBalance[Lot Balance],"&gt;0"),"")))</f>
        <v/>
      </c>
      <c r="N585" s="26" t="str">
        <f t="shared" ca="1" si="29"/>
        <v/>
      </c>
      <c r="O585" s="18" t="str" cm="1">
        <f t="array" ref="O585">IF($M585="","",IFERROR(INDEX(tblLotBalance[Lot Number],MATCH(1,INDEX((tblLotBalance[Item Name]=$A585)*(tblLotBalance[Expiry Date]=$M585)*(tblLotBalance[Lot Balance]&gt;0),0),0)),""))</f>
        <v/>
      </c>
      <c r="P585" s="28" t="str">
        <f>IF($A585="","",IF($I585&lt;0,"NEGATIVE",IF(NOT(ISNUMBER($F585)),"Set threshold",IF($I585&lt;=0,"OUT OF STOCK",IF($I585&lt;=$F585,"LOW",IF($I585&lt;=$F585*Settings!$C$7,"WATCH","OK"))))))</f>
        <v/>
      </c>
      <c r="Q585" s="29" t="str">
        <f>IF($A585="","",IF($P585="NEGATIVE","Issued more than received - add the missing receipt",IF($P585="OUT OF STOCK","Reorder immediately",IF($P585="LOW","Raise purchase order",IF($P585="Set threshold","Enter Critical Low in Items",IF(AND($N585&lt;&gt;"",$N585&lt;=0),"Quarantine expired lot",IF(AND($N585&lt;&gt;"",$N585&lt;=Settings!$C$6),"Use or rotate stock now","")))))))</f>
        <v/>
      </c>
    </row>
    <row r="586" spans="1:17" x14ac:dyDescent="0.35">
      <c r="A586" s="18" t="str">
        <f>IF(Items!$A583="","",Items!$A583)</f>
        <v/>
      </c>
      <c r="B586" s="18" t="str">
        <f>IF($A586="","",Items!$B583)</f>
        <v/>
      </c>
      <c r="C586" s="19" t="str">
        <f>IF($A586="","",Items!$G583)</f>
        <v/>
      </c>
      <c r="D586" s="20" t="str">
        <f>IF($A586="","",N(Items!$D583))</f>
        <v/>
      </c>
      <c r="E586" s="23" t="str">
        <f>IF($A586="","",Items!$E583)</f>
        <v/>
      </c>
      <c r="F586" s="23" t="str">
        <f>IF($A586="","",Items!$F583)</f>
        <v/>
      </c>
      <c r="G586" s="26" t="str">
        <f>IF($A586="","",SUMIFS(tblReceipts[Qty Received],tblReceipts[Item Name],$A586))</f>
        <v/>
      </c>
      <c r="H586" s="26" t="str">
        <f>IF($A586="","",SUMIFS(tblIssues[Qty Issued],tblIssues[Item Name],$A586))</f>
        <v/>
      </c>
      <c r="I586" s="27" t="str">
        <f t="shared" si="27"/>
        <v/>
      </c>
      <c r="J586" s="21" t="str">
        <f t="shared" si="28"/>
        <v/>
      </c>
      <c r="K586" s="26" t="str">
        <f>IF($A586="","",COUNTIFS(tblReceipts[Item Name],$A586))</f>
        <v/>
      </c>
      <c r="L586" s="26" t="str">
        <f>IF($A586="","",COUNTIFS(tblLotBalance[Item Name],$A586,tblLotBalance[Lot Balance],"&gt;0"))</f>
        <v/>
      </c>
      <c r="M586" s="24" t="str">
        <f>IF($A586="","",IF($L586=0,"",IFERROR(_xlfn.MINIFS(tblLotBalance[Expiry Date],tblLotBalance[Item Name],$A586,tblLotBalance[Lot Balance],"&gt;0"),"")))</f>
        <v/>
      </c>
      <c r="N586" s="26" t="str">
        <f t="shared" ca="1" si="29"/>
        <v/>
      </c>
      <c r="O586" s="18" t="str" cm="1">
        <f t="array" ref="O586">IF($M586="","",IFERROR(INDEX(tblLotBalance[Lot Number],MATCH(1,INDEX((tblLotBalance[Item Name]=$A586)*(tblLotBalance[Expiry Date]=$M586)*(tblLotBalance[Lot Balance]&gt;0),0),0)),""))</f>
        <v/>
      </c>
      <c r="P586" s="28" t="str">
        <f>IF($A586="","",IF($I586&lt;0,"NEGATIVE",IF(NOT(ISNUMBER($F586)),"Set threshold",IF($I586&lt;=0,"OUT OF STOCK",IF($I586&lt;=$F586,"LOW",IF($I586&lt;=$F586*Settings!$C$7,"WATCH","OK"))))))</f>
        <v/>
      </c>
      <c r="Q586" s="29" t="str">
        <f>IF($A586="","",IF($P586="NEGATIVE","Issued more than received - add the missing receipt",IF($P586="OUT OF STOCK","Reorder immediately",IF($P586="LOW","Raise purchase order",IF($P586="Set threshold","Enter Critical Low in Items",IF(AND($N586&lt;&gt;"",$N586&lt;=0),"Quarantine expired lot",IF(AND($N586&lt;&gt;"",$N586&lt;=Settings!$C$6),"Use or rotate stock now","")))))))</f>
        <v/>
      </c>
    </row>
    <row r="587" spans="1:17" x14ac:dyDescent="0.35">
      <c r="A587" s="18" t="str">
        <f>IF(Items!$A584="","",Items!$A584)</f>
        <v/>
      </c>
      <c r="B587" s="18" t="str">
        <f>IF($A587="","",Items!$B584)</f>
        <v/>
      </c>
      <c r="C587" s="19" t="str">
        <f>IF($A587="","",Items!$G584)</f>
        <v/>
      </c>
      <c r="D587" s="20" t="str">
        <f>IF($A587="","",N(Items!$D584))</f>
        <v/>
      </c>
      <c r="E587" s="23" t="str">
        <f>IF($A587="","",Items!$E584)</f>
        <v/>
      </c>
      <c r="F587" s="23" t="str">
        <f>IF($A587="","",Items!$F584)</f>
        <v/>
      </c>
      <c r="G587" s="26" t="str">
        <f>IF($A587="","",SUMIFS(tblReceipts[Qty Received],tblReceipts[Item Name],$A587))</f>
        <v/>
      </c>
      <c r="H587" s="26" t="str">
        <f>IF($A587="","",SUMIFS(tblIssues[Qty Issued],tblIssues[Item Name],$A587))</f>
        <v/>
      </c>
      <c r="I587" s="27" t="str">
        <f t="shared" si="27"/>
        <v/>
      </c>
      <c r="J587" s="21" t="str">
        <f t="shared" si="28"/>
        <v/>
      </c>
      <c r="K587" s="26" t="str">
        <f>IF($A587="","",COUNTIFS(tblReceipts[Item Name],$A587))</f>
        <v/>
      </c>
      <c r="L587" s="26" t="str">
        <f>IF($A587="","",COUNTIFS(tblLotBalance[Item Name],$A587,tblLotBalance[Lot Balance],"&gt;0"))</f>
        <v/>
      </c>
      <c r="M587" s="24" t="str">
        <f>IF($A587="","",IF($L587=0,"",IFERROR(_xlfn.MINIFS(tblLotBalance[Expiry Date],tblLotBalance[Item Name],$A587,tblLotBalance[Lot Balance],"&gt;0"),"")))</f>
        <v/>
      </c>
      <c r="N587" s="26" t="str">
        <f t="shared" ca="1" si="29"/>
        <v/>
      </c>
      <c r="O587" s="18" t="str" cm="1">
        <f t="array" ref="O587">IF($M587="","",IFERROR(INDEX(tblLotBalance[Lot Number],MATCH(1,INDEX((tblLotBalance[Item Name]=$A587)*(tblLotBalance[Expiry Date]=$M587)*(tblLotBalance[Lot Balance]&gt;0),0),0)),""))</f>
        <v/>
      </c>
      <c r="P587" s="28" t="str">
        <f>IF($A587="","",IF($I587&lt;0,"NEGATIVE",IF(NOT(ISNUMBER($F587)),"Set threshold",IF($I587&lt;=0,"OUT OF STOCK",IF($I587&lt;=$F587,"LOW",IF($I587&lt;=$F587*Settings!$C$7,"WATCH","OK"))))))</f>
        <v/>
      </c>
      <c r="Q587" s="29" t="str">
        <f>IF($A587="","",IF($P587="NEGATIVE","Issued more than received - add the missing receipt",IF($P587="OUT OF STOCK","Reorder immediately",IF($P587="LOW","Raise purchase order",IF($P587="Set threshold","Enter Critical Low in Items",IF(AND($N587&lt;&gt;"",$N587&lt;=0),"Quarantine expired lot",IF(AND($N587&lt;&gt;"",$N587&lt;=Settings!$C$6),"Use or rotate stock now","")))))))</f>
        <v/>
      </c>
    </row>
    <row r="588" spans="1:17" x14ac:dyDescent="0.35">
      <c r="A588" s="18" t="str">
        <f>IF(Items!$A585="","",Items!$A585)</f>
        <v/>
      </c>
      <c r="B588" s="18" t="str">
        <f>IF($A588="","",Items!$B585)</f>
        <v/>
      </c>
      <c r="C588" s="19" t="str">
        <f>IF($A588="","",Items!$G585)</f>
        <v/>
      </c>
      <c r="D588" s="20" t="str">
        <f>IF($A588="","",N(Items!$D585))</f>
        <v/>
      </c>
      <c r="E588" s="23" t="str">
        <f>IF($A588="","",Items!$E585)</f>
        <v/>
      </c>
      <c r="F588" s="23" t="str">
        <f>IF($A588="","",Items!$F585)</f>
        <v/>
      </c>
      <c r="G588" s="26" t="str">
        <f>IF($A588="","",SUMIFS(tblReceipts[Qty Received],tblReceipts[Item Name],$A588))</f>
        <v/>
      </c>
      <c r="H588" s="26" t="str">
        <f>IF($A588="","",SUMIFS(tblIssues[Qty Issued],tblIssues[Item Name],$A588))</f>
        <v/>
      </c>
      <c r="I588" s="27" t="str">
        <f t="shared" si="27"/>
        <v/>
      </c>
      <c r="J588" s="21" t="str">
        <f t="shared" si="28"/>
        <v/>
      </c>
      <c r="K588" s="26" t="str">
        <f>IF($A588="","",COUNTIFS(tblReceipts[Item Name],$A588))</f>
        <v/>
      </c>
      <c r="L588" s="26" t="str">
        <f>IF($A588="","",COUNTIFS(tblLotBalance[Item Name],$A588,tblLotBalance[Lot Balance],"&gt;0"))</f>
        <v/>
      </c>
      <c r="M588" s="24" t="str">
        <f>IF($A588="","",IF($L588=0,"",IFERROR(_xlfn.MINIFS(tblLotBalance[Expiry Date],tblLotBalance[Item Name],$A588,tblLotBalance[Lot Balance],"&gt;0"),"")))</f>
        <v/>
      </c>
      <c r="N588" s="26" t="str">
        <f t="shared" ca="1" si="29"/>
        <v/>
      </c>
      <c r="O588" s="18" t="str" cm="1">
        <f t="array" ref="O588">IF($M588="","",IFERROR(INDEX(tblLotBalance[Lot Number],MATCH(1,INDEX((tblLotBalance[Item Name]=$A588)*(tblLotBalance[Expiry Date]=$M588)*(tblLotBalance[Lot Balance]&gt;0),0),0)),""))</f>
        <v/>
      </c>
      <c r="P588" s="28" t="str">
        <f>IF($A588="","",IF($I588&lt;0,"NEGATIVE",IF(NOT(ISNUMBER($F588)),"Set threshold",IF($I588&lt;=0,"OUT OF STOCK",IF($I588&lt;=$F588,"LOW",IF($I588&lt;=$F588*Settings!$C$7,"WATCH","OK"))))))</f>
        <v/>
      </c>
      <c r="Q588" s="29" t="str">
        <f>IF($A588="","",IF($P588="NEGATIVE","Issued more than received - add the missing receipt",IF($P588="OUT OF STOCK","Reorder immediately",IF($P588="LOW","Raise purchase order",IF($P588="Set threshold","Enter Critical Low in Items",IF(AND($N588&lt;&gt;"",$N588&lt;=0),"Quarantine expired lot",IF(AND($N588&lt;&gt;"",$N588&lt;=Settings!$C$6),"Use or rotate stock now","")))))))</f>
        <v/>
      </c>
    </row>
    <row r="589" spans="1:17" x14ac:dyDescent="0.35">
      <c r="A589" s="18" t="str">
        <f>IF(Items!$A586="","",Items!$A586)</f>
        <v/>
      </c>
      <c r="B589" s="18" t="str">
        <f>IF($A589="","",Items!$B586)</f>
        <v/>
      </c>
      <c r="C589" s="19" t="str">
        <f>IF($A589="","",Items!$G586)</f>
        <v/>
      </c>
      <c r="D589" s="20" t="str">
        <f>IF($A589="","",N(Items!$D586))</f>
        <v/>
      </c>
      <c r="E589" s="23" t="str">
        <f>IF($A589="","",Items!$E586)</f>
        <v/>
      </c>
      <c r="F589" s="23" t="str">
        <f>IF($A589="","",Items!$F586)</f>
        <v/>
      </c>
      <c r="G589" s="26" t="str">
        <f>IF($A589="","",SUMIFS(tblReceipts[Qty Received],tblReceipts[Item Name],$A589))</f>
        <v/>
      </c>
      <c r="H589" s="26" t="str">
        <f>IF($A589="","",SUMIFS(tblIssues[Qty Issued],tblIssues[Item Name],$A589))</f>
        <v/>
      </c>
      <c r="I589" s="27" t="str">
        <f t="shared" si="27"/>
        <v/>
      </c>
      <c r="J589" s="21" t="str">
        <f t="shared" si="28"/>
        <v/>
      </c>
      <c r="K589" s="26" t="str">
        <f>IF($A589="","",COUNTIFS(tblReceipts[Item Name],$A589))</f>
        <v/>
      </c>
      <c r="L589" s="26" t="str">
        <f>IF($A589="","",COUNTIFS(tblLotBalance[Item Name],$A589,tblLotBalance[Lot Balance],"&gt;0"))</f>
        <v/>
      </c>
      <c r="M589" s="24" t="str">
        <f>IF($A589="","",IF($L589=0,"",IFERROR(_xlfn.MINIFS(tblLotBalance[Expiry Date],tblLotBalance[Item Name],$A589,tblLotBalance[Lot Balance],"&gt;0"),"")))</f>
        <v/>
      </c>
      <c r="N589" s="26" t="str">
        <f t="shared" ca="1" si="29"/>
        <v/>
      </c>
      <c r="O589" s="18" t="str" cm="1">
        <f t="array" ref="O589">IF($M589="","",IFERROR(INDEX(tblLotBalance[Lot Number],MATCH(1,INDEX((tblLotBalance[Item Name]=$A589)*(tblLotBalance[Expiry Date]=$M589)*(tblLotBalance[Lot Balance]&gt;0),0),0)),""))</f>
        <v/>
      </c>
      <c r="P589" s="28" t="str">
        <f>IF($A589="","",IF($I589&lt;0,"NEGATIVE",IF(NOT(ISNUMBER($F589)),"Set threshold",IF($I589&lt;=0,"OUT OF STOCK",IF($I589&lt;=$F589,"LOW",IF($I589&lt;=$F589*Settings!$C$7,"WATCH","OK"))))))</f>
        <v/>
      </c>
      <c r="Q589" s="29" t="str">
        <f>IF($A589="","",IF($P589="NEGATIVE","Issued more than received - add the missing receipt",IF($P589="OUT OF STOCK","Reorder immediately",IF($P589="LOW","Raise purchase order",IF($P589="Set threshold","Enter Critical Low in Items",IF(AND($N589&lt;&gt;"",$N589&lt;=0),"Quarantine expired lot",IF(AND($N589&lt;&gt;"",$N589&lt;=Settings!$C$6),"Use or rotate stock now","")))))))</f>
        <v/>
      </c>
    </row>
    <row r="590" spans="1:17" x14ac:dyDescent="0.35">
      <c r="A590" s="18" t="str">
        <f>IF(Items!$A587="","",Items!$A587)</f>
        <v/>
      </c>
      <c r="B590" s="18" t="str">
        <f>IF($A590="","",Items!$B587)</f>
        <v/>
      </c>
      <c r="C590" s="19" t="str">
        <f>IF($A590="","",Items!$G587)</f>
        <v/>
      </c>
      <c r="D590" s="20" t="str">
        <f>IF($A590="","",N(Items!$D587))</f>
        <v/>
      </c>
      <c r="E590" s="23" t="str">
        <f>IF($A590="","",Items!$E587)</f>
        <v/>
      </c>
      <c r="F590" s="23" t="str">
        <f>IF($A590="","",Items!$F587)</f>
        <v/>
      </c>
      <c r="G590" s="26" t="str">
        <f>IF($A590="","",SUMIFS(tblReceipts[Qty Received],tblReceipts[Item Name],$A590))</f>
        <v/>
      </c>
      <c r="H590" s="26" t="str">
        <f>IF($A590="","",SUMIFS(tblIssues[Qty Issued],tblIssues[Item Name],$A590))</f>
        <v/>
      </c>
      <c r="I590" s="27" t="str">
        <f t="shared" si="27"/>
        <v/>
      </c>
      <c r="J590" s="21" t="str">
        <f t="shared" si="28"/>
        <v/>
      </c>
      <c r="K590" s="26" t="str">
        <f>IF($A590="","",COUNTIFS(tblReceipts[Item Name],$A590))</f>
        <v/>
      </c>
      <c r="L590" s="26" t="str">
        <f>IF($A590="","",COUNTIFS(tblLotBalance[Item Name],$A590,tblLotBalance[Lot Balance],"&gt;0"))</f>
        <v/>
      </c>
      <c r="M590" s="24" t="str">
        <f>IF($A590="","",IF($L590=0,"",IFERROR(_xlfn.MINIFS(tblLotBalance[Expiry Date],tblLotBalance[Item Name],$A590,tblLotBalance[Lot Balance],"&gt;0"),"")))</f>
        <v/>
      </c>
      <c r="N590" s="26" t="str">
        <f t="shared" ca="1" si="29"/>
        <v/>
      </c>
      <c r="O590" s="18" t="str" cm="1">
        <f t="array" ref="O590">IF($M590="","",IFERROR(INDEX(tblLotBalance[Lot Number],MATCH(1,INDEX((tblLotBalance[Item Name]=$A590)*(tblLotBalance[Expiry Date]=$M590)*(tblLotBalance[Lot Balance]&gt;0),0),0)),""))</f>
        <v/>
      </c>
      <c r="P590" s="28" t="str">
        <f>IF($A590="","",IF($I590&lt;0,"NEGATIVE",IF(NOT(ISNUMBER($F590)),"Set threshold",IF($I590&lt;=0,"OUT OF STOCK",IF($I590&lt;=$F590,"LOW",IF($I590&lt;=$F590*Settings!$C$7,"WATCH","OK"))))))</f>
        <v/>
      </c>
      <c r="Q590" s="29" t="str">
        <f>IF($A590="","",IF($P590="NEGATIVE","Issued more than received - add the missing receipt",IF($P590="OUT OF STOCK","Reorder immediately",IF($P590="LOW","Raise purchase order",IF($P590="Set threshold","Enter Critical Low in Items",IF(AND($N590&lt;&gt;"",$N590&lt;=0),"Quarantine expired lot",IF(AND($N590&lt;&gt;"",$N590&lt;=Settings!$C$6),"Use or rotate stock now","")))))))</f>
        <v/>
      </c>
    </row>
    <row r="591" spans="1:17" x14ac:dyDescent="0.35">
      <c r="A591" s="18" t="str">
        <f>IF(Items!$A588="","",Items!$A588)</f>
        <v/>
      </c>
      <c r="B591" s="18" t="str">
        <f>IF($A591="","",Items!$B588)</f>
        <v/>
      </c>
      <c r="C591" s="19" t="str">
        <f>IF($A591="","",Items!$G588)</f>
        <v/>
      </c>
      <c r="D591" s="20" t="str">
        <f>IF($A591="","",N(Items!$D588))</f>
        <v/>
      </c>
      <c r="E591" s="23" t="str">
        <f>IF($A591="","",Items!$E588)</f>
        <v/>
      </c>
      <c r="F591" s="23" t="str">
        <f>IF($A591="","",Items!$F588)</f>
        <v/>
      </c>
      <c r="G591" s="26" t="str">
        <f>IF($A591="","",SUMIFS(tblReceipts[Qty Received],tblReceipts[Item Name],$A591))</f>
        <v/>
      </c>
      <c r="H591" s="26" t="str">
        <f>IF($A591="","",SUMIFS(tblIssues[Qty Issued],tblIssues[Item Name],$A591))</f>
        <v/>
      </c>
      <c r="I591" s="27" t="str">
        <f t="shared" si="27"/>
        <v/>
      </c>
      <c r="J591" s="21" t="str">
        <f t="shared" si="28"/>
        <v/>
      </c>
      <c r="K591" s="26" t="str">
        <f>IF($A591="","",COUNTIFS(tblReceipts[Item Name],$A591))</f>
        <v/>
      </c>
      <c r="L591" s="26" t="str">
        <f>IF($A591="","",COUNTIFS(tblLotBalance[Item Name],$A591,tblLotBalance[Lot Balance],"&gt;0"))</f>
        <v/>
      </c>
      <c r="M591" s="24" t="str">
        <f>IF($A591="","",IF($L591=0,"",IFERROR(_xlfn.MINIFS(tblLotBalance[Expiry Date],tblLotBalance[Item Name],$A591,tblLotBalance[Lot Balance],"&gt;0"),"")))</f>
        <v/>
      </c>
      <c r="N591" s="26" t="str">
        <f t="shared" ca="1" si="29"/>
        <v/>
      </c>
      <c r="O591" s="18" t="str" cm="1">
        <f t="array" ref="O591">IF($M591="","",IFERROR(INDEX(tblLotBalance[Lot Number],MATCH(1,INDEX((tblLotBalance[Item Name]=$A591)*(tblLotBalance[Expiry Date]=$M591)*(tblLotBalance[Lot Balance]&gt;0),0),0)),""))</f>
        <v/>
      </c>
      <c r="P591" s="28" t="str">
        <f>IF($A591="","",IF($I591&lt;0,"NEGATIVE",IF(NOT(ISNUMBER($F591)),"Set threshold",IF($I591&lt;=0,"OUT OF STOCK",IF($I591&lt;=$F591,"LOW",IF($I591&lt;=$F591*Settings!$C$7,"WATCH","OK"))))))</f>
        <v/>
      </c>
      <c r="Q591" s="29" t="str">
        <f>IF($A591="","",IF($P591="NEGATIVE","Issued more than received - add the missing receipt",IF($P591="OUT OF STOCK","Reorder immediately",IF($P591="LOW","Raise purchase order",IF($P591="Set threshold","Enter Critical Low in Items",IF(AND($N591&lt;&gt;"",$N591&lt;=0),"Quarantine expired lot",IF(AND($N591&lt;&gt;"",$N591&lt;=Settings!$C$6),"Use or rotate stock now","")))))))</f>
        <v/>
      </c>
    </row>
    <row r="592" spans="1:17" x14ac:dyDescent="0.35">
      <c r="A592" s="18" t="str">
        <f>IF(Items!$A589="","",Items!$A589)</f>
        <v/>
      </c>
      <c r="B592" s="18" t="str">
        <f>IF($A592="","",Items!$B589)</f>
        <v/>
      </c>
      <c r="C592" s="19" t="str">
        <f>IF($A592="","",Items!$G589)</f>
        <v/>
      </c>
      <c r="D592" s="20" t="str">
        <f>IF($A592="","",N(Items!$D589))</f>
        <v/>
      </c>
      <c r="E592" s="23" t="str">
        <f>IF($A592="","",Items!$E589)</f>
        <v/>
      </c>
      <c r="F592" s="23" t="str">
        <f>IF($A592="","",Items!$F589)</f>
        <v/>
      </c>
      <c r="G592" s="26" t="str">
        <f>IF($A592="","",SUMIFS(tblReceipts[Qty Received],tblReceipts[Item Name],$A592))</f>
        <v/>
      </c>
      <c r="H592" s="26" t="str">
        <f>IF($A592="","",SUMIFS(tblIssues[Qty Issued],tblIssues[Item Name],$A592))</f>
        <v/>
      </c>
      <c r="I592" s="27" t="str">
        <f t="shared" si="27"/>
        <v/>
      </c>
      <c r="J592" s="21" t="str">
        <f t="shared" si="28"/>
        <v/>
      </c>
      <c r="K592" s="26" t="str">
        <f>IF($A592="","",COUNTIFS(tblReceipts[Item Name],$A592))</f>
        <v/>
      </c>
      <c r="L592" s="26" t="str">
        <f>IF($A592="","",COUNTIFS(tblLotBalance[Item Name],$A592,tblLotBalance[Lot Balance],"&gt;0"))</f>
        <v/>
      </c>
      <c r="M592" s="24" t="str">
        <f>IF($A592="","",IF($L592=0,"",IFERROR(_xlfn.MINIFS(tblLotBalance[Expiry Date],tblLotBalance[Item Name],$A592,tblLotBalance[Lot Balance],"&gt;0"),"")))</f>
        <v/>
      </c>
      <c r="N592" s="26" t="str">
        <f t="shared" ca="1" si="29"/>
        <v/>
      </c>
      <c r="O592" s="18" t="str" cm="1">
        <f t="array" ref="O592">IF($M592="","",IFERROR(INDEX(tblLotBalance[Lot Number],MATCH(1,INDEX((tblLotBalance[Item Name]=$A592)*(tblLotBalance[Expiry Date]=$M592)*(tblLotBalance[Lot Balance]&gt;0),0),0)),""))</f>
        <v/>
      </c>
      <c r="P592" s="28" t="str">
        <f>IF($A592="","",IF($I592&lt;0,"NEGATIVE",IF(NOT(ISNUMBER($F592)),"Set threshold",IF($I592&lt;=0,"OUT OF STOCK",IF($I592&lt;=$F592,"LOW",IF($I592&lt;=$F592*Settings!$C$7,"WATCH","OK"))))))</f>
        <v/>
      </c>
      <c r="Q592" s="29" t="str">
        <f>IF($A592="","",IF($P592="NEGATIVE","Issued more than received - add the missing receipt",IF($P592="OUT OF STOCK","Reorder immediately",IF($P592="LOW","Raise purchase order",IF($P592="Set threshold","Enter Critical Low in Items",IF(AND($N592&lt;&gt;"",$N592&lt;=0),"Quarantine expired lot",IF(AND($N592&lt;&gt;"",$N592&lt;=Settings!$C$6),"Use or rotate stock now","")))))))</f>
        <v/>
      </c>
    </row>
    <row r="593" spans="1:17" x14ac:dyDescent="0.35">
      <c r="A593" s="18" t="str">
        <f>IF(Items!$A590="","",Items!$A590)</f>
        <v/>
      </c>
      <c r="B593" s="18" t="str">
        <f>IF($A593="","",Items!$B590)</f>
        <v/>
      </c>
      <c r="C593" s="19" t="str">
        <f>IF($A593="","",Items!$G590)</f>
        <v/>
      </c>
      <c r="D593" s="20" t="str">
        <f>IF($A593="","",N(Items!$D590))</f>
        <v/>
      </c>
      <c r="E593" s="23" t="str">
        <f>IF($A593="","",Items!$E590)</f>
        <v/>
      </c>
      <c r="F593" s="23" t="str">
        <f>IF($A593="","",Items!$F590)</f>
        <v/>
      </c>
      <c r="G593" s="26" t="str">
        <f>IF($A593="","",SUMIFS(tblReceipts[Qty Received],tblReceipts[Item Name],$A593))</f>
        <v/>
      </c>
      <c r="H593" s="26" t="str">
        <f>IF($A593="","",SUMIFS(tblIssues[Qty Issued],tblIssues[Item Name],$A593))</f>
        <v/>
      </c>
      <c r="I593" s="27" t="str">
        <f t="shared" si="27"/>
        <v/>
      </c>
      <c r="J593" s="21" t="str">
        <f t="shared" si="28"/>
        <v/>
      </c>
      <c r="K593" s="26" t="str">
        <f>IF($A593="","",COUNTIFS(tblReceipts[Item Name],$A593))</f>
        <v/>
      </c>
      <c r="L593" s="26" t="str">
        <f>IF($A593="","",COUNTIFS(tblLotBalance[Item Name],$A593,tblLotBalance[Lot Balance],"&gt;0"))</f>
        <v/>
      </c>
      <c r="M593" s="24" t="str">
        <f>IF($A593="","",IF($L593=0,"",IFERROR(_xlfn.MINIFS(tblLotBalance[Expiry Date],tblLotBalance[Item Name],$A593,tblLotBalance[Lot Balance],"&gt;0"),"")))</f>
        <v/>
      </c>
      <c r="N593" s="26" t="str">
        <f t="shared" ca="1" si="29"/>
        <v/>
      </c>
      <c r="O593" s="18" t="str" cm="1">
        <f t="array" ref="O593">IF($M593="","",IFERROR(INDEX(tblLotBalance[Lot Number],MATCH(1,INDEX((tblLotBalance[Item Name]=$A593)*(tblLotBalance[Expiry Date]=$M593)*(tblLotBalance[Lot Balance]&gt;0),0),0)),""))</f>
        <v/>
      </c>
      <c r="P593" s="28" t="str">
        <f>IF($A593="","",IF($I593&lt;0,"NEGATIVE",IF(NOT(ISNUMBER($F593)),"Set threshold",IF($I593&lt;=0,"OUT OF STOCK",IF($I593&lt;=$F593,"LOW",IF($I593&lt;=$F593*Settings!$C$7,"WATCH","OK"))))))</f>
        <v/>
      </c>
      <c r="Q593" s="29" t="str">
        <f>IF($A593="","",IF($P593="NEGATIVE","Issued more than received - add the missing receipt",IF($P593="OUT OF STOCK","Reorder immediately",IF($P593="LOW","Raise purchase order",IF($P593="Set threshold","Enter Critical Low in Items",IF(AND($N593&lt;&gt;"",$N593&lt;=0),"Quarantine expired lot",IF(AND($N593&lt;&gt;"",$N593&lt;=Settings!$C$6),"Use or rotate stock now","")))))))</f>
        <v/>
      </c>
    </row>
    <row r="594" spans="1:17" x14ac:dyDescent="0.35">
      <c r="A594" s="18" t="str">
        <f>IF(Items!$A591="","",Items!$A591)</f>
        <v/>
      </c>
      <c r="B594" s="18" t="str">
        <f>IF($A594="","",Items!$B591)</f>
        <v/>
      </c>
      <c r="C594" s="19" t="str">
        <f>IF($A594="","",Items!$G591)</f>
        <v/>
      </c>
      <c r="D594" s="20" t="str">
        <f>IF($A594="","",N(Items!$D591))</f>
        <v/>
      </c>
      <c r="E594" s="23" t="str">
        <f>IF($A594="","",Items!$E591)</f>
        <v/>
      </c>
      <c r="F594" s="23" t="str">
        <f>IF($A594="","",Items!$F591)</f>
        <v/>
      </c>
      <c r="G594" s="26" t="str">
        <f>IF($A594="","",SUMIFS(tblReceipts[Qty Received],tblReceipts[Item Name],$A594))</f>
        <v/>
      </c>
      <c r="H594" s="26" t="str">
        <f>IF($A594="","",SUMIFS(tblIssues[Qty Issued],tblIssues[Item Name],$A594))</f>
        <v/>
      </c>
      <c r="I594" s="27" t="str">
        <f t="shared" si="27"/>
        <v/>
      </c>
      <c r="J594" s="21" t="str">
        <f t="shared" si="28"/>
        <v/>
      </c>
      <c r="K594" s="26" t="str">
        <f>IF($A594="","",COUNTIFS(tblReceipts[Item Name],$A594))</f>
        <v/>
      </c>
      <c r="L594" s="26" t="str">
        <f>IF($A594="","",COUNTIFS(tblLotBalance[Item Name],$A594,tblLotBalance[Lot Balance],"&gt;0"))</f>
        <v/>
      </c>
      <c r="M594" s="24" t="str">
        <f>IF($A594="","",IF($L594=0,"",IFERROR(_xlfn.MINIFS(tblLotBalance[Expiry Date],tblLotBalance[Item Name],$A594,tblLotBalance[Lot Balance],"&gt;0"),"")))</f>
        <v/>
      </c>
      <c r="N594" s="26" t="str">
        <f t="shared" ca="1" si="29"/>
        <v/>
      </c>
      <c r="O594" s="18" t="str" cm="1">
        <f t="array" ref="O594">IF($M594="","",IFERROR(INDEX(tblLotBalance[Lot Number],MATCH(1,INDEX((tblLotBalance[Item Name]=$A594)*(tblLotBalance[Expiry Date]=$M594)*(tblLotBalance[Lot Balance]&gt;0),0),0)),""))</f>
        <v/>
      </c>
      <c r="P594" s="28" t="str">
        <f>IF($A594="","",IF($I594&lt;0,"NEGATIVE",IF(NOT(ISNUMBER($F594)),"Set threshold",IF($I594&lt;=0,"OUT OF STOCK",IF($I594&lt;=$F594,"LOW",IF($I594&lt;=$F594*Settings!$C$7,"WATCH","OK"))))))</f>
        <v/>
      </c>
      <c r="Q594" s="29" t="str">
        <f>IF($A594="","",IF($P594="NEGATIVE","Issued more than received - add the missing receipt",IF($P594="OUT OF STOCK","Reorder immediately",IF($P594="LOW","Raise purchase order",IF($P594="Set threshold","Enter Critical Low in Items",IF(AND($N594&lt;&gt;"",$N594&lt;=0),"Quarantine expired lot",IF(AND($N594&lt;&gt;"",$N594&lt;=Settings!$C$6),"Use or rotate stock now","")))))))</f>
        <v/>
      </c>
    </row>
    <row r="595" spans="1:17" x14ac:dyDescent="0.35">
      <c r="A595" s="18" t="str">
        <f>IF(Items!$A592="","",Items!$A592)</f>
        <v/>
      </c>
      <c r="B595" s="18" t="str">
        <f>IF($A595="","",Items!$B592)</f>
        <v/>
      </c>
      <c r="C595" s="19" t="str">
        <f>IF($A595="","",Items!$G592)</f>
        <v/>
      </c>
      <c r="D595" s="20" t="str">
        <f>IF($A595="","",N(Items!$D592))</f>
        <v/>
      </c>
      <c r="E595" s="23" t="str">
        <f>IF($A595="","",Items!$E592)</f>
        <v/>
      </c>
      <c r="F595" s="23" t="str">
        <f>IF($A595="","",Items!$F592)</f>
        <v/>
      </c>
      <c r="G595" s="26" t="str">
        <f>IF($A595="","",SUMIFS(tblReceipts[Qty Received],tblReceipts[Item Name],$A595))</f>
        <v/>
      </c>
      <c r="H595" s="26" t="str">
        <f>IF($A595="","",SUMIFS(tblIssues[Qty Issued],tblIssues[Item Name],$A595))</f>
        <v/>
      </c>
      <c r="I595" s="27" t="str">
        <f t="shared" si="27"/>
        <v/>
      </c>
      <c r="J595" s="21" t="str">
        <f t="shared" si="28"/>
        <v/>
      </c>
      <c r="K595" s="26" t="str">
        <f>IF($A595="","",COUNTIFS(tblReceipts[Item Name],$A595))</f>
        <v/>
      </c>
      <c r="L595" s="26" t="str">
        <f>IF($A595="","",COUNTIFS(tblLotBalance[Item Name],$A595,tblLotBalance[Lot Balance],"&gt;0"))</f>
        <v/>
      </c>
      <c r="M595" s="24" t="str">
        <f>IF($A595="","",IF($L595=0,"",IFERROR(_xlfn.MINIFS(tblLotBalance[Expiry Date],tblLotBalance[Item Name],$A595,tblLotBalance[Lot Balance],"&gt;0"),"")))</f>
        <v/>
      </c>
      <c r="N595" s="26" t="str">
        <f t="shared" ca="1" si="29"/>
        <v/>
      </c>
      <c r="O595" s="18" t="str" cm="1">
        <f t="array" ref="O595">IF($M595="","",IFERROR(INDEX(tblLotBalance[Lot Number],MATCH(1,INDEX((tblLotBalance[Item Name]=$A595)*(tblLotBalance[Expiry Date]=$M595)*(tblLotBalance[Lot Balance]&gt;0),0),0)),""))</f>
        <v/>
      </c>
      <c r="P595" s="28" t="str">
        <f>IF($A595="","",IF($I595&lt;0,"NEGATIVE",IF(NOT(ISNUMBER($F595)),"Set threshold",IF($I595&lt;=0,"OUT OF STOCK",IF($I595&lt;=$F595,"LOW",IF($I595&lt;=$F595*Settings!$C$7,"WATCH","OK"))))))</f>
        <v/>
      </c>
      <c r="Q595" s="29" t="str">
        <f>IF($A595="","",IF($P595="NEGATIVE","Issued more than received - add the missing receipt",IF($P595="OUT OF STOCK","Reorder immediately",IF($P595="LOW","Raise purchase order",IF($P595="Set threshold","Enter Critical Low in Items",IF(AND($N595&lt;&gt;"",$N595&lt;=0),"Quarantine expired lot",IF(AND($N595&lt;&gt;"",$N595&lt;=Settings!$C$6),"Use or rotate stock now","")))))))</f>
        <v/>
      </c>
    </row>
    <row r="596" spans="1:17" x14ac:dyDescent="0.35">
      <c r="A596" s="18" t="str">
        <f>IF(Items!$A593="","",Items!$A593)</f>
        <v/>
      </c>
      <c r="B596" s="18" t="str">
        <f>IF($A596="","",Items!$B593)</f>
        <v/>
      </c>
      <c r="C596" s="19" t="str">
        <f>IF($A596="","",Items!$G593)</f>
        <v/>
      </c>
      <c r="D596" s="20" t="str">
        <f>IF($A596="","",N(Items!$D593))</f>
        <v/>
      </c>
      <c r="E596" s="23" t="str">
        <f>IF($A596="","",Items!$E593)</f>
        <v/>
      </c>
      <c r="F596" s="23" t="str">
        <f>IF($A596="","",Items!$F593)</f>
        <v/>
      </c>
      <c r="G596" s="26" t="str">
        <f>IF($A596="","",SUMIFS(tblReceipts[Qty Received],tblReceipts[Item Name],$A596))</f>
        <v/>
      </c>
      <c r="H596" s="26" t="str">
        <f>IF($A596="","",SUMIFS(tblIssues[Qty Issued],tblIssues[Item Name],$A596))</f>
        <v/>
      </c>
      <c r="I596" s="27" t="str">
        <f t="shared" si="27"/>
        <v/>
      </c>
      <c r="J596" s="21" t="str">
        <f t="shared" si="28"/>
        <v/>
      </c>
      <c r="K596" s="26" t="str">
        <f>IF($A596="","",COUNTIFS(tblReceipts[Item Name],$A596))</f>
        <v/>
      </c>
      <c r="L596" s="26" t="str">
        <f>IF($A596="","",COUNTIFS(tblLotBalance[Item Name],$A596,tblLotBalance[Lot Balance],"&gt;0"))</f>
        <v/>
      </c>
      <c r="M596" s="24" t="str">
        <f>IF($A596="","",IF($L596=0,"",IFERROR(_xlfn.MINIFS(tblLotBalance[Expiry Date],tblLotBalance[Item Name],$A596,tblLotBalance[Lot Balance],"&gt;0"),"")))</f>
        <v/>
      </c>
      <c r="N596" s="26" t="str">
        <f t="shared" ca="1" si="29"/>
        <v/>
      </c>
      <c r="O596" s="18" t="str" cm="1">
        <f t="array" ref="O596">IF($M596="","",IFERROR(INDEX(tblLotBalance[Lot Number],MATCH(1,INDEX((tblLotBalance[Item Name]=$A596)*(tblLotBalance[Expiry Date]=$M596)*(tblLotBalance[Lot Balance]&gt;0),0),0)),""))</f>
        <v/>
      </c>
      <c r="P596" s="28" t="str">
        <f>IF($A596="","",IF($I596&lt;0,"NEGATIVE",IF(NOT(ISNUMBER($F596)),"Set threshold",IF($I596&lt;=0,"OUT OF STOCK",IF($I596&lt;=$F596,"LOW",IF($I596&lt;=$F596*Settings!$C$7,"WATCH","OK"))))))</f>
        <v/>
      </c>
      <c r="Q596" s="29" t="str">
        <f>IF($A596="","",IF($P596="NEGATIVE","Issued more than received - add the missing receipt",IF($P596="OUT OF STOCK","Reorder immediately",IF($P596="LOW","Raise purchase order",IF($P596="Set threshold","Enter Critical Low in Items",IF(AND($N596&lt;&gt;"",$N596&lt;=0),"Quarantine expired lot",IF(AND($N596&lt;&gt;"",$N596&lt;=Settings!$C$6),"Use or rotate stock now","")))))))</f>
        <v/>
      </c>
    </row>
    <row r="597" spans="1:17" x14ac:dyDescent="0.35">
      <c r="A597" s="18" t="str">
        <f>IF(Items!$A594="","",Items!$A594)</f>
        <v/>
      </c>
      <c r="B597" s="18" t="str">
        <f>IF($A597="","",Items!$B594)</f>
        <v/>
      </c>
      <c r="C597" s="19" t="str">
        <f>IF($A597="","",Items!$G594)</f>
        <v/>
      </c>
      <c r="D597" s="20" t="str">
        <f>IF($A597="","",N(Items!$D594))</f>
        <v/>
      </c>
      <c r="E597" s="23" t="str">
        <f>IF($A597="","",Items!$E594)</f>
        <v/>
      </c>
      <c r="F597" s="23" t="str">
        <f>IF($A597="","",Items!$F594)</f>
        <v/>
      </c>
      <c r="G597" s="26" t="str">
        <f>IF($A597="","",SUMIFS(tblReceipts[Qty Received],tblReceipts[Item Name],$A597))</f>
        <v/>
      </c>
      <c r="H597" s="26" t="str">
        <f>IF($A597="","",SUMIFS(tblIssues[Qty Issued],tblIssues[Item Name],$A597))</f>
        <v/>
      </c>
      <c r="I597" s="27" t="str">
        <f t="shared" si="27"/>
        <v/>
      </c>
      <c r="J597" s="21" t="str">
        <f t="shared" si="28"/>
        <v/>
      </c>
      <c r="K597" s="26" t="str">
        <f>IF($A597="","",COUNTIFS(tblReceipts[Item Name],$A597))</f>
        <v/>
      </c>
      <c r="L597" s="26" t="str">
        <f>IF($A597="","",COUNTIFS(tblLotBalance[Item Name],$A597,tblLotBalance[Lot Balance],"&gt;0"))</f>
        <v/>
      </c>
      <c r="M597" s="24" t="str">
        <f>IF($A597="","",IF($L597=0,"",IFERROR(_xlfn.MINIFS(tblLotBalance[Expiry Date],tblLotBalance[Item Name],$A597,tblLotBalance[Lot Balance],"&gt;0"),"")))</f>
        <v/>
      </c>
      <c r="N597" s="26" t="str">
        <f t="shared" ca="1" si="29"/>
        <v/>
      </c>
      <c r="O597" s="18" t="str" cm="1">
        <f t="array" ref="O597">IF($M597="","",IFERROR(INDEX(tblLotBalance[Lot Number],MATCH(1,INDEX((tblLotBalance[Item Name]=$A597)*(tblLotBalance[Expiry Date]=$M597)*(tblLotBalance[Lot Balance]&gt;0),0),0)),""))</f>
        <v/>
      </c>
      <c r="P597" s="28" t="str">
        <f>IF($A597="","",IF($I597&lt;0,"NEGATIVE",IF(NOT(ISNUMBER($F597)),"Set threshold",IF($I597&lt;=0,"OUT OF STOCK",IF($I597&lt;=$F597,"LOW",IF($I597&lt;=$F597*Settings!$C$7,"WATCH","OK"))))))</f>
        <v/>
      </c>
      <c r="Q597" s="29" t="str">
        <f>IF($A597="","",IF($P597="NEGATIVE","Issued more than received - add the missing receipt",IF($P597="OUT OF STOCK","Reorder immediately",IF($P597="LOW","Raise purchase order",IF($P597="Set threshold","Enter Critical Low in Items",IF(AND($N597&lt;&gt;"",$N597&lt;=0),"Quarantine expired lot",IF(AND($N597&lt;&gt;"",$N597&lt;=Settings!$C$6),"Use or rotate stock now","")))))))</f>
        <v/>
      </c>
    </row>
    <row r="598" spans="1:17" x14ac:dyDescent="0.35">
      <c r="A598" s="18" t="str">
        <f>IF(Items!$A595="","",Items!$A595)</f>
        <v/>
      </c>
      <c r="B598" s="18" t="str">
        <f>IF($A598="","",Items!$B595)</f>
        <v/>
      </c>
      <c r="C598" s="19" t="str">
        <f>IF($A598="","",Items!$G595)</f>
        <v/>
      </c>
      <c r="D598" s="20" t="str">
        <f>IF($A598="","",N(Items!$D595))</f>
        <v/>
      </c>
      <c r="E598" s="23" t="str">
        <f>IF($A598="","",Items!$E595)</f>
        <v/>
      </c>
      <c r="F598" s="23" t="str">
        <f>IF($A598="","",Items!$F595)</f>
        <v/>
      </c>
      <c r="G598" s="26" t="str">
        <f>IF($A598="","",SUMIFS(tblReceipts[Qty Received],tblReceipts[Item Name],$A598))</f>
        <v/>
      </c>
      <c r="H598" s="26" t="str">
        <f>IF($A598="","",SUMIFS(tblIssues[Qty Issued],tblIssues[Item Name],$A598))</f>
        <v/>
      </c>
      <c r="I598" s="27" t="str">
        <f t="shared" si="27"/>
        <v/>
      </c>
      <c r="J598" s="21" t="str">
        <f t="shared" si="28"/>
        <v/>
      </c>
      <c r="K598" s="26" t="str">
        <f>IF($A598="","",COUNTIFS(tblReceipts[Item Name],$A598))</f>
        <v/>
      </c>
      <c r="L598" s="26" t="str">
        <f>IF($A598="","",COUNTIFS(tblLotBalance[Item Name],$A598,tblLotBalance[Lot Balance],"&gt;0"))</f>
        <v/>
      </c>
      <c r="M598" s="24" t="str">
        <f>IF($A598="","",IF($L598=0,"",IFERROR(_xlfn.MINIFS(tblLotBalance[Expiry Date],tblLotBalance[Item Name],$A598,tblLotBalance[Lot Balance],"&gt;0"),"")))</f>
        <v/>
      </c>
      <c r="N598" s="26" t="str">
        <f t="shared" ca="1" si="29"/>
        <v/>
      </c>
      <c r="O598" s="18" t="str" cm="1">
        <f t="array" ref="O598">IF($M598="","",IFERROR(INDEX(tblLotBalance[Lot Number],MATCH(1,INDEX((tblLotBalance[Item Name]=$A598)*(tblLotBalance[Expiry Date]=$M598)*(tblLotBalance[Lot Balance]&gt;0),0),0)),""))</f>
        <v/>
      </c>
      <c r="P598" s="28" t="str">
        <f>IF($A598="","",IF($I598&lt;0,"NEGATIVE",IF(NOT(ISNUMBER($F598)),"Set threshold",IF($I598&lt;=0,"OUT OF STOCK",IF($I598&lt;=$F598,"LOW",IF($I598&lt;=$F598*Settings!$C$7,"WATCH","OK"))))))</f>
        <v/>
      </c>
      <c r="Q598" s="29" t="str">
        <f>IF($A598="","",IF($P598="NEGATIVE","Issued more than received - add the missing receipt",IF($P598="OUT OF STOCK","Reorder immediately",IF($P598="LOW","Raise purchase order",IF($P598="Set threshold","Enter Critical Low in Items",IF(AND($N598&lt;&gt;"",$N598&lt;=0),"Quarantine expired lot",IF(AND($N598&lt;&gt;"",$N598&lt;=Settings!$C$6),"Use or rotate stock now","")))))))</f>
        <v/>
      </c>
    </row>
    <row r="599" spans="1:17" x14ac:dyDescent="0.35">
      <c r="A599" s="18" t="str">
        <f>IF(Items!$A596="","",Items!$A596)</f>
        <v/>
      </c>
      <c r="B599" s="18" t="str">
        <f>IF($A599="","",Items!$B596)</f>
        <v/>
      </c>
      <c r="C599" s="19" t="str">
        <f>IF($A599="","",Items!$G596)</f>
        <v/>
      </c>
      <c r="D599" s="20" t="str">
        <f>IF($A599="","",N(Items!$D596))</f>
        <v/>
      </c>
      <c r="E599" s="23" t="str">
        <f>IF($A599="","",Items!$E596)</f>
        <v/>
      </c>
      <c r="F599" s="23" t="str">
        <f>IF($A599="","",Items!$F596)</f>
        <v/>
      </c>
      <c r="G599" s="26" t="str">
        <f>IF($A599="","",SUMIFS(tblReceipts[Qty Received],tblReceipts[Item Name],$A599))</f>
        <v/>
      </c>
      <c r="H599" s="26" t="str">
        <f>IF($A599="","",SUMIFS(tblIssues[Qty Issued],tblIssues[Item Name],$A599))</f>
        <v/>
      </c>
      <c r="I599" s="27" t="str">
        <f t="shared" si="27"/>
        <v/>
      </c>
      <c r="J599" s="21" t="str">
        <f t="shared" si="28"/>
        <v/>
      </c>
      <c r="K599" s="26" t="str">
        <f>IF($A599="","",COUNTIFS(tblReceipts[Item Name],$A599))</f>
        <v/>
      </c>
      <c r="L599" s="26" t="str">
        <f>IF($A599="","",COUNTIFS(tblLotBalance[Item Name],$A599,tblLotBalance[Lot Balance],"&gt;0"))</f>
        <v/>
      </c>
      <c r="M599" s="24" t="str">
        <f>IF($A599="","",IF($L599=0,"",IFERROR(_xlfn.MINIFS(tblLotBalance[Expiry Date],tblLotBalance[Item Name],$A599,tblLotBalance[Lot Balance],"&gt;0"),"")))</f>
        <v/>
      </c>
      <c r="N599" s="26" t="str">
        <f t="shared" ca="1" si="29"/>
        <v/>
      </c>
      <c r="O599" s="18" t="str" cm="1">
        <f t="array" ref="O599">IF($M599="","",IFERROR(INDEX(tblLotBalance[Lot Number],MATCH(1,INDEX((tblLotBalance[Item Name]=$A599)*(tblLotBalance[Expiry Date]=$M599)*(tblLotBalance[Lot Balance]&gt;0),0),0)),""))</f>
        <v/>
      </c>
      <c r="P599" s="28" t="str">
        <f>IF($A599="","",IF($I599&lt;0,"NEGATIVE",IF(NOT(ISNUMBER($F599)),"Set threshold",IF($I599&lt;=0,"OUT OF STOCK",IF($I599&lt;=$F599,"LOW",IF($I599&lt;=$F599*Settings!$C$7,"WATCH","OK"))))))</f>
        <v/>
      </c>
      <c r="Q599" s="29" t="str">
        <f>IF($A599="","",IF($P599="NEGATIVE","Issued more than received - add the missing receipt",IF($P599="OUT OF STOCK","Reorder immediately",IF($P599="LOW","Raise purchase order",IF($P599="Set threshold","Enter Critical Low in Items",IF(AND($N599&lt;&gt;"",$N599&lt;=0),"Quarantine expired lot",IF(AND($N599&lt;&gt;"",$N599&lt;=Settings!$C$6),"Use or rotate stock now","")))))))</f>
        <v/>
      </c>
    </row>
    <row r="600" spans="1:17" x14ac:dyDescent="0.35">
      <c r="A600" s="18" t="str">
        <f>IF(Items!$A597="","",Items!$A597)</f>
        <v/>
      </c>
      <c r="B600" s="18" t="str">
        <f>IF($A600="","",Items!$B597)</f>
        <v/>
      </c>
      <c r="C600" s="19" t="str">
        <f>IF($A600="","",Items!$G597)</f>
        <v/>
      </c>
      <c r="D600" s="20" t="str">
        <f>IF($A600="","",N(Items!$D597))</f>
        <v/>
      </c>
      <c r="E600" s="23" t="str">
        <f>IF($A600="","",Items!$E597)</f>
        <v/>
      </c>
      <c r="F600" s="23" t="str">
        <f>IF($A600="","",Items!$F597)</f>
        <v/>
      </c>
      <c r="G600" s="26" t="str">
        <f>IF($A600="","",SUMIFS(tblReceipts[Qty Received],tblReceipts[Item Name],$A600))</f>
        <v/>
      </c>
      <c r="H600" s="26" t="str">
        <f>IF($A600="","",SUMIFS(tblIssues[Qty Issued],tblIssues[Item Name],$A600))</f>
        <v/>
      </c>
      <c r="I600" s="27" t="str">
        <f t="shared" si="27"/>
        <v/>
      </c>
      <c r="J600" s="21" t="str">
        <f t="shared" si="28"/>
        <v/>
      </c>
      <c r="K600" s="26" t="str">
        <f>IF($A600="","",COUNTIFS(tblReceipts[Item Name],$A600))</f>
        <v/>
      </c>
      <c r="L600" s="26" t="str">
        <f>IF($A600="","",COUNTIFS(tblLotBalance[Item Name],$A600,tblLotBalance[Lot Balance],"&gt;0"))</f>
        <v/>
      </c>
      <c r="M600" s="24" t="str">
        <f>IF($A600="","",IF($L600=0,"",IFERROR(_xlfn.MINIFS(tblLotBalance[Expiry Date],tblLotBalance[Item Name],$A600,tblLotBalance[Lot Balance],"&gt;0"),"")))</f>
        <v/>
      </c>
      <c r="N600" s="26" t="str">
        <f t="shared" ca="1" si="29"/>
        <v/>
      </c>
      <c r="O600" s="18" t="str" cm="1">
        <f t="array" ref="O600">IF($M600="","",IFERROR(INDEX(tblLotBalance[Lot Number],MATCH(1,INDEX((tblLotBalance[Item Name]=$A600)*(tblLotBalance[Expiry Date]=$M600)*(tblLotBalance[Lot Balance]&gt;0),0),0)),""))</f>
        <v/>
      </c>
      <c r="P600" s="28" t="str">
        <f>IF($A600="","",IF($I600&lt;0,"NEGATIVE",IF(NOT(ISNUMBER($F600)),"Set threshold",IF($I600&lt;=0,"OUT OF STOCK",IF($I600&lt;=$F600,"LOW",IF($I600&lt;=$F600*Settings!$C$7,"WATCH","OK"))))))</f>
        <v/>
      </c>
      <c r="Q600" s="29" t="str">
        <f>IF($A600="","",IF($P600="NEGATIVE","Issued more than received - add the missing receipt",IF($P600="OUT OF STOCK","Reorder immediately",IF($P600="LOW","Raise purchase order",IF($P600="Set threshold","Enter Critical Low in Items",IF(AND($N600&lt;&gt;"",$N600&lt;=0),"Quarantine expired lot",IF(AND($N600&lt;&gt;"",$N600&lt;=Settings!$C$6),"Use or rotate stock now","")))))))</f>
        <v/>
      </c>
    </row>
  </sheetData>
  <autoFilter ref="A4:Q600" xr:uid="{00000000-0009-0000-0000-000009000000}"/>
  <mergeCells count="2">
    <mergeCell ref="A1:Q1"/>
    <mergeCell ref="A2:Q2"/>
  </mergeCells>
  <conditionalFormatting sqref="P5:P600">
    <cfRule type="cellIs" dxfId="15" priority="2" operator="equal">
      <formula>"NEGATIVE"</formula>
    </cfRule>
    <cfRule type="cellIs" dxfId="14" priority="3" operator="equal">
      <formula>"OUT OF STOCK"</formula>
    </cfRule>
    <cfRule type="cellIs" dxfId="13" priority="4" operator="equal">
      <formula>"LOW"</formula>
    </cfRule>
    <cfRule type="cellIs" dxfId="12" priority="5" operator="equal">
      <formula>"WATCH"</formula>
    </cfRule>
    <cfRule type="cellIs" dxfId="11" priority="6" operator="equal">
      <formula>"Set threshold"</formula>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B3A5C"/>
  </sheetPr>
  <dimension ref="A1:J600"/>
  <sheetViews>
    <sheetView showGridLines="0" zoomScaleNormal="100" workbookViewId="0">
      <pane ySplit="5" topLeftCell="A6" activePane="bottomLeft" state="frozen"/>
      <selection pane="bottomLeft" sqref="A1:J1"/>
    </sheetView>
  </sheetViews>
  <sheetFormatPr defaultColWidth="8.54296875" defaultRowHeight="14.5" x14ac:dyDescent="0.35"/>
  <cols>
    <col min="1" max="1" width="40" customWidth="1"/>
    <col min="2" max="2" width="15" customWidth="1"/>
    <col min="3" max="3" width="14" customWidth="1"/>
    <col min="4" max="5" width="12" customWidth="1"/>
    <col min="6" max="6" width="18" customWidth="1"/>
    <col min="7" max="7" width="13" customWidth="1"/>
    <col min="8" max="8" width="22" customWidth="1"/>
    <col min="9" max="9" width="11" customWidth="1"/>
    <col min="10" max="10" width="15" customWidth="1"/>
  </cols>
  <sheetData>
    <row r="1" spans="1:10" ht="24" customHeight="1" x14ac:dyDescent="0.35">
      <c r="A1" s="117" t="s">
        <v>524</v>
      </c>
      <c r="B1" s="117"/>
      <c r="C1" s="117"/>
      <c r="D1" s="117"/>
      <c r="E1" s="117"/>
      <c r="F1" s="117"/>
      <c r="G1" s="117"/>
      <c r="H1" s="117"/>
      <c r="I1" s="117"/>
      <c r="J1" s="117"/>
    </row>
    <row r="2" spans="1:10" ht="13.5" customHeight="1" x14ac:dyDescent="0.35">
      <c r="A2" s="118" t="s">
        <v>525</v>
      </c>
      <c r="B2" s="118"/>
      <c r="C2" s="118"/>
      <c r="D2" s="118"/>
      <c r="E2" s="118"/>
      <c r="F2" s="118"/>
      <c r="G2" s="118"/>
      <c r="H2" s="118"/>
      <c r="I2" s="118"/>
      <c r="J2" s="118"/>
    </row>
    <row r="3" spans="1:10" x14ac:dyDescent="0.35">
      <c r="A3" s="30" t="s">
        <v>526</v>
      </c>
      <c r="B3" s="27">
        <f>COUNTIF('Item Balance'!$P$5:$P$600,"OUT OF STOCK")</f>
        <v>72</v>
      </c>
      <c r="C3" s="30" t="s">
        <v>527</v>
      </c>
      <c r="D3" s="27">
        <f>COUNTIF('Item Balance'!$P$5:$P$600,"LOW")</f>
        <v>6</v>
      </c>
      <c r="E3" s="30" t="s">
        <v>528</v>
      </c>
      <c r="F3" s="27">
        <f>COUNTIF('Item Balance'!$P$5:$P$600,"WATCH")</f>
        <v>0</v>
      </c>
      <c r="G3" s="30" t="s">
        <v>529</v>
      </c>
      <c r="H3" s="27">
        <f>COUNTIF('Item Balance'!$P$5:$P$600,"Set threshold")</f>
        <v>0</v>
      </c>
    </row>
    <row r="5" spans="1:10" ht="25.5" customHeight="1" x14ac:dyDescent="0.35">
      <c r="A5" s="3" t="s">
        <v>88</v>
      </c>
      <c r="B5" s="3" t="s">
        <v>89</v>
      </c>
      <c r="C5" s="3" t="s">
        <v>94</v>
      </c>
      <c r="D5" s="3" t="s">
        <v>516</v>
      </c>
      <c r="E5" s="3" t="s">
        <v>93</v>
      </c>
      <c r="F5" s="3" t="s">
        <v>530</v>
      </c>
      <c r="G5" s="3" t="s">
        <v>494</v>
      </c>
      <c r="H5" s="3" t="s">
        <v>531</v>
      </c>
      <c r="I5" s="3" t="s">
        <v>91</v>
      </c>
      <c r="J5" s="3" t="s">
        <v>532</v>
      </c>
    </row>
    <row r="6" spans="1:10" x14ac:dyDescent="0.35">
      <c r="A6" s="18" t="str">
        <f>IF('Item Balance'!$A5="","",'Item Balance'!$A5)</f>
        <v>1804 N95 Mask</v>
      </c>
      <c r="B6" s="18" t="str">
        <f>IF($A6="","",'Item Balance'!$B5)</f>
        <v>Masks</v>
      </c>
      <c r="C6" s="19" t="str">
        <f>IF($A6="","",'Item Balance'!$C5)</f>
        <v>PPE</v>
      </c>
      <c r="D6" s="23">
        <f>IF($A6="","",'Item Balance'!$I5)</f>
        <v>40</v>
      </c>
      <c r="E6" s="23">
        <f>IF($A6="","",'Item Balance'!$F5)</f>
        <v>500</v>
      </c>
      <c r="F6" s="26">
        <f t="shared" ref="F6:F69" si="0">IF(OR($A6="",NOT(ISNUMBER($E6)),NOT(ISNUMBER($D6))),"",MAX(0,$E6-$D6))</f>
        <v>460</v>
      </c>
      <c r="G6" s="23">
        <f>IF($A6="","",'Item Balance'!$E5)</f>
        <v>5</v>
      </c>
      <c r="H6" s="26">
        <f t="shared" ref="H6:H69" si="1">IF(OR($A6="",NOT(ISNUMBER($G6)),$G6=0,NOT(ISNUMBER($D6))),"",ROUNDDOWN($D6/$G6,0))</f>
        <v>8</v>
      </c>
      <c r="I6" s="20">
        <f>IF($A6="","",'Item Balance'!$D5)</f>
        <v>2.0499999999999998</v>
      </c>
      <c r="J6" s="31" t="str">
        <f>IF($A6="","",'Item Balance'!$P5)</f>
        <v>LOW</v>
      </c>
    </row>
    <row r="7" spans="1:10" x14ac:dyDescent="0.35">
      <c r="A7" s="18" t="str">
        <f>IF('Item Balance'!$A6="","",'Item Balance'!$A6)</f>
        <v>1860 N95 Mask</v>
      </c>
      <c r="B7" s="18" t="str">
        <f>IF($A7="","",'Item Balance'!$B6)</f>
        <v>Masks</v>
      </c>
      <c r="C7" s="19" t="str">
        <f>IF($A7="","",'Item Balance'!$C6)</f>
        <v>PPE</v>
      </c>
      <c r="D7" s="23">
        <f>IF($A7="","",'Item Balance'!$I6)</f>
        <v>10840</v>
      </c>
      <c r="E7" s="23">
        <f>IF($A7="","",'Item Balance'!$F6)</f>
        <v>500</v>
      </c>
      <c r="F7" s="26">
        <f t="shared" si="0"/>
        <v>0</v>
      </c>
      <c r="G7" s="23">
        <f>IF($A7="","",'Item Balance'!$E6)</f>
        <v>5</v>
      </c>
      <c r="H7" s="26">
        <f t="shared" si="1"/>
        <v>2168</v>
      </c>
      <c r="I7" s="20">
        <f>IF($A7="","",'Item Balance'!$D6)</f>
        <v>2.0499999999999998</v>
      </c>
      <c r="J7" s="31" t="str">
        <f>IF($A7="","",'Item Balance'!$P6)</f>
        <v>OK</v>
      </c>
    </row>
    <row r="8" spans="1:10" x14ac:dyDescent="0.35">
      <c r="A8" s="18" t="str">
        <f>IF('Item Balance'!$A7="","",'Item Balance'!$A7)</f>
        <v>1860S N95 Mask</v>
      </c>
      <c r="B8" s="18" t="str">
        <f>IF($A8="","",'Item Balance'!$B7)</f>
        <v>Masks</v>
      </c>
      <c r="C8" s="19" t="str">
        <f>IF($A8="","",'Item Balance'!$C7)</f>
        <v>PPE</v>
      </c>
      <c r="D8" s="23">
        <f>IF($A8="","",'Item Balance'!$I7)</f>
        <v>9815</v>
      </c>
      <c r="E8" s="23">
        <f>IF($A8="","",'Item Balance'!$F7)</f>
        <v>500</v>
      </c>
      <c r="F8" s="26">
        <f t="shared" si="0"/>
        <v>0</v>
      </c>
      <c r="G8" s="23">
        <f>IF($A8="","",'Item Balance'!$E7)</f>
        <v>5</v>
      </c>
      <c r="H8" s="26">
        <f t="shared" si="1"/>
        <v>1963</v>
      </c>
      <c r="I8" s="20">
        <f>IF($A8="","",'Item Balance'!$D7)</f>
        <v>2.0499999999999998</v>
      </c>
      <c r="J8" s="31" t="str">
        <f>IF($A8="","",'Item Balance'!$P7)</f>
        <v>OK</v>
      </c>
    </row>
    <row r="9" spans="1:10" x14ac:dyDescent="0.35">
      <c r="A9" s="18" t="str">
        <f>IF('Item Balance'!$A8="","",'Item Balance'!$A8)</f>
        <v>1870 N95 Mask</v>
      </c>
      <c r="B9" s="18" t="str">
        <f>IF($A9="","",'Item Balance'!$B8)</f>
        <v>Masks</v>
      </c>
      <c r="C9" s="19" t="str">
        <f>IF($A9="","",'Item Balance'!$C8)</f>
        <v>PPE</v>
      </c>
      <c r="D9" s="23">
        <f>IF($A9="","",'Item Balance'!$I8)</f>
        <v>215</v>
      </c>
      <c r="E9" s="23">
        <f>IF($A9="","",'Item Balance'!$F8)</f>
        <v>500</v>
      </c>
      <c r="F9" s="26">
        <f t="shared" si="0"/>
        <v>285</v>
      </c>
      <c r="G9" s="23">
        <f>IF($A9="","",'Item Balance'!$E8)</f>
        <v>5</v>
      </c>
      <c r="H9" s="26">
        <f t="shared" si="1"/>
        <v>43</v>
      </c>
      <c r="I9" s="20">
        <f>IF($A9="","",'Item Balance'!$D8)</f>
        <v>2.0499999999999998</v>
      </c>
      <c r="J9" s="31" t="str">
        <f>IF($A9="","",'Item Balance'!$P8)</f>
        <v>LOW</v>
      </c>
    </row>
    <row r="10" spans="1:10" x14ac:dyDescent="0.35">
      <c r="A10" s="18" t="str">
        <f>IF('Item Balance'!$A9="","",'Item Balance'!$A9)</f>
        <v>1870+ N95 Mask</v>
      </c>
      <c r="B10" s="18" t="str">
        <f>IF($A10="","",'Item Balance'!$B9)</f>
        <v>Masks</v>
      </c>
      <c r="C10" s="19" t="str">
        <f>IF($A10="","",'Item Balance'!$C9)</f>
        <v>PPE</v>
      </c>
      <c r="D10" s="23">
        <f>IF($A10="","",'Item Balance'!$I9)</f>
        <v>18890</v>
      </c>
      <c r="E10" s="23">
        <f>IF($A10="","",'Item Balance'!$F9)</f>
        <v>500</v>
      </c>
      <c r="F10" s="26">
        <f t="shared" si="0"/>
        <v>0</v>
      </c>
      <c r="G10" s="23">
        <f>IF($A10="","",'Item Balance'!$E9)</f>
        <v>5</v>
      </c>
      <c r="H10" s="26">
        <f t="shared" si="1"/>
        <v>3778</v>
      </c>
      <c r="I10" s="20">
        <f>IF($A10="","",'Item Balance'!$D9)</f>
        <v>2.0499999999999998</v>
      </c>
      <c r="J10" s="31" t="str">
        <f>IF($A10="","",'Item Balance'!$P9)</f>
        <v>OK</v>
      </c>
    </row>
    <row r="11" spans="1:10" x14ac:dyDescent="0.35">
      <c r="A11" s="18" t="str">
        <f>IF('Item Balance'!$A10="","",'Item Balance'!$A10)</f>
        <v>8110S N95 Mask</v>
      </c>
      <c r="B11" s="18" t="str">
        <f>IF($A11="","",'Item Balance'!$B10)</f>
        <v>Masks</v>
      </c>
      <c r="C11" s="19" t="str">
        <f>IF($A11="","",'Item Balance'!$C10)</f>
        <v>PPE</v>
      </c>
      <c r="D11" s="23">
        <f>IF($A11="","",'Item Balance'!$I10)</f>
        <v>3815</v>
      </c>
      <c r="E11" s="23">
        <f>IF($A11="","",'Item Balance'!$F10)</f>
        <v>500</v>
      </c>
      <c r="F11" s="26">
        <f t="shared" si="0"/>
        <v>0</v>
      </c>
      <c r="G11" s="23">
        <f>IF($A11="","",'Item Balance'!$E10)</f>
        <v>5</v>
      </c>
      <c r="H11" s="26">
        <f t="shared" si="1"/>
        <v>763</v>
      </c>
      <c r="I11" s="20">
        <f>IF($A11="","",'Item Balance'!$D10)</f>
        <v>1.45</v>
      </c>
      <c r="J11" s="31" t="str">
        <f>IF($A11="","",'Item Balance'!$P10)</f>
        <v>OK</v>
      </c>
    </row>
    <row r="12" spans="1:10" x14ac:dyDescent="0.35">
      <c r="A12" s="18" t="str">
        <f>IF('Item Balance'!$A11="","",'Item Balance'!$A11)</f>
        <v>8210 N95 Mask</v>
      </c>
      <c r="B12" s="18" t="str">
        <f>IF($A12="","",'Item Balance'!$B11)</f>
        <v>Masks</v>
      </c>
      <c r="C12" s="19" t="str">
        <f>IF($A12="","",'Item Balance'!$C11)</f>
        <v>PPE</v>
      </c>
      <c r="D12" s="23">
        <f>IF($A12="","",'Item Balance'!$I11)</f>
        <v>17460</v>
      </c>
      <c r="E12" s="23">
        <f>IF($A12="","",'Item Balance'!$F11)</f>
        <v>500</v>
      </c>
      <c r="F12" s="26">
        <f t="shared" si="0"/>
        <v>0</v>
      </c>
      <c r="G12" s="23">
        <f>IF($A12="","",'Item Balance'!$E11)</f>
        <v>5</v>
      </c>
      <c r="H12" s="26">
        <f t="shared" si="1"/>
        <v>3492</v>
      </c>
      <c r="I12" s="20">
        <f>IF($A12="","",'Item Balance'!$D11)</f>
        <v>1.45</v>
      </c>
      <c r="J12" s="31" t="str">
        <f>IF($A12="","",'Item Balance'!$P11)</f>
        <v>OK</v>
      </c>
    </row>
    <row r="13" spans="1:10" x14ac:dyDescent="0.35">
      <c r="A13" s="18" t="str">
        <f>IF('Item Balance'!$A12="","",'Item Balance'!$A12)</f>
        <v>9210+ N95 Mask</v>
      </c>
      <c r="B13" s="18" t="str">
        <f>IF($A13="","",'Item Balance'!$B12)</f>
        <v>Masks</v>
      </c>
      <c r="C13" s="19" t="str">
        <f>IF($A13="","",'Item Balance'!$C12)</f>
        <v>PPE</v>
      </c>
      <c r="D13" s="23">
        <f>IF($A13="","",'Item Balance'!$I12)</f>
        <v>0</v>
      </c>
      <c r="E13" s="23">
        <f>IF($A13="","",'Item Balance'!$F12)</f>
        <v>500</v>
      </c>
      <c r="F13" s="26">
        <f t="shared" si="0"/>
        <v>500</v>
      </c>
      <c r="G13" s="23">
        <f>IF($A13="","",'Item Balance'!$E12)</f>
        <v>5</v>
      </c>
      <c r="H13" s="26">
        <f t="shared" si="1"/>
        <v>0</v>
      </c>
      <c r="I13" s="20">
        <f>IF($A13="","",'Item Balance'!$D12)</f>
        <v>1.45</v>
      </c>
      <c r="J13" s="31" t="str">
        <f>IF($A13="","",'Item Balance'!$P12)</f>
        <v>OUT OF STOCK</v>
      </c>
    </row>
    <row r="14" spans="1:10" x14ac:dyDescent="0.35">
      <c r="A14" s="18" t="str">
        <f>IF('Item Balance'!$A13="","",'Item Balance'!$A13)</f>
        <v>CAN95</v>
      </c>
      <c r="B14" s="18" t="str">
        <f>IF($A14="","",'Item Balance'!$B13)</f>
        <v>Masks</v>
      </c>
      <c r="C14" s="19" t="str">
        <f>IF($A14="","",'Item Balance'!$C13)</f>
        <v>PPE</v>
      </c>
      <c r="D14" s="23">
        <f>IF($A14="","",'Item Balance'!$I13)</f>
        <v>-5</v>
      </c>
      <c r="E14" s="23">
        <f>IF($A14="","",'Item Balance'!$F13)</f>
        <v>500</v>
      </c>
      <c r="F14" s="26">
        <f t="shared" si="0"/>
        <v>505</v>
      </c>
      <c r="G14" s="23">
        <f>IF($A14="","",'Item Balance'!$E13)</f>
        <v>5</v>
      </c>
      <c r="H14" s="26">
        <f t="shared" si="1"/>
        <v>-1</v>
      </c>
      <c r="I14" s="20">
        <f>IF($A14="","",'Item Balance'!$D13)</f>
        <v>1.35</v>
      </c>
      <c r="J14" s="31" t="str">
        <f>IF($A14="","",'Item Balance'!$P13)</f>
        <v>NEGATIVE</v>
      </c>
    </row>
    <row r="15" spans="1:10" x14ac:dyDescent="0.35">
      <c r="A15" s="18" t="str">
        <f>IF('Item Balance'!$A14="","",'Item Balance'!$A14)</f>
        <v>CAN99</v>
      </c>
      <c r="B15" s="18" t="str">
        <f>IF($A15="","",'Item Balance'!$B14)</f>
        <v>Masks</v>
      </c>
      <c r="C15" s="19" t="str">
        <f>IF($A15="","",'Item Balance'!$C14)</f>
        <v>PPE</v>
      </c>
      <c r="D15" s="23">
        <f>IF($A15="","",'Item Balance'!$I14)</f>
        <v>45</v>
      </c>
      <c r="E15" s="23">
        <f>IF($A15="","",'Item Balance'!$F14)</f>
        <v>500</v>
      </c>
      <c r="F15" s="26">
        <f t="shared" si="0"/>
        <v>455</v>
      </c>
      <c r="G15" s="23">
        <f>IF($A15="","",'Item Balance'!$E14)</f>
        <v>5</v>
      </c>
      <c r="H15" s="26">
        <f t="shared" si="1"/>
        <v>9</v>
      </c>
      <c r="I15" s="20">
        <f>IF($A15="","",'Item Balance'!$D14)</f>
        <v>1.35</v>
      </c>
      <c r="J15" s="31" t="str">
        <f>IF($A15="","",'Item Balance'!$P14)</f>
        <v>LOW</v>
      </c>
    </row>
    <row r="16" spans="1:10" x14ac:dyDescent="0.35">
      <c r="A16" s="18" t="str">
        <f>IF('Item Balance'!$A15="","",'Item Balance'!$A15)</f>
        <v>Coverall with hood - VENCVCA300N</v>
      </c>
      <c r="B16" s="18" t="str">
        <f>IF($A16="","",'Item Balance'!$B15)</f>
        <v>IPAC</v>
      </c>
      <c r="C16" s="19" t="str">
        <f>IF($A16="","",'Item Balance'!$C15)</f>
        <v>PPE</v>
      </c>
      <c r="D16" s="23">
        <f>IF($A16="","",'Item Balance'!$I15)</f>
        <v>0</v>
      </c>
      <c r="E16" s="23">
        <f>IF($A16="","",'Item Balance'!$F15)</f>
        <v>100</v>
      </c>
      <c r="F16" s="26">
        <f t="shared" si="0"/>
        <v>100</v>
      </c>
      <c r="G16" s="23">
        <f>IF($A16="","",'Item Balance'!$E15)</f>
        <v>4</v>
      </c>
      <c r="H16" s="26">
        <f t="shared" si="1"/>
        <v>0</v>
      </c>
      <c r="I16" s="20">
        <f>IF($A16="","",'Item Balance'!$D15)</f>
        <v>3.29</v>
      </c>
      <c r="J16" s="31" t="str">
        <f>IF($A16="","",'Item Balance'!$P15)</f>
        <v>OUT OF STOCK</v>
      </c>
    </row>
    <row r="17" spans="1:10" x14ac:dyDescent="0.35">
      <c r="A17" s="18" t="str">
        <f>IF('Item Balance'!$A16="","",'Item Balance'!$A16)</f>
        <v>Coverall with shoe cover</v>
      </c>
      <c r="B17" s="18" t="str">
        <f>IF($A17="","",'Item Balance'!$B16)</f>
        <v>IPAC</v>
      </c>
      <c r="C17" s="19" t="str">
        <f>IF($A17="","",'Item Balance'!$C16)</f>
        <v>PPE</v>
      </c>
      <c r="D17" s="23">
        <f>IF($A17="","",'Item Balance'!$I16)</f>
        <v>0</v>
      </c>
      <c r="E17" s="23">
        <f>IF($A17="","",'Item Balance'!$F16)</f>
        <v>500</v>
      </c>
      <c r="F17" s="26">
        <f t="shared" si="0"/>
        <v>500</v>
      </c>
      <c r="G17" s="23">
        <f>IF($A17="","",'Item Balance'!$E16)</f>
        <v>1</v>
      </c>
      <c r="H17" s="26">
        <f t="shared" si="1"/>
        <v>0</v>
      </c>
      <c r="I17" s="20">
        <f>IF($A17="","",'Item Balance'!$D16)</f>
        <v>5.16</v>
      </c>
      <c r="J17" s="31" t="str">
        <f>IF($A17="","",'Item Balance'!$P16)</f>
        <v>OUT OF STOCK</v>
      </c>
    </row>
    <row r="18" spans="1:10" x14ac:dyDescent="0.35">
      <c r="A18" s="18" t="str">
        <f>IF('Item Balance'!$A17="","",'Item Balance'!$A17)</f>
        <v>Disinfectant Wipes</v>
      </c>
      <c r="B18" s="18" t="str">
        <f>IF($A18="","",'Item Balance'!$B17)</f>
        <v>Wipes</v>
      </c>
      <c r="C18" s="19" t="str">
        <f>IF($A18="","",'Item Balance'!$C17)</f>
        <v>PPE</v>
      </c>
      <c r="D18" s="23">
        <f>IF($A18="","",'Item Balance'!$I17)</f>
        <v>166320</v>
      </c>
      <c r="E18" s="23">
        <f>IF($A18="","",'Item Balance'!$F17)</f>
        <v>50000</v>
      </c>
      <c r="F18" s="26">
        <f t="shared" si="0"/>
        <v>0</v>
      </c>
      <c r="G18" s="23">
        <f>IF($A18="","",'Item Balance'!$E17)</f>
        <v>80</v>
      </c>
      <c r="H18" s="26">
        <f t="shared" si="1"/>
        <v>2079</v>
      </c>
      <c r="I18" s="20">
        <f>IF($A18="","",'Item Balance'!$D17)</f>
        <v>0.1</v>
      </c>
      <c r="J18" s="31" t="str">
        <f>IF($A18="","",'Item Balance'!$P17)</f>
        <v>OK</v>
      </c>
    </row>
    <row r="19" spans="1:10" x14ac:dyDescent="0.35">
      <c r="A19" s="18" t="str">
        <f>IF('Item Balance'!$A18="","",'Item Balance'!$A18)</f>
        <v>Ear Savers</v>
      </c>
      <c r="B19" s="18" t="str">
        <f>IF($A19="","",'Item Balance'!$B18)</f>
        <v>Accessories</v>
      </c>
      <c r="C19" s="19" t="str">
        <f>IF($A19="","",'Item Balance'!$C18)</f>
        <v>PPE</v>
      </c>
      <c r="D19" s="23">
        <f>IF($A19="","",'Item Balance'!$I18)</f>
        <v>0</v>
      </c>
      <c r="E19" s="23">
        <f>IF($A19="","",'Item Balance'!$F18)</f>
        <v>0</v>
      </c>
      <c r="F19" s="26">
        <f t="shared" si="0"/>
        <v>0</v>
      </c>
      <c r="G19" s="23">
        <f>IF($A19="","",'Item Balance'!$E18)</f>
        <v>1</v>
      </c>
      <c r="H19" s="26">
        <f t="shared" si="1"/>
        <v>0</v>
      </c>
      <c r="I19" s="20">
        <f>IF($A19="","",'Item Balance'!$D18)</f>
        <v>3</v>
      </c>
      <c r="J19" s="31" t="str">
        <f>IF($A19="","",'Item Balance'!$P18)</f>
        <v>OUT OF STOCK</v>
      </c>
    </row>
    <row r="20" spans="1:10" x14ac:dyDescent="0.35">
      <c r="A20" s="18" t="str">
        <f>IF('Item Balance'!$A19="","",'Item Balance'!$A19)</f>
        <v>Epinephrine</v>
      </c>
      <c r="B20" s="18" t="str">
        <f>IF($A20="","",'Item Balance'!$B19)</f>
        <v>Drug</v>
      </c>
      <c r="C20" s="19" t="str">
        <f>IF($A20="","",'Item Balance'!$C19)</f>
        <v>PPE</v>
      </c>
      <c r="D20" s="23">
        <f>IF($A20="","",'Item Balance'!$I19)</f>
        <v>46</v>
      </c>
      <c r="E20" s="23">
        <f>IF($A20="","",'Item Balance'!$F19)</f>
        <v>0</v>
      </c>
      <c r="F20" s="26">
        <f t="shared" si="0"/>
        <v>0</v>
      </c>
      <c r="G20" s="23">
        <f>IF($A20="","",'Item Balance'!$E19)</f>
        <v>2</v>
      </c>
      <c r="H20" s="26">
        <f t="shared" si="1"/>
        <v>23</v>
      </c>
      <c r="I20" s="20">
        <f>IF($A20="","",'Item Balance'!$D19)</f>
        <v>5.9</v>
      </c>
      <c r="J20" s="31" t="str">
        <f>IF($A20="","",'Item Balance'!$P19)</f>
        <v>OK</v>
      </c>
    </row>
    <row r="21" spans="1:10" x14ac:dyDescent="0.35">
      <c r="A21" s="18" t="str">
        <f>IF('Item Balance'!$A20="","",'Item Balance'!$A20)</f>
        <v>Face Shields</v>
      </c>
      <c r="B21" s="18" t="str">
        <f>IF($A21="","",'Item Balance'!$B20)</f>
        <v>Eye Protection</v>
      </c>
      <c r="C21" s="19" t="str">
        <f>IF($A21="","",'Item Balance'!$C20)</f>
        <v>PPE</v>
      </c>
      <c r="D21" s="23">
        <f>IF($A21="","",'Item Balance'!$I20)</f>
        <v>-19</v>
      </c>
      <c r="E21" s="23">
        <f>IF($A21="","",'Item Balance'!$F20)</f>
        <v>0</v>
      </c>
      <c r="F21" s="26">
        <f t="shared" si="0"/>
        <v>19</v>
      </c>
      <c r="G21" s="23">
        <f>IF($A21="","",'Item Balance'!$E20)</f>
        <v>1</v>
      </c>
      <c r="H21" s="26">
        <f t="shared" si="1"/>
        <v>-19</v>
      </c>
      <c r="I21" s="20">
        <f>IF($A21="","",'Item Balance'!$D20)</f>
        <v>7</v>
      </c>
      <c r="J21" s="31" t="str">
        <f>IF($A21="","",'Item Balance'!$P20)</f>
        <v>NEGATIVE</v>
      </c>
    </row>
    <row r="22" spans="1:10" x14ac:dyDescent="0.35">
      <c r="A22" s="18" t="str">
        <f>IF('Item Balance'!$A21="","",'Item Balance'!$A21)</f>
        <v>Gloves - Large</v>
      </c>
      <c r="B22" s="18" t="str">
        <f>IF($A22="","",'Item Balance'!$B21)</f>
        <v>Gloves</v>
      </c>
      <c r="C22" s="19" t="str">
        <f>IF($A22="","",'Item Balance'!$C21)</f>
        <v>PPE</v>
      </c>
      <c r="D22" s="23">
        <f>IF($A22="","",'Item Balance'!$I21)</f>
        <v>17750</v>
      </c>
      <c r="E22" s="23">
        <f>IF($A22="","",'Item Balance'!$F21)</f>
        <v>4000</v>
      </c>
      <c r="F22" s="26">
        <f t="shared" si="0"/>
        <v>0</v>
      </c>
      <c r="G22" s="23">
        <f>IF($A22="","",'Item Balance'!$E21)</f>
        <v>500</v>
      </c>
      <c r="H22" s="26">
        <f t="shared" si="1"/>
        <v>35</v>
      </c>
      <c r="I22" s="20">
        <f>IF($A22="","",'Item Balance'!$D21)</f>
        <v>5.5E-2</v>
      </c>
      <c r="J22" s="31" t="str">
        <f>IF($A22="","",'Item Balance'!$P21)</f>
        <v>OK</v>
      </c>
    </row>
    <row r="23" spans="1:10" x14ac:dyDescent="0.35">
      <c r="A23" s="18" t="str">
        <f>IF('Item Balance'!$A22="","",'Item Balance'!$A22)</f>
        <v>Gloves - Medium</v>
      </c>
      <c r="B23" s="18" t="str">
        <f>IF($A23="","",'Item Balance'!$B22)</f>
        <v>Gloves</v>
      </c>
      <c r="C23" s="19" t="str">
        <f>IF($A23="","",'Item Balance'!$C22)</f>
        <v>PPE</v>
      </c>
      <c r="D23" s="23">
        <f>IF($A23="","",'Item Balance'!$I22)</f>
        <v>28200</v>
      </c>
      <c r="E23" s="23">
        <f>IF($A23="","",'Item Balance'!$F22)</f>
        <v>7500</v>
      </c>
      <c r="F23" s="26">
        <f t="shared" si="0"/>
        <v>0</v>
      </c>
      <c r="G23" s="23">
        <f>IF($A23="","",'Item Balance'!$E22)</f>
        <v>500</v>
      </c>
      <c r="H23" s="26">
        <f t="shared" si="1"/>
        <v>56</v>
      </c>
      <c r="I23" s="20">
        <f>IF($A23="","",'Item Balance'!$D22)</f>
        <v>5.5E-2</v>
      </c>
      <c r="J23" s="31" t="str">
        <f>IF($A23="","",'Item Balance'!$P22)</f>
        <v>OK</v>
      </c>
    </row>
    <row r="24" spans="1:10" x14ac:dyDescent="0.35">
      <c r="A24" s="18" t="str">
        <f>IF('Item Balance'!$A23="","",'Item Balance'!$A23)</f>
        <v>Gloves - Small</v>
      </c>
      <c r="B24" s="18" t="str">
        <f>IF($A24="","",'Item Balance'!$B23)</f>
        <v>Gloves</v>
      </c>
      <c r="C24" s="19" t="str">
        <f>IF($A24="","",'Item Balance'!$C23)</f>
        <v>PPE</v>
      </c>
      <c r="D24" s="23">
        <f>IF($A24="","",'Item Balance'!$I23)</f>
        <v>17450</v>
      </c>
      <c r="E24" s="23">
        <f>IF($A24="","",'Item Balance'!$F23)</f>
        <v>4000</v>
      </c>
      <c r="F24" s="26">
        <f t="shared" si="0"/>
        <v>0</v>
      </c>
      <c r="G24" s="23">
        <f>IF($A24="","",'Item Balance'!$E23)</f>
        <v>500</v>
      </c>
      <c r="H24" s="26">
        <f t="shared" si="1"/>
        <v>34</v>
      </c>
      <c r="I24" s="20">
        <f>IF($A24="","",'Item Balance'!$D23)</f>
        <v>5.5E-2</v>
      </c>
      <c r="J24" s="31" t="str">
        <f>IF($A24="","",'Item Balance'!$P23)</f>
        <v>OK</v>
      </c>
    </row>
    <row r="25" spans="1:10" x14ac:dyDescent="0.35">
      <c r="A25" s="18" t="str">
        <f>IF('Item Balance'!$A24="","",'Item Balance'!$A24)</f>
        <v>Gloves - Small/100</v>
      </c>
      <c r="B25" s="18" t="str">
        <f>IF($A25="","",'Item Balance'!$B24)</f>
        <v>Gloves</v>
      </c>
      <c r="C25" s="19" t="str">
        <f>IF($A25="","",'Item Balance'!$C24)</f>
        <v>PPE</v>
      </c>
      <c r="D25" s="23">
        <f>IF($A25="","",'Item Balance'!$I24)</f>
        <v>0</v>
      </c>
      <c r="E25" s="23">
        <f>IF($A25="","",'Item Balance'!$F24)</f>
        <v>1000</v>
      </c>
      <c r="F25" s="26">
        <f t="shared" si="0"/>
        <v>1000</v>
      </c>
      <c r="G25" s="23">
        <f>IF($A25="","",'Item Balance'!$E24)</f>
        <v>500</v>
      </c>
      <c r="H25" s="26">
        <f t="shared" si="1"/>
        <v>0</v>
      </c>
      <c r="I25" s="20">
        <f>IF($A25="","",'Item Balance'!$D24)</f>
        <v>5.5E-2</v>
      </c>
      <c r="J25" s="31" t="str">
        <f>IF($A25="","",'Item Balance'!$P24)</f>
        <v>OUT OF STOCK</v>
      </c>
    </row>
    <row r="26" spans="1:10" x14ac:dyDescent="0.35">
      <c r="A26" s="18" t="str">
        <f>IF('Item Balance'!$A25="","",'Item Balance'!$A25)</f>
        <v>Gloves - X-Large</v>
      </c>
      <c r="B26" s="18" t="str">
        <f>IF($A26="","",'Item Balance'!$B25)</f>
        <v>Gloves</v>
      </c>
      <c r="C26" s="19" t="str">
        <f>IF($A26="","",'Item Balance'!$C25)</f>
        <v>PPE</v>
      </c>
      <c r="D26" s="23">
        <f>IF($A26="","",'Item Balance'!$I25)</f>
        <v>3850</v>
      </c>
      <c r="E26" s="23">
        <f>IF($A26="","",'Item Balance'!$F25)</f>
        <v>4000</v>
      </c>
      <c r="F26" s="26">
        <f t="shared" si="0"/>
        <v>150</v>
      </c>
      <c r="G26" s="23">
        <f>IF($A26="","",'Item Balance'!$E25)</f>
        <v>500</v>
      </c>
      <c r="H26" s="26">
        <f t="shared" si="1"/>
        <v>7</v>
      </c>
      <c r="I26" s="20">
        <f>IF($A26="","",'Item Balance'!$D25)</f>
        <v>5.5E-2</v>
      </c>
      <c r="J26" s="31" t="str">
        <f>IF($A26="","",'Item Balance'!$P25)</f>
        <v>LOW</v>
      </c>
    </row>
    <row r="27" spans="1:10" x14ac:dyDescent="0.35">
      <c r="A27" s="18" t="str">
        <f>IF('Item Balance'!$A26="","",'Item Balance'!$A26)</f>
        <v>Gloves - X-Small</v>
      </c>
      <c r="B27" s="18" t="str">
        <f>IF($A27="","",'Item Balance'!$B26)</f>
        <v>Gloves</v>
      </c>
      <c r="C27" s="19" t="str">
        <f>IF($A27="","",'Item Balance'!$C26)</f>
        <v>PPE</v>
      </c>
      <c r="D27" s="23">
        <f>IF($A27="","",'Item Balance'!$I26)</f>
        <v>0</v>
      </c>
      <c r="E27" s="23">
        <f>IF($A27="","",'Item Balance'!$F26)</f>
        <v>4000</v>
      </c>
      <c r="F27" s="26">
        <f t="shared" si="0"/>
        <v>4000</v>
      </c>
      <c r="G27" s="23">
        <f>IF($A27="","",'Item Balance'!$E26)</f>
        <v>500</v>
      </c>
      <c r="H27" s="26">
        <f t="shared" si="1"/>
        <v>0</v>
      </c>
      <c r="I27" s="20">
        <f>IF($A27="","",'Item Balance'!$D26)</f>
        <v>5.5E-2</v>
      </c>
      <c r="J27" s="31" t="str">
        <f>IF($A27="","",'Item Balance'!$P26)</f>
        <v>OUT OF STOCK</v>
      </c>
    </row>
    <row r="28" spans="1:10" x14ac:dyDescent="0.35">
      <c r="A28" s="18" t="str">
        <f>IF('Item Balance'!$A27="","",'Item Balance'!$A27)</f>
        <v>Goggles</v>
      </c>
      <c r="B28" s="18" t="str">
        <f>IF($A28="","",'Item Balance'!$B27)</f>
        <v>Eye Protection</v>
      </c>
      <c r="C28" s="19" t="str">
        <f>IF($A28="","",'Item Balance'!$C27)</f>
        <v>PPE</v>
      </c>
      <c r="D28" s="23">
        <f>IF($A28="","",'Item Balance'!$I27)</f>
        <v>12</v>
      </c>
      <c r="E28" s="23">
        <f>IF($A28="","",'Item Balance'!$F27)</f>
        <v>0</v>
      </c>
      <c r="F28" s="26">
        <f t="shared" si="0"/>
        <v>0</v>
      </c>
      <c r="G28" s="23">
        <f>IF($A28="","",'Item Balance'!$E27)</f>
        <v>1</v>
      </c>
      <c r="H28" s="26">
        <f t="shared" si="1"/>
        <v>12</v>
      </c>
      <c r="I28" s="20">
        <f>IF($A28="","",'Item Balance'!$D27)</f>
        <v>10</v>
      </c>
      <c r="J28" s="31" t="str">
        <f>IF($A28="","",'Item Balance'!$P27)</f>
        <v>OK</v>
      </c>
    </row>
    <row r="29" spans="1:10" x14ac:dyDescent="0.35">
      <c r="A29" s="18" t="str">
        <f>IF('Item Balance'!$A28="","",'Item Balance'!$A28)</f>
        <v>Hand Sanitizer</v>
      </c>
      <c r="B29" s="18" t="str">
        <f>IF($A29="","",'Item Balance'!$B28)</f>
        <v>Sanitizer</v>
      </c>
      <c r="C29" s="19" t="str">
        <f>IF($A29="","",'Item Balance'!$C28)</f>
        <v>PPE</v>
      </c>
      <c r="D29" s="23">
        <f>IF($A29="","",'Item Balance'!$I28)</f>
        <v>-7</v>
      </c>
      <c r="E29" s="23">
        <f>IF($A29="","",'Item Balance'!$F28)</f>
        <v>200</v>
      </c>
      <c r="F29" s="26">
        <f t="shared" si="0"/>
        <v>207</v>
      </c>
      <c r="G29" s="23">
        <f>IF($A29="","",'Item Balance'!$E28)</f>
        <v>2</v>
      </c>
      <c r="H29" s="26">
        <f t="shared" si="1"/>
        <v>-3</v>
      </c>
      <c r="I29" s="20">
        <f>IF($A29="","",'Item Balance'!$D28)</f>
        <v>4.49</v>
      </c>
      <c r="J29" s="31" t="str">
        <f>IF($A29="","",'Item Balance'!$P28)</f>
        <v>NEGATIVE</v>
      </c>
    </row>
    <row r="30" spans="1:10" x14ac:dyDescent="0.35">
      <c r="A30" s="18" t="str">
        <f>IF('Item Balance'!$A29="","",'Item Balance'!$A29)</f>
        <v>ICE Cleats -Small</v>
      </c>
      <c r="B30" s="18" t="str">
        <f>IF($A30="","",'Item Balance'!$B29)</f>
        <v>PPE</v>
      </c>
      <c r="C30" s="19" t="str">
        <f>IF($A30="","",'Item Balance'!$C29)</f>
        <v>PPE</v>
      </c>
      <c r="D30" s="23">
        <f>IF($A30="","",'Item Balance'!$I29)</f>
        <v>15</v>
      </c>
      <c r="E30" s="23">
        <f>IF($A30="","",'Item Balance'!$F29)</f>
        <v>0</v>
      </c>
      <c r="F30" s="26">
        <f t="shared" si="0"/>
        <v>0</v>
      </c>
      <c r="G30" s="23">
        <f>IF($A30="","",'Item Balance'!$E29)</f>
        <v>1</v>
      </c>
      <c r="H30" s="26">
        <f t="shared" si="1"/>
        <v>15</v>
      </c>
      <c r="I30" s="20">
        <f>IF($A30="","",'Item Balance'!$D29)</f>
        <v>145.97999999999999</v>
      </c>
      <c r="J30" s="31" t="str">
        <f>IF($A30="","",'Item Balance'!$P29)</f>
        <v>OK</v>
      </c>
    </row>
    <row r="31" spans="1:10" x14ac:dyDescent="0.35">
      <c r="A31" s="18" t="str">
        <f>IF('Item Balance'!$A30="","",'Item Balance'!$A30)</f>
        <v>ICE Cleats-Large</v>
      </c>
      <c r="B31" s="18" t="str">
        <f>IF($A31="","",'Item Balance'!$B30)</f>
        <v>PPE</v>
      </c>
      <c r="C31" s="19" t="str">
        <f>IF($A31="","",'Item Balance'!$C30)</f>
        <v>PPE</v>
      </c>
      <c r="D31" s="23">
        <f>IF($A31="","",'Item Balance'!$I30)</f>
        <v>0</v>
      </c>
      <c r="E31" s="23">
        <f>IF($A31="","",'Item Balance'!$F30)</f>
        <v>0</v>
      </c>
      <c r="F31" s="26">
        <f t="shared" si="0"/>
        <v>0</v>
      </c>
      <c r="G31" s="23">
        <f>IF($A31="","",'Item Balance'!$E30)</f>
        <v>1</v>
      </c>
      <c r="H31" s="26">
        <f t="shared" si="1"/>
        <v>0</v>
      </c>
      <c r="I31" s="20">
        <f>IF($A31="","",'Item Balance'!$D30)</f>
        <v>145.97999999999999</v>
      </c>
      <c r="J31" s="31" t="str">
        <f>IF($A31="","",'Item Balance'!$P30)</f>
        <v>OUT OF STOCK</v>
      </c>
    </row>
    <row r="32" spans="1:10" x14ac:dyDescent="0.35">
      <c r="A32" s="18" t="str">
        <f>IF('Item Balance'!$A31="","",'Item Balance'!$A31)</f>
        <v>ICE Cleats-Medium</v>
      </c>
      <c r="B32" s="18" t="str">
        <f>IF($A32="","",'Item Balance'!$B31)</f>
        <v>PPE</v>
      </c>
      <c r="C32" s="19" t="str">
        <f>IF($A32="","",'Item Balance'!$C31)</f>
        <v>PPE</v>
      </c>
      <c r="D32" s="23">
        <f>IF($A32="","",'Item Balance'!$I31)</f>
        <v>1</v>
      </c>
      <c r="E32" s="23">
        <f>IF($A32="","",'Item Balance'!$F31)</f>
        <v>0</v>
      </c>
      <c r="F32" s="26">
        <f t="shared" si="0"/>
        <v>0</v>
      </c>
      <c r="G32" s="23">
        <f>IF($A32="","",'Item Balance'!$E31)</f>
        <v>1</v>
      </c>
      <c r="H32" s="26">
        <f t="shared" si="1"/>
        <v>1</v>
      </c>
      <c r="I32" s="20">
        <f>IF($A32="","",'Item Balance'!$D31)</f>
        <v>145.97999999999999</v>
      </c>
      <c r="J32" s="31" t="str">
        <f>IF($A32="","",'Item Balance'!$P31)</f>
        <v>OK</v>
      </c>
    </row>
    <row r="33" spans="1:10" x14ac:dyDescent="0.35">
      <c r="A33" s="18" t="str">
        <f>IF('Item Balance'!$A32="","",'Item Balance'!$A32)</f>
        <v>ICE Cleats-X-Large</v>
      </c>
      <c r="B33" s="18" t="str">
        <f>IF($A33="","",'Item Balance'!$B32)</f>
        <v>PPE</v>
      </c>
      <c r="C33" s="19" t="str">
        <f>IF($A33="","",'Item Balance'!$C32)</f>
        <v>PPE</v>
      </c>
      <c r="D33" s="23">
        <f>IF($A33="","",'Item Balance'!$I32)</f>
        <v>4</v>
      </c>
      <c r="E33" s="23">
        <f>IF($A33="","",'Item Balance'!$F32)</f>
        <v>0</v>
      </c>
      <c r="F33" s="26">
        <f t="shared" si="0"/>
        <v>0</v>
      </c>
      <c r="G33" s="23">
        <f>IF($A33="","",'Item Balance'!$E32)</f>
        <v>1</v>
      </c>
      <c r="H33" s="26">
        <f t="shared" si="1"/>
        <v>4</v>
      </c>
      <c r="I33" s="20">
        <f>IF($A33="","",'Item Balance'!$D32)</f>
        <v>145.97999999999999</v>
      </c>
      <c r="J33" s="31" t="str">
        <f>IF($A33="","",'Item Balance'!$P32)</f>
        <v>OK</v>
      </c>
    </row>
    <row r="34" spans="1:10" x14ac:dyDescent="0.35">
      <c r="A34" s="18" t="str">
        <f>IF('Item Balance'!$A33="","",'Item Balance'!$A33)</f>
        <v>Infestation Supplies</v>
      </c>
      <c r="B34" s="18" t="str">
        <f>IF($A34="","",'Item Balance'!$B33)</f>
        <v>IPAC</v>
      </c>
      <c r="C34" s="19" t="str">
        <f>IF($A34="","",'Item Balance'!$C33)</f>
        <v>PPE</v>
      </c>
      <c r="D34" s="23">
        <f>IF($A34="","",'Item Balance'!$I33)</f>
        <v>-88</v>
      </c>
      <c r="E34" s="23">
        <f>IF($A34="","",'Item Balance'!$F33)</f>
        <v>0</v>
      </c>
      <c r="F34" s="26">
        <f t="shared" si="0"/>
        <v>88</v>
      </c>
      <c r="G34" s="23">
        <f>IF($A34="","",'Item Balance'!$E33)</f>
        <v>4</v>
      </c>
      <c r="H34" s="26">
        <f t="shared" si="1"/>
        <v>-22</v>
      </c>
      <c r="I34" s="20">
        <f>IF($A34="","",'Item Balance'!$D33)</f>
        <v>145.97999999999999</v>
      </c>
      <c r="J34" s="31" t="str">
        <f>IF($A34="","",'Item Balance'!$P33)</f>
        <v>NEGATIVE</v>
      </c>
    </row>
    <row r="35" spans="1:10" x14ac:dyDescent="0.35">
      <c r="A35" s="18" t="str">
        <f>IF('Item Balance'!$A34="","",'Item Balance'!$A34)</f>
        <v>Level 1/2 - Water resistant Blue Gowns</v>
      </c>
      <c r="B35" s="18" t="str">
        <f>IF($A35="","",'Item Balance'!$B34)</f>
        <v>Apparel</v>
      </c>
      <c r="C35" s="19" t="str">
        <f>IF($A35="","",'Item Balance'!$C34)</f>
        <v>PPE</v>
      </c>
      <c r="D35" s="23">
        <f>IF($A35="","",'Item Balance'!$I34)</f>
        <v>190</v>
      </c>
      <c r="E35" s="23">
        <f>IF($A35="","",'Item Balance'!$F34)</f>
        <v>200</v>
      </c>
      <c r="F35" s="26">
        <f t="shared" si="0"/>
        <v>10</v>
      </c>
      <c r="G35" s="23">
        <f>IF($A35="","",'Item Balance'!$E34)</f>
        <v>5</v>
      </c>
      <c r="H35" s="26">
        <f t="shared" si="1"/>
        <v>38</v>
      </c>
      <c r="I35" s="20">
        <f>IF($A35="","",'Item Balance'!$D34)</f>
        <v>3</v>
      </c>
      <c r="J35" s="31" t="str">
        <f>IF($A35="","",'Item Balance'!$P34)</f>
        <v>LOW</v>
      </c>
    </row>
    <row r="36" spans="1:10" x14ac:dyDescent="0.35">
      <c r="A36" s="18" t="str">
        <f>IF('Item Balance'!$A35="","",'Item Balance'!$A35)</f>
        <v>Level 1/2 - Yellow Gown</v>
      </c>
      <c r="B36" s="18" t="str">
        <f>IF($A36="","",'Item Balance'!$B35)</f>
        <v>Apparel</v>
      </c>
      <c r="C36" s="19" t="str">
        <f>IF($A36="","",'Item Balance'!$C35)</f>
        <v>PPE</v>
      </c>
      <c r="D36" s="23">
        <f>IF($A36="","",'Item Balance'!$I35)</f>
        <v>1085</v>
      </c>
      <c r="E36" s="23">
        <f>IF($A36="","",'Item Balance'!$F35)</f>
        <v>200</v>
      </c>
      <c r="F36" s="26">
        <f t="shared" si="0"/>
        <v>0</v>
      </c>
      <c r="G36" s="23">
        <f>IF($A36="","",'Item Balance'!$E35)</f>
        <v>5</v>
      </c>
      <c r="H36" s="26">
        <f t="shared" si="1"/>
        <v>217</v>
      </c>
      <c r="I36" s="20">
        <f>IF($A36="","",'Item Balance'!$D35)</f>
        <v>3</v>
      </c>
      <c r="J36" s="31" t="str">
        <f>IF($A36="","",'Item Balance'!$P35)</f>
        <v>OK</v>
      </c>
    </row>
    <row r="37" spans="1:10" x14ac:dyDescent="0.35">
      <c r="A37" s="18" t="str">
        <f>IF('Item Balance'!$A36="","",'Item Balance'!$A36)</f>
        <v>narrative progress notes</v>
      </c>
      <c r="B37" s="18" t="str">
        <f>IF($A37="","",'Item Balance'!$B36)</f>
        <v>Documents</v>
      </c>
      <c r="C37" s="19" t="str">
        <f>IF($A37="","",'Item Balance'!$C36)</f>
        <v>PPE</v>
      </c>
      <c r="D37" s="23">
        <f>IF($A37="","",'Item Balance'!$I36)</f>
        <v>0</v>
      </c>
      <c r="E37" s="23">
        <f>IF($A37="","",'Item Balance'!$F36)</f>
        <v>0</v>
      </c>
      <c r="F37" s="26">
        <f t="shared" si="0"/>
        <v>0</v>
      </c>
      <c r="G37" s="23">
        <f>IF($A37="","",'Item Balance'!$E36)</f>
        <v>20</v>
      </c>
      <c r="H37" s="26">
        <f t="shared" si="1"/>
        <v>0</v>
      </c>
      <c r="I37" s="20">
        <f>IF($A37="","",'Item Balance'!$D36)</f>
        <v>0</v>
      </c>
      <c r="J37" s="31" t="str">
        <f>IF($A37="","",'Item Balance'!$P36)</f>
        <v>OUT OF STOCK</v>
      </c>
    </row>
    <row r="38" spans="1:10" x14ac:dyDescent="0.35">
      <c r="A38" s="18" t="str">
        <f>IF('Item Balance'!$A37="","",'Item Balance'!$A37)</f>
        <v>Nurse on Duty Pass</v>
      </c>
      <c r="B38" s="18" t="str">
        <f>IF($A38="","",'Item Balance'!$B37)</f>
        <v>Documents</v>
      </c>
      <c r="C38" s="19" t="str">
        <f>IF($A38="","",'Item Balance'!$C37)</f>
        <v>PPE</v>
      </c>
      <c r="D38" s="23">
        <f>IF($A38="","",'Item Balance'!$I37)</f>
        <v>-21</v>
      </c>
      <c r="E38" s="23">
        <f>IF($A38="","",'Item Balance'!$F37)</f>
        <v>0</v>
      </c>
      <c r="F38" s="26">
        <f t="shared" si="0"/>
        <v>21</v>
      </c>
      <c r="G38" s="23">
        <f>IF($A38="","",'Item Balance'!$E37)</f>
        <v>1</v>
      </c>
      <c r="H38" s="26">
        <f t="shared" si="1"/>
        <v>-21</v>
      </c>
      <c r="I38" s="20">
        <f>IF($A38="","",'Item Balance'!$D37)</f>
        <v>0</v>
      </c>
      <c r="J38" s="31" t="str">
        <f>IF($A38="","",'Item Balance'!$P37)</f>
        <v>NEGATIVE</v>
      </c>
    </row>
    <row r="39" spans="1:10" x14ac:dyDescent="0.35">
      <c r="A39" s="18" t="str">
        <f>IF('Item Balance'!$A38="","",'Item Balance'!$A38)</f>
        <v>Personal Care activity Sheets</v>
      </c>
      <c r="B39" s="18" t="str">
        <f>IF($A39="","",'Item Balance'!$B38)</f>
        <v>HS Charts</v>
      </c>
      <c r="C39" s="19" t="str">
        <f>IF($A39="","",'Item Balance'!$C38)</f>
        <v>PPE</v>
      </c>
      <c r="D39" s="23">
        <f>IF($A39="","",'Item Balance'!$I38)</f>
        <v>-20</v>
      </c>
      <c r="E39" s="23">
        <f>IF($A39="","",'Item Balance'!$F38)</f>
        <v>0</v>
      </c>
      <c r="F39" s="26">
        <f t="shared" si="0"/>
        <v>20</v>
      </c>
      <c r="G39" s="23">
        <f>IF($A39="","",'Item Balance'!$E38)</f>
        <v>20</v>
      </c>
      <c r="H39" s="26">
        <f t="shared" si="1"/>
        <v>-1</v>
      </c>
      <c r="I39" s="20">
        <f>IF($A39="","",'Item Balance'!$D38)</f>
        <v>0</v>
      </c>
      <c r="J39" s="31" t="str">
        <f>IF($A39="","",'Item Balance'!$P38)</f>
        <v>NEGATIVE</v>
      </c>
    </row>
    <row r="40" spans="1:10" x14ac:dyDescent="0.35">
      <c r="A40" s="18" t="str">
        <f>IF('Item Balance'!$A39="","",'Item Balance'!$A39)</f>
        <v>PSW Charts</v>
      </c>
      <c r="B40" s="18" t="str">
        <f>IF($A40="","",'Item Balance'!$B39)</f>
        <v>Sample Org Charts PSW</v>
      </c>
      <c r="C40" s="19" t="str">
        <f>IF($A40="","",'Item Balance'!$C39)</f>
        <v>PPE</v>
      </c>
      <c r="D40" s="23">
        <f>IF($A40="","",'Item Balance'!$I39)</f>
        <v>0</v>
      </c>
      <c r="E40" s="23">
        <f>IF($A40="","",'Item Balance'!$F39)</f>
        <v>0</v>
      </c>
      <c r="F40" s="26">
        <f t="shared" si="0"/>
        <v>0</v>
      </c>
      <c r="G40" s="23">
        <f>IF($A40="","",'Item Balance'!$E39)</f>
        <v>5</v>
      </c>
      <c r="H40" s="26">
        <f t="shared" si="1"/>
        <v>0</v>
      </c>
      <c r="I40" s="20">
        <f>IF($A40="","",'Item Balance'!$D39)</f>
        <v>0</v>
      </c>
      <c r="J40" s="31" t="str">
        <f>IF($A40="","",'Item Balance'!$P39)</f>
        <v>OUT OF STOCK</v>
      </c>
    </row>
    <row r="41" spans="1:10" x14ac:dyDescent="0.35">
      <c r="A41" s="18" t="str">
        <f>IF('Item Balance'!$A40="","",'Item Balance'!$A40)</f>
        <v>Shoe Covers</v>
      </c>
      <c r="B41" s="18" t="str">
        <f>IF($A41="","",'Item Balance'!$B40)</f>
        <v>IPAC</v>
      </c>
      <c r="C41" s="19" t="str">
        <f>IF($A41="","",'Item Balance'!$C40)</f>
        <v>PPE</v>
      </c>
      <c r="D41" s="23">
        <f>IF($A41="","",'Item Balance'!$I40)</f>
        <v>-1200</v>
      </c>
      <c r="E41" s="23">
        <f>IF($A41="","",'Item Balance'!$F40)</f>
        <v>300</v>
      </c>
      <c r="F41" s="26">
        <f t="shared" si="0"/>
        <v>1500</v>
      </c>
      <c r="G41" s="23">
        <f>IF($A41="","",'Item Balance'!$E40)</f>
        <v>50</v>
      </c>
      <c r="H41" s="26">
        <f t="shared" si="1"/>
        <v>-24</v>
      </c>
      <c r="I41" s="20">
        <f>IF($A41="","",'Item Balance'!$D40)</f>
        <v>0.2</v>
      </c>
      <c r="J41" s="31" t="str">
        <f>IF($A41="","",'Item Balance'!$P40)</f>
        <v>NEGATIVE</v>
      </c>
    </row>
    <row r="42" spans="1:10" x14ac:dyDescent="0.35">
      <c r="A42" s="18" t="str">
        <f>IF('Item Balance'!$A41="","",'Item Balance'!$A41)</f>
        <v>Surgical Masks</v>
      </c>
      <c r="B42" s="18" t="str">
        <f>IF($A42="","",'Item Balance'!$B41)</f>
        <v>Masks</v>
      </c>
      <c r="C42" s="19" t="str">
        <f>IF($A42="","",'Item Balance'!$C41)</f>
        <v>PPE</v>
      </c>
      <c r="D42" s="23">
        <f>IF($A42="","",'Item Balance'!$I41)</f>
        <v>6000</v>
      </c>
      <c r="E42" s="23">
        <f>IF($A42="","",'Item Balance'!$F41)</f>
        <v>1000</v>
      </c>
      <c r="F42" s="26">
        <f t="shared" si="0"/>
        <v>0</v>
      </c>
      <c r="G42" s="23">
        <f>IF($A42="","",'Item Balance'!$E41)</f>
        <v>50</v>
      </c>
      <c r="H42" s="26">
        <f t="shared" si="1"/>
        <v>120</v>
      </c>
      <c r="I42" s="20">
        <f>IF($A42="","",'Item Balance'!$D41)</f>
        <v>0.25</v>
      </c>
      <c r="J42" s="31" t="str">
        <f>IF($A42="","",'Item Balance'!$P41)</f>
        <v>OK</v>
      </c>
    </row>
    <row r="43" spans="1:10" x14ac:dyDescent="0.35">
      <c r="A43" s="18" t="str">
        <f>IF('Item Balance'!$A42="","",'Item Balance'!$A42)</f>
        <v>Thermometer Cover</v>
      </c>
      <c r="B43" s="18" t="str">
        <f>IF($A43="","",'Item Balance'!$B42)</f>
        <v>Safety</v>
      </c>
      <c r="C43" s="19" t="str">
        <f>IF($A43="","",'Item Balance'!$C42)</f>
        <v>PPE</v>
      </c>
      <c r="D43" s="23">
        <f>IF($A43="","",'Item Balance'!$I42)</f>
        <v>-1</v>
      </c>
      <c r="E43" s="23">
        <f>IF($A43="","",'Item Balance'!$F42)</f>
        <v>100</v>
      </c>
      <c r="F43" s="26">
        <f t="shared" si="0"/>
        <v>101</v>
      </c>
      <c r="G43" s="23">
        <f>IF($A43="","",'Item Balance'!$E42)</f>
        <v>1</v>
      </c>
      <c r="H43" s="26">
        <f t="shared" si="1"/>
        <v>-1</v>
      </c>
      <c r="I43" s="20">
        <f>IF($A43="","",'Item Balance'!$D42)</f>
        <v>1</v>
      </c>
      <c r="J43" s="31" t="str">
        <f>IF($A43="","",'Item Balance'!$P42)</f>
        <v>NEGATIVE</v>
      </c>
    </row>
    <row r="44" spans="1:10" x14ac:dyDescent="0.35">
      <c r="A44" s="18" t="str">
        <f>IF('Item Balance'!$A43="","",'Item Balance'!$A43)</f>
        <v>Sample Org Nursing Charts A1</v>
      </c>
      <c r="B44" s="18" t="str">
        <f>IF($A44="","",'Item Balance'!$B43)</f>
        <v>SO A1 Charts</v>
      </c>
      <c r="C44" s="19" t="str">
        <f>IF($A44="","",'Item Balance'!$C43)</f>
        <v>PPE</v>
      </c>
      <c r="D44" s="23">
        <f>IF($A44="","",'Item Balance'!$I43)</f>
        <v>-140</v>
      </c>
      <c r="E44" s="23">
        <f>IF($A44="","",'Item Balance'!$F43)</f>
        <v>0</v>
      </c>
      <c r="F44" s="26">
        <f t="shared" si="0"/>
        <v>140</v>
      </c>
      <c r="G44" s="23">
        <f>IF($A44="","",'Item Balance'!$E43)</f>
        <v>20</v>
      </c>
      <c r="H44" s="26">
        <f t="shared" si="1"/>
        <v>-7</v>
      </c>
      <c r="I44" s="20">
        <f>IF($A44="","",'Item Balance'!$D43)</f>
        <v>0</v>
      </c>
      <c r="J44" s="31" t="str">
        <f>IF($A44="","",'Item Balance'!$P43)</f>
        <v>NEGATIVE</v>
      </c>
    </row>
    <row r="45" spans="1:10" x14ac:dyDescent="0.35">
      <c r="A45" s="18" t="str">
        <f>IF('Item Balance'!$A44="","",'Item Balance'!$A44)</f>
        <v>Sample Org Nursing Charts A2</v>
      </c>
      <c r="B45" s="18" t="str">
        <f>IF($A45="","",'Item Balance'!$B44)</f>
        <v>SO A2 Charts</v>
      </c>
      <c r="C45" s="19" t="str">
        <f>IF($A45="","",'Item Balance'!$C44)</f>
        <v>PPE</v>
      </c>
      <c r="D45" s="23">
        <f>IF($A45="","",'Item Balance'!$I44)</f>
        <v>0</v>
      </c>
      <c r="E45" s="23">
        <f>IF($A45="","",'Item Balance'!$F44)</f>
        <v>0</v>
      </c>
      <c r="F45" s="26">
        <f t="shared" si="0"/>
        <v>0</v>
      </c>
      <c r="G45" s="23">
        <f>IF($A45="","",'Item Balance'!$E44)</f>
        <v>20</v>
      </c>
      <c r="H45" s="26">
        <f t="shared" si="1"/>
        <v>0</v>
      </c>
      <c r="I45" s="20">
        <f>IF($A45="","",'Item Balance'!$D44)</f>
        <v>0</v>
      </c>
      <c r="J45" s="31" t="str">
        <f>IF($A45="","",'Item Balance'!$P44)</f>
        <v>OUT OF STOCK</v>
      </c>
    </row>
    <row r="46" spans="1:10" x14ac:dyDescent="0.35">
      <c r="A46" s="18" t="str">
        <f>IF('Item Balance'!$A45="","",'Item Balance'!$A45)</f>
        <v>Wound sheets</v>
      </c>
      <c r="B46" s="18" t="str">
        <f>IF($A46="","",'Item Balance'!$B45)</f>
        <v>Documents</v>
      </c>
      <c r="C46" s="19" t="str">
        <f>IF($A46="","",'Item Balance'!$C45)</f>
        <v>PPE</v>
      </c>
      <c r="D46" s="23">
        <f>IF($A46="","",'Item Balance'!$I45)</f>
        <v>-180</v>
      </c>
      <c r="E46" s="23">
        <f>IF($A46="","",'Item Balance'!$F45)</f>
        <v>0</v>
      </c>
      <c r="F46" s="26">
        <f t="shared" si="0"/>
        <v>180</v>
      </c>
      <c r="G46" s="23">
        <f>IF($A46="","",'Item Balance'!$E45)</f>
        <v>20</v>
      </c>
      <c r="H46" s="26">
        <f t="shared" si="1"/>
        <v>-9</v>
      </c>
      <c r="I46" s="20">
        <f>IF($A46="","",'Item Balance'!$D45)</f>
        <v>0</v>
      </c>
      <c r="J46" s="31" t="str">
        <f>IF($A46="","",'Item Balance'!$P45)</f>
        <v>NEGATIVE</v>
      </c>
    </row>
    <row r="47" spans="1:10" x14ac:dyDescent="0.35">
      <c r="A47" s="18" t="str">
        <f>IF('Item Balance'!$A46="","",'Item Balance'!$A46)</f>
        <v>Block Visit Sheets</v>
      </c>
      <c r="B47" s="18" t="str">
        <f>IF($A47="","",'Item Balance'!$B46)</f>
        <v>Documents</v>
      </c>
      <c r="C47" s="19" t="str">
        <f>IF($A47="","",'Item Balance'!$C46)</f>
        <v>PPE</v>
      </c>
      <c r="D47" s="23">
        <f>IF($A47="","",'Item Balance'!$I46)</f>
        <v>-20</v>
      </c>
      <c r="E47" s="23">
        <f>IF($A47="","",'Item Balance'!$F46)</f>
        <v>0</v>
      </c>
      <c r="F47" s="26">
        <f t="shared" si="0"/>
        <v>20</v>
      </c>
      <c r="G47" s="23">
        <f>IF($A47="","",'Item Balance'!$E46)</f>
        <v>20</v>
      </c>
      <c r="H47" s="26">
        <f t="shared" si="1"/>
        <v>-1</v>
      </c>
      <c r="I47" s="20">
        <f>IF($A47="","",'Item Balance'!$D46)</f>
        <v>0</v>
      </c>
      <c r="J47" s="31" t="str">
        <f>IF($A47="","",'Item Balance'!$P46)</f>
        <v>NEGATIVE</v>
      </c>
    </row>
    <row r="48" spans="1:10" x14ac:dyDescent="0.35">
      <c r="A48" s="18" t="str">
        <f>IF('Item Balance'!$A47="","",'Item Balance'!$A47)</f>
        <v>IV Fluid sheets</v>
      </c>
      <c r="B48" s="18" t="str">
        <f>IF($A48="","",'Item Balance'!$B47)</f>
        <v>Documents</v>
      </c>
      <c r="C48" s="19" t="str">
        <f>IF($A48="","",'Item Balance'!$C47)</f>
        <v>PPE</v>
      </c>
      <c r="D48" s="23">
        <f>IF($A48="","",'Item Balance'!$I47)</f>
        <v>0</v>
      </c>
      <c r="E48" s="23">
        <f>IF($A48="","",'Item Balance'!$F47)</f>
        <v>0</v>
      </c>
      <c r="F48" s="26">
        <f t="shared" si="0"/>
        <v>0</v>
      </c>
      <c r="G48" s="23">
        <f>IF($A48="","",'Item Balance'!$E47)</f>
        <v>20</v>
      </c>
      <c r="H48" s="26">
        <f t="shared" si="1"/>
        <v>0</v>
      </c>
      <c r="I48" s="20">
        <f>IF($A48="","",'Item Balance'!$D47)</f>
        <v>0</v>
      </c>
      <c r="J48" s="31" t="str">
        <f>IF($A48="","",'Item Balance'!$P47)</f>
        <v>OUT OF STOCK</v>
      </c>
    </row>
    <row r="49" spans="1:10" x14ac:dyDescent="0.35">
      <c r="A49" s="18" t="str">
        <f>IF('Item Balance'!$A48="","",'Item Balance'!$A48)</f>
        <v>Flow Sheets</v>
      </c>
      <c r="B49" s="18" t="str">
        <f>IF($A49="","",'Item Balance'!$B48)</f>
        <v>Documents</v>
      </c>
      <c r="C49" s="19" t="str">
        <f>IF($A49="","",'Item Balance'!$C48)</f>
        <v>PPE</v>
      </c>
      <c r="D49" s="23">
        <f>IF($A49="","",'Item Balance'!$I48)</f>
        <v>-140</v>
      </c>
      <c r="E49" s="23">
        <f>IF($A49="","",'Item Balance'!$F48)</f>
        <v>0</v>
      </c>
      <c r="F49" s="26">
        <f t="shared" si="0"/>
        <v>140</v>
      </c>
      <c r="G49" s="23">
        <f>IF($A49="","",'Item Balance'!$E48)</f>
        <v>20</v>
      </c>
      <c r="H49" s="26">
        <f t="shared" si="1"/>
        <v>-7</v>
      </c>
      <c r="I49" s="20">
        <f>IF($A49="","",'Item Balance'!$D48)</f>
        <v>0</v>
      </c>
      <c r="J49" s="31" t="str">
        <f>IF($A49="","",'Item Balance'!$P48)</f>
        <v>NEGATIVE</v>
      </c>
    </row>
    <row r="50" spans="1:10" x14ac:dyDescent="0.35">
      <c r="A50" s="18" t="str">
        <f>IF('Item Balance'!$A49="","",'Item Balance'!$A49)</f>
        <v>BRM Envelopes</v>
      </c>
      <c r="B50" s="18" t="str">
        <f>IF($A50="","",'Item Balance'!$B49)</f>
        <v>Documents</v>
      </c>
      <c r="C50" s="19" t="str">
        <f>IF($A50="","",'Item Balance'!$C49)</f>
        <v>PPE</v>
      </c>
      <c r="D50" s="23">
        <f>IF($A50="","",'Item Balance'!$I49)</f>
        <v>-40</v>
      </c>
      <c r="E50" s="23">
        <f>IF($A50="","",'Item Balance'!$F49)</f>
        <v>0</v>
      </c>
      <c r="F50" s="26">
        <f t="shared" si="0"/>
        <v>40</v>
      </c>
      <c r="G50" s="23">
        <f>IF($A50="","",'Item Balance'!$E49)</f>
        <v>20</v>
      </c>
      <c r="H50" s="26">
        <f t="shared" si="1"/>
        <v>-2</v>
      </c>
      <c r="I50" s="20">
        <f>IF($A50="","",'Item Balance'!$D49)</f>
        <v>0</v>
      </c>
      <c r="J50" s="31" t="str">
        <f>IF($A50="","",'Item Balance'!$P49)</f>
        <v>NEGATIVE</v>
      </c>
    </row>
    <row r="51" spans="1:10" x14ac:dyDescent="0.35">
      <c r="A51" s="18" t="str">
        <f>IF('Item Balance'!$A50="","",'Item Balance'!$A50)</f>
        <v>ID Card</v>
      </c>
      <c r="B51" s="18" t="str">
        <f>IF($A51="","",'Item Balance'!$B50)</f>
        <v>ID Document</v>
      </c>
      <c r="C51" s="19" t="str">
        <f>IF($A51="","",'Item Balance'!$C50)</f>
        <v>PPE</v>
      </c>
      <c r="D51" s="23">
        <f>IF($A51="","",'Item Balance'!$I50)</f>
        <v>-2</v>
      </c>
      <c r="E51" s="23">
        <f>IF($A51="","",'Item Balance'!$F50)</f>
        <v>0</v>
      </c>
      <c r="F51" s="26">
        <f t="shared" si="0"/>
        <v>2</v>
      </c>
      <c r="G51" s="23">
        <f>IF($A51="","",'Item Balance'!$E50)</f>
        <v>1</v>
      </c>
      <c r="H51" s="26">
        <f t="shared" si="1"/>
        <v>-2</v>
      </c>
      <c r="I51" s="20">
        <f>IF($A51="","",'Item Balance'!$D50)</f>
        <v>0</v>
      </c>
      <c r="J51" s="31" t="str">
        <f>IF($A51="","",'Item Balance'!$P50)</f>
        <v>NEGATIVE</v>
      </c>
    </row>
    <row r="52" spans="1:10" x14ac:dyDescent="0.35">
      <c r="A52" s="18" t="str">
        <f>IF('Item Balance'!$A51="","",'Item Balance'!$A51)</f>
        <v>CSS Ice Cleats Small</v>
      </c>
      <c r="B52" s="18" t="str">
        <f>IF($A52="","",'Item Balance'!$B51)</f>
        <v>PPE</v>
      </c>
      <c r="C52" s="19" t="str">
        <f>IF($A52="","",'Item Balance'!$C51)</f>
        <v>PPE</v>
      </c>
      <c r="D52" s="23">
        <f>IF($A52="","",'Item Balance'!$I51)</f>
        <v>0</v>
      </c>
      <c r="E52" s="23">
        <f>IF($A52="","",'Item Balance'!$F51)</f>
        <v>29</v>
      </c>
      <c r="F52" s="26">
        <f t="shared" si="0"/>
        <v>29</v>
      </c>
      <c r="G52" s="23">
        <f>IF($A52="","",'Item Balance'!$E51)</f>
        <v>29</v>
      </c>
      <c r="H52" s="26">
        <f t="shared" si="1"/>
        <v>0</v>
      </c>
      <c r="I52" s="20">
        <f>IF($A52="","",'Item Balance'!$D51)</f>
        <v>145.97999999999999</v>
      </c>
      <c r="J52" s="31" t="str">
        <f>IF($A52="","",'Item Balance'!$P51)</f>
        <v>OUT OF STOCK</v>
      </c>
    </row>
    <row r="53" spans="1:10" x14ac:dyDescent="0.35">
      <c r="A53" s="18" t="str">
        <f>IF('Item Balance'!$A52="","",'Item Balance'!$A52)</f>
        <v>CSS Ice Cleats Medium</v>
      </c>
      <c r="B53" s="18" t="str">
        <f>IF($A53="","",'Item Balance'!$B52)</f>
        <v>PPE</v>
      </c>
      <c r="C53" s="19" t="str">
        <f>IF($A53="","",'Item Balance'!$C52)</f>
        <v>PPE</v>
      </c>
      <c r="D53" s="23">
        <f>IF($A53="","",'Item Balance'!$I52)</f>
        <v>0</v>
      </c>
      <c r="E53" s="23">
        <f>IF($A53="","",'Item Balance'!$F52)</f>
        <v>15</v>
      </c>
      <c r="F53" s="26">
        <f t="shared" si="0"/>
        <v>15</v>
      </c>
      <c r="G53" s="23">
        <f>IF($A53="","",'Item Balance'!$E52)</f>
        <v>15</v>
      </c>
      <c r="H53" s="26">
        <f t="shared" si="1"/>
        <v>0</v>
      </c>
      <c r="I53" s="20">
        <f>IF($A53="","",'Item Balance'!$D52)</f>
        <v>145.97999999999999</v>
      </c>
      <c r="J53" s="31" t="str">
        <f>IF($A53="","",'Item Balance'!$P52)</f>
        <v>OUT OF STOCK</v>
      </c>
    </row>
    <row r="54" spans="1:10" x14ac:dyDescent="0.35">
      <c r="A54" s="18" t="str">
        <f>IF('Item Balance'!$A53="","",'Item Balance'!$A53)</f>
        <v>CSS Ice Cleats Large</v>
      </c>
      <c r="B54" s="18" t="str">
        <f>IF($A54="","",'Item Balance'!$B53)</f>
        <v>PPE</v>
      </c>
      <c r="C54" s="19" t="str">
        <f>IF($A54="","",'Item Balance'!$C53)</f>
        <v>PPE</v>
      </c>
      <c r="D54" s="23">
        <f>IF($A54="","",'Item Balance'!$I53)</f>
        <v>0</v>
      </c>
      <c r="E54" s="23">
        <f>IF($A54="","",'Item Balance'!$F53)</f>
        <v>1</v>
      </c>
      <c r="F54" s="26">
        <f t="shared" si="0"/>
        <v>1</v>
      </c>
      <c r="G54" s="23">
        <f>IF($A54="","",'Item Balance'!$E53)</f>
        <v>1</v>
      </c>
      <c r="H54" s="26">
        <f t="shared" si="1"/>
        <v>0</v>
      </c>
      <c r="I54" s="20">
        <f>IF($A54="","",'Item Balance'!$D53)</f>
        <v>145.97999999999999</v>
      </c>
      <c r="J54" s="31" t="str">
        <f>IF($A54="","",'Item Balance'!$P53)</f>
        <v>OUT OF STOCK</v>
      </c>
    </row>
    <row r="55" spans="1:10" x14ac:dyDescent="0.35">
      <c r="A55" s="18" t="str">
        <f>IF('Item Balance'!$A54="","",'Item Balance'!$A54)</f>
        <v>CSS Ice Cleats X Large</v>
      </c>
      <c r="B55" s="18" t="str">
        <f>IF($A55="","",'Item Balance'!$B54)</f>
        <v>PPE</v>
      </c>
      <c r="C55" s="19" t="str">
        <f>IF($A55="","",'Item Balance'!$C54)</f>
        <v>PPE</v>
      </c>
      <c r="D55" s="23">
        <f>IF($A55="","",'Item Balance'!$I54)</f>
        <v>0</v>
      </c>
      <c r="E55" s="23">
        <f>IF($A55="","",'Item Balance'!$F54)</f>
        <v>2</v>
      </c>
      <c r="F55" s="26">
        <f t="shared" si="0"/>
        <v>2</v>
      </c>
      <c r="G55" s="23">
        <f>IF($A55="","",'Item Balance'!$E54)</f>
        <v>2</v>
      </c>
      <c r="H55" s="26">
        <f t="shared" si="1"/>
        <v>0</v>
      </c>
      <c r="I55" s="20">
        <f>IF($A55="","",'Item Balance'!$D54)</f>
        <v>145.97999999999999</v>
      </c>
      <c r="J55" s="31" t="str">
        <f>IF($A55="","",'Item Balance'!$P54)</f>
        <v>OUT OF STOCK</v>
      </c>
    </row>
    <row r="56" spans="1:10" x14ac:dyDescent="0.35">
      <c r="A56" s="18" t="str">
        <f>IF('Item Balance'!$A55="","",'Item Balance'!$A55)</f>
        <v>Sample Org Nursing Charts A2 Bulk</v>
      </c>
      <c r="B56" s="18" t="str">
        <f>IF($A56="","",'Item Balance'!$B55)</f>
        <v>SO A2 Charts</v>
      </c>
      <c r="C56" s="19" t="str">
        <f>IF($A56="","",'Item Balance'!$C55)</f>
        <v>Chart</v>
      </c>
      <c r="D56" s="23">
        <f>IF($A56="","",'Item Balance'!$I55)</f>
        <v>0</v>
      </c>
      <c r="E56" s="23">
        <f>IF($A56="","",'Item Balance'!$F55)</f>
        <v>30</v>
      </c>
      <c r="F56" s="26">
        <f t="shared" si="0"/>
        <v>30</v>
      </c>
      <c r="G56" s="23">
        <f>IF($A56="","",'Item Balance'!$E55)</f>
        <v>30</v>
      </c>
      <c r="H56" s="26">
        <f t="shared" si="1"/>
        <v>0</v>
      </c>
      <c r="I56" s="20">
        <f>IF($A56="","",'Item Balance'!$D55)</f>
        <v>0</v>
      </c>
      <c r="J56" s="31" t="str">
        <f>IF($A56="","",'Item Balance'!$P55)</f>
        <v>OUT OF STOCK</v>
      </c>
    </row>
    <row r="57" spans="1:10" x14ac:dyDescent="0.35">
      <c r="A57" s="18" t="str">
        <f>IF('Item Balance'!$A56="","",'Item Balance'!$A56)</f>
        <v>Sample Org Generic Flow Sheets</v>
      </c>
      <c r="B57" s="18" t="str">
        <f>IF($A57="","",'Item Balance'!$B56)</f>
        <v>Sample Org Charts</v>
      </c>
      <c r="C57" s="19" t="str">
        <f>IF($A57="","",'Item Balance'!$C56)</f>
        <v>Chart</v>
      </c>
      <c r="D57" s="23">
        <f>IF($A57="","",'Item Balance'!$I56)</f>
        <v>0</v>
      </c>
      <c r="E57" s="23">
        <f>IF($A57="","",'Item Balance'!$F56)</f>
        <v>20</v>
      </c>
      <c r="F57" s="26">
        <f t="shared" si="0"/>
        <v>20</v>
      </c>
      <c r="G57" s="23">
        <f>IF($A57="","",'Item Balance'!$E56)</f>
        <v>20</v>
      </c>
      <c r="H57" s="26">
        <f t="shared" si="1"/>
        <v>0</v>
      </c>
      <c r="I57" s="20">
        <f>IF($A57="","",'Item Balance'!$D56)</f>
        <v>0</v>
      </c>
      <c r="J57" s="31" t="str">
        <f>IF($A57="","",'Item Balance'!$P56)</f>
        <v>OUT OF STOCK</v>
      </c>
    </row>
    <row r="58" spans="1:10" x14ac:dyDescent="0.35">
      <c r="A58" s="18" t="str">
        <f>IF('Item Balance'!$A57="","",'Item Balance'!$A57)</f>
        <v>PSW Charts TL 20</v>
      </c>
      <c r="B58" s="18" t="str">
        <f>IF($A58="","",'Item Balance'!$B57)</f>
        <v>Sample Org Charts PSW</v>
      </c>
      <c r="C58" s="19" t="str">
        <f>IF($A58="","",'Item Balance'!$C57)</f>
        <v>Chart</v>
      </c>
      <c r="D58" s="23">
        <f>IF($A58="","",'Item Balance'!$I57)</f>
        <v>0</v>
      </c>
      <c r="E58" s="23">
        <f>IF($A58="","",'Item Balance'!$F57)</f>
        <v>20</v>
      </c>
      <c r="F58" s="26">
        <f t="shared" si="0"/>
        <v>20</v>
      </c>
      <c r="G58" s="23">
        <f>IF($A58="","",'Item Balance'!$E57)</f>
        <v>20</v>
      </c>
      <c r="H58" s="26">
        <f t="shared" si="1"/>
        <v>0</v>
      </c>
      <c r="I58" s="20">
        <f>IF($A58="","",'Item Balance'!$D57)</f>
        <v>0</v>
      </c>
      <c r="J58" s="31" t="str">
        <f>IF($A58="","",'Item Balance'!$P57)</f>
        <v>OUT OF STOCK</v>
      </c>
    </row>
    <row r="59" spans="1:10" x14ac:dyDescent="0.35">
      <c r="A59" s="18" t="str">
        <f>IF('Item Balance'!$A58="","",'Item Balance'!$A58)</f>
        <v>PSW Charts TL 10</v>
      </c>
      <c r="B59" s="18" t="str">
        <f>IF($A59="","",'Item Balance'!$B58)</f>
        <v>Sample Org Charts PSW</v>
      </c>
      <c r="C59" s="19" t="str">
        <f>IF($A59="","",'Item Balance'!$C58)</f>
        <v>Chart</v>
      </c>
      <c r="D59" s="23">
        <f>IF($A59="","",'Item Balance'!$I58)</f>
        <v>0</v>
      </c>
      <c r="E59" s="23">
        <f>IF($A59="","",'Item Balance'!$F58)</f>
        <v>10</v>
      </c>
      <c r="F59" s="26">
        <f t="shared" si="0"/>
        <v>10</v>
      </c>
      <c r="G59" s="23">
        <f>IF($A59="","",'Item Balance'!$E58)</f>
        <v>10</v>
      </c>
      <c r="H59" s="26">
        <f t="shared" si="1"/>
        <v>0</v>
      </c>
      <c r="I59" s="20">
        <f>IF($A59="","",'Item Balance'!$D58)</f>
        <v>0</v>
      </c>
      <c r="J59" s="31" t="str">
        <f>IF($A59="","",'Item Balance'!$P58)</f>
        <v>OUT OF STOCK</v>
      </c>
    </row>
    <row r="60" spans="1:10" x14ac:dyDescent="0.35">
      <c r="A60" s="18" t="str">
        <f>IF('Item Balance'!$A59="","",'Item Balance'!$A59)</f>
        <v>Master Sign In Sheet</v>
      </c>
      <c r="B60" s="18" t="str">
        <f>IF($A60="","",'Item Balance'!$B59)</f>
        <v>Sample Org Charts PSW</v>
      </c>
      <c r="C60" s="19" t="str">
        <f>IF($A60="","",'Item Balance'!$C59)</f>
        <v>Chart</v>
      </c>
      <c r="D60" s="23">
        <f>IF($A60="","",'Item Balance'!$I59)</f>
        <v>0</v>
      </c>
      <c r="E60" s="23">
        <f>IF($A60="","",'Item Balance'!$F59)</f>
        <v>10</v>
      </c>
      <c r="F60" s="26">
        <f t="shared" si="0"/>
        <v>10</v>
      </c>
      <c r="G60" s="23">
        <f>IF($A60="","",'Item Balance'!$E59)</f>
        <v>20</v>
      </c>
      <c r="H60" s="26">
        <f t="shared" si="1"/>
        <v>0</v>
      </c>
      <c r="I60" s="20">
        <f>IF($A60="","",'Item Balance'!$D59)</f>
        <v>0</v>
      </c>
      <c r="J60" s="31" t="str">
        <f>IF($A60="","",'Item Balance'!$P59)</f>
        <v>OUT OF STOCK</v>
      </c>
    </row>
    <row r="61" spans="1:10" x14ac:dyDescent="0.35">
      <c r="A61" s="18" t="str">
        <f>IF('Item Balance'!$A60="","",'Item Balance'!$A60)</f>
        <v>Physician Order</v>
      </c>
      <c r="B61" s="18" t="str">
        <f>IF($A61="","",'Item Balance'!$B60)</f>
        <v>SO A2 Charts</v>
      </c>
      <c r="C61" s="19" t="str">
        <f>IF($A61="","",'Item Balance'!$C60)</f>
        <v>Chart</v>
      </c>
      <c r="D61" s="23">
        <f>IF($A61="","",'Item Balance'!$I60)</f>
        <v>0</v>
      </c>
      <c r="E61" s="23">
        <f>IF($A61="","",'Item Balance'!$F60)</f>
        <v>10</v>
      </c>
      <c r="F61" s="26">
        <f t="shared" si="0"/>
        <v>10</v>
      </c>
      <c r="G61" s="23">
        <f>IF($A61="","",'Item Balance'!$E60)</f>
        <v>20</v>
      </c>
      <c r="H61" s="26">
        <f t="shared" si="1"/>
        <v>0</v>
      </c>
      <c r="I61" s="20">
        <f>IF($A61="","",'Item Balance'!$D60)</f>
        <v>0</v>
      </c>
      <c r="J61" s="31" t="str">
        <f>IF($A61="","",'Item Balance'!$P60)</f>
        <v>OUT OF STOCK</v>
      </c>
    </row>
    <row r="62" spans="1:10" x14ac:dyDescent="0.35">
      <c r="A62" s="18" t="str">
        <f>IF('Item Balance'!$A61="","",'Item Balance'!$A61)</f>
        <v>Progress report to Doctor</v>
      </c>
      <c r="B62" s="18" t="str">
        <f>IF($A62="","",'Item Balance'!$B61)</f>
        <v>Sample Org Charts</v>
      </c>
      <c r="C62" s="19" t="str">
        <f>IF($A62="","",'Item Balance'!$C61)</f>
        <v>Chart</v>
      </c>
      <c r="D62" s="23">
        <f>IF($A62="","",'Item Balance'!$I61)</f>
        <v>0</v>
      </c>
      <c r="E62" s="23">
        <f>IF($A62="","",'Item Balance'!$F61)</f>
        <v>10</v>
      </c>
      <c r="F62" s="26">
        <f t="shared" si="0"/>
        <v>10</v>
      </c>
      <c r="G62" s="23">
        <f>IF($A62="","",'Item Balance'!$E61)</f>
        <v>20</v>
      </c>
      <c r="H62" s="26">
        <f t="shared" si="1"/>
        <v>0</v>
      </c>
      <c r="I62" s="20">
        <f>IF($A62="","",'Item Balance'!$D61)</f>
        <v>0</v>
      </c>
      <c r="J62" s="31" t="str">
        <f>IF($A62="","",'Item Balance'!$P61)</f>
        <v>OUT OF STOCK</v>
      </c>
    </row>
    <row r="63" spans="1:10" x14ac:dyDescent="0.35">
      <c r="A63" s="18" t="str">
        <f>IF('Item Balance'!$A62="","",'Item Balance'!$A62)</f>
        <v>Medication Administration Record Monthly</v>
      </c>
      <c r="B63" s="18" t="str">
        <f>IF($A63="","",'Item Balance'!$B62)</f>
        <v>Sample Org Charts</v>
      </c>
      <c r="C63" s="19" t="str">
        <f>IF($A63="","",'Item Balance'!$C62)</f>
        <v>Chart</v>
      </c>
      <c r="D63" s="23">
        <f>IF($A63="","",'Item Balance'!$I62)</f>
        <v>-20</v>
      </c>
      <c r="E63" s="23">
        <f>IF($A63="","",'Item Balance'!$F62)</f>
        <v>10</v>
      </c>
      <c r="F63" s="26">
        <f t="shared" si="0"/>
        <v>30</v>
      </c>
      <c r="G63" s="23">
        <f>IF($A63="","",'Item Balance'!$E62)</f>
        <v>20</v>
      </c>
      <c r="H63" s="26">
        <f t="shared" si="1"/>
        <v>-1</v>
      </c>
      <c r="I63" s="20">
        <f>IF($A63="","",'Item Balance'!$D62)</f>
        <v>0</v>
      </c>
      <c r="J63" s="31" t="str">
        <f>IF($A63="","",'Item Balance'!$P62)</f>
        <v>NEGATIVE</v>
      </c>
    </row>
    <row r="64" spans="1:10" x14ac:dyDescent="0.35">
      <c r="A64" s="18" t="str">
        <f>IF('Item Balance'!$A63="","",'Item Balance'!$A63)</f>
        <v>Diabetic flow Sheet</v>
      </c>
      <c r="B64" s="18" t="str">
        <f>IF($A64="","",'Item Balance'!$B63)</f>
        <v>Sample Org Charts</v>
      </c>
      <c r="C64" s="19" t="str">
        <f>IF($A64="","",'Item Balance'!$C63)</f>
        <v>Chart</v>
      </c>
      <c r="D64" s="23">
        <f>IF($A64="","",'Item Balance'!$I63)</f>
        <v>0</v>
      </c>
      <c r="E64" s="23">
        <f>IF($A64="","",'Item Balance'!$F63)</f>
        <v>10</v>
      </c>
      <c r="F64" s="26">
        <f t="shared" si="0"/>
        <v>10</v>
      </c>
      <c r="G64" s="23">
        <f>IF($A64="","",'Item Balance'!$E63)</f>
        <v>20</v>
      </c>
      <c r="H64" s="26">
        <f t="shared" si="1"/>
        <v>0</v>
      </c>
      <c r="I64" s="20">
        <f>IF($A64="","",'Item Balance'!$D63)</f>
        <v>0</v>
      </c>
      <c r="J64" s="31" t="str">
        <f>IF($A64="","",'Item Balance'!$P63)</f>
        <v>OUT OF STOCK</v>
      </c>
    </row>
    <row r="65" spans="1:10" x14ac:dyDescent="0.35">
      <c r="A65" s="18" t="str">
        <f>IF('Item Balance'!$A64="","",'Item Balance'!$A64)</f>
        <v>DNR</v>
      </c>
      <c r="B65" s="18" t="str">
        <f>IF($A65="","",'Item Balance'!$B64)</f>
        <v>Forms</v>
      </c>
      <c r="C65" s="19" t="str">
        <f>IF($A65="","",'Item Balance'!$C64)</f>
        <v>Forms</v>
      </c>
      <c r="D65" s="23">
        <f>IF($A65="","",'Item Balance'!$I64)</f>
        <v>153</v>
      </c>
      <c r="E65" s="23">
        <f>IF($A65="","",'Item Balance'!$F64)</f>
        <v>10</v>
      </c>
      <c r="F65" s="26">
        <f t="shared" si="0"/>
        <v>0</v>
      </c>
      <c r="G65" s="23">
        <f>IF($A65="","",'Item Balance'!$E64)</f>
        <v>5</v>
      </c>
      <c r="H65" s="26">
        <f t="shared" si="1"/>
        <v>30</v>
      </c>
      <c r="I65" s="20">
        <f>IF($A65="","",'Item Balance'!$D64)</f>
        <v>0</v>
      </c>
      <c r="J65" s="31" t="str">
        <f>IF($A65="","",'Item Balance'!$P64)</f>
        <v>OK</v>
      </c>
    </row>
    <row r="66" spans="1:10" x14ac:dyDescent="0.35">
      <c r="A66" s="18" t="str">
        <f>IF('Item Balance'!$A65="","",'Item Balance'!$A65)</f>
        <v>EDITH</v>
      </c>
      <c r="B66" s="18" t="str">
        <f>IF($A66="","",'Item Balance'!$B65)</f>
        <v>Forms</v>
      </c>
      <c r="C66" s="19" t="str">
        <f>IF($A66="","",'Item Balance'!$C65)</f>
        <v>Forms</v>
      </c>
      <c r="D66" s="23">
        <f>IF($A66="","",'Item Balance'!$I65)</f>
        <v>85</v>
      </c>
      <c r="E66" s="23">
        <f>IF($A66="","",'Item Balance'!$F65)</f>
        <v>10</v>
      </c>
      <c r="F66" s="26">
        <f t="shared" si="0"/>
        <v>0</v>
      </c>
      <c r="G66" s="23">
        <f>IF($A66="","",'Item Balance'!$E65)</f>
        <v>5</v>
      </c>
      <c r="H66" s="26">
        <f t="shared" si="1"/>
        <v>17</v>
      </c>
      <c r="I66" s="20">
        <f>IF($A66="","",'Item Balance'!$D65)</f>
        <v>0</v>
      </c>
      <c r="J66" s="31" t="str">
        <f>IF($A66="","",'Item Balance'!$P65)</f>
        <v>OK</v>
      </c>
    </row>
    <row r="67" spans="1:10" x14ac:dyDescent="0.35">
      <c r="A67" s="18" t="str">
        <f>IF('Item Balance'!$A66="","",'Item Balance'!$A66)</f>
        <v>Palliative ESAS Forms</v>
      </c>
      <c r="B67" s="18" t="str">
        <f>IF($A67="","",'Item Balance'!$B66)</f>
        <v>Forms</v>
      </c>
      <c r="C67" s="19" t="str">
        <f>IF($A67="","",'Item Balance'!$C66)</f>
        <v>Forms</v>
      </c>
      <c r="D67" s="23">
        <f>IF($A67="","",'Item Balance'!$I66)</f>
        <v>0</v>
      </c>
      <c r="E67" s="23">
        <f>IF($A67="","",'Item Balance'!$F66)</f>
        <v>10</v>
      </c>
      <c r="F67" s="26">
        <f t="shared" si="0"/>
        <v>10</v>
      </c>
      <c r="G67" s="23">
        <f>IF($A67="","",'Item Balance'!$E66)</f>
        <v>20</v>
      </c>
      <c r="H67" s="26">
        <f t="shared" si="1"/>
        <v>0</v>
      </c>
      <c r="I67" s="20">
        <f>IF($A67="","",'Item Balance'!$D66)</f>
        <v>0</v>
      </c>
      <c r="J67" s="31" t="str">
        <f>IF($A67="","",'Item Balance'!$P66)</f>
        <v>OUT OF STOCK</v>
      </c>
    </row>
    <row r="68" spans="1:10" x14ac:dyDescent="0.35">
      <c r="A68" s="18" t="str">
        <f>IF('Item Balance'!$A67="","",'Item Balance'!$A67)</f>
        <v>Alcohol Swab</v>
      </c>
      <c r="B68" s="18" t="str">
        <f>IF($A68="","",'Item Balance'!$B67)</f>
        <v>IPAC</v>
      </c>
      <c r="C68" s="19" t="str">
        <f>IF($A68="","",'Item Balance'!$C67)</f>
        <v>PPE</v>
      </c>
      <c r="D68" s="23">
        <f>IF($A68="","",'Item Balance'!$I67)</f>
        <v>1000</v>
      </c>
      <c r="E68" s="23">
        <f>IF($A68="","",'Item Balance'!$F67)</f>
        <v>500</v>
      </c>
      <c r="F68" s="26">
        <f t="shared" si="0"/>
        <v>0</v>
      </c>
      <c r="G68" s="23">
        <f>IF($A68="","",'Item Balance'!$E67)</f>
        <v>200</v>
      </c>
      <c r="H68" s="26">
        <f t="shared" si="1"/>
        <v>5</v>
      </c>
      <c r="I68" s="20">
        <f>IF($A68="","",'Item Balance'!$D67)</f>
        <v>3.25</v>
      </c>
      <c r="J68" s="31" t="str">
        <f>IF($A68="","",'Item Balance'!$P67)</f>
        <v>OK</v>
      </c>
    </row>
    <row r="69" spans="1:10" x14ac:dyDescent="0.35">
      <c r="A69" s="18" t="str">
        <f>IF('Item Balance'!$A68="","",'Item Balance'!$A68)</f>
        <v>BP CUFF</v>
      </c>
      <c r="B69" s="18" t="str">
        <f>IF($A69="","",'Item Balance'!$B68)</f>
        <v>Equipment</v>
      </c>
      <c r="C69" s="19" t="str">
        <f>IF($A69="","",'Item Balance'!$C68)</f>
        <v>Tool</v>
      </c>
      <c r="D69" s="23">
        <f>IF($A69="","",'Item Balance'!$I68)</f>
        <v>2</v>
      </c>
      <c r="E69" s="23">
        <f>IF($A69="","",'Item Balance'!$F68)</f>
        <v>0</v>
      </c>
      <c r="F69" s="26">
        <f t="shared" si="0"/>
        <v>0</v>
      </c>
      <c r="G69" s="23">
        <f>IF($A69="","",'Item Balance'!$E68)</f>
        <v>1</v>
      </c>
      <c r="H69" s="26">
        <f t="shared" si="1"/>
        <v>2</v>
      </c>
      <c r="I69" s="20">
        <f>IF($A69="","",'Item Balance'!$D68)</f>
        <v>35</v>
      </c>
      <c r="J69" s="31" t="str">
        <f>IF($A69="","",'Item Balance'!$P68)</f>
        <v>OK</v>
      </c>
    </row>
    <row r="70" spans="1:10" x14ac:dyDescent="0.35">
      <c r="A70" s="18" t="str">
        <f>IF('Item Balance'!$A69="","",'Item Balance'!$A69)</f>
        <v>Visit Record Sheet</v>
      </c>
      <c r="B70" s="18" t="str">
        <f>IF($A70="","",'Item Balance'!$B69)</f>
        <v>Documents</v>
      </c>
      <c r="C70" s="19" t="str">
        <f>IF($A70="","",'Item Balance'!$C69)</f>
        <v>Chart</v>
      </c>
      <c r="D70" s="23">
        <f>IF($A70="","",'Item Balance'!$I69)</f>
        <v>0</v>
      </c>
      <c r="E70" s="23">
        <f>IF($A70="","",'Item Balance'!$F69)</f>
        <v>0</v>
      </c>
      <c r="F70" s="26">
        <f t="shared" ref="F70:F133" si="2">IF(OR($A70="",NOT(ISNUMBER($E70)),NOT(ISNUMBER($D70))),"",MAX(0,$E70-$D70))</f>
        <v>0</v>
      </c>
      <c r="G70" s="23">
        <f>IF($A70="","",'Item Balance'!$E69)</f>
        <v>20</v>
      </c>
      <c r="H70" s="26">
        <f t="shared" ref="H70:H133" si="3">IF(OR($A70="",NOT(ISNUMBER($G70)),$G70=0,NOT(ISNUMBER($D70))),"",ROUNDDOWN($D70/$G70,0))</f>
        <v>0</v>
      </c>
      <c r="I70" s="20">
        <f>IF($A70="","",'Item Balance'!$D69)</f>
        <v>0</v>
      </c>
      <c r="J70" s="31" t="str">
        <f>IF($A70="","",'Item Balance'!$P69)</f>
        <v>OUT OF STOCK</v>
      </c>
    </row>
    <row r="71" spans="1:10" x14ac:dyDescent="0.35">
      <c r="A71" s="18" t="str">
        <f>IF('Item Balance'!$A70="","",'Item Balance'!$A70)</f>
        <v>Sterile Gloves - Medium</v>
      </c>
      <c r="B71" s="18" t="str">
        <f>IF($A71="","",'Item Balance'!$B70)</f>
        <v>Gloves</v>
      </c>
      <c r="C71" s="19" t="str">
        <f>IF($A71="","",'Item Balance'!$C70)</f>
        <v>PPE</v>
      </c>
      <c r="D71" s="23">
        <f>IF($A71="","",'Item Balance'!$I70)</f>
        <v>100</v>
      </c>
      <c r="E71" s="23">
        <f>IF($A71="","",'Item Balance'!$F70)</f>
        <v>0</v>
      </c>
      <c r="F71" s="26">
        <f t="shared" si="2"/>
        <v>0</v>
      </c>
      <c r="G71" s="23">
        <f>IF($A71="","",'Item Balance'!$E70)</f>
        <v>10</v>
      </c>
      <c r="H71" s="26">
        <f t="shared" si="3"/>
        <v>10</v>
      </c>
      <c r="I71" s="20">
        <f>IF($A71="","",'Item Balance'!$D70)</f>
        <v>0.54</v>
      </c>
      <c r="J71" s="31" t="str">
        <f>IF($A71="","",'Item Balance'!$P70)</f>
        <v>OK</v>
      </c>
    </row>
    <row r="72" spans="1:10" x14ac:dyDescent="0.35">
      <c r="A72" s="18" t="str">
        <f>IF('Item Balance'!$A71="","",'Item Balance'!$A71)</f>
        <v>Sterile Gloves - Large</v>
      </c>
      <c r="B72" s="18" t="str">
        <f>IF($A72="","",'Item Balance'!$B71)</f>
        <v>Gloves</v>
      </c>
      <c r="C72" s="19" t="str">
        <f>IF($A72="","",'Item Balance'!$C71)</f>
        <v>PPE</v>
      </c>
      <c r="D72" s="23">
        <f>IF($A72="","",'Item Balance'!$I71)</f>
        <v>100</v>
      </c>
      <c r="E72" s="23">
        <f>IF($A72="","",'Item Balance'!$F71)</f>
        <v>0</v>
      </c>
      <c r="F72" s="26">
        <f t="shared" si="2"/>
        <v>0</v>
      </c>
      <c r="G72" s="23">
        <f>IF($A72="","",'Item Balance'!$E71)</f>
        <v>10</v>
      </c>
      <c r="H72" s="26">
        <f t="shared" si="3"/>
        <v>10</v>
      </c>
      <c r="I72" s="20">
        <f>IF($A72="","",'Item Balance'!$D71)</f>
        <v>0.54</v>
      </c>
      <c r="J72" s="31" t="str">
        <f>IF($A72="","",'Item Balance'!$P71)</f>
        <v>OK</v>
      </c>
    </row>
    <row r="73" spans="1:10" x14ac:dyDescent="0.35">
      <c r="A73" s="18" t="str">
        <f>IF('Item Balance'!$A72="","",'Item Balance'!$A72)</f>
        <v>Cell Phone Charger</v>
      </c>
      <c r="B73" s="18" t="str">
        <f>IF($A73="","",'Item Balance'!$B72)</f>
        <v>Electronic</v>
      </c>
      <c r="C73" s="19" t="str">
        <f>IF($A73="","",'Item Balance'!$C72)</f>
        <v>PPE</v>
      </c>
      <c r="D73" s="23">
        <f>IF($A73="","",'Item Balance'!$I72)</f>
        <v>-1</v>
      </c>
      <c r="E73" s="23">
        <f>IF($A73="","",'Item Balance'!$F72)</f>
        <v>0</v>
      </c>
      <c r="F73" s="26">
        <f t="shared" si="2"/>
        <v>1</v>
      </c>
      <c r="G73" s="23">
        <f>IF($A73="","",'Item Balance'!$E72)</f>
        <v>1</v>
      </c>
      <c r="H73" s="26">
        <f t="shared" si="3"/>
        <v>-1</v>
      </c>
      <c r="I73" s="20">
        <f>IF($A73="","",'Item Balance'!$D72)</f>
        <v>14</v>
      </c>
      <c r="J73" s="31" t="str">
        <f>IF($A73="","",'Item Balance'!$P72)</f>
        <v>NEGATIVE</v>
      </c>
    </row>
    <row r="74" spans="1:10" x14ac:dyDescent="0.35">
      <c r="A74" s="18" t="str">
        <f>IF('Item Balance'!$A73="","",'Item Balance'!$A73)</f>
        <v>Hand Sanitizer OS</v>
      </c>
      <c r="B74" s="18" t="str">
        <f>IF($A74="","",'Item Balance'!$B73)</f>
        <v>Sanitizer</v>
      </c>
      <c r="C74" s="19" t="str">
        <f>IF($A74="","",'Item Balance'!$C73)</f>
        <v>PPE</v>
      </c>
      <c r="D74" s="23">
        <f>IF($A74="","",'Item Balance'!$I73)</f>
        <v>179</v>
      </c>
      <c r="E74" s="23">
        <f>IF($A74="","",'Item Balance'!$F73)</f>
        <v>200</v>
      </c>
      <c r="F74" s="26">
        <f t="shared" si="2"/>
        <v>21</v>
      </c>
      <c r="G74" s="23">
        <f>IF($A74="","",'Item Balance'!$E73)</f>
        <v>1</v>
      </c>
      <c r="H74" s="26">
        <f t="shared" si="3"/>
        <v>179</v>
      </c>
      <c r="I74" s="20">
        <f>IF($A74="","",'Item Balance'!$D73)</f>
        <v>1E-4</v>
      </c>
      <c r="J74" s="31" t="str">
        <f>IF($A74="","",'Item Balance'!$P73)</f>
        <v>LOW</v>
      </c>
    </row>
    <row r="75" spans="1:10" x14ac:dyDescent="0.35">
      <c r="A75" s="18" t="str">
        <f>IF('Item Balance'!$A74="","",'Item Balance'!$A74)</f>
        <v>Disinfectant Wipes OS</v>
      </c>
      <c r="B75" s="18" t="str">
        <f>IF($A75="","",'Item Balance'!$B74)</f>
        <v>Wipes</v>
      </c>
      <c r="C75" s="19" t="str">
        <f>IF($A75="","",'Item Balance'!$C74)</f>
        <v>PPE</v>
      </c>
      <c r="D75" s="23">
        <f>IF($A75="","",'Item Balance'!$I74)</f>
        <v>4639</v>
      </c>
      <c r="E75" s="23">
        <f>IF($A75="","",'Item Balance'!$F74)</f>
        <v>0</v>
      </c>
      <c r="F75" s="26">
        <f t="shared" si="2"/>
        <v>0</v>
      </c>
      <c r="G75" s="23">
        <f>IF($A75="","",'Item Balance'!$E74)</f>
        <v>160</v>
      </c>
      <c r="H75" s="26">
        <f t="shared" si="3"/>
        <v>28</v>
      </c>
      <c r="I75" s="20">
        <f>IF($A75="","",'Item Balance'!$D74)</f>
        <v>0</v>
      </c>
      <c r="J75" s="31" t="str">
        <f>IF($A75="","",'Item Balance'!$P74)</f>
        <v>OK</v>
      </c>
    </row>
    <row r="76" spans="1:10" x14ac:dyDescent="0.35">
      <c r="A76" s="18" t="str">
        <f>IF('Item Balance'!$A75="","",'Item Balance'!$A75)</f>
        <v>Measuring Tape</v>
      </c>
      <c r="B76" s="18" t="str">
        <f>IF($A76="","",'Item Balance'!$B75)</f>
        <v>Metric</v>
      </c>
      <c r="C76" s="19" t="str">
        <f>IF($A76="","",'Item Balance'!$C75)</f>
        <v>PPE</v>
      </c>
      <c r="D76" s="23">
        <f>IF($A76="","",'Item Balance'!$I75)</f>
        <v>-1</v>
      </c>
      <c r="E76" s="23">
        <f>IF($A76="","",'Item Balance'!$F75)</f>
        <v>0</v>
      </c>
      <c r="F76" s="26">
        <f t="shared" si="2"/>
        <v>1</v>
      </c>
      <c r="G76" s="23">
        <f>IF($A76="","",'Item Balance'!$E75)</f>
        <v>1</v>
      </c>
      <c r="H76" s="26">
        <f t="shared" si="3"/>
        <v>-1</v>
      </c>
      <c r="I76" s="20">
        <f>IF($A76="","",'Item Balance'!$D75)</f>
        <v>2.5</v>
      </c>
      <c r="J76" s="31" t="str">
        <f>IF($A76="","",'Item Balance'!$P75)</f>
        <v>NEGATIVE</v>
      </c>
    </row>
    <row r="77" spans="1:10" x14ac:dyDescent="0.35">
      <c r="A77" s="18" t="str">
        <f>IF('Item Balance'!$A76="","",'Item Balance'!$A76)</f>
        <v>Folders (Pocke)t used for Charts - Nursing - Dark Blue</v>
      </c>
      <c r="B77" s="18" t="str">
        <f>IF($A77="","",'Item Balance'!$B76)</f>
        <v>Folder</v>
      </c>
      <c r="C77" s="19" t="str">
        <f>IF($A77="","",'Item Balance'!$C76)</f>
        <v>Office Supplies</v>
      </c>
      <c r="D77" s="23">
        <f>IF($A77="","",'Item Balance'!$I76)</f>
        <v>0</v>
      </c>
      <c r="E77" s="23">
        <f>IF($A77="","",'Item Balance'!$F76)</f>
        <v>0</v>
      </c>
      <c r="F77" s="26">
        <f t="shared" si="2"/>
        <v>0</v>
      </c>
      <c r="G77" s="23">
        <f>IF($A77="","",'Item Balance'!$E76)</f>
        <v>100</v>
      </c>
      <c r="H77" s="26">
        <f t="shared" si="3"/>
        <v>0</v>
      </c>
      <c r="I77" s="20">
        <f>IF($A77="","",'Item Balance'!$D76)</f>
        <v>0.63</v>
      </c>
      <c r="J77" s="31" t="str">
        <f>IF($A77="","",'Item Balance'!$P76)</f>
        <v>OUT OF STOCK</v>
      </c>
    </row>
    <row r="78" spans="1:10" x14ac:dyDescent="0.35">
      <c r="A78" s="18" t="str">
        <f>IF('Item Balance'!$A77="","",'Item Balance'!$A77)</f>
        <v>Standard Twin-Pocket Folders, Light Blue</v>
      </c>
      <c r="B78" s="18" t="str">
        <f>IF($A78="","",'Item Balance'!$B77)</f>
        <v>Folder</v>
      </c>
      <c r="C78" s="19" t="str">
        <f>IF($A78="","",'Item Balance'!$C77)</f>
        <v>Office Supplies</v>
      </c>
      <c r="D78" s="23">
        <f>IF($A78="","",'Item Balance'!$I77)</f>
        <v>0</v>
      </c>
      <c r="E78" s="23">
        <f>IF($A78="","",'Item Balance'!$F77)</f>
        <v>0</v>
      </c>
      <c r="F78" s="26">
        <f t="shared" si="2"/>
        <v>0</v>
      </c>
      <c r="G78" s="23">
        <f>IF($A78="","",'Item Balance'!$E77)</f>
        <v>100</v>
      </c>
      <c r="H78" s="26">
        <f t="shared" si="3"/>
        <v>0</v>
      </c>
      <c r="I78" s="20">
        <f>IF($A78="","",'Item Balance'!$D77)</f>
        <v>0.63</v>
      </c>
      <c r="J78" s="31" t="str">
        <f>IF($A78="","",'Item Balance'!$P77)</f>
        <v>OUT OF STOCK</v>
      </c>
    </row>
    <row r="79" spans="1:10" x14ac:dyDescent="0.35">
      <c r="A79" s="18" t="str">
        <f>IF('Item Balance'!$A78="","",'Item Balance'!$A78)</f>
        <v>Standard Twin-Pocket Folders, Black folder</v>
      </c>
      <c r="B79" s="18" t="str">
        <f>IF($A79="","",'Item Balance'!$B78)</f>
        <v>Folder</v>
      </c>
      <c r="C79" s="19" t="str">
        <f>IF($A79="","",'Item Balance'!$C78)</f>
        <v>Office Supplies</v>
      </c>
      <c r="D79" s="23">
        <f>IF($A79="","",'Item Balance'!$I78)</f>
        <v>0</v>
      </c>
      <c r="E79" s="23">
        <f>IF($A79="","",'Item Balance'!$F78)</f>
        <v>0</v>
      </c>
      <c r="F79" s="26">
        <f t="shared" si="2"/>
        <v>0</v>
      </c>
      <c r="G79" s="23">
        <f>IF($A79="","",'Item Balance'!$E78)</f>
        <v>100</v>
      </c>
      <c r="H79" s="26">
        <f t="shared" si="3"/>
        <v>0</v>
      </c>
      <c r="I79" s="20">
        <f>IF($A79="","",'Item Balance'!$D78)</f>
        <v>0.78</v>
      </c>
      <c r="J79" s="31" t="str">
        <f>IF($A79="","",'Item Balance'!$P78)</f>
        <v>OUT OF STOCK</v>
      </c>
    </row>
    <row r="80" spans="1:10" x14ac:dyDescent="0.35">
      <c r="A80" s="18" t="str">
        <f>IF('Item Balance'!$A79="","",'Item Balance'!$A79)</f>
        <v>Labels - 4" X 1 1/2 Used for Charts - Top</v>
      </c>
      <c r="B80" s="18" t="str">
        <f>IF($A80="","",'Item Balance'!$B79)</f>
        <v>Label</v>
      </c>
      <c r="C80" s="19" t="str">
        <f>IF($A80="","",'Item Balance'!$C79)</f>
        <v>Office Supplies</v>
      </c>
      <c r="D80" s="23">
        <f>IF($A80="","",'Item Balance'!$I79)</f>
        <v>0</v>
      </c>
      <c r="E80" s="23">
        <f>IF($A80="","",'Item Balance'!$F79)</f>
        <v>0</v>
      </c>
      <c r="F80" s="26">
        <f t="shared" si="2"/>
        <v>0</v>
      </c>
      <c r="G80" s="23">
        <f>IF($A80="","",'Item Balance'!$E79)</f>
        <v>350</v>
      </c>
      <c r="H80" s="26">
        <f t="shared" si="3"/>
        <v>0</v>
      </c>
      <c r="I80" s="20">
        <f>IF($A80="","",'Item Balance'!$D79)</f>
        <v>4.4999999999999998E-2</v>
      </c>
      <c r="J80" s="31" t="str">
        <f>IF($A80="","",'Item Balance'!$P79)</f>
        <v>OUT OF STOCK</v>
      </c>
    </row>
    <row r="81" spans="1:10" x14ac:dyDescent="0.35">
      <c r="A81" s="18" t="str">
        <f>IF('Item Balance'!$A80="","",'Item Balance'!$A80)</f>
        <v>Labels - 4" X 3 1/3" Used for Charts - Bottom</v>
      </c>
      <c r="B81" s="18" t="str">
        <f>IF($A81="","",'Item Balance'!$B80)</f>
        <v>Label</v>
      </c>
      <c r="C81" s="19" t="str">
        <f>IF($A81="","",'Item Balance'!$C80)</f>
        <v>Office Supplies</v>
      </c>
      <c r="D81" s="23">
        <f>IF($A81="","",'Item Balance'!$I80)</f>
        <v>0</v>
      </c>
      <c r="E81" s="23">
        <f>IF($A81="","",'Item Balance'!$F80)</f>
        <v>0</v>
      </c>
      <c r="F81" s="26">
        <f t="shared" si="2"/>
        <v>0</v>
      </c>
      <c r="G81" s="23">
        <f>IF($A81="","",'Item Balance'!$E80)</f>
        <v>600</v>
      </c>
      <c r="H81" s="26">
        <f t="shared" si="3"/>
        <v>0</v>
      </c>
      <c r="I81" s="20">
        <f>IF($A81="","",'Item Balance'!$D80)</f>
        <v>7.4999999999999997E-2</v>
      </c>
      <c r="J81" s="31" t="str">
        <f>IF($A81="","",'Item Balance'!$P80)</f>
        <v>OUT OF STOCK</v>
      </c>
    </row>
    <row r="82" spans="1:10" x14ac:dyDescent="0.35">
      <c r="A82" s="18" t="str">
        <f>IF('Item Balance'!$A81="","",'Item Balance'!$A81)</f>
        <v>A4 Paper Ream</v>
      </c>
      <c r="B82" s="18" t="str">
        <f>IF($A82="","",'Item Balance'!$B81)</f>
        <v>Stationery</v>
      </c>
      <c r="C82" s="19" t="str">
        <f>IF($A82="","",'Item Balance'!$C81)</f>
        <v>Office Supplies</v>
      </c>
      <c r="D82" s="23">
        <f>IF($A82="","",'Item Balance'!$I81)</f>
        <v>0</v>
      </c>
      <c r="E82" s="23">
        <f>IF($A82="","",'Item Balance'!$F81)</f>
        <v>0</v>
      </c>
      <c r="F82" s="26">
        <f t="shared" si="2"/>
        <v>0</v>
      </c>
      <c r="G82" s="23">
        <f>IF($A82="","",'Item Balance'!$E81)</f>
        <v>0</v>
      </c>
      <c r="H82" s="26" t="str">
        <f t="shared" si="3"/>
        <v/>
      </c>
      <c r="I82" s="20">
        <f>IF($A82="","",'Item Balance'!$D81)</f>
        <v>7.3579999999999997</v>
      </c>
      <c r="J82" s="31" t="str">
        <f>IF($A82="","",'Item Balance'!$P81)</f>
        <v>OUT OF STOCK</v>
      </c>
    </row>
    <row r="83" spans="1:10" x14ac:dyDescent="0.35">
      <c r="A83" s="18" t="str">
        <f>IF('Item Balance'!$A82="","",'Item Balance'!$A82)</f>
        <v>Envelopes (Window)</v>
      </c>
      <c r="B83" s="18" t="str">
        <f>IF($A83="","",'Item Balance'!$B82)</f>
        <v>Stationery</v>
      </c>
      <c r="C83" s="19" t="str">
        <f>IF($A83="","",'Item Balance'!$C82)</f>
        <v>Office Supplies</v>
      </c>
      <c r="D83" s="23">
        <f>IF($A83="","",'Item Balance'!$I82)</f>
        <v>0</v>
      </c>
      <c r="E83" s="23">
        <f>IF($A83="","",'Item Balance'!$F82)</f>
        <v>0</v>
      </c>
      <c r="F83" s="26">
        <f t="shared" si="2"/>
        <v>0</v>
      </c>
      <c r="G83" s="23">
        <f>IF($A83="","",'Item Balance'!$E82)</f>
        <v>0</v>
      </c>
      <c r="H83" s="26" t="str">
        <f t="shared" si="3"/>
        <v/>
      </c>
      <c r="I83" s="20">
        <f>IF($A83="","",'Item Balance'!$D82)</f>
        <v>44.7</v>
      </c>
      <c r="J83" s="31" t="str">
        <f>IF($A83="","",'Item Balance'!$P82)</f>
        <v>OUT OF STOCK</v>
      </c>
    </row>
    <row r="84" spans="1:10" x14ac:dyDescent="0.35">
      <c r="A84" s="18" t="str">
        <f>IF('Item Balance'!$A83="","",'Item Balance'!$A83)</f>
        <v>Sticky Notes</v>
      </c>
      <c r="B84" s="18" t="str">
        <f>IF($A84="","",'Item Balance'!$B83)</f>
        <v>Stationery</v>
      </c>
      <c r="C84" s="19" t="str">
        <f>IF($A84="","",'Item Balance'!$C83)</f>
        <v>Office Supplies</v>
      </c>
      <c r="D84" s="23">
        <f>IF($A84="","",'Item Balance'!$I83)</f>
        <v>0</v>
      </c>
      <c r="E84" s="23">
        <f>IF($A84="","",'Item Balance'!$F83)</f>
        <v>0</v>
      </c>
      <c r="F84" s="26">
        <f t="shared" si="2"/>
        <v>0</v>
      </c>
      <c r="G84" s="23">
        <f>IF($A84="","",'Item Balance'!$E83)</f>
        <v>0</v>
      </c>
      <c r="H84" s="26" t="str">
        <f t="shared" si="3"/>
        <v/>
      </c>
      <c r="I84" s="20">
        <f>IF($A84="","",'Item Balance'!$D83)</f>
        <v>9.5</v>
      </c>
      <c r="J84" s="31" t="str">
        <f>IF($A84="","",'Item Balance'!$P83)</f>
        <v>OUT OF STOCK</v>
      </c>
    </row>
    <row r="85" spans="1:10" x14ac:dyDescent="0.35">
      <c r="A85" s="18" t="str">
        <f>IF('Item Balance'!$A84="","",'Item Balance'!$A84)</f>
        <v>Ballpoint Pens</v>
      </c>
      <c r="B85" s="18" t="str">
        <f>IF($A85="","",'Item Balance'!$B84)</f>
        <v>Stationery</v>
      </c>
      <c r="C85" s="19" t="str">
        <f>IF($A85="","",'Item Balance'!$C84)</f>
        <v>Office Supplies</v>
      </c>
      <c r="D85" s="23">
        <f>IF($A85="","",'Item Balance'!$I84)</f>
        <v>0</v>
      </c>
      <c r="E85" s="23">
        <f>IF($A85="","",'Item Balance'!$F84)</f>
        <v>0</v>
      </c>
      <c r="F85" s="26">
        <f t="shared" si="2"/>
        <v>0</v>
      </c>
      <c r="G85" s="23">
        <f>IF($A85="","",'Item Balance'!$E84)</f>
        <v>0</v>
      </c>
      <c r="H85" s="26" t="str">
        <f t="shared" si="3"/>
        <v/>
      </c>
      <c r="I85" s="20">
        <f>IF($A85="","",'Item Balance'!$D84)</f>
        <v>9.98</v>
      </c>
      <c r="J85" s="31" t="str">
        <f>IF($A85="","",'Item Balance'!$P84)</f>
        <v>OUT OF STOCK</v>
      </c>
    </row>
    <row r="86" spans="1:10" x14ac:dyDescent="0.35">
      <c r="A86" s="18" t="str">
        <f>IF('Item Balance'!$A85="","",'Item Balance'!$A85)</f>
        <v>Marker Co Permanent Markers - Black</v>
      </c>
      <c r="B86" s="18" t="str">
        <f>IF($A86="","",'Item Balance'!$B85)</f>
        <v>Stationery</v>
      </c>
      <c r="C86" s="19" t="str">
        <f>IF($A86="","",'Item Balance'!$C85)</f>
        <v>Office Supplies</v>
      </c>
      <c r="D86" s="23">
        <f>IF($A86="","",'Item Balance'!$I85)</f>
        <v>0</v>
      </c>
      <c r="E86" s="23">
        <f>IF($A86="","",'Item Balance'!$F85)</f>
        <v>0</v>
      </c>
      <c r="F86" s="26">
        <f t="shared" si="2"/>
        <v>0</v>
      </c>
      <c r="G86" s="23">
        <f>IF($A86="","",'Item Balance'!$E85)</f>
        <v>0</v>
      </c>
      <c r="H86" s="26" t="str">
        <f t="shared" si="3"/>
        <v/>
      </c>
      <c r="I86" s="20">
        <f>IF($A86="","",'Item Balance'!$D85)</f>
        <v>32.99</v>
      </c>
      <c r="J86" s="31" t="str">
        <f>IF($A86="","",'Item Balance'!$P85)</f>
        <v>OUT OF STOCK</v>
      </c>
    </row>
    <row r="87" spans="1:10" x14ac:dyDescent="0.35">
      <c r="A87" s="18" t="str">
        <f>IF('Item Balance'!$A86="","",'Item Balance'!$A86)</f>
        <v>Dry Erase Markers - Black</v>
      </c>
      <c r="B87" s="18" t="str">
        <f>IF($A87="","",'Item Balance'!$B86)</f>
        <v>Stationery</v>
      </c>
      <c r="C87" s="19" t="str">
        <f>IF($A87="","",'Item Balance'!$C86)</f>
        <v>Office Supplies</v>
      </c>
      <c r="D87" s="23">
        <f>IF($A87="","",'Item Balance'!$I86)</f>
        <v>0</v>
      </c>
      <c r="E87" s="23">
        <f>IF($A87="","",'Item Balance'!$F86)</f>
        <v>0</v>
      </c>
      <c r="F87" s="26">
        <f t="shared" si="2"/>
        <v>0</v>
      </c>
      <c r="G87" s="23">
        <f>IF($A87="","",'Item Balance'!$E86)</f>
        <v>0</v>
      </c>
      <c r="H87" s="26" t="str">
        <f t="shared" si="3"/>
        <v/>
      </c>
      <c r="I87" s="20">
        <f>IF($A87="","",'Item Balance'!$D86)</f>
        <v>21.99</v>
      </c>
      <c r="J87" s="31" t="str">
        <f>IF($A87="","",'Item Balance'!$P86)</f>
        <v>OUT OF STOCK</v>
      </c>
    </row>
    <row r="88" spans="1:10" x14ac:dyDescent="0.35">
      <c r="A88" s="18" t="str">
        <f>IF('Item Balance'!$A87="","",'Item Balance'!$A87)</f>
        <v>Dry Erase Markers - Assorted Color</v>
      </c>
      <c r="B88" s="18" t="str">
        <f>IF($A88="","",'Item Balance'!$B87)</f>
        <v>Stationery</v>
      </c>
      <c r="C88" s="19" t="str">
        <f>IF($A88="","",'Item Balance'!$C87)</f>
        <v>Office Supplies</v>
      </c>
      <c r="D88" s="23">
        <f>IF($A88="","",'Item Balance'!$I87)</f>
        <v>0</v>
      </c>
      <c r="E88" s="23">
        <f>IF($A88="","",'Item Balance'!$F87)</f>
        <v>0</v>
      </c>
      <c r="F88" s="26">
        <f t="shared" si="2"/>
        <v>0</v>
      </c>
      <c r="G88" s="23">
        <f>IF($A88="","",'Item Balance'!$E87)</f>
        <v>0</v>
      </c>
      <c r="H88" s="26" t="str">
        <f t="shared" si="3"/>
        <v/>
      </c>
      <c r="I88" s="20">
        <f>IF($A88="","",'Item Balance'!$D87)</f>
        <v>7.49</v>
      </c>
      <c r="J88" s="31" t="str">
        <f>IF($A88="","",'Item Balance'!$P87)</f>
        <v>OUT OF STOCK</v>
      </c>
    </row>
    <row r="89" spans="1:10" x14ac:dyDescent="0.35">
      <c r="A89" s="18" t="str">
        <f>IF('Item Balance'!$A88="","",'Item Balance'!$A88)</f>
        <v>Spiral Notebooks</v>
      </c>
      <c r="B89" s="18" t="str">
        <f>IF($A89="","",'Item Balance'!$B88)</f>
        <v>Stationery</v>
      </c>
      <c r="C89" s="19" t="str">
        <f>IF($A89="","",'Item Balance'!$C88)</f>
        <v>Office Supplies</v>
      </c>
      <c r="D89" s="23">
        <f>IF($A89="","",'Item Balance'!$I88)</f>
        <v>0</v>
      </c>
      <c r="E89" s="23">
        <f>IF($A89="","",'Item Balance'!$F88)</f>
        <v>0</v>
      </c>
      <c r="F89" s="26">
        <f t="shared" si="2"/>
        <v>0</v>
      </c>
      <c r="G89" s="23">
        <f>IF($A89="","",'Item Balance'!$E88)</f>
        <v>0</v>
      </c>
      <c r="H89" s="26" t="str">
        <f t="shared" si="3"/>
        <v/>
      </c>
      <c r="I89" s="20">
        <f>IF($A89="","",'Item Balance'!$D88)</f>
        <v>2.5</v>
      </c>
      <c r="J89" s="31" t="str">
        <f>IF($A89="","",'Item Balance'!$P88)</f>
        <v>OUT OF STOCK</v>
      </c>
    </row>
    <row r="90" spans="1:10" x14ac:dyDescent="0.35">
      <c r="A90" s="18" t="str">
        <f>IF('Item Balance'!$A89="","",'Item Balance'!$A89)</f>
        <v>File Folders</v>
      </c>
      <c r="B90" s="18" t="str">
        <f>IF($A90="","",'Item Balance'!$B89)</f>
        <v>Stationery</v>
      </c>
      <c r="C90" s="19" t="str">
        <f>IF($A90="","",'Item Balance'!$C89)</f>
        <v>Office Supplies</v>
      </c>
      <c r="D90" s="23">
        <f>IF($A90="","",'Item Balance'!$I89)</f>
        <v>0</v>
      </c>
      <c r="E90" s="23">
        <f>IF($A90="","",'Item Balance'!$F89)</f>
        <v>0</v>
      </c>
      <c r="F90" s="26">
        <f t="shared" si="2"/>
        <v>0</v>
      </c>
      <c r="G90" s="23">
        <f>IF($A90="","",'Item Balance'!$E89)</f>
        <v>0</v>
      </c>
      <c r="H90" s="26" t="str">
        <f t="shared" si="3"/>
        <v/>
      </c>
      <c r="I90" s="20">
        <f>IF($A90="","",'Item Balance'!$D89)</f>
        <v>10</v>
      </c>
      <c r="J90" s="31" t="str">
        <f>IF($A90="","",'Item Balance'!$P89)</f>
        <v>OUT OF STOCK</v>
      </c>
    </row>
    <row r="91" spans="1:10" x14ac:dyDescent="0.35">
      <c r="A91" s="18" t="str">
        <f>IF('Item Balance'!$A90="","",'Item Balance'!$A90)</f>
        <v>File Dividers</v>
      </c>
      <c r="B91" s="18" t="str">
        <f>IF($A91="","",'Item Balance'!$B90)</f>
        <v>Stationery</v>
      </c>
      <c r="C91" s="19" t="str">
        <f>IF($A91="","",'Item Balance'!$C90)</f>
        <v>Office Supplies</v>
      </c>
      <c r="D91" s="23">
        <f>IF($A91="","",'Item Balance'!$I90)</f>
        <v>0</v>
      </c>
      <c r="E91" s="23">
        <f>IF($A91="","",'Item Balance'!$F90)</f>
        <v>0</v>
      </c>
      <c r="F91" s="26">
        <f t="shared" si="2"/>
        <v>0</v>
      </c>
      <c r="G91" s="23">
        <f>IF($A91="","",'Item Balance'!$E90)</f>
        <v>0</v>
      </c>
      <c r="H91" s="26" t="str">
        <f t="shared" si="3"/>
        <v/>
      </c>
      <c r="I91" s="20">
        <f>IF($A91="","",'Item Balance'!$D90)</f>
        <v>3</v>
      </c>
      <c r="J91" s="31" t="str">
        <f>IF($A91="","",'Item Balance'!$P90)</f>
        <v>OUT OF STOCK</v>
      </c>
    </row>
    <row r="92" spans="1:10" x14ac:dyDescent="0.35">
      <c r="A92" s="18" t="str">
        <f>IF('Item Balance'!$A91="","",'Item Balance'!$A91)</f>
        <v>Binder Clips S</v>
      </c>
      <c r="B92" s="18" t="str">
        <f>IF($A92="","",'Item Balance'!$B91)</f>
        <v>Stationery</v>
      </c>
      <c r="C92" s="19" t="str">
        <f>IF($A92="","",'Item Balance'!$C91)</f>
        <v>Office Supplies</v>
      </c>
      <c r="D92" s="23">
        <f>IF($A92="","",'Item Balance'!$I91)</f>
        <v>0</v>
      </c>
      <c r="E92" s="23">
        <f>IF($A92="","",'Item Balance'!$F91)</f>
        <v>0</v>
      </c>
      <c r="F92" s="26">
        <f t="shared" si="2"/>
        <v>0</v>
      </c>
      <c r="G92" s="23">
        <f>IF($A92="","",'Item Balance'!$E91)</f>
        <v>0</v>
      </c>
      <c r="H92" s="26" t="str">
        <f t="shared" si="3"/>
        <v/>
      </c>
      <c r="I92" s="20">
        <f>IF($A92="","",'Item Balance'!$D91)</f>
        <v>3.47</v>
      </c>
      <c r="J92" s="31" t="str">
        <f>IF($A92="","",'Item Balance'!$P91)</f>
        <v>OUT OF STOCK</v>
      </c>
    </row>
    <row r="93" spans="1:10" x14ac:dyDescent="0.35">
      <c r="A93" s="18" t="str">
        <f>IF('Item Balance'!$A92="","",'Item Balance'!$A92)</f>
        <v>Stapler</v>
      </c>
      <c r="B93" s="18" t="str">
        <f>IF($A93="","",'Item Balance'!$B92)</f>
        <v>Stationery</v>
      </c>
      <c r="C93" s="19" t="str">
        <f>IF($A93="","",'Item Balance'!$C92)</f>
        <v>Office Supplies</v>
      </c>
      <c r="D93" s="23">
        <f>IF($A93="","",'Item Balance'!$I92)</f>
        <v>0</v>
      </c>
      <c r="E93" s="23">
        <f>IF($A93="","",'Item Balance'!$F92)</f>
        <v>0</v>
      </c>
      <c r="F93" s="26">
        <f t="shared" si="2"/>
        <v>0</v>
      </c>
      <c r="G93" s="23">
        <f>IF($A93="","",'Item Balance'!$E92)</f>
        <v>0</v>
      </c>
      <c r="H93" s="26" t="str">
        <f t="shared" si="3"/>
        <v/>
      </c>
      <c r="I93" s="20">
        <f>IF($A93="","",'Item Balance'!$D92)</f>
        <v>9</v>
      </c>
      <c r="J93" s="31" t="str">
        <f>IF($A93="","",'Item Balance'!$P92)</f>
        <v>OUT OF STOCK</v>
      </c>
    </row>
    <row r="94" spans="1:10" x14ac:dyDescent="0.35">
      <c r="A94" s="18" t="str">
        <f>IF('Item Balance'!$A93="","",'Item Balance'!$A93)</f>
        <v>Northwind Copy Paper</v>
      </c>
      <c r="B94" s="18" t="str">
        <f>IF($A94="","",'Item Balance'!$B93)</f>
        <v>Stationery</v>
      </c>
      <c r="C94" s="19" t="str">
        <f>IF($A94="","",'Item Balance'!$C93)</f>
        <v>Office Supplies</v>
      </c>
      <c r="D94" s="23">
        <f>IF($A94="","",'Item Balance'!$I93)</f>
        <v>0</v>
      </c>
      <c r="E94" s="23">
        <f>IF($A94="","",'Item Balance'!$F93)</f>
        <v>0</v>
      </c>
      <c r="F94" s="26">
        <f t="shared" si="2"/>
        <v>0</v>
      </c>
      <c r="G94" s="23">
        <f>IF($A94="","",'Item Balance'!$E93)</f>
        <v>0</v>
      </c>
      <c r="H94" s="26" t="str">
        <f t="shared" si="3"/>
        <v/>
      </c>
      <c r="I94" s="20">
        <f>IF($A94="","",'Item Balance'!$D93)</f>
        <v>0</v>
      </c>
      <c r="J94" s="31" t="str">
        <f>IF($A94="","",'Item Balance'!$P93)</f>
        <v>OUT OF STOCK</v>
      </c>
    </row>
    <row r="95" spans="1:10" x14ac:dyDescent="0.35">
      <c r="A95" s="18" t="str">
        <f>IF('Item Balance'!$A94="","",'Item Balance'!$A94)</f>
        <v>Paper Clips</v>
      </c>
      <c r="B95" s="18" t="str">
        <f>IF($A95="","",'Item Balance'!$B94)</f>
        <v>Stationery</v>
      </c>
      <c r="C95" s="19" t="str">
        <f>IF($A95="","",'Item Balance'!$C94)</f>
        <v>Office Supplies</v>
      </c>
      <c r="D95" s="23">
        <f>IF($A95="","",'Item Balance'!$I94)</f>
        <v>0</v>
      </c>
      <c r="E95" s="23">
        <f>IF($A95="","",'Item Balance'!$F94)</f>
        <v>0</v>
      </c>
      <c r="F95" s="26">
        <f t="shared" si="2"/>
        <v>0</v>
      </c>
      <c r="G95" s="23">
        <f>IF($A95="","",'Item Balance'!$E94)</f>
        <v>0</v>
      </c>
      <c r="H95" s="26" t="str">
        <f t="shared" si="3"/>
        <v/>
      </c>
      <c r="I95" s="20">
        <f>IF($A95="","",'Item Balance'!$D94)</f>
        <v>1.5</v>
      </c>
      <c r="J95" s="31" t="str">
        <f>IF($A95="","",'Item Balance'!$P94)</f>
        <v>OUT OF STOCK</v>
      </c>
    </row>
    <row r="96" spans="1:10" x14ac:dyDescent="0.35">
      <c r="A96" s="18" t="str">
        <f>IF('Item Balance'!$A95="","",'Item Balance'!$A95)</f>
        <v>Scissors</v>
      </c>
      <c r="B96" s="18" t="str">
        <f>IF($A96="","",'Item Balance'!$B95)</f>
        <v>Stationery</v>
      </c>
      <c r="C96" s="19" t="str">
        <f>IF($A96="","",'Item Balance'!$C95)</f>
        <v>Office Supplies</v>
      </c>
      <c r="D96" s="23">
        <f>IF($A96="","",'Item Balance'!$I95)</f>
        <v>0</v>
      </c>
      <c r="E96" s="23">
        <f>IF($A96="","",'Item Balance'!$F95)</f>
        <v>0</v>
      </c>
      <c r="F96" s="26">
        <f t="shared" si="2"/>
        <v>0</v>
      </c>
      <c r="G96" s="23">
        <f>IF($A96="","",'Item Balance'!$E95)</f>
        <v>0</v>
      </c>
      <c r="H96" s="26" t="str">
        <f t="shared" si="3"/>
        <v/>
      </c>
      <c r="I96" s="20">
        <f>IF($A96="","",'Item Balance'!$D95)</f>
        <v>6</v>
      </c>
      <c r="J96" s="31" t="str">
        <f>IF($A96="","",'Item Balance'!$P95)</f>
        <v>OUT OF STOCK</v>
      </c>
    </row>
    <row r="97" spans="1:10" x14ac:dyDescent="0.35">
      <c r="A97" s="18" t="str">
        <f>IF('Item Balance'!$A96="","",'Item Balance'!$A96)</f>
        <v>Tape Dispenser</v>
      </c>
      <c r="B97" s="18" t="str">
        <f>IF($A97="","",'Item Balance'!$B96)</f>
        <v>Stationery</v>
      </c>
      <c r="C97" s="19" t="str">
        <f>IF($A97="","",'Item Balance'!$C96)</f>
        <v>Office Supplies</v>
      </c>
      <c r="D97" s="23">
        <f>IF($A97="","",'Item Balance'!$I96)</f>
        <v>0</v>
      </c>
      <c r="E97" s="23">
        <f>IF($A97="","",'Item Balance'!$F96)</f>
        <v>0</v>
      </c>
      <c r="F97" s="26">
        <f t="shared" si="2"/>
        <v>0</v>
      </c>
      <c r="G97" s="23">
        <f>IF($A97="","",'Item Balance'!$E96)</f>
        <v>0</v>
      </c>
      <c r="H97" s="26" t="str">
        <f t="shared" si="3"/>
        <v/>
      </c>
      <c r="I97" s="20">
        <f>IF($A97="","",'Item Balance'!$D96)</f>
        <v>8</v>
      </c>
      <c r="J97" s="31" t="str">
        <f>IF($A97="","",'Item Balance'!$P96)</f>
        <v>OUT OF STOCK</v>
      </c>
    </row>
    <row r="98" spans="1:10" x14ac:dyDescent="0.35">
      <c r="A98" s="18" t="str">
        <f>IF('Item Balance'!$A97="","",'Item Balance'!$A97)</f>
        <v>Packing Tape</v>
      </c>
      <c r="B98" s="18" t="str">
        <f>IF($A98="","",'Item Balance'!$B97)</f>
        <v>Stationery</v>
      </c>
      <c r="C98" s="19" t="str">
        <f>IF($A98="","",'Item Balance'!$C97)</f>
        <v>Office Supplies</v>
      </c>
      <c r="D98" s="23">
        <f>IF($A98="","",'Item Balance'!$I97)</f>
        <v>0</v>
      </c>
      <c r="E98" s="23">
        <f>IF($A98="","",'Item Balance'!$F97)</f>
        <v>0</v>
      </c>
      <c r="F98" s="26">
        <f t="shared" si="2"/>
        <v>0</v>
      </c>
      <c r="G98" s="23">
        <f>IF($A98="","",'Item Balance'!$E97)</f>
        <v>0</v>
      </c>
      <c r="H98" s="26" t="str">
        <f t="shared" si="3"/>
        <v/>
      </c>
      <c r="I98" s="20">
        <f>IF($A98="","",'Item Balance'!$D97)</f>
        <v>4</v>
      </c>
      <c r="J98" s="31" t="str">
        <f>IF($A98="","",'Item Balance'!$P97)</f>
        <v>OUT OF STOCK</v>
      </c>
    </row>
    <row r="99" spans="1:10" x14ac:dyDescent="0.35">
      <c r="A99" s="18" t="str">
        <f>IF('Item Balance'!$A98="","",'Item Balance'!$A98)</f>
        <v>Bubble Wrap</v>
      </c>
      <c r="B99" s="18" t="str">
        <f>IF($A99="","",'Item Balance'!$B98)</f>
        <v>Stationery</v>
      </c>
      <c r="C99" s="19" t="str">
        <f>IF($A99="","",'Item Balance'!$C98)</f>
        <v>Office Supplies</v>
      </c>
      <c r="D99" s="23">
        <f>IF($A99="","",'Item Balance'!$I98)</f>
        <v>0</v>
      </c>
      <c r="E99" s="23">
        <f>IF($A99="","",'Item Balance'!$F98)</f>
        <v>0</v>
      </c>
      <c r="F99" s="26">
        <f t="shared" si="2"/>
        <v>0</v>
      </c>
      <c r="G99" s="23">
        <f>IF($A99="","",'Item Balance'!$E98)</f>
        <v>0</v>
      </c>
      <c r="H99" s="26" t="str">
        <f t="shared" si="3"/>
        <v/>
      </c>
      <c r="I99" s="20">
        <f>IF($A99="","",'Item Balance'!$D98)</f>
        <v>1</v>
      </c>
      <c r="J99" s="31" t="str">
        <f>IF($A99="","",'Item Balance'!$P98)</f>
        <v>OUT OF STOCK</v>
      </c>
    </row>
    <row r="100" spans="1:10" x14ac:dyDescent="0.35">
      <c r="A100" s="18" t="str">
        <f>IF('Item Balance'!$A99="","",'Item Balance'!$A99)</f>
        <v>Printer Toner</v>
      </c>
      <c r="B100" s="18" t="str">
        <f>IF($A100="","",'Item Balance'!$B99)</f>
        <v>Office Supplies</v>
      </c>
      <c r="C100" s="19" t="str">
        <f>IF($A100="","",'Item Balance'!$C99)</f>
        <v>Office Supplies</v>
      </c>
      <c r="D100" s="23">
        <f>IF($A100="","",'Item Balance'!$I99)</f>
        <v>0</v>
      </c>
      <c r="E100" s="23">
        <f>IF($A100="","",'Item Balance'!$F99)</f>
        <v>0</v>
      </c>
      <c r="F100" s="26">
        <f t="shared" si="2"/>
        <v>0</v>
      </c>
      <c r="G100" s="23">
        <f>IF($A100="","",'Item Balance'!$E99)</f>
        <v>0</v>
      </c>
      <c r="H100" s="26" t="str">
        <f t="shared" si="3"/>
        <v/>
      </c>
      <c r="I100" s="20">
        <f>IF($A100="","",'Item Balance'!$D99)</f>
        <v>95</v>
      </c>
      <c r="J100" s="31" t="str">
        <f>IF($A100="","",'Item Balance'!$P99)</f>
        <v>OUT OF STOCK</v>
      </c>
    </row>
    <row r="101" spans="1:10" x14ac:dyDescent="0.35">
      <c r="A101" s="18" t="str">
        <f>IF('Item Balance'!$A100="","",'Item Balance'!$A100)</f>
        <v>Ink Cartridge</v>
      </c>
      <c r="B101" s="18" t="str">
        <f>IF($A101="","",'Item Balance'!$B100)</f>
        <v>Office Supplies</v>
      </c>
      <c r="C101" s="19" t="str">
        <f>IF($A101="","",'Item Balance'!$C100)</f>
        <v>Office Supplies</v>
      </c>
      <c r="D101" s="23">
        <f>IF($A101="","",'Item Balance'!$I100)</f>
        <v>0</v>
      </c>
      <c r="E101" s="23">
        <f>IF($A101="","",'Item Balance'!$F100)</f>
        <v>0</v>
      </c>
      <c r="F101" s="26">
        <f t="shared" si="2"/>
        <v>0</v>
      </c>
      <c r="G101" s="23">
        <f>IF($A101="","",'Item Balance'!$E100)</f>
        <v>0</v>
      </c>
      <c r="H101" s="26" t="str">
        <f t="shared" si="3"/>
        <v/>
      </c>
      <c r="I101" s="20">
        <f>IF($A101="","",'Item Balance'!$D100)</f>
        <v>55</v>
      </c>
      <c r="J101" s="31" t="str">
        <f>IF($A101="","",'Item Balance'!$P100)</f>
        <v>OUT OF STOCK</v>
      </c>
    </row>
    <row r="102" spans="1:10" x14ac:dyDescent="0.35">
      <c r="A102" s="18" t="str">
        <f>IF('Item Balance'!$A101="","",'Item Balance'!$A101)</f>
        <v>Desk Calendar</v>
      </c>
      <c r="B102" s="18" t="str">
        <f>IF($A102="","",'Item Balance'!$B101)</f>
        <v>Office Supplies</v>
      </c>
      <c r="C102" s="19" t="str">
        <f>IF($A102="","",'Item Balance'!$C101)</f>
        <v>Office Supplies</v>
      </c>
      <c r="D102" s="23">
        <f>IF($A102="","",'Item Balance'!$I101)</f>
        <v>0</v>
      </c>
      <c r="E102" s="23">
        <f>IF($A102="","",'Item Balance'!$F101)</f>
        <v>0</v>
      </c>
      <c r="F102" s="26">
        <f t="shared" si="2"/>
        <v>0</v>
      </c>
      <c r="G102" s="23">
        <f>IF($A102="","",'Item Balance'!$E101)</f>
        <v>0</v>
      </c>
      <c r="H102" s="26" t="str">
        <f t="shared" si="3"/>
        <v/>
      </c>
      <c r="I102" s="20">
        <f>IF($A102="","",'Item Balance'!$D101)</f>
        <v>5</v>
      </c>
      <c r="J102" s="31" t="str">
        <f>IF($A102="","",'Item Balance'!$P101)</f>
        <v>OUT OF STOCK</v>
      </c>
    </row>
    <row r="103" spans="1:10" x14ac:dyDescent="0.35">
      <c r="A103" s="18" t="str">
        <f>IF('Item Balance'!$A102="","",'Item Balance'!$A102)</f>
        <v>Wall Calendar</v>
      </c>
      <c r="B103" s="18" t="str">
        <f>IF($A103="","",'Item Balance'!$B102)</f>
        <v>Office Supplies</v>
      </c>
      <c r="C103" s="19" t="str">
        <f>IF($A103="","",'Item Balance'!$C102)</f>
        <v>Office Supplies</v>
      </c>
      <c r="D103" s="23">
        <f>IF($A103="","",'Item Balance'!$I102)</f>
        <v>0</v>
      </c>
      <c r="E103" s="23">
        <f>IF($A103="","",'Item Balance'!$F102)</f>
        <v>0</v>
      </c>
      <c r="F103" s="26">
        <f t="shared" si="2"/>
        <v>0</v>
      </c>
      <c r="G103" s="23">
        <f>IF($A103="","",'Item Balance'!$E102)</f>
        <v>0</v>
      </c>
      <c r="H103" s="26" t="str">
        <f t="shared" si="3"/>
        <v/>
      </c>
      <c r="I103" s="20">
        <f>IF($A103="","",'Item Balance'!$D102)</f>
        <v>8</v>
      </c>
      <c r="J103" s="31" t="str">
        <f>IF($A103="","",'Item Balance'!$P102)</f>
        <v>OUT OF STOCK</v>
      </c>
    </row>
    <row r="104" spans="1:10" x14ac:dyDescent="0.35">
      <c r="A104" s="18" t="str">
        <f>IF('Item Balance'!$A103="","",'Item Balance'!$A103)</f>
        <v>Correction Tape</v>
      </c>
      <c r="B104" s="18" t="str">
        <f>IF($A104="","",'Item Balance'!$B103)</f>
        <v>Office Supplies</v>
      </c>
      <c r="C104" s="19" t="str">
        <f>IF($A104="","",'Item Balance'!$C103)</f>
        <v>Office Supplies</v>
      </c>
      <c r="D104" s="23">
        <f>IF($A104="","",'Item Balance'!$I103)</f>
        <v>0</v>
      </c>
      <c r="E104" s="23">
        <f>IF($A104="","",'Item Balance'!$F103)</f>
        <v>0</v>
      </c>
      <c r="F104" s="26">
        <f t="shared" si="2"/>
        <v>0</v>
      </c>
      <c r="G104" s="23">
        <f>IF($A104="","",'Item Balance'!$E103)</f>
        <v>0</v>
      </c>
      <c r="H104" s="26" t="str">
        <f t="shared" si="3"/>
        <v/>
      </c>
      <c r="I104" s="20">
        <f>IF($A104="","",'Item Balance'!$D103)</f>
        <v>12.79</v>
      </c>
      <c r="J104" s="31" t="str">
        <f>IF($A104="","",'Item Balance'!$P103)</f>
        <v>OUT OF STOCK</v>
      </c>
    </row>
    <row r="105" spans="1:10" x14ac:dyDescent="0.35">
      <c r="A105" s="18" t="str">
        <f>IF('Item Balance'!$A104="","",'Item Balance'!$A104)</f>
        <v>Calculator</v>
      </c>
      <c r="B105" s="18" t="str">
        <f>IF($A105="","",'Item Balance'!$B104)</f>
        <v>Office Supplies</v>
      </c>
      <c r="C105" s="19" t="str">
        <f>IF($A105="","",'Item Balance'!$C104)</f>
        <v>Office Supplies</v>
      </c>
      <c r="D105" s="23">
        <f>IF($A105="","",'Item Balance'!$I104)</f>
        <v>0</v>
      </c>
      <c r="E105" s="23">
        <f>IF($A105="","",'Item Balance'!$F104)</f>
        <v>0</v>
      </c>
      <c r="F105" s="26">
        <f t="shared" si="2"/>
        <v>0</v>
      </c>
      <c r="G105" s="23">
        <f>IF($A105="","",'Item Balance'!$E104)</f>
        <v>0</v>
      </c>
      <c r="H105" s="26" t="str">
        <f t="shared" si="3"/>
        <v/>
      </c>
      <c r="I105" s="20">
        <f>IF($A105="","",'Item Balance'!$D104)</f>
        <v>15</v>
      </c>
      <c r="J105" s="31" t="str">
        <f>IF($A105="","",'Item Balance'!$P104)</f>
        <v>OUT OF STOCK</v>
      </c>
    </row>
    <row r="106" spans="1:10" x14ac:dyDescent="0.35">
      <c r="A106" s="18" t="str">
        <f>IF('Item Balance'!$A105="","",'Item Balance'!$A105)</f>
        <v>Mouse Pad</v>
      </c>
      <c r="B106" s="18" t="str">
        <f>IF($A106="","",'Item Balance'!$B105)</f>
        <v>Office Supplies</v>
      </c>
      <c r="C106" s="19" t="str">
        <f>IF($A106="","",'Item Balance'!$C105)</f>
        <v>Office Supplies</v>
      </c>
      <c r="D106" s="23">
        <f>IF($A106="","",'Item Balance'!$I105)</f>
        <v>0</v>
      </c>
      <c r="E106" s="23">
        <f>IF($A106="","",'Item Balance'!$F105)</f>
        <v>0</v>
      </c>
      <c r="F106" s="26">
        <f t="shared" si="2"/>
        <v>0</v>
      </c>
      <c r="G106" s="23">
        <f>IF($A106="","",'Item Balance'!$E105)</f>
        <v>0</v>
      </c>
      <c r="H106" s="26" t="str">
        <f t="shared" si="3"/>
        <v/>
      </c>
      <c r="I106" s="20">
        <f>IF($A106="","",'Item Balance'!$D105)</f>
        <v>4</v>
      </c>
      <c r="J106" s="31" t="str">
        <f>IF($A106="","",'Item Balance'!$P105)</f>
        <v>OUT OF STOCK</v>
      </c>
    </row>
    <row r="107" spans="1:10" x14ac:dyDescent="0.35">
      <c r="A107" s="18" t="str">
        <f>IF('Item Balance'!$A106="","",'Item Balance'!$A106)</f>
        <v>USB Drive</v>
      </c>
      <c r="B107" s="18" t="str">
        <f>IF($A107="","",'Item Balance'!$B106)</f>
        <v>Office Supplies</v>
      </c>
      <c r="C107" s="19" t="str">
        <f>IF($A107="","",'Item Balance'!$C106)</f>
        <v>Office Supplies</v>
      </c>
      <c r="D107" s="23">
        <f>IF($A107="","",'Item Balance'!$I106)</f>
        <v>0</v>
      </c>
      <c r="E107" s="23">
        <f>IF($A107="","",'Item Balance'!$F106)</f>
        <v>0</v>
      </c>
      <c r="F107" s="26">
        <f t="shared" si="2"/>
        <v>0</v>
      </c>
      <c r="G107" s="23">
        <f>IF($A107="","",'Item Balance'!$E106)</f>
        <v>0</v>
      </c>
      <c r="H107" s="26" t="str">
        <f t="shared" si="3"/>
        <v/>
      </c>
      <c r="I107" s="20">
        <f>IF($A107="","",'Item Balance'!$D106)</f>
        <v>20</v>
      </c>
      <c r="J107" s="31" t="str">
        <f>IF($A107="","",'Item Balance'!$P106)</f>
        <v>OUT OF STOCK</v>
      </c>
    </row>
    <row r="108" spans="1:10" x14ac:dyDescent="0.35">
      <c r="A108" s="18" t="str">
        <f>IF('Item Balance'!$A107="","",'Item Balance'!$A107)</f>
        <v>Tissue Box</v>
      </c>
      <c r="B108" s="18" t="str">
        <f>IF($A108="","",'Item Balance'!$B107)</f>
        <v>Pantry</v>
      </c>
      <c r="C108" s="19" t="str">
        <f>IF($A108="","",'Item Balance'!$C107)</f>
        <v>Office Supplies</v>
      </c>
      <c r="D108" s="23">
        <f>IF($A108="","",'Item Balance'!$I107)</f>
        <v>0</v>
      </c>
      <c r="E108" s="23">
        <f>IF($A108="","",'Item Balance'!$F107)</f>
        <v>0</v>
      </c>
      <c r="F108" s="26">
        <f t="shared" si="2"/>
        <v>0</v>
      </c>
      <c r="G108" s="23">
        <f>IF($A108="","",'Item Balance'!$E107)</f>
        <v>0</v>
      </c>
      <c r="H108" s="26" t="str">
        <f t="shared" si="3"/>
        <v/>
      </c>
      <c r="I108" s="20">
        <f>IF($A108="","",'Item Balance'!$D107)</f>
        <v>3.5</v>
      </c>
      <c r="J108" s="31" t="str">
        <f>IF($A108="","",'Item Balance'!$P107)</f>
        <v>OUT OF STOCK</v>
      </c>
    </row>
    <row r="109" spans="1:10" x14ac:dyDescent="0.35">
      <c r="A109" s="18" t="str">
        <f>IF('Item Balance'!$A108="","",'Item Balance'!$A108)</f>
        <v>Paper Towels</v>
      </c>
      <c r="B109" s="18" t="str">
        <f>IF($A109="","",'Item Balance'!$B108)</f>
        <v>Pantry</v>
      </c>
      <c r="C109" s="19" t="str">
        <f>IF($A109="","",'Item Balance'!$C108)</f>
        <v>Office Supplies</v>
      </c>
      <c r="D109" s="23">
        <f>IF($A109="","",'Item Balance'!$I108)</f>
        <v>0</v>
      </c>
      <c r="E109" s="23">
        <f>IF($A109="","",'Item Balance'!$F108)</f>
        <v>0</v>
      </c>
      <c r="F109" s="26">
        <f t="shared" si="2"/>
        <v>0</v>
      </c>
      <c r="G109" s="23">
        <f>IF($A109="","",'Item Balance'!$E108)</f>
        <v>0</v>
      </c>
      <c r="H109" s="26" t="str">
        <f t="shared" si="3"/>
        <v/>
      </c>
      <c r="I109" s="20">
        <f>IF($A109="","",'Item Balance'!$D108)</f>
        <v>5</v>
      </c>
      <c r="J109" s="31" t="str">
        <f>IF($A109="","",'Item Balance'!$P108)</f>
        <v>OUT OF STOCK</v>
      </c>
    </row>
    <row r="110" spans="1:10" x14ac:dyDescent="0.35">
      <c r="A110" s="18" t="str">
        <f>IF('Item Balance'!$A109="","",'Item Balance'!$A109)</f>
        <v>Hand Wash</v>
      </c>
      <c r="B110" s="18" t="str">
        <f>IF($A110="","",'Item Balance'!$B109)</f>
        <v>Pantry</v>
      </c>
      <c r="C110" s="19" t="str">
        <f>IF($A110="","",'Item Balance'!$C109)</f>
        <v>Office Supplies</v>
      </c>
      <c r="D110" s="23">
        <f>IF($A110="","",'Item Balance'!$I109)</f>
        <v>0</v>
      </c>
      <c r="E110" s="23">
        <f>IF($A110="","",'Item Balance'!$F109)</f>
        <v>0</v>
      </c>
      <c r="F110" s="26">
        <f t="shared" si="2"/>
        <v>0</v>
      </c>
      <c r="G110" s="23">
        <f>IF($A110="","",'Item Balance'!$E109)</f>
        <v>0</v>
      </c>
      <c r="H110" s="26" t="str">
        <f t="shared" si="3"/>
        <v/>
      </c>
      <c r="I110" s="20">
        <f>IF($A110="","",'Item Balance'!$D109)</f>
        <v>4</v>
      </c>
      <c r="J110" s="31" t="str">
        <f>IF($A110="","",'Item Balance'!$P109)</f>
        <v>OUT OF STOCK</v>
      </c>
    </row>
    <row r="111" spans="1:10" x14ac:dyDescent="0.35">
      <c r="A111" s="18" t="str">
        <f>IF('Item Balance'!$A110="","",'Item Balance'!$A110)</f>
        <v>Coffee</v>
      </c>
      <c r="B111" s="18" t="str">
        <f>IF($A111="","",'Item Balance'!$B110)</f>
        <v>Pantry</v>
      </c>
      <c r="C111" s="19" t="str">
        <f>IF($A111="","",'Item Balance'!$C110)</f>
        <v>Office Supplies</v>
      </c>
      <c r="D111" s="23">
        <f>IF($A111="","",'Item Balance'!$I110)</f>
        <v>0</v>
      </c>
      <c r="E111" s="23">
        <f>IF($A111="","",'Item Balance'!$F110)</f>
        <v>0</v>
      </c>
      <c r="F111" s="26">
        <f t="shared" si="2"/>
        <v>0</v>
      </c>
      <c r="G111" s="23">
        <f>IF($A111="","",'Item Balance'!$E110)</f>
        <v>0</v>
      </c>
      <c r="H111" s="26" t="str">
        <f t="shared" si="3"/>
        <v/>
      </c>
      <c r="I111" s="20">
        <f>IF($A111="","",'Item Balance'!$D110)</f>
        <v>15</v>
      </c>
      <c r="J111" s="31" t="str">
        <f>IF($A111="","",'Item Balance'!$P110)</f>
        <v>OUT OF STOCK</v>
      </c>
    </row>
    <row r="112" spans="1:10" x14ac:dyDescent="0.35">
      <c r="A112" s="18" t="str">
        <f>IF('Item Balance'!$A111="","",'Item Balance'!$A111)</f>
        <v>Tea Bags</v>
      </c>
      <c r="B112" s="18" t="str">
        <f>IF($A112="","",'Item Balance'!$B111)</f>
        <v>Pantry</v>
      </c>
      <c r="C112" s="19" t="str">
        <f>IF($A112="","",'Item Balance'!$C111)</f>
        <v>Office Supplies</v>
      </c>
      <c r="D112" s="23">
        <f>IF($A112="","",'Item Balance'!$I111)</f>
        <v>0</v>
      </c>
      <c r="E112" s="23">
        <f>IF($A112="","",'Item Balance'!$F111)</f>
        <v>0</v>
      </c>
      <c r="F112" s="26">
        <f t="shared" si="2"/>
        <v>0</v>
      </c>
      <c r="G112" s="23">
        <f>IF($A112="","",'Item Balance'!$E111)</f>
        <v>0</v>
      </c>
      <c r="H112" s="26" t="str">
        <f t="shared" si="3"/>
        <v/>
      </c>
      <c r="I112" s="20">
        <f>IF($A112="","",'Item Balance'!$D111)</f>
        <v>8</v>
      </c>
      <c r="J112" s="31" t="str">
        <f>IF($A112="","",'Item Balance'!$P111)</f>
        <v>OUT OF STOCK</v>
      </c>
    </row>
    <row r="113" spans="1:10" x14ac:dyDescent="0.35">
      <c r="A113" s="18" t="str">
        <f>IF('Item Balance'!$A112="","",'Item Balance'!$A112)</f>
        <v>Sugar Sachets</v>
      </c>
      <c r="B113" s="18" t="str">
        <f>IF($A113="","",'Item Balance'!$B112)</f>
        <v>Pantry</v>
      </c>
      <c r="C113" s="19" t="str">
        <f>IF($A113="","",'Item Balance'!$C112)</f>
        <v>Office Supplies</v>
      </c>
      <c r="D113" s="23">
        <f>IF($A113="","",'Item Balance'!$I112)</f>
        <v>0</v>
      </c>
      <c r="E113" s="23">
        <f>IF($A113="","",'Item Balance'!$F112)</f>
        <v>0</v>
      </c>
      <c r="F113" s="26">
        <f t="shared" si="2"/>
        <v>0</v>
      </c>
      <c r="G113" s="23">
        <f>IF($A113="","",'Item Balance'!$E112)</f>
        <v>0</v>
      </c>
      <c r="H113" s="26" t="str">
        <f t="shared" si="3"/>
        <v/>
      </c>
      <c r="I113" s="20">
        <f>IF($A113="","",'Item Balance'!$D112)</f>
        <v>6</v>
      </c>
      <c r="J113" s="31" t="str">
        <f>IF($A113="","",'Item Balance'!$P112)</f>
        <v>OUT OF STOCK</v>
      </c>
    </row>
    <row r="114" spans="1:10" x14ac:dyDescent="0.35">
      <c r="A114" s="18" t="str">
        <f>IF('Item Balance'!$A113="","",'Item Balance'!$A113)</f>
        <v>Disposable Cups</v>
      </c>
      <c r="B114" s="18" t="str">
        <f>IF($A114="","",'Item Balance'!$B113)</f>
        <v>Pantry</v>
      </c>
      <c r="C114" s="19" t="str">
        <f>IF($A114="","",'Item Balance'!$C113)</f>
        <v>Office Supplies</v>
      </c>
      <c r="D114" s="23">
        <f>IF($A114="","",'Item Balance'!$I113)</f>
        <v>0</v>
      </c>
      <c r="E114" s="23">
        <f>IF($A114="","",'Item Balance'!$F113)</f>
        <v>0</v>
      </c>
      <c r="F114" s="26">
        <f t="shared" si="2"/>
        <v>0</v>
      </c>
      <c r="G114" s="23">
        <f>IF($A114="","",'Item Balance'!$E113)</f>
        <v>0</v>
      </c>
      <c r="H114" s="26" t="str">
        <f t="shared" si="3"/>
        <v/>
      </c>
      <c r="I114" s="20">
        <f>IF($A114="","",'Item Balance'!$D113)</f>
        <v>5.5</v>
      </c>
      <c r="J114" s="31" t="str">
        <f>IF($A114="","",'Item Balance'!$P113)</f>
        <v>OUT OF STOCK</v>
      </c>
    </row>
    <row r="115" spans="1:10" x14ac:dyDescent="0.35">
      <c r="A115" s="18" t="str">
        <f>IF('Item Balance'!$A114="","",'Item Balance'!$A114)</f>
        <v>TV Monitor 65 inches Board room</v>
      </c>
      <c r="B115" s="18" t="str">
        <f>IF($A115="","",'Item Balance'!$B114)</f>
        <v>Electronincs</v>
      </c>
      <c r="C115" s="19" t="str">
        <f>IF($A115="","",'Item Balance'!$C114)</f>
        <v>Office Supplies</v>
      </c>
      <c r="D115" s="23">
        <f>IF($A115="","",'Item Balance'!$I114)</f>
        <v>0</v>
      </c>
      <c r="E115" s="23">
        <f>IF($A115="","",'Item Balance'!$F114)</f>
        <v>0</v>
      </c>
      <c r="F115" s="26">
        <f t="shared" si="2"/>
        <v>0</v>
      </c>
      <c r="G115" s="23">
        <f>IF($A115="","",'Item Balance'!$E114)</f>
        <v>1</v>
      </c>
      <c r="H115" s="26">
        <f t="shared" si="3"/>
        <v>0</v>
      </c>
      <c r="I115" s="20">
        <f>IF($A115="","",'Item Balance'!$D114)</f>
        <v>698</v>
      </c>
      <c r="J115" s="31" t="str">
        <f>IF($A115="","",'Item Balance'!$P114)</f>
        <v>OUT OF STOCK</v>
      </c>
    </row>
    <row r="116" spans="1:10" x14ac:dyDescent="0.35">
      <c r="A116" s="18" t="str">
        <f>IF('Item Balance'!$A115="","",'Item Balance'!$A115)</f>
        <v>Plastic Forks and Spoons Set</v>
      </c>
      <c r="B116" s="18" t="str">
        <f>IF($A116="","",'Item Balance'!$B115)</f>
        <v>Cutlery</v>
      </c>
      <c r="C116" s="19" t="str">
        <f>IF($A116="","",'Item Balance'!$C115)</f>
        <v>Office Supplies</v>
      </c>
      <c r="D116" s="23">
        <f>IF($A116="","",'Item Balance'!$I115)</f>
        <v>0</v>
      </c>
      <c r="E116" s="23">
        <f>IF($A116="","",'Item Balance'!$F115)</f>
        <v>0</v>
      </c>
      <c r="F116" s="26">
        <f t="shared" si="2"/>
        <v>0</v>
      </c>
      <c r="G116" s="23">
        <f>IF($A116="","",'Item Balance'!$E115)</f>
        <v>0</v>
      </c>
      <c r="H116" s="26" t="str">
        <f t="shared" si="3"/>
        <v/>
      </c>
      <c r="I116" s="20">
        <f>IF($A116="","",'Item Balance'!$D115)</f>
        <v>30.39</v>
      </c>
      <c r="J116" s="31" t="str">
        <f>IF($A116="","",'Item Balance'!$P115)</f>
        <v>OUT OF STOCK</v>
      </c>
    </row>
    <row r="117" spans="1:10" x14ac:dyDescent="0.35">
      <c r="A117" s="18" t="str">
        <f>IF('Item Balance'!$A116="","",'Item Balance'!$A116)</f>
        <v>Northwind Pastel Coloured Copy Paper - 8-1/2" x 11"</v>
      </c>
      <c r="B117" s="18" t="str">
        <f>IF($A117="","",'Item Balance'!$B116)</f>
        <v>Stationery</v>
      </c>
      <c r="C117" s="19" t="str">
        <f>IF($A117="","",'Item Balance'!$C116)</f>
        <v>Office Supplies</v>
      </c>
      <c r="D117" s="23">
        <f>IF($A117="","",'Item Balance'!$I116)</f>
        <v>0</v>
      </c>
      <c r="E117" s="23">
        <f>IF($A117="","",'Item Balance'!$F116)</f>
        <v>0</v>
      </c>
      <c r="F117" s="26">
        <f t="shared" si="2"/>
        <v>0</v>
      </c>
      <c r="G117" s="23">
        <f>IF($A117="","",'Item Balance'!$E116)</f>
        <v>0</v>
      </c>
      <c r="H117" s="26" t="str">
        <f t="shared" si="3"/>
        <v/>
      </c>
      <c r="I117" s="20">
        <f>IF($A117="","",'Item Balance'!$D116)</f>
        <v>0</v>
      </c>
      <c r="J117" s="31" t="str">
        <f>IF($A117="","",'Item Balance'!$P116)</f>
        <v>OUT OF STOCK</v>
      </c>
    </row>
    <row r="118" spans="1:10" x14ac:dyDescent="0.35">
      <c r="A118" s="18" t="str">
        <f>IF('Item Balance'!$A117="","",'Item Balance'!$A117)</f>
        <v>Dry-Erase Markers - Chisel Tip - Black</v>
      </c>
      <c r="B118" s="18" t="str">
        <f>IF($A118="","",'Item Balance'!$B117)</f>
        <v>Stationery</v>
      </c>
      <c r="C118" s="19" t="str">
        <f>IF($A118="","",'Item Balance'!$C117)</f>
        <v>Office Supplies</v>
      </c>
      <c r="D118" s="23">
        <f>IF($A118="","",'Item Balance'!$I117)</f>
        <v>0</v>
      </c>
      <c r="E118" s="23">
        <f>IF($A118="","",'Item Balance'!$F117)</f>
        <v>0</v>
      </c>
      <c r="F118" s="26">
        <f t="shared" si="2"/>
        <v>0</v>
      </c>
      <c r="G118" s="23">
        <f>IF($A118="","",'Item Balance'!$E117)</f>
        <v>0</v>
      </c>
      <c r="H118" s="26" t="str">
        <f t="shared" si="3"/>
        <v/>
      </c>
      <c r="I118" s="20">
        <f>IF($A118="","",'Item Balance'!$D117)</f>
        <v>18.239999999999998</v>
      </c>
      <c r="J118" s="31" t="str">
        <f>IF($A118="","",'Item Balance'!$P117)</f>
        <v>OUT OF STOCK</v>
      </c>
    </row>
    <row r="119" spans="1:10" x14ac:dyDescent="0.35">
      <c r="A119" s="18" t="str">
        <f>IF('Item Balance'!$A118="","",'Item Balance'!$A118)</f>
        <v>Northwind Permanent Markers - Chisel Tip - Black</v>
      </c>
      <c r="B119" s="18" t="str">
        <f>IF($A119="","",'Item Balance'!$B118)</f>
        <v>Stationery</v>
      </c>
      <c r="C119" s="19" t="str">
        <f>IF($A119="","",'Item Balance'!$C118)</f>
        <v>Office Supplies</v>
      </c>
      <c r="D119" s="23">
        <f>IF($A119="","",'Item Balance'!$I118)</f>
        <v>0</v>
      </c>
      <c r="E119" s="23">
        <f>IF($A119="","",'Item Balance'!$F118)</f>
        <v>0</v>
      </c>
      <c r="F119" s="26">
        <f t="shared" si="2"/>
        <v>0</v>
      </c>
      <c r="G119" s="23">
        <f>IF($A119="","",'Item Balance'!$E118)</f>
        <v>0</v>
      </c>
      <c r="H119" s="26" t="str">
        <f t="shared" si="3"/>
        <v/>
      </c>
      <c r="I119" s="20">
        <f>IF($A119="","",'Item Balance'!$D118)</f>
        <v>0</v>
      </c>
      <c r="J119" s="31" t="str">
        <f>IF($A119="","",'Item Balance'!$P118)</f>
        <v>OUT OF STOCK</v>
      </c>
    </row>
    <row r="120" spans="1:10" x14ac:dyDescent="0.35">
      <c r="A120" s="18" t="str">
        <f>IF('Item Balance'!$A119="","",'Item Balance'!$A119)</f>
        <v>Binder Clips L</v>
      </c>
      <c r="B120" s="18" t="str">
        <f>IF($A120="","",'Item Balance'!$B119)</f>
        <v>Stationery</v>
      </c>
      <c r="C120" s="19" t="str">
        <f>IF($A120="","",'Item Balance'!$C119)</f>
        <v>Office Supplies</v>
      </c>
      <c r="D120" s="23">
        <f>IF($A120="","",'Item Balance'!$I119)</f>
        <v>0</v>
      </c>
      <c r="E120" s="23">
        <f>IF($A120="","",'Item Balance'!$F119)</f>
        <v>0</v>
      </c>
      <c r="F120" s="26">
        <f t="shared" si="2"/>
        <v>0</v>
      </c>
      <c r="G120" s="23">
        <f>IF($A120="","",'Item Balance'!$E119)</f>
        <v>0</v>
      </c>
      <c r="H120" s="26" t="str">
        <f t="shared" si="3"/>
        <v/>
      </c>
      <c r="I120" s="20">
        <f>IF($A120="","",'Item Balance'!$D119)</f>
        <v>7.69</v>
      </c>
      <c r="J120" s="31" t="str">
        <f>IF($A120="","",'Item Balance'!$P119)</f>
        <v>OUT OF STOCK</v>
      </c>
    </row>
    <row r="121" spans="1:10" x14ac:dyDescent="0.35">
      <c r="A121" s="18" t="str">
        <f>IF('Item Balance'!$A120="","",'Item Balance'!$A120)</f>
        <v>Northwind Window Envelopes - FSC Certified - 4-1/8" x 9-1/2"</v>
      </c>
      <c r="B121" s="18" t="str">
        <f>IF($A121="","",'Item Balance'!$B120)</f>
        <v>Stationery</v>
      </c>
      <c r="C121" s="19" t="str">
        <f>IF($A121="","",'Item Balance'!$C120)</f>
        <v>Office Supplies</v>
      </c>
      <c r="D121" s="23">
        <f>IF($A121="","",'Item Balance'!$I120)</f>
        <v>0</v>
      </c>
      <c r="E121" s="23">
        <f>IF($A121="","",'Item Balance'!$F120)</f>
        <v>0</v>
      </c>
      <c r="F121" s="26">
        <f t="shared" si="2"/>
        <v>0</v>
      </c>
      <c r="G121" s="23">
        <f>IF($A121="","",'Item Balance'!$E120)</f>
        <v>0</v>
      </c>
      <c r="H121" s="26" t="str">
        <f t="shared" si="3"/>
        <v/>
      </c>
      <c r="I121" s="20">
        <f>IF($A121="","",'Item Balance'!$D120)</f>
        <v>0</v>
      </c>
      <c r="J121" s="31" t="str">
        <f>IF($A121="","",'Item Balance'!$P120)</f>
        <v>OUT OF STOCK</v>
      </c>
    </row>
    <row r="122" spans="1:10" x14ac:dyDescent="0.35">
      <c r="A122" s="18" t="str">
        <f>IF('Item Balance'!$A121="","",'Item Balance'!$A121)</f>
        <v/>
      </c>
      <c r="B122" s="18" t="str">
        <f>IF($A122="","",'Item Balance'!$B121)</f>
        <v/>
      </c>
      <c r="C122" s="19" t="str">
        <f>IF($A122="","",'Item Balance'!$C121)</f>
        <v/>
      </c>
      <c r="D122" s="23" t="str">
        <f>IF($A122="","",'Item Balance'!$I121)</f>
        <v/>
      </c>
      <c r="E122" s="23" t="str">
        <f>IF($A122="","",'Item Balance'!$F121)</f>
        <v/>
      </c>
      <c r="F122" s="26" t="str">
        <f t="shared" si="2"/>
        <v/>
      </c>
      <c r="G122" s="23" t="str">
        <f>IF($A122="","",'Item Balance'!$E121)</f>
        <v/>
      </c>
      <c r="H122" s="26" t="str">
        <f t="shared" si="3"/>
        <v/>
      </c>
      <c r="I122" s="20" t="str">
        <f>IF($A122="","",'Item Balance'!$D121)</f>
        <v/>
      </c>
      <c r="J122" s="31" t="str">
        <f>IF($A122="","",'Item Balance'!$P121)</f>
        <v/>
      </c>
    </row>
    <row r="123" spans="1:10" x14ac:dyDescent="0.35">
      <c r="A123" s="18" t="str">
        <f>IF('Item Balance'!$A122="","",'Item Balance'!$A122)</f>
        <v>Pink = no Critical Low threshold set; low-stock alerts cannot fire for that item until a value is entered.</v>
      </c>
      <c r="B123" s="18">
        <f>IF($A123="","",'Item Balance'!$B122)</f>
        <v>0</v>
      </c>
      <c r="C123" s="19">
        <f>IF($A123="","",'Item Balance'!$C122)</f>
        <v>0</v>
      </c>
      <c r="D123" s="23">
        <f>IF($A123="","",'Item Balance'!$I122)</f>
        <v>0</v>
      </c>
      <c r="E123" s="23">
        <f>IF($A123="","",'Item Balance'!$F122)</f>
        <v>0</v>
      </c>
      <c r="F123" s="26">
        <f t="shared" si="2"/>
        <v>0</v>
      </c>
      <c r="G123" s="23">
        <f>IF($A123="","",'Item Balance'!$E122)</f>
        <v>0</v>
      </c>
      <c r="H123" s="26" t="str">
        <f t="shared" si="3"/>
        <v/>
      </c>
      <c r="I123" s="20">
        <f>IF($A123="","",'Item Balance'!$D122)</f>
        <v>0</v>
      </c>
      <c r="J123" s="31" t="str">
        <f>IF($A123="","",'Item Balance'!$P122)</f>
        <v>OUT OF STOCK</v>
      </c>
    </row>
    <row r="124" spans="1:10" x14ac:dyDescent="0.35">
      <c r="A124" s="18" t="str">
        <f>IF('Item Balance'!$A123="","",'Item Balance'!$A123)</f>
        <v>Green = a pack description that was stored in the numeric Standard Issue column in the source workbook and has been moved here (39 items). Standard Issue Qty must hold numbers only.</v>
      </c>
      <c r="B124" s="18">
        <f>IF($A124="","",'Item Balance'!$B123)</f>
        <v>0</v>
      </c>
      <c r="C124" s="19">
        <f>IF($A124="","",'Item Balance'!$C123)</f>
        <v>0</v>
      </c>
      <c r="D124" s="23">
        <f>IF($A124="","",'Item Balance'!$I123)</f>
        <v>0</v>
      </c>
      <c r="E124" s="23">
        <f>IF($A124="","",'Item Balance'!$F123)</f>
        <v>0</v>
      </c>
      <c r="F124" s="26">
        <f t="shared" si="2"/>
        <v>0</v>
      </c>
      <c r="G124" s="23">
        <f>IF($A124="","",'Item Balance'!$E123)</f>
        <v>0</v>
      </c>
      <c r="H124" s="26" t="str">
        <f t="shared" si="3"/>
        <v/>
      </c>
      <c r="I124" s="20">
        <f>IF($A124="","",'Item Balance'!$D123)</f>
        <v>0</v>
      </c>
      <c r="J124" s="31" t="str">
        <f>IF($A124="","",'Item Balance'!$P123)</f>
        <v>OUT OF STOCK</v>
      </c>
    </row>
    <row r="125" spans="1:10" x14ac:dyDescent="0.35">
      <c r="A125" s="18" t="str">
        <f>IF('Item Balance'!$A124="","",'Item Balance'!$A124)</f>
        <v>Sample Org CONNECT Welcome Package PSW</v>
      </c>
      <c r="B125" s="18" t="str">
        <f>IF($A125="","",'Item Balance'!$B124)</f>
        <v>Documents</v>
      </c>
      <c r="C125" s="19" t="str">
        <f>IF($A125="","",'Item Balance'!$C124)</f>
        <v>Document</v>
      </c>
      <c r="D125" s="23">
        <f>IF($A125="","",'Item Balance'!$I124)</f>
        <v>-150</v>
      </c>
      <c r="E125" s="23">
        <f>IF($A125="","",'Item Balance'!$F124)</f>
        <v>0</v>
      </c>
      <c r="F125" s="26">
        <f t="shared" si="2"/>
        <v>150</v>
      </c>
      <c r="G125" s="23">
        <f>IF($A125="","",'Item Balance'!$E124)</f>
        <v>2</v>
      </c>
      <c r="H125" s="26">
        <f t="shared" si="3"/>
        <v>-75</v>
      </c>
      <c r="I125" s="20">
        <f>IF($A125="","",'Item Balance'!$D124)</f>
        <v>0</v>
      </c>
      <c r="J125" s="31" t="str">
        <f>IF($A125="","",'Item Balance'!$P124)</f>
        <v>NEGATIVE</v>
      </c>
    </row>
    <row r="126" spans="1:10" x14ac:dyDescent="0.35">
      <c r="A126" s="18" t="str">
        <f>IF('Item Balance'!$A125="","",'Item Balance'!$A125)</f>
        <v>Sample Org CONNECT Welcome Package RPN TL</v>
      </c>
      <c r="B126" s="18" t="str">
        <f>IF($A126="","",'Item Balance'!$B125)</f>
        <v>Documents</v>
      </c>
      <c r="C126" s="19" t="str">
        <f>IF($A126="","",'Item Balance'!$C125)</f>
        <v>Document</v>
      </c>
      <c r="D126" s="23">
        <f>IF($A126="","",'Item Balance'!$I125)</f>
        <v>-30</v>
      </c>
      <c r="E126" s="23">
        <f>IF($A126="","",'Item Balance'!$F125)</f>
        <v>0</v>
      </c>
      <c r="F126" s="26">
        <f t="shared" si="2"/>
        <v>30</v>
      </c>
      <c r="G126" s="23">
        <f>IF($A126="","",'Item Balance'!$E125)</f>
        <v>10</v>
      </c>
      <c r="H126" s="26">
        <f t="shared" si="3"/>
        <v>-3</v>
      </c>
      <c r="I126" s="20">
        <f>IF($A126="","",'Item Balance'!$D125)</f>
        <v>0</v>
      </c>
      <c r="J126" s="31" t="str">
        <f>IF($A126="","",'Item Balance'!$P125)</f>
        <v>NEGATIVE</v>
      </c>
    </row>
    <row r="127" spans="1:10" x14ac:dyDescent="0.35">
      <c r="A127" s="18" t="str">
        <f>IF('Item Balance'!$A126="","",'Item Balance'!$A126)</f>
        <v>Sample Org CONNECT Welcome Package RN</v>
      </c>
      <c r="B127" s="18" t="str">
        <f>IF($A127="","",'Item Balance'!$B126)</f>
        <v>Documents</v>
      </c>
      <c r="C127" s="19" t="str">
        <f>IF($A127="","",'Item Balance'!$C126)</f>
        <v>Document</v>
      </c>
      <c r="D127" s="23">
        <f>IF($A127="","",'Item Balance'!$I126)</f>
        <v>-770</v>
      </c>
      <c r="E127" s="23">
        <f>IF($A127="","",'Item Balance'!$F126)</f>
        <v>0</v>
      </c>
      <c r="F127" s="26">
        <f t="shared" si="2"/>
        <v>770</v>
      </c>
      <c r="G127" s="23">
        <f>IF($A127="","",'Item Balance'!$E126)</f>
        <v>10</v>
      </c>
      <c r="H127" s="26">
        <f t="shared" si="3"/>
        <v>-77</v>
      </c>
      <c r="I127" s="20">
        <f>IF($A127="","",'Item Balance'!$D126)</f>
        <v>0</v>
      </c>
      <c r="J127" s="31" t="str">
        <f>IF($A127="","",'Item Balance'!$P126)</f>
        <v>NEGATIVE</v>
      </c>
    </row>
    <row r="128" spans="1:10" x14ac:dyDescent="0.35">
      <c r="A128" s="18" t="str">
        <f>IF('Item Balance'!$A127="","",'Item Balance'!$A127)</f>
        <v>Thermometer</v>
      </c>
      <c r="B128" s="18" t="str">
        <f>IF($A128="","",'Item Balance'!$B127)</f>
        <v>Device</v>
      </c>
      <c r="C128" s="19" t="str">
        <f>IF($A128="","",'Item Balance'!$C127)</f>
        <v>Tool</v>
      </c>
      <c r="D128" s="23">
        <f>IF($A128="","",'Item Balance'!$I127)</f>
        <v>9</v>
      </c>
      <c r="E128" s="23">
        <f>IF($A128="","",'Item Balance'!$F127)</f>
        <v>0</v>
      </c>
      <c r="F128" s="26">
        <f t="shared" si="2"/>
        <v>0</v>
      </c>
      <c r="G128" s="23">
        <f>IF($A128="","",'Item Balance'!$E127)</f>
        <v>1</v>
      </c>
      <c r="H128" s="26">
        <f t="shared" si="3"/>
        <v>9</v>
      </c>
      <c r="I128" s="20">
        <f>IF($A128="","",'Item Balance'!$D127)</f>
        <v>8</v>
      </c>
      <c r="J128" s="31" t="str">
        <f>IF($A128="","",'Item Balance'!$P127)</f>
        <v>OK</v>
      </c>
    </row>
    <row r="129" spans="1:10" x14ac:dyDescent="0.35">
      <c r="A129" s="18" t="str">
        <f>IF('Item Balance'!$A128="","",'Item Balance'!$A128)</f>
        <v>Stethscope</v>
      </c>
      <c r="B129" s="18" t="str">
        <f>IF($A129="","",'Item Balance'!$B128)</f>
        <v>Device</v>
      </c>
      <c r="C129" s="19" t="str">
        <f>IF($A129="","",'Item Balance'!$C128)</f>
        <v>Tool</v>
      </c>
      <c r="D129" s="23">
        <f>IF($A129="","",'Item Balance'!$I128)</f>
        <v>4</v>
      </c>
      <c r="E129" s="23">
        <f>IF($A129="","",'Item Balance'!$F128)</f>
        <v>0</v>
      </c>
      <c r="F129" s="26">
        <f t="shared" si="2"/>
        <v>0</v>
      </c>
      <c r="G129" s="23">
        <f>IF($A129="","",'Item Balance'!$E128)</f>
        <v>1</v>
      </c>
      <c r="H129" s="26">
        <f t="shared" si="3"/>
        <v>4</v>
      </c>
      <c r="I129" s="20">
        <f>IF($A129="","",'Item Balance'!$D128)</f>
        <v>12</v>
      </c>
      <c r="J129" s="31" t="str">
        <f>IF($A129="","",'Item Balance'!$P128)</f>
        <v>OK</v>
      </c>
    </row>
    <row r="130" spans="1:10" x14ac:dyDescent="0.35">
      <c r="A130" s="18" t="str">
        <f>IF('Item Balance'!$A129="","",'Item Balance'!$A129)</f>
        <v>Sample Org Week Water Bottle</v>
      </c>
      <c r="B130" s="18" t="str">
        <f>IF($A130="","",'Item Balance'!$B129)</f>
        <v>Utility</v>
      </c>
      <c r="C130" s="19" t="str">
        <f>IF($A130="","",'Item Balance'!$C129)</f>
        <v>Utility</v>
      </c>
      <c r="D130" s="23">
        <f>IF($A130="","",'Item Balance'!$I129)</f>
        <v>-86</v>
      </c>
      <c r="E130" s="23">
        <f>IF($A130="","",'Item Balance'!$F129)</f>
        <v>0</v>
      </c>
      <c r="F130" s="26">
        <f t="shared" si="2"/>
        <v>86</v>
      </c>
      <c r="G130" s="23">
        <f>IF($A130="","",'Item Balance'!$E129)</f>
        <v>1</v>
      </c>
      <c r="H130" s="26">
        <f t="shared" si="3"/>
        <v>-86</v>
      </c>
      <c r="I130" s="20">
        <f>IF($A130="","",'Item Balance'!$D129)</f>
        <v>0</v>
      </c>
      <c r="J130" s="31" t="str">
        <f>IF($A130="","",'Item Balance'!$P129)</f>
        <v>NEGATIVE</v>
      </c>
    </row>
    <row r="131" spans="1:10" x14ac:dyDescent="0.35">
      <c r="A131" s="18" t="str">
        <f>IF('Item Balance'!$A130="","",'Item Balance'!$A130)</f>
        <v>PPE EMERGENCY/CAR KIT</v>
      </c>
      <c r="B131" s="18" t="str">
        <f>IF($A131="","",'Item Balance'!$B130)</f>
        <v>PPE</v>
      </c>
      <c r="C131" s="19" t="str">
        <f>IF($A131="","",'Item Balance'!$C130)</f>
        <v>PPE</v>
      </c>
      <c r="D131" s="23">
        <f>IF($A131="","",'Item Balance'!$I130)</f>
        <v>-1</v>
      </c>
      <c r="E131" s="23">
        <f>IF($A131="","",'Item Balance'!$F130)</f>
        <v>0</v>
      </c>
      <c r="F131" s="26">
        <f t="shared" si="2"/>
        <v>1</v>
      </c>
      <c r="G131" s="23">
        <f>IF($A131="","",'Item Balance'!$E130)</f>
        <v>1</v>
      </c>
      <c r="H131" s="26">
        <f t="shared" si="3"/>
        <v>-1</v>
      </c>
      <c r="I131" s="20">
        <f>IF($A131="","",'Item Balance'!$D130)</f>
        <v>0</v>
      </c>
      <c r="J131" s="31" t="str">
        <f>IF($A131="","",'Item Balance'!$P130)</f>
        <v>NEGATIVE</v>
      </c>
    </row>
    <row r="132" spans="1:10" x14ac:dyDescent="0.35">
      <c r="A132" s="18" t="str">
        <f>IF('Item Balance'!$A131="","",'Item Balance'!$A131)</f>
        <v>Hand Sanitizer 1L OS</v>
      </c>
      <c r="B132" s="18" t="str">
        <f>IF($A132="","",'Item Balance'!$B131)</f>
        <v>PPE</v>
      </c>
      <c r="C132" s="19" t="str">
        <f>IF($A132="","",'Item Balance'!$C131)</f>
        <v>PPE</v>
      </c>
      <c r="D132" s="23">
        <f>IF($A132="","",'Item Balance'!$I131)</f>
        <v>12</v>
      </c>
      <c r="E132" s="23">
        <f>IF($A132="","",'Item Balance'!$F131)</f>
        <v>0</v>
      </c>
      <c r="F132" s="26">
        <f t="shared" si="2"/>
        <v>0</v>
      </c>
      <c r="G132" s="23">
        <f>IF($A132="","",'Item Balance'!$E131)</f>
        <v>1</v>
      </c>
      <c r="H132" s="26">
        <f t="shared" si="3"/>
        <v>12</v>
      </c>
      <c r="I132" s="20">
        <f>IF($A132="","",'Item Balance'!$D131)</f>
        <v>0</v>
      </c>
      <c r="J132" s="31" t="str">
        <f>IF($A132="","",'Item Balance'!$P131)</f>
        <v>OK</v>
      </c>
    </row>
    <row r="133" spans="1:10" x14ac:dyDescent="0.35">
      <c r="A133" s="18" t="str">
        <f>IF('Item Balance'!$A132="","",'Item Balance'!$A132)</f>
        <v>Disinfectant Wipes 180 OS</v>
      </c>
      <c r="B133" s="18" t="str">
        <f>IF($A133="","",'Item Balance'!$B132)</f>
        <v>Wipes</v>
      </c>
      <c r="C133" s="19" t="str">
        <f>IF($A133="","",'Item Balance'!$C132)</f>
        <v>PPE</v>
      </c>
      <c r="D133" s="23">
        <f>IF($A133="","",'Item Balance'!$I132)</f>
        <v>2160</v>
      </c>
      <c r="E133" s="23">
        <f>IF($A133="","",'Item Balance'!$F132)</f>
        <v>0</v>
      </c>
      <c r="F133" s="26">
        <f t="shared" si="2"/>
        <v>0</v>
      </c>
      <c r="G133" s="23">
        <f>IF($A133="","",'Item Balance'!$E132)</f>
        <v>180</v>
      </c>
      <c r="H133" s="26">
        <f t="shared" si="3"/>
        <v>12</v>
      </c>
      <c r="I133" s="20">
        <f>IF($A133="","",'Item Balance'!$D132)</f>
        <v>0</v>
      </c>
      <c r="J133" s="31" t="str">
        <f>IF($A133="","",'Item Balance'!$P132)</f>
        <v>OK</v>
      </c>
    </row>
    <row r="134" spans="1:10" x14ac:dyDescent="0.35">
      <c r="A134" s="18" t="str">
        <f>IF('Item Balance'!$A133="","",'Item Balance'!$A133)</f>
        <v/>
      </c>
      <c r="B134" s="18" t="str">
        <f>IF($A134="","",'Item Balance'!$B133)</f>
        <v/>
      </c>
      <c r="C134" s="19" t="str">
        <f>IF($A134="","",'Item Balance'!$C133)</f>
        <v/>
      </c>
      <c r="D134" s="23" t="str">
        <f>IF($A134="","",'Item Balance'!$I133)</f>
        <v/>
      </c>
      <c r="E134" s="23" t="str">
        <f>IF($A134="","",'Item Balance'!$F133)</f>
        <v/>
      </c>
      <c r="F134" s="26" t="str">
        <f t="shared" ref="F134:F197" si="4">IF(OR($A134="",NOT(ISNUMBER($E134)),NOT(ISNUMBER($D134))),"",MAX(0,$E134-$D134))</f>
        <v/>
      </c>
      <c r="G134" s="23" t="str">
        <f>IF($A134="","",'Item Balance'!$E133)</f>
        <v/>
      </c>
      <c r="H134" s="26" t="str">
        <f t="shared" ref="H134:H197" si="5">IF(OR($A134="",NOT(ISNUMBER($G134)),$G134=0,NOT(ISNUMBER($D134))),"",ROUNDDOWN($D134/$G134,0))</f>
        <v/>
      </c>
      <c r="I134" s="20" t="str">
        <f>IF($A134="","",'Item Balance'!$D133)</f>
        <v/>
      </c>
      <c r="J134" s="31" t="str">
        <f>IF($A134="","",'Item Balance'!$P133)</f>
        <v/>
      </c>
    </row>
    <row r="135" spans="1:10" x14ac:dyDescent="0.35">
      <c r="A135" s="18" t="str">
        <f>IF('Item Balance'!$A134="","",'Item Balance'!$A134)</f>
        <v/>
      </c>
      <c r="B135" s="18" t="str">
        <f>IF($A135="","",'Item Balance'!$B134)</f>
        <v/>
      </c>
      <c r="C135" s="19" t="str">
        <f>IF($A135="","",'Item Balance'!$C134)</f>
        <v/>
      </c>
      <c r="D135" s="23" t="str">
        <f>IF($A135="","",'Item Balance'!$I134)</f>
        <v/>
      </c>
      <c r="E135" s="23" t="str">
        <f>IF($A135="","",'Item Balance'!$F134)</f>
        <v/>
      </c>
      <c r="F135" s="26" t="str">
        <f t="shared" si="4"/>
        <v/>
      </c>
      <c r="G135" s="23" t="str">
        <f>IF($A135="","",'Item Balance'!$E134)</f>
        <v/>
      </c>
      <c r="H135" s="26" t="str">
        <f t="shared" si="5"/>
        <v/>
      </c>
      <c r="I135" s="20" t="str">
        <f>IF($A135="","",'Item Balance'!$D134)</f>
        <v/>
      </c>
      <c r="J135" s="31" t="str">
        <f>IF($A135="","",'Item Balance'!$P134)</f>
        <v/>
      </c>
    </row>
    <row r="136" spans="1:10" x14ac:dyDescent="0.35">
      <c r="A136" s="18" t="str">
        <f>IF('Item Balance'!$A135="","",'Item Balance'!$A135)</f>
        <v/>
      </c>
      <c r="B136" s="18" t="str">
        <f>IF($A136="","",'Item Balance'!$B135)</f>
        <v/>
      </c>
      <c r="C136" s="19" t="str">
        <f>IF($A136="","",'Item Balance'!$C135)</f>
        <v/>
      </c>
      <c r="D136" s="23" t="str">
        <f>IF($A136="","",'Item Balance'!$I135)</f>
        <v/>
      </c>
      <c r="E136" s="23" t="str">
        <f>IF($A136="","",'Item Balance'!$F135)</f>
        <v/>
      </c>
      <c r="F136" s="26" t="str">
        <f t="shared" si="4"/>
        <v/>
      </c>
      <c r="G136" s="23" t="str">
        <f>IF($A136="","",'Item Balance'!$E135)</f>
        <v/>
      </c>
      <c r="H136" s="26" t="str">
        <f t="shared" si="5"/>
        <v/>
      </c>
      <c r="I136" s="20" t="str">
        <f>IF($A136="","",'Item Balance'!$D135)</f>
        <v/>
      </c>
      <c r="J136" s="31" t="str">
        <f>IF($A136="","",'Item Balance'!$P135)</f>
        <v/>
      </c>
    </row>
    <row r="137" spans="1:10" x14ac:dyDescent="0.35">
      <c r="A137" s="18" t="str">
        <f>IF('Item Balance'!$A136="","",'Item Balance'!$A136)</f>
        <v/>
      </c>
      <c r="B137" s="18" t="str">
        <f>IF($A137="","",'Item Balance'!$B136)</f>
        <v/>
      </c>
      <c r="C137" s="19" t="str">
        <f>IF($A137="","",'Item Balance'!$C136)</f>
        <v/>
      </c>
      <c r="D137" s="23" t="str">
        <f>IF($A137="","",'Item Balance'!$I136)</f>
        <v/>
      </c>
      <c r="E137" s="23" t="str">
        <f>IF($A137="","",'Item Balance'!$F136)</f>
        <v/>
      </c>
      <c r="F137" s="26" t="str">
        <f t="shared" si="4"/>
        <v/>
      </c>
      <c r="G137" s="23" t="str">
        <f>IF($A137="","",'Item Balance'!$E136)</f>
        <v/>
      </c>
      <c r="H137" s="26" t="str">
        <f t="shared" si="5"/>
        <v/>
      </c>
      <c r="I137" s="20" t="str">
        <f>IF($A137="","",'Item Balance'!$D136)</f>
        <v/>
      </c>
      <c r="J137" s="31" t="str">
        <f>IF($A137="","",'Item Balance'!$P136)</f>
        <v/>
      </c>
    </row>
    <row r="138" spans="1:10" x14ac:dyDescent="0.35">
      <c r="A138" s="18" t="str">
        <f>IF('Item Balance'!$A137="","",'Item Balance'!$A137)</f>
        <v/>
      </c>
      <c r="B138" s="18" t="str">
        <f>IF($A138="","",'Item Balance'!$B137)</f>
        <v/>
      </c>
      <c r="C138" s="19" t="str">
        <f>IF($A138="","",'Item Balance'!$C137)</f>
        <v/>
      </c>
      <c r="D138" s="23" t="str">
        <f>IF($A138="","",'Item Balance'!$I137)</f>
        <v/>
      </c>
      <c r="E138" s="23" t="str">
        <f>IF($A138="","",'Item Balance'!$F137)</f>
        <v/>
      </c>
      <c r="F138" s="26" t="str">
        <f t="shared" si="4"/>
        <v/>
      </c>
      <c r="G138" s="23" t="str">
        <f>IF($A138="","",'Item Balance'!$E137)</f>
        <v/>
      </c>
      <c r="H138" s="26" t="str">
        <f t="shared" si="5"/>
        <v/>
      </c>
      <c r="I138" s="20" t="str">
        <f>IF($A138="","",'Item Balance'!$D137)</f>
        <v/>
      </c>
      <c r="J138" s="31" t="str">
        <f>IF($A138="","",'Item Balance'!$P137)</f>
        <v/>
      </c>
    </row>
    <row r="139" spans="1:10" x14ac:dyDescent="0.35">
      <c r="A139" s="18" t="str">
        <f>IF('Item Balance'!$A138="","",'Item Balance'!$A138)</f>
        <v/>
      </c>
      <c r="B139" s="18" t="str">
        <f>IF($A139="","",'Item Balance'!$B138)</f>
        <v/>
      </c>
      <c r="C139" s="19" t="str">
        <f>IF($A139="","",'Item Balance'!$C138)</f>
        <v/>
      </c>
      <c r="D139" s="23" t="str">
        <f>IF($A139="","",'Item Balance'!$I138)</f>
        <v/>
      </c>
      <c r="E139" s="23" t="str">
        <f>IF($A139="","",'Item Balance'!$F138)</f>
        <v/>
      </c>
      <c r="F139" s="26" t="str">
        <f t="shared" si="4"/>
        <v/>
      </c>
      <c r="G139" s="23" t="str">
        <f>IF($A139="","",'Item Balance'!$E138)</f>
        <v/>
      </c>
      <c r="H139" s="26" t="str">
        <f t="shared" si="5"/>
        <v/>
      </c>
      <c r="I139" s="20" t="str">
        <f>IF($A139="","",'Item Balance'!$D138)</f>
        <v/>
      </c>
      <c r="J139" s="31" t="str">
        <f>IF($A139="","",'Item Balance'!$P138)</f>
        <v/>
      </c>
    </row>
    <row r="140" spans="1:10" x14ac:dyDescent="0.35">
      <c r="A140" s="18" t="str">
        <f>IF('Item Balance'!$A139="","",'Item Balance'!$A139)</f>
        <v/>
      </c>
      <c r="B140" s="18" t="str">
        <f>IF($A140="","",'Item Balance'!$B139)</f>
        <v/>
      </c>
      <c r="C140" s="19" t="str">
        <f>IF($A140="","",'Item Balance'!$C139)</f>
        <v/>
      </c>
      <c r="D140" s="23" t="str">
        <f>IF($A140="","",'Item Balance'!$I139)</f>
        <v/>
      </c>
      <c r="E140" s="23" t="str">
        <f>IF($A140="","",'Item Balance'!$F139)</f>
        <v/>
      </c>
      <c r="F140" s="26" t="str">
        <f t="shared" si="4"/>
        <v/>
      </c>
      <c r="G140" s="23" t="str">
        <f>IF($A140="","",'Item Balance'!$E139)</f>
        <v/>
      </c>
      <c r="H140" s="26" t="str">
        <f t="shared" si="5"/>
        <v/>
      </c>
      <c r="I140" s="20" t="str">
        <f>IF($A140="","",'Item Balance'!$D139)</f>
        <v/>
      </c>
      <c r="J140" s="31" t="str">
        <f>IF($A140="","",'Item Balance'!$P139)</f>
        <v/>
      </c>
    </row>
    <row r="141" spans="1:10" x14ac:dyDescent="0.35">
      <c r="A141" s="18" t="str">
        <f>IF('Item Balance'!$A140="","",'Item Balance'!$A140)</f>
        <v/>
      </c>
      <c r="B141" s="18" t="str">
        <f>IF($A141="","",'Item Balance'!$B140)</f>
        <v/>
      </c>
      <c r="C141" s="19" t="str">
        <f>IF($A141="","",'Item Balance'!$C140)</f>
        <v/>
      </c>
      <c r="D141" s="23" t="str">
        <f>IF($A141="","",'Item Balance'!$I140)</f>
        <v/>
      </c>
      <c r="E141" s="23" t="str">
        <f>IF($A141="","",'Item Balance'!$F140)</f>
        <v/>
      </c>
      <c r="F141" s="26" t="str">
        <f t="shared" si="4"/>
        <v/>
      </c>
      <c r="G141" s="23" t="str">
        <f>IF($A141="","",'Item Balance'!$E140)</f>
        <v/>
      </c>
      <c r="H141" s="26" t="str">
        <f t="shared" si="5"/>
        <v/>
      </c>
      <c r="I141" s="20" t="str">
        <f>IF($A141="","",'Item Balance'!$D140)</f>
        <v/>
      </c>
      <c r="J141" s="31" t="str">
        <f>IF($A141="","",'Item Balance'!$P140)</f>
        <v/>
      </c>
    </row>
    <row r="142" spans="1:10" x14ac:dyDescent="0.35">
      <c r="A142" s="18" t="str">
        <f>IF('Item Balance'!$A141="","",'Item Balance'!$A141)</f>
        <v/>
      </c>
      <c r="B142" s="18" t="str">
        <f>IF($A142="","",'Item Balance'!$B141)</f>
        <v/>
      </c>
      <c r="C142" s="19" t="str">
        <f>IF($A142="","",'Item Balance'!$C141)</f>
        <v/>
      </c>
      <c r="D142" s="23" t="str">
        <f>IF($A142="","",'Item Balance'!$I141)</f>
        <v/>
      </c>
      <c r="E142" s="23" t="str">
        <f>IF($A142="","",'Item Balance'!$F141)</f>
        <v/>
      </c>
      <c r="F142" s="26" t="str">
        <f t="shared" si="4"/>
        <v/>
      </c>
      <c r="G142" s="23" t="str">
        <f>IF($A142="","",'Item Balance'!$E141)</f>
        <v/>
      </c>
      <c r="H142" s="26" t="str">
        <f t="shared" si="5"/>
        <v/>
      </c>
      <c r="I142" s="20" t="str">
        <f>IF($A142="","",'Item Balance'!$D141)</f>
        <v/>
      </c>
      <c r="J142" s="31" t="str">
        <f>IF($A142="","",'Item Balance'!$P141)</f>
        <v/>
      </c>
    </row>
    <row r="143" spans="1:10" x14ac:dyDescent="0.35">
      <c r="A143" s="18" t="str">
        <f>IF('Item Balance'!$A142="","",'Item Balance'!$A142)</f>
        <v/>
      </c>
      <c r="B143" s="18" t="str">
        <f>IF($A143="","",'Item Balance'!$B142)</f>
        <v/>
      </c>
      <c r="C143" s="19" t="str">
        <f>IF($A143="","",'Item Balance'!$C142)</f>
        <v/>
      </c>
      <c r="D143" s="23" t="str">
        <f>IF($A143="","",'Item Balance'!$I142)</f>
        <v/>
      </c>
      <c r="E143" s="23" t="str">
        <f>IF($A143="","",'Item Balance'!$F142)</f>
        <v/>
      </c>
      <c r="F143" s="26" t="str">
        <f t="shared" si="4"/>
        <v/>
      </c>
      <c r="G143" s="23" t="str">
        <f>IF($A143="","",'Item Balance'!$E142)</f>
        <v/>
      </c>
      <c r="H143" s="26" t="str">
        <f t="shared" si="5"/>
        <v/>
      </c>
      <c r="I143" s="20" t="str">
        <f>IF($A143="","",'Item Balance'!$D142)</f>
        <v/>
      </c>
      <c r="J143" s="31" t="str">
        <f>IF($A143="","",'Item Balance'!$P142)</f>
        <v/>
      </c>
    </row>
    <row r="144" spans="1:10" x14ac:dyDescent="0.35">
      <c r="A144" s="18" t="str">
        <f>IF('Item Balance'!$A143="","",'Item Balance'!$A143)</f>
        <v/>
      </c>
      <c r="B144" s="18" t="str">
        <f>IF($A144="","",'Item Balance'!$B143)</f>
        <v/>
      </c>
      <c r="C144" s="19" t="str">
        <f>IF($A144="","",'Item Balance'!$C143)</f>
        <v/>
      </c>
      <c r="D144" s="23" t="str">
        <f>IF($A144="","",'Item Balance'!$I143)</f>
        <v/>
      </c>
      <c r="E144" s="23" t="str">
        <f>IF($A144="","",'Item Balance'!$F143)</f>
        <v/>
      </c>
      <c r="F144" s="26" t="str">
        <f t="shared" si="4"/>
        <v/>
      </c>
      <c r="G144" s="23" t="str">
        <f>IF($A144="","",'Item Balance'!$E143)</f>
        <v/>
      </c>
      <c r="H144" s="26" t="str">
        <f t="shared" si="5"/>
        <v/>
      </c>
      <c r="I144" s="20" t="str">
        <f>IF($A144="","",'Item Balance'!$D143)</f>
        <v/>
      </c>
      <c r="J144" s="31" t="str">
        <f>IF($A144="","",'Item Balance'!$P143)</f>
        <v/>
      </c>
    </row>
    <row r="145" spans="1:10" x14ac:dyDescent="0.35">
      <c r="A145" s="18" t="str">
        <f>IF('Item Balance'!$A144="","",'Item Balance'!$A144)</f>
        <v/>
      </c>
      <c r="B145" s="18" t="str">
        <f>IF($A145="","",'Item Balance'!$B144)</f>
        <v/>
      </c>
      <c r="C145" s="19" t="str">
        <f>IF($A145="","",'Item Balance'!$C144)</f>
        <v/>
      </c>
      <c r="D145" s="23" t="str">
        <f>IF($A145="","",'Item Balance'!$I144)</f>
        <v/>
      </c>
      <c r="E145" s="23" t="str">
        <f>IF($A145="","",'Item Balance'!$F144)</f>
        <v/>
      </c>
      <c r="F145" s="26" t="str">
        <f t="shared" si="4"/>
        <v/>
      </c>
      <c r="G145" s="23" t="str">
        <f>IF($A145="","",'Item Balance'!$E144)</f>
        <v/>
      </c>
      <c r="H145" s="26" t="str">
        <f t="shared" si="5"/>
        <v/>
      </c>
      <c r="I145" s="20" t="str">
        <f>IF($A145="","",'Item Balance'!$D144)</f>
        <v/>
      </c>
      <c r="J145" s="31" t="str">
        <f>IF($A145="","",'Item Balance'!$P144)</f>
        <v/>
      </c>
    </row>
    <row r="146" spans="1:10" x14ac:dyDescent="0.35">
      <c r="A146" s="18" t="str">
        <f>IF('Item Balance'!$A145="","",'Item Balance'!$A145)</f>
        <v/>
      </c>
      <c r="B146" s="18" t="str">
        <f>IF($A146="","",'Item Balance'!$B145)</f>
        <v/>
      </c>
      <c r="C146" s="19" t="str">
        <f>IF($A146="","",'Item Balance'!$C145)</f>
        <v/>
      </c>
      <c r="D146" s="23" t="str">
        <f>IF($A146="","",'Item Balance'!$I145)</f>
        <v/>
      </c>
      <c r="E146" s="23" t="str">
        <f>IF($A146="","",'Item Balance'!$F145)</f>
        <v/>
      </c>
      <c r="F146" s="26" t="str">
        <f t="shared" si="4"/>
        <v/>
      </c>
      <c r="G146" s="23" t="str">
        <f>IF($A146="","",'Item Balance'!$E145)</f>
        <v/>
      </c>
      <c r="H146" s="26" t="str">
        <f t="shared" si="5"/>
        <v/>
      </c>
      <c r="I146" s="20" t="str">
        <f>IF($A146="","",'Item Balance'!$D145)</f>
        <v/>
      </c>
      <c r="J146" s="31" t="str">
        <f>IF($A146="","",'Item Balance'!$P145)</f>
        <v/>
      </c>
    </row>
    <row r="147" spans="1:10" x14ac:dyDescent="0.35">
      <c r="A147" s="18" t="str">
        <f>IF('Item Balance'!$A146="","",'Item Balance'!$A146)</f>
        <v/>
      </c>
      <c r="B147" s="18" t="str">
        <f>IF($A147="","",'Item Balance'!$B146)</f>
        <v/>
      </c>
      <c r="C147" s="19" t="str">
        <f>IF($A147="","",'Item Balance'!$C146)</f>
        <v/>
      </c>
      <c r="D147" s="23" t="str">
        <f>IF($A147="","",'Item Balance'!$I146)</f>
        <v/>
      </c>
      <c r="E147" s="23" t="str">
        <f>IF($A147="","",'Item Balance'!$F146)</f>
        <v/>
      </c>
      <c r="F147" s="26" t="str">
        <f t="shared" si="4"/>
        <v/>
      </c>
      <c r="G147" s="23" t="str">
        <f>IF($A147="","",'Item Balance'!$E146)</f>
        <v/>
      </c>
      <c r="H147" s="26" t="str">
        <f t="shared" si="5"/>
        <v/>
      </c>
      <c r="I147" s="20" t="str">
        <f>IF($A147="","",'Item Balance'!$D146)</f>
        <v/>
      </c>
      <c r="J147" s="31" t="str">
        <f>IF($A147="","",'Item Balance'!$P146)</f>
        <v/>
      </c>
    </row>
    <row r="148" spans="1:10" x14ac:dyDescent="0.35">
      <c r="A148" s="18" t="str">
        <f>IF('Item Balance'!$A147="","",'Item Balance'!$A147)</f>
        <v/>
      </c>
      <c r="B148" s="18" t="str">
        <f>IF($A148="","",'Item Balance'!$B147)</f>
        <v/>
      </c>
      <c r="C148" s="19" t="str">
        <f>IF($A148="","",'Item Balance'!$C147)</f>
        <v/>
      </c>
      <c r="D148" s="23" t="str">
        <f>IF($A148="","",'Item Balance'!$I147)</f>
        <v/>
      </c>
      <c r="E148" s="23" t="str">
        <f>IF($A148="","",'Item Balance'!$F147)</f>
        <v/>
      </c>
      <c r="F148" s="26" t="str">
        <f t="shared" si="4"/>
        <v/>
      </c>
      <c r="G148" s="23" t="str">
        <f>IF($A148="","",'Item Balance'!$E147)</f>
        <v/>
      </c>
      <c r="H148" s="26" t="str">
        <f t="shared" si="5"/>
        <v/>
      </c>
      <c r="I148" s="20" t="str">
        <f>IF($A148="","",'Item Balance'!$D147)</f>
        <v/>
      </c>
      <c r="J148" s="31" t="str">
        <f>IF($A148="","",'Item Balance'!$P147)</f>
        <v/>
      </c>
    </row>
    <row r="149" spans="1:10" x14ac:dyDescent="0.35">
      <c r="A149" s="18" t="str">
        <f>IF('Item Balance'!$A148="","",'Item Balance'!$A148)</f>
        <v/>
      </c>
      <c r="B149" s="18" t="str">
        <f>IF($A149="","",'Item Balance'!$B148)</f>
        <v/>
      </c>
      <c r="C149" s="19" t="str">
        <f>IF($A149="","",'Item Balance'!$C148)</f>
        <v/>
      </c>
      <c r="D149" s="23" t="str">
        <f>IF($A149="","",'Item Balance'!$I148)</f>
        <v/>
      </c>
      <c r="E149" s="23" t="str">
        <f>IF($A149="","",'Item Balance'!$F148)</f>
        <v/>
      </c>
      <c r="F149" s="26" t="str">
        <f t="shared" si="4"/>
        <v/>
      </c>
      <c r="G149" s="23" t="str">
        <f>IF($A149="","",'Item Balance'!$E148)</f>
        <v/>
      </c>
      <c r="H149" s="26" t="str">
        <f t="shared" si="5"/>
        <v/>
      </c>
      <c r="I149" s="20" t="str">
        <f>IF($A149="","",'Item Balance'!$D148)</f>
        <v/>
      </c>
      <c r="J149" s="31" t="str">
        <f>IF($A149="","",'Item Balance'!$P148)</f>
        <v/>
      </c>
    </row>
    <row r="150" spans="1:10" x14ac:dyDescent="0.35">
      <c r="A150" s="18" t="str">
        <f>IF('Item Balance'!$A149="","",'Item Balance'!$A149)</f>
        <v/>
      </c>
      <c r="B150" s="18" t="str">
        <f>IF($A150="","",'Item Balance'!$B149)</f>
        <v/>
      </c>
      <c r="C150" s="19" t="str">
        <f>IF($A150="","",'Item Balance'!$C149)</f>
        <v/>
      </c>
      <c r="D150" s="23" t="str">
        <f>IF($A150="","",'Item Balance'!$I149)</f>
        <v/>
      </c>
      <c r="E150" s="23" t="str">
        <f>IF($A150="","",'Item Balance'!$F149)</f>
        <v/>
      </c>
      <c r="F150" s="26" t="str">
        <f t="shared" si="4"/>
        <v/>
      </c>
      <c r="G150" s="23" t="str">
        <f>IF($A150="","",'Item Balance'!$E149)</f>
        <v/>
      </c>
      <c r="H150" s="26" t="str">
        <f t="shared" si="5"/>
        <v/>
      </c>
      <c r="I150" s="20" t="str">
        <f>IF($A150="","",'Item Balance'!$D149)</f>
        <v/>
      </c>
      <c r="J150" s="31" t="str">
        <f>IF($A150="","",'Item Balance'!$P149)</f>
        <v/>
      </c>
    </row>
    <row r="151" spans="1:10" x14ac:dyDescent="0.35">
      <c r="A151" s="18" t="str">
        <f>IF('Item Balance'!$A150="","",'Item Balance'!$A150)</f>
        <v/>
      </c>
      <c r="B151" s="18" t="str">
        <f>IF($A151="","",'Item Balance'!$B150)</f>
        <v/>
      </c>
      <c r="C151" s="19" t="str">
        <f>IF($A151="","",'Item Balance'!$C150)</f>
        <v/>
      </c>
      <c r="D151" s="23" t="str">
        <f>IF($A151="","",'Item Balance'!$I150)</f>
        <v/>
      </c>
      <c r="E151" s="23" t="str">
        <f>IF($A151="","",'Item Balance'!$F150)</f>
        <v/>
      </c>
      <c r="F151" s="26" t="str">
        <f t="shared" si="4"/>
        <v/>
      </c>
      <c r="G151" s="23" t="str">
        <f>IF($A151="","",'Item Balance'!$E150)</f>
        <v/>
      </c>
      <c r="H151" s="26" t="str">
        <f t="shared" si="5"/>
        <v/>
      </c>
      <c r="I151" s="20" t="str">
        <f>IF($A151="","",'Item Balance'!$D150)</f>
        <v/>
      </c>
      <c r="J151" s="31" t="str">
        <f>IF($A151="","",'Item Balance'!$P150)</f>
        <v/>
      </c>
    </row>
    <row r="152" spans="1:10" x14ac:dyDescent="0.35">
      <c r="A152" s="18" t="str">
        <f>IF('Item Balance'!$A151="","",'Item Balance'!$A151)</f>
        <v/>
      </c>
      <c r="B152" s="18" t="str">
        <f>IF($A152="","",'Item Balance'!$B151)</f>
        <v/>
      </c>
      <c r="C152" s="19" t="str">
        <f>IF($A152="","",'Item Balance'!$C151)</f>
        <v/>
      </c>
      <c r="D152" s="23" t="str">
        <f>IF($A152="","",'Item Balance'!$I151)</f>
        <v/>
      </c>
      <c r="E152" s="23" t="str">
        <f>IF($A152="","",'Item Balance'!$F151)</f>
        <v/>
      </c>
      <c r="F152" s="26" t="str">
        <f t="shared" si="4"/>
        <v/>
      </c>
      <c r="G152" s="23" t="str">
        <f>IF($A152="","",'Item Balance'!$E151)</f>
        <v/>
      </c>
      <c r="H152" s="26" t="str">
        <f t="shared" si="5"/>
        <v/>
      </c>
      <c r="I152" s="20" t="str">
        <f>IF($A152="","",'Item Balance'!$D151)</f>
        <v/>
      </c>
      <c r="J152" s="31" t="str">
        <f>IF($A152="","",'Item Balance'!$P151)</f>
        <v/>
      </c>
    </row>
    <row r="153" spans="1:10" x14ac:dyDescent="0.35">
      <c r="A153" s="18" t="str">
        <f>IF('Item Balance'!$A152="","",'Item Balance'!$A152)</f>
        <v/>
      </c>
      <c r="B153" s="18" t="str">
        <f>IF($A153="","",'Item Balance'!$B152)</f>
        <v/>
      </c>
      <c r="C153" s="19" t="str">
        <f>IF($A153="","",'Item Balance'!$C152)</f>
        <v/>
      </c>
      <c r="D153" s="23" t="str">
        <f>IF($A153="","",'Item Balance'!$I152)</f>
        <v/>
      </c>
      <c r="E153" s="23" t="str">
        <f>IF($A153="","",'Item Balance'!$F152)</f>
        <v/>
      </c>
      <c r="F153" s="26" t="str">
        <f t="shared" si="4"/>
        <v/>
      </c>
      <c r="G153" s="23" t="str">
        <f>IF($A153="","",'Item Balance'!$E152)</f>
        <v/>
      </c>
      <c r="H153" s="26" t="str">
        <f t="shared" si="5"/>
        <v/>
      </c>
      <c r="I153" s="20" t="str">
        <f>IF($A153="","",'Item Balance'!$D152)</f>
        <v/>
      </c>
      <c r="J153" s="31" t="str">
        <f>IF($A153="","",'Item Balance'!$P152)</f>
        <v/>
      </c>
    </row>
    <row r="154" spans="1:10" x14ac:dyDescent="0.35">
      <c r="A154" s="18" t="str">
        <f>IF('Item Balance'!$A153="","",'Item Balance'!$A153)</f>
        <v/>
      </c>
      <c r="B154" s="18" t="str">
        <f>IF($A154="","",'Item Balance'!$B153)</f>
        <v/>
      </c>
      <c r="C154" s="19" t="str">
        <f>IF($A154="","",'Item Balance'!$C153)</f>
        <v/>
      </c>
      <c r="D154" s="23" t="str">
        <f>IF($A154="","",'Item Balance'!$I153)</f>
        <v/>
      </c>
      <c r="E154" s="23" t="str">
        <f>IF($A154="","",'Item Balance'!$F153)</f>
        <v/>
      </c>
      <c r="F154" s="26" t="str">
        <f t="shared" si="4"/>
        <v/>
      </c>
      <c r="G154" s="23" t="str">
        <f>IF($A154="","",'Item Balance'!$E153)</f>
        <v/>
      </c>
      <c r="H154" s="26" t="str">
        <f t="shared" si="5"/>
        <v/>
      </c>
      <c r="I154" s="20" t="str">
        <f>IF($A154="","",'Item Balance'!$D153)</f>
        <v/>
      </c>
      <c r="J154" s="31" t="str">
        <f>IF($A154="","",'Item Balance'!$P153)</f>
        <v/>
      </c>
    </row>
    <row r="155" spans="1:10" x14ac:dyDescent="0.35">
      <c r="A155" s="18" t="str">
        <f>IF('Item Balance'!$A154="","",'Item Balance'!$A154)</f>
        <v/>
      </c>
      <c r="B155" s="18" t="str">
        <f>IF($A155="","",'Item Balance'!$B154)</f>
        <v/>
      </c>
      <c r="C155" s="19" t="str">
        <f>IF($A155="","",'Item Balance'!$C154)</f>
        <v/>
      </c>
      <c r="D155" s="23" t="str">
        <f>IF($A155="","",'Item Balance'!$I154)</f>
        <v/>
      </c>
      <c r="E155" s="23" t="str">
        <f>IF($A155="","",'Item Balance'!$F154)</f>
        <v/>
      </c>
      <c r="F155" s="26" t="str">
        <f t="shared" si="4"/>
        <v/>
      </c>
      <c r="G155" s="23" t="str">
        <f>IF($A155="","",'Item Balance'!$E154)</f>
        <v/>
      </c>
      <c r="H155" s="26" t="str">
        <f t="shared" si="5"/>
        <v/>
      </c>
      <c r="I155" s="20" t="str">
        <f>IF($A155="","",'Item Balance'!$D154)</f>
        <v/>
      </c>
      <c r="J155" s="31" t="str">
        <f>IF($A155="","",'Item Balance'!$P154)</f>
        <v/>
      </c>
    </row>
    <row r="156" spans="1:10" x14ac:dyDescent="0.35">
      <c r="A156" s="18" t="str">
        <f>IF('Item Balance'!$A155="","",'Item Balance'!$A155)</f>
        <v/>
      </c>
      <c r="B156" s="18" t="str">
        <f>IF($A156="","",'Item Balance'!$B155)</f>
        <v/>
      </c>
      <c r="C156" s="19" t="str">
        <f>IF($A156="","",'Item Balance'!$C155)</f>
        <v/>
      </c>
      <c r="D156" s="23" t="str">
        <f>IF($A156="","",'Item Balance'!$I155)</f>
        <v/>
      </c>
      <c r="E156" s="23" t="str">
        <f>IF($A156="","",'Item Balance'!$F155)</f>
        <v/>
      </c>
      <c r="F156" s="26" t="str">
        <f t="shared" si="4"/>
        <v/>
      </c>
      <c r="G156" s="23" t="str">
        <f>IF($A156="","",'Item Balance'!$E155)</f>
        <v/>
      </c>
      <c r="H156" s="26" t="str">
        <f t="shared" si="5"/>
        <v/>
      </c>
      <c r="I156" s="20" t="str">
        <f>IF($A156="","",'Item Balance'!$D155)</f>
        <v/>
      </c>
      <c r="J156" s="31" t="str">
        <f>IF($A156="","",'Item Balance'!$P155)</f>
        <v/>
      </c>
    </row>
    <row r="157" spans="1:10" x14ac:dyDescent="0.35">
      <c r="A157" s="18" t="str">
        <f>IF('Item Balance'!$A156="","",'Item Balance'!$A156)</f>
        <v/>
      </c>
      <c r="B157" s="18" t="str">
        <f>IF($A157="","",'Item Balance'!$B156)</f>
        <v/>
      </c>
      <c r="C157" s="19" t="str">
        <f>IF($A157="","",'Item Balance'!$C156)</f>
        <v/>
      </c>
      <c r="D157" s="23" t="str">
        <f>IF($A157="","",'Item Balance'!$I156)</f>
        <v/>
      </c>
      <c r="E157" s="23" t="str">
        <f>IF($A157="","",'Item Balance'!$F156)</f>
        <v/>
      </c>
      <c r="F157" s="26" t="str">
        <f t="shared" si="4"/>
        <v/>
      </c>
      <c r="G157" s="23" t="str">
        <f>IF($A157="","",'Item Balance'!$E156)</f>
        <v/>
      </c>
      <c r="H157" s="26" t="str">
        <f t="shared" si="5"/>
        <v/>
      </c>
      <c r="I157" s="20" t="str">
        <f>IF($A157="","",'Item Balance'!$D156)</f>
        <v/>
      </c>
      <c r="J157" s="31" t="str">
        <f>IF($A157="","",'Item Balance'!$P156)</f>
        <v/>
      </c>
    </row>
    <row r="158" spans="1:10" x14ac:dyDescent="0.35">
      <c r="A158" s="18" t="str">
        <f>IF('Item Balance'!$A157="","",'Item Balance'!$A157)</f>
        <v/>
      </c>
      <c r="B158" s="18" t="str">
        <f>IF($A158="","",'Item Balance'!$B157)</f>
        <v/>
      </c>
      <c r="C158" s="19" t="str">
        <f>IF($A158="","",'Item Balance'!$C157)</f>
        <v/>
      </c>
      <c r="D158" s="23" t="str">
        <f>IF($A158="","",'Item Balance'!$I157)</f>
        <v/>
      </c>
      <c r="E158" s="23" t="str">
        <f>IF($A158="","",'Item Balance'!$F157)</f>
        <v/>
      </c>
      <c r="F158" s="26" t="str">
        <f t="shared" si="4"/>
        <v/>
      </c>
      <c r="G158" s="23" t="str">
        <f>IF($A158="","",'Item Balance'!$E157)</f>
        <v/>
      </c>
      <c r="H158" s="26" t="str">
        <f t="shared" si="5"/>
        <v/>
      </c>
      <c r="I158" s="20" t="str">
        <f>IF($A158="","",'Item Balance'!$D157)</f>
        <v/>
      </c>
      <c r="J158" s="31" t="str">
        <f>IF($A158="","",'Item Balance'!$P157)</f>
        <v/>
      </c>
    </row>
    <row r="159" spans="1:10" x14ac:dyDescent="0.35">
      <c r="A159" s="18" t="str">
        <f>IF('Item Balance'!$A158="","",'Item Balance'!$A158)</f>
        <v/>
      </c>
      <c r="B159" s="18" t="str">
        <f>IF($A159="","",'Item Balance'!$B158)</f>
        <v/>
      </c>
      <c r="C159" s="19" t="str">
        <f>IF($A159="","",'Item Balance'!$C158)</f>
        <v/>
      </c>
      <c r="D159" s="23" t="str">
        <f>IF($A159="","",'Item Balance'!$I158)</f>
        <v/>
      </c>
      <c r="E159" s="23" t="str">
        <f>IF($A159="","",'Item Balance'!$F158)</f>
        <v/>
      </c>
      <c r="F159" s="26" t="str">
        <f t="shared" si="4"/>
        <v/>
      </c>
      <c r="G159" s="23" t="str">
        <f>IF($A159="","",'Item Balance'!$E158)</f>
        <v/>
      </c>
      <c r="H159" s="26" t="str">
        <f t="shared" si="5"/>
        <v/>
      </c>
      <c r="I159" s="20" t="str">
        <f>IF($A159="","",'Item Balance'!$D158)</f>
        <v/>
      </c>
      <c r="J159" s="31" t="str">
        <f>IF($A159="","",'Item Balance'!$P158)</f>
        <v/>
      </c>
    </row>
    <row r="160" spans="1:10" x14ac:dyDescent="0.35">
      <c r="A160" s="18" t="str">
        <f>IF('Item Balance'!$A159="","",'Item Balance'!$A159)</f>
        <v/>
      </c>
      <c r="B160" s="18" t="str">
        <f>IF($A160="","",'Item Balance'!$B159)</f>
        <v/>
      </c>
      <c r="C160" s="19" t="str">
        <f>IF($A160="","",'Item Balance'!$C159)</f>
        <v/>
      </c>
      <c r="D160" s="23" t="str">
        <f>IF($A160="","",'Item Balance'!$I159)</f>
        <v/>
      </c>
      <c r="E160" s="23" t="str">
        <f>IF($A160="","",'Item Balance'!$F159)</f>
        <v/>
      </c>
      <c r="F160" s="26" t="str">
        <f t="shared" si="4"/>
        <v/>
      </c>
      <c r="G160" s="23" t="str">
        <f>IF($A160="","",'Item Balance'!$E159)</f>
        <v/>
      </c>
      <c r="H160" s="26" t="str">
        <f t="shared" si="5"/>
        <v/>
      </c>
      <c r="I160" s="20" t="str">
        <f>IF($A160="","",'Item Balance'!$D159)</f>
        <v/>
      </c>
      <c r="J160" s="31" t="str">
        <f>IF($A160="","",'Item Balance'!$P159)</f>
        <v/>
      </c>
    </row>
    <row r="161" spans="1:10" x14ac:dyDescent="0.35">
      <c r="A161" s="18" t="str">
        <f>IF('Item Balance'!$A160="","",'Item Balance'!$A160)</f>
        <v/>
      </c>
      <c r="B161" s="18" t="str">
        <f>IF($A161="","",'Item Balance'!$B160)</f>
        <v/>
      </c>
      <c r="C161" s="19" t="str">
        <f>IF($A161="","",'Item Balance'!$C160)</f>
        <v/>
      </c>
      <c r="D161" s="23" t="str">
        <f>IF($A161="","",'Item Balance'!$I160)</f>
        <v/>
      </c>
      <c r="E161" s="23" t="str">
        <f>IF($A161="","",'Item Balance'!$F160)</f>
        <v/>
      </c>
      <c r="F161" s="26" t="str">
        <f t="shared" si="4"/>
        <v/>
      </c>
      <c r="G161" s="23" t="str">
        <f>IF($A161="","",'Item Balance'!$E160)</f>
        <v/>
      </c>
      <c r="H161" s="26" t="str">
        <f t="shared" si="5"/>
        <v/>
      </c>
      <c r="I161" s="20" t="str">
        <f>IF($A161="","",'Item Balance'!$D160)</f>
        <v/>
      </c>
      <c r="J161" s="31" t="str">
        <f>IF($A161="","",'Item Balance'!$P160)</f>
        <v/>
      </c>
    </row>
    <row r="162" spans="1:10" x14ac:dyDescent="0.35">
      <c r="A162" s="18" t="str">
        <f>IF('Item Balance'!$A161="","",'Item Balance'!$A161)</f>
        <v/>
      </c>
      <c r="B162" s="18" t="str">
        <f>IF($A162="","",'Item Balance'!$B161)</f>
        <v/>
      </c>
      <c r="C162" s="19" t="str">
        <f>IF($A162="","",'Item Balance'!$C161)</f>
        <v/>
      </c>
      <c r="D162" s="23" t="str">
        <f>IF($A162="","",'Item Balance'!$I161)</f>
        <v/>
      </c>
      <c r="E162" s="23" t="str">
        <f>IF($A162="","",'Item Balance'!$F161)</f>
        <v/>
      </c>
      <c r="F162" s="26" t="str">
        <f t="shared" si="4"/>
        <v/>
      </c>
      <c r="G162" s="23" t="str">
        <f>IF($A162="","",'Item Balance'!$E161)</f>
        <v/>
      </c>
      <c r="H162" s="26" t="str">
        <f t="shared" si="5"/>
        <v/>
      </c>
      <c r="I162" s="20" t="str">
        <f>IF($A162="","",'Item Balance'!$D161)</f>
        <v/>
      </c>
      <c r="J162" s="31" t="str">
        <f>IF($A162="","",'Item Balance'!$P161)</f>
        <v/>
      </c>
    </row>
    <row r="163" spans="1:10" x14ac:dyDescent="0.35">
      <c r="A163" s="18" t="str">
        <f>IF('Item Balance'!$A162="","",'Item Balance'!$A162)</f>
        <v/>
      </c>
      <c r="B163" s="18" t="str">
        <f>IF($A163="","",'Item Balance'!$B162)</f>
        <v/>
      </c>
      <c r="C163" s="19" t="str">
        <f>IF($A163="","",'Item Balance'!$C162)</f>
        <v/>
      </c>
      <c r="D163" s="23" t="str">
        <f>IF($A163="","",'Item Balance'!$I162)</f>
        <v/>
      </c>
      <c r="E163" s="23" t="str">
        <f>IF($A163="","",'Item Balance'!$F162)</f>
        <v/>
      </c>
      <c r="F163" s="26" t="str">
        <f t="shared" si="4"/>
        <v/>
      </c>
      <c r="G163" s="23" t="str">
        <f>IF($A163="","",'Item Balance'!$E162)</f>
        <v/>
      </c>
      <c r="H163" s="26" t="str">
        <f t="shared" si="5"/>
        <v/>
      </c>
      <c r="I163" s="20" t="str">
        <f>IF($A163="","",'Item Balance'!$D162)</f>
        <v/>
      </c>
      <c r="J163" s="31" t="str">
        <f>IF($A163="","",'Item Balance'!$P162)</f>
        <v/>
      </c>
    </row>
    <row r="164" spans="1:10" x14ac:dyDescent="0.35">
      <c r="A164" s="18" t="str">
        <f>IF('Item Balance'!$A163="","",'Item Balance'!$A163)</f>
        <v/>
      </c>
      <c r="B164" s="18" t="str">
        <f>IF($A164="","",'Item Balance'!$B163)</f>
        <v/>
      </c>
      <c r="C164" s="19" t="str">
        <f>IF($A164="","",'Item Balance'!$C163)</f>
        <v/>
      </c>
      <c r="D164" s="23" t="str">
        <f>IF($A164="","",'Item Balance'!$I163)</f>
        <v/>
      </c>
      <c r="E164" s="23" t="str">
        <f>IF($A164="","",'Item Balance'!$F163)</f>
        <v/>
      </c>
      <c r="F164" s="26" t="str">
        <f t="shared" si="4"/>
        <v/>
      </c>
      <c r="G164" s="23" t="str">
        <f>IF($A164="","",'Item Balance'!$E163)</f>
        <v/>
      </c>
      <c r="H164" s="26" t="str">
        <f t="shared" si="5"/>
        <v/>
      </c>
      <c r="I164" s="20" t="str">
        <f>IF($A164="","",'Item Balance'!$D163)</f>
        <v/>
      </c>
      <c r="J164" s="31" t="str">
        <f>IF($A164="","",'Item Balance'!$P163)</f>
        <v/>
      </c>
    </row>
    <row r="165" spans="1:10" x14ac:dyDescent="0.35">
      <c r="A165" s="18" t="str">
        <f>IF('Item Balance'!$A164="","",'Item Balance'!$A164)</f>
        <v/>
      </c>
      <c r="B165" s="18" t="str">
        <f>IF($A165="","",'Item Balance'!$B164)</f>
        <v/>
      </c>
      <c r="C165" s="19" t="str">
        <f>IF($A165="","",'Item Balance'!$C164)</f>
        <v/>
      </c>
      <c r="D165" s="23" t="str">
        <f>IF($A165="","",'Item Balance'!$I164)</f>
        <v/>
      </c>
      <c r="E165" s="23" t="str">
        <f>IF($A165="","",'Item Balance'!$F164)</f>
        <v/>
      </c>
      <c r="F165" s="26" t="str">
        <f t="shared" si="4"/>
        <v/>
      </c>
      <c r="G165" s="23" t="str">
        <f>IF($A165="","",'Item Balance'!$E164)</f>
        <v/>
      </c>
      <c r="H165" s="26" t="str">
        <f t="shared" si="5"/>
        <v/>
      </c>
      <c r="I165" s="20" t="str">
        <f>IF($A165="","",'Item Balance'!$D164)</f>
        <v/>
      </c>
      <c r="J165" s="31" t="str">
        <f>IF($A165="","",'Item Balance'!$P164)</f>
        <v/>
      </c>
    </row>
    <row r="166" spans="1:10" x14ac:dyDescent="0.35">
      <c r="A166" s="18" t="str">
        <f>IF('Item Balance'!$A165="","",'Item Balance'!$A165)</f>
        <v/>
      </c>
      <c r="B166" s="18" t="str">
        <f>IF($A166="","",'Item Balance'!$B165)</f>
        <v/>
      </c>
      <c r="C166" s="19" t="str">
        <f>IF($A166="","",'Item Balance'!$C165)</f>
        <v/>
      </c>
      <c r="D166" s="23" t="str">
        <f>IF($A166="","",'Item Balance'!$I165)</f>
        <v/>
      </c>
      <c r="E166" s="23" t="str">
        <f>IF($A166="","",'Item Balance'!$F165)</f>
        <v/>
      </c>
      <c r="F166" s="26" t="str">
        <f t="shared" si="4"/>
        <v/>
      </c>
      <c r="G166" s="23" t="str">
        <f>IF($A166="","",'Item Balance'!$E165)</f>
        <v/>
      </c>
      <c r="H166" s="26" t="str">
        <f t="shared" si="5"/>
        <v/>
      </c>
      <c r="I166" s="20" t="str">
        <f>IF($A166="","",'Item Balance'!$D165)</f>
        <v/>
      </c>
      <c r="J166" s="31" t="str">
        <f>IF($A166="","",'Item Balance'!$P165)</f>
        <v/>
      </c>
    </row>
    <row r="167" spans="1:10" x14ac:dyDescent="0.35">
      <c r="A167" s="18" t="str">
        <f>IF('Item Balance'!$A166="","",'Item Balance'!$A166)</f>
        <v/>
      </c>
      <c r="B167" s="18" t="str">
        <f>IF($A167="","",'Item Balance'!$B166)</f>
        <v/>
      </c>
      <c r="C167" s="19" t="str">
        <f>IF($A167="","",'Item Balance'!$C166)</f>
        <v/>
      </c>
      <c r="D167" s="23" t="str">
        <f>IF($A167="","",'Item Balance'!$I166)</f>
        <v/>
      </c>
      <c r="E167" s="23" t="str">
        <f>IF($A167="","",'Item Balance'!$F166)</f>
        <v/>
      </c>
      <c r="F167" s="26" t="str">
        <f t="shared" si="4"/>
        <v/>
      </c>
      <c r="G167" s="23" t="str">
        <f>IF($A167="","",'Item Balance'!$E166)</f>
        <v/>
      </c>
      <c r="H167" s="26" t="str">
        <f t="shared" si="5"/>
        <v/>
      </c>
      <c r="I167" s="20" t="str">
        <f>IF($A167="","",'Item Balance'!$D166)</f>
        <v/>
      </c>
      <c r="J167" s="31" t="str">
        <f>IF($A167="","",'Item Balance'!$P166)</f>
        <v/>
      </c>
    </row>
    <row r="168" spans="1:10" x14ac:dyDescent="0.35">
      <c r="A168" s="18" t="str">
        <f>IF('Item Balance'!$A167="","",'Item Balance'!$A167)</f>
        <v/>
      </c>
      <c r="B168" s="18" t="str">
        <f>IF($A168="","",'Item Balance'!$B167)</f>
        <v/>
      </c>
      <c r="C168" s="19" t="str">
        <f>IF($A168="","",'Item Balance'!$C167)</f>
        <v/>
      </c>
      <c r="D168" s="23" t="str">
        <f>IF($A168="","",'Item Balance'!$I167)</f>
        <v/>
      </c>
      <c r="E168" s="23" t="str">
        <f>IF($A168="","",'Item Balance'!$F167)</f>
        <v/>
      </c>
      <c r="F168" s="26" t="str">
        <f t="shared" si="4"/>
        <v/>
      </c>
      <c r="G168" s="23" t="str">
        <f>IF($A168="","",'Item Balance'!$E167)</f>
        <v/>
      </c>
      <c r="H168" s="26" t="str">
        <f t="shared" si="5"/>
        <v/>
      </c>
      <c r="I168" s="20" t="str">
        <f>IF($A168="","",'Item Balance'!$D167)</f>
        <v/>
      </c>
      <c r="J168" s="31" t="str">
        <f>IF($A168="","",'Item Balance'!$P167)</f>
        <v/>
      </c>
    </row>
    <row r="169" spans="1:10" x14ac:dyDescent="0.35">
      <c r="A169" s="18" t="str">
        <f>IF('Item Balance'!$A168="","",'Item Balance'!$A168)</f>
        <v/>
      </c>
      <c r="B169" s="18" t="str">
        <f>IF($A169="","",'Item Balance'!$B168)</f>
        <v/>
      </c>
      <c r="C169" s="19" t="str">
        <f>IF($A169="","",'Item Balance'!$C168)</f>
        <v/>
      </c>
      <c r="D169" s="23" t="str">
        <f>IF($A169="","",'Item Balance'!$I168)</f>
        <v/>
      </c>
      <c r="E169" s="23" t="str">
        <f>IF($A169="","",'Item Balance'!$F168)</f>
        <v/>
      </c>
      <c r="F169" s="26" t="str">
        <f t="shared" si="4"/>
        <v/>
      </c>
      <c r="G169" s="23" t="str">
        <f>IF($A169="","",'Item Balance'!$E168)</f>
        <v/>
      </c>
      <c r="H169" s="26" t="str">
        <f t="shared" si="5"/>
        <v/>
      </c>
      <c r="I169" s="20" t="str">
        <f>IF($A169="","",'Item Balance'!$D168)</f>
        <v/>
      </c>
      <c r="J169" s="31" t="str">
        <f>IF($A169="","",'Item Balance'!$P168)</f>
        <v/>
      </c>
    </row>
    <row r="170" spans="1:10" x14ac:dyDescent="0.35">
      <c r="A170" s="18" t="str">
        <f>IF('Item Balance'!$A169="","",'Item Balance'!$A169)</f>
        <v/>
      </c>
      <c r="B170" s="18" t="str">
        <f>IF($A170="","",'Item Balance'!$B169)</f>
        <v/>
      </c>
      <c r="C170" s="19" t="str">
        <f>IF($A170="","",'Item Balance'!$C169)</f>
        <v/>
      </c>
      <c r="D170" s="23" t="str">
        <f>IF($A170="","",'Item Balance'!$I169)</f>
        <v/>
      </c>
      <c r="E170" s="23" t="str">
        <f>IF($A170="","",'Item Balance'!$F169)</f>
        <v/>
      </c>
      <c r="F170" s="26" t="str">
        <f t="shared" si="4"/>
        <v/>
      </c>
      <c r="G170" s="23" t="str">
        <f>IF($A170="","",'Item Balance'!$E169)</f>
        <v/>
      </c>
      <c r="H170" s="26" t="str">
        <f t="shared" si="5"/>
        <v/>
      </c>
      <c r="I170" s="20" t="str">
        <f>IF($A170="","",'Item Balance'!$D169)</f>
        <v/>
      </c>
      <c r="J170" s="31" t="str">
        <f>IF($A170="","",'Item Balance'!$P169)</f>
        <v/>
      </c>
    </row>
    <row r="171" spans="1:10" x14ac:dyDescent="0.35">
      <c r="A171" s="18" t="str">
        <f>IF('Item Balance'!$A170="","",'Item Balance'!$A170)</f>
        <v/>
      </c>
      <c r="B171" s="18" t="str">
        <f>IF($A171="","",'Item Balance'!$B170)</f>
        <v/>
      </c>
      <c r="C171" s="19" t="str">
        <f>IF($A171="","",'Item Balance'!$C170)</f>
        <v/>
      </c>
      <c r="D171" s="23" t="str">
        <f>IF($A171="","",'Item Balance'!$I170)</f>
        <v/>
      </c>
      <c r="E171" s="23" t="str">
        <f>IF($A171="","",'Item Balance'!$F170)</f>
        <v/>
      </c>
      <c r="F171" s="26" t="str">
        <f t="shared" si="4"/>
        <v/>
      </c>
      <c r="G171" s="23" t="str">
        <f>IF($A171="","",'Item Balance'!$E170)</f>
        <v/>
      </c>
      <c r="H171" s="26" t="str">
        <f t="shared" si="5"/>
        <v/>
      </c>
      <c r="I171" s="20" t="str">
        <f>IF($A171="","",'Item Balance'!$D170)</f>
        <v/>
      </c>
      <c r="J171" s="31" t="str">
        <f>IF($A171="","",'Item Balance'!$P170)</f>
        <v/>
      </c>
    </row>
    <row r="172" spans="1:10" x14ac:dyDescent="0.35">
      <c r="A172" s="18" t="str">
        <f>IF('Item Balance'!$A171="","",'Item Balance'!$A171)</f>
        <v/>
      </c>
      <c r="B172" s="18" t="str">
        <f>IF($A172="","",'Item Balance'!$B171)</f>
        <v/>
      </c>
      <c r="C172" s="19" t="str">
        <f>IF($A172="","",'Item Balance'!$C171)</f>
        <v/>
      </c>
      <c r="D172" s="23" t="str">
        <f>IF($A172="","",'Item Balance'!$I171)</f>
        <v/>
      </c>
      <c r="E172" s="23" t="str">
        <f>IF($A172="","",'Item Balance'!$F171)</f>
        <v/>
      </c>
      <c r="F172" s="26" t="str">
        <f t="shared" si="4"/>
        <v/>
      </c>
      <c r="G172" s="23" t="str">
        <f>IF($A172="","",'Item Balance'!$E171)</f>
        <v/>
      </c>
      <c r="H172" s="26" t="str">
        <f t="shared" si="5"/>
        <v/>
      </c>
      <c r="I172" s="20" t="str">
        <f>IF($A172="","",'Item Balance'!$D171)</f>
        <v/>
      </c>
      <c r="J172" s="31" t="str">
        <f>IF($A172="","",'Item Balance'!$P171)</f>
        <v/>
      </c>
    </row>
    <row r="173" spans="1:10" x14ac:dyDescent="0.35">
      <c r="A173" s="18" t="str">
        <f>IF('Item Balance'!$A172="","",'Item Balance'!$A172)</f>
        <v/>
      </c>
      <c r="B173" s="18" t="str">
        <f>IF($A173="","",'Item Balance'!$B172)</f>
        <v/>
      </c>
      <c r="C173" s="19" t="str">
        <f>IF($A173="","",'Item Balance'!$C172)</f>
        <v/>
      </c>
      <c r="D173" s="23" t="str">
        <f>IF($A173="","",'Item Balance'!$I172)</f>
        <v/>
      </c>
      <c r="E173" s="23" t="str">
        <f>IF($A173="","",'Item Balance'!$F172)</f>
        <v/>
      </c>
      <c r="F173" s="26" t="str">
        <f t="shared" si="4"/>
        <v/>
      </c>
      <c r="G173" s="23" t="str">
        <f>IF($A173="","",'Item Balance'!$E172)</f>
        <v/>
      </c>
      <c r="H173" s="26" t="str">
        <f t="shared" si="5"/>
        <v/>
      </c>
      <c r="I173" s="20" t="str">
        <f>IF($A173="","",'Item Balance'!$D172)</f>
        <v/>
      </c>
      <c r="J173" s="31" t="str">
        <f>IF($A173="","",'Item Balance'!$P172)</f>
        <v/>
      </c>
    </row>
    <row r="174" spans="1:10" x14ac:dyDescent="0.35">
      <c r="A174" s="18" t="str">
        <f>IF('Item Balance'!$A173="","",'Item Balance'!$A173)</f>
        <v/>
      </c>
      <c r="B174" s="18" t="str">
        <f>IF($A174="","",'Item Balance'!$B173)</f>
        <v/>
      </c>
      <c r="C174" s="19" t="str">
        <f>IF($A174="","",'Item Balance'!$C173)</f>
        <v/>
      </c>
      <c r="D174" s="23" t="str">
        <f>IF($A174="","",'Item Balance'!$I173)</f>
        <v/>
      </c>
      <c r="E174" s="23" t="str">
        <f>IF($A174="","",'Item Balance'!$F173)</f>
        <v/>
      </c>
      <c r="F174" s="26" t="str">
        <f t="shared" si="4"/>
        <v/>
      </c>
      <c r="G174" s="23" t="str">
        <f>IF($A174="","",'Item Balance'!$E173)</f>
        <v/>
      </c>
      <c r="H174" s="26" t="str">
        <f t="shared" si="5"/>
        <v/>
      </c>
      <c r="I174" s="20" t="str">
        <f>IF($A174="","",'Item Balance'!$D173)</f>
        <v/>
      </c>
      <c r="J174" s="31" t="str">
        <f>IF($A174="","",'Item Balance'!$P173)</f>
        <v/>
      </c>
    </row>
    <row r="175" spans="1:10" x14ac:dyDescent="0.35">
      <c r="A175" s="18" t="str">
        <f>IF('Item Balance'!$A174="","",'Item Balance'!$A174)</f>
        <v/>
      </c>
      <c r="B175" s="18" t="str">
        <f>IF($A175="","",'Item Balance'!$B174)</f>
        <v/>
      </c>
      <c r="C175" s="19" t="str">
        <f>IF($A175="","",'Item Balance'!$C174)</f>
        <v/>
      </c>
      <c r="D175" s="23" t="str">
        <f>IF($A175="","",'Item Balance'!$I174)</f>
        <v/>
      </c>
      <c r="E175" s="23" t="str">
        <f>IF($A175="","",'Item Balance'!$F174)</f>
        <v/>
      </c>
      <c r="F175" s="26" t="str">
        <f t="shared" si="4"/>
        <v/>
      </c>
      <c r="G175" s="23" t="str">
        <f>IF($A175="","",'Item Balance'!$E174)</f>
        <v/>
      </c>
      <c r="H175" s="26" t="str">
        <f t="shared" si="5"/>
        <v/>
      </c>
      <c r="I175" s="20" t="str">
        <f>IF($A175="","",'Item Balance'!$D174)</f>
        <v/>
      </c>
      <c r="J175" s="31" t="str">
        <f>IF($A175="","",'Item Balance'!$P174)</f>
        <v/>
      </c>
    </row>
    <row r="176" spans="1:10" x14ac:dyDescent="0.35">
      <c r="A176" s="18" t="str">
        <f>IF('Item Balance'!$A175="","",'Item Balance'!$A175)</f>
        <v/>
      </c>
      <c r="B176" s="18" t="str">
        <f>IF($A176="","",'Item Balance'!$B175)</f>
        <v/>
      </c>
      <c r="C176" s="19" t="str">
        <f>IF($A176="","",'Item Balance'!$C175)</f>
        <v/>
      </c>
      <c r="D176" s="23" t="str">
        <f>IF($A176="","",'Item Balance'!$I175)</f>
        <v/>
      </c>
      <c r="E176" s="23" t="str">
        <f>IF($A176="","",'Item Balance'!$F175)</f>
        <v/>
      </c>
      <c r="F176" s="26" t="str">
        <f t="shared" si="4"/>
        <v/>
      </c>
      <c r="G176" s="23" t="str">
        <f>IF($A176="","",'Item Balance'!$E175)</f>
        <v/>
      </c>
      <c r="H176" s="26" t="str">
        <f t="shared" si="5"/>
        <v/>
      </c>
      <c r="I176" s="20" t="str">
        <f>IF($A176="","",'Item Balance'!$D175)</f>
        <v/>
      </c>
      <c r="J176" s="31" t="str">
        <f>IF($A176="","",'Item Balance'!$P175)</f>
        <v/>
      </c>
    </row>
    <row r="177" spans="1:10" x14ac:dyDescent="0.35">
      <c r="A177" s="18" t="str">
        <f>IF('Item Balance'!$A176="","",'Item Balance'!$A176)</f>
        <v/>
      </c>
      <c r="B177" s="18" t="str">
        <f>IF($A177="","",'Item Balance'!$B176)</f>
        <v/>
      </c>
      <c r="C177" s="19" t="str">
        <f>IF($A177="","",'Item Balance'!$C176)</f>
        <v/>
      </c>
      <c r="D177" s="23" t="str">
        <f>IF($A177="","",'Item Balance'!$I176)</f>
        <v/>
      </c>
      <c r="E177" s="23" t="str">
        <f>IF($A177="","",'Item Balance'!$F176)</f>
        <v/>
      </c>
      <c r="F177" s="26" t="str">
        <f t="shared" si="4"/>
        <v/>
      </c>
      <c r="G177" s="23" t="str">
        <f>IF($A177="","",'Item Balance'!$E176)</f>
        <v/>
      </c>
      <c r="H177" s="26" t="str">
        <f t="shared" si="5"/>
        <v/>
      </c>
      <c r="I177" s="20" t="str">
        <f>IF($A177="","",'Item Balance'!$D176)</f>
        <v/>
      </c>
      <c r="J177" s="31" t="str">
        <f>IF($A177="","",'Item Balance'!$P176)</f>
        <v/>
      </c>
    </row>
    <row r="178" spans="1:10" x14ac:dyDescent="0.35">
      <c r="A178" s="18" t="str">
        <f>IF('Item Balance'!$A177="","",'Item Balance'!$A177)</f>
        <v/>
      </c>
      <c r="B178" s="18" t="str">
        <f>IF($A178="","",'Item Balance'!$B177)</f>
        <v/>
      </c>
      <c r="C178" s="19" t="str">
        <f>IF($A178="","",'Item Balance'!$C177)</f>
        <v/>
      </c>
      <c r="D178" s="23" t="str">
        <f>IF($A178="","",'Item Balance'!$I177)</f>
        <v/>
      </c>
      <c r="E178" s="23" t="str">
        <f>IF($A178="","",'Item Balance'!$F177)</f>
        <v/>
      </c>
      <c r="F178" s="26" t="str">
        <f t="shared" si="4"/>
        <v/>
      </c>
      <c r="G178" s="23" t="str">
        <f>IF($A178="","",'Item Balance'!$E177)</f>
        <v/>
      </c>
      <c r="H178" s="26" t="str">
        <f t="shared" si="5"/>
        <v/>
      </c>
      <c r="I178" s="20" t="str">
        <f>IF($A178="","",'Item Balance'!$D177)</f>
        <v/>
      </c>
      <c r="J178" s="31" t="str">
        <f>IF($A178="","",'Item Balance'!$P177)</f>
        <v/>
      </c>
    </row>
    <row r="179" spans="1:10" x14ac:dyDescent="0.35">
      <c r="A179" s="18" t="str">
        <f>IF('Item Balance'!$A178="","",'Item Balance'!$A178)</f>
        <v/>
      </c>
      <c r="B179" s="18" t="str">
        <f>IF($A179="","",'Item Balance'!$B178)</f>
        <v/>
      </c>
      <c r="C179" s="19" t="str">
        <f>IF($A179="","",'Item Balance'!$C178)</f>
        <v/>
      </c>
      <c r="D179" s="23" t="str">
        <f>IF($A179="","",'Item Balance'!$I178)</f>
        <v/>
      </c>
      <c r="E179" s="23" t="str">
        <f>IF($A179="","",'Item Balance'!$F178)</f>
        <v/>
      </c>
      <c r="F179" s="26" t="str">
        <f t="shared" si="4"/>
        <v/>
      </c>
      <c r="G179" s="23" t="str">
        <f>IF($A179="","",'Item Balance'!$E178)</f>
        <v/>
      </c>
      <c r="H179" s="26" t="str">
        <f t="shared" si="5"/>
        <v/>
      </c>
      <c r="I179" s="20" t="str">
        <f>IF($A179="","",'Item Balance'!$D178)</f>
        <v/>
      </c>
      <c r="J179" s="31" t="str">
        <f>IF($A179="","",'Item Balance'!$P178)</f>
        <v/>
      </c>
    </row>
    <row r="180" spans="1:10" x14ac:dyDescent="0.35">
      <c r="A180" s="18" t="str">
        <f>IF('Item Balance'!$A179="","",'Item Balance'!$A179)</f>
        <v/>
      </c>
      <c r="B180" s="18" t="str">
        <f>IF($A180="","",'Item Balance'!$B179)</f>
        <v/>
      </c>
      <c r="C180" s="19" t="str">
        <f>IF($A180="","",'Item Balance'!$C179)</f>
        <v/>
      </c>
      <c r="D180" s="23" t="str">
        <f>IF($A180="","",'Item Balance'!$I179)</f>
        <v/>
      </c>
      <c r="E180" s="23" t="str">
        <f>IF($A180="","",'Item Balance'!$F179)</f>
        <v/>
      </c>
      <c r="F180" s="26" t="str">
        <f t="shared" si="4"/>
        <v/>
      </c>
      <c r="G180" s="23" t="str">
        <f>IF($A180="","",'Item Balance'!$E179)</f>
        <v/>
      </c>
      <c r="H180" s="26" t="str">
        <f t="shared" si="5"/>
        <v/>
      </c>
      <c r="I180" s="20" t="str">
        <f>IF($A180="","",'Item Balance'!$D179)</f>
        <v/>
      </c>
      <c r="J180" s="31" t="str">
        <f>IF($A180="","",'Item Balance'!$P179)</f>
        <v/>
      </c>
    </row>
    <row r="181" spans="1:10" x14ac:dyDescent="0.35">
      <c r="A181" s="18" t="str">
        <f>IF('Item Balance'!$A180="","",'Item Balance'!$A180)</f>
        <v/>
      </c>
      <c r="B181" s="18" t="str">
        <f>IF($A181="","",'Item Balance'!$B180)</f>
        <v/>
      </c>
      <c r="C181" s="19" t="str">
        <f>IF($A181="","",'Item Balance'!$C180)</f>
        <v/>
      </c>
      <c r="D181" s="23" t="str">
        <f>IF($A181="","",'Item Balance'!$I180)</f>
        <v/>
      </c>
      <c r="E181" s="23" t="str">
        <f>IF($A181="","",'Item Balance'!$F180)</f>
        <v/>
      </c>
      <c r="F181" s="26" t="str">
        <f t="shared" si="4"/>
        <v/>
      </c>
      <c r="G181" s="23" t="str">
        <f>IF($A181="","",'Item Balance'!$E180)</f>
        <v/>
      </c>
      <c r="H181" s="26" t="str">
        <f t="shared" si="5"/>
        <v/>
      </c>
      <c r="I181" s="20" t="str">
        <f>IF($A181="","",'Item Balance'!$D180)</f>
        <v/>
      </c>
      <c r="J181" s="31" t="str">
        <f>IF($A181="","",'Item Balance'!$P180)</f>
        <v/>
      </c>
    </row>
    <row r="182" spans="1:10" x14ac:dyDescent="0.35">
      <c r="A182" s="18" t="str">
        <f>IF('Item Balance'!$A181="","",'Item Balance'!$A181)</f>
        <v/>
      </c>
      <c r="B182" s="18" t="str">
        <f>IF($A182="","",'Item Balance'!$B181)</f>
        <v/>
      </c>
      <c r="C182" s="19" t="str">
        <f>IF($A182="","",'Item Balance'!$C181)</f>
        <v/>
      </c>
      <c r="D182" s="23" t="str">
        <f>IF($A182="","",'Item Balance'!$I181)</f>
        <v/>
      </c>
      <c r="E182" s="23" t="str">
        <f>IF($A182="","",'Item Balance'!$F181)</f>
        <v/>
      </c>
      <c r="F182" s="26" t="str">
        <f t="shared" si="4"/>
        <v/>
      </c>
      <c r="G182" s="23" t="str">
        <f>IF($A182="","",'Item Balance'!$E181)</f>
        <v/>
      </c>
      <c r="H182" s="26" t="str">
        <f t="shared" si="5"/>
        <v/>
      </c>
      <c r="I182" s="20" t="str">
        <f>IF($A182="","",'Item Balance'!$D181)</f>
        <v/>
      </c>
      <c r="J182" s="31" t="str">
        <f>IF($A182="","",'Item Balance'!$P181)</f>
        <v/>
      </c>
    </row>
    <row r="183" spans="1:10" x14ac:dyDescent="0.35">
      <c r="A183" s="18" t="str">
        <f>IF('Item Balance'!$A182="","",'Item Balance'!$A182)</f>
        <v/>
      </c>
      <c r="B183" s="18" t="str">
        <f>IF($A183="","",'Item Balance'!$B182)</f>
        <v/>
      </c>
      <c r="C183" s="19" t="str">
        <f>IF($A183="","",'Item Balance'!$C182)</f>
        <v/>
      </c>
      <c r="D183" s="23" t="str">
        <f>IF($A183="","",'Item Balance'!$I182)</f>
        <v/>
      </c>
      <c r="E183" s="23" t="str">
        <f>IF($A183="","",'Item Balance'!$F182)</f>
        <v/>
      </c>
      <c r="F183" s="26" t="str">
        <f t="shared" si="4"/>
        <v/>
      </c>
      <c r="G183" s="23" t="str">
        <f>IF($A183="","",'Item Balance'!$E182)</f>
        <v/>
      </c>
      <c r="H183" s="26" t="str">
        <f t="shared" si="5"/>
        <v/>
      </c>
      <c r="I183" s="20" t="str">
        <f>IF($A183="","",'Item Balance'!$D182)</f>
        <v/>
      </c>
      <c r="J183" s="31" t="str">
        <f>IF($A183="","",'Item Balance'!$P182)</f>
        <v/>
      </c>
    </row>
    <row r="184" spans="1:10" x14ac:dyDescent="0.35">
      <c r="A184" s="18" t="str">
        <f>IF('Item Balance'!$A183="","",'Item Balance'!$A183)</f>
        <v/>
      </c>
      <c r="B184" s="18" t="str">
        <f>IF($A184="","",'Item Balance'!$B183)</f>
        <v/>
      </c>
      <c r="C184" s="19" t="str">
        <f>IF($A184="","",'Item Balance'!$C183)</f>
        <v/>
      </c>
      <c r="D184" s="23" t="str">
        <f>IF($A184="","",'Item Balance'!$I183)</f>
        <v/>
      </c>
      <c r="E184" s="23" t="str">
        <f>IF($A184="","",'Item Balance'!$F183)</f>
        <v/>
      </c>
      <c r="F184" s="26" t="str">
        <f t="shared" si="4"/>
        <v/>
      </c>
      <c r="G184" s="23" t="str">
        <f>IF($A184="","",'Item Balance'!$E183)</f>
        <v/>
      </c>
      <c r="H184" s="26" t="str">
        <f t="shared" si="5"/>
        <v/>
      </c>
      <c r="I184" s="20" t="str">
        <f>IF($A184="","",'Item Balance'!$D183)</f>
        <v/>
      </c>
      <c r="J184" s="31" t="str">
        <f>IF($A184="","",'Item Balance'!$P183)</f>
        <v/>
      </c>
    </row>
    <row r="185" spans="1:10" x14ac:dyDescent="0.35">
      <c r="A185" s="18" t="str">
        <f>IF('Item Balance'!$A184="","",'Item Balance'!$A184)</f>
        <v/>
      </c>
      <c r="B185" s="18" t="str">
        <f>IF($A185="","",'Item Balance'!$B184)</f>
        <v/>
      </c>
      <c r="C185" s="19" t="str">
        <f>IF($A185="","",'Item Balance'!$C184)</f>
        <v/>
      </c>
      <c r="D185" s="23" t="str">
        <f>IF($A185="","",'Item Balance'!$I184)</f>
        <v/>
      </c>
      <c r="E185" s="23" t="str">
        <f>IF($A185="","",'Item Balance'!$F184)</f>
        <v/>
      </c>
      <c r="F185" s="26" t="str">
        <f t="shared" si="4"/>
        <v/>
      </c>
      <c r="G185" s="23" t="str">
        <f>IF($A185="","",'Item Balance'!$E184)</f>
        <v/>
      </c>
      <c r="H185" s="26" t="str">
        <f t="shared" si="5"/>
        <v/>
      </c>
      <c r="I185" s="20" t="str">
        <f>IF($A185="","",'Item Balance'!$D184)</f>
        <v/>
      </c>
      <c r="J185" s="31" t="str">
        <f>IF($A185="","",'Item Balance'!$P184)</f>
        <v/>
      </c>
    </row>
    <row r="186" spans="1:10" x14ac:dyDescent="0.35">
      <c r="A186" s="18" t="str">
        <f>IF('Item Balance'!$A185="","",'Item Balance'!$A185)</f>
        <v/>
      </c>
      <c r="B186" s="18" t="str">
        <f>IF($A186="","",'Item Balance'!$B185)</f>
        <v/>
      </c>
      <c r="C186" s="19" t="str">
        <f>IF($A186="","",'Item Balance'!$C185)</f>
        <v/>
      </c>
      <c r="D186" s="23" t="str">
        <f>IF($A186="","",'Item Balance'!$I185)</f>
        <v/>
      </c>
      <c r="E186" s="23" t="str">
        <f>IF($A186="","",'Item Balance'!$F185)</f>
        <v/>
      </c>
      <c r="F186" s="26" t="str">
        <f t="shared" si="4"/>
        <v/>
      </c>
      <c r="G186" s="23" t="str">
        <f>IF($A186="","",'Item Balance'!$E185)</f>
        <v/>
      </c>
      <c r="H186" s="26" t="str">
        <f t="shared" si="5"/>
        <v/>
      </c>
      <c r="I186" s="20" t="str">
        <f>IF($A186="","",'Item Balance'!$D185)</f>
        <v/>
      </c>
      <c r="J186" s="31" t="str">
        <f>IF($A186="","",'Item Balance'!$P185)</f>
        <v/>
      </c>
    </row>
    <row r="187" spans="1:10" x14ac:dyDescent="0.35">
      <c r="A187" s="18" t="str">
        <f>IF('Item Balance'!$A186="","",'Item Balance'!$A186)</f>
        <v/>
      </c>
      <c r="B187" s="18" t="str">
        <f>IF($A187="","",'Item Balance'!$B186)</f>
        <v/>
      </c>
      <c r="C187" s="19" t="str">
        <f>IF($A187="","",'Item Balance'!$C186)</f>
        <v/>
      </c>
      <c r="D187" s="23" t="str">
        <f>IF($A187="","",'Item Balance'!$I186)</f>
        <v/>
      </c>
      <c r="E187" s="23" t="str">
        <f>IF($A187="","",'Item Balance'!$F186)</f>
        <v/>
      </c>
      <c r="F187" s="26" t="str">
        <f t="shared" si="4"/>
        <v/>
      </c>
      <c r="G187" s="23" t="str">
        <f>IF($A187="","",'Item Balance'!$E186)</f>
        <v/>
      </c>
      <c r="H187" s="26" t="str">
        <f t="shared" si="5"/>
        <v/>
      </c>
      <c r="I187" s="20" t="str">
        <f>IF($A187="","",'Item Balance'!$D186)</f>
        <v/>
      </c>
      <c r="J187" s="31" t="str">
        <f>IF($A187="","",'Item Balance'!$P186)</f>
        <v/>
      </c>
    </row>
    <row r="188" spans="1:10" x14ac:dyDescent="0.35">
      <c r="A188" s="18" t="str">
        <f>IF('Item Balance'!$A187="","",'Item Balance'!$A187)</f>
        <v/>
      </c>
      <c r="B188" s="18" t="str">
        <f>IF($A188="","",'Item Balance'!$B187)</f>
        <v/>
      </c>
      <c r="C188" s="19" t="str">
        <f>IF($A188="","",'Item Balance'!$C187)</f>
        <v/>
      </c>
      <c r="D188" s="23" t="str">
        <f>IF($A188="","",'Item Balance'!$I187)</f>
        <v/>
      </c>
      <c r="E188" s="23" t="str">
        <f>IF($A188="","",'Item Balance'!$F187)</f>
        <v/>
      </c>
      <c r="F188" s="26" t="str">
        <f t="shared" si="4"/>
        <v/>
      </c>
      <c r="G188" s="23" t="str">
        <f>IF($A188="","",'Item Balance'!$E187)</f>
        <v/>
      </c>
      <c r="H188" s="26" t="str">
        <f t="shared" si="5"/>
        <v/>
      </c>
      <c r="I188" s="20" t="str">
        <f>IF($A188="","",'Item Balance'!$D187)</f>
        <v/>
      </c>
      <c r="J188" s="31" t="str">
        <f>IF($A188="","",'Item Balance'!$P187)</f>
        <v/>
      </c>
    </row>
    <row r="189" spans="1:10" x14ac:dyDescent="0.35">
      <c r="A189" s="18" t="str">
        <f>IF('Item Balance'!$A188="","",'Item Balance'!$A188)</f>
        <v/>
      </c>
      <c r="B189" s="18" t="str">
        <f>IF($A189="","",'Item Balance'!$B188)</f>
        <v/>
      </c>
      <c r="C189" s="19" t="str">
        <f>IF($A189="","",'Item Balance'!$C188)</f>
        <v/>
      </c>
      <c r="D189" s="23" t="str">
        <f>IF($A189="","",'Item Balance'!$I188)</f>
        <v/>
      </c>
      <c r="E189" s="23" t="str">
        <f>IF($A189="","",'Item Balance'!$F188)</f>
        <v/>
      </c>
      <c r="F189" s="26" t="str">
        <f t="shared" si="4"/>
        <v/>
      </c>
      <c r="G189" s="23" t="str">
        <f>IF($A189="","",'Item Balance'!$E188)</f>
        <v/>
      </c>
      <c r="H189" s="26" t="str">
        <f t="shared" si="5"/>
        <v/>
      </c>
      <c r="I189" s="20" t="str">
        <f>IF($A189="","",'Item Balance'!$D188)</f>
        <v/>
      </c>
      <c r="J189" s="31" t="str">
        <f>IF($A189="","",'Item Balance'!$P188)</f>
        <v/>
      </c>
    </row>
    <row r="190" spans="1:10" x14ac:dyDescent="0.35">
      <c r="A190" s="18" t="str">
        <f>IF('Item Balance'!$A189="","",'Item Balance'!$A189)</f>
        <v/>
      </c>
      <c r="B190" s="18" t="str">
        <f>IF($A190="","",'Item Balance'!$B189)</f>
        <v/>
      </c>
      <c r="C190" s="19" t="str">
        <f>IF($A190="","",'Item Balance'!$C189)</f>
        <v/>
      </c>
      <c r="D190" s="23" t="str">
        <f>IF($A190="","",'Item Balance'!$I189)</f>
        <v/>
      </c>
      <c r="E190" s="23" t="str">
        <f>IF($A190="","",'Item Balance'!$F189)</f>
        <v/>
      </c>
      <c r="F190" s="26" t="str">
        <f t="shared" si="4"/>
        <v/>
      </c>
      <c r="G190" s="23" t="str">
        <f>IF($A190="","",'Item Balance'!$E189)</f>
        <v/>
      </c>
      <c r="H190" s="26" t="str">
        <f t="shared" si="5"/>
        <v/>
      </c>
      <c r="I190" s="20" t="str">
        <f>IF($A190="","",'Item Balance'!$D189)</f>
        <v/>
      </c>
      <c r="J190" s="31" t="str">
        <f>IF($A190="","",'Item Balance'!$P189)</f>
        <v/>
      </c>
    </row>
    <row r="191" spans="1:10" x14ac:dyDescent="0.35">
      <c r="A191" s="18" t="str">
        <f>IF('Item Balance'!$A190="","",'Item Balance'!$A190)</f>
        <v/>
      </c>
      <c r="B191" s="18" t="str">
        <f>IF($A191="","",'Item Balance'!$B190)</f>
        <v/>
      </c>
      <c r="C191" s="19" t="str">
        <f>IF($A191="","",'Item Balance'!$C190)</f>
        <v/>
      </c>
      <c r="D191" s="23" t="str">
        <f>IF($A191="","",'Item Balance'!$I190)</f>
        <v/>
      </c>
      <c r="E191" s="23" t="str">
        <f>IF($A191="","",'Item Balance'!$F190)</f>
        <v/>
      </c>
      <c r="F191" s="26" t="str">
        <f t="shared" si="4"/>
        <v/>
      </c>
      <c r="G191" s="23" t="str">
        <f>IF($A191="","",'Item Balance'!$E190)</f>
        <v/>
      </c>
      <c r="H191" s="26" t="str">
        <f t="shared" si="5"/>
        <v/>
      </c>
      <c r="I191" s="20" t="str">
        <f>IF($A191="","",'Item Balance'!$D190)</f>
        <v/>
      </c>
      <c r="J191" s="31" t="str">
        <f>IF($A191="","",'Item Balance'!$P190)</f>
        <v/>
      </c>
    </row>
    <row r="192" spans="1:10" x14ac:dyDescent="0.35">
      <c r="A192" s="18" t="str">
        <f>IF('Item Balance'!$A191="","",'Item Balance'!$A191)</f>
        <v/>
      </c>
      <c r="B192" s="18" t="str">
        <f>IF($A192="","",'Item Balance'!$B191)</f>
        <v/>
      </c>
      <c r="C192" s="19" t="str">
        <f>IF($A192="","",'Item Balance'!$C191)</f>
        <v/>
      </c>
      <c r="D192" s="23" t="str">
        <f>IF($A192="","",'Item Balance'!$I191)</f>
        <v/>
      </c>
      <c r="E192" s="23" t="str">
        <f>IF($A192="","",'Item Balance'!$F191)</f>
        <v/>
      </c>
      <c r="F192" s="26" t="str">
        <f t="shared" si="4"/>
        <v/>
      </c>
      <c r="G192" s="23" t="str">
        <f>IF($A192="","",'Item Balance'!$E191)</f>
        <v/>
      </c>
      <c r="H192" s="26" t="str">
        <f t="shared" si="5"/>
        <v/>
      </c>
      <c r="I192" s="20" t="str">
        <f>IF($A192="","",'Item Balance'!$D191)</f>
        <v/>
      </c>
      <c r="J192" s="31" t="str">
        <f>IF($A192="","",'Item Balance'!$P191)</f>
        <v/>
      </c>
    </row>
    <row r="193" spans="1:10" x14ac:dyDescent="0.35">
      <c r="A193" s="18" t="str">
        <f>IF('Item Balance'!$A192="","",'Item Balance'!$A192)</f>
        <v/>
      </c>
      <c r="B193" s="18" t="str">
        <f>IF($A193="","",'Item Balance'!$B192)</f>
        <v/>
      </c>
      <c r="C193" s="19" t="str">
        <f>IF($A193="","",'Item Balance'!$C192)</f>
        <v/>
      </c>
      <c r="D193" s="23" t="str">
        <f>IF($A193="","",'Item Balance'!$I192)</f>
        <v/>
      </c>
      <c r="E193" s="23" t="str">
        <f>IF($A193="","",'Item Balance'!$F192)</f>
        <v/>
      </c>
      <c r="F193" s="26" t="str">
        <f t="shared" si="4"/>
        <v/>
      </c>
      <c r="G193" s="23" t="str">
        <f>IF($A193="","",'Item Balance'!$E192)</f>
        <v/>
      </c>
      <c r="H193" s="26" t="str">
        <f t="shared" si="5"/>
        <v/>
      </c>
      <c r="I193" s="20" t="str">
        <f>IF($A193="","",'Item Balance'!$D192)</f>
        <v/>
      </c>
      <c r="J193" s="31" t="str">
        <f>IF($A193="","",'Item Balance'!$P192)</f>
        <v/>
      </c>
    </row>
    <row r="194" spans="1:10" x14ac:dyDescent="0.35">
      <c r="A194" s="18" t="str">
        <f>IF('Item Balance'!$A193="","",'Item Balance'!$A193)</f>
        <v/>
      </c>
      <c r="B194" s="18" t="str">
        <f>IF($A194="","",'Item Balance'!$B193)</f>
        <v/>
      </c>
      <c r="C194" s="19" t="str">
        <f>IF($A194="","",'Item Balance'!$C193)</f>
        <v/>
      </c>
      <c r="D194" s="23" t="str">
        <f>IF($A194="","",'Item Balance'!$I193)</f>
        <v/>
      </c>
      <c r="E194" s="23" t="str">
        <f>IF($A194="","",'Item Balance'!$F193)</f>
        <v/>
      </c>
      <c r="F194" s="26" t="str">
        <f t="shared" si="4"/>
        <v/>
      </c>
      <c r="G194" s="23" t="str">
        <f>IF($A194="","",'Item Balance'!$E193)</f>
        <v/>
      </c>
      <c r="H194" s="26" t="str">
        <f t="shared" si="5"/>
        <v/>
      </c>
      <c r="I194" s="20" t="str">
        <f>IF($A194="","",'Item Balance'!$D193)</f>
        <v/>
      </c>
      <c r="J194" s="31" t="str">
        <f>IF($A194="","",'Item Balance'!$P193)</f>
        <v/>
      </c>
    </row>
    <row r="195" spans="1:10" x14ac:dyDescent="0.35">
      <c r="A195" s="18" t="str">
        <f>IF('Item Balance'!$A194="","",'Item Balance'!$A194)</f>
        <v/>
      </c>
      <c r="B195" s="18" t="str">
        <f>IF($A195="","",'Item Balance'!$B194)</f>
        <v/>
      </c>
      <c r="C195" s="19" t="str">
        <f>IF($A195="","",'Item Balance'!$C194)</f>
        <v/>
      </c>
      <c r="D195" s="23" t="str">
        <f>IF($A195="","",'Item Balance'!$I194)</f>
        <v/>
      </c>
      <c r="E195" s="23" t="str">
        <f>IF($A195="","",'Item Balance'!$F194)</f>
        <v/>
      </c>
      <c r="F195" s="26" t="str">
        <f t="shared" si="4"/>
        <v/>
      </c>
      <c r="G195" s="23" t="str">
        <f>IF($A195="","",'Item Balance'!$E194)</f>
        <v/>
      </c>
      <c r="H195" s="26" t="str">
        <f t="shared" si="5"/>
        <v/>
      </c>
      <c r="I195" s="20" t="str">
        <f>IF($A195="","",'Item Balance'!$D194)</f>
        <v/>
      </c>
      <c r="J195" s="31" t="str">
        <f>IF($A195="","",'Item Balance'!$P194)</f>
        <v/>
      </c>
    </row>
    <row r="196" spans="1:10" x14ac:dyDescent="0.35">
      <c r="A196" s="18" t="str">
        <f>IF('Item Balance'!$A195="","",'Item Balance'!$A195)</f>
        <v/>
      </c>
      <c r="B196" s="18" t="str">
        <f>IF($A196="","",'Item Balance'!$B195)</f>
        <v/>
      </c>
      <c r="C196" s="19" t="str">
        <f>IF($A196="","",'Item Balance'!$C195)</f>
        <v/>
      </c>
      <c r="D196" s="23" t="str">
        <f>IF($A196="","",'Item Balance'!$I195)</f>
        <v/>
      </c>
      <c r="E196" s="23" t="str">
        <f>IF($A196="","",'Item Balance'!$F195)</f>
        <v/>
      </c>
      <c r="F196" s="26" t="str">
        <f t="shared" si="4"/>
        <v/>
      </c>
      <c r="G196" s="23" t="str">
        <f>IF($A196="","",'Item Balance'!$E195)</f>
        <v/>
      </c>
      <c r="H196" s="26" t="str">
        <f t="shared" si="5"/>
        <v/>
      </c>
      <c r="I196" s="20" t="str">
        <f>IF($A196="","",'Item Balance'!$D195)</f>
        <v/>
      </c>
      <c r="J196" s="31" t="str">
        <f>IF($A196="","",'Item Balance'!$P195)</f>
        <v/>
      </c>
    </row>
    <row r="197" spans="1:10" x14ac:dyDescent="0.35">
      <c r="A197" s="18" t="str">
        <f>IF('Item Balance'!$A196="","",'Item Balance'!$A196)</f>
        <v/>
      </c>
      <c r="B197" s="18" t="str">
        <f>IF($A197="","",'Item Balance'!$B196)</f>
        <v/>
      </c>
      <c r="C197" s="19" t="str">
        <f>IF($A197="","",'Item Balance'!$C196)</f>
        <v/>
      </c>
      <c r="D197" s="23" t="str">
        <f>IF($A197="","",'Item Balance'!$I196)</f>
        <v/>
      </c>
      <c r="E197" s="23" t="str">
        <f>IF($A197="","",'Item Balance'!$F196)</f>
        <v/>
      </c>
      <c r="F197" s="26" t="str">
        <f t="shared" si="4"/>
        <v/>
      </c>
      <c r="G197" s="23" t="str">
        <f>IF($A197="","",'Item Balance'!$E196)</f>
        <v/>
      </c>
      <c r="H197" s="26" t="str">
        <f t="shared" si="5"/>
        <v/>
      </c>
      <c r="I197" s="20" t="str">
        <f>IF($A197="","",'Item Balance'!$D196)</f>
        <v/>
      </c>
      <c r="J197" s="31" t="str">
        <f>IF($A197="","",'Item Balance'!$P196)</f>
        <v/>
      </c>
    </row>
    <row r="198" spans="1:10" x14ac:dyDescent="0.35">
      <c r="A198" s="18" t="str">
        <f>IF('Item Balance'!$A197="","",'Item Balance'!$A197)</f>
        <v/>
      </c>
      <c r="B198" s="18" t="str">
        <f>IF($A198="","",'Item Balance'!$B197)</f>
        <v/>
      </c>
      <c r="C198" s="19" t="str">
        <f>IF($A198="","",'Item Balance'!$C197)</f>
        <v/>
      </c>
      <c r="D198" s="23" t="str">
        <f>IF($A198="","",'Item Balance'!$I197)</f>
        <v/>
      </c>
      <c r="E198" s="23" t="str">
        <f>IF($A198="","",'Item Balance'!$F197)</f>
        <v/>
      </c>
      <c r="F198" s="26" t="str">
        <f t="shared" ref="F198:F261" si="6">IF(OR($A198="",NOT(ISNUMBER($E198)),NOT(ISNUMBER($D198))),"",MAX(0,$E198-$D198))</f>
        <v/>
      </c>
      <c r="G198" s="23" t="str">
        <f>IF($A198="","",'Item Balance'!$E197)</f>
        <v/>
      </c>
      <c r="H198" s="26" t="str">
        <f t="shared" ref="H198:H261" si="7">IF(OR($A198="",NOT(ISNUMBER($G198)),$G198=0,NOT(ISNUMBER($D198))),"",ROUNDDOWN($D198/$G198,0))</f>
        <v/>
      </c>
      <c r="I198" s="20" t="str">
        <f>IF($A198="","",'Item Balance'!$D197)</f>
        <v/>
      </c>
      <c r="J198" s="31" t="str">
        <f>IF($A198="","",'Item Balance'!$P197)</f>
        <v/>
      </c>
    </row>
    <row r="199" spans="1:10" x14ac:dyDescent="0.35">
      <c r="A199" s="18" t="str">
        <f>IF('Item Balance'!$A198="","",'Item Balance'!$A198)</f>
        <v/>
      </c>
      <c r="B199" s="18" t="str">
        <f>IF($A199="","",'Item Balance'!$B198)</f>
        <v/>
      </c>
      <c r="C199" s="19" t="str">
        <f>IF($A199="","",'Item Balance'!$C198)</f>
        <v/>
      </c>
      <c r="D199" s="23" t="str">
        <f>IF($A199="","",'Item Balance'!$I198)</f>
        <v/>
      </c>
      <c r="E199" s="23" t="str">
        <f>IF($A199="","",'Item Balance'!$F198)</f>
        <v/>
      </c>
      <c r="F199" s="26" t="str">
        <f t="shared" si="6"/>
        <v/>
      </c>
      <c r="G199" s="23" t="str">
        <f>IF($A199="","",'Item Balance'!$E198)</f>
        <v/>
      </c>
      <c r="H199" s="26" t="str">
        <f t="shared" si="7"/>
        <v/>
      </c>
      <c r="I199" s="20" t="str">
        <f>IF($A199="","",'Item Balance'!$D198)</f>
        <v/>
      </c>
      <c r="J199" s="31" t="str">
        <f>IF($A199="","",'Item Balance'!$P198)</f>
        <v/>
      </c>
    </row>
    <row r="200" spans="1:10" x14ac:dyDescent="0.35">
      <c r="A200" s="18" t="str">
        <f>IF('Item Balance'!$A199="","",'Item Balance'!$A199)</f>
        <v/>
      </c>
      <c r="B200" s="18" t="str">
        <f>IF($A200="","",'Item Balance'!$B199)</f>
        <v/>
      </c>
      <c r="C200" s="19" t="str">
        <f>IF($A200="","",'Item Balance'!$C199)</f>
        <v/>
      </c>
      <c r="D200" s="23" t="str">
        <f>IF($A200="","",'Item Balance'!$I199)</f>
        <v/>
      </c>
      <c r="E200" s="23" t="str">
        <f>IF($A200="","",'Item Balance'!$F199)</f>
        <v/>
      </c>
      <c r="F200" s="26" t="str">
        <f t="shared" si="6"/>
        <v/>
      </c>
      <c r="G200" s="23" t="str">
        <f>IF($A200="","",'Item Balance'!$E199)</f>
        <v/>
      </c>
      <c r="H200" s="26" t="str">
        <f t="shared" si="7"/>
        <v/>
      </c>
      <c r="I200" s="20" t="str">
        <f>IF($A200="","",'Item Balance'!$D199)</f>
        <v/>
      </c>
      <c r="J200" s="31" t="str">
        <f>IF($A200="","",'Item Balance'!$P199)</f>
        <v/>
      </c>
    </row>
    <row r="201" spans="1:10" x14ac:dyDescent="0.35">
      <c r="A201" s="18" t="str">
        <f>IF('Item Balance'!$A200="","",'Item Balance'!$A200)</f>
        <v/>
      </c>
      <c r="B201" s="18" t="str">
        <f>IF($A201="","",'Item Balance'!$B200)</f>
        <v/>
      </c>
      <c r="C201" s="19" t="str">
        <f>IF($A201="","",'Item Balance'!$C200)</f>
        <v/>
      </c>
      <c r="D201" s="23" t="str">
        <f>IF($A201="","",'Item Balance'!$I200)</f>
        <v/>
      </c>
      <c r="E201" s="23" t="str">
        <f>IF($A201="","",'Item Balance'!$F200)</f>
        <v/>
      </c>
      <c r="F201" s="26" t="str">
        <f t="shared" si="6"/>
        <v/>
      </c>
      <c r="G201" s="23" t="str">
        <f>IF($A201="","",'Item Balance'!$E200)</f>
        <v/>
      </c>
      <c r="H201" s="26" t="str">
        <f t="shared" si="7"/>
        <v/>
      </c>
      <c r="I201" s="20" t="str">
        <f>IF($A201="","",'Item Balance'!$D200)</f>
        <v/>
      </c>
      <c r="J201" s="31" t="str">
        <f>IF($A201="","",'Item Balance'!$P200)</f>
        <v/>
      </c>
    </row>
    <row r="202" spans="1:10" x14ac:dyDescent="0.35">
      <c r="A202" s="18" t="str">
        <f>IF('Item Balance'!$A201="","",'Item Balance'!$A201)</f>
        <v/>
      </c>
      <c r="B202" s="18" t="str">
        <f>IF($A202="","",'Item Balance'!$B201)</f>
        <v/>
      </c>
      <c r="C202" s="19" t="str">
        <f>IF($A202="","",'Item Balance'!$C201)</f>
        <v/>
      </c>
      <c r="D202" s="23" t="str">
        <f>IF($A202="","",'Item Balance'!$I201)</f>
        <v/>
      </c>
      <c r="E202" s="23" t="str">
        <f>IF($A202="","",'Item Balance'!$F201)</f>
        <v/>
      </c>
      <c r="F202" s="26" t="str">
        <f t="shared" si="6"/>
        <v/>
      </c>
      <c r="G202" s="23" t="str">
        <f>IF($A202="","",'Item Balance'!$E201)</f>
        <v/>
      </c>
      <c r="H202" s="26" t="str">
        <f t="shared" si="7"/>
        <v/>
      </c>
      <c r="I202" s="20" t="str">
        <f>IF($A202="","",'Item Balance'!$D201)</f>
        <v/>
      </c>
      <c r="J202" s="31" t="str">
        <f>IF($A202="","",'Item Balance'!$P201)</f>
        <v/>
      </c>
    </row>
    <row r="203" spans="1:10" x14ac:dyDescent="0.35">
      <c r="A203" s="18" t="str">
        <f>IF('Item Balance'!$A202="","",'Item Balance'!$A202)</f>
        <v/>
      </c>
      <c r="B203" s="18" t="str">
        <f>IF($A203="","",'Item Balance'!$B202)</f>
        <v/>
      </c>
      <c r="C203" s="19" t="str">
        <f>IF($A203="","",'Item Balance'!$C202)</f>
        <v/>
      </c>
      <c r="D203" s="23" t="str">
        <f>IF($A203="","",'Item Balance'!$I202)</f>
        <v/>
      </c>
      <c r="E203" s="23" t="str">
        <f>IF($A203="","",'Item Balance'!$F202)</f>
        <v/>
      </c>
      <c r="F203" s="26" t="str">
        <f t="shared" si="6"/>
        <v/>
      </c>
      <c r="G203" s="23" t="str">
        <f>IF($A203="","",'Item Balance'!$E202)</f>
        <v/>
      </c>
      <c r="H203" s="26" t="str">
        <f t="shared" si="7"/>
        <v/>
      </c>
      <c r="I203" s="20" t="str">
        <f>IF($A203="","",'Item Balance'!$D202)</f>
        <v/>
      </c>
      <c r="J203" s="31" t="str">
        <f>IF($A203="","",'Item Balance'!$P202)</f>
        <v/>
      </c>
    </row>
    <row r="204" spans="1:10" x14ac:dyDescent="0.35">
      <c r="A204" s="18" t="str">
        <f>IF('Item Balance'!$A203="","",'Item Balance'!$A203)</f>
        <v/>
      </c>
      <c r="B204" s="18" t="str">
        <f>IF($A204="","",'Item Balance'!$B203)</f>
        <v/>
      </c>
      <c r="C204" s="19" t="str">
        <f>IF($A204="","",'Item Balance'!$C203)</f>
        <v/>
      </c>
      <c r="D204" s="23" t="str">
        <f>IF($A204="","",'Item Balance'!$I203)</f>
        <v/>
      </c>
      <c r="E204" s="23" t="str">
        <f>IF($A204="","",'Item Balance'!$F203)</f>
        <v/>
      </c>
      <c r="F204" s="26" t="str">
        <f t="shared" si="6"/>
        <v/>
      </c>
      <c r="G204" s="23" t="str">
        <f>IF($A204="","",'Item Balance'!$E203)</f>
        <v/>
      </c>
      <c r="H204" s="26" t="str">
        <f t="shared" si="7"/>
        <v/>
      </c>
      <c r="I204" s="20" t="str">
        <f>IF($A204="","",'Item Balance'!$D203)</f>
        <v/>
      </c>
      <c r="J204" s="31" t="str">
        <f>IF($A204="","",'Item Balance'!$P203)</f>
        <v/>
      </c>
    </row>
    <row r="205" spans="1:10" x14ac:dyDescent="0.35">
      <c r="A205" s="18" t="str">
        <f>IF('Item Balance'!$A204="","",'Item Balance'!$A204)</f>
        <v/>
      </c>
      <c r="B205" s="18" t="str">
        <f>IF($A205="","",'Item Balance'!$B204)</f>
        <v/>
      </c>
      <c r="C205" s="19" t="str">
        <f>IF($A205="","",'Item Balance'!$C204)</f>
        <v/>
      </c>
      <c r="D205" s="23" t="str">
        <f>IF($A205="","",'Item Balance'!$I204)</f>
        <v/>
      </c>
      <c r="E205" s="23" t="str">
        <f>IF($A205="","",'Item Balance'!$F204)</f>
        <v/>
      </c>
      <c r="F205" s="26" t="str">
        <f t="shared" si="6"/>
        <v/>
      </c>
      <c r="G205" s="23" t="str">
        <f>IF($A205="","",'Item Balance'!$E204)</f>
        <v/>
      </c>
      <c r="H205" s="26" t="str">
        <f t="shared" si="7"/>
        <v/>
      </c>
      <c r="I205" s="20" t="str">
        <f>IF($A205="","",'Item Balance'!$D204)</f>
        <v/>
      </c>
      <c r="J205" s="31" t="str">
        <f>IF($A205="","",'Item Balance'!$P204)</f>
        <v/>
      </c>
    </row>
    <row r="206" spans="1:10" x14ac:dyDescent="0.35">
      <c r="A206" s="18" t="str">
        <f>IF('Item Balance'!$A205="","",'Item Balance'!$A205)</f>
        <v/>
      </c>
      <c r="B206" s="18" t="str">
        <f>IF($A206="","",'Item Balance'!$B205)</f>
        <v/>
      </c>
      <c r="C206" s="19" t="str">
        <f>IF($A206="","",'Item Balance'!$C205)</f>
        <v/>
      </c>
      <c r="D206" s="23" t="str">
        <f>IF($A206="","",'Item Balance'!$I205)</f>
        <v/>
      </c>
      <c r="E206" s="23" t="str">
        <f>IF($A206="","",'Item Balance'!$F205)</f>
        <v/>
      </c>
      <c r="F206" s="26" t="str">
        <f t="shared" si="6"/>
        <v/>
      </c>
      <c r="G206" s="23" t="str">
        <f>IF($A206="","",'Item Balance'!$E205)</f>
        <v/>
      </c>
      <c r="H206" s="26" t="str">
        <f t="shared" si="7"/>
        <v/>
      </c>
      <c r="I206" s="20" t="str">
        <f>IF($A206="","",'Item Balance'!$D205)</f>
        <v/>
      </c>
      <c r="J206" s="31" t="str">
        <f>IF($A206="","",'Item Balance'!$P205)</f>
        <v/>
      </c>
    </row>
    <row r="207" spans="1:10" x14ac:dyDescent="0.35">
      <c r="A207" s="18" t="str">
        <f>IF('Item Balance'!$A206="","",'Item Balance'!$A206)</f>
        <v/>
      </c>
      <c r="B207" s="18" t="str">
        <f>IF($A207="","",'Item Balance'!$B206)</f>
        <v/>
      </c>
      <c r="C207" s="19" t="str">
        <f>IF($A207="","",'Item Balance'!$C206)</f>
        <v/>
      </c>
      <c r="D207" s="23" t="str">
        <f>IF($A207="","",'Item Balance'!$I206)</f>
        <v/>
      </c>
      <c r="E207" s="23" t="str">
        <f>IF($A207="","",'Item Balance'!$F206)</f>
        <v/>
      </c>
      <c r="F207" s="26" t="str">
        <f t="shared" si="6"/>
        <v/>
      </c>
      <c r="G207" s="23" t="str">
        <f>IF($A207="","",'Item Balance'!$E206)</f>
        <v/>
      </c>
      <c r="H207" s="26" t="str">
        <f t="shared" si="7"/>
        <v/>
      </c>
      <c r="I207" s="20" t="str">
        <f>IF($A207="","",'Item Balance'!$D206)</f>
        <v/>
      </c>
      <c r="J207" s="31" t="str">
        <f>IF($A207="","",'Item Balance'!$P206)</f>
        <v/>
      </c>
    </row>
    <row r="208" spans="1:10" x14ac:dyDescent="0.35">
      <c r="A208" s="18" t="str">
        <f>IF('Item Balance'!$A207="","",'Item Balance'!$A207)</f>
        <v/>
      </c>
      <c r="B208" s="18" t="str">
        <f>IF($A208="","",'Item Balance'!$B207)</f>
        <v/>
      </c>
      <c r="C208" s="19" t="str">
        <f>IF($A208="","",'Item Balance'!$C207)</f>
        <v/>
      </c>
      <c r="D208" s="23" t="str">
        <f>IF($A208="","",'Item Balance'!$I207)</f>
        <v/>
      </c>
      <c r="E208" s="23" t="str">
        <f>IF($A208="","",'Item Balance'!$F207)</f>
        <v/>
      </c>
      <c r="F208" s="26" t="str">
        <f t="shared" si="6"/>
        <v/>
      </c>
      <c r="G208" s="23" t="str">
        <f>IF($A208="","",'Item Balance'!$E207)</f>
        <v/>
      </c>
      <c r="H208" s="26" t="str">
        <f t="shared" si="7"/>
        <v/>
      </c>
      <c r="I208" s="20" t="str">
        <f>IF($A208="","",'Item Balance'!$D207)</f>
        <v/>
      </c>
      <c r="J208" s="31" t="str">
        <f>IF($A208="","",'Item Balance'!$P207)</f>
        <v/>
      </c>
    </row>
    <row r="209" spans="1:10" x14ac:dyDescent="0.35">
      <c r="A209" s="18" t="str">
        <f>IF('Item Balance'!$A208="","",'Item Balance'!$A208)</f>
        <v/>
      </c>
      <c r="B209" s="18" t="str">
        <f>IF($A209="","",'Item Balance'!$B208)</f>
        <v/>
      </c>
      <c r="C209" s="19" t="str">
        <f>IF($A209="","",'Item Balance'!$C208)</f>
        <v/>
      </c>
      <c r="D209" s="23" t="str">
        <f>IF($A209="","",'Item Balance'!$I208)</f>
        <v/>
      </c>
      <c r="E209" s="23" t="str">
        <f>IF($A209="","",'Item Balance'!$F208)</f>
        <v/>
      </c>
      <c r="F209" s="26" t="str">
        <f t="shared" si="6"/>
        <v/>
      </c>
      <c r="G209" s="23" t="str">
        <f>IF($A209="","",'Item Balance'!$E208)</f>
        <v/>
      </c>
      <c r="H209" s="26" t="str">
        <f t="shared" si="7"/>
        <v/>
      </c>
      <c r="I209" s="20" t="str">
        <f>IF($A209="","",'Item Balance'!$D208)</f>
        <v/>
      </c>
      <c r="J209" s="31" t="str">
        <f>IF($A209="","",'Item Balance'!$P208)</f>
        <v/>
      </c>
    </row>
    <row r="210" spans="1:10" x14ac:dyDescent="0.35">
      <c r="A210" s="18" t="str">
        <f>IF('Item Balance'!$A209="","",'Item Balance'!$A209)</f>
        <v/>
      </c>
      <c r="B210" s="18" t="str">
        <f>IF($A210="","",'Item Balance'!$B209)</f>
        <v/>
      </c>
      <c r="C210" s="19" t="str">
        <f>IF($A210="","",'Item Balance'!$C209)</f>
        <v/>
      </c>
      <c r="D210" s="23" t="str">
        <f>IF($A210="","",'Item Balance'!$I209)</f>
        <v/>
      </c>
      <c r="E210" s="23" t="str">
        <f>IF($A210="","",'Item Balance'!$F209)</f>
        <v/>
      </c>
      <c r="F210" s="26" t="str">
        <f t="shared" si="6"/>
        <v/>
      </c>
      <c r="G210" s="23" t="str">
        <f>IF($A210="","",'Item Balance'!$E209)</f>
        <v/>
      </c>
      <c r="H210" s="26" t="str">
        <f t="shared" si="7"/>
        <v/>
      </c>
      <c r="I210" s="20" t="str">
        <f>IF($A210="","",'Item Balance'!$D209)</f>
        <v/>
      </c>
      <c r="J210" s="31" t="str">
        <f>IF($A210="","",'Item Balance'!$P209)</f>
        <v/>
      </c>
    </row>
    <row r="211" spans="1:10" x14ac:dyDescent="0.35">
      <c r="A211" s="18" t="str">
        <f>IF('Item Balance'!$A210="","",'Item Balance'!$A210)</f>
        <v/>
      </c>
      <c r="B211" s="18" t="str">
        <f>IF($A211="","",'Item Balance'!$B210)</f>
        <v/>
      </c>
      <c r="C211" s="19" t="str">
        <f>IF($A211="","",'Item Balance'!$C210)</f>
        <v/>
      </c>
      <c r="D211" s="23" t="str">
        <f>IF($A211="","",'Item Balance'!$I210)</f>
        <v/>
      </c>
      <c r="E211" s="23" t="str">
        <f>IF($A211="","",'Item Balance'!$F210)</f>
        <v/>
      </c>
      <c r="F211" s="26" t="str">
        <f t="shared" si="6"/>
        <v/>
      </c>
      <c r="G211" s="23" t="str">
        <f>IF($A211="","",'Item Balance'!$E210)</f>
        <v/>
      </c>
      <c r="H211" s="26" t="str">
        <f t="shared" si="7"/>
        <v/>
      </c>
      <c r="I211" s="20" t="str">
        <f>IF($A211="","",'Item Balance'!$D210)</f>
        <v/>
      </c>
      <c r="J211" s="31" t="str">
        <f>IF($A211="","",'Item Balance'!$P210)</f>
        <v/>
      </c>
    </row>
    <row r="212" spans="1:10" x14ac:dyDescent="0.35">
      <c r="A212" s="18" t="str">
        <f>IF('Item Balance'!$A211="","",'Item Balance'!$A211)</f>
        <v/>
      </c>
      <c r="B212" s="18" t="str">
        <f>IF($A212="","",'Item Balance'!$B211)</f>
        <v/>
      </c>
      <c r="C212" s="19" t="str">
        <f>IF($A212="","",'Item Balance'!$C211)</f>
        <v/>
      </c>
      <c r="D212" s="23" t="str">
        <f>IF($A212="","",'Item Balance'!$I211)</f>
        <v/>
      </c>
      <c r="E212" s="23" t="str">
        <f>IF($A212="","",'Item Balance'!$F211)</f>
        <v/>
      </c>
      <c r="F212" s="26" t="str">
        <f t="shared" si="6"/>
        <v/>
      </c>
      <c r="G212" s="23" t="str">
        <f>IF($A212="","",'Item Balance'!$E211)</f>
        <v/>
      </c>
      <c r="H212" s="26" t="str">
        <f t="shared" si="7"/>
        <v/>
      </c>
      <c r="I212" s="20" t="str">
        <f>IF($A212="","",'Item Balance'!$D211)</f>
        <v/>
      </c>
      <c r="J212" s="31" t="str">
        <f>IF($A212="","",'Item Balance'!$P211)</f>
        <v/>
      </c>
    </row>
    <row r="213" spans="1:10" x14ac:dyDescent="0.35">
      <c r="A213" s="18" t="str">
        <f>IF('Item Balance'!$A212="","",'Item Balance'!$A212)</f>
        <v/>
      </c>
      <c r="B213" s="18" t="str">
        <f>IF($A213="","",'Item Balance'!$B212)</f>
        <v/>
      </c>
      <c r="C213" s="19" t="str">
        <f>IF($A213="","",'Item Balance'!$C212)</f>
        <v/>
      </c>
      <c r="D213" s="23" t="str">
        <f>IF($A213="","",'Item Balance'!$I212)</f>
        <v/>
      </c>
      <c r="E213" s="23" t="str">
        <f>IF($A213="","",'Item Balance'!$F212)</f>
        <v/>
      </c>
      <c r="F213" s="26" t="str">
        <f t="shared" si="6"/>
        <v/>
      </c>
      <c r="G213" s="23" t="str">
        <f>IF($A213="","",'Item Balance'!$E212)</f>
        <v/>
      </c>
      <c r="H213" s="26" t="str">
        <f t="shared" si="7"/>
        <v/>
      </c>
      <c r="I213" s="20" t="str">
        <f>IF($A213="","",'Item Balance'!$D212)</f>
        <v/>
      </c>
      <c r="J213" s="31" t="str">
        <f>IF($A213="","",'Item Balance'!$P212)</f>
        <v/>
      </c>
    </row>
    <row r="214" spans="1:10" x14ac:dyDescent="0.35">
      <c r="A214" s="18" t="str">
        <f>IF('Item Balance'!$A213="","",'Item Balance'!$A213)</f>
        <v/>
      </c>
      <c r="B214" s="18" t="str">
        <f>IF($A214="","",'Item Balance'!$B213)</f>
        <v/>
      </c>
      <c r="C214" s="19" t="str">
        <f>IF($A214="","",'Item Balance'!$C213)</f>
        <v/>
      </c>
      <c r="D214" s="23" t="str">
        <f>IF($A214="","",'Item Balance'!$I213)</f>
        <v/>
      </c>
      <c r="E214" s="23" t="str">
        <f>IF($A214="","",'Item Balance'!$F213)</f>
        <v/>
      </c>
      <c r="F214" s="26" t="str">
        <f t="shared" si="6"/>
        <v/>
      </c>
      <c r="G214" s="23" t="str">
        <f>IF($A214="","",'Item Balance'!$E213)</f>
        <v/>
      </c>
      <c r="H214" s="26" t="str">
        <f t="shared" si="7"/>
        <v/>
      </c>
      <c r="I214" s="20" t="str">
        <f>IF($A214="","",'Item Balance'!$D213)</f>
        <v/>
      </c>
      <c r="J214" s="31" t="str">
        <f>IF($A214="","",'Item Balance'!$P213)</f>
        <v/>
      </c>
    </row>
    <row r="215" spans="1:10" x14ac:dyDescent="0.35">
      <c r="A215" s="18" t="str">
        <f>IF('Item Balance'!$A214="","",'Item Balance'!$A214)</f>
        <v/>
      </c>
      <c r="B215" s="18" t="str">
        <f>IF($A215="","",'Item Balance'!$B214)</f>
        <v/>
      </c>
      <c r="C215" s="19" t="str">
        <f>IF($A215="","",'Item Balance'!$C214)</f>
        <v/>
      </c>
      <c r="D215" s="23" t="str">
        <f>IF($A215="","",'Item Balance'!$I214)</f>
        <v/>
      </c>
      <c r="E215" s="23" t="str">
        <f>IF($A215="","",'Item Balance'!$F214)</f>
        <v/>
      </c>
      <c r="F215" s="26" t="str">
        <f t="shared" si="6"/>
        <v/>
      </c>
      <c r="G215" s="23" t="str">
        <f>IF($A215="","",'Item Balance'!$E214)</f>
        <v/>
      </c>
      <c r="H215" s="26" t="str">
        <f t="shared" si="7"/>
        <v/>
      </c>
      <c r="I215" s="20" t="str">
        <f>IF($A215="","",'Item Balance'!$D214)</f>
        <v/>
      </c>
      <c r="J215" s="31" t="str">
        <f>IF($A215="","",'Item Balance'!$P214)</f>
        <v/>
      </c>
    </row>
    <row r="216" spans="1:10" x14ac:dyDescent="0.35">
      <c r="A216" s="18" t="str">
        <f>IF('Item Balance'!$A215="","",'Item Balance'!$A215)</f>
        <v/>
      </c>
      <c r="B216" s="18" t="str">
        <f>IF($A216="","",'Item Balance'!$B215)</f>
        <v/>
      </c>
      <c r="C216" s="19" t="str">
        <f>IF($A216="","",'Item Balance'!$C215)</f>
        <v/>
      </c>
      <c r="D216" s="23" t="str">
        <f>IF($A216="","",'Item Balance'!$I215)</f>
        <v/>
      </c>
      <c r="E216" s="23" t="str">
        <f>IF($A216="","",'Item Balance'!$F215)</f>
        <v/>
      </c>
      <c r="F216" s="26" t="str">
        <f t="shared" si="6"/>
        <v/>
      </c>
      <c r="G216" s="23" t="str">
        <f>IF($A216="","",'Item Balance'!$E215)</f>
        <v/>
      </c>
      <c r="H216" s="26" t="str">
        <f t="shared" si="7"/>
        <v/>
      </c>
      <c r="I216" s="20" t="str">
        <f>IF($A216="","",'Item Balance'!$D215)</f>
        <v/>
      </c>
      <c r="J216" s="31" t="str">
        <f>IF($A216="","",'Item Balance'!$P215)</f>
        <v/>
      </c>
    </row>
    <row r="217" spans="1:10" x14ac:dyDescent="0.35">
      <c r="A217" s="18" t="str">
        <f>IF('Item Balance'!$A216="","",'Item Balance'!$A216)</f>
        <v/>
      </c>
      <c r="B217" s="18" t="str">
        <f>IF($A217="","",'Item Balance'!$B216)</f>
        <v/>
      </c>
      <c r="C217" s="19" t="str">
        <f>IF($A217="","",'Item Balance'!$C216)</f>
        <v/>
      </c>
      <c r="D217" s="23" t="str">
        <f>IF($A217="","",'Item Balance'!$I216)</f>
        <v/>
      </c>
      <c r="E217" s="23" t="str">
        <f>IF($A217="","",'Item Balance'!$F216)</f>
        <v/>
      </c>
      <c r="F217" s="26" t="str">
        <f t="shared" si="6"/>
        <v/>
      </c>
      <c r="G217" s="23" t="str">
        <f>IF($A217="","",'Item Balance'!$E216)</f>
        <v/>
      </c>
      <c r="H217" s="26" t="str">
        <f t="shared" si="7"/>
        <v/>
      </c>
      <c r="I217" s="20" t="str">
        <f>IF($A217="","",'Item Balance'!$D216)</f>
        <v/>
      </c>
      <c r="J217" s="31" t="str">
        <f>IF($A217="","",'Item Balance'!$P216)</f>
        <v/>
      </c>
    </row>
    <row r="218" spans="1:10" x14ac:dyDescent="0.35">
      <c r="A218" s="18" t="str">
        <f>IF('Item Balance'!$A217="","",'Item Balance'!$A217)</f>
        <v/>
      </c>
      <c r="B218" s="18" t="str">
        <f>IF($A218="","",'Item Balance'!$B217)</f>
        <v/>
      </c>
      <c r="C218" s="19" t="str">
        <f>IF($A218="","",'Item Balance'!$C217)</f>
        <v/>
      </c>
      <c r="D218" s="23" t="str">
        <f>IF($A218="","",'Item Balance'!$I217)</f>
        <v/>
      </c>
      <c r="E218" s="23" t="str">
        <f>IF($A218="","",'Item Balance'!$F217)</f>
        <v/>
      </c>
      <c r="F218" s="26" t="str">
        <f t="shared" si="6"/>
        <v/>
      </c>
      <c r="G218" s="23" t="str">
        <f>IF($A218="","",'Item Balance'!$E217)</f>
        <v/>
      </c>
      <c r="H218" s="26" t="str">
        <f t="shared" si="7"/>
        <v/>
      </c>
      <c r="I218" s="20" t="str">
        <f>IF($A218="","",'Item Balance'!$D217)</f>
        <v/>
      </c>
      <c r="J218" s="31" t="str">
        <f>IF($A218="","",'Item Balance'!$P217)</f>
        <v/>
      </c>
    </row>
    <row r="219" spans="1:10" x14ac:dyDescent="0.35">
      <c r="A219" s="18" t="str">
        <f>IF('Item Balance'!$A218="","",'Item Balance'!$A218)</f>
        <v/>
      </c>
      <c r="B219" s="18" t="str">
        <f>IF($A219="","",'Item Balance'!$B218)</f>
        <v/>
      </c>
      <c r="C219" s="19" t="str">
        <f>IF($A219="","",'Item Balance'!$C218)</f>
        <v/>
      </c>
      <c r="D219" s="23" t="str">
        <f>IF($A219="","",'Item Balance'!$I218)</f>
        <v/>
      </c>
      <c r="E219" s="23" t="str">
        <f>IF($A219="","",'Item Balance'!$F218)</f>
        <v/>
      </c>
      <c r="F219" s="26" t="str">
        <f t="shared" si="6"/>
        <v/>
      </c>
      <c r="G219" s="23" t="str">
        <f>IF($A219="","",'Item Balance'!$E218)</f>
        <v/>
      </c>
      <c r="H219" s="26" t="str">
        <f t="shared" si="7"/>
        <v/>
      </c>
      <c r="I219" s="20" t="str">
        <f>IF($A219="","",'Item Balance'!$D218)</f>
        <v/>
      </c>
      <c r="J219" s="31" t="str">
        <f>IF($A219="","",'Item Balance'!$P218)</f>
        <v/>
      </c>
    </row>
    <row r="220" spans="1:10" x14ac:dyDescent="0.35">
      <c r="A220" s="18" t="str">
        <f>IF('Item Balance'!$A219="","",'Item Balance'!$A219)</f>
        <v/>
      </c>
      <c r="B220" s="18" t="str">
        <f>IF($A220="","",'Item Balance'!$B219)</f>
        <v/>
      </c>
      <c r="C220" s="19" t="str">
        <f>IF($A220="","",'Item Balance'!$C219)</f>
        <v/>
      </c>
      <c r="D220" s="23" t="str">
        <f>IF($A220="","",'Item Balance'!$I219)</f>
        <v/>
      </c>
      <c r="E220" s="23" t="str">
        <f>IF($A220="","",'Item Balance'!$F219)</f>
        <v/>
      </c>
      <c r="F220" s="26" t="str">
        <f t="shared" si="6"/>
        <v/>
      </c>
      <c r="G220" s="23" t="str">
        <f>IF($A220="","",'Item Balance'!$E219)</f>
        <v/>
      </c>
      <c r="H220" s="26" t="str">
        <f t="shared" si="7"/>
        <v/>
      </c>
      <c r="I220" s="20" t="str">
        <f>IF($A220="","",'Item Balance'!$D219)</f>
        <v/>
      </c>
      <c r="J220" s="31" t="str">
        <f>IF($A220="","",'Item Balance'!$P219)</f>
        <v/>
      </c>
    </row>
    <row r="221" spans="1:10" x14ac:dyDescent="0.35">
      <c r="A221" s="18" t="str">
        <f>IF('Item Balance'!$A220="","",'Item Balance'!$A220)</f>
        <v/>
      </c>
      <c r="B221" s="18" t="str">
        <f>IF($A221="","",'Item Balance'!$B220)</f>
        <v/>
      </c>
      <c r="C221" s="19" t="str">
        <f>IF($A221="","",'Item Balance'!$C220)</f>
        <v/>
      </c>
      <c r="D221" s="23" t="str">
        <f>IF($A221="","",'Item Balance'!$I220)</f>
        <v/>
      </c>
      <c r="E221" s="23" t="str">
        <f>IF($A221="","",'Item Balance'!$F220)</f>
        <v/>
      </c>
      <c r="F221" s="26" t="str">
        <f t="shared" si="6"/>
        <v/>
      </c>
      <c r="G221" s="23" t="str">
        <f>IF($A221="","",'Item Balance'!$E220)</f>
        <v/>
      </c>
      <c r="H221" s="26" t="str">
        <f t="shared" si="7"/>
        <v/>
      </c>
      <c r="I221" s="20" t="str">
        <f>IF($A221="","",'Item Balance'!$D220)</f>
        <v/>
      </c>
      <c r="J221" s="31" t="str">
        <f>IF($A221="","",'Item Balance'!$P220)</f>
        <v/>
      </c>
    </row>
    <row r="222" spans="1:10" x14ac:dyDescent="0.35">
      <c r="A222" s="18" t="str">
        <f>IF('Item Balance'!$A221="","",'Item Balance'!$A221)</f>
        <v/>
      </c>
      <c r="B222" s="18" t="str">
        <f>IF($A222="","",'Item Balance'!$B221)</f>
        <v/>
      </c>
      <c r="C222" s="19" t="str">
        <f>IF($A222="","",'Item Balance'!$C221)</f>
        <v/>
      </c>
      <c r="D222" s="23" t="str">
        <f>IF($A222="","",'Item Balance'!$I221)</f>
        <v/>
      </c>
      <c r="E222" s="23" t="str">
        <f>IF($A222="","",'Item Balance'!$F221)</f>
        <v/>
      </c>
      <c r="F222" s="26" t="str">
        <f t="shared" si="6"/>
        <v/>
      </c>
      <c r="G222" s="23" t="str">
        <f>IF($A222="","",'Item Balance'!$E221)</f>
        <v/>
      </c>
      <c r="H222" s="26" t="str">
        <f t="shared" si="7"/>
        <v/>
      </c>
      <c r="I222" s="20" t="str">
        <f>IF($A222="","",'Item Balance'!$D221)</f>
        <v/>
      </c>
      <c r="J222" s="31" t="str">
        <f>IF($A222="","",'Item Balance'!$P221)</f>
        <v/>
      </c>
    </row>
    <row r="223" spans="1:10" x14ac:dyDescent="0.35">
      <c r="A223" s="18" t="str">
        <f>IF('Item Balance'!$A222="","",'Item Balance'!$A222)</f>
        <v/>
      </c>
      <c r="B223" s="18" t="str">
        <f>IF($A223="","",'Item Balance'!$B222)</f>
        <v/>
      </c>
      <c r="C223" s="19" t="str">
        <f>IF($A223="","",'Item Balance'!$C222)</f>
        <v/>
      </c>
      <c r="D223" s="23" t="str">
        <f>IF($A223="","",'Item Balance'!$I222)</f>
        <v/>
      </c>
      <c r="E223" s="23" t="str">
        <f>IF($A223="","",'Item Balance'!$F222)</f>
        <v/>
      </c>
      <c r="F223" s="26" t="str">
        <f t="shared" si="6"/>
        <v/>
      </c>
      <c r="G223" s="23" t="str">
        <f>IF($A223="","",'Item Balance'!$E222)</f>
        <v/>
      </c>
      <c r="H223" s="26" t="str">
        <f t="shared" si="7"/>
        <v/>
      </c>
      <c r="I223" s="20" t="str">
        <f>IF($A223="","",'Item Balance'!$D222)</f>
        <v/>
      </c>
      <c r="J223" s="31" t="str">
        <f>IF($A223="","",'Item Balance'!$P222)</f>
        <v/>
      </c>
    </row>
    <row r="224" spans="1:10" x14ac:dyDescent="0.35">
      <c r="A224" s="18" t="str">
        <f>IF('Item Balance'!$A223="","",'Item Balance'!$A223)</f>
        <v/>
      </c>
      <c r="B224" s="18" t="str">
        <f>IF($A224="","",'Item Balance'!$B223)</f>
        <v/>
      </c>
      <c r="C224" s="19" t="str">
        <f>IF($A224="","",'Item Balance'!$C223)</f>
        <v/>
      </c>
      <c r="D224" s="23" t="str">
        <f>IF($A224="","",'Item Balance'!$I223)</f>
        <v/>
      </c>
      <c r="E224" s="23" t="str">
        <f>IF($A224="","",'Item Balance'!$F223)</f>
        <v/>
      </c>
      <c r="F224" s="26" t="str">
        <f t="shared" si="6"/>
        <v/>
      </c>
      <c r="G224" s="23" t="str">
        <f>IF($A224="","",'Item Balance'!$E223)</f>
        <v/>
      </c>
      <c r="H224" s="26" t="str">
        <f t="shared" si="7"/>
        <v/>
      </c>
      <c r="I224" s="20" t="str">
        <f>IF($A224="","",'Item Balance'!$D223)</f>
        <v/>
      </c>
      <c r="J224" s="31" t="str">
        <f>IF($A224="","",'Item Balance'!$P223)</f>
        <v/>
      </c>
    </row>
    <row r="225" spans="1:10" x14ac:dyDescent="0.35">
      <c r="A225" s="18" t="str">
        <f>IF('Item Balance'!$A224="","",'Item Balance'!$A224)</f>
        <v/>
      </c>
      <c r="B225" s="18" t="str">
        <f>IF($A225="","",'Item Balance'!$B224)</f>
        <v/>
      </c>
      <c r="C225" s="19" t="str">
        <f>IF($A225="","",'Item Balance'!$C224)</f>
        <v/>
      </c>
      <c r="D225" s="23" t="str">
        <f>IF($A225="","",'Item Balance'!$I224)</f>
        <v/>
      </c>
      <c r="E225" s="23" t="str">
        <f>IF($A225="","",'Item Balance'!$F224)</f>
        <v/>
      </c>
      <c r="F225" s="26" t="str">
        <f t="shared" si="6"/>
        <v/>
      </c>
      <c r="G225" s="23" t="str">
        <f>IF($A225="","",'Item Balance'!$E224)</f>
        <v/>
      </c>
      <c r="H225" s="26" t="str">
        <f t="shared" si="7"/>
        <v/>
      </c>
      <c r="I225" s="20" t="str">
        <f>IF($A225="","",'Item Balance'!$D224)</f>
        <v/>
      </c>
      <c r="J225" s="31" t="str">
        <f>IF($A225="","",'Item Balance'!$P224)</f>
        <v/>
      </c>
    </row>
    <row r="226" spans="1:10" x14ac:dyDescent="0.35">
      <c r="A226" s="18" t="str">
        <f>IF('Item Balance'!$A225="","",'Item Balance'!$A225)</f>
        <v/>
      </c>
      <c r="B226" s="18" t="str">
        <f>IF($A226="","",'Item Balance'!$B225)</f>
        <v/>
      </c>
      <c r="C226" s="19" t="str">
        <f>IF($A226="","",'Item Balance'!$C225)</f>
        <v/>
      </c>
      <c r="D226" s="23" t="str">
        <f>IF($A226="","",'Item Balance'!$I225)</f>
        <v/>
      </c>
      <c r="E226" s="23" t="str">
        <f>IF($A226="","",'Item Balance'!$F225)</f>
        <v/>
      </c>
      <c r="F226" s="26" t="str">
        <f t="shared" si="6"/>
        <v/>
      </c>
      <c r="G226" s="23" t="str">
        <f>IF($A226="","",'Item Balance'!$E225)</f>
        <v/>
      </c>
      <c r="H226" s="26" t="str">
        <f t="shared" si="7"/>
        <v/>
      </c>
      <c r="I226" s="20" t="str">
        <f>IF($A226="","",'Item Balance'!$D225)</f>
        <v/>
      </c>
      <c r="J226" s="31" t="str">
        <f>IF($A226="","",'Item Balance'!$P225)</f>
        <v/>
      </c>
    </row>
    <row r="227" spans="1:10" x14ac:dyDescent="0.35">
      <c r="A227" s="18" t="str">
        <f>IF('Item Balance'!$A226="","",'Item Balance'!$A226)</f>
        <v/>
      </c>
      <c r="B227" s="18" t="str">
        <f>IF($A227="","",'Item Balance'!$B226)</f>
        <v/>
      </c>
      <c r="C227" s="19" t="str">
        <f>IF($A227="","",'Item Balance'!$C226)</f>
        <v/>
      </c>
      <c r="D227" s="23" t="str">
        <f>IF($A227="","",'Item Balance'!$I226)</f>
        <v/>
      </c>
      <c r="E227" s="23" t="str">
        <f>IF($A227="","",'Item Balance'!$F226)</f>
        <v/>
      </c>
      <c r="F227" s="26" t="str">
        <f t="shared" si="6"/>
        <v/>
      </c>
      <c r="G227" s="23" t="str">
        <f>IF($A227="","",'Item Balance'!$E226)</f>
        <v/>
      </c>
      <c r="H227" s="26" t="str">
        <f t="shared" si="7"/>
        <v/>
      </c>
      <c r="I227" s="20" t="str">
        <f>IF($A227="","",'Item Balance'!$D226)</f>
        <v/>
      </c>
      <c r="J227" s="31" t="str">
        <f>IF($A227="","",'Item Balance'!$P226)</f>
        <v/>
      </c>
    </row>
    <row r="228" spans="1:10" x14ac:dyDescent="0.35">
      <c r="A228" s="18" t="str">
        <f>IF('Item Balance'!$A227="","",'Item Balance'!$A227)</f>
        <v/>
      </c>
      <c r="B228" s="18" t="str">
        <f>IF($A228="","",'Item Balance'!$B227)</f>
        <v/>
      </c>
      <c r="C228" s="19" t="str">
        <f>IF($A228="","",'Item Balance'!$C227)</f>
        <v/>
      </c>
      <c r="D228" s="23" t="str">
        <f>IF($A228="","",'Item Balance'!$I227)</f>
        <v/>
      </c>
      <c r="E228" s="23" t="str">
        <f>IF($A228="","",'Item Balance'!$F227)</f>
        <v/>
      </c>
      <c r="F228" s="26" t="str">
        <f t="shared" si="6"/>
        <v/>
      </c>
      <c r="G228" s="23" t="str">
        <f>IF($A228="","",'Item Balance'!$E227)</f>
        <v/>
      </c>
      <c r="H228" s="26" t="str">
        <f t="shared" si="7"/>
        <v/>
      </c>
      <c r="I228" s="20" t="str">
        <f>IF($A228="","",'Item Balance'!$D227)</f>
        <v/>
      </c>
      <c r="J228" s="31" t="str">
        <f>IF($A228="","",'Item Balance'!$P227)</f>
        <v/>
      </c>
    </row>
    <row r="229" spans="1:10" x14ac:dyDescent="0.35">
      <c r="A229" s="18" t="str">
        <f>IF('Item Balance'!$A228="","",'Item Balance'!$A228)</f>
        <v/>
      </c>
      <c r="B229" s="18" t="str">
        <f>IF($A229="","",'Item Balance'!$B228)</f>
        <v/>
      </c>
      <c r="C229" s="19" t="str">
        <f>IF($A229="","",'Item Balance'!$C228)</f>
        <v/>
      </c>
      <c r="D229" s="23" t="str">
        <f>IF($A229="","",'Item Balance'!$I228)</f>
        <v/>
      </c>
      <c r="E229" s="23" t="str">
        <f>IF($A229="","",'Item Balance'!$F228)</f>
        <v/>
      </c>
      <c r="F229" s="26" t="str">
        <f t="shared" si="6"/>
        <v/>
      </c>
      <c r="G229" s="23" t="str">
        <f>IF($A229="","",'Item Balance'!$E228)</f>
        <v/>
      </c>
      <c r="H229" s="26" t="str">
        <f t="shared" si="7"/>
        <v/>
      </c>
      <c r="I229" s="20" t="str">
        <f>IF($A229="","",'Item Balance'!$D228)</f>
        <v/>
      </c>
      <c r="J229" s="31" t="str">
        <f>IF($A229="","",'Item Balance'!$P228)</f>
        <v/>
      </c>
    </row>
    <row r="230" spans="1:10" x14ac:dyDescent="0.35">
      <c r="A230" s="18" t="str">
        <f>IF('Item Balance'!$A229="","",'Item Balance'!$A229)</f>
        <v/>
      </c>
      <c r="B230" s="18" t="str">
        <f>IF($A230="","",'Item Balance'!$B229)</f>
        <v/>
      </c>
      <c r="C230" s="19" t="str">
        <f>IF($A230="","",'Item Balance'!$C229)</f>
        <v/>
      </c>
      <c r="D230" s="23" t="str">
        <f>IF($A230="","",'Item Balance'!$I229)</f>
        <v/>
      </c>
      <c r="E230" s="23" t="str">
        <f>IF($A230="","",'Item Balance'!$F229)</f>
        <v/>
      </c>
      <c r="F230" s="26" t="str">
        <f t="shared" si="6"/>
        <v/>
      </c>
      <c r="G230" s="23" t="str">
        <f>IF($A230="","",'Item Balance'!$E229)</f>
        <v/>
      </c>
      <c r="H230" s="26" t="str">
        <f t="shared" si="7"/>
        <v/>
      </c>
      <c r="I230" s="20" t="str">
        <f>IF($A230="","",'Item Balance'!$D229)</f>
        <v/>
      </c>
      <c r="J230" s="31" t="str">
        <f>IF($A230="","",'Item Balance'!$P229)</f>
        <v/>
      </c>
    </row>
    <row r="231" spans="1:10" x14ac:dyDescent="0.35">
      <c r="A231" s="18" t="str">
        <f>IF('Item Balance'!$A230="","",'Item Balance'!$A230)</f>
        <v/>
      </c>
      <c r="B231" s="18" t="str">
        <f>IF($A231="","",'Item Balance'!$B230)</f>
        <v/>
      </c>
      <c r="C231" s="19" t="str">
        <f>IF($A231="","",'Item Balance'!$C230)</f>
        <v/>
      </c>
      <c r="D231" s="23" t="str">
        <f>IF($A231="","",'Item Balance'!$I230)</f>
        <v/>
      </c>
      <c r="E231" s="23" t="str">
        <f>IF($A231="","",'Item Balance'!$F230)</f>
        <v/>
      </c>
      <c r="F231" s="26" t="str">
        <f t="shared" si="6"/>
        <v/>
      </c>
      <c r="G231" s="23" t="str">
        <f>IF($A231="","",'Item Balance'!$E230)</f>
        <v/>
      </c>
      <c r="H231" s="26" t="str">
        <f t="shared" si="7"/>
        <v/>
      </c>
      <c r="I231" s="20" t="str">
        <f>IF($A231="","",'Item Balance'!$D230)</f>
        <v/>
      </c>
      <c r="J231" s="31" t="str">
        <f>IF($A231="","",'Item Balance'!$P230)</f>
        <v/>
      </c>
    </row>
    <row r="232" spans="1:10" x14ac:dyDescent="0.35">
      <c r="A232" s="18" t="str">
        <f>IF('Item Balance'!$A231="","",'Item Balance'!$A231)</f>
        <v/>
      </c>
      <c r="B232" s="18" t="str">
        <f>IF($A232="","",'Item Balance'!$B231)</f>
        <v/>
      </c>
      <c r="C232" s="19" t="str">
        <f>IF($A232="","",'Item Balance'!$C231)</f>
        <v/>
      </c>
      <c r="D232" s="23" t="str">
        <f>IF($A232="","",'Item Balance'!$I231)</f>
        <v/>
      </c>
      <c r="E232" s="23" t="str">
        <f>IF($A232="","",'Item Balance'!$F231)</f>
        <v/>
      </c>
      <c r="F232" s="26" t="str">
        <f t="shared" si="6"/>
        <v/>
      </c>
      <c r="G232" s="23" t="str">
        <f>IF($A232="","",'Item Balance'!$E231)</f>
        <v/>
      </c>
      <c r="H232" s="26" t="str">
        <f t="shared" si="7"/>
        <v/>
      </c>
      <c r="I232" s="20" t="str">
        <f>IF($A232="","",'Item Balance'!$D231)</f>
        <v/>
      </c>
      <c r="J232" s="31" t="str">
        <f>IF($A232="","",'Item Balance'!$P231)</f>
        <v/>
      </c>
    </row>
    <row r="233" spans="1:10" x14ac:dyDescent="0.35">
      <c r="A233" s="18" t="str">
        <f>IF('Item Balance'!$A232="","",'Item Balance'!$A232)</f>
        <v/>
      </c>
      <c r="B233" s="18" t="str">
        <f>IF($A233="","",'Item Balance'!$B232)</f>
        <v/>
      </c>
      <c r="C233" s="19" t="str">
        <f>IF($A233="","",'Item Balance'!$C232)</f>
        <v/>
      </c>
      <c r="D233" s="23" t="str">
        <f>IF($A233="","",'Item Balance'!$I232)</f>
        <v/>
      </c>
      <c r="E233" s="23" t="str">
        <f>IF($A233="","",'Item Balance'!$F232)</f>
        <v/>
      </c>
      <c r="F233" s="26" t="str">
        <f t="shared" si="6"/>
        <v/>
      </c>
      <c r="G233" s="23" t="str">
        <f>IF($A233="","",'Item Balance'!$E232)</f>
        <v/>
      </c>
      <c r="H233" s="26" t="str">
        <f t="shared" si="7"/>
        <v/>
      </c>
      <c r="I233" s="20" t="str">
        <f>IF($A233="","",'Item Balance'!$D232)</f>
        <v/>
      </c>
      <c r="J233" s="31" t="str">
        <f>IF($A233="","",'Item Balance'!$P232)</f>
        <v/>
      </c>
    </row>
    <row r="234" spans="1:10" x14ac:dyDescent="0.35">
      <c r="A234" s="18" t="str">
        <f>IF('Item Balance'!$A233="","",'Item Balance'!$A233)</f>
        <v/>
      </c>
      <c r="B234" s="18" t="str">
        <f>IF($A234="","",'Item Balance'!$B233)</f>
        <v/>
      </c>
      <c r="C234" s="19" t="str">
        <f>IF($A234="","",'Item Balance'!$C233)</f>
        <v/>
      </c>
      <c r="D234" s="23" t="str">
        <f>IF($A234="","",'Item Balance'!$I233)</f>
        <v/>
      </c>
      <c r="E234" s="23" t="str">
        <f>IF($A234="","",'Item Balance'!$F233)</f>
        <v/>
      </c>
      <c r="F234" s="26" t="str">
        <f t="shared" si="6"/>
        <v/>
      </c>
      <c r="G234" s="23" t="str">
        <f>IF($A234="","",'Item Balance'!$E233)</f>
        <v/>
      </c>
      <c r="H234" s="26" t="str">
        <f t="shared" si="7"/>
        <v/>
      </c>
      <c r="I234" s="20" t="str">
        <f>IF($A234="","",'Item Balance'!$D233)</f>
        <v/>
      </c>
      <c r="J234" s="31" t="str">
        <f>IF($A234="","",'Item Balance'!$P233)</f>
        <v/>
      </c>
    </row>
    <row r="235" spans="1:10" x14ac:dyDescent="0.35">
      <c r="A235" s="18" t="str">
        <f>IF('Item Balance'!$A234="","",'Item Balance'!$A234)</f>
        <v/>
      </c>
      <c r="B235" s="18" t="str">
        <f>IF($A235="","",'Item Balance'!$B234)</f>
        <v/>
      </c>
      <c r="C235" s="19" t="str">
        <f>IF($A235="","",'Item Balance'!$C234)</f>
        <v/>
      </c>
      <c r="D235" s="23" t="str">
        <f>IF($A235="","",'Item Balance'!$I234)</f>
        <v/>
      </c>
      <c r="E235" s="23" t="str">
        <f>IF($A235="","",'Item Balance'!$F234)</f>
        <v/>
      </c>
      <c r="F235" s="26" t="str">
        <f t="shared" si="6"/>
        <v/>
      </c>
      <c r="G235" s="23" t="str">
        <f>IF($A235="","",'Item Balance'!$E234)</f>
        <v/>
      </c>
      <c r="H235" s="26" t="str">
        <f t="shared" si="7"/>
        <v/>
      </c>
      <c r="I235" s="20" t="str">
        <f>IF($A235="","",'Item Balance'!$D234)</f>
        <v/>
      </c>
      <c r="J235" s="31" t="str">
        <f>IF($A235="","",'Item Balance'!$P234)</f>
        <v/>
      </c>
    </row>
    <row r="236" spans="1:10" x14ac:dyDescent="0.35">
      <c r="A236" s="18" t="str">
        <f>IF('Item Balance'!$A235="","",'Item Balance'!$A235)</f>
        <v/>
      </c>
      <c r="B236" s="18" t="str">
        <f>IF($A236="","",'Item Balance'!$B235)</f>
        <v/>
      </c>
      <c r="C236" s="19" t="str">
        <f>IF($A236="","",'Item Balance'!$C235)</f>
        <v/>
      </c>
      <c r="D236" s="23" t="str">
        <f>IF($A236="","",'Item Balance'!$I235)</f>
        <v/>
      </c>
      <c r="E236" s="23" t="str">
        <f>IF($A236="","",'Item Balance'!$F235)</f>
        <v/>
      </c>
      <c r="F236" s="26" t="str">
        <f t="shared" si="6"/>
        <v/>
      </c>
      <c r="G236" s="23" t="str">
        <f>IF($A236="","",'Item Balance'!$E235)</f>
        <v/>
      </c>
      <c r="H236" s="26" t="str">
        <f t="shared" si="7"/>
        <v/>
      </c>
      <c r="I236" s="20" t="str">
        <f>IF($A236="","",'Item Balance'!$D235)</f>
        <v/>
      </c>
      <c r="J236" s="31" t="str">
        <f>IF($A236="","",'Item Balance'!$P235)</f>
        <v/>
      </c>
    </row>
    <row r="237" spans="1:10" x14ac:dyDescent="0.35">
      <c r="A237" s="18" t="str">
        <f>IF('Item Balance'!$A236="","",'Item Balance'!$A236)</f>
        <v/>
      </c>
      <c r="B237" s="18" t="str">
        <f>IF($A237="","",'Item Balance'!$B236)</f>
        <v/>
      </c>
      <c r="C237" s="19" t="str">
        <f>IF($A237="","",'Item Balance'!$C236)</f>
        <v/>
      </c>
      <c r="D237" s="23" t="str">
        <f>IF($A237="","",'Item Balance'!$I236)</f>
        <v/>
      </c>
      <c r="E237" s="23" t="str">
        <f>IF($A237="","",'Item Balance'!$F236)</f>
        <v/>
      </c>
      <c r="F237" s="26" t="str">
        <f t="shared" si="6"/>
        <v/>
      </c>
      <c r="G237" s="23" t="str">
        <f>IF($A237="","",'Item Balance'!$E236)</f>
        <v/>
      </c>
      <c r="H237" s="26" t="str">
        <f t="shared" si="7"/>
        <v/>
      </c>
      <c r="I237" s="20" t="str">
        <f>IF($A237="","",'Item Balance'!$D236)</f>
        <v/>
      </c>
      <c r="J237" s="31" t="str">
        <f>IF($A237="","",'Item Balance'!$P236)</f>
        <v/>
      </c>
    </row>
    <row r="238" spans="1:10" x14ac:dyDescent="0.35">
      <c r="A238" s="18" t="str">
        <f>IF('Item Balance'!$A237="","",'Item Balance'!$A237)</f>
        <v/>
      </c>
      <c r="B238" s="18" t="str">
        <f>IF($A238="","",'Item Balance'!$B237)</f>
        <v/>
      </c>
      <c r="C238" s="19" t="str">
        <f>IF($A238="","",'Item Balance'!$C237)</f>
        <v/>
      </c>
      <c r="D238" s="23" t="str">
        <f>IF($A238="","",'Item Balance'!$I237)</f>
        <v/>
      </c>
      <c r="E238" s="23" t="str">
        <f>IF($A238="","",'Item Balance'!$F237)</f>
        <v/>
      </c>
      <c r="F238" s="26" t="str">
        <f t="shared" si="6"/>
        <v/>
      </c>
      <c r="G238" s="23" t="str">
        <f>IF($A238="","",'Item Balance'!$E237)</f>
        <v/>
      </c>
      <c r="H238" s="26" t="str">
        <f t="shared" si="7"/>
        <v/>
      </c>
      <c r="I238" s="20" t="str">
        <f>IF($A238="","",'Item Balance'!$D237)</f>
        <v/>
      </c>
      <c r="J238" s="31" t="str">
        <f>IF($A238="","",'Item Balance'!$P237)</f>
        <v/>
      </c>
    </row>
    <row r="239" spans="1:10" x14ac:dyDescent="0.35">
      <c r="A239" s="18" t="str">
        <f>IF('Item Balance'!$A238="","",'Item Balance'!$A238)</f>
        <v/>
      </c>
      <c r="B239" s="18" t="str">
        <f>IF($A239="","",'Item Balance'!$B238)</f>
        <v/>
      </c>
      <c r="C239" s="19" t="str">
        <f>IF($A239="","",'Item Balance'!$C238)</f>
        <v/>
      </c>
      <c r="D239" s="23" t="str">
        <f>IF($A239="","",'Item Balance'!$I238)</f>
        <v/>
      </c>
      <c r="E239" s="23" t="str">
        <f>IF($A239="","",'Item Balance'!$F238)</f>
        <v/>
      </c>
      <c r="F239" s="26" t="str">
        <f t="shared" si="6"/>
        <v/>
      </c>
      <c r="G239" s="23" t="str">
        <f>IF($A239="","",'Item Balance'!$E238)</f>
        <v/>
      </c>
      <c r="H239" s="26" t="str">
        <f t="shared" si="7"/>
        <v/>
      </c>
      <c r="I239" s="20" t="str">
        <f>IF($A239="","",'Item Balance'!$D238)</f>
        <v/>
      </c>
      <c r="J239" s="31" t="str">
        <f>IF($A239="","",'Item Balance'!$P238)</f>
        <v/>
      </c>
    </row>
    <row r="240" spans="1:10" x14ac:dyDescent="0.35">
      <c r="A240" s="18" t="str">
        <f>IF('Item Balance'!$A239="","",'Item Balance'!$A239)</f>
        <v/>
      </c>
      <c r="B240" s="18" t="str">
        <f>IF($A240="","",'Item Balance'!$B239)</f>
        <v/>
      </c>
      <c r="C240" s="19" t="str">
        <f>IF($A240="","",'Item Balance'!$C239)</f>
        <v/>
      </c>
      <c r="D240" s="23" t="str">
        <f>IF($A240="","",'Item Balance'!$I239)</f>
        <v/>
      </c>
      <c r="E240" s="23" t="str">
        <f>IF($A240="","",'Item Balance'!$F239)</f>
        <v/>
      </c>
      <c r="F240" s="26" t="str">
        <f t="shared" si="6"/>
        <v/>
      </c>
      <c r="G240" s="23" t="str">
        <f>IF($A240="","",'Item Balance'!$E239)</f>
        <v/>
      </c>
      <c r="H240" s="26" t="str">
        <f t="shared" si="7"/>
        <v/>
      </c>
      <c r="I240" s="20" t="str">
        <f>IF($A240="","",'Item Balance'!$D239)</f>
        <v/>
      </c>
      <c r="J240" s="31" t="str">
        <f>IF($A240="","",'Item Balance'!$P239)</f>
        <v/>
      </c>
    </row>
    <row r="241" spans="1:10" x14ac:dyDescent="0.35">
      <c r="A241" s="18" t="str">
        <f>IF('Item Balance'!$A240="","",'Item Balance'!$A240)</f>
        <v/>
      </c>
      <c r="B241" s="18" t="str">
        <f>IF($A241="","",'Item Balance'!$B240)</f>
        <v/>
      </c>
      <c r="C241" s="19" t="str">
        <f>IF($A241="","",'Item Balance'!$C240)</f>
        <v/>
      </c>
      <c r="D241" s="23" t="str">
        <f>IF($A241="","",'Item Balance'!$I240)</f>
        <v/>
      </c>
      <c r="E241" s="23" t="str">
        <f>IF($A241="","",'Item Balance'!$F240)</f>
        <v/>
      </c>
      <c r="F241" s="26" t="str">
        <f t="shared" si="6"/>
        <v/>
      </c>
      <c r="G241" s="23" t="str">
        <f>IF($A241="","",'Item Balance'!$E240)</f>
        <v/>
      </c>
      <c r="H241" s="26" t="str">
        <f t="shared" si="7"/>
        <v/>
      </c>
      <c r="I241" s="20" t="str">
        <f>IF($A241="","",'Item Balance'!$D240)</f>
        <v/>
      </c>
      <c r="J241" s="31" t="str">
        <f>IF($A241="","",'Item Balance'!$P240)</f>
        <v/>
      </c>
    </row>
    <row r="242" spans="1:10" x14ac:dyDescent="0.35">
      <c r="A242" s="18" t="str">
        <f>IF('Item Balance'!$A241="","",'Item Balance'!$A241)</f>
        <v/>
      </c>
      <c r="B242" s="18" t="str">
        <f>IF($A242="","",'Item Balance'!$B241)</f>
        <v/>
      </c>
      <c r="C242" s="19" t="str">
        <f>IF($A242="","",'Item Balance'!$C241)</f>
        <v/>
      </c>
      <c r="D242" s="23" t="str">
        <f>IF($A242="","",'Item Balance'!$I241)</f>
        <v/>
      </c>
      <c r="E242" s="23" t="str">
        <f>IF($A242="","",'Item Balance'!$F241)</f>
        <v/>
      </c>
      <c r="F242" s="26" t="str">
        <f t="shared" si="6"/>
        <v/>
      </c>
      <c r="G242" s="23" t="str">
        <f>IF($A242="","",'Item Balance'!$E241)</f>
        <v/>
      </c>
      <c r="H242" s="26" t="str">
        <f t="shared" si="7"/>
        <v/>
      </c>
      <c r="I242" s="20" t="str">
        <f>IF($A242="","",'Item Balance'!$D241)</f>
        <v/>
      </c>
      <c r="J242" s="31" t="str">
        <f>IF($A242="","",'Item Balance'!$P241)</f>
        <v/>
      </c>
    </row>
    <row r="243" spans="1:10" x14ac:dyDescent="0.35">
      <c r="A243" s="18" t="str">
        <f>IF('Item Balance'!$A242="","",'Item Balance'!$A242)</f>
        <v/>
      </c>
      <c r="B243" s="18" t="str">
        <f>IF($A243="","",'Item Balance'!$B242)</f>
        <v/>
      </c>
      <c r="C243" s="19" t="str">
        <f>IF($A243="","",'Item Balance'!$C242)</f>
        <v/>
      </c>
      <c r="D243" s="23" t="str">
        <f>IF($A243="","",'Item Balance'!$I242)</f>
        <v/>
      </c>
      <c r="E243" s="23" t="str">
        <f>IF($A243="","",'Item Balance'!$F242)</f>
        <v/>
      </c>
      <c r="F243" s="26" t="str">
        <f t="shared" si="6"/>
        <v/>
      </c>
      <c r="G243" s="23" t="str">
        <f>IF($A243="","",'Item Balance'!$E242)</f>
        <v/>
      </c>
      <c r="H243" s="26" t="str">
        <f t="shared" si="7"/>
        <v/>
      </c>
      <c r="I243" s="20" t="str">
        <f>IF($A243="","",'Item Balance'!$D242)</f>
        <v/>
      </c>
      <c r="J243" s="31" t="str">
        <f>IF($A243="","",'Item Balance'!$P242)</f>
        <v/>
      </c>
    </row>
    <row r="244" spans="1:10" x14ac:dyDescent="0.35">
      <c r="A244" s="18" t="str">
        <f>IF('Item Balance'!$A243="","",'Item Balance'!$A243)</f>
        <v/>
      </c>
      <c r="B244" s="18" t="str">
        <f>IF($A244="","",'Item Balance'!$B243)</f>
        <v/>
      </c>
      <c r="C244" s="19" t="str">
        <f>IF($A244="","",'Item Balance'!$C243)</f>
        <v/>
      </c>
      <c r="D244" s="23" t="str">
        <f>IF($A244="","",'Item Balance'!$I243)</f>
        <v/>
      </c>
      <c r="E244" s="23" t="str">
        <f>IF($A244="","",'Item Balance'!$F243)</f>
        <v/>
      </c>
      <c r="F244" s="26" t="str">
        <f t="shared" si="6"/>
        <v/>
      </c>
      <c r="G244" s="23" t="str">
        <f>IF($A244="","",'Item Balance'!$E243)</f>
        <v/>
      </c>
      <c r="H244" s="26" t="str">
        <f t="shared" si="7"/>
        <v/>
      </c>
      <c r="I244" s="20" t="str">
        <f>IF($A244="","",'Item Balance'!$D243)</f>
        <v/>
      </c>
      <c r="J244" s="31" t="str">
        <f>IF($A244="","",'Item Balance'!$P243)</f>
        <v/>
      </c>
    </row>
    <row r="245" spans="1:10" x14ac:dyDescent="0.35">
      <c r="A245" s="18" t="str">
        <f>IF('Item Balance'!$A244="","",'Item Balance'!$A244)</f>
        <v/>
      </c>
      <c r="B245" s="18" t="str">
        <f>IF($A245="","",'Item Balance'!$B244)</f>
        <v/>
      </c>
      <c r="C245" s="19" t="str">
        <f>IF($A245="","",'Item Balance'!$C244)</f>
        <v/>
      </c>
      <c r="D245" s="23" t="str">
        <f>IF($A245="","",'Item Balance'!$I244)</f>
        <v/>
      </c>
      <c r="E245" s="23" t="str">
        <f>IF($A245="","",'Item Balance'!$F244)</f>
        <v/>
      </c>
      <c r="F245" s="26" t="str">
        <f t="shared" si="6"/>
        <v/>
      </c>
      <c r="G245" s="23" t="str">
        <f>IF($A245="","",'Item Balance'!$E244)</f>
        <v/>
      </c>
      <c r="H245" s="26" t="str">
        <f t="shared" si="7"/>
        <v/>
      </c>
      <c r="I245" s="20" t="str">
        <f>IF($A245="","",'Item Balance'!$D244)</f>
        <v/>
      </c>
      <c r="J245" s="31" t="str">
        <f>IF($A245="","",'Item Balance'!$P244)</f>
        <v/>
      </c>
    </row>
    <row r="246" spans="1:10" x14ac:dyDescent="0.35">
      <c r="A246" s="18" t="str">
        <f>IF('Item Balance'!$A245="","",'Item Balance'!$A245)</f>
        <v/>
      </c>
      <c r="B246" s="18" t="str">
        <f>IF($A246="","",'Item Balance'!$B245)</f>
        <v/>
      </c>
      <c r="C246" s="19" t="str">
        <f>IF($A246="","",'Item Balance'!$C245)</f>
        <v/>
      </c>
      <c r="D246" s="23" t="str">
        <f>IF($A246="","",'Item Balance'!$I245)</f>
        <v/>
      </c>
      <c r="E246" s="23" t="str">
        <f>IF($A246="","",'Item Balance'!$F245)</f>
        <v/>
      </c>
      <c r="F246" s="26" t="str">
        <f t="shared" si="6"/>
        <v/>
      </c>
      <c r="G246" s="23" t="str">
        <f>IF($A246="","",'Item Balance'!$E245)</f>
        <v/>
      </c>
      <c r="H246" s="26" t="str">
        <f t="shared" si="7"/>
        <v/>
      </c>
      <c r="I246" s="20" t="str">
        <f>IF($A246="","",'Item Balance'!$D245)</f>
        <v/>
      </c>
      <c r="J246" s="31" t="str">
        <f>IF($A246="","",'Item Balance'!$P245)</f>
        <v/>
      </c>
    </row>
    <row r="247" spans="1:10" x14ac:dyDescent="0.35">
      <c r="A247" s="18" t="str">
        <f>IF('Item Balance'!$A246="","",'Item Balance'!$A246)</f>
        <v/>
      </c>
      <c r="B247" s="18" t="str">
        <f>IF($A247="","",'Item Balance'!$B246)</f>
        <v/>
      </c>
      <c r="C247" s="19" t="str">
        <f>IF($A247="","",'Item Balance'!$C246)</f>
        <v/>
      </c>
      <c r="D247" s="23" t="str">
        <f>IF($A247="","",'Item Balance'!$I246)</f>
        <v/>
      </c>
      <c r="E247" s="23" t="str">
        <f>IF($A247="","",'Item Balance'!$F246)</f>
        <v/>
      </c>
      <c r="F247" s="26" t="str">
        <f t="shared" si="6"/>
        <v/>
      </c>
      <c r="G247" s="23" t="str">
        <f>IF($A247="","",'Item Balance'!$E246)</f>
        <v/>
      </c>
      <c r="H247" s="26" t="str">
        <f t="shared" si="7"/>
        <v/>
      </c>
      <c r="I247" s="20" t="str">
        <f>IF($A247="","",'Item Balance'!$D246)</f>
        <v/>
      </c>
      <c r="J247" s="31" t="str">
        <f>IF($A247="","",'Item Balance'!$P246)</f>
        <v/>
      </c>
    </row>
    <row r="248" spans="1:10" x14ac:dyDescent="0.35">
      <c r="A248" s="18" t="str">
        <f>IF('Item Balance'!$A247="","",'Item Balance'!$A247)</f>
        <v/>
      </c>
      <c r="B248" s="18" t="str">
        <f>IF($A248="","",'Item Balance'!$B247)</f>
        <v/>
      </c>
      <c r="C248" s="19" t="str">
        <f>IF($A248="","",'Item Balance'!$C247)</f>
        <v/>
      </c>
      <c r="D248" s="23" t="str">
        <f>IF($A248="","",'Item Balance'!$I247)</f>
        <v/>
      </c>
      <c r="E248" s="23" t="str">
        <f>IF($A248="","",'Item Balance'!$F247)</f>
        <v/>
      </c>
      <c r="F248" s="26" t="str">
        <f t="shared" si="6"/>
        <v/>
      </c>
      <c r="G248" s="23" t="str">
        <f>IF($A248="","",'Item Balance'!$E247)</f>
        <v/>
      </c>
      <c r="H248" s="26" t="str">
        <f t="shared" si="7"/>
        <v/>
      </c>
      <c r="I248" s="20" t="str">
        <f>IF($A248="","",'Item Balance'!$D247)</f>
        <v/>
      </c>
      <c r="J248" s="31" t="str">
        <f>IF($A248="","",'Item Balance'!$P247)</f>
        <v/>
      </c>
    </row>
    <row r="249" spans="1:10" x14ac:dyDescent="0.35">
      <c r="A249" s="18" t="str">
        <f>IF('Item Balance'!$A248="","",'Item Balance'!$A248)</f>
        <v/>
      </c>
      <c r="B249" s="18" t="str">
        <f>IF($A249="","",'Item Balance'!$B248)</f>
        <v/>
      </c>
      <c r="C249" s="19" t="str">
        <f>IF($A249="","",'Item Balance'!$C248)</f>
        <v/>
      </c>
      <c r="D249" s="23" t="str">
        <f>IF($A249="","",'Item Balance'!$I248)</f>
        <v/>
      </c>
      <c r="E249" s="23" t="str">
        <f>IF($A249="","",'Item Balance'!$F248)</f>
        <v/>
      </c>
      <c r="F249" s="26" t="str">
        <f t="shared" si="6"/>
        <v/>
      </c>
      <c r="G249" s="23" t="str">
        <f>IF($A249="","",'Item Balance'!$E248)</f>
        <v/>
      </c>
      <c r="H249" s="26" t="str">
        <f t="shared" si="7"/>
        <v/>
      </c>
      <c r="I249" s="20" t="str">
        <f>IF($A249="","",'Item Balance'!$D248)</f>
        <v/>
      </c>
      <c r="J249" s="31" t="str">
        <f>IF($A249="","",'Item Balance'!$P248)</f>
        <v/>
      </c>
    </row>
    <row r="250" spans="1:10" x14ac:dyDescent="0.35">
      <c r="A250" s="18" t="str">
        <f>IF('Item Balance'!$A249="","",'Item Balance'!$A249)</f>
        <v/>
      </c>
      <c r="B250" s="18" t="str">
        <f>IF($A250="","",'Item Balance'!$B249)</f>
        <v/>
      </c>
      <c r="C250" s="19" t="str">
        <f>IF($A250="","",'Item Balance'!$C249)</f>
        <v/>
      </c>
      <c r="D250" s="23" t="str">
        <f>IF($A250="","",'Item Balance'!$I249)</f>
        <v/>
      </c>
      <c r="E250" s="23" t="str">
        <f>IF($A250="","",'Item Balance'!$F249)</f>
        <v/>
      </c>
      <c r="F250" s="26" t="str">
        <f t="shared" si="6"/>
        <v/>
      </c>
      <c r="G250" s="23" t="str">
        <f>IF($A250="","",'Item Balance'!$E249)</f>
        <v/>
      </c>
      <c r="H250" s="26" t="str">
        <f t="shared" si="7"/>
        <v/>
      </c>
      <c r="I250" s="20" t="str">
        <f>IF($A250="","",'Item Balance'!$D249)</f>
        <v/>
      </c>
      <c r="J250" s="31" t="str">
        <f>IF($A250="","",'Item Balance'!$P249)</f>
        <v/>
      </c>
    </row>
    <row r="251" spans="1:10" x14ac:dyDescent="0.35">
      <c r="A251" s="18" t="str">
        <f>IF('Item Balance'!$A250="","",'Item Balance'!$A250)</f>
        <v/>
      </c>
      <c r="B251" s="18" t="str">
        <f>IF($A251="","",'Item Balance'!$B250)</f>
        <v/>
      </c>
      <c r="C251" s="19" t="str">
        <f>IF($A251="","",'Item Balance'!$C250)</f>
        <v/>
      </c>
      <c r="D251" s="23" t="str">
        <f>IF($A251="","",'Item Balance'!$I250)</f>
        <v/>
      </c>
      <c r="E251" s="23" t="str">
        <f>IF($A251="","",'Item Balance'!$F250)</f>
        <v/>
      </c>
      <c r="F251" s="26" t="str">
        <f t="shared" si="6"/>
        <v/>
      </c>
      <c r="G251" s="23" t="str">
        <f>IF($A251="","",'Item Balance'!$E250)</f>
        <v/>
      </c>
      <c r="H251" s="26" t="str">
        <f t="shared" si="7"/>
        <v/>
      </c>
      <c r="I251" s="20" t="str">
        <f>IF($A251="","",'Item Balance'!$D250)</f>
        <v/>
      </c>
      <c r="J251" s="31" t="str">
        <f>IF($A251="","",'Item Balance'!$P250)</f>
        <v/>
      </c>
    </row>
    <row r="252" spans="1:10" x14ac:dyDescent="0.35">
      <c r="A252" s="18" t="str">
        <f>IF('Item Balance'!$A251="","",'Item Balance'!$A251)</f>
        <v/>
      </c>
      <c r="B252" s="18" t="str">
        <f>IF($A252="","",'Item Balance'!$B251)</f>
        <v/>
      </c>
      <c r="C252" s="19" t="str">
        <f>IF($A252="","",'Item Balance'!$C251)</f>
        <v/>
      </c>
      <c r="D252" s="23" t="str">
        <f>IF($A252="","",'Item Balance'!$I251)</f>
        <v/>
      </c>
      <c r="E252" s="23" t="str">
        <f>IF($A252="","",'Item Balance'!$F251)</f>
        <v/>
      </c>
      <c r="F252" s="26" t="str">
        <f t="shared" si="6"/>
        <v/>
      </c>
      <c r="G252" s="23" t="str">
        <f>IF($A252="","",'Item Balance'!$E251)</f>
        <v/>
      </c>
      <c r="H252" s="26" t="str">
        <f t="shared" si="7"/>
        <v/>
      </c>
      <c r="I252" s="20" t="str">
        <f>IF($A252="","",'Item Balance'!$D251)</f>
        <v/>
      </c>
      <c r="J252" s="31" t="str">
        <f>IF($A252="","",'Item Balance'!$P251)</f>
        <v/>
      </c>
    </row>
    <row r="253" spans="1:10" x14ac:dyDescent="0.35">
      <c r="A253" s="18" t="str">
        <f>IF('Item Balance'!$A252="","",'Item Balance'!$A252)</f>
        <v/>
      </c>
      <c r="B253" s="18" t="str">
        <f>IF($A253="","",'Item Balance'!$B252)</f>
        <v/>
      </c>
      <c r="C253" s="19" t="str">
        <f>IF($A253="","",'Item Balance'!$C252)</f>
        <v/>
      </c>
      <c r="D253" s="23" t="str">
        <f>IF($A253="","",'Item Balance'!$I252)</f>
        <v/>
      </c>
      <c r="E253" s="23" t="str">
        <f>IF($A253="","",'Item Balance'!$F252)</f>
        <v/>
      </c>
      <c r="F253" s="26" t="str">
        <f t="shared" si="6"/>
        <v/>
      </c>
      <c r="G253" s="23" t="str">
        <f>IF($A253="","",'Item Balance'!$E252)</f>
        <v/>
      </c>
      <c r="H253" s="26" t="str">
        <f t="shared" si="7"/>
        <v/>
      </c>
      <c r="I253" s="20" t="str">
        <f>IF($A253="","",'Item Balance'!$D252)</f>
        <v/>
      </c>
      <c r="J253" s="31" t="str">
        <f>IF($A253="","",'Item Balance'!$P252)</f>
        <v/>
      </c>
    </row>
    <row r="254" spans="1:10" x14ac:dyDescent="0.35">
      <c r="A254" s="18" t="str">
        <f>IF('Item Balance'!$A253="","",'Item Balance'!$A253)</f>
        <v/>
      </c>
      <c r="B254" s="18" t="str">
        <f>IF($A254="","",'Item Balance'!$B253)</f>
        <v/>
      </c>
      <c r="C254" s="19" t="str">
        <f>IF($A254="","",'Item Balance'!$C253)</f>
        <v/>
      </c>
      <c r="D254" s="23" t="str">
        <f>IF($A254="","",'Item Balance'!$I253)</f>
        <v/>
      </c>
      <c r="E254" s="23" t="str">
        <f>IF($A254="","",'Item Balance'!$F253)</f>
        <v/>
      </c>
      <c r="F254" s="26" t="str">
        <f t="shared" si="6"/>
        <v/>
      </c>
      <c r="G254" s="23" t="str">
        <f>IF($A254="","",'Item Balance'!$E253)</f>
        <v/>
      </c>
      <c r="H254" s="26" t="str">
        <f t="shared" si="7"/>
        <v/>
      </c>
      <c r="I254" s="20" t="str">
        <f>IF($A254="","",'Item Balance'!$D253)</f>
        <v/>
      </c>
      <c r="J254" s="31" t="str">
        <f>IF($A254="","",'Item Balance'!$P253)</f>
        <v/>
      </c>
    </row>
    <row r="255" spans="1:10" x14ac:dyDescent="0.35">
      <c r="A255" s="18" t="str">
        <f>IF('Item Balance'!$A254="","",'Item Balance'!$A254)</f>
        <v/>
      </c>
      <c r="B255" s="18" t="str">
        <f>IF($A255="","",'Item Balance'!$B254)</f>
        <v/>
      </c>
      <c r="C255" s="19" t="str">
        <f>IF($A255="","",'Item Balance'!$C254)</f>
        <v/>
      </c>
      <c r="D255" s="23" t="str">
        <f>IF($A255="","",'Item Balance'!$I254)</f>
        <v/>
      </c>
      <c r="E255" s="23" t="str">
        <f>IF($A255="","",'Item Balance'!$F254)</f>
        <v/>
      </c>
      <c r="F255" s="26" t="str">
        <f t="shared" si="6"/>
        <v/>
      </c>
      <c r="G255" s="23" t="str">
        <f>IF($A255="","",'Item Balance'!$E254)</f>
        <v/>
      </c>
      <c r="H255" s="26" t="str">
        <f t="shared" si="7"/>
        <v/>
      </c>
      <c r="I255" s="20" t="str">
        <f>IF($A255="","",'Item Balance'!$D254)</f>
        <v/>
      </c>
      <c r="J255" s="31" t="str">
        <f>IF($A255="","",'Item Balance'!$P254)</f>
        <v/>
      </c>
    </row>
    <row r="256" spans="1:10" x14ac:dyDescent="0.35">
      <c r="A256" s="18" t="str">
        <f>IF('Item Balance'!$A255="","",'Item Balance'!$A255)</f>
        <v/>
      </c>
      <c r="B256" s="18" t="str">
        <f>IF($A256="","",'Item Balance'!$B255)</f>
        <v/>
      </c>
      <c r="C256" s="19" t="str">
        <f>IF($A256="","",'Item Balance'!$C255)</f>
        <v/>
      </c>
      <c r="D256" s="23" t="str">
        <f>IF($A256="","",'Item Balance'!$I255)</f>
        <v/>
      </c>
      <c r="E256" s="23" t="str">
        <f>IF($A256="","",'Item Balance'!$F255)</f>
        <v/>
      </c>
      <c r="F256" s="26" t="str">
        <f t="shared" si="6"/>
        <v/>
      </c>
      <c r="G256" s="23" t="str">
        <f>IF($A256="","",'Item Balance'!$E255)</f>
        <v/>
      </c>
      <c r="H256" s="26" t="str">
        <f t="shared" si="7"/>
        <v/>
      </c>
      <c r="I256" s="20" t="str">
        <f>IF($A256="","",'Item Balance'!$D255)</f>
        <v/>
      </c>
      <c r="J256" s="31" t="str">
        <f>IF($A256="","",'Item Balance'!$P255)</f>
        <v/>
      </c>
    </row>
    <row r="257" spans="1:10" x14ac:dyDescent="0.35">
      <c r="A257" s="18" t="str">
        <f>IF('Item Balance'!$A256="","",'Item Balance'!$A256)</f>
        <v/>
      </c>
      <c r="B257" s="18" t="str">
        <f>IF($A257="","",'Item Balance'!$B256)</f>
        <v/>
      </c>
      <c r="C257" s="19" t="str">
        <f>IF($A257="","",'Item Balance'!$C256)</f>
        <v/>
      </c>
      <c r="D257" s="23" t="str">
        <f>IF($A257="","",'Item Balance'!$I256)</f>
        <v/>
      </c>
      <c r="E257" s="23" t="str">
        <f>IF($A257="","",'Item Balance'!$F256)</f>
        <v/>
      </c>
      <c r="F257" s="26" t="str">
        <f t="shared" si="6"/>
        <v/>
      </c>
      <c r="G257" s="23" t="str">
        <f>IF($A257="","",'Item Balance'!$E256)</f>
        <v/>
      </c>
      <c r="H257" s="26" t="str">
        <f t="shared" si="7"/>
        <v/>
      </c>
      <c r="I257" s="20" t="str">
        <f>IF($A257="","",'Item Balance'!$D256)</f>
        <v/>
      </c>
      <c r="J257" s="31" t="str">
        <f>IF($A257="","",'Item Balance'!$P256)</f>
        <v/>
      </c>
    </row>
    <row r="258" spans="1:10" x14ac:dyDescent="0.35">
      <c r="A258" s="18" t="str">
        <f>IF('Item Balance'!$A257="","",'Item Balance'!$A257)</f>
        <v/>
      </c>
      <c r="B258" s="18" t="str">
        <f>IF($A258="","",'Item Balance'!$B257)</f>
        <v/>
      </c>
      <c r="C258" s="19" t="str">
        <f>IF($A258="","",'Item Balance'!$C257)</f>
        <v/>
      </c>
      <c r="D258" s="23" t="str">
        <f>IF($A258="","",'Item Balance'!$I257)</f>
        <v/>
      </c>
      <c r="E258" s="23" t="str">
        <f>IF($A258="","",'Item Balance'!$F257)</f>
        <v/>
      </c>
      <c r="F258" s="26" t="str">
        <f t="shared" si="6"/>
        <v/>
      </c>
      <c r="G258" s="23" t="str">
        <f>IF($A258="","",'Item Balance'!$E257)</f>
        <v/>
      </c>
      <c r="H258" s="26" t="str">
        <f t="shared" si="7"/>
        <v/>
      </c>
      <c r="I258" s="20" t="str">
        <f>IF($A258="","",'Item Balance'!$D257)</f>
        <v/>
      </c>
      <c r="J258" s="31" t="str">
        <f>IF($A258="","",'Item Balance'!$P257)</f>
        <v/>
      </c>
    </row>
    <row r="259" spans="1:10" x14ac:dyDescent="0.35">
      <c r="A259" s="18" t="str">
        <f>IF('Item Balance'!$A258="","",'Item Balance'!$A258)</f>
        <v/>
      </c>
      <c r="B259" s="18" t="str">
        <f>IF($A259="","",'Item Balance'!$B258)</f>
        <v/>
      </c>
      <c r="C259" s="19" t="str">
        <f>IF($A259="","",'Item Balance'!$C258)</f>
        <v/>
      </c>
      <c r="D259" s="23" t="str">
        <f>IF($A259="","",'Item Balance'!$I258)</f>
        <v/>
      </c>
      <c r="E259" s="23" t="str">
        <f>IF($A259="","",'Item Balance'!$F258)</f>
        <v/>
      </c>
      <c r="F259" s="26" t="str">
        <f t="shared" si="6"/>
        <v/>
      </c>
      <c r="G259" s="23" t="str">
        <f>IF($A259="","",'Item Balance'!$E258)</f>
        <v/>
      </c>
      <c r="H259" s="26" t="str">
        <f t="shared" si="7"/>
        <v/>
      </c>
      <c r="I259" s="20" t="str">
        <f>IF($A259="","",'Item Balance'!$D258)</f>
        <v/>
      </c>
      <c r="J259" s="31" t="str">
        <f>IF($A259="","",'Item Balance'!$P258)</f>
        <v/>
      </c>
    </row>
    <row r="260" spans="1:10" x14ac:dyDescent="0.35">
      <c r="A260" s="18" t="str">
        <f>IF('Item Balance'!$A259="","",'Item Balance'!$A259)</f>
        <v/>
      </c>
      <c r="B260" s="18" t="str">
        <f>IF($A260="","",'Item Balance'!$B259)</f>
        <v/>
      </c>
      <c r="C260" s="19" t="str">
        <f>IF($A260="","",'Item Balance'!$C259)</f>
        <v/>
      </c>
      <c r="D260" s="23" t="str">
        <f>IF($A260="","",'Item Balance'!$I259)</f>
        <v/>
      </c>
      <c r="E260" s="23" t="str">
        <f>IF($A260="","",'Item Balance'!$F259)</f>
        <v/>
      </c>
      <c r="F260" s="26" t="str">
        <f t="shared" si="6"/>
        <v/>
      </c>
      <c r="G260" s="23" t="str">
        <f>IF($A260="","",'Item Balance'!$E259)</f>
        <v/>
      </c>
      <c r="H260" s="26" t="str">
        <f t="shared" si="7"/>
        <v/>
      </c>
      <c r="I260" s="20" t="str">
        <f>IF($A260="","",'Item Balance'!$D259)</f>
        <v/>
      </c>
      <c r="J260" s="31" t="str">
        <f>IF($A260="","",'Item Balance'!$P259)</f>
        <v/>
      </c>
    </row>
    <row r="261" spans="1:10" x14ac:dyDescent="0.35">
      <c r="A261" s="18" t="str">
        <f>IF('Item Balance'!$A260="","",'Item Balance'!$A260)</f>
        <v/>
      </c>
      <c r="B261" s="18" t="str">
        <f>IF($A261="","",'Item Balance'!$B260)</f>
        <v/>
      </c>
      <c r="C261" s="19" t="str">
        <f>IF($A261="","",'Item Balance'!$C260)</f>
        <v/>
      </c>
      <c r="D261" s="23" t="str">
        <f>IF($A261="","",'Item Balance'!$I260)</f>
        <v/>
      </c>
      <c r="E261" s="23" t="str">
        <f>IF($A261="","",'Item Balance'!$F260)</f>
        <v/>
      </c>
      <c r="F261" s="26" t="str">
        <f t="shared" si="6"/>
        <v/>
      </c>
      <c r="G261" s="23" t="str">
        <f>IF($A261="","",'Item Balance'!$E260)</f>
        <v/>
      </c>
      <c r="H261" s="26" t="str">
        <f t="shared" si="7"/>
        <v/>
      </c>
      <c r="I261" s="20" t="str">
        <f>IF($A261="","",'Item Balance'!$D260)</f>
        <v/>
      </c>
      <c r="J261" s="31" t="str">
        <f>IF($A261="","",'Item Balance'!$P260)</f>
        <v/>
      </c>
    </row>
    <row r="262" spans="1:10" x14ac:dyDescent="0.35">
      <c r="A262" s="18" t="str">
        <f>IF('Item Balance'!$A261="","",'Item Balance'!$A261)</f>
        <v/>
      </c>
      <c r="B262" s="18" t="str">
        <f>IF($A262="","",'Item Balance'!$B261)</f>
        <v/>
      </c>
      <c r="C262" s="19" t="str">
        <f>IF($A262="","",'Item Balance'!$C261)</f>
        <v/>
      </c>
      <c r="D262" s="23" t="str">
        <f>IF($A262="","",'Item Balance'!$I261)</f>
        <v/>
      </c>
      <c r="E262" s="23" t="str">
        <f>IF($A262="","",'Item Balance'!$F261)</f>
        <v/>
      </c>
      <c r="F262" s="26" t="str">
        <f t="shared" ref="F262:F325" si="8">IF(OR($A262="",NOT(ISNUMBER($E262)),NOT(ISNUMBER($D262))),"",MAX(0,$E262-$D262))</f>
        <v/>
      </c>
      <c r="G262" s="23" t="str">
        <f>IF($A262="","",'Item Balance'!$E261)</f>
        <v/>
      </c>
      <c r="H262" s="26" t="str">
        <f t="shared" ref="H262:H325" si="9">IF(OR($A262="",NOT(ISNUMBER($G262)),$G262=0,NOT(ISNUMBER($D262))),"",ROUNDDOWN($D262/$G262,0))</f>
        <v/>
      </c>
      <c r="I262" s="20" t="str">
        <f>IF($A262="","",'Item Balance'!$D261)</f>
        <v/>
      </c>
      <c r="J262" s="31" t="str">
        <f>IF($A262="","",'Item Balance'!$P261)</f>
        <v/>
      </c>
    </row>
    <row r="263" spans="1:10" x14ac:dyDescent="0.35">
      <c r="A263" s="18" t="str">
        <f>IF('Item Balance'!$A262="","",'Item Balance'!$A262)</f>
        <v/>
      </c>
      <c r="B263" s="18" t="str">
        <f>IF($A263="","",'Item Balance'!$B262)</f>
        <v/>
      </c>
      <c r="C263" s="19" t="str">
        <f>IF($A263="","",'Item Balance'!$C262)</f>
        <v/>
      </c>
      <c r="D263" s="23" t="str">
        <f>IF($A263="","",'Item Balance'!$I262)</f>
        <v/>
      </c>
      <c r="E263" s="23" t="str">
        <f>IF($A263="","",'Item Balance'!$F262)</f>
        <v/>
      </c>
      <c r="F263" s="26" t="str">
        <f t="shared" si="8"/>
        <v/>
      </c>
      <c r="G263" s="23" t="str">
        <f>IF($A263="","",'Item Balance'!$E262)</f>
        <v/>
      </c>
      <c r="H263" s="26" t="str">
        <f t="shared" si="9"/>
        <v/>
      </c>
      <c r="I263" s="20" t="str">
        <f>IF($A263="","",'Item Balance'!$D262)</f>
        <v/>
      </c>
      <c r="J263" s="31" t="str">
        <f>IF($A263="","",'Item Balance'!$P262)</f>
        <v/>
      </c>
    </row>
    <row r="264" spans="1:10" x14ac:dyDescent="0.35">
      <c r="A264" s="18" t="str">
        <f>IF('Item Balance'!$A263="","",'Item Balance'!$A263)</f>
        <v/>
      </c>
      <c r="B264" s="18" t="str">
        <f>IF($A264="","",'Item Balance'!$B263)</f>
        <v/>
      </c>
      <c r="C264" s="19" t="str">
        <f>IF($A264="","",'Item Balance'!$C263)</f>
        <v/>
      </c>
      <c r="D264" s="23" t="str">
        <f>IF($A264="","",'Item Balance'!$I263)</f>
        <v/>
      </c>
      <c r="E264" s="23" t="str">
        <f>IF($A264="","",'Item Balance'!$F263)</f>
        <v/>
      </c>
      <c r="F264" s="26" t="str">
        <f t="shared" si="8"/>
        <v/>
      </c>
      <c r="G264" s="23" t="str">
        <f>IF($A264="","",'Item Balance'!$E263)</f>
        <v/>
      </c>
      <c r="H264" s="26" t="str">
        <f t="shared" si="9"/>
        <v/>
      </c>
      <c r="I264" s="20" t="str">
        <f>IF($A264="","",'Item Balance'!$D263)</f>
        <v/>
      </c>
      <c r="J264" s="31" t="str">
        <f>IF($A264="","",'Item Balance'!$P263)</f>
        <v/>
      </c>
    </row>
    <row r="265" spans="1:10" x14ac:dyDescent="0.35">
      <c r="A265" s="18" t="str">
        <f>IF('Item Balance'!$A264="","",'Item Balance'!$A264)</f>
        <v/>
      </c>
      <c r="B265" s="18" t="str">
        <f>IF($A265="","",'Item Balance'!$B264)</f>
        <v/>
      </c>
      <c r="C265" s="19" t="str">
        <f>IF($A265="","",'Item Balance'!$C264)</f>
        <v/>
      </c>
      <c r="D265" s="23" t="str">
        <f>IF($A265="","",'Item Balance'!$I264)</f>
        <v/>
      </c>
      <c r="E265" s="23" t="str">
        <f>IF($A265="","",'Item Balance'!$F264)</f>
        <v/>
      </c>
      <c r="F265" s="26" t="str">
        <f t="shared" si="8"/>
        <v/>
      </c>
      <c r="G265" s="23" t="str">
        <f>IF($A265="","",'Item Balance'!$E264)</f>
        <v/>
      </c>
      <c r="H265" s="26" t="str">
        <f t="shared" si="9"/>
        <v/>
      </c>
      <c r="I265" s="20" t="str">
        <f>IF($A265="","",'Item Balance'!$D264)</f>
        <v/>
      </c>
      <c r="J265" s="31" t="str">
        <f>IF($A265="","",'Item Balance'!$P264)</f>
        <v/>
      </c>
    </row>
    <row r="266" spans="1:10" x14ac:dyDescent="0.35">
      <c r="A266" s="18" t="str">
        <f>IF('Item Balance'!$A265="","",'Item Balance'!$A265)</f>
        <v/>
      </c>
      <c r="B266" s="18" t="str">
        <f>IF($A266="","",'Item Balance'!$B265)</f>
        <v/>
      </c>
      <c r="C266" s="19" t="str">
        <f>IF($A266="","",'Item Balance'!$C265)</f>
        <v/>
      </c>
      <c r="D266" s="23" t="str">
        <f>IF($A266="","",'Item Balance'!$I265)</f>
        <v/>
      </c>
      <c r="E266" s="23" t="str">
        <f>IF($A266="","",'Item Balance'!$F265)</f>
        <v/>
      </c>
      <c r="F266" s="26" t="str">
        <f t="shared" si="8"/>
        <v/>
      </c>
      <c r="G266" s="23" t="str">
        <f>IF($A266="","",'Item Balance'!$E265)</f>
        <v/>
      </c>
      <c r="H266" s="26" t="str">
        <f t="shared" si="9"/>
        <v/>
      </c>
      <c r="I266" s="20" t="str">
        <f>IF($A266="","",'Item Balance'!$D265)</f>
        <v/>
      </c>
      <c r="J266" s="31" t="str">
        <f>IF($A266="","",'Item Balance'!$P265)</f>
        <v/>
      </c>
    </row>
    <row r="267" spans="1:10" x14ac:dyDescent="0.35">
      <c r="A267" s="18" t="str">
        <f>IF('Item Balance'!$A266="","",'Item Balance'!$A266)</f>
        <v/>
      </c>
      <c r="B267" s="18" t="str">
        <f>IF($A267="","",'Item Balance'!$B266)</f>
        <v/>
      </c>
      <c r="C267" s="19" t="str">
        <f>IF($A267="","",'Item Balance'!$C266)</f>
        <v/>
      </c>
      <c r="D267" s="23" t="str">
        <f>IF($A267="","",'Item Balance'!$I266)</f>
        <v/>
      </c>
      <c r="E267" s="23" t="str">
        <f>IF($A267="","",'Item Balance'!$F266)</f>
        <v/>
      </c>
      <c r="F267" s="26" t="str">
        <f t="shared" si="8"/>
        <v/>
      </c>
      <c r="G267" s="23" t="str">
        <f>IF($A267="","",'Item Balance'!$E266)</f>
        <v/>
      </c>
      <c r="H267" s="26" t="str">
        <f t="shared" si="9"/>
        <v/>
      </c>
      <c r="I267" s="20" t="str">
        <f>IF($A267="","",'Item Balance'!$D266)</f>
        <v/>
      </c>
      <c r="J267" s="31" t="str">
        <f>IF($A267="","",'Item Balance'!$P266)</f>
        <v/>
      </c>
    </row>
    <row r="268" spans="1:10" x14ac:dyDescent="0.35">
      <c r="A268" s="18" t="str">
        <f>IF('Item Balance'!$A267="","",'Item Balance'!$A267)</f>
        <v/>
      </c>
      <c r="B268" s="18" t="str">
        <f>IF($A268="","",'Item Balance'!$B267)</f>
        <v/>
      </c>
      <c r="C268" s="19" t="str">
        <f>IF($A268="","",'Item Balance'!$C267)</f>
        <v/>
      </c>
      <c r="D268" s="23" t="str">
        <f>IF($A268="","",'Item Balance'!$I267)</f>
        <v/>
      </c>
      <c r="E268" s="23" t="str">
        <f>IF($A268="","",'Item Balance'!$F267)</f>
        <v/>
      </c>
      <c r="F268" s="26" t="str">
        <f t="shared" si="8"/>
        <v/>
      </c>
      <c r="G268" s="23" t="str">
        <f>IF($A268="","",'Item Balance'!$E267)</f>
        <v/>
      </c>
      <c r="H268" s="26" t="str">
        <f t="shared" si="9"/>
        <v/>
      </c>
      <c r="I268" s="20" t="str">
        <f>IF($A268="","",'Item Balance'!$D267)</f>
        <v/>
      </c>
      <c r="J268" s="31" t="str">
        <f>IF($A268="","",'Item Balance'!$P267)</f>
        <v/>
      </c>
    </row>
    <row r="269" spans="1:10" x14ac:dyDescent="0.35">
      <c r="A269" s="18" t="str">
        <f>IF('Item Balance'!$A268="","",'Item Balance'!$A268)</f>
        <v/>
      </c>
      <c r="B269" s="18" t="str">
        <f>IF($A269="","",'Item Balance'!$B268)</f>
        <v/>
      </c>
      <c r="C269" s="19" t="str">
        <f>IF($A269="","",'Item Balance'!$C268)</f>
        <v/>
      </c>
      <c r="D269" s="23" t="str">
        <f>IF($A269="","",'Item Balance'!$I268)</f>
        <v/>
      </c>
      <c r="E269" s="23" t="str">
        <f>IF($A269="","",'Item Balance'!$F268)</f>
        <v/>
      </c>
      <c r="F269" s="26" t="str">
        <f t="shared" si="8"/>
        <v/>
      </c>
      <c r="G269" s="23" t="str">
        <f>IF($A269="","",'Item Balance'!$E268)</f>
        <v/>
      </c>
      <c r="H269" s="26" t="str">
        <f t="shared" si="9"/>
        <v/>
      </c>
      <c r="I269" s="20" t="str">
        <f>IF($A269="","",'Item Balance'!$D268)</f>
        <v/>
      </c>
      <c r="J269" s="31" t="str">
        <f>IF($A269="","",'Item Balance'!$P268)</f>
        <v/>
      </c>
    </row>
    <row r="270" spans="1:10" x14ac:dyDescent="0.35">
      <c r="A270" s="18" t="str">
        <f>IF('Item Balance'!$A269="","",'Item Balance'!$A269)</f>
        <v/>
      </c>
      <c r="B270" s="18" t="str">
        <f>IF($A270="","",'Item Balance'!$B269)</f>
        <v/>
      </c>
      <c r="C270" s="19" t="str">
        <f>IF($A270="","",'Item Balance'!$C269)</f>
        <v/>
      </c>
      <c r="D270" s="23" t="str">
        <f>IF($A270="","",'Item Balance'!$I269)</f>
        <v/>
      </c>
      <c r="E270" s="23" t="str">
        <f>IF($A270="","",'Item Balance'!$F269)</f>
        <v/>
      </c>
      <c r="F270" s="26" t="str">
        <f t="shared" si="8"/>
        <v/>
      </c>
      <c r="G270" s="23" t="str">
        <f>IF($A270="","",'Item Balance'!$E269)</f>
        <v/>
      </c>
      <c r="H270" s="26" t="str">
        <f t="shared" si="9"/>
        <v/>
      </c>
      <c r="I270" s="20" t="str">
        <f>IF($A270="","",'Item Balance'!$D269)</f>
        <v/>
      </c>
      <c r="J270" s="31" t="str">
        <f>IF($A270="","",'Item Balance'!$P269)</f>
        <v/>
      </c>
    </row>
    <row r="271" spans="1:10" x14ac:dyDescent="0.35">
      <c r="A271" s="18" t="str">
        <f>IF('Item Balance'!$A270="","",'Item Balance'!$A270)</f>
        <v/>
      </c>
      <c r="B271" s="18" t="str">
        <f>IF($A271="","",'Item Balance'!$B270)</f>
        <v/>
      </c>
      <c r="C271" s="19" t="str">
        <f>IF($A271="","",'Item Balance'!$C270)</f>
        <v/>
      </c>
      <c r="D271" s="23" t="str">
        <f>IF($A271="","",'Item Balance'!$I270)</f>
        <v/>
      </c>
      <c r="E271" s="23" t="str">
        <f>IF($A271="","",'Item Balance'!$F270)</f>
        <v/>
      </c>
      <c r="F271" s="26" t="str">
        <f t="shared" si="8"/>
        <v/>
      </c>
      <c r="G271" s="23" t="str">
        <f>IF($A271="","",'Item Balance'!$E270)</f>
        <v/>
      </c>
      <c r="H271" s="26" t="str">
        <f t="shared" si="9"/>
        <v/>
      </c>
      <c r="I271" s="20" t="str">
        <f>IF($A271="","",'Item Balance'!$D270)</f>
        <v/>
      </c>
      <c r="J271" s="31" t="str">
        <f>IF($A271="","",'Item Balance'!$P270)</f>
        <v/>
      </c>
    </row>
    <row r="272" spans="1:10" x14ac:dyDescent="0.35">
      <c r="A272" s="18" t="str">
        <f>IF('Item Balance'!$A271="","",'Item Balance'!$A271)</f>
        <v/>
      </c>
      <c r="B272" s="18" t="str">
        <f>IF($A272="","",'Item Balance'!$B271)</f>
        <v/>
      </c>
      <c r="C272" s="19" t="str">
        <f>IF($A272="","",'Item Balance'!$C271)</f>
        <v/>
      </c>
      <c r="D272" s="23" t="str">
        <f>IF($A272="","",'Item Balance'!$I271)</f>
        <v/>
      </c>
      <c r="E272" s="23" t="str">
        <f>IF($A272="","",'Item Balance'!$F271)</f>
        <v/>
      </c>
      <c r="F272" s="26" t="str">
        <f t="shared" si="8"/>
        <v/>
      </c>
      <c r="G272" s="23" t="str">
        <f>IF($A272="","",'Item Balance'!$E271)</f>
        <v/>
      </c>
      <c r="H272" s="26" t="str">
        <f t="shared" si="9"/>
        <v/>
      </c>
      <c r="I272" s="20" t="str">
        <f>IF($A272="","",'Item Balance'!$D271)</f>
        <v/>
      </c>
      <c r="J272" s="31" t="str">
        <f>IF($A272="","",'Item Balance'!$P271)</f>
        <v/>
      </c>
    </row>
    <row r="273" spans="1:10" x14ac:dyDescent="0.35">
      <c r="A273" s="18" t="str">
        <f>IF('Item Balance'!$A272="","",'Item Balance'!$A272)</f>
        <v/>
      </c>
      <c r="B273" s="18" t="str">
        <f>IF($A273="","",'Item Balance'!$B272)</f>
        <v/>
      </c>
      <c r="C273" s="19" t="str">
        <f>IF($A273="","",'Item Balance'!$C272)</f>
        <v/>
      </c>
      <c r="D273" s="23" t="str">
        <f>IF($A273="","",'Item Balance'!$I272)</f>
        <v/>
      </c>
      <c r="E273" s="23" t="str">
        <f>IF($A273="","",'Item Balance'!$F272)</f>
        <v/>
      </c>
      <c r="F273" s="26" t="str">
        <f t="shared" si="8"/>
        <v/>
      </c>
      <c r="G273" s="23" t="str">
        <f>IF($A273="","",'Item Balance'!$E272)</f>
        <v/>
      </c>
      <c r="H273" s="26" t="str">
        <f t="shared" si="9"/>
        <v/>
      </c>
      <c r="I273" s="20" t="str">
        <f>IF($A273="","",'Item Balance'!$D272)</f>
        <v/>
      </c>
      <c r="J273" s="31" t="str">
        <f>IF($A273="","",'Item Balance'!$P272)</f>
        <v/>
      </c>
    </row>
    <row r="274" spans="1:10" x14ac:dyDescent="0.35">
      <c r="A274" s="18" t="str">
        <f>IF('Item Balance'!$A273="","",'Item Balance'!$A273)</f>
        <v/>
      </c>
      <c r="B274" s="18" t="str">
        <f>IF($A274="","",'Item Balance'!$B273)</f>
        <v/>
      </c>
      <c r="C274" s="19" t="str">
        <f>IF($A274="","",'Item Balance'!$C273)</f>
        <v/>
      </c>
      <c r="D274" s="23" t="str">
        <f>IF($A274="","",'Item Balance'!$I273)</f>
        <v/>
      </c>
      <c r="E274" s="23" t="str">
        <f>IF($A274="","",'Item Balance'!$F273)</f>
        <v/>
      </c>
      <c r="F274" s="26" t="str">
        <f t="shared" si="8"/>
        <v/>
      </c>
      <c r="G274" s="23" t="str">
        <f>IF($A274="","",'Item Balance'!$E273)</f>
        <v/>
      </c>
      <c r="H274" s="26" t="str">
        <f t="shared" si="9"/>
        <v/>
      </c>
      <c r="I274" s="20" t="str">
        <f>IF($A274="","",'Item Balance'!$D273)</f>
        <v/>
      </c>
      <c r="J274" s="31" t="str">
        <f>IF($A274="","",'Item Balance'!$P273)</f>
        <v/>
      </c>
    </row>
    <row r="275" spans="1:10" x14ac:dyDescent="0.35">
      <c r="A275" s="18" t="str">
        <f>IF('Item Balance'!$A274="","",'Item Balance'!$A274)</f>
        <v/>
      </c>
      <c r="B275" s="18" t="str">
        <f>IF($A275="","",'Item Balance'!$B274)</f>
        <v/>
      </c>
      <c r="C275" s="19" t="str">
        <f>IF($A275="","",'Item Balance'!$C274)</f>
        <v/>
      </c>
      <c r="D275" s="23" t="str">
        <f>IF($A275="","",'Item Balance'!$I274)</f>
        <v/>
      </c>
      <c r="E275" s="23" t="str">
        <f>IF($A275="","",'Item Balance'!$F274)</f>
        <v/>
      </c>
      <c r="F275" s="26" t="str">
        <f t="shared" si="8"/>
        <v/>
      </c>
      <c r="G275" s="23" t="str">
        <f>IF($A275="","",'Item Balance'!$E274)</f>
        <v/>
      </c>
      <c r="H275" s="26" t="str">
        <f t="shared" si="9"/>
        <v/>
      </c>
      <c r="I275" s="20" t="str">
        <f>IF($A275="","",'Item Balance'!$D274)</f>
        <v/>
      </c>
      <c r="J275" s="31" t="str">
        <f>IF($A275="","",'Item Balance'!$P274)</f>
        <v/>
      </c>
    </row>
    <row r="276" spans="1:10" x14ac:dyDescent="0.35">
      <c r="A276" s="18" t="str">
        <f>IF('Item Balance'!$A275="","",'Item Balance'!$A275)</f>
        <v/>
      </c>
      <c r="B276" s="18" t="str">
        <f>IF($A276="","",'Item Balance'!$B275)</f>
        <v/>
      </c>
      <c r="C276" s="19" t="str">
        <f>IF($A276="","",'Item Balance'!$C275)</f>
        <v/>
      </c>
      <c r="D276" s="23" t="str">
        <f>IF($A276="","",'Item Balance'!$I275)</f>
        <v/>
      </c>
      <c r="E276" s="23" t="str">
        <f>IF($A276="","",'Item Balance'!$F275)</f>
        <v/>
      </c>
      <c r="F276" s="26" t="str">
        <f t="shared" si="8"/>
        <v/>
      </c>
      <c r="G276" s="23" t="str">
        <f>IF($A276="","",'Item Balance'!$E275)</f>
        <v/>
      </c>
      <c r="H276" s="26" t="str">
        <f t="shared" si="9"/>
        <v/>
      </c>
      <c r="I276" s="20" t="str">
        <f>IF($A276="","",'Item Balance'!$D275)</f>
        <v/>
      </c>
      <c r="J276" s="31" t="str">
        <f>IF($A276="","",'Item Balance'!$P275)</f>
        <v/>
      </c>
    </row>
    <row r="277" spans="1:10" x14ac:dyDescent="0.35">
      <c r="A277" s="18" t="str">
        <f>IF('Item Balance'!$A276="","",'Item Balance'!$A276)</f>
        <v/>
      </c>
      <c r="B277" s="18" t="str">
        <f>IF($A277="","",'Item Balance'!$B276)</f>
        <v/>
      </c>
      <c r="C277" s="19" t="str">
        <f>IF($A277="","",'Item Balance'!$C276)</f>
        <v/>
      </c>
      <c r="D277" s="23" t="str">
        <f>IF($A277="","",'Item Balance'!$I276)</f>
        <v/>
      </c>
      <c r="E277" s="23" t="str">
        <f>IF($A277="","",'Item Balance'!$F276)</f>
        <v/>
      </c>
      <c r="F277" s="26" t="str">
        <f t="shared" si="8"/>
        <v/>
      </c>
      <c r="G277" s="23" t="str">
        <f>IF($A277="","",'Item Balance'!$E276)</f>
        <v/>
      </c>
      <c r="H277" s="26" t="str">
        <f t="shared" si="9"/>
        <v/>
      </c>
      <c r="I277" s="20" t="str">
        <f>IF($A277="","",'Item Balance'!$D276)</f>
        <v/>
      </c>
      <c r="J277" s="31" t="str">
        <f>IF($A277="","",'Item Balance'!$P276)</f>
        <v/>
      </c>
    </row>
    <row r="278" spans="1:10" x14ac:dyDescent="0.35">
      <c r="A278" s="18" t="str">
        <f>IF('Item Balance'!$A277="","",'Item Balance'!$A277)</f>
        <v/>
      </c>
      <c r="B278" s="18" t="str">
        <f>IF($A278="","",'Item Balance'!$B277)</f>
        <v/>
      </c>
      <c r="C278" s="19" t="str">
        <f>IF($A278="","",'Item Balance'!$C277)</f>
        <v/>
      </c>
      <c r="D278" s="23" t="str">
        <f>IF($A278="","",'Item Balance'!$I277)</f>
        <v/>
      </c>
      <c r="E278" s="23" t="str">
        <f>IF($A278="","",'Item Balance'!$F277)</f>
        <v/>
      </c>
      <c r="F278" s="26" t="str">
        <f t="shared" si="8"/>
        <v/>
      </c>
      <c r="G278" s="23" t="str">
        <f>IF($A278="","",'Item Balance'!$E277)</f>
        <v/>
      </c>
      <c r="H278" s="26" t="str">
        <f t="shared" si="9"/>
        <v/>
      </c>
      <c r="I278" s="20" t="str">
        <f>IF($A278="","",'Item Balance'!$D277)</f>
        <v/>
      </c>
      <c r="J278" s="31" t="str">
        <f>IF($A278="","",'Item Balance'!$P277)</f>
        <v/>
      </c>
    </row>
    <row r="279" spans="1:10" x14ac:dyDescent="0.35">
      <c r="A279" s="18" t="str">
        <f>IF('Item Balance'!$A278="","",'Item Balance'!$A278)</f>
        <v/>
      </c>
      <c r="B279" s="18" t="str">
        <f>IF($A279="","",'Item Balance'!$B278)</f>
        <v/>
      </c>
      <c r="C279" s="19" t="str">
        <f>IF($A279="","",'Item Balance'!$C278)</f>
        <v/>
      </c>
      <c r="D279" s="23" t="str">
        <f>IF($A279="","",'Item Balance'!$I278)</f>
        <v/>
      </c>
      <c r="E279" s="23" t="str">
        <f>IF($A279="","",'Item Balance'!$F278)</f>
        <v/>
      </c>
      <c r="F279" s="26" t="str">
        <f t="shared" si="8"/>
        <v/>
      </c>
      <c r="G279" s="23" t="str">
        <f>IF($A279="","",'Item Balance'!$E278)</f>
        <v/>
      </c>
      <c r="H279" s="26" t="str">
        <f t="shared" si="9"/>
        <v/>
      </c>
      <c r="I279" s="20" t="str">
        <f>IF($A279="","",'Item Balance'!$D278)</f>
        <v/>
      </c>
      <c r="J279" s="31" t="str">
        <f>IF($A279="","",'Item Balance'!$P278)</f>
        <v/>
      </c>
    </row>
    <row r="280" spans="1:10" x14ac:dyDescent="0.35">
      <c r="A280" s="18" t="str">
        <f>IF('Item Balance'!$A279="","",'Item Balance'!$A279)</f>
        <v/>
      </c>
      <c r="B280" s="18" t="str">
        <f>IF($A280="","",'Item Balance'!$B279)</f>
        <v/>
      </c>
      <c r="C280" s="19" t="str">
        <f>IF($A280="","",'Item Balance'!$C279)</f>
        <v/>
      </c>
      <c r="D280" s="23" t="str">
        <f>IF($A280="","",'Item Balance'!$I279)</f>
        <v/>
      </c>
      <c r="E280" s="23" t="str">
        <f>IF($A280="","",'Item Balance'!$F279)</f>
        <v/>
      </c>
      <c r="F280" s="26" t="str">
        <f t="shared" si="8"/>
        <v/>
      </c>
      <c r="G280" s="23" t="str">
        <f>IF($A280="","",'Item Balance'!$E279)</f>
        <v/>
      </c>
      <c r="H280" s="26" t="str">
        <f t="shared" si="9"/>
        <v/>
      </c>
      <c r="I280" s="20" t="str">
        <f>IF($A280="","",'Item Balance'!$D279)</f>
        <v/>
      </c>
      <c r="J280" s="31" t="str">
        <f>IF($A280="","",'Item Balance'!$P279)</f>
        <v/>
      </c>
    </row>
    <row r="281" spans="1:10" x14ac:dyDescent="0.35">
      <c r="A281" s="18" t="str">
        <f>IF('Item Balance'!$A280="","",'Item Balance'!$A280)</f>
        <v/>
      </c>
      <c r="B281" s="18" t="str">
        <f>IF($A281="","",'Item Balance'!$B280)</f>
        <v/>
      </c>
      <c r="C281" s="19" t="str">
        <f>IF($A281="","",'Item Balance'!$C280)</f>
        <v/>
      </c>
      <c r="D281" s="23" t="str">
        <f>IF($A281="","",'Item Balance'!$I280)</f>
        <v/>
      </c>
      <c r="E281" s="23" t="str">
        <f>IF($A281="","",'Item Balance'!$F280)</f>
        <v/>
      </c>
      <c r="F281" s="26" t="str">
        <f t="shared" si="8"/>
        <v/>
      </c>
      <c r="G281" s="23" t="str">
        <f>IF($A281="","",'Item Balance'!$E280)</f>
        <v/>
      </c>
      <c r="H281" s="26" t="str">
        <f t="shared" si="9"/>
        <v/>
      </c>
      <c r="I281" s="20" t="str">
        <f>IF($A281="","",'Item Balance'!$D280)</f>
        <v/>
      </c>
      <c r="J281" s="31" t="str">
        <f>IF($A281="","",'Item Balance'!$P280)</f>
        <v/>
      </c>
    </row>
    <row r="282" spans="1:10" x14ac:dyDescent="0.35">
      <c r="A282" s="18" t="str">
        <f>IF('Item Balance'!$A281="","",'Item Balance'!$A281)</f>
        <v/>
      </c>
      <c r="B282" s="18" t="str">
        <f>IF($A282="","",'Item Balance'!$B281)</f>
        <v/>
      </c>
      <c r="C282" s="19" t="str">
        <f>IF($A282="","",'Item Balance'!$C281)</f>
        <v/>
      </c>
      <c r="D282" s="23" t="str">
        <f>IF($A282="","",'Item Balance'!$I281)</f>
        <v/>
      </c>
      <c r="E282" s="23" t="str">
        <f>IF($A282="","",'Item Balance'!$F281)</f>
        <v/>
      </c>
      <c r="F282" s="26" t="str">
        <f t="shared" si="8"/>
        <v/>
      </c>
      <c r="G282" s="23" t="str">
        <f>IF($A282="","",'Item Balance'!$E281)</f>
        <v/>
      </c>
      <c r="H282" s="26" t="str">
        <f t="shared" si="9"/>
        <v/>
      </c>
      <c r="I282" s="20" t="str">
        <f>IF($A282="","",'Item Balance'!$D281)</f>
        <v/>
      </c>
      <c r="J282" s="31" t="str">
        <f>IF($A282="","",'Item Balance'!$P281)</f>
        <v/>
      </c>
    </row>
    <row r="283" spans="1:10" x14ac:dyDescent="0.35">
      <c r="A283" s="18" t="str">
        <f>IF('Item Balance'!$A282="","",'Item Balance'!$A282)</f>
        <v/>
      </c>
      <c r="B283" s="18" t="str">
        <f>IF($A283="","",'Item Balance'!$B282)</f>
        <v/>
      </c>
      <c r="C283" s="19" t="str">
        <f>IF($A283="","",'Item Balance'!$C282)</f>
        <v/>
      </c>
      <c r="D283" s="23" t="str">
        <f>IF($A283="","",'Item Balance'!$I282)</f>
        <v/>
      </c>
      <c r="E283" s="23" t="str">
        <f>IF($A283="","",'Item Balance'!$F282)</f>
        <v/>
      </c>
      <c r="F283" s="26" t="str">
        <f t="shared" si="8"/>
        <v/>
      </c>
      <c r="G283" s="23" t="str">
        <f>IF($A283="","",'Item Balance'!$E282)</f>
        <v/>
      </c>
      <c r="H283" s="26" t="str">
        <f t="shared" si="9"/>
        <v/>
      </c>
      <c r="I283" s="20" t="str">
        <f>IF($A283="","",'Item Balance'!$D282)</f>
        <v/>
      </c>
      <c r="J283" s="31" t="str">
        <f>IF($A283="","",'Item Balance'!$P282)</f>
        <v/>
      </c>
    </row>
    <row r="284" spans="1:10" x14ac:dyDescent="0.35">
      <c r="A284" s="18" t="str">
        <f>IF('Item Balance'!$A283="","",'Item Balance'!$A283)</f>
        <v/>
      </c>
      <c r="B284" s="18" t="str">
        <f>IF($A284="","",'Item Balance'!$B283)</f>
        <v/>
      </c>
      <c r="C284" s="19" t="str">
        <f>IF($A284="","",'Item Balance'!$C283)</f>
        <v/>
      </c>
      <c r="D284" s="23" t="str">
        <f>IF($A284="","",'Item Balance'!$I283)</f>
        <v/>
      </c>
      <c r="E284" s="23" t="str">
        <f>IF($A284="","",'Item Balance'!$F283)</f>
        <v/>
      </c>
      <c r="F284" s="26" t="str">
        <f t="shared" si="8"/>
        <v/>
      </c>
      <c r="G284" s="23" t="str">
        <f>IF($A284="","",'Item Balance'!$E283)</f>
        <v/>
      </c>
      <c r="H284" s="26" t="str">
        <f t="shared" si="9"/>
        <v/>
      </c>
      <c r="I284" s="20" t="str">
        <f>IF($A284="","",'Item Balance'!$D283)</f>
        <v/>
      </c>
      <c r="J284" s="31" t="str">
        <f>IF($A284="","",'Item Balance'!$P283)</f>
        <v/>
      </c>
    </row>
    <row r="285" spans="1:10" x14ac:dyDescent="0.35">
      <c r="A285" s="18" t="str">
        <f>IF('Item Balance'!$A284="","",'Item Balance'!$A284)</f>
        <v/>
      </c>
      <c r="B285" s="18" t="str">
        <f>IF($A285="","",'Item Balance'!$B284)</f>
        <v/>
      </c>
      <c r="C285" s="19" t="str">
        <f>IF($A285="","",'Item Balance'!$C284)</f>
        <v/>
      </c>
      <c r="D285" s="23" t="str">
        <f>IF($A285="","",'Item Balance'!$I284)</f>
        <v/>
      </c>
      <c r="E285" s="23" t="str">
        <f>IF($A285="","",'Item Balance'!$F284)</f>
        <v/>
      </c>
      <c r="F285" s="26" t="str">
        <f t="shared" si="8"/>
        <v/>
      </c>
      <c r="G285" s="23" t="str">
        <f>IF($A285="","",'Item Balance'!$E284)</f>
        <v/>
      </c>
      <c r="H285" s="26" t="str">
        <f t="shared" si="9"/>
        <v/>
      </c>
      <c r="I285" s="20" t="str">
        <f>IF($A285="","",'Item Balance'!$D284)</f>
        <v/>
      </c>
      <c r="J285" s="31" t="str">
        <f>IF($A285="","",'Item Balance'!$P284)</f>
        <v/>
      </c>
    </row>
    <row r="286" spans="1:10" x14ac:dyDescent="0.35">
      <c r="A286" s="18" t="str">
        <f>IF('Item Balance'!$A285="","",'Item Balance'!$A285)</f>
        <v/>
      </c>
      <c r="B286" s="18" t="str">
        <f>IF($A286="","",'Item Balance'!$B285)</f>
        <v/>
      </c>
      <c r="C286" s="19" t="str">
        <f>IF($A286="","",'Item Balance'!$C285)</f>
        <v/>
      </c>
      <c r="D286" s="23" t="str">
        <f>IF($A286="","",'Item Balance'!$I285)</f>
        <v/>
      </c>
      <c r="E286" s="23" t="str">
        <f>IF($A286="","",'Item Balance'!$F285)</f>
        <v/>
      </c>
      <c r="F286" s="26" t="str">
        <f t="shared" si="8"/>
        <v/>
      </c>
      <c r="G286" s="23" t="str">
        <f>IF($A286="","",'Item Balance'!$E285)</f>
        <v/>
      </c>
      <c r="H286" s="26" t="str">
        <f t="shared" si="9"/>
        <v/>
      </c>
      <c r="I286" s="20" t="str">
        <f>IF($A286="","",'Item Balance'!$D285)</f>
        <v/>
      </c>
      <c r="J286" s="31" t="str">
        <f>IF($A286="","",'Item Balance'!$P285)</f>
        <v/>
      </c>
    </row>
    <row r="287" spans="1:10" x14ac:dyDescent="0.35">
      <c r="A287" s="18" t="str">
        <f>IF('Item Balance'!$A286="","",'Item Balance'!$A286)</f>
        <v/>
      </c>
      <c r="B287" s="18" t="str">
        <f>IF($A287="","",'Item Balance'!$B286)</f>
        <v/>
      </c>
      <c r="C287" s="19" t="str">
        <f>IF($A287="","",'Item Balance'!$C286)</f>
        <v/>
      </c>
      <c r="D287" s="23" t="str">
        <f>IF($A287="","",'Item Balance'!$I286)</f>
        <v/>
      </c>
      <c r="E287" s="23" t="str">
        <f>IF($A287="","",'Item Balance'!$F286)</f>
        <v/>
      </c>
      <c r="F287" s="26" t="str">
        <f t="shared" si="8"/>
        <v/>
      </c>
      <c r="G287" s="23" t="str">
        <f>IF($A287="","",'Item Balance'!$E286)</f>
        <v/>
      </c>
      <c r="H287" s="26" t="str">
        <f t="shared" si="9"/>
        <v/>
      </c>
      <c r="I287" s="20" t="str">
        <f>IF($A287="","",'Item Balance'!$D286)</f>
        <v/>
      </c>
      <c r="J287" s="31" t="str">
        <f>IF($A287="","",'Item Balance'!$P286)</f>
        <v/>
      </c>
    </row>
    <row r="288" spans="1:10" x14ac:dyDescent="0.35">
      <c r="A288" s="18" t="str">
        <f>IF('Item Balance'!$A287="","",'Item Balance'!$A287)</f>
        <v/>
      </c>
      <c r="B288" s="18" t="str">
        <f>IF($A288="","",'Item Balance'!$B287)</f>
        <v/>
      </c>
      <c r="C288" s="19" t="str">
        <f>IF($A288="","",'Item Balance'!$C287)</f>
        <v/>
      </c>
      <c r="D288" s="23" t="str">
        <f>IF($A288="","",'Item Balance'!$I287)</f>
        <v/>
      </c>
      <c r="E288" s="23" t="str">
        <f>IF($A288="","",'Item Balance'!$F287)</f>
        <v/>
      </c>
      <c r="F288" s="26" t="str">
        <f t="shared" si="8"/>
        <v/>
      </c>
      <c r="G288" s="23" t="str">
        <f>IF($A288="","",'Item Balance'!$E287)</f>
        <v/>
      </c>
      <c r="H288" s="26" t="str">
        <f t="shared" si="9"/>
        <v/>
      </c>
      <c r="I288" s="20" t="str">
        <f>IF($A288="","",'Item Balance'!$D287)</f>
        <v/>
      </c>
      <c r="J288" s="31" t="str">
        <f>IF($A288="","",'Item Balance'!$P287)</f>
        <v/>
      </c>
    </row>
    <row r="289" spans="1:10" x14ac:dyDescent="0.35">
      <c r="A289" s="18" t="str">
        <f>IF('Item Balance'!$A288="","",'Item Balance'!$A288)</f>
        <v/>
      </c>
      <c r="B289" s="18" t="str">
        <f>IF($A289="","",'Item Balance'!$B288)</f>
        <v/>
      </c>
      <c r="C289" s="19" t="str">
        <f>IF($A289="","",'Item Balance'!$C288)</f>
        <v/>
      </c>
      <c r="D289" s="23" t="str">
        <f>IF($A289="","",'Item Balance'!$I288)</f>
        <v/>
      </c>
      <c r="E289" s="23" t="str">
        <f>IF($A289="","",'Item Balance'!$F288)</f>
        <v/>
      </c>
      <c r="F289" s="26" t="str">
        <f t="shared" si="8"/>
        <v/>
      </c>
      <c r="G289" s="23" t="str">
        <f>IF($A289="","",'Item Balance'!$E288)</f>
        <v/>
      </c>
      <c r="H289" s="26" t="str">
        <f t="shared" si="9"/>
        <v/>
      </c>
      <c r="I289" s="20" t="str">
        <f>IF($A289="","",'Item Balance'!$D288)</f>
        <v/>
      </c>
      <c r="J289" s="31" t="str">
        <f>IF($A289="","",'Item Balance'!$P288)</f>
        <v/>
      </c>
    </row>
    <row r="290" spans="1:10" x14ac:dyDescent="0.35">
      <c r="A290" s="18" t="str">
        <f>IF('Item Balance'!$A289="","",'Item Balance'!$A289)</f>
        <v/>
      </c>
      <c r="B290" s="18" t="str">
        <f>IF($A290="","",'Item Balance'!$B289)</f>
        <v/>
      </c>
      <c r="C290" s="19" t="str">
        <f>IF($A290="","",'Item Balance'!$C289)</f>
        <v/>
      </c>
      <c r="D290" s="23" t="str">
        <f>IF($A290="","",'Item Balance'!$I289)</f>
        <v/>
      </c>
      <c r="E290" s="23" t="str">
        <f>IF($A290="","",'Item Balance'!$F289)</f>
        <v/>
      </c>
      <c r="F290" s="26" t="str">
        <f t="shared" si="8"/>
        <v/>
      </c>
      <c r="G290" s="23" t="str">
        <f>IF($A290="","",'Item Balance'!$E289)</f>
        <v/>
      </c>
      <c r="H290" s="26" t="str">
        <f t="shared" si="9"/>
        <v/>
      </c>
      <c r="I290" s="20" t="str">
        <f>IF($A290="","",'Item Balance'!$D289)</f>
        <v/>
      </c>
      <c r="J290" s="31" t="str">
        <f>IF($A290="","",'Item Balance'!$P289)</f>
        <v/>
      </c>
    </row>
    <row r="291" spans="1:10" x14ac:dyDescent="0.35">
      <c r="A291" s="18" t="str">
        <f>IF('Item Balance'!$A290="","",'Item Balance'!$A290)</f>
        <v/>
      </c>
      <c r="B291" s="18" t="str">
        <f>IF($A291="","",'Item Balance'!$B290)</f>
        <v/>
      </c>
      <c r="C291" s="19" t="str">
        <f>IF($A291="","",'Item Balance'!$C290)</f>
        <v/>
      </c>
      <c r="D291" s="23" t="str">
        <f>IF($A291="","",'Item Balance'!$I290)</f>
        <v/>
      </c>
      <c r="E291" s="23" t="str">
        <f>IF($A291="","",'Item Balance'!$F290)</f>
        <v/>
      </c>
      <c r="F291" s="26" t="str">
        <f t="shared" si="8"/>
        <v/>
      </c>
      <c r="G291" s="23" t="str">
        <f>IF($A291="","",'Item Balance'!$E290)</f>
        <v/>
      </c>
      <c r="H291" s="26" t="str">
        <f t="shared" si="9"/>
        <v/>
      </c>
      <c r="I291" s="20" t="str">
        <f>IF($A291="","",'Item Balance'!$D290)</f>
        <v/>
      </c>
      <c r="J291" s="31" t="str">
        <f>IF($A291="","",'Item Balance'!$P290)</f>
        <v/>
      </c>
    </row>
    <row r="292" spans="1:10" x14ac:dyDescent="0.35">
      <c r="A292" s="18" t="str">
        <f>IF('Item Balance'!$A291="","",'Item Balance'!$A291)</f>
        <v/>
      </c>
      <c r="B292" s="18" t="str">
        <f>IF($A292="","",'Item Balance'!$B291)</f>
        <v/>
      </c>
      <c r="C292" s="19" t="str">
        <f>IF($A292="","",'Item Balance'!$C291)</f>
        <v/>
      </c>
      <c r="D292" s="23" t="str">
        <f>IF($A292="","",'Item Balance'!$I291)</f>
        <v/>
      </c>
      <c r="E292" s="23" t="str">
        <f>IF($A292="","",'Item Balance'!$F291)</f>
        <v/>
      </c>
      <c r="F292" s="26" t="str">
        <f t="shared" si="8"/>
        <v/>
      </c>
      <c r="G292" s="23" t="str">
        <f>IF($A292="","",'Item Balance'!$E291)</f>
        <v/>
      </c>
      <c r="H292" s="26" t="str">
        <f t="shared" si="9"/>
        <v/>
      </c>
      <c r="I292" s="20" t="str">
        <f>IF($A292="","",'Item Balance'!$D291)</f>
        <v/>
      </c>
      <c r="J292" s="31" t="str">
        <f>IF($A292="","",'Item Balance'!$P291)</f>
        <v/>
      </c>
    </row>
    <row r="293" spans="1:10" x14ac:dyDescent="0.35">
      <c r="A293" s="18" t="str">
        <f>IF('Item Balance'!$A292="","",'Item Balance'!$A292)</f>
        <v/>
      </c>
      <c r="B293" s="18" t="str">
        <f>IF($A293="","",'Item Balance'!$B292)</f>
        <v/>
      </c>
      <c r="C293" s="19" t="str">
        <f>IF($A293="","",'Item Balance'!$C292)</f>
        <v/>
      </c>
      <c r="D293" s="23" t="str">
        <f>IF($A293="","",'Item Balance'!$I292)</f>
        <v/>
      </c>
      <c r="E293" s="23" t="str">
        <f>IF($A293="","",'Item Balance'!$F292)</f>
        <v/>
      </c>
      <c r="F293" s="26" t="str">
        <f t="shared" si="8"/>
        <v/>
      </c>
      <c r="G293" s="23" t="str">
        <f>IF($A293="","",'Item Balance'!$E292)</f>
        <v/>
      </c>
      <c r="H293" s="26" t="str">
        <f t="shared" si="9"/>
        <v/>
      </c>
      <c r="I293" s="20" t="str">
        <f>IF($A293="","",'Item Balance'!$D292)</f>
        <v/>
      </c>
      <c r="J293" s="31" t="str">
        <f>IF($A293="","",'Item Balance'!$P292)</f>
        <v/>
      </c>
    </row>
    <row r="294" spans="1:10" x14ac:dyDescent="0.35">
      <c r="A294" s="18" t="str">
        <f>IF('Item Balance'!$A293="","",'Item Balance'!$A293)</f>
        <v/>
      </c>
      <c r="B294" s="18" t="str">
        <f>IF($A294="","",'Item Balance'!$B293)</f>
        <v/>
      </c>
      <c r="C294" s="19" t="str">
        <f>IF($A294="","",'Item Balance'!$C293)</f>
        <v/>
      </c>
      <c r="D294" s="23" t="str">
        <f>IF($A294="","",'Item Balance'!$I293)</f>
        <v/>
      </c>
      <c r="E294" s="23" t="str">
        <f>IF($A294="","",'Item Balance'!$F293)</f>
        <v/>
      </c>
      <c r="F294" s="26" t="str">
        <f t="shared" si="8"/>
        <v/>
      </c>
      <c r="G294" s="23" t="str">
        <f>IF($A294="","",'Item Balance'!$E293)</f>
        <v/>
      </c>
      <c r="H294" s="26" t="str">
        <f t="shared" si="9"/>
        <v/>
      </c>
      <c r="I294" s="20" t="str">
        <f>IF($A294="","",'Item Balance'!$D293)</f>
        <v/>
      </c>
      <c r="J294" s="31" t="str">
        <f>IF($A294="","",'Item Balance'!$P293)</f>
        <v/>
      </c>
    </row>
    <row r="295" spans="1:10" x14ac:dyDescent="0.35">
      <c r="A295" s="18" t="str">
        <f>IF('Item Balance'!$A294="","",'Item Balance'!$A294)</f>
        <v/>
      </c>
      <c r="B295" s="18" t="str">
        <f>IF($A295="","",'Item Balance'!$B294)</f>
        <v/>
      </c>
      <c r="C295" s="19" t="str">
        <f>IF($A295="","",'Item Balance'!$C294)</f>
        <v/>
      </c>
      <c r="D295" s="23" t="str">
        <f>IF($A295="","",'Item Balance'!$I294)</f>
        <v/>
      </c>
      <c r="E295" s="23" t="str">
        <f>IF($A295="","",'Item Balance'!$F294)</f>
        <v/>
      </c>
      <c r="F295" s="26" t="str">
        <f t="shared" si="8"/>
        <v/>
      </c>
      <c r="G295" s="23" t="str">
        <f>IF($A295="","",'Item Balance'!$E294)</f>
        <v/>
      </c>
      <c r="H295" s="26" t="str">
        <f t="shared" si="9"/>
        <v/>
      </c>
      <c r="I295" s="20" t="str">
        <f>IF($A295="","",'Item Balance'!$D294)</f>
        <v/>
      </c>
      <c r="J295" s="31" t="str">
        <f>IF($A295="","",'Item Balance'!$P294)</f>
        <v/>
      </c>
    </row>
    <row r="296" spans="1:10" x14ac:dyDescent="0.35">
      <c r="A296" s="18" t="str">
        <f>IF('Item Balance'!$A295="","",'Item Balance'!$A295)</f>
        <v/>
      </c>
      <c r="B296" s="18" t="str">
        <f>IF($A296="","",'Item Balance'!$B295)</f>
        <v/>
      </c>
      <c r="C296" s="19" t="str">
        <f>IF($A296="","",'Item Balance'!$C295)</f>
        <v/>
      </c>
      <c r="D296" s="23" t="str">
        <f>IF($A296="","",'Item Balance'!$I295)</f>
        <v/>
      </c>
      <c r="E296" s="23" t="str">
        <f>IF($A296="","",'Item Balance'!$F295)</f>
        <v/>
      </c>
      <c r="F296" s="26" t="str">
        <f t="shared" si="8"/>
        <v/>
      </c>
      <c r="G296" s="23" t="str">
        <f>IF($A296="","",'Item Balance'!$E295)</f>
        <v/>
      </c>
      <c r="H296" s="26" t="str">
        <f t="shared" si="9"/>
        <v/>
      </c>
      <c r="I296" s="20" t="str">
        <f>IF($A296="","",'Item Balance'!$D295)</f>
        <v/>
      </c>
      <c r="J296" s="31" t="str">
        <f>IF($A296="","",'Item Balance'!$P295)</f>
        <v/>
      </c>
    </row>
    <row r="297" spans="1:10" x14ac:dyDescent="0.35">
      <c r="A297" s="18" t="str">
        <f>IF('Item Balance'!$A296="","",'Item Balance'!$A296)</f>
        <v/>
      </c>
      <c r="B297" s="18" t="str">
        <f>IF($A297="","",'Item Balance'!$B296)</f>
        <v/>
      </c>
      <c r="C297" s="19" t="str">
        <f>IF($A297="","",'Item Balance'!$C296)</f>
        <v/>
      </c>
      <c r="D297" s="23" t="str">
        <f>IF($A297="","",'Item Balance'!$I296)</f>
        <v/>
      </c>
      <c r="E297" s="23" t="str">
        <f>IF($A297="","",'Item Balance'!$F296)</f>
        <v/>
      </c>
      <c r="F297" s="26" t="str">
        <f t="shared" si="8"/>
        <v/>
      </c>
      <c r="G297" s="23" t="str">
        <f>IF($A297="","",'Item Balance'!$E296)</f>
        <v/>
      </c>
      <c r="H297" s="26" t="str">
        <f t="shared" si="9"/>
        <v/>
      </c>
      <c r="I297" s="20" t="str">
        <f>IF($A297="","",'Item Balance'!$D296)</f>
        <v/>
      </c>
      <c r="J297" s="31" t="str">
        <f>IF($A297="","",'Item Balance'!$P296)</f>
        <v/>
      </c>
    </row>
    <row r="298" spans="1:10" x14ac:dyDescent="0.35">
      <c r="A298" s="18" t="str">
        <f>IF('Item Balance'!$A297="","",'Item Balance'!$A297)</f>
        <v/>
      </c>
      <c r="B298" s="18" t="str">
        <f>IF($A298="","",'Item Balance'!$B297)</f>
        <v/>
      </c>
      <c r="C298" s="19" t="str">
        <f>IF($A298="","",'Item Balance'!$C297)</f>
        <v/>
      </c>
      <c r="D298" s="23" t="str">
        <f>IF($A298="","",'Item Balance'!$I297)</f>
        <v/>
      </c>
      <c r="E298" s="23" t="str">
        <f>IF($A298="","",'Item Balance'!$F297)</f>
        <v/>
      </c>
      <c r="F298" s="26" t="str">
        <f t="shared" si="8"/>
        <v/>
      </c>
      <c r="G298" s="23" t="str">
        <f>IF($A298="","",'Item Balance'!$E297)</f>
        <v/>
      </c>
      <c r="H298" s="26" t="str">
        <f t="shared" si="9"/>
        <v/>
      </c>
      <c r="I298" s="20" t="str">
        <f>IF($A298="","",'Item Balance'!$D297)</f>
        <v/>
      </c>
      <c r="J298" s="31" t="str">
        <f>IF($A298="","",'Item Balance'!$P297)</f>
        <v/>
      </c>
    </row>
    <row r="299" spans="1:10" x14ac:dyDescent="0.35">
      <c r="A299" s="18" t="str">
        <f>IF('Item Balance'!$A298="","",'Item Balance'!$A298)</f>
        <v/>
      </c>
      <c r="B299" s="18" t="str">
        <f>IF($A299="","",'Item Balance'!$B298)</f>
        <v/>
      </c>
      <c r="C299" s="19" t="str">
        <f>IF($A299="","",'Item Balance'!$C298)</f>
        <v/>
      </c>
      <c r="D299" s="23" t="str">
        <f>IF($A299="","",'Item Balance'!$I298)</f>
        <v/>
      </c>
      <c r="E299" s="23" t="str">
        <f>IF($A299="","",'Item Balance'!$F298)</f>
        <v/>
      </c>
      <c r="F299" s="26" t="str">
        <f t="shared" si="8"/>
        <v/>
      </c>
      <c r="G299" s="23" t="str">
        <f>IF($A299="","",'Item Balance'!$E298)</f>
        <v/>
      </c>
      <c r="H299" s="26" t="str">
        <f t="shared" si="9"/>
        <v/>
      </c>
      <c r="I299" s="20" t="str">
        <f>IF($A299="","",'Item Balance'!$D298)</f>
        <v/>
      </c>
      <c r="J299" s="31" t="str">
        <f>IF($A299="","",'Item Balance'!$P298)</f>
        <v/>
      </c>
    </row>
    <row r="300" spans="1:10" x14ac:dyDescent="0.35">
      <c r="A300" s="18" t="str">
        <f>IF('Item Balance'!$A299="","",'Item Balance'!$A299)</f>
        <v/>
      </c>
      <c r="B300" s="18" t="str">
        <f>IF($A300="","",'Item Balance'!$B299)</f>
        <v/>
      </c>
      <c r="C300" s="19" t="str">
        <f>IF($A300="","",'Item Balance'!$C299)</f>
        <v/>
      </c>
      <c r="D300" s="23" t="str">
        <f>IF($A300="","",'Item Balance'!$I299)</f>
        <v/>
      </c>
      <c r="E300" s="23" t="str">
        <f>IF($A300="","",'Item Balance'!$F299)</f>
        <v/>
      </c>
      <c r="F300" s="26" t="str">
        <f t="shared" si="8"/>
        <v/>
      </c>
      <c r="G300" s="23" t="str">
        <f>IF($A300="","",'Item Balance'!$E299)</f>
        <v/>
      </c>
      <c r="H300" s="26" t="str">
        <f t="shared" si="9"/>
        <v/>
      </c>
      <c r="I300" s="20" t="str">
        <f>IF($A300="","",'Item Balance'!$D299)</f>
        <v/>
      </c>
      <c r="J300" s="31" t="str">
        <f>IF($A300="","",'Item Balance'!$P299)</f>
        <v/>
      </c>
    </row>
    <row r="301" spans="1:10" x14ac:dyDescent="0.35">
      <c r="A301" s="18" t="str">
        <f>IF('Item Balance'!$A300="","",'Item Balance'!$A300)</f>
        <v/>
      </c>
      <c r="B301" s="18" t="str">
        <f>IF($A301="","",'Item Balance'!$B300)</f>
        <v/>
      </c>
      <c r="C301" s="19" t="str">
        <f>IF($A301="","",'Item Balance'!$C300)</f>
        <v/>
      </c>
      <c r="D301" s="23" t="str">
        <f>IF($A301="","",'Item Balance'!$I300)</f>
        <v/>
      </c>
      <c r="E301" s="23" t="str">
        <f>IF($A301="","",'Item Balance'!$F300)</f>
        <v/>
      </c>
      <c r="F301" s="26" t="str">
        <f t="shared" si="8"/>
        <v/>
      </c>
      <c r="G301" s="23" t="str">
        <f>IF($A301="","",'Item Balance'!$E300)</f>
        <v/>
      </c>
      <c r="H301" s="26" t="str">
        <f t="shared" si="9"/>
        <v/>
      </c>
      <c r="I301" s="20" t="str">
        <f>IF($A301="","",'Item Balance'!$D300)</f>
        <v/>
      </c>
      <c r="J301" s="31" t="str">
        <f>IF($A301="","",'Item Balance'!$P300)</f>
        <v/>
      </c>
    </row>
    <row r="302" spans="1:10" x14ac:dyDescent="0.35">
      <c r="A302" s="18" t="str">
        <f>IF('Item Balance'!$A301="","",'Item Balance'!$A301)</f>
        <v/>
      </c>
      <c r="B302" s="18" t="str">
        <f>IF($A302="","",'Item Balance'!$B301)</f>
        <v/>
      </c>
      <c r="C302" s="19" t="str">
        <f>IF($A302="","",'Item Balance'!$C301)</f>
        <v/>
      </c>
      <c r="D302" s="23" t="str">
        <f>IF($A302="","",'Item Balance'!$I301)</f>
        <v/>
      </c>
      <c r="E302" s="23" t="str">
        <f>IF($A302="","",'Item Balance'!$F301)</f>
        <v/>
      </c>
      <c r="F302" s="26" t="str">
        <f t="shared" si="8"/>
        <v/>
      </c>
      <c r="G302" s="23" t="str">
        <f>IF($A302="","",'Item Balance'!$E301)</f>
        <v/>
      </c>
      <c r="H302" s="26" t="str">
        <f t="shared" si="9"/>
        <v/>
      </c>
      <c r="I302" s="20" t="str">
        <f>IF($A302="","",'Item Balance'!$D301)</f>
        <v/>
      </c>
      <c r="J302" s="31" t="str">
        <f>IF($A302="","",'Item Balance'!$P301)</f>
        <v/>
      </c>
    </row>
    <row r="303" spans="1:10" x14ac:dyDescent="0.35">
      <c r="A303" s="18" t="str">
        <f>IF('Item Balance'!$A302="","",'Item Balance'!$A302)</f>
        <v/>
      </c>
      <c r="B303" s="18" t="str">
        <f>IF($A303="","",'Item Balance'!$B302)</f>
        <v/>
      </c>
      <c r="C303" s="19" t="str">
        <f>IF($A303="","",'Item Balance'!$C302)</f>
        <v/>
      </c>
      <c r="D303" s="23" t="str">
        <f>IF($A303="","",'Item Balance'!$I302)</f>
        <v/>
      </c>
      <c r="E303" s="23" t="str">
        <f>IF($A303="","",'Item Balance'!$F302)</f>
        <v/>
      </c>
      <c r="F303" s="26" t="str">
        <f t="shared" si="8"/>
        <v/>
      </c>
      <c r="G303" s="23" t="str">
        <f>IF($A303="","",'Item Balance'!$E302)</f>
        <v/>
      </c>
      <c r="H303" s="26" t="str">
        <f t="shared" si="9"/>
        <v/>
      </c>
      <c r="I303" s="20" t="str">
        <f>IF($A303="","",'Item Balance'!$D302)</f>
        <v/>
      </c>
      <c r="J303" s="31" t="str">
        <f>IF($A303="","",'Item Balance'!$P302)</f>
        <v/>
      </c>
    </row>
    <row r="304" spans="1:10" x14ac:dyDescent="0.35">
      <c r="A304" s="18" t="str">
        <f>IF('Item Balance'!$A303="","",'Item Balance'!$A303)</f>
        <v/>
      </c>
      <c r="B304" s="18" t="str">
        <f>IF($A304="","",'Item Balance'!$B303)</f>
        <v/>
      </c>
      <c r="C304" s="19" t="str">
        <f>IF($A304="","",'Item Balance'!$C303)</f>
        <v/>
      </c>
      <c r="D304" s="23" t="str">
        <f>IF($A304="","",'Item Balance'!$I303)</f>
        <v/>
      </c>
      <c r="E304" s="23" t="str">
        <f>IF($A304="","",'Item Balance'!$F303)</f>
        <v/>
      </c>
      <c r="F304" s="26" t="str">
        <f t="shared" si="8"/>
        <v/>
      </c>
      <c r="G304" s="23" t="str">
        <f>IF($A304="","",'Item Balance'!$E303)</f>
        <v/>
      </c>
      <c r="H304" s="26" t="str">
        <f t="shared" si="9"/>
        <v/>
      </c>
      <c r="I304" s="20" t="str">
        <f>IF($A304="","",'Item Balance'!$D303)</f>
        <v/>
      </c>
      <c r="J304" s="31" t="str">
        <f>IF($A304="","",'Item Balance'!$P303)</f>
        <v/>
      </c>
    </row>
    <row r="305" spans="1:10" x14ac:dyDescent="0.35">
      <c r="A305" s="18" t="str">
        <f>IF('Item Balance'!$A304="","",'Item Balance'!$A304)</f>
        <v/>
      </c>
      <c r="B305" s="18" t="str">
        <f>IF($A305="","",'Item Balance'!$B304)</f>
        <v/>
      </c>
      <c r="C305" s="19" t="str">
        <f>IF($A305="","",'Item Balance'!$C304)</f>
        <v/>
      </c>
      <c r="D305" s="23" t="str">
        <f>IF($A305="","",'Item Balance'!$I304)</f>
        <v/>
      </c>
      <c r="E305" s="23" t="str">
        <f>IF($A305="","",'Item Balance'!$F304)</f>
        <v/>
      </c>
      <c r="F305" s="26" t="str">
        <f t="shared" si="8"/>
        <v/>
      </c>
      <c r="G305" s="23" t="str">
        <f>IF($A305="","",'Item Balance'!$E304)</f>
        <v/>
      </c>
      <c r="H305" s="26" t="str">
        <f t="shared" si="9"/>
        <v/>
      </c>
      <c r="I305" s="20" t="str">
        <f>IF($A305="","",'Item Balance'!$D304)</f>
        <v/>
      </c>
      <c r="J305" s="31" t="str">
        <f>IF($A305="","",'Item Balance'!$P304)</f>
        <v/>
      </c>
    </row>
    <row r="306" spans="1:10" x14ac:dyDescent="0.35">
      <c r="A306" s="18" t="str">
        <f>IF('Item Balance'!$A305="","",'Item Balance'!$A305)</f>
        <v/>
      </c>
      <c r="B306" s="18" t="str">
        <f>IF($A306="","",'Item Balance'!$B305)</f>
        <v/>
      </c>
      <c r="C306" s="19" t="str">
        <f>IF($A306="","",'Item Balance'!$C305)</f>
        <v/>
      </c>
      <c r="D306" s="23" t="str">
        <f>IF($A306="","",'Item Balance'!$I305)</f>
        <v/>
      </c>
      <c r="E306" s="23" t="str">
        <f>IF($A306="","",'Item Balance'!$F305)</f>
        <v/>
      </c>
      <c r="F306" s="26" t="str">
        <f t="shared" si="8"/>
        <v/>
      </c>
      <c r="G306" s="23" t="str">
        <f>IF($A306="","",'Item Balance'!$E305)</f>
        <v/>
      </c>
      <c r="H306" s="26" t="str">
        <f t="shared" si="9"/>
        <v/>
      </c>
      <c r="I306" s="20" t="str">
        <f>IF($A306="","",'Item Balance'!$D305)</f>
        <v/>
      </c>
      <c r="J306" s="31" t="str">
        <f>IF($A306="","",'Item Balance'!$P305)</f>
        <v/>
      </c>
    </row>
    <row r="307" spans="1:10" x14ac:dyDescent="0.35">
      <c r="A307" s="18" t="str">
        <f>IF('Item Balance'!$A306="","",'Item Balance'!$A306)</f>
        <v/>
      </c>
      <c r="B307" s="18" t="str">
        <f>IF($A307="","",'Item Balance'!$B306)</f>
        <v/>
      </c>
      <c r="C307" s="19" t="str">
        <f>IF($A307="","",'Item Balance'!$C306)</f>
        <v/>
      </c>
      <c r="D307" s="23" t="str">
        <f>IF($A307="","",'Item Balance'!$I306)</f>
        <v/>
      </c>
      <c r="E307" s="23" t="str">
        <f>IF($A307="","",'Item Balance'!$F306)</f>
        <v/>
      </c>
      <c r="F307" s="26" t="str">
        <f t="shared" si="8"/>
        <v/>
      </c>
      <c r="G307" s="23" t="str">
        <f>IF($A307="","",'Item Balance'!$E306)</f>
        <v/>
      </c>
      <c r="H307" s="26" t="str">
        <f t="shared" si="9"/>
        <v/>
      </c>
      <c r="I307" s="20" t="str">
        <f>IF($A307="","",'Item Balance'!$D306)</f>
        <v/>
      </c>
      <c r="J307" s="31" t="str">
        <f>IF($A307="","",'Item Balance'!$P306)</f>
        <v/>
      </c>
    </row>
    <row r="308" spans="1:10" x14ac:dyDescent="0.35">
      <c r="A308" s="18" t="str">
        <f>IF('Item Balance'!$A307="","",'Item Balance'!$A307)</f>
        <v/>
      </c>
      <c r="B308" s="18" t="str">
        <f>IF($A308="","",'Item Balance'!$B307)</f>
        <v/>
      </c>
      <c r="C308" s="19" t="str">
        <f>IF($A308="","",'Item Balance'!$C307)</f>
        <v/>
      </c>
      <c r="D308" s="23" t="str">
        <f>IF($A308="","",'Item Balance'!$I307)</f>
        <v/>
      </c>
      <c r="E308" s="23" t="str">
        <f>IF($A308="","",'Item Balance'!$F307)</f>
        <v/>
      </c>
      <c r="F308" s="26" t="str">
        <f t="shared" si="8"/>
        <v/>
      </c>
      <c r="G308" s="23" t="str">
        <f>IF($A308="","",'Item Balance'!$E307)</f>
        <v/>
      </c>
      <c r="H308" s="26" t="str">
        <f t="shared" si="9"/>
        <v/>
      </c>
      <c r="I308" s="20" t="str">
        <f>IF($A308="","",'Item Balance'!$D307)</f>
        <v/>
      </c>
      <c r="J308" s="31" t="str">
        <f>IF($A308="","",'Item Balance'!$P307)</f>
        <v/>
      </c>
    </row>
    <row r="309" spans="1:10" x14ac:dyDescent="0.35">
      <c r="A309" s="18" t="str">
        <f>IF('Item Balance'!$A308="","",'Item Balance'!$A308)</f>
        <v/>
      </c>
      <c r="B309" s="18" t="str">
        <f>IF($A309="","",'Item Balance'!$B308)</f>
        <v/>
      </c>
      <c r="C309" s="19" t="str">
        <f>IF($A309="","",'Item Balance'!$C308)</f>
        <v/>
      </c>
      <c r="D309" s="23" t="str">
        <f>IF($A309="","",'Item Balance'!$I308)</f>
        <v/>
      </c>
      <c r="E309" s="23" t="str">
        <f>IF($A309="","",'Item Balance'!$F308)</f>
        <v/>
      </c>
      <c r="F309" s="26" t="str">
        <f t="shared" si="8"/>
        <v/>
      </c>
      <c r="G309" s="23" t="str">
        <f>IF($A309="","",'Item Balance'!$E308)</f>
        <v/>
      </c>
      <c r="H309" s="26" t="str">
        <f t="shared" si="9"/>
        <v/>
      </c>
      <c r="I309" s="20" t="str">
        <f>IF($A309="","",'Item Balance'!$D308)</f>
        <v/>
      </c>
      <c r="J309" s="31" t="str">
        <f>IF($A309="","",'Item Balance'!$P308)</f>
        <v/>
      </c>
    </row>
    <row r="310" spans="1:10" x14ac:dyDescent="0.35">
      <c r="A310" s="18" t="str">
        <f>IF('Item Balance'!$A309="","",'Item Balance'!$A309)</f>
        <v/>
      </c>
      <c r="B310" s="18" t="str">
        <f>IF($A310="","",'Item Balance'!$B309)</f>
        <v/>
      </c>
      <c r="C310" s="19" t="str">
        <f>IF($A310="","",'Item Balance'!$C309)</f>
        <v/>
      </c>
      <c r="D310" s="23" t="str">
        <f>IF($A310="","",'Item Balance'!$I309)</f>
        <v/>
      </c>
      <c r="E310" s="23" t="str">
        <f>IF($A310="","",'Item Balance'!$F309)</f>
        <v/>
      </c>
      <c r="F310" s="26" t="str">
        <f t="shared" si="8"/>
        <v/>
      </c>
      <c r="G310" s="23" t="str">
        <f>IF($A310="","",'Item Balance'!$E309)</f>
        <v/>
      </c>
      <c r="H310" s="26" t="str">
        <f t="shared" si="9"/>
        <v/>
      </c>
      <c r="I310" s="20" t="str">
        <f>IF($A310="","",'Item Balance'!$D309)</f>
        <v/>
      </c>
      <c r="J310" s="31" t="str">
        <f>IF($A310="","",'Item Balance'!$P309)</f>
        <v/>
      </c>
    </row>
    <row r="311" spans="1:10" x14ac:dyDescent="0.35">
      <c r="A311" s="18" t="str">
        <f>IF('Item Balance'!$A310="","",'Item Balance'!$A310)</f>
        <v/>
      </c>
      <c r="B311" s="18" t="str">
        <f>IF($A311="","",'Item Balance'!$B310)</f>
        <v/>
      </c>
      <c r="C311" s="19" t="str">
        <f>IF($A311="","",'Item Balance'!$C310)</f>
        <v/>
      </c>
      <c r="D311" s="23" t="str">
        <f>IF($A311="","",'Item Balance'!$I310)</f>
        <v/>
      </c>
      <c r="E311" s="23" t="str">
        <f>IF($A311="","",'Item Balance'!$F310)</f>
        <v/>
      </c>
      <c r="F311" s="26" t="str">
        <f t="shared" si="8"/>
        <v/>
      </c>
      <c r="G311" s="23" t="str">
        <f>IF($A311="","",'Item Balance'!$E310)</f>
        <v/>
      </c>
      <c r="H311" s="26" t="str">
        <f t="shared" si="9"/>
        <v/>
      </c>
      <c r="I311" s="20" t="str">
        <f>IF($A311="","",'Item Balance'!$D310)</f>
        <v/>
      </c>
      <c r="J311" s="31" t="str">
        <f>IF($A311="","",'Item Balance'!$P310)</f>
        <v/>
      </c>
    </row>
    <row r="312" spans="1:10" x14ac:dyDescent="0.35">
      <c r="A312" s="18" t="str">
        <f>IF('Item Balance'!$A311="","",'Item Balance'!$A311)</f>
        <v/>
      </c>
      <c r="B312" s="18" t="str">
        <f>IF($A312="","",'Item Balance'!$B311)</f>
        <v/>
      </c>
      <c r="C312" s="19" t="str">
        <f>IF($A312="","",'Item Balance'!$C311)</f>
        <v/>
      </c>
      <c r="D312" s="23" t="str">
        <f>IF($A312="","",'Item Balance'!$I311)</f>
        <v/>
      </c>
      <c r="E312" s="23" t="str">
        <f>IF($A312="","",'Item Balance'!$F311)</f>
        <v/>
      </c>
      <c r="F312" s="26" t="str">
        <f t="shared" si="8"/>
        <v/>
      </c>
      <c r="G312" s="23" t="str">
        <f>IF($A312="","",'Item Balance'!$E311)</f>
        <v/>
      </c>
      <c r="H312" s="26" t="str">
        <f t="shared" si="9"/>
        <v/>
      </c>
      <c r="I312" s="20" t="str">
        <f>IF($A312="","",'Item Balance'!$D311)</f>
        <v/>
      </c>
      <c r="J312" s="31" t="str">
        <f>IF($A312="","",'Item Balance'!$P311)</f>
        <v/>
      </c>
    </row>
    <row r="313" spans="1:10" x14ac:dyDescent="0.35">
      <c r="A313" s="18" t="str">
        <f>IF('Item Balance'!$A312="","",'Item Balance'!$A312)</f>
        <v/>
      </c>
      <c r="B313" s="18" t="str">
        <f>IF($A313="","",'Item Balance'!$B312)</f>
        <v/>
      </c>
      <c r="C313" s="19" t="str">
        <f>IF($A313="","",'Item Balance'!$C312)</f>
        <v/>
      </c>
      <c r="D313" s="23" t="str">
        <f>IF($A313="","",'Item Balance'!$I312)</f>
        <v/>
      </c>
      <c r="E313" s="23" t="str">
        <f>IF($A313="","",'Item Balance'!$F312)</f>
        <v/>
      </c>
      <c r="F313" s="26" t="str">
        <f t="shared" si="8"/>
        <v/>
      </c>
      <c r="G313" s="23" t="str">
        <f>IF($A313="","",'Item Balance'!$E312)</f>
        <v/>
      </c>
      <c r="H313" s="26" t="str">
        <f t="shared" si="9"/>
        <v/>
      </c>
      <c r="I313" s="20" t="str">
        <f>IF($A313="","",'Item Balance'!$D312)</f>
        <v/>
      </c>
      <c r="J313" s="31" t="str">
        <f>IF($A313="","",'Item Balance'!$P312)</f>
        <v/>
      </c>
    </row>
    <row r="314" spans="1:10" x14ac:dyDescent="0.35">
      <c r="A314" s="18" t="str">
        <f>IF('Item Balance'!$A313="","",'Item Balance'!$A313)</f>
        <v/>
      </c>
      <c r="B314" s="18" t="str">
        <f>IF($A314="","",'Item Balance'!$B313)</f>
        <v/>
      </c>
      <c r="C314" s="19" t="str">
        <f>IF($A314="","",'Item Balance'!$C313)</f>
        <v/>
      </c>
      <c r="D314" s="23" t="str">
        <f>IF($A314="","",'Item Balance'!$I313)</f>
        <v/>
      </c>
      <c r="E314" s="23" t="str">
        <f>IF($A314="","",'Item Balance'!$F313)</f>
        <v/>
      </c>
      <c r="F314" s="26" t="str">
        <f t="shared" si="8"/>
        <v/>
      </c>
      <c r="G314" s="23" t="str">
        <f>IF($A314="","",'Item Balance'!$E313)</f>
        <v/>
      </c>
      <c r="H314" s="26" t="str">
        <f t="shared" si="9"/>
        <v/>
      </c>
      <c r="I314" s="20" t="str">
        <f>IF($A314="","",'Item Balance'!$D313)</f>
        <v/>
      </c>
      <c r="J314" s="31" t="str">
        <f>IF($A314="","",'Item Balance'!$P313)</f>
        <v/>
      </c>
    </row>
    <row r="315" spans="1:10" x14ac:dyDescent="0.35">
      <c r="A315" s="18" t="str">
        <f>IF('Item Balance'!$A314="","",'Item Balance'!$A314)</f>
        <v/>
      </c>
      <c r="B315" s="18" t="str">
        <f>IF($A315="","",'Item Balance'!$B314)</f>
        <v/>
      </c>
      <c r="C315" s="19" t="str">
        <f>IF($A315="","",'Item Balance'!$C314)</f>
        <v/>
      </c>
      <c r="D315" s="23" t="str">
        <f>IF($A315="","",'Item Balance'!$I314)</f>
        <v/>
      </c>
      <c r="E315" s="23" t="str">
        <f>IF($A315="","",'Item Balance'!$F314)</f>
        <v/>
      </c>
      <c r="F315" s="26" t="str">
        <f t="shared" si="8"/>
        <v/>
      </c>
      <c r="G315" s="23" t="str">
        <f>IF($A315="","",'Item Balance'!$E314)</f>
        <v/>
      </c>
      <c r="H315" s="26" t="str">
        <f t="shared" si="9"/>
        <v/>
      </c>
      <c r="I315" s="20" t="str">
        <f>IF($A315="","",'Item Balance'!$D314)</f>
        <v/>
      </c>
      <c r="J315" s="31" t="str">
        <f>IF($A315="","",'Item Balance'!$P314)</f>
        <v/>
      </c>
    </row>
    <row r="316" spans="1:10" x14ac:dyDescent="0.35">
      <c r="A316" s="18" t="str">
        <f>IF('Item Balance'!$A315="","",'Item Balance'!$A315)</f>
        <v/>
      </c>
      <c r="B316" s="18" t="str">
        <f>IF($A316="","",'Item Balance'!$B315)</f>
        <v/>
      </c>
      <c r="C316" s="19" t="str">
        <f>IF($A316="","",'Item Balance'!$C315)</f>
        <v/>
      </c>
      <c r="D316" s="23" t="str">
        <f>IF($A316="","",'Item Balance'!$I315)</f>
        <v/>
      </c>
      <c r="E316" s="23" t="str">
        <f>IF($A316="","",'Item Balance'!$F315)</f>
        <v/>
      </c>
      <c r="F316" s="26" t="str">
        <f t="shared" si="8"/>
        <v/>
      </c>
      <c r="G316" s="23" t="str">
        <f>IF($A316="","",'Item Balance'!$E315)</f>
        <v/>
      </c>
      <c r="H316" s="26" t="str">
        <f t="shared" si="9"/>
        <v/>
      </c>
      <c r="I316" s="20" t="str">
        <f>IF($A316="","",'Item Balance'!$D315)</f>
        <v/>
      </c>
      <c r="J316" s="31" t="str">
        <f>IF($A316="","",'Item Balance'!$P315)</f>
        <v/>
      </c>
    </row>
    <row r="317" spans="1:10" x14ac:dyDescent="0.35">
      <c r="A317" s="18" t="str">
        <f>IF('Item Balance'!$A316="","",'Item Balance'!$A316)</f>
        <v/>
      </c>
      <c r="B317" s="18" t="str">
        <f>IF($A317="","",'Item Balance'!$B316)</f>
        <v/>
      </c>
      <c r="C317" s="19" t="str">
        <f>IF($A317="","",'Item Balance'!$C316)</f>
        <v/>
      </c>
      <c r="D317" s="23" t="str">
        <f>IF($A317="","",'Item Balance'!$I316)</f>
        <v/>
      </c>
      <c r="E317" s="23" t="str">
        <f>IF($A317="","",'Item Balance'!$F316)</f>
        <v/>
      </c>
      <c r="F317" s="26" t="str">
        <f t="shared" si="8"/>
        <v/>
      </c>
      <c r="G317" s="23" t="str">
        <f>IF($A317="","",'Item Balance'!$E316)</f>
        <v/>
      </c>
      <c r="H317" s="26" t="str">
        <f t="shared" si="9"/>
        <v/>
      </c>
      <c r="I317" s="20" t="str">
        <f>IF($A317="","",'Item Balance'!$D316)</f>
        <v/>
      </c>
      <c r="J317" s="31" t="str">
        <f>IF($A317="","",'Item Balance'!$P316)</f>
        <v/>
      </c>
    </row>
    <row r="318" spans="1:10" x14ac:dyDescent="0.35">
      <c r="A318" s="18" t="str">
        <f>IF('Item Balance'!$A317="","",'Item Balance'!$A317)</f>
        <v/>
      </c>
      <c r="B318" s="18" t="str">
        <f>IF($A318="","",'Item Balance'!$B317)</f>
        <v/>
      </c>
      <c r="C318" s="19" t="str">
        <f>IF($A318="","",'Item Balance'!$C317)</f>
        <v/>
      </c>
      <c r="D318" s="23" t="str">
        <f>IF($A318="","",'Item Balance'!$I317)</f>
        <v/>
      </c>
      <c r="E318" s="23" t="str">
        <f>IF($A318="","",'Item Balance'!$F317)</f>
        <v/>
      </c>
      <c r="F318" s="26" t="str">
        <f t="shared" si="8"/>
        <v/>
      </c>
      <c r="G318" s="23" t="str">
        <f>IF($A318="","",'Item Balance'!$E317)</f>
        <v/>
      </c>
      <c r="H318" s="26" t="str">
        <f t="shared" si="9"/>
        <v/>
      </c>
      <c r="I318" s="20" t="str">
        <f>IF($A318="","",'Item Balance'!$D317)</f>
        <v/>
      </c>
      <c r="J318" s="31" t="str">
        <f>IF($A318="","",'Item Balance'!$P317)</f>
        <v/>
      </c>
    </row>
    <row r="319" spans="1:10" x14ac:dyDescent="0.35">
      <c r="A319" s="18" t="str">
        <f>IF('Item Balance'!$A318="","",'Item Balance'!$A318)</f>
        <v/>
      </c>
      <c r="B319" s="18" t="str">
        <f>IF($A319="","",'Item Balance'!$B318)</f>
        <v/>
      </c>
      <c r="C319" s="19" t="str">
        <f>IF($A319="","",'Item Balance'!$C318)</f>
        <v/>
      </c>
      <c r="D319" s="23" t="str">
        <f>IF($A319="","",'Item Balance'!$I318)</f>
        <v/>
      </c>
      <c r="E319" s="23" t="str">
        <f>IF($A319="","",'Item Balance'!$F318)</f>
        <v/>
      </c>
      <c r="F319" s="26" t="str">
        <f t="shared" si="8"/>
        <v/>
      </c>
      <c r="G319" s="23" t="str">
        <f>IF($A319="","",'Item Balance'!$E318)</f>
        <v/>
      </c>
      <c r="H319" s="26" t="str">
        <f t="shared" si="9"/>
        <v/>
      </c>
      <c r="I319" s="20" t="str">
        <f>IF($A319="","",'Item Balance'!$D318)</f>
        <v/>
      </c>
      <c r="J319" s="31" t="str">
        <f>IF($A319="","",'Item Balance'!$P318)</f>
        <v/>
      </c>
    </row>
    <row r="320" spans="1:10" x14ac:dyDescent="0.35">
      <c r="A320" s="18" t="str">
        <f>IF('Item Balance'!$A319="","",'Item Balance'!$A319)</f>
        <v/>
      </c>
      <c r="B320" s="18" t="str">
        <f>IF($A320="","",'Item Balance'!$B319)</f>
        <v/>
      </c>
      <c r="C320" s="19" t="str">
        <f>IF($A320="","",'Item Balance'!$C319)</f>
        <v/>
      </c>
      <c r="D320" s="23" t="str">
        <f>IF($A320="","",'Item Balance'!$I319)</f>
        <v/>
      </c>
      <c r="E320" s="23" t="str">
        <f>IF($A320="","",'Item Balance'!$F319)</f>
        <v/>
      </c>
      <c r="F320" s="26" t="str">
        <f t="shared" si="8"/>
        <v/>
      </c>
      <c r="G320" s="23" t="str">
        <f>IF($A320="","",'Item Balance'!$E319)</f>
        <v/>
      </c>
      <c r="H320" s="26" t="str">
        <f t="shared" si="9"/>
        <v/>
      </c>
      <c r="I320" s="20" t="str">
        <f>IF($A320="","",'Item Balance'!$D319)</f>
        <v/>
      </c>
      <c r="J320" s="31" t="str">
        <f>IF($A320="","",'Item Balance'!$P319)</f>
        <v/>
      </c>
    </row>
    <row r="321" spans="1:10" x14ac:dyDescent="0.35">
      <c r="A321" s="18" t="str">
        <f>IF('Item Balance'!$A320="","",'Item Balance'!$A320)</f>
        <v/>
      </c>
      <c r="B321" s="18" t="str">
        <f>IF($A321="","",'Item Balance'!$B320)</f>
        <v/>
      </c>
      <c r="C321" s="19" t="str">
        <f>IF($A321="","",'Item Balance'!$C320)</f>
        <v/>
      </c>
      <c r="D321" s="23" t="str">
        <f>IF($A321="","",'Item Balance'!$I320)</f>
        <v/>
      </c>
      <c r="E321" s="23" t="str">
        <f>IF($A321="","",'Item Balance'!$F320)</f>
        <v/>
      </c>
      <c r="F321" s="26" t="str">
        <f t="shared" si="8"/>
        <v/>
      </c>
      <c r="G321" s="23" t="str">
        <f>IF($A321="","",'Item Balance'!$E320)</f>
        <v/>
      </c>
      <c r="H321" s="26" t="str">
        <f t="shared" si="9"/>
        <v/>
      </c>
      <c r="I321" s="20" t="str">
        <f>IF($A321="","",'Item Balance'!$D320)</f>
        <v/>
      </c>
      <c r="J321" s="31" t="str">
        <f>IF($A321="","",'Item Balance'!$P320)</f>
        <v/>
      </c>
    </row>
    <row r="322" spans="1:10" x14ac:dyDescent="0.35">
      <c r="A322" s="18" t="str">
        <f>IF('Item Balance'!$A321="","",'Item Balance'!$A321)</f>
        <v/>
      </c>
      <c r="B322" s="18" t="str">
        <f>IF($A322="","",'Item Balance'!$B321)</f>
        <v/>
      </c>
      <c r="C322" s="19" t="str">
        <f>IF($A322="","",'Item Balance'!$C321)</f>
        <v/>
      </c>
      <c r="D322" s="23" t="str">
        <f>IF($A322="","",'Item Balance'!$I321)</f>
        <v/>
      </c>
      <c r="E322" s="23" t="str">
        <f>IF($A322="","",'Item Balance'!$F321)</f>
        <v/>
      </c>
      <c r="F322" s="26" t="str">
        <f t="shared" si="8"/>
        <v/>
      </c>
      <c r="G322" s="23" t="str">
        <f>IF($A322="","",'Item Balance'!$E321)</f>
        <v/>
      </c>
      <c r="H322" s="26" t="str">
        <f t="shared" si="9"/>
        <v/>
      </c>
      <c r="I322" s="20" t="str">
        <f>IF($A322="","",'Item Balance'!$D321)</f>
        <v/>
      </c>
      <c r="J322" s="31" t="str">
        <f>IF($A322="","",'Item Balance'!$P321)</f>
        <v/>
      </c>
    </row>
    <row r="323" spans="1:10" x14ac:dyDescent="0.35">
      <c r="A323" s="18" t="str">
        <f>IF('Item Balance'!$A322="","",'Item Balance'!$A322)</f>
        <v/>
      </c>
      <c r="B323" s="18" t="str">
        <f>IF($A323="","",'Item Balance'!$B322)</f>
        <v/>
      </c>
      <c r="C323" s="19" t="str">
        <f>IF($A323="","",'Item Balance'!$C322)</f>
        <v/>
      </c>
      <c r="D323" s="23" t="str">
        <f>IF($A323="","",'Item Balance'!$I322)</f>
        <v/>
      </c>
      <c r="E323" s="23" t="str">
        <f>IF($A323="","",'Item Balance'!$F322)</f>
        <v/>
      </c>
      <c r="F323" s="26" t="str">
        <f t="shared" si="8"/>
        <v/>
      </c>
      <c r="G323" s="23" t="str">
        <f>IF($A323="","",'Item Balance'!$E322)</f>
        <v/>
      </c>
      <c r="H323" s="26" t="str">
        <f t="shared" si="9"/>
        <v/>
      </c>
      <c r="I323" s="20" t="str">
        <f>IF($A323="","",'Item Balance'!$D322)</f>
        <v/>
      </c>
      <c r="J323" s="31" t="str">
        <f>IF($A323="","",'Item Balance'!$P322)</f>
        <v/>
      </c>
    </row>
    <row r="324" spans="1:10" x14ac:dyDescent="0.35">
      <c r="A324" s="18" t="str">
        <f>IF('Item Balance'!$A323="","",'Item Balance'!$A323)</f>
        <v/>
      </c>
      <c r="B324" s="18" t="str">
        <f>IF($A324="","",'Item Balance'!$B323)</f>
        <v/>
      </c>
      <c r="C324" s="19" t="str">
        <f>IF($A324="","",'Item Balance'!$C323)</f>
        <v/>
      </c>
      <c r="D324" s="23" t="str">
        <f>IF($A324="","",'Item Balance'!$I323)</f>
        <v/>
      </c>
      <c r="E324" s="23" t="str">
        <f>IF($A324="","",'Item Balance'!$F323)</f>
        <v/>
      </c>
      <c r="F324" s="26" t="str">
        <f t="shared" si="8"/>
        <v/>
      </c>
      <c r="G324" s="23" t="str">
        <f>IF($A324="","",'Item Balance'!$E323)</f>
        <v/>
      </c>
      <c r="H324" s="26" t="str">
        <f t="shared" si="9"/>
        <v/>
      </c>
      <c r="I324" s="20" t="str">
        <f>IF($A324="","",'Item Balance'!$D323)</f>
        <v/>
      </c>
      <c r="J324" s="31" t="str">
        <f>IF($A324="","",'Item Balance'!$P323)</f>
        <v/>
      </c>
    </row>
    <row r="325" spans="1:10" x14ac:dyDescent="0.35">
      <c r="A325" s="18" t="str">
        <f>IF('Item Balance'!$A324="","",'Item Balance'!$A324)</f>
        <v/>
      </c>
      <c r="B325" s="18" t="str">
        <f>IF($A325="","",'Item Balance'!$B324)</f>
        <v/>
      </c>
      <c r="C325" s="19" t="str">
        <f>IF($A325="","",'Item Balance'!$C324)</f>
        <v/>
      </c>
      <c r="D325" s="23" t="str">
        <f>IF($A325="","",'Item Balance'!$I324)</f>
        <v/>
      </c>
      <c r="E325" s="23" t="str">
        <f>IF($A325="","",'Item Balance'!$F324)</f>
        <v/>
      </c>
      <c r="F325" s="26" t="str">
        <f t="shared" si="8"/>
        <v/>
      </c>
      <c r="G325" s="23" t="str">
        <f>IF($A325="","",'Item Balance'!$E324)</f>
        <v/>
      </c>
      <c r="H325" s="26" t="str">
        <f t="shared" si="9"/>
        <v/>
      </c>
      <c r="I325" s="20" t="str">
        <f>IF($A325="","",'Item Balance'!$D324)</f>
        <v/>
      </c>
      <c r="J325" s="31" t="str">
        <f>IF($A325="","",'Item Balance'!$P324)</f>
        <v/>
      </c>
    </row>
    <row r="326" spans="1:10" x14ac:dyDescent="0.35">
      <c r="A326" s="18" t="str">
        <f>IF('Item Balance'!$A325="","",'Item Balance'!$A325)</f>
        <v/>
      </c>
      <c r="B326" s="18" t="str">
        <f>IF($A326="","",'Item Balance'!$B325)</f>
        <v/>
      </c>
      <c r="C326" s="19" t="str">
        <f>IF($A326="","",'Item Balance'!$C325)</f>
        <v/>
      </c>
      <c r="D326" s="23" t="str">
        <f>IF($A326="","",'Item Balance'!$I325)</f>
        <v/>
      </c>
      <c r="E326" s="23" t="str">
        <f>IF($A326="","",'Item Balance'!$F325)</f>
        <v/>
      </c>
      <c r="F326" s="26" t="str">
        <f t="shared" ref="F326:F389" si="10">IF(OR($A326="",NOT(ISNUMBER($E326)),NOT(ISNUMBER($D326))),"",MAX(0,$E326-$D326))</f>
        <v/>
      </c>
      <c r="G326" s="23" t="str">
        <f>IF($A326="","",'Item Balance'!$E325)</f>
        <v/>
      </c>
      <c r="H326" s="26" t="str">
        <f t="shared" ref="H326:H389" si="11">IF(OR($A326="",NOT(ISNUMBER($G326)),$G326=0,NOT(ISNUMBER($D326))),"",ROUNDDOWN($D326/$G326,0))</f>
        <v/>
      </c>
      <c r="I326" s="20" t="str">
        <f>IF($A326="","",'Item Balance'!$D325)</f>
        <v/>
      </c>
      <c r="J326" s="31" t="str">
        <f>IF($A326="","",'Item Balance'!$P325)</f>
        <v/>
      </c>
    </row>
    <row r="327" spans="1:10" x14ac:dyDescent="0.35">
      <c r="A327" s="18" t="str">
        <f>IF('Item Balance'!$A326="","",'Item Balance'!$A326)</f>
        <v/>
      </c>
      <c r="B327" s="18" t="str">
        <f>IF($A327="","",'Item Balance'!$B326)</f>
        <v/>
      </c>
      <c r="C327" s="19" t="str">
        <f>IF($A327="","",'Item Balance'!$C326)</f>
        <v/>
      </c>
      <c r="D327" s="23" t="str">
        <f>IF($A327="","",'Item Balance'!$I326)</f>
        <v/>
      </c>
      <c r="E327" s="23" t="str">
        <f>IF($A327="","",'Item Balance'!$F326)</f>
        <v/>
      </c>
      <c r="F327" s="26" t="str">
        <f t="shared" si="10"/>
        <v/>
      </c>
      <c r="G327" s="23" t="str">
        <f>IF($A327="","",'Item Balance'!$E326)</f>
        <v/>
      </c>
      <c r="H327" s="26" t="str">
        <f t="shared" si="11"/>
        <v/>
      </c>
      <c r="I327" s="20" t="str">
        <f>IF($A327="","",'Item Balance'!$D326)</f>
        <v/>
      </c>
      <c r="J327" s="31" t="str">
        <f>IF($A327="","",'Item Balance'!$P326)</f>
        <v/>
      </c>
    </row>
    <row r="328" spans="1:10" x14ac:dyDescent="0.35">
      <c r="A328" s="18" t="str">
        <f>IF('Item Balance'!$A327="","",'Item Balance'!$A327)</f>
        <v/>
      </c>
      <c r="B328" s="18" t="str">
        <f>IF($A328="","",'Item Balance'!$B327)</f>
        <v/>
      </c>
      <c r="C328" s="19" t="str">
        <f>IF($A328="","",'Item Balance'!$C327)</f>
        <v/>
      </c>
      <c r="D328" s="23" t="str">
        <f>IF($A328="","",'Item Balance'!$I327)</f>
        <v/>
      </c>
      <c r="E328" s="23" t="str">
        <f>IF($A328="","",'Item Balance'!$F327)</f>
        <v/>
      </c>
      <c r="F328" s="26" t="str">
        <f t="shared" si="10"/>
        <v/>
      </c>
      <c r="G328" s="23" t="str">
        <f>IF($A328="","",'Item Balance'!$E327)</f>
        <v/>
      </c>
      <c r="H328" s="26" t="str">
        <f t="shared" si="11"/>
        <v/>
      </c>
      <c r="I328" s="20" t="str">
        <f>IF($A328="","",'Item Balance'!$D327)</f>
        <v/>
      </c>
      <c r="J328" s="31" t="str">
        <f>IF($A328="","",'Item Balance'!$P327)</f>
        <v/>
      </c>
    </row>
    <row r="329" spans="1:10" x14ac:dyDescent="0.35">
      <c r="A329" s="18" t="str">
        <f>IF('Item Balance'!$A328="","",'Item Balance'!$A328)</f>
        <v/>
      </c>
      <c r="B329" s="18" t="str">
        <f>IF($A329="","",'Item Balance'!$B328)</f>
        <v/>
      </c>
      <c r="C329" s="19" t="str">
        <f>IF($A329="","",'Item Balance'!$C328)</f>
        <v/>
      </c>
      <c r="D329" s="23" t="str">
        <f>IF($A329="","",'Item Balance'!$I328)</f>
        <v/>
      </c>
      <c r="E329" s="23" t="str">
        <f>IF($A329="","",'Item Balance'!$F328)</f>
        <v/>
      </c>
      <c r="F329" s="26" t="str">
        <f t="shared" si="10"/>
        <v/>
      </c>
      <c r="G329" s="23" t="str">
        <f>IF($A329="","",'Item Balance'!$E328)</f>
        <v/>
      </c>
      <c r="H329" s="26" t="str">
        <f t="shared" si="11"/>
        <v/>
      </c>
      <c r="I329" s="20" t="str">
        <f>IF($A329="","",'Item Balance'!$D328)</f>
        <v/>
      </c>
      <c r="J329" s="31" t="str">
        <f>IF($A329="","",'Item Balance'!$P328)</f>
        <v/>
      </c>
    </row>
    <row r="330" spans="1:10" x14ac:dyDescent="0.35">
      <c r="A330" s="18" t="str">
        <f>IF('Item Balance'!$A329="","",'Item Balance'!$A329)</f>
        <v/>
      </c>
      <c r="B330" s="18" t="str">
        <f>IF($A330="","",'Item Balance'!$B329)</f>
        <v/>
      </c>
      <c r="C330" s="19" t="str">
        <f>IF($A330="","",'Item Balance'!$C329)</f>
        <v/>
      </c>
      <c r="D330" s="23" t="str">
        <f>IF($A330="","",'Item Balance'!$I329)</f>
        <v/>
      </c>
      <c r="E330" s="23" t="str">
        <f>IF($A330="","",'Item Balance'!$F329)</f>
        <v/>
      </c>
      <c r="F330" s="26" t="str">
        <f t="shared" si="10"/>
        <v/>
      </c>
      <c r="G330" s="23" t="str">
        <f>IF($A330="","",'Item Balance'!$E329)</f>
        <v/>
      </c>
      <c r="H330" s="26" t="str">
        <f t="shared" si="11"/>
        <v/>
      </c>
      <c r="I330" s="20" t="str">
        <f>IF($A330="","",'Item Balance'!$D329)</f>
        <v/>
      </c>
      <c r="J330" s="31" t="str">
        <f>IF($A330="","",'Item Balance'!$P329)</f>
        <v/>
      </c>
    </row>
    <row r="331" spans="1:10" x14ac:dyDescent="0.35">
      <c r="A331" s="18" t="str">
        <f>IF('Item Balance'!$A330="","",'Item Balance'!$A330)</f>
        <v/>
      </c>
      <c r="B331" s="18" t="str">
        <f>IF($A331="","",'Item Balance'!$B330)</f>
        <v/>
      </c>
      <c r="C331" s="19" t="str">
        <f>IF($A331="","",'Item Balance'!$C330)</f>
        <v/>
      </c>
      <c r="D331" s="23" t="str">
        <f>IF($A331="","",'Item Balance'!$I330)</f>
        <v/>
      </c>
      <c r="E331" s="23" t="str">
        <f>IF($A331="","",'Item Balance'!$F330)</f>
        <v/>
      </c>
      <c r="F331" s="26" t="str">
        <f t="shared" si="10"/>
        <v/>
      </c>
      <c r="G331" s="23" t="str">
        <f>IF($A331="","",'Item Balance'!$E330)</f>
        <v/>
      </c>
      <c r="H331" s="26" t="str">
        <f t="shared" si="11"/>
        <v/>
      </c>
      <c r="I331" s="20" t="str">
        <f>IF($A331="","",'Item Balance'!$D330)</f>
        <v/>
      </c>
      <c r="J331" s="31" t="str">
        <f>IF($A331="","",'Item Balance'!$P330)</f>
        <v/>
      </c>
    </row>
    <row r="332" spans="1:10" x14ac:dyDescent="0.35">
      <c r="A332" s="18" t="str">
        <f>IF('Item Balance'!$A331="","",'Item Balance'!$A331)</f>
        <v/>
      </c>
      <c r="B332" s="18" t="str">
        <f>IF($A332="","",'Item Balance'!$B331)</f>
        <v/>
      </c>
      <c r="C332" s="19" t="str">
        <f>IF($A332="","",'Item Balance'!$C331)</f>
        <v/>
      </c>
      <c r="D332" s="23" t="str">
        <f>IF($A332="","",'Item Balance'!$I331)</f>
        <v/>
      </c>
      <c r="E332" s="23" t="str">
        <f>IF($A332="","",'Item Balance'!$F331)</f>
        <v/>
      </c>
      <c r="F332" s="26" t="str">
        <f t="shared" si="10"/>
        <v/>
      </c>
      <c r="G332" s="23" t="str">
        <f>IF($A332="","",'Item Balance'!$E331)</f>
        <v/>
      </c>
      <c r="H332" s="26" t="str">
        <f t="shared" si="11"/>
        <v/>
      </c>
      <c r="I332" s="20" t="str">
        <f>IF($A332="","",'Item Balance'!$D331)</f>
        <v/>
      </c>
      <c r="J332" s="31" t="str">
        <f>IF($A332="","",'Item Balance'!$P331)</f>
        <v/>
      </c>
    </row>
    <row r="333" spans="1:10" x14ac:dyDescent="0.35">
      <c r="A333" s="18" t="str">
        <f>IF('Item Balance'!$A332="","",'Item Balance'!$A332)</f>
        <v/>
      </c>
      <c r="B333" s="18" t="str">
        <f>IF($A333="","",'Item Balance'!$B332)</f>
        <v/>
      </c>
      <c r="C333" s="19" t="str">
        <f>IF($A333="","",'Item Balance'!$C332)</f>
        <v/>
      </c>
      <c r="D333" s="23" t="str">
        <f>IF($A333="","",'Item Balance'!$I332)</f>
        <v/>
      </c>
      <c r="E333" s="23" t="str">
        <f>IF($A333="","",'Item Balance'!$F332)</f>
        <v/>
      </c>
      <c r="F333" s="26" t="str">
        <f t="shared" si="10"/>
        <v/>
      </c>
      <c r="G333" s="23" t="str">
        <f>IF($A333="","",'Item Balance'!$E332)</f>
        <v/>
      </c>
      <c r="H333" s="26" t="str">
        <f t="shared" si="11"/>
        <v/>
      </c>
      <c r="I333" s="20" t="str">
        <f>IF($A333="","",'Item Balance'!$D332)</f>
        <v/>
      </c>
      <c r="J333" s="31" t="str">
        <f>IF($A333="","",'Item Balance'!$P332)</f>
        <v/>
      </c>
    </row>
    <row r="334" spans="1:10" x14ac:dyDescent="0.35">
      <c r="A334" s="18" t="str">
        <f>IF('Item Balance'!$A333="","",'Item Balance'!$A333)</f>
        <v/>
      </c>
      <c r="B334" s="18" t="str">
        <f>IF($A334="","",'Item Balance'!$B333)</f>
        <v/>
      </c>
      <c r="C334" s="19" t="str">
        <f>IF($A334="","",'Item Balance'!$C333)</f>
        <v/>
      </c>
      <c r="D334" s="23" t="str">
        <f>IF($A334="","",'Item Balance'!$I333)</f>
        <v/>
      </c>
      <c r="E334" s="23" t="str">
        <f>IF($A334="","",'Item Balance'!$F333)</f>
        <v/>
      </c>
      <c r="F334" s="26" t="str">
        <f t="shared" si="10"/>
        <v/>
      </c>
      <c r="G334" s="23" t="str">
        <f>IF($A334="","",'Item Balance'!$E333)</f>
        <v/>
      </c>
      <c r="H334" s="26" t="str">
        <f t="shared" si="11"/>
        <v/>
      </c>
      <c r="I334" s="20" t="str">
        <f>IF($A334="","",'Item Balance'!$D333)</f>
        <v/>
      </c>
      <c r="J334" s="31" t="str">
        <f>IF($A334="","",'Item Balance'!$P333)</f>
        <v/>
      </c>
    </row>
    <row r="335" spans="1:10" x14ac:dyDescent="0.35">
      <c r="A335" s="18" t="str">
        <f>IF('Item Balance'!$A334="","",'Item Balance'!$A334)</f>
        <v/>
      </c>
      <c r="B335" s="18" t="str">
        <f>IF($A335="","",'Item Balance'!$B334)</f>
        <v/>
      </c>
      <c r="C335" s="19" t="str">
        <f>IF($A335="","",'Item Balance'!$C334)</f>
        <v/>
      </c>
      <c r="D335" s="23" t="str">
        <f>IF($A335="","",'Item Balance'!$I334)</f>
        <v/>
      </c>
      <c r="E335" s="23" t="str">
        <f>IF($A335="","",'Item Balance'!$F334)</f>
        <v/>
      </c>
      <c r="F335" s="26" t="str">
        <f t="shared" si="10"/>
        <v/>
      </c>
      <c r="G335" s="23" t="str">
        <f>IF($A335="","",'Item Balance'!$E334)</f>
        <v/>
      </c>
      <c r="H335" s="26" t="str">
        <f t="shared" si="11"/>
        <v/>
      </c>
      <c r="I335" s="20" t="str">
        <f>IF($A335="","",'Item Balance'!$D334)</f>
        <v/>
      </c>
      <c r="J335" s="31" t="str">
        <f>IF($A335="","",'Item Balance'!$P334)</f>
        <v/>
      </c>
    </row>
    <row r="336" spans="1:10" x14ac:dyDescent="0.35">
      <c r="A336" s="18" t="str">
        <f>IF('Item Balance'!$A335="","",'Item Balance'!$A335)</f>
        <v/>
      </c>
      <c r="B336" s="18" t="str">
        <f>IF($A336="","",'Item Balance'!$B335)</f>
        <v/>
      </c>
      <c r="C336" s="19" t="str">
        <f>IF($A336="","",'Item Balance'!$C335)</f>
        <v/>
      </c>
      <c r="D336" s="23" t="str">
        <f>IF($A336="","",'Item Balance'!$I335)</f>
        <v/>
      </c>
      <c r="E336" s="23" t="str">
        <f>IF($A336="","",'Item Balance'!$F335)</f>
        <v/>
      </c>
      <c r="F336" s="26" t="str">
        <f t="shared" si="10"/>
        <v/>
      </c>
      <c r="G336" s="23" t="str">
        <f>IF($A336="","",'Item Balance'!$E335)</f>
        <v/>
      </c>
      <c r="H336" s="26" t="str">
        <f t="shared" si="11"/>
        <v/>
      </c>
      <c r="I336" s="20" t="str">
        <f>IF($A336="","",'Item Balance'!$D335)</f>
        <v/>
      </c>
      <c r="J336" s="31" t="str">
        <f>IF($A336="","",'Item Balance'!$P335)</f>
        <v/>
      </c>
    </row>
    <row r="337" spans="1:10" x14ac:dyDescent="0.35">
      <c r="A337" s="18" t="str">
        <f>IF('Item Balance'!$A336="","",'Item Balance'!$A336)</f>
        <v/>
      </c>
      <c r="B337" s="18" t="str">
        <f>IF($A337="","",'Item Balance'!$B336)</f>
        <v/>
      </c>
      <c r="C337" s="19" t="str">
        <f>IF($A337="","",'Item Balance'!$C336)</f>
        <v/>
      </c>
      <c r="D337" s="23" t="str">
        <f>IF($A337="","",'Item Balance'!$I336)</f>
        <v/>
      </c>
      <c r="E337" s="23" t="str">
        <f>IF($A337="","",'Item Balance'!$F336)</f>
        <v/>
      </c>
      <c r="F337" s="26" t="str">
        <f t="shared" si="10"/>
        <v/>
      </c>
      <c r="G337" s="23" t="str">
        <f>IF($A337="","",'Item Balance'!$E336)</f>
        <v/>
      </c>
      <c r="H337" s="26" t="str">
        <f t="shared" si="11"/>
        <v/>
      </c>
      <c r="I337" s="20" t="str">
        <f>IF($A337="","",'Item Balance'!$D336)</f>
        <v/>
      </c>
      <c r="J337" s="31" t="str">
        <f>IF($A337="","",'Item Balance'!$P336)</f>
        <v/>
      </c>
    </row>
    <row r="338" spans="1:10" x14ac:dyDescent="0.35">
      <c r="A338" s="18" t="str">
        <f>IF('Item Balance'!$A337="","",'Item Balance'!$A337)</f>
        <v/>
      </c>
      <c r="B338" s="18" t="str">
        <f>IF($A338="","",'Item Balance'!$B337)</f>
        <v/>
      </c>
      <c r="C338" s="19" t="str">
        <f>IF($A338="","",'Item Balance'!$C337)</f>
        <v/>
      </c>
      <c r="D338" s="23" t="str">
        <f>IF($A338="","",'Item Balance'!$I337)</f>
        <v/>
      </c>
      <c r="E338" s="23" t="str">
        <f>IF($A338="","",'Item Balance'!$F337)</f>
        <v/>
      </c>
      <c r="F338" s="26" t="str">
        <f t="shared" si="10"/>
        <v/>
      </c>
      <c r="G338" s="23" t="str">
        <f>IF($A338="","",'Item Balance'!$E337)</f>
        <v/>
      </c>
      <c r="H338" s="26" t="str">
        <f t="shared" si="11"/>
        <v/>
      </c>
      <c r="I338" s="20" t="str">
        <f>IF($A338="","",'Item Balance'!$D337)</f>
        <v/>
      </c>
      <c r="J338" s="31" t="str">
        <f>IF($A338="","",'Item Balance'!$P337)</f>
        <v/>
      </c>
    </row>
    <row r="339" spans="1:10" x14ac:dyDescent="0.35">
      <c r="A339" s="18" t="str">
        <f>IF('Item Balance'!$A338="","",'Item Balance'!$A338)</f>
        <v/>
      </c>
      <c r="B339" s="18" t="str">
        <f>IF($A339="","",'Item Balance'!$B338)</f>
        <v/>
      </c>
      <c r="C339" s="19" t="str">
        <f>IF($A339="","",'Item Balance'!$C338)</f>
        <v/>
      </c>
      <c r="D339" s="23" t="str">
        <f>IF($A339="","",'Item Balance'!$I338)</f>
        <v/>
      </c>
      <c r="E339" s="23" t="str">
        <f>IF($A339="","",'Item Balance'!$F338)</f>
        <v/>
      </c>
      <c r="F339" s="26" t="str">
        <f t="shared" si="10"/>
        <v/>
      </c>
      <c r="G339" s="23" t="str">
        <f>IF($A339="","",'Item Balance'!$E338)</f>
        <v/>
      </c>
      <c r="H339" s="26" t="str">
        <f t="shared" si="11"/>
        <v/>
      </c>
      <c r="I339" s="20" t="str">
        <f>IF($A339="","",'Item Balance'!$D338)</f>
        <v/>
      </c>
      <c r="J339" s="31" t="str">
        <f>IF($A339="","",'Item Balance'!$P338)</f>
        <v/>
      </c>
    </row>
    <row r="340" spans="1:10" x14ac:dyDescent="0.35">
      <c r="A340" s="18" t="str">
        <f>IF('Item Balance'!$A339="","",'Item Balance'!$A339)</f>
        <v/>
      </c>
      <c r="B340" s="18" t="str">
        <f>IF($A340="","",'Item Balance'!$B339)</f>
        <v/>
      </c>
      <c r="C340" s="19" t="str">
        <f>IF($A340="","",'Item Balance'!$C339)</f>
        <v/>
      </c>
      <c r="D340" s="23" t="str">
        <f>IF($A340="","",'Item Balance'!$I339)</f>
        <v/>
      </c>
      <c r="E340" s="23" t="str">
        <f>IF($A340="","",'Item Balance'!$F339)</f>
        <v/>
      </c>
      <c r="F340" s="26" t="str">
        <f t="shared" si="10"/>
        <v/>
      </c>
      <c r="G340" s="23" t="str">
        <f>IF($A340="","",'Item Balance'!$E339)</f>
        <v/>
      </c>
      <c r="H340" s="26" t="str">
        <f t="shared" si="11"/>
        <v/>
      </c>
      <c r="I340" s="20" t="str">
        <f>IF($A340="","",'Item Balance'!$D339)</f>
        <v/>
      </c>
      <c r="J340" s="31" t="str">
        <f>IF($A340="","",'Item Balance'!$P339)</f>
        <v/>
      </c>
    </row>
    <row r="341" spans="1:10" x14ac:dyDescent="0.35">
      <c r="A341" s="18" t="str">
        <f>IF('Item Balance'!$A340="","",'Item Balance'!$A340)</f>
        <v/>
      </c>
      <c r="B341" s="18" t="str">
        <f>IF($A341="","",'Item Balance'!$B340)</f>
        <v/>
      </c>
      <c r="C341" s="19" t="str">
        <f>IF($A341="","",'Item Balance'!$C340)</f>
        <v/>
      </c>
      <c r="D341" s="23" t="str">
        <f>IF($A341="","",'Item Balance'!$I340)</f>
        <v/>
      </c>
      <c r="E341" s="23" t="str">
        <f>IF($A341="","",'Item Balance'!$F340)</f>
        <v/>
      </c>
      <c r="F341" s="26" t="str">
        <f t="shared" si="10"/>
        <v/>
      </c>
      <c r="G341" s="23" t="str">
        <f>IF($A341="","",'Item Balance'!$E340)</f>
        <v/>
      </c>
      <c r="H341" s="26" t="str">
        <f t="shared" si="11"/>
        <v/>
      </c>
      <c r="I341" s="20" t="str">
        <f>IF($A341="","",'Item Balance'!$D340)</f>
        <v/>
      </c>
      <c r="J341" s="31" t="str">
        <f>IF($A341="","",'Item Balance'!$P340)</f>
        <v/>
      </c>
    </row>
    <row r="342" spans="1:10" x14ac:dyDescent="0.35">
      <c r="A342" s="18" t="str">
        <f>IF('Item Balance'!$A341="","",'Item Balance'!$A341)</f>
        <v/>
      </c>
      <c r="B342" s="18" t="str">
        <f>IF($A342="","",'Item Balance'!$B341)</f>
        <v/>
      </c>
      <c r="C342" s="19" t="str">
        <f>IF($A342="","",'Item Balance'!$C341)</f>
        <v/>
      </c>
      <c r="D342" s="23" t="str">
        <f>IF($A342="","",'Item Balance'!$I341)</f>
        <v/>
      </c>
      <c r="E342" s="23" t="str">
        <f>IF($A342="","",'Item Balance'!$F341)</f>
        <v/>
      </c>
      <c r="F342" s="26" t="str">
        <f t="shared" si="10"/>
        <v/>
      </c>
      <c r="G342" s="23" t="str">
        <f>IF($A342="","",'Item Balance'!$E341)</f>
        <v/>
      </c>
      <c r="H342" s="26" t="str">
        <f t="shared" si="11"/>
        <v/>
      </c>
      <c r="I342" s="20" t="str">
        <f>IF($A342="","",'Item Balance'!$D341)</f>
        <v/>
      </c>
      <c r="J342" s="31" t="str">
        <f>IF($A342="","",'Item Balance'!$P341)</f>
        <v/>
      </c>
    </row>
    <row r="343" spans="1:10" x14ac:dyDescent="0.35">
      <c r="A343" s="18" t="str">
        <f>IF('Item Balance'!$A342="","",'Item Balance'!$A342)</f>
        <v/>
      </c>
      <c r="B343" s="18" t="str">
        <f>IF($A343="","",'Item Balance'!$B342)</f>
        <v/>
      </c>
      <c r="C343" s="19" t="str">
        <f>IF($A343="","",'Item Balance'!$C342)</f>
        <v/>
      </c>
      <c r="D343" s="23" t="str">
        <f>IF($A343="","",'Item Balance'!$I342)</f>
        <v/>
      </c>
      <c r="E343" s="23" t="str">
        <f>IF($A343="","",'Item Balance'!$F342)</f>
        <v/>
      </c>
      <c r="F343" s="26" t="str">
        <f t="shared" si="10"/>
        <v/>
      </c>
      <c r="G343" s="23" t="str">
        <f>IF($A343="","",'Item Balance'!$E342)</f>
        <v/>
      </c>
      <c r="H343" s="26" t="str">
        <f t="shared" si="11"/>
        <v/>
      </c>
      <c r="I343" s="20" t="str">
        <f>IF($A343="","",'Item Balance'!$D342)</f>
        <v/>
      </c>
      <c r="J343" s="31" t="str">
        <f>IF($A343="","",'Item Balance'!$P342)</f>
        <v/>
      </c>
    </row>
    <row r="344" spans="1:10" x14ac:dyDescent="0.35">
      <c r="A344" s="18" t="str">
        <f>IF('Item Balance'!$A343="","",'Item Balance'!$A343)</f>
        <v/>
      </c>
      <c r="B344" s="18" t="str">
        <f>IF($A344="","",'Item Balance'!$B343)</f>
        <v/>
      </c>
      <c r="C344" s="19" t="str">
        <f>IF($A344="","",'Item Balance'!$C343)</f>
        <v/>
      </c>
      <c r="D344" s="23" t="str">
        <f>IF($A344="","",'Item Balance'!$I343)</f>
        <v/>
      </c>
      <c r="E344" s="23" t="str">
        <f>IF($A344="","",'Item Balance'!$F343)</f>
        <v/>
      </c>
      <c r="F344" s="26" t="str">
        <f t="shared" si="10"/>
        <v/>
      </c>
      <c r="G344" s="23" t="str">
        <f>IF($A344="","",'Item Balance'!$E343)</f>
        <v/>
      </c>
      <c r="H344" s="26" t="str">
        <f t="shared" si="11"/>
        <v/>
      </c>
      <c r="I344" s="20" t="str">
        <f>IF($A344="","",'Item Balance'!$D343)</f>
        <v/>
      </c>
      <c r="J344" s="31" t="str">
        <f>IF($A344="","",'Item Balance'!$P343)</f>
        <v/>
      </c>
    </row>
    <row r="345" spans="1:10" x14ac:dyDescent="0.35">
      <c r="A345" s="18" t="str">
        <f>IF('Item Balance'!$A344="","",'Item Balance'!$A344)</f>
        <v/>
      </c>
      <c r="B345" s="18" t="str">
        <f>IF($A345="","",'Item Balance'!$B344)</f>
        <v/>
      </c>
      <c r="C345" s="19" t="str">
        <f>IF($A345="","",'Item Balance'!$C344)</f>
        <v/>
      </c>
      <c r="D345" s="23" t="str">
        <f>IF($A345="","",'Item Balance'!$I344)</f>
        <v/>
      </c>
      <c r="E345" s="23" t="str">
        <f>IF($A345="","",'Item Balance'!$F344)</f>
        <v/>
      </c>
      <c r="F345" s="26" t="str">
        <f t="shared" si="10"/>
        <v/>
      </c>
      <c r="G345" s="23" t="str">
        <f>IF($A345="","",'Item Balance'!$E344)</f>
        <v/>
      </c>
      <c r="H345" s="26" t="str">
        <f t="shared" si="11"/>
        <v/>
      </c>
      <c r="I345" s="20" t="str">
        <f>IF($A345="","",'Item Balance'!$D344)</f>
        <v/>
      </c>
      <c r="J345" s="31" t="str">
        <f>IF($A345="","",'Item Balance'!$P344)</f>
        <v/>
      </c>
    </row>
    <row r="346" spans="1:10" x14ac:dyDescent="0.35">
      <c r="A346" s="18" t="str">
        <f>IF('Item Balance'!$A345="","",'Item Balance'!$A345)</f>
        <v/>
      </c>
      <c r="B346" s="18" t="str">
        <f>IF($A346="","",'Item Balance'!$B345)</f>
        <v/>
      </c>
      <c r="C346" s="19" t="str">
        <f>IF($A346="","",'Item Balance'!$C345)</f>
        <v/>
      </c>
      <c r="D346" s="23" t="str">
        <f>IF($A346="","",'Item Balance'!$I345)</f>
        <v/>
      </c>
      <c r="E346" s="23" t="str">
        <f>IF($A346="","",'Item Balance'!$F345)</f>
        <v/>
      </c>
      <c r="F346" s="26" t="str">
        <f t="shared" si="10"/>
        <v/>
      </c>
      <c r="G346" s="23" t="str">
        <f>IF($A346="","",'Item Balance'!$E345)</f>
        <v/>
      </c>
      <c r="H346" s="26" t="str">
        <f t="shared" si="11"/>
        <v/>
      </c>
      <c r="I346" s="20" t="str">
        <f>IF($A346="","",'Item Balance'!$D345)</f>
        <v/>
      </c>
      <c r="J346" s="31" t="str">
        <f>IF($A346="","",'Item Balance'!$P345)</f>
        <v/>
      </c>
    </row>
    <row r="347" spans="1:10" x14ac:dyDescent="0.35">
      <c r="A347" s="18" t="str">
        <f>IF('Item Balance'!$A346="","",'Item Balance'!$A346)</f>
        <v/>
      </c>
      <c r="B347" s="18" t="str">
        <f>IF($A347="","",'Item Balance'!$B346)</f>
        <v/>
      </c>
      <c r="C347" s="19" t="str">
        <f>IF($A347="","",'Item Balance'!$C346)</f>
        <v/>
      </c>
      <c r="D347" s="23" t="str">
        <f>IF($A347="","",'Item Balance'!$I346)</f>
        <v/>
      </c>
      <c r="E347" s="23" t="str">
        <f>IF($A347="","",'Item Balance'!$F346)</f>
        <v/>
      </c>
      <c r="F347" s="26" t="str">
        <f t="shared" si="10"/>
        <v/>
      </c>
      <c r="G347" s="23" t="str">
        <f>IF($A347="","",'Item Balance'!$E346)</f>
        <v/>
      </c>
      <c r="H347" s="26" t="str">
        <f t="shared" si="11"/>
        <v/>
      </c>
      <c r="I347" s="20" t="str">
        <f>IF($A347="","",'Item Balance'!$D346)</f>
        <v/>
      </c>
      <c r="J347" s="31" t="str">
        <f>IF($A347="","",'Item Balance'!$P346)</f>
        <v/>
      </c>
    </row>
    <row r="348" spans="1:10" x14ac:dyDescent="0.35">
      <c r="A348" s="18" t="str">
        <f>IF('Item Balance'!$A347="","",'Item Balance'!$A347)</f>
        <v/>
      </c>
      <c r="B348" s="18" t="str">
        <f>IF($A348="","",'Item Balance'!$B347)</f>
        <v/>
      </c>
      <c r="C348" s="19" t="str">
        <f>IF($A348="","",'Item Balance'!$C347)</f>
        <v/>
      </c>
      <c r="D348" s="23" t="str">
        <f>IF($A348="","",'Item Balance'!$I347)</f>
        <v/>
      </c>
      <c r="E348" s="23" t="str">
        <f>IF($A348="","",'Item Balance'!$F347)</f>
        <v/>
      </c>
      <c r="F348" s="26" t="str">
        <f t="shared" si="10"/>
        <v/>
      </c>
      <c r="G348" s="23" t="str">
        <f>IF($A348="","",'Item Balance'!$E347)</f>
        <v/>
      </c>
      <c r="H348" s="26" t="str">
        <f t="shared" si="11"/>
        <v/>
      </c>
      <c r="I348" s="20" t="str">
        <f>IF($A348="","",'Item Balance'!$D347)</f>
        <v/>
      </c>
      <c r="J348" s="31" t="str">
        <f>IF($A348="","",'Item Balance'!$P347)</f>
        <v/>
      </c>
    </row>
    <row r="349" spans="1:10" x14ac:dyDescent="0.35">
      <c r="A349" s="18" t="str">
        <f>IF('Item Balance'!$A348="","",'Item Balance'!$A348)</f>
        <v/>
      </c>
      <c r="B349" s="18" t="str">
        <f>IF($A349="","",'Item Balance'!$B348)</f>
        <v/>
      </c>
      <c r="C349" s="19" t="str">
        <f>IF($A349="","",'Item Balance'!$C348)</f>
        <v/>
      </c>
      <c r="D349" s="23" t="str">
        <f>IF($A349="","",'Item Balance'!$I348)</f>
        <v/>
      </c>
      <c r="E349" s="23" t="str">
        <f>IF($A349="","",'Item Balance'!$F348)</f>
        <v/>
      </c>
      <c r="F349" s="26" t="str">
        <f t="shared" si="10"/>
        <v/>
      </c>
      <c r="G349" s="23" t="str">
        <f>IF($A349="","",'Item Balance'!$E348)</f>
        <v/>
      </c>
      <c r="H349" s="26" t="str">
        <f t="shared" si="11"/>
        <v/>
      </c>
      <c r="I349" s="20" t="str">
        <f>IF($A349="","",'Item Balance'!$D348)</f>
        <v/>
      </c>
      <c r="J349" s="31" t="str">
        <f>IF($A349="","",'Item Balance'!$P348)</f>
        <v/>
      </c>
    </row>
    <row r="350" spans="1:10" x14ac:dyDescent="0.35">
      <c r="A350" s="18" t="str">
        <f>IF('Item Balance'!$A349="","",'Item Balance'!$A349)</f>
        <v/>
      </c>
      <c r="B350" s="18" t="str">
        <f>IF($A350="","",'Item Balance'!$B349)</f>
        <v/>
      </c>
      <c r="C350" s="19" t="str">
        <f>IF($A350="","",'Item Balance'!$C349)</f>
        <v/>
      </c>
      <c r="D350" s="23" t="str">
        <f>IF($A350="","",'Item Balance'!$I349)</f>
        <v/>
      </c>
      <c r="E350" s="23" t="str">
        <f>IF($A350="","",'Item Balance'!$F349)</f>
        <v/>
      </c>
      <c r="F350" s="26" t="str">
        <f t="shared" si="10"/>
        <v/>
      </c>
      <c r="G350" s="23" t="str">
        <f>IF($A350="","",'Item Balance'!$E349)</f>
        <v/>
      </c>
      <c r="H350" s="26" t="str">
        <f t="shared" si="11"/>
        <v/>
      </c>
      <c r="I350" s="20" t="str">
        <f>IF($A350="","",'Item Balance'!$D349)</f>
        <v/>
      </c>
      <c r="J350" s="31" t="str">
        <f>IF($A350="","",'Item Balance'!$P349)</f>
        <v/>
      </c>
    </row>
    <row r="351" spans="1:10" x14ac:dyDescent="0.35">
      <c r="A351" s="18" t="str">
        <f>IF('Item Balance'!$A350="","",'Item Balance'!$A350)</f>
        <v/>
      </c>
      <c r="B351" s="18" t="str">
        <f>IF($A351="","",'Item Balance'!$B350)</f>
        <v/>
      </c>
      <c r="C351" s="19" t="str">
        <f>IF($A351="","",'Item Balance'!$C350)</f>
        <v/>
      </c>
      <c r="D351" s="23" t="str">
        <f>IF($A351="","",'Item Balance'!$I350)</f>
        <v/>
      </c>
      <c r="E351" s="23" t="str">
        <f>IF($A351="","",'Item Balance'!$F350)</f>
        <v/>
      </c>
      <c r="F351" s="26" t="str">
        <f t="shared" si="10"/>
        <v/>
      </c>
      <c r="G351" s="23" t="str">
        <f>IF($A351="","",'Item Balance'!$E350)</f>
        <v/>
      </c>
      <c r="H351" s="26" t="str">
        <f t="shared" si="11"/>
        <v/>
      </c>
      <c r="I351" s="20" t="str">
        <f>IF($A351="","",'Item Balance'!$D350)</f>
        <v/>
      </c>
      <c r="J351" s="31" t="str">
        <f>IF($A351="","",'Item Balance'!$P350)</f>
        <v/>
      </c>
    </row>
    <row r="352" spans="1:10" x14ac:dyDescent="0.35">
      <c r="A352" s="18" t="str">
        <f>IF('Item Balance'!$A351="","",'Item Balance'!$A351)</f>
        <v/>
      </c>
      <c r="B352" s="18" t="str">
        <f>IF($A352="","",'Item Balance'!$B351)</f>
        <v/>
      </c>
      <c r="C352" s="19" t="str">
        <f>IF($A352="","",'Item Balance'!$C351)</f>
        <v/>
      </c>
      <c r="D352" s="23" t="str">
        <f>IF($A352="","",'Item Balance'!$I351)</f>
        <v/>
      </c>
      <c r="E352" s="23" t="str">
        <f>IF($A352="","",'Item Balance'!$F351)</f>
        <v/>
      </c>
      <c r="F352" s="26" t="str">
        <f t="shared" si="10"/>
        <v/>
      </c>
      <c r="G352" s="23" t="str">
        <f>IF($A352="","",'Item Balance'!$E351)</f>
        <v/>
      </c>
      <c r="H352" s="26" t="str">
        <f t="shared" si="11"/>
        <v/>
      </c>
      <c r="I352" s="20" t="str">
        <f>IF($A352="","",'Item Balance'!$D351)</f>
        <v/>
      </c>
      <c r="J352" s="31" t="str">
        <f>IF($A352="","",'Item Balance'!$P351)</f>
        <v/>
      </c>
    </row>
    <row r="353" spans="1:10" x14ac:dyDescent="0.35">
      <c r="A353" s="18" t="str">
        <f>IF('Item Balance'!$A352="","",'Item Balance'!$A352)</f>
        <v/>
      </c>
      <c r="B353" s="18" t="str">
        <f>IF($A353="","",'Item Balance'!$B352)</f>
        <v/>
      </c>
      <c r="C353" s="19" t="str">
        <f>IF($A353="","",'Item Balance'!$C352)</f>
        <v/>
      </c>
      <c r="D353" s="23" t="str">
        <f>IF($A353="","",'Item Balance'!$I352)</f>
        <v/>
      </c>
      <c r="E353" s="23" t="str">
        <f>IF($A353="","",'Item Balance'!$F352)</f>
        <v/>
      </c>
      <c r="F353" s="26" t="str">
        <f t="shared" si="10"/>
        <v/>
      </c>
      <c r="G353" s="23" t="str">
        <f>IF($A353="","",'Item Balance'!$E352)</f>
        <v/>
      </c>
      <c r="H353" s="26" t="str">
        <f t="shared" si="11"/>
        <v/>
      </c>
      <c r="I353" s="20" t="str">
        <f>IF($A353="","",'Item Balance'!$D352)</f>
        <v/>
      </c>
      <c r="J353" s="31" t="str">
        <f>IF($A353="","",'Item Balance'!$P352)</f>
        <v/>
      </c>
    </row>
    <row r="354" spans="1:10" x14ac:dyDescent="0.35">
      <c r="A354" s="18" t="str">
        <f>IF('Item Balance'!$A353="","",'Item Balance'!$A353)</f>
        <v/>
      </c>
      <c r="B354" s="18" t="str">
        <f>IF($A354="","",'Item Balance'!$B353)</f>
        <v/>
      </c>
      <c r="C354" s="19" t="str">
        <f>IF($A354="","",'Item Balance'!$C353)</f>
        <v/>
      </c>
      <c r="D354" s="23" t="str">
        <f>IF($A354="","",'Item Balance'!$I353)</f>
        <v/>
      </c>
      <c r="E354" s="23" t="str">
        <f>IF($A354="","",'Item Balance'!$F353)</f>
        <v/>
      </c>
      <c r="F354" s="26" t="str">
        <f t="shared" si="10"/>
        <v/>
      </c>
      <c r="G354" s="23" t="str">
        <f>IF($A354="","",'Item Balance'!$E353)</f>
        <v/>
      </c>
      <c r="H354" s="26" t="str">
        <f t="shared" si="11"/>
        <v/>
      </c>
      <c r="I354" s="20" t="str">
        <f>IF($A354="","",'Item Balance'!$D353)</f>
        <v/>
      </c>
      <c r="J354" s="31" t="str">
        <f>IF($A354="","",'Item Balance'!$P353)</f>
        <v/>
      </c>
    </row>
    <row r="355" spans="1:10" x14ac:dyDescent="0.35">
      <c r="A355" s="18" t="str">
        <f>IF('Item Balance'!$A354="","",'Item Balance'!$A354)</f>
        <v/>
      </c>
      <c r="B355" s="18" t="str">
        <f>IF($A355="","",'Item Balance'!$B354)</f>
        <v/>
      </c>
      <c r="C355" s="19" t="str">
        <f>IF($A355="","",'Item Balance'!$C354)</f>
        <v/>
      </c>
      <c r="D355" s="23" t="str">
        <f>IF($A355="","",'Item Balance'!$I354)</f>
        <v/>
      </c>
      <c r="E355" s="23" t="str">
        <f>IF($A355="","",'Item Balance'!$F354)</f>
        <v/>
      </c>
      <c r="F355" s="26" t="str">
        <f t="shared" si="10"/>
        <v/>
      </c>
      <c r="G355" s="23" t="str">
        <f>IF($A355="","",'Item Balance'!$E354)</f>
        <v/>
      </c>
      <c r="H355" s="26" t="str">
        <f t="shared" si="11"/>
        <v/>
      </c>
      <c r="I355" s="20" t="str">
        <f>IF($A355="","",'Item Balance'!$D354)</f>
        <v/>
      </c>
      <c r="J355" s="31" t="str">
        <f>IF($A355="","",'Item Balance'!$P354)</f>
        <v/>
      </c>
    </row>
    <row r="356" spans="1:10" x14ac:dyDescent="0.35">
      <c r="A356" s="18" t="str">
        <f>IF('Item Balance'!$A355="","",'Item Balance'!$A355)</f>
        <v/>
      </c>
      <c r="B356" s="18" t="str">
        <f>IF($A356="","",'Item Balance'!$B355)</f>
        <v/>
      </c>
      <c r="C356" s="19" t="str">
        <f>IF($A356="","",'Item Balance'!$C355)</f>
        <v/>
      </c>
      <c r="D356" s="23" t="str">
        <f>IF($A356="","",'Item Balance'!$I355)</f>
        <v/>
      </c>
      <c r="E356" s="23" t="str">
        <f>IF($A356="","",'Item Balance'!$F355)</f>
        <v/>
      </c>
      <c r="F356" s="26" t="str">
        <f t="shared" si="10"/>
        <v/>
      </c>
      <c r="G356" s="23" t="str">
        <f>IF($A356="","",'Item Balance'!$E355)</f>
        <v/>
      </c>
      <c r="H356" s="26" t="str">
        <f t="shared" si="11"/>
        <v/>
      </c>
      <c r="I356" s="20" t="str">
        <f>IF($A356="","",'Item Balance'!$D355)</f>
        <v/>
      </c>
      <c r="J356" s="31" t="str">
        <f>IF($A356="","",'Item Balance'!$P355)</f>
        <v/>
      </c>
    </row>
    <row r="357" spans="1:10" x14ac:dyDescent="0.35">
      <c r="A357" s="18" t="str">
        <f>IF('Item Balance'!$A356="","",'Item Balance'!$A356)</f>
        <v/>
      </c>
      <c r="B357" s="18" t="str">
        <f>IF($A357="","",'Item Balance'!$B356)</f>
        <v/>
      </c>
      <c r="C357" s="19" t="str">
        <f>IF($A357="","",'Item Balance'!$C356)</f>
        <v/>
      </c>
      <c r="D357" s="23" t="str">
        <f>IF($A357="","",'Item Balance'!$I356)</f>
        <v/>
      </c>
      <c r="E357" s="23" t="str">
        <f>IF($A357="","",'Item Balance'!$F356)</f>
        <v/>
      </c>
      <c r="F357" s="26" t="str">
        <f t="shared" si="10"/>
        <v/>
      </c>
      <c r="G357" s="23" t="str">
        <f>IF($A357="","",'Item Balance'!$E356)</f>
        <v/>
      </c>
      <c r="H357" s="26" t="str">
        <f t="shared" si="11"/>
        <v/>
      </c>
      <c r="I357" s="20" t="str">
        <f>IF($A357="","",'Item Balance'!$D356)</f>
        <v/>
      </c>
      <c r="J357" s="31" t="str">
        <f>IF($A357="","",'Item Balance'!$P356)</f>
        <v/>
      </c>
    </row>
    <row r="358" spans="1:10" x14ac:dyDescent="0.35">
      <c r="A358" s="18" t="str">
        <f>IF('Item Balance'!$A357="","",'Item Balance'!$A357)</f>
        <v/>
      </c>
      <c r="B358" s="18" t="str">
        <f>IF($A358="","",'Item Balance'!$B357)</f>
        <v/>
      </c>
      <c r="C358" s="19" t="str">
        <f>IF($A358="","",'Item Balance'!$C357)</f>
        <v/>
      </c>
      <c r="D358" s="23" t="str">
        <f>IF($A358="","",'Item Balance'!$I357)</f>
        <v/>
      </c>
      <c r="E358" s="23" t="str">
        <f>IF($A358="","",'Item Balance'!$F357)</f>
        <v/>
      </c>
      <c r="F358" s="26" t="str">
        <f t="shared" si="10"/>
        <v/>
      </c>
      <c r="G358" s="23" t="str">
        <f>IF($A358="","",'Item Balance'!$E357)</f>
        <v/>
      </c>
      <c r="H358" s="26" t="str">
        <f t="shared" si="11"/>
        <v/>
      </c>
      <c r="I358" s="20" t="str">
        <f>IF($A358="","",'Item Balance'!$D357)</f>
        <v/>
      </c>
      <c r="J358" s="31" t="str">
        <f>IF($A358="","",'Item Balance'!$P357)</f>
        <v/>
      </c>
    </row>
    <row r="359" spans="1:10" x14ac:dyDescent="0.35">
      <c r="A359" s="18" t="str">
        <f>IF('Item Balance'!$A358="","",'Item Balance'!$A358)</f>
        <v/>
      </c>
      <c r="B359" s="18" t="str">
        <f>IF($A359="","",'Item Balance'!$B358)</f>
        <v/>
      </c>
      <c r="C359" s="19" t="str">
        <f>IF($A359="","",'Item Balance'!$C358)</f>
        <v/>
      </c>
      <c r="D359" s="23" t="str">
        <f>IF($A359="","",'Item Balance'!$I358)</f>
        <v/>
      </c>
      <c r="E359" s="23" t="str">
        <f>IF($A359="","",'Item Balance'!$F358)</f>
        <v/>
      </c>
      <c r="F359" s="26" t="str">
        <f t="shared" si="10"/>
        <v/>
      </c>
      <c r="G359" s="23" t="str">
        <f>IF($A359="","",'Item Balance'!$E358)</f>
        <v/>
      </c>
      <c r="H359" s="26" t="str">
        <f t="shared" si="11"/>
        <v/>
      </c>
      <c r="I359" s="20" t="str">
        <f>IF($A359="","",'Item Balance'!$D358)</f>
        <v/>
      </c>
      <c r="J359" s="31" t="str">
        <f>IF($A359="","",'Item Balance'!$P358)</f>
        <v/>
      </c>
    </row>
    <row r="360" spans="1:10" x14ac:dyDescent="0.35">
      <c r="A360" s="18" t="str">
        <f>IF('Item Balance'!$A359="","",'Item Balance'!$A359)</f>
        <v/>
      </c>
      <c r="B360" s="18" t="str">
        <f>IF($A360="","",'Item Balance'!$B359)</f>
        <v/>
      </c>
      <c r="C360" s="19" t="str">
        <f>IF($A360="","",'Item Balance'!$C359)</f>
        <v/>
      </c>
      <c r="D360" s="23" t="str">
        <f>IF($A360="","",'Item Balance'!$I359)</f>
        <v/>
      </c>
      <c r="E360" s="23" t="str">
        <f>IF($A360="","",'Item Balance'!$F359)</f>
        <v/>
      </c>
      <c r="F360" s="26" t="str">
        <f t="shared" si="10"/>
        <v/>
      </c>
      <c r="G360" s="23" t="str">
        <f>IF($A360="","",'Item Balance'!$E359)</f>
        <v/>
      </c>
      <c r="H360" s="26" t="str">
        <f t="shared" si="11"/>
        <v/>
      </c>
      <c r="I360" s="20" t="str">
        <f>IF($A360="","",'Item Balance'!$D359)</f>
        <v/>
      </c>
      <c r="J360" s="31" t="str">
        <f>IF($A360="","",'Item Balance'!$P359)</f>
        <v/>
      </c>
    </row>
    <row r="361" spans="1:10" x14ac:dyDescent="0.35">
      <c r="A361" s="18" t="str">
        <f>IF('Item Balance'!$A360="","",'Item Balance'!$A360)</f>
        <v/>
      </c>
      <c r="B361" s="18" t="str">
        <f>IF($A361="","",'Item Balance'!$B360)</f>
        <v/>
      </c>
      <c r="C361" s="19" t="str">
        <f>IF($A361="","",'Item Balance'!$C360)</f>
        <v/>
      </c>
      <c r="D361" s="23" t="str">
        <f>IF($A361="","",'Item Balance'!$I360)</f>
        <v/>
      </c>
      <c r="E361" s="23" t="str">
        <f>IF($A361="","",'Item Balance'!$F360)</f>
        <v/>
      </c>
      <c r="F361" s="26" t="str">
        <f t="shared" si="10"/>
        <v/>
      </c>
      <c r="G361" s="23" t="str">
        <f>IF($A361="","",'Item Balance'!$E360)</f>
        <v/>
      </c>
      <c r="H361" s="26" t="str">
        <f t="shared" si="11"/>
        <v/>
      </c>
      <c r="I361" s="20" t="str">
        <f>IF($A361="","",'Item Balance'!$D360)</f>
        <v/>
      </c>
      <c r="J361" s="31" t="str">
        <f>IF($A361="","",'Item Balance'!$P360)</f>
        <v/>
      </c>
    </row>
    <row r="362" spans="1:10" x14ac:dyDescent="0.35">
      <c r="A362" s="18" t="str">
        <f>IF('Item Balance'!$A361="","",'Item Balance'!$A361)</f>
        <v/>
      </c>
      <c r="B362" s="18" t="str">
        <f>IF($A362="","",'Item Balance'!$B361)</f>
        <v/>
      </c>
      <c r="C362" s="19" t="str">
        <f>IF($A362="","",'Item Balance'!$C361)</f>
        <v/>
      </c>
      <c r="D362" s="23" t="str">
        <f>IF($A362="","",'Item Balance'!$I361)</f>
        <v/>
      </c>
      <c r="E362" s="23" t="str">
        <f>IF($A362="","",'Item Balance'!$F361)</f>
        <v/>
      </c>
      <c r="F362" s="26" t="str">
        <f t="shared" si="10"/>
        <v/>
      </c>
      <c r="G362" s="23" t="str">
        <f>IF($A362="","",'Item Balance'!$E361)</f>
        <v/>
      </c>
      <c r="H362" s="26" t="str">
        <f t="shared" si="11"/>
        <v/>
      </c>
      <c r="I362" s="20" t="str">
        <f>IF($A362="","",'Item Balance'!$D361)</f>
        <v/>
      </c>
      <c r="J362" s="31" t="str">
        <f>IF($A362="","",'Item Balance'!$P361)</f>
        <v/>
      </c>
    </row>
    <row r="363" spans="1:10" x14ac:dyDescent="0.35">
      <c r="A363" s="18" t="str">
        <f>IF('Item Balance'!$A362="","",'Item Balance'!$A362)</f>
        <v/>
      </c>
      <c r="B363" s="18" t="str">
        <f>IF($A363="","",'Item Balance'!$B362)</f>
        <v/>
      </c>
      <c r="C363" s="19" t="str">
        <f>IF($A363="","",'Item Balance'!$C362)</f>
        <v/>
      </c>
      <c r="D363" s="23" t="str">
        <f>IF($A363="","",'Item Balance'!$I362)</f>
        <v/>
      </c>
      <c r="E363" s="23" t="str">
        <f>IF($A363="","",'Item Balance'!$F362)</f>
        <v/>
      </c>
      <c r="F363" s="26" t="str">
        <f t="shared" si="10"/>
        <v/>
      </c>
      <c r="G363" s="23" t="str">
        <f>IF($A363="","",'Item Balance'!$E362)</f>
        <v/>
      </c>
      <c r="H363" s="26" t="str">
        <f t="shared" si="11"/>
        <v/>
      </c>
      <c r="I363" s="20" t="str">
        <f>IF($A363="","",'Item Balance'!$D362)</f>
        <v/>
      </c>
      <c r="J363" s="31" t="str">
        <f>IF($A363="","",'Item Balance'!$P362)</f>
        <v/>
      </c>
    </row>
    <row r="364" spans="1:10" x14ac:dyDescent="0.35">
      <c r="A364" s="18" t="str">
        <f>IF('Item Balance'!$A363="","",'Item Balance'!$A363)</f>
        <v/>
      </c>
      <c r="B364" s="18" t="str">
        <f>IF($A364="","",'Item Balance'!$B363)</f>
        <v/>
      </c>
      <c r="C364" s="19" t="str">
        <f>IF($A364="","",'Item Balance'!$C363)</f>
        <v/>
      </c>
      <c r="D364" s="23" t="str">
        <f>IF($A364="","",'Item Balance'!$I363)</f>
        <v/>
      </c>
      <c r="E364" s="23" t="str">
        <f>IF($A364="","",'Item Balance'!$F363)</f>
        <v/>
      </c>
      <c r="F364" s="26" t="str">
        <f t="shared" si="10"/>
        <v/>
      </c>
      <c r="G364" s="23" t="str">
        <f>IF($A364="","",'Item Balance'!$E363)</f>
        <v/>
      </c>
      <c r="H364" s="26" t="str">
        <f t="shared" si="11"/>
        <v/>
      </c>
      <c r="I364" s="20" t="str">
        <f>IF($A364="","",'Item Balance'!$D363)</f>
        <v/>
      </c>
      <c r="J364" s="31" t="str">
        <f>IF($A364="","",'Item Balance'!$P363)</f>
        <v/>
      </c>
    </row>
    <row r="365" spans="1:10" x14ac:dyDescent="0.35">
      <c r="A365" s="18" t="str">
        <f>IF('Item Balance'!$A364="","",'Item Balance'!$A364)</f>
        <v/>
      </c>
      <c r="B365" s="18" t="str">
        <f>IF($A365="","",'Item Balance'!$B364)</f>
        <v/>
      </c>
      <c r="C365" s="19" t="str">
        <f>IF($A365="","",'Item Balance'!$C364)</f>
        <v/>
      </c>
      <c r="D365" s="23" t="str">
        <f>IF($A365="","",'Item Balance'!$I364)</f>
        <v/>
      </c>
      <c r="E365" s="23" t="str">
        <f>IF($A365="","",'Item Balance'!$F364)</f>
        <v/>
      </c>
      <c r="F365" s="26" t="str">
        <f t="shared" si="10"/>
        <v/>
      </c>
      <c r="G365" s="23" t="str">
        <f>IF($A365="","",'Item Balance'!$E364)</f>
        <v/>
      </c>
      <c r="H365" s="26" t="str">
        <f t="shared" si="11"/>
        <v/>
      </c>
      <c r="I365" s="20" t="str">
        <f>IF($A365="","",'Item Balance'!$D364)</f>
        <v/>
      </c>
      <c r="J365" s="31" t="str">
        <f>IF($A365="","",'Item Balance'!$P364)</f>
        <v/>
      </c>
    </row>
    <row r="366" spans="1:10" x14ac:dyDescent="0.35">
      <c r="A366" s="18" t="str">
        <f>IF('Item Balance'!$A365="","",'Item Balance'!$A365)</f>
        <v/>
      </c>
      <c r="B366" s="18" t="str">
        <f>IF($A366="","",'Item Balance'!$B365)</f>
        <v/>
      </c>
      <c r="C366" s="19" t="str">
        <f>IF($A366="","",'Item Balance'!$C365)</f>
        <v/>
      </c>
      <c r="D366" s="23" t="str">
        <f>IF($A366="","",'Item Balance'!$I365)</f>
        <v/>
      </c>
      <c r="E366" s="23" t="str">
        <f>IF($A366="","",'Item Balance'!$F365)</f>
        <v/>
      </c>
      <c r="F366" s="26" t="str">
        <f t="shared" si="10"/>
        <v/>
      </c>
      <c r="G366" s="23" t="str">
        <f>IF($A366="","",'Item Balance'!$E365)</f>
        <v/>
      </c>
      <c r="H366" s="26" t="str">
        <f t="shared" si="11"/>
        <v/>
      </c>
      <c r="I366" s="20" t="str">
        <f>IF($A366="","",'Item Balance'!$D365)</f>
        <v/>
      </c>
      <c r="J366" s="31" t="str">
        <f>IF($A366="","",'Item Balance'!$P365)</f>
        <v/>
      </c>
    </row>
    <row r="367" spans="1:10" x14ac:dyDescent="0.35">
      <c r="A367" s="18" t="str">
        <f>IF('Item Balance'!$A366="","",'Item Balance'!$A366)</f>
        <v/>
      </c>
      <c r="B367" s="18" t="str">
        <f>IF($A367="","",'Item Balance'!$B366)</f>
        <v/>
      </c>
      <c r="C367" s="19" t="str">
        <f>IF($A367="","",'Item Balance'!$C366)</f>
        <v/>
      </c>
      <c r="D367" s="23" t="str">
        <f>IF($A367="","",'Item Balance'!$I366)</f>
        <v/>
      </c>
      <c r="E367" s="23" t="str">
        <f>IF($A367="","",'Item Balance'!$F366)</f>
        <v/>
      </c>
      <c r="F367" s="26" t="str">
        <f t="shared" si="10"/>
        <v/>
      </c>
      <c r="G367" s="23" t="str">
        <f>IF($A367="","",'Item Balance'!$E366)</f>
        <v/>
      </c>
      <c r="H367" s="26" t="str">
        <f t="shared" si="11"/>
        <v/>
      </c>
      <c r="I367" s="20" t="str">
        <f>IF($A367="","",'Item Balance'!$D366)</f>
        <v/>
      </c>
      <c r="J367" s="31" t="str">
        <f>IF($A367="","",'Item Balance'!$P366)</f>
        <v/>
      </c>
    </row>
    <row r="368" spans="1:10" x14ac:dyDescent="0.35">
      <c r="A368" s="18" t="str">
        <f>IF('Item Balance'!$A367="","",'Item Balance'!$A367)</f>
        <v/>
      </c>
      <c r="B368" s="18" t="str">
        <f>IF($A368="","",'Item Balance'!$B367)</f>
        <v/>
      </c>
      <c r="C368" s="19" t="str">
        <f>IF($A368="","",'Item Balance'!$C367)</f>
        <v/>
      </c>
      <c r="D368" s="23" t="str">
        <f>IF($A368="","",'Item Balance'!$I367)</f>
        <v/>
      </c>
      <c r="E368" s="23" t="str">
        <f>IF($A368="","",'Item Balance'!$F367)</f>
        <v/>
      </c>
      <c r="F368" s="26" t="str">
        <f t="shared" si="10"/>
        <v/>
      </c>
      <c r="G368" s="23" t="str">
        <f>IF($A368="","",'Item Balance'!$E367)</f>
        <v/>
      </c>
      <c r="H368" s="26" t="str">
        <f t="shared" si="11"/>
        <v/>
      </c>
      <c r="I368" s="20" t="str">
        <f>IF($A368="","",'Item Balance'!$D367)</f>
        <v/>
      </c>
      <c r="J368" s="31" t="str">
        <f>IF($A368="","",'Item Balance'!$P367)</f>
        <v/>
      </c>
    </row>
    <row r="369" spans="1:10" x14ac:dyDescent="0.35">
      <c r="A369" s="18" t="str">
        <f>IF('Item Balance'!$A368="","",'Item Balance'!$A368)</f>
        <v/>
      </c>
      <c r="B369" s="18" t="str">
        <f>IF($A369="","",'Item Balance'!$B368)</f>
        <v/>
      </c>
      <c r="C369" s="19" t="str">
        <f>IF($A369="","",'Item Balance'!$C368)</f>
        <v/>
      </c>
      <c r="D369" s="23" t="str">
        <f>IF($A369="","",'Item Balance'!$I368)</f>
        <v/>
      </c>
      <c r="E369" s="23" t="str">
        <f>IF($A369="","",'Item Balance'!$F368)</f>
        <v/>
      </c>
      <c r="F369" s="26" t="str">
        <f t="shared" si="10"/>
        <v/>
      </c>
      <c r="G369" s="23" t="str">
        <f>IF($A369="","",'Item Balance'!$E368)</f>
        <v/>
      </c>
      <c r="H369" s="26" t="str">
        <f t="shared" si="11"/>
        <v/>
      </c>
      <c r="I369" s="20" t="str">
        <f>IF($A369="","",'Item Balance'!$D368)</f>
        <v/>
      </c>
      <c r="J369" s="31" t="str">
        <f>IF($A369="","",'Item Balance'!$P368)</f>
        <v/>
      </c>
    </row>
    <row r="370" spans="1:10" x14ac:dyDescent="0.35">
      <c r="A370" s="18" t="str">
        <f>IF('Item Balance'!$A369="","",'Item Balance'!$A369)</f>
        <v/>
      </c>
      <c r="B370" s="18" t="str">
        <f>IF($A370="","",'Item Balance'!$B369)</f>
        <v/>
      </c>
      <c r="C370" s="19" t="str">
        <f>IF($A370="","",'Item Balance'!$C369)</f>
        <v/>
      </c>
      <c r="D370" s="23" t="str">
        <f>IF($A370="","",'Item Balance'!$I369)</f>
        <v/>
      </c>
      <c r="E370" s="23" t="str">
        <f>IF($A370="","",'Item Balance'!$F369)</f>
        <v/>
      </c>
      <c r="F370" s="26" t="str">
        <f t="shared" si="10"/>
        <v/>
      </c>
      <c r="G370" s="23" t="str">
        <f>IF($A370="","",'Item Balance'!$E369)</f>
        <v/>
      </c>
      <c r="H370" s="26" t="str">
        <f t="shared" si="11"/>
        <v/>
      </c>
      <c r="I370" s="20" t="str">
        <f>IF($A370="","",'Item Balance'!$D369)</f>
        <v/>
      </c>
      <c r="J370" s="31" t="str">
        <f>IF($A370="","",'Item Balance'!$P369)</f>
        <v/>
      </c>
    </row>
    <row r="371" spans="1:10" x14ac:dyDescent="0.35">
      <c r="A371" s="18" t="str">
        <f>IF('Item Balance'!$A370="","",'Item Balance'!$A370)</f>
        <v/>
      </c>
      <c r="B371" s="18" t="str">
        <f>IF($A371="","",'Item Balance'!$B370)</f>
        <v/>
      </c>
      <c r="C371" s="19" t="str">
        <f>IF($A371="","",'Item Balance'!$C370)</f>
        <v/>
      </c>
      <c r="D371" s="23" t="str">
        <f>IF($A371="","",'Item Balance'!$I370)</f>
        <v/>
      </c>
      <c r="E371" s="23" t="str">
        <f>IF($A371="","",'Item Balance'!$F370)</f>
        <v/>
      </c>
      <c r="F371" s="26" t="str">
        <f t="shared" si="10"/>
        <v/>
      </c>
      <c r="G371" s="23" t="str">
        <f>IF($A371="","",'Item Balance'!$E370)</f>
        <v/>
      </c>
      <c r="H371" s="26" t="str">
        <f t="shared" si="11"/>
        <v/>
      </c>
      <c r="I371" s="20" t="str">
        <f>IF($A371="","",'Item Balance'!$D370)</f>
        <v/>
      </c>
      <c r="J371" s="31" t="str">
        <f>IF($A371="","",'Item Balance'!$P370)</f>
        <v/>
      </c>
    </row>
    <row r="372" spans="1:10" x14ac:dyDescent="0.35">
      <c r="A372" s="18" t="str">
        <f>IF('Item Balance'!$A371="","",'Item Balance'!$A371)</f>
        <v/>
      </c>
      <c r="B372" s="18" t="str">
        <f>IF($A372="","",'Item Balance'!$B371)</f>
        <v/>
      </c>
      <c r="C372" s="19" t="str">
        <f>IF($A372="","",'Item Balance'!$C371)</f>
        <v/>
      </c>
      <c r="D372" s="23" t="str">
        <f>IF($A372="","",'Item Balance'!$I371)</f>
        <v/>
      </c>
      <c r="E372" s="23" t="str">
        <f>IF($A372="","",'Item Balance'!$F371)</f>
        <v/>
      </c>
      <c r="F372" s="26" t="str">
        <f t="shared" si="10"/>
        <v/>
      </c>
      <c r="G372" s="23" t="str">
        <f>IF($A372="","",'Item Balance'!$E371)</f>
        <v/>
      </c>
      <c r="H372" s="26" t="str">
        <f t="shared" si="11"/>
        <v/>
      </c>
      <c r="I372" s="20" t="str">
        <f>IF($A372="","",'Item Balance'!$D371)</f>
        <v/>
      </c>
      <c r="J372" s="31" t="str">
        <f>IF($A372="","",'Item Balance'!$P371)</f>
        <v/>
      </c>
    </row>
    <row r="373" spans="1:10" x14ac:dyDescent="0.35">
      <c r="A373" s="18" t="str">
        <f>IF('Item Balance'!$A372="","",'Item Balance'!$A372)</f>
        <v/>
      </c>
      <c r="B373" s="18" t="str">
        <f>IF($A373="","",'Item Balance'!$B372)</f>
        <v/>
      </c>
      <c r="C373" s="19" t="str">
        <f>IF($A373="","",'Item Balance'!$C372)</f>
        <v/>
      </c>
      <c r="D373" s="23" t="str">
        <f>IF($A373="","",'Item Balance'!$I372)</f>
        <v/>
      </c>
      <c r="E373" s="23" t="str">
        <f>IF($A373="","",'Item Balance'!$F372)</f>
        <v/>
      </c>
      <c r="F373" s="26" t="str">
        <f t="shared" si="10"/>
        <v/>
      </c>
      <c r="G373" s="23" t="str">
        <f>IF($A373="","",'Item Balance'!$E372)</f>
        <v/>
      </c>
      <c r="H373" s="26" t="str">
        <f t="shared" si="11"/>
        <v/>
      </c>
      <c r="I373" s="20" t="str">
        <f>IF($A373="","",'Item Balance'!$D372)</f>
        <v/>
      </c>
      <c r="J373" s="31" t="str">
        <f>IF($A373="","",'Item Balance'!$P372)</f>
        <v/>
      </c>
    </row>
    <row r="374" spans="1:10" x14ac:dyDescent="0.35">
      <c r="A374" s="18" t="str">
        <f>IF('Item Balance'!$A373="","",'Item Balance'!$A373)</f>
        <v/>
      </c>
      <c r="B374" s="18" t="str">
        <f>IF($A374="","",'Item Balance'!$B373)</f>
        <v/>
      </c>
      <c r="C374" s="19" t="str">
        <f>IF($A374="","",'Item Balance'!$C373)</f>
        <v/>
      </c>
      <c r="D374" s="23" t="str">
        <f>IF($A374="","",'Item Balance'!$I373)</f>
        <v/>
      </c>
      <c r="E374" s="23" t="str">
        <f>IF($A374="","",'Item Balance'!$F373)</f>
        <v/>
      </c>
      <c r="F374" s="26" t="str">
        <f t="shared" si="10"/>
        <v/>
      </c>
      <c r="G374" s="23" t="str">
        <f>IF($A374="","",'Item Balance'!$E373)</f>
        <v/>
      </c>
      <c r="H374" s="26" t="str">
        <f t="shared" si="11"/>
        <v/>
      </c>
      <c r="I374" s="20" t="str">
        <f>IF($A374="","",'Item Balance'!$D373)</f>
        <v/>
      </c>
      <c r="J374" s="31" t="str">
        <f>IF($A374="","",'Item Balance'!$P373)</f>
        <v/>
      </c>
    </row>
    <row r="375" spans="1:10" x14ac:dyDescent="0.35">
      <c r="A375" s="18" t="str">
        <f>IF('Item Balance'!$A374="","",'Item Balance'!$A374)</f>
        <v/>
      </c>
      <c r="B375" s="18" t="str">
        <f>IF($A375="","",'Item Balance'!$B374)</f>
        <v/>
      </c>
      <c r="C375" s="19" t="str">
        <f>IF($A375="","",'Item Balance'!$C374)</f>
        <v/>
      </c>
      <c r="D375" s="23" t="str">
        <f>IF($A375="","",'Item Balance'!$I374)</f>
        <v/>
      </c>
      <c r="E375" s="23" t="str">
        <f>IF($A375="","",'Item Balance'!$F374)</f>
        <v/>
      </c>
      <c r="F375" s="26" t="str">
        <f t="shared" si="10"/>
        <v/>
      </c>
      <c r="G375" s="23" t="str">
        <f>IF($A375="","",'Item Balance'!$E374)</f>
        <v/>
      </c>
      <c r="H375" s="26" t="str">
        <f t="shared" si="11"/>
        <v/>
      </c>
      <c r="I375" s="20" t="str">
        <f>IF($A375="","",'Item Balance'!$D374)</f>
        <v/>
      </c>
      <c r="J375" s="31" t="str">
        <f>IF($A375="","",'Item Balance'!$P374)</f>
        <v/>
      </c>
    </row>
    <row r="376" spans="1:10" x14ac:dyDescent="0.35">
      <c r="A376" s="18" t="str">
        <f>IF('Item Balance'!$A375="","",'Item Balance'!$A375)</f>
        <v/>
      </c>
      <c r="B376" s="18" t="str">
        <f>IF($A376="","",'Item Balance'!$B375)</f>
        <v/>
      </c>
      <c r="C376" s="19" t="str">
        <f>IF($A376="","",'Item Balance'!$C375)</f>
        <v/>
      </c>
      <c r="D376" s="23" t="str">
        <f>IF($A376="","",'Item Balance'!$I375)</f>
        <v/>
      </c>
      <c r="E376" s="23" t="str">
        <f>IF($A376="","",'Item Balance'!$F375)</f>
        <v/>
      </c>
      <c r="F376" s="26" t="str">
        <f t="shared" si="10"/>
        <v/>
      </c>
      <c r="G376" s="23" t="str">
        <f>IF($A376="","",'Item Balance'!$E375)</f>
        <v/>
      </c>
      <c r="H376" s="26" t="str">
        <f t="shared" si="11"/>
        <v/>
      </c>
      <c r="I376" s="20" t="str">
        <f>IF($A376="","",'Item Balance'!$D375)</f>
        <v/>
      </c>
      <c r="J376" s="31" t="str">
        <f>IF($A376="","",'Item Balance'!$P375)</f>
        <v/>
      </c>
    </row>
    <row r="377" spans="1:10" x14ac:dyDescent="0.35">
      <c r="A377" s="18" t="str">
        <f>IF('Item Balance'!$A376="","",'Item Balance'!$A376)</f>
        <v/>
      </c>
      <c r="B377" s="18" t="str">
        <f>IF($A377="","",'Item Balance'!$B376)</f>
        <v/>
      </c>
      <c r="C377" s="19" t="str">
        <f>IF($A377="","",'Item Balance'!$C376)</f>
        <v/>
      </c>
      <c r="D377" s="23" t="str">
        <f>IF($A377="","",'Item Balance'!$I376)</f>
        <v/>
      </c>
      <c r="E377" s="23" t="str">
        <f>IF($A377="","",'Item Balance'!$F376)</f>
        <v/>
      </c>
      <c r="F377" s="26" t="str">
        <f t="shared" si="10"/>
        <v/>
      </c>
      <c r="G377" s="23" t="str">
        <f>IF($A377="","",'Item Balance'!$E376)</f>
        <v/>
      </c>
      <c r="H377" s="26" t="str">
        <f t="shared" si="11"/>
        <v/>
      </c>
      <c r="I377" s="20" t="str">
        <f>IF($A377="","",'Item Balance'!$D376)</f>
        <v/>
      </c>
      <c r="J377" s="31" t="str">
        <f>IF($A377="","",'Item Balance'!$P376)</f>
        <v/>
      </c>
    </row>
    <row r="378" spans="1:10" x14ac:dyDescent="0.35">
      <c r="A378" s="18" t="str">
        <f>IF('Item Balance'!$A377="","",'Item Balance'!$A377)</f>
        <v/>
      </c>
      <c r="B378" s="18" t="str">
        <f>IF($A378="","",'Item Balance'!$B377)</f>
        <v/>
      </c>
      <c r="C378" s="19" t="str">
        <f>IF($A378="","",'Item Balance'!$C377)</f>
        <v/>
      </c>
      <c r="D378" s="23" t="str">
        <f>IF($A378="","",'Item Balance'!$I377)</f>
        <v/>
      </c>
      <c r="E378" s="23" t="str">
        <f>IF($A378="","",'Item Balance'!$F377)</f>
        <v/>
      </c>
      <c r="F378" s="26" t="str">
        <f t="shared" si="10"/>
        <v/>
      </c>
      <c r="G378" s="23" t="str">
        <f>IF($A378="","",'Item Balance'!$E377)</f>
        <v/>
      </c>
      <c r="H378" s="26" t="str">
        <f t="shared" si="11"/>
        <v/>
      </c>
      <c r="I378" s="20" t="str">
        <f>IF($A378="","",'Item Balance'!$D377)</f>
        <v/>
      </c>
      <c r="J378" s="31" t="str">
        <f>IF($A378="","",'Item Balance'!$P377)</f>
        <v/>
      </c>
    </row>
    <row r="379" spans="1:10" x14ac:dyDescent="0.35">
      <c r="A379" s="18" t="str">
        <f>IF('Item Balance'!$A378="","",'Item Balance'!$A378)</f>
        <v/>
      </c>
      <c r="B379" s="18" t="str">
        <f>IF($A379="","",'Item Balance'!$B378)</f>
        <v/>
      </c>
      <c r="C379" s="19" t="str">
        <f>IF($A379="","",'Item Balance'!$C378)</f>
        <v/>
      </c>
      <c r="D379" s="23" t="str">
        <f>IF($A379="","",'Item Balance'!$I378)</f>
        <v/>
      </c>
      <c r="E379" s="23" t="str">
        <f>IF($A379="","",'Item Balance'!$F378)</f>
        <v/>
      </c>
      <c r="F379" s="26" t="str">
        <f t="shared" si="10"/>
        <v/>
      </c>
      <c r="G379" s="23" t="str">
        <f>IF($A379="","",'Item Balance'!$E378)</f>
        <v/>
      </c>
      <c r="H379" s="26" t="str">
        <f t="shared" si="11"/>
        <v/>
      </c>
      <c r="I379" s="20" t="str">
        <f>IF($A379="","",'Item Balance'!$D378)</f>
        <v/>
      </c>
      <c r="J379" s="31" t="str">
        <f>IF($A379="","",'Item Balance'!$P378)</f>
        <v/>
      </c>
    </row>
    <row r="380" spans="1:10" x14ac:dyDescent="0.35">
      <c r="A380" s="18" t="str">
        <f>IF('Item Balance'!$A379="","",'Item Balance'!$A379)</f>
        <v/>
      </c>
      <c r="B380" s="18" t="str">
        <f>IF($A380="","",'Item Balance'!$B379)</f>
        <v/>
      </c>
      <c r="C380" s="19" t="str">
        <f>IF($A380="","",'Item Balance'!$C379)</f>
        <v/>
      </c>
      <c r="D380" s="23" t="str">
        <f>IF($A380="","",'Item Balance'!$I379)</f>
        <v/>
      </c>
      <c r="E380" s="23" t="str">
        <f>IF($A380="","",'Item Balance'!$F379)</f>
        <v/>
      </c>
      <c r="F380" s="26" t="str">
        <f t="shared" si="10"/>
        <v/>
      </c>
      <c r="G380" s="23" t="str">
        <f>IF($A380="","",'Item Balance'!$E379)</f>
        <v/>
      </c>
      <c r="H380" s="26" t="str">
        <f t="shared" si="11"/>
        <v/>
      </c>
      <c r="I380" s="20" t="str">
        <f>IF($A380="","",'Item Balance'!$D379)</f>
        <v/>
      </c>
      <c r="J380" s="31" t="str">
        <f>IF($A380="","",'Item Balance'!$P379)</f>
        <v/>
      </c>
    </row>
    <row r="381" spans="1:10" x14ac:dyDescent="0.35">
      <c r="A381" s="18" t="str">
        <f>IF('Item Balance'!$A380="","",'Item Balance'!$A380)</f>
        <v/>
      </c>
      <c r="B381" s="18" t="str">
        <f>IF($A381="","",'Item Balance'!$B380)</f>
        <v/>
      </c>
      <c r="C381" s="19" t="str">
        <f>IF($A381="","",'Item Balance'!$C380)</f>
        <v/>
      </c>
      <c r="D381" s="23" t="str">
        <f>IF($A381="","",'Item Balance'!$I380)</f>
        <v/>
      </c>
      <c r="E381" s="23" t="str">
        <f>IF($A381="","",'Item Balance'!$F380)</f>
        <v/>
      </c>
      <c r="F381" s="26" t="str">
        <f t="shared" si="10"/>
        <v/>
      </c>
      <c r="G381" s="23" t="str">
        <f>IF($A381="","",'Item Balance'!$E380)</f>
        <v/>
      </c>
      <c r="H381" s="26" t="str">
        <f t="shared" si="11"/>
        <v/>
      </c>
      <c r="I381" s="20" t="str">
        <f>IF($A381="","",'Item Balance'!$D380)</f>
        <v/>
      </c>
      <c r="J381" s="31" t="str">
        <f>IF($A381="","",'Item Balance'!$P380)</f>
        <v/>
      </c>
    </row>
    <row r="382" spans="1:10" x14ac:dyDescent="0.35">
      <c r="A382" s="18" t="str">
        <f>IF('Item Balance'!$A381="","",'Item Balance'!$A381)</f>
        <v/>
      </c>
      <c r="B382" s="18" t="str">
        <f>IF($A382="","",'Item Balance'!$B381)</f>
        <v/>
      </c>
      <c r="C382" s="19" t="str">
        <f>IF($A382="","",'Item Balance'!$C381)</f>
        <v/>
      </c>
      <c r="D382" s="23" t="str">
        <f>IF($A382="","",'Item Balance'!$I381)</f>
        <v/>
      </c>
      <c r="E382" s="23" t="str">
        <f>IF($A382="","",'Item Balance'!$F381)</f>
        <v/>
      </c>
      <c r="F382" s="26" t="str">
        <f t="shared" si="10"/>
        <v/>
      </c>
      <c r="G382" s="23" t="str">
        <f>IF($A382="","",'Item Balance'!$E381)</f>
        <v/>
      </c>
      <c r="H382" s="26" t="str">
        <f t="shared" si="11"/>
        <v/>
      </c>
      <c r="I382" s="20" t="str">
        <f>IF($A382="","",'Item Balance'!$D381)</f>
        <v/>
      </c>
      <c r="J382" s="31" t="str">
        <f>IF($A382="","",'Item Balance'!$P381)</f>
        <v/>
      </c>
    </row>
    <row r="383" spans="1:10" x14ac:dyDescent="0.35">
      <c r="A383" s="18" t="str">
        <f>IF('Item Balance'!$A382="","",'Item Balance'!$A382)</f>
        <v/>
      </c>
      <c r="B383" s="18" t="str">
        <f>IF($A383="","",'Item Balance'!$B382)</f>
        <v/>
      </c>
      <c r="C383" s="19" t="str">
        <f>IF($A383="","",'Item Balance'!$C382)</f>
        <v/>
      </c>
      <c r="D383" s="23" t="str">
        <f>IF($A383="","",'Item Balance'!$I382)</f>
        <v/>
      </c>
      <c r="E383" s="23" t="str">
        <f>IF($A383="","",'Item Balance'!$F382)</f>
        <v/>
      </c>
      <c r="F383" s="26" t="str">
        <f t="shared" si="10"/>
        <v/>
      </c>
      <c r="G383" s="23" t="str">
        <f>IF($A383="","",'Item Balance'!$E382)</f>
        <v/>
      </c>
      <c r="H383" s="26" t="str">
        <f t="shared" si="11"/>
        <v/>
      </c>
      <c r="I383" s="20" t="str">
        <f>IF($A383="","",'Item Balance'!$D382)</f>
        <v/>
      </c>
      <c r="J383" s="31" t="str">
        <f>IF($A383="","",'Item Balance'!$P382)</f>
        <v/>
      </c>
    </row>
    <row r="384" spans="1:10" x14ac:dyDescent="0.35">
      <c r="A384" s="18" t="str">
        <f>IF('Item Balance'!$A383="","",'Item Balance'!$A383)</f>
        <v/>
      </c>
      <c r="B384" s="18" t="str">
        <f>IF($A384="","",'Item Balance'!$B383)</f>
        <v/>
      </c>
      <c r="C384" s="19" t="str">
        <f>IF($A384="","",'Item Balance'!$C383)</f>
        <v/>
      </c>
      <c r="D384" s="23" t="str">
        <f>IF($A384="","",'Item Balance'!$I383)</f>
        <v/>
      </c>
      <c r="E384" s="23" t="str">
        <f>IF($A384="","",'Item Balance'!$F383)</f>
        <v/>
      </c>
      <c r="F384" s="26" t="str">
        <f t="shared" si="10"/>
        <v/>
      </c>
      <c r="G384" s="23" t="str">
        <f>IF($A384="","",'Item Balance'!$E383)</f>
        <v/>
      </c>
      <c r="H384" s="26" t="str">
        <f t="shared" si="11"/>
        <v/>
      </c>
      <c r="I384" s="20" t="str">
        <f>IF($A384="","",'Item Balance'!$D383)</f>
        <v/>
      </c>
      <c r="J384" s="31" t="str">
        <f>IF($A384="","",'Item Balance'!$P383)</f>
        <v/>
      </c>
    </row>
    <row r="385" spans="1:10" x14ac:dyDescent="0.35">
      <c r="A385" s="18" t="str">
        <f>IF('Item Balance'!$A384="","",'Item Balance'!$A384)</f>
        <v/>
      </c>
      <c r="B385" s="18" t="str">
        <f>IF($A385="","",'Item Balance'!$B384)</f>
        <v/>
      </c>
      <c r="C385" s="19" t="str">
        <f>IF($A385="","",'Item Balance'!$C384)</f>
        <v/>
      </c>
      <c r="D385" s="23" t="str">
        <f>IF($A385="","",'Item Balance'!$I384)</f>
        <v/>
      </c>
      <c r="E385" s="23" t="str">
        <f>IF($A385="","",'Item Balance'!$F384)</f>
        <v/>
      </c>
      <c r="F385" s="26" t="str">
        <f t="shared" si="10"/>
        <v/>
      </c>
      <c r="G385" s="23" t="str">
        <f>IF($A385="","",'Item Balance'!$E384)</f>
        <v/>
      </c>
      <c r="H385" s="26" t="str">
        <f t="shared" si="11"/>
        <v/>
      </c>
      <c r="I385" s="20" t="str">
        <f>IF($A385="","",'Item Balance'!$D384)</f>
        <v/>
      </c>
      <c r="J385" s="31" t="str">
        <f>IF($A385="","",'Item Balance'!$P384)</f>
        <v/>
      </c>
    </row>
    <row r="386" spans="1:10" x14ac:dyDescent="0.35">
      <c r="A386" s="18" t="str">
        <f>IF('Item Balance'!$A385="","",'Item Balance'!$A385)</f>
        <v/>
      </c>
      <c r="B386" s="18" t="str">
        <f>IF($A386="","",'Item Balance'!$B385)</f>
        <v/>
      </c>
      <c r="C386" s="19" t="str">
        <f>IF($A386="","",'Item Balance'!$C385)</f>
        <v/>
      </c>
      <c r="D386" s="23" t="str">
        <f>IF($A386="","",'Item Balance'!$I385)</f>
        <v/>
      </c>
      <c r="E386" s="23" t="str">
        <f>IF($A386="","",'Item Balance'!$F385)</f>
        <v/>
      </c>
      <c r="F386" s="26" t="str">
        <f t="shared" si="10"/>
        <v/>
      </c>
      <c r="G386" s="23" t="str">
        <f>IF($A386="","",'Item Balance'!$E385)</f>
        <v/>
      </c>
      <c r="H386" s="26" t="str">
        <f t="shared" si="11"/>
        <v/>
      </c>
      <c r="I386" s="20" t="str">
        <f>IF($A386="","",'Item Balance'!$D385)</f>
        <v/>
      </c>
      <c r="J386" s="31" t="str">
        <f>IF($A386="","",'Item Balance'!$P385)</f>
        <v/>
      </c>
    </row>
    <row r="387" spans="1:10" x14ac:dyDescent="0.35">
      <c r="A387" s="18" t="str">
        <f>IF('Item Balance'!$A386="","",'Item Balance'!$A386)</f>
        <v/>
      </c>
      <c r="B387" s="18" t="str">
        <f>IF($A387="","",'Item Balance'!$B386)</f>
        <v/>
      </c>
      <c r="C387" s="19" t="str">
        <f>IF($A387="","",'Item Balance'!$C386)</f>
        <v/>
      </c>
      <c r="D387" s="23" t="str">
        <f>IF($A387="","",'Item Balance'!$I386)</f>
        <v/>
      </c>
      <c r="E387" s="23" t="str">
        <f>IF($A387="","",'Item Balance'!$F386)</f>
        <v/>
      </c>
      <c r="F387" s="26" t="str">
        <f t="shared" si="10"/>
        <v/>
      </c>
      <c r="G387" s="23" t="str">
        <f>IF($A387="","",'Item Balance'!$E386)</f>
        <v/>
      </c>
      <c r="H387" s="26" t="str">
        <f t="shared" si="11"/>
        <v/>
      </c>
      <c r="I387" s="20" t="str">
        <f>IF($A387="","",'Item Balance'!$D386)</f>
        <v/>
      </c>
      <c r="J387" s="31" t="str">
        <f>IF($A387="","",'Item Balance'!$P386)</f>
        <v/>
      </c>
    </row>
    <row r="388" spans="1:10" x14ac:dyDescent="0.35">
      <c r="A388" s="18" t="str">
        <f>IF('Item Balance'!$A387="","",'Item Balance'!$A387)</f>
        <v/>
      </c>
      <c r="B388" s="18" t="str">
        <f>IF($A388="","",'Item Balance'!$B387)</f>
        <v/>
      </c>
      <c r="C388" s="19" t="str">
        <f>IF($A388="","",'Item Balance'!$C387)</f>
        <v/>
      </c>
      <c r="D388" s="23" t="str">
        <f>IF($A388="","",'Item Balance'!$I387)</f>
        <v/>
      </c>
      <c r="E388" s="23" t="str">
        <f>IF($A388="","",'Item Balance'!$F387)</f>
        <v/>
      </c>
      <c r="F388" s="26" t="str">
        <f t="shared" si="10"/>
        <v/>
      </c>
      <c r="G388" s="23" t="str">
        <f>IF($A388="","",'Item Balance'!$E387)</f>
        <v/>
      </c>
      <c r="H388" s="26" t="str">
        <f t="shared" si="11"/>
        <v/>
      </c>
      <c r="I388" s="20" t="str">
        <f>IF($A388="","",'Item Balance'!$D387)</f>
        <v/>
      </c>
      <c r="J388" s="31" t="str">
        <f>IF($A388="","",'Item Balance'!$P387)</f>
        <v/>
      </c>
    </row>
    <row r="389" spans="1:10" x14ac:dyDescent="0.35">
      <c r="A389" s="18" t="str">
        <f>IF('Item Balance'!$A388="","",'Item Balance'!$A388)</f>
        <v/>
      </c>
      <c r="B389" s="18" t="str">
        <f>IF($A389="","",'Item Balance'!$B388)</f>
        <v/>
      </c>
      <c r="C389" s="19" t="str">
        <f>IF($A389="","",'Item Balance'!$C388)</f>
        <v/>
      </c>
      <c r="D389" s="23" t="str">
        <f>IF($A389="","",'Item Balance'!$I388)</f>
        <v/>
      </c>
      <c r="E389" s="23" t="str">
        <f>IF($A389="","",'Item Balance'!$F388)</f>
        <v/>
      </c>
      <c r="F389" s="26" t="str">
        <f t="shared" si="10"/>
        <v/>
      </c>
      <c r="G389" s="23" t="str">
        <f>IF($A389="","",'Item Balance'!$E388)</f>
        <v/>
      </c>
      <c r="H389" s="26" t="str">
        <f t="shared" si="11"/>
        <v/>
      </c>
      <c r="I389" s="20" t="str">
        <f>IF($A389="","",'Item Balance'!$D388)</f>
        <v/>
      </c>
      <c r="J389" s="31" t="str">
        <f>IF($A389="","",'Item Balance'!$P388)</f>
        <v/>
      </c>
    </row>
    <row r="390" spans="1:10" x14ac:dyDescent="0.35">
      <c r="A390" s="18" t="str">
        <f>IF('Item Balance'!$A389="","",'Item Balance'!$A389)</f>
        <v/>
      </c>
      <c r="B390" s="18" t="str">
        <f>IF($A390="","",'Item Balance'!$B389)</f>
        <v/>
      </c>
      <c r="C390" s="19" t="str">
        <f>IF($A390="","",'Item Balance'!$C389)</f>
        <v/>
      </c>
      <c r="D390" s="23" t="str">
        <f>IF($A390="","",'Item Balance'!$I389)</f>
        <v/>
      </c>
      <c r="E390" s="23" t="str">
        <f>IF($A390="","",'Item Balance'!$F389)</f>
        <v/>
      </c>
      <c r="F390" s="26" t="str">
        <f t="shared" ref="F390:F453" si="12">IF(OR($A390="",NOT(ISNUMBER($E390)),NOT(ISNUMBER($D390))),"",MAX(0,$E390-$D390))</f>
        <v/>
      </c>
      <c r="G390" s="23" t="str">
        <f>IF($A390="","",'Item Balance'!$E389)</f>
        <v/>
      </c>
      <c r="H390" s="26" t="str">
        <f t="shared" ref="H390:H453" si="13">IF(OR($A390="",NOT(ISNUMBER($G390)),$G390=0,NOT(ISNUMBER($D390))),"",ROUNDDOWN($D390/$G390,0))</f>
        <v/>
      </c>
      <c r="I390" s="20" t="str">
        <f>IF($A390="","",'Item Balance'!$D389)</f>
        <v/>
      </c>
      <c r="J390" s="31" t="str">
        <f>IF($A390="","",'Item Balance'!$P389)</f>
        <v/>
      </c>
    </row>
    <row r="391" spans="1:10" x14ac:dyDescent="0.35">
      <c r="A391" s="18" t="str">
        <f>IF('Item Balance'!$A390="","",'Item Balance'!$A390)</f>
        <v/>
      </c>
      <c r="B391" s="18" t="str">
        <f>IF($A391="","",'Item Balance'!$B390)</f>
        <v/>
      </c>
      <c r="C391" s="19" t="str">
        <f>IF($A391="","",'Item Balance'!$C390)</f>
        <v/>
      </c>
      <c r="D391" s="23" t="str">
        <f>IF($A391="","",'Item Balance'!$I390)</f>
        <v/>
      </c>
      <c r="E391" s="23" t="str">
        <f>IF($A391="","",'Item Balance'!$F390)</f>
        <v/>
      </c>
      <c r="F391" s="26" t="str">
        <f t="shared" si="12"/>
        <v/>
      </c>
      <c r="G391" s="23" t="str">
        <f>IF($A391="","",'Item Balance'!$E390)</f>
        <v/>
      </c>
      <c r="H391" s="26" t="str">
        <f t="shared" si="13"/>
        <v/>
      </c>
      <c r="I391" s="20" t="str">
        <f>IF($A391="","",'Item Balance'!$D390)</f>
        <v/>
      </c>
      <c r="J391" s="31" t="str">
        <f>IF($A391="","",'Item Balance'!$P390)</f>
        <v/>
      </c>
    </row>
    <row r="392" spans="1:10" x14ac:dyDescent="0.35">
      <c r="A392" s="18" t="str">
        <f>IF('Item Balance'!$A391="","",'Item Balance'!$A391)</f>
        <v/>
      </c>
      <c r="B392" s="18" t="str">
        <f>IF($A392="","",'Item Balance'!$B391)</f>
        <v/>
      </c>
      <c r="C392" s="19" t="str">
        <f>IF($A392="","",'Item Balance'!$C391)</f>
        <v/>
      </c>
      <c r="D392" s="23" t="str">
        <f>IF($A392="","",'Item Balance'!$I391)</f>
        <v/>
      </c>
      <c r="E392" s="23" t="str">
        <f>IF($A392="","",'Item Balance'!$F391)</f>
        <v/>
      </c>
      <c r="F392" s="26" t="str">
        <f t="shared" si="12"/>
        <v/>
      </c>
      <c r="G392" s="23" t="str">
        <f>IF($A392="","",'Item Balance'!$E391)</f>
        <v/>
      </c>
      <c r="H392" s="26" t="str">
        <f t="shared" si="13"/>
        <v/>
      </c>
      <c r="I392" s="20" t="str">
        <f>IF($A392="","",'Item Balance'!$D391)</f>
        <v/>
      </c>
      <c r="J392" s="31" t="str">
        <f>IF($A392="","",'Item Balance'!$P391)</f>
        <v/>
      </c>
    </row>
    <row r="393" spans="1:10" x14ac:dyDescent="0.35">
      <c r="A393" s="18" t="str">
        <f>IF('Item Balance'!$A392="","",'Item Balance'!$A392)</f>
        <v/>
      </c>
      <c r="B393" s="18" t="str">
        <f>IF($A393="","",'Item Balance'!$B392)</f>
        <v/>
      </c>
      <c r="C393" s="19" t="str">
        <f>IF($A393="","",'Item Balance'!$C392)</f>
        <v/>
      </c>
      <c r="D393" s="23" t="str">
        <f>IF($A393="","",'Item Balance'!$I392)</f>
        <v/>
      </c>
      <c r="E393" s="23" t="str">
        <f>IF($A393="","",'Item Balance'!$F392)</f>
        <v/>
      </c>
      <c r="F393" s="26" t="str">
        <f t="shared" si="12"/>
        <v/>
      </c>
      <c r="G393" s="23" t="str">
        <f>IF($A393="","",'Item Balance'!$E392)</f>
        <v/>
      </c>
      <c r="H393" s="26" t="str">
        <f t="shared" si="13"/>
        <v/>
      </c>
      <c r="I393" s="20" t="str">
        <f>IF($A393="","",'Item Balance'!$D392)</f>
        <v/>
      </c>
      <c r="J393" s="31" t="str">
        <f>IF($A393="","",'Item Balance'!$P392)</f>
        <v/>
      </c>
    </row>
    <row r="394" spans="1:10" x14ac:dyDescent="0.35">
      <c r="A394" s="18" t="str">
        <f>IF('Item Balance'!$A393="","",'Item Balance'!$A393)</f>
        <v/>
      </c>
      <c r="B394" s="18" t="str">
        <f>IF($A394="","",'Item Balance'!$B393)</f>
        <v/>
      </c>
      <c r="C394" s="19" t="str">
        <f>IF($A394="","",'Item Balance'!$C393)</f>
        <v/>
      </c>
      <c r="D394" s="23" t="str">
        <f>IF($A394="","",'Item Balance'!$I393)</f>
        <v/>
      </c>
      <c r="E394" s="23" t="str">
        <f>IF($A394="","",'Item Balance'!$F393)</f>
        <v/>
      </c>
      <c r="F394" s="26" t="str">
        <f t="shared" si="12"/>
        <v/>
      </c>
      <c r="G394" s="23" t="str">
        <f>IF($A394="","",'Item Balance'!$E393)</f>
        <v/>
      </c>
      <c r="H394" s="26" t="str">
        <f t="shared" si="13"/>
        <v/>
      </c>
      <c r="I394" s="20" t="str">
        <f>IF($A394="","",'Item Balance'!$D393)</f>
        <v/>
      </c>
      <c r="J394" s="31" t="str">
        <f>IF($A394="","",'Item Balance'!$P393)</f>
        <v/>
      </c>
    </row>
    <row r="395" spans="1:10" x14ac:dyDescent="0.35">
      <c r="A395" s="18" t="str">
        <f>IF('Item Balance'!$A394="","",'Item Balance'!$A394)</f>
        <v/>
      </c>
      <c r="B395" s="18" t="str">
        <f>IF($A395="","",'Item Balance'!$B394)</f>
        <v/>
      </c>
      <c r="C395" s="19" t="str">
        <f>IF($A395="","",'Item Balance'!$C394)</f>
        <v/>
      </c>
      <c r="D395" s="23" t="str">
        <f>IF($A395="","",'Item Balance'!$I394)</f>
        <v/>
      </c>
      <c r="E395" s="23" t="str">
        <f>IF($A395="","",'Item Balance'!$F394)</f>
        <v/>
      </c>
      <c r="F395" s="26" t="str">
        <f t="shared" si="12"/>
        <v/>
      </c>
      <c r="G395" s="23" t="str">
        <f>IF($A395="","",'Item Balance'!$E394)</f>
        <v/>
      </c>
      <c r="H395" s="26" t="str">
        <f t="shared" si="13"/>
        <v/>
      </c>
      <c r="I395" s="20" t="str">
        <f>IF($A395="","",'Item Balance'!$D394)</f>
        <v/>
      </c>
      <c r="J395" s="31" t="str">
        <f>IF($A395="","",'Item Balance'!$P394)</f>
        <v/>
      </c>
    </row>
    <row r="396" spans="1:10" x14ac:dyDescent="0.35">
      <c r="A396" s="18" t="str">
        <f>IF('Item Balance'!$A395="","",'Item Balance'!$A395)</f>
        <v/>
      </c>
      <c r="B396" s="18" t="str">
        <f>IF($A396="","",'Item Balance'!$B395)</f>
        <v/>
      </c>
      <c r="C396" s="19" t="str">
        <f>IF($A396="","",'Item Balance'!$C395)</f>
        <v/>
      </c>
      <c r="D396" s="23" t="str">
        <f>IF($A396="","",'Item Balance'!$I395)</f>
        <v/>
      </c>
      <c r="E396" s="23" t="str">
        <f>IF($A396="","",'Item Balance'!$F395)</f>
        <v/>
      </c>
      <c r="F396" s="26" t="str">
        <f t="shared" si="12"/>
        <v/>
      </c>
      <c r="G396" s="23" t="str">
        <f>IF($A396="","",'Item Balance'!$E395)</f>
        <v/>
      </c>
      <c r="H396" s="26" t="str">
        <f t="shared" si="13"/>
        <v/>
      </c>
      <c r="I396" s="20" t="str">
        <f>IF($A396="","",'Item Balance'!$D395)</f>
        <v/>
      </c>
      <c r="J396" s="31" t="str">
        <f>IF($A396="","",'Item Balance'!$P395)</f>
        <v/>
      </c>
    </row>
    <row r="397" spans="1:10" x14ac:dyDescent="0.35">
      <c r="A397" s="18" t="str">
        <f>IF('Item Balance'!$A396="","",'Item Balance'!$A396)</f>
        <v/>
      </c>
      <c r="B397" s="18" t="str">
        <f>IF($A397="","",'Item Balance'!$B396)</f>
        <v/>
      </c>
      <c r="C397" s="19" t="str">
        <f>IF($A397="","",'Item Balance'!$C396)</f>
        <v/>
      </c>
      <c r="D397" s="23" t="str">
        <f>IF($A397="","",'Item Balance'!$I396)</f>
        <v/>
      </c>
      <c r="E397" s="23" t="str">
        <f>IF($A397="","",'Item Balance'!$F396)</f>
        <v/>
      </c>
      <c r="F397" s="26" t="str">
        <f t="shared" si="12"/>
        <v/>
      </c>
      <c r="G397" s="23" t="str">
        <f>IF($A397="","",'Item Balance'!$E396)</f>
        <v/>
      </c>
      <c r="H397" s="26" t="str">
        <f t="shared" si="13"/>
        <v/>
      </c>
      <c r="I397" s="20" t="str">
        <f>IF($A397="","",'Item Balance'!$D396)</f>
        <v/>
      </c>
      <c r="J397" s="31" t="str">
        <f>IF($A397="","",'Item Balance'!$P396)</f>
        <v/>
      </c>
    </row>
    <row r="398" spans="1:10" x14ac:dyDescent="0.35">
      <c r="A398" s="18" t="str">
        <f>IF('Item Balance'!$A397="","",'Item Balance'!$A397)</f>
        <v/>
      </c>
      <c r="B398" s="18" t="str">
        <f>IF($A398="","",'Item Balance'!$B397)</f>
        <v/>
      </c>
      <c r="C398" s="19" t="str">
        <f>IF($A398="","",'Item Balance'!$C397)</f>
        <v/>
      </c>
      <c r="D398" s="23" t="str">
        <f>IF($A398="","",'Item Balance'!$I397)</f>
        <v/>
      </c>
      <c r="E398" s="23" t="str">
        <f>IF($A398="","",'Item Balance'!$F397)</f>
        <v/>
      </c>
      <c r="F398" s="26" t="str">
        <f t="shared" si="12"/>
        <v/>
      </c>
      <c r="G398" s="23" t="str">
        <f>IF($A398="","",'Item Balance'!$E397)</f>
        <v/>
      </c>
      <c r="H398" s="26" t="str">
        <f t="shared" si="13"/>
        <v/>
      </c>
      <c r="I398" s="20" t="str">
        <f>IF($A398="","",'Item Balance'!$D397)</f>
        <v/>
      </c>
      <c r="J398" s="31" t="str">
        <f>IF($A398="","",'Item Balance'!$P397)</f>
        <v/>
      </c>
    </row>
    <row r="399" spans="1:10" x14ac:dyDescent="0.35">
      <c r="A399" s="18" t="str">
        <f>IF('Item Balance'!$A398="","",'Item Balance'!$A398)</f>
        <v/>
      </c>
      <c r="B399" s="18" t="str">
        <f>IF($A399="","",'Item Balance'!$B398)</f>
        <v/>
      </c>
      <c r="C399" s="19" t="str">
        <f>IF($A399="","",'Item Balance'!$C398)</f>
        <v/>
      </c>
      <c r="D399" s="23" t="str">
        <f>IF($A399="","",'Item Balance'!$I398)</f>
        <v/>
      </c>
      <c r="E399" s="23" t="str">
        <f>IF($A399="","",'Item Balance'!$F398)</f>
        <v/>
      </c>
      <c r="F399" s="26" t="str">
        <f t="shared" si="12"/>
        <v/>
      </c>
      <c r="G399" s="23" t="str">
        <f>IF($A399="","",'Item Balance'!$E398)</f>
        <v/>
      </c>
      <c r="H399" s="26" t="str">
        <f t="shared" si="13"/>
        <v/>
      </c>
      <c r="I399" s="20" t="str">
        <f>IF($A399="","",'Item Balance'!$D398)</f>
        <v/>
      </c>
      <c r="J399" s="31" t="str">
        <f>IF($A399="","",'Item Balance'!$P398)</f>
        <v/>
      </c>
    </row>
    <row r="400" spans="1:10" x14ac:dyDescent="0.35">
      <c r="A400" s="18" t="str">
        <f>IF('Item Balance'!$A399="","",'Item Balance'!$A399)</f>
        <v/>
      </c>
      <c r="B400" s="18" t="str">
        <f>IF($A400="","",'Item Balance'!$B399)</f>
        <v/>
      </c>
      <c r="C400" s="19" t="str">
        <f>IF($A400="","",'Item Balance'!$C399)</f>
        <v/>
      </c>
      <c r="D400" s="23" t="str">
        <f>IF($A400="","",'Item Balance'!$I399)</f>
        <v/>
      </c>
      <c r="E400" s="23" t="str">
        <f>IF($A400="","",'Item Balance'!$F399)</f>
        <v/>
      </c>
      <c r="F400" s="26" t="str">
        <f t="shared" si="12"/>
        <v/>
      </c>
      <c r="G400" s="23" t="str">
        <f>IF($A400="","",'Item Balance'!$E399)</f>
        <v/>
      </c>
      <c r="H400" s="26" t="str">
        <f t="shared" si="13"/>
        <v/>
      </c>
      <c r="I400" s="20" t="str">
        <f>IF($A400="","",'Item Balance'!$D399)</f>
        <v/>
      </c>
      <c r="J400" s="31" t="str">
        <f>IF($A400="","",'Item Balance'!$P399)</f>
        <v/>
      </c>
    </row>
    <row r="401" spans="1:10" x14ac:dyDescent="0.35">
      <c r="A401" s="18" t="str">
        <f>IF('Item Balance'!$A400="","",'Item Balance'!$A400)</f>
        <v/>
      </c>
      <c r="B401" s="18" t="str">
        <f>IF($A401="","",'Item Balance'!$B400)</f>
        <v/>
      </c>
      <c r="C401" s="19" t="str">
        <f>IF($A401="","",'Item Balance'!$C400)</f>
        <v/>
      </c>
      <c r="D401" s="23" t="str">
        <f>IF($A401="","",'Item Balance'!$I400)</f>
        <v/>
      </c>
      <c r="E401" s="23" t="str">
        <f>IF($A401="","",'Item Balance'!$F400)</f>
        <v/>
      </c>
      <c r="F401" s="26" t="str">
        <f t="shared" si="12"/>
        <v/>
      </c>
      <c r="G401" s="23" t="str">
        <f>IF($A401="","",'Item Balance'!$E400)</f>
        <v/>
      </c>
      <c r="H401" s="26" t="str">
        <f t="shared" si="13"/>
        <v/>
      </c>
      <c r="I401" s="20" t="str">
        <f>IF($A401="","",'Item Balance'!$D400)</f>
        <v/>
      </c>
      <c r="J401" s="31" t="str">
        <f>IF($A401="","",'Item Balance'!$P400)</f>
        <v/>
      </c>
    </row>
    <row r="402" spans="1:10" x14ac:dyDescent="0.35">
      <c r="A402" s="18" t="str">
        <f>IF('Item Balance'!$A401="","",'Item Balance'!$A401)</f>
        <v/>
      </c>
      <c r="B402" s="18" t="str">
        <f>IF($A402="","",'Item Balance'!$B401)</f>
        <v/>
      </c>
      <c r="C402" s="19" t="str">
        <f>IF($A402="","",'Item Balance'!$C401)</f>
        <v/>
      </c>
      <c r="D402" s="23" t="str">
        <f>IF($A402="","",'Item Balance'!$I401)</f>
        <v/>
      </c>
      <c r="E402" s="23" t="str">
        <f>IF($A402="","",'Item Balance'!$F401)</f>
        <v/>
      </c>
      <c r="F402" s="26" t="str">
        <f t="shared" si="12"/>
        <v/>
      </c>
      <c r="G402" s="23" t="str">
        <f>IF($A402="","",'Item Balance'!$E401)</f>
        <v/>
      </c>
      <c r="H402" s="26" t="str">
        <f t="shared" si="13"/>
        <v/>
      </c>
      <c r="I402" s="20" t="str">
        <f>IF($A402="","",'Item Balance'!$D401)</f>
        <v/>
      </c>
      <c r="J402" s="31" t="str">
        <f>IF($A402="","",'Item Balance'!$P401)</f>
        <v/>
      </c>
    </row>
    <row r="403" spans="1:10" x14ac:dyDescent="0.35">
      <c r="A403" s="18" t="str">
        <f>IF('Item Balance'!$A402="","",'Item Balance'!$A402)</f>
        <v/>
      </c>
      <c r="B403" s="18" t="str">
        <f>IF($A403="","",'Item Balance'!$B402)</f>
        <v/>
      </c>
      <c r="C403" s="19" t="str">
        <f>IF($A403="","",'Item Balance'!$C402)</f>
        <v/>
      </c>
      <c r="D403" s="23" t="str">
        <f>IF($A403="","",'Item Balance'!$I402)</f>
        <v/>
      </c>
      <c r="E403" s="23" t="str">
        <f>IF($A403="","",'Item Balance'!$F402)</f>
        <v/>
      </c>
      <c r="F403" s="26" t="str">
        <f t="shared" si="12"/>
        <v/>
      </c>
      <c r="G403" s="23" t="str">
        <f>IF($A403="","",'Item Balance'!$E402)</f>
        <v/>
      </c>
      <c r="H403" s="26" t="str">
        <f t="shared" si="13"/>
        <v/>
      </c>
      <c r="I403" s="20" t="str">
        <f>IF($A403="","",'Item Balance'!$D402)</f>
        <v/>
      </c>
      <c r="J403" s="31" t="str">
        <f>IF($A403="","",'Item Balance'!$P402)</f>
        <v/>
      </c>
    </row>
    <row r="404" spans="1:10" x14ac:dyDescent="0.35">
      <c r="A404" s="18" t="str">
        <f>IF('Item Balance'!$A403="","",'Item Balance'!$A403)</f>
        <v/>
      </c>
      <c r="B404" s="18" t="str">
        <f>IF($A404="","",'Item Balance'!$B403)</f>
        <v/>
      </c>
      <c r="C404" s="19" t="str">
        <f>IF($A404="","",'Item Balance'!$C403)</f>
        <v/>
      </c>
      <c r="D404" s="23" t="str">
        <f>IF($A404="","",'Item Balance'!$I403)</f>
        <v/>
      </c>
      <c r="E404" s="23" t="str">
        <f>IF($A404="","",'Item Balance'!$F403)</f>
        <v/>
      </c>
      <c r="F404" s="26" t="str">
        <f t="shared" si="12"/>
        <v/>
      </c>
      <c r="G404" s="23" t="str">
        <f>IF($A404="","",'Item Balance'!$E403)</f>
        <v/>
      </c>
      <c r="H404" s="26" t="str">
        <f t="shared" si="13"/>
        <v/>
      </c>
      <c r="I404" s="20" t="str">
        <f>IF($A404="","",'Item Balance'!$D403)</f>
        <v/>
      </c>
      <c r="J404" s="31" t="str">
        <f>IF($A404="","",'Item Balance'!$P403)</f>
        <v/>
      </c>
    </row>
    <row r="405" spans="1:10" x14ac:dyDescent="0.35">
      <c r="A405" s="18" t="str">
        <f>IF('Item Balance'!$A404="","",'Item Balance'!$A404)</f>
        <v/>
      </c>
      <c r="B405" s="18" t="str">
        <f>IF($A405="","",'Item Balance'!$B404)</f>
        <v/>
      </c>
      <c r="C405" s="19" t="str">
        <f>IF($A405="","",'Item Balance'!$C404)</f>
        <v/>
      </c>
      <c r="D405" s="23" t="str">
        <f>IF($A405="","",'Item Balance'!$I404)</f>
        <v/>
      </c>
      <c r="E405" s="23" t="str">
        <f>IF($A405="","",'Item Balance'!$F404)</f>
        <v/>
      </c>
      <c r="F405" s="26" t="str">
        <f t="shared" si="12"/>
        <v/>
      </c>
      <c r="G405" s="23" t="str">
        <f>IF($A405="","",'Item Balance'!$E404)</f>
        <v/>
      </c>
      <c r="H405" s="26" t="str">
        <f t="shared" si="13"/>
        <v/>
      </c>
      <c r="I405" s="20" t="str">
        <f>IF($A405="","",'Item Balance'!$D404)</f>
        <v/>
      </c>
      <c r="J405" s="31" t="str">
        <f>IF($A405="","",'Item Balance'!$P404)</f>
        <v/>
      </c>
    </row>
    <row r="406" spans="1:10" x14ac:dyDescent="0.35">
      <c r="A406" s="18" t="str">
        <f>IF('Item Balance'!$A405="","",'Item Balance'!$A405)</f>
        <v/>
      </c>
      <c r="B406" s="18" t="str">
        <f>IF($A406="","",'Item Balance'!$B405)</f>
        <v/>
      </c>
      <c r="C406" s="19" t="str">
        <f>IF($A406="","",'Item Balance'!$C405)</f>
        <v/>
      </c>
      <c r="D406" s="23" t="str">
        <f>IF($A406="","",'Item Balance'!$I405)</f>
        <v/>
      </c>
      <c r="E406" s="23" t="str">
        <f>IF($A406="","",'Item Balance'!$F405)</f>
        <v/>
      </c>
      <c r="F406" s="26" t="str">
        <f t="shared" si="12"/>
        <v/>
      </c>
      <c r="G406" s="23" t="str">
        <f>IF($A406="","",'Item Balance'!$E405)</f>
        <v/>
      </c>
      <c r="H406" s="26" t="str">
        <f t="shared" si="13"/>
        <v/>
      </c>
      <c r="I406" s="20" t="str">
        <f>IF($A406="","",'Item Balance'!$D405)</f>
        <v/>
      </c>
      <c r="J406" s="31" t="str">
        <f>IF($A406="","",'Item Balance'!$P405)</f>
        <v/>
      </c>
    </row>
    <row r="407" spans="1:10" x14ac:dyDescent="0.35">
      <c r="A407" s="18" t="str">
        <f>IF('Item Balance'!$A406="","",'Item Balance'!$A406)</f>
        <v/>
      </c>
      <c r="B407" s="18" t="str">
        <f>IF($A407="","",'Item Balance'!$B406)</f>
        <v/>
      </c>
      <c r="C407" s="19" t="str">
        <f>IF($A407="","",'Item Balance'!$C406)</f>
        <v/>
      </c>
      <c r="D407" s="23" t="str">
        <f>IF($A407="","",'Item Balance'!$I406)</f>
        <v/>
      </c>
      <c r="E407" s="23" t="str">
        <f>IF($A407="","",'Item Balance'!$F406)</f>
        <v/>
      </c>
      <c r="F407" s="26" t="str">
        <f t="shared" si="12"/>
        <v/>
      </c>
      <c r="G407" s="23" t="str">
        <f>IF($A407="","",'Item Balance'!$E406)</f>
        <v/>
      </c>
      <c r="H407" s="26" t="str">
        <f t="shared" si="13"/>
        <v/>
      </c>
      <c r="I407" s="20" t="str">
        <f>IF($A407="","",'Item Balance'!$D406)</f>
        <v/>
      </c>
      <c r="J407" s="31" t="str">
        <f>IF($A407="","",'Item Balance'!$P406)</f>
        <v/>
      </c>
    </row>
    <row r="408" spans="1:10" x14ac:dyDescent="0.35">
      <c r="A408" s="18" t="str">
        <f>IF('Item Balance'!$A407="","",'Item Balance'!$A407)</f>
        <v/>
      </c>
      <c r="B408" s="18" t="str">
        <f>IF($A408="","",'Item Balance'!$B407)</f>
        <v/>
      </c>
      <c r="C408" s="19" t="str">
        <f>IF($A408="","",'Item Balance'!$C407)</f>
        <v/>
      </c>
      <c r="D408" s="23" t="str">
        <f>IF($A408="","",'Item Balance'!$I407)</f>
        <v/>
      </c>
      <c r="E408" s="23" t="str">
        <f>IF($A408="","",'Item Balance'!$F407)</f>
        <v/>
      </c>
      <c r="F408" s="26" t="str">
        <f t="shared" si="12"/>
        <v/>
      </c>
      <c r="G408" s="23" t="str">
        <f>IF($A408="","",'Item Balance'!$E407)</f>
        <v/>
      </c>
      <c r="H408" s="26" t="str">
        <f t="shared" si="13"/>
        <v/>
      </c>
      <c r="I408" s="20" t="str">
        <f>IF($A408="","",'Item Balance'!$D407)</f>
        <v/>
      </c>
      <c r="J408" s="31" t="str">
        <f>IF($A408="","",'Item Balance'!$P407)</f>
        <v/>
      </c>
    </row>
    <row r="409" spans="1:10" x14ac:dyDescent="0.35">
      <c r="A409" s="18" t="str">
        <f>IF('Item Balance'!$A408="","",'Item Balance'!$A408)</f>
        <v/>
      </c>
      <c r="B409" s="18" t="str">
        <f>IF($A409="","",'Item Balance'!$B408)</f>
        <v/>
      </c>
      <c r="C409" s="19" t="str">
        <f>IF($A409="","",'Item Balance'!$C408)</f>
        <v/>
      </c>
      <c r="D409" s="23" t="str">
        <f>IF($A409="","",'Item Balance'!$I408)</f>
        <v/>
      </c>
      <c r="E409" s="23" t="str">
        <f>IF($A409="","",'Item Balance'!$F408)</f>
        <v/>
      </c>
      <c r="F409" s="26" t="str">
        <f t="shared" si="12"/>
        <v/>
      </c>
      <c r="G409" s="23" t="str">
        <f>IF($A409="","",'Item Balance'!$E408)</f>
        <v/>
      </c>
      <c r="H409" s="26" t="str">
        <f t="shared" si="13"/>
        <v/>
      </c>
      <c r="I409" s="20" t="str">
        <f>IF($A409="","",'Item Balance'!$D408)</f>
        <v/>
      </c>
      <c r="J409" s="31" t="str">
        <f>IF($A409="","",'Item Balance'!$P408)</f>
        <v/>
      </c>
    </row>
    <row r="410" spans="1:10" x14ac:dyDescent="0.35">
      <c r="A410" s="18" t="str">
        <f>IF('Item Balance'!$A409="","",'Item Balance'!$A409)</f>
        <v/>
      </c>
      <c r="B410" s="18" t="str">
        <f>IF($A410="","",'Item Balance'!$B409)</f>
        <v/>
      </c>
      <c r="C410" s="19" t="str">
        <f>IF($A410="","",'Item Balance'!$C409)</f>
        <v/>
      </c>
      <c r="D410" s="23" t="str">
        <f>IF($A410="","",'Item Balance'!$I409)</f>
        <v/>
      </c>
      <c r="E410" s="23" t="str">
        <f>IF($A410="","",'Item Balance'!$F409)</f>
        <v/>
      </c>
      <c r="F410" s="26" t="str">
        <f t="shared" si="12"/>
        <v/>
      </c>
      <c r="G410" s="23" t="str">
        <f>IF($A410="","",'Item Balance'!$E409)</f>
        <v/>
      </c>
      <c r="H410" s="26" t="str">
        <f t="shared" si="13"/>
        <v/>
      </c>
      <c r="I410" s="20" t="str">
        <f>IF($A410="","",'Item Balance'!$D409)</f>
        <v/>
      </c>
      <c r="J410" s="31" t="str">
        <f>IF($A410="","",'Item Balance'!$P409)</f>
        <v/>
      </c>
    </row>
    <row r="411" spans="1:10" x14ac:dyDescent="0.35">
      <c r="A411" s="18" t="str">
        <f>IF('Item Balance'!$A410="","",'Item Balance'!$A410)</f>
        <v/>
      </c>
      <c r="B411" s="18" t="str">
        <f>IF($A411="","",'Item Balance'!$B410)</f>
        <v/>
      </c>
      <c r="C411" s="19" t="str">
        <f>IF($A411="","",'Item Balance'!$C410)</f>
        <v/>
      </c>
      <c r="D411" s="23" t="str">
        <f>IF($A411="","",'Item Balance'!$I410)</f>
        <v/>
      </c>
      <c r="E411" s="23" t="str">
        <f>IF($A411="","",'Item Balance'!$F410)</f>
        <v/>
      </c>
      <c r="F411" s="26" t="str">
        <f t="shared" si="12"/>
        <v/>
      </c>
      <c r="G411" s="23" t="str">
        <f>IF($A411="","",'Item Balance'!$E410)</f>
        <v/>
      </c>
      <c r="H411" s="26" t="str">
        <f t="shared" si="13"/>
        <v/>
      </c>
      <c r="I411" s="20" t="str">
        <f>IF($A411="","",'Item Balance'!$D410)</f>
        <v/>
      </c>
      <c r="J411" s="31" t="str">
        <f>IF($A411="","",'Item Balance'!$P410)</f>
        <v/>
      </c>
    </row>
    <row r="412" spans="1:10" x14ac:dyDescent="0.35">
      <c r="A412" s="18" t="str">
        <f>IF('Item Balance'!$A411="","",'Item Balance'!$A411)</f>
        <v/>
      </c>
      <c r="B412" s="18" t="str">
        <f>IF($A412="","",'Item Balance'!$B411)</f>
        <v/>
      </c>
      <c r="C412" s="19" t="str">
        <f>IF($A412="","",'Item Balance'!$C411)</f>
        <v/>
      </c>
      <c r="D412" s="23" t="str">
        <f>IF($A412="","",'Item Balance'!$I411)</f>
        <v/>
      </c>
      <c r="E412" s="23" t="str">
        <f>IF($A412="","",'Item Balance'!$F411)</f>
        <v/>
      </c>
      <c r="F412" s="26" t="str">
        <f t="shared" si="12"/>
        <v/>
      </c>
      <c r="G412" s="23" t="str">
        <f>IF($A412="","",'Item Balance'!$E411)</f>
        <v/>
      </c>
      <c r="H412" s="26" t="str">
        <f t="shared" si="13"/>
        <v/>
      </c>
      <c r="I412" s="20" t="str">
        <f>IF($A412="","",'Item Balance'!$D411)</f>
        <v/>
      </c>
      <c r="J412" s="31" t="str">
        <f>IF($A412="","",'Item Balance'!$P411)</f>
        <v/>
      </c>
    </row>
    <row r="413" spans="1:10" x14ac:dyDescent="0.35">
      <c r="A413" s="18" t="str">
        <f>IF('Item Balance'!$A412="","",'Item Balance'!$A412)</f>
        <v/>
      </c>
      <c r="B413" s="18" t="str">
        <f>IF($A413="","",'Item Balance'!$B412)</f>
        <v/>
      </c>
      <c r="C413" s="19" t="str">
        <f>IF($A413="","",'Item Balance'!$C412)</f>
        <v/>
      </c>
      <c r="D413" s="23" t="str">
        <f>IF($A413="","",'Item Balance'!$I412)</f>
        <v/>
      </c>
      <c r="E413" s="23" t="str">
        <f>IF($A413="","",'Item Balance'!$F412)</f>
        <v/>
      </c>
      <c r="F413" s="26" t="str">
        <f t="shared" si="12"/>
        <v/>
      </c>
      <c r="G413" s="23" t="str">
        <f>IF($A413="","",'Item Balance'!$E412)</f>
        <v/>
      </c>
      <c r="H413" s="26" t="str">
        <f t="shared" si="13"/>
        <v/>
      </c>
      <c r="I413" s="20" t="str">
        <f>IF($A413="","",'Item Balance'!$D412)</f>
        <v/>
      </c>
      <c r="J413" s="31" t="str">
        <f>IF($A413="","",'Item Balance'!$P412)</f>
        <v/>
      </c>
    </row>
    <row r="414" spans="1:10" x14ac:dyDescent="0.35">
      <c r="A414" s="18" t="str">
        <f>IF('Item Balance'!$A413="","",'Item Balance'!$A413)</f>
        <v/>
      </c>
      <c r="B414" s="18" t="str">
        <f>IF($A414="","",'Item Balance'!$B413)</f>
        <v/>
      </c>
      <c r="C414" s="19" t="str">
        <f>IF($A414="","",'Item Balance'!$C413)</f>
        <v/>
      </c>
      <c r="D414" s="23" t="str">
        <f>IF($A414="","",'Item Balance'!$I413)</f>
        <v/>
      </c>
      <c r="E414" s="23" t="str">
        <f>IF($A414="","",'Item Balance'!$F413)</f>
        <v/>
      </c>
      <c r="F414" s="26" t="str">
        <f t="shared" si="12"/>
        <v/>
      </c>
      <c r="G414" s="23" t="str">
        <f>IF($A414="","",'Item Balance'!$E413)</f>
        <v/>
      </c>
      <c r="H414" s="26" t="str">
        <f t="shared" si="13"/>
        <v/>
      </c>
      <c r="I414" s="20" t="str">
        <f>IF($A414="","",'Item Balance'!$D413)</f>
        <v/>
      </c>
      <c r="J414" s="31" t="str">
        <f>IF($A414="","",'Item Balance'!$P413)</f>
        <v/>
      </c>
    </row>
    <row r="415" spans="1:10" x14ac:dyDescent="0.35">
      <c r="A415" s="18" t="str">
        <f>IF('Item Balance'!$A414="","",'Item Balance'!$A414)</f>
        <v/>
      </c>
      <c r="B415" s="18" t="str">
        <f>IF($A415="","",'Item Balance'!$B414)</f>
        <v/>
      </c>
      <c r="C415" s="19" t="str">
        <f>IF($A415="","",'Item Balance'!$C414)</f>
        <v/>
      </c>
      <c r="D415" s="23" t="str">
        <f>IF($A415="","",'Item Balance'!$I414)</f>
        <v/>
      </c>
      <c r="E415" s="23" t="str">
        <f>IF($A415="","",'Item Balance'!$F414)</f>
        <v/>
      </c>
      <c r="F415" s="26" t="str">
        <f t="shared" si="12"/>
        <v/>
      </c>
      <c r="G415" s="23" t="str">
        <f>IF($A415="","",'Item Balance'!$E414)</f>
        <v/>
      </c>
      <c r="H415" s="26" t="str">
        <f t="shared" si="13"/>
        <v/>
      </c>
      <c r="I415" s="20" t="str">
        <f>IF($A415="","",'Item Balance'!$D414)</f>
        <v/>
      </c>
      <c r="J415" s="31" t="str">
        <f>IF($A415="","",'Item Balance'!$P414)</f>
        <v/>
      </c>
    </row>
    <row r="416" spans="1:10" x14ac:dyDescent="0.35">
      <c r="A416" s="18" t="str">
        <f>IF('Item Balance'!$A415="","",'Item Balance'!$A415)</f>
        <v/>
      </c>
      <c r="B416" s="18" t="str">
        <f>IF($A416="","",'Item Balance'!$B415)</f>
        <v/>
      </c>
      <c r="C416" s="19" t="str">
        <f>IF($A416="","",'Item Balance'!$C415)</f>
        <v/>
      </c>
      <c r="D416" s="23" t="str">
        <f>IF($A416="","",'Item Balance'!$I415)</f>
        <v/>
      </c>
      <c r="E416" s="23" t="str">
        <f>IF($A416="","",'Item Balance'!$F415)</f>
        <v/>
      </c>
      <c r="F416" s="26" t="str">
        <f t="shared" si="12"/>
        <v/>
      </c>
      <c r="G416" s="23" t="str">
        <f>IF($A416="","",'Item Balance'!$E415)</f>
        <v/>
      </c>
      <c r="H416" s="26" t="str">
        <f t="shared" si="13"/>
        <v/>
      </c>
      <c r="I416" s="20" t="str">
        <f>IF($A416="","",'Item Balance'!$D415)</f>
        <v/>
      </c>
      <c r="J416" s="31" t="str">
        <f>IF($A416="","",'Item Balance'!$P415)</f>
        <v/>
      </c>
    </row>
    <row r="417" spans="1:10" x14ac:dyDescent="0.35">
      <c r="A417" s="18" t="str">
        <f>IF('Item Balance'!$A416="","",'Item Balance'!$A416)</f>
        <v/>
      </c>
      <c r="B417" s="18" t="str">
        <f>IF($A417="","",'Item Balance'!$B416)</f>
        <v/>
      </c>
      <c r="C417" s="19" t="str">
        <f>IF($A417="","",'Item Balance'!$C416)</f>
        <v/>
      </c>
      <c r="D417" s="23" t="str">
        <f>IF($A417="","",'Item Balance'!$I416)</f>
        <v/>
      </c>
      <c r="E417" s="23" t="str">
        <f>IF($A417="","",'Item Balance'!$F416)</f>
        <v/>
      </c>
      <c r="F417" s="26" t="str">
        <f t="shared" si="12"/>
        <v/>
      </c>
      <c r="G417" s="23" t="str">
        <f>IF($A417="","",'Item Balance'!$E416)</f>
        <v/>
      </c>
      <c r="H417" s="26" t="str">
        <f t="shared" si="13"/>
        <v/>
      </c>
      <c r="I417" s="20" t="str">
        <f>IF($A417="","",'Item Balance'!$D416)</f>
        <v/>
      </c>
      <c r="J417" s="31" t="str">
        <f>IF($A417="","",'Item Balance'!$P416)</f>
        <v/>
      </c>
    </row>
    <row r="418" spans="1:10" x14ac:dyDescent="0.35">
      <c r="A418" s="18" t="str">
        <f>IF('Item Balance'!$A417="","",'Item Balance'!$A417)</f>
        <v/>
      </c>
      <c r="B418" s="18" t="str">
        <f>IF($A418="","",'Item Balance'!$B417)</f>
        <v/>
      </c>
      <c r="C418" s="19" t="str">
        <f>IF($A418="","",'Item Balance'!$C417)</f>
        <v/>
      </c>
      <c r="D418" s="23" t="str">
        <f>IF($A418="","",'Item Balance'!$I417)</f>
        <v/>
      </c>
      <c r="E418" s="23" t="str">
        <f>IF($A418="","",'Item Balance'!$F417)</f>
        <v/>
      </c>
      <c r="F418" s="26" t="str">
        <f t="shared" si="12"/>
        <v/>
      </c>
      <c r="G418" s="23" t="str">
        <f>IF($A418="","",'Item Balance'!$E417)</f>
        <v/>
      </c>
      <c r="H418" s="26" t="str">
        <f t="shared" si="13"/>
        <v/>
      </c>
      <c r="I418" s="20" t="str">
        <f>IF($A418="","",'Item Balance'!$D417)</f>
        <v/>
      </c>
      <c r="J418" s="31" t="str">
        <f>IF($A418="","",'Item Balance'!$P417)</f>
        <v/>
      </c>
    </row>
    <row r="419" spans="1:10" x14ac:dyDescent="0.35">
      <c r="A419" s="18" t="str">
        <f>IF('Item Balance'!$A418="","",'Item Balance'!$A418)</f>
        <v/>
      </c>
      <c r="B419" s="18" t="str">
        <f>IF($A419="","",'Item Balance'!$B418)</f>
        <v/>
      </c>
      <c r="C419" s="19" t="str">
        <f>IF($A419="","",'Item Balance'!$C418)</f>
        <v/>
      </c>
      <c r="D419" s="23" t="str">
        <f>IF($A419="","",'Item Balance'!$I418)</f>
        <v/>
      </c>
      <c r="E419" s="23" t="str">
        <f>IF($A419="","",'Item Balance'!$F418)</f>
        <v/>
      </c>
      <c r="F419" s="26" t="str">
        <f t="shared" si="12"/>
        <v/>
      </c>
      <c r="G419" s="23" t="str">
        <f>IF($A419="","",'Item Balance'!$E418)</f>
        <v/>
      </c>
      <c r="H419" s="26" t="str">
        <f t="shared" si="13"/>
        <v/>
      </c>
      <c r="I419" s="20" t="str">
        <f>IF($A419="","",'Item Balance'!$D418)</f>
        <v/>
      </c>
      <c r="J419" s="31" t="str">
        <f>IF($A419="","",'Item Balance'!$P418)</f>
        <v/>
      </c>
    </row>
    <row r="420" spans="1:10" x14ac:dyDescent="0.35">
      <c r="A420" s="18" t="str">
        <f>IF('Item Balance'!$A419="","",'Item Balance'!$A419)</f>
        <v/>
      </c>
      <c r="B420" s="18" t="str">
        <f>IF($A420="","",'Item Balance'!$B419)</f>
        <v/>
      </c>
      <c r="C420" s="19" t="str">
        <f>IF($A420="","",'Item Balance'!$C419)</f>
        <v/>
      </c>
      <c r="D420" s="23" t="str">
        <f>IF($A420="","",'Item Balance'!$I419)</f>
        <v/>
      </c>
      <c r="E420" s="23" t="str">
        <f>IF($A420="","",'Item Balance'!$F419)</f>
        <v/>
      </c>
      <c r="F420" s="26" t="str">
        <f t="shared" si="12"/>
        <v/>
      </c>
      <c r="G420" s="23" t="str">
        <f>IF($A420="","",'Item Balance'!$E419)</f>
        <v/>
      </c>
      <c r="H420" s="26" t="str">
        <f t="shared" si="13"/>
        <v/>
      </c>
      <c r="I420" s="20" t="str">
        <f>IF($A420="","",'Item Balance'!$D419)</f>
        <v/>
      </c>
      <c r="J420" s="31" t="str">
        <f>IF($A420="","",'Item Balance'!$P419)</f>
        <v/>
      </c>
    </row>
    <row r="421" spans="1:10" x14ac:dyDescent="0.35">
      <c r="A421" s="18" t="str">
        <f>IF('Item Balance'!$A420="","",'Item Balance'!$A420)</f>
        <v/>
      </c>
      <c r="B421" s="18" t="str">
        <f>IF($A421="","",'Item Balance'!$B420)</f>
        <v/>
      </c>
      <c r="C421" s="19" t="str">
        <f>IF($A421="","",'Item Balance'!$C420)</f>
        <v/>
      </c>
      <c r="D421" s="23" t="str">
        <f>IF($A421="","",'Item Balance'!$I420)</f>
        <v/>
      </c>
      <c r="E421" s="23" t="str">
        <f>IF($A421="","",'Item Balance'!$F420)</f>
        <v/>
      </c>
      <c r="F421" s="26" t="str">
        <f t="shared" si="12"/>
        <v/>
      </c>
      <c r="G421" s="23" t="str">
        <f>IF($A421="","",'Item Balance'!$E420)</f>
        <v/>
      </c>
      <c r="H421" s="26" t="str">
        <f t="shared" si="13"/>
        <v/>
      </c>
      <c r="I421" s="20" t="str">
        <f>IF($A421="","",'Item Balance'!$D420)</f>
        <v/>
      </c>
      <c r="J421" s="31" t="str">
        <f>IF($A421="","",'Item Balance'!$P420)</f>
        <v/>
      </c>
    </row>
    <row r="422" spans="1:10" x14ac:dyDescent="0.35">
      <c r="A422" s="18" t="str">
        <f>IF('Item Balance'!$A421="","",'Item Balance'!$A421)</f>
        <v/>
      </c>
      <c r="B422" s="18" t="str">
        <f>IF($A422="","",'Item Balance'!$B421)</f>
        <v/>
      </c>
      <c r="C422" s="19" t="str">
        <f>IF($A422="","",'Item Balance'!$C421)</f>
        <v/>
      </c>
      <c r="D422" s="23" t="str">
        <f>IF($A422="","",'Item Balance'!$I421)</f>
        <v/>
      </c>
      <c r="E422" s="23" t="str">
        <f>IF($A422="","",'Item Balance'!$F421)</f>
        <v/>
      </c>
      <c r="F422" s="26" t="str">
        <f t="shared" si="12"/>
        <v/>
      </c>
      <c r="G422" s="23" t="str">
        <f>IF($A422="","",'Item Balance'!$E421)</f>
        <v/>
      </c>
      <c r="H422" s="26" t="str">
        <f t="shared" si="13"/>
        <v/>
      </c>
      <c r="I422" s="20" t="str">
        <f>IF($A422="","",'Item Balance'!$D421)</f>
        <v/>
      </c>
      <c r="J422" s="31" t="str">
        <f>IF($A422="","",'Item Balance'!$P421)</f>
        <v/>
      </c>
    </row>
    <row r="423" spans="1:10" x14ac:dyDescent="0.35">
      <c r="A423" s="18" t="str">
        <f>IF('Item Balance'!$A422="","",'Item Balance'!$A422)</f>
        <v/>
      </c>
      <c r="B423" s="18" t="str">
        <f>IF($A423="","",'Item Balance'!$B422)</f>
        <v/>
      </c>
      <c r="C423" s="19" t="str">
        <f>IF($A423="","",'Item Balance'!$C422)</f>
        <v/>
      </c>
      <c r="D423" s="23" t="str">
        <f>IF($A423="","",'Item Balance'!$I422)</f>
        <v/>
      </c>
      <c r="E423" s="23" t="str">
        <f>IF($A423="","",'Item Balance'!$F422)</f>
        <v/>
      </c>
      <c r="F423" s="26" t="str">
        <f t="shared" si="12"/>
        <v/>
      </c>
      <c r="G423" s="23" t="str">
        <f>IF($A423="","",'Item Balance'!$E422)</f>
        <v/>
      </c>
      <c r="H423" s="26" t="str">
        <f t="shared" si="13"/>
        <v/>
      </c>
      <c r="I423" s="20" t="str">
        <f>IF($A423="","",'Item Balance'!$D422)</f>
        <v/>
      </c>
      <c r="J423" s="31" t="str">
        <f>IF($A423="","",'Item Balance'!$P422)</f>
        <v/>
      </c>
    </row>
    <row r="424" spans="1:10" x14ac:dyDescent="0.35">
      <c r="A424" s="18" t="str">
        <f>IF('Item Balance'!$A423="","",'Item Balance'!$A423)</f>
        <v/>
      </c>
      <c r="B424" s="18" t="str">
        <f>IF($A424="","",'Item Balance'!$B423)</f>
        <v/>
      </c>
      <c r="C424" s="19" t="str">
        <f>IF($A424="","",'Item Balance'!$C423)</f>
        <v/>
      </c>
      <c r="D424" s="23" t="str">
        <f>IF($A424="","",'Item Balance'!$I423)</f>
        <v/>
      </c>
      <c r="E424" s="23" t="str">
        <f>IF($A424="","",'Item Balance'!$F423)</f>
        <v/>
      </c>
      <c r="F424" s="26" t="str">
        <f t="shared" si="12"/>
        <v/>
      </c>
      <c r="G424" s="23" t="str">
        <f>IF($A424="","",'Item Balance'!$E423)</f>
        <v/>
      </c>
      <c r="H424" s="26" t="str">
        <f t="shared" si="13"/>
        <v/>
      </c>
      <c r="I424" s="20" t="str">
        <f>IF($A424="","",'Item Balance'!$D423)</f>
        <v/>
      </c>
      <c r="J424" s="31" t="str">
        <f>IF($A424="","",'Item Balance'!$P423)</f>
        <v/>
      </c>
    </row>
    <row r="425" spans="1:10" x14ac:dyDescent="0.35">
      <c r="A425" s="18" t="str">
        <f>IF('Item Balance'!$A424="","",'Item Balance'!$A424)</f>
        <v/>
      </c>
      <c r="B425" s="18" t="str">
        <f>IF($A425="","",'Item Balance'!$B424)</f>
        <v/>
      </c>
      <c r="C425" s="19" t="str">
        <f>IF($A425="","",'Item Balance'!$C424)</f>
        <v/>
      </c>
      <c r="D425" s="23" t="str">
        <f>IF($A425="","",'Item Balance'!$I424)</f>
        <v/>
      </c>
      <c r="E425" s="23" t="str">
        <f>IF($A425="","",'Item Balance'!$F424)</f>
        <v/>
      </c>
      <c r="F425" s="26" t="str">
        <f t="shared" si="12"/>
        <v/>
      </c>
      <c r="G425" s="23" t="str">
        <f>IF($A425="","",'Item Balance'!$E424)</f>
        <v/>
      </c>
      <c r="H425" s="26" t="str">
        <f t="shared" si="13"/>
        <v/>
      </c>
      <c r="I425" s="20" t="str">
        <f>IF($A425="","",'Item Balance'!$D424)</f>
        <v/>
      </c>
      <c r="J425" s="31" t="str">
        <f>IF($A425="","",'Item Balance'!$P424)</f>
        <v/>
      </c>
    </row>
    <row r="426" spans="1:10" x14ac:dyDescent="0.35">
      <c r="A426" s="18" t="str">
        <f>IF('Item Balance'!$A425="","",'Item Balance'!$A425)</f>
        <v/>
      </c>
      <c r="B426" s="18" t="str">
        <f>IF($A426="","",'Item Balance'!$B425)</f>
        <v/>
      </c>
      <c r="C426" s="19" t="str">
        <f>IF($A426="","",'Item Balance'!$C425)</f>
        <v/>
      </c>
      <c r="D426" s="23" t="str">
        <f>IF($A426="","",'Item Balance'!$I425)</f>
        <v/>
      </c>
      <c r="E426" s="23" t="str">
        <f>IF($A426="","",'Item Balance'!$F425)</f>
        <v/>
      </c>
      <c r="F426" s="26" t="str">
        <f t="shared" si="12"/>
        <v/>
      </c>
      <c r="G426" s="23" t="str">
        <f>IF($A426="","",'Item Balance'!$E425)</f>
        <v/>
      </c>
      <c r="H426" s="26" t="str">
        <f t="shared" si="13"/>
        <v/>
      </c>
      <c r="I426" s="20" t="str">
        <f>IF($A426="","",'Item Balance'!$D425)</f>
        <v/>
      </c>
      <c r="J426" s="31" t="str">
        <f>IF($A426="","",'Item Balance'!$P425)</f>
        <v/>
      </c>
    </row>
    <row r="427" spans="1:10" x14ac:dyDescent="0.35">
      <c r="A427" s="18" t="str">
        <f>IF('Item Balance'!$A426="","",'Item Balance'!$A426)</f>
        <v/>
      </c>
      <c r="B427" s="18" t="str">
        <f>IF($A427="","",'Item Balance'!$B426)</f>
        <v/>
      </c>
      <c r="C427" s="19" t="str">
        <f>IF($A427="","",'Item Balance'!$C426)</f>
        <v/>
      </c>
      <c r="D427" s="23" t="str">
        <f>IF($A427="","",'Item Balance'!$I426)</f>
        <v/>
      </c>
      <c r="E427" s="23" t="str">
        <f>IF($A427="","",'Item Balance'!$F426)</f>
        <v/>
      </c>
      <c r="F427" s="26" t="str">
        <f t="shared" si="12"/>
        <v/>
      </c>
      <c r="G427" s="23" t="str">
        <f>IF($A427="","",'Item Balance'!$E426)</f>
        <v/>
      </c>
      <c r="H427" s="26" t="str">
        <f t="shared" si="13"/>
        <v/>
      </c>
      <c r="I427" s="20" t="str">
        <f>IF($A427="","",'Item Balance'!$D426)</f>
        <v/>
      </c>
      <c r="J427" s="31" t="str">
        <f>IF($A427="","",'Item Balance'!$P426)</f>
        <v/>
      </c>
    </row>
    <row r="428" spans="1:10" x14ac:dyDescent="0.35">
      <c r="A428" s="18" t="str">
        <f>IF('Item Balance'!$A427="","",'Item Balance'!$A427)</f>
        <v/>
      </c>
      <c r="B428" s="18" t="str">
        <f>IF($A428="","",'Item Balance'!$B427)</f>
        <v/>
      </c>
      <c r="C428" s="19" t="str">
        <f>IF($A428="","",'Item Balance'!$C427)</f>
        <v/>
      </c>
      <c r="D428" s="23" t="str">
        <f>IF($A428="","",'Item Balance'!$I427)</f>
        <v/>
      </c>
      <c r="E428" s="23" t="str">
        <f>IF($A428="","",'Item Balance'!$F427)</f>
        <v/>
      </c>
      <c r="F428" s="26" t="str">
        <f t="shared" si="12"/>
        <v/>
      </c>
      <c r="G428" s="23" t="str">
        <f>IF($A428="","",'Item Balance'!$E427)</f>
        <v/>
      </c>
      <c r="H428" s="26" t="str">
        <f t="shared" si="13"/>
        <v/>
      </c>
      <c r="I428" s="20" t="str">
        <f>IF($A428="","",'Item Balance'!$D427)</f>
        <v/>
      </c>
      <c r="J428" s="31" t="str">
        <f>IF($A428="","",'Item Balance'!$P427)</f>
        <v/>
      </c>
    </row>
    <row r="429" spans="1:10" x14ac:dyDescent="0.35">
      <c r="A429" s="18" t="str">
        <f>IF('Item Balance'!$A428="","",'Item Balance'!$A428)</f>
        <v/>
      </c>
      <c r="B429" s="18" t="str">
        <f>IF($A429="","",'Item Balance'!$B428)</f>
        <v/>
      </c>
      <c r="C429" s="19" t="str">
        <f>IF($A429="","",'Item Balance'!$C428)</f>
        <v/>
      </c>
      <c r="D429" s="23" t="str">
        <f>IF($A429="","",'Item Balance'!$I428)</f>
        <v/>
      </c>
      <c r="E429" s="23" t="str">
        <f>IF($A429="","",'Item Balance'!$F428)</f>
        <v/>
      </c>
      <c r="F429" s="26" t="str">
        <f t="shared" si="12"/>
        <v/>
      </c>
      <c r="G429" s="23" t="str">
        <f>IF($A429="","",'Item Balance'!$E428)</f>
        <v/>
      </c>
      <c r="H429" s="26" t="str">
        <f t="shared" si="13"/>
        <v/>
      </c>
      <c r="I429" s="20" t="str">
        <f>IF($A429="","",'Item Balance'!$D428)</f>
        <v/>
      </c>
      <c r="J429" s="31" t="str">
        <f>IF($A429="","",'Item Balance'!$P428)</f>
        <v/>
      </c>
    </row>
    <row r="430" spans="1:10" x14ac:dyDescent="0.35">
      <c r="A430" s="18" t="str">
        <f>IF('Item Balance'!$A429="","",'Item Balance'!$A429)</f>
        <v/>
      </c>
      <c r="B430" s="18" t="str">
        <f>IF($A430="","",'Item Balance'!$B429)</f>
        <v/>
      </c>
      <c r="C430" s="19" t="str">
        <f>IF($A430="","",'Item Balance'!$C429)</f>
        <v/>
      </c>
      <c r="D430" s="23" t="str">
        <f>IF($A430="","",'Item Balance'!$I429)</f>
        <v/>
      </c>
      <c r="E430" s="23" t="str">
        <f>IF($A430="","",'Item Balance'!$F429)</f>
        <v/>
      </c>
      <c r="F430" s="26" t="str">
        <f t="shared" si="12"/>
        <v/>
      </c>
      <c r="G430" s="23" t="str">
        <f>IF($A430="","",'Item Balance'!$E429)</f>
        <v/>
      </c>
      <c r="H430" s="26" t="str">
        <f t="shared" si="13"/>
        <v/>
      </c>
      <c r="I430" s="20" t="str">
        <f>IF($A430="","",'Item Balance'!$D429)</f>
        <v/>
      </c>
      <c r="J430" s="31" t="str">
        <f>IF($A430="","",'Item Balance'!$P429)</f>
        <v/>
      </c>
    </row>
    <row r="431" spans="1:10" x14ac:dyDescent="0.35">
      <c r="A431" s="18" t="str">
        <f>IF('Item Balance'!$A430="","",'Item Balance'!$A430)</f>
        <v/>
      </c>
      <c r="B431" s="18" t="str">
        <f>IF($A431="","",'Item Balance'!$B430)</f>
        <v/>
      </c>
      <c r="C431" s="19" t="str">
        <f>IF($A431="","",'Item Balance'!$C430)</f>
        <v/>
      </c>
      <c r="D431" s="23" t="str">
        <f>IF($A431="","",'Item Balance'!$I430)</f>
        <v/>
      </c>
      <c r="E431" s="23" t="str">
        <f>IF($A431="","",'Item Balance'!$F430)</f>
        <v/>
      </c>
      <c r="F431" s="26" t="str">
        <f t="shared" si="12"/>
        <v/>
      </c>
      <c r="G431" s="23" t="str">
        <f>IF($A431="","",'Item Balance'!$E430)</f>
        <v/>
      </c>
      <c r="H431" s="26" t="str">
        <f t="shared" si="13"/>
        <v/>
      </c>
      <c r="I431" s="20" t="str">
        <f>IF($A431="","",'Item Balance'!$D430)</f>
        <v/>
      </c>
      <c r="J431" s="31" t="str">
        <f>IF($A431="","",'Item Balance'!$P430)</f>
        <v/>
      </c>
    </row>
    <row r="432" spans="1:10" x14ac:dyDescent="0.35">
      <c r="A432" s="18" t="str">
        <f>IF('Item Balance'!$A431="","",'Item Balance'!$A431)</f>
        <v/>
      </c>
      <c r="B432" s="18" t="str">
        <f>IF($A432="","",'Item Balance'!$B431)</f>
        <v/>
      </c>
      <c r="C432" s="19" t="str">
        <f>IF($A432="","",'Item Balance'!$C431)</f>
        <v/>
      </c>
      <c r="D432" s="23" t="str">
        <f>IF($A432="","",'Item Balance'!$I431)</f>
        <v/>
      </c>
      <c r="E432" s="23" t="str">
        <f>IF($A432="","",'Item Balance'!$F431)</f>
        <v/>
      </c>
      <c r="F432" s="26" t="str">
        <f t="shared" si="12"/>
        <v/>
      </c>
      <c r="G432" s="23" t="str">
        <f>IF($A432="","",'Item Balance'!$E431)</f>
        <v/>
      </c>
      <c r="H432" s="26" t="str">
        <f t="shared" si="13"/>
        <v/>
      </c>
      <c r="I432" s="20" t="str">
        <f>IF($A432="","",'Item Balance'!$D431)</f>
        <v/>
      </c>
      <c r="J432" s="31" t="str">
        <f>IF($A432="","",'Item Balance'!$P431)</f>
        <v/>
      </c>
    </row>
    <row r="433" spans="1:10" x14ac:dyDescent="0.35">
      <c r="A433" s="18" t="str">
        <f>IF('Item Balance'!$A432="","",'Item Balance'!$A432)</f>
        <v/>
      </c>
      <c r="B433" s="18" t="str">
        <f>IF($A433="","",'Item Balance'!$B432)</f>
        <v/>
      </c>
      <c r="C433" s="19" t="str">
        <f>IF($A433="","",'Item Balance'!$C432)</f>
        <v/>
      </c>
      <c r="D433" s="23" t="str">
        <f>IF($A433="","",'Item Balance'!$I432)</f>
        <v/>
      </c>
      <c r="E433" s="23" t="str">
        <f>IF($A433="","",'Item Balance'!$F432)</f>
        <v/>
      </c>
      <c r="F433" s="26" t="str">
        <f t="shared" si="12"/>
        <v/>
      </c>
      <c r="G433" s="23" t="str">
        <f>IF($A433="","",'Item Balance'!$E432)</f>
        <v/>
      </c>
      <c r="H433" s="26" t="str">
        <f t="shared" si="13"/>
        <v/>
      </c>
      <c r="I433" s="20" t="str">
        <f>IF($A433="","",'Item Balance'!$D432)</f>
        <v/>
      </c>
      <c r="J433" s="31" t="str">
        <f>IF($A433="","",'Item Balance'!$P432)</f>
        <v/>
      </c>
    </row>
    <row r="434" spans="1:10" x14ac:dyDescent="0.35">
      <c r="A434" s="18" t="str">
        <f>IF('Item Balance'!$A433="","",'Item Balance'!$A433)</f>
        <v/>
      </c>
      <c r="B434" s="18" t="str">
        <f>IF($A434="","",'Item Balance'!$B433)</f>
        <v/>
      </c>
      <c r="C434" s="19" t="str">
        <f>IF($A434="","",'Item Balance'!$C433)</f>
        <v/>
      </c>
      <c r="D434" s="23" t="str">
        <f>IF($A434="","",'Item Balance'!$I433)</f>
        <v/>
      </c>
      <c r="E434" s="23" t="str">
        <f>IF($A434="","",'Item Balance'!$F433)</f>
        <v/>
      </c>
      <c r="F434" s="26" t="str">
        <f t="shared" si="12"/>
        <v/>
      </c>
      <c r="G434" s="23" t="str">
        <f>IF($A434="","",'Item Balance'!$E433)</f>
        <v/>
      </c>
      <c r="H434" s="26" t="str">
        <f t="shared" si="13"/>
        <v/>
      </c>
      <c r="I434" s="20" t="str">
        <f>IF($A434="","",'Item Balance'!$D433)</f>
        <v/>
      </c>
      <c r="J434" s="31" t="str">
        <f>IF($A434="","",'Item Balance'!$P433)</f>
        <v/>
      </c>
    </row>
    <row r="435" spans="1:10" x14ac:dyDescent="0.35">
      <c r="A435" s="18" t="str">
        <f>IF('Item Balance'!$A434="","",'Item Balance'!$A434)</f>
        <v/>
      </c>
      <c r="B435" s="18" t="str">
        <f>IF($A435="","",'Item Balance'!$B434)</f>
        <v/>
      </c>
      <c r="C435" s="19" t="str">
        <f>IF($A435="","",'Item Balance'!$C434)</f>
        <v/>
      </c>
      <c r="D435" s="23" t="str">
        <f>IF($A435="","",'Item Balance'!$I434)</f>
        <v/>
      </c>
      <c r="E435" s="23" t="str">
        <f>IF($A435="","",'Item Balance'!$F434)</f>
        <v/>
      </c>
      <c r="F435" s="26" t="str">
        <f t="shared" si="12"/>
        <v/>
      </c>
      <c r="G435" s="23" t="str">
        <f>IF($A435="","",'Item Balance'!$E434)</f>
        <v/>
      </c>
      <c r="H435" s="26" t="str">
        <f t="shared" si="13"/>
        <v/>
      </c>
      <c r="I435" s="20" t="str">
        <f>IF($A435="","",'Item Balance'!$D434)</f>
        <v/>
      </c>
      <c r="J435" s="31" t="str">
        <f>IF($A435="","",'Item Balance'!$P434)</f>
        <v/>
      </c>
    </row>
    <row r="436" spans="1:10" x14ac:dyDescent="0.35">
      <c r="A436" s="18" t="str">
        <f>IF('Item Balance'!$A435="","",'Item Balance'!$A435)</f>
        <v/>
      </c>
      <c r="B436" s="18" t="str">
        <f>IF($A436="","",'Item Balance'!$B435)</f>
        <v/>
      </c>
      <c r="C436" s="19" t="str">
        <f>IF($A436="","",'Item Balance'!$C435)</f>
        <v/>
      </c>
      <c r="D436" s="23" t="str">
        <f>IF($A436="","",'Item Balance'!$I435)</f>
        <v/>
      </c>
      <c r="E436" s="23" t="str">
        <f>IF($A436="","",'Item Balance'!$F435)</f>
        <v/>
      </c>
      <c r="F436" s="26" t="str">
        <f t="shared" si="12"/>
        <v/>
      </c>
      <c r="G436" s="23" t="str">
        <f>IF($A436="","",'Item Balance'!$E435)</f>
        <v/>
      </c>
      <c r="H436" s="26" t="str">
        <f t="shared" si="13"/>
        <v/>
      </c>
      <c r="I436" s="20" t="str">
        <f>IF($A436="","",'Item Balance'!$D435)</f>
        <v/>
      </c>
      <c r="J436" s="31" t="str">
        <f>IF($A436="","",'Item Balance'!$P435)</f>
        <v/>
      </c>
    </row>
    <row r="437" spans="1:10" x14ac:dyDescent="0.35">
      <c r="A437" s="18" t="str">
        <f>IF('Item Balance'!$A436="","",'Item Balance'!$A436)</f>
        <v/>
      </c>
      <c r="B437" s="18" t="str">
        <f>IF($A437="","",'Item Balance'!$B436)</f>
        <v/>
      </c>
      <c r="C437" s="19" t="str">
        <f>IF($A437="","",'Item Balance'!$C436)</f>
        <v/>
      </c>
      <c r="D437" s="23" t="str">
        <f>IF($A437="","",'Item Balance'!$I436)</f>
        <v/>
      </c>
      <c r="E437" s="23" t="str">
        <f>IF($A437="","",'Item Balance'!$F436)</f>
        <v/>
      </c>
      <c r="F437" s="26" t="str">
        <f t="shared" si="12"/>
        <v/>
      </c>
      <c r="G437" s="23" t="str">
        <f>IF($A437="","",'Item Balance'!$E436)</f>
        <v/>
      </c>
      <c r="H437" s="26" t="str">
        <f t="shared" si="13"/>
        <v/>
      </c>
      <c r="I437" s="20" t="str">
        <f>IF($A437="","",'Item Balance'!$D436)</f>
        <v/>
      </c>
      <c r="J437" s="31" t="str">
        <f>IF($A437="","",'Item Balance'!$P436)</f>
        <v/>
      </c>
    </row>
    <row r="438" spans="1:10" x14ac:dyDescent="0.35">
      <c r="A438" s="18" t="str">
        <f>IF('Item Balance'!$A437="","",'Item Balance'!$A437)</f>
        <v/>
      </c>
      <c r="B438" s="18" t="str">
        <f>IF($A438="","",'Item Balance'!$B437)</f>
        <v/>
      </c>
      <c r="C438" s="19" t="str">
        <f>IF($A438="","",'Item Balance'!$C437)</f>
        <v/>
      </c>
      <c r="D438" s="23" t="str">
        <f>IF($A438="","",'Item Balance'!$I437)</f>
        <v/>
      </c>
      <c r="E438" s="23" t="str">
        <f>IF($A438="","",'Item Balance'!$F437)</f>
        <v/>
      </c>
      <c r="F438" s="26" t="str">
        <f t="shared" si="12"/>
        <v/>
      </c>
      <c r="G438" s="23" t="str">
        <f>IF($A438="","",'Item Balance'!$E437)</f>
        <v/>
      </c>
      <c r="H438" s="26" t="str">
        <f t="shared" si="13"/>
        <v/>
      </c>
      <c r="I438" s="20" t="str">
        <f>IF($A438="","",'Item Balance'!$D437)</f>
        <v/>
      </c>
      <c r="J438" s="31" t="str">
        <f>IF($A438="","",'Item Balance'!$P437)</f>
        <v/>
      </c>
    </row>
    <row r="439" spans="1:10" x14ac:dyDescent="0.35">
      <c r="A439" s="18" t="str">
        <f>IF('Item Balance'!$A438="","",'Item Balance'!$A438)</f>
        <v/>
      </c>
      <c r="B439" s="18" t="str">
        <f>IF($A439="","",'Item Balance'!$B438)</f>
        <v/>
      </c>
      <c r="C439" s="19" t="str">
        <f>IF($A439="","",'Item Balance'!$C438)</f>
        <v/>
      </c>
      <c r="D439" s="23" t="str">
        <f>IF($A439="","",'Item Balance'!$I438)</f>
        <v/>
      </c>
      <c r="E439" s="23" t="str">
        <f>IF($A439="","",'Item Balance'!$F438)</f>
        <v/>
      </c>
      <c r="F439" s="26" t="str">
        <f t="shared" si="12"/>
        <v/>
      </c>
      <c r="G439" s="23" t="str">
        <f>IF($A439="","",'Item Balance'!$E438)</f>
        <v/>
      </c>
      <c r="H439" s="26" t="str">
        <f t="shared" si="13"/>
        <v/>
      </c>
      <c r="I439" s="20" t="str">
        <f>IF($A439="","",'Item Balance'!$D438)</f>
        <v/>
      </c>
      <c r="J439" s="31" t="str">
        <f>IF($A439="","",'Item Balance'!$P438)</f>
        <v/>
      </c>
    </row>
    <row r="440" spans="1:10" x14ac:dyDescent="0.35">
      <c r="A440" s="18" t="str">
        <f>IF('Item Balance'!$A439="","",'Item Balance'!$A439)</f>
        <v/>
      </c>
      <c r="B440" s="18" t="str">
        <f>IF($A440="","",'Item Balance'!$B439)</f>
        <v/>
      </c>
      <c r="C440" s="19" t="str">
        <f>IF($A440="","",'Item Balance'!$C439)</f>
        <v/>
      </c>
      <c r="D440" s="23" t="str">
        <f>IF($A440="","",'Item Balance'!$I439)</f>
        <v/>
      </c>
      <c r="E440" s="23" t="str">
        <f>IF($A440="","",'Item Balance'!$F439)</f>
        <v/>
      </c>
      <c r="F440" s="26" t="str">
        <f t="shared" si="12"/>
        <v/>
      </c>
      <c r="G440" s="23" t="str">
        <f>IF($A440="","",'Item Balance'!$E439)</f>
        <v/>
      </c>
      <c r="H440" s="26" t="str">
        <f t="shared" si="13"/>
        <v/>
      </c>
      <c r="I440" s="20" t="str">
        <f>IF($A440="","",'Item Balance'!$D439)</f>
        <v/>
      </c>
      <c r="J440" s="31" t="str">
        <f>IF($A440="","",'Item Balance'!$P439)</f>
        <v/>
      </c>
    </row>
    <row r="441" spans="1:10" x14ac:dyDescent="0.35">
      <c r="A441" s="18" t="str">
        <f>IF('Item Balance'!$A440="","",'Item Balance'!$A440)</f>
        <v/>
      </c>
      <c r="B441" s="18" t="str">
        <f>IF($A441="","",'Item Balance'!$B440)</f>
        <v/>
      </c>
      <c r="C441" s="19" t="str">
        <f>IF($A441="","",'Item Balance'!$C440)</f>
        <v/>
      </c>
      <c r="D441" s="23" t="str">
        <f>IF($A441="","",'Item Balance'!$I440)</f>
        <v/>
      </c>
      <c r="E441" s="23" t="str">
        <f>IF($A441="","",'Item Balance'!$F440)</f>
        <v/>
      </c>
      <c r="F441" s="26" t="str">
        <f t="shared" si="12"/>
        <v/>
      </c>
      <c r="G441" s="23" t="str">
        <f>IF($A441="","",'Item Balance'!$E440)</f>
        <v/>
      </c>
      <c r="H441" s="26" t="str">
        <f t="shared" si="13"/>
        <v/>
      </c>
      <c r="I441" s="20" t="str">
        <f>IF($A441="","",'Item Balance'!$D440)</f>
        <v/>
      </c>
      <c r="J441" s="31" t="str">
        <f>IF($A441="","",'Item Balance'!$P440)</f>
        <v/>
      </c>
    </row>
    <row r="442" spans="1:10" x14ac:dyDescent="0.35">
      <c r="A442" s="18" t="str">
        <f>IF('Item Balance'!$A441="","",'Item Balance'!$A441)</f>
        <v/>
      </c>
      <c r="B442" s="18" t="str">
        <f>IF($A442="","",'Item Balance'!$B441)</f>
        <v/>
      </c>
      <c r="C442" s="19" t="str">
        <f>IF($A442="","",'Item Balance'!$C441)</f>
        <v/>
      </c>
      <c r="D442" s="23" t="str">
        <f>IF($A442="","",'Item Balance'!$I441)</f>
        <v/>
      </c>
      <c r="E442" s="23" t="str">
        <f>IF($A442="","",'Item Balance'!$F441)</f>
        <v/>
      </c>
      <c r="F442" s="26" t="str">
        <f t="shared" si="12"/>
        <v/>
      </c>
      <c r="G442" s="23" t="str">
        <f>IF($A442="","",'Item Balance'!$E441)</f>
        <v/>
      </c>
      <c r="H442" s="26" t="str">
        <f t="shared" si="13"/>
        <v/>
      </c>
      <c r="I442" s="20" t="str">
        <f>IF($A442="","",'Item Balance'!$D441)</f>
        <v/>
      </c>
      <c r="J442" s="31" t="str">
        <f>IF($A442="","",'Item Balance'!$P441)</f>
        <v/>
      </c>
    </row>
    <row r="443" spans="1:10" x14ac:dyDescent="0.35">
      <c r="A443" s="18" t="str">
        <f>IF('Item Balance'!$A442="","",'Item Balance'!$A442)</f>
        <v/>
      </c>
      <c r="B443" s="18" t="str">
        <f>IF($A443="","",'Item Balance'!$B442)</f>
        <v/>
      </c>
      <c r="C443" s="19" t="str">
        <f>IF($A443="","",'Item Balance'!$C442)</f>
        <v/>
      </c>
      <c r="D443" s="23" t="str">
        <f>IF($A443="","",'Item Balance'!$I442)</f>
        <v/>
      </c>
      <c r="E443" s="23" t="str">
        <f>IF($A443="","",'Item Balance'!$F442)</f>
        <v/>
      </c>
      <c r="F443" s="26" t="str">
        <f t="shared" si="12"/>
        <v/>
      </c>
      <c r="G443" s="23" t="str">
        <f>IF($A443="","",'Item Balance'!$E442)</f>
        <v/>
      </c>
      <c r="H443" s="26" t="str">
        <f t="shared" si="13"/>
        <v/>
      </c>
      <c r="I443" s="20" t="str">
        <f>IF($A443="","",'Item Balance'!$D442)</f>
        <v/>
      </c>
      <c r="J443" s="31" t="str">
        <f>IF($A443="","",'Item Balance'!$P442)</f>
        <v/>
      </c>
    </row>
    <row r="444" spans="1:10" x14ac:dyDescent="0.35">
      <c r="A444" s="18" t="str">
        <f>IF('Item Balance'!$A443="","",'Item Balance'!$A443)</f>
        <v/>
      </c>
      <c r="B444" s="18" t="str">
        <f>IF($A444="","",'Item Balance'!$B443)</f>
        <v/>
      </c>
      <c r="C444" s="19" t="str">
        <f>IF($A444="","",'Item Balance'!$C443)</f>
        <v/>
      </c>
      <c r="D444" s="23" t="str">
        <f>IF($A444="","",'Item Balance'!$I443)</f>
        <v/>
      </c>
      <c r="E444" s="23" t="str">
        <f>IF($A444="","",'Item Balance'!$F443)</f>
        <v/>
      </c>
      <c r="F444" s="26" t="str">
        <f t="shared" si="12"/>
        <v/>
      </c>
      <c r="G444" s="23" t="str">
        <f>IF($A444="","",'Item Balance'!$E443)</f>
        <v/>
      </c>
      <c r="H444" s="26" t="str">
        <f t="shared" si="13"/>
        <v/>
      </c>
      <c r="I444" s="20" t="str">
        <f>IF($A444="","",'Item Balance'!$D443)</f>
        <v/>
      </c>
      <c r="J444" s="31" t="str">
        <f>IF($A444="","",'Item Balance'!$P443)</f>
        <v/>
      </c>
    </row>
    <row r="445" spans="1:10" x14ac:dyDescent="0.35">
      <c r="A445" s="18" t="str">
        <f>IF('Item Balance'!$A444="","",'Item Balance'!$A444)</f>
        <v/>
      </c>
      <c r="B445" s="18" t="str">
        <f>IF($A445="","",'Item Balance'!$B444)</f>
        <v/>
      </c>
      <c r="C445" s="19" t="str">
        <f>IF($A445="","",'Item Balance'!$C444)</f>
        <v/>
      </c>
      <c r="D445" s="23" t="str">
        <f>IF($A445="","",'Item Balance'!$I444)</f>
        <v/>
      </c>
      <c r="E445" s="23" t="str">
        <f>IF($A445="","",'Item Balance'!$F444)</f>
        <v/>
      </c>
      <c r="F445" s="26" t="str">
        <f t="shared" si="12"/>
        <v/>
      </c>
      <c r="G445" s="23" t="str">
        <f>IF($A445="","",'Item Balance'!$E444)</f>
        <v/>
      </c>
      <c r="H445" s="26" t="str">
        <f t="shared" si="13"/>
        <v/>
      </c>
      <c r="I445" s="20" t="str">
        <f>IF($A445="","",'Item Balance'!$D444)</f>
        <v/>
      </c>
      <c r="J445" s="31" t="str">
        <f>IF($A445="","",'Item Balance'!$P444)</f>
        <v/>
      </c>
    </row>
    <row r="446" spans="1:10" x14ac:dyDescent="0.35">
      <c r="A446" s="18" t="str">
        <f>IF('Item Balance'!$A445="","",'Item Balance'!$A445)</f>
        <v/>
      </c>
      <c r="B446" s="18" t="str">
        <f>IF($A446="","",'Item Balance'!$B445)</f>
        <v/>
      </c>
      <c r="C446" s="19" t="str">
        <f>IF($A446="","",'Item Balance'!$C445)</f>
        <v/>
      </c>
      <c r="D446" s="23" t="str">
        <f>IF($A446="","",'Item Balance'!$I445)</f>
        <v/>
      </c>
      <c r="E446" s="23" t="str">
        <f>IF($A446="","",'Item Balance'!$F445)</f>
        <v/>
      </c>
      <c r="F446" s="26" t="str">
        <f t="shared" si="12"/>
        <v/>
      </c>
      <c r="G446" s="23" t="str">
        <f>IF($A446="","",'Item Balance'!$E445)</f>
        <v/>
      </c>
      <c r="H446" s="26" t="str">
        <f t="shared" si="13"/>
        <v/>
      </c>
      <c r="I446" s="20" t="str">
        <f>IF($A446="","",'Item Balance'!$D445)</f>
        <v/>
      </c>
      <c r="J446" s="31" t="str">
        <f>IF($A446="","",'Item Balance'!$P445)</f>
        <v/>
      </c>
    </row>
    <row r="447" spans="1:10" x14ac:dyDescent="0.35">
      <c r="A447" s="18" t="str">
        <f>IF('Item Balance'!$A446="","",'Item Balance'!$A446)</f>
        <v/>
      </c>
      <c r="B447" s="18" t="str">
        <f>IF($A447="","",'Item Balance'!$B446)</f>
        <v/>
      </c>
      <c r="C447" s="19" t="str">
        <f>IF($A447="","",'Item Balance'!$C446)</f>
        <v/>
      </c>
      <c r="D447" s="23" t="str">
        <f>IF($A447="","",'Item Balance'!$I446)</f>
        <v/>
      </c>
      <c r="E447" s="23" t="str">
        <f>IF($A447="","",'Item Balance'!$F446)</f>
        <v/>
      </c>
      <c r="F447" s="26" t="str">
        <f t="shared" si="12"/>
        <v/>
      </c>
      <c r="G447" s="23" t="str">
        <f>IF($A447="","",'Item Balance'!$E446)</f>
        <v/>
      </c>
      <c r="H447" s="26" t="str">
        <f t="shared" si="13"/>
        <v/>
      </c>
      <c r="I447" s="20" t="str">
        <f>IF($A447="","",'Item Balance'!$D446)</f>
        <v/>
      </c>
      <c r="J447" s="31" t="str">
        <f>IF($A447="","",'Item Balance'!$P446)</f>
        <v/>
      </c>
    </row>
    <row r="448" spans="1:10" x14ac:dyDescent="0.35">
      <c r="A448" s="18" t="str">
        <f>IF('Item Balance'!$A447="","",'Item Balance'!$A447)</f>
        <v/>
      </c>
      <c r="B448" s="18" t="str">
        <f>IF($A448="","",'Item Balance'!$B447)</f>
        <v/>
      </c>
      <c r="C448" s="19" t="str">
        <f>IF($A448="","",'Item Balance'!$C447)</f>
        <v/>
      </c>
      <c r="D448" s="23" t="str">
        <f>IF($A448="","",'Item Balance'!$I447)</f>
        <v/>
      </c>
      <c r="E448" s="23" t="str">
        <f>IF($A448="","",'Item Balance'!$F447)</f>
        <v/>
      </c>
      <c r="F448" s="26" t="str">
        <f t="shared" si="12"/>
        <v/>
      </c>
      <c r="G448" s="23" t="str">
        <f>IF($A448="","",'Item Balance'!$E447)</f>
        <v/>
      </c>
      <c r="H448" s="26" t="str">
        <f t="shared" si="13"/>
        <v/>
      </c>
      <c r="I448" s="20" t="str">
        <f>IF($A448="","",'Item Balance'!$D447)</f>
        <v/>
      </c>
      <c r="J448" s="31" t="str">
        <f>IF($A448="","",'Item Balance'!$P447)</f>
        <v/>
      </c>
    </row>
    <row r="449" spans="1:10" x14ac:dyDescent="0.35">
      <c r="A449" s="18" t="str">
        <f>IF('Item Balance'!$A448="","",'Item Balance'!$A448)</f>
        <v/>
      </c>
      <c r="B449" s="18" t="str">
        <f>IF($A449="","",'Item Balance'!$B448)</f>
        <v/>
      </c>
      <c r="C449" s="19" t="str">
        <f>IF($A449="","",'Item Balance'!$C448)</f>
        <v/>
      </c>
      <c r="D449" s="23" t="str">
        <f>IF($A449="","",'Item Balance'!$I448)</f>
        <v/>
      </c>
      <c r="E449" s="23" t="str">
        <f>IF($A449="","",'Item Balance'!$F448)</f>
        <v/>
      </c>
      <c r="F449" s="26" t="str">
        <f t="shared" si="12"/>
        <v/>
      </c>
      <c r="G449" s="23" t="str">
        <f>IF($A449="","",'Item Balance'!$E448)</f>
        <v/>
      </c>
      <c r="H449" s="26" t="str">
        <f t="shared" si="13"/>
        <v/>
      </c>
      <c r="I449" s="20" t="str">
        <f>IF($A449="","",'Item Balance'!$D448)</f>
        <v/>
      </c>
      <c r="J449" s="31" t="str">
        <f>IF($A449="","",'Item Balance'!$P448)</f>
        <v/>
      </c>
    </row>
    <row r="450" spans="1:10" x14ac:dyDescent="0.35">
      <c r="A450" s="18" t="str">
        <f>IF('Item Balance'!$A449="","",'Item Balance'!$A449)</f>
        <v/>
      </c>
      <c r="B450" s="18" t="str">
        <f>IF($A450="","",'Item Balance'!$B449)</f>
        <v/>
      </c>
      <c r="C450" s="19" t="str">
        <f>IF($A450="","",'Item Balance'!$C449)</f>
        <v/>
      </c>
      <c r="D450" s="23" t="str">
        <f>IF($A450="","",'Item Balance'!$I449)</f>
        <v/>
      </c>
      <c r="E450" s="23" t="str">
        <f>IF($A450="","",'Item Balance'!$F449)</f>
        <v/>
      </c>
      <c r="F450" s="26" t="str">
        <f t="shared" si="12"/>
        <v/>
      </c>
      <c r="G450" s="23" t="str">
        <f>IF($A450="","",'Item Balance'!$E449)</f>
        <v/>
      </c>
      <c r="H450" s="26" t="str">
        <f t="shared" si="13"/>
        <v/>
      </c>
      <c r="I450" s="20" t="str">
        <f>IF($A450="","",'Item Balance'!$D449)</f>
        <v/>
      </c>
      <c r="J450" s="31" t="str">
        <f>IF($A450="","",'Item Balance'!$P449)</f>
        <v/>
      </c>
    </row>
    <row r="451" spans="1:10" x14ac:dyDescent="0.35">
      <c r="A451" s="18" t="str">
        <f>IF('Item Balance'!$A450="","",'Item Balance'!$A450)</f>
        <v/>
      </c>
      <c r="B451" s="18" t="str">
        <f>IF($A451="","",'Item Balance'!$B450)</f>
        <v/>
      </c>
      <c r="C451" s="19" t="str">
        <f>IF($A451="","",'Item Balance'!$C450)</f>
        <v/>
      </c>
      <c r="D451" s="23" t="str">
        <f>IF($A451="","",'Item Balance'!$I450)</f>
        <v/>
      </c>
      <c r="E451" s="23" t="str">
        <f>IF($A451="","",'Item Balance'!$F450)</f>
        <v/>
      </c>
      <c r="F451" s="26" t="str">
        <f t="shared" si="12"/>
        <v/>
      </c>
      <c r="G451" s="23" t="str">
        <f>IF($A451="","",'Item Balance'!$E450)</f>
        <v/>
      </c>
      <c r="H451" s="26" t="str">
        <f t="shared" si="13"/>
        <v/>
      </c>
      <c r="I451" s="20" t="str">
        <f>IF($A451="","",'Item Balance'!$D450)</f>
        <v/>
      </c>
      <c r="J451" s="31" t="str">
        <f>IF($A451="","",'Item Balance'!$P450)</f>
        <v/>
      </c>
    </row>
    <row r="452" spans="1:10" x14ac:dyDescent="0.35">
      <c r="A452" s="18" t="str">
        <f>IF('Item Balance'!$A451="","",'Item Balance'!$A451)</f>
        <v/>
      </c>
      <c r="B452" s="18" t="str">
        <f>IF($A452="","",'Item Balance'!$B451)</f>
        <v/>
      </c>
      <c r="C452" s="19" t="str">
        <f>IF($A452="","",'Item Balance'!$C451)</f>
        <v/>
      </c>
      <c r="D452" s="23" t="str">
        <f>IF($A452="","",'Item Balance'!$I451)</f>
        <v/>
      </c>
      <c r="E452" s="23" t="str">
        <f>IF($A452="","",'Item Balance'!$F451)</f>
        <v/>
      </c>
      <c r="F452" s="26" t="str">
        <f t="shared" si="12"/>
        <v/>
      </c>
      <c r="G452" s="23" t="str">
        <f>IF($A452="","",'Item Balance'!$E451)</f>
        <v/>
      </c>
      <c r="H452" s="26" t="str">
        <f t="shared" si="13"/>
        <v/>
      </c>
      <c r="I452" s="20" t="str">
        <f>IF($A452="","",'Item Balance'!$D451)</f>
        <v/>
      </c>
      <c r="J452" s="31" t="str">
        <f>IF($A452="","",'Item Balance'!$P451)</f>
        <v/>
      </c>
    </row>
    <row r="453" spans="1:10" x14ac:dyDescent="0.35">
      <c r="A453" s="18" t="str">
        <f>IF('Item Balance'!$A452="","",'Item Balance'!$A452)</f>
        <v/>
      </c>
      <c r="B453" s="18" t="str">
        <f>IF($A453="","",'Item Balance'!$B452)</f>
        <v/>
      </c>
      <c r="C453" s="19" t="str">
        <f>IF($A453="","",'Item Balance'!$C452)</f>
        <v/>
      </c>
      <c r="D453" s="23" t="str">
        <f>IF($A453="","",'Item Balance'!$I452)</f>
        <v/>
      </c>
      <c r="E453" s="23" t="str">
        <f>IF($A453="","",'Item Balance'!$F452)</f>
        <v/>
      </c>
      <c r="F453" s="26" t="str">
        <f t="shared" si="12"/>
        <v/>
      </c>
      <c r="G453" s="23" t="str">
        <f>IF($A453="","",'Item Balance'!$E452)</f>
        <v/>
      </c>
      <c r="H453" s="26" t="str">
        <f t="shared" si="13"/>
        <v/>
      </c>
      <c r="I453" s="20" t="str">
        <f>IF($A453="","",'Item Balance'!$D452)</f>
        <v/>
      </c>
      <c r="J453" s="31" t="str">
        <f>IF($A453="","",'Item Balance'!$P452)</f>
        <v/>
      </c>
    </row>
    <row r="454" spans="1:10" x14ac:dyDescent="0.35">
      <c r="A454" s="18" t="str">
        <f>IF('Item Balance'!$A453="","",'Item Balance'!$A453)</f>
        <v/>
      </c>
      <c r="B454" s="18" t="str">
        <f>IF($A454="","",'Item Balance'!$B453)</f>
        <v/>
      </c>
      <c r="C454" s="19" t="str">
        <f>IF($A454="","",'Item Balance'!$C453)</f>
        <v/>
      </c>
      <c r="D454" s="23" t="str">
        <f>IF($A454="","",'Item Balance'!$I453)</f>
        <v/>
      </c>
      <c r="E454" s="23" t="str">
        <f>IF($A454="","",'Item Balance'!$F453)</f>
        <v/>
      </c>
      <c r="F454" s="26" t="str">
        <f t="shared" ref="F454:F517" si="14">IF(OR($A454="",NOT(ISNUMBER($E454)),NOT(ISNUMBER($D454))),"",MAX(0,$E454-$D454))</f>
        <v/>
      </c>
      <c r="G454" s="23" t="str">
        <f>IF($A454="","",'Item Balance'!$E453)</f>
        <v/>
      </c>
      <c r="H454" s="26" t="str">
        <f t="shared" ref="H454:H517" si="15">IF(OR($A454="",NOT(ISNUMBER($G454)),$G454=0,NOT(ISNUMBER($D454))),"",ROUNDDOWN($D454/$G454,0))</f>
        <v/>
      </c>
      <c r="I454" s="20" t="str">
        <f>IF($A454="","",'Item Balance'!$D453)</f>
        <v/>
      </c>
      <c r="J454" s="31" t="str">
        <f>IF($A454="","",'Item Balance'!$P453)</f>
        <v/>
      </c>
    </row>
    <row r="455" spans="1:10" x14ac:dyDescent="0.35">
      <c r="A455" s="18" t="str">
        <f>IF('Item Balance'!$A454="","",'Item Balance'!$A454)</f>
        <v/>
      </c>
      <c r="B455" s="18" t="str">
        <f>IF($A455="","",'Item Balance'!$B454)</f>
        <v/>
      </c>
      <c r="C455" s="19" t="str">
        <f>IF($A455="","",'Item Balance'!$C454)</f>
        <v/>
      </c>
      <c r="D455" s="23" t="str">
        <f>IF($A455="","",'Item Balance'!$I454)</f>
        <v/>
      </c>
      <c r="E455" s="23" t="str">
        <f>IF($A455="","",'Item Balance'!$F454)</f>
        <v/>
      </c>
      <c r="F455" s="26" t="str">
        <f t="shared" si="14"/>
        <v/>
      </c>
      <c r="G455" s="23" t="str">
        <f>IF($A455="","",'Item Balance'!$E454)</f>
        <v/>
      </c>
      <c r="H455" s="26" t="str">
        <f t="shared" si="15"/>
        <v/>
      </c>
      <c r="I455" s="20" t="str">
        <f>IF($A455="","",'Item Balance'!$D454)</f>
        <v/>
      </c>
      <c r="J455" s="31" t="str">
        <f>IF($A455="","",'Item Balance'!$P454)</f>
        <v/>
      </c>
    </row>
    <row r="456" spans="1:10" x14ac:dyDescent="0.35">
      <c r="A456" s="18" t="str">
        <f>IF('Item Balance'!$A455="","",'Item Balance'!$A455)</f>
        <v/>
      </c>
      <c r="B456" s="18" t="str">
        <f>IF($A456="","",'Item Balance'!$B455)</f>
        <v/>
      </c>
      <c r="C456" s="19" t="str">
        <f>IF($A456="","",'Item Balance'!$C455)</f>
        <v/>
      </c>
      <c r="D456" s="23" t="str">
        <f>IF($A456="","",'Item Balance'!$I455)</f>
        <v/>
      </c>
      <c r="E456" s="23" t="str">
        <f>IF($A456="","",'Item Balance'!$F455)</f>
        <v/>
      </c>
      <c r="F456" s="26" t="str">
        <f t="shared" si="14"/>
        <v/>
      </c>
      <c r="G456" s="23" t="str">
        <f>IF($A456="","",'Item Balance'!$E455)</f>
        <v/>
      </c>
      <c r="H456" s="26" t="str">
        <f t="shared" si="15"/>
        <v/>
      </c>
      <c r="I456" s="20" t="str">
        <f>IF($A456="","",'Item Balance'!$D455)</f>
        <v/>
      </c>
      <c r="J456" s="31" t="str">
        <f>IF($A456="","",'Item Balance'!$P455)</f>
        <v/>
      </c>
    </row>
    <row r="457" spans="1:10" x14ac:dyDescent="0.35">
      <c r="A457" s="18" t="str">
        <f>IF('Item Balance'!$A456="","",'Item Balance'!$A456)</f>
        <v/>
      </c>
      <c r="B457" s="18" t="str">
        <f>IF($A457="","",'Item Balance'!$B456)</f>
        <v/>
      </c>
      <c r="C457" s="19" t="str">
        <f>IF($A457="","",'Item Balance'!$C456)</f>
        <v/>
      </c>
      <c r="D457" s="23" t="str">
        <f>IF($A457="","",'Item Balance'!$I456)</f>
        <v/>
      </c>
      <c r="E457" s="23" t="str">
        <f>IF($A457="","",'Item Balance'!$F456)</f>
        <v/>
      </c>
      <c r="F457" s="26" t="str">
        <f t="shared" si="14"/>
        <v/>
      </c>
      <c r="G457" s="23" t="str">
        <f>IF($A457="","",'Item Balance'!$E456)</f>
        <v/>
      </c>
      <c r="H457" s="26" t="str">
        <f t="shared" si="15"/>
        <v/>
      </c>
      <c r="I457" s="20" t="str">
        <f>IF($A457="","",'Item Balance'!$D456)</f>
        <v/>
      </c>
      <c r="J457" s="31" t="str">
        <f>IF($A457="","",'Item Balance'!$P456)</f>
        <v/>
      </c>
    </row>
    <row r="458" spans="1:10" x14ac:dyDescent="0.35">
      <c r="A458" s="18" t="str">
        <f>IF('Item Balance'!$A457="","",'Item Balance'!$A457)</f>
        <v/>
      </c>
      <c r="B458" s="18" t="str">
        <f>IF($A458="","",'Item Balance'!$B457)</f>
        <v/>
      </c>
      <c r="C458" s="19" t="str">
        <f>IF($A458="","",'Item Balance'!$C457)</f>
        <v/>
      </c>
      <c r="D458" s="23" t="str">
        <f>IF($A458="","",'Item Balance'!$I457)</f>
        <v/>
      </c>
      <c r="E458" s="23" t="str">
        <f>IF($A458="","",'Item Balance'!$F457)</f>
        <v/>
      </c>
      <c r="F458" s="26" t="str">
        <f t="shared" si="14"/>
        <v/>
      </c>
      <c r="G458" s="23" t="str">
        <f>IF($A458="","",'Item Balance'!$E457)</f>
        <v/>
      </c>
      <c r="H458" s="26" t="str">
        <f t="shared" si="15"/>
        <v/>
      </c>
      <c r="I458" s="20" t="str">
        <f>IF($A458="","",'Item Balance'!$D457)</f>
        <v/>
      </c>
      <c r="J458" s="31" t="str">
        <f>IF($A458="","",'Item Balance'!$P457)</f>
        <v/>
      </c>
    </row>
    <row r="459" spans="1:10" x14ac:dyDescent="0.35">
      <c r="A459" s="18" t="str">
        <f>IF('Item Balance'!$A458="","",'Item Balance'!$A458)</f>
        <v/>
      </c>
      <c r="B459" s="18" t="str">
        <f>IF($A459="","",'Item Balance'!$B458)</f>
        <v/>
      </c>
      <c r="C459" s="19" t="str">
        <f>IF($A459="","",'Item Balance'!$C458)</f>
        <v/>
      </c>
      <c r="D459" s="23" t="str">
        <f>IF($A459="","",'Item Balance'!$I458)</f>
        <v/>
      </c>
      <c r="E459" s="23" t="str">
        <f>IF($A459="","",'Item Balance'!$F458)</f>
        <v/>
      </c>
      <c r="F459" s="26" t="str">
        <f t="shared" si="14"/>
        <v/>
      </c>
      <c r="G459" s="23" t="str">
        <f>IF($A459="","",'Item Balance'!$E458)</f>
        <v/>
      </c>
      <c r="H459" s="26" t="str">
        <f t="shared" si="15"/>
        <v/>
      </c>
      <c r="I459" s="20" t="str">
        <f>IF($A459="","",'Item Balance'!$D458)</f>
        <v/>
      </c>
      <c r="J459" s="31" t="str">
        <f>IF($A459="","",'Item Balance'!$P458)</f>
        <v/>
      </c>
    </row>
    <row r="460" spans="1:10" x14ac:dyDescent="0.35">
      <c r="A460" s="18" t="str">
        <f>IF('Item Balance'!$A459="","",'Item Balance'!$A459)</f>
        <v/>
      </c>
      <c r="B460" s="18" t="str">
        <f>IF($A460="","",'Item Balance'!$B459)</f>
        <v/>
      </c>
      <c r="C460" s="19" t="str">
        <f>IF($A460="","",'Item Balance'!$C459)</f>
        <v/>
      </c>
      <c r="D460" s="23" t="str">
        <f>IF($A460="","",'Item Balance'!$I459)</f>
        <v/>
      </c>
      <c r="E460" s="23" t="str">
        <f>IF($A460="","",'Item Balance'!$F459)</f>
        <v/>
      </c>
      <c r="F460" s="26" t="str">
        <f t="shared" si="14"/>
        <v/>
      </c>
      <c r="G460" s="23" t="str">
        <f>IF($A460="","",'Item Balance'!$E459)</f>
        <v/>
      </c>
      <c r="H460" s="26" t="str">
        <f t="shared" si="15"/>
        <v/>
      </c>
      <c r="I460" s="20" t="str">
        <f>IF($A460="","",'Item Balance'!$D459)</f>
        <v/>
      </c>
      <c r="J460" s="31" t="str">
        <f>IF($A460="","",'Item Balance'!$P459)</f>
        <v/>
      </c>
    </row>
    <row r="461" spans="1:10" x14ac:dyDescent="0.35">
      <c r="A461" s="18" t="str">
        <f>IF('Item Balance'!$A460="","",'Item Balance'!$A460)</f>
        <v/>
      </c>
      <c r="B461" s="18" t="str">
        <f>IF($A461="","",'Item Balance'!$B460)</f>
        <v/>
      </c>
      <c r="C461" s="19" t="str">
        <f>IF($A461="","",'Item Balance'!$C460)</f>
        <v/>
      </c>
      <c r="D461" s="23" t="str">
        <f>IF($A461="","",'Item Balance'!$I460)</f>
        <v/>
      </c>
      <c r="E461" s="23" t="str">
        <f>IF($A461="","",'Item Balance'!$F460)</f>
        <v/>
      </c>
      <c r="F461" s="26" t="str">
        <f t="shared" si="14"/>
        <v/>
      </c>
      <c r="G461" s="23" t="str">
        <f>IF($A461="","",'Item Balance'!$E460)</f>
        <v/>
      </c>
      <c r="H461" s="26" t="str">
        <f t="shared" si="15"/>
        <v/>
      </c>
      <c r="I461" s="20" t="str">
        <f>IF($A461="","",'Item Balance'!$D460)</f>
        <v/>
      </c>
      <c r="J461" s="31" t="str">
        <f>IF($A461="","",'Item Balance'!$P460)</f>
        <v/>
      </c>
    </row>
    <row r="462" spans="1:10" x14ac:dyDescent="0.35">
      <c r="A462" s="18" t="str">
        <f>IF('Item Balance'!$A461="","",'Item Balance'!$A461)</f>
        <v/>
      </c>
      <c r="B462" s="18" t="str">
        <f>IF($A462="","",'Item Balance'!$B461)</f>
        <v/>
      </c>
      <c r="C462" s="19" t="str">
        <f>IF($A462="","",'Item Balance'!$C461)</f>
        <v/>
      </c>
      <c r="D462" s="23" t="str">
        <f>IF($A462="","",'Item Balance'!$I461)</f>
        <v/>
      </c>
      <c r="E462" s="23" t="str">
        <f>IF($A462="","",'Item Balance'!$F461)</f>
        <v/>
      </c>
      <c r="F462" s="26" t="str">
        <f t="shared" si="14"/>
        <v/>
      </c>
      <c r="G462" s="23" t="str">
        <f>IF($A462="","",'Item Balance'!$E461)</f>
        <v/>
      </c>
      <c r="H462" s="26" t="str">
        <f t="shared" si="15"/>
        <v/>
      </c>
      <c r="I462" s="20" t="str">
        <f>IF($A462="","",'Item Balance'!$D461)</f>
        <v/>
      </c>
      <c r="J462" s="31" t="str">
        <f>IF($A462="","",'Item Balance'!$P461)</f>
        <v/>
      </c>
    </row>
    <row r="463" spans="1:10" x14ac:dyDescent="0.35">
      <c r="A463" s="18" t="str">
        <f>IF('Item Balance'!$A462="","",'Item Balance'!$A462)</f>
        <v/>
      </c>
      <c r="B463" s="18" t="str">
        <f>IF($A463="","",'Item Balance'!$B462)</f>
        <v/>
      </c>
      <c r="C463" s="19" t="str">
        <f>IF($A463="","",'Item Balance'!$C462)</f>
        <v/>
      </c>
      <c r="D463" s="23" t="str">
        <f>IF($A463="","",'Item Balance'!$I462)</f>
        <v/>
      </c>
      <c r="E463" s="23" t="str">
        <f>IF($A463="","",'Item Balance'!$F462)</f>
        <v/>
      </c>
      <c r="F463" s="26" t="str">
        <f t="shared" si="14"/>
        <v/>
      </c>
      <c r="G463" s="23" t="str">
        <f>IF($A463="","",'Item Balance'!$E462)</f>
        <v/>
      </c>
      <c r="H463" s="26" t="str">
        <f t="shared" si="15"/>
        <v/>
      </c>
      <c r="I463" s="20" t="str">
        <f>IF($A463="","",'Item Balance'!$D462)</f>
        <v/>
      </c>
      <c r="J463" s="31" t="str">
        <f>IF($A463="","",'Item Balance'!$P462)</f>
        <v/>
      </c>
    </row>
    <row r="464" spans="1:10" x14ac:dyDescent="0.35">
      <c r="A464" s="18" t="str">
        <f>IF('Item Balance'!$A463="","",'Item Balance'!$A463)</f>
        <v/>
      </c>
      <c r="B464" s="18" t="str">
        <f>IF($A464="","",'Item Balance'!$B463)</f>
        <v/>
      </c>
      <c r="C464" s="19" t="str">
        <f>IF($A464="","",'Item Balance'!$C463)</f>
        <v/>
      </c>
      <c r="D464" s="23" t="str">
        <f>IF($A464="","",'Item Balance'!$I463)</f>
        <v/>
      </c>
      <c r="E464" s="23" t="str">
        <f>IF($A464="","",'Item Balance'!$F463)</f>
        <v/>
      </c>
      <c r="F464" s="26" t="str">
        <f t="shared" si="14"/>
        <v/>
      </c>
      <c r="G464" s="23" t="str">
        <f>IF($A464="","",'Item Balance'!$E463)</f>
        <v/>
      </c>
      <c r="H464" s="26" t="str">
        <f t="shared" si="15"/>
        <v/>
      </c>
      <c r="I464" s="20" t="str">
        <f>IF($A464="","",'Item Balance'!$D463)</f>
        <v/>
      </c>
      <c r="J464" s="31" t="str">
        <f>IF($A464="","",'Item Balance'!$P463)</f>
        <v/>
      </c>
    </row>
    <row r="465" spans="1:10" x14ac:dyDescent="0.35">
      <c r="A465" s="18" t="str">
        <f>IF('Item Balance'!$A464="","",'Item Balance'!$A464)</f>
        <v/>
      </c>
      <c r="B465" s="18" t="str">
        <f>IF($A465="","",'Item Balance'!$B464)</f>
        <v/>
      </c>
      <c r="C465" s="19" t="str">
        <f>IF($A465="","",'Item Balance'!$C464)</f>
        <v/>
      </c>
      <c r="D465" s="23" t="str">
        <f>IF($A465="","",'Item Balance'!$I464)</f>
        <v/>
      </c>
      <c r="E465" s="23" t="str">
        <f>IF($A465="","",'Item Balance'!$F464)</f>
        <v/>
      </c>
      <c r="F465" s="26" t="str">
        <f t="shared" si="14"/>
        <v/>
      </c>
      <c r="G465" s="23" t="str">
        <f>IF($A465="","",'Item Balance'!$E464)</f>
        <v/>
      </c>
      <c r="H465" s="26" t="str">
        <f t="shared" si="15"/>
        <v/>
      </c>
      <c r="I465" s="20" t="str">
        <f>IF($A465="","",'Item Balance'!$D464)</f>
        <v/>
      </c>
      <c r="J465" s="31" t="str">
        <f>IF($A465="","",'Item Balance'!$P464)</f>
        <v/>
      </c>
    </row>
    <row r="466" spans="1:10" x14ac:dyDescent="0.35">
      <c r="A466" s="18" t="str">
        <f>IF('Item Balance'!$A465="","",'Item Balance'!$A465)</f>
        <v/>
      </c>
      <c r="B466" s="18" t="str">
        <f>IF($A466="","",'Item Balance'!$B465)</f>
        <v/>
      </c>
      <c r="C466" s="19" t="str">
        <f>IF($A466="","",'Item Balance'!$C465)</f>
        <v/>
      </c>
      <c r="D466" s="23" t="str">
        <f>IF($A466="","",'Item Balance'!$I465)</f>
        <v/>
      </c>
      <c r="E466" s="23" t="str">
        <f>IF($A466="","",'Item Balance'!$F465)</f>
        <v/>
      </c>
      <c r="F466" s="26" t="str">
        <f t="shared" si="14"/>
        <v/>
      </c>
      <c r="G466" s="23" t="str">
        <f>IF($A466="","",'Item Balance'!$E465)</f>
        <v/>
      </c>
      <c r="H466" s="26" t="str">
        <f t="shared" si="15"/>
        <v/>
      </c>
      <c r="I466" s="20" t="str">
        <f>IF($A466="","",'Item Balance'!$D465)</f>
        <v/>
      </c>
      <c r="J466" s="31" t="str">
        <f>IF($A466="","",'Item Balance'!$P465)</f>
        <v/>
      </c>
    </row>
    <row r="467" spans="1:10" x14ac:dyDescent="0.35">
      <c r="A467" s="18" t="str">
        <f>IF('Item Balance'!$A466="","",'Item Balance'!$A466)</f>
        <v/>
      </c>
      <c r="B467" s="18" t="str">
        <f>IF($A467="","",'Item Balance'!$B466)</f>
        <v/>
      </c>
      <c r="C467" s="19" t="str">
        <f>IF($A467="","",'Item Balance'!$C466)</f>
        <v/>
      </c>
      <c r="D467" s="23" t="str">
        <f>IF($A467="","",'Item Balance'!$I466)</f>
        <v/>
      </c>
      <c r="E467" s="23" t="str">
        <f>IF($A467="","",'Item Balance'!$F466)</f>
        <v/>
      </c>
      <c r="F467" s="26" t="str">
        <f t="shared" si="14"/>
        <v/>
      </c>
      <c r="G467" s="23" t="str">
        <f>IF($A467="","",'Item Balance'!$E466)</f>
        <v/>
      </c>
      <c r="H467" s="26" t="str">
        <f t="shared" si="15"/>
        <v/>
      </c>
      <c r="I467" s="20" t="str">
        <f>IF($A467="","",'Item Balance'!$D466)</f>
        <v/>
      </c>
      <c r="J467" s="31" t="str">
        <f>IF($A467="","",'Item Balance'!$P466)</f>
        <v/>
      </c>
    </row>
    <row r="468" spans="1:10" x14ac:dyDescent="0.35">
      <c r="A468" s="18" t="str">
        <f>IF('Item Balance'!$A467="","",'Item Balance'!$A467)</f>
        <v/>
      </c>
      <c r="B468" s="18" t="str">
        <f>IF($A468="","",'Item Balance'!$B467)</f>
        <v/>
      </c>
      <c r="C468" s="19" t="str">
        <f>IF($A468="","",'Item Balance'!$C467)</f>
        <v/>
      </c>
      <c r="D468" s="23" t="str">
        <f>IF($A468="","",'Item Balance'!$I467)</f>
        <v/>
      </c>
      <c r="E468" s="23" t="str">
        <f>IF($A468="","",'Item Balance'!$F467)</f>
        <v/>
      </c>
      <c r="F468" s="26" t="str">
        <f t="shared" si="14"/>
        <v/>
      </c>
      <c r="G468" s="23" t="str">
        <f>IF($A468="","",'Item Balance'!$E467)</f>
        <v/>
      </c>
      <c r="H468" s="26" t="str">
        <f t="shared" si="15"/>
        <v/>
      </c>
      <c r="I468" s="20" t="str">
        <f>IF($A468="","",'Item Balance'!$D467)</f>
        <v/>
      </c>
      <c r="J468" s="31" t="str">
        <f>IF($A468="","",'Item Balance'!$P467)</f>
        <v/>
      </c>
    </row>
    <row r="469" spans="1:10" x14ac:dyDescent="0.35">
      <c r="A469" s="18" t="str">
        <f>IF('Item Balance'!$A468="","",'Item Balance'!$A468)</f>
        <v/>
      </c>
      <c r="B469" s="18" t="str">
        <f>IF($A469="","",'Item Balance'!$B468)</f>
        <v/>
      </c>
      <c r="C469" s="19" t="str">
        <f>IF($A469="","",'Item Balance'!$C468)</f>
        <v/>
      </c>
      <c r="D469" s="23" t="str">
        <f>IF($A469="","",'Item Balance'!$I468)</f>
        <v/>
      </c>
      <c r="E469" s="23" t="str">
        <f>IF($A469="","",'Item Balance'!$F468)</f>
        <v/>
      </c>
      <c r="F469" s="26" t="str">
        <f t="shared" si="14"/>
        <v/>
      </c>
      <c r="G469" s="23" t="str">
        <f>IF($A469="","",'Item Balance'!$E468)</f>
        <v/>
      </c>
      <c r="H469" s="26" t="str">
        <f t="shared" si="15"/>
        <v/>
      </c>
      <c r="I469" s="20" t="str">
        <f>IF($A469="","",'Item Balance'!$D468)</f>
        <v/>
      </c>
      <c r="J469" s="31" t="str">
        <f>IF($A469="","",'Item Balance'!$P468)</f>
        <v/>
      </c>
    </row>
    <row r="470" spans="1:10" x14ac:dyDescent="0.35">
      <c r="A470" s="18" t="str">
        <f>IF('Item Balance'!$A469="","",'Item Balance'!$A469)</f>
        <v/>
      </c>
      <c r="B470" s="18" t="str">
        <f>IF($A470="","",'Item Balance'!$B469)</f>
        <v/>
      </c>
      <c r="C470" s="19" t="str">
        <f>IF($A470="","",'Item Balance'!$C469)</f>
        <v/>
      </c>
      <c r="D470" s="23" t="str">
        <f>IF($A470="","",'Item Balance'!$I469)</f>
        <v/>
      </c>
      <c r="E470" s="23" t="str">
        <f>IF($A470="","",'Item Balance'!$F469)</f>
        <v/>
      </c>
      <c r="F470" s="26" t="str">
        <f t="shared" si="14"/>
        <v/>
      </c>
      <c r="G470" s="23" t="str">
        <f>IF($A470="","",'Item Balance'!$E469)</f>
        <v/>
      </c>
      <c r="H470" s="26" t="str">
        <f t="shared" si="15"/>
        <v/>
      </c>
      <c r="I470" s="20" t="str">
        <f>IF($A470="","",'Item Balance'!$D469)</f>
        <v/>
      </c>
      <c r="J470" s="31" t="str">
        <f>IF($A470="","",'Item Balance'!$P469)</f>
        <v/>
      </c>
    </row>
    <row r="471" spans="1:10" x14ac:dyDescent="0.35">
      <c r="A471" s="18" t="str">
        <f>IF('Item Balance'!$A470="","",'Item Balance'!$A470)</f>
        <v/>
      </c>
      <c r="B471" s="18" t="str">
        <f>IF($A471="","",'Item Balance'!$B470)</f>
        <v/>
      </c>
      <c r="C471" s="19" t="str">
        <f>IF($A471="","",'Item Balance'!$C470)</f>
        <v/>
      </c>
      <c r="D471" s="23" t="str">
        <f>IF($A471="","",'Item Balance'!$I470)</f>
        <v/>
      </c>
      <c r="E471" s="23" t="str">
        <f>IF($A471="","",'Item Balance'!$F470)</f>
        <v/>
      </c>
      <c r="F471" s="26" t="str">
        <f t="shared" si="14"/>
        <v/>
      </c>
      <c r="G471" s="23" t="str">
        <f>IF($A471="","",'Item Balance'!$E470)</f>
        <v/>
      </c>
      <c r="H471" s="26" t="str">
        <f t="shared" si="15"/>
        <v/>
      </c>
      <c r="I471" s="20" t="str">
        <f>IF($A471="","",'Item Balance'!$D470)</f>
        <v/>
      </c>
      <c r="J471" s="31" t="str">
        <f>IF($A471="","",'Item Balance'!$P470)</f>
        <v/>
      </c>
    </row>
    <row r="472" spans="1:10" x14ac:dyDescent="0.35">
      <c r="A472" s="18" t="str">
        <f>IF('Item Balance'!$A471="","",'Item Balance'!$A471)</f>
        <v/>
      </c>
      <c r="B472" s="18" t="str">
        <f>IF($A472="","",'Item Balance'!$B471)</f>
        <v/>
      </c>
      <c r="C472" s="19" t="str">
        <f>IF($A472="","",'Item Balance'!$C471)</f>
        <v/>
      </c>
      <c r="D472" s="23" t="str">
        <f>IF($A472="","",'Item Balance'!$I471)</f>
        <v/>
      </c>
      <c r="E472" s="23" t="str">
        <f>IF($A472="","",'Item Balance'!$F471)</f>
        <v/>
      </c>
      <c r="F472" s="26" t="str">
        <f t="shared" si="14"/>
        <v/>
      </c>
      <c r="G472" s="23" t="str">
        <f>IF($A472="","",'Item Balance'!$E471)</f>
        <v/>
      </c>
      <c r="H472" s="26" t="str">
        <f t="shared" si="15"/>
        <v/>
      </c>
      <c r="I472" s="20" t="str">
        <f>IF($A472="","",'Item Balance'!$D471)</f>
        <v/>
      </c>
      <c r="J472" s="31" t="str">
        <f>IF($A472="","",'Item Balance'!$P471)</f>
        <v/>
      </c>
    </row>
    <row r="473" spans="1:10" x14ac:dyDescent="0.35">
      <c r="A473" s="18" t="str">
        <f>IF('Item Balance'!$A472="","",'Item Balance'!$A472)</f>
        <v/>
      </c>
      <c r="B473" s="18" t="str">
        <f>IF($A473="","",'Item Balance'!$B472)</f>
        <v/>
      </c>
      <c r="C473" s="19" t="str">
        <f>IF($A473="","",'Item Balance'!$C472)</f>
        <v/>
      </c>
      <c r="D473" s="23" t="str">
        <f>IF($A473="","",'Item Balance'!$I472)</f>
        <v/>
      </c>
      <c r="E473" s="23" t="str">
        <f>IF($A473="","",'Item Balance'!$F472)</f>
        <v/>
      </c>
      <c r="F473" s="26" t="str">
        <f t="shared" si="14"/>
        <v/>
      </c>
      <c r="G473" s="23" t="str">
        <f>IF($A473="","",'Item Balance'!$E472)</f>
        <v/>
      </c>
      <c r="H473" s="26" t="str">
        <f t="shared" si="15"/>
        <v/>
      </c>
      <c r="I473" s="20" t="str">
        <f>IF($A473="","",'Item Balance'!$D472)</f>
        <v/>
      </c>
      <c r="J473" s="31" t="str">
        <f>IF($A473="","",'Item Balance'!$P472)</f>
        <v/>
      </c>
    </row>
    <row r="474" spans="1:10" x14ac:dyDescent="0.35">
      <c r="A474" s="18" t="str">
        <f>IF('Item Balance'!$A473="","",'Item Balance'!$A473)</f>
        <v/>
      </c>
      <c r="B474" s="18" t="str">
        <f>IF($A474="","",'Item Balance'!$B473)</f>
        <v/>
      </c>
      <c r="C474" s="19" t="str">
        <f>IF($A474="","",'Item Balance'!$C473)</f>
        <v/>
      </c>
      <c r="D474" s="23" t="str">
        <f>IF($A474="","",'Item Balance'!$I473)</f>
        <v/>
      </c>
      <c r="E474" s="23" t="str">
        <f>IF($A474="","",'Item Balance'!$F473)</f>
        <v/>
      </c>
      <c r="F474" s="26" t="str">
        <f t="shared" si="14"/>
        <v/>
      </c>
      <c r="G474" s="23" t="str">
        <f>IF($A474="","",'Item Balance'!$E473)</f>
        <v/>
      </c>
      <c r="H474" s="26" t="str">
        <f t="shared" si="15"/>
        <v/>
      </c>
      <c r="I474" s="20" t="str">
        <f>IF($A474="","",'Item Balance'!$D473)</f>
        <v/>
      </c>
      <c r="J474" s="31" t="str">
        <f>IF($A474="","",'Item Balance'!$P473)</f>
        <v/>
      </c>
    </row>
    <row r="475" spans="1:10" x14ac:dyDescent="0.35">
      <c r="A475" s="18" t="str">
        <f>IF('Item Balance'!$A474="","",'Item Balance'!$A474)</f>
        <v/>
      </c>
      <c r="B475" s="18" t="str">
        <f>IF($A475="","",'Item Balance'!$B474)</f>
        <v/>
      </c>
      <c r="C475" s="19" t="str">
        <f>IF($A475="","",'Item Balance'!$C474)</f>
        <v/>
      </c>
      <c r="D475" s="23" t="str">
        <f>IF($A475="","",'Item Balance'!$I474)</f>
        <v/>
      </c>
      <c r="E475" s="23" t="str">
        <f>IF($A475="","",'Item Balance'!$F474)</f>
        <v/>
      </c>
      <c r="F475" s="26" t="str">
        <f t="shared" si="14"/>
        <v/>
      </c>
      <c r="G475" s="23" t="str">
        <f>IF($A475="","",'Item Balance'!$E474)</f>
        <v/>
      </c>
      <c r="H475" s="26" t="str">
        <f t="shared" si="15"/>
        <v/>
      </c>
      <c r="I475" s="20" t="str">
        <f>IF($A475="","",'Item Balance'!$D474)</f>
        <v/>
      </c>
      <c r="J475" s="31" t="str">
        <f>IF($A475="","",'Item Balance'!$P474)</f>
        <v/>
      </c>
    </row>
    <row r="476" spans="1:10" x14ac:dyDescent="0.35">
      <c r="A476" s="18" t="str">
        <f>IF('Item Balance'!$A475="","",'Item Balance'!$A475)</f>
        <v/>
      </c>
      <c r="B476" s="18" t="str">
        <f>IF($A476="","",'Item Balance'!$B475)</f>
        <v/>
      </c>
      <c r="C476" s="19" t="str">
        <f>IF($A476="","",'Item Balance'!$C475)</f>
        <v/>
      </c>
      <c r="D476" s="23" t="str">
        <f>IF($A476="","",'Item Balance'!$I475)</f>
        <v/>
      </c>
      <c r="E476" s="23" t="str">
        <f>IF($A476="","",'Item Balance'!$F475)</f>
        <v/>
      </c>
      <c r="F476" s="26" t="str">
        <f t="shared" si="14"/>
        <v/>
      </c>
      <c r="G476" s="23" t="str">
        <f>IF($A476="","",'Item Balance'!$E475)</f>
        <v/>
      </c>
      <c r="H476" s="26" t="str">
        <f t="shared" si="15"/>
        <v/>
      </c>
      <c r="I476" s="20" t="str">
        <f>IF($A476="","",'Item Balance'!$D475)</f>
        <v/>
      </c>
      <c r="J476" s="31" t="str">
        <f>IF($A476="","",'Item Balance'!$P475)</f>
        <v/>
      </c>
    </row>
    <row r="477" spans="1:10" x14ac:dyDescent="0.35">
      <c r="A477" s="18" t="str">
        <f>IF('Item Balance'!$A476="","",'Item Balance'!$A476)</f>
        <v/>
      </c>
      <c r="B477" s="18" t="str">
        <f>IF($A477="","",'Item Balance'!$B476)</f>
        <v/>
      </c>
      <c r="C477" s="19" t="str">
        <f>IF($A477="","",'Item Balance'!$C476)</f>
        <v/>
      </c>
      <c r="D477" s="23" t="str">
        <f>IF($A477="","",'Item Balance'!$I476)</f>
        <v/>
      </c>
      <c r="E477" s="23" t="str">
        <f>IF($A477="","",'Item Balance'!$F476)</f>
        <v/>
      </c>
      <c r="F477" s="26" t="str">
        <f t="shared" si="14"/>
        <v/>
      </c>
      <c r="G477" s="23" t="str">
        <f>IF($A477="","",'Item Balance'!$E476)</f>
        <v/>
      </c>
      <c r="H477" s="26" t="str">
        <f t="shared" si="15"/>
        <v/>
      </c>
      <c r="I477" s="20" t="str">
        <f>IF($A477="","",'Item Balance'!$D476)</f>
        <v/>
      </c>
      <c r="J477" s="31" t="str">
        <f>IF($A477="","",'Item Balance'!$P476)</f>
        <v/>
      </c>
    </row>
    <row r="478" spans="1:10" x14ac:dyDescent="0.35">
      <c r="A478" s="18" t="str">
        <f>IF('Item Balance'!$A477="","",'Item Balance'!$A477)</f>
        <v/>
      </c>
      <c r="B478" s="18" t="str">
        <f>IF($A478="","",'Item Balance'!$B477)</f>
        <v/>
      </c>
      <c r="C478" s="19" t="str">
        <f>IF($A478="","",'Item Balance'!$C477)</f>
        <v/>
      </c>
      <c r="D478" s="23" t="str">
        <f>IF($A478="","",'Item Balance'!$I477)</f>
        <v/>
      </c>
      <c r="E478" s="23" t="str">
        <f>IF($A478="","",'Item Balance'!$F477)</f>
        <v/>
      </c>
      <c r="F478" s="26" t="str">
        <f t="shared" si="14"/>
        <v/>
      </c>
      <c r="G478" s="23" t="str">
        <f>IF($A478="","",'Item Balance'!$E477)</f>
        <v/>
      </c>
      <c r="H478" s="26" t="str">
        <f t="shared" si="15"/>
        <v/>
      </c>
      <c r="I478" s="20" t="str">
        <f>IF($A478="","",'Item Balance'!$D477)</f>
        <v/>
      </c>
      <c r="J478" s="31" t="str">
        <f>IF($A478="","",'Item Balance'!$P477)</f>
        <v/>
      </c>
    </row>
    <row r="479" spans="1:10" x14ac:dyDescent="0.35">
      <c r="A479" s="18" t="str">
        <f>IF('Item Balance'!$A478="","",'Item Balance'!$A478)</f>
        <v/>
      </c>
      <c r="B479" s="18" t="str">
        <f>IF($A479="","",'Item Balance'!$B478)</f>
        <v/>
      </c>
      <c r="C479" s="19" t="str">
        <f>IF($A479="","",'Item Balance'!$C478)</f>
        <v/>
      </c>
      <c r="D479" s="23" t="str">
        <f>IF($A479="","",'Item Balance'!$I478)</f>
        <v/>
      </c>
      <c r="E479" s="23" t="str">
        <f>IF($A479="","",'Item Balance'!$F478)</f>
        <v/>
      </c>
      <c r="F479" s="26" t="str">
        <f t="shared" si="14"/>
        <v/>
      </c>
      <c r="G479" s="23" t="str">
        <f>IF($A479="","",'Item Balance'!$E478)</f>
        <v/>
      </c>
      <c r="H479" s="26" t="str">
        <f t="shared" si="15"/>
        <v/>
      </c>
      <c r="I479" s="20" t="str">
        <f>IF($A479="","",'Item Balance'!$D478)</f>
        <v/>
      </c>
      <c r="J479" s="31" t="str">
        <f>IF($A479="","",'Item Balance'!$P478)</f>
        <v/>
      </c>
    </row>
    <row r="480" spans="1:10" x14ac:dyDescent="0.35">
      <c r="A480" s="18" t="str">
        <f>IF('Item Balance'!$A479="","",'Item Balance'!$A479)</f>
        <v/>
      </c>
      <c r="B480" s="18" t="str">
        <f>IF($A480="","",'Item Balance'!$B479)</f>
        <v/>
      </c>
      <c r="C480" s="19" t="str">
        <f>IF($A480="","",'Item Balance'!$C479)</f>
        <v/>
      </c>
      <c r="D480" s="23" t="str">
        <f>IF($A480="","",'Item Balance'!$I479)</f>
        <v/>
      </c>
      <c r="E480" s="23" t="str">
        <f>IF($A480="","",'Item Balance'!$F479)</f>
        <v/>
      </c>
      <c r="F480" s="26" t="str">
        <f t="shared" si="14"/>
        <v/>
      </c>
      <c r="G480" s="23" t="str">
        <f>IF($A480="","",'Item Balance'!$E479)</f>
        <v/>
      </c>
      <c r="H480" s="26" t="str">
        <f t="shared" si="15"/>
        <v/>
      </c>
      <c r="I480" s="20" t="str">
        <f>IF($A480="","",'Item Balance'!$D479)</f>
        <v/>
      </c>
      <c r="J480" s="31" t="str">
        <f>IF($A480="","",'Item Balance'!$P479)</f>
        <v/>
      </c>
    </row>
    <row r="481" spans="1:10" x14ac:dyDescent="0.35">
      <c r="A481" s="18" t="str">
        <f>IF('Item Balance'!$A480="","",'Item Balance'!$A480)</f>
        <v/>
      </c>
      <c r="B481" s="18" t="str">
        <f>IF($A481="","",'Item Balance'!$B480)</f>
        <v/>
      </c>
      <c r="C481" s="19" t="str">
        <f>IF($A481="","",'Item Balance'!$C480)</f>
        <v/>
      </c>
      <c r="D481" s="23" t="str">
        <f>IF($A481="","",'Item Balance'!$I480)</f>
        <v/>
      </c>
      <c r="E481" s="23" t="str">
        <f>IF($A481="","",'Item Balance'!$F480)</f>
        <v/>
      </c>
      <c r="F481" s="26" t="str">
        <f t="shared" si="14"/>
        <v/>
      </c>
      <c r="G481" s="23" t="str">
        <f>IF($A481="","",'Item Balance'!$E480)</f>
        <v/>
      </c>
      <c r="H481" s="26" t="str">
        <f t="shared" si="15"/>
        <v/>
      </c>
      <c r="I481" s="20" t="str">
        <f>IF($A481="","",'Item Balance'!$D480)</f>
        <v/>
      </c>
      <c r="J481" s="31" t="str">
        <f>IF($A481="","",'Item Balance'!$P480)</f>
        <v/>
      </c>
    </row>
    <row r="482" spans="1:10" x14ac:dyDescent="0.35">
      <c r="A482" s="18" t="str">
        <f>IF('Item Balance'!$A481="","",'Item Balance'!$A481)</f>
        <v/>
      </c>
      <c r="B482" s="18" t="str">
        <f>IF($A482="","",'Item Balance'!$B481)</f>
        <v/>
      </c>
      <c r="C482" s="19" t="str">
        <f>IF($A482="","",'Item Balance'!$C481)</f>
        <v/>
      </c>
      <c r="D482" s="23" t="str">
        <f>IF($A482="","",'Item Balance'!$I481)</f>
        <v/>
      </c>
      <c r="E482" s="23" t="str">
        <f>IF($A482="","",'Item Balance'!$F481)</f>
        <v/>
      </c>
      <c r="F482" s="26" t="str">
        <f t="shared" si="14"/>
        <v/>
      </c>
      <c r="G482" s="23" t="str">
        <f>IF($A482="","",'Item Balance'!$E481)</f>
        <v/>
      </c>
      <c r="H482" s="26" t="str">
        <f t="shared" si="15"/>
        <v/>
      </c>
      <c r="I482" s="20" t="str">
        <f>IF($A482="","",'Item Balance'!$D481)</f>
        <v/>
      </c>
      <c r="J482" s="31" t="str">
        <f>IF($A482="","",'Item Balance'!$P481)</f>
        <v/>
      </c>
    </row>
    <row r="483" spans="1:10" x14ac:dyDescent="0.35">
      <c r="A483" s="18" t="str">
        <f>IF('Item Balance'!$A482="","",'Item Balance'!$A482)</f>
        <v/>
      </c>
      <c r="B483" s="18" t="str">
        <f>IF($A483="","",'Item Balance'!$B482)</f>
        <v/>
      </c>
      <c r="C483" s="19" t="str">
        <f>IF($A483="","",'Item Balance'!$C482)</f>
        <v/>
      </c>
      <c r="D483" s="23" t="str">
        <f>IF($A483="","",'Item Balance'!$I482)</f>
        <v/>
      </c>
      <c r="E483" s="23" t="str">
        <f>IF($A483="","",'Item Balance'!$F482)</f>
        <v/>
      </c>
      <c r="F483" s="26" t="str">
        <f t="shared" si="14"/>
        <v/>
      </c>
      <c r="G483" s="23" t="str">
        <f>IF($A483="","",'Item Balance'!$E482)</f>
        <v/>
      </c>
      <c r="H483" s="26" t="str">
        <f t="shared" si="15"/>
        <v/>
      </c>
      <c r="I483" s="20" t="str">
        <f>IF($A483="","",'Item Balance'!$D482)</f>
        <v/>
      </c>
      <c r="J483" s="31" t="str">
        <f>IF($A483="","",'Item Balance'!$P482)</f>
        <v/>
      </c>
    </row>
    <row r="484" spans="1:10" x14ac:dyDescent="0.35">
      <c r="A484" s="18" t="str">
        <f>IF('Item Balance'!$A483="","",'Item Balance'!$A483)</f>
        <v/>
      </c>
      <c r="B484" s="18" t="str">
        <f>IF($A484="","",'Item Balance'!$B483)</f>
        <v/>
      </c>
      <c r="C484" s="19" t="str">
        <f>IF($A484="","",'Item Balance'!$C483)</f>
        <v/>
      </c>
      <c r="D484" s="23" t="str">
        <f>IF($A484="","",'Item Balance'!$I483)</f>
        <v/>
      </c>
      <c r="E484" s="23" t="str">
        <f>IF($A484="","",'Item Balance'!$F483)</f>
        <v/>
      </c>
      <c r="F484" s="26" t="str">
        <f t="shared" si="14"/>
        <v/>
      </c>
      <c r="G484" s="23" t="str">
        <f>IF($A484="","",'Item Balance'!$E483)</f>
        <v/>
      </c>
      <c r="H484" s="26" t="str">
        <f t="shared" si="15"/>
        <v/>
      </c>
      <c r="I484" s="20" t="str">
        <f>IF($A484="","",'Item Balance'!$D483)</f>
        <v/>
      </c>
      <c r="J484" s="31" t="str">
        <f>IF($A484="","",'Item Balance'!$P483)</f>
        <v/>
      </c>
    </row>
    <row r="485" spans="1:10" x14ac:dyDescent="0.35">
      <c r="A485" s="18" t="str">
        <f>IF('Item Balance'!$A484="","",'Item Balance'!$A484)</f>
        <v/>
      </c>
      <c r="B485" s="18" t="str">
        <f>IF($A485="","",'Item Balance'!$B484)</f>
        <v/>
      </c>
      <c r="C485" s="19" t="str">
        <f>IF($A485="","",'Item Balance'!$C484)</f>
        <v/>
      </c>
      <c r="D485" s="23" t="str">
        <f>IF($A485="","",'Item Balance'!$I484)</f>
        <v/>
      </c>
      <c r="E485" s="23" t="str">
        <f>IF($A485="","",'Item Balance'!$F484)</f>
        <v/>
      </c>
      <c r="F485" s="26" t="str">
        <f t="shared" si="14"/>
        <v/>
      </c>
      <c r="G485" s="23" t="str">
        <f>IF($A485="","",'Item Balance'!$E484)</f>
        <v/>
      </c>
      <c r="H485" s="26" t="str">
        <f t="shared" si="15"/>
        <v/>
      </c>
      <c r="I485" s="20" t="str">
        <f>IF($A485="","",'Item Balance'!$D484)</f>
        <v/>
      </c>
      <c r="J485" s="31" t="str">
        <f>IF($A485="","",'Item Balance'!$P484)</f>
        <v/>
      </c>
    </row>
    <row r="486" spans="1:10" x14ac:dyDescent="0.35">
      <c r="A486" s="18" t="str">
        <f>IF('Item Balance'!$A485="","",'Item Balance'!$A485)</f>
        <v/>
      </c>
      <c r="B486" s="18" t="str">
        <f>IF($A486="","",'Item Balance'!$B485)</f>
        <v/>
      </c>
      <c r="C486" s="19" t="str">
        <f>IF($A486="","",'Item Balance'!$C485)</f>
        <v/>
      </c>
      <c r="D486" s="23" t="str">
        <f>IF($A486="","",'Item Balance'!$I485)</f>
        <v/>
      </c>
      <c r="E486" s="23" t="str">
        <f>IF($A486="","",'Item Balance'!$F485)</f>
        <v/>
      </c>
      <c r="F486" s="26" t="str">
        <f t="shared" si="14"/>
        <v/>
      </c>
      <c r="G486" s="23" t="str">
        <f>IF($A486="","",'Item Balance'!$E485)</f>
        <v/>
      </c>
      <c r="H486" s="26" t="str">
        <f t="shared" si="15"/>
        <v/>
      </c>
      <c r="I486" s="20" t="str">
        <f>IF($A486="","",'Item Balance'!$D485)</f>
        <v/>
      </c>
      <c r="J486" s="31" t="str">
        <f>IF($A486="","",'Item Balance'!$P485)</f>
        <v/>
      </c>
    </row>
    <row r="487" spans="1:10" x14ac:dyDescent="0.35">
      <c r="A487" s="18" t="str">
        <f>IF('Item Balance'!$A486="","",'Item Balance'!$A486)</f>
        <v/>
      </c>
      <c r="B487" s="18" t="str">
        <f>IF($A487="","",'Item Balance'!$B486)</f>
        <v/>
      </c>
      <c r="C487" s="19" t="str">
        <f>IF($A487="","",'Item Balance'!$C486)</f>
        <v/>
      </c>
      <c r="D487" s="23" t="str">
        <f>IF($A487="","",'Item Balance'!$I486)</f>
        <v/>
      </c>
      <c r="E487" s="23" t="str">
        <f>IF($A487="","",'Item Balance'!$F486)</f>
        <v/>
      </c>
      <c r="F487" s="26" t="str">
        <f t="shared" si="14"/>
        <v/>
      </c>
      <c r="G487" s="23" t="str">
        <f>IF($A487="","",'Item Balance'!$E486)</f>
        <v/>
      </c>
      <c r="H487" s="26" t="str">
        <f t="shared" si="15"/>
        <v/>
      </c>
      <c r="I487" s="20" t="str">
        <f>IF($A487="","",'Item Balance'!$D486)</f>
        <v/>
      </c>
      <c r="J487" s="31" t="str">
        <f>IF($A487="","",'Item Balance'!$P486)</f>
        <v/>
      </c>
    </row>
    <row r="488" spans="1:10" x14ac:dyDescent="0.35">
      <c r="A488" s="18" t="str">
        <f>IF('Item Balance'!$A487="","",'Item Balance'!$A487)</f>
        <v/>
      </c>
      <c r="B488" s="18" t="str">
        <f>IF($A488="","",'Item Balance'!$B487)</f>
        <v/>
      </c>
      <c r="C488" s="19" t="str">
        <f>IF($A488="","",'Item Balance'!$C487)</f>
        <v/>
      </c>
      <c r="D488" s="23" t="str">
        <f>IF($A488="","",'Item Balance'!$I487)</f>
        <v/>
      </c>
      <c r="E488" s="23" t="str">
        <f>IF($A488="","",'Item Balance'!$F487)</f>
        <v/>
      </c>
      <c r="F488" s="26" t="str">
        <f t="shared" si="14"/>
        <v/>
      </c>
      <c r="G488" s="23" t="str">
        <f>IF($A488="","",'Item Balance'!$E487)</f>
        <v/>
      </c>
      <c r="H488" s="26" t="str">
        <f t="shared" si="15"/>
        <v/>
      </c>
      <c r="I488" s="20" t="str">
        <f>IF($A488="","",'Item Balance'!$D487)</f>
        <v/>
      </c>
      <c r="J488" s="31" t="str">
        <f>IF($A488="","",'Item Balance'!$P487)</f>
        <v/>
      </c>
    </row>
    <row r="489" spans="1:10" x14ac:dyDescent="0.35">
      <c r="A489" s="18" t="str">
        <f>IF('Item Balance'!$A488="","",'Item Balance'!$A488)</f>
        <v/>
      </c>
      <c r="B489" s="18" t="str">
        <f>IF($A489="","",'Item Balance'!$B488)</f>
        <v/>
      </c>
      <c r="C489" s="19" t="str">
        <f>IF($A489="","",'Item Balance'!$C488)</f>
        <v/>
      </c>
      <c r="D489" s="23" t="str">
        <f>IF($A489="","",'Item Balance'!$I488)</f>
        <v/>
      </c>
      <c r="E489" s="23" t="str">
        <f>IF($A489="","",'Item Balance'!$F488)</f>
        <v/>
      </c>
      <c r="F489" s="26" t="str">
        <f t="shared" si="14"/>
        <v/>
      </c>
      <c r="G489" s="23" t="str">
        <f>IF($A489="","",'Item Balance'!$E488)</f>
        <v/>
      </c>
      <c r="H489" s="26" t="str">
        <f t="shared" si="15"/>
        <v/>
      </c>
      <c r="I489" s="20" t="str">
        <f>IF($A489="","",'Item Balance'!$D488)</f>
        <v/>
      </c>
      <c r="J489" s="31" t="str">
        <f>IF($A489="","",'Item Balance'!$P488)</f>
        <v/>
      </c>
    </row>
    <row r="490" spans="1:10" x14ac:dyDescent="0.35">
      <c r="A490" s="18" t="str">
        <f>IF('Item Balance'!$A489="","",'Item Balance'!$A489)</f>
        <v/>
      </c>
      <c r="B490" s="18" t="str">
        <f>IF($A490="","",'Item Balance'!$B489)</f>
        <v/>
      </c>
      <c r="C490" s="19" t="str">
        <f>IF($A490="","",'Item Balance'!$C489)</f>
        <v/>
      </c>
      <c r="D490" s="23" t="str">
        <f>IF($A490="","",'Item Balance'!$I489)</f>
        <v/>
      </c>
      <c r="E490" s="23" t="str">
        <f>IF($A490="","",'Item Balance'!$F489)</f>
        <v/>
      </c>
      <c r="F490" s="26" t="str">
        <f t="shared" si="14"/>
        <v/>
      </c>
      <c r="G490" s="23" t="str">
        <f>IF($A490="","",'Item Balance'!$E489)</f>
        <v/>
      </c>
      <c r="H490" s="26" t="str">
        <f t="shared" si="15"/>
        <v/>
      </c>
      <c r="I490" s="20" t="str">
        <f>IF($A490="","",'Item Balance'!$D489)</f>
        <v/>
      </c>
      <c r="J490" s="31" t="str">
        <f>IF($A490="","",'Item Balance'!$P489)</f>
        <v/>
      </c>
    </row>
    <row r="491" spans="1:10" x14ac:dyDescent="0.35">
      <c r="A491" s="18" t="str">
        <f>IF('Item Balance'!$A490="","",'Item Balance'!$A490)</f>
        <v/>
      </c>
      <c r="B491" s="18" t="str">
        <f>IF($A491="","",'Item Balance'!$B490)</f>
        <v/>
      </c>
      <c r="C491" s="19" t="str">
        <f>IF($A491="","",'Item Balance'!$C490)</f>
        <v/>
      </c>
      <c r="D491" s="23" t="str">
        <f>IF($A491="","",'Item Balance'!$I490)</f>
        <v/>
      </c>
      <c r="E491" s="23" t="str">
        <f>IF($A491="","",'Item Balance'!$F490)</f>
        <v/>
      </c>
      <c r="F491" s="26" t="str">
        <f t="shared" si="14"/>
        <v/>
      </c>
      <c r="G491" s="23" t="str">
        <f>IF($A491="","",'Item Balance'!$E490)</f>
        <v/>
      </c>
      <c r="H491" s="26" t="str">
        <f t="shared" si="15"/>
        <v/>
      </c>
      <c r="I491" s="20" t="str">
        <f>IF($A491="","",'Item Balance'!$D490)</f>
        <v/>
      </c>
      <c r="J491" s="31" t="str">
        <f>IF($A491="","",'Item Balance'!$P490)</f>
        <v/>
      </c>
    </row>
    <row r="492" spans="1:10" x14ac:dyDescent="0.35">
      <c r="A492" s="18" t="str">
        <f>IF('Item Balance'!$A491="","",'Item Balance'!$A491)</f>
        <v/>
      </c>
      <c r="B492" s="18" t="str">
        <f>IF($A492="","",'Item Balance'!$B491)</f>
        <v/>
      </c>
      <c r="C492" s="19" t="str">
        <f>IF($A492="","",'Item Balance'!$C491)</f>
        <v/>
      </c>
      <c r="D492" s="23" t="str">
        <f>IF($A492="","",'Item Balance'!$I491)</f>
        <v/>
      </c>
      <c r="E492" s="23" t="str">
        <f>IF($A492="","",'Item Balance'!$F491)</f>
        <v/>
      </c>
      <c r="F492" s="26" t="str">
        <f t="shared" si="14"/>
        <v/>
      </c>
      <c r="G492" s="23" t="str">
        <f>IF($A492="","",'Item Balance'!$E491)</f>
        <v/>
      </c>
      <c r="H492" s="26" t="str">
        <f t="shared" si="15"/>
        <v/>
      </c>
      <c r="I492" s="20" t="str">
        <f>IF($A492="","",'Item Balance'!$D491)</f>
        <v/>
      </c>
      <c r="J492" s="31" t="str">
        <f>IF($A492="","",'Item Balance'!$P491)</f>
        <v/>
      </c>
    </row>
    <row r="493" spans="1:10" x14ac:dyDescent="0.35">
      <c r="A493" s="18" t="str">
        <f>IF('Item Balance'!$A492="","",'Item Balance'!$A492)</f>
        <v/>
      </c>
      <c r="B493" s="18" t="str">
        <f>IF($A493="","",'Item Balance'!$B492)</f>
        <v/>
      </c>
      <c r="C493" s="19" t="str">
        <f>IF($A493="","",'Item Balance'!$C492)</f>
        <v/>
      </c>
      <c r="D493" s="23" t="str">
        <f>IF($A493="","",'Item Balance'!$I492)</f>
        <v/>
      </c>
      <c r="E493" s="23" t="str">
        <f>IF($A493="","",'Item Balance'!$F492)</f>
        <v/>
      </c>
      <c r="F493" s="26" t="str">
        <f t="shared" si="14"/>
        <v/>
      </c>
      <c r="G493" s="23" t="str">
        <f>IF($A493="","",'Item Balance'!$E492)</f>
        <v/>
      </c>
      <c r="H493" s="26" t="str">
        <f t="shared" si="15"/>
        <v/>
      </c>
      <c r="I493" s="20" t="str">
        <f>IF($A493="","",'Item Balance'!$D492)</f>
        <v/>
      </c>
      <c r="J493" s="31" t="str">
        <f>IF($A493="","",'Item Balance'!$P492)</f>
        <v/>
      </c>
    </row>
    <row r="494" spans="1:10" x14ac:dyDescent="0.35">
      <c r="A494" s="18" t="str">
        <f>IF('Item Balance'!$A493="","",'Item Balance'!$A493)</f>
        <v/>
      </c>
      <c r="B494" s="18" t="str">
        <f>IF($A494="","",'Item Balance'!$B493)</f>
        <v/>
      </c>
      <c r="C494" s="19" t="str">
        <f>IF($A494="","",'Item Balance'!$C493)</f>
        <v/>
      </c>
      <c r="D494" s="23" t="str">
        <f>IF($A494="","",'Item Balance'!$I493)</f>
        <v/>
      </c>
      <c r="E494" s="23" t="str">
        <f>IF($A494="","",'Item Balance'!$F493)</f>
        <v/>
      </c>
      <c r="F494" s="26" t="str">
        <f t="shared" si="14"/>
        <v/>
      </c>
      <c r="G494" s="23" t="str">
        <f>IF($A494="","",'Item Balance'!$E493)</f>
        <v/>
      </c>
      <c r="H494" s="26" t="str">
        <f t="shared" si="15"/>
        <v/>
      </c>
      <c r="I494" s="20" t="str">
        <f>IF($A494="","",'Item Balance'!$D493)</f>
        <v/>
      </c>
      <c r="J494" s="31" t="str">
        <f>IF($A494="","",'Item Balance'!$P493)</f>
        <v/>
      </c>
    </row>
    <row r="495" spans="1:10" x14ac:dyDescent="0.35">
      <c r="A495" s="18" t="str">
        <f>IF('Item Balance'!$A494="","",'Item Balance'!$A494)</f>
        <v/>
      </c>
      <c r="B495" s="18" t="str">
        <f>IF($A495="","",'Item Balance'!$B494)</f>
        <v/>
      </c>
      <c r="C495" s="19" t="str">
        <f>IF($A495="","",'Item Balance'!$C494)</f>
        <v/>
      </c>
      <c r="D495" s="23" t="str">
        <f>IF($A495="","",'Item Balance'!$I494)</f>
        <v/>
      </c>
      <c r="E495" s="23" t="str">
        <f>IF($A495="","",'Item Balance'!$F494)</f>
        <v/>
      </c>
      <c r="F495" s="26" t="str">
        <f t="shared" si="14"/>
        <v/>
      </c>
      <c r="G495" s="23" t="str">
        <f>IF($A495="","",'Item Balance'!$E494)</f>
        <v/>
      </c>
      <c r="H495" s="26" t="str">
        <f t="shared" si="15"/>
        <v/>
      </c>
      <c r="I495" s="20" t="str">
        <f>IF($A495="","",'Item Balance'!$D494)</f>
        <v/>
      </c>
      <c r="J495" s="31" t="str">
        <f>IF($A495="","",'Item Balance'!$P494)</f>
        <v/>
      </c>
    </row>
    <row r="496" spans="1:10" x14ac:dyDescent="0.35">
      <c r="A496" s="18" t="str">
        <f>IF('Item Balance'!$A495="","",'Item Balance'!$A495)</f>
        <v/>
      </c>
      <c r="B496" s="18" t="str">
        <f>IF($A496="","",'Item Balance'!$B495)</f>
        <v/>
      </c>
      <c r="C496" s="19" t="str">
        <f>IF($A496="","",'Item Balance'!$C495)</f>
        <v/>
      </c>
      <c r="D496" s="23" t="str">
        <f>IF($A496="","",'Item Balance'!$I495)</f>
        <v/>
      </c>
      <c r="E496" s="23" t="str">
        <f>IF($A496="","",'Item Balance'!$F495)</f>
        <v/>
      </c>
      <c r="F496" s="26" t="str">
        <f t="shared" si="14"/>
        <v/>
      </c>
      <c r="G496" s="23" t="str">
        <f>IF($A496="","",'Item Balance'!$E495)</f>
        <v/>
      </c>
      <c r="H496" s="26" t="str">
        <f t="shared" si="15"/>
        <v/>
      </c>
      <c r="I496" s="20" t="str">
        <f>IF($A496="","",'Item Balance'!$D495)</f>
        <v/>
      </c>
      <c r="J496" s="31" t="str">
        <f>IF($A496="","",'Item Balance'!$P495)</f>
        <v/>
      </c>
    </row>
    <row r="497" spans="1:10" x14ac:dyDescent="0.35">
      <c r="A497" s="18" t="str">
        <f>IF('Item Balance'!$A496="","",'Item Balance'!$A496)</f>
        <v/>
      </c>
      <c r="B497" s="18" t="str">
        <f>IF($A497="","",'Item Balance'!$B496)</f>
        <v/>
      </c>
      <c r="C497" s="19" t="str">
        <f>IF($A497="","",'Item Balance'!$C496)</f>
        <v/>
      </c>
      <c r="D497" s="23" t="str">
        <f>IF($A497="","",'Item Balance'!$I496)</f>
        <v/>
      </c>
      <c r="E497" s="23" t="str">
        <f>IF($A497="","",'Item Balance'!$F496)</f>
        <v/>
      </c>
      <c r="F497" s="26" t="str">
        <f t="shared" si="14"/>
        <v/>
      </c>
      <c r="G497" s="23" t="str">
        <f>IF($A497="","",'Item Balance'!$E496)</f>
        <v/>
      </c>
      <c r="H497" s="26" t="str">
        <f t="shared" si="15"/>
        <v/>
      </c>
      <c r="I497" s="20" t="str">
        <f>IF($A497="","",'Item Balance'!$D496)</f>
        <v/>
      </c>
      <c r="J497" s="31" t="str">
        <f>IF($A497="","",'Item Balance'!$P496)</f>
        <v/>
      </c>
    </row>
    <row r="498" spans="1:10" x14ac:dyDescent="0.35">
      <c r="A498" s="18" t="str">
        <f>IF('Item Balance'!$A497="","",'Item Balance'!$A497)</f>
        <v/>
      </c>
      <c r="B498" s="18" t="str">
        <f>IF($A498="","",'Item Balance'!$B497)</f>
        <v/>
      </c>
      <c r="C498" s="19" t="str">
        <f>IF($A498="","",'Item Balance'!$C497)</f>
        <v/>
      </c>
      <c r="D498" s="23" t="str">
        <f>IF($A498="","",'Item Balance'!$I497)</f>
        <v/>
      </c>
      <c r="E498" s="23" t="str">
        <f>IF($A498="","",'Item Balance'!$F497)</f>
        <v/>
      </c>
      <c r="F498" s="26" t="str">
        <f t="shared" si="14"/>
        <v/>
      </c>
      <c r="G498" s="23" t="str">
        <f>IF($A498="","",'Item Balance'!$E497)</f>
        <v/>
      </c>
      <c r="H498" s="26" t="str">
        <f t="shared" si="15"/>
        <v/>
      </c>
      <c r="I498" s="20" t="str">
        <f>IF($A498="","",'Item Balance'!$D497)</f>
        <v/>
      </c>
      <c r="J498" s="31" t="str">
        <f>IF($A498="","",'Item Balance'!$P497)</f>
        <v/>
      </c>
    </row>
    <row r="499" spans="1:10" x14ac:dyDescent="0.35">
      <c r="A499" s="18" t="str">
        <f>IF('Item Balance'!$A498="","",'Item Balance'!$A498)</f>
        <v/>
      </c>
      <c r="B499" s="18" t="str">
        <f>IF($A499="","",'Item Balance'!$B498)</f>
        <v/>
      </c>
      <c r="C499" s="19" t="str">
        <f>IF($A499="","",'Item Balance'!$C498)</f>
        <v/>
      </c>
      <c r="D499" s="23" t="str">
        <f>IF($A499="","",'Item Balance'!$I498)</f>
        <v/>
      </c>
      <c r="E499" s="23" t="str">
        <f>IF($A499="","",'Item Balance'!$F498)</f>
        <v/>
      </c>
      <c r="F499" s="26" t="str">
        <f t="shared" si="14"/>
        <v/>
      </c>
      <c r="G499" s="23" t="str">
        <f>IF($A499="","",'Item Balance'!$E498)</f>
        <v/>
      </c>
      <c r="H499" s="26" t="str">
        <f t="shared" si="15"/>
        <v/>
      </c>
      <c r="I499" s="20" t="str">
        <f>IF($A499="","",'Item Balance'!$D498)</f>
        <v/>
      </c>
      <c r="J499" s="31" t="str">
        <f>IF($A499="","",'Item Balance'!$P498)</f>
        <v/>
      </c>
    </row>
    <row r="500" spans="1:10" x14ac:dyDescent="0.35">
      <c r="A500" s="18" t="str">
        <f>IF('Item Balance'!$A499="","",'Item Balance'!$A499)</f>
        <v/>
      </c>
      <c r="B500" s="18" t="str">
        <f>IF($A500="","",'Item Balance'!$B499)</f>
        <v/>
      </c>
      <c r="C500" s="19" t="str">
        <f>IF($A500="","",'Item Balance'!$C499)</f>
        <v/>
      </c>
      <c r="D500" s="23" t="str">
        <f>IF($A500="","",'Item Balance'!$I499)</f>
        <v/>
      </c>
      <c r="E500" s="23" t="str">
        <f>IF($A500="","",'Item Balance'!$F499)</f>
        <v/>
      </c>
      <c r="F500" s="26" t="str">
        <f t="shared" si="14"/>
        <v/>
      </c>
      <c r="G500" s="23" t="str">
        <f>IF($A500="","",'Item Balance'!$E499)</f>
        <v/>
      </c>
      <c r="H500" s="26" t="str">
        <f t="shared" si="15"/>
        <v/>
      </c>
      <c r="I500" s="20" t="str">
        <f>IF($A500="","",'Item Balance'!$D499)</f>
        <v/>
      </c>
      <c r="J500" s="31" t="str">
        <f>IF($A500="","",'Item Balance'!$P499)</f>
        <v/>
      </c>
    </row>
    <row r="501" spans="1:10" x14ac:dyDescent="0.35">
      <c r="A501" s="18" t="str">
        <f>IF('Item Balance'!$A500="","",'Item Balance'!$A500)</f>
        <v/>
      </c>
      <c r="B501" s="18" t="str">
        <f>IF($A501="","",'Item Balance'!$B500)</f>
        <v/>
      </c>
      <c r="C501" s="19" t="str">
        <f>IF($A501="","",'Item Balance'!$C500)</f>
        <v/>
      </c>
      <c r="D501" s="23" t="str">
        <f>IF($A501="","",'Item Balance'!$I500)</f>
        <v/>
      </c>
      <c r="E501" s="23" t="str">
        <f>IF($A501="","",'Item Balance'!$F500)</f>
        <v/>
      </c>
      <c r="F501" s="26" t="str">
        <f t="shared" si="14"/>
        <v/>
      </c>
      <c r="G501" s="23" t="str">
        <f>IF($A501="","",'Item Balance'!$E500)</f>
        <v/>
      </c>
      <c r="H501" s="26" t="str">
        <f t="shared" si="15"/>
        <v/>
      </c>
      <c r="I501" s="20" t="str">
        <f>IF($A501="","",'Item Balance'!$D500)</f>
        <v/>
      </c>
      <c r="J501" s="31" t="str">
        <f>IF($A501="","",'Item Balance'!$P500)</f>
        <v/>
      </c>
    </row>
    <row r="502" spans="1:10" x14ac:dyDescent="0.35">
      <c r="A502" s="18" t="str">
        <f>IF('Item Balance'!$A501="","",'Item Balance'!$A501)</f>
        <v/>
      </c>
      <c r="B502" s="18" t="str">
        <f>IF($A502="","",'Item Balance'!$B501)</f>
        <v/>
      </c>
      <c r="C502" s="19" t="str">
        <f>IF($A502="","",'Item Balance'!$C501)</f>
        <v/>
      </c>
      <c r="D502" s="23" t="str">
        <f>IF($A502="","",'Item Balance'!$I501)</f>
        <v/>
      </c>
      <c r="E502" s="23" t="str">
        <f>IF($A502="","",'Item Balance'!$F501)</f>
        <v/>
      </c>
      <c r="F502" s="26" t="str">
        <f t="shared" si="14"/>
        <v/>
      </c>
      <c r="G502" s="23" t="str">
        <f>IF($A502="","",'Item Balance'!$E501)</f>
        <v/>
      </c>
      <c r="H502" s="26" t="str">
        <f t="shared" si="15"/>
        <v/>
      </c>
      <c r="I502" s="20" t="str">
        <f>IF($A502="","",'Item Balance'!$D501)</f>
        <v/>
      </c>
      <c r="J502" s="31" t="str">
        <f>IF($A502="","",'Item Balance'!$P501)</f>
        <v/>
      </c>
    </row>
    <row r="503" spans="1:10" x14ac:dyDescent="0.35">
      <c r="A503" s="18" t="str">
        <f>IF('Item Balance'!$A502="","",'Item Balance'!$A502)</f>
        <v/>
      </c>
      <c r="B503" s="18" t="str">
        <f>IF($A503="","",'Item Balance'!$B502)</f>
        <v/>
      </c>
      <c r="C503" s="19" t="str">
        <f>IF($A503="","",'Item Balance'!$C502)</f>
        <v/>
      </c>
      <c r="D503" s="23" t="str">
        <f>IF($A503="","",'Item Balance'!$I502)</f>
        <v/>
      </c>
      <c r="E503" s="23" t="str">
        <f>IF($A503="","",'Item Balance'!$F502)</f>
        <v/>
      </c>
      <c r="F503" s="26" t="str">
        <f t="shared" si="14"/>
        <v/>
      </c>
      <c r="G503" s="23" t="str">
        <f>IF($A503="","",'Item Balance'!$E502)</f>
        <v/>
      </c>
      <c r="H503" s="26" t="str">
        <f t="shared" si="15"/>
        <v/>
      </c>
      <c r="I503" s="20" t="str">
        <f>IF($A503="","",'Item Balance'!$D502)</f>
        <v/>
      </c>
      <c r="J503" s="31" t="str">
        <f>IF($A503="","",'Item Balance'!$P502)</f>
        <v/>
      </c>
    </row>
    <row r="504" spans="1:10" x14ac:dyDescent="0.35">
      <c r="A504" s="18" t="str">
        <f>IF('Item Balance'!$A503="","",'Item Balance'!$A503)</f>
        <v/>
      </c>
      <c r="B504" s="18" t="str">
        <f>IF($A504="","",'Item Balance'!$B503)</f>
        <v/>
      </c>
      <c r="C504" s="19" t="str">
        <f>IF($A504="","",'Item Balance'!$C503)</f>
        <v/>
      </c>
      <c r="D504" s="23" t="str">
        <f>IF($A504="","",'Item Balance'!$I503)</f>
        <v/>
      </c>
      <c r="E504" s="23" t="str">
        <f>IF($A504="","",'Item Balance'!$F503)</f>
        <v/>
      </c>
      <c r="F504" s="26" t="str">
        <f t="shared" si="14"/>
        <v/>
      </c>
      <c r="G504" s="23" t="str">
        <f>IF($A504="","",'Item Balance'!$E503)</f>
        <v/>
      </c>
      <c r="H504" s="26" t="str">
        <f t="shared" si="15"/>
        <v/>
      </c>
      <c r="I504" s="20" t="str">
        <f>IF($A504="","",'Item Balance'!$D503)</f>
        <v/>
      </c>
      <c r="J504" s="31" t="str">
        <f>IF($A504="","",'Item Balance'!$P503)</f>
        <v/>
      </c>
    </row>
    <row r="505" spans="1:10" x14ac:dyDescent="0.35">
      <c r="A505" s="18" t="str">
        <f>IF('Item Balance'!$A504="","",'Item Balance'!$A504)</f>
        <v/>
      </c>
      <c r="B505" s="18" t="str">
        <f>IF($A505="","",'Item Balance'!$B504)</f>
        <v/>
      </c>
      <c r="C505" s="19" t="str">
        <f>IF($A505="","",'Item Balance'!$C504)</f>
        <v/>
      </c>
      <c r="D505" s="23" t="str">
        <f>IF($A505="","",'Item Balance'!$I504)</f>
        <v/>
      </c>
      <c r="E505" s="23" t="str">
        <f>IF($A505="","",'Item Balance'!$F504)</f>
        <v/>
      </c>
      <c r="F505" s="26" t="str">
        <f t="shared" si="14"/>
        <v/>
      </c>
      <c r="G505" s="23" t="str">
        <f>IF($A505="","",'Item Balance'!$E504)</f>
        <v/>
      </c>
      <c r="H505" s="26" t="str">
        <f t="shared" si="15"/>
        <v/>
      </c>
      <c r="I505" s="20" t="str">
        <f>IF($A505="","",'Item Balance'!$D504)</f>
        <v/>
      </c>
      <c r="J505" s="31" t="str">
        <f>IF($A505="","",'Item Balance'!$P504)</f>
        <v/>
      </c>
    </row>
    <row r="506" spans="1:10" x14ac:dyDescent="0.35">
      <c r="A506" s="18" t="str">
        <f>IF('Item Balance'!$A505="","",'Item Balance'!$A505)</f>
        <v/>
      </c>
      <c r="B506" s="18" t="str">
        <f>IF($A506="","",'Item Balance'!$B505)</f>
        <v/>
      </c>
      <c r="C506" s="19" t="str">
        <f>IF($A506="","",'Item Balance'!$C505)</f>
        <v/>
      </c>
      <c r="D506" s="23" t="str">
        <f>IF($A506="","",'Item Balance'!$I505)</f>
        <v/>
      </c>
      <c r="E506" s="23" t="str">
        <f>IF($A506="","",'Item Balance'!$F505)</f>
        <v/>
      </c>
      <c r="F506" s="26" t="str">
        <f t="shared" si="14"/>
        <v/>
      </c>
      <c r="G506" s="23" t="str">
        <f>IF($A506="","",'Item Balance'!$E505)</f>
        <v/>
      </c>
      <c r="H506" s="26" t="str">
        <f t="shared" si="15"/>
        <v/>
      </c>
      <c r="I506" s="20" t="str">
        <f>IF($A506="","",'Item Balance'!$D505)</f>
        <v/>
      </c>
      <c r="J506" s="31" t="str">
        <f>IF($A506="","",'Item Balance'!$P505)</f>
        <v/>
      </c>
    </row>
    <row r="507" spans="1:10" x14ac:dyDescent="0.35">
      <c r="A507" s="18" t="str">
        <f>IF('Item Balance'!$A506="","",'Item Balance'!$A506)</f>
        <v/>
      </c>
      <c r="B507" s="18" t="str">
        <f>IF($A507="","",'Item Balance'!$B506)</f>
        <v/>
      </c>
      <c r="C507" s="19" t="str">
        <f>IF($A507="","",'Item Balance'!$C506)</f>
        <v/>
      </c>
      <c r="D507" s="23" t="str">
        <f>IF($A507="","",'Item Balance'!$I506)</f>
        <v/>
      </c>
      <c r="E507" s="23" t="str">
        <f>IF($A507="","",'Item Balance'!$F506)</f>
        <v/>
      </c>
      <c r="F507" s="26" t="str">
        <f t="shared" si="14"/>
        <v/>
      </c>
      <c r="G507" s="23" t="str">
        <f>IF($A507="","",'Item Balance'!$E506)</f>
        <v/>
      </c>
      <c r="H507" s="26" t="str">
        <f t="shared" si="15"/>
        <v/>
      </c>
      <c r="I507" s="20" t="str">
        <f>IF($A507="","",'Item Balance'!$D506)</f>
        <v/>
      </c>
      <c r="J507" s="31" t="str">
        <f>IF($A507="","",'Item Balance'!$P506)</f>
        <v/>
      </c>
    </row>
    <row r="508" spans="1:10" x14ac:dyDescent="0.35">
      <c r="A508" s="18" t="str">
        <f>IF('Item Balance'!$A507="","",'Item Balance'!$A507)</f>
        <v/>
      </c>
      <c r="B508" s="18" t="str">
        <f>IF($A508="","",'Item Balance'!$B507)</f>
        <v/>
      </c>
      <c r="C508" s="19" t="str">
        <f>IF($A508="","",'Item Balance'!$C507)</f>
        <v/>
      </c>
      <c r="D508" s="23" t="str">
        <f>IF($A508="","",'Item Balance'!$I507)</f>
        <v/>
      </c>
      <c r="E508" s="23" t="str">
        <f>IF($A508="","",'Item Balance'!$F507)</f>
        <v/>
      </c>
      <c r="F508" s="26" t="str">
        <f t="shared" si="14"/>
        <v/>
      </c>
      <c r="G508" s="23" t="str">
        <f>IF($A508="","",'Item Balance'!$E507)</f>
        <v/>
      </c>
      <c r="H508" s="26" t="str">
        <f t="shared" si="15"/>
        <v/>
      </c>
      <c r="I508" s="20" t="str">
        <f>IF($A508="","",'Item Balance'!$D507)</f>
        <v/>
      </c>
      <c r="J508" s="31" t="str">
        <f>IF($A508="","",'Item Balance'!$P507)</f>
        <v/>
      </c>
    </row>
    <row r="509" spans="1:10" x14ac:dyDescent="0.35">
      <c r="A509" s="18" t="str">
        <f>IF('Item Balance'!$A508="","",'Item Balance'!$A508)</f>
        <v/>
      </c>
      <c r="B509" s="18" t="str">
        <f>IF($A509="","",'Item Balance'!$B508)</f>
        <v/>
      </c>
      <c r="C509" s="19" t="str">
        <f>IF($A509="","",'Item Balance'!$C508)</f>
        <v/>
      </c>
      <c r="D509" s="23" t="str">
        <f>IF($A509="","",'Item Balance'!$I508)</f>
        <v/>
      </c>
      <c r="E509" s="23" t="str">
        <f>IF($A509="","",'Item Balance'!$F508)</f>
        <v/>
      </c>
      <c r="F509" s="26" t="str">
        <f t="shared" si="14"/>
        <v/>
      </c>
      <c r="G509" s="23" t="str">
        <f>IF($A509="","",'Item Balance'!$E508)</f>
        <v/>
      </c>
      <c r="H509" s="26" t="str">
        <f t="shared" si="15"/>
        <v/>
      </c>
      <c r="I509" s="20" t="str">
        <f>IF($A509="","",'Item Balance'!$D508)</f>
        <v/>
      </c>
      <c r="J509" s="31" t="str">
        <f>IF($A509="","",'Item Balance'!$P508)</f>
        <v/>
      </c>
    </row>
    <row r="510" spans="1:10" x14ac:dyDescent="0.35">
      <c r="A510" s="18" t="str">
        <f>IF('Item Balance'!$A509="","",'Item Balance'!$A509)</f>
        <v/>
      </c>
      <c r="B510" s="18" t="str">
        <f>IF($A510="","",'Item Balance'!$B509)</f>
        <v/>
      </c>
      <c r="C510" s="19" t="str">
        <f>IF($A510="","",'Item Balance'!$C509)</f>
        <v/>
      </c>
      <c r="D510" s="23" t="str">
        <f>IF($A510="","",'Item Balance'!$I509)</f>
        <v/>
      </c>
      <c r="E510" s="23" t="str">
        <f>IF($A510="","",'Item Balance'!$F509)</f>
        <v/>
      </c>
      <c r="F510" s="26" t="str">
        <f t="shared" si="14"/>
        <v/>
      </c>
      <c r="G510" s="23" t="str">
        <f>IF($A510="","",'Item Balance'!$E509)</f>
        <v/>
      </c>
      <c r="H510" s="26" t="str">
        <f t="shared" si="15"/>
        <v/>
      </c>
      <c r="I510" s="20" t="str">
        <f>IF($A510="","",'Item Balance'!$D509)</f>
        <v/>
      </c>
      <c r="J510" s="31" t="str">
        <f>IF($A510="","",'Item Balance'!$P509)</f>
        <v/>
      </c>
    </row>
    <row r="511" spans="1:10" x14ac:dyDescent="0.35">
      <c r="A511" s="18" t="str">
        <f>IF('Item Balance'!$A510="","",'Item Balance'!$A510)</f>
        <v/>
      </c>
      <c r="B511" s="18" t="str">
        <f>IF($A511="","",'Item Balance'!$B510)</f>
        <v/>
      </c>
      <c r="C511" s="19" t="str">
        <f>IF($A511="","",'Item Balance'!$C510)</f>
        <v/>
      </c>
      <c r="D511" s="23" t="str">
        <f>IF($A511="","",'Item Balance'!$I510)</f>
        <v/>
      </c>
      <c r="E511" s="23" t="str">
        <f>IF($A511="","",'Item Balance'!$F510)</f>
        <v/>
      </c>
      <c r="F511" s="26" t="str">
        <f t="shared" si="14"/>
        <v/>
      </c>
      <c r="G511" s="23" t="str">
        <f>IF($A511="","",'Item Balance'!$E510)</f>
        <v/>
      </c>
      <c r="H511" s="26" t="str">
        <f t="shared" si="15"/>
        <v/>
      </c>
      <c r="I511" s="20" t="str">
        <f>IF($A511="","",'Item Balance'!$D510)</f>
        <v/>
      </c>
      <c r="J511" s="31" t="str">
        <f>IF($A511="","",'Item Balance'!$P510)</f>
        <v/>
      </c>
    </row>
    <row r="512" spans="1:10" x14ac:dyDescent="0.35">
      <c r="A512" s="18" t="str">
        <f>IF('Item Balance'!$A511="","",'Item Balance'!$A511)</f>
        <v/>
      </c>
      <c r="B512" s="18" t="str">
        <f>IF($A512="","",'Item Balance'!$B511)</f>
        <v/>
      </c>
      <c r="C512" s="19" t="str">
        <f>IF($A512="","",'Item Balance'!$C511)</f>
        <v/>
      </c>
      <c r="D512" s="23" t="str">
        <f>IF($A512="","",'Item Balance'!$I511)</f>
        <v/>
      </c>
      <c r="E512" s="23" t="str">
        <f>IF($A512="","",'Item Balance'!$F511)</f>
        <v/>
      </c>
      <c r="F512" s="26" t="str">
        <f t="shared" si="14"/>
        <v/>
      </c>
      <c r="G512" s="23" t="str">
        <f>IF($A512="","",'Item Balance'!$E511)</f>
        <v/>
      </c>
      <c r="H512" s="26" t="str">
        <f t="shared" si="15"/>
        <v/>
      </c>
      <c r="I512" s="20" t="str">
        <f>IF($A512="","",'Item Balance'!$D511)</f>
        <v/>
      </c>
      <c r="J512" s="31" t="str">
        <f>IF($A512="","",'Item Balance'!$P511)</f>
        <v/>
      </c>
    </row>
    <row r="513" spans="1:10" x14ac:dyDescent="0.35">
      <c r="A513" s="18" t="str">
        <f>IF('Item Balance'!$A512="","",'Item Balance'!$A512)</f>
        <v/>
      </c>
      <c r="B513" s="18" t="str">
        <f>IF($A513="","",'Item Balance'!$B512)</f>
        <v/>
      </c>
      <c r="C513" s="19" t="str">
        <f>IF($A513="","",'Item Balance'!$C512)</f>
        <v/>
      </c>
      <c r="D513" s="23" t="str">
        <f>IF($A513="","",'Item Balance'!$I512)</f>
        <v/>
      </c>
      <c r="E513" s="23" t="str">
        <f>IF($A513="","",'Item Balance'!$F512)</f>
        <v/>
      </c>
      <c r="F513" s="26" t="str">
        <f t="shared" si="14"/>
        <v/>
      </c>
      <c r="G513" s="23" t="str">
        <f>IF($A513="","",'Item Balance'!$E512)</f>
        <v/>
      </c>
      <c r="H513" s="26" t="str">
        <f t="shared" si="15"/>
        <v/>
      </c>
      <c r="I513" s="20" t="str">
        <f>IF($A513="","",'Item Balance'!$D512)</f>
        <v/>
      </c>
      <c r="J513" s="31" t="str">
        <f>IF($A513="","",'Item Balance'!$P512)</f>
        <v/>
      </c>
    </row>
    <row r="514" spans="1:10" x14ac:dyDescent="0.35">
      <c r="A514" s="18" t="str">
        <f>IF('Item Balance'!$A513="","",'Item Balance'!$A513)</f>
        <v/>
      </c>
      <c r="B514" s="18" t="str">
        <f>IF($A514="","",'Item Balance'!$B513)</f>
        <v/>
      </c>
      <c r="C514" s="19" t="str">
        <f>IF($A514="","",'Item Balance'!$C513)</f>
        <v/>
      </c>
      <c r="D514" s="23" t="str">
        <f>IF($A514="","",'Item Balance'!$I513)</f>
        <v/>
      </c>
      <c r="E514" s="23" t="str">
        <f>IF($A514="","",'Item Balance'!$F513)</f>
        <v/>
      </c>
      <c r="F514" s="26" t="str">
        <f t="shared" si="14"/>
        <v/>
      </c>
      <c r="G514" s="23" t="str">
        <f>IF($A514="","",'Item Balance'!$E513)</f>
        <v/>
      </c>
      <c r="H514" s="26" t="str">
        <f t="shared" si="15"/>
        <v/>
      </c>
      <c r="I514" s="20" t="str">
        <f>IF($A514="","",'Item Balance'!$D513)</f>
        <v/>
      </c>
      <c r="J514" s="31" t="str">
        <f>IF($A514="","",'Item Balance'!$P513)</f>
        <v/>
      </c>
    </row>
    <row r="515" spans="1:10" x14ac:dyDescent="0.35">
      <c r="A515" s="18" t="str">
        <f>IF('Item Balance'!$A514="","",'Item Balance'!$A514)</f>
        <v/>
      </c>
      <c r="B515" s="18" t="str">
        <f>IF($A515="","",'Item Balance'!$B514)</f>
        <v/>
      </c>
      <c r="C515" s="19" t="str">
        <f>IF($A515="","",'Item Balance'!$C514)</f>
        <v/>
      </c>
      <c r="D515" s="23" t="str">
        <f>IF($A515="","",'Item Balance'!$I514)</f>
        <v/>
      </c>
      <c r="E515" s="23" t="str">
        <f>IF($A515="","",'Item Balance'!$F514)</f>
        <v/>
      </c>
      <c r="F515" s="26" t="str">
        <f t="shared" si="14"/>
        <v/>
      </c>
      <c r="G515" s="23" t="str">
        <f>IF($A515="","",'Item Balance'!$E514)</f>
        <v/>
      </c>
      <c r="H515" s="26" t="str">
        <f t="shared" si="15"/>
        <v/>
      </c>
      <c r="I515" s="20" t="str">
        <f>IF($A515="","",'Item Balance'!$D514)</f>
        <v/>
      </c>
      <c r="J515" s="31" t="str">
        <f>IF($A515="","",'Item Balance'!$P514)</f>
        <v/>
      </c>
    </row>
    <row r="516" spans="1:10" x14ac:dyDescent="0.35">
      <c r="A516" s="18" t="str">
        <f>IF('Item Balance'!$A515="","",'Item Balance'!$A515)</f>
        <v/>
      </c>
      <c r="B516" s="18" t="str">
        <f>IF($A516="","",'Item Balance'!$B515)</f>
        <v/>
      </c>
      <c r="C516" s="19" t="str">
        <f>IF($A516="","",'Item Balance'!$C515)</f>
        <v/>
      </c>
      <c r="D516" s="23" t="str">
        <f>IF($A516="","",'Item Balance'!$I515)</f>
        <v/>
      </c>
      <c r="E516" s="23" t="str">
        <f>IF($A516="","",'Item Balance'!$F515)</f>
        <v/>
      </c>
      <c r="F516" s="26" t="str">
        <f t="shared" si="14"/>
        <v/>
      </c>
      <c r="G516" s="23" t="str">
        <f>IF($A516="","",'Item Balance'!$E515)</f>
        <v/>
      </c>
      <c r="H516" s="26" t="str">
        <f t="shared" si="15"/>
        <v/>
      </c>
      <c r="I516" s="20" t="str">
        <f>IF($A516="","",'Item Balance'!$D515)</f>
        <v/>
      </c>
      <c r="J516" s="31" t="str">
        <f>IF($A516="","",'Item Balance'!$P515)</f>
        <v/>
      </c>
    </row>
    <row r="517" spans="1:10" x14ac:dyDescent="0.35">
      <c r="A517" s="18" t="str">
        <f>IF('Item Balance'!$A516="","",'Item Balance'!$A516)</f>
        <v/>
      </c>
      <c r="B517" s="18" t="str">
        <f>IF($A517="","",'Item Balance'!$B516)</f>
        <v/>
      </c>
      <c r="C517" s="19" t="str">
        <f>IF($A517="","",'Item Balance'!$C516)</f>
        <v/>
      </c>
      <c r="D517" s="23" t="str">
        <f>IF($A517="","",'Item Balance'!$I516)</f>
        <v/>
      </c>
      <c r="E517" s="23" t="str">
        <f>IF($A517="","",'Item Balance'!$F516)</f>
        <v/>
      </c>
      <c r="F517" s="26" t="str">
        <f t="shared" si="14"/>
        <v/>
      </c>
      <c r="G517" s="23" t="str">
        <f>IF($A517="","",'Item Balance'!$E516)</f>
        <v/>
      </c>
      <c r="H517" s="26" t="str">
        <f t="shared" si="15"/>
        <v/>
      </c>
      <c r="I517" s="20" t="str">
        <f>IF($A517="","",'Item Balance'!$D516)</f>
        <v/>
      </c>
      <c r="J517" s="31" t="str">
        <f>IF($A517="","",'Item Balance'!$P516)</f>
        <v/>
      </c>
    </row>
    <row r="518" spans="1:10" x14ac:dyDescent="0.35">
      <c r="A518" s="18" t="str">
        <f>IF('Item Balance'!$A517="","",'Item Balance'!$A517)</f>
        <v/>
      </c>
      <c r="B518" s="18" t="str">
        <f>IF($A518="","",'Item Balance'!$B517)</f>
        <v/>
      </c>
      <c r="C518" s="19" t="str">
        <f>IF($A518="","",'Item Balance'!$C517)</f>
        <v/>
      </c>
      <c r="D518" s="23" t="str">
        <f>IF($A518="","",'Item Balance'!$I517)</f>
        <v/>
      </c>
      <c r="E518" s="23" t="str">
        <f>IF($A518="","",'Item Balance'!$F517)</f>
        <v/>
      </c>
      <c r="F518" s="26" t="str">
        <f t="shared" ref="F518:F581" si="16">IF(OR($A518="",NOT(ISNUMBER($E518)),NOT(ISNUMBER($D518))),"",MAX(0,$E518-$D518))</f>
        <v/>
      </c>
      <c r="G518" s="23" t="str">
        <f>IF($A518="","",'Item Balance'!$E517)</f>
        <v/>
      </c>
      <c r="H518" s="26" t="str">
        <f t="shared" ref="H518:H581" si="17">IF(OR($A518="",NOT(ISNUMBER($G518)),$G518=0,NOT(ISNUMBER($D518))),"",ROUNDDOWN($D518/$G518,0))</f>
        <v/>
      </c>
      <c r="I518" s="20" t="str">
        <f>IF($A518="","",'Item Balance'!$D517)</f>
        <v/>
      </c>
      <c r="J518" s="31" t="str">
        <f>IF($A518="","",'Item Balance'!$P517)</f>
        <v/>
      </c>
    </row>
    <row r="519" spans="1:10" x14ac:dyDescent="0.35">
      <c r="A519" s="18" t="str">
        <f>IF('Item Balance'!$A518="","",'Item Balance'!$A518)</f>
        <v/>
      </c>
      <c r="B519" s="18" t="str">
        <f>IF($A519="","",'Item Balance'!$B518)</f>
        <v/>
      </c>
      <c r="C519" s="19" t="str">
        <f>IF($A519="","",'Item Balance'!$C518)</f>
        <v/>
      </c>
      <c r="D519" s="23" t="str">
        <f>IF($A519="","",'Item Balance'!$I518)</f>
        <v/>
      </c>
      <c r="E519" s="23" t="str">
        <f>IF($A519="","",'Item Balance'!$F518)</f>
        <v/>
      </c>
      <c r="F519" s="26" t="str">
        <f t="shared" si="16"/>
        <v/>
      </c>
      <c r="G519" s="23" t="str">
        <f>IF($A519="","",'Item Balance'!$E518)</f>
        <v/>
      </c>
      <c r="H519" s="26" t="str">
        <f t="shared" si="17"/>
        <v/>
      </c>
      <c r="I519" s="20" t="str">
        <f>IF($A519="","",'Item Balance'!$D518)</f>
        <v/>
      </c>
      <c r="J519" s="31" t="str">
        <f>IF($A519="","",'Item Balance'!$P518)</f>
        <v/>
      </c>
    </row>
    <row r="520" spans="1:10" x14ac:dyDescent="0.35">
      <c r="A520" s="18" t="str">
        <f>IF('Item Balance'!$A519="","",'Item Balance'!$A519)</f>
        <v/>
      </c>
      <c r="B520" s="18" t="str">
        <f>IF($A520="","",'Item Balance'!$B519)</f>
        <v/>
      </c>
      <c r="C520" s="19" t="str">
        <f>IF($A520="","",'Item Balance'!$C519)</f>
        <v/>
      </c>
      <c r="D520" s="23" t="str">
        <f>IF($A520="","",'Item Balance'!$I519)</f>
        <v/>
      </c>
      <c r="E520" s="23" t="str">
        <f>IF($A520="","",'Item Balance'!$F519)</f>
        <v/>
      </c>
      <c r="F520" s="26" t="str">
        <f t="shared" si="16"/>
        <v/>
      </c>
      <c r="G520" s="23" t="str">
        <f>IF($A520="","",'Item Balance'!$E519)</f>
        <v/>
      </c>
      <c r="H520" s="26" t="str">
        <f t="shared" si="17"/>
        <v/>
      </c>
      <c r="I520" s="20" t="str">
        <f>IF($A520="","",'Item Balance'!$D519)</f>
        <v/>
      </c>
      <c r="J520" s="31" t="str">
        <f>IF($A520="","",'Item Balance'!$P519)</f>
        <v/>
      </c>
    </row>
    <row r="521" spans="1:10" x14ac:dyDescent="0.35">
      <c r="A521" s="18" t="str">
        <f>IF('Item Balance'!$A520="","",'Item Balance'!$A520)</f>
        <v/>
      </c>
      <c r="B521" s="18" t="str">
        <f>IF($A521="","",'Item Balance'!$B520)</f>
        <v/>
      </c>
      <c r="C521" s="19" t="str">
        <f>IF($A521="","",'Item Balance'!$C520)</f>
        <v/>
      </c>
      <c r="D521" s="23" t="str">
        <f>IF($A521="","",'Item Balance'!$I520)</f>
        <v/>
      </c>
      <c r="E521" s="23" t="str">
        <f>IF($A521="","",'Item Balance'!$F520)</f>
        <v/>
      </c>
      <c r="F521" s="26" t="str">
        <f t="shared" si="16"/>
        <v/>
      </c>
      <c r="G521" s="23" t="str">
        <f>IF($A521="","",'Item Balance'!$E520)</f>
        <v/>
      </c>
      <c r="H521" s="26" t="str">
        <f t="shared" si="17"/>
        <v/>
      </c>
      <c r="I521" s="20" t="str">
        <f>IF($A521="","",'Item Balance'!$D520)</f>
        <v/>
      </c>
      <c r="J521" s="31" t="str">
        <f>IF($A521="","",'Item Balance'!$P520)</f>
        <v/>
      </c>
    </row>
    <row r="522" spans="1:10" x14ac:dyDescent="0.35">
      <c r="A522" s="18" t="str">
        <f>IF('Item Balance'!$A521="","",'Item Balance'!$A521)</f>
        <v/>
      </c>
      <c r="B522" s="18" t="str">
        <f>IF($A522="","",'Item Balance'!$B521)</f>
        <v/>
      </c>
      <c r="C522" s="19" t="str">
        <f>IF($A522="","",'Item Balance'!$C521)</f>
        <v/>
      </c>
      <c r="D522" s="23" t="str">
        <f>IF($A522="","",'Item Balance'!$I521)</f>
        <v/>
      </c>
      <c r="E522" s="23" t="str">
        <f>IF($A522="","",'Item Balance'!$F521)</f>
        <v/>
      </c>
      <c r="F522" s="26" t="str">
        <f t="shared" si="16"/>
        <v/>
      </c>
      <c r="G522" s="23" t="str">
        <f>IF($A522="","",'Item Balance'!$E521)</f>
        <v/>
      </c>
      <c r="H522" s="26" t="str">
        <f t="shared" si="17"/>
        <v/>
      </c>
      <c r="I522" s="20" t="str">
        <f>IF($A522="","",'Item Balance'!$D521)</f>
        <v/>
      </c>
      <c r="J522" s="31" t="str">
        <f>IF($A522="","",'Item Balance'!$P521)</f>
        <v/>
      </c>
    </row>
    <row r="523" spans="1:10" x14ac:dyDescent="0.35">
      <c r="A523" s="18" t="str">
        <f>IF('Item Balance'!$A522="","",'Item Balance'!$A522)</f>
        <v/>
      </c>
      <c r="B523" s="18" t="str">
        <f>IF($A523="","",'Item Balance'!$B522)</f>
        <v/>
      </c>
      <c r="C523" s="19" t="str">
        <f>IF($A523="","",'Item Balance'!$C522)</f>
        <v/>
      </c>
      <c r="D523" s="23" t="str">
        <f>IF($A523="","",'Item Balance'!$I522)</f>
        <v/>
      </c>
      <c r="E523" s="23" t="str">
        <f>IF($A523="","",'Item Balance'!$F522)</f>
        <v/>
      </c>
      <c r="F523" s="26" t="str">
        <f t="shared" si="16"/>
        <v/>
      </c>
      <c r="G523" s="23" t="str">
        <f>IF($A523="","",'Item Balance'!$E522)</f>
        <v/>
      </c>
      <c r="H523" s="26" t="str">
        <f t="shared" si="17"/>
        <v/>
      </c>
      <c r="I523" s="20" t="str">
        <f>IF($A523="","",'Item Balance'!$D522)</f>
        <v/>
      </c>
      <c r="J523" s="31" t="str">
        <f>IF($A523="","",'Item Balance'!$P522)</f>
        <v/>
      </c>
    </row>
    <row r="524" spans="1:10" x14ac:dyDescent="0.35">
      <c r="A524" s="18" t="str">
        <f>IF('Item Balance'!$A523="","",'Item Balance'!$A523)</f>
        <v/>
      </c>
      <c r="B524" s="18" t="str">
        <f>IF($A524="","",'Item Balance'!$B523)</f>
        <v/>
      </c>
      <c r="C524" s="19" t="str">
        <f>IF($A524="","",'Item Balance'!$C523)</f>
        <v/>
      </c>
      <c r="D524" s="23" t="str">
        <f>IF($A524="","",'Item Balance'!$I523)</f>
        <v/>
      </c>
      <c r="E524" s="23" t="str">
        <f>IF($A524="","",'Item Balance'!$F523)</f>
        <v/>
      </c>
      <c r="F524" s="26" t="str">
        <f t="shared" si="16"/>
        <v/>
      </c>
      <c r="G524" s="23" t="str">
        <f>IF($A524="","",'Item Balance'!$E523)</f>
        <v/>
      </c>
      <c r="H524" s="26" t="str">
        <f t="shared" si="17"/>
        <v/>
      </c>
      <c r="I524" s="20" t="str">
        <f>IF($A524="","",'Item Balance'!$D523)</f>
        <v/>
      </c>
      <c r="J524" s="31" t="str">
        <f>IF($A524="","",'Item Balance'!$P523)</f>
        <v/>
      </c>
    </row>
    <row r="525" spans="1:10" x14ac:dyDescent="0.35">
      <c r="A525" s="18" t="str">
        <f>IF('Item Balance'!$A524="","",'Item Balance'!$A524)</f>
        <v/>
      </c>
      <c r="B525" s="18" t="str">
        <f>IF($A525="","",'Item Balance'!$B524)</f>
        <v/>
      </c>
      <c r="C525" s="19" t="str">
        <f>IF($A525="","",'Item Balance'!$C524)</f>
        <v/>
      </c>
      <c r="D525" s="23" t="str">
        <f>IF($A525="","",'Item Balance'!$I524)</f>
        <v/>
      </c>
      <c r="E525" s="23" t="str">
        <f>IF($A525="","",'Item Balance'!$F524)</f>
        <v/>
      </c>
      <c r="F525" s="26" t="str">
        <f t="shared" si="16"/>
        <v/>
      </c>
      <c r="G525" s="23" t="str">
        <f>IF($A525="","",'Item Balance'!$E524)</f>
        <v/>
      </c>
      <c r="H525" s="26" t="str">
        <f t="shared" si="17"/>
        <v/>
      </c>
      <c r="I525" s="20" t="str">
        <f>IF($A525="","",'Item Balance'!$D524)</f>
        <v/>
      </c>
      <c r="J525" s="31" t="str">
        <f>IF($A525="","",'Item Balance'!$P524)</f>
        <v/>
      </c>
    </row>
    <row r="526" spans="1:10" x14ac:dyDescent="0.35">
      <c r="A526" s="18" t="str">
        <f>IF('Item Balance'!$A525="","",'Item Balance'!$A525)</f>
        <v/>
      </c>
      <c r="B526" s="18" t="str">
        <f>IF($A526="","",'Item Balance'!$B525)</f>
        <v/>
      </c>
      <c r="C526" s="19" t="str">
        <f>IF($A526="","",'Item Balance'!$C525)</f>
        <v/>
      </c>
      <c r="D526" s="23" t="str">
        <f>IF($A526="","",'Item Balance'!$I525)</f>
        <v/>
      </c>
      <c r="E526" s="23" t="str">
        <f>IF($A526="","",'Item Balance'!$F525)</f>
        <v/>
      </c>
      <c r="F526" s="26" t="str">
        <f t="shared" si="16"/>
        <v/>
      </c>
      <c r="G526" s="23" t="str">
        <f>IF($A526="","",'Item Balance'!$E525)</f>
        <v/>
      </c>
      <c r="H526" s="26" t="str">
        <f t="shared" si="17"/>
        <v/>
      </c>
      <c r="I526" s="20" t="str">
        <f>IF($A526="","",'Item Balance'!$D525)</f>
        <v/>
      </c>
      <c r="J526" s="31" t="str">
        <f>IF($A526="","",'Item Balance'!$P525)</f>
        <v/>
      </c>
    </row>
    <row r="527" spans="1:10" x14ac:dyDescent="0.35">
      <c r="A527" s="18" t="str">
        <f>IF('Item Balance'!$A526="","",'Item Balance'!$A526)</f>
        <v/>
      </c>
      <c r="B527" s="18" t="str">
        <f>IF($A527="","",'Item Balance'!$B526)</f>
        <v/>
      </c>
      <c r="C527" s="19" t="str">
        <f>IF($A527="","",'Item Balance'!$C526)</f>
        <v/>
      </c>
      <c r="D527" s="23" t="str">
        <f>IF($A527="","",'Item Balance'!$I526)</f>
        <v/>
      </c>
      <c r="E527" s="23" t="str">
        <f>IF($A527="","",'Item Balance'!$F526)</f>
        <v/>
      </c>
      <c r="F527" s="26" t="str">
        <f t="shared" si="16"/>
        <v/>
      </c>
      <c r="G527" s="23" t="str">
        <f>IF($A527="","",'Item Balance'!$E526)</f>
        <v/>
      </c>
      <c r="H527" s="26" t="str">
        <f t="shared" si="17"/>
        <v/>
      </c>
      <c r="I527" s="20" t="str">
        <f>IF($A527="","",'Item Balance'!$D526)</f>
        <v/>
      </c>
      <c r="J527" s="31" t="str">
        <f>IF($A527="","",'Item Balance'!$P526)</f>
        <v/>
      </c>
    </row>
    <row r="528" spans="1:10" x14ac:dyDescent="0.35">
      <c r="A528" s="18" t="str">
        <f>IF('Item Balance'!$A527="","",'Item Balance'!$A527)</f>
        <v/>
      </c>
      <c r="B528" s="18" t="str">
        <f>IF($A528="","",'Item Balance'!$B527)</f>
        <v/>
      </c>
      <c r="C528" s="19" t="str">
        <f>IF($A528="","",'Item Balance'!$C527)</f>
        <v/>
      </c>
      <c r="D528" s="23" t="str">
        <f>IF($A528="","",'Item Balance'!$I527)</f>
        <v/>
      </c>
      <c r="E528" s="23" t="str">
        <f>IF($A528="","",'Item Balance'!$F527)</f>
        <v/>
      </c>
      <c r="F528" s="26" t="str">
        <f t="shared" si="16"/>
        <v/>
      </c>
      <c r="G528" s="23" t="str">
        <f>IF($A528="","",'Item Balance'!$E527)</f>
        <v/>
      </c>
      <c r="H528" s="26" t="str">
        <f t="shared" si="17"/>
        <v/>
      </c>
      <c r="I528" s="20" t="str">
        <f>IF($A528="","",'Item Balance'!$D527)</f>
        <v/>
      </c>
      <c r="J528" s="31" t="str">
        <f>IF($A528="","",'Item Balance'!$P527)</f>
        <v/>
      </c>
    </row>
    <row r="529" spans="1:10" x14ac:dyDescent="0.35">
      <c r="A529" s="18" t="str">
        <f>IF('Item Balance'!$A528="","",'Item Balance'!$A528)</f>
        <v/>
      </c>
      <c r="B529" s="18" t="str">
        <f>IF($A529="","",'Item Balance'!$B528)</f>
        <v/>
      </c>
      <c r="C529" s="19" t="str">
        <f>IF($A529="","",'Item Balance'!$C528)</f>
        <v/>
      </c>
      <c r="D529" s="23" t="str">
        <f>IF($A529="","",'Item Balance'!$I528)</f>
        <v/>
      </c>
      <c r="E529" s="23" t="str">
        <f>IF($A529="","",'Item Balance'!$F528)</f>
        <v/>
      </c>
      <c r="F529" s="26" t="str">
        <f t="shared" si="16"/>
        <v/>
      </c>
      <c r="G529" s="23" t="str">
        <f>IF($A529="","",'Item Balance'!$E528)</f>
        <v/>
      </c>
      <c r="H529" s="26" t="str">
        <f t="shared" si="17"/>
        <v/>
      </c>
      <c r="I529" s="20" t="str">
        <f>IF($A529="","",'Item Balance'!$D528)</f>
        <v/>
      </c>
      <c r="J529" s="31" t="str">
        <f>IF($A529="","",'Item Balance'!$P528)</f>
        <v/>
      </c>
    </row>
    <row r="530" spans="1:10" x14ac:dyDescent="0.35">
      <c r="A530" s="18" t="str">
        <f>IF('Item Balance'!$A529="","",'Item Balance'!$A529)</f>
        <v/>
      </c>
      <c r="B530" s="18" t="str">
        <f>IF($A530="","",'Item Balance'!$B529)</f>
        <v/>
      </c>
      <c r="C530" s="19" t="str">
        <f>IF($A530="","",'Item Balance'!$C529)</f>
        <v/>
      </c>
      <c r="D530" s="23" t="str">
        <f>IF($A530="","",'Item Balance'!$I529)</f>
        <v/>
      </c>
      <c r="E530" s="23" t="str">
        <f>IF($A530="","",'Item Balance'!$F529)</f>
        <v/>
      </c>
      <c r="F530" s="26" t="str">
        <f t="shared" si="16"/>
        <v/>
      </c>
      <c r="G530" s="23" t="str">
        <f>IF($A530="","",'Item Balance'!$E529)</f>
        <v/>
      </c>
      <c r="H530" s="26" t="str">
        <f t="shared" si="17"/>
        <v/>
      </c>
      <c r="I530" s="20" t="str">
        <f>IF($A530="","",'Item Balance'!$D529)</f>
        <v/>
      </c>
      <c r="J530" s="31" t="str">
        <f>IF($A530="","",'Item Balance'!$P529)</f>
        <v/>
      </c>
    </row>
    <row r="531" spans="1:10" x14ac:dyDescent="0.35">
      <c r="A531" s="18" t="str">
        <f>IF('Item Balance'!$A530="","",'Item Balance'!$A530)</f>
        <v/>
      </c>
      <c r="B531" s="18" t="str">
        <f>IF($A531="","",'Item Balance'!$B530)</f>
        <v/>
      </c>
      <c r="C531" s="19" t="str">
        <f>IF($A531="","",'Item Balance'!$C530)</f>
        <v/>
      </c>
      <c r="D531" s="23" t="str">
        <f>IF($A531="","",'Item Balance'!$I530)</f>
        <v/>
      </c>
      <c r="E531" s="23" t="str">
        <f>IF($A531="","",'Item Balance'!$F530)</f>
        <v/>
      </c>
      <c r="F531" s="26" t="str">
        <f t="shared" si="16"/>
        <v/>
      </c>
      <c r="G531" s="23" t="str">
        <f>IF($A531="","",'Item Balance'!$E530)</f>
        <v/>
      </c>
      <c r="H531" s="26" t="str">
        <f t="shared" si="17"/>
        <v/>
      </c>
      <c r="I531" s="20" t="str">
        <f>IF($A531="","",'Item Balance'!$D530)</f>
        <v/>
      </c>
      <c r="J531" s="31" t="str">
        <f>IF($A531="","",'Item Balance'!$P530)</f>
        <v/>
      </c>
    </row>
    <row r="532" spans="1:10" x14ac:dyDescent="0.35">
      <c r="A532" s="18" t="str">
        <f>IF('Item Balance'!$A531="","",'Item Balance'!$A531)</f>
        <v/>
      </c>
      <c r="B532" s="18" t="str">
        <f>IF($A532="","",'Item Balance'!$B531)</f>
        <v/>
      </c>
      <c r="C532" s="19" t="str">
        <f>IF($A532="","",'Item Balance'!$C531)</f>
        <v/>
      </c>
      <c r="D532" s="23" t="str">
        <f>IF($A532="","",'Item Balance'!$I531)</f>
        <v/>
      </c>
      <c r="E532" s="23" t="str">
        <f>IF($A532="","",'Item Balance'!$F531)</f>
        <v/>
      </c>
      <c r="F532" s="26" t="str">
        <f t="shared" si="16"/>
        <v/>
      </c>
      <c r="G532" s="23" t="str">
        <f>IF($A532="","",'Item Balance'!$E531)</f>
        <v/>
      </c>
      <c r="H532" s="26" t="str">
        <f t="shared" si="17"/>
        <v/>
      </c>
      <c r="I532" s="20" t="str">
        <f>IF($A532="","",'Item Balance'!$D531)</f>
        <v/>
      </c>
      <c r="J532" s="31" t="str">
        <f>IF($A532="","",'Item Balance'!$P531)</f>
        <v/>
      </c>
    </row>
    <row r="533" spans="1:10" x14ac:dyDescent="0.35">
      <c r="A533" s="18" t="str">
        <f>IF('Item Balance'!$A532="","",'Item Balance'!$A532)</f>
        <v/>
      </c>
      <c r="B533" s="18" t="str">
        <f>IF($A533="","",'Item Balance'!$B532)</f>
        <v/>
      </c>
      <c r="C533" s="19" t="str">
        <f>IF($A533="","",'Item Balance'!$C532)</f>
        <v/>
      </c>
      <c r="D533" s="23" t="str">
        <f>IF($A533="","",'Item Balance'!$I532)</f>
        <v/>
      </c>
      <c r="E533" s="23" t="str">
        <f>IF($A533="","",'Item Balance'!$F532)</f>
        <v/>
      </c>
      <c r="F533" s="26" t="str">
        <f t="shared" si="16"/>
        <v/>
      </c>
      <c r="G533" s="23" t="str">
        <f>IF($A533="","",'Item Balance'!$E532)</f>
        <v/>
      </c>
      <c r="H533" s="26" t="str">
        <f t="shared" si="17"/>
        <v/>
      </c>
      <c r="I533" s="20" t="str">
        <f>IF($A533="","",'Item Balance'!$D532)</f>
        <v/>
      </c>
      <c r="J533" s="31" t="str">
        <f>IF($A533="","",'Item Balance'!$P532)</f>
        <v/>
      </c>
    </row>
    <row r="534" spans="1:10" x14ac:dyDescent="0.35">
      <c r="A534" s="18" t="str">
        <f>IF('Item Balance'!$A533="","",'Item Balance'!$A533)</f>
        <v/>
      </c>
      <c r="B534" s="18" t="str">
        <f>IF($A534="","",'Item Balance'!$B533)</f>
        <v/>
      </c>
      <c r="C534" s="19" t="str">
        <f>IF($A534="","",'Item Balance'!$C533)</f>
        <v/>
      </c>
      <c r="D534" s="23" t="str">
        <f>IF($A534="","",'Item Balance'!$I533)</f>
        <v/>
      </c>
      <c r="E534" s="23" t="str">
        <f>IF($A534="","",'Item Balance'!$F533)</f>
        <v/>
      </c>
      <c r="F534" s="26" t="str">
        <f t="shared" si="16"/>
        <v/>
      </c>
      <c r="G534" s="23" t="str">
        <f>IF($A534="","",'Item Balance'!$E533)</f>
        <v/>
      </c>
      <c r="H534" s="26" t="str">
        <f t="shared" si="17"/>
        <v/>
      </c>
      <c r="I534" s="20" t="str">
        <f>IF($A534="","",'Item Balance'!$D533)</f>
        <v/>
      </c>
      <c r="J534" s="31" t="str">
        <f>IF($A534="","",'Item Balance'!$P533)</f>
        <v/>
      </c>
    </row>
    <row r="535" spans="1:10" x14ac:dyDescent="0.35">
      <c r="A535" s="18" t="str">
        <f>IF('Item Balance'!$A534="","",'Item Balance'!$A534)</f>
        <v/>
      </c>
      <c r="B535" s="18" t="str">
        <f>IF($A535="","",'Item Balance'!$B534)</f>
        <v/>
      </c>
      <c r="C535" s="19" t="str">
        <f>IF($A535="","",'Item Balance'!$C534)</f>
        <v/>
      </c>
      <c r="D535" s="23" t="str">
        <f>IF($A535="","",'Item Balance'!$I534)</f>
        <v/>
      </c>
      <c r="E535" s="23" t="str">
        <f>IF($A535="","",'Item Balance'!$F534)</f>
        <v/>
      </c>
      <c r="F535" s="26" t="str">
        <f t="shared" si="16"/>
        <v/>
      </c>
      <c r="G535" s="23" t="str">
        <f>IF($A535="","",'Item Balance'!$E534)</f>
        <v/>
      </c>
      <c r="H535" s="26" t="str">
        <f t="shared" si="17"/>
        <v/>
      </c>
      <c r="I535" s="20" t="str">
        <f>IF($A535="","",'Item Balance'!$D534)</f>
        <v/>
      </c>
      <c r="J535" s="31" t="str">
        <f>IF($A535="","",'Item Balance'!$P534)</f>
        <v/>
      </c>
    </row>
    <row r="536" spans="1:10" x14ac:dyDescent="0.35">
      <c r="A536" s="18" t="str">
        <f>IF('Item Balance'!$A535="","",'Item Balance'!$A535)</f>
        <v/>
      </c>
      <c r="B536" s="18" t="str">
        <f>IF($A536="","",'Item Balance'!$B535)</f>
        <v/>
      </c>
      <c r="C536" s="19" t="str">
        <f>IF($A536="","",'Item Balance'!$C535)</f>
        <v/>
      </c>
      <c r="D536" s="23" t="str">
        <f>IF($A536="","",'Item Balance'!$I535)</f>
        <v/>
      </c>
      <c r="E536" s="23" t="str">
        <f>IF($A536="","",'Item Balance'!$F535)</f>
        <v/>
      </c>
      <c r="F536" s="26" t="str">
        <f t="shared" si="16"/>
        <v/>
      </c>
      <c r="G536" s="23" t="str">
        <f>IF($A536="","",'Item Balance'!$E535)</f>
        <v/>
      </c>
      <c r="H536" s="26" t="str">
        <f t="shared" si="17"/>
        <v/>
      </c>
      <c r="I536" s="20" t="str">
        <f>IF($A536="","",'Item Balance'!$D535)</f>
        <v/>
      </c>
      <c r="J536" s="31" t="str">
        <f>IF($A536="","",'Item Balance'!$P535)</f>
        <v/>
      </c>
    </row>
    <row r="537" spans="1:10" x14ac:dyDescent="0.35">
      <c r="A537" s="18" t="str">
        <f>IF('Item Balance'!$A536="","",'Item Balance'!$A536)</f>
        <v/>
      </c>
      <c r="B537" s="18" t="str">
        <f>IF($A537="","",'Item Balance'!$B536)</f>
        <v/>
      </c>
      <c r="C537" s="19" t="str">
        <f>IF($A537="","",'Item Balance'!$C536)</f>
        <v/>
      </c>
      <c r="D537" s="23" t="str">
        <f>IF($A537="","",'Item Balance'!$I536)</f>
        <v/>
      </c>
      <c r="E537" s="23" t="str">
        <f>IF($A537="","",'Item Balance'!$F536)</f>
        <v/>
      </c>
      <c r="F537" s="26" t="str">
        <f t="shared" si="16"/>
        <v/>
      </c>
      <c r="G537" s="23" t="str">
        <f>IF($A537="","",'Item Balance'!$E536)</f>
        <v/>
      </c>
      <c r="H537" s="26" t="str">
        <f t="shared" si="17"/>
        <v/>
      </c>
      <c r="I537" s="20" t="str">
        <f>IF($A537="","",'Item Balance'!$D536)</f>
        <v/>
      </c>
      <c r="J537" s="31" t="str">
        <f>IF($A537="","",'Item Balance'!$P536)</f>
        <v/>
      </c>
    </row>
    <row r="538" spans="1:10" x14ac:dyDescent="0.35">
      <c r="A538" s="18" t="str">
        <f>IF('Item Balance'!$A537="","",'Item Balance'!$A537)</f>
        <v/>
      </c>
      <c r="B538" s="18" t="str">
        <f>IF($A538="","",'Item Balance'!$B537)</f>
        <v/>
      </c>
      <c r="C538" s="19" t="str">
        <f>IF($A538="","",'Item Balance'!$C537)</f>
        <v/>
      </c>
      <c r="D538" s="23" t="str">
        <f>IF($A538="","",'Item Balance'!$I537)</f>
        <v/>
      </c>
      <c r="E538" s="23" t="str">
        <f>IF($A538="","",'Item Balance'!$F537)</f>
        <v/>
      </c>
      <c r="F538" s="26" t="str">
        <f t="shared" si="16"/>
        <v/>
      </c>
      <c r="G538" s="23" t="str">
        <f>IF($A538="","",'Item Balance'!$E537)</f>
        <v/>
      </c>
      <c r="H538" s="26" t="str">
        <f t="shared" si="17"/>
        <v/>
      </c>
      <c r="I538" s="20" t="str">
        <f>IF($A538="","",'Item Balance'!$D537)</f>
        <v/>
      </c>
      <c r="J538" s="31" t="str">
        <f>IF($A538="","",'Item Balance'!$P537)</f>
        <v/>
      </c>
    </row>
    <row r="539" spans="1:10" x14ac:dyDescent="0.35">
      <c r="A539" s="18" t="str">
        <f>IF('Item Balance'!$A538="","",'Item Balance'!$A538)</f>
        <v/>
      </c>
      <c r="B539" s="18" t="str">
        <f>IF($A539="","",'Item Balance'!$B538)</f>
        <v/>
      </c>
      <c r="C539" s="19" t="str">
        <f>IF($A539="","",'Item Balance'!$C538)</f>
        <v/>
      </c>
      <c r="D539" s="23" t="str">
        <f>IF($A539="","",'Item Balance'!$I538)</f>
        <v/>
      </c>
      <c r="E539" s="23" t="str">
        <f>IF($A539="","",'Item Balance'!$F538)</f>
        <v/>
      </c>
      <c r="F539" s="26" t="str">
        <f t="shared" si="16"/>
        <v/>
      </c>
      <c r="G539" s="23" t="str">
        <f>IF($A539="","",'Item Balance'!$E538)</f>
        <v/>
      </c>
      <c r="H539" s="26" t="str">
        <f t="shared" si="17"/>
        <v/>
      </c>
      <c r="I539" s="20" t="str">
        <f>IF($A539="","",'Item Balance'!$D538)</f>
        <v/>
      </c>
      <c r="J539" s="31" t="str">
        <f>IF($A539="","",'Item Balance'!$P538)</f>
        <v/>
      </c>
    </row>
    <row r="540" spans="1:10" x14ac:dyDescent="0.35">
      <c r="A540" s="18" t="str">
        <f>IF('Item Balance'!$A539="","",'Item Balance'!$A539)</f>
        <v/>
      </c>
      <c r="B540" s="18" t="str">
        <f>IF($A540="","",'Item Balance'!$B539)</f>
        <v/>
      </c>
      <c r="C540" s="19" t="str">
        <f>IF($A540="","",'Item Balance'!$C539)</f>
        <v/>
      </c>
      <c r="D540" s="23" t="str">
        <f>IF($A540="","",'Item Balance'!$I539)</f>
        <v/>
      </c>
      <c r="E540" s="23" t="str">
        <f>IF($A540="","",'Item Balance'!$F539)</f>
        <v/>
      </c>
      <c r="F540" s="26" t="str">
        <f t="shared" si="16"/>
        <v/>
      </c>
      <c r="G540" s="23" t="str">
        <f>IF($A540="","",'Item Balance'!$E539)</f>
        <v/>
      </c>
      <c r="H540" s="26" t="str">
        <f t="shared" si="17"/>
        <v/>
      </c>
      <c r="I540" s="20" t="str">
        <f>IF($A540="","",'Item Balance'!$D539)</f>
        <v/>
      </c>
      <c r="J540" s="31" t="str">
        <f>IF($A540="","",'Item Balance'!$P539)</f>
        <v/>
      </c>
    </row>
    <row r="541" spans="1:10" x14ac:dyDescent="0.35">
      <c r="A541" s="18" t="str">
        <f>IF('Item Balance'!$A540="","",'Item Balance'!$A540)</f>
        <v/>
      </c>
      <c r="B541" s="18" t="str">
        <f>IF($A541="","",'Item Balance'!$B540)</f>
        <v/>
      </c>
      <c r="C541" s="19" t="str">
        <f>IF($A541="","",'Item Balance'!$C540)</f>
        <v/>
      </c>
      <c r="D541" s="23" t="str">
        <f>IF($A541="","",'Item Balance'!$I540)</f>
        <v/>
      </c>
      <c r="E541" s="23" t="str">
        <f>IF($A541="","",'Item Balance'!$F540)</f>
        <v/>
      </c>
      <c r="F541" s="26" t="str">
        <f t="shared" si="16"/>
        <v/>
      </c>
      <c r="G541" s="23" t="str">
        <f>IF($A541="","",'Item Balance'!$E540)</f>
        <v/>
      </c>
      <c r="H541" s="26" t="str">
        <f t="shared" si="17"/>
        <v/>
      </c>
      <c r="I541" s="20" t="str">
        <f>IF($A541="","",'Item Balance'!$D540)</f>
        <v/>
      </c>
      <c r="J541" s="31" t="str">
        <f>IF($A541="","",'Item Balance'!$P540)</f>
        <v/>
      </c>
    </row>
    <row r="542" spans="1:10" x14ac:dyDescent="0.35">
      <c r="A542" s="18" t="str">
        <f>IF('Item Balance'!$A541="","",'Item Balance'!$A541)</f>
        <v/>
      </c>
      <c r="B542" s="18" t="str">
        <f>IF($A542="","",'Item Balance'!$B541)</f>
        <v/>
      </c>
      <c r="C542" s="19" t="str">
        <f>IF($A542="","",'Item Balance'!$C541)</f>
        <v/>
      </c>
      <c r="D542" s="23" t="str">
        <f>IF($A542="","",'Item Balance'!$I541)</f>
        <v/>
      </c>
      <c r="E542" s="23" t="str">
        <f>IF($A542="","",'Item Balance'!$F541)</f>
        <v/>
      </c>
      <c r="F542" s="26" t="str">
        <f t="shared" si="16"/>
        <v/>
      </c>
      <c r="G542" s="23" t="str">
        <f>IF($A542="","",'Item Balance'!$E541)</f>
        <v/>
      </c>
      <c r="H542" s="26" t="str">
        <f t="shared" si="17"/>
        <v/>
      </c>
      <c r="I542" s="20" t="str">
        <f>IF($A542="","",'Item Balance'!$D541)</f>
        <v/>
      </c>
      <c r="J542" s="31" t="str">
        <f>IF($A542="","",'Item Balance'!$P541)</f>
        <v/>
      </c>
    </row>
    <row r="543" spans="1:10" x14ac:dyDescent="0.35">
      <c r="A543" s="18" t="str">
        <f>IF('Item Balance'!$A542="","",'Item Balance'!$A542)</f>
        <v/>
      </c>
      <c r="B543" s="18" t="str">
        <f>IF($A543="","",'Item Balance'!$B542)</f>
        <v/>
      </c>
      <c r="C543" s="19" t="str">
        <f>IF($A543="","",'Item Balance'!$C542)</f>
        <v/>
      </c>
      <c r="D543" s="23" t="str">
        <f>IF($A543="","",'Item Balance'!$I542)</f>
        <v/>
      </c>
      <c r="E543" s="23" t="str">
        <f>IF($A543="","",'Item Balance'!$F542)</f>
        <v/>
      </c>
      <c r="F543" s="26" t="str">
        <f t="shared" si="16"/>
        <v/>
      </c>
      <c r="G543" s="23" t="str">
        <f>IF($A543="","",'Item Balance'!$E542)</f>
        <v/>
      </c>
      <c r="H543" s="26" t="str">
        <f t="shared" si="17"/>
        <v/>
      </c>
      <c r="I543" s="20" t="str">
        <f>IF($A543="","",'Item Balance'!$D542)</f>
        <v/>
      </c>
      <c r="J543" s="31" t="str">
        <f>IF($A543="","",'Item Balance'!$P542)</f>
        <v/>
      </c>
    </row>
    <row r="544" spans="1:10" x14ac:dyDescent="0.35">
      <c r="A544" s="18" t="str">
        <f>IF('Item Balance'!$A543="","",'Item Balance'!$A543)</f>
        <v/>
      </c>
      <c r="B544" s="18" t="str">
        <f>IF($A544="","",'Item Balance'!$B543)</f>
        <v/>
      </c>
      <c r="C544" s="19" t="str">
        <f>IF($A544="","",'Item Balance'!$C543)</f>
        <v/>
      </c>
      <c r="D544" s="23" t="str">
        <f>IF($A544="","",'Item Balance'!$I543)</f>
        <v/>
      </c>
      <c r="E544" s="23" t="str">
        <f>IF($A544="","",'Item Balance'!$F543)</f>
        <v/>
      </c>
      <c r="F544" s="26" t="str">
        <f t="shared" si="16"/>
        <v/>
      </c>
      <c r="G544" s="23" t="str">
        <f>IF($A544="","",'Item Balance'!$E543)</f>
        <v/>
      </c>
      <c r="H544" s="26" t="str">
        <f t="shared" si="17"/>
        <v/>
      </c>
      <c r="I544" s="20" t="str">
        <f>IF($A544="","",'Item Balance'!$D543)</f>
        <v/>
      </c>
      <c r="J544" s="31" t="str">
        <f>IF($A544="","",'Item Balance'!$P543)</f>
        <v/>
      </c>
    </row>
    <row r="545" spans="1:10" x14ac:dyDescent="0.35">
      <c r="A545" s="18" t="str">
        <f>IF('Item Balance'!$A544="","",'Item Balance'!$A544)</f>
        <v/>
      </c>
      <c r="B545" s="18" t="str">
        <f>IF($A545="","",'Item Balance'!$B544)</f>
        <v/>
      </c>
      <c r="C545" s="19" t="str">
        <f>IF($A545="","",'Item Balance'!$C544)</f>
        <v/>
      </c>
      <c r="D545" s="23" t="str">
        <f>IF($A545="","",'Item Balance'!$I544)</f>
        <v/>
      </c>
      <c r="E545" s="23" t="str">
        <f>IF($A545="","",'Item Balance'!$F544)</f>
        <v/>
      </c>
      <c r="F545" s="26" t="str">
        <f t="shared" si="16"/>
        <v/>
      </c>
      <c r="G545" s="23" t="str">
        <f>IF($A545="","",'Item Balance'!$E544)</f>
        <v/>
      </c>
      <c r="H545" s="26" t="str">
        <f t="shared" si="17"/>
        <v/>
      </c>
      <c r="I545" s="20" t="str">
        <f>IF($A545="","",'Item Balance'!$D544)</f>
        <v/>
      </c>
      <c r="J545" s="31" t="str">
        <f>IF($A545="","",'Item Balance'!$P544)</f>
        <v/>
      </c>
    </row>
    <row r="546" spans="1:10" x14ac:dyDescent="0.35">
      <c r="A546" s="18" t="str">
        <f>IF('Item Balance'!$A545="","",'Item Balance'!$A545)</f>
        <v/>
      </c>
      <c r="B546" s="18" t="str">
        <f>IF($A546="","",'Item Balance'!$B545)</f>
        <v/>
      </c>
      <c r="C546" s="19" t="str">
        <f>IF($A546="","",'Item Balance'!$C545)</f>
        <v/>
      </c>
      <c r="D546" s="23" t="str">
        <f>IF($A546="","",'Item Balance'!$I545)</f>
        <v/>
      </c>
      <c r="E546" s="23" t="str">
        <f>IF($A546="","",'Item Balance'!$F545)</f>
        <v/>
      </c>
      <c r="F546" s="26" t="str">
        <f t="shared" si="16"/>
        <v/>
      </c>
      <c r="G546" s="23" t="str">
        <f>IF($A546="","",'Item Balance'!$E545)</f>
        <v/>
      </c>
      <c r="H546" s="26" t="str">
        <f t="shared" si="17"/>
        <v/>
      </c>
      <c r="I546" s="20" t="str">
        <f>IF($A546="","",'Item Balance'!$D545)</f>
        <v/>
      </c>
      <c r="J546" s="31" t="str">
        <f>IF($A546="","",'Item Balance'!$P545)</f>
        <v/>
      </c>
    </row>
    <row r="547" spans="1:10" x14ac:dyDescent="0.35">
      <c r="A547" s="18" t="str">
        <f>IF('Item Balance'!$A546="","",'Item Balance'!$A546)</f>
        <v/>
      </c>
      <c r="B547" s="18" t="str">
        <f>IF($A547="","",'Item Balance'!$B546)</f>
        <v/>
      </c>
      <c r="C547" s="19" t="str">
        <f>IF($A547="","",'Item Balance'!$C546)</f>
        <v/>
      </c>
      <c r="D547" s="23" t="str">
        <f>IF($A547="","",'Item Balance'!$I546)</f>
        <v/>
      </c>
      <c r="E547" s="23" t="str">
        <f>IF($A547="","",'Item Balance'!$F546)</f>
        <v/>
      </c>
      <c r="F547" s="26" t="str">
        <f t="shared" si="16"/>
        <v/>
      </c>
      <c r="G547" s="23" t="str">
        <f>IF($A547="","",'Item Balance'!$E546)</f>
        <v/>
      </c>
      <c r="H547" s="26" t="str">
        <f t="shared" si="17"/>
        <v/>
      </c>
      <c r="I547" s="20" t="str">
        <f>IF($A547="","",'Item Balance'!$D546)</f>
        <v/>
      </c>
      <c r="J547" s="31" t="str">
        <f>IF($A547="","",'Item Balance'!$P546)</f>
        <v/>
      </c>
    </row>
    <row r="548" spans="1:10" x14ac:dyDescent="0.35">
      <c r="A548" s="18" t="str">
        <f>IF('Item Balance'!$A547="","",'Item Balance'!$A547)</f>
        <v/>
      </c>
      <c r="B548" s="18" t="str">
        <f>IF($A548="","",'Item Balance'!$B547)</f>
        <v/>
      </c>
      <c r="C548" s="19" t="str">
        <f>IF($A548="","",'Item Balance'!$C547)</f>
        <v/>
      </c>
      <c r="D548" s="23" t="str">
        <f>IF($A548="","",'Item Balance'!$I547)</f>
        <v/>
      </c>
      <c r="E548" s="23" t="str">
        <f>IF($A548="","",'Item Balance'!$F547)</f>
        <v/>
      </c>
      <c r="F548" s="26" t="str">
        <f t="shared" si="16"/>
        <v/>
      </c>
      <c r="G548" s="23" t="str">
        <f>IF($A548="","",'Item Balance'!$E547)</f>
        <v/>
      </c>
      <c r="H548" s="26" t="str">
        <f t="shared" si="17"/>
        <v/>
      </c>
      <c r="I548" s="20" t="str">
        <f>IF($A548="","",'Item Balance'!$D547)</f>
        <v/>
      </c>
      <c r="J548" s="31" t="str">
        <f>IF($A548="","",'Item Balance'!$P547)</f>
        <v/>
      </c>
    </row>
    <row r="549" spans="1:10" x14ac:dyDescent="0.35">
      <c r="A549" s="18" t="str">
        <f>IF('Item Balance'!$A548="","",'Item Balance'!$A548)</f>
        <v/>
      </c>
      <c r="B549" s="18" t="str">
        <f>IF($A549="","",'Item Balance'!$B548)</f>
        <v/>
      </c>
      <c r="C549" s="19" t="str">
        <f>IF($A549="","",'Item Balance'!$C548)</f>
        <v/>
      </c>
      <c r="D549" s="23" t="str">
        <f>IF($A549="","",'Item Balance'!$I548)</f>
        <v/>
      </c>
      <c r="E549" s="23" t="str">
        <f>IF($A549="","",'Item Balance'!$F548)</f>
        <v/>
      </c>
      <c r="F549" s="26" t="str">
        <f t="shared" si="16"/>
        <v/>
      </c>
      <c r="G549" s="23" t="str">
        <f>IF($A549="","",'Item Balance'!$E548)</f>
        <v/>
      </c>
      <c r="H549" s="26" t="str">
        <f t="shared" si="17"/>
        <v/>
      </c>
      <c r="I549" s="20" t="str">
        <f>IF($A549="","",'Item Balance'!$D548)</f>
        <v/>
      </c>
      <c r="J549" s="31" t="str">
        <f>IF($A549="","",'Item Balance'!$P548)</f>
        <v/>
      </c>
    </row>
    <row r="550" spans="1:10" x14ac:dyDescent="0.35">
      <c r="A550" s="18" t="str">
        <f>IF('Item Balance'!$A549="","",'Item Balance'!$A549)</f>
        <v/>
      </c>
      <c r="B550" s="18" t="str">
        <f>IF($A550="","",'Item Balance'!$B549)</f>
        <v/>
      </c>
      <c r="C550" s="19" t="str">
        <f>IF($A550="","",'Item Balance'!$C549)</f>
        <v/>
      </c>
      <c r="D550" s="23" t="str">
        <f>IF($A550="","",'Item Balance'!$I549)</f>
        <v/>
      </c>
      <c r="E550" s="23" t="str">
        <f>IF($A550="","",'Item Balance'!$F549)</f>
        <v/>
      </c>
      <c r="F550" s="26" t="str">
        <f t="shared" si="16"/>
        <v/>
      </c>
      <c r="G550" s="23" t="str">
        <f>IF($A550="","",'Item Balance'!$E549)</f>
        <v/>
      </c>
      <c r="H550" s="26" t="str">
        <f t="shared" si="17"/>
        <v/>
      </c>
      <c r="I550" s="20" t="str">
        <f>IF($A550="","",'Item Balance'!$D549)</f>
        <v/>
      </c>
      <c r="J550" s="31" t="str">
        <f>IF($A550="","",'Item Balance'!$P549)</f>
        <v/>
      </c>
    </row>
    <row r="551" spans="1:10" x14ac:dyDescent="0.35">
      <c r="A551" s="18" t="str">
        <f>IF('Item Balance'!$A550="","",'Item Balance'!$A550)</f>
        <v/>
      </c>
      <c r="B551" s="18" t="str">
        <f>IF($A551="","",'Item Balance'!$B550)</f>
        <v/>
      </c>
      <c r="C551" s="19" t="str">
        <f>IF($A551="","",'Item Balance'!$C550)</f>
        <v/>
      </c>
      <c r="D551" s="23" t="str">
        <f>IF($A551="","",'Item Balance'!$I550)</f>
        <v/>
      </c>
      <c r="E551" s="23" t="str">
        <f>IF($A551="","",'Item Balance'!$F550)</f>
        <v/>
      </c>
      <c r="F551" s="26" t="str">
        <f t="shared" si="16"/>
        <v/>
      </c>
      <c r="G551" s="23" t="str">
        <f>IF($A551="","",'Item Balance'!$E550)</f>
        <v/>
      </c>
      <c r="H551" s="26" t="str">
        <f t="shared" si="17"/>
        <v/>
      </c>
      <c r="I551" s="20" t="str">
        <f>IF($A551="","",'Item Balance'!$D550)</f>
        <v/>
      </c>
      <c r="J551" s="31" t="str">
        <f>IF($A551="","",'Item Balance'!$P550)</f>
        <v/>
      </c>
    </row>
    <row r="552" spans="1:10" x14ac:dyDescent="0.35">
      <c r="A552" s="18" t="str">
        <f>IF('Item Balance'!$A551="","",'Item Balance'!$A551)</f>
        <v/>
      </c>
      <c r="B552" s="18" t="str">
        <f>IF($A552="","",'Item Balance'!$B551)</f>
        <v/>
      </c>
      <c r="C552" s="19" t="str">
        <f>IF($A552="","",'Item Balance'!$C551)</f>
        <v/>
      </c>
      <c r="D552" s="23" t="str">
        <f>IF($A552="","",'Item Balance'!$I551)</f>
        <v/>
      </c>
      <c r="E552" s="23" t="str">
        <f>IF($A552="","",'Item Balance'!$F551)</f>
        <v/>
      </c>
      <c r="F552" s="26" t="str">
        <f t="shared" si="16"/>
        <v/>
      </c>
      <c r="G552" s="23" t="str">
        <f>IF($A552="","",'Item Balance'!$E551)</f>
        <v/>
      </c>
      <c r="H552" s="26" t="str">
        <f t="shared" si="17"/>
        <v/>
      </c>
      <c r="I552" s="20" t="str">
        <f>IF($A552="","",'Item Balance'!$D551)</f>
        <v/>
      </c>
      <c r="J552" s="31" t="str">
        <f>IF($A552="","",'Item Balance'!$P551)</f>
        <v/>
      </c>
    </row>
    <row r="553" spans="1:10" x14ac:dyDescent="0.35">
      <c r="A553" s="18" t="str">
        <f>IF('Item Balance'!$A552="","",'Item Balance'!$A552)</f>
        <v/>
      </c>
      <c r="B553" s="18" t="str">
        <f>IF($A553="","",'Item Balance'!$B552)</f>
        <v/>
      </c>
      <c r="C553" s="19" t="str">
        <f>IF($A553="","",'Item Balance'!$C552)</f>
        <v/>
      </c>
      <c r="D553" s="23" t="str">
        <f>IF($A553="","",'Item Balance'!$I552)</f>
        <v/>
      </c>
      <c r="E553" s="23" t="str">
        <f>IF($A553="","",'Item Balance'!$F552)</f>
        <v/>
      </c>
      <c r="F553" s="26" t="str">
        <f t="shared" si="16"/>
        <v/>
      </c>
      <c r="G553" s="23" t="str">
        <f>IF($A553="","",'Item Balance'!$E552)</f>
        <v/>
      </c>
      <c r="H553" s="26" t="str">
        <f t="shared" si="17"/>
        <v/>
      </c>
      <c r="I553" s="20" t="str">
        <f>IF($A553="","",'Item Balance'!$D552)</f>
        <v/>
      </c>
      <c r="J553" s="31" t="str">
        <f>IF($A553="","",'Item Balance'!$P552)</f>
        <v/>
      </c>
    </row>
    <row r="554" spans="1:10" x14ac:dyDescent="0.35">
      <c r="A554" s="18" t="str">
        <f>IF('Item Balance'!$A553="","",'Item Balance'!$A553)</f>
        <v/>
      </c>
      <c r="B554" s="18" t="str">
        <f>IF($A554="","",'Item Balance'!$B553)</f>
        <v/>
      </c>
      <c r="C554" s="19" t="str">
        <f>IF($A554="","",'Item Balance'!$C553)</f>
        <v/>
      </c>
      <c r="D554" s="23" t="str">
        <f>IF($A554="","",'Item Balance'!$I553)</f>
        <v/>
      </c>
      <c r="E554" s="23" t="str">
        <f>IF($A554="","",'Item Balance'!$F553)</f>
        <v/>
      </c>
      <c r="F554" s="26" t="str">
        <f t="shared" si="16"/>
        <v/>
      </c>
      <c r="G554" s="23" t="str">
        <f>IF($A554="","",'Item Balance'!$E553)</f>
        <v/>
      </c>
      <c r="H554" s="26" t="str">
        <f t="shared" si="17"/>
        <v/>
      </c>
      <c r="I554" s="20" t="str">
        <f>IF($A554="","",'Item Balance'!$D553)</f>
        <v/>
      </c>
      <c r="J554" s="31" t="str">
        <f>IF($A554="","",'Item Balance'!$P553)</f>
        <v/>
      </c>
    </row>
    <row r="555" spans="1:10" x14ac:dyDescent="0.35">
      <c r="A555" s="18" t="str">
        <f>IF('Item Balance'!$A554="","",'Item Balance'!$A554)</f>
        <v/>
      </c>
      <c r="B555" s="18" t="str">
        <f>IF($A555="","",'Item Balance'!$B554)</f>
        <v/>
      </c>
      <c r="C555" s="19" t="str">
        <f>IF($A555="","",'Item Balance'!$C554)</f>
        <v/>
      </c>
      <c r="D555" s="23" t="str">
        <f>IF($A555="","",'Item Balance'!$I554)</f>
        <v/>
      </c>
      <c r="E555" s="23" t="str">
        <f>IF($A555="","",'Item Balance'!$F554)</f>
        <v/>
      </c>
      <c r="F555" s="26" t="str">
        <f t="shared" si="16"/>
        <v/>
      </c>
      <c r="G555" s="23" t="str">
        <f>IF($A555="","",'Item Balance'!$E554)</f>
        <v/>
      </c>
      <c r="H555" s="26" t="str">
        <f t="shared" si="17"/>
        <v/>
      </c>
      <c r="I555" s="20" t="str">
        <f>IF($A555="","",'Item Balance'!$D554)</f>
        <v/>
      </c>
      <c r="J555" s="31" t="str">
        <f>IF($A555="","",'Item Balance'!$P554)</f>
        <v/>
      </c>
    </row>
    <row r="556" spans="1:10" x14ac:dyDescent="0.35">
      <c r="A556" s="18" t="str">
        <f>IF('Item Balance'!$A555="","",'Item Balance'!$A555)</f>
        <v/>
      </c>
      <c r="B556" s="18" t="str">
        <f>IF($A556="","",'Item Balance'!$B555)</f>
        <v/>
      </c>
      <c r="C556" s="19" t="str">
        <f>IF($A556="","",'Item Balance'!$C555)</f>
        <v/>
      </c>
      <c r="D556" s="23" t="str">
        <f>IF($A556="","",'Item Balance'!$I555)</f>
        <v/>
      </c>
      <c r="E556" s="23" t="str">
        <f>IF($A556="","",'Item Balance'!$F555)</f>
        <v/>
      </c>
      <c r="F556" s="26" t="str">
        <f t="shared" si="16"/>
        <v/>
      </c>
      <c r="G556" s="23" t="str">
        <f>IF($A556="","",'Item Balance'!$E555)</f>
        <v/>
      </c>
      <c r="H556" s="26" t="str">
        <f t="shared" si="17"/>
        <v/>
      </c>
      <c r="I556" s="20" t="str">
        <f>IF($A556="","",'Item Balance'!$D555)</f>
        <v/>
      </c>
      <c r="J556" s="31" t="str">
        <f>IF($A556="","",'Item Balance'!$P555)</f>
        <v/>
      </c>
    </row>
    <row r="557" spans="1:10" x14ac:dyDescent="0.35">
      <c r="A557" s="18" t="str">
        <f>IF('Item Balance'!$A556="","",'Item Balance'!$A556)</f>
        <v/>
      </c>
      <c r="B557" s="18" t="str">
        <f>IF($A557="","",'Item Balance'!$B556)</f>
        <v/>
      </c>
      <c r="C557" s="19" t="str">
        <f>IF($A557="","",'Item Balance'!$C556)</f>
        <v/>
      </c>
      <c r="D557" s="23" t="str">
        <f>IF($A557="","",'Item Balance'!$I556)</f>
        <v/>
      </c>
      <c r="E557" s="23" t="str">
        <f>IF($A557="","",'Item Balance'!$F556)</f>
        <v/>
      </c>
      <c r="F557" s="26" t="str">
        <f t="shared" si="16"/>
        <v/>
      </c>
      <c r="G557" s="23" t="str">
        <f>IF($A557="","",'Item Balance'!$E556)</f>
        <v/>
      </c>
      <c r="H557" s="26" t="str">
        <f t="shared" si="17"/>
        <v/>
      </c>
      <c r="I557" s="20" t="str">
        <f>IF($A557="","",'Item Balance'!$D556)</f>
        <v/>
      </c>
      <c r="J557" s="31" t="str">
        <f>IF($A557="","",'Item Balance'!$P556)</f>
        <v/>
      </c>
    </row>
    <row r="558" spans="1:10" x14ac:dyDescent="0.35">
      <c r="A558" s="18" t="str">
        <f>IF('Item Balance'!$A557="","",'Item Balance'!$A557)</f>
        <v/>
      </c>
      <c r="B558" s="18" t="str">
        <f>IF($A558="","",'Item Balance'!$B557)</f>
        <v/>
      </c>
      <c r="C558" s="19" t="str">
        <f>IF($A558="","",'Item Balance'!$C557)</f>
        <v/>
      </c>
      <c r="D558" s="23" t="str">
        <f>IF($A558="","",'Item Balance'!$I557)</f>
        <v/>
      </c>
      <c r="E558" s="23" t="str">
        <f>IF($A558="","",'Item Balance'!$F557)</f>
        <v/>
      </c>
      <c r="F558" s="26" t="str">
        <f t="shared" si="16"/>
        <v/>
      </c>
      <c r="G558" s="23" t="str">
        <f>IF($A558="","",'Item Balance'!$E557)</f>
        <v/>
      </c>
      <c r="H558" s="26" t="str">
        <f t="shared" si="17"/>
        <v/>
      </c>
      <c r="I558" s="20" t="str">
        <f>IF($A558="","",'Item Balance'!$D557)</f>
        <v/>
      </c>
      <c r="J558" s="31" t="str">
        <f>IF($A558="","",'Item Balance'!$P557)</f>
        <v/>
      </c>
    </row>
    <row r="559" spans="1:10" x14ac:dyDescent="0.35">
      <c r="A559" s="18" t="str">
        <f>IF('Item Balance'!$A558="","",'Item Balance'!$A558)</f>
        <v/>
      </c>
      <c r="B559" s="18" t="str">
        <f>IF($A559="","",'Item Balance'!$B558)</f>
        <v/>
      </c>
      <c r="C559" s="19" t="str">
        <f>IF($A559="","",'Item Balance'!$C558)</f>
        <v/>
      </c>
      <c r="D559" s="23" t="str">
        <f>IF($A559="","",'Item Balance'!$I558)</f>
        <v/>
      </c>
      <c r="E559" s="23" t="str">
        <f>IF($A559="","",'Item Balance'!$F558)</f>
        <v/>
      </c>
      <c r="F559" s="26" t="str">
        <f t="shared" si="16"/>
        <v/>
      </c>
      <c r="G559" s="23" t="str">
        <f>IF($A559="","",'Item Balance'!$E558)</f>
        <v/>
      </c>
      <c r="H559" s="26" t="str">
        <f t="shared" si="17"/>
        <v/>
      </c>
      <c r="I559" s="20" t="str">
        <f>IF($A559="","",'Item Balance'!$D558)</f>
        <v/>
      </c>
      <c r="J559" s="31" t="str">
        <f>IF($A559="","",'Item Balance'!$P558)</f>
        <v/>
      </c>
    </row>
    <row r="560" spans="1:10" x14ac:dyDescent="0.35">
      <c r="A560" s="18" t="str">
        <f>IF('Item Balance'!$A559="","",'Item Balance'!$A559)</f>
        <v/>
      </c>
      <c r="B560" s="18" t="str">
        <f>IF($A560="","",'Item Balance'!$B559)</f>
        <v/>
      </c>
      <c r="C560" s="19" t="str">
        <f>IF($A560="","",'Item Balance'!$C559)</f>
        <v/>
      </c>
      <c r="D560" s="23" t="str">
        <f>IF($A560="","",'Item Balance'!$I559)</f>
        <v/>
      </c>
      <c r="E560" s="23" t="str">
        <f>IF($A560="","",'Item Balance'!$F559)</f>
        <v/>
      </c>
      <c r="F560" s="26" t="str">
        <f t="shared" si="16"/>
        <v/>
      </c>
      <c r="G560" s="23" t="str">
        <f>IF($A560="","",'Item Balance'!$E559)</f>
        <v/>
      </c>
      <c r="H560" s="26" t="str">
        <f t="shared" si="17"/>
        <v/>
      </c>
      <c r="I560" s="20" t="str">
        <f>IF($A560="","",'Item Balance'!$D559)</f>
        <v/>
      </c>
      <c r="J560" s="31" t="str">
        <f>IF($A560="","",'Item Balance'!$P559)</f>
        <v/>
      </c>
    </row>
    <row r="561" spans="1:10" x14ac:dyDescent="0.35">
      <c r="A561" s="18" t="str">
        <f>IF('Item Balance'!$A560="","",'Item Balance'!$A560)</f>
        <v/>
      </c>
      <c r="B561" s="18" t="str">
        <f>IF($A561="","",'Item Balance'!$B560)</f>
        <v/>
      </c>
      <c r="C561" s="19" t="str">
        <f>IF($A561="","",'Item Balance'!$C560)</f>
        <v/>
      </c>
      <c r="D561" s="23" t="str">
        <f>IF($A561="","",'Item Balance'!$I560)</f>
        <v/>
      </c>
      <c r="E561" s="23" t="str">
        <f>IF($A561="","",'Item Balance'!$F560)</f>
        <v/>
      </c>
      <c r="F561" s="26" t="str">
        <f t="shared" si="16"/>
        <v/>
      </c>
      <c r="G561" s="23" t="str">
        <f>IF($A561="","",'Item Balance'!$E560)</f>
        <v/>
      </c>
      <c r="H561" s="26" t="str">
        <f t="shared" si="17"/>
        <v/>
      </c>
      <c r="I561" s="20" t="str">
        <f>IF($A561="","",'Item Balance'!$D560)</f>
        <v/>
      </c>
      <c r="J561" s="31" t="str">
        <f>IF($A561="","",'Item Balance'!$P560)</f>
        <v/>
      </c>
    </row>
    <row r="562" spans="1:10" x14ac:dyDescent="0.35">
      <c r="A562" s="18" t="str">
        <f>IF('Item Balance'!$A561="","",'Item Balance'!$A561)</f>
        <v/>
      </c>
      <c r="B562" s="18" t="str">
        <f>IF($A562="","",'Item Balance'!$B561)</f>
        <v/>
      </c>
      <c r="C562" s="19" t="str">
        <f>IF($A562="","",'Item Balance'!$C561)</f>
        <v/>
      </c>
      <c r="D562" s="23" t="str">
        <f>IF($A562="","",'Item Balance'!$I561)</f>
        <v/>
      </c>
      <c r="E562" s="23" t="str">
        <f>IF($A562="","",'Item Balance'!$F561)</f>
        <v/>
      </c>
      <c r="F562" s="26" t="str">
        <f t="shared" si="16"/>
        <v/>
      </c>
      <c r="G562" s="23" t="str">
        <f>IF($A562="","",'Item Balance'!$E561)</f>
        <v/>
      </c>
      <c r="H562" s="26" t="str">
        <f t="shared" si="17"/>
        <v/>
      </c>
      <c r="I562" s="20" t="str">
        <f>IF($A562="","",'Item Balance'!$D561)</f>
        <v/>
      </c>
      <c r="J562" s="31" t="str">
        <f>IF($A562="","",'Item Balance'!$P561)</f>
        <v/>
      </c>
    </row>
    <row r="563" spans="1:10" x14ac:dyDescent="0.35">
      <c r="A563" s="18" t="str">
        <f>IF('Item Balance'!$A562="","",'Item Balance'!$A562)</f>
        <v/>
      </c>
      <c r="B563" s="18" t="str">
        <f>IF($A563="","",'Item Balance'!$B562)</f>
        <v/>
      </c>
      <c r="C563" s="19" t="str">
        <f>IF($A563="","",'Item Balance'!$C562)</f>
        <v/>
      </c>
      <c r="D563" s="23" t="str">
        <f>IF($A563="","",'Item Balance'!$I562)</f>
        <v/>
      </c>
      <c r="E563" s="23" t="str">
        <f>IF($A563="","",'Item Balance'!$F562)</f>
        <v/>
      </c>
      <c r="F563" s="26" t="str">
        <f t="shared" si="16"/>
        <v/>
      </c>
      <c r="G563" s="23" t="str">
        <f>IF($A563="","",'Item Balance'!$E562)</f>
        <v/>
      </c>
      <c r="H563" s="26" t="str">
        <f t="shared" si="17"/>
        <v/>
      </c>
      <c r="I563" s="20" t="str">
        <f>IF($A563="","",'Item Balance'!$D562)</f>
        <v/>
      </c>
      <c r="J563" s="31" t="str">
        <f>IF($A563="","",'Item Balance'!$P562)</f>
        <v/>
      </c>
    </row>
    <row r="564" spans="1:10" x14ac:dyDescent="0.35">
      <c r="A564" s="18" t="str">
        <f>IF('Item Balance'!$A563="","",'Item Balance'!$A563)</f>
        <v/>
      </c>
      <c r="B564" s="18" t="str">
        <f>IF($A564="","",'Item Balance'!$B563)</f>
        <v/>
      </c>
      <c r="C564" s="19" t="str">
        <f>IF($A564="","",'Item Balance'!$C563)</f>
        <v/>
      </c>
      <c r="D564" s="23" t="str">
        <f>IF($A564="","",'Item Balance'!$I563)</f>
        <v/>
      </c>
      <c r="E564" s="23" t="str">
        <f>IF($A564="","",'Item Balance'!$F563)</f>
        <v/>
      </c>
      <c r="F564" s="26" t="str">
        <f t="shared" si="16"/>
        <v/>
      </c>
      <c r="G564" s="23" t="str">
        <f>IF($A564="","",'Item Balance'!$E563)</f>
        <v/>
      </c>
      <c r="H564" s="26" t="str">
        <f t="shared" si="17"/>
        <v/>
      </c>
      <c r="I564" s="20" t="str">
        <f>IF($A564="","",'Item Balance'!$D563)</f>
        <v/>
      </c>
      <c r="J564" s="31" t="str">
        <f>IF($A564="","",'Item Balance'!$P563)</f>
        <v/>
      </c>
    </row>
    <row r="565" spans="1:10" x14ac:dyDescent="0.35">
      <c r="A565" s="18" t="str">
        <f>IF('Item Balance'!$A564="","",'Item Balance'!$A564)</f>
        <v/>
      </c>
      <c r="B565" s="18" t="str">
        <f>IF($A565="","",'Item Balance'!$B564)</f>
        <v/>
      </c>
      <c r="C565" s="19" t="str">
        <f>IF($A565="","",'Item Balance'!$C564)</f>
        <v/>
      </c>
      <c r="D565" s="23" t="str">
        <f>IF($A565="","",'Item Balance'!$I564)</f>
        <v/>
      </c>
      <c r="E565" s="23" t="str">
        <f>IF($A565="","",'Item Balance'!$F564)</f>
        <v/>
      </c>
      <c r="F565" s="26" t="str">
        <f t="shared" si="16"/>
        <v/>
      </c>
      <c r="G565" s="23" t="str">
        <f>IF($A565="","",'Item Balance'!$E564)</f>
        <v/>
      </c>
      <c r="H565" s="26" t="str">
        <f t="shared" si="17"/>
        <v/>
      </c>
      <c r="I565" s="20" t="str">
        <f>IF($A565="","",'Item Balance'!$D564)</f>
        <v/>
      </c>
      <c r="J565" s="31" t="str">
        <f>IF($A565="","",'Item Balance'!$P564)</f>
        <v/>
      </c>
    </row>
    <row r="566" spans="1:10" x14ac:dyDescent="0.35">
      <c r="A566" s="18" t="str">
        <f>IF('Item Balance'!$A565="","",'Item Balance'!$A565)</f>
        <v/>
      </c>
      <c r="B566" s="18" t="str">
        <f>IF($A566="","",'Item Balance'!$B565)</f>
        <v/>
      </c>
      <c r="C566" s="19" t="str">
        <f>IF($A566="","",'Item Balance'!$C565)</f>
        <v/>
      </c>
      <c r="D566" s="23" t="str">
        <f>IF($A566="","",'Item Balance'!$I565)</f>
        <v/>
      </c>
      <c r="E566" s="23" t="str">
        <f>IF($A566="","",'Item Balance'!$F565)</f>
        <v/>
      </c>
      <c r="F566" s="26" t="str">
        <f t="shared" si="16"/>
        <v/>
      </c>
      <c r="G566" s="23" t="str">
        <f>IF($A566="","",'Item Balance'!$E565)</f>
        <v/>
      </c>
      <c r="H566" s="26" t="str">
        <f t="shared" si="17"/>
        <v/>
      </c>
      <c r="I566" s="20" t="str">
        <f>IF($A566="","",'Item Balance'!$D565)</f>
        <v/>
      </c>
      <c r="J566" s="31" t="str">
        <f>IF($A566="","",'Item Balance'!$P565)</f>
        <v/>
      </c>
    </row>
    <row r="567" spans="1:10" x14ac:dyDescent="0.35">
      <c r="A567" s="18" t="str">
        <f>IF('Item Balance'!$A566="","",'Item Balance'!$A566)</f>
        <v/>
      </c>
      <c r="B567" s="18" t="str">
        <f>IF($A567="","",'Item Balance'!$B566)</f>
        <v/>
      </c>
      <c r="C567" s="19" t="str">
        <f>IF($A567="","",'Item Balance'!$C566)</f>
        <v/>
      </c>
      <c r="D567" s="23" t="str">
        <f>IF($A567="","",'Item Balance'!$I566)</f>
        <v/>
      </c>
      <c r="E567" s="23" t="str">
        <f>IF($A567="","",'Item Balance'!$F566)</f>
        <v/>
      </c>
      <c r="F567" s="26" t="str">
        <f t="shared" si="16"/>
        <v/>
      </c>
      <c r="G567" s="23" t="str">
        <f>IF($A567="","",'Item Balance'!$E566)</f>
        <v/>
      </c>
      <c r="H567" s="26" t="str">
        <f t="shared" si="17"/>
        <v/>
      </c>
      <c r="I567" s="20" t="str">
        <f>IF($A567="","",'Item Balance'!$D566)</f>
        <v/>
      </c>
      <c r="J567" s="31" t="str">
        <f>IF($A567="","",'Item Balance'!$P566)</f>
        <v/>
      </c>
    </row>
    <row r="568" spans="1:10" x14ac:dyDescent="0.35">
      <c r="A568" s="18" t="str">
        <f>IF('Item Balance'!$A567="","",'Item Balance'!$A567)</f>
        <v/>
      </c>
      <c r="B568" s="18" t="str">
        <f>IF($A568="","",'Item Balance'!$B567)</f>
        <v/>
      </c>
      <c r="C568" s="19" t="str">
        <f>IF($A568="","",'Item Balance'!$C567)</f>
        <v/>
      </c>
      <c r="D568" s="23" t="str">
        <f>IF($A568="","",'Item Balance'!$I567)</f>
        <v/>
      </c>
      <c r="E568" s="23" t="str">
        <f>IF($A568="","",'Item Balance'!$F567)</f>
        <v/>
      </c>
      <c r="F568" s="26" t="str">
        <f t="shared" si="16"/>
        <v/>
      </c>
      <c r="G568" s="23" t="str">
        <f>IF($A568="","",'Item Balance'!$E567)</f>
        <v/>
      </c>
      <c r="H568" s="26" t="str">
        <f t="shared" si="17"/>
        <v/>
      </c>
      <c r="I568" s="20" t="str">
        <f>IF($A568="","",'Item Balance'!$D567)</f>
        <v/>
      </c>
      <c r="J568" s="31" t="str">
        <f>IF($A568="","",'Item Balance'!$P567)</f>
        <v/>
      </c>
    </row>
    <row r="569" spans="1:10" x14ac:dyDescent="0.35">
      <c r="A569" s="18" t="str">
        <f>IF('Item Balance'!$A568="","",'Item Balance'!$A568)</f>
        <v/>
      </c>
      <c r="B569" s="18" t="str">
        <f>IF($A569="","",'Item Balance'!$B568)</f>
        <v/>
      </c>
      <c r="C569" s="19" t="str">
        <f>IF($A569="","",'Item Balance'!$C568)</f>
        <v/>
      </c>
      <c r="D569" s="23" t="str">
        <f>IF($A569="","",'Item Balance'!$I568)</f>
        <v/>
      </c>
      <c r="E569" s="23" t="str">
        <f>IF($A569="","",'Item Balance'!$F568)</f>
        <v/>
      </c>
      <c r="F569" s="26" t="str">
        <f t="shared" si="16"/>
        <v/>
      </c>
      <c r="G569" s="23" t="str">
        <f>IF($A569="","",'Item Balance'!$E568)</f>
        <v/>
      </c>
      <c r="H569" s="26" t="str">
        <f t="shared" si="17"/>
        <v/>
      </c>
      <c r="I569" s="20" t="str">
        <f>IF($A569="","",'Item Balance'!$D568)</f>
        <v/>
      </c>
      <c r="J569" s="31" t="str">
        <f>IF($A569="","",'Item Balance'!$P568)</f>
        <v/>
      </c>
    </row>
    <row r="570" spans="1:10" x14ac:dyDescent="0.35">
      <c r="A570" s="18" t="str">
        <f>IF('Item Balance'!$A569="","",'Item Balance'!$A569)</f>
        <v/>
      </c>
      <c r="B570" s="18" t="str">
        <f>IF($A570="","",'Item Balance'!$B569)</f>
        <v/>
      </c>
      <c r="C570" s="19" t="str">
        <f>IF($A570="","",'Item Balance'!$C569)</f>
        <v/>
      </c>
      <c r="D570" s="23" t="str">
        <f>IF($A570="","",'Item Balance'!$I569)</f>
        <v/>
      </c>
      <c r="E570" s="23" t="str">
        <f>IF($A570="","",'Item Balance'!$F569)</f>
        <v/>
      </c>
      <c r="F570" s="26" t="str">
        <f t="shared" si="16"/>
        <v/>
      </c>
      <c r="G570" s="23" t="str">
        <f>IF($A570="","",'Item Balance'!$E569)</f>
        <v/>
      </c>
      <c r="H570" s="26" t="str">
        <f t="shared" si="17"/>
        <v/>
      </c>
      <c r="I570" s="20" t="str">
        <f>IF($A570="","",'Item Balance'!$D569)</f>
        <v/>
      </c>
      <c r="J570" s="31" t="str">
        <f>IF($A570="","",'Item Balance'!$P569)</f>
        <v/>
      </c>
    </row>
    <row r="571" spans="1:10" x14ac:dyDescent="0.35">
      <c r="A571" s="18" t="str">
        <f>IF('Item Balance'!$A570="","",'Item Balance'!$A570)</f>
        <v/>
      </c>
      <c r="B571" s="18" t="str">
        <f>IF($A571="","",'Item Balance'!$B570)</f>
        <v/>
      </c>
      <c r="C571" s="19" t="str">
        <f>IF($A571="","",'Item Balance'!$C570)</f>
        <v/>
      </c>
      <c r="D571" s="23" t="str">
        <f>IF($A571="","",'Item Balance'!$I570)</f>
        <v/>
      </c>
      <c r="E571" s="23" t="str">
        <f>IF($A571="","",'Item Balance'!$F570)</f>
        <v/>
      </c>
      <c r="F571" s="26" t="str">
        <f t="shared" si="16"/>
        <v/>
      </c>
      <c r="G571" s="23" t="str">
        <f>IF($A571="","",'Item Balance'!$E570)</f>
        <v/>
      </c>
      <c r="H571" s="26" t="str">
        <f t="shared" si="17"/>
        <v/>
      </c>
      <c r="I571" s="20" t="str">
        <f>IF($A571="","",'Item Balance'!$D570)</f>
        <v/>
      </c>
      <c r="J571" s="31" t="str">
        <f>IF($A571="","",'Item Balance'!$P570)</f>
        <v/>
      </c>
    </row>
    <row r="572" spans="1:10" x14ac:dyDescent="0.35">
      <c r="A572" s="18" t="str">
        <f>IF('Item Balance'!$A571="","",'Item Balance'!$A571)</f>
        <v/>
      </c>
      <c r="B572" s="18" t="str">
        <f>IF($A572="","",'Item Balance'!$B571)</f>
        <v/>
      </c>
      <c r="C572" s="19" t="str">
        <f>IF($A572="","",'Item Balance'!$C571)</f>
        <v/>
      </c>
      <c r="D572" s="23" t="str">
        <f>IF($A572="","",'Item Balance'!$I571)</f>
        <v/>
      </c>
      <c r="E572" s="23" t="str">
        <f>IF($A572="","",'Item Balance'!$F571)</f>
        <v/>
      </c>
      <c r="F572" s="26" t="str">
        <f t="shared" si="16"/>
        <v/>
      </c>
      <c r="G572" s="23" t="str">
        <f>IF($A572="","",'Item Balance'!$E571)</f>
        <v/>
      </c>
      <c r="H572" s="26" t="str">
        <f t="shared" si="17"/>
        <v/>
      </c>
      <c r="I572" s="20" t="str">
        <f>IF($A572="","",'Item Balance'!$D571)</f>
        <v/>
      </c>
      <c r="J572" s="31" t="str">
        <f>IF($A572="","",'Item Balance'!$P571)</f>
        <v/>
      </c>
    </row>
    <row r="573" spans="1:10" x14ac:dyDescent="0.35">
      <c r="A573" s="18" t="str">
        <f>IF('Item Balance'!$A572="","",'Item Balance'!$A572)</f>
        <v/>
      </c>
      <c r="B573" s="18" t="str">
        <f>IF($A573="","",'Item Balance'!$B572)</f>
        <v/>
      </c>
      <c r="C573" s="19" t="str">
        <f>IF($A573="","",'Item Balance'!$C572)</f>
        <v/>
      </c>
      <c r="D573" s="23" t="str">
        <f>IF($A573="","",'Item Balance'!$I572)</f>
        <v/>
      </c>
      <c r="E573" s="23" t="str">
        <f>IF($A573="","",'Item Balance'!$F572)</f>
        <v/>
      </c>
      <c r="F573" s="26" t="str">
        <f t="shared" si="16"/>
        <v/>
      </c>
      <c r="G573" s="23" t="str">
        <f>IF($A573="","",'Item Balance'!$E572)</f>
        <v/>
      </c>
      <c r="H573" s="26" t="str">
        <f t="shared" si="17"/>
        <v/>
      </c>
      <c r="I573" s="20" t="str">
        <f>IF($A573="","",'Item Balance'!$D572)</f>
        <v/>
      </c>
      <c r="J573" s="31" t="str">
        <f>IF($A573="","",'Item Balance'!$P572)</f>
        <v/>
      </c>
    </row>
    <row r="574" spans="1:10" x14ac:dyDescent="0.35">
      <c r="A574" s="18" t="str">
        <f>IF('Item Balance'!$A573="","",'Item Balance'!$A573)</f>
        <v/>
      </c>
      <c r="B574" s="18" t="str">
        <f>IF($A574="","",'Item Balance'!$B573)</f>
        <v/>
      </c>
      <c r="C574" s="19" t="str">
        <f>IF($A574="","",'Item Balance'!$C573)</f>
        <v/>
      </c>
      <c r="D574" s="23" t="str">
        <f>IF($A574="","",'Item Balance'!$I573)</f>
        <v/>
      </c>
      <c r="E574" s="23" t="str">
        <f>IF($A574="","",'Item Balance'!$F573)</f>
        <v/>
      </c>
      <c r="F574" s="26" t="str">
        <f t="shared" si="16"/>
        <v/>
      </c>
      <c r="G574" s="23" t="str">
        <f>IF($A574="","",'Item Balance'!$E573)</f>
        <v/>
      </c>
      <c r="H574" s="26" t="str">
        <f t="shared" si="17"/>
        <v/>
      </c>
      <c r="I574" s="20" t="str">
        <f>IF($A574="","",'Item Balance'!$D573)</f>
        <v/>
      </c>
      <c r="J574" s="31" t="str">
        <f>IF($A574="","",'Item Balance'!$P573)</f>
        <v/>
      </c>
    </row>
    <row r="575" spans="1:10" x14ac:dyDescent="0.35">
      <c r="A575" s="18" t="str">
        <f>IF('Item Balance'!$A574="","",'Item Balance'!$A574)</f>
        <v/>
      </c>
      <c r="B575" s="18" t="str">
        <f>IF($A575="","",'Item Balance'!$B574)</f>
        <v/>
      </c>
      <c r="C575" s="19" t="str">
        <f>IF($A575="","",'Item Balance'!$C574)</f>
        <v/>
      </c>
      <c r="D575" s="23" t="str">
        <f>IF($A575="","",'Item Balance'!$I574)</f>
        <v/>
      </c>
      <c r="E575" s="23" t="str">
        <f>IF($A575="","",'Item Balance'!$F574)</f>
        <v/>
      </c>
      <c r="F575" s="26" t="str">
        <f t="shared" si="16"/>
        <v/>
      </c>
      <c r="G575" s="23" t="str">
        <f>IF($A575="","",'Item Balance'!$E574)</f>
        <v/>
      </c>
      <c r="H575" s="26" t="str">
        <f t="shared" si="17"/>
        <v/>
      </c>
      <c r="I575" s="20" t="str">
        <f>IF($A575="","",'Item Balance'!$D574)</f>
        <v/>
      </c>
      <c r="J575" s="31" t="str">
        <f>IF($A575="","",'Item Balance'!$P574)</f>
        <v/>
      </c>
    </row>
    <row r="576" spans="1:10" x14ac:dyDescent="0.35">
      <c r="A576" s="18" t="str">
        <f>IF('Item Balance'!$A575="","",'Item Balance'!$A575)</f>
        <v/>
      </c>
      <c r="B576" s="18" t="str">
        <f>IF($A576="","",'Item Balance'!$B575)</f>
        <v/>
      </c>
      <c r="C576" s="19" t="str">
        <f>IF($A576="","",'Item Balance'!$C575)</f>
        <v/>
      </c>
      <c r="D576" s="23" t="str">
        <f>IF($A576="","",'Item Balance'!$I575)</f>
        <v/>
      </c>
      <c r="E576" s="23" t="str">
        <f>IF($A576="","",'Item Balance'!$F575)</f>
        <v/>
      </c>
      <c r="F576" s="26" t="str">
        <f t="shared" si="16"/>
        <v/>
      </c>
      <c r="G576" s="23" t="str">
        <f>IF($A576="","",'Item Balance'!$E575)</f>
        <v/>
      </c>
      <c r="H576" s="26" t="str">
        <f t="shared" si="17"/>
        <v/>
      </c>
      <c r="I576" s="20" t="str">
        <f>IF($A576="","",'Item Balance'!$D575)</f>
        <v/>
      </c>
      <c r="J576" s="31" t="str">
        <f>IF($A576="","",'Item Balance'!$P575)</f>
        <v/>
      </c>
    </row>
    <row r="577" spans="1:10" x14ac:dyDescent="0.35">
      <c r="A577" s="18" t="str">
        <f>IF('Item Balance'!$A576="","",'Item Balance'!$A576)</f>
        <v/>
      </c>
      <c r="B577" s="18" t="str">
        <f>IF($A577="","",'Item Balance'!$B576)</f>
        <v/>
      </c>
      <c r="C577" s="19" t="str">
        <f>IF($A577="","",'Item Balance'!$C576)</f>
        <v/>
      </c>
      <c r="D577" s="23" t="str">
        <f>IF($A577="","",'Item Balance'!$I576)</f>
        <v/>
      </c>
      <c r="E577" s="23" t="str">
        <f>IF($A577="","",'Item Balance'!$F576)</f>
        <v/>
      </c>
      <c r="F577" s="26" t="str">
        <f t="shared" si="16"/>
        <v/>
      </c>
      <c r="G577" s="23" t="str">
        <f>IF($A577="","",'Item Balance'!$E576)</f>
        <v/>
      </c>
      <c r="H577" s="26" t="str">
        <f t="shared" si="17"/>
        <v/>
      </c>
      <c r="I577" s="20" t="str">
        <f>IF($A577="","",'Item Balance'!$D576)</f>
        <v/>
      </c>
      <c r="J577" s="31" t="str">
        <f>IF($A577="","",'Item Balance'!$P576)</f>
        <v/>
      </c>
    </row>
    <row r="578" spans="1:10" x14ac:dyDescent="0.35">
      <c r="A578" s="18" t="str">
        <f>IF('Item Balance'!$A577="","",'Item Balance'!$A577)</f>
        <v/>
      </c>
      <c r="B578" s="18" t="str">
        <f>IF($A578="","",'Item Balance'!$B577)</f>
        <v/>
      </c>
      <c r="C578" s="19" t="str">
        <f>IF($A578="","",'Item Balance'!$C577)</f>
        <v/>
      </c>
      <c r="D578" s="23" t="str">
        <f>IF($A578="","",'Item Balance'!$I577)</f>
        <v/>
      </c>
      <c r="E578" s="23" t="str">
        <f>IF($A578="","",'Item Balance'!$F577)</f>
        <v/>
      </c>
      <c r="F578" s="26" t="str">
        <f t="shared" si="16"/>
        <v/>
      </c>
      <c r="G578" s="23" t="str">
        <f>IF($A578="","",'Item Balance'!$E577)</f>
        <v/>
      </c>
      <c r="H578" s="26" t="str">
        <f t="shared" si="17"/>
        <v/>
      </c>
      <c r="I578" s="20" t="str">
        <f>IF($A578="","",'Item Balance'!$D577)</f>
        <v/>
      </c>
      <c r="J578" s="31" t="str">
        <f>IF($A578="","",'Item Balance'!$P577)</f>
        <v/>
      </c>
    </row>
    <row r="579" spans="1:10" x14ac:dyDescent="0.35">
      <c r="A579" s="18" t="str">
        <f>IF('Item Balance'!$A578="","",'Item Balance'!$A578)</f>
        <v/>
      </c>
      <c r="B579" s="18" t="str">
        <f>IF($A579="","",'Item Balance'!$B578)</f>
        <v/>
      </c>
      <c r="C579" s="19" t="str">
        <f>IF($A579="","",'Item Balance'!$C578)</f>
        <v/>
      </c>
      <c r="D579" s="23" t="str">
        <f>IF($A579="","",'Item Balance'!$I578)</f>
        <v/>
      </c>
      <c r="E579" s="23" t="str">
        <f>IF($A579="","",'Item Balance'!$F578)</f>
        <v/>
      </c>
      <c r="F579" s="26" t="str">
        <f t="shared" si="16"/>
        <v/>
      </c>
      <c r="G579" s="23" t="str">
        <f>IF($A579="","",'Item Balance'!$E578)</f>
        <v/>
      </c>
      <c r="H579" s="26" t="str">
        <f t="shared" si="17"/>
        <v/>
      </c>
      <c r="I579" s="20" t="str">
        <f>IF($A579="","",'Item Balance'!$D578)</f>
        <v/>
      </c>
      <c r="J579" s="31" t="str">
        <f>IF($A579="","",'Item Balance'!$P578)</f>
        <v/>
      </c>
    </row>
    <row r="580" spans="1:10" x14ac:dyDescent="0.35">
      <c r="A580" s="18" t="str">
        <f>IF('Item Balance'!$A579="","",'Item Balance'!$A579)</f>
        <v/>
      </c>
      <c r="B580" s="18" t="str">
        <f>IF($A580="","",'Item Balance'!$B579)</f>
        <v/>
      </c>
      <c r="C580" s="19" t="str">
        <f>IF($A580="","",'Item Balance'!$C579)</f>
        <v/>
      </c>
      <c r="D580" s="23" t="str">
        <f>IF($A580="","",'Item Balance'!$I579)</f>
        <v/>
      </c>
      <c r="E580" s="23" t="str">
        <f>IF($A580="","",'Item Balance'!$F579)</f>
        <v/>
      </c>
      <c r="F580" s="26" t="str">
        <f t="shared" si="16"/>
        <v/>
      </c>
      <c r="G580" s="23" t="str">
        <f>IF($A580="","",'Item Balance'!$E579)</f>
        <v/>
      </c>
      <c r="H580" s="26" t="str">
        <f t="shared" si="17"/>
        <v/>
      </c>
      <c r="I580" s="20" t="str">
        <f>IF($A580="","",'Item Balance'!$D579)</f>
        <v/>
      </c>
      <c r="J580" s="31" t="str">
        <f>IF($A580="","",'Item Balance'!$P579)</f>
        <v/>
      </c>
    </row>
    <row r="581" spans="1:10" x14ac:dyDescent="0.35">
      <c r="A581" s="18" t="str">
        <f>IF('Item Balance'!$A580="","",'Item Balance'!$A580)</f>
        <v/>
      </c>
      <c r="B581" s="18" t="str">
        <f>IF($A581="","",'Item Balance'!$B580)</f>
        <v/>
      </c>
      <c r="C581" s="19" t="str">
        <f>IF($A581="","",'Item Balance'!$C580)</f>
        <v/>
      </c>
      <c r="D581" s="23" t="str">
        <f>IF($A581="","",'Item Balance'!$I580)</f>
        <v/>
      </c>
      <c r="E581" s="23" t="str">
        <f>IF($A581="","",'Item Balance'!$F580)</f>
        <v/>
      </c>
      <c r="F581" s="26" t="str">
        <f t="shared" si="16"/>
        <v/>
      </c>
      <c r="G581" s="23" t="str">
        <f>IF($A581="","",'Item Balance'!$E580)</f>
        <v/>
      </c>
      <c r="H581" s="26" t="str">
        <f t="shared" si="17"/>
        <v/>
      </c>
      <c r="I581" s="20" t="str">
        <f>IF($A581="","",'Item Balance'!$D580)</f>
        <v/>
      </c>
      <c r="J581" s="31" t="str">
        <f>IF($A581="","",'Item Balance'!$P580)</f>
        <v/>
      </c>
    </row>
    <row r="582" spans="1:10" x14ac:dyDescent="0.35">
      <c r="A582" s="18" t="str">
        <f>IF('Item Balance'!$A581="","",'Item Balance'!$A581)</f>
        <v/>
      </c>
      <c r="B582" s="18" t="str">
        <f>IF($A582="","",'Item Balance'!$B581)</f>
        <v/>
      </c>
      <c r="C582" s="19" t="str">
        <f>IF($A582="","",'Item Balance'!$C581)</f>
        <v/>
      </c>
      <c r="D582" s="23" t="str">
        <f>IF($A582="","",'Item Balance'!$I581)</f>
        <v/>
      </c>
      <c r="E582" s="23" t="str">
        <f>IF($A582="","",'Item Balance'!$F581)</f>
        <v/>
      </c>
      <c r="F582" s="26" t="str">
        <f t="shared" ref="F582:F600" si="18">IF(OR($A582="",NOT(ISNUMBER($E582)),NOT(ISNUMBER($D582))),"",MAX(0,$E582-$D582))</f>
        <v/>
      </c>
      <c r="G582" s="23" t="str">
        <f>IF($A582="","",'Item Balance'!$E581)</f>
        <v/>
      </c>
      <c r="H582" s="26" t="str">
        <f t="shared" ref="H582:H600" si="19">IF(OR($A582="",NOT(ISNUMBER($G582)),$G582=0,NOT(ISNUMBER($D582))),"",ROUNDDOWN($D582/$G582,0))</f>
        <v/>
      </c>
      <c r="I582" s="20" t="str">
        <f>IF($A582="","",'Item Balance'!$D581)</f>
        <v/>
      </c>
      <c r="J582" s="31" t="str">
        <f>IF($A582="","",'Item Balance'!$P581)</f>
        <v/>
      </c>
    </row>
    <row r="583" spans="1:10" x14ac:dyDescent="0.35">
      <c r="A583" s="18" t="str">
        <f>IF('Item Balance'!$A582="","",'Item Balance'!$A582)</f>
        <v/>
      </c>
      <c r="B583" s="18" t="str">
        <f>IF($A583="","",'Item Balance'!$B582)</f>
        <v/>
      </c>
      <c r="C583" s="19" t="str">
        <f>IF($A583="","",'Item Balance'!$C582)</f>
        <v/>
      </c>
      <c r="D583" s="23" t="str">
        <f>IF($A583="","",'Item Balance'!$I582)</f>
        <v/>
      </c>
      <c r="E583" s="23" t="str">
        <f>IF($A583="","",'Item Balance'!$F582)</f>
        <v/>
      </c>
      <c r="F583" s="26" t="str">
        <f t="shared" si="18"/>
        <v/>
      </c>
      <c r="G583" s="23" t="str">
        <f>IF($A583="","",'Item Balance'!$E582)</f>
        <v/>
      </c>
      <c r="H583" s="26" t="str">
        <f t="shared" si="19"/>
        <v/>
      </c>
      <c r="I583" s="20" t="str">
        <f>IF($A583="","",'Item Balance'!$D582)</f>
        <v/>
      </c>
      <c r="J583" s="31" t="str">
        <f>IF($A583="","",'Item Balance'!$P582)</f>
        <v/>
      </c>
    </row>
    <row r="584" spans="1:10" x14ac:dyDescent="0.35">
      <c r="A584" s="18" t="str">
        <f>IF('Item Balance'!$A583="","",'Item Balance'!$A583)</f>
        <v/>
      </c>
      <c r="B584" s="18" t="str">
        <f>IF($A584="","",'Item Balance'!$B583)</f>
        <v/>
      </c>
      <c r="C584" s="19" t="str">
        <f>IF($A584="","",'Item Balance'!$C583)</f>
        <v/>
      </c>
      <c r="D584" s="23" t="str">
        <f>IF($A584="","",'Item Balance'!$I583)</f>
        <v/>
      </c>
      <c r="E584" s="23" t="str">
        <f>IF($A584="","",'Item Balance'!$F583)</f>
        <v/>
      </c>
      <c r="F584" s="26" t="str">
        <f t="shared" si="18"/>
        <v/>
      </c>
      <c r="G584" s="23" t="str">
        <f>IF($A584="","",'Item Balance'!$E583)</f>
        <v/>
      </c>
      <c r="H584" s="26" t="str">
        <f t="shared" si="19"/>
        <v/>
      </c>
      <c r="I584" s="20" t="str">
        <f>IF($A584="","",'Item Balance'!$D583)</f>
        <v/>
      </c>
      <c r="J584" s="31" t="str">
        <f>IF($A584="","",'Item Balance'!$P583)</f>
        <v/>
      </c>
    </row>
    <row r="585" spans="1:10" x14ac:dyDescent="0.35">
      <c r="A585" s="18" t="str">
        <f>IF('Item Balance'!$A584="","",'Item Balance'!$A584)</f>
        <v/>
      </c>
      <c r="B585" s="18" t="str">
        <f>IF($A585="","",'Item Balance'!$B584)</f>
        <v/>
      </c>
      <c r="C585" s="19" t="str">
        <f>IF($A585="","",'Item Balance'!$C584)</f>
        <v/>
      </c>
      <c r="D585" s="23" t="str">
        <f>IF($A585="","",'Item Balance'!$I584)</f>
        <v/>
      </c>
      <c r="E585" s="23" t="str">
        <f>IF($A585="","",'Item Balance'!$F584)</f>
        <v/>
      </c>
      <c r="F585" s="26" t="str">
        <f t="shared" si="18"/>
        <v/>
      </c>
      <c r="G585" s="23" t="str">
        <f>IF($A585="","",'Item Balance'!$E584)</f>
        <v/>
      </c>
      <c r="H585" s="26" t="str">
        <f t="shared" si="19"/>
        <v/>
      </c>
      <c r="I585" s="20" t="str">
        <f>IF($A585="","",'Item Balance'!$D584)</f>
        <v/>
      </c>
      <c r="J585" s="31" t="str">
        <f>IF($A585="","",'Item Balance'!$P584)</f>
        <v/>
      </c>
    </row>
    <row r="586" spans="1:10" x14ac:dyDescent="0.35">
      <c r="A586" s="18" t="str">
        <f>IF('Item Balance'!$A585="","",'Item Balance'!$A585)</f>
        <v/>
      </c>
      <c r="B586" s="18" t="str">
        <f>IF($A586="","",'Item Balance'!$B585)</f>
        <v/>
      </c>
      <c r="C586" s="19" t="str">
        <f>IF($A586="","",'Item Balance'!$C585)</f>
        <v/>
      </c>
      <c r="D586" s="23" t="str">
        <f>IF($A586="","",'Item Balance'!$I585)</f>
        <v/>
      </c>
      <c r="E586" s="23" t="str">
        <f>IF($A586="","",'Item Balance'!$F585)</f>
        <v/>
      </c>
      <c r="F586" s="26" t="str">
        <f t="shared" si="18"/>
        <v/>
      </c>
      <c r="G586" s="23" t="str">
        <f>IF($A586="","",'Item Balance'!$E585)</f>
        <v/>
      </c>
      <c r="H586" s="26" t="str">
        <f t="shared" si="19"/>
        <v/>
      </c>
      <c r="I586" s="20" t="str">
        <f>IF($A586="","",'Item Balance'!$D585)</f>
        <v/>
      </c>
      <c r="J586" s="31" t="str">
        <f>IF($A586="","",'Item Balance'!$P585)</f>
        <v/>
      </c>
    </row>
    <row r="587" spans="1:10" x14ac:dyDescent="0.35">
      <c r="A587" s="18" t="str">
        <f>IF('Item Balance'!$A586="","",'Item Balance'!$A586)</f>
        <v/>
      </c>
      <c r="B587" s="18" t="str">
        <f>IF($A587="","",'Item Balance'!$B586)</f>
        <v/>
      </c>
      <c r="C587" s="19" t="str">
        <f>IF($A587="","",'Item Balance'!$C586)</f>
        <v/>
      </c>
      <c r="D587" s="23" t="str">
        <f>IF($A587="","",'Item Balance'!$I586)</f>
        <v/>
      </c>
      <c r="E587" s="23" t="str">
        <f>IF($A587="","",'Item Balance'!$F586)</f>
        <v/>
      </c>
      <c r="F587" s="26" t="str">
        <f t="shared" si="18"/>
        <v/>
      </c>
      <c r="G587" s="23" t="str">
        <f>IF($A587="","",'Item Balance'!$E586)</f>
        <v/>
      </c>
      <c r="H587" s="26" t="str">
        <f t="shared" si="19"/>
        <v/>
      </c>
      <c r="I587" s="20" t="str">
        <f>IF($A587="","",'Item Balance'!$D586)</f>
        <v/>
      </c>
      <c r="J587" s="31" t="str">
        <f>IF($A587="","",'Item Balance'!$P586)</f>
        <v/>
      </c>
    </row>
    <row r="588" spans="1:10" x14ac:dyDescent="0.35">
      <c r="A588" s="18" t="str">
        <f>IF('Item Balance'!$A587="","",'Item Balance'!$A587)</f>
        <v/>
      </c>
      <c r="B588" s="18" t="str">
        <f>IF($A588="","",'Item Balance'!$B587)</f>
        <v/>
      </c>
      <c r="C588" s="19" t="str">
        <f>IF($A588="","",'Item Balance'!$C587)</f>
        <v/>
      </c>
      <c r="D588" s="23" t="str">
        <f>IF($A588="","",'Item Balance'!$I587)</f>
        <v/>
      </c>
      <c r="E588" s="23" t="str">
        <f>IF($A588="","",'Item Balance'!$F587)</f>
        <v/>
      </c>
      <c r="F588" s="26" t="str">
        <f t="shared" si="18"/>
        <v/>
      </c>
      <c r="G588" s="23" t="str">
        <f>IF($A588="","",'Item Balance'!$E587)</f>
        <v/>
      </c>
      <c r="H588" s="26" t="str">
        <f t="shared" si="19"/>
        <v/>
      </c>
      <c r="I588" s="20" t="str">
        <f>IF($A588="","",'Item Balance'!$D587)</f>
        <v/>
      </c>
      <c r="J588" s="31" t="str">
        <f>IF($A588="","",'Item Balance'!$P587)</f>
        <v/>
      </c>
    </row>
    <row r="589" spans="1:10" x14ac:dyDescent="0.35">
      <c r="A589" s="18" t="str">
        <f>IF('Item Balance'!$A588="","",'Item Balance'!$A588)</f>
        <v/>
      </c>
      <c r="B589" s="18" t="str">
        <f>IF($A589="","",'Item Balance'!$B588)</f>
        <v/>
      </c>
      <c r="C589" s="19" t="str">
        <f>IF($A589="","",'Item Balance'!$C588)</f>
        <v/>
      </c>
      <c r="D589" s="23" t="str">
        <f>IF($A589="","",'Item Balance'!$I588)</f>
        <v/>
      </c>
      <c r="E589" s="23" t="str">
        <f>IF($A589="","",'Item Balance'!$F588)</f>
        <v/>
      </c>
      <c r="F589" s="26" t="str">
        <f t="shared" si="18"/>
        <v/>
      </c>
      <c r="G589" s="23" t="str">
        <f>IF($A589="","",'Item Balance'!$E588)</f>
        <v/>
      </c>
      <c r="H589" s="26" t="str">
        <f t="shared" si="19"/>
        <v/>
      </c>
      <c r="I589" s="20" t="str">
        <f>IF($A589="","",'Item Balance'!$D588)</f>
        <v/>
      </c>
      <c r="J589" s="31" t="str">
        <f>IF($A589="","",'Item Balance'!$P588)</f>
        <v/>
      </c>
    </row>
    <row r="590" spans="1:10" x14ac:dyDescent="0.35">
      <c r="A590" s="18" t="str">
        <f>IF('Item Balance'!$A589="","",'Item Balance'!$A589)</f>
        <v/>
      </c>
      <c r="B590" s="18" t="str">
        <f>IF($A590="","",'Item Balance'!$B589)</f>
        <v/>
      </c>
      <c r="C590" s="19" t="str">
        <f>IF($A590="","",'Item Balance'!$C589)</f>
        <v/>
      </c>
      <c r="D590" s="23" t="str">
        <f>IF($A590="","",'Item Balance'!$I589)</f>
        <v/>
      </c>
      <c r="E590" s="23" t="str">
        <f>IF($A590="","",'Item Balance'!$F589)</f>
        <v/>
      </c>
      <c r="F590" s="26" t="str">
        <f t="shared" si="18"/>
        <v/>
      </c>
      <c r="G590" s="23" t="str">
        <f>IF($A590="","",'Item Balance'!$E589)</f>
        <v/>
      </c>
      <c r="H590" s="26" t="str">
        <f t="shared" si="19"/>
        <v/>
      </c>
      <c r="I590" s="20" t="str">
        <f>IF($A590="","",'Item Balance'!$D589)</f>
        <v/>
      </c>
      <c r="J590" s="31" t="str">
        <f>IF($A590="","",'Item Balance'!$P589)</f>
        <v/>
      </c>
    </row>
    <row r="591" spans="1:10" x14ac:dyDescent="0.35">
      <c r="A591" s="18" t="str">
        <f>IF('Item Balance'!$A590="","",'Item Balance'!$A590)</f>
        <v/>
      </c>
      <c r="B591" s="18" t="str">
        <f>IF($A591="","",'Item Balance'!$B590)</f>
        <v/>
      </c>
      <c r="C591" s="19" t="str">
        <f>IF($A591="","",'Item Balance'!$C590)</f>
        <v/>
      </c>
      <c r="D591" s="23" t="str">
        <f>IF($A591="","",'Item Balance'!$I590)</f>
        <v/>
      </c>
      <c r="E591" s="23" t="str">
        <f>IF($A591="","",'Item Balance'!$F590)</f>
        <v/>
      </c>
      <c r="F591" s="26" t="str">
        <f t="shared" si="18"/>
        <v/>
      </c>
      <c r="G591" s="23" t="str">
        <f>IF($A591="","",'Item Balance'!$E590)</f>
        <v/>
      </c>
      <c r="H591" s="26" t="str">
        <f t="shared" si="19"/>
        <v/>
      </c>
      <c r="I591" s="20" t="str">
        <f>IF($A591="","",'Item Balance'!$D590)</f>
        <v/>
      </c>
      <c r="J591" s="31" t="str">
        <f>IF($A591="","",'Item Balance'!$P590)</f>
        <v/>
      </c>
    </row>
    <row r="592" spans="1:10" x14ac:dyDescent="0.35">
      <c r="A592" s="18" t="str">
        <f>IF('Item Balance'!$A591="","",'Item Balance'!$A591)</f>
        <v/>
      </c>
      <c r="B592" s="18" t="str">
        <f>IF($A592="","",'Item Balance'!$B591)</f>
        <v/>
      </c>
      <c r="C592" s="19" t="str">
        <f>IF($A592="","",'Item Balance'!$C591)</f>
        <v/>
      </c>
      <c r="D592" s="23" t="str">
        <f>IF($A592="","",'Item Balance'!$I591)</f>
        <v/>
      </c>
      <c r="E592" s="23" t="str">
        <f>IF($A592="","",'Item Balance'!$F591)</f>
        <v/>
      </c>
      <c r="F592" s="26" t="str">
        <f t="shared" si="18"/>
        <v/>
      </c>
      <c r="G592" s="23" t="str">
        <f>IF($A592="","",'Item Balance'!$E591)</f>
        <v/>
      </c>
      <c r="H592" s="26" t="str">
        <f t="shared" si="19"/>
        <v/>
      </c>
      <c r="I592" s="20" t="str">
        <f>IF($A592="","",'Item Balance'!$D591)</f>
        <v/>
      </c>
      <c r="J592" s="31" t="str">
        <f>IF($A592="","",'Item Balance'!$P591)</f>
        <v/>
      </c>
    </row>
    <row r="593" spans="1:10" x14ac:dyDescent="0.35">
      <c r="A593" s="18" t="str">
        <f>IF('Item Balance'!$A592="","",'Item Balance'!$A592)</f>
        <v/>
      </c>
      <c r="B593" s="18" t="str">
        <f>IF($A593="","",'Item Balance'!$B592)</f>
        <v/>
      </c>
      <c r="C593" s="19" t="str">
        <f>IF($A593="","",'Item Balance'!$C592)</f>
        <v/>
      </c>
      <c r="D593" s="23" t="str">
        <f>IF($A593="","",'Item Balance'!$I592)</f>
        <v/>
      </c>
      <c r="E593" s="23" t="str">
        <f>IF($A593="","",'Item Balance'!$F592)</f>
        <v/>
      </c>
      <c r="F593" s="26" t="str">
        <f t="shared" si="18"/>
        <v/>
      </c>
      <c r="G593" s="23" t="str">
        <f>IF($A593="","",'Item Balance'!$E592)</f>
        <v/>
      </c>
      <c r="H593" s="26" t="str">
        <f t="shared" si="19"/>
        <v/>
      </c>
      <c r="I593" s="20" t="str">
        <f>IF($A593="","",'Item Balance'!$D592)</f>
        <v/>
      </c>
      <c r="J593" s="31" t="str">
        <f>IF($A593="","",'Item Balance'!$P592)</f>
        <v/>
      </c>
    </row>
    <row r="594" spans="1:10" x14ac:dyDescent="0.35">
      <c r="A594" s="18" t="str">
        <f>IF('Item Balance'!$A593="","",'Item Balance'!$A593)</f>
        <v/>
      </c>
      <c r="B594" s="18" t="str">
        <f>IF($A594="","",'Item Balance'!$B593)</f>
        <v/>
      </c>
      <c r="C594" s="19" t="str">
        <f>IF($A594="","",'Item Balance'!$C593)</f>
        <v/>
      </c>
      <c r="D594" s="23" t="str">
        <f>IF($A594="","",'Item Balance'!$I593)</f>
        <v/>
      </c>
      <c r="E594" s="23" t="str">
        <f>IF($A594="","",'Item Balance'!$F593)</f>
        <v/>
      </c>
      <c r="F594" s="26" t="str">
        <f t="shared" si="18"/>
        <v/>
      </c>
      <c r="G594" s="23" t="str">
        <f>IF($A594="","",'Item Balance'!$E593)</f>
        <v/>
      </c>
      <c r="H594" s="26" t="str">
        <f t="shared" si="19"/>
        <v/>
      </c>
      <c r="I594" s="20" t="str">
        <f>IF($A594="","",'Item Balance'!$D593)</f>
        <v/>
      </c>
      <c r="J594" s="31" t="str">
        <f>IF($A594="","",'Item Balance'!$P593)</f>
        <v/>
      </c>
    </row>
    <row r="595" spans="1:10" x14ac:dyDescent="0.35">
      <c r="A595" s="18" t="str">
        <f>IF('Item Balance'!$A594="","",'Item Balance'!$A594)</f>
        <v/>
      </c>
      <c r="B595" s="18" t="str">
        <f>IF($A595="","",'Item Balance'!$B594)</f>
        <v/>
      </c>
      <c r="C595" s="19" t="str">
        <f>IF($A595="","",'Item Balance'!$C594)</f>
        <v/>
      </c>
      <c r="D595" s="23" t="str">
        <f>IF($A595="","",'Item Balance'!$I594)</f>
        <v/>
      </c>
      <c r="E595" s="23" t="str">
        <f>IF($A595="","",'Item Balance'!$F594)</f>
        <v/>
      </c>
      <c r="F595" s="26" t="str">
        <f t="shared" si="18"/>
        <v/>
      </c>
      <c r="G595" s="23" t="str">
        <f>IF($A595="","",'Item Balance'!$E594)</f>
        <v/>
      </c>
      <c r="H595" s="26" t="str">
        <f t="shared" si="19"/>
        <v/>
      </c>
      <c r="I595" s="20" t="str">
        <f>IF($A595="","",'Item Balance'!$D594)</f>
        <v/>
      </c>
      <c r="J595" s="31" t="str">
        <f>IF($A595="","",'Item Balance'!$P594)</f>
        <v/>
      </c>
    </row>
    <row r="596" spans="1:10" x14ac:dyDescent="0.35">
      <c r="A596" s="18" t="str">
        <f>IF('Item Balance'!$A595="","",'Item Balance'!$A595)</f>
        <v/>
      </c>
      <c r="B596" s="18" t="str">
        <f>IF($A596="","",'Item Balance'!$B595)</f>
        <v/>
      </c>
      <c r="C596" s="19" t="str">
        <f>IF($A596="","",'Item Balance'!$C595)</f>
        <v/>
      </c>
      <c r="D596" s="23" t="str">
        <f>IF($A596="","",'Item Balance'!$I595)</f>
        <v/>
      </c>
      <c r="E596" s="23" t="str">
        <f>IF($A596="","",'Item Balance'!$F595)</f>
        <v/>
      </c>
      <c r="F596" s="26" t="str">
        <f t="shared" si="18"/>
        <v/>
      </c>
      <c r="G596" s="23" t="str">
        <f>IF($A596="","",'Item Balance'!$E595)</f>
        <v/>
      </c>
      <c r="H596" s="26" t="str">
        <f t="shared" si="19"/>
        <v/>
      </c>
      <c r="I596" s="20" t="str">
        <f>IF($A596="","",'Item Balance'!$D595)</f>
        <v/>
      </c>
      <c r="J596" s="31" t="str">
        <f>IF($A596="","",'Item Balance'!$P595)</f>
        <v/>
      </c>
    </row>
    <row r="597" spans="1:10" x14ac:dyDescent="0.35">
      <c r="A597" s="18" t="str">
        <f>IF('Item Balance'!$A596="","",'Item Balance'!$A596)</f>
        <v/>
      </c>
      <c r="B597" s="18" t="str">
        <f>IF($A597="","",'Item Balance'!$B596)</f>
        <v/>
      </c>
      <c r="C597" s="19" t="str">
        <f>IF($A597="","",'Item Balance'!$C596)</f>
        <v/>
      </c>
      <c r="D597" s="23" t="str">
        <f>IF($A597="","",'Item Balance'!$I596)</f>
        <v/>
      </c>
      <c r="E597" s="23" t="str">
        <f>IF($A597="","",'Item Balance'!$F596)</f>
        <v/>
      </c>
      <c r="F597" s="26" t="str">
        <f t="shared" si="18"/>
        <v/>
      </c>
      <c r="G597" s="23" t="str">
        <f>IF($A597="","",'Item Balance'!$E596)</f>
        <v/>
      </c>
      <c r="H597" s="26" t="str">
        <f t="shared" si="19"/>
        <v/>
      </c>
      <c r="I597" s="20" t="str">
        <f>IF($A597="","",'Item Balance'!$D596)</f>
        <v/>
      </c>
      <c r="J597" s="31" t="str">
        <f>IF($A597="","",'Item Balance'!$P596)</f>
        <v/>
      </c>
    </row>
    <row r="598" spans="1:10" x14ac:dyDescent="0.35">
      <c r="A598" s="18" t="str">
        <f>IF('Item Balance'!$A597="","",'Item Balance'!$A597)</f>
        <v/>
      </c>
      <c r="B598" s="18" t="str">
        <f>IF($A598="","",'Item Balance'!$B597)</f>
        <v/>
      </c>
      <c r="C598" s="19" t="str">
        <f>IF($A598="","",'Item Balance'!$C597)</f>
        <v/>
      </c>
      <c r="D598" s="23" t="str">
        <f>IF($A598="","",'Item Balance'!$I597)</f>
        <v/>
      </c>
      <c r="E598" s="23" t="str">
        <f>IF($A598="","",'Item Balance'!$F597)</f>
        <v/>
      </c>
      <c r="F598" s="26" t="str">
        <f t="shared" si="18"/>
        <v/>
      </c>
      <c r="G598" s="23" t="str">
        <f>IF($A598="","",'Item Balance'!$E597)</f>
        <v/>
      </c>
      <c r="H598" s="26" t="str">
        <f t="shared" si="19"/>
        <v/>
      </c>
      <c r="I598" s="20" t="str">
        <f>IF($A598="","",'Item Balance'!$D597)</f>
        <v/>
      </c>
      <c r="J598" s="31" t="str">
        <f>IF($A598="","",'Item Balance'!$P597)</f>
        <v/>
      </c>
    </row>
    <row r="599" spans="1:10" x14ac:dyDescent="0.35">
      <c r="A599" s="18" t="str">
        <f>IF('Item Balance'!$A598="","",'Item Balance'!$A598)</f>
        <v/>
      </c>
      <c r="B599" s="18" t="str">
        <f>IF($A599="","",'Item Balance'!$B598)</f>
        <v/>
      </c>
      <c r="C599" s="19" t="str">
        <f>IF($A599="","",'Item Balance'!$C598)</f>
        <v/>
      </c>
      <c r="D599" s="23" t="str">
        <f>IF($A599="","",'Item Balance'!$I598)</f>
        <v/>
      </c>
      <c r="E599" s="23" t="str">
        <f>IF($A599="","",'Item Balance'!$F598)</f>
        <v/>
      </c>
      <c r="F599" s="26" t="str">
        <f t="shared" si="18"/>
        <v/>
      </c>
      <c r="G599" s="23" t="str">
        <f>IF($A599="","",'Item Balance'!$E598)</f>
        <v/>
      </c>
      <c r="H599" s="26" t="str">
        <f t="shared" si="19"/>
        <v/>
      </c>
      <c r="I599" s="20" t="str">
        <f>IF($A599="","",'Item Balance'!$D598)</f>
        <v/>
      </c>
      <c r="J599" s="31" t="str">
        <f>IF($A599="","",'Item Balance'!$P598)</f>
        <v/>
      </c>
    </row>
    <row r="600" spans="1:10" x14ac:dyDescent="0.35">
      <c r="A600" s="18" t="str">
        <f>IF('Item Balance'!$A599="","",'Item Balance'!$A599)</f>
        <v/>
      </c>
      <c r="B600" s="18" t="str">
        <f>IF($A600="","",'Item Balance'!$B599)</f>
        <v/>
      </c>
      <c r="C600" s="19" t="str">
        <f>IF($A600="","",'Item Balance'!$C599)</f>
        <v/>
      </c>
      <c r="D600" s="23" t="str">
        <f>IF($A600="","",'Item Balance'!$I599)</f>
        <v/>
      </c>
      <c r="E600" s="23" t="str">
        <f>IF($A600="","",'Item Balance'!$F599)</f>
        <v/>
      </c>
      <c r="F600" s="26" t="str">
        <f t="shared" si="18"/>
        <v/>
      </c>
      <c r="G600" s="23" t="str">
        <f>IF($A600="","",'Item Balance'!$E599)</f>
        <v/>
      </c>
      <c r="H600" s="26" t="str">
        <f t="shared" si="19"/>
        <v/>
      </c>
      <c r="I600" s="20" t="str">
        <f>IF($A600="","",'Item Balance'!$D599)</f>
        <v/>
      </c>
      <c r="J600" s="31" t="str">
        <f>IF($A600="","",'Item Balance'!$P599)</f>
        <v/>
      </c>
    </row>
  </sheetData>
  <autoFilter ref="A5:J600" xr:uid="{00000000-0009-0000-0000-00000A000000}"/>
  <mergeCells count="2">
    <mergeCell ref="A1:J1"/>
    <mergeCell ref="A2:J2"/>
  </mergeCells>
  <conditionalFormatting sqref="J6:J600">
    <cfRule type="cellIs" dxfId="10" priority="2" operator="equal">
      <formula>"NEGATIVE"</formula>
    </cfRule>
    <cfRule type="cellIs" dxfId="9" priority="3" operator="equal">
      <formula>"OUT OF STOCK"</formula>
    </cfRule>
    <cfRule type="cellIs" dxfId="8" priority="4" operator="equal">
      <formula>"LOW"</formula>
    </cfRule>
    <cfRule type="cellIs" dxfId="7" priority="5" operator="equal">
      <formula>"WATCH"</formula>
    </cfRule>
    <cfRule type="cellIs" dxfId="6" priority="6" operator="equal">
      <formula>"Set threshold"</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B3A5C"/>
  </sheetPr>
  <dimension ref="A1:J2001"/>
  <sheetViews>
    <sheetView showGridLines="0" zoomScaleNormal="100" workbookViewId="0">
      <pane ySplit="5" topLeftCell="A6" activePane="bottomLeft" state="frozen"/>
      <selection pane="bottomLeft" sqref="A1:J1"/>
    </sheetView>
  </sheetViews>
  <sheetFormatPr defaultColWidth="8.54296875" defaultRowHeight="14.5" x14ac:dyDescent="0.35"/>
  <cols>
    <col min="1" max="1" width="38" customWidth="1"/>
    <col min="2" max="2" width="18" customWidth="1"/>
    <col min="3" max="3" width="15" customWidth="1"/>
    <col min="4" max="4" width="13" customWidth="1"/>
    <col min="5" max="7" width="12" customWidth="1"/>
    <col min="8" max="8" width="14" customWidth="1"/>
    <col min="9" max="9" width="20" customWidth="1"/>
    <col min="10" max="10" width="14" customWidth="1"/>
  </cols>
  <sheetData>
    <row r="1" spans="1:10" ht="24" customHeight="1" x14ac:dyDescent="0.35">
      <c r="A1" s="117" t="s">
        <v>533</v>
      </c>
      <c r="B1" s="117"/>
      <c r="C1" s="117"/>
      <c r="D1" s="117"/>
      <c r="E1" s="117"/>
      <c r="F1" s="117"/>
      <c r="G1" s="117"/>
      <c r="H1" s="117"/>
      <c r="I1" s="117"/>
      <c r="J1" s="117"/>
    </row>
    <row r="2" spans="1:10" ht="13.5" customHeight="1" x14ac:dyDescent="0.35">
      <c r="A2" s="118" t="s">
        <v>534</v>
      </c>
      <c r="B2" s="118"/>
      <c r="C2" s="118"/>
      <c r="D2" s="118"/>
      <c r="E2" s="118"/>
      <c r="F2" s="118"/>
      <c r="G2" s="118"/>
      <c r="H2" s="118"/>
      <c r="I2" s="118"/>
      <c r="J2" s="118"/>
    </row>
    <row r="3" spans="1:10" x14ac:dyDescent="0.35">
      <c r="A3" s="30" t="s">
        <v>535</v>
      </c>
      <c r="B3" s="27">
        <f ca="1">COUNTIFS(tblLotBalance[Status],"EXPIRED",tblLotBalance[Lot Balance],"&gt;0")</f>
        <v>9</v>
      </c>
      <c r="C3" s="30" t="s">
        <v>536</v>
      </c>
      <c r="D3" s="27">
        <f ca="1">COUNTIFS(tblLotBalance[Status],"CRITICAL",tblLotBalance[Lot Balance],"&gt;0")</f>
        <v>2</v>
      </c>
      <c r="E3" s="30" t="s">
        <v>537</v>
      </c>
      <c r="F3" s="27">
        <f ca="1">COUNTIFS(tblLotBalance[Status],"Expiring",tblLotBalance[Lot Balance],"&gt;0")</f>
        <v>16</v>
      </c>
      <c r="G3" s="30" t="s">
        <v>538</v>
      </c>
      <c r="H3" s="32">
        <f ca="1">SUMIFS(tblLotBalance[Balance Value],tblLotBalance[Status],"EXPIRED")+SUMIFS(tblLotBalance[Balance Value],tblLotBalance[Status],"CRITICAL")+SUMIFS(tblLotBalance[Balance Value],tblLotBalance[Status],"Expiring")</f>
        <v>121005</v>
      </c>
    </row>
    <row r="5" spans="1:10" ht="25.5" customHeight="1" x14ac:dyDescent="0.35">
      <c r="A5" s="3" t="s">
        <v>88</v>
      </c>
      <c r="B5" s="3" t="s">
        <v>366</v>
      </c>
      <c r="C5" s="3" t="s">
        <v>89</v>
      </c>
      <c r="D5" s="3" t="s">
        <v>369</v>
      </c>
      <c r="E5" s="3" t="s">
        <v>368</v>
      </c>
      <c r="F5" s="3" t="s">
        <v>505</v>
      </c>
      <c r="G5" s="3" t="s">
        <v>35</v>
      </c>
      <c r="H5" s="3" t="s">
        <v>511</v>
      </c>
      <c r="I5" s="3" t="s">
        <v>539</v>
      </c>
      <c r="J5" s="3" t="s">
        <v>532</v>
      </c>
    </row>
    <row r="6" spans="1:10" x14ac:dyDescent="0.35">
      <c r="A6" s="18" t="str">
        <f>IF('Lot Balance'!$A5="","",'Lot Balance'!$A5)</f>
        <v>1804 N95 Mask</v>
      </c>
      <c r="B6" s="18" t="str">
        <f>IF($A6="","",'Lot Balance'!$B5)</f>
        <v>N955003713</v>
      </c>
      <c r="C6" s="18" t="str">
        <f>IF($A6="","",'Lot Balance'!$C5)</f>
        <v>Masks</v>
      </c>
      <c r="D6" s="25">
        <f>IF($A6="","",'Lot Balance'!$G5)</f>
        <v>46113</v>
      </c>
      <c r="E6" s="25">
        <f>IF($A6="","",'Lot Balance'!$H5)</f>
        <v>46235</v>
      </c>
      <c r="F6" s="23">
        <f ca="1">IF($A6="","",'Lot Balance'!$I5)</f>
        <v>-3</v>
      </c>
      <c r="G6" s="23">
        <f>IF($A6="","",'Lot Balance'!$O5)</f>
        <v>40</v>
      </c>
      <c r="H6" s="33">
        <f>IF($A6="","",'Lot Balance'!$P5)</f>
        <v>82</v>
      </c>
      <c r="I6" s="26">
        <f>IF($A6="","",COUNTIFS(tblIssues[Lot Number],$B6))</f>
        <v>0</v>
      </c>
      <c r="J6" s="31" t="str">
        <f ca="1">IF($A6="","",IF('Lot Balance'!$O5&lt;=0,"Depleted",'Lot Balance'!$Q5))</f>
        <v>EXPIRED</v>
      </c>
    </row>
    <row r="7" spans="1:10" x14ac:dyDescent="0.35">
      <c r="A7" s="18" t="str">
        <f>IF('Lot Balance'!$A6="","",'Lot Balance'!$A6)</f>
        <v>1860 N95 Mask</v>
      </c>
      <c r="B7" s="18" t="str">
        <f>IF($A7="","",'Lot Balance'!$B6)</f>
        <v>N955003716</v>
      </c>
      <c r="C7" s="18" t="str">
        <f>IF($A7="","",'Lot Balance'!$C6)</f>
        <v>Masks</v>
      </c>
      <c r="D7" s="25">
        <f>IF($A7="","",'Lot Balance'!$G6)</f>
        <v>46113</v>
      </c>
      <c r="E7" s="25">
        <f>IF($A7="","",'Lot Balance'!$H6)</f>
        <v>46235</v>
      </c>
      <c r="F7" s="23">
        <f ca="1">IF($A7="","",'Lot Balance'!$I6)</f>
        <v>-3</v>
      </c>
      <c r="G7" s="23">
        <f>IF($A7="","",'Lot Balance'!$O6)</f>
        <v>10840</v>
      </c>
      <c r="H7" s="33">
        <f>IF($A7="","",'Lot Balance'!$P6)</f>
        <v>22221.999999999996</v>
      </c>
      <c r="I7" s="26">
        <f>IF($A7="","",COUNTIFS(tblIssues[Lot Number],$B7))</f>
        <v>0</v>
      </c>
      <c r="J7" s="31" t="str">
        <f ca="1">IF($A7="","",IF('Lot Balance'!$O6&lt;=0,"Depleted",'Lot Balance'!$Q6))</f>
        <v>EXPIRED</v>
      </c>
    </row>
    <row r="8" spans="1:10" x14ac:dyDescent="0.35">
      <c r="A8" s="18" t="str">
        <f>IF('Lot Balance'!$A7="","",'Lot Balance'!$A7)</f>
        <v>1860S N95 Mask</v>
      </c>
      <c r="B8" s="18" t="str">
        <f>IF($A8="","",'Lot Balance'!$B7)</f>
        <v>N955003715</v>
      </c>
      <c r="C8" s="18" t="str">
        <f>IF($A8="","",'Lot Balance'!$C7)</f>
        <v>Masks</v>
      </c>
      <c r="D8" s="25">
        <f>IF($A8="","",'Lot Balance'!$G7)</f>
        <v>46113</v>
      </c>
      <c r="E8" s="25">
        <f>IF($A8="","",'Lot Balance'!$H7)</f>
        <v>46235</v>
      </c>
      <c r="F8" s="23">
        <f ca="1">IF($A8="","",'Lot Balance'!$I7)</f>
        <v>-3</v>
      </c>
      <c r="G8" s="23">
        <f>IF($A8="","",'Lot Balance'!$O7)</f>
        <v>9815</v>
      </c>
      <c r="H8" s="33">
        <f>IF($A8="","",'Lot Balance'!$P7)</f>
        <v>20120.75</v>
      </c>
      <c r="I8" s="26">
        <f>IF($A8="","",COUNTIFS(tblIssues[Lot Number],$B8))</f>
        <v>4</v>
      </c>
      <c r="J8" s="31" t="str">
        <f ca="1">IF($A8="","",IF('Lot Balance'!$O7&lt;=0,"Depleted",'Lot Balance'!$Q7))</f>
        <v>EXPIRED</v>
      </c>
    </row>
    <row r="9" spans="1:10" x14ac:dyDescent="0.35">
      <c r="A9" s="18" t="str">
        <f>IF('Lot Balance'!$A8="","",'Lot Balance'!$A8)</f>
        <v>1870 N95 Mask</v>
      </c>
      <c r="B9" s="18" t="str">
        <f>IF($A9="","",'Lot Balance'!$B8)</f>
        <v>N955003718</v>
      </c>
      <c r="C9" s="18" t="str">
        <f>IF($A9="","",'Lot Balance'!$C8)</f>
        <v>Masks</v>
      </c>
      <c r="D9" s="25">
        <f>IF($A9="","",'Lot Balance'!$G8)</f>
        <v>46113</v>
      </c>
      <c r="E9" s="25">
        <f>IF($A9="","",'Lot Balance'!$H8)</f>
        <v>46235</v>
      </c>
      <c r="F9" s="23">
        <f ca="1">IF($A9="","",'Lot Balance'!$I8)</f>
        <v>-3</v>
      </c>
      <c r="G9" s="23">
        <f>IF($A9="","",'Lot Balance'!$O8)</f>
        <v>215</v>
      </c>
      <c r="H9" s="33">
        <f>IF($A9="","",'Lot Balance'!$P8)</f>
        <v>440.74999999999994</v>
      </c>
      <c r="I9" s="26">
        <f>IF($A9="","",COUNTIFS(tblIssues[Lot Number],$B9))</f>
        <v>3</v>
      </c>
      <c r="J9" s="31" t="str">
        <f ca="1">IF($A9="","",IF('Lot Balance'!$O8&lt;=0,"Depleted",'Lot Balance'!$Q8))</f>
        <v>EXPIRED</v>
      </c>
    </row>
    <row r="10" spans="1:10" x14ac:dyDescent="0.35">
      <c r="A10" s="18" t="str">
        <f>IF('Lot Balance'!$A9="","",'Lot Balance'!$A9)</f>
        <v>1870+ N95 Mask</v>
      </c>
      <c r="B10" s="18" t="str">
        <f>IF($A10="","",'Lot Balance'!$B9)</f>
        <v>N955003717</v>
      </c>
      <c r="C10" s="18" t="str">
        <f>IF($A10="","",'Lot Balance'!$C9)</f>
        <v>Masks</v>
      </c>
      <c r="D10" s="25">
        <f>IF($A10="","",'Lot Balance'!$G9)</f>
        <v>46113</v>
      </c>
      <c r="E10" s="25">
        <f>IF($A10="","",'Lot Balance'!$H9)</f>
        <v>46235</v>
      </c>
      <c r="F10" s="23">
        <f ca="1">IF($A10="","",'Lot Balance'!$I9)</f>
        <v>-3</v>
      </c>
      <c r="G10" s="23">
        <f>IF($A10="","",'Lot Balance'!$O9)</f>
        <v>18890</v>
      </c>
      <c r="H10" s="33">
        <f>IF($A10="","",'Lot Balance'!$P9)</f>
        <v>38724.5</v>
      </c>
      <c r="I10" s="26">
        <f>IF($A10="","",COUNTIFS(tblIssues[Lot Number],$B10))</f>
        <v>11</v>
      </c>
      <c r="J10" s="31" t="str">
        <f ca="1">IF($A10="","",IF('Lot Balance'!$O9&lt;=0,"Depleted",'Lot Balance'!$Q9))</f>
        <v>EXPIRED</v>
      </c>
    </row>
    <row r="11" spans="1:10" x14ac:dyDescent="0.35">
      <c r="A11" s="18" t="str">
        <f>IF('Lot Balance'!$A10="","",'Lot Balance'!$A10)</f>
        <v>8110S N95 Mask</v>
      </c>
      <c r="B11" s="18" t="str">
        <f>IF($A11="","",'Lot Balance'!$B10)</f>
        <v>N955003712</v>
      </c>
      <c r="C11" s="18" t="str">
        <f>IF($A11="","",'Lot Balance'!$C10)</f>
        <v>Masks</v>
      </c>
      <c r="D11" s="25">
        <f>IF($A11="","",'Lot Balance'!$G10)</f>
        <v>46113</v>
      </c>
      <c r="E11" s="25">
        <f>IF($A11="","",'Lot Balance'!$H10)</f>
        <v>46235</v>
      </c>
      <c r="F11" s="23">
        <f ca="1">IF($A11="","",'Lot Balance'!$I10)</f>
        <v>-3</v>
      </c>
      <c r="G11" s="23">
        <f>IF($A11="","",'Lot Balance'!$O10)</f>
        <v>3815</v>
      </c>
      <c r="H11" s="33">
        <f>IF($A11="","",'Lot Balance'!$P10)</f>
        <v>5531.75</v>
      </c>
      <c r="I11" s="26">
        <f>IF($A11="","",COUNTIFS(tblIssues[Lot Number],$B11))</f>
        <v>0</v>
      </c>
      <c r="J11" s="31" t="str">
        <f ca="1">IF($A11="","",IF('Lot Balance'!$O10&lt;=0,"Depleted",'Lot Balance'!$Q10))</f>
        <v>EXPIRED</v>
      </c>
    </row>
    <row r="12" spans="1:10" x14ac:dyDescent="0.35">
      <c r="A12" s="18" t="str">
        <f>IF('Lot Balance'!$A11="","",'Lot Balance'!$A11)</f>
        <v>8210 N95 Mask</v>
      </c>
      <c r="B12" s="18" t="str">
        <f>IF($A12="","",'Lot Balance'!$B11)</f>
        <v>N955003714</v>
      </c>
      <c r="C12" s="18" t="str">
        <f>IF($A12="","",'Lot Balance'!$C11)</f>
        <v>Masks</v>
      </c>
      <c r="D12" s="25">
        <f>IF($A12="","",'Lot Balance'!$G11)</f>
        <v>46113</v>
      </c>
      <c r="E12" s="25">
        <f>IF($A12="","",'Lot Balance'!$H11)</f>
        <v>46235</v>
      </c>
      <c r="F12" s="23">
        <f ca="1">IF($A12="","",'Lot Balance'!$I11)</f>
        <v>-3</v>
      </c>
      <c r="G12" s="23">
        <f>IF($A12="","",'Lot Balance'!$O11)</f>
        <v>17460</v>
      </c>
      <c r="H12" s="33">
        <f>IF($A12="","",'Lot Balance'!$P11)</f>
        <v>25317</v>
      </c>
      <c r="I12" s="26">
        <f>IF($A12="","",COUNTIFS(tblIssues[Lot Number],$B12))</f>
        <v>5</v>
      </c>
      <c r="J12" s="31" t="str">
        <f ca="1">IF($A12="","",IF('Lot Balance'!$O11&lt;=0,"Depleted",'Lot Balance'!$Q11))</f>
        <v>EXPIRED</v>
      </c>
    </row>
    <row r="13" spans="1:10" x14ac:dyDescent="0.35">
      <c r="A13" s="18" t="str">
        <f>IF('Lot Balance'!$A12="","",'Lot Balance'!$A12)</f>
        <v>9210+ N95 Mask</v>
      </c>
      <c r="B13" s="18" t="str">
        <f>IF($A13="","",'Lot Balance'!$B12)</f>
        <v>N955003711</v>
      </c>
      <c r="C13" s="18" t="str">
        <f>IF($A13="","",'Lot Balance'!$C12)</f>
        <v>Masks</v>
      </c>
      <c r="D13" s="25">
        <f>IF($A13="","",'Lot Balance'!$G12)</f>
        <v>46113</v>
      </c>
      <c r="E13" s="25">
        <f>IF($A13="","",'Lot Balance'!$H12)</f>
        <v>46235</v>
      </c>
      <c r="F13" s="23">
        <f ca="1">IF($A13="","",'Lot Balance'!$I12)</f>
        <v>-3</v>
      </c>
      <c r="G13" s="23">
        <f>IF($A13="","",'Lot Balance'!$O12)</f>
        <v>0</v>
      </c>
      <c r="H13" s="33">
        <f>IF($A13="","",'Lot Balance'!$P12)</f>
        <v>0</v>
      </c>
      <c r="I13" s="26">
        <f>IF($A13="","",COUNTIFS(tblIssues[Lot Number],$B13))</f>
        <v>0</v>
      </c>
      <c r="J13" s="31" t="str">
        <f>IF($A13="","",IF('Lot Balance'!$O12&lt;=0,"Depleted",'Lot Balance'!$Q12))</f>
        <v>Depleted</v>
      </c>
    </row>
    <row r="14" spans="1:10" x14ac:dyDescent="0.35">
      <c r="A14" s="18" t="str">
        <f>IF('Lot Balance'!$A13="","",'Lot Balance'!$A13)</f>
        <v>Alcohol Swab</v>
      </c>
      <c r="B14" s="18">
        <f>IF($A14="","",'Lot Balance'!$B13)</f>
        <v>4600093677</v>
      </c>
      <c r="C14" s="18" t="str">
        <f>IF($A14="","",'Lot Balance'!$C13)</f>
        <v>IPAC</v>
      </c>
      <c r="D14" s="25">
        <f>IF($A14="","",'Lot Balance'!$G13)</f>
        <v>46113</v>
      </c>
      <c r="E14" s="25">
        <f>IF($A14="","",'Lot Balance'!$H13)</f>
        <v>46387</v>
      </c>
      <c r="F14" s="23">
        <f ca="1">IF($A14="","",'Lot Balance'!$I13)</f>
        <v>149</v>
      </c>
      <c r="G14" s="23">
        <f>IF($A14="","",'Lot Balance'!$O13)</f>
        <v>1000</v>
      </c>
      <c r="H14" s="33">
        <f>IF($A14="","",'Lot Balance'!$P13)</f>
        <v>3250</v>
      </c>
      <c r="I14" s="26">
        <f>IF($A14="","",COUNTIFS(tblIssues[Lot Number],$B14))</f>
        <v>0</v>
      </c>
      <c r="J14" s="31" t="str">
        <f ca="1">IF($A14="","",IF('Lot Balance'!$O13&lt;=0,"Depleted",'Lot Balance'!$Q13))</f>
        <v>Expiring</v>
      </c>
    </row>
    <row r="15" spans="1:10" x14ac:dyDescent="0.35">
      <c r="A15" s="18" t="str">
        <f>IF('Lot Balance'!$A14="","",'Lot Balance'!$A14)</f>
        <v>BP CUFF</v>
      </c>
      <c r="B15" s="18" t="str">
        <f>IF($A15="","",'Lot Balance'!$B14)</f>
        <v>BWMALM143200-0</v>
      </c>
      <c r="C15" s="18" t="str">
        <f>IF($A15="","",'Lot Balance'!$C14)</f>
        <v>Equipment</v>
      </c>
      <c r="D15" s="25">
        <f>IF($A15="","",'Lot Balance'!$G14)</f>
        <v>46113</v>
      </c>
      <c r="E15" s="25">
        <f>IF($A15="","",'Lot Balance'!$H14)</f>
        <v>47032</v>
      </c>
      <c r="F15" s="23">
        <f ca="1">IF($A15="","",'Lot Balance'!$I14)</f>
        <v>794</v>
      </c>
      <c r="G15" s="23">
        <f>IF($A15="","",'Lot Balance'!$O14)</f>
        <v>2</v>
      </c>
      <c r="H15" s="33">
        <f>IF($A15="","",'Lot Balance'!$P14)</f>
        <v>70</v>
      </c>
      <c r="I15" s="26">
        <f>IF($A15="","",COUNTIFS(tblIssues[Lot Number],$B15))</f>
        <v>0</v>
      </c>
      <c r="J15" s="31" t="str">
        <f ca="1">IF($A15="","",IF('Lot Balance'!$O14&lt;=0,"Depleted",'Lot Balance'!$Q14))</f>
        <v>In date</v>
      </c>
    </row>
    <row r="16" spans="1:10" x14ac:dyDescent="0.35">
      <c r="A16" s="18" t="str">
        <f>IF('Lot Balance'!$A15="","",'Lot Balance'!$A15)</f>
        <v>CAN99</v>
      </c>
      <c r="B16" s="18" t="str">
        <f>IF($A16="","",'Lot Balance'!$B15)</f>
        <v>N9550025</v>
      </c>
      <c r="C16" s="18" t="str">
        <f>IF($A16="","",'Lot Balance'!$C15)</f>
        <v>Masks</v>
      </c>
      <c r="D16" s="25">
        <f>IF($A16="","",'Lot Balance'!$G15)</f>
        <v>46113</v>
      </c>
      <c r="E16" s="25">
        <f>IF($A16="","",'Lot Balance'!$H15)</f>
        <v>46235</v>
      </c>
      <c r="F16" s="23">
        <f ca="1">IF($A16="","",'Lot Balance'!$I15)</f>
        <v>-3</v>
      </c>
      <c r="G16" s="23">
        <f>IF($A16="","",'Lot Balance'!$O15)</f>
        <v>20</v>
      </c>
      <c r="H16" s="33">
        <f>IF($A16="","",'Lot Balance'!$P15)</f>
        <v>27</v>
      </c>
      <c r="I16" s="26">
        <f>IF($A16="","",COUNTIFS(tblIssues[Lot Number],$B16))</f>
        <v>1</v>
      </c>
      <c r="J16" s="31" t="str">
        <f ca="1">IF($A16="","",IF('Lot Balance'!$O15&lt;=0,"Depleted",'Lot Balance'!$Q15))</f>
        <v>EXPIRED</v>
      </c>
    </row>
    <row r="17" spans="1:10" x14ac:dyDescent="0.35">
      <c r="A17" s="18" t="str">
        <f>IF('Lot Balance'!$A16="","",'Lot Balance'!$A16)</f>
        <v>CSS Ice Cleats Large</v>
      </c>
      <c r="B17" s="18" t="str">
        <f>IF($A17="","",'Lot Balance'!$B16)</f>
        <v>ICCSS54321</v>
      </c>
      <c r="C17" s="18" t="str">
        <f>IF($A17="","",'Lot Balance'!$C16)</f>
        <v>PPE</v>
      </c>
      <c r="D17" s="25">
        <f>IF($A17="","",'Lot Balance'!$G16)</f>
        <v>46113</v>
      </c>
      <c r="E17" s="25">
        <f>IF($A17="","",'Lot Balance'!$H16)</f>
        <v>47386</v>
      </c>
      <c r="F17" s="23">
        <f ca="1">IF($A17="","",'Lot Balance'!$I16)</f>
        <v>1148</v>
      </c>
      <c r="G17" s="23">
        <f>IF($A17="","",'Lot Balance'!$O16)</f>
        <v>0</v>
      </c>
      <c r="H17" s="33">
        <f>IF($A17="","",'Lot Balance'!$P16)</f>
        <v>0</v>
      </c>
      <c r="I17" s="26">
        <f>IF($A17="","",COUNTIFS(tblIssues[Lot Number],$B17))</f>
        <v>0</v>
      </c>
      <c r="J17" s="31" t="str">
        <f>IF($A17="","",IF('Lot Balance'!$O16&lt;=0,"Depleted",'Lot Balance'!$Q16))</f>
        <v>Depleted</v>
      </c>
    </row>
    <row r="18" spans="1:10" x14ac:dyDescent="0.35">
      <c r="A18" s="18" t="str">
        <f>IF('Lot Balance'!$A17="","",'Lot Balance'!$A17)</f>
        <v>CSS Ice Cleats Medium</v>
      </c>
      <c r="B18" s="18" t="str">
        <f>IF($A18="","",'Lot Balance'!$B17)</f>
        <v>ICCSS4321</v>
      </c>
      <c r="C18" s="18" t="str">
        <f>IF($A18="","",'Lot Balance'!$C17)</f>
        <v>PPE</v>
      </c>
      <c r="D18" s="25">
        <f>IF($A18="","",'Lot Balance'!$G17)</f>
        <v>46113</v>
      </c>
      <c r="E18" s="25">
        <f>IF($A18="","",'Lot Balance'!$H17)</f>
        <v>47386</v>
      </c>
      <c r="F18" s="23">
        <f ca="1">IF($A18="","",'Lot Balance'!$I17)</f>
        <v>1148</v>
      </c>
      <c r="G18" s="23">
        <f>IF($A18="","",'Lot Balance'!$O17)</f>
        <v>0</v>
      </c>
      <c r="H18" s="33">
        <f>IF($A18="","",'Lot Balance'!$P17)</f>
        <v>0</v>
      </c>
      <c r="I18" s="26">
        <f>IF($A18="","",COUNTIFS(tblIssues[Lot Number],$B18))</f>
        <v>0</v>
      </c>
      <c r="J18" s="31" t="str">
        <f>IF($A18="","",IF('Lot Balance'!$O17&lt;=0,"Depleted",'Lot Balance'!$Q17))</f>
        <v>Depleted</v>
      </c>
    </row>
    <row r="19" spans="1:10" x14ac:dyDescent="0.35">
      <c r="A19" s="18" t="str">
        <f>IF('Lot Balance'!$A18="","",'Lot Balance'!$A18)</f>
        <v>CSS Ice Cleats Small</v>
      </c>
      <c r="B19" s="18" t="str">
        <f>IF($A19="","",'Lot Balance'!$B18)</f>
        <v>ICCSS321</v>
      </c>
      <c r="C19" s="18" t="str">
        <f>IF($A19="","",'Lot Balance'!$C18)</f>
        <v>PPE</v>
      </c>
      <c r="D19" s="25">
        <f>IF($A19="","",'Lot Balance'!$G18)</f>
        <v>46113</v>
      </c>
      <c r="E19" s="25">
        <f>IF($A19="","",'Lot Balance'!$H18)</f>
        <v>47386</v>
      </c>
      <c r="F19" s="23">
        <f ca="1">IF($A19="","",'Lot Balance'!$I18)</f>
        <v>1148</v>
      </c>
      <c r="G19" s="23">
        <f>IF($A19="","",'Lot Balance'!$O18)</f>
        <v>0</v>
      </c>
      <c r="H19" s="33">
        <f>IF($A19="","",'Lot Balance'!$P18)</f>
        <v>0</v>
      </c>
      <c r="I19" s="26">
        <f>IF($A19="","",COUNTIFS(tblIssues[Lot Number],$B19))</f>
        <v>0</v>
      </c>
      <c r="J19" s="31" t="str">
        <f>IF($A19="","",IF('Lot Balance'!$O18&lt;=0,"Depleted",'Lot Balance'!$Q18))</f>
        <v>Depleted</v>
      </c>
    </row>
    <row r="20" spans="1:10" x14ac:dyDescent="0.35">
      <c r="A20" s="18" t="str">
        <f>IF('Lot Balance'!$A19="","",'Lot Balance'!$A19)</f>
        <v>CSS Ice Cleats X Large</v>
      </c>
      <c r="B20" s="18" t="str">
        <f>IF($A20="","",'Lot Balance'!$B19)</f>
        <v>ICCSS654321</v>
      </c>
      <c r="C20" s="18" t="str">
        <f>IF($A20="","",'Lot Balance'!$C19)</f>
        <v>PPE</v>
      </c>
      <c r="D20" s="25">
        <f>IF($A20="","",'Lot Balance'!$G19)</f>
        <v>46113</v>
      </c>
      <c r="E20" s="25">
        <f>IF($A20="","",'Lot Balance'!$H19)</f>
        <v>47386</v>
      </c>
      <c r="F20" s="23">
        <f ca="1">IF($A20="","",'Lot Balance'!$I19)</f>
        <v>1148</v>
      </c>
      <c r="G20" s="23">
        <f>IF($A20="","",'Lot Balance'!$O19)</f>
        <v>0</v>
      </c>
      <c r="H20" s="33">
        <f>IF($A20="","",'Lot Balance'!$P19)</f>
        <v>0</v>
      </c>
      <c r="I20" s="26">
        <f>IF($A20="","",COUNTIFS(tblIssues[Lot Number],$B20))</f>
        <v>0</v>
      </c>
      <c r="J20" s="31" t="str">
        <f>IF($A20="","",IF('Lot Balance'!$O19&lt;=0,"Depleted",'Lot Balance'!$Q19))</f>
        <v>Depleted</v>
      </c>
    </row>
    <row r="21" spans="1:10" x14ac:dyDescent="0.35">
      <c r="A21" s="18" t="str">
        <f>IF('Lot Balance'!$A20="","",'Lot Balance'!$A20)</f>
        <v>DNR</v>
      </c>
      <c r="B21" s="18" t="str">
        <f>IF($A21="","",'Lot Balance'!$B20)</f>
        <v>3146837-7000</v>
      </c>
      <c r="C21" s="18" t="str">
        <f>IF($A21="","",'Lot Balance'!$C20)</f>
        <v>Forms</v>
      </c>
      <c r="D21" s="25">
        <f>IF($A21="","",'Lot Balance'!$G20)</f>
        <v>46113</v>
      </c>
      <c r="E21" s="25">
        <f>IF($A21="","",'Lot Balance'!$H20)</f>
        <v>47046</v>
      </c>
      <c r="F21" s="23">
        <f ca="1">IF($A21="","",'Lot Balance'!$I20)</f>
        <v>808</v>
      </c>
      <c r="G21" s="23">
        <f>IF($A21="","",'Lot Balance'!$O20)</f>
        <v>153</v>
      </c>
      <c r="H21" s="33">
        <f>IF($A21="","",'Lot Balance'!$P20)</f>
        <v>0</v>
      </c>
      <c r="I21" s="26">
        <f>IF($A21="","",COUNTIFS(tblIssues[Lot Number],$B21))</f>
        <v>0</v>
      </c>
      <c r="J21" s="31" t="str">
        <f ca="1">IF($A21="","",IF('Lot Balance'!$O20&lt;=0,"Depleted",'Lot Balance'!$Q20))</f>
        <v>In date</v>
      </c>
    </row>
    <row r="22" spans="1:10" x14ac:dyDescent="0.35">
      <c r="A22" s="18" t="str">
        <f>IF('Lot Balance'!$A21="","",'Lot Balance'!$A21)</f>
        <v>Disinfectant Wipes</v>
      </c>
      <c r="B22" s="18" t="str">
        <f>IF($A22="","",'Lot Balance'!$B21)</f>
        <v>LYSL500290</v>
      </c>
      <c r="C22" s="18" t="str">
        <f>IF($A22="","",'Lot Balance'!$C21)</f>
        <v>Wipes</v>
      </c>
      <c r="D22" s="25">
        <f>IF($A22="","",'Lot Balance'!$G21)</f>
        <v>46113</v>
      </c>
      <c r="E22" s="25">
        <f>IF($A22="","",'Lot Balance'!$H21)</f>
        <v>47046</v>
      </c>
      <c r="F22" s="23">
        <f ca="1">IF($A22="","",'Lot Balance'!$I21)</f>
        <v>808</v>
      </c>
      <c r="G22" s="23">
        <f>IF($A22="","",'Lot Balance'!$O21)</f>
        <v>166320</v>
      </c>
      <c r="H22" s="33">
        <f>IF($A22="","",'Lot Balance'!$P21)</f>
        <v>16632</v>
      </c>
      <c r="I22" s="26">
        <f>IF($A22="","",COUNTIFS(tblIssues[Lot Number],$B22))</f>
        <v>320</v>
      </c>
      <c r="J22" s="31" t="str">
        <f ca="1">IF($A22="","",IF('Lot Balance'!$O21&lt;=0,"Depleted",'Lot Balance'!$Q21))</f>
        <v>In date</v>
      </c>
    </row>
    <row r="23" spans="1:10" x14ac:dyDescent="0.35">
      <c r="A23" s="18" t="str">
        <f>IF('Lot Balance'!$A22="","",'Lot Balance'!$A22)</f>
        <v>EDITH</v>
      </c>
      <c r="B23" s="18" t="str">
        <f>IF($A23="","",'Lot Balance'!$B22)</f>
        <v>EDITH001</v>
      </c>
      <c r="C23" s="18" t="str">
        <f>IF($A23="","",'Lot Balance'!$C22)</f>
        <v>Forms</v>
      </c>
      <c r="D23" s="25">
        <f>IF($A23="","",'Lot Balance'!$G22)</f>
        <v>46113</v>
      </c>
      <c r="E23" s="25">
        <f>IF($A23="","",'Lot Balance'!$H22)</f>
        <v>47046</v>
      </c>
      <c r="F23" s="23">
        <f ca="1">IF($A23="","",'Lot Balance'!$I22)</f>
        <v>808</v>
      </c>
      <c r="G23" s="23">
        <f>IF($A23="","",'Lot Balance'!$O22)</f>
        <v>85</v>
      </c>
      <c r="H23" s="33">
        <f>IF($A23="","",'Lot Balance'!$P22)</f>
        <v>0</v>
      </c>
      <c r="I23" s="26">
        <f>IF($A23="","",COUNTIFS(tblIssues[Lot Number],$B23))</f>
        <v>0</v>
      </c>
      <c r="J23" s="31" t="str">
        <f ca="1">IF($A23="","",IF('Lot Balance'!$O22&lt;=0,"Depleted",'Lot Balance'!$Q22))</f>
        <v>In date</v>
      </c>
    </row>
    <row r="24" spans="1:10" x14ac:dyDescent="0.35">
      <c r="A24" s="18" t="str">
        <f>IF('Lot Balance'!$A23="","",'Lot Balance'!$A23)</f>
        <v>Epinephrine</v>
      </c>
      <c r="B24" s="18">
        <f>IF($A24="","",'Lot Balance'!$B23)</f>
        <v>50037</v>
      </c>
      <c r="C24" s="18" t="str">
        <f>IF($A24="","",'Lot Balance'!$C23)</f>
        <v>Drug</v>
      </c>
      <c r="D24" s="25">
        <f>IF($A24="","",'Lot Balance'!$G23)</f>
        <v>46113</v>
      </c>
      <c r="E24" s="25">
        <f>IF($A24="","",'Lot Balance'!$H23)</f>
        <v>46538</v>
      </c>
      <c r="F24" s="23">
        <f ca="1">IF($A24="","",'Lot Balance'!$I23)</f>
        <v>300</v>
      </c>
      <c r="G24" s="23">
        <f>IF($A24="","",'Lot Balance'!$O23)</f>
        <v>46</v>
      </c>
      <c r="H24" s="33">
        <f>IF($A24="","",'Lot Balance'!$P23)</f>
        <v>271.40000000000003</v>
      </c>
      <c r="I24" s="26">
        <f>IF($A24="","",COUNTIFS(tblIssues[Lot Number],$B24))</f>
        <v>1</v>
      </c>
      <c r="J24" s="31" t="str">
        <f ca="1">IF($A24="","",IF('Lot Balance'!$O23&lt;=0,"Depleted",'Lot Balance'!$Q23))</f>
        <v>In date</v>
      </c>
    </row>
    <row r="25" spans="1:10" x14ac:dyDescent="0.35">
      <c r="A25" s="18" t="str">
        <f>IF('Lot Balance'!$A24="","",'Lot Balance'!$A24)</f>
        <v>Epinephrine</v>
      </c>
      <c r="B25" s="18" t="str">
        <f>IF($A25="","",'Lot Balance'!$B24)</f>
        <v>A000065867</v>
      </c>
      <c r="C25" s="18" t="str">
        <f>IF($A25="","",'Lot Balance'!$C24)</f>
        <v>Drug</v>
      </c>
      <c r="D25" s="25">
        <f>IF($A25="","",'Lot Balance'!$G24)</f>
        <v>46113</v>
      </c>
      <c r="E25" s="25">
        <f>IF($A25="","",'Lot Balance'!$H24)</f>
        <v>46022</v>
      </c>
      <c r="F25" s="23">
        <f ca="1">IF($A25="","",'Lot Balance'!$I24)</f>
        <v>-216</v>
      </c>
      <c r="G25" s="23">
        <f>IF($A25="","",'Lot Balance'!$O24)</f>
        <v>0</v>
      </c>
      <c r="H25" s="33">
        <f>IF($A25="","",'Lot Balance'!$P24)</f>
        <v>0</v>
      </c>
      <c r="I25" s="26">
        <f>IF($A25="","",COUNTIFS(tblIssues[Lot Number],$B25))</f>
        <v>0</v>
      </c>
      <c r="J25" s="31" t="str">
        <f>IF($A25="","",IF('Lot Balance'!$O24&lt;=0,"Depleted",'Lot Balance'!$Q24))</f>
        <v>Depleted</v>
      </c>
    </row>
    <row r="26" spans="1:10" x14ac:dyDescent="0.35">
      <c r="A26" s="18" t="str">
        <f>IF('Lot Balance'!$A25="","",'Lot Balance'!$A25)</f>
        <v>Gloves - Large</v>
      </c>
      <c r="B26" s="18" t="str">
        <f>IF($A26="","",'Lot Balance'!$B25)</f>
        <v>0417HIC25-0</v>
      </c>
      <c r="C26" s="18" t="str">
        <f>IF($A26="","",'Lot Balance'!$C25)</f>
        <v>Gloves</v>
      </c>
      <c r="D26" s="25">
        <f>IF($A26="","",'Lot Balance'!$G25)</f>
        <v>46113</v>
      </c>
      <c r="E26" s="25">
        <f>IF($A26="","",'Lot Balance'!$H25)</f>
        <v>46285</v>
      </c>
      <c r="F26" s="23">
        <f ca="1">IF($A26="","",'Lot Balance'!$I25)</f>
        <v>47</v>
      </c>
      <c r="G26" s="23">
        <f>IF($A26="","",'Lot Balance'!$O25)</f>
        <v>0</v>
      </c>
      <c r="H26" s="33">
        <f>IF($A26="","",'Lot Balance'!$P25)</f>
        <v>0</v>
      </c>
      <c r="I26" s="26">
        <f>IF($A26="","",COUNTIFS(tblIssues[Lot Number],$B26))</f>
        <v>7</v>
      </c>
      <c r="J26" s="31" t="str">
        <f>IF($A26="","",IF('Lot Balance'!$O25&lt;=0,"Depleted",'Lot Balance'!$Q25))</f>
        <v>Depleted</v>
      </c>
    </row>
    <row r="27" spans="1:10" x14ac:dyDescent="0.35">
      <c r="A27" s="18" t="str">
        <f>IF('Lot Balance'!$A26="","",'Lot Balance'!$A26)</f>
        <v>Gloves - Large</v>
      </c>
      <c r="B27" s="18" t="str">
        <f>IF($A27="","",'Lot Balance'!$B26)</f>
        <v>0417HIC25-1</v>
      </c>
      <c r="C27" s="18" t="str">
        <f>IF($A27="","",'Lot Balance'!$C26)</f>
        <v>Gloves</v>
      </c>
      <c r="D27" s="25">
        <f>IF($A27="","",'Lot Balance'!$G26)</f>
        <v>46113</v>
      </c>
      <c r="E27" s="25">
        <f>IF($A27="","",'Lot Balance'!$H26)</f>
        <v>46292</v>
      </c>
      <c r="F27" s="23">
        <f ca="1">IF($A27="","",'Lot Balance'!$I26)</f>
        <v>54</v>
      </c>
      <c r="G27" s="23">
        <f>IF($A27="","",'Lot Balance'!$O26)</f>
        <v>0</v>
      </c>
      <c r="H27" s="33">
        <f>IF($A27="","",'Lot Balance'!$P26)</f>
        <v>0</v>
      </c>
      <c r="I27" s="26">
        <f>IF($A27="","",COUNTIFS(tblIssues[Lot Number],$B27))</f>
        <v>15</v>
      </c>
      <c r="J27" s="31" t="str">
        <f>IF($A27="","",IF('Lot Balance'!$O26&lt;=0,"Depleted",'Lot Balance'!$Q26))</f>
        <v>Depleted</v>
      </c>
    </row>
    <row r="28" spans="1:10" x14ac:dyDescent="0.35">
      <c r="A28" s="18" t="str">
        <f>IF('Lot Balance'!$A27="","",'Lot Balance'!$A27)</f>
        <v>Gloves - Large</v>
      </c>
      <c r="B28" s="18" t="str">
        <f>IF($A28="","",'Lot Balance'!$B27)</f>
        <v>LG5003002</v>
      </c>
      <c r="C28" s="18" t="str">
        <f>IF($A28="","",'Lot Balance'!$C27)</f>
        <v>Gloves</v>
      </c>
      <c r="D28" s="25">
        <f>IF($A28="","",'Lot Balance'!$G27)</f>
        <v>46113</v>
      </c>
      <c r="E28" s="25">
        <f>IF($A28="","",'Lot Balance'!$H27)</f>
        <v>46135</v>
      </c>
      <c r="F28" s="23">
        <f ca="1">IF($A28="","",'Lot Balance'!$I27)</f>
        <v>-103</v>
      </c>
      <c r="G28" s="23">
        <f>IF($A28="","",'Lot Balance'!$O27)</f>
        <v>0</v>
      </c>
      <c r="H28" s="33">
        <f>IF($A28="","",'Lot Balance'!$P27)</f>
        <v>0</v>
      </c>
      <c r="I28" s="26">
        <f>IF($A28="","",COUNTIFS(tblIssues[Lot Number],$B28))</f>
        <v>0</v>
      </c>
      <c r="J28" s="31" t="str">
        <f>IF($A28="","",IF('Lot Balance'!$O27&lt;=0,"Depleted",'Lot Balance'!$Q27))</f>
        <v>Depleted</v>
      </c>
    </row>
    <row r="29" spans="1:10" x14ac:dyDescent="0.35">
      <c r="A29" s="18" t="str">
        <f>IF('Lot Balance'!$A28="","",'Lot Balance'!$A28)</f>
        <v>Gloves - Large</v>
      </c>
      <c r="B29" s="18" t="str">
        <f>IF($A29="","",'Lot Balance'!$B28)</f>
        <v>LG5003102</v>
      </c>
      <c r="C29" s="18" t="str">
        <f>IF($A29="","",'Lot Balance'!$C28)</f>
        <v>Gloves</v>
      </c>
      <c r="D29" s="25">
        <f>IF($A29="","",'Lot Balance'!$G28)</f>
        <v>46113</v>
      </c>
      <c r="E29" s="25">
        <f>IF($A29="","",'Lot Balance'!$H28)</f>
        <v>46159</v>
      </c>
      <c r="F29" s="23">
        <f ca="1">IF($A29="","",'Lot Balance'!$I28)</f>
        <v>-79</v>
      </c>
      <c r="G29" s="23">
        <f>IF($A29="","",'Lot Balance'!$O28)</f>
        <v>0</v>
      </c>
      <c r="H29" s="33">
        <f>IF($A29="","",'Lot Balance'!$P28)</f>
        <v>0</v>
      </c>
      <c r="I29" s="26">
        <f>IF($A29="","",COUNTIFS(tblIssues[Lot Number],$B29))</f>
        <v>0</v>
      </c>
      <c r="J29" s="31" t="str">
        <f>IF($A29="","",IF('Lot Balance'!$O28&lt;=0,"Depleted",'Lot Balance'!$Q28))</f>
        <v>Depleted</v>
      </c>
    </row>
    <row r="30" spans="1:10" x14ac:dyDescent="0.35">
      <c r="A30" s="18" t="str">
        <f>IF('Lot Balance'!$A29="","",'Lot Balance'!$A29)</f>
        <v>Gloves - Large</v>
      </c>
      <c r="B30" s="18" t="str">
        <f>IF($A30="","",'Lot Balance'!$B29)</f>
        <v>LG5003202</v>
      </c>
      <c r="C30" s="18" t="str">
        <f>IF($A30="","",'Lot Balance'!$C29)</f>
        <v>Gloves</v>
      </c>
      <c r="D30" s="25">
        <f>IF($A30="","",'Lot Balance'!$G29)</f>
        <v>46113</v>
      </c>
      <c r="E30" s="25">
        <f>IF($A30="","",'Lot Balance'!$H29)</f>
        <v>46162</v>
      </c>
      <c r="F30" s="23">
        <f ca="1">IF($A30="","",'Lot Balance'!$I29)</f>
        <v>-76</v>
      </c>
      <c r="G30" s="23">
        <f>IF($A30="","",'Lot Balance'!$O29)</f>
        <v>0</v>
      </c>
      <c r="H30" s="33">
        <f>IF($A30="","",'Lot Balance'!$P29)</f>
        <v>0</v>
      </c>
      <c r="I30" s="26">
        <f>IF($A30="","",COUNTIFS(tblIssues[Lot Number],$B30))</f>
        <v>0</v>
      </c>
      <c r="J30" s="31" t="str">
        <f>IF($A30="","",IF('Lot Balance'!$O29&lt;=0,"Depleted",'Lot Balance'!$Q29))</f>
        <v>Depleted</v>
      </c>
    </row>
    <row r="31" spans="1:10" x14ac:dyDescent="0.35">
      <c r="A31" s="18" t="str">
        <f>IF('Lot Balance'!$A30="","",'Lot Balance'!$A30)</f>
        <v>Gloves - Large</v>
      </c>
      <c r="B31" s="18" t="str">
        <f>IF($A31="","",'Lot Balance'!$B30)</f>
        <v>LG5003203</v>
      </c>
      <c r="C31" s="18" t="str">
        <f>IF($A31="","",'Lot Balance'!$C30)</f>
        <v>Gloves</v>
      </c>
      <c r="D31" s="25">
        <f>IF($A31="","",'Lot Balance'!$G30)</f>
        <v>46113</v>
      </c>
      <c r="E31" s="25">
        <f>IF($A31="","",'Lot Balance'!$H30)</f>
        <v>46162</v>
      </c>
      <c r="F31" s="23">
        <f ca="1">IF($A31="","",'Lot Balance'!$I30)</f>
        <v>-76</v>
      </c>
      <c r="G31" s="23">
        <f>IF($A31="","",'Lot Balance'!$O30)</f>
        <v>0</v>
      </c>
      <c r="H31" s="33">
        <f>IF($A31="","",'Lot Balance'!$P30)</f>
        <v>0</v>
      </c>
      <c r="I31" s="26">
        <f>IF($A31="","",COUNTIFS(tblIssues[Lot Number],$B31))</f>
        <v>0</v>
      </c>
      <c r="J31" s="31" t="str">
        <f>IF($A31="","",IF('Lot Balance'!$O30&lt;=0,"Depleted",'Lot Balance'!$Q30))</f>
        <v>Depleted</v>
      </c>
    </row>
    <row r="32" spans="1:10" x14ac:dyDescent="0.35">
      <c r="A32" s="18" t="str">
        <f>IF('Lot Balance'!$A31="","",'Lot Balance'!$A31)</f>
        <v>Gloves - Large</v>
      </c>
      <c r="B32" s="18" t="str">
        <f>IF($A32="","",'Lot Balance'!$B31)</f>
        <v>LG5003302</v>
      </c>
      <c r="C32" s="18" t="str">
        <f>IF($A32="","",'Lot Balance'!$C31)</f>
        <v>Gloves</v>
      </c>
      <c r="D32" s="25">
        <f>IF($A32="","",'Lot Balance'!$G31)</f>
        <v>46113</v>
      </c>
      <c r="E32" s="25">
        <f>IF($A32="","",'Lot Balance'!$H31)</f>
        <v>46188</v>
      </c>
      <c r="F32" s="23">
        <f ca="1">IF($A32="","",'Lot Balance'!$I31)</f>
        <v>-50</v>
      </c>
      <c r="G32" s="23">
        <f>IF($A32="","",'Lot Balance'!$O31)</f>
        <v>0</v>
      </c>
      <c r="H32" s="33">
        <f>IF($A32="","",'Lot Balance'!$P31)</f>
        <v>0</v>
      </c>
      <c r="I32" s="26">
        <f>IF($A32="","",COUNTIFS(tblIssues[Lot Number],$B32))</f>
        <v>0</v>
      </c>
      <c r="J32" s="31" t="str">
        <f>IF($A32="","",IF('Lot Balance'!$O31&lt;=0,"Depleted",'Lot Balance'!$Q31))</f>
        <v>Depleted</v>
      </c>
    </row>
    <row r="33" spans="1:10" x14ac:dyDescent="0.35">
      <c r="A33" s="18" t="str">
        <f>IF('Lot Balance'!$A32="","",'Lot Balance'!$A32)</f>
        <v>Gloves - Large</v>
      </c>
      <c r="B33" s="18" t="str">
        <f>IF($A33="","",'Lot Balance'!$B32)</f>
        <v>ZIM506129477-0</v>
      </c>
      <c r="C33" s="18" t="str">
        <f>IF($A33="","",'Lot Balance'!$C32)</f>
        <v>Gloves</v>
      </c>
      <c r="D33" s="25">
        <f>IF($A33="","",'Lot Balance'!$G32)</f>
        <v>46113</v>
      </c>
      <c r="E33" s="25">
        <f>IF($A33="","",'Lot Balance'!$H32)</f>
        <v>46179</v>
      </c>
      <c r="F33" s="23">
        <f ca="1">IF($A33="","",'Lot Balance'!$I32)</f>
        <v>-59</v>
      </c>
      <c r="G33" s="23">
        <f>IF($A33="","",'Lot Balance'!$O32)</f>
        <v>0</v>
      </c>
      <c r="H33" s="33">
        <f>IF($A33="","",'Lot Balance'!$P32)</f>
        <v>0</v>
      </c>
      <c r="I33" s="26">
        <f>IF($A33="","",COUNTIFS(tblIssues[Lot Number],$B33))</f>
        <v>0</v>
      </c>
      <c r="J33" s="31" t="str">
        <f>IF($A33="","",IF('Lot Balance'!$O32&lt;=0,"Depleted",'Lot Balance'!$Q32))</f>
        <v>Depleted</v>
      </c>
    </row>
    <row r="34" spans="1:10" x14ac:dyDescent="0.35">
      <c r="A34" s="18" t="str">
        <f>IF('Lot Balance'!$A33="","",'Lot Balance'!$A33)</f>
        <v>Gloves - Large</v>
      </c>
      <c r="B34" s="18" t="str">
        <f>IF($A34="","",'Lot Balance'!$B33)</f>
        <v>ZIM506129477-1</v>
      </c>
      <c r="C34" s="18" t="str">
        <f>IF($A34="","",'Lot Balance'!$C33)</f>
        <v>Gloves</v>
      </c>
      <c r="D34" s="25">
        <f>IF($A34="","",'Lot Balance'!$G33)</f>
        <v>46113</v>
      </c>
      <c r="E34" s="25">
        <f>IF($A34="","",'Lot Balance'!$H33)</f>
        <v>46216</v>
      </c>
      <c r="F34" s="23">
        <f ca="1">IF($A34="","",'Lot Balance'!$I33)</f>
        <v>-22</v>
      </c>
      <c r="G34" s="23">
        <f>IF($A34="","",'Lot Balance'!$O33)</f>
        <v>0</v>
      </c>
      <c r="H34" s="33">
        <f>IF($A34="","",'Lot Balance'!$P33)</f>
        <v>0</v>
      </c>
      <c r="I34" s="26">
        <f>IF($A34="","",COUNTIFS(tblIssues[Lot Number],$B34))</f>
        <v>0</v>
      </c>
      <c r="J34" s="31" t="str">
        <f>IF($A34="","",IF('Lot Balance'!$O33&lt;=0,"Depleted",'Lot Balance'!$Q33))</f>
        <v>Depleted</v>
      </c>
    </row>
    <row r="35" spans="1:10" x14ac:dyDescent="0.35">
      <c r="A35" s="18" t="str">
        <f>IF('Lot Balance'!$A34="","",'Lot Balance'!$A34)</f>
        <v>Gloves - Large</v>
      </c>
      <c r="B35" s="18" t="str">
        <f>IF($A35="","",'Lot Balance'!$B34)</f>
        <v>ZIM509135933-0</v>
      </c>
      <c r="C35" s="18" t="str">
        <f>IF($A35="","",'Lot Balance'!$C34)</f>
        <v>Gloves</v>
      </c>
      <c r="D35" s="25">
        <f>IF($A35="","",'Lot Balance'!$G34)</f>
        <v>46113</v>
      </c>
      <c r="E35" s="25">
        <f>IF($A35="","",'Lot Balance'!$H34)</f>
        <v>46223</v>
      </c>
      <c r="F35" s="23">
        <f ca="1">IF($A35="","",'Lot Balance'!$I34)</f>
        <v>-15</v>
      </c>
      <c r="G35" s="23">
        <f>IF($A35="","",'Lot Balance'!$O34)</f>
        <v>0</v>
      </c>
      <c r="H35" s="33">
        <f>IF($A35="","",'Lot Balance'!$P34)</f>
        <v>0</v>
      </c>
      <c r="I35" s="26">
        <f>IF($A35="","",COUNTIFS(tblIssues[Lot Number],$B35))</f>
        <v>0</v>
      </c>
      <c r="J35" s="31" t="str">
        <f>IF($A35="","",IF('Lot Balance'!$O34&lt;=0,"Depleted",'Lot Balance'!$Q34))</f>
        <v>Depleted</v>
      </c>
    </row>
    <row r="36" spans="1:10" x14ac:dyDescent="0.35">
      <c r="A36" s="18" t="str">
        <f>IF('Lot Balance'!$A35="","",'Lot Balance'!$A35)</f>
        <v>Gloves - Large</v>
      </c>
      <c r="B36" s="18" t="str">
        <f>IF($A36="","",'Lot Balance'!$B35)</f>
        <v>ZIM509135933-1</v>
      </c>
      <c r="C36" s="18" t="str">
        <f>IF($A36="","",'Lot Balance'!$C35)</f>
        <v>Gloves</v>
      </c>
      <c r="D36" s="25">
        <f>IF($A36="","",'Lot Balance'!$G35)</f>
        <v>46113</v>
      </c>
      <c r="E36" s="25">
        <f>IF($A36="","",'Lot Balance'!$H35)</f>
        <v>46244</v>
      </c>
      <c r="F36" s="23">
        <f ca="1">IF($A36="","",'Lot Balance'!$I35)</f>
        <v>6</v>
      </c>
      <c r="G36" s="23">
        <f>IF($A36="","",'Lot Balance'!$O35)</f>
        <v>0</v>
      </c>
      <c r="H36" s="33">
        <f>IF($A36="","",'Lot Balance'!$P35)</f>
        <v>0</v>
      </c>
      <c r="I36" s="26">
        <f>IF($A36="","",COUNTIFS(tblIssues[Lot Number],$B36))</f>
        <v>0</v>
      </c>
      <c r="J36" s="31" t="str">
        <f>IF($A36="","",IF('Lot Balance'!$O35&lt;=0,"Depleted",'Lot Balance'!$Q35))</f>
        <v>Depleted</v>
      </c>
    </row>
    <row r="37" spans="1:10" x14ac:dyDescent="0.35">
      <c r="A37" s="18" t="str">
        <f>IF('Lot Balance'!$A36="","",'Lot Balance'!$A36)</f>
        <v>Gloves - Large</v>
      </c>
      <c r="B37" s="18" t="str">
        <f>IF($A37="","",'Lot Balance'!$B36)</f>
        <v>ZIM509135933-2</v>
      </c>
      <c r="C37" s="18" t="str">
        <f>IF($A37="","",'Lot Balance'!$C36)</f>
        <v>Gloves</v>
      </c>
      <c r="D37" s="25">
        <f>IF($A37="","",'Lot Balance'!$G36)</f>
        <v>46113</v>
      </c>
      <c r="E37" s="25">
        <f>IF($A37="","",'Lot Balance'!$H36)</f>
        <v>46252</v>
      </c>
      <c r="F37" s="23">
        <f ca="1">IF($A37="","",'Lot Balance'!$I36)</f>
        <v>14</v>
      </c>
      <c r="G37" s="23">
        <f>IF($A37="","",'Lot Balance'!$O36)</f>
        <v>0</v>
      </c>
      <c r="H37" s="33">
        <f>IF($A37="","",'Lot Balance'!$P36)</f>
        <v>0</v>
      </c>
      <c r="I37" s="26">
        <f>IF($A37="","",COUNTIFS(tblIssues[Lot Number],$B37))</f>
        <v>0</v>
      </c>
      <c r="J37" s="31" t="str">
        <f>IF($A37="","",IF('Lot Balance'!$O36&lt;=0,"Depleted",'Lot Balance'!$Q36))</f>
        <v>Depleted</v>
      </c>
    </row>
    <row r="38" spans="1:10" x14ac:dyDescent="0.35">
      <c r="A38" s="18" t="str">
        <f>IF('Lot Balance'!$A37="","",'Lot Balance'!$A37)</f>
        <v>Gloves - Large</v>
      </c>
      <c r="B38" s="18" t="str">
        <f>IF($A38="","",'Lot Balance'!$B37)</f>
        <v>ZIM509135935</v>
      </c>
      <c r="C38" s="18" t="str">
        <f>IF($A38="","",'Lot Balance'!$C37)</f>
        <v>Gloves</v>
      </c>
      <c r="D38" s="25">
        <f>IF($A38="","",'Lot Balance'!$G37)</f>
        <v>46113</v>
      </c>
      <c r="E38" s="25">
        <f>IF($A38="","",'Lot Balance'!$H37)</f>
        <v>46261</v>
      </c>
      <c r="F38" s="23">
        <f ca="1">IF($A38="","",'Lot Balance'!$I37)</f>
        <v>23</v>
      </c>
      <c r="G38" s="23">
        <f>IF($A38="","",'Lot Balance'!$O37)</f>
        <v>0</v>
      </c>
      <c r="H38" s="33">
        <f>IF($A38="","",'Lot Balance'!$P37)</f>
        <v>0</v>
      </c>
      <c r="I38" s="26">
        <f>IF($A38="","",COUNTIFS(tblIssues[Lot Number],$B38))</f>
        <v>0</v>
      </c>
      <c r="J38" s="31" t="str">
        <f>IF($A38="","",IF('Lot Balance'!$O37&lt;=0,"Depleted",'Lot Balance'!$Q37))</f>
        <v>Depleted</v>
      </c>
    </row>
    <row r="39" spans="1:10" x14ac:dyDescent="0.35">
      <c r="A39" s="18" t="str">
        <f>IF('Lot Balance'!$A38="","",'Lot Balance'!$A38)</f>
        <v>Gloves - Large</v>
      </c>
      <c r="B39" s="18" t="str">
        <f>IF($A39="","",'Lot Balance'!$B38)</f>
        <v>ZIM510135932</v>
      </c>
      <c r="C39" s="18" t="str">
        <f>IF($A39="","",'Lot Balance'!$C38)</f>
        <v>Gloves</v>
      </c>
      <c r="D39" s="25">
        <f>IF($A39="","",'Lot Balance'!$G38)</f>
        <v>46113</v>
      </c>
      <c r="E39" s="25">
        <f>IF($A39="","",'Lot Balance'!$H38)</f>
        <v>46275</v>
      </c>
      <c r="F39" s="23">
        <f ca="1">IF($A39="","",'Lot Balance'!$I38)</f>
        <v>37</v>
      </c>
      <c r="G39" s="23">
        <f>IF($A39="","",'Lot Balance'!$O38)</f>
        <v>0</v>
      </c>
      <c r="H39" s="33">
        <f>IF($A39="","",'Lot Balance'!$P38)</f>
        <v>0</v>
      </c>
      <c r="I39" s="26">
        <f>IF($A39="","",COUNTIFS(tblIssues[Lot Number],$B39))</f>
        <v>8</v>
      </c>
      <c r="J39" s="31" t="str">
        <f>IF($A39="","",IF('Lot Balance'!$O38&lt;=0,"Depleted",'Lot Balance'!$Q38))</f>
        <v>Depleted</v>
      </c>
    </row>
    <row r="40" spans="1:10" x14ac:dyDescent="0.35">
      <c r="A40" s="18" t="str">
        <f>IF('Lot Balance'!$A39="","",'Lot Balance'!$A39)</f>
        <v>Gloves - Large</v>
      </c>
      <c r="B40" s="18" t="str">
        <f>IF($A40="","",'Lot Balance'!$B39)</f>
        <v>ZIM510137970</v>
      </c>
      <c r="C40" s="18" t="str">
        <f>IF($A40="","",'Lot Balance'!$C39)</f>
        <v>Gloves</v>
      </c>
      <c r="D40" s="25">
        <f>IF($A40="","",'Lot Balance'!$G39)</f>
        <v>46113</v>
      </c>
      <c r="E40" s="25">
        <f>IF($A40="","",'Lot Balance'!$H39)</f>
        <v>46229</v>
      </c>
      <c r="F40" s="23">
        <f ca="1">IF($A40="","",'Lot Balance'!$I39)</f>
        <v>-9</v>
      </c>
      <c r="G40" s="23">
        <f>IF($A40="","",'Lot Balance'!$O39)</f>
        <v>0</v>
      </c>
      <c r="H40" s="33">
        <f>IF($A40="","",'Lot Balance'!$P39)</f>
        <v>0</v>
      </c>
      <c r="I40" s="26">
        <f>IF($A40="","",COUNTIFS(tblIssues[Lot Number],$B40))</f>
        <v>0</v>
      </c>
      <c r="J40" s="31" t="str">
        <f>IF($A40="","",IF('Lot Balance'!$O39&lt;=0,"Depleted",'Lot Balance'!$Q39))</f>
        <v>Depleted</v>
      </c>
    </row>
    <row r="41" spans="1:10" x14ac:dyDescent="0.35">
      <c r="A41" s="18" t="str">
        <f>IF('Lot Balance'!$A40="","",'Lot Balance'!$A40)</f>
        <v>Gloves - Large</v>
      </c>
      <c r="B41" s="18" t="str">
        <f>IF($A41="","",'Lot Balance'!$B40)</f>
        <v>ZIM510137970-0</v>
      </c>
      <c r="C41" s="18" t="str">
        <f>IF($A41="","",'Lot Balance'!$C40)</f>
        <v>Gloves</v>
      </c>
      <c r="D41" s="25">
        <f>IF($A41="","",'Lot Balance'!$G40)</f>
        <v>46113</v>
      </c>
      <c r="E41" s="25">
        <f>IF($A41="","",'Lot Balance'!$H40)</f>
        <v>46270</v>
      </c>
      <c r="F41" s="23">
        <f ca="1">IF($A41="","",'Lot Balance'!$I40)</f>
        <v>32</v>
      </c>
      <c r="G41" s="23">
        <f>IF($A41="","",'Lot Balance'!$O40)</f>
        <v>0</v>
      </c>
      <c r="H41" s="33">
        <f>IF($A41="","",'Lot Balance'!$P40)</f>
        <v>0</v>
      </c>
      <c r="I41" s="26">
        <f>IF($A41="","",COUNTIFS(tblIssues[Lot Number],$B41))</f>
        <v>0</v>
      </c>
      <c r="J41" s="31" t="str">
        <f>IF($A41="","",IF('Lot Balance'!$O40&lt;=0,"Depleted",'Lot Balance'!$Q40))</f>
        <v>Depleted</v>
      </c>
    </row>
    <row r="42" spans="1:10" x14ac:dyDescent="0.35">
      <c r="A42" s="18" t="str">
        <f>IF('Lot Balance'!$A41="","",'Lot Balance'!$A41)</f>
        <v>Gloves - Large</v>
      </c>
      <c r="B42" s="18" t="str">
        <f>IF($A42="","",'Lot Balance'!$B41)</f>
        <v>ZIM511139904-0</v>
      </c>
      <c r="C42" s="18" t="str">
        <f>IF($A42="","",'Lot Balance'!$C41)</f>
        <v>Gloves</v>
      </c>
      <c r="D42" s="25">
        <f>IF($A42="","",'Lot Balance'!$G41)</f>
        <v>46113</v>
      </c>
      <c r="E42" s="25">
        <f>IF($A42="","",'Lot Balance'!$H41)</f>
        <v>46283</v>
      </c>
      <c r="F42" s="23">
        <f ca="1">IF($A42="","",'Lot Balance'!$I41)</f>
        <v>45</v>
      </c>
      <c r="G42" s="23">
        <f>IF($A42="","",'Lot Balance'!$O41)</f>
        <v>0</v>
      </c>
      <c r="H42" s="33">
        <f>IF($A42="","",'Lot Balance'!$P41)</f>
        <v>0</v>
      </c>
      <c r="I42" s="26">
        <f>IF($A42="","",COUNTIFS(tblIssues[Lot Number],$B42))</f>
        <v>10</v>
      </c>
      <c r="J42" s="31" t="str">
        <f>IF($A42="","",IF('Lot Balance'!$O41&lt;=0,"Depleted",'Lot Balance'!$Q41))</f>
        <v>Depleted</v>
      </c>
    </row>
    <row r="43" spans="1:10" x14ac:dyDescent="0.35">
      <c r="A43" s="18" t="str">
        <f>IF('Lot Balance'!$A42="","",'Lot Balance'!$A42)</f>
        <v>Gloves - Large</v>
      </c>
      <c r="B43" s="18" t="str">
        <f>IF($A43="","",'Lot Balance'!$B42)</f>
        <v>ZIM511139904-1</v>
      </c>
      <c r="C43" s="18" t="str">
        <f>IF($A43="","",'Lot Balance'!$C42)</f>
        <v>Gloves</v>
      </c>
      <c r="D43" s="25">
        <f>IF($A43="","",'Lot Balance'!$G42)</f>
        <v>46113</v>
      </c>
      <c r="E43" s="25">
        <f>IF($A43="","",'Lot Balance'!$H42)</f>
        <v>46289</v>
      </c>
      <c r="F43" s="23">
        <f ca="1">IF($A43="","",'Lot Balance'!$I42)</f>
        <v>51</v>
      </c>
      <c r="G43" s="23">
        <f>IF($A43="","",'Lot Balance'!$O42)</f>
        <v>0</v>
      </c>
      <c r="H43" s="33">
        <f>IF($A43="","",'Lot Balance'!$P42)</f>
        <v>0</v>
      </c>
      <c r="I43" s="26">
        <f>IF($A43="","",COUNTIFS(tblIssues[Lot Number],$B43))</f>
        <v>10</v>
      </c>
      <c r="J43" s="31" t="str">
        <f>IF($A43="","",IF('Lot Balance'!$O42&lt;=0,"Depleted",'Lot Balance'!$Q42))</f>
        <v>Depleted</v>
      </c>
    </row>
    <row r="44" spans="1:10" x14ac:dyDescent="0.35">
      <c r="A44" s="18" t="str">
        <f>IF('Lot Balance'!$A43="","",'Lot Balance'!$A43)</f>
        <v>Gloves - Medium</v>
      </c>
      <c r="B44" s="18" t="str">
        <f>IF($A44="","",'Lot Balance'!$B43)</f>
        <v>ZIM504126040-2</v>
      </c>
      <c r="C44" s="18" t="str">
        <f>IF($A44="","",'Lot Balance'!$C43)</f>
        <v>Gloves</v>
      </c>
      <c r="D44" s="25">
        <f>IF($A44="","",'Lot Balance'!$G43)</f>
        <v>46113</v>
      </c>
      <c r="E44" s="25">
        <f>IF($A44="","",'Lot Balance'!$H43)</f>
        <v>46285</v>
      </c>
      <c r="F44" s="23">
        <f ca="1">IF($A44="","",'Lot Balance'!$I43)</f>
        <v>47</v>
      </c>
      <c r="G44" s="23">
        <f>IF($A44="","",'Lot Balance'!$O43)</f>
        <v>0</v>
      </c>
      <c r="H44" s="33">
        <f>IF($A44="","",'Lot Balance'!$P43)</f>
        <v>0</v>
      </c>
      <c r="I44" s="26">
        <f>IF($A44="","",COUNTIFS(tblIssues[Lot Number],$B44))</f>
        <v>25</v>
      </c>
      <c r="J44" s="31" t="str">
        <f>IF($A44="","",IF('Lot Balance'!$O43&lt;=0,"Depleted",'Lot Balance'!$Q43))</f>
        <v>Depleted</v>
      </c>
    </row>
    <row r="45" spans="1:10" x14ac:dyDescent="0.35">
      <c r="A45" s="18" t="str">
        <f>IF('Lot Balance'!$A44="","",'Lot Balance'!$A44)</f>
        <v>Gloves - Medium</v>
      </c>
      <c r="B45" s="18" t="str">
        <f>IF($A45="","",'Lot Balance'!$B44)</f>
        <v>0310HIC25</v>
      </c>
      <c r="C45" s="18" t="str">
        <f>IF($A45="","",'Lot Balance'!$C44)</f>
        <v>Gloves</v>
      </c>
      <c r="D45" s="25">
        <f>IF($A45="","",'Lot Balance'!$G44)</f>
        <v>46113</v>
      </c>
      <c r="E45" s="25">
        <f>IF($A45="","",'Lot Balance'!$H44)</f>
        <v>46132</v>
      </c>
      <c r="F45" s="23">
        <f ca="1">IF($A45="","",'Lot Balance'!$I44)</f>
        <v>-106</v>
      </c>
      <c r="G45" s="23">
        <f>IF($A45="","",'Lot Balance'!$O44)</f>
        <v>0</v>
      </c>
      <c r="H45" s="33">
        <f>IF($A45="","",'Lot Balance'!$P44)</f>
        <v>0</v>
      </c>
      <c r="I45" s="26">
        <f>IF($A45="","",COUNTIFS(tblIssues[Lot Number],$B45))</f>
        <v>0</v>
      </c>
      <c r="J45" s="31" t="str">
        <f>IF($A45="","",IF('Lot Balance'!$O44&lt;=0,"Depleted",'Lot Balance'!$Q44))</f>
        <v>Depleted</v>
      </c>
    </row>
    <row r="46" spans="1:10" x14ac:dyDescent="0.35">
      <c r="A46" s="18" t="str">
        <f>IF('Lot Balance'!$A45="","",'Lot Balance'!$A45)</f>
        <v>Gloves - Medium</v>
      </c>
      <c r="B46" s="18" t="str">
        <f>IF($A46="","",'Lot Balance'!$B45)</f>
        <v>MG5003004</v>
      </c>
      <c r="C46" s="18" t="str">
        <f>IF($A46="","",'Lot Balance'!$C45)</f>
        <v>Gloves</v>
      </c>
      <c r="D46" s="25">
        <f>IF($A46="","",'Lot Balance'!$G45)</f>
        <v>46113</v>
      </c>
      <c r="E46" s="25">
        <f>IF($A46="","",'Lot Balance'!$H45)</f>
        <v>46140</v>
      </c>
      <c r="F46" s="23">
        <f ca="1">IF($A46="","",'Lot Balance'!$I45)</f>
        <v>-98</v>
      </c>
      <c r="G46" s="23">
        <f>IF($A46="","",'Lot Balance'!$O45)</f>
        <v>0</v>
      </c>
      <c r="H46" s="33">
        <f>IF($A46="","",'Lot Balance'!$P45)</f>
        <v>0</v>
      </c>
      <c r="I46" s="26">
        <f>IF($A46="","",COUNTIFS(tblIssues[Lot Number],$B46))</f>
        <v>0</v>
      </c>
      <c r="J46" s="31" t="str">
        <f>IF($A46="","",IF('Lot Balance'!$O45&lt;=0,"Depleted",'Lot Balance'!$Q45))</f>
        <v>Depleted</v>
      </c>
    </row>
    <row r="47" spans="1:10" x14ac:dyDescent="0.35">
      <c r="A47" s="18" t="str">
        <f>IF('Lot Balance'!$A46="","",'Lot Balance'!$A46)</f>
        <v>Gloves - Medium</v>
      </c>
      <c r="B47" s="18" t="str">
        <f>IF($A47="","",'Lot Balance'!$B46)</f>
        <v>MG5003104</v>
      </c>
      <c r="C47" s="18" t="str">
        <f>IF($A47="","",'Lot Balance'!$C46)</f>
        <v>Gloves</v>
      </c>
      <c r="D47" s="25">
        <f>IF($A47="","",'Lot Balance'!$G46)</f>
        <v>46113</v>
      </c>
      <c r="E47" s="25">
        <f>IF($A47="","",'Lot Balance'!$H46)</f>
        <v>46147</v>
      </c>
      <c r="F47" s="23">
        <f ca="1">IF($A47="","",'Lot Balance'!$I46)</f>
        <v>-91</v>
      </c>
      <c r="G47" s="23">
        <f>IF($A47="","",'Lot Balance'!$O46)</f>
        <v>0</v>
      </c>
      <c r="H47" s="33">
        <f>IF($A47="","",'Lot Balance'!$P46)</f>
        <v>0</v>
      </c>
      <c r="I47" s="26">
        <f>IF($A47="","",COUNTIFS(tblIssues[Lot Number],$B47))</f>
        <v>0</v>
      </c>
      <c r="J47" s="31" t="str">
        <f>IF($A47="","",IF('Lot Balance'!$O46&lt;=0,"Depleted",'Lot Balance'!$Q46))</f>
        <v>Depleted</v>
      </c>
    </row>
    <row r="48" spans="1:10" x14ac:dyDescent="0.35">
      <c r="A48" s="18" t="str">
        <f>IF('Lot Balance'!$A47="","",'Lot Balance'!$A47)</f>
        <v>Gloves - Medium</v>
      </c>
      <c r="B48" s="18" t="str">
        <f>IF($A48="","",'Lot Balance'!$B47)</f>
        <v>MG5003204</v>
      </c>
      <c r="C48" s="18" t="str">
        <f>IF($A48="","",'Lot Balance'!$C47)</f>
        <v>Gloves</v>
      </c>
      <c r="D48" s="25">
        <f>IF($A48="","",'Lot Balance'!$G47)</f>
        <v>46113</v>
      </c>
      <c r="E48" s="25">
        <f>IF($A48="","",'Lot Balance'!$H47)</f>
        <v>46159</v>
      </c>
      <c r="F48" s="23">
        <f ca="1">IF($A48="","",'Lot Balance'!$I47)</f>
        <v>-79</v>
      </c>
      <c r="G48" s="23">
        <f>IF($A48="","",'Lot Balance'!$O47)</f>
        <v>0</v>
      </c>
      <c r="H48" s="33">
        <f>IF($A48="","",'Lot Balance'!$P47)</f>
        <v>0</v>
      </c>
      <c r="I48" s="26">
        <f>IF($A48="","",COUNTIFS(tblIssues[Lot Number],$B48))</f>
        <v>0</v>
      </c>
      <c r="J48" s="31" t="str">
        <f>IF($A48="","",IF('Lot Balance'!$O47&lt;=0,"Depleted",'Lot Balance'!$Q47))</f>
        <v>Depleted</v>
      </c>
    </row>
    <row r="49" spans="1:10" x14ac:dyDescent="0.35">
      <c r="A49" s="18" t="str">
        <f>IF('Lot Balance'!$A48="","",'Lot Balance'!$A48)</f>
        <v>Gloves - Medium</v>
      </c>
      <c r="B49" s="18" t="str">
        <f>IF($A49="","",'Lot Balance'!$B48)</f>
        <v>MG5003304</v>
      </c>
      <c r="C49" s="18" t="str">
        <f>IF($A49="","",'Lot Balance'!$C48)</f>
        <v>Gloves</v>
      </c>
      <c r="D49" s="25">
        <f>IF($A49="","",'Lot Balance'!$G48)</f>
        <v>46113</v>
      </c>
      <c r="E49" s="25">
        <f>IF($A49="","",'Lot Balance'!$H48)</f>
        <v>46162</v>
      </c>
      <c r="F49" s="23">
        <f ca="1">IF($A49="","",'Lot Balance'!$I48)</f>
        <v>-76</v>
      </c>
      <c r="G49" s="23">
        <f>IF($A49="","",'Lot Balance'!$O48)</f>
        <v>0</v>
      </c>
      <c r="H49" s="33">
        <f>IF($A49="","",'Lot Balance'!$P48)</f>
        <v>0</v>
      </c>
      <c r="I49" s="26">
        <f>IF($A49="","",COUNTIFS(tblIssues[Lot Number],$B49))</f>
        <v>0</v>
      </c>
      <c r="J49" s="31" t="str">
        <f>IF($A49="","",IF('Lot Balance'!$O48&lt;=0,"Depleted",'Lot Balance'!$Q48))</f>
        <v>Depleted</v>
      </c>
    </row>
    <row r="50" spans="1:10" x14ac:dyDescent="0.35">
      <c r="A50" s="18" t="str">
        <f>IF('Lot Balance'!$A49="","",'Lot Balance'!$A49)</f>
        <v>Gloves - Medium</v>
      </c>
      <c r="B50" s="18" t="str">
        <f>IF($A50="","",'Lot Balance'!$B49)</f>
        <v>MG5003404</v>
      </c>
      <c r="C50" s="18" t="str">
        <f>IF($A50="","",'Lot Balance'!$C49)</f>
        <v>Gloves</v>
      </c>
      <c r="D50" s="25">
        <f>IF($A50="","",'Lot Balance'!$G49)</f>
        <v>46113</v>
      </c>
      <c r="E50" s="25">
        <f>IF($A50="","",'Lot Balance'!$H49)</f>
        <v>46172</v>
      </c>
      <c r="F50" s="23">
        <f ca="1">IF($A50="","",'Lot Balance'!$I49)</f>
        <v>-66</v>
      </c>
      <c r="G50" s="23">
        <f>IF($A50="","",'Lot Balance'!$O49)</f>
        <v>0</v>
      </c>
      <c r="H50" s="33">
        <f>IF($A50="","",'Lot Balance'!$P49)</f>
        <v>0</v>
      </c>
      <c r="I50" s="26">
        <f>IF($A50="","",COUNTIFS(tblIssues[Lot Number],$B50))</f>
        <v>0</v>
      </c>
      <c r="J50" s="31" t="str">
        <f>IF($A50="","",IF('Lot Balance'!$O49&lt;=0,"Depleted",'Lot Balance'!$Q49))</f>
        <v>Depleted</v>
      </c>
    </row>
    <row r="51" spans="1:10" x14ac:dyDescent="0.35">
      <c r="A51" s="18" t="str">
        <f>IF('Lot Balance'!$A50="","",'Lot Balance'!$A50)</f>
        <v>Gloves - Medium</v>
      </c>
      <c r="B51" s="18" t="str">
        <f>IF($A51="","",'Lot Balance'!$B50)</f>
        <v>MG5003504</v>
      </c>
      <c r="C51" s="18" t="str">
        <f>IF($A51="","",'Lot Balance'!$C50)</f>
        <v>Gloves</v>
      </c>
      <c r="D51" s="25">
        <f>IF($A51="","",'Lot Balance'!$G50)</f>
        <v>46113</v>
      </c>
      <c r="E51" s="25">
        <f>IF($A51="","",'Lot Balance'!$H50)</f>
        <v>46188</v>
      </c>
      <c r="F51" s="23">
        <f ca="1">IF($A51="","",'Lot Balance'!$I50)</f>
        <v>-50</v>
      </c>
      <c r="G51" s="23">
        <f>IF($A51="","",'Lot Balance'!$O50)</f>
        <v>0</v>
      </c>
      <c r="H51" s="33">
        <f>IF($A51="","",'Lot Balance'!$P50)</f>
        <v>0</v>
      </c>
      <c r="I51" s="26">
        <f>IF($A51="","",COUNTIFS(tblIssues[Lot Number],$B51))</f>
        <v>0</v>
      </c>
      <c r="J51" s="31" t="str">
        <f>IF($A51="","",IF('Lot Balance'!$O50&lt;=0,"Depleted",'Lot Balance'!$Q50))</f>
        <v>Depleted</v>
      </c>
    </row>
    <row r="52" spans="1:10" x14ac:dyDescent="0.35">
      <c r="A52" s="18" t="str">
        <f>IF('Lot Balance'!$A51="","",'Lot Balance'!$A51)</f>
        <v>Gloves - Medium</v>
      </c>
      <c r="B52" s="18" t="str">
        <f>IF($A52="","",'Lot Balance'!$B51)</f>
        <v>MG5003604</v>
      </c>
      <c r="C52" s="18" t="str">
        <f>IF($A52="","",'Lot Balance'!$C51)</f>
        <v>Gloves</v>
      </c>
      <c r="D52" s="25">
        <f>IF($A52="","",'Lot Balance'!$G51)</f>
        <v>46113</v>
      </c>
      <c r="E52" s="25">
        <f>IF($A52="","",'Lot Balance'!$H51)</f>
        <v>46292</v>
      </c>
      <c r="F52" s="23">
        <f ca="1">IF($A52="","",'Lot Balance'!$I51)</f>
        <v>54</v>
      </c>
      <c r="G52" s="23">
        <f>IF($A52="","",'Lot Balance'!$O51)</f>
        <v>0</v>
      </c>
      <c r="H52" s="33">
        <f>IF($A52="","",'Lot Balance'!$P51)</f>
        <v>0</v>
      </c>
      <c r="I52" s="26">
        <f>IF($A52="","",COUNTIFS(tblIssues[Lot Number],$B52))</f>
        <v>0</v>
      </c>
      <c r="J52" s="31" t="str">
        <f>IF($A52="","",IF('Lot Balance'!$O51&lt;=0,"Depleted",'Lot Balance'!$Q51))</f>
        <v>Depleted</v>
      </c>
    </row>
    <row r="53" spans="1:10" x14ac:dyDescent="0.35">
      <c r="A53" s="18" t="str">
        <f>IF('Lot Balance'!$A52="","",'Lot Balance'!$A52)</f>
        <v>Gloves - Medium</v>
      </c>
      <c r="B53" s="18" t="str">
        <f>IF($A53="","",'Lot Balance'!$B52)</f>
        <v>O17104</v>
      </c>
      <c r="C53" s="18" t="str">
        <f>IF($A53="","",'Lot Balance'!$C52)</f>
        <v>Gloves</v>
      </c>
      <c r="D53" s="25">
        <f>IF($A53="","",'Lot Balance'!$G52)</f>
        <v>46113</v>
      </c>
      <c r="E53" s="25">
        <f>IF($A53="","",'Lot Balance'!$H52)</f>
        <v>46179</v>
      </c>
      <c r="F53" s="23">
        <f ca="1">IF($A53="","",'Lot Balance'!$I52)</f>
        <v>-59</v>
      </c>
      <c r="G53" s="23">
        <f>IF($A53="","",'Lot Balance'!$O52)</f>
        <v>0</v>
      </c>
      <c r="H53" s="33">
        <f>IF($A53="","",'Lot Balance'!$P52)</f>
        <v>0</v>
      </c>
      <c r="I53" s="26">
        <f>IF($A53="","",COUNTIFS(tblIssues[Lot Number],$B53))</f>
        <v>20</v>
      </c>
      <c r="J53" s="31" t="str">
        <f>IF($A53="","",IF('Lot Balance'!$O52&lt;=0,"Depleted",'Lot Balance'!$Q52))</f>
        <v>Depleted</v>
      </c>
    </row>
    <row r="54" spans="1:10" x14ac:dyDescent="0.35">
      <c r="A54" s="18" t="str">
        <f>IF('Lot Balance'!$A53="","",'Lot Balance'!$A53)</f>
        <v>Gloves - Medium</v>
      </c>
      <c r="B54" s="18" t="str">
        <f>IF($A54="","",'Lot Balance'!$B53)</f>
        <v>ZIM503122464-0</v>
      </c>
      <c r="C54" s="18" t="str">
        <f>IF($A54="","",'Lot Balance'!$C53)</f>
        <v>Gloves</v>
      </c>
      <c r="D54" s="25">
        <f>IF($A54="","",'Lot Balance'!$G53)</f>
        <v>46113</v>
      </c>
      <c r="E54" s="25">
        <f>IF($A54="","",'Lot Balance'!$H53)</f>
        <v>46216</v>
      </c>
      <c r="F54" s="23">
        <f ca="1">IF($A54="","",'Lot Balance'!$I53)</f>
        <v>-22</v>
      </c>
      <c r="G54" s="23">
        <f>IF($A54="","",'Lot Balance'!$O53)</f>
        <v>0</v>
      </c>
      <c r="H54" s="33">
        <f>IF($A54="","",'Lot Balance'!$P53)</f>
        <v>0</v>
      </c>
      <c r="I54" s="26">
        <f>IF($A54="","",COUNTIFS(tblIssues[Lot Number],$B54))</f>
        <v>0</v>
      </c>
      <c r="J54" s="31" t="str">
        <f>IF($A54="","",IF('Lot Balance'!$O53&lt;=0,"Depleted",'Lot Balance'!$Q53))</f>
        <v>Depleted</v>
      </c>
    </row>
    <row r="55" spans="1:10" x14ac:dyDescent="0.35">
      <c r="A55" s="18" t="str">
        <f>IF('Lot Balance'!$A54="","",'Lot Balance'!$A54)</f>
        <v>Gloves - Medium</v>
      </c>
      <c r="B55" s="18" t="str">
        <f>IF($A55="","",'Lot Balance'!$B54)</f>
        <v>ZIM503122464-1</v>
      </c>
      <c r="C55" s="18" t="str">
        <f>IF($A55="","",'Lot Balance'!$C54)</f>
        <v>Gloves</v>
      </c>
      <c r="D55" s="25">
        <f>IF($A55="","",'Lot Balance'!$G54)</f>
        <v>46113</v>
      </c>
      <c r="E55" s="25">
        <f>IF($A55="","",'Lot Balance'!$H54)</f>
        <v>46223</v>
      </c>
      <c r="F55" s="23">
        <f ca="1">IF($A55="","",'Lot Balance'!$I54)</f>
        <v>-15</v>
      </c>
      <c r="G55" s="23">
        <f>IF($A55="","",'Lot Balance'!$O54)</f>
        <v>0</v>
      </c>
      <c r="H55" s="33">
        <f>IF($A55="","",'Lot Balance'!$P54)</f>
        <v>0</v>
      </c>
      <c r="I55" s="26">
        <f>IF($A55="","",COUNTIFS(tblIssues[Lot Number],$B55))</f>
        <v>0</v>
      </c>
      <c r="J55" s="31" t="str">
        <f>IF($A55="","",IF('Lot Balance'!$O54&lt;=0,"Depleted",'Lot Balance'!$Q54))</f>
        <v>Depleted</v>
      </c>
    </row>
    <row r="56" spans="1:10" x14ac:dyDescent="0.35">
      <c r="A56" s="18" t="str">
        <f>IF('Lot Balance'!$A55="","",'Lot Balance'!$A55)</f>
        <v>Gloves - Medium</v>
      </c>
      <c r="B56" s="18" t="str">
        <f>IF($A56="","",'Lot Balance'!$B55)</f>
        <v>ZIM503122464-2</v>
      </c>
      <c r="C56" s="18" t="str">
        <f>IF($A56="","",'Lot Balance'!$C55)</f>
        <v>Gloves</v>
      </c>
      <c r="D56" s="25">
        <f>IF($A56="","",'Lot Balance'!$G55)</f>
        <v>46113</v>
      </c>
      <c r="E56" s="25">
        <f>IF($A56="","",'Lot Balance'!$H55)</f>
        <v>46229</v>
      </c>
      <c r="F56" s="23">
        <f ca="1">IF($A56="","",'Lot Balance'!$I55)</f>
        <v>-9</v>
      </c>
      <c r="G56" s="23">
        <f>IF($A56="","",'Lot Balance'!$O55)</f>
        <v>0</v>
      </c>
      <c r="H56" s="33">
        <f>IF($A56="","",'Lot Balance'!$P55)</f>
        <v>0</v>
      </c>
      <c r="I56" s="26">
        <f>IF($A56="","",COUNTIFS(tblIssues[Lot Number],$B56))</f>
        <v>0</v>
      </c>
      <c r="J56" s="31" t="str">
        <f>IF($A56="","",IF('Lot Balance'!$O55&lt;=0,"Depleted",'Lot Balance'!$Q55))</f>
        <v>Depleted</v>
      </c>
    </row>
    <row r="57" spans="1:10" x14ac:dyDescent="0.35">
      <c r="A57" s="18" t="str">
        <f>IF('Lot Balance'!$A56="","",'Lot Balance'!$A56)</f>
        <v>Gloves - Medium</v>
      </c>
      <c r="B57" s="18" t="str">
        <f>IF($A57="","",'Lot Balance'!$B56)</f>
        <v>ZIM503122464-3</v>
      </c>
      <c r="C57" s="18" t="str">
        <f>IF($A57="","",'Lot Balance'!$C56)</f>
        <v>Gloves</v>
      </c>
      <c r="D57" s="25">
        <f>IF($A57="","",'Lot Balance'!$G56)</f>
        <v>46113</v>
      </c>
      <c r="E57" s="25">
        <f>IF($A57="","",'Lot Balance'!$H56)</f>
        <v>46238</v>
      </c>
      <c r="F57" s="23">
        <f ca="1">IF($A57="","",'Lot Balance'!$I56)</f>
        <v>0</v>
      </c>
      <c r="G57" s="23">
        <f>IF($A57="","",'Lot Balance'!$O56)</f>
        <v>0</v>
      </c>
      <c r="H57" s="33">
        <f>IF($A57="","",'Lot Balance'!$P56)</f>
        <v>0</v>
      </c>
      <c r="I57" s="26">
        <f>IF($A57="","",COUNTIFS(tblIssues[Lot Number],$B57))</f>
        <v>0</v>
      </c>
      <c r="J57" s="31" t="str">
        <f>IF($A57="","",IF('Lot Balance'!$O56&lt;=0,"Depleted",'Lot Balance'!$Q56))</f>
        <v>Depleted</v>
      </c>
    </row>
    <row r="58" spans="1:10" x14ac:dyDescent="0.35">
      <c r="A58" s="18" t="str">
        <f>IF('Lot Balance'!$A57="","",'Lot Balance'!$A57)</f>
        <v>Gloves - Medium</v>
      </c>
      <c r="B58" s="18" t="str">
        <f>IF($A58="","",'Lot Balance'!$B57)</f>
        <v>ZIM503122464-4</v>
      </c>
      <c r="C58" s="18" t="str">
        <f>IF($A58="","",'Lot Balance'!$C57)</f>
        <v>Gloves</v>
      </c>
      <c r="D58" s="25">
        <f>IF($A58="","",'Lot Balance'!$G57)</f>
        <v>46113</v>
      </c>
      <c r="E58" s="25">
        <f>IF($A58="","",'Lot Balance'!$H57)</f>
        <v>46244</v>
      </c>
      <c r="F58" s="23">
        <f ca="1">IF($A58="","",'Lot Balance'!$I57)</f>
        <v>6</v>
      </c>
      <c r="G58" s="23">
        <f>IF($A58="","",'Lot Balance'!$O57)</f>
        <v>0</v>
      </c>
      <c r="H58" s="33">
        <f>IF($A58="","",'Lot Balance'!$P57)</f>
        <v>0</v>
      </c>
      <c r="I58" s="26">
        <f>IF($A58="","",COUNTIFS(tblIssues[Lot Number],$B58))</f>
        <v>0</v>
      </c>
      <c r="J58" s="31" t="str">
        <f>IF($A58="","",IF('Lot Balance'!$O57&lt;=0,"Depleted",'Lot Balance'!$Q57))</f>
        <v>Depleted</v>
      </c>
    </row>
    <row r="59" spans="1:10" x14ac:dyDescent="0.35">
      <c r="A59" s="18" t="str">
        <f>IF('Lot Balance'!$A58="","",'Lot Balance'!$A58)</f>
        <v>Gloves - Medium</v>
      </c>
      <c r="B59" s="18" t="str">
        <f>IF($A59="","",'Lot Balance'!$B58)</f>
        <v>ZIM503122464-5</v>
      </c>
      <c r="C59" s="18" t="str">
        <f>IF($A59="","",'Lot Balance'!$C58)</f>
        <v>Gloves</v>
      </c>
      <c r="D59" s="25">
        <f>IF($A59="","",'Lot Balance'!$G58)</f>
        <v>46113</v>
      </c>
      <c r="E59" s="25">
        <f>IF($A59="","",'Lot Balance'!$H58)</f>
        <v>46252</v>
      </c>
      <c r="F59" s="23">
        <f ca="1">IF($A59="","",'Lot Balance'!$I58)</f>
        <v>14</v>
      </c>
      <c r="G59" s="23">
        <f>IF($A59="","",'Lot Balance'!$O58)</f>
        <v>0</v>
      </c>
      <c r="H59" s="33">
        <f>IF($A59="","",'Lot Balance'!$P58)</f>
        <v>0</v>
      </c>
      <c r="I59" s="26">
        <f>IF($A59="","",COUNTIFS(tblIssues[Lot Number],$B59))</f>
        <v>0</v>
      </c>
      <c r="J59" s="31" t="str">
        <f>IF($A59="","",IF('Lot Balance'!$O58&lt;=0,"Depleted",'Lot Balance'!$Q58))</f>
        <v>Depleted</v>
      </c>
    </row>
    <row r="60" spans="1:10" x14ac:dyDescent="0.35">
      <c r="A60" s="18" t="str">
        <f>IF('Lot Balance'!$A59="","",'Lot Balance'!$A59)</f>
        <v>Gloves - Medium</v>
      </c>
      <c r="B60" s="18" t="str">
        <f>IF($A60="","",'Lot Balance'!$B59)</f>
        <v>ZIM503122464-6</v>
      </c>
      <c r="C60" s="18" t="str">
        <f>IF($A60="","",'Lot Balance'!$C59)</f>
        <v>Gloves</v>
      </c>
      <c r="D60" s="25">
        <f>IF($A60="","",'Lot Balance'!$G59)</f>
        <v>46113</v>
      </c>
      <c r="E60" s="25">
        <f>IF($A60="","",'Lot Balance'!$H59)</f>
        <v>46283</v>
      </c>
      <c r="F60" s="23">
        <f ca="1">IF($A60="","",'Lot Balance'!$I59)</f>
        <v>45</v>
      </c>
      <c r="G60" s="23">
        <f>IF($A60="","",'Lot Balance'!$O59)</f>
        <v>0</v>
      </c>
      <c r="H60" s="33">
        <f>IF($A60="","",'Lot Balance'!$P59)</f>
        <v>0</v>
      </c>
      <c r="I60" s="26">
        <f>IF($A60="","",COUNTIFS(tblIssues[Lot Number],$B60))</f>
        <v>0</v>
      </c>
      <c r="J60" s="31" t="str">
        <f>IF($A60="","",IF('Lot Balance'!$O59&lt;=0,"Depleted",'Lot Balance'!$Q59))</f>
        <v>Depleted</v>
      </c>
    </row>
    <row r="61" spans="1:10" x14ac:dyDescent="0.35">
      <c r="A61" s="18" t="str">
        <f>IF('Lot Balance'!$A60="","",'Lot Balance'!$A60)</f>
        <v>Gloves - Medium</v>
      </c>
      <c r="B61" s="18" t="str">
        <f>IF($A61="","",'Lot Balance'!$B60)</f>
        <v>ZIM504126039-0</v>
      </c>
      <c r="C61" s="18" t="str">
        <f>IF($A61="","",'Lot Balance'!$C60)</f>
        <v>Gloves</v>
      </c>
      <c r="D61" s="25">
        <f>IF($A61="","",'Lot Balance'!$G60)</f>
        <v>46113</v>
      </c>
      <c r="E61" s="25">
        <f>IF($A61="","",'Lot Balance'!$H60)</f>
        <v>46261</v>
      </c>
      <c r="F61" s="23">
        <f ca="1">IF($A61="","",'Lot Balance'!$I60)</f>
        <v>23</v>
      </c>
      <c r="G61" s="23">
        <f>IF($A61="","",'Lot Balance'!$O60)</f>
        <v>0</v>
      </c>
      <c r="H61" s="33">
        <f>IF($A61="","",'Lot Balance'!$P60)</f>
        <v>0</v>
      </c>
      <c r="I61" s="26">
        <f>IF($A61="","",COUNTIFS(tblIssues[Lot Number],$B61))</f>
        <v>0</v>
      </c>
      <c r="J61" s="31" t="str">
        <f>IF($A61="","",IF('Lot Balance'!$O60&lt;=0,"Depleted",'Lot Balance'!$Q60))</f>
        <v>Depleted</v>
      </c>
    </row>
    <row r="62" spans="1:10" x14ac:dyDescent="0.35">
      <c r="A62" s="18" t="str">
        <f>IF('Lot Balance'!$A61="","",'Lot Balance'!$A61)</f>
        <v>Gloves - Medium</v>
      </c>
      <c r="B62" s="18" t="str">
        <f>IF($A62="","",'Lot Balance'!$B61)</f>
        <v>ZIM504126040</v>
      </c>
      <c r="C62" s="18" t="str">
        <f>IF($A62="","",'Lot Balance'!$C61)</f>
        <v>Gloves</v>
      </c>
      <c r="D62" s="25">
        <f>IF($A62="","",'Lot Balance'!$G61)</f>
        <v>46113</v>
      </c>
      <c r="E62" s="25">
        <f>IF($A62="","",'Lot Balance'!$H61)</f>
        <v>46270</v>
      </c>
      <c r="F62" s="23">
        <f ca="1">IF($A62="","",'Lot Balance'!$I61)</f>
        <v>32</v>
      </c>
      <c r="G62" s="23">
        <f>IF($A62="","",'Lot Balance'!$O61)</f>
        <v>0</v>
      </c>
      <c r="H62" s="33">
        <f>IF($A62="","",'Lot Balance'!$P61)</f>
        <v>0</v>
      </c>
      <c r="I62" s="26">
        <f>IF($A62="","",COUNTIFS(tblIssues[Lot Number],$B62))</f>
        <v>0</v>
      </c>
      <c r="J62" s="31" t="str">
        <f>IF($A62="","",IF('Lot Balance'!$O61&lt;=0,"Depleted",'Lot Balance'!$Q61))</f>
        <v>Depleted</v>
      </c>
    </row>
    <row r="63" spans="1:10" x14ac:dyDescent="0.35">
      <c r="A63" s="18" t="str">
        <f>IF('Lot Balance'!$A62="","",'Lot Balance'!$A62)</f>
        <v>Gloves - Medium</v>
      </c>
      <c r="B63" s="18" t="str">
        <f>IF($A63="","",'Lot Balance'!$B62)</f>
        <v>ZIM504126040-0</v>
      </c>
      <c r="C63" s="18" t="str">
        <f>IF($A63="","",'Lot Balance'!$C62)</f>
        <v>Gloves</v>
      </c>
      <c r="D63" s="25">
        <f>IF($A63="","",'Lot Balance'!$G62)</f>
        <v>46113</v>
      </c>
      <c r="E63" s="25">
        <f>IF($A63="","",'Lot Balance'!$H62)</f>
        <v>46275</v>
      </c>
      <c r="F63" s="23">
        <f ca="1">IF($A63="","",'Lot Balance'!$I62)</f>
        <v>37</v>
      </c>
      <c r="G63" s="23">
        <f>IF($A63="","",'Lot Balance'!$O62)</f>
        <v>0</v>
      </c>
      <c r="H63" s="33">
        <f>IF($A63="","",'Lot Balance'!$P62)</f>
        <v>0</v>
      </c>
      <c r="I63" s="26">
        <f>IF($A63="","",COUNTIFS(tblIssues[Lot Number],$B63))</f>
        <v>0</v>
      </c>
      <c r="J63" s="31" t="str">
        <f>IF($A63="","",IF('Lot Balance'!$O62&lt;=0,"Depleted",'Lot Balance'!$Q62))</f>
        <v>Depleted</v>
      </c>
    </row>
    <row r="64" spans="1:10" x14ac:dyDescent="0.35">
      <c r="A64" s="18" t="str">
        <f>IF('Lot Balance'!$A63="","",'Lot Balance'!$A63)</f>
        <v>Gloves - Medium</v>
      </c>
      <c r="B64" s="18" t="str">
        <f>IF($A64="","",'Lot Balance'!$B63)</f>
        <v>ZIM504126040-1</v>
      </c>
      <c r="C64" s="18" t="str">
        <f>IF($A64="","",'Lot Balance'!$C63)</f>
        <v>Gloves</v>
      </c>
      <c r="D64" s="25">
        <f>IF($A64="","",'Lot Balance'!$G63)</f>
        <v>46113</v>
      </c>
      <c r="E64" s="25">
        <f>IF($A64="","",'Lot Balance'!$H63)</f>
        <v>46289</v>
      </c>
      <c r="F64" s="23">
        <f ca="1">IF($A64="","",'Lot Balance'!$I63)</f>
        <v>51</v>
      </c>
      <c r="G64" s="23">
        <f>IF($A64="","",'Lot Balance'!$O63)</f>
        <v>0</v>
      </c>
      <c r="H64" s="33">
        <f>IF($A64="","",'Lot Balance'!$P63)</f>
        <v>0</v>
      </c>
      <c r="I64" s="26">
        <f>IF($A64="","",COUNTIFS(tblIssues[Lot Number],$B64))</f>
        <v>0</v>
      </c>
      <c r="J64" s="31" t="str">
        <f>IF($A64="","",IF('Lot Balance'!$O63&lt;=0,"Depleted",'Lot Balance'!$Q63))</f>
        <v>Depleted</v>
      </c>
    </row>
    <row r="65" spans="1:10" x14ac:dyDescent="0.35">
      <c r="A65" s="18" t="str">
        <f>IF('Lot Balance'!$A64="","",'Lot Balance'!$A64)</f>
        <v>Gloves - Small</v>
      </c>
      <c r="B65" s="18" t="str">
        <f>IF($A65="","",'Lot Balance'!$B64)</f>
        <v>O210LIC25</v>
      </c>
      <c r="C65" s="18" t="str">
        <f>IF($A65="","",'Lot Balance'!$C64)</f>
        <v>Gloves</v>
      </c>
      <c r="D65" s="25">
        <f>IF($A65="","",'Lot Balance'!$G64)</f>
        <v>46113</v>
      </c>
      <c r="E65" s="25">
        <f>IF($A65="","",'Lot Balance'!$H64)</f>
        <v>46292</v>
      </c>
      <c r="F65" s="23">
        <f ca="1">IF($A65="","",'Lot Balance'!$I64)</f>
        <v>54</v>
      </c>
      <c r="G65" s="23">
        <f>IF($A65="","",'Lot Balance'!$O64)</f>
        <v>0</v>
      </c>
      <c r="H65" s="33">
        <f>IF($A65="","",'Lot Balance'!$P64)</f>
        <v>0</v>
      </c>
      <c r="I65" s="26">
        <f>IF($A65="","",COUNTIFS(tblIssues[Lot Number],$B65))</f>
        <v>24</v>
      </c>
      <c r="J65" s="31" t="str">
        <f>IF($A65="","",IF('Lot Balance'!$O64&lt;=0,"Depleted",'Lot Balance'!$Q64))</f>
        <v>Depleted</v>
      </c>
    </row>
    <row r="66" spans="1:10" x14ac:dyDescent="0.35">
      <c r="A66" s="18" t="str">
        <f>IF('Lot Balance'!$A65="","",'Lot Balance'!$A65)</f>
        <v>Gloves - Small</v>
      </c>
      <c r="B66" s="18" t="str">
        <f>IF($A66="","",'Lot Balance'!$B65)</f>
        <v>SG5003003</v>
      </c>
      <c r="C66" s="18" t="str">
        <f>IF($A66="","",'Lot Balance'!$C65)</f>
        <v>Gloves</v>
      </c>
      <c r="D66" s="25">
        <f>IF($A66="","",'Lot Balance'!$G65)</f>
        <v>46113</v>
      </c>
      <c r="E66" s="25">
        <f>IF($A66="","",'Lot Balance'!$H65)</f>
        <v>46133</v>
      </c>
      <c r="F66" s="23">
        <f ca="1">IF($A66="","",'Lot Balance'!$I65)</f>
        <v>-105</v>
      </c>
      <c r="G66" s="23">
        <f>IF($A66="","",'Lot Balance'!$O65)</f>
        <v>0</v>
      </c>
      <c r="H66" s="33">
        <f>IF($A66="","",'Lot Balance'!$P65)</f>
        <v>0</v>
      </c>
      <c r="I66" s="26">
        <f>IF($A66="","",COUNTIFS(tblIssues[Lot Number],$B66))</f>
        <v>0</v>
      </c>
      <c r="J66" s="31" t="str">
        <f>IF($A66="","",IF('Lot Balance'!$O65&lt;=0,"Depleted",'Lot Balance'!$Q65))</f>
        <v>Depleted</v>
      </c>
    </row>
    <row r="67" spans="1:10" x14ac:dyDescent="0.35">
      <c r="A67" s="18" t="str">
        <f>IF('Lot Balance'!$A66="","",'Lot Balance'!$A66)</f>
        <v>Gloves - Small</v>
      </c>
      <c r="B67" s="18" t="str">
        <f>IF($A67="","",'Lot Balance'!$B66)</f>
        <v>SG5003103</v>
      </c>
      <c r="C67" s="18" t="str">
        <f>IF($A67="","",'Lot Balance'!$C66)</f>
        <v>Gloves</v>
      </c>
      <c r="D67" s="25">
        <f>IF($A67="","",'Lot Balance'!$G66)</f>
        <v>46113</v>
      </c>
      <c r="E67" s="25">
        <f>IF($A67="","",'Lot Balance'!$H66)</f>
        <v>46147</v>
      </c>
      <c r="F67" s="23">
        <f ca="1">IF($A67="","",'Lot Balance'!$I66)</f>
        <v>-91</v>
      </c>
      <c r="G67" s="23">
        <f>IF($A67="","",'Lot Balance'!$O66)</f>
        <v>0</v>
      </c>
      <c r="H67" s="33">
        <f>IF($A67="","",'Lot Balance'!$P66)</f>
        <v>0</v>
      </c>
      <c r="I67" s="26">
        <f>IF($A67="","",COUNTIFS(tblIssues[Lot Number],$B67))</f>
        <v>0</v>
      </c>
      <c r="J67" s="31" t="str">
        <f>IF($A67="","",IF('Lot Balance'!$O66&lt;=0,"Depleted",'Lot Balance'!$Q66))</f>
        <v>Depleted</v>
      </c>
    </row>
    <row r="68" spans="1:10" x14ac:dyDescent="0.35">
      <c r="A68" s="18" t="str">
        <f>IF('Lot Balance'!$A67="","",'Lot Balance'!$A67)</f>
        <v>Gloves - Small</v>
      </c>
      <c r="B68" s="18" t="str">
        <f>IF($A68="","",'Lot Balance'!$B67)</f>
        <v>SG5003203</v>
      </c>
      <c r="C68" s="18" t="str">
        <f>IF($A68="","",'Lot Balance'!$C67)</f>
        <v>Gloves</v>
      </c>
      <c r="D68" s="25">
        <f>IF($A68="","",'Lot Balance'!$G67)</f>
        <v>46113</v>
      </c>
      <c r="E68" s="25">
        <f>IF($A68="","",'Lot Balance'!$H67)</f>
        <v>46159</v>
      </c>
      <c r="F68" s="23">
        <f ca="1">IF($A68="","",'Lot Balance'!$I67)</f>
        <v>-79</v>
      </c>
      <c r="G68" s="23">
        <f>IF($A68="","",'Lot Balance'!$O67)</f>
        <v>0</v>
      </c>
      <c r="H68" s="33">
        <f>IF($A68="","",'Lot Balance'!$P67)</f>
        <v>0</v>
      </c>
      <c r="I68" s="26">
        <f>IF($A68="","",COUNTIFS(tblIssues[Lot Number],$B68))</f>
        <v>0</v>
      </c>
      <c r="J68" s="31" t="str">
        <f>IF($A68="","",IF('Lot Balance'!$O67&lt;=0,"Depleted",'Lot Balance'!$Q67))</f>
        <v>Depleted</v>
      </c>
    </row>
    <row r="69" spans="1:10" x14ac:dyDescent="0.35">
      <c r="A69" s="18" t="str">
        <f>IF('Lot Balance'!$A68="","",'Lot Balance'!$A68)</f>
        <v>Gloves - Small</v>
      </c>
      <c r="B69" s="18" t="str">
        <f>IF($A69="","",'Lot Balance'!$B68)</f>
        <v>SG5003204</v>
      </c>
      <c r="C69" s="18" t="str">
        <f>IF($A69="","",'Lot Balance'!$C68)</f>
        <v>Gloves</v>
      </c>
      <c r="D69" s="25">
        <f>IF($A69="","",'Lot Balance'!$G68)</f>
        <v>46113</v>
      </c>
      <c r="E69" s="25">
        <f>IF($A69="","",'Lot Balance'!$H68)</f>
        <v>46188</v>
      </c>
      <c r="F69" s="23">
        <f ca="1">IF($A69="","",'Lot Balance'!$I68)</f>
        <v>-50</v>
      </c>
      <c r="G69" s="23">
        <f>IF($A69="","",'Lot Balance'!$O68)</f>
        <v>0</v>
      </c>
      <c r="H69" s="33">
        <f>IF($A69="","",'Lot Balance'!$P68)</f>
        <v>0</v>
      </c>
      <c r="I69" s="26">
        <f>IF($A69="","",COUNTIFS(tblIssues[Lot Number],$B69))</f>
        <v>0</v>
      </c>
      <c r="J69" s="31" t="str">
        <f>IF($A69="","",IF('Lot Balance'!$O68&lt;=0,"Depleted",'Lot Balance'!$Q68))</f>
        <v>Depleted</v>
      </c>
    </row>
    <row r="70" spans="1:10" x14ac:dyDescent="0.35">
      <c r="A70" s="18" t="str">
        <f>IF('Lot Balance'!$A69="","",'Lot Balance'!$A69)</f>
        <v>Gloves - Small</v>
      </c>
      <c r="B70" s="18" t="str">
        <f>IF($A70="","",'Lot Balance'!$B69)</f>
        <v>SG5003303</v>
      </c>
      <c r="C70" s="18" t="str">
        <f>IF($A70="","",'Lot Balance'!$C69)</f>
        <v>Gloves</v>
      </c>
      <c r="D70" s="25">
        <f>IF($A70="","",'Lot Balance'!$G69)</f>
        <v>46113</v>
      </c>
      <c r="E70" s="25">
        <f>IF($A70="","",'Lot Balance'!$H69)</f>
        <v>46162</v>
      </c>
      <c r="F70" s="23">
        <f ca="1">IF($A70="","",'Lot Balance'!$I69)</f>
        <v>-76</v>
      </c>
      <c r="G70" s="23">
        <f>IF($A70="","",'Lot Balance'!$O69)</f>
        <v>0</v>
      </c>
      <c r="H70" s="33">
        <f>IF($A70="","",'Lot Balance'!$P69)</f>
        <v>0</v>
      </c>
      <c r="I70" s="26">
        <f>IF($A70="","",COUNTIFS(tblIssues[Lot Number],$B70))</f>
        <v>0</v>
      </c>
      <c r="J70" s="31" t="str">
        <f>IF($A70="","",IF('Lot Balance'!$O69&lt;=0,"Depleted",'Lot Balance'!$Q69))</f>
        <v>Depleted</v>
      </c>
    </row>
    <row r="71" spans="1:10" x14ac:dyDescent="0.35">
      <c r="A71" s="18" t="str">
        <f>IF('Lot Balance'!$A70="","",'Lot Balance'!$A70)</f>
        <v>Gloves - Small</v>
      </c>
      <c r="B71" s="18" t="str">
        <f>IF($A71="","",'Lot Balance'!$B70)</f>
        <v>ZIM502120293</v>
      </c>
      <c r="C71" s="18" t="str">
        <f>IF($A71="","",'Lot Balance'!$C70)</f>
        <v>Gloves</v>
      </c>
      <c r="D71" s="25">
        <f>IF($A71="","",'Lot Balance'!$G70)</f>
        <v>46113</v>
      </c>
      <c r="E71" s="25">
        <f>IF($A71="","",'Lot Balance'!$H70)</f>
        <v>46179</v>
      </c>
      <c r="F71" s="23">
        <f ca="1">IF($A71="","",'Lot Balance'!$I70)</f>
        <v>-59</v>
      </c>
      <c r="G71" s="23">
        <f>IF($A71="","",'Lot Balance'!$O70)</f>
        <v>0</v>
      </c>
      <c r="H71" s="33">
        <f>IF($A71="","",'Lot Balance'!$P70)</f>
        <v>0</v>
      </c>
      <c r="I71" s="26">
        <f>IF($A71="","",COUNTIFS(tblIssues[Lot Number],$B71))</f>
        <v>0</v>
      </c>
      <c r="J71" s="31" t="str">
        <f>IF($A71="","",IF('Lot Balance'!$O70&lt;=0,"Depleted",'Lot Balance'!$Q70))</f>
        <v>Depleted</v>
      </c>
    </row>
    <row r="72" spans="1:10" x14ac:dyDescent="0.35">
      <c r="A72" s="18" t="str">
        <f>IF('Lot Balance'!$A71="","",'Lot Balance'!$A71)</f>
        <v>Gloves - Small</v>
      </c>
      <c r="B72" s="18" t="str">
        <f>IF($A72="","",'Lot Balance'!$B71)</f>
        <v>ZIM503122461</v>
      </c>
      <c r="C72" s="18" t="str">
        <f>IF($A72="","",'Lot Balance'!$C71)</f>
        <v>Gloves</v>
      </c>
      <c r="D72" s="25">
        <f>IF($A72="","",'Lot Balance'!$G71)</f>
        <v>46113</v>
      </c>
      <c r="E72" s="25">
        <f>IF($A72="","",'Lot Balance'!$H71)</f>
        <v>46285</v>
      </c>
      <c r="F72" s="23">
        <f ca="1">IF($A72="","",'Lot Balance'!$I71)</f>
        <v>47</v>
      </c>
      <c r="G72" s="23">
        <f>IF($A72="","",'Lot Balance'!$O71)</f>
        <v>0</v>
      </c>
      <c r="H72" s="33">
        <f>IF($A72="","",'Lot Balance'!$P71)</f>
        <v>0</v>
      </c>
      <c r="I72" s="26">
        <f>IF($A72="","",COUNTIFS(tblIssues[Lot Number],$B72))</f>
        <v>4</v>
      </c>
      <c r="J72" s="31" t="str">
        <f>IF($A72="","",IF('Lot Balance'!$O71&lt;=0,"Depleted",'Lot Balance'!$Q71))</f>
        <v>Depleted</v>
      </c>
    </row>
    <row r="73" spans="1:10" x14ac:dyDescent="0.35">
      <c r="A73" s="18" t="str">
        <f>IF('Lot Balance'!$A72="","",'Lot Balance'!$A72)</f>
        <v>Gloves - Small</v>
      </c>
      <c r="B73" s="18" t="str">
        <f>IF($A73="","",'Lot Balance'!$B72)</f>
        <v>ZIM504124207-0</v>
      </c>
      <c r="C73" s="18" t="str">
        <f>IF($A73="","",'Lot Balance'!$C72)</f>
        <v>Gloves</v>
      </c>
      <c r="D73" s="25">
        <f>IF($A73="","",'Lot Balance'!$G72)</f>
        <v>46113</v>
      </c>
      <c r="E73" s="25">
        <f>IF($A73="","",'Lot Balance'!$H72)</f>
        <v>46244</v>
      </c>
      <c r="F73" s="23">
        <f ca="1">IF($A73="","",'Lot Balance'!$I72)</f>
        <v>6</v>
      </c>
      <c r="G73" s="23">
        <f>IF($A73="","",'Lot Balance'!$O72)</f>
        <v>0</v>
      </c>
      <c r="H73" s="33">
        <f>IF($A73="","",'Lot Balance'!$P72)</f>
        <v>0</v>
      </c>
      <c r="I73" s="26">
        <f>IF($A73="","",COUNTIFS(tblIssues[Lot Number],$B73))</f>
        <v>0</v>
      </c>
      <c r="J73" s="31" t="str">
        <f>IF($A73="","",IF('Lot Balance'!$O72&lt;=0,"Depleted",'Lot Balance'!$Q72))</f>
        <v>Depleted</v>
      </c>
    </row>
    <row r="74" spans="1:10" x14ac:dyDescent="0.35">
      <c r="A74" s="18" t="str">
        <f>IF('Lot Balance'!$A73="","",'Lot Balance'!$A73)</f>
        <v>Gloves - Small</v>
      </c>
      <c r="B74" s="18" t="str">
        <f>IF($A74="","",'Lot Balance'!$B73)</f>
        <v>ZIM504124207-1</v>
      </c>
      <c r="C74" s="18" t="str">
        <f>IF($A74="","",'Lot Balance'!$C73)</f>
        <v>Gloves</v>
      </c>
      <c r="D74" s="25">
        <f>IF($A74="","",'Lot Balance'!$G73)</f>
        <v>46113</v>
      </c>
      <c r="E74" s="25">
        <f>IF($A74="","",'Lot Balance'!$H73)</f>
        <v>46252</v>
      </c>
      <c r="F74" s="23">
        <f ca="1">IF($A74="","",'Lot Balance'!$I73)</f>
        <v>14</v>
      </c>
      <c r="G74" s="23">
        <f>IF($A74="","",'Lot Balance'!$O73)</f>
        <v>0</v>
      </c>
      <c r="H74" s="33">
        <f>IF($A74="","",'Lot Balance'!$P73)</f>
        <v>0</v>
      </c>
      <c r="I74" s="26">
        <f>IF($A74="","",COUNTIFS(tblIssues[Lot Number],$B74))</f>
        <v>0</v>
      </c>
      <c r="J74" s="31" t="str">
        <f>IF($A74="","",IF('Lot Balance'!$O73&lt;=0,"Depleted",'Lot Balance'!$Q73))</f>
        <v>Depleted</v>
      </c>
    </row>
    <row r="75" spans="1:10" x14ac:dyDescent="0.35">
      <c r="A75" s="18" t="str">
        <f>IF('Lot Balance'!$A74="","",'Lot Balance'!$A74)</f>
        <v>Gloves - Small</v>
      </c>
      <c r="B75" s="18" t="str">
        <f>IF($A75="","",'Lot Balance'!$B74)</f>
        <v>ZIM504124207-2</v>
      </c>
      <c r="C75" s="18" t="str">
        <f>IF($A75="","",'Lot Balance'!$C74)</f>
        <v>Gloves</v>
      </c>
      <c r="D75" s="25">
        <f>IF($A75="","",'Lot Balance'!$G74)</f>
        <v>46113</v>
      </c>
      <c r="E75" s="25">
        <f>IF($A75="","",'Lot Balance'!$H74)</f>
        <v>46261</v>
      </c>
      <c r="F75" s="23">
        <f ca="1">IF($A75="","",'Lot Balance'!$I74)</f>
        <v>23</v>
      </c>
      <c r="G75" s="23">
        <f>IF($A75="","",'Lot Balance'!$O74)</f>
        <v>0</v>
      </c>
      <c r="H75" s="33">
        <f>IF($A75="","",'Lot Balance'!$P74)</f>
        <v>0</v>
      </c>
      <c r="I75" s="26">
        <f>IF($A75="","",COUNTIFS(tblIssues[Lot Number],$B75))</f>
        <v>0</v>
      </c>
      <c r="J75" s="31" t="str">
        <f>IF($A75="","",IF('Lot Balance'!$O74&lt;=0,"Depleted",'Lot Balance'!$Q74))</f>
        <v>Depleted</v>
      </c>
    </row>
    <row r="76" spans="1:10" x14ac:dyDescent="0.35">
      <c r="A76" s="18" t="str">
        <f>IF('Lot Balance'!$A75="","",'Lot Balance'!$A75)</f>
        <v>Gloves - Small</v>
      </c>
      <c r="B76" s="18" t="str">
        <f>IF($A76="","",'Lot Balance'!$B75)</f>
        <v>ZIM504124207-3</v>
      </c>
      <c r="C76" s="18" t="str">
        <f>IF($A76="","",'Lot Balance'!$C75)</f>
        <v>Gloves</v>
      </c>
      <c r="D76" s="25">
        <f>IF($A76="","",'Lot Balance'!$G75)</f>
        <v>46113</v>
      </c>
      <c r="E76" s="25">
        <f>IF($A76="","",'Lot Balance'!$H75)</f>
        <v>46270</v>
      </c>
      <c r="F76" s="23">
        <f ca="1">IF($A76="","",'Lot Balance'!$I75)</f>
        <v>32</v>
      </c>
      <c r="G76" s="23">
        <f>IF($A76="","",'Lot Balance'!$O75)</f>
        <v>0</v>
      </c>
      <c r="H76" s="33">
        <f>IF($A76="","",'Lot Balance'!$P75)</f>
        <v>0</v>
      </c>
      <c r="I76" s="26">
        <f>IF($A76="","",COUNTIFS(tblIssues[Lot Number],$B76))</f>
        <v>0</v>
      </c>
      <c r="J76" s="31" t="str">
        <f>IF($A76="","",IF('Lot Balance'!$O75&lt;=0,"Depleted",'Lot Balance'!$Q75))</f>
        <v>Depleted</v>
      </c>
    </row>
    <row r="77" spans="1:10" x14ac:dyDescent="0.35">
      <c r="A77" s="18" t="str">
        <f>IF('Lot Balance'!$A76="","",'Lot Balance'!$A76)</f>
        <v>Gloves - Small</v>
      </c>
      <c r="B77" s="18" t="str">
        <f>IF($A77="","",'Lot Balance'!$B76)</f>
        <v>ZIM504124207-4</v>
      </c>
      <c r="C77" s="18" t="str">
        <f>IF($A77="","",'Lot Balance'!$C76)</f>
        <v>Gloves</v>
      </c>
      <c r="D77" s="25">
        <f>IF($A77="","",'Lot Balance'!$G76)</f>
        <v>46113</v>
      </c>
      <c r="E77" s="25">
        <f>IF($A77="","",'Lot Balance'!$H76)</f>
        <v>46283</v>
      </c>
      <c r="F77" s="23">
        <f ca="1">IF($A77="","",'Lot Balance'!$I76)</f>
        <v>45</v>
      </c>
      <c r="G77" s="23">
        <f>IF($A77="","",'Lot Balance'!$O76)</f>
        <v>0</v>
      </c>
      <c r="H77" s="33">
        <f>IF($A77="","",'Lot Balance'!$P76)</f>
        <v>0</v>
      </c>
      <c r="I77" s="26">
        <f>IF($A77="","",COUNTIFS(tblIssues[Lot Number],$B77))</f>
        <v>7</v>
      </c>
      <c r="J77" s="31" t="str">
        <f>IF($A77="","",IF('Lot Balance'!$O76&lt;=0,"Depleted",'Lot Balance'!$Q76))</f>
        <v>Depleted</v>
      </c>
    </row>
    <row r="78" spans="1:10" x14ac:dyDescent="0.35">
      <c r="A78" s="18" t="str">
        <f>IF('Lot Balance'!$A77="","",'Lot Balance'!$A77)</f>
        <v>Gloves - Small</v>
      </c>
      <c r="B78" s="18" t="str">
        <f>IF($A78="","",'Lot Balance'!$B77)</f>
        <v>ZIM504124207-5</v>
      </c>
      <c r="C78" s="18" t="str">
        <f>IF($A78="","",'Lot Balance'!$C77)</f>
        <v>Gloves</v>
      </c>
      <c r="D78" s="25">
        <f>IF($A78="","",'Lot Balance'!$G77)</f>
        <v>46113</v>
      </c>
      <c r="E78" s="25">
        <f>IF($A78="","",'Lot Balance'!$H77)</f>
        <v>46289</v>
      </c>
      <c r="F78" s="23">
        <f ca="1">IF($A78="","",'Lot Balance'!$I77)</f>
        <v>51</v>
      </c>
      <c r="G78" s="23">
        <f>IF($A78="","",'Lot Balance'!$O77)</f>
        <v>0</v>
      </c>
      <c r="H78" s="33">
        <f>IF($A78="","",'Lot Balance'!$P77)</f>
        <v>0</v>
      </c>
      <c r="I78" s="26">
        <f>IF($A78="","",COUNTIFS(tblIssues[Lot Number],$B78))</f>
        <v>10</v>
      </c>
      <c r="J78" s="31" t="str">
        <f>IF($A78="","",IF('Lot Balance'!$O77&lt;=0,"Depleted",'Lot Balance'!$Q77))</f>
        <v>Depleted</v>
      </c>
    </row>
    <row r="79" spans="1:10" x14ac:dyDescent="0.35">
      <c r="A79" s="18" t="str">
        <f>IF('Lot Balance'!$A78="","",'Lot Balance'!$A78)</f>
        <v>Gloves - Small</v>
      </c>
      <c r="B79" s="18" t="str">
        <f>IF($A79="","",'Lot Balance'!$B78)</f>
        <v>ZIM504124209-0</v>
      </c>
      <c r="C79" s="18" t="str">
        <f>IF($A79="","",'Lot Balance'!$C78)</f>
        <v>Gloves</v>
      </c>
      <c r="D79" s="25">
        <f>IF($A79="","",'Lot Balance'!$G78)</f>
        <v>46113</v>
      </c>
      <c r="E79" s="25">
        <f>IF($A79="","",'Lot Balance'!$H78)</f>
        <v>46216</v>
      </c>
      <c r="F79" s="23">
        <f ca="1">IF($A79="","",'Lot Balance'!$I78)</f>
        <v>-22</v>
      </c>
      <c r="G79" s="23">
        <f>IF($A79="","",'Lot Balance'!$O78)</f>
        <v>0</v>
      </c>
      <c r="H79" s="33">
        <f>IF($A79="","",'Lot Balance'!$P78)</f>
        <v>0</v>
      </c>
      <c r="I79" s="26">
        <f>IF($A79="","",COUNTIFS(tblIssues[Lot Number],$B79))</f>
        <v>0</v>
      </c>
      <c r="J79" s="31" t="str">
        <f>IF($A79="","",IF('Lot Balance'!$O78&lt;=0,"Depleted",'Lot Balance'!$Q78))</f>
        <v>Depleted</v>
      </c>
    </row>
    <row r="80" spans="1:10" x14ac:dyDescent="0.35">
      <c r="A80" s="18" t="str">
        <f>IF('Lot Balance'!$A79="","",'Lot Balance'!$A79)</f>
        <v>Gloves - Small</v>
      </c>
      <c r="B80" s="18" t="str">
        <f>IF($A80="","",'Lot Balance'!$B79)</f>
        <v>ZIM504124209-1</v>
      </c>
      <c r="C80" s="18" t="str">
        <f>IF($A80="","",'Lot Balance'!$C79)</f>
        <v>Gloves</v>
      </c>
      <c r="D80" s="25">
        <f>IF($A80="","",'Lot Balance'!$G79)</f>
        <v>46113</v>
      </c>
      <c r="E80" s="25">
        <f>IF($A80="","",'Lot Balance'!$H79)</f>
        <v>46223</v>
      </c>
      <c r="F80" s="23">
        <f ca="1">IF($A80="","",'Lot Balance'!$I79)</f>
        <v>-15</v>
      </c>
      <c r="G80" s="23">
        <f>IF($A80="","",'Lot Balance'!$O79)</f>
        <v>0</v>
      </c>
      <c r="H80" s="33">
        <f>IF($A80="","",'Lot Balance'!$P79)</f>
        <v>0</v>
      </c>
      <c r="I80" s="26">
        <f>IF($A80="","",COUNTIFS(tblIssues[Lot Number],$B80))</f>
        <v>0</v>
      </c>
      <c r="J80" s="31" t="str">
        <f>IF($A80="","",IF('Lot Balance'!$O79&lt;=0,"Depleted",'Lot Balance'!$Q79))</f>
        <v>Depleted</v>
      </c>
    </row>
    <row r="81" spans="1:10" x14ac:dyDescent="0.35">
      <c r="A81" s="18" t="str">
        <f>IF('Lot Balance'!$A80="","",'Lot Balance'!$A80)</f>
        <v>Gloves - Small</v>
      </c>
      <c r="B81" s="18" t="str">
        <f>IF($A81="","",'Lot Balance'!$B80)</f>
        <v>ZIM504124209-2</v>
      </c>
      <c r="C81" s="18" t="str">
        <f>IF($A81="","",'Lot Balance'!$C80)</f>
        <v>Gloves</v>
      </c>
      <c r="D81" s="25">
        <f>IF($A81="","",'Lot Balance'!$G80)</f>
        <v>46113</v>
      </c>
      <c r="E81" s="25">
        <f>IF($A81="","",'Lot Balance'!$H80)</f>
        <v>46229</v>
      </c>
      <c r="F81" s="23">
        <f ca="1">IF($A81="","",'Lot Balance'!$I80)</f>
        <v>-9</v>
      </c>
      <c r="G81" s="23">
        <f>IF($A81="","",'Lot Balance'!$O80)</f>
        <v>0</v>
      </c>
      <c r="H81" s="33">
        <f>IF($A81="","",'Lot Balance'!$P80)</f>
        <v>0</v>
      </c>
      <c r="I81" s="26">
        <f>IF($A81="","",COUNTIFS(tblIssues[Lot Number],$B81))</f>
        <v>0</v>
      </c>
      <c r="J81" s="31" t="str">
        <f>IF($A81="","",IF('Lot Balance'!$O80&lt;=0,"Depleted",'Lot Balance'!$Q80))</f>
        <v>Depleted</v>
      </c>
    </row>
    <row r="82" spans="1:10" x14ac:dyDescent="0.35">
      <c r="A82" s="18" t="str">
        <f>IF('Lot Balance'!$A81="","",'Lot Balance'!$A81)</f>
        <v>Gloves - Small</v>
      </c>
      <c r="B82" s="18" t="str">
        <f>IF($A82="","",'Lot Balance'!$B81)</f>
        <v>ZIM512142069</v>
      </c>
      <c r="C82" s="18" t="str">
        <f>IF($A82="","",'Lot Balance'!$C81)</f>
        <v>Gloves</v>
      </c>
      <c r="D82" s="25">
        <f>IF($A82="","",'Lot Balance'!$G81)</f>
        <v>46113</v>
      </c>
      <c r="E82" s="25">
        <f>IF($A82="","",'Lot Balance'!$H81)</f>
        <v>46275</v>
      </c>
      <c r="F82" s="23">
        <f ca="1">IF($A82="","",'Lot Balance'!$I81)</f>
        <v>37</v>
      </c>
      <c r="G82" s="23">
        <f>IF($A82="","",'Lot Balance'!$O81)</f>
        <v>0</v>
      </c>
      <c r="H82" s="33">
        <f>IF($A82="","",'Lot Balance'!$P81)</f>
        <v>0</v>
      </c>
      <c r="I82" s="26">
        <f>IF($A82="","",COUNTIFS(tblIssues[Lot Number],$B82))</f>
        <v>0</v>
      </c>
      <c r="J82" s="31" t="str">
        <f>IF($A82="","",IF('Lot Balance'!$O81&lt;=0,"Depleted",'Lot Balance'!$Q81))</f>
        <v>Depleted</v>
      </c>
    </row>
    <row r="83" spans="1:10" x14ac:dyDescent="0.35">
      <c r="A83" s="18" t="str">
        <f>IF('Lot Balance'!$A82="","",'Lot Balance'!$A82)</f>
        <v>Gloves - Small/100</v>
      </c>
      <c r="B83" s="18" t="str">
        <f>IF($A83="","",'Lot Balance'!$B82)</f>
        <v>SG1005003000</v>
      </c>
      <c r="C83" s="18" t="str">
        <f>IF($A83="","",'Lot Balance'!$C82)</f>
        <v>Gloves</v>
      </c>
      <c r="D83" s="25">
        <f>IF($A83="","",'Lot Balance'!$G82)</f>
        <v>46113</v>
      </c>
      <c r="E83" s="25">
        <f>IF($A83="","",'Lot Balance'!$H82)</f>
        <v>46159</v>
      </c>
      <c r="F83" s="23">
        <f ca="1">IF($A83="","",'Lot Balance'!$I82)</f>
        <v>-79</v>
      </c>
      <c r="G83" s="23">
        <f>IF($A83="","",'Lot Balance'!$O82)</f>
        <v>0</v>
      </c>
      <c r="H83" s="33">
        <f>IF($A83="","",'Lot Balance'!$P82)</f>
        <v>0</v>
      </c>
      <c r="I83" s="26">
        <f>IF($A83="","",COUNTIFS(tblIssues[Lot Number],$B83))</f>
        <v>0</v>
      </c>
      <c r="J83" s="31" t="str">
        <f>IF($A83="","",IF('Lot Balance'!$O82&lt;=0,"Depleted",'Lot Balance'!$Q82))</f>
        <v>Depleted</v>
      </c>
    </row>
    <row r="84" spans="1:10" x14ac:dyDescent="0.35">
      <c r="A84" s="18" t="str">
        <f>IF('Lot Balance'!$A83="","",'Lot Balance'!$A83)</f>
        <v>Gloves - Small/100</v>
      </c>
      <c r="B84" s="18" t="str">
        <f>IF($A84="","",'Lot Balance'!$B83)</f>
        <v>ZIM509136910</v>
      </c>
      <c r="C84" s="18" t="str">
        <f>IF($A84="","",'Lot Balance'!$C83)</f>
        <v>Gloves</v>
      </c>
      <c r="D84" s="25">
        <f>IF($A84="","",'Lot Balance'!$G83)</f>
        <v>46113</v>
      </c>
      <c r="E84" s="25">
        <f>IF($A84="","",'Lot Balance'!$H83)</f>
        <v>46179</v>
      </c>
      <c r="F84" s="23">
        <f ca="1">IF($A84="","",'Lot Balance'!$I83)</f>
        <v>-59</v>
      </c>
      <c r="G84" s="23">
        <f>IF($A84="","",'Lot Balance'!$O83)</f>
        <v>0</v>
      </c>
      <c r="H84" s="33">
        <f>IF($A84="","",'Lot Balance'!$P83)</f>
        <v>0</v>
      </c>
      <c r="I84" s="26">
        <f>IF($A84="","",COUNTIFS(tblIssues[Lot Number],$B84))</f>
        <v>0</v>
      </c>
      <c r="J84" s="31" t="str">
        <f>IF($A84="","",IF('Lot Balance'!$O83&lt;=0,"Depleted",'Lot Balance'!$Q83))</f>
        <v>Depleted</v>
      </c>
    </row>
    <row r="85" spans="1:10" x14ac:dyDescent="0.35">
      <c r="A85" s="18" t="str">
        <f>IF('Lot Balance'!$A84="","",'Lot Balance'!$A84)</f>
        <v>Gloves - X-Large</v>
      </c>
      <c r="B85" s="18" t="str">
        <f>IF($A85="","",'Lot Balance'!$B84)</f>
        <v>XL5003001</v>
      </c>
      <c r="C85" s="18" t="str">
        <f>IF($A85="","",'Lot Balance'!$C84)</f>
        <v>Gloves</v>
      </c>
      <c r="D85" s="25">
        <f>IF($A85="","",'Lot Balance'!$G84)</f>
        <v>46113</v>
      </c>
      <c r="E85" s="25">
        <f>IF($A85="","",'Lot Balance'!$H84)</f>
        <v>46147</v>
      </c>
      <c r="F85" s="23">
        <f ca="1">IF($A85="","",'Lot Balance'!$I84)</f>
        <v>-91</v>
      </c>
      <c r="G85" s="23">
        <f>IF($A85="","",'Lot Balance'!$O84)</f>
        <v>0</v>
      </c>
      <c r="H85" s="33">
        <f>IF($A85="","",'Lot Balance'!$P84)</f>
        <v>0</v>
      </c>
      <c r="I85" s="26">
        <f>IF($A85="","",COUNTIFS(tblIssues[Lot Number],$B85))</f>
        <v>0</v>
      </c>
      <c r="J85" s="31" t="str">
        <f>IF($A85="","",IF('Lot Balance'!$O84&lt;=0,"Depleted",'Lot Balance'!$Q84))</f>
        <v>Depleted</v>
      </c>
    </row>
    <row r="86" spans="1:10" x14ac:dyDescent="0.35">
      <c r="A86" s="18" t="str">
        <f>IF('Lot Balance'!$A85="","",'Lot Balance'!$A85)</f>
        <v>Gloves - X-Large</v>
      </c>
      <c r="B86" s="18" t="str">
        <f>IF($A86="","",'Lot Balance'!$B85)</f>
        <v>XL5003005</v>
      </c>
      <c r="C86" s="18" t="str">
        <f>IF($A86="","",'Lot Balance'!$C85)</f>
        <v>Gloves</v>
      </c>
      <c r="D86" s="25">
        <f>IF($A86="","",'Lot Balance'!$G85)</f>
        <v>46113</v>
      </c>
      <c r="E86" s="25">
        <f>IF($A86="","",'Lot Balance'!$H85)</f>
        <v>46172</v>
      </c>
      <c r="F86" s="23">
        <f ca="1">IF($A86="","",'Lot Balance'!$I85)</f>
        <v>-66</v>
      </c>
      <c r="G86" s="23">
        <f>IF($A86="","",'Lot Balance'!$O85)</f>
        <v>0</v>
      </c>
      <c r="H86" s="33">
        <f>IF($A86="","",'Lot Balance'!$P85)</f>
        <v>0</v>
      </c>
      <c r="I86" s="26">
        <f>IF($A86="","",COUNTIFS(tblIssues[Lot Number],$B86))</f>
        <v>2</v>
      </c>
      <c r="J86" s="31" t="str">
        <f>IF($A86="","",IF('Lot Balance'!$O85&lt;=0,"Depleted",'Lot Balance'!$Q85))</f>
        <v>Depleted</v>
      </c>
    </row>
    <row r="87" spans="1:10" x14ac:dyDescent="0.35">
      <c r="A87" s="18" t="str">
        <f>IF('Lot Balance'!$A86="","",'Lot Balance'!$A86)</f>
        <v>Goggles</v>
      </c>
      <c r="B87" s="18" t="str">
        <f>IF($A87="","",'Lot Balance'!$B86)</f>
        <v>GGL5003700</v>
      </c>
      <c r="C87" s="18" t="str">
        <f>IF($A87="","",'Lot Balance'!$C86)</f>
        <v>Eye Protection</v>
      </c>
      <c r="D87" s="25">
        <f>IF($A87="","",'Lot Balance'!$G86)</f>
        <v>46113</v>
      </c>
      <c r="E87" s="25">
        <f>IF($A87="","",'Lot Balance'!$H86)</f>
        <v>46235</v>
      </c>
      <c r="F87" s="23">
        <f ca="1">IF($A87="","",'Lot Balance'!$I86)</f>
        <v>-3</v>
      </c>
      <c r="G87" s="23">
        <f>IF($A87="","",'Lot Balance'!$O86)</f>
        <v>12</v>
      </c>
      <c r="H87" s="33">
        <f>IF($A87="","",'Lot Balance'!$P86)</f>
        <v>120</v>
      </c>
      <c r="I87" s="26">
        <f>IF($A87="","",COUNTIFS(tblIssues[Lot Number],$B87))</f>
        <v>18</v>
      </c>
      <c r="J87" s="31" t="str">
        <f ca="1">IF($A87="","",IF('Lot Balance'!$O86&lt;=0,"Depleted",'Lot Balance'!$Q86))</f>
        <v>EXPIRED</v>
      </c>
    </row>
    <row r="88" spans="1:10" x14ac:dyDescent="0.35">
      <c r="A88" s="18" t="str">
        <f>IF('Lot Balance'!$A87="","",'Lot Balance'!$A87)</f>
        <v>Hand Sanitizer</v>
      </c>
      <c r="B88" s="18" t="str">
        <f>IF($A88="","",'Lot Balance'!$B87)</f>
        <v>563963-0</v>
      </c>
      <c r="C88" s="18" t="str">
        <f>IF($A88="","",'Lot Balance'!$C87)</f>
        <v>Sanitizer</v>
      </c>
      <c r="D88" s="25">
        <f>IF($A88="","",'Lot Balance'!$G87)</f>
        <v>46113</v>
      </c>
      <c r="E88" s="25">
        <f>IF($A88="","",'Lot Balance'!$H87)</f>
        <v>47026</v>
      </c>
      <c r="F88" s="23">
        <f ca="1">IF($A88="","",'Lot Balance'!$I87)</f>
        <v>788</v>
      </c>
      <c r="G88" s="23">
        <f>IF($A88="","",'Lot Balance'!$O87)</f>
        <v>0</v>
      </c>
      <c r="H88" s="33">
        <f>IF($A88="","",'Lot Balance'!$P87)</f>
        <v>0</v>
      </c>
      <c r="I88" s="26">
        <f>IF($A88="","",COUNTIFS(tblIssues[Lot Number],$B88))</f>
        <v>0</v>
      </c>
      <c r="J88" s="31" t="str">
        <f>IF($A88="","",IF('Lot Balance'!$O87&lt;=0,"Depleted",'Lot Balance'!$Q87))</f>
        <v>Depleted</v>
      </c>
    </row>
    <row r="89" spans="1:10" x14ac:dyDescent="0.35">
      <c r="A89" s="18" t="str">
        <f>IF('Lot Balance'!$A88="","",'Lot Balance'!$A88)</f>
        <v>Hand Sanitizer</v>
      </c>
      <c r="B89" s="18" t="str">
        <f>IF($A89="","",'Lot Balance'!$B88)</f>
        <v>563963-1</v>
      </c>
      <c r="C89" s="18" t="str">
        <f>IF($A89="","",'Lot Balance'!$C88)</f>
        <v>Sanitizer</v>
      </c>
      <c r="D89" s="25">
        <f>IF($A89="","",'Lot Balance'!$G88)</f>
        <v>46113</v>
      </c>
      <c r="E89" s="25">
        <f>IF($A89="","",'Lot Balance'!$H88)</f>
        <v>47026</v>
      </c>
      <c r="F89" s="23">
        <f ca="1">IF($A89="","",'Lot Balance'!$I88)</f>
        <v>788</v>
      </c>
      <c r="G89" s="23">
        <f>IF($A89="","",'Lot Balance'!$O88)</f>
        <v>0</v>
      </c>
      <c r="H89" s="33">
        <f>IF($A89="","",'Lot Balance'!$P88)</f>
        <v>0</v>
      </c>
      <c r="I89" s="26">
        <f>IF($A89="","",COUNTIFS(tblIssues[Lot Number],$B89))</f>
        <v>0</v>
      </c>
      <c r="J89" s="31" t="str">
        <f>IF($A89="","",IF('Lot Balance'!$O88&lt;=0,"Depleted",'Lot Balance'!$Q88))</f>
        <v>Depleted</v>
      </c>
    </row>
    <row r="90" spans="1:10" x14ac:dyDescent="0.35">
      <c r="A90" s="18" t="str">
        <f>IF('Lot Balance'!$A89="","",'Lot Balance'!$A89)</f>
        <v>Hand Sanitizer</v>
      </c>
      <c r="B90" s="18" t="str">
        <f>IF($A90="","",'Lot Balance'!$B89)</f>
        <v>563963-2</v>
      </c>
      <c r="C90" s="18" t="str">
        <f>IF($A90="","",'Lot Balance'!$C89)</f>
        <v>Sanitizer</v>
      </c>
      <c r="D90" s="25">
        <f>IF($A90="","",'Lot Balance'!$G89)</f>
        <v>46113</v>
      </c>
      <c r="E90" s="25">
        <f>IF($A90="","",'Lot Balance'!$H89)</f>
        <v>47026</v>
      </c>
      <c r="F90" s="23">
        <f ca="1">IF($A90="","",'Lot Balance'!$I89)</f>
        <v>788</v>
      </c>
      <c r="G90" s="23">
        <f>IF($A90="","",'Lot Balance'!$O89)</f>
        <v>0</v>
      </c>
      <c r="H90" s="33">
        <f>IF($A90="","",'Lot Balance'!$P89)</f>
        <v>0</v>
      </c>
      <c r="I90" s="26">
        <f>IF($A90="","",COUNTIFS(tblIssues[Lot Number],$B90))</f>
        <v>0</v>
      </c>
      <c r="J90" s="31" t="str">
        <f>IF($A90="","",IF('Lot Balance'!$O89&lt;=0,"Depleted",'Lot Balance'!$Q89))</f>
        <v>Depleted</v>
      </c>
    </row>
    <row r="91" spans="1:10" x14ac:dyDescent="0.35">
      <c r="A91" s="18" t="str">
        <f>IF('Lot Balance'!$A90="","",'Lot Balance'!$A90)</f>
        <v>Hand Sanitizer</v>
      </c>
      <c r="B91" s="18" t="str">
        <f>IF($A91="","",'Lot Balance'!$B90)</f>
        <v>563963-3</v>
      </c>
      <c r="C91" s="18" t="str">
        <f>IF($A91="","",'Lot Balance'!$C90)</f>
        <v>Sanitizer</v>
      </c>
      <c r="D91" s="25">
        <f>IF($A91="","",'Lot Balance'!$G90)</f>
        <v>46113</v>
      </c>
      <c r="E91" s="25">
        <f>IF($A91="","",'Lot Balance'!$H90)</f>
        <v>47026</v>
      </c>
      <c r="F91" s="23">
        <f ca="1">IF($A91="","",'Lot Balance'!$I90)</f>
        <v>788</v>
      </c>
      <c r="G91" s="23">
        <f>IF($A91="","",'Lot Balance'!$O90)</f>
        <v>0</v>
      </c>
      <c r="H91" s="33">
        <f>IF($A91="","",'Lot Balance'!$P90)</f>
        <v>0</v>
      </c>
      <c r="I91" s="26">
        <f>IF($A91="","",COUNTIFS(tblIssues[Lot Number],$B91))</f>
        <v>0</v>
      </c>
      <c r="J91" s="31" t="str">
        <f>IF($A91="","",IF('Lot Balance'!$O90&lt;=0,"Depleted",'Lot Balance'!$Q90))</f>
        <v>Depleted</v>
      </c>
    </row>
    <row r="92" spans="1:10" x14ac:dyDescent="0.35">
      <c r="A92" s="18" t="str">
        <f>IF('Lot Balance'!$A91="","",'Lot Balance'!$A91)</f>
        <v>Hand Sanitizer</v>
      </c>
      <c r="B92" s="18" t="str">
        <f>IF($A92="","",'Lot Balance'!$B91)</f>
        <v>563963-4</v>
      </c>
      <c r="C92" s="18" t="str">
        <f>IF($A92="","",'Lot Balance'!$C91)</f>
        <v>Sanitizer</v>
      </c>
      <c r="D92" s="25">
        <f>IF($A92="","",'Lot Balance'!$G91)</f>
        <v>46113</v>
      </c>
      <c r="E92" s="25">
        <f>IF($A92="","",'Lot Balance'!$H91)</f>
        <v>47026</v>
      </c>
      <c r="F92" s="23">
        <f ca="1">IF($A92="","",'Lot Balance'!$I91)</f>
        <v>788</v>
      </c>
      <c r="G92" s="23">
        <f>IF($A92="","",'Lot Balance'!$O91)</f>
        <v>0</v>
      </c>
      <c r="H92" s="33">
        <f>IF($A92="","",'Lot Balance'!$P91)</f>
        <v>0</v>
      </c>
      <c r="I92" s="26">
        <f>IF($A92="","",COUNTIFS(tblIssues[Lot Number],$B92))</f>
        <v>0</v>
      </c>
      <c r="J92" s="31" t="str">
        <f>IF($A92="","",IF('Lot Balance'!$O91&lt;=0,"Depleted",'Lot Balance'!$Q91))</f>
        <v>Depleted</v>
      </c>
    </row>
    <row r="93" spans="1:10" x14ac:dyDescent="0.35">
      <c r="A93" s="18" t="str">
        <f>IF('Lot Balance'!$A92="","",'Lot Balance'!$A92)</f>
        <v>Hand Sanitizer</v>
      </c>
      <c r="B93" s="18" t="str">
        <f>IF($A93="","",'Lot Balance'!$B92)</f>
        <v>563963-5</v>
      </c>
      <c r="C93" s="18" t="str">
        <f>IF($A93="","",'Lot Balance'!$C92)</f>
        <v>Sanitizer</v>
      </c>
      <c r="D93" s="25">
        <f>IF($A93="","",'Lot Balance'!$G92)</f>
        <v>46113</v>
      </c>
      <c r="E93" s="25">
        <f>IF($A93="","",'Lot Balance'!$H92)</f>
        <v>47026</v>
      </c>
      <c r="F93" s="23">
        <f ca="1">IF($A93="","",'Lot Balance'!$I92)</f>
        <v>788</v>
      </c>
      <c r="G93" s="23">
        <f>IF($A93="","",'Lot Balance'!$O92)</f>
        <v>0</v>
      </c>
      <c r="H93" s="33">
        <f>IF($A93="","",'Lot Balance'!$P92)</f>
        <v>0</v>
      </c>
      <c r="I93" s="26">
        <f>IF($A93="","",COUNTIFS(tblIssues[Lot Number],$B93))</f>
        <v>26</v>
      </c>
      <c r="J93" s="31" t="str">
        <f>IF($A93="","",IF('Lot Balance'!$O92&lt;=0,"Depleted",'Lot Balance'!$Q92))</f>
        <v>Depleted</v>
      </c>
    </row>
    <row r="94" spans="1:10" x14ac:dyDescent="0.35">
      <c r="A94" s="18" t="str">
        <f>IF('Lot Balance'!$A93="","",'Lot Balance'!$A93)</f>
        <v>Hand Sanitizer</v>
      </c>
      <c r="B94" s="18" t="str">
        <f>IF($A94="","",'Lot Balance'!$B93)</f>
        <v>563963-6</v>
      </c>
      <c r="C94" s="18" t="str">
        <f>IF($A94="","",'Lot Balance'!$C93)</f>
        <v>Sanitizer</v>
      </c>
      <c r="D94" s="25">
        <f>IF($A94="","",'Lot Balance'!$G93)</f>
        <v>46113</v>
      </c>
      <c r="E94" s="25">
        <f>IF($A94="","",'Lot Balance'!$H93)</f>
        <v>47026</v>
      </c>
      <c r="F94" s="23">
        <f ca="1">IF($A94="","",'Lot Balance'!$I93)</f>
        <v>788</v>
      </c>
      <c r="G94" s="23">
        <f>IF($A94="","",'Lot Balance'!$O93)</f>
        <v>0</v>
      </c>
      <c r="H94" s="33">
        <f>IF($A94="","",'Lot Balance'!$P93)</f>
        <v>0</v>
      </c>
      <c r="I94" s="26">
        <f>IF($A94="","",COUNTIFS(tblIssues[Lot Number],$B94))</f>
        <v>27</v>
      </c>
      <c r="J94" s="31" t="str">
        <f>IF($A94="","",IF('Lot Balance'!$O93&lt;=0,"Depleted",'Lot Balance'!$Q93))</f>
        <v>Depleted</v>
      </c>
    </row>
    <row r="95" spans="1:10" x14ac:dyDescent="0.35">
      <c r="A95" s="18" t="str">
        <f>IF('Lot Balance'!$A94="","",'Lot Balance'!$A94)</f>
        <v>Hand Sanitizer</v>
      </c>
      <c r="B95" s="18" t="str">
        <f>IF($A95="","",'Lot Balance'!$B94)</f>
        <v>563963-7</v>
      </c>
      <c r="C95" s="18" t="str">
        <f>IF($A95="","",'Lot Balance'!$C94)</f>
        <v>Sanitizer</v>
      </c>
      <c r="D95" s="25">
        <f>IF($A95="","",'Lot Balance'!$G94)</f>
        <v>46113</v>
      </c>
      <c r="E95" s="25">
        <f>IF($A95="","",'Lot Balance'!$H94)</f>
        <v>47026</v>
      </c>
      <c r="F95" s="23">
        <f ca="1">IF($A95="","",'Lot Balance'!$I94)</f>
        <v>788</v>
      </c>
      <c r="G95" s="23">
        <f>IF($A95="","",'Lot Balance'!$O94)</f>
        <v>0</v>
      </c>
      <c r="H95" s="33">
        <f>IF($A95="","",'Lot Balance'!$P94)</f>
        <v>0</v>
      </c>
      <c r="I95" s="26">
        <f>IF($A95="","",COUNTIFS(tblIssues[Lot Number],$B95))</f>
        <v>24</v>
      </c>
      <c r="J95" s="31" t="str">
        <f>IF($A95="","",IF('Lot Balance'!$O94&lt;=0,"Depleted",'Lot Balance'!$Q94))</f>
        <v>Depleted</v>
      </c>
    </row>
    <row r="96" spans="1:10" x14ac:dyDescent="0.35">
      <c r="A96" s="18" t="str">
        <f>IF('Lot Balance'!$A95="","",'Lot Balance'!$A95)</f>
        <v>Hand Sanitizer</v>
      </c>
      <c r="B96" s="18" t="str">
        <f>IF($A96="","",'Lot Balance'!$B95)</f>
        <v>PRLL500261</v>
      </c>
      <c r="C96" s="18" t="str">
        <f>IF($A96="","",'Lot Balance'!$C95)</f>
        <v>Sanitizer</v>
      </c>
      <c r="D96" s="25">
        <f>IF($A96="","",'Lot Balance'!$G95)</f>
        <v>46113</v>
      </c>
      <c r="E96" s="25">
        <f>IF($A96="","",'Lot Balance'!$H95)</f>
        <v>47046</v>
      </c>
      <c r="F96" s="23">
        <f ca="1">IF($A96="","",'Lot Balance'!$I95)</f>
        <v>808</v>
      </c>
      <c r="G96" s="23">
        <f>IF($A96="","",'Lot Balance'!$O95)</f>
        <v>0</v>
      </c>
      <c r="H96" s="33">
        <f>IF($A96="","",'Lot Balance'!$P95)</f>
        <v>0</v>
      </c>
      <c r="I96" s="26">
        <f>IF($A96="","",COUNTIFS(tblIssues[Lot Number],$B96))</f>
        <v>0</v>
      </c>
      <c r="J96" s="31" t="str">
        <f>IF($A96="","",IF('Lot Balance'!$O95&lt;=0,"Depleted",'Lot Balance'!$Q95))</f>
        <v>Depleted</v>
      </c>
    </row>
    <row r="97" spans="1:10" x14ac:dyDescent="0.35">
      <c r="A97" s="18" t="str">
        <f>IF('Lot Balance'!$A96="","",'Lot Balance'!$A96)</f>
        <v>Hand Sanitizer</v>
      </c>
      <c r="B97" s="18" t="str">
        <f>IF($A97="","",'Lot Balance'!$B96)</f>
        <v>PRLL500262</v>
      </c>
      <c r="C97" s="18" t="str">
        <f>IF($A97="","",'Lot Balance'!$C96)</f>
        <v>Sanitizer</v>
      </c>
      <c r="D97" s="25">
        <f>IF($A97="","",'Lot Balance'!$G96)</f>
        <v>46113</v>
      </c>
      <c r="E97" s="25">
        <f>IF($A97="","",'Lot Balance'!$H96)</f>
        <v>47776</v>
      </c>
      <c r="F97" s="23">
        <f ca="1">IF($A97="","",'Lot Balance'!$I96)</f>
        <v>1538</v>
      </c>
      <c r="G97" s="23">
        <f>IF($A97="","",'Lot Balance'!$O96)</f>
        <v>0</v>
      </c>
      <c r="H97" s="33">
        <f>IF($A97="","",'Lot Balance'!$P96)</f>
        <v>0</v>
      </c>
      <c r="I97" s="26">
        <f>IF($A97="","",COUNTIFS(tblIssues[Lot Number],$B97))</f>
        <v>0</v>
      </c>
      <c r="J97" s="31" t="str">
        <f>IF($A97="","",IF('Lot Balance'!$O96&lt;=0,"Depleted",'Lot Balance'!$Q96))</f>
        <v>Depleted</v>
      </c>
    </row>
    <row r="98" spans="1:10" x14ac:dyDescent="0.35">
      <c r="A98" s="18" t="str">
        <f>IF('Lot Balance'!$A97="","",'Lot Balance'!$A97)</f>
        <v>Hand Sanitizer</v>
      </c>
      <c r="B98" s="18" t="str">
        <f>IF($A98="","",'Lot Balance'!$B97)</f>
        <v>PRLL500263</v>
      </c>
      <c r="C98" s="18" t="str">
        <f>IF($A98="","",'Lot Balance'!$C97)</f>
        <v>Sanitizer</v>
      </c>
      <c r="D98" s="25">
        <f>IF($A98="","",'Lot Balance'!$G97)</f>
        <v>46113</v>
      </c>
      <c r="E98" s="25">
        <f>IF($A98="","",'Lot Balance'!$H97)</f>
        <v>46537</v>
      </c>
      <c r="F98" s="23">
        <f ca="1">IF($A98="","",'Lot Balance'!$I97)</f>
        <v>299</v>
      </c>
      <c r="G98" s="23">
        <f>IF($A98="","",'Lot Balance'!$O97)</f>
        <v>0</v>
      </c>
      <c r="H98" s="33">
        <f>IF($A98="","",'Lot Balance'!$P97)</f>
        <v>0</v>
      </c>
      <c r="I98" s="26">
        <f>IF($A98="","",COUNTIFS(tblIssues[Lot Number],$B98))</f>
        <v>0</v>
      </c>
      <c r="J98" s="31" t="str">
        <f>IF($A98="","",IF('Lot Balance'!$O97&lt;=0,"Depleted",'Lot Balance'!$Q97))</f>
        <v>Depleted</v>
      </c>
    </row>
    <row r="99" spans="1:10" x14ac:dyDescent="0.35">
      <c r="A99" s="18" t="str">
        <f>IF('Lot Balance'!$A98="","",'Lot Balance'!$A98)</f>
        <v>Hand Sanitizer</v>
      </c>
      <c r="B99" s="18" t="str">
        <f>IF($A99="","",'Lot Balance'!$B98)</f>
        <v>PRLL500264</v>
      </c>
      <c r="C99" s="18" t="str">
        <f>IF($A99="","",'Lot Balance'!$C98)</f>
        <v>Sanitizer</v>
      </c>
      <c r="D99" s="25">
        <f>IF($A99="","",'Lot Balance'!$G98)</f>
        <v>46113</v>
      </c>
      <c r="E99" s="25">
        <f>IF($A99="","",'Lot Balance'!$H98)</f>
        <v>46554</v>
      </c>
      <c r="F99" s="23">
        <f ca="1">IF($A99="","",'Lot Balance'!$I98)</f>
        <v>316</v>
      </c>
      <c r="G99" s="23">
        <f>IF($A99="","",'Lot Balance'!$O98)</f>
        <v>0</v>
      </c>
      <c r="H99" s="33">
        <f>IF($A99="","",'Lot Balance'!$P98)</f>
        <v>0</v>
      </c>
      <c r="I99" s="26">
        <f>IF($A99="","",COUNTIFS(tblIssues[Lot Number],$B99))</f>
        <v>0</v>
      </c>
      <c r="J99" s="31" t="str">
        <f>IF($A99="","",IF('Lot Balance'!$O98&lt;=0,"Depleted",'Lot Balance'!$Q98))</f>
        <v>Depleted</v>
      </c>
    </row>
    <row r="100" spans="1:10" x14ac:dyDescent="0.35">
      <c r="A100" s="18" t="str">
        <f>IF('Lot Balance'!$A99="","",'Lot Balance'!$A99)</f>
        <v>Hand Sanitizer OS</v>
      </c>
      <c r="B100" s="18" t="str">
        <f>IF($A100="","",'Lot Balance'!$B99)</f>
        <v>20-21734-0</v>
      </c>
      <c r="C100" s="18" t="str">
        <f>IF($A100="","",'Lot Balance'!$C99)</f>
        <v>Sanitizer</v>
      </c>
      <c r="D100" s="25">
        <f>IF($A100="","",'Lot Balance'!$G99)</f>
        <v>46113</v>
      </c>
      <c r="E100" s="25">
        <f>IF($A100="","",'Lot Balance'!$H99)</f>
        <v>47026</v>
      </c>
      <c r="F100" s="23">
        <f ca="1">IF($A100="","",'Lot Balance'!$I99)</f>
        <v>788</v>
      </c>
      <c r="G100" s="23">
        <f>IF($A100="","",'Lot Balance'!$O99)</f>
        <v>84</v>
      </c>
      <c r="H100" s="33">
        <f>IF($A100="","",'Lot Balance'!$P99)</f>
        <v>8.4000000000000012E-3</v>
      </c>
      <c r="I100" s="26">
        <f>IF($A100="","",COUNTIFS(tblIssues[Lot Number],$B100))</f>
        <v>0</v>
      </c>
      <c r="J100" s="31" t="str">
        <f ca="1">IF($A100="","",IF('Lot Balance'!$O99&lt;=0,"Depleted",'Lot Balance'!$Q99))</f>
        <v>In date</v>
      </c>
    </row>
    <row r="101" spans="1:10" x14ac:dyDescent="0.35">
      <c r="A101" s="18" t="str">
        <f>IF('Lot Balance'!$A100="","",'Lot Balance'!$A100)</f>
        <v>Hand Sanitizer OS</v>
      </c>
      <c r="B101" s="18" t="str">
        <f>IF($A101="","",'Lot Balance'!$B100)</f>
        <v>20-21734-1</v>
      </c>
      <c r="C101" s="18" t="str">
        <f>IF($A101="","",'Lot Balance'!$C100)</f>
        <v>Sanitizer</v>
      </c>
      <c r="D101" s="25">
        <f>IF($A101="","",'Lot Balance'!$G100)</f>
        <v>46113</v>
      </c>
      <c r="E101" s="25">
        <f>IF($A101="","",'Lot Balance'!$H100)</f>
        <v>46811</v>
      </c>
      <c r="F101" s="23">
        <f ca="1">IF($A101="","",'Lot Balance'!$I100)</f>
        <v>573</v>
      </c>
      <c r="G101" s="23">
        <f>IF($A101="","",'Lot Balance'!$O100)</f>
        <v>0</v>
      </c>
      <c r="H101" s="33">
        <f>IF($A101="","",'Lot Balance'!$P100)</f>
        <v>0</v>
      </c>
      <c r="I101" s="26">
        <f>IF($A101="","",COUNTIFS(tblIssues[Lot Number],$B101))</f>
        <v>36</v>
      </c>
      <c r="J101" s="31" t="str">
        <f>IF($A101="","",IF('Lot Balance'!$O100&lt;=0,"Depleted",'Lot Balance'!$Q100))</f>
        <v>Depleted</v>
      </c>
    </row>
    <row r="102" spans="1:10" x14ac:dyDescent="0.35">
      <c r="A102" s="18" t="str">
        <f>IF('Lot Balance'!$A101="","",'Lot Balance'!$A101)</f>
        <v>ICE Cleats -Small</v>
      </c>
      <c r="B102" s="18" t="str">
        <f>IF($A102="","",'Lot Balance'!$B101)</f>
        <v>IC321</v>
      </c>
      <c r="C102" s="18" t="str">
        <f>IF($A102="","",'Lot Balance'!$C101)</f>
        <v>PPE</v>
      </c>
      <c r="D102" s="25">
        <f>IF($A102="","",'Lot Balance'!$G101)</f>
        <v>46113</v>
      </c>
      <c r="E102" s="25">
        <f>IF($A102="","",'Lot Balance'!$H101)</f>
        <v>47386</v>
      </c>
      <c r="F102" s="23">
        <f ca="1">IF($A102="","",'Lot Balance'!$I101)</f>
        <v>1148</v>
      </c>
      <c r="G102" s="23">
        <f>IF($A102="","",'Lot Balance'!$O101)</f>
        <v>15</v>
      </c>
      <c r="H102" s="33">
        <f>IF($A102="","",'Lot Balance'!$P101)</f>
        <v>2189.6999999999998</v>
      </c>
      <c r="I102" s="26">
        <f>IF($A102="","",COUNTIFS(tblIssues[Lot Number],$B102))</f>
        <v>0</v>
      </c>
      <c r="J102" s="31" t="str">
        <f ca="1">IF($A102="","",IF('Lot Balance'!$O101&lt;=0,"Depleted",'Lot Balance'!$Q101))</f>
        <v>In date</v>
      </c>
    </row>
    <row r="103" spans="1:10" x14ac:dyDescent="0.35">
      <c r="A103" s="18" t="str">
        <f>IF('Lot Balance'!$A102="","",'Lot Balance'!$A102)</f>
        <v>ICE Cleats-Large</v>
      </c>
      <c r="B103" s="18" t="str">
        <f>IF($A103="","",'Lot Balance'!$B102)</f>
        <v>IC54321</v>
      </c>
      <c r="C103" s="18" t="str">
        <f>IF($A103="","",'Lot Balance'!$C102)</f>
        <v>PPE</v>
      </c>
      <c r="D103" s="25">
        <f>IF($A103="","",'Lot Balance'!$G102)</f>
        <v>46113</v>
      </c>
      <c r="E103" s="25">
        <f>IF($A103="","",'Lot Balance'!$H102)</f>
        <v>47386</v>
      </c>
      <c r="F103" s="23">
        <f ca="1">IF($A103="","",'Lot Balance'!$I102)</f>
        <v>1148</v>
      </c>
      <c r="G103" s="23">
        <f>IF($A103="","",'Lot Balance'!$O102)</f>
        <v>0</v>
      </c>
      <c r="H103" s="33">
        <f>IF($A103="","",'Lot Balance'!$P102)</f>
        <v>0</v>
      </c>
      <c r="I103" s="26">
        <f>IF($A103="","",COUNTIFS(tblIssues[Lot Number],$B103))</f>
        <v>0</v>
      </c>
      <c r="J103" s="31" t="str">
        <f>IF($A103="","",IF('Lot Balance'!$O102&lt;=0,"Depleted",'Lot Balance'!$Q102))</f>
        <v>Depleted</v>
      </c>
    </row>
    <row r="104" spans="1:10" x14ac:dyDescent="0.35">
      <c r="A104" s="18" t="str">
        <f>IF('Lot Balance'!$A103="","",'Lot Balance'!$A103)</f>
        <v>ICE Cleats-Medium</v>
      </c>
      <c r="B104" s="18" t="str">
        <f>IF($A104="","",'Lot Balance'!$B103)</f>
        <v>IC4321</v>
      </c>
      <c r="C104" s="18" t="str">
        <f>IF($A104="","",'Lot Balance'!$C103)</f>
        <v>PPE</v>
      </c>
      <c r="D104" s="25">
        <f>IF($A104="","",'Lot Balance'!$G103)</f>
        <v>46113</v>
      </c>
      <c r="E104" s="25">
        <f>IF($A104="","",'Lot Balance'!$H103)</f>
        <v>47386</v>
      </c>
      <c r="F104" s="23">
        <f ca="1">IF($A104="","",'Lot Balance'!$I103)</f>
        <v>1148</v>
      </c>
      <c r="G104" s="23">
        <f>IF($A104="","",'Lot Balance'!$O103)</f>
        <v>1</v>
      </c>
      <c r="H104" s="33">
        <f>IF($A104="","",'Lot Balance'!$P103)</f>
        <v>145.97999999999999</v>
      </c>
      <c r="I104" s="26">
        <f>IF($A104="","",COUNTIFS(tblIssues[Lot Number],$B104))</f>
        <v>0</v>
      </c>
      <c r="J104" s="31" t="str">
        <f ca="1">IF($A104="","",IF('Lot Balance'!$O103&lt;=0,"Depleted",'Lot Balance'!$Q103))</f>
        <v>In date</v>
      </c>
    </row>
    <row r="105" spans="1:10" x14ac:dyDescent="0.35">
      <c r="A105" s="18" t="str">
        <f>IF('Lot Balance'!$A104="","",'Lot Balance'!$A104)</f>
        <v>ICE Cleats-X-Large</v>
      </c>
      <c r="B105" s="18" t="str">
        <f>IF($A105="","",'Lot Balance'!$B104)</f>
        <v>IC654321</v>
      </c>
      <c r="C105" s="18" t="str">
        <f>IF($A105="","",'Lot Balance'!$C104)</f>
        <v>PPE</v>
      </c>
      <c r="D105" s="25">
        <f>IF($A105="","",'Lot Balance'!$G104)</f>
        <v>46113</v>
      </c>
      <c r="E105" s="25">
        <f>IF($A105="","",'Lot Balance'!$H104)</f>
        <v>47386</v>
      </c>
      <c r="F105" s="23">
        <f ca="1">IF($A105="","",'Lot Balance'!$I104)</f>
        <v>1148</v>
      </c>
      <c r="G105" s="23">
        <f>IF($A105="","",'Lot Balance'!$O104)</f>
        <v>4</v>
      </c>
      <c r="H105" s="33">
        <f>IF($A105="","",'Lot Balance'!$P104)</f>
        <v>583.91999999999996</v>
      </c>
      <c r="I105" s="26">
        <f>IF($A105="","",COUNTIFS(tblIssues[Lot Number],$B105))</f>
        <v>0</v>
      </c>
      <c r="J105" s="31" t="str">
        <f ca="1">IF($A105="","",IF('Lot Balance'!$O104&lt;=0,"Depleted",'Lot Balance'!$Q104))</f>
        <v>In date</v>
      </c>
    </row>
    <row r="106" spans="1:10" x14ac:dyDescent="0.35">
      <c r="A106" s="18" t="str">
        <f>IF('Lot Balance'!$A105="","",'Lot Balance'!$A105)</f>
        <v>Level 1/2 - Water resistant Blue Gowns</v>
      </c>
      <c r="B106" s="18" t="str">
        <f>IF($A106="","",'Lot Balance'!$B105)</f>
        <v>WRB500270</v>
      </c>
      <c r="C106" s="18" t="str">
        <f>IF($A106="","",'Lot Balance'!$C105)</f>
        <v>Apparel</v>
      </c>
      <c r="D106" s="25">
        <f>IF($A106="","",'Lot Balance'!$G105)</f>
        <v>46113</v>
      </c>
      <c r="E106" s="25">
        <f>IF($A106="","",'Lot Balance'!$H105)</f>
        <v>47046</v>
      </c>
      <c r="F106" s="23">
        <f ca="1">IF($A106="","",'Lot Balance'!$I105)</f>
        <v>808</v>
      </c>
      <c r="G106" s="23">
        <f>IF($A106="","",'Lot Balance'!$O105)</f>
        <v>190</v>
      </c>
      <c r="H106" s="33">
        <f>IF($A106="","",'Lot Balance'!$P105)</f>
        <v>570</v>
      </c>
      <c r="I106" s="26">
        <f>IF($A106="","",COUNTIFS(tblIssues[Lot Number],$B106))</f>
        <v>18</v>
      </c>
      <c r="J106" s="31" t="str">
        <f ca="1">IF($A106="","",IF('Lot Balance'!$O105&lt;=0,"Depleted",'Lot Balance'!$Q105))</f>
        <v>In date</v>
      </c>
    </row>
    <row r="107" spans="1:10" x14ac:dyDescent="0.35">
      <c r="A107" s="18" t="str">
        <f>IF('Lot Balance'!$A106="","",'Lot Balance'!$A106)</f>
        <v>Level 1/2 - Yellow Gown</v>
      </c>
      <c r="B107" s="18" t="str">
        <f>IF($A107="","",'Lot Balance'!$B106)</f>
        <v>YG500280</v>
      </c>
      <c r="C107" s="18" t="str">
        <f>IF($A107="","",'Lot Balance'!$C106)</f>
        <v>Apparel</v>
      </c>
      <c r="D107" s="25">
        <f>IF($A107="","",'Lot Balance'!$G106)</f>
        <v>46113</v>
      </c>
      <c r="E107" s="25">
        <f>IF($A107="","",'Lot Balance'!$H106)</f>
        <v>47046</v>
      </c>
      <c r="F107" s="23">
        <f ca="1">IF($A107="","",'Lot Balance'!$I106)</f>
        <v>808</v>
      </c>
      <c r="G107" s="23">
        <f>IF($A107="","",'Lot Balance'!$O106)</f>
        <v>1085</v>
      </c>
      <c r="H107" s="33">
        <f>IF($A107="","",'Lot Balance'!$P106)</f>
        <v>3255</v>
      </c>
      <c r="I107" s="26">
        <f>IF($A107="","",COUNTIFS(tblIssues[Lot Number],$B107))</f>
        <v>47</v>
      </c>
      <c r="J107" s="31" t="str">
        <f ca="1">IF($A107="","",IF('Lot Balance'!$O106&lt;=0,"Depleted",'Lot Balance'!$Q106))</f>
        <v>In date</v>
      </c>
    </row>
    <row r="108" spans="1:10" x14ac:dyDescent="0.35">
      <c r="A108" s="18" t="str">
        <f>IF('Lot Balance'!$A107="","",'Lot Balance'!$A107)</f>
        <v>Shoe Covers</v>
      </c>
      <c r="B108" s="18" t="str">
        <f>IF($A108="","",'Lot Balance'!$B107)</f>
        <v>SHCVR50001</v>
      </c>
      <c r="C108" s="18" t="str">
        <f>IF($A108="","",'Lot Balance'!$C107)</f>
        <v>IPAC</v>
      </c>
      <c r="D108" s="25">
        <f>IF($A108="","",'Lot Balance'!$G107)</f>
        <v>46113</v>
      </c>
      <c r="E108" s="25">
        <f>IF($A108="","",'Lot Balance'!$H107)</f>
        <v>46537</v>
      </c>
      <c r="F108" s="23">
        <f ca="1">IF($A108="","",'Lot Balance'!$I107)</f>
        <v>299</v>
      </c>
      <c r="G108" s="23">
        <f>IF($A108="","",'Lot Balance'!$O107)</f>
        <v>0</v>
      </c>
      <c r="H108" s="33">
        <f>IF($A108="","",'Lot Balance'!$P107)</f>
        <v>0</v>
      </c>
      <c r="I108" s="26">
        <f>IF($A108="","",COUNTIFS(tblIssues[Lot Number],$B108))</f>
        <v>0</v>
      </c>
      <c r="J108" s="31" t="str">
        <f>IF($A108="","",IF('Lot Balance'!$O107&lt;=0,"Depleted",'Lot Balance'!$Q107))</f>
        <v>Depleted</v>
      </c>
    </row>
    <row r="109" spans="1:10" x14ac:dyDescent="0.35">
      <c r="A109" s="18" t="str">
        <f>IF('Lot Balance'!$A108="","",'Lot Balance'!$A108)</f>
        <v>Sterile Gloves - Large</v>
      </c>
      <c r="B109" s="18" t="str">
        <f>IF($A109="","",'Lot Balance'!$B108)</f>
        <v>ST-L-1</v>
      </c>
      <c r="C109" s="18" t="str">
        <f>IF($A109="","",'Lot Balance'!$C108)</f>
        <v>Gloves</v>
      </c>
      <c r="D109" s="25">
        <f>IF($A109="","",'Lot Balance'!$G108)</f>
        <v>46113</v>
      </c>
      <c r="E109" s="25">
        <f>IF($A109="","",'Lot Balance'!$H108)</f>
        <v>46261</v>
      </c>
      <c r="F109" s="23">
        <f ca="1">IF($A109="","",'Lot Balance'!$I108)</f>
        <v>23</v>
      </c>
      <c r="G109" s="23">
        <f>IF($A109="","",'Lot Balance'!$O108)</f>
        <v>100</v>
      </c>
      <c r="H109" s="33">
        <f>IF($A109="","",'Lot Balance'!$P108)</f>
        <v>54</v>
      </c>
      <c r="I109" s="26">
        <f>IF($A109="","",COUNTIFS(tblIssues[Lot Number],$B109))</f>
        <v>0</v>
      </c>
      <c r="J109" s="31" t="str">
        <f ca="1">IF($A109="","",IF('Lot Balance'!$O108&lt;=0,"Depleted",'Lot Balance'!$Q108))</f>
        <v>CRITICAL</v>
      </c>
    </row>
    <row r="110" spans="1:10" x14ac:dyDescent="0.35">
      <c r="A110" s="18" t="str">
        <f>IF('Lot Balance'!$A109="","",'Lot Balance'!$A109)</f>
        <v>Sterile Gloves - Medium</v>
      </c>
      <c r="B110" s="18" t="str">
        <f>IF($A110="","",'Lot Balance'!$B109)</f>
        <v>ST-M-1</v>
      </c>
      <c r="C110" s="18" t="str">
        <f>IF($A110="","",'Lot Balance'!$C109)</f>
        <v>Gloves</v>
      </c>
      <c r="D110" s="25">
        <f>IF($A110="","",'Lot Balance'!$G109)</f>
        <v>46113</v>
      </c>
      <c r="E110" s="25">
        <f>IF($A110="","",'Lot Balance'!$H109)</f>
        <v>46261</v>
      </c>
      <c r="F110" s="23">
        <f ca="1">IF($A110="","",'Lot Balance'!$I109)</f>
        <v>23</v>
      </c>
      <c r="G110" s="23">
        <f>IF($A110="","",'Lot Balance'!$O109)</f>
        <v>100</v>
      </c>
      <c r="H110" s="33">
        <f>IF($A110="","",'Lot Balance'!$P109)</f>
        <v>54</v>
      </c>
      <c r="I110" s="26">
        <f>IF($A110="","",COUNTIFS(tblIssues[Lot Number],$B110))</f>
        <v>0</v>
      </c>
      <c r="J110" s="31" t="str">
        <f ca="1">IF($A110="","",IF('Lot Balance'!$O109&lt;=0,"Depleted",'Lot Balance'!$Q109))</f>
        <v>CRITICAL</v>
      </c>
    </row>
    <row r="111" spans="1:10" x14ac:dyDescent="0.35">
      <c r="A111" s="18" t="str">
        <f>IF('Lot Balance'!$A110="","",'Lot Balance'!$A110)</f>
        <v>Surgical Masks</v>
      </c>
      <c r="B111" s="18" t="str">
        <f>IF($A111="","",'Lot Balance'!$B110)</f>
        <v>0125FPC24-0</v>
      </c>
      <c r="C111" s="18" t="str">
        <f>IF($A111="","",'Lot Balance'!$C110)</f>
        <v>Masks</v>
      </c>
      <c r="D111" s="25">
        <f>IF($A111="","",'Lot Balance'!$G110)</f>
        <v>46113</v>
      </c>
      <c r="E111" s="25">
        <f>IF($A111="","",'Lot Balance'!$H110)</f>
        <v>46203</v>
      </c>
      <c r="F111" s="23">
        <f ca="1">IF($A111="","",'Lot Balance'!$I110)</f>
        <v>-35</v>
      </c>
      <c r="G111" s="23">
        <f>IF($A111="","",'Lot Balance'!$O110)</f>
        <v>0</v>
      </c>
      <c r="H111" s="33">
        <f>IF($A111="","",'Lot Balance'!$P110)</f>
        <v>0</v>
      </c>
      <c r="I111" s="26">
        <f>IF($A111="","",COUNTIFS(tblIssues[Lot Number],$B111))</f>
        <v>120</v>
      </c>
      <c r="J111" s="31" t="str">
        <f>IF($A111="","",IF('Lot Balance'!$O110&lt;=0,"Depleted",'Lot Balance'!$Q110))</f>
        <v>Depleted</v>
      </c>
    </row>
    <row r="112" spans="1:10" x14ac:dyDescent="0.35">
      <c r="A112" s="18" t="str">
        <f>IF('Lot Balance'!$A111="","",'Lot Balance'!$A111)</f>
        <v>Surgical Masks</v>
      </c>
      <c r="B112" s="18" t="str">
        <f>IF($A112="","",'Lot Balance'!$B111)</f>
        <v>0125FPC24-1</v>
      </c>
      <c r="C112" s="18" t="str">
        <f>IF($A112="","",'Lot Balance'!$C111)</f>
        <v>Masks</v>
      </c>
      <c r="D112" s="25">
        <f>IF($A112="","",'Lot Balance'!$G111)</f>
        <v>46113</v>
      </c>
      <c r="E112" s="25">
        <f>IF($A112="","",'Lot Balance'!$H111)</f>
        <v>46203</v>
      </c>
      <c r="F112" s="23">
        <f ca="1">IF($A112="","",'Lot Balance'!$I111)</f>
        <v>-35</v>
      </c>
      <c r="G112" s="23">
        <f>IF($A112="","",'Lot Balance'!$O111)</f>
        <v>0</v>
      </c>
      <c r="H112" s="33">
        <f>IF($A112="","",'Lot Balance'!$P111)</f>
        <v>0</v>
      </c>
      <c r="I112" s="26">
        <f>IF($A112="","",COUNTIFS(tblIssues[Lot Number],$B112))</f>
        <v>24</v>
      </c>
      <c r="J112" s="31" t="str">
        <f>IF($A112="","",IF('Lot Balance'!$O111&lt;=0,"Depleted",'Lot Balance'!$Q111))</f>
        <v>Depleted</v>
      </c>
    </row>
    <row r="113" spans="1:10" x14ac:dyDescent="0.35">
      <c r="A113" s="18" t="str">
        <f>IF('Lot Balance'!$A112="","",'Lot Balance'!$A112)</f>
        <v>Surgical Masks</v>
      </c>
      <c r="B113" s="18" t="str">
        <f>IF($A113="","",'Lot Balance'!$B112)</f>
        <v>LV2 - 10034</v>
      </c>
      <c r="C113" s="18" t="str">
        <f>IF($A113="","",'Lot Balance'!$C112)</f>
        <v>Masks</v>
      </c>
      <c r="D113" s="25">
        <f>IF($A113="","",'Lot Balance'!$G112)</f>
        <v>46113</v>
      </c>
      <c r="E113" s="25">
        <f>IF($A113="","",'Lot Balance'!$H112)</f>
        <v>46172</v>
      </c>
      <c r="F113" s="23">
        <f ca="1">IF($A113="","",'Lot Balance'!$I112)</f>
        <v>-66</v>
      </c>
      <c r="G113" s="23">
        <f>IF($A113="","",'Lot Balance'!$O112)</f>
        <v>0</v>
      </c>
      <c r="H113" s="33">
        <f>IF($A113="","",'Lot Balance'!$P112)</f>
        <v>0</v>
      </c>
      <c r="I113" s="26">
        <f>IF($A113="","",COUNTIFS(tblIssues[Lot Number],$B113))</f>
        <v>0</v>
      </c>
      <c r="J113" s="31" t="str">
        <f>IF($A113="","",IF('Lot Balance'!$O112&lt;=0,"Depleted",'Lot Balance'!$Q112))</f>
        <v>Depleted</v>
      </c>
    </row>
    <row r="114" spans="1:10" x14ac:dyDescent="0.35">
      <c r="A114" s="18" t="str">
        <f>IF('Lot Balance'!$A113="","",'Lot Balance'!$A113)</f>
        <v>Surgical Masks</v>
      </c>
      <c r="B114" s="18" t="str">
        <f>IF($A114="","",'Lot Balance'!$B113)</f>
        <v>LV2 - 10035</v>
      </c>
      <c r="C114" s="18" t="str">
        <f>IF($A114="","",'Lot Balance'!$C113)</f>
        <v>Masks</v>
      </c>
      <c r="D114" s="25">
        <f>IF($A114="","",'Lot Balance'!$G113)</f>
        <v>46113</v>
      </c>
      <c r="E114" s="25">
        <f>IF($A114="","",'Lot Balance'!$H113)</f>
        <v>46554</v>
      </c>
      <c r="F114" s="23">
        <f ca="1">IF($A114="","",'Lot Balance'!$I113)</f>
        <v>316</v>
      </c>
      <c r="G114" s="23">
        <f>IF($A114="","",'Lot Balance'!$O113)</f>
        <v>0</v>
      </c>
      <c r="H114" s="33">
        <f>IF($A114="","",'Lot Balance'!$P113)</f>
        <v>0</v>
      </c>
      <c r="I114" s="26">
        <f>IF($A114="","",COUNTIFS(tblIssues[Lot Number],$B114))</f>
        <v>0</v>
      </c>
      <c r="J114" s="31" t="str">
        <f>IF($A114="","",IF('Lot Balance'!$O113&lt;=0,"Depleted",'Lot Balance'!$Q113))</f>
        <v>Depleted</v>
      </c>
    </row>
    <row r="115" spans="1:10" x14ac:dyDescent="0.35">
      <c r="A115" s="18" t="str">
        <f>IF('Lot Balance'!$A114="","",'Lot Balance'!$A114)</f>
        <v>Surgical Masks</v>
      </c>
      <c r="B115" s="18" t="str">
        <f>IF($A115="","",'Lot Balance'!$B114)</f>
        <v>LV2-10039-0</v>
      </c>
      <c r="C115" s="18" t="str">
        <f>IF($A115="","",'Lot Balance'!$C114)</f>
        <v>Masks</v>
      </c>
      <c r="D115" s="25">
        <f>IF($A115="","",'Lot Balance'!$G114)</f>
        <v>46113</v>
      </c>
      <c r="E115" s="25">
        <f>IF($A115="","",'Lot Balance'!$H114)</f>
        <v>46179</v>
      </c>
      <c r="F115" s="23">
        <f ca="1">IF($A115="","",'Lot Balance'!$I114)</f>
        <v>-59</v>
      </c>
      <c r="G115" s="23">
        <f>IF($A115="","",'Lot Balance'!$O114)</f>
        <v>0</v>
      </c>
      <c r="H115" s="33">
        <f>IF($A115="","",'Lot Balance'!$P114)</f>
        <v>0</v>
      </c>
      <c r="I115" s="26">
        <f>IF($A115="","",COUNTIFS(tblIssues[Lot Number],$B115))</f>
        <v>0</v>
      </c>
      <c r="J115" s="31" t="str">
        <f>IF($A115="","",IF('Lot Balance'!$O114&lt;=0,"Depleted",'Lot Balance'!$Q114))</f>
        <v>Depleted</v>
      </c>
    </row>
    <row r="116" spans="1:10" x14ac:dyDescent="0.35">
      <c r="A116" s="18" t="str">
        <f>IF('Lot Balance'!$A115="","",'Lot Balance'!$A115)</f>
        <v>Surgical Masks</v>
      </c>
      <c r="B116" s="18" t="str">
        <f>IF($A116="","",'Lot Balance'!$B115)</f>
        <v>LV2-10039-1</v>
      </c>
      <c r="C116" s="18" t="str">
        <f>IF($A116="","",'Lot Balance'!$C115)</f>
        <v>Masks</v>
      </c>
      <c r="D116" s="25">
        <f>IF($A116="","",'Lot Balance'!$G115)</f>
        <v>46113</v>
      </c>
      <c r="E116" s="25">
        <f>IF($A116="","",'Lot Balance'!$H115)</f>
        <v>46216</v>
      </c>
      <c r="F116" s="23">
        <f ca="1">IF($A116="","",'Lot Balance'!$I115)</f>
        <v>-22</v>
      </c>
      <c r="G116" s="23">
        <f>IF($A116="","",'Lot Balance'!$O115)</f>
        <v>0</v>
      </c>
      <c r="H116" s="33">
        <f>IF($A116="","",'Lot Balance'!$P115)</f>
        <v>0</v>
      </c>
      <c r="I116" s="26">
        <f>IF($A116="","",COUNTIFS(tblIssues[Lot Number],$B116))</f>
        <v>0</v>
      </c>
      <c r="J116" s="31" t="str">
        <f>IF($A116="","",IF('Lot Balance'!$O115&lt;=0,"Depleted",'Lot Balance'!$Q115))</f>
        <v>Depleted</v>
      </c>
    </row>
    <row r="117" spans="1:10" x14ac:dyDescent="0.35">
      <c r="A117" s="18" t="str">
        <f>IF('Lot Balance'!$A116="","",'Lot Balance'!$A116)</f>
        <v>Surgical Masks</v>
      </c>
      <c r="B117" s="18" t="str">
        <f>IF($A117="","",'Lot Balance'!$B116)</f>
        <v>LV2-10039-2</v>
      </c>
      <c r="C117" s="18" t="str">
        <f>IF($A117="","",'Lot Balance'!$C116)</f>
        <v>Masks</v>
      </c>
      <c r="D117" s="25">
        <f>IF($A117="","",'Lot Balance'!$G116)</f>
        <v>46113</v>
      </c>
      <c r="E117" s="25">
        <f>IF($A117="","",'Lot Balance'!$H116)</f>
        <v>46223</v>
      </c>
      <c r="F117" s="23">
        <f ca="1">IF($A117="","",'Lot Balance'!$I116)</f>
        <v>-15</v>
      </c>
      <c r="G117" s="23">
        <f>IF($A117="","",'Lot Balance'!$O116)</f>
        <v>0</v>
      </c>
      <c r="H117" s="33">
        <f>IF($A117="","",'Lot Balance'!$P116)</f>
        <v>0</v>
      </c>
      <c r="I117" s="26">
        <f>IF($A117="","",COUNTIFS(tblIssues[Lot Number],$B117))</f>
        <v>0</v>
      </c>
      <c r="J117" s="31" t="str">
        <f>IF($A117="","",IF('Lot Balance'!$O116&lt;=0,"Depleted",'Lot Balance'!$Q116))</f>
        <v>Depleted</v>
      </c>
    </row>
    <row r="118" spans="1:10" x14ac:dyDescent="0.35">
      <c r="A118" s="18" t="str">
        <f>IF('Lot Balance'!$A117="","",'Lot Balance'!$A117)</f>
        <v>Surgical Masks</v>
      </c>
      <c r="B118" s="18" t="str">
        <f>IF($A118="","",'Lot Balance'!$B117)</f>
        <v>LV2-10039-3</v>
      </c>
      <c r="C118" s="18" t="str">
        <f>IF($A118="","",'Lot Balance'!$C117)</f>
        <v>Masks</v>
      </c>
      <c r="D118" s="25">
        <f>IF($A118="","",'Lot Balance'!$G117)</f>
        <v>46113</v>
      </c>
      <c r="E118" s="25">
        <f>IF($A118="","",'Lot Balance'!$H117)</f>
        <v>46229</v>
      </c>
      <c r="F118" s="23">
        <f ca="1">IF($A118="","",'Lot Balance'!$I117)</f>
        <v>-9</v>
      </c>
      <c r="G118" s="23">
        <f>IF($A118="","",'Lot Balance'!$O117)</f>
        <v>0</v>
      </c>
      <c r="H118" s="33">
        <f>IF($A118="","",'Lot Balance'!$P117)</f>
        <v>0</v>
      </c>
      <c r="I118" s="26">
        <f>IF($A118="","",COUNTIFS(tblIssues[Lot Number],$B118))</f>
        <v>0</v>
      </c>
      <c r="J118" s="31" t="str">
        <f>IF($A118="","",IF('Lot Balance'!$O117&lt;=0,"Depleted",'Lot Balance'!$Q117))</f>
        <v>Depleted</v>
      </c>
    </row>
    <row r="119" spans="1:10" x14ac:dyDescent="0.35">
      <c r="A119" s="18" t="str">
        <f>IF('Lot Balance'!$A118="","",'Lot Balance'!$A118)</f>
        <v>Surgical Masks</v>
      </c>
      <c r="B119" s="18" t="str">
        <f>IF($A119="","",'Lot Balance'!$B118)</f>
        <v>LV2-10040</v>
      </c>
      <c r="C119" s="18" t="str">
        <f>IF($A119="","",'Lot Balance'!$C118)</f>
        <v>Masks</v>
      </c>
      <c r="D119" s="25">
        <f>IF($A119="","",'Lot Balance'!$G118)</f>
        <v>46113</v>
      </c>
      <c r="E119" s="25">
        <f>IF($A119="","",'Lot Balance'!$H118)</f>
        <v>46238</v>
      </c>
      <c r="F119" s="23">
        <f ca="1">IF($A119="","",'Lot Balance'!$I118)</f>
        <v>0</v>
      </c>
      <c r="G119" s="23">
        <f>IF($A119="","",'Lot Balance'!$O118)</f>
        <v>0</v>
      </c>
      <c r="H119" s="33">
        <f>IF($A119="","",'Lot Balance'!$P118)</f>
        <v>0</v>
      </c>
      <c r="I119" s="26">
        <f>IF($A119="","",COUNTIFS(tblIssues[Lot Number],$B119))</f>
        <v>0</v>
      </c>
      <c r="J119" s="31" t="str">
        <f>IF($A119="","",IF('Lot Balance'!$O118&lt;=0,"Depleted",'Lot Balance'!$Q118))</f>
        <v>Depleted</v>
      </c>
    </row>
    <row r="120" spans="1:10" x14ac:dyDescent="0.35">
      <c r="A120" s="18" t="str">
        <f>IF('Lot Balance'!$A119="","",'Lot Balance'!$A119)</f>
        <v>Surgical Masks</v>
      </c>
      <c r="B120" s="18" t="str">
        <f>IF($A120="","",'Lot Balance'!$B119)</f>
        <v>LV2-10040-0</v>
      </c>
      <c r="C120" s="18" t="str">
        <f>IF($A120="","",'Lot Balance'!$C119)</f>
        <v>Masks</v>
      </c>
      <c r="D120" s="25">
        <f>IF($A120="","",'Lot Balance'!$G119)</f>
        <v>46113</v>
      </c>
      <c r="E120" s="25">
        <f>IF($A120="","",'Lot Balance'!$H119)</f>
        <v>46261</v>
      </c>
      <c r="F120" s="23">
        <f ca="1">IF($A120="","",'Lot Balance'!$I119)</f>
        <v>23</v>
      </c>
      <c r="G120" s="23">
        <f>IF($A120="","",'Lot Balance'!$O119)</f>
        <v>0</v>
      </c>
      <c r="H120" s="33">
        <f>IF($A120="","",'Lot Balance'!$P119)</f>
        <v>0</v>
      </c>
      <c r="I120" s="26">
        <f>IF($A120="","",COUNTIFS(tblIssues[Lot Number],$B120))</f>
        <v>0</v>
      </c>
      <c r="J120" s="31" t="str">
        <f>IF($A120="","",IF('Lot Balance'!$O119&lt;=0,"Depleted",'Lot Balance'!$Q119))</f>
        <v>Depleted</v>
      </c>
    </row>
    <row r="121" spans="1:10" x14ac:dyDescent="0.35">
      <c r="A121" s="18" t="str">
        <f>IF('Lot Balance'!$A120="","",'Lot Balance'!$A120)</f>
        <v>Surgical Masks</v>
      </c>
      <c r="B121" s="18" t="str">
        <f>IF($A121="","",'Lot Balance'!$B120)</f>
        <v>LV2-10040-1</v>
      </c>
      <c r="C121" s="18" t="str">
        <f>IF($A121="","",'Lot Balance'!$C120)</f>
        <v>Masks</v>
      </c>
      <c r="D121" s="25">
        <f>IF($A121="","",'Lot Balance'!$G120)</f>
        <v>46113</v>
      </c>
      <c r="E121" s="25">
        <f>IF($A121="","",'Lot Balance'!$H120)</f>
        <v>46270</v>
      </c>
      <c r="F121" s="23">
        <f ca="1">IF($A121="","",'Lot Balance'!$I120)</f>
        <v>32</v>
      </c>
      <c r="G121" s="23">
        <f>IF($A121="","",'Lot Balance'!$O120)</f>
        <v>0</v>
      </c>
      <c r="H121" s="33">
        <f>IF($A121="","",'Lot Balance'!$P120)</f>
        <v>0</v>
      </c>
      <c r="I121" s="26">
        <f>IF($A121="","",COUNTIFS(tblIssues[Lot Number],$B121))</f>
        <v>0</v>
      </c>
      <c r="J121" s="31" t="str">
        <f>IF($A121="","",IF('Lot Balance'!$O120&lt;=0,"Depleted",'Lot Balance'!$Q120))</f>
        <v>Depleted</v>
      </c>
    </row>
    <row r="122" spans="1:10" x14ac:dyDescent="0.35">
      <c r="A122" s="18" t="str">
        <f>IF('Lot Balance'!$A121="","",'Lot Balance'!$A121)</f>
        <v>Surgical Masks</v>
      </c>
      <c r="B122" s="18" t="str">
        <f>IF($A122="","",'Lot Balance'!$B121)</f>
        <v>LV2-10040-2</v>
      </c>
      <c r="C122" s="18" t="str">
        <f>IF($A122="","",'Lot Balance'!$C121)</f>
        <v>Masks</v>
      </c>
      <c r="D122" s="25">
        <f>IF($A122="","",'Lot Balance'!$G121)</f>
        <v>46113</v>
      </c>
      <c r="E122" s="25">
        <f>IF($A122="","",'Lot Balance'!$H121)</f>
        <v>46275</v>
      </c>
      <c r="F122" s="23">
        <f ca="1">IF($A122="","",'Lot Balance'!$I121)</f>
        <v>37</v>
      </c>
      <c r="G122" s="23">
        <f>IF($A122="","",'Lot Balance'!$O121)</f>
        <v>0</v>
      </c>
      <c r="H122" s="33">
        <f>IF($A122="","",'Lot Balance'!$P121)</f>
        <v>0</v>
      </c>
      <c r="I122" s="26">
        <f>IF($A122="","",COUNTIFS(tblIssues[Lot Number],$B122))</f>
        <v>18</v>
      </c>
      <c r="J122" s="31" t="str">
        <f>IF($A122="","",IF('Lot Balance'!$O121&lt;=0,"Depleted",'Lot Balance'!$Q121))</f>
        <v>Depleted</v>
      </c>
    </row>
    <row r="123" spans="1:10" x14ac:dyDescent="0.35">
      <c r="A123" s="18" t="str">
        <f>IF('Lot Balance'!$A122="","",'Lot Balance'!$A122)</f>
        <v>Surgical Masks</v>
      </c>
      <c r="B123" s="18" t="str">
        <f>IF($A123="","",'Lot Balance'!$B122)</f>
        <v>LV2-10040-3</v>
      </c>
      <c r="C123" s="18" t="str">
        <f>IF($A123="","",'Lot Balance'!$C122)</f>
        <v>Masks</v>
      </c>
      <c r="D123" s="25">
        <f>IF($A123="","",'Lot Balance'!$G122)</f>
        <v>46113</v>
      </c>
      <c r="E123" s="25">
        <f>IF($A123="","",'Lot Balance'!$H122)</f>
        <v>46283</v>
      </c>
      <c r="F123" s="23">
        <f ca="1">IF($A123="","",'Lot Balance'!$I122)</f>
        <v>45</v>
      </c>
      <c r="G123" s="23">
        <f>IF($A123="","",'Lot Balance'!$O122)</f>
        <v>0</v>
      </c>
      <c r="H123" s="33">
        <f>IF($A123="","",'Lot Balance'!$P122)</f>
        <v>0</v>
      </c>
      <c r="I123" s="26">
        <f>IF($A123="","",COUNTIFS(tblIssues[Lot Number],$B123))</f>
        <v>12</v>
      </c>
      <c r="J123" s="31" t="str">
        <f>IF($A123="","",IF('Lot Balance'!$O122&lt;=0,"Depleted",'Lot Balance'!$Q122))</f>
        <v>Depleted</v>
      </c>
    </row>
    <row r="124" spans="1:10" x14ac:dyDescent="0.35">
      <c r="A124" s="18" t="str">
        <f>IF('Lot Balance'!$A123="","",'Lot Balance'!$A123)</f>
        <v>Surgical Masks</v>
      </c>
      <c r="B124" s="18" t="str">
        <f>IF($A124="","",'Lot Balance'!$B123)</f>
        <v>LV2-10041</v>
      </c>
      <c r="C124" s="18" t="str">
        <f>IF($A124="","",'Lot Balance'!$C123)</f>
        <v>Masks</v>
      </c>
      <c r="D124" s="25">
        <f>IF($A124="","",'Lot Balance'!$G123)</f>
        <v>46113</v>
      </c>
      <c r="E124" s="25">
        <f>IF($A124="","",'Lot Balance'!$H123)</f>
        <v>46244</v>
      </c>
      <c r="F124" s="23">
        <f ca="1">IF($A124="","",'Lot Balance'!$I123)</f>
        <v>6</v>
      </c>
      <c r="G124" s="23">
        <f>IF($A124="","",'Lot Balance'!$O123)</f>
        <v>0</v>
      </c>
      <c r="H124" s="33">
        <f>IF($A124="","",'Lot Balance'!$P123)</f>
        <v>0</v>
      </c>
      <c r="I124" s="26">
        <f>IF($A124="","",COUNTIFS(tblIssues[Lot Number],$B124))</f>
        <v>0</v>
      </c>
      <c r="J124" s="31" t="str">
        <f>IF($A124="","",IF('Lot Balance'!$O123&lt;=0,"Depleted",'Lot Balance'!$Q123))</f>
        <v>Depleted</v>
      </c>
    </row>
    <row r="125" spans="1:10" x14ac:dyDescent="0.35">
      <c r="A125" s="18" t="str">
        <f>IF('Lot Balance'!$A124="","",'Lot Balance'!$A124)</f>
        <v>Surgical Masks</v>
      </c>
      <c r="B125" s="18" t="str">
        <f>IF($A125="","",'Lot Balance'!$B124)</f>
        <v>LV2-10041-0</v>
      </c>
      <c r="C125" s="18" t="str">
        <f>IF($A125="","",'Lot Balance'!$C124)</f>
        <v>Masks</v>
      </c>
      <c r="D125" s="25">
        <f>IF($A125="","",'Lot Balance'!$G124)</f>
        <v>46113</v>
      </c>
      <c r="E125" s="25">
        <f>IF($A125="","",'Lot Balance'!$H124)</f>
        <v>46252</v>
      </c>
      <c r="F125" s="23">
        <f ca="1">IF($A125="","",'Lot Balance'!$I124)</f>
        <v>14</v>
      </c>
      <c r="G125" s="23">
        <f>IF($A125="","",'Lot Balance'!$O124)</f>
        <v>0</v>
      </c>
      <c r="H125" s="33">
        <f>IF($A125="","",'Lot Balance'!$P124)</f>
        <v>0</v>
      </c>
      <c r="I125" s="26">
        <f>IF($A125="","",COUNTIFS(tblIssues[Lot Number],$B125))</f>
        <v>0</v>
      </c>
      <c r="J125" s="31" t="str">
        <f>IF($A125="","",IF('Lot Balance'!$O124&lt;=0,"Depleted",'Lot Balance'!$Q124))</f>
        <v>Depleted</v>
      </c>
    </row>
    <row r="126" spans="1:10" x14ac:dyDescent="0.35">
      <c r="A126" s="18" t="str">
        <f>IF('Lot Balance'!$A125="","",'Lot Balance'!$A125)</f>
        <v>Surgical Masks</v>
      </c>
      <c r="B126" s="18" t="str">
        <f>IF($A126="","",'Lot Balance'!$B125)</f>
        <v>SM50037199</v>
      </c>
      <c r="C126" s="18" t="str">
        <f>IF($A126="","",'Lot Balance'!$C125)</f>
        <v>Masks</v>
      </c>
      <c r="D126" s="25">
        <f>IF($A126="","",'Lot Balance'!$G125)</f>
        <v>46113</v>
      </c>
      <c r="E126" s="25">
        <f>IF($A126="","",'Lot Balance'!$H125)</f>
        <v>46318</v>
      </c>
      <c r="F126" s="23">
        <f ca="1">IF($A126="","",'Lot Balance'!$I125)</f>
        <v>80</v>
      </c>
      <c r="G126" s="23">
        <f>IF($A126="","",'Lot Balance'!$O125)</f>
        <v>0</v>
      </c>
      <c r="H126" s="33">
        <f>IF($A126="","",'Lot Balance'!$P125)</f>
        <v>0</v>
      </c>
      <c r="I126" s="26">
        <f>IF($A126="","",COUNTIFS(tblIssues[Lot Number],$B126))</f>
        <v>0</v>
      </c>
      <c r="J126" s="31" t="str">
        <f>IF($A126="","",IF('Lot Balance'!$O125&lt;=0,"Depleted",'Lot Balance'!$Q125))</f>
        <v>Depleted</v>
      </c>
    </row>
    <row r="127" spans="1:10" x14ac:dyDescent="0.35">
      <c r="A127" s="18" t="str">
        <f>IF('Lot Balance'!$A126="","",'Lot Balance'!$A126)</f>
        <v>Surgical Masks</v>
      </c>
      <c r="B127" s="18" t="str">
        <f>IF($A127="","",'Lot Balance'!$B126)</f>
        <v>SM5003720</v>
      </c>
      <c r="C127" s="18" t="str">
        <f>IF($A127="","",'Lot Balance'!$C126)</f>
        <v>Masks</v>
      </c>
      <c r="D127" s="25">
        <f>IF($A127="","",'Lot Balance'!$G126)</f>
        <v>46113</v>
      </c>
      <c r="E127" s="25">
        <f>IF($A127="","",'Lot Balance'!$H126)</f>
        <v>46140</v>
      </c>
      <c r="F127" s="23">
        <f ca="1">IF($A127="","",'Lot Balance'!$I126)</f>
        <v>-98</v>
      </c>
      <c r="G127" s="23">
        <f>IF($A127="","",'Lot Balance'!$O126)</f>
        <v>0</v>
      </c>
      <c r="H127" s="33">
        <f>IF($A127="","",'Lot Balance'!$P126)</f>
        <v>0</v>
      </c>
      <c r="I127" s="26">
        <f>IF($A127="","",COUNTIFS(tblIssues[Lot Number],$B127))</f>
        <v>0</v>
      </c>
      <c r="J127" s="31" t="str">
        <f>IF($A127="","",IF('Lot Balance'!$O126&lt;=0,"Depleted",'Lot Balance'!$Q126))</f>
        <v>Depleted</v>
      </c>
    </row>
    <row r="128" spans="1:10" x14ac:dyDescent="0.35">
      <c r="A128" s="18" t="str">
        <f>IF('Lot Balance'!$A127="","",'Lot Balance'!$A127)</f>
        <v>Surgical Masks</v>
      </c>
      <c r="B128" s="18" t="str">
        <f>IF($A128="","",'Lot Balance'!$B127)</f>
        <v>SM50037200</v>
      </c>
      <c r="C128" s="18" t="str">
        <f>IF($A128="","",'Lot Balance'!$C127)</f>
        <v>Masks</v>
      </c>
      <c r="D128" s="25">
        <f>IF($A128="","",'Lot Balance'!$G127)</f>
        <v>46113</v>
      </c>
      <c r="E128" s="25">
        <f>IF($A128="","",'Lot Balance'!$H127)</f>
        <v>46147</v>
      </c>
      <c r="F128" s="23">
        <f ca="1">IF($A128="","",'Lot Balance'!$I127)</f>
        <v>-91</v>
      </c>
      <c r="G128" s="23">
        <f>IF($A128="","",'Lot Balance'!$O127)</f>
        <v>0</v>
      </c>
      <c r="H128" s="33">
        <f>IF($A128="","",'Lot Balance'!$P127)</f>
        <v>0</v>
      </c>
      <c r="I128" s="26">
        <f>IF($A128="","",COUNTIFS(tblIssues[Lot Number],$B128))</f>
        <v>0</v>
      </c>
      <c r="J128" s="31" t="str">
        <f>IF($A128="","",IF('Lot Balance'!$O127&lt;=0,"Depleted",'Lot Balance'!$Q127))</f>
        <v>Depleted</v>
      </c>
    </row>
    <row r="129" spans="1:10" x14ac:dyDescent="0.35">
      <c r="A129" s="18" t="str">
        <f>IF('Lot Balance'!$A128="","",'Lot Balance'!$A128)</f>
        <v>Disinfectant Wipes OS</v>
      </c>
      <c r="B129" s="18" t="str">
        <f>IF($A129="","",'Lot Balance'!$B128)</f>
        <v>031125VXO7</v>
      </c>
      <c r="C129" s="18" t="str">
        <f>IF($A129="","",'Lot Balance'!$C128)</f>
        <v>Wipes</v>
      </c>
      <c r="D129" s="25">
        <f>IF($A129="","",'Lot Balance'!$G128)</f>
        <v>46113</v>
      </c>
      <c r="E129" s="25">
        <f>IF($A129="","",'Lot Balance'!$H128)</f>
        <v>46823</v>
      </c>
      <c r="F129" s="23">
        <f ca="1">IF($A129="","",'Lot Balance'!$I128)</f>
        <v>585</v>
      </c>
      <c r="G129" s="23">
        <f>IF($A129="","",'Lot Balance'!$O128)</f>
        <v>3840</v>
      </c>
      <c r="H129" s="33">
        <f>IF($A129="","",'Lot Balance'!$P128)</f>
        <v>0</v>
      </c>
      <c r="I129" s="26">
        <f>IF($A129="","",COUNTIFS(tblIssues[Lot Number],$B129))</f>
        <v>0</v>
      </c>
      <c r="J129" s="31" t="str">
        <f ca="1">IF($A129="","",IF('Lot Balance'!$O128&lt;=0,"Depleted",'Lot Balance'!$Q128))</f>
        <v>In date</v>
      </c>
    </row>
    <row r="130" spans="1:10" x14ac:dyDescent="0.35">
      <c r="A130" s="18" t="str">
        <f>IF('Lot Balance'!$A129="","",'Lot Balance'!$A129)</f>
        <v>Thermometer</v>
      </c>
      <c r="B130" s="18" t="str">
        <f>IF($A130="","",'Lot Balance'!$B129)</f>
        <v>Therm-1</v>
      </c>
      <c r="C130" s="18" t="str">
        <f>IF($A130="","",'Lot Balance'!$C129)</f>
        <v>Device</v>
      </c>
      <c r="D130" s="25">
        <f>IF($A130="","",'Lot Balance'!$G129)</f>
        <v>46113</v>
      </c>
      <c r="E130" s="25">
        <f>IF($A130="","",'Lot Balance'!$H129)</f>
        <v>47209</v>
      </c>
      <c r="F130" s="23">
        <f ca="1">IF($A130="","",'Lot Balance'!$I129)</f>
        <v>971</v>
      </c>
      <c r="G130" s="23">
        <f>IF($A130="","",'Lot Balance'!$O129)</f>
        <v>9</v>
      </c>
      <c r="H130" s="33">
        <f>IF($A130="","",'Lot Balance'!$P129)</f>
        <v>72</v>
      </c>
      <c r="I130" s="26">
        <f>IF($A130="","",COUNTIFS(tblIssues[Lot Number],$B130))</f>
        <v>1</v>
      </c>
      <c r="J130" s="31" t="str">
        <f ca="1">IF($A130="","",IF('Lot Balance'!$O129&lt;=0,"Depleted",'Lot Balance'!$Q129))</f>
        <v>In date</v>
      </c>
    </row>
    <row r="131" spans="1:10" x14ac:dyDescent="0.35">
      <c r="A131" s="18" t="str">
        <f>IF('Lot Balance'!$A130="","",'Lot Balance'!$A130)</f>
        <v>Stethscope</v>
      </c>
      <c r="B131" s="18" t="str">
        <f>IF($A131="","",'Lot Balance'!$B130)</f>
        <v>Steth-1</v>
      </c>
      <c r="C131" s="18" t="str">
        <f>IF($A131="","",'Lot Balance'!$C130)</f>
        <v>Device</v>
      </c>
      <c r="D131" s="25">
        <f>IF($A131="","",'Lot Balance'!$G130)</f>
        <v>46113</v>
      </c>
      <c r="E131" s="25">
        <f>IF($A131="","",'Lot Balance'!$H130)</f>
        <v>47209</v>
      </c>
      <c r="F131" s="23">
        <f ca="1">IF($A131="","",'Lot Balance'!$I130)</f>
        <v>971</v>
      </c>
      <c r="G131" s="23">
        <f>IF($A131="","",'Lot Balance'!$O130)</f>
        <v>4</v>
      </c>
      <c r="H131" s="33">
        <f>IF($A131="","",'Lot Balance'!$P130)</f>
        <v>48</v>
      </c>
      <c r="I131" s="26">
        <f>IF($A131="","",COUNTIFS(tblIssues[Lot Number],$B131))</f>
        <v>1</v>
      </c>
      <c r="J131" s="31" t="str">
        <f ca="1">IF($A131="","",IF('Lot Balance'!$O130&lt;=0,"Depleted",'Lot Balance'!$Q130))</f>
        <v>In date</v>
      </c>
    </row>
    <row r="132" spans="1:10" x14ac:dyDescent="0.35">
      <c r="A132" s="18" t="str">
        <f>IF('Lot Balance'!$A131="","",'Lot Balance'!$A131)</f>
        <v>Gloves - Medium</v>
      </c>
      <c r="B132" s="18" t="str">
        <f>IF($A132="","",'Lot Balance'!$B131)</f>
        <v>ZIM504126040-2</v>
      </c>
      <c r="C132" s="18" t="str">
        <f>IF($A132="","",'Lot Balance'!$C131)</f>
        <v>Gloves</v>
      </c>
      <c r="D132" s="25">
        <f>IF($A132="","",'Lot Balance'!$G131)</f>
        <v>46119</v>
      </c>
      <c r="E132" s="25">
        <f>IF($A132="","",'Lot Balance'!$H131)</f>
        <v>46302</v>
      </c>
      <c r="F132" s="23">
        <f ca="1">IF($A132="","",'Lot Balance'!$I131)</f>
        <v>64</v>
      </c>
      <c r="G132" s="23">
        <f>IF($A132="","",'Lot Balance'!$O131)</f>
        <v>0</v>
      </c>
      <c r="H132" s="33">
        <f>IF($A132="","",'Lot Balance'!$P131)</f>
        <v>0</v>
      </c>
      <c r="I132" s="26">
        <f>IF($A132="","",COUNTIFS(tblIssues[Lot Number],$B132))</f>
        <v>25</v>
      </c>
      <c r="J132" s="31" t="str">
        <f>IF($A132="","",IF('Lot Balance'!$O131&lt;=0,"Depleted",'Lot Balance'!$Q131))</f>
        <v>Depleted</v>
      </c>
    </row>
    <row r="133" spans="1:10" x14ac:dyDescent="0.35">
      <c r="A133" s="18" t="str">
        <f>IF('Lot Balance'!$A132="","",'Lot Balance'!$A132)</f>
        <v>Gloves - Medium</v>
      </c>
      <c r="B133" s="18" t="str">
        <f>IF($A133="","",'Lot Balance'!$B132)</f>
        <v>0312HIC25</v>
      </c>
      <c r="C133" s="18" t="str">
        <f>IF($A133="","",'Lot Balance'!$C132)</f>
        <v>Gloves</v>
      </c>
      <c r="D133" s="25">
        <f>IF($A133="","",'Lot Balance'!$G132)</f>
        <v>46121</v>
      </c>
      <c r="E133" s="25">
        <f>IF($A133="","",'Lot Balance'!$H132)</f>
        <v>46302</v>
      </c>
      <c r="F133" s="23">
        <f ca="1">IF($A133="","",'Lot Balance'!$I132)</f>
        <v>64</v>
      </c>
      <c r="G133" s="23">
        <f>IF($A133="","",'Lot Balance'!$O132)</f>
        <v>0</v>
      </c>
      <c r="H133" s="33">
        <f>IF($A133="","",'Lot Balance'!$P132)</f>
        <v>0</v>
      </c>
      <c r="I133" s="26">
        <f>IF($A133="","",COUNTIFS(tblIssues[Lot Number],$B133))</f>
        <v>24</v>
      </c>
      <c r="J133" s="31" t="str">
        <f>IF($A133="","",IF('Lot Balance'!$O132&lt;=0,"Depleted",'Lot Balance'!$Q132))</f>
        <v>Depleted</v>
      </c>
    </row>
    <row r="134" spans="1:10" x14ac:dyDescent="0.35">
      <c r="A134" s="18" t="str">
        <f>IF('Lot Balance'!$A133="","",'Lot Balance'!$A133)</f>
        <v>Gloves - Small</v>
      </c>
      <c r="B134" s="18" t="str">
        <f>IF($A134="","",'Lot Balance'!$B133)</f>
        <v>O211LIC25-0</v>
      </c>
      <c r="C134" s="18" t="str">
        <f>IF($A134="","",'Lot Balance'!$C133)</f>
        <v>Gloves</v>
      </c>
      <c r="D134" s="25">
        <f>IF($A134="","",'Lot Balance'!$G133)</f>
        <v>46121</v>
      </c>
      <c r="E134" s="25">
        <f>IF($A134="","",'Lot Balance'!$H133)</f>
        <v>46302</v>
      </c>
      <c r="F134" s="23">
        <f ca="1">IF($A134="","",'Lot Balance'!$I133)</f>
        <v>64</v>
      </c>
      <c r="G134" s="23">
        <f>IF($A134="","",'Lot Balance'!$O133)</f>
        <v>0</v>
      </c>
      <c r="H134" s="33">
        <f>IF($A134="","",'Lot Balance'!$P133)</f>
        <v>0</v>
      </c>
      <c r="I134" s="26">
        <f>IF($A134="","",COUNTIFS(tblIssues[Lot Number],$B134))</f>
        <v>10</v>
      </c>
      <c r="J134" s="31" t="str">
        <f>IF($A134="","",IF('Lot Balance'!$O133&lt;=0,"Depleted",'Lot Balance'!$Q133))</f>
        <v>Depleted</v>
      </c>
    </row>
    <row r="135" spans="1:10" x14ac:dyDescent="0.35">
      <c r="A135" s="18" t="str">
        <f>IF('Lot Balance'!$A134="","",'Lot Balance'!$A134)</f>
        <v>Gloves - Large</v>
      </c>
      <c r="B135" s="18" t="str">
        <f>IF($A135="","",'Lot Balance'!$B134)</f>
        <v>O16705</v>
      </c>
      <c r="C135" s="18" t="str">
        <f>IF($A135="","",'Lot Balance'!$C134)</f>
        <v>Gloves</v>
      </c>
      <c r="D135" s="25">
        <f>IF($A135="","",'Lot Balance'!$G134)</f>
        <v>46121</v>
      </c>
      <c r="E135" s="25">
        <f>IF($A135="","",'Lot Balance'!$H134)</f>
        <v>46302</v>
      </c>
      <c r="F135" s="23">
        <f ca="1">IF($A135="","",'Lot Balance'!$I134)</f>
        <v>64</v>
      </c>
      <c r="G135" s="23">
        <f>IF($A135="","",'Lot Balance'!$O134)</f>
        <v>0</v>
      </c>
      <c r="H135" s="33">
        <f>IF($A135="","",'Lot Balance'!$P134)</f>
        <v>0</v>
      </c>
      <c r="I135" s="26">
        <f>IF($A135="","",COUNTIFS(tblIssues[Lot Number],$B135))</f>
        <v>10</v>
      </c>
      <c r="J135" s="31" t="str">
        <f>IF($A135="","",IF('Lot Balance'!$O134&lt;=0,"Depleted",'Lot Balance'!$Q134))</f>
        <v>Depleted</v>
      </c>
    </row>
    <row r="136" spans="1:10" x14ac:dyDescent="0.35">
      <c r="A136" s="18" t="str">
        <f>IF('Lot Balance'!$A135="","",'Lot Balance'!$A135)</f>
        <v>Surgical Masks</v>
      </c>
      <c r="B136" s="18" t="str">
        <f>IF($A136="","",'Lot Balance'!$B135)</f>
        <v>0125FPC24-2</v>
      </c>
      <c r="C136" s="18" t="str">
        <f>IF($A136="","",'Lot Balance'!$C135)</f>
        <v>Masks</v>
      </c>
      <c r="D136" s="25">
        <f>IF($A136="","",'Lot Balance'!$G135)</f>
        <v>46121</v>
      </c>
      <c r="E136" s="25">
        <f>IF($A136="","",'Lot Balance'!$H135)</f>
        <v>46203</v>
      </c>
      <c r="F136" s="23">
        <f ca="1">IF($A136="","",'Lot Balance'!$I135)</f>
        <v>-35</v>
      </c>
      <c r="G136" s="23">
        <f>IF($A136="","",'Lot Balance'!$O135)</f>
        <v>0</v>
      </c>
      <c r="H136" s="33">
        <f>IF($A136="","",'Lot Balance'!$P135)</f>
        <v>0</v>
      </c>
      <c r="I136" s="26">
        <f>IF($A136="","",COUNTIFS(tblIssues[Lot Number],$B136))</f>
        <v>20</v>
      </c>
      <c r="J136" s="31" t="str">
        <f>IF($A136="","",IF('Lot Balance'!$O135&lt;=0,"Depleted",'Lot Balance'!$Q135))</f>
        <v>Depleted</v>
      </c>
    </row>
    <row r="137" spans="1:10" x14ac:dyDescent="0.35">
      <c r="A137" s="18" t="str">
        <f>IF('Lot Balance'!$A136="","",'Lot Balance'!$A136)</f>
        <v>Hand Sanitizer OS</v>
      </c>
      <c r="B137" s="18" t="str">
        <f>IF($A137="","",'Lot Balance'!$B136)</f>
        <v>20-21734-2</v>
      </c>
      <c r="C137" s="18" t="str">
        <f>IF($A137="","",'Lot Balance'!$C136)</f>
        <v>Sanitizer</v>
      </c>
      <c r="D137" s="25">
        <f>IF($A137="","",'Lot Balance'!$G136)</f>
        <v>46121</v>
      </c>
      <c r="E137" s="25">
        <f>IF($A137="","",'Lot Balance'!$H136)</f>
        <v>46811</v>
      </c>
      <c r="F137" s="23">
        <f ca="1">IF($A137="","",'Lot Balance'!$I136)</f>
        <v>573</v>
      </c>
      <c r="G137" s="23">
        <f>IF($A137="","",'Lot Balance'!$O136)</f>
        <v>0</v>
      </c>
      <c r="H137" s="33">
        <f>IF($A137="","",'Lot Balance'!$P136)</f>
        <v>0</v>
      </c>
      <c r="I137" s="26">
        <f>IF($A137="","",COUNTIFS(tblIssues[Lot Number],$B137))</f>
        <v>36</v>
      </c>
      <c r="J137" s="31" t="str">
        <f>IF($A137="","",IF('Lot Balance'!$O136&lt;=0,"Depleted",'Lot Balance'!$Q136))</f>
        <v>Depleted</v>
      </c>
    </row>
    <row r="138" spans="1:10" x14ac:dyDescent="0.35">
      <c r="A138" s="18" t="str">
        <f>IF('Lot Balance'!$A137="","",'Lot Balance'!$A137)</f>
        <v>Gloves - Medium</v>
      </c>
      <c r="B138" s="18" t="str">
        <f>IF($A138="","",'Lot Balance'!$B137)</f>
        <v>O16689</v>
      </c>
      <c r="C138" s="18" t="str">
        <f>IF($A138="","",'Lot Balance'!$C137)</f>
        <v>Gloves</v>
      </c>
      <c r="D138" s="25">
        <f>IF($A138="","",'Lot Balance'!$G137)</f>
        <v>46129</v>
      </c>
      <c r="E138" s="25">
        <f>IF($A138="","",'Lot Balance'!$H137)</f>
        <v>46312</v>
      </c>
      <c r="F138" s="23">
        <f ca="1">IF($A138="","",'Lot Balance'!$I137)</f>
        <v>74</v>
      </c>
      <c r="G138" s="23">
        <f>IF($A138="","",'Lot Balance'!$O137)</f>
        <v>0</v>
      </c>
      <c r="H138" s="33">
        <f>IF($A138="","",'Lot Balance'!$P137)</f>
        <v>0</v>
      </c>
      <c r="I138" s="26">
        <f>IF($A138="","",COUNTIFS(tblIssues[Lot Number],$B138))</f>
        <v>21</v>
      </c>
      <c r="J138" s="31" t="str">
        <f>IF($A138="","",IF('Lot Balance'!$O137&lt;=0,"Depleted",'Lot Balance'!$Q137))</f>
        <v>Depleted</v>
      </c>
    </row>
    <row r="139" spans="1:10" x14ac:dyDescent="0.35">
      <c r="A139" s="18" t="str">
        <f>IF('Lot Balance'!$A138="","",'Lot Balance'!$A138)</f>
        <v>Gloves - Small</v>
      </c>
      <c r="B139" s="18" t="str">
        <f>IF($A139="","",'Lot Balance'!$B138)</f>
        <v>O211LIC25-1</v>
      </c>
      <c r="C139" s="18" t="str">
        <f>IF($A139="","",'Lot Balance'!$C138)</f>
        <v>Gloves</v>
      </c>
      <c r="D139" s="25">
        <f>IF($A139="","",'Lot Balance'!$G138)</f>
        <v>46129</v>
      </c>
      <c r="E139" s="25">
        <f>IF($A139="","",'Lot Balance'!$H138)</f>
        <v>46312</v>
      </c>
      <c r="F139" s="23">
        <f ca="1">IF($A139="","",'Lot Balance'!$I138)</f>
        <v>74</v>
      </c>
      <c r="G139" s="23">
        <f>IF($A139="","",'Lot Balance'!$O138)</f>
        <v>0</v>
      </c>
      <c r="H139" s="33">
        <f>IF($A139="","",'Lot Balance'!$P138)</f>
        <v>0</v>
      </c>
      <c r="I139" s="26">
        <f>IF($A139="","",COUNTIFS(tblIssues[Lot Number],$B139))</f>
        <v>5</v>
      </c>
      <c r="J139" s="31" t="str">
        <f>IF($A139="","",IF('Lot Balance'!$O138&lt;=0,"Depleted",'Lot Balance'!$Q138))</f>
        <v>Depleted</v>
      </c>
    </row>
    <row r="140" spans="1:10" x14ac:dyDescent="0.35">
      <c r="A140" s="18" t="str">
        <f>IF('Lot Balance'!$A139="","",'Lot Balance'!$A139)</f>
        <v>Gloves - Large</v>
      </c>
      <c r="B140" s="18" t="str">
        <f>IF($A140="","",'Lot Balance'!$B139)</f>
        <v>O742HIC25</v>
      </c>
      <c r="C140" s="18" t="str">
        <f>IF($A140="","",'Lot Balance'!$C139)</f>
        <v>Gloves</v>
      </c>
      <c r="D140" s="25">
        <f>IF($A140="","",'Lot Balance'!$G139)</f>
        <v>46129</v>
      </c>
      <c r="E140" s="25">
        <f>IF($A140="","",'Lot Balance'!$H139)</f>
        <v>46312</v>
      </c>
      <c r="F140" s="23">
        <f ca="1">IF($A140="","",'Lot Balance'!$I139)</f>
        <v>74</v>
      </c>
      <c r="G140" s="23">
        <f>IF($A140="","",'Lot Balance'!$O139)</f>
        <v>0</v>
      </c>
      <c r="H140" s="33">
        <f>IF($A140="","",'Lot Balance'!$P139)</f>
        <v>0</v>
      </c>
      <c r="I140" s="26">
        <f>IF($A140="","",COUNTIFS(tblIssues[Lot Number],$B140))</f>
        <v>5</v>
      </c>
      <c r="J140" s="31" t="str">
        <f>IF($A140="","",IF('Lot Balance'!$O139&lt;=0,"Depleted",'Lot Balance'!$Q139))</f>
        <v>Depleted</v>
      </c>
    </row>
    <row r="141" spans="1:10" x14ac:dyDescent="0.35">
      <c r="A141" s="18" t="str">
        <f>IF('Lot Balance'!$A140="","",'Lot Balance'!$A140)</f>
        <v>Surgical Masks</v>
      </c>
      <c r="B141" s="18" t="str">
        <f>IF($A141="","",'Lot Balance'!$B140)</f>
        <v>0125FPC24-3</v>
      </c>
      <c r="C141" s="18" t="str">
        <f>IF($A141="","",'Lot Balance'!$C140)</f>
        <v>Masks</v>
      </c>
      <c r="D141" s="25">
        <f>IF($A141="","",'Lot Balance'!$G140)</f>
        <v>46129</v>
      </c>
      <c r="E141" s="25">
        <f>IF($A141="","",'Lot Balance'!$H140)</f>
        <v>46312</v>
      </c>
      <c r="F141" s="23">
        <f ca="1">IF($A141="","",'Lot Balance'!$I140)</f>
        <v>74</v>
      </c>
      <c r="G141" s="23">
        <f>IF($A141="","",'Lot Balance'!$O140)</f>
        <v>1000</v>
      </c>
      <c r="H141" s="33">
        <f>IF($A141="","",'Lot Balance'!$P140)</f>
        <v>250</v>
      </c>
      <c r="I141" s="26">
        <f>IF($A141="","",COUNTIFS(tblIssues[Lot Number],$B141))</f>
        <v>0</v>
      </c>
      <c r="J141" s="31" t="str">
        <f ca="1">IF($A141="","",IF('Lot Balance'!$O140&lt;=0,"Depleted",'Lot Balance'!$Q140))</f>
        <v>Expiring</v>
      </c>
    </row>
    <row r="142" spans="1:10" x14ac:dyDescent="0.35">
      <c r="A142" s="18" t="str">
        <f>IF('Lot Balance'!$A141="","",'Lot Balance'!$A141)</f>
        <v>Hand Sanitizer OS</v>
      </c>
      <c r="B142" s="18" t="str">
        <f>IF($A142="","",'Lot Balance'!$B141)</f>
        <v>20-21734-3</v>
      </c>
      <c r="C142" s="18" t="str">
        <f>IF($A142="","",'Lot Balance'!$C141)</f>
        <v>Sanitizer</v>
      </c>
      <c r="D142" s="25">
        <f>IF($A142="","",'Lot Balance'!$G141)</f>
        <v>46129</v>
      </c>
      <c r="E142" s="25">
        <f>IF($A142="","",'Lot Balance'!$H141)</f>
        <v>46811</v>
      </c>
      <c r="F142" s="23">
        <f ca="1">IF($A142="","",'Lot Balance'!$I141)</f>
        <v>573</v>
      </c>
      <c r="G142" s="23">
        <f>IF($A142="","",'Lot Balance'!$O141)</f>
        <v>0</v>
      </c>
      <c r="H142" s="33">
        <f>IF($A142="","",'Lot Balance'!$P141)</f>
        <v>0</v>
      </c>
      <c r="I142" s="26">
        <f>IF($A142="","",COUNTIFS(tblIssues[Lot Number],$B142))</f>
        <v>24</v>
      </c>
      <c r="J142" s="31" t="str">
        <f>IF($A142="","",IF('Lot Balance'!$O141&lt;=0,"Depleted",'Lot Balance'!$Q141))</f>
        <v>Depleted</v>
      </c>
    </row>
    <row r="143" spans="1:10" x14ac:dyDescent="0.35">
      <c r="A143" s="18" t="str">
        <f>IF('Lot Balance'!$A142="","",'Lot Balance'!$A142)</f>
        <v>Gloves - X-Large</v>
      </c>
      <c r="B143" s="18" t="str">
        <f>IF($A143="","",'Lot Balance'!$B142)</f>
        <v>ZIM502120713</v>
      </c>
      <c r="C143" s="18" t="str">
        <f>IF($A143="","",'Lot Balance'!$C142)</f>
        <v>Gloves</v>
      </c>
      <c r="D143" s="25">
        <f>IF($A143="","",'Lot Balance'!$G142)</f>
        <v>46129</v>
      </c>
      <c r="E143" s="25">
        <f>IF($A143="","",'Lot Balance'!$H142)</f>
        <v>46312</v>
      </c>
      <c r="F143" s="23">
        <f ca="1">IF($A143="","",'Lot Balance'!$I142)</f>
        <v>74</v>
      </c>
      <c r="G143" s="23">
        <f>IF($A143="","",'Lot Balance'!$O142)</f>
        <v>1350</v>
      </c>
      <c r="H143" s="33">
        <f>IF($A143="","",'Lot Balance'!$P142)</f>
        <v>74.25</v>
      </c>
      <c r="I143" s="26">
        <f>IF($A143="","",COUNTIFS(tblIssues[Lot Number],$B143))</f>
        <v>2</v>
      </c>
      <c r="J143" s="31" t="str">
        <f ca="1">IF($A143="","",IF('Lot Balance'!$O142&lt;=0,"Depleted",'Lot Balance'!$Q142))</f>
        <v>Expiring</v>
      </c>
    </row>
    <row r="144" spans="1:10" x14ac:dyDescent="0.35">
      <c r="A144" s="18" t="str">
        <f>IF('Lot Balance'!$A143="","",'Lot Balance'!$A143)</f>
        <v>Gloves - Medium</v>
      </c>
      <c r="B144" s="18" t="str">
        <f>IF($A144="","",'Lot Balance'!$B143)</f>
        <v>ZIM504126040-4</v>
      </c>
      <c r="C144" s="18" t="str">
        <f>IF($A144="","",'Lot Balance'!$C143)</f>
        <v>Gloves</v>
      </c>
      <c r="D144" s="25">
        <f>IF($A144="","",'Lot Balance'!$G143)</f>
        <v>46139</v>
      </c>
      <c r="E144" s="25">
        <f>IF($A144="","",'Lot Balance'!$H143)</f>
        <v>46321</v>
      </c>
      <c r="F144" s="23">
        <f ca="1">IF($A144="","",'Lot Balance'!$I143)</f>
        <v>83</v>
      </c>
      <c r="G144" s="23">
        <f>IF($A144="","",'Lot Balance'!$O143)</f>
        <v>0</v>
      </c>
      <c r="H144" s="33">
        <f>IF($A144="","",'Lot Balance'!$P143)</f>
        <v>0</v>
      </c>
      <c r="I144" s="26">
        <f>IF($A144="","",COUNTIFS(tblIssues[Lot Number],$B144))</f>
        <v>15</v>
      </c>
      <c r="J144" s="31" t="str">
        <f>IF($A144="","",IF('Lot Balance'!$O143&lt;=0,"Depleted",'Lot Balance'!$Q143))</f>
        <v>Depleted</v>
      </c>
    </row>
    <row r="145" spans="1:10" x14ac:dyDescent="0.35">
      <c r="A145" s="18" t="str">
        <f>IF('Lot Balance'!$A144="","",'Lot Balance'!$A144)</f>
        <v>Gloves - Small</v>
      </c>
      <c r="B145" s="18" t="str">
        <f>IF($A145="","",'Lot Balance'!$B144)</f>
        <v>ZIM504124207-6</v>
      </c>
      <c r="C145" s="18" t="str">
        <f>IF($A145="","",'Lot Balance'!$C144)</f>
        <v>Gloves</v>
      </c>
      <c r="D145" s="25">
        <f>IF($A145="","",'Lot Balance'!$G144)</f>
        <v>46139</v>
      </c>
      <c r="E145" s="25">
        <f>IF($A145="","",'Lot Balance'!$H144)</f>
        <v>46321</v>
      </c>
      <c r="F145" s="23">
        <f ca="1">IF($A145="","",'Lot Balance'!$I144)</f>
        <v>83</v>
      </c>
      <c r="G145" s="23">
        <f>IF($A145="","",'Lot Balance'!$O144)</f>
        <v>0</v>
      </c>
      <c r="H145" s="33">
        <f>IF($A145="","",'Lot Balance'!$P144)</f>
        <v>0</v>
      </c>
      <c r="I145" s="26">
        <f>IF($A145="","",COUNTIFS(tblIssues[Lot Number],$B145))</f>
        <v>10</v>
      </c>
      <c r="J145" s="31" t="str">
        <f>IF($A145="","",IF('Lot Balance'!$O144&lt;=0,"Depleted",'Lot Balance'!$Q144))</f>
        <v>Depleted</v>
      </c>
    </row>
    <row r="146" spans="1:10" x14ac:dyDescent="0.35">
      <c r="A146" s="18" t="str">
        <f>IF('Lot Balance'!$A145="","",'Lot Balance'!$A145)</f>
        <v>Gloves - Large</v>
      </c>
      <c r="B146" s="18" t="str">
        <f>IF($A146="","",'Lot Balance'!$B145)</f>
        <v>ZIM511139904-2</v>
      </c>
      <c r="C146" s="18" t="str">
        <f>IF($A146="","",'Lot Balance'!$C145)</f>
        <v>Gloves</v>
      </c>
      <c r="D146" s="25">
        <f>IF($A146="","",'Lot Balance'!$G145)</f>
        <v>46139</v>
      </c>
      <c r="E146" s="25">
        <f>IF($A146="","",'Lot Balance'!$H145)</f>
        <v>46321</v>
      </c>
      <c r="F146" s="23">
        <f ca="1">IF($A146="","",'Lot Balance'!$I145)</f>
        <v>83</v>
      </c>
      <c r="G146" s="23">
        <f>IF($A146="","",'Lot Balance'!$O145)</f>
        <v>0</v>
      </c>
      <c r="H146" s="33">
        <f>IF($A146="","",'Lot Balance'!$P145)</f>
        <v>0</v>
      </c>
      <c r="I146" s="26">
        <f>IF($A146="","",COUNTIFS(tblIssues[Lot Number],$B146))</f>
        <v>10</v>
      </c>
      <c r="J146" s="31" t="str">
        <f>IF($A146="","",IF('Lot Balance'!$O145&lt;=0,"Depleted",'Lot Balance'!$Q145))</f>
        <v>Depleted</v>
      </c>
    </row>
    <row r="147" spans="1:10" x14ac:dyDescent="0.35">
      <c r="A147" s="18" t="str">
        <f>IF('Lot Balance'!$A146="","",'Lot Balance'!$A146)</f>
        <v>Gloves - Medium</v>
      </c>
      <c r="B147" s="18" t="str">
        <f>IF($A147="","",'Lot Balance'!$B146)</f>
        <v>ZIM510329603</v>
      </c>
      <c r="C147" s="18" t="str">
        <f>IF($A147="","",'Lot Balance'!$C146)</f>
        <v>Gloves</v>
      </c>
      <c r="D147" s="25">
        <f>IF($A147="","",'Lot Balance'!$G146)</f>
        <v>46146</v>
      </c>
      <c r="E147" s="25">
        <f>IF($A147="","",'Lot Balance'!$H146)</f>
        <v>46330</v>
      </c>
      <c r="F147" s="23">
        <f ca="1">IF($A147="","",'Lot Balance'!$I146)</f>
        <v>92</v>
      </c>
      <c r="G147" s="23">
        <f>IF($A147="","",'Lot Balance'!$O146)</f>
        <v>0</v>
      </c>
      <c r="H147" s="33">
        <f>IF($A147="","",'Lot Balance'!$P146)</f>
        <v>0</v>
      </c>
      <c r="I147" s="26">
        <f>IF($A147="","",COUNTIFS(tblIssues[Lot Number],$B147))</f>
        <v>10</v>
      </c>
      <c r="J147" s="31" t="str">
        <f>IF($A147="","",IF('Lot Balance'!$O146&lt;=0,"Depleted",'Lot Balance'!$Q146))</f>
        <v>Depleted</v>
      </c>
    </row>
    <row r="148" spans="1:10" x14ac:dyDescent="0.35">
      <c r="A148" s="18" t="str">
        <f>IF('Lot Balance'!$A147="","",'Lot Balance'!$A147)</f>
        <v>Gloves - Small</v>
      </c>
      <c r="B148" s="18" t="str">
        <f>IF($A148="","",'Lot Balance'!$B147)</f>
        <v>ZIM504124207-7</v>
      </c>
      <c r="C148" s="18" t="str">
        <f>IF($A148="","",'Lot Balance'!$C147)</f>
        <v>Gloves</v>
      </c>
      <c r="D148" s="25">
        <f>IF($A148="","",'Lot Balance'!$G147)</f>
        <v>46146</v>
      </c>
      <c r="E148" s="25">
        <f>IF($A148="","",'Lot Balance'!$H147)</f>
        <v>46330</v>
      </c>
      <c r="F148" s="23">
        <f ca="1">IF($A148="","",'Lot Balance'!$I147)</f>
        <v>92</v>
      </c>
      <c r="G148" s="23">
        <f>IF($A148="","",'Lot Balance'!$O147)</f>
        <v>0</v>
      </c>
      <c r="H148" s="33">
        <f>IF($A148="","",'Lot Balance'!$P147)</f>
        <v>0</v>
      </c>
      <c r="I148" s="26">
        <f>IF($A148="","",COUNTIFS(tblIssues[Lot Number],$B148))</f>
        <v>5</v>
      </c>
      <c r="J148" s="31" t="str">
        <f>IF($A148="","",IF('Lot Balance'!$O147&lt;=0,"Depleted",'Lot Balance'!$Q147))</f>
        <v>Depleted</v>
      </c>
    </row>
    <row r="149" spans="1:10" x14ac:dyDescent="0.35">
      <c r="A149" s="18" t="str">
        <f>IF('Lot Balance'!$A148="","",'Lot Balance'!$A148)</f>
        <v>Gloves - Large</v>
      </c>
      <c r="B149" s="18" t="str">
        <f>IF($A149="","",'Lot Balance'!$B148)</f>
        <v>ZIM511139904-3</v>
      </c>
      <c r="C149" s="18" t="str">
        <f>IF($A149="","",'Lot Balance'!$C148)</f>
        <v>Gloves</v>
      </c>
      <c r="D149" s="25">
        <f>IF($A149="","",'Lot Balance'!$G148)</f>
        <v>46146</v>
      </c>
      <c r="E149" s="25">
        <f>IF($A149="","",'Lot Balance'!$H148)</f>
        <v>46330</v>
      </c>
      <c r="F149" s="23">
        <f ca="1">IF($A149="","",'Lot Balance'!$I148)</f>
        <v>92</v>
      </c>
      <c r="G149" s="23">
        <f>IF($A149="","",'Lot Balance'!$O148)</f>
        <v>0</v>
      </c>
      <c r="H149" s="33">
        <f>IF($A149="","",'Lot Balance'!$P148)</f>
        <v>0</v>
      </c>
      <c r="I149" s="26">
        <f>IF($A149="","",COUNTIFS(tblIssues[Lot Number],$B149))</f>
        <v>20</v>
      </c>
      <c r="J149" s="31" t="str">
        <f>IF($A149="","",IF('Lot Balance'!$O148&lt;=0,"Depleted",'Lot Balance'!$Q148))</f>
        <v>Depleted</v>
      </c>
    </row>
    <row r="150" spans="1:10" x14ac:dyDescent="0.35">
      <c r="A150" s="18" t="str">
        <f>IF('Lot Balance'!$A149="","",'Lot Balance'!$A149)</f>
        <v>CAN99</v>
      </c>
      <c r="B150" s="18" t="str">
        <f>IF($A150="","",'Lot Balance'!$B149)</f>
        <v>C1-22197A</v>
      </c>
      <c r="C150" s="18" t="str">
        <f>IF($A150="","",'Lot Balance'!$C149)</f>
        <v>Masks</v>
      </c>
      <c r="D150" s="25">
        <f>IF($A150="","",'Lot Balance'!$G149)</f>
        <v>46146</v>
      </c>
      <c r="E150" s="25">
        <f>IF($A150="","",'Lot Balance'!$H149)</f>
        <v>46599</v>
      </c>
      <c r="F150" s="23">
        <f ca="1">IF($A150="","",'Lot Balance'!$I149)</f>
        <v>361</v>
      </c>
      <c r="G150" s="23">
        <f>IF($A150="","",'Lot Balance'!$O149)</f>
        <v>25</v>
      </c>
      <c r="H150" s="33">
        <f>IF($A150="","",'Lot Balance'!$P149)</f>
        <v>33.75</v>
      </c>
      <c r="I150" s="26">
        <f>IF($A150="","",COUNTIFS(tblIssues[Lot Number],$B150))</f>
        <v>0</v>
      </c>
      <c r="J150" s="31" t="str">
        <f ca="1">IF($A150="","",IF('Lot Balance'!$O149&lt;=0,"Depleted",'Lot Balance'!$Q149))</f>
        <v>In date</v>
      </c>
    </row>
    <row r="151" spans="1:10" x14ac:dyDescent="0.35">
      <c r="A151" s="18" t="str">
        <f>IF('Lot Balance'!$A150="","",'Lot Balance'!$A150)</f>
        <v>Gloves - Medium</v>
      </c>
      <c r="B151" s="18" t="str">
        <f>IF($A151="","",'Lot Balance'!$B150)</f>
        <v>ZIM510137962-0</v>
      </c>
      <c r="C151" s="18" t="str">
        <f>IF($A151="","",'Lot Balance'!$C150)</f>
        <v>Gloves</v>
      </c>
      <c r="D151" s="25">
        <f>IF($A151="","",'Lot Balance'!$G150)</f>
        <v>46156</v>
      </c>
      <c r="E151" s="25">
        <f>IF($A151="","",'Lot Balance'!$H150)</f>
        <v>46340</v>
      </c>
      <c r="F151" s="23">
        <f ca="1">IF($A151="","",'Lot Balance'!$I150)</f>
        <v>102</v>
      </c>
      <c r="G151" s="23">
        <f>IF($A151="","",'Lot Balance'!$O150)</f>
        <v>0</v>
      </c>
      <c r="H151" s="33">
        <f>IF($A151="","",'Lot Balance'!$P150)</f>
        <v>0</v>
      </c>
      <c r="I151" s="26">
        <f>IF($A151="","",COUNTIFS(tblIssues[Lot Number],$B151))</f>
        <v>15</v>
      </c>
      <c r="J151" s="31" t="str">
        <f>IF($A151="","",IF('Lot Balance'!$O150&lt;=0,"Depleted",'Lot Balance'!$Q150))</f>
        <v>Depleted</v>
      </c>
    </row>
    <row r="152" spans="1:10" x14ac:dyDescent="0.35">
      <c r="A152" s="18" t="str">
        <f>IF('Lot Balance'!$A151="","",'Lot Balance'!$A151)</f>
        <v>Gloves - Small</v>
      </c>
      <c r="B152" s="18" t="str">
        <f>IF($A152="","",'Lot Balance'!$B151)</f>
        <v>ZIM504124207-8</v>
      </c>
      <c r="C152" s="18" t="str">
        <f>IF($A152="","",'Lot Balance'!$C151)</f>
        <v>Gloves</v>
      </c>
      <c r="D152" s="25">
        <f>IF($A152="","",'Lot Balance'!$G151)</f>
        <v>46156</v>
      </c>
      <c r="E152" s="25">
        <f>IF($A152="","",'Lot Balance'!$H151)</f>
        <v>46340</v>
      </c>
      <c r="F152" s="23">
        <f ca="1">IF($A152="","",'Lot Balance'!$I151)</f>
        <v>102</v>
      </c>
      <c r="G152" s="23">
        <f>IF($A152="","",'Lot Balance'!$O151)</f>
        <v>0</v>
      </c>
      <c r="H152" s="33">
        <f>IF($A152="","",'Lot Balance'!$P151)</f>
        <v>0</v>
      </c>
      <c r="I152" s="26">
        <f>IF($A152="","",COUNTIFS(tblIssues[Lot Number],$B152))</f>
        <v>10</v>
      </c>
      <c r="J152" s="31" t="str">
        <f>IF($A152="","",IF('Lot Balance'!$O151&lt;=0,"Depleted",'Lot Balance'!$Q151))</f>
        <v>Depleted</v>
      </c>
    </row>
    <row r="153" spans="1:10" x14ac:dyDescent="0.35">
      <c r="A153" s="18" t="str">
        <f>IF('Lot Balance'!$A152="","",'Lot Balance'!$A152)</f>
        <v>Gloves - Large</v>
      </c>
      <c r="B153" s="18" t="str">
        <f>IF($A153="","",'Lot Balance'!$B152)</f>
        <v>ZIM511139904-3</v>
      </c>
      <c r="C153" s="18" t="str">
        <f>IF($A153="","",'Lot Balance'!$C152)</f>
        <v>Gloves</v>
      </c>
      <c r="D153" s="25">
        <f>IF($A153="","",'Lot Balance'!$G152)</f>
        <v>46156</v>
      </c>
      <c r="E153" s="25">
        <f>IF($A153="","",'Lot Balance'!$H152)</f>
        <v>46340</v>
      </c>
      <c r="F153" s="23">
        <f ca="1">IF($A153="","",'Lot Balance'!$I152)</f>
        <v>102</v>
      </c>
      <c r="G153" s="23">
        <f>IF($A153="","",'Lot Balance'!$O152)</f>
        <v>0</v>
      </c>
      <c r="H153" s="33">
        <f>IF($A153="","",'Lot Balance'!$P152)</f>
        <v>0</v>
      </c>
      <c r="I153" s="26">
        <f>IF($A153="","",COUNTIFS(tblIssues[Lot Number],$B153))</f>
        <v>20</v>
      </c>
      <c r="J153" s="31" t="str">
        <f>IF($A153="","",IF('Lot Balance'!$O152&lt;=0,"Depleted",'Lot Balance'!$Q152))</f>
        <v>Depleted</v>
      </c>
    </row>
    <row r="154" spans="1:10" x14ac:dyDescent="0.35">
      <c r="A154" s="18" t="str">
        <f>IF('Lot Balance'!$A153="","",'Lot Balance'!$A153)</f>
        <v>Surgical Masks</v>
      </c>
      <c r="B154" s="18" t="str">
        <f>IF($A154="","",'Lot Balance'!$B153)</f>
        <v>24HA2050A7396</v>
      </c>
      <c r="C154" s="18" t="str">
        <f>IF($A154="","",'Lot Balance'!$C153)</f>
        <v>Masks</v>
      </c>
      <c r="D154" s="25">
        <f>IF($A154="","",'Lot Balance'!$G153)</f>
        <v>46156</v>
      </c>
      <c r="E154" s="25">
        <f>IF($A154="","",'Lot Balance'!$H153)</f>
        <v>46246</v>
      </c>
      <c r="F154" s="23">
        <f ca="1">IF($A154="","",'Lot Balance'!$I153)</f>
        <v>8</v>
      </c>
      <c r="G154" s="23">
        <f>IF($A154="","",'Lot Balance'!$O153)</f>
        <v>0</v>
      </c>
      <c r="H154" s="33">
        <f>IF($A154="","",'Lot Balance'!$P153)</f>
        <v>0</v>
      </c>
      <c r="I154" s="26">
        <f>IF($A154="","",COUNTIFS(tblIssues[Lot Number],$B154))</f>
        <v>60</v>
      </c>
      <c r="J154" s="31" t="str">
        <f>IF($A154="","",IF('Lot Balance'!$O153&lt;=0,"Depleted",'Lot Balance'!$Q153))</f>
        <v>Depleted</v>
      </c>
    </row>
    <row r="155" spans="1:10" x14ac:dyDescent="0.35">
      <c r="A155" s="18" t="str">
        <f>IF('Lot Balance'!$A154="","",'Lot Balance'!$A154)</f>
        <v>Hand Sanitizer OS</v>
      </c>
      <c r="B155" s="18" t="str">
        <f>IF($A155="","",'Lot Balance'!$B154)</f>
        <v>20-21734-4</v>
      </c>
      <c r="C155" s="18" t="str">
        <f>IF($A155="","",'Lot Balance'!$C154)</f>
        <v>Sanitizer</v>
      </c>
      <c r="D155" s="25">
        <f>IF($A155="","",'Lot Balance'!$G154)</f>
        <v>46156</v>
      </c>
      <c r="E155" s="25">
        <f>IF($A155="","",'Lot Balance'!$H154)</f>
        <v>46811</v>
      </c>
      <c r="F155" s="23">
        <f ca="1">IF($A155="","",'Lot Balance'!$I154)</f>
        <v>573</v>
      </c>
      <c r="G155" s="23">
        <f>IF($A155="","",'Lot Balance'!$O154)</f>
        <v>0</v>
      </c>
      <c r="H155" s="33">
        <f>IF($A155="","",'Lot Balance'!$P154)</f>
        <v>0</v>
      </c>
      <c r="I155" s="26">
        <f>IF($A155="","",COUNTIFS(tblIssues[Lot Number],$B155))</f>
        <v>60</v>
      </c>
      <c r="J155" s="31" t="str">
        <f>IF($A155="","",IF('Lot Balance'!$O154&lt;=0,"Depleted",'Lot Balance'!$Q154))</f>
        <v>Depleted</v>
      </c>
    </row>
    <row r="156" spans="1:10" x14ac:dyDescent="0.35">
      <c r="A156" s="18" t="str">
        <f>IF('Lot Balance'!$A155="","",'Lot Balance'!$A155)</f>
        <v>Gloves - Medium</v>
      </c>
      <c r="B156" s="18" t="str">
        <f>IF($A156="","",'Lot Balance'!$B155)</f>
        <v>ZIM510137964</v>
      </c>
      <c r="C156" s="18" t="str">
        <f>IF($A156="","",'Lot Balance'!$C155)</f>
        <v>Gloves</v>
      </c>
      <c r="D156" s="25">
        <f>IF($A156="","",'Lot Balance'!$G155)</f>
        <v>46168</v>
      </c>
      <c r="E156" s="25">
        <f>IF($A156="","",'Lot Balance'!$H155)</f>
        <v>46352</v>
      </c>
      <c r="F156" s="23">
        <f ca="1">IF($A156="","",'Lot Balance'!$I155)</f>
        <v>114</v>
      </c>
      <c r="G156" s="23">
        <f>IF($A156="","",'Lot Balance'!$O155)</f>
        <v>0</v>
      </c>
      <c r="H156" s="33">
        <f>IF($A156="","",'Lot Balance'!$P155)</f>
        <v>0</v>
      </c>
      <c r="I156" s="26">
        <f>IF($A156="","",COUNTIFS(tblIssues[Lot Number],$B156))</f>
        <v>10</v>
      </c>
      <c r="J156" s="31" t="str">
        <f>IF($A156="","",IF('Lot Balance'!$O155&lt;=0,"Depleted",'Lot Balance'!$Q155))</f>
        <v>Depleted</v>
      </c>
    </row>
    <row r="157" spans="1:10" x14ac:dyDescent="0.35">
      <c r="A157" s="18" t="str">
        <f>IF('Lot Balance'!$A156="","",'Lot Balance'!$A156)</f>
        <v>Gloves - Small</v>
      </c>
      <c r="B157" s="18" t="str">
        <f>IF($A157="","",'Lot Balance'!$B156)</f>
        <v>ZIM502120291</v>
      </c>
      <c r="C157" s="18" t="str">
        <f>IF($A157="","",'Lot Balance'!$C156)</f>
        <v>Gloves</v>
      </c>
      <c r="D157" s="25">
        <f>IF($A157="","",'Lot Balance'!$G156)</f>
        <v>46168</v>
      </c>
      <c r="E157" s="25">
        <f>IF($A157="","",'Lot Balance'!$H156)</f>
        <v>46352</v>
      </c>
      <c r="F157" s="23">
        <f ca="1">IF($A157="","",'Lot Balance'!$I156)</f>
        <v>114</v>
      </c>
      <c r="G157" s="23">
        <f>IF($A157="","",'Lot Balance'!$O156)</f>
        <v>0</v>
      </c>
      <c r="H157" s="33">
        <f>IF($A157="","",'Lot Balance'!$P156)</f>
        <v>0</v>
      </c>
      <c r="I157" s="26">
        <f>IF($A157="","",COUNTIFS(tblIssues[Lot Number],$B157))</f>
        <v>10</v>
      </c>
      <c r="J157" s="31" t="str">
        <f>IF($A157="","",IF('Lot Balance'!$O156&lt;=0,"Depleted",'Lot Balance'!$Q156))</f>
        <v>Depleted</v>
      </c>
    </row>
    <row r="158" spans="1:10" x14ac:dyDescent="0.35">
      <c r="A158" s="18" t="str">
        <f>IF('Lot Balance'!$A157="","",'Lot Balance'!$A157)</f>
        <v>Gloves - Large</v>
      </c>
      <c r="B158" s="18" t="str">
        <f>IF($A158="","",'Lot Balance'!$B157)</f>
        <v>ZIM511139904-3</v>
      </c>
      <c r="C158" s="18" t="str">
        <f>IF($A158="","",'Lot Balance'!$C157)</f>
        <v>Gloves</v>
      </c>
      <c r="D158" s="25">
        <f>IF($A158="","",'Lot Balance'!$G157)</f>
        <v>46168</v>
      </c>
      <c r="E158" s="25">
        <f>IF($A158="","",'Lot Balance'!$H157)</f>
        <v>46352</v>
      </c>
      <c r="F158" s="23">
        <f ca="1">IF($A158="","",'Lot Balance'!$I157)</f>
        <v>114</v>
      </c>
      <c r="G158" s="23">
        <f>IF($A158="","",'Lot Balance'!$O157)</f>
        <v>0</v>
      </c>
      <c r="H158" s="33">
        <f>IF($A158="","",'Lot Balance'!$P157)</f>
        <v>0</v>
      </c>
      <c r="I158" s="26">
        <f>IF($A158="","",COUNTIFS(tblIssues[Lot Number],$B158))</f>
        <v>20</v>
      </c>
      <c r="J158" s="31" t="str">
        <f>IF($A158="","",IF('Lot Balance'!$O157&lt;=0,"Depleted",'Lot Balance'!$Q157))</f>
        <v>Depleted</v>
      </c>
    </row>
    <row r="159" spans="1:10" x14ac:dyDescent="0.35">
      <c r="A159" s="18" t="str">
        <f>IF('Lot Balance'!$A158="","",'Lot Balance'!$A158)</f>
        <v>Shoe Covers</v>
      </c>
      <c r="B159" s="18">
        <f>IF($A159="","",'Lot Balance'!$B158)</f>
        <v>3024</v>
      </c>
      <c r="C159" s="18" t="str">
        <f>IF($A159="","",'Lot Balance'!$C158)</f>
        <v>IPAC</v>
      </c>
      <c r="D159" s="25">
        <f>IF($A159="","",'Lot Balance'!$G158)</f>
        <v>46169</v>
      </c>
      <c r="E159" s="25">
        <f>IF($A159="","",'Lot Balance'!$H158)</f>
        <v>46718</v>
      </c>
      <c r="F159" s="23">
        <f ca="1">IF($A159="","",'Lot Balance'!$I158)</f>
        <v>480</v>
      </c>
      <c r="G159" s="23">
        <f>IF($A159="","",'Lot Balance'!$O158)</f>
        <v>0</v>
      </c>
      <c r="H159" s="33">
        <f>IF($A159="","",'Lot Balance'!$P158)</f>
        <v>0</v>
      </c>
      <c r="I159" s="26">
        <f>IF($A159="","",COUNTIFS(tblIssues[Lot Number],$B159))</f>
        <v>11</v>
      </c>
      <c r="J159" s="31" t="str">
        <f>IF($A159="","",IF('Lot Balance'!$O158&lt;=0,"Depleted",'Lot Balance'!$Q158))</f>
        <v>Depleted</v>
      </c>
    </row>
    <row r="160" spans="1:10" x14ac:dyDescent="0.35">
      <c r="A160" s="18" t="str">
        <f>IF('Lot Balance'!$A159="","",'Lot Balance'!$A159)</f>
        <v>Hand Sanitizer OS</v>
      </c>
      <c r="B160" s="18" t="str">
        <f>IF($A160="","",'Lot Balance'!$B159)</f>
        <v>20-21734-4</v>
      </c>
      <c r="C160" s="18" t="str">
        <f>IF($A160="","",'Lot Balance'!$C159)</f>
        <v>Sanitizer</v>
      </c>
      <c r="D160" s="25">
        <f>IF($A160="","",'Lot Balance'!$G159)</f>
        <v>46169</v>
      </c>
      <c r="E160" s="25">
        <f>IF($A160="","",'Lot Balance'!$H159)</f>
        <v>46811</v>
      </c>
      <c r="F160" s="23">
        <f ca="1">IF($A160="","",'Lot Balance'!$I159)</f>
        <v>573</v>
      </c>
      <c r="G160" s="23">
        <f>IF($A160="","",'Lot Balance'!$O159)</f>
        <v>0</v>
      </c>
      <c r="H160" s="33">
        <f>IF($A160="","",'Lot Balance'!$P159)</f>
        <v>0</v>
      </c>
      <c r="I160" s="26">
        <f>IF($A160="","",COUNTIFS(tblIssues[Lot Number],$B160))</f>
        <v>60</v>
      </c>
      <c r="J160" s="31" t="str">
        <f>IF($A160="","",IF('Lot Balance'!$O159&lt;=0,"Depleted",'Lot Balance'!$Q159))</f>
        <v>Depleted</v>
      </c>
    </row>
    <row r="161" spans="1:10" x14ac:dyDescent="0.35">
      <c r="A161" s="18" t="str">
        <f>IF('Lot Balance'!$A160="","",'Lot Balance'!$A160)</f>
        <v>Gloves - Medium</v>
      </c>
      <c r="B161" s="18" t="str">
        <f>IF($A161="","",'Lot Balance'!$B160)</f>
        <v>315JIC25</v>
      </c>
      <c r="C161" s="18" t="str">
        <f>IF($A161="","",'Lot Balance'!$C160)</f>
        <v>Gloves</v>
      </c>
      <c r="D161" s="25">
        <f>IF($A161="","",'Lot Balance'!$G160)</f>
        <v>46169</v>
      </c>
      <c r="E161" s="25">
        <f>IF($A161="","",'Lot Balance'!$H160)</f>
        <v>46353</v>
      </c>
      <c r="F161" s="23">
        <f ca="1">IF($A161="","",'Lot Balance'!$I160)</f>
        <v>115</v>
      </c>
      <c r="G161" s="23">
        <f>IF($A161="","",'Lot Balance'!$O160)</f>
        <v>0</v>
      </c>
      <c r="H161" s="33">
        <f>IF($A161="","",'Lot Balance'!$P160)</f>
        <v>0</v>
      </c>
      <c r="I161" s="26">
        <f>IF($A161="","",COUNTIFS(tblIssues[Lot Number],$B161))</f>
        <v>5</v>
      </c>
      <c r="J161" s="31" t="str">
        <f>IF($A161="","",IF('Lot Balance'!$O160&lt;=0,"Depleted",'Lot Balance'!$Q160))</f>
        <v>Depleted</v>
      </c>
    </row>
    <row r="162" spans="1:10" x14ac:dyDescent="0.35">
      <c r="A162" s="18" t="str">
        <f>IF('Lot Balance'!$A161="","",'Lot Balance'!$A161)</f>
        <v>Gloves - Medium</v>
      </c>
      <c r="B162" s="18" t="str">
        <f>IF($A162="","",'Lot Balance'!$B161)</f>
        <v>ZIM510137962-1</v>
      </c>
      <c r="C162" s="18" t="str">
        <f>IF($A162="","",'Lot Balance'!$C161)</f>
        <v>Gloves</v>
      </c>
      <c r="D162" s="25">
        <f>IF($A162="","",'Lot Balance'!$G161)</f>
        <v>46181</v>
      </c>
      <c r="E162" s="25">
        <f>IF($A162="","",'Lot Balance'!$H161)</f>
        <v>46364</v>
      </c>
      <c r="F162" s="23">
        <f ca="1">IF($A162="","",'Lot Balance'!$I161)</f>
        <v>126</v>
      </c>
      <c r="G162" s="23">
        <f>IF($A162="","",'Lot Balance'!$O161)</f>
        <v>0</v>
      </c>
      <c r="H162" s="33">
        <f>IF($A162="","",'Lot Balance'!$P161)</f>
        <v>0</v>
      </c>
      <c r="I162" s="26">
        <f>IF($A162="","",COUNTIFS(tblIssues[Lot Number],$B162))</f>
        <v>15</v>
      </c>
      <c r="J162" s="31" t="str">
        <f>IF($A162="","",IF('Lot Balance'!$O161&lt;=0,"Depleted",'Lot Balance'!$Q161))</f>
        <v>Depleted</v>
      </c>
    </row>
    <row r="163" spans="1:10" x14ac:dyDescent="0.35">
      <c r="A163" s="18" t="str">
        <f>IF('Lot Balance'!$A162="","",'Lot Balance'!$A162)</f>
        <v>Gloves - Small</v>
      </c>
      <c r="B163" s="18" t="str">
        <f>IF($A163="","",'Lot Balance'!$B162)</f>
        <v>ZIM601144366-0</v>
      </c>
      <c r="C163" s="18" t="str">
        <f>IF($A163="","",'Lot Balance'!$C162)</f>
        <v>Gloves</v>
      </c>
      <c r="D163" s="25">
        <f>IF($A163="","",'Lot Balance'!$G162)</f>
        <v>46181</v>
      </c>
      <c r="E163" s="25">
        <f>IF($A163="","",'Lot Balance'!$H162)</f>
        <v>46364</v>
      </c>
      <c r="F163" s="23">
        <f ca="1">IF($A163="","",'Lot Balance'!$I162)</f>
        <v>126</v>
      </c>
      <c r="G163" s="23">
        <f>IF($A163="","",'Lot Balance'!$O162)</f>
        <v>0</v>
      </c>
      <c r="H163" s="33">
        <f>IF($A163="","",'Lot Balance'!$P162)</f>
        <v>0</v>
      </c>
      <c r="I163" s="26">
        <f>IF($A163="","",COUNTIFS(tblIssues[Lot Number],$B163))</f>
        <v>5</v>
      </c>
      <c r="J163" s="31" t="str">
        <f>IF($A163="","",IF('Lot Balance'!$O162&lt;=0,"Depleted",'Lot Balance'!$Q162))</f>
        <v>Depleted</v>
      </c>
    </row>
    <row r="164" spans="1:10" x14ac:dyDescent="0.35">
      <c r="A164" s="18" t="str">
        <f>IF('Lot Balance'!$A163="","",'Lot Balance'!$A163)</f>
        <v>Gloves - Medium</v>
      </c>
      <c r="B164" s="18" t="str">
        <f>IF($A164="","",'Lot Balance'!$B163)</f>
        <v>ZIM510137962-2</v>
      </c>
      <c r="C164" s="18" t="str">
        <f>IF($A164="","",'Lot Balance'!$C163)</f>
        <v>Gloves</v>
      </c>
      <c r="D164" s="25">
        <f>IF($A164="","",'Lot Balance'!$G163)</f>
        <v>46181</v>
      </c>
      <c r="E164" s="25">
        <f>IF($A164="","",'Lot Balance'!$H163)</f>
        <v>46364</v>
      </c>
      <c r="F164" s="23">
        <f ca="1">IF($A164="","",'Lot Balance'!$I163)</f>
        <v>126</v>
      </c>
      <c r="G164" s="23">
        <f>IF($A164="","",'Lot Balance'!$O163)</f>
        <v>0</v>
      </c>
      <c r="H164" s="33">
        <f>IF($A164="","",'Lot Balance'!$P163)</f>
        <v>0</v>
      </c>
      <c r="I164" s="26">
        <f>IF($A164="","",COUNTIFS(tblIssues[Lot Number],$B164))</f>
        <v>25</v>
      </c>
      <c r="J164" s="31" t="str">
        <f>IF($A164="","",IF('Lot Balance'!$O163&lt;=0,"Depleted",'Lot Balance'!$Q163))</f>
        <v>Depleted</v>
      </c>
    </row>
    <row r="165" spans="1:10" x14ac:dyDescent="0.35">
      <c r="A165" s="18" t="str">
        <f>IF('Lot Balance'!$A164="","",'Lot Balance'!$A164)</f>
        <v>Gloves - Small</v>
      </c>
      <c r="B165" s="18" t="str">
        <f>IF($A165="","",'Lot Balance'!$B164)</f>
        <v>ZIM601144366-1</v>
      </c>
      <c r="C165" s="18" t="str">
        <f>IF($A165="","",'Lot Balance'!$C164)</f>
        <v>Gloves</v>
      </c>
      <c r="D165" s="25">
        <f>IF($A165="","",'Lot Balance'!$G164)</f>
        <v>46181</v>
      </c>
      <c r="E165" s="25">
        <f>IF($A165="","",'Lot Balance'!$H164)</f>
        <v>46364</v>
      </c>
      <c r="F165" s="23">
        <f ca="1">IF($A165="","",'Lot Balance'!$I164)</f>
        <v>126</v>
      </c>
      <c r="G165" s="23">
        <f>IF($A165="","",'Lot Balance'!$O164)</f>
        <v>2450</v>
      </c>
      <c r="H165" s="33">
        <f>IF($A165="","",'Lot Balance'!$P164)</f>
        <v>134.75</v>
      </c>
      <c r="I165" s="26">
        <f>IF($A165="","",COUNTIFS(tblIssues[Lot Number],$B165))</f>
        <v>10</v>
      </c>
      <c r="J165" s="31" t="str">
        <f ca="1">IF($A165="","",IF('Lot Balance'!$O164&lt;=0,"Depleted",'Lot Balance'!$Q164))</f>
        <v>Expiring</v>
      </c>
    </row>
    <row r="166" spans="1:10" x14ac:dyDescent="0.35">
      <c r="A166" s="18" t="str">
        <f>IF('Lot Balance'!$A165="","",'Lot Balance'!$A165)</f>
        <v>Gloves - Large</v>
      </c>
      <c r="B166" s="18" t="str">
        <f>IF($A166="","",'Lot Balance'!$B165)</f>
        <v>ZIM512142081</v>
      </c>
      <c r="C166" s="18" t="str">
        <f>IF($A166="","",'Lot Balance'!$C165)</f>
        <v>Gloves</v>
      </c>
      <c r="D166" s="25">
        <f>IF($A166="","",'Lot Balance'!$G165)</f>
        <v>46181</v>
      </c>
      <c r="E166" s="25">
        <f>IF($A166="","",'Lot Balance'!$H165)</f>
        <v>46364</v>
      </c>
      <c r="F166" s="23">
        <f ca="1">IF($A166="","",'Lot Balance'!$I165)</f>
        <v>126</v>
      </c>
      <c r="G166" s="23">
        <f>IF($A166="","",'Lot Balance'!$O165)</f>
        <v>2750</v>
      </c>
      <c r="H166" s="33">
        <f>IF($A166="","",'Lot Balance'!$P165)</f>
        <v>151.25</v>
      </c>
      <c r="I166" s="26">
        <f>IF($A166="","",COUNTIFS(tblIssues[Lot Number],$B166))</f>
        <v>4</v>
      </c>
      <c r="J166" s="31" t="str">
        <f ca="1">IF($A166="","",IF('Lot Balance'!$O165&lt;=0,"Depleted",'Lot Balance'!$Q165))</f>
        <v>Expiring</v>
      </c>
    </row>
    <row r="167" spans="1:10" x14ac:dyDescent="0.35">
      <c r="A167" s="18" t="str">
        <f>IF('Lot Balance'!$A166="","",'Lot Balance'!$A166)</f>
        <v>Gloves - Medium</v>
      </c>
      <c r="B167" s="18" t="str">
        <f>IF($A167="","",'Lot Balance'!$B166)</f>
        <v>O310LIC25</v>
      </c>
      <c r="C167" s="18" t="str">
        <f>IF($A167="","",'Lot Balance'!$C166)</f>
        <v>Gloves</v>
      </c>
      <c r="D167" s="25">
        <f>IF($A167="","",'Lot Balance'!$G166)</f>
        <v>46181</v>
      </c>
      <c r="E167" s="25">
        <f>IF($A167="","",'Lot Balance'!$H166)</f>
        <v>46364</v>
      </c>
      <c r="F167" s="23">
        <f ca="1">IF($A167="","",'Lot Balance'!$I166)</f>
        <v>126</v>
      </c>
      <c r="G167" s="23">
        <f>IF($A167="","",'Lot Balance'!$O166)</f>
        <v>0</v>
      </c>
      <c r="H167" s="33">
        <f>IF($A167="","",'Lot Balance'!$P166)</f>
        <v>0</v>
      </c>
      <c r="I167" s="26">
        <f>IF($A167="","",COUNTIFS(tblIssues[Lot Number],$B167))</f>
        <v>10</v>
      </c>
      <c r="J167" s="31" t="str">
        <f>IF($A167="","",IF('Lot Balance'!$O166&lt;=0,"Depleted",'Lot Balance'!$Q166))</f>
        <v>Depleted</v>
      </c>
    </row>
    <row r="168" spans="1:10" x14ac:dyDescent="0.35">
      <c r="A168" s="18" t="str">
        <f>IF('Lot Balance'!$A167="","",'Lot Balance'!$A167)</f>
        <v>Gloves - Small</v>
      </c>
      <c r="B168" s="18" t="str">
        <f>IF($A168="","",'Lot Balance'!$B167)</f>
        <v>ZIM510137942</v>
      </c>
      <c r="C168" s="18" t="str">
        <f>IF($A168="","",'Lot Balance'!$C167)</f>
        <v>Gloves</v>
      </c>
      <c r="D168" s="25">
        <f>IF($A168="","",'Lot Balance'!$G167)</f>
        <v>46181</v>
      </c>
      <c r="E168" s="25">
        <f>IF($A168="","",'Lot Balance'!$H167)</f>
        <v>46364</v>
      </c>
      <c r="F168" s="23">
        <f ca="1">IF($A168="","",'Lot Balance'!$I167)</f>
        <v>126</v>
      </c>
      <c r="G168" s="23">
        <f>IF($A168="","",'Lot Balance'!$O167)</f>
        <v>0</v>
      </c>
      <c r="H168" s="33">
        <f>IF($A168="","",'Lot Balance'!$P167)</f>
        <v>0</v>
      </c>
      <c r="I168" s="26">
        <f>IF($A168="","",COUNTIFS(tblIssues[Lot Number],$B168))</f>
        <v>5</v>
      </c>
      <c r="J168" s="31" t="str">
        <f>IF($A168="","",IF('Lot Balance'!$O167&lt;=0,"Depleted",'Lot Balance'!$Q167))</f>
        <v>Depleted</v>
      </c>
    </row>
    <row r="169" spans="1:10" x14ac:dyDescent="0.35">
      <c r="A169" s="18" t="str">
        <f>IF('Lot Balance'!$A168="","",'Lot Balance'!$A168)</f>
        <v>Gloves - Large</v>
      </c>
      <c r="B169" s="18" t="str">
        <f>IF($A169="","",'Lot Balance'!$B168)</f>
        <v>O17103</v>
      </c>
      <c r="C169" s="18" t="str">
        <f>IF($A169="","",'Lot Balance'!$C168)</f>
        <v>Gloves</v>
      </c>
      <c r="D169" s="25">
        <f>IF($A169="","",'Lot Balance'!$G168)</f>
        <v>46181</v>
      </c>
      <c r="E169" s="25">
        <f>IF($A169="","",'Lot Balance'!$H168)</f>
        <v>46364</v>
      </c>
      <c r="F169" s="23">
        <f ca="1">IF($A169="","",'Lot Balance'!$I168)</f>
        <v>126</v>
      </c>
      <c r="G169" s="23">
        <f>IF($A169="","",'Lot Balance'!$O168)</f>
        <v>0</v>
      </c>
      <c r="H169" s="33">
        <f>IF($A169="","",'Lot Balance'!$P168)</f>
        <v>0</v>
      </c>
      <c r="I169" s="26">
        <f>IF($A169="","",COUNTIFS(tblIssues[Lot Number],$B169))</f>
        <v>5</v>
      </c>
      <c r="J169" s="31" t="str">
        <f>IF($A169="","",IF('Lot Balance'!$O168&lt;=0,"Depleted",'Lot Balance'!$Q168))</f>
        <v>Depleted</v>
      </c>
    </row>
    <row r="170" spans="1:10" x14ac:dyDescent="0.35">
      <c r="A170" s="18" t="str">
        <f>IF('Lot Balance'!$A169="","",'Lot Balance'!$A169)</f>
        <v>Hand Sanitizer OS</v>
      </c>
      <c r="B170" s="18" t="str">
        <f>IF($A170="","",'Lot Balance'!$B169)</f>
        <v>20-21734-5</v>
      </c>
      <c r="C170" s="18" t="str">
        <f>IF($A170="","",'Lot Balance'!$C169)</f>
        <v>Sanitizer</v>
      </c>
      <c r="D170" s="25">
        <f>IF($A170="","",'Lot Balance'!$G169)</f>
        <v>46181</v>
      </c>
      <c r="E170" s="25">
        <f>IF($A170="","",'Lot Balance'!$H169)</f>
        <v>46811</v>
      </c>
      <c r="F170" s="23">
        <f ca="1">IF($A170="","",'Lot Balance'!$I169)</f>
        <v>573</v>
      </c>
      <c r="G170" s="23">
        <f>IF($A170="","",'Lot Balance'!$O169)</f>
        <v>0</v>
      </c>
      <c r="H170" s="33">
        <f>IF($A170="","",'Lot Balance'!$P169)</f>
        <v>0</v>
      </c>
      <c r="I170" s="26">
        <f>IF($A170="","",COUNTIFS(tblIssues[Lot Number],$B170))</f>
        <v>36</v>
      </c>
      <c r="J170" s="31" t="str">
        <f>IF($A170="","",IF('Lot Balance'!$O169&lt;=0,"Depleted",'Lot Balance'!$Q169))</f>
        <v>Depleted</v>
      </c>
    </row>
    <row r="171" spans="1:10" x14ac:dyDescent="0.35">
      <c r="A171" s="18" t="str">
        <f>IF('Lot Balance'!$A170="","",'Lot Balance'!$A170)</f>
        <v>Gloves - Medium</v>
      </c>
      <c r="B171" s="18" t="str">
        <f>IF($A171="","",'Lot Balance'!$B170)</f>
        <v>ZIM604151579</v>
      </c>
      <c r="C171" s="18" t="str">
        <f>IF($A171="","",'Lot Balance'!$C170)</f>
        <v>Gloves</v>
      </c>
      <c r="D171" s="25">
        <f>IF($A171="","",'Lot Balance'!$G170)</f>
        <v>46190</v>
      </c>
      <c r="E171" s="25">
        <f>IF($A171="","",'Lot Balance'!$H170)</f>
        <v>46373</v>
      </c>
      <c r="F171" s="23">
        <f ca="1">IF($A171="","",'Lot Balance'!$I170)</f>
        <v>135</v>
      </c>
      <c r="G171" s="23">
        <f>IF($A171="","",'Lot Balance'!$O170)</f>
        <v>0</v>
      </c>
      <c r="H171" s="33">
        <f>IF($A171="","",'Lot Balance'!$P170)</f>
        <v>0</v>
      </c>
      <c r="I171" s="26">
        <f>IF($A171="","",COUNTIFS(tblIssues[Lot Number],$B171))</f>
        <v>25</v>
      </c>
      <c r="J171" s="31" t="str">
        <f>IF($A171="","",IF('Lot Balance'!$O170&lt;=0,"Depleted",'Lot Balance'!$Q170))</f>
        <v>Depleted</v>
      </c>
    </row>
    <row r="172" spans="1:10" x14ac:dyDescent="0.35">
      <c r="A172" s="18" t="str">
        <f>IF('Lot Balance'!$A171="","",'Lot Balance'!$A171)</f>
        <v>Gloves - Small</v>
      </c>
      <c r="B172" s="18" t="str">
        <f>IF($A172="","",'Lot Balance'!$B171)</f>
        <v>ZIM604151579-S</v>
      </c>
      <c r="C172" s="18" t="str">
        <f>IF($A172="","",'Lot Balance'!$C171)</f>
        <v>Gloves</v>
      </c>
      <c r="D172" s="25">
        <f>IF($A172="","",'Lot Balance'!$G171)</f>
        <v>46190</v>
      </c>
      <c r="E172" s="25">
        <f>IF($A172="","",'Lot Balance'!$H171)</f>
        <v>46373</v>
      </c>
      <c r="F172" s="23">
        <f ca="1">IF($A172="","",'Lot Balance'!$I171)</f>
        <v>135</v>
      </c>
      <c r="G172" s="23">
        <f>IF($A172="","",'Lot Balance'!$O171)</f>
        <v>5000</v>
      </c>
      <c r="H172" s="33">
        <f>IF($A172="","",'Lot Balance'!$P171)</f>
        <v>275</v>
      </c>
      <c r="I172" s="26">
        <f>IF($A172="","",COUNTIFS(tblIssues[Lot Number],$B172))</f>
        <v>0</v>
      </c>
      <c r="J172" s="31" t="str">
        <f ca="1">IF($A172="","",IF('Lot Balance'!$O171&lt;=0,"Depleted",'Lot Balance'!$Q171))</f>
        <v>Expiring</v>
      </c>
    </row>
    <row r="173" spans="1:10" x14ac:dyDescent="0.35">
      <c r="A173" s="18" t="str">
        <f>IF('Lot Balance'!$A172="","",'Lot Balance'!$A172)</f>
        <v>Gloves - Large</v>
      </c>
      <c r="B173" s="18" t="str">
        <f>IF($A173="","",'Lot Balance'!$B172)</f>
        <v>ZIM512142081-1</v>
      </c>
      <c r="C173" s="18" t="str">
        <f>IF($A173="","",'Lot Balance'!$C172)</f>
        <v>Gloves</v>
      </c>
      <c r="D173" s="25">
        <f>IF($A173="","",'Lot Balance'!$G172)</f>
        <v>46190</v>
      </c>
      <c r="E173" s="25">
        <f>IF($A173="","",'Lot Balance'!$H172)</f>
        <v>46373</v>
      </c>
      <c r="F173" s="23">
        <f ca="1">IF($A173="","",'Lot Balance'!$I172)</f>
        <v>135</v>
      </c>
      <c r="G173" s="23">
        <f>IF($A173="","",'Lot Balance'!$O172)</f>
        <v>5000</v>
      </c>
      <c r="H173" s="33">
        <f>IF($A173="","",'Lot Balance'!$P172)</f>
        <v>275</v>
      </c>
      <c r="I173" s="26">
        <f>IF($A173="","",COUNTIFS(tblIssues[Lot Number],$B173))</f>
        <v>0</v>
      </c>
      <c r="J173" s="31" t="str">
        <f ca="1">IF($A173="","",IF('Lot Balance'!$O172&lt;=0,"Depleted",'Lot Balance'!$Q172))</f>
        <v>Expiring</v>
      </c>
    </row>
    <row r="174" spans="1:10" x14ac:dyDescent="0.35">
      <c r="A174" s="18" t="str">
        <f>IF('Lot Balance'!$A173="","",'Lot Balance'!$A173)</f>
        <v>Gloves - Medium</v>
      </c>
      <c r="B174" s="18" t="str">
        <f>IF($A174="","",'Lot Balance'!$B173)</f>
        <v>ZIM511139896</v>
      </c>
      <c r="C174" s="18" t="str">
        <f>IF($A174="","",'Lot Balance'!$C173)</f>
        <v>Gloves</v>
      </c>
      <c r="D174" s="25">
        <f>IF($A174="","",'Lot Balance'!$G173)</f>
        <v>46191</v>
      </c>
      <c r="E174" s="25">
        <f>IF($A174="","",'Lot Balance'!$H173)</f>
        <v>46374</v>
      </c>
      <c r="F174" s="23">
        <f ca="1">IF($A174="","",'Lot Balance'!$I173)</f>
        <v>136</v>
      </c>
      <c r="G174" s="23">
        <f>IF($A174="","",'Lot Balance'!$O173)</f>
        <v>0</v>
      </c>
      <c r="H174" s="33">
        <f>IF($A174="","",'Lot Balance'!$P173)</f>
        <v>0</v>
      </c>
      <c r="I174" s="26">
        <f>IF($A174="","",COUNTIFS(tblIssues[Lot Number],$B174))</f>
        <v>5</v>
      </c>
      <c r="J174" s="31" t="str">
        <f>IF($A174="","",IF('Lot Balance'!$O173&lt;=0,"Depleted",'Lot Balance'!$Q173))</f>
        <v>Depleted</v>
      </c>
    </row>
    <row r="175" spans="1:10" x14ac:dyDescent="0.35">
      <c r="A175" s="18" t="str">
        <f>IF('Lot Balance'!$A174="","",'Lot Balance'!$A174)</f>
        <v>Disinfectant Wipes OS</v>
      </c>
      <c r="B175" s="18" t="str">
        <f>IF($A175="","",'Lot Balance'!$B174)</f>
        <v>22625VXO7</v>
      </c>
      <c r="C175" s="18" t="str">
        <f>IF($A175="","",'Lot Balance'!$C174)</f>
        <v>Wipes</v>
      </c>
      <c r="D175" s="25">
        <f>IF($A175="","",'Lot Balance'!$G174)</f>
        <v>46191</v>
      </c>
      <c r="E175" s="25">
        <f>IF($A175="","",'Lot Balance'!$H174)</f>
        <v>46784</v>
      </c>
      <c r="F175" s="23">
        <f ca="1">IF($A175="","",'Lot Balance'!$I174)</f>
        <v>546</v>
      </c>
      <c r="G175" s="23">
        <f>IF($A175="","",'Lot Balance'!$O174)</f>
        <v>799</v>
      </c>
      <c r="H175" s="33">
        <f>IF($A175="","",'Lot Balance'!$P174)</f>
        <v>0</v>
      </c>
      <c r="I175" s="26">
        <f>IF($A175="","",COUNTIFS(tblIssues[Lot Number],$B175))</f>
        <v>7</v>
      </c>
      <c r="J175" s="31" t="str">
        <f ca="1">IF($A175="","",IF('Lot Balance'!$O174&lt;=0,"Depleted",'Lot Balance'!$Q174))</f>
        <v>In date</v>
      </c>
    </row>
    <row r="176" spans="1:10" x14ac:dyDescent="0.35">
      <c r="A176" s="18" t="str">
        <f>IF('Lot Balance'!$A175="","",'Lot Balance'!$A175)</f>
        <v>Surgical Masks</v>
      </c>
      <c r="B176" s="18" t="str">
        <f>IF($A176="","",'Lot Balance'!$B175)</f>
        <v>102GPC24</v>
      </c>
      <c r="C176" s="18" t="str">
        <f>IF($A176="","",'Lot Balance'!$C175)</f>
        <v>Masks</v>
      </c>
      <c r="D176" s="25">
        <f>IF($A176="","",'Lot Balance'!$G175)</f>
        <v>46191</v>
      </c>
      <c r="E176" s="25">
        <f>IF($A176="","",'Lot Balance'!$H175)</f>
        <v>46233</v>
      </c>
      <c r="F176" s="23">
        <f ca="1">IF($A176="","",'Lot Balance'!$I175)</f>
        <v>-5</v>
      </c>
      <c r="G176" s="23">
        <f>IF($A176="","",'Lot Balance'!$O175)</f>
        <v>0</v>
      </c>
      <c r="H176" s="33">
        <f>IF($A176="","",'Lot Balance'!$P175)</f>
        <v>0</v>
      </c>
      <c r="I176" s="26">
        <f>IF($A176="","",COUNTIFS(tblIssues[Lot Number],$B176))</f>
        <v>60</v>
      </c>
      <c r="J176" s="31" t="str">
        <f>IF($A176="","",IF('Lot Balance'!$O175&lt;=0,"Depleted",'Lot Balance'!$Q175))</f>
        <v>Depleted</v>
      </c>
    </row>
    <row r="177" spans="1:10" x14ac:dyDescent="0.35">
      <c r="A177" s="18" t="str">
        <f>IF('Lot Balance'!$A176="","",'Lot Balance'!$A176)</f>
        <v>Hand Sanitizer OS</v>
      </c>
      <c r="B177" s="18" t="str">
        <f>IF($A177="","",'Lot Balance'!$B176)</f>
        <v>20-21734-6</v>
      </c>
      <c r="C177" s="18" t="str">
        <f>IF($A177="","",'Lot Balance'!$C176)</f>
        <v>Sanitizer</v>
      </c>
      <c r="D177" s="25">
        <f>IF($A177="","",'Lot Balance'!$G176)</f>
        <v>46191</v>
      </c>
      <c r="E177" s="25">
        <f>IF($A177="","",'Lot Balance'!$H176)</f>
        <v>46811</v>
      </c>
      <c r="F177" s="23">
        <f ca="1">IF($A177="","",'Lot Balance'!$I176)</f>
        <v>573</v>
      </c>
      <c r="G177" s="23">
        <f>IF($A177="","",'Lot Balance'!$O176)</f>
        <v>23</v>
      </c>
      <c r="H177" s="33">
        <f>IF($A177="","",'Lot Balance'!$P176)</f>
        <v>2.3E-3</v>
      </c>
      <c r="I177" s="26">
        <f>IF($A177="","",COUNTIFS(tblIssues[Lot Number],$B177))</f>
        <v>13</v>
      </c>
      <c r="J177" s="31" t="str">
        <f ca="1">IF($A177="","",IF('Lot Balance'!$O176&lt;=0,"Depleted",'Lot Balance'!$Q176))</f>
        <v>In date</v>
      </c>
    </row>
    <row r="178" spans="1:10" x14ac:dyDescent="0.35">
      <c r="A178" s="18" t="str">
        <f>IF('Lot Balance'!$A177="","",'Lot Balance'!$A177)</f>
        <v>Gloves - Medium</v>
      </c>
      <c r="B178" s="18" t="str">
        <f>IF($A178="","",'Lot Balance'!$B177)</f>
        <v>ZIM6044151580</v>
      </c>
      <c r="C178" s="18" t="str">
        <f>IF($A178="","",'Lot Balance'!$C177)</f>
        <v>Gloves</v>
      </c>
      <c r="D178" s="25">
        <f>IF($A178="","",'Lot Balance'!$G177)</f>
        <v>46211</v>
      </c>
      <c r="E178" s="25">
        <f>IF($A178="","",'Lot Balance'!$H177)</f>
        <v>46395</v>
      </c>
      <c r="F178" s="23">
        <f ca="1">IF($A178="","",'Lot Balance'!$I177)</f>
        <v>157</v>
      </c>
      <c r="G178" s="23">
        <f>IF($A178="","",'Lot Balance'!$O177)</f>
        <v>5700</v>
      </c>
      <c r="H178" s="33">
        <f>IF($A178="","",'Lot Balance'!$P177)</f>
        <v>313.5</v>
      </c>
      <c r="I178" s="26">
        <f>IF($A178="","",COUNTIFS(tblIssues[Lot Number],$B178))</f>
        <v>8</v>
      </c>
      <c r="J178" s="31" t="str">
        <f ca="1">IF($A178="","",IF('Lot Balance'!$O177&lt;=0,"Depleted",'Lot Balance'!$Q177))</f>
        <v>Expiring</v>
      </c>
    </row>
    <row r="179" spans="1:10" x14ac:dyDescent="0.35">
      <c r="A179" s="18" t="str">
        <f>IF('Lot Balance'!$A178="","",'Lot Balance'!$A178)</f>
        <v>Gloves - Small</v>
      </c>
      <c r="B179" s="18" t="str">
        <f>IF($A179="","",'Lot Balance'!$B178)</f>
        <v>ZIM511139904</v>
      </c>
      <c r="C179" s="18" t="str">
        <f>IF($A179="","",'Lot Balance'!$C178)</f>
        <v>Gloves</v>
      </c>
      <c r="D179" s="25">
        <f>IF($A179="","",'Lot Balance'!$G178)</f>
        <v>46211</v>
      </c>
      <c r="E179" s="25">
        <f>IF($A179="","",'Lot Balance'!$H178)</f>
        <v>46395</v>
      </c>
      <c r="F179" s="23">
        <f ca="1">IF($A179="","",'Lot Balance'!$I178)</f>
        <v>157</v>
      </c>
      <c r="G179" s="23">
        <f>IF($A179="","",'Lot Balance'!$O178)</f>
        <v>5000</v>
      </c>
      <c r="H179" s="33">
        <f>IF($A179="","",'Lot Balance'!$P178)</f>
        <v>275</v>
      </c>
      <c r="I179" s="26">
        <f>IF($A179="","",COUNTIFS(tblIssues[Lot Number],$B179))</f>
        <v>0</v>
      </c>
      <c r="J179" s="31" t="str">
        <f ca="1">IF($A179="","",IF('Lot Balance'!$O178&lt;=0,"Depleted",'Lot Balance'!$Q178))</f>
        <v>Expiring</v>
      </c>
    </row>
    <row r="180" spans="1:10" x14ac:dyDescent="0.35">
      <c r="A180" s="18" t="str">
        <f>IF('Lot Balance'!$A179="","",'Lot Balance'!$A179)</f>
        <v>Gloves - Large</v>
      </c>
      <c r="B180" s="18" t="str">
        <f>IF($A180="","",'Lot Balance'!$B179)</f>
        <v>ZIM512142080</v>
      </c>
      <c r="C180" s="18" t="str">
        <f>IF($A180="","",'Lot Balance'!$C179)</f>
        <v>Gloves</v>
      </c>
      <c r="D180" s="25">
        <f>IF($A180="","",'Lot Balance'!$G179)</f>
        <v>46211</v>
      </c>
      <c r="E180" s="25">
        <f>IF($A180="","",'Lot Balance'!$H179)</f>
        <v>46395</v>
      </c>
      <c r="F180" s="23">
        <f ca="1">IF($A180="","",'Lot Balance'!$I179)</f>
        <v>157</v>
      </c>
      <c r="G180" s="23">
        <f>IF($A180="","",'Lot Balance'!$O179)</f>
        <v>5000</v>
      </c>
      <c r="H180" s="33">
        <f>IF($A180="","",'Lot Balance'!$P179)</f>
        <v>275</v>
      </c>
      <c r="I180" s="26">
        <f>IF($A180="","",COUNTIFS(tblIssues[Lot Number],$B180))</f>
        <v>0</v>
      </c>
      <c r="J180" s="31" t="str">
        <f ca="1">IF($A180="","",IF('Lot Balance'!$O179&lt;=0,"Depleted",'Lot Balance'!$Q179))</f>
        <v>Expiring</v>
      </c>
    </row>
    <row r="181" spans="1:10" x14ac:dyDescent="0.35">
      <c r="A181" s="18" t="str">
        <f>IF('Lot Balance'!$A180="","",'Lot Balance'!$A180)</f>
        <v>Gloves - Large</v>
      </c>
      <c r="B181" s="18" t="str">
        <f>IF($A181="","",'Lot Balance'!$B180)</f>
        <v>ZIM511142081-L</v>
      </c>
      <c r="C181" s="18" t="str">
        <f>IF($A181="","",'Lot Balance'!$C180)</f>
        <v>Gloves</v>
      </c>
      <c r="D181" s="25">
        <f>IF($A181="","",'Lot Balance'!$G180)</f>
        <v>46220</v>
      </c>
      <c r="E181" s="25">
        <f>IF($A181="","",'Lot Balance'!$H180)</f>
        <v>46404</v>
      </c>
      <c r="F181" s="23">
        <f ca="1">IF($A181="","",'Lot Balance'!$I180)</f>
        <v>166</v>
      </c>
      <c r="G181" s="23">
        <f>IF($A181="","",'Lot Balance'!$O180)</f>
        <v>5000</v>
      </c>
      <c r="H181" s="33">
        <f>IF($A181="","",'Lot Balance'!$P180)</f>
        <v>275</v>
      </c>
      <c r="I181" s="26">
        <f>IF($A181="","",COUNTIFS(tblIssues[Lot Number],$B181))</f>
        <v>0</v>
      </c>
      <c r="J181" s="31" t="str">
        <f ca="1">IF($A181="","",IF('Lot Balance'!$O180&lt;=0,"Depleted",'Lot Balance'!$Q180))</f>
        <v>Expiring</v>
      </c>
    </row>
    <row r="182" spans="1:10" x14ac:dyDescent="0.35">
      <c r="A182" s="18" t="str">
        <f>IF('Lot Balance'!$A181="","",'Lot Balance'!$A181)</f>
        <v>Gloves - Small</v>
      </c>
      <c r="B182" s="18" t="str">
        <f>IF($A182="","",'Lot Balance'!$B181)</f>
        <v>ZIM604151579-S-2</v>
      </c>
      <c r="C182" s="18" t="str">
        <f>IF($A182="","",'Lot Balance'!$C181)</f>
        <v>Gloves</v>
      </c>
      <c r="D182" s="25">
        <f>IF($A182="","",'Lot Balance'!$G181)</f>
        <v>46220</v>
      </c>
      <c r="E182" s="25">
        <f>IF($A182="","",'Lot Balance'!$H181)</f>
        <v>46404</v>
      </c>
      <c r="F182" s="23">
        <f ca="1">IF($A182="","",'Lot Balance'!$I181)</f>
        <v>166</v>
      </c>
      <c r="G182" s="23">
        <f>IF($A182="","",'Lot Balance'!$O181)</f>
        <v>5000</v>
      </c>
      <c r="H182" s="33">
        <f>IF($A182="","",'Lot Balance'!$P181)</f>
        <v>275</v>
      </c>
      <c r="I182" s="26">
        <f>IF($A182="","",COUNTIFS(tblIssues[Lot Number],$B182))</f>
        <v>0</v>
      </c>
      <c r="J182" s="31" t="str">
        <f ca="1">IF($A182="","",IF('Lot Balance'!$O181&lt;=0,"Depleted",'Lot Balance'!$Q181))</f>
        <v>Expiring</v>
      </c>
    </row>
    <row r="183" spans="1:10" x14ac:dyDescent="0.35">
      <c r="A183" s="18" t="str">
        <f>IF('Lot Balance'!$A182="","",'Lot Balance'!$A182)</f>
        <v>Hand Sanitizer OS</v>
      </c>
      <c r="B183" s="18" t="str">
        <f>IF($A183="","",'Lot Balance'!$B182)</f>
        <v>20-21734-6</v>
      </c>
      <c r="C183" s="18" t="str">
        <f>IF($A183="","",'Lot Balance'!$C182)</f>
        <v>Sanitizer</v>
      </c>
      <c r="D183" s="25">
        <f>IF($A183="","",'Lot Balance'!$G182)</f>
        <v>46220</v>
      </c>
      <c r="E183" s="25">
        <f>IF($A183="","",'Lot Balance'!$H182)</f>
        <v>46811</v>
      </c>
      <c r="F183" s="23">
        <f ca="1">IF($A183="","",'Lot Balance'!$I182)</f>
        <v>573</v>
      </c>
      <c r="G183" s="23">
        <f>IF($A183="","",'Lot Balance'!$O182)</f>
        <v>23</v>
      </c>
      <c r="H183" s="33">
        <f>IF($A183="","",'Lot Balance'!$P182)</f>
        <v>2.3E-3</v>
      </c>
      <c r="I183" s="26">
        <f>IF($A183="","",COUNTIFS(tblIssues[Lot Number],$B183))</f>
        <v>13</v>
      </c>
      <c r="J183" s="31" t="str">
        <f ca="1">IF($A183="","",IF('Lot Balance'!$O182&lt;=0,"Depleted",'Lot Balance'!$Q182))</f>
        <v>In date</v>
      </c>
    </row>
    <row r="184" spans="1:10" x14ac:dyDescent="0.35">
      <c r="A184" s="18" t="str">
        <f>IF('Lot Balance'!$A183="","",'Lot Balance'!$A183)</f>
        <v>Hand Sanitizer 1L OS</v>
      </c>
      <c r="B184" s="18" t="str">
        <f>IF($A184="","",'Lot Balance'!$B183)</f>
        <v>HS1L-1</v>
      </c>
      <c r="C184" s="18" t="str">
        <f>IF($A184="","",'Lot Balance'!$C183)</f>
        <v>PPE</v>
      </c>
      <c r="D184" s="25">
        <f>IF($A184="","",'Lot Balance'!$G183)</f>
        <v>46220</v>
      </c>
      <c r="E184" s="25">
        <f>IF($A184="","",'Lot Balance'!$H183)</f>
        <v>46811</v>
      </c>
      <c r="F184" s="23">
        <f ca="1">IF($A184="","",'Lot Balance'!$I183)</f>
        <v>573</v>
      </c>
      <c r="G184" s="23">
        <f>IF($A184="","",'Lot Balance'!$O183)</f>
        <v>12</v>
      </c>
      <c r="H184" s="33">
        <f>IF($A184="","",'Lot Balance'!$P183)</f>
        <v>0</v>
      </c>
      <c r="I184" s="26">
        <f>IF($A184="","",COUNTIFS(tblIssues[Lot Number],$B184))</f>
        <v>0</v>
      </c>
      <c r="J184" s="31" t="str">
        <f ca="1">IF($A184="","",IF('Lot Balance'!$O183&lt;=0,"Depleted",'Lot Balance'!$Q183))</f>
        <v>In date</v>
      </c>
    </row>
    <row r="185" spans="1:10" x14ac:dyDescent="0.35">
      <c r="A185" s="18" t="str">
        <f>IF('Lot Balance'!$A184="","",'Lot Balance'!$A184)</f>
        <v>Disinfectant Wipes 180 OS</v>
      </c>
      <c r="B185" s="18">
        <f>IF($A185="","",'Lot Balance'!$B184)</f>
        <v>2510611</v>
      </c>
      <c r="C185" s="18" t="str">
        <f>IF($A185="","",'Lot Balance'!$C184)</f>
        <v>Wipes</v>
      </c>
      <c r="D185" s="25">
        <f>IF($A185="","",'Lot Balance'!$G184)</f>
        <v>46220</v>
      </c>
      <c r="E185" s="25">
        <f>IF($A185="","",'Lot Balance'!$H184)</f>
        <v>46555</v>
      </c>
      <c r="F185" s="23">
        <f ca="1">IF($A185="","",'Lot Balance'!$I184)</f>
        <v>317</v>
      </c>
      <c r="G185" s="23">
        <f>IF($A185="","",'Lot Balance'!$O184)</f>
        <v>2160</v>
      </c>
      <c r="H185" s="33">
        <f>IF($A185="","",'Lot Balance'!$P184)</f>
        <v>0</v>
      </c>
      <c r="I185" s="26">
        <f>IF($A185="","",COUNTIFS(tblIssues[Lot Number],$B185))</f>
        <v>0</v>
      </c>
      <c r="J185" s="31" t="str">
        <f ca="1">IF($A185="","",IF('Lot Balance'!$O184&lt;=0,"Depleted",'Lot Balance'!$Q184))</f>
        <v>In date</v>
      </c>
    </row>
    <row r="186" spans="1:10" x14ac:dyDescent="0.35">
      <c r="A186" s="18" t="str">
        <f>IF('Lot Balance'!$A185="","",'Lot Balance'!$A185)</f>
        <v>Surgical Masks</v>
      </c>
      <c r="B186" s="18" t="str">
        <f>IF($A186="","",'Lot Balance'!$B185)</f>
        <v>O101KPC24</v>
      </c>
      <c r="C186" s="18" t="str">
        <f>IF($A186="","",'Lot Balance'!$C185)</f>
        <v>Masks</v>
      </c>
      <c r="D186" s="25">
        <f>IF($A186="","",'Lot Balance'!$G185)</f>
        <v>46220</v>
      </c>
      <c r="E186" s="25">
        <f>IF($A186="","",'Lot Balance'!$H185)</f>
        <v>46325</v>
      </c>
      <c r="F186" s="23">
        <f ca="1">IF($A186="","",'Lot Balance'!$I185)</f>
        <v>87</v>
      </c>
      <c r="G186" s="23">
        <f>IF($A186="","",'Lot Balance'!$O185)</f>
        <v>3000</v>
      </c>
      <c r="H186" s="33">
        <f>IF($A186="","",'Lot Balance'!$P185)</f>
        <v>750</v>
      </c>
      <c r="I186" s="26">
        <f>IF($A186="","",COUNTIFS(tblIssues[Lot Number],$B186))</f>
        <v>0</v>
      </c>
      <c r="J186" s="31" t="str">
        <f ca="1">IF($A186="","",IF('Lot Balance'!$O185&lt;=0,"Depleted",'Lot Balance'!$Q185))</f>
        <v>Expiring</v>
      </c>
    </row>
    <row r="187" spans="1:10" x14ac:dyDescent="0.35">
      <c r="A187" s="18" t="str">
        <f>IF('Lot Balance'!$A186="","",'Lot Balance'!$A186)</f>
        <v>Gloves - Medium</v>
      </c>
      <c r="B187" s="18" t="str">
        <f>IF($A187="","",'Lot Balance'!$B186)</f>
        <v>ZIM511139896-0</v>
      </c>
      <c r="C187" s="18" t="str">
        <f>IF($A187="","",'Lot Balance'!$C186)</f>
        <v>Gloves</v>
      </c>
      <c r="D187" s="25">
        <f>IF($A187="","",'Lot Balance'!$G186)</f>
        <v>46227</v>
      </c>
      <c r="E187" s="25">
        <f>IF($A187="","",'Lot Balance'!$H186)</f>
        <v>46411</v>
      </c>
      <c r="F187" s="23">
        <f ca="1">IF($A187="","",'Lot Balance'!$I186)</f>
        <v>173</v>
      </c>
      <c r="G187" s="23">
        <f>IF($A187="","",'Lot Balance'!$O186)</f>
        <v>10000</v>
      </c>
      <c r="H187" s="33">
        <f>IF($A187="","",'Lot Balance'!$P186)</f>
        <v>550</v>
      </c>
      <c r="I187" s="26">
        <f>IF($A187="","",COUNTIFS(tblIssues[Lot Number],$B187))</f>
        <v>0</v>
      </c>
      <c r="J187" s="31" t="str">
        <f ca="1">IF($A187="","",IF('Lot Balance'!$O186&lt;=0,"Depleted",'Lot Balance'!$Q186))</f>
        <v>Expiring</v>
      </c>
    </row>
    <row r="188" spans="1:10" x14ac:dyDescent="0.35">
      <c r="A188" s="18" t="str">
        <f>IF('Lot Balance'!$A187="","",'Lot Balance'!$A187)</f>
        <v>Surgical Masks</v>
      </c>
      <c r="B188" s="18" t="str">
        <f>IF($A188="","",'Lot Balance'!$B187)</f>
        <v>241101JY320B2</v>
      </c>
      <c r="C188" s="18" t="str">
        <f>IF($A188="","",'Lot Balance'!$C187)</f>
        <v>Masks</v>
      </c>
      <c r="D188" s="25">
        <f>IF($A188="","",'Lot Balance'!$G187)</f>
        <v>46227</v>
      </c>
      <c r="E188" s="25">
        <f>IF($A188="","",'Lot Balance'!$H187)</f>
        <v>46350</v>
      </c>
      <c r="F188" s="23">
        <f ca="1">IF($A188="","",'Lot Balance'!$I187)</f>
        <v>112</v>
      </c>
      <c r="G188" s="23">
        <f>IF($A188="","",'Lot Balance'!$O187)</f>
        <v>2000</v>
      </c>
      <c r="H188" s="33">
        <f>IF($A188="","",'Lot Balance'!$P187)</f>
        <v>500</v>
      </c>
      <c r="I188" s="26">
        <f>IF($A188="","",COUNTIFS(tblIssues[Lot Number],$B188))</f>
        <v>0</v>
      </c>
      <c r="J188" s="31" t="str">
        <f ca="1">IF($A188="","",IF('Lot Balance'!$O187&lt;=0,"Depleted",'Lot Balance'!$Q187))</f>
        <v>Expiring</v>
      </c>
    </row>
    <row r="189" spans="1:10" x14ac:dyDescent="0.35">
      <c r="A189" s="18" t="str">
        <f>IF('Lot Balance'!$A188="","",'Lot Balance'!$A188)</f>
        <v>Shoe Covers</v>
      </c>
      <c r="B189" s="18">
        <f>IF($A189="","",'Lot Balance'!$B188)</f>
        <v>3024</v>
      </c>
      <c r="C189" s="18" t="str">
        <f>IF($A189="","",'Lot Balance'!$C188)</f>
        <v>IPAC</v>
      </c>
      <c r="D189" s="25">
        <f>IF($A189="","",'Lot Balance'!$G188)</f>
        <v>46227</v>
      </c>
      <c r="E189" s="25">
        <f>IF($A189="","",'Lot Balance'!$H188)</f>
        <v>46811</v>
      </c>
      <c r="F189" s="23">
        <f ca="1">IF($A189="","",'Lot Balance'!$I188)</f>
        <v>573</v>
      </c>
      <c r="G189" s="23">
        <f>IF($A189="","",'Lot Balance'!$O188)</f>
        <v>0</v>
      </c>
      <c r="H189" s="33">
        <f>IF($A189="","",'Lot Balance'!$P188)</f>
        <v>0</v>
      </c>
      <c r="I189" s="26">
        <f>IF($A189="","",COUNTIFS(tblIssues[Lot Number],$B189))</f>
        <v>11</v>
      </c>
      <c r="J189" s="31" t="str">
        <f>IF($A189="","",IF('Lot Balance'!$O188&lt;=0,"Depleted",'Lot Balance'!$Q188))</f>
        <v>Depleted</v>
      </c>
    </row>
    <row r="190" spans="1:10" x14ac:dyDescent="0.35">
      <c r="A190" s="18" t="str">
        <f>IF('Lot Balance'!$A189="","",'Lot Balance'!$A189)</f>
        <v>Gloves - Medium</v>
      </c>
      <c r="B190" s="18" t="str">
        <f>IF($A190="","",'Lot Balance'!$B189)</f>
        <v>ZIM6044151580-1</v>
      </c>
      <c r="C190" s="18" t="str">
        <f>IF($A190="","",'Lot Balance'!$C189)</f>
        <v>Gloves</v>
      </c>
      <c r="D190" s="25">
        <f>IF($A190="","",'Lot Balance'!$G189)</f>
        <v>46227</v>
      </c>
      <c r="E190" s="25">
        <f>IF($A190="","",'Lot Balance'!$H189)</f>
        <v>46411</v>
      </c>
      <c r="F190" s="23">
        <f ca="1">IF($A190="","",'Lot Balance'!$I189)</f>
        <v>173</v>
      </c>
      <c r="G190" s="23">
        <f>IF($A190="","",'Lot Balance'!$O189)</f>
        <v>12500</v>
      </c>
      <c r="H190" s="33">
        <f>IF($A190="","",'Lot Balance'!$P189)</f>
        <v>687.5</v>
      </c>
      <c r="I190" s="26">
        <f>IF($A190="","",COUNTIFS(tblIssues[Lot Number],$B190))</f>
        <v>0</v>
      </c>
      <c r="J190" s="31" t="str">
        <f ca="1">IF($A190="","",IF('Lot Balance'!$O189&lt;=0,"Depleted",'Lot Balance'!$Q189))</f>
        <v>Expiring</v>
      </c>
    </row>
    <row r="191" spans="1:10" x14ac:dyDescent="0.35">
      <c r="A191" s="18" t="str">
        <f>IF('Lot Balance'!$A190="","",'Lot Balance'!$A190)</f>
        <v/>
      </c>
      <c r="B191" s="18" t="str">
        <f>IF($A191="","",'Lot Balance'!$B190)</f>
        <v/>
      </c>
      <c r="C191" s="18" t="str">
        <f>IF($A191="","",'Lot Balance'!$C190)</f>
        <v/>
      </c>
      <c r="D191" s="25" t="str">
        <f>IF($A191="","",'Lot Balance'!$G190)</f>
        <v/>
      </c>
      <c r="E191" s="25" t="str">
        <f>IF($A191="","",'Lot Balance'!$H190)</f>
        <v/>
      </c>
      <c r="F191" s="23" t="str">
        <f>IF($A191="","",'Lot Balance'!$I190)</f>
        <v/>
      </c>
      <c r="G191" s="23" t="str">
        <f>IF($A191="","",'Lot Balance'!$O190)</f>
        <v/>
      </c>
      <c r="H191" s="33" t="str">
        <f>IF($A191="","",'Lot Balance'!$P190)</f>
        <v/>
      </c>
      <c r="I191" s="26" t="str">
        <f>IF($A191="","",COUNTIFS(tblIssues[Lot Number],$B191))</f>
        <v/>
      </c>
      <c r="J191" s="31" t="str">
        <f>IF($A191="","",IF('Lot Balance'!$O190&lt;=0,"Depleted",'Lot Balance'!$Q190))</f>
        <v/>
      </c>
    </row>
    <row r="192" spans="1:10" x14ac:dyDescent="0.35">
      <c r="A192" s="18" t="str">
        <f>IF('Lot Balance'!$A191="","",'Lot Balance'!$A191)</f>
        <v/>
      </c>
      <c r="B192" s="18" t="str">
        <f>IF($A192="","",'Lot Balance'!$B191)</f>
        <v/>
      </c>
      <c r="C192" s="18" t="str">
        <f>IF($A192="","",'Lot Balance'!$C191)</f>
        <v/>
      </c>
      <c r="D192" s="25" t="str">
        <f>IF($A192="","",'Lot Balance'!$G191)</f>
        <v/>
      </c>
      <c r="E192" s="25" t="str">
        <f>IF($A192="","",'Lot Balance'!$H191)</f>
        <v/>
      </c>
      <c r="F192" s="23" t="str">
        <f>IF($A192="","",'Lot Balance'!$I191)</f>
        <v/>
      </c>
      <c r="G192" s="23" t="str">
        <f>IF($A192="","",'Lot Balance'!$O191)</f>
        <v/>
      </c>
      <c r="H192" s="33" t="str">
        <f>IF($A192="","",'Lot Balance'!$P191)</f>
        <v/>
      </c>
      <c r="I192" s="26" t="str">
        <f>IF($A192="","",COUNTIFS(tblIssues[Lot Number],$B192))</f>
        <v/>
      </c>
      <c r="J192" s="31" t="str">
        <f>IF($A192="","",IF('Lot Balance'!$O191&lt;=0,"Depleted",'Lot Balance'!$Q191))</f>
        <v/>
      </c>
    </row>
    <row r="193" spans="1:10" x14ac:dyDescent="0.35">
      <c r="A193" s="18" t="str">
        <f>IF('Lot Balance'!$A192="","",'Lot Balance'!$A192)</f>
        <v/>
      </c>
      <c r="B193" s="18" t="str">
        <f>IF($A193="","",'Lot Balance'!$B192)</f>
        <v/>
      </c>
      <c r="C193" s="18" t="str">
        <f>IF($A193="","",'Lot Balance'!$C192)</f>
        <v/>
      </c>
      <c r="D193" s="25" t="str">
        <f>IF($A193="","",'Lot Balance'!$G192)</f>
        <v/>
      </c>
      <c r="E193" s="25" t="str">
        <f>IF($A193="","",'Lot Balance'!$H192)</f>
        <v/>
      </c>
      <c r="F193" s="23" t="str">
        <f>IF($A193="","",'Lot Balance'!$I192)</f>
        <v/>
      </c>
      <c r="G193" s="23" t="str">
        <f>IF($A193="","",'Lot Balance'!$O192)</f>
        <v/>
      </c>
      <c r="H193" s="33" t="str">
        <f>IF($A193="","",'Lot Balance'!$P192)</f>
        <v/>
      </c>
      <c r="I193" s="26" t="str">
        <f>IF($A193="","",COUNTIFS(tblIssues[Lot Number],$B193))</f>
        <v/>
      </c>
      <c r="J193" s="31" t="str">
        <f>IF($A193="","",IF('Lot Balance'!$O192&lt;=0,"Depleted",'Lot Balance'!$Q192))</f>
        <v/>
      </c>
    </row>
    <row r="194" spans="1:10" x14ac:dyDescent="0.35">
      <c r="A194" s="18" t="str">
        <f>IF('Lot Balance'!$A193="","",'Lot Balance'!$A193)</f>
        <v/>
      </c>
      <c r="B194" s="18" t="str">
        <f>IF($A194="","",'Lot Balance'!$B193)</f>
        <v/>
      </c>
      <c r="C194" s="18" t="str">
        <f>IF($A194="","",'Lot Balance'!$C193)</f>
        <v/>
      </c>
      <c r="D194" s="25" t="str">
        <f>IF($A194="","",'Lot Balance'!$G193)</f>
        <v/>
      </c>
      <c r="E194" s="25" t="str">
        <f>IF($A194="","",'Lot Balance'!$H193)</f>
        <v/>
      </c>
      <c r="F194" s="23" t="str">
        <f>IF($A194="","",'Lot Balance'!$I193)</f>
        <v/>
      </c>
      <c r="G194" s="23" t="str">
        <f>IF($A194="","",'Lot Balance'!$O193)</f>
        <v/>
      </c>
      <c r="H194" s="33" t="str">
        <f>IF($A194="","",'Lot Balance'!$P193)</f>
        <v/>
      </c>
      <c r="I194" s="26" t="str">
        <f>IF($A194="","",COUNTIFS(tblIssues[Lot Number],$B194))</f>
        <v/>
      </c>
      <c r="J194" s="31" t="str">
        <f>IF($A194="","",IF('Lot Balance'!$O193&lt;=0,"Depleted",'Lot Balance'!$Q193))</f>
        <v/>
      </c>
    </row>
    <row r="195" spans="1:10" x14ac:dyDescent="0.35">
      <c r="A195" s="18" t="str">
        <f>IF('Lot Balance'!$A194="","",'Lot Balance'!$A194)</f>
        <v/>
      </c>
      <c r="B195" s="18" t="str">
        <f>IF($A195="","",'Lot Balance'!$B194)</f>
        <v/>
      </c>
      <c r="C195" s="18" t="str">
        <f>IF($A195="","",'Lot Balance'!$C194)</f>
        <v/>
      </c>
      <c r="D195" s="25" t="str">
        <f>IF($A195="","",'Lot Balance'!$G194)</f>
        <v/>
      </c>
      <c r="E195" s="25" t="str">
        <f>IF($A195="","",'Lot Balance'!$H194)</f>
        <v/>
      </c>
      <c r="F195" s="23" t="str">
        <f>IF($A195="","",'Lot Balance'!$I194)</f>
        <v/>
      </c>
      <c r="G195" s="23" t="str">
        <f>IF($A195="","",'Lot Balance'!$O194)</f>
        <v/>
      </c>
      <c r="H195" s="33" t="str">
        <f>IF($A195="","",'Lot Balance'!$P194)</f>
        <v/>
      </c>
      <c r="I195" s="26" t="str">
        <f>IF($A195="","",COUNTIFS(tblIssues[Lot Number],$B195))</f>
        <v/>
      </c>
      <c r="J195" s="31" t="str">
        <f>IF($A195="","",IF('Lot Balance'!$O194&lt;=0,"Depleted",'Lot Balance'!$Q194))</f>
        <v/>
      </c>
    </row>
    <row r="196" spans="1:10" x14ac:dyDescent="0.35">
      <c r="A196" s="18" t="str">
        <f>IF('Lot Balance'!$A195="","",'Lot Balance'!$A195)</f>
        <v/>
      </c>
      <c r="B196" s="18" t="str">
        <f>IF($A196="","",'Lot Balance'!$B195)</f>
        <v/>
      </c>
      <c r="C196" s="18" t="str">
        <f>IF($A196="","",'Lot Balance'!$C195)</f>
        <v/>
      </c>
      <c r="D196" s="25" t="str">
        <f>IF($A196="","",'Lot Balance'!$G195)</f>
        <v/>
      </c>
      <c r="E196" s="25" t="str">
        <f>IF($A196="","",'Lot Balance'!$H195)</f>
        <v/>
      </c>
      <c r="F196" s="23" t="str">
        <f>IF($A196="","",'Lot Balance'!$I195)</f>
        <v/>
      </c>
      <c r="G196" s="23" t="str">
        <f>IF($A196="","",'Lot Balance'!$O195)</f>
        <v/>
      </c>
      <c r="H196" s="33" t="str">
        <f>IF($A196="","",'Lot Balance'!$P195)</f>
        <v/>
      </c>
      <c r="I196" s="26" t="str">
        <f>IF($A196="","",COUNTIFS(tblIssues[Lot Number],$B196))</f>
        <v/>
      </c>
      <c r="J196" s="31" t="str">
        <f>IF($A196="","",IF('Lot Balance'!$O195&lt;=0,"Depleted",'Lot Balance'!$Q195))</f>
        <v/>
      </c>
    </row>
    <row r="197" spans="1:10" x14ac:dyDescent="0.35">
      <c r="A197" s="18" t="str">
        <f>IF('Lot Balance'!$A196="","",'Lot Balance'!$A196)</f>
        <v/>
      </c>
      <c r="B197" s="18" t="str">
        <f>IF($A197="","",'Lot Balance'!$B196)</f>
        <v/>
      </c>
      <c r="C197" s="18" t="str">
        <f>IF($A197="","",'Lot Balance'!$C196)</f>
        <v/>
      </c>
      <c r="D197" s="25" t="str">
        <f>IF($A197="","",'Lot Balance'!$G196)</f>
        <v/>
      </c>
      <c r="E197" s="25" t="str">
        <f>IF($A197="","",'Lot Balance'!$H196)</f>
        <v/>
      </c>
      <c r="F197" s="23" t="str">
        <f>IF($A197="","",'Lot Balance'!$I196)</f>
        <v/>
      </c>
      <c r="G197" s="23" t="str">
        <f>IF($A197="","",'Lot Balance'!$O196)</f>
        <v/>
      </c>
      <c r="H197" s="33" t="str">
        <f>IF($A197="","",'Lot Balance'!$P196)</f>
        <v/>
      </c>
      <c r="I197" s="26" t="str">
        <f>IF($A197="","",COUNTIFS(tblIssues[Lot Number],$B197))</f>
        <v/>
      </c>
      <c r="J197" s="31" t="str">
        <f>IF($A197="","",IF('Lot Balance'!$O196&lt;=0,"Depleted",'Lot Balance'!$Q196))</f>
        <v/>
      </c>
    </row>
    <row r="198" spans="1:10" x14ac:dyDescent="0.35">
      <c r="A198" s="18" t="str">
        <f>IF('Lot Balance'!$A197="","",'Lot Balance'!$A197)</f>
        <v/>
      </c>
      <c r="B198" s="18" t="str">
        <f>IF($A198="","",'Lot Balance'!$B197)</f>
        <v/>
      </c>
      <c r="C198" s="18" t="str">
        <f>IF($A198="","",'Lot Balance'!$C197)</f>
        <v/>
      </c>
      <c r="D198" s="25" t="str">
        <f>IF($A198="","",'Lot Balance'!$G197)</f>
        <v/>
      </c>
      <c r="E198" s="25" t="str">
        <f>IF($A198="","",'Lot Balance'!$H197)</f>
        <v/>
      </c>
      <c r="F198" s="23" t="str">
        <f>IF($A198="","",'Lot Balance'!$I197)</f>
        <v/>
      </c>
      <c r="G198" s="23" t="str">
        <f>IF($A198="","",'Lot Balance'!$O197)</f>
        <v/>
      </c>
      <c r="H198" s="33" t="str">
        <f>IF($A198="","",'Lot Balance'!$P197)</f>
        <v/>
      </c>
      <c r="I198" s="26" t="str">
        <f>IF($A198="","",COUNTIFS(tblIssues[Lot Number],$B198))</f>
        <v/>
      </c>
      <c r="J198" s="31" t="str">
        <f>IF($A198="","",IF('Lot Balance'!$O197&lt;=0,"Depleted",'Lot Balance'!$Q197))</f>
        <v/>
      </c>
    </row>
    <row r="199" spans="1:10" x14ac:dyDescent="0.35">
      <c r="A199" s="18" t="str">
        <f>IF('Lot Balance'!$A198="","",'Lot Balance'!$A198)</f>
        <v/>
      </c>
      <c r="B199" s="18" t="str">
        <f>IF($A199="","",'Lot Balance'!$B198)</f>
        <v/>
      </c>
      <c r="C199" s="18" t="str">
        <f>IF($A199="","",'Lot Balance'!$C198)</f>
        <v/>
      </c>
      <c r="D199" s="25" t="str">
        <f>IF($A199="","",'Lot Balance'!$G198)</f>
        <v/>
      </c>
      <c r="E199" s="25" t="str">
        <f>IF($A199="","",'Lot Balance'!$H198)</f>
        <v/>
      </c>
      <c r="F199" s="23" t="str">
        <f>IF($A199="","",'Lot Balance'!$I198)</f>
        <v/>
      </c>
      <c r="G199" s="23" t="str">
        <f>IF($A199="","",'Lot Balance'!$O198)</f>
        <v/>
      </c>
      <c r="H199" s="33" t="str">
        <f>IF($A199="","",'Lot Balance'!$P198)</f>
        <v/>
      </c>
      <c r="I199" s="26" t="str">
        <f>IF($A199="","",COUNTIFS(tblIssues[Lot Number],$B199))</f>
        <v/>
      </c>
      <c r="J199" s="31" t="str">
        <f>IF($A199="","",IF('Lot Balance'!$O198&lt;=0,"Depleted",'Lot Balance'!$Q198))</f>
        <v/>
      </c>
    </row>
    <row r="200" spans="1:10" x14ac:dyDescent="0.35">
      <c r="A200" s="18" t="str">
        <f>IF('Lot Balance'!$A199="","",'Lot Balance'!$A199)</f>
        <v/>
      </c>
      <c r="B200" s="18" t="str">
        <f>IF($A200="","",'Lot Balance'!$B199)</f>
        <v/>
      </c>
      <c r="C200" s="18" t="str">
        <f>IF($A200="","",'Lot Balance'!$C199)</f>
        <v/>
      </c>
      <c r="D200" s="25" t="str">
        <f>IF($A200="","",'Lot Balance'!$G199)</f>
        <v/>
      </c>
      <c r="E200" s="25" t="str">
        <f>IF($A200="","",'Lot Balance'!$H199)</f>
        <v/>
      </c>
      <c r="F200" s="23" t="str">
        <f>IF($A200="","",'Lot Balance'!$I199)</f>
        <v/>
      </c>
      <c r="G200" s="23" t="str">
        <f>IF($A200="","",'Lot Balance'!$O199)</f>
        <v/>
      </c>
      <c r="H200" s="33" t="str">
        <f>IF($A200="","",'Lot Balance'!$P199)</f>
        <v/>
      </c>
      <c r="I200" s="26" t="str">
        <f>IF($A200="","",COUNTIFS(tblIssues[Lot Number],$B200))</f>
        <v/>
      </c>
      <c r="J200" s="31" t="str">
        <f>IF($A200="","",IF('Lot Balance'!$O199&lt;=0,"Depleted",'Lot Balance'!$Q199))</f>
        <v/>
      </c>
    </row>
    <row r="201" spans="1:10" x14ac:dyDescent="0.35">
      <c r="A201" s="18" t="str">
        <f>IF('Lot Balance'!$A200="","",'Lot Balance'!$A200)</f>
        <v/>
      </c>
      <c r="B201" s="18" t="str">
        <f>IF($A201="","",'Lot Balance'!$B200)</f>
        <v/>
      </c>
      <c r="C201" s="18" t="str">
        <f>IF($A201="","",'Lot Balance'!$C200)</f>
        <v/>
      </c>
      <c r="D201" s="25" t="str">
        <f>IF($A201="","",'Lot Balance'!$G200)</f>
        <v/>
      </c>
      <c r="E201" s="25" t="str">
        <f>IF($A201="","",'Lot Balance'!$H200)</f>
        <v/>
      </c>
      <c r="F201" s="23" t="str">
        <f>IF($A201="","",'Lot Balance'!$I200)</f>
        <v/>
      </c>
      <c r="G201" s="23" t="str">
        <f>IF($A201="","",'Lot Balance'!$O200)</f>
        <v/>
      </c>
      <c r="H201" s="33" t="str">
        <f>IF($A201="","",'Lot Balance'!$P200)</f>
        <v/>
      </c>
      <c r="I201" s="26" t="str">
        <f>IF($A201="","",COUNTIFS(tblIssues[Lot Number],$B201))</f>
        <v/>
      </c>
      <c r="J201" s="31" t="str">
        <f>IF($A201="","",IF('Lot Balance'!$O200&lt;=0,"Depleted",'Lot Balance'!$Q200))</f>
        <v/>
      </c>
    </row>
    <row r="202" spans="1:10" x14ac:dyDescent="0.35">
      <c r="A202" s="18" t="str">
        <f>IF('Lot Balance'!$A201="","",'Lot Balance'!$A201)</f>
        <v/>
      </c>
      <c r="B202" s="18" t="str">
        <f>IF($A202="","",'Lot Balance'!$B201)</f>
        <v/>
      </c>
      <c r="C202" s="18" t="str">
        <f>IF($A202="","",'Lot Balance'!$C201)</f>
        <v/>
      </c>
      <c r="D202" s="25" t="str">
        <f>IF($A202="","",'Lot Balance'!$G201)</f>
        <v/>
      </c>
      <c r="E202" s="25" t="str">
        <f>IF($A202="","",'Lot Balance'!$H201)</f>
        <v/>
      </c>
      <c r="F202" s="23" t="str">
        <f>IF($A202="","",'Lot Balance'!$I201)</f>
        <v/>
      </c>
      <c r="G202" s="23" t="str">
        <f>IF($A202="","",'Lot Balance'!$O201)</f>
        <v/>
      </c>
      <c r="H202" s="33" t="str">
        <f>IF($A202="","",'Lot Balance'!$P201)</f>
        <v/>
      </c>
      <c r="I202" s="26" t="str">
        <f>IF($A202="","",COUNTIFS(tblIssues[Lot Number],$B202))</f>
        <v/>
      </c>
      <c r="J202" s="31" t="str">
        <f>IF($A202="","",IF('Lot Balance'!$O201&lt;=0,"Depleted",'Lot Balance'!$Q201))</f>
        <v/>
      </c>
    </row>
    <row r="203" spans="1:10" x14ac:dyDescent="0.35">
      <c r="A203" s="18" t="str">
        <f>IF('Lot Balance'!$A202="","",'Lot Balance'!$A202)</f>
        <v/>
      </c>
      <c r="B203" s="18" t="str">
        <f>IF($A203="","",'Lot Balance'!$B202)</f>
        <v/>
      </c>
      <c r="C203" s="18" t="str">
        <f>IF($A203="","",'Lot Balance'!$C202)</f>
        <v/>
      </c>
      <c r="D203" s="25" t="str">
        <f>IF($A203="","",'Lot Balance'!$G202)</f>
        <v/>
      </c>
      <c r="E203" s="25" t="str">
        <f>IF($A203="","",'Lot Balance'!$H202)</f>
        <v/>
      </c>
      <c r="F203" s="23" t="str">
        <f>IF($A203="","",'Lot Balance'!$I202)</f>
        <v/>
      </c>
      <c r="G203" s="23" t="str">
        <f>IF($A203="","",'Lot Balance'!$O202)</f>
        <v/>
      </c>
      <c r="H203" s="33" t="str">
        <f>IF($A203="","",'Lot Balance'!$P202)</f>
        <v/>
      </c>
      <c r="I203" s="26" t="str">
        <f>IF($A203="","",COUNTIFS(tblIssues[Lot Number],$B203))</f>
        <v/>
      </c>
      <c r="J203" s="31" t="str">
        <f>IF($A203="","",IF('Lot Balance'!$O202&lt;=0,"Depleted",'Lot Balance'!$Q202))</f>
        <v/>
      </c>
    </row>
    <row r="204" spans="1:10" x14ac:dyDescent="0.35">
      <c r="A204" s="18" t="str">
        <f>IF('Lot Balance'!$A203="","",'Lot Balance'!$A203)</f>
        <v/>
      </c>
      <c r="B204" s="18" t="str">
        <f>IF($A204="","",'Lot Balance'!$B203)</f>
        <v/>
      </c>
      <c r="C204" s="18" t="str">
        <f>IF($A204="","",'Lot Balance'!$C203)</f>
        <v/>
      </c>
      <c r="D204" s="25" t="str">
        <f>IF($A204="","",'Lot Balance'!$G203)</f>
        <v/>
      </c>
      <c r="E204" s="25" t="str">
        <f>IF($A204="","",'Lot Balance'!$H203)</f>
        <v/>
      </c>
      <c r="F204" s="23" t="str">
        <f>IF($A204="","",'Lot Balance'!$I203)</f>
        <v/>
      </c>
      <c r="G204" s="23" t="str">
        <f>IF($A204="","",'Lot Balance'!$O203)</f>
        <v/>
      </c>
      <c r="H204" s="33" t="str">
        <f>IF($A204="","",'Lot Balance'!$P203)</f>
        <v/>
      </c>
      <c r="I204" s="26" t="str">
        <f>IF($A204="","",COUNTIFS(tblIssues[Lot Number],$B204))</f>
        <v/>
      </c>
      <c r="J204" s="31" t="str">
        <f>IF($A204="","",IF('Lot Balance'!$O203&lt;=0,"Depleted",'Lot Balance'!$Q203))</f>
        <v/>
      </c>
    </row>
    <row r="205" spans="1:10" x14ac:dyDescent="0.35">
      <c r="A205" s="18" t="str">
        <f>IF('Lot Balance'!$A204="","",'Lot Balance'!$A204)</f>
        <v/>
      </c>
      <c r="B205" s="18" t="str">
        <f>IF($A205="","",'Lot Balance'!$B204)</f>
        <v/>
      </c>
      <c r="C205" s="18" t="str">
        <f>IF($A205="","",'Lot Balance'!$C204)</f>
        <v/>
      </c>
      <c r="D205" s="25" t="str">
        <f>IF($A205="","",'Lot Balance'!$G204)</f>
        <v/>
      </c>
      <c r="E205" s="25" t="str">
        <f>IF($A205="","",'Lot Balance'!$H204)</f>
        <v/>
      </c>
      <c r="F205" s="23" t="str">
        <f>IF($A205="","",'Lot Balance'!$I204)</f>
        <v/>
      </c>
      <c r="G205" s="23" t="str">
        <f>IF($A205="","",'Lot Balance'!$O204)</f>
        <v/>
      </c>
      <c r="H205" s="33" t="str">
        <f>IF($A205="","",'Lot Balance'!$P204)</f>
        <v/>
      </c>
      <c r="I205" s="26" t="str">
        <f>IF($A205="","",COUNTIFS(tblIssues[Lot Number],$B205))</f>
        <v/>
      </c>
      <c r="J205" s="31" t="str">
        <f>IF($A205="","",IF('Lot Balance'!$O204&lt;=0,"Depleted",'Lot Balance'!$Q204))</f>
        <v/>
      </c>
    </row>
    <row r="206" spans="1:10" x14ac:dyDescent="0.35">
      <c r="A206" s="18" t="str">
        <f>IF('Lot Balance'!$A205="","",'Lot Balance'!$A205)</f>
        <v/>
      </c>
      <c r="B206" s="18" t="str">
        <f>IF($A206="","",'Lot Balance'!$B205)</f>
        <v/>
      </c>
      <c r="C206" s="18" t="str">
        <f>IF($A206="","",'Lot Balance'!$C205)</f>
        <v/>
      </c>
      <c r="D206" s="25" t="str">
        <f>IF($A206="","",'Lot Balance'!$G205)</f>
        <v/>
      </c>
      <c r="E206" s="25" t="str">
        <f>IF($A206="","",'Lot Balance'!$H205)</f>
        <v/>
      </c>
      <c r="F206" s="23" t="str">
        <f>IF($A206="","",'Lot Balance'!$I205)</f>
        <v/>
      </c>
      <c r="G206" s="23" t="str">
        <f>IF($A206="","",'Lot Balance'!$O205)</f>
        <v/>
      </c>
      <c r="H206" s="33" t="str">
        <f>IF($A206="","",'Lot Balance'!$P205)</f>
        <v/>
      </c>
      <c r="I206" s="26" t="str">
        <f>IF($A206="","",COUNTIFS(tblIssues[Lot Number],$B206))</f>
        <v/>
      </c>
      <c r="J206" s="31" t="str">
        <f>IF($A206="","",IF('Lot Balance'!$O205&lt;=0,"Depleted",'Lot Balance'!$Q205))</f>
        <v/>
      </c>
    </row>
    <row r="207" spans="1:10" x14ac:dyDescent="0.35">
      <c r="A207" s="18" t="str">
        <f>IF('Lot Balance'!$A206="","",'Lot Balance'!$A206)</f>
        <v/>
      </c>
      <c r="B207" s="18" t="str">
        <f>IF($A207="","",'Lot Balance'!$B206)</f>
        <v/>
      </c>
      <c r="C207" s="18" t="str">
        <f>IF($A207="","",'Lot Balance'!$C206)</f>
        <v/>
      </c>
      <c r="D207" s="25" t="str">
        <f>IF($A207="","",'Lot Balance'!$G206)</f>
        <v/>
      </c>
      <c r="E207" s="25" t="str">
        <f>IF($A207="","",'Lot Balance'!$H206)</f>
        <v/>
      </c>
      <c r="F207" s="23" t="str">
        <f>IF($A207="","",'Lot Balance'!$I206)</f>
        <v/>
      </c>
      <c r="G207" s="23" t="str">
        <f>IF($A207="","",'Lot Balance'!$O206)</f>
        <v/>
      </c>
      <c r="H207" s="33" t="str">
        <f>IF($A207="","",'Lot Balance'!$P206)</f>
        <v/>
      </c>
      <c r="I207" s="26" t="str">
        <f>IF($A207="","",COUNTIFS(tblIssues[Lot Number],$B207))</f>
        <v/>
      </c>
      <c r="J207" s="31" t="str">
        <f>IF($A207="","",IF('Lot Balance'!$O206&lt;=0,"Depleted",'Lot Balance'!$Q206))</f>
        <v/>
      </c>
    </row>
    <row r="208" spans="1:10" x14ac:dyDescent="0.35">
      <c r="A208" s="18" t="str">
        <f>IF('Lot Balance'!$A207="","",'Lot Balance'!$A207)</f>
        <v/>
      </c>
      <c r="B208" s="18" t="str">
        <f>IF($A208="","",'Lot Balance'!$B207)</f>
        <v/>
      </c>
      <c r="C208" s="18" t="str">
        <f>IF($A208="","",'Lot Balance'!$C207)</f>
        <v/>
      </c>
      <c r="D208" s="25" t="str">
        <f>IF($A208="","",'Lot Balance'!$G207)</f>
        <v/>
      </c>
      <c r="E208" s="25" t="str">
        <f>IF($A208="","",'Lot Balance'!$H207)</f>
        <v/>
      </c>
      <c r="F208" s="23" t="str">
        <f>IF($A208="","",'Lot Balance'!$I207)</f>
        <v/>
      </c>
      <c r="G208" s="23" t="str">
        <f>IF($A208="","",'Lot Balance'!$O207)</f>
        <v/>
      </c>
      <c r="H208" s="33" t="str">
        <f>IF($A208="","",'Lot Balance'!$P207)</f>
        <v/>
      </c>
      <c r="I208" s="26" t="str">
        <f>IF($A208="","",COUNTIFS(tblIssues[Lot Number],$B208))</f>
        <v/>
      </c>
      <c r="J208" s="31" t="str">
        <f>IF($A208="","",IF('Lot Balance'!$O207&lt;=0,"Depleted",'Lot Balance'!$Q207))</f>
        <v/>
      </c>
    </row>
    <row r="209" spans="1:10" x14ac:dyDescent="0.35">
      <c r="A209" s="18" t="str">
        <f>IF('Lot Balance'!$A208="","",'Lot Balance'!$A208)</f>
        <v/>
      </c>
      <c r="B209" s="18" t="str">
        <f>IF($A209="","",'Lot Balance'!$B208)</f>
        <v/>
      </c>
      <c r="C209" s="18" t="str">
        <f>IF($A209="","",'Lot Balance'!$C208)</f>
        <v/>
      </c>
      <c r="D209" s="25" t="str">
        <f>IF($A209="","",'Lot Balance'!$G208)</f>
        <v/>
      </c>
      <c r="E209" s="25" t="str">
        <f>IF($A209="","",'Lot Balance'!$H208)</f>
        <v/>
      </c>
      <c r="F209" s="23" t="str">
        <f>IF($A209="","",'Lot Balance'!$I208)</f>
        <v/>
      </c>
      <c r="G209" s="23" t="str">
        <f>IF($A209="","",'Lot Balance'!$O208)</f>
        <v/>
      </c>
      <c r="H209" s="33" t="str">
        <f>IF($A209="","",'Lot Balance'!$P208)</f>
        <v/>
      </c>
      <c r="I209" s="26" t="str">
        <f>IF($A209="","",COUNTIFS(tblIssues[Lot Number],$B209))</f>
        <v/>
      </c>
      <c r="J209" s="31" t="str">
        <f>IF($A209="","",IF('Lot Balance'!$O208&lt;=0,"Depleted",'Lot Balance'!$Q208))</f>
        <v/>
      </c>
    </row>
    <row r="210" spans="1:10" x14ac:dyDescent="0.35">
      <c r="A210" s="18" t="str">
        <f>IF('Lot Balance'!$A209="","",'Lot Balance'!$A209)</f>
        <v/>
      </c>
      <c r="B210" s="18" t="str">
        <f>IF($A210="","",'Lot Balance'!$B209)</f>
        <v/>
      </c>
      <c r="C210" s="18" t="str">
        <f>IF($A210="","",'Lot Balance'!$C209)</f>
        <v/>
      </c>
      <c r="D210" s="25" t="str">
        <f>IF($A210="","",'Lot Balance'!$G209)</f>
        <v/>
      </c>
      <c r="E210" s="25" t="str">
        <f>IF($A210="","",'Lot Balance'!$H209)</f>
        <v/>
      </c>
      <c r="F210" s="23" t="str">
        <f>IF($A210="","",'Lot Balance'!$I209)</f>
        <v/>
      </c>
      <c r="G210" s="23" t="str">
        <f>IF($A210="","",'Lot Balance'!$O209)</f>
        <v/>
      </c>
      <c r="H210" s="33" t="str">
        <f>IF($A210="","",'Lot Balance'!$P209)</f>
        <v/>
      </c>
      <c r="I210" s="26" t="str">
        <f>IF($A210="","",COUNTIFS(tblIssues[Lot Number],$B210))</f>
        <v/>
      </c>
      <c r="J210" s="31" t="str">
        <f>IF($A210="","",IF('Lot Balance'!$O209&lt;=0,"Depleted",'Lot Balance'!$Q209))</f>
        <v/>
      </c>
    </row>
    <row r="211" spans="1:10" x14ac:dyDescent="0.35">
      <c r="A211" s="18" t="str">
        <f>IF('Lot Balance'!$A210="","",'Lot Balance'!$A210)</f>
        <v/>
      </c>
      <c r="B211" s="18" t="str">
        <f>IF($A211="","",'Lot Balance'!$B210)</f>
        <v/>
      </c>
      <c r="C211" s="18" t="str">
        <f>IF($A211="","",'Lot Balance'!$C210)</f>
        <v/>
      </c>
      <c r="D211" s="25" t="str">
        <f>IF($A211="","",'Lot Balance'!$G210)</f>
        <v/>
      </c>
      <c r="E211" s="25" t="str">
        <f>IF($A211="","",'Lot Balance'!$H210)</f>
        <v/>
      </c>
      <c r="F211" s="23" t="str">
        <f>IF($A211="","",'Lot Balance'!$I210)</f>
        <v/>
      </c>
      <c r="G211" s="23" t="str">
        <f>IF($A211="","",'Lot Balance'!$O210)</f>
        <v/>
      </c>
      <c r="H211" s="33" t="str">
        <f>IF($A211="","",'Lot Balance'!$P210)</f>
        <v/>
      </c>
      <c r="I211" s="26" t="str">
        <f>IF($A211="","",COUNTIFS(tblIssues[Lot Number],$B211))</f>
        <v/>
      </c>
      <c r="J211" s="31" t="str">
        <f>IF($A211="","",IF('Lot Balance'!$O210&lt;=0,"Depleted",'Lot Balance'!$Q210))</f>
        <v/>
      </c>
    </row>
    <row r="212" spans="1:10" x14ac:dyDescent="0.35">
      <c r="A212" s="18" t="str">
        <f>IF('Lot Balance'!$A211="","",'Lot Balance'!$A211)</f>
        <v/>
      </c>
      <c r="B212" s="18" t="str">
        <f>IF($A212="","",'Lot Balance'!$B211)</f>
        <v/>
      </c>
      <c r="C212" s="18" t="str">
        <f>IF($A212="","",'Lot Balance'!$C211)</f>
        <v/>
      </c>
      <c r="D212" s="25" t="str">
        <f>IF($A212="","",'Lot Balance'!$G211)</f>
        <v/>
      </c>
      <c r="E212" s="25" t="str">
        <f>IF($A212="","",'Lot Balance'!$H211)</f>
        <v/>
      </c>
      <c r="F212" s="23" t="str">
        <f>IF($A212="","",'Lot Balance'!$I211)</f>
        <v/>
      </c>
      <c r="G212" s="23" t="str">
        <f>IF($A212="","",'Lot Balance'!$O211)</f>
        <v/>
      </c>
      <c r="H212" s="33" t="str">
        <f>IF($A212="","",'Lot Balance'!$P211)</f>
        <v/>
      </c>
      <c r="I212" s="26" t="str">
        <f>IF($A212="","",COUNTIFS(tblIssues[Lot Number],$B212))</f>
        <v/>
      </c>
      <c r="J212" s="31" t="str">
        <f>IF($A212="","",IF('Lot Balance'!$O211&lt;=0,"Depleted",'Lot Balance'!$Q211))</f>
        <v/>
      </c>
    </row>
    <row r="213" spans="1:10" x14ac:dyDescent="0.35">
      <c r="A213" s="18" t="str">
        <f>IF('Lot Balance'!$A212="","",'Lot Balance'!$A212)</f>
        <v/>
      </c>
      <c r="B213" s="18" t="str">
        <f>IF($A213="","",'Lot Balance'!$B212)</f>
        <v/>
      </c>
      <c r="C213" s="18" t="str">
        <f>IF($A213="","",'Lot Balance'!$C212)</f>
        <v/>
      </c>
      <c r="D213" s="25" t="str">
        <f>IF($A213="","",'Lot Balance'!$G212)</f>
        <v/>
      </c>
      <c r="E213" s="25" t="str">
        <f>IF($A213="","",'Lot Balance'!$H212)</f>
        <v/>
      </c>
      <c r="F213" s="23" t="str">
        <f>IF($A213="","",'Lot Balance'!$I212)</f>
        <v/>
      </c>
      <c r="G213" s="23" t="str">
        <f>IF($A213="","",'Lot Balance'!$O212)</f>
        <v/>
      </c>
      <c r="H213" s="33" t="str">
        <f>IF($A213="","",'Lot Balance'!$P212)</f>
        <v/>
      </c>
      <c r="I213" s="26" t="str">
        <f>IF($A213="","",COUNTIFS(tblIssues[Lot Number],$B213))</f>
        <v/>
      </c>
      <c r="J213" s="31" t="str">
        <f>IF($A213="","",IF('Lot Balance'!$O212&lt;=0,"Depleted",'Lot Balance'!$Q212))</f>
        <v/>
      </c>
    </row>
    <row r="214" spans="1:10" x14ac:dyDescent="0.35">
      <c r="A214" s="18" t="str">
        <f>IF('Lot Balance'!$A213="","",'Lot Balance'!$A213)</f>
        <v/>
      </c>
      <c r="B214" s="18" t="str">
        <f>IF($A214="","",'Lot Balance'!$B213)</f>
        <v/>
      </c>
      <c r="C214" s="18" t="str">
        <f>IF($A214="","",'Lot Balance'!$C213)</f>
        <v/>
      </c>
      <c r="D214" s="25" t="str">
        <f>IF($A214="","",'Lot Balance'!$G213)</f>
        <v/>
      </c>
      <c r="E214" s="25" t="str">
        <f>IF($A214="","",'Lot Balance'!$H213)</f>
        <v/>
      </c>
      <c r="F214" s="23" t="str">
        <f>IF($A214="","",'Lot Balance'!$I213)</f>
        <v/>
      </c>
      <c r="G214" s="23" t="str">
        <f>IF($A214="","",'Lot Balance'!$O213)</f>
        <v/>
      </c>
      <c r="H214" s="33" t="str">
        <f>IF($A214="","",'Lot Balance'!$P213)</f>
        <v/>
      </c>
      <c r="I214" s="26" t="str">
        <f>IF($A214="","",COUNTIFS(tblIssues[Lot Number],$B214))</f>
        <v/>
      </c>
      <c r="J214" s="31" t="str">
        <f>IF($A214="","",IF('Lot Balance'!$O213&lt;=0,"Depleted",'Lot Balance'!$Q213))</f>
        <v/>
      </c>
    </row>
    <row r="215" spans="1:10" x14ac:dyDescent="0.35">
      <c r="A215" s="18" t="str">
        <f>IF('Lot Balance'!$A214="","",'Lot Balance'!$A214)</f>
        <v/>
      </c>
      <c r="B215" s="18" t="str">
        <f>IF($A215="","",'Lot Balance'!$B214)</f>
        <v/>
      </c>
      <c r="C215" s="18" t="str">
        <f>IF($A215="","",'Lot Balance'!$C214)</f>
        <v/>
      </c>
      <c r="D215" s="25" t="str">
        <f>IF($A215="","",'Lot Balance'!$G214)</f>
        <v/>
      </c>
      <c r="E215" s="25" t="str">
        <f>IF($A215="","",'Lot Balance'!$H214)</f>
        <v/>
      </c>
      <c r="F215" s="23" t="str">
        <f>IF($A215="","",'Lot Balance'!$I214)</f>
        <v/>
      </c>
      <c r="G215" s="23" t="str">
        <f>IF($A215="","",'Lot Balance'!$O214)</f>
        <v/>
      </c>
      <c r="H215" s="33" t="str">
        <f>IF($A215="","",'Lot Balance'!$P214)</f>
        <v/>
      </c>
      <c r="I215" s="26" t="str">
        <f>IF($A215="","",COUNTIFS(tblIssues[Lot Number],$B215))</f>
        <v/>
      </c>
      <c r="J215" s="31" t="str">
        <f>IF($A215="","",IF('Lot Balance'!$O214&lt;=0,"Depleted",'Lot Balance'!$Q214))</f>
        <v/>
      </c>
    </row>
    <row r="216" spans="1:10" x14ac:dyDescent="0.35">
      <c r="A216" s="18" t="str">
        <f>IF('Lot Balance'!$A215="","",'Lot Balance'!$A215)</f>
        <v/>
      </c>
      <c r="B216" s="18" t="str">
        <f>IF($A216="","",'Lot Balance'!$B215)</f>
        <v/>
      </c>
      <c r="C216" s="18" t="str">
        <f>IF($A216="","",'Lot Balance'!$C215)</f>
        <v/>
      </c>
      <c r="D216" s="25" t="str">
        <f>IF($A216="","",'Lot Balance'!$G215)</f>
        <v/>
      </c>
      <c r="E216" s="25" t="str">
        <f>IF($A216="","",'Lot Balance'!$H215)</f>
        <v/>
      </c>
      <c r="F216" s="23" t="str">
        <f>IF($A216="","",'Lot Balance'!$I215)</f>
        <v/>
      </c>
      <c r="G216" s="23" t="str">
        <f>IF($A216="","",'Lot Balance'!$O215)</f>
        <v/>
      </c>
      <c r="H216" s="33" t="str">
        <f>IF($A216="","",'Lot Balance'!$P215)</f>
        <v/>
      </c>
      <c r="I216" s="26" t="str">
        <f>IF($A216="","",COUNTIFS(tblIssues[Lot Number],$B216))</f>
        <v/>
      </c>
      <c r="J216" s="31" t="str">
        <f>IF($A216="","",IF('Lot Balance'!$O215&lt;=0,"Depleted",'Lot Balance'!$Q215))</f>
        <v/>
      </c>
    </row>
    <row r="217" spans="1:10" x14ac:dyDescent="0.35">
      <c r="A217" s="18" t="str">
        <f>IF('Lot Balance'!$A216="","",'Lot Balance'!$A216)</f>
        <v/>
      </c>
      <c r="B217" s="18" t="str">
        <f>IF($A217="","",'Lot Balance'!$B216)</f>
        <v/>
      </c>
      <c r="C217" s="18" t="str">
        <f>IF($A217="","",'Lot Balance'!$C216)</f>
        <v/>
      </c>
      <c r="D217" s="25" t="str">
        <f>IF($A217="","",'Lot Balance'!$G216)</f>
        <v/>
      </c>
      <c r="E217" s="25" t="str">
        <f>IF($A217="","",'Lot Balance'!$H216)</f>
        <v/>
      </c>
      <c r="F217" s="23" t="str">
        <f>IF($A217="","",'Lot Balance'!$I216)</f>
        <v/>
      </c>
      <c r="G217" s="23" t="str">
        <f>IF($A217="","",'Lot Balance'!$O216)</f>
        <v/>
      </c>
      <c r="H217" s="33" t="str">
        <f>IF($A217="","",'Lot Balance'!$P216)</f>
        <v/>
      </c>
      <c r="I217" s="26" t="str">
        <f>IF($A217="","",COUNTIFS(tblIssues[Lot Number],$B217))</f>
        <v/>
      </c>
      <c r="J217" s="31" t="str">
        <f>IF($A217="","",IF('Lot Balance'!$O216&lt;=0,"Depleted",'Lot Balance'!$Q216))</f>
        <v/>
      </c>
    </row>
    <row r="218" spans="1:10" x14ac:dyDescent="0.35">
      <c r="A218" s="18" t="str">
        <f>IF('Lot Balance'!$A217="","",'Lot Balance'!$A217)</f>
        <v/>
      </c>
      <c r="B218" s="18" t="str">
        <f>IF($A218="","",'Lot Balance'!$B217)</f>
        <v/>
      </c>
      <c r="C218" s="18" t="str">
        <f>IF($A218="","",'Lot Balance'!$C217)</f>
        <v/>
      </c>
      <c r="D218" s="25" t="str">
        <f>IF($A218="","",'Lot Balance'!$G217)</f>
        <v/>
      </c>
      <c r="E218" s="25" t="str">
        <f>IF($A218="","",'Lot Balance'!$H217)</f>
        <v/>
      </c>
      <c r="F218" s="23" t="str">
        <f>IF($A218="","",'Lot Balance'!$I217)</f>
        <v/>
      </c>
      <c r="G218" s="23" t="str">
        <f>IF($A218="","",'Lot Balance'!$O217)</f>
        <v/>
      </c>
      <c r="H218" s="33" t="str">
        <f>IF($A218="","",'Lot Balance'!$P217)</f>
        <v/>
      </c>
      <c r="I218" s="26" t="str">
        <f>IF($A218="","",COUNTIFS(tblIssues[Lot Number],$B218))</f>
        <v/>
      </c>
      <c r="J218" s="31" t="str">
        <f>IF($A218="","",IF('Lot Balance'!$O217&lt;=0,"Depleted",'Lot Balance'!$Q217))</f>
        <v/>
      </c>
    </row>
    <row r="219" spans="1:10" x14ac:dyDescent="0.35">
      <c r="A219" s="18" t="str">
        <f>IF('Lot Balance'!$A218="","",'Lot Balance'!$A218)</f>
        <v/>
      </c>
      <c r="B219" s="18" t="str">
        <f>IF($A219="","",'Lot Balance'!$B218)</f>
        <v/>
      </c>
      <c r="C219" s="18" t="str">
        <f>IF($A219="","",'Lot Balance'!$C218)</f>
        <v/>
      </c>
      <c r="D219" s="25" t="str">
        <f>IF($A219="","",'Lot Balance'!$G218)</f>
        <v/>
      </c>
      <c r="E219" s="25" t="str">
        <f>IF($A219="","",'Lot Balance'!$H218)</f>
        <v/>
      </c>
      <c r="F219" s="23" t="str">
        <f>IF($A219="","",'Lot Balance'!$I218)</f>
        <v/>
      </c>
      <c r="G219" s="23" t="str">
        <f>IF($A219="","",'Lot Balance'!$O218)</f>
        <v/>
      </c>
      <c r="H219" s="33" t="str">
        <f>IF($A219="","",'Lot Balance'!$P218)</f>
        <v/>
      </c>
      <c r="I219" s="26" t="str">
        <f>IF($A219="","",COUNTIFS(tblIssues[Lot Number],$B219))</f>
        <v/>
      </c>
      <c r="J219" s="31" t="str">
        <f>IF($A219="","",IF('Lot Balance'!$O218&lt;=0,"Depleted",'Lot Balance'!$Q218))</f>
        <v/>
      </c>
    </row>
    <row r="220" spans="1:10" x14ac:dyDescent="0.35">
      <c r="A220" s="18" t="str">
        <f>IF('Lot Balance'!$A219="","",'Lot Balance'!$A219)</f>
        <v/>
      </c>
      <c r="B220" s="18" t="str">
        <f>IF($A220="","",'Lot Balance'!$B219)</f>
        <v/>
      </c>
      <c r="C220" s="18" t="str">
        <f>IF($A220="","",'Lot Balance'!$C219)</f>
        <v/>
      </c>
      <c r="D220" s="25" t="str">
        <f>IF($A220="","",'Lot Balance'!$G219)</f>
        <v/>
      </c>
      <c r="E220" s="25" t="str">
        <f>IF($A220="","",'Lot Balance'!$H219)</f>
        <v/>
      </c>
      <c r="F220" s="23" t="str">
        <f>IF($A220="","",'Lot Balance'!$I219)</f>
        <v/>
      </c>
      <c r="G220" s="23" t="str">
        <f>IF($A220="","",'Lot Balance'!$O219)</f>
        <v/>
      </c>
      <c r="H220" s="33" t="str">
        <f>IF($A220="","",'Lot Balance'!$P219)</f>
        <v/>
      </c>
      <c r="I220" s="26" t="str">
        <f>IF($A220="","",COUNTIFS(tblIssues[Lot Number],$B220))</f>
        <v/>
      </c>
      <c r="J220" s="31" t="str">
        <f>IF($A220="","",IF('Lot Balance'!$O219&lt;=0,"Depleted",'Lot Balance'!$Q219))</f>
        <v/>
      </c>
    </row>
    <row r="221" spans="1:10" x14ac:dyDescent="0.35">
      <c r="A221" s="18" t="str">
        <f>IF('Lot Balance'!$A220="","",'Lot Balance'!$A220)</f>
        <v/>
      </c>
      <c r="B221" s="18" t="str">
        <f>IF($A221="","",'Lot Balance'!$B220)</f>
        <v/>
      </c>
      <c r="C221" s="18" t="str">
        <f>IF($A221="","",'Lot Balance'!$C220)</f>
        <v/>
      </c>
      <c r="D221" s="25" t="str">
        <f>IF($A221="","",'Lot Balance'!$G220)</f>
        <v/>
      </c>
      <c r="E221" s="25" t="str">
        <f>IF($A221="","",'Lot Balance'!$H220)</f>
        <v/>
      </c>
      <c r="F221" s="23" t="str">
        <f>IF($A221="","",'Lot Balance'!$I220)</f>
        <v/>
      </c>
      <c r="G221" s="23" t="str">
        <f>IF($A221="","",'Lot Balance'!$O220)</f>
        <v/>
      </c>
      <c r="H221" s="33" t="str">
        <f>IF($A221="","",'Lot Balance'!$P220)</f>
        <v/>
      </c>
      <c r="I221" s="26" t="str">
        <f>IF($A221="","",COUNTIFS(tblIssues[Lot Number],$B221))</f>
        <v/>
      </c>
      <c r="J221" s="31" t="str">
        <f>IF($A221="","",IF('Lot Balance'!$O220&lt;=0,"Depleted",'Lot Balance'!$Q220))</f>
        <v/>
      </c>
    </row>
    <row r="222" spans="1:10" x14ac:dyDescent="0.35">
      <c r="A222" s="18" t="str">
        <f>IF('Lot Balance'!$A221="","",'Lot Balance'!$A221)</f>
        <v/>
      </c>
      <c r="B222" s="18" t="str">
        <f>IF($A222="","",'Lot Balance'!$B221)</f>
        <v/>
      </c>
      <c r="C222" s="18" t="str">
        <f>IF($A222="","",'Lot Balance'!$C221)</f>
        <v/>
      </c>
      <c r="D222" s="25" t="str">
        <f>IF($A222="","",'Lot Balance'!$G221)</f>
        <v/>
      </c>
      <c r="E222" s="25" t="str">
        <f>IF($A222="","",'Lot Balance'!$H221)</f>
        <v/>
      </c>
      <c r="F222" s="23" t="str">
        <f>IF($A222="","",'Lot Balance'!$I221)</f>
        <v/>
      </c>
      <c r="G222" s="23" t="str">
        <f>IF($A222="","",'Lot Balance'!$O221)</f>
        <v/>
      </c>
      <c r="H222" s="33" t="str">
        <f>IF($A222="","",'Lot Balance'!$P221)</f>
        <v/>
      </c>
      <c r="I222" s="26" t="str">
        <f>IF($A222="","",COUNTIFS(tblIssues[Lot Number],$B222))</f>
        <v/>
      </c>
      <c r="J222" s="31" t="str">
        <f>IF($A222="","",IF('Lot Balance'!$O221&lt;=0,"Depleted",'Lot Balance'!$Q221))</f>
        <v/>
      </c>
    </row>
    <row r="223" spans="1:10" x14ac:dyDescent="0.35">
      <c r="A223" s="18" t="str">
        <f>IF('Lot Balance'!$A222="","",'Lot Balance'!$A222)</f>
        <v/>
      </c>
      <c r="B223" s="18" t="str">
        <f>IF($A223="","",'Lot Balance'!$B222)</f>
        <v/>
      </c>
      <c r="C223" s="18" t="str">
        <f>IF($A223="","",'Lot Balance'!$C222)</f>
        <v/>
      </c>
      <c r="D223" s="25" t="str">
        <f>IF($A223="","",'Lot Balance'!$G222)</f>
        <v/>
      </c>
      <c r="E223" s="25" t="str">
        <f>IF($A223="","",'Lot Balance'!$H222)</f>
        <v/>
      </c>
      <c r="F223" s="23" t="str">
        <f>IF($A223="","",'Lot Balance'!$I222)</f>
        <v/>
      </c>
      <c r="G223" s="23" t="str">
        <f>IF($A223="","",'Lot Balance'!$O222)</f>
        <v/>
      </c>
      <c r="H223" s="33" t="str">
        <f>IF($A223="","",'Lot Balance'!$P222)</f>
        <v/>
      </c>
      <c r="I223" s="26" t="str">
        <f>IF($A223="","",COUNTIFS(tblIssues[Lot Number],$B223))</f>
        <v/>
      </c>
      <c r="J223" s="31" t="str">
        <f>IF($A223="","",IF('Lot Balance'!$O222&lt;=0,"Depleted",'Lot Balance'!$Q222))</f>
        <v/>
      </c>
    </row>
    <row r="224" spans="1:10" x14ac:dyDescent="0.35">
      <c r="A224" s="18" t="str">
        <f>IF('Lot Balance'!$A223="","",'Lot Balance'!$A223)</f>
        <v/>
      </c>
      <c r="B224" s="18" t="str">
        <f>IF($A224="","",'Lot Balance'!$B223)</f>
        <v/>
      </c>
      <c r="C224" s="18" t="str">
        <f>IF($A224="","",'Lot Balance'!$C223)</f>
        <v/>
      </c>
      <c r="D224" s="25" t="str">
        <f>IF($A224="","",'Lot Balance'!$G223)</f>
        <v/>
      </c>
      <c r="E224" s="25" t="str">
        <f>IF($A224="","",'Lot Balance'!$H223)</f>
        <v/>
      </c>
      <c r="F224" s="23" t="str">
        <f>IF($A224="","",'Lot Balance'!$I223)</f>
        <v/>
      </c>
      <c r="G224" s="23" t="str">
        <f>IF($A224="","",'Lot Balance'!$O223)</f>
        <v/>
      </c>
      <c r="H224" s="33" t="str">
        <f>IF($A224="","",'Lot Balance'!$P223)</f>
        <v/>
      </c>
      <c r="I224" s="26" t="str">
        <f>IF($A224="","",COUNTIFS(tblIssues[Lot Number],$B224))</f>
        <v/>
      </c>
      <c r="J224" s="31" t="str">
        <f>IF($A224="","",IF('Lot Balance'!$O223&lt;=0,"Depleted",'Lot Balance'!$Q223))</f>
        <v/>
      </c>
    </row>
    <row r="225" spans="1:10" x14ac:dyDescent="0.35">
      <c r="A225" s="18" t="str">
        <f>IF('Lot Balance'!$A224="","",'Lot Balance'!$A224)</f>
        <v/>
      </c>
      <c r="B225" s="18" t="str">
        <f>IF($A225="","",'Lot Balance'!$B224)</f>
        <v/>
      </c>
      <c r="C225" s="18" t="str">
        <f>IF($A225="","",'Lot Balance'!$C224)</f>
        <v/>
      </c>
      <c r="D225" s="25" t="str">
        <f>IF($A225="","",'Lot Balance'!$G224)</f>
        <v/>
      </c>
      <c r="E225" s="25" t="str">
        <f>IF($A225="","",'Lot Balance'!$H224)</f>
        <v/>
      </c>
      <c r="F225" s="23" t="str">
        <f>IF($A225="","",'Lot Balance'!$I224)</f>
        <v/>
      </c>
      <c r="G225" s="23" t="str">
        <f>IF($A225="","",'Lot Balance'!$O224)</f>
        <v/>
      </c>
      <c r="H225" s="33" t="str">
        <f>IF($A225="","",'Lot Balance'!$P224)</f>
        <v/>
      </c>
      <c r="I225" s="26" t="str">
        <f>IF($A225="","",COUNTIFS(tblIssues[Lot Number],$B225))</f>
        <v/>
      </c>
      <c r="J225" s="31" t="str">
        <f>IF($A225="","",IF('Lot Balance'!$O224&lt;=0,"Depleted",'Lot Balance'!$Q224))</f>
        <v/>
      </c>
    </row>
    <row r="226" spans="1:10" x14ac:dyDescent="0.35">
      <c r="A226" s="18" t="str">
        <f>IF('Lot Balance'!$A225="","",'Lot Balance'!$A225)</f>
        <v/>
      </c>
      <c r="B226" s="18" t="str">
        <f>IF($A226="","",'Lot Balance'!$B225)</f>
        <v/>
      </c>
      <c r="C226" s="18" t="str">
        <f>IF($A226="","",'Lot Balance'!$C225)</f>
        <v/>
      </c>
      <c r="D226" s="25" t="str">
        <f>IF($A226="","",'Lot Balance'!$G225)</f>
        <v/>
      </c>
      <c r="E226" s="25" t="str">
        <f>IF($A226="","",'Lot Balance'!$H225)</f>
        <v/>
      </c>
      <c r="F226" s="23" t="str">
        <f>IF($A226="","",'Lot Balance'!$I225)</f>
        <v/>
      </c>
      <c r="G226" s="23" t="str">
        <f>IF($A226="","",'Lot Balance'!$O225)</f>
        <v/>
      </c>
      <c r="H226" s="33" t="str">
        <f>IF($A226="","",'Lot Balance'!$P225)</f>
        <v/>
      </c>
      <c r="I226" s="26" t="str">
        <f>IF($A226="","",COUNTIFS(tblIssues[Lot Number],$B226))</f>
        <v/>
      </c>
      <c r="J226" s="31" t="str">
        <f>IF($A226="","",IF('Lot Balance'!$O225&lt;=0,"Depleted",'Lot Balance'!$Q225))</f>
        <v/>
      </c>
    </row>
    <row r="227" spans="1:10" x14ac:dyDescent="0.35">
      <c r="A227" s="18" t="str">
        <f>IF('Lot Balance'!$A226="","",'Lot Balance'!$A226)</f>
        <v/>
      </c>
      <c r="B227" s="18" t="str">
        <f>IF($A227="","",'Lot Balance'!$B226)</f>
        <v/>
      </c>
      <c r="C227" s="18" t="str">
        <f>IF($A227="","",'Lot Balance'!$C226)</f>
        <v/>
      </c>
      <c r="D227" s="25" t="str">
        <f>IF($A227="","",'Lot Balance'!$G226)</f>
        <v/>
      </c>
      <c r="E227" s="25" t="str">
        <f>IF($A227="","",'Lot Balance'!$H226)</f>
        <v/>
      </c>
      <c r="F227" s="23" t="str">
        <f>IF($A227="","",'Lot Balance'!$I226)</f>
        <v/>
      </c>
      <c r="G227" s="23" t="str">
        <f>IF($A227="","",'Lot Balance'!$O226)</f>
        <v/>
      </c>
      <c r="H227" s="33" t="str">
        <f>IF($A227="","",'Lot Balance'!$P226)</f>
        <v/>
      </c>
      <c r="I227" s="26" t="str">
        <f>IF($A227="","",COUNTIFS(tblIssues[Lot Number],$B227))</f>
        <v/>
      </c>
      <c r="J227" s="31" t="str">
        <f>IF($A227="","",IF('Lot Balance'!$O226&lt;=0,"Depleted",'Lot Balance'!$Q226))</f>
        <v/>
      </c>
    </row>
    <row r="228" spans="1:10" x14ac:dyDescent="0.35">
      <c r="A228" s="18" t="str">
        <f>IF('Lot Balance'!$A227="","",'Lot Balance'!$A227)</f>
        <v/>
      </c>
      <c r="B228" s="18" t="str">
        <f>IF($A228="","",'Lot Balance'!$B227)</f>
        <v/>
      </c>
      <c r="C228" s="18" t="str">
        <f>IF($A228="","",'Lot Balance'!$C227)</f>
        <v/>
      </c>
      <c r="D228" s="25" t="str">
        <f>IF($A228="","",'Lot Balance'!$G227)</f>
        <v/>
      </c>
      <c r="E228" s="25" t="str">
        <f>IF($A228="","",'Lot Balance'!$H227)</f>
        <v/>
      </c>
      <c r="F228" s="23" t="str">
        <f>IF($A228="","",'Lot Balance'!$I227)</f>
        <v/>
      </c>
      <c r="G228" s="23" t="str">
        <f>IF($A228="","",'Lot Balance'!$O227)</f>
        <v/>
      </c>
      <c r="H228" s="33" t="str">
        <f>IF($A228="","",'Lot Balance'!$P227)</f>
        <v/>
      </c>
      <c r="I228" s="26" t="str">
        <f>IF($A228="","",COUNTIFS(tblIssues[Lot Number],$B228))</f>
        <v/>
      </c>
      <c r="J228" s="31" t="str">
        <f>IF($A228="","",IF('Lot Balance'!$O227&lt;=0,"Depleted",'Lot Balance'!$Q227))</f>
        <v/>
      </c>
    </row>
    <row r="229" spans="1:10" x14ac:dyDescent="0.35">
      <c r="A229" s="18" t="str">
        <f>IF('Lot Balance'!$A228="","",'Lot Balance'!$A228)</f>
        <v/>
      </c>
      <c r="B229" s="18" t="str">
        <f>IF($A229="","",'Lot Balance'!$B228)</f>
        <v/>
      </c>
      <c r="C229" s="18" t="str">
        <f>IF($A229="","",'Lot Balance'!$C228)</f>
        <v/>
      </c>
      <c r="D229" s="25" t="str">
        <f>IF($A229="","",'Lot Balance'!$G228)</f>
        <v/>
      </c>
      <c r="E229" s="25" t="str">
        <f>IF($A229="","",'Lot Balance'!$H228)</f>
        <v/>
      </c>
      <c r="F229" s="23" t="str">
        <f>IF($A229="","",'Lot Balance'!$I228)</f>
        <v/>
      </c>
      <c r="G229" s="23" t="str">
        <f>IF($A229="","",'Lot Balance'!$O228)</f>
        <v/>
      </c>
      <c r="H229" s="33" t="str">
        <f>IF($A229="","",'Lot Balance'!$P228)</f>
        <v/>
      </c>
      <c r="I229" s="26" t="str">
        <f>IF($A229="","",COUNTIFS(tblIssues[Lot Number],$B229))</f>
        <v/>
      </c>
      <c r="J229" s="31" t="str">
        <f>IF($A229="","",IF('Lot Balance'!$O228&lt;=0,"Depleted",'Lot Balance'!$Q228))</f>
        <v/>
      </c>
    </row>
    <row r="230" spans="1:10" x14ac:dyDescent="0.35">
      <c r="A230" s="18" t="str">
        <f>IF('Lot Balance'!$A229="","",'Lot Balance'!$A229)</f>
        <v/>
      </c>
      <c r="B230" s="18" t="str">
        <f>IF($A230="","",'Lot Balance'!$B229)</f>
        <v/>
      </c>
      <c r="C230" s="18" t="str">
        <f>IF($A230="","",'Lot Balance'!$C229)</f>
        <v/>
      </c>
      <c r="D230" s="25" t="str">
        <f>IF($A230="","",'Lot Balance'!$G229)</f>
        <v/>
      </c>
      <c r="E230" s="25" t="str">
        <f>IF($A230="","",'Lot Balance'!$H229)</f>
        <v/>
      </c>
      <c r="F230" s="23" t="str">
        <f>IF($A230="","",'Lot Balance'!$I229)</f>
        <v/>
      </c>
      <c r="G230" s="23" t="str">
        <f>IF($A230="","",'Lot Balance'!$O229)</f>
        <v/>
      </c>
      <c r="H230" s="33" t="str">
        <f>IF($A230="","",'Lot Balance'!$P229)</f>
        <v/>
      </c>
      <c r="I230" s="26" t="str">
        <f>IF($A230="","",COUNTIFS(tblIssues[Lot Number],$B230))</f>
        <v/>
      </c>
      <c r="J230" s="31" t="str">
        <f>IF($A230="","",IF('Lot Balance'!$O229&lt;=0,"Depleted",'Lot Balance'!$Q229))</f>
        <v/>
      </c>
    </row>
    <row r="231" spans="1:10" x14ac:dyDescent="0.35">
      <c r="A231" s="18" t="str">
        <f>IF('Lot Balance'!$A230="","",'Lot Balance'!$A230)</f>
        <v/>
      </c>
      <c r="B231" s="18" t="str">
        <f>IF($A231="","",'Lot Balance'!$B230)</f>
        <v/>
      </c>
      <c r="C231" s="18" t="str">
        <f>IF($A231="","",'Lot Balance'!$C230)</f>
        <v/>
      </c>
      <c r="D231" s="25" t="str">
        <f>IF($A231="","",'Lot Balance'!$G230)</f>
        <v/>
      </c>
      <c r="E231" s="25" t="str">
        <f>IF($A231="","",'Lot Balance'!$H230)</f>
        <v/>
      </c>
      <c r="F231" s="23" t="str">
        <f>IF($A231="","",'Lot Balance'!$I230)</f>
        <v/>
      </c>
      <c r="G231" s="23" t="str">
        <f>IF($A231="","",'Lot Balance'!$O230)</f>
        <v/>
      </c>
      <c r="H231" s="33" t="str">
        <f>IF($A231="","",'Lot Balance'!$P230)</f>
        <v/>
      </c>
      <c r="I231" s="26" t="str">
        <f>IF($A231="","",COUNTIFS(tblIssues[Lot Number],$B231))</f>
        <v/>
      </c>
      <c r="J231" s="31" t="str">
        <f>IF($A231="","",IF('Lot Balance'!$O230&lt;=0,"Depleted",'Lot Balance'!$Q230))</f>
        <v/>
      </c>
    </row>
    <row r="232" spans="1:10" x14ac:dyDescent="0.35">
      <c r="A232" s="18" t="str">
        <f>IF('Lot Balance'!$A231="","",'Lot Balance'!$A231)</f>
        <v/>
      </c>
      <c r="B232" s="18" t="str">
        <f>IF($A232="","",'Lot Balance'!$B231)</f>
        <v/>
      </c>
      <c r="C232" s="18" t="str">
        <f>IF($A232="","",'Lot Balance'!$C231)</f>
        <v/>
      </c>
      <c r="D232" s="25" t="str">
        <f>IF($A232="","",'Lot Balance'!$G231)</f>
        <v/>
      </c>
      <c r="E232" s="25" t="str">
        <f>IF($A232="","",'Lot Balance'!$H231)</f>
        <v/>
      </c>
      <c r="F232" s="23" t="str">
        <f>IF($A232="","",'Lot Balance'!$I231)</f>
        <v/>
      </c>
      <c r="G232" s="23" t="str">
        <f>IF($A232="","",'Lot Balance'!$O231)</f>
        <v/>
      </c>
      <c r="H232" s="33" t="str">
        <f>IF($A232="","",'Lot Balance'!$P231)</f>
        <v/>
      </c>
      <c r="I232" s="26" t="str">
        <f>IF($A232="","",COUNTIFS(tblIssues[Lot Number],$B232))</f>
        <v/>
      </c>
      <c r="J232" s="31" t="str">
        <f>IF($A232="","",IF('Lot Balance'!$O231&lt;=0,"Depleted",'Lot Balance'!$Q231))</f>
        <v/>
      </c>
    </row>
    <row r="233" spans="1:10" x14ac:dyDescent="0.35">
      <c r="A233" s="18" t="str">
        <f>IF('Lot Balance'!$A232="","",'Lot Balance'!$A232)</f>
        <v/>
      </c>
      <c r="B233" s="18" t="str">
        <f>IF($A233="","",'Lot Balance'!$B232)</f>
        <v/>
      </c>
      <c r="C233" s="18" t="str">
        <f>IF($A233="","",'Lot Balance'!$C232)</f>
        <v/>
      </c>
      <c r="D233" s="25" t="str">
        <f>IF($A233="","",'Lot Balance'!$G232)</f>
        <v/>
      </c>
      <c r="E233" s="25" t="str">
        <f>IF($A233="","",'Lot Balance'!$H232)</f>
        <v/>
      </c>
      <c r="F233" s="23" t="str">
        <f>IF($A233="","",'Lot Balance'!$I232)</f>
        <v/>
      </c>
      <c r="G233" s="23" t="str">
        <f>IF($A233="","",'Lot Balance'!$O232)</f>
        <v/>
      </c>
      <c r="H233" s="33" t="str">
        <f>IF($A233="","",'Lot Balance'!$P232)</f>
        <v/>
      </c>
      <c r="I233" s="26" t="str">
        <f>IF($A233="","",COUNTIFS(tblIssues[Lot Number],$B233))</f>
        <v/>
      </c>
      <c r="J233" s="31" t="str">
        <f>IF($A233="","",IF('Lot Balance'!$O232&lt;=0,"Depleted",'Lot Balance'!$Q232))</f>
        <v/>
      </c>
    </row>
    <row r="234" spans="1:10" x14ac:dyDescent="0.35">
      <c r="A234" s="18" t="str">
        <f>IF('Lot Balance'!$A233="","",'Lot Balance'!$A233)</f>
        <v/>
      </c>
      <c r="B234" s="18" t="str">
        <f>IF($A234="","",'Lot Balance'!$B233)</f>
        <v/>
      </c>
      <c r="C234" s="18" t="str">
        <f>IF($A234="","",'Lot Balance'!$C233)</f>
        <v/>
      </c>
      <c r="D234" s="25" t="str">
        <f>IF($A234="","",'Lot Balance'!$G233)</f>
        <v/>
      </c>
      <c r="E234" s="25" t="str">
        <f>IF($A234="","",'Lot Balance'!$H233)</f>
        <v/>
      </c>
      <c r="F234" s="23" t="str">
        <f>IF($A234="","",'Lot Balance'!$I233)</f>
        <v/>
      </c>
      <c r="G234" s="23" t="str">
        <f>IF($A234="","",'Lot Balance'!$O233)</f>
        <v/>
      </c>
      <c r="H234" s="33" t="str">
        <f>IF($A234="","",'Lot Balance'!$P233)</f>
        <v/>
      </c>
      <c r="I234" s="26" t="str">
        <f>IF($A234="","",COUNTIFS(tblIssues[Lot Number],$B234))</f>
        <v/>
      </c>
      <c r="J234" s="31" t="str">
        <f>IF($A234="","",IF('Lot Balance'!$O233&lt;=0,"Depleted",'Lot Balance'!$Q233))</f>
        <v/>
      </c>
    </row>
    <row r="235" spans="1:10" x14ac:dyDescent="0.35">
      <c r="A235" s="18" t="str">
        <f>IF('Lot Balance'!$A234="","",'Lot Balance'!$A234)</f>
        <v/>
      </c>
      <c r="B235" s="18" t="str">
        <f>IF($A235="","",'Lot Balance'!$B234)</f>
        <v/>
      </c>
      <c r="C235" s="18" t="str">
        <f>IF($A235="","",'Lot Balance'!$C234)</f>
        <v/>
      </c>
      <c r="D235" s="25" t="str">
        <f>IF($A235="","",'Lot Balance'!$G234)</f>
        <v/>
      </c>
      <c r="E235" s="25" t="str">
        <f>IF($A235="","",'Lot Balance'!$H234)</f>
        <v/>
      </c>
      <c r="F235" s="23" t="str">
        <f>IF($A235="","",'Lot Balance'!$I234)</f>
        <v/>
      </c>
      <c r="G235" s="23" t="str">
        <f>IF($A235="","",'Lot Balance'!$O234)</f>
        <v/>
      </c>
      <c r="H235" s="33" t="str">
        <f>IF($A235="","",'Lot Balance'!$P234)</f>
        <v/>
      </c>
      <c r="I235" s="26" t="str">
        <f>IF($A235="","",COUNTIFS(tblIssues[Lot Number],$B235))</f>
        <v/>
      </c>
      <c r="J235" s="31" t="str">
        <f>IF($A235="","",IF('Lot Balance'!$O234&lt;=0,"Depleted",'Lot Balance'!$Q234))</f>
        <v/>
      </c>
    </row>
    <row r="236" spans="1:10" x14ac:dyDescent="0.35">
      <c r="A236" s="18" t="str">
        <f>IF('Lot Balance'!$A235="","",'Lot Balance'!$A235)</f>
        <v/>
      </c>
      <c r="B236" s="18" t="str">
        <f>IF($A236="","",'Lot Balance'!$B235)</f>
        <v/>
      </c>
      <c r="C236" s="18" t="str">
        <f>IF($A236="","",'Lot Balance'!$C235)</f>
        <v/>
      </c>
      <c r="D236" s="25" t="str">
        <f>IF($A236="","",'Lot Balance'!$G235)</f>
        <v/>
      </c>
      <c r="E236" s="25" t="str">
        <f>IF($A236="","",'Lot Balance'!$H235)</f>
        <v/>
      </c>
      <c r="F236" s="23" t="str">
        <f>IF($A236="","",'Lot Balance'!$I235)</f>
        <v/>
      </c>
      <c r="G236" s="23" t="str">
        <f>IF($A236="","",'Lot Balance'!$O235)</f>
        <v/>
      </c>
      <c r="H236" s="33" t="str">
        <f>IF($A236="","",'Lot Balance'!$P235)</f>
        <v/>
      </c>
      <c r="I236" s="26" t="str">
        <f>IF($A236="","",COUNTIFS(tblIssues[Lot Number],$B236))</f>
        <v/>
      </c>
      <c r="J236" s="31" t="str">
        <f>IF($A236="","",IF('Lot Balance'!$O235&lt;=0,"Depleted",'Lot Balance'!$Q235))</f>
        <v/>
      </c>
    </row>
    <row r="237" spans="1:10" x14ac:dyDescent="0.35">
      <c r="A237" s="18" t="str">
        <f>IF('Lot Balance'!$A236="","",'Lot Balance'!$A236)</f>
        <v/>
      </c>
      <c r="B237" s="18" t="str">
        <f>IF($A237="","",'Lot Balance'!$B236)</f>
        <v/>
      </c>
      <c r="C237" s="18" t="str">
        <f>IF($A237="","",'Lot Balance'!$C236)</f>
        <v/>
      </c>
      <c r="D237" s="25" t="str">
        <f>IF($A237="","",'Lot Balance'!$G236)</f>
        <v/>
      </c>
      <c r="E237" s="25" t="str">
        <f>IF($A237="","",'Lot Balance'!$H236)</f>
        <v/>
      </c>
      <c r="F237" s="23" t="str">
        <f>IF($A237="","",'Lot Balance'!$I236)</f>
        <v/>
      </c>
      <c r="G237" s="23" t="str">
        <f>IF($A237="","",'Lot Balance'!$O236)</f>
        <v/>
      </c>
      <c r="H237" s="33" t="str">
        <f>IF($A237="","",'Lot Balance'!$P236)</f>
        <v/>
      </c>
      <c r="I237" s="26" t="str">
        <f>IF($A237="","",COUNTIFS(tblIssues[Lot Number],$B237))</f>
        <v/>
      </c>
      <c r="J237" s="31" t="str">
        <f>IF($A237="","",IF('Lot Balance'!$O236&lt;=0,"Depleted",'Lot Balance'!$Q236))</f>
        <v/>
      </c>
    </row>
    <row r="238" spans="1:10" x14ac:dyDescent="0.35">
      <c r="A238" s="18" t="str">
        <f>IF('Lot Balance'!$A237="","",'Lot Balance'!$A237)</f>
        <v/>
      </c>
      <c r="B238" s="18" t="str">
        <f>IF($A238="","",'Lot Balance'!$B237)</f>
        <v/>
      </c>
      <c r="C238" s="18" t="str">
        <f>IF($A238="","",'Lot Balance'!$C237)</f>
        <v/>
      </c>
      <c r="D238" s="25" t="str">
        <f>IF($A238="","",'Lot Balance'!$G237)</f>
        <v/>
      </c>
      <c r="E238" s="25" t="str">
        <f>IF($A238="","",'Lot Balance'!$H237)</f>
        <v/>
      </c>
      <c r="F238" s="23" t="str">
        <f>IF($A238="","",'Lot Balance'!$I237)</f>
        <v/>
      </c>
      <c r="G238" s="23" t="str">
        <f>IF($A238="","",'Lot Balance'!$O237)</f>
        <v/>
      </c>
      <c r="H238" s="33" t="str">
        <f>IF($A238="","",'Lot Balance'!$P237)</f>
        <v/>
      </c>
      <c r="I238" s="26" t="str">
        <f>IF($A238="","",COUNTIFS(tblIssues[Lot Number],$B238))</f>
        <v/>
      </c>
      <c r="J238" s="31" t="str">
        <f>IF($A238="","",IF('Lot Balance'!$O237&lt;=0,"Depleted",'Lot Balance'!$Q237))</f>
        <v/>
      </c>
    </row>
    <row r="239" spans="1:10" x14ac:dyDescent="0.35">
      <c r="A239" s="18" t="str">
        <f>IF('Lot Balance'!$A238="","",'Lot Balance'!$A238)</f>
        <v/>
      </c>
      <c r="B239" s="18" t="str">
        <f>IF($A239="","",'Lot Balance'!$B238)</f>
        <v/>
      </c>
      <c r="C239" s="18" t="str">
        <f>IF($A239="","",'Lot Balance'!$C238)</f>
        <v/>
      </c>
      <c r="D239" s="25" t="str">
        <f>IF($A239="","",'Lot Balance'!$G238)</f>
        <v/>
      </c>
      <c r="E239" s="25" t="str">
        <f>IF($A239="","",'Lot Balance'!$H238)</f>
        <v/>
      </c>
      <c r="F239" s="23" t="str">
        <f>IF($A239="","",'Lot Balance'!$I238)</f>
        <v/>
      </c>
      <c r="G239" s="23" t="str">
        <f>IF($A239="","",'Lot Balance'!$O238)</f>
        <v/>
      </c>
      <c r="H239" s="33" t="str">
        <f>IF($A239="","",'Lot Balance'!$P238)</f>
        <v/>
      </c>
      <c r="I239" s="26" t="str">
        <f>IF($A239="","",COUNTIFS(tblIssues[Lot Number],$B239))</f>
        <v/>
      </c>
      <c r="J239" s="31" t="str">
        <f>IF($A239="","",IF('Lot Balance'!$O238&lt;=0,"Depleted",'Lot Balance'!$Q238))</f>
        <v/>
      </c>
    </row>
    <row r="240" spans="1:10" x14ac:dyDescent="0.35">
      <c r="A240" s="18" t="str">
        <f>IF('Lot Balance'!$A239="","",'Lot Balance'!$A239)</f>
        <v/>
      </c>
      <c r="B240" s="18" t="str">
        <f>IF($A240="","",'Lot Balance'!$B239)</f>
        <v/>
      </c>
      <c r="C240" s="18" t="str">
        <f>IF($A240="","",'Lot Balance'!$C239)</f>
        <v/>
      </c>
      <c r="D240" s="25" t="str">
        <f>IF($A240="","",'Lot Balance'!$G239)</f>
        <v/>
      </c>
      <c r="E240" s="25" t="str">
        <f>IF($A240="","",'Lot Balance'!$H239)</f>
        <v/>
      </c>
      <c r="F240" s="23" t="str">
        <f>IF($A240="","",'Lot Balance'!$I239)</f>
        <v/>
      </c>
      <c r="G240" s="23" t="str">
        <f>IF($A240="","",'Lot Balance'!$O239)</f>
        <v/>
      </c>
      <c r="H240" s="33" t="str">
        <f>IF($A240="","",'Lot Balance'!$P239)</f>
        <v/>
      </c>
      <c r="I240" s="26" t="str">
        <f>IF($A240="","",COUNTIFS(tblIssues[Lot Number],$B240))</f>
        <v/>
      </c>
      <c r="J240" s="31" t="str">
        <f>IF($A240="","",IF('Lot Balance'!$O239&lt;=0,"Depleted",'Lot Balance'!$Q239))</f>
        <v/>
      </c>
    </row>
    <row r="241" spans="1:10" x14ac:dyDescent="0.35">
      <c r="A241" s="18" t="str">
        <f>IF('Lot Balance'!$A240="","",'Lot Balance'!$A240)</f>
        <v/>
      </c>
      <c r="B241" s="18" t="str">
        <f>IF($A241="","",'Lot Balance'!$B240)</f>
        <v/>
      </c>
      <c r="C241" s="18" t="str">
        <f>IF($A241="","",'Lot Balance'!$C240)</f>
        <v/>
      </c>
      <c r="D241" s="25" t="str">
        <f>IF($A241="","",'Lot Balance'!$G240)</f>
        <v/>
      </c>
      <c r="E241" s="25" t="str">
        <f>IF($A241="","",'Lot Balance'!$H240)</f>
        <v/>
      </c>
      <c r="F241" s="23" t="str">
        <f>IF($A241="","",'Lot Balance'!$I240)</f>
        <v/>
      </c>
      <c r="G241" s="23" t="str">
        <f>IF($A241="","",'Lot Balance'!$O240)</f>
        <v/>
      </c>
      <c r="H241" s="33" t="str">
        <f>IF($A241="","",'Lot Balance'!$P240)</f>
        <v/>
      </c>
      <c r="I241" s="26" t="str">
        <f>IF($A241="","",COUNTIFS(tblIssues[Lot Number],$B241))</f>
        <v/>
      </c>
      <c r="J241" s="31" t="str">
        <f>IF($A241="","",IF('Lot Balance'!$O240&lt;=0,"Depleted",'Lot Balance'!$Q240))</f>
        <v/>
      </c>
    </row>
    <row r="242" spans="1:10" x14ac:dyDescent="0.35">
      <c r="A242" s="18" t="str">
        <f>IF('Lot Balance'!$A241="","",'Lot Balance'!$A241)</f>
        <v/>
      </c>
      <c r="B242" s="18" t="str">
        <f>IF($A242="","",'Lot Balance'!$B241)</f>
        <v/>
      </c>
      <c r="C242" s="18" t="str">
        <f>IF($A242="","",'Lot Balance'!$C241)</f>
        <v/>
      </c>
      <c r="D242" s="25" t="str">
        <f>IF($A242="","",'Lot Balance'!$G241)</f>
        <v/>
      </c>
      <c r="E242" s="25" t="str">
        <f>IF($A242="","",'Lot Balance'!$H241)</f>
        <v/>
      </c>
      <c r="F242" s="23" t="str">
        <f>IF($A242="","",'Lot Balance'!$I241)</f>
        <v/>
      </c>
      <c r="G242" s="23" t="str">
        <f>IF($A242="","",'Lot Balance'!$O241)</f>
        <v/>
      </c>
      <c r="H242" s="33" t="str">
        <f>IF($A242="","",'Lot Balance'!$P241)</f>
        <v/>
      </c>
      <c r="I242" s="26" t="str">
        <f>IF($A242="","",COUNTIFS(tblIssues[Lot Number],$B242))</f>
        <v/>
      </c>
      <c r="J242" s="31" t="str">
        <f>IF($A242="","",IF('Lot Balance'!$O241&lt;=0,"Depleted",'Lot Balance'!$Q241))</f>
        <v/>
      </c>
    </row>
    <row r="243" spans="1:10" x14ac:dyDescent="0.35">
      <c r="A243" s="18" t="str">
        <f>IF('Lot Balance'!$A242="","",'Lot Balance'!$A242)</f>
        <v/>
      </c>
      <c r="B243" s="18" t="str">
        <f>IF($A243="","",'Lot Balance'!$B242)</f>
        <v/>
      </c>
      <c r="C243" s="18" t="str">
        <f>IF($A243="","",'Lot Balance'!$C242)</f>
        <v/>
      </c>
      <c r="D243" s="25" t="str">
        <f>IF($A243="","",'Lot Balance'!$G242)</f>
        <v/>
      </c>
      <c r="E243" s="25" t="str">
        <f>IF($A243="","",'Lot Balance'!$H242)</f>
        <v/>
      </c>
      <c r="F243" s="23" t="str">
        <f>IF($A243="","",'Lot Balance'!$I242)</f>
        <v/>
      </c>
      <c r="G243" s="23" t="str">
        <f>IF($A243="","",'Lot Balance'!$O242)</f>
        <v/>
      </c>
      <c r="H243" s="33" t="str">
        <f>IF($A243="","",'Lot Balance'!$P242)</f>
        <v/>
      </c>
      <c r="I243" s="26" t="str">
        <f>IF($A243="","",COUNTIFS(tblIssues[Lot Number],$B243))</f>
        <v/>
      </c>
      <c r="J243" s="31" t="str">
        <f>IF($A243="","",IF('Lot Balance'!$O242&lt;=0,"Depleted",'Lot Balance'!$Q242))</f>
        <v/>
      </c>
    </row>
    <row r="244" spans="1:10" x14ac:dyDescent="0.35">
      <c r="A244" s="18" t="str">
        <f>IF('Lot Balance'!$A243="","",'Lot Balance'!$A243)</f>
        <v/>
      </c>
      <c r="B244" s="18" t="str">
        <f>IF($A244="","",'Lot Balance'!$B243)</f>
        <v/>
      </c>
      <c r="C244" s="18" t="str">
        <f>IF($A244="","",'Lot Balance'!$C243)</f>
        <v/>
      </c>
      <c r="D244" s="25" t="str">
        <f>IF($A244="","",'Lot Balance'!$G243)</f>
        <v/>
      </c>
      <c r="E244" s="25" t="str">
        <f>IF($A244="","",'Lot Balance'!$H243)</f>
        <v/>
      </c>
      <c r="F244" s="23" t="str">
        <f>IF($A244="","",'Lot Balance'!$I243)</f>
        <v/>
      </c>
      <c r="G244" s="23" t="str">
        <f>IF($A244="","",'Lot Balance'!$O243)</f>
        <v/>
      </c>
      <c r="H244" s="33" t="str">
        <f>IF($A244="","",'Lot Balance'!$P243)</f>
        <v/>
      </c>
      <c r="I244" s="26" t="str">
        <f>IF($A244="","",COUNTIFS(tblIssues[Lot Number],$B244))</f>
        <v/>
      </c>
      <c r="J244" s="31" t="str">
        <f>IF($A244="","",IF('Lot Balance'!$O243&lt;=0,"Depleted",'Lot Balance'!$Q243))</f>
        <v/>
      </c>
    </row>
    <row r="245" spans="1:10" x14ac:dyDescent="0.35">
      <c r="A245" s="18" t="str">
        <f>IF('Lot Balance'!$A244="","",'Lot Balance'!$A244)</f>
        <v/>
      </c>
      <c r="B245" s="18" t="str">
        <f>IF($A245="","",'Lot Balance'!$B244)</f>
        <v/>
      </c>
      <c r="C245" s="18" t="str">
        <f>IF($A245="","",'Lot Balance'!$C244)</f>
        <v/>
      </c>
      <c r="D245" s="25" t="str">
        <f>IF($A245="","",'Lot Balance'!$G244)</f>
        <v/>
      </c>
      <c r="E245" s="25" t="str">
        <f>IF($A245="","",'Lot Balance'!$H244)</f>
        <v/>
      </c>
      <c r="F245" s="23" t="str">
        <f>IF($A245="","",'Lot Balance'!$I244)</f>
        <v/>
      </c>
      <c r="G245" s="23" t="str">
        <f>IF($A245="","",'Lot Balance'!$O244)</f>
        <v/>
      </c>
      <c r="H245" s="33" t="str">
        <f>IF($A245="","",'Lot Balance'!$P244)</f>
        <v/>
      </c>
      <c r="I245" s="26" t="str">
        <f>IF($A245="","",COUNTIFS(tblIssues[Lot Number],$B245))</f>
        <v/>
      </c>
      <c r="J245" s="31" t="str">
        <f>IF($A245="","",IF('Lot Balance'!$O244&lt;=0,"Depleted",'Lot Balance'!$Q244))</f>
        <v/>
      </c>
    </row>
    <row r="246" spans="1:10" x14ac:dyDescent="0.35">
      <c r="A246" s="18" t="str">
        <f>IF('Lot Balance'!$A245="","",'Lot Balance'!$A245)</f>
        <v/>
      </c>
      <c r="B246" s="18" t="str">
        <f>IF($A246="","",'Lot Balance'!$B245)</f>
        <v/>
      </c>
      <c r="C246" s="18" t="str">
        <f>IF($A246="","",'Lot Balance'!$C245)</f>
        <v/>
      </c>
      <c r="D246" s="25" t="str">
        <f>IF($A246="","",'Lot Balance'!$G245)</f>
        <v/>
      </c>
      <c r="E246" s="25" t="str">
        <f>IF($A246="","",'Lot Balance'!$H245)</f>
        <v/>
      </c>
      <c r="F246" s="23" t="str">
        <f>IF($A246="","",'Lot Balance'!$I245)</f>
        <v/>
      </c>
      <c r="G246" s="23" t="str">
        <f>IF($A246="","",'Lot Balance'!$O245)</f>
        <v/>
      </c>
      <c r="H246" s="33" t="str">
        <f>IF($A246="","",'Lot Balance'!$P245)</f>
        <v/>
      </c>
      <c r="I246" s="26" t="str">
        <f>IF($A246="","",COUNTIFS(tblIssues[Lot Number],$B246))</f>
        <v/>
      </c>
      <c r="J246" s="31" t="str">
        <f>IF($A246="","",IF('Lot Balance'!$O245&lt;=0,"Depleted",'Lot Balance'!$Q245))</f>
        <v/>
      </c>
    </row>
    <row r="247" spans="1:10" x14ac:dyDescent="0.35">
      <c r="A247" s="18" t="str">
        <f>IF('Lot Balance'!$A246="","",'Lot Balance'!$A246)</f>
        <v/>
      </c>
      <c r="B247" s="18" t="str">
        <f>IF($A247="","",'Lot Balance'!$B246)</f>
        <v/>
      </c>
      <c r="C247" s="18" t="str">
        <f>IF($A247="","",'Lot Balance'!$C246)</f>
        <v/>
      </c>
      <c r="D247" s="25" t="str">
        <f>IF($A247="","",'Lot Balance'!$G246)</f>
        <v/>
      </c>
      <c r="E247" s="25" t="str">
        <f>IF($A247="","",'Lot Balance'!$H246)</f>
        <v/>
      </c>
      <c r="F247" s="23" t="str">
        <f>IF($A247="","",'Lot Balance'!$I246)</f>
        <v/>
      </c>
      <c r="G247" s="23" t="str">
        <f>IF($A247="","",'Lot Balance'!$O246)</f>
        <v/>
      </c>
      <c r="H247" s="33" t="str">
        <f>IF($A247="","",'Lot Balance'!$P246)</f>
        <v/>
      </c>
      <c r="I247" s="26" t="str">
        <f>IF($A247="","",COUNTIFS(tblIssues[Lot Number],$B247))</f>
        <v/>
      </c>
      <c r="J247" s="31" t="str">
        <f>IF($A247="","",IF('Lot Balance'!$O246&lt;=0,"Depleted",'Lot Balance'!$Q246))</f>
        <v/>
      </c>
    </row>
    <row r="248" spans="1:10" x14ac:dyDescent="0.35">
      <c r="A248" s="18" t="str">
        <f>IF('Lot Balance'!$A247="","",'Lot Balance'!$A247)</f>
        <v/>
      </c>
      <c r="B248" s="18" t="str">
        <f>IF($A248="","",'Lot Balance'!$B247)</f>
        <v/>
      </c>
      <c r="C248" s="18" t="str">
        <f>IF($A248="","",'Lot Balance'!$C247)</f>
        <v/>
      </c>
      <c r="D248" s="25" t="str">
        <f>IF($A248="","",'Lot Balance'!$G247)</f>
        <v/>
      </c>
      <c r="E248" s="25" t="str">
        <f>IF($A248="","",'Lot Balance'!$H247)</f>
        <v/>
      </c>
      <c r="F248" s="23" t="str">
        <f>IF($A248="","",'Lot Balance'!$I247)</f>
        <v/>
      </c>
      <c r="G248" s="23" t="str">
        <f>IF($A248="","",'Lot Balance'!$O247)</f>
        <v/>
      </c>
      <c r="H248" s="33" t="str">
        <f>IF($A248="","",'Lot Balance'!$P247)</f>
        <v/>
      </c>
      <c r="I248" s="26" t="str">
        <f>IF($A248="","",COUNTIFS(tblIssues[Lot Number],$B248))</f>
        <v/>
      </c>
      <c r="J248" s="31" t="str">
        <f>IF($A248="","",IF('Lot Balance'!$O247&lt;=0,"Depleted",'Lot Balance'!$Q247))</f>
        <v/>
      </c>
    </row>
    <row r="249" spans="1:10" x14ac:dyDescent="0.35">
      <c r="A249" s="18" t="str">
        <f>IF('Lot Balance'!$A248="","",'Lot Balance'!$A248)</f>
        <v/>
      </c>
      <c r="B249" s="18" t="str">
        <f>IF($A249="","",'Lot Balance'!$B248)</f>
        <v/>
      </c>
      <c r="C249" s="18" t="str">
        <f>IF($A249="","",'Lot Balance'!$C248)</f>
        <v/>
      </c>
      <c r="D249" s="25" t="str">
        <f>IF($A249="","",'Lot Balance'!$G248)</f>
        <v/>
      </c>
      <c r="E249" s="25" t="str">
        <f>IF($A249="","",'Lot Balance'!$H248)</f>
        <v/>
      </c>
      <c r="F249" s="23" t="str">
        <f>IF($A249="","",'Lot Balance'!$I248)</f>
        <v/>
      </c>
      <c r="G249" s="23" t="str">
        <f>IF($A249="","",'Lot Balance'!$O248)</f>
        <v/>
      </c>
      <c r="H249" s="33" t="str">
        <f>IF($A249="","",'Lot Balance'!$P248)</f>
        <v/>
      </c>
      <c r="I249" s="26" t="str">
        <f>IF($A249="","",COUNTIFS(tblIssues[Lot Number],$B249))</f>
        <v/>
      </c>
      <c r="J249" s="31" t="str">
        <f>IF($A249="","",IF('Lot Balance'!$O248&lt;=0,"Depleted",'Lot Balance'!$Q248))</f>
        <v/>
      </c>
    </row>
    <row r="250" spans="1:10" x14ac:dyDescent="0.35">
      <c r="A250" s="18" t="str">
        <f>IF('Lot Balance'!$A249="","",'Lot Balance'!$A249)</f>
        <v/>
      </c>
      <c r="B250" s="18" t="str">
        <f>IF($A250="","",'Lot Balance'!$B249)</f>
        <v/>
      </c>
      <c r="C250" s="18" t="str">
        <f>IF($A250="","",'Lot Balance'!$C249)</f>
        <v/>
      </c>
      <c r="D250" s="25" t="str">
        <f>IF($A250="","",'Lot Balance'!$G249)</f>
        <v/>
      </c>
      <c r="E250" s="25" t="str">
        <f>IF($A250="","",'Lot Balance'!$H249)</f>
        <v/>
      </c>
      <c r="F250" s="23" t="str">
        <f>IF($A250="","",'Lot Balance'!$I249)</f>
        <v/>
      </c>
      <c r="G250" s="23" t="str">
        <f>IF($A250="","",'Lot Balance'!$O249)</f>
        <v/>
      </c>
      <c r="H250" s="33" t="str">
        <f>IF($A250="","",'Lot Balance'!$P249)</f>
        <v/>
      </c>
      <c r="I250" s="26" t="str">
        <f>IF($A250="","",COUNTIFS(tblIssues[Lot Number],$B250))</f>
        <v/>
      </c>
      <c r="J250" s="31" t="str">
        <f>IF($A250="","",IF('Lot Balance'!$O249&lt;=0,"Depleted",'Lot Balance'!$Q249))</f>
        <v/>
      </c>
    </row>
    <row r="251" spans="1:10" x14ac:dyDescent="0.35">
      <c r="A251" s="18" t="str">
        <f>IF('Lot Balance'!$A250="","",'Lot Balance'!$A250)</f>
        <v/>
      </c>
      <c r="B251" s="18" t="str">
        <f>IF($A251="","",'Lot Balance'!$B250)</f>
        <v/>
      </c>
      <c r="C251" s="18" t="str">
        <f>IF($A251="","",'Lot Balance'!$C250)</f>
        <v/>
      </c>
      <c r="D251" s="25" t="str">
        <f>IF($A251="","",'Lot Balance'!$G250)</f>
        <v/>
      </c>
      <c r="E251" s="25" t="str">
        <f>IF($A251="","",'Lot Balance'!$H250)</f>
        <v/>
      </c>
      <c r="F251" s="23" t="str">
        <f>IF($A251="","",'Lot Balance'!$I250)</f>
        <v/>
      </c>
      <c r="G251" s="23" t="str">
        <f>IF($A251="","",'Lot Balance'!$O250)</f>
        <v/>
      </c>
      <c r="H251" s="33" t="str">
        <f>IF($A251="","",'Lot Balance'!$P250)</f>
        <v/>
      </c>
      <c r="I251" s="26" t="str">
        <f>IF($A251="","",COUNTIFS(tblIssues[Lot Number],$B251))</f>
        <v/>
      </c>
      <c r="J251" s="31" t="str">
        <f>IF($A251="","",IF('Lot Balance'!$O250&lt;=0,"Depleted",'Lot Balance'!$Q250))</f>
        <v/>
      </c>
    </row>
    <row r="252" spans="1:10" x14ac:dyDescent="0.35">
      <c r="A252" s="18" t="str">
        <f>IF('Lot Balance'!$A251="","",'Lot Balance'!$A251)</f>
        <v/>
      </c>
      <c r="B252" s="18" t="str">
        <f>IF($A252="","",'Lot Balance'!$B251)</f>
        <v/>
      </c>
      <c r="C252" s="18" t="str">
        <f>IF($A252="","",'Lot Balance'!$C251)</f>
        <v/>
      </c>
      <c r="D252" s="25" t="str">
        <f>IF($A252="","",'Lot Balance'!$G251)</f>
        <v/>
      </c>
      <c r="E252" s="25" t="str">
        <f>IF($A252="","",'Lot Balance'!$H251)</f>
        <v/>
      </c>
      <c r="F252" s="23" t="str">
        <f>IF($A252="","",'Lot Balance'!$I251)</f>
        <v/>
      </c>
      <c r="G252" s="23" t="str">
        <f>IF($A252="","",'Lot Balance'!$O251)</f>
        <v/>
      </c>
      <c r="H252" s="33" t="str">
        <f>IF($A252="","",'Lot Balance'!$P251)</f>
        <v/>
      </c>
      <c r="I252" s="26" t="str">
        <f>IF($A252="","",COUNTIFS(tblIssues[Lot Number],$B252))</f>
        <v/>
      </c>
      <c r="J252" s="31" t="str">
        <f>IF($A252="","",IF('Lot Balance'!$O251&lt;=0,"Depleted",'Lot Balance'!$Q251))</f>
        <v/>
      </c>
    </row>
    <row r="253" spans="1:10" x14ac:dyDescent="0.35">
      <c r="A253" s="18" t="str">
        <f>IF('Lot Balance'!$A252="","",'Lot Balance'!$A252)</f>
        <v/>
      </c>
      <c r="B253" s="18" t="str">
        <f>IF($A253="","",'Lot Balance'!$B252)</f>
        <v/>
      </c>
      <c r="C253" s="18" t="str">
        <f>IF($A253="","",'Lot Balance'!$C252)</f>
        <v/>
      </c>
      <c r="D253" s="25" t="str">
        <f>IF($A253="","",'Lot Balance'!$G252)</f>
        <v/>
      </c>
      <c r="E253" s="25" t="str">
        <f>IF($A253="","",'Lot Balance'!$H252)</f>
        <v/>
      </c>
      <c r="F253" s="23" t="str">
        <f>IF($A253="","",'Lot Balance'!$I252)</f>
        <v/>
      </c>
      <c r="G253" s="23" t="str">
        <f>IF($A253="","",'Lot Balance'!$O252)</f>
        <v/>
      </c>
      <c r="H253" s="33" t="str">
        <f>IF($A253="","",'Lot Balance'!$P252)</f>
        <v/>
      </c>
      <c r="I253" s="26" t="str">
        <f>IF($A253="","",COUNTIFS(tblIssues[Lot Number],$B253))</f>
        <v/>
      </c>
      <c r="J253" s="31" t="str">
        <f>IF($A253="","",IF('Lot Balance'!$O252&lt;=0,"Depleted",'Lot Balance'!$Q252))</f>
        <v/>
      </c>
    </row>
    <row r="254" spans="1:10" x14ac:dyDescent="0.35">
      <c r="A254" s="18" t="str">
        <f>IF('Lot Balance'!$A253="","",'Lot Balance'!$A253)</f>
        <v/>
      </c>
      <c r="B254" s="18" t="str">
        <f>IF($A254="","",'Lot Balance'!$B253)</f>
        <v/>
      </c>
      <c r="C254" s="18" t="str">
        <f>IF($A254="","",'Lot Balance'!$C253)</f>
        <v/>
      </c>
      <c r="D254" s="25" t="str">
        <f>IF($A254="","",'Lot Balance'!$G253)</f>
        <v/>
      </c>
      <c r="E254" s="25" t="str">
        <f>IF($A254="","",'Lot Balance'!$H253)</f>
        <v/>
      </c>
      <c r="F254" s="23" t="str">
        <f>IF($A254="","",'Lot Balance'!$I253)</f>
        <v/>
      </c>
      <c r="G254" s="23" t="str">
        <f>IF($A254="","",'Lot Balance'!$O253)</f>
        <v/>
      </c>
      <c r="H254" s="33" t="str">
        <f>IF($A254="","",'Lot Balance'!$P253)</f>
        <v/>
      </c>
      <c r="I254" s="26" t="str">
        <f>IF($A254="","",COUNTIFS(tblIssues[Lot Number],$B254))</f>
        <v/>
      </c>
      <c r="J254" s="31" t="str">
        <f>IF($A254="","",IF('Lot Balance'!$O253&lt;=0,"Depleted",'Lot Balance'!$Q253))</f>
        <v/>
      </c>
    </row>
    <row r="255" spans="1:10" x14ac:dyDescent="0.35">
      <c r="A255" s="18" t="str">
        <f>IF('Lot Balance'!$A254="","",'Lot Balance'!$A254)</f>
        <v/>
      </c>
      <c r="B255" s="18" t="str">
        <f>IF($A255="","",'Lot Balance'!$B254)</f>
        <v/>
      </c>
      <c r="C255" s="18" t="str">
        <f>IF($A255="","",'Lot Balance'!$C254)</f>
        <v/>
      </c>
      <c r="D255" s="25" t="str">
        <f>IF($A255="","",'Lot Balance'!$G254)</f>
        <v/>
      </c>
      <c r="E255" s="25" t="str">
        <f>IF($A255="","",'Lot Balance'!$H254)</f>
        <v/>
      </c>
      <c r="F255" s="23" t="str">
        <f>IF($A255="","",'Lot Balance'!$I254)</f>
        <v/>
      </c>
      <c r="G255" s="23" t="str">
        <f>IF($A255="","",'Lot Balance'!$O254)</f>
        <v/>
      </c>
      <c r="H255" s="33" t="str">
        <f>IF($A255="","",'Lot Balance'!$P254)</f>
        <v/>
      </c>
      <c r="I255" s="26" t="str">
        <f>IF($A255="","",COUNTIFS(tblIssues[Lot Number],$B255))</f>
        <v/>
      </c>
      <c r="J255" s="31" t="str">
        <f>IF($A255="","",IF('Lot Balance'!$O254&lt;=0,"Depleted",'Lot Balance'!$Q254))</f>
        <v/>
      </c>
    </row>
    <row r="256" spans="1:10" x14ac:dyDescent="0.35">
      <c r="A256" s="18" t="str">
        <f>IF('Lot Balance'!$A255="","",'Lot Balance'!$A255)</f>
        <v/>
      </c>
      <c r="B256" s="18" t="str">
        <f>IF($A256="","",'Lot Balance'!$B255)</f>
        <v/>
      </c>
      <c r="C256" s="18" t="str">
        <f>IF($A256="","",'Lot Balance'!$C255)</f>
        <v/>
      </c>
      <c r="D256" s="25" t="str">
        <f>IF($A256="","",'Lot Balance'!$G255)</f>
        <v/>
      </c>
      <c r="E256" s="25" t="str">
        <f>IF($A256="","",'Lot Balance'!$H255)</f>
        <v/>
      </c>
      <c r="F256" s="23" t="str">
        <f>IF($A256="","",'Lot Balance'!$I255)</f>
        <v/>
      </c>
      <c r="G256" s="23" t="str">
        <f>IF($A256="","",'Lot Balance'!$O255)</f>
        <v/>
      </c>
      <c r="H256" s="33" t="str">
        <f>IF($A256="","",'Lot Balance'!$P255)</f>
        <v/>
      </c>
      <c r="I256" s="26" t="str">
        <f>IF($A256="","",COUNTIFS(tblIssues[Lot Number],$B256))</f>
        <v/>
      </c>
      <c r="J256" s="31" t="str">
        <f>IF($A256="","",IF('Lot Balance'!$O255&lt;=0,"Depleted",'Lot Balance'!$Q255))</f>
        <v/>
      </c>
    </row>
    <row r="257" spans="1:10" x14ac:dyDescent="0.35">
      <c r="A257" s="18" t="str">
        <f>IF('Lot Balance'!$A256="","",'Lot Balance'!$A256)</f>
        <v/>
      </c>
      <c r="B257" s="18" t="str">
        <f>IF($A257="","",'Lot Balance'!$B256)</f>
        <v/>
      </c>
      <c r="C257" s="18" t="str">
        <f>IF($A257="","",'Lot Balance'!$C256)</f>
        <v/>
      </c>
      <c r="D257" s="25" t="str">
        <f>IF($A257="","",'Lot Balance'!$G256)</f>
        <v/>
      </c>
      <c r="E257" s="25" t="str">
        <f>IF($A257="","",'Lot Balance'!$H256)</f>
        <v/>
      </c>
      <c r="F257" s="23" t="str">
        <f>IF($A257="","",'Lot Balance'!$I256)</f>
        <v/>
      </c>
      <c r="G257" s="23" t="str">
        <f>IF($A257="","",'Lot Balance'!$O256)</f>
        <v/>
      </c>
      <c r="H257" s="33" t="str">
        <f>IF($A257="","",'Lot Balance'!$P256)</f>
        <v/>
      </c>
      <c r="I257" s="26" t="str">
        <f>IF($A257="","",COUNTIFS(tblIssues[Lot Number],$B257))</f>
        <v/>
      </c>
      <c r="J257" s="31" t="str">
        <f>IF($A257="","",IF('Lot Balance'!$O256&lt;=0,"Depleted",'Lot Balance'!$Q256))</f>
        <v/>
      </c>
    </row>
    <row r="258" spans="1:10" x14ac:dyDescent="0.35">
      <c r="A258" s="18" t="str">
        <f>IF('Lot Balance'!$A257="","",'Lot Balance'!$A257)</f>
        <v/>
      </c>
      <c r="B258" s="18" t="str">
        <f>IF($A258="","",'Lot Balance'!$B257)</f>
        <v/>
      </c>
      <c r="C258" s="18" t="str">
        <f>IF($A258="","",'Lot Balance'!$C257)</f>
        <v/>
      </c>
      <c r="D258" s="25" t="str">
        <f>IF($A258="","",'Lot Balance'!$G257)</f>
        <v/>
      </c>
      <c r="E258" s="25" t="str">
        <f>IF($A258="","",'Lot Balance'!$H257)</f>
        <v/>
      </c>
      <c r="F258" s="23" t="str">
        <f>IF($A258="","",'Lot Balance'!$I257)</f>
        <v/>
      </c>
      <c r="G258" s="23" t="str">
        <f>IF($A258="","",'Lot Balance'!$O257)</f>
        <v/>
      </c>
      <c r="H258" s="33" t="str">
        <f>IF($A258="","",'Lot Balance'!$P257)</f>
        <v/>
      </c>
      <c r="I258" s="26" t="str">
        <f>IF($A258="","",COUNTIFS(tblIssues[Lot Number],$B258))</f>
        <v/>
      </c>
      <c r="J258" s="31" t="str">
        <f>IF($A258="","",IF('Lot Balance'!$O257&lt;=0,"Depleted",'Lot Balance'!$Q257))</f>
        <v/>
      </c>
    </row>
    <row r="259" spans="1:10" x14ac:dyDescent="0.35">
      <c r="A259" s="18" t="str">
        <f>IF('Lot Balance'!$A258="","",'Lot Balance'!$A258)</f>
        <v/>
      </c>
      <c r="B259" s="18" t="str">
        <f>IF($A259="","",'Lot Balance'!$B258)</f>
        <v/>
      </c>
      <c r="C259" s="18" t="str">
        <f>IF($A259="","",'Lot Balance'!$C258)</f>
        <v/>
      </c>
      <c r="D259" s="25" t="str">
        <f>IF($A259="","",'Lot Balance'!$G258)</f>
        <v/>
      </c>
      <c r="E259" s="25" t="str">
        <f>IF($A259="","",'Lot Balance'!$H258)</f>
        <v/>
      </c>
      <c r="F259" s="23" t="str">
        <f>IF($A259="","",'Lot Balance'!$I258)</f>
        <v/>
      </c>
      <c r="G259" s="23" t="str">
        <f>IF($A259="","",'Lot Balance'!$O258)</f>
        <v/>
      </c>
      <c r="H259" s="33" t="str">
        <f>IF($A259="","",'Lot Balance'!$P258)</f>
        <v/>
      </c>
      <c r="I259" s="26" t="str">
        <f>IF($A259="","",COUNTIFS(tblIssues[Lot Number],$B259))</f>
        <v/>
      </c>
      <c r="J259" s="31" t="str">
        <f>IF($A259="","",IF('Lot Balance'!$O258&lt;=0,"Depleted",'Lot Balance'!$Q258))</f>
        <v/>
      </c>
    </row>
    <row r="260" spans="1:10" x14ac:dyDescent="0.35">
      <c r="A260" s="18" t="str">
        <f>IF('Lot Balance'!$A259="","",'Lot Balance'!$A259)</f>
        <v/>
      </c>
      <c r="B260" s="18" t="str">
        <f>IF($A260="","",'Lot Balance'!$B259)</f>
        <v/>
      </c>
      <c r="C260" s="18" t="str">
        <f>IF($A260="","",'Lot Balance'!$C259)</f>
        <v/>
      </c>
      <c r="D260" s="25" t="str">
        <f>IF($A260="","",'Lot Balance'!$G259)</f>
        <v/>
      </c>
      <c r="E260" s="25" t="str">
        <f>IF($A260="","",'Lot Balance'!$H259)</f>
        <v/>
      </c>
      <c r="F260" s="23" t="str">
        <f>IF($A260="","",'Lot Balance'!$I259)</f>
        <v/>
      </c>
      <c r="G260" s="23" t="str">
        <f>IF($A260="","",'Lot Balance'!$O259)</f>
        <v/>
      </c>
      <c r="H260" s="33" t="str">
        <f>IF($A260="","",'Lot Balance'!$P259)</f>
        <v/>
      </c>
      <c r="I260" s="26" t="str">
        <f>IF($A260="","",COUNTIFS(tblIssues[Lot Number],$B260))</f>
        <v/>
      </c>
      <c r="J260" s="31" t="str">
        <f>IF($A260="","",IF('Lot Balance'!$O259&lt;=0,"Depleted",'Lot Balance'!$Q259))</f>
        <v/>
      </c>
    </row>
    <row r="261" spans="1:10" x14ac:dyDescent="0.35">
      <c r="A261" s="18" t="str">
        <f>IF('Lot Balance'!$A260="","",'Lot Balance'!$A260)</f>
        <v/>
      </c>
      <c r="B261" s="18" t="str">
        <f>IF($A261="","",'Lot Balance'!$B260)</f>
        <v/>
      </c>
      <c r="C261" s="18" t="str">
        <f>IF($A261="","",'Lot Balance'!$C260)</f>
        <v/>
      </c>
      <c r="D261" s="25" t="str">
        <f>IF($A261="","",'Lot Balance'!$G260)</f>
        <v/>
      </c>
      <c r="E261" s="25" t="str">
        <f>IF($A261="","",'Lot Balance'!$H260)</f>
        <v/>
      </c>
      <c r="F261" s="23" t="str">
        <f>IF($A261="","",'Lot Balance'!$I260)</f>
        <v/>
      </c>
      <c r="G261" s="23" t="str">
        <f>IF($A261="","",'Lot Balance'!$O260)</f>
        <v/>
      </c>
      <c r="H261" s="33" t="str">
        <f>IF($A261="","",'Lot Balance'!$P260)</f>
        <v/>
      </c>
      <c r="I261" s="26" t="str">
        <f>IF($A261="","",COUNTIFS(tblIssues[Lot Number],$B261))</f>
        <v/>
      </c>
      <c r="J261" s="31" t="str">
        <f>IF($A261="","",IF('Lot Balance'!$O260&lt;=0,"Depleted",'Lot Balance'!$Q260))</f>
        <v/>
      </c>
    </row>
    <row r="262" spans="1:10" x14ac:dyDescent="0.35">
      <c r="A262" s="18" t="str">
        <f>IF('Lot Balance'!$A261="","",'Lot Balance'!$A261)</f>
        <v/>
      </c>
      <c r="B262" s="18" t="str">
        <f>IF($A262="","",'Lot Balance'!$B261)</f>
        <v/>
      </c>
      <c r="C262" s="18" t="str">
        <f>IF($A262="","",'Lot Balance'!$C261)</f>
        <v/>
      </c>
      <c r="D262" s="25" t="str">
        <f>IF($A262="","",'Lot Balance'!$G261)</f>
        <v/>
      </c>
      <c r="E262" s="25" t="str">
        <f>IF($A262="","",'Lot Balance'!$H261)</f>
        <v/>
      </c>
      <c r="F262" s="23" t="str">
        <f>IF($A262="","",'Lot Balance'!$I261)</f>
        <v/>
      </c>
      <c r="G262" s="23" t="str">
        <f>IF($A262="","",'Lot Balance'!$O261)</f>
        <v/>
      </c>
      <c r="H262" s="33" t="str">
        <f>IF($A262="","",'Lot Balance'!$P261)</f>
        <v/>
      </c>
      <c r="I262" s="26" t="str">
        <f>IF($A262="","",COUNTIFS(tblIssues[Lot Number],$B262))</f>
        <v/>
      </c>
      <c r="J262" s="31" t="str">
        <f>IF($A262="","",IF('Lot Balance'!$O261&lt;=0,"Depleted",'Lot Balance'!$Q261))</f>
        <v/>
      </c>
    </row>
    <row r="263" spans="1:10" x14ac:dyDescent="0.35">
      <c r="A263" s="18" t="str">
        <f>IF('Lot Balance'!$A262="","",'Lot Balance'!$A262)</f>
        <v/>
      </c>
      <c r="B263" s="18" t="str">
        <f>IF($A263="","",'Lot Balance'!$B262)</f>
        <v/>
      </c>
      <c r="C263" s="18" t="str">
        <f>IF($A263="","",'Lot Balance'!$C262)</f>
        <v/>
      </c>
      <c r="D263" s="25" t="str">
        <f>IF($A263="","",'Lot Balance'!$G262)</f>
        <v/>
      </c>
      <c r="E263" s="25" t="str">
        <f>IF($A263="","",'Lot Balance'!$H262)</f>
        <v/>
      </c>
      <c r="F263" s="23" t="str">
        <f>IF($A263="","",'Lot Balance'!$I262)</f>
        <v/>
      </c>
      <c r="G263" s="23" t="str">
        <f>IF($A263="","",'Lot Balance'!$O262)</f>
        <v/>
      </c>
      <c r="H263" s="33" t="str">
        <f>IF($A263="","",'Lot Balance'!$P262)</f>
        <v/>
      </c>
      <c r="I263" s="26" t="str">
        <f>IF($A263="","",COUNTIFS(tblIssues[Lot Number],$B263))</f>
        <v/>
      </c>
      <c r="J263" s="31" t="str">
        <f>IF($A263="","",IF('Lot Balance'!$O262&lt;=0,"Depleted",'Lot Balance'!$Q262))</f>
        <v/>
      </c>
    </row>
    <row r="264" spans="1:10" x14ac:dyDescent="0.35">
      <c r="A264" s="18" t="str">
        <f>IF('Lot Balance'!$A263="","",'Lot Balance'!$A263)</f>
        <v/>
      </c>
      <c r="B264" s="18" t="str">
        <f>IF($A264="","",'Lot Balance'!$B263)</f>
        <v/>
      </c>
      <c r="C264" s="18" t="str">
        <f>IF($A264="","",'Lot Balance'!$C263)</f>
        <v/>
      </c>
      <c r="D264" s="25" t="str">
        <f>IF($A264="","",'Lot Balance'!$G263)</f>
        <v/>
      </c>
      <c r="E264" s="25" t="str">
        <f>IF($A264="","",'Lot Balance'!$H263)</f>
        <v/>
      </c>
      <c r="F264" s="23" t="str">
        <f>IF($A264="","",'Lot Balance'!$I263)</f>
        <v/>
      </c>
      <c r="G264" s="23" t="str">
        <f>IF($A264="","",'Lot Balance'!$O263)</f>
        <v/>
      </c>
      <c r="H264" s="33" t="str">
        <f>IF($A264="","",'Lot Balance'!$P263)</f>
        <v/>
      </c>
      <c r="I264" s="26" t="str">
        <f>IF($A264="","",COUNTIFS(tblIssues[Lot Number],$B264))</f>
        <v/>
      </c>
      <c r="J264" s="31" t="str">
        <f>IF($A264="","",IF('Lot Balance'!$O263&lt;=0,"Depleted",'Lot Balance'!$Q263))</f>
        <v/>
      </c>
    </row>
    <row r="265" spans="1:10" x14ac:dyDescent="0.35">
      <c r="A265" s="18" t="str">
        <f>IF('Lot Balance'!$A264="","",'Lot Balance'!$A264)</f>
        <v/>
      </c>
      <c r="B265" s="18" t="str">
        <f>IF($A265="","",'Lot Balance'!$B264)</f>
        <v/>
      </c>
      <c r="C265" s="18" t="str">
        <f>IF($A265="","",'Lot Balance'!$C264)</f>
        <v/>
      </c>
      <c r="D265" s="25" t="str">
        <f>IF($A265="","",'Lot Balance'!$G264)</f>
        <v/>
      </c>
      <c r="E265" s="25" t="str">
        <f>IF($A265="","",'Lot Balance'!$H264)</f>
        <v/>
      </c>
      <c r="F265" s="23" t="str">
        <f>IF($A265="","",'Lot Balance'!$I264)</f>
        <v/>
      </c>
      <c r="G265" s="23" t="str">
        <f>IF($A265="","",'Lot Balance'!$O264)</f>
        <v/>
      </c>
      <c r="H265" s="33" t="str">
        <f>IF($A265="","",'Lot Balance'!$P264)</f>
        <v/>
      </c>
      <c r="I265" s="26" t="str">
        <f>IF($A265="","",COUNTIFS(tblIssues[Lot Number],$B265))</f>
        <v/>
      </c>
      <c r="J265" s="31" t="str">
        <f>IF($A265="","",IF('Lot Balance'!$O264&lt;=0,"Depleted",'Lot Balance'!$Q264))</f>
        <v/>
      </c>
    </row>
    <row r="266" spans="1:10" x14ac:dyDescent="0.35">
      <c r="A266" s="18" t="str">
        <f>IF('Lot Balance'!$A265="","",'Lot Balance'!$A265)</f>
        <v/>
      </c>
      <c r="B266" s="18" t="str">
        <f>IF($A266="","",'Lot Balance'!$B265)</f>
        <v/>
      </c>
      <c r="C266" s="18" t="str">
        <f>IF($A266="","",'Lot Balance'!$C265)</f>
        <v/>
      </c>
      <c r="D266" s="25" t="str">
        <f>IF($A266="","",'Lot Balance'!$G265)</f>
        <v/>
      </c>
      <c r="E266" s="25" t="str">
        <f>IF($A266="","",'Lot Balance'!$H265)</f>
        <v/>
      </c>
      <c r="F266" s="23" t="str">
        <f>IF($A266="","",'Lot Balance'!$I265)</f>
        <v/>
      </c>
      <c r="G266" s="23" t="str">
        <f>IF($A266="","",'Lot Balance'!$O265)</f>
        <v/>
      </c>
      <c r="H266" s="33" t="str">
        <f>IF($A266="","",'Lot Balance'!$P265)</f>
        <v/>
      </c>
      <c r="I266" s="26" t="str">
        <f>IF($A266="","",COUNTIFS(tblIssues[Lot Number],$B266))</f>
        <v/>
      </c>
      <c r="J266" s="31" t="str">
        <f>IF($A266="","",IF('Lot Balance'!$O265&lt;=0,"Depleted",'Lot Balance'!$Q265))</f>
        <v/>
      </c>
    </row>
    <row r="267" spans="1:10" x14ac:dyDescent="0.35">
      <c r="A267" s="18" t="str">
        <f>IF('Lot Balance'!$A266="","",'Lot Balance'!$A266)</f>
        <v/>
      </c>
      <c r="B267" s="18" t="str">
        <f>IF($A267="","",'Lot Balance'!$B266)</f>
        <v/>
      </c>
      <c r="C267" s="18" t="str">
        <f>IF($A267="","",'Lot Balance'!$C266)</f>
        <v/>
      </c>
      <c r="D267" s="25" t="str">
        <f>IF($A267="","",'Lot Balance'!$G266)</f>
        <v/>
      </c>
      <c r="E267" s="25" t="str">
        <f>IF($A267="","",'Lot Balance'!$H266)</f>
        <v/>
      </c>
      <c r="F267" s="23" t="str">
        <f>IF($A267="","",'Lot Balance'!$I266)</f>
        <v/>
      </c>
      <c r="G267" s="23" t="str">
        <f>IF($A267="","",'Lot Balance'!$O266)</f>
        <v/>
      </c>
      <c r="H267" s="33" t="str">
        <f>IF($A267="","",'Lot Balance'!$P266)</f>
        <v/>
      </c>
      <c r="I267" s="26" t="str">
        <f>IF($A267="","",COUNTIFS(tblIssues[Lot Number],$B267))</f>
        <v/>
      </c>
      <c r="J267" s="31" t="str">
        <f>IF($A267="","",IF('Lot Balance'!$O266&lt;=0,"Depleted",'Lot Balance'!$Q266))</f>
        <v/>
      </c>
    </row>
    <row r="268" spans="1:10" x14ac:dyDescent="0.35">
      <c r="A268" s="18" t="str">
        <f>IF('Lot Balance'!$A267="","",'Lot Balance'!$A267)</f>
        <v/>
      </c>
      <c r="B268" s="18" t="str">
        <f>IF($A268="","",'Lot Balance'!$B267)</f>
        <v/>
      </c>
      <c r="C268" s="18" t="str">
        <f>IF($A268="","",'Lot Balance'!$C267)</f>
        <v/>
      </c>
      <c r="D268" s="25" t="str">
        <f>IF($A268="","",'Lot Balance'!$G267)</f>
        <v/>
      </c>
      <c r="E268" s="25" t="str">
        <f>IF($A268="","",'Lot Balance'!$H267)</f>
        <v/>
      </c>
      <c r="F268" s="23" t="str">
        <f>IF($A268="","",'Lot Balance'!$I267)</f>
        <v/>
      </c>
      <c r="G268" s="23" t="str">
        <f>IF($A268="","",'Lot Balance'!$O267)</f>
        <v/>
      </c>
      <c r="H268" s="33" t="str">
        <f>IF($A268="","",'Lot Balance'!$P267)</f>
        <v/>
      </c>
      <c r="I268" s="26" t="str">
        <f>IF($A268="","",COUNTIFS(tblIssues[Lot Number],$B268))</f>
        <v/>
      </c>
      <c r="J268" s="31" t="str">
        <f>IF($A268="","",IF('Lot Balance'!$O267&lt;=0,"Depleted",'Lot Balance'!$Q267))</f>
        <v/>
      </c>
    </row>
    <row r="269" spans="1:10" x14ac:dyDescent="0.35">
      <c r="A269" s="18" t="str">
        <f>IF('Lot Balance'!$A268="","",'Lot Balance'!$A268)</f>
        <v/>
      </c>
      <c r="B269" s="18" t="str">
        <f>IF($A269="","",'Lot Balance'!$B268)</f>
        <v/>
      </c>
      <c r="C269" s="18" t="str">
        <f>IF($A269="","",'Lot Balance'!$C268)</f>
        <v/>
      </c>
      <c r="D269" s="25" t="str">
        <f>IF($A269="","",'Lot Balance'!$G268)</f>
        <v/>
      </c>
      <c r="E269" s="25" t="str">
        <f>IF($A269="","",'Lot Balance'!$H268)</f>
        <v/>
      </c>
      <c r="F269" s="23" t="str">
        <f>IF($A269="","",'Lot Balance'!$I268)</f>
        <v/>
      </c>
      <c r="G269" s="23" t="str">
        <f>IF($A269="","",'Lot Balance'!$O268)</f>
        <v/>
      </c>
      <c r="H269" s="33" t="str">
        <f>IF($A269="","",'Lot Balance'!$P268)</f>
        <v/>
      </c>
      <c r="I269" s="26" t="str">
        <f>IF($A269="","",COUNTIFS(tblIssues[Lot Number],$B269))</f>
        <v/>
      </c>
      <c r="J269" s="31" t="str">
        <f>IF($A269="","",IF('Lot Balance'!$O268&lt;=0,"Depleted",'Lot Balance'!$Q268))</f>
        <v/>
      </c>
    </row>
    <row r="270" spans="1:10" x14ac:dyDescent="0.35">
      <c r="A270" s="18" t="str">
        <f>IF('Lot Balance'!$A269="","",'Lot Balance'!$A269)</f>
        <v/>
      </c>
      <c r="B270" s="18" t="str">
        <f>IF($A270="","",'Lot Balance'!$B269)</f>
        <v/>
      </c>
      <c r="C270" s="18" t="str">
        <f>IF($A270="","",'Lot Balance'!$C269)</f>
        <v/>
      </c>
      <c r="D270" s="25" t="str">
        <f>IF($A270="","",'Lot Balance'!$G269)</f>
        <v/>
      </c>
      <c r="E270" s="25" t="str">
        <f>IF($A270="","",'Lot Balance'!$H269)</f>
        <v/>
      </c>
      <c r="F270" s="23" t="str">
        <f>IF($A270="","",'Lot Balance'!$I269)</f>
        <v/>
      </c>
      <c r="G270" s="23" t="str">
        <f>IF($A270="","",'Lot Balance'!$O269)</f>
        <v/>
      </c>
      <c r="H270" s="33" t="str">
        <f>IF($A270="","",'Lot Balance'!$P269)</f>
        <v/>
      </c>
      <c r="I270" s="26" t="str">
        <f>IF($A270="","",COUNTIFS(tblIssues[Lot Number],$B270))</f>
        <v/>
      </c>
      <c r="J270" s="31" t="str">
        <f>IF($A270="","",IF('Lot Balance'!$O269&lt;=0,"Depleted",'Lot Balance'!$Q269))</f>
        <v/>
      </c>
    </row>
    <row r="271" spans="1:10" x14ac:dyDescent="0.35">
      <c r="A271" s="18" t="str">
        <f>IF('Lot Balance'!$A270="","",'Lot Balance'!$A270)</f>
        <v/>
      </c>
      <c r="B271" s="18" t="str">
        <f>IF($A271="","",'Lot Balance'!$B270)</f>
        <v/>
      </c>
      <c r="C271" s="18" t="str">
        <f>IF($A271="","",'Lot Balance'!$C270)</f>
        <v/>
      </c>
      <c r="D271" s="25" t="str">
        <f>IF($A271="","",'Lot Balance'!$G270)</f>
        <v/>
      </c>
      <c r="E271" s="25" t="str">
        <f>IF($A271="","",'Lot Balance'!$H270)</f>
        <v/>
      </c>
      <c r="F271" s="23" t="str">
        <f>IF($A271="","",'Lot Balance'!$I270)</f>
        <v/>
      </c>
      <c r="G271" s="23" t="str">
        <f>IF($A271="","",'Lot Balance'!$O270)</f>
        <v/>
      </c>
      <c r="H271" s="33" t="str">
        <f>IF($A271="","",'Lot Balance'!$P270)</f>
        <v/>
      </c>
      <c r="I271" s="26" t="str">
        <f>IF($A271="","",COUNTIFS(tblIssues[Lot Number],$B271))</f>
        <v/>
      </c>
      <c r="J271" s="31" t="str">
        <f>IF($A271="","",IF('Lot Balance'!$O270&lt;=0,"Depleted",'Lot Balance'!$Q270))</f>
        <v/>
      </c>
    </row>
    <row r="272" spans="1:10" x14ac:dyDescent="0.35">
      <c r="A272" s="18" t="str">
        <f>IF('Lot Balance'!$A271="","",'Lot Balance'!$A271)</f>
        <v/>
      </c>
      <c r="B272" s="18" t="str">
        <f>IF($A272="","",'Lot Balance'!$B271)</f>
        <v/>
      </c>
      <c r="C272" s="18" t="str">
        <f>IF($A272="","",'Lot Balance'!$C271)</f>
        <v/>
      </c>
      <c r="D272" s="25" t="str">
        <f>IF($A272="","",'Lot Balance'!$G271)</f>
        <v/>
      </c>
      <c r="E272" s="25" t="str">
        <f>IF($A272="","",'Lot Balance'!$H271)</f>
        <v/>
      </c>
      <c r="F272" s="23" t="str">
        <f>IF($A272="","",'Lot Balance'!$I271)</f>
        <v/>
      </c>
      <c r="G272" s="23" t="str">
        <f>IF($A272="","",'Lot Balance'!$O271)</f>
        <v/>
      </c>
      <c r="H272" s="33" t="str">
        <f>IF($A272="","",'Lot Balance'!$P271)</f>
        <v/>
      </c>
      <c r="I272" s="26" t="str">
        <f>IF($A272="","",COUNTIFS(tblIssues[Lot Number],$B272))</f>
        <v/>
      </c>
      <c r="J272" s="31" t="str">
        <f>IF($A272="","",IF('Lot Balance'!$O271&lt;=0,"Depleted",'Lot Balance'!$Q271))</f>
        <v/>
      </c>
    </row>
    <row r="273" spans="1:10" x14ac:dyDescent="0.35">
      <c r="A273" s="18" t="str">
        <f>IF('Lot Balance'!$A272="","",'Lot Balance'!$A272)</f>
        <v/>
      </c>
      <c r="B273" s="18" t="str">
        <f>IF($A273="","",'Lot Balance'!$B272)</f>
        <v/>
      </c>
      <c r="C273" s="18" t="str">
        <f>IF($A273="","",'Lot Balance'!$C272)</f>
        <v/>
      </c>
      <c r="D273" s="25" t="str">
        <f>IF($A273="","",'Lot Balance'!$G272)</f>
        <v/>
      </c>
      <c r="E273" s="25" t="str">
        <f>IF($A273="","",'Lot Balance'!$H272)</f>
        <v/>
      </c>
      <c r="F273" s="23" t="str">
        <f>IF($A273="","",'Lot Balance'!$I272)</f>
        <v/>
      </c>
      <c r="G273" s="23" t="str">
        <f>IF($A273="","",'Lot Balance'!$O272)</f>
        <v/>
      </c>
      <c r="H273" s="33" t="str">
        <f>IF($A273="","",'Lot Balance'!$P272)</f>
        <v/>
      </c>
      <c r="I273" s="26" t="str">
        <f>IF($A273="","",COUNTIFS(tblIssues[Lot Number],$B273))</f>
        <v/>
      </c>
      <c r="J273" s="31" t="str">
        <f>IF($A273="","",IF('Lot Balance'!$O272&lt;=0,"Depleted",'Lot Balance'!$Q272))</f>
        <v/>
      </c>
    </row>
    <row r="274" spans="1:10" x14ac:dyDescent="0.35">
      <c r="A274" s="18" t="str">
        <f>IF('Lot Balance'!$A273="","",'Lot Balance'!$A273)</f>
        <v/>
      </c>
      <c r="B274" s="18" t="str">
        <f>IF($A274="","",'Lot Balance'!$B273)</f>
        <v/>
      </c>
      <c r="C274" s="18" t="str">
        <f>IF($A274="","",'Lot Balance'!$C273)</f>
        <v/>
      </c>
      <c r="D274" s="25" t="str">
        <f>IF($A274="","",'Lot Balance'!$G273)</f>
        <v/>
      </c>
      <c r="E274" s="25" t="str">
        <f>IF($A274="","",'Lot Balance'!$H273)</f>
        <v/>
      </c>
      <c r="F274" s="23" t="str">
        <f>IF($A274="","",'Lot Balance'!$I273)</f>
        <v/>
      </c>
      <c r="G274" s="23" t="str">
        <f>IF($A274="","",'Lot Balance'!$O273)</f>
        <v/>
      </c>
      <c r="H274" s="33" t="str">
        <f>IF($A274="","",'Lot Balance'!$P273)</f>
        <v/>
      </c>
      <c r="I274" s="26" t="str">
        <f>IF($A274="","",COUNTIFS(tblIssues[Lot Number],$B274))</f>
        <v/>
      </c>
      <c r="J274" s="31" t="str">
        <f>IF($A274="","",IF('Lot Balance'!$O273&lt;=0,"Depleted",'Lot Balance'!$Q273))</f>
        <v/>
      </c>
    </row>
    <row r="275" spans="1:10" x14ac:dyDescent="0.35">
      <c r="A275" s="18" t="str">
        <f>IF('Lot Balance'!$A274="","",'Lot Balance'!$A274)</f>
        <v/>
      </c>
      <c r="B275" s="18" t="str">
        <f>IF($A275="","",'Lot Balance'!$B274)</f>
        <v/>
      </c>
      <c r="C275" s="18" t="str">
        <f>IF($A275="","",'Lot Balance'!$C274)</f>
        <v/>
      </c>
      <c r="D275" s="25" t="str">
        <f>IF($A275="","",'Lot Balance'!$G274)</f>
        <v/>
      </c>
      <c r="E275" s="25" t="str">
        <f>IF($A275="","",'Lot Balance'!$H274)</f>
        <v/>
      </c>
      <c r="F275" s="23" t="str">
        <f>IF($A275="","",'Lot Balance'!$I274)</f>
        <v/>
      </c>
      <c r="G275" s="23" t="str">
        <f>IF($A275="","",'Lot Balance'!$O274)</f>
        <v/>
      </c>
      <c r="H275" s="33" t="str">
        <f>IF($A275="","",'Lot Balance'!$P274)</f>
        <v/>
      </c>
      <c r="I275" s="26" t="str">
        <f>IF($A275="","",COUNTIFS(tblIssues[Lot Number],$B275))</f>
        <v/>
      </c>
      <c r="J275" s="31" t="str">
        <f>IF($A275="","",IF('Lot Balance'!$O274&lt;=0,"Depleted",'Lot Balance'!$Q274))</f>
        <v/>
      </c>
    </row>
    <row r="276" spans="1:10" x14ac:dyDescent="0.35">
      <c r="A276" s="18" t="str">
        <f>IF('Lot Balance'!$A275="","",'Lot Balance'!$A275)</f>
        <v/>
      </c>
      <c r="B276" s="18" t="str">
        <f>IF($A276="","",'Lot Balance'!$B275)</f>
        <v/>
      </c>
      <c r="C276" s="18" t="str">
        <f>IF($A276="","",'Lot Balance'!$C275)</f>
        <v/>
      </c>
      <c r="D276" s="25" t="str">
        <f>IF($A276="","",'Lot Balance'!$G275)</f>
        <v/>
      </c>
      <c r="E276" s="25" t="str">
        <f>IF($A276="","",'Lot Balance'!$H275)</f>
        <v/>
      </c>
      <c r="F276" s="23" t="str">
        <f>IF($A276="","",'Lot Balance'!$I275)</f>
        <v/>
      </c>
      <c r="G276" s="23" t="str">
        <f>IF($A276="","",'Lot Balance'!$O275)</f>
        <v/>
      </c>
      <c r="H276" s="33" t="str">
        <f>IF($A276="","",'Lot Balance'!$P275)</f>
        <v/>
      </c>
      <c r="I276" s="26" t="str">
        <f>IF($A276="","",COUNTIFS(tblIssues[Lot Number],$B276))</f>
        <v/>
      </c>
      <c r="J276" s="31" t="str">
        <f>IF($A276="","",IF('Lot Balance'!$O275&lt;=0,"Depleted",'Lot Balance'!$Q275))</f>
        <v/>
      </c>
    </row>
    <row r="277" spans="1:10" x14ac:dyDescent="0.35">
      <c r="A277" s="18" t="str">
        <f>IF('Lot Balance'!$A276="","",'Lot Balance'!$A276)</f>
        <v/>
      </c>
      <c r="B277" s="18" t="str">
        <f>IF($A277="","",'Lot Balance'!$B276)</f>
        <v/>
      </c>
      <c r="C277" s="18" t="str">
        <f>IF($A277="","",'Lot Balance'!$C276)</f>
        <v/>
      </c>
      <c r="D277" s="25" t="str">
        <f>IF($A277="","",'Lot Balance'!$G276)</f>
        <v/>
      </c>
      <c r="E277" s="25" t="str">
        <f>IF($A277="","",'Lot Balance'!$H276)</f>
        <v/>
      </c>
      <c r="F277" s="23" t="str">
        <f>IF($A277="","",'Lot Balance'!$I276)</f>
        <v/>
      </c>
      <c r="G277" s="23" t="str">
        <f>IF($A277="","",'Lot Balance'!$O276)</f>
        <v/>
      </c>
      <c r="H277" s="33" t="str">
        <f>IF($A277="","",'Lot Balance'!$P276)</f>
        <v/>
      </c>
      <c r="I277" s="26" t="str">
        <f>IF($A277="","",COUNTIFS(tblIssues[Lot Number],$B277))</f>
        <v/>
      </c>
      <c r="J277" s="31" t="str">
        <f>IF($A277="","",IF('Lot Balance'!$O276&lt;=0,"Depleted",'Lot Balance'!$Q276))</f>
        <v/>
      </c>
    </row>
    <row r="278" spans="1:10" x14ac:dyDescent="0.35">
      <c r="A278" s="18" t="str">
        <f>IF('Lot Balance'!$A277="","",'Lot Balance'!$A277)</f>
        <v/>
      </c>
      <c r="B278" s="18" t="str">
        <f>IF($A278="","",'Lot Balance'!$B277)</f>
        <v/>
      </c>
      <c r="C278" s="18" t="str">
        <f>IF($A278="","",'Lot Balance'!$C277)</f>
        <v/>
      </c>
      <c r="D278" s="25" t="str">
        <f>IF($A278="","",'Lot Balance'!$G277)</f>
        <v/>
      </c>
      <c r="E278" s="25" t="str">
        <f>IF($A278="","",'Lot Balance'!$H277)</f>
        <v/>
      </c>
      <c r="F278" s="23" t="str">
        <f>IF($A278="","",'Lot Balance'!$I277)</f>
        <v/>
      </c>
      <c r="G278" s="23" t="str">
        <f>IF($A278="","",'Lot Balance'!$O277)</f>
        <v/>
      </c>
      <c r="H278" s="33" t="str">
        <f>IF($A278="","",'Lot Balance'!$P277)</f>
        <v/>
      </c>
      <c r="I278" s="26" t="str">
        <f>IF($A278="","",COUNTIFS(tblIssues[Lot Number],$B278))</f>
        <v/>
      </c>
      <c r="J278" s="31" t="str">
        <f>IF($A278="","",IF('Lot Balance'!$O277&lt;=0,"Depleted",'Lot Balance'!$Q277))</f>
        <v/>
      </c>
    </row>
    <row r="279" spans="1:10" x14ac:dyDescent="0.35">
      <c r="A279" s="18" t="str">
        <f>IF('Lot Balance'!$A278="","",'Lot Balance'!$A278)</f>
        <v/>
      </c>
      <c r="B279" s="18" t="str">
        <f>IF($A279="","",'Lot Balance'!$B278)</f>
        <v/>
      </c>
      <c r="C279" s="18" t="str">
        <f>IF($A279="","",'Lot Balance'!$C278)</f>
        <v/>
      </c>
      <c r="D279" s="25" t="str">
        <f>IF($A279="","",'Lot Balance'!$G278)</f>
        <v/>
      </c>
      <c r="E279" s="25" t="str">
        <f>IF($A279="","",'Lot Balance'!$H278)</f>
        <v/>
      </c>
      <c r="F279" s="23" t="str">
        <f>IF($A279="","",'Lot Balance'!$I278)</f>
        <v/>
      </c>
      <c r="G279" s="23" t="str">
        <f>IF($A279="","",'Lot Balance'!$O278)</f>
        <v/>
      </c>
      <c r="H279" s="33" t="str">
        <f>IF($A279="","",'Lot Balance'!$P278)</f>
        <v/>
      </c>
      <c r="I279" s="26" t="str">
        <f>IF($A279="","",COUNTIFS(tblIssues[Lot Number],$B279))</f>
        <v/>
      </c>
      <c r="J279" s="31" t="str">
        <f>IF($A279="","",IF('Lot Balance'!$O278&lt;=0,"Depleted",'Lot Balance'!$Q278))</f>
        <v/>
      </c>
    </row>
    <row r="280" spans="1:10" x14ac:dyDescent="0.35">
      <c r="A280" s="18" t="str">
        <f>IF('Lot Balance'!$A279="","",'Lot Balance'!$A279)</f>
        <v/>
      </c>
      <c r="B280" s="18" t="str">
        <f>IF($A280="","",'Lot Balance'!$B279)</f>
        <v/>
      </c>
      <c r="C280" s="18" t="str">
        <f>IF($A280="","",'Lot Balance'!$C279)</f>
        <v/>
      </c>
      <c r="D280" s="25" t="str">
        <f>IF($A280="","",'Lot Balance'!$G279)</f>
        <v/>
      </c>
      <c r="E280" s="25" t="str">
        <f>IF($A280="","",'Lot Balance'!$H279)</f>
        <v/>
      </c>
      <c r="F280" s="23" t="str">
        <f>IF($A280="","",'Lot Balance'!$I279)</f>
        <v/>
      </c>
      <c r="G280" s="23" t="str">
        <f>IF($A280="","",'Lot Balance'!$O279)</f>
        <v/>
      </c>
      <c r="H280" s="33" t="str">
        <f>IF($A280="","",'Lot Balance'!$P279)</f>
        <v/>
      </c>
      <c r="I280" s="26" t="str">
        <f>IF($A280="","",COUNTIFS(tblIssues[Lot Number],$B280))</f>
        <v/>
      </c>
      <c r="J280" s="31" t="str">
        <f>IF($A280="","",IF('Lot Balance'!$O279&lt;=0,"Depleted",'Lot Balance'!$Q279))</f>
        <v/>
      </c>
    </row>
    <row r="281" spans="1:10" x14ac:dyDescent="0.35">
      <c r="A281" s="18" t="str">
        <f>IF('Lot Balance'!$A280="","",'Lot Balance'!$A280)</f>
        <v/>
      </c>
      <c r="B281" s="18" t="str">
        <f>IF($A281="","",'Lot Balance'!$B280)</f>
        <v/>
      </c>
      <c r="C281" s="18" t="str">
        <f>IF($A281="","",'Lot Balance'!$C280)</f>
        <v/>
      </c>
      <c r="D281" s="25" t="str">
        <f>IF($A281="","",'Lot Balance'!$G280)</f>
        <v/>
      </c>
      <c r="E281" s="25" t="str">
        <f>IF($A281="","",'Lot Balance'!$H280)</f>
        <v/>
      </c>
      <c r="F281" s="23" t="str">
        <f>IF($A281="","",'Lot Balance'!$I280)</f>
        <v/>
      </c>
      <c r="G281" s="23" t="str">
        <f>IF($A281="","",'Lot Balance'!$O280)</f>
        <v/>
      </c>
      <c r="H281" s="33" t="str">
        <f>IF($A281="","",'Lot Balance'!$P280)</f>
        <v/>
      </c>
      <c r="I281" s="26" t="str">
        <f>IF($A281="","",COUNTIFS(tblIssues[Lot Number],$B281))</f>
        <v/>
      </c>
      <c r="J281" s="31" t="str">
        <f>IF($A281="","",IF('Lot Balance'!$O280&lt;=0,"Depleted",'Lot Balance'!$Q280))</f>
        <v/>
      </c>
    </row>
    <row r="282" spans="1:10" x14ac:dyDescent="0.35">
      <c r="A282" s="18" t="str">
        <f>IF('Lot Balance'!$A281="","",'Lot Balance'!$A281)</f>
        <v/>
      </c>
      <c r="B282" s="18" t="str">
        <f>IF($A282="","",'Lot Balance'!$B281)</f>
        <v/>
      </c>
      <c r="C282" s="18" t="str">
        <f>IF($A282="","",'Lot Balance'!$C281)</f>
        <v/>
      </c>
      <c r="D282" s="25" t="str">
        <f>IF($A282="","",'Lot Balance'!$G281)</f>
        <v/>
      </c>
      <c r="E282" s="25" t="str">
        <f>IF($A282="","",'Lot Balance'!$H281)</f>
        <v/>
      </c>
      <c r="F282" s="23" t="str">
        <f>IF($A282="","",'Lot Balance'!$I281)</f>
        <v/>
      </c>
      <c r="G282" s="23" t="str">
        <f>IF($A282="","",'Lot Balance'!$O281)</f>
        <v/>
      </c>
      <c r="H282" s="33" t="str">
        <f>IF($A282="","",'Lot Balance'!$P281)</f>
        <v/>
      </c>
      <c r="I282" s="26" t="str">
        <f>IF($A282="","",COUNTIFS(tblIssues[Lot Number],$B282))</f>
        <v/>
      </c>
      <c r="J282" s="31" t="str">
        <f>IF($A282="","",IF('Lot Balance'!$O281&lt;=0,"Depleted",'Lot Balance'!$Q281))</f>
        <v/>
      </c>
    </row>
    <row r="283" spans="1:10" x14ac:dyDescent="0.35">
      <c r="A283" s="18" t="str">
        <f>IF('Lot Balance'!$A282="","",'Lot Balance'!$A282)</f>
        <v/>
      </c>
      <c r="B283" s="18" t="str">
        <f>IF($A283="","",'Lot Balance'!$B282)</f>
        <v/>
      </c>
      <c r="C283" s="18" t="str">
        <f>IF($A283="","",'Lot Balance'!$C282)</f>
        <v/>
      </c>
      <c r="D283" s="25" t="str">
        <f>IF($A283="","",'Lot Balance'!$G282)</f>
        <v/>
      </c>
      <c r="E283" s="25" t="str">
        <f>IF($A283="","",'Lot Balance'!$H282)</f>
        <v/>
      </c>
      <c r="F283" s="23" t="str">
        <f>IF($A283="","",'Lot Balance'!$I282)</f>
        <v/>
      </c>
      <c r="G283" s="23" t="str">
        <f>IF($A283="","",'Lot Balance'!$O282)</f>
        <v/>
      </c>
      <c r="H283" s="33" t="str">
        <f>IF($A283="","",'Lot Balance'!$P282)</f>
        <v/>
      </c>
      <c r="I283" s="26" t="str">
        <f>IF($A283="","",COUNTIFS(tblIssues[Lot Number],$B283))</f>
        <v/>
      </c>
      <c r="J283" s="31" t="str">
        <f>IF($A283="","",IF('Lot Balance'!$O282&lt;=0,"Depleted",'Lot Balance'!$Q282))</f>
        <v/>
      </c>
    </row>
    <row r="284" spans="1:10" x14ac:dyDescent="0.35">
      <c r="A284" s="18" t="str">
        <f>IF('Lot Balance'!$A283="","",'Lot Balance'!$A283)</f>
        <v/>
      </c>
      <c r="B284" s="18" t="str">
        <f>IF($A284="","",'Lot Balance'!$B283)</f>
        <v/>
      </c>
      <c r="C284" s="18" t="str">
        <f>IF($A284="","",'Lot Balance'!$C283)</f>
        <v/>
      </c>
      <c r="D284" s="25" t="str">
        <f>IF($A284="","",'Lot Balance'!$G283)</f>
        <v/>
      </c>
      <c r="E284" s="25" t="str">
        <f>IF($A284="","",'Lot Balance'!$H283)</f>
        <v/>
      </c>
      <c r="F284" s="23" t="str">
        <f>IF($A284="","",'Lot Balance'!$I283)</f>
        <v/>
      </c>
      <c r="G284" s="23" t="str">
        <f>IF($A284="","",'Lot Balance'!$O283)</f>
        <v/>
      </c>
      <c r="H284" s="33" t="str">
        <f>IF($A284="","",'Lot Balance'!$P283)</f>
        <v/>
      </c>
      <c r="I284" s="26" t="str">
        <f>IF($A284="","",COUNTIFS(tblIssues[Lot Number],$B284))</f>
        <v/>
      </c>
      <c r="J284" s="31" t="str">
        <f>IF($A284="","",IF('Lot Balance'!$O283&lt;=0,"Depleted",'Lot Balance'!$Q283))</f>
        <v/>
      </c>
    </row>
    <row r="285" spans="1:10" x14ac:dyDescent="0.35">
      <c r="A285" s="18" t="str">
        <f>IF('Lot Balance'!$A284="","",'Lot Balance'!$A284)</f>
        <v/>
      </c>
      <c r="B285" s="18" t="str">
        <f>IF($A285="","",'Lot Balance'!$B284)</f>
        <v/>
      </c>
      <c r="C285" s="18" t="str">
        <f>IF($A285="","",'Lot Balance'!$C284)</f>
        <v/>
      </c>
      <c r="D285" s="25" t="str">
        <f>IF($A285="","",'Lot Balance'!$G284)</f>
        <v/>
      </c>
      <c r="E285" s="25" t="str">
        <f>IF($A285="","",'Lot Balance'!$H284)</f>
        <v/>
      </c>
      <c r="F285" s="23" t="str">
        <f>IF($A285="","",'Lot Balance'!$I284)</f>
        <v/>
      </c>
      <c r="G285" s="23" t="str">
        <f>IF($A285="","",'Lot Balance'!$O284)</f>
        <v/>
      </c>
      <c r="H285" s="33" t="str">
        <f>IF($A285="","",'Lot Balance'!$P284)</f>
        <v/>
      </c>
      <c r="I285" s="26" t="str">
        <f>IF($A285="","",COUNTIFS(tblIssues[Lot Number],$B285))</f>
        <v/>
      </c>
      <c r="J285" s="31" t="str">
        <f>IF($A285="","",IF('Lot Balance'!$O284&lt;=0,"Depleted",'Lot Balance'!$Q284))</f>
        <v/>
      </c>
    </row>
    <row r="286" spans="1:10" x14ac:dyDescent="0.35">
      <c r="A286" s="18" t="str">
        <f>IF('Lot Balance'!$A285="","",'Lot Balance'!$A285)</f>
        <v/>
      </c>
      <c r="B286" s="18" t="str">
        <f>IF($A286="","",'Lot Balance'!$B285)</f>
        <v/>
      </c>
      <c r="C286" s="18" t="str">
        <f>IF($A286="","",'Lot Balance'!$C285)</f>
        <v/>
      </c>
      <c r="D286" s="25" t="str">
        <f>IF($A286="","",'Lot Balance'!$G285)</f>
        <v/>
      </c>
      <c r="E286" s="25" t="str">
        <f>IF($A286="","",'Lot Balance'!$H285)</f>
        <v/>
      </c>
      <c r="F286" s="23" t="str">
        <f>IF($A286="","",'Lot Balance'!$I285)</f>
        <v/>
      </c>
      <c r="G286" s="23" t="str">
        <f>IF($A286="","",'Lot Balance'!$O285)</f>
        <v/>
      </c>
      <c r="H286" s="33" t="str">
        <f>IF($A286="","",'Lot Balance'!$P285)</f>
        <v/>
      </c>
      <c r="I286" s="26" t="str">
        <f>IF($A286="","",COUNTIFS(tblIssues[Lot Number],$B286))</f>
        <v/>
      </c>
      <c r="J286" s="31" t="str">
        <f>IF($A286="","",IF('Lot Balance'!$O285&lt;=0,"Depleted",'Lot Balance'!$Q285))</f>
        <v/>
      </c>
    </row>
    <row r="287" spans="1:10" x14ac:dyDescent="0.35">
      <c r="A287" s="18" t="str">
        <f>IF('Lot Balance'!$A286="","",'Lot Balance'!$A286)</f>
        <v/>
      </c>
      <c r="B287" s="18" t="str">
        <f>IF($A287="","",'Lot Balance'!$B286)</f>
        <v/>
      </c>
      <c r="C287" s="18" t="str">
        <f>IF($A287="","",'Lot Balance'!$C286)</f>
        <v/>
      </c>
      <c r="D287" s="25" t="str">
        <f>IF($A287="","",'Lot Balance'!$G286)</f>
        <v/>
      </c>
      <c r="E287" s="25" t="str">
        <f>IF($A287="","",'Lot Balance'!$H286)</f>
        <v/>
      </c>
      <c r="F287" s="23" t="str">
        <f>IF($A287="","",'Lot Balance'!$I286)</f>
        <v/>
      </c>
      <c r="G287" s="23" t="str">
        <f>IF($A287="","",'Lot Balance'!$O286)</f>
        <v/>
      </c>
      <c r="H287" s="33" t="str">
        <f>IF($A287="","",'Lot Balance'!$P286)</f>
        <v/>
      </c>
      <c r="I287" s="26" t="str">
        <f>IF($A287="","",COUNTIFS(tblIssues[Lot Number],$B287))</f>
        <v/>
      </c>
      <c r="J287" s="31" t="str">
        <f>IF($A287="","",IF('Lot Balance'!$O286&lt;=0,"Depleted",'Lot Balance'!$Q286))</f>
        <v/>
      </c>
    </row>
    <row r="288" spans="1:10" x14ac:dyDescent="0.35">
      <c r="A288" s="18" t="str">
        <f>IF('Lot Balance'!$A287="","",'Lot Balance'!$A287)</f>
        <v/>
      </c>
      <c r="B288" s="18" t="str">
        <f>IF($A288="","",'Lot Balance'!$B287)</f>
        <v/>
      </c>
      <c r="C288" s="18" t="str">
        <f>IF($A288="","",'Lot Balance'!$C287)</f>
        <v/>
      </c>
      <c r="D288" s="25" t="str">
        <f>IF($A288="","",'Lot Balance'!$G287)</f>
        <v/>
      </c>
      <c r="E288" s="25" t="str">
        <f>IF($A288="","",'Lot Balance'!$H287)</f>
        <v/>
      </c>
      <c r="F288" s="23" t="str">
        <f>IF($A288="","",'Lot Balance'!$I287)</f>
        <v/>
      </c>
      <c r="G288" s="23" t="str">
        <f>IF($A288="","",'Lot Balance'!$O287)</f>
        <v/>
      </c>
      <c r="H288" s="33" t="str">
        <f>IF($A288="","",'Lot Balance'!$P287)</f>
        <v/>
      </c>
      <c r="I288" s="26" t="str">
        <f>IF($A288="","",COUNTIFS(tblIssues[Lot Number],$B288))</f>
        <v/>
      </c>
      <c r="J288" s="31" t="str">
        <f>IF($A288="","",IF('Lot Balance'!$O287&lt;=0,"Depleted",'Lot Balance'!$Q287))</f>
        <v/>
      </c>
    </row>
    <row r="289" spans="1:10" x14ac:dyDescent="0.35">
      <c r="A289" s="18" t="str">
        <f>IF('Lot Balance'!$A288="","",'Lot Balance'!$A288)</f>
        <v/>
      </c>
      <c r="B289" s="18" t="str">
        <f>IF($A289="","",'Lot Balance'!$B288)</f>
        <v/>
      </c>
      <c r="C289" s="18" t="str">
        <f>IF($A289="","",'Lot Balance'!$C288)</f>
        <v/>
      </c>
      <c r="D289" s="25" t="str">
        <f>IF($A289="","",'Lot Balance'!$G288)</f>
        <v/>
      </c>
      <c r="E289" s="25" t="str">
        <f>IF($A289="","",'Lot Balance'!$H288)</f>
        <v/>
      </c>
      <c r="F289" s="23" t="str">
        <f>IF($A289="","",'Lot Balance'!$I288)</f>
        <v/>
      </c>
      <c r="G289" s="23" t="str">
        <f>IF($A289="","",'Lot Balance'!$O288)</f>
        <v/>
      </c>
      <c r="H289" s="33" t="str">
        <f>IF($A289="","",'Lot Balance'!$P288)</f>
        <v/>
      </c>
      <c r="I289" s="26" t="str">
        <f>IF($A289="","",COUNTIFS(tblIssues[Lot Number],$B289))</f>
        <v/>
      </c>
      <c r="J289" s="31" t="str">
        <f>IF($A289="","",IF('Lot Balance'!$O288&lt;=0,"Depleted",'Lot Balance'!$Q288))</f>
        <v/>
      </c>
    </row>
    <row r="290" spans="1:10" x14ac:dyDescent="0.35">
      <c r="A290" s="18" t="str">
        <f>IF('Lot Balance'!$A289="","",'Lot Balance'!$A289)</f>
        <v/>
      </c>
      <c r="B290" s="18" t="str">
        <f>IF($A290="","",'Lot Balance'!$B289)</f>
        <v/>
      </c>
      <c r="C290" s="18" t="str">
        <f>IF($A290="","",'Lot Balance'!$C289)</f>
        <v/>
      </c>
      <c r="D290" s="25" t="str">
        <f>IF($A290="","",'Lot Balance'!$G289)</f>
        <v/>
      </c>
      <c r="E290" s="25" t="str">
        <f>IF($A290="","",'Lot Balance'!$H289)</f>
        <v/>
      </c>
      <c r="F290" s="23" t="str">
        <f>IF($A290="","",'Lot Balance'!$I289)</f>
        <v/>
      </c>
      <c r="G290" s="23" t="str">
        <f>IF($A290="","",'Lot Balance'!$O289)</f>
        <v/>
      </c>
      <c r="H290" s="33" t="str">
        <f>IF($A290="","",'Lot Balance'!$P289)</f>
        <v/>
      </c>
      <c r="I290" s="26" t="str">
        <f>IF($A290="","",COUNTIFS(tblIssues[Lot Number],$B290))</f>
        <v/>
      </c>
      <c r="J290" s="31" t="str">
        <f>IF($A290="","",IF('Lot Balance'!$O289&lt;=0,"Depleted",'Lot Balance'!$Q289))</f>
        <v/>
      </c>
    </row>
    <row r="291" spans="1:10" x14ac:dyDescent="0.35">
      <c r="A291" s="18" t="str">
        <f>IF('Lot Balance'!$A290="","",'Lot Balance'!$A290)</f>
        <v/>
      </c>
      <c r="B291" s="18" t="str">
        <f>IF($A291="","",'Lot Balance'!$B290)</f>
        <v/>
      </c>
      <c r="C291" s="18" t="str">
        <f>IF($A291="","",'Lot Balance'!$C290)</f>
        <v/>
      </c>
      <c r="D291" s="25" t="str">
        <f>IF($A291="","",'Lot Balance'!$G290)</f>
        <v/>
      </c>
      <c r="E291" s="25" t="str">
        <f>IF($A291="","",'Lot Balance'!$H290)</f>
        <v/>
      </c>
      <c r="F291" s="23" t="str">
        <f>IF($A291="","",'Lot Balance'!$I290)</f>
        <v/>
      </c>
      <c r="G291" s="23" t="str">
        <f>IF($A291="","",'Lot Balance'!$O290)</f>
        <v/>
      </c>
      <c r="H291" s="33" t="str">
        <f>IF($A291="","",'Lot Balance'!$P290)</f>
        <v/>
      </c>
      <c r="I291" s="26" t="str">
        <f>IF($A291="","",COUNTIFS(tblIssues[Lot Number],$B291))</f>
        <v/>
      </c>
      <c r="J291" s="31" t="str">
        <f>IF($A291="","",IF('Lot Balance'!$O290&lt;=0,"Depleted",'Lot Balance'!$Q290))</f>
        <v/>
      </c>
    </row>
    <row r="292" spans="1:10" x14ac:dyDescent="0.35">
      <c r="A292" s="18" t="str">
        <f>IF('Lot Balance'!$A291="","",'Lot Balance'!$A291)</f>
        <v/>
      </c>
      <c r="B292" s="18" t="str">
        <f>IF($A292="","",'Lot Balance'!$B291)</f>
        <v/>
      </c>
      <c r="C292" s="18" t="str">
        <f>IF($A292="","",'Lot Balance'!$C291)</f>
        <v/>
      </c>
      <c r="D292" s="25" t="str">
        <f>IF($A292="","",'Lot Balance'!$G291)</f>
        <v/>
      </c>
      <c r="E292" s="25" t="str">
        <f>IF($A292="","",'Lot Balance'!$H291)</f>
        <v/>
      </c>
      <c r="F292" s="23" t="str">
        <f>IF($A292="","",'Lot Balance'!$I291)</f>
        <v/>
      </c>
      <c r="G292" s="23" t="str">
        <f>IF($A292="","",'Lot Balance'!$O291)</f>
        <v/>
      </c>
      <c r="H292" s="33" t="str">
        <f>IF($A292="","",'Lot Balance'!$P291)</f>
        <v/>
      </c>
      <c r="I292" s="26" t="str">
        <f>IF($A292="","",COUNTIFS(tblIssues[Lot Number],$B292))</f>
        <v/>
      </c>
      <c r="J292" s="31" t="str">
        <f>IF($A292="","",IF('Lot Balance'!$O291&lt;=0,"Depleted",'Lot Balance'!$Q291))</f>
        <v/>
      </c>
    </row>
    <row r="293" spans="1:10" x14ac:dyDescent="0.35">
      <c r="A293" s="18" t="str">
        <f>IF('Lot Balance'!$A292="","",'Lot Balance'!$A292)</f>
        <v/>
      </c>
      <c r="B293" s="18" t="str">
        <f>IF($A293="","",'Lot Balance'!$B292)</f>
        <v/>
      </c>
      <c r="C293" s="18" t="str">
        <f>IF($A293="","",'Lot Balance'!$C292)</f>
        <v/>
      </c>
      <c r="D293" s="25" t="str">
        <f>IF($A293="","",'Lot Balance'!$G292)</f>
        <v/>
      </c>
      <c r="E293" s="25" t="str">
        <f>IF($A293="","",'Lot Balance'!$H292)</f>
        <v/>
      </c>
      <c r="F293" s="23" t="str">
        <f>IF($A293="","",'Lot Balance'!$I292)</f>
        <v/>
      </c>
      <c r="G293" s="23" t="str">
        <f>IF($A293="","",'Lot Balance'!$O292)</f>
        <v/>
      </c>
      <c r="H293" s="33" t="str">
        <f>IF($A293="","",'Lot Balance'!$P292)</f>
        <v/>
      </c>
      <c r="I293" s="26" t="str">
        <f>IF($A293="","",COUNTIFS(tblIssues[Lot Number],$B293))</f>
        <v/>
      </c>
      <c r="J293" s="31" t="str">
        <f>IF($A293="","",IF('Lot Balance'!$O292&lt;=0,"Depleted",'Lot Balance'!$Q292))</f>
        <v/>
      </c>
    </row>
    <row r="294" spans="1:10" x14ac:dyDescent="0.35">
      <c r="A294" s="18" t="str">
        <f>IF('Lot Balance'!$A293="","",'Lot Balance'!$A293)</f>
        <v/>
      </c>
      <c r="B294" s="18" t="str">
        <f>IF($A294="","",'Lot Balance'!$B293)</f>
        <v/>
      </c>
      <c r="C294" s="18" t="str">
        <f>IF($A294="","",'Lot Balance'!$C293)</f>
        <v/>
      </c>
      <c r="D294" s="25" t="str">
        <f>IF($A294="","",'Lot Balance'!$G293)</f>
        <v/>
      </c>
      <c r="E294" s="25" t="str">
        <f>IF($A294="","",'Lot Balance'!$H293)</f>
        <v/>
      </c>
      <c r="F294" s="23" t="str">
        <f>IF($A294="","",'Lot Balance'!$I293)</f>
        <v/>
      </c>
      <c r="G294" s="23" t="str">
        <f>IF($A294="","",'Lot Balance'!$O293)</f>
        <v/>
      </c>
      <c r="H294" s="33" t="str">
        <f>IF($A294="","",'Lot Balance'!$P293)</f>
        <v/>
      </c>
      <c r="I294" s="26" t="str">
        <f>IF($A294="","",COUNTIFS(tblIssues[Lot Number],$B294))</f>
        <v/>
      </c>
      <c r="J294" s="31" t="str">
        <f>IF($A294="","",IF('Lot Balance'!$O293&lt;=0,"Depleted",'Lot Balance'!$Q293))</f>
        <v/>
      </c>
    </row>
    <row r="295" spans="1:10" x14ac:dyDescent="0.35">
      <c r="A295" s="18" t="str">
        <f>IF('Lot Balance'!$A294="","",'Lot Balance'!$A294)</f>
        <v/>
      </c>
      <c r="B295" s="18" t="str">
        <f>IF($A295="","",'Lot Balance'!$B294)</f>
        <v/>
      </c>
      <c r="C295" s="18" t="str">
        <f>IF($A295="","",'Lot Balance'!$C294)</f>
        <v/>
      </c>
      <c r="D295" s="25" t="str">
        <f>IF($A295="","",'Lot Balance'!$G294)</f>
        <v/>
      </c>
      <c r="E295" s="25" t="str">
        <f>IF($A295="","",'Lot Balance'!$H294)</f>
        <v/>
      </c>
      <c r="F295" s="23" t="str">
        <f>IF($A295="","",'Lot Balance'!$I294)</f>
        <v/>
      </c>
      <c r="G295" s="23" t="str">
        <f>IF($A295="","",'Lot Balance'!$O294)</f>
        <v/>
      </c>
      <c r="H295" s="33" t="str">
        <f>IF($A295="","",'Lot Balance'!$P294)</f>
        <v/>
      </c>
      <c r="I295" s="26" t="str">
        <f>IF($A295="","",COUNTIFS(tblIssues[Lot Number],$B295))</f>
        <v/>
      </c>
      <c r="J295" s="31" t="str">
        <f>IF($A295="","",IF('Lot Balance'!$O294&lt;=0,"Depleted",'Lot Balance'!$Q294))</f>
        <v/>
      </c>
    </row>
    <row r="296" spans="1:10" x14ac:dyDescent="0.35">
      <c r="A296" s="18" t="str">
        <f>IF('Lot Balance'!$A295="","",'Lot Balance'!$A295)</f>
        <v/>
      </c>
      <c r="B296" s="18" t="str">
        <f>IF($A296="","",'Lot Balance'!$B295)</f>
        <v/>
      </c>
      <c r="C296" s="18" t="str">
        <f>IF($A296="","",'Lot Balance'!$C295)</f>
        <v/>
      </c>
      <c r="D296" s="25" t="str">
        <f>IF($A296="","",'Lot Balance'!$G295)</f>
        <v/>
      </c>
      <c r="E296" s="25" t="str">
        <f>IF($A296="","",'Lot Balance'!$H295)</f>
        <v/>
      </c>
      <c r="F296" s="23" t="str">
        <f>IF($A296="","",'Lot Balance'!$I295)</f>
        <v/>
      </c>
      <c r="G296" s="23" t="str">
        <f>IF($A296="","",'Lot Balance'!$O295)</f>
        <v/>
      </c>
      <c r="H296" s="33" t="str">
        <f>IF($A296="","",'Lot Balance'!$P295)</f>
        <v/>
      </c>
      <c r="I296" s="26" t="str">
        <f>IF($A296="","",COUNTIFS(tblIssues[Lot Number],$B296))</f>
        <v/>
      </c>
      <c r="J296" s="31" t="str">
        <f>IF($A296="","",IF('Lot Balance'!$O295&lt;=0,"Depleted",'Lot Balance'!$Q295))</f>
        <v/>
      </c>
    </row>
    <row r="297" spans="1:10" x14ac:dyDescent="0.35">
      <c r="A297" s="18" t="str">
        <f>IF('Lot Balance'!$A296="","",'Lot Balance'!$A296)</f>
        <v/>
      </c>
      <c r="B297" s="18" t="str">
        <f>IF($A297="","",'Lot Balance'!$B296)</f>
        <v/>
      </c>
      <c r="C297" s="18" t="str">
        <f>IF($A297="","",'Lot Balance'!$C296)</f>
        <v/>
      </c>
      <c r="D297" s="25" t="str">
        <f>IF($A297="","",'Lot Balance'!$G296)</f>
        <v/>
      </c>
      <c r="E297" s="25" t="str">
        <f>IF($A297="","",'Lot Balance'!$H296)</f>
        <v/>
      </c>
      <c r="F297" s="23" t="str">
        <f>IF($A297="","",'Lot Balance'!$I296)</f>
        <v/>
      </c>
      <c r="G297" s="23" t="str">
        <f>IF($A297="","",'Lot Balance'!$O296)</f>
        <v/>
      </c>
      <c r="H297" s="33" t="str">
        <f>IF($A297="","",'Lot Balance'!$P296)</f>
        <v/>
      </c>
      <c r="I297" s="26" t="str">
        <f>IF($A297="","",COUNTIFS(tblIssues[Lot Number],$B297))</f>
        <v/>
      </c>
      <c r="J297" s="31" t="str">
        <f>IF($A297="","",IF('Lot Balance'!$O296&lt;=0,"Depleted",'Lot Balance'!$Q296))</f>
        <v/>
      </c>
    </row>
    <row r="298" spans="1:10" x14ac:dyDescent="0.35">
      <c r="A298" s="18" t="str">
        <f>IF('Lot Balance'!$A297="","",'Lot Balance'!$A297)</f>
        <v/>
      </c>
      <c r="B298" s="18" t="str">
        <f>IF($A298="","",'Lot Balance'!$B297)</f>
        <v/>
      </c>
      <c r="C298" s="18" t="str">
        <f>IF($A298="","",'Lot Balance'!$C297)</f>
        <v/>
      </c>
      <c r="D298" s="25" t="str">
        <f>IF($A298="","",'Lot Balance'!$G297)</f>
        <v/>
      </c>
      <c r="E298" s="25" t="str">
        <f>IF($A298="","",'Lot Balance'!$H297)</f>
        <v/>
      </c>
      <c r="F298" s="23" t="str">
        <f>IF($A298="","",'Lot Balance'!$I297)</f>
        <v/>
      </c>
      <c r="G298" s="23" t="str">
        <f>IF($A298="","",'Lot Balance'!$O297)</f>
        <v/>
      </c>
      <c r="H298" s="33" t="str">
        <f>IF($A298="","",'Lot Balance'!$P297)</f>
        <v/>
      </c>
      <c r="I298" s="26" t="str">
        <f>IF($A298="","",COUNTIFS(tblIssues[Lot Number],$B298))</f>
        <v/>
      </c>
      <c r="J298" s="31" t="str">
        <f>IF($A298="","",IF('Lot Balance'!$O297&lt;=0,"Depleted",'Lot Balance'!$Q297))</f>
        <v/>
      </c>
    </row>
    <row r="299" spans="1:10" x14ac:dyDescent="0.35">
      <c r="A299" s="18" t="str">
        <f>IF('Lot Balance'!$A298="","",'Lot Balance'!$A298)</f>
        <v/>
      </c>
      <c r="B299" s="18" t="str">
        <f>IF($A299="","",'Lot Balance'!$B298)</f>
        <v/>
      </c>
      <c r="C299" s="18" t="str">
        <f>IF($A299="","",'Lot Balance'!$C298)</f>
        <v/>
      </c>
      <c r="D299" s="25" t="str">
        <f>IF($A299="","",'Lot Balance'!$G298)</f>
        <v/>
      </c>
      <c r="E299" s="25" t="str">
        <f>IF($A299="","",'Lot Balance'!$H298)</f>
        <v/>
      </c>
      <c r="F299" s="23" t="str">
        <f>IF($A299="","",'Lot Balance'!$I298)</f>
        <v/>
      </c>
      <c r="G299" s="23" t="str">
        <f>IF($A299="","",'Lot Balance'!$O298)</f>
        <v/>
      </c>
      <c r="H299" s="33" t="str">
        <f>IF($A299="","",'Lot Balance'!$P298)</f>
        <v/>
      </c>
      <c r="I299" s="26" t="str">
        <f>IF($A299="","",COUNTIFS(tblIssues[Lot Number],$B299))</f>
        <v/>
      </c>
      <c r="J299" s="31" t="str">
        <f>IF($A299="","",IF('Lot Balance'!$O298&lt;=0,"Depleted",'Lot Balance'!$Q298))</f>
        <v/>
      </c>
    </row>
    <row r="300" spans="1:10" x14ac:dyDescent="0.35">
      <c r="A300" s="18" t="str">
        <f>IF('Lot Balance'!$A299="","",'Lot Balance'!$A299)</f>
        <v/>
      </c>
      <c r="B300" s="18" t="str">
        <f>IF($A300="","",'Lot Balance'!$B299)</f>
        <v/>
      </c>
      <c r="C300" s="18" t="str">
        <f>IF($A300="","",'Lot Balance'!$C299)</f>
        <v/>
      </c>
      <c r="D300" s="25" t="str">
        <f>IF($A300="","",'Lot Balance'!$G299)</f>
        <v/>
      </c>
      <c r="E300" s="25" t="str">
        <f>IF($A300="","",'Lot Balance'!$H299)</f>
        <v/>
      </c>
      <c r="F300" s="23" t="str">
        <f>IF($A300="","",'Lot Balance'!$I299)</f>
        <v/>
      </c>
      <c r="G300" s="23" t="str">
        <f>IF($A300="","",'Lot Balance'!$O299)</f>
        <v/>
      </c>
      <c r="H300" s="33" t="str">
        <f>IF($A300="","",'Lot Balance'!$P299)</f>
        <v/>
      </c>
      <c r="I300" s="26" t="str">
        <f>IF($A300="","",COUNTIFS(tblIssues[Lot Number],$B300))</f>
        <v/>
      </c>
      <c r="J300" s="31" t="str">
        <f>IF($A300="","",IF('Lot Balance'!$O299&lt;=0,"Depleted",'Lot Balance'!$Q299))</f>
        <v/>
      </c>
    </row>
    <row r="301" spans="1:10" x14ac:dyDescent="0.35">
      <c r="A301" s="18" t="str">
        <f>IF('Lot Balance'!$A300="","",'Lot Balance'!$A300)</f>
        <v/>
      </c>
      <c r="B301" s="18" t="str">
        <f>IF($A301="","",'Lot Balance'!$B300)</f>
        <v/>
      </c>
      <c r="C301" s="18" t="str">
        <f>IF($A301="","",'Lot Balance'!$C300)</f>
        <v/>
      </c>
      <c r="D301" s="25" t="str">
        <f>IF($A301="","",'Lot Balance'!$G300)</f>
        <v/>
      </c>
      <c r="E301" s="25" t="str">
        <f>IF($A301="","",'Lot Balance'!$H300)</f>
        <v/>
      </c>
      <c r="F301" s="23" t="str">
        <f>IF($A301="","",'Lot Balance'!$I300)</f>
        <v/>
      </c>
      <c r="G301" s="23" t="str">
        <f>IF($A301="","",'Lot Balance'!$O300)</f>
        <v/>
      </c>
      <c r="H301" s="33" t="str">
        <f>IF($A301="","",'Lot Balance'!$P300)</f>
        <v/>
      </c>
      <c r="I301" s="26" t="str">
        <f>IF($A301="","",COUNTIFS(tblIssues[Lot Number],$B301))</f>
        <v/>
      </c>
      <c r="J301" s="31" t="str">
        <f>IF($A301="","",IF('Lot Balance'!$O300&lt;=0,"Depleted",'Lot Balance'!$Q300))</f>
        <v/>
      </c>
    </row>
    <row r="302" spans="1:10" x14ac:dyDescent="0.35">
      <c r="A302" s="18" t="str">
        <f>IF('Lot Balance'!$A301="","",'Lot Balance'!$A301)</f>
        <v/>
      </c>
      <c r="B302" s="18" t="str">
        <f>IF($A302="","",'Lot Balance'!$B301)</f>
        <v/>
      </c>
      <c r="C302" s="18" t="str">
        <f>IF($A302="","",'Lot Balance'!$C301)</f>
        <v/>
      </c>
      <c r="D302" s="25" t="str">
        <f>IF($A302="","",'Lot Balance'!$G301)</f>
        <v/>
      </c>
      <c r="E302" s="25" t="str">
        <f>IF($A302="","",'Lot Balance'!$H301)</f>
        <v/>
      </c>
      <c r="F302" s="23" t="str">
        <f>IF($A302="","",'Lot Balance'!$I301)</f>
        <v/>
      </c>
      <c r="G302" s="23" t="str">
        <f>IF($A302="","",'Lot Balance'!$O301)</f>
        <v/>
      </c>
      <c r="H302" s="33" t="str">
        <f>IF($A302="","",'Lot Balance'!$P301)</f>
        <v/>
      </c>
      <c r="I302" s="26" t="str">
        <f>IF($A302="","",COUNTIFS(tblIssues[Lot Number],$B302))</f>
        <v/>
      </c>
      <c r="J302" s="31" t="str">
        <f>IF($A302="","",IF('Lot Balance'!$O301&lt;=0,"Depleted",'Lot Balance'!$Q301))</f>
        <v/>
      </c>
    </row>
    <row r="303" spans="1:10" x14ac:dyDescent="0.35">
      <c r="A303" s="18" t="str">
        <f>IF('Lot Balance'!$A302="","",'Lot Balance'!$A302)</f>
        <v/>
      </c>
      <c r="B303" s="18" t="str">
        <f>IF($A303="","",'Lot Balance'!$B302)</f>
        <v/>
      </c>
      <c r="C303" s="18" t="str">
        <f>IF($A303="","",'Lot Balance'!$C302)</f>
        <v/>
      </c>
      <c r="D303" s="25" t="str">
        <f>IF($A303="","",'Lot Balance'!$G302)</f>
        <v/>
      </c>
      <c r="E303" s="25" t="str">
        <f>IF($A303="","",'Lot Balance'!$H302)</f>
        <v/>
      </c>
      <c r="F303" s="23" t="str">
        <f>IF($A303="","",'Lot Balance'!$I302)</f>
        <v/>
      </c>
      <c r="G303" s="23" t="str">
        <f>IF($A303="","",'Lot Balance'!$O302)</f>
        <v/>
      </c>
      <c r="H303" s="33" t="str">
        <f>IF($A303="","",'Lot Balance'!$P302)</f>
        <v/>
      </c>
      <c r="I303" s="26" t="str">
        <f>IF($A303="","",COUNTIFS(tblIssues[Lot Number],$B303))</f>
        <v/>
      </c>
      <c r="J303" s="31" t="str">
        <f>IF($A303="","",IF('Lot Balance'!$O302&lt;=0,"Depleted",'Lot Balance'!$Q302))</f>
        <v/>
      </c>
    </row>
    <row r="304" spans="1:10" x14ac:dyDescent="0.35">
      <c r="A304" s="18" t="str">
        <f>IF('Lot Balance'!$A303="","",'Lot Balance'!$A303)</f>
        <v/>
      </c>
      <c r="B304" s="18" t="str">
        <f>IF($A304="","",'Lot Balance'!$B303)</f>
        <v/>
      </c>
      <c r="C304" s="18" t="str">
        <f>IF($A304="","",'Lot Balance'!$C303)</f>
        <v/>
      </c>
      <c r="D304" s="25" t="str">
        <f>IF($A304="","",'Lot Balance'!$G303)</f>
        <v/>
      </c>
      <c r="E304" s="25" t="str">
        <f>IF($A304="","",'Lot Balance'!$H303)</f>
        <v/>
      </c>
      <c r="F304" s="23" t="str">
        <f>IF($A304="","",'Lot Balance'!$I303)</f>
        <v/>
      </c>
      <c r="G304" s="23" t="str">
        <f>IF($A304="","",'Lot Balance'!$O303)</f>
        <v/>
      </c>
      <c r="H304" s="33" t="str">
        <f>IF($A304="","",'Lot Balance'!$P303)</f>
        <v/>
      </c>
      <c r="I304" s="26" t="str">
        <f>IF($A304="","",COUNTIFS(tblIssues[Lot Number],$B304))</f>
        <v/>
      </c>
      <c r="J304" s="31" t="str">
        <f>IF($A304="","",IF('Lot Balance'!$O303&lt;=0,"Depleted",'Lot Balance'!$Q303))</f>
        <v/>
      </c>
    </row>
    <row r="305" spans="1:10" x14ac:dyDescent="0.35">
      <c r="A305" s="18" t="str">
        <f>IF('Lot Balance'!$A304="","",'Lot Balance'!$A304)</f>
        <v/>
      </c>
      <c r="B305" s="18" t="str">
        <f>IF($A305="","",'Lot Balance'!$B304)</f>
        <v/>
      </c>
      <c r="C305" s="18" t="str">
        <f>IF($A305="","",'Lot Balance'!$C304)</f>
        <v/>
      </c>
      <c r="D305" s="25" t="str">
        <f>IF($A305="","",'Lot Balance'!$G304)</f>
        <v/>
      </c>
      <c r="E305" s="25" t="str">
        <f>IF($A305="","",'Lot Balance'!$H304)</f>
        <v/>
      </c>
      <c r="F305" s="23" t="str">
        <f>IF($A305="","",'Lot Balance'!$I304)</f>
        <v/>
      </c>
      <c r="G305" s="23" t="str">
        <f>IF($A305="","",'Lot Balance'!$O304)</f>
        <v/>
      </c>
      <c r="H305" s="33" t="str">
        <f>IF($A305="","",'Lot Balance'!$P304)</f>
        <v/>
      </c>
      <c r="I305" s="26" t="str">
        <f>IF($A305="","",COUNTIFS(tblIssues[Lot Number],$B305))</f>
        <v/>
      </c>
      <c r="J305" s="31" t="str">
        <f>IF($A305="","",IF('Lot Balance'!$O304&lt;=0,"Depleted",'Lot Balance'!$Q304))</f>
        <v/>
      </c>
    </row>
    <row r="306" spans="1:10" x14ac:dyDescent="0.35">
      <c r="A306" s="18" t="str">
        <f>IF('Lot Balance'!$A305="","",'Lot Balance'!$A305)</f>
        <v/>
      </c>
      <c r="B306" s="18" t="str">
        <f>IF($A306="","",'Lot Balance'!$B305)</f>
        <v/>
      </c>
      <c r="C306" s="18" t="str">
        <f>IF($A306="","",'Lot Balance'!$C305)</f>
        <v/>
      </c>
      <c r="D306" s="25" t="str">
        <f>IF($A306="","",'Lot Balance'!$G305)</f>
        <v/>
      </c>
      <c r="E306" s="25" t="str">
        <f>IF($A306="","",'Lot Balance'!$H305)</f>
        <v/>
      </c>
      <c r="F306" s="23" t="str">
        <f>IF($A306="","",'Lot Balance'!$I305)</f>
        <v/>
      </c>
      <c r="G306" s="23" t="str">
        <f>IF($A306="","",'Lot Balance'!$O305)</f>
        <v/>
      </c>
      <c r="H306" s="33" t="str">
        <f>IF($A306="","",'Lot Balance'!$P305)</f>
        <v/>
      </c>
      <c r="I306" s="26" t="str">
        <f>IF($A306="","",COUNTIFS(tblIssues[Lot Number],$B306))</f>
        <v/>
      </c>
      <c r="J306" s="31" t="str">
        <f>IF($A306="","",IF('Lot Balance'!$O305&lt;=0,"Depleted",'Lot Balance'!$Q305))</f>
        <v/>
      </c>
    </row>
    <row r="307" spans="1:10" x14ac:dyDescent="0.35">
      <c r="A307" s="18" t="str">
        <f>IF('Lot Balance'!$A306="","",'Lot Balance'!$A306)</f>
        <v/>
      </c>
      <c r="B307" s="18" t="str">
        <f>IF($A307="","",'Lot Balance'!$B306)</f>
        <v/>
      </c>
      <c r="C307" s="18" t="str">
        <f>IF($A307="","",'Lot Balance'!$C306)</f>
        <v/>
      </c>
      <c r="D307" s="25" t="str">
        <f>IF($A307="","",'Lot Balance'!$G306)</f>
        <v/>
      </c>
      <c r="E307" s="25" t="str">
        <f>IF($A307="","",'Lot Balance'!$H306)</f>
        <v/>
      </c>
      <c r="F307" s="23" t="str">
        <f>IF($A307="","",'Lot Balance'!$I306)</f>
        <v/>
      </c>
      <c r="G307" s="23" t="str">
        <f>IF($A307="","",'Lot Balance'!$O306)</f>
        <v/>
      </c>
      <c r="H307" s="33" t="str">
        <f>IF($A307="","",'Lot Balance'!$P306)</f>
        <v/>
      </c>
      <c r="I307" s="26" t="str">
        <f>IF($A307="","",COUNTIFS(tblIssues[Lot Number],$B307))</f>
        <v/>
      </c>
      <c r="J307" s="31" t="str">
        <f>IF($A307="","",IF('Lot Balance'!$O306&lt;=0,"Depleted",'Lot Balance'!$Q306))</f>
        <v/>
      </c>
    </row>
    <row r="308" spans="1:10" x14ac:dyDescent="0.35">
      <c r="A308" s="18" t="str">
        <f>IF('Lot Balance'!$A307="","",'Lot Balance'!$A307)</f>
        <v/>
      </c>
      <c r="B308" s="18" t="str">
        <f>IF($A308="","",'Lot Balance'!$B307)</f>
        <v/>
      </c>
      <c r="C308" s="18" t="str">
        <f>IF($A308="","",'Lot Balance'!$C307)</f>
        <v/>
      </c>
      <c r="D308" s="25" t="str">
        <f>IF($A308="","",'Lot Balance'!$G307)</f>
        <v/>
      </c>
      <c r="E308" s="25" t="str">
        <f>IF($A308="","",'Lot Balance'!$H307)</f>
        <v/>
      </c>
      <c r="F308" s="23" t="str">
        <f>IF($A308="","",'Lot Balance'!$I307)</f>
        <v/>
      </c>
      <c r="G308" s="23" t="str">
        <f>IF($A308="","",'Lot Balance'!$O307)</f>
        <v/>
      </c>
      <c r="H308" s="33" t="str">
        <f>IF($A308="","",'Lot Balance'!$P307)</f>
        <v/>
      </c>
      <c r="I308" s="26" t="str">
        <f>IF($A308="","",COUNTIFS(tblIssues[Lot Number],$B308))</f>
        <v/>
      </c>
      <c r="J308" s="31" t="str">
        <f>IF($A308="","",IF('Lot Balance'!$O307&lt;=0,"Depleted",'Lot Balance'!$Q307))</f>
        <v/>
      </c>
    </row>
    <row r="309" spans="1:10" x14ac:dyDescent="0.35">
      <c r="A309" s="18" t="str">
        <f>IF('Lot Balance'!$A308="","",'Lot Balance'!$A308)</f>
        <v/>
      </c>
      <c r="B309" s="18" t="str">
        <f>IF($A309="","",'Lot Balance'!$B308)</f>
        <v/>
      </c>
      <c r="C309" s="18" t="str">
        <f>IF($A309="","",'Lot Balance'!$C308)</f>
        <v/>
      </c>
      <c r="D309" s="25" t="str">
        <f>IF($A309="","",'Lot Balance'!$G308)</f>
        <v/>
      </c>
      <c r="E309" s="25" t="str">
        <f>IF($A309="","",'Lot Balance'!$H308)</f>
        <v/>
      </c>
      <c r="F309" s="23" t="str">
        <f>IF($A309="","",'Lot Balance'!$I308)</f>
        <v/>
      </c>
      <c r="G309" s="23" t="str">
        <f>IF($A309="","",'Lot Balance'!$O308)</f>
        <v/>
      </c>
      <c r="H309" s="33" t="str">
        <f>IF($A309="","",'Lot Balance'!$P308)</f>
        <v/>
      </c>
      <c r="I309" s="26" t="str">
        <f>IF($A309="","",COUNTIFS(tblIssues[Lot Number],$B309))</f>
        <v/>
      </c>
      <c r="J309" s="31" t="str">
        <f>IF($A309="","",IF('Lot Balance'!$O308&lt;=0,"Depleted",'Lot Balance'!$Q308))</f>
        <v/>
      </c>
    </row>
    <row r="310" spans="1:10" x14ac:dyDescent="0.35">
      <c r="A310" s="18" t="str">
        <f>IF('Lot Balance'!$A309="","",'Lot Balance'!$A309)</f>
        <v/>
      </c>
      <c r="B310" s="18" t="str">
        <f>IF($A310="","",'Lot Balance'!$B309)</f>
        <v/>
      </c>
      <c r="C310" s="18" t="str">
        <f>IF($A310="","",'Lot Balance'!$C309)</f>
        <v/>
      </c>
      <c r="D310" s="25" t="str">
        <f>IF($A310="","",'Lot Balance'!$G309)</f>
        <v/>
      </c>
      <c r="E310" s="25" t="str">
        <f>IF($A310="","",'Lot Balance'!$H309)</f>
        <v/>
      </c>
      <c r="F310" s="23" t="str">
        <f>IF($A310="","",'Lot Balance'!$I309)</f>
        <v/>
      </c>
      <c r="G310" s="23" t="str">
        <f>IF($A310="","",'Lot Balance'!$O309)</f>
        <v/>
      </c>
      <c r="H310" s="33" t="str">
        <f>IF($A310="","",'Lot Balance'!$P309)</f>
        <v/>
      </c>
      <c r="I310" s="26" t="str">
        <f>IF($A310="","",COUNTIFS(tblIssues[Lot Number],$B310))</f>
        <v/>
      </c>
      <c r="J310" s="31" t="str">
        <f>IF($A310="","",IF('Lot Balance'!$O309&lt;=0,"Depleted",'Lot Balance'!$Q309))</f>
        <v/>
      </c>
    </row>
    <row r="311" spans="1:10" x14ac:dyDescent="0.35">
      <c r="A311" s="18" t="str">
        <f>IF('Lot Balance'!$A310="","",'Lot Balance'!$A310)</f>
        <v/>
      </c>
      <c r="B311" s="18" t="str">
        <f>IF($A311="","",'Lot Balance'!$B310)</f>
        <v/>
      </c>
      <c r="C311" s="18" t="str">
        <f>IF($A311="","",'Lot Balance'!$C310)</f>
        <v/>
      </c>
      <c r="D311" s="25" t="str">
        <f>IF($A311="","",'Lot Balance'!$G310)</f>
        <v/>
      </c>
      <c r="E311" s="25" t="str">
        <f>IF($A311="","",'Lot Balance'!$H310)</f>
        <v/>
      </c>
      <c r="F311" s="23" t="str">
        <f>IF($A311="","",'Lot Balance'!$I310)</f>
        <v/>
      </c>
      <c r="G311" s="23" t="str">
        <f>IF($A311="","",'Lot Balance'!$O310)</f>
        <v/>
      </c>
      <c r="H311" s="33" t="str">
        <f>IF($A311="","",'Lot Balance'!$P310)</f>
        <v/>
      </c>
      <c r="I311" s="26" t="str">
        <f>IF($A311="","",COUNTIFS(tblIssues[Lot Number],$B311))</f>
        <v/>
      </c>
      <c r="J311" s="31" t="str">
        <f>IF($A311="","",IF('Lot Balance'!$O310&lt;=0,"Depleted",'Lot Balance'!$Q310))</f>
        <v/>
      </c>
    </row>
    <row r="312" spans="1:10" x14ac:dyDescent="0.35">
      <c r="A312" s="18" t="str">
        <f>IF('Lot Balance'!$A311="","",'Lot Balance'!$A311)</f>
        <v/>
      </c>
      <c r="B312" s="18" t="str">
        <f>IF($A312="","",'Lot Balance'!$B311)</f>
        <v/>
      </c>
      <c r="C312" s="18" t="str">
        <f>IF($A312="","",'Lot Balance'!$C311)</f>
        <v/>
      </c>
      <c r="D312" s="25" t="str">
        <f>IF($A312="","",'Lot Balance'!$G311)</f>
        <v/>
      </c>
      <c r="E312" s="25" t="str">
        <f>IF($A312="","",'Lot Balance'!$H311)</f>
        <v/>
      </c>
      <c r="F312" s="23" t="str">
        <f>IF($A312="","",'Lot Balance'!$I311)</f>
        <v/>
      </c>
      <c r="G312" s="23" t="str">
        <f>IF($A312="","",'Lot Balance'!$O311)</f>
        <v/>
      </c>
      <c r="H312" s="33" t="str">
        <f>IF($A312="","",'Lot Balance'!$P311)</f>
        <v/>
      </c>
      <c r="I312" s="26" t="str">
        <f>IF($A312="","",COUNTIFS(tblIssues[Lot Number],$B312))</f>
        <v/>
      </c>
      <c r="J312" s="31" t="str">
        <f>IF($A312="","",IF('Lot Balance'!$O311&lt;=0,"Depleted",'Lot Balance'!$Q311))</f>
        <v/>
      </c>
    </row>
    <row r="313" spans="1:10" x14ac:dyDescent="0.35">
      <c r="A313" s="18" t="str">
        <f>IF('Lot Balance'!$A312="","",'Lot Balance'!$A312)</f>
        <v/>
      </c>
      <c r="B313" s="18" t="str">
        <f>IF($A313="","",'Lot Balance'!$B312)</f>
        <v/>
      </c>
      <c r="C313" s="18" t="str">
        <f>IF($A313="","",'Lot Balance'!$C312)</f>
        <v/>
      </c>
      <c r="D313" s="25" t="str">
        <f>IF($A313="","",'Lot Balance'!$G312)</f>
        <v/>
      </c>
      <c r="E313" s="25" t="str">
        <f>IF($A313="","",'Lot Balance'!$H312)</f>
        <v/>
      </c>
      <c r="F313" s="23" t="str">
        <f>IF($A313="","",'Lot Balance'!$I312)</f>
        <v/>
      </c>
      <c r="G313" s="23" t="str">
        <f>IF($A313="","",'Lot Balance'!$O312)</f>
        <v/>
      </c>
      <c r="H313" s="33" t="str">
        <f>IF($A313="","",'Lot Balance'!$P312)</f>
        <v/>
      </c>
      <c r="I313" s="26" t="str">
        <f>IF($A313="","",COUNTIFS(tblIssues[Lot Number],$B313))</f>
        <v/>
      </c>
      <c r="J313" s="31" t="str">
        <f>IF($A313="","",IF('Lot Balance'!$O312&lt;=0,"Depleted",'Lot Balance'!$Q312))</f>
        <v/>
      </c>
    </row>
    <row r="314" spans="1:10" x14ac:dyDescent="0.35">
      <c r="A314" s="18" t="str">
        <f>IF('Lot Balance'!$A313="","",'Lot Balance'!$A313)</f>
        <v/>
      </c>
      <c r="B314" s="18" t="str">
        <f>IF($A314="","",'Lot Balance'!$B313)</f>
        <v/>
      </c>
      <c r="C314" s="18" t="str">
        <f>IF($A314="","",'Lot Balance'!$C313)</f>
        <v/>
      </c>
      <c r="D314" s="25" t="str">
        <f>IF($A314="","",'Lot Balance'!$G313)</f>
        <v/>
      </c>
      <c r="E314" s="25" t="str">
        <f>IF($A314="","",'Lot Balance'!$H313)</f>
        <v/>
      </c>
      <c r="F314" s="23" t="str">
        <f>IF($A314="","",'Lot Balance'!$I313)</f>
        <v/>
      </c>
      <c r="G314" s="23" t="str">
        <f>IF($A314="","",'Lot Balance'!$O313)</f>
        <v/>
      </c>
      <c r="H314" s="33" t="str">
        <f>IF($A314="","",'Lot Balance'!$P313)</f>
        <v/>
      </c>
      <c r="I314" s="26" t="str">
        <f>IF($A314="","",COUNTIFS(tblIssues[Lot Number],$B314))</f>
        <v/>
      </c>
      <c r="J314" s="31" t="str">
        <f>IF($A314="","",IF('Lot Balance'!$O313&lt;=0,"Depleted",'Lot Balance'!$Q313))</f>
        <v/>
      </c>
    </row>
    <row r="315" spans="1:10" x14ac:dyDescent="0.35">
      <c r="A315" s="18" t="str">
        <f>IF('Lot Balance'!$A314="","",'Lot Balance'!$A314)</f>
        <v/>
      </c>
      <c r="B315" s="18" t="str">
        <f>IF($A315="","",'Lot Balance'!$B314)</f>
        <v/>
      </c>
      <c r="C315" s="18" t="str">
        <f>IF($A315="","",'Lot Balance'!$C314)</f>
        <v/>
      </c>
      <c r="D315" s="25" t="str">
        <f>IF($A315="","",'Lot Balance'!$G314)</f>
        <v/>
      </c>
      <c r="E315" s="25" t="str">
        <f>IF($A315="","",'Lot Balance'!$H314)</f>
        <v/>
      </c>
      <c r="F315" s="23" t="str">
        <f>IF($A315="","",'Lot Balance'!$I314)</f>
        <v/>
      </c>
      <c r="G315" s="23" t="str">
        <f>IF($A315="","",'Lot Balance'!$O314)</f>
        <v/>
      </c>
      <c r="H315" s="33" t="str">
        <f>IF($A315="","",'Lot Balance'!$P314)</f>
        <v/>
      </c>
      <c r="I315" s="26" t="str">
        <f>IF($A315="","",COUNTIFS(tblIssues[Lot Number],$B315))</f>
        <v/>
      </c>
      <c r="J315" s="31" t="str">
        <f>IF($A315="","",IF('Lot Balance'!$O314&lt;=0,"Depleted",'Lot Balance'!$Q314))</f>
        <v/>
      </c>
    </row>
    <row r="316" spans="1:10" x14ac:dyDescent="0.35">
      <c r="A316" s="18" t="str">
        <f>IF('Lot Balance'!$A315="","",'Lot Balance'!$A315)</f>
        <v/>
      </c>
      <c r="B316" s="18" t="str">
        <f>IF($A316="","",'Lot Balance'!$B315)</f>
        <v/>
      </c>
      <c r="C316" s="18" t="str">
        <f>IF($A316="","",'Lot Balance'!$C315)</f>
        <v/>
      </c>
      <c r="D316" s="25" t="str">
        <f>IF($A316="","",'Lot Balance'!$G315)</f>
        <v/>
      </c>
      <c r="E316" s="25" t="str">
        <f>IF($A316="","",'Lot Balance'!$H315)</f>
        <v/>
      </c>
      <c r="F316" s="23" t="str">
        <f>IF($A316="","",'Lot Balance'!$I315)</f>
        <v/>
      </c>
      <c r="G316" s="23" t="str">
        <f>IF($A316="","",'Lot Balance'!$O315)</f>
        <v/>
      </c>
      <c r="H316" s="33" t="str">
        <f>IF($A316="","",'Lot Balance'!$P315)</f>
        <v/>
      </c>
      <c r="I316" s="26" t="str">
        <f>IF($A316="","",COUNTIFS(tblIssues[Lot Number],$B316))</f>
        <v/>
      </c>
      <c r="J316" s="31" t="str">
        <f>IF($A316="","",IF('Lot Balance'!$O315&lt;=0,"Depleted",'Lot Balance'!$Q315))</f>
        <v/>
      </c>
    </row>
    <row r="317" spans="1:10" x14ac:dyDescent="0.35">
      <c r="A317" s="18" t="str">
        <f>IF('Lot Balance'!$A316="","",'Lot Balance'!$A316)</f>
        <v/>
      </c>
      <c r="B317" s="18" t="str">
        <f>IF($A317="","",'Lot Balance'!$B316)</f>
        <v/>
      </c>
      <c r="C317" s="18" t="str">
        <f>IF($A317="","",'Lot Balance'!$C316)</f>
        <v/>
      </c>
      <c r="D317" s="25" t="str">
        <f>IF($A317="","",'Lot Balance'!$G316)</f>
        <v/>
      </c>
      <c r="E317" s="25" t="str">
        <f>IF($A317="","",'Lot Balance'!$H316)</f>
        <v/>
      </c>
      <c r="F317" s="23" t="str">
        <f>IF($A317="","",'Lot Balance'!$I316)</f>
        <v/>
      </c>
      <c r="G317" s="23" t="str">
        <f>IF($A317="","",'Lot Balance'!$O316)</f>
        <v/>
      </c>
      <c r="H317" s="33" t="str">
        <f>IF($A317="","",'Lot Balance'!$P316)</f>
        <v/>
      </c>
      <c r="I317" s="26" t="str">
        <f>IF($A317="","",COUNTIFS(tblIssues[Lot Number],$B317))</f>
        <v/>
      </c>
      <c r="J317" s="31" t="str">
        <f>IF($A317="","",IF('Lot Balance'!$O316&lt;=0,"Depleted",'Lot Balance'!$Q316))</f>
        <v/>
      </c>
    </row>
    <row r="318" spans="1:10" x14ac:dyDescent="0.35">
      <c r="A318" s="18" t="str">
        <f>IF('Lot Balance'!$A317="","",'Lot Balance'!$A317)</f>
        <v/>
      </c>
      <c r="B318" s="18" t="str">
        <f>IF($A318="","",'Lot Balance'!$B317)</f>
        <v/>
      </c>
      <c r="C318" s="18" t="str">
        <f>IF($A318="","",'Lot Balance'!$C317)</f>
        <v/>
      </c>
      <c r="D318" s="25" t="str">
        <f>IF($A318="","",'Lot Balance'!$G317)</f>
        <v/>
      </c>
      <c r="E318" s="25" t="str">
        <f>IF($A318="","",'Lot Balance'!$H317)</f>
        <v/>
      </c>
      <c r="F318" s="23" t="str">
        <f>IF($A318="","",'Lot Balance'!$I317)</f>
        <v/>
      </c>
      <c r="G318" s="23" t="str">
        <f>IF($A318="","",'Lot Balance'!$O317)</f>
        <v/>
      </c>
      <c r="H318" s="33" t="str">
        <f>IF($A318="","",'Lot Balance'!$P317)</f>
        <v/>
      </c>
      <c r="I318" s="26" t="str">
        <f>IF($A318="","",COUNTIFS(tblIssues[Lot Number],$B318))</f>
        <v/>
      </c>
      <c r="J318" s="31" t="str">
        <f>IF($A318="","",IF('Lot Balance'!$O317&lt;=0,"Depleted",'Lot Balance'!$Q317))</f>
        <v/>
      </c>
    </row>
    <row r="319" spans="1:10" x14ac:dyDescent="0.35">
      <c r="A319" s="18" t="str">
        <f>IF('Lot Balance'!$A318="","",'Lot Balance'!$A318)</f>
        <v/>
      </c>
      <c r="B319" s="18" t="str">
        <f>IF($A319="","",'Lot Balance'!$B318)</f>
        <v/>
      </c>
      <c r="C319" s="18" t="str">
        <f>IF($A319="","",'Lot Balance'!$C318)</f>
        <v/>
      </c>
      <c r="D319" s="25" t="str">
        <f>IF($A319="","",'Lot Balance'!$G318)</f>
        <v/>
      </c>
      <c r="E319" s="25" t="str">
        <f>IF($A319="","",'Lot Balance'!$H318)</f>
        <v/>
      </c>
      <c r="F319" s="23" t="str">
        <f>IF($A319="","",'Lot Balance'!$I318)</f>
        <v/>
      </c>
      <c r="G319" s="23" t="str">
        <f>IF($A319="","",'Lot Balance'!$O318)</f>
        <v/>
      </c>
      <c r="H319" s="33" t="str">
        <f>IF($A319="","",'Lot Balance'!$P318)</f>
        <v/>
      </c>
      <c r="I319" s="26" t="str">
        <f>IF($A319="","",COUNTIFS(tblIssues[Lot Number],$B319))</f>
        <v/>
      </c>
      <c r="J319" s="31" t="str">
        <f>IF($A319="","",IF('Lot Balance'!$O318&lt;=0,"Depleted",'Lot Balance'!$Q318))</f>
        <v/>
      </c>
    </row>
    <row r="320" spans="1:10" x14ac:dyDescent="0.35">
      <c r="A320" s="18" t="str">
        <f>IF('Lot Balance'!$A319="","",'Lot Balance'!$A319)</f>
        <v/>
      </c>
      <c r="B320" s="18" t="str">
        <f>IF($A320="","",'Lot Balance'!$B319)</f>
        <v/>
      </c>
      <c r="C320" s="18" t="str">
        <f>IF($A320="","",'Lot Balance'!$C319)</f>
        <v/>
      </c>
      <c r="D320" s="25" t="str">
        <f>IF($A320="","",'Lot Balance'!$G319)</f>
        <v/>
      </c>
      <c r="E320" s="25" t="str">
        <f>IF($A320="","",'Lot Balance'!$H319)</f>
        <v/>
      </c>
      <c r="F320" s="23" t="str">
        <f>IF($A320="","",'Lot Balance'!$I319)</f>
        <v/>
      </c>
      <c r="G320" s="23" t="str">
        <f>IF($A320="","",'Lot Balance'!$O319)</f>
        <v/>
      </c>
      <c r="H320" s="33" t="str">
        <f>IF($A320="","",'Lot Balance'!$P319)</f>
        <v/>
      </c>
      <c r="I320" s="26" t="str">
        <f>IF($A320="","",COUNTIFS(tblIssues[Lot Number],$B320))</f>
        <v/>
      </c>
      <c r="J320" s="31" t="str">
        <f>IF($A320="","",IF('Lot Balance'!$O319&lt;=0,"Depleted",'Lot Balance'!$Q319))</f>
        <v/>
      </c>
    </row>
    <row r="321" spans="1:10" x14ac:dyDescent="0.35">
      <c r="A321" s="18" t="str">
        <f>IF('Lot Balance'!$A320="","",'Lot Balance'!$A320)</f>
        <v/>
      </c>
      <c r="B321" s="18" t="str">
        <f>IF($A321="","",'Lot Balance'!$B320)</f>
        <v/>
      </c>
      <c r="C321" s="18" t="str">
        <f>IF($A321="","",'Lot Balance'!$C320)</f>
        <v/>
      </c>
      <c r="D321" s="25" t="str">
        <f>IF($A321="","",'Lot Balance'!$G320)</f>
        <v/>
      </c>
      <c r="E321" s="25" t="str">
        <f>IF($A321="","",'Lot Balance'!$H320)</f>
        <v/>
      </c>
      <c r="F321" s="23" t="str">
        <f>IF($A321="","",'Lot Balance'!$I320)</f>
        <v/>
      </c>
      <c r="G321" s="23" t="str">
        <f>IF($A321="","",'Lot Balance'!$O320)</f>
        <v/>
      </c>
      <c r="H321" s="33" t="str">
        <f>IF($A321="","",'Lot Balance'!$P320)</f>
        <v/>
      </c>
      <c r="I321" s="26" t="str">
        <f>IF($A321="","",COUNTIFS(tblIssues[Lot Number],$B321))</f>
        <v/>
      </c>
      <c r="J321" s="31" t="str">
        <f>IF($A321="","",IF('Lot Balance'!$O320&lt;=0,"Depleted",'Lot Balance'!$Q320))</f>
        <v/>
      </c>
    </row>
    <row r="322" spans="1:10" x14ac:dyDescent="0.35">
      <c r="A322" s="18" t="str">
        <f>IF('Lot Balance'!$A321="","",'Lot Balance'!$A321)</f>
        <v/>
      </c>
      <c r="B322" s="18" t="str">
        <f>IF($A322="","",'Lot Balance'!$B321)</f>
        <v/>
      </c>
      <c r="C322" s="18" t="str">
        <f>IF($A322="","",'Lot Balance'!$C321)</f>
        <v/>
      </c>
      <c r="D322" s="25" t="str">
        <f>IF($A322="","",'Lot Balance'!$G321)</f>
        <v/>
      </c>
      <c r="E322" s="25" t="str">
        <f>IF($A322="","",'Lot Balance'!$H321)</f>
        <v/>
      </c>
      <c r="F322" s="23" t="str">
        <f>IF($A322="","",'Lot Balance'!$I321)</f>
        <v/>
      </c>
      <c r="G322" s="23" t="str">
        <f>IF($A322="","",'Lot Balance'!$O321)</f>
        <v/>
      </c>
      <c r="H322" s="33" t="str">
        <f>IF($A322="","",'Lot Balance'!$P321)</f>
        <v/>
      </c>
      <c r="I322" s="26" t="str">
        <f>IF($A322="","",COUNTIFS(tblIssues[Lot Number],$B322))</f>
        <v/>
      </c>
      <c r="J322" s="31" t="str">
        <f>IF($A322="","",IF('Lot Balance'!$O321&lt;=0,"Depleted",'Lot Balance'!$Q321))</f>
        <v/>
      </c>
    </row>
    <row r="323" spans="1:10" x14ac:dyDescent="0.35">
      <c r="A323" s="18" t="str">
        <f>IF('Lot Balance'!$A322="","",'Lot Balance'!$A322)</f>
        <v/>
      </c>
      <c r="B323" s="18" t="str">
        <f>IF($A323="","",'Lot Balance'!$B322)</f>
        <v/>
      </c>
      <c r="C323" s="18" t="str">
        <f>IF($A323="","",'Lot Balance'!$C322)</f>
        <v/>
      </c>
      <c r="D323" s="25" t="str">
        <f>IF($A323="","",'Lot Balance'!$G322)</f>
        <v/>
      </c>
      <c r="E323" s="25" t="str">
        <f>IF($A323="","",'Lot Balance'!$H322)</f>
        <v/>
      </c>
      <c r="F323" s="23" t="str">
        <f>IF($A323="","",'Lot Balance'!$I322)</f>
        <v/>
      </c>
      <c r="G323" s="23" t="str">
        <f>IF($A323="","",'Lot Balance'!$O322)</f>
        <v/>
      </c>
      <c r="H323" s="33" t="str">
        <f>IF($A323="","",'Lot Balance'!$P322)</f>
        <v/>
      </c>
      <c r="I323" s="26" t="str">
        <f>IF($A323="","",COUNTIFS(tblIssues[Lot Number],$B323))</f>
        <v/>
      </c>
      <c r="J323" s="31" t="str">
        <f>IF($A323="","",IF('Lot Balance'!$O322&lt;=0,"Depleted",'Lot Balance'!$Q322))</f>
        <v/>
      </c>
    </row>
    <row r="324" spans="1:10" x14ac:dyDescent="0.35">
      <c r="A324" s="18" t="str">
        <f>IF('Lot Balance'!$A323="","",'Lot Balance'!$A323)</f>
        <v/>
      </c>
      <c r="B324" s="18" t="str">
        <f>IF($A324="","",'Lot Balance'!$B323)</f>
        <v/>
      </c>
      <c r="C324" s="18" t="str">
        <f>IF($A324="","",'Lot Balance'!$C323)</f>
        <v/>
      </c>
      <c r="D324" s="25" t="str">
        <f>IF($A324="","",'Lot Balance'!$G323)</f>
        <v/>
      </c>
      <c r="E324" s="25" t="str">
        <f>IF($A324="","",'Lot Balance'!$H323)</f>
        <v/>
      </c>
      <c r="F324" s="23" t="str">
        <f>IF($A324="","",'Lot Balance'!$I323)</f>
        <v/>
      </c>
      <c r="G324" s="23" t="str">
        <f>IF($A324="","",'Lot Balance'!$O323)</f>
        <v/>
      </c>
      <c r="H324" s="33" t="str">
        <f>IF($A324="","",'Lot Balance'!$P323)</f>
        <v/>
      </c>
      <c r="I324" s="26" t="str">
        <f>IF($A324="","",COUNTIFS(tblIssues[Lot Number],$B324))</f>
        <v/>
      </c>
      <c r="J324" s="31" t="str">
        <f>IF($A324="","",IF('Lot Balance'!$O323&lt;=0,"Depleted",'Lot Balance'!$Q323))</f>
        <v/>
      </c>
    </row>
    <row r="325" spans="1:10" x14ac:dyDescent="0.35">
      <c r="A325" s="18" t="str">
        <f>IF('Lot Balance'!$A324="","",'Lot Balance'!$A324)</f>
        <v/>
      </c>
      <c r="B325" s="18" t="str">
        <f>IF($A325="","",'Lot Balance'!$B324)</f>
        <v/>
      </c>
      <c r="C325" s="18" t="str">
        <f>IF($A325="","",'Lot Balance'!$C324)</f>
        <v/>
      </c>
      <c r="D325" s="25" t="str">
        <f>IF($A325="","",'Lot Balance'!$G324)</f>
        <v/>
      </c>
      <c r="E325" s="25" t="str">
        <f>IF($A325="","",'Lot Balance'!$H324)</f>
        <v/>
      </c>
      <c r="F325" s="23" t="str">
        <f>IF($A325="","",'Lot Balance'!$I324)</f>
        <v/>
      </c>
      <c r="G325" s="23" t="str">
        <f>IF($A325="","",'Lot Balance'!$O324)</f>
        <v/>
      </c>
      <c r="H325" s="33" t="str">
        <f>IF($A325="","",'Lot Balance'!$P324)</f>
        <v/>
      </c>
      <c r="I325" s="26" t="str">
        <f>IF($A325="","",COUNTIFS(tblIssues[Lot Number],$B325))</f>
        <v/>
      </c>
      <c r="J325" s="31" t="str">
        <f>IF($A325="","",IF('Lot Balance'!$O324&lt;=0,"Depleted",'Lot Balance'!$Q324))</f>
        <v/>
      </c>
    </row>
    <row r="326" spans="1:10" x14ac:dyDescent="0.35">
      <c r="A326" s="18" t="str">
        <f>IF('Lot Balance'!$A325="","",'Lot Balance'!$A325)</f>
        <v/>
      </c>
      <c r="B326" s="18" t="str">
        <f>IF($A326="","",'Lot Balance'!$B325)</f>
        <v/>
      </c>
      <c r="C326" s="18" t="str">
        <f>IF($A326="","",'Lot Balance'!$C325)</f>
        <v/>
      </c>
      <c r="D326" s="25" t="str">
        <f>IF($A326="","",'Lot Balance'!$G325)</f>
        <v/>
      </c>
      <c r="E326" s="25" t="str">
        <f>IF($A326="","",'Lot Balance'!$H325)</f>
        <v/>
      </c>
      <c r="F326" s="23" t="str">
        <f>IF($A326="","",'Lot Balance'!$I325)</f>
        <v/>
      </c>
      <c r="G326" s="23" t="str">
        <f>IF($A326="","",'Lot Balance'!$O325)</f>
        <v/>
      </c>
      <c r="H326" s="33" t="str">
        <f>IF($A326="","",'Lot Balance'!$P325)</f>
        <v/>
      </c>
      <c r="I326" s="26" t="str">
        <f>IF($A326="","",COUNTIFS(tblIssues[Lot Number],$B326))</f>
        <v/>
      </c>
      <c r="J326" s="31" t="str">
        <f>IF($A326="","",IF('Lot Balance'!$O325&lt;=0,"Depleted",'Lot Balance'!$Q325))</f>
        <v/>
      </c>
    </row>
    <row r="327" spans="1:10" x14ac:dyDescent="0.35">
      <c r="A327" s="18" t="str">
        <f>IF('Lot Balance'!$A326="","",'Lot Balance'!$A326)</f>
        <v/>
      </c>
      <c r="B327" s="18" t="str">
        <f>IF($A327="","",'Lot Balance'!$B326)</f>
        <v/>
      </c>
      <c r="C327" s="18" t="str">
        <f>IF($A327="","",'Lot Balance'!$C326)</f>
        <v/>
      </c>
      <c r="D327" s="25" t="str">
        <f>IF($A327="","",'Lot Balance'!$G326)</f>
        <v/>
      </c>
      <c r="E327" s="25" t="str">
        <f>IF($A327="","",'Lot Balance'!$H326)</f>
        <v/>
      </c>
      <c r="F327" s="23" t="str">
        <f>IF($A327="","",'Lot Balance'!$I326)</f>
        <v/>
      </c>
      <c r="G327" s="23" t="str">
        <f>IF($A327="","",'Lot Balance'!$O326)</f>
        <v/>
      </c>
      <c r="H327" s="33" t="str">
        <f>IF($A327="","",'Lot Balance'!$P326)</f>
        <v/>
      </c>
      <c r="I327" s="26" t="str">
        <f>IF($A327="","",COUNTIFS(tblIssues[Lot Number],$B327))</f>
        <v/>
      </c>
      <c r="J327" s="31" t="str">
        <f>IF($A327="","",IF('Lot Balance'!$O326&lt;=0,"Depleted",'Lot Balance'!$Q326))</f>
        <v/>
      </c>
    </row>
    <row r="328" spans="1:10" x14ac:dyDescent="0.35">
      <c r="A328" s="18" t="str">
        <f>IF('Lot Balance'!$A327="","",'Lot Balance'!$A327)</f>
        <v/>
      </c>
      <c r="B328" s="18" t="str">
        <f>IF($A328="","",'Lot Balance'!$B327)</f>
        <v/>
      </c>
      <c r="C328" s="18" t="str">
        <f>IF($A328="","",'Lot Balance'!$C327)</f>
        <v/>
      </c>
      <c r="D328" s="25" t="str">
        <f>IF($A328="","",'Lot Balance'!$G327)</f>
        <v/>
      </c>
      <c r="E328" s="25" t="str">
        <f>IF($A328="","",'Lot Balance'!$H327)</f>
        <v/>
      </c>
      <c r="F328" s="23" t="str">
        <f>IF($A328="","",'Lot Balance'!$I327)</f>
        <v/>
      </c>
      <c r="G328" s="23" t="str">
        <f>IF($A328="","",'Lot Balance'!$O327)</f>
        <v/>
      </c>
      <c r="H328" s="33" t="str">
        <f>IF($A328="","",'Lot Balance'!$P327)</f>
        <v/>
      </c>
      <c r="I328" s="26" t="str">
        <f>IF($A328="","",COUNTIFS(tblIssues[Lot Number],$B328))</f>
        <v/>
      </c>
      <c r="J328" s="31" t="str">
        <f>IF($A328="","",IF('Lot Balance'!$O327&lt;=0,"Depleted",'Lot Balance'!$Q327))</f>
        <v/>
      </c>
    </row>
    <row r="329" spans="1:10" x14ac:dyDescent="0.35">
      <c r="A329" s="18" t="str">
        <f>IF('Lot Balance'!$A328="","",'Lot Balance'!$A328)</f>
        <v/>
      </c>
      <c r="B329" s="18" t="str">
        <f>IF($A329="","",'Lot Balance'!$B328)</f>
        <v/>
      </c>
      <c r="C329" s="18" t="str">
        <f>IF($A329="","",'Lot Balance'!$C328)</f>
        <v/>
      </c>
      <c r="D329" s="25" t="str">
        <f>IF($A329="","",'Lot Balance'!$G328)</f>
        <v/>
      </c>
      <c r="E329" s="25" t="str">
        <f>IF($A329="","",'Lot Balance'!$H328)</f>
        <v/>
      </c>
      <c r="F329" s="23" t="str">
        <f>IF($A329="","",'Lot Balance'!$I328)</f>
        <v/>
      </c>
      <c r="G329" s="23" t="str">
        <f>IF($A329="","",'Lot Balance'!$O328)</f>
        <v/>
      </c>
      <c r="H329" s="33" t="str">
        <f>IF($A329="","",'Lot Balance'!$P328)</f>
        <v/>
      </c>
      <c r="I329" s="26" t="str">
        <f>IF($A329="","",COUNTIFS(tblIssues[Lot Number],$B329))</f>
        <v/>
      </c>
      <c r="J329" s="31" t="str">
        <f>IF($A329="","",IF('Lot Balance'!$O328&lt;=0,"Depleted",'Lot Balance'!$Q328))</f>
        <v/>
      </c>
    </row>
    <row r="330" spans="1:10" x14ac:dyDescent="0.35">
      <c r="A330" s="18" t="str">
        <f>IF('Lot Balance'!$A329="","",'Lot Balance'!$A329)</f>
        <v/>
      </c>
      <c r="B330" s="18" t="str">
        <f>IF($A330="","",'Lot Balance'!$B329)</f>
        <v/>
      </c>
      <c r="C330" s="18" t="str">
        <f>IF($A330="","",'Lot Balance'!$C329)</f>
        <v/>
      </c>
      <c r="D330" s="25" t="str">
        <f>IF($A330="","",'Lot Balance'!$G329)</f>
        <v/>
      </c>
      <c r="E330" s="25" t="str">
        <f>IF($A330="","",'Lot Balance'!$H329)</f>
        <v/>
      </c>
      <c r="F330" s="23" t="str">
        <f>IF($A330="","",'Lot Balance'!$I329)</f>
        <v/>
      </c>
      <c r="G330" s="23" t="str">
        <f>IF($A330="","",'Lot Balance'!$O329)</f>
        <v/>
      </c>
      <c r="H330" s="33" t="str">
        <f>IF($A330="","",'Lot Balance'!$P329)</f>
        <v/>
      </c>
      <c r="I330" s="26" t="str">
        <f>IF($A330="","",COUNTIFS(tblIssues[Lot Number],$B330))</f>
        <v/>
      </c>
      <c r="J330" s="31" t="str">
        <f>IF($A330="","",IF('Lot Balance'!$O329&lt;=0,"Depleted",'Lot Balance'!$Q329))</f>
        <v/>
      </c>
    </row>
    <row r="331" spans="1:10" x14ac:dyDescent="0.35">
      <c r="A331" s="18" t="str">
        <f>IF('Lot Balance'!$A330="","",'Lot Balance'!$A330)</f>
        <v/>
      </c>
      <c r="B331" s="18" t="str">
        <f>IF($A331="","",'Lot Balance'!$B330)</f>
        <v/>
      </c>
      <c r="C331" s="18" t="str">
        <f>IF($A331="","",'Lot Balance'!$C330)</f>
        <v/>
      </c>
      <c r="D331" s="25" t="str">
        <f>IF($A331="","",'Lot Balance'!$G330)</f>
        <v/>
      </c>
      <c r="E331" s="25" t="str">
        <f>IF($A331="","",'Lot Balance'!$H330)</f>
        <v/>
      </c>
      <c r="F331" s="23" t="str">
        <f>IF($A331="","",'Lot Balance'!$I330)</f>
        <v/>
      </c>
      <c r="G331" s="23" t="str">
        <f>IF($A331="","",'Lot Balance'!$O330)</f>
        <v/>
      </c>
      <c r="H331" s="33" t="str">
        <f>IF($A331="","",'Lot Balance'!$P330)</f>
        <v/>
      </c>
      <c r="I331" s="26" t="str">
        <f>IF($A331="","",COUNTIFS(tblIssues[Lot Number],$B331))</f>
        <v/>
      </c>
      <c r="J331" s="31" t="str">
        <f>IF($A331="","",IF('Lot Balance'!$O330&lt;=0,"Depleted",'Lot Balance'!$Q330))</f>
        <v/>
      </c>
    </row>
    <row r="332" spans="1:10" x14ac:dyDescent="0.35">
      <c r="A332" s="18" t="str">
        <f>IF('Lot Balance'!$A331="","",'Lot Balance'!$A331)</f>
        <v/>
      </c>
      <c r="B332" s="18" t="str">
        <f>IF($A332="","",'Lot Balance'!$B331)</f>
        <v/>
      </c>
      <c r="C332" s="18" t="str">
        <f>IF($A332="","",'Lot Balance'!$C331)</f>
        <v/>
      </c>
      <c r="D332" s="25" t="str">
        <f>IF($A332="","",'Lot Balance'!$G331)</f>
        <v/>
      </c>
      <c r="E332" s="25" t="str">
        <f>IF($A332="","",'Lot Balance'!$H331)</f>
        <v/>
      </c>
      <c r="F332" s="23" t="str">
        <f>IF($A332="","",'Lot Balance'!$I331)</f>
        <v/>
      </c>
      <c r="G332" s="23" t="str">
        <f>IF($A332="","",'Lot Balance'!$O331)</f>
        <v/>
      </c>
      <c r="H332" s="33" t="str">
        <f>IF($A332="","",'Lot Balance'!$P331)</f>
        <v/>
      </c>
      <c r="I332" s="26" t="str">
        <f>IF($A332="","",COUNTIFS(tblIssues[Lot Number],$B332))</f>
        <v/>
      </c>
      <c r="J332" s="31" t="str">
        <f>IF($A332="","",IF('Lot Balance'!$O331&lt;=0,"Depleted",'Lot Balance'!$Q331))</f>
        <v/>
      </c>
    </row>
    <row r="333" spans="1:10" x14ac:dyDescent="0.35">
      <c r="A333" s="18" t="str">
        <f>IF('Lot Balance'!$A332="","",'Lot Balance'!$A332)</f>
        <v/>
      </c>
      <c r="B333" s="18" t="str">
        <f>IF($A333="","",'Lot Balance'!$B332)</f>
        <v/>
      </c>
      <c r="C333" s="18" t="str">
        <f>IF($A333="","",'Lot Balance'!$C332)</f>
        <v/>
      </c>
      <c r="D333" s="25" t="str">
        <f>IF($A333="","",'Lot Balance'!$G332)</f>
        <v/>
      </c>
      <c r="E333" s="25" t="str">
        <f>IF($A333="","",'Lot Balance'!$H332)</f>
        <v/>
      </c>
      <c r="F333" s="23" t="str">
        <f>IF($A333="","",'Lot Balance'!$I332)</f>
        <v/>
      </c>
      <c r="G333" s="23" t="str">
        <f>IF($A333="","",'Lot Balance'!$O332)</f>
        <v/>
      </c>
      <c r="H333" s="33" t="str">
        <f>IF($A333="","",'Lot Balance'!$P332)</f>
        <v/>
      </c>
      <c r="I333" s="26" t="str">
        <f>IF($A333="","",COUNTIFS(tblIssues[Lot Number],$B333))</f>
        <v/>
      </c>
      <c r="J333" s="31" t="str">
        <f>IF($A333="","",IF('Lot Balance'!$O332&lt;=0,"Depleted",'Lot Balance'!$Q332))</f>
        <v/>
      </c>
    </row>
    <row r="334" spans="1:10" x14ac:dyDescent="0.35">
      <c r="A334" s="18" t="str">
        <f>IF('Lot Balance'!$A333="","",'Lot Balance'!$A333)</f>
        <v/>
      </c>
      <c r="B334" s="18" t="str">
        <f>IF($A334="","",'Lot Balance'!$B333)</f>
        <v/>
      </c>
      <c r="C334" s="18" t="str">
        <f>IF($A334="","",'Lot Balance'!$C333)</f>
        <v/>
      </c>
      <c r="D334" s="25" t="str">
        <f>IF($A334="","",'Lot Balance'!$G333)</f>
        <v/>
      </c>
      <c r="E334" s="25" t="str">
        <f>IF($A334="","",'Lot Balance'!$H333)</f>
        <v/>
      </c>
      <c r="F334" s="23" t="str">
        <f>IF($A334="","",'Lot Balance'!$I333)</f>
        <v/>
      </c>
      <c r="G334" s="23" t="str">
        <f>IF($A334="","",'Lot Balance'!$O333)</f>
        <v/>
      </c>
      <c r="H334" s="33" t="str">
        <f>IF($A334="","",'Lot Balance'!$P333)</f>
        <v/>
      </c>
      <c r="I334" s="26" t="str">
        <f>IF($A334="","",COUNTIFS(tblIssues[Lot Number],$B334))</f>
        <v/>
      </c>
      <c r="J334" s="31" t="str">
        <f>IF($A334="","",IF('Lot Balance'!$O333&lt;=0,"Depleted",'Lot Balance'!$Q333))</f>
        <v/>
      </c>
    </row>
    <row r="335" spans="1:10" x14ac:dyDescent="0.35">
      <c r="A335" s="18" t="str">
        <f>IF('Lot Balance'!$A334="","",'Lot Balance'!$A334)</f>
        <v/>
      </c>
      <c r="B335" s="18" t="str">
        <f>IF($A335="","",'Lot Balance'!$B334)</f>
        <v/>
      </c>
      <c r="C335" s="18" t="str">
        <f>IF($A335="","",'Lot Balance'!$C334)</f>
        <v/>
      </c>
      <c r="D335" s="25" t="str">
        <f>IF($A335="","",'Lot Balance'!$G334)</f>
        <v/>
      </c>
      <c r="E335" s="25" t="str">
        <f>IF($A335="","",'Lot Balance'!$H334)</f>
        <v/>
      </c>
      <c r="F335" s="23" t="str">
        <f>IF($A335="","",'Lot Balance'!$I334)</f>
        <v/>
      </c>
      <c r="G335" s="23" t="str">
        <f>IF($A335="","",'Lot Balance'!$O334)</f>
        <v/>
      </c>
      <c r="H335" s="33" t="str">
        <f>IF($A335="","",'Lot Balance'!$P334)</f>
        <v/>
      </c>
      <c r="I335" s="26" t="str">
        <f>IF($A335="","",COUNTIFS(tblIssues[Lot Number],$B335))</f>
        <v/>
      </c>
      <c r="J335" s="31" t="str">
        <f>IF($A335="","",IF('Lot Balance'!$O334&lt;=0,"Depleted",'Lot Balance'!$Q334))</f>
        <v/>
      </c>
    </row>
    <row r="336" spans="1:10" x14ac:dyDescent="0.35">
      <c r="A336" s="18" t="str">
        <f>IF('Lot Balance'!$A335="","",'Lot Balance'!$A335)</f>
        <v/>
      </c>
      <c r="B336" s="18" t="str">
        <f>IF($A336="","",'Lot Balance'!$B335)</f>
        <v/>
      </c>
      <c r="C336" s="18" t="str">
        <f>IF($A336="","",'Lot Balance'!$C335)</f>
        <v/>
      </c>
      <c r="D336" s="25" t="str">
        <f>IF($A336="","",'Lot Balance'!$G335)</f>
        <v/>
      </c>
      <c r="E336" s="25" t="str">
        <f>IF($A336="","",'Lot Balance'!$H335)</f>
        <v/>
      </c>
      <c r="F336" s="23" t="str">
        <f>IF($A336="","",'Lot Balance'!$I335)</f>
        <v/>
      </c>
      <c r="G336" s="23" t="str">
        <f>IF($A336="","",'Lot Balance'!$O335)</f>
        <v/>
      </c>
      <c r="H336" s="33" t="str">
        <f>IF($A336="","",'Lot Balance'!$P335)</f>
        <v/>
      </c>
      <c r="I336" s="26" t="str">
        <f>IF($A336="","",COUNTIFS(tblIssues[Lot Number],$B336))</f>
        <v/>
      </c>
      <c r="J336" s="31" t="str">
        <f>IF($A336="","",IF('Lot Balance'!$O335&lt;=0,"Depleted",'Lot Balance'!$Q335))</f>
        <v/>
      </c>
    </row>
    <row r="337" spans="1:10" x14ac:dyDescent="0.35">
      <c r="A337" s="18" t="str">
        <f>IF('Lot Balance'!$A336="","",'Lot Balance'!$A336)</f>
        <v/>
      </c>
      <c r="B337" s="18" t="str">
        <f>IF($A337="","",'Lot Balance'!$B336)</f>
        <v/>
      </c>
      <c r="C337" s="18" t="str">
        <f>IF($A337="","",'Lot Balance'!$C336)</f>
        <v/>
      </c>
      <c r="D337" s="25" t="str">
        <f>IF($A337="","",'Lot Balance'!$G336)</f>
        <v/>
      </c>
      <c r="E337" s="25" t="str">
        <f>IF($A337="","",'Lot Balance'!$H336)</f>
        <v/>
      </c>
      <c r="F337" s="23" t="str">
        <f>IF($A337="","",'Lot Balance'!$I336)</f>
        <v/>
      </c>
      <c r="G337" s="23" t="str">
        <f>IF($A337="","",'Lot Balance'!$O336)</f>
        <v/>
      </c>
      <c r="H337" s="33" t="str">
        <f>IF($A337="","",'Lot Balance'!$P336)</f>
        <v/>
      </c>
      <c r="I337" s="26" t="str">
        <f>IF($A337="","",COUNTIFS(tblIssues[Lot Number],$B337))</f>
        <v/>
      </c>
      <c r="J337" s="31" t="str">
        <f>IF($A337="","",IF('Lot Balance'!$O336&lt;=0,"Depleted",'Lot Balance'!$Q336))</f>
        <v/>
      </c>
    </row>
    <row r="338" spans="1:10" x14ac:dyDescent="0.35">
      <c r="A338" s="18" t="str">
        <f>IF('Lot Balance'!$A337="","",'Lot Balance'!$A337)</f>
        <v/>
      </c>
      <c r="B338" s="18" t="str">
        <f>IF($A338="","",'Lot Balance'!$B337)</f>
        <v/>
      </c>
      <c r="C338" s="18" t="str">
        <f>IF($A338="","",'Lot Balance'!$C337)</f>
        <v/>
      </c>
      <c r="D338" s="25" t="str">
        <f>IF($A338="","",'Lot Balance'!$G337)</f>
        <v/>
      </c>
      <c r="E338" s="25" t="str">
        <f>IF($A338="","",'Lot Balance'!$H337)</f>
        <v/>
      </c>
      <c r="F338" s="23" t="str">
        <f>IF($A338="","",'Lot Balance'!$I337)</f>
        <v/>
      </c>
      <c r="G338" s="23" t="str">
        <f>IF($A338="","",'Lot Balance'!$O337)</f>
        <v/>
      </c>
      <c r="H338" s="33" t="str">
        <f>IF($A338="","",'Lot Balance'!$P337)</f>
        <v/>
      </c>
      <c r="I338" s="26" t="str">
        <f>IF($A338="","",COUNTIFS(tblIssues[Lot Number],$B338))</f>
        <v/>
      </c>
      <c r="J338" s="31" t="str">
        <f>IF($A338="","",IF('Lot Balance'!$O337&lt;=0,"Depleted",'Lot Balance'!$Q337))</f>
        <v/>
      </c>
    </row>
    <row r="339" spans="1:10" x14ac:dyDescent="0.35">
      <c r="A339" s="18" t="str">
        <f>IF('Lot Balance'!$A338="","",'Lot Balance'!$A338)</f>
        <v/>
      </c>
      <c r="B339" s="18" t="str">
        <f>IF($A339="","",'Lot Balance'!$B338)</f>
        <v/>
      </c>
      <c r="C339" s="18" t="str">
        <f>IF($A339="","",'Lot Balance'!$C338)</f>
        <v/>
      </c>
      <c r="D339" s="25" t="str">
        <f>IF($A339="","",'Lot Balance'!$G338)</f>
        <v/>
      </c>
      <c r="E339" s="25" t="str">
        <f>IF($A339="","",'Lot Balance'!$H338)</f>
        <v/>
      </c>
      <c r="F339" s="23" t="str">
        <f>IF($A339="","",'Lot Balance'!$I338)</f>
        <v/>
      </c>
      <c r="G339" s="23" t="str">
        <f>IF($A339="","",'Lot Balance'!$O338)</f>
        <v/>
      </c>
      <c r="H339" s="33" t="str">
        <f>IF($A339="","",'Lot Balance'!$P338)</f>
        <v/>
      </c>
      <c r="I339" s="26" t="str">
        <f>IF($A339="","",COUNTIFS(tblIssues[Lot Number],$B339))</f>
        <v/>
      </c>
      <c r="J339" s="31" t="str">
        <f>IF($A339="","",IF('Lot Balance'!$O338&lt;=0,"Depleted",'Lot Balance'!$Q338))</f>
        <v/>
      </c>
    </row>
    <row r="340" spans="1:10" x14ac:dyDescent="0.35">
      <c r="A340" s="18" t="str">
        <f>IF('Lot Balance'!$A339="","",'Lot Balance'!$A339)</f>
        <v/>
      </c>
      <c r="B340" s="18" t="str">
        <f>IF($A340="","",'Lot Balance'!$B339)</f>
        <v/>
      </c>
      <c r="C340" s="18" t="str">
        <f>IF($A340="","",'Lot Balance'!$C339)</f>
        <v/>
      </c>
      <c r="D340" s="25" t="str">
        <f>IF($A340="","",'Lot Balance'!$G339)</f>
        <v/>
      </c>
      <c r="E340" s="25" t="str">
        <f>IF($A340="","",'Lot Balance'!$H339)</f>
        <v/>
      </c>
      <c r="F340" s="23" t="str">
        <f>IF($A340="","",'Lot Balance'!$I339)</f>
        <v/>
      </c>
      <c r="G340" s="23" t="str">
        <f>IF($A340="","",'Lot Balance'!$O339)</f>
        <v/>
      </c>
      <c r="H340" s="33" t="str">
        <f>IF($A340="","",'Lot Balance'!$P339)</f>
        <v/>
      </c>
      <c r="I340" s="26" t="str">
        <f>IF($A340="","",COUNTIFS(tblIssues[Lot Number],$B340))</f>
        <v/>
      </c>
      <c r="J340" s="31" t="str">
        <f>IF($A340="","",IF('Lot Balance'!$O339&lt;=0,"Depleted",'Lot Balance'!$Q339))</f>
        <v/>
      </c>
    </row>
    <row r="341" spans="1:10" x14ac:dyDescent="0.35">
      <c r="A341" s="18" t="str">
        <f>IF('Lot Balance'!$A340="","",'Lot Balance'!$A340)</f>
        <v/>
      </c>
      <c r="B341" s="18" t="str">
        <f>IF($A341="","",'Lot Balance'!$B340)</f>
        <v/>
      </c>
      <c r="C341" s="18" t="str">
        <f>IF($A341="","",'Lot Balance'!$C340)</f>
        <v/>
      </c>
      <c r="D341" s="25" t="str">
        <f>IF($A341="","",'Lot Balance'!$G340)</f>
        <v/>
      </c>
      <c r="E341" s="25" t="str">
        <f>IF($A341="","",'Lot Balance'!$H340)</f>
        <v/>
      </c>
      <c r="F341" s="23" t="str">
        <f>IF($A341="","",'Lot Balance'!$I340)</f>
        <v/>
      </c>
      <c r="G341" s="23" t="str">
        <f>IF($A341="","",'Lot Balance'!$O340)</f>
        <v/>
      </c>
      <c r="H341" s="33" t="str">
        <f>IF($A341="","",'Lot Balance'!$P340)</f>
        <v/>
      </c>
      <c r="I341" s="26" t="str">
        <f>IF($A341="","",COUNTIFS(tblIssues[Lot Number],$B341))</f>
        <v/>
      </c>
      <c r="J341" s="31" t="str">
        <f>IF($A341="","",IF('Lot Balance'!$O340&lt;=0,"Depleted",'Lot Balance'!$Q340))</f>
        <v/>
      </c>
    </row>
    <row r="342" spans="1:10" x14ac:dyDescent="0.35">
      <c r="A342" s="18" t="str">
        <f>IF('Lot Balance'!$A341="","",'Lot Balance'!$A341)</f>
        <v/>
      </c>
      <c r="B342" s="18" t="str">
        <f>IF($A342="","",'Lot Balance'!$B341)</f>
        <v/>
      </c>
      <c r="C342" s="18" t="str">
        <f>IF($A342="","",'Lot Balance'!$C341)</f>
        <v/>
      </c>
      <c r="D342" s="25" t="str">
        <f>IF($A342="","",'Lot Balance'!$G341)</f>
        <v/>
      </c>
      <c r="E342" s="25" t="str">
        <f>IF($A342="","",'Lot Balance'!$H341)</f>
        <v/>
      </c>
      <c r="F342" s="23" t="str">
        <f>IF($A342="","",'Lot Balance'!$I341)</f>
        <v/>
      </c>
      <c r="G342" s="23" t="str">
        <f>IF($A342="","",'Lot Balance'!$O341)</f>
        <v/>
      </c>
      <c r="H342" s="33" t="str">
        <f>IF($A342="","",'Lot Balance'!$P341)</f>
        <v/>
      </c>
      <c r="I342" s="26" t="str">
        <f>IF($A342="","",COUNTIFS(tblIssues[Lot Number],$B342))</f>
        <v/>
      </c>
      <c r="J342" s="31" t="str">
        <f>IF($A342="","",IF('Lot Balance'!$O341&lt;=0,"Depleted",'Lot Balance'!$Q341))</f>
        <v/>
      </c>
    </row>
    <row r="343" spans="1:10" x14ac:dyDescent="0.35">
      <c r="A343" s="18" t="str">
        <f>IF('Lot Balance'!$A342="","",'Lot Balance'!$A342)</f>
        <v/>
      </c>
      <c r="B343" s="18" t="str">
        <f>IF($A343="","",'Lot Balance'!$B342)</f>
        <v/>
      </c>
      <c r="C343" s="18" t="str">
        <f>IF($A343="","",'Lot Balance'!$C342)</f>
        <v/>
      </c>
      <c r="D343" s="25" t="str">
        <f>IF($A343="","",'Lot Balance'!$G342)</f>
        <v/>
      </c>
      <c r="E343" s="25" t="str">
        <f>IF($A343="","",'Lot Balance'!$H342)</f>
        <v/>
      </c>
      <c r="F343" s="23" t="str">
        <f>IF($A343="","",'Lot Balance'!$I342)</f>
        <v/>
      </c>
      <c r="G343" s="23" t="str">
        <f>IF($A343="","",'Lot Balance'!$O342)</f>
        <v/>
      </c>
      <c r="H343" s="33" t="str">
        <f>IF($A343="","",'Lot Balance'!$P342)</f>
        <v/>
      </c>
      <c r="I343" s="26" t="str">
        <f>IF($A343="","",COUNTIFS(tblIssues[Lot Number],$B343))</f>
        <v/>
      </c>
      <c r="J343" s="31" t="str">
        <f>IF($A343="","",IF('Lot Balance'!$O342&lt;=0,"Depleted",'Lot Balance'!$Q342))</f>
        <v/>
      </c>
    </row>
    <row r="344" spans="1:10" x14ac:dyDescent="0.35">
      <c r="A344" s="18" t="str">
        <f>IF('Lot Balance'!$A343="","",'Lot Balance'!$A343)</f>
        <v/>
      </c>
      <c r="B344" s="18" t="str">
        <f>IF($A344="","",'Lot Balance'!$B343)</f>
        <v/>
      </c>
      <c r="C344" s="18" t="str">
        <f>IF($A344="","",'Lot Balance'!$C343)</f>
        <v/>
      </c>
      <c r="D344" s="25" t="str">
        <f>IF($A344="","",'Lot Balance'!$G343)</f>
        <v/>
      </c>
      <c r="E344" s="25" t="str">
        <f>IF($A344="","",'Lot Balance'!$H343)</f>
        <v/>
      </c>
      <c r="F344" s="23" t="str">
        <f>IF($A344="","",'Lot Balance'!$I343)</f>
        <v/>
      </c>
      <c r="G344" s="23" t="str">
        <f>IF($A344="","",'Lot Balance'!$O343)</f>
        <v/>
      </c>
      <c r="H344" s="33" t="str">
        <f>IF($A344="","",'Lot Balance'!$P343)</f>
        <v/>
      </c>
      <c r="I344" s="26" t="str">
        <f>IF($A344="","",COUNTIFS(tblIssues[Lot Number],$B344))</f>
        <v/>
      </c>
      <c r="J344" s="31" t="str">
        <f>IF($A344="","",IF('Lot Balance'!$O343&lt;=0,"Depleted",'Lot Balance'!$Q343))</f>
        <v/>
      </c>
    </row>
    <row r="345" spans="1:10" x14ac:dyDescent="0.35">
      <c r="A345" s="18" t="str">
        <f>IF('Lot Balance'!$A344="","",'Lot Balance'!$A344)</f>
        <v/>
      </c>
      <c r="B345" s="18" t="str">
        <f>IF($A345="","",'Lot Balance'!$B344)</f>
        <v/>
      </c>
      <c r="C345" s="18" t="str">
        <f>IF($A345="","",'Lot Balance'!$C344)</f>
        <v/>
      </c>
      <c r="D345" s="25" t="str">
        <f>IF($A345="","",'Lot Balance'!$G344)</f>
        <v/>
      </c>
      <c r="E345" s="25" t="str">
        <f>IF($A345="","",'Lot Balance'!$H344)</f>
        <v/>
      </c>
      <c r="F345" s="23" t="str">
        <f>IF($A345="","",'Lot Balance'!$I344)</f>
        <v/>
      </c>
      <c r="G345" s="23" t="str">
        <f>IF($A345="","",'Lot Balance'!$O344)</f>
        <v/>
      </c>
      <c r="H345" s="33" t="str">
        <f>IF($A345="","",'Lot Balance'!$P344)</f>
        <v/>
      </c>
      <c r="I345" s="26" t="str">
        <f>IF($A345="","",COUNTIFS(tblIssues[Lot Number],$B345))</f>
        <v/>
      </c>
      <c r="J345" s="31" t="str">
        <f>IF($A345="","",IF('Lot Balance'!$O344&lt;=0,"Depleted",'Lot Balance'!$Q344))</f>
        <v/>
      </c>
    </row>
    <row r="346" spans="1:10" x14ac:dyDescent="0.35">
      <c r="A346" s="18" t="str">
        <f>IF('Lot Balance'!$A345="","",'Lot Balance'!$A345)</f>
        <v/>
      </c>
      <c r="B346" s="18" t="str">
        <f>IF($A346="","",'Lot Balance'!$B345)</f>
        <v/>
      </c>
      <c r="C346" s="18" t="str">
        <f>IF($A346="","",'Lot Balance'!$C345)</f>
        <v/>
      </c>
      <c r="D346" s="25" t="str">
        <f>IF($A346="","",'Lot Balance'!$G345)</f>
        <v/>
      </c>
      <c r="E346" s="25" t="str">
        <f>IF($A346="","",'Lot Balance'!$H345)</f>
        <v/>
      </c>
      <c r="F346" s="23" t="str">
        <f>IF($A346="","",'Lot Balance'!$I345)</f>
        <v/>
      </c>
      <c r="G346" s="23" t="str">
        <f>IF($A346="","",'Lot Balance'!$O345)</f>
        <v/>
      </c>
      <c r="H346" s="33" t="str">
        <f>IF($A346="","",'Lot Balance'!$P345)</f>
        <v/>
      </c>
      <c r="I346" s="26" t="str">
        <f>IF($A346="","",COUNTIFS(tblIssues[Lot Number],$B346))</f>
        <v/>
      </c>
      <c r="J346" s="31" t="str">
        <f>IF($A346="","",IF('Lot Balance'!$O345&lt;=0,"Depleted",'Lot Balance'!$Q345))</f>
        <v/>
      </c>
    </row>
    <row r="347" spans="1:10" x14ac:dyDescent="0.35">
      <c r="A347" s="18" t="str">
        <f>IF('Lot Balance'!$A346="","",'Lot Balance'!$A346)</f>
        <v/>
      </c>
      <c r="B347" s="18" t="str">
        <f>IF($A347="","",'Lot Balance'!$B346)</f>
        <v/>
      </c>
      <c r="C347" s="18" t="str">
        <f>IF($A347="","",'Lot Balance'!$C346)</f>
        <v/>
      </c>
      <c r="D347" s="25" t="str">
        <f>IF($A347="","",'Lot Balance'!$G346)</f>
        <v/>
      </c>
      <c r="E347" s="25" t="str">
        <f>IF($A347="","",'Lot Balance'!$H346)</f>
        <v/>
      </c>
      <c r="F347" s="23" t="str">
        <f>IF($A347="","",'Lot Balance'!$I346)</f>
        <v/>
      </c>
      <c r="G347" s="23" t="str">
        <f>IF($A347="","",'Lot Balance'!$O346)</f>
        <v/>
      </c>
      <c r="H347" s="33" t="str">
        <f>IF($A347="","",'Lot Balance'!$P346)</f>
        <v/>
      </c>
      <c r="I347" s="26" t="str">
        <f>IF($A347="","",COUNTIFS(tblIssues[Lot Number],$B347))</f>
        <v/>
      </c>
      <c r="J347" s="31" t="str">
        <f>IF($A347="","",IF('Lot Balance'!$O346&lt;=0,"Depleted",'Lot Balance'!$Q346))</f>
        <v/>
      </c>
    </row>
    <row r="348" spans="1:10" x14ac:dyDescent="0.35">
      <c r="A348" s="18" t="str">
        <f>IF('Lot Balance'!$A347="","",'Lot Balance'!$A347)</f>
        <v/>
      </c>
      <c r="B348" s="18" t="str">
        <f>IF($A348="","",'Lot Balance'!$B347)</f>
        <v/>
      </c>
      <c r="C348" s="18" t="str">
        <f>IF($A348="","",'Lot Balance'!$C347)</f>
        <v/>
      </c>
      <c r="D348" s="25" t="str">
        <f>IF($A348="","",'Lot Balance'!$G347)</f>
        <v/>
      </c>
      <c r="E348" s="25" t="str">
        <f>IF($A348="","",'Lot Balance'!$H347)</f>
        <v/>
      </c>
      <c r="F348" s="23" t="str">
        <f>IF($A348="","",'Lot Balance'!$I347)</f>
        <v/>
      </c>
      <c r="G348" s="23" t="str">
        <f>IF($A348="","",'Lot Balance'!$O347)</f>
        <v/>
      </c>
      <c r="H348" s="33" t="str">
        <f>IF($A348="","",'Lot Balance'!$P347)</f>
        <v/>
      </c>
      <c r="I348" s="26" t="str">
        <f>IF($A348="","",COUNTIFS(tblIssues[Lot Number],$B348))</f>
        <v/>
      </c>
      <c r="J348" s="31" t="str">
        <f>IF($A348="","",IF('Lot Balance'!$O347&lt;=0,"Depleted",'Lot Balance'!$Q347))</f>
        <v/>
      </c>
    </row>
    <row r="349" spans="1:10" x14ac:dyDescent="0.35">
      <c r="A349" s="18" t="str">
        <f>IF('Lot Balance'!$A348="","",'Lot Balance'!$A348)</f>
        <v/>
      </c>
      <c r="B349" s="18" t="str">
        <f>IF($A349="","",'Lot Balance'!$B348)</f>
        <v/>
      </c>
      <c r="C349" s="18" t="str">
        <f>IF($A349="","",'Lot Balance'!$C348)</f>
        <v/>
      </c>
      <c r="D349" s="25" t="str">
        <f>IF($A349="","",'Lot Balance'!$G348)</f>
        <v/>
      </c>
      <c r="E349" s="25" t="str">
        <f>IF($A349="","",'Lot Balance'!$H348)</f>
        <v/>
      </c>
      <c r="F349" s="23" t="str">
        <f>IF($A349="","",'Lot Balance'!$I348)</f>
        <v/>
      </c>
      <c r="G349" s="23" t="str">
        <f>IF($A349="","",'Lot Balance'!$O348)</f>
        <v/>
      </c>
      <c r="H349" s="33" t="str">
        <f>IF($A349="","",'Lot Balance'!$P348)</f>
        <v/>
      </c>
      <c r="I349" s="26" t="str">
        <f>IF($A349="","",COUNTIFS(tblIssues[Lot Number],$B349))</f>
        <v/>
      </c>
      <c r="J349" s="31" t="str">
        <f>IF($A349="","",IF('Lot Balance'!$O348&lt;=0,"Depleted",'Lot Balance'!$Q348))</f>
        <v/>
      </c>
    </row>
    <row r="350" spans="1:10" x14ac:dyDescent="0.35">
      <c r="A350" s="18" t="str">
        <f>IF('Lot Balance'!$A349="","",'Lot Balance'!$A349)</f>
        <v/>
      </c>
      <c r="B350" s="18" t="str">
        <f>IF($A350="","",'Lot Balance'!$B349)</f>
        <v/>
      </c>
      <c r="C350" s="18" t="str">
        <f>IF($A350="","",'Lot Balance'!$C349)</f>
        <v/>
      </c>
      <c r="D350" s="25" t="str">
        <f>IF($A350="","",'Lot Balance'!$G349)</f>
        <v/>
      </c>
      <c r="E350" s="25" t="str">
        <f>IF($A350="","",'Lot Balance'!$H349)</f>
        <v/>
      </c>
      <c r="F350" s="23" t="str">
        <f>IF($A350="","",'Lot Balance'!$I349)</f>
        <v/>
      </c>
      <c r="G350" s="23" t="str">
        <f>IF($A350="","",'Lot Balance'!$O349)</f>
        <v/>
      </c>
      <c r="H350" s="33" t="str">
        <f>IF($A350="","",'Lot Balance'!$P349)</f>
        <v/>
      </c>
      <c r="I350" s="26" t="str">
        <f>IF($A350="","",COUNTIFS(tblIssues[Lot Number],$B350))</f>
        <v/>
      </c>
      <c r="J350" s="31" t="str">
        <f>IF($A350="","",IF('Lot Balance'!$O349&lt;=0,"Depleted",'Lot Balance'!$Q349))</f>
        <v/>
      </c>
    </row>
    <row r="351" spans="1:10" x14ac:dyDescent="0.35">
      <c r="A351" s="18" t="str">
        <f>IF('Lot Balance'!$A350="","",'Lot Balance'!$A350)</f>
        <v/>
      </c>
      <c r="B351" s="18" t="str">
        <f>IF($A351="","",'Lot Balance'!$B350)</f>
        <v/>
      </c>
      <c r="C351" s="18" t="str">
        <f>IF($A351="","",'Lot Balance'!$C350)</f>
        <v/>
      </c>
      <c r="D351" s="25" t="str">
        <f>IF($A351="","",'Lot Balance'!$G350)</f>
        <v/>
      </c>
      <c r="E351" s="25" t="str">
        <f>IF($A351="","",'Lot Balance'!$H350)</f>
        <v/>
      </c>
      <c r="F351" s="23" t="str">
        <f>IF($A351="","",'Lot Balance'!$I350)</f>
        <v/>
      </c>
      <c r="G351" s="23" t="str">
        <f>IF($A351="","",'Lot Balance'!$O350)</f>
        <v/>
      </c>
      <c r="H351" s="33" t="str">
        <f>IF($A351="","",'Lot Balance'!$P350)</f>
        <v/>
      </c>
      <c r="I351" s="26" t="str">
        <f>IF($A351="","",COUNTIFS(tblIssues[Lot Number],$B351))</f>
        <v/>
      </c>
      <c r="J351" s="31" t="str">
        <f>IF($A351="","",IF('Lot Balance'!$O350&lt;=0,"Depleted",'Lot Balance'!$Q350))</f>
        <v/>
      </c>
    </row>
    <row r="352" spans="1:10" x14ac:dyDescent="0.35">
      <c r="A352" s="18" t="str">
        <f>IF('Lot Balance'!$A351="","",'Lot Balance'!$A351)</f>
        <v/>
      </c>
      <c r="B352" s="18" t="str">
        <f>IF($A352="","",'Lot Balance'!$B351)</f>
        <v/>
      </c>
      <c r="C352" s="18" t="str">
        <f>IF($A352="","",'Lot Balance'!$C351)</f>
        <v/>
      </c>
      <c r="D352" s="25" t="str">
        <f>IF($A352="","",'Lot Balance'!$G351)</f>
        <v/>
      </c>
      <c r="E352" s="25" t="str">
        <f>IF($A352="","",'Lot Balance'!$H351)</f>
        <v/>
      </c>
      <c r="F352" s="23" t="str">
        <f>IF($A352="","",'Lot Balance'!$I351)</f>
        <v/>
      </c>
      <c r="G352" s="23" t="str">
        <f>IF($A352="","",'Lot Balance'!$O351)</f>
        <v/>
      </c>
      <c r="H352" s="33" t="str">
        <f>IF($A352="","",'Lot Balance'!$P351)</f>
        <v/>
      </c>
      <c r="I352" s="26" t="str">
        <f>IF($A352="","",COUNTIFS(tblIssues[Lot Number],$B352))</f>
        <v/>
      </c>
      <c r="J352" s="31" t="str">
        <f>IF($A352="","",IF('Lot Balance'!$O351&lt;=0,"Depleted",'Lot Balance'!$Q351))</f>
        <v/>
      </c>
    </row>
    <row r="353" spans="1:10" x14ac:dyDescent="0.35">
      <c r="A353" s="18" t="str">
        <f>IF('Lot Balance'!$A352="","",'Lot Balance'!$A352)</f>
        <v/>
      </c>
      <c r="B353" s="18" t="str">
        <f>IF($A353="","",'Lot Balance'!$B352)</f>
        <v/>
      </c>
      <c r="C353" s="18" t="str">
        <f>IF($A353="","",'Lot Balance'!$C352)</f>
        <v/>
      </c>
      <c r="D353" s="25" t="str">
        <f>IF($A353="","",'Lot Balance'!$G352)</f>
        <v/>
      </c>
      <c r="E353" s="25" t="str">
        <f>IF($A353="","",'Lot Balance'!$H352)</f>
        <v/>
      </c>
      <c r="F353" s="23" t="str">
        <f>IF($A353="","",'Lot Balance'!$I352)</f>
        <v/>
      </c>
      <c r="G353" s="23" t="str">
        <f>IF($A353="","",'Lot Balance'!$O352)</f>
        <v/>
      </c>
      <c r="H353" s="33" t="str">
        <f>IF($A353="","",'Lot Balance'!$P352)</f>
        <v/>
      </c>
      <c r="I353" s="26" t="str">
        <f>IF($A353="","",COUNTIFS(tblIssues[Lot Number],$B353))</f>
        <v/>
      </c>
      <c r="J353" s="31" t="str">
        <f>IF($A353="","",IF('Lot Balance'!$O352&lt;=0,"Depleted",'Lot Balance'!$Q352))</f>
        <v/>
      </c>
    </row>
    <row r="354" spans="1:10" x14ac:dyDescent="0.35">
      <c r="A354" s="18" t="str">
        <f>IF('Lot Balance'!$A353="","",'Lot Balance'!$A353)</f>
        <v/>
      </c>
      <c r="B354" s="18" t="str">
        <f>IF($A354="","",'Lot Balance'!$B353)</f>
        <v/>
      </c>
      <c r="C354" s="18" t="str">
        <f>IF($A354="","",'Lot Balance'!$C353)</f>
        <v/>
      </c>
      <c r="D354" s="25" t="str">
        <f>IF($A354="","",'Lot Balance'!$G353)</f>
        <v/>
      </c>
      <c r="E354" s="25" t="str">
        <f>IF($A354="","",'Lot Balance'!$H353)</f>
        <v/>
      </c>
      <c r="F354" s="23" t="str">
        <f>IF($A354="","",'Lot Balance'!$I353)</f>
        <v/>
      </c>
      <c r="G354" s="23" t="str">
        <f>IF($A354="","",'Lot Balance'!$O353)</f>
        <v/>
      </c>
      <c r="H354" s="33" t="str">
        <f>IF($A354="","",'Lot Balance'!$P353)</f>
        <v/>
      </c>
      <c r="I354" s="26" t="str">
        <f>IF($A354="","",COUNTIFS(tblIssues[Lot Number],$B354))</f>
        <v/>
      </c>
      <c r="J354" s="31" t="str">
        <f>IF($A354="","",IF('Lot Balance'!$O353&lt;=0,"Depleted",'Lot Balance'!$Q353))</f>
        <v/>
      </c>
    </row>
    <row r="355" spans="1:10" x14ac:dyDescent="0.35">
      <c r="A355" s="18" t="str">
        <f>IF('Lot Balance'!$A354="","",'Lot Balance'!$A354)</f>
        <v/>
      </c>
      <c r="B355" s="18" t="str">
        <f>IF($A355="","",'Lot Balance'!$B354)</f>
        <v/>
      </c>
      <c r="C355" s="18" t="str">
        <f>IF($A355="","",'Lot Balance'!$C354)</f>
        <v/>
      </c>
      <c r="D355" s="25" t="str">
        <f>IF($A355="","",'Lot Balance'!$G354)</f>
        <v/>
      </c>
      <c r="E355" s="25" t="str">
        <f>IF($A355="","",'Lot Balance'!$H354)</f>
        <v/>
      </c>
      <c r="F355" s="23" t="str">
        <f>IF($A355="","",'Lot Balance'!$I354)</f>
        <v/>
      </c>
      <c r="G355" s="23" t="str">
        <f>IF($A355="","",'Lot Balance'!$O354)</f>
        <v/>
      </c>
      <c r="H355" s="33" t="str">
        <f>IF($A355="","",'Lot Balance'!$P354)</f>
        <v/>
      </c>
      <c r="I355" s="26" t="str">
        <f>IF($A355="","",COUNTIFS(tblIssues[Lot Number],$B355))</f>
        <v/>
      </c>
      <c r="J355" s="31" t="str">
        <f>IF($A355="","",IF('Lot Balance'!$O354&lt;=0,"Depleted",'Lot Balance'!$Q354))</f>
        <v/>
      </c>
    </row>
    <row r="356" spans="1:10" x14ac:dyDescent="0.35">
      <c r="A356" s="18" t="str">
        <f>IF('Lot Balance'!$A355="","",'Lot Balance'!$A355)</f>
        <v/>
      </c>
      <c r="B356" s="18" t="str">
        <f>IF($A356="","",'Lot Balance'!$B355)</f>
        <v/>
      </c>
      <c r="C356" s="18" t="str">
        <f>IF($A356="","",'Lot Balance'!$C355)</f>
        <v/>
      </c>
      <c r="D356" s="25" t="str">
        <f>IF($A356="","",'Lot Balance'!$G355)</f>
        <v/>
      </c>
      <c r="E356" s="25" t="str">
        <f>IF($A356="","",'Lot Balance'!$H355)</f>
        <v/>
      </c>
      <c r="F356" s="23" t="str">
        <f>IF($A356="","",'Lot Balance'!$I355)</f>
        <v/>
      </c>
      <c r="G356" s="23" t="str">
        <f>IF($A356="","",'Lot Balance'!$O355)</f>
        <v/>
      </c>
      <c r="H356" s="33" t="str">
        <f>IF($A356="","",'Lot Balance'!$P355)</f>
        <v/>
      </c>
      <c r="I356" s="26" t="str">
        <f>IF($A356="","",COUNTIFS(tblIssues[Lot Number],$B356))</f>
        <v/>
      </c>
      <c r="J356" s="31" t="str">
        <f>IF($A356="","",IF('Lot Balance'!$O355&lt;=0,"Depleted",'Lot Balance'!$Q355))</f>
        <v/>
      </c>
    </row>
    <row r="357" spans="1:10" x14ac:dyDescent="0.35">
      <c r="A357" s="18" t="str">
        <f>IF('Lot Balance'!$A356="","",'Lot Balance'!$A356)</f>
        <v/>
      </c>
      <c r="B357" s="18" t="str">
        <f>IF($A357="","",'Lot Balance'!$B356)</f>
        <v/>
      </c>
      <c r="C357" s="18" t="str">
        <f>IF($A357="","",'Lot Balance'!$C356)</f>
        <v/>
      </c>
      <c r="D357" s="25" t="str">
        <f>IF($A357="","",'Lot Balance'!$G356)</f>
        <v/>
      </c>
      <c r="E357" s="25" t="str">
        <f>IF($A357="","",'Lot Balance'!$H356)</f>
        <v/>
      </c>
      <c r="F357" s="23" t="str">
        <f>IF($A357="","",'Lot Balance'!$I356)</f>
        <v/>
      </c>
      <c r="G357" s="23" t="str">
        <f>IF($A357="","",'Lot Balance'!$O356)</f>
        <v/>
      </c>
      <c r="H357" s="33" t="str">
        <f>IF($A357="","",'Lot Balance'!$P356)</f>
        <v/>
      </c>
      <c r="I357" s="26" t="str">
        <f>IF($A357="","",COUNTIFS(tblIssues[Lot Number],$B357))</f>
        <v/>
      </c>
      <c r="J357" s="31" t="str">
        <f>IF($A357="","",IF('Lot Balance'!$O356&lt;=0,"Depleted",'Lot Balance'!$Q356))</f>
        <v/>
      </c>
    </row>
    <row r="358" spans="1:10" x14ac:dyDescent="0.35">
      <c r="A358" s="18" t="str">
        <f>IF('Lot Balance'!$A357="","",'Lot Balance'!$A357)</f>
        <v/>
      </c>
      <c r="B358" s="18" t="str">
        <f>IF($A358="","",'Lot Balance'!$B357)</f>
        <v/>
      </c>
      <c r="C358" s="18" t="str">
        <f>IF($A358="","",'Lot Balance'!$C357)</f>
        <v/>
      </c>
      <c r="D358" s="25" t="str">
        <f>IF($A358="","",'Lot Balance'!$G357)</f>
        <v/>
      </c>
      <c r="E358" s="25" t="str">
        <f>IF($A358="","",'Lot Balance'!$H357)</f>
        <v/>
      </c>
      <c r="F358" s="23" t="str">
        <f>IF($A358="","",'Lot Balance'!$I357)</f>
        <v/>
      </c>
      <c r="G358" s="23" t="str">
        <f>IF($A358="","",'Lot Balance'!$O357)</f>
        <v/>
      </c>
      <c r="H358" s="33" t="str">
        <f>IF($A358="","",'Lot Balance'!$P357)</f>
        <v/>
      </c>
      <c r="I358" s="26" t="str">
        <f>IF($A358="","",COUNTIFS(tblIssues[Lot Number],$B358))</f>
        <v/>
      </c>
      <c r="J358" s="31" t="str">
        <f>IF($A358="","",IF('Lot Balance'!$O357&lt;=0,"Depleted",'Lot Balance'!$Q357))</f>
        <v/>
      </c>
    </row>
    <row r="359" spans="1:10" x14ac:dyDescent="0.35">
      <c r="A359" s="18" t="str">
        <f>IF('Lot Balance'!$A358="","",'Lot Balance'!$A358)</f>
        <v/>
      </c>
      <c r="B359" s="18" t="str">
        <f>IF($A359="","",'Lot Balance'!$B358)</f>
        <v/>
      </c>
      <c r="C359" s="18" t="str">
        <f>IF($A359="","",'Lot Balance'!$C358)</f>
        <v/>
      </c>
      <c r="D359" s="25" t="str">
        <f>IF($A359="","",'Lot Balance'!$G358)</f>
        <v/>
      </c>
      <c r="E359" s="25" t="str">
        <f>IF($A359="","",'Lot Balance'!$H358)</f>
        <v/>
      </c>
      <c r="F359" s="23" t="str">
        <f>IF($A359="","",'Lot Balance'!$I358)</f>
        <v/>
      </c>
      <c r="G359" s="23" t="str">
        <f>IF($A359="","",'Lot Balance'!$O358)</f>
        <v/>
      </c>
      <c r="H359" s="33" t="str">
        <f>IF($A359="","",'Lot Balance'!$P358)</f>
        <v/>
      </c>
      <c r="I359" s="26" t="str">
        <f>IF($A359="","",COUNTIFS(tblIssues[Lot Number],$B359))</f>
        <v/>
      </c>
      <c r="J359" s="31" t="str">
        <f>IF($A359="","",IF('Lot Balance'!$O358&lt;=0,"Depleted",'Lot Balance'!$Q358))</f>
        <v/>
      </c>
    </row>
    <row r="360" spans="1:10" x14ac:dyDescent="0.35">
      <c r="A360" s="18" t="str">
        <f>IF('Lot Balance'!$A359="","",'Lot Balance'!$A359)</f>
        <v/>
      </c>
      <c r="B360" s="18" t="str">
        <f>IF($A360="","",'Lot Balance'!$B359)</f>
        <v/>
      </c>
      <c r="C360" s="18" t="str">
        <f>IF($A360="","",'Lot Balance'!$C359)</f>
        <v/>
      </c>
      <c r="D360" s="25" t="str">
        <f>IF($A360="","",'Lot Balance'!$G359)</f>
        <v/>
      </c>
      <c r="E360" s="25" t="str">
        <f>IF($A360="","",'Lot Balance'!$H359)</f>
        <v/>
      </c>
      <c r="F360" s="23" t="str">
        <f>IF($A360="","",'Lot Balance'!$I359)</f>
        <v/>
      </c>
      <c r="G360" s="23" t="str">
        <f>IF($A360="","",'Lot Balance'!$O359)</f>
        <v/>
      </c>
      <c r="H360" s="33" t="str">
        <f>IF($A360="","",'Lot Balance'!$P359)</f>
        <v/>
      </c>
      <c r="I360" s="26" t="str">
        <f>IF($A360="","",COUNTIFS(tblIssues[Lot Number],$B360))</f>
        <v/>
      </c>
      <c r="J360" s="31" t="str">
        <f>IF($A360="","",IF('Lot Balance'!$O359&lt;=0,"Depleted",'Lot Balance'!$Q359))</f>
        <v/>
      </c>
    </row>
    <row r="361" spans="1:10" x14ac:dyDescent="0.35">
      <c r="A361" s="18" t="str">
        <f>IF('Lot Balance'!$A360="","",'Lot Balance'!$A360)</f>
        <v/>
      </c>
      <c r="B361" s="18" t="str">
        <f>IF($A361="","",'Lot Balance'!$B360)</f>
        <v/>
      </c>
      <c r="C361" s="18" t="str">
        <f>IF($A361="","",'Lot Balance'!$C360)</f>
        <v/>
      </c>
      <c r="D361" s="25" t="str">
        <f>IF($A361="","",'Lot Balance'!$G360)</f>
        <v/>
      </c>
      <c r="E361" s="25" t="str">
        <f>IF($A361="","",'Lot Balance'!$H360)</f>
        <v/>
      </c>
      <c r="F361" s="23" t="str">
        <f>IF($A361="","",'Lot Balance'!$I360)</f>
        <v/>
      </c>
      <c r="G361" s="23" t="str">
        <f>IF($A361="","",'Lot Balance'!$O360)</f>
        <v/>
      </c>
      <c r="H361" s="33" t="str">
        <f>IF($A361="","",'Lot Balance'!$P360)</f>
        <v/>
      </c>
      <c r="I361" s="26" t="str">
        <f>IF($A361="","",COUNTIFS(tblIssues[Lot Number],$B361))</f>
        <v/>
      </c>
      <c r="J361" s="31" t="str">
        <f>IF($A361="","",IF('Lot Balance'!$O360&lt;=0,"Depleted",'Lot Balance'!$Q360))</f>
        <v/>
      </c>
    </row>
    <row r="362" spans="1:10" x14ac:dyDescent="0.35">
      <c r="A362" s="18" t="str">
        <f>IF('Lot Balance'!$A361="","",'Lot Balance'!$A361)</f>
        <v/>
      </c>
      <c r="B362" s="18" t="str">
        <f>IF($A362="","",'Lot Balance'!$B361)</f>
        <v/>
      </c>
      <c r="C362" s="18" t="str">
        <f>IF($A362="","",'Lot Balance'!$C361)</f>
        <v/>
      </c>
      <c r="D362" s="25" t="str">
        <f>IF($A362="","",'Lot Balance'!$G361)</f>
        <v/>
      </c>
      <c r="E362" s="25" t="str">
        <f>IF($A362="","",'Lot Balance'!$H361)</f>
        <v/>
      </c>
      <c r="F362" s="23" t="str">
        <f>IF($A362="","",'Lot Balance'!$I361)</f>
        <v/>
      </c>
      <c r="G362" s="23" t="str">
        <f>IF($A362="","",'Lot Balance'!$O361)</f>
        <v/>
      </c>
      <c r="H362" s="33" t="str">
        <f>IF($A362="","",'Lot Balance'!$P361)</f>
        <v/>
      </c>
      <c r="I362" s="26" t="str">
        <f>IF($A362="","",COUNTIFS(tblIssues[Lot Number],$B362))</f>
        <v/>
      </c>
      <c r="J362" s="31" t="str">
        <f>IF($A362="","",IF('Lot Balance'!$O361&lt;=0,"Depleted",'Lot Balance'!$Q361))</f>
        <v/>
      </c>
    </row>
    <row r="363" spans="1:10" x14ac:dyDescent="0.35">
      <c r="A363" s="18" t="str">
        <f>IF('Lot Balance'!$A362="","",'Lot Balance'!$A362)</f>
        <v/>
      </c>
      <c r="B363" s="18" t="str">
        <f>IF($A363="","",'Lot Balance'!$B362)</f>
        <v/>
      </c>
      <c r="C363" s="18" t="str">
        <f>IF($A363="","",'Lot Balance'!$C362)</f>
        <v/>
      </c>
      <c r="D363" s="25" t="str">
        <f>IF($A363="","",'Lot Balance'!$G362)</f>
        <v/>
      </c>
      <c r="E363" s="25" t="str">
        <f>IF($A363="","",'Lot Balance'!$H362)</f>
        <v/>
      </c>
      <c r="F363" s="23" t="str">
        <f>IF($A363="","",'Lot Balance'!$I362)</f>
        <v/>
      </c>
      <c r="G363" s="23" t="str">
        <f>IF($A363="","",'Lot Balance'!$O362)</f>
        <v/>
      </c>
      <c r="H363" s="33" t="str">
        <f>IF($A363="","",'Lot Balance'!$P362)</f>
        <v/>
      </c>
      <c r="I363" s="26" t="str">
        <f>IF($A363="","",COUNTIFS(tblIssues[Lot Number],$B363))</f>
        <v/>
      </c>
      <c r="J363" s="31" t="str">
        <f>IF($A363="","",IF('Lot Balance'!$O362&lt;=0,"Depleted",'Lot Balance'!$Q362))</f>
        <v/>
      </c>
    </row>
    <row r="364" spans="1:10" x14ac:dyDescent="0.35">
      <c r="A364" s="18" t="str">
        <f>IF('Lot Balance'!$A363="","",'Lot Balance'!$A363)</f>
        <v/>
      </c>
      <c r="B364" s="18" t="str">
        <f>IF($A364="","",'Lot Balance'!$B363)</f>
        <v/>
      </c>
      <c r="C364" s="18" t="str">
        <f>IF($A364="","",'Lot Balance'!$C363)</f>
        <v/>
      </c>
      <c r="D364" s="25" t="str">
        <f>IF($A364="","",'Lot Balance'!$G363)</f>
        <v/>
      </c>
      <c r="E364" s="25" t="str">
        <f>IF($A364="","",'Lot Balance'!$H363)</f>
        <v/>
      </c>
      <c r="F364" s="23" t="str">
        <f>IF($A364="","",'Lot Balance'!$I363)</f>
        <v/>
      </c>
      <c r="G364" s="23" t="str">
        <f>IF($A364="","",'Lot Balance'!$O363)</f>
        <v/>
      </c>
      <c r="H364" s="33" t="str">
        <f>IF($A364="","",'Lot Balance'!$P363)</f>
        <v/>
      </c>
      <c r="I364" s="26" t="str">
        <f>IF($A364="","",COUNTIFS(tblIssues[Lot Number],$B364))</f>
        <v/>
      </c>
      <c r="J364" s="31" t="str">
        <f>IF($A364="","",IF('Lot Balance'!$O363&lt;=0,"Depleted",'Lot Balance'!$Q363))</f>
        <v/>
      </c>
    </row>
    <row r="365" spans="1:10" x14ac:dyDescent="0.35">
      <c r="A365" s="18" t="str">
        <f>IF('Lot Balance'!$A364="","",'Lot Balance'!$A364)</f>
        <v/>
      </c>
      <c r="B365" s="18" t="str">
        <f>IF($A365="","",'Lot Balance'!$B364)</f>
        <v/>
      </c>
      <c r="C365" s="18" t="str">
        <f>IF($A365="","",'Lot Balance'!$C364)</f>
        <v/>
      </c>
      <c r="D365" s="25" t="str">
        <f>IF($A365="","",'Lot Balance'!$G364)</f>
        <v/>
      </c>
      <c r="E365" s="25" t="str">
        <f>IF($A365="","",'Lot Balance'!$H364)</f>
        <v/>
      </c>
      <c r="F365" s="23" t="str">
        <f>IF($A365="","",'Lot Balance'!$I364)</f>
        <v/>
      </c>
      <c r="G365" s="23" t="str">
        <f>IF($A365="","",'Lot Balance'!$O364)</f>
        <v/>
      </c>
      <c r="H365" s="33" t="str">
        <f>IF($A365="","",'Lot Balance'!$P364)</f>
        <v/>
      </c>
      <c r="I365" s="26" t="str">
        <f>IF($A365="","",COUNTIFS(tblIssues[Lot Number],$B365))</f>
        <v/>
      </c>
      <c r="J365" s="31" t="str">
        <f>IF($A365="","",IF('Lot Balance'!$O364&lt;=0,"Depleted",'Lot Balance'!$Q364))</f>
        <v/>
      </c>
    </row>
    <row r="366" spans="1:10" x14ac:dyDescent="0.35">
      <c r="A366" s="18" t="str">
        <f>IF('Lot Balance'!$A365="","",'Lot Balance'!$A365)</f>
        <v/>
      </c>
      <c r="B366" s="18" t="str">
        <f>IF($A366="","",'Lot Balance'!$B365)</f>
        <v/>
      </c>
      <c r="C366" s="18" t="str">
        <f>IF($A366="","",'Lot Balance'!$C365)</f>
        <v/>
      </c>
      <c r="D366" s="25" t="str">
        <f>IF($A366="","",'Lot Balance'!$G365)</f>
        <v/>
      </c>
      <c r="E366" s="25" t="str">
        <f>IF($A366="","",'Lot Balance'!$H365)</f>
        <v/>
      </c>
      <c r="F366" s="23" t="str">
        <f>IF($A366="","",'Lot Balance'!$I365)</f>
        <v/>
      </c>
      <c r="G366" s="23" t="str">
        <f>IF($A366="","",'Lot Balance'!$O365)</f>
        <v/>
      </c>
      <c r="H366" s="33" t="str">
        <f>IF($A366="","",'Lot Balance'!$P365)</f>
        <v/>
      </c>
      <c r="I366" s="26" t="str">
        <f>IF($A366="","",COUNTIFS(tblIssues[Lot Number],$B366))</f>
        <v/>
      </c>
      <c r="J366" s="31" t="str">
        <f>IF($A366="","",IF('Lot Balance'!$O365&lt;=0,"Depleted",'Lot Balance'!$Q365))</f>
        <v/>
      </c>
    </row>
    <row r="367" spans="1:10" x14ac:dyDescent="0.35">
      <c r="A367" s="18" t="str">
        <f>IF('Lot Balance'!$A366="","",'Lot Balance'!$A366)</f>
        <v/>
      </c>
      <c r="B367" s="18" t="str">
        <f>IF($A367="","",'Lot Balance'!$B366)</f>
        <v/>
      </c>
      <c r="C367" s="18" t="str">
        <f>IF($A367="","",'Lot Balance'!$C366)</f>
        <v/>
      </c>
      <c r="D367" s="25" t="str">
        <f>IF($A367="","",'Lot Balance'!$G366)</f>
        <v/>
      </c>
      <c r="E367" s="25" t="str">
        <f>IF($A367="","",'Lot Balance'!$H366)</f>
        <v/>
      </c>
      <c r="F367" s="23" t="str">
        <f>IF($A367="","",'Lot Balance'!$I366)</f>
        <v/>
      </c>
      <c r="G367" s="23" t="str">
        <f>IF($A367="","",'Lot Balance'!$O366)</f>
        <v/>
      </c>
      <c r="H367" s="33" t="str">
        <f>IF($A367="","",'Lot Balance'!$P366)</f>
        <v/>
      </c>
      <c r="I367" s="26" t="str">
        <f>IF($A367="","",COUNTIFS(tblIssues[Lot Number],$B367))</f>
        <v/>
      </c>
      <c r="J367" s="31" t="str">
        <f>IF($A367="","",IF('Lot Balance'!$O366&lt;=0,"Depleted",'Lot Balance'!$Q366))</f>
        <v/>
      </c>
    </row>
    <row r="368" spans="1:10" x14ac:dyDescent="0.35">
      <c r="A368" s="18" t="str">
        <f>IF('Lot Balance'!$A367="","",'Lot Balance'!$A367)</f>
        <v/>
      </c>
      <c r="B368" s="18" t="str">
        <f>IF($A368="","",'Lot Balance'!$B367)</f>
        <v/>
      </c>
      <c r="C368" s="18" t="str">
        <f>IF($A368="","",'Lot Balance'!$C367)</f>
        <v/>
      </c>
      <c r="D368" s="25" t="str">
        <f>IF($A368="","",'Lot Balance'!$G367)</f>
        <v/>
      </c>
      <c r="E368" s="25" t="str">
        <f>IF($A368="","",'Lot Balance'!$H367)</f>
        <v/>
      </c>
      <c r="F368" s="23" t="str">
        <f>IF($A368="","",'Lot Balance'!$I367)</f>
        <v/>
      </c>
      <c r="G368" s="23" t="str">
        <f>IF($A368="","",'Lot Balance'!$O367)</f>
        <v/>
      </c>
      <c r="H368" s="33" t="str">
        <f>IF($A368="","",'Lot Balance'!$P367)</f>
        <v/>
      </c>
      <c r="I368" s="26" t="str">
        <f>IF($A368="","",COUNTIFS(tblIssues[Lot Number],$B368))</f>
        <v/>
      </c>
      <c r="J368" s="31" t="str">
        <f>IF($A368="","",IF('Lot Balance'!$O367&lt;=0,"Depleted",'Lot Balance'!$Q367))</f>
        <v/>
      </c>
    </row>
    <row r="369" spans="1:10" x14ac:dyDescent="0.35">
      <c r="A369" s="18" t="str">
        <f>IF('Lot Balance'!$A368="","",'Lot Balance'!$A368)</f>
        <v/>
      </c>
      <c r="B369" s="18" t="str">
        <f>IF($A369="","",'Lot Balance'!$B368)</f>
        <v/>
      </c>
      <c r="C369" s="18" t="str">
        <f>IF($A369="","",'Lot Balance'!$C368)</f>
        <v/>
      </c>
      <c r="D369" s="25" t="str">
        <f>IF($A369="","",'Lot Balance'!$G368)</f>
        <v/>
      </c>
      <c r="E369" s="25" t="str">
        <f>IF($A369="","",'Lot Balance'!$H368)</f>
        <v/>
      </c>
      <c r="F369" s="23" t="str">
        <f>IF($A369="","",'Lot Balance'!$I368)</f>
        <v/>
      </c>
      <c r="G369" s="23" t="str">
        <f>IF($A369="","",'Lot Balance'!$O368)</f>
        <v/>
      </c>
      <c r="H369" s="33" t="str">
        <f>IF($A369="","",'Lot Balance'!$P368)</f>
        <v/>
      </c>
      <c r="I369" s="26" t="str">
        <f>IF($A369="","",COUNTIFS(tblIssues[Lot Number],$B369))</f>
        <v/>
      </c>
      <c r="J369" s="31" t="str">
        <f>IF($A369="","",IF('Lot Balance'!$O368&lt;=0,"Depleted",'Lot Balance'!$Q368))</f>
        <v/>
      </c>
    </row>
    <row r="370" spans="1:10" x14ac:dyDescent="0.35">
      <c r="A370" s="18" t="str">
        <f>IF('Lot Balance'!$A369="","",'Lot Balance'!$A369)</f>
        <v/>
      </c>
      <c r="B370" s="18" t="str">
        <f>IF($A370="","",'Lot Balance'!$B369)</f>
        <v/>
      </c>
      <c r="C370" s="18" t="str">
        <f>IF($A370="","",'Lot Balance'!$C369)</f>
        <v/>
      </c>
      <c r="D370" s="25" t="str">
        <f>IF($A370="","",'Lot Balance'!$G369)</f>
        <v/>
      </c>
      <c r="E370" s="25" t="str">
        <f>IF($A370="","",'Lot Balance'!$H369)</f>
        <v/>
      </c>
      <c r="F370" s="23" t="str">
        <f>IF($A370="","",'Lot Balance'!$I369)</f>
        <v/>
      </c>
      <c r="G370" s="23" t="str">
        <f>IF($A370="","",'Lot Balance'!$O369)</f>
        <v/>
      </c>
      <c r="H370" s="33" t="str">
        <f>IF($A370="","",'Lot Balance'!$P369)</f>
        <v/>
      </c>
      <c r="I370" s="26" t="str">
        <f>IF($A370="","",COUNTIFS(tblIssues[Lot Number],$B370))</f>
        <v/>
      </c>
      <c r="J370" s="31" t="str">
        <f>IF($A370="","",IF('Lot Balance'!$O369&lt;=0,"Depleted",'Lot Balance'!$Q369))</f>
        <v/>
      </c>
    </row>
    <row r="371" spans="1:10" x14ac:dyDescent="0.35">
      <c r="A371" s="18" t="str">
        <f>IF('Lot Balance'!$A370="","",'Lot Balance'!$A370)</f>
        <v/>
      </c>
      <c r="B371" s="18" t="str">
        <f>IF($A371="","",'Lot Balance'!$B370)</f>
        <v/>
      </c>
      <c r="C371" s="18" t="str">
        <f>IF($A371="","",'Lot Balance'!$C370)</f>
        <v/>
      </c>
      <c r="D371" s="25" t="str">
        <f>IF($A371="","",'Lot Balance'!$G370)</f>
        <v/>
      </c>
      <c r="E371" s="25" t="str">
        <f>IF($A371="","",'Lot Balance'!$H370)</f>
        <v/>
      </c>
      <c r="F371" s="23" t="str">
        <f>IF($A371="","",'Lot Balance'!$I370)</f>
        <v/>
      </c>
      <c r="G371" s="23" t="str">
        <f>IF($A371="","",'Lot Balance'!$O370)</f>
        <v/>
      </c>
      <c r="H371" s="33" t="str">
        <f>IF($A371="","",'Lot Balance'!$P370)</f>
        <v/>
      </c>
      <c r="I371" s="26" t="str">
        <f>IF($A371="","",COUNTIFS(tblIssues[Lot Number],$B371))</f>
        <v/>
      </c>
      <c r="J371" s="31" t="str">
        <f>IF($A371="","",IF('Lot Balance'!$O370&lt;=0,"Depleted",'Lot Balance'!$Q370))</f>
        <v/>
      </c>
    </row>
    <row r="372" spans="1:10" x14ac:dyDescent="0.35">
      <c r="A372" s="18" t="str">
        <f>IF('Lot Balance'!$A371="","",'Lot Balance'!$A371)</f>
        <v/>
      </c>
      <c r="B372" s="18" t="str">
        <f>IF($A372="","",'Lot Balance'!$B371)</f>
        <v/>
      </c>
      <c r="C372" s="18" t="str">
        <f>IF($A372="","",'Lot Balance'!$C371)</f>
        <v/>
      </c>
      <c r="D372" s="25" t="str">
        <f>IF($A372="","",'Lot Balance'!$G371)</f>
        <v/>
      </c>
      <c r="E372" s="25" t="str">
        <f>IF($A372="","",'Lot Balance'!$H371)</f>
        <v/>
      </c>
      <c r="F372" s="23" t="str">
        <f>IF($A372="","",'Lot Balance'!$I371)</f>
        <v/>
      </c>
      <c r="G372" s="23" t="str">
        <f>IF($A372="","",'Lot Balance'!$O371)</f>
        <v/>
      </c>
      <c r="H372" s="33" t="str">
        <f>IF($A372="","",'Lot Balance'!$P371)</f>
        <v/>
      </c>
      <c r="I372" s="26" t="str">
        <f>IF($A372="","",COUNTIFS(tblIssues[Lot Number],$B372))</f>
        <v/>
      </c>
      <c r="J372" s="31" t="str">
        <f>IF($A372="","",IF('Lot Balance'!$O371&lt;=0,"Depleted",'Lot Balance'!$Q371))</f>
        <v/>
      </c>
    </row>
    <row r="373" spans="1:10" x14ac:dyDescent="0.35">
      <c r="A373" s="18" t="str">
        <f>IF('Lot Balance'!$A372="","",'Lot Balance'!$A372)</f>
        <v/>
      </c>
      <c r="B373" s="18" t="str">
        <f>IF($A373="","",'Lot Balance'!$B372)</f>
        <v/>
      </c>
      <c r="C373" s="18" t="str">
        <f>IF($A373="","",'Lot Balance'!$C372)</f>
        <v/>
      </c>
      <c r="D373" s="25" t="str">
        <f>IF($A373="","",'Lot Balance'!$G372)</f>
        <v/>
      </c>
      <c r="E373" s="25" t="str">
        <f>IF($A373="","",'Lot Balance'!$H372)</f>
        <v/>
      </c>
      <c r="F373" s="23" t="str">
        <f>IF($A373="","",'Lot Balance'!$I372)</f>
        <v/>
      </c>
      <c r="G373" s="23" t="str">
        <f>IF($A373="","",'Lot Balance'!$O372)</f>
        <v/>
      </c>
      <c r="H373" s="33" t="str">
        <f>IF($A373="","",'Lot Balance'!$P372)</f>
        <v/>
      </c>
      <c r="I373" s="26" t="str">
        <f>IF($A373="","",COUNTIFS(tblIssues[Lot Number],$B373))</f>
        <v/>
      </c>
      <c r="J373" s="31" t="str">
        <f>IF($A373="","",IF('Lot Balance'!$O372&lt;=0,"Depleted",'Lot Balance'!$Q372))</f>
        <v/>
      </c>
    </row>
    <row r="374" spans="1:10" x14ac:dyDescent="0.35">
      <c r="A374" s="18" t="str">
        <f>IF('Lot Balance'!$A373="","",'Lot Balance'!$A373)</f>
        <v/>
      </c>
      <c r="B374" s="18" t="str">
        <f>IF($A374="","",'Lot Balance'!$B373)</f>
        <v/>
      </c>
      <c r="C374" s="18" t="str">
        <f>IF($A374="","",'Lot Balance'!$C373)</f>
        <v/>
      </c>
      <c r="D374" s="25" t="str">
        <f>IF($A374="","",'Lot Balance'!$G373)</f>
        <v/>
      </c>
      <c r="E374" s="25" t="str">
        <f>IF($A374="","",'Lot Balance'!$H373)</f>
        <v/>
      </c>
      <c r="F374" s="23" t="str">
        <f>IF($A374="","",'Lot Balance'!$I373)</f>
        <v/>
      </c>
      <c r="G374" s="23" t="str">
        <f>IF($A374="","",'Lot Balance'!$O373)</f>
        <v/>
      </c>
      <c r="H374" s="33" t="str">
        <f>IF($A374="","",'Lot Balance'!$P373)</f>
        <v/>
      </c>
      <c r="I374" s="26" t="str">
        <f>IF($A374="","",COUNTIFS(tblIssues[Lot Number],$B374))</f>
        <v/>
      </c>
      <c r="J374" s="31" t="str">
        <f>IF($A374="","",IF('Lot Balance'!$O373&lt;=0,"Depleted",'Lot Balance'!$Q373))</f>
        <v/>
      </c>
    </row>
    <row r="375" spans="1:10" x14ac:dyDescent="0.35">
      <c r="A375" s="18" t="str">
        <f>IF('Lot Balance'!$A374="","",'Lot Balance'!$A374)</f>
        <v/>
      </c>
      <c r="B375" s="18" t="str">
        <f>IF($A375="","",'Lot Balance'!$B374)</f>
        <v/>
      </c>
      <c r="C375" s="18" t="str">
        <f>IF($A375="","",'Lot Balance'!$C374)</f>
        <v/>
      </c>
      <c r="D375" s="25" t="str">
        <f>IF($A375="","",'Lot Balance'!$G374)</f>
        <v/>
      </c>
      <c r="E375" s="25" t="str">
        <f>IF($A375="","",'Lot Balance'!$H374)</f>
        <v/>
      </c>
      <c r="F375" s="23" t="str">
        <f>IF($A375="","",'Lot Balance'!$I374)</f>
        <v/>
      </c>
      <c r="G375" s="23" t="str">
        <f>IF($A375="","",'Lot Balance'!$O374)</f>
        <v/>
      </c>
      <c r="H375" s="33" t="str">
        <f>IF($A375="","",'Lot Balance'!$P374)</f>
        <v/>
      </c>
      <c r="I375" s="26" t="str">
        <f>IF($A375="","",COUNTIFS(tblIssues[Lot Number],$B375))</f>
        <v/>
      </c>
      <c r="J375" s="31" t="str">
        <f>IF($A375="","",IF('Lot Balance'!$O374&lt;=0,"Depleted",'Lot Balance'!$Q374))</f>
        <v/>
      </c>
    </row>
    <row r="376" spans="1:10" x14ac:dyDescent="0.35">
      <c r="A376" s="18" t="str">
        <f>IF('Lot Balance'!$A375="","",'Lot Balance'!$A375)</f>
        <v/>
      </c>
      <c r="B376" s="18" t="str">
        <f>IF($A376="","",'Lot Balance'!$B375)</f>
        <v/>
      </c>
      <c r="C376" s="18" t="str">
        <f>IF($A376="","",'Lot Balance'!$C375)</f>
        <v/>
      </c>
      <c r="D376" s="25" t="str">
        <f>IF($A376="","",'Lot Balance'!$G375)</f>
        <v/>
      </c>
      <c r="E376" s="25" t="str">
        <f>IF($A376="","",'Lot Balance'!$H375)</f>
        <v/>
      </c>
      <c r="F376" s="23" t="str">
        <f>IF($A376="","",'Lot Balance'!$I375)</f>
        <v/>
      </c>
      <c r="G376" s="23" t="str">
        <f>IF($A376="","",'Lot Balance'!$O375)</f>
        <v/>
      </c>
      <c r="H376" s="33" t="str">
        <f>IF($A376="","",'Lot Balance'!$P375)</f>
        <v/>
      </c>
      <c r="I376" s="26" t="str">
        <f>IF($A376="","",COUNTIFS(tblIssues[Lot Number],$B376))</f>
        <v/>
      </c>
      <c r="J376" s="31" t="str">
        <f>IF($A376="","",IF('Lot Balance'!$O375&lt;=0,"Depleted",'Lot Balance'!$Q375))</f>
        <v/>
      </c>
    </row>
    <row r="377" spans="1:10" x14ac:dyDescent="0.35">
      <c r="A377" s="18" t="str">
        <f>IF('Lot Balance'!$A376="","",'Lot Balance'!$A376)</f>
        <v/>
      </c>
      <c r="B377" s="18" t="str">
        <f>IF($A377="","",'Lot Balance'!$B376)</f>
        <v/>
      </c>
      <c r="C377" s="18" t="str">
        <f>IF($A377="","",'Lot Balance'!$C376)</f>
        <v/>
      </c>
      <c r="D377" s="25" t="str">
        <f>IF($A377="","",'Lot Balance'!$G376)</f>
        <v/>
      </c>
      <c r="E377" s="25" t="str">
        <f>IF($A377="","",'Lot Balance'!$H376)</f>
        <v/>
      </c>
      <c r="F377" s="23" t="str">
        <f>IF($A377="","",'Lot Balance'!$I376)</f>
        <v/>
      </c>
      <c r="G377" s="23" t="str">
        <f>IF($A377="","",'Lot Balance'!$O376)</f>
        <v/>
      </c>
      <c r="H377" s="33" t="str">
        <f>IF($A377="","",'Lot Balance'!$P376)</f>
        <v/>
      </c>
      <c r="I377" s="26" t="str">
        <f>IF($A377="","",COUNTIFS(tblIssues[Lot Number],$B377))</f>
        <v/>
      </c>
      <c r="J377" s="31" t="str">
        <f>IF($A377="","",IF('Lot Balance'!$O376&lt;=0,"Depleted",'Lot Balance'!$Q376))</f>
        <v/>
      </c>
    </row>
    <row r="378" spans="1:10" x14ac:dyDescent="0.35">
      <c r="A378" s="18" t="str">
        <f>IF('Lot Balance'!$A377="","",'Lot Balance'!$A377)</f>
        <v/>
      </c>
      <c r="B378" s="18" t="str">
        <f>IF($A378="","",'Lot Balance'!$B377)</f>
        <v/>
      </c>
      <c r="C378" s="18" t="str">
        <f>IF($A378="","",'Lot Balance'!$C377)</f>
        <v/>
      </c>
      <c r="D378" s="25" t="str">
        <f>IF($A378="","",'Lot Balance'!$G377)</f>
        <v/>
      </c>
      <c r="E378" s="25" t="str">
        <f>IF($A378="","",'Lot Balance'!$H377)</f>
        <v/>
      </c>
      <c r="F378" s="23" t="str">
        <f>IF($A378="","",'Lot Balance'!$I377)</f>
        <v/>
      </c>
      <c r="G378" s="23" t="str">
        <f>IF($A378="","",'Lot Balance'!$O377)</f>
        <v/>
      </c>
      <c r="H378" s="33" t="str">
        <f>IF($A378="","",'Lot Balance'!$P377)</f>
        <v/>
      </c>
      <c r="I378" s="26" t="str">
        <f>IF($A378="","",COUNTIFS(tblIssues[Lot Number],$B378))</f>
        <v/>
      </c>
      <c r="J378" s="31" t="str">
        <f>IF($A378="","",IF('Lot Balance'!$O377&lt;=0,"Depleted",'Lot Balance'!$Q377))</f>
        <v/>
      </c>
    </row>
    <row r="379" spans="1:10" x14ac:dyDescent="0.35">
      <c r="A379" s="18" t="str">
        <f>IF('Lot Balance'!$A378="","",'Lot Balance'!$A378)</f>
        <v/>
      </c>
      <c r="B379" s="18" t="str">
        <f>IF($A379="","",'Lot Balance'!$B378)</f>
        <v/>
      </c>
      <c r="C379" s="18" t="str">
        <f>IF($A379="","",'Lot Balance'!$C378)</f>
        <v/>
      </c>
      <c r="D379" s="25" t="str">
        <f>IF($A379="","",'Lot Balance'!$G378)</f>
        <v/>
      </c>
      <c r="E379" s="25" t="str">
        <f>IF($A379="","",'Lot Balance'!$H378)</f>
        <v/>
      </c>
      <c r="F379" s="23" t="str">
        <f>IF($A379="","",'Lot Balance'!$I378)</f>
        <v/>
      </c>
      <c r="G379" s="23" t="str">
        <f>IF($A379="","",'Lot Balance'!$O378)</f>
        <v/>
      </c>
      <c r="H379" s="33" t="str">
        <f>IF($A379="","",'Lot Balance'!$P378)</f>
        <v/>
      </c>
      <c r="I379" s="26" t="str">
        <f>IF($A379="","",COUNTIFS(tblIssues[Lot Number],$B379))</f>
        <v/>
      </c>
      <c r="J379" s="31" t="str">
        <f>IF($A379="","",IF('Lot Balance'!$O378&lt;=0,"Depleted",'Lot Balance'!$Q378))</f>
        <v/>
      </c>
    </row>
    <row r="380" spans="1:10" x14ac:dyDescent="0.35">
      <c r="A380" s="18" t="str">
        <f>IF('Lot Balance'!$A379="","",'Lot Balance'!$A379)</f>
        <v/>
      </c>
      <c r="B380" s="18" t="str">
        <f>IF($A380="","",'Lot Balance'!$B379)</f>
        <v/>
      </c>
      <c r="C380" s="18" t="str">
        <f>IF($A380="","",'Lot Balance'!$C379)</f>
        <v/>
      </c>
      <c r="D380" s="25" t="str">
        <f>IF($A380="","",'Lot Balance'!$G379)</f>
        <v/>
      </c>
      <c r="E380" s="25" t="str">
        <f>IF($A380="","",'Lot Balance'!$H379)</f>
        <v/>
      </c>
      <c r="F380" s="23" t="str">
        <f>IF($A380="","",'Lot Balance'!$I379)</f>
        <v/>
      </c>
      <c r="G380" s="23" t="str">
        <f>IF($A380="","",'Lot Balance'!$O379)</f>
        <v/>
      </c>
      <c r="H380" s="33" t="str">
        <f>IF($A380="","",'Lot Balance'!$P379)</f>
        <v/>
      </c>
      <c r="I380" s="26" t="str">
        <f>IF($A380="","",COUNTIFS(tblIssues[Lot Number],$B380))</f>
        <v/>
      </c>
      <c r="J380" s="31" t="str">
        <f>IF($A380="","",IF('Lot Balance'!$O379&lt;=0,"Depleted",'Lot Balance'!$Q379))</f>
        <v/>
      </c>
    </row>
    <row r="381" spans="1:10" x14ac:dyDescent="0.35">
      <c r="A381" s="18" t="str">
        <f>IF('Lot Balance'!$A380="","",'Lot Balance'!$A380)</f>
        <v/>
      </c>
      <c r="B381" s="18" t="str">
        <f>IF($A381="","",'Lot Balance'!$B380)</f>
        <v/>
      </c>
      <c r="C381" s="18" t="str">
        <f>IF($A381="","",'Lot Balance'!$C380)</f>
        <v/>
      </c>
      <c r="D381" s="25" t="str">
        <f>IF($A381="","",'Lot Balance'!$G380)</f>
        <v/>
      </c>
      <c r="E381" s="25" t="str">
        <f>IF($A381="","",'Lot Balance'!$H380)</f>
        <v/>
      </c>
      <c r="F381" s="23" t="str">
        <f>IF($A381="","",'Lot Balance'!$I380)</f>
        <v/>
      </c>
      <c r="G381" s="23" t="str">
        <f>IF($A381="","",'Lot Balance'!$O380)</f>
        <v/>
      </c>
      <c r="H381" s="33" t="str">
        <f>IF($A381="","",'Lot Balance'!$P380)</f>
        <v/>
      </c>
      <c r="I381" s="26" t="str">
        <f>IF($A381="","",COUNTIFS(tblIssues[Lot Number],$B381))</f>
        <v/>
      </c>
      <c r="J381" s="31" t="str">
        <f>IF($A381="","",IF('Lot Balance'!$O380&lt;=0,"Depleted",'Lot Balance'!$Q380))</f>
        <v/>
      </c>
    </row>
    <row r="382" spans="1:10" x14ac:dyDescent="0.35">
      <c r="A382" s="18" t="str">
        <f>IF('Lot Balance'!$A381="","",'Lot Balance'!$A381)</f>
        <v/>
      </c>
      <c r="B382" s="18" t="str">
        <f>IF($A382="","",'Lot Balance'!$B381)</f>
        <v/>
      </c>
      <c r="C382" s="18" t="str">
        <f>IF($A382="","",'Lot Balance'!$C381)</f>
        <v/>
      </c>
      <c r="D382" s="25" t="str">
        <f>IF($A382="","",'Lot Balance'!$G381)</f>
        <v/>
      </c>
      <c r="E382" s="25" t="str">
        <f>IF($A382="","",'Lot Balance'!$H381)</f>
        <v/>
      </c>
      <c r="F382" s="23" t="str">
        <f>IF($A382="","",'Lot Balance'!$I381)</f>
        <v/>
      </c>
      <c r="G382" s="23" t="str">
        <f>IF($A382="","",'Lot Balance'!$O381)</f>
        <v/>
      </c>
      <c r="H382" s="33" t="str">
        <f>IF($A382="","",'Lot Balance'!$P381)</f>
        <v/>
      </c>
      <c r="I382" s="26" t="str">
        <f>IF($A382="","",COUNTIFS(tblIssues[Lot Number],$B382))</f>
        <v/>
      </c>
      <c r="J382" s="31" t="str">
        <f>IF($A382="","",IF('Lot Balance'!$O381&lt;=0,"Depleted",'Lot Balance'!$Q381))</f>
        <v/>
      </c>
    </row>
    <row r="383" spans="1:10" x14ac:dyDescent="0.35">
      <c r="A383" s="18" t="str">
        <f>IF('Lot Balance'!$A382="","",'Lot Balance'!$A382)</f>
        <v/>
      </c>
      <c r="B383" s="18" t="str">
        <f>IF($A383="","",'Lot Balance'!$B382)</f>
        <v/>
      </c>
      <c r="C383" s="18" t="str">
        <f>IF($A383="","",'Lot Balance'!$C382)</f>
        <v/>
      </c>
      <c r="D383" s="25" t="str">
        <f>IF($A383="","",'Lot Balance'!$G382)</f>
        <v/>
      </c>
      <c r="E383" s="25" t="str">
        <f>IF($A383="","",'Lot Balance'!$H382)</f>
        <v/>
      </c>
      <c r="F383" s="23" t="str">
        <f>IF($A383="","",'Lot Balance'!$I382)</f>
        <v/>
      </c>
      <c r="G383" s="23" t="str">
        <f>IF($A383="","",'Lot Balance'!$O382)</f>
        <v/>
      </c>
      <c r="H383" s="33" t="str">
        <f>IF($A383="","",'Lot Balance'!$P382)</f>
        <v/>
      </c>
      <c r="I383" s="26" t="str">
        <f>IF($A383="","",COUNTIFS(tblIssues[Lot Number],$B383))</f>
        <v/>
      </c>
      <c r="J383" s="31" t="str">
        <f>IF($A383="","",IF('Lot Balance'!$O382&lt;=0,"Depleted",'Lot Balance'!$Q382))</f>
        <v/>
      </c>
    </row>
    <row r="384" spans="1:10" x14ac:dyDescent="0.35">
      <c r="A384" s="18" t="str">
        <f>IF('Lot Balance'!$A383="","",'Lot Balance'!$A383)</f>
        <v/>
      </c>
      <c r="B384" s="18" t="str">
        <f>IF($A384="","",'Lot Balance'!$B383)</f>
        <v/>
      </c>
      <c r="C384" s="18" t="str">
        <f>IF($A384="","",'Lot Balance'!$C383)</f>
        <v/>
      </c>
      <c r="D384" s="25" t="str">
        <f>IF($A384="","",'Lot Balance'!$G383)</f>
        <v/>
      </c>
      <c r="E384" s="25" t="str">
        <f>IF($A384="","",'Lot Balance'!$H383)</f>
        <v/>
      </c>
      <c r="F384" s="23" t="str">
        <f>IF($A384="","",'Lot Balance'!$I383)</f>
        <v/>
      </c>
      <c r="G384" s="23" t="str">
        <f>IF($A384="","",'Lot Balance'!$O383)</f>
        <v/>
      </c>
      <c r="H384" s="33" t="str">
        <f>IF($A384="","",'Lot Balance'!$P383)</f>
        <v/>
      </c>
      <c r="I384" s="26" t="str">
        <f>IF($A384="","",COUNTIFS(tblIssues[Lot Number],$B384))</f>
        <v/>
      </c>
      <c r="J384" s="31" t="str">
        <f>IF($A384="","",IF('Lot Balance'!$O383&lt;=0,"Depleted",'Lot Balance'!$Q383))</f>
        <v/>
      </c>
    </row>
    <row r="385" spans="1:10" x14ac:dyDescent="0.35">
      <c r="A385" s="18" t="str">
        <f>IF('Lot Balance'!$A384="","",'Lot Balance'!$A384)</f>
        <v/>
      </c>
      <c r="B385" s="18" t="str">
        <f>IF($A385="","",'Lot Balance'!$B384)</f>
        <v/>
      </c>
      <c r="C385" s="18" t="str">
        <f>IF($A385="","",'Lot Balance'!$C384)</f>
        <v/>
      </c>
      <c r="D385" s="25" t="str">
        <f>IF($A385="","",'Lot Balance'!$G384)</f>
        <v/>
      </c>
      <c r="E385" s="25" t="str">
        <f>IF($A385="","",'Lot Balance'!$H384)</f>
        <v/>
      </c>
      <c r="F385" s="23" t="str">
        <f>IF($A385="","",'Lot Balance'!$I384)</f>
        <v/>
      </c>
      <c r="G385" s="23" t="str">
        <f>IF($A385="","",'Lot Balance'!$O384)</f>
        <v/>
      </c>
      <c r="H385" s="33" t="str">
        <f>IF($A385="","",'Lot Balance'!$P384)</f>
        <v/>
      </c>
      <c r="I385" s="26" t="str">
        <f>IF($A385="","",COUNTIFS(tblIssues[Lot Number],$B385))</f>
        <v/>
      </c>
      <c r="J385" s="31" t="str">
        <f>IF($A385="","",IF('Lot Balance'!$O384&lt;=0,"Depleted",'Lot Balance'!$Q384))</f>
        <v/>
      </c>
    </row>
    <row r="386" spans="1:10" x14ac:dyDescent="0.35">
      <c r="A386" s="18" t="str">
        <f>IF('Lot Balance'!$A385="","",'Lot Balance'!$A385)</f>
        <v/>
      </c>
      <c r="B386" s="18" t="str">
        <f>IF($A386="","",'Lot Balance'!$B385)</f>
        <v/>
      </c>
      <c r="C386" s="18" t="str">
        <f>IF($A386="","",'Lot Balance'!$C385)</f>
        <v/>
      </c>
      <c r="D386" s="25" t="str">
        <f>IF($A386="","",'Lot Balance'!$G385)</f>
        <v/>
      </c>
      <c r="E386" s="25" t="str">
        <f>IF($A386="","",'Lot Balance'!$H385)</f>
        <v/>
      </c>
      <c r="F386" s="23" t="str">
        <f>IF($A386="","",'Lot Balance'!$I385)</f>
        <v/>
      </c>
      <c r="G386" s="23" t="str">
        <f>IF($A386="","",'Lot Balance'!$O385)</f>
        <v/>
      </c>
      <c r="H386" s="33" t="str">
        <f>IF($A386="","",'Lot Balance'!$P385)</f>
        <v/>
      </c>
      <c r="I386" s="26" t="str">
        <f>IF($A386="","",COUNTIFS(tblIssues[Lot Number],$B386))</f>
        <v/>
      </c>
      <c r="J386" s="31" t="str">
        <f>IF($A386="","",IF('Lot Balance'!$O385&lt;=0,"Depleted",'Lot Balance'!$Q385))</f>
        <v/>
      </c>
    </row>
    <row r="387" spans="1:10" x14ac:dyDescent="0.35">
      <c r="A387" s="18" t="str">
        <f>IF('Lot Balance'!$A386="","",'Lot Balance'!$A386)</f>
        <v/>
      </c>
      <c r="B387" s="18" t="str">
        <f>IF($A387="","",'Lot Balance'!$B386)</f>
        <v/>
      </c>
      <c r="C387" s="18" t="str">
        <f>IF($A387="","",'Lot Balance'!$C386)</f>
        <v/>
      </c>
      <c r="D387" s="25" t="str">
        <f>IF($A387="","",'Lot Balance'!$G386)</f>
        <v/>
      </c>
      <c r="E387" s="25" t="str">
        <f>IF($A387="","",'Lot Balance'!$H386)</f>
        <v/>
      </c>
      <c r="F387" s="23" t="str">
        <f>IF($A387="","",'Lot Balance'!$I386)</f>
        <v/>
      </c>
      <c r="G387" s="23" t="str">
        <f>IF($A387="","",'Lot Balance'!$O386)</f>
        <v/>
      </c>
      <c r="H387" s="33" t="str">
        <f>IF($A387="","",'Lot Balance'!$P386)</f>
        <v/>
      </c>
      <c r="I387" s="26" t="str">
        <f>IF($A387="","",COUNTIFS(tblIssues[Lot Number],$B387))</f>
        <v/>
      </c>
      <c r="J387" s="31" t="str">
        <f>IF($A387="","",IF('Lot Balance'!$O386&lt;=0,"Depleted",'Lot Balance'!$Q386))</f>
        <v/>
      </c>
    </row>
    <row r="388" spans="1:10" x14ac:dyDescent="0.35">
      <c r="A388" s="18" t="str">
        <f>IF('Lot Balance'!$A387="","",'Lot Balance'!$A387)</f>
        <v/>
      </c>
      <c r="B388" s="18" t="str">
        <f>IF($A388="","",'Lot Balance'!$B387)</f>
        <v/>
      </c>
      <c r="C388" s="18" t="str">
        <f>IF($A388="","",'Lot Balance'!$C387)</f>
        <v/>
      </c>
      <c r="D388" s="25" t="str">
        <f>IF($A388="","",'Lot Balance'!$G387)</f>
        <v/>
      </c>
      <c r="E388" s="25" t="str">
        <f>IF($A388="","",'Lot Balance'!$H387)</f>
        <v/>
      </c>
      <c r="F388" s="23" t="str">
        <f>IF($A388="","",'Lot Balance'!$I387)</f>
        <v/>
      </c>
      <c r="G388" s="23" t="str">
        <f>IF($A388="","",'Lot Balance'!$O387)</f>
        <v/>
      </c>
      <c r="H388" s="33" t="str">
        <f>IF($A388="","",'Lot Balance'!$P387)</f>
        <v/>
      </c>
      <c r="I388" s="26" t="str">
        <f>IF($A388="","",COUNTIFS(tblIssues[Lot Number],$B388))</f>
        <v/>
      </c>
      <c r="J388" s="31" t="str">
        <f>IF($A388="","",IF('Lot Balance'!$O387&lt;=0,"Depleted",'Lot Balance'!$Q387))</f>
        <v/>
      </c>
    </row>
    <row r="389" spans="1:10" x14ac:dyDescent="0.35">
      <c r="A389" s="18" t="str">
        <f>IF('Lot Balance'!$A388="","",'Lot Balance'!$A388)</f>
        <v/>
      </c>
      <c r="B389" s="18" t="str">
        <f>IF($A389="","",'Lot Balance'!$B388)</f>
        <v/>
      </c>
      <c r="C389" s="18" t="str">
        <f>IF($A389="","",'Lot Balance'!$C388)</f>
        <v/>
      </c>
      <c r="D389" s="25" t="str">
        <f>IF($A389="","",'Lot Balance'!$G388)</f>
        <v/>
      </c>
      <c r="E389" s="25" t="str">
        <f>IF($A389="","",'Lot Balance'!$H388)</f>
        <v/>
      </c>
      <c r="F389" s="23" t="str">
        <f>IF($A389="","",'Lot Balance'!$I388)</f>
        <v/>
      </c>
      <c r="G389" s="23" t="str">
        <f>IF($A389="","",'Lot Balance'!$O388)</f>
        <v/>
      </c>
      <c r="H389" s="33" t="str">
        <f>IF($A389="","",'Lot Balance'!$P388)</f>
        <v/>
      </c>
      <c r="I389" s="26" t="str">
        <f>IF($A389="","",COUNTIFS(tblIssues[Lot Number],$B389))</f>
        <v/>
      </c>
      <c r="J389" s="31" t="str">
        <f>IF($A389="","",IF('Lot Balance'!$O388&lt;=0,"Depleted",'Lot Balance'!$Q388))</f>
        <v/>
      </c>
    </row>
    <row r="390" spans="1:10" x14ac:dyDescent="0.35">
      <c r="A390" s="18" t="str">
        <f>IF('Lot Balance'!$A389="","",'Lot Balance'!$A389)</f>
        <v/>
      </c>
      <c r="B390" s="18" t="str">
        <f>IF($A390="","",'Lot Balance'!$B389)</f>
        <v/>
      </c>
      <c r="C390" s="18" t="str">
        <f>IF($A390="","",'Lot Balance'!$C389)</f>
        <v/>
      </c>
      <c r="D390" s="25" t="str">
        <f>IF($A390="","",'Lot Balance'!$G389)</f>
        <v/>
      </c>
      <c r="E390" s="25" t="str">
        <f>IF($A390="","",'Lot Balance'!$H389)</f>
        <v/>
      </c>
      <c r="F390" s="23" t="str">
        <f>IF($A390="","",'Lot Balance'!$I389)</f>
        <v/>
      </c>
      <c r="G390" s="23" t="str">
        <f>IF($A390="","",'Lot Balance'!$O389)</f>
        <v/>
      </c>
      <c r="H390" s="33" t="str">
        <f>IF($A390="","",'Lot Balance'!$P389)</f>
        <v/>
      </c>
      <c r="I390" s="26" t="str">
        <f>IF($A390="","",COUNTIFS(tblIssues[Lot Number],$B390))</f>
        <v/>
      </c>
      <c r="J390" s="31" t="str">
        <f>IF($A390="","",IF('Lot Balance'!$O389&lt;=0,"Depleted",'Lot Balance'!$Q389))</f>
        <v/>
      </c>
    </row>
    <row r="391" spans="1:10" x14ac:dyDescent="0.35">
      <c r="A391" s="18" t="str">
        <f>IF('Lot Balance'!$A390="","",'Lot Balance'!$A390)</f>
        <v/>
      </c>
      <c r="B391" s="18" t="str">
        <f>IF($A391="","",'Lot Balance'!$B390)</f>
        <v/>
      </c>
      <c r="C391" s="18" t="str">
        <f>IF($A391="","",'Lot Balance'!$C390)</f>
        <v/>
      </c>
      <c r="D391" s="25" t="str">
        <f>IF($A391="","",'Lot Balance'!$G390)</f>
        <v/>
      </c>
      <c r="E391" s="25" t="str">
        <f>IF($A391="","",'Lot Balance'!$H390)</f>
        <v/>
      </c>
      <c r="F391" s="23" t="str">
        <f>IF($A391="","",'Lot Balance'!$I390)</f>
        <v/>
      </c>
      <c r="G391" s="23" t="str">
        <f>IF($A391="","",'Lot Balance'!$O390)</f>
        <v/>
      </c>
      <c r="H391" s="33" t="str">
        <f>IF($A391="","",'Lot Balance'!$P390)</f>
        <v/>
      </c>
      <c r="I391" s="26" t="str">
        <f>IF($A391="","",COUNTIFS(tblIssues[Lot Number],$B391))</f>
        <v/>
      </c>
      <c r="J391" s="31" t="str">
        <f>IF($A391="","",IF('Lot Balance'!$O390&lt;=0,"Depleted",'Lot Balance'!$Q390))</f>
        <v/>
      </c>
    </row>
    <row r="392" spans="1:10" x14ac:dyDescent="0.35">
      <c r="A392" s="18" t="str">
        <f>IF('Lot Balance'!$A391="","",'Lot Balance'!$A391)</f>
        <v/>
      </c>
      <c r="B392" s="18" t="str">
        <f>IF($A392="","",'Lot Balance'!$B391)</f>
        <v/>
      </c>
      <c r="C392" s="18" t="str">
        <f>IF($A392="","",'Lot Balance'!$C391)</f>
        <v/>
      </c>
      <c r="D392" s="25" t="str">
        <f>IF($A392="","",'Lot Balance'!$G391)</f>
        <v/>
      </c>
      <c r="E392" s="25" t="str">
        <f>IF($A392="","",'Lot Balance'!$H391)</f>
        <v/>
      </c>
      <c r="F392" s="23" t="str">
        <f>IF($A392="","",'Lot Balance'!$I391)</f>
        <v/>
      </c>
      <c r="G392" s="23" t="str">
        <f>IF($A392="","",'Lot Balance'!$O391)</f>
        <v/>
      </c>
      <c r="H392" s="33" t="str">
        <f>IF($A392="","",'Lot Balance'!$P391)</f>
        <v/>
      </c>
      <c r="I392" s="26" t="str">
        <f>IF($A392="","",COUNTIFS(tblIssues[Lot Number],$B392))</f>
        <v/>
      </c>
      <c r="J392" s="31" t="str">
        <f>IF($A392="","",IF('Lot Balance'!$O391&lt;=0,"Depleted",'Lot Balance'!$Q391))</f>
        <v/>
      </c>
    </row>
    <row r="393" spans="1:10" x14ac:dyDescent="0.35">
      <c r="A393" s="18" t="str">
        <f>IF('Lot Balance'!$A392="","",'Lot Balance'!$A392)</f>
        <v/>
      </c>
      <c r="B393" s="18" t="str">
        <f>IF($A393="","",'Lot Balance'!$B392)</f>
        <v/>
      </c>
      <c r="C393" s="18" t="str">
        <f>IF($A393="","",'Lot Balance'!$C392)</f>
        <v/>
      </c>
      <c r="D393" s="25" t="str">
        <f>IF($A393="","",'Lot Balance'!$G392)</f>
        <v/>
      </c>
      <c r="E393" s="25" t="str">
        <f>IF($A393="","",'Lot Balance'!$H392)</f>
        <v/>
      </c>
      <c r="F393" s="23" t="str">
        <f>IF($A393="","",'Lot Balance'!$I392)</f>
        <v/>
      </c>
      <c r="G393" s="23" t="str">
        <f>IF($A393="","",'Lot Balance'!$O392)</f>
        <v/>
      </c>
      <c r="H393" s="33" t="str">
        <f>IF($A393="","",'Lot Balance'!$P392)</f>
        <v/>
      </c>
      <c r="I393" s="26" t="str">
        <f>IF($A393="","",COUNTIFS(tblIssues[Lot Number],$B393))</f>
        <v/>
      </c>
      <c r="J393" s="31" t="str">
        <f>IF($A393="","",IF('Lot Balance'!$O392&lt;=0,"Depleted",'Lot Balance'!$Q392))</f>
        <v/>
      </c>
    </row>
    <row r="394" spans="1:10" x14ac:dyDescent="0.35">
      <c r="A394" s="18" t="str">
        <f>IF('Lot Balance'!$A393="","",'Lot Balance'!$A393)</f>
        <v/>
      </c>
      <c r="B394" s="18" t="str">
        <f>IF($A394="","",'Lot Balance'!$B393)</f>
        <v/>
      </c>
      <c r="C394" s="18" t="str">
        <f>IF($A394="","",'Lot Balance'!$C393)</f>
        <v/>
      </c>
      <c r="D394" s="25" t="str">
        <f>IF($A394="","",'Lot Balance'!$G393)</f>
        <v/>
      </c>
      <c r="E394" s="25" t="str">
        <f>IF($A394="","",'Lot Balance'!$H393)</f>
        <v/>
      </c>
      <c r="F394" s="23" t="str">
        <f>IF($A394="","",'Lot Balance'!$I393)</f>
        <v/>
      </c>
      <c r="G394" s="23" t="str">
        <f>IF($A394="","",'Lot Balance'!$O393)</f>
        <v/>
      </c>
      <c r="H394" s="33" t="str">
        <f>IF($A394="","",'Lot Balance'!$P393)</f>
        <v/>
      </c>
      <c r="I394" s="26" t="str">
        <f>IF($A394="","",COUNTIFS(tblIssues[Lot Number],$B394))</f>
        <v/>
      </c>
      <c r="J394" s="31" t="str">
        <f>IF($A394="","",IF('Lot Balance'!$O393&lt;=0,"Depleted",'Lot Balance'!$Q393))</f>
        <v/>
      </c>
    </row>
    <row r="395" spans="1:10" x14ac:dyDescent="0.35">
      <c r="A395" s="18" t="str">
        <f>IF('Lot Balance'!$A394="","",'Lot Balance'!$A394)</f>
        <v/>
      </c>
      <c r="B395" s="18" t="str">
        <f>IF($A395="","",'Lot Balance'!$B394)</f>
        <v/>
      </c>
      <c r="C395" s="18" t="str">
        <f>IF($A395="","",'Lot Balance'!$C394)</f>
        <v/>
      </c>
      <c r="D395" s="25" t="str">
        <f>IF($A395="","",'Lot Balance'!$G394)</f>
        <v/>
      </c>
      <c r="E395" s="25" t="str">
        <f>IF($A395="","",'Lot Balance'!$H394)</f>
        <v/>
      </c>
      <c r="F395" s="23" t="str">
        <f>IF($A395="","",'Lot Balance'!$I394)</f>
        <v/>
      </c>
      <c r="G395" s="23" t="str">
        <f>IF($A395="","",'Lot Balance'!$O394)</f>
        <v/>
      </c>
      <c r="H395" s="33" t="str">
        <f>IF($A395="","",'Lot Balance'!$P394)</f>
        <v/>
      </c>
      <c r="I395" s="26" t="str">
        <f>IF($A395="","",COUNTIFS(tblIssues[Lot Number],$B395))</f>
        <v/>
      </c>
      <c r="J395" s="31" t="str">
        <f>IF($A395="","",IF('Lot Balance'!$O394&lt;=0,"Depleted",'Lot Balance'!$Q394))</f>
        <v/>
      </c>
    </row>
    <row r="396" spans="1:10" x14ac:dyDescent="0.35">
      <c r="A396" s="18" t="str">
        <f>IF('Lot Balance'!$A395="","",'Lot Balance'!$A395)</f>
        <v/>
      </c>
      <c r="B396" s="18" t="str">
        <f>IF($A396="","",'Lot Balance'!$B395)</f>
        <v/>
      </c>
      <c r="C396" s="18" t="str">
        <f>IF($A396="","",'Lot Balance'!$C395)</f>
        <v/>
      </c>
      <c r="D396" s="25" t="str">
        <f>IF($A396="","",'Lot Balance'!$G395)</f>
        <v/>
      </c>
      <c r="E396" s="25" t="str">
        <f>IF($A396="","",'Lot Balance'!$H395)</f>
        <v/>
      </c>
      <c r="F396" s="23" t="str">
        <f>IF($A396="","",'Lot Balance'!$I395)</f>
        <v/>
      </c>
      <c r="G396" s="23" t="str">
        <f>IF($A396="","",'Lot Balance'!$O395)</f>
        <v/>
      </c>
      <c r="H396" s="33" t="str">
        <f>IF($A396="","",'Lot Balance'!$P395)</f>
        <v/>
      </c>
      <c r="I396" s="26" t="str">
        <f>IF($A396="","",COUNTIFS(tblIssues[Lot Number],$B396))</f>
        <v/>
      </c>
      <c r="J396" s="31" t="str">
        <f>IF($A396="","",IF('Lot Balance'!$O395&lt;=0,"Depleted",'Lot Balance'!$Q395))</f>
        <v/>
      </c>
    </row>
    <row r="397" spans="1:10" x14ac:dyDescent="0.35">
      <c r="A397" s="18" t="str">
        <f>IF('Lot Balance'!$A396="","",'Lot Balance'!$A396)</f>
        <v/>
      </c>
      <c r="B397" s="18" t="str">
        <f>IF($A397="","",'Lot Balance'!$B396)</f>
        <v/>
      </c>
      <c r="C397" s="18" t="str">
        <f>IF($A397="","",'Lot Balance'!$C396)</f>
        <v/>
      </c>
      <c r="D397" s="25" t="str">
        <f>IF($A397="","",'Lot Balance'!$G396)</f>
        <v/>
      </c>
      <c r="E397" s="25" t="str">
        <f>IF($A397="","",'Lot Balance'!$H396)</f>
        <v/>
      </c>
      <c r="F397" s="23" t="str">
        <f>IF($A397="","",'Lot Balance'!$I396)</f>
        <v/>
      </c>
      <c r="G397" s="23" t="str">
        <f>IF($A397="","",'Lot Balance'!$O396)</f>
        <v/>
      </c>
      <c r="H397" s="33" t="str">
        <f>IF($A397="","",'Lot Balance'!$P396)</f>
        <v/>
      </c>
      <c r="I397" s="26" t="str">
        <f>IF($A397="","",COUNTIFS(tblIssues[Lot Number],$B397))</f>
        <v/>
      </c>
      <c r="J397" s="31" t="str">
        <f>IF($A397="","",IF('Lot Balance'!$O396&lt;=0,"Depleted",'Lot Balance'!$Q396))</f>
        <v/>
      </c>
    </row>
    <row r="398" spans="1:10" x14ac:dyDescent="0.35">
      <c r="A398" s="18" t="str">
        <f>IF('Lot Balance'!$A397="","",'Lot Balance'!$A397)</f>
        <v/>
      </c>
      <c r="B398" s="18" t="str">
        <f>IF($A398="","",'Lot Balance'!$B397)</f>
        <v/>
      </c>
      <c r="C398" s="18" t="str">
        <f>IF($A398="","",'Lot Balance'!$C397)</f>
        <v/>
      </c>
      <c r="D398" s="25" t="str">
        <f>IF($A398="","",'Lot Balance'!$G397)</f>
        <v/>
      </c>
      <c r="E398" s="25" t="str">
        <f>IF($A398="","",'Lot Balance'!$H397)</f>
        <v/>
      </c>
      <c r="F398" s="23" t="str">
        <f>IF($A398="","",'Lot Balance'!$I397)</f>
        <v/>
      </c>
      <c r="G398" s="23" t="str">
        <f>IF($A398="","",'Lot Balance'!$O397)</f>
        <v/>
      </c>
      <c r="H398" s="33" t="str">
        <f>IF($A398="","",'Lot Balance'!$P397)</f>
        <v/>
      </c>
      <c r="I398" s="26" t="str">
        <f>IF($A398="","",COUNTIFS(tblIssues[Lot Number],$B398))</f>
        <v/>
      </c>
      <c r="J398" s="31" t="str">
        <f>IF($A398="","",IF('Lot Balance'!$O397&lt;=0,"Depleted",'Lot Balance'!$Q397))</f>
        <v/>
      </c>
    </row>
    <row r="399" spans="1:10" x14ac:dyDescent="0.35">
      <c r="A399" s="18" t="str">
        <f>IF('Lot Balance'!$A398="","",'Lot Balance'!$A398)</f>
        <v/>
      </c>
      <c r="B399" s="18" t="str">
        <f>IF($A399="","",'Lot Balance'!$B398)</f>
        <v/>
      </c>
      <c r="C399" s="18" t="str">
        <f>IF($A399="","",'Lot Balance'!$C398)</f>
        <v/>
      </c>
      <c r="D399" s="25" t="str">
        <f>IF($A399="","",'Lot Balance'!$G398)</f>
        <v/>
      </c>
      <c r="E399" s="25" t="str">
        <f>IF($A399="","",'Lot Balance'!$H398)</f>
        <v/>
      </c>
      <c r="F399" s="23" t="str">
        <f>IF($A399="","",'Lot Balance'!$I398)</f>
        <v/>
      </c>
      <c r="G399" s="23" t="str">
        <f>IF($A399="","",'Lot Balance'!$O398)</f>
        <v/>
      </c>
      <c r="H399" s="33" t="str">
        <f>IF($A399="","",'Lot Balance'!$P398)</f>
        <v/>
      </c>
      <c r="I399" s="26" t="str">
        <f>IF($A399="","",COUNTIFS(tblIssues[Lot Number],$B399))</f>
        <v/>
      </c>
      <c r="J399" s="31" t="str">
        <f>IF($A399="","",IF('Lot Balance'!$O398&lt;=0,"Depleted",'Lot Balance'!$Q398))</f>
        <v/>
      </c>
    </row>
    <row r="400" spans="1:10" x14ac:dyDescent="0.35">
      <c r="A400" s="18" t="str">
        <f>IF('Lot Balance'!$A399="","",'Lot Balance'!$A399)</f>
        <v/>
      </c>
      <c r="B400" s="18" t="str">
        <f>IF($A400="","",'Lot Balance'!$B399)</f>
        <v/>
      </c>
      <c r="C400" s="18" t="str">
        <f>IF($A400="","",'Lot Balance'!$C399)</f>
        <v/>
      </c>
      <c r="D400" s="25" t="str">
        <f>IF($A400="","",'Lot Balance'!$G399)</f>
        <v/>
      </c>
      <c r="E400" s="25" t="str">
        <f>IF($A400="","",'Lot Balance'!$H399)</f>
        <v/>
      </c>
      <c r="F400" s="23" t="str">
        <f>IF($A400="","",'Lot Balance'!$I399)</f>
        <v/>
      </c>
      <c r="G400" s="23" t="str">
        <f>IF($A400="","",'Lot Balance'!$O399)</f>
        <v/>
      </c>
      <c r="H400" s="33" t="str">
        <f>IF($A400="","",'Lot Balance'!$P399)</f>
        <v/>
      </c>
      <c r="I400" s="26" t="str">
        <f>IF($A400="","",COUNTIFS(tblIssues[Lot Number],$B400))</f>
        <v/>
      </c>
      <c r="J400" s="31" t="str">
        <f>IF($A400="","",IF('Lot Balance'!$O399&lt;=0,"Depleted",'Lot Balance'!$Q399))</f>
        <v/>
      </c>
    </row>
    <row r="401" spans="1:10" x14ac:dyDescent="0.35">
      <c r="A401" s="18" t="str">
        <f>IF('Lot Balance'!$A400="","",'Lot Balance'!$A400)</f>
        <v/>
      </c>
      <c r="B401" s="18" t="str">
        <f>IF($A401="","",'Lot Balance'!$B400)</f>
        <v/>
      </c>
      <c r="C401" s="18" t="str">
        <f>IF($A401="","",'Lot Balance'!$C400)</f>
        <v/>
      </c>
      <c r="D401" s="25" t="str">
        <f>IF($A401="","",'Lot Balance'!$G400)</f>
        <v/>
      </c>
      <c r="E401" s="25" t="str">
        <f>IF($A401="","",'Lot Balance'!$H400)</f>
        <v/>
      </c>
      <c r="F401" s="23" t="str">
        <f>IF($A401="","",'Lot Balance'!$I400)</f>
        <v/>
      </c>
      <c r="G401" s="23" t="str">
        <f>IF($A401="","",'Lot Balance'!$O400)</f>
        <v/>
      </c>
      <c r="H401" s="33" t="str">
        <f>IF($A401="","",'Lot Balance'!$P400)</f>
        <v/>
      </c>
      <c r="I401" s="26" t="str">
        <f>IF($A401="","",COUNTIFS(tblIssues[Lot Number],$B401))</f>
        <v/>
      </c>
      <c r="J401" s="31" t="str">
        <f>IF($A401="","",IF('Lot Balance'!$O400&lt;=0,"Depleted",'Lot Balance'!$Q400))</f>
        <v/>
      </c>
    </row>
    <row r="402" spans="1:10" x14ac:dyDescent="0.35">
      <c r="A402" s="18" t="str">
        <f>IF('Lot Balance'!$A401="","",'Lot Balance'!$A401)</f>
        <v/>
      </c>
      <c r="B402" s="18" t="str">
        <f>IF($A402="","",'Lot Balance'!$B401)</f>
        <v/>
      </c>
      <c r="C402" s="18" t="str">
        <f>IF($A402="","",'Lot Balance'!$C401)</f>
        <v/>
      </c>
      <c r="D402" s="25" t="str">
        <f>IF($A402="","",'Lot Balance'!$G401)</f>
        <v/>
      </c>
      <c r="E402" s="25" t="str">
        <f>IF($A402="","",'Lot Balance'!$H401)</f>
        <v/>
      </c>
      <c r="F402" s="23" t="str">
        <f>IF($A402="","",'Lot Balance'!$I401)</f>
        <v/>
      </c>
      <c r="G402" s="23" t="str">
        <f>IF($A402="","",'Lot Balance'!$O401)</f>
        <v/>
      </c>
      <c r="H402" s="33" t="str">
        <f>IF($A402="","",'Lot Balance'!$P401)</f>
        <v/>
      </c>
      <c r="I402" s="26" t="str">
        <f>IF($A402="","",COUNTIFS(tblIssues[Lot Number],$B402))</f>
        <v/>
      </c>
      <c r="J402" s="31" t="str">
        <f>IF($A402="","",IF('Lot Balance'!$O401&lt;=0,"Depleted",'Lot Balance'!$Q401))</f>
        <v/>
      </c>
    </row>
    <row r="403" spans="1:10" x14ac:dyDescent="0.35">
      <c r="A403" s="18" t="str">
        <f>IF('Lot Balance'!$A402="","",'Lot Balance'!$A402)</f>
        <v/>
      </c>
      <c r="B403" s="18" t="str">
        <f>IF($A403="","",'Lot Balance'!$B402)</f>
        <v/>
      </c>
      <c r="C403" s="18" t="str">
        <f>IF($A403="","",'Lot Balance'!$C402)</f>
        <v/>
      </c>
      <c r="D403" s="25" t="str">
        <f>IF($A403="","",'Lot Balance'!$G402)</f>
        <v/>
      </c>
      <c r="E403" s="25" t="str">
        <f>IF($A403="","",'Lot Balance'!$H402)</f>
        <v/>
      </c>
      <c r="F403" s="23" t="str">
        <f>IF($A403="","",'Lot Balance'!$I402)</f>
        <v/>
      </c>
      <c r="G403" s="23" t="str">
        <f>IF($A403="","",'Lot Balance'!$O402)</f>
        <v/>
      </c>
      <c r="H403" s="33" t="str">
        <f>IF($A403="","",'Lot Balance'!$P402)</f>
        <v/>
      </c>
      <c r="I403" s="26" t="str">
        <f>IF($A403="","",COUNTIFS(tblIssues[Lot Number],$B403))</f>
        <v/>
      </c>
      <c r="J403" s="31" t="str">
        <f>IF($A403="","",IF('Lot Balance'!$O402&lt;=0,"Depleted",'Lot Balance'!$Q402))</f>
        <v/>
      </c>
    </row>
    <row r="404" spans="1:10" x14ac:dyDescent="0.35">
      <c r="A404" s="18" t="str">
        <f>IF('Lot Balance'!$A403="","",'Lot Balance'!$A403)</f>
        <v/>
      </c>
      <c r="B404" s="18" t="str">
        <f>IF($A404="","",'Lot Balance'!$B403)</f>
        <v/>
      </c>
      <c r="C404" s="18" t="str">
        <f>IF($A404="","",'Lot Balance'!$C403)</f>
        <v/>
      </c>
      <c r="D404" s="25" t="str">
        <f>IF($A404="","",'Lot Balance'!$G403)</f>
        <v/>
      </c>
      <c r="E404" s="25" t="str">
        <f>IF($A404="","",'Lot Balance'!$H403)</f>
        <v/>
      </c>
      <c r="F404" s="23" t="str">
        <f>IF($A404="","",'Lot Balance'!$I403)</f>
        <v/>
      </c>
      <c r="G404" s="23" t="str">
        <f>IF($A404="","",'Lot Balance'!$O403)</f>
        <v/>
      </c>
      <c r="H404" s="33" t="str">
        <f>IF($A404="","",'Lot Balance'!$P403)</f>
        <v/>
      </c>
      <c r="I404" s="26" t="str">
        <f>IF($A404="","",COUNTIFS(tblIssues[Lot Number],$B404))</f>
        <v/>
      </c>
      <c r="J404" s="31" t="str">
        <f>IF($A404="","",IF('Lot Balance'!$O403&lt;=0,"Depleted",'Lot Balance'!$Q403))</f>
        <v/>
      </c>
    </row>
    <row r="405" spans="1:10" x14ac:dyDescent="0.35">
      <c r="A405" s="18" t="str">
        <f>IF('Lot Balance'!$A404="","",'Lot Balance'!$A404)</f>
        <v/>
      </c>
      <c r="B405" s="18" t="str">
        <f>IF($A405="","",'Lot Balance'!$B404)</f>
        <v/>
      </c>
      <c r="C405" s="18" t="str">
        <f>IF($A405="","",'Lot Balance'!$C404)</f>
        <v/>
      </c>
      <c r="D405" s="25" t="str">
        <f>IF($A405="","",'Lot Balance'!$G404)</f>
        <v/>
      </c>
      <c r="E405" s="25" t="str">
        <f>IF($A405="","",'Lot Balance'!$H404)</f>
        <v/>
      </c>
      <c r="F405" s="23" t="str">
        <f>IF($A405="","",'Lot Balance'!$I404)</f>
        <v/>
      </c>
      <c r="G405" s="23" t="str">
        <f>IF($A405="","",'Lot Balance'!$O404)</f>
        <v/>
      </c>
      <c r="H405" s="33" t="str">
        <f>IF($A405="","",'Lot Balance'!$P404)</f>
        <v/>
      </c>
      <c r="I405" s="26" t="str">
        <f>IF($A405="","",COUNTIFS(tblIssues[Lot Number],$B405))</f>
        <v/>
      </c>
      <c r="J405" s="31" t="str">
        <f>IF($A405="","",IF('Lot Balance'!$O404&lt;=0,"Depleted",'Lot Balance'!$Q404))</f>
        <v/>
      </c>
    </row>
    <row r="406" spans="1:10" x14ac:dyDescent="0.35">
      <c r="A406" s="18" t="str">
        <f>IF('Lot Balance'!$A405="","",'Lot Balance'!$A405)</f>
        <v/>
      </c>
      <c r="B406" s="18" t="str">
        <f>IF($A406="","",'Lot Balance'!$B405)</f>
        <v/>
      </c>
      <c r="C406" s="18" t="str">
        <f>IF($A406="","",'Lot Balance'!$C405)</f>
        <v/>
      </c>
      <c r="D406" s="25" t="str">
        <f>IF($A406="","",'Lot Balance'!$G405)</f>
        <v/>
      </c>
      <c r="E406" s="25" t="str">
        <f>IF($A406="","",'Lot Balance'!$H405)</f>
        <v/>
      </c>
      <c r="F406" s="23" t="str">
        <f>IF($A406="","",'Lot Balance'!$I405)</f>
        <v/>
      </c>
      <c r="G406" s="23" t="str">
        <f>IF($A406="","",'Lot Balance'!$O405)</f>
        <v/>
      </c>
      <c r="H406" s="33" t="str">
        <f>IF($A406="","",'Lot Balance'!$P405)</f>
        <v/>
      </c>
      <c r="I406" s="26" t="str">
        <f>IF($A406="","",COUNTIFS(tblIssues[Lot Number],$B406))</f>
        <v/>
      </c>
      <c r="J406" s="31" t="str">
        <f>IF($A406="","",IF('Lot Balance'!$O405&lt;=0,"Depleted",'Lot Balance'!$Q405))</f>
        <v/>
      </c>
    </row>
    <row r="407" spans="1:10" x14ac:dyDescent="0.35">
      <c r="A407" s="18" t="str">
        <f>IF('Lot Balance'!$A406="","",'Lot Balance'!$A406)</f>
        <v/>
      </c>
      <c r="B407" s="18" t="str">
        <f>IF($A407="","",'Lot Balance'!$B406)</f>
        <v/>
      </c>
      <c r="C407" s="18" t="str">
        <f>IF($A407="","",'Lot Balance'!$C406)</f>
        <v/>
      </c>
      <c r="D407" s="25" t="str">
        <f>IF($A407="","",'Lot Balance'!$G406)</f>
        <v/>
      </c>
      <c r="E407" s="25" t="str">
        <f>IF($A407="","",'Lot Balance'!$H406)</f>
        <v/>
      </c>
      <c r="F407" s="23" t="str">
        <f>IF($A407="","",'Lot Balance'!$I406)</f>
        <v/>
      </c>
      <c r="G407" s="23" t="str">
        <f>IF($A407="","",'Lot Balance'!$O406)</f>
        <v/>
      </c>
      <c r="H407" s="33" t="str">
        <f>IF($A407="","",'Lot Balance'!$P406)</f>
        <v/>
      </c>
      <c r="I407" s="26" t="str">
        <f>IF($A407="","",COUNTIFS(tblIssues[Lot Number],$B407))</f>
        <v/>
      </c>
      <c r="J407" s="31" t="str">
        <f>IF($A407="","",IF('Lot Balance'!$O406&lt;=0,"Depleted",'Lot Balance'!$Q406))</f>
        <v/>
      </c>
    </row>
    <row r="408" spans="1:10" x14ac:dyDescent="0.35">
      <c r="A408" s="18" t="str">
        <f>IF('Lot Balance'!$A407="","",'Lot Balance'!$A407)</f>
        <v/>
      </c>
      <c r="B408" s="18" t="str">
        <f>IF($A408="","",'Lot Balance'!$B407)</f>
        <v/>
      </c>
      <c r="C408" s="18" t="str">
        <f>IF($A408="","",'Lot Balance'!$C407)</f>
        <v/>
      </c>
      <c r="D408" s="25" t="str">
        <f>IF($A408="","",'Lot Balance'!$G407)</f>
        <v/>
      </c>
      <c r="E408" s="25" t="str">
        <f>IF($A408="","",'Lot Balance'!$H407)</f>
        <v/>
      </c>
      <c r="F408" s="23" t="str">
        <f>IF($A408="","",'Lot Balance'!$I407)</f>
        <v/>
      </c>
      <c r="G408" s="23" t="str">
        <f>IF($A408="","",'Lot Balance'!$O407)</f>
        <v/>
      </c>
      <c r="H408" s="33" t="str">
        <f>IF($A408="","",'Lot Balance'!$P407)</f>
        <v/>
      </c>
      <c r="I408" s="26" t="str">
        <f>IF($A408="","",COUNTIFS(tblIssues[Lot Number],$B408))</f>
        <v/>
      </c>
      <c r="J408" s="31" t="str">
        <f>IF($A408="","",IF('Lot Balance'!$O407&lt;=0,"Depleted",'Lot Balance'!$Q407))</f>
        <v/>
      </c>
    </row>
    <row r="409" spans="1:10" x14ac:dyDescent="0.35">
      <c r="A409" s="18" t="str">
        <f>IF('Lot Balance'!$A408="","",'Lot Balance'!$A408)</f>
        <v/>
      </c>
      <c r="B409" s="18" t="str">
        <f>IF($A409="","",'Lot Balance'!$B408)</f>
        <v/>
      </c>
      <c r="C409" s="18" t="str">
        <f>IF($A409="","",'Lot Balance'!$C408)</f>
        <v/>
      </c>
      <c r="D409" s="25" t="str">
        <f>IF($A409="","",'Lot Balance'!$G408)</f>
        <v/>
      </c>
      <c r="E409" s="25" t="str">
        <f>IF($A409="","",'Lot Balance'!$H408)</f>
        <v/>
      </c>
      <c r="F409" s="23" t="str">
        <f>IF($A409="","",'Lot Balance'!$I408)</f>
        <v/>
      </c>
      <c r="G409" s="23" t="str">
        <f>IF($A409="","",'Lot Balance'!$O408)</f>
        <v/>
      </c>
      <c r="H409" s="33" t="str">
        <f>IF($A409="","",'Lot Balance'!$P408)</f>
        <v/>
      </c>
      <c r="I409" s="26" t="str">
        <f>IF($A409="","",COUNTIFS(tblIssues[Lot Number],$B409))</f>
        <v/>
      </c>
      <c r="J409" s="31" t="str">
        <f>IF($A409="","",IF('Lot Balance'!$O408&lt;=0,"Depleted",'Lot Balance'!$Q408))</f>
        <v/>
      </c>
    </row>
    <row r="410" spans="1:10" x14ac:dyDescent="0.35">
      <c r="A410" s="18" t="str">
        <f>IF('Lot Balance'!$A409="","",'Lot Balance'!$A409)</f>
        <v/>
      </c>
      <c r="B410" s="18" t="str">
        <f>IF($A410="","",'Lot Balance'!$B409)</f>
        <v/>
      </c>
      <c r="C410" s="18" t="str">
        <f>IF($A410="","",'Lot Balance'!$C409)</f>
        <v/>
      </c>
      <c r="D410" s="25" t="str">
        <f>IF($A410="","",'Lot Balance'!$G409)</f>
        <v/>
      </c>
      <c r="E410" s="25" t="str">
        <f>IF($A410="","",'Lot Balance'!$H409)</f>
        <v/>
      </c>
      <c r="F410" s="23" t="str">
        <f>IF($A410="","",'Lot Balance'!$I409)</f>
        <v/>
      </c>
      <c r="G410" s="23" t="str">
        <f>IF($A410="","",'Lot Balance'!$O409)</f>
        <v/>
      </c>
      <c r="H410" s="33" t="str">
        <f>IF($A410="","",'Lot Balance'!$P409)</f>
        <v/>
      </c>
      <c r="I410" s="26" t="str">
        <f>IF($A410="","",COUNTIFS(tblIssues[Lot Number],$B410))</f>
        <v/>
      </c>
      <c r="J410" s="31" t="str">
        <f>IF($A410="","",IF('Lot Balance'!$O409&lt;=0,"Depleted",'Lot Balance'!$Q409))</f>
        <v/>
      </c>
    </row>
    <row r="411" spans="1:10" x14ac:dyDescent="0.35">
      <c r="A411" s="18" t="str">
        <f>IF('Lot Balance'!$A410="","",'Lot Balance'!$A410)</f>
        <v/>
      </c>
      <c r="B411" s="18" t="str">
        <f>IF($A411="","",'Lot Balance'!$B410)</f>
        <v/>
      </c>
      <c r="C411" s="18" t="str">
        <f>IF($A411="","",'Lot Balance'!$C410)</f>
        <v/>
      </c>
      <c r="D411" s="25" t="str">
        <f>IF($A411="","",'Lot Balance'!$G410)</f>
        <v/>
      </c>
      <c r="E411" s="25" t="str">
        <f>IF($A411="","",'Lot Balance'!$H410)</f>
        <v/>
      </c>
      <c r="F411" s="23" t="str">
        <f>IF($A411="","",'Lot Balance'!$I410)</f>
        <v/>
      </c>
      <c r="G411" s="23" t="str">
        <f>IF($A411="","",'Lot Balance'!$O410)</f>
        <v/>
      </c>
      <c r="H411" s="33" t="str">
        <f>IF($A411="","",'Lot Balance'!$P410)</f>
        <v/>
      </c>
      <c r="I411" s="26" t="str">
        <f>IF($A411="","",COUNTIFS(tblIssues[Lot Number],$B411))</f>
        <v/>
      </c>
      <c r="J411" s="31" t="str">
        <f>IF($A411="","",IF('Lot Balance'!$O410&lt;=0,"Depleted",'Lot Balance'!$Q410))</f>
        <v/>
      </c>
    </row>
    <row r="412" spans="1:10" x14ac:dyDescent="0.35">
      <c r="A412" s="18" t="str">
        <f>IF('Lot Balance'!$A411="","",'Lot Balance'!$A411)</f>
        <v/>
      </c>
      <c r="B412" s="18" t="str">
        <f>IF($A412="","",'Lot Balance'!$B411)</f>
        <v/>
      </c>
      <c r="C412" s="18" t="str">
        <f>IF($A412="","",'Lot Balance'!$C411)</f>
        <v/>
      </c>
      <c r="D412" s="25" t="str">
        <f>IF($A412="","",'Lot Balance'!$G411)</f>
        <v/>
      </c>
      <c r="E412" s="25" t="str">
        <f>IF($A412="","",'Lot Balance'!$H411)</f>
        <v/>
      </c>
      <c r="F412" s="23" t="str">
        <f>IF($A412="","",'Lot Balance'!$I411)</f>
        <v/>
      </c>
      <c r="G412" s="23" t="str">
        <f>IF($A412="","",'Lot Balance'!$O411)</f>
        <v/>
      </c>
      <c r="H412" s="33" t="str">
        <f>IF($A412="","",'Lot Balance'!$P411)</f>
        <v/>
      </c>
      <c r="I412" s="26" t="str">
        <f>IF($A412="","",COUNTIFS(tblIssues[Lot Number],$B412))</f>
        <v/>
      </c>
      <c r="J412" s="31" t="str">
        <f>IF($A412="","",IF('Lot Balance'!$O411&lt;=0,"Depleted",'Lot Balance'!$Q411))</f>
        <v/>
      </c>
    </row>
    <row r="413" spans="1:10" x14ac:dyDescent="0.35">
      <c r="A413" s="18" t="str">
        <f>IF('Lot Balance'!$A412="","",'Lot Balance'!$A412)</f>
        <v/>
      </c>
      <c r="B413" s="18" t="str">
        <f>IF($A413="","",'Lot Balance'!$B412)</f>
        <v/>
      </c>
      <c r="C413" s="18" t="str">
        <f>IF($A413="","",'Lot Balance'!$C412)</f>
        <v/>
      </c>
      <c r="D413" s="25" t="str">
        <f>IF($A413="","",'Lot Balance'!$G412)</f>
        <v/>
      </c>
      <c r="E413" s="25" t="str">
        <f>IF($A413="","",'Lot Balance'!$H412)</f>
        <v/>
      </c>
      <c r="F413" s="23" t="str">
        <f>IF($A413="","",'Lot Balance'!$I412)</f>
        <v/>
      </c>
      <c r="G413" s="23" t="str">
        <f>IF($A413="","",'Lot Balance'!$O412)</f>
        <v/>
      </c>
      <c r="H413" s="33" t="str">
        <f>IF($A413="","",'Lot Balance'!$P412)</f>
        <v/>
      </c>
      <c r="I413" s="26" t="str">
        <f>IF($A413="","",COUNTIFS(tblIssues[Lot Number],$B413))</f>
        <v/>
      </c>
      <c r="J413" s="31" t="str">
        <f>IF($A413="","",IF('Lot Balance'!$O412&lt;=0,"Depleted",'Lot Balance'!$Q412))</f>
        <v/>
      </c>
    </row>
    <row r="414" spans="1:10" x14ac:dyDescent="0.35">
      <c r="A414" s="18" t="str">
        <f>IF('Lot Balance'!$A413="","",'Lot Balance'!$A413)</f>
        <v/>
      </c>
      <c r="B414" s="18" t="str">
        <f>IF($A414="","",'Lot Balance'!$B413)</f>
        <v/>
      </c>
      <c r="C414" s="18" t="str">
        <f>IF($A414="","",'Lot Balance'!$C413)</f>
        <v/>
      </c>
      <c r="D414" s="25" t="str">
        <f>IF($A414="","",'Lot Balance'!$G413)</f>
        <v/>
      </c>
      <c r="E414" s="25" t="str">
        <f>IF($A414="","",'Lot Balance'!$H413)</f>
        <v/>
      </c>
      <c r="F414" s="23" t="str">
        <f>IF($A414="","",'Lot Balance'!$I413)</f>
        <v/>
      </c>
      <c r="G414" s="23" t="str">
        <f>IF($A414="","",'Lot Balance'!$O413)</f>
        <v/>
      </c>
      <c r="H414" s="33" t="str">
        <f>IF($A414="","",'Lot Balance'!$P413)</f>
        <v/>
      </c>
      <c r="I414" s="26" t="str">
        <f>IF($A414="","",COUNTIFS(tblIssues[Lot Number],$B414))</f>
        <v/>
      </c>
      <c r="J414" s="31" t="str">
        <f>IF($A414="","",IF('Lot Balance'!$O413&lt;=0,"Depleted",'Lot Balance'!$Q413))</f>
        <v/>
      </c>
    </row>
    <row r="415" spans="1:10" x14ac:dyDescent="0.35">
      <c r="A415" s="18" t="str">
        <f>IF('Lot Balance'!$A414="","",'Lot Balance'!$A414)</f>
        <v/>
      </c>
      <c r="B415" s="18" t="str">
        <f>IF($A415="","",'Lot Balance'!$B414)</f>
        <v/>
      </c>
      <c r="C415" s="18" t="str">
        <f>IF($A415="","",'Lot Balance'!$C414)</f>
        <v/>
      </c>
      <c r="D415" s="25" t="str">
        <f>IF($A415="","",'Lot Balance'!$G414)</f>
        <v/>
      </c>
      <c r="E415" s="25" t="str">
        <f>IF($A415="","",'Lot Balance'!$H414)</f>
        <v/>
      </c>
      <c r="F415" s="23" t="str">
        <f>IF($A415="","",'Lot Balance'!$I414)</f>
        <v/>
      </c>
      <c r="G415" s="23" t="str">
        <f>IF($A415="","",'Lot Balance'!$O414)</f>
        <v/>
      </c>
      <c r="H415" s="33" t="str">
        <f>IF($A415="","",'Lot Balance'!$P414)</f>
        <v/>
      </c>
      <c r="I415" s="26" t="str">
        <f>IF($A415="","",COUNTIFS(tblIssues[Lot Number],$B415))</f>
        <v/>
      </c>
      <c r="J415" s="31" t="str">
        <f>IF($A415="","",IF('Lot Balance'!$O414&lt;=0,"Depleted",'Lot Balance'!$Q414))</f>
        <v/>
      </c>
    </row>
    <row r="416" spans="1:10" x14ac:dyDescent="0.35">
      <c r="A416" s="18" t="str">
        <f>IF('Lot Balance'!$A415="","",'Lot Balance'!$A415)</f>
        <v/>
      </c>
      <c r="B416" s="18" t="str">
        <f>IF($A416="","",'Lot Balance'!$B415)</f>
        <v/>
      </c>
      <c r="C416" s="18" t="str">
        <f>IF($A416="","",'Lot Balance'!$C415)</f>
        <v/>
      </c>
      <c r="D416" s="25" t="str">
        <f>IF($A416="","",'Lot Balance'!$G415)</f>
        <v/>
      </c>
      <c r="E416" s="25" t="str">
        <f>IF($A416="","",'Lot Balance'!$H415)</f>
        <v/>
      </c>
      <c r="F416" s="23" t="str">
        <f>IF($A416="","",'Lot Balance'!$I415)</f>
        <v/>
      </c>
      <c r="G416" s="23" t="str">
        <f>IF($A416="","",'Lot Balance'!$O415)</f>
        <v/>
      </c>
      <c r="H416" s="33" t="str">
        <f>IF($A416="","",'Lot Balance'!$P415)</f>
        <v/>
      </c>
      <c r="I416" s="26" t="str">
        <f>IF($A416="","",COUNTIFS(tblIssues[Lot Number],$B416))</f>
        <v/>
      </c>
      <c r="J416" s="31" t="str">
        <f>IF($A416="","",IF('Lot Balance'!$O415&lt;=0,"Depleted",'Lot Balance'!$Q415))</f>
        <v/>
      </c>
    </row>
    <row r="417" spans="1:10" x14ac:dyDescent="0.35">
      <c r="A417" s="18" t="str">
        <f>IF('Lot Balance'!$A416="","",'Lot Balance'!$A416)</f>
        <v/>
      </c>
      <c r="B417" s="18" t="str">
        <f>IF($A417="","",'Lot Balance'!$B416)</f>
        <v/>
      </c>
      <c r="C417" s="18" t="str">
        <f>IF($A417="","",'Lot Balance'!$C416)</f>
        <v/>
      </c>
      <c r="D417" s="25" t="str">
        <f>IF($A417="","",'Lot Balance'!$G416)</f>
        <v/>
      </c>
      <c r="E417" s="25" t="str">
        <f>IF($A417="","",'Lot Balance'!$H416)</f>
        <v/>
      </c>
      <c r="F417" s="23" t="str">
        <f>IF($A417="","",'Lot Balance'!$I416)</f>
        <v/>
      </c>
      <c r="G417" s="23" t="str">
        <f>IF($A417="","",'Lot Balance'!$O416)</f>
        <v/>
      </c>
      <c r="H417" s="33" t="str">
        <f>IF($A417="","",'Lot Balance'!$P416)</f>
        <v/>
      </c>
      <c r="I417" s="26" t="str">
        <f>IF($A417="","",COUNTIFS(tblIssues[Lot Number],$B417))</f>
        <v/>
      </c>
      <c r="J417" s="31" t="str">
        <f>IF($A417="","",IF('Lot Balance'!$O416&lt;=0,"Depleted",'Lot Balance'!$Q416))</f>
        <v/>
      </c>
    </row>
    <row r="418" spans="1:10" x14ac:dyDescent="0.35">
      <c r="A418" s="18" t="str">
        <f>IF('Lot Balance'!$A417="","",'Lot Balance'!$A417)</f>
        <v/>
      </c>
      <c r="B418" s="18" t="str">
        <f>IF($A418="","",'Lot Balance'!$B417)</f>
        <v/>
      </c>
      <c r="C418" s="18" t="str">
        <f>IF($A418="","",'Lot Balance'!$C417)</f>
        <v/>
      </c>
      <c r="D418" s="25" t="str">
        <f>IF($A418="","",'Lot Balance'!$G417)</f>
        <v/>
      </c>
      <c r="E418" s="25" t="str">
        <f>IF($A418="","",'Lot Balance'!$H417)</f>
        <v/>
      </c>
      <c r="F418" s="23" t="str">
        <f>IF($A418="","",'Lot Balance'!$I417)</f>
        <v/>
      </c>
      <c r="G418" s="23" t="str">
        <f>IF($A418="","",'Lot Balance'!$O417)</f>
        <v/>
      </c>
      <c r="H418" s="33" t="str">
        <f>IF($A418="","",'Lot Balance'!$P417)</f>
        <v/>
      </c>
      <c r="I418" s="26" t="str">
        <f>IF($A418="","",COUNTIFS(tblIssues[Lot Number],$B418))</f>
        <v/>
      </c>
      <c r="J418" s="31" t="str">
        <f>IF($A418="","",IF('Lot Balance'!$O417&lt;=0,"Depleted",'Lot Balance'!$Q417))</f>
        <v/>
      </c>
    </row>
    <row r="419" spans="1:10" x14ac:dyDescent="0.35">
      <c r="A419" s="18" t="str">
        <f>IF('Lot Balance'!$A418="","",'Lot Balance'!$A418)</f>
        <v/>
      </c>
      <c r="B419" s="18" t="str">
        <f>IF($A419="","",'Lot Balance'!$B418)</f>
        <v/>
      </c>
      <c r="C419" s="18" t="str">
        <f>IF($A419="","",'Lot Balance'!$C418)</f>
        <v/>
      </c>
      <c r="D419" s="25" t="str">
        <f>IF($A419="","",'Lot Balance'!$G418)</f>
        <v/>
      </c>
      <c r="E419" s="25" t="str">
        <f>IF($A419="","",'Lot Balance'!$H418)</f>
        <v/>
      </c>
      <c r="F419" s="23" t="str">
        <f>IF($A419="","",'Lot Balance'!$I418)</f>
        <v/>
      </c>
      <c r="G419" s="23" t="str">
        <f>IF($A419="","",'Lot Balance'!$O418)</f>
        <v/>
      </c>
      <c r="H419" s="33" t="str">
        <f>IF($A419="","",'Lot Balance'!$P418)</f>
        <v/>
      </c>
      <c r="I419" s="26" t="str">
        <f>IF($A419="","",COUNTIFS(tblIssues[Lot Number],$B419))</f>
        <v/>
      </c>
      <c r="J419" s="31" t="str">
        <f>IF($A419="","",IF('Lot Balance'!$O418&lt;=0,"Depleted",'Lot Balance'!$Q418))</f>
        <v/>
      </c>
    </row>
    <row r="420" spans="1:10" x14ac:dyDescent="0.35">
      <c r="A420" s="18" t="str">
        <f>IF('Lot Balance'!$A419="","",'Lot Balance'!$A419)</f>
        <v/>
      </c>
      <c r="B420" s="18" t="str">
        <f>IF($A420="","",'Lot Balance'!$B419)</f>
        <v/>
      </c>
      <c r="C420" s="18" t="str">
        <f>IF($A420="","",'Lot Balance'!$C419)</f>
        <v/>
      </c>
      <c r="D420" s="25" t="str">
        <f>IF($A420="","",'Lot Balance'!$G419)</f>
        <v/>
      </c>
      <c r="E420" s="25" t="str">
        <f>IF($A420="","",'Lot Balance'!$H419)</f>
        <v/>
      </c>
      <c r="F420" s="23" t="str">
        <f>IF($A420="","",'Lot Balance'!$I419)</f>
        <v/>
      </c>
      <c r="G420" s="23" t="str">
        <f>IF($A420="","",'Lot Balance'!$O419)</f>
        <v/>
      </c>
      <c r="H420" s="33" t="str">
        <f>IF($A420="","",'Lot Balance'!$P419)</f>
        <v/>
      </c>
      <c r="I420" s="26" t="str">
        <f>IF($A420="","",COUNTIFS(tblIssues[Lot Number],$B420))</f>
        <v/>
      </c>
      <c r="J420" s="31" t="str">
        <f>IF($A420="","",IF('Lot Balance'!$O419&lt;=0,"Depleted",'Lot Balance'!$Q419))</f>
        <v/>
      </c>
    </row>
    <row r="421" spans="1:10" x14ac:dyDescent="0.35">
      <c r="A421" s="18" t="str">
        <f>IF('Lot Balance'!$A420="","",'Lot Balance'!$A420)</f>
        <v/>
      </c>
      <c r="B421" s="18" t="str">
        <f>IF($A421="","",'Lot Balance'!$B420)</f>
        <v/>
      </c>
      <c r="C421" s="18" t="str">
        <f>IF($A421="","",'Lot Balance'!$C420)</f>
        <v/>
      </c>
      <c r="D421" s="25" t="str">
        <f>IF($A421="","",'Lot Balance'!$G420)</f>
        <v/>
      </c>
      <c r="E421" s="25" t="str">
        <f>IF($A421="","",'Lot Balance'!$H420)</f>
        <v/>
      </c>
      <c r="F421" s="23" t="str">
        <f>IF($A421="","",'Lot Balance'!$I420)</f>
        <v/>
      </c>
      <c r="G421" s="23" t="str">
        <f>IF($A421="","",'Lot Balance'!$O420)</f>
        <v/>
      </c>
      <c r="H421" s="33" t="str">
        <f>IF($A421="","",'Lot Balance'!$P420)</f>
        <v/>
      </c>
      <c r="I421" s="26" t="str">
        <f>IF($A421="","",COUNTIFS(tblIssues[Lot Number],$B421))</f>
        <v/>
      </c>
      <c r="J421" s="31" t="str">
        <f>IF($A421="","",IF('Lot Balance'!$O420&lt;=0,"Depleted",'Lot Balance'!$Q420))</f>
        <v/>
      </c>
    </row>
    <row r="422" spans="1:10" x14ac:dyDescent="0.35">
      <c r="A422" s="18" t="str">
        <f>IF('Lot Balance'!$A421="","",'Lot Balance'!$A421)</f>
        <v/>
      </c>
      <c r="B422" s="18" t="str">
        <f>IF($A422="","",'Lot Balance'!$B421)</f>
        <v/>
      </c>
      <c r="C422" s="18" t="str">
        <f>IF($A422="","",'Lot Balance'!$C421)</f>
        <v/>
      </c>
      <c r="D422" s="25" t="str">
        <f>IF($A422="","",'Lot Balance'!$G421)</f>
        <v/>
      </c>
      <c r="E422" s="25" t="str">
        <f>IF($A422="","",'Lot Balance'!$H421)</f>
        <v/>
      </c>
      <c r="F422" s="23" t="str">
        <f>IF($A422="","",'Lot Balance'!$I421)</f>
        <v/>
      </c>
      <c r="G422" s="23" t="str">
        <f>IF($A422="","",'Lot Balance'!$O421)</f>
        <v/>
      </c>
      <c r="H422" s="33" t="str">
        <f>IF($A422="","",'Lot Balance'!$P421)</f>
        <v/>
      </c>
      <c r="I422" s="26" t="str">
        <f>IF($A422="","",COUNTIFS(tblIssues[Lot Number],$B422))</f>
        <v/>
      </c>
      <c r="J422" s="31" t="str">
        <f>IF($A422="","",IF('Lot Balance'!$O421&lt;=0,"Depleted",'Lot Balance'!$Q421))</f>
        <v/>
      </c>
    </row>
    <row r="423" spans="1:10" x14ac:dyDescent="0.35">
      <c r="A423" s="18" t="str">
        <f>IF('Lot Balance'!$A422="","",'Lot Balance'!$A422)</f>
        <v/>
      </c>
      <c r="B423" s="18" t="str">
        <f>IF($A423="","",'Lot Balance'!$B422)</f>
        <v/>
      </c>
      <c r="C423" s="18" t="str">
        <f>IF($A423="","",'Lot Balance'!$C422)</f>
        <v/>
      </c>
      <c r="D423" s="25" t="str">
        <f>IF($A423="","",'Lot Balance'!$G422)</f>
        <v/>
      </c>
      <c r="E423" s="25" t="str">
        <f>IF($A423="","",'Lot Balance'!$H422)</f>
        <v/>
      </c>
      <c r="F423" s="23" t="str">
        <f>IF($A423="","",'Lot Balance'!$I422)</f>
        <v/>
      </c>
      <c r="G423" s="23" t="str">
        <f>IF($A423="","",'Lot Balance'!$O422)</f>
        <v/>
      </c>
      <c r="H423" s="33" t="str">
        <f>IF($A423="","",'Lot Balance'!$P422)</f>
        <v/>
      </c>
      <c r="I423" s="26" t="str">
        <f>IF($A423="","",COUNTIFS(tblIssues[Lot Number],$B423))</f>
        <v/>
      </c>
      <c r="J423" s="31" t="str">
        <f>IF($A423="","",IF('Lot Balance'!$O422&lt;=0,"Depleted",'Lot Balance'!$Q422))</f>
        <v/>
      </c>
    </row>
    <row r="424" spans="1:10" x14ac:dyDescent="0.35">
      <c r="A424" s="18" t="str">
        <f>IF('Lot Balance'!$A423="","",'Lot Balance'!$A423)</f>
        <v/>
      </c>
      <c r="B424" s="18" t="str">
        <f>IF($A424="","",'Lot Balance'!$B423)</f>
        <v/>
      </c>
      <c r="C424" s="18" t="str">
        <f>IF($A424="","",'Lot Balance'!$C423)</f>
        <v/>
      </c>
      <c r="D424" s="25" t="str">
        <f>IF($A424="","",'Lot Balance'!$G423)</f>
        <v/>
      </c>
      <c r="E424" s="25" t="str">
        <f>IF($A424="","",'Lot Balance'!$H423)</f>
        <v/>
      </c>
      <c r="F424" s="23" t="str">
        <f>IF($A424="","",'Lot Balance'!$I423)</f>
        <v/>
      </c>
      <c r="G424" s="23" t="str">
        <f>IF($A424="","",'Lot Balance'!$O423)</f>
        <v/>
      </c>
      <c r="H424" s="33" t="str">
        <f>IF($A424="","",'Lot Balance'!$P423)</f>
        <v/>
      </c>
      <c r="I424" s="26" t="str">
        <f>IF($A424="","",COUNTIFS(tblIssues[Lot Number],$B424))</f>
        <v/>
      </c>
      <c r="J424" s="31" t="str">
        <f>IF($A424="","",IF('Lot Balance'!$O423&lt;=0,"Depleted",'Lot Balance'!$Q423))</f>
        <v/>
      </c>
    </row>
    <row r="425" spans="1:10" x14ac:dyDescent="0.35">
      <c r="A425" s="18" t="str">
        <f>IF('Lot Balance'!$A424="","",'Lot Balance'!$A424)</f>
        <v/>
      </c>
      <c r="B425" s="18" t="str">
        <f>IF($A425="","",'Lot Balance'!$B424)</f>
        <v/>
      </c>
      <c r="C425" s="18" t="str">
        <f>IF($A425="","",'Lot Balance'!$C424)</f>
        <v/>
      </c>
      <c r="D425" s="25" t="str">
        <f>IF($A425="","",'Lot Balance'!$G424)</f>
        <v/>
      </c>
      <c r="E425" s="25" t="str">
        <f>IF($A425="","",'Lot Balance'!$H424)</f>
        <v/>
      </c>
      <c r="F425" s="23" t="str">
        <f>IF($A425="","",'Lot Balance'!$I424)</f>
        <v/>
      </c>
      <c r="G425" s="23" t="str">
        <f>IF($A425="","",'Lot Balance'!$O424)</f>
        <v/>
      </c>
      <c r="H425" s="33" t="str">
        <f>IF($A425="","",'Lot Balance'!$P424)</f>
        <v/>
      </c>
      <c r="I425" s="26" t="str">
        <f>IF($A425="","",COUNTIFS(tblIssues[Lot Number],$B425))</f>
        <v/>
      </c>
      <c r="J425" s="31" t="str">
        <f>IF($A425="","",IF('Lot Balance'!$O424&lt;=0,"Depleted",'Lot Balance'!$Q424))</f>
        <v/>
      </c>
    </row>
    <row r="426" spans="1:10" x14ac:dyDescent="0.35">
      <c r="A426" s="18" t="str">
        <f>IF('Lot Balance'!$A425="","",'Lot Balance'!$A425)</f>
        <v/>
      </c>
      <c r="B426" s="18" t="str">
        <f>IF($A426="","",'Lot Balance'!$B425)</f>
        <v/>
      </c>
      <c r="C426" s="18" t="str">
        <f>IF($A426="","",'Lot Balance'!$C425)</f>
        <v/>
      </c>
      <c r="D426" s="25" t="str">
        <f>IF($A426="","",'Lot Balance'!$G425)</f>
        <v/>
      </c>
      <c r="E426" s="25" t="str">
        <f>IF($A426="","",'Lot Balance'!$H425)</f>
        <v/>
      </c>
      <c r="F426" s="23" t="str">
        <f>IF($A426="","",'Lot Balance'!$I425)</f>
        <v/>
      </c>
      <c r="G426" s="23" t="str">
        <f>IF($A426="","",'Lot Balance'!$O425)</f>
        <v/>
      </c>
      <c r="H426" s="33" t="str">
        <f>IF($A426="","",'Lot Balance'!$P425)</f>
        <v/>
      </c>
      <c r="I426" s="26" t="str">
        <f>IF($A426="","",COUNTIFS(tblIssues[Lot Number],$B426))</f>
        <v/>
      </c>
      <c r="J426" s="31" t="str">
        <f>IF($A426="","",IF('Lot Balance'!$O425&lt;=0,"Depleted",'Lot Balance'!$Q425))</f>
        <v/>
      </c>
    </row>
    <row r="427" spans="1:10" x14ac:dyDescent="0.35">
      <c r="A427" s="18" t="str">
        <f>IF('Lot Balance'!$A426="","",'Lot Balance'!$A426)</f>
        <v/>
      </c>
      <c r="B427" s="18" t="str">
        <f>IF($A427="","",'Lot Balance'!$B426)</f>
        <v/>
      </c>
      <c r="C427" s="18" t="str">
        <f>IF($A427="","",'Lot Balance'!$C426)</f>
        <v/>
      </c>
      <c r="D427" s="25" t="str">
        <f>IF($A427="","",'Lot Balance'!$G426)</f>
        <v/>
      </c>
      <c r="E427" s="25" t="str">
        <f>IF($A427="","",'Lot Balance'!$H426)</f>
        <v/>
      </c>
      <c r="F427" s="23" t="str">
        <f>IF($A427="","",'Lot Balance'!$I426)</f>
        <v/>
      </c>
      <c r="G427" s="23" t="str">
        <f>IF($A427="","",'Lot Balance'!$O426)</f>
        <v/>
      </c>
      <c r="H427" s="33" t="str">
        <f>IF($A427="","",'Lot Balance'!$P426)</f>
        <v/>
      </c>
      <c r="I427" s="26" t="str">
        <f>IF($A427="","",COUNTIFS(tblIssues[Lot Number],$B427))</f>
        <v/>
      </c>
      <c r="J427" s="31" t="str">
        <f>IF($A427="","",IF('Lot Balance'!$O426&lt;=0,"Depleted",'Lot Balance'!$Q426))</f>
        <v/>
      </c>
    </row>
    <row r="428" spans="1:10" x14ac:dyDescent="0.35">
      <c r="A428" s="18" t="str">
        <f>IF('Lot Balance'!$A427="","",'Lot Balance'!$A427)</f>
        <v/>
      </c>
      <c r="B428" s="18" t="str">
        <f>IF($A428="","",'Lot Balance'!$B427)</f>
        <v/>
      </c>
      <c r="C428" s="18" t="str">
        <f>IF($A428="","",'Lot Balance'!$C427)</f>
        <v/>
      </c>
      <c r="D428" s="25" t="str">
        <f>IF($A428="","",'Lot Balance'!$G427)</f>
        <v/>
      </c>
      <c r="E428" s="25" t="str">
        <f>IF($A428="","",'Lot Balance'!$H427)</f>
        <v/>
      </c>
      <c r="F428" s="23" t="str">
        <f>IF($A428="","",'Lot Balance'!$I427)</f>
        <v/>
      </c>
      <c r="G428" s="23" t="str">
        <f>IF($A428="","",'Lot Balance'!$O427)</f>
        <v/>
      </c>
      <c r="H428" s="33" t="str">
        <f>IF($A428="","",'Lot Balance'!$P427)</f>
        <v/>
      </c>
      <c r="I428" s="26" t="str">
        <f>IF($A428="","",COUNTIFS(tblIssues[Lot Number],$B428))</f>
        <v/>
      </c>
      <c r="J428" s="31" t="str">
        <f>IF($A428="","",IF('Lot Balance'!$O427&lt;=0,"Depleted",'Lot Balance'!$Q427))</f>
        <v/>
      </c>
    </row>
    <row r="429" spans="1:10" x14ac:dyDescent="0.35">
      <c r="A429" s="18" t="str">
        <f>IF('Lot Balance'!$A428="","",'Lot Balance'!$A428)</f>
        <v/>
      </c>
      <c r="B429" s="18" t="str">
        <f>IF($A429="","",'Lot Balance'!$B428)</f>
        <v/>
      </c>
      <c r="C429" s="18" t="str">
        <f>IF($A429="","",'Lot Balance'!$C428)</f>
        <v/>
      </c>
      <c r="D429" s="25" t="str">
        <f>IF($A429="","",'Lot Balance'!$G428)</f>
        <v/>
      </c>
      <c r="E429" s="25" t="str">
        <f>IF($A429="","",'Lot Balance'!$H428)</f>
        <v/>
      </c>
      <c r="F429" s="23" t="str">
        <f>IF($A429="","",'Lot Balance'!$I428)</f>
        <v/>
      </c>
      <c r="G429" s="23" t="str">
        <f>IF($A429="","",'Lot Balance'!$O428)</f>
        <v/>
      </c>
      <c r="H429" s="33" t="str">
        <f>IF($A429="","",'Lot Balance'!$P428)</f>
        <v/>
      </c>
      <c r="I429" s="26" t="str">
        <f>IF($A429="","",COUNTIFS(tblIssues[Lot Number],$B429))</f>
        <v/>
      </c>
      <c r="J429" s="31" t="str">
        <f>IF($A429="","",IF('Lot Balance'!$O428&lt;=0,"Depleted",'Lot Balance'!$Q428))</f>
        <v/>
      </c>
    </row>
    <row r="430" spans="1:10" x14ac:dyDescent="0.35">
      <c r="A430" s="18" t="str">
        <f>IF('Lot Balance'!$A429="","",'Lot Balance'!$A429)</f>
        <v/>
      </c>
      <c r="B430" s="18" t="str">
        <f>IF($A430="","",'Lot Balance'!$B429)</f>
        <v/>
      </c>
      <c r="C430" s="18" t="str">
        <f>IF($A430="","",'Lot Balance'!$C429)</f>
        <v/>
      </c>
      <c r="D430" s="25" t="str">
        <f>IF($A430="","",'Lot Balance'!$G429)</f>
        <v/>
      </c>
      <c r="E430" s="25" t="str">
        <f>IF($A430="","",'Lot Balance'!$H429)</f>
        <v/>
      </c>
      <c r="F430" s="23" t="str">
        <f>IF($A430="","",'Lot Balance'!$I429)</f>
        <v/>
      </c>
      <c r="G430" s="23" t="str">
        <f>IF($A430="","",'Lot Balance'!$O429)</f>
        <v/>
      </c>
      <c r="H430" s="33" t="str">
        <f>IF($A430="","",'Lot Balance'!$P429)</f>
        <v/>
      </c>
      <c r="I430" s="26" t="str">
        <f>IF($A430="","",COUNTIFS(tblIssues[Lot Number],$B430))</f>
        <v/>
      </c>
      <c r="J430" s="31" t="str">
        <f>IF($A430="","",IF('Lot Balance'!$O429&lt;=0,"Depleted",'Lot Balance'!$Q429))</f>
        <v/>
      </c>
    </row>
    <row r="431" spans="1:10" x14ac:dyDescent="0.35">
      <c r="A431" s="18" t="str">
        <f>IF('Lot Balance'!$A430="","",'Lot Balance'!$A430)</f>
        <v/>
      </c>
      <c r="B431" s="18" t="str">
        <f>IF($A431="","",'Lot Balance'!$B430)</f>
        <v/>
      </c>
      <c r="C431" s="18" t="str">
        <f>IF($A431="","",'Lot Balance'!$C430)</f>
        <v/>
      </c>
      <c r="D431" s="25" t="str">
        <f>IF($A431="","",'Lot Balance'!$G430)</f>
        <v/>
      </c>
      <c r="E431" s="25" t="str">
        <f>IF($A431="","",'Lot Balance'!$H430)</f>
        <v/>
      </c>
      <c r="F431" s="23" t="str">
        <f>IF($A431="","",'Lot Balance'!$I430)</f>
        <v/>
      </c>
      <c r="G431" s="23" t="str">
        <f>IF($A431="","",'Lot Balance'!$O430)</f>
        <v/>
      </c>
      <c r="H431" s="33" t="str">
        <f>IF($A431="","",'Lot Balance'!$P430)</f>
        <v/>
      </c>
      <c r="I431" s="26" t="str">
        <f>IF($A431="","",COUNTIFS(tblIssues[Lot Number],$B431))</f>
        <v/>
      </c>
      <c r="J431" s="31" t="str">
        <f>IF($A431="","",IF('Lot Balance'!$O430&lt;=0,"Depleted",'Lot Balance'!$Q430))</f>
        <v/>
      </c>
    </row>
    <row r="432" spans="1:10" x14ac:dyDescent="0.35">
      <c r="A432" s="18" t="str">
        <f>IF('Lot Balance'!$A431="","",'Lot Balance'!$A431)</f>
        <v/>
      </c>
      <c r="B432" s="18" t="str">
        <f>IF($A432="","",'Lot Balance'!$B431)</f>
        <v/>
      </c>
      <c r="C432" s="18" t="str">
        <f>IF($A432="","",'Lot Balance'!$C431)</f>
        <v/>
      </c>
      <c r="D432" s="25" t="str">
        <f>IF($A432="","",'Lot Balance'!$G431)</f>
        <v/>
      </c>
      <c r="E432" s="25" t="str">
        <f>IF($A432="","",'Lot Balance'!$H431)</f>
        <v/>
      </c>
      <c r="F432" s="23" t="str">
        <f>IF($A432="","",'Lot Balance'!$I431)</f>
        <v/>
      </c>
      <c r="G432" s="23" t="str">
        <f>IF($A432="","",'Lot Balance'!$O431)</f>
        <v/>
      </c>
      <c r="H432" s="33" t="str">
        <f>IF($A432="","",'Lot Balance'!$P431)</f>
        <v/>
      </c>
      <c r="I432" s="26" t="str">
        <f>IF($A432="","",COUNTIFS(tblIssues[Lot Number],$B432))</f>
        <v/>
      </c>
      <c r="J432" s="31" t="str">
        <f>IF($A432="","",IF('Lot Balance'!$O431&lt;=0,"Depleted",'Lot Balance'!$Q431))</f>
        <v/>
      </c>
    </row>
    <row r="433" spans="1:10" x14ac:dyDescent="0.35">
      <c r="A433" s="18" t="str">
        <f>IF('Lot Balance'!$A432="","",'Lot Balance'!$A432)</f>
        <v/>
      </c>
      <c r="B433" s="18" t="str">
        <f>IF($A433="","",'Lot Balance'!$B432)</f>
        <v/>
      </c>
      <c r="C433" s="18" t="str">
        <f>IF($A433="","",'Lot Balance'!$C432)</f>
        <v/>
      </c>
      <c r="D433" s="25" t="str">
        <f>IF($A433="","",'Lot Balance'!$G432)</f>
        <v/>
      </c>
      <c r="E433" s="25" t="str">
        <f>IF($A433="","",'Lot Balance'!$H432)</f>
        <v/>
      </c>
      <c r="F433" s="23" t="str">
        <f>IF($A433="","",'Lot Balance'!$I432)</f>
        <v/>
      </c>
      <c r="G433" s="23" t="str">
        <f>IF($A433="","",'Lot Balance'!$O432)</f>
        <v/>
      </c>
      <c r="H433" s="33" t="str">
        <f>IF($A433="","",'Lot Balance'!$P432)</f>
        <v/>
      </c>
      <c r="I433" s="26" t="str">
        <f>IF($A433="","",COUNTIFS(tblIssues[Lot Number],$B433))</f>
        <v/>
      </c>
      <c r="J433" s="31" t="str">
        <f>IF($A433="","",IF('Lot Balance'!$O432&lt;=0,"Depleted",'Lot Balance'!$Q432))</f>
        <v/>
      </c>
    </row>
    <row r="434" spans="1:10" x14ac:dyDescent="0.35">
      <c r="A434" s="18" t="str">
        <f>IF('Lot Balance'!$A433="","",'Lot Balance'!$A433)</f>
        <v/>
      </c>
      <c r="B434" s="18" t="str">
        <f>IF($A434="","",'Lot Balance'!$B433)</f>
        <v/>
      </c>
      <c r="C434" s="18" t="str">
        <f>IF($A434="","",'Lot Balance'!$C433)</f>
        <v/>
      </c>
      <c r="D434" s="25" t="str">
        <f>IF($A434="","",'Lot Balance'!$G433)</f>
        <v/>
      </c>
      <c r="E434" s="25" t="str">
        <f>IF($A434="","",'Lot Balance'!$H433)</f>
        <v/>
      </c>
      <c r="F434" s="23" t="str">
        <f>IF($A434="","",'Lot Balance'!$I433)</f>
        <v/>
      </c>
      <c r="G434" s="23" t="str">
        <f>IF($A434="","",'Lot Balance'!$O433)</f>
        <v/>
      </c>
      <c r="H434" s="33" t="str">
        <f>IF($A434="","",'Lot Balance'!$P433)</f>
        <v/>
      </c>
      <c r="I434" s="26" t="str">
        <f>IF($A434="","",COUNTIFS(tblIssues[Lot Number],$B434))</f>
        <v/>
      </c>
      <c r="J434" s="31" t="str">
        <f>IF($A434="","",IF('Lot Balance'!$O433&lt;=0,"Depleted",'Lot Balance'!$Q433))</f>
        <v/>
      </c>
    </row>
    <row r="435" spans="1:10" x14ac:dyDescent="0.35">
      <c r="A435" s="18" t="str">
        <f>IF('Lot Balance'!$A434="","",'Lot Balance'!$A434)</f>
        <v/>
      </c>
      <c r="B435" s="18" t="str">
        <f>IF($A435="","",'Lot Balance'!$B434)</f>
        <v/>
      </c>
      <c r="C435" s="18" t="str">
        <f>IF($A435="","",'Lot Balance'!$C434)</f>
        <v/>
      </c>
      <c r="D435" s="25" t="str">
        <f>IF($A435="","",'Lot Balance'!$G434)</f>
        <v/>
      </c>
      <c r="E435" s="25" t="str">
        <f>IF($A435="","",'Lot Balance'!$H434)</f>
        <v/>
      </c>
      <c r="F435" s="23" t="str">
        <f>IF($A435="","",'Lot Balance'!$I434)</f>
        <v/>
      </c>
      <c r="G435" s="23" t="str">
        <f>IF($A435="","",'Lot Balance'!$O434)</f>
        <v/>
      </c>
      <c r="H435" s="33" t="str">
        <f>IF($A435="","",'Lot Balance'!$P434)</f>
        <v/>
      </c>
      <c r="I435" s="26" t="str">
        <f>IF($A435="","",COUNTIFS(tblIssues[Lot Number],$B435))</f>
        <v/>
      </c>
      <c r="J435" s="31" t="str">
        <f>IF($A435="","",IF('Lot Balance'!$O434&lt;=0,"Depleted",'Lot Balance'!$Q434))</f>
        <v/>
      </c>
    </row>
    <row r="436" spans="1:10" x14ac:dyDescent="0.35">
      <c r="A436" s="18" t="str">
        <f>IF('Lot Balance'!$A435="","",'Lot Balance'!$A435)</f>
        <v/>
      </c>
      <c r="B436" s="18" t="str">
        <f>IF($A436="","",'Lot Balance'!$B435)</f>
        <v/>
      </c>
      <c r="C436" s="18" t="str">
        <f>IF($A436="","",'Lot Balance'!$C435)</f>
        <v/>
      </c>
      <c r="D436" s="25" t="str">
        <f>IF($A436="","",'Lot Balance'!$G435)</f>
        <v/>
      </c>
      <c r="E436" s="25" t="str">
        <f>IF($A436="","",'Lot Balance'!$H435)</f>
        <v/>
      </c>
      <c r="F436" s="23" t="str">
        <f>IF($A436="","",'Lot Balance'!$I435)</f>
        <v/>
      </c>
      <c r="G436" s="23" t="str">
        <f>IF($A436="","",'Lot Balance'!$O435)</f>
        <v/>
      </c>
      <c r="H436" s="33" t="str">
        <f>IF($A436="","",'Lot Balance'!$P435)</f>
        <v/>
      </c>
      <c r="I436" s="26" t="str">
        <f>IF($A436="","",COUNTIFS(tblIssues[Lot Number],$B436))</f>
        <v/>
      </c>
      <c r="J436" s="31" t="str">
        <f>IF($A436="","",IF('Lot Balance'!$O435&lt;=0,"Depleted",'Lot Balance'!$Q435))</f>
        <v/>
      </c>
    </row>
    <row r="437" spans="1:10" x14ac:dyDescent="0.35">
      <c r="A437" s="18" t="str">
        <f>IF('Lot Balance'!$A436="","",'Lot Balance'!$A436)</f>
        <v/>
      </c>
      <c r="B437" s="18" t="str">
        <f>IF($A437="","",'Lot Balance'!$B436)</f>
        <v/>
      </c>
      <c r="C437" s="18" t="str">
        <f>IF($A437="","",'Lot Balance'!$C436)</f>
        <v/>
      </c>
      <c r="D437" s="25" t="str">
        <f>IF($A437="","",'Lot Balance'!$G436)</f>
        <v/>
      </c>
      <c r="E437" s="25" t="str">
        <f>IF($A437="","",'Lot Balance'!$H436)</f>
        <v/>
      </c>
      <c r="F437" s="23" t="str">
        <f>IF($A437="","",'Lot Balance'!$I436)</f>
        <v/>
      </c>
      <c r="G437" s="23" t="str">
        <f>IF($A437="","",'Lot Balance'!$O436)</f>
        <v/>
      </c>
      <c r="H437" s="33" t="str">
        <f>IF($A437="","",'Lot Balance'!$P436)</f>
        <v/>
      </c>
      <c r="I437" s="26" t="str">
        <f>IF($A437="","",COUNTIFS(tblIssues[Lot Number],$B437))</f>
        <v/>
      </c>
      <c r="J437" s="31" t="str">
        <f>IF($A437="","",IF('Lot Balance'!$O436&lt;=0,"Depleted",'Lot Balance'!$Q436))</f>
        <v/>
      </c>
    </row>
    <row r="438" spans="1:10" x14ac:dyDescent="0.35">
      <c r="A438" s="18" t="str">
        <f>IF('Lot Balance'!$A437="","",'Lot Balance'!$A437)</f>
        <v/>
      </c>
      <c r="B438" s="18" t="str">
        <f>IF($A438="","",'Lot Balance'!$B437)</f>
        <v/>
      </c>
      <c r="C438" s="18" t="str">
        <f>IF($A438="","",'Lot Balance'!$C437)</f>
        <v/>
      </c>
      <c r="D438" s="25" t="str">
        <f>IF($A438="","",'Lot Balance'!$G437)</f>
        <v/>
      </c>
      <c r="E438" s="25" t="str">
        <f>IF($A438="","",'Lot Balance'!$H437)</f>
        <v/>
      </c>
      <c r="F438" s="23" t="str">
        <f>IF($A438="","",'Lot Balance'!$I437)</f>
        <v/>
      </c>
      <c r="G438" s="23" t="str">
        <f>IF($A438="","",'Lot Balance'!$O437)</f>
        <v/>
      </c>
      <c r="H438" s="33" t="str">
        <f>IF($A438="","",'Lot Balance'!$P437)</f>
        <v/>
      </c>
      <c r="I438" s="26" t="str">
        <f>IF($A438="","",COUNTIFS(tblIssues[Lot Number],$B438))</f>
        <v/>
      </c>
      <c r="J438" s="31" t="str">
        <f>IF($A438="","",IF('Lot Balance'!$O437&lt;=0,"Depleted",'Lot Balance'!$Q437))</f>
        <v/>
      </c>
    </row>
    <row r="439" spans="1:10" x14ac:dyDescent="0.35">
      <c r="A439" s="18" t="str">
        <f>IF('Lot Balance'!$A438="","",'Lot Balance'!$A438)</f>
        <v/>
      </c>
      <c r="B439" s="18" t="str">
        <f>IF($A439="","",'Lot Balance'!$B438)</f>
        <v/>
      </c>
      <c r="C439" s="18" t="str">
        <f>IF($A439="","",'Lot Balance'!$C438)</f>
        <v/>
      </c>
      <c r="D439" s="25" t="str">
        <f>IF($A439="","",'Lot Balance'!$G438)</f>
        <v/>
      </c>
      <c r="E439" s="25" t="str">
        <f>IF($A439="","",'Lot Balance'!$H438)</f>
        <v/>
      </c>
      <c r="F439" s="23" t="str">
        <f>IF($A439="","",'Lot Balance'!$I438)</f>
        <v/>
      </c>
      <c r="G439" s="23" t="str">
        <f>IF($A439="","",'Lot Balance'!$O438)</f>
        <v/>
      </c>
      <c r="H439" s="33" t="str">
        <f>IF($A439="","",'Lot Balance'!$P438)</f>
        <v/>
      </c>
      <c r="I439" s="26" t="str">
        <f>IF($A439="","",COUNTIFS(tblIssues[Lot Number],$B439))</f>
        <v/>
      </c>
      <c r="J439" s="31" t="str">
        <f>IF($A439="","",IF('Lot Balance'!$O438&lt;=0,"Depleted",'Lot Balance'!$Q438))</f>
        <v/>
      </c>
    </row>
    <row r="440" spans="1:10" x14ac:dyDescent="0.35">
      <c r="A440" s="18" t="str">
        <f>IF('Lot Balance'!$A439="","",'Lot Balance'!$A439)</f>
        <v/>
      </c>
      <c r="B440" s="18" t="str">
        <f>IF($A440="","",'Lot Balance'!$B439)</f>
        <v/>
      </c>
      <c r="C440" s="18" t="str">
        <f>IF($A440="","",'Lot Balance'!$C439)</f>
        <v/>
      </c>
      <c r="D440" s="25" t="str">
        <f>IF($A440="","",'Lot Balance'!$G439)</f>
        <v/>
      </c>
      <c r="E440" s="25" t="str">
        <f>IF($A440="","",'Lot Balance'!$H439)</f>
        <v/>
      </c>
      <c r="F440" s="23" t="str">
        <f>IF($A440="","",'Lot Balance'!$I439)</f>
        <v/>
      </c>
      <c r="G440" s="23" t="str">
        <f>IF($A440="","",'Lot Balance'!$O439)</f>
        <v/>
      </c>
      <c r="H440" s="33" t="str">
        <f>IF($A440="","",'Lot Balance'!$P439)</f>
        <v/>
      </c>
      <c r="I440" s="26" t="str">
        <f>IF($A440="","",COUNTIFS(tblIssues[Lot Number],$B440))</f>
        <v/>
      </c>
      <c r="J440" s="31" t="str">
        <f>IF($A440="","",IF('Lot Balance'!$O439&lt;=0,"Depleted",'Lot Balance'!$Q439))</f>
        <v/>
      </c>
    </row>
    <row r="441" spans="1:10" x14ac:dyDescent="0.35">
      <c r="A441" s="18" t="str">
        <f>IF('Lot Balance'!$A440="","",'Lot Balance'!$A440)</f>
        <v/>
      </c>
      <c r="B441" s="18" t="str">
        <f>IF($A441="","",'Lot Balance'!$B440)</f>
        <v/>
      </c>
      <c r="C441" s="18" t="str">
        <f>IF($A441="","",'Lot Balance'!$C440)</f>
        <v/>
      </c>
      <c r="D441" s="25" t="str">
        <f>IF($A441="","",'Lot Balance'!$G440)</f>
        <v/>
      </c>
      <c r="E441" s="25" t="str">
        <f>IF($A441="","",'Lot Balance'!$H440)</f>
        <v/>
      </c>
      <c r="F441" s="23" t="str">
        <f>IF($A441="","",'Lot Balance'!$I440)</f>
        <v/>
      </c>
      <c r="G441" s="23" t="str">
        <f>IF($A441="","",'Lot Balance'!$O440)</f>
        <v/>
      </c>
      <c r="H441" s="33" t="str">
        <f>IF($A441="","",'Lot Balance'!$P440)</f>
        <v/>
      </c>
      <c r="I441" s="26" t="str">
        <f>IF($A441="","",COUNTIFS(tblIssues[Lot Number],$B441))</f>
        <v/>
      </c>
      <c r="J441" s="31" t="str">
        <f>IF($A441="","",IF('Lot Balance'!$O440&lt;=0,"Depleted",'Lot Balance'!$Q440))</f>
        <v/>
      </c>
    </row>
    <row r="442" spans="1:10" x14ac:dyDescent="0.35">
      <c r="A442" s="18" t="str">
        <f>IF('Lot Balance'!$A441="","",'Lot Balance'!$A441)</f>
        <v/>
      </c>
      <c r="B442" s="18" t="str">
        <f>IF($A442="","",'Lot Balance'!$B441)</f>
        <v/>
      </c>
      <c r="C442" s="18" t="str">
        <f>IF($A442="","",'Lot Balance'!$C441)</f>
        <v/>
      </c>
      <c r="D442" s="25" t="str">
        <f>IF($A442="","",'Lot Balance'!$G441)</f>
        <v/>
      </c>
      <c r="E442" s="25" t="str">
        <f>IF($A442="","",'Lot Balance'!$H441)</f>
        <v/>
      </c>
      <c r="F442" s="23" t="str">
        <f>IF($A442="","",'Lot Balance'!$I441)</f>
        <v/>
      </c>
      <c r="G442" s="23" t="str">
        <f>IF($A442="","",'Lot Balance'!$O441)</f>
        <v/>
      </c>
      <c r="H442" s="33" t="str">
        <f>IF($A442="","",'Lot Balance'!$P441)</f>
        <v/>
      </c>
      <c r="I442" s="26" t="str">
        <f>IF($A442="","",COUNTIFS(tblIssues[Lot Number],$B442))</f>
        <v/>
      </c>
      <c r="J442" s="31" t="str">
        <f>IF($A442="","",IF('Lot Balance'!$O441&lt;=0,"Depleted",'Lot Balance'!$Q441))</f>
        <v/>
      </c>
    </row>
    <row r="443" spans="1:10" x14ac:dyDescent="0.35">
      <c r="A443" s="18" t="str">
        <f>IF('Lot Balance'!$A442="","",'Lot Balance'!$A442)</f>
        <v/>
      </c>
      <c r="B443" s="18" t="str">
        <f>IF($A443="","",'Lot Balance'!$B442)</f>
        <v/>
      </c>
      <c r="C443" s="18" t="str">
        <f>IF($A443="","",'Lot Balance'!$C442)</f>
        <v/>
      </c>
      <c r="D443" s="25" t="str">
        <f>IF($A443="","",'Lot Balance'!$G442)</f>
        <v/>
      </c>
      <c r="E443" s="25" t="str">
        <f>IF($A443="","",'Lot Balance'!$H442)</f>
        <v/>
      </c>
      <c r="F443" s="23" t="str">
        <f>IF($A443="","",'Lot Balance'!$I442)</f>
        <v/>
      </c>
      <c r="G443" s="23" t="str">
        <f>IF($A443="","",'Lot Balance'!$O442)</f>
        <v/>
      </c>
      <c r="H443" s="33" t="str">
        <f>IF($A443="","",'Lot Balance'!$P442)</f>
        <v/>
      </c>
      <c r="I443" s="26" t="str">
        <f>IF($A443="","",COUNTIFS(tblIssues[Lot Number],$B443))</f>
        <v/>
      </c>
      <c r="J443" s="31" t="str">
        <f>IF($A443="","",IF('Lot Balance'!$O442&lt;=0,"Depleted",'Lot Balance'!$Q442))</f>
        <v/>
      </c>
    </row>
    <row r="444" spans="1:10" x14ac:dyDescent="0.35">
      <c r="A444" s="18" t="str">
        <f>IF('Lot Balance'!$A443="","",'Lot Balance'!$A443)</f>
        <v/>
      </c>
      <c r="B444" s="18" t="str">
        <f>IF($A444="","",'Lot Balance'!$B443)</f>
        <v/>
      </c>
      <c r="C444" s="18" t="str">
        <f>IF($A444="","",'Lot Balance'!$C443)</f>
        <v/>
      </c>
      <c r="D444" s="25" t="str">
        <f>IF($A444="","",'Lot Balance'!$G443)</f>
        <v/>
      </c>
      <c r="E444" s="25" t="str">
        <f>IF($A444="","",'Lot Balance'!$H443)</f>
        <v/>
      </c>
      <c r="F444" s="23" t="str">
        <f>IF($A444="","",'Lot Balance'!$I443)</f>
        <v/>
      </c>
      <c r="G444" s="23" t="str">
        <f>IF($A444="","",'Lot Balance'!$O443)</f>
        <v/>
      </c>
      <c r="H444" s="33" t="str">
        <f>IF($A444="","",'Lot Balance'!$P443)</f>
        <v/>
      </c>
      <c r="I444" s="26" t="str">
        <f>IF($A444="","",COUNTIFS(tblIssues[Lot Number],$B444))</f>
        <v/>
      </c>
      <c r="J444" s="31" t="str">
        <f>IF($A444="","",IF('Lot Balance'!$O443&lt;=0,"Depleted",'Lot Balance'!$Q443))</f>
        <v/>
      </c>
    </row>
    <row r="445" spans="1:10" x14ac:dyDescent="0.35">
      <c r="A445" s="18" t="str">
        <f>IF('Lot Balance'!$A444="","",'Lot Balance'!$A444)</f>
        <v/>
      </c>
      <c r="B445" s="18" t="str">
        <f>IF($A445="","",'Lot Balance'!$B444)</f>
        <v/>
      </c>
      <c r="C445" s="18" t="str">
        <f>IF($A445="","",'Lot Balance'!$C444)</f>
        <v/>
      </c>
      <c r="D445" s="25" t="str">
        <f>IF($A445="","",'Lot Balance'!$G444)</f>
        <v/>
      </c>
      <c r="E445" s="25" t="str">
        <f>IF($A445="","",'Lot Balance'!$H444)</f>
        <v/>
      </c>
      <c r="F445" s="23" t="str">
        <f>IF($A445="","",'Lot Balance'!$I444)</f>
        <v/>
      </c>
      <c r="G445" s="23" t="str">
        <f>IF($A445="","",'Lot Balance'!$O444)</f>
        <v/>
      </c>
      <c r="H445" s="33" t="str">
        <f>IF($A445="","",'Lot Balance'!$P444)</f>
        <v/>
      </c>
      <c r="I445" s="26" t="str">
        <f>IF($A445="","",COUNTIFS(tblIssues[Lot Number],$B445))</f>
        <v/>
      </c>
      <c r="J445" s="31" t="str">
        <f>IF($A445="","",IF('Lot Balance'!$O444&lt;=0,"Depleted",'Lot Balance'!$Q444))</f>
        <v/>
      </c>
    </row>
    <row r="446" spans="1:10" x14ac:dyDescent="0.35">
      <c r="A446" s="18" t="str">
        <f>IF('Lot Balance'!$A445="","",'Lot Balance'!$A445)</f>
        <v/>
      </c>
      <c r="B446" s="18" t="str">
        <f>IF($A446="","",'Lot Balance'!$B445)</f>
        <v/>
      </c>
      <c r="C446" s="18" t="str">
        <f>IF($A446="","",'Lot Balance'!$C445)</f>
        <v/>
      </c>
      <c r="D446" s="25" t="str">
        <f>IF($A446="","",'Lot Balance'!$G445)</f>
        <v/>
      </c>
      <c r="E446" s="25" t="str">
        <f>IF($A446="","",'Lot Balance'!$H445)</f>
        <v/>
      </c>
      <c r="F446" s="23" t="str">
        <f>IF($A446="","",'Lot Balance'!$I445)</f>
        <v/>
      </c>
      <c r="G446" s="23" t="str">
        <f>IF($A446="","",'Lot Balance'!$O445)</f>
        <v/>
      </c>
      <c r="H446" s="33" t="str">
        <f>IF($A446="","",'Lot Balance'!$P445)</f>
        <v/>
      </c>
      <c r="I446" s="26" t="str">
        <f>IF($A446="","",COUNTIFS(tblIssues[Lot Number],$B446))</f>
        <v/>
      </c>
      <c r="J446" s="31" t="str">
        <f>IF($A446="","",IF('Lot Balance'!$O445&lt;=0,"Depleted",'Lot Balance'!$Q445))</f>
        <v/>
      </c>
    </row>
    <row r="447" spans="1:10" x14ac:dyDescent="0.35">
      <c r="A447" s="18" t="str">
        <f>IF('Lot Balance'!$A446="","",'Lot Balance'!$A446)</f>
        <v/>
      </c>
      <c r="B447" s="18" t="str">
        <f>IF($A447="","",'Lot Balance'!$B446)</f>
        <v/>
      </c>
      <c r="C447" s="18" t="str">
        <f>IF($A447="","",'Lot Balance'!$C446)</f>
        <v/>
      </c>
      <c r="D447" s="25" t="str">
        <f>IF($A447="","",'Lot Balance'!$G446)</f>
        <v/>
      </c>
      <c r="E447" s="25" t="str">
        <f>IF($A447="","",'Lot Balance'!$H446)</f>
        <v/>
      </c>
      <c r="F447" s="23" t="str">
        <f>IF($A447="","",'Lot Balance'!$I446)</f>
        <v/>
      </c>
      <c r="G447" s="23" t="str">
        <f>IF($A447="","",'Lot Balance'!$O446)</f>
        <v/>
      </c>
      <c r="H447" s="33" t="str">
        <f>IF($A447="","",'Lot Balance'!$P446)</f>
        <v/>
      </c>
      <c r="I447" s="26" t="str">
        <f>IF($A447="","",COUNTIFS(tblIssues[Lot Number],$B447))</f>
        <v/>
      </c>
      <c r="J447" s="31" t="str">
        <f>IF($A447="","",IF('Lot Balance'!$O446&lt;=0,"Depleted",'Lot Balance'!$Q446))</f>
        <v/>
      </c>
    </row>
    <row r="448" spans="1:10" x14ac:dyDescent="0.35">
      <c r="A448" s="18" t="str">
        <f>IF('Lot Balance'!$A447="","",'Lot Balance'!$A447)</f>
        <v/>
      </c>
      <c r="B448" s="18" t="str">
        <f>IF($A448="","",'Lot Balance'!$B447)</f>
        <v/>
      </c>
      <c r="C448" s="18" t="str">
        <f>IF($A448="","",'Lot Balance'!$C447)</f>
        <v/>
      </c>
      <c r="D448" s="25" t="str">
        <f>IF($A448="","",'Lot Balance'!$G447)</f>
        <v/>
      </c>
      <c r="E448" s="25" t="str">
        <f>IF($A448="","",'Lot Balance'!$H447)</f>
        <v/>
      </c>
      <c r="F448" s="23" t="str">
        <f>IF($A448="","",'Lot Balance'!$I447)</f>
        <v/>
      </c>
      <c r="G448" s="23" t="str">
        <f>IF($A448="","",'Lot Balance'!$O447)</f>
        <v/>
      </c>
      <c r="H448" s="33" t="str">
        <f>IF($A448="","",'Lot Balance'!$P447)</f>
        <v/>
      </c>
      <c r="I448" s="26" t="str">
        <f>IF($A448="","",COUNTIFS(tblIssues[Lot Number],$B448))</f>
        <v/>
      </c>
      <c r="J448" s="31" t="str">
        <f>IF($A448="","",IF('Lot Balance'!$O447&lt;=0,"Depleted",'Lot Balance'!$Q447))</f>
        <v/>
      </c>
    </row>
    <row r="449" spans="1:10" x14ac:dyDescent="0.35">
      <c r="A449" s="18" t="str">
        <f>IF('Lot Balance'!$A448="","",'Lot Balance'!$A448)</f>
        <v/>
      </c>
      <c r="B449" s="18" t="str">
        <f>IF($A449="","",'Lot Balance'!$B448)</f>
        <v/>
      </c>
      <c r="C449" s="18" t="str">
        <f>IF($A449="","",'Lot Balance'!$C448)</f>
        <v/>
      </c>
      <c r="D449" s="25" t="str">
        <f>IF($A449="","",'Lot Balance'!$G448)</f>
        <v/>
      </c>
      <c r="E449" s="25" t="str">
        <f>IF($A449="","",'Lot Balance'!$H448)</f>
        <v/>
      </c>
      <c r="F449" s="23" t="str">
        <f>IF($A449="","",'Lot Balance'!$I448)</f>
        <v/>
      </c>
      <c r="G449" s="23" t="str">
        <f>IF($A449="","",'Lot Balance'!$O448)</f>
        <v/>
      </c>
      <c r="H449" s="33" t="str">
        <f>IF($A449="","",'Lot Balance'!$P448)</f>
        <v/>
      </c>
      <c r="I449" s="26" t="str">
        <f>IF($A449="","",COUNTIFS(tblIssues[Lot Number],$B449))</f>
        <v/>
      </c>
      <c r="J449" s="31" t="str">
        <f>IF($A449="","",IF('Lot Balance'!$O448&lt;=0,"Depleted",'Lot Balance'!$Q448))</f>
        <v/>
      </c>
    </row>
    <row r="450" spans="1:10" x14ac:dyDescent="0.35">
      <c r="A450" s="18" t="str">
        <f>IF('Lot Balance'!$A449="","",'Lot Balance'!$A449)</f>
        <v/>
      </c>
      <c r="B450" s="18" t="str">
        <f>IF($A450="","",'Lot Balance'!$B449)</f>
        <v/>
      </c>
      <c r="C450" s="18" t="str">
        <f>IF($A450="","",'Lot Balance'!$C449)</f>
        <v/>
      </c>
      <c r="D450" s="25" t="str">
        <f>IF($A450="","",'Lot Balance'!$G449)</f>
        <v/>
      </c>
      <c r="E450" s="25" t="str">
        <f>IF($A450="","",'Lot Balance'!$H449)</f>
        <v/>
      </c>
      <c r="F450" s="23" t="str">
        <f>IF($A450="","",'Lot Balance'!$I449)</f>
        <v/>
      </c>
      <c r="G450" s="23" t="str">
        <f>IF($A450="","",'Lot Balance'!$O449)</f>
        <v/>
      </c>
      <c r="H450" s="33" t="str">
        <f>IF($A450="","",'Lot Balance'!$P449)</f>
        <v/>
      </c>
      <c r="I450" s="26" t="str">
        <f>IF($A450="","",COUNTIFS(tblIssues[Lot Number],$B450))</f>
        <v/>
      </c>
      <c r="J450" s="31" t="str">
        <f>IF($A450="","",IF('Lot Balance'!$O449&lt;=0,"Depleted",'Lot Balance'!$Q449))</f>
        <v/>
      </c>
    </row>
    <row r="451" spans="1:10" x14ac:dyDescent="0.35">
      <c r="A451" s="18" t="str">
        <f>IF('Lot Balance'!$A450="","",'Lot Balance'!$A450)</f>
        <v/>
      </c>
      <c r="B451" s="18" t="str">
        <f>IF($A451="","",'Lot Balance'!$B450)</f>
        <v/>
      </c>
      <c r="C451" s="18" t="str">
        <f>IF($A451="","",'Lot Balance'!$C450)</f>
        <v/>
      </c>
      <c r="D451" s="25" t="str">
        <f>IF($A451="","",'Lot Balance'!$G450)</f>
        <v/>
      </c>
      <c r="E451" s="25" t="str">
        <f>IF($A451="","",'Lot Balance'!$H450)</f>
        <v/>
      </c>
      <c r="F451" s="23" t="str">
        <f>IF($A451="","",'Lot Balance'!$I450)</f>
        <v/>
      </c>
      <c r="G451" s="23" t="str">
        <f>IF($A451="","",'Lot Balance'!$O450)</f>
        <v/>
      </c>
      <c r="H451" s="33" t="str">
        <f>IF($A451="","",'Lot Balance'!$P450)</f>
        <v/>
      </c>
      <c r="I451" s="26" t="str">
        <f>IF($A451="","",COUNTIFS(tblIssues[Lot Number],$B451))</f>
        <v/>
      </c>
      <c r="J451" s="31" t="str">
        <f>IF($A451="","",IF('Lot Balance'!$O450&lt;=0,"Depleted",'Lot Balance'!$Q450))</f>
        <v/>
      </c>
    </row>
    <row r="452" spans="1:10" x14ac:dyDescent="0.35">
      <c r="A452" s="18" t="str">
        <f>IF('Lot Balance'!$A451="","",'Lot Balance'!$A451)</f>
        <v/>
      </c>
      <c r="B452" s="18" t="str">
        <f>IF($A452="","",'Lot Balance'!$B451)</f>
        <v/>
      </c>
      <c r="C452" s="18" t="str">
        <f>IF($A452="","",'Lot Balance'!$C451)</f>
        <v/>
      </c>
      <c r="D452" s="25" t="str">
        <f>IF($A452="","",'Lot Balance'!$G451)</f>
        <v/>
      </c>
      <c r="E452" s="25" t="str">
        <f>IF($A452="","",'Lot Balance'!$H451)</f>
        <v/>
      </c>
      <c r="F452" s="23" t="str">
        <f>IF($A452="","",'Lot Balance'!$I451)</f>
        <v/>
      </c>
      <c r="G452" s="23" t="str">
        <f>IF($A452="","",'Lot Balance'!$O451)</f>
        <v/>
      </c>
      <c r="H452" s="33" t="str">
        <f>IF($A452="","",'Lot Balance'!$P451)</f>
        <v/>
      </c>
      <c r="I452" s="26" t="str">
        <f>IF($A452="","",COUNTIFS(tblIssues[Lot Number],$B452))</f>
        <v/>
      </c>
      <c r="J452" s="31" t="str">
        <f>IF($A452="","",IF('Lot Balance'!$O451&lt;=0,"Depleted",'Lot Balance'!$Q451))</f>
        <v/>
      </c>
    </row>
    <row r="453" spans="1:10" x14ac:dyDescent="0.35">
      <c r="A453" s="18" t="str">
        <f>IF('Lot Balance'!$A452="","",'Lot Balance'!$A452)</f>
        <v/>
      </c>
      <c r="B453" s="18" t="str">
        <f>IF($A453="","",'Lot Balance'!$B452)</f>
        <v/>
      </c>
      <c r="C453" s="18" t="str">
        <f>IF($A453="","",'Lot Balance'!$C452)</f>
        <v/>
      </c>
      <c r="D453" s="25" t="str">
        <f>IF($A453="","",'Lot Balance'!$G452)</f>
        <v/>
      </c>
      <c r="E453" s="25" t="str">
        <f>IF($A453="","",'Lot Balance'!$H452)</f>
        <v/>
      </c>
      <c r="F453" s="23" t="str">
        <f>IF($A453="","",'Lot Balance'!$I452)</f>
        <v/>
      </c>
      <c r="G453" s="23" t="str">
        <f>IF($A453="","",'Lot Balance'!$O452)</f>
        <v/>
      </c>
      <c r="H453" s="33" t="str">
        <f>IF($A453="","",'Lot Balance'!$P452)</f>
        <v/>
      </c>
      <c r="I453" s="26" t="str">
        <f>IF($A453="","",COUNTIFS(tblIssues[Lot Number],$B453))</f>
        <v/>
      </c>
      <c r="J453" s="31" t="str">
        <f>IF($A453="","",IF('Lot Balance'!$O452&lt;=0,"Depleted",'Lot Balance'!$Q452))</f>
        <v/>
      </c>
    </row>
    <row r="454" spans="1:10" x14ac:dyDescent="0.35">
      <c r="A454" s="18" t="str">
        <f>IF('Lot Balance'!$A453="","",'Lot Balance'!$A453)</f>
        <v/>
      </c>
      <c r="B454" s="18" t="str">
        <f>IF($A454="","",'Lot Balance'!$B453)</f>
        <v/>
      </c>
      <c r="C454" s="18" t="str">
        <f>IF($A454="","",'Lot Balance'!$C453)</f>
        <v/>
      </c>
      <c r="D454" s="25" t="str">
        <f>IF($A454="","",'Lot Balance'!$G453)</f>
        <v/>
      </c>
      <c r="E454" s="25" t="str">
        <f>IF($A454="","",'Lot Balance'!$H453)</f>
        <v/>
      </c>
      <c r="F454" s="23" t="str">
        <f>IF($A454="","",'Lot Balance'!$I453)</f>
        <v/>
      </c>
      <c r="G454" s="23" t="str">
        <f>IF($A454="","",'Lot Balance'!$O453)</f>
        <v/>
      </c>
      <c r="H454" s="33" t="str">
        <f>IF($A454="","",'Lot Balance'!$P453)</f>
        <v/>
      </c>
      <c r="I454" s="26" t="str">
        <f>IF($A454="","",COUNTIFS(tblIssues[Lot Number],$B454))</f>
        <v/>
      </c>
      <c r="J454" s="31" t="str">
        <f>IF($A454="","",IF('Lot Balance'!$O453&lt;=0,"Depleted",'Lot Balance'!$Q453))</f>
        <v/>
      </c>
    </row>
    <row r="455" spans="1:10" x14ac:dyDescent="0.35">
      <c r="A455" s="18" t="str">
        <f>IF('Lot Balance'!$A454="","",'Lot Balance'!$A454)</f>
        <v/>
      </c>
      <c r="B455" s="18" t="str">
        <f>IF($A455="","",'Lot Balance'!$B454)</f>
        <v/>
      </c>
      <c r="C455" s="18" t="str">
        <f>IF($A455="","",'Lot Balance'!$C454)</f>
        <v/>
      </c>
      <c r="D455" s="25" t="str">
        <f>IF($A455="","",'Lot Balance'!$G454)</f>
        <v/>
      </c>
      <c r="E455" s="25" t="str">
        <f>IF($A455="","",'Lot Balance'!$H454)</f>
        <v/>
      </c>
      <c r="F455" s="23" t="str">
        <f>IF($A455="","",'Lot Balance'!$I454)</f>
        <v/>
      </c>
      <c r="G455" s="23" t="str">
        <f>IF($A455="","",'Lot Balance'!$O454)</f>
        <v/>
      </c>
      <c r="H455" s="33" t="str">
        <f>IF($A455="","",'Lot Balance'!$P454)</f>
        <v/>
      </c>
      <c r="I455" s="26" t="str">
        <f>IF($A455="","",COUNTIFS(tblIssues[Lot Number],$B455))</f>
        <v/>
      </c>
      <c r="J455" s="31" t="str">
        <f>IF($A455="","",IF('Lot Balance'!$O454&lt;=0,"Depleted",'Lot Balance'!$Q454))</f>
        <v/>
      </c>
    </row>
    <row r="456" spans="1:10" x14ac:dyDescent="0.35">
      <c r="A456" s="18" t="str">
        <f>IF('Lot Balance'!$A455="","",'Lot Balance'!$A455)</f>
        <v/>
      </c>
      <c r="B456" s="18" t="str">
        <f>IF($A456="","",'Lot Balance'!$B455)</f>
        <v/>
      </c>
      <c r="C456" s="18" t="str">
        <f>IF($A456="","",'Lot Balance'!$C455)</f>
        <v/>
      </c>
      <c r="D456" s="25" t="str">
        <f>IF($A456="","",'Lot Balance'!$G455)</f>
        <v/>
      </c>
      <c r="E456" s="25" t="str">
        <f>IF($A456="","",'Lot Balance'!$H455)</f>
        <v/>
      </c>
      <c r="F456" s="23" t="str">
        <f>IF($A456="","",'Lot Balance'!$I455)</f>
        <v/>
      </c>
      <c r="G456" s="23" t="str">
        <f>IF($A456="","",'Lot Balance'!$O455)</f>
        <v/>
      </c>
      <c r="H456" s="33" t="str">
        <f>IF($A456="","",'Lot Balance'!$P455)</f>
        <v/>
      </c>
      <c r="I456" s="26" t="str">
        <f>IF($A456="","",COUNTIFS(tblIssues[Lot Number],$B456))</f>
        <v/>
      </c>
      <c r="J456" s="31" t="str">
        <f>IF($A456="","",IF('Lot Balance'!$O455&lt;=0,"Depleted",'Lot Balance'!$Q455))</f>
        <v/>
      </c>
    </row>
    <row r="457" spans="1:10" x14ac:dyDescent="0.35">
      <c r="A457" s="18" t="str">
        <f>IF('Lot Balance'!$A456="","",'Lot Balance'!$A456)</f>
        <v/>
      </c>
      <c r="B457" s="18" t="str">
        <f>IF($A457="","",'Lot Balance'!$B456)</f>
        <v/>
      </c>
      <c r="C457" s="18" t="str">
        <f>IF($A457="","",'Lot Balance'!$C456)</f>
        <v/>
      </c>
      <c r="D457" s="25" t="str">
        <f>IF($A457="","",'Lot Balance'!$G456)</f>
        <v/>
      </c>
      <c r="E457" s="25" t="str">
        <f>IF($A457="","",'Lot Balance'!$H456)</f>
        <v/>
      </c>
      <c r="F457" s="23" t="str">
        <f>IF($A457="","",'Lot Balance'!$I456)</f>
        <v/>
      </c>
      <c r="G457" s="23" t="str">
        <f>IF($A457="","",'Lot Balance'!$O456)</f>
        <v/>
      </c>
      <c r="H457" s="33" t="str">
        <f>IF($A457="","",'Lot Balance'!$P456)</f>
        <v/>
      </c>
      <c r="I457" s="26" t="str">
        <f>IF($A457="","",COUNTIFS(tblIssues[Lot Number],$B457))</f>
        <v/>
      </c>
      <c r="J457" s="31" t="str">
        <f>IF($A457="","",IF('Lot Balance'!$O456&lt;=0,"Depleted",'Lot Balance'!$Q456))</f>
        <v/>
      </c>
    </row>
    <row r="458" spans="1:10" x14ac:dyDescent="0.35">
      <c r="A458" s="18" t="str">
        <f>IF('Lot Balance'!$A457="","",'Lot Balance'!$A457)</f>
        <v/>
      </c>
      <c r="B458" s="18" t="str">
        <f>IF($A458="","",'Lot Balance'!$B457)</f>
        <v/>
      </c>
      <c r="C458" s="18" t="str">
        <f>IF($A458="","",'Lot Balance'!$C457)</f>
        <v/>
      </c>
      <c r="D458" s="25" t="str">
        <f>IF($A458="","",'Lot Balance'!$G457)</f>
        <v/>
      </c>
      <c r="E458" s="25" t="str">
        <f>IF($A458="","",'Lot Balance'!$H457)</f>
        <v/>
      </c>
      <c r="F458" s="23" t="str">
        <f>IF($A458="","",'Lot Balance'!$I457)</f>
        <v/>
      </c>
      <c r="G458" s="23" t="str">
        <f>IF($A458="","",'Lot Balance'!$O457)</f>
        <v/>
      </c>
      <c r="H458" s="33" t="str">
        <f>IF($A458="","",'Lot Balance'!$P457)</f>
        <v/>
      </c>
      <c r="I458" s="26" t="str">
        <f>IF($A458="","",COUNTIFS(tblIssues[Lot Number],$B458))</f>
        <v/>
      </c>
      <c r="J458" s="31" t="str">
        <f>IF($A458="","",IF('Lot Balance'!$O457&lt;=0,"Depleted",'Lot Balance'!$Q457))</f>
        <v/>
      </c>
    </row>
    <row r="459" spans="1:10" x14ac:dyDescent="0.35">
      <c r="A459" s="18" t="str">
        <f>IF('Lot Balance'!$A458="","",'Lot Balance'!$A458)</f>
        <v/>
      </c>
      <c r="B459" s="18" t="str">
        <f>IF($A459="","",'Lot Balance'!$B458)</f>
        <v/>
      </c>
      <c r="C459" s="18" t="str">
        <f>IF($A459="","",'Lot Balance'!$C458)</f>
        <v/>
      </c>
      <c r="D459" s="25" t="str">
        <f>IF($A459="","",'Lot Balance'!$G458)</f>
        <v/>
      </c>
      <c r="E459" s="25" t="str">
        <f>IF($A459="","",'Lot Balance'!$H458)</f>
        <v/>
      </c>
      <c r="F459" s="23" t="str">
        <f>IF($A459="","",'Lot Balance'!$I458)</f>
        <v/>
      </c>
      <c r="G459" s="23" t="str">
        <f>IF($A459="","",'Lot Balance'!$O458)</f>
        <v/>
      </c>
      <c r="H459" s="33" t="str">
        <f>IF($A459="","",'Lot Balance'!$P458)</f>
        <v/>
      </c>
      <c r="I459" s="26" t="str">
        <f>IF($A459="","",COUNTIFS(tblIssues[Lot Number],$B459))</f>
        <v/>
      </c>
      <c r="J459" s="31" t="str">
        <f>IF($A459="","",IF('Lot Balance'!$O458&lt;=0,"Depleted",'Lot Balance'!$Q458))</f>
        <v/>
      </c>
    </row>
    <row r="460" spans="1:10" x14ac:dyDescent="0.35">
      <c r="A460" s="18" t="str">
        <f>IF('Lot Balance'!$A459="","",'Lot Balance'!$A459)</f>
        <v/>
      </c>
      <c r="B460" s="18" t="str">
        <f>IF($A460="","",'Lot Balance'!$B459)</f>
        <v/>
      </c>
      <c r="C460" s="18" t="str">
        <f>IF($A460="","",'Lot Balance'!$C459)</f>
        <v/>
      </c>
      <c r="D460" s="25" t="str">
        <f>IF($A460="","",'Lot Balance'!$G459)</f>
        <v/>
      </c>
      <c r="E460" s="25" t="str">
        <f>IF($A460="","",'Lot Balance'!$H459)</f>
        <v/>
      </c>
      <c r="F460" s="23" t="str">
        <f>IF($A460="","",'Lot Balance'!$I459)</f>
        <v/>
      </c>
      <c r="G460" s="23" t="str">
        <f>IF($A460="","",'Lot Balance'!$O459)</f>
        <v/>
      </c>
      <c r="H460" s="33" t="str">
        <f>IF($A460="","",'Lot Balance'!$P459)</f>
        <v/>
      </c>
      <c r="I460" s="26" t="str">
        <f>IF($A460="","",COUNTIFS(tblIssues[Lot Number],$B460))</f>
        <v/>
      </c>
      <c r="J460" s="31" t="str">
        <f>IF($A460="","",IF('Lot Balance'!$O459&lt;=0,"Depleted",'Lot Balance'!$Q459))</f>
        <v/>
      </c>
    </row>
    <row r="461" spans="1:10" x14ac:dyDescent="0.35">
      <c r="A461" s="18" t="str">
        <f>IF('Lot Balance'!$A460="","",'Lot Balance'!$A460)</f>
        <v/>
      </c>
      <c r="B461" s="18" t="str">
        <f>IF($A461="","",'Lot Balance'!$B460)</f>
        <v/>
      </c>
      <c r="C461" s="18" t="str">
        <f>IF($A461="","",'Lot Balance'!$C460)</f>
        <v/>
      </c>
      <c r="D461" s="25" t="str">
        <f>IF($A461="","",'Lot Balance'!$G460)</f>
        <v/>
      </c>
      <c r="E461" s="25" t="str">
        <f>IF($A461="","",'Lot Balance'!$H460)</f>
        <v/>
      </c>
      <c r="F461" s="23" t="str">
        <f>IF($A461="","",'Lot Balance'!$I460)</f>
        <v/>
      </c>
      <c r="G461" s="23" t="str">
        <f>IF($A461="","",'Lot Balance'!$O460)</f>
        <v/>
      </c>
      <c r="H461" s="33" t="str">
        <f>IF($A461="","",'Lot Balance'!$P460)</f>
        <v/>
      </c>
      <c r="I461" s="26" t="str">
        <f>IF($A461="","",COUNTIFS(tblIssues[Lot Number],$B461))</f>
        <v/>
      </c>
      <c r="J461" s="31" t="str">
        <f>IF($A461="","",IF('Lot Balance'!$O460&lt;=0,"Depleted",'Lot Balance'!$Q460))</f>
        <v/>
      </c>
    </row>
    <row r="462" spans="1:10" x14ac:dyDescent="0.35">
      <c r="A462" s="18" t="str">
        <f>IF('Lot Balance'!$A461="","",'Lot Balance'!$A461)</f>
        <v/>
      </c>
      <c r="B462" s="18" t="str">
        <f>IF($A462="","",'Lot Balance'!$B461)</f>
        <v/>
      </c>
      <c r="C462" s="18" t="str">
        <f>IF($A462="","",'Lot Balance'!$C461)</f>
        <v/>
      </c>
      <c r="D462" s="25" t="str">
        <f>IF($A462="","",'Lot Balance'!$G461)</f>
        <v/>
      </c>
      <c r="E462" s="25" t="str">
        <f>IF($A462="","",'Lot Balance'!$H461)</f>
        <v/>
      </c>
      <c r="F462" s="23" t="str">
        <f>IF($A462="","",'Lot Balance'!$I461)</f>
        <v/>
      </c>
      <c r="G462" s="23" t="str">
        <f>IF($A462="","",'Lot Balance'!$O461)</f>
        <v/>
      </c>
      <c r="H462" s="33" t="str">
        <f>IF($A462="","",'Lot Balance'!$P461)</f>
        <v/>
      </c>
      <c r="I462" s="26" t="str">
        <f>IF($A462="","",COUNTIFS(tblIssues[Lot Number],$B462))</f>
        <v/>
      </c>
      <c r="J462" s="31" t="str">
        <f>IF($A462="","",IF('Lot Balance'!$O461&lt;=0,"Depleted",'Lot Balance'!$Q461))</f>
        <v/>
      </c>
    </row>
    <row r="463" spans="1:10" x14ac:dyDescent="0.35">
      <c r="A463" s="18" t="str">
        <f>IF('Lot Balance'!$A462="","",'Lot Balance'!$A462)</f>
        <v/>
      </c>
      <c r="B463" s="18" t="str">
        <f>IF($A463="","",'Lot Balance'!$B462)</f>
        <v/>
      </c>
      <c r="C463" s="18" t="str">
        <f>IF($A463="","",'Lot Balance'!$C462)</f>
        <v/>
      </c>
      <c r="D463" s="25" t="str">
        <f>IF($A463="","",'Lot Balance'!$G462)</f>
        <v/>
      </c>
      <c r="E463" s="25" t="str">
        <f>IF($A463="","",'Lot Balance'!$H462)</f>
        <v/>
      </c>
      <c r="F463" s="23" t="str">
        <f>IF($A463="","",'Lot Balance'!$I462)</f>
        <v/>
      </c>
      <c r="G463" s="23" t="str">
        <f>IF($A463="","",'Lot Balance'!$O462)</f>
        <v/>
      </c>
      <c r="H463" s="33" t="str">
        <f>IF($A463="","",'Lot Balance'!$P462)</f>
        <v/>
      </c>
      <c r="I463" s="26" t="str">
        <f>IF($A463="","",COUNTIFS(tblIssues[Lot Number],$B463))</f>
        <v/>
      </c>
      <c r="J463" s="31" t="str">
        <f>IF($A463="","",IF('Lot Balance'!$O462&lt;=0,"Depleted",'Lot Balance'!$Q462))</f>
        <v/>
      </c>
    </row>
    <row r="464" spans="1:10" x14ac:dyDescent="0.35">
      <c r="A464" s="18" t="str">
        <f>IF('Lot Balance'!$A463="","",'Lot Balance'!$A463)</f>
        <v/>
      </c>
      <c r="B464" s="18" t="str">
        <f>IF($A464="","",'Lot Balance'!$B463)</f>
        <v/>
      </c>
      <c r="C464" s="18" t="str">
        <f>IF($A464="","",'Lot Balance'!$C463)</f>
        <v/>
      </c>
      <c r="D464" s="25" t="str">
        <f>IF($A464="","",'Lot Balance'!$G463)</f>
        <v/>
      </c>
      <c r="E464" s="25" t="str">
        <f>IF($A464="","",'Lot Balance'!$H463)</f>
        <v/>
      </c>
      <c r="F464" s="23" t="str">
        <f>IF($A464="","",'Lot Balance'!$I463)</f>
        <v/>
      </c>
      <c r="G464" s="23" t="str">
        <f>IF($A464="","",'Lot Balance'!$O463)</f>
        <v/>
      </c>
      <c r="H464" s="33" t="str">
        <f>IF($A464="","",'Lot Balance'!$P463)</f>
        <v/>
      </c>
      <c r="I464" s="26" t="str">
        <f>IF($A464="","",COUNTIFS(tblIssues[Lot Number],$B464))</f>
        <v/>
      </c>
      <c r="J464" s="31" t="str">
        <f>IF($A464="","",IF('Lot Balance'!$O463&lt;=0,"Depleted",'Lot Balance'!$Q463))</f>
        <v/>
      </c>
    </row>
    <row r="465" spans="1:10" x14ac:dyDescent="0.35">
      <c r="A465" s="18" t="str">
        <f>IF('Lot Balance'!$A464="","",'Lot Balance'!$A464)</f>
        <v/>
      </c>
      <c r="B465" s="18" t="str">
        <f>IF($A465="","",'Lot Balance'!$B464)</f>
        <v/>
      </c>
      <c r="C465" s="18" t="str">
        <f>IF($A465="","",'Lot Balance'!$C464)</f>
        <v/>
      </c>
      <c r="D465" s="25" t="str">
        <f>IF($A465="","",'Lot Balance'!$G464)</f>
        <v/>
      </c>
      <c r="E465" s="25" t="str">
        <f>IF($A465="","",'Lot Balance'!$H464)</f>
        <v/>
      </c>
      <c r="F465" s="23" t="str">
        <f>IF($A465="","",'Lot Balance'!$I464)</f>
        <v/>
      </c>
      <c r="G465" s="23" t="str">
        <f>IF($A465="","",'Lot Balance'!$O464)</f>
        <v/>
      </c>
      <c r="H465" s="33" t="str">
        <f>IF($A465="","",'Lot Balance'!$P464)</f>
        <v/>
      </c>
      <c r="I465" s="26" t="str">
        <f>IF($A465="","",COUNTIFS(tblIssues[Lot Number],$B465))</f>
        <v/>
      </c>
      <c r="J465" s="31" t="str">
        <f>IF($A465="","",IF('Lot Balance'!$O464&lt;=0,"Depleted",'Lot Balance'!$Q464))</f>
        <v/>
      </c>
    </row>
    <row r="466" spans="1:10" x14ac:dyDescent="0.35">
      <c r="A466" s="18" t="str">
        <f>IF('Lot Balance'!$A465="","",'Lot Balance'!$A465)</f>
        <v/>
      </c>
      <c r="B466" s="18" t="str">
        <f>IF($A466="","",'Lot Balance'!$B465)</f>
        <v/>
      </c>
      <c r="C466" s="18" t="str">
        <f>IF($A466="","",'Lot Balance'!$C465)</f>
        <v/>
      </c>
      <c r="D466" s="25" t="str">
        <f>IF($A466="","",'Lot Balance'!$G465)</f>
        <v/>
      </c>
      <c r="E466" s="25" t="str">
        <f>IF($A466="","",'Lot Balance'!$H465)</f>
        <v/>
      </c>
      <c r="F466" s="23" t="str">
        <f>IF($A466="","",'Lot Balance'!$I465)</f>
        <v/>
      </c>
      <c r="G466" s="23" t="str">
        <f>IF($A466="","",'Lot Balance'!$O465)</f>
        <v/>
      </c>
      <c r="H466" s="33" t="str">
        <f>IF($A466="","",'Lot Balance'!$P465)</f>
        <v/>
      </c>
      <c r="I466" s="26" t="str">
        <f>IF($A466="","",COUNTIFS(tblIssues[Lot Number],$B466))</f>
        <v/>
      </c>
      <c r="J466" s="31" t="str">
        <f>IF($A466="","",IF('Lot Balance'!$O465&lt;=0,"Depleted",'Lot Balance'!$Q465))</f>
        <v/>
      </c>
    </row>
    <row r="467" spans="1:10" x14ac:dyDescent="0.35">
      <c r="A467" s="18" t="str">
        <f>IF('Lot Balance'!$A466="","",'Lot Balance'!$A466)</f>
        <v/>
      </c>
      <c r="B467" s="18" t="str">
        <f>IF($A467="","",'Lot Balance'!$B466)</f>
        <v/>
      </c>
      <c r="C467" s="18" t="str">
        <f>IF($A467="","",'Lot Balance'!$C466)</f>
        <v/>
      </c>
      <c r="D467" s="25" t="str">
        <f>IF($A467="","",'Lot Balance'!$G466)</f>
        <v/>
      </c>
      <c r="E467" s="25" t="str">
        <f>IF($A467="","",'Lot Balance'!$H466)</f>
        <v/>
      </c>
      <c r="F467" s="23" t="str">
        <f>IF($A467="","",'Lot Balance'!$I466)</f>
        <v/>
      </c>
      <c r="G467" s="23" t="str">
        <f>IF($A467="","",'Lot Balance'!$O466)</f>
        <v/>
      </c>
      <c r="H467" s="33" t="str">
        <f>IF($A467="","",'Lot Balance'!$P466)</f>
        <v/>
      </c>
      <c r="I467" s="26" t="str">
        <f>IF($A467="","",COUNTIFS(tblIssues[Lot Number],$B467))</f>
        <v/>
      </c>
      <c r="J467" s="31" t="str">
        <f>IF($A467="","",IF('Lot Balance'!$O466&lt;=0,"Depleted",'Lot Balance'!$Q466))</f>
        <v/>
      </c>
    </row>
    <row r="468" spans="1:10" x14ac:dyDescent="0.35">
      <c r="A468" s="18" t="str">
        <f>IF('Lot Balance'!$A467="","",'Lot Balance'!$A467)</f>
        <v/>
      </c>
      <c r="B468" s="18" t="str">
        <f>IF($A468="","",'Lot Balance'!$B467)</f>
        <v/>
      </c>
      <c r="C468" s="18" t="str">
        <f>IF($A468="","",'Lot Balance'!$C467)</f>
        <v/>
      </c>
      <c r="D468" s="25" t="str">
        <f>IF($A468="","",'Lot Balance'!$G467)</f>
        <v/>
      </c>
      <c r="E468" s="25" t="str">
        <f>IF($A468="","",'Lot Balance'!$H467)</f>
        <v/>
      </c>
      <c r="F468" s="23" t="str">
        <f>IF($A468="","",'Lot Balance'!$I467)</f>
        <v/>
      </c>
      <c r="G468" s="23" t="str">
        <f>IF($A468="","",'Lot Balance'!$O467)</f>
        <v/>
      </c>
      <c r="H468" s="33" t="str">
        <f>IF($A468="","",'Lot Balance'!$P467)</f>
        <v/>
      </c>
      <c r="I468" s="26" t="str">
        <f>IF($A468="","",COUNTIFS(tblIssues[Lot Number],$B468))</f>
        <v/>
      </c>
      <c r="J468" s="31" t="str">
        <f>IF($A468="","",IF('Lot Balance'!$O467&lt;=0,"Depleted",'Lot Balance'!$Q467))</f>
        <v/>
      </c>
    </row>
    <row r="469" spans="1:10" x14ac:dyDescent="0.35">
      <c r="A469" s="18" t="str">
        <f>IF('Lot Balance'!$A468="","",'Lot Balance'!$A468)</f>
        <v/>
      </c>
      <c r="B469" s="18" t="str">
        <f>IF($A469="","",'Lot Balance'!$B468)</f>
        <v/>
      </c>
      <c r="C469" s="18" t="str">
        <f>IF($A469="","",'Lot Balance'!$C468)</f>
        <v/>
      </c>
      <c r="D469" s="25" t="str">
        <f>IF($A469="","",'Lot Balance'!$G468)</f>
        <v/>
      </c>
      <c r="E469" s="25" t="str">
        <f>IF($A469="","",'Lot Balance'!$H468)</f>
        <v/>
      </c>
      <c r="F469" s="23" t="str">
        <f>IF($A469="","",'Lot Balance'!$I468)</f>
        <v/>
      </c>
      <c r="G469" s="23" t="str">
        <f>IF($A469="","",'Lot Balance'!$O468)</f>
        <v/>
      </c>
      <c r="H469" s="33" t="str">
        <f>IF($A469="","",'Lot Balance'!$P468)</f>
        <v/>
      </c>
      <c r="I469" s="26" t="str">
        <f>IF($A469="","",COUNTIFS(tblIssues[Lot Number],$B469))</f>
        <v/>
      </c>
      <c r="J469" s="31" t="str">
        <f>IF($A469="","",IF('Lot Balance'!$O468&lt;=0,"Depleted",'Lot Balance'!$Q468))</f>
        <v/>
      </c>
    </row>
    <row r="470" spans="1:10" x14ac:dyDescent="0.35">
      <c r="A470" s="18" t="str">
        <f>IF('Lot Balance'!$A469="","",'Lot Balance'!$A469)</f>
        <v/>
      </c>
      <c r="B470" s="18" t="str">
        <f>IF($A470="","",'Lot Balance'!$B469)</f>
        <v/>
      </c>
      <c r="C470" s="18" t="str">
        <f>IF($A470="","",'Lot Balance'!$C469)</f>
        <v/>
      </c>
      <c r="D470" s="25" t="str">
        <f>IF($A470="","",'Lot Balance'!$G469)</f>
        <v/>
      </c>
      <c r="E470" s="25" t="str">
        <f>IF($A470="","",'Lot Balance'!$H469)</f>
        <v/>
      </c>
      <c r="F470" s="23" t="str">
        <f>IF($A470="","",'Lot Balance'!$I469)</f>
        <v/>
      </c>
      <c r="G470" s="23" t="str">
        <f>IF($A470="","",'Lot Balance'!$O469)</f>
        <v/>
      </c>
      <c r="H470" s="33" t="str">
        <f>IF($A470="","",'Lot Balance'!$P469)</f>
        <v/>
      </c>
      <c r="I470" s="26" t="str">
        <f>IF($A470="","",COUNTIFS(tblIssues[Lot Number],$B470))</f>
        <v/>
      </c>
      <c r="J470" s="31" t="str">
        <f>IF($A470="","",IF('Lot Balance'!$O469&lt;=0,"Depleted",'Lot Balance'!$Q469))</f>
        <v/>
      </c>
    </row>
    <row r="471" spans="1:10" x14ac:dyDescent="0.35">
      <c r="A471" s="18" t="str">
        <f>IF('Lot Balance'!$A470="","",'Lot Balance'!$A470)</f>
        <v/>
      </c>
      <c r="B471" s="18" t="str">
        <f>IF($A471="","",'Lot Balance'!$B470)</f>
        <v/>
      </c>
      <c r="C471" s="18" t="str">
        <f>IF($A471="","",'Lot Balance'!$C470)</f>
        <v/>
      </c>
      <c r="D471" s="25" t="str">
        <f>IF($A471="","",'Lot Balance'!$G470)</f>
        <v/>
      </c>
      <c r="E471" s="25" t="str">
        <f>IF($A471="","",'Lot Balance'!$H470)</f>
        <v/>
      </c>
      <c r="F471" s="23" t="str">
        <f>IF($A471="","",'Lot Balance'!$I470)</f>
        <v/>
      </c>
      <c r="G471" s="23" t="str">
        <f>IF($A471="","",'Lot Balance'!$O470)</f>
        <v/>
      </c>
      <c r="H471" s="33" t="str">
        <f>IF($A471="","",'Lot Balance'!$P470)</f>
        <v/>
      </c>
      <c r="I471" s="26" t="str">
        <f>IF($A471="","",COUNTIFS(tblIssues[Lot Number],$B471))</f>
        <v/>
      </c>
      <c r="J471" s="31" t="str">
        <f>IF($A471="","",IF('Lot Balance'!$O470&lt;=0,"Depleted",'Lot Balance'!$Q470))</f>
        <v/>
      </c>
    </row>
    <row r="472" spans="1:10" x14ac:dyDescent="0.35">
      <c r="A472" s="18" t="str">
        <f>IF('Lot Balance'!$A471="","",'Lot Balance'!$A471)</f>
        <v/>
      </c>
      <c r="B472" s="18" t="str">
        <f>IF($A472="","",'Lot Balance'!$B471)</f>
        <v/>
      </c>
      <c r="C472" s="18" t="str">
        <f>IF($A472="","",'Lot Balance'!$C471)</f>
        <v/>
      </c>
      <c r="D472" s="25" t="str">
        <f>IF($A472="","",'Lot Balance'!$G471)</f>
        <v/>
      </c>
      <c r="E472" s="25" t="str">
        <f>IF($A472="","",'Lot Balance'!$H471)</f>
        <v/>
      </c>
      <c r="F472" s="23" t="str">
        <f>IF($A472="","",'Lot Balance'!$I471)</f>
        <v/>
      </c>
      <c r="G472" s="23" t="str">
        <f>IF($A472="","",'Lot Balance'!$O471)</f>
        <v/>
      </c>
      <c r="H472" s="33" t="str">
        <f>IF($A472="","",'Lot Balance'!$P471)</f>
        <v/>
      </c>
      <c r="I472" s="26" t="str">
        <f>IF($A472="","",COUNTIFS(tblIssues[Lot Number],$B472))</f>
        <v/>
      </c>
      <c r="J472" s="31" t="str">
        <f>IF($A472="","",IF('Lot Balance'!$O471&lt;=0,"Depleted",'Lot Balance'!$Q471))</f>
        <v/>
      </c>
    </row>
    <row r="473" spans="1:10" x14ac:dyDescent="0.35">
      <c r="A473" s="18" t="str">
        <f>IF('Lot Balance'!$A472="","",'Lot Balance'!$A472)</f>
        <v/>
      </c>
      <c r="B473" s="18" t="str">
        <f>IF($A473="","",'Lot Balance'!$B472)</f>
        <v/>
      </c>
      <c r="C473" s="18" t="str">
        <f>IF($A473="","",'Lot Balance'!$C472)</f>
        <v/>
      </c>
      <c r="D473" s="25" t="str">
        <f>IF($A473="","",'Lot Balance'!$G472)</f>
        <v/>
      </c>
      <c r="E473" s="25" t="str">
        <f>IF($A473="","",'Lot Balance'!$H472)</f>
        <v/>
      </c>
      <c r="F473" s="23" t="str">
        <f>IF($A473="","",'Lot Balance'!$I472)</f>
        <v/>
      </c>
      <c r="G473" s="23" t="str">
        <f>IF($A473="","",'Lot Balance'!$O472)</f>
        <v/>
      </c>
      <c r="H473" s="33" t="str">
        <f>IF($A473="","",'Lot Balance'!$P472)</f>
        <v/>
      </c>
      <c r="I473" s="26" t="str">
        <f>IF($A473="","",COUNTIFS(tblIssues[Lot Number],$B473))</f>
        <v/>
      </c>
      <c r="J473" s="31" t="str">
        <f>IF($A473="","",IF('Lot Balance'!$O472&lt;=0,"Depleted",'Lot Balance'!$Q472))</f>
        <v/>
      </c>
    </row>
    <row r="474" spans="1:10" x14ac:dyDescent="0.35">
      <c r="A474" s="18" t="str">
        <f>IF('Lot Balance'!$A473="","",'Lot Balance'!$A473)</f>
        <v/>
      </c>
      <c r="B474" s="18" t="str">
        <f>IF($A474="","",'Lot Balance'!$B473)</f>
        <v/>
      </c>
      <c r="C474" s="18" t="str">
        <f>IF($A474="","",'Lot Balance'!$C473)</f>
        <v/>
      </c>
      <c r="D474" s="25" t="str">
        <f>IF($A474="","",'Lot Balance'!$G473)</f>
        <v/>
      </c>
      <c r="E474" s="25" t="str">
        <f>IF($A474="","",'Lot Balance'!$H473)</f>
        <v/>
      </c>
      <c r="F474" s="23" t="str">
        <f>IF($A474="","",'Lot Balance'!$I473)</f>
        <v/>
      </c>
      <c r="G474" s="23" t="str">
        <f>IF($A474="","",'Lot Balance'!$O473)</f>
        <v/>
      </c>
      <c r="H474" s="33" t="str">
        <f>IF($A474="","",'Lot Balance'!$P473)</f>
        <v/>
      </c>
      <c r="I474" s="26" t="str">
        <f>IF($A474="","",COUNTIFS(tblIssues[Lot Number],$B474))</f>
        <v/>
      </c>
      <c r="J474" s="31" t="str">
        <f>IF($A474="","",IF('Lot Balance'!$O473&lt;=0,"Depleted",'Lot Balance'!$Q473))</f>
        <v/>
      </c>
    </row>
    <row r="475" spans="1:10" x14ac:dyDescent="0.35">
      <c r="A475" s="18" t="str">
        <f>IF('Lot Balance'!$A474="","",'Lot Balance'!$A474)</f>
        <v/>
      </c>
      <c r="B475" s="18" t="str">
        <f>IF($A475="","",'Lot Balance'!$B474)</f>
        <v/>
      </c>
      <c r="C475" s="18" t="str">
        <f>IF($A475="","",'Lot Balance'!$C474)</f>
        <v/>
      </c>
      <c r="D475" s="25" t="str">
        <f>IF($A475="","",'Lot Balance'!$G474)</f>
        <v/>
      </c>
      <c r="E475" s="25" t="str">
        <f>IF($A475="","",'Lot Balance'!$H474)</f>
        <v/>
      </c>
      <c r="F475" s="23" t="str">
        <f>IF($A475="","",'Lot Balance'!$I474)</f>
        <v/>
      </c>
      <c r="G475" s="23" t="str">
        <f>IF($A475="","",'Lot Balance'!$O474)</f>
        <v/>
      </c>
      <c r="H475" s="33" t="str">
        <f>IF($A475="","",'Lot Balance'!$P474)</f>
        <v/>
      </c>
      <c r="I475" s="26" t="str">
        <f>IF($A475="","",COUNTIFS(tblIssues[Lot Number],$B475))</f>
        <v/>
      </c>
      <c r="J475" s="31" t="str">
        <f>IF($A475="","",IF('Lot Balance'!$O474&lt;=0,"Depleted",'Lot Balance'!$Q474))</f>
        <v/>
      </c>
    </row>
    <row r="476" spans="1:10" x14ac:dyDescent="0.35">
      <c r="A476" s="18" t="str">
        <f>IF('Lot Balance'!$A475="","",'Lot Balance'!$A475)</f>
        <v/>
      </c>
      <c r="B476" s="18" t="str">
        <f>IF($A476="","",'Lot Balance'!$B475)</f>
        <v/>
      </c>
      <c r="C476" s="18" t="str">
        <f>IF($A476="","",'Lot Balance'!$C475)</f>
        <v/>
      </c>
      <c r="D476" s="25" t="str">
        <f>IF($A476="","",'Lot Balance'!$G475)</f>
        <v/>
      </c>
      <c r="E476" s="25" t="str">
        <f>IF($A476="","",'Lot Balance'!$H475)</f>
        <v/>
      </c>
      <c r="F476" s="23" t="str">
        <f>IF($A476="","",'Lot Balance'!$I475)</f>
        <v/>
      </c>
      <c r="G476" s="23" t="str">
        <f>IF($A476="","",'Lot Balance'!$O475)</f>
        <v/>
      </c>
      <c r="H476" s="33" t="str">
        <f>IF($A476="","",'Lot Balance'!$P475)</f>
        <v/>
      </c>
      <c r="I476" s="26" t="str">
        <f>IF($A476="","",COUNTIFS(tblIssues[Lot Number],$B476))</f>
        <v/>
      </c>
      <c r="J476" s="31" t="str">
        <f>IF($A476="","",IF('Lot Balance'!$O475&lt;=0,"Depleted",'Lot Balance'!$Q475))</f>
        <v/>
      </c>
    </row>
    <row r="477" spans="1:10" x14ac:dyDescent="0.35">
      <c r="A477" s="18" t="str">
        <f>IF('Lot Balance'!$A476="","",'Lot Balance'!$A476)</f>
        <v/>
      </c>
      <c r="B477" s="18" t="str">
        <f>IF($A477="","",'Lot Balance'!$B476)</f>
        <v/>
      </c>
      <c r="C477" s="18" t="str">
        <f>IF($A477="","",'Lot Balance'!$C476)</f>
        <v/>
      </c>
      <c r="D477" s="25" t="str">
        <f>IF($A477="","",'Lot Balance'!$G476)</f>
        <v/>
      </c>
      <c r="E477" s="25" t="str">
        <f>IF($A477="","",'Lot Balance'!$H476)</f>
        <v/>
      </c>
      <c r="F477" s="23" t="str">
        <f>IF($A477="","",'Lot Balance'!$I476)</f>
        <v/>
      </c>
      <c r="G477" s="23" t="str">
        <f>IF($A477="","",'Lot Balance'!$O476)</f>
        <v/>
      </c>
      <c r="H477" s="33" t="str">
        <f>IF($A477="","",'Lot Balance'!$P476)</f>
        <v/>
      </c>
      <c r="I477" s="26" t="str">
        <f>IF($A477="","",COUNTIFS(tblIssues[Lot Number],$B477))</f>
        <v/>
      </c>
      <c r="J477" s="31" t="str">
        <f>IF($A477="","",IF('Lot Balance'!$O476&lt;=0,"Depleted",'Lot Balance'!$Q476))</f>
        <v/>
      </c>
    </row>
    <row r="478" spans="1:10" x14ac:dyDescent="0.35">
      <c r="A478" s="18" t="str">
        <f>IF('Lot Balance'!$A477="","",'Lot Balance'!$A477)</f>
        <v/>
      </c>
      <c r="B478" s="18" t="str">
        <f>IF($A478="","",'Lot Balance'!$B477)</f>
        <v/>
      </c>
      <c r="C478" s="18" t="str">
        <f>IF($A478="","",'Lot Balance'!$C477)</f>
        <v/>
      </c>
      <c r="D478" s="25" t="str">
        <f>IF($A478="","",'Lot Balance'!$G477)</f>
        <v/>
      </c>
      <c r="E478" s="25" t="str">
        <f>IF($A478="","",'Lot Balance'!$H477)</f>
        <v/>
      </c>
      <c r="F478" s="23" t="str">
        <f>IF($A478="","",'Lot Balance'!$I477)</f>
        <v/>
      </c>
      <c r="G478" s="23" t="str">
        <f>IF($A478="","",'Lot Balance'!$O477)</f>
        <v/>
      </c>
      <c r="H478" s="33" t="str">
        <f>IF($A478="","",'Lot Balance'!$P477)</f>
        <v/>
      </c>
      <c r="I478" s="26" t="str">
        <f>IF($A478="","",COUNTIFS(tblIssues[Lot Number],$B478))</f>
        <v/>
      </c>
      <c r="J478" s="31" t="str">
        <f>IF($A478="","",IF('Lot Balance'!$O477&lt;=0,"Depleted",'Lot Balance'!$Q477))</f>
        <v/>
      </c>
    </row>
    <row r="479" spans="1:10" x14ac:dyDescent="0.35">
      <c r="A479" s="18" t="str">
        <f>IF('Lot Balance'!$A478="","",'Lot Balance'!$A478)</f>
        <v/>
      </c>
      <c r="B479" s="18" t="str">
        <f>IF($A479="","",'Lot Balance'!$B478)</f>
        <v/>
      </c>
      <c r="C479" s="18" t="str">
        <f>IF($A479="","",'Lot Balance'!$C478)</f>
        <v/>
      </c>
      <c r="D479" s="25" t="str">
        <f>IF($A479="","",'Lot Balance'!$G478)</f>
        <v/>
      </c>
      <c r="E479" s="25" t="str">
        <f>IF($A479="","",'Lot Balance'!$H478)</f>
        <v/>
      </c>
      <c r="F479" s="23" t="str">
        <f>IF($A479="","",'Lot Balance'!$I478)</f>
        <v/>
      </c>
      <c r="G479" s="23" t="str">
        <f>IF($A479="","",'Lot Balance'!$O478)</f>
        <v/>
      </c>
      <c r="H479" s="33" t="str">
        <f>IF($A479="","",'Lot Balance'!$P478)</f>
        <v/>
      </c>
      <c r="I479" s="26" t="str">
        <f>IF($A479="","",COUNTIFS(tblIssues[Lot Number],$B479))</f>
        <v/>
      </c>
      <c r="J479" s="31" t="str">
        <f>IF($A479="","",IF('Lot Balance'!$O478&lt;=0,"Depleted",'Lot Balance'!$Q478))</f>
        <v/>
      </c>
    </row>
    <row r="480" spans="1:10" x14ac:dyDescent="0.35">
      <c r="A480" s="18" t="str">
        <f>IF('Lot Balance'!$A479="","",'Lot Balance'!$A479)</f>
        <v/>
      </c>
      <c r="B480" s="18" t="str">
        <f>IF($A480="","",'Lot Balance'!$B479)</f>
        <v/>
      </c>
      <c r="C480" s="18" t="str">
        <f>IF($A480="","",'Lot Balance'!$C479)</f>
        <v/>
      </c>
      <c r="D480" s="25" t="str">
        <f>IF($A480="","",'Lot Balance'!$G479)</f>
        <v/>
      </c>
      <c r="E480" s="25" t="str">
        <f>IF($A480="","",'Lot Balance'!$H479)</f>
        <v/>
      </c>
      <c r="F480" s="23" t="str">
        <f>IF($A480="","",'Lot Balance'!$I479)</f>
        <v/>
      </c>
      <c r="G480" s="23" t="str">
        <f>IF($A480="","",'Lot Balance'!$O479)</f>
        <v/>
      </c>
      <c r="H480" s="33" t="str">
        <f>IF($A480="","",'Lot Balance'!$P479)</f>
        <v/>
      </c>
      <c r="I480" s="26" t="str">
        <f>IF($A480="","",COUNTIFS(tblIssues[Lot Number],$B480))</f>
        <v/>
      </c>
      <c r="J480" s="31" t="str">
        <f>IF($A480="","",IF('Lot Balance'!$O479&lt;=0,"Depleted",'Lot Balance'!$Q479))</f>
        <v/>
      </c>
    </row>
    <row r="481" spans="1:10" x14ac:dyDescent="0.35">
      <c r="A481" s="18" t="str">
        <f>IF('Lot Balance'!$A480="","",'Lot Balance'!$A480)</f>
        <v/>
      </c>
      <c r="B481" s="18" t="str">
        <f>IF($A481="","",'Lot Balance'!$B480)</f>
        <v/>
      </c>
      <c r="C481" s="18" t="str">
        <f>IF($A481="","",'Lot Balance'!$C480)</f>
        <v/>
      </c>
      <c r="D481" s="25" t="str">
        <f>IF($A481="","",'Lot Balance'!$G480)</f>
        <v/>
      </c>
      <c r="E481" s="25" t="str">
        <f>IF($A481="","",'Lot Balance'!$H480)</f>
        <v/>
      </c>
      <c r="F481" s="23" t="str">
        <f>IF($A481="","",'Lot Balance'!$I480)</f>
        <v/>
      </c>
      <c r="G481" s="23" t="str">
        <f>IF($A481="","",'Lot Balance'!$O480)</f>
        <v/>
      </c>
      <c r="H481" s="33" t="str">
        <f>IF($A481="","",'Lot Balance'!$P480)</f>
        <v/>
      </c>
      <c r="I481" s="26" t="str">
        <f>IF($A481="","",COUNTIFS(tblIssues[Lot Number],$B481))</f>
        <v/>
      </c>
      <c r="J481" s="31" t="str">
        <f>IF($A481="","",IF('Lot Balance'!$O480&lt;=0,"Depleted",'Lot Balance'!$Q480))</f>
        <v/>
      </c>
    </row>
    <row r="482" spans="1:10" x14ac:dyDescent="0.35">
      <c r="A482" s="18" t="str">
        <f>IF('Lot Balance'!$A481="","",'Lot Balance'!$A481)</f>
        <v/>
      </c>
      <c r="B482" s="18" t="str">
        <f>IF($A482="","",'Lot Balance'!$B481)</f>
        <v/>
      </c>
      <c r="C482" s="18" t="str">
        <f>IF($A482="","",'Lot Balance'!$C481)</f>
        <v/>
      </c>
      <c r="D482" s="25" t="str">
        <f>IF($A482="","",'Lot Balance'!$G481)</f>
        <v/>
      </c>
      <c r="E482" s="25" t="str">
        <f>IF($A482="","",'Lot Balance'!$H481)</f>
        <v/>
      </c>
      <c r="F482" s="23" t="str">
        <f>IF($A482="","",'Lot Balance'!$I481)</f>
        <v/>
      </c>
      <c r="G482" s="23" t="str">
        <f>IF($A482="","",'Lot Balance'!$O481)</f>
        <v/>
      </c>
      <c r="H482" s="33" t="str">
        <f>IF($A482="","",'Lot Balance'!$P481)</f>
        <v/>
      </c>
      <c r="I482" s="26" t="str">
        <f>IF($A482="","",COUNTIFS(tblIssues[Lot Number],$B482))</f>
        <v/>
      </c>
      <c r="J482" s="31" t="str">
        <f>IF($A482="","",IF('Lot Balance'!$O481&lt;=0,"Depleted",'Lot Balance'!$Q481))</f>
        <v/>
      </c>
    </row>
    <row r="483" spans="1:10" x14ac:dyDescent="0.35">
      <c r="A483" s="18" t="str">
        <f>IF('Lot Balance'!$A482="","",'Lot Balance'!$A482)</f>
        <v/>
      </c>
      <c r="B483" s="18" t="str">
        <f>IF($A483="","",'Lot Balance'!$B482)</f>
        <v/>
      </c>
      <c r="C483" s="18" t="str">
        <f>IF($A483="","",'Lot Balance'!$C482)</f>
        <v/>
      </c>
      <c r="D483" s="25" t="str">
        <f>IF($A483="","",'Lot Balance'!$G482)</f>
        <v/>
      </c>
      <c r="E483" s="25" t="str">
        <f>IF($A483="","",'Lot Balance'!$H482)</f>
        <v/>
      </c>
      <c r="F483" s="23" t="str">
        <f>IF($A483="","",'Lot Balance'!$I482)</f>
        <v/>
      </c>
      <c r="G483" s="23" t="str">
        <f>IF($A483="","",'Lot Balance'!$O482)</f>
        <v/>
      </c>
      <c r="H483" s="33" t="str">
        <f>IF($A483="","",'Lot Balance'!$P482)</f>
        <v/>
      </c>
      <c r="I483" s="26" t="str">
        <f>IF($A483="","",COUNTIFS(tblIssues[Lot Number],$B483))</f>
        <v/>
      </c>
      <c r="J483" s="31" t="str">
        <f>IF($A483="","",IF('Lot Balance'!$O482&lt;=0,"Depleted",'Lot Balance'!$Q482))</f>
        <v/>
      </c>
    </row>
    <row r="484" spans="1:10" x14ac:dyDescent="0.35">
      <c r="A484" s="18" t="str">
        <f>IF('Lot Balance'!$A483="","",'Lot Balance'!$A483)</f>
        <v/>
      </c>
      <c r="B484" s="18" t="str">
        <f>IF($A484="","",'Lot Balance'!$B483)</f>
        <v/>
      </c>
      <c r="C484" s="18" t="str">
        <f>IF($A484="","",'Lot Balance'!$C483)</f>
        <v/>
      </c>
      <c r="D484" s="25" t="str">
        <f>IF($A484="","",'Lot Balance'!$G483)</f>
        <v/>
      </c>
      <c r="E484" s="25" t="str">
        <f>IF($A484="","",'Lot Balance'!$H483)</f>
        <v/>
      </c>
      <c r="F484" s="23" t="str">
        <f>IF($A484="","",'Lot Balance'!$I483)</f>
        <v/>
      </c>
      <c r="G484" s="23" t="str">
        <f>IF($A484="","",'Lot Balance'!$O483)</f>
        <v/>
      </c>
      <c r="H484" s="33" t="str">
        <f>IF($A484="","",'Lot Balance'!$P483)</f>
        <v/>
      </c>
      <c r="I484" s="26" t="str">
        <f>IF($A484="","",COUNTIFS(tblIssues[Lot Number],$B484))</f>
        <v/>
      </c>
      <c r="J484" s="31" t="str">
        <f>IF($A484="","",IF('Lot Balance'!$O483&lt;=0,"Depleted",'Lot Balance'!$Q483))</f>
        <v/>
      </c>
    </row>
    <row r="485" spans="1:10" x14ac:dyDescent="0.35">
      <c r="A485" s="18" t="str">
        <f>IF('Lot Balance'!$A484="","",'Lot Balance'!$A484)</f>
        <v/>
      </c>
      <c r="B485" s="18" t="str">
        <f>IF($A485="","",'Lot Balance'!$B484)</f>
        <v/>
      </c>
      <c r="C485" s="18" t="str">
        <f>IF($A485="","",'Lot Balance'!$C484)</f>
        <v/>
      </c>
      <c r="D485" s="25" t="str">
        <f>IF($A485="","",'Lot Balance'!$G484)</f>
        <v/>
      </c>
      <c r="E485" s="25" t="str">
        <f>IF($A485="","",'Lot Balance'!$H484)</f>
        <v/>
      </c>
      <c r="F485" s="23" t="str">
        <f>IF($A485="","",'Lot Balance'!$I484)</f>
        <v/>
      </c>
      <c r="G485" s="23" t="str">
        <f>IF($A485="","",'Lot Balance'!$O484)</f>
        <v/>
      </c>
      <c r="H485" s="33" t="str">
        <f>IF($A485="","",'Lot Balance'!$P484)</f>
        <v/>
      </c>
      <c r="I485" s="26" t="str">
        <f>IF($A485="","",COUNTIFS(tblIssues[Lot Number],$B485))</f>
        <v/>
      </c>
      <c r="J485" s="31" t="str">
        <f>IF($A485="","",IF('Lot Balance'!$O484&lt;=0,"Depleted",'Lot Balance'!$Q484))</f>
        <v/>
      </c>
    </row>
    <row r="486" spans="1:10" x14ac:dyDescent="0.35">
      <c r="A486" s="18" t="str">
        <f>IF('Lot Balance'!$A485="","",'Lot Balance'!$A485)</f>
        <v/>
      </c>
      <c r="B486" s="18" t="str">
        <f>IF($A486="","",'Lot Balance'!$B485)</f>
        <v/>
      </c>
      <c r="C486" s="18" t="str">
        <f>IF($A486="","",'Lot Balance'!$C485)</f>
        <v/>
      </c>
      <c r="D486" s="25" t="str">
        <f>IF($A486="","",'Lot Balance'!$G485)</f>
        <v/>
      </c>
      <c r="E486" s="25" t="str">
        <f>IF($A486="","",'Lot Balance'!$H485)</f>
        <v/>
      </c>
      <c r="F486" s="23" t="str">
        <f>IF($A486="","",'Lot Balance'!$I485)</f>
        <v/>
      </c>
      <c r="G486" s="23" t="str">
        <f>IF($A486="","",'Lot Balance'!$O485)</f>
        <v/>
      </c>
      <c r="H486" s="33" t="str">
        <f>IF($A486="","",'Lot Balance'!$P485)</f>
        <v/>
      </c>
      <c r="I486" s="26" t="str">
        <f>IF($A486="","",COUNTIFS(tblIssues[Lot Number],$B486))</f>
        <v/>
      </c>
      <c r="J486" s="31" t="str">
        <f>IF($A486="","",IF('Lot Balance'!$O485&lt;=0,"Depleted",'Lot Balance'!$Q485))</f>
        <v/>
      </c>
    </row>
    <row r="487" spans="1:10" x14ac:dyDescent="0.35">
      <c r="A487" s="18" t="str">
        <f>IF('Lot Balance'!$A486="","",'Lot Balance'!$A486)</f>
        <v/>
      </c>
      <c r="B487" s="18" t="str">
        <f>IF($A487="","",'Lot Balance'!$B486)</f>
        <v/>
      </c>
      <c r="C487" s="18" t="str">
        <f>IF($A487="","",'Lot Balance'!$C486)</f>
        <v/>
      </c>
      <c r="D487" s="25" t="str">
        <f>IF($A487="","",'Lot Balance'!$G486)</f>
        <v/>
      </c>
      <c r="E487" s="25" t="str">
        <f>IF($A487="","",'Lot Balance'!$H486)</f>
        <v/>
      </c>
      <c r="F487" s="23" t="str">
        <f>IF($A487="","",'Lot Balance'!$I486)</f>
        <v/>
      </c>
      <c r="G487" s="23" t="str">
        <f>IF($A487="","",'Lot Balance'!$O486)</f>
        <v/>
      </c>
      <c r="H487" s="33" t="str">
        <f>IF($A487="","",'Lot Balance'!$P486)</f>
        <v/>
      </c>
      <c r="I487" s="26" t="str">
        <f>IF($A487="","",COUNTIFS(tblIssues[Lot Number],$B487))</f>
        <v/>
      </c>
      <c r="J487" s="31" t="str">
        <f>IF($A487="","",IF('Lot Balance'!$O486&lt;=0,"Depleted",'Lot Balance'!$Q486))</f>
        <v/>
      </c>
    </row>
    <row r="488" spans="1:10" x14ac:dyDescent="0.35">
      <c r="A488" s="18" t="str">
        <f>IF('Lot Balance'!$A487="","",'Lot Balance'!$A487)</f>
        <v/>
      </c>
      <c r="B488" s="18" t="str">
        <f>IF($A488="","",'Lot Balance'!$B487)</f>
        <v/>
      </c>
      <c r="C488" s="18" t="str">
        <f>IF($A488="","",'Lot Balance'!$C487)</f>
        <v/>
      </c>
      <c r="D488" s="25" t="str">
        <f>IF($A488="","",'Lot Balance'!$G487)</f>
        <v/>
      </c>
      <c r="E488" s="25" t="str">
        <f>IF($A488="","",'Lot Balance'!$H487)</f>
        <v/>
      </c>
      <c r="F488" s="23" t="str">
        <f>IF($A488="","",'Lot Balance'!$I487)</f>
        <v/>
      </c>
      <c r="G488" s="23" t="str">
        <f>IF($A488="","",'Lot Balance'!$O487)</f>
        <v/>
      </c>
      <c r="H488" s="33" t="str">
        <f>IF($A488="","",'Lot Balance'!$P487)</f>
        <v/>
      </c>
      <c r="I488" s="26" t="str">
        <f>IF($A488="","",COUNTIFS(tblIssues[Lot Number],$B488))</f>
        <v/>
      </c>
      <c r="J488" s="31" t="str">
        <f>IF($A488="","",IF('Lot Balance'!$O487&lt;=0,"Depleted",'Lot Balance'!$Q487))</f>
        <v/>
      </c>
    </row>
    <row r="489" spans="1:10" x14ac:dyDescent="0.35">
      <c r="A489" s="18" t="str">
        <f>IF('Lot Balance'!$A488="","",'Lot Balance'!$A488)</f>
        <v/>
      </c>
      <c r="B489" s="18" t="str">
        <f>IF($A489="","",'Lot Balance'!$B488)</f>
        <v/>
      </c>
      <c r="C489" s="18" t="str">
        <f>IF($A489="","",'Lot Balance'!$C488)</f>
        <v/>
      </c>
      <c r="D489" s="25" t="str">
        <f>IF($A489="","",'Lot Balance'!$G488)</f>
        <v/>
      </c>
      <c r="E489" s="25" t="str">
        <f>IF($A489="","",'Lot Balance'!$H488)</f>
        <v/>
      </c>
      <c r="F489" s="23" t="str">
        <f>IF($A489="","",'Lot Balance'!$I488)</f>
        <v/>
      </c>
      <c r="G489" s="23" t="str">
        <f>IF($A489="","",'Lot Balance'!$O488)</f>
        <v/>
      </c>
      <c r="H489" s="33" t="str">
        <f>IF($A489="","",'Lot Balance'!$P488)</f>
        <v/>
      </c>
      <c r="I489" s="26" t="str">
        <f>IF($A489="","",COUNTIFS(tblIssues[Lot Number],$B489))</f>
        <v/>
      </c>
      <c r="J489" s="31" t="str">
        <f>IF($A489="","",IF('Lot Balance'!$O488&lt;=0,"Depleted",'Lot Balance'!$Q488))</f>
        <v/>
      </c>
    </row>
    <row r="490" spans="1:10" x14ac:dyDescent="0.35">
      <c r="A490" s="18" t="str">
        <f>IF('Lot Balance'!$A489="","",'Lot Balance'!$A489)</f>
        <v/>
      </c>
      <c r="B490" s="18" t="str">
        <f>IF($A490="","",'Lot Balance'!$B489)</f>
        <v/>
      </c>
      <c r="C490" s="18" t="str">
        <f>IF($A490="","",'Lot Balance'!$C489)</f>
        <v/>
      </c>
      <c r="D490" s="25" t="str">
        <f>IF($A490="","",'Lot Balance'!$G489)</f>
        <v/>
      </c>
      <c r="E490" s="25" t="str">
        <f>IF($A490="","",'Lot Balance'!$H489)</f>
        <v/>
      </c>
      <c r="F490" s="23" t="str">
        <f>IF($A490="","",'Lot Balance'!$I489)</f>
        <v/>
      </c>
      <c r="G490" s="23" t="str">
        <f>IF($A490="","",'Lot Balance'!$O489)</f>
        <v/>
      </c>
      <c r="H490" s="33" t="str">
        <f>IF($A490="","",'Lot Balance'!$P489)</f>
        <v/>
      </c>
      <c r="I490" s="26" t="str">
        <f>IF($A490="","",COUNTIFS(tblIssues[Lot Number],$B490))</f>
        <v/>
      </c>
      <c r="J490" s="31" t="str">
        <f>IF($A490="","",IF('Lot Balance'!$O489&lt;=0,"Depleted",'Lot Balance'!$Q489))</f>
        <v/>
      </c>
    </row>
    <row r="491" spans="1:10" x14ac:dyDescent="0.35">
      <c r="A491" s="18" t="str">
        <f>IF('Lot Balance'!$A490="","",'Lot Balance'!$A490)</f>
        <v/>
      </c>
      <c r="B491" s="18" t="str">
        <f>IF($A491="","",'Lot Balance'!$B490)</f>
        <v/>
      </c>
      <c r="C491" s="18" t="str">
        <f>IF($A491="","",'Lot Balance'!$C490)</f>
        <v/>
      </c>
      <c r="D491" s="25" t="str">
        <f>IF($A491="","",'Lot Balance'!$G490)</f>
        <v/>
      </c>
      <c r="E491" s="25" t="str">
        <f>IF($A491="","",'Lot Balance'!$H490)</f>
        <v/>
      </c>
      <c r="F491" s="23" t="str">
        <f>IF($A491="","",'Lot Balance'!$I490)</f>
        <v/>
      </c>
      <c r="G491" s="23" t="str">
        <f>IF($A491="","",'Lot Balance'!$O490)</f>
        <v/>
      </c>
      <c r="H491" s="33" t="str">
        <f>IF($A491="","",'Lot Balance'!$P490)</f>
        <v/>
      </c>
      <c r="I491" s="26" t="str">
        <f>IF($A491="","",COUNTIFS(tblIssues[Lot Number],$B491))</f>
        <v/>
      </c>
      <c r="J491" s="31" t="str">
        <f>IF($A491="","",IF('Lot Balance'!$O490&lt;=0,"Depleted",'Lot Balance'!$Q490))</f>
        <v/>
      </c>
    </row>
    <row r="492" spans="1:10" x14ac:dyDescent="0.35">
      <c r="A492" s="18" t="str">
        <f>IF('Lot Balance'!$A491="","",'Lot Balance'!$A491)</f>
        <v/>
      </c>
      <c r="B492" s="18" t="str">
        <f>IF($A492="","",'Lot Balance'!$B491)</f>
        <v/>
      </c>
      <c r="C492" s="18" t="str">
        <f>IF($A492="","",'Lot Balance'!$C491)</f>
        <v/>
      </c>
      <c r="D492" s="25" t="str">
        <f>IF($A492="","",'Lot Balance'!$G491)</f>
        <v/>
      </c>
      <c r="E492" s="25" t="str">
        <f>IF($A492="","",'Lot Balance'!$H491)</f>
        <v/>
      </c>
      <c r="F492" s="23" t="str">
        <f>IF($A492="","",'Lot Balance'!$I491)</f>
        <v/>
      </c>
      <c r="G492" s="23" t="str">
        <f>IF($A492="","",'Lot Balance'!$O491)</f>
        <v/>
      </c>
      <c r="H492" s="33" t="str">
        <f>IF($A492="","",'Lot Balance'!$P491)</f>
        <v/>
      </c>
      <c r="I492" s="26" t="str">
        <f>IF($A492="","",COUNTIFS(tblIssues[Lot Number],$B492))</f>
        <v/>
      </c>
      <c r="J492" s="31" t="str">
        <f>IF($A492="","",IF('Lot Balance'!$O491&lt;=0,"Depleted",'Lot Balance'!$Q491))</f>
        <v/>
      </c>
    </row>
    <row r="493" spans="1:10" x14ac:dyDescent="0.35">
      <c r="A493" s="18" t="str">
        <f>IF('Lot Balance'!$A492="","",'Lot Balance'!$A492)</f>
        <v/>
      </c>
      <c r="B493" s="18" t="str">
        <f>IF($A493="","",'Lot Balance'!$B492)</f>
        <v/>
      </c>
      <c r="C493" s="18" t="str">
        <f>IF($A493="","",'Lot Balance'!$C492)</f>
        <v/>
      </c>
      <c r="D493" s="25" t="str">
        <f>IF($A493="","",'Lot Balance'!$G492)</f>
        <v/>
      </c>
      <c r="E493" s="25" t="str">
        <f>IF($A493="","",'Lot Balance'!$H492)</f>
        <v/>
      </c>
      <c r="F493" s="23" t="str">
        <f>IF($A493="","",'Lot Balance'!$I492)</f>
        <v/>
      </c>
      <c r="G493" s="23" t="str">
        <f>IF($A493="","",'Lot Balance'!$O492)</f>
        <v/>
      </c>
      <c r="H493" s="33" t="str">
        <f>IF($A493="","",'Lot Balance'!$P492)</f>
        <v/>
      </c>
      <c r="I493" s="26" t="str">
        <f>IF($A493="","",COUNTIFS(tblIssues[Lot Number],$B493))</f>
        <v/>
      </c>
      <c r="J493" s="31" t="str">
        <f>IF($A493="","",IF('Lot Balance'!$O492&lt;=0,"Depleted",'Lot Balance'!$Q492))</f>
        <v/>
      </c>
    </row>
    <row r="494" spans="1:10" x14ac:dyDescent="0.35">
      <c r="A494" s="18" t="str">
        <f>IF('Lot Balance'!$A493="","",'Lot Balance'!$A493)</f>
        <v/>
      </c>
      <c r="B494" s="18" t="str">
        <f>IF($A494="","",'Lot Balance'!$B493)</f>
        <v/>
      </c>
      <c r="C494" s="18" t="str">
        <f>IF($A494="","",'Lot Balance'!$C493)</f>
        <v/>
      </c>
      <c r="D494" s="25" t="str">
        <f>IF($A494="","",'Lot Balance'!$G493)</f>
        <v/>
      </c>
      <c r="E494" s="25" t="str">
        <f>IF($A494="","",'Lot Balance'!$H493)</f>
        <v/>
      </c>
      <c r="F494" s="23" t="str">
        <f>IF($A494="","",'Lot Balance'!$I493)</f>
        <v/>
      </c>
      <c r="G494" s="23" t="str">
        <f>IF($A494="","",'Lot Balance'!$O493)</f>
        <v/>
      </c>
      <c r="H494" s="33" t="str">
        <f>IF($A494="","",'Lot Balance'!$P493)</f>
        <v/>
      </c>
      <c r="I494" s="26" t="str">
        <f>IF($A494="","",COUNTIFS(tblIssues[Lot Number],$B494))</f>
        <v/>
      </c>
      <c r="J494" s="31" t="str">
        <f>IF($A494="","",IF('Lot Balance'!$O493&lt;=0,"Depleted",'Lot Balance'!$Q493))</f>
        <v/>
      </c>
    </row>
    <row r="495" spans="1:10" x14ac:dyDescent="0.35">
      <c r="A495" s="18" t="str">
        <f>IF('Lot Balance'!$A494="","",'Lot Balance'!$A494)</f>
        <v/>
      </c>
      <c r="B495" s="18" t="str">
        <f>IF($A495="","",'Lot Balance'!$B494)</f>
        <v/>
      </c>
      <c r="C495" s="18" t="str">
        <f>IF($A495="","",'Lot Balance'!$C494)</f>
        <v/>
      </c>
      <c r="D495" s="25" t="str">
        <f>IF($A495="","",'Lot Balance'!$G494)</f>
        <v/>
      </c>
      <c r="E495" s="25" t="str">
        <f>IF($A495="","",'Lot Balance'!$H494)</f>
        <v/>
      </c>
      <c r="F495" s="23" t="str">
        <f>IF($A495="","",'Lot Balance'!$I494)</f>
        <v/>
      </c>
      <c r="G495" s="23" t="str">
        <f>IF($A495="","",'Lot Balance'!$O494)</f>
        <v/>
      </c>
      <c r="H495" s="33" t="str">
        <f>IF($A495="","",'Lot Balance'!$P494)</f>
        <v/>
      </c>
      <c r="I495" s="26" t="str">
        <f>IF($A495="","",COUNTIFS(tblIssues[Lot Number],$B495))</f>
        <v/>
      </c>
      <c r="J495" s="31" t="str">
        <f>IF($A495="","",IF('Lot Balance'!$O494&lt;=0,"Depleted",'Lot Balance'!$Q494))</f>
        <v/>
      </c>
    </row>
    <row r="496" spans="1:10" x14ac:dyDescent="0.35">
      <c r="A496" s="18" t="str">
        <f>IF('Lot Balance'!$A495="","",'Lot Balance'!$A495)</f>
        <v/>
      </c>
      <c r="B496" s="18" t="str">
        <f>IF($A496="","",'Lot Balance'!$B495)</f>
        <v/>
      </c>
      <c r="C496" s="18" t="str">
        <f>IF($A496="","",'Lot Balance'!$C495)</f>
        <v/>
      </c>
      <c r="D496" s="25" t="str">
        <f>IF($A496="","",'Lot Balance'!$G495)</f>
        <v/>
      </c>
      <c r="E496" s="25" t="str">
        <f>IF($A496="","",'Lot Balance'!$H495)</f>
        <v/>
      </c>
      <c r="F496" s="23" t="str">
        <f>IF($A496="","",'Lot Balance'!$I495)</f>
        <v/>
      </c>
      <c r="G496" s="23" t="str">
        <f>IF($A496="","",'Lot Balance'!$O495)</f>
        <v/>
      </c>
      <c r="H496" s="33" t="str">
        <f>IF($A496="","",'Lot Balance'!$P495)</f>
        <v/>
      </c>
      <c r="I496" s="26" t="str">
        <f>IF($A496="","",COUNTIFS(tblIssues[Lot Number],$B496))</f>
        <v/>
      </c>
      <c r="J496" s="31" t="str">
        <f>IF($A496="","",IF('Lot Balance'!$O495&lt;=0,"Depleted",'Lot Balance'!$Q495))</f>
        <v/>
      </c>
    </row>
    <row r="497" spans="1:10" x14ac:dyDescent="0.35">
      <c r="A497" s="18" t="str">
        <f>IF('Lot Balance'!$A496="","",'Lot Balance'!$A496)</f>
        <v/>
      </c>
      <c r="B497" s="18" t="str">
        <f>IF($A497="","",'Lot Balance'!$B496)</f>
        <v/>
      </c>
      <c r="C497" s="18" t="str">
        <f>IF($A497="","",'Lot Balance'!$C496)</f>
        <v/>
      </c>
      <c r="D497" s="25" t="str">
        <f>IF($A497="","",'Lot Balance'!$G496)</f>
        <v/>
      </c>
      <c r="E497" s="25" t="str">
        <f>IF($A497="","",'Lot Balance'!$H496)</f>
        <v/>
      </c>
      <c r="F497" s="23" t="str">
        <f>IF($A497="","",'Lot Balance'!$I496)</f>
        <v/>
      </c>
      <c r="G497" s="23" t="str">
        <f>IF($A497="","",'Lot Balance'!$O496)</f>
        <v/>
      </c>
      <c r="H497" s="33" t="str">
        <f>IF($A497="","",'Lot Balance'!$P496)</f>
        <v/>
      </c>
      <c r="I497" s="26" t="str">
        <f>IF($A497="","",COUNTIFS(tblIssues[Lot Number],$B497))</f>
        <v/>
      </c>
      <c r="J497" s="31" t="str">
        <f>IF($A497="","",IF('Lot Balance'!$O496&lt;=0,"Depleted",'Lot Balance'!$Q496))</f>
        <v/>
      </c>
    </row>
    <row r="498" spans="1:10" x14ac:dyDescent="0.35">
      <c r="A498" s="18" t="str">
        <f>IF('Lot Balance'!$A497="","",'Lot Balance'!$A497)</f>
        <v/>
      </c>
      <c r="B498" s="18" t="str">
        <f>IF($A498="","",'Lot Balance'!$B497)</f>
        <v/>
      </c>
      <c r="C498" s="18" t="str">
        <f>IF($A498="","",'Lot Balance'!$C497)</f>
        <v/>
      </c>
      <c r="D498" s="25" t="str">
        <f>IF($A498="","",'Lot Balance'!$G497)</f>
        <v/>
      </c>
      <c r="E498" s="25" t="str">
        <f>IF($A498="","",'Lot Balance'!$H497)</f>
        <v/>
      </c>
      <c r="F498" s="23" t="str">
        <f>IF($A498="","",'Lot Balance'!$I497)</f>
        <v/>
      </c>
      <c r="G498" s="23" t="str">
        <f>IF($A498="","",'Lot Balance'!$O497)</f>
        <v/>
      </c>
      <c r="H498" s="33" t="str">
        <f>IF($A498="","",'Lot Balance'!$P497)</f>
        <v/>
      </c>
      <c r="I498" s="26" t="str">
        <f>IF($A498="","",COUNTIFS(tblIssues[Lot Number],$B498))</f>
        <v/>
      </c>
      <c r="J498" s="31" t="str">
        <f>IF($A498="","",IF('Lot Balance'!$O497&lt;=0,"Depleted",'Lot Balance'!$Q497))</f>
        <v/>
      </c>
    </row>
    <row r="499" spans="1:10" x14ac:dyDescent="0.35">
      <c r="A499" s="18" t="str">
        <f>IF('Lot Balance'!$A498="","",'Lot Balance'!$A498)</f>
        <v/>
      </c>
      <c r="B499" s="18" t="str">
        <f>IF($A499="","",'Lot Balance'!$B498)</f>
        <v/>
      </c>
      <c r="C499" s="18" t="str">
        <f>IF($A499="","",'Lot Balance'!$C498)</f>
        <v/>
      </c>
      <c r="D499" s="25" t="str">
        <f>IF($A499="","",'Lot Balance'!$G498)</f>
        <v/>
      </c>
      <c r="E499" s="25" t="str">
        <f>IF($A499="","",'Lot Balance'!$H498)</f>
        <v/>
      </c>
      <c r="F499" s="23" t="str">
        <f>IF($A499="","",'Lot Balance'!$I498)</f>
        <v/>
      </c>
      <c r="G499" s="23" t="str">
        <f>IF($A499="","",'Lot Balance'!$O498)</f>
        <v/>
      </c>
      <c r="H499" s="33" t="str">
        <f>IF($A499="","",'Lot Balance'!$P498)</f>
        <v/>
      </c>
      <c r="I499" s="26" t="str">
        <f>IF($A499="","",COUNTIFS(tblIssues[Lot Number],$B499))</f>
        <v/>
      </c>
      <c r="J499" s="31" t="str">
        <f>IF($A499="","",IF('Lot Balance'!$O498&lt;=0,"Depleted",'Lot Balance'!$Q498))</f>
        <v/>
      </c>
    </row>
    <row r="500" spans="1:10" x14ac:dyDescent="0.35">
      <c r="A500" s="18" t="str">
        <f>IF('Lot Balance'!$A499="","",'Lot Balance'!$A499)</f>
        <v/>
      </c>
      <c r="B500" s="18" t="str">
        <f>IF($A500="","",'Lot Balance'!$B499)</f>
        <v/>
      </c>
      <c r="C500" s="18" t="str">
        <f>IF($A500="","",'Lot Balance'!$C499)</f>
        <v/>
      </c>
      <c r="D500" s="25" t="str">
        <f>IF($A500="","",'Lot Balance'!$G499)</f>
        <v/>
      </c>
      <c r="E500" s="25" t="str">
        <f>IF($A500="","",'Lot Balance'!$H499)</f>
        <v/>
      </c>
      <c r="F500" s="23" t="str">
        <f>IF($A500="","",'Lot Balance'!$I499)</f>
        <v/>
      </c>
      <c r="G500" s="23" t="str">
        <f>IF($A500="","",'Lot Balance'!$O499)</f>
        <v/>
      </c>
      <c r="H500" s="33" t="str">
        <f>IF($A500="","",'Lot Balance'!$P499)</f>
        <v/>
      </c>
      <c r="I500" s="26" t="str">
        <f>IF($A500="","",COUNTIFS(tblIssues[Lot Number],$B500))</f>
        <v/>
      </c>
      <c r="J500" s="31" t="str">
        <f>IF($A500="","",IF('Lot Balance'!$O499&lt;=0,"Depleted",'Lot Balance'!$Q499))</f>
        <v/>
      </c>
    </row>
    <row r="501" spans="1:10" x14ac:dyDescent="0.35">
      <c r="A501" s="18" t="str">
        <f>IF('Lot Balance'!$A500="","",'Lot Balance'!$A500)</f>
        <v/>
      </c>
      <c r="B501" s="18" t="str">
        <f>IF($A501="","",'Lot Balance'!$B500)</f>
        <v/>
      </c>
      <c r="C501" s="18" t="str">
        <f>IF($A501="","",'Lot Balance'!$C500)</f>
        <v/>
      </c>
      <c r="D501" s="25" t="str">
        <f>IF($A501="","",'Lot Balance'!$G500)</f>
        <v/>
      </c>
      <c r="E501" s="25" t="str">
        <f>IF($A501="","",'Lot Balance'!$H500)</f>
        <v/>
      </c>
      <c r="F501" s="23" t="str">
        <f>IF($A501="","",'Lot Balance'!$I500)</f>
        <v/>
      </c>
      <c r="G501" s="23" t="str">
        <f>IF($A501="","",'Lot Balance'!$O500)</f>
        <v/>
      </c>
      <c r="H501" s="33" t="str">
        <f>IF($A501="","",'Lot Balance'!$P500)</f>
        <v/>
      </c>
      <c r="I501" s="26" t="str">
        <f>IF($A501="","",COUNTIFS(tblIssues[Lot Number],$B501))</f>
        <v/>
      </c>
      <c r="J501" s="31" t="str">
        <f>IF($A501="","",IF('Lot Balance'!$O500&lt;=0,"Depleted",'Lot Balance'!$Q500))</f>
        <v/>
      </c>
    </row>
    <row r="502" spans="1:10" x14ac:dyDescent="0.35">
      <c r="A502" s="18" t="str">
        <f>IF('Lot Balance'!$A501="","",'Lot Balance'!$A501)</f>
        <v/>
      </c>
      <c r="B502" s="18" t="str">
        <f>IF($A502="","",'Lot Balance'!$B501)</f>
        <v/>
      </c>
      <c r="C502" s="18" t="str">
        <f>IF($A502="","",'Lot Balance'!$C501)</f>
        <v/>
      </c>
      <c r="D502" s="25" t="str">
        <f>IF($A502="","",'Lot Balance'!$G501)</f>
        <v/>
      </c>
      <c r="E502" s="25" t="str">
        <f>IF($A502="","",'Lot Balance'!$H501)</f>
        <v/>
      </c>
      <c r="F502" s="23" t="str">
        <f>IF($A502="","",'Lot Balance'!$I501)</f>
        <v/>
      </c>
      <c r="G502" s="23" t="str">
        <f>IF($A502="","",'Lot Balance'!$O501)</f>
        <v/>
      </c>
      <c r="H502" s="33" t="str">
        <f>IF($A502="","",'Lot Balance'!$P501)</f>
        <v/>
      </c>
      <c r="I502" s="26" t="str">
        <f>IF($A502="","",COUNTIFS(tblIssues[Lot Number],$B502))</f>
        <v/>
      </c>
      <c r="J502" s="31" t="str">
        <f>IF($A502="","",IF('Lot Balance'!$O501&lt;=0,"Depleted",'Lot Balance'!$Q501))</f>
        <v/>
      </c>
    </row>
    <row r="503" spans="1:10" x14ac:dyDescent="0.35">
      <c r="A503" s="18" t="str">
        <f>IF('Lot Balance'!$A502="","",'Lot Balance'!$A502)</f>
        <v/>
      </c>
      <c r="B503" s="18" t="str">
        <f>IF($A503="","",'Lot Balance'!$B502)</f>
        <v/>
      </c>
      <c r="C503" s="18" t="str">
        <f>IF($A503="","",'Lot Balance'!$C502)</f>
        <v/>
      </c>
      <c r="D503" s="25" t="str">
        <f>IF($A503="","",'Lot Balance'!$G502)</f>
        <v/>
      </c>
      <c r="E503" s="25" t="str">
        <f>IF($A503="","",'Lot Balance'!$H502)</f>
        <v/>
      </c>
      <c r="F503" s="23" t="str">
        <f>IF($A503="","",'Lot Balance'!$I502)</f>
        <v/>
      </c>
      <c r="G503" s="23" t="str">
        <f>IF($A503="","",'Lot Balance'!$O502)</f>
        <v/>
      </c>
      <c r="H503" s="33" t="str">
        <f>IF($A503="","",'Lot Balance'!$P502)</f>
        <v/>
      </c>
      <c r="I503" s="26" t="str">
        <f>IF($A503="","",COUNTIFS(tblIssues[Lot Number],$B503))</f>
        <v/>
      </c>
      <c r="J503" s="31" t="str">
        <f>IF($A503="","",IF('Lot Balance'!$O502&lt;=0,"Depleted",'Lot Balance'!$Q502))</f>
        <v/>
      </c>
    </row>
    <row r="504" spans="1:10" x14ac:dyDescent="0.35">
      <c r="A504" s="18" t="str">
        <f>IF('Lot Balance'!$A503="","",'Lot Balance'!$A503)</f>
        <v/>
      </c>
      <c r="B504" s="18" t="str">
        <f>IF($A504="","",'Lot Balance'!$B503)</f>
        <v/>
      </c>
      <c r="C504" s="18" t="str">
        <f>IF($A504="","",'Lot Balance'!$C503)</f>
        <v/>
      </c>
      <c r="D504" s="25" t="str">
        <f>IF($A504="","",'Lot Balance'!$G503)</f>
        <v/>
      </c>
      <c r="E504" s="25" t="str">
        <f>IF($A504="","",'Lot Balance'!$H503)</f>
        <v/>
      </c>
      <c r="F504" s="23" t="str">
        <f>IF($A504="","",'Lot Balance'!$I503)</f>
        <v/>
      </c>
      <c r="G504" s="23" t="str">
        <f>IF($A504="","",'Lot Balance'!$O503)</f>
        <v/>
      </c>
      <c r="H504" s="33" t="str">
        <f>IF($A504="","",'Lot Balance'!$P503)</f>
        <v/>
      </c>
      <c r="I504" s="26" t="str">
        <f>IF($A504="","",COUNTIFS(tblIssues[Lot Number],$B504))</f>
        <v/>
      </c>
      <c r="J504" s="31" t="str">
        <f>IF($A504="","",IF('Lot Balance'!$O503&lt;=0,"Depleted",'Lot Balance'!$Q503))</f>
        <v/>
      </c>
    </row>
    <row r="505" spans="1:10" x14ac:dyDescent="0.35">
      <c r="A505" s="18" t="str">
        <f>IF('Lot Balance'!$A504="","",'Lot Balance'!$A504)</f>
        <v/>
      </c>
      <c r="B505" s="18" t="str">
        <f>IF($A505="","",'Lot Balance'!$B504)</f>
        <v/>
      </c>
      <c r="C505" s="18" t="str">
        <f>IF($A505="","",'Lot Balance'!$C504)</f>
        <v/>
      </c>
      <c r="D505" s="25" t="str">
        <f>IF($A505="","",'Lot Balance'!$G504)</f>
        <v/>
      </c>
      <c r="E505" s="25" t="str">
        <f>IF($A505="","",'Lot Balance'!$H504)</f>
        <v/>
      </c>
      <c r="F505" s="23" t="str">
        <f>IF($A505="","",'Lot Balance'!$I504)</f>
        <v/>
      </c>
      <c r="G505" s="23" t="str">
        <f>IF($A505="","",'Lot Balance'!$O504)</f>
        <v/>
      </c>
      <c r="H505" s="33" t="str">
        <f>IF($A505="","",'Lot Balance'!$P504)</f>
        <v/>
      </c>
      <c r="I505" s="26" t="str">
        <f>IF($A505="","",COUNTIFS(tblIssues[Lot Number],$B505))</f>
        <v/>
      </c>
      <c r="J505" s="31" t="str">
        <f>IF($A505="","",IF('Lot Balance'!$O504&lt;=0,"Depleted",'Lot Balance'!$Q504))</f>
        <v/>
      </c>
    </row>
    <row r="506" spans="1:10" x14ac:dyDescent="0.35">
      <c r="A506" s="18" t="str">
        <f>IF('Lot Balance'!$A505="","",'Lot Balance'!$A505)</f>
        <v/>
      </c>
      <c r="B506" s="18" t="str">
        <f>IF($A506="","",'Lot Balance'!$B505)</f>
        <v/>
      </c>
      <c r="C506" s="18" t="str">
        <f>IF($A506="","",'Lot Balance'!$C505)</f>
        <v/>
      </c>
      <c r="D506" s="25" t="str">
        <f>IF($A506="","",'Lot Balance'!$G505)</f>
        <v/>
      </c>
      <c r="E506" s="25" t="str">
        <f>IF($A506="","",'Lot Balance'!$H505)</f>
        <v/>
      </c>
      <c r="F506" s="23" t="str">
        <f>IF($A506="","",'Lot Balance'!$I505)</f>
        <v/>
      </c>
      <c r="G506" s="23" t="str">
        <f>IF($A506="","",'Lot Balance'!$O505)</f>
        <v/>
      </c>
      <c r="H506" s="33" t="str">
        <f>IF($A506="","",'Lot Balance'!$P505)</f>
        <v/>
      </c>
      <c r="I506" s="26" t="str">
        <f>IF($A506="","",COUNTIFS(tblIssues[Lot Number],$B506))</f>
        <v/>
      </c>
      <c r="J506" s="31" t="str">
        <f>IF($A506="","",IF('Lot Balance'!$O505&lt;=0,"Depleted",'Lot Balance'!$Q505))</f>
        <v/>
      </c>
    </row>
    <row r="507" spans="1:10" x14ac:dyDescent="0.35">
      <c r="A507" s="18" t="str">
        <f>IF('Lot Balance'!$A506="","",'Lot Balance'!$A506)</f>
        <v/>
      </c>
      <c r="B507" s="18" t="str">
        <f>IF($A507="","",'Lot Balance'!$B506)</f>
        <v/>
      </c>
      <c r="C507" s="18" t="str">
        <f>IF($A507="","",'Lot Balance'!$C506)</f>
        <v/>
      </c>
      <c r="D507" s="25" t="str">
        <f>IF($A507="","",'Lot Balance'!$G506)</f>
        <v/>
      </c>
      <c r="E507" s="25" t="str">
        <f>IF($A507="","",'Lot Balance'!$H506)</f>
        <v/>
      </c>
      <c r="F507" s="23" t="str">
        <f>IF($A507="","",'Lot Balance'!$I506)</f>
        <v/>
      </c>
      <c r="G507" s="23" t="str">
        <f>IF($A507="","",'Lot Balance'!$O506)</f>
        <v/>
      </c>
      <c r="H507" s="33" t="str">
        <f>IF($A507="","",'Lot Balance'!$P506)</f>
        <v/>
      </c>
      <c r="I507" s="26" t="str">
        <f>IF($A507="","",COUNTIFS(tblIssues[Lot Number],$B507))</f>
        <v/>
      </c>
      <c r="J507" s="31" t="str">
        <f>IF($A507="","",IF('Lot Balance'!$O506&lt;=0,"Depleted",'Lot Balance'!$Q506))</f>
        <v/>
      </c>
    </row>
    <row r="508" spans="1:10" x14ac:dyDescent="0.35">
      <c r="A508" s="18" t="str">
        <f>IF('Lot Balance'!$A507="","",'Lot Balance'!$A507)</f>
        <v/>
      </c>
      <c r="B508" s="18" t="str">
        <f>IF($A508="","",'Lot Balance'!$B507)</f>
        <v/>
      </c>
      <c r="C508" s="18" t="str">
        <f>IF($A508="","",'Lot Balance'!$C507)</f>
        <v/>
      </c>
      <c r="D508" s="25" t="str">
        <f>IF($A508="","",'Lot Balance'!$G507)</f>
        <v/>
      </c>
      <c r="E508" s="25" t="str">
        <f>IF($A508="","",'Lot Balance'!$H507)</f>
        <v/>
      </c>
      <c r="F508" s="23" t="str">
        <f>IF($A508="","",'Lot Balance'!$I507)</f>
        <v/>
      </c>
      <c r="G508" s="23" t="str">
        <f>IF($A508="","",'Lot Balance'!$O507)</f>
        <v/>
      </c>
      <c r="H508" s="33" t="str">
        <f>IF($A508="","",'Lot Balance'!$P507)</f>
        <v/>
      </c>
      <c r="I508" s="26" t="str">
        <f>IF($A508="","",COUNTIFS(tblIssues[Lot Number],$B508))</f>
        <v/>
      </c>
      <c r="J508" s="31" t="str">
        <f>IF($A508="","",IF('Lot Balance'!$O507&lt;=0,"Depleted",'Lot Balance'!$Q507))</f>
        <v/>
      </c>
    </row>
    <row r="509" spans="1:10" x14ac:dyDescent="0.35">
      <c r="A509" s="18" t="str">
        <f>IF('Lot Balance'!$A508="","",'Lot Balance'!$A508)</f>
        <v/>
      </c>
      <c r="B509" s="18" t="str">
        <f>IF($A509="","",'Lot Balance'!$B508)</f>
        <v/>
      </c>
      <c r="C509" s="18" t="str">
        <f>IF($A509="","",'Lot Balance'!$C508)</f>
        <v/>
      </c>
      <c r="D509" s="25" t="str">
        <f>IF($A509="","",'Lot Balance'!$G508)</f>
        <v/>
      </c>
      <c r="E509" s="25" t="str">
        <f>IF($A509="","",'Lot Balance'!$H508)</f>
        <v/>
      </c>
      <c r="F509" s="23" t="str">
        <f>IF($A509="","",'Lot Balance'!$I508)</f>
        <v/>
      </c>
      <c r="G509" s="23" t="str">
        <f>IF($A509="","",'Lot Balance'!$O508)</f>
        <v/>
      </c>
      <c r="H509" s="33" t="str">
        <f>IF($A509="","",'Lot Balance'!$P508)</f>
        <v/>
      </c>
      <c r="I509" s="26" t="str">
        <f>IF($A509="","",COUNTIFS(tblIssues[Lot Number],$B509))</f>
        <v/>
      </c>
      <c r="J509" s="31" t="str">
        <f>IF($A509="","",IF('Lot Balance'!$O508&lt;=0,"Depleted",'Lot Balance'!$Q508))</f>
        <v/>
      </c>
    </row>
    <row r="510" spans="1:10" x14ac:dyDescent="0.35">
      <c r="A510" s="18" t="str">
        <f>IF('Lot Balance'!$A509="","",'Lot Balance'!$A509)</f>
        <v/>
      </c>
      <c r="B510" s="18" t="str">
        <f>IF($A510="","",'Lot Balance'!$B509)</f>
        <v/>
      </c>
      <c r="C510" s="18" t="str">
        <f>IF($A510="","",'Lot Balance'!$C509)</f>
        <v/>
      </c>
      <c r="D510" s="25" t="str">
        <f>IF($A510="","",'Lot Balance'!$G509)</f>
        <v/>
      </c>
      <c r="E510" s="25" t="str">
        <f>IF($A510="","",'Lot Balance'!$H509)</f>
        <v/>
      </c>
      <c r="F510" s="23" t="str">
        <f>IF($A510="","",'Lot Balance'!$I509)</f>
        <v/>
      </c>
      <c r="G510" s="23" t="str">
        <f>IF($A510="","",'Lot Balance'!$O509)</f>
        <v/>
      </c>
      <c r="H510" s="33" t="str">
        <f>IF($A510="","",'Lot Balance'!$P509)</f>
        <v/>
      </c>
      <c r="I510" s="26" t="str">
        <f>IF($A510="","",COUNTIFS(tblIssues[Lot Number],$B510))</f>
        <v/>
      </c>
      <c r="J510" s="31" t="str">
        <f>IF($A510="","",IF('Lot Balance'!$O509&lt;=0,"Depleted",'Lot Balance'!$Q509))</f>
        <v/>
      </c>
    </row>
    <row r="511" spans="1:10" x14ac:dyDescent="0.35">
      <c r="A511" s="18" t="str">
        <f>IF('Lot Balance'!$A510="","",'Lot Balance'!$A510)</f>
        <v/>
      </c>
      <c r="B511" s="18" t="str">
        <f>IF($A511="","",'Lot Balance'!$B510)</f>
        <v/>
      </c>
      <c r="C511" s="18" t="str">
        <f>IF($A511="","",'Lot Balance'!$C510)</f>
        <v/>
      </c>
      <c r="D511" s="25" t="str">
        <f>IF($A511="","",'Lot Balance'!$G510)</f>
        <v/>
      </c>
      <c r="E511" s="25" t="str">
        <f>IF($A511="","",'Lot Balance'!$H510)</f>
        <v/>
      </c>
      <c r="F511" s="23" t="str">
        <f>IF($A511="","",'Lot Balance'!$I510)</f>
        <v/>
      </c>
      <c r="G511" s="23" t="str">
        <f>IF($A511="","",'Lot Balance'!$O510)</f>
        <v/>
      </c>
      <c r="H511" s="33" t="str">
        <f>IF($A511="","",'Lot Balance'!$P510)</f>
        <v/>
      </c>
      <c r="I511" s="26" t="str">
        <f>IF($A511="","",COUNTIFS(tblIssues[Lot Number],$B511))</f>
        <v/>
      </c>
      <c r="J511" s="31" t="str">
        <f>IF($A511="","",IF('Lot Balance'!$O510&lt;=0,"Depleted",'Lot Balance'!$Q510))</f>
        <v/>
      </c>
    </row>
    <row r="512" spans="1:10" x14ac:dyDescent="0.35">
      <c r="A512" s="18" t="str">
        <f>IF('Lot Balance'!$A511="","",'Lot Balance'!$A511)</f>
        <v/>
      </c>
      <c r="B512" s="18" t="str">
        <f>IF($A512="","",'Lot Balance'!$B511)</f>
        <v/>
      </c>
      <c r="C512" s="18" t="str">
        <f>IF($A512="","",'Lot Balance'!$C511)</f>
        <v/>
      </c>
      <c r="D512" s="25" t="str">
        <f>IF($A512="","",'Lot Balance'!$G511)</f>
        <v/>
      </c>
      <c r="E512" s="25" t="str">
        <f>IF($A512="","",'Lot Balance'!$H511)</f>
        <v/>
      </c>
      <c r="F512" s="23" t="str">
        <f>IF($A512="","",'Lot Balance'!$I511)</f>
        <v/>
      </c>
      <c r="G512" s="23" t="str">
        <f>IF($A512="","",'Lot Balance'!$O511)</f>
        <v/>
      </c>
      <c r="H512" s="33" t="str">
        <f>IF($A512="","",'Lot Balance'!$P511)</f>
        <v/>
      </c>
      <c r="I512" s="26" t="str">
        <f>IF($A512="","",COUNTIFS(tblIssues[Lot Number],$B512))</f>
        <v/>
      </c>
      <c r="J512" s="31" t="str">
        <f>IF($A512="","",IF('Lot Balance'!$O511&lt;=0,"Depleted",'Lot Balance'!$Q511))</f>
        <v/>
      </c>
    </row>
    <row r="513" spans="1:10" x14ac:dyDescent="0.35">
      <c r="A513" s="18" t="str">
        <f>IF('Lot Balance'!$A512="","",'Lot Balance'!$A512)</f>
        <v/>
      </c>
      <c r="B513" s="18" t="str">
        <f>IF($A513="","",'Lot Balance'!$B512)</f>
        <v/>
      </c>
      <c r="C513" s="18" t="str">
        <f>IF($A513="","",'Lot Balance'!$C512)</f>
        <v/>
      </c>
      <c r="D513" s="25" t="str">
        <f>IF($A513="","",'Lot Balance'!$G512)</f>
        <v/>
      </c>
      <c r="E513" s="25" t="str">
        <f>IF($A513="","",'Lot Balance'!$H512)</f>
        <v/>
      </c>
      <c r="F513" s="23" t="str">
        <f>IF($A513="","",'Lot Balance'!$I512)</f>
        <v/>
      </c>
      <c r="G513" s="23" t="str">
        <f>IF($A513="","",'Lot Balance'!$O512)</f>
        <v/>
      </c>
      <c r="H513" s="33" t="str">
        <f>IF($A513="","",'Lot Balance'!$P512)</f>
        <v/>
      </c>
      <c r="I513" s="26" t="str">
        <f>IF($A513="","",COUNTIFS(tblIssues[Lot Number],$B513))</f>
        <v/>
      </c>
      <c r="J513" s="31" t="str">
        <f>IF($A513="","",IF('Lot Balance'!$O512&lt;=0,"Depleted",'Lot Balance'!$Q512))</f>
        <v/>
      </c>
    </row>
    <row r="514" spans="1:10" x14ac:dyDescent="0.35">
      <c r="A514" s="18" t="str">
        <f>IF('Lot Balance'!$A513="","",'Lot Balance'!$A513)</f>
        <v/>
      </c>
      <c r="B514" s="18" t="str">
        <f>IF($A514="","",'Lot Balance'!$B513)</f>
        <v/>
      </c>
      <c r="C514" s="18" t="str">
        <f>IF($A514="","",'Lot Balance'!$C513)</f>
        <v/>
      </c>
      <c r="D514" s="25" t="str">
        <f>IF($A514="","",'Lot Balance'!$G513)</f>
        <v/>
      </c>
      <c r="E514" s="25" t="str">
        <f>IF($A514="","",'Lot Balance'!$H513)</f>
        <v/>
      </c>
      <c r="F514" s="23" t="str">
        <f>IF($A514="","",'Lot Balance'!$I513)</f>
        <v/>
      </c>
      <c r="G514" s="23" t="str">
        <f>IF($A514="","",'Lot Balance'!$O513)</f>
        <v/>
      </c>
      <c r="H514" s="33" t="str">
        <f>IF($A514="","",'Lot Balance'!$P513)</f>
        <v/>
      </c>
      <c r="I514" s="26" t="str">
        <f>IF($A514="","",COUNTIFS(tblIssues[Lot Number],$B514))</f>
        <v/>
      </c>
      <c r="J514" s="31" t="str">
        <f>IF($A514="","",IF('Lot Balance'!$O513&lt;=0,"Depleted",'Lot Balance'!$Q513))</f>
        <v/>
      </c>
    </row>
    <row r="515" spans="1:10" x14ac:dyDescent="0.35">
      <c r="A515" s="18" t="str">
        <f>IF('Lot Balance'!$A514="","",'Lot Balance'!$A514)</f>
        <v/>
      </c>
      <c r="B515" s="18" t="str">
        <f>IF($A515="","",'Lot Balance'!$B514)</f>
        <v/>
      </c>
      <c r="C515" s="18" t="str">
        <f>IF($A515="","",'Lot Balance'!$C514)</f>
        <v/>
      </c>
      <c r="D515" s="25" t="str">
        <f>IF($A515="","",'Lot Balance'!$G514)</f>
        <v/>
      </c>
      <c r="E515" s="25" t="str">
        <f>IF($A515="","",'Lot Balance'!$H514)</f>
        <v/>
      </c>
      <c r="F515" s="23" t="str">
        <f>IF($A515="","",'Lot Balance'!$I514)</f>
        <v/>
      </c>
      <c r="G515" s="23" t="str">
        <f>IF($A515="","",'Lot Balance'!$O514)</f>
        <v/>
      </c>
      <c r="H515" s="33" t="str">
        <f>IF($A515="","",'Lot Balance'!$P514)</f>
        <v/>
      </c>
      <c r="I515" s="26" t="str">
        <f>IF($A515="","",COUNTIFS(tblIssues[Lot Number],$B515))</f>
        <v/>
      </c>
      <c r="J515" s="31" t="str">
        <f>IF($A515="","",IF('Lot Balance'!$O514&lt;=0,"Depleted",'Lot Balance'!$Q514))</f>
        <v/>
      </c>
    </row>
    <row r="516" spans="1:10" x14ac:dyDescent="0.35">
      <c r="A516" s="18" t="str">
        <f>IF('Lot Balance'!$A515="","",'Lot Balance'!$A515)</f>
        <v/>
      </c>
      <c r="B516" s="18" t="str">
        <f>IF($A516="","",'Lot Balance'!$B515)</f>
        <v/>
      </c>
      <c r="C516" s="18" t="str">
        <f>IF($A516="","",'Lot Balance'!$C515)</f>
        <v/>
      </c>
      <c r="D516" s="25" t="str">
        <f>IF($A516="","",'Lot Balance'!$G515)</f>
        <v/>
      </c>
      <c r="E516" s="25" t="str">
        <f>IF($A516="","",'Lot Balance'!$H515)</f>
        <v/>
      </c>
      <c r="F516" s="23" t="str">
        <f>IF($A516="","",'Lot Balance'!$I515)</f>
        <v/>
      </c>
      <c r="G516" s="23" t="str">
        <f>IF($A516="","",'Lot Balance'!$O515)</f>
        <v/>
      </c>
      <c r="H516" s="33" t="str">
        <f>IF($A516="","",'Lot Balance'!$P515)</f>
        <v/>
      </c>
      <c r="I516" s="26" t="str">
        <f>IF($A516="","",COUNTIFS(tblIssues[Lot Number],$B516))</f>
        <v/>
      </c>
      <c r="J516" s="31" t="str">
        <f>IF($A516="","",IF('Lot Balance'!$O515&lt;=0,"Depleted",'Lot Balance'!$Q515))</f>
        <v/>
      </c>
    </row>
    <row r="517" spans="1:10" x14ac:dyDescent="0.35">
      <c r="A517" s="18" t="str">
        <f>IF('Lot Balance'!$A516="","",'Lot Balance'!$A516)</f>
        <v/>
      </c>
      <c r="B517" s="18" t="str">
        <f>IF($A517="","",'Lot Balance'!$B516)</f>
        <v/>
      </c>
      <c r="C517" s="18" t="str">
        <f>IF($A517="","",'Lot Balance'!$C516)</f>
        <v/>
      </c>
      <c r="D517" s="25" t="str">
        <f>IF($A517="","",'Lot Balance'!$G516)</f>
        <v/>
      </c>
      <c r="E517" s="25" t="str">
        <f>IF($A517="","",'Lot Balance'!$H516)</f>
        <v/>
      </c>
      <c r="F517" s="23" t="str">
        <f>IF($A517="","",'Lot Balance'!$I516)</f>
        <v/>
      </c>
      <c r="G517" s="23" t="str">
        <f>IF($A517="","",'Lot Balance'!$O516)</f>
        <v/>
      </c>
      <c r="H517" s="33" t="str">
        <f>IF($A517="","",'Lot Balance'!$P516)</f>
        <v/>
      </c>
      <c r="I517" s="26" t="str">
        <f>IF($A517="","",COUNTIFS(tblIssues[Lot Number],$B517))</f>
        <v/>
      </c>
      <c r="J517" s="31" t="str">
        <f>IF($A517="","",IF('Lot Balance'!$O516&lt;=0,"Depleted",'Lot Balance'!$Q516))</f>
        <v/>
      </c>
    </row>
    <row r="518" spans="1:10" x14ac:dyDescent="0.35">
      <c r="A518" s="18" t="str">
        <f>IF('Lot Balance'!$A517="","",'Lot Balance'!$A517)</f>
        <v/>
      </c>
      <c r="B518" s="18" t="str">
        <f>IF($A518="","",'Lot Balance'!$B517)</f>
        <v/>
      </c>
      <c r="C518" s="18" t="str">
        <f>IF($A518="","",'Lot Balance'!$C517)</f>
        <v/>
      </c>
      <c r="D518" s="25" t="str">
        <f>IF($A518="","",'Lot Balance'!$G517)</f>
        <v/>
      </c>
      <c r="E518" s="25" t="str">
        <f>IF($A518="","",'Lot Balance'!$H517)</f>
        <v/>
      </c>
      <c r="F518" s="23" t="str">
        <f>IF($A518="","",'Lot Balance'!$I517)</f>
        <v/>
      </c>
      <c r="G518" s="23" t="str">
        <f>IF($A518="","",'Lot Balance'!$O517)</f>
        <v/>
      </c>
      <c r="H518" s="33" t="str">
        <f>IF($A518="","",'Lot Balance'!$P517)</f>
        <v/>
      </c>
      <c r="I518" s="26" t="str">
        <f>IF($A518="","",COUNTIFS(tblIssues[Lot Number],$B518))</f>
        <v/>
      </c>
      <c r="J518" s="31" t="str">
        <f>IF($A518="","",IF('Lot Balance'!$O517&lt;=0,"Depleted",'Lot Balance'!$Q517))</f>
        <v/>
      </c>
    </row>
    <row r="519" spans="1:10" x14ac:dyDescent="0.35">
      <c r="A519" s="18" t="str">
        <f>IF('Lot Balance'!$A518="","",'Lot Balance'!$A518)</f>
        <v/>
      </c>
      <c r="B519" s="18" t="str">
        <f>IF($A519="","",'Lot Balance'!$B518)</f>
        <v/>
      </c>
      <c r="C519" s="18" t="str">
        <f>IF($A519="","",'Lot Balance'!$C518)</f>
        <v/>
      </c>
      <c r="D519" s="25" t="str">
        <f>IF($A519="","",'Lot Balance'!$G518)</f>
        <v/>
      </c>
      <c r="E519" s="25" t="str">
        <f>IF($A519="","",'Lot Balance'!$H518)</f>
        <v/>
      </c>
      <c r="F519" s="23" t="str">
        <f>IF($A519="","",'Lot Balance'!$I518)</f>
        <v/>
      </c>
      <c r="G519" s="23" t="str">
        <f>IF($A519="","",'Lot Balance'!$O518)</f>
        <v/>
      </c>
      <c r="H519" s="33" t="str">
        <f>IF($A519="","",'Lot Balance'!$P518)</f>
        <v/>
      </c>
      <c r="I519" s="26" t="str">
        <f>IF($A519="","",COUNTIFS(tblIssues[Lot Number],$B519))</f>
        <v/>
      </c>
      <c r="J519" s="31" t="str">
        <f>IF($A519="","",IF('Lot Balance'!$O518&lt;=0,"Depleted",'Lot Balance'!$Q518))</f>
        <v/>
      </c>
    </row>
    <row r="520" spans="1:10" x14ac:dyDescent="0.35">
      <c r="A520" s="18" t="str">
        <f>IF('Lot Balance'!$A519="","",'Lot Balance'!$A519)</f>
        <v/>
      </c>
      <c r="B520" s="18" t="str">
        <f>IF($A520="","",'Lot Balance'!$B519)</f>
        <v/>
      </c>
      <c r="C520" s="18" t="str">
        <f>IF($A520="","",'Lot Balance'!$C519)</f>
        <v/>
      </c>
      <c r="D520" s="25" t="str">
        <f>IF($A520="","",'Lot Balance'!$G519)</f>
        <v/>
      </c>
      <c r="E520" s="25" t="str">
        <f>IF($A520="","",'Lot Balance'!$H519)</f>
        <v/>
      </c>
      <c r="F520" s="23" t="str">
        <f>IF($A520="","",'Lot Balance'!$I519)</f>
        <v/>
      </c>
      <c r="G520" s="23" t="str">
        <f>IF($A520="","",'Lot Balance'!$O519)</f>
        <v/>
      </c>
      <c r="H520" s="33" t="str">
        <f>IF($A520="","",'Lot Balance'!$P519)</f>
        <v/>
      </c>
      <c r="I520" s="26" t="str">
        <f>IF($A520="","",COUNTIFS(tblIssues[Lot Number],$B520))</f>
        <v/>
      </c>
      <c r="J520" s="31" t="str">
        <f>IF($A520="","",IF('Lot Balance'!$O519&lt;=0,"Depleted",'Lot Balance'!$Q519))</f>
        <v/>
      </c>
    </row>
    <row r="521" spans="1:10" x14ac:dyDescent="0.35">
      <c r="A521" s="18" t="str">
        <f>IF('Lot Balance'!$A520="","",'Lot Balance'!$A520)</f>
        <v/>
      </c>
      <c r="B521" s="18" t="str">
        <f>IF($A521="","",'Lot Balance'!$B520)</f>
        <v/>
      </c>
      <c r="C521" s="18" t="str">
        <f>IF($A521="","",'Lot Balance'!$C520)</f>
        <v/>
      </c>
      <c r="D521" s="25" t="str">
        <f>IF($A521="","",'Lot Balance'!$G520)</f>
        <v/>
      </c>
      <c r="E521" s="25" t="str">
        <f>IF($A521="","",'Lot Balance'!$H520)</f>
        <v/>
      </c>
      <c r="F521" s="23" t="str">
        <f>IF($A521="","",'Lot Balance'!$I520)</f>
        <v/>
      </c>
      <c r="G521" s="23" t="str">
        <f>IF($A521="","",'Lot Balance'!$O520)</f>
        <v/>
      </c>
      <c r="H521" s="33" t="str">
        <f>IF($A521="","",'Lot Balance'!$P520)</f>
        <v/>
      </c>
      <c r="I521" s="26" t="str">
        <f>IF($A521="","",COUNTIFS(tblIssues[Lot Number],$B521))</f>
        <v/>
      </c>
      <c r="J521" s="31" t="str">
        <f>IF($A521="","",IF('Lot Balance'!$O520&lt;=0,"Depleted",'Lot Balance'!$Q520))</f>
        <v/>
      </c>
    </row>
    <row r="522" spans="1:10" x14ac:dyDescent="0.35">
      <c r="A522" s="18" t="str">
        <f>IF('Lot Balance'!$A521="","",'Lot Balance'!$A521)</f>
        <v/>
      </c>
      <c r="B522" s="18" t="str">
        <f>IF($A522="","",'Lot Balance'!$B521)</f>
        <v/>
      </c>
      <c r="C522" s="18" t="str">
        <f>IF($A522="","",'Lot Balance'!$C521)</f>
        <v/>
      </c>
      <c r="D522" s="25" t="str">
        <f>IF($A522="","",'Lot Balance'!$G521)</f>
        <v/>
      </c>
      <c r="E522" s="25" t="str">
        <f>IF($A522="","",'Lot Balance'!$H521)</f>
        <v/>
      </c>
      <c r="F522" s="23" t="str">
        <f>IF($A522="","",'Lot Balance'!$I521)</f>
        <v/>
      </c>
      <c r="G522" s="23" t="str">
        <f>IF($A522="","",'Lot Balance'!$O521)</f>
        <v/>
      </c>
      <c r="H522" s="33" t="str">
        <f>IF($A522="","",'Lot Balance'!$P521)</f>
        <v/>
      </c>
      <c r="I522" s="26" t="str">
        <f>IF($A522="","",COUNTIFS(tblIssues[Lot Number],$B522))</f>
        <v/>
      </c>
      <c r="J522" s="31" t="str">
        <f>IF($A522="","",IF('Lot Balance'!$O521&lt;=0,"Depleted",'Lot Balance'!$Q521))</f>
        <v/>
      </c>
    </row>
    <row r="523" spans="1:10" x14ac:dyDescent="0.35">
      <c r="A523" s="18" t="str">
        <f>IF('Lot Balance'!$A522="","",'Lot Balance'!$A522)</f>
        <v/>
      </c>
      <c r="B523" s="18" t="str">
        <f>IF($A523="","",'Lot Balance'!$B522)</f>
        <v/>
      </c>
      <c r="C523" s="18" t="str">
        <f>IF($A523="","",'Lot Balance'!$C522)</f>
        <v/>
      </c>
      <c r="D523" s="25" t="str">
        <f>IF($A523="","",'Lot Balance'!$G522)</f>
        <v/>
      </c>
      <c r="E523" s="25" t="str">
        <f>IF($A523="","",'Lot Balance'!$H522)</f>
        <v/>
      </c>
      <c r="F523" s="23" t="str">
        <f>IF($A523="","",'Lot Balance'!$I522)</f>
        <v/>
      </c>
      <c r="G523" s="23" t="str">
        <f>IF($A523="","",'Lot Balance'!$O522)</f>
        <v/>
      </c>
      <c r="H523" s="33" t="str">
        <f>IF($A523="","",'Lot Balance'!$P522)</f>
        <v/>
      </c>
      <c r="I523" s="26" t="str">
        <f>IF($A523="","",COUNTIFS(tblIssues[Lot Number],$B523))</f>
        <v/>
      </c>
      <c r="J523" s="31" t="str">
        <f>IF($A523="","",IF('Lot Balance'!$O522&lt;=0,"Depleted",'Lot Balance'!$Q522))</f>
        <v/>
      </c>
    </row>
    <row r="524" spans="1:10" x14ac:dyDescent="0.35">
      <c r="A524" s="18" t="str">
        <f>IF('Lot Balance'!$A523="","",'Lot Balance'!$A523)</f>
        <v/>
      </c>
      <c r="B524" s="18" t="str">
        <f>IF($A524="","",'Lot Balance'!$B523)</f>
        <v/>
      </c>
      <c r="C524" s="18" t="str">
        <f>IF($A524="","",'Lot Balance'!$C523)</f>
        <v/>
      </c>
      <c r="D524" s="25" t="str">
        <f>IF($A524="","",'Lot Balance'!$G523)</f>
        <v/>
      </c>
      <c r="E524" s="25" t="str">
        <f>IF($A524="","",'Lot Balance'!$H523)</f>
        <v/>
      </c>
      <c r="F524" s="23" t="str">
        <f>IF($A524="","",'Lot Balance'!$I523)</f>
        <v/>
      </c>
      <c r="G524" s="23" t="str">
        <f>IF($A524="","",'Lot Balance'!$O523)</f>
        <v/>
      </c>
      <c r="H524" s="33" t="str">
        <f>IF($A524="","",'Lot Balance'!$P523)</f>
        <v/>
      </c>
      <c r="I524" s="26" t="str">
        <f>IF($A524="","",COUNTIFS(tblIssues[Lot Number],$B524))</f>
        <v/>
      </c>
      <c r="J524" s="31" t="str">
        <f>IF($A524="","",IF('Lot Balance'!$O523&lt;=0,"Depleted",'Lot Balance'!$Q523))</f>
        <v/>
      </c>
    </row>
    <row r="525" spans="1:10" x14ac:dyDescent="0.35">
      <c r="A525" s="18" t="str">
        <f>IF('Lot Balance'!$A524="","",'Lot Balance'!$A524)</f>
        <v/>
      </c>
      <c r="B525" s="18" t="str">
        <f>IF($A525="","",'Lot Balance'!$B524)</f>
        <v/>
      </c>
      <c r="C525" s="18" t="str">
        <f>IF($A525="","",'Lot Balance'!$C524)</f>
        <v/>
      </c>
      <c r="D525" s="25" t="str">
        <f>IF($A525="","",'Lot Balance'!$G524)</f>
        <v/>
      </c>
      <c r="E525" s="25" t="str">
        <f>IF($A525="","",'Lot Balance'!$H524)</f>
        <v/>
      </c>
      <c r="F525" s="23" t="str">
        <f>IF($A525="","",'Lot Balance'!$I524)</f>
        <v/>
      </c>
      <c r="G525" s="23" t="str">
        <f>IF($A525="","",'Lot Balance'!$O524)</f>
        <v/>
      </c>
      <c r="H525" s="33" t="str">
        <f>IF($A525="","",'Lot Balance'!$P524)</f>
        <v/>
      </c>
      <c r="I525" s="26" t="str">
        <f>IF($A525="","",COUNTIFS(tblIssues[Lot Number],$B525))</f>
        <v/>
      </c>
      <c r="J525" s="31" t="str">
        <f>IF($A525="","",IF('Lot Balance'!$O524&lt;=0,"Depleted",'Lot Balance'!$Q524))</f>
        <v/>
      </c>
    </row>
    <row r="526" spans="1:10" x14ac:dyDescent="0.35">
      <c r="A526" s="18" t="str">
        <f>IF('Lot Balance'!$A525="","",'Lot Balance'!$A525)</f>
        <v/>
      </c>
      <c r="B526" s="18" t="str">
        <f>IF($A526="","",'Lot Balance'!$B525)</f>
        <v/>
      </c>
      <c r="C526" s="18" t="str">
        <f>IF($A526="","",'Lot Balance'!$C525)</f>
        <v/>
      </c>
      <c r="D526" s="25" t="str">
        <f>IF($A526="","",'Lot Balance'!$G525)</f>
        <v/>
      </c>
      <c r="E526" s="25" t="str">
        <f>IF($A526="","",'Lot Balance'!$H525)</f>
        <v/>
      </c>
      <c r="F526" s="23" t="str">
        <f>IF($A526="","",'Lot Balance'!$I525)</f>
        <v/>
      </c>
      <c r="G526" s="23" t="str">
        <f>IF($A526="","",'Lot Balance'!$O525)</f>
        <v/>
      </c>
      <c r="H526" s="33" t="str">
        <f>IF($A526="","",'Lot Balance'!$P525)</f>
        <v/>
      </c>
      <c r="I526" s="26" t="str">
        <f>IF($A526="","",COUNTIFS(tblIssues[Lot Number],$B526))</f>
        <v/>
      </c>
      <c r="J526" s="31" t="str">
        <f>IF($A526="","",IF('Lot Balance'!$O525&lt;=0,"Depleted",'Lot Balance'!$Q525))</f>
        <v/>
      </c>
    </row>
    <row r="527" spans="1:10" x14ac:dyDescent="0.35">
      <c r="A527" s="18" t="str">
        <f>IF('Lot Balance'!$A526="","",'Lot Balance'!$A526)</f>
        <v/>
      </c>
      <c r="B527" s="18" t="str">
        <f>IF($A527="","",'Lot Balance'!$B526)</f>
        <v/>
      </c>
      <c r="C527" s="18" t="str">
        <f>IF($A527="","",'Lot Balance'!$C526)</f>
        <v/>
      </c>
      <c r="D527" s="25" t="str">
        <f>IF($A527="","",'Lot Balance'!$G526)</f>
        <v/>
      </c>
      <c r="E527" s="25" t="str">
        <f>IF($A527="","",'Lot Balance'!$H526)</f>
        <v/>
      </c>
      <c r="F527" s="23" t="str">
        <f>IF($A527="","",'Lot Balance'!$I526)</f>
        <v/>
      </c>
      <c r="G527" s="23" t="str">
        <f>IF($A527="","",'Lot Balance'!$O526)</f>
        <v/>
      </c>
      <c r="H527" s="33" t="str">
        <f>IF($A527="","",'Lot Balance'!$P526)</f>
        <v/>
      </c>
      <c r="I527" s="26" t="str">
        <f>IF($A527="","",COUNTIFS(tblIssues[Lot Number],$B527))</f>
        <v/>
      </c>
      <c r="J527" s="31" t="str">
        <f>IF($A527="","",IF('Lot Balance'!$O526&lt;=0,"Depleted",'Lot Balance'!$Q526))</f>
        <v/>
      </c>
    </row>
    <row r="528" spans="1:10" x14ac:dyDescent="0.35">
      <c r="A528" s="18" t="str">
        <f>IF('Lot Balance'!$A527="","",'Lot Balance'!$A527)</f>
        <v/>
      </c>
      <c r="B528" s="18" t="str">
        <f>IF($A528="","",'Lot Balance'!$B527)</f>
        <v/>
      </c>
      <c r="C528" s="18" t="str">
        <f>IF($A528="","",'Lot Balance'!$C527)</f>
        <v/>
      </c>
      <c r="D528" s="25" t="str">
        <f>IF($A528="","",'Lot Balance'!$G527)</f>
        <v/>
      </c>
      <c r="E528" s="25" t="str">
        <f>IF($A528="","",'Lot Balance'!$H527)</f>
        <v/>
      </c>
      <c r="F528" s="23" t="str">
        <f>IF($A528="","",'Lot Balance'!$I527)</f>
        <v/>
      </c>
      <c r="G528" s="23" t="str">
        <f>IF($A528="","",'Lot Balance'!$O527)</f>
        <v/>
      </c>
      <c r="H528" s="33" t="str">
        <f>IF($A528="","",'Lot Balance'!$P527)</f>
        <v/>
      </c>
      <c r="I528" s="26" t="str">
        <f>IF($A528="","",COUNTIFS(tblIssues[Lot Number],$B528))</f>
        <v/>
      </c>
      <c r="J528" s="31" t="str">
        <f>IF($A528="","",IF('Lot Balance'!$O527&lt;=0,"Depleted",'Lot Balance'!$Q527))</f>
        <v/>
      </c>
    </row>
    <row r="529" spans="1:10" x14ac:dyDescent="0.35">
      <c r="A529" s="18" t="str">
        <f>IF('Lot Balance'!$A528="","",'Lot Balance'!$A528)</f>
        <v/>
      </c>
      <c r="B529" s="18" t="str">
        <f>IF($A529="","",'Lot Balance'!$B528)</f>
        <v/>
      </c>
      <c r="C529" s="18" t="str">
        <f>IF($A529="","",'Lot Balance'!$C528)</f>
        <v/>
      </c>
      <c r="D529" s="25" t="str">
        <f>IF($A529="","",'Lot Balance'!$G528)</f>
        <v/>
      </c>
      <c r="E529" s="25" t="str">
        <f>IF($A529="","",'Lot Balance'!$H528)</f>
        <v/>
      </c>
      <c r="F529" s="23" t="str">
        <f>IF($A529="","",'Lot Balance'!$I528)</f>
        <v/>
      </c>
      <c r="G529" s="23" t="str">
        <f>IF($A529="","",'Lot Balance'!$O528)</f>
        <v/>
      </c>
      <c r="H529" s="33" t="str">
        <f>IF($A529="","",'Lot Balance'!$P528)</f>
        <v/>
      </c>
      <c r="I529" s="26" t="str">
        <f>IF($A529="","",COUNTIFS(tblIssues[Lot Number],$B529))</f>
        <v/>
      </c>
      <c r="J529" s="31" t="str">
        <f>IF($A529="","",IF('Lot Balance'!$O528&lt;=0,"Depleted",'Lot Balance'!$Q528))</f>
        <v/>
      </c>
    </row>
    <row r="530" spans="1:10" x14ac:dyDescent="0.35">
      <c r="A530" s="18" t="str">
        <f>IF('Lot Balance'!$A529="","",'Lot Balance'!$A529)</f>
        <v/>
      </c>
      <c r="B530" s="18" t="str">
        <f>IF($A530="","",'Lot Balance'!$B529)</f>
        <v/>
      </c>
      <c r="C530" s="18" t="str">
        <f>IF($A530="","",'Lot Balance'!$C529)</f>
        <v/>
      </c>
      <c r="D530" s="25" t="str">
        <f>IF($A530="","",'Lot Balance'!$G529)</f>
        <v/>
      </c>
      <c r="E530" s="25" t="str">
        <f>IF($A530="","",'Lot Balance'!$H529)</f>
        <v/>
      </c>
      <c r="F530" s="23" t="str">
        <f>IF($A530="","",'Lot Balance'!$I529)</f>
        <v/>
      </c>
      <c r="G530" s="23" t="str">
        <f>IF($A530="","",'Lot Balance'!$O529)</f>
        <v/>
      </c>
      <c r="H530" s="33" t="str">
        <f>IF($A530="","",'Lot Balance'!$P529)</f>
        <v/>
      </c>
      <c r="I530" s="26" t="str">
        <f>IF($A530="","",COUNTIFS(tblIssues[Lot Number],$B530))</f>
        <v/>
      </c>
      <c r="J530" s="31" t="str">
        <f>IF($A530="","",IF('Lot Balance'!$O529&lt;=0,"Depleted",'Lot Balance'!$Q529))</f>
        <v/>
      </c>
    </row>
    <row r="531" spans="1:10" x14ac:dyDescent="0.35">
      <c r="A531" s="18" t="str">
        <f>IF('Lot Balance'!$A530="","",'Lot Balance'!$A530)</f>
        <v/>
      </c>
      <c r="B531" s="18" t="str">
        <f>IF($A531="","",'Lot Balance'!$B530)</f>
        <v/>
      </c>
      <c r="C531" s="18" t="str">
        <f>IF($A531="","",'Lot Balance'!$C530)</f>
        <v/>
      </c>
      <c r="D531" s="25" t="str">
        <f>IF($A531="","",'Lot Balance'!$G530)</f>
        <v/>
      </c>
      <c r="E531" s="25" t="str">
        <f>IF($A531="","",'Lot Balance'!$H530)</f>
        <v/>
      </c>
      <c r="F531" s="23" t="str">
        <f>IF($A531="","",'Lot Balance'!$I530)</f>
        <v/>
      </c>
      <c r="G531" s="23" t="str">
        <f>IF($A531="","",'Lot Balance'!$O530)</f>
        <v/>
      </c>
      <c r="H531" s="33" t="str">
        <f>IF($A531="","",'Lot Balance'!$P530)</f>
        <v/>
      </c>
      <c r="I531" s="26" t="str">
        <f>IF($A531="","",COUNTIFS(tblIssues[Lot Number],$B531))</f>
        <v/>
      </c>
      <c r="J531" s="31" t="str">
        <f>IF($A531="","",IF('Lot Balance'!$O530&lt;=0,"Depleted",'Lot Balance'!$Q530))</f>
        <v/>
      </c>
    </row>
    <row r="532" spans="1:10" x14ac:dyDescent="0.35">
      <c r="A532" s="18" t="str">
        <f>IF('Lot Balance'!$A531="","",'Lot Balance'!$A531)</f>
        <v/>
      </c>
      <c r="B532" s="18" t="str">
        <f>IF($A532="","",'Lot Balance'!$B531)</f>
        <v/>
      </c>
      <c r="C532" s="18" t="str">
        <f>IF($A532="","",'Lot Balance'!$C531)</f>
        <v/>
      </c>
      <c r="D532" s="25" t="str">
        <f>IF($A532="","",'Lot Balance'!$G531)</f>
        <v/>
      </c>
      <c r="E532" s="25" t="str">
        <f>IF($A532="","",'Lot Balance'!$H531)</f>
        <v/>
      </c>
      <c r="F532" s="23" t="str">
        <f>IF($A532="","",'Lot Balance'!$I531)</f>
        <v/>
      </c>
      <c r="G532" s="23" t="str">
        <f>IF($A532="","",'Lot Balance'!$O531)</f>
        <v/>
      </c>
      <c r="H532" s="33" t="str">
        <f>IF($A532="","",'Lot Balance'!$P531)</f>
        <v/>
      </c>
      <c r="I532" s="26" t="str">
        <f>IF($A532="","",COUNTIFS(tblIssues[Lot Number],$B532))</f>
        <v/>
      </c>
      <c r="J532" s="31" t="str">
        <f>IF($A532="","",IF('Lot Balance'!$O531&lt;=0,"Depleted",'Lot Balance'!$Q531))</f>
        <v/>
      </c>
    </row>
    <row r="533" spans="1:10" x14ac:dyDescent="0.35">
      <c r="A533" s="18" t="str">
        <f>IF('Lot Balance'!$A532="","",'Lot Balance'!$A532)</f>
        <v/>
      </c>
      <c r="B533" s="18" t="str">
        <f>IF($A533="","",'Lot Balance'!$B532)</f>
        <v/>
      </c>
      <c r="C533" s="18" t="str">
        <f>IF($A533="","",'Lot Balance'!$C532)</f>
        <v/>
      </c>
      <c r="D533" s="25" t="str">
        <f>IF($A533="","",'Lot Balance'!$G532)</f>
        <v/>
      </c>
      <c r="E533" s="25" t="str">
        <f>IF($A533="","",'Lot Balance'!$H532)</f>
        <v/>
      </c>
      <c r="F533" s="23" t="str">
        <f>IF($A533="","",'Lot Balance'!$I532)</f>
        <v/>
      </c>
      <c r="G533" s="23" t="str">
        <f>IF($A533="","",'Lot Balance'!$O532)</f>
        <v/>
      </c>
      <c r="H533" s="33" t="str">
        <f>IF($A533="","",'Lot Balance'!$P532)</f>
        <v/>
      </c>
      <c r="I533" s="26" t="str">
        <f>IF($A533="","",COUNTIFS(tblIssues[Lot Number],$B533))</f>
        <v/>
      </c>
      <c r="J533" s="31" t="str">
        <f>IF($A533="","",IF('Lot Balance'!$O532&lt;=0,"Depleted",'Lot Balance'!$Q532))</f>
        <v/>
      </c>
    </row>
    <row r="534" spans="1:10" x14ac:dyDescent="0.35">
      <c r="A534" s="18" t="str">
        <f>IF('Lot Balance'!$A533="","",'Lot Balance'!$A533)</f>
        <v/>
      </c>
      <c r="B534" s="18" t="str">
        <f>IF($A534="","",'Lot Balance'!$B533)</f>
        <v/>
      </c>
      <c r="C534" s="18" t="str">
        <f>IF($A534="","",'Lot Balance'!$C533)</f>
        <v/>
      </c>
      <c r="D534" s="25" t="str">
        <f>IF($A534="","",'Lot Balance'!$G533)</f>
        <v/>
      </c>
      <c r="E534" s="25" t="str">
        <f>IF($A534="","",'Lot Balance'!$H533)</f>
        <v/>
      </c>
      <c r="F534" s="23" t="str">
        <f>IF($A534="","",'Lot Balance'!$I533)</f>
        <v/>
      </c>
      <c r="G534" s="23" t="str">
        <f>IF($A534="","",'Lot Balance'!$O533)</f>
        <v/>
      </c>
      <c r="H534" s="33" t="str">
        <f>IF($A534="","",'Lot Balance'!$P533)</f>
        <v/>
      </c>
      <c r="I534" s="26" t="str">
        <f>IF($A534="","",COUNTIFS(tblIssues[Lot Number],$B534))</f>
        <v/>
      </c>
      <c r="J534" s="31" t="str">
        <f>IF($A534="","",IF('Lot Balance'!$O533&lt;=0,"Depleted",'Lot Balance'!$Q533))</f>
        <v/>
      </c>
    </row>
    <row r="535" spans="1:10" x14ac:dyDescent="0.35">
      <c r="A535" s="18" t="str">
        <f>IF('Lot Balance'!$A534="","",'Lot Balance'!$A534)</f>
        <v/>
      </c>
      <c r="B535" s="18" t="str">
        <f>IF($A535="","",'Lot Balance'!$B534)</f>
        <v/>
      </c>
      <c r="C535" s="18" t="str">
        <f>IF($A535="","",'Lot Balance'!$C534)</f>
        <v/>
      </c>
      <c r="D535" s="25" t="str">
        <f>IF($A535="","",'Lot Balance'!$G534)</f>
        <v/>
      </c>
      <c r="E535" s="25" t="str">
        <f>IF($A535="","",'Lot Balance'!$H534)</f>
        <v/>
      </c>
      <c r="F535" s="23" t="str">
        <f>IF($A535="","",'Lot Balance'!$I534)</f>
        <v/>
      </c>
      <c r="G535" s="23" t="str">
        <f>IF($A535="","",'Lot Balance'!$O534)</f>
        <v/>
      </c>
      <c r="H535" s="33" t="str">
        <f>IF($A535="","",'Lot Balance'!$P534)</f>
        <v/>
      </c>
      <c r="I535" s="26" t="str">
        <f>IF($A535="","",COUNTIFS(tblIssues[Lot Number],$B535))</f>
        <v/>
      </c>
      <c r="J535" s="31" t="str">
        <f>IF($A535="","",IF('Lot Balance'!$O534&lt;=0,"Depleted",'Lot Balance'!$Q534))</f>
        <v/>
      </c>
    </row>
    <row r="536" spans="1:10" x14ac:dyDescent="0.35">
      <c r="A536" s="18" t="str">
        <f>IF('Lot Balance'!$A535="","",'Lot Balance'!$A535)</f>
        <v/>
      </c>
      <c r="B536" s="18" t="str">
        <f>IF($A536="","",'Lot Balance'!$B535)</f>
        <v/>
      </c>
      <c r="C536" s="18" t="str">
        <f>IF($A536="","",'Lot Balance'!$C535)</f>
        <v/>
      </c>
      <c r="D536" s="25" t="str">
        <f>IF($A536="","",'Lot Balance'!$G535)</f>
        <v/>
      </c>
      <c r="E536" s="25" t="str">
        <f>IF($A536="","",'Lot Balance'!$H535)</f>
        <v/>
      </c>
      <c r="F536" s="23" t="str">
        <f>IF($A536="","",'Lot Balance'!$I535)</f>
        <v/>
      </c>
      <c r="G536" s="23" t="str">
        <f>IF($A536="","",'Lot Balance'!$O535)</f>
        <v/>
      </c>
      <c r="H536" s="33" t="str">
        <f>IF($A536="","",'Lot Balance'!$P535)</f>
        <v/>
      </c>
      <c r="I536" s="26" t="str">
        <f>IF($A536="","",COUNTIFS(tblIssues[Lot Number],$B536))</f>
        <v/>
      </c>
      <c r="J536" s="31" t="str">
        <f>IF($A536="","",IF('Lot Balance'!$O535&lt;=0,"Depleted",'Lot Balance'!$Q535))</f>
        <v/>
      </c>
    </row>
    <row r="537" spans="1:10" x14ac:dyDescent="0.35">
      <c r="A537" s="18" t="str">
        <f>IF('Lot Balance'!$A536="","",'Lot Balance'!$A536)</f>
        <v/>
      </c>
      <c r="B537" s="18" t="str">
        <f>IF($A537="","",'Lot Balance'!$B536)</f>
        <v/>
      </c>
      <c r="C537" s="18" t="str">
        <f>IF($A537="","",'Lot Balance'!$C536)</f>
        <v/>
      </c>
      <c r="D537" s="25" t="str">
        <f>IF($A537="","",'Lot Balance'!$G536)</f>
        <v/>
      </c>
      <c r="E537" s="25" t="str">
        <f>IF($A537="","",'Lot Balance'!$H536)</f>
        <v/>
      </c>
      <c r="F537" s="23" t="str">
        <f>IF($A537="","",'Lot Balance'!$I536)</f>
        <v/>
      </c>
      <c r="G537" s="23" t="str">
        <f>IF($A537="","",'Lot Balance'!$O536)</f>
        <v/>
      </c>
      <c r="H537" s="33" t="str">
        <f>IF($A537="","",'Lot Balance'!$P536)</f>
        <v/>
      </c>
      <c r="I537" s="26" t="str">
        <f>IF($A537="","",COUNTIFS(tblIssues[Lot Number],$B537))</f>
        <v/>
      </c>
      <c r="J537" s="31" t="str">
        <f>IF($A537="","",IF('Lot Balance'!$O536&lt;=0,"Depleted",'Lot Balance'!$Q536))</f>
        <v/>
      </c>
    </row>
    <row r="538" spans="1:10" x14ac:dyDescent="0.35">
      <c r="A538" s="18" t="str">
        <f>IF('Lot Balance'!$A537="","",'Lot Balance'!$A537)</f>
        <v/>
      </c>
      <c r="B538" s="18" t="str">
        <f>IF($A538="","",'Lot Balance'!$B537)</f>
        <v/>
      </c>
      <c r="C538" s="18" t="str">
        <f>IF($A538="","",'Lot Balance'!$C537)</f>
        <v/>
      </c>
      <c r="D538" s="25" t="str">
        <f>IF($A538="","",'Lot Balance'!$G537)</f>
        <v/>
      </c>
      <c r="E538" s="25" t="str">
        <f>IF($A538="","",'Lot Balance'!$H537)</f>
        <v/>
      </c>
      <c r="F538" s="23" t="str">
        <f>IF($A538="","",'Lot Balance'!$I537)</f>
        <v/>
      </c>
      <c r="G538" s="23" t="str">
        <f>IF($A538="","",'Lot Balance'!$O537)</f>
        <v/>
      </c>
      <c r="H538" s="33" t="str">
        <f>IF($A538="","",'Lot Balance'!$P537)</f>
        <v/>
      </c>
      <c r="I538" s="26" t="str">
        <f>IF($A538="","",COUNTIFS(tblIssues[Lot Number],$B538))</f>
        <v/>
      </c>
      <c r="J538" s="31" t="str">
        <f>IF($A538="","",IF('Lot Balance'!$O537&lt;=0,"Depleted",'Lot Balance'!$Q537))</f>
        <v/>
      </c>
    </row>
    <row r="539" spans="1:10" x14ac:dyDescent="0.35">
      <c r="A539" s="18" t="str">
        <f>IF('Lot Balance'!$A538="","",'Lot Balance'!$A538)</f>
        <v/>
      </c>
      <c r="B539" s="18" t="str">
        <f>IF($A539="","",'Lot Balance'!$B538)</f>
        <v/>
      </c>
      <c r="C539" s="18" t="str">
        <f>IF($A539="","",'Lot Balance'!$C538)</f>
        <v/>
      </c>
      <c r="D539" s="25" t="str">
        <f>IF($A539="","",'Lot Balance'!$G538)</f>
        <v/>
      </c>
      <c r="E539" s="25" t="str">
        <f>IF($A539="","",'Lot Balance'!$H538)</f>
        <v/>
      </c>
      <c r="F539" s="23" t="str">
        <f>IF($A539="","",'Lot Balance'!$I538)</f>
        <v/>
      </c>
      <c r="G539" s="23" t="str">
        <f>IF($A539="","",'Lot Balance'!$O538)</f>
        <v/>
      </c>
      <c r="H539" s="33" t="str">
        <f>IF($A539="","",'Lot Balance'!$P538)</f>
        <v/>
      </c>
      <c r="I539" s="26" t="str">
        <f>IF($A539="","",COUNTIFS(tblIssues[Lot Number],$B539))</f>
        <v/>
      </c>
      <c r="J539" s="31" t="str">
        <f>IF($A539="","",IF('Lot Balance'!$O538&lt;=0,"Depleted",'Lot Balance'!$Q538))</f>
        <v/>
      </c>
    </row>
    <row r="540" spans="1:10" x14ac:dyDescent="0.35">
      <c r="A540" s="18" t="str">
        <f>IF('Lot Balance'!$A539="","",'Lot Balance'!$A539)</f>
        <v/>
      </c>
      <c r="B540" s="18" t="str">
        <f>IF($A540="","",'Lot Balance'!$B539)</f>
        <v/>
      </c>
      <c r="C540" s="18" t="str">
        <f>IF($A540="","",'Lot Balance'!$C539)</f>
        <v/>
      </c>
      <c r="D540" s="25" t="str">
        <f>IF($A540="","",'Lot Balance'!$G539)</f>
        <v/>
      </c>
      <c r="E540" s="25" t="str">
        <f>IF($A540="","",'Lot Balance'!$H539)</f>
        <v/>
      </c>
      <c r="F540" s="23" t="str">
        <f>IF($A540="","",'Lot Balance'!$I539)</f>
        <v/>
      </c>
      <c r="G540" s="23" t="str">
        <f>IF($A540="","",'Lot Balance'!$O539)</f>
        <v/>
      </c>
      <c r="H540" s="33" t="str">
        <f>IF($A540="","",'Lot Balance'!$P539)</f>
        <v/>
      </c>
      <c r="I540" s="26" t="str">
        <f>IF($A540="","",COUNTIFS(tblIssues[Lot Number],$B540))</f>
        <v/>
      </c>
      <c r="J540" s="31" t="str">
        <f>IF($A540="","",IF('Lot Balance'!$O539&lt;=0,"Depleted",'Lot Balance'!$Q539))</f>
        <v/>
      </c>
    </row>
    <row r="541" spans="1:10" x14ac:dyDescent="0.35">
      <c r="A541" s="18" t="str">
        <f>IF('Lot Balance'!$A540="","",'Lot Balance'!$A540)</f>
        <v/>
      </c>
      <c r="B541" s="18" t="str">
        <f>IF($A541="","",'Lot Balance'!$B540)</f>
        <v/>
      </c>
      <c r="C541" s="18" t="str">
        <f>IF($A541="","",'Lot Balance'!$C540)</f>
        <v/>
      </c>
      <c r="D541" s="25" t="str">
        <f>IF($A541="","",'Lot Balance'!$G540)</f>
        <v/>
      </c>
      <c r="E541" s="25" t="str">
        <f>IF($A541="","",'Lot Balance'!$H540)</f>
        <v/>
      </c>
      <c r="F541" s="23" t="str">
        <f>IF($A541="","",'Lot Balance'!$I540)</f>
        <v/>
      </c>
      <c r="G541" s="23" t="str">
        <f>IF($A541="","",'Lot Balance'!$O540)</f>
        <v/>
      </c>
      <c r="H541" s="33" t="str">
        <f>IF($A541="","",'Lot Balance'!$P540)</f>
        <v/>
      </c>
      <c r="I541" s="26" t="str">
        <f>IF($A541="","",COUNTIFS(tblIssues[Lot Number],$B541))</f>
        <v/>
      </c>
      <c r="J541" s="31" t="str">
        <f>IF($A541="","",IF('Lot Balance'!$O540&lt;=0,"Depleted",'Lot Balance'!$Q540))</f>
        <v/>
      </c>
    </row>
    <row r="542" spans="1:10" x14ac:dyDescent="0.35">
      <c r="A542" s="18" t="str">
        <f>IF('Lot Balance'!$A541="","",'Lot Balance'!$A541)</f>
        <v/>
      </c>
      <c r="B542" s="18" t="str">
        <f>IF($A542="","",'Lot Balance'!$B541)</f>
        <v/>
      </c>
      <c r="C542" s="18" t="str">
        <f>IF($A542="","",'Lot Balance'!$C541)</f>
        <v/>
      </c>
      <c r="D542" s="25" t="str">
        <f>IF($A542="","",'Lot Balance'!$G541)</f>
        <v/>
      </c>
      <c r="E542" s="25" t="str">
        <f>IF($A542="","",'Lot Balance'!$H541)</f>
        <v/>
      </c>
      <c r="F542" s="23" t="str">
        <f>IF($A542="","",'Lot Balance'!$I541)</f>
        <v/>
      </c>
      <c r="G542" s="23" t="str">
        <f>IF($A542="","",'Lot Balance'!$O541)</f>
        <v/>
      </c>
      <c r="H542" s="33" t="str">
        <f>IF($A542="","",'Lot Balance'!$P541)</f>
        <v/>
      </c>
      <c r="I542" s="26" t="str">
        <f>IF($A542="","",COUNTIFS(tblIssues[Lot Number],$B542))</f>
        <v/>
      </c>
      <c r="J542" s="31" t="str">
        <f>IF($A542="","",IF('Lot Balance'!$O541&lt;=0,"Depleted",'Lot Balance'!$Q541))</f>
        <v/>
      </c>
    </row>
    <row r="543" spans="1:10" x14ac:dyDescent="0.35">
      <c r="A543" s="18" t="str">
        <f>IF('Lot Balance'!$A542="","",'Lot Balance'!$A542)</f>
        <v/>
      </c>
      <c r="B543" s="18" t="str">
        <f>IF($A543="","",'Lot Balance'!$B542)</f>
        <v/>
      </c>
      <c r="C543" s="18" t="str">
        <f>IF($A543="","",'Lot Balance'!$C542)</f>
        <v/>
      </c>
      <c r="D543" s="25" t="str">
        <f>IF($A543="","",'Lot Balance'!$G542)</f>
        <v/>
      </c>
      <c r="E543" s="25" t="str">
        <f>IF($A543="","",'Lot Balance'!$H542)</f>
        <v/>
      </c>
      <c r="F543" s="23" t="str">
        <f>IF($A543="","",'Lot Balance'!$I542)</f>
        <v/>
      </c>
      <c r="G543" s="23" t="str">
        <f>IF($A543="","",'Lot Balance'!$O542)</f>
        <v/>
      </c>
      <c r="H543" s="33" t="str">
        <f>IF($A543="","",'Lot Balance'!$P542)</f>
        <v/>
      </c>
      <c r="I543" s="26" t="str">
        <f>IF($A543="","",COUNTIFS(tblIssues[Lot Number],$B543))</f>
        <v/>
      </c>
      <c r="J543" s="31" t="str">
        <f>IF($A543="","",IF('Lot Balance'!$O542&lt;=0,"Depleted",'Lot Balance'!$Q542))</f>
        <v/>
      </c>
    </row>
    <row r="544" spans="1:10" x14ac:dyDescent="0.35">
      <c r="A544" s="18" t="str">
        <f>IF('Lot Balance'!$A543="","",'Lot Balance'!$A543)</f>
        <v/>
      </c>
      <c r="B544" s="18" t="str">
        <f>IF($A544="","",'Lot Balance'!$B543)</f>
        <v/>
      </c>
      <c r="C544" s="18" t="str">
        <f>IF($A544="","",'Lot Balance'!$C543)</f>
        <v/>
      </c>
      <c r="D544" s="25" t="str">
        <f>IF($A544="","",'Lot Balance'!$G543)</f>
        <v/>
      </c>
      <c r="E544" s="25" t="str">
        <f>IF($A544="","",'Lot Balance'!$H543)</f>
        <v/>
      </c>
      <c r="F544" s="23" t="str">
        <f>IF($A544="","",'Lot Balance'!$I543)</f>
        <v/>
      </c>
      <c r="G544" s="23" t="str">
        <f>IF($A544="","",'Lot Balance'!$O543)</f>
        <v/>
      </c>
      <c r="H544" s="33" t="str">
        <f>IF($A544="","",'Lot Balance'!$P543)</f>
        <v/>
      </c>
      <c r="I544" s="26" t="str">
        <f>IF($A544="","",COUNTIFS(tblIssues[Lot Number],$B544))</f>
        <v/>
      </c>
      <c r="J544" s="31" t="str">
        <f>IF($A544="","",IF('Lot Balance'!$O543&lt;=0,"Depleted",'Lot Balance'!$Q543))</f>
        <v/>
      </c>
    </row>
    <row r="545" spans="1:10" x14ac:dyDescent="0.35">
      <c r="A545" s="18" t="str">
        <f>IF('Lot Balance'!$A544="","",'Lot Balance'!$A544)</f>
        <v/>
      </c>
      <c r="B545" s="18" t="str">
        <f>IF($A545="","",'Lot Balance'!$B544)</f>
        <v/>
      </c>
      <c r="C545" s="18" t="str">
        <f>IF($A545="","",'Lot Balance'!$C544)</f>
        <v/>
      </c>
      <c r="D545" s="25" t="str">
        <f>IF($A545="","",'Lot Balance'!$G544)</f>
        <v/>
      </c>
      <c r="E545" s="25" t="str">
        <f>IF($A545="","",'Lot Balance'!$H544)</f>
        <v/>
      </c>
      <c r="F545" s="23" t="str">
        <f>IF($A545="","",'Lot Balance'!$I544)</f>
        <v/>
      </c>
      <c r="G545" s="23" t="str">
        <f>IF($A545="","",'Lot Balance'!$O544)</f>
        <v/>
      </c>
      <c r="H545" s="33" t="str">
        <f>IF($A545="","",'Lot Balance'!$P544)</f>
        <v/>
      </c>
      <c r="I545" s="26" t="str">
        <f>IF($A545="","",COUNTIFS(tblIssues[Lot Number],$B545))</f>
        <v/>
      </c>
      <c r="J545" s="31" t="str">
        <f>IF($A545="","",IF('Lot Balance'!$O544&lt;=0,"Depleted",'Lot Balance'!$Q544))</f>
        <v/>
      </c>
    </row>
    <row r="546" spans="1:10" x14ac:dyDescent="0.35">
      <c r="A546" s="18" t="str">
        <f>IF('Lot Balance'!$A545="","",'Lot Balance'!$A545)</f>
        <v/>
      </c>
      <c r="B546" s="18" t="str">
        <f>IF($A546="","",'Lot Balance'!$B545)</f>
        <v/>
      </c>
      <c r="C546" s="18" t="str">
        <f>IF($A546="","",'Lot Balance'!$C545)</f>
        <v/>
      </c>
      <c r="D546" s="25" t="str">
        <f>IF($A546="","",'Lot Balance'!$G545)</f>
        <v/>
      </c>
      <c r="E546" s="25" t="str">
        <f>IF($A546="","",'Lot Balance'!$H545)</f>
        <v/>
      </c>
      <c r="F546" s="23" t="str">
        <f>IF($A546="","",'Lot Balance'!$I545)</f>
        <v/>
      </c>
      <c r="G546" s="23" t="str">
        <f>IF($A546="","",'Lot Balance'!$O545)</f>
        <v/>
      </c>
      <c r="H546" s="33" t="str">
        <f>IF($A546="","",'Lot Balance'!$P545)</f>
        <v/>
      </c>
      <c r="I546" s="26" t="str">
        <f>IF($A546="","",COUNTIFS(tblIssues[Lot Number],$B546))</f>
        <v/>
      </c>
      <c r="J546" s="31" t="str">
        <f>IF($A546="","",IF('Lot Balance'!$O545&lt;=0,"Depleted",'Lot Balance'!$Q545))</f>
        <v/>
      </c>
    </row>
    <row r="547" spans="1:10" x14ac:dyDescent="0.35">
      <c r="A547" s="18" t="str">
        <f>IF('Lot Balance'!$A546="","",'Lot Balance'!$A546)</f>
        <v/>
      </c>
      <c r="B547" s="18" t="str">
        <f>IF($A547="","",'Lot Balance'!$B546)</f>
        <v/>
      </c>
      <c r="C547" s="18" t="str">
        <f>IF($A547="","",'Lot Balance'!$C546)</f>
        <v/>
      </c>
      <c r="D547" s="25" t="str">
        <f>IF($A547="","",'Lot Balance'!$G546)</f>
        <v/>
      </c>
      <c r="E547" s="25" t="str">
        <f>IF($A547="","",'Lot Balance'!$H546)</f>
        <v/>
      </c>
      <c r="F547" s="23" t="str">
        <f>IF($A547="","",'Lot Balance'!$I546)</f>
        <v/>
      </c>
      <c r="G547" s="23" t="str">
        <f>IF($A547="","",'Lot Balance'!$O546)</f>
        <v/>
      </c>
      <c r="H547" s="33" t="str">
        <f>IF($A547="","",'Lot Balance'!$P546)</f>
        <v/>
      </c>
      <c r="I547" s="26" t="str">
        <f>IF($A547="","",COUNTIFS(tblIssues[Lot Number],$B547))</f>
        <v/>
      </c>
      <c r="J547" s="31" t="str">
        <f>IF($A547="","",IF('Lot Balance'!$O546&lt;=0,"Depleted",'Lot Balance'!$Q546))</f>
        <v/>
      </c>
    </row>
    <row r="548" spans="1:10" x14ac:dyDescent="0.35">
      <c r="A548" s="18" t="str">
        <f>IF('Lot Balance'!$A547="","",'Lot Balance'!$A547)</f>
        <v/>
      </c>
      <c r="B548" s="18" t="str">
        <f>IF($A548="","",'Lot Balance'!$B547)</f>
        <v/>
      </c>
      <c r="C548" s="18" t="str">
        <f>IF($A548="","",'Lot Balance'!$C547)</f>
        <v/>
      </c>
      <c r="D548" s="25" t="str">
        <f>IF($A548="","",'Lot Balance'!$G547)</f>
        <v/>
      </c>
      <c r="E548" s="25" t="str">
        <f>IF($A548="","",'Lot Balance'!$H547)</f>
        <v/>
      </c>
      <c r="F548" s="23" t="str">
        <f>IF($A548="","",'Lot Balance'!$I547)</f>
        <v/>
      </c>
      <c r="G548" s="23" t="str">
        <f>IF($A548="","",'Lot Balance'!$O547)</f>
        <v/>
      </c>
      <c r="H548" s="33" t="str">
        <f>IF($A548="","",'Lot Balance'!$P547)</f>
        <v/>
      </c>
      <c r="I548" s="26" t="str">
        <f>IF($A548="","",COUNTIFS(tblIssues[Lot Number],$B548))</f>
        <v/>
      </c>
      <c r="J548" s="31" t="str">
        <f>IF($A548="","",IF('Lot Balance'!$O547&lt;=0,"Depleted",'Lot Balance'!$Q547))</f>
        <v/>
      </c>
    </row>
    <row r="549" spans="1:10" x14ac:dyDescent="0.35">
      <c r="A549" s="18" t="str">
        <f>IF('Lot Balance'!$A548="","",'Lot Balance'!$A548)</f>
        <v/>
      </c>
      <c r="B549" s="18" t="str">
        <f>IF($A549="","",'Lot Balance'!$B548)</f>
        <v/>
      </c>
      <c r="C549" s="18" t="str">
        <f>IF($A549="","",'Lot Balance'!$C548)</f>
        <v/>
      </c>
      <c r="D549" s="25" t="str">
        <f>IF($A549="","",'Lot Balance'!$G548)</f>
        <v/>
      </c>
      <c r="E549" s="25" t="str">
        <f>IF($A549="","",'Lot Balance'!$H548)</f>
        <v/>
      </c>
      <c r="F549" s="23" t="str">
        <f>IF($A549="","",'Lot Balance'!$I548)</f>
        <v/>
      </c>
      <c r="G549" s="23" t="str">
        <f>IF($A549="","",'Lot Balance'!$O548)</f>
        <v/>
      </c>
      <c r="H549" s="33" t="str">
        <f>IF($A549="","",'Lot Balance'!$P548)</f>
        <v/>
      </c>
      <c r="I549" s="26" t="str">
        <f>IF($A549="","",COUNTIFS(tblIssues[Lot Number],$B549))</f>
        <v/>
      </c>
      <c r="J549" s="31" t="str">
        <f>IF($A549="","",IF('Lot Balance'!$O548&lt;=0,"Depleted",'Lot Balance'!$Q548))</f>
        <v/>
      </c>
    </row>
    <row r="550" spans="1:10" x14ac:dyDescent="0.35">
      <c r="A550" s="18" t="str">
        <f>IF('Lot Balance'!$A549="","",'Lot Balance'!$A549)</f>
        <v/>
      </c>
      <c r="B550" s="18" t="str">
        <f>IF($A550="","",'Lot Balance'!$B549)</f>
        <v/>
      </c>
      <c r="C550" s="18" t="str">
        <f>IF($A550="","",'Lot Balance'!$C549)</f>
        <v/>
      </c>
      <c r="D550" s="25" t="str">
        <f>IF($A550="","",'Lot Balance'!$G549)</f>
        <v/>
      </c>
      <c r="E550" s="25" t="str">
        <f>IF($A550="","",'Lot Balance'!$H549)</f>
        <v/>
      </c>
      <c r="F550" s="23" t="str">
        <f>IF($A550="","",'Lot Balance'!$I549)</f>
        <v/>
      </c>
      <c r="G550" s="23" t="str">
        <f>IF($A550="","",'Lot Balance'!$O549)</f>
        <v/>
      </c>
      <c r="H550" s="33" t="str">
        <f>IF($A550="","",'Lot Balance'!$P549)</f>
        <v/>
      </c>
      <c r="I550" s="26" t="str">
        <f>IF($A550="","",COUNTIFS(tblIssues[Lot Number],$B550))</f>
        <v/>
      </c>
      <c r="J550" s="31" t="str">
        <f>IF($A550="","",IF('Lot Balance'!$O549&lt;=0,"Depleted",'Lot Balance'!$Q549))</f>
        <v/>
      </c>
    </row>
    <row r="551" spans="1:10" x14ac:dyDescent="0.35">
      <c r="A551" s="18" t="str">
        <f>IF('Lot Balance'!$A550="","",'Lot Balance'!$A550)</f>
        <v/>
      </c>
      <c r="B551" s="18" t="str">
        <f>IF($A551="","",'Lot Balance'!$B550)</f>
        <v/>
      </c>
      <c r="C551" s="18" t="str">
        <f>IF($A551="","",'Lot Balance'!$C550)</f>
        <v/>
      </c>
      <c r="D551" s="25" t="str">
        <f>IF($A551="","",'Lot Balance'!$G550)</f>
        <v/>
      </c>
      <c r="E551" s="25" t="str">
        <f>IF($A551="","",'Lot Balance'!$H550)</f>
        <v/>
      </c>
      <c r="F551" s="23" t="str">
        <f>IF($A551="","",'Lot Balance'!$I550)</f>
        <v/>
      </c>
      <c r="G551" s="23" t="str">
        <f>IF($A551="","",'Lot Balance'!$O550)</f>
        <v/>
      </c>
      <c r="H551" s="33" t="str">
        <f>IF($A551="","",'Lot Balance'!$P550)</f>
        <v/>
      </c>
      <c r="I551" s="26" t="str">
        <f>IF($A551="","",COUNTIFS(tblIssues[Lot Number],$B551))</f>
        <v/>
      </c>
      <c r="J551" s="31" t="str">
        <f>IF($A551="","",IF('Lot Balance'!$O550&lt;=0,"Depleted",'Lot Balance'!$Q550))</f>
        <v/>
      </c>
    </row>
    <row r="552" spans="1:10" x14ac:dyDescent="0.35">
      <c r="A552" s="18" t="str">
        <f>IF('Lot Balance'!$A551="","",'Lot Balance'!$A551)</f>
        <v/>
      </c>
      <c r="B552" s="18" t="str">
        <f>IF($A552="","",'Lot Balance'!$B551)</f>
        <v/>
      </c>
      <c r="C552" s="18" t="str">
        <f>IF($A552="","",'Lot Balance'!$C551)</f>
        <v/>
      </c>
      <c r="D552" s="25" t="str">
        <f>IF($A552="","",'Lot Balance'!$G551)</f>
        <v/>
      </c>
      <c r="E552" s="25" t="str">
        <f>IF($A552="","",'Lot Balance'!$H551)</f>
        <v/>
      </c>
      <c r="F552" s="23" t="str">
        <f>IF($A552="","",'Lot Balance'!$I551)</f>
        <v/>
      </c>
      <c r="G552" s="23" t="str">
        <f>IF($A552="","",'Lot Balance'!$O551)</f>
        <v/>
      </c>
      <c r="H552" s="33" t="str">
        <f>IF($A552="","",'Lot Balance'!$P551)</f>
        <v/>
      </c>
      <c r="I552" s="26" t="str">
        <f>IF($A552="","",COUNTIFS(tblIssues[Lot Number],$B552))</f>
        <v/>
      </c>
      <c r="J552" s="31" t="str">
        <f>IF($A552="","",IF('Lot Balance'!$O551&lt;=0,"Depleted",'Lot Balance'!$Q551))</f>
        <v/>
      </c>
    </row>
    <row r="553" spans="1:10" x14ac:dyDescent="0.35">
      <c r="A553" s="18" t="str">
        <f>IF('Lot Balance'!$A552="","",'Lot Balance'!$A552)</f>
        <v/>
      </c>
      <c r="B553" s="18" t="str">
        <f>IF($A553="","",'Lot Balance'!$B552)</f>
        <v/>
      </c>
      <c r="C553" s="18" t="str">
        <f>IF($A553="","",'Lot Balance'!$C552)</f>
        <v/>
      </c>
      <c r="D553" s="25" t="str">
        <f>IF($A553="","",'Lot Balance'!$G552)</f>
        <v/>
      </c>
      <c r="E553" s="25" t="str">
        <f>IF($A553="","",'Lot Balance'!$H552)</f>
        <v/>
      </c>
      <c r="F553" s="23" t="str">
        <f>IF($A553="","",'Lot Balance'!$I552)</f>
        <v/>
      </c>
      <c r="G553" s="23" t="str">
        <f>IF($A553="","",'Lot Balance'!$O552)</f>
        <v/>
      </c>
      <c r="H553" s="33" t="str">
        <f>IF($A553="","",'Lot Balance'!$P552)</f>
        <v/>
      </c>
      <c r="I553" s="26" t="str">
        <f>IF($A553="","",COUNTIFS(tblIssues[Lot Number],$B553))</f>
        <v/>
      </c>
      <c r="J553" s="31" t="str">
        <f>IF($A553="","",IF('Lot Balance'!$O552&lt;=0,"Depleted",'Lot Balance'!$Q552))</f>
        <v/>
      </c>
    </row>
    <row r="554" spans="1:10" x14ac:dyDescent="0.35">
      <c r="A554" s="18" t="str">
        <f>IF('Lot Balance'!$A553="","",'Lot Balance'!$A553)</f>
        <v/>
      </c>
      <c r="B554" s="18" t="str">
        <f>IF($A554="","",'Lot Balance'!$B553)</f>
        <v/>
      </c>
      <c r="C554" s="18" t="str">
        <f>IF($A554="","",'Lot Balance'!$C553)</f>
        <v/>
      </c>
      <c r="D554" s="25" t="str">
        <f>IF($A554="","",'Lot Balance'!$G553)</f>
        <v/>
      </c>
      <c r="E554" s="25" t="str">
        <f>IF($A554="","",'Lot Balance'!$H553)</f>
        <v/>
      </c>
      <c r="F554" s="23" t="str">
        <f>IF($A554="","",'Lot Balance'!$I553)</f>
        <v/>
      </c>
      <c r="G554" s="23" t="str">
        <f>IF($A554="","",'Lot Balance'!$O553)</f>
        <v/>
      </c>
      <c r="H554" s="33" t="str">
        <f>IF($A554="","",'Lot Balance'!$P553)</f>
        <v/>
      </c>
      <c r="I554" s="26" t="str">
        <f>IF($A554="","",COUNTIFS(tblIssues[Lot Number],$B554))</f>
        <v/>
      </c>
      <c r="J554" s="31" t="str">
        <f>IF($A554="","",IF('Lot Balance'!$O553&lt;=0,"Depleted",'Lot Balance'!$Q553))</f>
        <v/>
      </c>
    </row>
    <row r="555" spans="1:10" x14ac:dyDescent="0.35">
      <c r="A555" s="18" t="str">
        <f>IF('Lot Balance'!$A554="","",'Lot Balance'!$A554)</f>
        <v/>
      </c>
      <c r="B555" s="18" t="str">
        <f>IF($A555="","",'Lot Balance'!$B554)</f>
        <v/>
      </c>
      <c r="C555" s="18" t="str">
        <f>IF($A555="","",'Lot Balance'!$C554)</f>
        <v/>
      </c>
      <c r="D555" s="25" t="str">
        <f>IF($A555="","",'Lot Balance'!$G554)</f>
        <v/>
      </c>
      <c r="E555" s="25" t="str">
        <f>IF($A555="","",'Lot Balance'!$H554)</f>
        <v/>
      </c>
      <c r="F555" s="23" t="str">
        <f>IF($A555="","",'Lot Balance'!$I554)</f>
        <v/>
      </c>
      <c r="G555" s="23" t="str">
        <f>IF($A555="","",'Lot Balance'!$O554)</f>
        <v/>
      </c>
      <c r="H555" s="33" t="str">
        <f>IF($A555="","",'Lot Balance'!$P554)</f>
        <v/>
      </c>
      <c r="I555" s="26" t="str">
        <f>IF($A555="","",COUNTIFS(tblIssues[Lot Number],$B555))</f>
        <v/>
      </c>
      <c r="J555" s="31" t="str">
        <f>IF($A555="","",IF('Lot Balance'!$O554&lt;=0,"Depleted",'Lot Balance'!$Q554))</f>
        <v/>
      </c>
    </row>
    <row r="556" spans="1:10" x14ac:dyDescent="0.35">
      <c r="A556" s="18" t="str">
        <f>IF('Lot Balance'!$A555="","",'Lot Balance'!$A555)</f>
        <v/>
      </c>
      <c r="B556" s="18" t="str">
        <f>IF($A556="","",'Lot Balance'!$B555)</f>
        <v/>
      </c>
      <c r="C556" s="18" t="str">
        <f>IF($A556="","",'Lot Balance'!$C555)</f>
        <v/>
      </c>
      <c r="D556" s="25" t="str">
        <f>IF($A556="","",'Lot Balance'!$G555)</f>
        <v/>
      </c>
      <c r="E556" s="25" t="str">
        <f>IF($A556="","",'Lot Balance'!$H555)</f>
        <v/>
      </c>
      <c r="F556" s="23" t="str">
        <f>IF($A556="","",'Lot Balance'!$I555)</f>
        <v/>
      </c>
      <c r="G556" s="23" t="str">
        <f>IF($A556="","",'Lot Balance'!$O555)</f>
        <v/>
      </c>
      <c r="H556" s="33" t="str">
        <f>IF($A556="","",'Lot Balance'!$P555)</f>
        <v/>
      </c>
      <c r="I556" s="26" t="str">
        <f>IF($A556="","",COUNTIFS(tblIssues[Lot Number],$B556))</f>
        <v/>
      </c>
      <c r="J556" s="31" t="str">
        <f>IF($A556="","",IF('Lot Balance'!$O555&lt;=0,"Depleted",'Lot Balance'!$Q555))</f>
        <v/>
      </c>
    </row>
    <row r="557" spans="1:10" x14ac:dyDescent="0.35">
      <c r="A557" s="18" t="str">
        <f>IF('Lot Balance'!$A556="","",'Lot Balance'!$A556)</f>
        <v/>
      </c>
      <c r="B557" s="18" t="str">
        <f>IF($A557="","",'Lot Balance'!$B556)</f>
        <v/>
      </c>
      <c r="C557" s="18" t="str">
        <f>IF($A557="","",'Lot Balance'!$C556)</f>
        <v/>
      </c>
      <c r="D557" s="25" t="str">
        <f>IF($A557="","",'Lot Balance'!$G556)</f>
        <v/>
      </c>
      <c r="E557" s="25" t="str">
        <f>IF($A557="","",'Lot Balance'!$H556)</f>
        <v/>
      </c>
      <c r="F557" s="23" t="str">
        <f>IF($A557="","",'Lot Balance'!$I556)</f>
        <v/>
      </c>
      <c r="G557" s="23" t="str">
        <f>IF($A557="","",'Lot Balance'!$O556)</f>
        <v/>
      </c>
      <c r="H557" s="33" t="str">
        <f>IF($A557="","",'Lot Balance'!$P556)</f>
        <v/>
      </c>
      <c r="I557" s="26" t="str">
        <f>IF($A557="","",COUNTIFS(tblIssues[Lot Number],$B557))</f>
        <v/>
      </c>
      <c r="J557" s="31" t="str">
        <f>IF($A557="","",IF('Lot Balance'!$O556&lt;=0,"Depleted",'Lot Balance'!$Q556))</f>
        <v/>
      </c>
    </row>
    <row r="558" spans="1:10" x14ac:dyDescent="0.35">
      <c r="A558" s="18" t="str">
        <f>IF('Lot Balance'!$A557="","",'Lot Balance'!$A557)</f>
        <v/>
      </c>
      <c r="B558" s="18" t="str">
        <f>IF($A558="","",'Lot Balance'!$B557)</f>
        <v/>
      </c>
      <c r="C558" s="18" t="str">
        <f>IF($A558="","",'Lot Balance'!$C557)</f>
        <v/>
      </c>
      <c r="D558" s="25" t="str">
        <f>IF($A558="","",'Lot Balance'!$G557)</f>
        <v/>
      </c>
      <c r="E558" s="25" t="str">
        <f>IF($A558="","",'Lot Balance'!$H557)</f>
        <v/>
      </c>
      <c r="F558" s="23" t="str">
        <f>IF($A558="","",'Lot Balance'!$I557)</f>
        <v/>
      </c>
      <c r="G558" s="23" t="str">
        <f>IF($A558="","",'Lot Balance'!$O557)</f>
        <v/>
      </c>
      <c r="H558" s="33" t="str">
        <f>IF($A558="","",'Lot Balance'!$P557)</f>
        <v/>
      </c>
      <c r="I558" s="26" t="str">
        <f>IF($A558="","",COUNTIFS(tblIssues[Lot Number],$B558))</f>
        <v/>
      </c>
      <c r="J558" s="31" t="str">
        <f>IF($A558="","",IF('Lot Balance'!$O557&lt;=0,"Depleted",'Lot Balance'!$Q557))</f>
        <v/>
      </c>
    </row>
    <row r="559" spans="1:10" x14ac:dyDescent="0.35">
      <c r="A559" s="18" t="str">
        <f>IF('Lot Balance'!$A558="","",'Lot Balance'!$A558)</f>
        <v/>
      </c>
      <c r="B559" s="18" t="str">
        <f>IF($A559="","",'Lot Balance'!$B558)</f>
        <v/>
      </c>
      <c r="C559" s="18" t="str">
        <f>IF($A559="","",'Lot Balance'!$C558)</f>
        <v/>
      </c>
      <c r="D559" s="25" t="str">
        <f>IF($A559="","",'Lot Balance'!$G558)</f>
        <v/>
      </c>
      <c r="E559" s="25" t="str">
        <f>IF($A559="","",'Lot Balance'!$H558)</f>
        <v/>
      </c>
      <c r="F559" s="23" t="str">
        <f>IF($A559="","",'Lot Balance'!$I558)</f>
        <v/>
      </c>
      <c r="G559" s="23" t="str">
        <f>IF($A559="","",'Lot Balance'!$O558)</f>
        <v/>
      </c>
      <c r="H559" s="33" t="str">
        <f>IF($A559="","",'Lot Balance'!$P558)</f>
        <v/>
      </c>
      <c r="I559" s="26" t="str">
        <f>IF($A559="","",COUNTIFS(tblIssues[Lot Number],$B559))</f>
        <v/>
      </c>
      <c r="J559" s="31" t="str">
        <f>IF($A559="","",IF('Lot Balance'!$O558&lt;=0,"Depleted",'Lot Balance'!$Q558))</f>
        <v/>
      </c>
    </row>
    <row r="560" spans="1:10" x14ac:dyDescent="0.35">
      <c r="A560" s="18" t="str">
        <f>IF('Lot Balance'!$A559="","",'Lot Balance'!$A559)</f>
        <v/>
      </c>
      <c r="B560" s="18" t="str">
        <f>IF($A560="","",'Lot Balance'!$B559)</f>
        <v/>
      </c>
      <c r="C560" s="18" t="str">
        <f>IF($A560="","",'Lot Balance'!$C559)</f>
        <v/>
      </c>
      <c r="D560" s="25" t="str">
        <f>IF($A560="","",'Lot Balance'!$G559)</f>
        <v/>
      </c>
      <c r="E560" s="25" t="str">
        <f>IF($A560="","",'Lot Balance'!$H559)</f>
        <v/>
      </c>
      <c r="F560" s="23" t="str">
        <f>IF($A560="","",'Lot Balance'!$I559)</f>
        <v/>
      </c>
      <c r="G560" s="23" t="str">
        <f>IF($A560="","",'Lot Balance'!$O559)</f>
        <v/>
      </c>
      <c r="H560" s="33" t="str">
        <f>IF($A560="","",'Lot Balance'!$P559)</f>
        <v/>
      </c>
      <c r="I560" s="26" t="str">
        <f>IF($A560="","",COUNTIFS(tblIssues[Lot Number],$B560))</f>
        <v/>
      </c>
      <c r="J560" s="31" t="str">
        <f>IF($A560="","",IF('Lot Balance'!$O559&lt;=0,"Depleted",'Lot Balance'!$Q559))</f>
        <v/>
      </c>
    </row>
    <row r="561" spans="1:10" x14ac:dyDescent="0.35">
      <c r="A561" s="18" t="str">
        <f>IF('Lot Balance'!$A560="","",'Lot Balance'!$A560)</f>
        <v/>
      </c>
      <c r="B561" s="18" t="str">
        <f>IF($A561="","",'Lot Balance'!$B560)</f>
        <v/>
      </c>
      <c r="C561" s="18" t="str">
        <f>IF($A561="","",'Lot Balance'!$C560)</f>
        <v/>
      </c>
      <c r="D561" s="25" t="str">
        <f>IF($A561="","",'Lot Balance'!$G560)</f>
        <v/>
      </c>
      <c r="E561" s="25" t="str">
        <f>IF($A561="","",'Lot Balance'!$H560)</f>
        <v/>
      </c>
      <c r="F561" s="23" t="str">
        <f>IF($A561="","",'Lot Balance'!$I560)</f>
        <v/>
      </c>
      <c r="G561" s="23" t="str">
        <f>IF($A561="","",'Lot Balance'!$O560)</f>
        <v/>
      </c>
      <c r="H561" s="33" t="str">
        <f>IF($A561="","",'Lot Balance'!$P560)</f>
        <v/>
      </c>
      <c r="I561" s="26" t="str">
        <f>IF($A561="","",COUNTIFS(tblIssues[Lot Number],$B561))</f>
        <v/>
      </c>
      <c r="J561" s="31" t="str">
        <f>IF($A561="","",IF('Lot Balance'!$O560&lt;=0,"Depleted",'Lot Balance'!$Q560))</f>
        <v/>
      </c>
    </row>
    <row r="562" spans="1:10" x14ac:dyDescent="0.35">
      <c r="A562" s="18" t="str">
        <f>IF('Lot Balance'!$A561="","",'Lot Balance'!$A561)</f>
        <v/>
      </c>
      <c r="B562" s="18" t="str">
        <f>IF($A562="","",'Lot Balance'!$B561)</f>
        <v/>
      </c>
      <c r="C562" s="18" t="str">
        <f>IF($A562="","",'Lot Balance'!$C561)</f>
        <v/>
      </c>
      <c r="D562" s="25" t="str">
        <f>IF($A562="","",'Lot Balance'!$G561)</f>
        <v/>
      </c>
      <c r="E562" s="25" t="str">
        <f>IF($A562="","",'Lot Balance'!$H561)</f>
        <v/>
      </c>
      <c r="F562" s="23" t="str">
        <f>IF($A562="","",'Lot Balance'!$I561)</f>
        <v/>
      </c>
      <c r="G562" s="23" t="str">
        <f>IF($A562="","",'Lot Balance'!$O561)</f>
        <v/>
      </c>
      <c r="H562" s="33" t="str">
        <f>IF($A562="","",'Lot Balance'!$P561)</f>
        <v/>
      </c>
      <c r="I562" s="26" t="str">
        <f>IF($A562="","",COUNTIFS(tblIssues[Lot Number],$B562))</f>
        <v/>
      </c>
      <c r="J562" s="31" t="str">
        <f>IF($A562="","",IF('Lot Balance'!$O561&lt;=0,"Depleted",'Lot Balance'!$Q561))</f>
        <v/>
      </c>
    </row>
    <row r="563" spans="1:10" x14ac:dyDescent="0.35">
      <c r="A563" s="18" t="str">
        <f>IF('Lot Balance'!$A562="","",'Lot Balance'!$A562)</f>
        <v/>
      </c>
      <c r="B563" s="18" t="str">
        <f>IF($A563="","",'Lot Balance'!$B562)</f>
        <v/>
      </c>
      <c r="C563" s="18" t="str">
        <f>IF($A563="","",'Lot Balance'!$C562)</f>
        <v/>
      </c>
      <c r="D563" s="25" t="str">
        <f>IF($A563="","",'Lot Balance'!$G562)</f>
        <v/>
      </c>
      <c r="E563" s="25" t="str">
        <f>IF($A563="","",'Lot Balance'!$H562)</f>
        <v/>
      </c>
      <c r="F563" s="23" t="str">
        <f>IF($A563="","",'Lot Balance'!$I562)</f>
        <v/>
      </c>
      <c r="G563" s="23" t="str">
        <f>IF($A563="","",'Lot Balance'!$O562)</f>
        <v/>
      </c>
      <c r="H563" s="33" t="str">
        <f>IF($A563="","",'Lot Balance'!$P562)</f>
        <v/>
      </c>
      <c r="I563" s="26" t="str">
        <f>IF($A563="","",COUNTIFS(tblIssues[Lot Number],$B563))</f>
        <v/>
      </c>
      <c r="J563" s="31" t="str">
        <f>IF($A563="","",IF('Lot Balance'!$O562&lt;=0,"Depleted",'Lot Balance'!$Q562))</f>
        <v/>
      </c>
    </row>
    <row r="564" spans="1:10" x14ac:dyDescent="0.35">
      <c r="A564" s="18" t="str">
        <f>IF('Lot Balance'!$A563="","",'Lot Balance'!$A563)</f>
        <v/>
      </c>
      <c r="B564" s="18" t="str">
        <f>IF($A564="","",'Lot Balance'!$B563)</f>
        <v/>
      </c>
      <c r="C564" s="18" t="str">
        <f>IF($A564="","",'Lot Balance'!$C563)</f>
        <v/>
      </c>
      <c r="D564" s="25" t="str">
        <f>IF($A564="","",'Lot Balance'!$G563)</f>
        <v/>
      </c>
      <c r="E564" s="25" t="str">
        <f>IF($A564="","",'Lot Balance'!$H563)</f>
        <v/>
      </c>
      <c r="F564" s="23" t="str">
        <f>IF($A564="","",'Lot Balance'!$I563)</f>
        <v/>
      </c>
      <c r="G564" s="23" t="str">
        <f>IF($A564="","",'Lot Balance'!$O563)</f>
        <v/>
      </c>
      <c r="H564" s="33" t="str">
        <f>IF($A564="","",'Lot Balance'!$P563)</f>
        <v/>
      </c>
      <c r="I564" s="26" t="str">
        <f>IF($A564="","",COUNTIFS(tblIssues[Lot Number],$B564))</f>
        <v/>
      </c>
      <c r="J564" s="31" t="str">
        <f>IF($A564="","",IF('Lot Balance'!$O563&lt;=0,"Depleted",'Lot Balance'!$Q563))</f>
        <v/>
      </c>
    </row>
    <row r="565" spans="1:10" x14ac:dyDescent="0.35">
      <c r="A565" s="18" t="str">
        <f>IF('Lot Balance'!$A564="","",'Lot Balance'!$A564)</f>
        <v/>
      </c>
      <c r="B565" s="18" t="str">
        <f>IF($A565="","",'Lot Balance'!$B564)</f>
        <v/>
      </c>
      <c r="C565" s="18" t="str">
        <f>IF($A565="","",'Lot Balance'!$C564)</f>
        <v/>
      </c>
      <c r="D565" s="25" t="str">
        <f>IF($A565="","",'Lot Balance'!$G564)</f>
        <v/>
      </c>
      <c r="E565" s="25" t="str">
        <f>IF($A565="","",'Lot Balance'!$H564)</f>
        <v/>
      </c>
      <c r="F565" s="23" t="str">
        <f>IF($A565="","",'Lot Balance'!$I564)</f>
        <v/>
      </c>
      <c r="G565" s="23" t="str">
        <f>IF($A565="","",'Lot Balance'!$O564)</f>
        <v/>
      </c>
      <c r="H565" s="33" t="str">
        <f>IF($A565="","",'Lot Balance'!$P564)</f>
        <v/>
      </c>
      <c r="I565" s="26" t="str">
        <f>IF($A565="","",COUNTIFS(tblIssues[Lot Number],$B565))</f>
        <v/>
      </c>
      <c r="J565" s="31" t="str">
        <f>IF($A565="","",IF('Lot Balance'!$O564&lt;=0,"Depleted",'Lot Balance'!$Q564))</f>
        <v/>
      </c>
    </row>
    <row r="566" spans="1:10" x14ac:dyDescent="0.35">
      <c r="A566" s="18" t="str">
        <f>IF('Lot Balance'!$A565="","",'Lot Balance'!$A565)</f>
        <v/>
      </c>
      <c r="B566" s="18" t="str">
        <f>IF($A566="","",'Lot Balance'!$B565)</f>
        <v/>
      </c>
      <c r="C566" s="18" t="str">
        <f>IF($A566="","",'Lot Balance'!$C565)</f>
        <v/>
      </c>
      <c r="D566" s="25" t="str">
        <f>IF($A566="","",'Lot Balance'!$G565)</f>
        <v/>
      </c>
      <c r="E566" s="25" t="str">
        <f>IF($A566="","",'Lot Balance'!$H565)</f>
        <v/>
      </c>
      <c r="F566" s="23" t="str">
        <f>IF($A566="","",'Lot Balance'!$I565)</f>
        <v/>
      </c>
      <c r="G566" s="23" t="str">
        <f>IF($A566="","",'Lot Balance'!$O565)</f>
        <v/>
      </c>
      <c r="H566" s="33" t="str">
        <f>IF($A566="","",'Lot Balance'!$P565)</f>
        <v/>
      </c>
      <c r="I566" s="26" t="str">
        <f>IF($A566="","",COUNTIFS(tblIssues[Lot Number],$B566))</f>
        <v/>
      </c>
      <c r="J566" s="31" t="str">
        <f>IF($A566="","",IF('Lot Balance'!$O565&lt;=0,"Depleted",'Lot Balance'!$Q565))</f>
        <v/>
      </c>
    </row>
    <row r="567" spans="1:10" x14ac:dyDescent="0.35">
      <c r="A567" s="18" t="str">
        <f>IF('Lot Balance'!$A566="","",'Lot Balance'!$A566)</f>
        <v/>
      </c>
      <c r="B567" s="18" t="str">
        <f>IF($A567="","",'Lot Balance'!$B566)</f>
        <v/>
      </c>
      <c r="C567" s="18" t="str">
        <f>IF($A567="","",'Lot Balance'!$C566)</f>
        <v/>
      </c>
      <c r="D567" s="25" t="str">
        <f>IF($A567="","",'Lot Balance'!$G566)</f>
        <v/>
      </c>
      <c r="E567" s="25" t="str">
        <f>IF($A567="","",'Lot Balance'!$H566)</f>
        <v/>
      </c>
      <c r="F567" s="23" t="str">
        <f>IF($A567="","",'Lot Balance'!$I566)</f>
        <v/>
      </c>
      <c r="G567" s="23" t="str">
        <f>IF($A567="","",'Lot Balance'!$O566)</f>
        <v/>
      </c>
      <c r="H567" s="33" t="str">
        <f>IF($A567="","",'Lot Balance'!$P566)</f>
        <v/>
      </c>
      <c r="I567" s="26" t="str">
        <f>IF($A567="","",COUNTIFS(tblIssues[Lot Number],$B567))</f>
        <v/>
      </c>
      <c r="J567" s="31" t="str">
        <f>IF($A567="","",IF('Lot Balance'!$O566&lt;=0,"Depleted",'Lot Balance'!$Q566))</f>
        <v/>
      </c>
    </row>
    <row r="568" spans="1:10" x14ac:dyDescent="0.35">
      <c r="A568" s="18" t="str">
        <f>IF('Lot Balance'!$A567="","",'Lot Balance'!$A567)</f>
        <v/>
      </c>
      <c r="B568" s="18" t="str">
        <f>IF($A568="","",'Lot Balance'!$B567)</f>
        <v/>
      </c>
      <c r="C568" s="18" t="str">
        <f>IF($A568="","",'Lot Balance'!$C567)</f>
        <v/>
      </c>
      <c r="D568" s="25" t="str">
        <f>IF($A568="","",'Lot Balance'!$G567)</f>
        <v/>
      </c>
      <c r="E568" s="25" t="str">
        <f>IF($A568="","",'Lot Balance'!$H567)</f>
        <v/>
      </c>
      <c r="F568" s="23" t="str">
        <f>IF($A568="","",'Lot Balance'!$I567)</f>
        <v/>
      </c>
      <c r="G568" s="23" t="str">
        <f>IF($A568="","",'Lot Balance'!$O567)</f>
        <v/>
      </c>
      <c r="H568" s="33" t="str">
        <f>IF($A568="","",'Lot Balance'!$P567)</f>
        <v/>
      </c>
      <c r="I568" s="26" t="str">
        <f>IF($A568="","",COUNTIFS(tblIssues[Lot Number],$B568))</f>
        <v/>
      </c>
      <c r="J568" s="31" t="str">
        <f>IF($A568="","",IF('Lot Balance'!$O567&lt;=0,"Depleted",'Lot Balance'!$Q567))</f>
        <v/>
      </c>
    </row>
    <row r="569" spans="1:10" x14ac:dyDescent="0.35">
      <c r="A569" s="18" t="str">
        <f>IF('Lot Balance'!$A568="","",'Lot Balance'!$A568)</f>
        <v/>
      </c>
      <c r="B569" s="18" t="str">
        <f>IF($A569="","",'Lot Balance'!$B568)</f>
        <v/>
      </c>
      <c r="C569" s="18" t="str">
        <f>IF($A569="","",'Lot Balance'!$C568)</f>
        <v/>
      </c>
      <c r="D569" s="25" t="str">
        <f>IF($A569="","",'Lot Balance'!$G568)</f>
        <v/>
      </c>
      <c r="E569" s="25" t="str">
        <f>IF($A569="","",'Lot Balance'!$H568)</f>
        <v/>
      </c>
      <c r="F569" s="23" t="str">
        <f>IF($A569="","",'Lot Balance'!$I568)</f>
        <v/>
      </c>
      <c r="G569" s="23" t="str">
        <f>IF($A569="","",'Lot Balance'!$O568)</f>
        <v/>
      </c>
      <c r="H569" s="33" t="str">
        <f>IF($A569="","",'Lot Balance'!$P568)</f>
        <v/>
      </c>
      <c r="I569" s="26" t="str">
        <f>IF($A569="","",COUNTIFS(tblIssues[Lot Number],$B569))</f>
        <v/>
      </c>
      <c r="J569" s="31" t="str">
        <f>IF($A569="","",IF('Lot Balance'!$O568&lt;=0,"Depleted",'Lot Balance'!$Q568))</f>
        <v/>
      </c>
    </row>
    <row r="570" spans="1:10" x14ac:dyDescent="0.35">
      <c r="A570" s="18" t="str">
        <f>IF('Lot Balance'!$A569="","",'Lot Balance'!$A569)</f>
        <v/>
      </c>
      <c r="B570" s="18" t="str">
        <f>IF($A570="","",'Lot Balance'!$B569)</f>
        <v/>
      </c>
      <c r="C570" s="18" t="str">
        <f>IF($A570="","",'Lot Balance'!$C569)</f>
        <v/>
      </c>
      <c r="D570" s="25" t="str">
        <f>IF($A570="","",'Lot Balance'!$G569)</f>
        <v/>
      </c>
      <c r="E570" s="25" t="str">
        <f>IF($A570="","",'Lot Balance'!$H569)</f>
        <v/>
      </c>
      <c r="F570" s="23" t="str">
        <f>IF($A570="","",'Lot Balance'!$I569)</f>
        <v/>
      </c>
      <c r="G570" s="23" t="str">
        <f>IF($A570="","",'Lot Balance'!$O569)</f>
        <v/>
      </c>
      <c r="H570" s="33" t="str">
        <f>IF($A570="","",'Lot Balance'!$P569)</f>
        <v/>
      </c>
      <c r="I570" s="26" t="str">
        <f>IF($A570="","",COUNTIFS(tblIssues[Lot Number],$B570))</f>
        <v/>
      </c>
      <c r="J570" s="31" t="str">
        <f>IF($A570="","",IF('Lot Balance'!$O569&lt;=0,"Depleted",'Lot Balance'!$Q569))</f>
        <v/>
      </c>
    </row>
    <row r="571" spans="1:10" x14ac:dyDescent="0.35">
      <c r="A571" s="18" t="str">
        <f>IF('Lot Balance'!$A570="","",'Lot Balance'!$A570)</f>
        <v/>
      </c>
      <c r="B571" s="18" t="str">
        <f>IF($A571="","",'Lot Balance'!$B570)</f>
        <v/>
      </c>
      <c r="C571" s="18" t="str">
        <f>IF($A571="","",'Lot Balance'!$C570)</f>
        <v/>
      </c>
      <c r="D571" s="25" t="str">
        <f>IF($A571="","",'Lot Balance'!$G570)</f>
        <v/>
      </c>
      <c r="E571" s="25" t="str">
        <f>IF($A571="","",'Lot Balance'!$H570)</f>
        <v/>
      </c>
      <c r="F571" s="23" t="str">
        <f>IF($A571="","",'Lot Balance'!$I570)</f>
        <v/>
      </c>
      <c r="G571" s="23" t="str">
        <f>IF($A571="","",'Lot Balance'!$O570)</f>
        <v/>
      </c>
      <c r="H571" s="33" t="str">
        <f>IF($A571="","",'Lot Balance'!$P570)</f>
        <v/>
      </c>
      <c r="I571" s="26" t="str">
        <f>IF($A571="","",COUNTIFS(tblIssues[Lot Number],$B571))</f>
        <v/>
      </c>
      <c r="J571" s="31" t="str">
        <f>IF($A571="","",IF('Lot Balance'!$O570&lt;=0,"Depleted",'Lot Balance'!$Q570))</f>
        <v/>
      </c>
    </row>
    <row r="572" spans="1:10" x14ac:dyDescent="0.35">
      <c r="A572" s="18" t="str">
        <f>IF('Lot Balance'!$A571="","",'Lot Balance'!$A571)</f>
        <v/>
      </c>
      <c r="B572" s="18" t="str">
        <f>IF($A572="","",'Lot Balance'!$B571)</f>
        <v/>
      </c>
      <c r="C572" s="18" t="str">
        <f>IF($A572="","",'Lot Balance'!$C571)</f>
        <v/>
      </c>
      <c r="D572" s="25" t="str">
        <f>IF($A572="","",'Lot Balance'!$G571)</f>
        <v/>
      </c>
      <c r="E572" s="25" t="str">
        <f>IF($A572="","",'Lot Balance'!$H571)</f>
        <v/>
      </c>
      <c r="F572" s="23" t="str">
        <f>IF($A572="","",'Lot Balance'!$I571)</f>
        <v/>
      </c>
      <c r="G572" s="23" t="str">
        <f>IF($A572="","",'Lot Balance'!$O571)</f>
        <v/>
      </c>
      <c r="H572" s="33" t="str">
        <f>IF($A572="","",'Lot Balance'!$P571)</f>
        <v/>
      </c>
      <c r="I572" s="26" t="str">
        <f>IF($A572="","",COUNTIFS(tblIssues[Lot Number],$B572))</f>
        <v/>
      </c>
      <c r="J572" s="31" t="str">
        <f>IF($A572="","",IF('Lot Balance'!$O571&lt;=0,"Depleted",'Lot Balance'!$Q571))</f>
        <v/>
      </c>
    </row>
    <row r="573" spans="1:10" x14ac:dyDescent="0.35">
      <c r="A573" s="18" t="str">
        <f>IF('Lot Balance'!$A572="","",'Lot Balance'!$A572)</f>
        <v/>
      </c>
      <c r="B573" s="18" t="str">
        <f>IF($A573="","",'Lot Balance'!$B572)</f>
        <v/>
      </c>
      <c r="C573" s="18" t="str">
        <f>IF($A573="","",'Lot Balance'!$C572)</f>
        <v/>
      </c>
      <c r="D573" s="25" t="str">
        <f>IF($A573="","",'Lot Balance'!$G572)</f>
        <v/>
      </c>
      <c r="E573" s="25" t="str">
        <f>IF($A573="","",'Lot Balance'!$H572)</f>
        <v/>
      </c>
      <c r="F573" s="23" t="str">
        <f>IF($A573="","",'Lot Balance'!$I572)</f>
        <v/>
      </c>
      <c r="G573" s="23" t="str">
        <f>IF($A573="","",'Lot Balance'!$O572)</f>
        <v/>
      </c>
      <c r="H573" s="33" t="str">
        <f>IF($A573="","",'Lot Balance'!$P572)</f>
        <v/>
      </c>
      <c r="I573" s="26" t="str">
        <f>IF($A573="","",COUNTIFS(tblIssues[Lot Number],$B573))</f>
        <v/>
      </c>
      <c r="J573" s="31" t="str">
        <f>IF($A573="","",IF('Lot Balance'!$O572&lt;=0,"Depleted",'Lot Balance'!$Q572))</f>
        <v/>
      </c>
    </row>
    <row r="574" spans="1:10" x14ac:dyDescent="0.35">
      <c r="A574" s="18" t="str">
        <f>IF('Lot Balance'!$A573="","",'Lot Balance'!$A573)</f>
        <v/>
      </c>
      <c r="B574" s="18" t="str">
        <f>IF($A574="","",'Lot Balance'!$B573)</f>
        <v/>
      </c>
      <c r="C574" s="18" t="str">
        <f>IF($A574="","",'Lot Balance'!$C573)</f>
        <v/>
      </c>
      <c r="D574" s="25" t="str">
        <f>IF($A574="","",'Lot Balance'!$G573)</f>
        <v/>
      </c>
      <c r="E574" s="25" t="str">
        <f>IF($A574="","",'Lot Balance'!$H573)</f>
        <v/>
      </c>
      <c r="F574" s="23" t="str">
        <f>IF($A574="","",'Lot Balance'!$I573)</f>
        <v/>
      </c>
      <c r="G574" s="23" t="str">
        <f>IF($A574="","",'Lot Balance'!$O573)</f>
        <v/>
      </c>
      <c r="H574" s="33" t="str">
        <f>IF($A574="","",'Lot Balance'!$P573)</f>
        <v/>
      </c>
      <c r="I574" s="26" t="str">
        <f>IF($A574="","",COUNTIFS(tblIssues[Lot Number],$B574))</f>
        <v/>
      </c>
      <c r="J574" s="31" t="str">
        <f>IF($A574="","",IF('Lot Balance'!$O573&lt;=0,"Depleted",'Lot Balance'!$Q573))</f>
        <v/>
      </c>
    </row>
    <row r="575" spans="1:10" x14ac:dyDescent="0.35">
      <c r="A575" s="18" t="str">
        <f>IF('Lot Balance'!$A574="","",'Lot Balance'!$A574)</f>
        <v/>
      </c>
      <c r="B575" s="18" t="str">
        <f>IF($A575="","",'Lot Balance'!$B574)</f>
        <v/>
      </c>
      <c r="C575" s="18" t="str">
        <f>IF($A575="","",'Lot Balance'!$C574)</f>
        <v/>
      </c>
      <c r="D575" s="25" t="str">
        <f>IF($A575="","",'Lot Balance'!$G574)</f>
        <v/>
      </c>
      <c r="E575" s="25" t="str">
        <f>IF($A575="","",'Lot Balance'!$H574)</f>
        <v/>
      </c>
      <c r="F575" s="23" t="str">
        <f>IF($A575="","",'Lot Balance'!$I574)</f>
        <v/>
      </c>
      <c r="G575" s="23" t="str">
        <f>IF($A575="","",'Lot Balance'!$O574)</f>
        <v/>
      </c>
      <c r="H575" s="33" t="str">
        <f>IF($A575="","",'Lot Balance'!$P574)</f>
        <v/>
      </c>
      <c r="I575" s="26" t="str">
        <f>IF($A575="","",COUNTIFS(tblIssues[Lot Number],$B575))</f>
        <v/>
      </c>
      <c r="J575" s="31" t="str">
        <f>IF($A575="","",IF('Lot Balance'!$O574&lt;=0,"Depleted",'Lot Balance'!$Q574))</f>
        <v/>
      </c>
    </row>
    <row r="576" spans="1:10" x14ac:dyDescent="0.35">
      <c r="A576" s="18" t="str">
        <f>IF('Lot Balance'!$A575="","",'Lot Balance'!$A575)</f>
        <v/>
      </c>
      <c r="B576" s="18" t="str">
        <f>IF($A576="","",'Lot Balance'!$B575)</f>
        <v/>
      </c>
      <c r="C576" s="18" t="str">
        <f>IF($A576="","",'Lot Balance'!$C575)</f>
        <v/>
      </c>
      <c r="D576" s="25" t="str">
        <f>IF($A576="","",'Lot Balance'!$G575)</f>
        <v/>
      </c>
      <c r="E576" s="25" t="str">
        <f>IF($A576="","",'Lot Balance'!$H575)</f>
        <v/>
      </c>
      <c r="F576" s="23" t="str">
        <f>IF($A576="","",'Lot Balance'!$I575)</f>
        <v/>
      </c>
      <c r="G576" s="23" t="str">
        <f>IF($A576="","",'Lot Balance'!$O575)</f>
        <v/>
      </c>
      <c r="H576" s="33" t="str">
        <f>IF($A576="","",'Lot Balance'!$P575)</f>
        <v/>
      </c>
      <c r="I576" s="26" t="str">
        <f>IF($A576="","",COUNTIFS(tblIssues[Lot Number],$B576))</f>
        <v/>
      </c>
      <c r="J576" s="31" t="str">
        <f>IF($A576="","",IF('Lot Balance'!$O575&lt;=0,"Depleted",'Lot Balance'!$Q575))</f>
        <v/>
      </c>
    </row>
    <row r="577" spans="1:10" x14ac:dyDescent="0.35">
      <c r="A577" s="18" t="str">
        <f>IF('Lot Balance'!$A576="","",'Lot Balance'!$A576)</f>
        <v/>
      </c>
      <c r="B577" s="18" t="str">
        <f>IF($A577="","",'Lot Balance'!$B576)</f>
        <v/>
      </c>
      <c r="C577" s="18" t="str">
        <f>IF($A577="","",'Lot Balance'!$C576)</f>
        <v/>
      </c>
      <c r="D577" s="25" t="str">
        <f>IF($A577="","",'Lot Balance'!$G576)</f>
        <v/>
      </c>
      <c r="E577" s="25" t="str">
        <f>IF($A577="","",'Lot Balance'!$H576)</f>
        <v/>
      </c>
      <c r="F577" s="23" t="str">
        <f>IF($A577="","",'Lot Balance'!$I576)</f>
        <v/>
      </c>
      <c r="G577" s="23" t="str">
        <f>IF($A577="","",'Lot Balance'!$O576)</f>
        <v/>
      </c>
      <c r="H577" s="33" t="str">
        <f>IF($A577="","",'Lot Balance'!$P576)</f>
        <v/>
      </c>
      <c r="I577" s="26" t="str">
        <f>IF($A577="","",COUNTIFS(tblIssues[Lot Number],$B577))</f>
        <v/>
      </c>
      <c r="J577" s="31" t="str">
        <f>IF($A577="","",IF('Lot Balance'!$O576&lt;=0,"Depleted",'Lot Balance'!$Q576))</f>
        <v/>
      </c>
    </row>
    <row r="578" spans="1:10" x14ac:dyDescent="0.35">
      <c r="A578" s="18" t="str">
        <f>IF('Lot Balance'!$A577="","",'Lot Balance'!$A577)</f>
        <v/>
      </c>
      <c r="B578" s="18" t="str">
        <f>IF($A578="","",'Lot Balance'!$B577)</f>
        <v/>
      </c>
      <c r="C578" s="18" t="str">
        <f>IF($A578="","",'Lot Balance'!$C577)</f>
        <v/>
      </c>
      <c r="D578" s="25" t="str">
        <f>IF($A578="","",'Lot Balance'!$G577)</f>
        <v/>
      </c>
      <c r="E578" s="25" t="str">
        <f>IF($A578="","",'Lot Balance'!$H577)</f>
        <v/>
      </c>
      <c r="F578" s="23" t="str">
        <f>IF($A578="","",'Lot Balance'!$I577)</f>
        <v/>
      </c>
      <c r="G578" s="23" t="str">
        <f>IF($A578="","",'Lot Balance'!$O577)</f>
        <v/>
      </c>
      <c r="H578" s="33" t="str">
        <f>IF($A578="","",'Lot Balance'!$P577)</f>
        <v/>
      </c>
      <c r="I578" s="26" t="str">
        <f>IF($A578="","",COUNTIFS(tblIssues[Lot Number],$B578))</f>
        <v/>
      </c>
      <c r="J578" s="31" t="str">
        <f>IF($A578="","",IF('Lot Balance'!$O577&lt;=0,"Depleted",'Lot Balance'!$Q577))</f>
        <v/>
      </c>
    </row>
    <row r="579" spans="1:10" x14ac:dyDescent="0.35">
      <c r="A579" s="18" t="str">
        <f>IF('Lot Balance'!$A578="","",'Lot Balance'!$A578)</f>
        <v/>
      </c>
      <c r="B579" s="18" t="str">
        <f>IF($A579="","",'Lot Balance'!$B578)</f>
        <v/>
      </c>
      <c r="C579" s="18" t="str">
        <f>IF($A579="","",'Lot Balance'!$C578)</f>
        <v/>
      </c>
      <c r="D579" s="25" t="str">
        <f>IF($A579="","",'Lot Balance'!$G578)</f>
        <v/>
      </c>
      <c r="E579" s="25" t="str">
        <f>IF($A579="","",'Lot Balance'!$H578)</f>
        <v/>
      </c>
      <c r="F579" s="23" t="str">
        <f>IF($A579="","",'Lot Balance'!$I578)</f>
        <v/>
      </c>
      <c r="G579" s="23" t="str">
        <f>IF($A579="","",'Lot Balance'!$O578)</f>
        <v/>
      </c>
      <c r="H579" s="33" t="str">
        <f>IF($A579="","",'Lot Balance'!$P578)</f>
        <v/>
      </c>
      <c r="I579" s="26" t="str">
        <f>IF($A579="","",COUNTIFS(tblIssues[Lot Number],$B579))</f>
        <v/>
      </c>
      <c r="J579" s="31" t="str">
        <f>IF($A579="","",IF('Lot Balance'!$O578&lt;=0,"Depleted",'Lot Balance'!$Q578))</f>
        <v/>
      </c>
    </row>
    <row r="580" spans="1:10" x14ac:dyDescent="0.35">
      <c r="A580" s="18" t="str">
        <f>IF('Lot Balance'!$A579="","",'Lot Balance'!$A579)</f>
        <v/>
      </c>
      <c r="B580" s="18" t="str">
        <f>IF($A580="","",'Lot Balance'!$B579)</f>
        <v/>
      </c>
      <c r="C580" s="18" t="str">
        <f>IF($A580="","",'Lot Balance'!$C579)</f>
        <v/>
      </c>
      <c r="D580" s="25" t="str">
        <f>IF($A580="","",'Lot Balance'!$G579)</f>
        <v/>
      </c>
      <c r="E580" s="25" t="str">
        <f>IF($A580="","",'Lot Balance'!$H579)</f>
        <v/>
      </c>
      <c r="F580" s="23" t="str">
        <f>IF($A580="","",'Lot Balance'!$I579)</f>
        <v/>
      </c>
      <c r="G580" s="23" t="str">
        <f>IF($A580="","",'Lot Balance'!$O579)</f>
        <v/>
      </c>
      <c r="H580" s="33" t="str">
        <f>IF($A580="","",'Lot Balance'!$P579)</f>
        <v/>
      </c>
      <c r="I580" s="26" t="str">
        <f>IF($A580="","",COUNTIFS(tblIssues[Lot Number],$B580))</f>
        <v/>
      </c>
      <c r="J580" s="31" t="str">
        <f>IF($A580="","",IF('Lot Balance'!$O579&lt;=0,"Depleted",'Lot Balance'!$Q579))</f>
        <v/>
      </c>
    </row>
    <row r="581" spans="1:10" x14ac:dyDescent="0.35">
      <c r="A581" s="18" t="str">
        <f>IF('Lot Balance'!$A580="","",'Lot Balance'!$A580)</f>
        <v/>
      </c>
      <c r="B581" s="18" t="str">
        <f>IF($A581="","",'Lot Balance'!$B580)</f>
        <v/>
      </c>
      <c r="C581" s="18" t="str">
        <f>IF($A581="","",'Lot Balance'!$C580)</f>
        <v/>
      </c>
      <c r="D581" s="25" t="str">
        <f>IF($A581="","",'Lot Balance'!$G580)</f>
        <v/>
      </c>
      <c r="E581" s="25" t="str">
        <f>IF($A581="","",'Lot Balance'!$H580)</f>
        <v/>
      </c>
      <c r="F581" s="23" t="str">
        <f>IF($A581="","",'Lot Balance'!$I580)</f>
        <v/>
      </c>
      <c r="G581" s="23" t="str">
        <f>IF($A581="","",'Lot Balance'!$O580)</f>
        <v/>
      </c>
      <c r="H581" s="33" t="str">
        <f>IF($A581="","",'Lot Balance'!$P580)</f>
        <v/>
      </c>
      <c r="I581" s="26" t="str">
        <f>IF($A581="","",COUNTIFS(tblIssues[Lot Number],$B581))</f>
        <v/>
      </c>
      <c r="J581" s="31" t="str">
        <f>IF($A581="","",IF('Lot Balance'!$O580&lt;=0,"Depleted",'Lot Balance'!$Q580))</f>
        <v/>
      </c>
    </row>
    <row r="582" spans="1:10" x14ac:dyDescent="0.35">
      <c r="A582" s="18" t="str">
        <f>IF('Lot Balance'!$A581="","",'Lot Balance'!$A581)</f>
        <v/>
      </c>
      <c r="B582" s="18" t="str">
        <f>IF($A582="","",'Lot Balance'!$B581)</f>
        <v/>
      </c>
      <c r="C582" s="18" t="str">
        <f>IF($A582="","",'Lot Balance'!$C581)</f>
        <v/>
      </c>
      <c r="D582" s="25" t="str">
        <f>IF($A582="","",'Lot Balance'!$G581)</f>
        <v/>
      </c>
      <c r="E582" s="25" t="str">
        <f>IF($A582="","",'Lot Balance'!$H581)</f>
        <v/>
      </c>
      <c r="F582" s="23" t="str">
        <f>IF($A582="","",'Lot Balance'!$I581)</f>
        <v/>
      </c>
      <c r="G582" s="23" t="str">
        <f>IF($A582="","",'Lot Balance'!$O581)</f>
        <v/>
      </c>
      <c r="H582" s="33" t="str">
        <f>IF($A582="","",'Lot Balance'!$P581)</f>
        <v/>
      </c>
      <c r="I582" s="26" t="str">
        <f>IF($A582="","",COUNTIFS(tblIssues[Lot Number],$B582))</f>
        <v/>
      </c>
      <c r="J582" s="31" t="str">
        <f>IF($A582="","",IF('Lot Balance'!$O581&lt;=0,"Depleted",'Lot Balance'!$Q581))</f>
        <v/>
      </c>
    </row>
    <row r="583" spans="1:10" x14ac:dyDescent="0.35">
      <c r="A583" s="18" t="str">
        <f>IF('Lot Balance'!$A582="","",'Lot Balance'!$A582)</f>
        <v/>
      </c>
      <c r="B583" s="18" t="str">
        <f>IF($A583="","",'Lot Balance'!$B582)</f>
        <v/>
      </c>
      <c r="C583" s="18" t="str">
        <f>IF($A583="","",'Lot Balance'!$C582)</f>
        <v/>
      </c>
      <c r="D583" s="25" t="str">
        <f>IF($A583="","",'Lot Balance'!$G582)</f>
        <v/>
      </c>
      <c r="E583" s="25" t="str">
        <f>IF($A583="","",'Lot Balance'!$H582)</f>
        <v/>
      </c>
      <c r="F583" s="23" t="str">
        <f>IF($A583="","",'Lot Balance'!$I582)</f>
        <v/>
      </c>
      <c r="G583" s="23" t="str">
        <f>IF($A583="","",'Lot Balance'!$O582)</f>
        <v/>
      </c>
      <c r="H583" s="33" t="str">
        <f>IF($A583="","",'Lot Balance'!$P582)</f>
        <v/>
      </c>
      <c r="I583" s="26" t="str">
        <f>IF($A583="","",COUNTIFS(tblIssues[Lot Number],$B583))</f>
        <v/>
      </c>
      <c r="J583" s="31" t="str">
        <f>IF($A583="","",IF('Lot Balance'!$O582&lt;=0,"Depleted",'Lot Balance'!$Q582))</f>
        <v/>
      </c>
    </row>
    <row r="584" spans="1:10" x14ac:dyDescent="0.35">
      <c r="A584" s="18" t="str">
        <f>IF('Lot Balance'!$A583="","",'Lot Balance'!$A583)</f>
        <v/>
      </c>
      <c r="B584" s="18" t="str">
        <f>IF($A584="","",'Lot Balance'!$B583)</f>
        <v/>
      </c>
      <c r="C584" s="18" t="str">
        <f>IF($A584="","",'Lot Balance'!$C583)</f>
        <v/>
      </c>
      <c r="D584" s="25" t="str">
        <f>IF($A584="","",'Lot Balance'!$G583)</f>
        <v/>
      </c>
      <c r="E584" s="25" t="str">
        <f>IF($A584="","",'Lot Balance'!$H583)</f>
        <v/>
      </c>
      <c r="F584" s="23" t="str">
        <f>IF($A584="","",'Lot Balance'!$I583)</f>
        <v/>
      </c>
      <c r="G584" s="23" t="str">
        <f>IF($A584="","",'Lot Balance'!$O583)</f>
        <v/>
      </c>
      <c r="H584" s="33" t="str">
        <f>IF($A584="","",'Lot Balance'!$P583)</f>
        <v/>
      </c>
      <c r="I584" s="26" t="str">
        <f>IF($A584="","",COUNTIFS(tblIssues[Lot Number],$B584))</f>
        <v/>
      </c>
      <c r="J584" s="31" t="str">
        <f>IF($A584="","",IF('Lot Balance'!$O583&lt;=0,"Depleted",'Lot Balance'!$Q583))</f>
        <v/>
      </c>
    </row>
    <row r="585" spans="1:10" x14ac:dyDescent="0.35">
      <c r="A585" s="18" t="str">
        <f>IF('Lot Balance'!$A584="","",'Lot Balance'!$A584)</f>
        <v/>
      </c>
      <c r="B585" s="18" t="str">
        <f>IF($A585="","",'Lot Balance'!$B584)</f>
        <v/>
      </c>
      <c r="C585" s="18" t="str">
        <f>IF($A585="","",'Lot Balance'!$C584)</f>
        <v/>
      </c>
      <c r="D585" s="25" t="str">
        <f>IF($A585="","",'Lot Balance'!$G584)</f>
        <v/>
      </c>
      <c r="E585" s="25" t="str">
        <f>IF($A585="","",'Lot Balance'!$H584)</f>
        <v/>
      </c>
      <c r="F585" s="23" t="str">
        <f>IF($A585="","",'Lot Balance'!$I584)</f>
        <v/>
      </c>
      <c r="G585" s="23" t="str">
        <f>IF($A585="","",'Lot Balance'!$O584)</f>
        <v/>
      </c>
      <c r="H585" s="33" t="str">
        <f>IF($A585="","",'Lot Balance'!$P584)</f>
        <v/>
      </c>
      <c r="I585" s="26" t="str">
        <f>IF($A585="","",COUNTIFS(tblIssues[Lot Number],$B585))</f>
        <v/>
      </c>
      <c r="J585" s="31" t="str">
        <f>IF($A585="","",IF('Lot Balance'!$O584&lt;=0,"Depleted",'Lot Balance'!$Q584))</f>
        <v/>
      </c>
    </row>
    <row r="586" spans="1:10" x14ac:dyDescent="0.35">
      <c r="A586" s="18" t="str">
        <f>IF('Lot Balance'!$A585="","",'Lot Balance'!$A585)</f>
        <v/>
      </c>
      <c r="B586" s="18" t="str">
        <f>IF($A586="","",'Lot Balance'!$B585)</f>
        <v/>
      </c>
      <c r="C586" s="18" t="str">
        <f>IF($A586="","",'Lot Balance'!$C585)</f>
        <v/>
      </c>
      <c r="D586" s="25" t="str">
        <f>IF($A586="","",'Lot Balance'!$G585)</f>
        <v/>
      </c>
      <c r="E586" s="25" t="str">
        <f>IF($A586="","",'Lot Balance'!$H585)</f>
        <v/>
      </c>
      <c r="F586" s="23" t="str">
        <f>IF($A586="","",'Lot Balance'!$I585)</f>
        <v/>
      </c>
      <c r="G586" s="23" t="str">
        <f>IF($A586="","",'Lot Balance'!$O585)</f>
        <v/>
      </c>
      <c r="H586" s="33" t="str">
        <f>IF($A586="","",'Lot Balance'!$P585)</f>
        <v/>
      </c>
      <c r="I586" s="26" t="str">
        <f>IF($A586="","",COUNTIFS(tblIssues[Lot Number],$B586))</f>
        <v/>
      </c>
      <c r="J586" s="31" t="str">
        <f>IF($A586="","",IF('Lot Balance'!$O585&lt;=0,"Depleted",'Lot Balance'!$Q585))</f>
        <v/>
      </c>
    </row>
    <row r="587" spans="1:10" x14ac:dyDescent="0.35">
      <c r="A587" s="18" t="str">
        <f>IF('Lot Balance'!$A586="","",'Lot Balance'!$A586)</f>
        <v/>
      </c>
      <c r="B587" s="18" t="str">
        <f>IF($A587="","",'Lot Balance'!$B586)</f>
        <v/>
      </c>
      <c r="C587" s="18" t="str">
        <f>IF($A587="","",'Lot Balance'!$C586)</f>
        <v/>
      </c>
      <c r="D587" s="25" t="str">
        <f>IF($A587="","",'Lot Balance'!$G586)</f>
        <v/>
      </c>
      <c r="E587" s="25" t="str">
        <f>IF($A587="","",'Lot Balance'!$H586)</f>
        <v/>
      </c>
      <c r="F587" s="23" t="str">
        <f>IF($A587="","",'Lot Balance'!$I586)</f>
        <v/>
      </c>
      <c r="G587" s="23" t="str">
        <f>IF($A587="","",'Lot Balance'!$O586)</f>
        <v/>
      </c>
      <c r="H587" s="33" t="str">
        <f>IF($A587="","",'Lot Balance'!$P586)</f>
        <v/>
      </c>
      <c r="I587" s="26" t="str">
        <f>IF($A587="","",COUNTIFS(tblIssues[Lot Number],$B587))</f>
        <v/>
      </c>
      <c r="J587" s="31" t="str">
        <f>IF($A587="","",IF('Lot Balance'!$O586&lt;=0,"Depleted",'Lot Balance'!$Q586))</f>
        <v/>
      </c>
    </row>
    <row r="588" spans="1:10" x14ac:dyDescent="0.35">
      <c r="A588" s="18" t="str">
        <f>IF('Lot Balance'!$A587="","",'Lot Balance'!$A587)</f>
        <v/>
      </c>
      <c r="B588" s="18" t="str">
        <f>IF($A588="","",'Lot Balance'!$B587)</f>
        <v/>
      </c>
      <c r="C588" s="18" t="str">
        <f>IF($A588="","",'Lot Balance'!$C587)</f>
        <v/>
      </c>
      <c r="D588" s="25" t="str">
        <f>IF($A588="","",'Lot Balance'!$G587)</f>
        <v/>
      </c>
      <c r="E588" s="25" t="str">
        <f>IF($A588="","",'Lot Balance'!$H587)</f>
        <v/>
      </c>
      <c r="F588" s="23" t="str">
        <f>IF($A588="","",'Lot Balance'!$I587)</f>
        <v/>
      </c>
      <c r="G588" s="23" t="str">
        <f>IF($A588="","",'Lot Balance'!$O587)</f>
        <v/>
      </c>
      <c r="H588" s="33" t="str">
        <f>IF($A588="","",'Lot Balance'!$P587)</f>
        <v/>
      </c>
      <c r="I588" s="26" t="str">
        <f>IF($A588="","",COUNTIFS(tblIssues[Lot Number],$B588))</f>
        <v/>
      </c>
      <c r="J588" s="31" t="str">
        <f>IF($A588="","",IF('Lot Balance'!$O587&lt;=0,"Depleted",'Lot Balance'!$Q587))</f>
        <v/>
      </c>
    </row>
    <row r="589" spans="1:10" x14ac:dyDescent="0.35">
      <c r="A589" s="18" t="str">
        <f>IF('Lot Balance'!$A588="","",'Lot Balance'!$A588)</f>
        <v/>
      </c>
      <c r="B589" s="18" t="str">
        <f>IF($A589="","",'Lot Balance'!$B588)</f>
        <v/>
      </c>
      <c r="C589" s="18" t="str">
        <f>IF($A589="","",'Lot Balance'!$C588)</f>
        <v/>
      </c>
      <c r="D589" s="25" t="str">
        <f>IF($A589="","",'Lot Balance'!$G588)</f>
        <v/>
      </c>
      <c r="E589" s="25" t="str">
        <f>IF($A589="","",'Lot Balance'!$H588)</f>
        <v/>
      </c>
      <c r="F589" s="23" t="str">
        <f>IF($A589="","",'Lot Balance'!$I588)</f>
        <v/>
      </c>
      <c r="G589" s="23" t="str">
        <f>IF($A589="","",'Lot Balance'!$O588)</f>
        <v/>
      </c>
      <c r="H589" s="33" t="str">
        <f>IF($A589="","",'Lot Balance'!$P588)</f>
        <v/>
      </c>
      <c r="I589" s="26" t="str">
        <f>IF($A589="","",COUNTIFS(tblIssues[Lot Number],$B589))</f>
        <v/>
      </c>
      <c r="J589" s="31" t="str">
        <f>IF($A589="","",IF('Lot Balance'!$O588&lt;=0,"Depleted",'Lot Balance'!$Q588))</f>
        <v/>
      </c>
    </row>
    <row r="590" spans="1:10" x14ac:dyDescent="0.35">
      <c r="A590" s="18" t="str">
        <f>IF('Lot Balance'!$A589="","",'Lot Balance'!$A589)</f>
        <v/>
      </c>
      <c r="B590" s="18" t="str">
        <f>IF($A590="","",'Lot Balance'!$B589)</f>
        <v/>
      </c>
      <c r="C590" s="18" t="str">
        <f>IF($A590="","",'Lot Balance'!$C589)</f>
        <v/>
      </c>
      <c r="D590" s="25" t="str">
        <f>IF($A590="","",'Lot Balance'!$G589)</f>
        <v/>
      </c>
      <c r="E590" s="25" t="str">
        <f>IF($A590="","",'Lot Balance'!$H589)</f>
        <v/>
      </c>
      <c r="F590" s="23" t="str">
        <f>IF($A590="","",'Lot Balance'!$I589)</f>
        <v/>
      </c>
      <c r="G590" s="23" t="str">
        <f>IF($A590="","",'Lot Balance'!$O589)</f>
        <v/>
      </c>
      <c r="H590" s="33" t="str">
        <f>IF($A590="","",'Lot Balance'!$P589)</f>
        <v/>
      </c>
      <c r="I590" s="26" t="str">
        <f>IF($A590="","",COUNTIFS(tblIssues[Lot Number],$B590))</f>
        <v/>
      </c>
      <c r="J590" s="31" t="str">
        <f>IF($A590="","",IF('Lot Balance'!$O589&lt;=0,"Depleted",'Lot Balance'!$Q589))</f>
        <v/>
      </c>
    </row>
    <row r="591" spans="1:10" x14ac:dyDescent="0.35">
      <c r="A591" s="18" t="str">
        <f>IF('Lot Balance'!$A590="","",'Lot Balance'!$A590)</f>
        <v/>
      </c>
      <c r="B591" s="18" t="str">
        <f>IF($A591="","",'Lot Balance'!$B590)</f>
        <v/>
      </c>
      <c r="C591" s="18" t="str">
        <f>IF($A591="","",'Lot Balance'!$C590)</f>
        <v/>
      </c>
      <c r="D591" s="25" t="str">
        <f>IF($A591="","",'Lot Balance'!$G590)</f>
        <v/>
      </c>
      <c r="E591" s="25" t="str">
        <f>IF($A591="","",'Lot Balance'!$H590)</f>
        <v/>
      </c>
      <c r="F591" s="23" t="str">
        <f>IF($A591="","",'Lot Balance'!$I590)</f>
        <v/>
      </c>
      <c r="G591" s="23" t="str">
        <f>IF($A591="","",'Lot Balance'!$O590)</f>
        <v/>
      </c>
      <c r="H591" s="33" t="str">
        <f>IF($A591="","",'Lot Balance'!$P590)</f>
        <v/>
      </c>
      <c r="I591" s="26" t="str">
        <f>IF($A591="","",COUNTIFS(tblIssues[Lot Number],$B591))</f>
        <v/>
      </c>
      <c r="J591" s="31" t="str">
        <f>IF($A591="","",IF('Lot Balance'!$O590&lt;=0,"Depleted",'Lot Balance'!$Q590))</f>
        <v/>
      </c>
    </row>
    <row r="592" spans="1:10" x14ac:dyDescent="0.35">
      <c r="A592" s="18" t="str">
        <f>IF('Lot Balance'!$A591="","",'Lot Balance'!$A591)</f>
        <v/>
      </c>
      <c r="B592" s="18" t="str">
        <f>IF($A592="","",'Lot Balance'!$B591)</f>
        <v/>
      </c>
      <c r="C592" s="18" t="str">
        <f>IF($A592="","",'Lot Balance'!$C591)</f>
        <v/>
      </c>
      <c r="D592" s="25" t="str">
        <f>IF($A592="","",'Lot Balance'!$G591)</f>
        <v/>
      </c>
      <c r="E592" s="25" t="str">
        <f>IF($A592="","",'Lot Balance'!$H591)</f>
        <v/>
      </c>
      <c r="F592" s="23" t="str">
        <f>IF($A592="","",'Lot Balance'!$I591)</f>
        <v/>
      </c>
      <c r="G592" s="23" t="str">
        <f>IF($A592="","",'Lot Balance'!$O591)</f>
        <v/>
      </c>
      <c r="H592" s="33" t="str">
        <f>IF($A592="","",'Lot Balance'!$P591)</f>
        <v/>
      </c>
      <c r="I592" s="26" t="str">
        <f>IF($A592="","",COUNTIFS(tblIssues[Lot Number],$B592))</f>
        <v/>
      </c>
      <c r="J592" s="31" t="str">
        <f>IF($A592="","",IF('Lot Balance'!$O591&lt;=0,"Depleted",'Lot Balance'!$Q591))</f>
        <v/>
      </c>
    </row>
    <row r="593" spans="1:10" x14ac:dyDescent="0.35">
      <c r="A593" s="18" t="str">
        <f>IF('Lot Balance'!$A592="","",'Lot Balance'!$A592)</f>
        <v/>
      </c>
      <c r="B593" s="18" t="str">
        <f>IF($A593="","",'Lot Balance'!$B592)</f>
        <v/>
      </c>
      <c r="C593" s="18" t="str">
        <f>IF($A593="","",'Lot Balance'!$C592)</f>
        <v/>
      </c>
      <c r="D593" s="25" t="str">
        <f>IF($A593="","",'Lot Balance'!$G592)</f>
        <v/>
      </c>
      <c r="E593" s="25" t="str">
        <f>IF($A593="","",'Lot Balance'!$H592)</f>
        <v/>
      </c>
      <c r="F593" s="23" t="str">
        <f>IF($A593="","",'Lot Balance'!$I592)</f>
        <v/>
      </c>
      <c r="G593" s="23" t="str">
        <f>IF($A593="","",'Lot Balance'!$O592)</f>
        <v/>
      </c>
      <c r="H593" s="33" t="str">
        <f>IF($A593="","",'Lot Balance'!$P592)</f>
        <v/>
      </c>
      <c r="I593" s="26" t="str">
        <f>IF($A593="","",COUNTIFS(tblIssues[Lot Number],$B593))</f>
        <v/>
      </c>
      <c r="J593" s="31" t="str">
        <f>IF($A593="","",IF('Lot Balance'!$O592&lt;=0,"Depleted",'Lot Balance'!$Q592))</f>
        <v/>
      </c>
    </row>
    <row r="594" spans="1:10" x14ac:dyDescent="0.35">
      <c r="A594" s="18" t="str">
        <f>IF('Lot Balance'!$A593="","",'Lot Balance'!$A593)</f>
        <v/>
      </c>
      <c r="B594" s="18" t="str">
        <f>IF($A594="","",'Lot Balance'!$B593)</f>
        <v/>
      </c>
      <c r="C594" s="18" t="str">
        <f>IF($A594="","",'Lot Balance'!$C593)</f>
        <v/>
      </c>
      <c r="D594" s="25" t="str">
        <f>IF($A594="","",'Lot Balance'!$G593)</f>
        <v/>
      </c>
      <c r="E594" s="25" t="str">
        <f>IF($A594="","",'Lot Balance'!$H593)</f>
        <v/>
      </c>
      <c r="F594" s="23" t="str">
        <f>IF($A594="","",'Lot Balance'!$I593)</f>
        <v/>
      </c>
      <c r="G594" s="23" t="str">
        <f>IF($A594="","",'Lot Balance'!$O593)</f>
        <v/>
      </c>
      <c r="H594" s="33" t="str">
        <f>IF($A594="","",'Lot Balance'!$P593)</f>
        <v/>
      </c>
      <c r="I594" s="26" t="str">
        <f>IF($A594="","",COUNTIFS(tblIssues[Lot Number],$B594))</f>
        <v/>
      </c>
      <c r="J594" s="31" t="str">
        <f>IF($A594="","",IF('Lot Balance'!$O593&lt;=0,"Depleted",'Lot Balance'!$Q593))</f>
        <v/>
      </c>
    </row>
    <row r="595" spans="1:10" x14ac:dyDescent="0.35">
      <c r="A595" s="18" t="str">
        <f>IF('Lot Balance'!$A594="","",'Lot Balance'!$A594)</f>
        <v/>
      </c>
      <c r="B595" s="18" t="str">
        <f>IF($A595="","",'Lot Balance'!$B594)</f>
        <v/>
      </c>
      <c r="C595" s="18" t="str">
        <f>IF($A595="","",'Lot Balance'!$C594)</f>
        <v/>
      </c>
      <c r="D595" s="25" t="str">
        <f>IF($A595="","",'Lot Balance'!$G594)</f>
        <v/>
      </c>
      <c r="E595" s="25" t="str">
        <f>IF($A595="","",'Lot Balance'!$H594)</f>
        <v/>
      </c>
      <c r="F595" s="23" t="str">
        <f>IF($A595="","",'Lot Balance'!$I594)</f>
        <v/>
      </c>
      <c r="G595" s="23" t="str">
        <f>IF($A595="","",'Lot Balance'!$O594)</f>
        <v/>
      </c>
      <c r="H595" s="33" t="str">
        <f>IF($A595="","",'Lot Balance'!$P594)</f>
        <v/>
      </c>
      <c r="I595" s="26" t="str">
        <f>IF($A595="","",COUNTIFS(tblIssues[Lot Number],$B595))</f>
        <v/>
      </c>
      <c r="J595" s="31" t="str">
        <f>IF($A595="","",IF('Lot Balance'!$O594&lt;=0,"Depleted",'Lot Balance'!$Q594))</f>
        <v/>
      </c>
    </row>
    <row r="596" spans="1:10" x14ac:dyDescent="0.35">
      <c r="A596" s="18" t="str">
        <f>IF('Lot Balance'!$A595="","",'Lot Balance'!$A595)</f>
        <v/>
      </c>
      <c r="B596" s="18" t="str">
        <f>IF($A596="","",'Lot Balance'!$B595)</f>
        <v/>
      </c>
      <c r="C596" s="18" t="str">
        <f>IF($A596="","",'Lot Balance'!$C595)</f>
        <v/>
      </c>
      <c r="D596" s="25" t="str">
        <f>IF($A596="","",'Lot Balance'!$G595)</f>
        <v/>
      </c>
      <c r="E596" s="25" t="str">
        <f>IF($A596="","",'Lot Balance'!$H595)</f>
        <v/>
      </c>
      <c r="F596" s="23" t="str">
        <f>IF($A596="","",'Lot Balance'!$I595)</f>
        <v/>
      </c>
      <c r="G596" s="23" t="str">
        <f>IF($A596="","",'Lot Balance'!$O595)</f>
        <v/>
      </c>
      <c r="H596" s="33" t="str">
        <f>IF($A596="","",'Lot Balance'!$P595)</f>
        <v/>
      </c>
      <c r="I596" s="26" t="str">
        <f>IF($A596="","",COUNTIFS(tblIssues[Lot Number],$B596))</f>
        <v/>
      </c>
      <c r="J596" s="31" t="str">
        <f>IF($A596="","",IF('Lot Balance'!$O595&lt;=0,"Depleted",'Lot Balance'!$Q595))</f>
        <v/>
      </c>
    </row>
    <row r="597" spans="1:10" x14ac:dyDescent="0.35">
      <c r="A597" s="18" t="str">
        <f>IF('Lot Balance'!$A596="","",'Lot Balance'!$A596)</f>
        <v/>
      </c>
      <c r="B597" s="18" t="str">
        <f>IF($A597="","",'Lot Balance'!$B596)</f>
        <v/>
      </c>
      <c r="C597" s="18" t="str">
        <f>IF($A597="","",'Lot Balance'!$C596)</f>
        <v/>
      </c>
      <c r="D597" s="25" t="str">
        <f>IF($A597="","",'Lot Balance'!$G596)</f>
        <v/>
      </c>
      <c r="E597" s="25" t="str">
        <f>IF($A597="","",'Lot Balance'!$H596)</f>
        <v/>
      </c>
      <c r="F597" s="23" t="str">
        <f>IF($A597="","",'Lot Balance'!$I596)</f>
        <v/>
      </c>
      <c r="G597" s="23" t="str">
        <f>IF($A597="","",'Lot Balance'!$O596)</f>
        <v/>
      </c>
      <c r="H597" s="33" t="str">
        <f>IF($A597="","",'Lot Balance'!$P596)</f>
        <v/>
      </c>
      <c r="I597" s="26" t="str">
        <f>IF($A597="","",COUNTIFS(tblIssues[Lot Number],$B597))</f>
        <v/>
      </c>
      <c r="J597" s="31" t="str">
        <f>IF($A597="","",IF('Lot Balance'!$O596&lt;=0,"Depleted",'Lot Balance'!$Q596))</f>
        <v/>
      </c>
    </row>
    <row r="598" spans="1:10" x14ac:dyDescent="0.35">
      <c r="A598" s="18" t="str">
        <f>IF('Lot Balance'!$A597="","",'Lot Balance'!$A597)</f>
        <v/>
      </c>
      <c r="B598" s="18" t="str">
        <f>IF($A598="","",'Lot Balance'!$B597)</f>
        <v/>
      </c>
      <c r="C598" s="18" t="str">
        <f>IF($A598="","",'Lot Balance'!$C597)</f>
        <v/>
      </c>
      <c r="D598" s="25" t="str">
        <f>IF($A598="","",'Lot Balance'!$G597)</f>
        <v/>
      </c>
      <c r="E598" s="25" t="str">
        <f>IF($A598="","",'Lot Balance'!$H597)</f>
        <v/>
      </c>
      <c r="F598" s="23" t="str">
        <f>IF($A598="","",'Lot Balance'!$I597)</f>
        <v/>
      </c>
      <c r="G598" s="23" t="str">
        <f>IF($A598="","",'Lot Balance'!$O597)</f>
        <v/>
      </c>
      <c r="H598" s="33" t="str">
        <f>IF($A598="","",'Lot Balance'!$P597)</f>
        <v/>
      </c>
      <c r="I598" s="26" t="str">
        <f>IF($A598="","",COUNTIFS(tblIssues[Lot Number],$B598))</f>
        <v/>
      </c>
      <c r="J598" s="31" t="str">
        <f>IF($A598="","",IF('Lot Balance'!$O597&lt;=0,"Depleted",'Lot Balance'!$Q597))</f>
        <v/>
      </c>
    </row>
    <row r="599" spans="1:10" x14ac:dyDescent="0.35">
      <c r="A599" s="18" t="str">
        <f>IF('Lot Balance'!$A598="","",'Lot Balance'!$A598)</f>
        <v/>
      </c>
      <c r="B599" s="18" t="str">
        <f>IF($A599="","",'Lot Balance'!$B598)</f>
        <v/>
      </c>
      <c r="C599" s="18" t="str">
        <f>IF($A599="","",'Lot Balance'!$C598)</f>
        <v/>
      </c>
      <c r="D599" s="25" t="str">
        <f>IF($A599="","",'Lot Balance'!$G598)</f>
        <v/>
      </c>
      <c r="E599" s="25" t="str">
        <f>IF($A599="","",'Lot Balance'!$H598)</f>
        <v/>
      </c>
      <c r="F599" s="23" t="str">
        <f>IF($A599="","",'Lot Balance'!$I598)</f>
        <v/>
      </c>
      <c r="G599" s="23" t="str">
        <f>IF($A599="","",'Lot Balance'!$O598)</f>
        <v/>
      </c>
      <c r="H599" s="33" t="str">
        <f>IF($A599="","",'Lot Balance'!$P598)</f>
        <v/>
      </c>
      <c r="I599" s="26" t="str">
        <f>IF($A599="","",COUNTIFS(tblIssues[Lot Number],$B599))</f>
        <v/>
      </c>
      <c r="J599" s="31" t="str">
        <f>IF($A599="","",IF('Lot Balance'!$O598&lt;=0,"Depleted",'Lot Balance'!$Q598))</f>
        <v/>
      </c>
    </row>
    <row r="600" spans="1:10" x14ac:dyDescent="0.35">
      <c r="A600" s="18" t="str">
        <f>IF('Lot Balance'!$A599="","",'Lot Balance'!$A599)</f>
        <v/>
      </c>
      <c r="B600" s="18" t="str">
        <f>IF($A600="","",'Lot Balance'!$B599)</f>
        <v/>
      </c>
      <c r="C600" s="18" t="str">
        <f>IF($A600="","",'Lot Balance'!$C599)</f>
        <v/>
      </c>
      <c r="D600" s="25" t="str">
        <f>IF($A600="","",'Lot Balance'!$G599)</f>
        <v/>
      </c>
      <c r="E600" s="25" t="str">
        <f>IF($A600="","",'Lot Balance'!$H599)</f>
        <v/>
      </c>
      <c r="F600" s="23" t="str">
        <f>IF($A600="","",'Lot Balance'!$I599)</f>
        <v/>
      </c>
      <c r="G600" s="23" t="str">
        <f>IF($A600="","",'Lot Balance'!$O599)</f>
        <v/>
      </c>
      <c r="H600" s="33" t="str">
        <f>IF($A600="","",'Lot Balance'!$P599)</f>
        <v/>
      </c>
      <c r="I600" s="26" t="str">
        <f>IF($A600="","",COUNTIFS(tblIssues[Lot Number],$B600))</f>
        <v/>
      </c>
      <c r="J600" s="31" t="str">
        <f>IF($A600="","",IF('Lot Balance'!$O599&lt;=0,"Depleted",'Lot Balance'!$Q599))</f>
        <v/>
      </c>
    </row>
    <row r="601" spans="1:10" x14ac:dyDescent="0.35">
      <c r="A601" s="18" t="str">
        <f>IF('Lot Balance'!$A600="","",'Lot Balance'!$A600)</f>
        <v/>
      </c>
      <c r="B601" s="18" t="str">
        <f>IF($A601="","",'Lot Balance'!$B600)</f>
        <v/>
      </c>
      <c r="C601" s="18" t="str">
        <f>IF($A601="","",'Lot Balance'!$C600)</f>
        <v/>
      </c>
      <c r="D601" s="25" t="str">
        <f>IF($A601="","",'Lot Balance'!$G600)</f>
        <v/>
      </c>
      <c r="E601" s="25" t="str">
        <f>IF($A601="","",'Lot Balance'!$H600)</f>
        <v/>
      </c>
      <c r="F601" s="23" t="str">
        <f>IF($A601="","",'Lot Balance'!$I600)</f>
        <v/>
      </c>
      <c r="G601" s="23" t="str">
        <f>IF($A601="","",'Lot Balance'!$O600)</f>
        <v/>
      </c>
      <c r="H601" s="33" t="str">
        <f>IF($A601="","",'Lot Balance'!$P600)</f>
        <v/>
      </c>
      <c r="I601" s="26" t="str">
        <f>IF($A601="","",COUNTIFS(tblIssues[Lot Number],$B601))</f>
        <v/>
      </c>
      <c r="J601" s="31" t="str">
        <f>IF($A601="","",IF('Lot Balance'!$O600&lt;=0,"Depleted",'Lot Balance'!$Q600))</f>
        <v/>
      </c>
    </row>
    <row r="602" spans="1:10" x14ac:dyDescent="0.35">
      <c r="A602" s="18" t="str">
        <f>IF('Lot Balance'!$A601="","",'Lot Balance'!$A601)</f>
        <v/>
      </c>
      <c r="B602" s="18" t="str">
        <f>IF($A602="","",'Lot Balance'!$B601)</f>
        <v/>
      </c>
      <c r="C602" s="18" t="str">
        <f>IF($A602="","",'Lot Balance'!$C601)</f>
        <v/>
      </c>
      <c r="D602" s="25" t="str">
        <f>IF($A602="","",'Lot Balance'!$G601)</f>
        <v/>
      </c>
      <c r="E602" s="25" t="str">
        <f>IF($A602="","",'Lot Balance'!$H601)</f>
        <v/>
      </c>
      <c r="F602" s="23" t="str">
        <f>IF($A602="","",'Lot Balance'!$I601)</f>
        <v/>
      </c>
      <c r="G602" s="23" t="str">
        <f>IF($A602="","",'Lot Balance'!$O601)</f>
        <v/>
      </c>
      <c r="H602" s="33" t="str">
        <f>IF($A602="","",'Lot Balance'!$P601)</f>
        <v/>
      </c>
      <c r="I602" s="26" t="str">
        <f>IF($A602="","",COUNTIFS(tblIssues[Lot Number],$B602))</f>
        <v/>
      </c>
      <c r="J602" s="31" t="str">
        <f>IF($A602="","",IF('Lot Balance'!$O601&lt;=0,"Depleted",'Lot Balance'!$Q601))</f>
        <v/>
      </c>
    </row>
    <row r="603" spans="1:10" x14ac:dyDescent="0.35">
      <c r="A603" s="18" t="str">
        <f>IF('Lot Balance'!$A602="","",'Lot Balance'!$A602)</f>
        <v/>
      </c>
      <c r="B603" s="18" t="str">
        <f>IF($A603="","",'Lot Balance'!$B602)</f>
        <v/>
      </c>
      <c r="C603" s="18" t="str">
        <f>IF($A603="","",'Lot Balance'!$C602)</f>
        <v/>
      </c>
      <c r="D603" s="25" t="str">
        <f>IF($A603="","",'Lot Balance'!$G602)</f>
        <v/>
      </c>
      <c r="E603" s="25" t="str">
        <f>IF($A603="","",'Lot Balance'!$H602)</f>
        <v/>
      </c>
      <c r="F603" s="23" t="str">
        <f>IF($A603="","",'Lot Balance'!$I602)</f>
        <v/>
      </c>
      <c r="G603" s="23" t="str">
        <f>IF($A603="","",'Lot Balance'!$O602)</f>
        <v/>
      </c>
      <c r="H603" s="33" t="str">
        <f>IF($A603="","",'Lot Balance'!$P602)</f>
        <v/>
      </c>
      <c r="I603" s="26" t="str">
        <f>IF($A603="","",COUNTIFS(tblIssues[Lot Number],$B603))</f>
        <v/>
      </c>
      <c r="J603" s="31" t="str">
        <f>IF($A603="","",IF('Lot Balance'!$O602&lt;=0,"Depleted",'Lot Balance'!$Q602))</f>
        <v/>
      </c>
    </row>
    <row r="604" spans="1:10" x14ac:dyDescent="0.35">
      <c r="A604" s="18" t="str">
        <f>IF('Lot Balance'!$A603="","",'Lot Balance'!$A603)</f>
        <v/>
      </c>
      <c r="B604" s="18" t="str">
        <f>IF($A604="","",'Lot Balance'!$B603)</f>
        <v/>
      </c>
      <c r="C604" s="18" t="str">
        <f>IF($A604="","",'Lot Balance'!$C603)</f>
        <v/>
      </c>
      <c r="D604" s="25" t="str">
        <f>IF($A604="","",'Lot Balance'!$G603)</f>
        <v/>
      </c>
      <c r="E604" s="25" t="str">
        <f>IF($A604="","",'Lot Balance'!$H603)</f>
        <v/>
      </c>
      <c r="F604" s="23" t="str">
        <f>IF($A604="","",'Lot Balance'!$I603)</f>
        <v/>
      </c>
      <c r="G604" s="23" t="str">
        <f>IF($A604="","",'Lot Balance'!$O603)</f>
        <v/>
      </c>
      <c r="H604" s="33" t="str">
        <f>IF($A604="","",'Lot Balance'!$P603)</f>
        <v/>
      </c>
      <c r="I604" s="26" t="str">
        <f>IF($A604="","",COUNTIFS(tblIssues[Lot Number],$B604))</f>
        <v/>
      </c>
      <c r="J604" s="31" t="str">
        <f>IF($A604="","",IF('Lot Balance'!$O603&lt;=0,"Depleted",'Lot Balance'!$Q603))</f>
        <v/>
      </c>
    </row>
    <row r="605" spans="1:10" x14ac:dyDescent="0.35">
      <c r="A605" s="18" t="str">
        <f>IF('Lot Balance'!$A604="","",'Lot Balance'!$A604)</f>
        <v/>
      </c>
      <c r="B605" s="18" t="str">
        <f>IF($A605="","",'Lot Balance'!$B604)</f>
        <v/>
      </c>
      <c r="C605" s="18" t="str">
        <f>IF($A605="","",'Lot Balance'!$C604)</f>
        <v/>
      </c>
      <c r="D605" s="25" t="str">
        <f>IF($A605="","",'Lot Balance'!$G604)</f>
        <v/>
      </c>
      <c r="E605" s="25" t="str">
        <f>IF($A605="","",'Lot Balance'!$H604)</f>
        <v/>
      </c>
      <c r="F605" s="23" t="str">
        <f>IF($A605="","",'Lot Balance'!$I604)</f>
        <v/>
      </c>
      <c r="G605" s="23" t="str">
        <f>IF($A605="","",'Lot Balance'!$O604)</f>
        <v/>
      </c>
      <c r="H605" s="33" t="str">
        <f>IF($A605="","",'Lot Balance'!$P604)</f>
        <v/>
      </c>
      <c r="I605" s="26" t="str">
        <f>IF($A605="","",COUNTIFS(tblIssues[Lot Number],$B605))</f>
        <v/>
      </c>
      <c r="J605" s="31" t="str">
        <f>IF($A605="","",IF('Lot Balance'!$O604&lt;=0,"Depleted",'Lot Balance'!$Q604))</f>
        <v/>
      </c>
    </row>
    <row r="606" spans="1:10" x14ac:dyDescent="0.35">
      <c r="A606" s="18" t="str">
        <f>IF('Lot Balance'!$A605="","",'Lot Balance'!$A605)</f>
        <v/>
      </c>
      <c r="B606" s="18" t="str">
        <f>IF($A606="","",'Lot Balance'!$B605)</f>
        <v/>
      </c>
      <c r="C606" s="18" t="str">
        <f>IF($A606="","",'Lot Balance'!$C605)</f>
        <v/>
      </c>
      <c r="D606" s="25" t="str">
        <f>IF($A606="","",'Lot Balance'!$G605)</f>
        <v/>
      </c>
      <c r="E606" s="25" t="str">
        <f>IF($A606="","",'Lot Balance'!$H605)</f>
        <v/>
      </c>
      <c r="F606" s="23" t="str">
        <f>IF($A606="","",'Lot Balance'!$I605)</f>
        <v/>
      </c>
      <c r="G606" s="23" t="str">
        <f>IF($A606="","",'Lot Balance'!$O605)</f>
        <v/>
      </c>
      <c r="H606" s="33" t="str">
        <f>IF($A606="","",'Lot Balance'!$P605)</f>
        <v/>
      </c>
      <c r="I606" s="26" t="str">
        <f>IF($A606="","",COUNTIFS(tblIssues[Lot Number],$B606))</f>
        <v/>
      </c>
      <c r="J606" s="31" t="str">
        <f>IF($A606="","",IF('Lot Balance'!$O605&lt;=0,"Depleted",'Lot Balance'!$Q605))</f>
        <v/>
      </c>
    </row>
    <row r="607" spans="1:10" x14ac:dyDescent="0.35">
      <c r="A607" s="18" t="str">
        <f>IF('Lot Balance'!$A606="","",'Lot Balance'!$A606)</f>
        <v/>
      </c>
      <c r="B607" s="18" t="str">
        <f>IF($A607="","",'Lot Balance'!$B606)</f>
        <v/>
      </c>
      <c r="C607" s="18" t="str">
        <f>IF($A607="","",'Lot Balance'!$C606)</f>
        <v/>
      </c>
      <c r="D607" s="25" t="str">
        <f>IF($A607="","",'Lot Balance'!$G606)</f>
        <v/>
      </c>
      <c r="E607" s="25" t="str">
        <f>IF($A607="","",'Lot Balance'!$H606)</f>
        <v/>
      </c>
      <c r="F607" s="23" t="str">
        <f>IF($A607="","",'Lot Balance'!$I606)</f>
        <v/>
      </c>
      <c r="G607" s="23" t="str">
        <f>IF($A607="","",'Lot Balance'!$O606)</f>
        <v/>
      </c>
      <c r="H607" s="33" t="str">
        <f>IF($A607="","",'Lot Balance'!$P606)</f>
        <v/>
      </c>
      <c r="I607" s="26" t="str">
        <f>IF($A607="","",COUNTIFS(tblIssues[Lot Number],$B607))</f>
        <v/>
      </c>
      <c r="J607" s="31" t="str">
        <f>IF($A607="","",IF('Lot Balance'!$O606&lt;=0,"Depleted",'Lot Balance'!$Q606))</f>
        <v/>
      </c>
    </row>
    <row r="608" spans="1:10" x14ac:dyDescent="0.35">
      <c r="A608" s="18" t="str">
        <f>IF('Lot Balance'!$A607="","",'Lot Balance'!$A607)</f>
        <v/>
      </c>
      <c r="B608" s="18" t="str">
        <f>IF($A608="","",'Lot Balance'!$B607)</f>
        <v/>
      </c>
      <c r="C608" s="18" t="str">
        <f>IF($A608="","",'Lot Balance'!$C607)</f>
        <v/>
      </c>
      <c r="D608" s="25" t="str">
        <f>IF($A608="","",'Lot Balance'!$G607)</f>
        <v/>
      </c>
      <c r="E608" s="25" t="str">
        <f>IF($A608="","",'Lot Balance'!$H607)</f>
        <v/>
      </c>
      <c r="F608" s="23" t="str">
        <f>IF($A608="","",'Lot Balance'!$I607)</f>
        <v/>
      </c>
      <c r="G608" s="23" t="str">
        <f>IF($A608="","",'Lot Balance'!$O607)</f>
        <v/>
      </c>
      <c r="H608" s="33" t="str">
        <f>IF($A608="","",'Lot Balance'!$P607)</f>
        <v/>
      </c>
      <c r="I608" s="26" t="str">
        <f>IF($A608="","",COUNTIFS(tblIssues[Lot Number],$B608))</f>
        <v/>
      </c>
      <c r="J608" s="31" t="str">
        <f>IF($A608="","",IF('Lot Balance'!$O607&lt;=0,"Depleted",'Lot Balance'!$Q607))</f>
        <v/>
      </c>
    </row>
    <row r="609" spans="1:10" x14ac:dyDescent="0.35">
      <c r="A609" s="18" t="str">
        <f>IF('Lot Balance'!$A608="","",'Lot Balance'!$A608)</f>
        <v/>
      </c>
      <c r="B609" s="18" t="str">
        <f>IF($A609="","",'Lot Balance'!$B608)</f>
        <v/>
      </c>
      <c r="C609" s="18" t="str">
        <f>IF($A609="","",'Lot Balance'!$C608)</f>
        <v/>
      </c>
      <c r="D609" s="25" t="str">
        <f>IF($A609="","",'Lot Balance'!$G608)</f>
        <v/>
      </c>
      <c r="E609" s="25" t="str">
        <f>IF($A609="","",'Lot Balance'!$H608)</f>
        <v/>
      </c>
      <c r="F609" s="23" t="str">
        <f>IF($A609="","",'Lot Balance'!$I608)</f>
        <v/>
      </c>
      <c r="G609" s="23" t="str">
        <f>IF($A609="","",'Lot Balance'!$O608)</f>
        <v/>
      </c>
      <c r="H609" s="33" t="str">
        <f>IF($A609="","",'Lot Balance'!$P608)</f>
        <v/>
      </c>
      <c r="I609" s="26" t="str">
        <f>IF($A609="","",COUNTIFS(tblIssues[Lot Number],$B609))</f>
        <v/>
      </c>
      <c r="J609" s="31" t="str">
        <f>IF($A609="","",IF('Lot Balance'!$O608&lt;=0,"Depleted",'Lot Balance'!$Q608))</f>
        <v/>
      </c>
    </row>
    <row r="610" spans="1:10" x14ac:dyDescent="0.35">
      <c r="A610" s="18" t="str">
        <f>IF('Lot Balance'!$A609="","",'Lot Balance'!$A609)</f>
        <v/>
      </c>
      <c r="B610" s="18" t="str">
        <f>IF($A610="","",'Lot Balance'!$B609)</f>
        <v/>
      </c>
      <c r="C610" s="18" t="str">
        <f>IF($A610="","",'Lot Balance'!$C609)</f>
        <v/>
      </c>
      <c r="D610" s="25" t="str">
        <f>IF($A610="","",'Lot Balance'!$G609)</f>
        <v/>
      </c>
      <c r="E610" s="25" t="str">
        <f>IF($A610="","",'Lot Balance'!$H609)</f>
        <v/>
      </c>
      <c r="F610" s="23" t="str">
        <f>IF($A610="","",'Lot Balance'!$I609)</f>
        <v/>
      </c>
      <c r="G610" s="23" t="str">
        <f>IF($A610="","",'Lot Balance'!$O609)</f>
        <v/>
      </c>
      <c r="H610" s="33" t="str">
        <f>IF($A610="","",'Lot Balance'!$P609)</f>
        <v/>
      </c>
      <c r="I610" s="26" t="str">
        <f>IF($A610="","",COUNTIFS(tblIssues[Lot Number],$B610))</f>
        <v/>
      </c>
      <c r="J610" s="31" t="str">
        <f>IF($A610="","",IF('Lot Balance'!$O609&lt;=0,"Depleted",'Lot Balance'!$Q609))</f>
        <v/>
      </c>
    </row>
    <row r="611" spans="1:10" x14ac:dyDescent="0.35">
      <c r="A611" s="18" t="str">
        <f>IF('Lot Balance'!$A610="","",'Lot Balance'!$A610)</f>
        <v/>
      </c>
      <c r="B611" s="18" t="str">
        <f>IF($A611="","",'Lot Balance'!$B610)</f>
        <v/>
      </c>
      <c r="C611" s="18" t="str">
        <f>IF($A611="","",'Lot Balance'!$C610)</f>
        <v/>
      </c>
      <c r="D611" s="25" t="str">
        <f>IF($A611="","",'Lot Balance'!$G610)</f>
        <v/>
      </c>
      <c r="E611" s="25" t="str">
        <f>IF($A611="","",'Lot Balance'!$H610)</f>
        <v/>
      </c>
      <c r="F611" s="23" t="str">
        <f>IF($A611="","",'Lot Balance'!$I610)</f>
        <v/>
      </c>
      <c r="G611" s="23" t="str">
        <f>IF($A611="","",'Lot Balance'!$O610)</f>
        <v/>
      </c>
      <c r="H611" s="33" t="str">
        <f>IF($A611="","",'Lot Balance'!$P610)</f>
        <v/>
      </c>
      <c r="I611" s="26" t="str">
        <f>IF($A611="","",COUNTIFS(tblIssues[Lot Number],$B611))</f>
        <v/>
      </c>
      <c r="J611" s="31" t="str">
        <f>IF($A611="","",IF('Lot Balance'!$O610&lt;=0,"Depleted",'Lot Balance'!$Q610))</f>
        <v/>
      </c>
    </row>
    <row r="612" spans="1:10" x14ac:dyDescent="0.35">
      <c r="A612" s="18" t="str">
        <f>IF('Lot Balance'!$A611="","",'Lot Balance'!$A611)</f>
        <v/>
      </c>
      <c r="B612" s="18" t="str">
        <f>IF($A612="","",'Lot Balance'!$B611)</f>
        <v/>
      </c>
      <c r="C612" s="18" t="str">
        <f>IF($A612="","",'Lot Balance'!$C611)</f>
        <v/>
      </c>
      <c r="D612" s="25" t="str">
        <f>IF($A612="","",'Lot Balance'!$G611)</f>
        <v/>
      </c>
      <c r="E612" s="25" t="str">
        <f>IF($A612="","",'Lot Balance'!$H611)</f>
        <v/>
      </c>
      <c r="F612" s="23" t="str">
        <f>IF($A612="","",'Lot Balance'!$I611)</f>
        <v/>
      </c>
      <c r="G612" s="23" t="str">
        <f>IF($A612="","",'Lot Balance'!$O611)</f>
        <v/>
      </c>
      <c r="H612" s="33" t="str">
        <f>IF($A612="","",'Lot Balance'!$P611)</f>
        <v/>
      </c>
      <c r="I612" s="26" t="str">
        <f>IF($A612="","",COUNTIFS(tblIssues[Lot Number],$B612))</f>
        <v/>
      </c>
      <c r="J612" s="31" t="str">
        <f>IF($A612="","",IF('Lot Balance'!$O611&lt;=0,"Depleted",'Lot Balance'!$Q611))</f>
        <v/>
      </c>
    </row>
    <row r="613" spans="1:10" x14ac:dyDescent="0.35">
      <c r="A613" s="18" t="str">
        <f>IF('Lot Balance'!$A612="","",'Lot Balance'!$A612)</f>
        <v/>
      </c>
      <c r="B613" s="18" t="str">
        <f>IF($A613="","",'Lot Balance'!$B612)</f>
        <v/>
      </c>
      <c r="C613" s="18" t="str">
        <f>IF($A613="","",'Lot Balance'!$C612)</f>
        <v/>
      </c>
      <c r="D613" s="25" t="str">
        <f>IF($A613="","",'Lot Balance'!$G612)</f>
        <v/>
      </c>
      <c r="E613" s="25" t="str">
        <f>IF($A613="","",'Lot Balance'!$H612)</f>
        <v/>
      </c>
      <c r="F613" s="23" t="str">
        <f>IF($A613="","",'Lot Balance'!$I612)</f>
        <v/>
      </c>
      <c r="G613" s="23" t="str">
        <f>IF($A613="","",'Lot Balance'!$O612)</f>
        <v/>
      </c>
      <c r="H613" s="33" t="str">
        <f>IF($A613="","",'Lot Balance'!$P612)</f>
        <v/>
      </c>
      <c r="I613" s="26" t="str">
        <f>IF($A613="","",COUNTIFS(tblIssues[Lot Number],$B613))</f>
        <v/>
      </c>
      <c r="J613" s="31" t="str">
        <f>IF($A613="","",IF('Lot Balance'!$O612&lt;=0,"Depleted",'Lot Balance'!$Q612))</f>
        <v/>
      </c>
    </row>
    <row r="614" spans="1:10" x14ac:dyDescent="0.35">
      <c r="A614" s="18" t="str">
        <f>IF('Lot Balance'!$A613="","",'Lot Balance'!$A613)</f>
        <v/>
      </c>
      <c r="B614" s="18" t="str">
        <f>IF($A614="","",'Lot Balance'!$B613)</f>
        <v/>
      </c>
      <c r="C614" s="18" t="str">
        <f>IF($A614="","",'Lot Balance'!$C613)</f>
        <v/>
      </c>
      <c r="D614" s="25" t="str">
        <f>IF($A614="","",'Lot Balance'!$G613)</f>
        <v/>
      </c>
      <c r="E614" s="25" t="str">
        <f>IF($A614="","",'Lot Balance'!$H613)</f>
        <v/>
      </c>
      <c r="F614" s="23" t="str">
        <f>IF($A614="","",'Lot Balance'!$I613)</f>
        <v/>
      </c>
      <c r="G614" s="23" t="str">
        <f>IF($A614="","",'Lot Balance'!$O613)</f>
        <v/>
      </c>
      <c r="H614" s="33" t="str">
        <f>IF($A614="","",'Lot Balance'!$P613)</f>
        <v/>
      </c>
      <c r="I614" s="26" t="str">
        <f>IF($A614="","",COUNTIFS(tblIssues[Lot Number],$B614))</f>
        <v/>
      </c>
      <c r="J614" s="31" t="str">
        <f>IF($A614="","",IF('Lot Balance'!$O613&lt;=0,"Depleted",'Lot Balance'!$Q613))</f>
        <v/>
      </c>
    </row>
    <row r="615" spans="1:10" x14ac:dyDescent="0.35">
      <c r="A615" s="18" t="str">
        <f>IF('Lot Balance'!$A614="","",'Lot Balance'!$A614)</f>
        <v/>
      </c>
      <c r="B615" s="18" t="str">
        <f>IF($A615="","",'Lot Balance'!$B614)</f>
        <v/>
      </c>
      <c r="C615" s="18" t="str">
        <f>IF($A615="","",'Lot Balance'!$C614)</f>
        <v/>
      </c>
      <c r="D615" s="25" t="str">
        <f>IF($A615="","",'Lot Balance'!$G614)</f>
        <v/>
      </c>
      <c r="E615" s="25" t="str">
        <f>IF($A615="","",'Lot Balance'!$H614)</f>
        <v/>
      </c>
      <c r="F615" s="23" t="str">
        <f>IF($A615="","",'Lot Balance'!$I614)</f>
        <v/>
      </c>
      <c r="G615" s="23" t="str">
        <f>IF($A615="","",'Lot Balance'!$O614)</f>
        <v/>
      </c>
      <c r="H615" s="33" t="str">
        <f>IF($A615="","",'Lot Balance'!$P614)</f>
        <v/>
      </c>
      <c r="I615" s="26" t="str">
        <f>IF($A615="","",COUNTIFS(tblIssues[Lot Number],$B615))</f>
        <v/>
      </c>
      <c r="J615" s="31" t="str">
        <f>IF($A615="","",IF('Lot Balance'!$O614&lt;=0,"Depleted",'Lot Balance'!$Q614))</f>
        <v/>
      </c>
    </row>
    <row r="616" spans="1:10" x14ac:dyDescent="0.35">
      <c r="A616" s="18" t="str">
        <f>IF('Lot Balance'!$A615="","",'Lot Balance'!$A615)</f>
        <v/>
      </c>
      <c r="B616" s="18" t="str">
        <f>IF($A616="","",'Lot Balance'!$B615)</f>
        <v/>
      </c>
      <c r="C616" s="18" t="str">
        <f>IF($A616="","",'Lot Balance'!$C615)</f>
        <v/>
      </c>
      <c r="D616" s="25" t="str">
        <f>IF($A616="","",'Lot Balance'!$G615)</f>
        <v/>
      </c>
      <c r="E616" s="25" t="str">
        <f>IF($A616="","",'Lot Balance'!$H615)</f>
        <v/>
      </c>
      <c r="F616" s="23" t="str">
        <f>IF($A616="","",'Lot Balance'!$I615)</f>
        <v/>
      </c>
      <c r="G616" s="23" t="str">
        <f>IF($A616="","",'Lot Balance'!$O615)</f>
        <v/>
      </c>
      <c r="H616" s="33" t="str">
        <f>IF($A616="","",'Lot Balance'!$P615)</f>
        <v/>
      </c>
      <c r="I616" s="26" t="str">
        <f>IF($A616="","",COUNTIFS(tblIssues[Lot Number],$B616))</f>
        <v/>
      </c>
      <c r="J616" s="31" t="str">
        <f>IF($A616="","",IF('Lot Balance'!$O615&lt;=0,"Depleted",'Lot Balance'!$Q615))</f>
        <v/>
      </c>
    </row>
    <row r="617" spans="1:10" x14ac:dyDescent="0.35">
      <c r="A617" s="18" t="str">
        <f>IF('Lot Balance'!$A616="","",'Lot Balance'!$A616)</f>
        <v/>
      </c>
      <c r="B617" s="18" t="str">
        <f>IF($A617="","",'Lot Balance'!$B616)</f>
        <v/>
      </c>
      <c r="C617" s="18" t="str">
        <f>IF($A617="","",'Lot Balance'!$C616)</f>
        <v/>
      </c>
      <c r="D617" s="25" t="str">
        <f>IF($A617="","",'Lot Balance'!$G616)</f>
        <v/>
      </c>
      <c r="E617" s="25" t="str">
        <f>IF($A617="","",'Lot Balance'!$H616)</f>
        <v/>
      </c>
      <c r="F617" s="23" t="str">
        <f>IF($A617="","",'Lot Balance'!$I616)</f>
        <v/>
      </c>
      <c r="G617" s="23" t="str">
        <f>IF($A617="","",'Lot Balance'!$O616)</f>
        <v/>
      </c>
      <c r="H617" s="33" t="str">
        <f>IF($A617="","",'Lot Balance'!$P616)</f>
        <v/>
      </c>
      <c r="I617" s="26" t="str">
        <f>IF($A617="","",COUNTIFS(tblIssues[Lot Number],$B617))</f>
        <v/>
      </c>
      <c r="J617" s="31" t="str">
        <f>IF($A617="","",IF('Lot Balance'!$O616&lt;=0,"Depleted",'Lot Balance'!$Q616))</f>
        <v/>
      </c>
    </row>
    <row r="618" spans="1:10" x14ac:dyDescent="0.35">
      <c r="A618" s="18" t="str">
        <f>IF('Lot Balance'!$A617="","",'Lot Balance'!$A617)</f>
        <v/>
      </c>
      <c r="B618" s="18" t="str">
        <f>IF($A618="","",'Lot Balance'!$B617)</f>
        <v/>
      </c>
      <c r="C618" s="18" t="str">
        <f>IF($A618="","",'Lot Balance'!$C617)</f>
        <v/>
      </c>
      <c r="D618" s="25" t="str">
        <f>IF($A618="","",'Lot Balance'!$G617)</f>
        <v/>
      </c>
      <c r="E618" s="25" t="str">
        <f>IF($A618="","",'Lot Balance'!$H617)</f>
        <v/>
      </c>
      <c r="F618" s="23" t="str">
        <f>IF($A618="","",'Lot Balance'!$I617)</f>
        <v/>
      </c>
      <c r="G618" s="23" t="str">
        <f>IF($A618="","",'Lot Balance'!$O617)</f>
        <v/>
      </c>
      <c r="H618" s="33" t="str">
        <f>IF($A618="","",'Lot Balance'!$P617)</f>
        <v/>
      </c>
      <c r="I618" s="26" t="str">
        <f>IF($A618="","",COUNTIFS(tblIssues[Lot Number],$B618))</f>
        <v/>
      </c>
      <c r="J618" s="31" t="str">
        <f>IF($A618="","",IF('Lot Balance'!$O617&lt;=0,"Depleted",'Lot Balance'!$Q617))</f>
        <v/>
      </c>
    </row>
    <row r="619" spans="1:10" x14ac:dyDescent="0.35">
      <c r="A619" s="18" t="str">
        <f>IF('Lot Balance'!$A618="","",'Lot Balance'!$A618)</f>
        <v/>
      </c>
      <c r="B619" s="18" t="str">
        <f>IF($A619="","",'Lot Balance'!$B618)</f>
        <v/>
      </c>
      <c r="C619" s="18" t="str">
        <f>IF($A619="","",'Lot Balance'!$C618)</f>
        <v/>
      </c>
      <c r="D619" s="25" t="str">
        <f>IF($A619="","",'Lot Balance'!$G618)</f>
        <v/>
      </c>
      <c r="E619" s="25" t="str">
        <f>IF($A619="","",'Lot Balance'!$H618)</f>
        <v/>
      </c>
      <c r="F619" s="23" t="str">
        <f>IF($A619="","",'Lot Balance'!$I618)</f>
        <v/>
      </c>
      <c r="G619" s="23" t="str">
        <f>IF($A619="","",'Lot Balance'!$O618)</f>
        <v/>
      </c>
      <c r="H619" s="33" t="str">
        <f>IF($A619="","",'Lot Balance'!$P618)</f>
        <v/>
      </c>
      <c r="I619" s="26" t="str">
        <f>IF($A619="","",COUNTIFS(tblIssues[Lot Number],$B619))</f>
        <v/>
      </c>
      <c r="J619" s="31" t="str">
        <f>IF($A619="","",IF('Lot Balance'!$O618&lt;=0,"Depleted",'Lot Balance'!$Q618))</f>
        <v/>
      </c>
    </row>
    <row r="620" spans="1:10" x14ac:dyDescent="0.35">
      <c r="A620" s="18" t="str">
        <f>IF('Lot Balance'!$A619="","",'Lot Balance'!$A619)</f>
        <v/>
      </c>
      <c r="B620" s="18" t="str">
        <f>IF($A620="","",'Lot Balance'!$B619)</f>
        <v/>
      </c>
      <c r="C620" s="18" t="str">
        <f>IF($A620="","",'Lot Balance'!$C619)</f>
        <v/>
      </c>
      <c r="D620" s="25" t="str">
        <f>IF($A620="","",'Lot Balance'!$G619)</f>
        <v/>
      </c>
      <c r="E620" s="25" t="str">
        <f>IF($A620="","",'Lot Balance'!$H619)</f>
        <v/>
      </c>
      <c r="F620" s="23" t="str">
        <f>IF($A620="","",'Lot Balance'!$I619)</f>
        <v/>
      </c>
      <c r="G620" s="23" t="str">
        <f>IF($A620="","",'Lot Balance'!$O619)</f>
        <v/>
      </c>
      <c r="H620" s="33" t="str">
        <f>IF($A620="","",'Lot Balance'!$P619)</f>
        <v/>
      </c>
      <c r="I620" s="26" t="str">
        <f>IF($A620="","",COUNTIFS(tblIssues[Lot Number],$B620))</f>
        <v/>
      </c>
      <c r="J620" s="31" t="str">
        <f>IF($A620="","",IF('Lot Balance'!$O619&lt;=0,"Depleted",'Lot Balance'!$Q619))</f>
        <v/>
      </c>
    </row>
    <row r="621" spans="1:10" x14ac:dyDescent="0.35">
      <c r="A621" s="18" t="str">
        <f>IF('Lot Balance'!$A620="","",'Lot Balance'!$A620)</f>
        <v/>
      </c>
      <c r="B621" s="18" t="str">
        <f>IF($A621="","",'Lot Balance'!$B620)</f>
        <v/>
      </c>
      <c r="C621" s="18" t="str">
        <f>IF($A621="","",'Lot Balance'!$C620)</f>
        <v/>
      </c>
      <c r="D621" s="25" t="str">
        <f>IF($A621="","",'Lot Balance'!$G620)</f>
        <v/>
      </c>
      <c r="E621" s="25" t="str">
        <f>IF($A621="","",'Lot Balance'!$H620)</f>
        <v/>
      </c>
      <c r="F621" s="23" t="str">
        <f>IF($A621="","",'Lot Balance'!$I620)</f>
        <v/>
      </c>
      <c r="G621" s="23" t="str">
        <f>IF($A621="","",'Lot Balance'!$O620)</f>
        <v/>
      </c>
      <c r="H621" s="33" t="str">
        <f>IF($A621="","",'Lot Balance'!$P620)</f>
        <v/>
      </c>
      <c r="I621" s="26" t="str">
        <f>IF($A621="","",COUNTIFS(tblIssues[Lot Number],$B621))</f>
        <v/>
      </c>
      <c r="J621" s="31" t="str">
        <f>IF($A621="","",IF('Lot Balance'!$O620&lt;=0,"Depleted",'Lot Balance'!$Q620))</f>
        <v/>
      </c>
    </row>
    <row r="622" spans="1:10" x14ac:dyDescent="0.35">
      <c r="A622" s="18" t="str">
        <f>IF('Lot Balance'!$A621="","",'Lot Balance'!$A621)</f>
        <v/>
      </c>
      <c r="B622" s="18" t="str">
        <f>IF($A622="","",'Lot Balance'!$B621)</f>
        <v/>
      </c>
      <c r="C622" s="18" t="str">
        <f>IF($A622="","",'Lot Balance'!$C621)</f>
        <v/>
      </c>
      <c r="D622" s="25" t="str">
        <f>IF($A622="","",'Lot Balance'!$G621)</f>
        <v/>
      </c>
      <c r="E622" s="25" t="str">
        <f>IF($A622="","",'Lot Balance'!$H621)</f>
        <v/>
      </c>
      <c r="F622" s="23" t="str">
        <f>IF($A622="","",'Lot Balance'!$I621)</f>
        <v/>
      </c>
      <c r="G622" s="23" t="str">
        <f>IF($A622="","",'Lot Balance'!$O621)</f>
        <v/>
      </c>
      <c r="H622" s="33" t="str">
        <f>IF($A622="","",'Lot Balance'!$P621)</f>
        <v/>
      </c>
      <c r="I622" s="26" t="str">
        <f>IF($A622="","",COUNTIFS(tblIssues[Lot Number],$B622))</f>
        <v/>
      </c>
      <c r="J622" s="31" t="str">
        <f>IF($A622="","",IF('Lot Balance'!$O621&lt;=0,"Depleted",'Lot Balance'!$Q621))</f>
        <v/>
      </c>
    </row>
    <row r="623" spans="1:10" x14ac:dyDescent="0.35">
      <c r="A623" s="18" t="str">
        <f>IF('Lot Balance'!$A622="","",'Lot Balance'!$A622)</f>
        <v/>
      </c>
      <c r="B623" s="18" t="str">
        <f>IF($A623="","",'Lot Balance'!$B622)</f>
        <v/>
      </c>
      <c r="C623" s="18" t="str">
        <f>IF($A623="","",'Lot Balance'!$C622)</f>
        <v/>
      </c>
      <c r="D623" s="25" t="str">
        <f>IF($A623="","",'Lot Balance'!$G622)</f>
        <v/>
      </c>
      <c r="E623" s="25" t="str">
        <f>IF($A623="","",'Lot Balance'!$H622)</f>
        <v/>
      </c>
      <c r="F623" s="23" t="str">
        <f>IF($A623="","",'Lot Balance'!$I622)</f>
        <v/>
      </c>
      <c r="G623" s="23" t="str">
        <f>IF($A623="","",'Lot Balance'!$O622)</f>
        <v/>
      </c>
      <c r="H623" s="33" t="str">
        <f>IF($A623="","",'Lot Balance'!$P622)</f>
        <v/>
      </c>
      <c r="I623" s="26" t="str">
        <f>IF($A623="","",COUNTIFS(tblIssues[Lot Number],$B623))</f>
        <v/>
      </c>
      <c r="J623" s="31" t="str">
        <f>IF($A623="","",IF('Lot Balance'!$O622&lt;=0,"Depleted",'Lot Balance'!$Q622))</f>
        <v/>
      </c>
    </row>
    <row r="624" spans="1:10" x14ac:dyDescent="0.35">
      <c r="A624" s="18" t="str">
        <f>IF('Lot Balance'!$A623="","",'Lot Balance'!$A623)</f>
        <v/>
      </c>
      <c r="B624" s="18" t="str">
        <f>IF($A624="","",'Lot Balance'!$B623)</f>
        <v/>
      </c>
      <c r="C624" s="18" t="str">
        <f>IF($A624="","",'Lot Balance'!$C623)</f>
        <v/>
      </c>
      <c r="D624" s="25" t="str">
        <f>IF($A624="","",'Lot Balance'!$G623)</f>
        <v/>
      </c>
      <c r="E624" s="25" t="str">
        <f>IF($A624="","",'Lot Balance'!$H623)</f>
        <v/>
      </c>
      <c r="F624" s="23" t="str">
        <f>IF($A624="","",'Lot Balance'!$I623)</f>
        <v/>
      </c>
      <c r="G624" s="23" t="str">
        <f>IF($A624="","",'Lot Balance'!$O623)</f>
        <v/>
      </c>
      <c r="H624" s="33" t="str">
        <f>IF($A624="","",'Lot Balance'!$P623)</f>
        <v/>
      </c>
      <c r="I624" s="26" t="str">
        <f>IF($A624="","",COUNTIFS(tblIssues[Lot Number],$B624))</f>
        <v/>
      </c>
      <c r="J624" s="31" t="str">
        <f>IF($A624="","",IF('Lot Balance'!$O623&lt;=0,"Depleted",'Lot Balance'!$Q623))</f>
        <v/>
      </c>
    </row>
    <row r="625" spans="1:10" x14ac:dyDescent="0.35">
      <c r="A625" s="18" t="str">
        <f>IF('Lot Balance'!$A624="","",'Lot Balance'!$A624)</f>
        <v/>
      </c>
      <c r="B625" s="18" t="str">
        <f>IF($A625="","",'Lot Balance'!$B624)</f>
        <v/>
      </c>
      <c r="C625" s="18" t="str">
        <f>IF($A625="","",'Lot Balance'!$C624)</f>
        <v/>
      </c>
      <c r="D625" s="25" t="str">
        <f>IF($A625="","",'Lot Balance'!$G624)</f>
        <v/>
      </c>
      <c r="E625" s="25" t="str">
        <f>IF($A625="","",'Lot Balance'!$H624)</f>
        <v/>
      </c>
      <c r="F625" s="23" t="str">
        <f>IF($A625="","",'Lot Balance'!$I624)</f>
        <v/>
      </c>
      <c r="G625" s="23" t="str">
        <f>IF($A625="","",'Lot Balance'!$O624)</f>
        <v/>
      </c>
      <c r="H625" s="33" t="str">
        <f>IF($A625="","",'Lot Balance'!$P624)</f>
        <v/>
      </c>
      <c r="I625" s="26" t="str">
        <f>IF($A625="","",COUNTIFS(tblIssues[Lot Number],$B625))</f>
        <v/>
      </c>
      <c r="J625" s="31" t="str">
        <f>IF($A625="","",IF('Lot Balance'!$O624&lt;=0,"Depleted",'Lot Balance'!$Q624))</f>
        <v/>
      </c>
    </row>
    <row r="626" spans="1:10" x14ac:dyDescent="0.35">
      <c r="A626" s="18" t="str">
        <f>IF('Lot Balance'!$A625="","",'Lot Balance'!$A625)</f>
        <v/>
      </c>
      <c r="B626" s="18" t="str">
        <f>IF($A626="","",'Lot Balance'!$B625)</f>
        <v/>
      </c>
      <c r="C626" s="18" t="str">
        <f>IF($A626="","",'Lot Balance'!$C625)</f>
        <v/>
      </c>
      <c r="D626" s="25" t="str">
        <f>IF($A626="","",'Lot Balance'!$G625)</f>
        <v/>
      </c>
      <c r="E626" s="25" t="str">
        <f>IF($A626="","",'Lot Balance'!$H625)</f>
        <v/>
      </c>
      <c r="F626" s="23" t="str">
        <f>IF($A626="","",'Lot Balance'!$I625)</f>
        <v/>
      </c>
      <c r="G626" s="23" t="str">
        <f>IF($A626="","",'Lot Balance'!$O625)</f>
        <v/>
      </c>
      <c r="H626" s="33" t="str">
        <f>IF($A626="","",'Lot Balance'!$P625)</f>
        <v/>
      </c>
      <c r="I626" s="26" t="str">
        <f>IF($A626="","",COUNTIFS(tblIssues[Lot Number],$B626))</f>
        <v/>
      </c>
      <c r="J626" s="31" t="str">
        <f>IF($A626="","",IF('Lot Balance'!$O625&lt;=0,"Depleted",'Lot Balance'!$Q625))</f>
        <v/>
      </c>
    </row>
    <row r="627" spans="1:10" x14ac:dyDescent="0.35">
      <c r="A627" s="18" t="str">
        <f>IF('Lot Balance'!$A626="","",'Lot Balance'!$A626)</f>
        <v/>
      </c>
      <c r="B627" s="18" t="str">
        <f>IF($A627="","",'Lot Balance'!$B626)</f>
        <v/>
      </c>
      <c r="C627" s="18" t="str">
        <f>IF($A627="","",'Lot Balance'!$C626)</f>
        <v/>
      </c>
      <c r="D627" s="25" t="str">
        <f>IF($A627="","",'Lot Balance'!$G626)</f>
        <v/>
      </c>
      <c r="E627" s="25" t="str">
        <f>IF($A627="","",'Lot Balance'!$H626)</f>
        <v/>
      </c>
      <c r="F627" s="23" t="str">
        <f>IF($A627="","",'Lot Balance'!$I626)</f>
        <v/>
      </c>
      <c r="G627" s="23" t="str">
        <f>IF($A627="","",'Lot Balance'!$O626)</f>
        <v/>
      </c>
      <c r="H627" s="33" t="str">
        <f>IF($A627="","",'Lot Balance'!$P626)</f>
        <v/>
      </c>
      <c r="I627" s="26" t="str">
        <f>IF($A627="","",COUNTIFS(tblIssues[Lot Number],$B627))</f>
        <v/>
      </c>
      <c r="J627" s="31" t="str">
        <f>IF($A627="","",IF('Lot Balance'!$O626&lt;=0,"Depleted",'Lot Balance'!$Q626))</f>
        <v/>
      </c>
    </row>
    <row r="628" spans="1:10" x14ac:dyDescent="0.35">
      <c r="A628" s="18" t="str">
        <f>IF('Lot Balance'!$A627="","",'Lot Balance'!$A627)</f>
        <v/>
      </c>
      <c r="B628" s="18" t="str">
        <f>IF($A628="","",'Lot Balance'!$B627)</f>
        <v/>
      </c>
      <c r="C628" s="18" t="str">
        <f>IF($A628="","",'Lot Balance'!$C627)</f>
        <v/>
      </c>
      <c r="D628" s="25" t="str">
        <f>IF($A628="","",'Lot Balance'!$G627)</f>
        <v/>
      </c>
      <c r="E628" s="25" t="str">
        <f>IF($A628="","",'Lot Balance'!$H627)</f>
        <v/>
      </c>
      <c r="F628" s="23" t="str">
        <f>IF($A628="","",'Lot Balance'!$I627)</f>
        <v/>
      </c>
      <c r="G628" s="23" t="str">
        <f>IF($A628="","",'Lot Balance'!$O627)</f>
        <v/>
      </c>
      <c r="H628" s="33" t="str">
        <f>IF($A628="","",'Lot Balance'!$P627)</f>
        <v/>
      </c>
      <c r="I628" s="26" t="str">
        <f>IF($A628="","",COUNTIFS(tblIssues[Lot Number],$B628))</f>
        <v/>
      </c>
      <c r="J628" s="31" t="str">
        <f>IF($A628="","",IF('Lot Balance'!$O627&lt;=0,"Depleted",'Lot Balance'!$Q627))</f>
        <v/>
      </c>
    </row>
    <row r="629" spans="1:10" x14ac:dyDescent="0.35">
      <c r="A629" s="18" t="str">
        <f>IF('Lot Balance'!$A628="","",'Lot Balance'!$A628)</f>
        <v/>
      </c>
      <c r="B629" s="18" t="str">
        <f>IF($A629="","",'Lot Balance'!$B628)</f>
        <v/>
      </c>
      <c r="C629" s="18" t="str">
        <f>IF($A629="","",'Lot Balance'!$C628)</f>
        <v/>
      </c>
      <c r="D629" s="25" t="str">
        <f>IF($A629="","",'Lot Balance'!$G628)</f>
        <v/>
      </c>
      <c r="E629" s="25" t="str">
        <f>IF($A629="","",'Lot Balance'!$H628)</f>
        <v/>
      </c>
      <c r="F629" s="23" t="str">
        <f>IF($A629="","",'Lot Balance'!$I628)</f>
        <v/>
      </c>
      <c r="G629" s="23" t="str">
        <f>IF($A629="","",'Lot Balance'!$O628)</f>
        <v/>
      </c>
      <c r="H629" s="33" t="str">
        <f>IF($A629="","",'Lot Balance'!$P628)</f>
        <v/>
      </c>
      <c r="I629" s="26" t="str">
        <f>IF($A629="","",COUNTIFS(tblIssues[Lot Number],$B629))</f>
        <v/>
      </c>
      <c r="J629" s="31" t="str">
        <f>IF($A629="","",IF('Lot Balance'!$O628&lt;=0,"Depleted",'Lot Balance'!$Q628))</f>
        <v/>
      </c>
    </row>
    <row r="630" spans="1:10" x14ac:dyDescent="0.35">
      <c r="A630" s="18" t="str">
        <f>IF('Lot Balance'!$A629="","",'Lot Balance'!$A629)</f>
        <v/>
      </c>
      <c r="B630" s="18" t="str">
        <f>IF($A630="","",'Lot Balance'!$B629)</f>
        <v/>
      </c>
      <c r="C630" s="18" t="str">
        <f>IF($A630="","",'Lot Balance'!$C629)</f>
        <v/>
      </c>
      <c r="D630" s="25" t="str">
        <f>IF($A630="","",'Lot Balance'!$G629)</f>
        <v/>
      </c>
      <c r="E630" s="25" t="str">
        <f>IF($A630="","",'Lot Balance'!$H629)</f>
        <v/>
      </c>
      <c r="F630" s="23" t="str">
        <f>IF($A630="","",'Lot Balance'!$I629)</f>
        <v/>
      </c>
      <c r="G630" s="23" t="str">
        <f>IF($A630="","",'Lot Balance'!$O629)</f>
        <v/>
      </c>
      <c r="H630" s="33" t="str">
        <f>IF($A630="","",'Lot Balance'!$P629)</f>
        <v/>
      </c>
      <c r="I630" s="26" t="str">
        <f>IF($A630="","",COUNTIFS(tblIssues[Lot Number],$B630))</f>
        <v/>
      </c>
      <c r="J630" s="31" t="str">
        <f>IF($A630="","",IF('Lot Balance'!$O629&lt;=0,"Depleted",'Lot Balance'!$Q629))</f>
        <v/>
      </c>
    </row>
    <row r="631" spans="1:10" x14ac:dyDescent="0.35">
      <c r="A631" s="18" t="str">
        <f>IF('Lot Balance'!$A630="","",'Lot Balance'!$A630)</f>
        <v/>
      </c>
      <c r="B631" s="18" t="str">
        <f>IF($A631="","",'Lot Balance'!$B630)</f>
        <v/>
      </c>
      <c r="C631" s="18" t="str">
        <f>IF($A631="","",'Lot Balance'!$C630)</f>
        <v/>
      </c>
      <c r="D631" s="25" t="str">
        <f>IF($A631="","",'Lot Balance'!$G630)</f>
        <v/>
      </c>
      <c r="E631" s="25" t="str">
        <f>IF($A631="","",'Lot Balance'!$H630)</f>
        <v/>
      </c>
      <c r="F631" s="23" t="str">
        <f>IF($A631="","",'Lot Balance'!$I630)</f>
        <v/>
      </c>
      <c r="G631" s="23" t="str">
        <f>IF($A631="","",'Lot Balance'!$O630)</f>
        <v/>
      </c>
      <c r="H631" s="33" t="str">
        <f>IF($A631="","",'Lot Balance'!$P630)</f>
        <v/>
      </c>
      <c r="I631" s="26" t="str">
        <f>IF($A631="","",COUNTIFS(tblIssues[Lot Number],$B631))</f>
        <v/>
      </c>
      <c r="J631" s="31" t="str">
        <f>IF($A631="","",IF('Lot Balance'!$O630&lt;=0,"Depleted",'Lot Balance'!$Q630))</f>
        <v/>
      </c>
    </row>
    <row r="632" spans="1:10" x14ac:dyDescent="0.35">
      <c r="A632" s="18" t="str">
        <f>IF('Lot Balance'!$A631="","",'Lot Balance'!$A631)</f>
        <v/>
      </c>
      <c r="B632" s="18" t="str">
        <f>IF($A632="","",'Lot Balance'!$B631)</f>
        <v/>
      </c>
      <c r="C632" s="18" t="str">
        <f>IF($A632="","",'Lot Balance'!$C631)</f>
        <v/>
      </c>
      <c r="D632" s="25" t="str">
        <f>IF($A632="","",'Lot Balance'!$G631)</f>
        <v/>
      </c>
      <c r="E632" s="25" t="str">
        <f>IF($A632="","",'Lot Balance'!$H631)</f>
        <v/>
      </c>
      <c r="F632" s="23" t="str">
        <f>IF($A632="","",'Lot Balance'!$I631)</f>
        <v/>
      </c>
      <c r="G632" s="23" t="str">
        <f>IF($A632="","",'Lot Balance'!$O631)</f>
        <v/>
      </c>
      <c r="H632" s="33" t="str">
        <f>IF($A632="","",'Lot Balance'!$P631)</f>
        <v/>
      </c>
      <c r="I632" s="26" t="str">
        <f>IF($A632="","",COUNTIFS(tblIssues[Lot Number],$B632))</f>
        <v/>
      </c>
      <c r="J632" s="31" t="str">
        <f>IF($A632="","",IF('Lot Balance'!$O631&lt;=0,"Depleted",'Lot Balance'!$Q631))</f>
        <v/>
      </c>
    </row>
    <row r="633" spans="1:10" x14ac:dyDescent="0.35">
      <c r="A633" s="18" t="str">
        <f>IF('Lot Balance'!$A632="","",'Lot Balance'!$A632)</f>
        <v/>
      </c>
      <c r="B633" s="18" t="str">
        <f>IF($A633="","",'Lot Balance'!$B632)</f>
        <v/>
      </c>
      <c r="C633" s="18" t="str">
        <f>IF($A633="","",'Lot Balance'!$C632)</f>
        <v/>
      </c>
      <c r="D633" s="25" t="str">
        <f>IF($A633="","",'Lot Balance'!$G632)</f>
        <v/>
      </c>
      <c r="E633" s="25" t="str">
        <f>IF($A633="","",'Lot Balance'!$H632)</f>
        <v/>
      </c>
      <c r="F633" s="23" t="str">
        <f>IF($A633="","",'Lot Balance'!$I632)</f>
        <v/>
      </c>
      <c r="G633" s="23" t="str">
        <f>IF($A633="","",'Lot Balance'!$O632)</f>
        <v/>
      </c>
      <c r="H633" s="33" t="str">
        <f>IF($A633="","",'Lot Balance'!$P632)</f>
        <v/>
      </c>
      <c r="I633" s="26" t="str">
        <f>IF($A633="","",COUNTIFS(tblIssues[Lot Number],$B633))</f>
        <v/>
      </c>
      <c r="J633" s="31" t="str">
        <f>IF($A633="","",IF('Lot Balance'!$O632&lt;=0,"Depleted",'Lot Balance'!$Q632))</f>
        <v/>
      </c>
    </row>
    <row r="634" spans="1:10" x14ac:dyDescent="0.35">
      <c r="A634" s="18" t="str">
        <f>IF('Lot Balance'!$A633="","",'Lot Balance'!$A633)</f>
        <v/>
      </c>
      <c r="B634" s="18" t="str">
        <f>IF($A634="","",'Lot Balance'!$B633)</f>
        <v/>
      </c>
      <c r="C634" s="18" t="str">
        <f>IF($A634="","",'Lot Balance'!$C633)</f>
        <v/>
      </c>
      <c r="D634" s="25" t="str">
        <f>IF($A634="","",'Lot Balance'!$G633)</f>
        <v/>
      </c>
      <c r="E634" s="25" t="str">
        <f>IF($A634="","",'Lot Balance'!$H633)</f>
        <v/>
      </c>
      <c r="F634" s="23" t="str">
        <f>IF($A634="","",'Lot Balance'!$I633)</f>
        <v/>
      </c>
      <c r="G634" s="23" t="str">
        <f>IF($A634="","",'Lot Balance'!$O633)</f>
        <v/>
      </c>
      <c r="H634" s="33" t="str">
        <f>IF($A634="","",'Lot Balance'!$P633)</f>
        <v/>
      </c>
      <c r="I634" s="26" t="str">
        <f>IF($A634="","",COUNTIFS(tblIssues[Lot Number],$B634))</f>
        <v/>
      </c>
      <c r="J634" s="31" t="str">
        <f>IF($A634="","",IF('Lot Balance'!$O633&lt;=0,"Depleted",'Lot Balance'!$Q633))</f>
        <v/>
      </c>
    </row>
    <row r="635" spans="1:10" x14ac:dyDescent="0.35">
      <c r="A635" s="18" t="str">
        <f>IF('Lot Balance'!$A634="","",'Lot Balance'!$A634)</f>
        <v/>
      </c>
      <c r="B635" s="18" t="str">
        <f>IF($A635="","",'Lot Balance'!$B634)</f>
        <v/>
      </c>
      <c r="C635" s="18" t="str">
        <f>IF($A635="","",'Lot Balance'!$C634)</f>
        <v/>
      </c>
      <c r="D635" s="25" t="str">
        <f>IF($A635="","",'Lot Balance'!$G634)</f>
        <v/>
      </c>
      <c r="E635" s="25" t="str">
        <f>IF($A635="","",'Lot Balance'!$H634)</f>
        <v/>
      </c>
      <c r="F635" s="23" t="str">
        <f>IF($A635="","",'Lot Balance'!$I634)</f>
        <v/>
      </c>
      <c r="G635" s="23" t="str">
        <f>IF($A635="","",'Lot Balance'!$O634)</f>
        <v/>
      </c>
      <c r="H635" s="33" t="str">
        <f>IF($A635="","",'Lot Balance'!$P634)</f>
        <v/>
      </c>
      <c r="I635" s="26" t="str">
        <f>IF($A635="","",COUNTIFS(tblIssues[Lot Number],$B635))</f>
        <v/>
      </c>
      <c r="J635" s="31" t="str">
        <f>IF($A635="","",IF('Lot Balance'!$O634&lt;=0,"Depleted",'Lot Balance'!$Q634))</f>
        <v/>
      </c>
    </row>
    <row r="636" spans="1:10" x14ac:dyDescent="0.35">
      <c r="A636" s="18" t="str">
        <f>IF('Lot Balance'!$A635="","",'Lot Balance'!$A635)</f>
        <v/>
      </c>
      <c r="B636" s="18" t="str">
        <f>IF($A636="","",'Lot Balance'!$B635)</f>
        <v/>
      </c>
      <c r="C636" s="18" t="str">
        <f>IF($A636="","",'Lot Balance'!$C635)</f>
        <v/>
      </c>
      <c r="D636" s="25" t="str">
        <f>IF($A636="","",'Lot Balance'!$G635)</f>
        <v/>
      </c>
      <c r="E636" s="25" t="str">
        <f>IF($A636="","",'Lot Balance'!$H635)</f>
        <v/>
      </c>
      <c r="F636" s="23" t="str">
        <f>IF($A636="","",'Lot Balance'!$I635)</f>
        <v/>
      </c>
      <c r="G636" s="23" t="str">
        <f>IF($A636="","",'Lot Balance'!$O635)</f>
        <v/>
      </c>
      <c r="H636" s="33" t="str">
        <f>IF($A636="","",'Lot Balance'!$P635)</f>
        <v/>
      </c>
      <c r="I636" s="26" t="str">
        <f>IF($A636="","",COUNTIFS(tblIssues[Lot Number],$B636))</f>
        <v/>
      </c>
      <c r="J636" s="31" t="str">
        <f>IF($A636="","",IF('Lot Balance'!$O635&lt;=0,"Depleted",'Lot Balance'!$Q635))</f>
        <v/>
      </c>
    </row>
    <row r="637" spans="1:10" x14ac:dyDescent="0.35">
      <c r="A637" s="18" t="str">
        <f>IF('Lot Balance'!$A636="","",'Lot Balance'!$A636)</f>
        <v/>
      </c>
      <c r="B637" s="18" t="str">
        <f>IF($A637="","",'Lot Balance'!$B636)</f>
        <v/>
      </c>
      <c r="C637" s="18" t="str">
        <f>IF($A637="","",'Lot Balance'!$C636)</f>
        <v/>
      </c>
      <c r="D637" s="25" t="str">
        <f>IF($A637="","",'Lot Balance'!$G636)</f>
        <v/>
      </c>
      <c r="E637" s="25" t="str">
        <f>IF($A637="","",'Lot Balance'!$H636)</f>
        <v/>
      </c>
      <c r="F637" s="23" t="str">
        <f>IF($A637="","",'Lot Balance'!$I636)</f>
        <v/>
      </c>
      <c r="G637" s="23" t="str">
        <f>IF($A637="","",'Lot Balance'!$O636)</f>
        <v/>
      </c>
      <c r="H637" s="33" t="str">
        <f>IF($A637="","",'Lot Balance'!$P636)</f>
        <v/>
      </c>
      <c r="I637" s="26" t="str">
        <f>IF($A637="","",COUNTIFS(tblIssues[Lot Number],$B637))</f>
        <v/>
      </c>
      <c r="J637" s="31" t="str">
        <f>IF($A637="","",IF('Lot Balance'!$O636&lt;=0,"Depleted",'Lot Balance'!$Q636))</f>
        <v/>
      </c>
    </row>
    <row r="638" spans="1:10" x14ac:dyDescent="0.35">
      <c r="A638" s="18" t="str">
        <f>IF('Lot Balance'!$A637="","",'Lot Balance'!$A637)</f>
        <v/>
      </c>
      <c r="B638" s="18" t="str">
        <f>IF($A638="","",'Lot Balance'!$B637)</f>
        <v/>
      </c>
      <c r="C638" s="18" t="str">
        <f>IF($A638="","",'Lot Balance'!$C637)</f>
        <v/>
      </c>
      <c r="D638" s="25" t="str">
        <f>IF($A638="","",'Lot Balance'!$G637)</f>
        <v/>
      </c>
      <c r="E638" s="25" t="str">
        <f>IF($A638="","",'Lot Balance'!$H637)</f>
        <v/>
      </c>
      <c r="F638" s="23" t="str">
        <f>IF($A638="","",'Lot Balance'!$I637)</f>
        <v/>
      </c>
      <c r="G638" s="23" t="str">
        <f>IF($A638="","",'Lot Balance'!$O637)</f>
        <v/>
      </c>
      <c r="H638" s="33" t="str">
        <f>IF($A638="","",'Lot Balance'!$P637)</f>
        <v/>
      </c>
      <c r="I638" s="26" t="str">
        <f>IF($A638="","",COUNTIFS(tblIssues[Lot Number],$B638))</f>
        <v/>
      </c>
      <c r="J638" s="31" t="str">
        <f>IF($A638="","",IF('Lot Balance'!$O637&lt;=0,"Depleted",'Lot Balance'!$Q637))</f>
        <v/>
      </c>
    </row>
    <row r="639" spans="1:10" x14ac:dyDescent="0.35">
      <c r="A639" s="18" t="str">
        <f>IF('Lot Balance'!$A638="","",'Lot Balance'!$A638)</f>
        <v/>
      </c>
      <c r="B639" s="18" t="str">
        <f>IF($A639="","",'Lot Balance'!$B638)</f>
        <v/>
      </c>
      <c r="C639" s="18" t="str">
        <f>IF($A639="","",'Lot Balance'!$C638)</f>
        <v/>
      </c>
      <c r="D639" s="25" t="str">
        <f>IF($A639="","",'Lot Balance'!$G638)</f>
        <v/>
      </c>
      <c r="E639" s="25" t="str">
        <f>IF($A639="","",'Lot Balance'!$H638)</f>
        <v/>
      </c>
      <c r="F639" s="23" t="str">
        <f>IF($A639="","",'Lot Balance'!$I638)</f>
        <v/>
      </c>
      <c r="G639" s="23" t="str">
        <f>IF($A639="","",'Lot Balance'!$O638)</f>
        <v/>
      </c>
      <c r="H639" s="33" t="str">
        <f>IF($A639="","",'Lot Balance'!$P638)</f>
        <v/>
      </c>
      <c r="I639" s="26" t="str">
        <f>IF($A639="","",COUNTIFS(tblIssues[Lot Number],$B639))</f>
        <v/>
      </c>
      <c r="J639" s="31" t="str">
        <f>IF($A639="","",IF('Lot Balance'!$O638&lt;=0,"Depleted",'Lot Balance'!$Q638))</f>
        <v/>
      </c>
    </row>
    <row r="640" spans="1:10" x14ac:dyDescent="0.35">
      <c r="A640" s="18" t="str">
        <f>IF('Lot Balance'!$A639="","",'Lot Balance'!$A639)</f>
        <v/>
      </c>
      <c r="B640" s="18" t="str">
        <f>IF($A640="","",'Lot Balance'!$B639)</f>
        <v/>
      </c>
      <c r="C640" s="18" t="str">
        <f>IF($A640="","",'Lot Balance'!$C639)</f>
        <v/>
      </c>
      <c r="D640" s="25" t="str">
        <f>IF($A640="","",'Lot Balance'!$G639)</f>
        <v/>
      </c>
      <c r="E640" s="25" t="str">
        <f>IF($A640="","",'Lot Balance'!$H639)</f>
        <v/>
      </c>
      <c r="F640" s="23" t="str">
        <f>IF($A640="","",'Lot Balance'!$I639)</f>
        <v/>
      </c>
      <c r="G640" s="23" t="str">
        <f>IF($A640="","",'Lot Balance'!$O639)</f>
        <v/>
      </c>
      <c r="H640" s="33" t="str">
        <f>IF($A640="","",'Lot Balance'!$P639)</f>
        <v/>
      </c>
      <c r="I640" s="26" t="str">
        <f>IF($A640="","",COUNTIFS(tblIssues[Lot Number],$B640))</f>
        <v/>
      </c>
      <c r="J640" s="31" t="str">
        <f>IF($A640="","",IF('Lot Balance'!$O639&lt;=0,"Depleted",'Lot Balance'!$Q639))</f>
        <v/>
      </c>
    </row>
    <row r="641" spans="1:10" x14ac:dyDescent="0.35">
      <c r="A641" s="18" t="str">
        <f>IF('Lot Balance'!$A640="","",'Lot Balance'!$A640)</f>
        <v/>
      </c>
      <c r="B641" s="18" t="str">
        <f>IF($A641="","",'Lot Balance'!$B640)</f>
        <v/>
      </c>
      <c r="C641" s="18" t="str">
        <f>IF($A641="","",'Lot Balance'!$C640)</f>
        <v/>
      </c>
      <c r="D641" s="25" t="str">
        <f>IF($A641="","",'Lot Balance'!$G640)</f>
        <v/>
      </c>
      <c r="E641" s="25" t="str">
        <f>IF($A641="","",'Lot Balance'!$H640)</f>
        <v/>
      </c>
      <c r="F641" s="23" t="str">
        <f>IF($A641="","",'Lot Balance'!$I640)</f>
        <v/>
      </c>
      <c r="G641" s="23" t="str">
        <f>IF($A641="","",'Lot Balance'!$O640)</f>
        <v/>
      </c>
      <c r="H641" s="33" t="str">
        <f>IF($A641="","",'Lot Balance'!$P640)</f>
        <v/>
      </c>
      <c r="I641" s="26" t="str">
        <f>IF($A641="","",COUNTIFS(tblIssues[Lot Number],$B641))</f>
        <v/>
      </c>
      <c r="J641" s="31" t="str">
        <f>IF($A641="","",IF('Lot Balance'!$O640&lt;=0,"Depleted",'Lot Balance'!$Q640))</f>
        <v/>
      </c>
    </row>
    <row r="642" spans="1:10" x14ac:dyDescent="0.35">
      <c r="A642" s="18" t="str">
        <f>IF('Lot Balance'!$A641="","",'Lot Balance'!$A641)</f>
        <v/>
      </c>
      <c r="B642" s="18" t="str">
        <f>IF($A642="","",'Lot Balance'!$B641)</f>
        <v/>
      </c>
      <c r="C642" s="18" t="str">
        <f>IF($A642="","",'Lot Balance'!$C641)</f>
        <v/>
      </c>
      <c r="D642" s="25" t="str">
        <f>IF($A642="","",'Lot Balance'!$G641)</f>
        <v/>
      </c>
      <c r="E642" s="25" t="str">
        <f>IF($A642="","",'Lot Balance'!$H641)</f>
        <v/>
      </c>
      <c r="F642" s="23" t="str">
        <f>IF($A642="","",'Lot Balance'!$I641)</f>
        <v/>
      </c>
      <c r="G642" s="23" t="str">
        <f>IF($A642="","",'Lot Balance'!$O641)</f>
        <v/>
      </c>
      <c r="H642" s="33" t="str">
        <f>IF($A642="","",'Lot Balance'!$P641)</f>
        <v/>
      </c>
      <c r="I642" s="26" t="str">
        <f>IF($A642="","",COUNTIFS(tblIssues[Lot Number],$B642))</f>
        <v/>
      </c>
      <c r="J642" s="31" t="str">
        <f>IF($A642="","",IF('Lot Balance'!$O641&lt;=0,"Depleted",'Lot Balance'!$Q641))</f>
        <v/>
      </c>
    </row>
    <row r="643" spans="1:10" x14ac:dyDescent="0.35">
      <c r="A643" s="18" t="str">
        <f>IF('Lot Balance'!$A642="","",'Lot Balance'!$A642)</f>
        <v/>
      </c>
      <c r="B643" s="18" t="str">
        <f>IF($A643="","",'Lot Balance'!$B642)</f>
        <v/>
      </c>
      <c r="C643" s="18" t="str">
        <f>IF($A643="","",'Lot Balance'!$C642)</f>
        <v/>
      </c>
      <c r="D643" s="25" t="str">
        <f>IF($A643="","",'Lot Balance'!$G642)</f>
        <v/>
      </c>
      <c r="E643" s="25" t="str">
        <f>IF($A643="","",'Lot Balance'!$H642)</f>
        <v/>
      </c>
      <c r="F643" s="23" t="str">
        <f>IF($A643="","",'Lot Balance'!$I642)</f>
        <v/>
      </c>
      <c r="G643" s="23" t="str">
        <f>IF($A643="","",'Lot Balance'!$O642)</f>
        <v/>
      </c>
      <c r="H643" s="33" t="str">
        <f>IF($A643="","",'Lot Balance'!$P642)</f>
        <v/>
      </c>
      <c r="I643" s="26" t="str">
        <f>IF($A643="","",COUNTIFS(tblIssues[Lot Number],$B643))</f>
        <v/>
      </c>
      <c r="J643" s="31" t="str">
        <f>IF($A643="","",IF('Lot Balance'!$O642&lt;=0,"Depleted",'Lot Balance'!$Q642))</f>
        <v/>
      </c>
    </row>
    <row r="644" spans="1:10" x14ac:dyDescent="0.35">
      <c r="A644" s="18" t="str">
        <f>IF('Lot Balance'!$A643="","",'Lot Balance'!$A643)</f>
        <v/>
      </c>
      <c r="B644" s="18" t="str">
        <f>IF($A644="","",'Lot Balance'!$B643)</f>
        <v/>
      </c>
      <c r="C644" s="18" t="str">
        <f>IF($A644="","",'Lot Balance'!$C643)</f>
        <v/>
      </c>
      <c r="D644" s="25" t="str">
        <f>IF($A644="","",'Lot Balance'!$G643)</f>
        <v/>
      </c>
      <c r="E644" s="25" t="str">
        <f>IF($A644="","",'Lot Balance'!$H643)</f>
        <v/>
      </c>
      <c r="F644" s="23" t="str">
        <f>IF($A644="","",'Lot Balance'!$I643)</f>
        <v/>
      </c>
      <c r="G644" s="23" t="str">
        <f>IF($A644="","",'Lot Balance'!$O643)</f>
        <v/>
      </c>
      <c r="H644" s="33" t="str">
        <f>IF($A644="","",'Lot Balance'!$P643)</f>
        <v/>
      </c>
      <c r="I644" s="26" t="str">
        <f>IF($A644="","",COUNTIFS(tblIssues[Lot Number],$B644))</f>
        <v/>
      </c>
      <c r="J644" s="31" t="str">
        <f>IF($A644="","",IF('Lot Balance'!$O643&lt;=0,"Depleted",'Lot Balance'!$Q643))</f>
        <v/>
      </c>
    </row>
    <row r="645" spans="1:10" x14ac:dyDescent="0.35">
      <c r="A645" s="18" t="str">
        <f>IF('Lot Balance'!$A644="","",'Lot Balance'!$A644)</f>
        <v/>
      </c>
      <c r="B645" s="18" t="str">
        <f>IF($A645="","",'Lot Balance'!$B644)</f>
        <v/>
      </c>
      <c r="C645" s="18" t="str">
        <f>IF($A645="","",'Lot Balance'!$C644)</f>
        <v/>
      </c>
      <c r="D645" s="25" t="str">
        <f>IF($A645="","",'Lot Balance'!$G644)</f>
        <v/>
      </c>
      <c r="E645" s="25" t="str">
        <f>IF($A645="","",'Lot Balance'!$H644)</f>
        <v/>
      </c>
      <c r="F645" s="23" t="str">
        <f>IF($A645="","",'Lot Balance'!$I644)</f>
        <v/>
      </c>
      <c r="G645" s="23" t="str">
        <f>IF($A645="","",'Lot Balance'!$O644)</f>
        <v/>
      </c>
      <c r="H645" s="33" t="str">
        <f>IF($A645="","",'Lot Balance'!$P644)</f>
        <v/>
      </c>
      <c r="I645" s="26" t="str">
        <f>IF($A645="","",COUNTIFS(tblIssues[Lot Number],$B645))</f>
        <v/>
      </c>
      <c r="J645" s="31" t="str">
        <f>IF($A645="","",IF('Lot Balance'!$O644&lt;=0,"Depleted",'Lot Balance'!$Q644))</f>
        <v/>
      </c>
    </row>
    <row r="646" spans="1:10" x14ac:dyDescent="0.35">
      <c r="A646" s="18" t="str">
        <f>IF('Lot Balance'!$A645="","",'Lot Balance'!$A645)</f>
        <v/>
      </c>
      <c r="B646" s="18" t="str">
        <f>IF($A646="","",'Lot Balance'!$B645)</f>
        <v/>
      </c>
      <c r="C646" s="18" t="str">
        <f>IF($A646="","",'Lot Balance'!$C645)</f>
        <v/>
      </c>
      <c r="D646" s="25" t="str">
        <f>IF($A646="","",'Lot Balance'!$G645)</f>
        <v/>
      </c>
      <c r="E646" s="25" t="str">
        <f>IF($A646="","",'Lot Balance'!$H645)</f>
        <v/>
      </c>
      <c r="F646" s="23" t="str">
        <f>IF($A646="","",'Lot Balance'!$I645)</f>
        <v/>
      </c>
      <c r="G646" s="23" t="str">
        <f>IF($A646="","",'Lot Balance'!$O645)</f>
        <v/>
      </c>
      <c r="H646" s="33" t="str">
        <f>IF($A646="","",'Lot Balance'!$P645)</f>
        <v/>
      </c>
      <c r="I646" s="26" t="str">
        <f>IF($A646="","",COUNTIFS(tblIssues[Lot Number],$B646))</f>
        <v/>
      </c>
      <c r="J646" s="31" t="str">
        <f>IF($A646="","",IF('Lot Balance'!$O645&lt;=0,"Depleted",'Lot Balance'!$Q645))</f>
        <v/>
      </c>
    </row>
    <row r="647" spans="1:10" x14ac:dyDescent="0.35">
      <c r="A647" s="18" t="str">
        <f>IF('Lot Balance'!$A646="","",'Lot Balance'!$A646)</f>
        <v/>
      </c>
      <c r="B647" s="18" t="str">
        <f>IF($A647="","",'Lot Balance'!$B646)</f>
        <v/>
      </c>
      <c r="C647" s="18" t="str">
        <f>IF($A647="","",'Lot Balance'!$C646)</f>
        <v/>
      </c>
      <c r="D647" s="25" t="str">
        <f>IF($A647="","",'Lot Balance'!$G646)</f>
        <v/>
      </c>
      <c r="E647" s="25" t="str">
        <f>IF($A647="","",'Lot Balance'!$H646)</f>
        <v/>
      </c>
      <c r="F647" s="23" t="str">
        <f>IF($A647="","",'Lot Balance'!$I646)</f>
        <v/>
      </c>
      <c r="G647" s="23" t="str">
        <f>IF($A647="","",'Lot Balance'!$O646)</f>
        <v/>
      </c>
      <c r="H647" s="33" t="str">
        <f>IF($A647="","",'Lot Balance'!$P646)</f>
        <v/>
      </c>
      <c r="I647" s="26" t="str">
        <f>IF($A647="","",COUNTIFS(tblIssues[Lot Number],$B647))</f>
        <v/>
      </c>
      <c r="J647" s="31" t="str">
        <f>IF($A647="","",IF('Lot Balance'!$O646&lt;=0,"Depleted",'Lot Balance'!$Q646))</f>
        <v/>
      </c>
    </row>
    <row r="648" spans="1:10" x14ac:dyDescent="0.35">
      <c r="A648" s="18" t="str">
        <f>IF('Lot Balance'!$A647="","",'Lot Balance'!$A647)</f>
        <v/>
      </c>
      <c r="B648" s="18" t="str">
        <f>IF($A648="","",'Lot Balance'!$B647)</f>
        <v/>
      </c>
      <c r="C648" s="18" t="str">
        <f>IF($A648="","",'Lot Balance'!$C647)</f>
        <v/>
      </c>
      <c r="D648" s="25" t="str">
        <f>IF($A648="","",'Lot Balance'!$G647)</f>
        <v/>
      </c>
      <c r="E648" s="25" t="str">
        <f>IF($A648="","",'Lot Balance'!$H647)</f>
        <v/>
      </c>
      <c r="F648" s="23" t="str">
        <f>IF($A648="","",'Lot Balance'!$I647)</f>
        <v/>
      </c>
      <c r="G648" s="23" t="str">
        <f>IF($A648="","",'Lot Balance'!$O647)</f>
        <v/>
      </c>
      <c r="H648" s="33" t="str">
        <f>IF($A648="","",'Lot Balance'!$P647)</f>
        <v/>
      </c>
      <c r="I648" s="26" t="str">
        <f>IF($A648="","",COUNTIFS(tblIssues[Lot Number],$B648))</f>
        <v/>
      </c>
      <c r="J648" s="31" t="str">
        <f>IF($A648="","",IF('Lot Balance'!$O647&lt;=0,"Depleted",'Lot Balance'!$Q647))</f>
        <v/>
      </c>
    </row>
    <row r="649" spans="1:10" x14ac:dyDescent="0.35">
      <c r="A649" s="18" t="str">
        <f>IF('Lot Balance'!$A648="","",'Lot Balance'!$A648)</f>
        <v/>
      </c>
      <c r="B649" s="18" t="str">
        <f>IF($A649="","",'Lot Balance'!$B648)</f>
        <v/>
      </c>
      <c r="C649" s="18" t="str">
        <f>IF($A649="","",'Lot Balance'!$C648)</f>
        <v/>
      </c>
      <c r="D649" s="25" t="str">
        <f>IF($A649="","",'Lot Balance'!$G648)</f>
        <v/>
      </c>
      <c r="E649" s="25" t="str">
        <f>IF($A649="","",'Lot Balance'!$H648)</f>
        <v/>
      </c>
      <c r="F649" s="23" t="str">
        <f>IF($A649="","",'Lot Balance'!$I648)</f>
        <v/>
      </c>
      <c r="G649" s="23" t="str">
        <f>IF($A649="","",'Lot Balance'!$O648)</f>
        <v/>
      </c>
      <c r="H649" s="33" t="str">
        <f>IF($A649="","",'Lot Balance'!$P648)</f>
        <v/>
      </c>
      <c r="I649" s="26" t="str">
        <f>IF($A649="","",COUNTIFS(tblIssues[Lot Number],$B649))</f>
        <v/>
      </c>
      <c r="J649" s="31" t="str">
        <f>IF($A649="","",IF('Lot Balance'!$O648&lt;=0,"Depleted",'Lot Balance'!$Q648))</f>
        <v/>
      </c>
    </row>
    <row r="650" spans="1:10" x14ac:dyDescent="0.35">
      <c r="A650" s="18" t="str">
        <f>IF('Lot Balance'!$A649="","",'Lot Balance'!$A649)</f>
        <v/>
      </c>
      <c r="B650" s="18" t="str">
        <f>IF($A650="","",'Lot Balance'!$B649)</f>
        <v/>
      </c>
      <c r="C650" s="18" t="str">
        <f>IF($A650="","",'Lot Balance'!$C649)</f>
        <v/>
      </c>
      <c r="D650" s="25" t="str">
        <f>IF($A650="","",'Lot Balance'!$G649)</f>
        <v/>
      </c>
      <c r="E650" s="25" t="str">
        <f>IF($A650="","",'Lot Balance'!$H649)</f>
        <v/>
      </c>
      <c r="F650" s="23" t="str">
        <f>IF($A650="","",'Lot Balance'!$I649)</f>
        <v/>
      </c>
      <c r="G650" s="23" t="str">
        <f>IF($A650="","",'Lot Balance'!$O649)</f>
        <v/>
      </c>
      <c r="H650" s="33" t="str">
        <f>IF($A650="","",'Lot Balance'!$P649)</f>
        <v/>
      </c>
      <c r="I650" s="26" t="str">
        <f>IF($A650="","",COUNTIFS(tblIssues[Lot Number],$B650))</f>
        <v/>
      </c>
      <c r="J650" s="31" t="str">
        <f>IF($A650="","",IF('Lot Balance'!$O649&lt;=0,"Depleted",'Lot Balance'!$Q649))</f>
        <v/>
      </c>
    </row>
    <row r="651" spans="1:10" x14ac:dyDescent="0.35">
      <c r="A651" s="18" t="str">
        <f>IF('Lot Balance'!$A650="","",'Lot Balance'!$A650)</f>
        <v/>
      </c>
      <c r="B651" s="18" t="str">
        <f>IF($A651="","",'Lot Balance'!$B650)</f>
        <v/>
      </c>
      <c r="C651" s="18" t="str">
        <f>IF($A651="","",'Lot Balance'!$C650)</f>
        <v/>
      </c>
      <c r="D651" s="25" t="str">
        <f>IF($A651="","",'Lot Balance'!$G650)</f>
        <v/>
      </c>
      <c r="E651" s="25" t="str">
        <f>IF($A651="","",'Lot Balance'!$H650)</f>
        <v/>
      </c>
      <c r="F651" s="23" t="str">
        <f>IF($A651="","",'Lot Balance'!$I650)</f>
        <v/>
      </c>
      <c r="G651" s="23" t="str">
        <f>IF($A651="","",'Lot Balance'!$O650)</f>
        <v/>
      </c>
      <c r="H651" s="33" t="str">
        <f>IF($A651="","",'Lot Balance'!$P650)</f>
        <v/>
      </c>
      <c r="I651" s="26" t="str">
        <f>IF($A651="","",COUNTIFS(tblIssues[Lot Number],$B651))</f>
        <v/>
      </c>
      <c r="J651" s="31" t="str">
        <f>IF($A651="","",IF('Lot Balance'!$O650&lt;=0,"Depleted",'Lot Balance'!$Q650))</f>
        <v/>
      </c>
    </row>
    <row r="652" spans="1:10" x14ac:dyDescent="0.35">
      <c r="A652" s="18" t="str">
        <f>IF('Lot Balance'!$A651="","",'Lot Balance'!$A651)</f>
        <v/>
      </c>
      <c r="B652" s="18" t="str">
        <f>IF($A652="","",'Lot Balance'!$B651)</f>
        <v/>
      </c>
      <c r="C652" s="18" t="str">
        <f>IF($A652="","",'Lot Balance'!$C651)</f>
        <v/>
      </c>
      <c r="D652" s="25" t="str">
        <f>IF($A652="","",'Lot Balance'!$G651)</f>
        <v/>
      </c>
      <c r="E652" s="25" t="str">
        <f>IF($A652="","",'Lot Balance'!$H651)</f>
        <v/>
      </c>
      <c r="F652" s="23" t="str">
        <f>IF($A652="","",'Lot Balance'!$I651)</f>
        <v/>
      </c>
      <c r="G652" s="23" t="str">
        <f>IF($A652="","",'Lot Balance'!$O651)</f>
        <v/>
      </c>
      <c r="H652" s="33" t="str">
        <f>IF($A652="","",'Lot Balance'!$P651)</f>
        <v/>
      </c>
      <c r="I652" s="26" t="str">
        <f>IF($A652="","",COUNTIFS(tblIssues[Lot Number],$B652))</f>
        <v/>
      </c>
      <c r="J652" s="31" t="str">
        <f>IF($A652="","",IF('Lot Balance'!$O651&lt;=0,"Depleted",'Lot Balance'!$Q651))</f>
        <v/>
      </c>
    </row>
    <row r="653" spans="1:10" x14ac:dyDescent="0.35">
      <c r="A653" s="18" t="str">
        <f>IF('Lot Balance'!$A652="","",'Lot Balance'!$A652)</f>
        <v/>
      </c>
      <c r="B653" s="18" t="str">
        <f>IF($A653="","",'Lot Balance'!$B652)</f>
        <v/>
      </c>
      <c r="C653" s="18" t="str">
        <f>IF($A653="","",'Lot Balance'!$C652)</f>
        <v/>
      </c>
      <c r="D653" s="25" t="str">
        <f>IF($A653="","",'Lot Balance'!$G652)</f>
        <v/>
      </c>
      <c r="E653" s="25" t="str">
        <f>IF($A653="","",'Lot Balance'!$H652)</f>
        <v/>
      </c>
      <c r="F653" s="23" t="str">
        <f>IF($A653="","",'Lot Balance'!$I652)</f>
        <v/>
      </c>
      <c r="G653" s="23" t="str">
        <f>IF($A653="","",'Lot Balance'!$O652)</f>
        <v/>
      </c>
      <c r="H653" s="33" t="str">
        <f>IF($A653="","",'Lot Balance'!$P652)</f>
        <v/>
      </c>
      <c r="I653" s="26" t="str">
        <f>IF($A653="","",COUNTIFS(tblIssues[Lot Number],$B653))</f>
        <v/>
      </c>
      <c r="J653" s="31" t="str">
        <f>IF($A653="","",IF('Lot Balance'!$O652&lt;=0,"Depleted",'Lot Balance'!$Q652))</f>
        <v/>
      </c>
    </row>
    <row r="654" spans="1:10" x14ac:dyDescent="0.35">
      <c r="A654" s="18" t="str">
        <f>IF('Lot Balance'!$A653="","",'Lot Balance'!$A653)</f>
        <v/>
      </c>
      <c r="B654" s="18" t="str">
        <f>IF($A654="","",'Lot Balance'!$B653)</f>
        <v/>
      </c>
      <c r="C654" s="18" t="str">
        <f>IF($A654="","",'Lot Balance'!$C653)</f>
        <v/>
      </c>
      <c r="D654" s="25" t="str">
        <f>IF($A654="","",'Lot Balance'!$G653)</f>
        <v/>
      </c>
      <c r="E654" s="25" t="str">
        <f>IF($A654="","",'Lot Balance'!$H653)</f>
        <v/>
      </c>
      <c r="F654" s="23" t="str">
        <f>IF($A654="","",'Lot Balance'!$I653)</f>
        <v/>
      </c>
      <c r="G654" s="23" t="str">
        <f>IF($A654="","",'Lot Balance'!$O653)</f>
        <v/>
      </c>
      <c r="H654" s="33" t="str">
        <f>IF($A654="","",'Lot Balance'!$P653)</f>
        <v/>
      </c>
      <c r="I654" s="26" t="str">
        <f>IF($A654="","",COUNTIFS(tblIssues[Lot Number],$B654))</f>
        <v/>
      </c>
      <c r="J654" s="31" t="str">
        <f>IF($A654="","",IF('Lot Balance'!$O653&lt;=0,"Depleted",'Lot Balance'!$Q653))</f>
        <v/>
      </c>
    </row>
    <row r="655" spans="1:10" x14ac:dyDescent="0.35">
      <c r="A655" s="18" t="str">
        <f>IF('Lot Balance'!$A654="","",'Lot Balance'!$A654)</f>
        <v/>
      </c>
      <c r="B655" s="18" t="str">
        <f>IF($A655="","",'Lot Balance'!$B654)</f>
        <v/>
      </c>
      <c r="C655" s="18" t="str">
        <f>IF($A655="","",'Lot Balance'!$C654)</f>
        <v/>
      </c>
      <c r="D655" s="25" t="str">
        <f>IF($A655="","",'Lot Balance'!$G654)</f>
        <v/>
      </c>
      <c r="E655" s="25" t="str">
        <f>IF($A655="","",'Lot Balance'!$H654)</f>
        <v/>
      </c>
      <c r="F655" s="23" t="str">
        <f>IF($A655="","",'Lot Balance'!$I654)</f>
        <v/>
      </c>
      <c r="G655" s="23" t="str">
        <f>IF($A655="","",'Lot Balance'!$O654)</f>
        <v/>
      </c>
      <c r="H655" s="33" t="str">
        <f>IF($A655="","",'Lot Balance'!$P654)</f>
        <v/>
      </c>
      <c r="I655" s="26" t="str">
        <f>IF($A655="","",COUNTIFS(tblIssues[Lot Number],$B655))</f>
        <v/>
      </c>
      <c r="J655" s="31" t="str">
        <f>IF($A655="","",IF('Lot Balance'!$O654&lt;=0,"Depleted",'Lot Balance'!$Q654))</f>
        <v/>
      </c>
    </row>
    <row r="656" spans="1:10" x14ac:dyDescent="0.35">
      <c r="A656" s="18" t="str">
        <f>IF('Lot Balance'!$A655="","",'Lot Balance'!$A655)</f>
        <v/>
      </c>
      <c r="B656" s="18" t="str">
        <f>IF($A656="","",'Lot Balance'!$B655)</f>
        <v/>
      </c>
      <c r="C656" s="18" t="str">
        <f>IF($A656="","",'Lot Balance'!$C655)</f>
        <v/>
      </c>
      <c r="D656" s="25" t="str">
        <f>IF($A656="","",'Lot Balance'!$G655)</f>
        <v/>
      </c>
      <c r="E656" s="25" t="str">
        <f>IF($A656="","",'Lot Balance'!$H655)</f>
        <v/>
      </c>
      <c r="F656" s="23" t="str">
        <f>IF($A656="","",'Lot Balance'!$I655)</f>
        <v/>
      </c>
      <c r="G656" s="23" t="str">
        <f>IF($A656="","",'Lot Balance'!$O655)</f>
        <v/>
      </c>
      <c r="H656" s="33" t="str">
        <f>IF($A656="","",'Lot Balance'!$P655)</f>
        <v/>
      </c>
      <c r="I656" s="26" t="str">
        <f>IF($A656="","",COUNTIFS(tblIssues[Lot Number],$B656))</f>
        <v/>
      </c>
      <c r="J656" s="31" t="str">
        <f>IF($A656="","",IF('Lot Balance'!$O655&lt;=0,"Depleted",'Lot Balance'!$Q655))</f>
        <v/>
      </c>
    </row>
    <row r="657" spans="1:10" x14ac:dyDescent="0.35">
      <c r="A657" s="18" t="str">
        <f>IF('Lot Balance'!$A656="","",'Lot Balance'!$A656)</f>
        <v/>
      </c>
      <c r="B657" s="18" t="str">
        <f>IF($A657="","",'Lot Balance'!$B656)</f>
        <v/>
      </c>
      <c r="C657" s="18" t="str">
        <f>IF($A657="","",'Lot Balance'!$C656)</f>
        <v/>
      </c>
      <c r="D657" s="25" t="str">
        <f>IF($A657="","",'Lot Balance'!$G656)</f>
        <v/>
      </c>
      <c r="E657" s="25" t="str">
        <f>IF($A657="","",'Lot Balance'!$H656)</f>
        <v/>
      </c>
      <c r="F657" s="23" t="str">
        <f>IF($A657="","",'Lot Balance'!$I656)</f>
        <v/>
      </c>
      <c r="G657" s="23" t="str">
        <f>IF($A657="","",'Lot Balance'!$O656)</f>
        <v/>
      </c>
      <c r="H657" s="33" t="str">
        <f>IF($A657="","",'Lot Balance'!$P656)</f>
        <v/>
      </c>
      <c r="I657" s="26" t="str">
        <f>IF($A657="","",COUNTIFS(tblIssues[Lot Number],$B657))</f>
        <v/>
      </c>
      <c r="J657" s="31" t="str">
        <f>IF($A657="","",IF('Lot Balance'!$O656&lt;=0,"Depleted",'Lot Balance'!$Q656))</f>
        <v/>
      </c>
    </row>
    <row r="658" spans="1:10" x14ac:dyDescent="0.35">
      <c r="A658" s="18" t="str">
        <f>IF('Lot Balance'!$A657="","",'Lot Balance'!$A657)</f>
        <v/>
      </c>
      <c r="B658" s="18" t="str">
        <f>IF($A658="","",'Lot Balance'!$B657)</f>
        <v/>
      </c>
      <c r="C658" s="18" t="str">
        <f>IF($A658="","",'Lot Balance'!$C657)</f>
        <v/>
      </c>
      <c r="D658" s="25" t="str">
        <f>IF($A658="","",'Lot Balance'!$G657)</f>
        <v/>
      </c>
      <c r="E658" s="25" t="str">
        <f>IF($A658="","",'Lot Balance'!$H657)</f>
        <v/>
      </c>
      <c r="F658" s="23" t="str">
        <f>IF($A658="","",'Lot Balance'!$I657)</f>
        <v/>
      </c>
      <c r="G658" s="23" t="str">
        <f>IF($A658="","",'Lot Balance'!$O657)</f>
        <v/>
      </c>
      <c r="H658" s="33" t="str">
        <f>IF($A658="","",'Lot Balance'!$P657)</f>
        <v/>
      </c>
      <c r="I658" s="26" t="str">
        <f>IF($A658="","",COUNTIFS(tblIssues[Lot Number],$B658))</f>
        <v/>
      </c>
      <c r="J658" s="31" t="str">
        <f>IF($A658="","",IF('Lot Balance'!$O657&lt;=0,"Depleted",'Lot Balance'!$Q657))</f>
        <v/>
      </c>
    </row>
    <row r="659" spans="1:10" x14ac:dyDescent="0.35">
      <c r="A659" s="18" t="str">
        <f>IF('Lot Balance'!$A658="","",'Lot Balance'!$A658)</f>
        <v/>
      </c>
      <c r="B659" s="18" t="str">
        <f>IF($A659="","",'Lot Balance'!$B658)</f>
        <v/>
      </c>
      <c r="C659" s="18" t="str">
        <f>IF($A659="","",'Lot Balance'!$C658)</f>
        <v/>
      </c>
      <c r="D659" s="25" t="str">
        <f>IF($A659="","",'Lot Balance'!$G658)</f>
        <v/>
      </c>
      <c r="E659" s="25" t="str">
        <f>IF($A659="","",'Lot Balance'!$H658)</f>
        <v/>
      </c>
      <c r="F659" s="23" t="str">
        <f>IF($A659="","",'Lot Balance'!$I658)</f>
        <v/>
      </c>
      <c r="G659" s="23" t="str">
        <f>IF($A659="","",'Lot Balance'!$O658)</f>
        <v/>
      </c>
      <c r="H659" s="33" t="str">
        <f>IF($A659="","",'Lot Balance'!$P658)</f>
        <v/>
      </c>
      <c r="I659" s="26" t="str">
        <f>IF($A659="","",COUNTIFS(tblIssues[Lot Number],$B659))</f>
        <v/>
      </c>
      <c r="J659" s="31" t="str">
        <f>IF($A659="","",IF('Lot Balance'!$O658&lt;=0,"Depleted",'Lot Balance'!$Q658))</f>
        <v/>
      </c>
    </row>
    <row r="660" spans="1:10" x14ac:dyDescent="0.35">
      <c r="A660" s="18" t="str">
        <f>IF('Lot Balance'!$A659="","",'Lot Balance'!$A659)</f>
        <v/>
      </c>
      <c r="B660" s="18" t="str">
        <f>IF($A660="","",'Lot Balance'!$B659)</f>
        <v/>
      </c>
      <c r="C660" s="18" t="str">
        <f>IF($A660="","",'Lot Balance'!$C659)</f>
        <v/>
      </c>
      <c r="D660" s="25" t="str">
        <f>IF($A660="","",'Lot Balance'!$G659)</f>
        <v/>
      </c>
      <c r="E660" s="25" t="str">
        <f>IF($A660="","",'Lot Balance'!$H659)</f>
        <v/>
      </c>
      <c r="F660" s="23" t="str">
        <f>IF($A660="","",'Lot Balance'!$I659)</f>
        <v/>
      </c>
      <c r="G660" s="23" t="str">
        <f>IF($A660="","",'Lot Balance'!$O659)</f>
        <v/>
      </c>
      <c r="H660" s="33" t="str">
        <f>IF($A660="","",'Lot Balance'!$P659)</f>
        <v/>
      </c>
      <c r="I660" s="26" t="str">
        <f>IF($A660="","",COUNTIFS(tblIssues[Lot Number],$B660))</f>
        <v/>
      </c>
      <c r="J660" s="31" t="str">
        <f>IF($A660="","",IF('Lot Balance'!$O659&lt;=0,"Depleted",'Lot Balance'!$Q659))</f>
        <v/>
      </c>
    </row>
    <row r="661" spans="1:10" x14ac:dyDescent="0.35">
      <c r="A661" s="18" t="str">
        <f>IF('Lot Balance'!$A660="","",'Lot Balance'!$A660)</f>
        <v/>
      </c>
      <c r="B661" s="18" t="str">
        <f>IF($A661="","",'Lot Balance'!$B660)</f>
        <v/>
      </c>
      <c r="C661" s="18" t="str">
        <f>IF($A661="","",'Lot Balance'!$C660)</f>
        <v/>
      </c>
      <c r="D661" s="25" t="str">
        <f>IF($A661="","",'Lot Balance'!$G660)</f>
        <v/>
      </c>
      <c r="E661" s="25" t="str">
        <f>IF($A661="","",'Lot Balance'!$H660)</f>
        <v/>
      </c>
      <c r="F661" s="23" t="str">
        <f>IF($A661="","",'Lot Balance'!$I660)</f>
        <v/>
      </c>
      <c r="G661" s="23" t="str">
        <f>IF($A661="","",'Lot Balance'!$O660)</f>
        <v/>
      </c>
      <c r="H661" s="33" t="str">
        <f>IF($A661="","",'Lot Balance'!$P660)</f>
        <v/>
      </c>
      <c r="I661" s="26" t="str">
        <f>IF($A661="","",COUNTIFS(tblIssues[Lot Number],$B661))</f>
        <v/>
      </c>
      <c r="J661" s="31" t="str">
        <f>IF($A661="","",IF('Lot Balance'!$O660&lt;=0,"Depleted",'Lot Balance'!$Q660))</f>
        <v/>
      </c>
    </row>
    <row r="662" spans="1:10" x14ac:dyDescent="0.35">
      <c r="A662" s="18" t="str">
        <f>IF('Lot Balance'!$A661="","",'Lot Balance'!$A661)</f>
        <v/>
      </c>
      <c r="B662" s="18" t="str">
        <f>IF($A662="","",'Lot Balance'!$B661)</f>
        <v/>
      </c>
      <c r="C662" s="18" t="str">
        <f>IF($A662="","",'Lot Balance'!$C661)</f>
        <v/>
      </c>
      <c r="D662" s="25" t="str">
        <f>IF($A662="","",'Lot Balance'!$G661)</f>
        <v/>
      </c>
      <c r="E662" s="25" t="str">
        <f>IF($A662="","",'Lot Balance'!$H661)</f>
        <v/>
      </c>
      <c r="F662" s="23" t="str">
        <f>IF($A662="","",'Lot Balance'!$I661)</f>
        <v/>
      </c>
      <c r="G662" s="23" t="str">
        <f>IF($A662="","",'Lot Balance'!$O661)</f>
        <v/>
      </c>
      <c r="H662" s="33" t="str">
        <f>IF($A662="","",'Lot Balance'!$P661)</f>
        <v/>
      </c>
      <c r="I662" s="26" t="str">
        <f>IF($A662="","",COUNTIFS(tblIssues[Lot Number],$B662))</f>
        <v/>
      </c>
      <c r="J662" s="31" t="str">
        <f>IF($A662="","",IF('Lot Balance'!$O661&lt;=0,"Depleted",'Lot Balance'!$Q661))</f>
        <v/>
      </c>
    </row>
    <row r="663" spans="1:10" x14ac:dyDescent="0.35">
      <c r="A663" s="18" t="str">
        <f>IF('Lot Balance'!$A662="","",'Lot Balance'!$A662)</f>
        <v/>
      </c>
      <c r="B663" s="18" t="str">
        <f>IF($A663="","",'Lot Balance'!$B662)</f>
        <v/>
      </c>
      <c r="C663" s="18" t="str">
        <f>IF($A663="","",'Lot Balance'!$C662)</f>
        <v/>
      </c>
      <c r="D663" s="25" t="str">
        <f>IF($A663="","",'Lot Balance'!$G662)</f>
        <v/>
      </c>
      <c r="E663" s="25" t="str">
        <f>IF($A663="","",'Lot Balance'!$H662)</f>
        <v/>
      </c>
      <c r="F663" s="23" t="str">
        <f>IF($A663="","",'Lot Balance'!$I662)</f>
        <v/>
      </c>
      <c r="G663" s="23" t="str">
        <f>IF($A663="","",'Lot Balance'!$O662)</f>
        <v/>
      </c>
      <c r="H663" s="33" t="str">
        <f>IF($A663="","",'Lot Balance'!$P662)</f>
        <v/>
      </c>
      <c r="I663" s="26" t="str">
        <f>IF($A663="","",COUNTIFS(tblIssues[Lot Number],$B663))</f>
        <v/>
      </c>
      <c r="J663" s="31" t="str">
        <f>IF($A663="","",IF('Lot Balance'!$O662&lt;=0,"Depleted",'Lot Balance'!$Q662))</f>
        <v/>
      </c>
    </row>
    <row r="664" spans="1:10" x14ac:dyDescent="0.35">
      <c r="A664" s="18" t="str">
        <f>IF('Lot Balance'!$A663="","",'Lot Balance'!$A663)</f>
        <v/>
      </c>
      <c r="B664" s="18" t="str">
        <f>IF($A664="","",'Lot Balance'!$B663)</f>
        <v/>
      </c>
      <c r="C664" s="18" t="str">
        <f>IF($A664="","",'Lot Balance'!$C663)</f>
        <v/>
      </c>
      <c r="D664" s="25" t="str">
        <f>IF($A664="","",'Lot Balance'!$G663)</f>
        <v/>
      </c>
      <c r="E664" s="25" t="str">
        <f>IF($A664="","",'Lot Balance'!$H663)</f>
        <v/>
      </c>
      <c r="F664" s="23" t="str">
        <f>IF($A664="","",'Lot Balance'!$I663)</f>
        <v/>
      </c>
      <c r="G664" s="23" t="str">
        <f>IF($A664="","",'Lot Balance'!$O663)</f>
        <v/>
      </c>
      <c r="H664" s="33" t="str">
        <f>IF($A664="","",'Lot Balance'!$P663)</f>
        <v/>
      </c>
      <c r="I664" s="26" t="str">
        <f>IF($A664="","",COUNTIFS(tblIssues[Lot Number],$B664))</f>
        <v/>
      </c>
      <c r="J664" s="31" t="str">
        <f>IF($A664="","",IF('Lot Balance'!$O663&lt;=0,"Depleted",'Lot Balance'!$Q663))</f>
        <v/>
      </c>
    </row>
    <row r="665" spans="1:10" x14ac:dyDescent="0.35">
      <c r="A665" s="18" t="str">
        <f>IF('Lot Balance'!$A664="","",'Lot Balance'!$A664)</f>
        <v/>
      </c>
      <c r="B665" s="18" t="str">
        <f>IF($A665="","",'Lot Balance'!$B664)</f>
        <v/>
      </c>
      <c r="C665" s="18" t="str">
        <f>IF($A665="","",'Lot Balance'!$C664)</f>
        <v/>
      </c>
      <c r="D665" s="25" t="str">
        <f>IF($A665="","",'Lot Balance'!$G664)</f>
        <v/>
      </c>
      <c r="E665" s="25" t="str">
        <f>IF($A665="","",'Lot Balance'!$H664)</f>
        <v/>
      </c>
      <c r="F665" s="23" t="str">
        <f>IF($A665="","",'Lot Balance'!$I664)</f>
        <v/>
      </c>
      <c r="G665" s="23" t="str">
        <f>IF($A665="","",'Lot Balance'!$O664)</f>
        <v/>
      </c>
      <c r="H665" s="33" t="str">
        <f>IF($A665="","",'Lot Balance'!$P664)</f>
        <v/>
      </c>
      <c r="I665" s="26" t="str">
        <f>IF($A665="","",COUNTIFS(tblIssues[Lot Number],$B665))</f>
        <v/>
      </c>
      <c r="J665" s="31" t="str">
        <f>IF($A665="","",IF('Lot Balance'!$O664&lt;=0,"Depleted",'Lot Balance'!$Q664))</f>
        <v/>
      </c>
    </row>
    <row r="666" spans="1:10" x14ac:dyDescent="0.35">
      <c r="A666" s="18" t="str">
        <f>IF('Lot Balance'!$A665="","",'Lot Balance'!$A665)</f>
        <v/>
      </c>
      <c r="B666" s="18" t="str">
        <f>IF($A666="","",'Lot Balance'!$B665)</f>
        <v/>
      </c>
      <c r="C666" s="18" t="str">
        <f>IF($A666="","",'Lot Balance'!$C665)</f>
        <v/>
      </c>
      <c r="D666" s="25" t="str">
        <f>IF($A666="","",'Lot Balance'!$G665)</f>
        <v/>
      </c>
      <c r="E666" s="25" t="str">
        <f>IF($A666="","",'Lot Balance'!$H665)</f>
        <v/>
      </c>
      <c r="F666" s="23" t="str">
        <f>IF($A666="","",'Lot Balance'!$I665)</f>
        <v/>
      </c>
      <c r="G666" s="23" t="str">
        <f>IF($A666="","",'Lot Balance'!$O665)</f>
        <v/>
      </c>
      <c r="H666" s="33" t="str">
        <f>IF($A666="","",'Lot Balance'!$P665)</f>
        <v/>
      </c>
      <c r="I666" s="26" t="str">
        <f>IF($A666="","",COUNTIFS(tblIssues[Lot Number],$B666))</f>
        <v/>
      </c>
      <c r="J666" s="31" t="str">
        <f>IF($A666="","",IF('Lot Balance'!$O665&lt;=0,"Depleted",'Lot Balance'!$Q665))</f>
        <v/>
      </c>
    </row>
    <row r="667" spans="1:10" x14ac:dyDescent="0.35">
      <c r="A667" s="18" t="str">
        <f>IF('Lot Balance'!$A666="","",'Lot Balance'!$A666)</f>
        <v/>
      </c>
      <c r="B667" s="18" t="str">
        <f>IF($A667="","",'Lot Balance'!$B666)</f>
        <v/>
      </c>
      <c r="C667" s="18" t="str">
        <f>IF($A667="","",'Lot Balance'!$C666)</f>
        <v/>
      </c>
      <c r="D667" s="25" t="str">
        <f>IF($A667="","",'Lot Balance'!$G666)</f>
        <v/>
      </c>
      <c r="E667" s="25" t="str">
        <f>IF($A667="","",'Lot Balance'!$H666)</f>
        <v/>
      </c>
      <c r="F667" s="23" t="str">
        <f>IF($A667="","",'Lot Balance'!$I666)</f>
        <v/>
      </c>
      <c r="G667" s="23" t="str">
        <f>IF($A667="","",'Lot Balance'!$O666)</f>
        <v/>
      </c>
      <c r="H667" s="33" t="str">
        <f>IF($A667="","",'Lot Balance'!$P666)</f>
        <v/>
      </c>
      <c r="I667" s="26" t="str">
        <f>IF($A667="","",COUNTIFS(tblIssues[Lot Number],$B667))</f>
        <v/>
      </c>
      <c r="J667" s="31" t="str">
        <f>IF($A667="","",IF('Lot Balance'!$O666&lt;=0,"Depleted",'Lot Balance'!$Q666))</f>
        <v/>
      </c>
    </row>
    <row r="668" spans="1:10" x14ac:dyDescent="0.35">
      <c r="A668" s="18" t="str">
        <f>IF('Lot Balance'!$A667="","",'Lot Balance'!$A667)</f>
        <v/>
      </c>
      <c r="B668" s="18" t="str">
        <f>IF($A668="","",'Lot Balance'!$B667)</f>
        <v/>
      </c>
      <c r="C668" s="18" t="str">
        <f>IF($A668="","",'Lot Balance'!$C667)</f>
        <v/>
      </c>
      <c r="D668" s="25" t="str">
        <f>IF($A668="","",'Lot Balance'!$G667)</f>
        <v/>
      </c>
      <c r="E668" s="25" t="str">
        <f>IF($A668="","",'Lot Balance'!$H667)</f>
        <v/>
      </c>
      <c r="F668" s="23" t="str">
        <f>IF($A668="","",'Lot Balance'!$I667)</f>
        <v/>
      </c>
      <c r="G668" s="23" t="str">
        <f>IF($A668="","",'Lot Balance'!$O667)</f>
        <v/>
      </c>
      <c r="H668" s="33" t="str">
        <f>IF($A668="","",'Lot Balance'!$P667)</f>
        <v/>
      </c>
      <c r="I668" s="26" t="str">
        <f>IF($A668="","",COUNTIFS(tblIssues[Lot Number],$B668))</f>
        <v/>
      </c>
      <c r="J668" s="31" t="str">
        <f>IF($A668="","",IF('Lot Balance'!$O667&lt;=0,"Depleted",'Lot Balance'!$Q667))</f>
        <v/>
      </c>
    </row>
    <row r="669" spans="1:10" x14ac:dyDescent="0.35">
      <c r="A669" s="18" t="str">
        <f>IF('Lot Balance'!$A668="","",'Lot Balance'!$A668)</f>
        <v/>
      </c>
      <c r="B669" s="18" t="str">
        <f>IF($A669="","",'Lot Balance'!$B668)</f>
        <v/>
      </c>
      <c r="C669" s="18" t="str">
        <f>IF($A669="","",'Lot Balance'!$C668)</f>
        <v/>
      </c>
      <c r="D669" s="25" t="str">
        <f>IF($A669="","",'Lot Balance'!$G668)</f>
        <v/>
      </c>
      <c r="E669" s="25" t="str">
        <f>IF($A669="","",'Lot Balance'!$H668)</f>
        <v/>
      </c>
      <c r="F669" s="23" t="str">
        <f>IF($A669="","",'Lot Balance'!$I668)</f>
        <v/>
      </c>
      <c r="G669" s="23" t="str">
        <f>IF($A669="","",'Lot Balance'!$O668)</f>
        <v/>
      </c>
      <c r="H669" s="33" t="str">
        <f>IF($A669="","",'Lot Balance'!$P668)</f>
        <v/>
      </c>
      <c r="I669" s="26" t="str">
        <f>IF($A669="","",COUNTIFS(tblIssues[Lot Number],$B669))</f>
        <v/>
      </c>
      <c r="J669" s="31" t="str">
        <f>IF($A669="","",IF('Lot Balance'!$O668&lt;=0,"Depleted",'Lot Balance'!$Q668))</f>
        <v/>
      </c>
    </row>
    <row r="670" spans="1:10" x14ac:dyDescent="0.35">
      <c r="A670" s="18" t="str">
        <f>IF('Lot Balance'!$A669="","",'Lot Balance'!$A669)</f>
        <v/>
      </c>
      <c r="B670" s="18" t="str">
        <f>IF($A670="","",'Lot Balance'!$B669)</f>
        <v/>
      </c>
      <c r="C670" s="18" t="str">
        <f>IF($A670="","",'Lot Balance'!$C669)</f>
        <v/>
      </c>
      <c r="D670" s="25" t="str">
        <f>IF($A670="","",'Lot Balance'!$G669)</f>
        <v/>
      </c>
      <c r="E670" s="25" t="str">
        <f>IF($A670="","",'Lot Balance'!$H669)</f>
        <v/>
      </c>
      <c r="F670" s="23" t="str">
        <f>IF($A670="","",'Lot Balance'!$I669)</f>
        <v/>
      </c>
      <c r="G670" s="23" t="str">
        <f>IF($A670="","",'Lot Balance'!$O669)</f>
        <v/>
      </c>
      <c r="H670" s="33" t="str">
        <f>IF($A670="","",'Lot Balance'!$P669)</f>
        <v/>
      </c>
      <c r="I670" s="26" t="str">
        <f>IF($A670="","",COUNTIFS(tblIssues[Lot Number],$B670))</f>
        <v/>
      </c>
      <c r="J670" s="31" t="str">
        <f>IF($A670="","",IF('Lot Balance'!$O669&lt;=0,"Depleted",'Lot Balance'!$Q669))</f>
        <v/>
      </c>
    </row>
    <row r="671" spans="1:10" x14ac:dyDescent="0.35">
      <c r="A671" s="18" t="str">
        <f>IF('Lot Balance'!$A670="","",'Lot Balance'!$A670)</f>
        <v/>
      </c>
      <c r="B671" s="18" t="str">
        <f>IF($A671="","",'Lot Balance'!$B670)</f>
        <v/>
      </c>
      <c r="C671" s="18" t="str">
        <f>IF($A671="","",'Lot Balance'!$C670)</f>
        <v/>
      </c>
      <c r="D671" s="25" t="str">
        <f>IF($A671="","",'Lot Balance'!$G670)</f>
        <v/>
      </c>
      <c r="E671" s="25" t="str">
        <f>IF($A671="","",'Lot Balance'!$H670)</f>
        <v/>
      </c>
      <c r="F671" s="23" t="str">
        <f>IF($A671="","",'Lot Balance'!$I670)</f>
        <v/>
      </c>
      <c r="G671" s="23" t="str">
        <f>IF($A671="","",'Lot Balance'!$O670)</f>
        <v/>
      </c>
      <c r="H671" s="33" t="str">
        <f>IF($A671="","",'Lot Balance'!$P670)</f>
        <v/>
      </c>
      <c r="I671" s="26" t="str">
        <f>IF($A671="","",COUNTIFS(tblIssues[Lot Number],$B671))</f>
        <v/>
      </c>
      <c r="J671" s="31" t="str">
        <f>IF($A671="","",IF('Lot Balance'!$O670&lt;=0,"Depleted",'Lot Balance'!$Q670))</f>
        <v/>
      </c>
    </row>
    <row r="672" spans="1:10" x14ac:dyDescent="0.35">
      <c r="A672" s="18" t="str">
        <f>IF('Lot Balance'!$A671="","",'Lot Balance'!$A671)</f>
        <v/>
      </c>
      <c r="B672" s="18" t="str">
        <f>IF($A672="","",'Lot Balance'!$B671)</f>
        <v/>
      </c>
      <c r="C672" s="18" t="str">
        <f>IF($A672="","",'Lot Balance'!$C671)</f>
        <v/>
      </c>
      <c r="D672" s="25" t="str">
        <f>IF($A672="","",'Lot Balance'!$G671)</f>
        <v/>
      </c>
      <c r="E672" s="25" t="str">
        <f>IF($A672="","",'Lot Balance'!$H671)</f>
        <v/>
      </c>
      <c r="F672" s="23" t="str">
        <f>IF($A672="","",'Lot Balance'!$I671)</f>
        <v/>
      </c>
      <c r="G672" s="23" t="str">
        <f>IF($A672="","",'Lot Balance'!$O671)</f>
        <v/>
      </c>
      <c r="H672" s="33" t="str">
        <f>IF($A672="","",'Lot Balance'!$P671)</f>
        <v/>
      </c>
      <c r="I672" s="26" t="str">
        <f>IF($A672="","",COUNTIFS(tblIssues[Lot Number],$B672))</f>
        <v/>
      </c>
      <c r="J672" s="31" t="str">
        <f>IF($A672="","",IF('Lot Balance'!$O671&lt;=0,"Depleted",'Lot Balance'!$Q671))</f>
        <v/>
      </c>
    </row>
    <row r="673" spans="1:10" x14ac:dyDescent="0.35">
      <c r="A673" s="18" t="str">
        <f>IF('Lot Balance'!$A672="","",'Lot Balance'!$A672)</f>
        <v/>
      </c>
      <c r="B673" s="18" t="str">
        <f>IF($A673="","",'Lot Balance'!$B672)</f>
        <v/>
      </c>
      <c r="C673" s="18" t="str">
        <f>IF($A673="","",'Lot Balance'!$C672)</f>
        <v/>
      </c>
      <c r="D673" s="25" t="str">
        <f>IF($A673="","",'Lot Balance'!$G672)</f>
        <v/>
      </c>
      <c r="E673" s="25" t="str">
        <f>IF($A673="","",'Lot Balance'!$H672)</f>
        <v/>
      </c>
      <c r="F673" s="23" t="str">
        <f>IF($A673="","",'Lot Balance'!$I672)</f>
        <v/>
      </c>
      <c r="G673" s="23" t="str">
        <f>IF($A673="","",'Lot Balance'!$O672)</f>
        <v/>
      </c>
      <c r="H673" s="33" t="str">
        <f>IF($A673="","",'Lot Balance'!$P672)</f>
        <v/>
      </c>
      <c r="I673" s="26" t="str">
        <f>IF($A673="","",COUNTIFS(tblIssues[Lot Number],$B673))</f>
        <v/>
      </c>
      <c r="J673" s="31" t="str">
        <f>IF($A673="","",IF('Lot Balance'!$O672&lt;=0,"Depleted",'Lot Balance'!$Q672))</f>
        <v/>
      </c>
    </row>
    <row r="674" spans="1:10" x14ac:dyDescent="0.35">
      <c r="A674" s="18" t="str">
        <f>IF('Lot Balance'!$A673="","",'Lot Balance'!$A673)</f>
        <v/>
      </c>
      <c r="B674" s="18" t="str">
        <f>IF($A674="","",'Lot Balance'!$B673)</f>
        <v/>
      </c>
      <c r="C674" s="18" t="str">
        <f>IF($A674="","",'Lot Balance'!$C673)</f>
        <v/>
      </c>
      <c r="D674" s="25" t="str">
        <f>IF($A674="","",'Lot Balance'!$G673)</f>
        <v/>
      </c>
      <c r="E674" s="25" t="str">
        <f>IF($A674="","",'Lot Balance'!$H673)</f>
        <v/>
      </c>
      <c r="F674" s="23" t="str">
        <f>IF($A674="","",'Lot Balance'!$I673)</f>
        <v/>
      </c>
      <c r="G674" s="23" t="str">
        <f>IF($A674="","",'Lot Balance'!$O673)</f>
        <v/>
      </c>
      <c r="H674" s="33" t="str">
        <f>IF($A674="","",'Lot Balance'!$P673)</f>
        <v/>
      </c>
      <c r="I674" s="26" t="str">
        <f>IF($A674="","",COUNTIFS(tblIssues[Lot Number],$B674))</f>
        <v/>
      </c>
      <c r="J674" s="31" t="str">
        <f>IF($A674="","",IF('Lot Balance'!$O673&lt;=0,"Depleted",'Lot Balance'!$Q673))</f>
        <v/>
      </c>
    </row>
    <row r="675" spans="1:10" x14ac:dyDescent="0.35">
      <c r="A675" s="18" t="str">
        <f>IF('Lot Balance'!$A674="","",'Lot Balance'!$A674)</f>
        <v/>
      </c>
      <c r="B675" s="18" t="str">
        <f>IF($A675="","",'Lot Balance'!$B674)</f>
        <v/>
      </c>
      <c r="C675" s="18" t="str">
        <f>IF($A675="","",'Lot Balance'!$C674)</f>
        <v/>
      </c>
      <c r="D675" s="25" t="str">
        <f>IF($A675="","",'Lot Balance'!$G674)</f>
        <v/>
      </c>
      <c r="E675" s="25" t="str">
        <f>IF($A675="","",'Lot Balance'!$H674)</f>
        <v/>
      </c>
      <c r="F675" s="23" t="str">
        <f>IF($A675="","",'Lot Balance'!$I674)</f>
        <v/>
      </c>
      <c r="G675" s="23" t="str">
        <f>IF($A675="","",'Lot Balance'!$O674)</f>
        <v/>
      </c>
      <c r="H675" s="33" t="str">
        <f>IF($A675="","",'Lot Balance'!$P674)</f>
        <v/>
      </c>
      <c r="I675" s="26" t="str">
        <f>IF($A675="","",COUNTIFS(tblIssues[Lot Number],$B675))</f>
        <v/>
      </c>
      <c r="J675" s="31" t="str">
        <f>IF($A675="","",IF('Lot Balance'!$O674&lt;=0,"Depleted",'Lot Balance'!$Q674))</f>
        <v/>
      </c>
    </row>
    <row r="676" spans="1:10" x14ac:dyDescent="0.35">
      <c r="A676" s="18" t="str">
        <f>IF('Lot Balance'!$A675="","",'Lot Balance'!$A675)</f>
        <v/>
      </c>
      <c r="B676" s="18" t="str">
        <f>IF($A676="","",'Lot Balance'!$B675)</f>
        <v/>
      </c>
      <c r="C676" s="18" t="str">
        <f>IF($A676="","",'Lot Balance'!$C675)</f>
        <v/>
      </c>
      <c r="D676" s="25" t="str">
        <f>IF($A676="","",'Lot Balance'!$G675)</f>
        <v/>
      </c>
      <c r="E676" s="25" t="str">
        <f>IF($A676="","",'Lot Balance'!$H675)</f>
        <v/>
      </c>
      <c r="F676" s="23" t="str">
        <f>IF($A676="","",'Lot Balance'!$I675)</f>
        <v/>
      </c>
      <c r="G676" s="23" t="str">
        <f>IF($A676="","",'Lot Balance'!$O675)</f>
        <v/>
      </c>
      <c r="H676" s="33" t="str">
        <f>IF($A676="","",'Lot Balance'!$P675)</f>
        <v/>
      </c>
      <c r="I676" s="26" t="str">
        <f>IF($A676="","",COUNTIFS(tblIssues[Lot Number],$B676))</f>
        <v/>
      </c>
      <c r="J676" s="31" t="str">
        <f>IF($A676="","",IF('Lot Balance'!$O675&lt;=0,"Depleted",'Lot Balance'!$Q675))</f>
        <v/>
      </c>
    </row>
    <row r="677" spans="1:10" x14ac:dyDescent="0.35">
      <c r="A677" s="18" t="str">
        <f>IF('Lot Balance'!$A676="","",'Lot Balance'!$A676)</f>
        <v/>
      </c>
      <c r="B677" s="18" t="str">
        <f>IF($A677="","",'Lot Balance'!$B676)</f>
        <v/>
      </c>
      <c r="C677" s="18" t="str">
        <f>IF($A677="","",'Lot Balance'!$C676)</f>
        <v/>
      </c>
      <c r="D677" s="25" t="str">
        <f>IF($A677="","",'Lot Balance'!$G676)</f>
        <v/>
      </c>
      <c r="E677" s="25" t="str">
        <f>IF($A677="","",'Lot Balance'!$H676)</f>
        <v/>
      </c>
      <c r="F677" s="23" t="str">
        <f>IF($A677="","",'Lot Balance'!$I676)</f>
        <v/>
      </c>
      <c r="G677" s="23" t="str">
        <f>IF($A677="","",'Lot Balance'!$O676)</f>
        <v/>
      </c>
      <c r="H677" s="33" t="str">
        <f>IF($A677="","",'Lot Balance'!$P676)</f>
        <v/>
      </c>
      <c r="I677" s="26" t="str">
        <f>IF($A677="","",COUNTIFS(tblIssues[Lot Number],$B677))</f>
        <v/>
      </c>
      <c r="J677" s="31" t="str">
        <f>IF($A677="","",IF('Lot Balance'!$O676&lt;=0,"Depleted",'Lot Balance'!$Q676))</f>
        <v/>
      </c>
    </row>
    <row r="678" spans="1:10" x14ac:dyDescent="0.35">
      <c r="A678" s="18" t="str">
        <f>IF('Lot Balance'!$A677="","",'Lot Balance'!$A677)</f>
        <v/>
      </c>
      <c r="B678" s="18" t="str">
        <f>IF($A678="","",'Lot Balance'!$B677)</f>
        <v/>
      </c>
      <c r="C678" s="18" t="str">
        <f>IF($A678="","",'Lot Balance'!$C677)</f>
        <v/>
      </c>
      <c r="D678" s="25" t="str">
        <f>IF($A678="","",'Lot Balance'!$G677)</f>
        <v/>
      </c>
      <c r="E678" s="25" t="str">
        <f>IF($A678="","",'Lot Balance'!$H677)</f>
        <v/>
      </c>
      <c r="F678" s="23" t="str">
        <f>IF($A678="","",'Lot Balance'!$I677)</f>
        <v/>
      </c>
      <c r="G678" s="23" t="str">
        <f>IF($A678="","",'Lot Balance'!$O677)</f>
        <v/>
      </c>
      <c r="H678" s="33" t="str">
        <f>IF($A678="","",'Lot Balance'!$P677)</f>
        <v/>
      </c>
      <c r="I678" s="26" t="str">
        <f>IF($A678="","",COUNTIFS(tblIssues[Lot Number],$B678))</f>
        <v/>
      </c>
      <c r="J678" s="31" t="str">
        <f>IF($A678="","",IF('Lot Balance'!$O677&lt;=0,"Depleted",'Lot Balance'!$Q677))</f>
        <v/>
      </c>
    </row>
    <row r="679" spans="1:10" x14ac:dyDescent="0.35">
      <c r="A679" s="18" t="str">
        <f>IF('Lot Balance'!$A678="","",'Lot Balance'!$A678)</f>
        <v/>
      </c>
      <c r="B679" s="18" t="str">
        <f>IF($A679="","",'Lot Balance'!$B678)</f>
        <v/>
      </c>
      <c r="C679" s="18" t="str">
        <f>IF($A679="","",'Lot Balance'!$C678)</f>
        <v/>
      </c>
      <c r="D679" s="25" t="str">
        <f>IF($A679="","",'Lot Balance'!$G678)</f>
        <v/>
      </c>
      <c r="E679" s="25" t="str">
        <f>IF($A679="","",'Lot Balance'!$H678)</f>
        <v/>
      </c>
      <c r="F679" s="23" t="str">
        <f>IF($A679="","",'Lot Balance'!$I678)</f>
        <v/>
      </c>
      <c r="G679" s="23" t="str">
        <f>IF($A679="","",'Lot Balance'!$O678)</f>
        <v/>
      </c>
      <c r="H679" s="33" t="str">
        <f>IF($A679="","",'Lot Balance'!$P678)</f>
        <v/>
      </c>
      <c r="I679" s="26" t="str">
        <f>IF($A679="","",COUNTIFS(tblIssues[Lot Number],$B679))</f>
        <v/>
      </c>
      <c r="J679" s="31" t="str">
        <f>IF($A679="","",IF('Lot Balance'!$O678&lt;=0,"Depleted",'Lot Balance'!$Q678))</f>
        <v/>
      </c>
    </row>
    <row r="680" spans="1:10" x14ac:dyDescent="0.35">
      <c r="A680" s="18" t="str">
        <f>IF('Lot Balance'!$A679="","",'Lot Balance'!$A679)</f>
        <v/>
      </c>
      <c r="B680" s="18" t="str">
        <f>IF($A680="","",'Lot Balance'!$B679)</f>
        <v/>
      </c>
      <c r="C680" s="18" t="str">
        <f>IF($A680="","",'Lot Balance'!$C679)</f>
        <v/>
      </c>
      <c r="D680" s="25" t="str">
        <f>IF($A680="","",'Lot Balance'!$G679)</f>
        <v/>
      </c>
      <c r="E680" s="25" t="str">
        <f>IF($A680="","",'Lot Balance'!$H679)</f>
        <v/>
      </c>
      <c r="F680" s="23" t="str">
        <f>IF($A680="","",'Lot Balance'!$I679)</f>
        <v/>
      </c>
      <c r="G680" s="23" t="str">
        <f>IF($A680="","",'Lot Balance'!$O679)</f>
        <v/>
      </c>
      <c r="H680" s="33" t="str">
        <f>IF($A680="","",'Lot Balance'!$P679)</f>
        <v/>
      </c>
      <c r="I680" s="26" t="str">
        <f>IF($A680="","",COUNTIFS(tblIssues[Lot Number],$B680))</f>
        <v/>
      </c>
      <c r="J680" s="31" t="str">
        <f>IF($A680="","",IF('Lot Balance'!$O679&lt;=0,"Depleted",'Lot Balance'!$Q679))</f>
        <v/>
      </c>
    </row>
    <row r="681" spans="1:10" x14ac:dyDescent="0.35">
      <c r="A681" s="18" t="str">
        <f>IF('Lot Balance'!$A680="","",'Lot Balance'!$A680)</f>
        <v/>
      </c>
      <c r="B681" s="18" t="str">
        <f>IF($A681="","",'Lot Balance'!$B680)</f>
        <v/>
      </c>
      <c r="C681" s="18" t="str">
        <f>IF($A681="","",'Lot Balance'!$C680)</f>
        <v/>
      </c>
      <c r="D681" s="25" t="str">
        <f>IF($A681="","",'Lot Balance'!$G680)</f>
        <v/>
      </c>
      <c r="E681" s="25" t="str">
        <f>IF($A681="","",'Lot Balance'!$H680)</f>
        <v/>
      </c>
      <c r="F681" s="23" t="str">
        <f>IF($A681="","",'Lot Balance'!$I680)</f>
        <v/>
      </c>
      <c r="G681" s="23" t="str">
        <f>IF($A681="","",'Lot Balance'!$O680)</f>
        <v/>
      </c>
      <c r="H681" s="33" t="str">
        <f>IF($A681="","",'Lot Balance'!$P680)</f>
        <v/>
      </c>
      <c r="I681" s="26" t="str">
        <f>IF($A681="","",COUNTIFS(tblIssues[Lot Number],$B681))</f>
        <v/>
      </c>
      <c r="J681" s="31" t="str">
        <f>IF($A681="","",IF('Lot Balance'!$O680&lt;=0,"Depleted",'Lot Balance'!$Q680))</f>
        <v/>
      </c>
    </row>
    <row r="682" spans="1:10" x14ac:dyDescent="0.35">
      <c r="A682" s="18" t="str">
        <f>IF('Lot Balance'!$A681="","",'Lot Balance'!$A681)</f>
        <v/>
      </c>
      <c r="B682" s="18" t="str">
        <f>IF($A682="","",'Lot Balance'!$B681)</f>
        <v/>
      </c>
      <c r="C682" s="18" t="str">
        <f>IF($A682="","",'Lot Balance'!$C681)</f>
        <v/>
      </c>
      <c r="D682" s="25" t="str">
        <f>IF($A682="","",'Lot Balance'!$G681)</f>
        <v/>
      </c>
      <c r="E682" s="25" t="str">
        <f>IF($A682="","",'Lot Balance'!$H681)</f>
        <v/>
      </c>
      <c r="F682" s="23" t="str">
        <f>IF($A682="","",'Lot Balance'!$I681)</f>
        <v/>
      </c>
      <c r="G682" s="23" t="str">
        <f>IF($A682="","",'Lot Balance'!$O681)</f>
        <v/>
      </c>
      <c r="H682" s="33" t="str">
        <f>IF($A682="","",'Lot Balance'!$P681)</f>
        <v/>
      </c>
      <c r="I682" s="26" t="str">
        <f>IF($A682="","",COUNTIFS(tblIssues[Lot Number],$B682))</f>
        <v/>
      </c>
      <c r="J682" s="31" t="str">
        <f>IF($A682="","",IF('Lot Balance'!$O681&lt;=0,"Depleted",'Lot Balance'!$Q681))</f>
        <v/>
      </c>
    </row>
    <row r="683" spans="1:10" x14ac:dyDescent="0.35">
      <c r="A683" s="18" t="str">
        <f>IF('Lot Balance'!$A682="","",'Lot Balance'!$A682)</f>
        <v/>
      </c>
      <c r="B683" s="18" t="str">
        <f>IF($A683="","",'Lot Balance'!$B682)</f>
        <v/>
      </c>
      <c r="C683" s="18" t="str">
        <f>IF($A683="","",'Lot Balance'!$C682)</f>
        <v/>
      </c>
      <c r="D683" s="25" t="str">
        <f>IF($A683="","",'Lot Balance'!$G682)</f>
        <v/>
      </c>
      <c r="E683" s="25" t="str">
        <f>IF($A683="","",'Lot Balance'!$H682)</f>
        <v/>
      </c>
      <c r="F683" s="23" t="str">
        <f>IF($A683="","",'Lot Balance'!$I682)</f>
        <v/>
      </c>
      <c r="G683" s="23" t="str">
        <f>IF($A683="","",'Lot Balance'!$O682)</f>
        <v/>
      </c>
      <c r="H683" s="33" t="str">
        <f>IF($A683="","",'Lot Balance'!$P682)</f>
        <v/>
      </c>
      <c r="I683" s="26" t="str">
        <f>IF($A683="","",COUNTIFS(tblIssues[Lot Number],$B683))</f>
        <v/>
      </c>
      <c r="J683" s="31" t="str">
        <f>IF($A683="","",IF('Lot Balance'!$O682&lt;=0,"Depleted",'Lot Balance'!$Q682))</f>
        <v/>
      </c>
    </row>
    <row r="684" spans="1:10" x14ac:dyDescent="0.35">
      <c r="A684" s="18" t="str">
        <f>IF('Lot Balance'!$A683="","",'Lot Balance'!$A683)</f>
        <v/>
      </c>
      <c r="B684" s="18" t="str">
        <f>IF($A684="","",'Lot Balance'!$B683)</f>
        <v/>
      </c>
      <c r="C684" s="18" t="str">
        <f>IF($A684="","",'Lot Balance'!$C683)</f>
        <v/>
      </c>
      <c r="D684" s="25" t="str">
        <f>IF($A684="","",'Lot Balance'!$G683)</f>
        <v/>
      </c>
      <c r="E684" s="25" t="str">
        <f>IF($A684="","",'Lot Balance'!$H683)</f>
        <v/>
      </c>
      <c r="F684" s="23" t="str">
        <f>IF($A684="","",'Lot Balance'!$I683)</f>
        <v/>
      </c>
      <c r="G684" s="23" t="str">
        <f>IF($A684="","",'Lot Balance'!$O683)</f>
        <v/>
      </c>
      <c r="H684" s="33" t="str">
        <f>IF($A684="","",'Lot Balance'!$P683)</f>
        <v/>
      </c>
      <c r="I684" s="26" t="str">
        <f>IF($A684="","",COUNTIFS(tblIssues[Lot Number],$B684))</f>
        <v/>
      </c>
      <c r="J684" s="31" t="str">
        <f>IF($A684="","",IF('Lot Balance'!$O683&lt;=0,"Depleted",'Lot Balance'!$Q683))</f>
        <v/>
      </c>
    </row>
    <row r="685" spans="1:10" x14ac:dyDescent="0.35">
      <c r="A685" s="18" t="str">
        <f>IF('Lot Balance'!$A684="","",'Lot Balance'!$A684)</f>
        <v/>
      </c>
      <c r="B685" s="18" t="str">
        <f>IF($A685="","",'Lot Balance'!$B684)</f>
        <v/>
      </c>
      <c r="C685" s="18" t="str">
        <f>IF($A685="","",'Lot Balance'!$C684)</f>
        <v/>
      </c>
      <c r="D685" s="25" t="str">
        <f>IF($A685="","",'Lot Balance'!$G684)</f>
        <v/>
      </c>
      <c r="E685" s="25" t="str">
        <f>IF($A685="","",'Lot Balance'!$H684)</f>
        <v/>
      </c>
      <c r="F685" s="23" t="str">
        <f>IF($A685="","",'Lot Balance'!$I684)</f>
        <v/>
      </c>
      <c r="G685" s="23" t="str">
        <f>IF($A685="","",'Lot Balance'!$O684)</f>
        <v/>
      </c>
      <c r="H685" s="33" t="str">
        <f>IF($A685="","",'Lot Balance'!$P684)</f>
        <v/>
      </c>
      <c r="I685" s="26" t="str">
        <f>IF($A685="","",COUNTIFS(tblIssues[Lot Number],$B685))</f>
        <v/>
      </c>
      <c r="J685" s="31" t="str">
        <f>IF($A685="","",IF('Lot Balance'!$O684&lt;=0,"Depleted",'Lot Balance'!$Q684))</f>
        <v/>
      </c>
    </row>
    <row r="686" spans="1:10" x14ac:dyDescent="0.35">
      <c r="A686" s="18" t="str">
        <f>IF('Lot Balance'!$A685="","",'Lot Balance'!$A685)</f>
        <v/>
      </c>
      <c r="B686" s="18" t="str">
        <f>IF($A686="","",'Lot Balance'!$B685)</f>
        <v/>
      </c>
      <c r="C686" s="18" t="str">
        <f>IF($A686="","",'Lot Balance'!$C685)</f>
        <v/>
      </c>
      <c r="D686" s="25" t="str">
        <f>IF($A686="","",'Lot Balance'!$G685)</f>
        <v/>
      </c>
      <c r="E686" s="25" t="str">
        <f>IF($A686="","",'Lot Balance'!$H685)</f>
        <v/>
      </c>
      <c r="F686" s="23" t="str">
        <f>IF($A686="","",'Lot Balance'!$I685)</f>
        <v/>
      </c>
      <c r="G686" s="23" t="str">
        <f>IF($A686="","",'Lot Balance'!$O685)</f>
        <v/>
      </c>
      <c r="H686" s="33" t="str">
        <f>IF($A686="","",'Lot Balance'!$P685)</f>
        <v/>
      </c>
      <c r="I686" s="26" t="str">
        <f>IF($A686="","",COUNTIFS(tblIssues[Lot Number],$B686))</f>
        <v/>
      </c>
      <c r="J686" s="31" t="str">
        <f>IF($A686="","",IF('Lot Balance'!$O685&lt;=0,"Depleted",'Lot Balance'!$Q685))</f>
        <v/>
      </c>
    </row>
    <row r="687" spans="1:10" x14ac:dyDescent="0.35">
      <c r="A687" s="18" t="str">
        <f>IF('Lot Balance'!$A686="","",'Lot Balance'!$A686)</f>
        <v/>
      </c>
      <c r="B687" s="18" t="str">
        <f>IF($A687="","",'Lot Balance'!$B686)</f>
        <v/>
      </c>
      <c r="C687" s="18" t="str">
        <f>IF($A687="","",'Lot Balance'!$C686)</f>
        <v/>
      </c>
      <c r="D687" s="25" t="str">
        <f>IF($A687="","",'Lot Balance'!$G686)</f>
        <v/>
      </c>
      <c r="E687" s="25" t="str">
        <f>IF($A687="","",'Lot Balance'!$H686)</f>
        <v/>
      </c>
      <c r="F687" s="23" t="str">
        <f>IF($A687="","",'Lot Balance'!$I686)</f>
        <v/>
      </c>
      <c r="G687" s="23" t="str">
        <f>IF($A687="","",'Lot Balance'!$O686)</f>
        <v/>
      </c>
      <c r="H687" s="33" t="str">
        <f>IF($A687="","",'Lot Balance'!$P686)</f>
        <v/>
      </c>
      <c r="I687" s="26" t="str">
        <f>IF($A687="","",COUNTIFS(tblIssues[Lot Number],$B687))</f>
        <v/>
      </c>
      <c r="J687" s="31" t="str">
        <f>IF($A687="","",IF('Lot Balance'!$O686&lt;=0,"Depleted",'Lot Balance'!$Q686))</f>
        <v/>
      </c>
    </row>
    <row r="688" spans="1:10" x14ac:dyDescent="0.35">
      <c r="A688" s="18" t="str">
        <f>IF('Lot Balance'!$A687="","",'Lot Balance'!$A687)</f>
        <v/>
      </c>
      <c r="B688" s="18" t="str">
        <f>IF($A688="","",'Lot Balance'!$B687)</f>
        <v/>
      </c>
      <c r="C688" s="18" t="str">
        <f>IF($A688="","",'Lot Balance'!$C687)</f>
        <v/>
      </c>
      <c r="D688" s="25" t="str">
        <f>IF($A688="","",'Lot Balance'!$G687)</f>
        <v/>
      </c>
      <c r="E688" s="25" t="str">
        <f>IF($A688="","",'Lot Balance'!$H687)</f>
        <v/>
      </c>
      <c r="F688" s="23" t="str">
        <f>IF($A688="","",'Lot Balance'!$I687)</f>
        <v/>
      </c>
      <c r="G688" s="23" t="str">
        <f>IF($A688="","",'Lot Balance'!$O687)</f>
        <v/>
      </c>
      <c r="H688" s="33" t="str">
        <f>IF($A688="","",'Lot Balance'!$P687)</f>
        <v/>
      </c>
      <c r="I688" s="26" t="str">
        <f>IF($A688="","",COUNTIFS(tblIssues[Lot Number],$B688))</f>
        <v/>
      </c>
      <c r="J688" s="31" t="str">
        <f>IF($A688="","",IF('Lot Balance'!$O687&lt;=0,"Depleted",'Lot Balance'!$Q687))</f>
        <v/>
      </c>
    </row>
    <row r="689" spans="1:10" x14ac:dyDescent="0.35">
      <c r="A689" s="18" t="str">
        <f>IF('Lot Balance'!$A688="","",'Lot Balance'!$A688)</f>
        <v/>
      </c>
      <c r="B689" s="18" t="str">
        <f>IF($A689="","",'Lot Balance'!$B688)</f>
        <v/>
      </c>
      <c r="C689" s="18" t="str">
        <f>IF($A689="","",'Lot Balance'!$C688)</f>
        <v/>
      </c>
      <c r="D689" s="25" t="str">
        <f>IF($A689="","",'Lot Balance'!$G688)</f>
        <v/>
      </c>
      <c r="E689" s="25" t="str">
        <f>IF($A689="","",'Lot Balance'!$H688)</f>
        <v/>
      </c>
      <c r="F689" s="23" t="str">
        <f>IF($A689="","",'Lot Balance'!$I688)</f>
        <v/>
      </c>
      <c r="G689" s="23" t="str">
        <f>IF($A689="","",'Lot Balance'!$O688)</f>
        <v/>
      </c>
      <c r="H689" s="33" t="str">
        <f>IF($A689="","",'Lot Balance'!$P688)</f>
        <v/>
      </c>
      <c r="I689" s="26" t="str">
        <f>IF($A689="","",COUNTIFS(tblIssues[Lot Number],$B689))</f>
        <v/>
      </c>
      <c r="J689" s="31" t="str">
        <f>IF($A689="","",IF('Lot Balance'!$O688&lt;=0,"Depleted",'Lot Balance'!$Q688))</f>
        <v/>
      </c>
    </row>
    <row r="690" spans="1:10" x14ac:dyDescent="0.35">
      <c r="A690" s="18" t="str">
        <f>IF('Lot Balance'!$A689="","",'Lot Balance'!$A689)</f>
        <v/>
      </c>
      <c r="B690" s="18" t="str">
        <f>IF($A690="","",'Lot Balance'!$B689)</f>
        <v/>
      </c>
      <c r="C690" s="18" t="str">
        <f>IF($A690="","",'Lot Balance'!$C689)</f>
        <v/>
      </c>
      <c r="D690" s="25" t="str">
        <f>IF($A690="","",'Lot Balance'!$G689)</f>
        <v/>
      </c>
      <c r="E690" s="25" t="str">
        <f>IF($A690="","",'Lot Balance'!$H689)</f>
        <v/>
      </c>
      <c r="F690" s="23" t="str">
        <f>IF($A690="","",'Lot Balance'!$I689)</f>
        <v/>
      </c>
      <c r="G690" s="23" t="str">
        <f>IF($A690="","",'Lot Balance'!$O689)</f>
        <v/>
      </c>
      <c r="H690" s="33" t="str">
        <f>IF($A690="","",'Lot Balance'!$P689)</f>
        <v/>
      </c>
      <c r="I690" s="26" t="str">
        <f>IF($A690="","",COUNTIFS(tblIssues[Lot Number],$B690))</f>
        <v/>
      </c>
      <c r="J690" s="31" t="str">
        <f>IF($A690="","",IF('Lot Balance'!$O689&lt;=0,"Depleted",'Lot Balance'!$Q689))</f>
        <v/>
      </c>
    </row>
    <row r="691" spans="1:10" x14ac:dyDescent="0.35">
      <c r="A691" s="18" t="str">
        <f>IF('Lot Balance'!$A690="","",'Lot Balance'!$A690)</f>
        <v/>
      </c>
      <c r="B691" s="18" t="str">
        <f>IF($A691="","",'Lot Balance'!$B690)</f>
        <v/>
      </c>
      <c r="C691" s="18" t="str">
        <f>IF($A691="","",'Lot Balance'!$C690)</f>
        <v/>
      </c>
      <c r="D691" s="25" t="str">
        <f>IF($A691="","",'Lot Balance'!$G690)</f>
        <v/>
      </c>
      <c r="E691" s="25" t="str">
        <f>IF($A691="","",'Lot Balance'!$H690)</f>
        <v/>
      </c>
      <c r="F691" s="23" t="str">
        <f>IF($A691="","",'Lot Balance'!$I690)</f>
        <v/>
      </c>
      <c r="G691" s="23" t="str">
        <f>IF($A691="","",'Lot Balance'!$O690)</f>
        <v/>
      </c>
      <c r="H691" s="33" t="str">
        <f>IF($A691="","",'Lot Balance'!$P690)</f>
        <v/>
      </c>
      <c r="I691" s="26" t="str">
        <f>IF($A691="","",COUNTIFS(tblIssues[Lot Number],$B691))</f>
        <v/>
      </c>
      <c r="J691" s="31" t="str">
        <f>IF($A691="","",IF('Lot Balance'!$O690&lt;=0,"Depleted",'Lot Balance'!$Q690))</f>
        <v/>
      </c>
    </row>
    <row r="692" spans="1:10" x14ac:dyDescent="0.35">
      <c r="A692" s="18" t="str">
        <f>IF('Lot Balance'!$A691="","",'Lot Balance'!$A691)</f>
        <v/>
      </c>
      <c r="B692" s="18" t="str">
        <f>IF($A692="","",'Lot Balance'!$B691)</f>
        <v/>
      </c>
      <c r="C692" s="18" t="str">
        <f>IF($A692="","",'Lot Balance'!$C691)</f>
        <v/>
      </c>
      <c r="D692" s="25" t="str">
        <f>IF($A692="","",'Lot Balance'!$G691)</f>
        <v/>
      </c>
      <c r="E692" s="25" t="str">
        <f>IF($A692="","",'Lot Balance'!$H691)</f>
        <v/>
      </c>
      <c r="F692" s="23" t="str">
        <f>IF($A692="","",'Lot Balance'!$I691)</f>
        <v/>
      </c>
      <c r="G692" s="23" t="str">
        <f>IF($A692="","",'Lot Balance'!$O691)</f>
        <v/>
      </c>
      <c r="H692" s="33" t="str">
        <f>IF($A692="","",'Lot Balance'!$P691)</f>
        <v/>
      </c>
      <c r="I692" s="26" t="str">
        <f>IF($A692="","",COUNTIFS(tblIssues[Lot Number],$B692))</f>
        <v/>
      </c>
      <c r="J692" s="31" t="str">
        <f>IF($A692="","",IF('Lot Balance'!$O691&lt;=0,"Depleted",'Lot Balance'!$Q691))</f>
        <v/>
      </c>
    </row>
    <row r="693" spans="1:10" x14ac:dyDescent="0.35">
      <c r="A693" s="18" t="str">
        <f>IF('Lot Balance'!$A692="","",'Lot Balance'!$A692)</f>
        <v/>
      </c>
      <c r="B693" s="18" t="str">
        <f>IF($A693="","",'Lot Balance'!$B692)</f>
        <v/>
      </c>
      <c r="C693" s="18" t="str">
        <f>IF($A693="","",'Lot Balance'!$C692)</f>
        <v/>
      </c>
      <c r="D693" s="25" t="str">
        <f>IF($A693="","",'Lot Balance'!$G692)</f>
        <v/>
      </c>
      <c r="E693" s="25" t="str">
        <f>IF($A693="","",'Lot Balance'!$H692)</f>
        <v/>
      </c>
      <c r="F693" s="23" t="str">
        <f>IF($A693="","",'Lot Balance'!$I692)</f>
        <v/>
      </c>
      <c r="G693" s="23" t="str">
        <f>IF($A693="","",'Lot Balance'!$O692)</f>
        <v/>
      </c>
      <c r="H693" s="33" t="str">
        <f>IF($A693="","",'Lot Balance'!$P692)</f>
        <v/>
      </c>
      <c r="I693" s="26" t="str">
        <f>IF($A693="","",COUNTIFS(tblIssues[Lot Number],$B693))</f>
        <v/>
      </c>
      <c r="J693" s="31" t="str">
        <f>IF($A693="","",IF('Lot Balance'!$O692&lt;=0,"Depleted",'Lot Balance'!$Q692))</f>
        <v/>
      </c>
    </row>
    <row r="694" spans="1:10" x14ac:dyDescent="0.35">
      <c r="A694" s="18" t="str">
        <f>IF('Lot Balance'!$A693="","",'Lot Balance'!$A693)</f>
        <v/>
      </c>
      <c r="B694" s="18" t="str">
        <f>IF($A694="","",'Lot Balance'!$B693)</f>
        <v/>
      </c>
      <c r="C694" s="18" t="str">
        <f>IF($A694="","",'Lot Balance'!$C693)</f>
        <v/>
      </c>
      <c r="D694" s="25" t="str">
        <f>IF($A694="","",'Lot Balance'!$G693)</f>
        <v/>
      </c>
      <c r="E694" s="25" t="str">
        <f>IF($A694="","",'Lot Balance'!$H693)</f>
        <v/>
      </c>
      <c r="F694" s="23" t="str">
        <f>IF($A694="","",'Lot Balance'!$I693)</f>
        <v/>
      </c>
      <c r="G694" s="23" t="str">
        <f>IF($A694="","",'Lot Balance'!$O693)</f>
        <v/>
      </c>
      <c r="H694" s="33" t="str">
        <f>IF($A694="","",'Lot Balance'!$P693)</f>
        <v/>
      </c>
      <c r="I694" s="26" t="str">
        <f>IF($A694="","",COUNTIFS(tblIssues[Lot Number],$B694))</f>
        <v/>
      </c>
      <c r="J694" s="31" t="str">
        <f>IF($A694="","",IF('Lot Balance'!$O693&lt;=0,"Depleted",'Lot Balance'!$Q693))</f>
        <v/>
      </c>
    </row>
    <row r="695" spans="1:10" x14ac:dyDescent="0.35">
      <c r="A695" s="18" t="str">
        <f>IF('Lot Balance'!$A694="","",'Lot Balance'!$A694)</f>
        <v/>
      </c>
      <c r="B695" s="18" t="str">
        <f>IF($A695="","",'Lot Balance'!$B694)</f>
        <v/>
      </c>
      <c r="C695" s="18" t="str">
        <f>IF($A695="","",'Lot Balance'!$C694)</f>
        <v/>
      </c>
      <c r="D695" s="25" t="str">
        <f>IF($A695="","",'Lot Balance'!$G694)</f>
        <v/>
      </c>
      <c r="E695" s="25" t="str">
        <f>IF($A695="","",'Lot Balance'!$H694)</f>
        <v/>
      </c>
      <c r="F695" s="23" t="str">
        <f>IF($A695="","",'Lot Balance'!$I694)</f>
        <v/>
      </c>
      <c r="G695" s="23" t="str">
        <f>IF($A695="","",'Lot Balance'!$O694)</f>
        <v/>
      </c>
      <c r="H695" s="33" t="str">
        <f>IF($A695="","",'Lot Balance'!$P694)</f>
        <v/>
      </c>
      <c r="I695" s="26" t="str">
        <f>IF($A695="","",COUNTIFS(tblIssues[Lot Number],$B695))</f>
        <v/>
      </c>
      <c r="J695" s="31" t="str">
        <f>IF($A695="","",IF('Lot Balance'!$O694&lt;=0,"Depleted",'Lot Balance'!$Q694))</f>
        <v/>
      </c>
    </row>
    <row r="696" spans="1:10" x14ac:dyDescent="0.35">
      <c r="A696" s="18" t="str">
        <f>IF('Lot Balance'!$A695="","",'Lot Balance'!$A695)</f>
        <v/>
      </c>
      <c r="B696" s="18" t="str">
        <f>IF($A696="","",'Lot Balance'!$B695)</f>
        <v/>
      </c>
      <c r="C696" s="18" t="str">
        <f>IF($A696="","",'Lot Balance'!$C695)</f>
        <v/>
      </c>
      <c r="D696" s="25" t="str">
        <f>IF($A696="","",'Lot Balance'!$G695)</f>
        <v/>
      </c>
      <c r="E696" s="25" t="str">
        <f>IF($A696="","",'Lot Balance'!$H695)</f>
        <v/>
      </c>
      <c r="F696" s="23" t="str">
        <f>IF($A696="","",'Lot Balance'!$I695)</f>
        <v/>
      </c>
      <c r="G696" s="23" t="str">
        <f>IF($A696="","",'Lot Balance'!$O695)</f>
        <v/>
      </c>
      <c r="H696" s="33" t="str">
        <f>IF($A696="","",'Lot Balance'!$P695)</f>
        <v/>
      </c>
      <c r="I696" s="26" t="str">
        <f>IF($A696="","",COUNTIFS(tblIssues[Lot Number],$B696))</f>
        <v/>
      </c>
      <c r="J696" s="31" t="str">
        <f>IF($A696="","",IF('Lot Balance'!$O695&lt;=0,"Depleted",'Lot Balance'!$Q695))</f>
        <v/>
      </c>
    </row>
    <row r="697" spans="1:10" x14ac:dyDescent="0.35">
      <c r="A697" s="18" t="str">
        <f>IF('Lot Balance'!$A696="","",'Lot Balance'!$A696)</f>
        <v/>
      </c>
      <c r="B697" s="18" t="str">
        <f>IF($A697="","",'Lot Balance'!$B696)</f>
        <v/>
      </c>
      <c r="C697" s="18" t="str">
        <f>IF($A697="","",'Lot Balance'!$C696)</f>
        <v/>
      </c>
      <c r="D697" s="25" t="str">
        <f>IF($A697="","",'Lot Balance'!$G696)</f>
        <v/>
      </c>
      <c r="E697" s="25" t="str">
        <f>IF($A697="","",'Lot Balance'!$H696)</f>
        <v/>
      </c>
      <c r="F697" s="23" t="str">
        <f>IF($A697="","",'Lot Balance'!$I696)</f>
        <v/>
      </c>
      <c r="G697" s="23" t="str">
        <f>IF($A697="","",'Lot Balance'!$O696)</f>
        <v/>
      </c>
      <c r="H697" s="33" t="str">
        <f>IF($A697="","",'Lot Balance'!$P696)</f>
        <v/>
      </c>
      <c r="I697" s="26" t="str">
        <f>IF($A697="","",COUNTIFS(tblIssues[Lot Number],$B697))</f>
        <v/>
      </c>
      <c r="J697" s="31" t="str">
        <f>IF($A697="","",IF('Lot Balance'!$O696&lt;=0,"Depleted",'Lot Balance'!$Q696))</f>
        <v/>
      </c>
    </row>
    <row r="698" spans="1:10" x14ac:dyDescent="0.35">
      <c r="A698" s="18" t="str">
        <f>IF('Lot Balance'!$A697="","",'Lot Balance'!$A697)</f>
        <v/>
      </c>
      <c r="B698" s="18" t="str">
        <f>IF($A698="","",'Lot Balance'!$B697)</f>
        <v/>
      </c>
      <c r="C698" s="18" t="str">
        <f>IF($A698="","",'Lot Balance'!$C697)</f>
        <v/>
      </c>
      <c r="D698" s="25" t="str">
        <f>IF($A698="","",'Lot Balance'!$G697)</f>
        <v/>
      </c>
      <c r="E698" s="25" t="str">
        <f>IF($A698="","",'Lot Balance'!$H697)</f>
        <v/>
      </c>
      <c r="F698" s="23" t="str">
        <f>IF($A698="","",'Lot Balance'!$I697)</f>
        <v/>
      </c>
      <c r="G698" s="23" t="str">
        <f>IF($A698="","",'Lot Balance'!$O697)</f>
        <v/>
      </c>
      <c r="H698" s="33" t="str">
        <f>IF($A698="","",'Lot Balance'!$P697)</f>
        <v/>
      </c>
      <c r="I698" s="26" t="str">
        <f>IF($A698="","",COUNTIFS(tblIssues[Lot Number],$B698))</f>
        <v/>
      </c>
      <c r="J698" s="31" t="str">
        <f>IF($A698="","",IF('Lot Balance'!$O697&lt;=0,"Depleted",'Lot Balance'!$Q697))</f>
        <v/>
      </c>
    </row>
    <row r="699" spans="1:10" x14ac:dyDescent="0.35">
      <c r="A699" s="18" t="str">
        <f>IF('Lot Balance'!$A698="","",'Lot Balance'!$A698)</f>
        <v/>
      </c>
      <c r="B699" s="18" t="str">
        <f>IF($A699="","",'Lot Balance'!$B698)</f>
        <v/>
      </c>
      <c r="C699" s="18" t="str">
        <f>IF($A699="","",'Lot Balance'!$C698)</f>
        <v/>
      </c>
      <c r="D699" s="25" t="str">
        <f>IF($A699="","",'Lot Balance'!$G698)</f>
        <v/>
      </c>
      <c r="E699" s="25" t="str">
        <f>IF($A699="","",'Lot Balance'!$H698)</f>
        <v/>
      </c>
      <c r="F699" s="23" t="str">
        <f>IF($A699="","",'Lot Balance'!$I698)</f>
        <v/>
      </c>
      <c r="G699" s="23" t="str">
        <f>IF($A699="","",'Lot Balance'!$O698)</f>
        <v/>
      </c>
      <c r="H699" s="33" t="str">
        <f>IF($A699="","",'Lot Balance'!$P698)</f>
        <v/>
      </c>
      <c r="I699" s="26" t="str">
        <f>IF($A699="","",COUNTIFS(tblIssues[Lot Number],$B699))</f>
        <v/>
      </c>
      <c r="J699" s="31" t="str">
        <f>IF($A699="","",IF('Lot Balance'!$O698&lt;=0,"Depleted",'Lot Balance'!$Q698))</f>
        <v/>
      </c>
    </row>
    <row r="700" spans="1:10" x14ac:dyDescent="0.35">
      <c r="A700" s="18" t="str">
        <f>IF('Lot Balance'!$A699="","",'Lot Balance'!$A699)</f>
        <v/>
      </c>
      <c r="B700" s="18" t="str">
        <f>IF($A700="","",'Lot Balance'!$B699)</f>
        <v/>
      </c>
      <c r="C700" s="18" t="str">
        <f>IF($A700="","",'Lot Balance'!$C699)</f>
        <v/>
      </c>
      <c r="D700" s="25" t="str">
        <f>IF($A700="","",'Lot Balance'!$G699)</f>
        <v/>
      </c>
      <c r="E700" s="25" t="str">
        <f>IF($A700="","",'Lot Balance'!$H699)</f>
        <v/>
      </c>
      <c r="F700" s="23" t="str">
        <f>IF($A700="","",'Lot Balance'!$I699)</f>
        <v/>
      </c>
      <c r="G700" s="23" t="str">
        <f>IF($A700="","",'Lot Balance'!$O699)</f>
        <v/>
      </c>
      <c r="H700" s="33" t="str">
        <f>IF($A700="","",'Lot Balance'!$P699)</f>
        <v/>
      </c>
      <c r="I700" s="26" t="str">
        <f>IF($A700="","",COUNTIFS(tblIssues[Lot Number],$B700))</f>
        <v/>
      </c>
      <c r="J700" s="31" t="str">
        <f>IF($A700="","",IF('Lot Balance'!$O699&lt;=0,"Depleted",'Lot Balance'!$Q699))</f>
        <v/>
      </c>
    </row>
    <row r="701" spans="1:10" x14ac:dyDescent="0.35">
      <c r="A701" s="18" t="str">
        <f>IF('Lot Balance'!$A700="","",'Lot Balance'!$A700)</f>
        <v/>
      </c>
      <c r="B701" s="18" t="str">
        <f>IF($A701="","",'Lot Balance'!$B700)</f>
        <v/>
      </c>
      <c r="C701" s="18" t="str">
        <f>IF($A701="","",'Lot Balance'!$C700)</f>
        <v/>
      </c>
      <c r="D701" s="25" t="str">
        <f>IF($A701="","",'Lot Balance'!$G700)</f>
        <v/>
      </c>
      <c r="E701" s="25" t="str">
        <f>IF($A701="","",'Lot Balance'!$H700)</f>
        <v/>
      </c>
      <c r="F701" s="23" t="str">
        <f>IF($A701="","",'Lot Balance'!$I700)</f>
        <v/>
      </c>
      <c r="G701" s="23" t="str">
        <f>IF($A701="","",'Lot Balance'!$O700)</f>
        <v/>
      </c>
      <c r="H701" s="33" t="str">
        <f>IF($A701="","",'Lot Balance'!$P700)</f>
        <v/>
      </c>
      <c r="I701" s="26" t="str">
        <f>IF($A701="","",COUNTIFS(tblIssues[Lot Number],$B701))</f>
        <v/>
      </c>
      <c r="J701" s="31" t="str">
        <f>IF($A701="","",IF('Lot Balance'!$O700&lt;=0,"Depleted",'Lot Balance'!$Q700))</f>
        <v/>
      </c>
    </row>
    <row r="702" spans="1:10" x14ac:dyDescent="0.35">
      <c r="A702" s="18" t="str">
        <f>IF('Lot Balance'!$A701="","",'Lot Balance'!$A701)</f>
        <v/>
      </c>
      <c r="B702" s="18" t="str">
        <f>IF($A702="","",'Lot Balance'!$B701)</f>
        <v/>
      </c>
      <c r="C702" s="18" t="str">
        <f>IF($A702="","",'Lot Balance'!$C701)</f>
        <v/>
      </c>
      <c r="D702" s="25" t="str">
        <f>IF($A702="","",'Lot Balance'!$G701)</f>
        <v/>
      </c>
      <c r="E702" s="25" t="str">
        <f>IF($A702="","",'Lot Balance'!$H701)</f>
        <v/>
      </c>
      <c r="F702" s="23" t="str">
        <f>IF($A702="","",'Lot Balance'!$I701)</f>
        <v/>
      </c>
      <c r="G702" s="23" t="str">
        <f>IF($A702="","",'Lot Balance'!$O701)</f>
        <v/>
      </c>
      <c r="H702" s="33" t="str">
        <f>IF($A702="","",'Lot Balance'!$P701)</f>
        <v/>
      </c>
      <c r="I702" s="26" t="str">
        <f>IF($A702="","",COUNTIFS(tblIssues[Lot Number],$B702))</f>
        <v/>
      </c>
      <c r="J702" s="31" t="str">
        <f>IF($A702="","",IF('Lot Balance'!$O701&lt;=0,"Depleted",'Lot Balance'!$Q701))</f>
        <v/>
      </c>
    </row>
    <row r="703" spans="1:10" x14ac:dyDescent="0.35">
      <c r="A703" s="18" t="str">
        <f>IF('Lot Balance'!$A702="","",'Lot Balance'!$A702)</f>
        <v/>
      </c>
      <c r="B703" s="18" t="str">
        <f>IF($A703="","",'Lot Balance'!$B702)</f>
        <v/>
      </c>
      <c r="C703" s="18" t="str">
        <f>IF($A703="","",'Lot Balance'!$C702)</f>
        <v/>
      </c>
      <c r="D703" s="25" t="str">
        <f>IF($A703="","",'Lot Balance'!$G702)</f>
        <v/>
      </c>
      <c r="E703" s="25" t="str">
        <f>IF($A703="","",'Lot Balance'!$H702)</f>
        <v/>
      </c>
      <c r="F703" s="23" t="str">
        <f>IF($A703="","",'Lot Balance'!$I702)</f>
        <v/>
      </c>
      <c r="G703" s="23" t="str">
        <f>IF($A703="","",'Lot Balance'!$O702)</f>
        <v/>
      </c>
      <c r="H703" s="33" t="str">
        <f>IF($A703="","",'Lot Balance'!$P702)</f>
        <v/>
      </c>
      <c r="I703" s="26" t="str">
        <f>IF($A703="","",COUNTIFS(tblIssues[Lot Number],$B703))</f>
        <v/>
      </c>
      <c r="J703" s="31" t="str">
        <f>IF($A703="","",IF('Lot Balance'!$O702&lt;=0,"Depleted",'Lot Balance'!$Q702))</f>
        <v/>
      </c>
    </row>
    <row r="704" spans="1:10" x14ac:dyDescent="0.35">
      <c r="A704" s="18" t="str">
        <f>IF('Lot Balance'!$A703="","",'Lot Balance'!$A703)</f>
        <v/>
      </c>
      <c r="B704" s="18" t="str">
        <f>IF($A704="","",'Lot Balance'!$B703)</f>
        <v/>
      </c>
      <c r="C704" s="18" t="str">
        <f>IF($A704="","",'Lot Balance'!$C703)</f>
        <v/>
      </c>
      <c r="D704" s="25" t="str">
        <f>IF($A704="","",'Lot Balance'!$G703)</f>
        <v/>
      </c>
      <c r="E704" s="25" t="str">
        <f>IF($A704="","",'Lot Balance'!$H703)</f>
        <v/>
      </c>
      <c r="F704" s="23" t="str">
        <f>IF($A704="","",'Lot Balance'!$I703)</f>
        <v/>
      </c>
      <c r="G704" s="23" t="str">
        <f>IF($A704="","",'Lot Balance'!$O703)</f>
        <v/>
      </c>
      <c r="H704" s="33" t="str">
        <f>IF($A704="","",'Lot Balance'!$P703)</f>
        <v/>
      </c>
      <c r="I704" s="26" t="str">
        <f>IF($A704="","",COUNTIFS(tblIssues[Lot Number],$B704))</f>
        <v/>
      </c>
      <c r="J704" s="31" t="str">
        <f>IF($A704="","",IF('Lot Balance'!$O703&lt;=0,"Depleted",'Lot Balance'!$Q703))</f>
        <v/>
      </c>
    </row>
    <row r="705" spans="1:10" x14ac:dyDescent="0.35">
      <c r="A705" s="18" t="str">
        <f>IF('Lot Balance'!$A704="","",'Lot Balance'!$A704)</f>
        <v/>
      </c>
      <c r="B705" s="18" t="str">
        <f>IF($A705="","",'Lot Balance'!$B704)</f>
        <v/>
      </c>
      <c r="C705" s="18" t="str">
        <f>IF($A705="","",'Lot Balance'!$C704)</f>
        <v/>
      </c>
      <c r="D705" s="25" t="str">
        <f>IF($A705="","",'Lot Balance'!$G704)</f>
        <v/>
      </c>
      <c r="E705" s="25" t="str">
        <f>IF($A705="","",'Lot Balance'!$H704)</f>
        <v/>
      </c>
      <c r="F705" s="23" t="str">
        <f>IF($A705="","",'Lot Balance'!$I704)</f>
        <v/>
      </c>
      <c r="G705" s="23" t="str">
        <f>IF($A705="","",'Lot Balance'!$O704)</f>
        <v/>
      </c>
      <c r="H705" s="33" t="str">
        <f>IF($A705="","",'Lot Balance'!$P704)</f>
        <v/>
      </c>
      <c r="I705" s="26" t="str">
        <f>IF($A705="","",COUNTIFS(tblIssues[Lot Number],$B705))</f>
        <v/>
      </c>
      <c r="J705" s="31" t="str">
        <f>IF($A705="","",IF('Lot Balance'!$O704&lt;=0,"Depleted",'Lot Balance'!$Q704))</f>
        <v/>
      </c>
    </row>
    <row r="706" spans="1:10" x14ac:dyDescent="0.35">
      <c r="A706" s="18" t="str">
        <f>IF('Lot Balance'!$A705="","",'Lot Balance'!$A705)</f>
        <v/>
      </c>
      <c r="B706" s="18" t="str">
        <f>IF($A706="","",'Lot Balance'!$B705)</f>
        <v/>
      </c>
      <c r="C706" s="18" t="str">
        <f>IF($A706="","",'Lot Balance'!$C705)</f>
        <v/>
      </c>
      <c r="D706" s="25" t="str">
        <f>IF($A706="","",'Lot Balance'!$G705)</f>
        <v/>
      </c>
      <c r="E706" s="25" t="str">
        <f>IF($A706="","",'Lot Balance'!$H705)</f>
        <v/>
      </c>
      <c r="F706" s="23" t="str">
        <f>IF($A706="","",'Lot Balance'!$I705)</f>
        <v/>
      </c>
      <c r="G706" s="23" t="str">
        <f>IF($A706="","",'Lot Balance'!$O705)</f>
        <v/>
      </c>
      <c r="H706" s="33" t="str">
        <f>IF($A706="","",'Lot Balance'!$P705)</f>
        <v/>
      </c>
      <c r="I706" s="26" t="str">
        <f>IF($A706="","",COUNTIFS(tblIssues[Lot Number],$B706))</f>
        <v/>
      </c>
      <c r="J706" s="31" t="str">
        <f>IF($A706="","",IF('Lot Balance'!$O705&lt;=0,"Depleted",'Lot Balance'!$Q705))</f>
        <v/>
      </c>
    </row>
    <row r="707" spans="1:10" x14ac:dyDescent="0.35">
      <c r="A707" s="18" t="str">
        <f>IF('Lot Balance'!$A706="","",'Lot Balance'!$A706)</f>
        <v/>
      </c>
      <c r="B707" s="18" t="str">
        <f>IF($A707="","",'Lot Balance'!$B706)</f>
        <v/>
      </c>
      <c r="C707" s="18" t="str">
        <f>IF($A707="","",'Lot Balance'!$C706)</f>
        <v/>
      </c>
      <c r="D707" s="25" t="str">
        <f>IF($A707="","",'Lot Balance'!$G706)</f>
        <v/>
      </c>
      <c r="E707" s="25" t="str">
        <f>IF($A707="","",'Lot Balance'!$H706)</f>
        <v/>
      </c>
      <c r="F707" s="23" t="str">
        <f>IF($A707="","",'Lot Balance'!$I706)</f>
        <v/>
      </c>
      <c r="G707" s="23" t="str">
        <f>IF($A707="","",'Lot Balance'!$O706)</f>
        <v/>
      </c>
      <c r="H707" s="33" t="str">
        <f>IF($A707="","",'Lot Balance'!$P706)</f>
        <v/>
      </c>
      <c r="I707" s="26" t="str">
        <f>IF($A707="","",COUNTIFS(tblIssues[Lot Number],$B707))</f>
        <v/>
      </c>
      <c r="J707" s="31" t="str">
        <f>IF($A707="","",IF('Lot Balance'!$O706&lt;=0,"Depleted",'Lot Balance'!$Q706))</f>
        <v/>
      </c>
    </row>
    <row r="708" spans="1:10" x14ac:dyDescent="0.35">
      <c r="A708" s="18" t="str">
        <f>IF('Lot Balance'!$A707="","",'Lot Balance'!$A707)</f>
        <v/>
      </c>
      <c r="B708" s="18" t="str">
        <f>IF($A708="","",'Lot Balance'!$B707)</f>
        <v/>
      </c>
      <c r="C708" s="18" t="str">
        <f>IF($A708="","",'Lot Balance'!$C707)</f>
        <v/>
      </c>
      <c r="D708" s="25" t="str">
        <f>IF($A708="","",'Lot Balance'!$G707)</f>
        <v/>
      </c>
      <c r="E708" s="25" t="str">
        <f>IF($A708="","",'Lot Balance'!$H707)</f>
        <v/>
      </c>
      <c r="F708" s="23" t="str">
        <f>IF($A708="","",'Lot Balance'!$I707)</f>
        <v/>
      </c>
      <c r="G708" s="23" t="str">
        <f>IF($A708="","",'Lot Balance'!$O707)</f>
        <v/>
      </c>
      <c r="H708" s="33" t="str">
        <f>IF($A708="","",'Lot Balance'!$P707)</f>
        <v/>
      </c>
      <c r="I708" s="26" t="str">
        <f>IF($A708="","",COUNTIFS(tblIssues[Lot Number],$B708))</f>
        <v/>
      </c>
      <c r="J708" s="31" t="str">
        <f>IF($A708="","",IF('Lot Balance'!$O707&lt;=0,"Depleted",'Lot Balance'!$Q707))</f>
        <v/>
      </c>
    </row>
    <row r="709" spans="1:10" x14ac:dyDescent="0.35">
      <c r="A709" s="18" t="str">
        <f>IF('Lot Balance'!$A708="","",'Lot Balance'!$A708)</f>
        <v/>
      </c>
      <c r="B709" s="18" t="str">
        <f>IF($A709="","",'Lot Balance'!$B708)</f>
        <v/>
      </c>
      <c r="C709" s="18" t="str">
        <f>IF($A709="","",'Lot Balance'!$C708)</f>
        <v/>
      </c>
      <c r="D709" s="25" t="str">
        <f>IF($A709="","",'Lot Balance'!$G708)</f>
        <v/>
      </c>
      <c r="E709" s="25" t="str">
        <f>IF($A709="","",'Lot Balance'!$H708)</f>
        <v/>
      </c>
      <c r="F709" s="23" t="str">
        <f>IF($A709="","",'Lot Balance'!$I708)</f>
        <v/>
      </c>
      <c r="G709" s="23" t="str">
        <f>IF($A709="","",'Lot Balance'!$O708)</f>
        <v/>
      </c>
      <c r="H709" s="33" t="str">
        <f>IF($A709="","",'Lot Balance'!$P708)</f>
        <v/>
      </c>
      <c r="I709" s="26" t="str">
        <f>IF($A709="","",COUNTIFS(tblIssues[Lot Number],$B709))</f>
        <v/>
      </c>
      <c r="J709" s="31" t="str">
        <f>IF($A709="","",IF('Lot Balance'!$O708&lt;=0,"Depleted",'Lot Balance'!$Q708))</f>
        <v/>
      </c>
    </row>
    <row r="710" spans="1:10" x14ac:dyDescent="0.35">
      <c r="A710" s="18" t="str">
        <f>IF('Lot Balance'!$A709="","",'Lot Balance'!$A709)</f>
        <v/>
      </c>
      <c r="B710" s="18" t="str">
        <f>IF($A710="","",'Lot Balance'!$B709)</f>
        <v/>
      </c>
      <c r="C710" s="18" t="str">
        <f>IF($A710="","",'Lot Balance'!$C709)</f>
        <v/>
      </c>
      <c r="D710" s="25" t="str">
        <f>IF($A710="","",'Lot Balance'!$G709)</f>
        <v/>
      </c>
      <c r="E710" s="25" t="str">
        <f>IF($A710="","",'Lot Balance'!$H709)</f>
        <v/>
      </c>
      <c r="F710" s="23" t="str">
        <f>IF($A710="","",'Lot Balance'!$I709)</f>
        <v/>
      </c>
      <c r="G710" s="23" t="str">
        <f>IF($A710="","",'Lot Balance'!$O709)</f>
        <v/>
      </c>
      <c r="H710" s="33" t="str">
        <f>IF($A710="","",'Lot Balance'!$P709)</f>
        <v/>
      </c>
      <c r="I710" s="26" t="str">
        <f>IF($A710="","",COUNTIFS(tblIssues[Lot Number],$B710))</f>
        <v/>
      </c>
      <c r="J710" s="31" t="str">
        <f>IF($A710="","",IF('Lot Balance'!$O709&lt;=0,"Depleted",'Lot Balance'!$Q709))</f>
        <v/>
      </c>
    </row>
    <row r="711" spans="1:10" x14ac:dyDescent="0.35">
      <c r="A711" s="18" t="str">
        <f>IF('Lot Balance'!$A710="","",'Lot Balance'!$A710)</f>
        <v/>
      </c>
      <c r="B711" s="18" t="str">
        <f>IF($A711="","",'Lot Balance'!$B710)</f>
        <v/>
      </c>
      <c r="C711" s="18" t="str">
        <f>IF($A711="","",'Lot Balance'!$C710)</f>
        <v/>
      </c>
      <c r="D711" s="25" t="str">
        <f>IF($A711="","",'Lot Balance'!$G710)</f>
        <v/>
      </c>
      <c r="E711" s="25" t="str">
        <f>IF($A711="","",'Lot Balance'!$H710)</f>
        <v/>
      </c>
      <c r="F711" s="23" t="str">
        <f>IF($A711="","",'Lot Balance'!$I710)</f>
        <v/>
      </c>
      <c r="G711" s="23" t="str">
        <f>IF($A711="","",'Lot Balance'!$O710)</f>
        <v/>
      </c>
      <c r="H711" s="33" t="str">
        <f>IF($A711="","",'Lot Balance'!$P710)</f>
        <v/>
      </c>
      <c r="I711" s="26" t="str">
        <f>IF($A711="","",COUNTIFS(tblIssues[Lot Number],$B711))</f>
        <v/>
      </c>
      <c r="J711" s="31" t="str">
        <f>IF($A711="","",IF('Lot Balance'!$O710&lt;=0,"Depleted",'Lot Balance'!$Q710))</f>
        <v/>
      </c>
    </row>
    <row r="712" spans="1:10" x14ac:dyDescent="0.35">
      <c r="A712" s="18" t="str">
        <f>IF('Lot Balance'!$A711="","",'Lot Balance'!$A711)</f>
        <v/>
      </c>
      <c r="B712" s="18" t="str">
        <f>IF($A712="","",'Lot Balance'!$B711)</f>
        <v/>
      </c>
      <c r="C712" s="18" t="str">
        <f>IF($A712="","",'Lot Balance'!$C711)</f>
        <v/>
      </c>
      <c r="D712" s="25" t="str">
        <f>IF($A712="","",'Lot Balance'!$G711)</f>
        <v/>
      </c>
      <c r="E712" s="25" t="str">
        <f>IF($A712="","",'Lot Balance'!$H711)</f>
        <v/>
      </c>
      <c r="F712" s="23" t="str">
        <f>IF($A712="","",'Lot Balance'!$I711)</f>
        <v/>
      </c>
      <c r="G712" s="23" t="str">
        <f>IF($A712="","",'Lot Balance'!$O711)</f>
        <v/>
      </c>
      <c r="H712" s="33" t="str">
        <f>IF($A712="","",'Lot Balance'!$P711)</f>
        <v/>
      </c>
      <c r="I712" s="26" t="str">
        <f>IF($A712="","",COUNTIFS(tblIssues[Lot Number],$B712))</f>
        <v/>
      </c>
      <c r="J712" s="31" t="str">
        <f>IF($A712="","",IF('Lot Balance'!$O711&lt;=0,"Depleted",'Lot Balance'!$Q711))</f>
        <v/>
      </c>
    </row>
    <row r="713" spans="1:10" x14ac:dyDescent="0.35">
      <c r="A713" s="18" t="str">
        <f>IF('Lot Balance'!$A712="","",'Lot Balance'!$A712)</f>
        <v/>
      </c>
      <c r="B713" s="18" t="str">
        <f>IF($A713="","",'Lot Balance'!$B712)</f>
        <v/>
      </c>
      <c r="C713" s="18" t="str">
        <f>IF($A713="","",'Lot Balance'!$C712)</f>
        <v/>
      </c>
      <c r="D713" s="25" t="str">
        <f>IF($A713="","",'Lot Balance'!$G712)</f>
        <v/>
      </c>
      <c r="E713" s="25" t="str">
        <f>IF($A713="","",'Lot Balance'!$H712)</f>
        <v/>
      </c>
      <c r="F713" s="23" t="str">
        <f>IF($A713="","",'Lot Balance'!$I712)</f>
        <v/>
      </c>
      <c r="G713" s="23" t="str">
        <f>IF($A713="","",'Lot Balance'!$O712)</f>
        <v/>
      </c>
      <c r="H713" s="33" t="str">
        <f>IF($A713="","",'Lot Balance'!$P712)</f>
        <v/>
      </c>
      <c r="I713" s="26" t="str">
        <f>IF($A713="","",COUNTIFS(tblIssues[Lot Number],$B713))</f>
        <v/>
      </c>
      <c r="J713" s="31" t="str">
        <f>IF($A713="","",IF('Lot Balance'!$O712&lt;=0,"Depleted",'Lot Balance'!$Q712))</f>
        <v/>
      </c>
    </row>
    <row r="714" spans="1:10" x14ac:dyDescent="0.35">
      <c r="A714" s="18" t="str">
        <f>IF('Lot Balance'!$A713="","",'Lot Balance'!$A713)</f>
        <v/>
      </c>
      <c r="B714" s="18" t="str">
        <f>IF($A714="","",'Lot Balance'!$B713)</f>
        <v/>
      </c>
      <c r="C714" s="18" t="str">
        <f>IF($A714="","",'Lot Balance'!$C713)</f>
        <v/>
      </c>
      <c r="D714" s="25" t="str">
        <f>IF($A714="","",'Lot Balance'!$G713)</f>
        <v/>
      </c>
      <c r="E714" s="25" t="str">
        <f>IF($A714="","",'Lot Balance'!$H713)</f>
        <v/>
      </c>
      <c r="F714" s="23" t="str">
        <f>IF($A714="","",'Lot Balance'!$I713)</f>
        <v/>
      </c>
      <c r="G714" s="23" t="str">
        <f>IF($A714="","",'Lot Balance'!$O713)</f>
        <v/>
      </c>
      <c r="H714" s="33" t="str">
        <f>IF($A714="","",'Lot Balance'!$P713)</f>
        <v/>
      </c>
      <c r="I714" s="26" t="str">
        <f>IF($A714="","",COUNTIFS(tblIssues[Lot Number],$B714))</f>
        <v/>
      </c>
      <c r="J714" s="31" t="str">
        <f>IF($A714="","",IF('Lot Balance'!$O713&lt;=0,"Depleted",'Lot Balance'!$Q713))</f>
        <v/>
      </c>
    </row>
    <row r="715" spans="1:10" x14ac:dyDescent="0.35">
      <c r="A715" s="18" t="str">
        <f>IF('Lot Balance'!$A714="","",'Lot Balance'!$A714)</f>
        <v/>
      </c>
      <c r="B715" s="18" t="str">
        <f>IF($A715="","",'Lot Balance'!$B714)</f>
        <v/>
      </c>
      <c r="C715" s="18" t="str">
        <f>IF($A715="","",'Lot Balance'!$C714)</f>
        <v/>
      </c>
      <c r="D715" s="25" t="str">
        <f>IF($A715="","",'Lot Balance'!$G714)</f>
        <v/>
      </c>
      <c r="E715" s="25" t="str">
        <f>IF($A715="","",'Lot Balance'!$H714)</f>
        <v/>
      </c>
      <c r="F715" s="23" t="str">
        <f>IF($A715="","",'Lot Balance'!$I714)</f>
        <v/>
      </c>
      <c r="G715" s="23" t="str">
        <f>IF($A715="","",'Lot Balance'!$O714)</f>
        <v/>
      </c>
      <c r="H715" s="33" t="str">
        <f>IF($A715="","",'Lot Balance'!$P714)</f>
        <v/>
      </c>
      <c r="I715" s="26" t="str">
        <f>IF($A715="","",COUNTIFS(tblIssues[Lot Number],$B715))</f>
        <v/>
      </c>
      <c r="J715" s="31" t="str">
        <f>IF($A715="","",IF('Lot Balance'!$O714&lt;=0,"Depleted",'Lot Balance'!$Q714))</f>
        <v/>
      </c>
    </row>
    <row r="716" spans="1:10" x14ac:dyDescent="0.35">
      <c r="A716" s="18" t="str">
        <f>IF('Lot Balance'!$A715="","",'Lot Balance'!$A715)</f>
        <v/>
      </c>
      <c r="B716" s="18" t="str">
        <f>IF($A716="","",'Lot Balance'!$B715)</f>
        <v/>
      </c>
      <c r="C716" s="18" t="str">
        <f>IF($A716="","",'Lot Balance'!$C715)</f>
        <v/>
      </c>
      <c r="D716" s="25" t="str">
        <f>IF($A716="","",'Lot Balance'!$G715)</f>
        <v/>
      </c>
      <c r="E716" s="25" t="str">
        <f>IF($A716="","",'Lot Balance'!$H715)</f>
        <v/>
      </c>
      <c r="F716" s="23" t="str">
        <f>IF($A716="","",'Lot Balance'!$I715)</f>
        <v/>
      </c>
      <c r="G716" s="23" t="str">
        <f>IF($A716="","",'Lot Balance'!$O715)</f>
        <v/>
      </c>
      <c r="H716" s="33" t="str">
        <f>IF($A716="","",'Lot Balance'!$P715)</f>
        <v/>
      </c>
      <c r="I716" s="26" t="str">
        <f>IF($A716="","",COUNTIFS(tblIssues[Lot Number],$B716))</f>
        <v/>
      </c>
      <c r="J716" s="31" t="str">
        <f>IF($A716="","",IF('Lot Balance'!$O715&lt;=0,"Depleted",'Lot Balance'!$Q715))</f>
        <v/>
      </c>
    </row>
    <row r="717" spans="1:10" x14ac:dyDescent="0.35">
      <c r="A717" s="18" t="str">
        <f>IF('Lot Balance'!$A716="","",'Lot Balance'!$A716)</f>
        <v/>
      </c>
      <c r="B717" s="18" t="str">
        <f>IF($A717="","",'Lot Balance'!$B716)</f>
        <v/>
      </c>
      <c r="C717" s="18" t="str">
        <f>IF($A717="","",'Lot Balance'!$C716)</f>
        <v/>
      </c>
      <c r="D717" s="25" t="str">
        <f>IF($A717="","",'Lot Balance'!$G716)</f>
        <v/>
      </c>
      <c r="E717" s="25" t="str">
        <f>IF($A717="","",'Lot Balance'!$H716)</f>
        <v/>
      </c>
      <c r="F717" s="23" t="str">
        <f>IF($A717="","",'Lot Balance'!$I716)</f>
        <v/>
      </c>
      <c r="G717" s="23" t="str">
        <f>IF($A717="","",'Lot Balance'!$O716)</f>
        <v/>
      </c>
      <c r="H717" s="33" t="str">
        <f>IF($A717="","",'Lot Balance'!$P716)</f>
        <v/>
      </c>
      <c r="I717" s="26" t="str">
        <f>IF($A717="","",COUNTIFS(tblIssues[Lot Number],$B717))</f>
        <v/>
      </c>
      <c r="J717" s="31" t="str">
        <f>IF($A717="","",IF('Lot Balance'!$O716&lt;=0,"Depleted",'Lot Balance'!$Q716))</f>
        <v/>
      </c>
    </row>
    <row r="718" spans="1:10" x14ac:dyDescent="0.35">
      <c r="A718" s="18" t="str">
        <f>IF('Lot Balance'!$A717="","",'Lot Balance'!$A717)</f>
        <v/>
      </c>
      <c r="B718" s="18" t="str">
        <f>IF($A718="","",'Lot Balance'!$B717)</f>
        <v/>
      </c>
      <c r="C718" s="18" t="str">
        <f>IF($A718="","",'Lot Balance'!$C717)</f>
        <v/>
      </c>
      <c r="D718" s="25" t="str">
        <f>IF($A718="","",'Lot Balance'!$G717)</f>
        <v/>
      </c>
      <c r="E718" s="25" t="str">
        <f>IF($A718="","",'Lot Balance'!$H717)</f>
        <v/>
      </c>
      <c r="F718" s="23" t="str">
        <f>IF($A718="","",'Lot Balance'!$I717)</f>
        <v/>
      </c>
      <c r="G718" s="23" t="str">
        <f>IF($A718="","",'Lot Balance'!$O717)</f>
        <v/>
      </c>
      <c r="H718" s="33" t="str">
        <f>IF($A718="","",'Lot Balance'!$P717)</f>
        <v/>
      </c>
      <c r="I718" s="26" t="str">
        <f>IF($A718="","",COUNTIFS(tblIssues[Lot Number],$B718))</f>
        <v/>
      </c>
      <c r="J718" s="31" t="str">
        <f>IF($A718="","",IF('Lot Balance'!$O717&lt;=0,"Depleted",'Lot Balance'!$Q717))</f>
        <v/>
      </c>
    </row>
    <row r="719" spans="1:10" x14ac:dyDescent="0.35">
      <c r="A719" s="18" t="str">
        <f>IF('Lot Balance'!$A718="","",'Lot Balance'!$A718)</f>
        <v/>
      </c>
      <c r="B719" s="18" t="str">
        <f>IF($A719="","",'Lot Balance'!$B718)</f>
        <v/>
      </c>
      <c r="C719" s="18" t="str">
        <f>IF($A719="","",'Lot Balance'!$C718)</f>
        <v/>
      </c>
      <c r="D719" s="25" t="str">
        <f>IF($A719="","",'Lot Balance'!$G718)</f>
        <v/>
      </c>
      <c r="E719" s="25" t="str">
        <f>IF($A719="","",'Lot Balance'!$H718)</f>
        <v/>
      </c>
      <c r="F719" s="23" t="str">
        <f>IF($A719="","",'Lot Balance'!$I718)</f>
        <v/>
      </c>
      <c r="G719" s="23" t="str">
        <f>IF($A719="","",'Lot Balance'!$O718)</f>
        <v/>
      </c>
      <c r="H719" s="33" t="str">
        <f>IF($A719="","",'Lot Balance'!$P718)</f>
        <v/>
      </c>
      <c r="I719" s="26" t="str">
        <f>IF($A719="","",COUNTIFS(tblIssues[Lot Number],$B719))</f>
        <v/>
      </c>
      <c r="J719" s="31" t="str">
        <f>IF($A719="","",IF('Lot Balance'!$O718&lt;=0,"Depleted",'Lot Balance'!$Q718))</f>
        <v/>
      </c>
    </row>
    <row r="720" spans="1:10" x14ac:dyDescent="0.35">
      <c r="A720" s="18" t="str">
        <f>IF('Lot Balance'!$A719="","",'Lot Balance'!$A719)</f>
        <v/>
      </c>
      <c r="B720" s="18" t="str">
        <f>IF($A720="","",'Lot Balance'!$B719)</f>
        <v/>
      </c>
      <c r="C720" s="18" t="str">
        <f>IF($A720="","",'Lot Balance'!$C719)</f>
        <v/>
      </c>
      <c r="D720" s="25" t="str">
        <f>IF($A720="","",'Lot Balance'!$G719)</f>
        <v/>
      </c>
      <c r="E720" s="25" t="str">
        <f>IF($A720="","",'Lot Balance'!$H719)</f>
        <v/>
      </c>
      <c r="F720" s="23" t="str">
        <f>IF($A720="","",'Lot Balance'!$I719)</f>
        <v/>
      </c>
      <c r="G720" s="23" t="str">
        <f>IF($A720="","",'Lot Balance'!$O719)</f>
        <v/>
      </c>
      <c r="H720" s="33" t="str">
        <f>IF($A720="","",'Lot Balance'!$P719)</f>
        <v/>
      </c>
      <c r="I720" s="26" t="str">
        <f>IF($A720="","",COUNTIFS(tblIssues[Lot Number],$B720))</f>
        <v/>
      </c>
      <c r="J720" s="31" t="str">
        <f>IF($A720="","",IF('Lot Balance'!$O719&lt;=0,"Depleted",'Lot Balance'!$Q719))</f>
        <v/>
      </c>
    </row>
    <row r="721" spans="1:10" x14ac:dyDescent="0.35">
      <c r="A721" s="18" t="str">
        <f>IF('Lot Balance'!$A720="","",'Lot Balance'!$A720)</f>
        <v/>
      </c>
      <c r="B721" s="18" t="str">
        <f>IF($A721="","",'Lot Balance'!$B720)</f>
        <v/>
      </c>
      <c r="C721" s="18" t="str">
        <f>IF($A721="","",'Lot Balance'!$C720)</f>
        <v/>
      </c>
      <c r="D721" s="25" t="str">
        <f>IF($A721="","",'Lot Balance'!$G720)</f>
        <v/>
      </c>
      <c r="E721" s="25" t="str">
        <f>IF($A721="","",'Lot Balance'!$H720)</f>
        <v/>
      </c>
      <c r="F721" s="23" t="str">
        <f>IF($A721="","",'Lot Balance'!$I720)</f>
        <v/>
      </c>
      <c r="G721" s="23" t="str">
        <f>IF($A721="","",'Lot Balance'!$O720)</f>
        <v/>
      </c>
      <c r="H721" s="33" t="str">
        <f>IF($A721="","",'Lot Balance'!$P720)</f>
        <v/>
      </c>
      <c r="I721" s="26" t="str">
        <f>IF($A721="","",COUNTIFS(tblIssues[Lot Number],$B721))</f>
        <v/>
      </c>
      <c r="J721" s="31" t="str">
        <f>IF($A721="","",IF('Lot Balance'!$O720&lt;=0,"Depleted",'Lot Balance'!$Q720))</f>
        <v/>
      </c>
    </row>
    <row r="722" spans="1:10" x14ac:dyDescent="0.35">
      <c r="A722" s="18" t="str">
        <f>IF('Lot Balance'!$A721="","",'Lot Balance'!$A721)</f>
        <v/>
      </c>
      <c r="B722" s="18" t="str">
        <f>IF($A722="","",'Lot Balance'!$B721)</f>
        <v/>
      </c>
      <c r="C722" s="18" t="str">
        <f>IF($A722="","",'Lot Balance'!$C721)</f>
        <v/>
      </c>
      <c r="D722" s="25" t="str">
        <f>IF($A722="","",'Lot Balance'!$G721)</f>
        <v/>
      </c>
      <c r="E722" s="25" t="str">
        <f>IF($A722="","",'Lot Balance'!$H721)</f>
        <v/>
      </c>
      <c r="F722" s="23" t="str">
        <f>IF($A722="","",'Lot Balance'!$I721)</f>
        <v/>
      </c>
      <c r="G722" s="23" t="str">
        <f>IF($A722="","",'Lot Balance'!$O721)</f>
        <v/>
      </c>
      <c r="H722" s="33" t="str">
        <f>IF($A722="","",'Lot Balance'!$P721)</f>
        <v/>
      </c>
      <c r="I722" s="26" t="str">
        <f>IF($A722="","",COUNTIFS(tblIssues[Lot Number],$B722))</f>
        <v/>
      </c>
      <c r="J722" s="31" t="str">
        <f>IF($A722="","",IF('Lot Balance'!$O721&lt;=0,"Depleted",'Lot Balance'!$Q721))</f>
        <v/>
      </c>
    </row>
    <row r="723" spans="1:10" x14ac:dyDescent="0.35">
      <c r="A723" s="18" t="str">
        <f>IF('Lot Balance'!$A722="","",'Lot Balance'!$A722)</f>
        <v/>
      </c>
      <c r="B723" s="18" t="str">
        <f>IF($A723="","",'Lot Balance'!$B722)</f>
        <v/>
      </c>
      <c r="C723" s="18" t="str">
        <f>IF($A723="","",'Lot Balance'!$C722)</f>
        <v/>
      </c>
      <c r="D723" s="25" t="str">
        <f>IF($A723="","",'Lot Balance'!$G722)</f>
        <v/>
      </c>
      <c r="E723" s="25" t="str">
        <f>IF($A723="","",'Lot Balance'!$H722)</f>
        <v/>
      </c>
      <c r="F723" s="23" t="str">
        <f>IF($A723="","",'Lot Balance'!$I722)</f>
        <v/>
      </c>
      <c r="G723" s="23" t="str">
        <f>IF($A723="","",'Lot Balance'!$O722)</f>
        <v/>
      </c>
      <c r="H723" s="33" t="str">
        <f>IF($A723="","",'Lot Balance'!$P722)</f>
        <v/>
      </c>
      <c r="I723" s="26" t="str">
        <f>IF($A723="","",COUNTIFS(tblIssues[Lot Number],$B723))</f>
        <v/>
      </c>
      <c r="J723" s="31" t="str">
        <f>IF($A723="","",IF('Lot Balance'!$O722&lt;=0,"Depleted",'Lot Balance'!$Q722))</f>
        <v/>
      </c>
    </row>
    <row r="724" spans="1:10" x14ac:dyDescent="0.35">
      <c r="A724" s="18" t="str">
        <f>IF('Lot Balance'!$A723="","",'Lot Balance'!$A723)</f>
        <v/>
      </c>
      <c r="B724" s="18" t="str">
        <f>IF($A724="","",'Lot Balance'!$B723)</f>
        <v/>
      </c>
      <c r="C724" s="18" t="str">
        <f>IF($A724="","",'Lot Balance'!$C723)</f>
        <v/>
      </c>
      <c r="D724" s="25" t="str">
        <f>IF($A724="","",'Lot Balance'!$G723)</f>
        <v/>
      </c>
      <c r="E724" s="25" t="str">
        <f>IF($A724="","",'Lot Balance'!$H723)</f>
        <v/>
      </c>
      <c r="F724" s="23" t="str">
        <f>IF($A724="","",'Lot Balance'!$I723)</f>
        <v/>
      </c>
      <c r="G724" s="23" t="str">
        <f>IF($A724="","",'Lot Balance'!$O723)</f>
        <v/>
      </c>
      <c r="H724" s="33" t="str">
        <f>IF($A724="","",'Lot Balance'!$P723)</f>
        <v/>
      </c>
      <c r="I724" s="26" t="str">
        <f>IF($A724="","",COUNTIFS(tblIssues[Lot Number],$B724))</f>
        <v/>
      </c>
      <c r="J724" s="31" t="str">
        <f>IF($A724="","",IF('Lot Balance'!$O723&lt;=0,"Depleted",'Lot Balance'!$Q723))</f>
        <v/>
      </c>
    </row>
    <row r="725" spans="1:10" x14ac:dyDescent="0.35">
      <c r="A725" s="18" t="str">
        <f>IF('Lot Balance'!$A724="","",'Lot Balance'!$A724)</f>
        <v/>
      </c>
      <c r="B725" s="18" t="str">
        <f>IF($A725="","",'Lot Balance'!$B724)</f>
        <v/>
      </c>
      <c r="C725" s="18" t="str">
        <f>IF($A725="","",'Lot Balance'!$C724)</f>
        <v/>
      </c>
      <c r="D725" s="25" t="str">
        <f>IF($A725="","",'Lot Balance'!$G724)</f>
        <v/>
      </c>
      <c r="E725" s="25" t="str">
        <f>IF($A725="","",'Lot Balance'!$H724)</f>
        <v/>
      </c>
      <c r="F725" s="23" t="str">
        <f>IF($A725="","",'Lot Balance'!$I724)</f>
        <v/>
      </c>
      <c r="G725" s="23" t="str">
        <f>IF($A725="","",'Lot Balance'!$O724)</f>
        <v/>
      </c>
      <c r="H725" s="33" t="str">
        <f>IF($A725="","",'Lot Balance'!$P724)</f>
        <v/>
      </c>
      <c r="I725" s="26" t="str">
        <f>IF($A725="","",COUNTIFS(tblIssues[Lot Number],$B725))</f>
        <v/>
      </c>
      <c r="J725" s="31" t="str">
        <f>IF($A725="","",IF('Lot Balance'!$O724&lt;=0,"Depleted",'Lot Balance'!$Q724))</f>
        <v/>
      </c>
    </row>
    <row r="726" spans="1:10" x14ac:dyDescent="0.35">
      <c r="A726" s="18" t="str">
        <f>IF('Lot Balance'!$A725="","",'Lot Balance'!$A725)</f>
        <v/>
      </c>
      <c r="B726" s="18" t="str">
        <f>IF($A726="","",'Lot Balance'!$B725)</f>
        <v/>
      </c>
      <c r="C726" s="18" t="str">
        <f>IF($A726="","",'Lot Balance'!$C725)</f>
        <v/>
      </c>
      <c r="D726" s="25" t="str">
        <f>IF($A726="","",'Lot Balance'!$G725)</f>
        <v/>
      </c>
      <c r="E726" s="25" t="str">
        <f>IF($A726="","",'Lot Balance'!$H725)</f>
        <v/>
      </c>
      <c r="F726" s="23" t="str">
        <f>IF($A726="","",'Lot Balance'!$I725)</f>
        <v/>
      </c>
      <c r="G726" s="23" t="str">
        <f>IF($A726="","",'Lot Balance'!$O725)</f>
        <v/>
      </c>
      <c r="H726" s="33" t="str">
        <f>IF($A726="","",'Lot Balance'!$P725)</f>
        <v/>
      </c>
      <c r="I726" s="26" t="str">
        <f>IF($A726="","",COUNTIFS(tblIssues[Lot Number],$B726))</f>
        <v/>
      </c>
      <c r="J726" s="31" t="str">
        <f>IF($A726="","",IF('Lot Balance'!$O725&lt;=0,"Depleted",'Lot Balance'!$Q725))</f>
        <v/>
      </c>
    </row>
    <row r="727" spans="1:10" x14ac:dyDescent="0.35">
      <c r="A727" s="18" t="str">
        <f>IF('Lot Balance'!$A726="","",'Lot Balance'!$A726)</f>
        <v/>
      </c>
      <c r="B727" s="18" t="str">
        <f>IF($A727="","",'Lot Balance'!$B726)</f>
        <v/>
      </c>
      <c r="C727" s="18" t="str">
        <f>IF($A727="","",'Lot Balance'!$C726)</f>
        <v/>
      </c>
      <c r="D727" s="25" t="str">
        <f>IF($A727="","",'Lot Balance'!$G726)</f>
        <v/>
      </c>
      <c r="E727" s="25" t="str">
        <f>IF($A727="","",'Lot Balance'!$H726)</f>
        <v/>
      </c>
      <c r="F727" s="23" t="str">
        <f>IF($A727="","",'Lot Balance'!$I726)</f>
        <v/>
      </c>
      <c r="G727" s="23" t="str">
        <f>IF($A727="","",'Lot Balance'!$O726)</f>
        <v/>
      </c>
      <c r="H727" s="33" t="str">
        <f>IF($A727="","",'Lot Balance'!$P726)</f>
        <v/>
      </c>
      <c r="I727" s="26" t="str">
        <f>IF($A727="","",COUNTIFS(tblIssues[Lot Number],$B727))</f>
        <v/>
      </c>
      <c r="J727" s="31" t="str">
        <f>IF($A727="","",IF('Lot Balance'!$O726&lt;=0,"Depleted",'Lot Balance'!$Q726))</f>
        <v/>
      </c>
    </row>
    <row r="728" spans="1:10" x14ac:dyDescent="0.35">
      <c r="A728" s="18" t="str">
        <f>IF('Lot Balance'!$A727="","",'Lot Balance'!$A727)</f>
        <v/>
      </c>
      <c r="B728" s="18" t="str">
        <f>IF($A728="","",'Lot Balance'!$B727)</f>
        <v/>
      </c>
      <c r="C728" s="18" t="str">
        <f>IF($A728="","",'Lot Balance'!$C727)</f>
        <v/>
      </c>
      <c r="D728" s="25" t="str">
        <f>IF($A728="","",'Lot Balance'!$G727)</f>
        <v/>
      </c>
      <c r="E728" s="25" t="str">
        <f>IF($A728="","",'Lot Balance'!$H727)</f>
        <v/>
      </c>
      <c r="F728" s="23" t="str">
        <f>IF($A728="","",'Lot Balance'!$I727)</f>
        <v/>
      </c>
      <c r="G728" s="23" t="str">
        <f>IF($A728="","",'Lot Balance'!$O727)</f>
        <v/>
      </c>
      <c r="H728" s="33" t="str">
        <f>IF($A728="","",'Lot Balance'!$P727)</f>
        <v/>
      </c>
      <c r="I728" s="26" t="str">
        <f>IF($A728="","",COUNTIFS(tblIssues[Lot Number],$B728))</f>
        <v/>
      </c>
      <c r="J728" s="31" t="str">
        <f>IF($A728="","",IF('Lot Balance'!$O727&lt;=0,"Depleted",'Lot Balance'!$Q727))</f>
        <v/>
      </c>
    </row>
    <row r="729" spans="1:10" x14ac:dyDescent="0.35">
      <c r="A729" s="18" t="str">
        <f>IF('Lot Balance'!$A728="","",'Lot Balance'!$A728)</f>
        <v/>
      </c>
      <c r="B729" s="18" t="str">
        <f>IF($A729="","",'Lot Balance'!$B728)</f>
        <v/>
      </c>
      <c r="C729" s="18" t="str">
        <f>IF($A729="","",'Lot Balance'!$C728)</f>
        <v/>
      </c>
      <c r="D729" s="25" t="str">
        <f>IF($A729="","",'Lot Balance'!$G728)</f>
        <v/>
      </c>
      <c r="E729" s="25" t="str">
        <f>IF($A729="","",'Lot Balance'!$H728)</f>
        <v/>
      </c>
      <c r="F729" s="23" t="str">
        <f>IF($A729="","",'Lot Balance'!$I728)</f>
        <v/>
      </c>
      <c r="G729" s="23" t="str">
        <f>IF($A729="","",'Lot Balance'!$O728)</f>
        <v/>
      </c>
      <c r="H729" s="33" t="str">
        <f>IF($A729="","",'Lot Balance'!$P728)</f>
        <v/>
      </c>
      <c r="I729" s="26" t="str">
        <f>IF($A729="","",COUNTIFS(tblIssues[Lot Number],$B729))</f>
        <v/>
      </c>
      <c r="J729" s="31" t="str">
        <f>IF($A729="","",IF('Lot Balance'!$O728&lt;=0,"Depleted",'Lot Balance'!$Q728))</f>
        <v/>
      </c>
    </row>
    <row r="730" spans="1:10" x14ac:dyDescent="0.35">
      <c r="A730" s="18" t="str">
        <f>IF('Lot Balance'!$A729="","",'Lot Balance'!$A729)</f>
        <v/>
      </c>
      <c r="B730" s="18" t="str">
        <f>IF($A730="","",'Lot Balance'!$B729)</f>
        <v/>
      </c>
      <c r="C730" s="18" t="str">
        <f>IF($A730="","",'Lot Balance'!$C729)</f>
        <v/>
      </c>
      <c r="D730" s="25" t="str">
        <f>IF($A730="","",'Lot Balance'!$G729)</f>
        <v/>
      </c>
      <c r="E730" s="25" t="str">
        <f>IF($A730="","",'Lot Balance'!$H729)</f>
        <v/>
      </c>
      <c r="F730" s="23" t="str">
        <f>IF($A730="","",'Lot Balance'!$I729)</f>
        <v/>
      </c>
      <c r="G730" s="23" t="str">
        <f>IF($A730="","",'Lot Balance'!$O729)</f>
        <v/>
      </c>
      <c r="H730" s="33" t="str">
        <f>IF($A730="","",'Lot Balance'!$P729)</f>
        <v/>
      </c>
      <c r="I730" s="26" t="str">
        <f>IF($A730="","",COUNTIFS(tblIssues[Lot Number],$B730))</f>
        <v/>
      </c>
      <c r="J730" s="31" t="str">
        <f>IF($A730="","",IF('Lot Balance'!$O729&lt;=0,"Depleted",'Lot Balance'!$Q729))</f>
        <v/>
      </c>
    </row>
    <row r="731" spans="1:10" x14ac:dyDescent="0.35">
      <c r="A731" s="18" t="str">
        <f>IF('Lot Balance'!$A730="","",'Lot Balance'!$A730)</f>
        <v/>
      </c>
      <c r="B731" s="18" t="str">
        <f>IF($A731="","",'Lot Balance'!$B730)</f>
        <v/>
      </c>
      <c r="C731" s="18" t="str">
        <f>IF($A731="","",'Lot Balance'!$C730)</f>
        <v/>
      </c>
      <c r="D731" s="25" t="str">
        <f>IF($A731="","",'Lot Balance'!$G730)</f>
        <v/>
      </c>
      <c r="E731" s="25" t="str">
        <f>IF($A731="","",'Lot Balance'!$H730)</f>
        <v/>
      </c>
      <c r="F731" s="23" t="str">
        <f>IF($A731="","",'Lot Balance'!$I730)</f>
        <v/>
      </c>
      <c r="G731" s="23" t="str">
        <f>IF($A731="","",'Lot Balance'!$O730)</f>
        <v/>
      </c>
      <c r="H731" s="33" t="str">
        <f>IF($A731="","",'Lot Balance'!$P730)</f>
        <v/>
      </c>
      <c r="I731" s="26" t="str">
        <f>IF($A731="","",COUNTIFS(tblIssues[Lot Number],$B731))</f>
        <v/>
      </c>
      <c r="J731" s="31" t="str">
        <f>IF($A731="","",IF('Lot Balance'!$O730&lt;=0,"Depleted",'Lot Balance'!$Q730))</f>
        <v/>
      </c>
    </row>
    <row r="732" spans="1:10" x14ac:dyDescent="0.35">
      <c r="A732" s="18" t="str">
        <f>IF('Lot Balance'!$A731="","",'Lot Balance'!$A731)</f>
        <v/>
      </c>
      <c r="B732" s="18" t="str">
        <f>IF($A732="","",'Lot Balance'!$B731)</f>
        <v/>
      </c>
      <c r="C732" s="18" t="str">
        <f>IF($A732="","",'Lot Balance'!$C731)</f>
        <v/>
      </c>
      <c r="D732" s="25" t="str">
        <f>IF($A732="","",'Lot Balance'!$G731)</f>
        <v/>
      </c>
      <c r="E732" s="25" t="str">
        <f>IF($A732="","",'Lot Balance'!$H731)</f>
        <v/>
      </c>
      <c r="F732" s="23" t="str">
        <f>IF($A732="","",'Lot Balance'!$I731)</f>
        <v/>
      </c>
      <c r="G732" s="23" t="str">
        <f>IF($A732="","",'Lot Balance'!$O731)</f>
        <v/>
      </c>
      <c r="H732" s="33" t="str">
        <f>IF($A732="","",'Lot Balance'!$P731)</f>
        <v/>
      </c>
      <c r="I732" s="26" t="str">
        <f>IF($A732="","",COUNTIFS(tblIssues[Lot Number],$B732))</f>
        <v/>
      </c>
      <c r="J732" s="31" t="str">
        <f>IF($A732="","",IF('Lot Balance'!$O731&lt;=0,"Depleted",'Lot Balance'!$Q731))</f>
        <v/>
      </c>
    </row>
    <row r="733" spans="1:10" x14ac:dyDescent="0.35">
      <c r="A733" s="18" t="str">
        <f>IF('Lot Balance'!$A732="","",'Lot Balance'!$A732)</f>
        <v/>
      </c>
      <c r="B733" s="18" t="str">
        <f>IF($A733="","",'Lot Balance'!$B732)</f>
        <v/>
      </c>
      <c r="C733" s="18" t="str">
        <f>IF($A733="","",'Lot Balance'!$C732)</f>
        <v/>
      </c>
      <c r="D733" s="25" t="str">
        <f>IF($A733="","",'Lot Balance'!$G732)</f>
        <v/>
      </c>
      <c r="E733" s="25" t="str">
        <f>IF($A733="","",'Lot Balance'!$H732)</f>
        <v/>
      </c>
      <c r="F733" s="23" t="str">
        <f>IF($A733="","",'Lot Balance'!$I732)</f>
        <v/>
      </c>
      <c r="G733" s="23" t="str">
        <f>IF($A733="","",'Lot Balance'!$O732)</f>
        <v/>
      </c>
      <c r="H733" s="33" t="str">
        <f>IF($A733="","",'Lot Balance'!$P732)</f>
        <v/>
      </c>
      <c r="I733" s="26" t="str">
        <f>IF($A733="","",COUNTIFS(tblIssues[Lot Number],$B733))</f>
        <v/>
      </c>
      <c r="J733" s="31" t="str">
        <f>IF($A733="","",IF('Lot Balance'!$O732&lt;=0,"Depleted",'Lot Balance'!$Q732))</f>
        <v/>
      </c>
    </row>
    <row r="734" spans="1:10" x14ac:dyDescent="0.35">
      <c r="A734" s="18" t="str">
        <f>IF('Lot Balance'!$A733="","",'Lot Balance'!$A733)</f>
        <v/>
      </c>
      <c r="B734" s="18" t="str">
        <f>IF($A734="","",'Lot Balance'!$B733)</f>
        <v/>
      </c>
      <c r="C734" s="18" t="str">
        <f>IF($A734="","",'Lot Balance'!$C733)</f>
        <v/>
      </c>
      <c r="D734" s="25" t="str">
        <f>IF($A734="","",'Lot Balance'!$G733)</f>
        <v/>
      </c>
      <c r="E734" s="25" t="str">
        <f>IF($A734="","",'Lot Balance'!$H733)</f>
        <v/>
      </c>
      <c r="F734" s="23" t="str">
        <f>IF($A734="","",'Lot Balance'!$I733)</f>
        <v/>
      </c>
      <c r="G734" s="23" t="str">
        <f>IF($A734="","",'Lot Balance'!$O733)</f>
        <v/>
      </c>
      <c r="H734" s="33" t="str">
        <f>IF($A734="","",'Lot Balance'!$P733)</f>
        <v/>
      </c>
      <c r="I734" s="26" t="str">
        <f>IF($A734="","",COUNTIFS(tblIssues[Lot Number],$B734))</f>
        <v/>
      </c>
      <c r="J734" s="31" t="str">
        <f>IF($A734="","",IF('Lot Balance'!$O733&lt;=0,"Depleted",'Lot Balance'!$Q733))</f>
        <v/>
      </c>
    </row>
    <row r="735" spans="1:10" x14ac:dyDescent="0.35">
      <c r="A735" s="18" t="str">
        <f>IF('Lot Balance'!$A734="","",'Lot Balance'!$A734)</f>
        <v/>
      </c>
      <c r="B735" s="18" t="str">
        <f>IF($A735="","",'Lot Balance'!$B734)</f>
        <v/>
      </c>
      <c r="C735" s="18" t="str">
        <f>IF($A735="","",'Lot Balance'!$C734)</f>
        <v/>
      </c>
      <c r="D735" s="25" t="str">
        <f>IF($A735="","",'Lot Balance'!$G734)</f>
        <v/>
      </c>
      <c r="E735" s="25" t="str">
        <f>IF($A735="","",'Lot Balance'!$H734)</f>
        <v/>
      </c>
      <c r="F735" s="23" t="str">
        <f>IF($A735="","",'Lot Balance'!$I734)</f>
        <v/>
      </c>
      <c r="G735" s="23" t="str">
        <f>IF($A735="","",'Lot Balance'!$O734)</f>
        <v/>
      </c>
      <c r="H735" s="33" t="str">
        <f>IF($A735="","",'Lot Balance'!$P734)</f>
        <v/>
      </c>
      <c r="I735" s="26" t="str">
        <f>IF($A735="","",COUNTIFS(tblIssues[Lot Number],$B735))</f>
        <v/>
      </c>
      <c r="J735" s="31" t="str">
        <f>IF($A735="","",IF('Lot Balance'!$O734&lt;=0,"Depleted",'Lot Balance'!$Q734))</f>
        <v/>
      </c>
    </row>
    <row r="736" spans="1:10" x14ac:dyDescent="0.35">
      <c r="A736" s="18" t="str">
        <f>IF('Lot Balance'!$A735="","",'Lot Balance'!$A735)</f>
        <v/>
      </c>
      <c r="B736" s="18" t="str">
        <f>IF($A736="","",'Lot Balance'!$B735)</f>
        <v/>
      </c>
      <c r="C736" s="18" t="str">
        <f>IF($A736="","",'Lot Balance'!$C735)</f>
        <v/>
      </c>
      <c r="D736" s="25" t="str">
        <f>IF($A736="","",'Lot Balance'!$G735)</f>
        <v/>
      </c>
      <c r="E736" s="25" t="str">
        <f>IF($A736="","",'Lot Balance'!$H735)</f>
        <v/>
      </c>
      <c r="F736" s="23" t="str">
        <f>IF($A736="","",'Lot Balance'!$I735)</f>
        <v/>
      </c>
      <c r="G736" s="23" t="str">
        <f>IF($A736="","",'Lot Balance'!$O735)</f>
        <v/>
      </c>
      <c r="H736" s="33" t="str">
        <f>IF($A736="","",'Lot Balance'!$P735)</f>
        <v/>
      </c>
      <c r="I736" s="26" t="str">
        <f>IF($A736="","",COUNTIFS(tblIssues[Lot Number],$B736))</f>
        <v/>
      </c>
      <c r="J736" s="31" t="str">
        <f>IF($A736="","",IF('Lot Balance'!$O735&lt;=0,"Depleted",'Lot Balance'!$Q735))</f>
        <v/>
      </c>
    </row>
    <row r="737" spans="1:10" x14ac:dyDescent="0.35">
      <c r="A737" s="18" t="str">
        <f>IF('Lot Balance'!$A736="","",'Lot Balance'!$A736)</f>
        <v/>
      </c>
      <c r="B737" s="18" t="str">
        <f>IF($A737="","",'Lot Balance'!$B736)</f>
        <v/>
      </c>
      <c r="C737" s="18" t="str">
        <f>IF($A737="","",'Lot Balance'!$C736)</f>
        <v/>
      </c>
      <c r="D737" s="25" t="str">
        <f>IF($A737="","",'Lot Balance'!$G736)</f>
        <v/>
      </c>
      <c r="E737" s="25" t="str">
        <f>IF($A737="","",'Lot Balance'!$H736)</f>
        <v/>
      </c>
      <c r="F737" s="23" t="str">
        <f>IF($A737="","",'Lot Balance'!$I736)</f>
        <v/>
      </c>
      <c r="G737" s="23" t="str">
        <f>IF($A737="","",'Lot Balance'!$O736)</f>
        <v/>
      </c>
      <c r="H737" s="33" t="str">
        <f>IF($A737="","",'Lot Balance'!$P736)</f>
        <v/>
      </c>
      <c r="I737" s="26" t="str">
        <f>IF($A737="","",COUNTIFS(tblIssues[Lot Number],$B737))</f>
        <v/>
      </c>
      <c r="J737" s="31" t="str">
        <f>IF($A737="","",IF('Lot Balance'!$O736&lt;=0,"Depleted",'Lot Balance'!$Q736))</f>
        <v/>
      </c>
    </row>
    <row r="738" spans="1:10" x14ac:dyDescent="0.35">
      <c r="A738" s="18" t="str">
        <f>IF('Lot Balance'!$A737="","",'Lot Balance'!$A737)</f>
        <v/>
      </c>
      <c r="B738" s="18" t="str">
        <f>IF($A738="","",'Lot Balance'!$B737)</f>
        <v/>
      </c>
      <c r="C738" s="18" t="str">
        <f>IF($A738="","",'Lot Balance'!$C737)</f>
        <v/>
      </c>
      <c r="D738" s="25" t="str">
        <f>IF($A738="","",'Lot Balance'!$G737)</f>
        <v/>
      </c>
      <c r="E738" s="25" t="str">
        <f>IF($A738="","",'Lot Balance'!$H737)</f>
        <v/>
      </c>
      <c r="F738" s="23" t="str">
        <f>IF($A738="","",'Lot Balance'!$I737)</f>
        <v/>
      </c>
      <c r="G738" s="23" t="str">
        <f>IF($A738="","",'Lot Balance'!$O737)</f>
        <v/>
      </c>
      <c r="H738" s="33" t="str">
        <f>IF($A738="","",'Lot Balance'!$P737)</f>
        <v/>
      </c>
      <c r="I738" s="26" t="str">
        <f>IF($A738="","",COUNTIFS(tblIssues[Lot Number],$B738))</f>
        <v/>
      </c>
      <c r="J738" s="31" t="str">
        <f>IF($A738="","",IF('Lot Balance'!$O737&lt;=0,"Depleted",'Lot Balance'!$Q737))</f>
        <v/>
      </c>
    </row>
    <row r="739" spans="1:10" x14ac:dyDescent="0.35">
      <c r="A739" s="18" t="str">
        <f>IF('Lot Balance'!$A738="","",'Lot Balance'!$A738)</f>
        <v/>
      </c>
      <c r="B739" s="18" t="str">
        <f>IF($A739="","",'Lot Balance'!$B738)</f>
        <v/>
      </c>
      <c r="C739" s="18" t="str">
        <f>IF($A739="","",'Lot Balance'!$C738)</f>
        <v/>
      </c>
      <c r="D739" s="25" t="str">
        <f>IF($A739="","",'Lot Balance'!$G738)</f>
        <v/>
      </c>
      <c r="E739" s="25" t="str">
        <f>IF($A739="","",'Lot Balance'!$H738)</f>
        <v/>
      </c>
      <c r="F739" s="23" t="str">
        <f>IF($A739="","",'Lot Balance'!$I738)</f>
        <v/>
      </c>
      <c r="G739" s="23" t="str">
        <f>IF($A739="","",'Lot Balance'!$O738)</f>
        <v/>
      </c>
      <c r="H739" s="33" t="str">
        <f>IF($A739="","",'Lot Balance'!$P738)</f>
        <v/>
      </c>
      <c r="I739" s="26" t="str">
        <f>IF($A739="","",COUNTIFS(tblIssues[Lot Number],$B739))</f>
        <v/>
      </c>
      <c r="J739" s="31" t="str">
        <f>IF($A739="","",IF('Lot Balance'!$O738&lt;=0,"Depleted",'Lot Balance'!$Q738))</f>
        <v/>
      </c>
    </row>
    <row r="740" spans="1:10" x14ac:dyDescent="0.35">
      <c r="A740" s="18" t="str">
        <f>IF('Lot Balance'!$A739="","",'Lot Balance'!$A739)</f>
        <v/>
      </c>
      <c r="B740" s="18" t="str">
        <f>IF($A740="","",'Lot Balance'!$B739)</f>
        <v/>
      </c>
      <c r="C740" s="18" t="str">
        <f>IF($A740="","",'Lot Balance'!$C739)</f>
        <v/>
      </c>
      <c r="D740" s="25" t="str">
        <f>IF($A740="","",'Lot Balance'!$G739)</f>
        <v/>
      </c>
      <c r="E740" s="25" t="str">
        <f>IF($A740="","",'Lot Balance'!$H739)</f>
        <v/>
      </c>
      <c r="F740" s="23" t="str">
        <f>IF($A740="","",'Lot Balance'!$I739)</f>
        <v/>
      </c>
      <c r="G740" s="23" t="str">
        <f>IF($A740="","",'Lot Balance'!$O739)</f>
        <v/>
      </c>
      <c r="H740" s="33" t="str">
        <f>IF($A740="","",'Lot Balance'!$P739)</f>
        <v/>
      </c>
      <c r="I740" s="26" t="str">
        <f>IF($A740="","",COUNTIFS(tblIssues[Lot Number],$B740))</f>
        <v/>
      </c>
      <c r="J740" s="31" t="str">
        <f>IF($A740="","",IF('Lot Balance'!$O739&lt;=0,"Depleted",'Lot Balance'!$Q739))</f>
        <v/>
      </c>
    </row>
    <row r="741" spans="1:10" x14ac:dyDescent="0.35">
      <c r="A741" s="18" t="str">
        <f>IF('Lot Balance'!$A740="","",'Lot Balance'!$A740)</f>
        <v/>
      </c>
      <c r="B741" s="18" t="str">
        <f>IF($A741="","",'Lot Balance'!$B740)</f>
        <v/>
      </c>
      <c r="C741" s="18" t="str">
        <f>IF($A741="","",'Lot Balance'!$C740)</f>
        <v/>
      </c>
      <c r="D741" s="25" t="str">
        <f>IF($A741="","",'Lot Balance'!$G740)</f>
        <v/>
      </c>
      <c r="E741" s="25" t="str">
        <f>IF($A741="","",'Lot Balance'!$H740)</f>
        <v/>
      </c>
      <c r="F741" s="23" t="str">
        <f>IF($A741="","",'Lot Balance'!$I740)</f>
        <v/>
      </c>
      <c r="G741" s="23" t="str">
        <f>IF($A741="","",'Lot Balance'!$O740)</f>
        <v/>
      </c>
      <c r="H741" s="33" t="str">
        <f>IF($A741="","",'Lot Balance'!$P740)</f>
        <v/>
      </c>
      <c r="I741" s="26" t="str">
        <f>IF($A741="","",COUNTIFS(tblIssues[Lot Number],$B741))</f>
        <v/>
      </c>
      <c r="J741" s="31" t="str">
        <f>IF($A741="","",IF('Lot Balance'!$O740&lt;=0,"Depleted",'Lot Balance'!$Q740))</f>
        <v/>
      </c>
    </row>
    <row r="742" spans="1:10" x14ac:dyDescent="0.35">
      <c r="A742" s="18" t="str">
        <f>IF('Lot Balance'!$A741="","",'Lot Balance'!$A741)</f>
        <v/>
      </c>
      <c r="B742" s="18" t="str">
        <f>IF($A742="","",'Lot Balance'!$B741)</f>
        <v/>
      </c>
      <c r="C742" s="18" t="str">
        <f>IF($A742="","",'Lot Balance'!$C741)</f>
        <v/>
      </c>
      <c r="D742" s="25" t="str">
        <f>IF($A742="","",'Lot Balance'!$G741)</f>
        <v/>
      </c>
      <c r="E742" s="25" t="str">
        <f>IF($A742="","",'Lot Balance'!$H741)</f>
        <v/>
      </c>
      <c r="F742" s="23" t="str">
        <f>IF($A742="","",'Lot Balance'!$I741)</f>
        <v/>
      </c>
      <c r="G742" s="23" t="str">
        <f>IF($A742="","",'Lot Balance'!$O741)</f>
        <v/>
      </c>
      <c r="H742" s="33" t="str">
        <f>IF($A742="","",'Lot Balance'!$P741)</f>
        <v/>
      </c>
      <c r="I742" s="26" t="str">
        <f>IF($A742="","",COUNTIFS(tblIssues[Lot Number],$B742))</f>
        <v/>
      </c>
      <c r="J742" s="31" t="str">
        <f>IF($A742="","",IF('Lot Balance'!$O741&lt;=0,"Depleted",'Lot Balance'!$Q741))</f>
        <v/>
      </c>
    </row>
    <row r="743" spans="1:10" x14ac:dyDescent="0.35">
      <c r="A743" s="18" t="str">
        <f>IF('Lot Balance'!$A742="","",'Lot Balance'!$A742)</f>
        <v/>
      </c>
      <c r="B743" s="18" t="str">
        <f>IF($A743="","",'Lot Balance'!$B742)</f>
        <v/>
      </c>
      <c r="C743" s="18" t="str">
        <f>IF($A743="","",'Lot Balance'!$C742)</f>
        <v/>
      </c>
      <c r="D743" s="25" t="str">
        <f>IF($A743="","",'Lot Balance'!$G742)</f>
        <v/>
      </c>
      <c r="E743" s="25" t="str">
        <f>IF($A743="","",'Lot Balance'!$H742)</f>
        <v/>
      </c>
      <c r="F743" s="23" t="str">
        <f>IF($A743="","",'Lot Balance'!$I742)</f>
        <v/>
      </c>
      <c r="G743" s="23" t="str">
        <f>IF($A743="","",'Lot Balance'!$O742)</f>
        <v/>
      </c>
      <c r="H743" s="33" t="str">
        <f>IF($A743="","",'Lot Balance'!$P742)</f>
        <v/>
      </c>
      <c r="I743" s="26" t="str">
        <f>IF($A743="","",COUNTIFS(tblIssues[Lot Number],$B743))</f>
        <v/>
      </c>
      <c r="J743" s="31" t="str">
        <f>IF($A743="","",IF('Lot Balance'!$O742&lt;=0,"Depleted",'Lot Balance'!$Q742))</f>
        <v/>
      </c>
    </row>
    <row r="744" spans="1:10" x14ac:dyDescent="0.35">
      <c r="A744" s="18" t="str">
        <f>IF('Lot Balance'!$A743="","",'Lot Balance'!$A743)</f>
        <v/>
      </c>
      <c r="B744" s="18" t="str">
        <f>IF($A744="","",'Lot Balance'!$B743)</f>
        <v/>
      </c>
      <c r="C744" s="18" t="str">
        <f>IF($A744="","",'Lot Balance'!$C743)</f>
        <v/>
      </c>
      <c r="D744" s="25" t="str">
        <f>IF($A744="","",'Lot Balance'!$G743)</f>
        <v/>
      </c>
      <c r="E744" s="25" t="str">
        <f>IF($A744="","",'Lot Balance'!$H743)</f>
        <v/>
      </c>
      <c r="F744" s="23" t="str">
        <f>IF($A744="","",'Lot Balance'!$I743)</f>
        <v/>
      </c>
      <c r="G744" s="23" t="str">
        <f>IF($A744="","",'Lot Balance'!$O743)</f>
        <v/>
      </c>
      <c r="H744" s="33" t="str">
        <f>IF($A744="","",'Lot Balance'!$P743)</f>
        <v/>
      </c>
      <c r="I744" s="26" t="str">
        <f>IF($A744="","",COUNTIFS(tblIssues[Lot Number],$B744))</f>
        <v/>
      </c>
      <c r="J744" s="31" t="str">
        <f>IF($A744="","",IF('Lot Balance'!$O743&lt;=0,"Depleted",'Lot Balance'!$Q743))</f>
        <v/>
      </c>
    </row>
    <row r="745" spans="1:10" x14ac:dyDescent="0.35">
      <c r="A745" s="18" t="str">
        <f>IF('Lot Balance'!$A744="","",'Lot Balance'!$A744)</f>
        <v/>
      </c>
      <c r="B745" s="18" t="str">
        <f>IF($A745="","",'Lot Balance'!$B744)</f>
        <v/>
      </c>
      <c r="C745" s="18" t="str">
        <f>IF($A745="","",'Lot Balance'!$C744)</f>
        <v/>
      </c>
      <c r="D745" s="25" t="str">
        <f>IF($A745="","",'Lot Balance'!$G744)</f>
        <v/>
      </c>
      <c r="E745" s="25" t="str">
        <f>IF($A745="","",'Lot Balance'!$H744)</f>
        <v/>
      </c>
      <c r="F745" s="23" t="str">
        <f>IF($A745="","",'Lot Balance'!$I744)</f>
        <v/>
      </c>
      <c r="G745" s="23" t="str">
        <f>IF($A745="","",'Lot Balance'!$O744)</f>
        <v/>
      </c>
      <c r="H745" s="33" t="str">
        <f>IF($A745="","",'Lot Balance'!$P744)</f>
        <v/>
      </c>
      <c r="I745" s="26" t="str">
        <f>IF($A745="","",COUNTIFS(tblIssues[Lot Number],$B745))</f>
        <v/>
      </c>
      <c r="J745" s="31" t="str">
        <f>IF($A745="","",IF('Lot Balance'!$O744&lt;=0,"Depleted",'Lot Balance'!$Q744))</f>
        <v/>
      </c>
    </row>
    <row r="746" spans="1:10" x14ac:dyDescent="0.35">
      <c r="A746" s="18" t="str">
        <f>IF('Lot Balance'!$A745="","",'Lot Balance'!$A745)</f>
        <v/>
      </c>
      <c r="B746" s="18" t="str">
        <f>IF($A746="","",'Lot Balance'!$B745)</f>
        <v/>
      </c>
      <c r="C746" s="18" t="str">
        <f>IF($A746="","",'Lot Balance'!$C745)</f>
        <v/>
      </c>
      <c r="D746" s="25" t="str">
        <f>IF($A746="","",'Lot Balance'!$G745)</f>
        <v/>
      </c>
      <c r="E746" s="25" t="str">
        <f>IF($A746="","",'Lot Balance'!$H745)</f>
        <v/>
      </c>
      <c r="F746" s="23" t="str">
        <f>IF($A746="","",'Lot Balance'!$I745)</f>
        <v/>
      </c>
      <c r="G746" s="23" t="str">
        <f>IF($A746="","",'Lot Balance'!$O745)</f>
        <v/>
      </c>
      <c r="H746" s="33" t="str">
        <f>IF($A746="","",'Lot Balance'!$P745)</f>
        <v/>
      </c>
      <c r="I746" s="26" t="str">
        <f>IF($A746="","",COUNTIFS(tblIssues[Lot Number],$B746))</f>
        <v/>
      </c>
      <c r="J746" s="31" t="str">
        <f>IF($A746="","",IF('Lot Balance'!$O745&lt;=0,"Depleted",'Lot Balance'!$Q745))</f>
        <v/>
      </c>
    </row>
    <row r="747" spans="1:10" x14ac:dyDescent="0.35">
      <c r="A747" s="18" t="str">
        <f>IF('Lot Balance'!$A746="","",'Lot Balance'!$A746)</f>
        <v/>
      </c>
      <c r="B747" s="18" t="str">
        <f>IF($A747="","",'Lot Balance'!$B746)</f>
        <v/>
      </c>
      <c r="C747" s="18" t="str">
        <f>IF($A747="","",'Lot Balance'!$C746)</f>
        <v/>
      </c>
      <c r="D747" s="25" t="str">
        <f>IF($A747="","",'Lot Balance'!$G746)</f>
        <v/>
      </c>
      <c r="E747" s="25" t="str">
        <f>IF($A747="","",'Lot Balance'!$H746)</f>
        <v/>
      </c>
      <c r="F747" s="23" t="str">
        <f>IF($A747="","",'Lot Balance'!$I746)</f>
        <v/>
      </c>
      <c r="G747" s="23" t="str">
        <f>IF($A747="","",'Lot Balance'!$O746)</f>
        <v/>
      </c>
      <c r="H747" s="33" t="str">
        <f>IF($A747="","",'Lot Balance'!$P746)</f>
        <v/>
      </c>
      <c r="I747" s="26" t="str">
        <f>IF($A747="","",COUNTIFS(tblIssues[Lot Number],$B747))</f>
        <v/>
      </c>
      <c r="J747" s="31" t="str">
        <f>IF($A747="","",IF('Lot Balance'!$O746&lt;=0,"Depleted",'Lot Balance'!$Q746))</f>
        <v/>
      </c>
    </row>
    <row r="748" spans="1:10" x14ac:dyDescent="0.35">
      <c r="A748" s="18" t="str">
        <f>IF('Lot Balance'!$A747="","",'Lot Balance'!$A747)</f>
        <v/>
      </c>
      <c r="B748" s="18" t="str">
        <f>IF($A748="","",'Lot Balance'!$B747)</f>
        <v/>
      </c>
      <c r="C748" s="18" t="str">
        <f>IF($A748="","",'Lot Balance'!$C747)</f>
        <v/>
      </c>
      <c r="D748" s="25" t="str">
        <f>IF($A748="","",'Lot Balance'!$G747)</f>
        <v/>
      </c>
      <c r="E748" s="25" t="str">
        <f>IF($A748="","",'Lot Balance'!$H747)</f>
        <v/>
      </c>
      <c r="F748" s="23" t="str">
        <f>IF($A748="","",'Lot Balance'!$I747)</f>
        <v/>
      </c>
      <c r="G748" s="23" t="str">
        <f>IF($A748="","",'Lot Balance'!$O747)</f>
        <v/>
      </c>
      <c r="H748" s="33" t="str">
        <f>IF($A748="","",'Lot Balance'!$P747)</f>
        <v/>
      </c>
      <c r="I748" s="26" t="str">
        <f>IF($A748="","",COUNTIFS(tblIssues[Lot Number],$B748))</f>
        <v/>
      </c>
      <c r="J748" s="31" t="str">
        <f>IF($A748="","",IF('Lot Balance'!$O747&lt;=0,"Depleted",'Lot Balance'!$Q747))</f>
        <v/>
      </c>
    </row>
    <row r="749" spans="1:10" x14ac:dyDescent="0.35">
      <c r="A749" s="18" t="str">
        <f>IF('Lot Balance'!$A748="","",'Lot Balance'!$A748)</f>
        <v/>
      </c>
      <c r="B749" s="18" t="str">
        <f>IF($A749="","",'Lot Balance'!$B748)</f>
        <v/>
      </c>
      <c r="C749" s="18" t="str">
        <f>IF($A749="","",'Lot Balance'!$C748)</f>
        <v/>
      </c>
      <c r="D749" s="25" t="str">
        <f>IF($A749="","",'Lot Balance'!$G748)</f>
        <v/>
      </c>
      <c r="E749" s="25" t="str">
        <f>IF($A749="","",'Lot Balance'!$H748)</f>
        <v/>
      </c>
      <c r="F749" s="23" t="str">
        <f>IF($A749="","",'Lot Balance'!$I748)</f>
        <v/>
      </c>
      <c r="G749" s="23" t="str">
        <f>IF($A749="","",'Lot Balance'!$O748)</f>
        <v/>
      </c>
      <c r="H749" s="33" t="str">
        <f>IF($A749="","",'Lot Balance'!$P748)</f>
        <v/>
      </c>
      <c r="I749" s="26" t="str">
        <f>IF($A749="","",COUNTIFS(tblIssues[Lot Number],$B749))</f>
        <v/>
      </c>
      <c r="J749" s="31" t="str">
        <f>IF($A749="","",IF('Lot Balance'!$O748&lt;=0,"Depleted",'Lot Balance'!$Q748))</f>
        <v/>
      </c>
    </row>
    <row r="750" spans="1:10" x14ac:dyDescent="0.35">
      <c r="A750" s="18" t="str">
        <f>IF('Lot Balance'!$A749="","",'Lot Balance'!$A749)</f>
        <v/>
      </c>
      <c r="B750" s="18" t="str">
        <f>IF($A750="","",'Lot Balance'!$B749)</f>
        <v/>
      </c>
      <c r="C750" s="18" t="str">
        <f>IF($A750="","",'Lot Balance'!$C749)</f>
        <v/>
      </c>
      <c r="D750" s="25" t="str">
        <f>IF($A750="","",'Lot Balance'!$G749)</f>
        <v/>
      </c>
      <c r="E750" s="25" t="str">
        <f>IF($A750="","",'Lot Balance'!$H749)</f>
        <v/>
      </c>
      <c r="F750" s="23" t="str">
        <f>IF($A750="","",'Lot Balance'!$I749)</f>
        <v/>
      </c>
      <c r="G750" s="23" t="str">
        <f>IF($A750="","",'Lot Balance'!$O749)</f>
        <v/>
      </c>
      <c r="H750" s="33" t="str">
        <f>IF($A750="","",'Lot Balance'!$P749)</f>
        <v/>
      </c>
      <c r="I750" s="26" t="str">
        <f>IF($A750="","",COUNTIFS(tblIssues[Lot Number],$B750))</f>
        <v/>
      </c>
      <c r="J750" s="31" t="str">
        <f>IF($A750="","",IF('Lot Balance'!$O749&lt;=0,"Depleted",'Lot Balance'!$Q749))</f>
        <v/>
      </c>
    </row>
    <row r="751" spans="1:10" x14ac:dyDescent="0.35">
      <c r="A751" s="18" t="str">
        <f>IF('Lot Balance'!$A750="","",'Lot Balance'!$A750)</f>
        <v/>
      </c>
      <c r="B751" s="18" t="str">
        <f>IF($A751="","",'Lot Balance'!$B750)</f>
        <v/>
      </c>
      <c r="C751" s="18" t="str">
        <f>IF($A751="","",'Lot Balance'!$C750)</f>
        <v/>
      </c>
      <c r="D751" s="25" t="str">
        <f>IF($A751="","",'Lot Balance'!$G750)</f>
        <v/>
      </c>
      <c r="E751" s="25" t="str">
        <f>IF($A751="","",'Lot Balance'!$H750)</f>
        <v/>
      </c>
      <c r="F751" s="23" t="str">
        <f>IF($A751="","",'Lot Balance'!$I750)</f>
        <v/>
      </c>
      <c r="G751" s="23" t="str">
        <f>IF($A751="","",'Lot Balance'!$O750)</f>
        <v/>
      </c>
      <c r="H751" s="33" t="str">
        <f>IF($A751="","",'Lot Balance'!$P750)</f>
        <v/>
      </c>
      <c r="I751" s="26" t="str">
        <f>IF($A751="","",COUNTIFS(tblIssues[Lot Number],$B751))</f>
        <v/>
      </c>
      <c r="J751" s="31" t="str">
        <f>IF($A751="","",IF('Lot Balance'!$O750&lt;=0,"Depleted",'Lot Balance'!$Q750))</f>
        <v/>
      </c>
    </row>
    <row r="752" spans="1:10" x14ac:dyDescent="0.35">
      <c r="A752" s="18" t="str">
        <f>IF('Lot Balance'!$A751="","",'Lot Balance'!$A751)</f>
        <v/>
      </c>
      <c r="B752" s="18" t="str">
        <f>IF($A752="","",'Lot Balance'!$B751)</f>
        <v/>
      </c>
      <c r="C752" s="18" t="str">
        <f>IF($A752="","",'Lot Balance'!$C751)</f>
        <v/>
      </c>
      <c r="D752" s="25" t="str">
        <f>IF($A752="","",'Lot Balance'!$G751)</f>
        <v/>
      </c>
      <c r="E752" s="25" t="str">
        <f>IF($A752="","",'Lot Balance'!$H751)</f>
        <v/>
      </c>
      <c r="F752" s="23" t="str">
        <f>IF($A752="","",'Lot Balance'!$I751)</f>
        <v/>
      </c>
      <c r="G752" s="23" t="str">
        <f>IF($A752="","",'Lot Balance'!$O751)</f>
        <v/>
      </c>
      <c r="H752" s="33" t="str">
        <f>IF($A752="","",'Lot Balance'!$P751)</f>
        <v/>
      </c>
      <c r="I752" s="26" t="str">
        <f>IF($A752="","",COUNTIFS(tblIssues[Lot Number],$B752))</f>
        <v/>
      </c>
      <c r="J752" s="31" t="str">
        <f>IF($A752="","",IF('Lot Balance'!$O751&lt;=0,"Depleted",'Lot Balance'!$Q751))</f>
        <v/>
      </c>
    </row>
    <row r="753" spans="1:10" x14ac:dyDescent="0.35">
      <c r="A753" s="18" t="str">
        <f>IF('Lot Balance'!$A752="","",'Lot Balance'!$A752)</f>
        <v/>
      </c>
      <c r="B753" s="18" t="str">
        <f>IF($A753="","",'Lot Balance'!$B752)</f>
        <v/>
      </c>
      <c r="C753" s="18" t="str">
        <f>IF($A753="","",'Lot Balance'!$C752)</f>
        <v/>
      </c>
      <c r="D753" s="25" t="str">
        <f>IF($A753="","",'Lot Balance'!$G752)</f>
        <v/>
      </c>
      <c r="E753" s="25" t="str">
        <f>IF($A753="","",'Lot Balance'!$H752)</f>
        <v/>
      </c>
      <c r="F753" s="23" t="str">
        <f>IF($A753="","",'Lot Balance'!$I752)</f>
        <v/>
      </c>
      <c r="G753" s="23" t="str">
        <f>IF($A753="","",'Lot Balance'!$O752)</f>
        <v/>
      </c>
      <c r="H753" s="33" t="str">
        <f>IF($A753="","",'Lot Balance'!$P752)</f>
        <v/>
      </c>
      <c r="I753" s="26" t="str">
        <f>IF($A753="","",COUNTIFS(tblIssues[Lot Number],$B753))</f>
        <v/>
      </c>
      <c r="J753" s="31" t="str">
        <f>IF($A753="","",IF('Lot Balance'!$O752&lt;=0,"Depleted",'Lot Balance'!$Q752))</f>
        <v/>
      </c>
    </row>
    <row r="754" spans="1:10" x14ac:dyDescent="0.35">
      <c r="A754" s="18" t="str">
        <f>IF('Lot Balance'!$A753="","",'Lot Balance'!$A753)</f>
        <v/>
      </c>
      <c r="B754" s="18" t="str">
        <f>IF($A754="","",'Lot Balance'!$B753)</f>
        <v/>
      </c>
      <c r="C754" s="18" t="str">
        <f>IF($A754="","",'Lot Balance'!$C753)</f>
        <v/>
      </c>
      <c r="D754" s="25" t="str">
        <f>IF($A754="","",'Lot Balance'!$G753)</f>
        <v/>
      </c>
      <c r="E754" s="25" t="str">
        <f>IF($A754="","",'Lot Balance'!$H753)</f>
        <v/>
      </c>
      <c r="F754" s="23" t="str">
        <f>IF($A754="","",'Lot Balance'!$I753)</f>
        <v/>
      </c>
      <c r="G754" s="23" t="str">
        <f>IF($A754="","",'Lot Balance'!$O753)</f>
        <v/>
      </c>
      <c r="H754" s="33" t="str">
        <f>IF($A754="","",'Lot Balance'!$P753)</f>
        <v/>
      </c>
      <c r="I754" s="26" t="str">
        <f>IF($A754="","",COUNTIFS(tblIssues[Lot Number],$B754))</f>
        <v/>
      </c>
      <c r="J754" s="31" t="str">
        <f>IF($A754="","",IF('Lot Balance'!$O753&lt;=0,"Depleted",'Lot Balance'!$Q753))</f>
        <v/>
      </c>
    </row>
    <row r="755" spans="1:10" x14ac:dyDescent="0.35">
      <c r="A755" s="18" t="str">
        <f>IF('Lot Balance'!$A754="","",'Lot Balance'!$A754)</f>
        <v/>
      </c>
      <c r="B755" s="18" t="str">
        <f>IF($A755="","",'Lot Balance'!$B754)</f>
        <v/>
      </c>
      <c r="C755" s="18" t="str">
        <f>IF($A755="","",'Lot Balance'!$C754)</f>
        <v/>
      </c>
      <c r="D755" s="25" t="str">
        <f>IF($A755="","",'Lot Balance'!$G754)</f>
        <v/>
      </c>
      <c r="E755" s="25" t="str">
        <f>IF($A755="","",'Lot Balance'!$H754)</f>
        <v/>
      </c>
      <c r="F755" s="23" t="str">
        <f>IF($A755="","",'Lot Balance'!$I754)</f>
        <v/>
      </c>
      <c r="G755" s="23" t="str">
        <f>IF($A755="","",'Lot Balance'!$O754)</f>
        <v/>
      </c>
      <c r="H755" s="33" t="str">
        <f>IF($A755="","",'Lot Balance'!$P754)</f>
        <v/>
      </c>
      <c r="I755" s="26" t="str">
        <f>IF($A755="","",COUNTIFS(tblIssues[Lot Number],$B755))</f>
        <v/>
      </c>
      <c r="J755" s="31" t="str">
        <f>IF($A755="","",IF('Lot Balance'!$O754&lt;=0,"Depleted",'Lot Balance'!$Q754))</f>
        <v/>
      </c>
    </row>
    <row r="756" spans="1:10" x14ac:dyDescent="0.35">
      <c r="A756" s="18" t="str">
        <f>IF('Lot Balance'!$A755="","",'Lot Balance'!$A755)</f>
        <v/>
      </c>
      <c r="B756" s="18" t="str">
        <f>IF($A756="","",'Lot Balance'!$B755)</f>
        <v/>
      </c>
      <c r="C756" s="18" t="str">
        <f>IF($A756="","",'Lot Balance'!$C755)</f>
        <v/>
      </c>
      <c r="D756" s="25" t="str">
        <f>IF($A756="","",'Lot Balance'!$G755)</f>
        <v/>
      </c>
      <c r="E756" s="25" t="str">
        <f>IF($A756="","",'Lot Balance'!$H755)</f>
        <v/>
      </c>
      <c r="F756" s="23" t="str">
        <f>IF($A756="","",'Lot Balance'!$I755)</f>
        <v/>
      </c>
      <c r="G756" s="23" t="str">
        <f>IF($A756="","",'Lot Balance'!$O755)</f>
        <v/>
      </c>
      <c r="H756" s="33" t="str">
        <f>IF($A756="","",'Lot Balance'!$P755)</f>
        <v/>
      </c>
      <c r="I756" s="26" t="str">
        <f>IF($A756="","",COUNTIFS(tblIssues[Lot Number],$B756))</f>
        <v/>
      </c>
      <c r="J756" s="31" t="str">
        <f>IF($A756="","",IF('Lot Balance'!$O755&lt;=0,"Depleted",'Lot Balance'!$Q755))</f>
        <v/>
      </c>
    </row>
    <row r="757" spans="1:10" x14ac:dyDescent="0.35">
      <c r="A757" s="18" t="str">
        <f>IF('Lot Balance'!$A756="","",'Lot Balance'!$A756)</f>
        <v/>
      </c>
      <c r="B757" s="18" t="str">
        <f>IF($A757="","",'Lot Balance'!$B756)</f>
        <v/>
      </c>
      <c r="C757" s="18" t="str">
        <f>IF($A757="","",'Lot Balance'!$C756)</f>
        <v/>
      </c>
      <c r="D757" s="25" t="str">
        <f>IF($A757="","",'Lot Balance'!$G756)</f>
        <v/>
      </c>
      <c r="E757" s="25" t="str">
        <f>IF($A757="","",'Lot Balance'!$H756)</f>
        <v/>
      </c>
      <c r="F757" s="23" t="str">
        <f>IF($A757="","",'Lot Balance'!$I756)</f>
        <v/>
      </c>
      <c r="G757" s="23" t="str">
        <f>IF($A757="","",'Lot Balance'!$O756)</f>
        <v/>
      </c>
      <c r="H757" s="33" t="str">
        <f>IF($A757="","",'Lot Balance'!$P756)</f>
        <v/>
      </c>
      <c r="I757" s="26" t="str">
        <f>IF($A757="","",COUNTIFS(tblIssues[Lot Number],$B757))</f>
        <v/>
      </c>
      <c r="J757" s="31" t="str">
        <f>IF($A757="","",IF('Lot Balance'!$O756&lt;=0,"Depleted",'Lot Balance'!$Q756))</f>
        <v/>
      </c>
    </row>
    <row r="758" spans="1:10" x14ac:dyDescent="0.35">
      <c r="A758" s="18" t="str">
        <f>IF('Lot Balance'!$A757="","",'Lot Balance'!$A757)</f>
        <v/>
      </c>
      <c r="B758" s="18" t="str">
        <f>IF($A758="","",'Lot Balance'!$B757)</f>
        <v/>
      </c>
      <c r="C758" s="18" t="str">
        <f>IF($A758="","",'Lot Balance'!$C757)</f>
        <v/>
      </c>
      <c r="D758" s="25" t="str">
        <f>IF($A758="","",'Lot Balance'!$G757)</f>
        <v/>
      </c>
      <c r="E758" s="25" t="str">
        <f>IF($A758="","",'Lot Balance'!$H757)</f>
        <v/>
      </c>
      <c r="F758" s="23" t="str">
        <f>IF($A758="","",'Lot Balance'!$I757)</f>
        <v/>
      </c>
      <c r="G758" s="23" t="str">
        <f>IF($A758="","",'Lot Balance'!$O757)</f>
        <v/>
      </c>
      <c r="H758" s="33" t="str">
        <f>IF($A758="","",'Lot Balance'!$P757)</f>
        <v/>
      </c>
      <c r="I758" s="26" t="str">
        <f>IF($A758="","",COUNTIFS(tblIssues[Lot Number],$B758))</f>
        <v/>
      </c>
      <c r="J758" s="31" t="str">
        <f>IF($A758="","",IF('Lot Balance'!$O757&lt;=0,"Depleted",'Lot Balance'!$Q757))</f>
        <v/>
      </c>
    </row>
    <row r="759" spans="1:10" x14ac:dyDescent="0.35">
      <c r="A759" s="18" t="str">
        <f>IF('Lot Balance'!$A758="","",'Lot Balance'!$A758)</f>
        <v/>
      </c>
      <c r="B759" s="18" t="str">
        <f>IF($A759="","",'Lot Balance'!$B758)</f>
        <v/>
      </c>
      <c r="C759" s="18" t="str">
        <f>IF($A759="","",'Lot Balance'!$C758)</f>
        <v/>
      </c>
      <c r="D759" s="25" t="str">
        <f>IF($A759="","",'Lot Balance'!$G758)</f>
        <v/>
      </c>
      <c r="E759" s="25" t="str">
        <f>IF($A759="","",'Lot Balance'!$H758)</f>
        <v/>
      </c>
      <c r="F759" s="23" t="str">
        <f>IF($A759="","",'Lot Balance'!$I758)</f>
        <v/>
      </c>
      <c r="G759" s="23" t="str">
        <f>IF($A759="","",'Lot Balance'!$O758)</f>
        <v/>
      </c>
      <c r="H759" s="33" t="str">
        <f>IF($A759="","",'Lot Balance'!$P758)</f>
        <v/>
      </c>
      <c r="I759" s="26" t="str">
        <f>IF($A759="","",COUNTIFS(tblIssues[Lot Number],$B759))</f>
        <v/>
      </c>
      <c r="J759" s="31" t="str">
        <f>IF($A759="","",IF('Lot Balance'!$O758&lt;=0,"Depleted",'Lot Balance'!$Q758))</f>
        <v/>
      </c>
    </row>
    <row r="760" spans="1:10" x14ac:dyDescent="0.35">
      <c r="A760" s="18" t="str">
        <f>IF('Lot Balance'!$A759="","",'Lot Balance'!$A759)</f>
        <v/>
      </c>
      <c r="B760" s="18" t="str">
        <f>IF($A760="","",'Lot Balance'!$B759)</f>
        <v/>
      </c>
      <c r="C760" s="18" t="str">
        <f>IF($A760="","",'Lot Balance'!$C759)</f>
        <v/>
      </c>
      <c r="D760" s="25" t="str">
        <f>IF($A760="","",'Lot Balance'!$G759)</f>
        <v/>
      </c>
      <c r="E760" s="25" t="str">
        <f>IF($A760="","",'Lot Balance'!$H759)</f>
        <v/>
      </c>
      <c r="F760" s="23" t="str">
        <f>IF($A760="","",'Lot Balance'!$I759)</f>
        <v/>
      </c>
      <c r="G760" s="23" t="str">
        <f>IF($A760="","",'Lot Balance'!$O759)</f>
        <v/>
      </c>
      <c r="H760" s="33" t="str">
        <f>IF($A760="","",'Lot Balance'!$P759)</f>
        <v/>
      </c>
      <c r="I760" s="26" t="str">
        <f>IF($A760="","",COUNTIFS(tblIssues[Lot Number],$B760))</f>
        <v/>
      </c>
      <c r="J760" s="31" t="str">
        <f>IF($A760="","",IF('Lot Balance'!$O759&lt;=0,"Depleted",'Lot Balance'!$Q759))</f>
        <v/>
      </c>
    </row>
    <row r="761" spans="1:10" x14ac:dyDescent="0.35">
      <c r="A761" s="18" t="str">
        <f>IF('Lot Balance'!$A760="","",'Lot Balance'!$A760)</f>
        <v/>
      </c>
      <c r="B761" s="18" t="str">
        <f>IF($A761="","",'Lot Balance'!$B760)</f>
        <v/>
      </c>
      <c r="C761" s="18" t="str">
        <f>IF($A761="","",'Lot Balance'!$C760)</f>
        <v/>
      </c>
      <c r="D761" s="25" t="str">
        <f>IF($A761="","",'Lot Balance'!$G760)</f>
        <v/>
      </c>
      <c r="E761" s="25" t="str">
        <f>IF($A761="","",'Lot Balance'!$H760)</f>
        <v/>
      </c>
      <c r="F761" s="23" t="str">
        <f>IF($A761="","",'Lot Balance'!$I760)</f>
        <v/>
      </c>
      <c r="G761" s="23" t="str">
        <f>IF($A761="","",'Lot Balance'!$O760)</f>
        <v/>
      </c>
      <c r="H761" s="33" t="str">
        <f>IF($A761="","",'Lot Balance'!$P760)</f>
        <v/>
      </c>
      <c r="I761" s="26" t="str">
        <f>IF($A761="","",COUNTIFS(tblIssues[Lot Number],$B761))</f>
        <v/>
      </c>
      <c r="J761" s="31" t="str">
        <f>IF($A761="","",IF('Lot Balance'!$O760&lt;=0,"Depleted",'Lot Balance'!$Q760))</f>
        <v/>
      </c>
    </row>
    <row r="762" spans="1:10" x14ac:dyDescent="0.35">
      <c r="A762" s="18" t="str">
        <f>IF('Lot Balance'!$A761="","",'Lot Balance'!$A761)</f>
        <v/>
      </c>
      <c r="B762" s="18" t="str">
        <f>IF($A762="","",'Lot Balance'!$B761)</f>
        <v/>
      </c>
      <c r="C762" s="18" t="str">
        <f>IF($A762="","",'Lot Balance'!$C761)</f>
        <v/>
      </c>
      <c r="D762" s="25" t="str">
        <f>IF($A762="","",'Lot Balance'!$G761)</f>
        <v/>
      </c>
      <c r="E762" s="25" t="str">
        <f>IF($A762="","",'Lot Balance'!$H761)</f>
        <v/>
      </c>
      <c r="F762" s="23" t="str">
        <f>IF($A762="","",'Lot Balance'!$I761)</f>
        <v/>
      </c>
      <c r="G762" s="23" t="str">
        <f>IF($A762="","",'Lot Balance'!$O761)</f>
        <v/>
      </c>
      <c r="H762" s="33" t="str">
        <f>IF($A762="","",'Lot Balance'!$P761)</f>
        <v/>
      </c>
      <c r="I762" s="26" t="str">
        <f>IF($A762="","",COUNTIFS(tblIssues[Lot Number],$B762))</f>
        <v/>
      </c>
      <c r="J762" s="31" t="str">
        <f>IF($A762="","",IF('Lot Balance'!$O761&lt;=0,"Depleted",'Lot Balance'!$Q761))</f>
        <v/>
      </c>
    </row>
    <row r="763" spans="1:10" x14ac:dyDescent="0.35">
      <c r="A763" s="18" t="str">
        <f>IF('Lot Balance'!$A762="","",'Lot Balance'!$A762)</f>
        <v/>
      </c>
      <c r="B763" s="18" t="str">
        <f>IF($A763="","",'Lot Balance'!$B762)</f>
        <v/>
      </c>
      <c r="C763" s="18" t="str">
        <f>IF($A763="","",'Lot Balance'!$C762)</f>
        <v/>
      </c>
      <c r="D763" s="25" t="str">
        <f>IF($A763="","",'Lot Balance'!$G762)</f>
        <v/>
      </c>
      <c r="E763" s="25" t="str">
        <f>IF($A763="","",'Lot Balance'!$H762)</f>
        <v/>
      </c>
      <c r="F763" s="23" t="str">
        <f>IF($A763="","",'Lot Balance'!$I762)</f>
        <v/>
      </c>
      <c r="G763" s="23" t="str">
        <f>IF($A763="","",'Lot Balance'!$O762)</f>
        <v/>
      </c>
      <c r="H763" s="33" t="str">
        <f>IF($A763="","",'Lot Balance'!$P762)</f>
        <v/>
      </c>
      <c r="I763" s="26" t="str">
        <f>IF($A763="","",COUNTIFS(tblIssues[Lot Number],$B763))</f>
        <v/>
      </c>
      <c r="J763" s="31" t="str">
        <f>IF($A763="","",IF('Lot Balance'!$O762&lt;=0,"Depleted",'Lot Balance'!$Q762))</f>
        <v/>
      </c>
    </row>
    <row r="764" spans="1:10" x14ac:dyDescent="0.35">
      <c r="A764" s="18" t="str">
        <f>IF('Lot Balance'!$A763="","",'Lot Balance'!$A763)</f>
        <v/>
      </c>
      <c r="B764" s="18" t="str">
        <f>IF($A764="","",'Lot Balance'!$B763)</f>
        <v/>
      </c>
      <c r="C764" s="18" t="str">
        <f>IF($A764="","",'Lot Balance'!$C763)</f>
        <v/>
      </c>
      <c r="D764" s="25" t="str">
        <f>IF($A764="","",'Lot Balance'!$G763)</f>
        <v/>
      </c>
      <c r="E764" s="25" t="str">
        <f>IF($A764="","",'Lot Balance'!$H763)</f>
        <v/>
      </c>
      <c r="F764" s="23" t="str">
        <f>IF($A764="","",'Lot Balance'!$I763)</f>
        <v/>
      </c>
      <c r="G764" s="23" t="str">
        <f>IF($A764="","",'Lot Balance'!$O763)</f>
        <v/>
      </c>
      <c r="H764" s="33" t="str">
        <f>IF($A764="","",'Lot Balance'!$P763)</f>
        <v/>
      </c>
      <c r="I764" s="26" t="str">
        <f>IF($A764="","",COUNTIFS(tblIssues[Lot Number],$B764))</f>
        <v/>
      </c>
      <c r="J764" s="31" t="str">
        <f>IF($A764="","",IF('Lot Balance'!$O763&lt;=0,"Depleted",'Lot Balance'!$Q763))</f>
        <v/>
      </c>
    </row>
    <row r="765" spans="1:10" x14ac:dyDescent="0.35">
      <c r="A765" s="18" t="str">
        <f>IF('Lot Balance'!$A764="","",'Lot Balance'!$A764)</f>
        <v/>
      </c>
      <c r="B765" s="18" t="str">
        <f>IF($A765="","",'Lot Balance'!$B764)</f>
        <v/>
      </c>
      <c r="C765" s="18" t="str">
        <f>IF($A765="","",'Lot Balance'!$C764)</f>
        <v/>
      </c>
      <c r="D765" s="25" t="str">
        <f>IF($A765="","",'Lot Balance'!$G764)</f>
        <v/>
      </c>
      <c r="E765" s="25" t="str">
        <f>IF($A765="","",'Lot Balance'!$H764)</f>
        <v/>
      </c>
      <c r="F765" s="23" t="str">
        <f>IF($A765="","",'Lot Balance'!$I764)</f>
        <v/>
      </c>
      <c r="G765" s="23" t="str">
        <f>IF($A765="","",'Lot Balance'!$O764)</f>
        <v/>
      </c>
      <c r="H765" s="33" t="str">
        <f>IF($A765="","",'Lot Balance'!$P764)</f>
        <v/>
      </c>
      <c r="I765" s="26" t="str">
        <f>IF($A765="","",COUNTIFS(tblIssues[Lot Number],$B765))</f>
        <v/>
      </c>
      <c r="J765" s="31" t="str">
        <f>IF($A765="","",IF('Lot Balance'!$O764&lt;=0,"Depleted",'Lot Balance'!$Q764))</f>
        <v/>
      </c>
    </row>
    <row r="766" spans="1:10" x14ac:dyDescent="0.35">
      <c r="A766" s="18" t="str">
        <f>IF('Lot Balance'!$A765="","",'Lot Balance'!$A765)</f>
        <v/>
      </c>
      <c r="B766" s="18" t="str">
        <f>IF($A766="","",'Lot Balance'!$B765)</f>
        <v/>
      </c>
      <c r="C766" s="18" t="str">
        <f>IF($A766="","",'Lot Balance'!$C765)</f>
        <v/>
      </c>
      <c r="D766" s="25" t="str">
        <f>IF($A766="","",'Lot Balance'!$G765)</f>
        <v/>
      </c>
      <c r="E766" s="25" t="str">
        <f>IF($A766="","",'Lot Balance'!$H765)</f>
        <v/>
      </c>
      <c r="F766" s="23" t="str">
        <f>IF($A766="","",'Lot Balance'!$I765)</f>
        <v/>
      </c>
      <c r="G766" s="23" t="str">
        <f>IF($A766="","",'Lot Balance'!$O765)</f>
        <v/>
      </c>
      <c r="H766" s="33" t="str">
        <f>IF($A766="","",'Lot Balance'!$P765)</f>
        <v/>
      </c>
      <c r="I766" s="26" t="str">
        <f>IF($A766="","",COUNTIFS(tblIssues[Lot Number],$B766))</f>
        <v/>
      </c>
      <c r="J766" s="31" t="str">
        <f>IF($A766="","",IF('Lot Balance'!$O765&lt;=0,"Depleted",'Lot Balance'!$Q765))</f>
        <v/>
      </c>
    </row>
    <row r="767" spans="1:10" x14ac:dyDescent="0.35">
      <c r="A767" s="18" t="str">
        <f>IF('Lot Balance'!$A766="","",'Lot Balance'!$A766)</f>
        <v/>
      </c>
      <c r="B767" s="18" t="str">
        <f>IF($A767="","",'Lot Balance'!$B766)</f>
        <v/>
      </c>
      <c r="C767" s="18" t="str">
        <f>IF($A767="","",'Lot Balance'!$C766)</f>
        <v/>
      </c>
      <c r="D767" s="25" t="str">
        <f>IF($A767="","",'Lot Balance'!$G766)</f>
        <v/>
      </c>
      <c r="E767" s="25" t="str">
        <f>IF($A767="","",'Lot Balance'!$H766)</f>
        <v/>
      </c>
      <c r="F767" s="23" t="str">
        <f>IF($A767="","",'Lot Balance'!$I766)</f>
        <v/>
      </c>
      <c r="G767" s="23" t="str">
        <f>IF($A767="","",'Lot Balance'!$O766)</f>
        <v/>
      </c>
      <c r="H767" s="33" t="str">
        <f>IF($A767="","",'Lot Balance'!$P766)</f>
        <v/>
      </c>
      <c r="I767" s="26" t="str">
        <f>IF($A767="","",COUNTIFS(tblIssues[Lot Number],$B767))</f>
        <v/>
      </c>
      <c r="J767" s="31" t="str">
        <f>IF($A767="","",IF('Lot Balance'!$O766&lt;=0,"Depleted",'Lot Balance'!$Q766))</f>
        <v/>
      </c>
    </row>
    <row r="768" spans="1:10" x14ac:dyDescent="0.35">
      <c r="A768" s="18" t="str">
        <f>IF('Lot Balance'!$A767="","",'Lot Balance'!$A767)</f>
        <v/>
      </c>
      <c r="B768" s="18" t="str">
        <f>IF($A768="","",'Lot Balance'!$B767)</f>
        <v/>
      </c>
      <c r="C768" s="18" t="str">
        <f>IF($A768="","",'Lot Balance'!$C767)</f>
        <v/>
      </c>
      <c r="D768" s="25" t="str">
        <f>IF($A768="","",'Lot Balance'!$G767)</f>
        <v/>
      </c>
      <c r="E768" s="25" t="str">
        <f>IF($A768="","",'Lot Balance'!$H767)</f>
        <v/>
      </c>
      <c r="F768" s="23" t="str">
        <f>IF($A768="","",'Lot Balance'!$I767)</f>
        <v/>
      </c>
      <c r="G768" s="23" t="str">
        <f>IF($A768="","",'Lot Balance'!$O767)</f>
        <v/>
      </c>
      <c r="H768" s="33" t="str">
        <f>IF($A768="","",'Lot Balance'!$P767)</f>
        <v/>
      </c>
      <c r="I768" s="26" t="str">
        <f>IF($A768="","",COUNTIFS(tblIssues[Lot Number],$B768))</f>
        <v/>
      </c>
      <c r="J768" s="31" t="str">
        <f>IF($A768="","",IF('Lot Balance'!$O767&lt;=0,"Depleted",'Lot Balance'!$Q767))</f>
        <v/>
      </c>
    </row>
    <row r="769" spans="1:10" x14ac:dyDescent="0.35">
      <c r="A769" s="18" t="str">
        <f>IF('Lot Balance'!$A768="","",'Lot Balance'!$A768)</f>
        <v/>
      </c>
      <c r="B769" s="18" t="str">
        <f>IF($A769="","",'Lot Balance'!$B768)</f>
        <v/>
      </c>
      <c r="C769" s="18" t="str">
        <f>IF($A769="","",'Lot Balance'!$C768)</f>
        <v/>
      </c>
      <c r="D769" s="25" t="str">
        <f>IF($A769="","",'Lot Balance'!$G768)</f>
        <v/>
      </c>
      <c r="E769" s="25" t="str">
        <f>IF($A769="","",'Lot Balance'!$H768)</f>
        <v/>
      </c>
      <c r="F769" s="23" t="str">
        <f>IF($A769="","",'Lot Balance'!$I768)</f>
        <v/>
      </c>
      <c r="G769" s="23" t="str">
        <f>IF($A769="","",'Lot Balance'!$O768)</f>
        <v/>
      </c>
      <c r="H769" s="33" t="str">
        <f>IF($A769="","",'Lot Balance'!$P768)</f>
        <v/>
      </c>
      <c r="I769" s="26" t="str">
        <f>IF($A769="","",COUNTIFS(tblIssues[Lot Number],$B769))</f>
        <v/>
      </c>
      <c r="J769" s="31" t="str">
        <f>IF($A769="","",IF('Lot Balance'!$O768&lt;=0,"Depleted",'Lot Balance'!$Q768))</f>
        <v/>
      </c>
    </row>
    <row r="770" spans="1:10" x14ac:dyDescent="0.35">
      <c r="A770" s="18" t="str">
        <f>IF('Lot Balance'!$A769="","",'Lot Balance'!$A769)</f>
        <v/>
      </c>
      <c r="B770" s="18" t="str">
        <f>IF($A770="","",'Lot Balance'!$B769)</f>
        <v/>
      </c>
      <c r="C770" s="18" t="str">
        <f>IF($A770="","",'Lot Balance'!$C769)</f>
        <v/>
      </c>
      <c r="D770" s="25" t="str">
        <f>IF($A770="","",'Lot Balance'!$G769)</f>
        <v/>
      </c>
      <c r="E770" s="25" t="str">
        <f>IF($A770="","",'Lot Balance'!$H769)</f>
        <v/>
      </c>
      <c r="F770" s="23" t="str">
        <f>IF($A770="","",'Lot Balance'!$I769)</f>
        <v/>
      </c>
      <c r="G770" s="23" t="str">
        <f>IF($A770="","",'Lot Balance'!$O769)</f>
        <v/>
      </c>
      <c r="H770" s="33" t="str">
        <f>IF($A770="","",'Lot Balance'!$P769)</f>
        <v/>
      </c>
      <c r="I770" s="26" t="str">
        <f>IF($A770="","",COUNTIFS(tblIssues[Lot Number],$B770))</f>
        <v/>
      </c>
      <c r="J770" s="31" t="str">
        <f>IF($A770="","",IF('Lot Balance'!$O769&lt;=0,"Depleted",'Lot Balance'!$Q769))</f>
        <v/>
      </c>
    </row>
    <row r="771" spans="1:10" x14ac:dyDescent="0.35">
      <c r="A771" s="18" t="str">
        <f>IF('Lot Balance'!$A770="","",'Lot Balance'!$A770)</f>
        <v/>
      </c>
      <c r="B771" s="18" t="str">
        <f>IF($A771="","",'Lot Balance'!$B770)</f>
        <v/>
      </c>
      <c r="C771" s="18" t="str">
        <f>IF($A771="","",'Lot Balance'!$C770)</f>
        <v/>
      </c>
      <c r="D771" s="25" t="str">
        <f>IF($A771="","",'Lot Balance'!$G770)</f>
        <v/>
      </c>
      <c r="E771" s="25" t="str">
        <f>IF($A771="","",'Lot Balance'!$H770)</f>
        <v/>
      </c>
      <c r="F771" s="23" t="str">
        <f>IF($A771="","",'Lot Balance'!$I770)</f>
        <v/>
      </c>
      <c r="G771" s="23" t="str">
        <f>IF($A771="","",'Lot Balance'!$O770)</f>
        <v/>
      </c>
      <c r="H771" s="33" t="str">
        <f>IF($A771="","",'Lot Balance'!$P770)</f>
        <v/>
      </c>
      <c r="I771" s="26" t="str">
        <f>IF($A771="","",COUNTIFS(tblIssues[Lot Number],$B771))</f>
        <v/>
      </c>
      <c r="J771" s="31" t="str">
        <f>IF($A771="","",IF('Lot Balance'!$O770&lt;=0,"Depleted",'Lot Balance'!$Q770))</f>
        <v/>
      </c>
    </row>
    <row r="772" spans="1:10" x14ac:dyDescent="0.35">
      <c r="A772" s="18" t="str">
        <f>IF('Lot Balance'!$A771="","",'Lot Balance'!$A771)</f>
        <v/>
      </c>
      <c r="B772" s="18" t="str">
        <f>IF($A772="","",'Lot Balance'!$B771)</f>
        <v/>
      </c>
      <c r="C772" s="18" t="str">
        <f>IF($A772="","",'Lot Balance'!$C771)</f>
        <v/>
      </c>
      <c r="D772" s="25" t="str">
        <f>IF($A772="","",'Lot Balance'!$G771)</f>
        <v/>
      </c>
      <c r="E772" s="25" t="str">
        <f>IF($A772="","",'Lot Balance'!$H771)</f>
        <v/>
      </c>
      <c r="F772" s="23" t="str">
        <f>IF($A772="","",'Lot Balance'!$I771)</f>
        <v/>
      </c>
      <c r="G772" s="23" t="str">
        <f>IF($A772="","",'Lot Balance'!$O771)</f>
        <v/>
      </c>
      <c r="H772" s="33" t="str">
        <f>IF($A772="","",'Lot Balance'!$P771)</f>
        <v/>
      </c>
      <c r="I772" s="26" t="str">
        <f>IF($A772="","",COUNTIFS(tblIssues[Lot Number],$B772))</f>
        <v/>
      </c>
      <c r="J772" s="31" t="str">
        <f>IF($A772="","",IF('Lot Balance'!$O771&lt;=0,"Depleted",'Lot Balance'!$Q771))</f>
        <v/>
      </c>
    </row>
    <row r="773" spans="1:10" x14ac:dyDescent="0.35">
      <c r="A773" s="18" t="str">
        <f>IF('Lot Balance'!$A772="","",'Lot Balance'!$A772)</f>
        <v/>
      </c>
      <c r="B773" s="18" t="str">
        <f>IF($A773="","",'Lot Balance'!$B772)</f>
        <v/>
      </c>
      <c r="C773" s="18" t="str">
        <f>IF($A773="","",'Lot Balance'!$C772)</f>
        <v/>
      </c>
      <c r="D773" s="25" t="str">
        <f>IF($A773="","",'Lot Balance'!$G772)</f>
        <v/>
      </c>
      <c r="E773" s="25" t="str">
        <f>IF($A773="","",'Lot Balance'!$H772)</f>
        <v/>
      </c>
      <c r="F773" s="23" t="str">
        <f>IF($A773="","",'Lot Balance'!$I772)</f>
        <v/>
      </c>
      <c r="G773" s="23" t="str">
        <f>IF($A773="","",'Lot Balance'!$O772)</f>
        <v/>
      </c>
      <c r="H773" s="33" t="str">
        <f>IF($A773="","",'Lot Balance'!$P772)</f>
        <v/>
      </c>
      <c r="I773" s="26" t="str">
        <f>IF($A773="","",COUNTIFS(tblIssues[Lot Number],$B773))</f>
        <v/>
      </c>
      <c r="J773" s="31" t="str">
        <f>IF($A773="","",IF('Lot Balance'!$O772&lt;=0,"Depleted",'Lot Balance'!$Q772))</f>
        <v/>
      </c>
    </row>
    <row r="774" spans="1:10" x14ac:dyDescent="0.35">
      <c r="A774" s="18" t="str">
        <f>IF('Lot Balance'!$A773="","",'Lot Balance'!$A773)</f>
        <v/>
      </c>
      <c r="B774" s="18" t="str">
        <f>IF($A774="","",'Lot Balance'!$B773)</f>
        <v/>
      </c>
      <c r="C774" s="18" t="str">
        <f>IF($A774="","",'Lot Balance'!$C773)</f>
        <v/>
      </c>
      <c r="D774" s="25" t="str">
        <f>IF($A774="","",'Lot Balance'!$G773)</f>
        <v/>
      </c>
      <c r="E774" s="25" t="str">
        <f>IF($A774="","",'Lot Balance'!$H773)</f>
        <v/>
      </c>
      <c r="F774" s="23" t="str">
        <f>IF($A774="","",'Lot Balance'!$I773)</f>
        <v/>
      </c>
      <c r="G774" s="23" t="str">
        <f>IF($A774="","",'Lot Balance'!$O773)</f>
        <v/>
      </c>
      <c r="H774" s="33" t="str">
        <f>IF($A774="","",'Lot Balance'!$P773)</f>
        <v/>
      </c>
      <c r="I774" s="26" t="str">
        <f>IF($A774="","",COUNTIFS(tblIssues[Lot Number],$B774))</f>
        <v/>
      </c>
      <c r="J774" s="31" t="str">
        <f>IF($A774="","",IF('Lot Balance'!$O773&lt;=0,"Depleted",'Lot Balance'!$Q773))</f>
        <v/>
      </c>
    </row>
    <row r="775" spans="1:10" x14ac:dyDescent="0.35">
      <c r="A775" s="18" t="str">
        <f>IF('Lot Balance'!$A774="","",'Lot Balance'!$A774)</f>
        <v/>
      </c>
      <c r="B775" s="18" t="str">
        <f>IF($A775="","",'Lot Balance'!$B774)</f>
        <v/>
      </c>
      <c r="C775" s="18" t="str">
        <f>IF($A775="","",'Lot Balance'!$C774)</f>
        <v/>
      </c>
      <c r="D775" s="25" t="str">
        <f>IF($A775="","",'Lot Balance'!$G774)</f>
        <v/>
      </c>
      <c r="E775" s="25" t="str">
        <f>IF($A775="","",'Lot Balance'!$H774)</f>
        <v/>
      </c>
      <c r="F775" s="23" t="str">
        <f>IF($A775="","",'Lot Balance'!$I774)</f>
        <v/>
      </c>
      <c r="G775" s="23" t="str">
        <f>IF($A775="","",'Lot Balance'!$O774)</f>
        <v/>
      </c>
      <c r="H775" s="33" t="str">
        <f>IF($A775="","",'Lot Balance'!$P774)</f>
        <v/>
      </c>
      <c r="I775" s="26" t="str">
        <f>IF($A775="","",COUNTIFS(tblIssues[Lot Number],$B775))</f>
        <v/>
      </c>
      <c r="J775" s="31" t="str">
        <f>IF($A775="","",IF('Lot Balance'!$O774&lt;=0,"Depleted",'Lot Balance'!$Q774))</f>
        <v/>
      </c>
    </row>
    <row r="776" spans="1:10" x14ac:dyDescent="0.35">
      <c r="A776" s="18" t="str">
        <f>IF('Lot Balance'!$A775="","",'Lot Balance'!$A775)</f>
        <v/>
      </c>
      <c r="B776" s="18" t="str">
        <f>IF($A776="","",'Lot Balance'!$B775)</f>
        <v/>
      </c>
      <c r="C776" s="18" t="str">
        <f>IF($A776="","",'Lot Balance'!$C775)</f>
        <v/>
      </c>
      <c r="D776" s="25" t="str">
        <f>IF($A776="","",'Lot Balance'!$G775)</f>
        <v/>
      </c>
      <c r="E776" s="25" t="str">
        <f>IF($A776="","",'Lot Balance'!$H775)</f>
        <v/>
      </c>
      <c r="F776" s="23" t="str">
        <f>IF($A776="","",'Lot Balance'!$I775)</f>
        <v/>
      </c>
      <c r="G776" s="23" t="str">
        <f>IF($A776="","",'Lot Balance'!$O775)</f>
        <v/>
      </c>
      <c r="H776" s="33" t="str">
        <f>IF($A776="","",'Lot Balance'!$P775)</f>
        <v/>
      </c>
      <c r="I776" s="26" t="str">
        <f>IF($A776="","",COUNTIFS(tblIssues[Lot Number],$B776))</f>
        <v/>
      </c>
      <c r="J776" s="31" t="str">
        <f>IF($A776="","",IF('Lot Balance'!$O775&lt;=0,"Depleted",'Lot Balance'!$Q775))</f>
        <v/>
      </c>
    </row>
    <row r="777" spans="1:10" x14ac:dyDescent="0.35">
      <c r="A777" s="18" t="str">
        <f>IF('Lot Balance'!$A776="","",'Lot Balance'!$A776)</f>
        <v/>
      </c>
      <c r="B777" s="18" t="str">
        <f>IF($A777="","",'Lot Balance'!$B776)</f>
        <v/>
      </c>
      <c r="C777" s="18" t="str">
        <f>IF($A777="","",'Lot Balance'!$C776)</f>
        <v/>
      </c>
      <c r="D777" s="25" t="str">
        <f>IF($A777="","",'Lot Balance'!$G776)</f>
        <v/>
      </c>
      <c r="E777" s="25" t="str">
        <f>IF($A777="","",'Lot Balance'!$H776)</f>
        <v/>
      </c>
      <c r="F777" s="23" t="str">
        <f>IF($A777="","",'Lot Balance'!$I776)</f>
        <v/>
      </c>
      <c r="G777" s="23" t="str">
        <f>IF($A777="","",'Lot Balance'!$O776)</f>
        <v/>
      </c>
      <c r="H777" s="33" t="str">
        <f>IF($A777="","",'Lot Balance'!$P776)</f>
        <v/>
      </c>
      <c r="I777" s="26" t="str">
        <f>IF($A777="","",COUNTIFS(tblIssues[Lot Number],$B777))</f>
        <v/>
      </c>
      <c r="J777" s="31" t="str">
        <f>IF($A777="","",IF('Lot Balance'!$O776&lt;=0,"Depleted",'Lot Balance'!$Q776))</f>
        <v/>
      </c>
    </row>
    <row r="778" spans="1:10" x14ac:dyDescent="0.35">
      <c r="A778" s="18" t="str">
        <f>IF('Lot Balance'!$A777="","",'Lot Balance'!$A777)</f>
        <v/>
      </c>
      <c r="B778" s="18" t="str">
        <f>IF($A778="","",'Lot Balance'!$B777)</f>
        <v/>
      </c>
      <c r="C778" s="18" t="str">
        <f>IF($A778="","",'Lot Balance'!$C777)</f>
        <v/>
      </c>
      <c r="D778" s="25" t="str">
        <f>IF($A778="","",'Lot Balance'!$G777)</f>
        <v/>
      </c>
      <c r="E778" s="25" t="str">
        <f>IF($A778="","",'Lot Balance'!$H777)</f>
        <v/>
      </c>
      <c r="F778" s="23" t="str">
        <f>IF($A778="","",'Lot Balance'!$I777)</f>
        <v/>
      </c>
      <c r="G778" s="23" t="str">
        <f>IF($A778="","",'Lot Balance'!$O777)</f>
        <v/>
      </c>
      <c r="H778" s="33" t="str">
        <f>IF($A778="","",'Lot Balance'!$P777)</f>
        <v/>
      </c>
      <c r="I778" s="26" t="str">
        <f>IF($A778="","",COUNTIFS(tblIssues[Lot Number],$B778))</f>
        <v/>
      </c>
      <c r="J778" s="31" t="str">
        <f>IF($A778="","",IF('Lot Balance'!$O777&lt;=0,"Depleted",'Lot Balance'!$Q777))</f>
        <v/>
      </c>
    </row>
    <row r="779" spans="1:10" x14ac:dyDescent="0.35">
      <c r="A779" s="18" t="str">
        <f>IF('Lot Balance'!$A778="","",'Lot Balance'!$A778)</f>
        <v/>
      </c>
      <c r="B779" s="18" t="str">
        <f>IF($A779="","",'Lot Balance'!$B778)</f>
        <v/>
      </c>
      <c r="C779" s="18" t="str">
        <f>IF($A779="","",'Lot Balance'!$C778)</f>
        <v/>
      </c>
      <c r="D779" s="25" t="str">
        <f>IF($A779="","",'Lot Balance'!$G778)</f>
        <v/>
      </c>
      <c r="E779" s="25" t="str">
        <f>IF($A779="","",'Lot Balance'!$H778)</f>
        <v/>
      </c>
      <c r="F779" s="23" t="str">
        <f>IF($A779="","",'Lot Balance'!$I778)</f>
        <v/>
      </c>
      <c r="G779" s="23" t="str">
        <f>IF($A779="","",'Lot Balance'!$O778)</f>
        <v/>
      </c>
      <c r="H779" s="33" t="str">
        <f>IF($A779="","",'Lot Balance'!$P778)</f>
        <v/>
      </c>
      <c r="I779" s="26" t="str">
        <f>IF($A779="","",COUNTIFS(tblIssues[Lot Number],$B779))</f>
        <v/>
      </c>
      <c r="J779" s="31" t="str">
        <f>IF($A779="","",IF('Lot Balance'!$O778&lt;=0,"Depleted",'Lot Balance'!$Q778))</f>
        <v/>
      </c>
    </row>
    <row r="780" spans="1:10" x14ac:dyDescent="0.35">
      <c r="A780" s="18" t="str">
        <f>IF('Lot Balance'!$A779="","",'Lot Balance'!$A779)</f>
        <v/>
      </c>
      <c r="B780" s="18" t="str">
        <f>IF($A780="","",'Lot Balance'!$B779)</f>
        <v/>
      </c>
      <c r="C780" s="18" t="str">
        <f>IF($A780="","",'Lot Balance'!$C779)</f>
        <v/>
      </c>
      <c r="D780" s="25" t="str">
        <f>IF($A780="","",'Lot Balance'!$G779)</f>
        <v/>
      </c>
      <c r="E780" s="25" t="str">
        <f>IF($A780="","",'Lot Balance'!$H779)</f>
        <v/>
      </c>
      <c r="F780" s="23" t="str">
        <f>IF($A780="","",'Lot Balance'!$I779)</f>
        <v/>
      </c>
      <c r="G780" s="23" t="str">
        <f>IF($A780="","",'Lot Balance'!$O779)</f>
        <v/>
      </c>
      <c r="H780" s="33" t="str">
        <f>IF($A780="","",'Lot Balance'!$P779)</f>
        <v/>
      </c>
      <c r="I780" s="26" t="str">
        <f>IF($A780="","",COUNTIFS(tblIssues[Lot Number],$B780))</f>
        <v/>
      </c>
      <c r="J780" s="31" t="str">
        <f>IF($A780="","",IF('Lot Balance'!$O779&lt;=0,"Depleted",'Lot Balance'!$Q779))</f>
        <v/>
      </c>
    </row>
    <row r="781" spans="1:10" x14ac:dyDescent="0.35">
      <c r="A781" s="18" t="str">
        <f>IF('Lot Balance'!$A780="","",'Lot Balance'!$A780)</f>
        <v/>
      </c>
      <c r="B781" s="18" t="str">
        <f>IF($A781="","",'Lot Balance'!$B780)</f>
        <v/>
      </c>
      <c r="C781" s="18" t="str">
        <f>IF($A781="","",'Lot Balance'!$C780)</f>
        <v/>
      </c>
      <c r="D781" s="25" t="str">
        <f>IF($A781="","",'Lot Balance'!$G780)</f>
        <v/>
      </c>
      <c r="E781" s="25" t="str">
        <f>IF($A781="","",'Lot Balance'!$H780)</f>
        <v/>
      </c>
      <c r="F781" s="23" t="str">
        <f>IF($A781="","",'Lot Balance'!$I780)</f>
        <v/>
      </c>
      <c r="G781" s="23" t="str">
        <f>IF($A781="","",'Lot Balance'!$O780)</f>
        <v/>
      </c>
      <c r="H781" s="33" t="str">
        <f>IF($A781="","",'Lot Balance'!$P780)</f>
        <v/>
      </c>
      <c r="I781" s="26" t="str">
        <f>IF($A781="","",COUNTIFS(tblIssues[Lot Number],$B781))</f>
        <v/>
      </c>
      <c r="J781" s="31" t="str">
        <f>IF($A781="","",IF('Lot Balance'!$O780&lt;=0,"Depleted",'Lot Balance'!$Q780))</f>
        <v/>
      </c>
    </row>
    <row r="782" spans="1:10" x14ac:dyDescent="0.35">
      <c r="A782" s="18" t="str">
        <f>IF('Lot Balance'!$A781="","",'Lot Balance'!$A781)</f>
        <v/>
      </c>
      <c r="B782" s="18" t="str">
        <f>IF($A782="","",'Lot Balance'!$B781)</f>
        <v/>
      </c>
      <c r="C782" s="18" t="str">
        <f>IF($A782="","",'Lot Balance'!$C781)</f>
        <v/>
      </c>
      <c r="D782" s="25" t="str">
        <f>IF($A782="","",'Lot Balance'!$G781)</f>
        <v/>
      </c>
      <c r="E782" s="25" t="str">
        <f>IF($A782="","",'Lot Balance'!$H781)</f>
        <v/>
      </c>
      <c r="F782" s="23" t="str">
        <f>IF($A782="","",'Lot Balance'!$I781)</f>
        <v/>
      </c>
      <c r="G782" s="23" t="str">
        <f>IF($A782="","",'Lot Balance'!$O781)</f>
        <v/>
      </c>
      <c r="H782" s="33" t="str">
        <f>IF($A782="","",'Lot Balance'!$P781)</f>
        <v/>
      </c>
      <c r="I782" s="26" t="str">
        <f>IF($A782="","",COUNTIFS(tblIssues[Lot Number],$B782))</f>
        <v/>
      </c>
      <c r="J782" s="31" t="str">
        <f>IF($A782="","",IF('Lot Balance'!$O781&lt;=0,"Depleted",'Lot Balance'!$Q781))</f>
        <v/>
      </c>
    </row>
    <row r="783" spans="1:10" x14ac:dyDescent="0.35">
      <c r="A783" s="18" t="str">
        <f>IF('Lot Balance'!$A782="","",'Lot Balance'!$A782)</f>
        <v/>
      </c>
      <c r="B783" s="18" t="str">
        <f>IF($A783="","",'Lot Balance'!$B782)</f>
        <v/>
      </c>
      <c r="C783" s="18" t="str">
        <f>IF($A783="","",'Lot Balance'!$C782)</f>
        <v/>
      </c>
      <c r="D783" s="25" t="str">
        <f>IF($A783="","",'Lot Balance'!$G782)</f>
        <v/>
      </c>
      <c r="E783" s="25" t="str">
        <f>IF($A783="","",'Lot Balance'!$H782)</f>
        <v/>
      </c>
      <c r="F783" s="23" t="str">
        <f>IF($A783="","",'Lot Balance'!$I782)</f>
        <v/>
      </c>
      <c r="G783" s="23" t="str">
        <f>IF($A783="","",'Lot Balance'!$O782)</f>
        <v/>
      </c>
      <c r="H783" s="33" t="str">
        <f>IF($A783="","",'Lot Balance'!$P782)</f>
        <v/>
      </c>
      <c r="I783" s="26" t="str">
        <f>IF($A783="","",COUNTIFS(tblIssues[Lot Number],$B783))</f>
        <v/>
      </c>
      <c r="J783" s="31" t="str">
        <f>IF($A783="","",IF('Lot Balance'!$O782&lt;=0,"Depleted",'Lot Balance'!$Q782))</f>
        <v/>
      </c>
    </row>
    <row r="784" spans="1:10" x14ac:dyDescent="0.35">
      <c r="A784" s="18" t="str">
        <f>IF('Lot Balance'!$A783="","",'Lot Balance'!$A783)</f>
        <v/>
      </c>
      <c r="B784" s="18" t="str">
        <f>IF($A784="","",'Lot Balance'!$B783)</f>
        <v/>
      </c>
      <c r="C784" s="18" t="str">
        <f>IF($A784="","",'Lot Balance'!$C783)</f>
        <v/>
      </c>
      <c r="D784" s="25" t="str">
        <f>IF($A784="","",'Lot Balance'!$G783)</f>
        <v/>
      </c>
      <c r="E784" s="25" t="str">
        <f>IF($A784="","",'Lot Balance'!$H783)</f>
        <v/>
      </c>
      <c r="F784" s="23" t="str">
        <f>IF($A784="","",'Lot Balance'!$I783)</f>
        <v/>
      </c>
      <c r="G784" s="23" t="str">
        <f>IF($A784="","",'Lot Balance'!$O783)</f>
        <v/>
      </c>
      <c r="H784" s="33" t="str">
        <f>IF($A784="","",'Lot Balance'!$P783)</f>
        <v/>
      </c>
      <c r="I784" s="26" t="str">
        <f>IF($A784="","",COUNTIFS(tblIssues[Lot Number],$B784))</f>
        <v/>
      </c>
      <c r="J784" s="31" t="str">
        <f>IF($A784="","",IF('Lot Balance'!$O783&lt;=0,"Depleted",'Lot Balance'!$Q783))</f>
        <v/>
      </c>
    </row>
    <row r="785" spans="1:10" x14ac:dyDescent="0.35">
      <c r="A785" s="18" t="str">
        <f>IF('Lot Balance'!$A784="","",'Lot Balance'!$A784)</f>
        <v/>
      </c>
      <c r="B785" s="18" t="str">
        <f>IF($A785="","",'Lot Balance'!$B784)</f>
        <v/>
      </c>
      <c r="C785" s="18" t="str">
        <f>IF($A785="","",'Lot Balance'!$C784)</f>
        <v/>
      </c>
      <c r="D785" s="25" t="str">
        <f>IF($A785="","",'Lot Balance'!$G784)</f>
        <v/>
      </c>
      <c r="E785" s="25" t="str">
        <f>IF($A785="","",'Lot Balance'!$H784)</f>
        <v/>
      </c>
      <c r="F785" s="23" t="str">
        <f>IF($A785="","",'Lot Balance'!$I784)</f>
        <v/>
      </c>
      <c r="G785" s="23" t="str">
        <f>IF($A785="","",'Lot Balance'!$O784)</f>
        <v/>
      </c>
      <c r="H785" s="33" t="str">
        <f>IF($A785="","",'Lot Balance'!$P784)</f>
        <v/>
      </c>
      <c r="I785" s="26" t="str">
        <f>IF($A785="","",COUNTIFS(tblIssues[Lot Number],$B785))</f>
        <v/>
      </c>
      <c r="J785" s="31" t="str">
        <f>IF($A785="","",IF('Lot Balance'!$O784&lt;=0,"Depleted",'Lot Balance'!$Q784))</f>
        <v/>
      </c>
    </row>
    <row r="786" spans="1:10" x14ac:dyDescent="0.35">
      <c r="A786" s="18" t="str">
        <f>IF('Lot Balance'!$A785="","",'Lot Balance'!$A785)</f>
        <v/>
      </c>
      <c r="B786" s="18" t="str">
        <f>IF($A786="","",'Lot Balance'!$B785)</f>
        <v/>
      </c>
      <c r="C786" s="18" t="str">
        <f>IF($A786="","",'Lot Balance'!$C785)</f>
        <v/>
      </c>
      <c r="D786" s="25" t="str">
        <f>IF($A786="","",'Lot Balance'!$G785)</f>
        <v/>
      </c>
      <c r="E786" s="25" t="str">
        <f>IF($A786="","",'Lot Balance'!$H785)</f>
        <v/>
      </c>
      <c r="F786" s="23" t="str">
        <f>IF($A786="","",'Lot Balance'!$I785)</f>
        <v/>
      </c>
      <c r="G786" s="23" t="str">
        <f>IF($A786="","",'Lot Balance'!$O785)</f>
        <v/>
      </c>
      <c r="H786" s="33" t="str">
        <f>IF($A786="","",'Lot Balance'!$P785)</f>
        <v/>
      </c>
      <c r="I786" s="26" t="str">
        <f>IF($A786="","",COUNTIFS(tblIssues[Lot Number],$B786))</f>
        <v/>
      </c>
      <c r="J786" s="31" t="str">
        <f>IF($A786="","",IF('Lot Balance'!$O785&lt;=0,"Depleted",'Lot Balance'!$Q785))</f>
        <v/>
      </c>
    </row>
    <row r="787" spans="1:10" x14ac:dyDescent="0.35">
      <c r="A787" s="18" t="str">
        <f>IF('Lot Balance'!$A786="","",'Lot Balance'!$A786)</f>
        <v/>
      </c>
      <c r="B787" s="18" t="str">
        <f>IF($A787="","",'Lot Balance'!$B786)</f>
        <v/>
      </c>
      <c r="C787" s="18" t="str">
        <f>IF($A787="","",'Lot Balance'!$C786)</f>
        <v/>
      </c>
      <c r="D787" s="25" t="str">
        <f>IF($A787="","",'Lot Balance'!$G786)</f>
        <v/>
      </c>
      <c r="E787" s="25" t="str">
        <f>IF($A787="","",'Lot Balance'!$H786)</f>
        <v/>
      </c>
      <c r="F787" s="23" t="str">
        <f>IF($A787="","",'Lot Balance'!$I786)</f>
        <v/>
      </c>
      <c r="G787" s="23" t="str">
        <f>IF($A787="","",'Lot Balance'!$O786)</f>
        <v/>
      </c>
      <c r="H787" s="33" t="str">
        <f>IF($A787="","",'Lot Balance'!$P786)</f>
        <v/>
      </c>
      <c r="I787" s="26" t="str">
        <f>IF($A787="","",COUNTIFS(tblIssues[Lot Number],$B787))</f>
        <v/>
      </c>
      <c r="J787" s="31" t="str">
        <f>IF($A787="","",IF('Lot Balance'!$O786&lt;=0,"Depleted",'Lot Balance'!$Q786))</f>
        <v/>
      </c>
    </row>
    <row r="788" spans="1:10" x14ac:dyDescent="0.35">
      <c r="A788" s="18" t="str">
        <f>IF('Lot Balance'!$A787="","",'Lot Balance'!$A787)</f>
        <v/>
      </c>
      <c r="B788" s="18" t="str">
        <f>IF($A788="","",'Lot Balance'!$B787)</f>
        <v/>
      </c>
      <c r="C788" s="18" t="str">
        <f>IF($A788="","",'Lot Balance'!$C787)</f>
        <v/>
      </c>
      <c r="D788" s="25" t="str">
        <f>IF($A788="","",'Lot Balance'!$G787)</f>
        <v/>
      </c>
      <c r="E788" s="25" t="str">
        <f>IF($A788="","",'Lot Balance'!$H787)</f>
        <v/>
      </c>
      <c r="F788" s="23" t="str">
        <f>IF($A788="","",'Lot Balance'!$I787)</f>
        <v/>
      </c>
      <c r="G788" s="23" t="str">
        <f>IF($A788="","",'Lot Balance'!$O787)</f>
        <v/>
      </c>
      <c r="H788" s="33" t="str">
        <f>IF($A788="","",'Lot Balance'!$P787)</f>
        <v/>
      </c>
      <c r="I788" s="26" t="str">
        <f>IF($A788="","",COUNTIFS(tblIssues[Lot Number],$B788))</f>
        <v/>
      </c>
      <c r="J788" s="31" t="str">
        <f>IF($A788="","",IF('Lot Balance'!$O787&lt;=0,"Depleted",'Lot Balance'!$Q787))</f>
        <v/>
      </c>
    </row>
    <row r="789" spans="1:10" x14ac:dyDescent="0.35">
      <c r="A789" s="18" t="str">
        <f>IF('Lot Balance'!$A788="","",'Lot Balance'!$A788)</f>
        <v/>
      </c>
      <c r="B789" s="18" t="str">
        <f>IF($A789="","",'Lot Balance'!$B788)</f>
        <v/>
      </c>
      <c r="C789" s="18" t="str">
        <f>IF($A789="","",'Lot Balance'!$C788)</f>
        <v/>
      </c>
      <c r="D789" s="25" t="str">
        <f>IF($A789="","",'Lot Balance'!$G788)</f>
        <v/>
      </c>
      <c r="E789" s="25" t="str">
        <f>IF($A789="","",'Lot Balance'!$H788)</f>
        <v/>
      </c>
      <c r="F789" s="23" t="str">
        <f>IF($A789="","",'Lot Balance'!$I788)</f>
        <v/>
      </c>
      <c r="G789" s="23" t="str">
        <f>IF($A789="","",'Lot Balance'!$O788)</f>
        <v/>
      </c>
      <c r="H789" s="33" t="str">
        <f>IF($A789="","",'Lot Balance'!$P788)</f>
        <v/>
      </c>
      <c r="I789" s="26" t="str">
        <f>IF($A789="","",COUNTIFS(tblIssues[Lot Number],$B789))</f>
        <v/>
      </c>
      <c r="J789" s="31" t="str">
        <f>IF($A789="","",IF('Lot Balance'!$O788&lt;=0,"Depleted",'Lot Balance'!$Q788))</f>
        <v/>
      </c>
    </row>
    <row r="790" spans="1:10" x14ac:dyDescent="0.35">
      <c r="A790" s="18" t="str">
        <f>IF('Lot Balance'!$A789="","",'Lot Balance'!$A789)</f>
        <v/>
      </c>
      <c r="B790" s="18" t="str">
        <f>IF($A790="","",'Lot Balance'!$B789)</f>
        <v/>
      </c>
      <c r="C790" s="18" t="str">
        <f>IF($A790="","",'Lot Balance'!$C789)</f>
        <v/>
      </c>
      <c r="D790" s="25" t="str">
        <f>IF($A790="","",'Lot Balance'!$G789)</f>
        <v/>
      </c>
      <c r="E790" s="25" t="str">
        <f>IF($A790="","",'Lot Balance'!$H789)</f>
        <v/>
      </c>
      <c r="F790" s="23" t="str">
        <f>IF($A790="","",'Lot Balance'!$I789)</f>
        <v/>
      </c>
      <c r="G790" s="23" t="str">
        <f>IF($A790="","",'Lot Balance'!$O789)</f>
        <v/>
      </c>
      <c r="H790" s="33" t="str">
        <f>IF($A790="","",'Lot Balance'!$P789)</f>
        <v/>
      </c>
      <c r="I790" s="26" t="str">
        <f>IF($A790="","",COUNTIFS(tblIssues[Lot Number],$B790))</f>
        <v/>
      </c>
      <c r="J790" s="31" t="str">
        <f>IF($A790="","",IF('Lot Balance'!$O789&lt;=0,"Depleted",'Lot Balance'!$Q789))</f>
        <v/>
      </c>
    </row>
    <row r="791" spans="1:10" x14ac:dyDescent="0.35">
      <c r="A791" s="18" t="str">
        <f>IF('Lot Balance'!$A790="","",'Lot Balance'!$A790)</f>
        <v/>
      </c>
      <c r="B791" s="18" t="str">
        <f>IF($A791="","",'Lot Balance'!$B790)</f>
        <v/>
      </c>
      <c r="C791" s="18" t="str">
        <f>IF($A791="","",'Lot Balance'!$C790)</f>
        <v/>
      </c>
      <c r="D791" s="25" t="str">
        <f>IF($A791="","",'Lot Balance'!$G790)</f>
        <v/>
      </c>
      <c r="E791" s="25" t="str">
        <f>IF($A791="","",'Lot Balance'!$H790)</f>
        <v/>
      </c>
      <c r="F791" s="23" t="str">
        <f>IF($A791="","",'Lot Balance'!$I790)</f>
        <v/>
      </c>
      <c r="G791" s="23" t="str">
        <f>IF($A791="","",'Lot Balance'!$O790)</f>
        <v/>
      </c>
      <c r="H791" s="33" t="str">
        <f>IF($A791="","",'Lot Balance'!$P790)</f>
        <v/>
      </c>
      <c r="I791" s="26" t="str">
        <f>IF($A791="","",COUNTIFS(tblIssues[Lot Number],$B791))</f>
        <v/>
      </c>
      <c r="J791" s="31" t="str">
        <f>IF($A791="","",IF('Lot Balance'!$O790&lt;=0,"Depleted",'Lot Balance'!$Q790))</f>
        <v/>
      </c>
    </row>
    <row r="792" spans="1:10" x14ac:dyDescent="0.35">
      <c r="A792" s="18" t="str">
        <f>IF('Lot Balance'!$A791="","",'Lot Balance'!$A791)</f>
        <v/>
      </c>
      <c r="B792" s="18" t="str">
        <f>IF($A792="","",'Lot Balance'!$B791)</f>
        <v/>
      </c>
      <c r="C792" s="18" t="str">
        <f>IF($A792="","",'Lot Balance'!$C791)</f>
        <v/>
      </c>
      <c r="D792" s="25" t="str">
        <f>IF($A792="","",'Lot Balance'!$G791)</f>
        <v/>
      </c>
      <c r="E792" s="25" t="str">
        <f>IF($A792="","",'Lot Balance'!$H791)</f>
        <v/>
      </c>
      <c r="F792" s="23" t="str">
        <f>IF($A792="","",'Lot Balance'!$I791)</f>
        <v/>
      </c>
      <c r="G792" s="23" t="str">
        <f>IF($A792="","",'Lot Balance'!$O791)</f>
        <v/>
      </c>
      <c r="H792" s="33" t="str">
        <f>IF($A792="","",'Lot Balance'!$P791)</f>
        <v/>
      </c>
      <c r="I792" s="26" t="str">
        <f>IF($A792="","",COUNTIFS(tblIssues[Lot Number],$B792))</f>
        <v/>
      </c>
      <c r="J792" s="31" t="str">
        <f>IF($A792="","",IF('Lot Balance'!$O791&lt;=0,"Depleted",'Lot Balance'!$Q791))</f>
        <v/>
      </c>
    </row>
    <row r="793" spans="1:10" x14ac:dyDescent="0.35">
      <c r="A793" s="18" t="str">
        <f>IF('Lot Balance'!$A792="","",'Lot Balance'!$A792)</f>
        <v/>
      </c>
      <c r="B793" s="18" t="str">
        <f>IF($A793="","",'Lot Balance'!$B792)</f>
        <v/>
      </c>
      <c r="C793" s="18" t="str">
        <f>IF($A793="","",'Lot Balance'!$C792)</f>
        <v/>
      </c>
      <c r="D793" s="25" t="str">
        <f>IF($A793="","",'Lot Balance'!$G792)</f>
        <v/>
      </c>
      <c r="E793" s="25" t="str">
        <f>IF($A793="","",'Lot Balance'!$H792)</f>
        <v/>
      </c>
      <c r="F793" s="23" t="str">
        <f>IF($A793="","",'Lot Balance'!$I792)</f>
        <v/>
      </c>
      <c r="G793" s="23" t="str">
        <f>IF($A793="","",'Lot Balance'!$O792)</f>
        <v/>
      </c>
      <c r="H793" s="33" t="str">
        <f>IF($A793="","",'Lot Balance'!$P792)</f>
        <v/>
      </c>
      <c r="I793" s="26" t="str">
        <f>IF($A793="","",COUNTIFS(tblIssues[Lot Number],$B793))</f>
        <v/>
      </c>
      <c r="J793" s="31" t="str">
        <f>IF($A793="","",IF('Lot Balance'!$O792&lt;=0,"Depleted",'Lot Balance'!$Q792))</f>
        <v/>
      </c>
    </row>
    <row r="794" spans="1:10" x14ac:dyDescent="0.35">
      <c r="A794" s="18" t="str">
        <f>IF('Lot Balance'!$A793="","",'Lot Balance'!$A793)</f>
        <v/>
      </c>
      <c r="B794" s="18" t="str">
        <f>IF($A794="","",'Lot Balance'!$B793)</f>
        <v/>
      </c>
      <c r="C794" s="18" t="str">
        <f>IF($A794="","",'Lot Balance'!$C793)</f>
        <v/>
      </c>
      <c r="D794" s="25" t="str">
        <f>IF($A794="","",'Lot Balance'!$G793)</f>
        <v/>
      </c>
      <c r="E794" s="25" t="str">
        <f>IF($A794="","",'Lot Balance'!$H793)</f>
        <v/>
      </c>
      <c r="F794" s="23" t="str">
        <f>IF($A794="","",'Lot Balance'!$I793)</f>
        <v/>
      </c>
      <c r="G794" s="23" t="str">
        <f>IF($A794="","",'Lot Balance'!$O793)</f>
        <v/>
      </c>
      <c r="H794" s="33" t="str">
        <f>IF($A794="","",'Lot Balance'!$P793)</f>
        <v/>
      </c>
      <c r="I794" s="26" t="str">
        <f>IF($A794="","",COUNTIFS(tblIssues[Lot Number],$B794))</f>
        <v/>
      </c>
      <c r="J794" s="31" t="str">
        <f>IF($A794="","",IF('Lot Balance'!$O793&lt;=0,"Depleted",'Lot Balance'!$Q793))</f>
        <v/>
      </c>
    </row>
    <row r="795" spans="1:10" x14ac:dyDescent="0.35">
      <c r="A795" s="18" t="str">
        <f>IF('Lot Balance'!$A794="","",'Lot Balance'!$A794)</f>
        <v/>
      </c>
      <c r="B795" s="18" t="str">
        <f>IF($A795="","",'Lot Balance'!$B794)</f>
        <v/>
      </c>
      <c r="C795" s="18" t="str">
        <f>IF($A795="","",'Lot Balance'!$C794)</f>
        <v/>
      </c>
      <c r="D795" s="25" t="str">
        <f>IF($A795="","",'Lot Balance'!$G794)</f>
        <v/>
      </c>
      <c r="E795" s="25" t="str">
        <f>IF($A795="","",'Lot Balance'!$H794)</f>
        <v/>
      </c>
      <c r="F795" s="23" t="str">
        <f>IF($A795="","",'Lot Balance'!$I794)</f>
        <v/>
      </c>
      <c r="G795" s="23" t="str">
        <f>IF($A795="","",'Lot Balance'!$O794)</f>
        <v/>
      </c>
      <c r="H795" s="33" t="str">
        <f>IF($A795="","",'Lot Balance'!$P794)</f>
        <v/>
      </c>
      <c r="I795" s="26" t="str">
        <f>IF($A795="","",COUNTIFS(tblIssues[Lot Number],$B795))</f>
        <v/>
      </c>
      <c r="J795" s="31" t="str">
        <f>IF($A795="","",IF('Lot Balance'!$O794&lt;=0,"Depleted",'Lot Balance'!$Q794))</f>
        <v/>
      </c>
    </row>
    <row r="796" spans="1:10" x14ac:dyDescent="0.35">
      <c r="A796" s="18" t="str">
        <f>IF('Lot Balance'!$A795="","",'Lot Balance'!$A795)</f>
        <v/>
      </c>
      <c r="B796" s="18" t="str">
        <f>IF($A796="","",'Lot Balance'!$B795)</f>
        <v/>
      </c>
      <c r="C796" s="18" t="str">
        <f>IF($A796="","",'Lot Balance'!$C795)</f>
        <v/>
      </c>
      <c r="D796" s="25" t="str">
        <f>IF($A796="","",'Lot Balance'!$G795)</f>
        <v/>
      </c>
      <c r="E796" s="25" t="str">
        <f>IF($A796="","",'Lot Balance'!$H795)</f>
        <v/>
      </c>
      <c r="F796" s="23" t="str">
        <f>IF($A796="","",'Lot Balance'!$I795)</f>
        <v/>
      </c>
      <c r="G796" s="23" t="str">
        <f>IF($A796="","",'Lot Balance'!$O795)</f>
        <v/>
      </c>
      <c r="H796" s="33" t="str">
        <f>IF($A796="","",'Lot Balance'!$P795)</f>
        <v/>
      </c>
      <c r="I796" s="26" t="str">
        <f>IF($A796="","",COUNTIFS(tblIssues[Lot Number],$B796))</f>
        <v/>
      </c>
      <c r="J796" s="31" t="str">
        <f>IF($A796="","",IF('Lot Balance'!$O795&lt;=0,"Depleted",'Lot Balance'!$Q795))</f>
        <v/>
      </c>
    </row>
    <row r="797" spans="1:10" x14ac:dyDescent="0.35">
      <c r="A797" s="18" t="str">
        <f>IF('Lot Balance'!$A796="","",'Lot Balance'!$A796)</f>
        <v/>
      </c>
      <c r="B797" s="18" t="str">
        <f>IF($A797="","",'Lot Balance'!$B796)</f>
        <v/>
      </c>
      <c r="C797" s="18" t="str">
        <f>IF($A797="","",'Lot Balance'!$C796)</f>
        <v/>
      </c>
      <c r="D797" s="25" t="str">
        <f>IF($A797="","",'Lot Balance'!$G796)</f>
        <v/>
      </c>
      <c r="E797" s="25" t="str">
        <f>IF($A797="","",'Lot Balance'!$H796)</f>
        <v/>
      </c>
      <c r="F797" s="23" t="str">
        <f>IF($A797="","",'Lot Balance'!$I796)</f>
        <v/>
      </c>
      <c r="G797" s="23" t="str">
        <f>IF($A797="","",'Lot Balance'!$O796)</f>
        <v/>
      </c>
      <c r="H797" s="33" t="str">
        <f>IF($A797="","",'Lot Balance'!$P796)</f>
        <v/>
      </c>
      <c r="I797" s="26" t="str">
        <f>IF($A797="","",COUNTIFS(tblIssues[Lot Number],$B797))</f>
        <v/>
      </c>
      <c r="J797" s="31" t="str">
        <f>IF($A797="","",IF('Lot Balance'!$O796&lt;=0,"Depleted",'Lot Balance'!$Q796))</f>
        <v/>
      </c>
    </row>
    <row r="798" spans="1:10" x14ac:dyDescent="0.35">
      <c r="A798" s="18" t="str">
        <f>IF('Lot Balance'!$A797="","",'Lot Balance'!$A797)</f>
        <v/>
      </c>
      <c r="B798" s="18" t="str">
        <f>IF($A798="","",'Lot Balance'!$B797)</f>
        <v/>
      </c>
      <c r="C798" s="18" t="str">
        <f>IF($A798="","",'Lot Balance'!$C797)</f>
        <v/>
      </c>
      <c r="D798" s="25" t="str">
        <f>IF($A798="","",'Lot Balance'!$G797)</f>
        <v/>
      </c>
      <c r="E798" s="25" t="str">
        <f>IF($A798="","",'Lot Balance'!$H797)</f>
        <v/>
      </c>
      <c r="F798" s="23" t="str">
        <f>IF($A798="","",'Lot Balance'!$I797)</f>
        <v/>
      </c>
      <c r="G798" s="23" t="str">
        <f>IF($A798="","",'Lot Balance'!$O797)</f>
        <v/>
      </c>
      <c r="H798" s="33" t="str">
        <f>IF($A798="","",'Lot Balance'!$P797)</f>
        <v/>
      </c>
      <c r="I798" s="26" t="str">
        <f>IF($A798="","",COUNTIFS(tblIssues[Lot Number],$B798))</f>
        <v/>
      </c>
      <c r="J798" s="31" t="str">
        <f>IF($A798="","",IF('Lot Balance'!$O797&lt;=0,"Depleted",'Lot Balance'!$Q797))</f>
        <v/>
      </c>
    </row>
    <row r="799" spans="1:10" x14ac:dyDescent="0.35">
      <c r="A799" s="18" t="str">
        <f>IF('Lot Balance'!$A798="","",'Lot Balance'!$A798)</f>
        <v/>
      </c>
      <c r="B799" s="18" t="str">
        <f>IF($A799="","",'Lot Balance'!$B798)</f>
        <v/>
      </c>
      <c r="C799" s="18" t="str">
        <f>IF($A799="","",'Lot Balance'!$C798)</f>
        <v/>
      </c>
      <c r="D799" s="25" t="str">
        <f>IF($A799="","",'Lot Balance'!$G798)</f>
        <v/>
      </c>
      <c r="E799" s="25" t="str">
        <f>IF($A799="","",'Lot Balance'!$H798)</f>
        <v/>
      </c>
      <c r="F799" s="23" t="str">
        <f>IF($A799="","",'Lot Balance'!$I798)</f>
        <v/>
      </c>
      <c r="G799" s="23" t="str">
        <f>IF($A799="","",'Lot Balance'!$O798)</f>
        <v/>
      </c>
      <c r="H799" s="33" t="str">
        <f>IF($A799="","",'Lot Balance'!$P798)</f>
        <v/>
      </c>
      <c r="I799" s="26" t="str">
        <f>IF($A799="","",COUNTIFS(tblIssues[Lot Number],$B799))</f>
        <v/>
      </c>
      <c r="J799" s="31" t="str">
        <f>IF($A799="","",IF('Lot Balance'!$O798&lt;=0,"Depleted",'Lot Balance'!$Q798))</f>
        <v/>
      </c>
    </row>
    <row r="800" spans="1:10" x14ac:dyDescent="0.35">
      <c r="A800" s="18" t="str">
        <f>IF('Lot Balance'!$A799="","",'Lot Balance'!$A799)</f>
        <v/>
      </c>
      <c r="B800" s="18" t="str">
        <f>IF($A800="","",'Lot Balance'!$B799)</f>
        <v/>
      </c>
      <c r="C800" s="18" t="str">
        <f>IF($A800="","",'Lot Balance'!$C799)</f>
        <v/>
      </c>
      <c r="D800" s="25" t="str">
        <f>IF($A800="","",'Lot Balance'!$G799)</f>
        <v/>
      </c>
      <c r="E800" s="25" t="str">
        <f>IF($A800="","",'Lot Balance'!$H799)</f>
        <v/>
      </c>
      <c r="F800" s="23" t="str">
        <f>IF($A800="","",'Lot Balance'!$I799)</f>
        <v/>
      </c>
      <c r="G800" s="23" t="str">
        <f>IF($A800="","",'Lot Balance'!$O799)</f>
        <v/>
      </c>
      <c r="H800" s="33" t="str">
        <f>IF($A800="","",'Lot Balance'!$P799)</f>
        <v/>
      </c>
      <c r="I800" s="26" t="str">
        <f>IF($A800="","",COUNTIFS(tblIssues[Lot Number],$B800))</f>
        <v/>
      </c>
      <c r="J800" s="31" t="str">
        <f>IF($A800="","",IF('Lot Balance'!$O799&lt;=0,"Depleted",'Lot Balance'!$Q799))</f>
        <v/>
      </c>
    </row>
    <row r="801" spans="1:10" x14ac:dyDescent="0.35">
      <c r="A801" s="18" t="str">
        <f>IF('Lot Balance'!$A800="","",'Lot Balance'!$A800)</f>
        <v/>
      </c>
      <c r="B801" s="18" t="str">
        <f>IF($A801="","",'Lot Balance'!$B800)</f>
        <v/>
      </c>
      <c r="C801" s="18" t="str">
        <f>IF($A801="","",'Lot Balance'!$C800)</f>
        <v/>
      </c>
      <c r="D801" s="25" t="str">
        <f>IF($A801="","",'Lot Balance'!$G800)</f>
        <v/>
      </c>
      <c r="E801" s="25" t="str">
        <f>IF($A801="","",'Lot Balance'!$H800)</f>
        <v/>
      </c>
      <c r="F801" s="23" t="str">
        <f>IF($A801="","",'Lot Balance'!$I800)</f>
        <v/>
      </c>
      <c r="G801" s="23" t="str">
        <f>IF($A801="","",'Lot Balance'!$O800)</f>
        <v/>
      </c>
      <c r="H801" s="33" t="str">
        <f>IF($A801="","",'Lot Balance'!$P800)</f>
        <v/>
      </c>
      <c r="I801" s="26" t="str">
        <f>IF($A801="","",COUNTIFS(tblIssues[Lot Number],$B801))</f>
        <v/>
      </c>
      <c r="J801" s="31" t="str">
        <f>IF($A801="","",IF('Lot Balance'!$O800&lt;=0,"Depleted",'Lot Balance'!$Q800))</f>
        <v/>
      </c>
    </row>
    <row r="802" spans="1:10" x14ac:dyDescent="0.35">
      <c r="A802" s="18" t="str">
        <f>IF('Lot Balance'!$A801="","",'Lot Balance'!$A801)</f>
        <v/>
      </c>
      <c r="B802" s="18" t="str">
        <f>IF($A802="","",'Lot Balance'!$B801)</f>
        <v/>
      </c>
      <c r="C802" s="18" t="str">
        <f>IF($A802="","",'Lot Balance'!$C801)</f>
        <v/>
      </c>
      <c r="D802" s="25" t="str">
        <f>IF($A802="","",'Lot Balance'!$G801)</f>
        <v/>
      </c>
      <c r="E802" s="25" t="str">
        <f>IF($A802="","",'Lot Balance'!$H801)</f>
        <v/>
      </c>
      <c r="F802" s="23" t="str">
        <f>IF($A802="","",'Lot Balance'!$I801)</f>
        <v/>
      </c>
      <c r="G802" s="23" t="str">
        <f>IF($A802="","",'Lot Balance'!$O801)</f>
        <v/>
      </c>
      <c r="H802" s="33" t="str">
        <f>IF($A802="","",'Lot Balance'!$P801)</f>
        <v/>
      </c>
      <c r="I802" s="26" t="str">
        <f>IF($A802="","",COUNTIFS(tblIssues[Lot Number],$B802))</f>
        <v/>
      </c>
      <c r="J802" s="31" t="str">
        <f>IF($A802="","",IF('Lot Balance'!$O801&lt;=0,"Depleted",'Lot Balance'!$Q801))</f>
        <v/>
      </c>
    </row>
    <row r="803" spans="1:10" x14ac:dyDescent="0.35">
      <c r="A803" s="18" t="str">
        <f>IF('Lot Balance'!$A802="","",'Lot Balance'!$A802)</f>
        <v/>
      </c>
      <c r="B803" s="18" t="str">
        <f>IF($A803="","",'Lot Balance'!$B802)</f>
        <v/>
      </c>
      <c r="C803" s="18" t="str">
        <f>IF($A803="","",'Lot Balance'!$C802)</f>
        <v/>
      </c>
      <c r="D803" s="25" t="str">
        <f>IF($A803="","",'Lot Balance'!$G802)</f>
        <v/>
      </c>
      <c r="E803" s="25" t="str">
        <f>IF($A803="","",'Lot Balance'!$H802)</f>
        <v/>
      </c>
      <c r="F803" s="23" t="str">
        <f>IF($A803="","",'Lot Balance'!$I802)</f>
        <v/>
      </c>
      <c r="G803" s="23" t="str">
        <f>IF($A803="","",'Lot Balance'!$O802)</f>
        <v/>
      </c>
      <c r="H803" s="33" t="str">
        <f>IF($A803="","",'Lot Balance'!$P802)</f>
        <v/>
      </c>
      <c r="I803" s="26" t="str">
        <f>IF($A803="","",COUNTIFS(tblIssues[Lot Number],$B803))</f>
        <v/>
      </c>
      <c r="J803" s="31" t="str">
        <f>IF($A803="","",IF('Lot Balance'!$O802&lt;=0,"Depleted",'Lot Balance'!$Q802))</f>
        <v/>
      </c>
    </row>
    <row r="804" spans="1:10" x14ac:dyDescent="0.35">
      <c r="A804" s="18" t="str">
        <f>IF('Lot Balance'!$A803="","",'Lot Balance'!$A803)</f>
        <v/>
      </c>
      <c r="B804" s="18" t="str">
        <f>IF($A804="","",'Lot Balance'!$B803)</f>
        <v/>
      </c>
      <c r="C804" s="18" t="str">
        <f>IF($A804="","",'Lot Balance'!$C803)</f>
        <v/>
      </c>
      <c r="D804" s="25" t="str">
        <f>IF($A804="","",'Lot Balance'!$G803)</f>
        <v/>
      </c>
      <c r="E804" s="25" t="str">
        <f>IF($A804="","",'Lot Balance'!$H803)</f>
        <v/>
      </c>
      <c r="F804" s="23" t="str">
        <f>IF($A804="","",'Lot Balance'!$I803)</f>
        <v/>
      </c>
      <c r="G804" s="23" t="str">
        <f>IF($A804="","",'Lot Balance'!$O803)</f>
        <v/>
      </c>
      <c r="H804" s="33" t="str">
        <f>IF($A804="","",'Lot Balance'!$P803)</f>
        <v/>
      </c>
      <c r="I804" s="26" t="str">
        <f>IF($A804="","",COUNTIFS(tblIssues[Lot Number],$B804))</f>
        <v/>
      </c>
      <c r="J804" s="31" t="str">
        <f>IF($A804="","",IF('Lot Balance'!$O803&lt;=0,"Depleted",'Lot Balance'!$Q803))</f>
        <v/>
      </c>
    </row>
    <row r="805" spans="1:10" x14ac:dyDescent="0.35">
      <c r="A805" s="18" t="str">
        <f>IF('Lot Balance'!$A804="","",'Lot Balance'!$A804)</f>
        <v/>
      </c>
      <c r="B805" s="18" t="str">
        <f>IF($A805="","",'Lot Balance'!$B804)</f>
        <v/>
      </c>
      <c r="C805" s="18" t="str">
        <f>IF($A805="","",'Lot Balance'!$C804)</f>
        <v/>
      </c>
      <c r="D805" s="25" t="str">
        <f>IF($A805="","",'Lot Balance'!$G804)</f>
        <v/>
      </c>
      <c r="E805" s="25" t="str">
        <f>IF($A805="","",'Lot Balance'!$H804)</f>
        <v/>
      </c>
      <c r="F805" s="23" t="str">
        <f>IF($A805="","",'Lot Balance'!$I804)</f>
        <v/>
      </c>
      <c r="G805" s="23" t="str">
        <f>IF($A805="","",'Lot Balance'!$O804)</f>
        <v/>
      </c>
      <c r="H805" s="33" t="str">
        <f>IF($A805="","",'Lot Balance'!$P804)</f>
        <v/>
      </c>
      <c r="I805" s="26" t="str">
        <f>IF($A805="","",COUNTIFS(tblIssues[Lot Number],$B805))</f>
        <v/>
      </c>
      <c r="J805" s="31" t="str">
        <f>IF($A805="","",IF('Lot Balance'!$O804&lt;=0,"Depleted",'Lot Balance'!$Q804))</f>
        <v/>
      </c>
    </row>
    <row r="806" spans="1:10" x14ac:dyDescent="0.35">
      <c r="A806" s="18" t="str">
        <f>IF('Lot Balance'!$A805="","",'Lot Balance'!$A805)</f>
        <v/>
      </c>
      <c r="B806" s="18" t="str">
        <f>IF($A806="","",'Lot Balance'!$B805)</f>
        <v/>
      </c>
      <c r="C806" s="18" t="str">
        <f>IF($A806="","",'Lot Balance'!$C805)</f>
        <v/>
      </c>
      <c r="D806" s="25" t="str">
        <f>IF($A806="","",'Lot Balance'!$G805)</f>
        <v/>
      </c>
      <c r="E806" s="25" t="str">
        <f>IF($A806="","",'Lot Balance'!$H805)</f>
        <v/>
      </c>
      <c r="F806" s="23" t="str">
        <f>IF($A806="","",'Lot Balance'!$I805)</f>
        <v/>
      </c>
      <c r="G806" s="23" t="str">
        <f>IF($A806="","",'Lot Balance'!$O805)</f>
        <v/>
      </c>
      <c r="H806" s="33" t="str">
        <f>IF($A806="","",'Lot Balance'!$P805)</f>
        <v/>
      </c>
      <c r="I806" s="26" t="str">
        <f>IF($A806="","",COUNTIFS(tblIssues[Lot Number],$B806))</f>
        <v/>
      </c>
      <c r="J806" s="31" t="str">
        <f>IF($A806="","",IF('Lot Balance'!$O805&lt;=0,"Depleted",'Lot Balance'!$Q805))</f>
        <v/>
      </c>
    </row>
    <row r="807" spans="1:10" x14ac:dyDescent="0.35">
      <c r="A807" s="18" t="str">
        <f>IF('Lot Balance'!$A806="","",'Lot Balance'!$A806)</f>
        <v/>
      </c>
      <c r="B807" s="18" t="str">
        <f>IF($A807="","",'Lot Balance'!$B806)</f>
        <v/>
      </c>
      <c r="C807" s="18" t="str">
        <f>IF($A807="","",'Lot Balance'!$C806)</f>
        <v/>
      </c>
      <c r="D807" s="25" t="str">
        <f>IF($A807="","",'Lot Balance'!$G806)</f>
        <v/>
      </c>
      <c r="E807" s="25" t="str">
        <f>IF($A807="","",'Lot Balance'!$H806)</f>
        <v/>
      </c>
      <c r="F807" s="23" t="str">
        <f>IF($A807="","",'Lot Balance'!$I806)</f>
        <v/>
      </c>
      <c r="G807" s="23" t="str">
        <f>IF($A807="","",'Lot Balance'!$O806)</f>
        <v/>
      </c>
      <c r="H807" s="33" t="str">
        <f>IF($A807="","",'Lot Balance'!$P806)</f>
        <v/>
      </c>
      <c r="I807" s="26" t="str">
        <f>IF($A807="","",COUNTIFS(tblIssues[Lot Number],$B807))</f>
        <v/>
      </c>
      <c r="J807" s="31" t="str">
        <f>IF($A807="","",IF('Lot Balance'!$O806&lt;=0,"Depleted",'Lot Balance'!$Q806))</f>
        <v/>
      </c>
    </row>
    <row r="808" spans="1:10" x14ac:dyDescent="0.35">
      <c r="A808" s="18" t="str">
        <f>IF('Lot Balance'!$A807="","",'Lot Balance'!$A807)</f>
        <v/>
      </c>
      <c r="B808" s="18" t="str">
        <f>IF($A808="","",'Lot Balance'!$B807)</f>
        <v/>
      </c>
      <c r="C808" s="18" t="str">
        <f>IF($A808="","",'Lot Balance'!$C807)</f>
        <v/>
      </c>
      <c r="D808" s="25" t="str">
        <f>IF($A808="","",'Lot Balance'!$G807)</f>
        <v/>
      </c>
      <c r="E808" s="25" t="str">
        <f>IF($A808="","",'Lot Balance'!$H807)</f>
        <v/>
      </c>
      <c r="F808" s="23" t="str">
        <f>IF($A808="","",'Lot Balance'!$I807)</f>
        <v/>
      </c>
      <c r="G808" s="23" t="str">
        <f>IF($A808="","",'Lot Balance'!$O807)</f>
        <v/>
      </c>
      <c r="H808" s="33" t="str">
        <f>IF($A808="","",'Lot Balance'!$P807)</f>
        <v/>
      </c>
      <c r="I808" s="26" t="str">
        <f>IF($A808="","",COUNTIFS(tblIssues[Lot Number],$B808))</f>
        <v/>
      </c>
      <c r="J808" s="31" t="str">
        <f>IF($A808="","",IF('Lot Balance'!$O807&lt;=0,"Depleted",'Lot Balance'!$Q807))</f>
        <v/>
      </c>
    </row>
    <row r="809" spans="1:10" x14ac:dyDescent="0.35">
      <c r="A809" s="18" t="str">
        <f>IF('Lot Balance'!$A808="","",'Lot Balance'!$A808)</f>
        <v/>
      </c>
      <c r="B809" s="18" t="str">
        <f>IF($A809="","",'Lot Balance'!$B808)</f>
        <v/>
      </c>
      <c r="C809" s="18" t="str">
        <f>IF($A809="","",'Lot Balance'!$C808)</f>
        <v/>
      </c>
      <c r="D809" s="25" t="str">
        <f>IF($A809="","",'Lot Balance'!$G808)</f>
        <v/>
      </c>
      <c r="E809" s="25" t="str">
        <f>IF($A809="","",'Lot Balance'!$H808)</f>
        <v/>
      </c>
      <c r="F809" s="23" t="str">
        <f>IF($A809="","",'Lot Balance'!$I808)</f>
        <v/>
      </c>
      <c r="G809" s="23" t="str">
        <f>IF($A809="","",'Lot Balance'!$O808)</f>
        <v/>
      </c>
      <c r="H809" s="33" t="str">
        <f>IF($A809="","",'Lot Balance'!$P808)</f>
        <v/>
      </c>
      <c r="I809" s="26" t="str">
        <f>IF($A809="","",COUNTIFS(tblIssues[Lot Number],$B809))</f>
        <v/>
      </c>
      <c r="J809" s="31" t="str">
        <f>IF($A809="","",IF('Lot Balance'!$O808&lt;=0,"Depleted",'Lot Balance'!$Q808))</f>
        <v/>
      </c>
    </row>
    <row r="810" spans="1:10" x14ac:dyDescent="0.35">
      <c r="A810" s="18" t="str">
        <f>IF('Lot Balance'!$A809="","",'Lot Balance'!$A809)</f>
        <v/>
      </c>
      <c r="B810" s="18" t="str">
        <f>IF($A810="","",'Lot Balance'!$B809)</f>
        <v/>
      </c>
      <c r="C810" s="18" t="str">
        <f>IF($A810="","",'Lot Balance'!$C809)</f>
        <v/>
      </c>
      <c r="D810" s="25" t="str">
        <f>IF($A810="","",'Lot Balance'!$G809)</f>
        <v/>
      </c>
      <c r="E810" s="25" t="str">
        <f>IF($A810="","",'Lot Balance'!$H809)</f>
        <v/>
      </c>
      <c r="F810" s="23" t="str">
        <f>IF($A810="","",'Lot Balance'!$I809)</f>
        <v/>
      </c>
      <c r="G810" s="23" t="str">
        <f>IF($A810="","",'Lot Balance'!$O809)</f>
        <v/>
      </c>
      <c r="H810" s="33" t="str">
        <f>IF($A810="","",'Lot Balance'!$P809)</f>
        <v/>
      </c>
      <c r="I810" s="26" t="str">
        <f>IF($A810="","",COUNTIFS(tblIssues[Lot Number],$B810))</f>
        <v/>
      </c>
      <c r="J810" s="31" t="str">
        <f>IF($A810="","",IF('Lot Balance'!$O809&lt;=0,"Depleted",'Lot Balance'!$Q809))</f>
        <v/>
      </c>
    </row>
    <row r="811" spans="1:10" x14ac:dyDescent="0.35">
      <c r="A811" s="18" t="str">
        <f>IF('Lot Balance'!$A810="","",'Lot Balance'!$A810)</f>
        <v/>
      </c>
      <c r="B811" s="18" t="str">
        <f>IF($A811="","",'Lot Balance'!$B810)</f>
        <v/>
      </c>
      <c r="C811" s="18" t="str">
        <f>IF($A811="","",'Lot Balance'!$C810)</f>
        <v/>
      </c>
      <c r="D811" s="25" t="str">
        <f>IF($A811="","",'Lot Balance'!$G810)</f>
        <v/>
      </c>
      <c r="E811" s="25" t="str">
        <f>IF($A811="","",'Lot Balance'!$H810)</f>
        <v/>
      </c>
      <c r="F811" s="23" t="str">
        <f>IF($A811="","",'Lot Balance'!$I810)</f>
        <v/>
      </c>
      <c r="G811" s="23" t="str">
        <f>IF($A811="","",'Lot Balance'!$O810)</f>
        <v/>
      </c>
      <c r="H811" s="33" t="str">
        <f>IF($A811="","",'Lot Balance'!$P810)</f>
        <v/>
      </c>
      <c r="I811" s="26" t="str">
        <f>IF($A811="","",COUNTIFS(tblIssues[Lot Number],$B811))</f>
        <v/>
      </c>
      <c r="J811" s="31" t="str">
        <f>IF($A811="","",IF('Lot Balance'!$O810&lt;=0,"Depleted",'Lot Balance'!$Q810))</f>
        <v/>
      </c>
    </row>
    <row r="812" spans="1:10" x14ac:dyDescent="0.35">
      <c r="A812" s="18" t="str">
        <f>IF('Lot Balance'!$A811="","",'Lot Balance'!$A811)</f>
        <v/>
      </c>
      <c r="B812" s="18" t="str">
        <f>IF($A812="","",'Lot Balance'!$B811)</f>
        <v/>
      </c>
      <c r="C812" s="18" t="str">
        <f>IF($A812="","",'Lot Balance'!$C811)</f>
        <v/>
      </c>
      <c r="D812" s="25" t="str">
        <f>IF($A812="","",'Lot Balance'!$G811)</f>
        <v/>
      </c>
      <c r="E812" s="25" t="str">
        <f>IF($A812="","",'Lot Balance'!$H811)</f>
        <v/>
      </c>
      <c r="F812" s="23" t="str">
        <f>IF($A812="","",'Lot Balance'!$I811)</f>
        <v/>
      </c>
      <c r="G812" s="23" t="str">
        <f>IF($A812="","",'Lot Balance'!$O811)</f>
        <v/>
      </c>
      <c r="H812" s="33" t="str">
        <f>IF($A812="","",'Lot Balance'!$P811)</f>
        <v/>
      </c>
      <c r="I812" s="26" t="str">
        <f>IF($A812="","",COUNTIFS(tblIssues[Lot Number],$B812))</f>
        <v/>
      </c>
      <c r="J812" s="31" t="str">
        <f>IF($A812="","",IF('Lot Balance'!$O811&lt;=0,"Depleted",'Lot Balance'!$Q811))</f>
        <v/>
      </c>
    </row>
    <row r="813" spans="1:10" x14ac:dyDescent="0.35">
      <c r="A813" s="18" t="str">
        <f>IF('Lot Balance'!$A812="","",'Lot Balance'!$A812)</f>
        <v/>
      </c>
      <c r="B813" s="18" t="str">
        <f>IF($A813="","",'Lot Balance'!$B812)</f>
        <v/>
      </c>
      <c r="C813" s="18" t="str">
        <f>IF($A813="","",'Lot Balance'!$C812)</f>
        <v/>
      </c>
      <c r="D813" s="25" t="str">
        <f>IF($A813="","",'Lot Balance'!$G812)</f>
        <v/>
      </c>
      <c r="E813" s="25" t="str">
        <f>IF($A813="","",'Lot Balance'!$H812)</f>
        <v/>
      </c>
      <c r="F813" s="23" t="str">
        <f>IF($A813="","",'Lot Balance'!$I812)</f>
        <v/>
      </c>
      <c r="G813" s="23" t="str">
        <f>IF($A813="","",'Lot Balance'!$O812)</f>
        <v/>
      </c>
      <c r="H813" s="33" t="str">
        <f>IF($A813="","",'Lot Balance'!$P812)</f>
        <v/>
      </c>
      <c r="I813" s="26" t="str">
        <f>IF($A813="","",COUNTIFS(tblIssues[Lot Number],$B813))</f>
        <v/>
      </c>
      <c r="J813" s="31" t="str">
        <f>IF($A813="","",IF('Lot Balance'!$O812&lt;=0,"Depleted",'Lot Balance'!$Q812))</f>
        <v/>
      </c>
    </row>
    <row r="814" spans="1:10" x14ac:dyDescent="0.35">
      <c r="A814" s="18" t="str">
        <f>IF('Lot Balance'!$A813="","",'Lot Balance'!$A813)</f>
        <v/>
      </c>
      <c r="B814" s="18" t="str">
        <f>IF($A814="","",'Lot Balance'!$B813)</f>
        <v/>
      </c>
      <c r="C814" s="18" t="str">
        <f>IF($A814="","",'Lot Balance'!$C813)</f>
        <v/>
      </c>
      <c r="D814" s="25" t="str">
        <f>IF($A814="","",'Lot Balance'!$G813)</f>
        <v/>
      </c>
      <c r="E814" s="25" t="str">
        <f>IF($A814="","",'Lot Balance'!$H813)</f>
        <v/>
      </c>
      <c r="F814" s="23" t="str">
        <f>IF($A814="","",'Lot Balance'!$I813)</f>
        <v/>
      </c>
      <c r="G814" s="23" t="str">
        <f>IF($A814="","",'Lot Balance'!$O813)</f>
        <v/>
      </c>
      <c r="H814" s="33" t="str">
        <f>IF($A814="","",'Lot Balance'!$P813)</f>
        <v/>
      </c>
      <c r="I814" s="26" t="str">
        <f>IF($A814="","",COUNTIFS(tblIssues[Lot Number],$B814))</f>
        <v/>
      </c>
      <c r="J814" s="31" t="str">
        <f>IF($A814="","",IF('Lot Balance'!$O813&lt;=0,"Depleted",'Lot Balance'!$Q813))</f>
        <v/>
      </c>
    </row>
    <row r="815" spans="1:10" x14ac:dyDescent="0.35">
      <c r="A815" s="18" t="str">
        <f>IF('Lot Balance'!$A814="","",'Lot Balance'!$A814)</f>
        <v/>
      </c>
      <c r="B815" s="18" t="str">
        <f>IF($A815="","",'Lot Balance'!$B814)</f>
        <v/>
      </c>
      <c r="C815" s="18" t="str">
        <f>IF($A815="","",'Lot Balance'!$C814)</f>
        <v/>
      </c>
      <c r="D815" s="25" t="str">
        <f>IF($A815="","",'Lot Balance'!$G814)</f>
        <v/>
      </c>
      <c r="E815" s="25" t="str">
        <f>IF($A815="","",'Lot Balance'!$H814)</f>
        <v/>
      </c>
      <c r="F815" s="23" t="str">
        <f>IF($A815="","",'Lot Balance'!$I814)</f>
        <v/>
      </c>
      <c r="G815" s="23" t="str">
        <f>IF($A815="","",'Lot Balance'!$O814)</f>
        <v/>
      </c>
      <c r="H815" s="33" t="str">
        <f>IF($A815="","",'Lot Balance'!$P814)</f>
        <v/>
      </c>
      <c r="I815" s="26" t="str">
        <f>IF($A815="","",COUNTIFS(tblIssues[Lot Number],$B815))</f>
        <v/>
      </c>
      <c r="J815" s="31" t="str">
        <f>IF($A815="","",IF('Lot Balance'!$O814&lt;=0,"Depleted",'Lot Balance'!$Q814))</f>
        <v/>
      </c>
    </row>
    <row r="816" spans="1:10" x14ac:dyDescent="0.35">
      <c r="A816" s="18" t="str">
        <f>IF('Lot Balance'!$A815="","",'Lot Balance'!$A815)</f>
        <v/>
      </c>
      <c r="B816" s="18" t="str">
        <f>IF($A816="","",'Lot Balance'!$B815)</f>
        <v/>
      </c>
      <c r="C816" s="18" t="str">
        <f>IF($A816="","",'Lot Balance'!$C815)</f>
        <v/>
      </c>
      <c r="D816" s="25" t="str">
        <f>IF($A816="","",'Lot Balance'!$G815)</f>
        <v/>
      </c>
      <c r="E816" s="25" t="str">
        <f>IF($A816="","",'Lot Balance'!$H815)</f>
        <v/>
      </c>
      <c r="F816" s="23" t="str">
        <f>IF($A816="","",'Lot Balance'!$I815)</f>
        <v/>
      </c>
      <c r="G816" s="23" t="str">
        <f>IF($A816="","",'Lot Balance'!$O815)</f>
        <v/>
      </c>
      <c r="H816" s="33" t="str">
        <f>IF($A816="","",'Lot Balance'!$P815)</f>
        <v/>
      </c>
      <c r="I816" s="26" t="str">
        <f>IF($A816="","",COUNTIFS(tblIssues[Lot Number],$B816))</f>
        <v/>
      </c>
      <c r="J816" s="31" t="str">
        <f>IF($A816="","",IF('Lot Balance'!$O815&lt;=0,"Depleted",'Lot Balance'!$Q815))</f>
        <v/>
      </c>
    </row>
    <row r="817" spans="1:10" x14ac:dyDescent="0.35">
      <c r="A817" s="18" t="str">
        <f>IF('Lot Balance'!$A816="","",'Lot Balance'!$A816)</f>
        <v/>
      </c>
      <c r="B817" s="18" t="str">
        <f>IF($A817="","",'Lot Balance'!$B816)</f>
        <v/>
      </c>
      <c r="C817" s="18" t="str">
        <f>IF($A817="","",'Lot Balance'!$C816)</f>
        <v/>
      </c>
      <c r="D817" s="25" t="str">
        <f>IF($A817="","",'Lot Balance'!$G816)</f>
        <v/>
      </c>
      <c r="E817" s="25" t="str">
        <f>IF($A817="","",'Lot Balance'!$H816)</f>
        <v/>
      </c>
      <c r="F817" s="23" t="str">
        <f>IF($A817="","",'Lot Balance'!$I816)</f>
        <v/>
      </c>
      <c r="G817" s="23" t="str">
        <f>IF($A817="","",'Lot Balance'!$O816)</f>
        <v/>
      </c>
      <c r="H817" s="33" t="str">
        <f>IF($A817="","",'Lot Balance'!$P816)</f>
        <v/>
      </c>
      <c r="I817" s="26" t="str">
        <f>IF($A817="","",COUNTIFS(tblIssues[Lot Number],$B817))</f>
        <v/>
      </c>
      <c r="J817" s="31" t="str">
        <f>IF($A817="","",IF('Lot Balance'!$O816&lt;=0,"Depleted",'Lot Balance'!$Q816))</f>
        <v/>
      </c>
    </row>
    <row r="818" spans="1:10" x14ac:dyDescent="0.35">
      <c r="A818" s="18" t="str">
        <f>IF('Lot Balance'!$A817="","",'Lot Balance'!$A817)</f>
        <v/>
      </c>
      <c r="B818" s="18" t="str">
        <f>IF($A818="","",'Lot Balance'!$B817)</f>
        <v/>
      </c>
      <c r="C818" s="18" t="str">
        <f>IF($A818="","",'Lot Balance'!$C817)</f>
        <v/>
      </c>
      <c r="D818" s="25" t="str">
        <f>IF($A818="","",'Lot Balance'!$G817)</f>
        <v/>
      </c>
      <c r="E818" s="25" t="str">
        <f>IF($A818="","",'Lot Balance'!$H817)</f>
        <v/>
      </c>
      <c r="F818" s="23" t="str">
        <f>IF($A818="","",'Lot Balance'!$I817)</f>
        <v/>
      </c>
      <c r="G818" s="23" t="str">
        <f>IF($A818="","",'Lot Balance'!$O817)</f>
        <v/>
      </c>
      <c r="H818" s="33" t="str">
        <f>IF($A818="","",'Lot Balance'!$P817)</f>
        <v/>
      </c>
      <c r="I818" s="26" t="str">
        <f>IF($A818="","",COUNTIFS(tblIssues[Lot Number],$B818))</f>
        <v/>
      </c>
      <c r="J818" s="31" t="str">
        <f>IF($A818="","",IF('Lot Balance'!$O817&lt;=0,"Depleted",'Lot Balance'!$Q817))</f>
        <v/>
      </c>
    </row>
    <row r="819" spans="1:10" x14ac:dyDescent="0.35">
      <c r="A819" s="18" t="str">
        <f>IF('Lot Balance'!$A818="","",'Lot Balance'!$A818)</f>
        <v/>
      </c>
      <c r="B819" s="18" t="str">
        <f>IF($A819="","",'Lot Balance'!$B818)</f>
        <v/>
      </c>
      <c r="C819" s="18" t="str">
        <f>IF($A819="","",'Lot Balance'!$C818)</f>
        <v/>
      </c>
      <c r="D819" s="25" t="str">
        <f>IF($A819="","",'Lot Balance'!$G818)</f>
        <v/>
      </c>
      <c r="E819" s="25" t="str">
        <f>IF($A819="","",'Lot Balance'!$H818)</f>
        <v/>
      </c>
      <c r="F819" s="23" t="str">
        <f>IF($A819="","",'Lot Balance'!$I818)</f>
        <v/>
      </c>
      <c r="G819" s="23" t="str">
        <f>IF($A819="","",'Lot Balance'!$O818)</f>
        <v/>
      </c>
      <c r="H819" s="33" t="str">
        <f>IF($A819="","",'Lot Balance'!$P818)</f>
        <v/>
      </c>
      <c r="I819" s="26" t="str">
        <f>IF($A819="","",COUNTIFS(tblIssues[Lot Number],$B819))</f>
        <v/>
      </c>
      <c r="J819" s="31" t="str">
        <f>IF($A819="","",IF('Lot Balance'!$O818&lt;=0,"Depleted",'Lot Balance'!$Q818))</f>
        <v/>
      </c>
    </row>
    <row r="820" spans="1:10" x14ac:dyDescent="0.35">
      <c r="A820" s="18" t="str">
        <f>IF('Lot Balance'!$A819="","",'Lot Balance'!$A819)</f>
        <v/>
      </c>
      <c r="B820" s="18" t="str">
        <f>IF($A820="","",'Lot Balance'!$B819)</f>
        <v/>
      </c>
      <c r="C820" s="18" t="str">
        <f>IF($A820="","",'Lot Balance'!$C819)</f>
        <v/>
      </c>
      <c r="D820" s="25" t="str">
        <f>IF($A820="","",'Lot Balance'!$G819)</f>
        <v/>
      </c>
      <c r="E820" s="25" t="str">
        <f>IF($A820="","",'Lot Balance'!$H819)</f>
        <v/>
      </c>
      <c r="F820" s="23" t="str">
        <f>IF($A820="","",'Lot Balance'!$I819)</f>
        <v/>
      </c>
      <c r="G820" s="23" t="str">
        <f>IF($A820="","",'Lot Balance'!$O819)</f>
        <v/>
      </c>
      <c r="H820" s="33" t="str">
        <f>IF($A820="","",'Lot Balance'!$P819)</f>
        <v/>
      </c>
      <c r="I820" s="26" t="str">
        <f>IF($A820="","",COUNTIFS(tblIssues[Lot Number],$B820))</f>
        <v/>
      </c>
      <c r="J820" s="31" t="str">
        <f>IF($A820="","",IF('Lot Balance'!$O819&lt;=0,"Depleted",'Lot Balance'!$Q819))</f>
        <v/>
      </c>
    </row>
    <row r="821" spans="1:10" x14ac:dyDescent="0.35">
      <c r="A821" s="18" t="str">
        <f>IF('Lot Balance'!$A820="","",'Lot Balance'!$A820)</f>
        <v/>
      </c>
      <c r="B821" s="18" t="str">
        <f>IF($A821="","",'Lot Balance'!$B820)</f>
        <v/>
      </c>
      <c r="C821" s="18" t="str">
        <f>IF($A821="","",'Lot Balance'!$C820)</f>
        <v/>
      </c>
      <c r="D821" s="25" t="str">
        <f>IF($A821="","",'Lot Balance'!$G820)</f>
        <v/>
      </c>
      <c r="E821" s="25" t="str">
        <f>IF($A821="","",'Lot Balance'!$H820)</f>
        <v/>
      </c>
      <c r="F821" s="23" t="str">
        <f>IF($A821="","",'Lot Balance'!$I820)</f>
        <v/>
      </c>
      <c r="G821" s="23" t="str">
        <f>IF($A821="","",'Lot Balance'!$O820)</f>
        <v/>
      </c>
      <c r="H821" s="33" t="str">
        <f>IF($A821="","",'Lot Balance'!$P820)</f>
        <v/>
      </c>
      <c r="I821" s="26" t="str">
        <f>IF($A821="","",COUNTIFS(tblIssues[Lot Number],$B821))</f>
        <v/>
      </c>
      <c r="J821" s="31" t="str">
        <f>IF($A821="","",IF('Lot Balance'!$O820&lt;=0,"Depleted",'Lot Balance'!$Q820))</f>
        <v/>
      </c>
    </row>
    <row r="822" spans="1:10" x14ac:dyDescent="0.35">
      <c r="A822" s="18" t="str">
        <f>IF('Lot Balance'!$A821="","",'Lot Balance'!$A821)</f>
        <v/>
      </c>
      <c r="B822" s="18" t="str">
        <f>IF($A822="","",'Lot Balance'!$B821)</f>
        <v/>
      </c>
      <c r="C822" s="18" t="str">
        <f>IF($A822="","",'Lot Balance'!$C821)</f>
        <v/>
      </c>
      <c r="D822" s="25" t="str">
        <f>IF($A822="","",'Lot Balance'!$G821)</f>
        <v/>
      </c>
      <c r="E822" s="25" t="str">
        <f>IF($A822="","",'Lot Balance'!$H821)</f>
        <v/>
      </c>
      <c r="F822" s="23" t="str">
        <f>IF($A822="","",'Lot Balance'!$I821)</f>
        <v/>
      </c>
      <c r="G822" s="23" t="str">
        <f>IF($A822="","",'Lot Balance'!$O821)</f>
        <v/>
      </c>
      <c r="H822" s="33" t="str">
        <f>IF($A822="","",'Lot Balance'!$P821)</f>
        <v/>
      </c>
      <c r="I822" s="26" t="str">
        <f>IF($A822="","",COUNTIFS(tblIssues[Lot Number],$B822))</f>
        <v/>
      </c>
      <c r="J822" s="31" t="str">
        <f>IF($A822="","",IF('Lot Balance'!$O821&lt;=0,"Depleted",'Lot Balance'!$Q821))</f>
        <v/>
      </c>
    </row>
    <row r="823" spans="1:10" x14ac:dyDescent="0.35">
      <c r="A823" s="18" t="str">
        <f>IF('Lot Balance'!$A822="","",'Lot Balance'!$A822)</f>
        <v/>
      </c>
      <c r="B823" s="18" t="str">
        <f>IF($A823="","",'Lot Balance'!$B822)</f>
        <v/>
      </c>
      <c r="C823" s="18" t="str">
        <f>IF($A823="","",'Lot Balance'!$C822)</f>
        <v/>
      </c>
      <c r="D823" s="25" t="str">
        <f>IF($A823="","",'Lot Balance'!$G822)</f>
        <v/>
      </c>
      <c r="E823" s="25" t="str">
        <f>IF($A823="","",'Lot Balance'!$H822)</f>
        <v/>
      </c>
      <c r="F823" s="23" t="str">
        <f>IF($A823="","",'Lot Balance'!$I822)</f>
        <v/>
      </c>
      <c r="G823" s="23" t="str">
        <f>IF($A823="","",'Lot Balance'!$O822)</f>
        <v/>
      </c>
      <c r="H823" s="33" t="str">
        <f>IF($A823="","",'Lot Balance'!$P822)</f>
        <v/>
      </c>
      <c r="I823" s="26" t="str">
        <f>IF($A823="","",COUNTIFS(tblIssues[Lot Number],$B823))</f>
        <v/>
      </c>
      <c r="J823" s="31" t="str">
        <f>IF($A823="","",IF('Lot Balance'!$O822&lt;=0,"Depleted",'Lot Balance'!$Q822))</f>
        <v/>
      </c>
    </row>
    <row r="824" spans="1:10" x14ac:dyDescent="0.35">
      <c r="A824" s="18" t="str">
        <f>IF('Lot Balance'!$A823="","",'Lot Balance'!$A823)</f>
        <v/>
      </c>
      <c r="B824" s="18" t="str">
        <f>IF($A824="","",'Lot Balance'!$B823)</f>
        <v/>
      </c>
      <c r="C824" s="18" t="str">
        <f>IF($A824="","",'Lot Balance'!$C823)</f>
        <v/>
      </c>
      <c r="D824" s="25" t="str">
        <f>IF($A824="","",'Lot Balance'!$G823)</f>
        <v/>
      </c>
      <c r="E824" s="25" t="str">
        <f>IF($A824="","",'Lot Balance'!$H823)</f>
        <v/>
      </c>
      <c r="F824" s="23" t="str">
        <f>IF($A824="","",'Lot Balance'!$I823)</f>
        <v/>
      </c>
      <c r="G824" s="23" t="str">
        <f>IF($A824="","",'Lot Balance'!$O823)</f>
        <v/>
      </c>
      <c r="H824" s="33" t="str">
        <f>IF($A824="","",'Lot Balance'!$P823)</f>
        <v/>
      </c>
      <c r="I824" s="26" t="str">
        <f>IF($A824="","",COUNTIFS(tblIssues[Lot Number],$B824))</f>
        <v/>
      </c>
      <c r="J824" s="31" t="str">
        <f>IF($A824="","",IF('Lot Balance'!$O823&lt;=0,"Depleted",'Lot Balance'!$Q823))</f>
        <v/>
      </c>
    </row>
    <row r="825" spans="1:10" x14ac:dyDescent="0.35">
      <c r="A825" s="18" t="str">
        <f>IF('Lot Balance'!$A824="","",'Lot Balance'!$A824)</f>
        <v/>
      </c>
      <c r="B825" s="18" t="str">
        <f>IF($A825="","",'Lot Balance'!$B824)</f>
        <v/>
      </c>
      <c r="C825" s="18" t="str">
        <f>IF($A825="","",'Lot Balance'!$C824)</f>
        <v/>
      </c>
      <c r="D825" s="25" t="str">
        <f>IF($A825="","",'Lot Balance'!$G824)</f>
        <v/>
      </c>
      <c r="E825" s="25" t="str">
        <f>IF($A825="","",'Lot Balance'!$H824)</f>
        <v/>
      </c>
      <c r="F825" s="23" t="str">
        <f>IF($A825="","",'Lot Balance'!$I824)</f>
        <v/>
      </c>
      <c r="G825" s="23" t="str">
        <f>IF($A825="","",'Lot Balance'!$O824)</f>
        <v/>
      </c>
      <c r="H825" s="33" t="str">
        <f>IF($A825="","",'Lot Balance'!$P824)</f>
        <v/>
      </c>
      <c r="I825" s="26" t="str">
        <f>IF($A825="","",COUNTIFS(tblIssues[Lot Number],$B825))</f>
        <v/>
      </c>
      <c r="J825" s="31" t="str">
        <f>IF($A825="","",IF('Lot Balance'!$O824&lt;=0,"Depleted",'Lot Balance'!$Q824))</f>
        <v/>
      </c>
    </row>
    <row r="826" spans="1:10" x14ac:dyDescent="0.35">
      <c r="A826" s="18" t="str">
        <f>IF('Lot Balance'!$A825="","",'Lot Balance'!$A825)</f>
        <v/>
      </c>
      <c r="B826" s="18" t="str">
        <f>IF($A826="","",'Lot Balance'!$B825)</f>
        <v/>
      </c>
      <c r="C826" s="18" t="str">
        <f>IF($A826="","",'Lot Balance'!$C825)</f>
        <v/>
      </c>
      <c r="D826" s="25" t="str">
        <f>IF($A826="","",'Lot Balance'!$G825)</f>
        <v/>
      </c>
      <c r="E826" s="25" t="str">
        <f>IF($A826="","",'Lot Balance'!$H825)</f>
        <v/>
      </c>
      <c r="F826" s="23" t="str">
        <f>IF($A826="","",'Lot Balance'!$I825)</f>
        <v/>
      </c>
      <c r="G826" s="23" t="str">
        <f>IF($A826="","",'Lot Balance'!$O825)</f>
        <v/>
      </c>
      <c r="H826" s="33" t="str">
        <f>IF($A826="","",'Lot Balance'!$P825)</f>
        <v/>
      </c>
      <c r="I826" s="26" t="str">
        <f>IF($A826="","",COUNTIFS(tblIssues[Lot Number],$B826))</f>
        <v/>
      </c>
      <c r="J826" s="31" t="str">
        <f>IF($A826="","",IF('Lot Balance'!$O825&lt;=0,"Depleted",'Lot Balance'!$Q825))</f>
        <v/>
      </c>
    </row>
    <row r="827" spans="1:10" x14ac:dyDescent="0.35">
      <c r="A827" s="18" t="str">
        <f>IF('Lot Balance'!$A826="","",'Lot Balance'!$A826)</f>
        <v/>
      </c>
      <c r="B827" s="18" t="str">
        <f>IF($A827="","",'Lot Balance'!$B826)</f>
        <v/>
      </c>
      <c r="C827" s="18" t="str">
        <f>IF($A827="","",'Lot Balance'!$C826)</f>
        <v/>
      </c>
      <c r="D827" s="25" t="str">
        <f>IF($A827="","",'Lot Balance'!$G826)</f>
        <v/>
      </c>
      <c r="E827" s="25" t="str">
        <f>IF($A827="","",'Lot Balance'!$H826)</f>
        <v/>
      </c>
      <c r="F827" s="23" t="str">
        <f>IF($A827="","",'Lot Balance'!$I826)</f>
        <v/>
      </c>
      <c r="G827" s="23" t="str">
        <f>IF($A827="","",'Lot Balance'!$O826)</f>
        <v/>
      </c>
      <c r="H827" s="33" t="str">
        <f>IF($A827="","",'Lot Balance'!$P826)</f>
        <v/>
      </c>
      <c r="I827" s="26" t="str">
        <f>IF($A827="","",COUNTIFS(tblIssues[Lot Number],$B827))</f>
        <v/>
      </c>
      <c r="J827" s="31" t="str">
        <f>IF($A827="","",IF('Lot Balance'!$O826&lt;=0,"Depleted",'Lot Balance'!$Q826))</f>
        <v/>
      </c>
    </row>
    <row r="828" spans="1:10" x14ac:dyDescent="0.35">
      <c r="A828" s="18" t="str">
        <f>IF('Lot Balance'!$A827="","",'Lot Balance'!$A827)</f>
        <v/>
      </c>
      <c r="B828" s="18" t="str">
        <f>IF($A828="","",'Lot Balance'!$B827)</f>
        <v/>
      </c>
      <c r="C828" s="18" t="str">
        <f>IF($A828="","",'Lot Balance'!$C827)</f>
        <v/>
      </c>
      <c r="D828" s="25" t="str">
        <f>IF($A828="","",'Lot Balance'!$G827)</f>
        <v/>
      </c>
      <c r="E828" s="25" t="str">
        <f>IF($A828="","",'Lot Balance'!$H827)</f>
        <v/>
      </c>
      <c r="F828" s="23" t="str">
        <f>IF($A828="","",'Lot Balance'!$I827)</f>
        <v/>
      </c>
      <c r="G828" s="23" t="str">
        <f>IF($A828="","",'Lot Balance'!$O827)</f>
        <v/>
      </c>
      <c r="H828" s="33" t="str">
        <f>IF($A828="","",'Lot Balance'!$P827)</f>
        <v/>
      </c>
      <c r="I828" s="26" t="str">
        <f>IF($A828="","",COUNTIFS(tblIssues[Lot Number],$B828))</f>
        <v/>
      </c>
      <c r="J828" s="31" t="str">
        <f>IF($A828="","",IF('Lot Balance'!$O827&lt;=0,"Depleted",'Lot Balance'!$Q827))</f>
        <v/>
      </c>
    </row>
    <row r="829" spans="1:10" x14ac:dyDescent="0.35">
      <c r="A829" s="18" t="str">
        <f>IF('Lot Balance'!$A828="","",'Lot Balance'!$A828)</f>
        <v/>
      </c>
      <c r="B829" s="18" t="str">
        <f>IF($A829="","",'Lot Balance'!$B828)</f>
        <v/>
      </c>
      <c r="C829" s="18" t="str">
        <f>IF($A829="","",'Lot Balance'!$C828)</f>
        <v/>
      </c>
      <c r="D829" s="25" t="str">
        <f>IF($A829="","",'Lot Balance'!$G828)</f>
        <v/>
      </c>
      <c r="E829" s="25" t="str">
        <f>IF($A829="","",'Lot Balance'!$H828)</f>
        <v/>
      </c>
      <c r="F829" s="23" t="str">
        <f>IF($A829="","",'Lot Balance'!$I828)</f>
        <v/>
      </c>
      <c r="G829" s="23" t="str">
        <f>IF($A829="","",'Lot Balance'!$O828)</f>
        <v/>
      </c>
      <c r="H829" s="33" t="str">
        <f>IF($A829="","",'Lot Balance'!$P828)</f>
        <v/>
      </c>
      <c r="I829" s="26" t="str">
        <f>IF($A829="","",COUNTIFS(tblIssues[Lot Number],$B829))</f>
        <v/>
      </c>
      <c r="J829" s="31" t="str">
        <f>IF($A829="","",IF('Lot Balance'!$O828&lt;=0,"Depleted",'Lot Balance'!$Q828))</f>
        <v/>
      </c>
    </row>
    <row r="830" spans="1:10" x14ac:dyDescent="0.35">
      <c r="A830" s="18" t="str">
        <f>IF('Lot Balance'!$A829="","",'Lot Balance'!$A829)</f>
        <v/>
      </c>
      <c r="B830" s="18" t="str">
        <f>IF($A830="","",'Lot Balance'!$B829)</f>
        <v/>
      </c>
      <c r="C830" s="18" t="str">
        <f>IF($A830="","",'Lot Balance'!$C829)</f>
        <v/>
      </c>
      <c r="D830" s="25" t="str">
        <f>IF($A830="","",'Lot Balance'!$G829)</f>
        <v/>
      </c>
      <c r="E830" s="25" t="str">
        <f>IF($A830="","",'Lot Balance'!$H829)</f>
        <v/>
      </c>
      <c r="F830" s="23" t="str">
        <f>IF($A830="","",'Lot Balance'!$I829)</f>
        <v/>
      </c>
      <c r="G830" s="23" t="str">
        <f>IF($A830="","",'Lot Balance'!$O829)</f>
        <v/>
      </c>
      <c r="H830" s="33" t="str">
        <f>IF($A830="","",'Lot Balance'!$P829)</f>
        <v/>
      </c>
      <c r="I830" s="26" t="str">
        <f>IF($A830="","",COUNTIFS(tblIssues[Lot Number],$B830))</f>
        <v/>
      </c>
      <c r="J830" s="31" t="str">
        <f>IF($A830="","",IF('Lot Balance'!$O829&lt;=0,"Depleted",'Lot Balance'!$Q829))</f>
        <v/>
      </c>
    </row>
    <row r="831" spans="1:10" x14ac:dyDescent="0.35">
      <c r="A831" s="18" t="str">
        <f>IF('Lot Balance'!$A830="","",'Lot Balance'!$A830)</f>
        <v/>
      </c>
      <c r="B831" s="18" t="str">
        <f>IF($A831="","",'Lot Balance'!$B830)</f>
        <v/>
      </c>
      <c r="C831" s="18" t="str">
        <f>IF($A831="","",'Lot Balance'!$C830)</f>
        <v/>
      </c>
      <c r="D831" s="25" t="str">
        <f>IF($A831="","",'Lot Balance'!$G830)</f>
        <v/>
      </c>
      <c r="E831" s="25" t="str">
        <f>IF($A831="","",'Lot Balance'!$H830)</f>
        <v/>
      </c>
      <c r="F831" s="23" t="str">
        <f>IF($A831="","",'Lot Balance'!$I830)</f>
        <v/>
      </c>
      <c r="G831" s="23" t="str">
        <f>IF($A831="","",'Lot Balance'!$O830)</f>
        <v/>
      </c>
      <c r="H831" s="33" t="str">
        <f>IF($A831="","",'Lot Balance'!$P830)</f>
        <v/>
      </c>
      <c r="I831" s="26" t="str">
        <f>IF($A831="","",COUNTIFS(tblIssues[Lot Number],$B831))</f>
        <v/>
      </c>
      <c r="J831" s="31" t="str">
        <f>IF($A831="","",IF('Lot Balance'!$O830&lt;=0,"Depleted",'Lot Balance'!$Q830))</f>
        <v/>
      </c>
    </row>
    <row r="832" spans="1:10" x14ac:dyDescent="0.35">
      <c r="A832" s="18" t="str">
        <f>IF('Lot Balance'!$A831="","",'Lot Balance'!$A831)</f>
        <v/>
      </c>
      <c r="B832" s="18" t="str">
        <f>IF($A832="","",'Lot Balance'!$B831)</f>
        <v/>
      </c>
      <c r="C832" s="18" t="str">
        <f>IF($A832="","",'Lot Balance'!$C831)</f>
        <v/>
      </c>
      <c r="D832" s="25" t="str">
        <f>IF($A832="","",'Lot Balance'!$G831)</f>
        <v/>
      </c>
      <c r="E832" s="25" t="str">
        <f>IF($A832="","",'Lot Balance'!$H831)</f>
        <v/>
      </c>
      <c r="F832" s="23" t="str">
        <f>IF($A832="","",'Lot Balance'!$I831)</f>
        <v/>
      </c>
      <c r="G832" s="23" t="str">
        <f>IF($A832="","",'Lot Balance'!$O831)</f>
        <v/>
      </c>
      <c r="H832" s="33" t="str">
        <f>IF($A832="","",'Lot Balance'!$P831)</f>
        <v/>
      </c>
      <c r="I832" s="26" t="str">
        <f>IF($A832="","",COUNTIFS(tblIssues[Lot Number],$B832))</f>
        <v/>
      </c>
      <c r="J832" s="31" t="str">
        <f>IF($A832="","",IF('Lot Balance'!$O831&lt;=0,"Depleted",'Lot Balance'!$Q831))</f>
        <v/>
      </c>
    </row>
    <row r="833" spans="1:10" x14ac:dyDescent="0.35">
      <c r="A833" s="18" t="str">
        <f>IF('Lot Balance'!$A832="","",'Lot Balance'!$A832)</f>
        <v/>
      </c>
      <c r="B833" s="18" t="str">
        <f>IF($A833="","",'Lot Balance'!$B832)</f>
        <v/>
      </c>
      <c r="C833" s="18" t="str">
        <f>IF($A833="","",'Lot Balance'!$C832)</f>
        <v/>
      </c>
      <c r="D833" s="25" t="str">
        <f>IF($A833="","",'Lot Balance'!$G832)</f>
        <v/>
      </c>
      <c r="E833" s="25" t="str">
        <f>IF($A833="","",'Lot Balance'!$H832)</f>
        <v/>
      </c>
      <c r="F833" s="23" t="str">
        <f>IF($A833="","",'Lot Balance'!$I832)</f>
        <v/>
      </c>
      <c r="G833" s="23" t="str">
        <f>IF($A833="","",'Lot Balance'!$O832)</f>
        <v/>
      </c>
      <c r="H833" s="33" t="str">
        <f>IF($A833="","",'Lot Balance'!$P832)</f>
        <v/>
      </c>
      <c r="I833" s="26" t="str">
        <f>IF($A833="","",COUNTIFS(tblIssues[Lot Number],$B833))</f>
        <v/>
      </c>
      <c r="J833" s="31" t="str">
        <f>IF($A833="","",IF('Lot Balance'!$O832&lt;=0,"Depleted",'Lot Balance'!$Q832))</f>
        <v/>
      </c>
    </row>
    <row r="834" spans="1:10" x14ac:dyDescent="0.35">
      <c r="A834" s="18" t="str">
        <f>IF('Lot Balance'!$A833="","",'Lot Balance'!$A833)</f>
        <v/>
      </c>
      <c r="B834" s="18" t="str">
        <f>IF($A834="","",'Lot Balance'!$B833)</f>
        <v/>
      </c>
      <c r="C834" s="18" t="str">
        <f>IF($A834="","",'Lot Balance'!$C833)</f>
        <v/>
      </c>
      <c r="D834" s="25" t="str">
        <f>IF($A834="","",'Lot Balance'!$G833)</f>
        <v/>
      </c>
      <c r="E834" s="25" t="str">
        <f>IF($A834="","",'Lot Balance'!$H833)</f>
        <v/>
      </c>
      <c r="F834" s="23" t="str">
        <f>IF($A834="","",'Lot Balance'!$I833)</f>
        <v/>
      </c>
      <c r="G834" s="23" t="str">
        <f>IF($A834="","",'Lot Balance'!$O833)</f>
        <v/>
      </c>
      <c r="H834" s="33" t="str">
        <f>IF($A834="","",'Lot Balance'!$P833)</f>
        <v/>
      </c>
      <c r="I834" s="26" t="str">
        <f>IF($A834="","",COUNTIFS(tblIssues[Lot Number],$B834))</f>
        <v/>
      </c>
      <c r="J834" s="31" t="str">
        <f>IF($A834="","",IF('Lot Balance'!$O833&lt;=0,"Depleted",'Lot Balance'!$Q833))</f>
        <v/>
      </c>
    </row>
    <row r="835" spans="1:10" x14ac:dyDescent="0.35">
      <c r="A835" s="18" t="str">
        <f>IF('Lot Balance'!$A834="","",'Lot Balance'!$A834)</f>
        <v/>
      </c>
      <c r="B835" s="18" t="str">
        <f>IF($A835="","",'Lot Balance'!$B834)</f>
        <v/>
      </c>
      <c r="C835" s="18" t="str">
        <f>IF($A835="","",'Lot Balance'!$C834)</f>
        <v/>
      </c>
      <c r="D835" s="25" t="str">
        <f>IF($A835="","",'Lot Balance'!$G834)</f>
        <v/>
      </c>
      <c r="E835" s="25" t="str">
        <f>IF($A835="","",'Lot Balance'!$H834)</f>
        <v/>
      </c>
      <c r="F835" s="23" t="str">
        <f>IF($A835="","",'Lot Balance'!$I834)</f>
        <v/>
      </c>
      <c r="G835" s="23" t="str">
        <f>IF($A835="","",'Lot Balance'!$O834)</f>
        <v/>
      </c>
      <c r="H835" s="33" t="str">
        <f>IF($A835="","",'Lot Balance'!$P834)</f>
        <v/>
      </c>
      <c r="I835" s="26" t="str">
        <f>IF($A835="","",COUNTIFS(tblIssues[Lot Number],$B835))</f>
        <v/>
      </c>
      <c r="J835" s="31" t="str">
        <f>IF($A835="","",IF('Lot Balance'!$O834&lt;=0,"Depleted",'Lot Balance'!$Q834))</f>
        <v/>
      </c>
    </row>
    <row r="836" spans="1:10" x14ac:dyDescent="0.35">
      <c r="A836" s="18" t="str">
        <f>IF('Lot Balance'!$A835="","",'Lot Balance'!$A835)</f>
        <v/>
      </c>
      <c r="B836" s="18" t="str">
        <f>IF($A836="","",'Lot Balance'!$B835)</f>
        <v/>
      </c>
      <c r="C836" s="18" t="str">
        <f>IF($A836="","",'Lot Balance'!$C835)</f>
        <v/>
      </c>
      <c r="D836" s="25" t="str">
        <f>IF($A836="","",'Lot Balance'!$G835)</f>
        <v/>
      </c>
      <c r="E836" s="25" t="str">
        <f>IF($A836="","",'Lot Balance'!$H835)</f>
        <v/>
      </c>
      <c r="F836" s="23" t="str">
        <f>IF($A836="","",'Lot Balance'!$I835)</f>
        <v/>
      </c>
      <c r="G836" s="23" t="str">
        <f>IF($A836="","",'Lot Balance'!$O835)</f>
        <v/>
      </c>
      <c r="H836" s="33" t="str">
        <f>IF($A836="","",'Lot Balance'!$P835)</f>
        <v/>
      </c>
      <c r="I836" s="26" t="str">
        <f>IF($A836="","",COUNTIFS(tblIssues[Lot Number],$B836))</f>
        <v/>
      </c>
      <c r="J836" s="31" t="str">
        <f>IF($A836="","",IF('Lot Balance'!$O835&lt;=0,"Depleted",'Lot Balance'!$Q835))</f>
        <v/>
      </c>
    </row>
    <row r="837" spans="1:10" x14ac:dyDescent="0.35">
      <c r="A837" s="18" t="str">
        <f>IF('Lot Balance'!$A836="","",'Lot Balance'!$A836)</f>
        <v/>
      </c>
      <c r="B837" s="18" t="str">
        <f>IF($A837="","",'Lot Balance'!$B836)</f>
        <v/>
      </c>
      <c r="C837" s="18" t="str">
        <f>IF($A837="","",'Lot Balance'!$C836)</f>
        <v/>
      </c>
      <c r="D837" s="25" t="str">
        <f>IF($A837="","",'Lot Balance'!$G836)</f>
        <v/>
      </c>
      <c r="E837" s="25" t="str">
        <f>IF($A837="","",'Lot Balance'!$H836)</f>
        <v/>
      </c>
      <c r="F837" s="23" t="str">
        <f>IF($A837="","",'Lot Balance'!$I836)</f>
        <v/>
      </c>
      <c r="G837" s="23" t="str">
        <f>IF($A837="","",'Lot Balance'!$O836)</f>
        <v/>
      </c>
      <c r="H837" s="33" t="str">
        <f>IF($A837="","",'Lot Balance'!$P836)</f>
        <v/>
      </c>
      <c r="I837" s="26" t="str">
        <f>IF($A837="","",COUNTIFS(tblIssues[Lot Number],$B837))</f>
        <v/>
      </c>
      <c r="J837" s="31" t="str">
        <f>IF($A837="","",IF('Lot Balance'!$O836&lt;=0,"Depleted",'Lot Balance'!$Q836))</f>
        <v/>
      </c>
    </row>
    <row r="838" spans="1:10" x14ac:dyDescent="0.35">
      <c r="A838" s="18" t="str">
        <f>IF('Lot Balance'!$A837="","",'Lot Balance'!$A837)</f>
        <v/>
      </c>
      <c r="B838" s="18" t="str">
        <f>IF($A838="","",'Lot Balance'!$B837)</f>
        <v/>
      </c>
      <c r="C838" s="18" t="str">
        <f>IF($A838="","",'Lot Balance'!$C837)</f>
        <v/>
      </c>
      <c r="D838" s="25" t="str">
        <f>IF($A838="","",'Lot Balance'!$G837)</f>
        <v/>
      </c>
      <c r="E838" s="25" t="str">
        <f>IF($A838="","",'Lot Balance'!$H837)</f>
        <v/>
      </c>
      <c r="F838" s="23" t="str">
        <f>IF($A838="","",'Lot Balance'!$I837)</f>
        <v/>
      </c>
      <c r="G838" s="23" t="str">
        <f>IF($A838="","",'Lot Balance'!$O837)</f>
        <v/>
      </c>
      <c r="H838" s="33" t="str">
        <f>IF($A838="","",'Lot Balance'!$P837)</f>
        <v/>
      </c>
      <c r="I838" s="26" t="str">
        <f>IF($A838="","",COUNTIFS(tblIssues[Lot Number],$B838))</f>
        <v/>
      </c>
      <c r="J838" s="31" t="str">
        <f>IF($A838="","",IF('Lot Balance'!$O837&lt;=0,"Depleted",'Lot Balance'!$Q837))</f>
        <v/>
      </c>
    </row>
    <row r="839" spans="1:10" x14ac:dyDescent="0.35">
      <c r="A839" s="18" t="str">
        <f>IF('Lot Balance'!$A838="","",'Lot Balance'!$A838)</f>
        <v/>
      </c>
      <c r="B839" s="18" t="str">
        <f>IF($A839="","",'Lot Balance'!$B838)</f>
        <v/>
      </c>
      <c r="C839" s="18" t="str">
        <f>IF($A839="","",'Lot Balance'!$C838)</f>
        <v/>
      </c>
      <c r="D839" s="25" t="str">
        <f>IF($A839="","",'Lot Balance'!$G838)</f>
        <v/>
      </c>
      <c r="E839" s="25" t="str">
        <f>IF($A839="","",'Lot Balance'!$H838)</f>
        <v/>
      </c>
      <c r="F839" s="23" t="str">
        <f>IF($A839="","",'Lot Balance'!$I838)</f>
        <v/>
      </c>
      <c r="G839" s="23" t="str">
        <f>IF($A839="","",'Lot Balance'!$O838)</f>
        <v/>
      </c>
      <c r="H839" s="33" t="str">
        <f>IF($A839="","",'Lot Balance'!$P838)</f>
        <v/>
      </c>
      <c r="I839" s="26" t="str">
        <f>IF($A839="","",COUNTIFS(tblIssues[Lot Number],$B839))</f>
        <v/>
      </c>
      <c r="J839" s="31" t="str">
        <f>IF($A839="","",IF('Lot Balance'!$O838&lt;=0,"Depleted",'Lot Balance'!$Q838))</f>
        <v/>
      </c>
    </row>
    <row r="840" spans="1:10" x14ac:dyDescent="0.35">
      <c r="A840" s="18" t="str">
        <f>IF('Lot Balance'!$A839="","",'Lot Balance'!$A839)</f>
        <v/>
      </c>
      <c r="B840" s="18" t="str">
        <f>IF($A840="","",'Lot Balance'!$B839)</f>
        <v/>
      </c>
      <c r="C840" s="18" t="str">
        <f>IF($A840="","",'Lot Balance'!$C839)</f>
        <v/>
      </c>
      <c r="D840" s="25" t="str">
        <f>IF($A840="","",'Lot Balance'!$G839)</f>
        <v/>
      </c>
      <c r="E840" s="25" t="str">
        <f>IF($A840="","",'Lot Balance'!$H839)</f>
        <v/>
      </c>
      <c r="F840" s="23" t="str">
        <f>IF($A840="","",'Lot Balance'!$I839)</f>
        <v/>
      </c>
      <c r="G840" s="23" t="str">
        <f>IF($A840="","",'Lot Balance'!$O839)</f>
        <v/>
      </c>
      <c r="H840" s="33" t="str">
        <f>IF($A840="","",'Lot Balance'!$P839)</f>
        <v/>
      </c>
      <c r="I840" s="26" t="str">
        <f>IF($A840="","",COUNTIFS(tblIssues[Lot Number],$B840))</f>
        <v/>
      </c>
      <c r="J840" s="31" t="str">
        <f>IF($A840="","",IF('Lot Balance'!$O839&lt;=0,"Depleted",'Lot Balance'!$Q839))</f>
        <v/>
      </c>
    </row>
    <row r="841" spans="1:10" x14ac:dyDescent="0.35">
      <c r="A841" s="18" t="str">
        <f>IF('Lot Balance'!$A840="","",'Lot Balance'!$A840)</f>
        <v/>
      </c>
      <c r="B841" s="18" t="str">
        <f>IF($A841="","",'Lot Balance'!$B840)</f>
        <v/>
      </c>
      <c r="C841" s="18" t="str">
        <f>IF($A841="","",'Lot Balance'!$C840)</f>
        <v/>
      </c>
      <c r="D841" s="25" t="str">
        <f>IF($A841="","",'Lot Balance'!$G840)</f>
        <v/>
      </c>
      <c r="E841" s="25" t="str">
        <f>IF($A841="","",'Lot Balance'!$H840)</f>
        <v/>
      </c>
      <c r="F841" s="23" t="str">
        <f>IF($A841="","",'Lot Balance'!$I840)</f>
        <v/>
      </c>
      <c r="G841" s="23" t="str">
        <f>IF($A841="","",'Lot Balance'!$O840)</f>
        <v/>
      </c>
      <c r="H841" s="33" t="str">
        <f>IF($A841="","",'Lot Balance'!$P840)</f>
        <v/>
      </c>
      <c r="I841" s="26" t="str">
        <f>IF($A841="","",COUNTIFS(tblIssues[Lot Number],$B841))</f>
        <v/>
      </c>
      <c r="J841" s="31" t="str">
        <f>IF($A841="","",IF('Lot Balance'!$O840&lt;=0,"Depleted",'Lot Balance'!$Q840))</f>
        <v/>
      </c>
    </row>
    <row r="842" spans="1:10" x14ac:dyDescent="0.35">
      <c r="A842" s="18" t="str">
        <f>IF('Lot Balance'!$A841="","",'Lot Balance'!$A841)</f>
        <v/>
      </c>
      <c r="B842" s="18" t="str">
        <f>IF($A842="","",'Lot Balance'!$B841)</f>
        <v/>
      </c>
      <c r="C842" s="18" t="str">
        <f>IF($A842="","",'Lot Balance'!$C841)</f>
        <v/>
      </c>
      <c r="D842" s="25" t="str">
        <f>IF($A842="","",'Lot Balance'!$G841)</f>
        <v/>
      </c>
      <c r="E842" s="25" t="str">
        <f>IF($A842="","",'Lot Balance'!$H841)</f>
        <v/>
      </c>
      <c r="F842" s="23" t="str">
        <f>IF($A842="","",'Lot Balance'!$I841)</f>
        <v/>
      </c>
      <c r="G842" s="23" t="str">
        <f>IF($A842="","",'Lot Balance'!$O841)</f>
        <v/>
      </c>
      <c r="H842" s="33" t="str">
        <f>IF($A842="","",'Lot Balance'!$P841)</f>
        <v/>
      </c>
      <c r="I842" s="26" t="str">
        <f>IF($A842="","",COUNTIFS(tblIssues[Lot Number],$B842))</f>
        <v/>
      </c>
      <c r="J842" s="31" t="str">
        <f>IF($A842="","",IF('Lot Balance'!$O841&lt;=0,"Depleted",'Lot Balance'!$Q841))</f>
        <v/>
      </c>
    </row>
    <row r="843" spans="1:10" x14ac:dyDescent="0.35">
      <c r="A843" s="18" t="str">
        <f>IF('Lot Balance'!$A842="","",'Lot Balance'!$A842)</f>
        <v/>
      </c>
      <c r="B843" s="18" t="str">
        <f>IF($A843="","",'Lot Balance'!$B842)</f>
        <v/>
      </c>
      <c r="C843" s="18" t="str">
        <f>IF($A843="","",'Lot Balance'!$C842)</f>
        <v/>
      </c>
      <c r="D843" s="25" t="str">
        <f>IF($A843="","",'Lot Balance'!$G842)</f>
        <v/>
      </c>
      <c r="E843" s="25" t="str">
        <f>IF($A843="","",'Lot Balance'!$H842)</f>
        <v/>
      </c>
      <c r="F843" s="23" t="str">
        <f>IF($A843="","",'Lot Balance'!$I842)</f>
        <v/>
      </c>
      <c r="G843" s="23" t="str">
        <f>IF($A843="","",'Lot Balance'!$O842)</f>
        <v/>
      </c>
      <c r="H843" s="33" t="str">
        <f>IF($A843="","",'Lot Balance'!$P842)</f>
        <v/>
      </c>
      <c r="I843" s="26" t="str">
        <f>IF($A843="","",COUNTIFS(tblIssues[Lot Number],$B843))</f>
        <v/>
      </c>
      <c r="J843" s="31" t="str">
        <f>IF($A843="","",IF('Lot Balance'!$O842&lt;=0,"Depleted",'Lot Balance'!$Q842))</f>
        <v/>
      </c>
    </row>
    <row r="844" spans="1:10" x14ac:dyDescent="0.35">
      <c r="A844" s="18" t="str">
        <f>IF('Lot Balance'!$A843="","",'Lot Balance'!$A843)</f>
        <v/>
      </c>
      <c r="B844" s="18" t="str">
        <f>IF($A844="","",'Lot Balance'!$B843)</f>
        <v/>
      </c>
      <c r="C844" s="18" t="str">
        <f>IF($A844="","",'Lot Balance'!$C843)</f>
        <v/>
      </c>
      <c r="D844" s="25" t="str">
        <f>IF($A844="","",'Lot Balance'!$G843)</f>
        <v/>
      </c>
      <c r="E844" s="25" t="str">
        <f>IF($A844="","",'Lot Balance'!$H843)</f>
        <v/>
      </c>
      <c r="F844" s="23" t="str">
        <f>IF($A844="","",'Lot Balance'!$I843)</f>
        <v/>
      </c>
      <c r="G844" s="23" t="str">
        <f>IF($A844="","",'Lot Balance'!$O843)</f>
        <v/>
      </c>
      <c r="H844" s="33" t="str">
        <f>IF($A844="","",'Lot Balance'!$P843)</f>
        <v/>
      </c>
      <c r="I844" s="26" t="str">
        <f>IF($A844="","",COUNTIFS(tblIssues[Lot Number],$B844))</f>
        <v/>
      </c>
      <c r="J844" s="31" t="str">
        <f>IF($A844="","",IF('Lot Balance'!$O843&lt;=0,"Depleted",'Lot Balance'!$Q843))</f>
        <v/>
      </c>
    </row>
    <row r="845" spans="1:10" x14ac:dyDescent="0.35">
      <c r="A845" s="18" t="str">
        <f>IF('Lot Balance'!$A844="","",'Lot Balance'!$A844)</f>
        <v/>
      </c>
      <c r="B845" s="18" t="str">
        <f>IF($A845="","",'Lot Balance'!$B844)</f>
        <v/>
      </c>
      <c r="C845" s="18" t="str">
        <f>IF($A845="","",'Lot Balance'!$C844)</f>
        <v/>
      </c>
      <c r="D845" s="25" t="str">
        <f>IF($A845="","",'Lot Balance'!$G844)</f>
        <v/>
      </c>
      <c r="E845" s="25" t="str">
        <f>IF($A845="","",'Lot Balance'!$H844)</f>
        <v/>
      </c>
      <c r="F845" s="23" t="str">
        <f>IF($A845="","",'Lot Balance'!$I844)</f>
        <v/>
      </c>
      <c r="G845" s="23" t="str">
        <f>IF($A845="","",'Lot Balance'!$O844)</f>
        <v/>
      </c>
      <c r="H845" s="33" t="str">
        <f>IF($A845="","",'Lot Balance'!$P844)</f>
        <v/>
      </c>
      <c r="I845" s="26" t="str">
        <f>IF($A845="","",COUNTIFS(tblIssues[Lot Number],$B845))</f>
        <v/>
      </c>
      <c r="J845" s="31" t="str">
        <f>IF($A845="","",IF('Lot Balance'!$O844&lt;=0,"Depleted",'Lot Balance'!$Q844))</f>
        <v/>
      </c>
    </row>
    <row r="846" spans="1:10" x14ac:dyDescent="0.35">
      <c r="A846" s="18" t="str">
        <f>IF('Lot Balance'!$A845="","",'Lot Balance'!$A845)</f>
        <v/>
      </c>
      <c r="B846" s="18" t="str">
        <f>IF($A846="","",'Lot Balance'!$B845)</f>
        <v/>
      </c>
      <c r="C846" s="18" t="str">
        <f>IF($A846="","",'Lot Balance'!$C845)</f>
        <v/>
      </c>
      <c r="D846" s="25" t="str">
        <f>IF($A846="","",'Lot Balance'!$G845)</f>
        <v/>
      </c>
      <c r="E846" s="25" t="str">
        <f>IF($A846="","",'Lot Balance'!$H845)</f>
        <v/>
      </c>
      <c r="F846" s="23" t="str">
        <f>IF($A846="","",'Lot Balance'!$I845)</f>
        <v/>
      </c>
      <c r="G846" s="23" t="str">
        <f>IF($A846="","",'Lot Balance'!$O845)</f>
        <v/>
      </c>
      <c r="H846" s="33" t="str">
        <f>IF($A846="","",'Lot Balance'!$P845)</f>
        <v/>
      </c>
      <c r="I846" s="26" t="str">
        <f>IF($A846="","",COUNTIFS(tblIssues[Lot Number],$B846))</f>
        <v/>
      </c>
      <c r="J846" s="31" t="str">
        <f>IF($A846="","",IF('Lot Balance'!$O845&lt;=0,"Depleted",'Lot Balance'!$Q845))</f>
        <v/>
      </c>
    </row>
    <row r="847" spans="1:10" x14ac:dyDescent="0.35">
      <c r="A847" s="18" t="str">
        <f>IF('Lot Balance'!$A846="","",'Lot Balance'!$A846)</f>
        <v/>
      </c>
      <c r="B847" s="18" t="str">
        <f>IF($A847="","",'Lot Balance'!$B846)</f>
        <v/>
      </c>
      <c r="C847" s="18" t="str">
        <f>IF($A847="","",'Lot Balance'!$C846)</f>
        <v/>
      </c>
      <c r="D847" s="25" t="str">
        <f>IF($A847="","",'Lot Balance'!$G846)</f>
        <v/>
      </c>
      <c r="E847" s="25" t="str">
        <f>IF($A847="","",'Lot Balance'!$H846)</f>
        <v/>
      </c>
      <c r="F847" s="23" t="str">
        <f>IF($A847="","",'Lot Balance'!$I846)</f>
        <v/>
      </c>
      <c r="G847" s="23" t="str">
        <f>IF($A847="","",'Lot Balance'!$O846)</f>
        <v/>
      </c>
      <c r="H847" s="33" t="str">
        <f>IF($A847="","",'Lot Balance'!$P846)</f>
        <v/>
      </c>
      <c r="I847" s="26" t="str">
        <f>IF($A847="","",COUNTIFS(tblIssues[Lot Number],$B847))</f>
        <v/>
      </c>
      <c r="J847" s="31" t="str">
        <f>IF($A847="","",IF('Lot Balance'!$O846&lt;=0,"Depleted",'Lot Balance'!$Q846))</f>
        <v/>
      </c>
    </row>
    <row r="848" spans="1:10" x14ac:dyDescent="0.35">
      <c r="A848" s="18" t="str">
        <f>IF('Lot Balance'!$A847="","",'Lot Balance'!$A847)</f>
        <v/>
      </c>
      <c r="B848" s="18" t="str">
        <f>IF($A848="","",'Lot Balance'!$B847)</f>
        <v/>
      </c>
      <c r="C848" s="18" t="str">
        <f>IF($A848="","",'Lot Balance'!$C847)</f>
        <v/>
      </c>
      <c r="D848" s="25" t="str">
        <f>IF($A848="","",'Lot Balance'!$G847)</f>
        <v/>
      </c>
      <c r="E848" s="25" t="str">
        <f>IF($A848="","",'Lot Balance'!$H847)</f>
        <v/>
      </c>
      <c r="F848" s="23" t="str">
        <f>IF($A848="","",'Lot Balance'!$I847)</f>
        <v/>
      </c>
      <c r="G848" s="23" t="str">
        <f>IF($A848="","",'Lot Balance'!$O847)</f>
        <v/>
      </c>
      <c r="H848" s="33" t="str">
        <f>IF($A848="","",'Lot Balance'!$P847)</f>
        <v/>
      </c>
      <c r="I848" s="26" t="str">
        <f>IF($A848="","",COUNTIFS(tblIssues[Lot Number],$B848))</f>
        <v/>
      </c>
      <c r="J848" s="31" t="str">
        <f>IF($A848="","",IF('Lot Balance'!$O847&lt;=0,"Depleted",'Lot Balance'!$Q847))</f>
        <v/>
      </c>
    </row>
    <row r="849" spans="1:10" x14ac:dyDescent="0.35">
      <c r="A849" s="18" t="str">
        <f>IF('Lot Balance'!$A848="","",'Lot Balance'!$A848)</f>
        <v/>
      </c>
      <c r="B849" s="18" t="str">
        <f>IF($A849="","",'Lot Balance'!$B848)</f>
        <v/>
      </c>
      <c r="C849" s="18" t="str">
        <f>IF($A849="","",'Lot Balance'!$C848)</f>
        <v/>
      </c>
      <c r="D849" s="25" t="str">
        <f>IF($A849="","",'Lot Balance'!$G848)</f>
        <v/>
      </c>
      <c r="E849" s="25" t="str">
        <f>IF($A849="","",'Lot Balance'!$H848)</f>
        <v/>
      </c>
      <c r="F849" s="23" t="str">
        <f>IF($A849="","",'Lot Balance'!$I848)</f>
        <v/>
      </c>
      <c r="G849" s="23" t="str">
        <f>IF($A849="","",'Lot Balance'!$O848)</f>
        <v/>
      </c>
      <c r="H849" s="33" t="str">
        <f>IF($A849="","",'Lot Balance'!$P848)</f>
        <v/>
      </c>
      <c r="I849" s="26" t="str">
        <f>IF($A849="","",COUNTIFS(tblIssues[Lot Number],$B849))</f>
        <v/>
      </c>
      <c r="J849" s="31" t="str">
        <f>IF($A849="","",IF('Lot Balance'!$O848&lt;=0,"Depleted",'Lot Balance'!$Q848))</f>
        <v/>
      </c>
    </row>
    <row r="850" spans="1:10" x14ac:dyDescent="0.35">
      <c r="A850" s="18" t="str">
        <f>IF('Lot Balance'!$A849="","",'Lot Balance'!$A849)</f>
        <v/>
      </c>
      <c r="B850" s="18" t="str">
        <f>IF($A850="","",'Lot Balance'!$B849)</f>
        <v/>
      </c>
      <c r="C850" s="18" t="str">
        <f>IF($A850="","",'Lot Balance'!$C849)</f>
        <v/>
      </c>
      <c r="D850" s="25" t="str">
        <f>IF($A850="","",'Lot Balance'!$G849)</f>
        <v/>
      </c>
      <c r="E850" s="25" t="str">
        <f>IF($A850="","",'Lot Balance'!$H849)</f>
        <v/>
      </c>
      <c r="F850" s="23" t="str">
        <f>IF($A850="","",'Lot Balance'!$I849)</f>
        <v/>
      </c>
      <c r="G850" s="23" t="str">
        <f>IF($A850="","",'Lot Balance'!$O849)</f>
        <v/>
      </c>
      <c r="H850" s="33" t="str">
        <f>IF($A850="","",'Lot Balance'!$P849)</f>
        <v/>
      </c>
      <c r="I850" s="26" t="str">
        <f>IF($A850="","",COUNTIFS(tblIssues[Lot Number],$B850))</f>
        <v/>
      </c>
      <c r="J850" s="31" t="str">
        <f>IF($A850="","",IF('Lot Balance'!$O849&lt;=0,"Depleted",'Lot Balance'!$Q849))</f>
        <v/>
      </c>
    </row>
    <row r="851" spans="1:10" x14ac:dyDescent="0.35">
      <c r="A851" s="18" t="str">
        <f>IF('Lot Balance'!$A850="","",'Lot Balance'!$A850)</f>
        <v/>
      </c>
      <c r="B851" s="18" t="str">
        <f>IF($A851="","",'Lot Balance'!$B850)</f>
        <v/>
      </c>
      <c r="C851" s="18" t="str">
        <f>IF($A851="","",'Lot Balance'!$C850)</f>
        <v/>
      </c>
      <c r="D851" s="25" t="str">
        <f>IF($A851="","",'Lot Balance'!$G850)</f>
        <v/>
      </c>
      <c r="E851" s="25" t="str">
        <f>IF($A851="","",'Lot Balance'!$H850)</f>
        <v/>
      </c>
      <c r="F851" s="23" t="str">
        <f>IF($A851="","",'Lot Balance'!$I850)</f>
        <v/>
      </c>
      <c r="G851" s="23" t="str">
        <f>IF($A851="","",'Lot Balance'!$O850)</f>
        <v/>
      </c>
      <c r="H851" s="33" t="str">
        <f>IF($A851="","",'Lot Balance'!$P850)</f>
        <v/>
      </c>
      <c r="I851" s="26" t="str">
        <f>IF($A851="","",COUNTIFS(tblIssues[Lot Number],$B851))</f>
        <v/>
      </c>
      <c r="J851" s="31" t="str">
        <f>IF($A851="","",IF('Lot Balance'!$O850&lt;=0,"Depleted",'Lot Balance'!$Q850))</f>
        <v/>
      </c>
    </row>
    <row r="852" spans="1:10" x14ac:dyDescent="0.35">
      <c r="A852" s="18" t="str">
        <f>IF('Lot Balance'!$A851="","",'Lot Balance'!$A851)</f>
        <v/>
      </c>
      <c r="B852" s="18" t="str">
        <f>IF($A852="","",'Lot Balance'!$B851)</f>
        <v/>
      </c>
      <c r="C852" s="18" t="str">
        <f>IF($A852="","",'Lot Balance'!$C851)</f>
        <v/>
      </c>
      <c r="D852" s="25" t="str">
        <f>IF($A852="","",'Lot Balance'!$G851)</f>
        <v/>
      </c>
      <c r="E852" s="25" t="str">
        <f>IF($A852="","",'Lot Balance'!$H851)</f>
        <v/>
      </c>
      <c r="F852" s="23" t="str">
        <f>IF($A852="","",'Lot Balance'!$I851)</f>
        <v/>
      </c>
      <c r="G852" s="23" t="str">
        <f>IF($A852="","",'Lot Balance'!$O851)</f>
        <v/>
      </c>
      <c r="H852" s="33" t="str">
        <f>IF($A852="","",'Lot Balance'!$P851)</f>
        <v/>
      </c>
      <c r="I852" s="26" t="str">
        <f>IF($A852="","",COUNTIFS(tblIssues[Lot Number],$B852))</f>
        <v/>
      </c>
      <c r="J852" s="31" t="str">
        <f>IF($A852="","",IF('Lot Balance'!$O851&lt;=0,"Depleted",'Lot Balance'!$Q851))</f>
        <v/>
      </c>
    </row>
    <row r="853" spans="1:10" x14ac:dyDescent="0.35">
      <c r="A853" s="18" t="str">
        <f>IF('Lot Balance'!$A852="","",'Lot Balance'!$A852)</f>
        <v/>
      </c>
      <c r="B853" s="18" t="str">
        <f>IF($A853="","",'Lot Balance'!$B852)</f>
        <v/>
      </c>
      <c r="C853" s="18" t="str">
        <f>IF($A853="","",'Lot Balance'!$C852)</f>
        <v/>
      </c>
      <c r="D853" s="25" t="str">
        <f>IF($A853="","",'Lot Balance'!$G852)</f>
        <v/>
      </c>
      <c r="E853" s="25" t="str">
        <f>IF($A853="","",'Lot Balance'!$H852)</f>
        <v/>
      </c>
      <c r="F853" s="23" t="str">
        <f>IF($A853="","",'Lot Balance'!$I852)</f>
        <v/>
      </c>
      <c r="G853" s="23" t="str">
        <f>IF($A853="","",'Lot Balance'!$O852)</f>
        <v/>
      </c>
      <c r="H853" s="33" t="str">
        <f>IF($A853="","",'Lot Balance'!$P852)</f>
        <v/>
      </c>
      <c r="I853" s="26" t="str">
        <f>IF($A853="","",COUNTIFS(tblIssues[Lot Number],$B853))</f>
        <v/>
      </c>
      <c r="J853" s="31" t="str">
        <f>IF($A853="","",IF('Lot Balance'!$O852&lt;=0,"Depleted",'Lot Balance'!$Q852))</f>
        <v/>
      </c>
    </row>
    <row r="854" spans="1:10" x14ac:dyDescent="0.35">
      <c r="A854" s="18" t="str">
        <f>IF('Lot Balance'!$A853="","",'Lot Balance'!$A853)</f>
        <v/>
      </c>
      <c r="B854" s="18" t="str">
        <f>IF($A854="","",'Lot Balance'!$B853)</f>
        <v/>
      </c>
      <c r="C854" s="18" t="str">
        <f>IF($A854="","",'Lot Balance'!$C853)</f>
        <v/>
      </c>
      <c r="D854" s="25" t="str">
        <f>IF($A854="","",'Lot Balance'!$G853)</f>
        <v/>
      </c>
      <c r="E854" s="25" t="str">
        <f>IF($A854="","",'Lot Balance'!$H853)</f>
        <v/>
      </c>
      <c r="F854" s="23" t="str">
        <f>IF($A854="","",'Lot Balance'!$I853)</f>
        <v/>
      </c>
      <c r="G854" s="23" t="str">
        <f>IF($A854="","",'Lot Balance'!$O853)</f>
        <v/>
      </c>
      <c r="H854" s="33" t="str">
        <f>IF($A854="","",'Lot Balance'!$P853)</f>
        <v/>
      </c>
      <c r="I854" s="26" t="str">
        <f>IF($A854="","",COUNTIFS(tblIssues[Lot Number],$B854))</f>
        <v/>
      </c>
      <c r="J854" s="31" t="str">
        <f>IF($A854="","",IF('Lot Balance'!$O853&lt;=0,"Depleted",'Lot Balance'!$Q853))</f>
        <v/>
      </c>
    </row>
    <row r="855" spans="1:10" x14ac:dyDescent="0.35">
      <c r="A855" s="18" t="str">
        <f>IF('Lot Balance'!$A854="","",'Lot Balance'!$A854)</f>
        <v/>
      </c>
      <c r="B855" s="18" t="str">
        <f>IF($A855="","",'Lot Balance'!$B854)</f>
        <v/>
      </c>
      <c r="C855" s="18" t="str">
        <f>IF($A855="","",'Lot Balance'!$C854)</f>
        <v/>
      </c>
      <c r="D855" s="25" t="str">
        <f>IF($A855="","",'Lot Balance'!$G854)</f>
        <v/>
      </c>
      <c r="E855" s="25" t="str">
        <f>IF($A855="","",'Lot Balance'!$H854)</f>
        <v/>
      </c>
      <c r="F855" s="23" t="str">
        <f>IF($A855="","",'Lot Balance'!$I854)</f>
        <v/>
      </c>
      <c r="G855" s="23" t="str">
        <f>IF($A855="","",'Lot Balance'!$O854)</f>
        <v/>
      </c>
      <c r="H855" s="33" t="str">
        <f>IF($A855="","",'Lot Balance'!$P854)</f>
        <v/>
      </c>
      <c r="I855" s="26" t="str">
        <f>IF($A855="","",COUNTIFS(tblIssues[Lot Number],$B855))</f>
        <v/>
      </c>
      <c r="J855" s="31" t="str">
        <f>IF($A855="","",IF('Lot Balance'!$O854&lt;=0,"Depleted",'Lot Balance'!$Q854))</f>
        <v/>
      </c>
    </row>
    <row r="856" spans="1:10" x14ac:dyDescent="0.35">
      <c r="A856" s="18" t="str">
        <f>IF('Lot Balance'!$A855="","",'Lot Balance'!$A855)</f>
        <v/>
      </c>
      <c r="B856" s="18" t="str">
        <f>IF($A856="","",'Lot Balance'!$B855)</f>
        <v/>
      </c>
      <c r="C856" s="18" t="str">
        <f>IF($A856="","",'Lot Balance'!$C855)</f>
        <v/>
      </c>
      <c r="D856" s="25" t="str">
        <f>IF($A856="","",'Lot Balance'!$G855)</f>
        <v/>
      </c>
      <c r="E856" s="25" t="str">
        <f>IF($A856="","",'Lot Balance'!$H855)</f>
        <v/>
      </c>
      <c r="F856" s="23" t="str">
        <f>IF($A856="","",'Lot Balance'!$I855)</f>
        <v/>
      </c>
      <c r="G856" s="23" t="str">
        <f>IF($A856="","",'Lot Balance'!$O855)</f>
        <v/>
      </c>
      <c r="H856" s="33" t="str">
        <f>IF($A856="","",'Lot Balance'!$P855)</f>
        <v/>
      </c>
      <c r="I856" s="26" t="str">
        <f>IF($A856="","",COUNTIFS(tblIssues[Lot Number],$B856))</f>
        <v/>
      </c>
      <c r="J856" s="31" t="str">
        <f>IF($A856="","",IF('Lot Balance'!$O855&lt;=0,"Depleted",'Lot Balance'!$Q855))</f>
        <v/>
      </c>
    </row>
    <row r="857" spans="1:10" x14ac:dyDescent="0.35">
      <c r="A857" s="18" t="str">
        <f>IF('Lot Balance'!$A856="","",'Lot Balance'!$A856)</f>
        <v/>
      </c>
      <c r="B857" s="18" t="str">
        <f>IF($A857="","",'Lot Balance'!$B856)</f>
        <v/>
      </c>
      <c r="C857" s="18" t="str">
        <f>IF($A857="","",'Lot Balance'!$C856)</f>
        <v/>
      </c>
      <c r="D857" s="25" t="str">
        <f>IF($A857="","",'Lot Balance'!$G856)</f>
        <v/>
      </c>
      <c r="E857" s="25" t="str">
        <f>IF($A857="","",'Lot Balance'!$H856)</f>
        <v/>
      </c>
      <c r="F857" s="23" t="str">
        <f>IF($A857="","",'Lot Balance'!$I856)</f>
        <v/>
      </c>
      <c r="G857" s="23" t="str">
        <f>IF($A857="","",'Lot Balance'!$O856)</f>
        <v/>
      </c>
      <c r="H857" s="33" t="str">
        <f>IF($A857="","",'Lot Balance'!$P856)</f>
        <v/>
      </c>
      <c r="I857" s="26" t="str">
        <f>IF($A857="","",COUNTIFS(tblIssues[Lot Number],$B857))</f>
        <v/>
      </c>
      <c r="J857" s="31" t="str">
        <f>IF($A857="","",IF('Lot Balance'!$O856&lt;=0,"Depleted",'Lot Balance'!$Q856))</f>
        <v/>
      </c>
    </row>
    <row r="858" spans="1:10" x14ac:dyDescent="0.35">
      <c r="A858" s="18" t="str">
        <f>IF('Lot Balance'!$A857="","",'Lot Balance'!$A857)</f>
        <v/>
      </c>
      <c r="B858" s="18" t="str">
        <f>IF($A858="","",'Lot Balance'!$B857)</f>
        <v/>
      </c>
      <c r="C858" s="18" t="str">
        <f>IF($A858="","",'Lot Balance'!$C857)</f>
        <v/>
      </c>
      <c r="D858" s="25" t="str">
        <f>IF($A858="","",'Lot Balance'!$G857)</f>
        <v/>
      </c>
      <c r="E858" s="25" t="str">
        <f>IF($A858="","",'Lot Balance'!$H857)</f>
        <v/>
      </c>
      <c r="F858" s="23" t="str">
        <f>IF($A858="","",'Lot Balance'!$I857)</f>
        <v/>
      </c>
      <c r="G858" s="23" t="str">
        <f>IF($A858="","",'Lot Balance'!$O857)</f>
        <v/>
      </c>
      <c r="H858" s="33" t="str">
        <f>IF($A858="","",'Lot Balance'!$P857)</f>
        <v/>
      </c>
      <c r="I858" s="26" t="str">
        <f>IF($A858="","",COUNTIFS(tblIssues[Lot Number],$B858))</f>
        <v/>
      </c>
      <c r="J858" s="31" t="str">
        <f>IF($A858="","",IF('Lot Balance'!$O857&lt;=0,"Depleted",'Lot Balance'!$Q857))</f>
        <v/>
      </c>
    </row>
    <row r="859" spans="1:10" x14ac:dyDescent="0.35">
      <c r="A859" s="18" t="str">
        <f>IF('Lot Balance'!$A858="","",'Lot Balance'!$A858)</f>
        <v/>
      </c>
      <c r="B859" s="18" t="str">
        <f>IF($A859="","",'Lot Balance'!$B858)</f>
        <v/>
      </c>
      <c r="C859" s="18" t="str">
        <f>IF($A859="","",'Lot Balance'!$C858)</f>
        <v/>
      </c>
      <c r="D859" s="25" t="str">
        <f>IF($A859="","",'Lot Balance'!$G858)</f>
        <v/>
      </c>
      <c r="E859" s="25" t="str">
        <f>IF($A859="","",'Lot Balance'!$H858)</f>
        <v/>
      </c>
      <c r="F859" s="23" t="str">
        <f>IF($A859="","",'Lot Balance'!$I858)</f>
        <v/>
      </c>
      <c r="G859" s="23" t="str">
        <f>IF($A859="","",'Lot Balance'!$O858)</f>
        <v/>
      </c>
      <c r="H859" s="33" t="str">
        <f>IF($A859="","",'Lot Balance'!$P858)</f>
        <v/>
      </c>
      <c r="I859" s="26" t="str">
        <f>IF($A859="","",COUNTIFS(tblIssues[Lot Number],$B859))</f>
        <v/>
      </c>
      <c r="J859" s="31" t="str">
        <f>IF($A859="","",IF('Lot Balance'!$O858&lt;=0,"Depleted",'Lot Balance'!$Q858))</f>
        <v/>
      </c>
    </row>
    <row r="860" spans="1:10" x14ac:dyDescent="0.35">
      <c r="A860" s="18" t="str">
        <f>IF('Lot Balance'!$A859="","",'Lot Balance'!$A859)</f>
        <v/>
      </c>
      <c r="B860" s="18" t="str">
        <f>IF($A860="","",'Lot Balance'!$B859)</f>
        <v/>
      </c>
      <c r="C860" s="18" t="str">
        <f>IF($A860="","",'Lot Balance'!$C859)</f>
        <v/>
      </c>
      <c r="D860" s="25" t="str">
        <f>IF($A860="","",'Lot Balance'!$G859)</f>
        <v/>
      </c>
      <c r="E860" s="25" t="str">
        <f>IF($A860="","",'Lot Balance'!$H859)</f>
        <v/>
      </c>
      <c r="F860" s="23" t="str">
        <f>IF($A860="","",'Lot Balance'!$I859)</f>
        <v/>
      </c>
      <c r="G860" s="23" t="str">
        <f>IF($A860="","",'Lot Balance'!$O859)</f>
        <v/>
      </c>
      <c r="H860" s="33" t="str">
        <f>IF($A860="","",'Lot Balance'!$P859)</f>
        <v/>
      </c>
      <c r="I860" s="26" t="str">
        <f>IF($A860="","",COUNTIFS(tblIssues[Lot Number],$B860))</f>
        <v/>
      </c>
      <c r="J860" s="31" t="str">
        <f>IF($A860="","",IF('Lot Balance'!$O859&lt;=0,"Depleted",'Lot Balance'!$Q859))</f>
        <v/>
      </c>
    </row>
    <row r="861" spans="1:10" x14ac:dyDescent="0.35">
      <c r="A861" s="18" t="str">
        <f>IF('Lot Balance'!$A860="","",'Lot Balance'!$A860)</f>
        <v/>
      </c>
      <c r="B861" s="18" t="str">
        <f>IF($A861="","",'Lot Balance'!$B860)</f>
        <v/>
      </c>
      <c r="C861" s="18" t="str">
        <f>IF($A861="","",'Lot Balance'!$C860)</f>
        <v/>
      </c>
      <c r="D861" s="25" t="str">
        <f>IF($A861="","",'Lot Balance'!$G860)</f>
        <v/>
      </c>
      <c r="E861" s="25" t="str">
        <f>IF($A861="","",'Lot Balance'!$H860)</f>
        <v/>
      </c>
      <c r="F861" s="23" t="str">
        <f>IF($A861="","",'Lot Balance'!$I860)</f>
        <v/>
      </c>
      <c r="G861" s="23" t="str">
        <f>IF($A861="","",'Lot Balance'!$O860)</f>
        <v/>
      </c>
      <c r="H861" s="33" t="str">
        <f>IF($A861="","",'Lot Balance'!$P860)</f>
        <v/>
      </c>
      <c r="I861" s="26" t="str">
        <f>IF($A861="","",COUNTIFS(tblIssues[Lot Number],$B861))</f>
        <v/>
      </c>
      <c r="J861" s="31" t="str">
        <f>IF($A861="","",IF('Lot Balance'!$O860&lt;=0,"Depleted",'Lot Balance'!$Q860))</f>
        <v/>
      </c>
    </row>
    <row r="862" spans="1:10" x14ac:dyDescent="0.35">
      <c r="A862" s="18" t="str">
        <f>IF('Lot Balance'!$A861="","",'Lot Balance'!$A861)</f>
        <v/>
      </c>
      <c r="B862" s="18" t="str">
        <f>IF($A862="","",'Lot Balance'!$B861)</f>
        <v/>
      </c>
      <c r="C862" s="18" t="str">
        <f>IF($A862="","",'Lot Balance'!$C861)</f>
        <v/>
      </c>
      <c r="D862" s="25" t="str">
        <f>IF($A862="","",'Lot Balance'!$G861)</f>
        <v/>
      </c>
      <c r="E862" s="25" t="str">
        <f>IF($A862="","",'Lot Balance'!$H861)</f>
        <v/>
      </c>
      <c r="F862" s="23" t="str">
        <f>IF($A862="","",'Lot Balance'!$I861)</f>
        <v/>
      </c>
      <c r="G862" s="23" t="str">
        <f>IF($A862="","",'Lot Balance'!$O861)</f>
        <v/>
      </c>
      <c r="H862" s="33" t="str">
        <f>IF($A862="","",'Lot Balance'!$P861)</f>
        <v/>
      </c>
      <c r="I862" s="26" t="str">
        <f>IF($A862="","",COUNTIFS(tblIssues[Lot Number],$B862))</f>
        <v/>
      </c>
      <c r="J862" s="31" t="str">
        <f>IF($A862="","",IF('Lot Balance'!$O861&lt;=0,"Depleted",'Lot Balance'!$Q861))</f>
        <v/>
      </c>
    </row>
    <row r="863" spans="1:10" x14ac:dyDescent="0.35">
      <c r="A863" s="18" t="str">
        <f>IF('Lot Balance'!$A862="","",'Lot Balance'!$A862)</f>
        <v/>
      </c>
      <c r="B863" s="18" t="str">
        <f>IF($A863="","",'Lot Balance'!$B862)</f>
        <v/>
      </c>
      <c r="C863" s="18" t="str">
        <f>IF($A863="","",'Lot Balance'!$C862)</f>
        <v/>
      </c>
      <c r="D863" s="25" t="str">
        <f>IF($A863="","",'Lot Balance'!$G862)</f>
        <v/>
      </c>
      <c r="E863" s="25" t="str">
        <f>IF($A863="","",'Lot Balance'!$H862)</f>
        <v/>
      </c>
      <c r="F863" s="23" t="str">
        <f>IF($A863="","",'Lot Balance'!$I862)</f>
        <v/>
      </c>
      <c r="G863" s="23" t="str">
        <f>IF($A863="","",'Lot Balance'!$O862)</f>
        <v/>
      </c>
      <c r="H863" s="33" t="str">
        <f>IF($A863="","",'Lot Balance'!$P862)</f>
        <v/>
      </c>
      <c r="I863" s="26" t="str">
        <f>IF($A863="","",COUNTIFS(tblIssues[Lot Number],$B863))</f>
        <v/>
      </c>
      <c r="J863" s="31" t="str">
        <f>IF($A863="","",IF('Lot Balance'!$O862&lt;=0,"Depleted",'Lot Balance'!$Q862))</f>
        <v/>
      </c>
    </row>
    <row r="864" spans="1:10" x14ac:dyDescent="0.35">
      <c r="A864" s="18" t="str">
        <f>IF('Lot Balance'!$A863="","",'Lot Balance'!$A863)</f>
        <v/>
      </c>
      <c r="B864" s="18" t="str">
        <f>IF($A864="","",'Lot Balance'!$B863)</f>
        <v/>
      </c>
      <c r="C864" s="18" t="str">
        <f>IF($A864="","",'Lot Balance'!$C863)</f>
        <v/>
      </c>
      <c r="D864" s="25" t="str">
        <f>IF($A864="","",'Lot Balance'!$G863)</f>
        <v/>
      </c>
      <c r="E864" s="25" t="str">
        <f>IF($A864="","",'Lot Balance'!$H863)</f>
        <v/>
      </c>
      <c r="F864" s="23" t="str">
        <f>IF($A864="","",'Lot Balance'!$I863)</f>
        <v/>
      </c>
      <c r="G864" s="23" t="str">
        <f>IF($A864="","",'Lot Balance'!$O863)</f>
        <v/>
      </c>
      <c r="H864" s="33" t="str">
        <f>IF($A864="","",'Lot Balance'!$P863)</f>
        <v/>
      </c>
      <c r="I864" s="26" t="str">
        <f>IF($A864="","",COUNTIFS(tblIssues[Lot Number],$B864))</f>
        <v/>
      </c>
      <c r="J864" s="31" t="str">
        <f>IF($A864="","",IF('Lot Balance'!$O863&lt;=0,"Depleted",'Lot Balance'!$Q863))</f>
        <v/>
      </c>
    </row>
    <row r="865" spans="1:10" x14ac:dyDescent="0.35">
      <c r="A865" s="18" t="str">
        <f>IF('Lot Balance'!$A864="","",'Lot Balance'!$A864)</f>
        <v/>
      </c>
      <c r="B865" s="18" t="str">
        <f>IF($A865="","",'Lot Balance'!$B864)</f>
        <v/>
      </c>
      <c r="C865" s="18" t="str">
        <f>IF($A865="","",'Lot Balance'!$C864)</f>
        <v/>
      </c>
      <c r="D865" s="25" t="str">
        <f>IF($A865="","",'Lot Balance'!$G864)</f>
        <v/>
      </c>
      <c r="E865" s="25" t="str">
        <f>IF($A865="","",'Lot Balance'!$H864)</f>
        <v/>
      </c>
      <c r="F865" s="23" t="str">
        <f>IF($A865="","",'Lot Balance'!$I864)</f>
        <v/>
      </c>
      <c r="G865" s="23" t="str">
        <f>IF($A865="","",'Lot Balance'!$O864)</f>
        <v/>
      </c>
      <c r="H865" s="33" t="str">
        <f>IF($A865="","",'Lot Balance'!$P864)</f>
        <v/>
      </c>
      <c r="I865" s="26" t="str">
        <f>IF($A865="","",COUNTIFS(tblIssues[Lot Number],$B865))</f>
        <v/>
      </c>
      <c r="J865" s="31" t="str">
        <f>IF($A865="","",IF('Lot Balance'!$O864&lt;=0,"Depleted",'Lot Balance'!$Q864))</f>
        <v/>
      </c>
    </row>
    <row r="866" spans="1:10" x14ac:dyDescent="0.35">
      <c r="A866" s="18" t="str">
        <f>IF('Lot Balance'!$A865="","",'Lot Balance'!$A865)</f>
        <v/>
      </c>
      <c r="B866" s="18" t="str">
        <f>IF($A866="","",'Lot Balance'!$B865)</f>
        <v/>
      </c>
      <c r="C866" s="18" t="str">
        <f>IF($A866="","",'Lot Balance'!$C865)</f>
        <v/>
      </c>
      <c r="D866" s="25" t="str">
        <f>IF($A866="","",'Lot Balance'!$G865)</f>
        <v/>
      </c>
      <c r="E866" s="25" t="str">
        <f>IF($A866="","",'Lot Balance'!$H865)</f>
        <v/>
      </c>
      <c r="F866" s="23" t="str">
        <f>IF($A866="","",'Lot Balance'!$I865)</f>
        <v/>
      </c>
      <c r="G866" s="23" t="str">
        <f>IF($A866="","",'Lot Balance'!$O865)</f>
        <v/>
      </c>
      <c r="H866" s="33" t="str">
        <f>IF($A866="","",'Lot Balance'!$P865)</f>
        <v/>
      </c>
      <c r="I866" s="26" t="str">
        <f>IF($A866="","",COUNTIFS(tblIssues[Lot Number],$B866))</f>
        <v/>
      </c>
      <c r="J866" s="31" t="str">
        <f>IF($A866="","",IF('Lot Balance'!$O865&lt;=0,"Depleted",'Lot Balance'!$Q865))</f>
        <v/>
      </c>
    </row>
    <row r="867" spans="1:10" x14ac:dyDescent="0.35">
      <c r="A867" s="18" t="str">
        <f>IF('Lot Balance'!$A866="","",'Lot Balance'!$A866)</f>
        <v/>
      </c>
      <c r="B867" s="18" t="str">
        <f>IF($A867="","",'Lot Balance'!$B866)</f>
        <v/>
      </c>
      <c r="C867" s="18" t="str">
        <f>IF($A867="","",'Lot Balance'!$C866)</f>
        <v/>
      </c>
      <c r="D867" s="25" t="str">
        <f>IF($A867="","",'Lot Balance'!$G866)</f>
        <v/>
      </c>
      <c r="E867" s="25" t="str">
        <f>IF($A867="","",'Lot Balance'!$H866)</f>
        <v/>
      </c>
      <c r="F867" s="23" t="str">
        <f>IF($A867="","",'Lot Balance'!$I866)</f>
        <v/>
      </c>
      <c r="G867" s="23" t="str">
        <f>IF($A867="","",'Lot Balance'!$O866)</f>
        <v/>
      </c>
      <c r="H867" s="33" t="str">
        <f>IF($A867="","",'Lot Balance'!$P866)</f>
        <v/>
      </c>
      <c r="I867" s="26" t="str">
        <f>IF($A867="","",COUNTIFS(tblIssues[Lot Number],$B867))</f>
        <v/>
      </c>
      <c r="J867" s="31" t="str">
        <f>IF($A867="","",IF('Lot Balance'!$O866&lt;=0,"Depleted",'Lot Balance'!$Q866))</f>
        <v/>
      </c>
    </row>
    <row r="868" spans="1:10" x14ac:dyDescent="0.35">
      <c r="A868" s="18" t="str">
        <f>IF('Lot Balance'!$A867="","",'Lot Balance'!$A867)</f>
        <v/>
      </c>
      <c r="B868" s="18" t="str">
        <f>IF($A868="","",'Lot Balance'!$B867)</f>
        <v/>
      </c>
      <c r="C868" s="18" t="str">
        <f>IF($A868="","",'Lot Balance'!$C867)</f>
        <v/>
      </c>
      <c r="D868" s="25" t="str">
        <f>IF($A868="","",'Lot Balance'!$G867)</f>
        <v/>
      </c>
      <c r="E868" s="25" t="str">
        <f>IF($A868="","",'Lot Balance'!$H867)</f>
        <v/>
      </c>
      <c r="F868" s="23" t="str">
        <f>IF($A868="","",'Lot Balance'!$I867)</f>
        <v/>
      </c>
      <c r="G868" s="23" t="str">
        <f>IF($A868="","",'Lot Balance'!$O867)</f>
        <v/>
      </c>
      <c r="H868" s="33" t="str">
        <f>IF($A868="","",'Lot Balance'!$P867)</f>
        <v/>
      </c>
      <c r="I868" s="26" t="str">
        <f>IF($A868="","",COUNTIFS(tblIssues[Lot Number],$B868))</f>
        <v/>
      </c>
      <c r="J868" s="31" t="str">
        <f>IF($A868="","",IF('Lot Balance'!$O867&lt;=0,"Depleted",'Lot Balance'!$Q867))</f>
        <v/>
      </c>
    </row>
    <row r="869" spans="1:10" x14ac:dyDescent="0.35">
      <c r="A869" s="18" t="str">
        <f>IF('Lot Balance'!$A868="","",'Lot Balance'!$A868)</f>
        <v/>
      </c>
      <c r="B869" s="18" t="str">
        <f>IF($A869="","",'Lot Balance'!$B868)</f>
        <v/>
      </c>
      <c r="C869" s="18" t="str">
        <f>IF($A869="","",'Lot Balance'!$C868)</f>
        <v/>
      </c>
      <c r="D869" s="25" t="str">
        <f>IF($A869="","",'Lot Balance'!$G868)</f>
        <v/>
      </c>
      <c r="E869" s="25" t="str">
        <f>IF($A869="","",'Lot Balance'!$H868)</f>
        <v/>
      </c>
      <c r="F869" s="23" t="str">
        <f>IF($A869="","",'Lot Balance'!$I868)</f>
        <v/>
      </c>
      <c r="G869" s="23" t="str">
        <f>IF($A869="","",'Lot Balance'!$O868)</f>
        <v/>
      </c>
      <c r="H869" s="33" t="str">
        <f>IF($A869="","",'Lot Balance'!$P868)</f>
        <v/>
      </c>
      <c r="I869" s="26" t="str">
        <f>IF($A869="","",COUNTIFS(tblIssues[Lot Number],$B869))</f>
        <v/>
      </c>
      <c r="J869" s="31" t="str">
        <f>IF($A869="","",IF('Lot Balance'!$O868&lt;=0,"Depleted",'Lot Balance'!$Q868))</f>
        <v/>
      </c>
    </row>
    <row r="870" spans="1:10" x14ac:dyDescent="0.35">
      <c r="A870" s="18" t="str">
        <f>IF('Lot Balance'!$A869="","",'Lot Balance'!$A869)</f>
        <v/>
      </c>
      <c r="B870" s="18" t="str">
        <f>IF($A870="","",'Lot Balance'!$B869)</f>
        <v/>
      </c>
      <c r="C870" s="18" t="str">
        <f>IF($A870="","",'Lot Balance'!$C869)</f>
        <v/>
      </c>
      <c r="D870" s="25" t="str">
        <f>IF($A870="","",'Lot Balance'!$G869)</f>
        <v/>
      </c>
      <c r="E870" s="25" t="str">
        <f>IF($A870="","",'Lot Balance'!$H869)</f>
        <v/>
      </c>
      <c r="F870" s="23" t="str">
        <f>IF($A870="","",'Lot Balance'!$I869)</f>
        <v/>
      </c>
      <c r="G870" s="23" t="str">
        <f>IF($A870="","",'Lot Balance'!$O869)</f>
        <v/>
      </c>
      <c r="H870" s="33" t="str">
        <f>IF($A870="","",'Lot Balance'!$P869)</f>
        <v/>
      </c>
      <c r="I870" s="26" t="str">
        <f>IF($A870="","",COUNTIFS(tblIssues[Lot Number],$B870))</f>
        <v/>
      </c>
      <c r="J870" s="31" t="str">
        <f>IF($A870="","",IF('Lot Balance'!$O869&lt;=0,"Depleted",'Lot Balance'!$Q869))</f>
        <v/>
      </c>
    </row>
    <row r="871" spans="1:10" x14ac:dyDescent="0.35">
      <c r="A871" s="18" t="str">
        <f>IF('Lot Balance'!$A870="","",'Lot Balance'!$A870)</f>
        <v/>
      </c>
      <c r="B871" s="18" t="str">
        <f>IF($A871="","",'Lot Balance'!$B870)</f>
        <v/>
      </c>
      <c r="C871" s="18" t="str">
        <f>IF($A871="","",'Lot Balance'!$C870)</f>
        <v/>
      </c>
      <c r="D871" s="25" t="str">
        <f>IF($A871="","",'Lot Balance'!$G870)</f>
        <v/>
      </c>
      <c r="E871" s="25" t="str">
        <f>IF($A871="","",'Lot Balance'!$H870)</f>
        <v/>
      </c>
      <c r="F871" s="23" t="str">
        <f>IF($A871="","",'Lot Balance'!$I870)</f>
        <v/>
      </c>
      <c r="G871" s="23" t="str">
        <f>IF($A871="","",'Lot Balance'!$O870)</f>
        <v/>
      </c>
      <c r="H871" s="33" t="str">
        <f>IF($A871="","",'Lot Balance'!$P870)</f>
        <v/>
      </c>
      <c r="I871" s="26" t="str">
        <f>IF($A871="","",COUNTIFS(tblIssues[Lot Number],$B871))</f>
        <v/>
      </c>
      <c r="J871" s="31" t="str">
        <f>IF($A871="","",IF('Lot Balance'!$O870&lt;=0,"Depleted",'Lot Balance'!$Q870))</f>
        <v/>
      </c>
    </row>
    <row r="872" spans="1:10" x14ac:dyDescent="0.35">
      <c r="A872" s="18" t="str">
        <f>IF('Lot Balance'!$A871="","",'Lot Balance'!$A871)</f>
        <v/>
      </c>
      <c r="B872" s="18" t="str">
        <f>IF($A872="","",'Lot Balance'!$B871)</f>
        <v/>
      </c>
      <c r="C872" s="18" t="str">
        <f>IF($A872="","",'Lot Balance'!$C871)</f>
        <v/>
      </c>
      <c r="D872" s="25" t="str">
        <f>IF($A872="","",'Lot Balance'!$G871)</f>
        <v/>
      </c>
      <c r="E872" s="25" t="str">
        <f>IF($A872="","",'Lot Balance'!$H871)</f>
        <v/>
      </c>
      <c r="F872" s="23" t="str">
        <f>IF($A872="","",'Lot Balance'!$I871)</f>
        <v/>
      </c>
      <c r="G872" s="23" t="str">
        <f>IF($A872="","",'Lot Balance'!$O871)</f>
        <v/>
      </c>
      <c r="H872" s="33" t="str">
        <f>IF($A872="","",'Lot Balance'!$P871)</f>
        <v/>
      </c>
      <c r="I872" s="26" t="str">
        <f>IF($A872="","",COUNTIFS(tblIssues[Lot Number],$B872))</f>
        <v/>
      </c>
      <c r="J872" s="31" t="str">
        <f>IF($A872="","",IF('Lot Balance'!$O871&lt;=0,"Depleted",'Lot Balance'!$Q871))</f>
        <v/>
      </c>
    </row>
    <row r="873" spans="1:10" x14ac:dyDescent="0.35">
      <c r="A873" s="18" t="str">
        <f>IF('Lot Balance'!$A872="","",'Lot Balance'!$A872)</f>
        <v/>
      </c>
      <c r="B873" s="18" t="str">
        <f>IF($A873="","",'Lot Balance'!$B872)</f>
        <v/>
      </c>
      <c r="C873" s="18" t="str">
        <f>IF($A873="","",'Lot Balance'!$C872)</f>
        <v/>
      </c>
      <c r="D873" s="25" t="str">
        <f>IF($A873="","",'Lot Balance'!$G872)</f>
        <v/>
      </c>
      <c r="E873" s="25" t="str">
        <f>IF($A873="","",'Lot Balance'!$H872)</f>
        <v/>
      </c>
      <c r="F873" s="23" t="str">
        <f>IF($A873="","",'Lot Balance'!$I872)</f>
        <v/>
      </c>
      <c r="G873" s="23" t="str">
        <f>IF($A873="","",'Lot Balance'!$O872)</f>
        <v/>
      </c>
      <c r="H873" s="33" t="str">
        <f>IF($A873="","",'Lot Balance'!$P872)</f>
        <v/>
      </c>
      <c r="I873" s="26" t="str">
        <f>IF($A873="","",COUNTIFS(tblIssues[Lot Number],$B873))</f>
        <v/>
      </c>
      <c r="J873" s="31" t="str">
        <f>IF($A873="","",IF('Lot Balance'!$O872&lt;=0,"Depleted",'Lot Balance'!$Q872))</f>
        <v/>
      </c>
    </row>
    <row r="874" spans="1:10" x14ac:dyDescent="0.35">
      <c r="A874" s="18" t="str">
        <f>IF('Lot Balance'!$A873="","",'Lot Balance'!$A873)</f>
        <v/>
      </c>
      <c r="B874" s="18" t="str">
        <f>IF($A874="","",'Lot Balance'!$B873)</f>
        <v/>
      </c>
      <c r="C874" s="18" t="str">
        <f>IF($A874="","",'Lot Balance'!$C873)</f>
        <v/>
      </c>
      <c r="D874" s="25" t="str">
        <f>IF($A874="","",'Lot Balance'!$G873)</f>
        <v/>
      </c>
      <c r="E874" s="25" t="str">
        <f>IF($A874="","",'Lot Balance'!$H873)</f>
        <v/>
      </c>
      <c r="F874" s="23" t="str">
        <f>IF($A874="","",'Lot Balance'!$I873)</f>
        <v/>
      </c>
      <c r="G874" s="23" t="str">
        <f>IF($A874="","",'Lot Balance'!$O873)</f>
        <v/>
      </c>
      <c r="H874" s="33" t="str">
        <f>IF($A874="","",'Lot Balance'!$P873)</f>
        <v/>
      </c>
      <c r="I874" s="26" t="str">
        <f>IF($A874="","",COUNTIFS(tblIssues[Lot Number],$B874))</f>
        <v/>
      </c>
      <c r="J874" s="31" t="str">
        <f>IF($A874="","",IF('Lot Balance'!$O873&lt;=0,"Depleted",'Lot Balance'!$Q873))</f>
        <v/>
      </c>
    </row>
    <row r="875" spans="1:10" x14ac:dyDescent="0.35">
      <c r="A875" s="18" t="str">
        <f>IF('Lot Balance'!$A874="","",'Lot Balance'!$A874)</f>
        <v/>
      </c>
      <c r="B875" s="18" t="str">
        <f>IF($A875="","",'Lot Balance'!$B874)</f>
        <v/>
      </c>
      <c r="C875" s="18" t="str">
        <f>IF($A875="","",'Lot Balance'!$C874)</f>
        <v/>
      </c>
      <c r="D875" s="25" t="str">
        <f>IF($A875="","",'Lot Balance'!$G874)</f>
        <v/>
      </c>
      <c r="E875" s="25" t="str">
        <f>IF($A875="","",'Lot Balance'!$H874)</f>
        <v/>
      </c>
      <c r="F875" s="23" t="str">
        <f>IF($A875="","",'Lot Balance'!$I874)</f>
        <v/>
      </c>
      <c r="G875" s="23" t="str">
        <f>IF($A875="","",'Lot Balance'!$O874)</f>
        <v/>
      </c>
      <c r="H875" s="33" t="str">
        <f>IF($A875="","",'Lot Balance'!$P874)</f>
        <v/>
      </c>
      <c r="I875" s="26" t="str">
        <f>IF($A875="","",COUNTIFS(tblIssues[Lot Number],$B875))</f>
        <v/>
      </c>
      <c r="J875" s="31" t="str">
        <f>IF($A875="","",IF('Lot Balance'!$O874&lt;=0,"Depleted",'Lot Balance'!$Q874))</f>
        <v/>
      </c>
    </row>
    <row r="876" spans="1:10" x14ac:dyDescent="0.35">
      <c r="A876" s="18" t="str">
        <f>IF('Lot Balance'!$A875="","",'Lot Balance'!$A875)</f>
        <v/>
      </c>
      <c r="B876" s="18" t="str">
        <f>IF($A876="","",'Lot Balance'!$B875)</f>
        <v/>
      </c>
      <c r="C876" s="18" t="str">
        <f>IF($A876="","",'Lot Balance'!$C875)</f>
        <v/>
      </c>
      <c r="D876" s="25" t="str">
        <f>IF($A876="","",'Lot Balance'!$G875)</f>
        <v/>
      </c>
      <c r="E876" s="25" t="str">
        <f>IF($A876="","",'Lot Balance'!$H875)</f>
        <v/>
      </c>
      <c r="F876" s="23" t="str">
        <f>IF($A876="","",'Lot Balance'!$I875)</f>
        <v/>
      </c>
      <c r="G876" s="23" t="str">
        <f>IF($A876="","",'Lot Balance'!$O875)</f>
        <v/>
      </c>
      <c r="H876" s="33" t="str">
        <f>IF($A876="","",'Lot Balance'!$P875)</f>
        <v/>
      </c>
      <c r="I876" s="26" t="str">
        <f>IF($A876="","",COUNTIFS(tblIssues[Lot Number],$B876))</f>
        <v/>
      </c>
      <c r="J876" s="31" t="str">
        <f>IF($A876="","",IF('Lot Balance'!$O875&lt;=0,"Depleted",'Lot Balance'!$Q875))</f>
        <v/>
      </c>
    </row>
    <row r="877" spans="1:10" x14ac:dyDescent="0.35">
      <c r="A877" s="18" t="str">
        <f>IF('Lot Balance'!$A876="","",'Lot Balance'!$A876)</f>
        <v/>
      </c>
      <c r="B877" s="18" t="str">
        <f>IF($A877="","",'Lot Balance'!$B876)</f>
        <v/>
      </c>
      <c r="C877" s="18" t="str">
        <f>IF($A877="","",'Lot Balance'!$C876)</f>
        <v/>
      </c>
      <c r="D877" s="25" t="str">
        <f>IF($A877="","",'Lot Balance'!$G876)</f>
        <v/>
      </c>
      <c r="E877" s="25" t="str">
        <f>IF($A877="","",'Lot Balance'!$H876)</f>
        <v/>
      </c>
      <c r="F877" s="23" t="str">
        <f>IF($A877="","",'Lot Balance'!$I876)</f>
        <v/>
      </c>
      <c r="G877" s="23" t="str">
        <f>IF($A877="","",'Lot Balance'!$O876)</f>
        <v/>
      </c>
      <c r="H877" s="33" t="str">
        <f>IF($A877="","",'Lot Balance'!$P876)</f>
        <v/>
      </c>
      <c r="I877" s="26" t="str">
        <f>IF($A877="","",COUNTIFS(tblIssues[Lot Number],$B877))</f>
        <v/>
      </c>
      <c r="J877" s="31" t="str">
        <f>IF($A877="","",IF('Lot Balance'!$O876&lt;=0,"Depleted",'Lot Balance'!$Q876))</f>
        <v/>
      </c>
    </row>
    <row r="878" spans="1:10" x14ac:dyDescent="0.35">
      <c r="A878" s="18" t="str">
        <f>IF('Lot Balance'!$A877="","",'Lot Balance'!$A877)</f>
        <v/>
      </c>
      <c r="B878" s="18" t="str">
        <f>IF($A878="","",'Lot Balance'!$B877)</f>
        <v/>
      </c>
      <c r="C878" s="18" t="str">
        <f>IF($A878="","",'Lot Balance'!$C877)</f>
        <v/>
      </c>
      <c r="D878" s="25" t="str">
        <f>IF($A878="","",'Lot Balance'!$G877)</f>
        <v/>
      </c>
      <c r="E878" s="25" t="str">
        <f>IF($A878="","",'Lot Balance'!$H877)</f>
        <v/>
      </c>
      <c r="F878" s="23" t="str">
        <f>IF($A878="","",'Lot Balance'!$I877)</f>
        <v/>
      </c>
      <c r="G878" s="23" t="str">
        <f>IF($A878="","",'Lot Balance'!$O877)</f>
        <v/>
      </c>
      <c r="H878" s="33" t="str">
        <f>IF($A878="","",'Lot Balance'!$P877)</f>
        <v/>
      </c>
      <c r="I878" s="26" t="str">
        <f>IF($A878="","",COUNTIFS(tblIssues[Lot Number],$B878))</f>
        <v/>
      </c>
      <c r="J878" s="31" t="str">
        <f>IF($A878="","",IF('Lot Balance'!$O877&lt;=0,"Depleted",'Lot Balance'!$Q877))</f>
        <v/>
      </c>
    </row>
    <row r="879" spans="1:10" x14ac:dyDescent="0.35">
      <c r="A879" s="18" t="str">
        <f>IF('Lot Balance'!$A878="","",'Lot Balance'!$A878)</f>
        <v/>
      </c>
      <c r="B879" s="18" t="str">
        <f>IF($A879="","",'Lot Balance'!$B878)</f>
        <v/>
      </c>
      <c r="C879" s="18" t="str">
        <f>IF($A879="","",'Lot Balance'!$C878)</f>
        <v/>
      </c>
      <c r="D879" s="25" t="str">
        <f>IF($A879="","",'Lot Balance'!$G878)</f>
        <v/>
      </c>
      <c r="E879" s="25" t="str">
        <f>IF($A879="","",'Lot Balance'!$H878)</f>
        <v/>
      </c>
      <c r="F879" s="23" t="str">
        <f>IF($A879="","",'Lot Balance'!$I878)</f>
        <v/>
      </c>
      <c r="G879" s="23" t="str">
        <f>IF($A879="","",'Lot Balance'!$O878)</f>
        <v/>
      </c>
      <c r="H879" s="33" t="str">
        <f>IF($A879="","",'Lot Balance'!$P878)</f>
        <v/>
      </c>
      <c r="I879" s="26" t="str">
        <f>IF($A879="","",COUNTIFS(tblIssues[Lot Number],$B879))</f>
        <v/>
      </c>
      <c r="J879" s="31" t="str">
        <f>IF($A879="","",IF('Lot Balance'!$O878&lt;=0,"Depleted",'Lot Balance'!$Q878))</f>
        <v/>
      </c>
    </row>
    <row r="880" spans="1:10" x14ac:dyDescent="0.35">
      <c r="A880" s="18" t="str">
        <f>IF('Lot Balance'!$A879="","",'Lot Balance'!$A879)</f>
        <v/>
      </c>
      <c r="B880" s="18" t="str">
        <f>IF($A880="","",'Lot Balance'!$B879)</f>
        <v/>
      </c>
      <c r="C880" s="18" t="str">
        <f>IF($A880="","",'Lot Balance'!$C879)</f>
        <v/>
      </c>
      <c r="D880" s="25" t="str">
        <f>IF($A880="","",'Lot Balance'!$G879)</f>
        <v/>
      </c>
      <c r="E880" s="25" t="str">
        <f>IF($A880="","",'Lot Balance'!$H879)</f>
        <v/>
      </c>
      <c r="F880" s="23" t="str">
        <f>IF($A880="","",'Lot Balance'!$I879)</f>
        <v/>
      </c>
      <c r="G880" s="23" t="str">
        <f>IF($A880="","",'Lot Balance'!$O879)</f>
        <v/>
      </c>
      <c r="H880" s="33" t="str">
        <f>IF($A880="","",'Lot Balance'!$P879)</f>
        <v/>
      </c>
      <c r="I880" s="26" t="str">
        <f>IF($A880="","",COUNTIFS(tblIssues[Lot Number],$B880))</f>
        <v/>
      </c>
      <c r="J880" s="31" t="str">
        <f>IF($A880="","",IF('Lot Balance'!$O879&lt;=0,"Depleted",'Lot Balance'!$Q879))</f>
        <v/>
      </c>
    </row>
    <row r="881" spans="1:10" x14ac:dyDescent="0.35">
      <c r="A881" s="18" t="str">
        <f>IF('Lot Balance'!$A880="","",'Lot Balance'!$A880)</f>
        <v/>
      </c>
      <c r="B881" s="18" t="str">
        <f>IF($A881="","",'Lot Balance'!$B880)</f>
        <v/>
      </c>
      <c r="C881" s="18" t="str">
        <f>IF($A881="","",'Lot Balance'!$C880)</f>
        <v/>
      </c>
      <c r="D881" s="25" t="str">
        <f>IF($A881="","",'Lot Balance'!$G880)</f>
        <v/>
      </c>
      <c r="E881" s="25" t="str">
        <f>IF($A881="","",'Lot Balance'!$H880)</f>
        <v/>
      </c>
      <c r="F881" s="23" t="str">
        <f>IF($A881="","",'Lot Balance'!$I880)</f>
        <v/>
      </c>
      <c r="G881" s="23" t="str">
        <f>IF($A881="","",'Lot Balance'!$O880)</f>
        <v/>
      </c>
      <c r="H881" s="33" t="str">
        <f>IF($A881="","",'Lot Balance'!$P880)</f>
        <v/>
      </c>
      <c r="I881" s="26" t="str">
        <f>IF($A881="","",COUNTIFS(tblIssues[Lot Number],$B881))</f>
        <v/>
      </c>
      <c r="J881" s="31" t="str">
        <f>IF($A881="","",IF('Lot Balance'!$O880&lt;=0,"Depleted",'Lot Balance'!$Q880))</f>
        <v/>
      </c>
    </row>
    <row r="882" spans="1:10" x14ac:dyDescent="0.35">
      <c r="A882" s="18" t="str">
        <f>IF('Lot Balance'!$A881="","",'Lot Balance'!$A881)</f>
        <v/>
      </c>
      <c r="B882" s="18" t="str">
        <f>IF($A882="","",'Lot Balance'!$B881)</f>
        <v/>
      </c>
      <c r="C882" s="18" t="str">
        <f>IF($A882="","",'Lot Balance'!$C881)</f>
        <v/>
      </c>
      <c r="D882" s="25" t="str">
        <f>IF($A882="","",'Lot Balance'!$G881)</f>
        <v/>
      </c>
      <c r="E882" s="25" t="str">
        <f>IF($A882="","",'Lot Balance'!$H881)</f>
        <v/>
      </c>
      <c r="F882" s="23" t="str">
        <f>IF($A882="","",'Lot Balance'!$I881)</f>
        <v/>
      </c>
      <c r="G882" s="23" t="str">
        <f>IF($A882="","",'Lot Balance'!$O881)</f>
        <v/>
      </c>
      <c r="H882" s="33" t="str">
        <f>IF($A882="","",'Lot Balance'!$P881)</f>
        <v/>
      </c>
      <c r="I882" s="26" t="str">
        <f>IF($A882="","",COUNTIFS(tblIssues[Lot Number],$B882))</f>
        <v/>
      </c>
      <c r="J882" s="31" t="str">
        <f>IF($A882="","",IF('Lot Balance'!$O881&lt;=0,"Depleted",'Lot Balance'!$Q881))</f>
        <v/>
      </c>
    </row>
    <row r="883" spans="1:10" x14ac:dyDescent="0.35">
      <c r="A883" s="18" t="str">
        <f>IF('Lot Balance'!$A882="","",'Lot Balance'!$A882)</f>
        <v/>
      </c>
      <c r="B883" s="18" t="str">
        <f>IF($A883="","",'Lot Balance'!$B882)</f>
        <v/>
      </c>
      <c r="C883" s="18" t="str">
        <f>IF($A883="","",'Lot Balance'!$C882)</f>
        <v/>
      </c>
      <c r="D883" s="25" t="str">
        <f>IF($A883="","",'Lot Balance'!$G882)</f>
        <v/>
      </c>
      <c r="E883" s="25" t="str">
        <f>IF($A883="","",'Lot Balance'!$H882)</f>
        <v/>
      </c>
      <c r="F883" s="23" t="str">
        <f>IF($A883="","",'Lot Balance'!$I882)</f>
        <v/>
      </c>
      <c r="G883" s="23" t="str">
        <f>IF($A883="","",'Lot Balance'!$O882)</f>
        <v/>
      </c>
      <c r="H883" s="33" t="str">
        <f>IF($A883="","",'Lot Balance'!$P882)</f>
        <v/>
      </c>
      <c r="I883" s="26" t="str">
        <f>IF($A883="","",COUNTIFS(tblIssues[Lot Number],$B883))</f>
        <v/>
      </c>
      <c r="J883" s="31" t="str">
        <f>IF($A883="","",IF('Lot Balance'!$O882&lt;=0,"Depleted",'Lot Balance'!$Q882))</f>
        <v/>
      </c>
    </row>
    <row r="884" spans="1:10" x14ac:dyDescent="0.35">
      <c r="A884" s="18" t="str">
        <f>IF('Lot Balance'!$A883="","",'Lot Balance'!$A883)</f>
        <v/>
      </c>
      <c r="B884" s="18" t="str">
        <f>IF($A884="","",'Lot Balance'!$B883)</f>
        <v/>
      </c>
      <c r="C884" s="18" t="str">
        <f>IF($A884="","",'Lot Balance'!$C883)</f>
        <v/>
      </c>
      <c r="D884" s="25" t="str">
        <f>IF($A884="","",'Lot Balance'!$G883)</f>
        <v/>
      </c>
      <c r="E884" s="25" t="str">
        <f>IF($A884="","",'Lot Balance'!$H883)</f>
        <v/>
      </c>
      <c r="F884" s="23" t="str">
        <f>IF($A884="","",'Lot Balance'!$I883)</f>
        <v/>
      </c>
      <c r="G884" s="23" t="str">
        <f>IF($A884="","",'Lot Balance'!$O883)</f>
        <v/>
      </c>
      <c r="H884" s="33" t="str">
        <f>IF($A884="","",'Lot Balance'!$P883)</f>
        <v/>
      </c>
      <c r="I884" s="26" t="str">
        <f>IF($A884="","",COUNTIFS(tblIssues[Lot Number],$B884))</f>
        <v/>
      </c>
      <c r="J884" s="31" t="str">
        <f>IF($A884="","",IF('Lot Balance'!$O883&lt;=0,"Depleted",'Lot Balance'!$Q883))</f>
        <v/>
      </c>
    </row>
    <row r="885" spans="1:10" x14ac:dyDescent="0.35">
      <c r="A885" s="18" t="str">
        <f>IF('Lot Balance'!$A884="","",'Lot Balance'!$A884)</f>
        <v/>
      </c>
      <c r="B885" s="18" t="str">
        <f>IF($A885="","",'Lot Balance'!$B884)</f>
        <v/>
      </c>
      <c r="C885" s="18" t="str">
        <f>IF($A885="","",'Lot Balance'!$C884)</f>
        <v/>
      </c>
      <c r="D885" s="25" t="str">
        <f>IF($A885="","",'Lot Balance'!$G884)</f>
        <v/>
      </c>
      <c r="E885" s="25" t="str">
        <f>IF($A885="","",'Lot Balance'!$H884)</f>
        <v/>
      </c>
      <c r="F885" s="23" t="str">
        <f>IF($A885="","",'Lot Balance'!$I884)</f>
        <v/>
      </c>
      <c r="G885" s="23" t="str">
        <f>IF($A885="","",'Lot Balance'!$O884)</f>
        <v/>
      </c>
      <c r="H885" s="33" t="str">
        <f>IF($A885="","",'Lot Balance'!$P884)</f>
        <v/>
      </c>
      <c r="I885" s="26" t="str">
        <f>IF($A885="","",COUNTIFS(tblIssues[Lot Number],$B885))</f>
        <v/>
      </c>
      <c r="J885" s="31" t="str">
        <f>IF($A885="","",IF('Lot Balance'!$O884&lt;=0,"Depleted",'Lot Balance'!$Q884))</f>
        <v/>
      </c>
    </row>
    <row r="886" spans="1:10" x14ac:dyDescent="0.35">
      <c r="A886" s="18" t="str">
        <f>IF('Lot Balance'!$A885="","",'Lot Balance'!$A885)</f>
        <v/>
      </c>
      <c r="B886" s="18" t="str">
        <f>IF($A886="","",'Lot Balance'!$B885)</f>
        <v/>
      </c>
      <c r="C886" s="18" t="str">
        <f>IF($A886="","",'Lot Balance'!$C885)</f>
        <v/>
      </c>
      <c r="D886" s="25" t="str">
        <f>IF($A886="","",'Lot Balance'!$G885)</f>
        <v/>
      </c>
      <c r="E886" s="25" t="str">
        <f>IF($A886="","",'Lot Balance'!$H885)</f>
        <v/>
      </c>
      <c r="F886" s="23" t="str">
        <f>IF($A886="","",'Lot Balance'!$I885)</f>
        <v/>
      </c>
      <c r="G886" s="23" t="str">
        <f>IF($A886="","",'Lot Balance'!$O885)</f>
        <v/>
      </c>
      <c r="H886" s="33" t="str">
        <f>IF($A886="","",'Lot Balance'!$P885)</f>
        <v/>
      </c>
      <c r="I886" s="26" t="str">
        <f>IF($A886="","",COUNTIFS(tblIssues[Lot Number],$B886))</f>
        <v/>
      </c>
      <c r="J886" s="31" t="str">
        <f>IF($A886="","",IF('Lot Balance'!$O885&lt;=0,"Depleted",'Lot Balance'!$Q885))</f>
        <v/>
      </c>
    </row>
    <row r="887" spans="1:10" x14ac:dyDescent="0.35">
      <c r="A887" s="18" t="str">
        <f>IF('Lot Balance'!$A886="","",'Lot Balance'!$A886)</f>
        <v/>
      </c>
      <c r="B887" s="18" t="str">
        <f>IF($A887="","",'Lot Balance'!$B886)</f>
        <v/>
      </c>
      <c r="C887" s="18" t="str">
        <f>IF($A887="","",'Lot Balance'!$C886)</f>
        <v/>
      </c>
      <c r="D887" s="25" t="str">
        <f>IF($A887="","",'Lot Balance'!$G886)</f>
        <v/>
      </c>
      <c r="E887" s="25" t="str">
        <f>IF($A887="","",'Lot Balance'!$H886)</f>
        <v/>
      </c>
      <c r="F887" s="23" t="str">
        <f>IF($A887="","",'Lot Balance'!$I886)</f>
        <v/>
      </c>
      <c r="G887" s="23" t="str">
        <f>IF($A887="","",'Lot Balance'!$O886)</f>
        <v/>
      </c>
      <c r="H887" s="33" t="str">
        <f>IF($A887="","",'Lot Balance'!$P886)</f>
        <v/>
      </c>
      <c r="I887" s="26" t="str">
        <f>IF($A887="","",COUNTIFS(tblIssues[Lot Number],$B887))</f>
        <v/>
      </c>
      <c r="J887" s="31" t="str">
        <f>IF($A887="","",IF('Lot Balance'!$O886&lt;=0,"Depleted",'Lot Balance'!$Q886))</f>
        <v/>
      </c>
    </row>
    <row r="888" spans="1:10" x14ac:dyDescent="0.35">
      <c r="A888" s="18" t="str">
        <f>IF('Lot Balance'!$A887="","",'Lot Balance'!$A887)</f>
        <v/>
      </c>
      <c r="B888" s="18" t="str">
        <f>IF($A888="","",'Lot Balance'!$B887)</f>
        <v/>
      </c>
      <c r="C888" s="18" t="str">
        <f>IF($A888="","",'Lot Balance'!$C887)</f>
        <v/>
      </c>
      <c r="D888" s="25" t="str">
        <f>IF($A888="","",'Lot Balance'!$G887)</f>
        <v/>
      </c>
      <c r="E888" s="25" t="str">
        <f>IF($A888="","",'Lot Balance'!$H887)</f>
        <v/>
      </c>
      <c r="F888" s="23" t="str">
        <f>IF($A888="","",'Lot Balance'!$I887)</f>
        <v/>
      </c>
      <c r="G888" s="23" t="str">
        <f>IF($A888="","",'Lot Balance'!$O887)</f>
        <v/>
      </c>
      <c r="H888" s="33" t="str">
        <f>IF($A888="","",'Lot Balance'!$P887)</f>
        <v/>
      </c>
      <c r="I888" s="26" t="str">
        <f>IF($A888="","",COUNTIFS(tblIssues[Lot Number],$B888))</f>
        <v/>
      </c>
      <c r="J888" s="31" t="str">
        <f>IF($A888="","",IF('Lot Balance'!$O887&lt;=0,"Depleted",'Lot Balance'!$Q887))</f>
        <v/>
      </c>
    </row>
    <row r="889" spans="1:10" x14ac:dyDescent="0.35">
      <c r="A889" s="18" t="str">
        <f>IF('Lot Balance'!$A888="","",'Lot Balance'!$A888)</f>
        <v/>
      </c>
      <c r="B889" s="18" t="str">
        <f>IF($A889="","",'Lot Balance'!$B888)</f>
        <v/>
      </c>
      <c r="C889" s="18" t="str">
        <f>IF($A889="","",'Lot Balance'!$C888)</f>
        <v/>
      </c>
      <c r="D889" s="25" t="str">
        <f>IF($A889="","",'Lot Balance'!$G888)</f>
        <v/>
      </c>
      <c r="E889" s="25" t="str">
        <f>IF($A889="","",'Lot Balance'!$H888)</f>
        <v/>
      </c>
      <c r="F889" s="23" t="str">
        <f>IF($A889="","",'Lot Balance'!$I888)</f>
        <v/>
      </c>
      <c r="G889" s="23" t="str">
        <f>IF($A889="","",'Lot Balance'!$O888)</f>
        <v/>
      </c>
      <c r="H889" s="33" t="str">
        <f>IF($A889="","",'Lot Balance'!$P888)</f>
        <v/>
      </c>
      <c r="I889" s="26" t="str">
        <f>IF($A889="","",COUNTIFS(tblIssues[Lot Number],$B889))</f>
        <v/>
      </c>
      <c r="J889" s="31" t="str">
        <f>IF($A889="","",IF('Lot Balance'!$O888&lt;=0,"Depleted",'Lot Balance'!$Q888))</f>
        <v/>
      </c>
    </row>
    <row r="890" spans="1:10" x14ac:dyDescent="0.35">
      <c r="A890" s="18" t="str">
        <f>IF('Lot Balance'!$A889="","",'Lot Balance'!$A889)</f>
        <v/>
      </c>
      <c r="B890" s="18" t="str">
        <f>IF($A890="","",'Lot Balance'!$B889)</f>
        <v/>
      </c>
      <c r="C890" s="18" t="str">
        <f>IF($A890="","",'Lot Balance'!$C889)</f>
        <v/>
      </c>
      <c r="D890" s="25" t="str">
        <f>IF($A890="","",'Lot Balance'!$G889)</f>
        <v/>
      </c>
      <c r="E890" s="25" t="str">
        <f>IF($A890="","",'Lot Balance'!$H889)</f>
        <v/>
      </c>
      <c r="F890" s="23" t="str">
        <f>IF($A890="","",'Lot Balance'!$I889)</f>
        <v/>
      </c>
      <c r="G890" s="23" t="str">
        <f>IF($A890="","",'Lot Balance'!$O889)</f>
        <v/>
      </c>
      <c r="H890" s="33" t="str">
        <f>IF($A890="","",'Lot Balance'!$P889)</f>
        <v/>
      </c>
      <c r="I890" s="26" t="str">
        <f>IF($A890="","",COUNTIFS(tblIssues[Lot Number],$B890))</f>
        <v/>
      </c>
      <c r="J890" s="31" t="str">
        <f>IF($A890="","",IF('Lot Balance'!$O889&lt;=0,"Depleted",'Lot Balance'!$Q889))</f>
        <v/>
      </c>
    </row>
    <row r="891" spans="1:10" x14ac:dyDescent="0.35">
      <c r="A891" s="18" t="str">
        <f>IF('Lot Balance'!$A890="","",'Lot Balance'!$A890)</f>
        <v/>
      </c>
      <c r="B891" s="18" t="str">
        <f>IF($A891="","",'Lot Balance'!$B890)</f>
        <v/>
      </c>
      <c r="C891" s="18" t="str">
        <f>IF($A891="","",'Lot Balance'!$C890)</f>
        <v/>
      </c>
      <c r="D891" s="25" t="str">
        <f>IF($A891="","",'Lot Balance'!$G890)</f>
        <v/>
      </c>
      <c r="E891" s="25" t="str">
        <f>IF($A891="","",'Lot Balance'!$H890)</f>
        <v/>
      </c>
      <c r="F891" s="23" t="str">
        <f>IF($A891="","",'Lot Balance'!$I890)</f>
        <v/>
      </c>
      <c r="G891" s="23" t="str">
        <f>IF($A891="","",'Lot Balance'!$O890)</f>
        <v/>
      </c>
      <c r="H891" s="33" t="str">
        <f>IF($A891="","",'Lot Balance'!$P890)</f>
        <v/>
      </c>
      <c r="I891" s="26" t="str">
        <f>IF($A891="","",COUNTIFS(tblIssues[Lot Number],$B891))</f>
        <v/>
      </c>
      <c r="J891" s="31" t="str">
        <f>IF($A891="","",IF('Lot Balance'!$O890&lt;=0,"Depleted",'Lot Balance'!$Q890))</f>
        <v/>
      </c>
    </row>
    <row r="892" spans="1:10" x14ac:dyDescent="0.35">
      <c r="A892" s="18" t="str">
        <f>IF('Lot Balance'!$A891="","",'Lot Balance'!$A891)</f>
        <v/>
      </c>
      <c r="B892" s="18" t="str">
        <f>IF($A892="","",'Lot Balance'!$B891)</f>
        <v/>
      </c>
      <c r="C892" s="18" t="str">
        <f>IF($A892="","",'Lot Balance'!$C891)</f>
        <v/>
      </c>
      <c r="D892" s="25" t="str">
        <f>IF($A892="","",'Lot Balance'!$G891)</f>
        <v/>
      </c>
      <c r="E892" s="25" t="str">
        <f>IF($A892="","",'Lot Balance'!$H891)</f>
        <v/>
      </c>
      <c r="F892" s="23" t="str">
        <f>IF($A892="","",'Lot Balance'!$I891)</f>
        <v/>
      </c>
      <c r="G892" s="23" t="str">
        <f>IF($A892="","",'Lot Balance'!$O891)</f>
        <v/>
      </c>
      <c r="H892" s="33" t="str">
        <f>IF($A892="","",'Lot Balance'!$P891)</f>
        <v/>
      </c>
      <c r="I892" s="26" t="str">
        <f>IF($A892="","",COUNTIFS(tblIssues[Lot Number],$B892))</f>
        <v/>
      </c>
      <c r="J892" s="31" t="str">
        <f>IF($A892="","",IF('Lot Balance'!$O891&lt;=0,"Depleted",'Lot Balance'!$Q891))</f>
        <v/>
      </c>
    </row>
    <row r="893" spans="1:10" x14ac:dyDescent="0.35">
      <c r="A893" s="18" t="str">
        <f>IF('Lot Balance'!$A892="","",'Lot Balance'!$A892)</f>
        <v/>
      </c>
      <c r="B893" s="18" t="str">
        <f>IF($A893="","",'Lot Balance'!$B892)</f>
        <v/>
      </c>
      <c r="C893" s="18" t="str">
        <f>IF($A893="","",'Lot Balance'!$C892)</f>
        <v/>
      </c>
      <c r="D893" s="25" t="str">
        <f>IF($A893="","",'Lot Balance'!$G892)</f>
        <v/>
      </c>
      <c r="E893" s="25" t="str">
        <f>IF($A893="","",'Lot Balance'!$H892)</f>
        <v/>
      </c>
      <c r="F893" s="23" t="str">
        <f>IF($A893="","",'Lot Balance'!$I892)</f>
        <v/>
      </c>
      <c r="G893" s="23" t="str">
        <f>IF($A893="","",'Lot Balance'!$O892)</f>
        <v/>
      </c>
      <c r="H893" s="33" t="str">
        <f>IF($A893="","",'Lot Balance'!$P892)</f>
        <v/>
      </c>
      <c r="I893" s="26" t="str">
        <f>IF($A893="","",COUNTIFS(tblIssues[Lot Number],$B893))</f>
        <v/>
      </c>
      <c r="J893" s="31" t="str">
        <f>IF($A893="","",IF('Lot Balance'!$O892&lt;=0,"Depleted",'Lot Balance'!$Q892))</f>
        <v/>
      </c>
    </row>
    <row r="894" spans="1:10" x14ac:dyDescent="0.35">
      <c r="A894" s="18" t="str">
        <f>IF('Lot Balance'!$A893="","",'Lot Balance'!$A893)</f>
        <v/>
      </c>
      <c r="B894" s="18" t="str">
        <f>IF($A894="","",'Lot Balance'!$B893)</f>
        <v/>
      </c>
      <c r="C894" s="18" t="str">
        <f>IF($A894="","",'Lot Balance'!$C893)</f>
        <v/>
      </c>
      <c r="D894" s="25" t="str">
        <f>IF($A894="","",'Lot Balance'!$G893)</f>
        <v/>
      </c>
      <c r="E894" s="25" t="str">
        <f>IF($A894="","",'Lot Balance'!$H893)</f>
        <v/>
      </c>
      <c r="F894" s="23" t="str">
        <f>IF($A894="","",'Lot Balance'!$I893)</f>
        <v/>
      </c>
      <c r="G894" s="23" t="str">
        <f>IF($A894="","",'Lot Balance'!$O893)</f>
        <v/>
      </c>
      <c r="H894" s="33" t="str">
        <f>IF($A894="","",'Lot Balance'!$P893)</f>
        <v/>
      </c>
      <c r="I894" s="26" t="str">
        <f>IF($A894="","",COUNTIFS(tblIssues[Lot Number],$B894))</f>
        <v/>
      </c>
      <c r="J894" s="31" t="str">
        <f>IF($A894="","",IF('Lot Balance'!$O893&lt;=0,"Depleted",'Lot Balance'!$Q893))</f>
        <v/>
      </c>
    </row>
    <row r="895" spans="1:10" x14ac:dyDescent="0.35">
      <c r="A895" s="18" t="str">
        <f>IF('Lot Balance'!$A894="","",'Lot Balance'!$A894)</f>
        <v/>
      </c>
      <c r="B895" s="18" t="str">
        <f>IF($A895="","",'Lot Balance'!$B894)</f>
        <v/>
      </c>
      <c r="C895" s="18" t="str">
        <f>IF($A895="","",'Lot Balance'!$C894)</f>
        <v/>
      </c>
      <c r="D895" s="25" t="str">
        <f>IF($A895="","",'Lot Balance'!$G894)</f>
        <v/>
      </c>
      <c r="E895" s="25" t="str">
        <f>IF($A895="","",'Lot Balance'!$H894)</f>
        <v/>
      </c>
      <c r="F895" s="23" t="str">
        <f>IF($A895="","",'Lot Balance'!$I894)</f>
        <v/>
      </c>
      <c r="G895" s="23" t="str">
        <f>IF($A895="","",'Lot Balance'!$O894)</f>
        <v/>
      </c>
      <c r="H895" s="33" t="str">
        <f>IF($A895="","",'Lot Balance'!$P894)</f>
        <v/>
      </c>
      <c r="I895" s="26" t="str">
        <f>IF($A895="","",COUNTIFS(tblIssues[Lot Number],$B895))</f>
        <v/>
      </c>
      <c r="J895" s="31" t="str">
        <f>IF($A895="","",IF('Lot Balance'!$O894&lt;=0,"Depleted",'Lot Balance'!$Q894))</f>
        <v/>
      </c>
    </row>
    <row r="896" spans="1:10" x14ac:dyDescent="0.35">
      <c r="A896" s="18" t="str">
        <f>IF('Lot Balance'!$A895="","",'Lot Balance'!$A895)</f>
        <v/>
      </c>
      <c r="B896" s="18" t="str">
        <f>IF($A896="","",'Lot Balance'!$B895)</f>
        <v/>
      </c>
      <c r="C896" s="18" t="str">
        <f>IF($A896="","",'Lot Balance'!$C895)</f>
        <v/>
      </c>
      <c r="D896" s="25" t="str">
        <f>IF($A896="","",'Lot Balance'!$G895)</f>
        <v/>
      </c>
      <c r="E896" s="25" t="str">
        <f>IF($A896="","",'Lot Balance'!$H895)</f>
        <v/>
      </c>
      <c r="F896" s="23" t="str">
        <f>IF($A896="","",'Lot Balance'!$I895)</f>
        <v/>
      </c>
      <c r="G896" s="23" t="str">
        <f>IF($A896="","",'Lot Balance'!$O895)</f>
        <v/>
      </c>
      <c r="H896" s="33" t="str">
        <f>IF($A896="","",'Lot Balance'!$P895)</f>
        <v/>
      </c>
      <c r="I896" s="26" t="str">
        <f>IF($A896="","",COUNTIFS(tblIssues[Lot Number],$B896))</f>
        <v/>
      </c>
      <c r="J896" s="31" t="str">
        <f>IF($A896="","",IF('Lot Balance'!$O895&lt;=0,"Depleted",'Lot Balance'!$Q895))</f>
        <v/>
      </c>
    </row>
    <row r="897" spans="1:10" x14ac:dyDescent="0.35">
      <c r="A897" s="18" t="str">
        <f>IF('Lot Balance'!$A896="","",'Lot Balance'!$A896)</f>
        <v/>
      </c>
      <c r="B897" s="18" t="str">
        <f>IF($A897="","",'Lot Balance'!$B896)</f>
        <v/>
      </c>
      <c r="C897" s="18" t="str">
        <f>IF($A897="","",'Lot Balance'!$C896)</f>
        <v/>
      </c>
      <c r="D897" s="25" t="str">
        <f>IF($A897="","",'Lot Balance'!$G896)</f>
        <v/>
      </c>
      <c r="E897" s="25" t="str">
        <f>IF($A897="","",'Lot Balance'!$H896)</f>
        <v/>
      </c>
      <c r="F897" s="23" t="str">
        <f>IF($A897="","",'Lot Balance'!$I896)</f>
        <v/>
      </c>
      <c r="G897" s="23" t="str">
        <f>IF($A897="","",'Lot Balance'!$O896)</f>
        <v/>
      </c>
      <c r="H897" s="33" t="str">
        <f>IF($A897="","",'Lot Balance'!$P896)</f>
        <v/>
      </c>
      <c r="I897" s="26" t="str">
        <f>IF($A897="","",COUNTIFS(tblIssues[Lot Number],$B897))</f>
        <v/>
      </c>
      <c r="J897" s="31" t="str">
        <f>IF($A897="","",IF('Lot Balance'!$O896&lt;=0,"Depleted",'Lot Balance'!$Q896))</f>
        <v/>
      </c>
    </row>
    <row r="898" spans="1:10" x14ac:dyDescent="0.35">
      <c r="A898" s="18" t="str">
        <f>IF('Lot Balance'!$A897="","",'Lot Balance'!$A897)</f>
        <v/>
      </c>
      <c r="B898" s="18" t="str">
        <f>IF($A898="","",'Lot Balance'!$B897)</f>
        <v/>
      </c>
      <c r="C898" s="18" t="str">
        <f>IF($A898="","",'Lot Balance'!$C897)</f>
        <v/>
      </c>
      <c r="D898" s="25" t="str">
        <f>IF($A898="","",'Lot Balance'!$G897)</f>
        <v/>
      </c>
      <c r="E898" s="25" t="str">
        <f>IF($A898="","",'Lot Balance'!$H897)</f>
        <v/>
      </c>
      <c r="F898" s="23" t="str">
        <f>IF($A898="","",'Lot Balance'!$I897)</f>
        <v/>
      </c>
      <c r="G898" s="23" t="str">
        <f>IF($A898="","",'Lot Balance'!$O897)</f>
        <v/>
      </c>
      <c r="H898" s="33" t="str">
        <f>IF($A898="","",'Lot Balance'!$P897)</f>
        <v/>
      </c>
      <c r="I898" s="26" t="str">
        <f>IF($A898="","",COUNTIFS(tblIssues[Lot Number],$B898))</f>
        <v/>
      </c>
      <c r="J898" s="31" t="str">
        <f>IF($A898="","",IF('Lot Balance'!$O897&lt;=0,"Depleted",'Lot Balance'!$Q897))</f>
        <v/>
      </c>
    </row>
    <row r="899" spans="1:10" x14ac:dyDescent="0.35">
      <c r="A899" s="18" t="str">
        <f>IF('Lot Balance'!$A898="","",'Lot Balance'!$A898)</f>
        <v/>
      </c>
      <c r="B899" s="18" t="str">
        <f>IF($A899="","",'Lot Balance'!$B898)</f>
        <v/>
      </c>
      <c r="C899" s="18" t="str">
        <f>IF($A899="","",'Lot Balance'!$C898)</f>
        <v/>
      </c>
      <c r="D899" s="25" t="str">
        <f>IF($A899="","",'Lot Balance'!$G898)</f>
        <v/>
      </c>
      <c r="E899" s="25" t="str">
        <f>IF($A899="","",'Lot Balance'!$H898)</f>
        <v/>
      </c>
      <c r="F899" s="23" t="str">
        <f>IF($A899="","",'Lot Balance'!$I898)</f>
        <v/>
      </c>
      <c r="G899" s="23" t="str">
        <f>IF($A899="","",'Lot Balance'!$O898)</f>
        <v/>
      </c>
      <c r="H899" s="33" t="str">
        <f>IF($A899="","",'Lot Balance'!$P898)</f>
        <v/>
      </c>
      <c r="I899" s="26" t="str">
        <f>IF($A899="","",COUNTIFS(tblIssues[Lot Number],$B899))</f>
        <v/>
      </c>
      <c r="J899" s="31" t="str">
        <f>IF($A899="","",IF('Lot Balance'!$O898&lt;=0,"Depleted",'Lot Balance'!$Q898))</f>
        <v/>
      </c>
    </row>
    <row r="900" spans="1:10" x14ac:dyDescent="0.35">
      <c r="A900" s="18" t="str">
        <f>IF('Lot Balance'!$A899="","",'Lot Balance'!$A899)</f>
        <v/>
      </c>
      <c r="B900" s="18" t="str">
        <f>IF($A900="","",'Lot Balance'!$B899)</f>
        <v/>
      </c>
      <c r="C900" s="18" t="str">
        <f>IF($A900="","",'Lot Balance'!$C899)</f>
        <v/>
      </c>
      <c r="D900" s="25" t="str">
        <f>IF($A900="","",'Lot Balance'!$G899)</f>
        <v/>
      </c>
      <c r="E900" s="25" t="str">
        <f>IF($A900="","",'Lot Balance'!$H899)</f>
        <v/>
      </c>
      <c r="F900" s="23" t="str">
        <f>IF($A900="","",'Lot Balance'!$I899)</f>
        <v/>
      </c>
      <c r="G900" s="23" t="str">
        <f>IF($A900="","",'Lot Balance'!$O899)</f>
        <v/>
      </c>
      <c r="H900" s="33" t="str">
        <f>IF($A900="","",'Lot Balance'!$P899)</f>
        <v/>
      </c>
      <c r="I900" s="26" t="str">
        <f>IF($A900="","",COUNTIFS(tblIssues[Lot Number],$B900))</f>
        <v/>
      </c>
      <c r="J900" s="31" t="str">
        <f>IF($A900="","",IF('Lot Balance'!$O899&lt;=0,"Depleted",'Lot Balance'!$Q899))</f>
        <v/>
      </c>
    </row>
    <row r="901" spans="1:10" x14ac:dyDescent="0.35">
      <c r="A901" s="18" t="str">
        <f>IF('Lot Balance'!$A900="","",'Lot Balance'!$A900)</f>
        <v/>
      </c>
      <c r="B901" s="18" t="str">
        <f>IF($A901="","",'Lot Balance'!$B900)</f>
        <v/>
      </c>
      <c r="C901" s="18" t="str">
        <f>IF($A901="","",'Lot Balance'!$C900)</f>
        <v/>
      </c>
      <c r="D901" s="25" t="str">
        <f>IF($A901="","",'Lot Balance'!$G900)</f>
        <v/>
      </c>
      <c r="E901" s="25" t="str">
        <f>IF($A901="","",'Lot Balance'!$H900)</f>
        <v/>
      </c>
      <c r="F901" s="23" t="str">
        <f>IF($A901="","",'Lot Balance'!$I900)</f>
        <v/>
      </c>
      <c r="G901" s="23" t="str">
        <f>IF($A901="","",'Lot Balance'!$O900)</f>
        <v/>
      </c>
      <c r="H901" s="33" t="str">
        <f>IF($A901="","",'Lot Balance'!$P900)</f>
        <v/>
      </c>
      <c r="I901" s="26" t="str">
        <f>IF($A901="","",COUNTIFS(tblIssues[Lot Number],$B901))</f>
        <v/>
      </c>
      <c r="J901" s="31" t="str">
        <f>IF($A901="","",IF('Lot Balance'!$O900&lt;=0,"Depleted",'Lot Balance'!$Q900))</f>
        <v/>
      </c>
    </row>
    <row r="902" spans="1:10" x14ac:dyDescent="0.35">
      <c r="A902" s="18" t="str">
        <f>IF('Lot Balance'!$A901="","",'Lot Balance'!$A901)</f>
        <v/>
      </c>
      <c r="B902" s="18" t="str">
        <f>IF($A902="","",'Lot Balance'!$B901)</f>
        <v/>
      </c>
      <c r="C902" s="18" t="str">
        <f>IF($A902="","",'Lot Balance'!$C901)</f>
        <v/>
      </c>
      <c r="D902" s="25" t="str">
        <f>IF($A902="","",'Lot Balance'!$G901)</f>
        <v/>
      </c>
      <c r="E902" s="25" t="str">
        <f>IF($A902="","",'Lot Balance'!$H901)</f>
        <v/>
      </c>
      <c r="F902" s="23" t="str">
        <f>IF($A902="","",'Lot Balance'!$I901)</f>
        <v/>
      </c>
      <c r="G902" s="23" t="str">
        <f>IF($A902="","",'Lot Balance'!$O901)</f>
        <v/>
      </c>
      <c r="H902" s="33" t="str">
        <f>IF($A902="","",'Lot Balance'!$P901)</f>
        <v/>
      </c>
      <c r="I902" s="26" t="str">
        <f>IF($A902="","",COUNTIFS(tblIssues[Lot Number],$B902))</f>
        <v/>
      </c>
      <c r="J902" s="31" t="str">
        <f>IF($A902="","",IF('Lot Balance'!$O901&lt;=0,"Depleted",'Lot Balance'!$Q901))</f>
        <v/>
      </c>
    </row>
    <row r="903" spans="1:10" x14ac:dyDescent="0.35">
      <c r="A903" s="18" t="str">
        <f>IF('Lot Balance'!$A902="","",'Lot Balance'!$A902)</f>
        <v/>
      </c>
      <c r="B903" s="18" t="str">
        <f>IF($A903="","",'Lot Balance'!$B902)</f>
        <v/>
      </c>
      <c r="C903" s="18" t="str">
        <f>IF($A903="","",'Lot Balance'!$C902)</f>
        <v/>
      </c>
      <c r="D903" s="25" t="str">
        <f>IF($A903="","",'Lot Balance'!$G902)</f>
        <v/>
      </c>
      <c r="E903" s="25" t="str">
        <f>IF($A903="","",'Lot Balance'!$H902)</f>
        <v/>
      </c>
      <c r="F903" s="23" t="str">
        <f>IF($A903="","",'Lot Balance'!$I902)</f>
        <v/>
      </c>
      <c r="G903" s="23" t="str">
        <f>IF($A903="","",'Lot Balance'!$O902)</f>
        <v/>
      </c>
      <c r="H903" s="33" t="str">
        <f>IF($A903="","",'Lot Balance'!$P902)</f>
        <v/>
      </c>
      <c r="I903" s="26" t="str">
        <f>IF($A903="","",COUNTIFS(tblIssues[Lot Number],$B903))</f>
        <v/>
      </c>
      <c r="J903" s="31" t="str">
        <f>IF($A903="","",IF('Lot Balance'!$O902&lt;=0,"Depleted",'Lot Balance'!$Q902))</f>
        <v/>
      </c>
    </row>
    <row r="904" spans="1:10" x14ac:dyDescent="0.35">
      <c r="A904" s="18" t="str">
        <f>IF('Lot Balance'!$A903="","",'Lot Balance'!$A903)</f>
        <v/>
      </c>
      <c r="B904" s="18" t="str">
        <f>IF($A904="","",'Lot Balance'!$B903)</f>
        <v/>
      </c>
      <c r="C904" s="18" t="str">
        <f>IF($A904="","",'Lot Balance'!$C903)</f>
        <v/>
      </c>
      <c r="D904" s="25" t="str">
        <f>IF($A904="","",'Lot Balance'!$G903)</f>
        <v/>
      </c>
      <c r="E904" s="25" t="str">
        <f>IF($A904="","",'Lot Balance'!$H903)</f>
        <v/>
      </c>
      <c r="F904" s="23" t="str">
        <f>IF($A904="","",'Lot Balance'!$I903)</f>
        <v/>
      </c>
      <c r="G904" s="23" t="str">
        <f>IF($A904="","",'Lot Balance'!$O903)</f>
        <v/>
      </c>
      <c r="H904" s="33" t="str">
        <f>IF($A904="","",'Lot Balance'!$P903)</f>
        <v/>
      </c>
      <c r="I904" s="26" t="str">
        <f>IF($A904="","",COUNTIFS(tblIssues[Lot Number],$B904))</f>
        <v/>
      </c>
      <c r="J904" s="31" t="str">
        <f>IF($A904="","",IF('Lot Balance'!$O903&lt;=0,"Depleted",'Lot Balance'!$Q903))</f>
        <v/>
      </c>
    </row>
    <row r="905" spans="1:10" x14ac:dyDescent="0.35">
      <c r="A905" s="18" t="str">
        <f>IF('Lot Balance'!$A904="","",'Lot Balance'!$A904)</f>
        <v/>
      </c>
      <c r="B905" s="18" t="str">
        <f>IF($A905="","",'Lot Balance'!$B904)</f>
        <v/>
      </c>
      <c r="C905" s="18" t="str">
        <f>IF($A905="","",'Lot Balance'!$C904)</f>
        <v/>
      </c>
      <c r="D905" s="25" t="str">
        <f>IF($A905="","",'Lot Balance'!$G904)</f>
        <v/>
      </c>
      <c r="E905" s="25" t="str">
        <f>IF($A905="","",'Lot Balance'!$H904)</f>
        <v/>
      </c>
      <c r="F905" s="23" t="str">
        <f>IF($A905="","",'Lot Balance'!$I904)</f>
        <v/>
      </c>
      <c r="G905" s="23" t="str">
        <f>IF($A905="","",'Lot Balance'!$O904)</f>
        <v/>
      </c>
      <c r="H905" s="33" t="str">
        <f>IF($A905="","",'Lot Balance'!$P904)</f>
        <v/>
      </c>
      <c r="I905" s="26" t="str">
        <f>IF($A905="","",COUNTIFS(tblIssues[Lot Number],$B905))</f>
        <v/>
      </c>
      <c r="J905" s="31" t="str">
        <f>IF($A905="","",IF('Lot Balance'!$O904&lt;=0,"Depleted",'Lot Balance'!$Q904))</f>
        <v/>
      </c>
    </row>
    <row r="906" spans="1:10" x14ac:dyDescent="0.35">
      <c r="A906" s="18" t="str">
        <f>IF('Lot Balance'!$A905="","",'Lot Balance'!$A905)</f>
        <v/>
      </c>
      <c r="B906" s="18" t="str">
        <f>IF($A906="","",'Lot Balance'!$B905)</f>
        <v/>
      </c>
      <c r="C906" s="18" t="str">
        <f>IF($A906="","",'Lot Balance'!$C905)</f>
        <v/>
      </c>
      <c r="D906" s="25" t="str">
        <f>IF($A906="","",'Lot Balance'!$G905)</f>
        <v/>
      </c>
      <c r="E906" s="25" t="str">
        <f>IF($A906="","",'Lot Balance'!$H905)</f>
        <v/>
      </c>
      <c r="F906" s="23" t="str">
        <f>IF($A906="","",'Lot Balance'!$I905)</f>
        <v/>
      </c>
      <c r="G906" s="23" t="str">
        <f>IF($A906="","",'Lot Balance'!$O905)</f>
        <v/>
      </c>
      <c r="H906" s="33" t="str">
        <f>IF($A906="","",'Lot Balance'!$P905)</f>
        <v/>
      </c>
      <c r="I906" s="26" t="str">
        <f>IF($A906="","",COUNTIFS(tblIssues[Lot Number],$B906))</f>
        <v/>
      </c>
      <c r="J906" s="31" t="str">
        <f>IF($A906="","",IF('Lot Balance'!$O905&lt;=0,"Depleted",'Lot Balance'!$Q905))</f>
        <v/>
      </c>
    </row>
    <row r="907" spans="1:10" x14ac:dyDescent="0.35">
      <c r="A907" s="18" t="str">
        <f>IF('Lot Balance'!$A906="","",'Lot Balance'!$A906)</f>
        <v/>
      </c>
      <c r="B907" s="18" t="str">
        <f>IF($A907="","",'Lot Balance'!$B906)</f>
        <v/>
      </c>
      <c r="C907" s="18" t="str">
        <f>IF($A907="","",'Lot Balance'!$C906)</f>
        <v/>
      </c>
      <c r="D907" s="25" t="str">
        <f>IF($A907="","",'Lot Balance'!$G906)</f>
        <v/>
      </c>
      <c r="E907" s="25" t="str">
        <f>IF($A907="","",'Lot Balance'!$H906)</f>
        <v/>
      </c>
      <c r="F907" s="23" t="str">
        <f>IF($A907="","",'Lot Balance'!$I906)</f>
        <v/>
      </c>
      <c r="G907" s="23" t="str">
        <f>IF($A907="","",'Lot Balance'!$O906)</f>
        <v/>
      </c>
      <c r="H907" s="33" t="str">
        <f>IF($A907="","",'Lot Balance'!$P906)</f>
        <v/>
      </c>
      <c r="I907" s="26" t="str">
        <f>IF($A907="","",COUNTIFS(tblIssues[Lot Number],$B907))</f>
        <v/>
      </c>
      <c r="J907" s="31" t="str">
        <f>IF($A907="","",IF('Lot Balance'!$O906&lt;=0,"Depleted",'Lot Balance'!$Q906))</f>
        <v/>
      </c>
    </row>
    <row r="908" spans="1:10" x14ac:dyDescent="0.35">
      <c r="A908" s="18" t="str">
        <f>IF('Lot Balance'!$A907="","",'Lot Balance'!$A907)</f>
        <v/>
      </c>
      <c r="B908" s="18" t="str">
        <f>IF($A908="","",'Lot Balance'!$B907)</f>
        <v/>
      </c>
      <c r="C908" s="18" t="str">
        <f>IF($A908="","",'Lot Balance'!$C907)</f>
        <v/>
      </c>
      <c r="D908" s="25" t="str">
        <f>IF($A908="","",'Lot Balance'!$G907)</f>
        <v/>
      </c>
      <c r="E908" s="25" t="str">
        <f>IF($A908="","",'Lot Balance'!$H907)</f>
        <v/>
      </c>
      <c r="F908" s="23" t="str">
        <f>IF($A908="","",'Lot Balance'!$I907)</f>
        <v/>
      </c>
      <c r="G908" s="23" t="str">
        <f>IF($A908="","",'Lot Balance'!$O907)</f>
        <v/>
      </c>
      <c r="H908" s="33" t="str">
        <f>IF($A908="","",'Lot Balance'!$P907)</f>
        <v/>
      </c>
      <c r="I908" s="26" t="str">
        <f>IF($A908="","",COUNTIFS(tblIssues[Lot Number],$B908))</f>
        <v/>
      </c>
      <c r="J908" s="31" t="str">
        <f>IF($A908="","",IF('Lot Balance'!$O907&lt;=0,"Depleted",'Lot Balance'!$Q907))</f>
        <v/>
      </c>
    </row>
    <row r="909" spans="1:10" x14ac:dyDescent="0.35">
      <c r="A909" s="18" t="str">
        <f>IF('Lot Balance'!$A908="","",'Lot Balance'!$A908)</f>
        <v/>
      </c>
      <c r="B909" s="18" t="str">
        <f>IF($A909="","",'Lot Balance'!$B908)</f>
        <v/>
      </c>
      <c r="C909" s="18" t="str">
        <f>IF($A909="","",'Lot Balance'!$C908)</f>
        <v/>
      </c>
      <c r="D909" s="25" t="str">
        <f>IF($A909="","",'Lot Balance'!$G908)</f>
        <v/>
      </c>
      <c r="E909" s="25" t="str">
        <f>IF($A909="","",'Lot Balance'!$H908)</f>
        <v/>
      </c>
      <c r="F909" s="23" t="str">
        <f>IF($A909="","",'Lot Balance'!$I908)</f>
        <v/>
      </c>
      <c r="G909" s="23" t="str">
        <f>IF($A909="","",'Lot Balance'!$O908)</f>
        <v/>
      </c>
      <c r="H909" s="33" t="str">
        <f>IF($A909="","",'Lot Balance'!$P908)</f>
        <v/>
      </c>
      <c r="I909" s="26" t="str">
        <f>IF($A909="","",COUNTIFS(tblIssues[Lot Number],$B909))</f>
        <v/>
      </c>
      <c r="J909" s="31" t="str">
        <f>IF($A909="","",IF('Lot Balance'!$O908&lt;=0,"Depleted",'Lot Balance'!$Q908))</f>
        <v/>
      </c>
    </row>
    <row r="910" spans="1:10" x14ac:dyDescent="0.35">
      <c r="A910" s="18" t="str">
        <f>IF('Lot Balance'!$A909="","",'Lot Balance'!$A909)</f>
        <v/>
      </c>
      <c r="B910" s="18" t="str">
        <f>IF($A910="","",'Lot Balance'!$B909)</f>
        <v/>
      </c>
      <c r="C910" s="18" t="str">
        <f>IF($A910="","",'Lot Balance'!$C909)</f>
        <v/>
      </c>
      <c r="D910" s="25" t="str">
        <f>IF($A910="","",'Lot Balance'!$G909)</f>
        <v/>
      </c>
      <c r="E910" s="25" t="str">
        <f>IF($A910="","",'Lot Balance'!$H909)</f>
        <v/>
      </c>
      <c r="F910" s="23" t="str">
        <f>IF($A910="","",'Lot Balance'!$I909)</f>
        <v/>
      </c>
      <c r="G910" s="23" t="str">
        <f>IF($A910="","",'Lot Balance'!$O909)</f>
        <v/>
      </c>
      <c r="H910" s="33" t="str">
        <f>IF($A910="","",'Lot Balance'!$P909)</f>
        <v/>
      </c>
      <c r="I910" s="26" t="str">
        <f>IF($A910="","",COUNTIFS(tblIssues[Lot Number],$B910))</f>
        <v/>
      </c>
      <c r="J910" s="31" t="str">
        <f>IF($A910="","",IF('Lot Balance'!$O909&lt;=0,"Depleted",'Lot Balance'!$Q909))</f>
        <v/>
      </c>
    </row>
    <row r="911" spans="1:10" x14ac:dyDescent="0.35">
      <c r="A911" s="18" t="str">
        <f>IF('Lot Balance'!$A910="","",'Lot Balance'!$A910)</f>
        <v/>
      </c>
      <c r="B911" s="18" t="str">
        <f>IF($A911="","",'Lot Balance'!$B910)</f>
        <v/>
      </c>
      <c r="C911" s="18" t="str">
        <f>IF($A911="","",'Lot Balance'!$C910)</f>
        <v/>
      </c>
      <c r="D911" s="25" t="str">
        <f>IF($A911="","",'Lot Balance'!$G910)</f>
        <v/>
      </c>
      <c r="E911" s="25" t="str">
        <f>IF($A911="","",'Lot Balance'!$H910)</f>
        <v/>
      </c>
      <c r="F911" s="23" t="str">
        <f>IF($A911="","",'Lot Balance'!$I910)</f>
        <v/>
      </c>
      <c r="G911" s="23" t="str">
        <f>IF($A911="","",'Lot Balance'!$O910)</f>
        <v/>
      </c>
      <c r="H911" s="33" t="str">
        <f>IF($A911="","",'Lot Balance'!$P910)</f>
        <v/>
      </c>
      <c r="I911" s="26" t="str">
        <f>IF($A911="","",COUNTIFS(tblIssues[Lot Number],$B911))</f>
        <v/>
      </c>
      <c r="J911" s="31" t="str">
        <f>IF($A911="","",IF('Lot Balance'!$O910&lt;=0,"Depleted",'Lot Balance'!$Q910))</f>
        <v/>
      </c>
    </row>
    <row r="912" spans="1:10" x14ac:dyDescent="0.35">
      <c r="A912" s="18" t="str">
        <f>IF('Lot Balance'!$A911="","",'Lot Balance'!$A911)</f>
        <v/>
      </c>
      <c r="B912" s="18" t="str">
        <f>IF($A912="","",'Lot Balance'!$B911)</f>
        <v/>
      </c>
      <c r="C912" s="18" t="str">
        <f>IF($A912="","",'Lot Balance'!$C911)</f>
        <v/>
      </c>
      <c r="D912" s="25" t="str">
        <f>IF($A912="","",'Lot Balance'!$G911)</f>
        <v/>
      </c>
      <c r="E912" s="25" t="str">
        <f>IF($A912="","",'Lot Balance'!$H911)</f>
        <v/>
      </c>
      <c r="F912" s="23" t="str">
        <f>IF($A912="","",'Lot Balance'!$I911)</f>
        <v/>
      </c>
      <c r="G912" s="23" t="str">
        <f>IF($A912="","",'Lot Balance'!$O911)</f>
        <v/>
      </c>
      <c r="H912" s="33" t="str">
        <f>IF($A912="","",'Lot Balance'!$P911)</f>
        <v/>
      </c>
      <c r="I912" s="26" t="str">
        <f>IF($A912="","",COUNTIFS(tblIssues[Lot Number],$B912))</f>
        <v/>
      </c>
      <c r="J912" s="31" t="str">
        <f>IF($A912="","",IF('Lot Balance'!$O911&lt;=0,"Depleted",'Lot Balance'!$Q911))</f>
        <v/>
      </c>
    </row>
    <row r="913" spans="1:10" x14ac:dyDescent="0.35">
      <c r="A913" s="18" t="str">
        <f>IF('Lot Balance'!$A912="","",'Lot Balance'!$A912)</f>
        <v/>
      </c>
      <c r="B913" s="18" t="str">
        <f>IF($A913="","",'Lot Balance'!$B912)</f>
        <v/>
      </c>
      <c r="C913" s="18" t="str">
        <f>IF($A913="","",'Lot Balance'!$C912)</f>
        <v/>
      </c>
      <c r="D913" s="25" t="str">
        <f>IF($A913="","",'Lot Balance'!$G912)</f>
        <v/>
      </c>
      <c r="E913" s="25" t="str">
        <f>IF($A913="","",'Lot Balance'!$H912)</f>
        <v/>
      </c>
      <c r="F913" s="23" t="str">
        <f>IF($A913="","",'Lot Balance'!$I912)</f>
        <v/>
      </c>
      <c r="G913" s="23" t="str">
        <f>IF($A913="","",'Lot Balance'!$O912)</f>
        <v/>
      </c>
      <c r="H913" s="33" t="str">
        <f>IF($A913="","",'Lot Balance'!$P912)</f>
        <v/>
      </c>
      <c r="I913" s="26" t="str">
        <f>IF($A913="","",COUNTIFS(tblIssues[Lot Number],$B913))</f>
        <v/>
      </c>
      <c r="J913" s="31" t="str">
        <f>IF($A913="","",IF('Lot Balance'!$O912&lt;=0,"Depleted",'Lot Balance'!$Q912))</f>
        <v/>
      </c>
    </row>
    <row r="914" spans="1:10" x14ac:dyDescent="0.35">
      <c r="A914" s="18" t="str">
        <f>IF('Lot Balance'!$A913="","",'Lot Balance'!$A913)</f>
        <v/>
      </c>
      <c r="B914" s="18" t="str">
        <f>IF($A914="","",'Lot Balance'!$B913)</f>
        <v/>
      </c>
      <c r="C914" s="18" t="str">
        <f>IF($A914="","",'Lot Balance'!$C913)</f>
        <v/>
      </c>
      <c r="D914" s="25" t="str">
        <f>IF($A914="","",'Lot Balance'!$G913)</f>
        <v/>
      </c>
      <c r="E914" s="25" t="str">
        <f>IF($A914="","",'Lot Balance'!$H913)</f>
        <v/>
      </c>
      <c r="F914" s="23" t="str">
        <f>IF($A914="","",'Lot Balance'!$I913)</f>
        <v/>
      </c>
      <c r="G914" s="23" t="str">
        <f>IF($A914="","",'Lot Balance'!$O913)</f>
        <v/>
      </c>
      <c r="H914" s="33" t="str">
        <f>IF($A914="","",'Lot Balance'!$P913)</f>
        <v/>
      </c>
      <c r="I914" s="26" t="str">
        <f>IF($A914="","",COUNTIFS(tblIssues[Lot Number],$B914))</f>
        <v/>
      </c>
      <c r="J914" s="31" t="str">
        <f>IF($A914="","",IF('Lot Balance'!$O913&lt;=0,"Depleted",'Lot Balance'!$Q913))</f>
        <v/>
      </c>
    </row>
    <row r="915" spans="1:10" x14ac:dyDescent="0.35">
      <c r="A915" s="18" t="str">
        <f>IF('Lot Balance'!$A914="","",'Lot Balance'!$A914)</f>
        <v/>
      </c>
      <c r="B915" s="18" t="str">
        <f>IF($A915="","",'Lot Balance'!$B914)</f>
        <v/>
      </c>
      <c r="C915" s="18" t="str">
        <f>IF($A915="","",'Lot Balance'!$C914)</f>
        <v/>
      </c>
      <c r="D915" s="25" t="str">
        <f>IF($A915="","",'Lot Balance'!$G914)</f>
        <v/>
      </c>
      <c r="E915" s="25" t="str">
        <f>IF($A915="","",'Lot Balance'!$H914)</f>
        <v/>
      </c>
      <c r="F915" s="23" t="str">
        <f>IF($A915="","",'Lot Balance'!$I914)</f>
        <v/>
      </c>
      <c r="G915" s="23" t="str">
        <f>IF($A915="","",'Lot Balance'!$O914)</f>
        <v/>
      </c>
      <c r="H915" s="33" t="str">
        <f>IF($A915="","",'Lot Balance'!$P914)</f>
        <v/>
      </c>
      <c r="I915" s="26" t="str">
        <f>IF($A915="","",COUNTIFS(tblIssues[Lot Number],$B915))</f>
        <v/>
      </c>
      <c r="J915" s="31" t="str">
        <f>IF($A915="","",IF('Lot Balance'!$O914&lt;=0,"Depleted",'Lot Balance'!$Q914))</f>
        <v/>
      </c>
    </row>
    <row r="916" spans="1:10" x14ac:dyDescent="0.35">
      <c r="A916" s="18" t="str">
        <f>IF('Lot Balance'!$A915="","",'Lot Balance'!$A915)</f>
        <v/>
      </c>
      <c r="B916" s="18" t="str">
        <f>IF($A916="","",'Lot Balance'!$B915)</f>
        <v/>
      </c>
      <c r="C916" s="18" t="str">
        <f>IF($A916="","",'Lot Balance'!$C915)</f>
        <v/>
      </c>
      <c r="D916" s="25" t="str">
        <f>IF($A916="","",'Lot Balance'!$G915)</f>
        <v/>
      </c>
      <c r="E916" s="25" t="str">
        <f>IF($A916="","",'Lot Balance'!$H915)</f>
        <v/>
      </c>
      <c r="F916" s="23" t="str">
        <f>IF($A916="","",'Lot Balance'!$I915)</f>
        <v/>
      </c>
      <c r="G916" s="23" t="str">
        <f>IF($A916="","",'Lot Balance'!$O915)</f>
        <v/>
      </c>
      <c r="H916" s="33" t="str">
        <f>IF($A916="","",'Lot Balance'!$P915)</f>
        <v/>
      </c>
      <c r="I916" s="26" t="str">
        <f>IF($A916="","",COUNTIFS(tblIssues[Lot Number],$B916))</f>
        <v/>
      </c>
      <c r="J916" s="31" t="str">
        <f>IF($A916="","",IF('Lot Balance'!$O915&lt;=0,"Depleted",'Lot Balance'!$Q915))</f>
        <v/>
      </c>
    </row>
    <row r="917" spans="1:10" x14ac:dyDescent="0.35">
      <c r="A917" s="18" t="str">
        <f>IF('Lot Balance'!$A916="","",'Lot Balance'!$A916)</f>
        <v/>
      </c>
      <c r="B917" s="18" t="str">
        <f>IF($A917="","",'Lot Balance'!$B916)</f>
        <v/>
      </c>
      <c r="C917" s="18" t="str">
        <f>IF($A917="","",'Lot Balance'!$C916)</f>
        <v/>
      </c>
      <c r="D917" s="25" t="str">
        <f>IF($A917="","",'Lot Balance'!$G916)</f>
        <v/>
      </c>
      <c r="E917" s="25" t="str">
        <f>IF($A917="","",'Lot Balance'!$H916)</f>
        <v/>
      </c>
      <c r="F917" s="23" t="str">
        <f>IF($A917="","",'Lot Balance'!$I916)</f>
        <v/>
      </c>
      <c r="G917" s="23" t="str">
        <f>IF($A917="","",'Lot Balance'!$O916)</f>
        <v/>
      </c>
      <c r="H917" s="33" t="str">
        <f>IF($A917="","",'Lot Balance'!$P916)</f>
        <v/>
      </c>
      <c r="I917" s="26" t="str">
        <f>IF($A917="","",COUNTIFS(tblIssues[Lot Number],$B917))</f>
        <v/>
      </c>
      <c r="J917" s="31" t="str">
        <f>IF($A917="","",IF('Lot Balance'!$O916&lt;=0,"Depleted",'Lot Balance'!$Q916))</f>
        <v/>
      </c>
    </row>
    <row r="918" spans="1:10" x14ac:dyDescent="0.35">
      <c r="A918" s="18" t="str">
        <f>IF('Lot Balance'!$A917="","",'Lot Balance'!$A917)</f>
        <v/>
      </c>
      <c r="B918" s="18" t="str">
        <f>IF($A918="","",'Lot Balance'!$B917)</f>
        <v/>
      </c>
      <c r="C918" s="18" t="str">
        <f>IF($A918="","",'Lot Balance'!$C917)</f>
        <v/>
      </c>
      <c r="D918" s="25" t="str">
        <f>IF($A918="","",'Lot Balance'!$G917)</f>
        <v/>
      </c>
      <c r="E918" s="25" t="str">
        <f>IF($A918="","",'Lot Balance'!$H917)</f>
        <v/>
      </c>
      <c r="F918" s="23" t="str">
        <f>IF($A918="","",'Lot Balance'!$I917)</f>
        <v/>
      </c>
      <c r="G918" s="23" t="str">
        <f>IF($A918="","",'Lot Balance'!$O917)</f>
        <v/>
      </c>
      <c r="H918" s="33" t="str">
        <f>IF($A918="","",'Lot Balance'!$P917)</f>
        <v/>
      </c>
      <c r="I918" s="26" t="str">
        <f>IF($A918="","",COUNTIFS(tblIssues[Lot Number],$B918))</f>
        <v/>
      </c>
      <c r="J918" s="31" t="str">
        <f>IF($A918="","",IF('Lot Balance'!$O917&lt;=0,"Depleted",'Lot Balance'!$Q917))</f>
        <v/>
      </c>
    </row>
    <row r="919" spans="1:10" x14ac:dyDescent="0.35">
      <c r="A919" s="18" t="str">
        <f>IF('Lot Balance'!$A918="","",'Lot Balance'!$A918)</f>
        <v/>
      </c>
      <c r="B919" s="18" t="str">
        <f>IF($A919="","",'Lot Balance'!$B918)</f>
        <v/>
      </c>
      <c r="C919" s="18" t="str">
        <f>IF($A919="","",'Lot Balance'!$C918)</f>
        <v/>
      </c>
      <c r="D919" s="25" t="str">
        <f>IF($A919="","",'Lot Balance'!$G918)</f>
        <v/>
      </c>
      <c r="E919" s="25" t="str">
        <f>IF($A919="","",'Lot Balance'!$H918)</f>
        <v/>
      </c>
      <c r="F919" s="23" t="str">
        <f>IF($A919="","",'Lot Balance'!$I918)</f>
        <v/>
      </c>
      <c r="G919" s="23" t="str">
        <f>IF($A919="","",'Lot Balance'!$O918)</f>
        <v/>
      </c>
      <c r="H919" s="33" t="str">
        <f>IF($A919="","",'Lot Balance'!$P918)</f>
        <v/>
      </c>
      <c r="I919" s="26" t="str">
        <f>IF($A919="","",COUNTIFS(tblIssues[Lot Number],$B919))</f>
        <v/>
      </c>
      <c r="J919" s="31" t="str">
        <f>IF($A919="","",IF('Lot Balance'!$O918&lt;=0,"Depleted",'Lot Balance'!$Q918))</f>
        <v/>
      </c>
    </row>
    <row r="920" spans="1:10" x14ac:dyDescent="0.35">
      <c r="A920" s="18" t="str">
        <f>IF('Lot Balance'!$A919="","",'Lot Balance'!$A919)</f>
        <v/>
      </c>
      <c r="B920" s="18" t="str">
        <f>IF($A920="","",'Lot Balance'!$B919)</f>
        <v/>
      </c>
      <c r="C920" s="18" t="str">
        <f>IF($A920="","",'Lot Balance'!$C919)</f>
        <v/>
      </c>
      <c r="D920" s="25" t="str">
        <f>IF($A920="","",'Lot Balance'!$G919)</f>
        <v/>
      </c>
      <c r="E920" s="25" t="str">
        <f>IF($A920="","",'Lot Balance'!$H919)</f>
        <v/>
      </c>
      <c r="F920" s="23" t="str">
        <f>IF($A920="","",'Lot Balance'!$I919)</f>
        <v/>
      </c>
      <c r="G920" s="23" t="str">
        <f>IF($A920="","",'Lot Balance'!$O919)</f>
        <v/>
      </c>
      <c r="H920" s="33" t="str">
        <f>IF($A920="","",'Lot Balance'!$P919)</f>
        <v/>
      </c>
      <c r="I920" s="26" t="str">
        <f>IF($A920="","",COUNTIFS(tblIssues[Lot Number],$B920))</f>
        <v/>
      </c>
      <c r="J920" s="31" t="str">
        <f>IF($A920="","",IF('Lot Balance'!$O919&lt;=0,"Depleted",'Lot Balance'!$Q919))</f>
        <v/>
      </c>
    </row>
    <row r="921" spans="1:10" x14ac:dyDescent="0.35">
      <c r="A921" s="18" t="str">
        <f>IF('Lot Balance'!$A920="","",'Lot Balance'!$A920)</f>
        <v/>
      </c>
      <c r="B921" s="18" t="str">
        <f>IF($A921="","",'Lot Balance'!$B920)</f>
        <v/>
      </c>
      <c r="C921" s="18" t="str">
        <f>IF($A921="","",'Lot Balance'!$C920)</f>
        <v/>
      </c>
      <c r="D921" s="25" t="str">
        <f>IF($A921="","",'Lot Balance'!$G920)</f>
        <v/>
      </c>
      <c r="E921" s="25" t="str">
        <f>IF($A921="","",'Lot Balance'!$H920)</f>
        <v/>
      </c>
      <c r="F921" s="23" t="str">
        <f>IF($A921="","",'Lot Balance'!$I920)</f>
        <v/>
      </c>
      <c r="G921" s="23" t="str">
        <f>IF($A921="","",'Lot Balance'!$O920)</f>
        <v/>
      </c>
      <c r="H921" s="33" t="str">
        <f>IF($A921="","",'Lot Balance'!$P920)</f>
        <v/>
      </c>
      <c r="I921" s="26" t="str">
        <f>IF($A921="","",COUNTIFS(tblIssues[Lot Number],$B921))</f>
        <v/>
      </c>
      <c r="J921" s="31" t="str">
        <f>IF($A921="","",IF('Lot Balance'!$O920&lt;=0,"Depleted",'Lot Balance'!$Q920))</f>
        <v/>
      </c>
    </row>
    <row r="922" spans="1:10" x14ac:dyDescent="0.35">
      <c r="A922" s="18" t="str">
        <f>IF('Lot Balance'!$A921="","",'Lot Balance'!$A921)</f>
        <v/>
      </c>
      <c r="B922" s="18" t="str">
        <f>IF($A922="","",'Lot Balance'!$B921)</f>
        <v/>
      </c>
      <c r="C922" s="18" t="str">
        <f>IF($A922="","",'Lot Balance'!$C921)</f>
        <v/>
      </c>
      <c r="D922" s="25" t="str">
        <f>IF($A922="","",'Lot Balance'!$G921)</f>
        <v/>
      </c>
      <c r="E922" s="25" t="str">
        <f>IF($A922="","",'Lot Balance'!$H921)</f>
        <v/>
      </c>
      <c r="F922" s="23" t="str">
        <f>IF($A922="","",'Lot Balance'!$I921)</f>
        <v/>
      </c>
      <c r="G922" s="23" t="str">
        <f>IF($A922="","",'Lot Balance'!$O921)</f>
        <v/>
      </c>
      <c r="H922" s="33" t="str">
        <f>IF($A922="","",'Lot Balance'!$P921)</f>
        <v/>
      </c>
      <c r="I922" s="26" t="str">
        <f>IF($A922="","",COUNTIFS(tblIssues[Lot Number],$B922))</f>
        <v/>
      </c>
      <c r="J922" s="31" t="str">
        <f>IF($A922="","",IF('Lot Balance'!$O921&lt;=0,"Depleted",'Lot Balance'!$Q921))</f>
        <v/>
      </c>
    </row>
    <row r="923" spans="1:10" x14ac:dyDescent="0.35">
      <c r="A923" s="18" t="str">
        <f>IF('Lot Balance'!$A922="","",'Lot Balance'!$A922)</f>
        <v/>
      </c>
      <c r="B923" s="18" t="str">
        <f>IF($A923="","",'Lot Balance'!$B922)</f>
        <v/>
      </c>
      <c r="C923" s="18" t="str">
        <f>IF($A923="","",'Lot Balance'!$C922)</f>
        <v/>
      </c>
      <c r="D923" s="25" t="str">
        <f>IF($A923="","",'Lot Balance'!$G922)</f>
        <v/>
      </c>
      <c r="E923" s="25" t="str">
        <f>IF($A923="","",'Lot Balance'!$H922)</f>
        <v/>
      </c>
      <c r="F923" s="23" t="str">
        <f>IF($A923="","",'Lot Balance'!$I922)</f>
        <v/>
      </c>
      <c r="G923" s="23" t="str">
        <f>IF($A923="","",'Lot Balance'!$O922)</f>
        <v/>
      </c>
      <c r="H923" s="33" t="str">
        <f>IF($A923="","",'Lot Balance'!$P922)</f>
        <v/>
      </c>
      <c r="I923" s="26" t="str">
        <f>IF($A923="","",COUNTIFS(tblIssues[Lot Number],$B923))</f>
        <v/>
      </c>
      <c r="J923" s="31" t="str">
        <f>IF($A923="","",IF('Lot Balance'!$O922&lt;=0,"Depleted",'Lot Balance'!$Q922))</f>
        <v/>
      </c>
    </row>
    <row r="924" spans="1:10" x14ac:dyDescent="0.35">
      <c r="A924" s="18" t="str">
        <f>IF('Lot Balance'!$A923="","",'Lot Balance'!$A923)</f>
        <v/>
      </c>
      <c r="B924" s="18" t="str">
        <f>IF($A924="","",'Lot Balance'!$B923)</f>
        <v/>
      </c>
      <c r="C924" s="18" t="str">
        <f>IF($A924="","",'Lot Balance'!$C923)</f>
        <v/>
      </c>
      <c r="D924" s="25" t="str">
        <f>IF($A924="","",'Lot Balance'!$G923)</f>
        <v/>
      </c>
      <c r="E924" s="25" t="str">
        <f>IF($A924="","",'Lot Balance'!$H923)</f>
        <v/>
      </c>
      <c r="F924" s="23" t="str">
        <f>IF($A924="","",'Lot Balance'!$I923)</f>
        <v/>
      </c>
      <c r="G924" s="23" t="str">
        <f>IF($A924="","",'Lot Balance'!$O923)</f>
        <v/>
      </c>
      <c r="H924" s="33" t="str">
        <f>IF($A924="","",'Lot Balance'!$P923)</f>
        <v/>
      </c>
      <c r="I924" s="26" t="str">
        <f>IF($A924="","",COUNTIFS(tblIssues[Lot Number],$B924))</f>
        <v/>
      </c>
      <c r="J924" s="31" t="str">
        <f>IF($A924="","",IF('Lot Balance'!$O923&lt;=0,"Depleted",'Lot Balance'!$Q923))</f>
        <v/>
      </c>
    </row>
    <row r="925" spans="1:10" x14ac:dyDescent="0.35">
      <c r="A925" s="18" t="str">
        <f>IF('Lot Balance'!$A924="","",'Lot Balance'!$A924)</f>
        <v/>
      </c>
      <c r="B925" s="18" t="str">
        <f>IF($A925="","",'Lot Balance'!$B924)</f>
        <v/>
      </c>
      <c r="C925" s="18" t="str">
        <f>IF($A925="","",'Lot Balance'!$C924)</f>
        <v/>
      </c>
      <c r="D925" s="25" t="str">
        <f>IF($A925="","",'Lot Balance'!$G924)</f>
        <v/>
      </c>
      <c r="E925" s="25" t="str">
        <f>IF($A925="","",'Lot Balance'!$H924)</f>
        <v/>
      </c>
      <c r="F925" s="23" t="str">
        <f>IF($A925="","",'Lot Balance'!$I924)</f>
        <v/>
      </c>
      <c r="G925" s="23" t="str">
        <f>IF($A925="","",'Lot Balance'!$O924)</f>
        <v/>
      </c>
      <c r="H925" s="33" t="str">
        <f>IF($A925="","",'Lot Balance'!$P924)</f>
        <v/>
      </c>
      <c r="I925" s="26" t="str">
        <f>IF($A925="","",COUNTIFS(tblIssues[Lot Number],$B925))</f>
        <v/>
      </c>
      <c r="J925" s="31" t="str">
        <f>IF($A925="","",IF('Lot Balance'!$O924&lt;=0,"Depleted",'Lot Balance'!$Q924))</f>
        <v/>
      </c>
    </row>
    <row r="926" spans="1:10" x14ac:dyDescent="0.35">
      <c r="A926" s="18" t="str">
        <f>IF('Lot Balance'!$A925="","",'Lot Balance'!$A925)</f>
        <v/>
      </c>
      <c r="B926" s="18" t="str">
        <f>IF($A926="","",'Lot Balance'!$B925)</f>
        <v/>
      </c>
      <c r="C926" s="18" t="str">
        <f>IF($A926="","",'Lot Balance'!$C925)</f>
        <v/>
      </c>
      <c r="D926" s="25" t="str">
        <f>IF($A926="","",'Lot Balance'!$G925)</f>
        <v/>
      </c>
      <c r="E926" s="25" t="str">
        <f>IF($A926="","",'Lot Balance'!$H925)</f>
        <v/>
      </c>
      <c r="F926" s="23" t="str">
        <f>IF($A926="","",'Lot Balance'!$I925)</f>
        <v/>
      </c>
      <c r="G926" s="23" t="str">
        <f>IF($A926="","",'Lot Balance'!$O925)</f>
        <v/>
      </c>
      <c r="H926" s="33" t="str">
        <f>IF($A926="","",'Lot Balance'!$P925)</f>
        <v/>
      </c>
      <c r="I926" s="26" t="str">
        <f>IF($A926="","",COUNTIFS(tblIssues[Lot Number],$B926))</f>
        <v/>
      </c>
      <c r="J926" s="31" t="str">
        <f>IF($A926="","",IF('Lot Balance'!$O925&lt;=0,"Depleted",'Lot Balance'!$Q925))</f>
        <v/>
      </c>
    </row>
    <row r="927" spans="1:10" x14ac:dyDescent="0.35">
      <c r="A927" s="18" t="str">
        <f>IF('Lot Balance'!$A926="","",'Lot Balance'!$A926)</f>
        <v/>
      </c>
      <c r="B927" s="18" t="str">
        <f>IF($A927="","",'Lot Balance'!$B926)</f>
        <v/>
      </c>
      <c r="C927" s="18" t="str">
        <f>IF($A927="","",'Lot Balance'!$C926)</f>
        <v/>
      </c>
      <c r="D927" s="25" t="str">
        <f>IF($A927="","",'Lot Balance'!$G926)</f>
        <v/>
      </c>
      <c r="E927" s="25" t="str">
        <f>IF($A927="","",'Lot Balance'!$H926)</f>
        <v/>
      </c>
      <c r="F927" s="23" t="str">
        <f>IF($A927="","",'Lot Balance'!$I926)</f>
        <v/>
      </c>
      <c r="G927" s="23" t="str">
        <f>IF($A927="","",'Lot Balance'!$O926)</f>
        <v/>
      </c>
      <c r="H927" s="33" t="str">
        <f>IF($A927="","",'Lot Balance'!$P926)</f>
        <v/>
      </c>
      <c r="I927" s="26" t="str">
        <f>IF($A927="","",COUNTIFS(tblIssues[Lot Number],$B927))</f>
        <v/>
      </c>
      <c r="J927" s="31" t="str">
        <f>IF($A927="","",IF('Lot Balance'!$O926&lt;=0,"Depleted",'Lot Balance'!$Q926))</f>
        <v/>
      </c>
    </row>
    <row r="928" spans="1:10" x14ac:dyDescent="0.35">
      <c r="A928" s="18" t="str">
        <f>IF('Lot Balance'!$A927="","",'Lot Balance'!$A927)</f>
        <v/>
      </c>
      <c r="B928" s="18" t="str">
        <f>IF($A928="","",'Lot Balance'!$B927)</f>
        <v/>
      </c>
      <c r="C928" s="18" t="str">
        <f>IF($A928="","",'Lot Balance'!$C927)</f>
        <v/>
      </c>
      <c r="D928" s="25" t="str">
        <f>IF($A928="","",'Lot Balance'!$G927)</f>
        <v/>
      </c>
      <c r="E928" s="25" t="str">
        <f>IF($A928="","",'Lot Balance'!$H927)</f>
        <v/>
      </c>
      <c r="F928" s="23" t="str">
        <f>IF($A928="","",'Lot Balance'!$I927)</f>
        <v/>
      </c>
      <c r="G928" s="23" t="str">
        <f>IF($A928="","",'Lot Balance'!$O927)</f>
        <v/>
      </c>
      <c r="H928" s="33" t="str">
        <f>IF($A928="","",'Lot Balance'!$P927)</f>
        <v/>
      </c>
      <c r="I928" s="26" t="str">
        <f>IF($A928="","",COUNTIFS(tblIssues[Lot Number],$B928))</f>
        <v/>
      </c>
      <c r="J928" s="31" t="str">
        <f>IF($A928="","",IF('Lot Balance'!$O927&lt;=0,"Depleted",'Lot Balance'!$Q927))</f>
        <v/>
      </c>
    </row>
    <row r="929" spans="1:10" x14ac:dyDescent="0.35">
      <c r="A929" s="18" t="str">
        <f>IF('Lot Balance'!$A928="","",'Lot Balance'!$A928)</f>
        <v/>
      </c>
      <c r="B929" s="18" t="str">
        <f>IF($A929="","",'Lot Balance'!$B928)</f>
        <v/>
      </c>
      <c r="C929" s="18" t="str">
        <f>IF($A929="","",'Lot Balance'!$C928)</f>
        <v/>
      </c>
      <c r="D929" s="25" t="str">
        <f>IF($A929="","",'Lot Balance'!$G928)</f>
        <v/>
      </c>
      <c r="E929" s="25" t="str">
        <f>IF($A929="","",'Lot Balance'!$H928)</f>
        <v/>
      </c>
      <c r="F929" s="23" t="str">
        <f>IF($A929="","",'Lot Balance'!$I928)</f>
        <v/>
      </c>
      <c r="G929" s="23" t="str">
        <f>IF($A929="","",'Lot Balance'!$O928)</f>
        <v/>
      </c>
      <c r="H929" s="33" t="str">
        <f>IF($A929="","",'Lot Balance'!$P928)</f>
        <v/>
      </c>
      <c r="I929" s="26" t="str">
        <f>IF($A929="","",COUNTIFS(tblIssues[Lot Number],$B929))</f>
        <v/>
      </c>
      <c r="J929" s="31" t="str">
        <f>IF($A929="","",IF('Lot Balance'!$O928&lt;=0,"Depleted",'Lot Balance'!$Q928))</f>
        <v/>
      </c>
    </row>
    <row r="930" spans="1:10" x14ac:dyDescent="0.35">
      <c r="A930" s="18" t="str">
        <f>IF('Lot Balance'!$A929="","",'Lot Balance'!$A929)</f>
        <v/>
      </c>
      <c r="B930" s="18" t="str">
        <f>IF($A930="","",'Lot Balance'!$B929)</f>
        <v/>
      </c>
      <c r="C930" s="18" t="str">
        <f>IF($A930="","",'Lot Balance'!$C929)</f>
        <v/>
      </c>
      <c r="D930" s="25" t="str">
        <f>IF($A930="","",'Lot Balance'!$G929)</f>
        <v/>
      </c>
      <c r="E930" s="25" t="str">
        <f>IF($A930="","",'Lot Balance'!$H929)</f>
        <v/>
      </c>
      <c r="F930" s="23" t="str">
        <f>IF($A930="","",'Lot Balance'!$I929)</f>
        <v/>
      </c>
      <c r="G930" s="23" t="str">
        <f>IF($A930="","",'Lot Balance'!$O929)</f>
        <v/>
      </c>
      <c r="H930" s="33" t="str">
        <f>IF($A930="","",'Lot Balance'!$P929)</f>
        <v/>
      </c>
      <c r="I930" s="26" t="str">
        <f>IF($A930="","",COUNTIFS(tblIssues[Lot Number],$B930))</f>
        <v/>
      </c>
      <c r="J930" s="31" t="str">
        <f>IF($A930="","",IF('Lot Balance'!$O929&lt;=0,"Depleted",'Lot Balance'!$Q929))</f>
        <v/>
      </c>
    </row>
    <row r="931" spans="1:10" x14ac:dyDescent="0.35">
      <c r="A931" s="18" t="str">
        <f>IF('Lot Balance'!$A930="","",'Lot Balance'!$A930)</f>
        <v/>
      </c>
      <c r="B931" s="18" t="str">
        <f>IF($A931="","",'Lot Balance'!$B930)</f>
        <v/>
      </c>
      <c r="C931" s="18" t="str">
        <f>IF($A931="","",'Lot Balance'!$C930)</f>
        <v/>
      </c>
      <c r="D931" s="25" t="str">
        <f>IF($A931="","",'Lot Balance'!$G930)</f>
        <v/>
      </c>
      <c r="E931" s="25" t="str">
        <f>IF($A931="","",'Lot Balance'!$H930)</f>
        <v/>
      </c>
      <c r="F931" s="23" t="str">
        <f>IF($A931="","",'Lot Balance'!$I930)</f>
        <v/>
      </c>
      <c r="G931" s="23" t="str">
        <f>IF($A931="","",'Lot Balance'!$O930)</f>
        <v/>
      </c>
      <c r="H931" s="33" t="str">
        <f>IF($A931="","",'Lot Balance'!$P930)</f>
        <v/>
      </c>
      <c r="I931" s="26" t="str">
        <f>IF($A931="","",COUNTIFS(tblIssues[Lot Number],$B931))</f>
        <v/>
      </c>
      <c r="J931" s="31" t="str">
        <f>IF($A931="","",IF('Lot Balance'!$O930&lt;=0,"Depleted",'Lot Balance'!$Q930))</f>
        <v/>
      </c>
    </row>
    <row r="932" spans="1:10" x14ac:dyDescent="0.35">
      <c r="A932" s="18" t="str">
        <f>IF('Lot Balance'!$A931="","",'Lot Balance'!$A931)</f>
        <v/>
      </c>
      <c r="B932" s="18" t="str">
        <f>IF($A932="","",'Lot Balance'!$B931)</f>
        <v/>
      </c>
      <c r="C932" s="18" t="str">
        <f>IF($A932="","",'Lot Balance'!$C931)</f>
        <v/>
      </c>
      <c r="D932" s="25" t="str">
        <f>IF($A932="","",'Lot Balance'!$G931)</f>
        <v/>
      </c>
      <c r="E932" s="25" t="str">
        <f>IF($A932="","",'Lot Balance'!$H931)</f>
        <v/>
      </c>
      <c r="F932" s="23" t="str">
        <f>IF($A932="","",'Lot Balance'!$I931)</f>
        <v/>
      </c>
      <c r="G932" s="23" t="str">
        <f>IF($A932="","",'Lot Balance'!$O931)</f>
        <v/>
      </c>
      <c r="H932" s="33" t="str">
        <f>IF($A932="","",'Lot Balance'!$P931)</f>
        <v/>
      </c>
      <c r="I932" s="26" t="str">
        <f>IF($A932="","",COUNTIFS(tblIssues[Lot Number],$B932))</f>
        <v/>
      </c>
      <c r="J932" s="31" t="str">
        <f>IF($A932="","",IF('Lot Balance'!$O931&lt;=0,"Depleted",'Lot Balance'!$Q931))</f>
        <v/>
      </c>
    </row>
    <row r="933" spans="1:10" x14ac:dyDescent="0.35">
      <c r="A933" s="18" t="str">
        <f>IF('Lot Balance'!$A932="","",'Lot Balance'!$A932)</f>
        <v/>
      </c>
      <c r="B933" s="18" t="str">
        <f>IF($A933="","",'Lot Balance'!$B932)</f>
        <v/>
      </c>
      <c r="C933" s="18" t="str">
        <f>IF($A933="","",'Lot Balance'!$C932)</f>
        <v/>
      </c>
      <c r="D933" s="25" t="str">
        <f>IF($A933="","",'Lot Balance'!$G932)</f>
        <v/>
      </c>
      <c r="E933" s="25" t="str">
        <f>IF($A933="","",'Lot Balance'!$H932)</f>
        <v/>
      </c>
      <c r="F933" s="23" t="str">
        <f>IF($A933="","",'Lot Balance'!$I932)</f>
        <v/>
      </c>
      <c r="G933" s="23" t="str">
        <f>IF($A933="","",'Lot Balance'!$O932)</f>
        <v/>
      </c>
      <c r="H933" s="33" t="str">
        <f>IF($A933="","",'Lot Balance'!$P932)</f>
        <v/>
      </c>
      <c r="I933" s="26" t="str">
        <f>IF($A933="","",COUNTIFS(tblIssues[Lot Number],$B933))</f>
        <v/>
      </c>
      <c r="J933" s="31" t="str">
        <f>IF($A933="","",IF('Lot Balance'!$O932&lt;=0,"Depleted",'Lot Balance'!$Q932))</f>
        <v/>
      </c>
    </row>
    <row r="934" spans="1:10" x14ac:dyDescent="0.35">
      <c r="A934" s="18" t="str">
        <f>IF('Lot Balance'!$A933="","",'Lot Balance'!$A933)</f>
        <v/>
      </c>
      <c r="B934" s="18" t="str">
        <f>IF($A934="","",'Lot Balance'!$B933)</f>
        <v/>
      </c>
      <c r="C934" s="18" t="str">
        <f>IF($A934="","",'Lot Balance'!$C933)</f>
        <v/>
      </c>
      <c r="D934" s="25" t="str">
        <f>IF($A934="","",'Lot Balance'!$G933)</f>
        <v/>
      </c>
      <c r="E934" s="25" t="str">
        <f>IF($A934="","",'Lot Balance'!$H933)</f>
        <v/>
      </c>
      <c r="F934" s="23" t="str">
        <f>IF($A934="","",'Lot Balance'!$I933)</f>
        <v/>
      </c>
      <c r="G934" s="23" t="str">
        <f>IF($A934="","",'Lot Balance'!$O933)</f>
        <v/>
      </c>
      <c r="H934" s="33" t="str">
        <f>IF($A934="","",'Lot Balance'!$P933)</f>
        <v/>
      </c>
      <c r="I934" s="26" t="str">
        <f>IF($A934="","",COUNTIFS(tblIssues[Lot Number],$B934))</f>
        <v/>
      </c>
      <c r="J934" s="31" t="str">
        <f>IF($A934="","",IF('Lot Balance'!$O933&lt;=0,"Depleted",'Lot Balance'!$Q933))</f>
        <v/>
      </c>
    </row>
    <row r="935" spans="1:10" x14ac:dyDescent="0.35">
      <c r="A935" s="18" t="str">
        <f>IF('Lot Balance'!$A934="","",'Lot Balance'!$A934)</f>
        <v/>
      </c>
      <c r="B935" s="18" t="str">
        <f>IF($A935="","",'Lot Balance'!$B934)</f>
        <v/>
      </c>
      <c r="C935" s="18" t="str">
        <f>IF($A935="","",'Lot Balance'!$C934)</f>
        <v/>
      </c>
      <c r="D935" s="25" t="str">
        <f>IF($A935="","",'Lot Balance'!$G934)</f>
        <v/>
      </c>
      <c r="E935" s="25" t="str">
        <f>IF($A935="","",'Lot Balance'!$H934)</f>
        <v/>
      </c>
      <c r="F935" s="23" t="str">
        <f>IF($A935="","",'Lot Balance'!$I934)</f>
        <v/>
      </c>
      <c r="G935" s="23" t="str">
        <f>IF($A935="","",'Lot Balance'!$O934)</f>
        <v/>
      </c>
      <c r="H935" s="33" t="str">
        <f>IF($A935="","",'Lot Balance'!$P934)</f>
        <v/>
      </c>
      <c r="I935" s="26" t="str">
        <f>IF($A935="","",COUNTIFS(tblIssues[Lot Number],$B935))</f>
        <v/>
      </c>
      <c r="J935" s="31" t="str">
        <f>IF($A935="","",IF('Lot Balance'!$O934&lt;=0,"Depleted",'Lot Balance'!$Q934))</f>
        <v/>
      </c>
    </row>
    <row r="936" spans="1:10" x14ac:dyDescent="0.35">
      <c r="A936" s="18" t="str">
        <f>IF('Lot Balance'!$A935="","",'Lot Balance'!$A935)</f>
        <v/>
      </c>
      <c r="B936" s="18" t="str">
        <f>IF($A936="","",'Lot Balance'!$B935)</f>
        <v/>
      </c>
      <c r="C936" s="18" t="str">
        <f>IF($A936="","",'Lot Balance'!$C935)</f>
        <v/>
      </c>
      <c r="D936" s="25" t="str">
        <f>IF($A936="","",'Lot Balance'!$G935)</f>
        <v/>
      </c>
      <c r="E936" s="25" t="str">
        <f>IF($A936="","",'Lot Balance'!$H935)</f>
        <v/>
      </c>
      <c r="F936" s="23" t="str">
        <f>IF($A936="","",'Lot Balance'!$I935)</f>
        <v/>
      </c>
      <c r="G936" s="23" t="str">
        <f>IF($A936="","",'Lot Balance'!$O935)</f>
        <v/>
      </c>
      <c r="H936" s="33" t="str">
        <f>IF($A936="","",'Lot Balance'!$P935)</f>
        <v/>
      </c>
      <c r="I936" s="26" t="str">
        <f>IF($A936="","",COUNTIFS(tblIssues[Lot Number],$B936))</f>
        <v/>
      </c>
      <c r="J936" s="31" t="str">
        <f>IF($A936="","",IF('Lot Balance'!$O935&lt;=0,"Depleted",'Lot Balance'!$Q935))</f>
        <v/>
      </c>
    </row>
    <row r="937" spans="1:10" x14ac:dyDescent="0.35">
      <c r="A937" s="18" t="str">
        <f>IF('Lot Balance'!$A936="","",'Lot Balance'!$A936)</f>
        <v/>
      </c>
      <c r="B937" s="18" t="str">
        <f>IF($A937="","",'Lot Balance'!$B936)</f>
        <v/>
      </c>
      <c r="C937" s="18" t="str">
        <f>IF($A937="","",'Lot Balance'!$C936)</f>
        <v/>
      </c>
      <c r="D937" s="25" t="str">
        <f>IF($A937="","",'Lot Balance'!$G936)</f>
        <v/>
      </c>
      <c r="E937" s="25" t="str">
        <f>IF($A937="","",'Lot Balance'!$H936)</f>
        <v/>
      </c>
      <c r="F937" s="23" t="str">
        <f>IF($A937="","",'Lot Balance'!$I936)</f>
        <v/>
      </c>
      <c r="G937" s="23" t="str">
        <f>IF($A937="","",'Lot Balance'!$O936)</f>
        <v/>
      </c>
      <c r="H937" s="33" t="str">
        <f>IF($A937="","",'Lot Balance'!$P936)</f>
        <v/>
      </c>
      <c r="I937" s="26" t="str">
        <f>IF($A937="","",COUNTIFS(tblIssues[Lot Number],$B937))</f>
        <v/>
      </c>
      <c r="J937" s="31" t="str">
        <f>IF($A937="","",IF('Lot Balance'!$O936&lt;=0,"Depleted",'Lot Balance'!$Q936))</f>
        <v/>
      </c>
    </row>
    <row r="938" spans="1:10" x14ac:dyDescent="0.35">
      <c r="A938" s="18" t="str">
        <f>IF('Lot Balance'!$A937="","",'Lot Balance'!$A937)</f>
        <v/>
      </c>
      <c r="B938" s="18" t="str">
        <f>IF($A938="","",'Lot Balance'!$B937)</f>
        <v/>
      </c>
      <c r="C938" s="18" t="str">
        <f>IF($A938="","",'Lot Balance'!$C937)</f>
        <v/>
      </c>
      <c r="D938" s="25" t="str">
        <f>IF($A938="","",'Lot Balance'!$G937)</f>
        <v/>
      </c>
      <c r="E938" s="25" t="str">
        <f>IF($A938="","",'Lot Balance'!$H937)</f>
        <v/>
      </c>
      <c r="F938" s="23" t="str">
        <f>IF($A938="","",'Lot Balance'!$I937)</f>
        <v/>
      </c>
      <c r="G938" s="23" t="str">
        <f>IF($A938="","",'Lot Balance'!$O937)</f>
        <v/>
      </c>
      <c r="H938" s="33" t="str">
        <f>IF($A938="","",'Lot Balance'!$P937)</f>
        <v/>
      </c>
      <c r="I938" s="26" t="str">
        <f>IF($A938="","",COUNTIFS(tblIssues[Lot Number],$B938))</f>
        <v/>
      </c>
      <c r="J938" s="31" t="str">
        <f>IF($A938="","",IF('Lot Balance'!$O937&lt;=0,"Depleted",'Lot Balance'!$Q937))</f>
        <v/>
      </c>
    </row>
    <row r="939" spans="1:10" x14ac:dyDescent="0.35">
      <c r="A939" s="18" t="str">
        <f>IF('Lot Balance'!$A938="","",'Lot Balance'!$A938)</f>
        <v/>
      </c>
      <c r="B939" s="18" t="str">
        <f>IF($A939="","",'Lot Balance'!$B938)</f>
        <v/>
      </c>
      <c r="C939" s="18" t="str">
        <f>IF($A939="","",'Lot Balance'!$C938)</f>
        <v/>
      </c>
      <c r="D939" s="25" t="str">
        <f>IF($A939="","",'Lot Balance'!$G938)</f>
        <v/>
      </c>
      <c r="E939" s="25" t="str">
        <f>IF($A939="","",'Lot Balance'!$H938)</f>
        <v/>
      </c>
      <c r="F939" s="23" t="str">
        <f>IF($A939="","",'Lot Balance'!$I938)</f>
        <v/>
      </c>
      <c r="G939" s="23" t="str">
        <f>IF($A939="","",'Lot Balance'!$O938)</f>
        <v/>
      </c>
      <c r="H939" s="33" t="str">
        <f>IF($A939="","",'Lot Balance'!$P938)</f>
        <v/>
      </c>
      <c r="I939" s="26" t="str">
        <f>IF($A939="","",COUNTIFS(tblIssues[Lot Number],$B939))</f>
        <v/>
      </c>
      <c r="J939" s="31" t="str">
        <f>IF($A939="","",IF('Lot Balance'!$O938&lt;=0,"Depleted",'Lot Balance'!$Q938))</f>
        <v/>
      </c>
    </row>
    <row r="940" spans="1:10" x14ac:dyDescent="0.35">
      <c r="A940" s="18" t="str">
        <f>IF('Lot Balance'!$A939="","",'Lot Balance'!$A939)</f>
        <v/>
      </c>
      <c r="B940" s="18" t="str">
        <f>IF($A940="","",'Lot Balance'!$B939)</f>
        <v/>
      </c>
      <c r="C940" s="18" t="str">
        <f>IF($A940="","",'Lot Balance'!$C939)</f>
        <v/>
      </c>
      <c r="D940" s="25" t="str">
        <f>IF($A940="","",'Lot Balance'!$G939)</f>
        <v/>
      </c>
      <c r="E940" s="25" t="str">
        <f>IF($A940="","",'Lot Balance'!$H939)</f>
        <v/>
      </c>
      <c r="F940" s="23" t="str">
        <f>IF($A940="","",'Lot Balance'!$I939)</f>
        <v/>
      </c>
      <c r="G940" s="23" t="str">
        <f>IF($A940="","",'Lot Balance'!$O939)</f>
        <v/>
      </c>
      <c r="H940" s="33" t="str">
        <f>IF($A940="","",'Lot Balance'!$P939)</f>
        <v/>
      </c>
      <c r="I940" s="26" t="str">
        <f>IF($A940="","",COUNTIFS(tblIssues[Lot Number],$B940))</f>
        <v/>
      </c>
      <c r="J940" s="31" t="str">
        <f>IF($A940="","",IF('Lot Balance'!$O939&lt;=0,"Depleted",'Lot Balance'!$Q939))</f>
        <v/>
      </c>
    </row>
    <row r="941" spans="1:10" x14ac:dyDescent="0.35">
      <c r="A941" s="18" t="str">
        <f>IF('Lot Balance'!$A940="","",'Lot Balance'!$A940)</f>
        <v/>
      </c>
      <c r="B941" s="18" t="str">
        <f>IF($A941="","",'Lot Balance'!$B940)</f>
        <v/>
      </c>
      <c r="C941" s="18" t="str">
        <f>IF($A941="","",'Lot Balance'!$C940)</f>
        <v/>
      </c>
      <c r="D941" s="25" t="str">
        <f>IF($A941="","",'Lot Balance'!$G940)</f>
        <v/>
      </c>
      <c r="E941" s="25" t="str">
        <f>IF($A941="","",'Lot Balance'!$H940)</f>
        <v/>
      </c>
      <c r="F941" s="23" t="str">
        <f>IF($A941="","",'Lot Balance'!$I940)</f>
        <v/>
      </c>
      <c r="G941" s="23" t="str">
        <f>IF($A941="","",'Lot Balance'!$O940)</f>
        <v/>
      </c>
      <c r="H941" s="33" t="str">
        <f>IF($A941="","",'Lot Balance'!$P940)</f>
        <v/>
      </c>
      <c r="I941" s="26" t="str">
        <f>IF($A941="","",COUNTIFS(tblIssues[Lot Number],$B941))</f>
        <v/>
      </c>
      <c r="J941" s="31" t="str">
        <f>IF($A941="","",IF('Lot Balance'!$O940&lt;=0,"Depleted",'Lot Balance'!$Q940))</f>
        <v/>
      </c>
    </row>
    <row r="942" spans="1:10" x14ac:dyDescent="0.35">
      <c r="A942" s="18" t="str">
        <f>IF('Lot Balance'!$A941="","",'Lot Balance'!$A941)</f>
        <v/>
      </c>
      <c r="B942" s="18" t="str">
        <f>IF($A942="","",'Lot Balance'!$B941)</f>
        <v/>
      </c>
      <c r="C942" s="18" t="str">
        <f>IF($A942="","",'Lot Balance'!$C941)</f>
        <v/>
      </c>
      <c r="D942" s="25" t="str">
        <f>IF($A942="","",'Lot Balance'!$G941)</f>
        <v/>
      </c>
      <c r="E942" s="25" t="str">
        <f>IF($A942="","",'Lot Balance'!$H941)</f>
        <v/>
      </c>
      <c r="F942" s="23" t="str">
        <f>IF($A942="","",'Lot Balance'!$I941)</f>
        <v/>
      </c>
      <c r="G942" s="23" t="str">
        <f>IF($A942="","",'Lot Balance'!$O941)</f>
        <v/>
      </c>
      <c r="H942" s="33" t="str">
        <f>IF($A942="","",'Lot Balance'!$P941)</f>
        <v/>
      </c>
      <c r="I942" s="26" t="str">
        <f>IF($A942="","",COUNTIFS(tblIssues[Lot Number],$B942))</f>
        <v/>
      </c>
      <c r="J942" s="31" t="str">
        <f>IF($A942="","",IF('Lot Balance'!$O941&lt;=0,"Depleted",'Lot Balance'!$Q941))</f>
        <v/>
      </c>
    </row>
    <row r="943" spans="1:10" x14ac:dyDescent="0.35">
      <c r="A943" s="18" t="str">
        <f>IF('Lot Balance'!$A942="","",'Lot Balance'!$A942)</f>
        <v/>
      </c>
      <c r="B943" s="18" t="str">
        <f>IF($A943="","",'Lot Balance'!$B942)</f>
        <v/>
      </c>
      <c r="C943" s="18" t="str">
        <f>IF($A943="","",'Lot Balance'!$C942)</f>
        <v/>
      </c>
      <c r="D943" s="25" t="str">
        <f>IF($A943="","",'Lot Balance'!$G942)</f>
        <v/>
      </c>
      <c r="E943" s="25" t="str">
        <f>IF($A943="","",'Lot Balance'!$H942)</f>
        <v/>
      </c>
      <c r="F943" s="23" t="str">
        <f>IF($A943="","",'Lot Balance'!$I942)</f>
        <v/>
      </c>
      <c r="G943" s="23" t="str">
        <f>IF($A943="","",'Lot Balance'!$O942)</f>
        <v/>
      </c>
      <c r="H943" s="33" t="str">
        <f>IF($A943="","",'Lot Balance'!$P942)</f>
        <v/>
      </c>
      <c r="I943" s="26" t="str">
        <f>IF($A943="","",COUNTIFS(tblIssues[Lot Number],$B943))</f>
        <v/>
      </c>
      <c r="J943" s="31" t="str">
        <f>IF($A943="","",IF('Lot Balance'!$O942&lt;=0,"Depleted",'Lot Balance'!$Q942))</f>
        <v/>
      </c>
    </row>
    <row r="944" spans="1:10" x14ac:dyDescent="0.35">
      <c r="A944" s="18" t="str">
        <f>IF('Lot Balance'!$A943="","",'Lot Balance'!$A943)</f>
        <v/>
      </c>
      <c r="B944" s="18" t="str">
        <f>IF($A944="","",'Lot Balance'!$B943)</f>
        <v/>
      </c>
      <c r="C944" s="18" t="str">
        <f>IF($A944="","",'Lot Balance'!$C943)</f>
        <v/>
      </c>
      <c r="D944" s="25" t="str">
        <f>IF($A944="","",'Lot Balance'!$G943)</f>
        <v/>
      </c>
      <c r="E944" s="25" t="str">
        <f>IF($A944="","",'Lot Balance'!$H943)</f>
        <v/>
      </c>
      <c r="F944" s="23" t="str">
        <f>IF($A944="","",'Lot Balance'!$I943)</f>
        <v/>
      </c>
      <c r="G944" s="23" t="str">
        <f>IF($A944="","",'Lot Balance'!$O943)</f>
        <v/>
      </c>
      <c r="H944" s="33" t="str">
        <f>IF($A944="","",'Lot Balance'!$P943)</f>
        <v/>
      </c>
      <c r="I944" s="26" t="str">
        <f>IF($A944="","",COUNTIFS(tblIssues[Lot Number],$B944))</f>
        <v/>
      </c>
      <c r="J944" s="31" t="str">
        <f>IF($A944="","",IF('Lot Balance'!$O943&lt;=0,"Depleted",'Lot Balance'!$Q943))</f>
        <v/>
      </c>
    </row>
    <row r="945" spans="1:10" x14ac:dyDescent="0.35">
      <c r="A945" s="18" t="str">
        <f>IF('Lot Balance'!$A944="","",'Lot Balance'!$A944)</f>
        <v/>
      </c>
      <c r="B945" s="18" t="str">
        <f>IF($A945="","",'Lot Balance'!$B944)</f>
        <v/>
      </c>
      <c r="C945" s="18" t="str">
        <f>IF($A945="","",'Lot Balance'!$C944)</f>
        <v/>
      </c>
      <c r="D945" s="25" t="str">
        <f>IF($A945="","",'Lot Balance'!$G944)</f>
        <v/>
      </c>
      <c r="E945" s="25" t="str">
        <f>IF($A945="","",'Lot Balance'!$H944)</f>
        <v/>
      </c>
      <c r="F945" s="23" t="str">
        <f>IF($A945="","",'Lot Balance'!$I944)</f>
        <v/>
      </c>
      <c r="G945" s="23" t="str">
        <f>IF($A945="","",'Lot Balance'!$O944)</f>
        <v/>
      </c>
      <c r="H945" s="33" t="str">
        <f>IF($A945="","",'Lot Balance'!$P944)</f>
        <v/>
      </c>
      <c r="I945" s="26" t="str">
        <f>IF($A945="","",COUNTIFS(tblIssues[Lot Number],$B945))</f>
        <v/>
      </c>
      <c r="J945" s="31" t="str">
        <f>IF($A945="","",IF('Lot Balance'!$O944&lt;=0,"Depleted",'Lot Balance'!$Q944))</f>
        <v/>
      </c>
    </row>
    <row r="946" spans="1:10" x14ac:dyDescent="0.35">
      <c r="A946" s="18" t="str">
        <f>IF('Lot Balance'!$A945="","",'Lot Balance'!$A945)</f>
        <v/>
      </c>
      <c r="B946" s="18" t="str">
        <f>IF($A946="","",'Lot Balance'!$B945)</f>
        <v/>
      </c>
      <c r="C946" s="18" t="str">
        <f>IF($A946="","",'Lot Balance'!$C945)</f>
        <v/>
      </c>
      <c r="D946" s="25" t="str">
        <f>IF($A946="","",'Lot Balance'!$G945)</f>
        <v/>
      </c>
      <c r="E946" s="25" t="str">
        <f>IF($A946="","",'Lot Balance'!$H945)</f>
        <v/>
      </c>
      <c r="F946" s="23" t="str">
        <f>IF($A946="","",'Lot Balance'!$I945)</f>
        <v/>
      </c>
      <c r="G946" s="23" t="str">
        <f>IF($A946="","",'Lot Balance'!$O945)</f>
        <v/>
      </c>
      <c r="H946" s="33" t="str">
        <f>IF($A946="","",'Lot Balance'!$P945)</f>
        <v/>
      </c>
      <c r="I946" s="26" t="str">
        <f>IF($A946="","",COUNTIFS(tblIssues[Lot Number],$B946))</f>
        <v/>
      </c>
      <c r="J946" s="31" t="str">
        <f>IF($A946="","",IF('Lot Balance'!$O945&lt;=0,"Depleted",'Lot Balance'!$Q945))</f>
        <v/>
      </c>
    </row>
    <row r="947" spans="1:10" x14ac:dyDescent="0.35">
      <c r="A947" s="18" t="str">
        <f>IF('Lot Balance'!$A946="","",'Lot Balance'!$A946)</f>
        <v/>
      </c>
      <c r="B947" s="18" t="str">
        <f>IF($A947="","",'Lot Balance'!$B946)</f>
        <v/>
      </c>
      <c r="C947" s="18" t="str">
        <f>IF($A947="","",'Lot Balance'!$C946)</f>
        <v/>
      </c>
      <c r="D947" s="25" t="str">
        <f>IF($A947="","",'Lot Balance'!$G946)</f>
        <v/>
      </c>
      <c r="E947" s="25" t="str">
        <f>IF($A947="","",'Lot Balance'!$H946)</f>
        <v/>
      </c>
      <c r="F947" s="23" t="str">
        <f>IF($A947="","",'Lot Balance'!$I946)</f>
        <v/>
      </c>
      <c r="G947" s="23" t="str">
        <f>IF($A947="","",'Lot Balance'!$O946)</f>
        <v/>
      </c>
      <c r="H947" s="33" t="str">
        <f>IF($A947="","",'Lot Balance'!$P946)</f>
        <v/>
      </c>
      <c r="I947" s="26" t="str">
        <f>IF($A947="","",COUNTIFS(tblIssues[Lot Number],$B947))</f>
        <v/>
      </c>
      <c r="J947" s="31" t="str">
        <f>IF($A947="","",IF('Lot Balance'!$O946&lt;=0,"Depleted",'Lot Balance'!$Q946))</f>
        <v/>
      </c>
    </row>
    <row r="948" spans="1:10" x14ac:dyDescent="0.35">
      <c r="A948" s="18" t="str">
        <f>IF('Lot Balance'!$A947="","",'Lot Balance'!$A947)</f>
        <v/>
      </c>
      <c r="B948" s="18" t="str">
        <f>IF($A948="","",'Lot Balance'!$B947)</f>
        <v/>
      </c>
      <c r="C948" s="18" t="str">
        <f>IF($A948="","",'Lot Balance'!$C947)</f>
        <v/>
      </c>
      <c r="D948" s="25" t="str">
        <f>IF($A948="","",'Lot Balance'!$G947)</f>
        <v/>
      </c>
      <c r="E948" s="25" t="str">
        <f>IF($A948="","",'Lot Balance'!$H947)</f>
        <v/>
      </c>
      <c r="F948" s="23" t="str">
        <f>IF($A948="","",'Lot Balance'!$I947)</f>
        <v/>
      </c>
      <c r="G948" s="23" t="str">
        <f>IF($A948="","",'Lot Balance'!$O947)</f>
        <v/>
      </c>
      <c r="H948" s="33" t="str">
        <f>IF($A948="","",'Lot Balance'!$P947)</f>
        <v/>
      </c>
      <c r="I948" s="26" t="str">
        <f>IF($A948="","",COUNTIFS(tblIssues[Lot Number],$B948))</f>
        <v/>
      </c>
      <c r="J948" s="31" t="str">
        <f>IF($A948="","",IF('Lot Balance'!$O947&lt;=0,"Depleted",'Lot Balance'!$Q947))</f>
        <v/>
      </c>
    </row>
    <row r="949" spans="1:10" x14ac:dyDescent="0.35">
      <c r="A949" s="18" t="str">
        <f>IF('Lot Balance'!$A948="","",'Lot Balance'!$A948)</f>
        <v/>
      </c>
      <c r="B949" s="18" t="str">
        <f>IF($A949="","",'Lot Balance'!$B948)</f>
        <v/>
      </c>
      <c r="C949" s="18" t="str">
        <f>IF($A949="","",'Lot Balance'!$C948)</f>
        <v/>
      </c>
      <c r="D949" s="25" t="str">
        <f>IF($A949="","",'Lot Balance'!$G948)</f>
        <v/>
      </c>
      <c r="E949" s="25" t="str">
        <f>IF($A949="","",'Lot Balance'!$H948)</f>
        <v/>
      </c>
      <c r="F949" s="23" t="str">
        <f>IF($A949="","",'Lot Balance'!$I948)</f>
        <v/>
      </c>
      <c r="G949" s="23" t="str">
        <f>IF($A949="","",'Lot Balance'!$O948)</f>
        <v/>
      </c>
      <c r="H949" s="33" t="str">
        <f>IF($A949="","",'Lot Balance'!$P948)</f>
        <v/>
      </c>
      <c r="I949" s="26" t="str">
        <f>IF($A949="","",COUNTIFS(tblIssues[Lot Number],$B949))</f>
        <v/>
      </c>
      <c r="J949" s="31" t="str">
        <f>IF($A949="","",IF('Lot Balance'!$O948&lt;=0,"Depleted",'Lot Balance'!$Q948))</f>
        <v/>
      </c>
    </row>
    <row r="950" spans="1:10" x14ac:dyDescent="0.35">
      <c r="A950" s="18" t="str">
        <f>IF('Lot Balance'!$A949="","",'Lot Balance'!$A949)</f>
        <v/>
      </c>
      <c r="B950" s="18" t="str">
        <f>IF($A950="","",'Lot Balance'!$B949)</f>
        <v/>
      </c>
      <c r="C950" s="18" t="str">
        <f>IF($A950="","",'Lot Balance'!$C949)</f>
        <v/>
      </c>
      <c r="D950" s="25" t="str">
        <f>IF($A950="","",'Lot Balance'!$G949)</f>
        <v/>
      </c>
      <c r="E950" s="25" t="str">
        <f>IF($A950="","",'Lot Balance'!$H949)</f>
        <v/>
      </c>
      <c r="F950" s="23" t="str">
        <f>IF($A950="","",'Lot Balance'!$I949)</f>
        <v/>
      </c>
      <c r="G950" s="23" t="str">
        <f>IF($A950="","",'Lot Balance'!$O949)</f>
        <v/>
      </c>
      <c r="H950" s="33" t="str">
        <f>IF($A950="","",'Lot Balance'!$P949)</f>
        <v/>
      </c>
      <c r="I950" s="26" t="str">
        <f>IF($A950="","",COUNTIFS(tblIssues[Lot Number],$B950))</f>
        <v/>
      </c>
      <c r="J950" s="31" t="str">
        <f>IF($A950="","",IF('Lot Balance'!$O949&lt;=0,"Depleted",'Lot Balance'!$Q949))</f>
        <v/>
      </c>
    </row>
    <row r="951" spans="1:10" x14ac:dyDescent="0.35">
      <c r="A951" s="18" t="str">
        <f>IF('Lot Balance'!$A950="","",'Lot Balance'!$A950)</f>
        <v/>
      </c>
      <c r="B951" s="18" t="str">
        <f>IF($A951="","",'Lot Balance'!$B950)</f>
        <v/>
      </c>
      <c r="C951" s="18" t="str">
        <f>IF($A951="","",'Lot Balance'!$C950)</f>
        <v/>
      </c>
      <c r="D951" s="25" t="str">
        <f>IF($A951="","",'Lot Balance'!$G950)</f>
        <v/>
      </c>
      <c r="E951" s="25" t="str">
        <f>IF($A951="","",'Lot Balance'!$H950)</f>
        <v/>
      </c>
      <c r="F951" s="23" t="str">
        <f>IF($A951="","",'Lot Balance'!$I950)</f>
        <v/>
      </c>
      <c r="G951" s="23" t="str">
        <f>IF($A951="","",'Lot Balance'!$O950)</f>
        <v/>
      </c>
      <c r="H951" s="33" t="str">
        <f>IF($A951="","",'Lot Balance'!$P950)</f>
        <v/>
      </c>
      <c r="I951" s="26" t="str">
        <f>IF($A951="","",COUNTIFS(tblIssues[Lot Number],$B951))</f>
        <v/>
      </c>
      <c r="J951" s="31" t="str">
        <f>IF($A951="","",IF('Lot Balance'!$O950&lt;=0,"Depleted",'Lot Balance'!$Q950))</f>
        <v/>
      </c>
    </row>
    <row r="952" spans="1:10" x14ac:dyDescent="0.35">
      <c r="A952" s="18" t="str">
        <f>IF('Lot Balance'!$A951="","",'Lot Balance'!$A951)</f>
        <v/>
      </c>
      <c r="B952" s="18" t="str">
        <f>IF($A952="","",'Lot Balance'!$B951)</f>
        <v/>
      </c>
      <c r="C952" s="18" t="str">
        <f>IF($A952="","",'Lot Balance'!$C951)</f>
        <v/>
      </c>
      <c r="D952" s="25" t="str">
        <f>IF($A952="","",'Lot Balance'!$G951)</f>
        <v/>
      </c>
      <c r="E952" s="25" t="str">
        <f>IF($A952="","",'Lot Balance'!$H951)</f>
        <v/>
      </c>
      <c r="F952" s="23" t="str">
        <f>IF($A952="","",'Lot Balance'!$I951)</f>
        <v/>
      </c>
      <c r="G952" s="23" t="str">
        <f>IF($A952="","",'Lot Balance'!$O951)</f>
        <v/>
      </c>
      <c r="H952" s="33" t="str">
        <f>IF($A952="","",'Lot Balance'!$P951)</f>
        <v/>
      </c>
      <c r="I952" s="26" t="str">
        <f>IF($A952="","",COUNTIFS(tblIssues[Lot Number],$B952))</f>
        <v/>
      </c>
      <c r="J952" s="31" t="str">
        <f>IF($A952="","",IF('Lot Balance'!$O951&lt;=0,"Depleted",'Lot Balance'!$Q951))</f>
        <v/>
      </c>
    </row>
    <row r="953" spans="1:10" x14ac:dyDescent="0.35">
      <c r="A953" s="18" t="str">
        <f>IF('Lot Balance'!$A952="","",'Lot Balance'!$A952)</f>
        <v/>
      </c>
      <c r="B953" s="18" t="str">
        <f>IF($A953="","",'Lot Balance'!$B952)</f>
        <v/>
      </c>
      <c r="C953" s="18" t="str">
        <f>IF($A953="","",'Lot Balance'!$C952)</f>
        <v/>
      </c>
      <c r="D953" s="25" t="str">
        <f>IF($A953="","",'Lot Balance'!$G952)</f>
        <v/>
      </c>
      <c r="E953" s="25" t="str">
        <f>IF($A953="","",'Lot Balance'!$H952)</f>
        <v/>
      </c>
      <c r="F953" s="23" t="str">
        <f>IF($A953="","",'Lot Balance'!$I952)</f>
        <v/>
      </c>
      <c r="G953" s="23" t="str">
        <f>IF($A953="","",'Lot Balance'!$O952)</f>
        <v/>
      </c>
      <c r="H953" s="33" t="str">
        <f>IF($A953="","",'Lot Balance'!$P952)</f>
        <v/>
      </c>
      <c r="I953" s="26" t="str">
        <f>IF($A953="","",COUNTIFS(tblIssues[Lot Number],$B953))</f>
        <v/>
      </c>
      <c r="J953" s="31" t="str">
        <f>IF($A953="","",IF('Lot Balance'!$O952&lt;=0,"Depleted",'Lot Balance'!$Q952))</f>
        <v/>
      </c>
    </row>
    <row r="954" spans="1:10" x14ac:dyDescent="0.35">
      <c r="A954" s="18" t="str">
        <f>IF('Lot Balance'!$A953="","",'Lot Balance'!$A953)</f>
        <v/>
      </c>
      <c r="B954" s="18" t="str">
        <f>IF($A954="","",'Lot Balance'!$B953)</f>
        <v/>
      </c>
      <c r="C954" s="18" t="str">
        <f>IF($A954="","",'Lot Balance'!$C953)</f>
        <v/>
      </c>
      <c r="D954" s="25" t="str">
        <f>IF($A954="","",'Lot Balance'!$G953)</f>
        <v/>
      </c>
      <c r="E954" s="25" t="str">
        <f>IF($A954="","",'Lot Balance'!$H953)</f>
        <v/>
      </c>
      <c r="F954" s="23" t="str">
        <f>IF($A954="","",'Lot Balance'!$I953)</f>
        <v/>
      </c>
      <c r="G954" s="23" t="str">
        <f>IF($A954="","",'Lot Balance'!$O953)</f>
        <v/>
      </c>
      <c r="H954" s="33" t="str">
        <f>IF($A954="","",'Lot Balance'!$P953)</f>
        <v/>
      </c>
      <c r="I954" s="26" t="str">
        <f>IF($A954="","",COUNTIFS(tblIssues[Lot Number],$B954))</f>
        <v/>
      </c>
      <c r="J954" s="31" t="str">
        <f>IF($A954="","",IF('Lot Balance'!$O953&lt;=0,"Depleted",'Lot Balance'!$Q953))</f>
        <v/>
      </c>
    </row>
    <row r="955" spans="1:10" x14ac:dyDescent="0.35">
      <c r="A955" s="18" t="str">
        <f>IF('Lot Balance'!$A954="","",'Lot Balance'!$A954)</f>
        <v/>
      </c>
      <c r="B955" s="18" t="str">
        <f>IF($A955="","",'Lot Balance'!$B954)</f>
        <v/>
      </c>
      <c r="C955" s="18" t="str">
        <f>IF($A955="","",'Lot Balance'!$C954)</f>
        <v/>
      </c>
      <c r="D955" s="25" t="str">
        <f>IF($A955="","",'Lot Balance'!$G954)</f>
        <v/>
      </c>
      <c r="E955" s="25" t="str">
        <f>IF($A955="","",'Lot Balance'!$H954)</f>
        <v/>
      </c>
      <c r="F955" s="23" t="str">
        <f>IF($A955="","",'Lot Balance'!$I954)</f>
        <v/>
      </c>
      <c r="G955" s="23" t="str">
        <f>IF($A955="","",'Lot Balance'!$O954)</f>
        <v/>
      </c>
      <c r="H955" s="33" t="str">
        <f>IF($A955="","",'Lot Balance'!$P954)</f>
        <v/>
      </c>
      <c r="I955" s="26" t="str">
        <f>IF($A955="","",COUNTIFS(tblIssues[Lot Number],$B955))</f>
        <v/>
      </c>
      <c r="J955" s="31" t="str">
        <f>IF($A955="","",IF('Lot Balance'!$O954&lt;=0,"Depleted",'Lot Balance'!$Q954))</f>
        <v/>
      </c>
    </row>
    <row r="956" spans="1:10" x14ac:dyDescent="0.35">
      <c r="A956" s="18" t="str">
        <f>IF('Lot Balance'!$A955="","",'Lot Balance'!$A955)</f>
        <v/>
      </c>
      <c r="B956" s="18" t="str">
        <f>IF($A956="","",'Lot Balance'!$B955)</f>
        <v/>
      </c>
      <c r="C956" s="18" t="str">
        <f>IF($A956="","",'Lot Balance'!$C955)</f>
        <v/>
      </c>
      <c r="D956" s="25" t="str">
        <f>IF($A956="","",'Lot Balance'!$G955)</f>
        <v/>
      </c>
      <c r="E956" s="25" t="str">
        <f>IF($A956="","",'Lot Balance'!$H955)</f>
        <v/>
      </c>
      <c r="F956" s="23" t="str">
        <f>IF($A956="","",'Lot Balance'!$I955)</f>
        <v/>
      </c>
      <c r="G956" s="23" t="str">
        <f>IF($A956="","",'Lot Balance'!$O955)</f>
        <v/>
      </c>
      <c r="H956" s="33" t="str">
        <f>IF($A956="","",'Lot Balance'!$P955)</f>
        <v/>
      </c>
      <c r="I956" s="26" t="str">
        <f>IF($A956="","",COUNTIFS(tblIssues[Lot Number],$B956))</f>
        <v/>
      </c>
      <c r="J956" s="31" t="str">
        <f>IF($A956="","",IF('Lot Balance'!$O955&lt;=0,"Depleted",'Lot Balance'!$Q955))</f>
        <v/>
      </c>
    </row>
    <row r="957" spans="1:10" x14ac:dyDescent="0.35">
      <c r="A957" s="18" t="str">
        <f>IF('Lot Balance'!$A956="","",'Lot Balance'!$A956)</f>
        <v/>
      </c>
      <c r="B957" s="18" t="str">
        <f>IF($A957="","",'Lot Balance'!$B956)</f>
        <v/>
      </c>
      <c r="C957" s="18" t="str">
        <f>IF($A957="","",'Lot Balance'!$C956)</f>
        <v/>
      </c>
      <c r="D957" s="25" t="str">
        <f>IF($A957="","",'Lot Balance'!$G956)</f>
        <v/>
      </c>
      <c r="E957" s="25" t="str">
        <f>IF($A957="","",'Lot Balance'!$H956)</f>
        <v/>
      </c>
      <c r="F957" s="23" t="str">
        <f>IF($A957="","",'Lot Balance'!$I956)</f>
        <v/>
      </c>
      <c r="G957" s="23" t="str">
        <f>IF($A957="","",'Lot Balance'!$O956)</f>
        <v/>
      </c>
      <c r="H957" s="33" t="str">
        <f>IF($A957="","",'Lot Balance'!$P956)</f>
        <v/>
      </c>
      <c r="I957" s="26" t="str">
        <f>IF($A957="","",COUNTIFS(tblIssues[Lot Number],$B957))</f>
        <v/>
      </c>
      <c r="J957" s="31" t="str">
        <f>IF($A957="","",IF('Lot Balance'!$O956&lt;=0,"Depleted",'Lot Balance'!$Q956))</f>
        <v/>
      </c>
    </row>
    <row r="958" spans="1:10" x14ac:dyDescent="0.35">
      <c r="A958" s="18" t="str">
        <f>IF('Lot Balance'!$A957="","",'Lot Balance'!$A957)</f>
        <v/>
      </c>
      <c r="B958" s="18" t="str">
        <f>IF($A958="","",'Lot Balance'!$B957)</f>
        <v/>
      </c>
      <c r="C958" s="18" t="str">
        <f>IF($A958="","",'Lot Balance'!$C957)</f>
        <v/>
      </c>
      <c r="D958" s="25" t="str">
        <f>IF($A958="","",'Lot Balance'!$G957)</f>
        <v/>
      </c>
      <c r="E958" s="25" t="str">
        <f>IF($A958="","",'Lot Balance'!$H957)</f>
        <v/>
      </c>
      <c r="F958" s="23" t="str">
        <f>IF($A958="","",'Lot Balance'!$I957)</f>
        <v/>
      </c>
      <c r="G958" s="23" t="str">
        <f>IF($A958="","",'Lot Balance'!$O957)</f>
        <v/>
      </c>
      <c r="H958" s="33" t="str">
        <f>IF($A958="","",'Lot Balance'!$P957)</f>
        <v/>
      </c>
      <c r="I958" s="26" t="str">
        <f>IF($A958="","",COUNTIFS(tblIssues[Lot Number],$B958))</f>
        <v/>
      </c>
      <c r="J958" s="31" t="str">
        <f>IF($A958="","",IF('Lot Balance'!$O957&lt;=0,"Depleted",'Lot Balance'!$Q957))</f>
        <v/>
      </c>
    </row>
    <row r="959" spans="1:10" x14ac:dyDescent="0.35">
      <c r="A959" s="18" t="str">
        <f>IF('Lot Balance'!$A958="","",'Lot Balance'!$A958)</f>
        <v/>
      </c>
      <c r="B959" s="18" t="str">
        <f>IF($A959="","",'Lot Balance'!$B958)</f>
        <v/>
      </c>
      <c r="C959" s="18" t="str">
        <f>IF($A959="","",'Lot Balance'!$C958)</f>
        <v/>
      </c>
      <c r="D959" s="25" t="str">
        <f>IF($A959="","",'Lot Balance'!$G958)</f>
        <v/>
      </c>
      <c r="E959" s="25" t="str">
        <f>IF($A959="","",'Lot Balance'!$H958)</f>
        <v/>
      </c>
      <c r="F959" s="23" t="str">
        <f>IF($A959="","",'Lot Balance'!$I958)</f>
        <v/>
      </c>
      <c r="G959" s="23" t="str">
        <f>IF($A959="","",'Lot Balance'!$O958)</f>
        <v/>
      </c>
      <c r="H959" s="33" t="str">
        <f>IF($A959="","",'Lot Balance'!$P958)</f>
        <v/>
      </c>
      <c r="I959" s="26" t="str">
        <f>IF($A959="","",COUNTIFS(tblIssues[Lot Number],$B959))</f>
        <v/>
      </c>
      <c r="J959" s="31" t="str">
        <f>IF($A959="","",IF('Lot Balance'!$O958&lt;=0,"Depleted",'Lot Balance'!$Q958))</f>
        <v/>
      </c>
    </row>
    <row r="960" spans="1:10" x14ac:dyDescent="0.35">
      <c r="A960" s="18" t="str">
        <f>IF('Lot Balance'!$A959="","",'Lot Balance'!$A959)</f>
        <v/>
      </c>
      <c r="B960" s="18" t="str">
        <f>IF($A960="","",'Lot Balance'!$B959)</f>
        <v/>
      </c>
      <c r="C960" s="18" t="str">
        <f>IF($A960="","",'Lot Balance'!$C959)</f>
        <v/>
      </c>
      <c r="D960" s="25" t="str">
        <f>IF($A960="","",'Lot Balance'!$G959)</f>
        <v/>
      </c>
      <c r="E960" s="25" t="str">
        <f>IF($A960="","",'Lot Balance'!$H959)</f>
        <v/>
      </c>
      <c r="F960" s="23" t="str">
        <f>IF($A960="","",'Lot Balance'!$I959)</f>
        <v/>
      </c>
      <c r="G960" s="23" t="str">
        <f>IF($A960="","",'Lot Balance'!$O959)</f>
        <v/>
      </c>
      <c r="H960" s="33" t="str">
        <f>IF($A960="","",'Lot Balance'!$P959)</f>
        <v/>
      </c>
      <c r="I960" s="26" t="str">
        <f>IF($A960="","",COUNTIFS(tblIssues[Lot Number],$B960))</f>
        <v/>
      </c>
      <c r="J960" s="31" t="str">
        <f>IF($A960="","",IF('Lot Balance'!$O959&lt;=0,"Depleted",'Lot Balance'!$Q959))</f>
        <v/>
      </c>
    </row>
    <row r="961" spans="1:10" x14ac:dyDescent="0.35">
      <c r="A961" s="18" t="str">
        <f>IF('Lot Balance'!$A960="","",'Lot Balance'!$A960)</f>
        <v/>
      </c>
      <c r="B961" s="18" t="str">
        <f>IF($A961="","",'Lot Balance'!$B960)</f>
        <v/>
      </c>
      <c r="C961" s="18" t="str">
        <f>IF($A961="","",'Lot Balance'!$C960)</f>
        <v/>
      </c>
      <c r="D961" s="25" t="str">
        <f>IF($A961="","",'Lot Balance'!$G960)</f>
        <v/>
      </c>
      <c r="E961" s="25" t="str">
        <f>IF($A961="","",'Lot Balance'!$H960)</f>
        <v/>
      </c>
      <c r="F961" s="23" t="str">
        <f>IF($A961="","",'Lot Balance'!$I960)</f>
        <v/>
      </c>
      <c r="G961" s="23" t="str">
        <f>IF($A961="","",'Lot Balance'!$O960)</f>
        <v/>
      </c>
      <c r="H961" s="33" t="str">
        <f>IF($A961="","",'Lot Balance'!$P960)</f>
        <v/>
      </c>
      <c r="I961" s="26" t="str">
        <f>IF($A961="","",COUNTIFS(tblIssues[Lot Number],$B961))</f>
        <v/>
      </c>
      <c r="J961" s="31" t="str">
        <f>IF($A961="","",IF('Lot Balance'!$O960&lt;=0,"Depleted",'Lot Balance'!$Q960))</f>
        <v/>
      </c>
    </row>
    <row r="962" spans="1:10" x14ac:dyDescent="0.35">
      <c r="A962" s="18" t="str">
        <f>IF('Lot Balance'!$A961="","",'Lot Balance'!$A961)</f>
        <v/>
      </c>
      <c r="B962" s="18" t="str">
        <f>IF($A962="","",'Lot Balance'!$B961)</f>
        <v/>
      </c>
      <c r="C962" s="18" t="str">
        <f>IF($A962="","",'Lot Balance'!$C961)</f>
        <v/>
      </c>
      <c r="D962" s="25" t="str">
        <f>IF($A962="","",'Lot Balance'!$G961)</f>
        <v/>
      </c>
      <c r="E962" s="25" t="str">
        <f>IF($A962="","",'Lot Balance'!$H961)</f>
        <v/>
      </c>
      <c r="F962" s="23" t="str">
        <f>IF($A962="","",'Lot Balance'!$I961)</f>
        <v/>
      </c>
      <c r="G962" s="23" t="str">
        <f>IF($A962="","",'Lot Balance'!$O961)</f>
        <v/>
      </c>
      <c r="H962" s="33" t="str">
        <f>IF($A962="","",'Lot Balance'!$P961)</f>
        <v/>
      </c>
      <c r="I962" s="26" t="str">
        <f>IF($A962="","",COUNTIFS(tblIssues[Lot Number],$B962))</f>
        <v/>
      </c>
      <c r="J962" s="31" t="str">
        <f>IF($A962="","",IF('Lot Balance'!$O961&lt;=0,"Depleted",'Lot Balance'!$Q961))</f>
        <v/>
      </c>
    </row>
    <row r="963" spans="1:10" x14ac:dyDescent="0.35">
      <c r="A963" s="18" t="str">
        <f>IF('Lot Balance'!$A962="","",'Lot Balance'!$A962)</f>
        <v/>
      </c>
      <c r="B963" s="18" t="str">
        <f>IF($A963="","",'Lot Balance'!$B962)</f>
        <v/>
      </c>
      <c r="C963" s="18" t="str">
        <f>IF($A963="","",'Lot Balance'!$C962)</f>
        <v/>
      </c>
      <c r="D963" s="25" t="str">
        <f>IF($A963="","",'Lot Balance'!$G962)</f>
        <v/>
      </c>
      <c r="E963" s="25" t="str">
        <f>IF($A963="","",'Lot Balance'!$H962)</f>
        <v/>
      </c>
      <c r="F963" s="23" t="str">
        <f>IF($A963="","",'Lot Balance'!$I962)</f>
        <v/>
      </c>
      <c r="G963" s="23" t="str">
        <f>IF($A963="","",'Lot Balance'!$O962)</f>
        <v/>
      </c>
      <c r="H963" s="33" t="str">
        <f>IF($A963="","",'Lot Balance'!$P962)</f>
        <v/>
      </c>
      <c r="I963" s="26" t="str">
        <f>IF($A963="","",COUNTIFS(tblIssues[Lot Number],$B963))</f>
        <v/>
      </c>
      <c r="J963" s="31" t="str">
        <f>IF($A963="","",IF('Lot Balance'!$O962&lt;=0,"Depleted",'Lot Balance'!$Q962))</f>
        <v/>
      </c>
    </row>
    <row r="964" spans="1:10" x14ac:dyDescent="0.35">
      <c r="A964" s="18" t="str">
        <f>IF('Lot Balance'!$A963="","",'Lot Balance'!$A963)</f>
        <v/>
      </c>
      <c r="B964" s="18" t="str">
        <f>IF($A964="","",'Lot Balance'!$B963)</f>
        <v/>
      </c>
      <c r="C964" s="18" t="str">
        <f>IF($A964="","",'Lot Balance'!$C963)</f>
        <v/>
      </c>
      <c r="D964" s="25" t="str">
        <f>IF($A964="","",'Lot Balance'!$G963)</f>
        <v/>
      </c>
      <c r="E964" s="25" t="str">
        <f>IF($A964="","",'Lot Balance'!$H963)</f>
        <v/>
      </c>
      <c r="F964" s="23" t="str">
        <f>IF($A964="","",'Lot Balance'!$I963)</f>
        <v/>
      </c>
      <c r="G964" s="23" t="str">
        <f>IF($A964="","",'Lot Balance'!$O963)</f>
        <v/>
      </c>
      <c r="H964" s="33" t="str">
        <f>IF($A964="","",'Lot Balance'!$P963)</f>
        <v/>
      </c>
      <c r="I964" s="26" t="str">
        <f>IF($A964="","",COUNTIFS(tblIssues[Lot Number],$B964))</f>
        <v/>
      </c>
      <c r="J964" s="31" t="str">
        <f>IF($A964="","",IF('Lot Balance'!$O963&lt;=0,"Depleted",'Lot Balance'!$Q963))</f>
        <v/>
      </c>
    </row>
    <row r="965" spans="1:10" x14ac:dyDescent="0.35">
      <c r="A965" s="18" t="str">
        <f>IF('Lot Balance'!$A964="","",'Lot Balance'!$A964)</f>
        <v/>
      </c>
      <c r="B965" s="18" t="str">
        <f>IF($A965="","",'Lot Balance'!$B964)</f>
        <v/>
      </c>
      <c r="C965" s="18" t="str">
        <f>IF($A965="","",'Lot Balance'!$C964)</f>
        <v/>
      </c>
      <c r="D965" s="25" t="str">
        <f>IF($A965="","",'Lot Balance'!$G964)</f>
        <v/>
      </c>
      <c r="E965" s="25" t="str">
        <f>IF($A965="","",'Lot Balance'!$H964)</f>
        <v/>
      </c>
      <c r="F965" s="23" t="str">
        <f>IF($A965="","",'Lot Balance'!$I964)</f>
        <v/>
      </c>
      <c r="G965" s="23" t="str">
        <f>IF($A965="","",'Lot Balance'!$O964)</f>
        <v/>
      </c>
      <c r="H965" s="33" t="str">
        <f>IF($A965="","",'Lot Balance'!$P964)</f>
        <v/>
      </c>
      <c r="I965" s="26" t="str">
        <f>IF($A965="","",COUNTIFS(tblIssues[Lot Number],$B965))</f>
        <v/>
      </c>
      <c r="J965" s="31" t="str">
        <f>IF($A965="","",IF('Lot Balance'!$O964&lt;=0,"Depleted",'Lot Balance'!$Q964))</f>
        <v/>
      </c>
    </row>
    <row r="966" spans="1:10" x14ac:dyDescent="0.35">
      <c r="A966" s="18" t="str">
        <f>IF('Lot Balance'!$A965="","",'Lot Balance'!$A965)</f>
        <v/>
      </c>
      <c r="B966" s="18" t="str">
        <f>IF($A966="","",'Lot Balance'!$B965)</f>
        <v/>
      </c>
      <c r="C966" s="18" t="str">
        <f>IF($A966="","",'Lot Balance'!$C965)</f>
        <v/>
      </c>
      <c r="D966" s="25" t="str">
        <f>IF($A966="","",'Lot Balance'!$G965)</f>
        <v/>
      </c>
      <c r="E966" s="25" t="str">
        <f>IF($A966="","",'Lot Balance'!$H965)</f>
        <v/>
      </c>
      <c r="F966" s="23" t="str">
        <f>IF($A966="","",'Lot Balance'!$I965)</f>
        <v/>
      </c>
      <c r="G966" s="23" t="str">
        <f>IF($A966="","",'Lot Balance'!$O965)</f>
        <v/>
      </c>
      <c r="H966" s="33" t="str">
        <f>IF($A966="","",'Lot Balance'!$P965)</f>
        <v/>
      </c>
      <c r="I966" s="26" t="str">
        <f>IF($A966="","",COUNTIFS(tblIssues[Lot Number],$B966))</f>
        <v/>
      </c>
      <c r="J966" s="31" t="str">
        <f>IF($A966="","",IF('Lot Balance'!$O965&lt;=0,"Depleted",'Lot Balance'!$Q965))</f>
        <v/>
      </c>
    </row>
    <row r="967" spans="1:10" x14ac:dyDescent="0.35">
      <c r="A967" s="18" t="str">
        <f>IF('Lot Balance'!$A966="","",'Lot Balance'!$A966)</f>
        <v/>
      </c>
      <c r="B967" s="18" t="str">
        <f>IF($A967="","",'Lot Balance'!$B966)</f>
        <v/>
      </c>
      <c r="C967" s="18" t="str">
        <f>IF($A967="","",'Lot Balance'!$C966)</f>
        <v/>
      </c>
      <c r="D967" s="25" t="str">
        <f>IF($A967="","",'Lot Balance'!$G966)</f>
        <v/>
      </c>
      <c r="E967" s="25" t="str">
        <f>IF($A967="","",'Lot Balance'!$H966)</f>
        <v/>
      </c>
      <c r="F967" s="23" t="str">
        <f>IF($A967="","",'Lot Balance'!$I966)</f>
        <v/>
      </c>
      <c r="G967" s="23" t="str">
        <f>IF($A967="","",'Lot Balance'!$O966)</f>
        <v/>
      </c>
      <c r="H967" s="33" t="str">
        <f>IF($A967="","",'Lot Balance'!$P966)</f>
        <v/>
      </c>
      <c r="I967" s="26" t="str">
        <f>IF($A967="","",COUNTIFS(tblIssues[Lot Number],$B967))</f>
        <v/>
      </c>
      <c r="J967" s="31" t="str">
        <f>IF($A967="","",IF('Lot Balance'!$O966&lt;=0,"Depleted",'Lot Balance'!$Q966))</f>
        <v/>
      </c>
    </row>
    <row r="968" spans="1:10" x14ac:dyDescent="0.35">
      <c r="A968" s="18" t="str">
        <f>IF('Lot Balance'!$A967="","",'Lot Balance'!$A967)</f>
        <v/>
      </c>
      <c r="B968" s="18" t="str">
        <f>IF($A968="","",'Lot Balance'!$B967)</f>
        <v/>
      </c>
      <c r="C968" s="18" t="str">
        <f>IF($A968="","",'Lot Balance'!$C967)</f>
        <v/>
      </c>
      <c r="D968" s="25" t="str">
        <f>IF($A968="","",'Lot Balance'!$G967)</f>
        <v/>
      </c>
      <c r="E968" s="25" t="str">
        <f>IF($A968="","",'Lot Balance'!$H967)</f>
        <v/>
      </c>
      <c r="F968" s="23" t="str">
        <f>IF($A968="","",'Lot Balance'!$I967)</f>
        <v/>
      </c>
      <c r="G968" s="23" t="str">
        <f>IF($A968="","",'Lot Balance'!$O967)</f>
        <v/>
      </c>
      <c r="H968" s="33" t="str">
        <f>IF($A968="","",'Lot Balance'!$P967)</f>
        <v/>
      </c>
      <c r="I968" s="26" t="str">
        <f>IF($A968="","",COUNTIFS(tblIssues[Lot Number],$B968))</f>
        <v/>
      </c>
      <c r="J968" s="31" t="str">
        <f>IF($A968="","",IF('Lot Balance'!$O967&lt;=0,"Depleted",'Lot Balance'!$Q967))</f>
        <v/>
      </c>
    </row>
    <row r="969" spans="1:10" x14ac:dyDescent="0.35">
      <c r="A969" s="18" t="str">
        <f>IF('Lot Balance'!$A968="","",'Lot Balance'!$A968)</f>
        <v/>
      </c>
      <c r="B969" s="18" t="str">
        <f>IF($A969="","",'Lot Balance'!$B968)</f>
        <v/>
      </c>
      <c r="C969" s="18" t="str">
        <f>IF($A969="","",'Lot Balance'!$C968)</f>
        <v/>
      </c>
      <c r="D969" s="25" t="str">
        <f>IF($A969="","",'Lot Balance'!$G968)</f>
        <v/>
      </c>
      <c r="E969" s="25" t="str">
        <f>IF($A969="","",'Lot Balance'!$H968)</f>
        <v/>
      </c>
      <c r="F969" s="23" t="str">
        <f>IF($A969="","",'Lot Balance'!$I968)</f>
        <v/>
      </c>
      <c r="G969" s="23" t="str">
        <f>IF($A969="","",'Lot Balance'!$O968)</f>
        <v/>
      </c>
      <c r="H969" s="33" t="str">
        <f>IF($A969="","",'Lot Balance'!$P968)</f>
        <v/>
      </c>
      <c r="I969" s="26" t="str">
        <f>IF($A969="","",COUNTIFS(tblIssues[Lot Number],$B969))</f>
        <v/>
      </c>
      <c r="J969" s="31" t="str">
        <f>IF($A969="","",IF('Lot Balance'!$O968&lt;=0,"Depleted",'Lot Balance'!$Q968))</f>
        <v/>
      </c>
    </row>
    <row r="970" spans="1:10" x14ac:dyDescent="0.35">
      <c r="A970" s="18" t="str">
        <f>IF('Lot Balance'!$A969="","",'Lot Balance'!$A969)</f>
        <v/>
      </c>
      <c r="B970" s="18" t="str">
        <f>IF($A970="","",'Lot Balance'!$B969)</f>
        <v/>
      </c>
      <c r="C970" s="18" t="str">
        <f>IF($A970="","",'Lot Balance'!$C969)</f>
        <v/>
      </c>
      <c r="D970" s="25" t="str">
        <f>IF($A970="","",'Lot Balance'!$G969)</f>
        <v/>
      </c>
      <c r="E970" s="25" t="str">
        <f>IF($A970="","",'Lot Balance'!$H969)</f>
        <v/>
      </c>
      <c r="F970" s="23" t="str">
        <f>IF($A970="","",'Lot Balance'!$I969)</f>
        <v/>
      </c>
      <c r="G970" s="23" t="str">
        <f>IF($A970="","",'Lot Balance'!$O969)</f>
        <v/>
      </c>
      <c r="H970" s="33" t="str">
        <f>IF($A970="","",'Lot Balance'!$P969)</f>
        <v/>
      </c>
      <c r="I970" s="26" t="str">
        <f>IF($A970="","",COUNTIFS(tblIssues[Lot Number],$B970))</f>
        <v/>
      </c>
      <c r="J970" s="31" t="str">
        <f>IF($A970="","",IF('Lot Balance'!$O969&lt;=0,"Depleted",'Lot Balance'!$Q969))</f>
        <v/>
      </c>
    </row>
    <row r="971" spans="1:10" x14ac:dyDescent="0.35">
      <c r="A971" s="18" t="str">
        <f>IF('Lot Balance'!$A970="","",'Lot Balance'!$A970)</f>
        <v/>
      </c>
      <c r="B971" s="18" t="str">
        <f>IF($A971="","",'Lot Balance'!$B970)</f>
        <v/>
      </c>
      <c r="C971" s="18" t="str">
        <f>IF($A971="","",'Lot Balance'!$C970)</f>
        <v/>
      </c>
      <c r="D971" s="25" t="str">
        <f>IF($A971="","",'Lot Balance'!$G970)</f>
        <v/>
      </c>
      <c r="E971" s="25" t="str">
        <f>IF($A971="","",'Lot Balance'!$H970)</f>
        <v/>
      </c>
      <c r="F971" s="23" t="str">
        <f>IF($A971="","",'Lot Balance'!$I970)</f>
        <v/>
      </c>
      <c r="G971" s="23" t="str">
        <f>IF($A971="","",'Lot Balance'!$O970)</f>
        <v/>
      </c>
      <c r="H971" s="33" t="str">
        <f>IF($A971="","",'Lot Balance'!$P970)</f>
        <v/>
      </c>
      <c r="I971" s="26" t="str">
        <f>IF($A971="","",COUNTIFS(tblIssues[Lot Number],$B971))</f>
        <v/>
      </c>
      <c r="J971" s="31" t="str">
        <f>IF($A971="","",IF('Lot Balance'!$O970&lt;=0,"Depleted",'Lot Balance'!$Q970))</f>
        <v/>
      </c>
    </row>
    <row r="972" spans="1:10" x14ac:dyDescent="0.35">
      <c r="A972" s="18" t="str">
        <f>IF('Lot Balance'!$A971="","",'Lot Balance'!$A971)</f>
        <v/>
      </c>
      <c r="B972" s="18" t="str">
        <f>IF($A972="","",'Lot Balance'!$B971)</f>
        <v/>
      </c>
      <c r="C972" s="18" t="str">
        <f>IF($A972="","",'Lot Balance'!$C971)</f>
        <v/>
      </c>
      <c r="D972" s="25" t="str">
        <f>IF($A972="","",'Lot Balance'!$G971)</f>
        <v/>
      </c>
      <c r="E972" s="25" t="str">
        <f>IF($A972="","",'Lot Balance'!$H971)</f>
        <v/>
      </c>
      <c r="F972" s="23" t="str">
        <f>IF($A972="","",'Lot Balance'!$I971)</f>
        <v/>
      </c>
      <c r="G972" s="23" t="str">
        <f>IF($A972="","",'Lot Balance'!$O971)</f>
        <v/>
      </c>
      <c r="H972" s="33" t="str">
        <f>IF($A972="","",'Lot Balance'!$P971)</f>
        <v/>
      </c>
      <c r="I972" s="26" t="str">
        <f>IF($A972="","",COUNTIFS(tblIssues[Lot Number],$B972))</f>
        <v/>
      </c>
      <c r="J972" s="31" t="str">
        <f>IF($A972="","",IF('Lot Balance'!$O971&lt;=0,"Depleted",'Lot Balance'!$Q971))</f>
        <v/>
      </c>
    </row>
    <row r="973" spans="1:10" x14ac:dyDescent="0.35">
      <c r="A973" s="18" t="str">
        <f>IF('Lot Balance'!$A972="","",'Lot Balance'!$A972)</f>
        <v/>
      </c>
      <c r="B973" s="18" t="str">
        <f>IF($A973="","",'Lot Balance'!$B972)</f>
        <v/>
      </c>
      <c r="C973" s="18" t="str">
        <f>IF($A973="","",'Lot Balance'!$C972)</f>
        <v/>
      </c>
      <c r="D973" s="25" t="str">
        <f>IF($A973="","",'Lot Balance'!$G972)</f>
        <v/>
      </c>
      <c r="E973" s="25" t="str">
        <f>IF($A973="","",'Lot Balance'!$H972)</f>
        <v/>
      </c>
      <c r="F973" s="23" t="str">
        <f>IF($A973="","",'Lot Balance'!$I972)</f>
        <v/>
      </c>
      <c r="G973" s="23" t="str">
        <f>IF($A973="","",'Lot Balance'!$O972)</f>
        <v/>
      </c>
      <c r="H973" s="33" t="str">
        <f>IF($A973="","",'Lot Balance'!$P972)</f>
        <v/>
      </c>
      <c r="I973" s="26" t="str">
        <f>IF($A973="","",COUNTIFS(tblIssues[Lot Number],$B973))</f>
        <v/>
      </c>
      <c r="J973" s="31" t="str">
        <f>IF($A973="","",IF('Lot Balance'!$O972&lt;=0,"Depleted",'Lot Balance'!$Q972))</f>
        <v/>
      </c>
    </row>
    <row r="974" spans="1:10" x14ac:dyDescent="0.35">
      <c r="A974" s="18" t="str">
        <f>IF('Lot Balance'!$A973="","",'Lot Balance'!$A973)</f>
        <v/>
      </c>
      <c r="B974" s="18" t="str">
        <f>IF($A974="","",'Lot Balance'!$B973)</f>
        <v/>
      </c>
      <c r="C974" s="18" t="str">
        <f>IF($A974="","",'Lot Balance'!$C973)</f>
        <v/>
      </c>
      <c r="D974" s="25" t="str">
        <f>IF($A974="","",'Lot Balance'!$G973)</f>
        <v/>
      </c>
      <c r="E974" s="25" t="str">
        <f>IF($A974="","",'Lot Balance'!$H973)</f>
        <v/>
      </c>
      <c r="F974" s="23" t="str">
        <f>IF($A974="","",'Lot Balance'!$I973)</f>
        <v/>
      </c>
      <c r="G974" s="23" t="str">
        <f>IF($A974="","",'Lot Balance'!$O973)</f>
        <v/>
      </c>
      <c r="H974" s="33" t="str">
        <f>IF($A974="","",'Lot Balance'!$P973)</f>
        <v/>
      </c>
      <c r="I974" s="26" t="str">
        <f>IF($A974="","",COUNTIFS(tblIssues[Lot Number],$B974))</f>
        <v/>
      </c>
      <c r="J974" s="31" t="str">
        <f>IF($A974="","",IF('Lot Balance'!$O973&lt;=0,"Depleted",'Lot Balance'!$Q973))</f>
        <v/>
      </c>
    </row>
    <row r="975" spans="1:10" x14ac:dyDescent="0.35">
      <c r="A975" s="18" t="str">
        <f>IF('Lot Balance'!$A974="","",'Lot Balance'!$A974)</f>
        <v/>
      </c>
      <c r="B975" s="18" t="str">
        <f>IF($A975="","",'Lot Balance'!$B974)</f>
        <v/>
      </c>
      <c r="C975" s="18" t="str">
        <f>IF($A975="","",'Lot Balance'!$C974)</f>
        <v/>
      </c>
      <c r="D975" s="25" t="str">
        <f>IF($A975="","",'Lot Balance'!$G974)</f>
        <v/>
      </c>
      <c r="E975" s="25" t="str">
        <f>IF($A975="","",'Lot Balance'!$H974)</f>
        <v/>
      </c>
      <c r="F975" s="23" t="str">
        <f>IF($A975="","",'Lot Balance'!$I974)</f>
        <v/>
      </c>
      <c r="G975" s="23" t="str">
        <f>IF($A975="","",'Lot Balance'!$O974)</f>
        <v/>
      </c>
      <c r="H975" s="33" t="str">
        <f>IF($A975="","",'Lot Balance'!$P974)</f>
        <v/>
      </c>
      <c r="I975" s="26" t="str">
        <f>IF($A975="","",COUNTIFS(tblIssues[Lot Number],$B975))</f>
        <v/>
      </c>
      <c r="J975" s="31" t="str">
        <f>IF($A975="","",IF('Lot Balance'!$O974&lt;=0,"Depleted",'Lot Balance'!$Q974))</f>
        <v/>
      </c>
    </row>
    <row r="976" spans="1:10" x14ac:dyDescent="0.35">
      <c r="A976" s="18" t="str">
        <f>IF('Lot Balance'!$A975="","",'Lot Balance'!$A975)</f>
        <v/>
      </c>
      <c r="B976" s="18" t="str">
        <f>IF($A976="","",'Lot Balance'!$B975)</f>
        <v/>
      </c>
      <c r="C976" s="18" t="str">
        <f>IF($A976="","",'Lot Balance'!$C975)</f>
        <v/>
      </c>
      <c r="D976" s="25" t="str">
        <f>IF($A976="","",'Lot Balance'!$G975)</f>
        <v/>
      </c>
      <c r="E976" s="25" t="str">
        <f>IF($A976="","",'Lot Balance'!$H975)</f>
        <v/>
      </c>
      <c r="F976" s="23" t="str">
        <f>IF($A976="","",'Lot Balance'!$I975)</f>
        <v/>
      </c>
      <c r="G976" s="23" t="str">
        <f>IF($A976="","",'Lot Balance'!$O975)</f>
        <v/>
      </c>
      <c r="H976" s="33" t="str">
        <f>IF($A976="","",'Lot Balance'!$P975)</f>
        <v/>
      </c>
      <c r="I976" s="26" t="str">
        <f>IF($A976="","",COUNTIFS(tblIssues[Lot Number],$B976))</f>
        <v/>
      </c>
      <c r="J976" s="31" t="str">
        <f>IF($A976="","",IF('Lot Balance'!$O975&lt;=0,"Depleted",'Lot Balance'!$Q975))</f>
        <v/>
      </c>
    </row>
    <row r="977" spans="1:10" x14ac:dyDescent="0.35">
      <c r="A977" s="18" t="str">
        <f>IF('Lot Balance'!$A976="","",'Lot Balance'!$A976)</f>
        <v/>
      </c>
      <c r="B977" s="18" t="str">
        <f>IF($A977="","",'Lot Balance'!$B976)</f>
        <v/>
      </c>
      <c r="C977" s="18" t="str">
        <f>IF($A977="","",'Lot Balance'!$C976)</f>
        <v/>
      </c>
      <c r="D977" s="25" t="str">
        <f>IF($A977="","",'Lot Balance'!$G976)</f>
        <v/>
      </c>
      <c r="E977" s="25" t="str">
        <f>IF($A977="","",'Lot Balance'!$H976)</f>
        <v/>
      </c>
      <c r="F977" s="23" t="str">
        <f>IF($A977="","",'Lot Balance'!$I976)</f>
        <v/>
      </c>
      <c r="G977" s="23" t="str">
        <f>IF($A977="","",'Lot Balance'!$O976)</f>
        <v/>
      </c>
      <c r="H977" s="33" t="str">
        <f>IF($A977="","",'Lot Balance'!$P976)</f>
        <v/>
      </c>
      <c r="I977" s="26" t="str">
        <f>IF($A977="","",COUNTIFS(tblIssues[Lot Number],$B977))</f>
        <v/>
      </c>
      <c r="J977" s="31" t="str">
        <f>IF($A977="","",IF('Lot Balance'!$O976&lt;=0,"Depleted",'Lot Balance'!$Q976))</f>
        <v/>
      </c>
    </row>
    <row r="978" spans="1:10" x14ac:dyDescent="0.35">
      <c r="A978" s="18" t="str">
        <f>IF('Lot Balance'!$A977="","",'Lot Balance'!$A977)</f>
        <v/>
      </c>
      <c r="B978" s="18" t="str">
        <f>IF($A978="","",'Lot Balance'!$B977)</f>
        <v/>
      </c>
      <c r="C978" s="18" t="str">
        <f>IF($A978="","",'Lot Balance'!$C977)</f>
        <v/>
      </c>
      <c r="D978" s="25" t="str">
        <f>IF($A978="","",'Lot Balance'!$G977)</f>
        <v/>
      </c>
      <c r="E978" s="25" t="str">
        <f>IF($A978="","",'Lot Balance'!$H977)</f>
        <v/>
      </c>
      <c r="F978" s="23" t="str">
        <f>IF($A978="","",'Lot Balance'!$I977)</f>
        <v/>
      </c>
      <c r="G978" s="23" t="str">
        <f>IF($A978="","",'Lot Balance'!$O977)</f>
        <v/>
      </c>
      <c r="H978" s="33" t="str">
        <f>IF($A978="","",'Lot Balance'!$P977)</f>
        <v/>
      </c>
      <c r="I978" s="26" t="str">
        <f>IF($A978="","",COUNTIFS(tblIssues[Lot Number],$B978))</f>
        <v/>
      </c>
      <c r="J978" s="31" t="str">
        <f>IF($A978="","",IF('Lot Balance'!$O977&lt;=0,"Depleted",'Lot Balance'!$Q977))</f>
        <v/>
      </c>
    </row>
    <row r="979" spans="1:10" x14ac:dyDescent="0.35">
      <c r="A979" s="18" t="str">
        <f>IF('Lot Balance'!$A978="","",'Lot Balance'!$A978)</f>
        <v/>
      </c>
      <c r="B979" s="18" t="str">
        <f>IF($A979="","",'Lot Balance'!$B978)</f>
        <v/>
      </c>
      <c r="C979" s="18" t="str">
        <f>IF($A979="","",'Lot Balance'!$C978)</f>
        <v/>
      </c>
      <c r="D979" s="25" t="str">
        <f>IF($A979="","",'Lot Balance'!$G978)</f>
        <v/>
      </c>
      <c r="E979" s="25" t="str">
        <f>IF($A979="","",'Lot Balance'!$H978)</f>
        <v/>
      </c>
      <c r="F979" s="23" t="str">
        <f>IF($A979="","",'Lot Balance'!$I978)</f>
        <v/>
      </c>
      <c r="G979" s="23" t="str">
        <f>IF($A979="","",'Lot Balance'!$O978)</f>
        <v/>
      </c>
      <c r="H979" s="33" t="str">
        <f>IF($A979="","",'Lot Balance'!$P978)</f>
        <v/>
      </c>
      <c r="I979" s="26" t="str">
        <f>IF($A979="","",COUNTIFS(tblIssues[Lot Number],$B979))</f>
        <v/>
      </c>
      <c r="J979" s="31" t="str">
        <f>IF($A979="","",IF('Lot Balance'!$O978&lt;=0,"Depleted",'Lot Balance'!$Q978))</f>
        <v/>
      </c>
    </row>
    <row r="980" spans="1:10" x14ac:dyDescent="0.35">
      <c r="A980" s="18" t="str">
        <f>IF('Lot Balance'!$A979="","",'Lot Balance'!$A979)</f>
        <v/>
      </c>
      <c r="B980" s="18" t="str">
        <f>IF($A980="","",'Lot Balance'!$B979)</f>
        <v/>
      </c>
      <c r="C980" s="18" t="str">
        <f>IF($A980="","",'Lot Balance'!$C979)</f>
        <v/>
      </c>
      <c r="D980" s="25" t="str">
        <f>IF($A980="","",'Lot Balance'!$G979)</f>
        <v/>
      </c>
      <c r="E980" s="25" t="str">
        <f>IF($A980="","",'Lot Balance'!$H979)</f>
        <v/>
      </c>
      <c r="F980" s="23" t="str">
        <f>IF($A980="","",'Lot Balance'!$I979)</f>
        <v/>
      </c>
      <c r="G980" s="23" t="str">
        <f>IF($A980="","",'Lot Balance'!$O979)</f>
        <v/>
      </c>
      <c r="H980" s="33" t="str">
        <f>IF($A980="","",'Lot Balance'!$P979)</f>
        <v/>
      </c>
      <c r="I980" s="26" t="str">
        <f>IF($A980="","",COUNTIFS(tblIssues[Lot Number],$B980))</f>
        <v/>
      </c>
      <c r="J980" s="31" t="str">
        <f>IF($A980="","",IF('Lot Balance'!$O979&lt;=0,"Depleted",'Lot Balance'!$Q979))</f>
        <v/>
      </c>
    </row>
    <row r="981" spans="1:10" x14ac:dyDescent="0.35">
      <c r="A981" s="18" t="str">
        <f>IF('Lot Balance'!$A980="","",'Lot Balance'!$A980)</f>
        <v/>
      </c>
      <c r="B981" s="18" t="str">
        <f>IF($A981="","",'Lot Balance'!$B980)</f>
        <v/>
      </c>
      <c r="C981" s="18" t="str">
        <f>IF($A981="","",'Lot Balance'!$C980)</f>
        <v/>
      </c>
      <c r="D981" s="25" t="str">
        <f>IF($A981="","",'Lot Balance'!$G980)</f>
        <v/>
      </c>
      <c r="E981" s="25" t="str">
        <f>IF($A981="","",'Lot Balance'!$H980)</f>
        <v/>
      </c>
      <c r="F981" s="23" t="str">
        <f>IF($A981="","",'Lot Balance'!$I980)</f>
        <v/>
      </c>
      <c r="G981" s="23" t="str">
        <f>IF($A981="","",'Lot Balance'!$O980)</f>
        <v/>
      </c>
      <c r="H981" s="33" t="str">
        <f>IF($A981="","",'Lot Balance'!$P980)</f>
        <v/>
      </c>
      <c r="I981" s="26" t="str">
        <f>IF($A981="","",COUNTIFS(tblIssues[Lot Number],$B981))</f>
        <v/>
      </c>
      <c r="J981" s="31" t="str">
        <f>IF($A981="","",IF('Lot Balance'!$O980&lt;=0,"Depleted",'Lot Balance'!$Q980))</f>
        <v/>
      </c>
    </row>
    <row r="982" spans="1:10" x14ac:dyDescent="0.35">
      <c r="A982" s="18" t="str">
        <f>IF('Lot Balance'!$A981="","",'Lot Balance'!$A981)</f>
        <v/>
      </c>
      <c r="B982" s="18" t="str">
        <f>IF($A982="","",'Lot Balance'!$B981)</f>
        <v/>
      </c>
      <c r="C982" s="18" t="str">
        <f>IF($A982="","",'Lot Balance'!$C981)</f>
        <v/>
      </c>
      <c r="D982" s="25" t="str">
        <f>IF($A982="","",'Lot Balance'!$G981)</f>
        <v/>
      </c>
      <c r="E982" s="25" t="str">
        <f>IF($A982="","",'Lot Balance'!$H981)</f>
        <v/>
      </c>
      <c r="F982" s="23" t="str">
        <f>IF($A982="","",'Lot Balance'!$I981)</f>
        <v/>
      </c>
      <c r="G982" s="23" t="str">
        <f>IF($A982="","",'Lot Balance'!$O981)</f>
        <v/>
      </c>
      <c r="H982" s="33" t="str">
        <f>IF($A982="","",'Lot Balance'!$P981)</f>
        <v/>
      </c>
      <c r="I982" s="26" t="str">
        <f>IF($A982="","",COUNTIFS(tblIssues[Lot Number],$B982))</f>
        <v/>
      </c>
      <c r="J982" s="31" t="str">
        <f>IF($A982="","",IF('Lot Balance'!$O981&lt;=0,"Depleted",'Lot Balance'!$Q981))</f>
        <v/>
      </c>
    </row>
    <row r="983" spans="1:10" x14ac:dyDescent="0.35">
      <c r="A983" s="18" t="str">
        <f>IF('Lot Balance'!$A982="","",'Lot Balance'!$A982)</f>
        <v/>
      </c>
      <c r="B983" s="18" t="str">
        <f>IF($A983="","",'Lot Balance'!$B982)</f>
        <v/>
      </c>
      <c r="C983" s="18" t="str">
        <f>IF($A983="","",'Lot Balance'!$C982)</f>
        <v/>
      </c>
      <c r="D983" s="25" t="str">
        <f>IF($A983="","",'Lot Balance'!$G982)</f>
        <v/>
      </c>
      <c r="E983" s="25" t="str">
        <f>IF($A983="","",'Lot Balance'!$H982)</f>
        <v/>
      </c>
      <c r="F983" s="23" t="str">
        <f>IF($A983="","",'Lot Balance'!$I982)</f>
        <v/>
      </c>
      <c r="G983" s="23" t="str">
        <f>IF($A983="","",'Lot Balance'!$O982)</f>
        <v/>
      </c>
      <c r="H983" s="33" t="str">
        <f>IF($A983="","",'Lot Balance'!$P982)</f>
        <v/>
      </c>
      <c r="I983" s="26" t="str">
        <f>IF($A983="","",COUNTIFS(tblIssues[Lot Number],$B983))</f>
        <v/>
      </c>
      <c r="J983" s="31" t="str">
        <f>IF($A983="","",IF('Lot Balance'!$O982&lt;=0,"Depleted",'Lot Balance'!$Q982))</f>
        <v/>
      </c>
    </row>
    <row r="984" spans="1:10" x14ac:dyDescent="0.35">
      <c r="A984" s="18" t="str">
        <f>IF('Lot Balance'!$A983="","",'Lot Balance'!$A983)</f>
        <v/>
      </c>
      <c r="B984" s="18" t="str">
        <f>IF($A984="","",'Lot Balance'!$B983)</f>
        <v/>
      </c>
      <c r="C984" s="18" t="str">
        <f>IF($A984="","",'Lot Balance'!$C983)</f>
        <v/>
      </c>
      <c r="D984" s="25" t="str">
        <f>IF($A984="","",'Lot Balance'!$G983)</f>
        <v/>
      </c>
      <c r="E984" s="25" t="str">
        <f>IF($A984="","",'Lot Balance'!$H983)</f>
        <v/>
      </c>
      <c r="F984" s="23" t="str">
        <f>IF($A984="","",'Lot Balance'!$I983)</f>
        <v/>
      </c>
      <c r="G984" s="23" t="str">
        <f>IF($A984="","",'Lot Balance'!$O983)</f>
        <v/>
      </c>
      <c r="H984" s="33" t="str">
        <f>IF($A984="","",'Lot Balance'!$P983)</f>
        <v/>
      </c>
      <c r="I984" s="26" t="str">
        <f>IF($A984="","",COUNTIFS(tblIssues[Lot Number],$B984))</f>
        <v/>
      </c>
      <c r="J984" s="31" t="str">
        <f>IF($A984="","",IF('Lot Balance'!$O983&lt;=0,"Depleted",'Lot Balance'!$Q983))</f>
        <v/>
      </c>
    </row>
    <row r="985" spans="1:10" x14ac:dyDescent="0.35">
      <c r="A985" s="18" t="str">
        <f>IF('Lot Balance'!$A984="","",'Lot Balance'!$A984)</f>
        <v/>
      </c>
      <c r="B985" s="18" t="str">
        <f>IF($A985="","",'Lot Balance'!$B984)</f>
        <v/>
      </c>
      <c r="C985" s="18" t="str">
        <f>IF($A985="","",'Lot Balance'!$C984)</f>
        <v/>
      </c>
      <c r="D985" s="25" t="str">
        <f>IF($A985="","",'Lot Balance'!$G984)</f>
        <v/>
      </c>
      <c r="E985" s="25" t="str">
        <f>IF($A985="","",'Lot Balance'!$H984)</f>
        <v/>
      </c>
      <c r="F985" s="23" t="str">
        <f>IF($A985="","",'Lot Balance'!$I984)</f>
        <v/>
      </c>
      <c r="G985" s="23" t="str">
        <f>IF($A985="","",'Lot Balance'!$O984)</f>
        <v/>
      </c>
      <c r="H985" s="33" t="str">
        <f>IF($A985="","",'Lot Balance'!$P984)</f>
        <v/>
      </c>
      <c r="I985" s="26" t="str">
        <f>IF($A985="","",COUNTIFS(tblIssues[Lot Number],$B985))</f>
        <v/>
      </c>
      <c r="J985" s="31" t="str">
        <f>IF($A985="","",IF('Lot Balance'!$O984&lt;=0,"Depleted",'Lot Balance'!$Q984))</f>
        <v/>
      </c>
    </row>
    <row r="986" spans="1:10" x14ac:dyDescent="0.35">
      <c r="A986" s="18" t="str">
        <f>IF('Lot Balance'!$A985="","",'Lot Balance'!$A985)</f>
        <v/>
      </c>
      <c r="B986" s="18" t="str">
        <f>IF($A986="","",'Lot Balance'!$B985)</f>
        <v/>
      </c>
      <c r="C986" s="18" t="str">
        <f>IF($A986="","",'Lot Balance'!$C985)</f>
        <v/>
      </c>
      <c r="D986" s="25" t="str">
        <f>IF($A986="","",'Lot Balance'!$G985)</f>
        <v/>
      </c>
      <c r="E986" s="25" t="str">
        <f>IF($A986="","",'Lot Balance'!$H985)</f>
        <v/>
      </c>
      <c r="F986" s="23" t="str">
        <f>IF($A986="","",'Lot Balance'!$I985)</f>
        <v/>
      </c>
      <c r="G986" s="23" t="str">
        <f>IF($A986="","",'Lot Balance'!$O985)</f>
        <v/>
      </c>
      <c r="H986" s="33" t="str">
        <f>IF($A986="","",'Lot Balance'!$P985)</f>
        <v/>
      </c>
      <c r="I986" s="26" t="str">
        <f>IF($A986="","",COUNTIFS(tblIssues[Lot Number],$B986))</f>
        <v/>
      </c>
      <c r="J986" s="31" t="str">
        <f>IF($A986="","",IF('Lot Balance'!$O985&lt;=0,"Depleted",'Lot Balance'!$Q985))</f>
        <v/>
      </c>
    </row>
    <row r="987" spans="1:10" x14ac:dyDescent="0.35">
      <c r="A987" s="18" t="str">
        <f>IF('Lot Balance'!$A986="","",'Lot Balance'!$A986)</f>
        <v/>
      </c>
      <c r="B987" s="18" t="str">
        <f>IF($A987="","",'Lot Balance'!$B986)</f>
        <v/>
      </c>
      <c r="C987" s="18" t="str">
        <f>IF($A987="","",'Lot Balance'!$C986)</f>
        <v/>
      </c>
      <c r="D987" s="25" t="str">
        <f>IF($A987="","",'Lot Balance'!$G986)</f>
        <v/>
      </c>
      <c r="E987" s="25" t="str">
        <f>IF($A987="","",'Lot Balance'!$H986)</f>
        <v/>
      </c>
      <c r="F987" s="23" t="str">
        <f>IF($A987="","",'Lot Balance'!$I986)</f>
        <v/>
      </c>
      <c r="G987" s="23" t="str">
        <f>IF($A987="","",'Lot Balance'!$O986)</f>
        <v/>
      </c>
      <c r="H987" s="33" t="str">
        <f>IF($A987="","",'Lot Balance'!$P986)</f>
        <v/>
      </c>
      <c r="I987" s="26" t="str">
        <f>IF($A987="","",COUNTIFS(tblIssues[Lot Number],$B987))</f>
        <v/>
      </c>
      <c r="J987" s="31" t="str">
        <f>IF($A987="","",IF('Lot Balance'!$O986&lt;=0,"Depleted",'Lot Balance'!$Q986))</f>
        <v/>
      </c>
    </row>
    <row r="988" spans="1:10" x14ac:dyDescent="0.35">
      <c r="A988" s="18" t="str">
        <f>IF('Lot Balance'!$A987="","",'Lot Balance'!$A987)</f>
        <v/>
      </c>
      <c r="B988" s="18" t="str">
        <f>IF($A988="","",'Lot Balance'!$B987)</f>
        <v/>
      </c>
      <c r="C988" s="18" t="str">
        <f>IF($A988="","",'Lot Balance'!$C987)</f>
        <v/>
      </c>
      <c r="D988" s="25" t="str">
        <f>IF($A988="","",'Lot Balance'!$G987)</f>
        <v/>
      </c>
      <c r="E988" s="25" t="str">
        <f>IF($A988="","",'Lot Balance'!$H987)</f>
        <v/>
      </c>
      <c r="F988" s="23" t="str">
        <f>IF($A988="","",'Lot Balance'!$I987)</f>
        <v/>
      </c>
      <c r="G988" s="23" t="str">
        <f>IF($A988="","",'Lot Balance'!$O987)</f>
        <v/>
      </c>
      <c r="H988" s="33" t="str">
        <f>IF($A988="","",'Lot Balance'!$P987)</f>
        <v/>
      </c>
      <c r="I988" s="26" t="str">
        <f>IF($A988="","",COUNTIFS(tblIssues[Lot Number],$B988))</f>
        <v/>
      </c>
      <c r="J988" s="31" t="str">
        <f>IF($A988="","",IF('Lot Balance'!$O987&lt;=0,"Depleted",'Lot Balance'!$Q987))</f>
        <v/>
      </c>
    </row>
    <row r="989" spans="1:10" x14ac:dyDescent="0.35">
      <c r="A989" s="18" t="str">
        <f>IF('Lot Balance'!$A988="","",'Lot Balance'!$A988)</f>
        <v/>
      </c>
      <c r="B989" s="18" t="str">
        <f>IF($A989="","",'Lot Balance'!$B988)</f>
        <v/>
      </c>
      <c r="C989" s="18" t="str">
        <f>IF($A989="","",'Lot Balance'!$C988)</f>
        <v/>
      </c>
      <c r="D989" s="25" t="str">
        <f>IF($A989="","",'Lot Balance'!$G988)</f>
        <v/>
      </c>
      <c r="E989" s="25" t="str">
        <f>IF($A989="","",'Lot Balance'!$H988)</f>
        <v/>
      </c>
      <c r="F989" s="23" t="str">
        <f>IF($A989="","",'Lot Balance'!$I988)</f>
        <v/>
      </c>
      <c r="G989" s="23" t="str">
        <f>IF($A989="","",'Lot Balance'!$O988)</f>
        <v/>
      </c>
      <c r="H989" s="33" t="str">
        <f>IF($A989="","",'Lot Balance'!$P988)</f>
        <v/>
      </c>
      <c r="I989" s="26" t="str">
        <f>IF($A989="","",COUNTIFS(tblIssues[Lot Number],$B989))</f>
        <v/>
      </c>
      <c r="J989" s="31" t="str">
        <f>IF($A989="","",IF('Lot Balance'!$O988&lt;=0,"Depleted",'Lot Balance'!$Q988))</f>
        <v/>
      </c>
    </row>
    <row r="990" spans="1:10" x14ac:dyDescent="0.35">
      <c r="A990" s="18" t="str">
        <f>IF('Lot Balance'!$A989="","",'Lot Balance'!$A989)</f>
        <v/>
      </c>
      <c r="B990" s="18" t="str">
        <f>IF($A990="","",'Lot Balance'!$B989)</f>
        <v/>
      </c>
      <c r="C990" s="18" t="str">
        <f>IF($A990="","",'Lot Balance'!$C989)</f>
        <v/>
      </c>
      <c r="D990" s="25" t="str">
        <f>IF($A990="","",'Lot Balance'!$G989)</f>
        <v/>
      </c>
      <c r="E990" s="25" t="str">
        <f>IF($A990="","",'Lot Balance'!$H989)</f>
        <v/>
      </c>
      <c r="F990" s="23" t="str">
        <f>IF($A990="","",'Lot Balance'!$I989)</f>
        <v/>
      </c>
      <c r="G990" s="23" t="str">
        <f>IF($A990="","",'Lot Balance'!$O989)</f>
        <v/>
      </c>
      <c r="H990" s="33" t="str">
        <f>IF($A990="","",'Lot Balance'!$P989)</f>
        <v/>
      </c>
      <c r="I990" s="26" t="str">
        <f>IF($A990="","",COUNTIFS(tblIssues[Lot Number],$B990))</f>
        <v/>
      </c>
      <c r="J990" s="31" t="str">
        <f>IF($A990="","",IF('Lot Balance'!$O989&lt;=0,"Depleted",'Lot Balance'!$Q989))</f>
        <v/>
      </c>
    </row>
    <row r="991" spans="1:10" x14ac:dyDescent="0.35">
      <c r="A991" s="18" t="str">
        <f>IF('Lot Balance'!$A990="","",'Lot Balance'!$A990)</f>
        <v/>
      </c>
      <c r="B991" s="18" t="str">
        <f>IF($A991="","",'Lot Balance'!$B990)</f>
        <v/>
      </c>
      <c r="C991" s="18" t="str">
        <f>IF($A991="","",'Lot Balance'!$C990)</f>
        <v/>
      </c>
      <c r="D991" s="25" t="str">
        <f>IF($A991="","",'Lot Balance'!$G990)</f>
        <v/>
      </c>
      <c r="E991" s="25" t="str">
        <f>IF($A991="","",'Lot Balance'!$H990)</f>
        <v/>
      </c>
      <c r="F991" s="23" t="str">
        <f>IF($A991="","",'Lot Balance'!$I990)</f>
        <v/>
      </c>
      <c r="G991" s="23" t="str">
        <f>IF($A991="","",'Lot Balance'!$O990)</f>
        <v/>
      </c>
      <c r="H991" s="33" t="str">
        <f>IF($A991="","",'Lot Balance'!$P990)</f>
        <v/>
      </c>
      <c r="I991" s="26" t="str">
        <f>IF($A991="","",COUNTIFS(tblIssues[Lot Number],$B991))</f>
        <v/>
      </c>
      <c r="J991" s="31" t="str">
        <f>IF($A991="","",IF('Lot Balance'!$O990&lt;=0,"Depleted",'Lot Balance'!$Q990))</f>
        <v/>
      </c>
    </row>
    <row r="992" spans="1:10" x14ac:dyDescent="0.35">
      <c r="A992" s="18" t="str">
        <f>IF('Lot Balance'!$A991="","",'Lot Balance'!$A991)</f>
        <v/>
      </c>
      <c r="B992" s="18" t="str">
        <f>IF($A992="","",'Lot Balance'!$B991)</f>
        <v/>
      </c>
      <c r="C992" s="18" t="str">
        <f>IF($A992="","",'Lot Balance'!$C991)</f>
        <v/>
      </c>
      <c r="D992" s="25" t="str">
        <f>IF($A992="","",'Lot Balance'!$G991)</f>
        <v/>
      </c>
      <c r="E992" s="25" t="str">
        <f>IF($A992="","",'Lot Balance'!$H991)</f>
        <v/>
      </c>
      <c r="F992" s="23" t="str">
        <f>IF($A992="","",'Lot Balance'!$I991)</f>
        <v/>
      </c>
      <c r="G992" s="23" t="str">
        <f>IF($A992="","",'Lot Balance'!$O991)</f>
        <v/>
      </c>
      <c r="H992" s="33" t="str">
        <f>IF($A992="","",'Lot Balance'!$P991)</f>
        <v/>
      </c>
      <c r="I992" s="26" t="str">
        <f>IF($A992="","",COUNTIFS(tblIssues[Lot Number],$B992))</f>
        <v/>
      </c>
      <c r="J992" s="31" t="str">
        <f>IF($A992="","",IF('Lot Balance'!$O991&lt;=0,"Depleted",'Lot Balance'!$Q991))</f>
        <v/>
      </c>
    </row>
    <row r="993" spans="1:10" x14ac:dyDescent="0.35">
      <c r="A993" s="18" t="str">
        <f>IF('Lot Balance'!$A992="","",'Lot Balance'!$A992)</f>
        <v/>
      </c>
      <c r="B993" s="18" t="str">
        <f>IF($A993="","",'Lot Balance'!$B992)</f>
        <v/>
      </c>
      <c r="C993" s="18" t="str">
        <f>IF($A993="","",'Lot Balance'!$C992)</f>
        <v/>
      </c>
      <c r="D993" s="25" t="str">
        <f>IF($A993="","",'Lot Balance'!$G992)</f>
        <v/>
      </c>
      <c r="E993" s="25" t="str">
        <f>IF($A993="","",'Lot Balance'!$H992)</f>
        <v/>
      </c>
      <c r="F993" s="23" t="str">
        <f>IF($A993="","",'Lot Balance'!$I992)</f>
        <v/>
      </c>
      <c r="G993" s="23" t="str">
        <f>IF($A993="","",'Lot Balance'!$O992)</f>
        <v/>
      </c>
      <c r="H993" s="33" t="str">
        <f>IF($A993="","",'Lot Balance'!$P992)</f>
        <v/>
      </c>
      <c r="I993" s="26" t="str">
        <f>IF($A993="","",COUNTIFS(tblIssues[Lot Number],$B993))</f>
        <v/>
      </c>
      <c r="J993" s="31" t="str">
        <f>IF($A993="","",IF('Lot Balance'!$O992&lt;=0,"Depleted",'Lot Balance'!$Q992))</f>
        <v/>
      </c>
    </row>
    <row r="994" spans="1:10" x14ac:dyDescent="0.35">
      <c r="A994" s="18" t="str">
        <f>IF('Lot Balance'!$A993="","",'Lot Balance'!$A993)</f>
        <v/>
      </c>
      <c r="B994" s="18" t="str">
        <f>IF($A994="","",'Lot Balance'!$B993)</f>
        <v/>
      </c>
      <c r="C994" s="18" t="str">
        <f>IF($A994="","",'Lot Balance'!$C993)</f>
        <v/>
      </c>
      <c r="D994" s="25" t="str">
        <f>IF($A994="","",'Lot Balance'!$G993)</f>
        <v/>
      </c>
      <c r="E994" s="25" t="str">
        <f>IF($A994="","",'Lot Balance'!$H993)</f>
        <v/>
      </c>
      <c r="F994" s="23" t="str">
        <f>IF($A994="","",'Lot Balance'!$I993)</f>
        <v/>
      </c>
      <c r="G994" s="23" t="str">
        <f>IF($A994="","",'Lot Balance'!$O993)</f>
        <v/>
      </c>
      <c r="H994" s="33" t="str">
        <f>IF($A994="","",'Lot Balance'!$P993)</f>
        <v/>
      </c>
      <c r="I994" s="26" t="str">
        <f>IF($A994="","",COUNTIFS(tblIssues[Lot Number],$B994))</f>
        <v/>
      </c>
      <c r="J994" s="31" t="str">
        <f>IF($A994="","",IF('Lot Balance'!$O993&lt;=0,"Depleted",'Lot Balance'!$Q993))</f>
        <v/>
      </c>
    </row>
    <row r="995" spans="1:10" x14ac:dyDescent="0.35">
      <c r="A995" s="18" t="str">
        <f>IF('Lot Balance'!$A994="","",'Lot Balance'!$A994)</f>
        <v/>
      </c>
      <c r="B995" s="18" t="str">
        <f>IF($A995="","",'Lot Balance'!$B994)</f>
        <v/>
      </c>
      <c r="C995" s="18" t="str">
        <f>IF($A995="","",'Lot Balance'!$C994)</f>
        <v/>
      </c>
      <c r="D995" s="25" t="str">
        <f>IF($A995="","",'Lot Balance'!$G994)</f>
        <v/>
      </c>
      <c r="E995" s="25" t="str">
        <f>IF($A995="","",'Lot Balance'!$H994)</f>
        <v/>
      </c>
      <c r="F995" s="23" t="str">
        <f>IF($A995="","",'Lot Balance'!$I994)</f>
        <v/>
      </c>
      <c r="G995" s="23" t="str">
        <f>IF($A995="","",'Lot Balance'!$O994)</f>
        <v/>
      </c>
      <c r="H995" s="33" t="str">
        <f>IF($A995="","",'Lot Balance'!$P994)</f>
        <v/>
      </c>
      <c r="I995" s="26" t="str">
        <f>IF($A995="","",COUNTIFS(tblIssues[Lot Number],$B995))</f>
        <v/>
      </c>
      <c r="J995" s="31" t="str">
        <f>IF($A995="","",IF('Lot Balance'!$O994&lt;=0,"Depleted",'Lot Balance'!$Q994))</f>
        <v/>
      </c>
    </row>
    <row r="996" spans="1:10" x14ac:dyDescent="0.35">
      <c r="A996" s="18" t="str">
        <f>IF('Lot Balance'!$A995="","",'Lot Balance'!$A995)</f>
        <v/>
      </c>
      <c r="B996" s="18" t="str">
        <f>IF($A996="","",'Lot Balance'!$B995)</f>
        <v/>
      </c>
      <c r="C996" s="18" t="str">
        <f>IF($A996="","",'Lot Balance'!$C995)</f>
        <v/>
      </c>
      <c r="D996" s="25" t="str">
        <f>IF($A996="","",'Lot Balance'!$G995)</f>
        <v/>
      </c>
      <c r="E996" s="25" t="str">
        <f>IF($A996="","",'Lot Balance'!$H995)</f>
        <v/>
      </c>
      <c r="F996" s="23" t="str">
        <f>IF($A996="","",'Lot Balance'!$I995)</f>
        <v/>
      </c>
      <c r="G996" s="23" t="str">
        <f>IF($A996="","",'Lot Balance'!$O995)</f>
        <v/>
      </c>
      <c r="H996" s="33" t="str">
        <f>IF($A996="","",'Lot Balance'!$P995)</f>
        <v/>
      </c>
      <c r="I996" s="26" t="str">
        <f>IF($A996="","",COUNTIFS(tblIssues[Lot Number],$B996))</f>
        <v/>
      </c>
      <c r="J996" s="31" t="str">
        <f>IF($A996="","",IF('Lot Balance'!$O995&lt;=0,"Depleted",'Lot Balance'!$Q995))</f>
        <v/>
      </c>
    </row>
    <row r="997" spans="1:10" x14ac:dyDescent="0.35">
      <c r="A997" s="18" t="str">
        <f>IF('Lot Balance'!$A996="","",'Lot Balance'!$A996)</f>
        <v/>
      </c>
      <c r="B997" s="18" t="str">
        <f>IF($A997="","",'Lot Balance'!$B996)</f>
        <v/>
      </c>
      <c r="C997" s="18" t="str">
        <f>IF($A997="","",'Lot Balance'!$C996)</f>
        <v/>
      </c>
      <c r="D997" s="25" t="str">
        <f>IF($A997="","",'Lot Balance'!$G996)</f>
        <v/>
      </c>
      <c r="E997" s="25" t="str">
        <f>IF($A997="","",'Lot Balance'!$H996)</f>
        <v/>
      </c>
      <c r="F997" s="23" t="str">
        <f>IF($A997="","",'Lot Balance'!$I996)</f>
        <v/>
      </c>
      <c r="G997" s="23" t="str">
        <f>IF($A997="","",'Lot Balance'!$O996)</f>
        <v/>
      </c>
      <c r="H997" s="33" t="str">
        <f>IF($A997="","",'Lot Balance'!$P996)</f>
        <v/>
      </c>
      <c r="I997" s="26" t="str">
        <f>IF($A997="","",COUNTIFS(tblIssues[Lot Number],$B997))</f>
        <v/>
      </c>
      <c r="J997" s="31" t="str">
        <f>IF($A997="","",IF('Lot Balance'!$O996&lt;=0,"Depleted",'Lot Balance'!$Q996))</f>
        <v/>
      </c>
    </row>
    <row r="998" spans="1:10" x14ac:dyDescent="0.35">
      <c r="A998" s="18" t="str">
        <f>IF('Lot Balance'!$A997="","",'Lot Balance'!$A997)</f>
        <v/>
      </c>
      <c r="B998" s="18" t="str">
        <f>IF($A998="","",'Lot Balance'!$B997)</f>
        <v/>
      </c>
      <c r="C998" s="18" t="str">
        <f>IF($A998="","",'Lot Balance'!$C997)</f>
        <v/>
      </c>
      <c r="D998" s="25" t="str">
        <f>IF($A998="","",'Lot Balance'!$G997)</f>
        <v/>
      </c>
      <c r="E998" s="25" t="str">
        <f>IF($A998="","",'Lot Balance'!$H997)</f>
        <v/>
      </c>
      <c r="F998" s="23" t="str">
        <f>IF($A998="","",'Lot Balance'!$I997)</f>
        <v/>
      </c>
      <c r="G998" s="23" t="str">
        <f>IF($A998="","",'Lot Balance'!$O997)</f>
        <v/>
      </c>
      <c r="H998" s="33" t="str">
        <f>IF($A998="","",'Lot Balance'!$P997)</f>
        <v/>
      </c>
      <c r="I998" s="26" t="str">
        <f>IF($A998="","",COUNTIFS(tblIssues[Lot Number],$B998))</f>
        <v/>
      </c>
      <c r="J998" s="31" t="str">
        <f>IF($A998="","",IF('Lot Balance'!$O997&lt;=0,"Depleted",'Lot Balance'!$Q997))</f>
        <v/>
      </c>
    </row>
    <row r="999" spans="1:10" x14ac:dyDescent="0.35">
      <c r="A999" s="18" t="str">
        <f>IF('Lot Balance'!$A998="","",'Lot Balance'!$A998)</f>
        <v/>
      </c>
      <c r="B999" s="18" t="str">
        <f>IF($A999="","",'Lot Balance'!$B998)</f>
        <v/>
      </c>
      <c r="C999" s="18" t="str">
        <f>IF($A999="","",'Lot Balance'!$C998)</f>
        <v/>
      </c>
      <c r="D999" s="25" t="str">
        <f>IF($A999="","",'Lot Balance'!$G998)</f>
        <v/>
      </c>
      <c r="E999" s="25" t="str">
        <f>IF($A999="","",'Lot Balance'!$H998)</f>
        <v/>
      </c>
      <c r="F999" s="23" t="str">
        <f>IF($A999="","",'Lot Balance'!$I998)</f>
        <v/>
      </c>
      <c r="G999" s="23" t="str">
        <f>IF($A999="","",'Lot Balance'!$O998)</f>
        <v/>
      </c>
      <c r="H999" s="33" t="str">
        <f>IF($A999="","",'Lot Balance'!$P998)</f>
        <v/>
      </c>
      <c r="I999" s="26" t="str">
        <f>IF($A999="","",COUNTIFS(tblIssues[Lot Number],$B999))</f>
        <v/>
      </c>
      <c r="J999" s="31" t="str">
        <f>IF($A999="","",IF('Lot Balance'!$O998&lt;=0,"Depleted",'Lot Balance'!$Q998))</f>
        <v/>
      </c>
    </row>
    <row r="1000" spans="1:10" x14ac:dyDescent="0.35">
      <c r="A1000" s="18" t="str">
        <f>IF('Lot Balance'!$A999="","",'Lot Balance'!$A999)</f>
        <v/>
      </c>
      <c r="B1000" s="18" t="str">
        <f>IF($A1000="","",'Lot Balance'!$B999)</f>
        <v/>
      </c>
      <c r="C1000" s="18" t="str">
        <f>IF($A1000="","",'Lot Balance'!$C999)</f>
        <v/>
      </c>
      <c r="D1000" s="25" t="str">
        <f>IF($A1000="","",'Lot Balance'!$G999)</f>
        <v/>
      </c>
      <c r="E1000" s="25" t="str">
        <f>IF($A1000="","",'Lot Balance'!$H999)</f>
        <v/>
      </c>
      <c r="F1000" s="23" t="str">
        <f>IF($A1000="","",'Lot Balance'!$I999)</f>
        <v/>
      </c>
      <c r="G1000" s="23" t="str">
        <f>IF($A1000="","",'Lot Balance'!$O999)</f>
        <v/>
      </c>
      <c r="H1000" s="33" t="str">
        <f>IF($A1000="","",'Lot Balance'!$P999)</f>
        <v/>
      </c>
      <c r="I1000" s="26" t="str">
        <f>IF($A1000="","",COUNTIFS(tblIssues[Lot Number],$B1000))</f>
        <v/>
      </c>
      <c r="J1000" s="31" t="str">
        <f>IF($A1000="","",IF('Lot Balance'!$O999&lt;=0,"Depleted",'Lot Balance'!$Q999))</f>
        <v/>
      </c>
    </row>
    <row r="1001" spans="1:10" x14ac:dyDescent="0.35">
      <c r="A1001" s="18" t="str">
        <f>IF('Lot Balance'!$A1000="","",'Lot Balance'!$A1000)</f>
        <v/>
      </c>
      <c r="B1001" s="18" t="str">
        <f>IF($A1001="","",'Lot Balance'!$B1000)</f>
        <v/>
      </c>
      <c r="C1001" s="18" t="str">
        <f>IF($A1001="","",'Lot Balance'!$C1000)</f>
        <v/>
      </c>
      <c r="D1001" s="25" t="str">
        <f>IF($A1001="","",'Lot Balance'!$G1000)</f>
        <v/>
      </c>
      <c r="E1001" s="25" t="str">
        <f>IF($A1001="","",'Lot Balance'!$H1000)</f>
        <v/>
      </c>
      <c r="F1001" s="23" t="str">
        <f>IF($A1001="","",'Lot Balance'!$I1000)</f>
        <v/>
      </c>
      <c r="G1001" s="23" t="str">
        <f>IF($A1001="","",'Lot Balance'!$O1000)</f>
        <v/>
      </c>
      <c r="H1001" s="33" t="str">
        <f>IF($A1001="","",'Lot Balance'!$P1000)</f>
        <v/>
      </c>
      <c r="I1001" s="26" t="str">
        <f>IF($A1001="","",COUNTIFS(tblIssues[Lot Number],$B1001))</f>
        <v/>
      </c>
      <c r="J1001" s="31" t="str">
        <f>IF($A1001="","",IF('Lot Balance'!$O1000&lt;=0,"Depleted",'Lot Balance'!$Q1000))</f>
        <v/>
      </c>
    </row>
    <row r="1002" spans="1:10" x14ac:dyDescent="0.35">
      <c r="A1002" s="18" t="str">
        <f>IF('Lot Balance'!$A1001="","",'Lot Balance'!$A1001)</f>
        <v/>
      </c>
      <c r="B1002" s="18" t="str">
        <f>IF($A1002="","",'Lot Balance'!$B1001)</f>
        <v/>
      </c>
      <c r="C1002" s="18" t="str">
        <f>IF($A1002="","",'Lot Balance'!$C1001)</f>
        <v/>
      </c>
      <c r="D1002" s="25" t="str">
        <f>IF($A1002="","",'Lot Balance'!$G1001)</f>
        <v/>
      </c>
      <c r="E1002" s="25" t="str">
        <f>IF($A1002="","",'Lot Balance'!$H1001)</f>
        <v/>
      </c>
      <c r="F1002" s="23" t="str">
        <f>IF($A1002="","",'Lot Balance'!$I1001)</f>
        <v/>
      </c>
      <c r="G1002" s="23" t="str">
        <f>IF($A1002="","",'Lot Balance'!$O1001)</f>
        <v/>
      </c>
      <c r="H1002" s="33" t="str">
        <f>IF($A1002="","",'Lot Balance'!$P1001)</f>
        <v/>
      </c>
      <c r="I1002" s="26" t="str">
        <f>IF($A1002="","",COUNTIFS(tblIssues[Lot Number],$B1002))</f>
        <v/>
      </c>
      <c r="J1002" s="31" t="str">
        <f>IF($A1002="","",IF('Lot Balance'!$O1001&lt;=0,"Depleted",'Lot Balance'!$Q1001))</f>
        <v/>
      </c>
    </row>
    <row r="1003" spans="1:10" x14ac:dyDescent="0.35">
      <c r="A1003" s="18" t="str">
        <f>IF('Lot Balance'!$A1002="","",'Lot Balance'!$A1002)</f>
        <v/>
      </c>
      <c r="B1003" s="18" t="str">
        <f>IF($A1003="","",'Lot Balance'!$B1002)</f>
        <v/>
      </c>
      <c r="C1003" s="18" t="str">
        <f>IF($A1003="","",'Lot Balance'!$C1002)</f>
        <v/>
      </c>
      <c r="D1003" s="25" t="str">
        <f>IF($A1003="","",'Lot Balance'!$G1002)</f>
        <v/>
      </c>
      <c r="E1003" s="25" t="str">
        <f>IF($A1003="","",'Lot Balance'!$H1002)</f>
        <v/>
      </c>
      <c r="F1003" s="23" t="str">
        <f>IF($A1003="","",'Lot Balance'!$I1002)</f>
        <v/>
      </c>
      <c r="G1003" s="23" t="str">
        <f>IF($A1003="","",'Lot Balance'!$O1002)</f>
        <v/>
      </c>
      <c r="H1003" s="33" t="str">
        <f>IF($A1003="","",'Lot Balance'!$P1002)</f>
        <v/>
      </c>
      <c r="I1003" s="26" t="str">
        <f>IF($A1003="","",COUNTIFS(tblIssues[Lot Number],$B1003))</f>
        <v/>
      </c>
      <c r="J1003" s="31" t="str">
        <f>IF($A1003="","",IF('Lot Balance'!$O1002&lt;=0,"Depleted",'Lot Balance'!$Q1002))</f>
        <v/>
      </c>
    </row>
    <row r="1004" spans="1:10" x14ac:dyDescent="0.35">
      <c r="A1004" s="18" t="str">
        <f>IF('Lot Balance'!$A1003="","",'Lot Balance'!$A1003)</f>
        <v/>
      </c>
      <c r="B1004" s="18" t="str">
        <f>IF($A1004="","",'Lot Balance'!$B1003)</f>
        <v/>
      </c>
      <c r="C1004" s="18" t="str">
        <f>IF($A1004="","",'Lot Balance'!$C1003)</f>
        <v/>
      </c>
      <c r="D1004" s="25" t="str">
        <f>IF($A1004="","",'Lot Balance'!$G1003)</f>
        <v/>
      </c>
      <c r="E1004" s="25" t="str">
        <f>IF($A1004="","",'Lot Balance'!$H1003)</f>
        <v/>
      </c>
      <c r="F1004" s="23" t="str">
        <f>IF($A1004="","",'Lot Balance'!$I1003)</f>
        <v/>
      </c>
      <c r="G1004" s="23" t="str">
        <f>IF($A1004="","",'Lot Balance'!$O1003)</f>
        <v/>
      </c>
      <c r="H1004" s="33" t="str">
        <f>IF($A1004="","",'Lot Balance'!$P1003)</f>
        <v/>
      </c>
      <c r="I1004" s="26" t="str">
        <f>IF($A1004="","",COUNTIFS(tblIssues[Lot Number],$B1004))</f>
        <v/>
      </c>
      <c r="J1004" s="31" t="str">
        <f>IF($A1004="","",IF('Lot Balance'!$O1003&lt;=0,"Depleted",'Lot Balance'!$Q1003))</f>
        <v/>
      </c>
    </row>
    <row r="1005" spans="1:10" x14ac:dyDescent="0.35">
      <c r="A1005" s="18" t="str">
        <f>IF('Lot Balance'!$A1004="","",'Lot Balance'!$A1004)</f>
        <v/>
      </c>
      <c r="B1005" s="18" t="str">
        <f>IF($A1005="","",'Lot Balance'!$B1004)</f>
        <v/>
      </c>
      <c r="C1005" s="18" t="str">
        <f>IF($A1005="","",'Lot Balance'!$C1004)</f>
        <v/>
      </c>
      <c r="D1005" s="25" t="str">
        <f>IF($A1005="","",'Lot Balance'!$G1004)</f>
        <v/>
      </c>
      <c r="E1005" s="25" t="str">
        <f>IF($A1005="","",'Lot Balance'!$H1004)</f>
        <v/>
      </c>
      <c r="F1005" s="23" t="str">
        <f>IF($A1005="","",'Lot Balance'!$I1004)</f>
        <v/>
      </c>
      <c r="G1005" s="23" t="str">
        <f>IF($A1005="","",'Lot Balance'!$O1004)</f>
        <v/>
      </c>
      <c r="H1005" s="33" t="str">
        <f>IF($A1005="","",'Lot Balance'!$P1004)</f>
        <v/>
      </c>
      <c r="I1005" s="26" t="str">
        <f>IF($A1005="","",COUNTIFS(tblIssues[Lot Number],$B1005))</f>
        <v/>
      </c>
      <c r="J1005" s="31" t="str">
        <f>IF($A1005="","",IF('Lot Balance'!$O1004&lt;=0,"Depleted",'Lot Balance'!$Q1004))</f>
        <v/>
      </c>
    </row>
    <row r="1006" spans="1:10" x14ac:dyDescent="0.35">
      <c r="A1006" s="18" t="str">
        <f>IF('Lot Balance'!$A1005="","",'Lot Balance'!$A1005)</f>
        <v/>
      </c>
      <c r="B1006" s="18" t="str">
        <f>IF($A1006="","",'Lot Balance'!$B1005)</f>
        <v/>
      </c>
      <c r="C1006" s="18" t="str">
        <f>IF($A1006="","",'Lot Balance'!$C1005)</f>
        <v/>
      </c>
      <c r="D1006" s="25" t="str">
        <f>IF($A1006="","",'Lot Balance'!$G1005)</f>
        <v/>
      </c>
      <c r="E1006" s="25" t="str">
        <f>IF($A1006="","",'Lot Balance'!$H1005)</f>
        <v/>
      </c>
      <c r="F1006" s="23" t="str">
        <f>IF($A1006="","",'Lot Balance'!$I1005)</f>
        <v/>
      </c>
      <c r="G1006" s="23" t="str">
        <f>IF($A1006="","",'Lot Balance'!$O1005)</f>
        <v/>
      </c>
      <c r="H1006" s="33" t="str">
        <f>IF($A1006="","",'Lot Balance'!$P1005)</f>
        <v/>
      </c>
      <c r="I1006" s="26" t="str">
        <f>IF($A1006="","",COUNTIFS(tblIssues[Lot Number],$B1006))</f>
        <v/>
      </c>
      <c r="J1006" s="31" t="str">
        <f>IF($A1006="","",IF('Lot Balance'!$O1005&lt;=0,"Depleted",'Lot Balance'!$Q1005))</f>
        <v/>
      </c>
    </row>
    <row r="1007" spans="1:10" x14ac:dyDescent="0.35">
      <c r="A1007" s="18" t="str">
        <f>IF('Lot Balance'!$A1006="","",'Lot Balance'!$A1006)</f>
        <v/>
      </c>
      <c r="B1007" s="18" t="str">
        <f>IF($A1007="","",'Lot Balance'!$B1006)</f>
        <v/>
      </c>
      <c r="C1007" s="18" t="str">
        <f>IF($A1007="","",'Lot Balance'!$C1006)</f>
        <v/>
      </c>
      <c r="D1007" s="25" t="str">
        <f>IF($A1007="","",'Lot Balance'!$G1006)</f>
        <v/>
      </c>
      <c r="E1007" s="25" t="str">
        <f>IF($A1007="","",'Lot Balance'!$H1006)</f>
        <v/>
      </c>
      <c r="F1007" s="23" t="str">
        <f>IF($A1007="","",'Lot Balance'!$I1006)</f>
        <v/>
      </c>
      <c r="G1007" s="23" t="str">
        <f>IF($A1007="","",'Lot Balance'!$O1006)</f>
        <v/>
      </c>
      <c r="H1007" s="33" t="str">
        <f>IF($A1007="","",'Lot Balance'!$P1006)</f>
        <v/>
      </c>
      <c r="I1007" s="26" t="str">
        <f>IF($A1007="","",COUNTIFS(tblIssues[Lot Number],$B1007))</f>
        <v/>
      </c>
      <c r="J1007" s="31" t="str">
        <f>IF($A1007="","",IF('Lot Balance'!$O1006&lt;=0,"Depleted",'Lot Balance'!$Q1006))</f>
        <v/>
      </c>
    </row>
    <row r="1008" spans="1:10" x14ac:dyDescent="0.35">
      <c r="A1008" s="18" t="str">
        <f>IF('Lot Balance'!$A1007="","",'Lot Balance'!$A1007)</f>
        <v/>
      </c>
      <c r="B1008" s="18" t="str">
        <f>IF($A1008="","",'Lot Balance'!$B1007)</f>
        <v/>
      </c>
      <c r="C1008" s="18" t="str">
        <f>IF($A1008="","",'Lot Balance'!$C1007)</f>
        <v/>
      </c>
      <c r="D1008" s="25" t="str">
        <f>IF($A1008="","",'Lot Balance'!$G1007)</f>
        <v/>
      </c>
      <c r="E1008" s="25" t="str">
        <f>IF($A1008="","",'Lot Balance'!$H1007)</f>
        <v/>
      </c>
      <c r="F1008" s="23" t="str">
        <f>IF($A1008="","",'Lot Balance'!$I1007)</f>
        <v/>
      </c>
      <c r="G1008" s="23" t="str">
        <f>IF($A1008="","",'Lot Balance'!$O1007)</f>
        <v/>
      </c>
      <c r="H1008" s="33" t="str">
        <f>IF($A1008="","",'Lot Balance'!$P1007)</f>
        <v/>
      </c>
      <c r="I1008" s="26" t="str">
        <f>IF($A1008="","",COUNTIFS(tblIssues[Lot Number],$B1008))</f>
        <v/>
      </c>
      <c r="J1008" s="31" t="str">
        <f>IF($A1008="","",IF('Lot Balance'!$O1007&lt;=0,"Depleted",'Lot Balance'!$Q1007))</f>
        <v/>
      </c>
    </row>
    <row r="1009" spans="1:10" x14ac:dyDescent="0.35">
      <c r="A1009" s="18" t="str">
        <f>IF('Lot Balance'!$A1008="","",'Lot Balance'!$A1008)</f>
        <v/>
      </c>
      <c r="B1009" s="18" t="str">
        <f>IF($A1009="","",'Lot Balance'!$B1008)</f>
        <v/>
      </c>
      <c r="C1009" s="18" t="str">
        <f>IF($A1009="","",'Lot Balance'!$C1008)</f>
        <v/>
      </c>
      <c r="D1009" s="25" t="str">
        <f>IF($A1009="","",'Lot Balance'!$G1008)</f>
        <v/>
      </c>
      <c r="E1009" s="25" t="str">
        <f>IF($A1009="","",'Lot Balance'!$H1008)</f>
        <v/>
      </c>
      <c r="F1009" s="23" t="str">
        <f>IF($A1009="","",'Lot Balance'!$I1008)</f>
        <v/>
      </c>
      <c r="G1009" s="23" t="str">
        <f>IF($A1009="","",'Lot Balance'!$O1008)</f>
        <v/>
      </c>
      <c r="H1009" s="33" t="str">
        <f>IF($A1009="","",'Lot Balance'!$P1008)</f>
        <v/>
      </c>
      <c r="I1009" s="26" t="str">
        <f>IF($A1009="","",COUNTIFS(tblIssues[Lot Number],$B1009))</f>
        <v/>
      </c>
      <c r="J1009" s="31" t="str">
        <f>IF($A1009="","",IF('Lot Balance'!$O1008&lt;=0,"Depleted",'Lot Balance'!$Q1008))</f>
        <v/>
      </c>
    </row>
    <row r="1010" spans="1:10" x14ac:dyDescent="0.35">
      <c r="A1010" s="18" t="str">
        <f>IF('Lot Balance'!$A1009="","",'Lot Balance'!$A1009)</f>
        <v/>
      </c>
      <c r="B1010" s="18" t="str">
        <f>IF($A1010="","",'Lot Balance'!$B1009)</f>
        <v/>
      </c>
      <c r="C1010" s="18" t="str">
        <f>IF($A1010="","",'Lot Balance'!$C1009)</f>
        <v/>
      </c>
      <c r="D1010" s="25" t="str">
        <f>IF($A1010="","",'Lot Balance'!$G1009)</f>
        <v/>
      </c>
      <c r="E1010" s="25" t="str">
        <f>IF($A1010="","",'Lot Balance'!$H1009)</f>
        <v/>
      </c>
      <c r="F1010" s="23" t="str">
        <f>IF($A1010="","",'Lot Balance'!$I1009)</f>
        <v/>
      </c>
      <c r="G1010" s="23" t="str">
        <f>IF($A1010="","",'Lot Balance'!$O1009)</f>
        <v/>
      </c>
      <c r="H1010" s="33" t="str">
        <f>IF($A1010="","",'Lot Balance'!$P1009)</f>
        <v/>
      </c>
      <c r="I1010" s="26" t="str">
        <f>IF($A1010="","",COUNTIFS(tblIssues[Lot Number],$B1010))</f>
        <v/>
      </c>
      <c r="J1010" s="31" t="str">
        <f>IF($A1010="","",IF('Lot Balance'!$O1009&lt;=0,"Depleted",'Lot Balance'!$Q1009))</f>
        <v/>
      </c>
    </row>
    <row r="1011" spans="1:10" x14ac:dyDescent="0.35">
      <c r="A1011" s="18" t="str">
        <f>IF('Lot Balance'!$A1010="","",'Lot Balance'!$A1010)</f>
        <v/>
      </c>
      <c r="B1011" s="18" t="str">
        <f>IF($A1011="","",'Lot Balance'!$B1010)</f>
        <v/>
      </c>
      <c r="C1011" s="18" t="str">
        <f>IF($A1011="","",'Lot Balance'!$C1010)</f>
        <v/>
      </c>
      <c r="D1011" s="25" t="str">
        <f>IF($A1011="","",'Lot Balance'!$G1010)</f>
        <v/>
      </c>
      <c r="E1011" s="25" t="str">
        <f>IF($A1011="","",'Lot Balance'!$H1010)</f>
        <v/>
      </c>
      <c r="F1011" s="23" t="str">
        <f>IF($A1011="","",'Lot Balance'!$I1010)</f>
        <v/>
      </c>
      <c r="G1011" s="23" t="str">
        <f>IF($A1011="","",'Lot Balance'!$O1010)</f>
        <v/>
      </c>
      <c r="H1011" s="33" t="str">
        <f>IF($A1011="","",'Lot Balance'!$P1010)</f>
        <v/>
      </c>
      <c r="I1011" s="26" t="str">
        <f>IF($A1011="","",COUNTIFS(tblIssues[Lot Number],$B1011))</f>
        <v/>
      </c>
      <c r="J1011" s="31" t="str">
        <f>IF($A1011="","",IF('Lot Balance'!$O1010&lt;=0,"Depleted",'Lot Balance'!$Q1010))</f>
        <v/>
      </c>
    </row>
    <row r="1012" spans="1:10" x14ac:dyDescent="0.35">
      <c r="A1012" s="18" t="str">
        <f>IF('Lot Balance'!$A1011="","",'Lot Balance'!$A1011)</f>
        <v/>
      </c>
      <c r="B1012" s="18" t="str">
        <f>IF($A1012="","",'Lot Balance'!$B1011)</f>
        <v/>
      </c>
      <c r="C1012" s="18" t="str">
        <f>IF($A1012="","",'Lot Balance'!$C1011)</f>
        <v/>
      </c>
      <c r="D1012" s="25" t="str">
        <f>IF($A1012="","",'Lot Balance'!$G1011)</f>
        <v/>
      </c>
      <c r="E1012" s="25" t="str">
        <f>IF($A1012="","",'Lot Balance'!$H1011)</f>
        <v/>
      </c>
      <c r="F1012" s="23" t="str">
        <f>IF($A1012="","",'Lot Balance'!$I1011)</f>
        <v/>
      </c>
      <c r="G1012" s="23" t="str">
        <f>IF($A1012="","",'Lot Balance'!$O1011)</f>
        <v/>
      </c>
      <c r="H1012" s="33" t="str">
        <f>IF($A1012="","",'Lot Balance'!$P1011)</f>
        <v/>
      </c>
      <c r="I1012" s="26" t="str">
        <f>IF($A1012="","",COUNTIFS(tblIssues[Lot Number],$B1012))</f>
        <v/>
      </c>
      <c r="J1012" s="31" t="str">
        <f>IF($A1012="","",IF('Lot Balance'!$O1011&lt;=0,"Depleted",'Lot Balance'!$Q1011))</f>
        <v/>
      </c>
    </row>
    <row r="1013" spans="1:10" x14ac:dyDescent="0.35">
      <c r="A1013" s="18" t="str">
        <f>IF('Lot Balance'!$A1012="","",'Lot Balance'!$A1012)</f>
        <v/>
      </c>
      <c r="B1013" s="18" t="str">
        <f>IF($A1013="","",'Lot Balance'!$B1012)</f>
        <v/>
      </c>
      <c r="C1013" s="18" t="str">
        <f>IF($A1013="","",'Lot Balance'!$C1012)</f>
        <v/>
      </c>
      <c r="D1013" s="25" t="str">
        <f>IF($A1013="","",'Lot Balance'!$G1012)</f>
        <v/>
      </c>
      <c r="E1013" s="25" t="str">
        <f>IF($A1013="","",'Lot Balance'!$H1012)</f>
        <v/>
      </c>
      <c r="F1013" s="23" t="str">
        <f>IF($A1013="","",'Lot Balance'!$I1012)</f>
        <v/>
      </c>
      <c r="G1013" s="23" t="str">
        <f>IF($A1013="","",'Lot Balance'!$O1012)</f>
        <v/>
      </c>
      <c r="H1013" s="33" t="str">
        <f>IF($A1013="","",'Lot Balance'!$P1012)</f>
        <v/>
      </c>
      <c r="I1013" s="26" t="str">
        <f>IF($A1013="","",COUNTIFS(tblIssues[Lot Number],$B1013))</f>
        <v/>
      </c>
      <c r="J1013" s="31" t="str">
        <f>IF($A1013="","",IF('Lot Balance'!$O1012&lt;=0,"Depleted",'Lot Balance'!$Q1012))</f>
        <v/>
      </c>
    </row>
    <row r="1014" spans="1:10" x14ac:dyDescent="0.35">
      <c r="A1014" s="18" t="str">
        <f>IF('Lot Balance'!$A1013="","",'Lot Balance'!$A1013)</f>
        <v/>
      </c>
      <c r="B1014" s="18" t="str">
        <f>IF($A1014="","",'Lot Balance'!$B1013)</f>
        <v/>
      </c>
      <c r="C1014" s="18" t="str">
        <f>IF($A1014="","",'Lot Balance'!$C1013)</f>
        <v/>
      </c>
      <c r="D1014" s="25" t="str">
        <f>IF($A1014="","",'Lot Balance'!$G1013)</f>
        <v/>
      </c>
      <c r="E1014" s="25" t="str">
        <f>IF($A1014="","",'Lot Balance'!$H1013)</f>
        <v/>
      </c>
      <c r="F1014" s="23" t="str">
        <f>IF($A1014="","",'Lot Balance'!$I1013)</f>
        <v/>
      </c>
      <c r="G1014" s="23" t="str">
        <f>IF($A1014="","",'Lot Balance'!$O1013)</f>
        <v/>
      </c>
      <c r="H1014" s="33" t="str">
        <f>IF($A1014="","",'Lot Balance'!$P1013)</f>
        <v/>
      </c>
      <c r="I1014" s="26" t="str">
        <f>IF($A1014="","",COUNTIFS(tblIssues[Lot Number],$B1014))</f>
        <v/>
      </c>
      <c r="J1014" s="31" t="str">
        <f>IF($A1014="","",IF('Lot Balance'!$O1013&lt;=0,"Depleted",'Lot Balance'!$Q1013))</f>
        <v/>
      </c>
    </row>
    <row r="1015" spans="1:10" x14ac:dyDescent="0.35">
      <c r="A1015" s="18" t="str">
        <f>IF('Lot Balance'!$A1014="","",'Lot Balance'!$A1014)</f>
        <v/>
      </c>
      <c r="B1015" s="18" t="str">
        <f>IF($A1015="","",'Lot Balance'!$B1014)</f>
        <v/>
      </c>
      <c r="C1015" s="18" t="str">
        <f>IF($A1015="","",'Lot Balance'!$C1014)</f>
        <v/>
      </c>
      <c r="D1015" s="25" t="str">
        <f>IF($A1015="","",'Lot Balance'!$G1014)</f>
        <v/>
      </c>
      <c r="E1015" s="25" t="str">
        <f>IF($A1015="","",'Lot Balance'!$H1014)</f>
        <v/>
      </c>
      <c r="F1015" s="23" t="str">
        <f>IF($A1015="","",'Lot Balance'!$I1014)</f>
        <v/>
      </c>
      <c r="G1015" s="23" t="str">
        <f>IF($A1015="","",'Lot Balance'!$O1014)</f>
        <v/>
      </c>
      <c r="H1015" s="33" t="str">
        <f>IF($A1015="","",'Lot Balance'!$P1014)</f>
        <v/>
      </c>
      <c r="I1015" s="26" t="str">
        <f>IF($A1015="","",COUNTIFS(tblIssues[Lot Number],$B1015))</f>
        <v/>
      </c>
      <c r="J1015" s="31" t="str">
        <f>IF($A1015="","",IF('Lot Balance'!$O1014&lt;=0,"Depleted",'Lot Balance'!$Q1014))</f>
        <v/>
      </c>
    </row>
    <row r="1016" spans="1:10" x14ac:dyDescent="0.35">
      <c r="A1016" s="18" t="str">
        <f>IF('Lot Balance'!$A1015="","",'Lot Balance'!$A1015)</f>
        <v/>
      </c>
      <c r="B1016" s="18" t="str">
        <f>IF($A1016="","",'Lot Balance'!$B1015)</f>
        <v/>
      </c>
      <c r="C1016" s="18" t="str">
        <f>IF($A1016="","",'Lot Balance'!$C1015)</f>
        <v/>
      </c>
      <c r="D1016" s="25" t="str">
        <f>IF($A1016="","",'Lot Balance'!$G1015)</f>
        <v/>
      </c>
      <c r="E1016" s="25" t="str">
        <f>IF($A1016="","",'Lot Balance'!$H1015)</f>
        <v/>
      </c>
      <c r="F1016" s="23" t="str">
        <f>IF($A1016="","",'Lot Balance'!$I1015)</f>
        <v/>
      </c>
      <c r="G1016" s="23" t="str">
        <f>IF($A1016="","",'Lot Balance'!$O1015)</f>
        <v/>
      </c>
      <c r="H1016" s="33" t="str">
        <f>IF($A1016="","",'Lot Balance'!$P1015)</f>
        <v/>
      </c>
      <c r="I1016" s="26" t="str">
        <f>IF($A1016="","",COUNTIFS(tblIssues[Lot Number],$B1016))</f>
        <v/>
      </c>
      <c r="J1016" s="31" t="str">
        <f>IF($A1016="","",IF('Lot Balance'!$O1015&lt;=0,"Depleted",'Lot Balance'!$Q1015))</f>
        <v/>
      </c>
    </row>
    <row r="1017" spans="1:10" x14ac:dyDescent="0.35">
      <c r="A1017" s="18" t="str">
        <f>IF('Lot Balance'!$A1016="","",'Lot Balance'!$A1016)</f>
        <v/>
      </c>
      <c r="B1017" s="18" t="str">
        <f>IF($A1017="","",'Lot Balance'!$B1016)</f>
        <v/>
      </c>
      <c r="C1017" s="18" t="str">
        <f>IF($A1017="","",'Lot Balance'!$C1016)</f>
        <v/>
      </c>
      <c r="D1017" s="25" t="str">
        <f>IF($A1017="","",'Lot Balance'!$G1016)</f>
        <v/>
      </c>
      <c r="E1017" s="25" t="str">
        <f>IF($A1017="","",'Lot Balance'!$H1016)</f>
        <v/>
      </c>
      <c r="F1017" s="23" t="str">
        <f>IF($A1017="","",'Lot Balance'!$I1016)</f>
        <v/>
      </c>
      <c r="G1017" s="23" t="str">
        <f>IF($A1017="","",'Lot Balance'!$O1016)</f>
        <v/>
      </c>
      <c r="H1017" s="33" t="str">
        <f>IF($A1017="","",'Lot Balance'!$P1016)</f>
        <v/>
      </c>
      <c r="I1017" s="26" t="str">
        <f>IF($A1017="","",COUNTIFS(tblIssues[Lot Number],$B1017))</f>
        <v/>
      </c>
      <c r="J1017" s="31" t="str">
        <f>IF($A1017="","",IF('Lot Balance'!$O1016&lt;=0,"Depleted",'Lot Balance'!$Q1016))</f>
        <v/>
      </c>
    </row>
    <row r="1018" spans="1:10" x14ac:dyDescent="0.35">
      <c r="A1018" s="18" t="str">
        <f>IF('Lot Balance'!$A1017="","",'Lot Balance'!$A1017)</f>
        <v/>
      </c>
      <c r="B1018" s="18" t="str">
        <f>IF($A1018="","",'Lot Balance'!$B1017)</f>
        <v/>
      </c>
      <c r="C1018" s="18" t="str">
        <f>IF($A1018="","",'Lot Balance'!$C1017)</f>
        <v/>
      </c>
      <c r="D1018" s="25" t="str">
        <f>IF($A1018="","",'Lot Balance'!$G1017)</f>
        <v/>
      </c>
      <c r="E1018" s="25" t="str">
        <f>IF($A1018="","",'Lot Balance'!$H1017)</f>
        <v/>
      </c>
      <c r="F1018" s="23" t="str">
        <f>IF($A1018="","",'Lot Balance'!$I1017)</f>
        <v/>
      </c>
      <c r="G1018" s="23" t="str">
        <f>IF($A1018="","",'Lot Balance'!$O1017)</f>
        <v/>
      </c>
      <c r="H1018" s="33" t="str">
        <f>IF($A1018="","",'Lot Balance'!$P1017)</f>
        <v/>
      </c>
      <c r="I1018" s="26" t="str">
        <f>IF($A1018="","",COUNTIFS(tblIssues[Lot Number],$B1018))</f>
        <v/>
      </c>
      <c r="J1018" s="31" t="str">
        <f>IF($A1018="","",IF('Lot Balance'!$O1017&lt;=0,"Depleted",'Lot Balance'!$Q1017))</f>
        <v/>
      </c>
    </row>
    <row r="1019" spans="1:10" x14ac:dyDescent="0.35">
      <c r="A1019" s="18" t="str">
        <f>IF('Lot Balance'!$A1018="","",'Lot Balance'!$A1018)</f>
        <v/>
      </c>
      <c r="B1019" s="18" t="str">
        <f>IF($A1019="","",'Lot Balance'!$B1018)</f>
        <v/>
      </c>
      <c r="C1019" s="18" t="str">
        <f>IF($A1019="","",'Lot Balance'!$C1018)</f>
        <v/>
      </c>
      <c r="D1019" s="25" t="str">
        <f>IF($A1019="","",'Lot Balance'!$G1018)</f>
        <v/>
      </c>
      <c r="E1019" s="25" t="str">
        <f>IF($A1019="","",'Lot Balance'!$H1018)</f>
        <v/>
      </c>
      <c r="F1019" s="23" t="str">
        <f>IF($A1019="","",'Lot Balance'!$I1018)</f>
        <v/>
      </c>
      <c r="G1019" s="23" t="str">
        <f>IF($A1019="","",'Lot Balance'!$O1018)</f>
        <v/>
      </c>
      <c r="H1019" s="33" t="str">
        <f>IF($A1019="","",'Lot Balance'!$P1018)</f>
        <v/>
      </c>
      <c r="I1019" s="26" t="str">
        <f>IF($A1019="","",COUNTIFS(tblIssues[Lot Number],$B1019))</f>
        <v/>
      </c>
      <c r="J1019" s="31" t="str">
        <f>IF($A1019="","",IF('Lot Balance'!$O1018&lt;=0,"Depleted",'Lot Balance'!$Q1018))</f>
        <v/>
      </c>
    </row>
    <row r="1020" spans="1:10" x14ac:dyDescent="0.35">
      <c r="A1020" s="18" t="str">
        <f>IF('Lot Balance'!$A1019="","",'Lot Balance'!$A1019)</f>
        <v/>
      </c>
      <c r="B1020" s="18" t="str">
        <f>IF($A1020="","",'Lot Balance'!$B1019)</f>
        <v/>
      </c>
      <c r="C1020" s="18" t="str">
        <f>IF($A1020="","",'Lot Balance'!$C1019)</f>
        <v/>
      </c>
      <c r="D1020" s="25" t="str">
        <f>IF($A1020="","",'Lot Balance'!$G1019)</f>
        <v/>
      </c>
      <c r="E1020" s="25" t="str">
        <f>IF($A1020="","",'Lot Balance'!$H1019)</f>
        <v/>
      </c>
      <c r="F1020" s="23" t="str">
        <f>IF($A1020="","",'Lot Balance'!$I1019)</f>
        <v/>
      </c>
      <c r="G1020" s="23" t="str">
        <f>IF($A1020="","",'Lot Balance'!$O1019)</f>
        <v/>
      </c>
      <c r="H1020" s="33" t="str">
        <f>IF($A1020="","",'Lot Balance'!$P1019)</f>
        <v/>
      </c>
      <c r="I1020" s="26" t="str">
        <f>IF($A1020="","",COUNTIFS(tblIssues[Lot Number],$B1020))</f>
        <v/>
      </c>
      <c r="J1020" s="31" t="str">
        <f>IF($A1020="","",IF('Lot Balance'!$O1019&lt;=0,"Depleted",'Lot Balance'!$Q1019))</f>
        <v/>
      </c>
    </row>
    <row r="1021" spans="1:10" x14ac:dyDescent="0.35">
      <c r="A1021" s="18" t="str">
        <f>IF('Lot Balance'!$A1020="","",'Lot Balance'!$A1020)</f>
        <v/>
      </c>
      <c r="B1021" s="18" t="str">
        <f>IF($A1021="","",'Lot Balance'!$B1020)</f>
        <v/>
      </c>
      <c r="C1021" s="18" t="str">
        <f>IF($A1021="","",'Lot Balance'!$C1020)</f>
        <v/>
      </c>
      <c r="D1021" s="25" t="str">
        <f>IF($A1021="","",'Lot Balance'!$G1020)</f>
        <v/>
      </c>
      <c r="E1021" s="25" t="str">
        <f>IF($A1021="","",'Lot Balance'!$H1020)</f>
        <v/>
      </c>
      <c r="F1021" s="23" t="str">
        <f>IF($A1021="","",'Lot Balance'!$I1020)</f>
        <v/>
      </c>
      <c r="G1021" s="23" t="str">
        <f>IF($A1021="","",'Lot Balance'!$O1020)</f>
        <v/>
      </c>
      <c r="H1021" s="33" t="str">
        <f>IF($A1021="","",'Lot Balance'!$P1020)</f>
        <v/>
      </c>
      <c r="I1021" s="26" t="str">
        <f>IF($A1021="","",COUNTIFS(tblIssues[Lot Number],$B1021))</f>
        <v/>
      </c>
      <c r="J1021" s="31" t="str">
        <f>IF($A1021="","",IF('Lot Balance'!$O1020&lt;=0,"Depleted",'Lot Balance'!$Q1020))</f>
        <v/>
      </c>
    </row>
    <row r="1022" spans="1:10" x14ac:dyDescent="0.35">
      <c r="A1022" s="18" t="str">
        <f>IF('Lot Balance'!$A1021="","",'Lot Balance'!$A1021)</f>
        <v/>
      </c>
      <c r="B1022" s="18" t="str">
        <f>IF($A1022="","",'Lot Balance'!$B1021)</f>
        <v/>
      </c>
      <c r="C1022" s="18" t="str">
        <f>IF($A1022="","",'Lot Balance'!$C1021)</f>
        <v/>
      </c>
      <c r="D1022" s="25" t="str">
        <f>IF($A1022="","",'Lot Balance'!$G1021)</f>
        <v/>
      </c>
      <c r="E1022" s="25" t="str">
        <f>IF($A1022="","",'Lot Balance'!$H1021)</f>
        <v/>
      </c>
      <c r="F1022" s="23" t="str">
        <f>IF($A1022="","",'Lot Balance'!$I1021)</f>
        <v/>
      </c>
      <c r="G1022" s="23" t="str">
        <f>IF($A1022="","",'Lot Balance'!$O1021)</f>
        <v/>
      </c>
      <c r="H1022" s="33" t="str">
        <f>IF($A1022="","",'Lot Balance'!$P1021)</f>
        <v/>
      </c>
      <c r="I1022" s="26" t="str">
        <f>IF($A1022="","",COUNTIFS(tblIssues[Lot Number],$B1022))</f>
        <v/>
      </c>
      <c r="J1022" s="31" t="str">
        <f>IF($A1022="","",IF('Lot Balance'!$O1021&lt;=0,"Depleted",'Lot Balance'!$Q1021))</f>
        <v/>
      </c>
    </row>
    <row r="1023" spans="1:10" x14ac:dyDescent="0.35">
      <c r="A1023" s="18" t="str">
        <f>IF('Lot Balance'!$A1022="","",'Lot Balance'!$A1022)</f>
        <v/>
      </c>
      <c r="B1023" s="18" t="str">
        <f>IF($A1023="","",'Lot Balance'!$B1022)</f>
        <v/>
      </c>
      <c r="C1023" s="18" t="str">
        <f>IF($A1023="","",'Lot Balance'!$C1022)</f>
        <v/>
      </c>
      <c r="D1023" s="25" t="str">
        <f>IF($A1023="","",'Lot Balance'!$G1022)</f>
        <v/>
      </c>
      <c r="E1023" s="25" t="str">
        <f>IF($A1023="","",'Lot Balance'!$H1022)</f>
        <v/>
      </c>
      <c r="F1023" s="23" t="str">
        <f>IF($A1023="","",'Lot Balance'!$I1022)</f>
        <v/>
      </c>
      <c r="G1023" s="23" t="str">
        <f>IF($A1023="","",'Lot Balance'!$O1022)</f>
        <v/>
      </c>
      <c r="H1023" s="33" t="str">
        <f>IF($A1023="","",'Lot Balance'!$P1022)</f>
        <v/>
      </c>
      <c r="I1023" s="26" t="str">
        <f>IF($A1023="","",COUNTIFS(tblIssues[Lot Number],$B1023))</f>
        <v/>
      </c>
      <c r="J1023" s="31" t="str">
        <f>IF($A1023="","",IF('Lot Balance'!$O1022&lt;=0,"Depleted",'Lot Balance'!$Q1022))</f>
        <v/>
      </c>
    </row>
    <row r="1024" spans="1:10" x14ac:dyDescent="0.35">
      <c r="A1024" s="18" t="str">
        <f>IF('Lot Balance'!$A1023="","",'Lot Balance'!$A1023)</f>
        <v/>
      </c>
      <c r="B1024" s="18" t="str">
        <f>IF($A1024="","",'Lot Balance'!$B1023)</f>
        <v/>
      </c>
      <c r="C1024" s="18" t="str">
        <f>IF($A1024="","",'Lot Balance'!$C1023)</f>
        <v/>
      </c>
      <c r="D1024" s="25" t="str">
        <f>IF($A1024="","",'Lot Balance'!$G1023)</f>
        <v/>
      </c>
      <c r="E1024" s="25" t="str">
        <f>IF($A1024="","",'Lot Balance'!$H1023)</f>
        <v/>
      </c>
      <c r="F1024" s="23" t="str">
        <f>IF($A1024="","",'Lot Balance'!$I1023)</f>
        <v/>
      </c>
      <c r="G1024" s="23" t="str">
        <f>IF($A1024="","",'Lot Balance'!$O1023)</f>
        <v/>
      </c>
      <c r="H1024" s="33" t="str">
        <f>IF($A1024="","",'Lot Balance'!$P1023)</f>
        <v/>
      </c>
      <c r="I1024" s="26" t="str">
        <f>IF($A1024="","",COUNTIFS(tblIssues[Lot Number],$B1024))</f>
        <v/>
      </c>
      <c r="J1024" s="31" t="str">
        <f>IF($A1024="","",IF('Lot Balance'!$O1023&lt;=0,"Depleted",'Lot Balance'!$Q1023))</f>
        <v/>
      </c>
    </row>
    <row r="1025" spans="1:10" x14ac:dyDescent="0.35">
      <c r="A1025" s="18" t="str">
        <f>IF('Lot Balance'!$A1024="","",'Lot Balance'!$A1024)</f>
        <v/>
      </c>
      <c r="B1025" s="18" t="str">
        <f>IF($A1025="","",'Lot Balance'!$B1024)</f>
        <v/>
      </c>
      <c r="C1025" s="18" t="str">
        <f>IF($A1025="","",'Lot Balance'!$C1024)</f>
        <v/>
      </c>
      <c r="D1025" s="25" t="str">
        <f>IF($A1025="","",'Lot Balance'!$G1024)</f>
        <v/>
      </c>
      <c r="E1025" s="25" t="str">
        <f>IF($A1025="","",'Lot Balance'!$H1024)</f>
        <v/>
      </c>
      <c r="F1025" s="23" t="str">
        <f>IF($A1025="","",'Lot Balance'!$I1024)</f>
        <v/>
      </c>
      <c r="G1025" s="23" t="str">
        <f>IF($A1025="","",'Lot Balance'!$O1024)</f>
        <v/>
      </c>
      <c r="H1025" s="33" t="str">
        <f>IF($A1025="","",'Lot Balance'!$P1024)</f>
        <v/>
      </c>
      <c r="I1025" s="26" t="str">
        <f>IF($A1025="","",COUNTIFS(tblIssues[Lot Number],$B1025))</f>
        <v/>
      </c>
      <c r="J1025" s="31" t="str">
        <f>IF($A1025="","",IF('Lot Balance'!$O1024&lt;=0,"Depleted",'Lot Balance'!$Q1024))</f>
        <v/>
      </c>
    </row>
    <row r="1026" spans="1:10" x14ac:dyDescent="0.35">
      <c r="A1026" s="18" t="str">
        <f>IF('Lot Balance'!$A1025="","",'Lot Balance'!$A1025)</f>
        <v/>
      </c>
      <c r="B1026" s="18" t="str">
        <f>IF($A1026="","",'Lot Balance'!$B1025)</f>
        <v/>
      </c>
      <c r="C1026" s="18" t="str">
        <f>IF($A1026="","",'Lot Balance'!$C1025)</f>
        <v/>
      </c>
      <c r="D1026" s="25" t="str">
        <f>IF($A1026="","",'Lot Balance'!$G1025)</f>
        <v/>
      </c>
      <c r="E1026" s="25" t="str">
        <f>IF($A1026="","",'Lot Balance'!$H1025)</f>
        <v/>
      </c>
      <c r="F1026" s="23" t="str">
        <f>IF($A1026="","",'Lot Balance'!$I1025)</f>
        <v/>
      </c>
      <c r="G1026" s="23" t="str">
        <f>IF($A1026="","",'Lot Balance'!$O1025)</f>
        <v/>
      </c>
      <c r="H1026" s="33" t="str">
        <f>IF($A1026="","",'Lot Balance'!$P1025)</f>
        <v/>
      </c>
      <c r="I1026" s="26" t="str">
        <f>IF($A1026="","",COUNTIFS(tblIssues[Lot Number],$B1026))</f>
        <v/>
      </c>
      <c r="J1026" s="31" t="str">
        <f>IF($A1026="","",IF('Lot Balance'!$O1025&lt;=0,"Depleted",'Lot Balance'!$Q1025))</f>
        <v/>
      </c>
    </row>
    <row r="1027" spans="1:10" x14ac:dyDescent="0.35">
      <c r="A1027" s="18" t="str">
        <f>IF('Lot Balance'!$A1026="","",'Lot Balance'!$A1026)</f>
        <v/>
      </c>
      <c r="B1027" s="18" t="str">
        <f>IF($A1027="","",'Lot Balance'!$B1026)</f>
        <v/>
      </c>
      <c r="C1027" s="18" t="str">
        <f>IF($A1027="","",'Lot Balance'!$C1026)</f>
        <v/>
      </c>
      <c r="D1027" s="25" t="str">
        <f>IF($A1027="","",'Lot Balance'!$G1026)</f>
        <v/>
      </c>
      <c r="E1027" s="25" t="str">
        <f>IF($A1027="","",'Lot Balance'!$H1026)</f>
        <v/>
      </c>
      <c r="F1027" s="23" t="str">
        <f>IF($A1027="","",'Lot Balance'!$I1026)</f>
        <v/>
      </c>
      <c r="G1027" s="23" t="str">
        <f>IF($A1027="","",'Lot Balance'!$O1026)</f>
        <v/>
      </c>
      <c r="H1027" s="33" t="str">
        <f>IF($A1027="","",'Lot Balance'!$P1026)</f>
        <v/>
      </c>
      <c r="I1027" s="26" t="str">
        <f>IF($A1027="","",COUNTIFS(tblIssues[Lot Number],$B1027))</f>
        <v/>
      </c>
      <c r="J1027" s="31" t="str">
        <f>IF($A1027="","",IF('Lot Balance'!$O1026&lt;=0,"Depleted",'Lot Balance'!$Q1026))</f>
        <v/>
      </c>
    </row>
    <row r="1028" spans="1:10" x14ac:dyDescent="0.35">
      <c r="A1028" s="18" t="str">
        <f>IF('Lot Balance'!$A1027="","",'Lot Balance'!$A1027)</f>
        <v/>
      </c>
      <c r="B1028" s="18" t="str">
        <f>IF($A1028="","",'Lot Balance'!$B1027)</f>
        <v/>
      </c>
      <c r="C1028" s="18" t="str">
        <f>IF($A1028="","",'Lot Balance'!$C1027)</f>
        <v/>
      </c>
      <c r="D1028" s="25" t="str">
        <f>IF($A1028="","",'Lot Balance'!$G1027)</f>
        <v/>
      </c>
      <c r="E1028" s="25" t="str">
        <f>IF($A1028="","",'Lot Balance'!$H1027)</f>
        <v/>
      </c>
      <c r="F1028" s="23" t="str">
        <f>IF($A1028="","",'Lot Balance'!$I1027)</f>
        <v/>
      </c>
      <c r="G1028" s="23" t="str">
        <f>IF($A1028="","",'Lot Balance'!$O1027)</f>
        <v/>
      </c>
      <c r="H1028" s="33" t="str">
        <f>IF($A1028="","",'Lot Balance'!$P1027)</f>
        <v/>
      </c>
      <c r="I1028" s="26" t="str">
        <f>IF($A1028="","",COUNTIFS(tblIssues[Lot Number],$B1028))</f>
        <v/>
      </c>
      <c r="J1028" s="31" t="str">
        <f>IF($A1028="","",IF('Lot Balance'!$O1027&lt;=0,"Depleted",'Lot Balance'!$Q1027))</f>
        <v/>
      </c>
    </row>
    <row r="1029" spans="1:10" x14ac:dyDescent="0.35">
      <c r="A1029" s="18" t="str">
        <f>IF('Lot Balance'!$A1028="","",'Lot Balance'!$A1028)</f>
        <v/>
      </c>
      <c r="B1029" s="18" t="str">
        <f>IF($A1029="","",'Lot Balance'!$B1028)</f>
        <v/>
      </c>
      <c r="C1029" s="18" t="str">
        <f>IF($A1029="","",'Lot Balance'!$C1028)</f>
        <v/>
      </c>
      <c r="D1029" s="25" t="str">
        <f>IF($A1029="","",'Lot Balance'!$G1028)</f>
        <v/>
      </c>
      <c r="E1029" s="25" t="str">
        <f>IF($A1029="","",'Lot Balance'!$H1028)</f>
        <v/>
      </c>
      <c r="F1029" s="23" t="str">
        <f>IF($A1029="","",'Lot Balance'!$I1028)</f>
        <v/>
      </c>
      <c r="G1029" s="23" t="str">
        <f>IF($A1029="","",'Lot Balance'!$O1028)</f>
        <v/>
      </c>
      <c r="H1029" s="33" t="str">
        <f>IF($A1029="","",'Lot Balance'!$P1028)</f>
        <v/>
      </c>
      <c r="I1029" s="26" t="str">
        <f>IF($A1029="","",COUNTIFS(tblIssues[Lot Number],$B1029))</f>
        <v/>
      </c>
      <c r="J1029" s="31" t="str">
        <f>IF($A1029="","",IF('Lot Balance'!$O1028&lt;=0,"Depleted",'Lot Balance'!$Q1028))</f>
        <v/>
      </c>
    </row>
    <row r="1030" spans="1:10" x14ac:dyDescent="0.35">
      <c r="A1030" s="18" t="str">
        <f>IF('Lot Balance'!$A1029="","",'Lot Balance'!$A1029)</f>
        <v/>
      </c>
      <c r="B1030" s="18" t="str">
        <f>IF($A1030="","",'Lot Balance'!$B1029)</f>
        <v/>
      </c>
      <c r="C1030" s="18" t="str">
        <f>IF($A1030="","",'Lot Balance'!$C1029)</f>
        <v/>
      </c>
      <c r="D1030" s="25" t="str">
        <f>IF($A1030="","",'Lot Balance'!$G1029)</f>
        <v/>
      </c>
      <c r="E1030" s="25" t="str">
        <f>IF($A1030="","",'Lot Balance'!$H1029)</f>
        <v/>
      </c>
      <c r="F1030" s="23" t="str">
        <f>IF($A1030="","",'Lot Balance'!$I1029)</f>
        <v/>
      </c>
      <c r="G1030" s="23" t="str">
        <f>IF($A1030="","",'Lot Balance'!$O1029)</f>
        <v/>
      </c>
      <c r="H1030" s="33" t="str">
        <f>IF($A1030="","",'Lot Balance'!$P1029)</f>
        <v/>
      </c>
      <c r="I1030" s="26" t="str">
        <f>IF($A1030="","",COUNTIFS(tblIssues[Lot Number],$B1030))</f>
        <v/>
      </c>
      <c r="J1030" s="31" t="str">
        <f>IF($A1030="","",IF('Lot Balance'!$O1029&lt;=0,"Depleted",'Lot Balance'!$Q1029))</f>
        <v/>
      </c>
    </row>
    <row r="1031" spans="1:10" x14ac:dyDescent="0.35">
      <c r="A1031" s="18" t="str">
        <f>IF('Lot Balance'!$A1030="","",'Lot Balance'!$A1030)</f>
        <v/>
      </c>
      <c r="B1031" s="18" t="str">
        <f>IF($A1031="","",'Lot Balance'!$B1030)</f>
        <v/>
      </c>
      <c r="C1031" s="18" t="str">
        <f>IF($A1031="","",'Lot Balance'!$C1030)</f>
        <v/>
      </c>
      <c r="D1031" s="25" t="str">
        <f>IF($A1031="","",'Lot Balance'!$G1030)</f>
        <v/>
      </c>
      <c r="E1031" s="25" t="str">
        <f>IF($A1031="","",'Lot Balance'!$H1030)</f>
        <v/>
      </c>
      <c r="F1031" s="23" t="str">
        <f>IF($A1031="","",'Lot Balance'!$I1030)</f>
        <v/>
      </c>
      <c r="G1031" s="23" t="str">
        <f>IF($A1031="","",'Lot Balance'!$O1030)</f>
        <v/>
      </c>
      <c r="H1031" s="33" t="str">
        <f>IF($A1031="","",'Lot Balance'!$P1030)</f>
        <v/>
      </c>
      <c r="I1031" s="26" t="str">
        <f>IF($A1031="","",COUNTIFS(tblIssues[Lot Number],$B1031))</f>
        <v/>
      </c>
      <c r="J1031" s="31" t="str">
        <f>IF($A1031="","",IF('Lot Balance'!$O1030&lt;=0,"Depleted",'Lot Balance'!$Q1030))</f>
        <v/>
      </c>
    </row>
    <row r="1032" spans="1:10" x14ac:dyDescent="0.35">
      <c r="A1032" s="18" t="str">
        <f>IF('Lot Balance'!$A1031="","",'Lot Balance'!$A1031)</f>
        <v/>
      </c>
      <c r="B1032" s="18" t="str">
        <f>IF($A1032="","",'Lot Balance'!$B1031)</f>
        <v/>
      </c>
      <c r="C1032" s="18" t="str">
        <f>IF($A1032="","",'Lot Balance'!$C1031)</f>
        <v/>
      </c>
      <c r="D1032" s="25" t="str">
        <f>IF($A1032="","",'Lot Balance'!$G1031)</f>
        <v/>
      </c>
      <c r="E1032" s="25" t="str">
        <f>IF($A1032="","",'Lot Balance'!$H1031)</f>
        <v/>
      </c>
      <c r="F1032" s="23" t="str">
        <f>IF($A1032="","",'Lot Balance'!$I1031)</f>
        <v/>
      </c>
      <c r="G1032" s="23" t="str">
        <f>IF($A1032="","",'Lot Balance'!$O1031)</f>
        <v/>
      </c>
      <c r="H1032" s="33" t="str">
        <f>IF($A1032="","",'Lot Balance'!$P1031)</f>
        <v/>
      </c>
      <c r="I1032" s="26" t="str">
        <f>IF($A1032="","",COUNTIFS(tblIssues[Lot Number],$B1032))</f>
        <v/>
      </c>
      <c r="J1032" s="31" t="str">
        <f>IF($A1032="","",IF('Lot Balance'!$O1031&lt;=0,"Depleted",'Lot Balance'!$Q1031))</f>
        <v/>
      </c>
    </row>
    <row r="1033" spans="1:10" x14ac:dyDescent="0.35">
      <c r="A1033" s="18" t="str">
        <f>IF('Lot Balance'!$A1032="","",'Lot Balance'!$A1032)</f>
        <v/>
      </c>
      <c r="B1033" s="18" t="str">
        <f>IF($A1033="","",'Lot Balance'!$B1032)</f>
        <v/>
      </c>
      <c r="C1033" s="18" t="str">
        <f>IF($A1033="","",'Lot Balance'!$C1032)</f>
        <v/>
      </c>
      <c r="D1033" s="25" t="str">
        <f>IF($A1033="","",'Lot Balance'!$G1032)</f>
        <v/>
      </c>
      <c r="E1033" s="25" t="str">
        <f>IF($A1033="","",'Lot Balance'!$H1032)</f>
        <v/>
      </c>
      <c r="F1033" s="23" t="str">
        <f>IF($A1033="","",'Lot Balance'!$I1032)</f>
        <v/>
      </c>
      <c r="G1033" s="23" t="str">
        <f>IF($A1033="","",'Lot Balance'!$O1032)</f>
        <v/>
      </c>
      <c r="H1033" s="33" t="str">
        <f>IF($A1033="","",'Lot Balance'!$P1032)</f>
        <v/>
      </c>
      <c r="I1033" s="26" t="str">
        <f>IF($A1033="","",COUNTIFS(tblIssues[Lot Number],$B1033))</f>
        <v/>
      </c>
      <c r="J1033" s="31" t="str">
        <f>IF($A1033="","",IF('Lot Balance'!$O1032&lt;=0,"Depleted",'Lot Balance'!$Q1032))</f>
        <v/>
      </c>
    </row>
    <row r="1034" spans="1:10" x14ac:dyDescent="0.35">
      <c r="A1034" s="18" t="str">
        <f>IF('Lot Balance'!$A1033="","",'Lot Balance'!$A1033)</f>
        <v/>
      </c>
      <c r="B1034" s="18" t="str">
        <f>IF($A1034="","",'Lot Balance'!$B1033)</f>
        <v/>
      </c>
      <c r="C1034" s="18" t="str">
        <f>IF($A1034="","",'Lot Balance'!$C1033)</f>
        <v/>
      </c>
      <c r="D1034" s="25" t="str">
        <f>IF($A1034="","",'Lot Balance'!$G1033)</f>
        <v/>
      </c>
      <c r="E1034" s="25" t="str">
        <f>IF($A1034="","",'Lot Balance'!$H1033)</f>
        <v/>
      </c>
      <c r="F1034" s="23" t="str">
        <f>IF($A1034="","",'Lot Balance'!$I1033)</f>
        <v/>
      </c>
      <c r="G1034" s="23" t="str">
        <f>IF($A1034="","",'Lot Balance'!$O1033)</f>
        <v/>
      </c>
      <c r="H1034" s="33" t="str">
        <f>IF($A1034="","",'Lot Balance'!$P1033)</f>
        <v/>
      </c>
      <c r="I1034" s="26" t="str">
        <f>IF($A1034="","",COUNTIFS(tblIssues[Lot Number],$B1034))</f>
        <v/>
      </c>
      <c r="J1034" s="31" t="str">
        <f>IF($A1034="","",IF('Lot Balance'!$O1033&lt;=0,"Depleted",'Lot Balance'!$Q1033))</f>
        <v/>
      </c>
    </row>
    <row r="1035" spans="1:10" x14ac:dyDescent="0.35">
      <c r="A1035" s="18" t="str">
        <f>IF('Lot Balance'!$A1034="","",'Lot Balance'!$A1034)</f>
        <v/>
      </c>
      <c r="B1035" s="18" t="str">
        <f>IF($A1035="","",'Lot Balance'!$B1034)</f>
        <v/>
      </c>
      <c r="C1035" s="18" t="str">
        <f>IF($A1035="","",'Lot Balance'!$C1034)</f>
        <v/>
      </c>
      <c r="D1035" s="25" t="str">
        <f>IF($A1035="","",'Lot Balance'!$G1034)</f>
        <v/>
      </c>
      <c r="E1035" s="25" t="str">
        <f>IF($A1035="","",'Lot Balance'!$H1034)</f>
        <v/>
      </c>
      <c r="F1035" s="23" t="str">
        <f>IF($A1035="","",'Lot Balance'!$I1034)</f>
        <v/>
      </c>
      <c r="G1035" s="23" t="str">
        <f>IF($A1035="","",'Lot Balance'!$O1034)</f>
        <v/>
      </c>
      <c r="H1035" s="33" t="str">
        <f>IF($A1035="","",'Lot Balance'!$P1034)</f>
        <v/>
      </c>
      <c r="I1035" s="26" t="str">
        <f>IF($A1035="","",COUNTIFS(tblIssues[Lot Number],$B1035))</f>
        <v/>
      </c>
      <c r="J1035" s="31" t="str">
        <f>IF($A1035="","",IF('Lot Balance'!$O1034&lt;=0,"Depleted",'Lot Balance'!$Q1034))</f>
        <v/>
      </c>
    </row>
    <row r="1036" spans="1:10" x14ac:dyDescent="0.35">
      <c r="A1036" s="18" t="str">
        <f>IF('Lot Balance'!$A1035="","",'Lot Balance'!$A1035)</f>
        <v/>
      </c>
      <c r="B1036" s="18" t="str">
        <f>IF($A1036="","",'Lot Balance'!$B1035)</f>
        <v/>
      </c>
      <c r="C1036" s="18" t="str">
        <f>IF($A1036="","",'Lot Balance'!$C1035)</f>
        <v/>
      </c>
      <c r="D1036" s="25" t="str">
        <f>IF($A1036="","",'Lot Balance'!$G1035)</f>
        <v/>
      </c>
      <c r="E1036" s="25" t="str">
        <f>IF($A1036="","",'Lot Balance'!$H1035)</f>
        <v/>
      </c>
      <c r="F1036" s="23" t="str">
        <f>IF($A1036="","",'Lot Balance'!$I1035)</f>
        <v/>
      </c>
      <c r="G1036" s="23" t="str">
        <f>IF($A1036="","",'Lot Balance'!$O1035)</f>
        <v/>
      </c>
      <c r="H1036" s="33" t="str">
        <f>IF($A1036="","",'Lot Balance'!$P1035)</f>
        <v/>
      </c>
      <c r="I1036" s="26" t="str">
        <f>IF($A1036="","",COUNTIFS(tblIssues[Lot Number],$B1036))</f>
        <v/>
      </c>
      <c r="J1036" s="31" t="str">
        <f>IF($A1036="","",IF('Lot Balance'!$O1035&lt;=0,"Depleted",'Lot Balance'!$Q1035))</f>
        <v/>
      </c>
    </row>
    <row r="1037" spans="1:10" x14ac:dyDescent="0.35">
      <c r="A1037" s="18" t="str">
        <f>IF('Lot Balance'!$A1036="","",'Lot Balance'!$A1036)</f>
        <v/>
      </c>
      <c r="B1037" s="18" t="str">
        <f>IF($A1037="","",'Lot Balance'!$B1036)</f>
        <v/>
      </c>
      <c r="C1037" s="18" t="str">
        <f>IF($A1037="","",'Lot Balance'!$C1036)</f>
        <v/>
      </c>
      <c r="D1037" s="25" t="str">
        <f>IF($A1037="","",'Lot Balance'!$G1036)</f>
        <v/>
      </c>
      <c r="E1037" s="25" t="str">
        <f>IF($A1037="","",'Lot Balance'!$H1036)</f>
        <v/>
      </c>
      <c r="F1037" s="23" t="str">
        <f>IF($A1037="","",'Lot Balance'!$I1036)</f>
        <v/>
      </c>
      <c r="G1037" s="23" t="str">
        <f>IF($A1037="","",'Lot Balance'!$O1036)</f>
        <v/>
      </c>
      <c r="H1037" s="33" t="str">
        <f>IF($A1037="","",'Lot Balance'!$P1036)</f>
        <v/>
      </c>
      <c r="I1037" s="26" t="str">
        <f>IF($A1037="","",COUNTIFS(tblIssues[Lot Number],$B1037))</f>
        <v/>
      </c>
      <c r="J1037" s="31" t="str">
        <f>IF($A1037="","",IF('Lot Balance'!$O1036&lt;=0,"Depleted",'Lot Balance'!$Q1036))</f>
        <v/>
      </c>
    </row>
    <row r="1038" spans="1:10" x14ac:dyDescent="0.35">
      <c r="A1038" s="18" t="str">
        <f>IF('Lot Balance'!$A1037="","",'Lot Balance'!$A1037)</f>
        <v/>
      </c>
      <c r="B1038" s="18" t="str">
        <f>IF($A1038="","",'Lot Balance'!$B1037)</f>
        <v/>
      </c>
      <c r="C1038" s="18" t="str">
        <f>IF($A1038="","",'Lot Balance'!$C1037)</f>
        <v/>
      </c>
      <c r="D1038" s="25" t="str">
        <f>IF($A1038="","",'Lot Balance'!$G1037)</f>
        <v/>
      </c>
      <c r="E1038" s="25" t="str">
        <f>IF($A1038="","",'Lot Balance'!$H1037)</f>
        <v/>
      </c>
      <c r="F1038" s="23" t="str">
        <f>IF($A1038="","",'Lot Balance'!$I1037)</f>
        <v/>
      </c>
      <c r="G1038" s="23" t="str">
        <f>IF($A1038="","",'Lot Balance'!$O1037)</f>
        <v/>
      </c>
      <c r="H1038" s="33" t="str">
        <f>IF($A1038="","",'Lot Balance'!$P1037)</f>
        <v/>
      </c>
      <c r="I1038" s="26" t="str">
        <f>IF($A1038="","",COUNTIFS(tblIssues[Lot Number],$B1038))</f>
        <v/>
      </c>
      <c r="J1038" s="31" t="str">
        <f>IF($A1038="","",IF('Lot Balance'!$O1037&lt;=0,"Depleted",'Lot Balance'!$Q1037))</f>
        <v/>
      </c>
    </row>
    <row r="1039" spans="1:10" x14ac:dyDescent="0.35">
      <c r="A1039" s="18" t="str">
        <f>IF('Lot Balance'!$A1038="","",'Lot Balance'!$A1038)</f>
        <v/>
      </c>
      <c r="B1039" s="18" t="str">
        <f>IF($A1039="","",'Lot Balance'!$B1038)</f>
        <v/>
      </c>
      <c r="C1039" s="18" t="str">
        <f>IF($A1039="","",'Lot Balance'!$C1038)</f>
        <v/>
      </c>
      <c r="D1039" s="25" t="str">
        <f>IF($A1039="","",'Lot Balance'!$G1038)</f>
        <v/>
      </c>
      <c r="E1039" s="25" t="str">
        <f>IF($A1039="","",'Lot Balance'!$H1038)</f>
        <v/>
      </c>
      <c r="F1039" s="23" t="str">
        <f>IF($A1039="","",'Lot Balance'!$I1038)</f>
        <v/>
      </c>
      <c r="G1039" s="23" t="str">
        <f>IF($A1039="","",'Lot Balance'!$O1038)</f>
        <v/>
      </c>
      <c r="H1039" s="33" t="str">
        <f>IF($A1039="","",'Lot Balance'!$P1038)</f>
        <v/>
      </c>
      <c r="I1039" s="26" t="str">
        <f>IF($A1039="","",COUNTIFS(tblIssues[Lot Number],$B1039))</f>
        <v/>
      </c>
      <c r="J1039" s="31" t="str">
        <f>IF($A1039="","",IF('Lot Balance'!$O1038&lt;=0,"Depleted",'Lot Balance'!$Q1038))</f>
        <v/>
      </c>
    </row>
    <row r="1040" spans="1:10" x14ac:dyDescent="0.35">
      <c r="A1040" s="18" t="str">
        <f>IF('Lot Balance'!$A1039="","",'Lot Balance'!$A1039)</f>
        <v/>
      </c>
      <c r="B1040" s="18" t="str">
        <f>IF($A1040="","",'Lot Balance'!$B1039)</f>
        <v/>
      </c>
      <c r="C1040" s="18" t="str">
        <f>IF($A1040="","",'Lot Balance'!$C1039)</f>
        <v/>
      </c>
      <c r="D1040" s="25" t="str">
        <f>IF($A1040="","",'Lot Balance'!$G1039)</f>
        <v/>
      </c>
      <c r="E1040" s="25" t="str">
        <f>IF($A1040="","",'Lot Balance'!$H1039)</f>
        <v/>
      </c>
      <c r="F1040" s="23" t="str">
        <f>IF($A1040="","",'Lot Balance'!$I1039)</f>
        <v/>
      </c>
      <c r="G1040" s="23" t="str">
        <f>IF($A1040="","",'Lot Balance'!$O1039)</f>
        <v/>
      </c>
      <c r="H1040" s="33" t="str">
        <f>IF($A1040="","",'Lot Balance'!$P1039)</f>
        <v/>
      </c>
      <c r="I1040" s="26" t="str">
        <f>IF($A1040="","",COUNTIFS(tblIssues[Lot Number],$B1040))</f>
        <v/>
      </c>
      <c r="J1040" s="31" t="str">
        <f>IF($A1040="","",IF('Lot Balance'!$O1039&lt;=0,"Depleted",'Lot Balance'!$Q1039))</f>
        <v/>
      </c>
    </row>
    <row r="1041" spans="1:10" x14ac:dyDescent="0.35">
      <c r="A1041" s="18" t="str">
        <f>IF('Lot Balance'!$A1040="","",'Lot Balance'!$A1040)</f>
        <v/>
      </c>
      <c r="B1041" s="18" t="str">
        <f>IF($A1041="","",'Lot Balance'!$B1040)</f>
        <v/>
      </c>
      <c r="C1041" s="18" t="str">
        <f>IF($A1041="","",'Lot Balance'!$C1040)</f>
        <v/>
      </c>
      <c r="D1041" s="25" t="str">
        <f>IF($A1041="","",'Lot Balance'!$G1040)</f>
        <v/>
      </c>
      <c r="E1041" s="25" t="str">
        <f>IF($A1041="","",'Lot Balance'!$H1040)</f>
        <v/>
      </c>
      <c r="F1041" s="23" t="str">
        <f>IF($A1041="","",'Lot Balance'!$I1040)</f>
        <v/>
      </c>
      <c r="G1041" s="23" t="str">
        <f>IF($A1041="","",'Lot Balance'!$O1040)</f>
        <v/>
      </c>
      <c r="H1041" s="33" t="str">
        <f>IF($A1041="","",'Lot Balance'!$P1040)</f>
        <v/>
      </c>
      <c r="I1041" s="26" t="str">
        <f>IF($A1041="","",COUNTIFS(tblIssues[Lot Number],$B1041))</f>
        <v/>
      </c>
      <c r="J1041" s="31" t="str">
        <f>IF($A1041="","",IF('Lot Balance'!$O1040&lt;=0,"Depleted",'Lot Balance'!$Q1040))</f>
        <v/>
      </c>
    </row>
    <row r="1042" spans="1:10" x14ac:dyDescent="0.35">
      <c r="A1042" s="18" t="str">
        <f>IF('Lot Balance'!$A1041="","",'Lot Balance'!$A1041)</f>
        <v/>
      </c>
      <c r="B1042" s="18" t="str">
        <f>IF($A1042="","",'Lot Balance'!$B1041)</f>
        <v/>
      </c>
      <c r="C1042" s="18" t="str">
        <f>IF($A1042="","",'Lot Balance'!$C1041)</f>
        <v/>
      </c>
      <c r="D1042" s="25" t="str">
        <f>IF($A1042="","",'Lot Balance'!$G1041)</f>
        <v/>
      </c>
      <c r="E1042" s="25" t="str">
        <f>IF($A1042="","",'Lot Balance'!$H1041)</f>
        <v/>
      </c>
      <c r="F1042" s="23" t="str">
        <f>IF($A1042="","",'Lot Balance'!$I1041)</f>
        <v/>
      </c>
      <c r="G1042" s="23" t="str">
        <f>IF($A1042="","",'Lot Balance'!$O1041)</f>
        <v/>
      </c>
      <c r="H1042" s="33" t="str">
        <f>IF($A1042="","",'Lot Balance'!$P1041)</f>
        <v/>
      </c>
      <c r="I1042" s="26" t="str">
        <f>IF($A1042="","",COUNTIFS(tblIssues[Lot Number],$B1042))</f>
        <v/>
      </c>
      <c r="J1042" s="31" t="str">
        <f>IF($A1042="","",IF('Lot Balance'!$O1041&lt;=0,"Depleted",'Lot Balance'!$Q1041))</f>
        <v/>
      </c>
    </row>
    <row r="1043" spans="1:10" x14ac:dyDescent="0.35">
      <c r="A1043" s="18" t="str">
        <f>IF('Lot Balance'!$A1042="","",'Lot Balance'!$A1042)</f>
        <v/>
      </c>
      <c r="B1043" s="18" t="str">
        <f>IF($A1043="","",'Lot Balance'!$B1042)</f>
        <v/>
      </c>
      <c r="C1043" s="18" t="str">
        <f>IF($A1043="","",'Lot Balance'!$C1042)</f>
        <v/>
      </c>
      <c r="D1043" s="25" t="str">
        <f>IF($A1043="","",'Lot Balance'!$G1042)</f>
        <v/>
      </c>
      <c r="E1043" s="25" t="str">
        <f>IF($A1043="","",'Lot Balance'!$H1042)</f>
        <v/>
      </c>
      <c r="F1043" s="23" t="str">
        <f>IF($A1043="","",'Lot Balance'!$I1042)</f>
        <v/>
      </c>
      <c r="G1043" s="23" t="str">
        <f>IF($A1043="","",'Lot Balance'!$O1042)</f>
        <v/>
      </c>
      <c r="H1043" s="33" t="str">
        <f>IF($A1043="","",'Lot Balance'!$P1042)</f>
        <v/>
      </c>
      <c r="I1043" s="26" t="str">
        <f>IF($A1043="","",COUNTIFS(tblIssues[Lot Number],$B1043))</f>
        <v/>
      </c>
      <c r="J1043" s="31" t="str">
        <f>IF($A1043="","",IF('Lot Balance'!$O1042&lt;=0,"Depleted",'Lot Balance'!$Q1042))</f>
        <v/>
      </c>
    </row>
    <row r="1044" spans="1:10" x14ac:dyDescent="0.35">
      <c r="A1044" s="18" t="str">
        <f>IF('Lot Balance'!$A1043="","",'Lot Balance'!$A1043)</f>
        <v/>
      </c>
      <c r="B1044" s="18" t="str">
        <f>IF($A1044="","",'Lot Balance'!$B1043)</f>
        <v/>
      </c>
      <c r="C1044" s="18" t="str">
        <f>IF($A1044="","",'Lot Balance'!$C1043)</f>
        <v/>
      </c>
      <c r="D1044" s="25" t="str">
        <f>IF($A1044="","",'Lot Balance'!$G1043)</f>
        <v/>
      </c>
      <c r="E1044" s="25" t="str">
        <f>IF($A1044="","",'Lot Balance'!$H1043)</f>
        <v/>
      </c>
      <c r="F1044" s="23" t="str">
        <f>IF($A1044="","",'Lot Balance'!$I1043)</f>
        <v/>
      </c>
      <c r="G1044" s="23" t="str">
        <f>IF($A1044="","",'Lot Balance'!$O1043)</f>
        <v/>
      </c>
      <c r="H1044" s="33" t="str">
        <f>IF($A1044="","",'Lot Balance'!$P1043)</f>
        <v/>
      </c>
      <c r="I1044" s="26" t="str">
        <f>IF($A1044="","",COUNTIFS(tblIssues[Lot Number],$B1044))</f>
        <v/>
      </c>
      <c r="J1044" s="31" t="str">
        <f>IF($A1044="","",IF('Lot Balance'!$O1043&lt;=0,"Depleted",'Lot Balance'!$Q1043))</f>
        <v/>
      </c>
    </row>
    <row r="1045" spans="1:10" x14ac:dyDescent="0.35">
      <c r="A1045" s="18" t="str">
        <f>IF('Lot Balance'!$A1044="","",'Lot Balance'!$A1044)</f>
        <v/>
      </c>
      <c r="B1045" s="18" t="str">
        <f>IF($A1045="","",'Lot Balance'!$B1044)</f>
        <v/>
      </c>
      <c r="C1045" s="18" t="str">
        <f>IF($A1045="","",'Lot Balance'!$C1044)</f>
        <v/>
      </c>
      <c r="D1045" s="25" t="str">
        <f>IF($A1045="","",'Lot Balance'!$G1044)</f>
        <v/>
      </c>
      <c r="E1045" s="25" t="str">
        <f>IF($A1045="","",'Lot Balance'!$H1044)</f>
        <v/>
      </c>
      <c r="F1045" s="23" t="str">
        <f>IF($A1045="","",'Lot Balance'!$I1044)</f>
        <v/>
      </c>
      <c r="G1045" s="23" t="str">
        <f>IF($A1045="","",'Lot Balance'!$O1044)</f>
        <v/>
      </c>
      <c r="H1045" s="33" t="str">
        <f>IF($A1045="","",'Lot Balance'!$P1044)</f>
        <v/>
      </c>
      <c r="I1045" s="26" t="str">
        <f>IF($A1045="","",COUNTIFS(tblIssues[Lot Number],$B1045))</f>
        <v/>
      </c>
      <c r="J1045" s="31" t="str">
        <f>IF($A1045="","",IF('Lot Balance'!$O1044&lt;=0,"Depleted",'Lot Balance'!$Q1044))</f>
        <v/>
      </c>
    </row>
    <row r="1046" spans="1:10" x14ac:dyDescent="0.35">
      <c r="A1046" s="18" t="str">
        <f>IF('Lot Balance'!$A1045="","",'Lot Balance'!$A1045)</f>
        <v/>
      </c>
      <c r="B1046" s="18" t="str">
        <f>IF($A1046="","",'Lot Balance'!$B1045)</f>
        <v/>
      </c>
      <c r="C1046" s="18" t="str">
        <f>IF($A1046="","",'Lot Balance'!$C1045)</f>
        <v/>
      </c>
      <c r="D1046" s="25" t="str">
        <f>IF($A1046="","",'Lot Balance'!$G1045)</f>
        <v/>
      </c>
      <c r="E1046" s="25" t="str">
        <f>IF($A1046="","",'Lot Balance'!$H1045)</f>
        <v/>
      </c>
      <c r="F1046" s="23" t="str">
        <f>IF($A1046="","",'Lot Balance'!$I1045)</f>
        <v/>
      </c>
      <c r="G1046" s="23" t="str">
        <f>IF($A1046="","",'Lot Balance'!$O1045)</f>
        <v/>
      </c>
      <c r="H1046" s="33" t="str">
        <f>IF($A1046="","",'Lot Balance'!$P1045)</f>
        <v/>
      </c>
      <c r="I1046" s="26" t="str">
        <f>IF($A1046="","",COUNTIFS(tblIssues[Lot Number],$B1046))</f>
        <v/>
      </c>
      <c r="J1046" s="31" t="str">
        <f>IF($A1046="","",IF('Lot Balance'!$O1045&lt;=0,"Depleted",'Lot Balance'!$Q1045))</f>
        <v/>
      </c>
    </row>
    <row r="1047" spans="1:10" x14ac:dyDescent="0.35">
      <c r="A1047" s="18" t="str">
        <f>IF('Lot Balance'!$A1046="","",'Lot Balance'!$A1046)</f>
        <v/>
      </c>
      <c r="B1047" s="18" t="str">
        <f>IF($A1047="","",'Lot Balance'!$B1046)</f>
        <v/>
      </c>
      <c r="C1047" s="18" t="str">
        <f>IF($A1047="","",'Lot Balance'!$C1046)</f>
        <v/>
      </c>
      <c r="D1047" s="25" t="str">
        <f>IF($A1047="","",'Lot Balance'!$G1046)</f>
        <v/>
      </c>
      <c r="E1047" s="25" t="str">
        <f>IF($A1047="","",'Lot Balance'!$H1046)</f>
        <v/>
      </c>
      <c r="F1047" s="23" t="str">
        <f>IF($A1047="","",'Lot Balance'!$I1046)</f>
        <v/>
      </c>
      <c r="G1047" s="23" t="str">
        <f>IF($A1047="","",'Lot Balance'!$O1046)</f>
        <v/>
      </c>
      <c r="H1047" s="33" t="str">
        <f>IF($A1047="","",'Lot Balance'!$P1046)</f>
        <v/>
      </c>
      <c r="I1047" s="26" t="str">
        <f>IF($A1047="","",COUNTIFS(tblIssues[Lot Number],$B1047))</f>
        <v/>
      </c>
      <c r="J1047" s="31" t="str">
        <f>IF($A1047="","",IF('Lot Balance'!$O1046&lt;=0,"Depleted",'Lot Balance'!$Q1046))</f>
        <v/>
      </c>
    </row>
    <row r="1048" spans="1:10" x14ac:dyDescent="0.35">
      <c r="A1048" s="18" t="str">
        <f>IF('Lot Balance'!$A1047="","",'Lot Balance'!$A1047)</f>
        <v/>
      </c>
      <c r="B1048" s="18" t="str">
        <f>IF($A1048="","",'Lot Balance'!$B1047)</f>
        <v/>
      </c>
      <c r="C1048" s="18" t="str">
        <f>IF($A1048="","",'Lot Balance'!$C1047)</f>
        <v/>
      </c>
      <c r="D1048" s="25" t="str">
        <f>IF($A1048="","",'Lot Balance'!$G1047)</f>
        <v/>
      </c>
      <c r="E1048" s="25" t="str">
        <f>IF($A1048="","",'Lot Balance'!$H1047)</f>
        <v/>
      </c>
      <c r="F1048" s="23" t="str">
        <f>IF($A1048="","",'Lot Balance'!$I1047)</f>
        <v/>
      </c>
      <c r="G1048" s="23" t="str">
        <f>IF($A1048="","",'Lot Balance'!$O1047)</f>
        <v/>
      </c>
      <c r="H1048" s="33" t="str">
        <f>IF($A1048="","",'Lot Balance'!$P1047)</f>
        <v/>
      </c>
      <c r="I1048" s="26" t="str">
        <f>IF($A1048="","",COUNTIFS(tblIssues[Lot Number],$B1048))</f>
        <v/>
      </c>
      <c r="J1048" s="31" t="str">
        <f>IF($A1048="","",IF('Lot Balance'!$O1047&lt;=0,"Depleted",'Lot Balance'!$Q1047))</f>
        <v/>
      </c>
    </row>
    <row r="1049" spans="1:10" x14ac:dyDescent="0.35">
      <c r="A1049" s="18" t="str">
        <f>IF('Lot Balance'!$A1048="","",'Lot Balance'!$A1048)</f>
        <v/>
      </c>
      <c r="B1049" s="18" t="str">
        <f>IF($A1049="","",'Lot Balance'!$B1048)</f>
        <v/>
      </c>
      <c r="C1049" s="18" t="str">
        <f>IF($A1049="","",'Lot Balance'!$C1048)</f>
        <v/>
      </c>
      <c r="D1049" s="25" t="str">
        <f>IF($A1049="","",'Lot Balance'!$G1048)</f>
        <v/>
      </c>
      <c r="E1049" s="25" t="str">
        <f>IF($A1049="","",'Lot Balance'!$H1048)</f>
        <v/>
      </c>
      <c r="F1049" s="23" t="str">
        <f>IF($A1049="","",'Lot Balance'!$I1048)</f>
        <v/>
      </c>
      <c r="G1049" s="23" t="str">
        <f>IF($A1049="","",'Lot Balance'!$O1048)</f>
        <v/>
      </c>
      <c r="H1049" s="33" t="str">
        <f>IF($A1049="","",'Lot Balance'!$P1048)</f>
        <v/>
      </c>
      <c r="I1049" s="26" t="str">
        <f>IF($A1049="","",COUNTIFS(tblIssues[Lot Number],$B1049))</f>
        <v/>
      </c>
      <c r="J1049" s="31" t="str">
        <f>IF($A1049="","",IF('Lot Balance'!$O1048&lt;=0,"Depleted",'Lot Balance'!$Q1048))</f>
        <v/>
      </c>
    </row>
    <row r="1050" spans="1:10" x14ac:dyDescent="0.35">
      <c r="A1050" s="18" t="str">
        <f>IF('Lot Balance'!$A1049="","",'Lot Balance'!$A1049)</f>
        <v/>
      </c>
      <c r="B1050" s="18" t="str">
        <f>IF($A1050="","",'Lot Balance'!$B1049)</f>
        <v/>
      </c>
      <c r="C1050" s="18" t="str">
        <f>IF($A1050="","",'Lot Balance'!$C1049)</f>
        <v/>
      </c>
      <c r="D1050" s="25" t="str">
        <f>IF($A1050="","",'Lot Balance'!$G1049)</f>
        <v/>
      </c>
      <c r="E1050" s="25" t="str">
        <f>IF($A1050="","",'Lot Balance'!$H1049)</f>
        <v/>
      </c>
      <c r="F1050" s="23" t="str">
        <f>IF($A1050="","",'Lot Balance'!$I1049)</f>
        <v/>
      </c>
      <c r="G1050" s="23" t="str">
        <f>IF($A1050="","",'Lot Balance'!$O1049)</f>
        <v/>
      </c>
      <c r="H1050" s="33" t="str">
        <f>IF($A1050="","",'Lot Balance'!$P1049)</f>
        <v/>
      </c>
      <c r="I1050" s="26" t="str">
        <f>IF($A1050="","",COUNTIFS(tblIssues[Lot Number],$B1050))</f>
        <v/>
      </c>
      <c r="J1050" s="31" t="str">
        <f>IF($A1050="","",IF('Lot Balance'!$O1049&lt;=0,"Depleted",'Lot Balance'!$Q1049))</f>
        <v/>
      </c>
    </row>
    <row r="1051" spans="1:10" x14ac:dyDescent="0.35">
      <c r="A1051" s="18" t="str">
        <f>IF('Lot Balance'!$A1050="","",'Lot Balance'!$A1050)</f>
        <v/>
      </c>
      <c r="B1051" s="18" t="str">
        <f>IF($A1051="","",'Lot Balance'!$B1050)</f>
        <v/>
      </c>
      <c r="C1051" s="18" t="str">
        <f>IF($A1051="","",'Lot Balance'!$C1050)</f>
        <v/>
      </c>
      <c r="D1051" s="25" t="str">
        <f>IF($A1051="","",'Lot Balance'!$G1050)</f>
        <v/>
      </c>
      <c r="E1051" s="25" t="str">
        <f>IF($A1051="","",'Lot Balance'!$H1050)</f>
        <v/>
      </c>
      <c r="F1051" s="23" t="str">
        <f>IF($A1051="","",'Lot Balance'!$I1050)</f>
        <v/>
      </c>
      <c r="G1051" s="23" t="str">
        <f>IF($A1051="","",'Lot Balance'!$O1050)</f>
        <v/>
      </c>
      <c r="H1051" s="33" t="str">
        <f>IF($A1051="","",'Lot Balance'!$P1050)</f>
        <v/>
      </c>
      <c r="I1051" s="26" t="str">
        <f>IF($A1051="","",COUNTIFS(tblIssues[Lot Number],$B1051))</f>
        <v/>
      </c>
      <c r="J1051" s="31" t="str">
        <f>IF($A1051="","",IF('Lot Balance'!$O1050&lt;=0,"Depleted",'Lot Balance'!$Q1050))</f>
        <v/>
      </c>
    </row>
    <row r="1052" spans="1:10" x14ac:dyDescent="0.35">
      <c r="A1052" s="18" t="str">
        <f>IF('Lot Balance'!$A1051="","",'Lot Balance'!$A1051)</f>
        <v/>
      </c>
      <c r="B1052" s="18" t="str">
        <f>IF($A1052="","",'Lot Balance'!$B1051)</f>
        <v/>
      </c>
      <c r="C1052" s="18" t="str">
        <f>IF($A1052="","",'Lot Balance'!$C1051)</f>
        <v/>
      </c>
      <c r="D1052" s="25" t="str">
        <f>IF($A1052="","",'Lot Balance'!$G1051)</f>
        <v/>
      </c>
      <c r="E1052" s="25" t="str">
        <f>IF($A1052="","",'Lot Balance'!$H1051)</f>
        <v/>
      </c>
      <c r="F1052" s="23" t="str">
        <f>IF($A1052="","",'Lot Balance'!$I1051)</f>
        <v/>
      </c>
      <c r="G1052" s="23" t="str">
        <f>IF($A1052="","",'Lot Balance'!$O1051)</f>
        <v/>
      </c>
      <c r="H1052" s="33" t="str">
        <f>IF($A1052="","",'Lot Balance'!$P1051)</f>
        <v/>
      </c>
      <c r="I1052" s="26" t="str">
        <f>IF($A1052="","",COUNTIFS(tblIssues[Lot Number],$B1052))</f>
        <v/>
      </c>
      <c r="J1052" s="31" t="str">
        <f>IF($A1052="","",IF('Lot Balance'!$O1051&lt;=0,"Depleted",'Lot Balance'!$Q1051))</f>
        <v/>
      </c>
    </row>
    <row r="1053" spans="1:10" x14ac:dyDescent="0.35">
      <c r="A1053" s="18" t="str">
        <f>IF('Lot Balance'!$A1052="","",'Lot Balance'!$A1052)</f>
        <v/>
      </c>
      <c r="B1053" s="18" t="str">
        <f>IF($A1053="","",'Lot Balance'!$B1052)</f>
        <v/>
      </c>
      <c r="C1053" s="18" t="str">
        <f>IF($A1053="","",'Lot Balance'!$C1052)</f>
        <v/>
      </c>
      <c r="D1053" s="25" t="str">
        <f>IF($A1053="","",'Lot Balance'!$G1052)</f>
        <v/>
      </c>
      <c r="E1053" s="25" t="str">
        <f>IF($A1053="","",'Lot Balance'!$H1052)</f>
        <v/>
      </c>
      <c r="F1053" s="23" t="str">
        <f>IF($A1053="","",'Lot Balance'!$I1052)</f>
        <v/>
      </c>
      <c r="G1053" s="23" t="str">
        <f>IF($A1053="","",'Lot Balance'!$O1052)</f>
        <v/>
      </c>
      <c r="H1053" s="33" t="str">
        <f>IF($A1053="","",'Lot Balance'!$P1052)</f>
        <v/>
      </c>
      <c r="I1053" s="26" t="str">
        <f>IF($A1053="","",COUNTIFS(tblIssues[Lot Number],$B1053))</f>
        <v/>
      </c>
      <c r="J1053" s="31" t="str">
        <f>IF($A1053="","",IF('Lot Balance'!$O1052&lt;=0,"Depleted",'Lot Balance'!$Q1052))</f>
        <v/>
      </c>
    </row>
    <row r="1054" spans="1:10" x14ac:dyDescent="0.35">
      <c r="A1054" s="18" t="str">
        <f>IF('Lot Balance'!$A1053="","",'Lot Balance'!$A1053)</f>
        <v/>
      </c>
      <c r="B1054" s="18" t="str">
        <f>IF($A1054="","",'Lot Balance'!$B1053)</f>
        <v/>
      </c>
      <c r="C1054" s="18" t="str">
        <f>IF($A1054="","",'Lot Balance'!$C1053)</f>
        <v/>
      </c>
      <c r="D1054" s="25" t="str">
        <f>IF($A1054="","",'Lot Balance'!$G1053)</f>
        <v/>
      </c>
      <c r="E1054" s="25" t="str">
        <f>IF($A1054="","",'Lot Balance'!$H1053)</f>
        <v/>
      </c>
      <c r="F1054" s="23" t="str">
        <f>IF($A1054="","",'Lot Balance'!$I1053)</f>
        <v/>
      </c>
      <c r="G1054" s="23" t="str">
        <f>IF($A1054="","",'Lot Balance'!$O1053)</f>
        <v/>
      </c>
      <c r="H1054" s="33" t="str">
        <f>IF($A1054="","",'Lot Balance'!$P1053)</f>
        <v/>
      </c>
      <c r="I1054" s="26" t="str">
        <f>IF($A1054="","",COUNTIFS(tblIssues[Lot Number],$B1054))</f>
        <v/>
      </c>
      <c r="J1054" s="31" t="str">
        <f>IF($A1054="","",IF('Lot Balance'!$O1053&lt;=0,"Depleted",'Lot Balance'!$Q1053))</f>
        <v/>
      </c>
    </row>
    <row r="1055" spans="1:10" x14ac:dyDescent="0.35">
      <c r="A1055" s="18" t="str">
        <f>IF('Lot Balance'!$A1054="","",'Lot Balance'!$A1054)</f>
        <v/>
      </c>
      <c r="B1055" s="18" t="str">
        <f>IF($A1055="","",'Lot Balance'!$B1054)</f>
        <v/>
      </c>
      <c r="C1055" s="18" t="str">
        <f>IF($A1055="","",'Lot Balance'!$C1054)</f>
        <v/>
      </c>
      <c r="D1055" s="25" t="str">
        <f>IF($A1055="","",'Lot Balance'!$G1054)</f>
        <v/>
      </c>
      <c r="E1055" s="25" t="str">
        <f>IF($A1055="","",'Lot Balance'!$H1054)</f>
        <v/>
      </c>
      <c r="F1055" s="23" t="str">
        <f>IF($A1055="","",'Lot Balance'!$I1054)</f>
        <v/>
      </c>
      <c r="G1055" s="23" t="str">
        <f>IF($A1055="","",'Lot Balance'!$O1054)</f>
        <v/>
      </c>
      <c r="H1055" s="33" t="str">
        <f>IF($A1055="","",'Lot Balance'!$P1054)</f>
        <v/>
      </c>
      <c r="I1055" s="26" t="str">
        <f>IF($A1055="","",COUNTIFS(tblIssues[Lot Number],$B1055))</f>
        <v/>
      </c>
      <c r="J1055" s="31" t="str">
        <f>IF($A1055="","",IF('Lot Balance'!$O1054&lt;=0,"Depleted",'Lot Balance'!$Q1054))</f>
        <v/>
      </c>
    </row>
    <row r="1056" spans="1:10" x14ac:dyDescent="0.35">
      <c r="A1056" s="18" t="str">
        <f>IF('Lot Balance'!$A1055="","",'Lot Balance'!$A1055)</f>
        <v/>
      </c>
      <c r="B1056" s="18" t="str">
        <f>IF($A1056="","",'Lot Balance'!$B1055)</f>
        <v/>
      </c>
      <c r="C1056" s="18" t="str">
        <f>IF($A1056="","",'Lot Balance'!$C1055)</f>
        <v/>
      </c>
      <c r="D1056" s="25" t="str">
        <f>IF($A1056="","",'Lot Balance'!$G1055)</f>
        <v/>
      </c>
      <c r="E1056" s="25" t="str">
        <f>IF($A1056="","",'Lot Balance'!$H1055)</f>
        <v/>
      </c>
      <c r="F1056" s="23" t="str">
        <f>IF($A1056="","",'Lot Balance'!$I1055)</f>
        <v/>
      </c>
      <c r="G1056" s="23" t="str">
        <f>IF($A1056="","",'Lot Balance'!$O1055)</f>
        <v/>
      </c>
      <c r="H1056" s="33" t="str">
        <f>IF($A1056="","",'Lot Balance'!$P1055)</f>
        <v/>
      </c>
      <c r="I1056" s="26" t="str">
        <f>IF($A1056="","",COUNTIFS(tblIssues[Lot Number],$B1056))</f>
        <v/>
      </c>
      <c r="J1056" s="31" t="str">
        <f>IF($A1056="","",IF('Lot Balance'!$O1055&lt;=0,"Depleted",'Lot Balance'!$Q1055))</f>
        <v/>
      </c>
    </row>
    <row r="1057" spans="1:10" x14ac:dyDescent="0.35">
      <c r="A1057" s="18" t="str">
        <f>IF('Lot Balance'!$A1056="","",'Lot Balance'!$A1056)</f>
        <v/>
      </c>
      <c r="B1057" s="18" t="str">
        <f>IF($A1057="","",'Lot Balance'!$B1056)</f>
        <v/>
      </c>
      <c r="C1057" s="18" t="str">
        <f>IF($A1057="","",'Lot Balance'!$C1056)</f>
        <v/>
      </c>
      <c r="D1057" s="25" t="str">
        <f>IF($A1057="","",'Lot Balance'!$G1056)</f>
        <v/>
      </c>
      <c r="E1057" s="25" t="str">
        <f>IF($A1057="","",'Lot Balance'!$H1056)</f>
        <v/>
      </c>
      <c r="F1057" s="23" t="str">
        <f>IF($A1057="","",'Lot Balance'!$I1056)</f>
        <v/>
      </c>
      <c r="G1057" s="23" t="str">
        <f>IF($A1057="","",'Lot Balance'!$O1056)</f>
        <v/>
      </c>
      <c r="H1057" s="33" t="str">
        <f>IF($A1057="","",'Lot Balance'!$P1056)</f>
        <v/>
      </c>
      <c r="I1057" s="26" t="str">
        <f>IF($A1057="","",COUNTIFS(tblIssues[Lot Number],$B1057))</f>
        <v/>
      </c>
      <c r="J1057" s="31" t="str">
        <f>IF($A1057="","",IF('Lot Balance'!$O1056&lt;=0,"Depleted",'Lot Balance'!$Q1056))</f>
        <v/>
      </c>
    </row>
    <row r="1058" spans="1:10" x14ac:dyDescent="0.35">
      <c r="A1058" s="18" t="str">
        <f>IF('Lot Balance'!$A1057="","",'Lot Balance'!$A1057)</f>
        <v/>
      </c>
      <c r="B1058" s="18" t="str">
        <f>IF($A1058="","",'Lot Balance'!$B1057)</f>
        <v/>
      </c>
      <c r="C1058" s="18" t="str">
        <f>IF($A1058="","",'Lot Balance'!$C1057)</f>
        <v/>
      </c>
      <c r="D1058" s="25" t="str">
        <f>IF($A1058="","",'Lot Balance'!$G1057)</f>
        <v/>
      </c>
      <c r="E1058" s="25" t="str">
        <f>IF($A1058="","",'Lot Balance'!$H1057)</f>
        <v/>
      </c>
      <c r="F1058" s="23" t="str">
        <f>IF($A1058="","",'Lot Balance'!$I1057)</f>
        <v/>
      </c>
      <c r="G1058" s="23" t="str">
        <f>IF($A1058="","",'Lot Balance'!$O1057)</f>
        <v/>
      </c>
      <c r="H1058" s="33" t="str">
        <f>IF($A1058="","",'Lot Balance'!$P1057)</f>
        <v/>
      </c>
      <c r="I1058" s="26" t="str">
        <f>IF($A1058="","",COUNTIFS(tblIssues[Lot Number],$B1058))</f>
        <v/>
      </c>
      <c r="J1058" s="31" t="str">
        <f>IF($A1058="","",IF('Lot Balance'!$O1057&lt;=0,"Depleted",'Lot Balance'!$Q1057))</f>
        <v/>
      </c>
    </row>
    <row r="1059" spans="1:10" x14ac:dyDescent="0.35">
      <c r="A1059" s="18" t="str">
        <f>IF('Lot Balance'!$A1058="","",'Lot Balance'!$A1058)</f>
        <v/>
      </c>
      <c r="B1059" s="18" t="str">
        <f>IF($A1059="","",'Lot Balance'!$B1058)</f>
        <v/>
      </c>
      <c r="C1059" s="18" t="str">
        <f>IF($A1059="","",'Lot Balance'!$C1058)</f>
        <v/>
      </c>
      <c r="D1059" s="25" t="str">
        <f>IF($A1059="","",'Lot Balance'!$G1058)</f>
        <v/>
      </c>
      <c r="E1059" s="25" t="str">
        <f>IF($A1059="","",'Lot Balance'!$H1058)</f>
        <v/>
      </c>
      <c r="F1059" s="23" t="str">
        <f>IF($A1059="","",'Lot Balance'!$I1058)</f>
        <v/>
      </c>
      <c r="G1059" s="23" t="str">
        <f>IF($A1059="","",'Lot Balance'!$O1058)</f>
        <v/>
      </c>
      <c r="H1059" s="33" t="str">
        <f>IF($A1059="","",'Lot Balance'!$P1058)</f>
        <v/>
      </c>
      <c r="I1059" s="26" t="str">
        <f>IF($A1059="","",COUNTIFS(tblIssues[Lot Number],$B1059))</f>
        <v/>
      </c>
      <c r="J1059" s="31" t="str">
        <f>IF($A1059="","",IF('Lot Balance'!$O1058&lt;=0,"Depleted",'Lot Balance'!$Q1058))</f>
        <v/>
      </c>
    </row>
    <row r="1060" spans="1:10" x14ac:dyDescent="0.35">
      <c r="A1060" s="18" t="str">
        <f>IF('Lot Balance'!$A1059="","",'Lot Balance'!$A1059)</f>
        <v/>
      </c>
      <c r="B1060" s="18" t="str">
        <f>IF($A1060="","",'Lot Balance'!$B1059)</f>
        <v/>
      </c>
      <c r="C1060" s="18" t="str">
        <f>IF($A1060="","",'Lot Balance'!$C1059)</f>
        <v/>
      </c>
      <c r="D1060" s="25" t="str">
        <f>IF($A1060="","",'Lot Balance'!$G1059)</f>
        <v/>
      </c>
      <c r="E1060" s="25" t="str">
        <f>IF($A1060="","",'Lot Balance'!$H1059)</f>
        <v/>
      </c>
      <c r="F1060" s="23" t="str">
        <f>IF($A1060="","",'Lot Balance'!$I1059)</f>
        <v/>
      </c>
      <c r="G1060" s="23" t="str">
        <f>IF($A1060="","",'Lot Balance'!$O1059)</f>
        <v/>
      </c>
      <c r="H1060" s="33" t="str">
        <f>IF($A1060="","",'Lot Balance'!$P1059)</f>
        <v/>
      </c>
      <c r="I1060" s="26" t="str">
        <f>IF($A1060="","",COUNTIFS(tblIssues[Lot Number],$B1060))</f>
        <v/>
      </c>
      <c r="J1060" s="31" t="str">
        <f>IF($A1060="","",IF('Lot Balance'!$O1059&lt;=0,"Depleted",'Lot Balance'!$Q1059))</f>
        <v/>
      </c>
    </row>
    <row r="1061" spans="1:10" x14ac:dyDescent="0.35">
      <c r="A1061" s="18" t="str">
        <f>IF('Lot Balance'!$A1060="","",'Lot Balance'!$A1060)</f>
        <v/>
      </c>
      <c r="B1061" s="18" t="str">
        <f>IF($A1061="","",'Lot Balance'!$B1060)</f>
        <v/>
      </c>
      <c r="C1061" s="18" t="str">
        <f>IF($A1061="","",'Lot Balance'!$C1060)</f>
        <v/>
      </c>
      <c r="D1061" s="25" t="str">
        <f>IF($A1061="","",'Lot Balance'!$G1060)</f>
        <v/>
      </c>
      <c r="E1061" s="25" t="str">
        <f>IF($A1061="","",'Lot Balance'!$H1060)</f>
        <v/>
      </c>
      <c r="F1061" s="23" t="str">
        <f>IF($A1061="","",'Lot Balance'!$I1060)</f>
        <v/>
      </c>
      <c r="G1061" s="23" t="str">
        <f>IF($A1061="","",'Lot Balance'!$O1060)</f>
        <v/>
      </c>
      <c r="H1061" s="33" t="str">
        <f>IF($A1061="","",'Lot Balance'!$P1060)</f>
        <v/>
      </c>
      <c r="I1061" s="26" t="str">
        <f>IF($A1061="","",COUNTIFS(tblIssues[Lot Number],$B1061))</f>
        <v/>
      </c>
      <c r="J1061" s="31" t="str">
        <f>IF($A1061="","",IF('Lot Balance'!$O1060&lt;=0,"Depleted",'Lot Balance'!$Q1060))</f>
        <v/>
      </c>
    </row>
    <row r="1062" spans="1:10" x14ac:dyDescent="0.35">
      <c r="A1062" s="18" t="str">
        <f>IF('Lot Balance'!$A1061="","",'Lot Balance'!$A1061)</f>
        <v/>
      </c>
      <c r="B1062" s="18" t="str">
        <f>IF($A1062="","",'Lot Balance'!$B1061)</f>
        <v/>
      </c>
      <c r="C1062" s="18" t="str">
        <f>IF($A1062="","",'Lot Balance'!$C1061)</f>
        <v/>
      </c>
      <c r="D1062" s="25" t="str">
        <f>IF($A1062="","",'Lot Balance'!$G1061)</f>
        <v/>
      </c>
      <c r="E1062" s="25" t="str">
        <f>IF($A1062="","",'Lot Balance'!$H1061)</f>
        <v/>
      </c>
      <c r="F1062" s="23" t="str">
        <f>IF($A1062="","",'Lot Balance'!$I1061)</f>
        <v/>
      </c>
      <c r="G1062" s="23" t="str">
        <f>IF($A1062="","",'Lot Balance'!$O1061)</f>
        <v/>
      </c>
      <c r="H1062" s="33" t="str">
        <f>IF($A1062="","",'Lot Balance'!$P1061)</f>
        <v/>
      </c>
      <c r="I1062" s="26" t="str">
        <f>IF($A1062="","",COUNTIFS(tblIssues[Lot Number],$B1062))</f>
        <v/>
      </c>
      <c r="J1062" s="31" t="str">
        <f>IF($A1062="","",IF('Lot Balance'!$O1061&lt;=0,"Depleted",'Lot Balance'!$Q1061))</f>
        <v/>
      </c>
    </row>
    <row r="1063" spans="1:10" x14ac:dyDescent="0.35">
      <c r="A1063" s="18" t="str">
        <f>IF('Lot Balance'!$A1062="","",'Lot Balance'!$A1062)</f>
        <v/>
      </c>
      <c r="B1063" s="18" t="str">
        <f>IF($A1063="","",'Lot Balance'!$B1062)</f>
        <v/>
      </c>
      <c r="C1063" s="18" t="str">
        <f>IF($A1063="","",'Lot Balance'!$C1062)</f>
        <v/>
      </c>
      <c r="D1063" s="25" t="str">
        <f>IF($A1063="","",'Lot Balance'!$G1062)</f>
        <v/>
      </c>
      <c r="E1063" s="25" t="str">
        <f>IF($A1063="","",'Lot Balance'!$H1062)</f>
        <v/>
      </c>
      <c r="F1063" s="23" t="str">
        <f>IF($A1063="","",'Lot Balance'!$I1062)</f>
        <v/>
      </c>
      <c r="G1063" s="23" t="str">
        <f>IF($A1063="","",'Lot Balance'!$O1062)</f>
        <v/>
      </c>
      <c r="H1063" s="33" t="str">
        <f>IF($A1063="","",'Lot Balance'!$P1062)</f>
        <v/>
      </c>
      <c r="I1063" s="26" t="str">
        <f>IF($A1063="","",COUNTIFS(tblIssues[Lot Number],$B1063))</f>
        <v/>
      </c>
      <c r="J1063" s="31" t="str">
        <f>IF($A1063="","",IF('Lot Balance'!$O1062&lt;=0,"Depleted",'Lot Balance'!$Q1062))</f>
        <v/>
      </c>
    </row>
    <row r="1064" spans="1:10" x14ac:dyDescent="0.35">
      <c r="A1064" s="18" t="str">
        <f>IF('Lot Balance'!$A1063="","",'Lot Balance'!$A1063)</f>
        <v/>
      </c>
      <c r="B1064" s="18" t="str">
        <f>IF($A1064="","",'Lot Balance'!$B1063)</f>
        <v/>
      </c>
      <c r="C1064" s="18" t="str">
        <f>IF($A1064="","",'Lot Balance'!$C1063)</f>
        <v/>
      </c>
      <c r="D1064" s="25" t="str">
        <f>IF($A1064="","",'Lot Balance'!$G1063)</f>
        <v/>
      </c>
      <c r="E1064" s="25" t="str">
        <f>IF($A1064="","",'Lot Balance'!$H1063)</f>
        <v/>
      </c>
      <c r="F1064" s="23" t="str">
        <f>IF($A1064="","",'Lot Balance'!$I1063)</f>
        <v/>
      </c>
      <c r="G1064" s="23" t="str">
        <f>IF($A1064="","",'Lot Balance'!$O1063)</f>
        <v/>
      </c>
      <c r="H1064" s="33" t="str">
        <f>IF($A1064="","",'Lot Balance'!$P1063)</f>
        <v/>
      </c>
      <c r="I1064" s="26" t="str">
        <f>IF($A1064="","",COUNTIFS(tblIssues[Lot Number],$B1064))</f>
        <v/>
      </c>
      <c r="J1064" s="31" t="str">
        <f>IF($A1064="","",IF('Lot Balance'!$O1063&lt;=0,"Depleted",'Lot Balance'!$Q1063))</f>
        <v/>
      </c>
    </row>
    <row r="1065" spans="1:10" x14ac:dyDescent="0.35">
      <c r="A1065" s="18" t="str">
        <f>IF('Lot Balance'!$A1064="","",'Lot Balance'!$A1064)</f>
        <v/>
      </c>
      <c r="B1065" s="18" t="str">
        <f>IF($A1065="","",'Lot Balance'!$B1064)</f>
        <v/>
      </c>
      <c r="C1065" s="18" t="str">
        <f>IF($A1065="","",'Lot Balance'!$C1064)</f>
        <v/>
      </c>
      <c r="D1065" s="25" t="str">
        <f>IF($A1065="","",'Lot Balance'!$G1064)</f>
        <v/>
      </c>
      <c r="E1065" s="25" t="str">
        <f>IF($A1065="","",'Lot Balance'!$H1064)</f>
        <v/>
      </c>
      <c r="F1065" s="23" t="str">
        <f>IF($A1065="","",'Lot Balance'!$I1064)</f>
        <v/>
      </c>
      <c r="G1065" s="23" t="str">
        <f>IF($A1065="","",'Lot Balance'!$O1064)</f>
        <v/>
      </c>
      <c r="H1065" s="33" t="str">
        <f>IF($A1065="","",'Lot Balance'!$P1064)</f>
        <v/>
      </c>
      <c r="I1065" s="26" t="str">
        <f>IF($A1065="","",COUNTIFS(tblIssues[Lot Number],$B1065))</f>
        <v/>
      </c>
      <c r="J1065" s="31" t="str">
        <f>IF($A1065="","",IF('Lot Balance'!$O1064&lt;=0,"Depleted",'Lot Balance'!$Q1064))</f>
        <v/>
      </c>
    </row>
    <row r="1066" spans="1:10" x14ac:dyDescent="0.35">
      <c r="A1066" s="18" t="str">
        <f>IF('Lot Balance'!$A1065="","",'Lot Balance'!$A1065)</f>
        <v/>
      </c>
      <c r="B1066" s="18" t="str">
        <f>IF($A1066="","",'Lot Balance'!$B1065)</f>
        <v/>
      </c>
      <c r="C1066" s="18" t="str">
        <f>IF($A1066="","",'Lot Balance'!$C1065)</f>
        <v/>
      </c>
      <c r="D1066" s="25" t="str">
        <f>IF($A1066="","",'Lot Balance'!$G1065)</f>
        <v/>
      </c>
      <c r="E1066" s="25" t="str">
        <f>IF($A1066="","",'Lot Balance'!$H1065)</f>
        <v/>
      </c>
      <c r="F1066" s="23" t="str">
        <f>IF($A1066="","",'Lot Balance'!$I1065)</f>
        <v/>
      </c>
      <c r="G1066" s="23" t="str">
        <f>IF($A1066="","",'Lot Balance'!$O1065)</f>
        <v/>
      </c>
      <c r="H1066" s="33" t="str">
        <f>IF($A1066="","",'Lot Balance'!$P1065)</f>
        <v/>
      </c>
      <c r="I1066" s="26" t="str">
        <f>IF($A1066="","",COUNTIFS(tblIssues[Lot Number],$B1066))</f>
        <v/>
      </c>
      <c r="J1066" s="31" t="str">
        <f>IF($A1066="","",IF('Lot Balance'!$O1065&lt;=0,"Depleted",'Lot Balance'!$Q1065))</f>
        <v/>
      </c>
    </row>
    <row r="1067" spans="1:10" x14ac:dyDescent="0.35">
      <c r="A1067" s="18" t="str">
        <f>IF('Lot Balance'!$A1066="","",'Lot Balance'!$A1066)</f>
        <v/>
      </c>
      <c r="B1067" s="18" t="str">
        <f>IF($A1067="","",'Lot Balance'!$B1066)</f>
        <v/>
      </c>
      <c r="C1067" s="18" t="str">
        <f>IF($A1067="","",'Lot Balance'!$C1066)</f>
        <v/>
      </c>
      <c r="D1067" s="25" t="str">
        <f>IF($A1067="","",'Lot Balance'!$G1066)</f>
        <v/>
      </c>
      <c r="E1067" s="25" t="str">
        <f>IF($A1067="","",'Lot Balance'!$H1066)</f>
        <v/>
      </c>
      <c r="F1067" s="23" t="str">
        <f>IF($A1067="","",'Lot Balance'!$I1066)</f>
        <v/>
      </c>
      <c r="G1067" s="23" t="str">
        <f>IF($A1067="","",'Lot Balance'!$O1066)</f>
        <v/>
      </c>
      <c r="H1067" s="33" t="str">
        <f>IF($A1067="","",'Lot Balance'!$P1066)</f>
        <v/>
      </c>
      <c r="I1067" s="26" t="str">
        <f>IF($A1067="","",COUNTIFS(tblIssues[Lot Number],$B1067))</f>
        <v/>
      </c>
      <c r="J1067" s="31" t="str">
        <f>IF($A1067="","",IF('Lot Balance'!$O1066&lt;=0,"Depleted",'Lot Balance'!$Q1066))</f>
        <v/>
      </c>
    </row>
    <row r="1068" spans="1:10" x14ac:dyDescent="0.35">
      <c r="A1068" s="18" t="str">
        <f>IF('Lot Balance'!$A1067="","",'Lot Balance'!$A1067)</f>
        <v/>
      </c>
      <c r="B1068" s="18" t="str">
        <f>IF($A1068="","",'Lot Balance'!$B1067)</f>
        <v/>
      </c>
      <c r="C1068" s="18" t="str">
        <f>IF($A1068="","",'Lot Balance'!$C1067)</f>
        <v/>
      </c>
      <c r="D1068" s="25" t="str">
        <f>IF($A1068="","",'Lot Balance'!$G1067)</f>
        <v/>
      </c>
      <c r="E1068" s="25" t="str">
        <f>IF($A1068="","",'Lot Balance'!$H1067)</f>
        <v/>
      </c>
      <c r="F1068" s="23" t="str">
        <f>IF($A1068="","",'Lot Balance'!$I1067)</f>
        <v/>
      </c>
      <c r="G1068" s="23" t="str">
        <f>IF($A1068="","",'Lot Balance'!$O1067)</f>
        <v/>
      </c>
      <c r="H1068" s="33" t="str">
        <f>IF($A1068="","",'Lot Balance'!$P1067)</f>
        <v/>
      </c>
      <c r="I1068" s="26" t="str">
        <f>IF($A1068="","",COUNTIFS(tblIssues[Lot Number],$B1068))</f>
        <v/>
      </c>
      <c r="J1068" s="31" t="str">
        <f>IF($A1068="","",IF('Lot Balance'!$O1067&lt;=0,"Depleted",'Lot Balance'!$Q1067))</f>
        <v/>
      </c>
    </row>
    <row r="1069" spans="1:10" x14ac:dyDescent="0.35">
      <c r="A1069" s="18" t="str">
        <f>IF('Lot Balance'!$A1068="","",'Lot Balance'!$A1068)</f>
        <v/>
      </c>
      <c r="B1069" s="18" t="str">
        <f>IF($A1069="","",'Lot Balance'!$B1068)</f>
        <v/>
      </c>
      <c r="C1069" s="18" t="str">
        <f>IF($A1069="","",'Lot Balance'!$C1068)</f>
        <v/>
      </c>
      <c r="D1069" s="25" t="str">
        <f>IF($A1069="","",'Lot Balance'!$G1068)</f>
        <v/>
      </c>
      <c r="E1069" s="25" t="str">
        <f>IF($A1069="","",'Lot Balance'!$H1068)</f>
        <v/>
      </c>
      <c r="F1069" s="23" t="str">
        <f>IF($A1069="","",'Lot Balance'!$I1068)</f>
        <v/>
      </c>
      <c r="G1069" s="23" t="str">
        <f>IF($A1069="","",'Lot Balance'!$O1068)</f>
        <v/>
      </c>
      <c r="H1069" s="33" t="str">
        <f>IF($A1069="","",'Lot Balance'!$P1068)</f>
        <v/>
      </c>
      <c r="I1069" s="26" t="str">
        <f>IF($A1069="","",COUNTIFS(tblIssues[Lot Number],$B1069))</f>
        <v/>
      </c>
      <c r="J1069" s="31" t="str">
        <f>IF($A1069="","",IF('Lot Balance'!$O1068&lt;=0,"Depleted",'Lot Balance'!$Q1068))</f>
        <v/>
      </c>
    </row>
    <row r="1070" spans="1:10" x14ac:dyDescent="0.35">
      <c r="A1070" s="18" t="str">
        <f>IF('Lot Balance'!$A1069="","",'Lot Balance'!$A1069)</f>
        <v/>
      </c>
      <c r="B1070" s="18" t="str">
        <f>IF($A1070="","",'Lot Balance'!$B1069)</f>
        <v/>
      </c>
      <c r="C1070" s="18" t="str">
        <f>IF($A1070="","",'Lot Balance'!$C1069)</f>
        <v/>
      </c>
      <c r="D1070" s="25" t="str">
        <f>IF($A1070="","",'Lot Balance'!$G1069)</f>
        <v/>
      </c>
      <c r="E1070" s="25" t="str">
        <f>IF($A1070="","",'Lot Balance'!$H1069)</f>
        <v/>
      </c>
      <c r="F1070" s="23" t="str">
        <f>IF($A1070="","",'Lot Balance'!$I1069)</f>
        <v/>
      </c>
      <c r="G1070" s="23" t="str">
        <f>IF($A1070="","",'Lot Balance'!$O1069)</f>
        <v/>
      </c>
      <c r="H1070" s="33" t="str">
        <f>IF($A1070="","",'Lot Balance'!$P1069)</f>
        <v/>
      </c>
      <c r="I1070" s="26" t="str">
        <f>IF($A1070="","",COUNTIFS(tblIssues[Lot Number],$B1070))</f>
        <v/>
      </c>
      <c r="J1070" s="31" t="str">
        <f>IF($A1070="","",IF('Lot Balance'!$O1069&lt;=0,"Depleted",'Lot Balance'!$Q1069))</f>
        <v/>
      </c>
    </row>
    <row r="1071" spans="1:10" x14ac:dyDescent="0.35">
      <c r="A1071" s="18" t="str">
        <f>IF('Lot Balance'!$A1070="","",'Lot Balance'!$A1070)</f>
        <v/>
      </c>
      <c r="B1071" s="18" t="str">
        <f>IF($A1071="","",'Lot Balance'!$B1070)</f>
        <v/>
      </c>
      <c r="C1071" s="18" t="str">
        <f>IF($A1071="","",'Lot Balance'!$C1070)</f>
        <v/>
      </c>
      <c r="D1071" s="25" t="str">
        <f>IF($A1071="","",'Lot Balance'!$G1070)</f>
        <v/>
      </c>
      <c r="E1071" s="25" t="str">
        <f>IF($A1071="","",'Lot Balance'!$H1070)</f>
        <v/>
      </c>
      <c r="F1071" s="23" t="str">
        <f>IF($A1071="","",'Lot Balance'!$I1070)</f>
        <v/>
      </c>
      <c r="G1071" s="23" t="str">
        <f>IF($A1071="","",'Lot Balance'!$O1070)</f>
        <v/>
      </c>
      <c r="H1071" s="33" t="str">
        <f>IF($A1071="","",'Lot Balance'!$P1070)</f>
        <v/>
      </c>
      <c r="I1071" s="26" t="str">
        <f>IF($A1071="","",COUNTIFS(tblIssues[Lot Number],$B1071))</f>
        <v/>
      </c>
      <c r="J1071" s="31" t="str">
        <f>IF($A1071="","",IF('Lot Balance'!$O1070&lt;=0,"Depleted",'Lot Balance'!$Q1070))</f>
        <v/>
      </c>
    </row>
    <row r="1072" spans="1:10" x14ac:dyDescent="0.35">
      <c r="A1072" s="18" t="str">
        <f>IF('Lot Balance'!$A1071="","",'Lot Balance'!$A1071)</f>
        <v/>
      </c>
      <c r="B1072" s="18" t="str">
        <f>IF($A1072="","",'Lot Balance'!$B1071)</f>
        <v/>
      </c>
      <c r="C1072" s="18" t="str">
        <f>IF($A1072="","",'Lot Balance'!$C1071)</f>
        <v/>
      </c>
      <c r="D1072" s="25" t="str">
        <f>IF($A1072="","",'Lot Balance'!$G1071)</f>
        <v/>
      </c>
      <c r="E1072" s="25" t="str">
        <f>IF($A1072="","",'Lot Balance'!$H1071)</f>
        <v/>
      </c>
      <c r="F1072" s="23" t="str">
        <f>IF($A1072="","",'Lot Balance'!$I1071)</f>
        <v/>
      </c>
      <c r="G1072" s="23" t="str">
        <f>IF($A1072="","",'Lot Balance'!$O1071)</f>
        <v/>
      </c>
      <c r="H1072" s="33" t="str">
        <f>IF($A1072="","",'Lot Balance'!$P1071)</f>
        <v/>
      </c>
      <c r="I1072" s="26" t="str">
        <f>IF($A1072="","",COUNTIFS(tblIssues[Lot Number],$B1072))</f>
        <v/>
      </c>
      <c r="J1072" s="31" t="str">
        <f>IF($A1072="","",IF('Lot Balance'!$O1071&lt;=0,"Depleted",'Lot Balance'!$Q1071))</f>
        <v/>
      </c>
    </row>
    <row r="1073" spans="1:10" x14ac:dyDescent="0.35">
      <c r="A1073" s="18" t="str">
        <f>IF('Lot Balance'!$A1072="","",'Lot Balance'!$A1072)</f>
        <v/>
      </c>
      <c r="B1073" s="18" t="str">
        <f>IF($A1073="","",'Lot Balance'!$B1072)</f>
        <v/>
      </c>
      <c r="C1073" s="18" t="str">
        <f>IF($A1073="","",'Lot Balance'!$C1072)</f>
        <v/>
      </c>
      <c r="D1073" s="25" t="str">
        <f>IF($A1073="","",'Lot Balance'!$G1072)</f>
        <v/>
      </c>
      <c r="E1073" s="25" t="str">
        <f>IF($A1073="","",'Lot Balance'!$H1072)</f>
        <v/>
      </c>
      <c r="F1073" s="23" t="str">
        <f>IF($A1073="","",'Lot Balance'!$I1072)</f>
        <v/>
      </c>
      <c r="G1073" s="23" t="str">
        <f>IF($A1073="","",'Lot Balance'!$O1072)</f>
        <v/>
      </c>
      <c r="H1073" s="33" t="str">
        <f>IF($A1073="","",'Lot Balance'!$P1072)</f>
        <v/>
      </c>
      <c r="I1073" s="26" t="str">
        <f>IF($A1073="","",COUNTIFS(tblIssues[Lot Number],$B1073))</f>
        <v/>
      </c>
      <c r="J1073" s="31" t="str">
        <f>IF($A1073="","",IF('Lot Balance'!$O1072&lt;=0,"Depleted",'Lot Balance'!$Q1072))</f>
        <v/>
      </c>
    </row>
    <row r="1074" spans="1:10" x14ac:dyDescent="0.35">
      <c r="A1074" s="18" t="str">
        <f>IF('Lot Balance'!$A1073="","",'Lot Balance'!$A1073)</f>
        <v/>
      </c>
      <c r="B1074" s="18" t="str">
        <f>IF($A1074="","",'Lot Balance'!$B1073)</f>
        <v/>
      </c>
      <c r="C1074" s="18" t="str">
        <f>IF($A1074="","",'Lot Balance'!$C1073)</f>
        <v/>
      </c>
      <c r="D1074" s="25" t="str">
        <f>IF($A1074="","",'Lot Balance'!$G1073)</f>
        <v/>
      </c>
      <c r="E1074" s="25" t="str">
        <f>IF($A1074="","",'Lot Balance'!$H1073)</f>
        <v/>
      </c>
      <c r="F1074" s="23" t="str">
        <f>IF($A1074="","",'Lot Balance'!$I1073)</f>
        <v/>
      </c>
      <c r="G1074" s="23" t="str">
        <f>IF($A1074="","",'Lot Balance'!$O1073)</f>
        <v/>
      </c>
      <c r="H1074" s="33" t="str">
        <f>IF($A1074="","",'Lot Balance'!$P1073)</f>
        <v/>
      </c>
      <c r="I1074" s="26" t="str">
        <f>IF($A1074="","",COUNTIFS(tblIssues[Lot Number],$B1074))</f>
        <v/>
      </c>
      <c r="J1074" s="31" t="str">
        <f>IF($A1074="","",IF('Lot Balance'!$O1073&lt;=0,"Depleted",'Lot Balance'!$Q1073))</f>
        <v/>
      </c>
    </row>
    <row r="1075" spans="1:10" x14ac:dyDescent="0.35">
      <c r="A1075" s="18" t="str">
        <f>IF('Lot Balance'!$A1074="","",'Lot Balance'!$A1074)</f>
        <v/>
      </c>
      <c r="B1075" s="18" t="str">
        <f>IF($A1075="","",'Lot Balance'!$B1074)</f>
        <v/>
      </c>
      <c r="C1075" s="18" t="str">
        <f>IF($A1075="","",'Lot Balance'!$C1074)</f>
        <v/>
      </c>
      <c r="D1075" s="25" t="str">
        <f>IF($A1075="","",'Lot Balance'!$G1074)</f>
        <v/>
      </c>
      <c r="E1075" s="25" t="str">
        <f>IF($A1075="","",'Lot Balance'!$H1074)</f>
        <v/>
      </c>
      <c r="F1075" s="23" t="str">
        <f>IF($A1075="","",'Lot Balance'!$I1074)</f>
        <v/>
      </c>
      <c r="G1075" s="23" t="str">
        <f>IF($A1075="","",'Lot Balance'!$O1074)</f>
        <v/>
      </c>
      <c r="H1075" s="33" t="str">
        <f>IF($A1075="","",'Lot Balance'!$P1074)</f>
        <v/>
      </c>
      <c r="I1075" s="26" t="str">
        <f>IF($A1075="","",COUNTIFS(tblIssues[Lot Number],$B1075))</f>
        <v/>
      </c>
      <c r="J1075" s="31" t="str">
        <f>IF($A1075="","",IF('Lot Balance'!$O1074&lt;=0,"Depleted",'Lot Balance'!$Q1074))</f>
        <v/>
      </c>
    </row>
    <row r="1076" spans="1:10" x14ac:dyDescent="0.35">
      <c r="A1076" s="18" t="str">
        <f>IF('Lot Balance'!$A1075="","",'Lot Balance'!$A1075)</f>
        <v/>
      </c>
      <c r="B1076" s="18" t="str">
        <f>IF($A1076="","",'Lot Balance'!$B1075)</f>
        <v/>
      </c>
      <c r="C1076" s="18" t="str">
        <f>IF($A1076="","",'Lot Balance'!$C1075)</f>
        <v/>
      </c>
      <c r="D1076" s="25" t="str">
        <f>IF($A1076="","",'Lot Balance'!$G1075)</f>
        <v/>
      </c>
      <c r="E1076" s="25" t="str">
        <f>IF($A1076="","",'Lot Balance'!$H1075)</f>
        <v/>
      </c>
      <c r="F1076" s="23" t="str">
        <f>IF($A1076="","",'Lot Balance'!$I1075)</f>
        <v/>
      </c>
      <c r="G1076" s="23" t="str">
        <f>IF($A1076="","",'Lot Balance'!$O1075)</f>
        <v/>
      </c>
      <c r="H1076" s="33" t="str">
        <f>IF($A1076="","",'Lot Balance'!$P1075)</f>
        <v/>
      </c>
      <c r="I1076" s="26" t="str">
        <f>IF($A1076="","",COUNTIFS(tblIssues[Lot Number],$B1076))</f>
        <v/>
      </c>
      <c r="J1076" s="31" t="str">
        <f>IF($A1076="","",IF('Lot Balance'!$O1075&lt;=0,"Depleted",'Lot Balance'!$Q1075))</f>
        <v/>
      </c>
    </row>
    <row r="1077" spans="1:10" x14ac:dyDescent="0.35">
      <c r="A1077" s="18" t="str">
        <f>IF('Lot Balance'!$A1076="","",'Lot Balance'!$A1076)</f>
        <v/>
      </c>
      <c r="B1077" s="18" t="str">
        <f>IF($A1077="","",'Lot Balance'!$B1076)</f>
        <v/>
      </c>
      <c r="C1077" s="18" t="str">
        <f>IF($A1077="","",'Lot Balance'!$C1076)</f>
        <v/>
      </c>
      <c r="D1077" s="25" t="str">
        <f>IF($A1077="","",'Lot Balance'!$G1076)</f>
        <v/>
      </c>
      <c r="E1077" s="25" t="str">
        <f>IF($A1077="","",'Lot Balance'!$H1076)</f>
        <v/>
      </c>
      <c r="F1077" s="23" t="str">
        <f>IF($A1077="","",'Lot Balance'!$I1076)</f>
        <v/>
      </c>
      <c r="G1077" s="23" t="str">
        <f>IF($A1077="","",'Lot Balance'!$O1076)</f>
        <v/>
      </c>
      <c r="H1077" s="33" t="str">
        <f>IF($A1077="","",'Lot Balance'!$P1076)</f>
        <v/>
      </c>
      <c r="I1077" s="26" t="str">
        <f>IF($A1077="","",COUNTIFS(tblIssues[Lot Number],$B1077))</f>
        <v/>
      </c>
      <c r="J1077" s="31" t="str">
        <f>IF($A1077="","",IF('Lot Balance'!$O1076&lt;=0,"Depleted",'Lot Balance'!$Q1076))</f>
        <v/>
      </c>
    </row>
    <row r="1078" spans="1:10" x14ac:dyDescent="0.35">
      <c r="A1078" s="18" t="str">
        <f>IF('Lot Balance'!$A1077="","",'Lot Balance'!$A1077)</f>
        <v/>
      </c>
      <c r="B1078" s="18" t="str">
        <f>IF($A1078="","",'Lot Balance'!$B1077)</f>
        <v/>
      </c>
      <c r="C1078" s="18" t="str">
        <f>IF($A1078="","",'Lot Balance'!$C1077)</f>
        <v/>
      </c>
      <c r="D1078" s="25" t="str">
        <f>IF($A1078="","",'Lot Balance'!$G1077)</f>
        <v/>
      </c>
      <c r="E1078" s="25" t="str">
        <f>IF($A1078="","",'Lot Balance'!$H1077)</f>
        <v/>
      </c>
      <c r="F1078" s="23" t="str">
        <f>IF($A1078="","",'Lot Balance'!$I1077)</f>
        <v/>
      </c>
      <c r="G1078" s="23" t="str">
        <f>IF($A1078="","",'Lot Balance'!$O1077)</f>
        <v/>
      </c>
      <c r="H1078" s="33" t="str">
        <f>IF($A1078="","",'Lot Balance'!$P1077)</f>
        <v/>
      </c>
      <c r="I1078" s="26" t="str">
        <f>IF($A1078="","",COUNTIFS(tblIssues[Lot Number],$B1078))</f>
        <v/>
      </c>
      <c r="J1078" s="31" t="str">
        <f>IF($A1078="","",IF('Lot Balance'!$O1077&lt;=0,"Depleted",'Lot Balance'!$Q1077))</f>
        <v/>
      </c>
    </row>
    <row r="1079" spans="1:10" x14ac:dyDescent="0.35">
      <c r="A1079" s="18" t="str">
        <f>IF('Lot Balance'!$A1078="","",'Lot Balance'!$A1078)</f>
        <v/>
      </c>
      <c r="B1079" s="18" t="str">
        <f>IF($A1079="","",'Lot Balance'!$B1078)</f>
        <v/>
      </c>
      <c r="C1079" s="18" t="str">
        <f>IF($A1079="","",'Lot Balance'!$C1078)</f>
        <v/>
      </c>
      <c r="D1079" s="25" t="str">
        <f>IF($A1079="","",'Lot Balance'!$G1078)</f>
        <v/>
      </c>
      <c r="E1079" s="25" t="str">
        <f>IF($A1079="","",'Lot Balance'!$H1078)</f>
        <v/>
      </c>
      <c r="F1079" s="23" t="str">
        <f>IF($A1079="","",'Lot Balance'!$I1078)</f>
        <v/>
      </c>
      <c r="G1079" s="23" t="str">
        <f>IF($A1079="","",'Lot Balance'!$O1078)</f>
        <v/>
      </c>
      <c r="H1079" s="33" t="str">
        <f>IF($A1079="","",'Lot Balance'!$P1078)</f>
        <v/>
      </c>
      <c r="I1079" s="26" t="str">
        <f>IF($A1079="","",COUNTIFS(tblIssues[Lot Number],$B1079))</f>
        <v/>
      </c>
      <c r="J1079" s="31" t="str">
        <f>IF($A1079="","",IF('Lot Balance'!$O1078&lt;=0,"Depleted",'Lot Balance'!$Q1078))</f>
        <v/>
      </c>
    </row>
    <row r="1080" spans="1:10" x14ac:dyDescent="0.35">
      <c r="A1080" s="18" t="str">
        <f>IF('Lot Balance'!$A1079="","",'Lot Balance'!$A1079)</f>
        <v/>
      </c>
      <c r="B1080" s="18" t="str">
        <f>IF($A1080="","",'Lot Balance'!$B1079)</f>
        <v/>
      </c>
      <c r="C1080" s="18" t="str">
        <f>IF($A1080="","",'Lot Balance'!$C1079)</f>
        <v/>
      </c>
      <c r="D1080" s="25" t="str">
        <f>IF($A1080="","",'Lot Balance'!$G1079)</f>
        <v/>
      </c>
      <c r="E1080" s="25" t="str">
        <f>IF($A1080="","",'Lot Balance'!$H1079)</f>
        <v/>
      </c>
      <c r="F1080" s="23" t="str">
        <f>IF($A1080="","",'Lot Balance'!$I1079)</f>
        <v/>
      </c>
      <c r="G1080" s="23" t="str">
        <f>IF($A1080="","",'Lot Balance'!$O1079)</f>
        <v/>
      </c>
      <c r="H1080" s="33" t="str">
        <f>IF($A1080="","",'Lot Balance'!$P1079)</f>
        <v/>
      </c>
      <c r="I1080" s="26" t="str">
        <f>IF($A1080="","",COUNTIFS(tblIssues[Lot Number],$B1080))</f>
        <v/>
      </c>
      <c r="J1080" s="31" t="str">
        <f>IF($A1080="","",IF('Lot Balance'!$O1079&lt;=0,"Depleted",'Lot Balance'!$Q1079))</f>
        <v/>
      </c>
    </row>
    <row r="1081" spans="1:10" x14ac:dyDescent="0.35">
      <c r="A1081" s="18" t="str">
        <f>IF('Lot Balance'!$A1080="","",'Lot Balance'!$A1080)</f>
        <v/>
      </c>
      <c r="B1081" s="18" t="str">
        <f>IF($A1081="","",'Lot Balance'!$B1080)</f>
        <v/>
      </c>
      <c r="C1081" s="18" t="str">
        <f>IF($A1081="","",'Lot Balance'!$C1080)</f>
        <v/>
      </c>
      <c r="D1081" s="25" t="str">
        <f>IF($A1081="","",'Lot Balance'!$G1080)</f>
        <v/>
      </c>
      <c r="E1081" s="25" t="str">
        <f>IF($A1081="","",'Lot Balance'!$H1080)</f>
        <v/>
      </c>
      <c r="F1081" s="23" t="str">
        <f>IF($A1081="","",'Lot Balance'!$I1080)</f>
        <v/>
      </c>
      <c r="G1081" s="23" t="str">
        <f>IF($A1081="","",'Lot Balance'!$O1080)</f>
        <v/>
      </c>
      <c r="H1081" s="33" t="str">
        <f>IF($A1081="","",'Lot Balance'!$P1080)</f>
        <v/>
      </c>
      <c r="I1081" s="26" t="str">
        <f>IF($A1081="","",COUNTIFS(tblIssues[Lot Number],$B1081))</f>
        <v/>
      </c>
      <c r="J1081" s="31" t="str">
        <f>IF($A1081="","",IF('Lot Balance'!$O1080&lt;=0,"Depleted",'Lot Balance'!$Q1080))</f>
        <v/>
      </c>
    </row>
    <row r="1082" spans="1:10" x14ac:dyDescent="0.35">
      <c r="A1082" s="18" t="str">
        <f>IF('Lot Balance'!$A1081="","",'Lot Balance'!$A1081)</f>
        <v/>
      </c>
      <c r="B1082" s="18" t="str">
        <f>IF($A1082="","",'Lot Balance'!$B1081)</f>
        <v/>
      </c>
      <c r="C1082" s="18" t="str">
        <f>IF($A1082="","",'Lot Balance'!$C1081)</f>
        <v/>
      </c>
      <c r="D1082" s="25" t="str">
        <f>IF($A1082="","",'Lot Balance'!$G1081)</f>
        <v/>
      </c>
      <c r="E1082" s="25" t="str">
        <f>IF($A1082="","",'Lot Balance'!$H1081)</f>
        <v/>
      </c>
      <c r="F1082" s="23" t="str">
        <f>IF($A1082="","",'Lot Balance'!$I1081)</f>
        <v/>
      </c>
      <c r="G1082" s="23" t="str">
        <f>IF($A1082="","",'Lot Balance'!$O1081)</f>
        <v/>
      </c>
      <c r="H1082" s="33" t="str">
        <f>IF($A1082="","",'Lot Balance'!$P1081)</f>
        <v/>
      </c>
      <c r="I1082" s="26" t="str">
        <f>IF($A1082="","",COUNTIFS(tblIssues[Lot Number],$B1082))</f>
        <v/>
      </c>
      <c r="J1082" s="31" t="str">
        <f>IF($A1082="","",IF('Lot Balance'!$O1081&lt;=0,"Depleted",'Lot Balance'!$Q1081))</f>
        <v/>
      </c>
    </row>
    <row r="1083" spans="1:10" x14ac:dyDescent="0.35">
      <c r="A1083" s="18" t="str">
        <f>IF('Lot Balance'!$A1082="","",'Lot Balance'!$A1082)</f>
        <v/>
      </c>
      <c r="B1083" s="18" t="str">
        <f>IF($A1083="","",'Lot Balance'!$B1082)</f>
        <v/>
      </c>
      <c r="C1083" s="18" t="str">
        <f>IF($A1083="","",'Lot Balance'!$C1082)</f>
        <v/>
      </c>
      <c r="D1083" s="25" t="str">
        <f>IF($A1083="","",'Lot Balance'!$G1082)</f>
        <v/>
      </c>
      <c r="E1083" s="25" t="str">
        <f>IF($A1083="","",'Lot Balance'!$H1082)</f>
        <v/>
      </c>
      <c r="F1083" s="23" t="str">
        <f>IF($A1083="","",'Lot Balance'!$I1082)</f>
        <v/>
      </c>
      <c r="G1083" s="23" t="str">
        <f>IF($A1083="","",'Lot Balance'!$O1082)</f>
        <v/>
      </c>
      <c r="H1083" s="33" t="str">
        <f>IF($A1083="","",'Lot Balance'!$P1082)</f>
        <v/>
      </c>
      <c r="I1083" s="26" t="str">
        <f>IF($A1083="","",COUNTIFS(tblIssues[Lot Number],$B1083))</f>
        <v/>
      </c>
      <c r="J1083" s="31" t="str">
        <f>IF($A1083="","",IF('Lot Balance'!$O1082&lt;=0,"Depleted",'Lot Balance'!$Q1082))</f>
        <v/>
      </c>
    </row>
    <row r="1084" spans="1:10" x14ac:dyDescent="0.35">
      <c r="A1084" s="18" t="str">
        <f>IF('Lot Balance'!$A1083="","",'Lot Balance'!$A1083)</f>
        <v/>
      </c>
      <c r="B1084" s="18" t="str">
        <f>IF($A1084="","",'Lot Balance'!$B1083)</f>
        <v/>
      </c>
      <c r="C1084" s="18" t="str">
        <f>IF($A1084="","",'Lot Balance'!$C1083)</f>
        <v/>
      </c>
      <c r="D1084" s="25" t="str">
        <f>IF($A1084="","",'Lot Balance'!$G1083)</f>
        <v/>
      </c>
      <c r="E1084" s="25" t="str">
        <f>IF($A1084="","",'Lot Balance'!$H1083)</f>
        <v/>
      </c>
      <c r="F1084" s="23" t="str">
        <f>IF($A1084="","",'Lot Balance'!$I1083)</f>
        <v/>
      </c>
      <c r="G1084" s="23" t="str">
        <f>IF($A1084="","",'Lot Balance'!$O1083)</f>
        <v/>
      </c>
      <c r="H1084" s="33" t="str">
        <f>IF($A1084="","",'Lot Balance'!$P1083)</f>
        <v/>
      </c>
      <c r="I1084" s="26" t="str">
        <f>IF($A1084="","",COUNTIFS(tblIssues[Lot Number],$B1084))</f>
        <v/>
      </c>
      <c r="J1084" s="31" t="str">
        <f>IF($A1084="","",IF('Lot Balance'!$O1083&lt;=0,"Depleted",'Lot Balance'!$Q1083))</f>
        <v/>
      </c>
    </row>
    <row r="1085" spans="1:10" x14ac:dyDescent="0.35">
      <c r="A1085" s="18" t="str">
        <f>IF('Lot Balance'!$A1084="","",'Lot Balance'!$A1084)</f>
        <v/>
      </c>
      <c r="B1085" s="18" t="str">
        <f>IF($A1085="","",'Lot Balance'!$B1084)</f>
        <v/>
      </c>
      <c r="C1085" s="18" t="str">
        <f>IF($A1085="","",'Lot Balance'!$C1084)</f>
        <v/>
      </c>
      <c r="D1085" s="25" t="str">
        <f>IF($A1085="","",'Lot Balance'!$G1084)</f>
        <v/>
      </c>
      <c r="E1085" s="25" t="str">
        <f>IF($A1085="","",'Lot Balance'!$H1084)</f>
        <v/>
      </c>
      <c r="F1085" s="23" t="str">
        <f>IF($A1085="","",'Lot Balance'!$I1084)</f>
        <v/>
      </c>
      <c r="G1085" s="23" t="str">
        <f>IF($A1085="","",'Lot Balance'!$O1084)</f>
        <v/>
      </c>
      <c r="H1085" s="33" t="str">
        <f>IF($A1085="","",'Lot Balance'!$P1084)</f>
        <v/>
      </c>
      <c r="I1085" s="26" t="str">
        <f>IF($A1085="","",COUNTIFS(tblIssues[Lot Number],$B1085))</f>
        <v/>
      </c>
      <c r="J1085" s="31" t="str">
        <f>IF($A1085="","",IF('Lot Balance'!$O1084&lt;=0,"Depleted",'Lot Balance'!$Q1084))</f>
        <v/>
      </c>
    </row>
    <row r="1086" spans="1:10" x14ac:dyDescent="0.35">
      <c r="A1086" s="18" t="str">
        <f>IF('Lot Balance'!$A1085="","",'Lot Balance'!$A1085)</f>
        <v/>
      </c>
      <c r="B1086" s="18" t="str">
        <f>IF($A1086="","",'Lot Balance'!$B1085)</f>
        <v/>
      </c>
      <c r="C1086" s="18" t="str">
        <f>IF($A1086="","",'Lot Balance'!$C1085)</f>
        <v/>
      </c>
      <c r="D1086" s="25" t="str">
        <f>IF($A1086="","",'Lot Balance'!$G1085)</f>
        <v/>
      </c>
      <c r="E1086" s="25" t="str">
        <f>IF($A1086="","",'Lot Balance'!$H1085)</f>
        <v/>
      </c>
      <c r="F1086" s="23" t="str">
        <f>IF($A1086="","",'Lot Balance'!$I1085)</f>
        <v/>
      </c>
      <c r="G1086" s="23" t="str">
        <f>IF($A1086="","",'Lot Balance'!$O1085)</f>
        <v/>
      </c>
      <c r="H1086" s="33" t="str">
        <f>IF($A1086="","",'Lot Balance'!$P1085)</f>
        <v/>
      </c>
      <c r="I1086" s="26" t="str">
        <f>IF($A1086="","",COUNTIFS(tblIssues[Lot Number],$B1086))</f>
        <v/>
      </c>
      <c r="J1086" s="31" t="str">
        <f>IF($A1086="","",IF('Lot Balance'!$O1085&lt;=0,"Depleted",'Lot Balance'!$Q1085))</f>
        <v/>
      </c>
    </row>
    <row r="1087" spans="1:10" x14ac:dyDescent="0.35">
      <c r="A1087" s="18" t="str">
        <f>IF('Lot Balance'!$A1086="","",'Lot Balance'!$A1086)</f>
        <v/>
      </c>
      <c r="B1087" s="18" t="str">
        <f>IF($A1087="","",'Lot Balance'!$B1086)</f>
        <v/>
      </c>
      <c r="C1087" s="18" t="str">
        <f>IF($A1087="","",'Lot Balance'!$C1086)</f>
        <v/>
      </c>
      <c r="D1087" s="25" t="str">
        <f>IF($A1087="","",'Lot Balance'!$G1086)</f>
        <v/>
      </c>
      <c r="E1087" s="25" t="str">
        <f>IF($A1087="","",'Lot Balance'!$H1086)</f>
        <v/>
      </c>
      <c r="F1087" s="23" t="str">
        <f>IF($A1087="","",'Lot Balance'!$I1086)</f>
        <v/>
      </c>
      <c r="G1087" s="23" t="str">
        <f>IF($A1087="","",'Lot Balance'!$O1086)</f>
        <v/>
      </c>
      <c r="H1087" s="33" t="str">
        <f>IF($A1087="","",'Lot Balance'!$P1086)</f>
        <v/>
      </c>
      <c r="I1087" s="26" t="str">
        <f>IF($A1087="","",COUNTIFS(tblIssues[Lot Number],$B1087))</f>
        <v/>
      </c>
      <c r="J1087" s="31" t="str">
        <f>IF($A1087="","",IF('Lot Balance'!$O1086&lt;=0,"Depleted",'Lot Balance'!$Q1086))</f>
        <v/>
      </c>
    </row>
    <row r="1088" spans="1:10" x14ac:dyDescent="0.35">
      <c r="A1088" s="18" t="str">
        <f>IF('Lot Balance'!$A1087="","",'Lot Balance'!$A1087)</f>
        <v/>
      </c>
      <c r="B1088" s="18" t="str">
        <f>IF($A1088="","",'Lot Balance'!$B1087)</f>
        <v/>
      </c>
      <c r="C1088" s="18" t="str">
        <f>IF($A1088="","",'Lot Balance'!$C1087)</f>
        <v/>
      </c>
      <c r="D1088" s="25" t="str">
        <f>IF($A1088="","",'Lot Balance'!$G1087)</f>
        <v/>
      </c>
      <c r="E1088" s="25" t="str">
        <f>IF($A1088="","",'Lot Balance'!$H1087)</f>
        <v/>
      </c>
      <c r="F1088" s="23" t="str">
        <f>IF($A1088="","",'Lot Balance'!$I1087)</f>
        <v/>
      </c>
      <c r="G1088" s="23" t="str">
        <f>IF($A1088="","",'Lot Balance'!$O1087)</f>
        <v/>
      </c>
      <c r="H1088" s="33" t="str">
        <f>IF($A1088="","",'Lot Balance'!$P1087)</f>
        <v/>
      </c>
      <c r="I1088" s="26" t="str">
        <f>IF($A1088="","",COUNTIFS(tblIssues[Lot Number],$B1088))</f>
        <v/>
      </c>
      <c r="J1088" s="31" t="str">
        <f>IF($A1088="","",IF('Lot Balance'!$O1087&lt;=0,"Depleted",'Lot Balance'!$Q1087))</f>
        <v/>
      </c>
    </row>
    <row r="1089" spans="1:10" x14ac:dyDescent="0.35">
      <c r="A1089" s="18" t="str">
        <f>IF('Lot Balance'!$A1088="","",'Lot Balance'!$A1088)</f>
        <v/>
      </c>
      <c r="B1089" s="18" t="str">
        <f>IF($A1089="","",'Lot Balance'!$B1088)</f>
        <v/>
      </c>
      <c r="C1089" s="18" t="str">
        <f>IF($A1089="","",'Lot Balance'!$C1088)</f>
        <v/>
      </c>
      <c r="D1089" s="25" t="str">
        <f>IF($A1089="","",'Lot Balance'!$G1088)</f>
        <v/>
      </c>
      <c r="E1089" s="25" t="str">
        <f>IF($A1089="","",'Lot Balance'!$H1088)</f>
        <v/>
      </c>
      <c r="F1089" s="23" t="str">
        <f>IF($A1089="","",'Lot Balance'!$I1088)</f>
        <v/>
      </c>
      <c r="G1089" s="23" t="str">
        <f>IF($A1089="","",'Lot Balance'!$O1088)</f>
        <v/>
      </c>
      <c r="H1089" s="33" t="str">
        <f>IF($A1089="","",'Lot Balance'!$P1088)</f>
        <v/>
      </c>
      <c r="I1089" s="26" t="str">
        <f>IF($A1089="","",COUNTIFS(tblIssues[Lot Number],$B1089))</f>
        <v/>
      </c>
      <c r="J1089" s="31" t="str">
        <f>IF($A1089="","",IF('Lot Balance'!$O1088&lt;=0,"Depleted",'Lot Balance'!$Q1088))</f>
        <v/>
      </c>
    </row>
    <row r="1090" spans="1:10" x14ac:dyDescent="0.35">
      <c r="A1090" s="18" t="str">
        <f>IF('Lot Balance'!$A1089="","",'Lot Balance'!$A1089)</f>
        <v/>
      </c>
      <c r="B1090" s="18" t="str">
        <f>IF($A1090="","",'Lot Balance'!$B1089)</f>
        <v/>
      </c>
      <c r="C1090" s="18" t="str">
        <f>IF($A1090="","",'Lot Balance'!$C1089)</f>
        <v/>
      </c>
      <c r="D1090" s="25" t="str">
        <f>IF($A1090="","",'Lot Balance'!$G1089)</f>
        <v/>
      </c>
      <c r="E1090" s="25" t="str">
        <f>IF($A1090="","",'Lot Balance'!$H1089)</f>
        <v/>
      </c>
      <c r="F1090" s="23" t="str">
        <f>IF($A1090="","",'Lot Balance'!$I1089)</f>
        <v/>
      </c>
      <c r="G1090" s="23" t="str">
        <f>IF($A1090="","",'Lot Balance'!$O1089)</f>
        <v/>
      </c>
      <c r="H1090" s="33" t="str">
        <f>IF($A1090="","",'Lot Balance'!$P1089)</f>
        <v/>
      </c>
      <c r="I1090" s="26" t="str">
        <f>IF($A1090="","",COUNTIFS(tblIssues[Lot Number],$B1090))</f>
        <v/>
      </c>
      <c r="J1090" s="31" t="str">
        <f>IF($A1090="","",IF('Lot Balance'!$O1089&lt;=0,"Depleted",'Lot Balance'!$Q1089))</f>
        <v/>
      </c>
    </row>
    <row r="1091" spans="1:10" x14ac:dyDescent="0.35">
      <c r="A1091" s="18" t="str">
        <f>IF('Lot Balance'!$A1090="","",'Lot Balance'!$A1090)</f>
        <v/>
      </c>
      <c r="B1091" s="18" t="str">
        <f>IF($A1091="","",'Lot Balance'!$B1090)</f>
        <v/>
      </c>
      <c r="C1091" s="18" t="str">
        <f>IF($A1091="","",'Lot Balance'!$C1090)</f>
        <v/>
      </c>
      <c r="D1091" s="25" t="str">
        <f>IF($A1091="","",'Lot Balance'!$G1090)</f>
        <v/>
      </c>
      <c r="E1091" s="25" t="str">
        <f>IF($A1091="","",'Lot Balance'!$H1090)</f>
        <v/>
      </c>
      <c r="F1091" s="23" t="str">
        <f>IF($A1091="","",'Lot Balance'!$I1090)</f>
        <v/>
      </c>
      <c r="G1091" s="23" t="str">
        <f>IF($A1091="","",'Lot Balance'!$O1090)</f>
        <v/>
      </c>
      <c r="H1091" s="33" t="str">
        <f>IF($A1091="","",'Lot Balance'!$P1090)</f>
        <v/>
      </c>
      <c r="I1091" s="26" t="str">
        <f>IF($A1091="","",COUNTIFS(tblIssues[Lot Number],$B1091))</f>
        <v/>
      </c>
      <c r="J1091" s="31" t="str">
        <f>IF($A1091="","",IF('Lot Balance'!$O1090&lt;=0,"Depleted",'Lot Balance'!$Q1090))</f>
        <v/>
      </c>
    </row>
    <row r="1092" spans="1:10" x14ac:dyDescent="0.35">
      <c r="A1092" s="18" t="str">
        <f>IF('Lot Balance'!$A1091="","",'Lot Balance'!$A1091)</f>
        <v/>
      </c>
      <c r="B1092" s="18" t="str">
        <f>IF($A1092="","",'Lot Balance'!$B1091)</f>
        <v/>
      </c>
      <c r="C1092" s="18" t="str">
        <f>IF($A1092="","",'Lot Balance'!$C1091)</f>
        <v/>
      </c>
      <c r="D1092" s="25" t="str">
        <f>IF($A1092="","",'Lot Balance'!$G1091)</f>
        <v/>
      </c>
      <c r="E1092" s="25" t="str">
        <f>IF($A1092="","",'Lot Balance'!$H1091)</f>
        <v/>
      </c>
      <c r="F1092" s="23" t="str">
        <f>IF($A1092="","",'Lot Balance'!$I1091)</f>
        <v/>
      </c>
      <c r="G1092" s="23" t="str">
        <f>IF($A1092="","",'Lot Balance'!$O1091)</f>
        <v/>
      </c>
      <c r="H1092" s="33" t="str">
        <f>IF($A1092="","",'Lot Balance'!$P1091)</f>
        <v/>
      </c>
      <c r="I1092" s="26" t="str">
        <f>IF($A1092="","",COUNTIFS(tblIssues[Lot Number],$B1092))</f>
        <v/>
      </c>
      <c r="J1092" s="31" t="str">
        <f>IF($A1092="","",IF('Lot Balance'!$O1091&lt;=0,"Depleted",'Lot Balance'!$Q1091))</f>
        <v/>
      </c>
    </row>
    <row r="1093" spans="1:10" x14ac:dyDescent="0.35">
      <c r="A1093" s="18" t="str">
        <f>IF('Lot Balance'!$A1092="","",'Lot Balance'!$A1092)</f>
        <v/>
      </c>
      <c r="B1093" s="18" t="str">
        <f>IF($A1093="","",'Lot Balance'!$B1092)</f>
        <v/>
      </c>
      <c r="C1093" s="18" t="str">
        <f>IF($A1093="","",'Lot Balance'!$C1092)</f>
        <v/>
      </c>
      <c r="D1093" s="25" t="str">
        <f>IF($A1093="","",'Lot Balance'!$G1092)</f>
        <v/>
      </c>
      <c r="E1093" s="25" t="str">
        <f>IF($A1093="","",'Lot Balance'!$H1092)</f>
        <v/>
      </c>
      <c r="F1093" s="23" t="str">
        <f>IF($A1093="","",'Lot Balance'!$I1092)</f>
        <v/>
      </c>
      <c r="G1093" s="23" t="str">
        <f>IF($A1093="","",'Lot Balance'!$O1092)</f>
        <v/>
      </c>
      <c r="H1093" s="33" t="str">
        <f>IF($A1093="","",'Lot Balance'!$P1092)</f>
        <v/>
      </c>
      <c r="I1093" s="26" t="str">
        <f>IF($A1093="","",COUNTIFS(tblIssues[Lot Number],$B1093))</f>
        <v/>
      </c>
      <c r="J1093" s="31" t="str">
        <f>IF($A1093="","",IF('Lot Balance'!$O1092&lt;=0,"Depleted",'Lot Balance'!$Q1092))</f>
        <v/>
      </c>
    </row>
    <row r="1094" spans="1:10" x14ac:dyDescent="0.35">
      <c r="A1094" s="18" t="str">
        <f>IF('Lot Balance'!$A1093="","",'Lot Balance'!$A1093)</f>
        <v/>
      </c>
      <c r="B1094" s="18" t="str">
        <f>IF($A1094="","",'Lot Balance'!$B1093)</f>
        <v/>
      </c>
      <c r="C1094" s="18" t="str">
        <f>IF($A1094="","",'Lot Balance'!$C1093)</f>
        <v/>
      </c>
      <c r="D1094" s="25" t="str">
        <f>IF($A1094="","",'Lot Balance'!$G1093)</f>
        <v/>
      </c>
      <c r="E1094" s="25" t="str">
        <f>IF($A1094="","",'Lot Balance'!$H1093)</f>
        <v/>
      </c>
      <c r="F1094" s="23" t="str">
        <f>IF($A1094="","",'Lot Balance'!$I1093)</f>
        <v/>
      </c>
      <c r="G1094" s="23" t="str">
        <f>IF($A1094="","",'Lot Balance'!$O1093)</f>
        <v/>
      </c>
      <c r="H1094" s="33" t="str">
        <f>IF($A1094="","",'Lot Balance'!$P1093)</f>
        <v/>
      </c>
      <c r="I1094" s="26" t="str">
        <f>IF($A1094="","",COUNTIFS(tblIssues[Lot Number],$B1094))</f>
        <v/>
      </c>
      <c r="J1094" s="31" t="str">
        <f>IF($A1094="","",IF('Lot Balance'!$O1093&lt;=0,"Depleted",'Lot Balance'!$Q1093))</f>
        <v/>
      </c>
    </row>
    <row r="1095" spans="1:10" x14ac:dyDescent="0.35">
      <c r="A1095" s="18" t="str">
        <f>IF('Lot Balance'!$A1094="","",'Lot Balance'!$A1094)</f>
        <v/>
      </c>
      <c r="B1095" s="18" t="str">
        <f>IF($A1095="","",'Lot Balance'!$B1094)</f>
        <v/>
      </c>
      <c r="C1095" s="18" t="str">
        <f>IF($A1095="","",'Lot Balance'!$C1094)</f>
        <v/>
      </c>
      <c r="D1095" s="25" t="str">
        <f>IF($A1095="","",'Lot Balance'!$G1094)</f>
        <v/>
      </c>
      <c r="E1095" s="25" t="str">
        <f>IF($A1095="","",'Lot Balance'!$H1094)</f>
        <v/>
      </c>
      <c r="F1095" s="23" t="str">
        <f>IF($A1095="","",'Lot Balance'!$I1094)</f>
        <v/>
      </c>
      <c r="G1095" s="23" t="str">
        <f>IF($A1095="","",'Lot Balance'!$O1094)</f>
        <v/>
      </c>
      <c r="H1095" s="33" t="str">
        <f>IF($A1095="","",'Lot Balance'!$P1094)</f>
        <v/>
      </c>
      <c r="I1095" s="26" t="str">
        <f>IF($A1095="","",COUNTIFS(tblIssues[Lot Number],$B1095))</f>
        <v/>
      </c>
      <c r="J1095" s="31" t="str">
        <f>IF($A1095="","",IF('Lot Balance'!$O1094&lt;=0,"Depleted",'Lot Balance'!$Q1094))</f>
        <v/>
      </c>
    </row>
    <row r="1096" spans="1:10" x14ac:dyDescent="0.35">
      <c r="A1096" s="18" t="str">
        <f>IF('Lot Balance'!$A1095="","",'Lot Balance'!$A1095)</f>
        <v/>
      </c>
      <c r="B1096" s="18" t="str">
        <f>IF($A1096="","",'Lot Balance'!$B1095)</f>
        <v/>
      </c>
      <c r="C1096" s="18" t="str">
        <f>IF($A1096="","",'Lot Balance'!$C1095)</f>
        <v/>
      </c>
      <c r="D1096" s="25" t="str">
        <f>IF($A1096="","",'Lot Balance'!$G1095)</f>
        <v/>
      </c>
      <c r="E1096" s="25" t="str">
        <f>IF($A1096="","",'Lot Balance'!$H1095)</f>
        <v/>
      </c>
      <c r="F1096" s="23" t="str">
        <f>IF($A1096="","",'Lot Balance'!$I1095)</f>
        <v/>
      </c>
      <c r="G1096" s="23" t="str">
        <f>IF($A1096="","",'Lot Balance'!$O1095)</f>
        <v/>
      </c>
      <c r="H1096" s="33" t="str">
        <f>IF($A1096="","",'Lot Balance'!$P1095)</f>
        <v/>
      </c>
      <c r="I1096" s="26" t="str">
        <f>IF($A1096="","",COUNTIFS(tblIssues[Lot Number],$B1096))</f>
        <v/>
      </c>
      <c r="J1096" s="31" t="str">
        <f>IF($A1096="","",IF('Lot Balance'!$O1095&lt;=0,"Depleted",'Lot Balance'!$Q1095))</f>
        <v/>
      </c>
    </row>
    <row r="1097" spans="1:10" x14ac:dyDescent="0.35">
      <c r="A1097" s="18" t="str">
        <f>IF('Lot Balance'!$A1096="","",'Lot Balance'!$A1096)</f>
        <v/>
      </c>
      <c r="B1097" s="18" t="str">
        <f>IF($A1097="","",'Lot Balance'!$B1096)</f>
        <v/>
      </c>
      <c r="C1097" s="18" t="str">
        <f>IF($A1097="","",'Lot Balance'!$C1096)</f>
        <v/>
      </c>
      <c r="D1097" s="25" t="str">
        <f>IF($A1097="","",'Lot Balance'!$G1096)</f>
        <v/>
      </c>
      <c r="E1097" s="25" t="str">
        <f>IF($A1097="","",'Lot Balance'!$H1096)</f>
        <v/>
      </c>
      <c r="F1097" s="23" t="str">
        <f>IF($A1097="","",'Lot Balance'!$I1096)</f>
        <v/>
      </c>
      <c r="G1097" s="23" t="str">
        <f>IF($A1097="","",'Lot Balance'!$O1096)</f>
        <v/>
      </c>
      <c r="H1097" s="33" t="str">
        <f>IF($A1097="","",'Lot Balance'!$P1096)</f>
        <v/>
      </c>
      <c r="I1097" s="26" t="str">
        <f>IF($A1097="","",COUNTIFS(tblIssues[Lot Number],$B1097))</f>
        <v/>
      </c>
      <c r="J1097" s="31" t="str">
        <f>IF($A1097="","",IF('Lot Balance'!$O1096&lt;=0,"Depleted",'Lot Balance'!$Q1096))</f>
        <v/>
      </c>
    </row>
    <row r="1098" spans="1:10" x14ac:dyDescent="0.35">
      <c r="A1098" s="18" t="str">
        <f>IF('Lot Balance'!$A1097="","",'Lot Balance'!$A1097)</f>
        <v/>
      </c>
      <c r="B1098" s="18" t="str">
        <f>IF($A1098="","",'Lot Balance'!$B1097)</f>
        <v/>
      </c>
      <c r="C1098" s="18" t="str">
        <f>IF($A1098="","",'Lot Balance'!$C1097)</f>
        <v/>
      </c>
      <c r="D1098" s="25" t="str">
        <f>IF($A1098="","",'Lot Balance'!$G1097)</f>
        <v/>
      </c>
      <c r="E1098" s="25" t="str">
        <f>IF($A1098="","",'Lot Balance'!$H1097)</f>
        <v/>
      </c>
      <c r="F1098" s="23" t="str">
        <f>IF($A1098="","",'Lot Balance'!$I1097)</f>
        <v/>
      </c>
      <c r="G1098" s="23" t="str">
        <f>IF($A1098="","",'Lot Balance'!$O1097)</f>
        <v/>
      </c>
      <c r="H1098" s="33" t="str">
        <f>IF($A1098="","",'Lot Balance'!$P1097)</f>
        <v/>
      </c>
      <c r="I1098" s="26" t="str">
        <f>IF($A1098="","",COUNTIFS(tblIssues[Lot Number],$B1098))</f>
        <v/>
      </c>
      <c r="J1098" s="31" t="str">
        <f>IF($A1098="","",IF('Lot Balance'!$O1097&lt;=0,"Depleted",'Lot Balance'!$Q1097))</f>
        <v/>
      </c>
    </row>
    <row r="1099" spans="1:10" x14ac:dyDescent="0.35">
      <c r="A1099" s="18" t="str">
        <f>IF('Lot Balance'!$A1098="","",'Lot Balance'!$A1098)</f>
        <v/>
      </c>
      <c r="B1099" s="18" t="str">
        <f>IF($A1099="","",'Lot Balance'!$B1098)</f>
        <v/>
      </c>
      <c r="C1099" s="18" t="str">
        <f>IF($A1099="","",'Lot Balance'!$C1098)</f>
        <v/>
      </c>
      <c r="D1099" s="25" t="str">
        <f>IF($A1099="","",'Lot Balance'!$G1098)</f>
        <v/>
      </c>
      <c r="E1099" s="25" t="str">
        <f>IF($A1099="","",'Lot Balance'!$H1098)</f>
        <v/>
      </c>
      <c r="F1099" s="23" t="str">
        <f>IF($A1099="","",'Lot Balance'!$I1098)</f>
        <v/>
      </c>
      <c r="G1099" s="23" t="str">
        <f>IF($A1099="","",'Lot Balance'!$O1098)</f>
        <v/>
      </c>
      <c r="H1099" s="33" t="str">
        <f>IF($A1099="","",'Lot Balance'!$P1098)</f>
        <v/>
      </c>
      <c r="I1099" s="26" t="str">
        <f>IF($A1099="","",COUNTIFS(tblIssues[Lot Number],$B1099))</f>
        <v/>
      </c>
      <c r="J1099" s="31" t="str">
        <f>IF($A1099="","",IF('Lot Balance'!$O1098&lt;=0,"Depleted",'Lot Balance'!$Q1098))</f>
        <v/>
      </c>
    </row>
    <row r="1100" spans="1:10" x14ac:dyDescent="0.35">
      <c r="A1100" s="18" t="str">
        <f>IF('Lot Balance'!$A1099="","",'Lot Balance'!$A1099)</f>
        <v/>
      </c>
      <c r="B1100" s="18" t="str">
        <f>IF($A1100="","",'Lot Balance'!$B1099)</f>
        <v/>
      </c>
      <c r="C1100" s="18" t="str">
        <f>IF($A1100="","",'Lot Balance'!$C1099)</f>
        <v/>
      </c>
      <c r="D1100" s="25" t="str">
        <f>IF($A1100="","",'Lot Balance'!$G1099)</f>
        <v/>
      </c>
      <c r="E1100" s="25" t="str">
        <f>IF($A1100="","",'Lot Balance'!$H1099)</f>
        <v/>
      </c>
      <c r="F1100" s="23" t="str">
        <f>IF($A1100="","",'Lot Balance'!$I1099)</f>
        <v/>
      </c>
      <c r="G1100" s="23" t="str">
        <f>IF($A1100="","",'Lot Balance'!$O1099)</f>
        <v/>
      </c>
      <c r="H1100" s="33" t="str">
        <f>IF($A1100="","",'Lot Balance'!$P1099)</f>
        <v/>
      </c>
      <c r="I1100" s="26" t="str">
        <f>IF($A1100="","",COUNTIFS(tblIssues[Lot Number],$B1100))</f>
        <v/>
      </c>
      <c r="J1100" s="31" t="str">
        <f>IF($A1100="","",IF('Lot Balance'!$O1099&lt;=0,"Depleted",'Lot Balance'!$Q1099))</f>
        <v/>
      </c>
    </row>
    <row r="1101" spans="1:10" x14ac:dyDescent="0.35">
      <c r="A1101" s="18" t="str">
        <f>IF('Lot Balance'!$A1100="","",'Lot Balance'!$A1100)</f>
        <v/>
      </c>
      <c r="B1101" s="18" t="str">
        <f>IF($A1101="","",'Lot Balance'!$B1100)</f>
        <v/>
      </c>
      <c r="C1101" s="18" t="str">
        <f>IF($A1101="","",'Lot Balance'!$C1100)</f>
        <v/>
      </c>
      <c r="D1101" s="25" t="str">
        <f>IF($A1101="","",'Lot Balance'!$G1100)</f>
        <v/>
      </c>
      <c r="E1101" s="25" t="str">
        <f>IF($A1101="","",'Lot Balance'!$H1100)</f>
        <v/>
      </c>
      <c r="F1101" s="23" t="str">
        <f>IF($A1101="","",'Lot Balance'!$I1100)</f>
        <v/>
      </c>
      <c r="G1101" s="23" t="str">
        <f>IF($A1101="","",'Lot Balance'!$O1100)</f>
        <v/>
      </c>
      <c r="H1101" s="33" t="str">
        <f>IF($A1101="","",'Lot Balance'!$P1100)</f>
        <v/>
      </c>
      <c r="I1101" s="26" t="str">
        <f>IF($A1101="","",COUNTIFS(tblIssues[Lot Number],$B1101))</f>
        <v/>
      </c>
      <c r="J1101" s="31" t="str">
        <f>IF($A1101="","",IF('Lot Balance'!$O1100&lt;=0,"Depleted",'Lot Balance'!$Q1100))</f>
        <v/>
      </c>
    </row>
    <row r="1102" spans="1:10" x14ac:dyDescent="0.35">
      <c r="A1102" s="18" t="str">
        <f>IF('Lot Balance'!$A1101="","",'Lot Balance'!$A1101)</f>
        <v/>
      </c>
      <c r="B1102" s="18" t="str">
        <f>IF($A1102="","",'Lot Balance'!$B1101)</f>
        <v/>
      </c>
      <c r="C1102" s="18" t="str">
        <f>IF($A1102="","",'Lot Balance'!$C1101)</f>
        <v/>
      </c>
      <c r="D1102" s="25" t="str">
        <f>IF($A1102="","",'Lot Balance'!$G1101)</f>
        <v/>
      </c>
      <c r="E1102" s="25" t="str">
        <f>IF($A1102="","",'Lot Balance'!$H1101)</f>
        <v/>
      </c>
      <c r="F1102" s="23" t="str">
        <f>IF($A1102="","",'Lot Balance'!$I1101)</f>
        <v/>
      </c>
      <c r="G1102" s="23" t="str">
        <f>IF($A1102="","",'Lot Balance'!$O1101)</f>
        <v/>
      </c>
      <c r="H1102" s="33" t="str">
        <f>IF($A1102="","",'Lot Balance'!$P1101)</f>
        <v/>
      </c>
      <c r="I1102" s="26" t="str">
        <f>IF($A1102="","",COUNTIFS(tblIssues[Lot Number],$B1102))</f>
        <v/>
      </c>
      <c r="J1102" s="31" t="str">
        <f>IF($A1102="","",IF('Lot Balance'!$O1101&lt;=0,"Depleted",'Lot Balance'!$Q1101))</f>
        <v/>
      </c>
    </row>
    <row r="1103" spans="1:10" x14ac:dyDescent="0.35">
      <c r="A1103" s="18" t="str">
        <f>IF('Lot Balance'!$A1102="","",'Lot Balance'!$A1102)</f>
        <v/>
      </c>
      <c r="B1103" s="18" t="str">
        <f>IF($A1103="","",'Lot Balance'!$B1102)</f>
        <v/>
      </c>
      <c r="C1103" s="18" t="str">
        <f>IF($A1103="","",'Lot Balance'!$C1102)</f>
        <v/>
      </c>
      <c r="D1103" s="25" t="str">
        <f>IF($A1103="","",'Lot Balance'!$G1102)</f>
        <v/>
      </c>
      <c r="E1103" s="25" t="str">
        <f>IF($A1103="","",'Lot Balance'!$H1102)</f>
        <v/>
      </c>
      <c r="F1103" s="23" t="str">
        <f>IF($A1103="","",'Lot Balance'!$I1102)</f>
        <v/>
      </c>
      <c r="G1103" s="23" t="str">
        <f>IF($A1103="","",'Lot Balance'!$O1102)</f>
        <v/>
      </c>
      <c r="H1103" s="33" t="str">
        <f>IF($A1103="","",'Lot Balance'!$P1102)</f>
        <v/>
      </c>
      <c r="I1103" s="26" t="str">
        <f>IF($A1103="","",COUNTIFS(tblIssues[Lot Number],$B1103))</f>
        <v/>
      </c>
      <c r="J1103" s="31" t="str">
        <f>IF($A1103="","",IF('Lot Balance'!$O1102&lt;=0,"Depleted",'Lot Balance'!$Q1102))</f>
        <v/>
      </c>
    </row>
    <row r="1104" spans="1:10" x14ac:dyDescent="0.35">
      <c r="A1104" s="18" t="str">
        <f>IF('Lot Balance'!$A1103="","",'Lot Balance'!$A1103)</f>
        <v/>
      </c>
      <c r="B1104" s="18" t="str">
        <f>IF($A1104="","",'Lot Balance'!$B1103)</f>
        <v/>
      </c>
      <c r="C1104" s="18" t="str">
        <f>IF($A1104="","",'Lot Balance'!$C1103)</f>
        <v/>
      </c>
      <c r="D1104" s="25" t="str">
        <f>IF($A1104="","",'Lot Balance'!$G1103)</f>
        <v/>
      </c>
      <c r="E1104" s="25" t="str">
        <f>IF($A1104="","",'Lot Balance'!$H1103)</f>
        <v/>
      </c>
      <c r="F1104" s="23" t="str">
        <f>IF($A1104="","",'Lot Balance'!$I1103)</f>
        <v/>
      </c>
      <c r="G1104" s="23" t="str">
        <f>IF($A1104="","",'Lot Balance'!$O1103)</f>
        <v/>
      </c>
      <c r="H1104" s="33" t="str">
        <f>IF($A1104="","",'Lot Balance'!$P1103)</f>
        <v/>
      </c>
      <c r="I1104" s="26" t="str">
        <f>IF($A1104="","",COUNTIFS(tblIssues[Lot Number],$B1104))</f>
        <v/>
      </c>
      <c r="J1104" s="31" t="str">
        <f>IF($A1104="","",IF('Lot Balance'!$O1103&lt;=0,"Depleted",'Lot Balance'!$Q1103))</f>
        <v/>
      </c>
    </row>
    <row r="1105" spans="1:10" x14ac:dyDescent="0.35">
      <c r="A1105" s="18" t="str">
        <f>IF('Lot Balance'!$A1104="","",'Lot Balance'!$A1104)</f>
        <v/>
      </c>
      <c r="B1105" s="18" t="str">
        <f>IF($A1105="","",'Lot Balance'!$B1104)</f>
        <v/>
      </c>
      <c r="C1105" s="18" t="str">
        <f>IF($A1105="","",'Lot Balance'!$C1104)</f>
        <v/>
      </c>
      <c r="D1105" s="25" t="str">
        <f>IF($A1105="","",'Lot Balance'!$G1104)</f>
        <v/>
      </c>
      <c r="E1105" s="25" t="str">
        <f>IF($A1105="","",'Lot Balance'!$H1104)</f>
        <v/>
      </c>
      <c r="F1105" s="23" t="str">
        <f>IF($A1105="","",'Lot Balance'!$I1104)</f>
        <v/>
      </c>
      <c r="G1105" s="23" t="str">
        <f>IF($A1105="","",'Lot Balance'!$O1104)</f>
        <v/>
      </c>
      <c r="H1105" s="33" t="str">
        <f>IF($A1105="","",'Lot Balance'!$P1104)</f>
        <v/>
      </c>
      <c r="I1105" s="26" t="str">
        <f>IF($A1105="","",COUNTIFS(tblIssues[Lot Number],$B1105))</f>
        <v/>
      </c>
      <c r="J1105" s="31" t="str">
        <f>IF($A1105="","",IF('Lot Balance'!$O1104&lt;=0,"Depleted",'Lot Balance'!$Q1104))</f>
        <v/>
      </c>
    </row>
    <row r="1106" spans="1:10" x14ac:dyDescent="0.35">
      <c r="A1106" s="18" t="str">
        <f>IF('Lot Balance'!$A1105="","",'Lot Balance'!$A1105)</f>
        <v/>
      </c>
      <c r="B1106" s="18" t="str">
        <f>IF($A1106="","",'Lot Balance'!$B1105)</f>
        <v/>
      </c>
      <c r="C1106" s="18" t="str">
        <f>IF($A1106="","",'Lot Balance'!$C1105)</f>
        <v/>
      </c>
      <c r="D1106" s="25" t="str">
        <f>IF($A1106="","",'Lot Balance'!$G1105)</f>
        <v/>
      </c>
      <c r="E1106" s="25" t="str">
        <f>IF($A1106="","",'Lot Balance'!$H1105)</f>
        <v/>
      </c>
      <c r="F1106" s="23" t="str">
        <f>IF($A1106="","",'Lot Balance'!$I1105)</f>
        <v/>
      </c>
      <c r="G1106" s="23" t="str">
        <f>IF($A1106="","",'Lot Balance'!$O1105)</f>
        <v/>
      </c>
      <c r="H1106" s="33" t="str">
        <f>IF($A1106="","",'Lot Balance'!$P1105)</f>
        <v/>
      </c>
      <c r="I1106" s="26" t="str">
        <f>IF($A1106="","",COUNTIFS(tblIssues[Lot Number],$B1106))</f>
        <v/>
      </c>
      <c r="J1106" s="31" t="str">
        <f>IF($A1106="","",IF('Lot Balance'!$O1105&lt;=0,"Depleted",'Lot Balance'!$Q1105))</f>
        <v/>
      </c>
    </row>
    <row r="1107" spans="1:10" x14ac:dyDescent="0.35">
      <c r="A1107" s="18" t="str">
        <f>IF('Lot Balance'!$A1106="","",'Lot Balance'!$A1106)</f>
        <v/>
      </c>
      <c r="B1107" s="18" t="str">
        <f>IF($A1107="","",'Lot Balance'!$B1106)</f>
        <v/>
      </c>
      <c r="C1107" s="18" t="str">
        <f>IF($A1107="","",'Lot Balance'!$C1106)</f>
        <v/>
      </c>
      <c r="D1107" s="25" t="str">
        <f>IF($A1107="","",'Lot Balance'!$G1106)</f>
        <v/>
      </c>
      <c r="E1107" s="25" t="str">
        <f>IF($A1107="","",'Lot Balance'!$H1106)</f>
        <v/>
      </c>
      <c r="F1107" s="23" t="str">
        <f>IF($A1107="","",'Lot Balance'!$I1106)</f>
        <v/>
      </c>
      <c r="G1107" s="23" t="str">
        <f>IF($A1107="","",'Lot Balance'!$O1106)</f>
        <v/>
      </c>
      <c r="H1107" s="33" t="str">
        <f>IF($A1107="","",'Lot Balance'!$P1106)</f>
        <v/>
      </c>
      <c r="I1107" s="26" t="str">
        <f>IF($A1107="","",COUNTIFS(tblIssues[Lot Number],$B1107))</f>
        <v/>
      </c>
      <c r="J1107" s="31" t="str">
        <f>IF($A1107="","",IF('Lot Balance'!$O1106&lt;=0,"Depleted",'Lot Balance'!$Q1106))</f>
        <v/>
      </c>
    </row>
    <row r="1108" spans="1:10" x14ac:dyDescent="0.35">
      <c r="A1108" s="18" t="str">
        <f>IF('Lot Balance'!$A1107="","",'Lot Balance'!$A1107)</f>
        <v/>
      </c>
      <c r="B1108" s="18" t="str">
        <f>IF($A1108="","",'Lot Balance'!$B1107)</f>
        <v/>
      </c>
      <c r="C1108" s="18" t="str">
        <f>IF($A1108="","",'Lot Balance'!$C1107)</f>
        <v/>
      </c>
      <c r="D1108" s="25" t="str">
        <f>IF($A1108="","",'Lot Balance'!$G1107)</f>
        <v/>
      </c>
      <c r="E1108" s="25" t="str">
        <f>IF($A1108="","",'Lot Balance'!$H1107)</f>
        <v/>
      </c>
      <c r="F1108" s="23" t="str">
        <f>IF($A1108="","",'Lot Balance'!$I1107)</f>
        <v/>
      </c>
      <c r="G1108" s="23" t="str">
        <f>IF($A1108="","",'Lot Balance'!$O1107)</f>
        <v/>
      </c>
      <c r="H1108" s="33" t="str">
        <f>IF($A1108="","",'Lot Balance'!$P1107)</f>
        <v/>
      </c>
      <c r="I1108" s="26" t="str">
        <f>IF($A1108="","",COUNTIFS(tblIssues[Lot Number],$B1108))</f>
        <v/>
      </c>
      <c r="J1108" s="31" t="str">
        <f>IF($A1108="","",IF('Lot Balance'!$O1107&lt;=0,"Depleted",'Lot Balance'!$Q1107))</f>
        <v/>
      </c>
    </row>
    <row r="1109" spans="1:10" x14ac:dyDescent="0.35">
      <c r="A1109" s="18" t="str">
        <f>IF('Lot Balance'!$A1108="","",'Lot Balance'!$A1108)</f>
        <v/>
      </c>
      <c r="B1109" s="18" t="str">
        <f>IF($A1109="","",'Lot Balance'!$B1108)</f>
        <v/>
      </c>
      <c r="C1109" s="18" t="str">
        <f>IF($A1109="","",'Lot Balance'!$C1108)</f>
        <v/>
      </c>
      <c r="D1109" s="25" t="str">
        <f>IF($A1109="","",'Lot Balance'!$G1108)</f>
        <v/>
      </c>
      <c r="E1109" s="25" t="str">
        <f>IF($A1109="","",'Lot Balance'!$H1108)</f>
        <v/>
      </c>
      <c r="F1109" s="23" t="str">
        <f>IF($A1109="","",'Lot Balance'!$I1108)</f>
        <v/>
      </c>
      <c r="G1109" s="23" t="str">
        <f>IF($A1109="","",'Lot Balance'!$O1108)</f>
        <v/>
      </c>
      <c r="H1109" s="33" t="str">
        <f>IF($A1109="","",'Lot Balance'!$P1108)</f>
        <v/>
      </c>
      <c r="I1109" s="26" t="str">
        <f>IF($A1109="","",COUNTIFS(tblIssues[Lot Number],$B1109))</f>
        <v/>
      </c>
      <c r="J1109" s="31" t="str">
        <f>IF($A1109="","",IF('Lot Balance'!$O1108&lt;=0,"Depleted",'Lot Balance'!$Q1108))</f>
        <v/>
      </c>
    </row>
    <row r="1110" spans="1:10" x14ac:dyDescent="0.35">
      <c r="A1110" s="18" t="str">
        <f>IF('Lot Balance'!$A1109="","",'Lot Balance'!$A1109)</f>
        <v/>
      </c>
      <c r="B1110" s="18" t="str">
        <f>IF($A1110="","",'Lot Balance'!$B1109)</f>
        <v/>
      </c>
      <c r="C1110" s="18" t="str">
        <f>IF($A1110="","",'Lot Balance'!$C1109)</f>
        <v/>
      </c>
      <c r="D1110" s="25" t="str">
        <f>IF($A1110="","",'Lot Balance'!$G1109)</f>
        <v/>
      </c>
      <c r="E1110" s="25" t="str">
        <f>IF($A1110="","",'Lot Balance'!$H1109)</f>
        <v/>
      </c>
      <c r="F1110" s="23" t="str">
        <f>IF($A1110="","",'Lot Balance'!$I1109)</f>
        <v/>
      </c>
      <c r="G1110" s="23" t="str">
        <f>IF($A1110="","",'Lot Balance'!$O1109)</f>
        <v/>
      </c>
      <c r="H1110" s="33" t="str">
        <f>IF($A1110="","",'Lot Balance'!$P1109)</f>
        <v/>
      </c>
      <c r="I1110" s="26" t="str">
        <f>IF($A1110="","",COUNTIFS(tblIssues[Lot Number],$B1110))</f>
        <v/>
      </c>
      <c r="J1110" s="31" t="str">
        <f>IF($A1110="","",IF('Lot Balance'!$O1109&lt;=0,"Depleted",'Lot Balance'!$Q1109))</f>
        <v/>
      </c>
    </row>
    <row r="1111" spans="1:10" x14ac:dyDescent="0.35">
      <c r="A1111" s="18" t="str">
        <f>IF('Lot Balance'!$A1110="","",'Lot Balance'!$A1110)</f>
        <v/>
      </c>
      <c r="B1111" s="18" t="str">
        <f>IF($A1111="","",'Lot Balance'!$B1110)</f>
        <v/>
      </c>
      <c r="C1111" s="18" t="str">
        <f>IF($A1111="","",'Lot Balance'!$C1110)</f>
        <v/>
      </c>
      <c r="D1111" s="25" t="str">
        <f>IF($A1111="","",'Lot Balance'!$G1110)</f>
        <v/>
      </c>
      <c r="E1111" s="25" t="str">
        <f>IF($A1111="","",'Lot Balance'!$H1110)</f>
        <v/>
      </c>
      <c r="F1111" s="23" t="str">
        <f>IF($A1111="","",'Lot Balance'!$I1110)</f>
        <v/>
      </c>
      <c r="G1111" s="23" t="str">
        <f>IF($A1111="","",'Lot Balance'!$O1110)</f>
        <v/>
      </c>
      <c r="H1111" s="33" t="str">
        <f>IF($A1111="","",'Lot Balance'!$P1110)</f>
        <v/>
      </c>
      <c r="I1111" s="26" t="str">
        <f>IF($A1111="","",COUNTIFS(tblIssues[Lot Number],$B1111))</f>
        <v/>
      </c>
      <c r="J1111" s="31" t="str">
        <f>IF($A1111="","",IF('Lot Balance'!$O1110&lt;=0,"Depleted",'Lot Balance'!$Q1110))</f>
        <v/>
      </c>
    </row>
    <row r="1112" spans="1:10" x14ac:dyDescent="0.35">
      <c r="A1112" s="18" t="str">
        <f>IF('Lot Balance'!$A1111="","",'Lot Balance'!$A1111)</f>
        <v/>
      </c>
      <c r="B1112" s="18" t="str">
        <f>IF($A1112="","",'Lot Balance'!$B1111)</f>
        <v/>
      </c>
      <c r="C1112" s="18" t="str">
        <f>IF($A1112="","",'Lot Balance'!$C1111)</f>
        <v/>
      </c>
      <c r="D1112" s="25" t="str">
        <f>IF($A1112="","",'Lot Balance'!$G1111)</f>
        <v/>
      </c>
      <c r="E1112" s="25" t="str">
        <f>IF($A1112="","",'Lot Balance'!$H1111)</f>
        <v/>
      </c>
      <c r="F1112" s="23" t="str">
        <f>IF($A1112="","",'Lot Balance'!$I1111)</f>
        <v/>
      </c>
      <c r="G1112" s="23" t="str">
        <f>IF($A1112="","",'Lot Balance'!$O1111)</f>
        <v/>
      </c>
      <c r="H1112" s="33" t="str">
        <f>IF($A1112="","",'Lot Balance'!$P1111)</f>
        <v/>
      </c>
      <c r="I1112" s="26" t="str">
        <f>IF($A1112="","",COUNTIFS(tblIssues[Lot Number],$B1112))</f>
        <v/>
      </c>
      <c r="J1112" s="31" t="str">
        <f>IF($A1112="","",IF('Lot Balance'!$O1111&lt;=0,"Depleted",'Lot Balance'!$Q1111))</f>
        <v/>
      </c>
    </row>
    <row r="1113" spans="1:10" x14ac:dyDescent="0.35">
      <c r="A1113" s="18" t="str">
        <f>IF('Lot Balance'!$A1112="","",'Lot Balance'!$A1112)</f>
        <v/>
      </c>
      <c r="B1113" s="18" t="str">
        <f>IF($A1113="","",'Lot Balance'!$B1112)</f>
        <v/>
      </c>
      <c r="C1113" s="18" t="str">
        <f>IF($A1113="","",'Lot Balance'!$C1112)</f>
        <v/>
      </c>
      <c r="D1113" s="25" t="str">
        <f>IF($A1113="","",'Lot Balance'!$G1112)</f>
        <v/>
      </c>
      <c r="E1113" s="25" t="str">
        <f>IF($A1113="","",'Lot Balance'!$H1112)</f>
        <v/>
      </c>
      <c r="F1113" s="23" t="str">
        <f>IF($A1113="","",'Lot Balance'!$I1112)</f>
        <v/>
      </c>
      <c r="G1113" s="23" t="str">
        <f>IF($A1113="","",'Lot Balance'!$O1112)</f>
        <v/>
      </c>
      <c r="H1113" s="33" t="str">
        <f>IF($A1113="","",'Lot Balance'!$P1112)</f>
        <v/>
      </c>
      <c r="I1113" s="26" t="str">
        <f>IF($A1113="","",COUNTIFS(tblIssues[Lot Number],$B1113))</f>
        <v/>
      </c>
      <c r="J1113" s="31" t="str">
        <f>IF($A1113="","",IF('Lot Balance'!$O1112&lt;=0,"Depleted",'Lot Balance'!$Q1112))</f>
        <v/>
      </c>
    </row>
    <row r="1114" spans="1:10" x14ac:dyDescent="0.35">
      <c r="A1114" s="18" t="str">
        <f>IF('Lot Balance'!$A1113="","",'Lot Balance'!$A1113)</f>
        <v/>
      </c>
      <c r="B1114" s="18" t="str">
        <f>IF($A1114="","",'Lot Balance'!$B1113)</f>
        <v/>
      </c>
      <c r="C1114" s="18" t="str">
        <f>IF($A1114="","",'Lot Balance'!$C1113)</f>
        <v/>
      </c>
      <c r="D1114" s="25" t="str">
        <f>IF($A1114="","",'Lot Balance'!$G1113)</f>
        <v/>
      </c>
      <c r="E1114" s="25" t="str">
        <f>IF($A1114="","",'Lot Balance'!$H1113)</f>
        <v/>
      </c>
      <c r="F1114" s="23" t="str">
        <f>IF($A1114="","",'Lot Balance'!$I1113)</f>
        <v/>
      </c>
      <c r="G1114" s="23" t="str">
        <f>IF($A1114="","",'Lot Balance'!$O1113)</f>
        <v/>
      </c>
      <c r="H1114" s="33" t="str">
        <f>IF($A1114="","",'Lot Balance'!$P1113)</f>
        <v/>
      </c>
      <c r="I1114" s="26" t="str">
        <f>IF($A1114="","",COUNTIFS(tblIssues[Lot Number],$B1114))</f>
        <v/>
      </c>
      <c r="J1114" s="31" t="str">
        <f>IF($A1114="","",IF('Lot Balance'!$O1113&lt;=0,"Depleted",'Lot Balance'!$Q1113))</f>
        <v/>
      </c>
    </row>
    <row r="1115" spans="1:10" x14ac:dyDescent="0.35">
      <c r="A1115" s="18" t="str">
        <f>IF('Lot Balance'!$A1114="","",'Lot Balance'!$A1114)</f>
        <v/>
      </c>
      <c r="B1115" s="18" t="str">
        <f>IF($A1115="","",'Lot Balance'!$B1114)</f>
        <v/>
      </c>
      <c r="C1115" s="18" t="str">
        <f>IF($A1115="","",'Lot Balance'!$C1114)</f>
        <v/>
      </c>
      <c r="D1115" s="25" t="str">
        <f>IF($A1115="","",'Lot Balance'!$G1114)</f>
        <v/>
      </c>
      <c r="E1115" s="25" t="str">
        <f>IF($A1115="","",'Lot Balance'!$H1114)</f>
        <v/>
      </c>
      <c r="F1115" s="23" t="str">
        <f>IF($A1115="","",'Lot Balance'!$I1114)</f>
        <v/>
      </c>
      <c r="G1115" s="23" t="str">
        <f>IF($A1115="","",'Lot Balance'!$O1114)</f>
        <v/>
      </c>
      <c r="H1115" s="33" t="str">
        <f>IF($A1115="","",'Lot Balance'!$P1114)</f>
        <v/>
      </c>
      <c r="I1115" s="26" t="str">
        <f>IF($A1115="","",COUNTIFS(tblIssues[Lot Number],$B1115))</f>
        <v/>
      </c>
      <c r="J1115" s="31" t="str">
        <f>IF($A1115="","",IF('Lot Balance'!$O1114&lt;=0,"Depleted",'Lot Balance'!$Q1114))</f>
        <v/>
      </c>
    </row>
    <row r="1116" spans="1:10" x14ac:dyDescent="0.35">
      <c r="A1116" s="18" t="str">
        <f>IF('Lot Balance'!$A1115="","",'Lot Balance'!$A1115)</f>
        <v/>
      </c>
      <c r="B1116" s="18" t="str">
        <f>IF($A1116="","",'Lot Balance'!$B1115)</f>
        <v/>
      </c>
      <c r="C1116" s="18" t="str">
        <f>IF($A1116="","",'Lot Balance'!$C1115)</f>
        <v/>
      </c>
      <c r="D1116" s="25" t="str">
        <f>IF($A1116="","",'Lot Balance'!$G1115)</f>
        <v/>
      </c>
      <c r="E1116" s="25" t="str">
        <f>IF($A1116="","",'Lot Balance'!$H1115)</f>
        <v/>
      </c>
      <c r="F1116" s="23" t="str">
        <f>IF($A1116="","",'Lot Balance'!$I1115)</f>
        <v/>
      </c>
      <c r="G1116" s="23" t="str">
        <f>IF($A1116="","",'Lot Balance'!$O1115)</f>
        <v/>
      </c>
      <c r="H1116" s="33" t="str">
        <f>IF($A1116="","",'Lot Balance'!$P1115)</f>
        <v/>
      </c>
      <c r="I1116" s="26" t="str">
        <f>IF($A1116="","",COUNTIFS(tblIssues[Lot Number],$B1116))</f>
        <v/>
      </c>
      <c r="J1116" s="31" t="str">
        <f>IF($A1116="","",IF('Lot Balance'!$O1115&lt;=0,"Depleted",'Lot Balance'!$Q1115))</f>
        <v/>
      </c>
    </row>
    <row r="1117" spans="1:10" x14ac:dyDescent="0.35">
      <c r="A1117" s="18" t="str">
        <f>IF('Lot Balance'!$A1116="","",'Lot Balance'!$A1116)</f>
        <v/>
      </c>
      <c r="B1117" s="18" t="str">
        <f>IF($A1117="","",'Lot Balance'!$B1116)</f>
        <v/>
      </c>
      <c r="C1117" s="18" t="str">
        <f>IF($A1117="","",'Lot Balance'!$C1116)</f>
        <v/>
      </c>
      <c r="D1117" s="25" t="str">
        <f>IF($A1117="","",'Lot Balance'!$G1116)</f>
        <v/>
      </c>
      <c r="E1117" s="25" t="str">
        <f>IF($A1117="","",'Lot Balance'!$H1116)</f>
        <v/>
      </c>
      <c r="F1117" s="23" t="str">
        <f>IF($A1117="","",'Lot Balance'!$I1116)</f>
        <v/>
      </c>
      <c r="G1117" s="23" t="str">
        <f>IF($A1117="","",'Lot Balance'!$O1116)</f>
        <v/>
      </c>
      <c r="H1117" s="33" t="str">
        <f>IF($A1117="","",'Lot Balance'!$P1116)</f>
        <v/>
      </c>
      <c r="I1117" s="26" t="str">
        <f>IF($A1117="","",COUNTIFS(tblIssues[Lot Number],$B1117))</f>
        <v/>
      </c>
      <c r="J1117" s="31" t="str">
        <f>IF($A1117="","",IF('Lot Balance'!$O1116&lt;=0,"Depleted",'Lot Balance'!$Q1116))</f>
        <v/>
      </c>
    </row>
    <row r="1118" spans="1:10" x14ac:dyDescent="0.35">
      <c r="A1118" s="18" t="str">
        <f>IF('Lot Balance'!$A1117="","",'Lot Balance'!$A1117)</f>
        <v/>
      </c>
      <c r="B1118" s="18" t="str">
        <f>IF($A1118="","",'Lot Balance'!$B1117)</f>
        <v/>
      </c>
      <c r="C1118" s="18" t="str">
        <f>IF($A1118="","",'Lot Balance'!$C1117)</f>
        <v/>
      </c>
      <c r="D1118" s="25" t="str">
        <f>IF($A1118="","",'Lot Balance'!$G1117)</f>
        <v/>
      </c>
      <c r="E1118" s="25" t="str">
        <f>IF($A1118="","",'Lot Balance'!$H1117)</f>
        <v/>
      </c>
      <c r="F1118" s="23" t="str">
        <f>IF($A1118="","",'Lot Balance'!$I1117)</f>
        <v/>
      </c>
      <c r="G1118" s="23" t="str">
        <f>IF($A1118="","",'Lot Balance'!$O1117)</f>
        <v/>
      </c>
      <c r="H1118" s="33" t="str">
        <f>IF($A1118="","",'Lot Balance'!$P1117)</f>
        <v/>
      </c>
      <c r="I1118" s="26" t="str">
        <f>IF($A1118="","",COUNTIFS(tblIssues[Lot Number],$B1118))</f>
        <v/>
      </c>
      <c r="J1118" s="31" t="str">
        <f>IF($A1118="","",IF('Lot Balance'!$O1117&lt;=0,"Depleted",'Lot Balance'!$Q1117))</f>
        <v/>
      </c>
    </row>
    <row r="1119" spans="1:10" x14ac:dyDescent="0.35">
      <c r="A1119" s="18" t="str">
        <f>IF('Lot Balance'!$A1118="","",'Lot Balance'!$A1118)</f>
        <v/>
      </c>
      <c r="B1119" s="18" t="str">
        <f>IF($A1119="","",'Lot Balance'!$B1118)</f>
        <v/>
      </c>
      <c r="C1119" s="18" t="str">
        <f>IF($A1119="","",'Lot Balance'!$C1118)</f>
        <v/>
      </c>
      <c r="D1119" s="25" t="str">
        <f>IF($A1119="","",'Lot Balance'!$G1118)</f>
        <v/>
      </c>
      <c r="E1119" s="25" t="str">
        <f>IF($A1119="","",'Lot Balance'!$H1118)</f>
        <v/>
      </c>
      <c r="F1119" s="23" t="str">
        <f>IF($A1119="","",'Lot Balance'!$I1118)</f>
        <v/>
      </c>
      <c r="G1119" s="23" t="str">
        <f>IF($A1119="","",'Lot Balance'!$O1118)</f>
        <v/>
      </c>
      <c r="H1119" s="33" t="str">
        <f>IF($A1119="","",'Lot Balance'!$P1118)</f>
        <v/>
      </c>
      <c r="I1119" s="26" t="str">
        <f>IF($A1119="","",COUNTIFS(tblIssues[Lot Number],$B1119))</f>
        <v/>
      </c>
      <c r="J1119" s="31" t="str">
        <f>IF($A1119="","",IF('Lot Balance'!$O1118&lt;=0,"Depleted",'Lot Balance'!$Q1118))</f>
        <v/>
      </c>
    </row>
    <row r="1120" spans="1:10" x14ac:dyDescent="0.35">
      <c r="A1120" s="18" t="str">
        <f>IF('Lot Balance'!$A1119="","",'Lot Balance'!$A1119)</f>
        <v/>
      </c>
      <c r="B1120" s="18" t="str">
        <f>IF($A1120="","",'Lot Balance'!$B1119)</f>
        <v/>
      </c>
      <c r="C1120" s="18" t="str">
        <f>IF($A1120="","",'Lot Balance'!$C1119)</f>
        <v/>
      </c>
      <c r="D1120" s="25" t="str">
        <f>IF($A1120="","",'Lot Balance'!$G1119)</f>
        <v/>
      </c>
      <c r="E1120" s="25" t="str">
        <f>IF($A1120="","",'Lot Balance'!$H1119)</f>
        <v/>
      </c>
      <c r="F1120" s="23" t="str">
        <f>IF($A1120="","",'Lot Balance'!$I1119)</f>
        <v/>
      </c>
      <c r="G1120" s="23" t="str">
        <f>IF($A1120="","",'Lot Balance'!$O1119)</f>
        <v/>
      </c>
      <c r="H1120" s="33" t="str">
        <f>IF($A1120="","",'Lot Balance'!$P1119)</f>
        <v/>
      </c>
      <c r="I1120" s="26" t="str">
        <f>IF($A1120="","",COUNTIFS(tblIssues[Lot Number],$B1120))</f>
        <v/>
      </c>
      <c r="J1120" s="31" t="str">
        <f>IF($A1120="","",IF('Lot Balance'!$O1119&lt;=0,"Depleted",'Lot Balance'!$Q1119))</f>
        <v/>
      </c>
    </row>
    <row r="1121" spans="1:10" x14ac:dyDescent="0.35">
      <c r="A1121" s="18" t="str">
        <f>IF('Lot Balance'!$A1120="","",'Lot Balance'!$A1120)</f>
        <v/>
      </c>
      <c r="B1121" s="18" t="str">
        <f>IF($A1121="","",'Lot Balance'!$B1120)</f>
        <v/>
      </c>
      <c r="C1121" s="18" t="str">
        <f>IF($A1121="","",'Lot Balance'!$C1120)</f>
        <v/>
      </c>
      <c r="D1121" s="25" t="str">
        <f>IF($A1121="","",'Lot Balance'!$G1120)</f>
        <v/>
      </c>
      <c r="E1121" s="25" t="str">
        <f>IF($A1121="","",'Lot Balance'!$H1120)</f>
        <v/>
      </c>
      <c r="F1121" s="23" t="str">
        <f>IF($A1121="","",'Lot Balance'!$I1120)</f>
        <v/>
      </c>
      <c r="G1121" s="23" t="str">
        <f>IF($A1121="","",'Lot Balance'!$O1120)</f>
        <v/>
      </c>
      <c r="H1121" s="33" t="str">
        <f>IF($A1121="","",'Lot Balance'!$P1120)</f>
        <v/>
      </c>
      <c r="I1121" s="26" t="str">
        <f>IF($A1121="","",COUNTIFS(tblIssues[Lot Number],$B1121))</f>
        <v/>
      </c>
      <c r="J1121" s="31" t="str">
        <f>IF($A1121="","",IF('Lot Balance'!$O1120&lt;=0,"Depleted",'Lot Balance'!$Q1120))</f>
        <v/>
      </c>
    </row>
    <row r="1122" spans="1:10" x14ac:dyDescent="0.35">
      <c r="A1122" s="18" t="str">
        <f>IF('Lot Balance'!$A1121="","",'Lot Balance'!$A1121)</f>
        <v/>
      </c>
      <c r="B1122" s="18" t="str">
        <f>IF($A1122="","",'Lot Balance'!$B1121)</f>
        <v/>
      </c>
      <c r="C1122" s="18" t="str">
        <f>IF($A1122="","",'Lot Balance'!$C1121)</f>
        <v/>
      </c>
      <c r="D1122" s="25" t="str">
        <f>IF($A1122="","",'Lot Balance'!$G1121)</f>
        <v/>
      </c>
      <c r="E1122" s="25" t="str">
        <f>IF($A1122="","",'Lot Balance'!$H1121)</f>
        <v/>
      </c>
      <c r="F1122" s="23" t="str">
        <f>IF($A1122="","",'Lot Balance'!$I1121)</f>
        <v/>
      </c>
      <c r="G1122" s="23" t="str">
        <f>IF($A1122="","",'Lot Balance'!$O1121)</f>
        <v/>
      </c>
      <c r="H1122" s="33" t="str">
        <f>IF($A1122="","",'Lot Balance'!$P1121)</f>
        <v/>
      </c>
      <c r="I1122" s="26" t="str">
        <f>IF($A1122="","",COUNTIFS(tblIssues[Lot Number],$B1122))</f>
        <v/>
      </c>
      <c r="J1122" s="31" t="str">
        <f>IF($A1122="","",IF('Lot Balance'!$O1121&lt;=0,"Depleted",'Lot Balance'!$Q1121))</f>
        <v/>
      </c>
    </row>
    <row r="1123" spans="1:10" x14ac:dyDescent="0.35">
      <c r="A1123" s="18" t="str">
        <f>IF('Lot Balance'!$A1122="","",'Lot Balance'!$A1122)</f>
        <v/>
      </c>
      <c r="B1123" s="18" t="str">
        <f>IF($A1123="","",'Lot Balance'!$B1122)</f>
        <v/>
      </c>
      <c r="C1123" s="18" t="str">
        <f>IF($A1123="","",'Lot Balance'!$C1122)</f>
        <v/>
      </c>
      <c r="D1123" s="25" t="str">
        <f>IF($A1123="","",'Lot Balance'!$G1122)</f>
        <v/>
      </c>
      <c r="E1123" s="25" t="str">
        <f>IF($A1123="","",'Lot Balance'!$H1122)</f>
        <v/>
      </c>
      <c r="F1123" s="23" t="str">
        <f>IF($A1123="","",'Lot Balance'!$I1122)</f>
        <v/>
      </c>
      <c r="G1123" s="23" t="str">
        <f>IF($A1123="","",'Lot Balance'!$O1122)</f>
        <v/>
      </c>
      <c r="H1123" s="33" t="str">
        <f>IF($A1123="","",'Lot Balance'!$P1122)</f>
        <v/>
      </c>
      <c r="I1123" s="26" t="str">
        <f>IF($A1123="","",COUNTIFS(tblIssues[Lot Number],$B1123))</f>
        <v/>
      </c>
      <c r="J1123" s="31" t="str">
        <f>IF($A1123="","",IF('Lot Balance'!$O1122&lt;=0,"Depleted",'Lot Balance'!$Q1122))</f>
        <v/>
      </c>
    </row>
    <row r="1124" spans="1:10" x14ac:dyDescent="0.35">
      <c r="A1124" s="18" t="str">
        <f>IF('Lot Balance'!$A1123="","",'Lot Balance'!$A1123)</f>
        <v/>
      </c>
      <c r="B1124" s="18" t="str">
        <f>IF($A1124="","",'Lot Balance'!$B1123)</f>
        <v/>
      </c>
      <c r="C1124" s="18" t="str">
        <f>IF($A1124="","",'Lot Balance'!$C1123)</f>
        <v/>
      </c>
      <c r="D1124" s="25" t="str">
        <f>IF($A1124="","",'Lot Balance'!$G1123)</f>
        <v/>
      </c>
      <c r="E1124" s="25" t="str">
        <f>IF($A1124="","",'Lot Balance'!$H1123)</f>
        <v/>
      </c>
      <c r="F1124" s="23" t="str">
        <f>IF($A1124="","",'Lot Balance'!$I1123)</f>
        <v/>
      </c>
      <c r="G1124" s="23" t="str">
        <f>IF($A1124="","",'Lot Balance'!$O1123)</f>
        <v/>
      </c>
      <c r="H1124" s="33" t="str">
        <f>IF($A1124="","",'Lot Balance'!$P1123)</f>
        <v/>
      </c>
      <c r="I1124" s="26" t="str">
        <f>IF($A1124="","",COUNTIFS(tblIssues[Lot Number],$B1124))</f>
        <v/>
      </c>
      <c r="J1124" s="31" t="str">
        <f>IF($A1124="","",IF('Lot Balance'!$O1123&lt;=0,"Depleted",'Lot Balance'!$Q1123))</f>
        <v/>
      </c>
    </row>
    <row r="1125" spans="1:10" x14ac:dyDescent="0.35">
      <c r="A1125" s="18" t="str">
        <f>IF('Lot Balance'!$A1124="","",'Lot Balance'!$A1124)</f>
        <v/>
      </c>
      <c r="B1125" s="18" t="str">
        <f>IF($A1125="","",'Lot Balance'!$B1124)</f>
        <v/>
      </c>
      <c r="C1125" s="18" t="str">
        <f>IF($A1125="","",'Lot Balance'!$C1124)</f>
        <v/>
      </c>
      <c r="D1125" s="25" t="str">
        <f>IF($A1125="","",'Lot Balance'!$G1124)</f>
        <v/>
      </c>
      <c r="E1125" s="25" t="str">
        <f>IF($A1125="","",'Lot Balance'!$H1124)</f>
        <v/>
      </c>
      <c r="F1125" s="23" t="str">
        <f>IF($A1125="","",'Lot Balance'!$I1124)</f>
        <v/>
      </c>
      <c r="G1125" s="23" t="str">
        <f>IF($A1125="","",'Lot Balance'!$O1124)</f>
        <v/>
      </c>
      <c r="H1125" s="33" t="str">
        <f>IF($A1125="","",'Lot Balance'!$P1124)</f>
        <v/>
      </c>
      <c r="I1125" s="26" t="str">
        <f>IF($A1125="","",COUNTIFS(tblIssues[Lot Number],$B1125))</f>
        <v/>
      </c>
      <c r="J1125" s="31" t="str">
        <f>IF($A1125="","",IF('Lot Balance'!$O1124&lt;=0,"Depleted",'Lot Balance'!$Q1124))</f>
        <v/>
      </c>
    </row>
    <row r="1126" spans="1:10" x14ac:dyDescent="0.35">
      <c r="A1126" s="18" t="str">
        <f>IF('Lot Balance'!$A1125="","",'Lot Balance'!$A1125)</f>
        <v/>
      </c>
      <c r="B1126" s="18" t="str">
        <f>IF($A1126="","",'Lot Balance'!$B1125)</f>
        <v/>
      </c>
      <c r="C1126" s="18" t="str">
        <f>IF($A1126="","",'Lot Balance'!$C1125)</f>
        <v/>
      </c>
      <c r="D1126" s="25" t="str">
        <f>IF($A1126="","",'Lot Balance'!$G1125)</f>
        <v/>
      </c>
      <c r="E1126" s="25" t="str">
        <f>IF($A1126="","",'Lot Balance'!$H1125)</f>
        <v/>
      </c>
      <c r="F1126" s="23" t="str">
        <f>IF($A1126="","",'Lot Balance'!$I1125)</f>
        <v/>
      </c>
      <c r="G1126" s="23" t="str">
        <f>IF($A1126="","",'Lot Balance'!$O1125)</f>
        <v/>
      </c>
      <c r="H1126" s="33" t="str">
        <f>IF($A1126="","",'Lot Balance'!$P1125)</f>
        <v/>
      </c>
      <c r="I1126" s="26" t="str">
        <f>IF($A1126="","",COUNTIFS(tblIssues[Lot Number],$B1126))</f>
        <v/>
      </c>
      <c r="J1126" s="31" t="str">
        <f>IF($A1126="","",IF('Lot Balance'!$O1125&lt;=0,"Depleted",'Lot Balance'!$Q1125))</f>
        <v/>
      </c>
    </row>
    <row r="1127" spans="1:10" x14ac:dyDescent="0.35">
      <c r="A1127" s="18" t="str">
        <f>IF('Lot Balance'!$A1126="","",'Lot Balance'!$A1126)</f>
        <v/>
      </c>
      <c r="B1127" s="18" t="str">
        <f>IF($A1127="","",'Lot Balance'!$B1126)</f>
        <v/>
      </c>
      <c r="C1127" s="18" t="str">
        <f>IF($A1127="","",'Lot Balance'!$C1126)</f>
        <v/>
      </c>
      <c r="D1127" s="25" t="str">
        <f>IF($A1127="","",'Lot Balance'!$G1126)</f>
        <v/>
      </c>
      <c r="E1127" s="25" t="str">
        <f>IF($A1127="","",'Lot Balance'!$H1126)</f>
        <v/>
      </c>
      <c r="F1127" s="23" t="str">
        <f>IF($A1127="","",'Lot Balance'!$I1126)</f>
        <v/>
      </c>
      <c r="G1127" s="23" t="str">
        <f>IF($A1127="","",'Lot Balance'!$O1126)</f>
        <v/>
      </c>
      <c r="H1127" s="33" t="str">
        <f>IF($A1127="","",'Lot Balance'!$P1126)</f>
        <v/>
      </c>
      <c r="I1127" s="26" t="str">
        <f>IF($A1127="","",COUNTIFS(tblIssues[Lot Number],$B1127))</f>
        <v/>
      </c>
      <c r="J1127" s="31" t="str">
        <f>IF($A1127="","",IF('Lot Balance'!$O1126&lt;=0,"Depleted",'Lot Balance'!$Q1126))</f>
        <v/>
      </c>
    </row>
    <row r="1128" spans="1:10" x14ac:dyDescent="0.35">
      <c r="A1128" s="18" t="str">
        <f>IF('Lot Balance'!$A1127="","",'Lot Balance'!$A1127)</f>
        <v/>
      </c>
      <c r="B1128" s="18" t="str">
        <f>IF($A1128="","",'Lot Balance'!$B1127)</f>
        <v/>
      </c>
      <c r="C1128" s="18" t="str">
        <f>IF($A1128="","",'Lot Balance'!$C1127)</f>
        <v/>
      </c>
      <c r="D1128" s="25" t="str">
        <f>IF($A1128="","",'Lot Balance'!$G1127)</f>
        <v/>
      </c>
      <c r="E1128" s="25" t="str">
        <f>IF($A1128="","",'Lot Balance'!$H1127)</f>
        <v/>
      </c>
      <c r="F1128" s="23" t="str">
        <f>IF($A1128="","",'Lot Balance'!$I1127)</f>
        <v/>
      </c>
      <c r="G1128" s="23" t="str">
        <f>IF($A1128="","",'Lot Balance'!$O1127)</f>
        <v/>
      </c>
      <c r="H1128" s="33" t="str">
        <f>IF($A1128="","",'Lot Balance'!$P1127)</f>
        <v/>
      </c>
      <c r="I1128" s="26" t="str">
        <f>IF($A1128="","",COUNTIFS(tblIssues[Lot Number],$B1128))</f>
        <v/>
      </c>
      <c r="J1128" s="31" t="str">
        <f>IF($A1128="","",IF('Lot Balance'!$O1127&lt;=0,"Depleted",'Lot Balance'!$Q1127))</f>
        <v/>
      </c>
    </row>
    <row r="1129" spans="1:10" x14ac:dyDescent="0.35">
      <c r="A1129" s="18" t="str">
        <f>IF('Lot Balance'!$A1128="","",'Lot Balance'!$A1128)</f>
        <v/>
      </c>
      <c r="B1129" s="18" t="str">
        <f>IF($A1129="","",'Lot Balance'!$B1128)</f>
        <v/>
      </c>
      <c r="C1129" s="18" t="str">
        <f>IF($A1129="","",'Lot Balance'!$C1128)</f>
        <v/>
      </c>
      <c r="D1129" s="25" t="str">
        <f>IF($A1129="","",'Lot Balance'!$G1128)</f>
        <v/>
      </c>
      <c r="E1129" s="25" t="str">
        <f>IF($A1129="","",'Lot Balance'!$H1128)</f>
        <v/>
      </c>
      <c r="F1129" s="23" t="str">
        <f>IF($A1129="","",'Lot Balance'!$I1128)</f>
        <v/>
      </c>
      <c r="G1129" s="23" t="str">
        <f>IF($A1129="","",'Lot Balance'!$O1128)</f>
        <v/>
      </c>
      <c r="H1129" s="33" t="str">
        <f>IF($A1129="","",'Lot Balance'!$P1128)</f>
        <v/>
      </c>
      <c r="I1129" s="26" t="str">
        <f>IF($A1129="","",COUNTIFS(tblIssues[Lot Number],$B1129))</f>
        <v/>
      </c>
      <c r="J1129" s="31" t="str">
        <f>IF($A1129="","",IF('Lot Balance'!$O1128&lt;=0,"Depleted",'Lot Balance'!$Q1128))</f>
        <v/>
      </c>
    </row>
    <row r="1130" spans="1:10" x14ac:dyDescent="0.35">
      <c r="A1130" s="18" t="str">
        <f>IF('Lot Balance'!$A1129="","",'Lot Balance'!$A1129)</f>
        <v/>
      </c>
      <c r="B1130" s="18" t="str">
        <f>IF($A1130="","",'Lot Balance'!$B1129)</f>
        <v/>
      </c>
      <c r="C1130" s="18" t="str">
        <f>IF($A1130="","",'Lot Balance'!$C1129)</f>
        <v/>
      </c>
      <c r="D1130" s="25" t="str">
        <f>IF($A1130="","",'Lot Balance'!$G1129)</f>
        <v/>
      </c>
      <c r="E1130" s="25" t="str">
        <f>IF($A1130="","",'Lot Balance'!$H1129)</f>
        <v/>
      </c>
      <c r="F1130" s="23" t="str">
        <f>IF($A1130="","",'Lot Balance'!$I1129)</f>
        <v/>
      </c>
      <c r="G1130" s="23" t="str">
        <f>IF($A1130="","",'Lot Balance'!$O1129)</f>
        <v/>
      </c>
      <c r="H1130" s="33" t="str">
        <f>IF($A1130="","",'Lot Balance'!$P1129)</f>
        <v/>
      </c>
      <c r="I1130" s="26" t="str">
        <f>IF($A1130="","",COUNTIFS(tblIssues[Lot Number],$B1130))</f>
        <v/>
      </c>
      <c r="J1130" s="31" t="str">
        <f>IF($A1130="","",IF('Lot Balance'!$O1129&lt;=0,"Depleted",'Lot Balance'!$Q1129))</f>
        <v/>
      </c>
    </row>
    <row r="1131" spans="1:10" x14ac:dyDescent="0.35">
      <c r="A1131" s="18" t="str">
        <f>IF('Lot Balance'!$A1130="","",'Lot Balance'!$A1130)</f>
        <v/>
      </c>
      <c r="B1131" s="18" t="str">
        <f>IF($A1131="","",'Lot Balance'!$B1130)</f>
        <v/>
      </c>
      <c r="C1131" s="18" t="str">
        <f>IF($A1131="","",'Lot Balance'!$C1130)</f>
        <v/>
      </c>
      <c r="D1131" s="25" t="str">
        <f>IF($A1131="","",'Lot Balance'!$G1130)</f>
        <v/>
      </c>
      <c r="E1131" s="25" t="str">
        <f>IF($A1131="","",'Lot Balance'!$H1130)</f>
        <v/>
      </c>
      <c r="F1131" s="23" t="str">
        <f>IF($A1131="","",'Lot Balance'!$I1130)</f>
        <v/>
      </c>
      <c r="G1131" s="23" t="str">
        <f>IF($A1131="","",'Lot Balance'!$O1130)</f>
        <v/>
      </c>
      <c r="H1131" s="33" t="str">
        <f>IF($A1131="","",'Lot Balance'!$P1130)</f>
        <v/>
      </c>
      <c r="I1131" s="26" t="str">
        <f>IF($A1131="","",COUNTIFS(tblIssues[Lot Number],$B1131))</f>
        <v/>
      </c>
      <c r="J1131" s="31" t="str">
        <f>IF($A1131="","",IF('Lot Balance'!$O1130&lt;=0,"Depleted",'Lot Balance'!$Q1130))</f>
        <v/>
      </c>
    </row>
    <row r="1132" spans="1:10" x14ac:dyDescent="0.35">
      <c r="A1132" s="18" t="str">
        <f>IF('Lot Balance'!$A1131="","",'Lot Balance'!$A1131)</f>
        <v/>
      </c>
      <c r="B1132" s="18" t="str">
        <f>IF($A1132="","",'Lot Balance'!$B1131)</f>
        <v/>
      </c>
      <c r="C1132" s="18" t="str">
        <f>IF($A1132="","",'Lot Balance'!$C1131)</f>
        <v/>
      </c>
      <c r="D1132" s="25" t="str">
        <f>IF($A1132="","",'Lot Balance'!$G1131)</f>
        <v/>
      </c>
      <c r="E1132" s="25" t="str">
        <f>IF($A1132="","",'Lot Balance'!$H1131)</f>
        <v/>
      </c>
      <c r="F1132" s="23" t="str">
        <f>IF($A1132="","",'Lot Balance'!$I1131)</f>
        <v/>
      </c>
      <c r="G1132" s="23" t="str">
        <f>IF($A1132="","",'Lot Balance'!$O1131)</f>
        <v/>
      </c>
      <c r="H1132" s="33" t="str">
        <f>IF($A1132="","",'Lot Balance'!$P1131)</f>
        <v/>
      </c>
      <c r="I1132" s="26" t="str">
        <f>IF($A1132="","",COUNTIFS(tblIssues[Lot Number],$B1132))</f>
        <v/>
      </c>
      <c r="J1132" s="31" t="str">
        <f>IF($A1132="","",IF('Lot Balance'!$O1131&lt;=0,"Depleted",'Lot Balance'!$Q1131))</f>
        <v/>
      </c>
    </row>
    <row r="1133" spans="1:10" x14ac:dyDescent="0.35">
      <c r="A1133" s="18" t="str">
        <f>IF('Lot Balance'!$A1132="","",'Lot Balance'!$A1132)</f>
        <v/>
      </c>
      <c r="B1133" s="18" t="str">
        <f>IF($A1133="","",'Lot Balance'!$B1132)</f>
        <v/>
      </c>
      <c r="C1133" s="18" t="str">
        <f>IF($A1133="","",'Lot Balance'!$C1132)</f>
        <v/>
      </c>
      <c r="D1133" s="25" t="str">
        <f>IF($A1133="","",'Lot Balance'!$G1132)</f>
        <v/>
      </c>
      <c r="E1133" s="25" t="str">
        <f>IF($A1133="","",'Lot Balance'!$H1132)</f>
        <v/>
      </c>
      <c r="F1133" s="23" t="str">
        <f>IF($A1133="","",'Lot Balance'!$I1132)</f>
        <v/>
      </c>
      <c r="G1133" s="23" t="str">
        <f>IF($A1133="","",'Lot Balance'!$O1132)</f>
        <v/>
      </c>
      <c r="H1133" s="33" t="str">
        <f>IF($A1133="","",'Lot Balance'!$P1132)</f>
        <v/>
      </c>
      <c r="I1133" s="26" t="str">
        <f>IF($A1133="","",COUNTIFS(tblIssues[Lot Number],$B1133))</f>
        <v/>
      </c>
      <c r="J1133" s="31" t="str">
        <f>IF($A1133="","",IF('Lot Balance'!$O1132&lt;=0,"Depleted",'Lot Balance'!$Q1132))</f>
        <v/>
      </c>
    </row>
    <row r="1134" spans="1:10" x14ac:dyDescent="0.35">
      <c r="A1134" s="18" t="str">
        <f>IF('Lot Balance'!$A1133="","",'Lot Balance'!$A1133)</f>
        <v/>
      </c>
      <c r="B1134" s="18" t="str">
        <f>IF($A1134="","",'Lot Balance'!$B1133)</f>
        <v/>
      </c>
      <c r="C1134" s="18" t="str">
        <f>IF($A1134="","",'Lot Balance'!$C1133)</f>
        <v/>
      </c>
      <c r="D1134" s="25" t="str">
        <f>IF($A1134="","",'Lot Balance'!$G1133)</f>
        <v/>
      </c>
      <c r="E1134" s="25" t="str">
        <f>IF($A1134="","",'Lot Balance'!$H1133)</f>
        <v/>
      </c>
      <c r="F1134" s="23" t="str">
        <f>IF($A1134="","",'Lot Balance'!$I1133)</f>
        <v/>
      </c>
      <c r="G1134" s="23" t="str">
        <f>IF($A1134="","",'Lot Balance'!$O1133)</f>
        <v/>
      </c>
      <c r="H1134" s="33" t="str">
        <f>IF($A1134="","",'Lot Balance'!$P1133)</f>
        <v/>
      </c>
      <c r="I1134" s="26" t="str">
        <f>IF($A1134="","",COUNTIFS(tblIssues[Lot Number],$B1134))</f>
        <v/>
      </c>
      <c r="J1134" s="31" t="str">
        <f>IF($A1134="","",IF('Lot Balance'!$O1133&lt;=0,"Depleted",'Lot Balance'!$Q1133))</f>
        <v/>
      </c>
    </row>
    <row r="1135" spans="1:10" x14ac:dyDescent="0.35">
      <c r="A1135" s="18" t="str">
        <f>IF('Lot Balance'!$A1134="","",'Lot Balance'!$A1134)</f>
        <v/>
      </c>
      <c r="B1135" s="18" t="str">
        <f>IF($A1135="","",'Lot Balance'!$B1134)</f>
        <v/>
      </c>
      <c r="C1135" s="18" t="str">
        <f>IF($A1135="","",'Lot Balance'!$C1134)</f>
        <v/>
      </c>
      <c r="D1135" s="25" t="str">
        <f>IF($A1135="","",'Lot Balance'!$G1134)</f>
        <v/>
      </c>
      <c r="E1135" s="25" t="str">
        <f>IF($A1135="","",'Lot Balance'!$H1134)</f>
        <v/>
      </c>
      <c r="F1135" s="23" t="str">
        <f>IF($A1135="","",'Lot Balance'!$I1134)</f>
        <v/>
      </c>
      <c r="G1135" s="23" t="str">
        <f>IF($A1135="","",'Lot Balance'!$O1134)</f>
        <v/>
      </c>
      <c r="H1135" s="33" t="str">
        <f>IF($A1135="","",'Lot Balance'!$P1134)</f>
        <v/>
      </c>
      <c r="I1135" s="26" t="str">
        <f>IF($A1135="","",COUNTIFS(tblIssues[Lot Number],$B1135))</f>
        <v/>
      </c>
      <c r="J1135" s="31" t="str">
        <f>IF($A1135="","",IF('Lot Balance'!$O1134&lt;=0,"Depleted",'Lot Balance'!$Q1134))</f>
        <v/>
      </c>
    </row>
    <row r="1136" spans="1:10" x14ac:dyDescent="0.35">
      <c r="A1136" s="18" t="str">
        <f>IF('Lot Balance'!$A1135="","",'Lot Balance'!$A1135)</f>
        <v/>
      </c>
      <c r="B1136" s="18" t="str">
        <f>IF($A1136="","",'Lot Balance'!$B1135)</f>
        <v/>
      </c>
      <c r="C1136" s="18" t="str">
        <f>IF($A1136="","",'Lot Balance'!$C1135)</f>
        <v/>
      </c>
      <c r="D1136" s="25" t="str">
        <f>IF($A1136="","",'Lot Balance'!$G1135)</f>
        <v/>
      </c>
      <c r="E1136" s="25" t="str">
        <f>IF($A1136="","",'Lot Balance'!$H1135)</f>
        <v/>
      </c>
      <c r="F1136" s="23" t="str">
        <f>IF($A1136="","",'Lot Balance'!$I1135)</f>
        <v/>
      </c>
      <c r="G1136" s="23" t="str">
        <f>IF($A1136="","",'Lot Balance'!$O1135)</f>
        <v/>
      </c>
      <c r="H1136" s="33" t="str">
        <f>IF($A1136="","",'Lot Balance'!$P1135)</f>
        <v/>
      </c>
      <c r="I1136" s="26" t="str">
        <f>IF($A1136="","",COUNTIFS(tblIssues[Lot Number],$B1136))</f>
        <v/>
      </c>
      <c r="J1136" s="31" t="str">
        <f>IF($A1136="","",IF('Lot Balance'!$O1135&lt;=0,"Depleted",'Lot Balance'!$Q1135))</f>
        <v/>
      </c>
    </row>
    <row r="1137" spans="1:10" x14ac:dyDescent="0.35">
      <c r="A1137" s="18" t="str">
        <f>IF('Lot Balance'!$A1136="","",'Lot Balance'!$A1136)</f>
        <v/>
      </c>
      <c r="B1137" s="18" t="str">
        <f>IF($A1137="","",'Lot Balance'!$B1136)</f>
        <v/>
      </c>
      <c r="C1137" s="18" t="str">
        <f>IF($A1137="","",'Lot Balance'!$C1136)</f>
        <v/>
      </c>
      <c r="D1137" s="25" t="str">
        <f>IF($A1137="","",'Lot Balance'!$G1136)</f>
        <v/>
      </c>
      <c r="E1137" s="25" t="str">
        <f>IF($A1137="","",'Lot Balance'!$H1136)</f>
        <v/>
      </c>
      <c r="F1137" s="23" t="str">
        <f>IF($A1137="","",'Lot Balance'!$I1136)</f>
        <v/>
      </c>
      <c r="G1137" s="23" t="str">
        <f>IF($A1137="","",'Lot Balance'!$O1136)</f>
        <v/>
      </c>
      <c r="H1137" s="33" t="str">
        <f>IF($A1137="","",'Lot Balance'!$P1136)</f>
        <v/>
      </c>
      <c r="I1137" s="26" t="str">
        <f>IF($A1137="","",COUNTIFS(tblIssues[Lot Number],$B1137))</f>
        <v/>
      </c>
      <c r="J1137" s="31" t="str">
        <f>IF($A1137="","",IF('Lot Balance'!$O1136&lt;=0,"Depleted",'Lot Balance'!$Q1136))</f>
        <v/>
      </c>
    </row>
    <row r="1138" spans="1:10" x14ac:dyDescent="0.35">
      <c r="A1138" s="18" t="str">
        <f>IF('Lot Balance'!$A1137="","",'Lot Balance'!$A1137)</f>
        <v/>
      </c>
      <c r="B1138" s="18" t="str">
        <f>IF($A1138="","",'Lot Balance'!$B1137)</f>
        <v/>
      </c>
      <c r="C1138" s="18" t="str">
        <f>IF($A1138="","",'Lot Balance'!$C1137)</f>
        <v/>
      </c>
      <c r="D1138" s="25" t="str">
        <f>IF($A1138="","",'Lot Balance'!$G1137)</f>
        <v/>
      </c>
      <c r="E1138" s="25" t="str">
        <f>IF($A1138="","",'Lot Balance'!$H1137)</f>
        <v/>
      </c>
      <c r="F1138" s="23" t="str">
        <f>IF($A1138="","",'Lot Balance'!$I1137)</f>
        <v/>
      </c>
      <c r="G1138" s="23" t="str">
        <f>IF($A1138="","",'Lot Balance'!$O1137)</f>
        <v/>
      </c>
      <c r="H1138" s="33" t="str">
        <f>IF($A1138="","",'Lot Balance'!$P1137)</f>
        <v/>
      </c>
      <c r="I1138" s="26" t="str">
        <f>IF($A1138="","",COUNTIFS(tblIssues[Lot Number],$B1138))</f>
        <v/>
      </c>
      <c r="J1138" s="31" t="str">
        <f>IF($A1138="","",IF('Lot Balance'!$O1137&lt;=0,"Depleted",'Lot Balance'!$Q1137))</f>
        <v/>
      </c>
    </row>
    <row r="1139" spans="1:10" x14ac:dyDescent="0.35">
      <c r="A1139" s="18" t="str">
        <f>IF('Lot Balance'!$A1138="","",'Lot Balance'!$A1138)</f>
        <v/>
      </c>
      <c r="B1139" s="18" t="str">
        <f>IF($A1139="","",'Lot Balance'!$B1138)</f>
        <v/>
      </c>
      <c r="C1139" s="18" t="str">
        <f>IF($A1139="","",'Lot Balance'!$C1138)</f>
        <v/>
      </c>
      <c r="D1139" s="25" t="str">
        <f>IF($A1139="","",'Lot Balance'!$G1138)</f>
        <v/>
      </c>
      <c r="E1139" s="25" t="str">
        <f>IF($A1139="","",'Lot Balance'!$H1138)</f>
        <v/>
      </c>
      <c r="F1139" s="23" t="str">
        <f>IF($A1139="","",'Lot Balance'!$I1138)</f>
        <v/>
      </c>
      <c r="G1139" s="23" t="str">
        <f>IF($A1139="","",'Lot Balance'!$O1138)</f>
        <v/>
      </c>
      <c r="H1139" s="33" t="str">
        <f>IF($A1139="","",'Lot Balance'!$P1138)</f>
        <v/>
      </c>
      <c r="I1139" s="26" t="str">
        <f>IF($A1139="","",COUNTIFS(tblIssues[Lot Number],$B1139))</f>
        <v/>
      </c>
      <c r="J1139" s="31" t="str">
        <f>IF($A1139="","",IF('Lot Balance'!$O1138&lt;=0,"Depleted",'Lot Balance'!$Q1138))</f>
        <v/>
      </c>
    </row>
    <row r="1140" spans="1:10" x14ac:dyDescent="0.35">
      <c r="A1140" s="18" t="str">
        <f>IF('Lot Balance'!$A1139="","",'Lot Balance'!$A1139)</f>
        <v/>
      </c>
      <c r="B1140" s="18" t="str">
        <f>IF($A1140="","",'Lot Balance'!$B1139)</f>
        <v/>
      </c>
      <c r="C1140" s="18" t="str">
        <f>IF($A1140="","",'Lot Balance'!$C1139)</f>
        <v/>
      </c>
      <c r="D1140" s="25" t="str">
        <f>IF($A1140="","",'Lot Balance'!$G1139)</f>
        <v/>
      </c>
      <c r="E1140" s="25" t="str">
        <f>IF($A1140="","",'Lot Balance'!$H1139)</f>
        <v/>
      </c>
      <c r="F1140" s="23" t="str">
        <f>IF($A1140="","",'Lot Balance'!$I1139)</f>
        <v/>
      </c>
      <c r="G1140" s="23" t="str">
        <f>IF($A1140="","",'Lot Balance'!$O1139)</f>
        <v/>
      </c>
      <c r="H1140" s="33" t="str">
        <f>IF($A1140="","",'Lot Balance'!$P1139)</f>
        <v/>
      </c>
      <c r="I1140" s="26" t="str">
        <f>IF($A1140="","",COUNTIFS(tblIssues[Lot Number],$B1140))</f>
        <v/>
      </c>
      <c r="J1140" s="31" t="str">
        <f>IF($A1140="","",IF('Lot Balance'!$O1139&lt;=0,"Depleted",'Lot Balance'!$Q1139))</f>
        <v/>
      </c>
    </row>
    <row r="1141" spans="1:10" x14ac:dyDescent="0.35">
      <c r="A1141" s="18" t="str">
        <f>IF('Lot Balance'!$A1140="","",'Lot Balance'!$A1140)</f>
        <v/>
      </c>
      <c r="B1141" s="18" t="str">
        <f>IF($A1141="","",'Lot Balance'!$B1140)</f>
        <v/>
      </c>
      <c r="C1141" s="18" t="str">
        <f>IF($A1141="","",'Lot Balance'!$C1140)</f>
        <v/>
      </c>
      <c r="D1141" s="25" t="str">
        <f>IF($A1141="","",'Lot Balance'!$G1140)</f>
        <v/>
      </c>
      <c r="E1141" s="25" t="str">
        <f>IF($A1141="","",'Lot Balance'!$H1140)</f>
        <v/>
      </c>
      <c r="F1141" s="23" t="str">
        <f>IF($A1141="","",'Lot Balance'!$I1140)</f>
        <v/>
      </c>
      <c r="G1141" s="23" t="str">
        <f>IF($A1141="","",'Lot Balance'!$O1140)</f>
        <v/>
      </c>
      <c r="H1141" s="33" t="str">
        <f>IF($A1141="","",'Lot Balance'!$P1140)</f>
        <v/>
      </c>
      <c r="I1141" s="26" t="str">
        <f>IF($A1141="","",COUNTIFS(tblIssues[Lot Number],$B1141))</f>
        <v/>
      </c>
      <c r="J1141" s="31" t="str">
        <f>IF($A1141="","",IF('Lot Balance'!$O1140&lt;=0,"Depleted",'Lot Balance'!$Q1140))</f>
        <v/>
      </c>
    </row>
    <row r="1142" spans="1:10" x14ac:dyDescent="0.35">
      <c r="A1142" s="18" t="str">
        <f>IF('Lot Balance'!$A1141="","",'Lot Balance'!$A1141)</f>
        <v/>
      </c>
      <c r="B1142" s="18" t="str">
        <f>IF($A1142="","",'Lot Balance'!$B1141)</f>
        <v/>
      </c>
      <c r="C1142" s="18" t="str">
        <f>IF($A1142="","",'Lot Balance'!$C1141)</f>
        <v/>
      </c>
      <c r="D1142" s="25" t="str">
        <f>IF($A1142="","",'Lot Balance'!$G1141)</f>
        <v/>
      </c>
      <c r="E1142" s="25" t="str">
        <f>IF($A1142="","",'Lot Balance'!$H1141)</f>
        <v/>
      </c>
      <c r="F1142" s="23" t="str">
        <f>IF($A1142="","",'Lot Balance'!$I1141)</f>
        <v/>
      </c>
      <c r="G1142" s="23" t="str">
        <f>IF($A1142="","",'Lot Balance'!$O1141)</f>
        <v/>
      </c>
      <c r="H1142" s="33" t="str">
        <f>IF($A1142="","",'Lot Balance'!$P1141)</f>
        <v/>
      </c>
      <c r="I1142" s="26" t="str">
        <f>IF($A1142="","",COUNTIFS(tblIssues[Lot Number],$B1142))</f>
        <v/>
      </c>
      <c r="J1142" s="31" t="str">
        <f>IF($A1142="","",IF('Lot Balance'!$O1141&lt;=0,"Depleted",'Lot Balance'!$Q1141))</f>
        <v/>
      </c>
    </row>
    <row r="1143" spans="1:10" x14ac:dyDescent="0.35">
      <c r="A1143" s="18" t="str">
        <f>IF('Lot Balance'!$A1142="","",'Lot Balance'!$A1142)</f>
        <v/>
      </c>
      <c r="B1143" s="18" t="str">
        <f>IF($A1143="","",'Lot Balance'!$B1142)</f>
        <v/>
      </c>
      <c r="C1143" s="18" t="str">
        <f>IF($A1143="","",'Lot Balance'!$C1142)</f>
        <v/>
      </c>
      <c r="D1143" s="25" t="str">
        <f>IF($A1143="","",'Lot Balance'!$G1142)</f>
        <v/>
      </c>
      <c r="E1143" s="25" t="str">
        <f>IF($A1143="","",'Lot Balance'!$H1142)</f>
        <v/>
      </c>
      <c r="F1143" s="23" t="str">
        <f>IF($A1143="","",'Lot Balance'!$I1142)</f>
        <v/>
      </c>
      <c r="G1143" s="23" t="str">
        <f>IF($A1143="","",'Lot Balance'!$O1142)</f>
        <v/>
      </c>
      <c r="H1143" s="33" t="str">
        <f>IF($A1143="","",'Lot Balance'!$P1142)</f>
        <v/>
      </c>
      <c r="I1143" s="26" t="str">
        <f>IF($A1143="","",COUNTIFS(tblIssues[Lot Number],$B1143))</f>
        <v/>
      </c>
      <c r="J1143" s="31" t="str">
        <f>IF($A1143="","",IF('Lot Balance'!$O1142&lt;=0,"Depleted",'Lot Balance'!$Q1142))</f>
        <v/>
      </c>
    </row>
    <row r="1144" spans="1:10" x14ac:dyDescent="0.35">
      <c r="A1144" s="18" t="str">
        <f>IF('Lot Balance'!$A1143="","",'Lot Balance'!$A1143)</f>
        <v/>
      </c>
      <c r="B1144" s="18" t="str">
        <f>IF($A1144="","",'Lot Balance'!$B1143)</f>
        <v/>
      </c>
      <c r="C1144" s="18" t="str">
        <f>IF($A1144="","",'Lot Balance'!$C1143)</f>
        <v/>
      </c>
      <c r="D1144" s="25" t="str">
        <f>IF($A1144="","",'Lot Balance'!$G1143)</f>
        <v/>
      </c>
      <c r="E1144" s="25" t="str">
        <f>IF($A1144="","",'Lot Balance'!$H1143)</f>
        <v/>
      </c>
      <c r="F1144" s="23" t="str">
        <f>IF($A1144="","",'Lot Balance'!$I1143)</f>
        <v/>
      </c>
      <c r="G1144" s="23" t="str">
        <f>IF($A1144="","",'Lot Balance'!$O1143)</f>
        <v/>
      </c>
      <c r="H1144" s="33" t="str">
        <f>IF($A1144="","",'Lot Balance'!$P1143)</f>
        <v/>
      </c>
      <c r="I1144" s="26" t="str">
        <f>IF($A1144="","",COUNTIFS(tblIssues[Lot Number],$B1144))</f>
        <v/>
      </c>
      <c r="J1144" s="31" t="str">
        <f>IF($A1144="","",IF('Lot Balance'!$O1143&lt;=0,"Depleted",'Lot Balance'!$Q1143))</f>
        <v/>
      </c>
    </row>
    <row r="1145" spans="1:10" x14ac:dyDescent="0.35">
      <c r="A1145" s="18" t="str">
        <f>IF('Lot Balance'!$A1144="","",'Lot Balance'!$A1144)</f>
        <v/>
      </c>
      <c r="B1145" s="18" t="str">
        <f>IF($A1145="","",'Lot Balance'!$B1144)</f>
        <v/>
      </c>
      <c r="C1145" s="18" t="str">
        <f>IF($A1145="","",'Lot Balance'!$C1144)</f>
        <v/>
      </c>
      <c r="D1145" s="25" t="str">
        <f>IF($A1145="","",'Lot Balance'!$G1144)</f>
        <v/>
      </c>
      <c r="E1145" s="25" t="str">
        <f>IF($A1145="","",'Lot Balance'!$H1144)</f>
        <v/>
      </c>
      <c r="F1145" s="23" t="str">
        <f>IF($A1145="","",'Lot Balance'!$I1144)</f>
        <v/>
      </c>
      <c r="G1145" s="23" t="str">
        <f>IF($A1145="","",'Lot Balance'!$O1144)</f>
        <v/>
      </c>
      <c r="H1145" s="33" t="str">
        <f>IF($A1145="","",'Lot Balance'!$P1144)</f>
        <v/>
      </c>
      <c r="I1145" s="26" t="str">
        <f>IF($A1145="","",COUNTIFS(tblIssues[Lot Number],$B1145))</f>
        <v/>
      </c>
      <c r="J1145" s="31" t="str">
        <f>IF($A1145="","",IF('Lot Balance'!$O1144&lt;=0,"Depleted",'Lot Balance'!$Q1144))</f>
        <v/>
      </c>
    </row>
    <row r="1146" spans="1:10" x14ac:dyDescent="0.35">
      <c r="A1146" s="18" t="str">
        <f>IF('Lot Balance'!$A1145="","",'Lot Balance'!$A1145)</f>
        <v/>
      </c>
      <c r="B1146" s="18" t="str">
        <f>IF($A1146="","",'Lot Balance'!$B1145)</f>
        <v/>
      </c>
      <c r="C1146" s="18" t="str">
        <f>IF($A1146="","",'Lot Balance'!$C1145)</f>
        <v/>
      </c>
      <c r="D1146" s="25" t="str">
        <f>IF($A1146="","",'Lot Balance'!$G1145)</f>
        <v/>
      </c>
      <c r="E1146" s="25" t="str">
        <f>IF($A1146="","",'Lot Balance'!$H1145)</f>
        <v/>
      </c>
      <c r="F1146" s="23" t="str">
        <f>IF($A1146="","",'Lot Balance'!$I1145)</f>
        <v/>
      </c>
      <c r="G1146" s="23" t="str">
        <f>IF($A1146="","",'Lot Balance'!$O1145)</f>
        <v/>
      </c>
      <c r="H1146" s="33" t="str">
        <f>IF($A1146="","",'Lot Balance'!$P1145)</f>
        <v/>
      </c>
      <c r="I1146" s="26" t="str">
        <f>IF($A1146="","",COUNTIFS(tblIssues[Lot Number],$B1146))</f>
        <v/>
      </c>
      <c r="J1146" s="31" t="str">
        <f>IF($A1146="","",IF('Lot Balance'!$O1145&lt;=0,"Depleted",'Lot Balance'!$Q1145))</f>
        <v/>
      </c>
    </row>
    <row r="1147" spans="1:10" x14ac:dyDescent="0.35">
      <c r="A1147" s="18" t="str">
        <f>IF('Lot Balance'!$A1146="","",'Lot Balance'!$A1146)</f>
        <v/>
      </c>
      <c r="B1147" s="18" t="str">
        <f>IF($A1147="","",'Lot Balance'!$B1146)</f>
        <v/>
      </c>
      <c r="C1147" s="18" t="str">
        <f>IF($A1147="","",'Lot Balance'!$C1146)</f>
        <v/>
      </c>
      <c r="D1147" s="25" t="str">
        <f>IF($A1147="","",'Lot Balance'!$G1146)</f>
        <v/>
      </c>
      <c r="E1147" s="25" t="str">
        <f>IF($A1147="","",'Lot Balance'!$H1146)</f>
        <v/>
      </c>
      <c r="F1147" s="23" t="str">
        <f>IF($A1147="","",'Lot Balance'!$I1146)</f>
        <v/>
      </c>
      <c r="G1147" s="23" t="str">
        <f>IF($A1147="","",'Lot Balance'!$O1146)</f>
        <v/>
      </c>
      <c r="H1147" s="33" t="str">
        <f>IF($A1147="","",'Lot Balance'!$P1146)</f>
        <v/>
      </c>
      <c r="I1147" s="26" t="str">
        <f>IF($A1147="","",COUNTIFS(tblIssues[Lot Number],$B1147))</f>
        <v/>
      </c>
      <c r="J1147" s="31" t="str">
        <f>IF($A1147="","",IF('Lot Balance'!$O1146&lt;=0,"Depleted",'Lot Balance'!$Q1146))</f>
        <v/>
      </c>
    </row>
    <row r="1148" spans="1:10" x14ac:dyDescent="0.35">
      <c r="A1148" s="18" t="str">
        <f>IF('Lot Balance'!$A1147="","",'Lot Balance'!$A1147)</f>
        <v/>
      </c>
      <c r="B1148" s="18" t="str">
        <f>IF($A1148="","",'Lot Balance'!$B1147)</f>
        <v/>
      </c>
      <c r="C1148" s="18" t="str">
        <f>IF($A1148="","",'Lot Balance'!$C1147)</f>
        <v/>
      </c>
      <c r="D1148" s="25" t="str">
        <f>IF($A1148="","",'Lot Balance'!$G1147)</f>
        <v/>
      </c>
      <c r="E1148" s="25" t="str">
        <f>IF($A1148="","",'Lot Balance'!$H1147)</f>
        <v/>
      </c>
      <c r="F1148" s="23" t="str">
        <f>IF($A1148="","",'Lot Balance'!$I1147)</f>
        <v/>
      </c>
      <c r="G1148" s="23" t="str">
        <f>IF($A1148="","",'Lot Balance'!$O1147)</f>
        <v/>
      </c>
      <c r="H1148" s="33" t="str">
        <f>IF($A1148="","",'Lot Balance'!$P1147)</f>
        <v/>
      </c>
      <c r="I1148" s="26" t="str">
        <f>IF($A1148="","",COUNTIFS(tblIssues[Lot Number],$B1148))</f>
        <v/>
      </c>
      <c r="J1148" s="31" t="str">
        <f>IF($A1148="","",IF('Lot Balance'!$O1147&lt;=0,"Depleted",'Lot Balance'!$Q1147))</f>
        <v/>
      </c>
    </row>
    <row r="1149" spans="1:10" x14ac:dyDescent="0.35">
      <c r="A1149" s="18" t="str">
        <f>IF('Lot Balance'!$A1148="","",'Lot Balance'!$A1148)</f>
        <v/>
      </c>
      <c r="B1149" s="18" t="str">
        <f>IF($A1149="","",'Lot Balance'!$B1148)</f>
        <v/>
      </c>
      <c r="C1149" s="18" t="str">
        <f>IF($A1149="","",'Lot Balance'!$C1148)</f>
        <v/>
      </c>
      <c r="D1149" s="25" t="str">
        <f>IF($A1149="","",'Lot Balance'!$G1148)</f>
        <v/>
      </c>
      <c r="E1149" s="25" t="str">
        <f>IF($A1149="","",'Lot Balance'!$H1148)</f>
        <v/>
      </c>
      <c r="F1149" s="23" t="str">
        <f>IF($A1149="","",'Lot Balance'!$I1148)</f>
        <v/>
      </c>
      <c r="G1149" s="23" t="str">
        <f>IF($A1149="","",'Lot Balance'!$O1148)</f>
        <v/>
      </c>
      <c r="H1149" s="33" t="str">
        <f>IF($A1149="","",'Lot Balance'!$P1148)</f>
        <v/>
      </c>
      <c r="I1149" s="26" t="str">
        <f>IF($A1149="","",COUNTIFS(tblIssues[Lot Number],$B1149))</f>
        <v/>
      </c>
      <c r="J1149" s="31" t="str">
        <f>IF($A1149="","",IF('Lot Balance'!$O1148&lt;=0,"Depleted",'Lot Balance'!$Q1148))</f>
        <v/>
      </c>
    </row>
    <row r="1150" spans="1:10" x14ac:dyDescent="0.35">
      <c r="A1150" s="18" t="str">
        <f>IF('Lot Balance'!$A1149="","",'Lot Balance'!$A1149)</f>
        <v/>
      </c>
      <c r="B1150" s="18" t="str">
        <f>IF($A1150="","",'Lot Balance'!$B1149)</f>
        <v/>
      </c>
      <c r="C1150" s="18" t="str">
        <f>IF($A1150="","",'Lot Balance'!$C1149)</f>
        <v/>
      </c>
      <c r="D1150" s="25" t="str">
        <f>IF($A1150="","",'Lot Balance'!$G1149)</f>
        <v/>
      </c>
      <c r="E1150" s="25" t="str">
        <f>IF($A1150="","",'Lot Balance'!$H1149)</f>
        <v/>
      </c>
      <c r="F1150" s="23" t="str">
        <f>IF($A1150="","",'Lot Balance'!$I1149)</f>
        <v/>
      </c>
      <c r="G1150" s="23" t="str">
        <f>IF($A1150="","",'Lot Balance'!$O1149)</f>
        <v/>
      </c>
      <c r="H1150" s="33" t="str">
        <f>IF($A1150="","",'Lot Balance'!$P1149)</f>
        <v/>
      </c>
      <c r="I1150" s="26" t="str">
        <f>IF($A1150="","",COUNTIFS(tblIssues[Lot Number],$B1150))</f>
        <v/>
      </c>
      <c r="J1150" s="31" t="str">
        <f>IF($A1150="","",IF('Lot Balance'!$O1149&lt;=0,"Depleted",'Lot Balance'!$Q1149))</f>
        <v/>
      </c>
    </row>
    <row r="1151" spans="1:10" x14ac:dyDescent="0.35">
      <c r="A1151" s="18" t="str">
        <f>IF('Lot Balance'!$A1150="","",'Lot Balance'!$A1150)</f>
        <v/>
      </c>
      <c r="B1151" s="18" t="str">
        <f>IF($A1151="","",'Lot Balance'!$B1150)</f>
        <v/>
      </c>
      <c r="C1151" s="18" t="str">
        <f>IF($A1151="","",'Lot Balance'!$C1150)</f>
        <v/>
      </c>
      <c r="D1151" s="25" t="str">
        <f>IF($A1151="","",'Lot Balance'!$G1150)</f>
        <v/>
      </c>
      <c r="E1151" s="25" t="str">
        <f>IF($A1151="","",'Lot Balance'!$H1150)</f>
        <v/>
      </c>
      <c r="F1151" s="23" t="str">
        <f>IF($A1151="","",'Lot Balance'!$I1150)</f>
        <v/>
      </c>
      <c r="G1151" s="23" t="str">
        <f>IF($A1151="","",'Lot Balance'!$O1150)</f>
        <v/>
      </c>
      <c r="H1151" s="33" t="str">
        <f>IF($A1151="","",'Lot Balance'!$P1150)</f>
        <v/>
      </c>
      <c r="I1151" s="26" t="str">
        <f>IF($A1151="","",COUNTIFS(tblIssues[Lot Number],$B1151))</f>
        <v/>
      </c>
      <c r="J1151" s="31" t="str">
        <f>IF($A1151="","",IF('Lot Balance'!$O1150&lt;=0,"Depleted",'Lot Balance'!$Q1150))</f>
        <v/>
      </c>
    </row>
    <row r="1152" spans="1:10" x14ac:dyDescent="0.35">
      <c r="A1152" s="18" t="str">
        <f>IF('Lot Balance'!$A1151="","",'Lot Balance'!$A1151)</f>
        <v/>
      </c>
      <c r="B1152" s="18" t="str">
        <f>IF($A1152="","",'Lot Balance'!$B1151)</f>
        <v/>
      </c>
      <c r="C1152" s="18" t="str">
        <f>IF($A1152="","",'Lot Balance'!$C1151)</f>
        <v/>
      </c>
      <c r="D1152" s="25" t="str">
        <f>IF($A1152="","",'Lot Balance'!$G1151)</f>
        <v/>
      </c>
      <c r="E1152" s="25" t="str">
        <f>IF($A1152="","",'Lot Balance'!$H1151)</f>
        <v/>
      </c>
      <c r="F1152" s="23" t="str">
        <f>IF($A1152="","",'Lot Balance'!$I1151)</f>
        <v/>
      </c>
      <c r="G1152" s="23" t="str">
        <f>IF($A1152="","",'Lot Balance'!$O1151)</f>
        <v/>
      </c>
      <c r="H1152" s="33" t="str">
        <f>IF($A1152="","",'Lot Balance'!$P1151)</f>
        <v/>
      </c>
      <c r="I1152" s="26" t="str">
        <f>IF($A1152="","",COUNTIFS(tblIssues[Lot Number],$B1152))</f>
        <v/>
      </c>
      <c r="J1152" s="31" t="str">
        <f>IF($A1152="","",IF('Lot Balance'!$O1151&lt;=0,"Depleted",'Lot Balance'!$Q1151))</f>
        <v/>
      </c>
    </row>
    <row r="1153" spans="1:10" x14ac:dyDescent="0.35">
      <c r="A1153" s="18" t="str">
        <f>IF('Lot Balance'!$A1152="","",'Lot Balance'!$A1152)</f>
        <v/>
      </c>
      <c r="B1153" s="18" t="str">
        <f>IF($A1153="","",'Lot Balance'!$B1152)</f>
        <v/>
      </c>
      <c r="C1153" s="18" t="str">
        <f>IF($A1153="","",'Lot Balance'!$C1152)</f>
        <v/>
      </c>
      <c r="D1153" s="25" t="str">
        <f>IF($A1153="","",'Lot Balance'!$G1152)</f>
        <v/>
      </c>
      <c r="E1153" s="25" t="str">
        <f>IF($A1153="","",'Lot Balance'!$H1152)</f>
        <v/>
      </c>
      <c r="F1153" s="23" t="str">
        <f>IF($A1153="","",'Lot Balance'!$I1152)</f>
        <v/>
      </c>
      <c r="G1153" s="23" t="str">
        <f>IF($A1153="","",'Lot Balance'!$O1152)</f>
        <v/>
      </c>
      <c r="H1153" s="33" t="str">
        <f>IF($A1153="","",'Lot Balance'!$P1152)</f>
        <v/>
      </c>
      <c r="I1153" s="26" t="str">
        <f>IF($A1153="","",COUNTIFS(tblIssues[Lot Number],$B1153))</f>
        <v/>
      </c>
      <c r="J1153" s="31" t="str">
        <f>IF($A1153="","",IF('Lot Balance'!$O1152&lt;=0,"Depleted",'Lot Balance'!$Q1152))</f>
        <v/>
      </c>
    </row>
    <row r="1154" spans="1:10" x14ac:dyDescent="0.35">
      <c r="A1154" s="18" t="str">
        <f>IF('Lot Balance'!$A1153="","",'Lot Balance'!$A1153)</f>
        <v/>
      </c>
      <c r="B1154" s="18" t="str">
        <f>IF($A1154="","",'Lot Balance'!$B1153)</f>
        <v/>
      </c>
      <c r="C1154" s="18" t="str">
        <f>IF($A1154="","",'Lot Balance'!$C1153)</f>
        <v/>
      </c>
      <c r="D1154" s="25" t="str">
        <f>IF($A1154="","",'Lot Balance'!$G1153)</f>
        <v/>
      </c>
      <c r="E1154" s="25" t="str">
        <f>IF($A1154="","",'Lot Balance'!$H1153)</f>
        <v/>
      </c>
      <c r="F1154" s="23" t="str">
        <f>IF($A1154="","",'Lot Balance'!$I1153)</f>
        <v/>
      </c>
      <c r="G1154" s="23" t="str">
        <f>IF($A1154="","",'Lot Balance'!$O1153)</f>
        <v/>
      </c>
      <c r="H1154" s="33" t="str">
        <f>IF($A1154="","",'Lot Balance'!$P1153)</f>
        <v/>
      </c>
      <c r="I1154" s="26" t="str">
        <f>IF($A1154="","",COUNTIFS(tblIssues[Lot Number],$B1154))</f>
        <v/>
      </c>
      <c r="J1154" s="31" t="str">
        <f>IF($A1154="","",IF('Lot Balance'!$O1153&lt;=0,"Depleted",'Lot Balance'!$Q1153))</f>
        <v/>
      </c>
    </row>
    <row r="1155" spans="1:10" x14ac:dyDescent="0.35">
      <c r="A1155" s="18" t="str">
        <f>IF('Lot Balance'!$A1154="","",'Lot Balance'!$A1154)</f>
        <v/>
      </c>
      <c r="B1155" s="18" t="str">
        <f>IF($A1155="","",'Lot Balance'!$B1154)</f>
        <v/>
      </c>
      <c r="C1155" s="18" t="str">
        <f>IF($A1155="","",'Lot Balance'!$C1154)</f>
        <v/>
      </c>
      <c r="D1155" s="25" t="str">
        <f>IF($A1155="","",'Lot Balance'!$G1154)</f>
        <v/>
      </c>
      <c r="E1155" s="25" t="str">
        <f>IF($A1155="","",'Lot Balance'!$H1154)</f>
        <v/>
      </c>
      <c r="F1155" s="23" t="str">
        <f>IF($A1155="","",'Lot Balance'!$I1154)</f>
        <v/>
      </c>
      <c r="G1155" s="23" t="str">
        <f>IF($A1155="","",'Lot Balance'!$O1154)</f>
        <v/>
      </c>
      <c r="H1155" s="33" t="str">
        <f>IF($A1155="","",'Lot Balance'!$P1154)</f>
        <v/>
      </c>
      <c r="I1155" s="26" t="str">
        <f>IF($A1155="","",COUNTIFS(tblIssues[Lot Number],$B1155))</f>
        <v/>
      </c>
      <c r="J1155" s="31" t="str">
        <f>IF($A1155="","",IF('Lot Balance'!$O1154&lt;=0,"Depleted",'Lot Balance'!$Q1154))</f>
        <v/>
      </c>
    </row>
    <row r="1156" spans="1:10" x14ac:dyDescent="0.35">
      <c r="A1156" s="18" t="str">
        <f>IF('Lot Balance'!$A1155="","",'Lot Balance'!$A1155)</f>
        <v/>
      </c>
      <c r="B1156" s="18" t="str">
        <f>IF($A1156="","",'Lot Balance'!$B1155)</f>
        <v/>
      </c>
      <c r="C1156" s="18" t="str">
        <f>IF($A1156="","",'Lot Balance'!$C1155)</f>
        <v/>
      </c>
      <c r="D1156" s="25" t="str">
        <f>IF($A1156="","",'Lot Balance'!$G1155)</f>
        <v/>
      </c>
      <c r="E1156" s="25" t="str">
        <f>IF($A1156="","",'Lot Balance'!$H1155)</f>
        <v/>
      </c>
      <c r="F1156" s="23" t="str">
        <f>IF($A1156="","",'Lot Balance'!$I1155)</f>
        <v/>
      </c>
      <c r="G1156" s="23" t="str">
        <f>IF($A1156="","",'Lot Balance'!$O1155)</f>
        <v/>
      </c>
      <c r="H1156" s="33" t="str">
        <f>IF($A1156="","",'Lot Balance'!$P1155)</f>
        <v/>
      </c>
      <c r="I1156" s="26" t="str">
        <f>IF($A1156="","",COUNTIFS(tblIssues[Lot Number],$B1156))</f>
        <v/>
      </c>
      <c r="J1156" s="31" t="str">
        <f>IF($A1156="","",IF('Lot Balance'!$O1155&lt;=0,"Depleted",'Lot Balance'!$Q1155))</f>
        <v/>
      </c>
    </row>
    <row r="1157" spans="1:10" x14ac:dyDescent="0.35">
      <c r="A1157" s="18" t="str">
        <f>IF('Lot Balance'!$A1156="","",'Lot Balance'!$A1156)</f>
        <v/>
      </c>
      <c r="B1157" s="18" t="str">
        <f>IF($A1157="","",'Lot Balance'!$B1156)</f>
        <v/>
      </c>
      <c r="C1157" s="18" t="str">
        <f>IF($A1157="","",'Lot Balance'!$C1156)</f>
        <v/>
      </c>
      <c r="D1157" s="25" t="str">
        <f>IF($A1157="","",'Lot Balance'!$G1156)</f>
        <v/>
      </c>
      <c r="E1157" s="25" t="str">
        <f>IF($A1157="","",'Lot Balance'!$H1156)</f>
        <v/>
      </c>
      <c r="F1157" s="23" t="str">
        <f>IF($A1157="","",'Lot Balance'!$I1156)</f>
        <v/>
      </c>
      <c r="G1157" s="23" t="str">
        <f>IF($A1157="","",'Lot Balance'!$O1156)</f>
        <v/>
      </c>
      <c r="H1157" s="33" t="str">
        <f>IF($A1157="","",'Lot Balance'!$P1156)</f>
        <v/>
      </c>
      <c r="I1157" s="26" t="str">
        <f>IF($A1157="","",COUNTIFS(tblIssues[Lot Number],$B1157))</f>
        <v/>
      </c>
      <c r="J1157" s="31" t="str">
        <f>IF($A1157="","",IF('Lot Balance'!$O1156&lt;=0,"Depleted",'Lot Balance'!$Q1156))</f>
        <v/>
      </c>
    </row>
    <row r="1158" spans="1:10" x14ac:dyDescent="0.35">
      <c r="A1158" s="18" t="str">
        <f>IF('Lot Balance'!$A1157="","",'Lot Balance'!$A1157)</f>
        <v/>
      </c>
      <c r="B1158" s="18" t="str">
        <f>IF($A1158="","",'Lot Balance'!$B1157)</f>
        <v/>
      </c>
      <c r="C1158" s="18" t="str">
        <f>IF($A1158="","",'Lot Balance'!$C1157)</f>
        <v/>
      </c>
      <c r="D1158" s="25" t="str">
        <f>IF($A1158="","",'Lot Balance'!$G1157)</f>
        <v/>
      </c>
      <c r="E1158" s="25" t="str">
        <f>IF($A1158="","",'Lot Balance'!$H1157)</f>
        <v/>
      </c>
      <c r="F1158" s="23" t="str">
        <f>IF($A1158="","",'Lot Balance'!$I1157)</f>
        <v/>
      </c>
      <c r="G1158" s="23" t="str">
        <f>IF($A1158="","",'Lot Balance'!$O1157)</f>
        <v/>
      </c>
      <c r="H1158" s="33" t="str">
        <f>IF($A1158="","",'Lot Balance'!$P1157)</f>
        <v/>
      </c>
      <c r="I1158" s="26" t="str">
        <f>IF($A1158="","",COUNTIFS(tblIssues[Lot Number],$B1158))</f>
        <v/>
      </c>
      <c r="J1158" s="31" t="str">
        <f>IF($A1158="","",IF('Lot Balance'!$O1157&lt;=0,"Depleted",'Lot Balance'!$Q1157))</f>
        <v/>
      </c>
    </row>
    <row r="1159" spans="1:10" x14ac:dyDescent="0.35">
      <c r="A1159" s="18" t="str">
        <f>IF('Lot Balance'!$A1158="","",'Lot Balance'!$A1158)</f>
        <v/>
      </c>
      <c r="B1159" s="18" t="str">
        <f>IF($A1159="","",'Lot Balance'!$B1158)</f>
        <v/>
      </c>
      <c r="C1159" s="18" t="str">
        <f>IF($A1159="","",'Lot Balance'!$C1158)</f>
        <v/>
      </c>
      <c r="D1159" s="25" t="str">
        <f>IF($A1159="","",'Lot Balance'!$G1158)</f>
        <v/>
      </c>
      <c r="E1159" s="25" t="str">
        <f>IF($A1159="","",'Lot Balance'!$H1158)</f>
        <v/>
      </c>
      <c r="F1159" s="23" t="str">
        <f>IF($A1159="","",'Lot Balance'!$I1158)</f>
        <v/>
      </c>
      <c r="G1159" s="23" t="str">
        <f>IF($A1159="","",'Lot Balance'!$O1158)</f>
        <v/>
      </c>
      <c r="H1159" s="33" t="str">
        <f>IF($A1159="","",'Lot Balance'!$P1158)</f>
        <v/>
      </c>
      <c r="I1159" s="26" t="str">
        <f>IF($A1159="","",COUNTIFS(tblIssues[Lot Number],$B1159))</f>
        <v/>
      </c>
      <c r="J1159" s="31" t="str">
        <f>IF($A1159="","",IF('Lot Balance'!$O1158&lt;=0,"Depleted",'Lot Balance'!$Q1158))</f>
        <v/>
      </c>
    </row>
    <row r="1160" spans="1:10" x14ac:dyDescent="0.35">
      <c r="A1160" s="18" t="str">
        <f>IF('Lot Balance'!$A1159="","",'Lot Balance'!$A1159)</f>
        <v/>
      </c>
      <c r="B1160" s="18" t="str">
        <f>IF($A1160="","",'Lot Balance'!$B1159)</f>
        <v/>
      </c>
      <c r="C1160" s="18" t="str">
        <f>IF($A1160="","",'Lot Balance'!$C1159)</f>
        <v/>
      </c>
      <c r="D1160" s="25" t="str">
        <f>IF($A1160="","",'Lot Balance'!$G1159)</f>
        <v/>
      </c>
      <c r="E1160" s="25" t="str">
        <f>IF($A1160="","",'Lot Balance'!$H1159)</f>
        <v/>
      </c>
      <c r="F1160" s="23" t="str">
        <f>IF($A1160="","",'Lot Balance'!$I1159)</f>
        <v/>
      </c>
      <c r="G1160" s="23" t="str">
        <f>IF($A1160="","",'Lot Balance'!$O1159)</f>
        <v/>
      </c>
      <c r="H1160" s="33" t="str">
        <f>IF($A1160="","",'Lot Balance'!$P1159)</f>
        <v/>
      </c>
      <c r="I1160" s="26" t="str">
        <f>IF($A1160="","",COUNTIFS(tblIssues[Lot Number],$B1160))</f>
        <v/>
      </c>
      <c r="J1160" s="31" t="str">
        <f>IF($A1160="","",IF('Lot Balance'!$O1159&lt;=0,"Depleted",'Lot Balance'!$Q1159))</f>
        <v/>
      </c>
    </row>
    <row r="1161" spans="1:10" x14ac:dyDescent="0.35">
      <c r="A1161" s="18" t="str">
        <f>IF('Lot Balance'!$A1160="","",'Lot Balance'!$A1160)</f>
        <v/>
      </c>
      <c r="B1161" s="18" t="str">
        <f>IF($A1161="","",'Lot Balance'!$B1160)</f>
        <v/>
      </c>
      <c r="C1161" s="18" t="str">
        <f>IF($A1161="","",'Lot Balance'!$C1160)</f>
        <v/>
      </c>
      <c r="D1161" s="25" t="str">
        <f>IF($A1161="","",'Lot Balance'!$G1160)</f>
        <v/>
      </c>
      <c r="E1161" s="25" t="str">
        <f>IF($A1161="","",'Lot Balance'!$H1160)</f>
        <v/>
      </c>
      <c r="F1161" s="23" t="str">
        <f>IF($A1161="","",'Lot Balance'!$I1160)</f>
        <v/>
      </c>
      <c r="G1161" s="23" t="str">
        <f>IF($A1161="","",'Lot Balance'!$O1160)</f>
        <v/>
      </c>
      <c r="H1161" s="33" t="str">
        <f>IF($A1161="","",'Lot Balance'!$P1160)</f>
        <v/>
      </c>
      <c r="I1161" s="26" t="str">
        <f>IF($A1161="","",COUNTIFS(tblIssues[Lot Number],$B1161))</f>
        <v/>
      </c>
      <c r="J1161" s="31" t="str">
        <f>IF($A1161="","",IF('Lot Balance'!$O1160&lt;=0,"Depleted",'Lot Balance'!$Q1160))</f>
        <v/>
      </c>
    </row>
    <row r="1162" spans="1:10" x14ac:dyDescent="0.35">
      <c r="A1162" s="18" t="str">
        <f>IF('Lot Balance'!$A1161="","",'Lot Balance'!$A1161)</f>
        <v/>
      </c>
      <c r="B1162" s="18" t="str">
        <f>IF($A1162="","",'Lot Balance'!$B1161)</f>
        <v/>
      </c>
      <c r="C1162" s="18" t="str">
        <f>IF($A1162="","",'Lot Balance'!$C1161)</f>
        <v/>
      </c>
      <c r="D1162" s="25" t="str">
        <f>IF($A1162="","",'Lot Balance'!$G1161)</f>
        <v/>
      </c>
      <c r="E1162" s="25" t="str">
        <f>IF($A1162="","",'Lot Balance'!$H1161)</f>
        <v/>
      </c>
      <c r="F1162" s="23" t="str">
        <f>IF($A1162="","",'Lot Balance'!$I1161)</f>
        <v/>
      </c>
      <c r="G1162" s="23" t="str">
        <f>IF($A1162="","",'Lot Balance'!$O1161)</f>
        <v/>
      </c>
      <c r="H1162" s="33" t="str">
        <f>IF($A1162="","",'Lot Balance'!$P1161)</f>
        <v/>
      </c>
      <c r="I1162" s="26" t="str">
        <f>IF($A1162="","",COUNTIFS(tblIssues[Lot Number],$B1162))</f>
        <v/>
      </c>
      <c r="J1162" s="31" t="str">
        <f>IF($A1162="","",IF('Lot Balance'!$O1161&lt;=0,"Depleted",'Lot Balance'!$Q1161))</f>
        <v/>
      </c>
    </row>
    <row r="1163" spans="1:10" x14ac:dyDescent="0.35">
      <c r="A1163" s="18" t="str">
        <f>IF('Lot Balance'!$A1162="","",'Lot Balance'!$A1162)</f>
        <v/>
      </c>
      <c r="B1163" s="18" t="str">
        <f>IF($A1163="","",'Lot Balance'!$B1162)</f>
        <v/>
      </c>
      <c r="C1163" s="18" t="str">
        <f>IF($A1163="","",'Lot Balance'!$C1162)</f>
        <v/>
      </c>
      <c r="D1163" s="25" t="str">
        <f>IF($A1163="","",'Lot Balance'!$G1162)</f>
        <v/>
      </c>
      <c r="E1163" s="25" t="str">
        <f>IF($A1163="","",'Lot Balance'!$H1162)</f>
        <v/>
      </c>
      <c r="F1163" s="23" t="str">
        <f>IF($A1163="","",'Lot Balance'!$I1162)</f>
        <v/>
      </c>
      <c r="G1163" s="23" t="str">
        <f>IF($A1163="","",'Lot Balance'!$O1162)</f>
        <v/>
      </c>
      <c r="H1163" s="33" t="str">
        <f>IF($A1163="","",'Lot Balance'!$P1162)</f>
        <v/>
      </c>
      <c r="I1163" s="26" t="str">
        <f>IF($A1163="","",COUNTIFS(tblIssues[Lot Number],$B1163))</f>
        <v/>
      </c>
      <c r="J1163" s="31" t="str">
        <f>IF($A1163="","",IF('Lot Balance'!$O1162&lt;=0,"Depleted",'Lot Balance'!$Q1162))</f>
        <v/>
      </c>
    </row>
    <row r="1164" spans="1:10" x14ac:dyDescent="0.35">
      <c r="A1164" s="18" t="str">
        <f>IF('Lot Balance'!$A1163="","",'Lot Balance'!$A1163)</f>
        <v/>
      </c>
      <c r="B1164" s="18" t="str">
        <f>IF($A1164="","",'Lot Balance'!$B1163)</f>
        <v/>
      </c>
      <c r="C1164" s="18" t="str">
        <f>IF($A1164="","",'Lot Balance'!$C1163)</f>
        <v/>
      </c>
      <c r="D1164" s="25" t="str">
        <f>IF($A1164="","",'Lot Balance'!$G1163)</f>
        <v/>
      </c>
      <c r="E1164" s="25" t="str">
        <f>IF($A1164="","",'Lot Balance'!$H1163)</f>
        <v/>
      </c>
      <c r="F1164" s="23" t="str">
        <f>IF($A1164="","",'Lot Balance'!$I1163)</f>
        <v/>
      </c>
      <c r="G1164" s="23" t="str">
        <f>IF($A1164="","",'Lot Balance'!$O1163)</f>
        <v/>
      </c>
      <c r="H1164" s="33" t="str">
        <f>IF($A1164="","",'Lot Balance'!$P1163)</f>
        <v/>
      </c>
      <c r="I1164" s="26" t="str">
        <f>IF($A1164="","",COUNTIFS(tblIssues[Lot Number],$B1164))</f>
        <v/>
      </c>
      <c r="J1164" s="31" t="str">
        <f>IF($A1164="","",IF('Lot Balance'!$O1163&lt;=0,"Depleted",'Lot Balance'!$Q1163))</f>
        <v/>
      </c>
    </row>
    <row r="1165" spans="1:10" x14ac:dyDescent="0.35">
      <c r="A1165" s="18" t="str">
        <f>IF('Lot Balance'!$A1164="","",'Lot Balance'!$A1164)</f>
        <v/>
      </c>
      <c r="B1165" s="18" t="str">
        <f>IF($A1165="","",'Lot Balance'!$B1164)</f>
        <v/>
      </c>
      <c r="C1165" s="18" t="str">
        <f>IF($A1165="","",'Lot Balance'!$C1164)</f>
        <v/>
      </c>
      <c r="D1165" s="25" t="str">
        <f>IF($A1165="","",'Lot Balance'!$G1164)</f>
        <v/>
      </c>
      <c r="E1165" s="25" t="str">
        <f>IF($A1165="","",'Lot Balance'!$H1164)</f>
        <v/>
      </c>
      <c r="F1165" s="23" t="str">
        <f>IF($A1165="","",'Lot Balance'!$I1164)</f>
        <v/>
      </c>
      <c r="G1165" s="23" t="str">
        <f>IF($A1165="","",'Lot Balance'!$O1164)</f>
        <v/>
      </c>
      <c r="H1165" s="33" t="str">
        <f>IF($A1165="","",'Lot Balance'!$P1164)</f>
        <v/>
      </c>
      <c r="I1165" s="26" t="str">
        <f>IF($A1165="","",COUNTIFS(tblIssues[Lot Number],$B1165))</f>
        <v/>
      </c>
      <c r="J1165" s="31" t="str">
        <f>IF($A1165="","",IF('Lot Balance'!$O1164&lt;=0,"Depleted",'Lot Balance'!$Q1164))</f>
        <v/>
      </c>
    </row>
    <row r="1166" spans="1:10" x14ac:dyDescent="0.35">
      <c r="A1166" s="18" t="str">
        <f>IF('Lot Balance'!$A1165="","",'Lot Balance'!$A1165)</f>
        <v/>
      </c>
      <c r="B1166" s="18" t="str">
        <f>IF($A1166="","",'Lot Balance'!$B1165)</f>
        <v/>
      </c>
      <c r="C1166" s="18" t="str">
        <f>IF($A1166="","",'Lot Balance'!$C1165)</f>
        <v/>
      </c>
      <c r="D1166" s="25" t="str">
        <f>IF($A1166="","",'Lot Balance'!$G1165)</f>
        <v/>
      </c>
      <c r="E1166" s="25" t="str">
        <f>IF($A1166="","",'Lot Balance'!$H1165)</f>
        <v/>
      </c>
      <c r="F1166" s="23" t="str">
        <f>IF($A1166="","",'Lot Balance'!$I1165)</f>
        <v/>
      </c>
      <c r="G1166" s="23" t="str">
        <f>IF($A1166="","",'Lot Balance'!$O1165)</f>
        <v/>
      </c>
      <c r="H1166" s="33" t="str">
        <f>IF($A1166="","",'Lot Balance'!$P1165)</f>
        <v/>
      </c>
      <c r="I1166" s="26" t="str">
        <f>IF($A1166="","",COUNTIFS(tblIssues[Lot Number],$B1166))</f>
        <v/>
      </c>
      <c r="J1166" s="31" t="str">
        <f>IF($A1166="","",IF('Lot Balance'!$O1165&lt;=0,"Depleted",'Lot Balance'!$Q1165))</f>
        <v/>
      </c>
    </row>
    <row r="1167" spans="1:10" x14ac:dyDescent="0.35">
      <c r="A1167" s="18" t="str">
        <f>IF('Lot Balance'!$A1166="","",'Lot Balance'!$A1166)</f>
        <v/>
      </c>
      <c r="B1167" s="18" t="str">
        <f>IF($A1167="","",'Lot Balance'!$B1166)</f>
        <v/>
      </c>
      <c r="C1167" s="18" t="str">
        <f>IF($A1167="","",'Lot Balance'!$C1166)</f>
        <v/>
      </c>
      <c r="D1167" s="25" t="str">
        <f>IF($A1167="","",'Lot Balance'!$G1166)</f>
        <v/>
      </c>
      <c r="E1167" s="25" t="str">
        <f>IF($A1167="","",'Lot Balance'!$H1166)</f>
        <v/>
      </c>
      <c r="F1167" s="23" t="str">
        <f>IF($A1167="","",'Lot Balance'!$I1166)</f>
        <v/>
      </c>
      <c r="G1167" s="23" t="str">
        <f>IF($A1167="","",'Lot Balance'!$O1166)</f>
        <v/>
      </c>
      <c r="H1167" s="33" t="str">
        <f>IF($A1167="","",'Lot Balance'!$P1166)</f>
        <v/>
      </c>
      <c r="I1167" s="26" t="str">
        <f>IF($A1167="","",COUNTIFS(tblIssues[Lot Number],$B1167))</f>
        <v/>
      </c>
      <c r="J1167" s="31" t="str">
        <f>IF($A1167="","",IF('Lot Balance'!$O1166&lt;=0,"Depleted",'Lot Balance'!$Q1166))</f>
        <v/>
      </c>
    </row>
    <row r="1168" spans="1:10" x14ac:dyDescent="0.35">
      <c r="A1168" s="18" t="str">
        <f>IF('Lot Balance'!$A1167="","",'Lot Balance'!$A1167)</f>
        <v/>
      </c>
      <c r="B1168" s="18" t="str">
        <f>IF($A1168="","",'Lot Balance'!$B1167)</f>
        <v/>
      </c>
      <c r="C1168" s="18" t="str">
        <f>IF($A1168="","",'Lot Balance'!$C1167)</f>
        <v/>
      </c>
      <c r="D1168" s="25" t="str">
        <f>IF($A1168="","",'Lot Balance'!$G1167)</f>
        <v/>
      </c>
      <c r="E1168" s="25" t="str">
        <f>IF($A1168="","",'Lot Balance'!$H1167)</f>
        <v/>
      </c>
      <c r="F1168" s="23" t="str">
        <f>IF($A1168="","",'Lot Balance'!$I1167)</f>
        <v/>
      </c>
      <c r="G1168" s="23" t="str">
        <f>IF($A1168="","",'Lot Balance'!$O1167)</f>
        <v/>
      </c>
      <c r="H1168" s="33" t="str">
        <f>IF($A1168="","",'Lot Balance'!$P1167)</f>
        <v/>
      </c>
      <c r="I1168" s="26" t="str">
        <f>IF($A1168="","",COUNTIFS(tblIssues[Lot Number],$B1168))</f>
        <v/>
      </c>
      <c r="J1168" s="31" t="str">
        <f>IF($A1168="","",IF('Lot Balance'!$O1167&lt;=0,"Depleted",'Lot Balance'!$Q1167))</f>
        <v/>
      </c>
    </row>
    <row r="1169" spans="1:10" x14ac:dyDescent="0.35">
      <c r="A1169" s="18" t="str">
        <f>IF('Lot Balance'!$A1168="","",'Lot Balance'!$A1168)</f>
        <v/>
      </c>
      <c r="B1169" s="18" t="str">
        <f>IF($A1169="","",'Lot Balance'!$B1168)</f>
        <v/>
      </c>
      <c r="C1169" s="18" t="str">
        <f>IF($A1169="","",'Lot Balance'!$C1168)</f>
        <v/>
      </c>
      <c r="D1169" s="25" t="str">
        <f>IF($A1169="","",'Lot Balance'!$G1168)</f>
        <v/>
      </c>
      <c r="E1169" s="25" t="str">
        <f>IF($A1169="","",'Lot Balance'!$H1168)</f>
        <v/>
      </c>
      <c r="F1169" s="23" t="str">
        <f>IF($A1169="","",'Lot Balance'!$I1168)</f>
        <v/>
      </c>
      <c r="G1169" s="23" t="str">
        <f>IF($A1169="","",'Lot Balance'!$O1168)</f>
        <v/>
      </c>
      <c r="H1169" s="33" t="str">
        <f>IF($A1169="","",'Lot Balance'!$P1168)</f>
        <v/>
      </c>
      <c r="I1169" s="26" t="str">
        <f>IF($A1169="","",COUNTIFS(tblIssues[Lot Number],$B1169))</f>
        <v/>
      </c>
      <c r="J1169" s="31" t="str">
        <f>IF($A1169="","",IF('Lot Balance'!$O1168&lt;=0,"Depleted",'Lot Balance'!$Q1168))</f>
        <v/>
      </c>
    </row>
    <row r="1170" spans="1:10" x14ac:dyDescent="0.35">
      <c r="A1170" s="18" t="str">
        <f>IF('Lot Balance'!$A1169="","",'Lot Balance'!$A1169)</f>
        <v/>
      </c>
      <c r="B1170" s="18" t="str">
        <f>IF($A1170="","",'Lot Balance'!$B1169)</f>
        <v/>
      </c>
      <c r="C1170" s="18" t="str">
        <f>IF($A1170="","",'Lot Balance'!$C1169)</f>
        <v/>
      </c>
      <c r="D1170" s="25" t="str">
        <f>IF($A1170="","",'Lot Balance'!$G1169)</f>
        <v/>
      </c>
      <c r="E1170" s="25" t="str">
        <f>IF($A1170="","",'Lot Balance'!$H1169)</f>
        <v/>
      </c>
      <c r="F1170" s="23" t="str">
        <f>IF($A1170="","",'Lot Balance'!$I1169)</f>
        <v/>
      </c>
      <c r="G1170" s="23" t="str">
        <f>IF($A1170="","",'Lot Balance'!$O1169)</f>
        <v/>
      </c>
      <c r="H1170" s="33" t="str">
        <f>IF($A1170="","",'Lot Balance'!$P1169)</f>
        <v/>
      </c>
      <c r="I1170" s="26" t="str">
        <f>IF($A1170="","",COUNTIFS(tblIssues[Lot Number],$B1170))</f>
        <v/>
      </c>
      <c r="J1170" s="31" t="str">
        <f>IF($A1170="","",IF('Lot Balance'!$O1169&lt;=0,"Depleted",'Lot Balance'!$Q1169))</f>
        <v/>
      </c>
    </row>
    <row r="1171" spans="1:10" x14ac:dyDescent="0.35">
      <c r="A1171" s="18" t="str">
        <f>IF('Lot Balance'!$A1170="","",'Lot Balance'!$A1170)</f>
        <v/>
      </c>
      <c r="B1171" s="18" t="str">
        <f>IF($A1171="","",'Lot Balance'!$B1170)</f>
        <v/>
      </c>
      <c r="C1171" s="18" t="str">
        <f>IF($A1171="","",'Lot Balance'!$C1170)</f>
        <v/>
      </c>
      <c r="D1171" s="25" t="str">
        <f>IF($A1171="","",'Lot Balance'!$G1170)</f>
        <v/>
      </c>
      <c r="E1171" s="25" t="str">
        <f>IF($A1171="","",'Lot Balance'!$H1170)</f>
        <v/>
      </c>
      <c r="F1171" s="23" t="str">
        <f>IF($A1171="","",'Lot Balance'!$I1170)</f>
        <v/>
      </c>
      <c r="G1171" s="23" t="str">
        <f>IF($A1171="","",'Lot Balance'!$O1170)</f>
        <v/>
      </c>
      <c r="H1171" s="33" t="str">
        <f>IF($A1171="","",'Lot Balance'!$P1170)</f>
        <v/>
      </c>
      <c r="I1171" s="26" t="str">
        <f>IF($A1171="","",COUNTIFS(tblIssues[Lot Number],$B1171))</f>
        <v/>
      </c>
      <c r="J1171" s="31" t="str">
        <f>IF($A1171="","",IF('Lot Balance'!$O1170&lt;=0,"Depleted",'Lot Balance'!$Q1170))</f>
        <v/>
      </c>
    </row>
    <row r="1172" spans="1:10" x14ac:dyDescent="0.35">
      <c r="A1172" s="18" t="str">
        <f>IF('Lot Balance'!$A1171="","",'Lot Balance'!$A1171)</f>
        <v/>
      </c>
      <c r="B1172" s="18" t="str">
        <f>IF($A1172="","",'Lot Balance'!$B1171)</f>
        <v/>
      </c>
      <c r="C1172" s="18" t="str">
        <f>IF($A1172="","",'Lot Balance'!$C1171)</f>
        <v/>
      </c>
      <c r="D1172" s="25" t="str">
        <f>IF($A1172="","",'Lot Balance'!$G1171)</f>
        <v/>
      </c>
      <c r="E1172" s="25" t="str">
        <f>IF($A1172="","",'Lot Balance'!$H1171)</f>
        <v/>
      </c>
      <c r="F1172" s="23" t="str">
        <f>IF($A1172="","",'Lot Balance'!$I1171)</f>
        <v/>
      </c>
      <c r="G1172" s="23" t="str">
        <f>IF($A1172="","",'Lot Balance'!$O1171)</f>
        <v/>
      </c>
      <c r="H1172" s="33" t="str">
        <f>IF($A1172="","",'Lot Balance'!$P1171)</f>
        <v/>
      </c>
      <c r="I1172" s="26" t="str">
        <f>IF($A1172="","",COUNTIFS(tblIssues[Lot Number],$B1172))</f>
        <v/>
      </c>
      <c r="J1172" s="31" t="str">
        <f>IF($A1172="","",IF('Lot Balance'!$O1171&lt;=0,"Depleted",'Lot Balance'!$Q1171))</f>
        <v/>
      </c>
    </row>
    <row r="1173" spans="1:10" x14ac:dyDescent="0.35">
      <c r="A1173" s="18" t="str">
        <f>IF('Lot Balance'!$A1172="","",'Lot Balance'!$A1172)</f>
        <v/>
      </c>
      <c r="B1173" s="18" t="str">
        <f>IF($A1173="","",'Lot Balance'!$B1172)</f>
        <v/>
      </c>
      <c r="C1173" s="18" t="str">
        <f>IF($A1173="","",'Lot Balance'!$C1172)</f>
        <v/>
      </c>
      <c r="D1173" s="25" t="str">
        <f>IF($A1173="","",'Lot Balance'!$G1172)</f>
        <v/>
      </c>
      <c r="E1173" s="25" t="str">
        <f>IF($A1173="","",'Lot Balance'!$H1172)</f>
        <v/>
      </c>
      <c r="F1173" s="23" t="str">
        <f>IF($A1173="","",'Lot Balance'!$I1172)</f>
        <v/>
      </c>
      <c r="G1173" s="23" t="str">
        <f>IF($A1173="","",'Lot Balance'!$O1172)</f>
        <v/>
      </c>
      <c r="H1173" s="33" t="str">
        <f>IF($A1173="","",'Lot Balance'!$P1172)</f>
        <v/>
      </c>
      <c r="I1173" s="26" t="str">
        <f>IF($A1173="","",COUNTIFS(tblIssues[Lot Number],$B1173))</f>
        <v/>
      </c>
      <c r="J1173" s="31" t="str">
        <f>IF($A1173="","",IF('Lot Balance'!$O1172&lt;=0,"Depleted",'Lot Balance'!$Q1172))</f>
        <v/>
      </c>
    </row>
    <row r="1174" spans="1:10" x14ac:dyDescent="0.35">
      <c r="A1174" s="18" t="str">
        <f>IF('Lot Balance'!$A1173="","",'Lot Balance'!$A1173)</f>
        <v/>
      </c>
      <c r="B1174" s="18" t="str">
        <f>IF($A1174="","",'Lot Balance'!$B1173)</f>
        <v/>
      </c>
      <c r="C1174" s="18" t="str">
        <f>IF($A1174="","",'Lot Balance'!$C1173)</f>
        <v/>
      </c>
      <c r="D1174" s="25" t="str">
        <f>IF($A1174="","",'Lot Balance'!$G1173)</f>
        <v/>
      </c>
      <c r="E1174" s="25" t="str">
        <f>IF($A1174="","",'Lot Balance'!$H1173)</f>
        <v/>
      </c>
      <c r="F1174" s="23" t="str">
        <f>IF($A1174="","",'Lot Balance'!$I1173)</f>
        <v/>
      </c>
      <c r="G1174" s="23" t="str">
        <f>IF($A1174="","",'Lot Balance'!$O1173)</f>
        <v/>
      </c>
      <c r="H1174" s="33" t="str">
        <f>IF($A1174="","",'Lot Balance'!$P1173)</f>
        <v/>
      </c>
      <c r="I1174" s="26" t="str">
        <f>IF($A1174="","",COUNTIFS(tblIssues[Lot Number],$B1174))</f>
        <v/>
      </c>
      <c r="J1174" s="31" t="str">
        <f>IF($A1174="","",IF('Lot Balance'!$O1173&lt;=0,"Depleted",'Lot Balance'!$Q1173))</f>
        <v/>
      </c>
    </row>
    <row r="1175" spans="1:10" x14ac:dyDescent="0.35">
      <c r="A1175" s="18" t="str">
        <f>IF('Lot Balance'!$A1174="","",'Lot Balance'!$A1174)</f>
        <v/>
      </c>
      <c r="B1175" s="18" t="str">
        <f>IF($A1175="","",'Lot Balance'!$B1174)</f>
        <v/>
      </c>
      <c r="C1175" s="18" t="str">
        <f>IF($A1175="","",'Lot Balance'!$C1174)</f>
        <v/>
      </c>
      <c r="D1175" s="25" t="str">
        <f>IF($A1175="","",'Lot Balance'!$G1174)</f>
        <v/>
      </c>
      <c r="E1175" s="25" t="str">
        <f>IF($A1175="","",'Lot Balance'!$H1174)</f>
        <v/>
      </c>
      <c r="F1175" s="23" t="str">
        <f>IF($A1175="","",'Lot Balance'!$I1174)</f>
        <v/>
      </c>
      <c r="G1175" s="23" t="str">
        <f>IF($A1175="","",'Lot Balance'!$O1174)</f>
        <v/>
      </c>
      <c r="H1175" s="33" t="str">
        <f>IF($A1175="","",'Lot Balance'!$P1174)</f>
        <v/>
      </c>
      <c r="I1175" s="26" t="str">
        <f>IF($A1175="","",COUNTIFS(tblIssues[Lot Number],$B1175))</f>
        <v/>
      </c>
      <c r="J1175" s="31" t="str">
        <f>IF($A1175="","",IF('Lot Balance'!$O1174&lt;=0,"Depleted",'Lot Balance'!$Q1174))</f>
        <v/>
      </c>
    </row>
    <row r="1176" spans="1:10" x14ac:dyDescent="0.35">
      <c r="A1176" s="18" t="str">
        <f>IF('Lot Balance'!$A1175="","",'Lot Balance'!$A1175)</f>
        <v/>
      </c>
      <c r="B1176" s="18" t="str">
        <f>IF($A1176="","",'Lot Balance'!$B1175)</f>
        <v/>
      </c>
      <c r="C1176" s="18" t="str">
        <f>IF($A1176="","",'Lot Balance'!$C1175)</f>
        <v/>
      </c>
      <c r="D1176" s="25" t="str">
        <f>IF($A1176="","",'Lot Balance'!$G1175)</f>
        <v/>
      </c>
      <c r="E1176" s="25" t="str">
        <f>IF($A1176="","",'Lot Balance'!$H1175)</f>
        <v/>
      </c>
      <c r="F1176" s="23" t="str">
        <f>IF($A1176="","",'Lot Balance'!$I1175)</f>
        <v/>
      </c>
      <c r="G1176" s="23" t="str">
        <f>IF($A1176="","",'Lot Balance'!$O1175)</f>
        <v/>
      </c>
      <c r="H1176" s="33" t="str">
        <f>IF($A1176="","",'Lot Balance'!$P1175)</f>
        <v/>
      </c>
      <c r="I1176" s="26" t="str">
        <f>IF($A1176="","",COUNTIFS(tblIssues[Lot Number],$B1176))</f>
        <v/>
      </c>
      <c r="J1176" s="31" t="str">
        <f>IF($A1176="","",IF('Lot Balance'!$O1175&lt;=0,"Depleted",'Lot Balance'!$Q1175))</f>
        <v/>
      </c>
    </row>
    <row r="1177" spans="1:10" x14ac:dyDescent="0.35">
      <c r="A1177" s="18" t="str">
        <f>IF('Lot Balance'!$A1176="","",'Lot Balance'!$A1176)</f>
        <v/>
      </c>
      <c r="B1177" s="18" t="str">
        <f>IF($A1177="","",'Lot Balance'!$B1176)</f>
        <v/>
      </c>
      <c r="C1177" s="18" t="str">
        <f>IF($A1177="","",'Lot Balance'!$C1176)</f>
        <v/>
      </c>
      <c r="D1177" s="25" t="str">
        <f>IF($A1177="","",'Lot Balance'!$G1176)</f>
        <v/>
      </c>
      <c r="E1177" s="25" t="str">
        <f>IF($A1177="","",'Lot Balance'!$H1176)</f>
        <v/>
      </c>
      <c r="F1177" s="23" t="str">
        <f>IF($A1177="","",'Lot Balance'!$I1176)</f>
        <v/>
      </c>
      <c r="G1177" s="23" t="str">
        <f>IF($A1177="","",'Lot Balance'!$O1176)</f>
        <v/>
      </c>
      <c r="H1177" s="33" t="str">
        <f>IF($A1177="","",'Lot Balance'!$P1176)</f>
        <v/>
      </c>
      <c r="I1177" s="26" t="str">
        <f>IF($A1177="","",COUNTIFS(tblIssues[Lot Number],$B1177))</f>
        <v/>
      </c>
      <c r="J1177" s="31" t="str">
        <f>IF($A1177="","",IF('Lot Balance'!$O1176&lt;=0,"Depleted",'Lot Balance'!$Q1176))</f>
        <v/>
      </c>
    </row>
    <row r="1178" spans="1:10" x14ac:dyDescent="0.35">
      <c r="A1178" s="18" t="str">
        <f>IF('Lot Balance'!$A1177="","",'Lot Balance'!$A1177)</f>
        <v/>
      </c>
      <c r="B1178" s="18" t="str">
        <f>IF($A1178="","",'Lot Balance'!$B1177)</f>
        <v/>
      </c>
      <c r="C1178" s="18" t="str">
        <f>IF($A1178="","",'Lot Balance'!$C1177)</f>
        <v/>
      </c>
      <c r="D1178" s="25" t="str">
        <f>IF($A1178="","",'Lot Balance'!$G1177)</f>
        <v/>
      </c>
      <c r="E1178" s="25" t="str">
        <f>IF($A1178="","",'Lot Balance'!$H1177)</f>
        <v/>
      </c>
      <c r="F1178" s="23" t="str">
        <f>IF($A1178="","",'Lot Balance'!$I1177)</f>
        <v/>
      </c>
      <c r="G1178" s="23" t="str">
        <f>IF($A1178="","",'Lot Balance'!$O1177)</f>
        <v/>
      </c>
      <c r="H1178" s="33" t="str">
        <f>IF($A1178="","",'Lot Balance'!$P1177)</f>
        <v/>
      </c>
      <c r="I1178" s="26" t="str">
        <f>IF($A1178="","",COUNTIFS(tblIssues[Lot Number],$B1178))</f>
        <v/>
      </c>
      <c r="J1178" s="31" t="str">
        <f>IF($A1178="","",IF('Lot Balance'!$O1177&lt;=0,"Depleted",'Lot Balance'!$Q1177))</f>
        <v/>
      </c>
    </row>
    <row r="1179" spans="1:10" x14ac:dyDescent="0.35">
      <c r="A1179" s="18" t="str">
        <f>IF('Lot Balance'!$A1178="","",'Lot Balance'!$A1178)</f>
        <v/>
      </c>
      <c r="B1179" s="18" t="str">
        <f>IF($A1179="","",'Lot Balance'!$B1178)</f>
        <v/>
      </c>
      <c r="C1179" s="18" t="str">
        <f>IF($A1179="","",'Lot Balance'!$C1178)</f>
        <v/>
      </c>
      <c r="D1179" s="25" t="str">
        <f>IF($A1179="","",'Lot Balance'!$G1178)</f>
        <v/>
      </c>
      <c r="E1179" s="25" t="str">
        <f>IF($A1179="","",'Lot Balance'!$H1178)</f>
        <v/>
      </c>
      <c r="F1179" s="23" t="str">
        <f>IF($A1179="","",'Lot Balance'!$I1178)</f>
        <v/>
      </c>
      <c r="G1179" s="23" t="str">
        <f>IF($A1179="","",'Lot Balance'!$O1178)</f>
        <v/>
      </c>
      <c r="H1179" s="33" t="str">
        <f>IF($A1179="","",'Lot Balance'!$P1178)</f>
        <v/>
      </c>
      <c r="I1179" s="26" t="str">
        <f>IF($A1179="","",COUNTIFS(tblIssues[Lot Number],$B1179))</f>
        <v/>
      </c>
      <c r="J1179" s="31" t="str">
        <f>IF($A1179="","",IF('Lot Balance'!$O1178&lt;=0,"Depleted",'Lot Balance'!$Q1178))</f>
        <v/>
      </c>
    </row>
    <row r="1180" spans="1:10" x14ac:dyDescent="0.35">
      <c r="A1180" s="18" t="str">
        <f>IF('Lot Balance'!$A1179="","",'Lot Balance'!$A1179)</f>
        <v/>
      </c>
      <c r="B1180" s="18" t="str">
        <f>IF($A1180="","",'Lot Balance'!$B1179)</f>
        <v/>
      </c>
      <c r="C1180" s="18" t="str">
        <f>IF($A1180="","",'Lot Balance'!$C1179)</f>
        <v/>
      </c>
      <c r="D1180" s="25" t="str">
        <f>IF($A1180="","",'Lot Balance'!$G1179)</f>
        <v/>
      </c>
      <c r="E1180" s="25" t="str">
        <f>IF($A1180="","",'Lot Balance'!$H1179)</f>
        <v/>
      </c>
      <c r="F1180" s="23" t="str">
        <f>IF($A1180="","",'Lot Balance'!$I1179)</f>
        <v/>
      </c>
      <c r="G1180" s="23" t="str">
        <f>IF($A1180="","",'Lot Balance'!$O1179)</f>
        <v/>
      </c>
      <c r="H1180" s="33" t="str">
        <f>IF($A1180="","",'Lot Balance'!$P1179)</f>
        <v/>
      </c>
      <c r="I1180" s="26" t="str">
        <f>IF($A1180="","",COUNTIFS(tblIssues[Lot Number],$B1180))</f>
        <v/>
      </c>
      <c r="J1180" s="31" t="str">
        <f>IF($A1180="","",IF('Lot Balance'!$O1179&lt;=0,"Depleted",'Lot Balance'!$Q1179))</f>
        <v/>
      </c>
    </row>
    <row r="1181" spans="1:10" x14ac:dyDescent="0.35">
      <c r="A1181" s="18" t="str">
        <f>IF('Lot Balance'!$A1180="","",'Lot Balance'!$A1180)</f>
        <v/>
      </c>
      <c r="B1181" s="18" t="str">
        <f>IF($A1181="","",'Lot Balance'!$B1180)</f>
        <v/>
      </c>
      <c r="C1181" s="18" t="str">
        <f>IF($A1181="","",'Lot Balance'!$C1180)</f>
        <v/>
      </c>
      <c r="D1181" s="25" t="str">
        <f>IF($A1181="","",'Lot Balance'!$G1180)</f>
        <v/>
      </c>
      <c r="E1181" s="25" t="str">
        <f>IF($A1181="","",'Lot Balance'!$H1180)</f>
        <v/>
      </c>
      <c r="F1181" s="23" t="str">
        <f>IF($A1181="","",'Lot Balance'!$I1180)</f>
        <v/>
      </c>
      <c r="G1181" s="23" t="str">
        <f>IF($A1181="","",'Lot Balance'!$O1180)</f>
        <v/>
      </c>
      <c r="H1181" s="33" t="str">
        <f>IF($A1181="","",'Lot Balance'!$P1180)</f>
        <v/>
      </c>
      <c r="I1181" s="26" t="str">
        <f>IF($A1181="","",COUNTIFS(tblIssues[Lot Number],$B1181))</f>
        <v/>
      </c>
      <c r="J1181" s="31" t="str">
        <f>IF($A1181="","",IF('Lot Balance'!$O1180&lt;=0,"Depleted",'Lot Balance'!$Q1180))</f>
        <v/>
      </c>
    </row>
    <row r="1182" spans="1:10" x14ac:dyDescent="0.35">
      <c r="A1182" s="18" t="str">
        <f>IF('Lot Balance'!$A1181="","",'Lot Balance'!$A1181)</f>
        <v/>
      </c>
      <c r="B1182" s="18" t="str">
        <f>IF($A1182="","",'Lot Balance'!$B1181)</f>
        <v/>
      </c>
      <c r="C1182" s="18" t="str">
        <f>IF($A1182="","",'Lot Balance'!$C1181)</f>
        <v/>
      </c>
      <c r="D1182" s="25" t="str">
        <f>IF($A1182="","",'Lot Balance'!$G1181)</f>
        <v/>
      </c>
      <c r="E1182" s="25" t="str">
        <f>IF($A1182="","",'Lot Balance'!$H1181)</f>
        <v/>
      </c>
      <c r="F1182" s="23" t="str">
        <f>IF($A1182="","",'Lot Balance'!$I1181)</f>
        <v/>
      </c>
      <c r="G1182" s="23" t="str">
        <f>IF($A1182="","",'Lot Balance'!$O1181)</f>
        <v/>
      </c>
      <c r="H1182" s="33" t="str">
        <f>IF($A1182="","",'Lot Balance'!$P1181)</f>
        <v/>
      </c>
      <c r="I1182" s="26" t="str">
        <f>IF($A1182="","",COUNTIFS(tblIssues[Lot Number],$B1182))</f>
        <v/>
      </c>
      <c r="J1182" s="31" t="str">
        <f>IF($A1182="","",IF('Lot Balance'!$O1181&lt;=0,"Depleted",'Lot Balance'!$Q1181))</f>
        <v/>
      </c>
    </row>
    <row r="1183" spans="1:10" x14ac:dyDescent="0.35">
      <c r="A1183" s="18" t="str">
        <f>IF('Lot Balance'!$A1182="","",'Lot Balance'!$A1182)</f>
        <v/>
      </c>
      <c r="B1183" s="18" t="str">
        <f>IF($A1183="","",'Lot Balance'!$B1182)</f>
        <v/>
      </c>
      <c r="C1183" s="18" t="str">
        <f>IF($A1183="","",'Lot Balance'!$C1182)</f>
        <v/>
      </c>
      <c r="D1183" s="25" t="str">
        <f>IF($A1183="","",'Lot Balance'!$G1182)</f>
        <v/>
      </c>
      <c r="E1183" s="25" t="str">
        <f>IF($A1183="","",'Lot Balance'!$H1182)</f>
        <v/>
      </c>
      <c r="F1183" s="23" t="str">
        <f>IF($A1183="","",'Lot Balance'!$I1182)</f>
        <v/>
      </c>
      <c r="G1183" s="23" t="str">
        <f>IF($A1183="","",'Lot Balance'!$O1182)</f>
        <v/>
      </c>
      <c r="H1183" s="33" t="str">
        <f>IF($A1183="","",'Lot Balance'!$P1182)</f>
        <v/>
      </c>
      <c r="I1183" s="26" t="str">
        <f>IF($A1183="","",COUNTIFS(tblIssues[Lot Number],$B1183))</f>
        <v/>
      </c>
      <c r="J1183" s="31" t="str">
        <f>IF($A1183="","",IF('Lot Balance'!$O1182&lt;=0,"Depleted",'Lot Balance'!$Q1182))</f>
        <v/>
      </c>
    </row>
    <row r="1184" spans="1:10" x14ac:dyDescent="0.35">
      <c r="A1184" s="18" t="str">
        <f>IF('Lot Balance'!$A1183="","",'Lot Balance'!$A1183)</f>
        <v/>
      </c>
      <c r="B1184" s="18" t="str">
        <f>IF($A1184="","",'Lot Balance'!$B1183)</f>
        <v/>
      </c>
      <c r="C1184" s="18" t="str">
        <f>IF($A1184="","",'Lot Balance'!$C1183)</f>
        <v/>
      </c>
      <c r="D1184" s="25" t="str">
        <f>IF($A1184="","",'Lot Balance'!$G1183)</f>
        <v/>
      </c>
      <c r="E1184" s="25" t="str">
        <f>IF($A1184="","",'Lot Balance'!$H1183)</f>
        <v/>
      </c>
      <c r="F1184" s="23" t="str">
        <f>IF($A1184="","",'Lot Balance'!$I1183)</f>
        <v/>
      </c>
      <c r="G1184" s="23" t="str">
        <f>IF($A1184="","",'Lot Balance'!$O1183)</f>
        <v/>
      </c>
      <c r="H1184" s="33" t="str">
        <f>IF($A1184="","",'Lot Balance'!$P1183)</f>
        <v/>
      </c>
      <c r="I1184" s="26" t="str">
        <f>IF($A1184="","",COUNTIFS(tblIssues[Lot Number],$B1184))</f>
        <v/>
      </c>
      <c r="J1184" s="31" t="str">
        <f>IF($A1184="","",IF('Lot Balance'!$O1183&lt;=0,"Depleted",'Lot Balance'!$Q1183))</f>
        <v/>
      </c>
    </row>
    <row r="1185" spans="1:10" x14ac:dyDescent="0.35">
      <c r="A1185" s="18" t="str">
        <f>IF('Lot Balance'!$A1184="","",'Lot Balance'!$A1184)</f>
        <v/>
      </c>
      <c r="B1185" s="18" t="str">
        <f>IF($A1185="","",'Lot Balance'!$B1184)</f>
        <v/>
      </c>
      <c r="C1185" s="18" t="str">
        <f>IF($A1185="","",'Lot Balance'!$C1184)</f>
        <v/>
      </c>
      <c r="D1185" s="25" t="str">
        <f>IF($A1185="","",'Lot Balance'!$G1184)</f>
        <v/>
      </c>
      <c r="E1185" s="25" t="str">
        <f>IF($A1185="","",'Lot Balance'!$H1184)</f>
        <v/>
      </c>
      <c r="F1185" s="23" t="str">
        <f>IF($A1185="","",'Lot Balance'!$I1184)</f>
        <v/>
      </c>
      <c r="G1185" s="23" t="str">
        <f>IF($A1185="","",'Lot Balance'!$O1184)</f>
        <v/>
      </c>
      <c r="H1185" s="33" t="str">
        <f>IF($A1185="","",'Lot Balance'!$P1184)</f>
        <v/>
      </c>
      <c r="I1185" s="26" t="str">
        <f>IF($A1185="","",COUNTIFS(tblIssues[Lot Number],$B1185))</f>
        <v/>
      </c>
      <c r="J1185" s="31" t="str">
        <f>IF($A1185="","",IF('Lot Balance'!$O1184&lt;=0,"Depleted",'Lot Balance'!$Q1184))</f>
        <v/>
      </c>
    </row>
    <row r="1186" spans="1:10" x14ac:dyDescent="0.35">
      <c r="A1186" s="18" t="str">
        <f>IF('Lot Balance'!$A1185="","",'Lot Balance'!$A1185)</f>
        <v/>
      </c>
      <c r="B1186" s="18" t="str">
        <f>IF($A1186="","",'Lot Balance'!$B1185)</f>
        <v/>
      </c>
      <c r="C1186" s="18" t="str">
        <f>IF($A1186="","",'Lot Balance'!$C1185)</f>
        <v/>
      </c>
      <c r="D1186" s="25" t="str">
        <f>IF($A1186="","",'Lot Balance'!$G1185)</f>
        <v/>
      </c>
      <c r="E1186" s="25" t="str">
        <f>IF($A1186="","",'Lot Balance'!$H1185)</f>
        <v/>
      </c>
      <c r="F1186" s="23" t="str">
        <f>IF($A1186="","",'Lot Balance'!$I1185)</f>
        <v/>
      </c>
      <c r="G1186" s="23" t="str">
        <f>IF($A1186="","",'Lot Balance'!$O1185)</f>
        <v/>
      </c>
      <c r="H1186" s="33" t="str">
        <f>IF($A1186="","",'Lot Balance'!$P1185)</f>
        <v/>
      </c>
      <c r="I1186" s="26" t="str">
        <f>IF($A1186="","",COUNTIFS(tblIssues[Lot Number],$B1186))</f>
        <v/>
      </c>
      <c r="J1186" s="31" t="str">
        <f>IF($A1186="","",IF('Lot Balance'!$O1185&lt;=0,"Depleted",'Lot Balance'!$Q1185))</f>
        <v/>
      </c>
    </row>
    <row r="1187" spans="1:10" x14ac:dyDescent="0.35">
      <c r="A1187" s="18" t="str">
        <f>IF('Lot Balance'!$A1186="","",'Lot Balance'!$A1186)</f>
        <v/>
      </c>
      <c r="B1187" s="18" t="str">
        <f>IF($A1187="","",'Lot Balance'!$B1186)</f>
        <v/>
      </c>
      <c r="C1187" s="18" t="str">
        <f>IF($A1187="","",'Lot Balance'!$C1186)</f>
        <v/>
      </c>
      <c r="D1187" s="25" t="str">
        <f>IF($A1187="","",'Lot Balance'!$G1186)</f>
        <v/>
      </c>
      <c r="E1187" s="25" t="str">
        <f>IF($A1187="","",'Lot Balance'!$H1186)</f>
        <v/>
      </c>
      <c r="F1187" s="23" t="str">
        <f>IF($A1187="","",'Lot Balance'!$I1186)</f>
        <v/>
      </c>
      <c r="G1187" s="23" t="str">
        <f>IF($A1187="","",'Lot Balance'!$O1186)</f>
        <v/>
      </c>
      <c r="H1187" s="33" t="str">
        <f>IF($A1187="","",'Lot Balance'!$P1186)</f>
        <v/>
      </c>
      <c r="I1187" s="26" t="str">
        <f>IF($A1187="","",COUNTIFS(tblIssues[Lot Number],$B1187))</f>
        <v/>
      </c>
      <c r="J1187" s="31" t="str">
        <f>IF($A1187="","",IF('Lot Balance'!$O1186&lt;=0,"Depleted",'Lot Balance'!$Q1186))</f>
        <v/>
      </c>
    </row>
    <row r="1188" spans="1:10" x14ac:dyDescent="0.35">
      <c r="A1188" s="18" t="str">
        <f>IF('Lot Balance'!$A1187="","",'Lot Balance'!$A1187)</f>
        <v/>
      </c>
      <c r="B1188" s="18" t="str">
        <f>IF($A1188="","",'Lot Balance'!$B1187)</f>
        <v/>
      </c>
      <c r="C1188" s="18" t="str">
        <f>IF($A1188="","",'Lot Balance'!$C1187)</f>
        <v/>
      </c>
      <c r="D1188" s="25" t="str">
        <f>IF($A1188="","",'Lot Balance'!$G1187)</f>
        <v/>
      </c>
      <c r="E1188" s="25" t="str">
        <f>IF($A1188="","",'Lot Balance'!$H1187)</f>
        <v/>
      </c>
      <c r="F1188" s="23" t="str">
        <f>IF($A1188="","",'Lot Balance'!$I1187)</f>
        <v/>
      </c>
      <c r="G1188" s="23" t="str">
        <f>IF($A1188="","",'Lot Balance'!$O1187)</f>
        <v/>
      </c>
      <c r="H1188" s="33" t="str">
        <f>IF($A1188="","",'Lot Balance'!$P1187)</f>
        <v/>
      </c>
      <c r="I1188" s="26" t="str">
        <f>IF($A1188="","",COUNTIFS(tblIssues[Lot Number],$B1188))</f>
        <v/>
      </c>
      <c r="J1188" s="31" t="str">
        <f>IF($A1188="","",IF('Lot Balance'!$O1187&lt;=0,"Depleted",'Lot Balance'!$Q1187))</f>
        <v/>
      </c>
    </row>
    <row r="1189" spans="1:10" x14ac:dyDescent="0.35">
      <c r="A1189" s="18" t="str">
        <f>IF('Lot Balance'!$A1188="","",'Lot Balance'!$A1188)</f>
        <v/>
      </c>
      <c r="B1189" s="18" t="str">
        <f>IF($A1189="","",'Lot Balance'!$B1188)</f>
        <v/>
      </c>
      <c r="C1189" s="18" t="str">
        <f>IF($A1189="","",'Lot Balance'!$C1188)</f>
        <v/>
      </c>
      <c r="D1189" s="25" t="str">
        <f>IF($A1189="","",'Lot Balance'!$G1188)</f>
        <v/>
      </c>
      <c r="E1189" s="25" t="str">
        <f>IF($A1189="","",'Lot Balance'!$H1188)</f>
        <v/>
      </c>
      <c r="F1189" s="23" t="str">
        <f>IF($A1189="","",'Lot Balance'!$I1188)</f>
        <v/>
      </c>
      <c r="G1189" s="23" t="str">
        <f>IF($A1189="","",'Lot Balance'!$O1188)</f>
        <v/>
      </c>
      <c r="H1189" s="33" t="str">
        <f>IF($A1189="","",'Lot Balance'!$P1188)</f>
        <v/>
      </c>
      <c r="I1189" s="26" t="str">
        <f>IF($A1189="","",COUNTIFS(tblIssues[Lot Number],$B1189))</f>
        <v/>
      </c>
      <c r="J1189" s="31" t="str">
        <f>IF($A1189="","",IF('Lot Balance'!$O1188&lt;=0,"Depleted",'Lot Balance'!$Q1188))</f>
        <v/>
      </c>
    </row>
    <row r="1190" spans="1:10" x14ac:dyDescent="0.35">
      <c r="A1190" s="18" t="str">
        <f>IF('Lot Balance'!$A1189="","",'Lot Balance'!$A1189)</f>
        <v/>
      </c>
      <c r="B1190" s="18" t="str">
        <f>IF($A1190="","",'Lot Balance'!$B1189)</f>
        <v/>
      </c>
      <c r="C1190" s="18" t="str">
        <f>IF($A1190="","",'Lot Balance'!$C1189)</f>
        <v/>
      </c>
      <c r="D1190" s="25" t="str">
        <f>IF($A1190="","",'Lot Balance'!$G1189)</f>
        <v/>
      </c>
      <c r="E1190" s="25" t="str">
        <f>IF($A1190="","",'Lot Balance'!$H1189)</f>
        <v/>
      </c>
      <c r="F1190" s="23" t="str">
        <f>IF($A1190="","",'Lot Balance'!$I1189)</f>
        <v/>
      </c>
      <c r="G1190" s="23" t="str">
        <f>IF($A1190="","",'Lot Balance'!$O1189)</f>
        <v/>
      </c>
      <c r="H1190" s="33" t="str">
        <f>IF($A1190="","",'Lot Balance'!$P1189)</f>
        <v/>
      </c>
      <c r="I1190" s="26" t="str">
        <f>IF($A1190="","",COUNTIFS(tblIssues[Lot Number],$B1190))</f>
        <v/>
      </c>
      <c r="J1190" s="31" t="str">
        <f>IF($A1190="","",IF('Lot Balance'!$O1189&lt;=0,"Depleted",'Lot Balance'!$Q1189))</f>
        <v/>
      </c>
    </row>
    <row r="1191" spans="1:10" x14ac:dyDescent="0.35">
      <c r="A1191" s="18" t="str">
        <f>IF('Lot Balance'!$A1190="","",'Lot Balance'!$A1190)</f>
        <v/>
      </c>
      <c r="B1191" s="18" t="str">
        <f>IF($A1191="","",'Lot Balance'!$B1190)</f>
        <v/>
      </c>
      <c r="C1191" s="18" t="str">
        <f>IF($A1191="","",'Lot Balance'!$C1190)</f>
        <v/>
      </c>
      <c r="D1191" s="25" t="str">
        <f>IF($A1191="","",'Lot Balance'!$G1190)</f>
        <v/>
      </c>
      <c r="E1191" s="25" t="str">
        <f>IF($A1191="","",'Lot Balance'!$H1190)</f>
        <v/>
      </c>
      <c r="F1191" s="23" t="str">
        <f>IF($A1191="","",'Lot Balance'!$I1190)</f>
        <v/>
      </c>
      <c r="G1191" s="23" t="str">
        <f>IF($A1191="","",'Lot Balance'!$O1190)</f>
        <v/>
      </c>
      <c r="H1191" s="33" t="str">
        <f>IF($A1191="","",'Lot Balance'!$P1190)</f>
        <v/>
      </c>
      <c r="I1191" s="26" t="str">
        <f>IF($A1191="","",COUNTIFS(tblIssues[Lot Number],$B1191))</f>
        <v/>
      </c>
      <c r="J1191" s="31" t="str">
        <f>IF($A1191="","",IF('Lot Balance'!$O1190&lt;=0,"Depleted",'Lot Balance'!$Q1190))</f>
        <v/>
      </c>
    </row>
    <row r="1192" spans="1:10" x14ac:dyDescent="0.35">
      <c r="A1192" s="18" t="str">
        <f>IF('Lot Balance'!$A1191="","",'Lot Balance'!$A1191)</f>
        <v/>
      </c>
      <c r="B1192" s="18" t="str">
        <f>IF($A1192="","",'Lot Balance'!$B1191)</f>
        <v/>
      </c>
      <c r="C1192" s="18" t="str">
        <f>IF($A1192="","",'Lot Balance'!$C1191)</f>
        <v/>
      </c>
      <c r="D1192" s="25" t="str">
        <f>IF($A1192="","",'Lot Balance'!$G1191)</f>
        <v/>
      </c>
      <c r="E1192" s="25" t="str">
        <f>IF($A1192="","",'Lot Balance'!$H1191)</f>
        <v/>
      </c>
      <c r="F1192" s="23" t="str">
        <f>IF($A1192="","",'Lot Balance'!$I1191)</f>
        <v/>
      </c>
      <c r="G1192" s="23" t="str">
        <f>IF($A1192="","",'Lot Balance'!$O1191)</f>
        <v/>
      </c>
      <c r="H1192" s="33" t="str">
        <f>IF($A1192="","",'Lot Balance'!$P1191)</f>
        <v/>
      </c>
      <c r="I1192" s="26" t="str">
        <f>IF($A1192="","",COUNTIFS(tblIssues[Lot Number],$B1192))</f>
        <v/>
      </c>
      <c r="J1192" s="31" t="str">
        <f>IF($A1192="","",IF('Lot Balance'!$O1191&lt;=0,"Depleted",'Lot Balance'!$Q1191))</f>
        <v/>
      </c>
    </row>
    <row r="1193" spans="1:10" x14ac:dyDescent="0.35">
      <c r="A1193" s="18" t="str">
        <f>IF('Lot Balance'!$A1192="","",'Lot Balance'!$A1192)</f>
        <v/>
      </c>
      <c r="B1193" s="18" t="str">
        <f>IF($A1193="","",'Lot Balance'!$B1192)</f>
        <v/>
      </c>
      <c r="C1193" s="18" t="str">
        <f>IF($A1193="","",'Lot Balance'!$C1192)</f>
        <v/>
      </c>
      <c r="D1193" s="25" t="str">
        <f>IF($A1193="","",'Lot Balance'!$G1192)</f>
        <v/>
      </c>
      <c r="E1193" s="25" t="str">
        <f>IF($A1193="","",'Lot Balance'!$H1192)</f>
        <v/>
      </c>
      <c r="F1193" s="23" t="str">
        <f>IF($A1193="","",'Lot Balance'!$I1192)</f>
        <v/>
      </c>
      <c r="G1193" s="23" t="str">
        <f>IF($A1193="","",'Lot Balance'!$O1192)</f>
        <v/>
      </c>
      <c r="H1193" s="33" t="str">
        <f>IF($A1193="","",'Lot Balance'!$P1192)</f>
        <v/>
      </c>
      <c r="I1193" s="26" t="str">
        <f>IF($A1193="","",COUNTIFS(tblIssues[Lot Number],$B1193))</f>
        <v/>
      </c>
      <c r="J1193" s="31" t="str">
        <f>IF($A1193="","",IF('Lot Balance'!$O1192&lt;=0,"Depleted",'Lot Balance'!$Q1192))</f>
        <v/>
      </c>
    </row>
    <row r="1194" spans="1:10" x14ac:dyDescent="0.35">
      <c r="A1194" s="18" t="str">
        <f>IF('Lot Balance'!$A1193="","",'Lot Balance'!$A1193)</f>
        <v/>
      </c>
      <c r="B1194" s="18" t="str">
        <f>IF($A1194="","",'Lot Balance'!$B1193)</f>
        <v/>
      </c>
      <c r="C1194" s="18" t="str">
        <f>IF($A1194="","",'Lot Balance'!$C1193)</f>
        <v/>
      </c>
      <c r="D1194" s="25" t="str">
        <f>IF($A1194="","",'Lot Balance'!$G1193)</f>
        <v/>
      </c>
      <c r="E1194" s="25" t="str">
        <f>IF($A1194="","",'Lot Balance'!$H1193)</f>
        <v/>
      </c>
      <c r="F1194" s="23" t="str">
        <f>IF($A1194="","",'Lot Balance'!$I1193)</f>
        <v/>
      </c>
      <c r="G1194" s="23" t="str">
        <f>IF($A1194="","",'Lot Balance'!$O1193)</f>
        <v/>
      </c>
      <c r="H1194" s="33" t="str">
        <f>IF($A1194="","",'Lot Balance'!$P1193)</f>
        <v/>
      </c>
      <c r="I1194" s="26" t="str">
        <f>IF($A1194="","",COUNTIFS(tblIssues[Lot Number],$B1194))</f>
        <v/>
      </c>
      <c r="J1194" s="31" t="str">
        <f>IF($A1194="","",IF('Lot Balance'!$O1193&lt;=0,"Depleted",'Lot Balance'!$Q1193))</f>
        <v/>
      </c>
    </row>
    <row r="1195" spans="1:10" x14ac:dyDescent="0.35">
      <c r="A1195" s="18" t="str">
        <f>IF('Lot Balance'!$A1194="","",'Lot Balance'!$A1194)</f>
        <v/>
      </c>
      <c r="B1195" s="18" t="str">
        <f>IF($A1195="","",'Lot Balance'!$B1194)</f>
        <v/>
      </c>
      <c r="C1195" s="18" t="str">
        <f>IF($A1195="","",'Lot Balance'!$C1194)</f>
        <v/>
      </c>
      <c r="D1195" s="25" t="str">
        <f>IF($A1195="","",'Lot Balance'!$G1194)</f>
        <v/>
      </c>
      <c r="E1195" s="25" t="str">
        <f>IF($A1195="","",'Lot Balance'!$H1194)</f>
        <v/>
      </c>
      <c r="F1195" s="23" t="str">
        <f>IF($A1195="","",'Lot Balance'!$I1194)</f>
        <v/>
      </c>
      <c r="G1195" s="23" t="str">
        <f>IF($A1195="","",'Lot Balance'!$O1194)</f>
        <v/>
      </c>
      <c r="H1195" s="33" t="str">
        <f>IF($A1195="","",'Lot Balance'!$P1194)</f>
        <v/>
      </c>
      <c r="I1195" s="26" t="str">
        <f>IF($A1195="","",COUNTIFS(tblIssues[Lot Number],$B1195))</f>
        <v/>
      </c>
      <c r="J1195" s="31" t="str">
        <f>IF($A1195="","",IF('Lot Balance'!$O1194&lt;=0,"Depleted",'Lot Balance'!$Q1194))</f>
        <v/>
      </c>
    </row>
    <row r="1196" spans="1:10" x14ac:dyDescent="0.35">
      <c r="A1196" s="18" t="str">
        <f>IF('Lot Balance'!$A1195="","",'Lot Balance'!$A1195)</f>
        <v/>
      </c>
      <c r="B1196" s="18" t="str">
        <f>IF($A1196="","",'Lot Balance'!$B1195)</f>
        <v/>
      </c>
      <c r="C1196" s="18" t="str">
        <f>IF($A1196="","",'Lot Balance'!$C1195)</f>
        <v/>
      </c>
      <c r="D1196" s="25" t="str">
        <f>IF($A1196="","",'Lot Balance'!$G1195)</f>
        <v/>
      </c>
      <c r="E1196" s="25" t="str">
        <f>IF($A1196="","",'Lot Balance'!$H1195)</f>
        <v/>
      </c>
      <c r="F1196" s="23" t="str">
        <f>IF($A1196="","",'Lot Balance'!$I1195)</f>
        <v/>
      </c>
      <c r="G1196" s="23" t="str">
        <f>IF($A1196="","",'Lot Balance'!$O1195)</f>
        <v/>
      </c>
      <c r="H1196" s="33" t="str">
        <f>IF($A1196="","",'Lot Balance'!$P1195)</f>
        <v/>
      </c>
      <c r="I1196" s="26" t="str">
        <f>IF($A1196="","",COUNTIFS(tblIssues[Lot Number],$B1196))</f>
        <v/>
      </c>
      <c r="J1196" s="31" t="str">
        <f>IF($A1196="","",IF('Lot Balance'!$O1195&lt;=0,"Depleted",'Lot Balance'!$Q1195))</f>
        <v/>
      </c>
    </row>
    <row r="1197" spans="1:10" x14ac:dyDescent="0.35">
      <c r="A1197" s="18" t="str">
        <f>IF('Lot Balance'!$A1196="","",'Lot Balance'!$A1196)</f>
        <v/>
      </c>
      <c r="B1197" s="18" t="str">
        <f>IF($A1197="","",'Lot Balance'!$B1196)</f>
        <v/>
      </c>
      <c r="C1197" s="18" t="str">
        <f>IF($A1197="","",'Lot Balance'!$C1196)</f>
        <v/>
      </c>
      <c r="D1197" s="25" t="str">
        <f>IF($A1197="","",'Lot Balance'!$G1196)</f>
        <v/>
      </c>
      <c r="E1197" s="25" t="str">
        <f>IF($A1197="","",'Lot Balance'!$H1196)</f>
        <v/>
      </c>
      <c r="F1197" s="23" t="str">
        <f>IF($A1197="","",'Lot Balance'!$I1196)</f>
        <v/>
      </c>
      <c r="G1197" s="23" t="str">
        <f>IF($A1197="","",'Lot Balance'!$O1196)</f>
        <v/>
      </c>
      <c r="H1197" s="33" t="str">
        <f>IF($A1197="","",'Lot Balance'!$P1196)</f>
        <v/>
      </c>
      <c r="I1197" s="26" t="str">
        <f>IF($A1197="","",COUNTIFS(tblIssues[Lot Number],$B1197))</f>
        <v/>
      </c>
      <c r="J1197" s="31" t="str">
        <f>IF($A1197="","",IF('Lot Balance'!$O1196&lt;=0,"Depleted",'Lot Balance'!$Q1196))</f>
        <v/>
      </c>
    </row>
    <row r="1198" spans="1:10" x14ac:dyDescent="0.35">
      <c r="A1198" s="18" t="str">
        <f>IF('Lot Balance'!$A1197="","",'Lot Balance'!$A1197)</f>
        <v/>
      </c>
      <c r="B1198" s="18" t="str">
        <f>IF($A1198="","",'Lot Balance'!$B1197)</f>
        <v/>
      </c>
      <c r="C1198" s="18" t="str">
        <f>IF($A1198="","",'Lot Balance'!$C1197)</f>
        <v/>
      </c>
      <c r="D1198" s="25" t="str">
        <f>IF($A1198="","",'Lot Balance'!$G1197)</f>
        <v/>
      </c>
      <c r="E1198" s="25" t="str">
        <f>IF($A1198="","",'Lot Balance'!$H1197)</f>
        <v/>
      </c>
      <c r="F1198" s="23" t="str">
        <f>IF($A1198="","",'Lot Balance'!$I1197)</f>
        <v/>
      </c>
      <c r="G1198" s="23" t="str">
        <f>IF($A1198="","",'Lot Balance'!$O1197)</f>
        <v/>
      </c>
      <c r="H1198" s="33" t="str">
        <f>IF($A1198="","",'Lot Balance'!$P1197)</f>
        <v/>
      </c>
      <c r="I1198" s="26" t="str">
        <f>IF($A1198="","",COUNTIFS(tblIssues[Lot Number],$B1198))</f>
        <v/>
      </c>
      <c r="J1198" s="31" t="str">
        <f>IF($A1198="","",IF('Lot Balance'!$O1197&lt;=0,"Depleted",'Lot Balance'!$Q1197))</f>
        <v/>
      </c>
    </row>
    <row r="1199" spans="1:10" x14ac:dyDescent="0.35">
      <c r="A1199" s="18" t="str">
        <f>IF('Lot Balance'!$A1198="","",'Lot Balance'!$A1198)</f>
        <v/>
      </c>
      <c r="B1199" s="18" t="str">
        <f>IF($A1199="","",'Lot Balance'!$B1198)</f>
        <v/>
      </c>
      <c r="C1199" s="18" t="str">
        <f>IF($A1199="","",'Lot Balance'!$C1198)</f>
        <v/>
      </c>
      <c r="D1199" s="25" t="str">
        <f>IF($A1199="","",'Lot Balance'!$G1198)</f>
        <v/>
      </c>
      <c r="E1199" s="25" t="str">
        <f>IF($A1199="","",'Lot Balance'!$H1198)</f>
        <v/>
      </c>
      <c r="F1199" s="23" t="str">
        <f>IF($A1199="","",'Lot Balance'!$I1198)</f>
        <v/>
      </c>
      <c r="G1199" s="23" t="str">
        <f>IF($A1199="","",'Lot Balance'!$O1198)</f>
        <v/>
      </c>
      <c r="H1199" s="33" t="str">
        <f>IF($A1199="","",'Lot Balance'!$P1198)</f>
        <v/>
      </c>
      <c r="I1199" s="26" t="str">
        <f>IF($A1199="","",COUNTIFS(tblIssues[Lot Number],$B1199))</f>
        <v/>
      </c>
      <c r="J1199" s="31" t="str">
        <f>IF($A1199="","",IF('Lot Balance'!$O1198&lt;=0,"Depleted",'Lot Balance'!$Q1198))</f>
        <v/>
      </c>
    </row>
    <row r="1200" spans="1:10" x14ac:dyDescent="0.35">
      <c r="A1200" s="18" t="str">
        <f>IF('Lot Balance'!$A1199="","",'Lot Balance'!$A1199)</f>
        <v/>
      </c>
      <c r="B1200" s="18" t="str">
        <f>IF($A1200="","",'Lot Balance'!$B1199)</f>
        <v/>
      </c>
      <c r="C1200" s="18" t="str">
        <f>IF($A1200="","",'Lot Balance'!$C1199)</f>
        <v/>
      </c>
      <c r="D1200" s="25" t="str">
        <f>IF($A1200="","",'Lot Balance'!$G1199)</f>
        <v/>
      </c>
      <c r="E1200" s="25" t="str">
        <f>IF($A1200="","",'Lot Balance'!$H1199)</f>
        <v/>
      </c>
      <c r="F1200" s="23" t="str">
        <f>IF($A1200="","",'Lot Balance'!$I1199)</f>
        <v/>
      </c>
      <c r="G1200" s="23" t="str">
        <f>IF($A1200="","",'Lot Balance'!$O1199)</f>
        <v/>
      </c>
      <c r="H1200" s="33" t="str">
        <f>IF($A1200="","",'Lot Balance'!$P1199)</f>
        <v/>
      </c>
      <c r="I1200" s="26" t="str">
        <f>IF($A1200="","",COUNTIFS(tblIssues[Lot Number],$B1200))</f>
        <v/>
      </c>
      <c r="J1200" s="31" t="str">
        <f>IF($A1200="","",IF('Lot Balance'!$O1199&lt;=0,"Depleted",'Lot Balance'!$Q1199))</f>
        <v/>
      </c>
    </row>
    <row r="1201" spans="1:10" x14ac:dyDescent="0.35">
      <c r="A1201" s="18" t="str">
        <f>IF('Lot Balance'!$A1200="","",'Lot Balance'!$A1200)</f>
        <v/>
      </c>
      <c r="B1201" s="18" t="str">
        <f>IF($A1201="","",'Lot Balance'!$B1200)</f>
        <v/>
      </c>
      <c r="C1201" s="18" t="str">
        <f>IF($A1201="","",'Lot Balance'!$C1200)</f>
        <v/>
      </c>
      <c r="D1201" s="25" t="str">
        <f>IF($A1201="","",'Lot Balance'!$G1200)</f>
        <v/>
      </c>
      <c r="E1201" s="25" t="str">
        <f>IF($A1201="","",'Lot Balance'!$H1200)</f>
        <v/>
      </c>
      <c r="F1201" s="23" t="str">
        <f>IF($A1201="","",'Lot Balance'!$I1200)</f>
        <v/>
      </c>
      <c r="G1201" s="23" t="str">
        <f>IF($A1201="","",'Lot Balance'!$O1200)</f>
        <v/>
      </c>
      <c r="H1201" s="33" t="str">
        <f>IF($A1201="","",'Lot Balance'!$P1200)</f>
        <v/>
      </c>
      <c r="I1201" s="26" t="str">
        <f>IF($A1201="","",COUNTIFS(tblIssues[Lot Number],$B1201))</f>
        <v/>
      </c>
      <c r="J1201" s="31" t="str">
        <f>IF($A1201="","",IF('Lot Balance'!$O1200&lt;=0,"Depleted",'Lot Balance'!$Q1200))</f>
        <v/>
      </c>
    </row>
    <row r="1202" spans="1:10" x14ac:dyDescent="0.35">
      <c r="A1202" s="18" t="str">
        <f>IF('Lot Balance'!$A1201="","",'Lot Balance'!$A1201)</f>
        <v/>
      </c>
      <c r="B1202" s="18" t="str">
        <f>IF($A1202="","",'Lot Balance'!$B1201)</f>
        <v/>
      </c>
      <c r="C1202" s="18" t="str">
        <f>IF($A1202="","",'Lot Balance'!$C1201)</f>
        <v/>
      </c>
      <c r="D1202" s="25" t="str">
        <f>IF($A1202="","",'Lot Balance'!$G1201)</f>
        <v/>
      </c>
      <c r="E1202" s="25" t="str">
        <f>IF($A1202="","",'Lot Balance'!$H1201)</f>
        <v/>
      </c>
      <c r="F1202" s="23" t="str">
        <f>IF($A1202="","",'Lot Balance'!$I1201)</f>
        <v/>
      </c>
      <c r="G1202" s="23" t="str">
        <f>IF($A1202="","",'Lot Balance'!$O1201)</f>
        <v/>
      </c>
      <c r="H1202" s="33" t="str">
        <f>IF($A1202="","",'Lot Balance'!$P1201)</f>
        <v/>
      </c>
      <c r="I1202" s="26" t="str">
        <f>IF($A1202="","",COUNTIFS(tblIssues[Lot Number],$B1202))</f>
        <v/>
      </c>
      <c r="J1202" s="31" t="str">
        <f>IF($A1202="","",IF('Lot Balance'!$O1201&lt;=0,"Depleted",'Lot Balance'!$Q1201))</f>
        <v/>
      </c>
    </row>
    <row r="1203" spans="1:10" x14ac:dyDescent="0.35">
      <c r="A1203" s="18" t="str">
        <f>IF('Lot Balance'!$A1202="","",'Lot Balance'!$A1202)</f>
        <v/>
      </c>
      <c r="B1203" s="18" t="str">
        <f>IF($A1203="","",'Lot Balance'!$B1202)</f>
        <v/>
      </c>
      <c r="C1203" s="18" t="str">
        <f>IF($A1203="","",'Lot Balance'!$C1202)</f>
        <v/>
      </c>
      <c r="D1203" s="25" t="str">
        <f>IF($A1203="","",'Lot Balance'!$G1202)</f>
        <v/>
      </c>
      <c r="E1203" s="25" t="str">
        <f>IF($A1203="","",'Lot Balance'!$H1202)</f>
        <v/>
      </c>
      <c r="F1203" s="23" t="str">
        <f>IF($A1203="","",'Lot Balance'!$I1202)</f>
        <v/>
      </c>
      <c r="G1203" s="23" t="str">
        <f>IF($A1203="","",'Lot Balance'!$O1202)</f>
        <v/>
      </c>
      <c r="H1203" s="33" t="str">
        <f>IF($A1203="","",'Lot Balance'!$P1202)</f>
        <v/>
      </c>
      <c r="I1203" s="26" t="str">
        <f>IF($A1203="","",COUNTIFS(tblIssues[Lot Number],$B1203))</f>
        <v/>
      </c>
      <c r="J1203" s="31" t="str">
        <f>IF($A1203="","",IF('Lot Balance'!$O1202&lt;=0,"Depleted",'Lot Balance'!$Q1202))</f>
        <v/>
      </c>
    </row>
    <row r="1204" spans="1:10" x14ac:dyDescent="0.35">
      <c r="A1204" s="18" t="str">
        <f>IF('Lot Balance'!$A1203="","",'Lot Balance'!$A1203)</f>
        <v/>
      </c>
      <c r="B1204" s="18" t="str">
        <f>IF($A1204="","",'Lot Balance'!$B1203)</f>
        <v/>
      </c>
      <c r="C1204" s="18" t="str">
        <f>IF($A1204="","",'Lot Balance'!$C1203)</f>
        <v/>
      </c>
      <c r="D1204" s="25" t="str">
        <f>IF($A1204="","",'Lot Balance'!$G1203)</f>
        <v/>
      </c>
      <c r="E1204" s="25" t="str">
        <f>IF($A1204="","",'Lot Balance'!$H1203)</f>
        <v/>
      </c>
      <c r="F1204" s="23" t="str">
        <f>IF($A1204="","",'Lot Balance'!$I1203)</f>
        <v/>
      </c>
      <c r="G1204" s="23" t="str">
        <f>IF($A1204="","",'Lot Balance'!$O1203)</f>
        <v/>
      </c>
      <c r="H1204" s="33" t="str">
        <f>IF($A1204="","",'Lot Balance'!$P1203)</f>
        <v/>
      </c>
      <c r="I1204" s="26" t="str">
        <f>IF($A1204="","",COUNTIFS(tblIssues[Lot Number],$B1204))</f>
        <v/>
      </c>
      <c r="J1204" s="31" t="str">
        <f>IF($A1204="","",IF('Lot Balance'!$O1203&lt;=0,"Depleted",'Lot Balance'!$Q1203))</f>
        <v/>
      </c>
    </row>
    <row r="1205" spans="1:10" x14ac:dyDescent="0.35">
      <c r="A1205" s="18" t="str">
        <f>IF('Lot Balance'!$A1204="","",'Lot Balance'!$A1204)</f>
        <v/>
      </c>
      <c r="B1205" s="18" t="str">
        <f>IF($A1205="","",'Lot Balance'!$B1204)</f>
        <v/>
      </c>
      <c r="C1205" s="18" t="str">
        <f>IF($A1205="","",'Lot Balance'!$C1204)</f>
        <v/>
      </c>
      <c r="D1205" s="25" t="str">
        <f>IF($A1205="","",'Lot Balance'!$G1204)</f>
        <v/>
      </c>
      <c r="E1205" s="25" t="str">
        <f>IF($A1205="","",'Lot Balance'!$H1204)</f>
        <v/>
      </c>
      <c r="F1205" s="23" t="str">
        <f>IF($A1205="","",'Lot Balance'!$I1204)</f>
        <v/>
      </c>
      <c r="G1205" s="23" t="str">
        <f>IF($A1205="","",'Lot Balance'!$O1204)</f>
        <v/>
      </c>
      <c r="H1205" s="33" t="str">
        <f>IF($A1205="","",'Lot Balance'!$P1204)</f>
        <v/>
      </c>
      <c r="I1205" s="26" t="str">
        <f>IF($A1205="","",COUNTIFS(tblIssues[Lot Number],$B1205))</f>
        <v/>
      </c>
      <c r="J1205" s="31" t="str">
        <f>IF($A1205="","",IF('Lot Balance'!$O1204&lt;=0,"Depleted",'Lot Balance'!$Q1204))</f>
        <v/>
      </c>
    </row>
    <row r="1206" spans="1:10" x14ac:dyDescent="0.35">
      <c r="A1206" s="18" t="str">
        <f>IF('Lot Balance'!$A1205="","",'Lot Balance'!$A1205)</f>
        <v/>
      </c>
      <c r="B1206" s="18" t="str">
        <f>IF($A1206="","",'Lot Balance'!$B1205)</f>
        <v/>
      </c>
      <c r="C1206" s="18" t="str">
        <f>IF($A1206="","",'Lot Balance'!$C1205)</f>
        <v/>
      </c>
      <c r="D1206" s="25" t="str">
        <f>IF($A1206="","",'Lot Balance'!$G1205)</f>
        <v/>
      </c>
      <c r="E1206" s="25" t="str">
        <f>IF($A1206="","",'Lot Balance'!$H1205)</f>
        <v/>
      </c>
      <c r="F1206" s="23" t="str">
        <f>IF($A1206="","",'Lot Balance'!$I1205)</f>
        <v/>
      </c>
      <c r="G1206" s="23" t="str">
        <f>IF($A1206="","",'Lot Balance'!$O1205)</f>
        <v/>
      </c>
      <c r="H1206" s="33" t="str">
        <f>IF($A1206="","",'Lot Balance'!$P1205)</f>
        <v/>
      </c>
      <c r="I1206" s="26" t="str">
        <f>IF($A1206="","",COUNTIFS(tblIssues[Lot Number],$B1206))</f>
        <v/>
      </c>
      <c r="J1206" s="31" t="str">
        <f>IF($A1206="","",IF('Lot Balance'!$O1205&lt;=0,"Depleted",'Lot Balance'!$Q1205))</f>
        <v/>
      </c>
    </row>
    <row r="1207" spans="1:10" x14ac:dyDescent="0.35">
      <c r="A1207" s="18" t="str">
        <f>IF('Lot Balance'!$A1206="","",'Lot Balance'!$A1206)</f>
        <v/>
      </c>
      <c r="B1207" s="18" t="str">
        <f>IF($A1207="","",'Lot Balance'!$B1206)</f>
        <v/>
      </c>
      <c r="C1207" s="18" t="str">
        <f>IF($A1207="","",'Lot Balance'!$C1206)</f>
        <v/>
      </c>
      <c r="D1207" s="25" t="str">
        <f>IF($A1207="","",'Lot Balance'!$G1206)</f>
        <v/>
      </c>
      <c r="E1207" s="25" t="str">
        <f>IF($A1207="","",'Lot Balance'!$H1206)</f>
        <v/>
      </c>
      <c r="F1207" s="23" t="str">
        <f>IF($A1207="","",'Lot Balance'!$I1206)</f>
        <v/>
      </c>
      <c r="G1207" s="23" t="str">
        <f>IF($A1207="","",'Lot Balance'!$O1206)</f>
        <v/>
      </c>
      <c r="H1207" s="33" t="str">
        <f>IF($A1207="","",'Lot Balance'!$P1206)</f>
        <v/>
      </c>
      <c r="I1207" s="26" t="str">
        <f>IF($A1207="","",COUNTIFS(tblIssues[Lot Number],$B1207))</f>
        <v/>
      </c>
      <c r="J1207" s="31" t="str">
        <f>IF($A1207="","",IF('Lot Balance'!$O1206&lt;=0,"Depleted",'Lot Balance'!$Q1206))</f>
        <v/>
      </c>
    </row>
    <row r="1208" spans="1:10" x14ac:dyDescent="0.35">
      <c r="A1208" s="18" t="str">
        <f>IF('Lot Balance'!$A1207="","",'Lot Balance'!$A1207)</f>
        <v/>
      </c>
      <c r="B1208" s="18" t="str">
        <f>IF($A1208="","",'Lot Balance'!$B1207)</f>
        <v/>
      </c>
      <c r="C1208" s="18" t="str">
        <f>IF($A1208="","",'Lot Balance'!$C1207)</f>
        <v/>
      </c>
      <c r="D1208" s="25" t="str">
        <f>IF($A1208="","",'Lot Balance'!$G1207)</f>
        <v/>
      </c>
      <c r="E1208" s="25" t="str">
        <f>IF($A1208="","",'Lot Balance'!$H1207)</f>
        <v/>
      </c>
      <c r="F1208" s="23" t="str">
        <f>IF($A1208="","",'Lot Balance'!$I1207)</f>
        <v/>
      </c>
      <c r="G1208" s="23" t="str">
        <f>IF($A1208="","",'Lot Balance'!$O1207)</f>
        <v/>
      </c>
      <c r="H1208" s="33" t="str">
        <f>IF($A1208="","",'Lot Balance'!$P1207)</f>
        <v/>
      </c>
      <c r="I1208" s="26" t="str">
        <f>IF($A1208="","",COUNTIFS(tblIssues[Lot Number],$B1208))</f>
        <v/>
      </c>
      <c r="J1208" s="31" t="str">
        <f>IF($A1208="","",IF('Lot Balance'!$O1207&lt;=0,"Depleted",'Lot Balance'!$Q1207))</f>
        <v/>
      </c>
    </row>
    <row r="1209" spans="1:10" x14ac:dyDescent="0.35">
      <c r="A1209" s="18" t="str">
        <f>IF('Lot Balance'!$A1208="","",'Lot Balance'!$A1208)</f>
        <v/>
      </c>
      <c r="B1209" s="18" t="str">
        <f>IF($A1209="","",'Lot Balance'!$B1208)</f>
        <v/>
      </c>
      <c r="C1209" s="18" t="str">
        <f>IF($A1209="","",'Lot Balance'!$C1208)</f>
        <v/>
      </c>
      <c r="D1209" s="25" t="str">
        <f>IF($A1209="","",'Lot Balance'!$G1208)</f>
        <v/>
      </c>
      <c r="E1209" s="25" t="str">
        <f>IF($A1209="","",'Lot Balance'!$H1208)</f>
        <v/>
      </c>
      <c r="F1209" s="23" t="str">
        <f>IF($A1209="","",'Lot Balance'!$I1208)</f>
        <v/>
      </c>
      <c r="G1209" s="23" t="str">
        <f>IF($A1209="","",'Lot Balance'!$O1208)</f>
        <v/>
      </c>
      <c r="H1209" s="33" t="str">
        <f>IF($A1209="","",'Lot Balance'!$P1208)</f>
        <v/>
      </c>
      <c r="I1209" s="26" t="str">
        <f>IF($A1209="","",COUNTIFS(tblIssues[Lot Number],$B1209))</f>
        <v/>
      </c>
      <c r="J1209" s="31" t="str">
        <f>IF($A1209="","",IF('Lot Balance'!$O1208&lt;=0,"Depleted",'Lot Balance'!$Q1208))</f>
        <v/>
      </c>
    </row>
    <row r="1210" spans="1:10" x14ac:dyDescent="0.35">
      <c r="A1210" s="18" t="str">
        <f>IF('Lot Balance'!$A1209="","",'Lot Balance'!$A1209)</f>
        <v/>
      </c>
      <c r="B1210" s="18" t="str">
        <f>IF($A1210="","",'Lot Balance'!$B1209)</f>
        <v/>
      </c>
      <c r="C1210" s="18" t="str">
        <f>IF($A1210="","",'Lot Balance'!$C1209)</f>
        <v/>
      </c>
      <c r="D1210" s="25" t="str">
        <f>IF($A1210="","",'Lot Balance'!$G1209)</f>
        <v/>
      </c>
      <c r="E1210" s="25" t="str">
        <f>IF($A1210="","",'Lot Balance'!$H1209)</f>
        <v/>
      </c>
      <c r="F1210" s="23" t="str">
        <f>IF($A1210="","",'Lot Balance'!$I1209)</f>
        <v/>
      </c>
      <c r="G1210" s="23" t="str">
        <f>IF($A1210="","",'Lot Balance'!$O1209)</f>
        <v/>
      </c>
      <c r="H1210" s="33" t="str">
        <f>IF($A1210="","",'Lot Balance'!$P1209)</f>
        <v/>
      </c>
      <c r="I1210" s="26" t="str">
        <f>IF($A1210="","",COUNTIFS(tblIssues[Lot Number],$B1210))</f>
        <v/>
      </c>
      <c r="J1210" s="31" t="str">
        <f>IF($A1210="","",IF('Lot Balance'!$O1209&lt;=0,"Depleted",'Lot Balance'!$Q1209))</f>
        <v/>
      </c>
    </row>
    <row r="1211" spans="1:10" x14ac:dyDescent="0.35">
      <c r="A1211" s="18" t="str">
        <f>IF('Lot Balance'!$A1210="","",'Lot Balance'!$A1210)</f>
        <v/>
      </c>
      <c r="B1211" s="18" t="str">
        <f>IF($A1211="","",'Lot Balance'!$B1210)</f>
        <v/>
      </c>
      <c r="C1211" s="18" t="str">
        <f>IF($A1211="","",'Lot Balance'!$C1210)</f>
        <v/>
      </c>
      <c r="D1211" s="25" t="str">
        <f>IF($A1211="","",'Lot Balance'!$G1210)</f>
        <v/>
      </c>
      <c r="E1211" s="25" t="str">
        <f>IF($A1211="","",'Lot Balance'!$H1210)</f>
        <v/>
      </c>
      <c r="F1211" s="23" t="str">
        <f>IF($A1211="","",'Lot Balance'!$I1210)</f>
        <v/>
      </c>
      <c r="G1211" s="23" t="str">
        <f>IF($A1211="","",'Lot Balance'!$O1210)</f>
        <v/>
      </c>
      <c r="H1211" s="33" t="str">
        <f>IF($A1211="","",'Lot Balance'!$P1210)</f>
        <v/>
      </c>
      <c r="I1211" s="26" t="str">
        <f>IF($A1211="","",COUNTIFS(tblIssues[Lot Number],$B1211))</f>
        <v/>
      </c>
      <c r="J1211" s="31" t="str">
        <f>IF($A1211="","",IF('Lot Balance'!$O1210&lt;=0,"Depleted",'Lot Balance'!$Q1210))</f>
        <v/>
      </c>
    </row>
    <row r="1212" spans="1:10" x14ac:dyDescent="0.35">
      <c r="A1212" s="18" t="str">
        <f>IF('Lot Balance'!$A1211="","",'Lot Balance'!$A1211)</f>
        <v/>
      </c>
      <c r="B1212" s="18" t="str">
        <f>IF($A1212="","",'Lot Balance'!$B1211)</f>
        <v/>
      </c>
      <c r="C1212" s="18" t="str">
        <f>IF($A1212="","",'Lot Balance'!$C1211)</f>
        <v/>
      </c>
      <c r="D1212" s="25" t="str">
        <f>IF($A1212="","",'Lot Balance'!$G1211)</f>
        <v/>
      </c>
      <c r="E1212" s="25" t="str">
        <f>IF($A1212="","",'Lot Balance'!$H1211)</f>
        <v/>
      </c>
      <c r="F1212" s="23" t="str">
        <f>IF($A1212="","",'Lot Balance'!$I1211)</f>
        <v/>
      </c>
      <c r="G1212" s="23" t="str">
        <f>IF($A1212="","",'Lot Balance'!$O1211)</f>
        <v/>
      </c>
      <c r="H1212" s="33" t="str">
        <f>IF($A1212="","",'Lot Balance'!$P1211)</f>
        <v/>
      </c>
      <c r="I1212" s="26" t="str">
        <f>IF($A1212="","",COUNTIFS(tblIssues[Lot Number],$B1212))</f>
        <v/>
      </c>
      <c r="J1212" s="31" t="str">
        <f>IF($A1212="","",IF('Lot Balance'!$O1211&lt;=0,"Depleted",'Lot Balance'!$Q1211))</f>
        <v/>
      </c>
    </row>
    <row r="1213" spans="1:10" x14ac:dyDescent="0.35">
      <c r="A1213" s="18" t="str">
        <f>IF('Lot Balance'!$A1212="","",'Lot Balance'!$A1212)</f>
        <v/>
      </c>
      <c r="B1213" s="18" t="str">
        <f>IF($A1213="","",'Lot Balance'!$B1212)</f>
        <v/>
      </c>
      <c r="C1213" s="18" t="str">
        <f>IF($A1213="","",'Lot Balance'!$C1212)</f>
        <v/>
      </c>
      <c r="D1213" s="25" t="str">
        <f>IF($A1213="","",'Lot Balance'!$G1212)</f>
        <v/>
      </c>
      <c r="E1213" s="25" t="str">
        <f>IF($A1213="","",'Lot Balance'!$H1212)</f>
        <v/>
      </c>
      <c r="F1213" s="23" t="str">
        <f>IF($A1213="","",'Lot Balance'!$I1212)</f>
        <v/>
      </c>
      <c r="G1213" s="23" t="str">
        <f>IF($A1213="","",'Lot Balance'!$O1212)</f>
        <v/>
      </c>
      <c r="H1213" s="33" t="str">
        <f>IF($A1213="","",'Lot Balance'!$P1212)</f>
        <v/>
      </c>
      <c r="I1213" s="26" t="str">
        <f>IF($A1213="","",COUNTIFS(tblIssues[Lot Number],$B1213))</f>
        <v/>
      </c>
      <c r="J1213" s="31" t="str">
        <f>IF($A1213="","",IF('Lot Balance'!$O1212&lt;=0,"Depleted",'Lot Balance'!$Q1212))</f>
        <v/>
      </c>
    </row>
    <row r="1214" spans="1:10" x14ac:dyDescent="0.35">
      <c r="A1214" s="18" t="str">
        <f>IF('Lot Balance'!$A1213="","",'Lot Balance'!$A1213)</f>
        <v/>
      </c>
      <c r="B1214" s="18" t="str">
        <f>IF($A1214="","",'Lot Balance'!$B1213)</f>
        <v/>
      </c>
      <c r="C1214" s="18" t="str">
        <f>IF($A1214="","",'Lot Balance'!$C1213)</f>
        <v/>
      </c>
      <c r="D1214" s="25" t="str">
        <f>IF($A1214="","",'Lot Balance'!$G1213)</f>
        <v/>
      </c>
      <c r="E1214" s="25" t="str">
        <f>IF($A1214="","",'Lot Balance'!$H1213)</f>
        <v/>
      </c>
      <c r="F1214" s="23" t="str">
        <f>IF($A1214="","",'Lot Balance'!$I1213)</f>
        <v/>
      </c>
      <c r="G1214" s="23" t="str">
        <f>IF($A1214="","",'Lot Balance'!$O1213)</f>
        <v/>
      </c>
      <c r="H1214" s="33" t="str">
        <f>IF($A1214="","",'Lot Balance'!$P1213)</f>
        <v/>
      </c>
      <c r="I1214" s="26" t="str">
        <f>IF($A1214="","",COUNTIFS(tblIssues[Lot Number],$B1214))</f>
        <v/>
      </c>
      <c r="J1214" s="31" t="str">
        <f>IF($A1214="","",IF('Lot Balance'!$O1213&lt;=0,"Depleted",'Lot Balance'!$Q1213))</f>
        <v/>
      </c>
    </row>
    <row r="1215" spans="1:10" x14ac:dyDescent="0.35">
      <c r="A1215" s="18" t="str">
        <f>IF('Lot Balance'!$A1214="","",'Lot Balance'!$A1214)</f>
        <v/>
      </c>
      <c r="B1215" s="18" t="str">
        <f>IF($A1215="","",'Lot Balance'!$B1214)</f>
        <v/>
      </c>
      <c r="C1215" s="18" t="str">
        <f>IF($A1215="","",'Lot Balance'!$C1214)</f>
        <v/>
      </c>
      <c r="D1215" s="25" t="str">
        <f>IF($A1215="","",'Lot Balance'!$G1214)</f>
        <v/>
      </c>
      <c r="E1215" s="25" t="str">
        <f>IF($A1215="","",'Lot Balance'!$H1214)</f>
        <v/>
      </c>
      <c r="F1215" s="23" t="str">
        <f>IF($A1215="","",'Lot Balance'!$I1214)</f>
        <v/>
      </c>
      <c r="G1215" s="23" t="str">
        <f>IF($A1215="","",'Lot Balance'!$O1214)</f>
        <v/>
      </c>
      <c r="H1215" s="33" t="str">
        <f>IF($A1215="","",'Lot Balance'!$P1214)</f>
        <v/>
      </c>
      <c r="I1215" s="26" t="str">
        <f>IF($A1215="","",COUNTIFS(tblIssues[Lot Number],$B1215))</f>
        <v/>
      </c>
      <c r="J1215" s="31" t="str">
        <f>IF($A1215="","",IF('Lot Balance'!$O1214&lt;=0,"Depleted",'Lot Balance'!$Q1214))</f>
        <v/>
      </c>
    </row>
    <row r="1216" spans="1:10" x14ac:dyDescent="0.35">
      <c r="A1216" s="18" t="str">
        <f>IF('Lot Balance'!$A1215="","",'Lot Balance'!$A1215)</f>
        <v/>
      </c>
      <c r="B1216" s="18" t="str">
        <f>IF($A1216="","",'Lot Balance'!$B1215)</f>
        <v/>
      </c>
      <c r="C1216" s="18" t="str">
        <f>IF($A1216="","",'Lot Balance'!$C1215)</f>
        <v/>
      </c>
      <c r="D1216" s="25" t="str">
        <f>IF($A1216="","",'Lot Balance'!$G1215)</f>
        <v/>
      </c>
      <c r="E1216" s="25" t="str">
        <f>IF($A1216="","",'Lot Balance'!$H1215)</f>
        <v/>
      </c>
      <c r="F1216" s="23" t="str">
        <f>IF($A1216="","",'Lot Balance'!$I1215)</f>
        <v/>
      </c>
      <c r="G1216" s="23" t="str">
        <f>IF($A1216="","",'Lot Balance'!$O1215)</f>
        <v/>
      </c>
      <c r="H1216" s="33" t="str">
        <f>IF($A1216="","",'Lot Balance'!$P1215)</f>
        <v/>
      </c>
      <c r="I1216" s="26" t="str">
        <f>IF($A1216="","",COUNTIFS(tblIssues[Lot Number],$B1216))</f>
        <v/>
      </c>
      <c r="J1216" s="31" t="str">
        <f>IF($A1216="","",IF('Lot Balance'!$O1215&lt;=0,"Depleted",'Lot Balance'!$Q1215))</f>
        <v/>
      </c>
    </row>
    <row r="1217" spans="1:10" x14ac:dyDescent="0.35">
      <c r="A1217" s="18" t="str">
        <f>IF('Lot Balance'!$A1216="","",'Lot Balance'!$A1216)</f>
        <v/>
      </c>
      <c r="B1217" s="18" t="str">
        <f>IF($A1217="","",'Lot Balance'!$B1216)</f>
        <v/>
      </c>
      <c r="C1217" s="18" t="str">
        <f>IF($A1217="","",'Lot Balance'!$C1216)</f>
        <v/>
      </c>
      <c r="D1217" s="25" t="str">
        <f>IF($A1217="","",'Lot Balance'!$G1216)</f>
        <v/>
      </c>
      <c r="E1217" s="25" t="str">
        <f>IF($A1217="","",'Lot Balance'!$H1216)</f>
        <v/>
      </c>
      <c r="F1217" s="23" t="str">
        <f>IF($A1217="","",'Lot Balance'!$I1216)</f>
        <v/>
      </c>
      <c r="G1217" s="23" t="str">
        <f>IF($A1217="","",'Lot Balance'!$O1216)</f>
        <v/>
      </c>
      <c r="H1217" s="33" t="str">
        <f>IF($A1217="","",'Lot Balance'!$P1216)</f>
        <v/>
      </c>
      <c r="I1217" s="26" t="str">
        <f>IF($A1217="","",COUNTIFS(tblIssues[Lot Number],$B1217))</f>
        <v/>
      </c>
      <c r="J1217" s="31" t="str">
        <f>IF($A1217="","",IF('Lot Balance'!$O1216&lt;=0,"Depleted",'Lot Balance'!$Q1216))</f>
        <v/>
      </c>
    </row>
    <row r="1218" spans="1:10" x14ac:dyDescent="0.35">
      <c r="A1218" s="18" t="str">
        <f>IF('Lot Balance'!$A1217="","",'Lot Balance'!$A1217)</f>
        <v/>
      </c>
      <c r="B1218" s="18" t="str">
        <f>IF($A1218="","",'Lot Balance'!$B1217)</f>
        <v/>
      </c>
      <c r="C1218" s="18" t="str">
        <f>IF($A1218="","",'Lot Balance'!$C1217)</f>
        <v/>
      </c>
      <c r="D1218" s="25" t="str">
        <f>IF($A1218="","",'Lot Balance'!$G1217)</f>
        <v/>
      </c>
      <c r="E1218" s="25" t="str">
        <f>IF($A1218="","",'Lot Balance'!$H1217)</f>
        <v/>
      </c>
      <c r="F1218" s="23" t="str">
        <f>IF($A1218="","",'Lot Balance'!$I1217)</f>
        <v/>
      </c>
      <c r="G1218" s="23" t="str">
        <f>IF($A1218="","",'Lot Balance'!$O1217)</f>
        <v/>
      </c>
      <c r="H1218" s="33" t="str">
        <f>IF($A1218="","",'Lot Balance'!$P1217)</f>
        <v/>
      </c>
      <c r="I1218" s="26" t="str">
        <f>IF($A1218="","",COUNTIFS(tblIssues[Lot Number],$B1218))</f>
        <v/>
      </c>
      <c r="J1218" s="31" t="str">
        <f>IF($A1218="","",IF('Lot Balance'!$O1217&lt;=0,"Depleted",'Lot Balance'!$Q1217))</f>
        <v/>
      </c>
    </row>
    <row r="1219" spans="1:10" x14ac:dyDescent="0.35">
      <c r="A1219" s="18" t="str">
        <f>IF('Lot Balance'!$A1218="","",'Lot Balance'!$A1218)</f>
        <v/>
      </c>
      <c r="B1219" s="18" t="str">
        <f>IF($A1219="","",'Lot Balance'!$B1218)</f>
        <v/>
      </c>
      <c r="C1219" s="18" t="str">
        <f>IF($A1219="","",'Lot Balance'!$C1218)</f>
        <v/>
      </c>
      <c r="D1219" s="25" t="str">
        <f>IF($A1219="","",'Lot Balance'!$G1218)</f>
        <v/>
      </c>
      <c r="E1219" s="25" t="str">
        <f>IF($A1219="","",'Lot Balance'!$H1218)</f>
        <v/>
      </c>
      <c r="F1219" s="23" t="str">
        <f>IF($A1219="","",'Lot Balance'!$I1218)</f>
        <v/>
      </c>
      <c r="G1219" s="23" t="str">
        <f>IF($A1219="","",'Lot Balance'!$O1218)</f>
        <v/>
      </c>
      <c r="H1219" s="33" t="str">
        <f>IF($A1219="","",'Lot Balance'!$P1218)</f>
        <v/>
      </c>
      <c r="I1219" s="26" t="str">
        <f>IF($A1219="","",COUNTIFS(tblIssues[Lot Number],$B1219))</f>
        <v/>
      </c>
      <c r="J1219" s="31" t="str">
        <f>IF($A1219="","",IF('Lot Balance'!$O1218&lt;=0,"Depleted",'Lot Balance'!$Q1218))</f>
        <v/>
      </c>
    </row>
    <row r="1220" spans="1:10" x14ac:dyDescent="0.35">
      <c r="A1220" s="18" t="str">
        <f>IF('Lot Balance'!$A1219="","",'Lot Balance'!$A1219)</f>
        <v/>
      </c>
      <c r="B1220" s="18" t="str">
        <f>IF($A1220="","",'Lot Balance'!$B1219)</f>
        <v/>
      </c>
      <c r="C1220" s="18" t="str">
        <f>IF($A1220="","",'Lot Balance'!$C1219)</f>
        <v/>
      </c>
      <c r="D1220" s="25" t="str">
        <f>IF($A1220="","",'Lot Balance'!$G1219)</f>
        <v/>
      </c>
      <c r="E1220" s="25" t="str">
        <f>IF($A1220="","",'Lot Balance'!$H1219)</f>
        <v/>
      </c>
      <c r="F1220" s="23" t="str">
        <f>IF($A1220="","",'Lot Balance'!$I1219)</f>
        <v/>
      </c>
      <c r="G1220" s="23" t="str">
        <f>IF($A1220="","",'Lot Balance'!$O1219)</f>
        <v/>
      </c>
      <c r="H1220" s="33" t="str">
        <f>IF($A1220="","",'Lot Balance'!$P1219)</f>
        <v/>
      </c>
      <c r="I1220" s="26" t="str">
        <f>IF($A1220="","",COUNTIFS(tblIssues[Lot Number],$B1220))</f>
        <v/>
      </c>
      <c r="J1220" s="31" t="str">
        <f>IF($A1220="","",IF('Lot Balance'!$O1219&lt;=0,"Depleted",'Lot Balance'!$Q1219))</f>
        <v/>
      </c>
    </row>
    <row r="1221" spans="1:10" x14ac:dyDescent="0.35">
      <c r="A1221" s="18" t="str">
        <f>IF('Lot Balance'!$A1220="","",'Lot Balance'!$A1220)</f>
        <v/>
      </c>
      <c r="B1221" s="18" t="str">
        <f>IF($A1221="","",'Lot Balance'!$B1220)</f>
        <v/>
      </c>
      <c r="C1221" s="18" t="str">
        <f>IF($A1221="","",'Lot Balance'!$C1220)</f>
        <v/>
      </c>
      <c r="D1221" s="25" t="str">
        <f>IF($A1221="","",'Lot Balance'!$G1220)</f>
        <v/>
      </c>
      <c r="E1221" s="25" t="str">
        <f>IF($A1221="","",'Lot Balance'!$H1220)</f>
        <v/>
      </c>
      <c r="F1221" s="23" t="str">
        <f>IF($A1221="","",'Lot Balance'!$I1220)</f>
        <v/>
      </c>
      <c r="G1221" s="23" t="str">
        <f>IF($A1221="","",'Lot Balance'!$O1220)</f>
        <v/>
      </c>
      <c r="H1221" s="33" t="str">
        <f>IF($A1221="","",'Lot Balance'!$P1220)</f>
        <v/>
      </c>
      <c r="I1221" s="26" t="str">
        <f>IF($A1221="","",COUNTIFS(tblIssues[Lot Number],$B1221))</f>
        <v/>
      </c>
      <c r="J1221" s="31" t="str">
        <f>IF($A1221="","",IF('Lot Balance'!$O1220&lt;=0,"Depleted",'Lot Balance'!$Q1220))</f>
        <v/>
      </c>
    </row>
    <row r="1222" spans="1:10" x14ac:dyDescent="0.35">
      <c r="A1222" s="18" t="str">
        <f>IF('Lot Balance'!$A1221="","",'Lot Balance'!$A1221)</f>
        <v/>
      </c>
      <c r="B1222" s="18" t="str">
        <f>IF($A1222="","",'Lot Balance'!$B1221)</f>
        <v/>
      </c>
      <c r="C1222" s="18" t="str">
        <f>IF($A1222="","",'Lot Balance'!$C1221)</f>
        <v/>
      </c>
      <c r="D1222" s="25" t="str">
        <f>IF($A1222="","",'Lot Balance'!$G1221)</f>
        <v/>
      </c>
      <c r="E1222" s="25" t="str">
        <f>IF($A1222="","",'Lot Balance'!$H1221)</f>
        <v/>
      </c>
      <c r="F1222" s="23" t="str">
        <f>IF($A1222="","",'Lot Balance'!$I1221)</f>
        <v/>
      </c>
      <c r="G1222" s="23" t="str">
        <f>IF($A1222="","",'Lot Balance'!$O1221)</f>
        <v/>
      </c>
      <c r="H1222" s="33" t="str">
        <f>IF($A1222="","",'Lot Balance'!$P1221)</f>
        <v/>
      </c>
      <c r="I1222" s="26" t="str">
        <f>IF($A1222="","",COUNTIFS(tblIssues[Lot Number],$B1222))</f>
        <v/>
      </c>
      <c r="J1222" s="31" t="str">
        <f>IF($A1222="","",IF('Lot Balance'!$O1221&lt;=0,"Depleted",'Lot Balance'!$Q1221))</f>
        <v/>
      </c>
    </row>
    <row r="1223" spans="1:10" x14ac:dyDescent="0.35">
      <c r="A1223" s="18" t="str">
        <f>IF('Lot Balance'!$A1222="","",'Lot Balance'!$A1222)</f>
        <v/>
      </c>
      <c r="B1223" s="18" t="str">
        <f>IF($A1223="","",'Lot Balance'!$B1222)</f>
        <v/>
      </c>
      <c r="C1223" s="18" t="str">
        <f>IF($A1223="","",'Lot Balance'!$C1222)</f>
        <v/>
      </c>
      <c r="D1223" s="25" t="str">
        <f>IF($A1223="","",'Lot Balance'!$G1222)</f>
        <v/>
      </c>
      <c r="E1223" s="25" t="str">
        <f>IF($A1223="","",'Lot Balance'!$H1222)</f>
        <v/>
      </c>
      <c r="F1223" s="23" t="str">
        <f>IF($A1223="","",'Lot Balance'!$I1222)</f>
        <v/>
      </c>
      <c r="G1223" s="23" t="str">
        <f>IF($A1223="","",'Lot Balance'!$O1222)</f>
        <v/>
      </c>
      <c r="H1223" s="33" t="str">
        <f>IF($A1223="","",'Lot Balance'!$P1222)</f>
        <v/>
      </c>
      <c r="I1223" s="26" t="str">
        <f>IF($A1223="","",COUNTIFS(tblIssues[Lot Number],$B1223))</f>
        <v/>
      </c>
      <c r="J1223" s="31" t="str">
        <f>IF($A1223="","",IF('Lot Balance'!$O1222&lt;=0,"Depleted",'Lot Balance'!$Q1222))</f>
        <v/>
      </c>
    </row>
    <row r="1224" spans="1:10" x14ac:dyDescent="0.35">
      <c r="A1224" s="18" t="str">
        <f>IF('Lot Balance'!$A1223="","",'Lot Balance'!$A1223)</f>
        <v/>
      </c>
      <c r="B1224" s="18" t="str">
        <f>IF($A1224="","",'Lot Balance'!$B1223)</f>
        <v/>
      </c>
      <c r="C1224" s="18" t="str">
        <f>IF($A1224="","",'Lot Balance'!$C1223)</f>
        <v/>
      </c>
      <c r="D1224" s="25" t="str">
        <f>IF($A1224="","",'Lot Balance'!$G1223)</f>
        <v/>
      </c>
      <c r="E1224" s="25" t="str">
        <f>IF($A1224="","",'Lot Balance'!$H1223)</f>
        <v/>
      </c>
      <c r="F1224" s="23" t="str">
        <f>IF($A1224="","",'Lot Balance'!$I1223)</f>
        <v/>
      </c>
      <c r="G1224" s="23" t="str">
        <f>IF($A1224="","",'Lot Balance'!$O1223)</f>
        <v/>
      </c>
      <c r="H1224" s="33" t="str">
        <f>IF($A1224="","",'Lot Balance'!$P1223)</f>
        <v/>
      </c>
      <c r="I1224" s="26" t="str">
        <f>IF($A1224="","",COUNTIFS(tblIssues[Lot Number],$B1224))</f>
        <v/>
      </c>
      <c r="J1224" s="31" t="str">
        <f>IF($A1224="","",IF('Lot Balance'!$O1223&lt;=0,"Depleted",'Lot Balance'!$Q1223))</f>
        <v/>
      </c>
    </row>
    <row r="1225" spans="1:10" x14ac:dyDescent="0.35">
      <c r="A1225" s="18" t="str">
        <f>IF('Lot Balance'!$A1224="","",'Lot Balance'!$A1224)</f>
        <v/>
      </c>
      <c r="B1225" s="18" t="str">
        <f>IF($A1225="","",'Lot Balance'!$B1224)</f>
        <v/>
      </c>
      <c r="C1225" s="18" t="str">
        <f>IF($A1225="","",'Lot Balance'!$C1224)</f>
        <v/>
      </c>
      <c r="D1225" s="25" t="str">
        <f>IF($A1225="","",'Lot Balance'!$G1224)</f>
        <v/>
      </c>
      <c r="E1225" s="25" t="str">
        <f>IF($A1225="","",'Lot Balance'!$H1224)</f>
        <v/>
      </c>
      <c r="F1225" s="23" t="str">
        <f>IF($A1225="","",'Lot Balance'!$I1224)</f>
        <v/>
      </c>
      <c r="G1225" s="23" t="str">
        <f>IF($A1225="","",'Lot Balance'!$O1224)</f>
        <v/>
      </c>
      <c r="H1225" s="33" t="str">
        <f>IF($A1225="","",'Lot Balance'!$P1224)</f>
        <v/>
      </c>
      <c r="I1225" s="26" t="str">
        <f>IF($A1225="","",COUNTIFS(tblIssues[Lot Number],$B1225))</f>
        <v/>
      </c>
      <c r="J1225" s="31" t="str">
        <f>IF($A1225="","",IF('Lot Balance'!$O1224&lt;=0,"Depleted",'Lot Balance'!$Q1224))</f>
        <v/>
      </c>
    </row>
    <row r="1226" spans="1:10" x14ac:dyDescent="0.35">
      <c r="A1226" s="18" t="str">
        <f>IF('Lot Balance'!$A1225="","",'Lot Balance'!$A1225)</f>
        <v/>
      </c>
      <c r="B1226" s="18" t="str">
        <f>IF($A1226="","",'Lot Balance'!$B1225)</f>
        <v/>
      </c>
      <c r="C1226" s="18" t="str">
        <f>IF($A1226="","",'Lot Balance'!$C1225)</f>
        <v/>
      </c>
      <c r="D1226" s="25" t="str">
        <f>IF($A1226="","",'Lot Balance'!$G1225)</f>
        <v/>
      </c>
      <c r="E1226" s="25" t="str">
        <f>IF($A1226="","",'Lot Balance'!$H1225)</f>
        <v/>
      </c>
      <c r="F1226" s="23" t="str">
        <f>IF($A1226="","",'Lot Balance'!$I1225)</f>
        <v/>
      </c>
      <c r="G1226" s="23" t="str">
        <f>IF($A1226="","",'Lot Balance'!$O1225)</f>
        <v/>
      </c>
      <c r="H1226" s="33" t="str">
        <f>IF($A1226="","",'Lot Balance'!$P1225)</f>
        <v/>
      </c>
      <c r="I1226" s="26" t="str">
        <f>IF($A1226="","",COUNTIFS(tblIssues[Lot Number],$B1226))</f>
        <v/>
      </c>
      <c r="J1226" s="31" t="str">
        <f>IF($A1226="","",IF('Lot Balance'!$O1225&lt;=0,"Depleted",'Lot Balance'!$Q1225))</f>
        <v/>
      </c>
    </row>
    <row r="1227" spans="1:10" x14ac:dyDescent="0.35">
      <c r="A1227" s="18" t="str">
        <f>IF('Lot Balance'!$A1226="","",'Lot Balance'!$A1226)</f>
        <v/>
      </c>
      <c r="B1227" s="18" t="str">
        <f>IF($A1227="","",'Lot Balance'!$B1226)</f>
        <v/>
      </c>
      <c r="C1227" s="18" t="str">
        <f>IF($A1227="","",'Lot Balance'!$C1226)</f>
        <v/>
      </c>
      <c r="D1227" s="25" t="str">
        <f>IF($A1227="","",'Lot Balance'!$G1226)</f>
        <v/>
      </c>
      <c r="E1227" s="25" t="str">
        <f>IF($A1227="","",'Lot Balance'!$H1226)</f>
        <v/>
      </c>
      <c r="F1227" s="23" t="str">
        <f>IF($A1227="","",'Lot Balance'!$I1226)</f>
        <v/>
      </c>
      <c r="G1227" s="23" t="str">
        <f>IF($A1227="","",'Lot Balance'!$O1226)</f>
        <v/>
      </c>
      <c r="H1227" s="33" t="str">
        <f>IF($A1227="","",'Lot Balance'!$P1226)</f>
        <v/>
      </c>
      <c r="I1227" s="26" t="str">
        <f>IF($A1227="","",COUNTIFS(tblIssues[Lot Number],$B1227))</f>
        <v/>
      </c>
      <c r="J1227" s="31" t="str">
        <f>IF($A1227="","",IF('Lot Balance'!$O1226&lt;=0,"Depleted",'Lot Balance'!$Q1226))</f>
        <v/>
      </c>
    </row>
    <row r="1228" spans="1:10" x14ac:dyDescent="0.35">
      <c r="A1228" s="18" t="str">
        <f>IF('Lot Balance'!$A1227="","",'Lot Balance'!$A1227)</f>
        <v/>
      </c>
      <c r="B1228" s="18" t="str">
        <f>IF($A1228="","",'Lot Balance'!$B1227)</f>
        <v/>
      </c>
      <c r="C1228" s="18" t="str">
        <f>IF($A1228="","",'Lot Balance'!$C1227)</f>
        <v/>
      </c>
      <c r="D1228" s="25" t="str">
        <f>IF($A1228="","",'Lot Balance'!$G1227)</f>
        <v/>
      </c>
      <c r="E1228" s="25" t="str">
        <f>IF($A1228="","",'Lot Balance'!$H1227)</f>
        <v/>
      </c>
      <c r="F1228" s="23" t="str">
        <f>IF($A1228="","",'Lot Balance'!$I1227)</f>
        <v/>
      </c>
      <c r="G1228" s="23" t="str">
        <f>IF($A1228="","",'Lot Balance'!$O1227)</f>
        <v/>
      </c>
      <c r="H1228" s="33" t="str">
        <f>IF($A1228="","",'Lot Balance'!$P1227)</f>
        <v/>
      </c>
      <c r="I1228" s="26" t="str">
        <f>IF($A1228="","",COUNTIFS(tblIssues[Lot Number],$B1228))</f>
        <v/>
      </c>
      <c r="J1228" s="31" t="str">
        <f>IF($A1228="","",IF('Lot Balance'!$O1227&lt;=0,"Depleted",'Lot Balance'!$Q1227))</f>
        <v/>
      </c>
    </row>
    <row r="1229" spans="1:10" x14ac:dyDescent="0.35">
      <c r="A1229" s="18" t="str">
        <f>IF('Lot Balance'!$A1228="","",'Lot Balance'!$A1228)</f>
        <v/>
      </c>
      <c r="B1229" s="18" t="str">
        <f>IF($A1229="","",'Lot Balance'!$B1228)</f>
        <v/>
      </c>
      <c r="C1229" s="18" t="str">
        <f>IF($A1229="","",'Lot Balance'!$C1228)</f>
        <v/>
      </c>
      <c r="D1229" s="25" t="str">
        <f>IF($A1229="","",'Lot Balance'!$G1228)</f>
        <v/>
      </c>
      <c r="E1229" s="25" t="str">
        <f>IF($A1229="","",'Lot Balance'!$H1228)</f>
        <v/>
      </c>
      <c r="F1229" s="23" t="str">
        <f>IF($A1229="","",'Lot Balance'!$I1228)</f>
        <v/>
      </c>
      <c r="G1229" s="23" t="str">
        <f>IF($A1229="","",'Lot Balance'!$O1228)</f>
        <v/>
      </c>
      <c r="H1229" s="33" t="str">
        <f>IF($A1229="","",'Lot Balance'!$P1228)</f>
        <v/>
      </c>
      <c r="I1229" s="26" t="str">
        <f>IF($A1229="","",COUNTIFS(tblIssues[Lot Number],$B1229))</f>
        <v/>
      </c>
      <c r="J1229" s="31" t="str">
        <f>IF($A1229="","",IF('Lot Balance'!$O1228&lt;=0,"Depleted",'Lot Balance'!$Q1228))</f>
        <v/>
      </c>
    </row>
    <row r="1230" spans="1:10" x14ac:dyDescent="0.35">
      <c r="A1230" s="18" t="str">
        <f>IF('Lot Balance'!$A1229="","",'Lot Balance'!$A1229)</f>
        <v/>
      </c>
      <c r="B1230" s="18" t="str">
        <f>IF($A1230="","",'Lot Balance'!$B1229)</f>
        <v/>
      </c>
      <c r="C1230" s="18" t="str">
        <f>IF($A1230="","",'Lot Balance'!$C1229)</f>
        <v/>
      </c>
      <c r="D1230" s="25" t="str">
        <f>IF($A1230="","",'Lot Balance'!$G1229)</f>
        <v/>
      </c>
      <c r="E1230" s="25" t="str">
        <f>IF($A1230="","",'Lot Balance'!$H1229)</f>
        <v/>
      </c>
      <c r="F1230" s="23" t="str">
        <f>IF($A1230="","",'Lot Balance'!$I1229)</f>
        <v/>
      </c>
      <c r="G1230" s="23" t="str">
        <f>IF($A1230="","",'Lot Balance'!$O1229)</f>
        <v/>
      </c>
      <c r="H1230" s="33" t="str">
        <f>IF($A1230="","",'Lot Balance'!$P1229)</f>
        <v/>
      </c>
      <c r="I1230" s="26" t="str">
        <f>IF($A1230="","",COUNTIFS(tblIssues[Lot Number],$B1230))</f>
        <v/>
      </c>
      <c r="J1230" s="31" t="str">
        <f>IF($A1230="","",IF('Lot Balance'!$O1229&lt;=0,"Depleted",'Lot Balance'!$Q1229))</f>
        <v/>
      </c>
    </row>
    <row r="1231" spans="1:10" x14ac:dyDescent="0.35">
      <c r="A1231" s="18" t="str">
        <f>IF('Lot Balance'!$A1230="","",'Lot Balance'!$A1230)</f>
        <v/>
      </c>
      <c r="B1231" s="18" t="str">
        <f>IF($A1231="","",'Lot Balance'!$B1230)</f>
        <v/>
      </c>
      <c r="C1231" s="18" t="str">
        <f>IF($A1231="","",'Lot Balance'!$C1230)</f>
        <v/>
      </c>
      <c r="D1231" s="25" t="str">
        <f>IF($A1231="","",'Lot Balance'!$G1230)</f>
        <v/>
      </c>
      <c r="E1231" s="25" t="str">
        <f>IF($A1231="","",'Lot Balance'!$H1230)</f>
        <v/>
      </c>
      <c r="F1231" s="23" t="str">
        <f>IF($A1231="","",'Lot Balance'!$I1230)</f>
        <v/>
      </c>
      <c r="G1231" s="23" t="str">
        <f>IF($A1231="","",'Lot Balance'!$O1230)</f>
        <v/>
      </c>
      <c r="H1231" s="33" t="str">
        <f>IF($A1231="","",'Lot Balance'!$P1230)</f>
        <v/>
      </c>
      <c r="I1231" s="26" t="str">
        <f>IF($A1231="","",COUNTIFS(tblIssues[Lot Number],$B1231))</f>
        <v/>
      </c>
      <c r="J1231" s="31" t="str">
        <f>IF($A1231="","",IF('Lot Balance'!$O1230&lt;=0,"Depleted",'Lot Balance'!$Q1230))</f>
        <v/>
      </c>
    </row>
    <row r="1232" spans="1:10" x14ac:dyDescent="0.35">
      <c r="A1232" s="18" t="str">
        <f>IF('Lot Balance'!$A1231="","",'Lot Balance'!$A1231)</f>
        <v/>
      </c>
      <c r="B1232" s="18" t="str">
        <f>IF($A1232="","",'Lot Balance'!$B1231)</f>
        <v/>
      </c>
      <c r="C1232" s="18" t="str">
        <f>IF($A1232="","",'Lot Balance'!$C1231)</f>
        <v/>
      </c>
      <c r="D1232" s="25" t="str">
        <f>IF($A1232="","",'Lot Balance'!$G1231)</f>
        <v/>
      </c>
      <c r="E1232" s="25" t="str">
        <f>IF($A1232="","",'Lot Balance'!$H1231)</f>
        <v/>
      </c>
      <c r="F1232" s="23" t="str">
        <f>IF($A1232="","",'Lot Balance'!$I1231)</f>
        <v/>
      </c>
      <c r="G1232" s="23" t="str">
        <f>IF($A1232="","",'Lot Balance'!$O1231)</f>
        <v/>
      </c>
      <c r="H1232" s="33" t="str">
        <f>IF($A1232="","",'Lot Balance'!$P1231)</f>
        <v/>
      </c>
      <c r="I1232" s="26" t="str">
        <f>IF($A1232="","",COUNTIFS(tblIssues[Lot Number],$B1232))</f>
        <v/>
      </c>
      <c r="J1232" s="31" t="str">
        <f>IF($A1232="","",IF('Lot Balance'!$O1231&lt;=0,"Depleted",'Lot Balance'!$Q1231))</f>
        <v/>
      </c>
    </row>
    <row r="1233" spans="1:10" x14ac:dyDescent="0.35">
      <c r="A1233" s="18" t="str">
        <f>IF('Lot Balance'!$A1232="","",'Lot Balance'!$A1232)</f>
        <v/>
      </c>
      <c r="B1233" s="18" t="str">
        <f>IF($A1233="","",'Lot Balance'!$B1232)</f>
        <v/>
      </c>
      <c r="C1233" s="18" t="str">
        <f>IF($A1233="","",'Lot Balance'!$C1232)</f>
        <v/>
      </c>
      <c r="D1233" s="25" t="str">
        <f>IF($A1233="","",'Lot Balance'!$G1232)</f>
        <v/>
      </c>
      <c r="E1233" s="25" t="str">
        <f>IF($A1233="","",'Lot Balance'!$H1232)</f>
        <v/>
      </c>
      <c r="F1233" s="23" t="str">
        <f>IF($A1233="","",'Lot Balance'!$I1232)</f>
        <v/>
      </c>
      <c r="G1233" s="23" t="str">
        <f>IF($A1233="","",'Lot Balance'!$O1232)</f>
        <v/>
      </c>
      <c r="H1233" s="33" t="str">
        <f>IF($A1233="","",'Lot Balance'!$P1232)</f>
        <v/>
      </c>
      <c r="I1233" s="26" t="str">
        <f>IF($A1233="","",COUNTIFS(tblIssues[Lot Number],$B1233))</f>
        <v/>
      </c>
      <c r="J1233" s="31" t="str">
        <f>IF($A1233="","",IF('Lot Balance'!$O1232&lt;=0,"Depleted",'Lot Balance'!$Q1232))</f>
        <v/>
      </c>
    </row>
    <row r="1234" spans="1:10" x14ac:dyDescent="0.35">
      <c r="A1234" s="18" t="str">
        <f>IF('Lot Balance'!$A1233="","",'Lot Balance'!$A1233)</f>
        <v/>
      </c>
      <c r="B1234" s="18" t="str">
        <f>IF($A1234="","",'Lot Balance'!$B1233)</f>
        <v/>
      </c>
      <c r="C1234" s="18" t="str">
        <f>IF($A1234="","",'Lot Balance'!$C1233)</f>
        <v/>
      </c>
      <c r="D1234" s="25" t="str">
        <f>IF($A1234="","",'Lot Balance'!$G1233)</f>
        <v/>
      </c>
      <c r="E1234" s="25" t="str">
        <f>IF($A1234="","",'Lot Balance'!$H1233)</f>
        <v/>
      </c>
      <c r="F1234" s="23" t="str">
        <f>IF($A1234="","",'Lot Balance'!$I1233)</f>
        <v/>
      </c>
      <c r="G1234" s="23" t="str">
        <f>IF($A1234="","",'Lot Balance'!$O1233)</f>
        <v/>
      </c>
      <c r="H1234" s="33" t="str">
        <f>IF($A1234="","",'Lot Balance'!$P1233)</f>
        <v/>
      </c>
      <c r="I1234" s="26" t="str">
        <f>IF($A1234="","",COUNTIFS(tblIssues[Lot Number],$B1234))</f>
        <v/>
      </c>
      <c r="J1234" s="31" t="str">
        <f>IF($A1234="","",IF('Lot Balance'!$O1233&lt;=0,"Depleted",'Lot Balance'!$Q1233))</f>
        <v/>
      </c>
    </row>
    <row r="1235" spans="1:10" x14ac:dyDescent="0.35">
      <c r="A1235" s="18" t="str">
        <f>IF('Lot Balance'!$A1234="","",'Lot Balance'!$A1234)</f>
        <v/>
      </c>
      <c r="B1235" s="18" t="str">
        <f>IF($A1235="","",'Lot Balance'!$B1234)</f>
        <v/>
      </c>
      <c r="C1235" s="18" t="str">
        <f>IF($A1235="","",'Lot Balance'!$C1234)</f>
        <v/>
      </c>
      <c r="D1235" s="25" t="str">
        <f>IF($A1235="","",'Lot Balance'!$G1234)</f>
        <v/>
      </c>
      <c r="E1235" s="25" t="str">
        <f>IF($A1235="","",'Lot Balance'!$H1234)</f>
        <v/>
      </c>
      <c r="F1235" s="23" t="str">
        <f>IF($A1235="","",'Lot Balance'!$I1234)</f>
        <v/>
      </c>
      <c r="G1235" s="23" t="str">
        <f>IF($A1235="","",'Lot Balance'!$O1234)</f>
        <v/>
      </c>
      <c r="H1235" s="33" t="str">
        <f>IF($A1235="","",'Lot Balance'!$P1234)</f>
        <v/>
      </c>
      <c r="I1235" s="26" t="str">
        <f>IF($A1235="","",COUNTIFS(tblIssues[Lot Number],$B1235))</f>
        <v/>
      </c>
      <c r="J1235" s="31" t="str">
        <f>IF($A1235="","",IF('Lot Balance'!$O1234&lt;=0,"Depleted",'Lot Balance'!$Q1234))</f>
        <v/>
      </c>
    </row>
    <row r="1236" spans="1:10" x14ac:dyDescent="0.35">
      <c r="A1236" s="18" t="str">
        <f>IF('Lot Balance'!$A1235="","",'Lot Balance'!$A1235)</f>
        <v/>
      </c>
      <c r="B1236" s="18" t="str">
        <f>IF($A1236="","",'Lot Balance'!$B1235)</f>
        <v/>
      </c>
      <c r="C1236" s="18" t="str">
        <f>IF($A1236="","",'Lot Balance'!$C1235)</f>
        <v/>
      </c>
      <c r="D1236" s="25" t="str">
        <f>IF($A1236="","",'Lot Balance'!$G1235)</f>
        <v/>
      </c>
      <c r="E1236" s="25" t="str">
        <f>IF($A1236="","",'Lot Balance'!$H1235)</f>
        <v/>
      </c>
      <c r="F1236" s="23" t="str">
        <f>IF($A1236="","",'Lot Balance'!$I1235)</f>
        <v/>
      </c>
      <c r="G1236" s="23" t="str">
        <f>IF($A1236="","",'Lot Balance'!$O1235)</f>
        <v/>
      </c>
      <c r="H1236" s="33" t="str">
        <f>IF($A1236="","",'Lot Balance'!$P1235)</f>
        <v/>
      </c>
      <c r="I1236" s="26" t="str">
        <f>IF($A1236="","",COUNTIFS(tblIssues[Lot Number],$B1236))</f>
        <v/>
      </c>
      <c r="J1236" s="31" t="str">
        <f>IF($A1236="","",IF('Lot Balance'!$O1235&lt;=0,"Depleted",'Lot Balance'!$Q1235))</f>
        <v/>
      </c>
    </row>
    <row r="1237" spans="1:10" x14ac:dyDescent="0.35">
      <c r="A1237" s="18" t="str">
        <f>IF('Lot Balance'!$A1236="","",'Lot Balance'!$A1236)</f>
        <v/>
      </c>
      <c r="B1237" s="18" t="str">
        <f>IF($A1237="","",'Lot Balance'!$B1236)</f>
        <v/>
      </c>
      <c r="C1237" s="18" t="str">
        <f>IF($A1237="","",'Lot Balance'!$C1236)</f>
        <v/>
      </c>
      <c r="D1237" s="25" t="str">
        <f>IF($A1237="","",'Lot Balance'!$G1236)</f>
        <v/>
      </c>
      <c r="E1237" s="25" t="str">
        <f>IF($A1237="","",'Lot Balance'!$H1236)</f>
        <v/>
      </c>
      <c r="F1237" s="23" t="str">
        <f>IF($A1237="","",'Lot Balance'!$I1236)</f>
        <v/>
      </c>
      <c r="G1237" s="23" t="str">
        <f>IF($A1237="","",'Lot Balance'!$O1236)</f>
        <v/>
      </c>
      <c r="H1237" s="33" t="str">
        <f>IF($A1237="","",'Lot Balance'!$P1236)</f>
        <v/>
      </c>
      <c r="I1237" s="26" t="str">
        <f>IF($A1237="","",COUNTIFS(tblIssues[Lot Number],$B1237))</f>
        <v/>
      </c>
      <c r="J1237" s="31" t="str">
        <f>IF($A1237="","",IF('Lot Balance'!$O1236&lt;=0,"Depleted",'Lot Balance'!$Q1236))</f>
        <v/>
      </c>
    </row>
    <row r="1238" spans="1:10" x14ac:dyDescent="0.35">
      <c r="A1238" s="18" t="str">
        <f>IF('Lot Balance'!$A1237="","",'Lot Balance'!$A1237)</f>
        <v/>
      </c>
      <c r="B1238" s="18" t="str">
        <f>IF($A1238="","",'Lot Balance'!$B1237)</f>
        <v/>
      </c>
      <c r="C1238" s="18" t="str">
        <f>IF($A1238="","",'Lot Balance'!$C1237)</f>
        <v/>
      </c>
      <c r="D1238" s="25" t="str">
        <f>IF($A1238="","",'Lot Balance'!$G1237)</f>
        <v/>
      </c>
      <c r="E1238" s="25" t="str">
        <f>IF($A1238="","",'Lot Balance'!$H1237)</f>
        <v/>
      </c>
      <c r="F1238" s="23" t="str">
        <f>IF($A1238="","",'Lot Balance'!$I1237)</f>
        <v/>
      </c>
      <c r="G1238" s="23" t="str">
        <f>IF($A1238="","",'Lot Balance'!$O1237)</f>
        <v/>
      </c>
      <c r="H1238" s="33" t="str">
        <f>IF($A1238="","",'Lot Balance'!$P1237)</f>
        <v/>
      </c>
      <c r="I1238" s="26" t="str">
        <f>IF($A1238="","",COUNTIFS(tblIssues[Lot Number],$B1238))</f>
        <v/>
      </c>
      <c r="J1238" s="31" t="str">
        <f>IF($A1238="","",IF('Lot Balance'!$O1237&lt;=0,"Depleted",'Lot Balance'!$Q1237))</f>
        <v/>
      </c>
    </row>
    <row r="1239" spans="1:10" x14ac:dyDescent="0.35">
      <c r="A1239" s="18" t="str">
        <f>IF('Lot Balance'!$A1238="","",'Lot Balance'!$A1238)</f>
        <v/>
      </c>
      <c r="B1239" s="18" t="str">
        <f>IF($A1239="","",'Lot Balance'!$B1238)</f>
        <v/>
      </c>
      <c r="C1239" s="18" t="str">
        <f>IF($A1239="","",'Lot Balance'!$C1238)</f>
        <v/>
      </c>
      <c r="D1239" s="25" t="str">
        <f>IF($A1239="","",'Lot Balance'!$G1238)</f>
        <v/>
      </c>
      <c r="E1239" s="25" t="str">
        <f>IF($A1239="","",'Lot Balance'!$H1238)</f>
        <v/>
      </c>
      <c r="F1239" s="23" t="str">
        <f>IF($A1239="","",'Lot Balance'!$I1238)</f>
        <v/>
      </c>
      <c r="G1239" s="23" t="str">
        <f>IF($A1239="","",'Lot Balance'!$O1238)</f>
        <v/>
      </c>
      <c r="H1239" s="33" t="str">
        <f>IF($A1239="","",'Lot Balance'!$P1238)</f>
        <v/>
      </c>
      <c r="I1239" s="26" t="str">
        <f>IF($A1239="","",COUNTIFS(tblIssues[Lot Number],$B1239))</f>
        <v/>
      </c>
      <c r="J1239" s="31" t="str">
        <f>IF($A1239="","",IF('Lot Balance'!$O1238&lt;=0,"Depleted",'Lot Balance'!$Q1238))</f>
        <v/>
      </c>
    </row>
    <row r="1240" spans="1:10" x14ac:dyDescent="0.35">
      <c r="A1240" s="18" t="str">
        <f>IF('Lot Balance'!$A1239="","",'Lot Balance'!$A1239)</f>
        <v/>
      </c>
      <c r="B1240" s="18" t="str">
        <f>IF($A1240="","",'Lot Balance'!$B1239)</f>
        <v/>
      </c>
      <c r="C1240" s="18" t="str">
        <f>IF($A1240="","",'Lot Balance'!$C1239)</f>
        <v/>
      </c>
      <c r="D1240" s="25" t="str">
        <f>IF($A1240="","",'Lot Balance'!$G1239)</f>
        <v/>
      </c>
      <c r="E1240" s="25" t="str">
        <f>IF($A1240="","",'Lot Balance'!$H1239)</f>
        <v/>
      </c>
      <c r="F1240" s="23" t="str">
        <f>IF($A1240="","",'Lot Balance'!$I1239)</f>
        <v/>
      </c>
      <c r="G1240" s="23" t="str">
        <f>IF($A1240="","",'Lot Balance'!$O1239)</f>
        <v/>
      </c>
      <c r="H1240" s="33" t="str">
        <f>IF($A1240="","",'Lot Balance'!$P1239)</f>
        <v/>
      </c>
      <c r="I1240" s="26" t="str">
        <f>IF($A1240="","",COUNTIFS(tblIssues[Lot Number],$B1240))</f>
        <v/>
      </c>
      <c r="J1240" s="31" t="str">
        <f>IF($A1240="","",IF('Lot Balance'!$O1239&lt;=0,"Depleted",'Lot Balance'!$Q1239))</f>
        <v/>
      </c>
    </row>
    <row r="1241" spans="1:10" x14ac:dyDescent="0.35">
      <c r="A1241" s="18" t="str">
        <f>IF('Lot Balance'!$A1240="","",'Lot Balance'!$A1240)</f>
        <v/>
      </c>
      <c r="B1241" s="18" t="str">
        <f>IF($A1241="","",'Lot Balance'!$B1240)</f>
        <v/>
      </c>
      <c r="C1241" s="18" t="str">
        <f>IF($A1241="","",'Lot Balance'!$C1240)</f>
        <v/>
      </c>
      <c r="D1241" s="25" t="str">
        <f>IF($A1241="","",'Lot Balance'!$G1240)</f>
        <v/>
      </c>
      <c r="E1241" s="25" t="str">
        <f>IF($A1241="","",'Lot Balance'!$H1240)</f>
        <v/>
      </c>
      <c r="F1241" s="23" t="str">
        <f>IF($A1241="","",'Lot Balance'!$I1240)</f>
        <v/>
      </c>
      <c r="G1241" s="23" t="str">
        <f>IF($A1241="","",'Lot Balance'!$O1240)</f>
        <v/>
      </c>
      <c r="H1241" s="33" t="str">
        <f>IF($A1241="","",'Lot Balance'!$P1240)</f>
        <v/>
      </c>
      <c r="I1241" s="26" t="str">
        <f>IF($A1241="","",COUNTIFS(tblIssues[Lot Number],$B1241))</f>
        <v/>
      </c>
      <c r="J1241" s="31" t="str">
        <f>IF($A1241="","",IF('Lot Balance'!$O1240&lt;=0,"Depleted",'Lot Balance'!$Q1240))</f>
        <v/>
      </c>
    </row>
    <row r="1242" spans="1:10" x14ac:dyDescent="0.35">
      <c r="A1242" s="18" t="str">
        <f>IF('Lot Balance'!$A1241="","",'Lot Balance'!$A1241)</f>
        <v/>
      </c>
      <c r="B1242" s="18" t="str">
        <f>IF($A1242="","",'Lot Balance'!$B1241)</f>
        <v/>
      </c>
      <c r="C1242" s="18" t="str">
        <f>IF($A1242="","",'Lot Balance'!$C1241)</f>
        <v/>
      </c>
      <c r="D1242" s="25" t="str">
        <f>IF($A1242="","",'Lot Balance'!$G1241)</f>
        <v/>
      </c>
      <c r="E1242" s="25" t="str">
        <f>IF($A1242="","",'Lot Balance'!$H1241)</f>
        <v/>
      </c>
      <c r="F1242" s="23" t="str">
        <f>IF($A1242="","",'Lot Balance'!$I1241)</f>
        <v/>
      </c>
      <c r="G1242" s="23" t="str">
        <f>IF($A1242="","",'Lot Balance'!$O1241)</f>
        <v/>
      </c>
      <c r="H1242" s="33" t="str">
        <f>IF($A1242="","",'Lot Balance'!$P1241)</f>
        <v/>
      </c>
      <c r="I1242" s="26" t="str">
        <f>IF($A1242="","",COUNTIFS(tblIssues[Lot Number],$B1242))</f>
        <v/>
      </c>
      <c r="J1242" s="31" t="str">
        <f>IF($A1242="","",IF('Lot Balance'!$O1241&lt;=0,"Depleted",'Lot Balance'!$Q1241))</f>
        <v/>
      </c>
    </row>
    <row r="1243" spans="1:10" x14ac:dyDescent="0.35">
      <c r="A1243" s="18" t="str">
        <f>IF('Lot Balance'!$A1242="","",'Lot Balance'!$A1242)</f>
        <v/>
      </c>
      <c r="B1243" s="18" t="str">
        <f>IF($A1243="","",'Lot Balance'!$B1242)</f>
        <v/>
      </c>
      <c r="C1243" s="18" t="str">
        <f>IF($A1243="","",'Lot Balance'!$C1242)</f>
        <v/>
      </c>
      <c r="D1243" s="25" t="str">
        <f>IF($A1243="","",'Lot Balance'!$G1242)</f>
        <v/>
      </c>
      <c r="E1243" s="25" t="str">
        <f>IF($A1243="","",'Lot Balance'!$H1242)</f>
        <v/>
      </c>
      <c r="F1243" s="23" t="str">
        <f>IF($A1243="","",'Lot Balance'!$I1242)</f>
        <v/>
      </c>
      <c r="G1243" s="23" t="str">
        <f>IF($A1243="","",'Lot Balance'!$O1242)</f>
        <v/>
      </c>
      <c r="H1243" s="33" t="str">
        <f>IF($A1243="","",'Lot Balance'!$P1242)</f>
        <v/>
      </c>
      <c r="I1243" s="26" t="str">
        <f>IF($A1243="","",COUNTIFS(tblIssues[Lot Number],$B1243))</f>
        <v/>
      </c>
      <c r="J1243" s="31" t="str">
        <f>IF($A1243="","",IF('Lot Balance'!$O1242&lt;=0,"Depleted",'Lot Balance'!$Q1242))</f>
        <v/>
      </c>
    </row>
    <row r="1244" spans="1:10" x14ac:dyDescent="0.35">
      <c r="A1244" s="18" t="str">
        <f>IF('Lot Balance'!$A1243="","",'Lot Balance'!$A1243)</f>
        <v/>
      </c>
      <c r="B1244" s="18" t="str">
        <f>IF($A1244="","",'Lot Balance'!$B1243)</f>
        <v/>
      </c>
      <c r="C1244" s="18" t="str">
        <f>IF($A1244="","",'Lot Balance'!$C1243)</f>
        <v/>
      </c>
      <c r="D1244" s="25" t="str">
        <f>IF($A1244="","",'Lot Balance'!$G1243)</f>
        <v/>
      </c>
      <c r="E1244" s="25" t="str">
        <f>IF($A1244="","",'Lot Balance'!$H1243)</f>
        <v/>
      </c>
      <c r="F1244" s="23" t="str">
        <f>IF($A1244="","",'Lot Balance'!$I1243)</f>
        <v/>
      </c>
      <c r="G1244" s="23" t="str">
        <f>IF($A1244="","",'Lot Balance'!$O1243)</f>
        <v/>
      </c>
      <c r="H1244" s="33" t="str">
        <f>IF($A1244="","",'Lot Balance'!$P1243)</f>
        <v/>
      </c>
      <c r="I1244" s="26" t="str">
        <f>IF($A1244="","",COUNTIFS(tblIssues[Lot Number],$B1244))</f>
        <v/>
      </c>
      <c r="J1244" s="31" t="str">
        <f>IF($A1244="","",IF('Lot Balance'!$O1243&lt;=0,"Depleted",'Lot Balance'!$Q1243))</f>
        <v/>
      </c>
    </row>
    <row r="1245" spans="1:10" x14ac:dyDescent="0.35">
      <c r="A1245" s="18" t="str">
        <f>IF('Lot Balance'!$A1244="","",'Lot Balance'!$A1244)</f>
        <v/>
      </c>
      <c r="B1245" s="18" t="str">
        <f>IF($A1245="","",'Lot Balance'!$B1244)</f>
        <v/>
      </c>
      <c r="C1245" s="18" t="str">
        <f>IF($A1245="","",'Lot Balance'!$C1244)</f>
        <v/>
      </c>
      <c r="D1245" s="25" t="str">
        <f>IF($A1245="","",'Lot Balance'!$G1244)</f>
        <v/>
      </c>
      <c r="E1245" s="25" t="str">
        <f>IF($A1245="","",'Lot Balance'!$H1244)</f>
        <v/>
      </c>
      <c r="F1245" s="23" t="str">
        <f>IF($A1245="","",'Lot Balance'!$I1244)</f>
        <v/>
      </c>
      <c r="G1245" s="23" t="str">
        <f>IF($A1245="","",'Lot Balance'!$O1244)</f>
        <v/>
      </c>
      <c r="H1245" s="33" t="str">
        <f>IF($A1245="","",'Lot Balance'!$P1244)</f>
        <v/>
      </c>
      <c r="I1245" s="26" t="str">
        <f>IF($A1245="","",COUNTIFS(tblIssues[Lot Number],$B1245))</f>
        <v/>
      </c>
      <c r="J1245" s="31" t="str">
        <f>IF($A1245="","",IF('Lot Balance'!$O1244&lt;=0,"Depleted",'Lot Balance'!$Q1244))</f>
        <v/>
      </c>
    </row>
    <row r="1246" spans="1:10" x14ac:dyDescent="0.35">
      <c r="A1246" s="18" t="str">
        <f>IF('Lot Balance'!$A1245="","",'Lot Balance'!$A1245)</f>
        <v/>
      </c>
      <c r="B1246" s="18" t="str">
        <f>IF($A1246="","",'Lot Balance'!$B1245)</f>
        <v/>
      </c>
      <c r="C1246" s="18" t="str">
        <f>IF($A1246="","",'Lot Balance'!$C1245)</f>
        <v/>
      </c>
      <c r="D1246" s="25" t="str">
        <f>IF($A1246="","",'Lot Balance'!$G1245)</f>
        <v/>
      </c>
      <c r="E1246" s="25" t="str">
        <f>IF($A1246="","",'Lot Balance'!$H1245)</f>
        <v/>
      </c>
      <c r="F1246" s="23" t="str">
        <f>IF($A1246="","",'Lot Balance'!$I1245)</f>
        <v/>
      </c>
      <c r="G1246" s="23" t="str">
        <f>IF($A1246="","",'Lot Balance'!$O1245)</f>
        <v/>
      </c>
      <c r="H1246" s="33" t="str">
        <f>IF($A1246="","",'Lot Balance'!$P1245)</f>
        <v/>
      </c>
      <c r="I1246" s="26" t="str">
        <f>IF($A1246="","",COUNTIFS(tblIssues[Lot Number],$B1246))</f>
        <v/>
      </c>
      <c r="J1246" s="31" t="str">
        <f>IF($A1246="","",IF('Lot Balance'!$O1245&lt;=0,"Depleted",'Lot Balance'!$Q1245))</f>
        <v/>
      </c>
    </row>
    <row r="1247" spans="1:10" x14ac:dyDescent="0.35">
      <c r="A1247" s="18" t="str">
        <f>IF('Lot Balance'!$A1246="","",'Lot Balance'!$A1246)</f>
        <v/>
      </c>
      <c r="B1247" s="18" t="str">
        <f>IF($A1247="","",'Lot Balance'!$B1246)</f>
        <v/>
      </c>
      <c r="C1247" s="18" t="str">
        <f>IF($A1247="","",'Lot Balance'!$C1246)</f>
        <v/>
      </c>
      <c r="D1247" s="25" t="str">
        <f>IF($A1247="","",'Lot Balance'!$G1246)</f>
        <v/>
      </c>
      <c r="E1247" s="25" t="str">
        <f>IF($A1247="","",'Lot Balance'!$H1246)</f>
        <v/>
      </c>
      <c r="F1247" s="23" t="str">
        <f>IF($A1247="","",'Lot Balance'!$I1246)</f>
        <v/>
      </c>
      <c r="G1247" s="23" t="str">
        <f>IF($A1247="","",'Lot Balance'!$O1246)</f>
        <v/>
      </c>
      <c r="H1247" s="33" t="str">
        <f>IF($A1247="","",'Lot Balance'!$P1246)</f>
        <v/>
      </c>
      <c r="I1247" s="26" t="str">
        <f>IF($A1247="","",COUNTIFS(tblIssues[Lot Number],$B1247))</f>
        <v/>
      </c>
      <c r="J1247" s="31" t="str">
        <f>IF($A1247="","",IF('Lot Balance'!$O1246&lt;=0,"Depleted",'Lot Balance'!$Q1246))</f>
        <v/>
      </c>
    </row>
    <row r="1248" spans="1:10" x14ac:dyDescent="0.35">
      <c r="A1248" s="18" t="str">
        <f>IF('Lot Balance'!$A1247="","",'Lot Balance'!$A1247)</f>
        <v/>
      </c>
      <c r="B1248" s="18" t="str">
        <f>IF($A1248="","",'Lot Balance'!$B1247)</f>
        <v/>
      </c>
      <c r="C1248" s="18" t="str">
        <f>IF($A1248="","",'Lot Balance'!$C1247)</f>
        <v/>
      </c>
      <c r="D1248" s="25" t="str">
        <f>IF($A1248="","",'Lot Balance'!$G1247)</f>
        <v/>
      </c>
      <c r="E1248" s="25" t="str">
        <f>IF($A1248="","",'Lot Balance'!$H1247)</f>
        <v/>
      </c>
      <c r="F1248" s="23" t="str">
        <f>IF($A1248="","",'Lot Balance'!$I1247)</f>
        <v/>
      </c>
      <c r="G1248" s="23" t="str">
        <f>IF($A1248="","",'Lot Balance'!$O1247)</f>
        <v/>
      </c>
      <c r="H1248" s="33" t="str">
        <f>IF($A1248="","",'Lot Balance'!$P1247)</f>
        <v/>
      </c>
      <c r="I1248" s="26" t="str">
        <f>IF($A1248="","",COUNTIFS(tblIssues[Lot Number],$B1248))</f>
        <v/>
      </c>
      <c r="J1248" s="31" t="str">
        <f>IF($A1248="","",IF('Lot Balance'!$O1247&lt;=0,"Depleted",'Lot Balance'!$Q1247))</f>
        <v/>
      </c>
    </row>
    <row r="1249" spans="1:10" x14ac:dyDescent="0.35">
      <c r="A1249" s="18" t="str">
        <f>IF('Lot Balance'!$A1248="","",'Lot Balance'!$A1248)</f>
        <v/>
      </c>
      <c r="B1249" s="18" t="str">
        <f>IF($A1249="","",'Lot Balance'!$B1248)</f>
        <v/>
      </c>
      <c r="C1249" s="18" t="str">
        <f>IF($A1249="","",'Lot Balance'!$C1248)</f>
        <v/>
      </c>
      <c r="D1249" s="25" t="str">
        <f>IF($A1249="","",'Lot Balance'!$G1248)</f>
        <v/>
      </c>
      <c r="E1249" s="25" t="str">
        <f>IF($A1249="","",'Lot Balance'!$H1248)</f>
        <v/>
      </c>
      <c r="F1249" s="23" t="str">
        <f>IF($A1249="","",'Lot Balance'!$I1248)</f>
        <v/>
      </c>
      <c r="G1249" s="23" t="str">
        <f>IF($A1249="","",'Lot Balance'!$O1248)</f>
        <v/>
      </c>
      <c r="H1249" s="33" t="str">
        <f>IF($A1249="","",'Lot Balance'!$P1248)</f>
        <v/>
      </c>
      <c r="I1249" s="26" t="str">
        <f>IF($A1249="","",COUNTIFS(tblIssues[Lot Number],$B1249))</f>
        <v/>
      </c>
      <c r="J1249" s="31" t="str">
        <f>IF($A1249="","",IF('Lot Balance'!$O1248&lt;=0,"Depleted",'Lot Balance'!$Q1248))</f>
        <v/>
      </c>
    </row>
    <row r="1250" spans="1:10" x14ac:dyDescent="0.35">
      <c r="A1250" s="18" t="str">
        <f>IF('Lot Balance'!$A1249="","",'Lot Balance'!$A1249)</f>
        <v/>
      </c>
      <c r="B1250" s="18" t="str">
        <f>IF($A1250="","",'Lot Balance'!$B1249)</f>
        <v/>
      </c>
      <c r="C1250" s="18" t="str">
        <f>IF($A1250="","",'Lot Balance'!$C1249)</f>
        <v/>
      </c>
      <c r="D1250" s="25" t="str">
        <f>IF($A1250="","",'Lot Balance'!$G1249)</f>
        <v/>
      </c>
      <c r="E1250" s="25" t="str">
        <f>IF($A1250="","",'Lot Balance'!$H1249)</f>
        <v/>
      </c>
      <c r="F1250" s="23" t="str">
        <f>IF($A1250="","",'Lot Balance'!$I1249)</f>
        <v/>
      </c>
      <c r="G1250" s="23" t="str">
        <f>IF($A1250="","",'Lot Balance'!$O1249)</f>
        <v/>
      </c>
      <c r="H1250" s="33" t="str">
        <f>IF($A1250="","",'Lot Balance'!$P1249)</f>
        <v/>
      </c>
      <c r="I1250" s="26" t="str">
        <f>IF($A1250="","",COUNTIFS(tblIssues[Lot Number],$B1250))</f>
        <v/>
      </c>
      <c r="J1250" s="31" t="str">
        <f>IF($A1250="","",IF('Lot Balance'!$O1249&lt;=0,"Depleted",'Lot Balance'!$Q1249))</f>
        <v/>
      </c>
    </row>
    <row r="1251" spans="1:10" x14ac:dyDescent="0.35">
      <c r="A1251" s="18" t="str">
        <f>IF('Lot Balance'!$A1250="","",'Lot Balance'!$A1250)</f>
        <v/>
      </c>
      <c r="B1251" s="18" t="str">
        <f>IF($A1251="","",'Lot Balance'!$B1250)</f>
        <v/>
      </c>
      <c r="C1251" s="18" t="str">
        <f>IF($A1251="","",'Lot Balance'!$C1250)</f>
        <v/>
      </c>
      <c r="D1251" s="25" t="str">
        <f>IF($A1251="","",'Lot Balance'!$G1250)</f>
        <v/>
      </c>
      <c r="E1251" s="25" t="str">
        <f>IF($A1251="","",'Lot Balance'!$H1250)</f>
        <v/>
      </c>
      <c r="F1251" s="23" t="str">
        <f>IF($A1251="","",'Lot Balance'!$I1250)</f>
        <v/>
      </c>
      <c r="G1251" s="23" t="str">
        <f>IF($A1251="","",'Lot Balance'!$O1250)</f>
        <v/>
      </c>
      <c r="H1251" s="33" t="str">
        <f>IF($A1251="","",'Lot Balance'!$P1250)</f>
        <v/>
      </c>
      <c r="I1251" s="26" t="str">
        <f>IF($A1251="","",COUNTIFS(tblIssues[Lot Number],$B1251))</f>
        <v/>
      </c>
      <c r="J1251" s="31" t="str">
        <f>IF($A1251="","",IF('Lot Balance'!$O1250&lt;=0,"Depleted",'Lot Balance'!$Q1250))</f>
        <v/>
      </c>
    </row>
    <row r="1252" spans="1:10" x14ac:dyDescent="0.35">
      <c r="A1252" s="18" t="str">
        <f>IF('Lot Balance'!$A1251="","",'Lot Balance'!$A1251)</f>
        <v/>
      </c>
      <c r="B1252" s="18" t="str">
        <f>IF($A1252="","",'Lot Balance'!$B1251)</f>
        <v/>
      </c>
      <c r="C1252" s="18" t="str">
        <f>IF($A1252="","",'Lot Balance'!$C1251)</f>
        <v/>
      </c>
      <c r="D1252" s="25" t="str">
        <f>IF($A1252="","",'Lot Balance'!$G1251)</f>
        <v/>
      </c>
      <c r="E1252" s="25" t="str">
        <f>IF($A1252="","",'Lot Balance'!$H1251)</f>
        <v/>
      </c>
      <c r="F1252" s="23" t="str">
        <f>IF($A1252="","",'Lot Balance'!$I1251)</f>
        <v/>
      </c>
      <c r="G1252" s="23" t="str">
        <f>IF($A1252="","",'Lot Balance'!$O1251)</f>
        <v/>
      </c>
      <c r="H1252" s="33" t="str">
        <f>IF($A1252="","",'Lot Balance'!$P1251)</f>
        <v/>
      </c>
      <c r="I1252" s="26" t="str">
        <f>IF($A1252="","",COUNTIFS(tblIssues[Lot Number],$B1252))</f>
        <v/>
      </c>
      <c r="J1252" s="31" t="str">
        <f>IF($A1252="","",IF('Lot Balance'!$O1251&lt;=0,"Depleted",'Lot Balance'!$Q1251))</f>
        <v/>
      </c>
    </row>
    <row r="1253" spans="1:10" x14ac:dyDescent="0.35">
      <c r="A1253" s="18" t="str">
        <f>IF('Lot Balance'!$A1252="","",'Lot Balance'!$A1252)</f>
        <v/>
      </c>
      <c r="B1253" s="18" t="str">
        <f>IF($A1253="","",'Lot Balance'!$B1252)</f>
        <v/>
      </c>
      <c r="C1253" s="18" t="str">
        <f>IF($A1253="","",'Lot Balance'!$C1252)</f>
        <v/>
      </c>
      <c r="D1253" s="25" t="str">
        <f>IF($A1253="","",'Lot Balance'!$G1252)</f>
        <v/>
      </c>
      <c r="E1253" s="25" t="str">
        <f>IF($A1253="","",'Lot Balance'!$H1252)</f>
        <v/>
      </c>
      <c r="F1253" s="23" t="str">
        <f>IF($A1253="","",'Lot Balance'!$I1252)</f>
        <v/>
      </c>
      <c r="G1253" s="23" t="str">
        <f>IF($A1253="","",'Lot Balance'!$O1252)</f>
        <v/>
      </c>
      <c r="H1253" s="33" t="str">
        <f>IF($A1253="","",'Lot Balance'!$P1252)</f>
        <v/>
      </c>
      <c r="I1253" s="26" t="str">
        <f>IF($A1253="","",COUNTIFS(tblIssues[Lot Number],$B1253))</f>
        <v/>
      </c>
      <c r="J1253" s="31" t="str">
        <f>IF($A1253="","",IF('Lot Balance'!$O1252&lt;=0,"Depleted",'Lot Balance'!$Q1252))</f>
        <v/>
      </c>
    </row>
    <row r="1254" spans="1:10" x14ac:dyDescent="0.35">
      <c r="A1254" s="18" t="str">
        <f>IF('Lot Balance'!$A1253="","",'Lot Balance'!$A1253)</f>
        <v/>
      </c>
      <c r="B1254" s="18" t="str">
        <f>IF($A1254="","",'Lot Balance'!$B1253)</f>
        <v/>
      </c>
      <c r="C1254" s="18" t="str">
        <f>IF($A1254="","",'Lot Balance'!$C1253)</f>
        <v/>
      </c>
      <c r="D1254" s="25" t="str">
        <f>IF($A1254="","",'Lot Balance'!$G1253)</f>
        <v/>
      </c>
      <c r="E1254" s="25" t="str">
        <f>IF($A1254="","",'Lot Balance'!$H1253)</f>
        <v/>
      </c>
      <c r="F1254" s="23" t="str">
        <f>IF($A1254="","",'Lot Balance'!$I1253)</f>
        <v/>
      </c>
      <c r="G1254" s="23" t="str">
        <f>IF($A1254="","",'Lot Balance'!$O1253)</f>
        <v/>
      </c>
      <c r="H1254" s="33" t="str">
        <f>IF($A1254="","",'Lot Balance'!$P1253)</f>
        <v/>
      </c>
      <c r="I1254" s="26" t="str">
        <f>IF($A1254="","",COUNTIFS(tblIssues[Lot Number],$B1254))</f>
        <v/>
      </c>
      <c r="J1254" s="31" t="str">
        <f>IF($A1254="","",IF('Lot Balance'!$O1253&lt;=0,"Depleted",'Lot Balance'!$Q1253))</f>
        <v/>
      </c>
    </row>
    <row r="1255" spans="1:10" x14ac:dyDescent="0.35">
      <c r="A1255" s="18" t="str">
        <f>IF('Lot Balance'!$A1254="","",'Lot Balance'!$A1254)</f>
        <v/>
      </c>
      <c r="B1255" s="18" t="str">
        <f>IF($A1255="","",'Lot Balance'!$B1254)</f>
        <v/>
      </c>
      <c r="C1255" s="18" t="str">
        <f>IF($A1255="","",'Lot Balance'!$C1254)</f>
        <v/>
      </c>
      <c r="D1255" s="25" t="str">
        <f>IF($A1255="","",'Lot Balance'!$G1254)</f>
        <v/>
      </c>
      <c r="E1255" s="25" t="str">
        <f>IF($A1255="","",'Lot Balance'!$H1254)</f>
        <v/>
      </c>
      <c r="F1255" s="23" t="str">
        <f>IF($A1255="","",'Lot Balance'!$I1254)</f>
        <v/>
      </c>
      <c r="G1255" s="23" t="str">
        <f>IF($A1255="","",'Lot Balance'!$O1254)</f>
        <v/>
      </c>
      <c r="H1255" s="33" t="str">
        <f>IF($A1255="","",'Lot Balance'!$P1254)</f>
        <v/>
      </c>
      <c r="I1255" s="26" t="str">
        <f>IF($A1255="","",COUNTIFS(tblIssues[Lot Number],$B1255))</f>
        <v/>
      </c>
      <c r="J1255" s="31" t="str">
        <f>IF($A1255="","",IF('Lot Balance'!$O1254&lt;=0,"Depleted",'Lot Balance'!$Q1254))</f>
        <v/>
      </c>
    </row>
    <row r="1256" spans="1:10" x14ac:dyDescent="0.35">
      <c r="A1256" s="18" t="str">
        <f>IF('Lot Balance'!$A1255="","",'Lot Balance'!$A1255)</f>
        <v/>
      </c>
      <c r="B1256" s="18" t="str">
        <f>IF($A1256="","",'Lot Balance'!$B1255)</f>
        <v/>
      </c>
      <c r="C1256" s="18" t="str">
        <f>IF($A1256="","",'Lot Balance'!$C1255)</f>
        <v/>
      </c>
      <c r="D1256" s="25" t="str">
        <f>IF($A1256="","",'Lot Balance'!$G1255)</f>
        <v/>
      </c>
      <c r="E1256" s="25" t="str">
        <f>IF($A1256="","",'Lot Balance'!$H1255)</f>
        <v/>
      </c>
      <c r="F1256" s="23" t="str">
        <f>IF($A1256="","",'Lot Balance'!$I1255)</f>
        <v/>
      </c>
      <c r="G1256" s="23" t="str">
        <f>IF($A1256="","",'Lot Balance'!$O1255)</f>
        <v/>
      </c>
      <c r="H1256" s="33" t="str">
        <f>IF($A1256="","",'Lot Balance'!$P1255)</f>
        <v/>
      </c>
      <c r="I1256" s="26" t="str">
        <f>IF($A1256="","",COUNTIFS(tblIssues[Lot Number],$B1256))</f>
        <v/>
      </c>
      <c r="J1256" s="31" t="str">
        <f>IF($A1256="","",IF('Lot Balance'!$O1255&lt;=0,"Depleted",'Lot Balance'!$Q1255))</f>
        <v/>
      </c>
    </row>
    <row r="1257" spans="1:10" x14ac:dyDescent="0.35">
      <c r="A1257" s="18" t="str">
        <f>IF('Lot Balance'!$A1256="","",'Lot Balance'!$A1256)</f>
        <v/>
      </c>
      <c r="B1257" s="18" t="str">
        <f>IF($A1257="","",'Lot Balance'!$B1256)</f>
        <v/>
      </c>
      <c r="C1257" s="18" t="str">
        <f>IF($A1257="","",'Lot Balance'!$C1256)</f>
        <v/>
      </c>
      <c r="D1257" s="25" t="str">
        <f>IF($A1257="","",'Lot Balance'!$G1256)</f>
        <v/>
      </c>
      <c r="E1257" s="25" t="str">
        <f>IF($A1257="","",'Lot Balance'!$H1256)</f>
        <v/>
      </c>
      <c r="F1257" s="23" t="str">
        <f>IF($A1257="","",'Lot Balance'!$I1256)</f>
        <v/>
      </c>
      <c r="G1257" s="23" t="str">
        <f>IF($A1257="","",'Lot Balance'!$O1256)</f>
        <v/>
      </c>
      <c r="H1257" s="33" t="str">
        <f>IF($A1257="","",'Lot Balance'!$P1256)</f>
        <v/>
      </c>
      <c r="I1257" s="26" t="str">
        <f>IF($A1257="","",COUNTIFS(tblIssues[Lot Number],$B1257))</f>
        <v/>
      </c>
      <c r="J1257" s="31" t="str">
        <f>IF($A1257="","",IF('Lot Balance'!$O1256&lt;=0,"Depleted",'Lot Balance'!$Q1256))</f>
        <v/>
      </c>
    </row>
    <row r="1258" spans="1:10" x14ac:dyDescent="0.35">
      <c r="A1258" s="18" t="str">
        <f>IF('Lot Balance'!$A1257="","",'Lot Balance'!$A1257)</f>
        <v/>
      </c>
      <c r="B1258" s="18" t="str">
        <f>IF($A1258="","",'Lot Balance'!$B1257)</f>
        <v/>
      </c>
      <c r="C1258" s="18" t="str">
        <f>IF($A1258="","",'Lot Balance'!$C1257)</f>
        <v/>
      </c>
      <c r="D1258" s="25" t="str">
        <f>IF($A1258="","",'Lot Balance'!$G1257)</f>
        <v/>
      </c>
      <c r="E1258" s="25" t="str">
        <f>IF($A1258="","",'Lot Balance'!$H1257)</f>
        <v/>
      </c>
      <c r="F1258" s="23" t="str">
        <f>IF($A1258="","",'Lot Balance'!$I1257)</f>
        <v/>
      </c>
      <c r="G1258" s="23" t="str">
        <f>IF($A1258="","",'Lot Balance'!$O1257)</f>
        <v/>
      </c>
      <c r="H1258" s="33" t="str">
        <f>IF($A1258="","",'Lot Balance'!$P1257)</f>
        <v/>
      </c>
      <c r="I1258" s="26" t="str">
        <f>IF($A1258="","",COUNTIFS(tblIssues[Lot Number],$B1258))</f>
        <v/>
      </c>
      <c r="J1258" s="31" t="str">
        <f>IF($A1258="","",IF('Lot Balance'!$O1257&lt;=0,"Depleted",'Lot Balance'!$Q1257))</f>
        <v/>
      </c>
    </row>
    <row r="1259" spans="1:10" x14ac:dyDescent="0.35">
      <c r="A1259" s="18" t="str">
        <f>IF('Lot Balance'!$A1258="","",'Lot Balance'!$A1258)</f>
        <v/>
      </c>
      <c r="B1259" s="18" t="str">
        <f>IF($A1259="","",'Lot Balance'!$B1258)</f>
        <v/>
      </c>
      <c r="C1259" s="18" t="str">
        <f>IF($A1259="","",'Lot Balance'!$C1258)</f>
        <v/>
      </c>
      <c r="D1259" s="25" t="str">
        <f>IF($A1259="","",'Lot Balance'!$G1258)</f>
        <v/>
      </c>
      <c r="E1259" s="25" t="str">
        <f>IF($A1259="","",'Lot Balance'!$H1258)</f>
        <v/>
      </c>
      <c r="F1259" s="23" t="str">
        <f>IF($A1259="","",'Lot Balance'!$I1258)</f>
        <v/>
      </c>
      <c r="G1259" s="23" t="str">
        <f>IF($A1259="","",'Lot Balance'!$O1258)</f>
        <v/>
      </c>
      <c r="H1259" s="33" t="str">
        <f>IF($A1259="","",'Lot Balance'!$P1258)</f>
        <v/>
      </c>
      <c r="I1259" s="26" t="str">
        <f>IF($A1259="","",COUNTIFS(tblIssues[Lot Number],$B1259))</f>
        <v/>
      </c>
      <c r="J1259" s="31" t="str">
        <f>IF($A1259="","",IF('Lot Balance'!$O1258&lt;=0,"Depleted",'Lot Balance'!$Q1258))</f>
        <v/>
      </c>
    </row>
    <row r="1260" spans="1:10" x14ac:dyDescent="0.35">
      <c r="A1260" s="18" t="str">
        <f>IF('Lot Balance'!$A1259="","",'Lot Balance'!$A1259)</f>
        <v/>
      </c>
      <c r="B1260" s="18" t="str">
        <f>IF($A1260="","",'Lot Balance'!$B1259)</f>
        <v/>
      </c>
      <c r="C1260" s="18" t="str">
        <f>IF($A1260="","",'Lot Balance'!$C1259)</f>
        <v/>
      </c>
      <c r="D1260" s="25" t="str">
        <f>IF($A1260="","",'Lot Balance'!$G1259)</f>
        <v/>
      </c>
      <c r="E1260" s="25" t="str">
        <f>IF($A1260="","",'Lot Balance'!$H1259)</f>
        <v/>
      </c>
      <c r="F1260" s="23" t="str">
        <f>IF($A1260="","",'Lot Balance'!$I1259)</f>
        <v/>
      </c>
      <c r="G1260" s="23" t="str">
        <f>IF($A1260="","",'Lot Balance'!$O1259)</f>
        <v/>
      </c>
      <c r="H1260" s="33" t="str">
        <f>IF($A1260="","",'Lot Balance'!$P1259)</f>
        <v/>
      </c>
      <c r="I1260" s="26" t="str">
        <f>IF($A1260="","",COUNTIFS(tblIssues[Lot Number],$B1260))</f>
        <v/>
      </c>
      <c r="J1260" s="31" t="str">
        <f>IF($A1260="","",IF('Lot Balance'!$O1259&lt;=0,"Depleted",'Lot Balance'!$Q1259))</f>
        <v/>
      </c>
    </row>
    <row r="1261" spans="1:10" x14ac:dyDescent="0.35">
      <c r="A1261" s="18" t="str">
        <f>IF('Lot Balance'!$A1260="","",'Lot Balance'!$A1260)</f>
        <v/>
      </c>
      <c r="B1261" s="18" t="str">
        <f>IF($A1261="","",'Lot Balance'!$B1260)</f>
        <v/>
      </c>
      <c r="C1261" s="18" t="str">
        <f>IF($A1261="","",'Lot Balance'!$C1260)</f>
        <v/>
      </c>
      <c r="D1261" s="25" t="str">
        <f>IF($A1261="","",'Lot Balance'!$G1260)</f>
        <v/>
      </c>
      <c r="E1261" s="25" t="str">
        <f>IF($A1261="","",'Lot Balance'!$H1260)</f>
        <v/>
      </c>
      <c r="F1261" s="23" t="str">
        <f>IF($A1261="","",'Lot Balance'!$I1260)</f>
        <v/>
      </c>
      <c r="G1261" s="23" t="str">
        <f>IF($A1261="","",'Lot Balance'!$O1260)</f>
        <v/>
      </c>
      <c r="H1261" s="33" t="str">
        <f>IF($A1261="","",'Lot Balance'!$P1260)</f>
        <v/>
      </c>
      <c r="I1261" s="26" t="str">
        <f>IF($A1261="","",COUNTIFS(tblIssues[Lot Number],$B1261))</f>
        <v/>
      </c>
      <c r="J1261" s="31" t="str">
        <f>IF($A1261="","",IF('Lot Balance'!$O1260&lt;=0,"Depleted",'Lot Balance'!$Q1260))</f>
        <v/>
      </c>
    </row>
    <row r="1262" spans="1:10" x14ac:dyDescent="0.35">
      <c r="A1262" s="18" t="str">
        <f>IF('Lot Balance'!$A1261="","",'Lot Balance'!$A1261)</f>
        <v/>
      </c>
      <c r="B1262" s="18" t="str">
        <f>IF($A1262="","",'Lot Balance'!$B1261)</f>
        <v/>
      </c>
      <c r="C1262" s="18" t="str">
        <f>IF($A1262="","",'Lot Balance'!$C1261)</f>
        <v/>
      </c>
      <c r="D1262" s="25" t="str">
        <f>IF($A1262="","",'Lot Balance'!$G1261)</f>
        <v/>
      </c>
      <c r="E1262" s="25" t="str">
        <f>IF($A1262="","",'Lot Balance'!$H1261)</f>
        <v/>
      </c>
      <c r="F1262" s="23" t="str">
        <f>IF($A1262="","",'Lot Balance'!$I1261)</f>
        <v/>
      </c>
      <c r="G1262" s="23" t="str">
        <f>IF($A1262="","",'Lot Balance'!$O1261)</f>
        <v/>
      </c>
      <c r="H1262" s="33" t="str">
        <f>IF($A1262="","",'Lot Balance'!$P1261)</f>
        <v/>
      </c>
      <c r="I1262" s="26" t="str">
        <f>IF($A1262="","",COUNTIFS(tblIssues[Lot Number],$B1262))</f>
        <v/>
      </c>
      <c r="J1262" s="31" t="str">
        <f>IF($A1262="","",IF('Lot Balance'!$O1261&lt;=0,"Depleted",'Lot Balance'!$Q1261))</f>
        <v/>
      </c>
    </row>
    <row r="1263" spans="1:10" x14ac:dyDescent="0.35">
      <c r="A1263" s="18" t="str">
        <f>IF('Lot Balance'!$A1262="","",'Lot Balance'!$A1262)</f>
        <v/>
      </c>
      <c r="B1263" s="18" t="str">
        <f>IF($A1263="","",'Lot Balance'!$B1262)</f>
        <v/>
      </c>
      <c r="C1263" s="18" t="str">
        <f>IF($A1263="","",'Lot Balance'!$C1262)</f>
        <v/>
      </c>
      <c r="D1263" s="25" t="str">
        <f>IF($A1263="","",'Lot Balance'!$G1262)</f>
        <v/>
      </c>
      <c r="E1263" s="25" t="str">
        <f>IF($A1263="","",'Lot Balance'!$H1262)</f>
        <v/>
      </c>
      <c r="F1263" s="23" t="str">
        <f>IF($A1263="","",'Lot Balance'!$I1262)</f>
        <v/>
      </c>
      <c r="G1263" s="23" t="str">
        <f>IF($A1263="","",'Lot Balance'!$O1262)</f>
        <v/>
      </c>
      <c r="H1263" s="33" t="str">
        <f>IF($A1263="","",'Lot Balance'!$P1262)</f>
        <v/>
      </c>
      <c r="I1263" s="26" t="str">
        <f>IF($A1263="","",COUNTIFS(tblIssues[Lot Number],$B1263))</f>
        <v/>
      </c>
      <c r="J1263" s="31" t="str">
        <f>IF($A1263="","",IF('Lot Balance'!$O1262&lt;=0,"Depleted",'Lot Balance'!$Q1262))</f>
        <v/>
      </c>
    </row>
    <row r="1264" spans="1:10" x14ac:dyDescent="0.35">
      <c r="A1264" s="18" t="str">
        <f>IF('Lot Balance'!$A1263="","",'Lot Balance'!$A1263)</f>
        <v/>
      </c>
      <c r="B1264" s="18" t="str">
        <f>IF($A1264="","",'Lot Balance'!$B1263)</f>
        <v/>
      </c>
      <c r="C1264" s="18" t="str">
        <f>IF($A1264="","",'Lot Balance'!$C1263)</f>
        <v/>
      </c>
      <c r="D1264" s="25" t="str">
        <f>IF($A1264="","",'Lot Balance'!$G1263)</f>
        <v/>
      </c>
      <c r="E1264" s="25" t="str">
        <f>IF($A1264="","",'Lot Balance'!$H1263)</f>
        <v/>
      </c>
      <c r="F1264" s="23" t="str">
        <f>IF($A1264="","",'Lot Balance'!$I1263)</f>
        <v/>
      </c>
      <c r="G1264" s="23" t="str">
        <f>IF($A1264="","",'Lot Balance'!$O1263)</f>
        <v/>
      </c>
      <c r="H1264" s="33" t="str">
        <f>IF($A1264="","",'Lot Balance'!$P1263)</f>
        <v/>
      </c>
      <c r="I1264" s="26" t="str">
        <f>IF($A1264="","",COUNTIFS(tblIssues[Lot Number],$B1264))</f>
        <v/>
      </c>
      <c r="J1264" s="31" t="str">
        <f>IF($A1264="","",IF('Lot Balance'!$O1263&lt;=0,"Depleted",'Lot Balance'!$Q1263))</f>
        <v/>
      </c>
    </row>
    <row r="1265" spans="1:10" x14ac:dyDescent="0.35">
      <c r="A1265" s="18" t="str">
        <f>IF('Lot Balance'!$A1264="","",'Lot Balance'!$A1264)</f>
        <v/>
      </c>
      <c r="B1265" s="18" t="str">
        <f>IF($A1265="","",'Lot Balance'!$B1264)</f>
        <v/>
      </c>
      <c r="C1265" s="18" t="str">
        <f>IF($A1265="","",'Lot Balance'!$C1264)</f>
        <v/>
      </c>
      <c r="D1265" s="25" t="str">
        <f>IF($A1265="","",'Lot Balance'!$G1264)</f>
        <v/>
      </c>
      <c r="E1265" s="25" t="str">
        <f>IF($A1265="","",'Lot Balance'!$H1264)</f>
        <v/>
      </c>
      <c r="F1265" s="23" t="str">
        <f>IF($A1265="","",'Lot Balance'!$I1264)</f>
        <v/>
      </c>
      <c r="G1265" s="23" t="str">
        <f>IF($A1265="","",'Lot Balance'!$O1264)</f>
        <v/>
      </c>
      <c r="H1265" s="33" t="str">
        <f>IF($A1265="","",'Lot Balance'!$P1264)</f>
        <v/>
      </c>
      <c r="I1265" s="26" t="str">
        <f>IF($A1265="","",COUNTIFS(tblIssues[Lot Number],$B1265))</f>
        <v/>
      </c>
      <c r="J1265" s="31" t="str">
        <f>IF($A1265="","",IF('Lot Balance'!$O1264&lt;=0,"Depleted",'Lot Balance'!$Q1264))</f>
        <v/>
      </c>
    </row>
    <row r="1266" spans="1:10" x14ac:dyDescent="0.35">
      <c r="A1266" s="18" t="str">
        <f>IF('Lot Balance'!$A1265="","",'Lot Balance'!$A1265)</f>
        <v/>
      </c>
      <c r="B1266" s="18" t="str">
        <f>IF($A1266="","",'Lot Balance'!$B1265)</f>
        <v/>
      </c>
      <c r="C1266" s="18" t="str">
        <f>IF($A1266="","",'Lot Balance'!$C1265)</f>
        <v/>
      </c>
      <c r="D1266" s="25" t="str">
        <f>IF($A1266="","",'Lot Balance'!$G1265)</f>
        <v/>
      </c>
      <c r="E1266" s="25" t="str">
        <f>IF($A1266="","",'Lot Balance'!$H1265)</f>
        <v/>
      </c>
      <c r="F1266" s="23" t="str">
        <f>IF($A1266="","",'Lot Balance'!$I1265)</f>
        <v/>
      </c>
      <c r="G1266" s="23" t="str">
        <f>IF($A1266="","",'Lot Balance'!$O1265)</f>
        <v/>
      </c>
      <c r="H1266" s="33" t="str">
        <f>IF($A1266="","",'Lot Balance'!$P1265)</f>
        <v/>
      </c>
      <c r="I1266" s="26" t="str">
        <f>IF($A1266="","",COUNTIFS(tblIssues[Lot Number],$B1266))</f>
        <v/>
      </c>
      <c r="J1266" s="31" t="str">
        <f>IF($A1266="","",IF('Lot Balance'!$O1265&lt;=0,"Depleted",'Lot Balance'!$Q1265))</f>
        <v/>
      </c>
    </row>
    <row r="1267" spans="1:10" x14ac:dyDescent="0.35">
      <c r="A1267" s="18" t="str">
        <f>IF('Lot Balance'!$A1266="","",'Lot Balance'!$A1266)</f>
        <v/>
      </c>
      <c r="B1267" s="18" t="str">
        <f>IF($A1267="","",'Lot Balance'!$B1266)</f>
        <v/>
      </c>
      <c r="C1267" s="18" t="str">
        <f>IF($A1267="","",'Lot Balance'!$C1266)</f>
        <v/>
      </c>
      <c r="D1267" s="25" t="str">
        <f>IF($A1267="","",'Lot Balance'!$G1266)</f>
        <v/>
      </c>
      <c r="E1267" s="25" t="str">
        <f>IF($A1267="","",'Lot Balance'!$H1266)</f>
        <v/>
      </c>
      <c r="F1267" s="23" t="str">
        <f>IF($A1267="","",'Lot Balance'!$I1266)</f>
        <v/>
      </c>
      <c r="G1267" s="23" t="str">
        <f>IF($A1267="","",'Lot Balance'!$O1266)</f>
        <v/>
      </c>
      <c r="H1267" s="33" t="str">
        <f>IF($A1267="","",'Lot Balance'!$P1266)</f>
        <v/>
      </c>
      <c r="I1267" s="26" t="str">
        <f>IF($A1267="","",COUNTIFS(tblIssues[Lot Number],$B1267))</f>
        <v/>
      </c>
      <c r="J1267" s="31" t="str">
        <f>IF($A1267="","",IF('Lot Balance'!$O1266&lt;=0,"Depleted",'Lot Balance'!$Q1266))</f>
        <v/>
      </c>
    </row>
    <row r="1268" spans="1:10" x14ac:dyDescent="0.35">
      <c r="A1268" s="18" t="str">
        <f>IF('Lot Balance'!$A1267="","",'Lot Balance'!$A1267)</f>
        <v/>
      </c>
      <c r="B1268" s="18" t="str">
        <f>IF($A1268="","",'Lot Balance'!$B1267)</f>
        <v/>
      </c>
      <c r="C1268" s="18" t="str">
        <f>IF($A1268="","",'Lot Balance'!$C1267)</f>
        <v/>
      </c>
      <c r="D1268" s="25" t="str">
        <f>IF($A1268="","",'Lot Balance'!$G1267)</f>
        <v/>
      </c>
      <c r="E1268" s="25" t="str">
        <f>IF($A1268="","",'Lot Balance'!$H1267)</f>
        <v/>
      </c>
      <c r="F1268" s="23" t="str">
        <f>IF($A1268="","",'Lot Balance'!$I1267)</f>
        <v/>
      </c>
      <c r="G1268" s="23" t="str">
        <f>IF($A1268="","",'Lot Balance'!$O1267)</f>
        <v/>
      </c>
      <c r="H1268" s="33" t="str">
        <f>IF($A1268="","",'Lot Balance'!$P1267)</f>
        <v/>
      </c>
      <c r="I1268" s="26" t="str">
        <f>IF($A1268="","",COUNTIFS(tblIssues[Lot Number],$B1268))</f>
        <v/>
      </c>
      <c r="J1268" s="31" t="str">
        <f>IF($A1268="","",IF('Lot Balance'!$O1267&lt;=0,"Depleted",'Lot Balance'!$Q1267))</f>
        <v/>
      </c>
    </row>
    <row r="1269" spans="1:10" x14ac:dyDescent="0.35">
      <c r="A1269" s="18" t="str">
        <f>IF('Lot Balance'!$A1268="","",'Lot Balance'!$A1268)</f>
        <v/>
      </c>
      <c r="B1269" s="18" t="str">
        <f>IF($A1269="","",'Lot Balance'!$B1268)</f>
        <v/>
      </c>
      <c r="C1269" s="18" t="str">
        <f>IF($A1269="","",'Lot Balance'!$C1268)</f>
        <v/>
      </c>
      <c r="D1269" s="25" t="str">
        <f>IF($A1269="","",'Lot Balance'!$G1268)</f>
        <v/>
      </c>
      <c r="E1269" s="25" t="str">
        <f>IF($A1269="","",'Lot Balance'!$H1268)</f>
        <v/>
      </c>
      <c r="F1269" s="23" t="str">
        <f>IF($A1269="","",'Lot Balance'!$I1268)</f>
        <v/>
      </c>
      <c r="G1269" s="23" t="str">
        <f>IF($A1269="","",'Lot Balance'!$O1268)</f>
        <v/>
      </c>
      <c r="H1269" s="33" t="str">
        <f>IF($A1269="","",'Lot Balance'!$P1268)</f>
        <v/>
      </c>
      <c r="I1269" s="26" t="str">
        <f>IF($A1269="","",COUNTIFS(tblIssues[Lot Number],$B1269))</f>
        <v/>
      </c>
      <c r="J1269" s="31" t="str">
        <f>IF($A1269="","",IF('Lot Balance'!$O1268&lt;=0,"Depleted",'Lot Balance'!$Q1268))</f>
        <v/>
      </c>
    </row>
    <row r="1270" spans="1:10" x14ac:dyDescent="0.35">
      <c r="A1270" s="18" t="str">
        <f>IF('Lot Balance'!$A1269="","",'Lot Balance'!$A1269)</f>
        <v/>
      </c>
      <c r="B1270" s="18" t="str">
        <f>IF($A1270="","",'Lot Balance'!$B1269)</f>
        <v/>
      </c>
      <c r="C1270" s="18" t="str">
        <f>IF($A1270="","",'Lot Balance'!$C1269)</f>
        <v/>
      </c>
      <c r="D1270" s="25" t="str">
        <f>IF($A1270="","",'Lot Balance'!$G1269)</f>
        <v/>
      </c>
      <c r="E1270" s="25" t="str">
        <f>IF($A1270="","",'Lot Balance'!$H1269)</f>
        <v/>
      </c>
      <c r="F1270" s="23" t="str">
        <f>IF($A1270="","",'Lot Balance'!$I1269)</f>
        <v/>
      </c>
      <c r="G1270" s="23" t="str">
        <f>IF($A1270="","",'Lot Balance'!$O1269)</f>
        <v/>
      </c>
      <c r="H1270" s="33" t="str">
        <f>IF($A1270="","",'Lot Balance'!$P1269)</f>
        <v/>
      </c>
      <c r="I1270" s="26" t="str">
        <f>IF($A1270="","",COUNTIFS(tblIssues[Lot Number],$B1270))</f>
        <v/>
      </c>
      <c r="J1270" s="31" t="str">
        <f>IF($A1270="","",IF('Lot Balance'!$O1269&lt;=0,"Depleted",'Lot Balance'!$Q1269))</f>
        <v/>
      </c>
    </row>
    <row r="1271" spans="1:10" x14ac:dyDescent="0.35">
      <c r="A1271" s="18" t="str">
        <f>IF('Lot Balance'!$A1270="","",'Lot Balance'!$A1270)</f>
        <v/>
      </c>
      <c r="B1271" s="18" t="str">
        <f>IF($A1271="","",'Lot Balance'!$B1270)</f>
        <v/>
      </c>
      <c r="C1271" s="18" t="str">
        <f>IF($A1271="","",'Lot Balance'!$C1270)</f>
        <v/>
      </c>
      <c r="D1271" s="25" t="str">
        <f>IF($A1271="","",'Lot Balance'!$G1270)</f>
        <v/>
      </c>
      <c r="E1271" s="25" t="str">
        <f>IF($A1271="","",'Lot Balance'!$H1270)</f>
        <v/>
      </c>
      <c r="F1271" s="23" t="str">
        <f>IF($A1271="","",'Lot Balance'!$I1270)</f>
        <v/>
      </c>
      <c r="G1271" s="23" t="str">
        <f>IF($A1271="","",'Lot Balance'!$O1270)</f>
        <v/>
      </c>
      <c r="H1271" s="33" t="str">
        <f>IF($A1271="","",'Lot Balance'!$P1270)</f>
        <v/>
      </c>
      <c r="I1271" s="26" t="str">
        <f>IF($A1271="","",COUNTIFS(tblIssues[Lot Number],$B1271))</f>
        <v/>
      </c>
      <c r="J1271" s="31" t="str">
        <f>IF($A1271="","",IF('Lot Balance'!$O1270&lt;=0,"Depleted",'Lot Balance'!$Q1270))</f>
        <v/>
      </c>
    </row>
    <row r="1272" spans="1:10" x14ac:dyDescent="0.35">
      <c r="A1272" s="18" t="str">
        <f>IF('Lot Balance'!$A1271="","",'Lot Balance'!$A1271)</f>
        <v/>
      </c>
      <c r="B1272" s="18" t="str">
        <f>IF($A1272="","",'Lot Balance'!$B1271)</f>
        <v/>
      </c>
      <c r="C1272" s="18" t="str">
        <f>IF($A1272="","",'Lot Balance'!$C1271)</f>
        <v/>
      </c>
      <c r="D1272" s="25" t="str">
        <f>IF($A1272="","",'Lot Balance'!$G1271)</f>
        <v/>
      </c>
      <c r="E1272" s="25" t="str">
        <f>IF($A1272="","",'Lot Balance'!$H1271)</f>
        <v/>
      </c>
      <c r="F1272" s="23" t="str">
        <f>IF($A1272="","",'Lot Balance'!$I1271)</f>
        <v/>
      </c>
      <c r="G1272" s="23" t="str">
        <f>IF($A1272="","",'Lot Balance'!$O1271)</f>
        <v/>
      </c>
      <c r="H1272" s="33" t="str">
        <f>IF($A1272="","",'Lot Balance'!$P1271)</f>
        <v/>
      </c>
      <c r="I1272" s="26" t="str">
        <f>IF($A1272="","",COUNTIFS(tblIssues[Lot Number],$B1272))</f>
        <v/>
      </c>
      <c r="J1272" s="31" t="str">
        <f>IF($A1272="","",IF('Lot Balance'!$O1271&lt;=0,"Depleted",'Lot Balance'!$Q1271))</f>
        <v/>
      </c>
    </row>
    <row r="1273" spans="1:10" x14ac:dyDescent="0.35">
      <c r="A1273" s="18" t="str">
        <f>IF('Lot Balance'!$A1272="","",'Lot Balance'!$A1272)</f>
        <v/>
      </c>
      <c r="B1273" s="18" t="str">
        <f>IF($A1273="","",'Lot Balance'!$B1272)</f>
        <v/>
      </c>
      <c r="C1273" s="18" t="str">
        <f>IF($A1273="","",'Lot Balance'!$C1272)</f>
        <v/>
      </c>
      <c r="D1273" s="25" t="str">
        <f>IF($A1273="","",'Lot Balance'!$G1272)</f>
        <v/>
      </c>
      <c r="E1273" s="25" t="str">
        <f>IF($A1273="","",'Lot Balance'!$H1272)</f>
        <v/>
      </c>
      <c r="F1273" s="23" t="str">
        <f>IF($A1273="","",'Lot Balance'!$I1272)</f>
        <v/>
      </c>
      <c r="G1273" s="23" t="str">
        <f>IF($A1273="","",'Lot Balance'!$O1272)</f>
        <v/>
      </c>
      <c r="H1273" s="33" t="str">
        <f>IF($A1273="","",'Lot Balance'!$P1272)</f>
        <v/>
      </c>
      <c r="I1273" s="26" t="str">
        <f>IF($A1273="","",COUNTIFS(tblIssues[Lot Number],$B1273))</f>
        <v/>
      </c>
      <c r="J1273" s="31" t="str">
        <f>IF($A1273="","",IF('Lot Balance'!$O1272&lt;=0,"Depleted",'Lot Balance'!$Q1272))</f>
        <v/>
      </c>
    </row>
    <row r="1274" spans="1:10" x14ac:dyDescent="0.35">
      <c r="A1274" s="18" t="str">
        <f>IF('Lot Balance'!$A1273="","",'Lot Balance'!$A1273)</f>
        <v/>
      </c>
      <c r="B1274" s="18" t="str">
        <f>IF($A1274="","",'Lot Balance'!$B1273)</f>
        <v/>
      </c>
      <c r="C1274" s="18" t="str">
        <f>IF($A1274="","",'Lot Balance'!$C1273)</f>
        <v/>
      </c>
      <c r="D1274" s="25" t="str">
        <f>IF($A1274="","",'Lot Balance'!$G1273)</f>
        <v/>
      </c>
      <c r="E1274" s="25" t="str">
        <f>IF($A1274="","",'Lot Balance'!$H1273)</f>
        <v/>
      </c>
      <c r="F1274" s="23" t="str">
        <f>IF($A1274="","",'Lot Balance'!$I1273)</f>
        <v/>
      </c>
      <c r="G1274" s="23" t="str">
        <f>IF($A1274="","",'Lot Balance'!$O1273)</f>
        <v/>
      </c>
      <c r="H1274" s="33" t="str">
        <f>IF($A1274="","",'Lot Balance'!$P1273)</f>
        <v/>
      </c>
      <c r="I1274" s="26" t="str">
        <f>IF($A1274="","",COUNTIFS(tblIssues[Lot Number],$B1274))</f>
        <v/>
      </c>
      <c r="J1274" s="31" t="str">
        <f>IF($A1274="","",IF('Lot Balance'!$O1273&lt;=0,"Depleted",'Lot Balance'!$Q1273))</f>
        <v/>
      </c>
    </row>
    <row r="1275" spans="1:10" x14ac:dyDescent="0.35">
      <c r="A1275" s="18" t="str">
        <f>IF('Lot Balance'!$A1274="","",'Lot Balance'!$A1274)</f>
        <v/>
      </c>
      <c r="B1275" s="18" t="str">
        <f>IF($A1275="","",'Lot Balance'!$B1274)</f>
        <v/>
      </c>
      <c r="C1275" s="18" t="str">
        <f>IF($A1275="","",'Lot Balance'!$C1274)</f>
        <v/>
      </c>
      <c r="D1275" s="25" t="str">
        <f>IF($A1275="","",'Lot Balance'!$G1274)</f>
        <v/>
      </c>
      <c r="E1275" s="25" t="str">
        <f>IF($A1275="","",'Lot Balance'!$H1274)</f>
        <v/>
      </c>
      <c r="F1275" s="23" t="str">
        <f>IF($A1275="","",'Lot Balance'!$I1274)</f>
        <v/>
      </c>
      <c r="G1275" s="23" t="str">
        <f>IF($A1275="","",'Lot Balance'!$O1274)</f>
        <v/>
      </c>
      <c r="H1275" s="33" t="str">
        <f>IF($A1275="","",'Lot Balance'!$P1274)</f>
        <v/>
      </c>
      <c r="I1275" s="26" t="str">
        <f>IF($A1275="","",COUNTIFS(tblIssues[Lot Number],$B1275))</f>
        <v/>
      </c>
      <c r="J1275" s="31" t="str">
        <f>IF($A1275="","",IF('Lot Balance'!$O1274&lt;=0,"Depleted",'Lot Balance'!$Q1274))</f>
        <v/>
      </c>
    </row>
    <row r="1276" spans="1:10" x14ac:dyDescent="0.35">
      <c r="A1276" s="18" t="str">
        <f>IF('Lot Balance'!$A1275="","",'Lot Balance'!$A1275)</f>
        <v/>
      </c>
      <c r="B1276" s="18" t="str">
        <f>IF($A1276="","",'Lot Balance'!$B1275)</f>
        <v/>
      </c>
      <c r="C1276" s="18" t="str">
        <f>IF($A1276="","",'Lot Balance'!$C1275)</f>
        <v/>
      </c>
      <c r="D1276" s="25" t="str">
        <f>IF($A1276="","",'Lot Balance'!$G1275)</f>
        <v/>
      </c>
      <c r="E1276" s="25" t="str">
        <f>IF($A1276="","",'Lot Balance'!$H1275)</f>
        <v/>
      </c>
      <c r="F1276" s="23" t="str">
        <f>IF($A1276="","",'Lot Balance'!$I1275)</f>
        <v/>
      </c>
      <c r="G1276" s="23" t="str">
        <f>IF($A1276="","",'Lot Balance'!$O1275)</f>
        <v/>
      </c>
      <c r="H1276" s="33" t="str">
        <f>IF($A1276="","",'Lot Balance'!$P1275)</f>
        <v/>
      </c>
      <c r="I1276" s="26" t="str">
        <f>IF($A1276="","",COUNTIFS(tblIssues[Lot Number],$B1276))</f>
        <v/>
      </c>
      <c r="J1276" s="31" t="str">
        <f>IF($A1276="","",IF('Lot Balance'!$O1275&lt;=0,"Depleted",'Lot Balance'!$Q1275))</f>
        <v/>
      </c>
    </row>
    <row r="1277" spans="1:10" x14ac:dyDescent="0.35">
      <c r="A1277" s="18" t="str">
        <f>IF('Lot Balance'!$A1276="","",'Lot Balance'!$A1276)</f>
        <v/>
      </c>
      <c r="B1277" s="18" t="str">
        <f>IF($A1277="","",'Lot Balance'!$B1276)</f>
        <v/>
      </c>
      <c r="C1277" s="18" t="str">
        <f>IF($A1277="","",'Lot Balance'!$C1276)</f>
        <v/>
      </c>
      <c r="D1277" s="25" t="str">
        <f>IF($A1277="","",'Lot Balance'!$G1276)</f>
        <v/>
      </c>
      <c r="E1277" s="25" t="str">
        <f>IF($A1277="","",'Lot Balance'!$H1276)</f>
        <v/>
      </c>
      <c r="F1277" s="23" t="str">
        <f>IF($A1277="","",'Lot Balance'!$I1276)</f>
        <v/>
      </c>
      <c r="G1277" s="23" t="str">
        <f>IF($A1277="","",'Lot Balance'!$O1276)</f>
        <v/>
      </c>
      <c r="H1277" s="33" t="str">
        <f>IF($A1277="","",'Lot Balance'!$P1276)</f>
        <v/>
      </c>
      <c r="I1277" s="26" t="str">
        <f>IF($A1277="","",COUNTIFS(tblIssues[Lot Number],$B1277))</f>
        <v/>
      </c>
      <c r="J1277" s="31" t="str">
        <f>IF($A1277="","",IF('Lot Balance'!$O1276&lt;=0,"Depleted",'Lot Balance'!$Q1276))</f>
        <v/>
      </c>
    </row>
    <row r="1278" spans="1:10" x14ac:dyDescent="0.35">
      <c r="A1278" s="18" t="str">
        <f>IF('Lot Balance'!$A1277="","",'Lot Balance'!$A1277)</f>
        <v/>
      </c>
      <c r="B1278" s="18" t="str">
        <f>IF($A1278="","",'Lot Balance'!$B1277)</f>
        <v/>
      </c>
      <c r="C1278" s="18" t="str">
        <f>IF($A1278="","",'Lot Balance'!$C1277)</f>
        <v/>
      </c>
      <c r="D1278" s="25" t="str">
        <f>IF($A1278="","",'Lot Balance'!$G1277)</f>
        <v/>
      </c>
      <c r="E1278" s="25" t="str">
        <f>IF($A1278="","",'Lot Balance'!$H1277)</f>
        <v/>
      </c>
      <c r="F1278" s="23" t="str">
        <f>IF($A1278="","",'Lot Balance'!$I1277)</f>
        <v/>
      </c>
      <c r="G1278" s="23" t="str">
        <f>IF($A1278="","",'Lot Balance'!$O1277)</f>
        <v/>
      </c>
      <c r="H1278" s="33" t="str">
        <f>IF($A1278="","",'Lot Balance'!$P1277)</f>
        <v/>
      </c>
      <c r="I1278" s="26" t="str">
        <f>IF($A1278="","",COUNTIFS(tblIssues[Lot Number],$B1278))</f>
        <v/>
      </c>
      <c r="J1278" s="31" t="str">
        <f>IF($A1278="","",IF('Lot Balance'!$O1277&lt;=0,"Depleted",'Lot Balance'!$Q1277))</f>
        <v/>
      </c>
    </row>
    <row r="1279" spans="1:10" x14ac:dyDescent="0.35">
      <c r="A1279" s="18" t="str">
        <f>IF('Lot Balance'!$A1278="","",'Lot Balance'!$A1278)</f>
        <v/>
      </c>
      <c r="B1279" s="18" t="str">
        <f>IF($A1279="","",'Lot Balance'!$B1278)</f>
        <v/>
      </c>
      <c r="C1279" s="18" t="str">
        <f>IF($A1279="","",'Lot Balance'!$C1278)</f>
        <v/>
      </c>
      <c r="D1279" s="25" t="str">
        <f>IF($A1279="","",'Lot Balance'!$G1278)</f>
        <v/>
      </c>
      <c r="E1279" s="25" t="str">
        <f>IF($A1279="","",'Lot Balance'!$H1278)</f>
        <v/>
      </c>
      <c r="F1279" s="23" t="str">
        <f>IF($A1279="","",'Lot Balance'!$I1278)</f>
        <v/>
      </c>
      <c r="G1279" s="23" t="str">
        <f>IF($A1279="","",'Lot Balance'!$O1278)</f>
        <v/>
      </c>
      <c r="H1279" s="33" t="str">
        <f>IF($A1279="","",'Lot Balance'!$P1278)</f>
        <v/>
      </c>
      <c r="I1279" s="26" t="str">
        <f>IF($A1279="","",COUNTIFS(tblIssues[Lot Number],$B1279))</f>
        <v/>
      </c>
      <c r="J1279" s="31" t="str">
        <f>IF($A1279="","",IF('Lot Balance'!$O1278&lt;=0,"Depleted",'Lot Balance'!$Q1278))</f>
        <v/>
      </c>
    </row>
    <row r="1280" spans="1:10" x14ac:dyDescent="0.35">
      <c r="A1280" s="18" t="str">
        <f>IF('Lot Balance'!$A1279="","",'Lot Balance'!$A1279)</f>
        <v/>
      </c>
      <c r="B1280" s="18" t="str">
        <f>IF($A1280="","",'Lot Balance'!$B1279)</f>
        <v/>
      </c>
      <c r="C1280" s="18" t="str">
        <f>IF($A1280="","",'Lot Balance'!$C1279)</f>
        <v/>
      </c>
      <c r="D1280" s="25" t="str">
        <f>IF($A1280="","",'Lot Balance'!$G1279)</f>
        <v/>
      </c>
      <c r="E1280" s="25" t="str">
        <f>IF($A1280="","",'Lot Balance'!$H1279)</f>
        <v/>
      </c>
      <c r="F1280" s="23" t="str">
        <f>IF($A1280="","",'Lot Balance'!$I1279)</f>
        <v/>
      </c>
      <c r="G1280" s="23" t="str">
        <f>IF($A1280="","",'Lot Balance'!$O1279)</f>
        <v/>
      </c>
      <c r="H1280" s="33" t="str">
        <f>IF($A1280="","",'Lot Balance'!$P1279)</f>
        <v/>
      </c>
      <c r="I1280" s="26" t="str">
        <f>IF($A1280="","",COUNTIFS(tblIssues[Lot Number],$B1280))</f>
        <v/>
      </c>
      <c r="J1280" s="31" t="str">
        <f>IF($A1280="","",IF('Lot Balance'!$O1279&lt;=0,"Depleted",'Lot Balance'!$Q1279))</f>
        <v/>
      </c>
    </row>
    <row r="1281" spans="1:10" x14ac:dyDescent="0.35">
      <c r="A1281" s="18" t="str">
        <f>IF('Lot Balance'!$A1280="","",'Lot Balance'!$A1280)</f>
        <v/>
      </c>
      <c r="B1281" s="18" t="str">
        <f>IF($A1281="","",'Lot Balance'!$B1280)</f>
        <v/>
      </c>
      <c r="C1281" s="18" t="str">
        <f>IF($A1281="","",'Lot Balance'!$C1280)</f>
        <v/>
      </c>
      <c r="D1281" s="25" t="str">
        <f>IF($A1281="","",'Lot Balance'!$G1280)</f>
        <v/>
      </c>
      <c r="E1281" s="25" t="str">
        <f>IF($A1281="","",'Lot Balance'!$H1280)</f>
        <v/>
      </c>
      <c r="F1281" s="23" t="str">
        <f>IF($A1281="","",'Lot Balance'!$I1280)</f>
        <v/>
      </c>
      <c r="G1281" s="23" t="str">
        <f>IF($A1281="","",'Lot Balance'!$O1280)</f>
        <v/>
      </c>
      <c r="H1281" s="33" t="str">
        <f>IF($A1281="","",'Lot Balance'!$P1280)</f>
        <v/>
      </c>
      <c r="I1281" s="26" t="str">
        <f>IF($A1281="","",COUNTIFS(tblIssues[Lot Number],$B1281))</f>
        <v/>
      </c>
      <c r="J1281" s="31" t="str">
        <f>IF($A1281="","",IF('Lot Balance'!$O1280&lt;=0,"Depleted",'Lot Balance'!$Q1280))</f>
        <v/>
      </c>
    </row>
    <row r="1282" spans="1:10" x14ac:dyDescent="0.35">
      <c r="A1282" s="18" t="str">
        <f>IF('Lot Balance'!$A1281="","",'Lot Balance'!$A1281)</f>
        <v/>
      </c>
      <c r="B1282" s="18" t="str">
        <f>IF($A1282="","",'Lot Balance'!$B1281)</f>
        <v/>
      </c>
      <c r="C1282" s="18" t="str">
        <f>IF($A1282="","",'Lot Balance'!$C1281)</f>
        <v/>
      </c>
      <c r="D1282" s="25" t="str">
        <f>IF($A1282="","",'Lot Balance'!$G1281)</f>
        <v/>
      </c>
      <c r="E1282" s="25" t="str">
        <f>IF($A1282="","",'Lot Balance'!$H1281)</f>
        <v/>
      </c>
      <c r="F1282" s="23" t="str">
        <f>IF($A1282="","",'Lot Balance'!$I1281)</f>
        <v/>
      </c>
      <c r="G1282" s="23" t="str">
        <f>IF($A1282="","",'Lot Balance'!$O1281)</f>
        <v/>
      </c>
      <c r="H1282" s="33" t="str">
        <f>IF($A1282="","",'Lot Balance'!$P1281)</f>
        <v/>
      </c>
      <c r="I1282" s="26" t="str">
        <f>IF($A1282="","",COUNTIFS(tblIssues[Lot Number],$B1282))</f>
        <v/>
      </c>
      <c r="J1282" s="31" t="str">
        <f>IF($A1282="","",IF('Lot Balance'!$O1281&lt;=0,"Depleted",'Lot Balance'!$Q1281))</f>
        <v/>
      </c>
    </row>
    <row r="1283" spans="1:10" x14ac:dyDescent="0.35">
      <c r="A1283" s="18" t="str">
        <f>IF('Lot Balance'!$A1282="","",'Lot Balance'!$A1282)</f>
        <v/>
      </c>
      <c r="B1283" s="18" t="str">
        <f>IF($A1283="","",'Lot Balance'!$B1282)</f>
        <v/>
      </c>
      <c r="C1283" s="18" t="str">
        <f>IF($A1283="","",'Lot Balance'!$C1282)</f>
        <v/>
      </c>
      <c r="D1283" s="25" t="str">
        <f>IF($A1283="","",'Lot Balance'!$G1282)</f>
        <v/>
      </c>
      <c r="E1283" s="25" t="str">
        <f>IF($A1283="","",'Lot Balance'!$H1282)</f>
        <v/>
      </c>
      <c r="F1283" s="23" t="str">
        <f>IF($A1283="","",'Lot Balance'!$I1282)</f>
        <v/>
      </c>
      <c r="G1283" s="23" t="str">
        <f>IF($A1283="","",'Lot Balance'!$O1282)</f>
        <v/>
      </c>
      <c r="H1283" s="33" t="str">
        <f>IF($A1283="","",'Lot Balance'!$P1282)</f>
        <v/>
      </c>
      <c r="I1283" s="26" t="str">
        <f>IF($A1283="","",COUNTIFS(tblIssues[Lot Number],$B1283))</f>
        <v/>
      </c>
      <c r="J1283" s="31" t="str">
        <f>IF($A1283="","",IF('Lot Balance'!$O1282&lt;=0,"Depleted",'Lot Balance'!$Q1282))</f>
        <v/>
      </c>
    </row>
    <row r="1284" spans="1:10" x14ac:dyDescent="0.35">
      <c r="A1284" s="18" t="str">
        <f>IF('Lot Balance'!$A1283="","",'Lot Balance'!$A1283)</f>
        <v/>
      </c>
      <c r="B1284" s="18" t="str">
        <f>IF($A1284="","",'Lot Balance'!$B1283)</f>
        <v/>
      </c>
      <c r="C1284" s="18" t="str">
        <f>IF($A1284="","",'Lot Balance'!$C1283)</f>
        <v/>
      </c>
      <c r="D1284" s="25" t="str">
        <f>IF($A1284="","",'Lot Balance'!$G1283)</f>
        <v/>
      </c>
      <c r="E1284" s="25" t="str">
        <f>IF($A1284="","",'Lot Balance'!$H1283)</f>
        <v/>
      </c>
      <c r="F1284" s="23" t="str">
        <f>IF($A1284="","",'Lot Balance'!$I1283)</f>
        <v/>
      </c>
      <c r="G1284" s="23" t="str">
        <f>IF($A1284="","",'Lot Balance'!$O1283)</f>
        <v/>
      </c>
      <c r="H1284" s="33" t="str">
        <f>IF($A1284="","",'Lot Balance'!$P1283)</f>
        <v/>
      </c>
      <c r="I1284" s="26" t="str">
        <f>IF($A1284="","",COUNTIFS(tblIssues[Lot Number],$B1284))</f>
        <v/>
      </c>
      <c r="J1284" s="31" t="str">
        <f>IF($A1284="","",IF('Lot Balance'!$O1283&lt;=0,"Depleted",'Lot Balance'!$Q1283))</f>
        <v/>
      </c>
    </row>
    <row r="1285" spans="1:10" x14ac:dyDescent="0.35">
      <c r="A1285" s="18" t="str">
        <f>IF('Lot Balance'!$A1284="","",'Lot Balance'!$A1284)</f>
        <v/>
      </c>
      <c r="B1285" s="18" t="str">
        <f>IF($A1285="","",'Lot Balance'!$B1284)</f>
        <v/>
      </c>
      <c r="C1285" s="18" t="str">
        <f>IF($A1285="","",'Lot Balance'!$C1284)</f>
        <v/>
      </c>
      <c r="D1285" s="25" t="str">
        <f>IF($A1285="","",'Lot Balance'!$G1284)</f>
        <v/>
      </c>
      <c r="E1285" s="25" t="str">
        <f>IF($A1285="","",'Lot Balance'!$H1284)</f>
        <v/>
      </c>
      <c r="F1285" s="23" t="str">
        <f>IF($A1285="","",'Lot Balance'!$I1284)</f>
        <v/>
      </c>
      <c r="G1285" s="23" t="str">
        <f>IF($A1285="","",'Lot Balance'!$O1284)</f>
        <v/>
      </c>
      <c r="H1285" s="33" t="str">
        <f>IF($A1285="","",'Lot Balance'!$P1284)</f>
        <v/>
      </c>
      <c r="I1285" s="26" t="str">
        <f>IF($A1285="","",COUNTIFS(tblIssues[Lot Number],$B1285))</f>
        <v/>
      </c>
      <c r="J1285" s="31" t="str">
        <f>IF($A1285="","",IF('Lot Balance'!$O1284&lt;=0,"Depleted",'Lot Balance'!$Q1284))</f>
        <v/>
      </c>
    </row>
    <row r="1286" spans="1:10" x14ac:dyDescent="0.35">
      <c r="A1286" s="18" t="str">
        <f>IF('Lot Balance'!$A1285="","",'Lot Balance'!$A1285)</f>
        <v/>
      </c>
      <c r="B1286" s="18" t="str">
        <f>IF($A1286="","",'Lot Balance'!$B1285)</f>
        <v/>
      </c>
      <c r="C1286" s="18" t="str">
        <f>IF($A1286="","",'Lot Balance'!$C1285)</f>
        <v/>
      </c>
      <c r="D1286" s="25" t="str">
        <f>IF($A1286="","",'Lot Balance'!$G1285)</f>
        <v/>
      </c>
      <c r="E1286" s="25" t="str">
        <f>IF($A1286="","",'Lot Balance'!$H1285)</f>
        <v/>
      </c>
      <c r="F1286" s="23" t="str">
        <f>IF($A1286="","",'Lot Balance'!$I1285)</f>
        <v/>
      </c>
      <c r="G1286" s="23" t="str">
        <f>IF($A1286="","",'Lot Balance'!$O1285)</f>
        <v/>
      </c>
      <c r="H1286" s="33" t="str">
        <f>IF($A1286="","",'Lot Balance'!$P1285)</f>
        <v/>
      </c>
      <c r="I1286" s="26" t="str">
        <f>IF($A1286="","",COUNTIFS(tblIssues[Lot Number],$B1286))</f>
        <v/>
      </c>
      <c r="J1286" s="31" t="str">
        <f>IF($A1286="","",IF('Lot Balance'!$O1285&lt;=0,"Depleted",'Lot Balance'!$Q1285))</f>
        <v/>
      </c>
    </row>
    <row r="1287" spans="1:10" x14ac:dyDescent="0.35">
      <c r="A1287" s="18" t="str">
        <f>IF('Lot Balance'!$A1286="","",'Lot Balance'!$A1286)</f>
        <v/>
      </c>
      <c r="B1287" s="18" t="str">
        <f>IF($A1287="","",'Lot Balance'!$B1286)</f>
        <v/>
      </c>
      <c r="C1287" s="18" t="str">
        <f>IF($A1287="","",'Lot Balance'!$C1286)</f>
        <v/>
      </c>
      <c r="D1287" s="25" t="str">
        <f>IF($A1287="","",'Lot Balance'!$G1286)</f>
        <v/>
      </c>
      <c r="E1287" s="25" t="str">
        <f>IF($A1287="","",'Lot Balance'!$H1286)</f>
        <v/>
      </c>
      <c r="F1287" s="23" t="str">
        <f>IF($A1287="","",'Lot Balance'!$I1286)</f>
        <v/>
      </c>
      <c r="G1287" s="23" t="str">
        <f>IF($A1287="","",'Lot Balance'!$O1286)</f>
        <v/>
      </c>
      <c r="H1287" s="33" t="str">
        <f>IF($A1287="","",'Lot Balance'!$P1286)</f>
        <v/>
      </c>
      <c r="I1287" s="26" t="str">
        <f>IF($A1287="","",COUNTIFS(tblIssues[Lot Number],$B1287))</f>
        <v/>
      </c>
      <c r="J1287" s="31" t="str">
        <f>IF($A1287="","",IF('Lot Balance'!$O1286&lt;=0,"Depleted",'Lot Balance'!$Q1286))</f>
        <v/>
      </c>
    </row>
    <row r="1288" spans="1:10" x14ac:dyDescent="0.35">
      <c r="A1288" s="18" t="str">
        <f>IF('Lot Balance'!$A1287="","",'Lot Balance'!$A1287)</f>
        <v/>
      </c>
      <c r="B1288" s="18" t="str">
        <f>IF($A1288="","",'Lot Balance'!$B1287)</f>
        <v/>
      </c>
      <c r="C1288" s="18" t="str">
        <f>IF($A1288="","",'Lot Balance'!$C1287)</f>
        <v/>
      </c>
      <c r="D1288" s="25" t="str">
        <f>IF($A1288="","",'Lot Balance'!$G1287)</f>
        <v/>
      </c>
      <c r="E1288" s="25" t="str">
        <f>IF($A1288="","",'Lot Balance'!$H1287)</f>
        <v/>
      </c>
      <c r="F1288" s="23" t="str">
        <f>IF($A1288="","",'Lot Balance'!$I1287)</f>
        <v/>
      </c>
      <c r="G1288" s="23" t="str">
        <f>IF($A1288="","",'Lot Balance'!$O1287)</f>
        <v/>
      </c>
      <c r="H1288" s="33" t="str">
        <f>IF($A1288="","",'Lot Balance'!$P1287)</f>
        <v/>
      </c>
      <c r="I1288" s="26" t="str">
        <f>IF($A1288="","",COUNTIFS(tblIssues[Lot Number],$B1288))</f>
        <v/>
      </c>
      <c r="J1288" s="31" t="str">
        <f>IF($A1288="","",IF('Lot Balance'!$O1287&lt;=0,"Depleted",'Lot Balance'!$Q1287))</f>
        <v/>
      </c>
    </row>
    <row r="1289" spans="1:10" x14ac:dyDescent="0.35">
      <c r="A1289" s="18" t="str">
        <f>IF('Lot Balance'!$A1288="","",'Lot Balance'!$A1288)</f>
        <v/>
      </c>
      <c r="B1289" s="18" t="str">
        <f>IF($A1289="","",'Lot Balance'!$B1288)</f>
        <v/>
      </c>
      <c r="C1289" s="18" t="str">
        <f>IF($A1289="","",'Lot Balance'!$C1288)</f>
        <v/>
      </c>
      <c r="D1289" s="25" t="str">
        <f>IF($A1289="","",'Lot Balance'!$G1288)</f>
        <v/>
      </c>
      <c r="E1289" s="25" t="str">
        <f>IF($A1289="","",'Lot Balance'!$H1288)</f>
        <v/>
      </c>
      <c r="F1289" s="23" t="str">
        <f>IF($A1289="","",'Lot Balance'!$I1288)</f>
        <v/>
      </c>
      <c r="G1289" s="23" t="str">
        <f>IF($A1289="","",'Lot Balance'!$O1288)</f>
        <v/>
      </c>
      <c r="H1289" s="33" t="str">
        <f>IF($A1289="","",'Lot Balance'!$P1288)</f>
        <v/>
      </c>
      <c r="I1289" s="26" t="str">
        <f>IF($A1289="","",COUNTIFS(tblIssues[Lot Number],$B1289))</f>
        <v/>
      </c>
      <c r="J1289" s="31" t="str">
        <f>IF($A1289="","",IF('Lot Balance'!$O1288&lt;=0,"Depleted",'Lot Balance'!$Q1288))</f>
        <v/>
      </c>
    </row>
    <row r="1290" spans="1:10" x14ac:dyDescent="0.35">
      <c r="A1290" s="18" t="str">
        <f>IF('Lot Balance'!$A1289="","",'Lot Balance'!$A1289)</f>
        <v/>
      </c>
      <c r="B1290" s="18" t="str">
        <f>IF($A1290="","",'Lot Balance'!$B1289)</f>
        <v/>
      </c>
      <c r="C1290" s="18" t="str">
        <f>IF($A1290="","",'Lot Balance'!$C1289)</f>
        <v/>
      </c>
      <c r="D1290" s="25" t="str">
        <f>IF($A1290="","",'Lot Balance'!$G1289)</f>
        <v/>
      </c>
      <c r="E1290" s="25" t="str">
        <f>IF($A1290="","",'Lot Balance'!$H1289)</f>
        <v/>
      </c>
      <c r="F1290" s="23" t="str">
        <f>IF($A1290="","",'Lot Balance'!$I1289)</f>
        <v/>
      </c>
      <c r="G1290" s="23" t="str">
        <f>IF($A1290="","",'Lot Balance'!$O1289)</f>
        <v/>
      </c>
      <c r="H1290" s="33" t="str">
        <f>IF($A1290="","",'Lot Balance'!$P1289)</f>
        <v/>
      </c>
      <c r="I1290" s="26" t="str">
        <f>IF($A1290="","",COUNTIFS(tblIssues[Lot Number],$B1290))</f>
        <v/>
      </c>
      <c r="J1290" s="31" t="str">
        <f>IF($A1290="","",IF('Lot Balance'!$O1289&lt;=0,"Depleted",'Lot Balance'!$Q1289))</f>
        <v/>
      </c>
    </row>
    <row r="1291" spans="1:10" x14ac:dyDescent="0.35">
      <c r="A1291" s="18" t="str">
        <f>IF('Lot Balance'!$A1290="","",'Lot Balance'!$A1290)</f>
        <v/>
      </c>
      <c r="B1291" s="18" t="str">
        <f>IF($A1291="","",'Lot Balance'!$B1290)</f>
        <v/>
      </c>
      <c r="C1291" s="18" t="str">
        <f>IF($A1291="","",'Lot Balance'!$C1290)</f>
        <v/>
      </c>
      <c r="D1291" s="25" t="str">
        <f>IF($A1291="","",'Lot Balance'!$G1290)</f>
        <v/>
      </c>
      <c r="E1291" s="25" t="str">
        <f>IF($A1291="","",'Lot Balance'!$H1290)</f>
        <v/>
      </c>
      <c r="F1291" s="23" t="str">
        <f>IF($A1291="","",'Lot Balance'!$I1290)</f>
        <v/>
      </c>
      <c r="G1291" s="23" t="str">
        <f>IF($A1291="","",'Lot Balance'!$O1290)</f>
        <v/>
      </c>
      <c r="H1291" s="33" t="str">
        <f>IF($A1291="","",'Lot Balance'!$P1290)</f>
        <v/>
      </c>
      <c r="I1291" s="26" t="str">
        <f>IF($A1291="","",COUNTIFS(tblIssues[Lot Number],$B1291))</f>
        <v/>
      </c>
      <c r="J1291" s="31" t="str">
        <f>IF($A1291="","",IF('Lot Balance'!$O1290&lt;=0,"Depleted",'Lot Balance'!$Q1290))</f>
        <v/>
      </c>
    </row>
    <row r="1292" spans="1:10" x14ac:dyDescent="0.35">
      <c r="A1292" s="18" t="str">
        <f>IF('Lot Balance'!$A1291="","",'Lot Balance'!$A1291)</f>
        <v/>
      </c>
      <c r="B1292" s="18" t="str">
        <f>IF($A1292="","",'Lot Balance'!$B1291)</f>
        <v/>
      </c>
      <c r="C1292" s="18" t="str">
        <f>IF($A1292="","",'Lot Balance'!$C1291)</f>
        <v/>
      </c>
      <c r="D1292" s="25" t="str">
        <f>IF($A1292="","",'Lot Balance'!$G1291)</f>
        <v/>
      </c>
      <c r="E1292" s="25" t="str">
        <f>IF($A1292="","",'Lot Balance'!$H1291)</f>
        <v/>
      </c>
      <c r="F1292" s="23" t="str">
        <f>IF($A1292="","",'Lot Balance'!$I1291)</f>
        <v/>
      </c>
      <c r="G1292" s="23" t="str">
        <f>IF($A1292="","",'Lot Balance'!$O1291)</f>
        <v/>
      </c>
      <c r="H1292" s="33" t="str">
        <f>IF($A1292="","",'Lot Balance'!$P1291)</f>
        <v/>
      </c>
      <c r="I1292" s="26" t="str">
        <f>IF($A1292="","",COUNTIFS(tblIssues[Lot Number],$B1292))</f>
        <v/>
      </c>
      <c r="J1292" s="31" t="str">
        <f>IF($A1292="","",IF('Lot Balance'!$O1291&lt;=0,"Depleted",'Lot Balance'!$Q1291))</f>
        <v/>
      </c>
    </row>
    <row r="1293" spans="1:10" x14ac:dyDescent="0.35">
      <c r="A1293" s="18" t="str">
        <f>IF('Lot Balance'!$A1292="","",'Lot Balance'!$A1292)</f>
        <v/>
      </c>
      <c r="B1293" s="18" t="str">
        <f>IF($A1293="","",'Lot Balance'!$B1292)</f>
        <v/>
      </c>
      <c r="C1293" s="18" t="str">
        <f>IF($A1293="","",'Lot Balance'!$C1292)</f>
        <v/>
      </c>
      <c r="D1293" s="25" t="str">
        <f>IF($A1293="","",'Lot Balance'!$G1292)</f>
        <v/>
      </c>
      <c r="E1293" s="25" t="str">
        <f>IF($A1293="","",'Lot Balance'!$H1292)</f>
        <v/>
      </c>
      <c r="F1293" s="23" t="str">
        <f>IF($A1293="","",'Lot Balance'!$I1292)</f>
        <v/>
      </c>
      <c r="G1293" s="23" t="str">
        <f>IF($A1293="","",'Lot Balance'!$O1292)</f>
        <v/>
      </c>
      <c r="H1293" s="33" t="str">
        <f>IF($A1293="","",'Lot Balance'!$P1292)</f>
        <v/>
      </c>
      <c r="I1293" s="26" t="str">
        <f>IF($A1293="","",COUNTIFS(tblIssues[Lot Number],$B1293))</f>
        <v/>
      </c>
      <c r="J1293" s="31" t="str">
        <f>IF($A1293="","",IF('Lot Balance'!$O1292&lt;=0,"Depleted",'Lot Balance'!$Q1292))</f>
        <v/>
      </c>
    </row>
    <row r="1294" spans="1:10" x14ac:dyDescent="0.35">
      <c r="A1294" s="18" t="str">
        <f>IF('Lot Balance'!$A1293="","",'Lot Balance'!$A1293)</f>
        <v/>
      </c>
      <c r="B1294" s="18" t="str">
        <f>IF($A1294="","",'Lot Balance'!$B1293)</f>
        <v/>
      </c>
      <c r="C1294" s="18" t="str">
        <f>IF($A1294="","",'Lot Balance'!$C1293)</f>
        <v/>
      </c>
      <c r="D1294" s="25" t="str">
        <f>IF($A1294="","",'Lot Balance'!$G1293)</f>
        <v/>
      </c>
      <c r="E1294" s="25" t="str">
        <f>IF($A1294="","",'Lot Balance'!$H1293)</f>
        <v/>
      </c>
      <c r="F1294" s="23" t="str">
        <f>IF($A1294="","",'Lot Balance'!$I1293)</f>
        <v/>
      </c>
      <c r="G1294" s="23" t="str">
        <f>IF($A1294="","",'Lot Balance'!$O1293)</f>
        <v/>
      </c>
      <c r="H1294" s="33" t="str">
        <f>IF($A1294="","",'Lot Balance'!$P1293)</f>
        <v/>
      </c>
      <c r="I1294" s="26" t="str">
        <f>IF($A1294="","",COUNTIFS(tblIssues[Lot Number],$B1294))</f>
        <v/>
      </c>
      <c r="J1294" s="31" t="str">
        <f>IF($A1294="","",IF('Lot Balance'!$O1293&lt;=0,"Depleted",'Lot Balance'!$Q1293))</f>
        <v/>
      </c>
    </row>
    <row r="1295" spans="1:10" x14ac:dyDescent="0.35">
      <c r="A1295" s="18" t="str">
        <f>IF('Lot Balance'!$A1294="","",'Lot Balance'!$A1294)</f>
        <v/>
      </c>
      <c r="B1295" s="18" t="str">
        <f>IF($A1295="","",'Lot Balance'!$B1294)</f>
        <v/>
      </c>
      <c r="C1295" s="18" t="str">
        <f>IF($A1295="","",'Lot Balance'!$C1294)</f>
        <v/>
      </c>
      <c r="D1295" s="25" t="str">
        <f>IF($A1295="","",'Lot Balance'!$G1294)</f>
        <v/>
      </c>
      <c r="E1295" s="25" t="str">
        <f>IF($A1295="","",'Lot Balance'!$H1294)</f>
        <v/>
      </c>
      <c r="F1295" s="23" t="str">
        <f>IF($A1295="","",'Lot Balance'!$I1294)</f>
        <v/>
      </c>
      <c r="G1295" s="23" t="str">
        <f>IF($A1295="","",'Lot Balance'!$O1294)</f>
        <v/>
      </c>
      <c r="H1295" s="33" t="str">
        <f>IF($A1295="","",'Lot Balance'!$P1294)</f>
        <v/>
      </c>
      <c r="I1295" s="26" t="str">
        <f>IF($A1295="","",COUNTIFS(tblIssues[Lot Number],$B1295))</f>
        <v/>
      </c>
      <c r="J1295" s="31" t="str">
        <f>IF($A1295="","",IF('Lot Balance'!$O1294&lt;=0,"Depleted",'Lot Balance'!$Q1294))</f>
        <v/>
      </c>
    </row>
    <row r="1296" spans="1:10" x14ac:dyDescent="0.35">
      <c r="A1296" s="18" t="str">
        <f>IF('Lot Balance'!$A1295="","",'Lot Balance'!$A1295)</f>
        <v/>
      </c>
      <c r="B1296" s="18" t="str">
        <f>IF($A1296="","",'Lot Balance'!$B1295)</f>
        <v/>
      </c>
      <c r="C1296" s="18" t="str">
        <f>IF($A1296="","",'Lot Balance'!$C1295)</f>
        <v/>
      </c>
      <c r="D1296" s="25" t="str">
        <f>IF($A1296="","",'Lot Balance'!$G1295)</f>
        <v/>
      </c>
      <c r="E1296" s="25" t="str">
        <f>IF($A1296="","",'Lot Balance'!$H1295)</f>
        <v/>
      </c>
      <c r="F1296" s="23" t="str">
        <f>IF($A1296="","",'Lot Balance'!$I1295)</f>
        <v/>
      </c>
      <c r="G1296" s="23" t="str">
        <f>IF($A1296="","",'Lot Balance'!$O1295)</f>
        <v/>
      </c>
      <c r="H1296" s="33" t="str">
        <f>IF($A1296="","",'Lot Balance'!$P1295)</f>
        <v/>
      </c>
      <c r="I1296" s="26" t="str">
        <f>IF($A1296="","",COUNTIFS(tblIssues[Lot Number],$B1296))</f>
        <v/>
      </c>
      <c r="J1296" s="31" t="str">
        <f>IF($A1296="","",IF('Lot Balance'!$O1295&lt;=0,"Depleted",'Lot Balance'!$Q1295))</f>
        <v/>
      </c>
    </row>
    <row r="1297" spans="1:10" x14ac:dyDescent="0.35">
      <c r="A1297" s="18" t="str">
        <f>IF('Lot Balance'!$A1296="","",'Lot Balance'!$A1296)</f>
        <v/>
      </c>
      <c r="B1297" s="18" t="str">
        <f>IF($A1297="","",'Lot Balance'!$B1296)</f>
        <v/>
      </c>
      <c r="C1297" s="18" t="str">
        <f>IF($A1297="","",'Lot Balance'!$C1296)</f>
        <v/>
      </c>
      <c r="D1297" s="25" t="str">
        <f>IF($A1297="","",'Lot Balance'!$G1296)</f>
        <v/>
      </c>
      <c r="E1297" s="25" t="str">
        <f>IF($A1297="","",'Lot Balance'!$H1296)</f>
        <v/>
      </c>
      <c r="F1297" s="23" t="str">
        <f>IF($A1297="","",'Lot Balance'!$I1296)</f>
        <v/>
      </c>
      <c r="G1297" s="23" t="str">
        <f>IF($A1297="","",'Lot Balance'!$O1296)</f>
        <v/>
      </c>
      <c r="H1297" s="33" t="str">
        <f>IF($A1297="","",'Lot Balance'!$P1296)</f>
        <v/>
      </c>
      <c r="I1297" s="26" t="str">
        <f>IF($A1297="","",COUNTIFS(tblIssues[Lot Number],$B1297))</f>
        <v/>
      </c>
      <c r="J1297" s="31" t="str">
        <f>IF($A1297="","",IF('Lot Balance'!$O1296&lt;=0,"Depleted",'Lot Balance'!$Q1296))</f>
        <v/>
      </c>
    </row>
    <row r="1298" spans="1:10" x14ac:dyDescent="0.35">
      <c r="A1298" s="18" t="str">
        <f>IF('Lot Balance'!$A1297="","",'Lot Balance'!$A1297)</f>
        <v/>
      </c>
      <c r="B1298" s="18" t="str">
        <f>IF($A1298="","",'Lot Balance'!$B1297)</f>
        <v/>
      </c>
      <c r="C1298" s="18" t="str">
        <f>IF($A1298="","",'Lot Balance'!$C1297)</f>
        <v/>
      </c>
      <c r="D1298" s="25" t="str">
        <f>IF($A1298="","",'Lot Balance'!$G1297)</f>
        <v/>
      </c>
      <c r="E1298" s="25" t="str">
        <f>IF($A1298="","",'Lot Balance'!$H1297)</f>
        <v/>
      </c>
      <c r="F1298" s="23" t="str">
        <f>IF($A1298="","",'Lot Balance'!$I1297)</f>
        <v/>
      </c>
      <c r="G1298" s="23" t="str">
        <f>IF($A1298="","",'Lot Balance'!$O1297)</f>
        <v/>
      </c>
      <c r="H1298" s="33" t="str">
        <f>IF($A1298="","",'Lot Balance'!$P1297)</f>
        <v/>
      </c>
      <c r="I1298" s="26" t="str">
        <f>IF($A1298="","",COUNTIFS(tblIssues[Lot Number],$B1298))</f>
        <v/>
      </c>
      <c r="J1298" s="31" t="str">
        <f>IF($A1298="","",IF('Lot Balance'!$O1297&lt;=0,"Depleted",'Lot Balance'!$Q1297))</f>
        <v/>
      </c>
    </row>
    <row r="1299" spans="1:10" x14ac:dyDescent="0.35">
      <c r="A1299" s="18" t="str">
        <f>IF('Lot Balance'!$A1298="","",'Lot Balance'!$A1298)</f>
        <v/>
      </c>
      <c r="B1299" s="18" t="str">
        <f>IF($A1299="","",'Lot Balance'!$B1298)</f>
        <v/>
      </c>
      <c r="C1299" s="18" t="str">
        <f>IF($A1299="","",'Lot Balance'!$C1298)</f>
        <v/>
      </c>
      <c r="D1299" s="25" t="str">
        <f>IF($A1299="","",'Lot Balance'!$G1298)</f>
        <v/>
      </c>
      <c r="E1299" s="25" t="str">
        <f>IF($A1299="","",'Lot Balance'!$H1298)</f>
        <v/>
      </c>
      <c r="F1299" s="23" t="str">
        <f>IF($A1299="","",'Lot Balance'!$I1298)</f>
        <v/>
      </c>
      <c r="G1299" s="23" t="str">
        <f>IF($A1299="","",'Lot Balance'!$O1298)</f>
        <v/>
      </c>
      <c r="H1299" s="33" t="str">
        <f>IF($A1299="","",'Lot Balance'!$P1298)</f>
        <v/>
      </c>
      <c r="I1299" s="26" t="str">
        <f>IF($A1299="","",COUNTIFS(tblIssues[Lot Number],$B1299))</f>
        <v/>
      </c>
      <c r="J1299" s="31" t="str">
        <f>IF($A1299="","",IF('Lot Balance'!$O1298&lt;=0,"Depleted",'Lot Balance'!$Q1298))</f>
        <v/>
      </c>
    </row>
    <row r="1300" spans="1:10" x14ac:dyDescent="0.35">
      <c r="A1300" s="18" t="str">
        <f>IF('Lot Balance'!$A1299="","",'Lot Balance'!$A1299)</f>
        <v/>
      </c>
      <c r="B1300" s="18" t="str">
        <f>IF($A1300="","",'Lot Balance'!$B1299)</f>
        <v/>
      </c>
      <c r="C1300" s="18" t="str">
        <f>IF($A1300="","",'Lot Balance'!$C1299)</f>
        <v/>
      </c>
      <c r="D1300" s="25" t="str">
        <f>IF($A1300="","",'Lot Balance'!$G1299)</f>
        <v/>
      </c>
      <c r="E1300" s="25" t="str">
        <f>IF($A1300="","",'Lot Balance'!$H1299)</f>
        <v/>
      </c>
      <c r="F1300" s="23" t="str">
        <f>IF($A1300="","",'Lot Balance'!$I1299)</f>
        <v/>
      </c>
      <c r="G1300" s="23" t="str">
        <f>IF($A1300="","",'Lot Balance'!$O1299)</f>
        <v/>
      </c>
      <c r="H1300" s="33" t="str">
        <f>IF($A1300="","",'Lot Balance'!$P1299)</f>
        <v/>
      </c>
      <c r="I1300" s="26" t="str">
        <f>IF($A1300="","",COUNTIFS(tblIssues[Lot Number],$B1300))</f>
        <v/>
      </c>
      <c r="J1300" s="31" t="str">
        <f>IF($A1300="","",IF('Lot Balance'!$O1299&lt;=0,"Depleted",'Lot Balance'!$Q1299))</f>
        <v/>
      </c>
    </row>
    <row r="1301" spans="1:10" x14ac:dyDescent="0.35">
      <c r="A1301" s="18" t="str">
        <f>IF('Lot Balance'!$A1300="","",'Lot Balance'!$A1300)</f>
        <v/>
      </c>
      <c r="B1301" s="18" t="str">
        <f>IF($A1301="","",'Lot Balance'!$B1300)</f>
        <v/>
      </c>
      <c r="C1301" s="18" t="str">
        <f>IF($A1301="","",'Lot Balance'!$C1300)</f>
        <v/>
      </c>
      <c r="D1301" s="25" t="str">
        <f>IF($A1301="","",'Lot Balance'!$G1300)</f>
        <v/>
      </c>
      <c r="E1301" s="25" t="str">
        <f>IF($A1301="","",'Lot Balance'!$H1300)</f>
        <v/>
      </c>
      <c r="F1301" s="23" t="str">
        <f>IF($A1301="","",'Lot Balance'!$I1300)</f>
        <v/>
      </c>
      <c r="G1301" s="23" t="str">
        <f>IF($A1301="","",'Lot Balance'!$O1300)</f>
        <v/>
      </c>
      <c r="H1301" s="33" t="str">
        <f>IF($A1301="","",'Lot Balance'!$P1300)</f>
        <v/>
      </c>
      <c r="I1301" s="26" t="str">
        <f>IF($A1301="","",COUNTIFS(tblIssues[Lot Number],$B1301))</f>
        <v/>
      </c>
      <c r="J1301" s="31" t="str">
        <f>IF($A1301="","",IF('Lot Balance'!$O1300&lt;=0,"Depleted",'Lot Balance'!$Q1300))</f>
        <v/>
      </c>
    </row>
    <row r="1302" spans="1:10" x14ac:dyDescent="0.35">
      <c r="A1302" s="18" t="str">
        <f>IF('Lot Balance'!$A1301="","",'Lot Balance'!$A1301)</f>
        <v/>
      </c>
      <c r="B1302" s="18" t="str">
        <f>IF($A1302="","",'Lot Balance'!$B1301)</f>
        <v/>
      </c>
      <c r="C1302" s="18" t="str">
        <f>IF($A1302="","",'Lot Balance'!$C1301)</f>
        <v/>
      </c>
      <c r="D1302" s="25" t="str">
        <f>IF($A1302="","",'Lot Balance'!$G1301)</f>
        <v/>
      </c>
      <c r="E1302" s="25" t="str">
        <f>IF($A1302="","",'Lot Balance'!$H1301)</f>
        <v/>
      </c>
      <c r="F1302" s="23" t="str">
        <f>IF($A1302="","",'Lot Balance'!$I1301)</f>
        <v/>
      </c>
      <c r="G1302" s="23" t="str">
        <f>IF($A1302="","",'Lot Balance'!$O1301)</f>
        <v/>
      </c>
      <c r="H1302" s="33" t="str">
        <f>IF($A1302="","",'Lot Balance'!$P1301)</f>
        <v/>
      </c>
      <c r="I1302" s="26" t="str">
        <f>IF($A1302="","",COUNTIFS(tblIssues[Lot Number],$B1302))</f>
        <v/>
      </c>
      <c r="J1302" s="31" t="str">
        <f>IF($A1302="","",IF('Lot Balance'!$O1301&lt;=0,"Depleted",'Lot Balance'!$Q1301))</f>
        <v/>
      </c>
    </row>
    <row r="1303" spans="1:10" x14ac:dyDescent="0.35">
      <c r="A1303" s="18" t="str">
        <f>IF('Lot Balance'!$A1302="","",'Lot Balance'!$A1302)</f>
        <v/>
      </c>
      <c r="B1303" s="18" t="str">
        <f>IF($A1303="","",'Lot Balance'!$B1302)</f>
        <v/>
      </c>
      <c r="C1303" s="18" t="str">
        <f>IF($A1303="","",'Lot Balance'!$C1302)</f>
        <v/>
      </c>
      <c r="D1303" s="25" t="str">
        <f>IF($A1303="","",'Lot Balance'!$G1302)</f>
        <v/>
      </c>
      <c r="E1303" s="25" t="str">
        <f>IF($A1303="","",'Lot Balance'!$H1302)</f>
        <v/>
      </c>
      <c r="F1303" s="23" t="str">
        <f>IF($A1303="","",'Lot Balance'!$I1302)</f>
        <v/>
      </c>
      <c r="G1303" s="23" t="str">
        <f>IF($A1303="","",'Lot Balance'!$O1302)</f>
        <v/>
      </c>
      <c r="H1303" s="33" t="str">
        <f>IF($A1303="","",'Lot Balance'!$P1302)</f>
        <v/>
      </c>
      <c r="I1303" s="26" t="str">
        <f>IF($A1303="","",COUNTIFS(tblIssues[Lot Number],$B1303))</f>
        <v/>
      </c>
      <c r="J1303" s="31" t="str">
        <f>IF($A1303="","",IF('Lot Balance'!$O1302&lt;=0,"Depleted",'Lot Balance'!$Q1302))</f>
        <v/>
      </c>
    </row>
    <row r="1304" spans="1:10" x14ac:dyDescent="0.35">
      <c r="A1304" s="18" t="str">
        <f>IF('Lot Balance'!$A1303="","",'Lot Balance'!$A1303)</f>
        <v/>
      </c>
      <c r="B1304" s="18" t="str">
        <f>IF($A1304="","",'Lot Balance'!$B1303)</f>
        <v/>
      </c>
      <c r="C1304" s="18" t="str">
        <f>IF($A1304="","",'Lot Balance'!$C1303)</f>
        <v/>
      </c>
      <c r="D1304" s="25" t="str">
        <f>IF($A1304="","",'Lot Balance'!$G1303)</f>
        <v/>
      </c>
      <c r="E1304" s="25" t="str">
        <f>IF($A1304="","",'Lot Balance'!$H1303)</f>
        <v/>
      </c>
      <c r="F1304" s="23" t="str">
        <f>IF($A1304="","",'Lot Balance'!$I1303)</f>
        <v/>
      </c>
      <c r="G1304" s="23" t="str">
        <f>IF($A1304="","",'Lot Balance'!$O1303)</f>
        <v/>
      </c>
      <c r="H1304" s="33" t="str">
        <f>IF($A1304="","",'Lot Balance'!$P1303)</f>
        <v/>
      </c>
      <c r="I1304" s="26" t="str">
        <f>IF($A1304="","",COUNTIFS(tblIssues[Lot Number],$B1304))</f>
        <v/>
      </c>
      <c r="J1304" s="31" t="str">
        <f>IF($A1304="","",IF('Lot Balance'!$O1303&lt;=0,"Depleted",'Lot Balance'!$Q1303))</f>
        <v/>
      </c>
    </row>
    <row r="1305" spans="1:10" x14ac:dyDescent="0.35">
      <c r="A1305" s="18" t="str">
        <f>IF('Lot Balance'!$A1304="","",'Lot Balance'!$A1304)</f>
        <v/>
      </c>
      <c r="B1305" s="18" t="str">
        <f>IF($A1305="","",'Lot Balance'!$B1304)</f>
        <v/>
      </c>
      <c r="C1305" s="18" t="str">
        <f>IF($A1305="","",'Lot Balance'!$C1304)</f>
        <v/>
      </c>
      <c r="D1305" s="25" t="str">
        <f>IF($A1305="","",'Lot Balance'!$G1304)</f>
        <v/>
      </c>
      <c r="E1305" s="25" t="str">
        <f>IF($A1305="","",'Lot Balance'!$H1304)</f>
        <v/>
      </c>
      <c r="F1305" s="23" t="str">
        <f>IF($A1305="","",'Lot Balance'!$I1304)</f>
        <v/>
      </c>
      <c r="G1305" s="23" t="str">
        <f>IF($A1305="","",'Lot Balance'!$O1304)</f>
        <v/>
      </c>
      <c r="H1305" s="33" t="str">
        <f>IF($A1305="","",'Lot Balance'!$P1304)</f>
        <v/>
      </c>
      <c r="I1305" s="26" t="str">
        <f>IF($A1305="","",COUNTIFS(tblIssues[Lot Number],$B1305))</f>
        <v/>
      </c>
      <c r="J1305" s="31" t="str">
        <f>IF($A1305="","",IF('Lot Balance'!$O1304&lt;=0,"Depleted",'Lot Balance'!$Q1304))</f>
        <v/>
      </c>
    </row>
    <row r="1306" spans="1:10" x14ac:dyDescent="0.35">
      <c r="A1306" s="18" t="str">
        <f>IF('Lot Balance'!$A1305="","",'Lot Balance'!$A1305)</f>
        <v/>
      </c>
      <c r="B1306" s="18" t="str">
        <f>IF($A1306="","",'Lot Balance'!$B1305)</f>
        <v/>
      </c>
      <c r="C1306" s="18" t="str">
        <f>IF($A1306="","",'Lot Balance'!$C1305)</f>
        <v/>
      </c>
      <c r="D1306" s="25" t="str">
        <f>IF($A1306="","",'Lot Balance'!$G1305)</f>
        <v/>
      </c>
      <c r="E1306" s="25" t="str">
        <f>IF($A1306="","",'Lot Balance'!$H1305)</f>
        <v/>
      </c>
      <c r="F1306" s="23" t="str">
        <f>IF($A1306="","",'Lot Balance'!$I1305)</f>
        <v/>
      </c>
      <c r="G1306" s="23" t="str">
        <f>IF($A1306="","",'Lot Balance'!$O1305)</f>
        <v/>
      </c>
      <c r="H1306" s="33" t="str">
        <f>IF($A1306="","",'Lot Balance'!$P1305)</f>
        <v/>
      </c>
      <c r="I1306" s="26" t="str">
        <f>IF($A1306="","",COUNTIFS(tblIssues[Lot Number],$B1306))</f>
        <v/>
      </c>
      <c r="J1306" s="31" t="str">
        <f>IF($A1306="","",IF('Lot Balance'!$O1305&lt;=0,"Depleted",'Lot Balance'!$Q1305))</f>
        <v/>
      </c>
    </row>
    <row r="1307" spans="1:10" x14ac:dyDescent="0.35">
      <c r="A1307" s="18" t="str">
        <f>IF('Lot Balance'!$A1306="","",'Lot Balance'!$A1306)</f>
        <v/>
      </c>
      <c r="B1307" s="18" t="str">
        <f>IF($A1307="","",'Lot Balance'!$B1306)</f>
        <v/>
      </c>
      <c r="C1307" s="18" t="str">
        <f>IF($A1307="","",'Lot Balance'!$C1306)</f>
        <v/>
      </c>
      <c r="D1307" s="25" t="str">
        <f>IF($A1307="","",'Lot Balance'!$G1306)</f>
        <v/>
      </c>
      <c r="E1307" s="25" t="str">
        <f>IF($A1307="","",'Lot Balance'!$H1306)</f>
        <v/>
      </c>
      <c r="F1307" s="23" t="str">
        <f>IF($A1307="","",'Lot Balance'!$I1306)</f>
        <v/>
      </c>
      <c r="G1307" s="23" t="str">
        <f>IF($A1307="","",'Lot Balance'!$O1306)</f>
        <v/>
      </c>
      <c r="H1307" s="33" t="str">
        <f>IF($A1307="","",'Lot Balance'!$P1306)</f>
        <v/>
      </c>
      <c r="I1307" s="26" t="str">
        <f>IF($A1307="","",COUNTIFS(tblIssues[Lot Number],$B1307))</f>
        <v/>
      </c>
      <c r="J1307" s="31" t="str">
        <f>IF($A1307="","",IF('Lot Balance'!$O1306&lt;=0,"Depleted",'Lot Balance'!$Q1306))</f>
        <v/>
      </c>
    </row>
    <row r="1308" spans="1:10" x14ac:dyDescent="0.35">
      <c r="A1308" s="18" t="str">
        <f>IF('Lot Balance'!$A1307="","",'Lot Balance'!$A1307)</f>
        <v/>
      </c>
      <c r="B1308" s="18" t="str">
        <f>IF($A1308="","",'Lot Balance'!$B1307)</f>
        <v/>
      </c>
      <c r="C1308" s="18" t="str">
        <f>IF($A1308="","",'Lot Balance'!$C1307)</f>
        <v/>
      </c>
      <c r="D1308" s="25" t="str">
        <f>IF($A1308="","",'Lot Balance'!$G1307)</f>
        <v/>
      </c>
      <c r="E1308" s="25" t="str">
        <f>IF($A1308="","",'Lot Balance'!$H1307)</f>
        <v/>
      </c>
      <c r="F1308" s="23" t="str">
        <f>IF($A1308="","",'Lot Balance'!$I1307)</f>
        <v/>
      </c>
      <c r="G1308" s="23" t="str">
        <f>IF($A1308="","",'Lot Balance'!$O1307)</f>
        <v/>
      </c>
      <c r="H1308" s="33" t="str">
        <f>IF($A1308="","",'Lot Balance'!$P1307)</f>
        <v/>
      </c>
      <c r="I1308" s="26" t="str">
        <f>IF($A1308="","",COUNTIFS(tblIssues[Lot Number],$B1308))</f>
        <v/>
      </c>
      <c r="J1308" s="31" t="str">
        <f>IF($A1308="","",IF('Lot Balance'!$O1307&lt;=0,"Depleted",'Lot Balance'!$Q1307))</f>
        <v/>
      </c>
    </row>
    <row r="1309" spans="1:10" x14ac:dyDescent="0.35">
      <c r="A1309" s="18" t="str">
        <f>IF('Lot Balance'!$A1308="","",'Lot Balance'!$A1308)</f>
        <v/>
      </c>
      <c r="B1309" s="18" t="str">
        <f>IF($A1309="","",'Lot Balance'!$B1308)</f>
        <v/>
      </c>
      <c r="C1309" s="18" t="str">
        <f>IF($A1309="","",'Lot Balance'!$C1308)</f>
        <v/>
      </c>
      <c r="D1309" s="25" t="str">
        <f>IF($A1309="","",'Lot Balance'!$G1308)</f>
        <v/>
      </c>
      <c r="E1309" s="25" t="str">
        <f>IF($A1309="","",'Lot Balance'!$H1308)</f>
        <v/>
      </c>
      <c r="F1309" s="23" t="str">
        <f>IF($A1309="","",'Lot Balance'!$I1308)</f>
        <v/>
      </c>
      <c r="G1309" s="23" t="str">
        <f>IF($A1309="","",'Lot Balance'!$O1308)</f>
        <v/>
      </c>
      <c r="H1309" s="33" t="str">
        <f>IF($A1309="","",'Lot Balance'!$P1308)</f>
        <v/>
      </c>
      <c r="I1309" s="26" t="str">
        <f>IF($A1309="","",COUNTIFS(tblIssues[Lot Number],$B1309))</f>
        <v/>
      </c>
      <c r="J1309" s="31" t="str">
        <f>IF($A1309="","",IF('Lot Balance'!$O1308&lt;=0,"Depleted",'Lot Balance'!$Q1308))</f>
        <v/>
      </c>
    </row>
    <row r="1310" spans="1:10" x14ac:dyDescent="0.35">
      <c r="A1310" s="18" t="str">
        <f>IF('Lot Balance'!$A1309="","",'Lot Balance'!$A1309)</f>
        <v/>
      </c>
      <c r="B1310" s="18" t="str">
        <f>IF($A1310="","",'Lot Balance'!$B1309)</f>
        <v/>
      </c>
      <c r="C1310" s="18" t="str">
        <f>IF($A1310="","",'Lot Balance'!$C1309)</f>
        <v/>
      </c>
      <c r="D1310" s="25" t="str">
        <f>IF($A1310="","",'Lot Balance'!$G1309)</f>
        <v/>
      </c>
      <c r="E1310" s="25" t="str">
        <f>IF($A1310="","",'Lot Balance'!$H1309)</f>
        <v/>
      </c>
      <c r="F1310" s="23" t="str">
        <f>IF($A1310="","",'Lot Balance'!$I1309)</f>
        <v/>
      </c>
      <c r="G1310" s="23" t="str">
        <f>IF($A1310="","",'Lot Balance'!$O1309)</f>
        <v/>
      </c>
      <c r="H1310" s="33" t="str">
        <f>IF($A1310="","",'Lot Balance'!$P1309)</f>
        <v/>
      </c>
      <c r="I1310" s="26" t="str">
        <f>IF($A1310="","",COUNTIFS(tblIssues[Lot Number],$B1310))</f>
        <v/>
      </c>
      <c r="J1310" s="31" t="str">
        <f>IF($A1310="","",IF('Lot Balance'!$O1309&lt;=0,"Depleted",'Lot Balance'!$Q1309))</f>
        <v/>
      </c>
    </row>
    <row r="1311" spans="1:10" x14ac:dyDescent="0.35">
      <c r="A1311" s="18" t="str">
        <f>IF('Lot Balance'!$A1310="","",'Lot Balance'!$A1310)</f>
        <v/>
      </c>
      <c r="B1311" s="18" t="str">
        <f>IF($A1311="","",'Lot Balance'!$B1310)</f>
        <v/>
      </c>
      <c r="C1311" s="18" t="str">
        <f>IF($A1311="","",'Lot Balance'!$C1310)</f>
        <v/>
      </c>
      <c r="D1311" s="25" t="str">
        <f>IF($A1311="","",'Lot Balance'!$G1310)</f>
        <v/>
      </c>
      <c r="E1311" s="25" t="str">
        <f>IF($A1311="","",'Lot Balance'!$H1310)</f>
        <v/>
      </c>
      <c r="F1311" s="23" t="str">
        <f>IF($A1311="","",'Lot Balance'!$I1310)</f>
        <v/>
      </c>
      <c r="G1311" s="23" t="str">
        <f>IF($A1311="","",'Lot Balance'!$O1310)</f>
        <v/>
      </c>
      <c r="H1311" s="33" t="str">
        <f>IF($A1311="","",'Lot Balance'!$P1310)</f>
        <v/>
      </c>
      <c r="I1311" s="26" t="str">
        <f>IF($A1311="","",COUNTIFS(tblIssues[Lot Number],$B1311))</f>
        <v/>
      </c>
      <c r="J1311" s="31" t="str">
        <f>IF($A1311="","",IF('Lot Balance'!$O1310&lt;=0,"Depleted",'Lot Balance'!$Q1310))</f>
        <v/>
      </c>
    </row>
    <row r="1312" spans="1:10" x14ac:dyDescent="0.35">
      <c r="A1312" s="18" t="str">
        <f>IF('Lot Balance'!$A1311="","",'Lot Balance'!$A1311)</f>
        <v/>
      </c>
      <c r="B1312" s="18" t="str">
        <f>IF($A1312="","",'Lot Balance'!$B1311)</f>
        <v/>
      </c>
      <c r="C1312" s="18" t="str">
        <f>IF($A1312="","",'Lot Balance'!$C1311)</f>
        <v/>
      </c>
      <c r="D1312" s="25" t="str">
        <f>IF($A1312="","",'Lot Balance'!$G1311)</f>
        <v/>
      </c>
      <c r="E1312" s="25" t="str">
        <f>IF($A1312="","",'Lot Balance'!$H1311)</f>
        <v/>
      </c>
      <c r="F1312" s="23" t="str">
        <f>IF($A1312="","",'Lot Balance'!$I1311)</f>
        <v/>
      </c>
      <c r="G1312" s="23" t="str">
        <f>IF($A1312="","",'Lot Balance'!$O1311)</f>
        <v/>
      </c>
      <c r="H1312" s="33" t="str">
        <f>IF($A1312="","",'Lot Balance'!$P1311)</f>
        <v/>
      </c>
      <c r="I1312" s="26" t="str">
        <f>IF($A1312="","",COUNTIFS(tblIssues[Lot Number],$B1312))</f>
        <v/>
      </c>
      <c r="J1312" s="31" t="str">
        <f>IF($A1312="","",IF('Lot Balance'!$O1311&lt;=0,"Depleted",'Lot Balance'!$Q1311))</f>
        <v/>
      </c>
    </row>
    <row r="1313" spans="1:10" x14ac:dyDescent="0.35">
      <c r="A1313" s="18" t="str">
        <f>IF('Lot Balance'!$A1312="","",'Lot Balance'!$A1312)</f>
        <v/>
      </c>
      <c r="B1313" s="18" t="str">
        <f>IF($A1313="","",'Lot Balance'!$B1312)</f>
        <v/>
      </c>
      <c r="C1313" s="18" t="str">
        <f>IF($A1313="","",'Lot Balance'!$C1312)</f>
        <v/>
      </c>
      <c r="D1313" s="25" t="str">
        <f>IF($A1313="","",'Lot Balance'!$G1312)</f>
        <v/>
      </c>
      <c r="E1313" s="25" t="str">
        <f>IF($A1313="","",'Lot Balance'!$H1312)</f>
        <v/>
      </c>
      <c r="F1313" s="23" t="str">
        <f>IF($A1313="","",'Lot Balance'!$I1312)</f>
        <v/>
      </c>
      <c r="G1313" s="23" t="str">
        <f>IF($A1313="","",'Lot Balance'!$O1312)</f>
        <v/>
      </c>
      <c r="H1313" s="33" t="str">
        <f>IF($A1313="","",'Lot Balance'!$P1312)</f>
        <v/>
      </c>
      <c r="I1313" s="26" t="str">
        <f>IF($A1313="","",COUNTIFS(tblIssues[Lot Number],$B1313))</f>
        <v/>
      </c>
      <c r="J1313" s="31" t="str">
        <f>IF($A1313="","",IF('Lot Balance'!$O1312&lt;=0,"Depleted",'Lot Balance'!$Q1312))</f>
        <v/>
      </c>
    </row>
    <row r="1314" spans="1:10" x14ac:dyDescent="0.35">
      <c r="A1314" s="18" t="str">
        <f>IF('Lot Balance'!$A1313="","",'Lot Balance'!$A1313)</f>
        <v/>
      </c>
      <c r="B1314" s="18" t="str">
        <f>IF($A1314="","",'Lot Balance'!$B1313)</f>
        <v/>
      </c>
      <c r="C1314" s="18" t="str">
        <f>IF($A1314="","",'Lot Balance'!$C1313)</f>
        <v/>
      </c>
      <c r="D1314" s="25" t="str">
        <f>IF($A1314="","",'Lot Balance'!$G1313)</f>
        <v/>
      </c>
      <c r="E1314" s="25" t="str">
        <f>IF($A1314="","",'Lot Balance'!$H1313)</f>
        <v/>
      </c>
      <c r="F1314" s="23" t="str">
        <f>IF($A1314="","",'Lot Balance'!$I1313)</f>
        <v/>
      </c>
      <c r="G1314" s="23" t="str">
        <f>IF($A1314="","",'Lot Balance'!$O1313)</f>
        <v/>
      </c>
      <c r="H1314" s="33" t="str">
        <f>IF($A1314="","",'Lot Balance'!$P1313)</f>
        <v/>
      </c>
      <c r="I1314" s="26" t="str">
        <f>IF($A1314="","",COUNTIFS(tblIssues[Lot Number],$B1314))</f>
        <v/>
      </c>
      <c r="J1314" s="31" t="str">
        <f>IF($A1314="","",IF('Lot Balance'!$O1313&lt;=0,"Depleted",'Lot Balance'!$Q1313))</f>
        <v/>
      </c>
    </row>
    <row r="1315" spans="1:10" x14ac:dyDescent="0.35">
      <c r="A1315" s="18" t="str">
        <f>IF('Lot Balance'!$A1314="","",'Lot Balance'!$A1314)</f>
        <v/>
      </c>
      <c r="B1315" s="18" t="str">
        <f>IF($A1315="","",'Lot Balance'!$B1314)</f>
        <v/>
      </c>
      <c r="C1315" s="18" t="str">
        <f>IF($A1315="","",'Lot Balance'!$C1314)</f>
        <v/>
      </c>
      <c r="D1315" s="25" t="str">
        <f>IF($A1315="","",'Lot Balance'!$G1314)</f>
        <v/>
      </c>
      <c r="E1315" s="25" t="str">
        <f>IF($A1315="","",'Lot Balance'!$H1314)</f>
        <v/>
      </c>
      <c r="F1315" s="23" t="str">
        <f>IF($A1315="","",'Lot Balance'!$I1314)</f>
        <v/>
      </c>
      <c r="G1315" s="23" t="str">
        <f>IF($A1315="","",'Lot Balance'!$O1314)</f>
        <v/>
      </c>
      <c r="H1315" s="33" t="str">
        <f>IF($A1315="","",'Lot Balance'!$P1314)</f>
        <v/>
      </c>
      <c r="I1315" s="26" t="str">
        <f>IF($A1315="","",COUNTIFS(tblIssues[Lot Number],$B1315))</f>
        <v/>
      </c>
      <c r="J1315" s="31" t="str">
        <f>IF($A1315="","",IF('Lot Balance'!$O1314&lt;=0,"Depleted",'Lot Balance'!$Q1314))</f>
        <v/>
      </c>
    </row>
    <row r="1316" spans="1:10" x14ac:dyDescent="0.35">
      <c r="A1316" s="18" t="str">
        <f>IF('Lot Balance'!$A1315="","",'Lot Balance'!$A1315)</f>
        <v/>
      </c>
      <c r="B1316" s="18" t="str">
        <f>IF($A1316="","",'Lot Balance'!$B1315)</f>
        <v/>
      </c>
      <c r="C1316" s="18" t="str">
        <f>IF($A1316="","",'Lot Balance'!$C1315)</f>
        <v/>
      </c>
      <c r="D1316" s="25" t="str">
        <f>IF($A1316="","",'Lot Balance'!$G1315)</f>
        <v/>
      </c>
      <c r="E1316" s="25" t="str">
        <f>IF($A1316="","",'Lot Balance'!$H1315)</f>
        <v/>
      </c>
      <c r="F1316" s="23" t="str">
        <f>IF($A1316="","",'Lot Balance'!$I1315)</f>
        <v/>
      </c>
      <c r="G1316" s="23" t="str">
        <f>IF($A1316="","",'Lot Balance'!$O1315)</f>
        <v/>
      </c>
      <c r="H1316" s="33" t="str">
        <f>IF($A1316="","",'Lot Balance'!$P1315)</f>
        <v/>
      </c>
      <c r="I1316" s="26" t="str">
        <f>IF($A1316="","",COUNTIFS(tblIssues[Lot Number],$B1316))</f>
        <v/>
      </c>
      <c r="J1316" s="31" t="str">
        <f>IF($A1316="","",IF('Lot Balance'!$O1315&lt;=0,"Depleted",'Lot Balance'!$Q1315))</f>
        <v/>
      </c>
    </row>
    <row r="1317" spans="1:10" x14ac:dyDescent="0.35">
      <c r="A1317" s="18" t="str">
        <f>IF('Lot Balance'!$A1316="","",'Lot Balance'!$A1316)</f>
        <v/>
      </c>
      <c r="B1317" s="18" t="str">
        <f>IF($A1317="","",'Lot Balance'!$B1316)</f>
        <v/>
      </c>
      <c r="C1317" s="18" t="str">
        <f>IF($A1317="","",'Lot Balance'!$C1316)</f>
        <v/>
      </c>
      <c r="D1317" s="25" t="str">
        <f>IF($A1317="","",'Lot Balance'!$G1316)</f>
        <v/>
      </c>
      <c r="E1317" s="25" t="str">
        <f>IF($A1317="","",'Lot Balance'!$H1316)</f>
        <v/>
      </c>
      <c r="F1317" s="23" t="str">
        <f>IF($A1317="","",'Lot Balance'!$I1316)</f>
        <v/>
      </c>
      <c r="G1317" s="23" t="str">
        <f>IF($A1317="","",'Lot Balance'!$O1316)</f>
        <v/>
      </c>
      <c r="H1317" s="33" t="str">
        <f>IF($A1317="","",'Lot Balance'!$P1316)</f>
        <v/>
      </c>
      <c r="I1317" s="26" t="str">
        <f>IF($A1317="","",COUNTIFS(tblIssues[Lot Number],$B1317))</f>
        <v/>
      </c>
      <c r="J1317" s="31" t="str">
        <f>IF($A1317="","",IF('Lot Balance'!$O1316&lt;=0,"Depleted",'Lot Balance'!$Q1316))</f>
        <v/>
      </c>
    </row>
    <row r="1318" spans="1:10" x14ac:dyDescent="0.35">
      <c r="A1318" s="18" t="str">
        <f>IF('Lot Balance'!$A1317="","",'Lot Balance'!$A1317)</f>
        <v/>
      </c>
      <c r="B1318" s="18" t="str">
        <f>IF($A1318="","",'Lot Balance'!$B1317)</f>
        <v/>
      </c>
      <c r="C1318" s="18" t="str">
        <f>IF($A1318="","",'Lot Balance'!$C1317)</f>
        <v/>
      </c>
      <c r="D1318" s="25" t="str">
        <f>IF($A1318="","",'Lot Balance'!$G1317)</f>
        <v/>
      </c>
      <c r="E1318" s="25" t="str">
        <f>IF($A1318="","",'Lot Balance'!$H1317)</f>
        <v/>
      </c>
      <c r="F1318" s="23" t="str">
        <f>IF($A1318="","",'Lot Balance'!$I1317)</f>
        <v/>
      </c>
      <c r="G1318" s="23" t="str">
        <f>IF($A1318="","",'Lot Balance'!$O1317)</f>
        <v/>
      </c>
      <c r="H1318" s="33" t="str">
        <f>IF($A1318="","",'Lot Balance'!$P1317)</f>
        <v/>
      </c>
      <c r="I1318" s="26" t="str">
        <f>IF($A1318="","",COUNTIFS(tblIssues[Lot Number],$B1318))</f>
        <v/>
      </c>
      <c r="J1318" s="31" t="str">
        <f>IF($A1318="","",IF('Lot Balance'!$O1317&lt;=0,"Depleted",'Lot Balance'!$Q1317))</f>
        <v/>
      </c>
    </row>
    <row r="1319" spans="1:10" x14ac:dyDescent="0.35">
      <c r="A1319" s="18" t="str">
        <f>IF('Lot Balance'!$A1318="","",'Lot Balance'!$A1318)</f>
        <v/>
      </c>
      <c r="B1319" s="18" t="str">
        <f>IF($A1319="","",'Lot Balance'!$B1318)</f>
        <v/>
      </c>
      <c r="C1319" s="18" t="str">
        <f>IF($A1319="","",'Lot Balance'!$C1318)</f>
        <v/>
      </c>
      <c r="D1319" s="25" t="str">
        <f>IF($A1319="","",'Lot Balance'!$G1318)</f>
        <v/>
      </c>
      <c r="E1319" s="25" t="str">
        <f>IF($A1319="","",'Lot Balance'!$H1318)</f>
        <v/>
      </c>
      <c r="F1319" s="23" t="str">
        <f>IF($A1319="","",'Lot Balance'!$I1318)</f>
        <v/>
      </c>
      <c r="G1319" s="23" t="str">
        <f>IF($A1319="","",'Lot Balance'!$O1318)</f>
        <v/>
      </c>
      <c r="H1319" s="33" t="str">
        <f>IF($A1319="","",'Lot Balance'!$P1318)</f>
        <v/>
      </c>
      <c r="I1319" s="26" t="str">
        <f>IF($A1319="","",COUNTIFS(tblIssues[Lot Number],$B1319))</f>
        <v/>
      </c>
      <c r="J1319" s="31" t="str">
        <f>IF($A1319="","",IF('Lot Balance'!$O1318&lt;=0,"Depleted",'Lot Balance'!$Q1318))</f>
        <v/>
      </c>
    </row>
    <row r="1320" spans="1:10" x14ac:dyDescent="0.35">
      <c r="A1320" s="18" t="str">
        <f>IF('Lot Balance'!$A1319="","",'Lot Balance'!$A1319)</f>
        <v/>
      </c>
      <c r="B1320" s="18" t="str">
        <f>IF($A1320="","",'Lot Balance'!$B1319)</f>
        <v/>
      </c>
      <c r="C1320" s="18" t="str">
        <f>IF($A1320="","",'Lot Balance'!$C1319)</f>
        <v/>
      </c>
      <c r="D1320" s="25" t="str">
        <f>IF($A1320="","",'Lot Balance'!$G1319)</f>
        <v/>
      </c>
      <c r="E1320" s="25" t="str">
        <f>IF($A1320="","",'Lot Balance'!$H1319)</f>
        <v/>
      </c>
      <c r="F1320" s="23" t="str">
        <f>IF($A1320="","",'Lot Balance'!$I1319)</f>
        <v/>
      </c>
      <c r="G1320" s="23" t="str">
        <f>IF($A1320="","",'Lot Balance'!$O1319)</f>
        <v/>
      </c>
      <c r="H1320" s="33" t="str">
        <f>IF($A1320="","",'Lot Balance'!$P1319)</f>
        <v/>
      </c>
      <c r="I1320" s="26" t="str">
        <f>IF($A1320="","",COUNTIFS(tblIssues[Lot Number],$B1320))</f>
        <v/>
      </c>
      <c r="J1320" s="31" t="str">
        <f>IF($A1320="","",IF('Lot Balance'!$O1319&lt;=0,"Depleted",'Lot Balance'!$Q1319))</f>
        <v/>
      </c>
    </row>
    <row r="1321" spans="1:10" x14ac:dyDescent="0.35">
      <c r="A1321" s="18" t="str">
        <f>IF('Lot Balance'!$A1320="","",'Lot Balance'!$A1320)</f>
        <v/>
      </c>
      <c r="B1321" s="18" t="str">
        <f>IF($A1321="","",'Lot Balance'!$B1320)</f>
        <v/>
      </c>
      <c r="C1321" s="18" t="str">
        <f>IF($A1321="","",'Lot Balance'!$C1320)</f>
        <v/>
      </c>
      <c r="D1321" s="25" t="str">
        <f>IF($A1321="","",'Lot Balance'!$G1320)</f>
        <v/>
      </c>
      <c r="E1321" s="25" t="str">
        <f>IF($A1321="","",'Lot Balance'!$H1320)</f>
        <v/>
      </c>
      <c r="F1321" s="23" t="str">
        <f>IF($A1321="","",'Lot Balance'!$I1320)</f>
        <v/>
      </c>
      <c r="G1321" s="23" t="str">
        <f>IF($A1321="","",'Lot Balance'!$O1320)</f>
        <v/>
      </c>
      <c r="H1321" s="33" t="str">
        <f>IF($A1321="","",'Lot Balance'!$P1320)</f>
        <v/>
      </c>
      <c r="I1321" s="26" t="str">
        <f>IF($A1321="","",COUNTIFS(tblIssues[Lot Number],$B1321))</f>
        <v/>
      </c>
      <c r="J1321" s="31" t="str">
        <f>IF($A1321="","",IF('Lot Balance'!$O1320&lt;=0,"Depleted",'Lot Balance'!$Q1320))</f>
        <v/>
      </c>
    </row>
    <row r="1322" spans="1:10" x14ac:dyDescent="0.35">
      <c r="A1322" s="18" t="str">
        <f>IF('Lot Balance'!$A1321="","",'Lot Balance'!$A1321)</f>
        <v/>
      </c>
      <c r="B1322" s="18" t="str">
        <f>IF($A1322="","",'Lot Balance'!$B1321)</f>
        <v/>
      </c>
      <c r="C1322" s="18" t="str">
        <f>IF($A1322="","",'Lot Balance'!$C1321)</f>
        <v/>
      </c>
      <c r="D1322" s="25" t="str">
        <f>IF($A1322="","",'Lot Balance'!$G1321)</f>
        <v/>
      </c>
      <c r="E1322" s="25" t="str">
        <f>IF($A1322="","",'Lot Balance'!$H1321)</f>
        <v/>
      </c>
      <c r="F1322" s="23" t="str">
        <f>IF($A1322="","",'Lot Balance'!$I1321)</f>
        <v/>
      </c>
      <c r="G1322" s="23" t="str">
        <f>IF($A1322="","",'Lot Balance'!$O1321)</f>
        <v/>
      </c>
      <c r="H1322" s="33" t="str">
        <f>IF($A1322="","",'Lot Balance'!$P1321)</f>
        <v/>
      </c>
      <c r="I1322" s="26" t="str">
        <f>IF($A1322="","",COUNTIFS(tblIssues[Lot Number],$B1322))</f>
        <v/>
      </c>
      <c r="J1322" s="31" t="str">
        <f>IF($A1322="","",IF('Lot Balance'!$O1321&lt;=0,"Depleted",'Lot Balance'!$Q1321))</f>
        <v/>
      </c>
    </row>
    <row r="1323" spans="1:10" x14ac:dyDescent="0.35">
      <c r="A1323" s="18" t="str">
        <f>IF('Lot Balance'!$A1322="","",'Lot Balance'!$A1322)</f>
        <v/>
      </c>
      <c r="B1323" s="18" t="str">
        <f>IF($A1323="","",'Lot Balance'!$B1322)</f>
        <v/>
      </c>
      <c r="C1323" s="18" t="str">
        <f>IF($A1323="","",'Lot Balance'!$C1322)</f>
        <v/>
      </c>
      <c r="D1323" s="25" t="str">
        <f>IF($A1323="","",'Lot Balance'!$G1322)</f>
        <v/>
      </c>
      <c r="E1323" s="25" t="str">
        <f>IF($A1323="","",'Lot Balance'!$H1322)</f>
        <v/>
      </c>
      <c r="F1323" s="23" t="str">
        <f>IF($A1323="","",'Lot Balance'!$I1322)</f>
        <v/>
      </c>
      <c r="G1323" s="23" t="str">
        <f>IF($A1323="","",'Lot Balance'!$O1322)</f>
        <v/>
      </c>
      <c r="H1323" s="33" t="str">
        <f>IF($A1323="","",'Lot Balance'!$P1322)</f>
        <v/>
      </c>
      <c r="I1323" s="26" t="str">
        <f>IF($A1323="","",COUNTIFS(tblIssues[Lot Number],$B1323))</f>
        <v/>
      </c>
      <c r="J1323" s="31" t="str">
        <f>IF($A1323="","",IF('Lot Balance'!$O1322&lt;=0,"Depleted",'Lot Balance'!$Q1322))</f>
        <v/>
      </c>
    </row>
    <row r="1324" spans="1:10" x14ac:dyDescent="0.35">
      <c r="A1324" s="18" t="str">
        <f>IF('Lot Balance'!$A1323="","",'Lot Balance'!$A1323)</f>
        <v/>
      </c>
      <c r="B1324" s="18" t="str">
        <f>IF($A1324="","",'Lot Balance'!$B1323)</f>
        <v/>
      </c>
      <c r="C1324" s="18" t="str">
        <f>IF($A1324="","",'Lot Balance'!$C1323)</f>
        <v/>
      </c>
      <c r="D1324" s="25" t="str">
        <f>IF($A1324="","",'Lot Balance'!$G1323)</f>
        <v/>
      </c>
      <c r="E1324" s="25" t="str">
        <f>IF($A1324="","",'Lot Balance'!$H1323)</f>
        <v/>
      </c>
      <c r="F1324" s="23" t="str">
        <f>IF($A1324="","",'Lot Balance'!$I1323)</f>
        <v/>
      </c>
      <c r="G1324" s="23" t="str">
        <f>IF($A1324="","",'Lot Balance'!$O1323)</f>
        <v/>
      </c>
      <c r="H1324" s="33" t="str">
        <f>IF($A1324="","",'Lot Balance'!$P1323)</f>
        <v/>
      </c>
      <c r="I1324" s="26" t="str">
        <f>IF($A1324="","",COUNTIFS(tblIssues[Lot Number],$B1324))</f>
        <v/>
      </c>
      <c r="J1324" s="31" t="str">
        <f>IF($A1324="","",IF('Lot Balance'!$O1323&lt;=0,"Depleted",'Lot Balance'!$Q1323))</f>
        <v/>
      </c>
    </row>
    <row r="1325" spans="1:10" x14ac:dyDescent="0.35">
      <c r="A1325" s="18" t="str">
        <f>IF('Lot Balance'!$A1324="","",'Lot Balance'!$A1324)</f>
        <v/>
      </c>
      <c r="B1325" s="18" t="str">
        <f>IF($A1325="","",'Lot Balance'!$B1324)</f>
        <v/>
      </c>
      <c r="C1325" s="18" t="str">
        <f>IF($A1325="","",'Lot Balance'!$C1324)</f>
        <v/>
      </c>
      <c r="D1325" s="25" t="str">
        <f>IF($A1325="","",'Lot Balance'!$G1324)</f>
        <v/>
      </c>
      <c r="E1325" s="25" t="str">
        <f>IF($A1325="","",'Lot Balance'!$H1324)</f>
        <v/>
      </c>
      <c r="F1325" s="23" t="str">
        <f>IF($A1325="","",'Lot Balance'!$I1324)</f>
        <v/>
      </c>
      <c r="G1325" s="23" t="str">
        <f>IF($A1325="","",'Lot Balance'!$O1324)</f>
        <v/>
      </c>
      <c r="H1325" s="33" t="str">
        <f>IF($A1325="","",'Lot Balance'!$P1324)</f>
        <v/>
      </c>
      <c r="I1325" s="26" t="str">
        <f>IF($A1325="","",COUNTIFS(tblIssues[Lot Number],$B1325))</f>
        <v/>
      </c>
      <c r="J1325" s="31" t="str">
        <f>IF($A1325="","",IF('Lot Balance'!$O1324&lt;=0,"Depleted",'Lot Balance'!$Q1324))</f>
        <v/>
      </c>
    </row>
    <row r="1326" spans="1:10" x14ac:dyDescent="0.35">
      <c r="A1326" s="18" t="str">
        <f>IF('Lot Balance'!$A1325="","",'Lot Balance'!$A1325)</f>
        <v/>
      </c>
      <c r="B1326" s="18" t="str">
        <f>IF($A1326="","",'Lot Balance'!$B1325)</f>
        <v/>
      </c>
      <c r="C1326" s="18" t="str">
        <f>IF($A1326="","",'Lot Balance'!$C1325)</f>
        <v/>
      </c>
      <c r="D1326" s="25" t="str">
        <f>IF($A1326="","",'Lot Balance'!$G1325)</f>
        <v/>
      </c>
      <c r="E1326" s="25" t="str">
        <f>IF($A1326="","",'Lot Balance'!$H1325)</f>
        <v/>
      </c>
      <c r="F1326" s="23" t="str">
        <f>IF($A1326="","",'Lot Balance'!$I1325)</f>
        <v/>
      </c>
      <c r="G1326" s="23" t="str">
        <f>IF($A1326="","",'Lot Balance'!$O1325)</f>
        <v/>
      </c>
      <c r="H1326" s="33" t="str">
        <f>IF($A1326="","",'Lot Balance'!$P1325)</f>
        <v/>
      </c>
      <c r="I1326" s="26" t="str">
        <f>IF($A1326="","",COUNTIFS(tblIssues[Lot Number],$B1326))</f>
        <v/>
      </c>
      <c r="J1326" s="31" t="str">
        <f>IF($A1326="","",IF('Lot Balance'!$O1325&lt;=0,"Depleted",'Lot Balance'!$Q1325))</f>
        <v/>
      </c>
    </row>
    <row r="1327" spans="1:10" x14ac:dyDescent="0.35">
      <c r="A1327" s="18" t="str">
        <f>IF('Lot Balance'!$A1326="","",'Lot Balance'!$A1326)</f>
        <v/>
      </c>
      <c r="B1327" s="18" t="str">
        <f>IF($A1327="","",'Lot Balance'!$B1326)</f>
        <v/>
      </c>
      <c r="C1327" s="18" t="str">
        <f>IF($A1327="","",'Lot Balance'!$C1326)</f>
        <v/>
      </c>
      <c r="D1327" s="25" t="str">
        <f>IF($A1327="","",'Lot Balance'!$G1326)</f>
        <v/>
      </c>
      <c r="E1327" s="25" t="str">
        <f>IF($A1327="","",'Lot Balance'!$H1326)</f>
        <v/>
      </c>
      <c r="F1327" s="23" t="str">
        <f>IF($A1327="","",'Lot Balance'!$I1326)</f>
        <v/>
      </c>
      <c r="G1327" s="23" t="str">
        <f>IF($A1327="","",'Lot Balance'!$O1326)</f>
        <v/>
      </c>
      <c r="H1327" s="33" t="str">
        <f>IF($A1327="","",'Lot Balance'!$P1326)</f>
        <v/>
      </c>
      <c r="I1327" s="26" t="str">
        <f>IF($A1327="","",COUNTIFS(tblIssues[Lot Number],$B1327))</f>
        <v/>
      </c>
      <c r="J1327" s="31" t="str">
        <f>IF($A1327="","",IF('Lot Balance'!$O1326&lt;=0,"Depleted",'Lot Balance'!$Q1326))</f>
        <v/>
      </c>
    </row>
    <row r="1328" spans="1:10" x14ac:dyDescent="0.35">
      <c r="A1328" s="18" t="str">
        <f>IF('Lot Balance'!$A1327="","",'Lot Balance'!$A1327)</f>
        <v/>
      </c>
      <c r="B1328" s="18" t="str">
        <f>IF($A1328="","",'Lot Balance'!$B1327)</f>
        <v/>
      </c>
      <c r="C1328" s="18" t="str">
        <f>IF($A1328="","",'Lot Balance'!$C1327)</f>
        <v/>
      </c>
      <c r="D1328" s="25" t="str">
        <f>IF($A1328="","",'Lot Balance'!$G1327)</f>
        <v/>
      </c>
      <c r="E1328" s="25" t="str">
        <f>IF($A1328="","",'Lot Balance'!$H1327)</f>
        <v/>
      </c>
      <c r="F1328" s="23" t="str">
        <f>IF($A1328="","",'Lot Balance'!$I1327)</f>
        <v/>
      </c>
      <c r="G1328" s="23" t="str">
        <f>IF($A1328="","",'Lot Balance'!$O1327)</f>
        <v/>
      </c>
      <c r="H1328" s="33" t="str">
        <f>IF($A1328="","",'Lot Balance'!$P1327)</f>
        <v/>
      </c>
      <c r="I1328" s="26" t="str">
        <f>IF($A1328="","",COUNTIFS(tblIssues[Lot Number],$B1328))</f>
        <v/>
      </c>
      <c r="J1328" s="31" t="str">
        <f>IF($A1328="","",IF('Lot Balance'!$O1327&lt;=0,"Depleted",'Lot Balance'!$Q1327))</f>
        <v/>
      </c>
    </row>
    <row r="1329" spans="1:10" x14ac:dyDescent="0.35">
      <c r="A1329" s="18" t="str">
        <f>IF('Lot Balance'!$A1328="","",'Lot Balance'!$A1328)</f>
        <v/>
      </c>
      <c r="B1329" s="18" t="str">
        <f>IF($A1329="","",'Lot Balance'!$B1328)</f>
        <v/>
      </c>
      <c r="C1329" s="18" t="str">
        <f>IF($A1329="","",'Lot Balance'!$C1328)</f>
        <v/>
      </c>
      <c r="D1329" s="25" t="str">
        <f>IF($A1329="","",'Lot Balance'!$G1328)</f>
        <v/>
      </c>
      <c r="E1329" s="25" t="str">
        <f>IF($A1329="","",'Lot Balance'!$H1328)</f>
        <v/>
      </c>
      <c r="F1329" s="23" t="str">
        <f>IF($A1329="","",'Lot Balance'!$I1328)</f>
        <v/>
      </c>
      <c r="G1329" s="23" t="str">
        <f>IF($A1329="","",'Lot Balance'!$O1328)</f>
        <v/>
      </c>
      <c r="H1329" s="33" t="str">
        <f>IF($A1329="","",'Lot Balance'!$P1328)</f>
        <v/>
      </c>
      <c r="I1329" s="26" t="str">
        <f>IF($A1329="","",COUNTIFS(tblIssues[Lot Number],$B1329))</f>
        <v/>
      </c>
      <c r="J1329" s="31" t="str">
        <f>IF($A1329="","",IF('Lot Balance'!$O1328&lt;=0,"Depleted",'Lot Balance'!$Q1328))</f>
        <v/>
      </c>
    </row>
    <row r="1330" spans="1:10" x14ac:dyDescent="0.35">
      <c r="A1330" s="18" t="str">
        <f>IF('Lot Balance'!$A1329="","",'Lot Balance'!$A1329)</f>
        <v/>
      </c>
      <c r="B1330" s="18" t="str">
        <f>IF($A1330="","",'Lot Balance'!$B1329)</f>
        <v/>
      </c>
      <c r="C1330" s="18" t="str">
        <f>IF($A1330="","",'Lot Balance'!$C1329)</f>
        <v/>
      </c>
      <c r="D1330" s="25" t="str">
        <f>IF($A1330="","",'Lot Balance'!$G1329)</f>
        <v/>
      </c>
      <c r="E1330" s="25" t="str">
        <f>IF($A1330="","",'Lot Balance'!$H1329)</f>
        <v/>
      </c>
      <c r="F1330" s="23" t="str">
        <f>IF($A1330="","",'Lot Balance'!$I1329)</f>
        <v/>
      </c>
      <c r="G1330" s="23" t="str">
        <f>IF($A1330="","",'Lot Balance'!$O1329)</f>
        <v/>
      </c>
      <c r="H1330" s="33" t="str">
        <f>IF($A1330="","",'Lot Balance'!$P1329)</f>
        <v/>
      </c>
      <c r="I1330" s="26" t="str">
        <f>IF($A1330="","",COUNTIFS(tblIssues[Lot Number],$B1330))</f>
        <v/>
      </c>
      <c r="J1330" s="31" t="str">
        <f>IF($A1330="","",IF('Lot Balance'!$O1329&lt;=0,"Depleted",'Lot Balance'!$Q1329))</f>
        <v/>
      </c>
    </row>
    <row r="1331" spans="1:10" x14ac:dyDescent="0.35">
      <c r="A1331" s="18" t="str">
        <f>IF('Lot Balance'!$A1330="","",'Lot Balance'!$A1330)</f>
        <v/>
      </c>
      <c r="B1331" s="18" t="str">
        <f>IF($A1331="","",'Lot Balance'!$B1330)</f>
        <v/>
      </c>
      <c r="C1331" s="18" t="str">
        <f>IF($A1331="","",'Lot Balance'!$C1330)</f>
        <v/>
      </c>
      <c r="D1331" s="25" t="str">
        <f>IF($A1331="","",'Lot Balance'!$G1330)</f>
        <v/>
      </c>
      <c r="E1331" s="25" t="str">
        <f>IF($A1331="","",'Lot Balance'!$H1330)</f>
        <v/>
      </c>
      <c r="F1331" s="23" t="str">
        <f>IF($A1331="","",'Lot Balance'!$I1330)</f>
        <v/>
      </c>
      <c r="G1331" s="23" t="str">
        <f>IF($A1331="","",'Lot Balance'!$O1330)</f>
        <v/>
      </c>
      <c r="H1331" s="33" t="str">
        <f>IF($A1331="","",'Lot Balance'!$P1330)</f>
        <v/>
      </c>
      <c r="I1331" s="26" t="str">
        <f>IF($A1331="","",COUNTIFS(tblIssues[Lot Number],$B1331))</f>
        <v/>
      </c>
      <c r="J1331" s="31" t="str">
        <f>IF($A1331="","",IF('Lot Balance'!$O1330&lt;=0,"Depleted",'Lot Balance'!$Q1330))</f>
        <v/>
      </c>
    </row>
    <row r="1332" spans="1:10" x14ac:dyDescent="0.35">
      <c r="A1332" s="18" t="str">
        <f>IF('Lot Balance'!$A1331="","",'Lot Balance'!$A1331)</f>
        <v/>
      </c>
      <c r="B1332" s="18" t="str">
        <f>IF($A1332="","",'Lot Balance'!$B1331)</f>
        <v/>
      </c>
      <c r="C1332" s="18" t="str">
        <f>IF($A1332="","",'Lot Balance'!$C1331)</f>
        <v/>
      </c>
      <c r="D1332" s="25" t="str">
        <f>IF($A1332="","",'Lot Balance'!$G1331)</f>
        <v/>
      </c>
      <c r="E1332" s="25" t="str">
        <f>IF($A1332="","",'Lot Balance'!$H1331)</f>
        <v/>
      </c>
      <c r="F1332" s="23" t="str">
        <f>IF($A1332="","",'Lot Balance'!$I1331)</f>
        <v/>
      </c>
      <c r="G1332" s="23" t="str">
        <f>IF($A1332="","",'Lot Balance'!$O1331)</f>
        <v/>
      </c>
      <c r="H1332" s="33" t="str">
        <f>IF($A1332="","",'Lot Balance'!$P1331)</f>
        <v/>
      </c>
      <c r="I1332" s="26" t="str">
        <f>IF($A1332="","",COUNTIFS(tblIssues[Lot Number],$B1332))</f>
        <v/>
      </c>
      <c r="J1332" s="31" t="str">
        <f>IF($A1332="","",IF('Lot Balance'!$O1331&lt;=0,"Depleted",'Lot Balance'!$Q1331))</f>
        <v/>
      </c>
    </row>
    <row r="1333" spans="1:10" x14ac:dyDescent="0.35">
      <c r="A1333" s="18" t="str">
        <f>IF('Lot Balance'!$A1332="","",'Lot Balance'!$A1332)</f>
        <v/>
      </c>
      <c r="B1333" s="18" t="str">
        <f>IF($A1333="","",'Lot Balance'!$B1332)</f>
        <v/>
      </c>
      <c r="C1333" s="18" t="str">
        <f>IF($A1333="","",'Lot Balance'!$C1332)</f>
        <v/>
      </c>
      <c r="D1333" s="25" t="str">
        <f>IF($A1333="","",'Lot Balance'!$G1332)</f>
        <v/>
      </c>
      <c r="E1333" s="25" t="str">
        <f>IF($A1333="","",'Lot Balance'!$H1332)</f>
        <v/>
      </c>
      <c r="F1333" s="23" t="str">
        <f>IF($A1333="","",'Lot Balance'!$I1332)</f>
        <v/>
      </c>
      <c r="G1333" s="23" t="str">
        <f>IF($A1333="","",'Lot Balance'!$O1332)</f>
        <v/>
      </c>
      <c r="H1333" s="33" t="str">
        <f>IF($A1333="","",'Lot Balance'!$P1332)</f>
        <v/>
      </c>
      <c r="I1333" s="26" t="str">
        <f>IF($A1333="","",COUNTIFS(tblIssues[Lot Number],$B1333))</f>
        <v/>
      </c>
      <c r="J1333" s="31" t="str">
        <f>IF($A1333="","",IF('Lot Balance'!$O1332&lt;=0,"Depleted",'Lot Balance'!$Q1332))</f>
        <v/>
      </c>
    </row>
    <row r="1334" spans="1:10" x14ac:dyDescent="0.35">
      <c r="A1334" s="18" t="str">
        <f>IF('Lot Balance'!$A1333="","",'Lot Balance'!$A1333)</f>
        <v/>
      </c>
      <c r="B1334" s="18" t="str">
        <f>IF($A1334="","",'Lot Balance'!$B1333)</f>
        <v/>
      </c>
      <c r="C1334" s="18" t="str">
        <f>IF($A1334="","",'Lot Balance'!$C1333)</f>
        <v/>
      </c>
      <c r="D1334" s="25" t="str">
        <f>IF($A1334="","",'Lot Balance'!$G1333)</f>
        <v/>
      </c>
      <c r="E1334" s="25" t="str">
        <f>IF($A1334="","",'Lot Balance'!$H1333)</f>
        <v/>
      </c>
      <c r="F1334" s="23" t="str">
        <f>IF($A1334="","",'Lot Balance'!$I1333)</f>
        <v/>
      </c>
      <c r="G1334" s="23" t="str">
        <f>IF($A1334="","",'Lot Balance'!$O1333)</f>
        <v/>
      </c>
      <c r="H1334" s="33" t="str">
        <f>IF($A1334="","",'Lot Balance'!$P1333)</f>
        <v/>
      </c>
      <c r="I1334" s="26" t="str">
        <f>IF($A1334="","",COUNTIFS(tblIssues[Lot Number],$B1334))</f>
        <v/>
      </c>
      <c r="J1334" s="31" t="str">
        <f>IF($A1334="","",IF('Lot Balance'!$O1333&lt;=0,"Depleted",'Lot Balance'!$Q1333))</f>
        <v/>
      </c>
    </row>
    <row r="1335" spans="1:10" x14ac:dyDescent="0.35">
      <c r="A1335" s="18" t="str">
        <f>IF('Lot Balance'!$A1334="","",'Lot Balance'!$A1334)</f>
        <v/>
      </c>
      <c r="B1335" s="18" t="str">
        <f>IF($A1335="","",'Lot Balance'!$B1334)</f>
        <v/>
      </c>
      <c r="C1335" s="18" t="str">
        <f>IF($A1335="","",'Lot Balance'!$C1334)</f>
        <v/>
      </c>
      <c r="D1335" s="25" t="str">
        <f>IF($A1335="","",'Lot Balance'!$G1334)</f>
        <v/>
      </c>
      <c r="E1335" s="25" t="str">
        <f>IF($A1335="","",'Lot Balance'!$H1334)</f>
        <v/>
      </c>
      <c r="F1335" s="23" t="str">
        <f>IF($A1335="","",'Lot Balance'!$I1334)</f>
        <v/>
      </c>
      <c r="G1335" s="23" t="str">
        <f>IF($A1335="","",'Lot Balance'!$O1334)</f>
        <v/>
      </c>
      <c r="H1335" s="33" t="str">
        <f>IF($A1335="","",'Lot Balance'!$P1334)</f>
        <v/>
      </c>
      <c r="I1335" s="26" t="str">
        <f>IF($A1335="","",COUNTIFS(tblIssues[Lot Number],$B1335))</f>
        <v/>
      </c>
      <c r="J1335" s="31" t="str">
        <f>IF($A1335="","",IF('Lot Balance'!$O1334&lt;=0,"Depleted",'Lot Balance'!$Q1334))</f>
        <v/>
      </c>
    </row>
    <row r="1336" spans="1:10" x14ac:dyDescent="0.35">
      <c r="A1336" s="18" t="str">
        <f>IF('Lot Balance'!$A1335="","",'Lot Balance'!$A1335)</f>
        <v/>
      </c>
      <c r="B1336" s="18" t="str">
        <f>IF($A1336="","",'Lot Balance'!$B1335)</f>
        <v/>
      </c>
      <c r="C1336" s="18" t="str">
        <f>IF($A1336="","",'Lot Balance'!$C1335)</f>
        <v/>
      </c>
      <c r="D1336" s="25" t="str">
        <f>IF($A1336="","",'Lot Balance'!$G1335)</f>
        <v/>
      </c>
      <c r="E1336" s="25" t="str">
        <f>IF($A1336="","",'Lot Balance'!$H1335)</f>
        <v/>
      </c>
      <c r="F1336" s="23" t="str">
        <f>IF($A1336="","",'Lot Balance'!$I1335)</f>
        <v/>
      </c>
      <c r="G1336" s="23" t="str">
        <f>IF($A1336="","",'Lot Balance'!$O1335)</f>
        <v/>
      </c>
      <c r="H1336" s="33" t="str">
        <f>IF($A1336="","",'Lot Balance'!$P1335)</f>
        <v/>
      </c>
      <c r="I1336" s="26" t="str">
        <f>IF($A1336="","",COUNTIFS(tblIssues[Lot Number],$B1336))</f>
        <v/>
      </c>
      <c r="J1336" s="31" t="str">
        <f>IF($A1336="","",IF('Lot Balance'!$O1335&lt;=0,"Depleted",'Lot Balance'!$Q1335))</f>
        <v/>
      </c>
    </row>
    <row r="1337" spans="1:10" x14ac:dyDescent="0.35">
      <c r="A1337" s="18" t="str">
        <f>IF('Lot Balance'!$A1336="","",'Lot Balance'!$A1336)</f>
        <v/>
      </c>
      <c r="B1337" s="18" t="str">
        <f>IF($A1337="","",'Lot Balance'!$B1336)</f>
        <v/>
      </c>
      <c r="C1337" s="18" t="str">
        <f>IF($A1337="","",'Lot Balance'!$C1336)</f>
        <v/>
      </c>
      <c r="D1337" s="25" t="str">
        <f>IF($A1337="","",'Lot Balance'!$G1336)</f>
        <v/>
      </c>
      <c r="E1337" s="25" t="str">
        <f>IF($A1337="","",'Lot Balance'!$H1336)</f>
        <v/>
      </c>
      <c r="F1337" s="23" t="str">
        <f>IF($A1337="","",'Lot Balance'!$I1336)</f>
        <v/>
      </c>
      <c r="G1337" s="23" t="str">
        <f>IF($A1337="","",'Lot Balance'!$O1336)</f>
        <v/>
      </c>
      <c r="H1337" s="33" t="str">
        <f>IF($A1337="","",'Lot Balance'!$P1336)</f>
        <v/>
      </c>
      <c r="I1337" s="26" t="str">
        <f>IF($A1337="","",COUNTIFS(tblIssues[Lot Number],$B1337))</f>
        <v/>
      </c>
      <c r="J1337" s="31" t="str">
        <f>IF($A1337="","",IF('Lot Balance'!$O1336&lt;=0,"Depleted",'Lot Balance'!$Q1336))</f>
        <v/>
      </c>
    </row>
    <row r="1338" spans="1:10" x14ac:dyDescent="0.35">
      <c r="A1338" s="18" t="str">
        <f>IF('Lot Balance'!$A1337="","",'Lot Balance'!$A1337)</f>
        <v/>
      </c>
      <c r="B1338" s="18" t="str">
        <f>IF($A1338="","",'Lot Balance'!$B1337)</f>
        <v/>
      </c>
      <c r="C1338" s="18" t="str">
        <f>IF($A1338="","",'Lot Balance'!$C1337)</f>
        <v/>
      </c>
      <c r="D1338" s="25" t="str">
        <f>IF($A1338="","",'Lot Balance'!$G1337)</f>
        <v/>
      </c>
      <c r="E1338" s="25" t="str">
        <f>IF($A1338="","",'Lot Balance'!$H1337)</f>
        <v/>
      </c>
      <c r="F1338" s="23" t="str">
        <f>IF($A1338="","",'Lot Balance'!$I1337)</f>
        <v/>
      </c>
      <c r="G1338" s="23" t="str">
        <f>IF($A1338="","",'Lot Balance'!$O1337)</f>
        <v/>
      </c>
      <c r="H1338" s="33" t="str">
        <f>IF($A1338="","",'Lot Balance'!$P1337)</f>
        <v/>
      </c>
      <c r="I1338" s="26" t="str">
        <f>IF($A1338="","",COUNTIFS(tblIssues[Lot Number],$B1338))</f>
        <v/>
      </c>
      <c r="J1338" s="31" t="str">
        <f>IF($A1338="","",IF('Lot Balance'!$O1337&lt;=0,"Depleted",'Lot Balance'!$Q1337))</f>
        <v/>
      </c>
    </row>
    <row r="1339" spans="1:10" x14ac:dyDescent="0.35">
      <c r="A1339" s="18" t="str">
        <f>IF('Lot Balance'!$A1338="","",'Lot Balance'!$A1338)</f>
        <v/>
      </c>
      <c r="B1339" s="18" t="str">
        <f>IF($A1339="","",'Lot Balance'!$B1338)</f>
        <v/>
      </c>
      <c r="C1339" s="18" t="str">
        <f>IF($A1339="","",'Lot Balance'!$C1338)</f>
        <v/>
      </c>
      <c r="D1339" s="25" t="str">
        <f>IF($A1339="","",'Lot Balance'!$G1338)</f>
        <v/>
      </c>
      <c r="E1339" s="25" t="str">
        <f>IF($A1339="","",'Lot Balance'!$H1338)</f>
        <v/>
      </c>
      <c r="F1339" s="23" t="str">
        <f>IF($A1339="","",'Lot Balance'!$I1338)</f>
        <v/>
      </c>
      <c r="G1339" s="23" t="str">
        <f>IF($A1339="","",'Lot Balance'!$O1338)</f>
        <v/>
      </c>
      <c r="H1339" s="33" t="str">
        <f>IF($A1339="","",'Lot Balance'!$P1338)</f>
        <v/>
      </c>
      <c r="I1339" s="26" t="str">
        <f>IF($A1339="","",COUNTIFS(tblIssues[Lot Number],$B1339))</f>
        <v/>
      </c>
      <c r="J1339" s="31" t="str">
        <f>IF($A1339="","",IF('Lot Balance'!$O1338&lt;=0,"Depleted",'Lot Balance'!$Q1338))</f>
        <v/>
      </c>
    </row>
    <row r="1340" spans="1:10" x14ac:dyDescent="0.35">
      <c r="A1340" s="18" t="str">
        <f>IF('Lot Balance'!$A1339="","",'Lot Balance'!$A1339)</f>
        <v/>
      </c>
      <c r="B1340" s="18" t="str">
        <f>IF($A1340="","",'Lot Balance'!$B1339)</f>
        <v/>
      </c>
      <c r="C1340" s="18" t="str">
        <f>IF($A1340="","",'Lot Balance'!$C1339)</f>
        <v/>
      </c>
      <c r="D1340" s="25" t="str">
        <f>IF($A1340="","",'Lot Balance'!$G1339)</f>
        <v/>
      </c>
      <c r="E1340" s="25" t="str">
        <f>IF($A1340="","",'Lot Balance'!$H1339)</f>
        <v/>
      </c>
      <c r="F1340" s="23" t="str">
        <f>IF($A1340="","",'Lot Balance'!$I1339)</f>
        <v/>
      </c>
      <c r="G1340" s="23" t="str">
        <f>IF($A1340="","",'Lot Balance'!$O1339)</f>
        <v/>
      </c>
      <c r="H1340" s="33" t="str">
        <f>IF($A1340="","",'Lot Balance'!$P1339)</f>
        <v/>
      </c>
      <c r="I1340" s="26" t="str">
        <f>IF($A1340="","",COUNTIFS(tblIssues[Lot Number],$B1340))</f>
        <v/>
      </c>
      <c r="J1340" s="31" t="str">
        <f>IF($A1340="","",IF('Lot Balance'!$O1339&lt;=0,"Depleted",'Lot Balance'!$Q1339))</f>
        <v/>
      </c>
    </row>
    <row r="1341" spans="1:10" x14ac:dyDescent="0.35">
      <c r="A1341" s="18" t="str">
        <f>IF('Lot Balance'!$A1340="","",'Lot Balance'!$A1340)</f>
        <v/>
      </c>
      <c r="B1341" s="18" t="str">
        <f>IF($A1341="","",'Lot Balance'!$B1340)</f>
        <v/>
      </c>
      <c r="C1341" s="18" t="str">
        <f>IF($A1341="","",'Lot Balance'!$C1340)</f>
        <v/>
      </c>
      <c r="D1341" s="25" t="str">
        <f>IF($A1341="","",'Lot Balance'!$G1340)</f>
        <v/>
      </c>
      <c r="E1341" s="25" t="str">
        <f>IF($A1341="","",'Lot Balance'!$H1340)</f>
        <v/>
      </c>
      <c r="F1341" s="23" t="str">
        <f>IF($A1341="","",'Lot Balance'!$I1340)</f>
        <v/>
      </c>
      <c r="G1341" s="23" t="str">
        <f>IF($A1341="","",'Lot Balance'!$O1340)</f>
        <v/>
      </c>
      <c r="H1341" s="33" t="str">
        <f>IF($A1341="","",'Lot Balance'!$P1340)</f>
        <v/>
      </c>
      <c r="I1341" s="26" t="str">
        <f>IF($A1341="","",COUNTIFS(tblIssues[Lot Number],$B1341))</f>
        <v/>
      </c>
      <c r="J1341" s="31" t="str">
        <f>IF($A1341="","",IF('Lot Balance'!$O1340&lt;=0,"Depleted",'Lot Balance'!$Q1340))</f>
        <v/>
      </c>
    </row>
    <row r="1342" spans="1:10" x14ac:dyDescent="0.35">
      <c r="A1342" s="18" t="str">
        <f>IF('Lot Balance'!$A1341="","",'Lot Balance'!$A1341)</f>
        <v/>
      </c>
      <c r="B1342" s="18" t="str">
        <f>IF($A1342="","",'Lot Balance'!$B1341)</f>
        <v/>
      </c>
      <c r="C1342" s="18" t="str">
        <f>IF($A1342="","",'Lot Balance'!$C1341)</f>
        <v/>
      </c>
      <c r="D1342" s="25" t="str">
        <f>IF($A1342="","",'Lot Balance'!$G1341)</f>
        <v/>
      </c>
      <c r="E1342" s="25" t="str">
        <f>IF($A1342="","",'Lot Balance'!$H1341)</f>
        <v/>
      </c>
      <c r="F1342" s="23" t="str">
        <f>IF($A1342="","",'Lot Balance'!$I1341)</f>
        <v/>
      </c>
      <c r="G1342" s="23" t="str">
        <f>IF($A1342="","",'Lot Balance'!$O1341)</f>
        <v/>
      </c>
      <c r="H1342" s="33" t="str">
        <f>IF($A1342="","",'Lot Balance'!$P1341)</f>
        <v/>
      </c>
      <c r="I1342" s="26" t="str">
        <f>IF($A1342="","",COUNTIFS(tblIssues[Lot Number],$B1342))</f>
        <v/>
      </c>
      <c r="J1342" s="31" t="str">
        <f>IF($A1342="","",IF('Lot Balance'!$O1341&lt;=0,"Depleted",'Lot Balance'!$Q1341))</f>
        <v/>
      </c>
    </row>
    <row r="1343" spans="1:10" x14ac:dyDescent="0.35">
      <c r="A1343" s="18" t="str">
        <f>IF('Lot Balance'!$A1342="","",'Lot Balance'!$A1342)</f>
        <v/>
      </c>
      <c r="B1343" s="18" t="str">
        <f>IF($A1343="","",'Lot Balance'!$B1342)</f>
        <v/>
      </c>
      <c r="C1343" s="18" t="str">
        <f>IF($A1343="","",'Lot Balance'!$C1342)</f>
        <v/>
      </c>
      <c r="D1343" s="25" t="str">
        <f>IF($A1343="","",'Lot Balance'!$G1342)</f>
        <v/>
      </c>
      <c r="E1343" s="25" t="str">
        <f>IF($A1343="","",'Lot Balance'!$H1342)</f>
        <v/>
      </c>
      <c r="F1343" s="23" t="str">
        <f>IF($A1343="","",'Lot Balance'!$I1342)</f>
        <v/>
      </c>
      <c r="G1343" s="23" t="str">
        <f>IF($A1343="","",'Lot Balance'!$O1342)</f>
        <v/>
      </c>
      <c r="H1343" s="33" t="str">
        <f>IF($A1343="","",'Lot Balance'!$P1342)</f>
        <v/>
      </c>
      <c r="I1343" s="26" t="str">
        <f>IF($A1343="","",COUNTIFS(tblIssues[Lot Number],$B1343))</f>
        <v/>
      </c>
      <c r="J1343" s="31" t="str">
        <f>IF($A1343="","",IF('Lot Balance'!$O1342&lt;=0,"Depleted",'Lot Balance'!$Q1342))</f>
        <v/>
      </c>
    </row>
    <row r="1344" spans="1:10" x14ac:dyDescent="0.35">
      <c r="A1344" s="18" t="str">
        <f>IF('Lot Balance'!$A1343="","",'Lot Balance'!$A1343)</f>
        <v/>
      </c>
      <c r="B1344" s="18" t="str">
        <f>IF($A1344="","",'Lot Balance'!$B1343)</f>
        <v/>
      </c>
      <c r="C1344" s="18" t="str">
        <f>IF($A1344="","",'Lot Balance'!$C1343)</f>
        <v/>
      </c>
      <c r="D1344" s="25" t="str">
        <f>IF($A1344="","",'Lot Balance'!$G1343)</f>
        <v/>
      </c>
      <c r="E1344" s="25" t="str">
        <f>IF($A1344="","",'Lot Balance'!$H1343)</f>
        <v/>
      </c>
      <c r="F1344" s="23" t="str">
        <f>IF($A1344="","",'Lot Balance'!$I1343)</f>
        <v/>
      </c>
      <c r="G1344" s="23" t="str">
        <f>IF($A1344="","",'Lot Balance'!$O1343)</f>
        <v/>
      </c>
      <c r="H1344" s="33" t="str">
        <f>IF($A1344="","",'Lot Balance'!$P1343)</f>
        <v/>
      </c>
      <c r="I1344" s="26" t="str">
        <f>IF($A1344="","",COUNTIFS(tblIssues[Lot Number],$B1344))</f>
        <v/>
      </c>
      <c r="J1344" s="31" t="str">
        <f>IF($A1344="","",IF('Lot Balance'!$O1343&lt;=0,"Depleted",'Lot Balance'!$Q1343))</f>
        <v/>
      </c>
    </row>
    <row r="1345" spans="1:10" x14ac:dyDescent="0.35">
      <c r="A1345" s="18" t="str">
        <f>IF('Lot Balance'!$A1344="","",'Lot Balance'!$A1344)</f>
        <v/>
      </c>
      <c r="B1345" s="18" t="str">
        <f>IF($A1345="","",'Lot Balance'!$B1344)</f>
        <v/>
      </c>
      <c r="C1345" s="18" t="str">
        <f>IF($A1345="","",'Lot Balance'!$C1344)</f>
        <v/>
      </c>
      <c r="D1345" s="25" t="str">
        <f>IF($A1345="","",'Lot Balance'!$G1344)</f>
        <v/>
      </c>
      <c r="E1345" s="25" t="str">
        <f>IF($A1345="","",'Lot Balance'!$H1344)</f>
        <v/>
      </c>
      <c r="F1345" s="23" t="str">
        <f>IF($A1345="","",'Lot Balance'!$I1344)</f>
        <v/>
      </c>
      <c r="G1345" s="23" t="str">
        <f>IF($A1345="","",'Lot Balance'!$O1344)</f>
        <v/>
      </c>
      <c r="H1345" s="33" t="str">
        <f>IF($A1345="","",'Lot Balance'!$P1344)</f>
        <v/>
      </c>
      <c r="I1345" s="26" t="str">
        <f>IF($A1345="","",COUNTIFS(tblIssues[Lot Number],$B1345))</f>
        <v/>
      </c>
      <c r="J1345" s="31" t="str">
        <f>IF($A1345="","",IF('Lot Balance'!$O1344&lt;=0,"Depleted",'Lot Balance'!$Q1344))</f>
        <v/>
      </c>
    </row>
    <row r="1346" spans="1:10" x14ac:dyDescent="0.35">
      <c r="A1346" s="18" t="str">
        <f>IF('Lot Balance'!$A1345="","",'Lot Balance'!$A1345)</f>
        <v/>
      </c>
      <c r="B1346" s="18" t="str">
        <f>IF($A1346="","",'Lot Balance'!$B1345)</f>
        <v/>
      </c>
      <c r="C1346" s="18" t="str">
        <f>IF($A1346="","",'Lot Balance'!$C1345)</f>
        <v/>
      </c>
      <c r="D1346" s="25" t="str">
        <f>IF($A1346="","",'Lot Balance'!$G1345)</f>
        <v/>
      </c>
      <c r="E1346" s="25" t="str">
        <f>IF($A1346="","",'Lot Balance'!$H1345)</f>
        <v/>
      </c>
      <c r="F1346" s="23" t="str">
        <f>IF($A1346="","",'Lot Balance'!$I1345)</f>
        <v/>
      </c>
      <c r="G1346" s="23" t="str">
        <f>IF($A1346="","",'Lot Balance'!$O1345)</f>
        <v/>
      </c>
      <c r="H1346" s="33" t="str">
        <f>IF($A1346="","",'Lot Balance'!$P1345)</f>
        <v/>
      </c>
      <c r="I1346" s="26" t="str">
        <f>IF($A1346="","",COUNTIFS(tblIssues[Lot Number],$B1346))</f>
        <v/>
      </c>
      <c r="J1346" s="31" t="str">
        <f>IF($A1346="","",IF('Lot Balance'!$O1345&lt;=0,"Depleted",'Lot Balance'!$Q1345))</f>
        <v/>
      </c>
    </row>
    <row r="1347" spans="1:10" x14ac:dyDescent="0.35">
      <c r="A1347" s="18" t="str">
        <f>IF('Lot Balance'!$A1346="","",'Lot Balance'!$A1346)</f>
        <v/>
      </c>
      <c r="B1347" s="18" t="str">
        <f>IF($A1347="","",'Lot Balance'!$B1346)</f>
        <v/>
      </c>
      <c r="C1347" s="18" t="str">
        <f>IF($A1347="","",'Lot Balance'!$C1346)</f>
        <v/>
      </c>
      <c r="D1347" s="25" t="str">
        <f>IF($A1347="","",'Lot Balance'!$G1346)</f>
        <v/>
      </c>
      <c r="E1347" s="25" t="str">
        <f>IF($A1347="","",'Lot Balance'!$H1346)</f>
        <v/>
      </c>
      <c r="F1347" s="23" t="str">
        <f>IF($A1347="","",'Lot Balance'!$I1346)</f>
        <v/>
      </c>
      <c r="G1347" s="23" t="str">
        <f>IF($A1347="","",'Lot Balance'!$O1346)</f>
        <v/>
      </c>
      <c r="H1347" s="33" t="str">
        <f>IF($A1347="","",'Lot Balance'!$P1346)</f>
        <v/>
      </c>
      <c r="I1347" s="26" t="str">
        <f>IF($A1347="","",COUNTIFS(tblIssues[Lot Number],$B1347))</f>
        <v/>
      </c>
      <c r="J1347" s="31" t="str">
        <f>IF($A1347="","",IF('Lot Balance'!$O1346&lt;=0,"Depleted",'Lot Balance'!$Q1346))</f>
        <v/>
      </c>
    </row>
    <row r="1348" spans="1:10" x14ac:dyDescent="0.35">
      <c r="A1348" s="18" t="str">
        <f>IF('Lot Balance'!$A1347="","",'Lot Balance'!$A1347)</f>
        <v/>
      </c>
      <c r="B1348" s="18" t="str">
        <f>IF($A1348="","",'Lot Balance'!$B1347)</f>
        <v/>
      </c>
      <c r="C1348" s="18" t="str">
        <f>IF($A1348="","",'Lot Balance'!$C1347)</f>
        <v/>
      </c>
      <c r="D1348" s="25" t="str">
        <f>IF($A1348="","",'Lot Balance'!$G1347)</f>
        <v/>
      </c>
      <c r="E1348" s="25" t="str">
        <f>IF($A1348="","",'Lot Balance'!$H1347)</f>
        <v/>
      </c>
      <c r="F1348" s="23" t="str">
        <f>IF($A1348="","",'Lot Balance'!$I1347)</f>
        <v/>
      </c>
      <c r="G1348" s="23" t="str">
        <f>IF($A1348="","",'Lot Balance'!$O1347)</f>
        <v/>
      </c>
      <c r="H1348" s="33" t="str">
        <f>IF($A1348="","",'Lot Balance'!$P1347)</f>
        <v/>
      </c>
      <c r="I1348" s="26" t="str">
        <f>IF($A1348="","",COUNTIFS(tblIssues[Lot Number],$B1348))</f>
        <v/>
      </c>
      <c r="J1348" s="31" t="str">
        <f>IF($A1348="","",IF('Lot Balance'!$O1347&lt;=0,"Depleted",'Lot Balance'!$Q1347))</f>
        <v/>
      </c>
    </row>
    <row r="1349" spans="1:10" x14ac:dyDescent="0.35">
      <c r="A1349" s="18" t="str">
        <f>IF('Lot Balance'!$A1348="","",'Lot Balance'!$A1348)</f>
        <v/>
      </c>
      <c r="B1349" s="18" t="str">
        <f>IF($A1349="","",'Lot Balance'!$B1348)</f>
        <v/>
      </c>
      <c r="C1349" s="18" t="str">
        <f>IF($A1349="","",'Lot Balance'!$C1348)</f>
        <v/>
      </c>
      <c r="D1349" s="25" t="str">
        <f>IF($A1349="","",'Lot Balance'!$G1348)</f>
        <v/>
      </c>
      <c r="E1349" s="25" t="str">
        <f>IF($A1349="","",'Lot Balance'!$H1348)</f>
        <v/>
      </c>
      <c r="F1349" s="23" t="str">
        <f>IF($A1349="","",'Lot Balance'!$I1348)</f>
        <v/>
      </c>
      <c r="G1349" s="23" t="str">
        <f>IF($A1349="","",'Lot Balance'!$O1348)</f>
        <v/>
      </c>
      <c r="H1349" s="33" t="str">
        <f>IF($A1349="","",'Lot Balance'!$P1348)</f>
        <v/>
      </c>
      <c r="I1349" s="26" t="str">
        <f>IF($A1349="","",COUNTIFS(tblIssues[Lot Number],$B1349))</f>
        <v/>
      </c>
      <c r="J1349" s="31" t="str">
        <f>IF($A1349="","",IF('Lot Balance'!$O1348&lt;=0,"Depleted",'Lot Balance'!$Q1348))</f>
        <v/>
      </c>
    </row>
    <row r="1350" spans="1:10" x14ac:dyDescent="0.35">
      <c r="A1350" s="18" t="str">
        <f>IF('Lot Balance'!$A1349="","",'Lot Balance'!$A1349)</f>
        <v/>
      </c>
      <c r="B1350" s="18" t="str">
        <f>IF($A1350="","",'Lot Balance'!$B1349)</f>
        <v/>
      </c>
      <c r="C1350" s="18" t="str">
        <f>IF($A1350="","",'Lot Balance'!$C1349)</f>
        <v/>
      </c>
      <c r="D1350" s="25" t="str">
        <f>IF($A1350="","",'Lot Balance'!$G1349)</f>
        <v/>
      </c>
      <c r="E1350" s="25" t="str">
        <f>IF($A1350="","",'Lot Balance'!$H1349)</f>
        <v/>
      </c>
      <c r="F1350" s="23" t="str">
        <f>IF($A1350="","",'Lot Balance'!$I1349)</f>
        <v/>
      </c>
      <c r="G1350" s="23" t="str">
        <f>IF($A1350="","",'Lot Balance'!$O1349)</f>
        <v/>
      </c>
      <c r="H1350" s="33" t="str">
        <f>IF($A1350="","",'Lot Balance'!$P1349)</f>
        <v/>
      </c>
      <c r="I1350" s="26" t="str">
        <f>IF($A1350="","",COUNTIFS(tblIssues[Lot Number],$B1350))</f>
        <v/>
      </c>
      <c r="J1350" s="31" t="str">
        <f>IF($A1350="","",IF('Lot Balance'!$O1349&lt;=0,"Depleted",'Lot Balance'!$Q1349))</f>
        <v/>
      </c>
    </row>
    <row r="1351" spans="1:10" x14ac:dyDescent="0.35">
      <c r="A1351" s="18" t="str">
        <f>IF('Lot Balance'!$A1350="","",'Lot Balance'!$A1350)</f>
        <v/>
      </c>
      <c r="B1351" s="18" t="str">
        <f>IF($A1351="","",'Lot Balance'!$B1350)</f>
        <v/>
      </c>
      <c r="C1351" s="18" t="str">
        <f>IF($A1351="","",'Lot Balance'!$C1350)</f>
        <v/>
      </c>
      <c r="D1351" s="25" t="str">
        <f>IF($A1351="","",'Lot Balance'!$G1350)</f>
        <v/>
      </c>
      <c r="E1351" s="25" t="str">
        <f>IF($A1351="","",'Lot Balance'!$H1350)</f>
        <v/>
      </c>
      <c r="F1351" s="23" t="str">
        <f>IF($A1351="","",'Lot Balance'!$I1350)</f>
        <v/>
      </c>
      <c r="G1351" s="23" t="str">
        <f>IF($A1351="","",'Lot Balance'!$O1350)</f>
        <v/>
      </c>
      <c r="H1351" s="33" t="str">
        <f>IF($A1351="","",'Lot Balance'!$P1350)</f>
        <v/>
      </c>
      <c r="I1351" s="26" t="str">
        <f>IF($A1351="","",COUNTIFS(tblIssues[Lot Number],$B1351))</f>
        <v/>
      </c>
      <c r="J1351" s="31" t="str">
        <f>IF($A1351="","",IF('Lot Balance'!$O1350&lt;=0,"Depleted",'Lot Balance'!$Q1350))</f>
        <v/>
      </c>
    </row>
    <row r="1352" spans="1:10" x14ac:dyDescent="0.35">
      <c r="A1352" s="18" t="str">
        <f>IF('Lot Balance'!$A1351="","",'Lot Balance'!$A1351)</f>
        <v/>
      </c>
      <c r="B1352" s="18" t="str">
        <f>IF($A1352="","",'Lot Balance'!$B1351)</f>
        <v/>
      </c>
      <c r="C1352" s="18" t="str">
        <f>IF($A1352="","",'Lot Balance'!$C1351)</f>
        <v/>
      </c>
      <c r="D1352" s="25" t="str">
        <f>IF($A1352="","",'Lot Balance'!$G1351)</f>
        <v/>
      </c>
      <c r="E1352" s="25" t="str">
        <f>IF($A1352="","",'Lot Balance'!$H1351)</f>
        <v/>
      </c>
      <c r="F1352" s="23" t="str">
        <f>IF($A1352="","",'Lot Balance'!$I1351)</f>
        <v/>
      </c>
      <c r="G1352" s="23" t="str">
        <f>IF($A1352="","",'Lot Balance'!$O1351)</f>
        <v/>
      </c>
      <c r="H1352" s="33" t="str">
        <f>IF($A1352="","",'Lot Balance'!$P1351)</f>
        <v/>
      </c>
      <c r="I1352" s="26" t="str">
        <f>IF($A1352="","",COUNTIFS(tblIssues[Lot Number],$B1352))</f>
        <v/>
      </c>
      <c r="J1352" s="31" t="str">
        <f>IF($A1352="","",IF('Lot Balance'!$O1351&lt;=0,"Depleted",'Lot Balance'!$Q1351))</f>
        <v/>
      </c>
    </row>
    <row r="1353" spans="1:10" x14ac:dyDescent="0.35">
      <c r="A1353" s="18" t="str">
        <f>IF('Lot Balance'!$A1352="","",'Lot Balance'!$A1352)</f>
        <v/>
      </c>
      <c r="B1353" s="18" t="str">
        <f>IF($A1353="","",'Lot Balance'!$B1352)</f>
        <v/>
      </c>
      <c r="C1353" s="18" t="str">
        <f>IF($A1353="","",'Lot Balance'!$C1352)</f>
        <v/>
      </c>
      <c r="D1353" s="25" t="str">
        <f>IF($A1353="","",'Lot Balance'!$G1352)</f>
        <v/>
      </c>
      <c r="E1353" s="25" t="str">
        <f>IF($A1353="","",'Lot Balance'!$H1352)</f>
        <v/>
      </c>
      <c r="F1353" s="23" t="str">
        <f>IF($A1353="","",'Lot Balance'!$I1352)</f>
        <v/>
      </c>
      <c r="G1353" s="23" t="str">
        <f>IF($A1353="","",'Lot Balance'!$O1352)</f>
        <v/>
      </c>
      <c r="H1353" s="33" t="str">
        <f>IF($A1353="","",'Lot Balance'!$P1352)</f>
        <v/>
      </c>
      <c r="I1353" s="26" t="str">
        <f>IF($A1353="","",COUNTIFS(tblIssues[Lot Number],$B1353))</f>
        <v/>
      </c>
      <c r="J1353" s="31" t="str">
        <f>IF($A1353="","",IF('Lot Balance'!$O1352&lt;=0,"Depleted",'Lot Balance'!$Q1352))</f>
        <v/>
      </c>
    </row>
    <row r="1354" spans="1:10" x14ac:dyDescent="0.35">
      <c r="A1354" s="18" t="str">
        <f>IF('Lot Balance'!$A1353="","",'Lot Balance'!$A1353)</f>
        <v/>
      </c>
      <c r="B1354" s="18" t="str">
        <f>IF($A1354="","",'Lot Balance'!$B1353)</f>
        <v/>
      </c>
      <c r="C1354" s="18" t="str">
        <f>IF($A1354="","",'Lot Balance'!$C1353)</f>
        <v/>
      </c>
      <c r="D1354" s="25" t="str">
        <f>IF($A1354="","",'Lot Balance'!$G1353)</f>
        <v/>
      </c>
      <c r="E1354" s="25" t="str">
        <f>IF($A1354="","",'Lot Balance'!$H1353)</f>
        <v/>
      </c>
      <c r="F1354" s="23" t="str">
        <f>IF($A1354="","",'Lot Balance'!$I1353)</f>
        <v/>
      </c>
      <c r="G1354" s="23" t="str">
        <f>IF($A1354="","",'Lot Balance'!$O1353)</f>
        <v/>
      </c>
      <c r="H1354" s="33" t="str">
        <f>IF($A1354="","",'Lot Balance'!$P1353)</f>
        <v/>
      </c>
      <c r="I1354" s="26" t="str">
        <f>IF($A1354="","",COUNTIFS(tblIssues[Lot Number],$B1354))</f>
        <v/>
      </c>
      <c r="J1354" s="31" t="str">
        <f>IF($A1354="","",IF('Lot Balance'!$O1353&lt;=0,"Depleted",'Lot Balance'!$Q1353))</f>
        <v/>
      </c>
    </row>
    <row r="1355" spans="1:10" x14ac:dyDescent="0.35">
      <c r="A1355" s="18" t="str">
        <f>IF('Lot Balance'!$A1354="","",'Lot Balance'!$A1354)</f>
        <v/>
      </c>
      <c r="B1355" s="18" t="str">
        <f>IF($A1355="","",'Lot Balance'!$B1354)</f>
        <v/>
      </c>
      <c r="C1355" s="18" t="str">
        <f>IF($A1355="","",'Lot Balance'!$C1354)</f>
        <v/>
      </c>
      <c r="D1355" s="25" t="str">
        <f>IF($A1355="","",'Lot Balance'!$G1354)</f>
        <v/>
      </c>
      <c r="E1355" s="25" t="str">
        <f>IF($A1355="","",'Lot Balance'!$H1354)</f>
        <v/>
      </c>
      <c r="F1355" s="23" t="str">
        <f>IF($A1355="","",'Lot Balance'!$I1354)</f>
        <v/>
      </c>
      <c r="G1355" s="23" t="str">
        <f>IF($A1355="","",'Lot Balance'!$O1354)</f>
        <v/>
      </c>
      <c r="H1355" s="33" t="str">
        <f>IF($A1355="","",'Lot Balance'!$P1354)</f>
        <v/>
      </c>
      <c r="I1355" s="26" t="str">
        <f>IF($A1355="","",COUNTIFS(tblIssues[Lot Number],$B1355))</f>
        <v/>
      </c>
      <c r="J1355" s="31" t="str">
        <f>IF($A1355="","",IF('Lot Balance'!$O1354&lt;=0,"Depleted",'Lot Balance'!$Q1354))</f>
        <v/>
      </c>
    </row>
    <row r="1356" spans="1:10" x14ac:dyDescent="0.35">
      <c r="A1356" s="18" t="str">
        <f>IF('Lot Balance'!$A1355="","",'Lot Balance'!$A1355)</f>
        <v/>
      </c>
      <c r="B1356" s="18" t="str">
        <f>IF($A1356="","",'Lot Balance'!$B1355)</f>
        <v/>
      </c>
      <c r="C1356" s="18" t="str">
        <f>IF($A1356="","",'Lot Balance'!$C1355)</f>
        <v/>
      </c>
      <c r="D1356" s="25" t="str">
        <f>IF($A1356="","",'Lot Balance'!$G1355)</f>
        <v/>
      </c>
      <c r="E1356" s="25" t="str">
        <f>IF($A1356="","",'Lot Balance'!$H1355)</f>
        <v/>
      </c>
      <c r="F1356" s="23" t="str">
        <f>IF($A1356="","",'Lot Balance'!$I1355)</f>
        <v/>
      </c>
      <c r="G1356" s="23" t="str">
        <f>IF($A1356="","",'Lot Balance'!$O1355)</f>
        <v/>
      </c>
      <c r="H1356" s="33" t="str">
        <f>IF($A1356="","",'Lot Balance'!$P1355)</f>
        <v/>
      </c>
      <c r="I1356" s="26" t="str">
        <f>IF($A1356="","",COUNTIFS(tblIssues[Lot Number],$B1356))</f>
        <v/>
      </c>
      <c r="J1356" s="31" t="str">
        <f>IF($A1356="","",IF('Lot Balance'!$O1355&lt;=0,"Depleted",'Lot Balance'!$Q1355))</f>
        <v/>
      </c>
    </row>
    <row r="1357" spans="1:10" x14ac:dyDescent="0.35">
      <c r="A1357" s="18" t="str">
        <f>IF('Lot Balance'!$A1356="","",'Lot Balance'!$A1356)</f>
        <v/>
      </c>
      <c r="B1357" s="18" t="str">
        <f>IF($A1357="","",'Lot Balance'!$B1356)</f>
        <v/>
      </c>
      <c r="C1357" s="18" t="str">
        <f>IF($A1357="","",'Lot Balance'!$C1356)</f>
        <v/>
      </c>
      <c r="D1357" s="25" t="str">
        <f>IF($A1357="","",'Lot Balance'!$G1356)</f>
        <v/>
      </c>
      <c r="E1357" s="25" t="str">
        <f>IF($A1357="","",'Lot Balance'!$H1356)</f>
        <v/>
      </c>
      <c r="F1357" s="23" t="str">
        <f>IF($A1357="","",'Lot Balance'!$I1356)</f>
        <v/>
      </c>
      <c r="G1357" s="23" t="str">
        <f>IF($A1357="","",'Lot Balance'!$O1356)</f>
        <v/>
      </c>
      <c r="H1357" s="33" t="str">
        <f>IF($A1357="","",'Lot Balance'!$P1356)</f>
        <v/>
      </c>
      <c r="I1357" s="26" t="str">
        <f>IF($A1357="","",COUNTIFS(tblIssues[Lot Number],$B1357))</f>
        <v/>
      </c>
      <c r="J1357" s="31" t="str">
        <f>IF($A1357="","",IF('Lot Balance'!$O1356&lt;=0,"Depleted",'Lot Balance'!$Q1356))</f>
        <v/>
      </c>
    </row>
    <row r="1358" spans="1:10" x14ac:dyDescent="0.35">
      <c r="A1358" s="18" t="str">
        <f>IF('Lot Balance'!$A1357="","",'Lot Balance'!$A1357)</f>
        <v/>
      </c>
      <c r="B1358" s="18" t="str">
        <f>IF($A1358="","",'Lot Balance'!$B1357)</f>
        <v/>
      </c>
      <c r="C1358" s="18" t="str">
        <f>IF($A1358="","",'Lot Balance'!$C1357)</f>
        <v/>
      </c>
      <c r="D1358" s="25" t="str">
        <f>IF($A1358="","",'Lot Balance'!$G1357)</f>
        <v/>
      </c>
      <c r="E1358" s="25" t="str">
        <f>IF($A1358="","",'Lot Balance'!$H1357)</f>
        <v/>
      </c>
      <c r="F1358" s="23" t="str">
        <f>IF($A1358="","",'Lot Balance'!$I1357)</f>
        <v/>
      </c>
      <c r="G1358" s="23" t="str">
        <f>IF($A1358="","",'Lot Balance'!$O1357)</f>
        <v/>
      </c>
      <c r="H1358" s="33" t="str">
        <f>IF($A1358="","",'Lot Balance'!$P1357)</f>
        <v/>
      </c>
      <c r="I1358" s="26" t="str">
        <f>IF($A1358="","",COUNTIFS(tblIssues[Lot Number],$B1358))</f>
        <v/>
      </c>
      <c r="J1358" s="31" t="str">
        <f>IF($A1358="","",IF('Lot Balance'!$O1357&lt;=0,"Depleted",'Lot Balance'!$Q1357))</f>
        <v/>
      </c>
    </row>
    <row r="1359" spans="1:10" x14ac:dyDescent="0.35">
      <c r="A1359" s="18" t="str">
        <f>IF('Lot Balance'!$A1358="","",'Lot Balance'!$A1358)</f>
        <v/>
      </c>
      <c r="B1359" s="18" t="str">
        <f>IF($A1359="","",'Lot Balance'!$B1358)</f>
        <v/>
      </c>
      <c r="C1359" s="18" t="str">
        <f>IF($A1359="","",'Lot Balance'!$C1358)</f>
        <v/>
      </c>
      <c r="D1359" s="25" t="str">
        <f>IF($A1359="","",'Lot Balance'!$G1358)</f>
        <v/>
      </c>
      <c r="E1359" s="25" t="str">
        <f>IF($A1359="","",'Lot Balance'!$H1358)</f>
        <v/>
      </c>
      <c r="F1359" s="23" t="str">
        <f>IF($A1359="","",'Lot Balance'!$I1358)</f>
        <v/>
      </c>
      <c r="G1359" s="23" t="str">
        <f>IF($A1359="","",'Lot Balance'!$O1358)</f>
        <v/>
      </c>
      <c r="H1359" s="33" t="str">
        <f>IF($A1359="","",'Lot Balance'!$P1358)</f>
        <v/>
      </c>
      <c r="I1359" s="26" t="str">
        <f>IF($A1359="","",COUNTIFS(tblIssues[Lot Number],$B1359))</f>
        <v/>
      </c>
      <c r="J1359" s="31" t="str">
        <f>IF($A1359="","",IF('Lot Balance'!$O1358&lt;=0,"Depleted",'Lot Balance'!$Q1358))</f>
        <v/>
      </c>
    </row>
    <row r="1360" spans="1:10" x14ac:dyDescent="0.35">
      <c r="A1360" s="18" t="str">
        <f>IF('Lot Balance'!$A1359="","",'Lot Balance'!$A1359)</f>
        <v/>
      </c>
      <c r="B1360" s="18" t="str">
        <f>IF($A1360="","",'Lot Balance'!$B1359)</f>
        <v/>
      </c>
      <c r="C1360" s="18" t="str">
        <f>IF($A1360="","",'Lot Balance'!$C1359)</f>
        <v/>
      </c>
      <c r="D1360" s="25" t="str">
        <f>IF($A1360="","",'Lot Balance'!$G1359)</f>
        <v/>
      </c>
      <c r="E1360" s="25" t="str">
        <f>IF($A1360="","",'Lot Balance'!$H1359)</f>
        <v/>
      </c>
      <c r="F1360" s="23" t="str">
        <f>IF($A1360="","",'Lot Balance'!$I1359)</f>
        <v/>
      </c>
      <c r="G1360" s="23" t="str">
        <f>IF($A1360="","",'Lot Balance'!$O1359)</f>
        <v/>
      </c>
      <c r="H1360" s="33" t="str">
        <f>IF($A1360="","",'Lot Balance'!$P1359)</f>
        <v/>
      </c>
      <c r="I1360" s="26" t="str">
        <f>IF($A1360="","",COUNTIFS(tblIssues[Lot Number],$B1360))</f>
        <v/>
      </c>
      <c r="J1360" s="31" t="str">
        <f>IF($A1360="","",IF('Lot Balance'!$O1359&lt;=0,"Depleted",'Lot Balance'!$Q1359))</f>
        <v/>
      </c>
    </row>
    <row r="1361" spans="1:10" x14ac:dyDescent="0.35">
      <c r="A1361" s="18" t="str">
        <f>IF('Lot Balance'!$A1360="","",'Lot Balance'!$A1360)</f>
        <v/>
      </c>
      <c r="B1361" s="18" t="str">
        <f>IF($A1361="","",'Lot Balance'!$B1360)</f>
        <v/>
      </c>
      <c r="C1361" s="18" t="str">
        <f>IF($A1361="","",'Lot Balance'!$C1360)</f>
        <v/>
      </c>
      <c r="D1361" s="25" t="str">
        <f>IF($A1361="","",'Lot Balance'!$G1360)</f>
        <v/>
      </c>
      <c r="E1361" s="25" t="str">
        <f>IF($A1361="","",'Lot Balance'!$H1360)</f>
        <v/>
      </c>
      <c r="F1361" s="23" t="str">
        <f>IF($A1361="","",'Lot Balance'!$I1360)</f>
        <v/>
      </c>
      <c r="G1361" s="23" t="str">
        <f>IF($A1361="","",'Lot Balance'!$O1360)</f>
        <v/>
      </c>
      <c r="H1361" s="33" t="str">
        <f>IF($A1361="","",'Lot Balance'!$P1360)</f>
        <v/>
      </c>
      <c r="I1361" s="26" t="str">
        <f>IF($A1361="","",COUNTIFS(tblIssues[Lot Number],$B1361))</f>
        <v/>
      </c>
      <c r="J1361" s="31" t="str">
        <f>IF($A1361="","",IF('Lot Balance'!$O1360&lt;=0,"Depleted",'Lot Balance'!$Q1360))</f>
        <v/>
      </c>
    </row>
    <row r="1362" spans="1:10" x14ac:dyDescent="0.35">
      <c r="A1362" s="18" t="str">
        <f>IF('Lot Balance'!$A1361="","",'Lot Balance'!$A1361)</f>
        <v/>
      </c>
      <c r="B1362" s="18" t="str">
        <f>IF($A1362="","",'Lot Balance'!$B1361)</f>
        <v/>
      </c>
      <c r="C1362" s="18" t="str">
        <f>IF($A1362="","",'Lot Balance'!$C1361)</f>
        <v/>
      </c>
      <c r="D1362" s="25" t="str">
        <f>IF($A1362="","",'Lot Balance'!$G1361)</f>
        <v/>
      </c>
      <c r="E1362" s="25" t="str">
        <f>IF($A1362="","",'Lot Balance'!$H1361)</f>
        <v/>
      </c>
      <c r="F1362" s="23" t="str">
        <f>IF($A1362="","",'Lot Balance'!$I1361)</f>
        <v/>
      </c>
      <c r="G1362" s="23" t="str">
        <f>IF($A1362="","",'Lot Balance'!$O1361)</f>
        <v/>
      </c>
      <c r="H1362" s="33" t="str">
        <f>IF($A1362="","",'Lot Balance'!$P1361)</f>
        <v/>
      </c>
      <c r="I1362" s="26" t="str">
        <f>IF($A1362="","",COUNTIFS(tblIssues[Lot Number],$B1362))</f>
        <v/>
      </c>
      <c r="J1362" s="31" t="str">
        <f>IF($A1362="","",IF('Lot Balance'!$O1361&lt;=0,"Depleted",'Lot Balance'!$Q1361))</f>
        <v/>
      </c>
    </row>
    <row r="1363" spans="1:10" x14ac:dyDescent="0.35">
      <c r="A1363" s="18" t="str">
        <f>IF('Lot Balance'!$A1362="","",'Lot Balance'!$A1362)</f>
        <v/>
      </c>
      <c r="B1363" s="18" t="str">
        <f>IF($A1363="","",'Lot Balance'!$B1362)</f>
        <v/>
      </c>
      <c r="C1363" s="18" t="str">
        <f>IF($A1363="","",'Lot Balance'!$C1362)</f>
        <v/>
      </c>
      <c r="D1363" s="25" t="str">
        <f>IF($A1363="","",'Lot Balance'!$G1362)</f>
        <v/>
      </c>
      <c r="E1363" s="25" t="str">
        <f>IF($A1363="","",'Lot Balance'!$H1362)</f>
        <v/>
      </c>
      <c r="F1363" s="23" t="str">
        <f>IF($A1363="","",'Lot Balance'!$I1362)</f>
        <v/>
      </c>
      <c r="G1363" s="23" t="str">
        <f>IF($A1363="","",'Lot Balance'!$O1362)</f>
        <v/>
      </c>
      <c r="H1363" s="33" t="str">
        <f>IF($A1363="","",'Lot Balance'!$P1362)</f>
        <v/>
      </c>
      <c r="I1363" s="26" t="str">
        <f>IF($A1363="","",COUNTIFS(tblIssues[Lot Number],$B1363))</f>
        <v/>
      </c>
      <c r="J1363" s="31" t="str">
        <f>IF($A1363="","",IF('Lot Balance'!$O1362&lt;=0,"Depleted",'Lot Balance'!$Q1362))</f>
        <v/>
      </c>
    </row>
    <row r="1364" spans="1:10" x14ac:dyDescent="0.35">
      <c r="A1364" s="18" t="str">
        <f>IF('Lot Balance'!$A1363="","",'Lot Balance'!$A1363)</f>
        <v/>
      </c>
      <c r="B1364" s="18" t="str">
        <f>IF($A1364="","",'Lot Balance'!$B1363)</f>
        <v/>
      </c>
      <c r="C1364" s="18" t="str">
        <f>IF($A1364="","",'Lot Balance'!$C1363)</f>
        <v/>
      </c>
      <c r="D1364" s="25" t="str">
        <f>IF($A1364="","",'Lot Balance'!$G1363)</f>
        <v/>
      </c>
      <c r="E1364" s="25" t="str">
        <f>IF($A1364="","",'Lot Balance'!$H1363)</f>
        <v/>
      </c>
      <c r="F1364" s="23" t="str">
        <f>IF($A1364="","",'Lot Balance'!$I1363)</f>
        <v/>
      </c>
      <c r="G1364" s="23" t="str">
        <f>IF($A1364="","",'Lot Balance'!$O1363)</f>
        <v/>
      </c>
      <c r="H1364" s="33" t="str">
        <f>IF($A1364="","",'Lot Balance'!$P1363)</f>
        <v/>
      </c>
      <c r="I1364" s="26" t="str">
        <f>IF($A1364="","",COUNTIFS(tblIssues[Lot Number],$B1364))</f>
        <v/>
      </c>
      <c r="J1364" s="31" t="str">
        <f>IF($A1364="","",IF('Lot Balance'!$O1363&lt;=0,"Depleted",'Lot Balance'!$Q1363))</f>
        <v/>
      </c>
    </row>
    <row r="1365" spans="1:10" x14ac:dyDescent="0.35">
      <c r="A1365" s="18" t="str">
        <f>IF('Lot Balance'!$A1364="","",'Lot Balance'!$A1364)</f>
        <v/>
      </c>
      <c r="B1365" s="18" t="str">
        <f>IF($A1365="","",'Lot Balance'!$B1364)</f>
        <v/>
      </c>
      <c r="C1365" s="18" t="str">
        <f>IF($A1365="","",'Lot Balance'!$C1364)</f>
        <v/>
      </c>
      <c r="D1365" s="25" t="str">
        <f>IF($A1365="","",'Lot Balance'!$G1364)</f>
        <v/>
      </c>
      <c r="E1365" s="25" t="str">
        <f>IF($A1365="","",'Lot Balance'!$H1364)</f>
        <v/>
      </c>
      <c r="F1365" s="23" t="str">
        <f>IF($A1365="","",'Lot Balance'!$I1364)</f>
        <v/>
      </c>
      <c r="G1365" s="23" t="str">
        <f>IF($A1365="","",'Lot Balance'!$O1364)</f>
        <v/>
      </c>
      <c r="H1365" s="33" t="str">
        <f>IF($A1365="","",'Lot Balance'!$P1364)</f>
        <v/>
      </c>
      <c r="I1365" s="26" t="str">
        <f>IF($A1365="","",COUNTIFS(tblIssues[Lot Number],$B1365))</f>
        <v/>
      </c>
      <c r="J1365" s="31" t="str">
        <f>IF($A1365="","",IF('Lot Balance'!$O1364&lt;=0,"Depleted",'Lot Balance'!$Q1364))</f>
        <v/>
      </c>
    </row>
    <row r="1366" spans="1:10" x14ac:dyDescent="0.35">
      <c r="A1366" s="18" t="str">
        <f>IF('Lot Balance'!$A1365="","",'Lot Balance'!$A1365)</f>
        <v/>
      </c>
      <c r="B1366" s="18" t="str">
        <f>IF($A1366="","",'Lot Balance'!$B1365)</f>
        <v/>
      </c>
      <c r="C1366" s="18" t="str">
        <f>IF($A1366="","",'Lot Balance'!$C1365)</f>
        <v/>
      </c>
      <c r="D1366" s="25" t="str">
        <f>IF($A1366="","",'Lot Balance'!$G1365)</f>
        <v/>
      </c>
      <c r="E1366" s="25" t="str">
        <f>IF($A1366="","",'Lot Balance'!$H1365)</f>
        <v/>
      </c>
      <c r="F1366" s="23" t="str">
        <f>IF($A1366="","",'Lot Balance'!$I1365)</f>
        <v/>
      </c>
      <c r="G1366" s="23" t="str">
        <f>IF($A1366="","",'Lot Balance'!$O1365)</f>
        <v/>
      </c>
      <c r="H1366" s="33" t="str">
        <f>IF($A1366="","",'Lot Balance'!$P1365)</f>
        <v/>
      </c>
      <c r="I1366" s="26" t="str">
        <f>IF($A1366="","",COUNTIFS(tblIssues[Lot Number],$B1366))</f>
        <v/>
      </c>
      <c r="J1366" s="31" t="str">
        <f>IF($A1366="","",IF('Lot Balance'!$O1365&lt;=0,"Depleted",'Lot Balance'!$Q1365))</f>
        <v/>
      </c>
    </row>
    <row r="1367" spans="1:10" x14ac:dyDescent="0.35">
      <c r="A1367" s="18" t="str">
        <f>IF('Lot Balance'!$A1366="","",'Lot Balance'!$A1366)</f>
        <v/>
      </c>
      <c r="B1367" s="18" t="str">
        <f>IF($A1367="","",'Lot Balance'!$B1366)</f>
        <v/>
      </c>
      <c r="C1367" s="18" t="str">
        <f>IF($A1367="","",'Lot Balance'!$C1366)</f>
        <v/>
      </c>
      <c r="D1367" s="25" t="str">
        <f>IF($A1367="","",'Lot Balance'!$G1366)</f>
        <v/>
      </c>
      <c r="E1367" s="25" t="str">
        <f>IF($A1367="","",'Lot Balance'!$H1366)</f>
        <v/>
      </c>
      <c r="F1367" s="23" t="str">
        <f>IF($A1367="","",'Lot Balance'!$I1366)</f>
        <v/>
      </c>
      <c r="G1367" s="23" t="str">
        <f>IF($A1367="","",'Lot Balance'!$O1366)</f>
        <v/>
      </c>
      <c r="H1367" s="33" t="str">
        <f>IF($A1367="","",'Lot Balance'!$P1366)</f>
        <v/>
      </c>
      <c r="I1367" s="26" t="str">
        <f>IF($A1367="","",COUNTIFS(tblIssues[Lot Number],$B1367))</f>
        <v/>
      </c>
      <c r="J1367" s="31" t="str">
        <f>IF($A1367="","",IF('Lot Balance'!$O1366&lt;=0,"Depleted",'Lot Balance'!$Q1366))</f>
        <v/>
      </c>
    </row>
    <row r="1368" spans="1:10" x14ac:dyDescent="0.35">
      <c r="A1368" s="18" t="str">
        <f>IF('Lot Balance'!$A1367="","",'Lot Balance'!$A1367)</f>
        <v/>
      </c>
      <c r="B1368" s="18" t="str">
        <f>IF($A1368="","",'Lot Balance'!$B1367)</f>
        <v/>
      </c>
      <c r="C1368" s="18" t="str">
        <f>IF($A1368="","",'Lot Balance'!$C1367)</f>
        <v/>
      </c>
      <c r="D1368" s="25" t="str">
        <f>IF($A1368="","",'Lot Balance'!$G1367)</f>
        <v/>
      </c>
      <c r="E1368" s="25" t="str">
        <f>IF($A1368="","",'Lot Balance'!$H1367)</f>
        <v/>
      </c>
      <c r="F1368" s="23" t="str">
        <f>IF($A1368="","",'Lot Balance'!$I1367)</f>
        <v/>
      </c>
      <c r="G1368" s="23" t="str">
        <f>IF($A1368="","",'Lot Balance'!$O1367)</f>
        <v/>
      </c>
      <c r="H1368" s="33" t="str">
        <f>IF($A1368="","",'Lot Balance'!$P1367)</f>
        <v/>
      </c>
      <c r="I1368" s="26" t="str">
        <f>IF($A1368="","",COUNTIFS(tblIssues[Lot Number],$B1368))</f>
        <v/>
      </c>
      <c r="J1368" s="31" t="str">
        <f>IF($A1368="","",IF('Lot Balance'!$O1367&lt;=0,"Depleted",'Lot Balance'!$Q1367))</f>
        <v/>
      </c>
    </row>
    <row r="1369" spans="1:10" x14ac:dyDescent="0.35">
      <c r="A1369" s="18" t="str">
        <f>IF('Lot Balance'!$A1368="","",'Lot Balance'!$A1368)</f>
        <v/>
      </c>
      <c r="B1369" s="18" t="str">
        <f>IF($A1369="","",'Lot Balance'!$B1368)</f>
        <v/>
      </c>
      <c r="C1369" s="18" t="str">
        <f>IF($A1369="","",'Lot Balance'!$C1368)</f>
        <v/>
      </c>
      <c r="D1369" s="25" t="str">
        <f>IF($A1369="","",'Lot Balance'!$G1368)</f>
        <v/>
      </c>
      <c r="E1369" s="25" t="str">
        <f>IF($A1369="","",'Lot Balance'!$H1368)</f>
        <v/>
      </c>
      <c r="F1369" s="23" t="str">
        <f>IF($A1369="","",'Lot Balance'!$I1368)</f>
        <v/>
      </c>
      <c r="G1369" s="23" t="str">
        <f>IF($A1369="","",'Lot Balance'!$O1368)</f>
        <v/>
      </c>
      <c r="H1369" s="33" t="str">
        <f>IF($A1369="","",'Lot Balance'!$P1368)</f>
        <v/>
      </c>
      <c r="I1369" s="26" t="str">
        <f>IF($A1369="","",COUNTIFS(tblIssues[Lot Number],$B1369))</f>
        <v/>
      </c>
      <c r="J1369" s="31" t="str">
        <f>IF($A1369="","",IF('Lot Balance'!$O1368&lt;=0,"Depleted",'Lot Balance'!$Q1368))</f>
        <v/>
      </c>
    </row>
    <row r="1370" spans="1:10" x14ac:dyDescent="0.35">
      <c r="A1370" s="18" t="str">
        <f>IF('Lot Balance'!$A1369="","",'Lot Balance'!$A1369)</f>
        <v/>
      </c>
      <c r="B1370" s="18" t="str">
        <f>IF($A1370="","",'Lot Balance'!$B1369)</f>
        <v/>
      </c>
      <c r="C1370" s="18" t="str">
        <f>IF($A1370="","",'Lot Balance'!$C1369)</f>
        <v/>
      </c>
      <c r="D1370" s="25" t="str">
        <f>IF($A1370="","",'Lot Balance'!$G1369)</f>
        <v/>
      </c>
      <c r="E1370" s="25" t="str">
        <f>IF($A1370="","",'Lot Balance'!$H1369)</f>
        <v/>
      </c>
      <c r="F1370" s="23" t="str">
        <f>IF($A1370="","",'Lot Balance'!$I1369)</f>
        <v/>
      </c>
      <c r="G1370" s="23" t="str">
        <f>IF($A1370="","",'Lot Balance'!$O1369)</f>
        <v/>
      </c>
      <c r="H1370" s="33" t="str">
        <f>IF($A1370="","",'Lot Balance'!$P1369)</f>
        <v/>
      </c>
      <c r="I1370" s="26" t="str">
        <f>IF($A1370="","",COUNTIFS(tblIssues[Lot Number],$B1370))</f>
        <v/>
      </c>
      <c r="J1370" s="31" t="str">
        <f>IF($A1370="","",IF('Lot Balance'!$O1369&lt;=0,"Depleted",'Lot Balance'!$Q1369))</f>
        <v/>
      </c>
    </row>
    <row r="1371" spans="1:10" x14ac:dyDescent="0.35">
      <c r="A1371" s="18" t="str">
        <f>IF('Lot Balance'!$A1370="","",'Lot Balance'!$A1370)</f>
        <v/>
      </c>
      <c r="B1371" s="18" t="str">
        <f>IF($A1371="","",'Lot Balance'!$B1370)</f>
        <v/>
      </c>
      <c r="C1371" s="18" t="str">
        <f>IF($A1371="","",'Lot Balance'!$C1370)</f>
        <v/>
      </c>
      <c r="D1371" s="25" t="str">
        <f>IF($A1371="","",'Lot Balance'!$G1370)</f>
        <v/>
      </c>
      <c r="E1371" s="25" t="str">
        <f>IF($A1371="","",'Lot Balance'!$H1370)</f>
        <v/>
      </c>
      <c r="F1371" s="23" t="str">
        <f>IF($A1371="","",'Lot Balance'!$I1370)</f>
        <v/>
      </c>
      <c r="G1371" s="23" t="str">
        <f>IF($A1371="","",'Lot Balance'!$O1370)</f>
        <v/>
      </c>
      <c r="H1371" s="33" t="str">
        <f>IF($A1371="","",'Lot Balance'!$P1370)</f>
        <v/>
      </c>
      <c r="I1371" s="26" t="str">
        <f>IF($A1371="","",COUNTIFS(tblIssues[Lot Number],$B1371))</f>
        <v/>
      </c>
      <c r="J1371" s="31" t="str">
        <f>IF($A1371="","",IF('Lot Balance'!$O1370&lt;=0,"Depleted",'Lot Balance'!$Q1370))</f>
        <v/>
      </c>
    </row>
    <row r="1372" spans="1:10" x14ac:dyDescent="0.35">
      <c r="A1372" s="18" t="str">
        <f>IF('Lot Balance'!$A1371="","",'Lot Balance'!$A1371)</f>
        <v/>
      </c>
      <c r="B1372" s="18" t="str">
        <f>IF($A1372="","",'Lot Balance'!$B1371)</f>
        <v/>
      </c>
      <c r="C1372" s="18" t="str">
        <f>IF($A1372="","",'Lot Balance'!$C1371)</f>
        <v/>
      </c>
      <c r="D1372" s="25" t="str">
        <f>IF($A1372="","",'Lot Balance'!$G1371)</f>
        <v/>
      </c>
      <c r="E1372" s="25" t="str">
        <f>IF($A1372="","",'Lot Balance'!$H1371)</f>
        <v/>
      </c>
      <c r="F1372" s="23" t="str">
        <f>IF($A1372="","",'Lot Balance'!$I1371)</f>
        <v/>
      </c>
      <c r="G1372" s="23" t="str">
        <f>IF($A1372="","",'Lot Balance'!$O1371)</f>
        <v/>
      </c>
      <c r="H1372" s="33" t="str">
        <f>IF($A1372="","",'Lot Balance'!$P1371)</f>
        <v/>
      </c>
      <c r="I1372" s="26" t="str">
        <f>IF($A1372="","",COUNTIFS(tblIssues[Lot Number],$B1372))</f>
        <v/>
      </c>
      <c r="J1372" s="31" t="str">
        <f>IF($A1372="","",IF('Lot Balance'!$O1371&lt;=0,"Depleted",'Lot Balance'!$Q1371))</f>
        <v/>
      </c>
    </row>
    <row r="1373" spans="1:10" x14ac:dyDescent="0.35">
      <c r="A1373" s="18" t="str">
        <f>IF('Lot Balance'!$A1372="","",'Lot Balance'!$A1372)</f>
        <v/>
      </c>
      <c r="B1373" s="18" t="str">
        <f>IF($A1373="","",'Lot Balance'!$B1372)</f>
        <v/>
      </c>
      <c r="C1373" s="18" t="str">
        <f>IF($A1373="","",'Lot Balance'!$C1372)</f>
        <v/>
      </c>
      <c r="D1373" s="25" t="str">
        <f>IF($A1373="","",'Lot Balance'!$G1372)</f>
        <v/>
      </c>
      <c r="E1373" s="25" t="str">
        <f>IF($A1373="","",'Lot Balance'!$H1372)</f>
        <v/>
      </c>
      <c r="F1373" s="23" t="str">
        <f>IF($A1373="","",'Lot Balance'!$I1372)</f>
        <v/>
      </c>
      <c r="G1373" s="23" t="str">
        <f>IF($A1373="","",'Lot Balance'!$O1372)</f>
        <v/>
      </c>
      <c r="H1373" s="33" t="str">
        <f>IF($A1373="","",'Lot Balance'!$P1372)</f>
        <v/>
      </c>
      <c r="I1373" s="26" t="str">
        <f>IF($A1373="","",COUNTIFS(tblIssues[Lot Number],$B1373))</f>
        <v/>
      </c>
      <c r="J1373" s="31" t="str">
        <f>IF($A1373="","",IF('Lot Balance'!$O1372&lt;=0,"Depleted",'Lot Balance'!$Q1372))</f>
        <v/>
      </c>
    </row>
    <row r="1374" spans="1:10" x14ac:dyDescent="0.35">
      <c r="A1374" s="18" t="str">
        <f>IF('Lot Balance'!$A1373="","",'Lot Balance'!$A1373)</f>
        <v/>
      </c>
      <c r="B1374" s="18" t="str">
        <f>IF($A1374="","",'Lot Balance'!$B1373)</f>
        <v/>
      </c>
      <c r="C1374" s="18" t="str">
        <f>IF($A1374="","",'Lot Balance'!$C1373)</f>
        <v/>
      </c>
      <c r="D1374" s="25" t="str">
        <f>IF($A1374="","",'Lot Balance'!$G1373)</f>
        <v/>
      </c>
      <c r="E1374" s="25" t="str">
        <f>IF($A1374="","",'Lot Balance'!$H1373)</f>
        <v/>
      </c>
      <c r="F1374" s="23" t="str">
        <f>IF($A1374="","",'Lot Balance'!$I1373)</f>
        <v/>
      </c>
      <c r="G1374" s="23" t="str">
        <f>IF($A1374="","",'Lot Balance'!$O1373)</f>
        <v/>
      </c>
      <c r="H1374" s="33" t="str">
        <f>IF($A1374="","",'Lot Balance'!$P1373)</f>
        <v/>
      </c>
      <c r="I1374" s="26" t="str">
        <f>IF($A1374="","",COUNTIFS(tblIssues[Lot Number],$B1374))</f>
        <v/>
      </c>
      <c r="J1374" s="31" t="str">
        <f>IF($A1374="","",IF('Lot Balance'!$O1373&lt;=0,"Depleted",'Lot Balance'!$Q1373))</f>
        <v/>
      </c>
    </row>
    <row r="1375" spans="1:10" x14ac:dyDescent="0.35">
      <c r="A1375" s="18" t="str">
        <f>IF('Lot Balance'!$A1374="","",'Lot Balance'!$A1374)</f>
        <v/>
      </c>
      <c r="B1375" s="18" t="str">
        <f>IF($A1375="","",'Lot Balance'!$B1374)</f>
        <v/>
      </c>
      <c r="C1375" s="18" t="str">
        <f>IF($A1375="","",'Lot Balance'!$C1374)</f>
        <v/>
      </c>
      <c r="D1375" s="25" t="str">
        <f>IF($A1375="","",'Lot Balance'!$G1374)</f>
        <v/>
      </c>
      <c r="E1375" s="25" t="str">
        <f>IF($A1375="","",'Lot Balance'!$H1374)</f>
        <v/>
      </c>
      <c r="F1375" s="23" t="str">
        <f>IF($A1375="","",'Lot Balance'!$I1374)</f>
        <v/>
      </c>
      <c r="G1375" s="23" t="str">
        <f>IF($A1375="","",'Lot Balance'!$O1374)</f>
        <v/>
      </c>
      <c r="H1375" s="33" t="str">
        <f>IF($A1375="","",'Lot Balance'!$P1374)</f>
        <v/>
      </c>
      <c r="I1375" s="26" t="str">
        <f>IF($A1375="","",COUNTIFS(tblIssues[Lot Number],$B1375))</f>
        <v/>
      </c>
      <c r="J1375" s="31" t="str">
        <f>IF($A1375="","",IF('Lot Balance'!$O1374&lt;=0,"Depleted",'Lot Balance'!$Q1374))</f>
        <v/>
      </c>
    </row>
    <row r="1376" spans="1:10" x14ac:dyDescent="0.35">
      <c r="A1376" s="18" t="str">
        <f>IF('Lot Balance'!$A1375="","",'Lot Balance'!$A1375)</f>
        <v/>
      </c>
      <c r="B1376" s="18" t="str">
        <f>IF($A1376="","",'Lot Balance'!$B1375)</f>
        <v/>
      </c>
      <c r="C1376" s="18" t="str">
        <f>IF($A1376="","",'Lot Balance'!$C1375)</f>
        <v/>
      </c>
      <c r="D1376" s="25" t="str">
        <f>IF($A1376="","",'Lot Balance'!$G1375)</f>
        <v/>
      </c>
      <c r="E1376" s="25" t="str">
        <f>IF($A1376="","",'Lot Balance'!$H1375)</f>
        <v/>
      </c>
      <c r="F1376" s="23" t="str">
        <f>IF($A1376="","",'Lot Balance'!$I1375)</f>
        <v/>
      </c>
      <c r="G1376" s="23" t="str">
        <f>IF($A1376="","",'Lot Balance'!$O1375)</f>
        <v/>
      </c>
      <c r="H1376" s="33" t="str">
        <f>IF($A1376="","",'Lot Balance'!$P1375)</f>
        <v/>
      </c>
      <c r="I1376" s="26" t="str">
        <f>IF($A1376="","",COUNTIFS(tblIssues[Lot Number],$B1376))</f>
        <v/>
      </c>
      <c r="J1376" s="31" t="str">
        <f>IF($A1376="","",IF('Lot Balance'!$O1375&lt;=0,"Depleted",'Lot Balance'!$Q1375))</f>
        <v/>
      </c>
    </row>
    <row r="1377" spans="1:10" x14ac:dyDescent="0.35">
      <c r="A1377" s="18" t="str">
        <f>IF('Lot Balance'!$A1376="","",'Lot Balance'!$A1376)</f>
        <v/>
      </c>
      <c r="B1377" s="18" t="str">
        <f>IF($A1377="","",'Lot Balance'!$B1376)</f>
        <v/>
      </c>
      <c r="C1377" s="18" t="str">
        <f>IF($A1377="","",'Lot Balance'!$C1376)</f>
        <v/>
      </c>
      <c r="D1377" s="25" t="str">
        <f>IF($A1377="","",'Lot Balance'!$G1376)</f>
        <v/>
      </c>
      <c r="E1377" s="25" t="str">
        <f>IF($A1377="","",'Lot Balance'!$H1376)</f>
        <v/>
      </c>
      <c r="F1377" s="23" t="str">
        <f>IF($A1377="","",'Lot Balance'!$I1376)</f>
        <v/>
      </c>
      <c r="G1377" s="23" t="str">
        <f>IF($A1377="","",'Lot Balance'!$O1376)</f>
        <v/>
      </c>
      <c r="H1377" s="33" t="str">
        <f>IF($A1377="","",'Lot Balance'!$P1376)</f>
        <v/>
      </c>
      <c r="I1377" s="26" t="str">
        <f>IF($A1377="","",COUNTIFS(tblIssues[Lot Number],$B1377))</f>
        <v/>
      </c>
      <c r="J1377" s="31" t="str">
        <f>IF($A1377="","",IF('Lot Balance'!$O1376&lt;=0,"Depleted",'Lot Balance'!$Q1376))</f>
        <v/>
      </c>
    </row>
    <row r="1378" spans="1:10" x14ac:dyDescent="0.35">
      <c r="A1378" s="18" t="str">
        <f>IF('Lot Balance'!$A1377="","",'Lot Balance'!$A1377)</f>
        <v/>
      </c>
      <c r="B1378" s="18" t="str">
        <f>IF($A1378="","",'Lot Balance'!$B1377)</f>
        <v/>
      </c>
      <c r="C1378" s="18" t="str">
        <f>IF($A1378="","",'Lot Balance'!$C1377)</f>
        <v/>
      </c>
      <c r="D1378" s="25" t="str">
        <f>IF($A1378="","",'Lot Balance'!$G1377)</f>
        <v/>
      </c>
      <c r="E1378" s="25" t="str">
        <f>IF($A1378="","",'Lot Balance'!$H1377)</f>
        <v/>
      </c>
      <c r="F1378" s="23" t="str">
        <f>IF($A1378="","",'Lot Balance'!$I1377)</f>
        <v/>
      </c>
      <c r="G1378" s="23" t="str">
        <f>IF($A1378="","",'Lot Balance'!$O1377)</f>
        <v/>
      </c>
      <c r="H1378" s="33" t="str">
        <f>IF($A1378="","",'Lot Balance'!$P1377)</f>
        <v/>
      </c>
      <c r="I1378" s="26" t="str">
        <f>IF($A1378="","",COUNTIFS(tblIssues[Lot Number],$B1378))</f>
        <v/>
      </c>
      <c r="J1378" s="31" t="str">
        <f>IF($A1378="","",IF('Lot Balance'!$O1377&lt;=0,"Depleted",'Lot Balance'!$Q1377))</f>
        <v/>
      </c>
    </row>
    <row r="1379" spans="1:10" x14ac:dyDescent="0.35">
      <c r="A1379" s="18" t="str">
        <f>IF('Lot Balance'!$A1378="","",'Lot Balance'!$A1378)</f>
        <v/>
      </c>
      <c r="B1379" s="18" t="str">
        <f>IF($A1379="","",'Lot Balance'!$B1378)</f>
        <v/>
      </c>
      <c r="C1379" s="18" t="str">
        <f>IF($A1379="","",'Lot Balance'!$C1378)</f>
        <v/>
      </c>
      <c r="D1379" s="25" t="str">
        <f>IF($A1379="","",'Lot Balance'!$G1378)</f>
        <v/>
      </c>
      <c r="E1379" s="25" t="str">
        <f>IF($A1379="","",'Lot Balance'!$H1378)</f>
        <v/>
      </c>
      <c r="F1379" s="23" t="str">
        <f>IF($A1379="","",'Lot Balance'!$I1378)</f>
        <v/>
      </c>
      <c r="G1379" s="23" t="str">
        <f>IF($A1379="","",'Lot Balance'!$O1378)</f>
        <v/>
      </c>
      <c r="H1379" s="33" t="str">
        <f>IF($A1379="","",'Lot Balance'!$P1378)</f>
        <v/>
      </c>
      <c r="I1379" s="26" t="str">
        <f>IF($A1379="","",COUNTIFS(tblIssues[Lot Number],$B1379))</f>
        <v/>
      </c>
      <c r="J1379" s="31" t="str">
        <f>IF($A1379="","",IF('Lot Balance'!$O1378&lt;=0,"Depleted",'Lot Balance'!$Q1378))</f>
        <v/>
      </c>
    </row>
    <row r="1380" spans="1:10" x14ac:dyDescent="0.35">
      <c r="A1380" s="18" t="str">
        <f>IF('Lot Balance'!$A1379="","",'Lot Balance'!$A1379)</f>
        <v/>
      </c>
      <c r="B1380" s="18" t="str">
        <f>IF($A1380="","",'Lot Balance'!$B1379)</f>
        <v/>
      </c>
      <c r="C1380" s="18" t="str">
        <f>IF($A1380="","",'Lot Balance'!$C1379)</f>
        <v/>
      </c>
      <c r="D1380" s="25" t="str">
        <f>IF($A1380="","",'Lot Balance'!$G1379)</f>
        <v/>
      </c>
      <c r="E1380" s="25" t="str">
        <f>IF($A1380="","",'Lot Balance'!$H1379)</f>
        <v/>
      </c>
      <c r="F1380" s="23" t="str">
        <f>IF($A1380="","",'Lot Balance'!$I1379)</f>
        <v/>
      </c>
      <c r="G1380" s="23" t="str">
        <f>IF($A1380="","",'Lot Balance'!$O1379)</f>
        <v/>
      </c>
      <c r="H1380" s="33" t="str">
        <f>IF($A1380="","",'Lot Balance'!$P1379)</f>
        <v/>
      </c>
      <c r="I1380" s="26" t="str">
        <f>IF($A1380="","",COUNTIFS(tblIssues[Lot Number],$B1380))</f>
        <v/>
      </c>
      <c r="J1380" s="31" t="str">
        <f>IF($A1380="","",IF('Lot Balance'!$O1379&lt;=0,"Depleted",'Lot Balance'!$Q1379))</f>
        <v/>
      </c>
    </row>
    <row r="1381" spans="1:10" x14ac:dyDescent="0.35">
      <c r="A1381" s="18" t="str">
        <f>IF('Lot Balance'!$A1380="","",'Lot Balance'!$A1380)</f>
        <v/>
      </c>
      <c r="B1381" s="18" t="str">
        <f>IF($A1381="","",'Lot Balance'!$B1380)</f>
        <v/>
      </c>
      <c r="C1381" s="18" t="str">
        <f>IF($A1381="","",'Lot Balance'!$C1380)</f>
        <v/>
      </c>
      <c r="D1381" s="25" t="str">
        <f>IF($A1381="","",'Lot Balance'!$G1380)</f>
        <v/>
      </c>
      <c r="E1381" s="25" t="str">
        <f>IF($A1381="","",'Lot Balance'!$H1380)</f>
        <v/>
      </c>
      <c r="F1381" s="23" t="str">
        <f>IF($A1381="","",'Lot Balance'!$I1380)</f>
        <v/>
      </c>
      <c r="G1381" s="23" t="str">
        <f>IF($A1381="","",'Lot Balance'!$O1380)</f>
        <v/>
      </c>
      <c r="H1381" s="33" t="str">
        <f>IF($A1381="","",'Lot Balance'!$P1380)</f>
        <v/>
      </c>
      <c r="I1381" s="26" t="str">
        <f>IF($A1381="","",COUNTIFS(tblIssues[Lot Number],$B1381))</f>
        <v/>
      </c>
      <c r="J1381" s="31" t="str">
        <f>IF($A1381="","",IF('Lot Balance'!$O1380&lt;=0,"Depleted",'Lot Balance'!$Q1380))</f>
        <v/>
      </c>
    </row>
    <row r="1382" spans="1:10" x14ac:dyDescent="0.35">
      <c r="A1382" s="18" t="str">
        <f>IF('Lot Balance'!$A1381="","",'Lot Balance'!$A1381)</f>
        <v/>
      </c>
      <c r="B1382" s="18" t="str">
        <f>IF($A1382="","",'Lot Balance'!$B1381)</f>
        <v/>
      </c>
      <c r="C1382" s="18" t="str">
        <f>IF($A1382="","",'Lot Balance'!$C1381)</f>
        <v/>
      </c>
      <c r="D1382" s="25" t="str">
        <f>IF($A1382="","",'Lot Balance'!$G1381)</f>
        <v/>
      </c>
      <c r="E1382" s="25" t="str">
        <f>IF($A1382="","",'Lot Balance'!$H1381)</f>
        <v/>
      </c>
      <c r="F1382" s="23" t="str">
        <f>IF($A1382="","",'Lot Balance'!$I1381)</f>
        <v/>
      </c>
      <c r="G1382" s="23" t="str">
        <f>IF($A1382="","",'Lot Balance'!$O1381)</f>
        <v/>
      </c>
      <c r="H1382" s="33" t="str">
        <f>IF($A1382="","",'Lot Balance'!$P1381)</f>
        <v/>
      </c>
      <c r="I1382" s="26" t="str">
        <f>IF($A1382="","",COUNTIFS(tblIssues[Lot Number],$B1382))</f>
        <v/>
      </c>
      <c r="J1382" s="31" t="str">
        <f>IF($A1382="","",IF('Lot Balance'!$O1381&lt;=0,"Depleted",'Lot Balance'!$Q1381))</f>
        <v/>
      </c>
    </row>
    <row r="1383" spans="1:10" x14ac:dyDescent="0.35">
      <c r="A1383" s="18" t="str">
        <f>IF('Lot Balance'!$A1382="","",'Lot Balance'!$A1382)</f>
        <v/>
      </c>
      <c r="B1383" s="18" t="str">
        <f>IF($A1383="","",'Lot Balance'!$B1382)</f>
        <v/>
      </c>
      <c r="C1383" s="18" t="str">
        <f>IF($A1383="","",'Lot Balance'!$C1382)</f>
        <v/>
      </c>
      <c r="D1383" s="25" t="str">
        <f>IF($A1383="","",'Lot Balance'!$G1382)</f>
        <v/>
      </c>
      <c r="E1383" s="25" t="str">
        <f>IF($A1383="","",'Lot Balance'!$H1382)</f>
        <v/>
      </c>
      <c r="F1383" s="23" t="str">
        <f>IF($A1383="","",'Lot Balance'!$I1382)</f>
        <v/>
      </c>
      <c r="G1383" s="23" t="str">
        <f>IF($A1383="","",'Lot Balance'!$O1382)</f>
        <v/>
      </c>
      <c r="H1383" s="33" t="str">
        <f>IF($A1383="","",'Lot Balance'!$P1382)</f>
        <v/>
      </c>
      <c r="I1383" s="26" t="str">
        <f>IF($A1383="","",COUNTIFS(tblIssues[Lot Number],$B1383))</f>
        <v/>
      </c>
      <c r="J1383" s="31" t="str">
        <f>IF($A1383="","",IF('Lot Balance'!$O1382&lt;=0,"Depleted",'Lot Balance'!$Q1382))</f>
        <v/>
      </c>
    </row>
    <row r="1384" spans="1:10" x14ac:dyDescent="0.35">
      <c r="A1384" s="18" t="str">
        <f>IF('Lot Balance'!$A1383="","",'Lot Balance'!$A1383)</f>
        <v/>
      </c>
      <c r="B1384" s="18" t="str">
        <f>IF($A1384="","",'Lot Balance'!$B1383)</f>
        <v/>
      </c>
      <c r="C1384" s="18" t="str">
        <f>IF($A1384="","",'Lot Balance'!$C1383)</f>
        <v/>
      </c>
      <c r="D1384" s="25" t="str">
        <f>IF($A1384="","",'Lot Balance'!$G1383)</f>
        <v/>
      </c>
      <c r="E1384" s="25" t="str">
        <f>IF($A1384="","",'Lot Balance'!$H1383)</f>
        <v/>
      </c>
      <c r="F1384" s="23" t="str">
        <f>IF($A1384="","",'Lot Balance'!$I1383)</f>
        <v/>
      </c>
      <c r="G1384" s="23" t="str">
        <f>IF($A1384="","",'Lot Balance'!$O1383)</f>
        <v/>
      </c>
      <c r="H1384" s="33" t="str">
        <f>IF($A1384="","",'Lot Balance'!$P1383)</f>
        <v/>
      </c>
      <c r="I1384" s="26" t="str">
        <f>IF($A1384="","",COUNTIFS(tblIssues[Lot Number],$B1384))</f>
        <v/>
      </c>
      <c r="J1384" s="31" t="str">
        <f>IF($A1384="","",IF('Lot Balance'!$O1383&lt;=0,"Depleted",'Lot Balance'!$Q1383))</f>
        <v/>
      </c>
    </row>
    <row r="1385" spans="1:10" x14ac:dyDescent="0.35">
      <c r="A1385" s="18" t="str">
        <f>IF('Lot Balance'!$A1384="","",'Lot Balance'!$A1384)</f>
        <v/>
      </c>
      <c r="B1385" s="18" t="str">
        <f>IF($A1385="","",'Lot Balance'!$B1384)</f>
        <v/>
      </c>
      <c r="C1385" s="18" t="str">
        <f>IF($A1385="","",'Lot Balance'!$C1384)</f>
        <v/>
      </c>
      <c r="D1385" s="25" t="str">
        <f>IF($A1385="","",'Lot Balance'!$G1384)</f>
        <v/>
      </c>
      <c r="E1385" s="25" t="str">
        <f>IF($A1385="","",'Lot Balance'!$H1384)</f>
        <v/>
      </c>
      <c r="F1385" s="23" t="str">
        <f>IF($A1385="","",'Lot Balance'!$I1384)</f>
        <v/>
      </c>
      <c r="G1385" s="23" t="str">
        <f>IF($A1385="","",'Lot Balance'!$O1384)</f>
        <v/>
      </c>
      <c r="H1385" s="33" t="str">
        <f>IF($A1385="","",'Lot Balance'!$P1384)</f>
        <v/>
      </c>
      <c r="I1385" s="26" t="str">
        <f>IF($A1385="","",COUNTIFS(tblIssues[Lot Number],$B1385))</f>
        <v/>
      </c>
      <c r="J1385" s="31" t="str">
        <f>IF($A1385="","",IF('Lot Balance'!$O1384&lt;=0,"Depleted",'Lot Balance'!$Q1384))</f>
        <v/>
      </c>
    </row>
    <row r="1386" spans="1:10" x14ac:dyDescent="0.35">
      <c r="A1386" s="18" t="str">
        <f>IF('Lot Balance'!$A1385="","",'Lot Balance'!$A1385)</f>
        <v/>
      </c>
      <c r="B1386" s="18" t="str">
        <f>IF($A1386="","",'Lot Balance'!$B1385)</f>
        <v/>
      </c>
      <c r="C1386" s="18" t="str">
        <f>IF($A1386="","",'Lot Balance'!$C1385)</f>
        <v/>
      </c>
      <c r="D1386" s="25" t="str">
        <f>IF($A1386="","",'Lot Balance'!$G1385)</f>
        <v/>
      </c>
      <c r="E1386" s="25" t="str">
        <f>IF($A1386="","",'Lot Balance'!$H1385)</f>
        <v/>
      </c>
      <c r="F1386" s="23" t="str">
        <f>IF($A1386="","",'Lot Balance'!$I1385)</f>
        <v/>
      </c>
      <c r="G1386" s="23" t="str">
        <f>IF($A1386="","",'Lot Balance'!$O1385)</f>
        <v/>
      </c>
      <c r="H1386" s="33" t="str">
        <f>IF($A1386="","",'Lot Balance'!$P1385)</f>
        <v/>
      </c>
      <c r="I1386" s="26" t="str">
        <f>IF($A1386="","",COUNTIFS(tblIssues[Lot Number],$B1386))</f>
        <v/>
      </c>
      <c r="J1386" s="31" t="str">
        <f>IF($A1386="","",IF('Lot Balance'!$O1385&lt;=0,"Depleted",'Lot Balance'!$Q1385))</f>
        <v/>
      </c>
    </row>
    <row r="1387" spans="1:10" x14ac:dyDescent="0.35">
      <c r="A1387" s="18" t="str">
        <f>IF('Lot Balance'!$A1386="","",'Lot Balance'!$A1386)</f>
        <v/>
      </c>
      <c r="B1387" s="18" t="str">
        <f>IF($A1387="","",'Lot Balance'!$B1386)</f>
        <v/>
      </c>
      <c r="C1387" s="18" t="str">
        <f>IF($A1387="","",'Lot Balance'!$C1386)</f>
        <v/>
      </c>
      <c r="D1387" s="25" t="str">
        <f>IF($A1387="","",'Lot Balance'!$G1386)</f>
        <v/>
      </c>
      <c r="E1387" s="25" t="str">
        <f>IF($A1387="","",'Lot Balance'!$H1386)</f>
        <v/>
      </c>
      <c r="F1387" s="23" t="str">
        <f>IF($A1387="","",'Lot Balance'!$I1386)</f>
        <v/>
      </c>
      <c r="G1387" s="23" t="str">
        <f>IF($A1387="","",'Lot Balance'!$O1386)</f>
        <v/>
      </c>
      <c r="H1387" s="33" t="str">
        <f>IF($A1387="","",'Lot Balance'!$P1386)</f>
        <v/>
      </c>
      <c r="I1387" s="26" t="str">
        <f>IF($A1387="","",COUNTIFS(tblIssues[Lot Number],$B1387))</f>
        <v/>
      </c>
      <c r="J1387" s="31" t="str">
        <f>IF($A1387="","",IF('Lot Balance'!$O1386&lt;=0,"Depleted",'Lot Balance'!$Q1386))</f>
        <v/>
      </c>
    </row>
    <row r="1388" spans="1:10" x14ac:dyDescent="0.35">
      <c r="A1388" s="18" t="str">
        <f>IF('Lot Balance'!$A1387="","",'Lot Balance'!$A1387)</f>
        <v/>
      </c>
      <c r="B1388" s="18" t="str">
        <f>IF($A1388="","",'Lot Balance'!$B1387)</f>
        <v/>
      </c>
      <c r="C1388" s="18" t="str">
        <f>IF($A1388="","",'Lot Balance'!$C1387)</f>
        <v/>
      </c>
      <c r="D1388" s="25" t="str">
        <f>IF($A1388="","",'Lot Balance'!$G1387)</f>
        <v/>
      </c>
      <c r="E1388" s="25" t="str">
        <f>IF($A1388="","",'Lot Balance'!$H1387)</f>
        <v/>
      </c>
      <c r="F1388" s="23" t="str">
        <f>IF($A1388="","",'Lot Balance'!$I1387)</f>
        <v/>
      </c>
      <c r="G1388" s="23" t="str">
        <f>IF($A1388="","",'Lot Balance'!$O1387)</f>
        <v/>
      </c>
      <c r="H1388" s="33" t="str">
        <f>IF($A1388="","",'Lot Balance'!$P1387)</f>
        <v/>
      </c>
      <c r="I1388" s="26" t="str">
        <f>IF($A1388="","",COUNTIFS(tblIssues[Lot Number],$B1388))</f>
        <v/>
      </c>
      <c r="J1388" s="31" t="str">
        <f>IF($A1388="","",IF('Lot Balance'!$O1387&lt;=0,"Depleted",'Lot Balance'!$Q1387))</f>
        <v/>
      </c>
    </row>
    <row r="1389" spans="1:10" x14ac:dyDescent="0.35">
      <c r="A1389" s="18" t="str">
        <f>IF('Lot Balance'!$A1388="","",'Lot Balance'!$A1388)</f>
        <v/>
      </c>
      <c r="B1389" s="18" t="str">
        <f>IF($A1389="","",'Lot Balance'!$B1388)</f>
        <v/>
      </c>
      <c r="C1389" s="18" t="str">
        <f>IF($A1389="","",'Lot Balance'!$C1388)</f>
        <v/>
      </c>
      <c r="D1389" s="25" t="str">
        <f>IF($A1389="","",'Lot Balance'!$G1388)</f>
        <v/>
      </c>
      <c r="E1389" s="25" t="str">
        <f>IF($A1389="","",'Lot Balance'!$H1388)</f>
        <v/>
      </c>
      <c r="F1389" s="23" t="str">
        <f>IF($A1389="","",'Lot Balance'!$I1388)</f>
        <v/>
      </c>
      <c r="G1389" s="23" t="str">
        <f>IF($A1389="","",'Lot Balance'!$O1388)</f>
        <v/>
      </c>
      <c r="H1389" s="33" t="str">
        <f>IF($A1389="","",'Lot Balance'!$P1388)</f>
        <v/>
      </c>
      <c r="I1389" s="26" t="str">
        <f>IF($A1389="","",COUNTIFS(tblIssues[Lot Number],$B1389))</f>
        <v/>
      </c>
      <c r="J1389" s="31" t="str">
        <f>IF($A1389="","",IF('Lot Balance'!$O1388&lt;=0,"Depleted",'Lot Balance'!$Q1388))</f>
        <v/>
      </c>
    </row>
    <row r="1390" spans="1:10" x14ac:dyDescent="0.35">
      <c r="A1390" s="18" t="str">
        <f>IF('Lot Balance'!$A1389="","",'Lot Balance'!$A1389)</f>
        <v/>
      </c>
      <c r="B1390" s="18" t="str">
        <f>IF($A1390="","",'Lot Balance'!$B1389)</f>
        <v/>
      </c>
      <c r="C1390" s="18" t="str">
        <f>IF($A1390="","",'Lot Balance'!$C1389)</f>
        <v/>
      </c>
      <c r="D1390" s="25" t="str">
        <f>IF($A1390="","",'Lot Balance'!$G1389)</f>
        <v/>
      </c>
      <c r="E1390" s="25" t="str">
        <f>IF($A1390="","",'Lot Balance'!$H1389)</f>
        <v/>
      </c>
      <c r="F1390" s="23" t="str">
        <f>IF($A1390="","",'Lot Balance'!$I1389)</f>
        <v/>
      </c>
      <c r="G1390" s="23" t="str">
        <f>IF($A1390="","",'Lot Balance'!$O1389)</f>
        <v/>
      </c>
      <c r="H1390" s="33" t="str">
        <f>IF($A1390="","",'Lot Balance'!$P1389)</f>
        <v/>
      </c>
      <c r="I1390" s="26" t="str">
        <f>IF($A1390="","",COUNTIFS(tblIssues[Lot Number],$B1390))</f>
        <v/>
      </c>
      <c r="J1390" s="31" t="str">
        <f>IF($A1390="","",IF('Lot Balance'!$O1389&lt;=0,"Depleted",'Lot Balance'!$Q1389))</f>
        <v/>
      </c>
    </row>
    <row r="1391" spans="1:10" x14ac:dyDescent="0.35">
      <c r="A1391" s="18" t="str">
        <f>IF('Lot Balance'!$A1390="","",'Lot Balance'!$A1390)</f>
        <v/>
      </c>
      <c r="B1391" s="18" t="str">
        <f>IF($A1391="","",'Lot Balance'!$B1390)</f>
        <v/>
      </c>
      <c r="C1391" s="18" t="str">
        <f>IF($A1391="","",'Lot Balance'!$C1390)</f>
        <v/>
      </c>
      <c r="D1391" s="25" t="str">
        <f>IF($A1391="","",'Lot Balance'!$G1390)</f>
        <v/>
      </c>
      <c r="E1391" s="25" t="str">
        <f>IF($A1391="","",'Lot Balance'!$H1390)</f>
        <v/>
      </c>
      <c r="F1391" s="23" t="str">
        <f>IF($A1391="","",'Lot Balance'!$I1390)</f>
        <v/>
      </c>
      <c r="G1391" s="23" t="str">
        <f>IF($A1391="","",'Lot Balance'!$O1390)</f>
        <v/>
      </c>
      <c r="H1391" s="33" t="str">
        <f>IF($A1391="","",'Lot Balance'!$P1390)</f>
        <v/>
      </c>
      <c r="I1391" s="26" t="str">
        <f>IF($A1391="","",COUNTIFS(tblIssues[Lot Number],$B1391))</f>
        <v/>
      </c>
      <c r="J1391" s="31" t="str">
        <f>IF($A1391="","",IF('Lot Balance'!$O1390&lt;=0,"Depleted",'Lot Balance'!$Q1390))</f>
        <v/>
      </c>
    </row>
    <row r="1392" spans="1:10" x14ac:dyDescent="0.35">
      <c r="A1392" s="18" t="str">
        <f>IF('Lot Balance'!$A1391="","",'Lot Balance'!$A1391)</f>
        <v/>
      </c>
      <c r="B1392" s="18" t="str">
        <f>IF($A1392="","",'Lot Balance'!$B1391)</f>
        <v/>
      </c>
      <c r="C1392" s="18" t="str">
        <f>IF($A1392="","",'Lot Balance'!$C1391)</f>
        <v/>
      </c>
      <c r="D1392" s="25" t="str">
        <f>IF($A1392="","",'Lot Balance'!$G1391)</f>
        <v/>
      </c>
      <c r="E1392" s="25" t="str">
        <f>IF($A1392="","",'Lot Balance'!$H1391)</f>
        <v/>
      </c>
      <c r="F1392" s="23" t="str">
        <f>IF($A1392="","",'Lot Balance'!$I1391)</f>
        <v/>
      </c>
      <c r="G1392" s="23" t="str">
        <f>IF($A1392="","",'Lot Balance'!$O1391)</f>
        <v/>
      </c>
      <c r="H1392" s="33" t="str">
        <f>IF($A1392="","",'Lot Balance'!$P1391)</f>
        <v/>
      </c>
      <c r="I1392" s="26" t="str">
        <f>IF($A1392="","",COUNTIFS(tblIssues[Lot Number],$B1392))</f>
        <v/>
      </c>
      <c r="J1392" s="31" t="str">
        <f>IF($A1392="","",IF('Lot Balance'!$O1391&lt;=0,"Depleted",'Lot Balance'!$Q1391))</f>
        <v/>
      </c>
    </row>
    <row r="1393" spans="1:10" x14ac:dyDescent="0.35">
      <c r="A1393" s="18" t="str">
        <f>IF('Lot Balance'!$A1392="","",'Lot Balance'!$A1392)</f>
        <v/>
      </c>
      <c r="B1393" s="18" t="str">
        <f>IF($A1393="","",'Lot Balance'!$B1392)</f>
        <v/>
      </c>
      <c r="C1393" s="18" t="str">
        <f>IF($A1393="","",'Lot Balance'!$C1392)</f>
        <v/>
      </c>
      <c r="D1393" s="25" t="str">
        <f>IF($A1393="","",'Lot Balance'!$G1392)</f>
        <v/>
      </c>
      <c r="E1393" s="25" t="str">
        <f>IF($A1393="","",'Lot Balance'!$H1392)</f>
        <v/>
      </c>
      <c r="F1393" s="23" t="str">
        <f>IF($A1393="","",'Lot Balance'!$I1392)</f>
        <v/>
      </c>
      <c r="G1393" s="23" t="str">
        <f>IF($A1393="","",'Lot Balance'!$O1392)</f>
        <v/>
      </c>
      <c r="H1393" s="33" t="str">
        <f>IF($A1393="","",'Lot Balance'!$P1392)</f>
        <v/>
      </c>
      <c r="I1393" s="26" t="str">
        <f>IF($A1393="","",COUNTIFS(tblIssues[Lot Number],$B1393))</f>
        <v/>
      </c>
      <c r="J1393" s="31" t="str">
        <f>IF($A1393="","",IF('Lot Balance'!$O1392&lt;=0,"Depleted",'Lot Balance'!$Q1392))</f>
        <v/>
      </c>
    </row>
    <row r="1394" spans="1:10" x14ac:dyDescent="0.35">
      <c r="A1394" s="18" t="str">
        <f>IF('Lot Balance'!$A1393="","",'Lot Balance'!$A1393)</f>
        <v/>
      </c>
      <c r="B1394" s="18" t="str">
        <f>IF($A1394="","",'Lot Balance'!$B1393)</f>
        <v/>
      </c>
      <c r="C1394" s="18" t="str">
        <f>IF($A1394="","",'Lot Balance'!$C1393)</f>
        <v/>
      </c>
      <c r="D1394" s="25" t="str">
        <f>IF($A1394="","",'Lot Balance'!$G1393)</f>
        <v/>
      </c>
      <c r="E1394" s="25" t="str">
        <f>IF($A1394="","",'Lot Balance'!$H1393)</f>
        <v/>
      </c>
      <c r="F1394" s="23" t="str">
        <f>IF($A1394="","",'Lot Balance'!$I1393)</f>
        <v/>
      </c>
      <c r="G1394" s="23" t="str">
        <f>IF($A1394="","",'Lot Balance'!$O1393)</f>
        <v/>
      </c>
      <c r="H1394" s="33" t="str">
        <f>IF($A1394="","",'Lot Balance'!$P1393)</f>
        <v/>
      </c>
      <c r="I1394" s="26" t="str">
        <f>IF($A1394="","",COUNTIFS(tblIssues[Lot Number],$B1394))</f>
        <v/>
      </c>
      <c r="J1394" s="31" t="str">
        <f>IF($A1394="","",IF('Lot Balance'!$O1393&lt;=0,"Depleted",'Lot Balance'!$Q1393))</f>
        <v/>
      </c>
    </row>
    <row r="1395" spans="1:10" x14ac:dyDescent="0.35">
      <c r="A1395" s="18" t="str">
        <f>IF('Lot Balance'!$A1394="","",'Lot Balance'!$A1394)</f>
        <v/>
      </c>
      <c r="B1395" s="18" t="str">
        <f>IF($A1395="","",'Lot Balance'!$B1394)</f>
        <v/>
      </c>
      <c r="C1395" s="18" t="str">
        <f>IF($A1395="","",'Lot Balance'!$C1394)</f>
        <v/>
      </c>
      <c r="D1395" s="25" t="str">
        <f>IF($A1395="","",'Lot Balance'!$G1394)</f>
        <v/>
      </c>
      <c r="E1395" s="25" t="str">
        <f>IF($A1395="","",'Lot Balance'!$H1394)</f>
        <v/>
      </c>
      <c r="F1395" s="23" t="str">
        <f>IF($A1395="","",'Lot Balance'!$I1394)</f>
        <v/>
      </c>
      <c r="G1395" s="23" t="str">
        <f>IF($A1395="","",'Lot Balance'!$O1394)</f>
        <v/>
      </c>
      <c r="H1395" s="33" t="str">
        <f>IF($A1395="","",'Lot Balance'!$P1394)</f>
        <v/>
      </c>
      <c r="I1395" s="26" t="str">
        <f>IF($A1395="","",COUNTIFS(tblIssues[Lot Number],$B1395))</f>
        <v/>
      </c>
      <c r="J1395" s="31" t="str">
        <f>IF($A1395="","",IF('Lot Balance'!$O1394&lt;=0,"Depleted",'Lot Balance'!$Q1394))</f>
        <v/>
      </c>
    </row>
    <row r="1396" spans="1:10" x14ac:dyDescent="0.35">
      <c r="A1396" s="18" t="str">
        <f>IF('Lot Balance'!$A1395="","",'Lot Balance'!$A1395)</f>
        <v/>
      </c>
      <c r="B1396" s="18" t="str">
        <f>IF($A1396="","",'Lot Balance'!$B1395)</f>
        <v/>
      </c>
      <c r="C1396" s="18" t="str">
        <f>IF($A1396="","",'Lot Balance'!$C1395)</f>
        <v/>
      </c>
      <c r="D1396" s="25" t="str">
        <f>IF($A1396="","",'Lot Balance'!$G1395)</f>
        <v/>
      </c>
      <c r="E1396" s="25" t="str">
        <f>IF($A1396="","",'Lot Balance'!$H1395)</f>
        <v/>
      </c>
      <c r="F1396" s="23" t="str">
        <f>IF($A1396="","",'Lot Balance'!$I1395)</f>
        <v/>
      </c>
      <c r="G1396" s="23" t="str">
        <f>IF($A1396="","",'Lot Balance'!$O1395)</f>
        <v/>
      </c>
      <c r="H1396" s="33" t="str">
        <f>IF($A1396="","",'Lot Balance'!$P1395)</f>
        <v/>
      </c>
      <c r="I1396" s="26" t="str">
        <f>IF($A1396="","",COUNTIFS(tblIssues[Lot Number],$B1396))</f>
        <v/>
      </c>
      <c r="J1396" s="31" t="str">
        <f>IF($A1396="","",IF('Lot Balance'!$O1395&lt;=0,"Depleted",'Lot Balance'!$Q1395))</f>
        <v/>
      </c>
    </row>
    <row r="1397" spans="1:10" x14ac:dyDescent="0.35">
      <c r="A1397" s="18" t="str">
        <f>IF('Lot Balance'!$A1396="","",'Lot Balance'!$A1396)</f>
        <v/>
      </c>
      <c r="B1397" s="18" t="str">
        <f>IF($A1397="","",'Lot Balance'!$B1396)</f>
        <v/>
      </c>
      <c r="C1397" s="18" t="str">
        <f>IF($A1397="","",'Lot Balance'!$C1396)</f>
        <v/>
      </c>
      <c r="D1397" s="25" t="str">
        <f>IF($A1397="","",'Lot Balance'!$G1396)</f>
        <v/>
      </c>
      <c r="E1397" s="25" t="str">
        <f>IF($A1397="","",'Lot Balance'!$H1396)</f>
        <v/>
      </c>
      <c r="F1397" s="23" t="str">
        <f>IF($A1397="","",'Lot Balance'!$I1396)</f>
        <v/>
      </c>
      <c r="G1397" s="23" t="str">
        <f>IF($A1397="","",'Lot Balance'!$O1396)</f>
        <v/>
      </c>
      <c r="H1397" s="33" t="str">
        <f>IF($A1397="","",'Lot Balance'!$P1396)</f>
        <v/>
      </c>
      <c r="I1397" s="26" t="str">
        <f>IF($A1397="","",COUNTIFS(tblIssues[Lot Number],$B1397))</f>
        <v/>
      </c>
      <c r="J1397" s="31" t="str">
        <f>IF($A1397="","",IF('Lot Balance'!$O1396&lt;=0,"Depleted",'Lot Balance'!$Q1396))</f>
        <v/>
      </c>
    </row>
    <row r="1398" spans="1:10" x14ac:dyDescent="0.35">
      <c r="A1398" s="18" t="str">
        <f>IF('Lot Balance'!$A1397="","",'Lot Balance'!$A1397)</f>
        <v/>
      </c>
      <c r="B1398" s="18" t="str">
        <f>IF($A1398="","",'Lot Balance'!$B1397)</f>
        <v/>
      </c>
      <c r="C1398" s="18" t="str">
        <f>IF($A1398="","",'Lot Balance'!$C1397)</f>
        <v/>
      </c>
      <c r="D1398" s="25" t="str">
        <f>IF($A1398="","",'Lot Balance'!$G1397)</f>
        <v/>
      </c>
      <c r="E1398" s="25" t="str">
        <f>IF($A1398="","",'Lot Balance'!$H1397)</f>
        <v/>
      </c>
      <c r="F1398" s="23" t="str">
        <f>IF($A1398="","",'Lot Balance'!$I1397)</f>
        <v/>
      </c>
      <c r="G1398" s="23" t="str">
        <f>IF($A1398="","",'Lot Balance'!$O1397)</f>
        <v/>
      </c>
      <c r="H1398" s="33" t="str">
        <f>IF($A1398="","",'Lot Balance'!$P1397)</f>
        <v/>
      </c>
      <c r="I1398" s="26" t="str">
        <f>IF($A1398="","",COUNTIFS(tblIssues[Lot Number],$B1398))</f>
        <v/>
      </c>
      <c r="J1398" s="31" t="str">
        <f>IF($A1398="","",IF('Lot Balance'!$O1397&lt;=0,"Depleted",'Lot Balance'!$Q1397))</f>
        <v/>
      </c>
    </row>
    <row r="1399" spans="1:10" x14ac:dyDescent="0.35">
      <c r="A1399" s="18" t="str">
        <f>IF('Lot Balance'!$A1398="","",'Lot Balance'!$A1398)</f>
        <v/>
      </c>
      <c r="B1399" s="18" t="str">
        <f>IF($A1399="","",'Lot Balance'!$B1398)</f>
        <v/>
      </c>
      <c r="C1399" s="18" t="str">
        <f>IF($A1399="","",'Lot Balance'!$C1398)</f>
        <v/>
      </c>
      <c r="D1399" s="25" t="str">
        <f>IF($A1399="","",'Lot Balance'!$G1398)</f>
        <v/>
      </c>
      <c r="E1399" s="25" t="str">
        <f>IF($A1399="","",'Lot Balance'!$H1398)</f>
        <v/>
      </c>
      <c r="F1399" s="23" t="str">
        <f>IF($A1399="","",'Lot Balance'!$I1398)</f>
        <v/>
      </c>
      <c r="G1399" s="23" t="str">
        <f>IF($A1399="","",'Lot Balance'!$O1398)</f>
        <v/>
      </c>
      <c r="H1399" s="33" t="str">
        <f>IF($A1399="","",'Lot Balance'!$P1398)</f>
        <v/>
      </c>
      <c r="I1399" s="26" t="str">
        <f>IF($A1399="","",COUNTIFS(tblIssues[Lot Number],$B1399))</f>
        <v/>
      </c>
      <c r="J1399" s="31" t="str">
        <f>IF($A1399="","",IF('Lot Balance'!$O1398&lt;=0,"Depleted",'Lot Balance'!$Q1398))</f>
        <v/>
      </c>
    </row>
    <row r="1400" spans="1:10" x14ac:dyDescent="0.35">
      <c r="A1400" s="18" t="str">
        <f>IF('Lot Balance'!$A1399="","",'Lot Balance'!$A1399)</f>
        <v/>
      </c>
      <c r="B1400" s="18" t="str">
        <f>IF($A1400="","",'Lot Balance'!$B1399)</f>
        <v/>
      </c>
      <c r="C1400" s="18" t="str">
        <f>IF($A1400="","",'Lot Balance'!$C1399)</f>
        <v/>
      </c>
      <c r="D1400" s="25" t="str">
        <f>IF($A1400="","",'Lot Balance'!$G1399)</f>
        <v/>
      </c>
      <c r="E1400" s="25" t="str">
        <f>IF($A1400="","",'Lot Balance'!$H1399)</f>
        <v/>
      </c>
      <c r="F1400" s="23" t="str">
        <f>IF($A1400="","",'Lot Balance'!$I1399)</f>
        <v/>
      </c>
      <c r="G1400" s="23" t="str">
        <f>IF($A1400="","",'Lot Balance'!$O1399)</f>
        <v/>
      </c>
      <c r="H1400" s="33" t="str">
        <f>IF($A1400="","",'Lot Balance'!$P1399)</f>
        <v/>
      </c>
      <c r="I1400" s="26" t="str">
        <f>IF($A1400="","",COUNTIFS(tblIssues[Lot Number],$B1400))</f>
        <v/>
      </c>
      <c r="J1400" s="31" t="str">
        <f>IF($A1400="","",IF('Lot Balance'!$O1399&lt;=0,"Depleted",'Lot Balance'!$Q1399))</f>
        <v/>
      </c>
    </row>
    <row r="1401" spans="1:10" x14ac:dyDescent="0.35">
      <c r="A1401" s="18" t="str">
        <f>IF('Lot Balance'!$A1400="","",'Lot Balance'!$A1400)</f>
        <v/>
      </c>
      <c r="B1401" s="18" t="str">
        <f>IF($A1401="","",'Lot Balance'!$B1400)</f>
        <v/>
      </c>
      <c r="C1401" s="18" t="str">
        <f>IF($A1401="","",'Lot Balance'!$C1400)</f>
        <v/>
      </c>
      <c r="D1401" s="25" t="str">
        <f>IF($A1401="","",'Lot Balance'!$G1400)</f>
        <v/>
      </c>
      <c r="E1401" s="25" t="str">
        <f>IF($A1401="","",'Lot Balance'!$H1400)</f>
        <v/>
      </c>
      <c r="F1401" s="23" t="str">
        <f>IF($A1401="","",'Lot Balance'!$I1400)</f>
        <v/>
      </c>
      <c r="G1401" s="23" t="str">
        <f>IF($A1401="","",'Lot Balance'!$O1400)</f>
        <v/>
      </c>
      <c r="H1401" s="33" t="str">
        <f>IF($A1401="","",'Lot Balance'!$P1400)</f>
        <v/>
      </c>
      <c r="I1401" s="26" t="str">
        <f>IF($A1401="","",COUNTIFS(tblIssues[Lot Number],$B1401))</f>
        <v/>
      </c>
      <c r="J1401" s="31" t="str">
        <f>IF($A1401="","",IF('Lot Balance'!$O1400&lt;=0,"Depleted",'Lot Balance'!$Q1400))</f>
        <v/>
      </c>
    </row>
    <row r="1402" spans="1:10" x14ac:dyDescent="0.35">
      <c r="A1402" s="18" t="str">
        <f>IF('Lot Balance'!$A1401="","",'Lot Balance'!$A1401)</f>
        <v/>
      </c>
      <c r="B1402" s="18" t="str">
        <f>IF($A1402="","",'Lot Balance'!$B1401)</f>
        <v/>
      </c>
      <c r="C1402" s="18" t="str">
        <f>IF($A1402="","",'Lot Balance'!$C1401)</f>
        <v/>
      </c>
      <c r="D1402" s="25" t="str">
        <f>IF($A1402="","",'Lot Balance'!$G1401)</f>
        <v/>
      </c>
      <c r="E1402" s="25" t="str">
        <f>IF($A1402="","",'Lot Balance'!$H1401)</f>
        <v/>
      </c>
      <c r="F1402" s="23" t="str">
        <f>IF($A1402="","",'Lot Balance'!$I1401)</f>
        <v/>
      </c>
      <c r="G1402" s="23" t="str">
        <f>IF($A1402="","",'Lot Balance'!$O1401)</f>
        <v/>
      </c>
      <c r="H1402" s="33" t="str">
        <f>IF($A1402="","",'Lot Balance'!$P1401)</f>
        <v/>
      </c>
      <c r="I1402" s="26" t="str">
        <f>IF($A1402="","",COUNTIFS(tblIssues[Lot Number],$B1402))</f>
        <v/>
      </c>
      <c r="J1402" s="31" t="str">
        <f>IF($A1402="","",IF('Lot Balance'!$O1401&lt;=0,"Depleted",'Lot Balance'!$Q1401))</f>
        <v/>
      </c>
    </row>
    <row r="1403" spans="1:10" x14ac:dyDescent="0.35">
      <c r="A1403" s="18" t="str">
        <f>IF('Lot Balance'!$A1402="","",'Lot Balance'!$A1402)</f>
        <v/>
      </c>
      <c r="B1403" s="18" t="str">
        <f>IF($A1403="","",'Lot Balance'!$B1402)</f>
        <v/>
      </c>
      <c r="C1403" s="18" t="str">
        <f>IF($A1403="","",'Lot Balance'!$C1402)</f>
        <v/>
      </c>
      <c r="D1403" s="25" t="str">
        <f>IF($A1403="","",'Lot Balance'!$G1402)</f>
        <v/>
      </c>
      <c r="E1403" s="25" t="str">
        <f>IF($A1403="","",'Lot Balance'!$H1402)</f>
        <v/>
      </c>
      <c r="F1403" s="23" t="str">
        <f>IF($A1403="","",'Lot Balance'!$I1402)</f>
        <v/>
      </c>
      <c r="G1403" s="23" t="str">
        <f>IF($A1403="","",'Lot Balance'!$O1402)</f>
        <v/>
      </c>
      <c r="H1403" s="33" t="str">
        <f>IF($A1403="","",'Lot Balance'!$P1402)</f>
        <v/>
      </c>
      <c r="I1403" s="26" t="str">
        <f>IF($A1403="","",COUNTIFS(tblIssues[Lot Number],$B1403))</f>
        <v/>
      </c>
      <c r="J1403" s="31" t="str">
        <f>IF($A1403="","",IF('Lot Balance'!$O1402&lt;=0,"Depleted",'Lot Balance'!$Q1402))</f>
        <v/>
      </c>
    </row>
    <row r="1404" spans="1:10" x14ac:dyDescent="0.35">
      <c r="A1404" s="18" t="str">
        <f>IF('Lot Balance'!$A1403="","",'Lot Balance'!$A1403)</f>
        <v/>
      </c>
      <c r="B1404" s="18" t="str">
        <f>IF($A1404="","",'Lot Balance'!$B1403)</f>
        <v/>
      </c>
      <c r="C1404" s="18" t="str">
        <f>IF($A1404="","",'Lot Balance'!$C1403)</f>
        <v/>
      </c>
      <c r="D1404" s="25" t="str">
        <f>IF($A1404="","",'Lot Balance'!$G1403)</f>
        <v/>
      </c>
      <c r="E1404" s="25" t="str">
        <f>IF($A1404="","",'Lot Balance'!$H1403)</f>
        <v/>
      </c>
      <c r="F1404" s="23" t="str">
        <f>IF($A1404="","",'Lot Balance'!$I1403)</f>
        <v/>
      </c>
      <c r="G1404" s="23" t="str">
        <f>IF($A1404="","",'Lot Balance'!$O1403)</f>
        <v/>
      </c>
      <c r="H1404" s="33" t="str">
        <f>IF($A1404="","",'Lot Balance'!$P1403)</f>
        <v/>
      </c>
      <c r="I1404" s="26" t="str">
        <f>IF($A1404="","",COUNTIFS(tblIssues[Lot Number],$B1404))</f>
        <v/>
      </c>
      <c r="J1404" s="31" t="str">
        <f>IF($A1404="","",IF('Lot Balance'!$O1403&lt;=0,"Depleted",'Lot Balance'!$Q1403))</f>
        <v/>
      </c>
    </row>
    <row r="1405" spans="1:10" x14ac:dyDescent="0.35">
      <c r="A1405" s="18" t="str">
        <f>IF('Lot Balance'!$A1404="","",'Lot Balance'!$A1404)</f>
        <v/>
      </c>
      <c r="B1405" s="18" t="str">
        <f>IF($A1405="","",'Lot Balance'!$B1404)</f>
        <v/>
      </c>
      <c r="C1405" s="18" t="str">
        <f>IF($A1405="","",'Lot Balance'!$C1404)</f>
        <v/>
      </c>
      <c r="D1405" s="25" t="str">
        <f>IF($A1405="","",'Lot Balance'!$G1404)</f>
        <v/>
      </c>
      <c r="E1405" s="25" t="str">
        <f>IF($A1405="","",'Lot Balance'!$H1404)</f>
        <v/>
      </c>
      <c r="F1405" s="23" t="str">
        <f>IF($A1405="","",'Lot Balance'!$I1404)</f>
        <v/>
      </c>
      <c r="G1405" s="23" t="str">
        <f>IF($A1405="","",'Lot Balance'!$O1404)</f>
        <v/>
      </c>
      <c r="H1405" s="33" t="str">
        <f>IF($A1405="","",'Lot Balance'!$P1404)</f>
        <v/>
      </c>
      <c r="I1405" s="26" t="str">
        <f>IF($A1405="","",COUNTIFS(tblIssues[Lot Number],$B1405))</f>
        <v/>
      </c>
      <c r="J1405" s="31" t="str">
        <f>IF($A1405="","",IF('Lot Balance'!$O1404&lt;=0,"Depleted",'Lot Balance'!$Q1404))</f>
        <v/>
      </c>
    </row>
    <row r="1406" spans="1:10" x14ac:dyDescent="0.35">
      <c r="A1406" s="18" t="str">
        <f>IF('Lot Balance'!$A1405="","",'Lot Balance'!$A1405)</f>
        <v/>
      </c>
      <c r="B1406" s="18" t="str">
        <f>IF($A1406="","",'Lot Balance'!$B1405)</f>
        <v/>
      </c>
      <c r="C1406" s="18" t="str">
        <f>IF($A1406="","",'Lot Balance'!$C1405)</f>
        <v/>
      </c>
      <c r="D1406" s="25" t="str">
        <f>IF($A1406="","",'Lot Balance'!$G1405)</f>
        <v/>
      </c>
      <c r="E1406" s="25" t="str">
        <f>IF($A1406="","",'Lot Balance'!$H1405)</f>
        <v/>
      </c>
      <c r="F1406" s="23" t="str">
        <f>IF($A1406="","",'Lot Balance'!$I1405)</f>
        <v/>
      </c>
      <c r="G1406" s="23" t="str">
        <f>IF($A1406="","",'Lot Balance'!$O1405)</f>
        <v/>
      </c>
      <c r="H1406" s="33" t="str">
        <f>IF($A1406="","",'Lot Balance'!$P1405)</f>
        <v/>
      </c>
      <c r="I1406" s="26" t="str">
        <f>IF($A1406="","",COUNTIFS(tblIssues[Lot Number],$B1406))</f>
        <v/>
      </c>
      <c r="J1406" s="31" t="str">
        <f>IF($A1406="","",IF('Lot Balance'!$O1405&lt;=0,"Depleted",'Lot Balance'!$Q1405))</f>
        <v/>
      </c>
    </row>
    <row r="1407" spans="1:10" x14ac:dyDescent="0.35">
      <c r="A1407" s="18" t="str">
        <f>IF('Lot Balance'!$A1406="","",'Lot Balance'!$A1406)</f>
        <v/>
      </c>
      <c r="B1407" s="18" t="str">
        <f>IF($A1407="","",'Lot Balance'!$B1406)</f>
        <v/>
      </c>
      <c r="C1407" s="18" t="str">
        <f>IF($A1407="","",'Lot Balance'!$C1406)</f>
        <v/>
      </c>
      <c r="D1407" s="25" t="str">
        <f>IF($A1407="","",'Lot Balance'!$G1406)</f>
        <v/>
      </c>
      <c r="E1407" s="25" t="str">
        <f>IF($A1407="","",'Lot Balance'!$H1406)</f>
        <v/>
      </c>
      <c r="F1407" s="23" t="str">
        <f>IF($A1407="","",'Lot Balance'!$I1406)</f>
        <v/>
      </c>
      <c r="G1407" s="23" t="str">
        <f>IF($A1407="","",'Lot Balance'!$O1406)</f>
        <v/>
      </c>
      <c r="H1407" s="33" t="str">
        <f>IF($A1407="","",'Lot Balance'!$P1406)</f>
        <v/>
      </c>
      <c r="I1407" s="26" t="str">
        <f>IF($A1407="","",COUNTIFS(tblIssues[Lot Number],$B1407))</f>
        <v/>
      </c>
      <c r="J1407" s="31" t="str">
        <f>IF($A1407="","",IF('Lot Balance'!$O1406&lt;=0,"Depleted",'Lot Balance'!$Q1406))</f>
        <v/>
      </c>
    </row>
    <row r="1408" spans="1:10" x14ac:dyDescent="0.35">
      <c r="A1408" s="18" t="str">
        <f>IF('Lot Balance'!$A1407="","",'Lot Balance'!$A1407)</f>
        <v/>
      </c>
      <c r="B1408" s="18" t="str">
        <f>IF($A1408="","",'Lot Balance'!$B1407)</f>
        <v/>
      </c>
      <c r="C1408" s="18" t="str">
        <f>IF($A1408="","",'Lot Balance'!$C1407)</f>
        <v/>
      </c>
      <c r="D1408" s="25" t="str">
        <f>IF($A1408="","",'Lot Balance'!$G1407)</f>
        <v/>
      </c>
      <c r="E1408" s="25" t="str">
        <f>IF($A1408="","",'Lot Balance'!$H1407)</f>
        <v/>
      </c>
      <c r="F1408" s="23" t="str">
        <f>IF($A1408="","",'Lot Balance'!$I1407)</f>
        <v/>
      </c>
      <c r="G1408" s="23" t="str">
        <f>IF($A1408="","",'Lot Balance'!$O1407)</f>
        <v/>
      </c>
      <c r="H1408" s="33" t="str">
        <f>IF($A1408="","",'Lot Balance'!$P1407)</f>
        <v/>
      </c>
      <c r="I1408" s="26" t="str">
        <f>IF($A1408="","",COUNTIFS(tblIssues[Lot Number],$B1408))</f>
        <v/>
      </c>
      <c r="J1408" s="31" t="str">
        <f>IF($A1408="","",IF('Lot Balance'!$O1407&lt;=0,"Depleted",'Lot Balance'!$Q1407))</f>
        <v/>
      </c>
    </row>
    <row r="1409" spans="1:10" x14ac:dyDescent="0.35">
      <c r="A1409" s="18" t="str">
        <f>IF('Lot Balance'!$A1408="","",'Lot Balance'!$A1408)</f>
        <v/>
      </c>
      <c r="B1409" s="18" t="str">
        <f>IF($A1409="","",'Lot Balance'!$B1408)</f>
        <v/>
      </c>
      <c r="C1409" s="18" t="str">
        <f>IF($A1409="","",'Lot Balance'!$C1408)</f>
        <v/>
      </c>
      <c r="D1409" s="25" t="str">
        <f>IF($A1409="","",'Lot Balance'!$G1408)</f>
        <v/>
      </c>
      <c r="E1409" s="25" t="str">
        <f>IF($A1409="","",'Lot Balance'!$H1408)</f>
        <v/>
      </c>
      <c r="F1409" s="23" t="str">
        <f>IF($A1409="","",'Lot Balance'!$I1408)</f>
        <v/>
      </c>
      <c r="G1409" s="23" t="str">
        <f>IF($A1409="","",'Lot Balance'!$O1408)</f>
        <v/>
      </c>
      <c r="H1409" s="33" t="str">
        <f>IF($A1409="","",'Lot Balance'!$P1408)</f>
        <v/>
      </c>
      <c r="I1409" s="26" t="str">
        <f>IF($A1409="","",COUNTIFS(tblIssues[Lot Number],$B1409))</f>
        <v/>
      </c>
      <c r="J1409" s="31" t="str">
        <f>IF($A1409="","",IF('Lot Balance'!$O1408&lt;=0,"Depleted",'Lot Balance'!$Q1408))</f>
        <v/>
      </c>
    </row>
    <row r="1410" spans="1:10" x14ac:dyDescent="0.35">
      <c r="A1410" s="18" t="str">
        <f>IF('Lot Balance'!$A1409="","",'Lot Balance'!$A1409)</f>
        <v/>
      </c>
      <c r="B1410" s="18" t="str">
        <f>IF($A1410="","",'Lot Balance'!$B1409)</f>
        <v/>
      </c>
      <c r="C1410" s="18" t="str">
        <f>IF($A1410="","",'Lot Balance'!$C1409)</f>
        <v/>
      </c>
      <c r="D1410" s="25" t="str">
        <f>IF($A1410="","",'Lot Balance'!$G1409)</f>
        <v/>
      </c>
      <c r="E1410" s="25" t="str">
        <f>IF($A1410="","",'Lot Balance'!$H1409)</f>
        <v/>
      </c>
      <c r="F1410" s="23" t="str">
        <f>IF($A1410="","",'Lot Balance'!$I1409)</f>
        <v/>
      </c>
      <c r="G1410" s="23" t="str">
        <f>IF($A1410="","",'Lot Balance'!$O1409)</f>
        <v/>
      </c>
      <c r="H1410" s="33" t="str">
        <f>IF($A1410="","",'Lot Balance'!$P1409)</f>
        <v/>
      </c>
      <c r="I1410" s="26" t="str">
        <f>IF($A1410="","",COUNTIFS(tblIssues[Lot Number],$B1410))</f>
        <v/>
      </c>
      <c r="J1410" s="31" t="str">
        <f>IF($A1410="","",IF('Lot Balance'!$O1409&lt;=0,"Depleted",'Lot Balance'!$Q1409))</f>
        <v/>
      </c>
    </row>
    <row r="1411" spans="1:10" x14ac:dyDescent="0.35">
      <c r="A1411" s="18" t="str">
        <f>IF('Lot Balance'!$A1410="","",'Lot Balance'!$A1410)</f>
        <v/>
      </c>
      <c r="B1411" s="18" t="str">
        <f>IF($A1411="","",'Lot Balance'!$B1410)</f>
        <v/>
      </c>
      <c r="C1411" s="18" t="str">
        <f>IF($A1411="","",'Lot Balance'!$C1410)</f>
        <v/>
      </c>
      <c r="D1411" s="25" t="str">
        <f>IF($A1411="","",'Lot Balance'!$G1410)</f>
        <v/>
      </c>
      <c r="E1411" s="25" t="str">
        <f>IF($A1411="","",'Lot Balance'!$H1410)</f>
        <v/>
      </c>
      <c r="F1411" s="23" t="str">
        <f>IF($A1411="","",'Lot Balance'!$I1410)</f>
        <v/>
      </c>
      <c r="G1411" s="23" t="str">
        <f>IF($A1411="","",'Lot Balance'!$O1410)</f>
        <v/>
      </c>
      <c r="H1411" s="33" t="str">
        <f>IF($A1411="","",'Lot Balance'!$P1410)</f>
        <v/>
      </c>
      <c r="I1411" s="26" t="str">
        <f>IF($A1411="","",COUNTIFS(tblIssues[Lot Number],$B1411))</f>
        <v/>
      </c>
      <c r="J1411" s="31" t="str">
        <f>IF($A1411="","",IF('Lot Balance'!$O1410&lt;=0,"Depleted",'Lot Balance'!$Q1410))</f>
        <v/>
      </c>
    </row>
    <row r="1412" spans="1:10" x14ac:dyDescent="0.35">
      <c r="A1412" s="18" t="str">
        <f>IF('Lot Balance'!$A1411="","",'Lot Balance'!$A1411)</f>
        <v/>
      </c>
      <c r="B1412" s="18" t="str">
        <f>IF($A1412="","",'Lot Balance'!$B1411)</f>
        <v/>
      </c>
      <c r="C1412" s="18" t="str">
        <f>IF($A1412="","",'Lot Balance'!$C1411)</f>
        <v/>
      </c>
      <c r="D1412" s="25" t="str">
        <f>IF($A1412="","",'Lot Balance'!$G1411)</f>
        <v/>
      </c>
      <c r="E1412" s="25" t="str">
        <f>IF($A1412="","",'Lot Balance'!$H1411)</f>
        <v/>
      </c>
      <c r="F1412" s="23" t="str">
        <f>IF($A1412="","",'Lot Balance'!$I1411)</f>
        <v/>
      </c>
      <c r="G1412" s="23" t="str">
        <f>IF($A1412="","",'Lot Balance'!$O1411)</f>
        <v/>
      </c>
      <c r="H1412" s="33" t="str">
        <f>IF($A1412="","",'Lot Balance'!$P1411)</f>
        <v/>
      </c>
      <c r="I1412" s="26" t="str">
        <f>IF($A1412="","",COUNTIFS(tblIssues[Lot Number],$B1412))</f>
        <v/>
      </c>
      <c r="J1412" s="31" t="str">
        <f>IF($A1412="","",IF('Lot Balance'!$O1411&lt;=0,"Depleted",'Lot Balance'!$Q1411))</f>
        <v/>
      </c>
    </row>
    <row r="1413" spans="1:10" x14ac:dyDescent="0.35">
      <c r="A1413" s="18" t="str">
        <f>IF('Lot Balance'!$A1412="","",'Lot Balance'!$A1412)</f>
        <v/>
      </c>
      <c r="B1413" s="18" t="str">
        <f>IF($A1413="","",'Lot Balance'!$B1412)</f>
        <v/>
      </c>
      <c r="C1413" s="18" t="str">
        <f>IF($A1413="","",'Lot Balance'!$C1412)</f>
        <v/>
      </c>
      <c r="D1413" s="25" t="str">
        <f>IF($A1413="","",'Lot Balance'!$G1412)</f>
        <v/>
      </c>
      <c r="E1413" s="25" t="str">
        <f>IF($A1413="","",'Lot Balance'!$H1412)</f>
        <v/>
      </c>
      <c r="F1413" s="23" t="str">
        <f>IF($A1413="","",'Lot Balance'!$I1412)</f>
        <v/>
      </c>
      <c r="G1413" s="23" t="str">
        <f>IF($A1413="","",'Lot Balance'!$O1412)</f>
        <v/>
      </c>
      <c r="H1413" s="33" t="str">
        <f>IF($A1413="","",'Lot Balance'!$P1412)</f>
        <v/>
      </c>
      <c r="I1413" s="26" t="str">
        <f>IF($A1413="","",COUNTIFS(tblIssues[Lot Number],$B1413))</f>
        <v/>
      </c>
      <c r="J1413" s="31" t="str">
        <f>IF($A1413="","",IF('Lot Balance'!$O1412&lt;=0,"Depleted",'Lot Balance'!$Q1412))</f>
        <v/>
      </c>
    </row>
    <row r="1414" spans="1:10" x14ac:dyDescent="0.35">
      <c r="A1414" s="18" t="str">
        <f>IF('Lot Balance'!$A1413="","",'Lot Balance'!$A1413)</f>
        <v/>
      </c>
      <c r="B1414" s="18" t="str">
        <f>IF($A1414="","",'Lot Balance'!$B1413)</f>
        <v/>
      </c>
      <c r="C1414" s="18" t="str">
        <f>IF($A1414="","",'Lot Balance'!$C1413)</f>
        <v/>
      </c>
      <c r="D1414" s="25" t="str">
        <f>IF($A1414="","",'Lot Balance'!$G1413)</f>
        <v/>
      </c>
      <c r="E1414" s="25" t="str">
        <f>IF($A1414="","",'Lot Balance'!$H1413)</f>
        <v/>
      </c>
      <c r="F1414" s="23" t="str">
        <f>IF($A1414="","",'Lot Balance'!$I1413)</f>
        <v/>
      </c>
      <c r="G1414" s="23" t="str">
        <f>IF($A1414="","",'Lot Balance'!$O1413)</f>
        <v/>
      </c>
      <c r="H1414" s="33" t="str">
        <f>IF($A1414="","",'Lot Balance'!$P1413)</f>
        <v/>
      </c>
      <c r="I1414" s="26" t="str">
        <f>IF($A1414="","",COUNTIFS(tblIssues[Lot Number],$B1414))</f>
        <v/>
      </c>
      <c r="J1414" s="31" t="str">
        <f>IF($A1414="","",IF('Lot Balance'!$O1413&lt;=0,"Depleted",'Lot Balance'!$Q1413))</f>
        <v/>
      </c>
    </row>
    <row r="1415" spans="1:10" x14ac:dyDescent="0.35">
      <c r="A1415" s="18" t="str">
        <f>IF('Lot Balance'!$A1414="","",'Lot Balance'!$A1414)</f>
        <v/>
      </c>
      <c r="B1415" s="18" t="str">
        <f>IF($A1415="","",'Lot Balance'!$B1414)</f>
        <v/>
      </c>
      <c r="C1415" s="18" t="str">
        <f>IF($A1415="","",'Lot Balance'!$C1414)</f>
        <v/>
      </c>
      <c r="D1415" s="25" t="str">
        <f>IF($A1415="","",'Lot Balance'!$G1414)</f>
        <v/>
      </c>
      <c r="E1415" s="25" t="str">
        <f>IF($A1415="","",'Lot Balance'!$H1414)</f>
        <v/>
      </c>
      <c r="F1415" s="23" t="str">
        <f>IF($A1415="","",'Lot Balance'!$I1414)</f>
        <v/>
      </c>
      <c r="G1415" s="23" t="str">
        <f>IF($A1415="","",'Lot Balance'!$O1414)</f>
        <v/>
      </c>
      <c r="H1415" s="33" t="str">
        <f>IF($A1415="","",'Lot Balance'!$P1414)</f>
        <v/>
      </c>
      <c r="I1415" s="26" t="str">
        <f>IF($A1415="","",COUNTIFS(tblIssues[Lot Number],$B1415))</f>
        <v/>
      </c>
      <c r="J1415" s="31" t="str">
        <f>IF($A1415="","",IF('Lot Balance'!$O1414&lt;=0,"Depleted",'Lot Balance'!$Q1414))</f>
        <v/>
      </c>
    </row>
    <row r="1416" spans="1:10" x14ac:dyDescent="0.35">
      <c r="A1416" s="18" t="str">
        <f>IF('Lot Balance'!$A1415="","",'Lot Balance'!$A1415)</f>
        <v/>
      </c>
      <c r="B1416" s="18" t="str">
        <f>IF($A1416="","",'Lot Balance'!$B1415)</f>
        <v/>
      </c>
      <c r="C1416" s="18" t="str">
        <f>IF($A1416="","",'Lot Balance'!$C1415)</f>
        <v/>
      </c>
      <c r="D1416" s="25" t="str">
        <f>IF($A1416="","",'Lot Balance'!$G1415)</f>
        <v/>
      </c>
      <c r="E1416" s="25" t="str">
        <f>IF($A1416="","",'Lot Balance'!$H1415)</f>
        <v/>
      </c>
      <c r="F1416" s="23" t="str">
        <f>IF($A1416="","",'Lot Balance'!$I1415)</f>
        <v/>
      </c>
      <c r="G1416" s="23" t="str">
        <f>IF($A1416="","",'Lot Balance'!$O1415)</f>
        <v/>
      </c>
      <c r="H1416" s="33" t="str">
        <f>IF($A1416="","",'Lot Balance'!$P1415)</f>
        <v/>
      </c>
      <c r="I1416" s="26" t="str">
        <f>IF($A1416="","",COUNTIFS(tblIssues[Lot Number],$B1416))</f>
        <v/>
      </c>
      <c r="J1416" s="31" t="str">
        <f>IF($A1416="","",IF('Lot Balance'!$O1415&lt;=0,"Depleted",'Lot Balance'!$Q1415))</f>
        <v/>
      </c>
    </row>
    <row r="1417" spans="1:10" x14ac:dyDescent="0.35">
      <c r="A1417" s="18" t="str">
        <f>IF('Lot Balance'!$A1416="","",'Lot Balance'!$A1416)</f>
        <v/>
      </c>
      <c r="B1417" s="18" t="str">
        <f>IF($A1417="","",'Lot Balance'!$B1416)</f>
        <v/>
      </c>
      <c r="C1417" s="18" t="str">
        <f>IF($A1417="","",'Lot Balance'!$C1416)</f>
        <v/>
      </c>
      <c r="D1417" s="25" t="str">
        <f>IF($A1417="","",'Lot Balance'!$G1416)</f>
        <v/>
      </c>
      <c r="E1417" s="25" t="str">
        <f>IF($A1417="","",'Lot Balance'!$H1416)</f>
        <v/>
      </c>
      <c r="F1417" s="23" t="str">
        <f>IF($A1417="","",'Lot Balance'!$I1416)</f>
        <v/>
      </c>
      <c r="G1417" s="23" t="str">
        <f>IF($A1417="","",'Lot Balance'!$O1416)</f>
        <v/>
      </c>
      <c r="H1417" s="33" t="str">
        <f>IF($A1417="","",'Lot Balance'!$P1416)</f>
        <v/>
      </c>
      <c r="I1417" s="26" t="str">
        <f>IF($A1417="","",COUNTIFS(tblIssues[Lot Number],$B1417))</f>
        <v/>
      </c>
      <c r="J1417" s="31" t="str">
        <f>IF($A1417="","",IF('Lot Balance'!$O1416&lt;=0,"Depleted",'Lot Balance'!$Q1416))</f>
        <v/>
      </c>
    </row>
    <row r="1418" spans="1:10" x14ac:dyDescent="0.35">
      <c r="A1418" s="18" t="str">
        <f>IF('Lot Balance'!$A1417="","",'Lot Balance'!$A1417)</f>
        <v/>
      </c>
      <c r="B1418" s="18" t="str">
        <f>IF($A1418="","",'Lot Balance'!$B1417)</f>
        <v/>
      </c>
      <c r="C1418" s="18" t="str">
        <f>IF($A1418="","",'Lot Balance'!$C1417)</f>
        <v/>
      </c>
      <c r="D1418" s="25" t="str">
        <f>IF($A1418="","",'Lot Balance'!$G1417)</f>
        <v/>
      </c>
      <c r="E1418" s="25" t="str">
        <f>IF($A1418="","",'Lot Balance'!$H1417)</f>
        <v/>
      </c>
      <c r="F1418" s="23" t="str">
        <f>IF($A1418="","",'Lot Balance'!$I1417)</f>
        <v/>
      </c>
      <c r="G1418" s="23" t="str">
        <f>IF($A1418="","",'Lot Balance'!$O1417)</f>
        <v/>
      </c>
      <c r="H1418" s="33" t="str">
        <f>IF($A1418="","",'Lot Balance'!$P1417)</f>
        <v/>
      </c>
      <c r="I1418" s="26" t="str">
        <f>IF($A1418="","",COUNTIFS(tblIssues[Lot Number],$B1418))</f>
        <v/>
      </c>
      <c r="J1418" s="31" t="str">
        <f>IF($A1418="","",IF('Lot Balance'!$O1417&lt;=0,"Depleted",'Lot Balance'!$Q1417))</f>
        <v/>
      </c>
    </row>
    <row r="1419" spans="1:10" x14ac:dyDescent="0.35">
      <c r="A1419" s="18" t="str">
        <f>IF('Lot Balance'!$A1418="","",'Lot Balance'!$A1418)</f>
        <v/>
      </c>
      <c r="B1419" s="18" t="str">
        <f>IF($A1419="","",'Lot Balance'!$B1418)</f>
        <v/>
      </c>
      <c r="C1419" s="18" t="str">
        <f>IF($A1419="","",'Lot Balance'!$C1418)</f>
        <v/>
      </c>
      <c r="D1419" s="25" t="str">
        <f>IF($A1419="","",'Lot Balance'!$G1418)</f>
        <v/>
      </c>
      <c r="E1419" s="25" t="str">
        <f>IF($A1419="","",'Lot Balance'!$H1418)</f>
        <v/>
      </c>
      <c r="F1419" s="23" t="str">
        <f>IF($A1419="","",'Lot Balance'!$I1418)</f>
        <v/>
      </c>
      <c r="G1419" s="23" t="str">
        <f>IF($A1419="","",'Lot Balance'!$O1418)</f>
        <v/>
      </c>
      <c r="H1419" s="33" t="str">
        <f>IF($A1419="","",'Lot Balance'!$P1418)</f>
        <v/>
      </c>
      <c r="I1419" s="26" t="str">
        <f>IF($A1419="","",COUNTIFS(tblIssues[Lot Number],$B1419))</f>
        <v/>
      </c>
      <c r="J1419" s="31" t="str">
        <f>IF($A1419="","",IF('Lot Balance'!$O1418&lt;=0,"Depleted",'Lot Balance'!$Q1418))</f>
        <v/>
      </c>
    </row>
    <row r="1420" spans="1:10" x14ac:dyDescent="0.35">
      <c r="A1420" s="18" t="str">
        <f>IF('Lot Balance'!$A1419="","",'Lot Balance'!$A1419)</f>
        <v/>
      </c>
      <c r="B1420" s="18" t="str">
        <f>IF($A1420="","",'Lot Balance'!$B1419)</f>
        <v/>
      </c>
      <c r="C1420" s="18" t="str">
        <f>IF($A1420="","",'Lot Balance'!$C1419)</f>
        <v/>
      </c>
      <c r="D1420" s="25" t="str">
        <f>IF($A1420="","",'Lot Balance'!$G1419)</f>
        <v/>
      </c>
      <c r="E1420" s="25" t="str">
        <f>IF($A1420="","",'Lot Balance'!$H1419)</f>
        <v/>
      </c>
      <c r="F1420" s="23" t="str">
        <f>IF($A1420="","",'Lot Balance'!$I1419)</f>
        <v/>
      </c>
      <c r="G1420" s="23" t="str">
        <f>IF($A1420="","",'Lot Balance'!$O1419)</f>
        <v/>
      </c>
      <c r="H1420" s="33" t="str">
        <f>IF($A1420="","",'Lot Balance'!$P1419)</f>
        <v/>
      </c>
      <c r="I1420" s="26" t="str">
        <f>IF($A1420="","",COUNTIFS(tblIssues[Lot Number],$B1420))</f>
        <v/>
      </c>
      <c r="J1420" s="31" t="str">
        <f>IF($A1420="","",IF('Lot Balance'!$O1419&lt;=0,"Depleted",'Lot Balance'!$Q1419))</f>
        <v/>
      </c>
    </row>
    <row r="1421" spans="1:10" x14ac:dyDescent="0.35">
      <c r="A1421" s="18" t="str">
        <f>IF('Lot Balance'!$A1420="","",'Lot Balance'!$A1420)</f>
        <v/>
      </c>
      <c r="B1421" s="18" t="str">
        <f>IF($A1421="","",'Lot Balance'!$B1420)</f>
        <v/>
      </c>
      <c r="C1421" s="18" t="str">
        <f>IF($A1421="","",'Lot Balance'!$C1420)</f>
        <v/>
      </c>
      <c r="D1421" s="25" t="str">
        <f>IF($A1421="","",'Lot Balance'!$G1420)</f>
        <v/>
      </c>
      <c r="E1421" s="25" t="str">
        <f>IF($A1421="","",'Lot Balance'!$H1420)</f>
        <v/>
      </c>
      <c r="F1421" s="23" t="str">
        <f>IF($A1421="","",'Lot Balance'!$I1420)</f>
        <v/>
      </c>
      <c r="G1421" s="23" t="str">
        <f>IF($A1421="","",'Lot Balance'!$O1420)</f>
        <v/>
      </c>
      <c r="H1421" s="33" t="str">
        <f>IF($A1421="","",'Lot Balance'!$P1420)</f>
        <v/>
      </c>
      <c r="I1421" s="26" t="str">
        <f>IF($A1421="","",COUNTIFS(tblIssues[Lot Number],$B1421))</f>
        <v/>
      </c>
      <c r="J1421" s="31" t="str">
        <f>IF($A1421="","",IF('Lot Balance'!$O1420&lt;=0,"Depleted",'Lot Balance'!$Q1420))</f>
        <v/>
      </c>
    </row>
    <row r="1422" spans="1:10" x14ac:dyDescent="0.35">
      <c r="A1422" s="18" t="str">
        <f>IF('Lot Balance'!$A1421="","",'Lot Balance'!$A1421)</f>
        <v/>
      </c>
      <c r="B1422" s="18" t="str">
        <f>IF($A1422="","",'Lot Balance'!$B1421)</f>
        <v/>
      </c>
      <c r="C1422" s="18" t="str">
        <f>IF($A1422="","",'Lot Balance'!$C1421)</f>
        <v/>
      </c>
      <c r="D1422" s="25" t="str">
        <f>IF($A1422="","",'Lot Balance'!$G1421)</f>
        <v/>
      </c>
      <c r="E1422" s="25" t="str">
        <f>IF($A1422="","",'Lot Balance'!$H1421)</f>
        <v/>
      </c>
      <c r="F1422" s="23" t="str">
        <f>IF($A1422="","",'Lot Balance'!$I1421)</f>
        <v/>
      </c>
      <c r="G1422" s="23" t="str">
        <f>IF($A1422="","",'Lot Balance'!$O1421)</f>
        <v/>
      </c>
      <c r="H1422" s="33" t="str">
        <f>IF($A1422="","",'Lot Balance'!$P1421)</f>
        <v/>
      </c>
      <c r="I1422" s="26" t="str">
        <f>IF($A1422="","",COUNTIFS(tblIssues[Lot Number],$B1422))</f>
        <v/>
      </c>
      <c r="J1422" s="31" t="str">
        <f>IF($A1422="","",IF('Lot Balance'!$O1421&lt;=0,"Depleted",'Lot Balance'!$Q1421))</f>
        <v/>
      </c>
    </row>
    <row r="1423" spans="1:10" x14ac:dyDescent="0.35">
      <c r="A1423" s="18" t="str">
        <f>IF('Lot Balance'!$A1422="","",'Lot Balance'!$A1422)</f>
        <v/>
      </c>
      <c r="B1423" s="18" t="str">
        <f>IF($A1423="","",'Lot Balance'!$B1422)</f>
        <v/>
      </c>
      <c r="C1423" s="18" t="str">
        <f>IF($A1423="","",'Lot Balance'!$C1422)</f>
        <v/>
      </c>
      <c r="D1423" s="25" t="str">
        <f>IF($A1423="","",'Lot Balance'!$G1422)</f>
        <v/>
      </c>
      <c r="E1423" s="25" t="str">
        <f>IF($A1423="","",'Lot Balance'!$H1422)</f>
        <v/>
      </c>
      <c r="F1423" s="23" t="str">
        <f>IF($A1423="","",'Lot Balance'!$I1422)</f>
        <v/>
      </c>
      <c r="G1423" s="23" t="str">
        <f>IF($A1423="","",'Lot Balance'!$O1422)</f>
        <v/>
      </c>
      <c r="H1423" s="33" t="str">
        <f>IF($A1423="","",'Lot Balance'!$P1422)</f>
        <v/>
      </c>
      <c r="I1423" s="26" t="str">
        <f>IF($A1423="","",COUNTIFS(tblIssues[Lot Number],$B1423))</f>
        <v/>
      </c>
      <c r="J1423" s="31" t="str">
        <f>IF($A1423="","",IF('Lot Balance'!$O1422&lt;=0,"Depleted",'Lot Balance'!$Q1422))</f>
        <v/>
      </c>
    </row>
    <row r="1424" spans="1:10" x14ac:dyDescent="0.35">
      <c r="A1424" s="18" t="str">
        <f>IF('Lot Balance'!$A1423="","",'Lot Balance'!$A1423)</f>
        <v/>
      </c>
      <c r="B1424" s="18" t="str">
        <f>IF($A1424="","",'Lot Balance'!$B1423)</f>
        <v/>
      </c>
      <c r="C1424" s="18" t="str">
        <f>IF($A1424="","",'Lot Balance'!$C1423)</f>
        <v/>
      </c>
      <c r="D1424" s="25" t="str">
        <f>IF($A1424="","",'Lot Balance'!$G1423)</f>
        <v/>
      </c>
      <c r="E1424" s="25" t="str">
        <f>IF($A1424="","",'Lot Balance'!$H1423)</f>
        <v/>
      </c>
      <c r="F1424" s="23" t="str">
        <f>IF($A1424="","",'Lot Balance'!$I1423)</f>
        <v/>
      </c>
      <c r="G1424" s="23" t="str">
        <f>IF($A1424="","",'Lot Balance'!$O1423)</f>
        <v/>
      </c>
      <c r="H1424" s="33" t="str">
        <f>IF($A1424="","",'Lot Balance'!$P1423)</f>
        <v/>
      </c>
      <c r="I1424" s="26" t="str">
        <f>IF($A1424="","",COUNTIFS(tblIssues[Lot Number],$B1424))</f>
        <v/>
      </c>
      <c r="J1424" s="31" t="str">
        <f>IF($A1424="","",IF('Lot Balance'!$O1423&lt;=0,"Depleted",'Lot Balance'!$Q1423))</f>
        <v/>
      </c>
    </row>
    <row r="1425" spans="1:10" x14ac:dyDescent="0.35">
      <c r="A1425" s="18" t="str">
        <f>IF('Lot Balance'!$A1424="","",'Lot Balance'!$A1424)</f>
        <v/>
      </c>
      <c r="B1425" s="18" t="str">
        <f>IF($A1425="","",'Lot Balance'!$B1424)</f>
        <v/>
      </c>
      <c r="C1425" s="18" t="str">
        <f>IF($A1425="","",'Lot Balance'!$C1424)</f>
        <v/>
      </c>
      <c r="D1425" s="25" t="str">
        <f>IF($A1425="","",'Lot Balance'!$G1424)</f>
        <v/>
      </c>
      <c r="E1425" s="25" t="str">
        <f>IF($A1425="","",'Lot Balance'!$H1424)</f>
        <v/>
      </c>
      <c r="F1425" s="23" t="str">
        <f>IF($A1425="","",'Lot Balance'!$I1424)</f>
        <v/>
      </c>
      <c r="G1425" s="23" t="str">
        <f>IF($A1425="","",'Lot Balance'!$O1424)</f>
        <v/>
      </c>
      <c r="H1425" s="33" t="str">
        <f>IF($A1425="","",'Lot Balance'!$P1424)</f>
        <v/>
      </c>
      <c r="I1425" s="26" t="str">
        <f>IF($A1425="","",COUNTIFS(tblIssues[Lot Number],$B1425))</f>
        <v/>
      </c>
      <c r="J1425" s="31" t="str">
        <f>IF($A1425="","",IF('Lot Balance'!$O1424&lt;=0,"Depleted",'Lot Balance'!$Q1424))</f>
        <v/>
      </c>
    </row>
    <row r="1426" spans="1:10" x14ac:dyDescent="0.35">
      <c r="A1426" s="18" t="str">
        <f>IF('Lot Balance'!$A1425="","",'Lot Balance'!$A1425)</f>
        <v/>
      </c>
      <c r="B1426" s="18" t="str">
        <f>IF($A1426="","",'Lot Balance'!$B1425)</f>
        <v/>
      </c>
      <c r="C1426" s="18" t="str">
        <f>IF($A1426="","",'Lot Balance'!$C1425)</f>
        <v/>
      </c>
      <c r="D1426" s="25" t="str">
        <f>IF($A1426="","",'Lot Balance'!$G1425)</f>
        <v/>
      </c>
      <c r="E1426" s="25" t="str">
        <f>IF($A1426="","",'Lot Balance'!$H1425)</f>
        <v/>
      </c>
      <c r="F1426" s="23" t="str">
        <f>IF($A1426="","",'Lot Balance'!$I1425)</f>
        <v/>
      </c>
      <c r="G1426" s="23" t="str">
        <f>IF($A1426="","",'Lot Balance'!$O1425)</f>
        <v/>
      </c>
      <c r="H1426" s="33" t="str">
        <f>IF($A1426="","",'Lot Balance'!$P1425)</f>
        <v/>
      </c>
      <c r="I1426" s="26" t="str">
        <f>IF($A1426="","",COUNTIFS(tblIssues[Lot Number],$B1426))</f>
        <v/>
      </c>
      <c r="J1426" s="31" t="str">
        <f>IF($A1426="","",IF('Lot Balance'!$O1425&lt;=0,"Depleted",'Lot Balance'!$Q1425))</f>
        <v/>
      </c>
    </row>
    <row r="1427" spans="1:10" x14ac:dyDescent="0.35">
      <c r="A1427" s="18" t="str">
        <f>IF('Lot Balance'!$A1426="","",'Lot Balance'!$A1426)</f>
        <v/>
      </c>
      <c r="B1427" s="18" t="str">
        <f>IF($A1427="","",'Lot Balance'!$B1426)</f>
        <v/>
      </c>
      <c r="C1427" s="18" t="str">
        <f>IF($A1427="","",'Lot Balance'!$C1426)</f>
        <v/>
      </c>
      <c r="D1427" s="25" t="str">
        <f>IF($A1427="","",'Lot Balance'!$G1426)</f>
        <v/>
      </c>
      <c r="E1427" s="25" t="str">
        <f>IF($A1427="","",'Lot Balance'!$H1426)</f>
        <v/>
      </c>
      <c r="F1427" s="23" t="str">
        <f>IF($A1427="","",'Lot Balance'!$I1426)</f>
        <v/>
      </c>
      <c r="G1427" s="23" t="str">
        <f>IF($A1427="","",'Lot Balance'!$O1426)</f>
        <v/>
      </c>
      <c r="H1427" s="33" t="str">
        <f>IF($A1427="","",'Lot Balance'!$P1426)</f>
        <v/>
      </c>
      <c r="I1427" s="26" t="str">
        <f>IF($A1427="","",COUNTIFS(tblIssues[Lot Number],$B1427))</f>
        <v/>
      </c>
      <c r="J1427" s="31" t="str">
        <f>IF($A1427="","",IF('Lot Balance'!$O1426&lt;=0,"Depleted",'Lot Balance'!$Q1426))</f>
        <v/>
      </c>
    </row>
    <row r="1428" spans="1:10" x14ac:dyDescent="0.35">
      <c r="A1428" s="18" t="str">
        <f>IF('Lot Balance'!$A1427="","",'Lot Balance'!$A1427)</f>
        <v/>
      </c>
      <c r="B1428" s="18" t="str">
        <f>IF($A1428="","",'Lot Balance'!$B1427)</f>
        <v/>
      </c>
      <c r="C1428" s="18" t="str">
        <f>IF($A1428="","",'Lot Balance'!$C1427)</f>
        <v/>
      </c>
      <c r="D1428" s="25" t="str">
        <f>IF($A1428="","",'Lot Balance'!$G1427)</f>
        <v/>
      </c>
      <c r="E1428" s="25" t="str">
        <f>IF($A1428="","",'Lot Balance'!$H1427)</f>
        <v/>
      </c>
      <c r="F1428" s="23" t="str">
        <f>IF($A1428="","",'Lot Balance'!$I1427)</f>
        <v/>
      </c>
      <c r="G1428" s="23" t="str">
        <f>IF($A1428="","",'Lot Balance'!$O1427)</f>
        <v/>
      </c>
      <c r="H1428" s="33" t="str">
        <f>IF($A1428="","",'Lot Balance'!$P1427)</f>
        <v/>
      </c>
      <c r="I1428" s="26" t="str">
        <f>IF($A1428="","",COUNTIFS(tblIssues[Lot Number],$B1428))</f>
        <v/>
      </c>
      <c r="J1428" s="31" t="str">
        <f>IF($A1428="","",IF('Lot Balance'!$O1427&lt;=0,"Depleted",'Lot Balance'!$Q1427))</f>
        <v/>
      </c>
    </row>
    <row r="1429" spans="1:10" x14ac:dyDescent="0.35">
      <c r="A1429" s="18" t="str">
        <f>IF('Lot Balance'!$A1428="","",'Lot Balance'!$A1428)</f>
        <v/>
      </c>
      <c r="B1429" s="18" t="str">
        <f>IF($A1429="","",'Lot Balance'!$B1428)</f>
        <v/>
      </c>
      <c r="C1429" s="18" t="str">
        <f>IF($A1429="","",'Lot Balance'!$C1428)</f>
        <v/>
      </c>
      <c r="D1429" s="25" t="str">
        <f>IF($A1429="","",'Lot Balance'!$G1428)</f>
        <v/>
      </c>
      <c r="E1429" s="25" t="str">
        <f>IF($A1429="","",'Lot Balance'!$H1428)</f>
        <v/>
      </c>
      <c r="F1429" s="23" t="str">
        <f>IF($A1429="","",'Lot Balance'!$I1428)</f>
        <v/>
      </c>
      <c r="G1429" s="23" t="str">
        <f>IF($A1429="","",'Lot Balance'!$O1428)</f>
        <v/>
      </c>
      <c r="H1429" s="33" t="str">
        <f>IF($A1429="","",'Lot Balance'!$P1428)</f>
        <v/>
      </c>
      <c r="I1429" s="26" t="str">
        <f>IF($A1429="","",COUNTIFS(tblIssues[Lot Number],$B1429))</f>
        <v/>
      </c>
      <c r="J1429" s="31" t="str">
        <f>IF($A1429="","",IF('Lot Balance'!$O1428&lt;=0,"Depleted",'Lot Balance'!$Q1428))</f>
        <v/>
      </c>
    </row>
    <row r="1430" spans="1:10" x14ac:dyDescent="0.35">
      <c r="A1430" s="18" t="str">
        <f>IF('Lot Balance'!$A1429="","",'Lot Balance'!$A1429)</f>
        <v/>
      </c>
      <c r="B1430" s="18" t="str">
        <f>IF($A1430="","",'Lot Balance'!$B1429)</f>
        <v/>
      </c>
      <c r="C1430" s="18" t="str">
        <f>IF($A1430="","",'Lot Balance'!$C1429)</f>
        <v/>
      </c>
      <c r="D1430" s="25" t="str">
        <f>IF($A1430="","",'Lot Balance'!$G1429)</f>
        <v/>
      </c>
      <c r="E1430" s="25" t="str">
        <f>IF($A1430="","",'Lot Balance'!$H1429)</f>
        <v/>
      </c>
      <c r="F1430" s="23" t="str">
        <f>IF($A1430="","",'Lot Balance'!$I1429)</f>
        <v/>
      </c>
      <c r="G1430" s="23" t="str">
        <f>IF($A1430="","",'Lot Balance'!$O1429)</f>
        <v/>
      </c>
      <c r="H1430" s="33" t="str">
        <f>IF($A1430="","",'Lot Balance'!$P1429)</f>
        <v/>
      </c>
      <c r="I1430" s="26" t="str">
        <f>IF($A1430="","",COUNTIFS(tblIssues[Lot Number],$B1430))</f>
        <v/>
      </c>
      <c r="J1430" s="31" t="str">
        <f>IF($A1430="","",IF('Lot Balance'!$O1429&lt;=0,"Depleted",'Lot Balance'!$Q1429))</f>
        <v/>
      </c>
    </row>
    <row r="1431" spans="1:10" x14ac:dyDescent="0.35">
      <c r="A1431" s="18" t="str">
        <f>IF('Lot Balance'!$A1430="","",'Lot Balance'!$A1430)</f>
        <v/>
      </c>
      <c r="B1431" s="18" t="str">
        <f>IF($A1431="","",'Lot Balance'!$B1430)</f>
        <v/>
      </c>
      <c r="C1431" s="18" t="str">
        <f>IF($A1431="","",'Lot Balance'!$C1430)</f>
        <v/>
      </c>
      <c r="D1431" s="25" t="str">
        <f>IF($A1431="","",'Lot Balance'!$G1430)</f>
        <v/>
      </c>
      <c r="E1431" s="25" t="str">
        <f>IF($A1431="","",'Lot Balance'!$H1430)</f>
        <v/>
      </c>
      <c r="F1431" s="23" t="str">
        <f>IF($A1431="","",'Lot Balance'!$I1430)</f>
        <v/>
      </c>
      <c r="G1431" s="23" t="str">
        <f>IF($A1431="","",'Lot Balance'!$O1430)</f>
        <v/>
      </c>
      <c r="H1431" s="33" t="str">
        <f>IF($A1431="","",'Lot Balance'!$P1430)</f>
        <v/>
      </c>
      <c r="I1431" s="26" t="str">
        <f>IF($A1431="","",COUNTIFS(tblIssues[Lot Number],$B1431))</f>
        <v/>
      </c>
      <c r="J1431" s="31" t="str">
        <f>IF($A1431="","",IF('Lot Balance'!$O1430&lt;=0,"Depleted",'Lot Balance'!$Q1430))</f>
        <v/>
      </c>
    </row>
    <row r="1432" spans="1:10" x14ac:dyDescent="0.35">
      <c r="A1432" s="18" t="str">
        <f>IF('Lot Balance'!$A1431="","",'Lot Balance'!$A1431)</f>
        <v/>
      </c>
      <c r="B1432" s="18" t="str">
        <f>IF($A1432="","",'Lot Balance'!$B1431)</f>
        <v/>
      </c>
      <c r="C1432" s="18" t="str">
        <f>IF($A1432="","",'Lot Balance'!$C1431)</f>
        <v/>
      </c>
      <c r="D1432" s="25" t="str">
        <f>IF($A1432="","",'Lot Balance'!$G1431)</f>
        <v/>
      </c>
      <c r="E1432" s="25" t="str">
        <f>IF($A1432="","",'Lot Balance'!$H1431)</f>
        <v/>
      </c>
      <c r="F1432" s="23" t="str">
        <f>IF($A1432="","",'Lot Balance'!$I1431)</f>
        <v/>
      </c>
      <c r="G1432" s="23" t="str">
        <f>IF($A1432="","",'Lot Balance'!$O1431)</f>
        <v/>
      </c>
      <c r="H1432" s="33" t="str">
        <f>IF($A1432="","",'Lot Balance'!$P1431)</f>
        <v/>
      </c>
      <c r="I1432" s="26" t="str">
        <f>IF($A1432="","",COUNTIFS(tblIssues[Lot Number],$B1432))</f>
        <v/>
      </c>
      <c r="J1432" s="31" t="str">
        <f>IF($A1432="","",IF('Lot Balance'!$O1431&lt;=0,"Depleted",'Lot Balance'!$Q1431))</f>
        <v/>
      </c>
    </row>
    <row r="1433" spans="1:10" x14ac:dyDescent="0.35">
      <c r="A1433" s="18" t="str">
        <f>IF('Lot Balance'!$A1432="","",'Lot Balance'!$A1432)</f>
        <v/>
      </c>
      <c r="B1433" s="18" t="str">
        <f>IF($A1433="","",'Lot Balance'!$B1432)</f>
        <v/>
      </c>
      <c r="C1433" s="18" t="str">
        <f>IF($A1433="","",'Lot Balance'!$C1432)</f>
        <v/>
      </c>
      <c r="D1433" s="25" t="str">
        <f>IF($A1433="","",'Lot Balance'!$G1432)</f>
        <v/>
      </c>
      <c r="E1433" s="25" t="str">
        <f>IF($A1433="","",'Lot Balance'!$H1432)</f>
        <v/>
      </c>
      <c r="F1433" s="23" t="str">
        <f>IF($A1433="","",'Lot Balance'!$I1432)</f>
        <v/>
      </c>
      <c r="G1433" s="23" t="str">
        <f>IF($A1433="","",'Lot Balance'!$O1432)</f>
        <v/>
      </c>
      <c r="H1433" s="33" t="str">
        <f>IF($A1433="","",'Lot Balance'!$P1432)</f>
        <v/>
      </c>
      <c r="I1433" s="26" t="str">
        <f>IF($A1433="","",COUNTIFS(tblIssues[Lot Number],$B1433))</f>
        <v/>
      </c>
      <c r="J1433" s="31" t="str">
        <f>IF($A1433="","",IF('Lot Balance'!$O1432&lt;=0,"Depleted",'Lot Balance'!$Q1432))</f>
        <v/>
      </c>
    </row>
    <row r="1434" spans="1:10" x14ac:dyDescent="0.35">
      <c r="A1434" s="18" t="str">
        <f>IF('Lot Balance'!$A1433="","",'Lot Balance'!$A1433)</f>
        <v/>
      </c>
      <c r="B1434" s="18" t="str">
        <f>IF($A1434="","",'Lot Balance'!$B1433)</f>
        <v/>
      </c>
      <c r="C1434" s="18" t="str">
        <f>IF($A1434="","",'Lot Balance'!$C1433)</f>
        <v/>
      </c>
      <c r="D1434" s="25" t="str">
        <f>IF($A1434="","",'Lot Balance'!$G1433)</f>
        <v/>
      </c>
      <c r="E1434" s="25" t="str">
        <f>IF($A1434="","",'Lot Balance'!$H1433)</f>
        <v/>
      </c>
      <c r="F1434" s="23" t="str">
        <f>IF($A1434="","",'Lot Balance'!$I1433)</f>
        <v/>
      </c>
      <c r="G1434" s="23" t="str">
        <f>IF($A1434="","",'Lot Balance'!$O1433)</f>
        <v/>
      </c>
      <c r="H1434" s="33" t="str">
        <f>IF($A1434="","",'Lot Balance'!$P1433)</f>
        <v/>
      </c>
      <c r="I1434" s="26" t="str">
        <f>IF($A1434="","",COUNTIFS(tblIssues[Lot Number],$B1434))</f>
        <v/>
      </c>
      <c r="J1434" s="31" t="str">
        <f>IF($A1434="","",IF('Lot Balance'!$O1433&lt;=0,"Depleted",'Lot Balance'!$Q1433))</f>
        <v/>
      </c>
    </row>
    <row r="1435" spans="1:10" x14ac:dyDescent="0.35">
      <c r="A1435" s="18" t="str">
        <f>IF('Lot Balance'!$A1434="","",'Lot Balance'!$A1434)</f>
        <v/>
      </c>
      <c r="B1435" s="18" t="str">
        <f>IF($A1435="","",'Lot Balance'!$B1434)</f>
        <v/>
      </c>
      <c r="C1435" s="18" t="str">
        <f>IF($A1435="","",'Lot Balance'!$C1434)</f>
        <v/>
      </c>
      <c r="D1435" s="25" t="str">
        <f>IF($A1435="","",'Lot Balance'!$G1434)</f>
        <v/>
      </c>
      <c r="E1435" s="25" t="str">
        <f>IF($A1435="","",'Lot Balance'!$H1434)</f>
        <v/>
      </c>
      <c r="F1435" s="23" t="str">
        <f>IF($A1435="","",'Lot Balance'!$I1434)</f>
        <v/>
      </c>
      <c r="G1435" s="23" t="str">
        <f>IF($A1435="","",'Lot Balance'!$O1434)</f>
        <v/>
      </c>
      <c r="H1435" s="33" t="str">
        <f>IF($A1435="","",'Lot Balance'!$P1434)</f>
        <v/>
      </c>
      <c r="I1435" s="26" t="str">
        <f>IF($A1435="","",COUNTIFS(tblIssues[Lot Number],$B1435))</f>
        <v/>
      </c>
      <c r="J1435" s="31" t="str">
        <f>IF($A1435="","",IF('Lot Balance'!$O1434&lt;=0,"Depleted",'Lot Balance'!$Q1434))</f>
        <v/>
      </c>
    </row>
    <row r="1436" spans="1:10" x14ac:dyDescent="0.35">
      <c r="A1436" s="18" t="str">
        <f>IF('Lot Balance'!$A1435="","",'Lot Balance'!$A1435)</f>
        <v/>
      </c>
      <c r="B1436" s="18" t="str">
        <f>IF($A1436="","",'Lot Balance'!$B1435)</f>
        <v/>
      </c>
      <c r="C1436" s="18" t="str">
        <f>IF($A1436="","",'Lot Balance'!$C1435)</f>
        <v/>
      </c>
      <c r="D1436" s="25" t="str">
        <f>IF($A1436="","",'Lot Balance'!$G1435)</f>
        <v/>
      </c>
      <c r="E1436" s="25" t="str">
        <f>IF($A1436="","",'Lot Balance'!$H1435)</f>
        <v/>
      </c>
      <c r="F1436" s="23" t="str">
        <f>IF($A1436="","",'Lot Balance'!$I1435)</f>
        <v/>
      </c>
      <c r="G1436" s="23" t="str">
        <f>IF($A1436="","",'Lot Balance'!$O1435)</f>
        <v/>
      </c>
      <c r="H1436" s="33" t="str">
        <f>IF($A1436="","",'Lot Balance'!$P1435)</f>
        <v/>
      </c>
      <c r="I1436" s="26" t="str">
        <f>IF($A1436="","",COUNTIFS(tblIssues[Lot Number],$B1436))</f>
        <v/>
      </c>
      <c r="J1436" s="31" t="str">
        <f>IF($A1436="","",IF('Lot Balance'!$O1435&lt;=0,"Depleted",'Lot Balance'!$Q1435))</f>
        <v/>
      </c>
    </row>
    <row r="1437" spans="1:10" x14ac:dyDescent="0.35">
      <c r="A1437" s="18" t="str">
        <f>IF('Lot Balance'!$A1436="","",'Lot Balance'!$A1436)</f>
        <v/>
      </c>
      <c r="B1437" s="18" t="str">
        <f>IF($A1437="","",'Lot Balance'!$B1436)</f>
        <v/>
      </c>
      <c r="C1437" s="18" t="str">
        <f>IF($A1437="","",'Lot Balance'!$C1436)</f>
        <v/>
      </c>
      <c r="D1437" s="25" t="str">
        <f>IF($A1437="","",'Lot Balance'!$G1436)</f>
        <v/>
      </c>
      <c r="E1437" s="25" t="str">
        <f>IF($A1437="","",'Lot Balance'!$H1436)</f>
        <v/>
      </c>
      <c r="F1437" s="23" t="str">
        <f>IF($A1437="","",'Lot Balance'!$I1436)</f>
        <v/>
      </c>
      <c r="G1437" s="23" t="str">
        <f>IF($A1437="","",'Lot Balance'!$O1436)</f>
        <v/>
      </c>
      <c r="H1437" s="33" t="str">
        <f>IF($A1437="","",'Lot Balance'!$P1436)</f>
        <v/>
      </c>
      <c r="I1437" s="26" t="str">
        <f>IF($A1437="","",COUNTIFS(tblIssues[Lot Number],$B1437))</f>
        <v/>
      </c>
      <c r="J1437" s="31" t="str">
        <f>IF($A1437="","",IF('Lot Balance'!$O1436&lt;=0,"Depleted",'Lot Balance'!$Q1436))</f>
        <v/>
      </c>
    </row>
    <row r="1438" spans="1:10" x14ac:dyDescent="0.35">
      <c r="A1438" s="18" t="str">
        <f>IF('Lot Balance'!$A1437="","",'Lot Balance'!$A1437)</f>
        <v/>
      </c>
      <c r="B1438" s="18" t="str">
        <f>IF($A1438="","",'Lot Balance'!$B1437)</f>
        <v/>
      </c>
      <c r="C1438" s="18" t="str">
        <f>IF($A1438="","",'Lot Balance'!$C1437)</f>
        <v/>
      </c>
      <c r="D1438" s="25" t="str">
        <f>IF($A1438="","",'Lot Balance'!$G1437)</f>
        <v/>
      </c>
      <c r="E1438" s="25" t="str">
        <f>IF($A1438="","",'Lot Balance'!$H1437)</f>
        <v/>
      </c>
      <c r="F1438" s="23" t="str">
        <f>IF($A1438="","",'Lot Balance'!$I1437)</f>
        <v/>
      </c>
      <c r="G1438" s="23" t="str">
        <f>IF($A1438="","",'Lot Balance'!$O1437)</f>
        <v/>
      </c>
      <c r="H1438" s="33" t="str">
        <f>IF($A1438="","",'Lot Balance'!$P1437)</f>
        <v/>
      </c>
      <c r="I1438" s="26" t="str">
        <f>IF($A1438="","",COUNTIFS(tblIssues[Lot Number],$B1438))</f>
        <v/>
      </c>
      <c r="J1438" s="31" t="str">
        <f>IF($A1438="","",IF('Lot Balance'!$O1437&lt;=0,"Depleted",'Lot Balance'!$Q1437))</f>
        <v/>
      </c>
    </row>
    <row r="1439" spans="1:10" x14ac:dyDescent="0.35">
      <c r="A1439" s="18" t="str">
        <f>IF('Lot Balance'!$A1438="","",'Lot Balance'!$A1438)</f>
        <v/>
      </c>
      <c r="B1439" s="18" t="str">
        <f>IF($A1439="","",'Lot Balance'!$B1438)</f>
        <v/>
      </c>
      <c r="C1439" s="18" t="str">
        <f>IF($A1439="","",'Lot Balance'!$C1438)</f>
        <v/>
      </c>
      <c r="D1439" s="25" t="str">
        <f>IF($A1439="","",'Lot Balance'!$G1438)</f>
        <v/>
      </c>
      <c r="E1439" s="25" t="str">
        <f>IF($A1439="","",'Lot Balance'!$H1438)</f>
        <v/>
      </c>
      <c r="F1439" s="23" t="str">
        <f>IF($A1439="","",'Lot Balance'!$I1438)</f>
        <v/>
      </c>
      <c r="G1439" s="23" t="str">
        <f>IF($A1439="","",'Lot Balance'!$O1438)</f>
        <v/>
      </c>
      <c r="H1439" s="33" t="str">
        <f>IF($A1439="","",'Lot Balance'!$P1438)</f>
        <v/>
      </c>
      <c r="I1439" s="26" t="str">
        <f>IF($A1439="","",COUNTIFS(tblIssues[Lot Number],$B1439))</f>
        <v/>
      </c>
      <c r="J1439" s="31" t="str">
        <f>IF($A1439="","",IF('Lot Balance'!$O1438&lt;=0,"Depleted",'Lot Balance'!$Q1438))</f>
        <v/>
      </c>
    </row>
    <row r="1440" spans="1:10" x14ac:dyDescent="0.35">
      <c r="A1440" s="18" t="str">
        <f>IF('Lot Balance'!$A1439="","",'Lot Balance'!$A1439)</f>
        <v/>
      </c>
      <c r="B1440" s="18" t="str">
        <f>IF($A1440="","",'Lot Balance'!$B1439)</f>
        <v/>
      </c>
      <c r="C1440" s="18" t="str">
        <f>IF($A1440="","",'Lot Balance'!$C1439)</f>
        <v/>
      </c>
      <c r="D1440" s="25" t="str">
        <f>IF($A1440="","",'Lot Balance'!$G1439)</f>
        <v/>
      </c>
      <c r="E1440" s="25" t="str">
        <f>IF($A1440="","",'Lot Balance'!$H1439)</f>
        <v/>
      </c>
      <c r="F1440" s="23" t="str">
        <f>IF($A1440="","",'Lot Balance'!$I1439)</f>
        <v/>
      </c>
      <c r="G1440" s="23" t="str">
        <f>IF($A1440="","",'Lot Balance'!$O1439)</f>
        <v/>
      </c>
      <c r="H1440" s="33" t="str">
        <f>IF($A1440="","",'Lot Balance'!$P1439)</f>
        <v/>
      </c>
      <c r="I1440" s="26" t="str">
        <f>IF($A1440="","",COUNTIFS(tblIssues[Lot Number],$B1440))</f>
        <v/>
      </c>
      <c r="J1440" s="31" t="str">
        <f>IF($A1440="","",IF('Lot Balance'!$O1439&lt;=0,"Depleted",'Lot Balance'!$Q1439))</f>
        <v/>
      </c>
    </row>
    <row r="1441" spans="1:10" x14ac:dyDescent="0.35">
      <c r="A1441" s="18" t="str">
        <f>IF('Lot Balance'!$A1440="","",'Lot Balance'!$A1440)</f>
        <v/>
      </c>
      <c r="B1441" s="18" t="str">
        <f>IF($A1441="","",'Lot Balance'!$B1440)</f>
        <v/>
      </c>
      <c r="C1441" s="18" t="str">
        <f>IF($A1441="","",'Lot Balance'!$C1440)</f>
        <v/>
      </c>
      <c r="D1441" s="25" t="str">
        <f>IF($A1441="","",'Lot Balance'!$G1440)</f>
        <v/>
      </c>
      <c r="E1441" s="25" t="str">
        <f>IF($A1441="","",'Lot Balance'!$H1440)</f>
        <v/>
      </c>
      <c r="F1441" s="23" t="str">
        <f>IF($A1441="","",'Lot Balance'!$I1440)</f>
        <v/>
      </c>
      <c r="G1441" s="23" t="str">
        <f>IF($A1441="","",'Lot Balance'!$O1440)</f>
        <v/>
      </c>
      <c r="H1441" s="33" t="str">
        <f>IF($A1441="","",'Lot Balance'!$P1440)</f>
        <v/>
      </c>
      <c r="I1441" s="26" t="str">
        <f>IF($A1441="","",COUNTIFS(tblIssues[Lot Number],$B1441))</f>
        <v/>
      </c>
      <c r="J1441" s="31" t="str">
        <f>IF($A1441="","",IF('Lot Balance'!$O1440&lt;=0,"Depleted",'Lot Balance'!$Q1440))</f>
        <v/>
      </c>
    </row>
    <row r="1442" spans="1:10" x14ac:dyDescent="0.35">
      <c r="A1442" s="18" t="str">
        <f>IF('Lot Balance'!$A1441="","",'Lot Balance'!$A1441)</f>
        <v/>
      </c>
      <c r="B1442" s="18" t="str">
        <f>IF($A1442="","",'Lot Balance'!$B1441)</f>
        <v/>
      </c>
      <c r="C1442" s="18" t="str">
        <f>IF($A1442="","",'Lot Balance'!$C1441)</f>
        <v/>
      </c>
      <c r="D1442" s="25" t="str">
        <f>IF($A1442="","",'Lot Balance'!$G1441)</f>
        <v/>
      </c>
      <c r="E1442" s="25" t="str">
        <f>IF($A1442="","",'Lot Balance'!$H1441)</f>
        <v/>
      </c>
      <c r="F1442" s="23" t="str">
        <f>IF($A1442="","",'Lot Balance'!$I1441)</f>
        <v/>
      </c>
      <c r="G1442" s="23" t="str">
        <f>IF($A1442="","",'Lot Balance'!$O1441)</f>
        <v/>
      </c>
      <c r="H1442" s="33" t="str">
        <f>IF($A1442="","",'Lot Balance'!$P1441)</f>
        <v/>
      </c>
      <c r="I1442" s="26" t="str">
        <f>IF($A1442="","",COUNTIFS(tblIssues[Lot Number],$B1442))</f>
        <v/>
      </c>
      <c r="J1442" s="31" t="str">
        <f>IF($A1442="","",IF('Lot Balance'!$O1441&lt;=0,"Depleted",'Lot Balance'!$Q1441))</f>
        <v/>
      </c>
    </row>
    <row r="1443" spans="1:10" x14ac:dyDescent="0.35">
      <c r="A1443" s="18" t="str">
        <f>IF('Lot Balance'!$A1442="","",'Lot Balance'!$A1442)</f>
        <v/>
      </c>
      <c r="B1443" s="18" t="str">
        <f>IF($A1443="","",'Lot Balance'!$B1442)</f>
        <v/>
      </c>
      <c r="C1443" s="18" t="str">
        <f>IF($A1443="","",'Lot Balance'!$C1442)</f>
        <v/>
      </c>
      <c r="D1443" s="25" t="str">
        <f>IF($A1443="","",'Lot Balance'!$G1442)</f>
        <v/>
      </c>
      <c r="E1443" s="25" t="str">
        <f>IF($A1443="","",'Lot Balance'!$H1442)</f>
        <v/>
      </c>
      <c r="F1443" s="23" t="str">
        <f>IF($A1443="","",'Lot Balance'!$I1442)</f>
        <v/>
      </c>
      <c r="G1443" s="23" t="str">
        <f>IF($A1443="","",'Lot Balance'!$O1442)</f>
        <v/>
      </c>
      <c r="H1443" s="33" t="str">
        <f>IF($A1443="","",'Lot Balance'!$P1442)</f>
        <v/>
      </c>
      <c r="I1443" s="26" t="str">
        <f>IF($A1443="","",COUNTIFS(tblIssues[Lot Number],$B1443))</f>
        <v/>
      </c>
      <c r="J1443" s="31" t="str">
        <f>IF($A1443="","",IF('Lot Balance'!$O1442&lt;=0,"Depleted",'Lot Balance'!$Q1442))</f>
        <v/>
      </c>
    </row>
    <row r="1444" spans="1:10" x14ac:dyDescent="0.35">
      <c r="A1444" s="18" t="str">
        <f>IF('Lot Balance'!$A1443="","",'Lot Balance'!$A1443)</f>
        <v/>
      </c>
      <c r="B1444" s="18" t="str">
        <f>IF($A1444="","",'Lot Balance'!$B1443)</f>
        <v/>
      </c>
      <c r="C1444" s="18" t="str">
        <f>IF($A1444="","",'Lot Balance'!$C1443)</f>
        <v/>
      </c>
      <c r="D1444" s="25" t="str">
        <f>IF($A1444="","",'Lot Balance'!$G1443)</f>
        <v/>
      </c>
      <c r="E1444" s="25" t="str">
        <f>IF($A1444="","",'Lot Balance'!$H1443)</f>
        <v/>
      </c>
      <c r="F1444" s="23" t="str">
        <f>IF($A1444="","",'Lot Balance'!$I1443)</f>
        <v/>
      </c>
      <c r="G1444" s="23" t="str">
        <f>IF($A1444="","",'Lot Balance'!$O1443)</f>
        <v/>
      </c>
      <c r="H1444" s="33" t="str">
        <f>IF($A1444="","",'Lot Balance'!$P1443)</f>
        <v/>
      </c>
      <c r="I1444" s="26" t="str">
        <f>IF($A1444="","",COUNTIFS(tblIssues[Lot Number],$B1444))</f>
        <v/>
      </c>
      <c r="J1444" s="31" t="str">
        <f>IF($A1444="","",IF('Lot Balance'!$O1443&lt;=0,"Depleted",'Lot Balance'!$Q1443))</f>
        <v/>
      </c>
    </row>
    <row r="1445" spans="1:10" x14ac:dyDescent="0.35">
      <c r="A1445" s="18" t="str">
        <f>IF('Lot Balance'!$A1444="","",'Lot Balance'!$A1444)</f>
        <v/>
      </c>
      <c r="B1445" s="18" t="str">
        <f>IF($A1445="","",'Lot Balance'!$B1444)</f>
        <v/>
      </c>
      <c r="C1445" s="18" t="str">
        <f>IF($A1445="","",'Lot Balance'!$C1444)</f>
        <v/>
      </c>
      <c r="D1445" s="25" t="str">
        <f>IF($A1445="","",'Lot Balance'!$G1444)</f>
        <v/>
      </c>
      <c r="E1445" s="25" t="str">
        <f>IF($A1445="","",'Lot Balance'!$H1444)</f>
        <v/>
      </c>
      <c r="F1445" s="23" t="str">
        <f>IF($A1445="","",'Lot Balance'!$I1444)</f>
        <v/>
      </c>
      <c r="G1445" s="23" t="str">
        <f>IF($A1445="","",'Lot Balance'!$O1444)</f>
        <v/>
      </c>
      <c r="H1445" s="33" t="str">
        <f>IF($A1445="","",'Lot Balance'!$P1444)</f>
        <v/>
      </c>
      <c r="I1445" s="26" t="str">
        <f>IF($A1445="","",COUNTIFS(tblIssues[Lot Number],$B1445))</f>
        <v/>
      </c>
      <c r="J1445" s="31" t="str">
        <f>IF($A1445="","",IF('Lot Balance'!$O1444&lt;=0,"Depleted",'Lot Balance'!$Q1444))</f>
        <v/>
      </c>
    </row>
    <row r="1446" spans="1:10" x14ac:dyDescent="0.35">
      <c r="A1446" s="18" t="str">
        <f>IF('Lot Balance'!$A1445="","",'Lot Balance'!$A1445)</f>
        <v/>
      </c>
      <c r="B1446" s="18" t="str">
        <f>IF($A1446="","",'Lot Balance'!$B1445)</f>
        <v/>
      </c>
      <c r="C1446" s="18" t="str">
        <f>IF($A1446="","",'Lot Balance'!$C1445)</f>
        <v/>
      </c>
      <c r="D1446" s="25" t="str">
        <f>IF($A1446="","",'Lot Balance'!$G1445)</f>
        <v/>
      </c>
      <c r="E1446" s="25" t="str">
        <f>IF($A1446="","",'Lot Balance'!$H1445)</f>
        <v/>
      </c>
      <c r="F1446" s="23" t="str">
        <f>IF($A1446="","",'Lot Balance'!$I1445)</f>
        <v/>
      </c>
      <c r="G1446" s="23" t="str">
        <f>IF($A1446="","",'Lot Balance'!$O1445)</f>
        <v/>
      </c>
      <c r="H1446" s="33" t="str">
        <f>IF($A1446="","",'Lot Balance'!$P1445)</f>
        <v/>
      </c>
      <c r="I1446" s="26" t="str">
        <f>IF($A1446="","",COUNTIFS(tblIssues[Lot Number],$B1446))</f>
        <v/>
      </c>
      <c r="J1446" s="31" t="str">
        <f>IF($A1446="","",IF('Lot Balance'!$O1445&lt;=0,"Depleted",'Lot Balance'!$Q1445))</f>
        <v/>
      </c>
    </row>
    <row r="1447" spans="1:10" x14ac:dyDescent="0.35">
      <c r="A1447" s="18" t="str">
        <f>IF('Lot Balance'!$A1446="","",'Lot Balance'!$A1446)</f>
        <v/>
      </c>
      <c r="B1447" s="18" t="str">
        <f>IF($A1447="","",'Lot Balance'!$B1446)</f>
        <v/>
      </c>
      <c r="C1447" s="18" t="str">
        <f>IF($A1447="","",'Lot Balance'!$C1446)</f>
        <v/>
      </c>
      <c r="D1447" s="25" t="str">
        <f>IF($A1447="","",'Lot Balance'!$G1446)</f>
        <v/>
      </c>
      <c r="E1447" s="25" t="str">
        <f>IF($A1447="","",'Lot Balance'!$H1446)</f>
        <v/>
      </c>
      <c r="F1447" s="23" t="str">
        <f>IF($A1447="","",'Lot Balance'!$I1446)</f>
        <v/>
      </c>
      <c r="G1447" s="23" t="str">
        <f>IF($A1447="","",'Lot Balance'!$O1446)</f>
        <v/>
      </c>
      <c r="H1447" s="33" t="str">
        <f>IF($A1447="","",'Lot Balance'!$P1446)</f>
        <v/>
      </c>
      <c r="I1447" s="26" t="str">
        <f>IF($A1447="","",COUNTIFS(tblIssues[Lot Number],$B1447))</f>
        <v/>
      </c>
      <c r="J1447" s="31" t="str">
        <f>IF($A1447="","",IF('Lot Balance'!$O1446&lt;=0,"Depleted",'Lot Balance'!$Q1446))</f>
        <v/>
      </c>
    </row>
    <row r="1448" spans="1:10" x14ac:dyDescent="0.35">
      <c r="A1448" s="18" t="str">
        <f>IF('Lot Balance'!$A1447="","",'Lot Balance'!$A1447)</f>
        <v/>
      </c>
      <c r="B1448" s="18" t="str">
        <f>IF($A1448="","",'Lot Balance'!$B1447)</f>
        <v/>
      </c>
      <c r="C1448" s="18" t="str">
        <f>IF($A1448="","",'Lot Balance'!$C1447)</f>
        <v/>
      </c>
      <c r="D1448" s="25" t="str">
        <f>IF($A1448="","",'Lot Balance'!$G1447)</f>
        <v/>
      </c>
      <c r="E1448" s="25" t="str">
        <f>IF($A1448="","",'Lot Balance'!$H1447)</f>
        <v/>
      </c>
      <c r="F1448" s="23" t="str">
        <f>IF($A1448="","",'Lot Balance'!$I1447)</f>
        <v/>
      </c>
      <c r="G1448" s="23" t="str">
        <f>IF($A1448="","",'Lot Balance'!$O1447)</f>
        <v/>
      </c>
      <c r="H1448" s="33" t="str">
        <f>IF($A1448="","",'Lot Balance'!$P1447)</f>
        <v/>
      </c>
      <c r="I1448" s="26" t="str">
        <f>IF($A1448="","",COUNTIFS(tblIssues[Lot Number],$B1448))</f>
        <v/>
      </c>
      <c r="J1448" s="31" t="str">
        <f>IF($A1448="","",IF('Lot Balance'!$O1447&lt;=0,"Depleted",'Lot Balance'!$Q1447))</f>
        <v/>
      </c>
    </row>
    <row r="1449" spans="1:10" x14ac:dyDescent="0.35">
      <c r="A1449" s="18" t="str">
        <f>IF('Lot Balance'!$A1448="","",'Lot Balance'!$A1448)</f>
        <v/>
      </c>
      <c r="B1449" s="18" t="str">
        <f>IF($A1449="","",'Lot Balance'!$B1448)</f>
        <v/>
      </c>
      <c r="C1449" s="18" t="str">
        <f>IF($A1449="","",'Lot Balance'!$C1448)</f>
        <v/>
      </c>
      <c r="D1449" s="25" t="str">
        <f>IF($A1449="","",'Lot Balance'!$G1448)</f>
        <v/>
      </c>
      <c r="E1449" s="25" t="str">
        <f>IF($A1449="","",'Lot Balance'!$H1448)</f>
        <v/>
      </c>
      <c r="F1449" s="23" t="str">
        <f>IF($A1449="","",'Lot Balance'!$I1448)</f>
        <v/>
      </c>
      <c r="G1449" s="23" t="str">
        <f>IF($A1449="","",'Lot Balance'!$O1448)</f>
        <v/>
      </c>
      <c r="H1449" s="33" t="str">
        <f>IF($A1449="","",'Lot Balance'!$P1448)</f>
        <v/>
      </c>
      <c r="I1449" s="26" t="str">
        <f>IF($A1449="","",COUNTIFS(tblIssues[Lot Number],$B1449))</f>
        <v/>
      </c>
      <c r="J1449" s="31" t="str">
        <f>IF($A1449="","",IF('Lot Balance'!$O1448&lt;=0,"Depleted",'Lot Balance'!$Q1448))</f>
        <v/>
      </c>
    </row>
    <row r="1450" spans="1:10" x14ac:dyDescent="0.35">
      <c r="A1450" s="18" t="str">
        <f>IF('Lot Balance'!$A1449="","",'Lot Balance'!$A1449)</f>
        <v/>
      </c>
      <c r="B1450" s="18" t="str">
        <f>IF($A1450="","",'Lot Balance'!$B1449)</f>
        <v/>
      </c>
      <c r="C1450" s="18" t="str">
        <f>IF($A1450="","",'Lot Balance'!$C1449)</f>
        <v/>
      </c>
      <c r="D1450" s="25" t="str">
        <f>IF($A1450="","",'Lot Balance'!$G1449)</f>
        <v/>
      </c>
      <c r="E1450" s="25" t="str">
        <f>IF($A1450="","",'Lot Balance'!$H1449)</f>
        <v/>
      </c>
      <c r="F1450" s="23" t="str">
        <f>IF($A1450="","",'Lot Balance'!$I1449)</f>
        <v/>
      </c>
      <c r="G1450" s="23" t="str">
        <f>IF($A1450="","",'Lot Balance'!$O1449)</f>
        <v/>
      </c>
      <c r="H1450" s="33" t="str">
        <f>IF($A1450="","",'Lot Balance'!$P1449)</f>
        <v/>
      </c>
      <c r="I1450" s="26" t="str">
        <f>IF($A1450="","",COUNTIFS(tblIssues[Lot Number],$B1450))</f>
        <v/>
      </c>
      <c r="J1450" s="31" t="str">
        <f>IF($A1450="","",IF('Lot Balance'!$O1449&lt;=0,"Depleted",'Lot Balance'!$Q1449))</f>
        <v/>
      </c>
    </row>
    <row r="1451" spans="1:10" x14ac:dyDescent="0.35">
      <c r="A1451" s="18" t="str">
        <f>IF('Lot Balance'!$A1450="","",'Lot Balance'!$A1450)</f>
        <v/>
      </c>
      <c r="B1451" s="18" t="str">
        <f>IF($A1451="","",'Lot Balance'!$B1450)</f>
        <v/>
      </c>
      <c r="C1451" s="18" t="str">
        <f>IF($A1451="","",'Lot Balance'!$C1450)</f>
        <v/>
      </c>
      <c r="D1451" s="25" t="str">
        <f>IF($A1451="","",'Lot Balance'!$G1450)</f>
        <v/>
      </c>
      <c r="E1451" s="25" t="str">
        <f>IF($A1451="","",'Lot Balance'!$H1450)</f>
        <v/>
      </c>
      <c r="F1451" s="23" t="str">
        <f>IF($A1451="","",'Lot Balance'!$I1450)</f>
        <v/>
      </c>
      <c r="G1451" s="23" t="str">
        <f>IF($A1451="","",'Lot Balance'!$O1450)</f>
        <v/>
      </c>
      <c r="H1451" s="33" t="str">
        <f>IF($A1451="","",'Lot Balance'!$P1450)</f>
        <v/>
      </c>
      <c r="I1451" s="26" t="str">
        <f>IF($A1451="","",COUNTIFS(tblIssues[Lot Number],$B1451))</f>
        <v/>
      </c>
      <c r="J1451" s="31" t="str">
        <f>IF($A1451="","",IF('Lot Balance'!$O1450&lt;=0,"Depleted",'Lot Balance'!$Q1450))</f>
        <v/>
      </c>
    </row>
    <row r="1452" spans="1:10" x14ac:dyDescent="0.35">
      <c r="A1452" s="18" t="str">
        <f>IF('Lot Balance'!$A1451="","",'Lot Balance'!$A1451)</f>
        <v/>
      </c>
      <c r="B1452" s="18" t="str">
        <f>IF($A1452="","",'Lot Balance'!$B1451)</f>
        <v/>
      </c>
      <c r="C1452" s="18" t="str">
        <f>IF($A1452="","",'Lot Balance'!$C1451)</f>
        <v/>
      </c>
      <c r="D1452" s="25" t="str">
        <f>IF($A1452="","",'Lot Balance'!$G1451)</f>
        <v/>
      </c>
      <c r="E1452" s="25" t="str">
        <f>IF($A1452="","",'Lot Balance'!$H1451)</f>
        <v/>
      </c>
      <c r="F1452" s="23" t="str">
        <f>IF($A1452="","",'Lot Balance'!$I1451)</f>
        <v/>
      </c>
      <c r="G1452" s="23" t="str">
        <f>IF($A1452="","",'Lot Balance'!$O1451)</f>
        <v/>
      </c>
      <c r="H1452" s="33" t="str">
        <f>IF($A1452="","",'Lot Balance'!$P1451)</f>
        <v/>
      </c>
      <c r="I1452" s="26" t="str">
        <f>IF($A1452="","",COUNTIFS(tblIssues[Lot Number],$B1452))</f>
        <v/>
      </c>
      <c r="J1452" s="31" t="str">
        <f>IF($A1452="","",IF('Lot Balance'!$O1451&lt;=0,"Depleted",'Lot Balance'!$Q1451))</f>
        <v/>
      </c>
    </row>
    <row r="1453" spans="1:10" x14ac:dyDescent="0.35">
      <c r="A1453" s="18" t="str">
        <f>IF('Lot Balance'!$A1452="","",'Lot Balance'!$A1452)</f>
        <v/>
      </c>
      <c r="B1453" s="18" t="str">
        <f>IF($A1453="","",'Lot Balance'!$B1452)</f>
        <v/>
      </c>
      <c r="C1453" s="18" t="str">
        <f>IF($A1453="","",'Lot Balance'!$C1452)</f>
        <v/>
      </c>
      <c r="D1453" s="25" t="str">
        <f>IF($A1453="","",'Lot Balance'!$G1452)</f>
        <v/>
      </c>
      <c r="E1453" s="25" t="str">
        <f>IF($A1453="","",'Lot Balance'!$H1452)</f>
        <v/>
      </c>
      <c r="F1453" s="23" t="str">
        <f>IF($A1453="","",'Lot Balance'!$I1452)</f>
        <v/>
      </c>
      <c r="G1453" s="23" t="str">
        <f>IF($A1453="","",'Lot Balance'!$O1452)</f>
        <v/>
      </c>
      <c r="H1453" s="33" t="str">
        <f>IF($A1453="","",'Lot Balance'!$P1452)</f>
        <v/>
      </c>
      <c r="I1453" s="26" t="str">
        <f>IF($A1453="","",COUNTIFS(tblIssues[Lot Number],$B1453))</f>
        <v/>
      </c>
      <c r="J1453" s="31" t="str">
        <f>IF($A1453="","",IF('Lot Balance'!$O1452&lt;=0,"Depleted",'Lot Balance'!$Q1452))</f>
        <v/>
      </c>
    </row>
    <row r="1454" spans="1:10" x14ac:dyDescent="0.35">
      <c r="A1454" s="18" t="str">
        <f>IF('Lot Balance'!$A1453="","",'Lot Balance'!$A1453)</f>
        <v/>
      </c>
      <c r="B1454" s="18" t="str">
        <f>IF($A1454="","",'Lot Balance'!$B1453)</f>
        <v/>
      </c>
      <c r="C1454" s="18" t="str">
        <f>IF($A1454="","",'Lot Balance'!$C1453)</f>
        <v/>
      </c>
      <c r="D1454" s="25" t="str">
        <f>IF($A1454="","",'Lot Balance'!$G1453)</f>
        <v/>
      </c>
      <c r="E1454" s="25" t="str">
        <f>IF($A1454="","",'Lot Balance'!$H1453)</f>
        <v/>
      </c>
      <c r="F1454" s="23" t="str">
        <f>IF($A1454="","",'Lot Balance'!$I1453)</f>
        <v/>
      </c>
      <c r="G1454" s="23" t="str">
        <f>IF($A1454="","",'Lot Balance'!$O1453)</f>
        <v/>
      </c>
      <c r="H1454" s="33" t="str">
        <f>IF($A1454="","",'Lot Balance'!$P1453)</f>
        <v/>
      </c>
      <c r="I1454" s="26" t="str">
        <f>IF($A1454="","",COUNTIFS(tblIssues[Lot Number],$B1454))</f>
        <v/>
      </c>
      <c r="J1454" s="31" t="str">
        <f>IF($A1454="","",IF('Lot Balance'!$O1453&lt;=0,"Depleted",'Lot Balance'!$Q1453))</f>
        <v/>
      </c>
    </row>
    <row r="1455" spans="1:10" x14ac:dyDescent="0.35">
      <c r="A1455" s="18" t="str">
        <f>IF('Lot Balance'!$A1454="","",'Lot Balance'!$A1454)</f>
        <v/>
      </c>
      <c r="B1455" s="18" t="str">
        <f>IF($A1455="","",'Lot Balance'!$B1454)</f>
        <v/>
      </c>
      <c r="C1455" s="18" t="str">
        <f>IF($A1455="","",'Lot Balance'!$C1454)</f>
        <v/>
      </c>
      <c r="D1455" s="25" t="str">
        <f>IF($A1455="","",'Lot Balance'!$G1454)</f>
        <v/>
      </c>
      <c r="E1455" s="25" t="str">
        <f>IF($A1455="","",'Lot Balance'!$H1454)</f>
        <v/>
      </c>
      <c r="F1455" s="23" t="str">
        <f>IF($A1455="","",'Lot Balance'!$I1454)</f>
        <v/>
      </c>
      <c r="G1455" s="23" t="str">
        <f>IF($A1455="","",'Lot Balance'!$O1454)</f>
        <v/>
      </c>
      <c r="H1455" s="33" t="str">
        <f>IF($A1455="","",'Lot Balance'!$P1454)</f>
        <v/>
      </c>
      <c r="I1455" s="26" t="str">
        <f>IF($A1455="","",COUNTIFS(tblIssues[Lot Number],$B1455))</f>
        <v/>
      </c>
      <c r="J1455" s="31" t="str">
        <f>IF($A1455="","",IF('Lot Balance'!$O1454&lt;=0,"Depleted",'Lot Balance'!$Q1454))</f>
        <v/>
      </c>
    </row>
    <row r="1456" spans="1:10" x14ac:dyDescent="0.35">
      <c r="A1456" s="18" t="str">
        <f>IF('Lot Balance'!$A1455="","",'Lot Balance'!$A1455)</f>
        <v/>
      </c>
      <c r="B1456" s="18" t="str">
        <f>IF($A1456="","",'Lot Balance'!$B1455)</f>
        <v/>
      </c>
      <c r="C1456" s="18" t="str">
        <f>IF($A1456="","",'Lot Balance'!$C1455)</f>
        <v/>
      </c>
      <c r="D1456" s="25" t="str">
        <f>IF($A1456="","",'Lot Balance'!$G1455)</f>
        <v/>
      </c>
      <c r="E1456" s="25" t="str">
        <f>IF($A1456="","",'Lot Balance'!$H1455)</f>
        <v/>
      </c>
      <c r="F1456" s="23" t="str">
        <f>IF($A1456="","",'Lot Balance'!$I1455)</f>
        <v/>
      </c>
      <c r="G1456" s="23" t="str">
        <f>IF($A1456="","",'Lot Balance'!$O1455)</f>
        <v/>
      </c>
      <c r="H1456" s="33" t="str">
        <f>IF($A1456="","",'Lot Balance'!$P1455)</f>
        <v/>
      </c>
      <c r="I1456" s="26" t="str">
        <f>IF($A1456="","",COUNTIFS(tblIssues[Lot Number],$B1456))</f>
        <v/>
      </c>
      <c r="J1456" s="31" t="str">
        <f>IF($A1456="","",IF('Lot Balance'!$O1455&lt;=0,"Depleted",'Lot Balance'!$Q1455))</f>
        <v/>
      </c>
    </row>
    <row r="1457" spans="1:10" x14ac:dyDescent="0.35">
      <c r="A1457" s="18" t="str">
        <f>IF('Lot Balance'!$A1456="","",'Lot Balance'!$A1456)</f>
        <v/>
      </c>
      <c r="B1457" s="18" t="str">
        <f>IF($A1457="","",'Lot Balance'!$B1456)</f>
        <v/>
      </c>
      <c r="C1457" s="18" t="str">
        <f>IF($A1457="","",'Lot Balance'!$C1456)</f>
        <v/>
      </c>
      <c r="D1457" s="25" t="str">
        <f>IF($A1457="","",'Lot Balance'!$G1456)</f>
        <v/>
      </c>
      <c r="E1457" s="25" t="str">
        <f>IF($A1457="","",'Lot Balance'!$H1456)</f>
        <v/>
      </c>
      <c r="F1457" s="23" t="str">
        <f>IF($A1457="","",'Lot Balance'!$I1456)</f>
        <v/>
      </c>
      <c r="G1457" s="23" t="str">
        <f>IF($A1457="","",'Lot Balance'!$O1456)</f>
        <v/>
      </c>
      <c r="H1457" s="33" t="str">
        <f>IF($A1457="","",'Lot Balance'!$P1456)</f>
        <v/>
      </c>
      <c r="I1457" s="26" t="str">
        <f>IF($A1457="","",COUNTIFS(tblIssues[Lot Number],$B1457))</f>
        <v/>
      </c>
      <c r="J1457" s="31" t="str">
        <f>IF($A1457="","",IF('Lot Balance'!$O1456&lt;=0,"Depleted",'Lot Balance'!$Q1456))</f>
        <v/>
      </c>
    </row>
    <row r="1458" spans="1:10" x14ac:dyDescent="0.35">
      <c r="A1458" s="18" t="str">
        <f>IF('Lot Balance'!$A1457="","",'Lot Balance'!$A1457)</f>
        <v/>
      </c>
      <c r="B1458" s="18" t="str">
        <f>IF($A1458="","",'Lot Balance'!$B1457)</f>
        <v/>
      </c>
      <c r="C1458" s="18" t="str">
        <f>IF($A1458="","",'Lot Balance'!$C1457)</f>
        <v/>
      </c>
      <c r="D1458" s="25" t="str">
        <f>IF($A1458="","",'Lot Balance'!$G1457)</f>
        <v/>
      </c>
      <c r="E1458" s="25" t="str">
        <f>IF($A1458="","",'Lot Balance'!$H1457)</f>
        <v/>
      </c>
      <c r="F1458" s="23" t="str">
        <f>IF($A1458="","",'Lot Balance'!$I1457)</f>
        <v/>
      </c>
      <c r="G1458" s="23" t="str">
        <f>IF($A1458="","",'Lot Balance'!$O1457)</f>
        <v/>
      </c>
      <c r="H1458" s="33" t="str">
        <f>IF($A1458="","",'Lot Balance'!$P1457)</f>
        <v/>
      </c>
      <c r="I1458" s="26" t="str">
        <f>IF($A1458="","",COUNTIFS(tblIssues[Lot Number],$B1458))</f>
        <v/>
      </c>
      <c r="J1458" s="31" t="str">
        <f>IF($A1458="","",IF('Lot Balance'!$O1457&lt;=0,"Depleted",'Lot Balance'!$Q1457))</f>
        <v/>
      </c>
    </row>
    <row r="1459" spans="1:10" x14ac:dyDescent="0.35">
      <c r="A1459" s="18" t="str">
        <f>IF('Lot Balance'!$A1458="","",'Lot Balance'!$A1458)</f>
        <v/>
      </c>
      <c r="B1459" s="18" t="str">
        <f>IF($A1459="","",'Lot Balance'!$B1458)</f>
        <v/>
      </c>
      <c r="C1459" s="18" t="str">
        <f>IF($A1459="","",'Lot Balance'!$C1458)</f>
        <v/>
      </c>
      <c r="D1459" s="25" t="str">
        <f>IF($A1459="","",'Lot Balance'!$G1458)</f>
        <v/>
      </c>
      <c r="E1459" s="25" t="str">
        <f>IF($A1459="","",'Lot Balance'!$H1458)</f>
        <v/>
      </c>
      <c r="F1459" s="23" t="str">
        <f>IF($A1459="","",'Lot Balance'!$I1458)</f>
        <v/>
      </c>
      <c r="G1459" s="23" t="str">
        <f>IF($A1459="","",'Lot Balance'!$O1458)</f>
        <v/>
      </c>
      <c r="H1459" s="33" t="str">
        <f>IF($A1459="","",'Lot Balance'!$P1458)</f>
        <v/>
      </c>
      <c r="I1459" s="26" t="str">
        <f>IF($A1459="","",COUNTIFS(tblIssues[Lot Number],$B1459))</f>
        <v/>
      </c>
      <c r="J1459" s="31" t="str">
        <f>IF($A1459="","",IF('Lot Balance'!$O1458&lt;=0,"Depleted",'Lot Balance'!$Q1458))</f>
        <v/>
      </c>
    </row>
    <row r="1460" spans="1:10" x14ac:dyDescent="0.35">
      <c r="A1460" s="18" t="str">
        <f>IF('Lot Balance'!$A1459="","",'Lot Balance'!$A1459)</f>
        <v/>
      </c>
      <c r="B1460" s="18" t="str">
        <f>IF($A1460="","",'Lot Balance'!$B1459)</f>
        <v/>
      </c>
      <c r="C1460" s="18" t="str">
        <f>IF($A1460="","",'Lot Balance'!$C1459)</f>
        <v/>
      </c>
      <c r="D1460" s="25" t="str">
        <f>IF($A1460="","",'Lot Balance'!$G1459)</f>
        <v/>
      </c>
      <c r="E1460" s="25" t="str">
        <f>IF($A1460="","",'Lot Balance'!$H1459)</f>
        <v/>
      </c>
      <c r="F1460" s="23" t="str">
        <f>IF($A1460="","",'Lot Balance'!$I1459)</f>
        <v/>
      </c>
      <c r="G1460" s="23" t="str">
        <f>IF($A1460="","",'Lot Balance'!$O1459)</f>
        <v/>
      </c>
      <c r="H1460" s="33" t="str">
        <f>IF($A1460="","",'Lot Balance'!$P1459)</f>
        <v/>
      </c>
      <c r="I1460" s="26" t="str">
        <f>IF($A1460="","",COUNTIFS(tblIssues[Lot Number],$B1460))</f>
        <v/>
      </c>
      <c r="J1460" s="31" t="str">
        <f>IF($A1460="","",IF('Lot Balance'!$O1459&lt;=0,"Depleted",'Lot Balance'!$Q1459))</f>
        <v/>
      </c>
    </row>
    <row r="1461" spans="1:10" x14ac:dyDescent="0.35">
      <c r="A1461" s="18" t="str">
        <f>IF('Lot Balance'!$A1460="","",'Lot Balance'!$A1460)</f>
        <v/>
      </c>
      <c r="B1461" s="18" t="str">
        <f>IF($A1461="","",'Lot Balance'!$B1460)</f>
        <v/>
      </c>
      <c r="C1461" s="18" t="str">
        <f>IF($A1461="","",'Lot Balance'!$C1460)</f>
        <v/>
      </c>
      <c r="D1461" s="25" t="str">
        <f>IF($A1461="","",'Lot Balance'!$G1460)</f>
        <v/>
      </c>
      <c r="E1461" s="25" t="str">
        <f>IF($A1461="","",'Lot Balance'!$H1460)</f>
        <v/>
      </c>
      <c r="F1461" s="23" t="str">
        <f>IF($A1461="","",'Lot Balance'!$I1460)</f>
        <v/>
      </c>
      <c r="G1461" s="23" t="str">
        <f>IF($A1461="","",'Lot Balance'!$O1460)</f>
        <v/>
      </c>
      <c r="H1461" s="33" t="str">
        <f>IF($A1461="","",'Lot Balance'!$P1460)</f>
        <v/>
      </c>
      <c r="I1461" s="26" t="str">
        <f>IF($A1461="","",COUNTIFS(tblIssues[Lot Number],$B1461))</f>
        <v/>
      </c>
      <c r="J1461" s="31" t="str">
        <f>IF($A1461="","",IF('Lot Balance'!$O1460&lt;=0,"Depleted",'Lot Balance'!$Q1460))</f>
        <v/>
      </c>
    </row>
    <row r="1462" spans="1:10" x14ac:dyDescent="0.35">
      <c r="A1462" s="18" t="str">
        <f>IF('Lot Balance'!$A1461="","",'Lot Balance'!$A1461)</f>
        <v/>
      </c>
      <c r="B1462" s="18" t="str">
        <f>IF($A1462="","",'Lot Balance'!$B1461)</f>
        <v/>
      </c>
      <c r="C1462" s="18" t="str">
        <f>IF($A1462="","",'Lot Balance'!$C1461)</f>
        <v/>
      </c>
      <c r="D1462" s="25" t="str">
        <f>IF($A1462="","",'Lot Balance'!$G1461)</f>
        <v/>
      </c>
      <c r="E1462" s="25" t="str">
        <f>IF($A1462="","",'Lot Balance'!$H1461)</f>
        <v/>
      </c>
      <c r="F1462" s="23" t="str">
        <f>IF($A1462="","",'Lot Balance'!$I1461)</f>
        <v/>
      </c>
      <c r="G1462" s="23" t="str">
        <f>IF($A1462="","",'Lot Balance'!$O1461)</f>
        <v/>
      </c>
      <c r="H1462" s="33" t="str">
        <f>IF($A1462="","",'Lot Balance'!$P1461)</f>
        <v/>
      </c>
      <c r="I1462" s="26" t="str">
        <f>IF($A1462="","",COUNTIFS(tblIssues[Lot Number],$B1462))</f>
        <v/>
      </c>
      <c r="J1462" s="31" t="str">
        <f>IF($A1462="","",IF('Lot Balance'!$O1461&lt;=0,"Depleted",'Lot Balance'!$Q1461))</f>
        <v/>
      </c>
    </row>
    <row r="1463" spans="1:10" x14ac:dyDescent="0.35">
      <c r="A1463" s="18" t="str">
        <f>IF('Lot Balance'!$A1462="","",'Lot Balance'!$A1462)</f>
        <v/>
      </c>
      <c r="B1463" s="18" t="str">
        <f>IF($A1463="","",'Lot Balance'!$B1462)</f>
        <v/>
      </c>
      <c r="C1463" s="18" t="str">
        <f>IF($A1463="","",'Lot Balance'!$C1462)</f>
        <v/>
      </c>
      <c r="D1463" s="25" t="str">
        <f>IF($A1463="","",'Lot Balance'!$G1462)</f>
        <v/>
      </c>
      <c r="E1463" s="25" t="str">
        <f>IF($A1463="","",'Lot Balance'!$H1462)</f>
        <v/>
      </c>
      <c r="F1463" s="23" t="str">
        <f>IF($A1463="","",'Lot Balance'!$I1462)</f>
        <v/>
      </c>
      <c r="G1463" s="23" t="str">
        <f>IF($A1463="","",'Lot Balance'!$O1462)</f>
        <v/>
      </c>
      <c r="H1463" s="33" t="str">
        <f>IF($A1463="","",'Lot Balance'!$P1462)</f>
        <v/>
      </c>
      <c r="I1463" s="26" t="str">
        <f>IF($A1463="","",COUNTIFS(tblIssues[Lot Number],$B1463))</f>
        <v/>
      </c>
      <c r="J1463" s="31" t="str">
        <f>IF($A1463="","",IF('Lot Balance'!$O1462&lt;=0,"Depleted",'Lot Balance'!$Q1462))</f>
        <v/>
      </c>
    </row>
    <row r="1464" spans="1:10" x14ac:dyDescent="0.35">
      <c r="A1464" s="18" t="str">
        <f>IF('Lot Balance'!$A1463="","",'Lot Balance'!$A1463)</f>
        <v/>
      </c>
      <c r="B1464" s="18" t="str">
        <f>IF($A1464="","",'Lot Balance'!$B1463)</f>
        <v/>
      </c>
      <c r="C1464" s="18" t="str">
        <f>IF($A1464="","",'Lot Balance'!$C1463)</f>
        <v/>
      </c>
      <c r="D1464" s="25" t="str">
        <f>IF($A1464="","",'Lot Balance'!$G1463)</f>
        <v/>
      </c>
      <c r="E1464" s="25" t="str">
        <f>IF($A1464="","",'Lot Balance'!$H1463)</f>
        <v/>
      </c>
      <c r="F1464" s="23" t="str">
        <f>IF($A1464="","",'Lot Balance'!$I1463)</f>
        <v/>
      </c>
      <c r="G1464" s="23" t="str">
        <f>IF($A1464="","",'Lot Balance'!$O1463)</f>
        <v/>
      </c>
      <c r="H1464" s="33" t="str">
        <f>IF($A1464="","",'Lot Balance'!$P1463)</f>
        <v/>
      </c>
      <c r="I1464" s="26" t="str">
        <f>IF($A1464="","",COUNTIFS(tblIssues[Lot Number],$B1464))</f>
        <v/>
      </c>
      <c r="J1464" s="31" t="str">
        <f>IF($A1464="","",IF('Lot Balance'!$O1463&lt;=0,"Depleted",'Lot Balance'!$Q1463))</f>
        <v/>
      </c>
    </row>
    <row r="1465" spans="1:10" x14ac:dyDescent="0.35">
      <c r="A1465" s="18" t="str">
        <f>IF('Lot Balance'!$A1464="","",'Lot Balance'!$A1464)</f>
        <v/>
      </c>
      <c r="B1465" s="18" t="str">
        <f>IF($A1465="","",'Lot Balance'!$B1464)</f>
        <v/>
      </c>
      <c r="C1465" s="18" t="str">
        <f>IF($A1465="","",'Lot Balance'!$C1464)</f>
        <v/>
      </c>
      <c r="D1465" s="25" t="str">
        <f>IF($A1465="","",'Lot Balance'!$G1464)</f>
        <v/>
      </c>
      <c r="E1465" s="25" t="str">
        <f>IF($A1465="","",'Lot Balance'!$H1464)</f>
        <v/>
      </c>
      <c r="F1465" s="23" t="str">
        <f>IF($A1465="","",'Lot Balance'!$I1464)</f>
        <v/>
      </c>
      <c r="G1465" s="23" t="str">
        <f>IF($A1465="","",'Lot Balance'!$O1464)</f>
        <v/>
      </c>
      <c r="H1465" s="33" t="str">
        <f>IF($A1465="","",'Lot Balance'!$P1464)</f>
        <v/>
      </c>
      <c r="I1465" s="26" t="str">
        <f>IF($A1465="","",COUNTIFS(tblIssues[Lot Number],$B1465))</f>
        <v/>
      </c>
      <c r="J1465" s="31" t="str">
        <f>IF($A1465="","",IF('Lot Balance'!$O1464&lt;=0,"Depleted",'Lot Balance'!$Q1464))</f>
        <v/>
      </c>
    </row>
    <row r="1466" spans="1:10" x14ac:dyDescent="0.35">
      <c r="A1466" s="18" t="str">
        <f>IF('Lot Balance'!$A1465="","",'Lot Balance'!$A1465)</f>
        <v/>
      </c>
      <c r="B1466" s="18" t="str">
        <f>IF($A1466="","",'Lot Balance'!$B1465)</f>
        <v/>
      </c>
      <c r="C1466" s="18" t="str">
        <f>IF($A1466="","",'Lot Balance'!$C1465)</f>
        <v/>
      </c>
      <c r="D1466" s="25" t="str">
        <f>IF($A1466="","",'Lot Balance'!$G1465)</f>
        <v/>
      </c>
      <c r="E1466" s="25" t="str">
        <f>IF($A1466="","",'Lot Balance'!$H1465)</f>
        <v/>
      </c>
      <c r="F1466" s="23" t="str">
        <f>IF($A1466="","",'Lot Balance'!$I1465)</f>
        <v/>
      </c>
      <c r="G1466" s="23" t="str">
        <f>IF($A1466="","",'Lot Balance'!$O1465)</f>
        <v/>
      </c>
      <c r="H1466" s="33" t="str">
        <f>IF($A1466="","",'Lot Balance'!$P1465)</f>
        <v/>
      </c>
      <c r="I1466" s="26" t="str">
        <f>IF($A1466="","",COUNTIFS(tblIssues[Lot Number],$B1466))</f>
        <v/>
      </c>
      <c r="J1466" s="31" t="str">
        <f>IF($A1466="","",IF('Lot Balance'!$O1465&lt;=0,"Depleted",'Lot Balance'!$Q1465))</f>
        <v/>
      </c>
    </row>
    <row r="1467" spans="1:10" x14ac:dyDescent="0.35">
      <c r="A1467" s="18" t="str">
        <f>IF('Lot Balance'!$A1466="","",'Lot Balance'!$A1466)</f>
        <v/>
      </c>
      <c r="B1467" s="18" t="str">
        <f>IF($A1467="","",'Lot Balance'!$B1466)</f>
        <v/>
      </c>
      <c r="C1467" s="18" t="str">
        <f>IF($A1467="","",'Lot Balance'!$C1466)</f>
        <v/>
      </c>
      <c r="D1467" s="25" t="str">
        <f>IF($A1467="","",'Lot Balance'!$G1466)</f>
        <v/>
      </c>
      <c r="E1467" s="25" t="str">
        <f>IF($A1467="","",'Lot Balance'!$H1466)</f>
        <v/>
      </c>
      <c r="F1467" s="23" t="str">
        <f>IF($A1467="","",'Lot Balance'!$I1466)</f>
        <v/>
      </c>
      <c r="G1467" s="23" t="str">
        <f>IF($A1467="","",'Lot Balance'!$O1466)</f>
        <v/>
      </c>
      <c r="H1467" s="33" t="str">
        <f>IF($A1467="","",'Lot Balance'!$P1466)</f>
        <v/>
      </c>
      <c r="I1467" s="26" t="str">
        <f>IF($A1467="","",COUNTIFS(tblIssues[Lot Number],$B1467))</f>
        <v/>
      </c>
      <c r="J1467" s="31" t="str">
        <f>IF($A1467="","",IF('Lot Balance'!$O1466&lt;=0,"Depleted",'Lot Balance'!$Q1466))</f>
        <v/>
      </c>
    </row>
    <row r="1468" spans="1:10" x14ac:dyDescent="0.35">
      <c r="A1468" s="18" t="str">
        <f>IF('Lot Balance'!$A1467="","",'Lot Balance'!$A1467)</f>
        <v/>
      </c>
      <c r="B1468" s="18" t="str">
        <f>IF($A1468="","",'Lot Balance'!$B1467)</f>
        <v/>
      </c>
      <c r="C1468" s="18" t="str">
        <f>IF($A1468="","",'Lot Balance'!$C1467)</f>
        <v/>
      </c>
      <c r="D1468" s="25" t="str">
        <f>IF($A1468="","",'Lot Balance'!$G1467)</f>
        <v/>
      </c>
      <c r="E1468" s="25" t="str">
        <f>IF($A1468="","",'Lot Balance'!$H1467)</f>
        <v/>
      </c>
      <c r="F1468" s="23" t="str">
        <f>IF($A1468="","",'Lot Balance'!$I1467)</f>
        <v/>
      </c>
      <c r="G1468" s="23" t="str">
        <f>IF($A1468="","",'Lot Balance'!$O1467)</f>
        <v/>
      </c>
      <c r="H1468" s="33" t="str">
        <f>IF($A1468="","",'Lot Balance'!$P1467)</f>
        <v/>
      </c>
      <c r="I1468" s="26" t="str">
        <f>IF($A1468="","",COUNTIFS(tblIssues[Lot Number],$B1468))</f>
        <v/>
      </c>
      <c r="J1468" s="31" t="str">
        <f>IF($A1468="","",IF('Lot Balance'!$O1467&lt;=0,"Depleted",'Lot Balance'!$Q1467))</f>
        <v/>
      </c>
    </row>
    <row r="1469" spans="1:10" x14ac:dyDescent="0.35">
      <c r="A1469" s="18" t="str">
        <f>IF('Lot Balance'!$A1468="","",'Lot Balance'!$A1468)</f>
        <v/>
      </c>
      <c r="B1469" s="18" t="str">
        <f>IF($A1469="","",'Lot Balance'!$B1468)</f>
        <v/>
      </c>
      <c r="C1469" s="18" t="str">
        <f>IF($A1469="","",'Lot Balance'!$C1468)</f>
        <v/>
      </c>
      <c r="D1469" s="25" t="str">
        <f>IF($A1469="","",'Lot Balance'!$G1468)</f>
        <v/>
      </c>
      <c r="E1469" s="25" t="str">
        <f>IF($A1469="","",'Lot Balance'!$H1468)</f>
        <v/>
      </c>
      <c r="F1469" s="23" t="str">
        <f>IF($A1469="","",'Lot Balance'!$I1468)</f>
        <v/>
      </c>
      <c r="G1469" s="23" t="str">
        <f>IF($A1469="","",'Lot Balance'!$O1468)</f>
        <v/>
      </c>
      <c r="H1469" s="33" t="str">
        <f>IF($A1469="","",'Lot Balance'!$P1468)</f>
        <v/>
      </c>
      <c r="I1469" s="26" t="str">
        <f>IF($A1469="","",COUNTIFS(tblIssues[Lot Number],$B1469))</f>
        <v/>
      </c>
      <c r="J1469" s="31" t="str">
        <f>IF($A1469="","",IF('Lot Balance'!$O1468&lt;=0,"Depleted",'Lot Balance'!$Q1468))</f>
        <v/>
      </c>
    </row>
    <row r="1470" spans="1:10" x14ac:dyDescent="0.35">
      <c r="A1470" s="18" t="str">
        <f>IF('Lot Balance'!$A1469="","",'Lot Balance'!$A1469)</f>
        <v/>
      </c>
      <c r="B1470" s="18" t="str">
        <f>IF($A1470="","",'Lot Balance'!$B1469)</f>
        <v/>
      </c>
      <c r="C1470" s="18" t="str">
        <f>IF($A1470="","",'Lot Balance'!$C1469)</f>
        <v/>
      </c>
      <c r="D1470" s="25" t="str">
        <f>IF($A1470="","",'Lot Balance'!$G1469)</f>
        <v/>
      </c>
      <c r="E1470" s="25" t="str">
        <f>IF($A1470="","",'Lot Balance'!$H1469)</f>
        <v/>
      </c>
      <c r="F1470" s="23" t="str">
        <f>IF($A1470="","",'Lot Balance'!$I1469)</f>
        <v/>
      </c>
      <c r="G1470" s="23" t="str">
        <f>IF($A1470="","",'Lot Balance'!$O1469)</f>
        <v/>
      </c>
      <c r="H1470" s="33" t="str">
        <f>IF($A1470="","",'Lot Balance'!$P1469)</f>
        <v/>
      </c>
      <c r="I1470" s="26" t="str">
        <f>IF($A1470="","",COUNTIFS(tblIssues[Lot Number],$B1470))</f>
        <v/>
      </c>
      <c r="J1470" s="31" t="str">
        <f>IF($A1470="","",IF('Lot Balance'!$O1469&lt;=0,"Depleted",'Lot Balance'!$Q1469))</f>
        <v/>
      </c>
    </row>
    <row r="1471" spans="1:10" x14ac:dyDescent="0.35">
      <c r="A1471" s="18" t="str">
        <f>IF('Lot Balance'!$A1470="","",'Lot Balance'!$A1470)</f>
        <v/>
      </c>
      <c r="B1471" s="18" t="str">
        <f>IF($A1471="","",'Lot Balance'!$B1470)</f>
        <v/>
      </c>
      <c r="C1471" s="18" t="str">
        <f>IF($A1471="","",'Lot Balance'!$C1470)</f>
        <v/>
      </c>
      <c r="D1471" s="25" t="str">
        <f>IF($A1471="","",'Lot Balance'!$G1470)</f>
        <v/>
      </c>
      <c r="E1471" s="25" t="str">
        <f>IF($A1471="","",'Lot Balance'!$H1470)</f>
        <v/>
      </c>
      <c r="F1471" s="23" t="str">
        <f>IF($A1471="","",'Lot Balance'!$I1470)</f>
        <v/>
      </c>
      <c r="G1471" s="23" t="str">
        <f>IF($A1471="","",'Lot Balance'!$O1470)</f>
        <v/>
      </c>
      <c r="H1471" s="33" t="str">
        <f>IF($A1471="","",'Lot Balance'!$P1470)</f>
        <v/>
      </c>
      <c r="I1471" s="26" t="str">
        <f>IF($A1471="","",COUNTIFS(tblIssues[Lot Number],$B1471))</f>
        <v/>
      </c>
      <c r="J1471" s="31" t="str">
        <f>IF($A1471="","",IF('Lot Balance'!$O1470&lt;=0,"Depleted",'Lot Balance'!$Q1470))</f>
        <v/>
      </c>
    </row>
    <row r="1472" spans="1:10" x14ac:dyDescent="0.35">
      <c r="A1472" s="18" t="str">
        <f>IF('Lot Balance'!$A1471="","",'Lot Balance'!$A1471)</f>
        <v/>
      </c>
      <c r="B1472" s="18" t="str">
        <f>IF($A1472="","",'Lot Balance'!$B1471)</f>
        <v/>
      </c>
      <c r="C1472" s="18" t="str">
        <f>IF($A1472="","",'Lot Balance'!$C1471)</f>
        <v/>
      </c>
      <c r="D1472" s="25" t="str">
        <f>IF($A1472="","",'Lot Balance'!$G1471)</f>
        <v/>
      </c>
      <c r="E1472" s="25" t="str">
        <f>IF($A1472="","",'Lot Balance'!$H1471)</f>
        <v/>
      </c>
      <c r="F1472" s="23" t="str">
        <f>IF($A1472="","",'Lot Balance'!$I1471)</f>
        <v/>
      </c>
      <c r="G1472" s="23" t="str">
        <f>IF($A1472="","",'Lot Balance'!$O1471)</f>
        <v/>
      </c>
      <c r="H1472" s="33" t="str">
        <f>IF($A1472="","",'Lot Balance'!$P1471)</f>
        <v/>
      </c>
      <c r="I1472" s="26" t="str">
        <f>IF($A1472="","",COUNTIFS(tblIssues[Lot Number],$B1472))</f>
        <v/>
      </c>
      <c r="J1472" s="31" t="str">
        <f>IF($A1472="","",IF('Lot Balance'!$O1471&lt;=0,"Depleted",'Lot Balance'!$Q1471))</f>
        <v/>
      </c>
    </row>
    <row r="1473" spans="1:10" x14ac:dyDescent="0.35">
      <c r="A1473" s="18" t="str">
        <f>IF('Lot Balance'!$A1472="","",'Lot Balance'!$A1472)</f>
        <v/>
      </c>
      <c r="B1473" s="18" t="str">
        <f>IF($A1473="","",'Lot Balance'!$B1472)</f>
        <v/>
      </c>
      <c r="C1473" s="18" t="str">
        <f>IF($A1473="","",'Lot Balance'!$C1472)</f>
        <v/>
      </c>
      <c r="D1473" s="25" t="str">
        <f>IF($A1473="","",'Lot Balance'!$G1472)</f>
        <v/>
      </c>
      <c r="E1473" s="25" t="str">
        <f>IF($A1473="","",'Lot Balance'!$H1472)</f>
        <v/>
      </c>
      <c r="F1473" s="23" t="str">
        <f>IF($A1473="","",'Lot Balance'!$I1472)</f>
        <v/>
      </c>
      <c r="G1473" s="23" t="str">
        <f>IF($A1473="","",'Lot Balance'!$O1472)</f>
        <v/>
      </c>
      <c r="H1473" s="33" t="str">
        <f>IF($A1473="","",'Lot Balance'!$P1472)</f>
        <v/>
      </c>
      <c r="I1473" s="26" t="str">
        <f>IF($A1473="","",COUNTIFS(tblIssues[Lot Number],$B1473))</f>
        <v/>
      </c>
      <c r="J1473" s="31" t="str">
        <f>IF($A1473="","",IF('Lot Balance'!$O1472&lt;=0,"Depleted",'Lot Balance'!$Q1472))</f>
        <v/>
      </c>
    </row>
    <row r="1474" spans="1:10" x14ac:dyDescent="0.35">
      <c r="A1474" s="18" t="str">
        <f>IF('Lot Balance'!$A1473="","",'Lot Balance'!$A1473)</f>
        <v/>
      </c>
      <c r="B1474" s="18" t="str">
        <f>IF($A1474="","",'Lot Balance'!$B1473)</f>
        <v/>
      </c>
      <c r="C1474" s="18" t="str">
        <f>IF($A1474="","",'Lot Balance'!$C1473)</f>
        <v/>
      </c>
      <c r="D1474" s="25" t="str">
        <f>IF($A1474="","",'Lot Balance'!$G1473)</f>
        <v/>
      </c>
      <c r="E1474" s="25" t="str">
        <f>IF($A1474="","",'Lot Balance'!$H1473)</f>
        <v/>
      </c>
      <c r="F1474" s="23" t="str">
        <f>IF($A1474="","",'Lot Balance'!$I1473)</f>
        <v/>
      </c>
      <c r="G1474" s="23" t="str">
        <f>IF($A1474="","",'Lot Balance'!$O1473)</f>
        <v/>
      </c>
      <c r="H1474" s="33" t="str">
        <f>IF($A1474="","",'Lot Balance'!$P1473)</f>
        <v/>
      </c>
      <c r="I1474" s="26" t="str">
        <f>IF($A1474="","",COUNTIFS(tblIssues[Lot Number],$B1474))</f>
        <v/>
      </c>
      <c r="J1474" s="31" t="str">
        <f>IF($A1474="","",IF('Lot Balance'!$O1473&lt;=0,"Depleted",'Lot Balance'!$Q1473))</f>
        <v/>
      </c>
    </row>
    <row r="1475" spans="1:10" x14ac:dyDescent="0.35">
      <c r="A1475" s="18" t="str">
        <f>IF('Lot Balance'!$A1474="","",'Lot Balance'!$A1474)</f>
        <v/>
      </c>
      <c r="B1475" s="18" t="str">
        <f>IF($A1475="","",'Lot Balance'!$B1474)</f>
        <v/>
      </c>
      <c r="C1475" s="18" t="str">
        <f>IF($A1475="","",'Lot Balance'!$C1474)</f>
        <v/>
      </c>
      <c r="D1475" s="25" t="str">
        <f>IF($A1475="","",'Lot Balance'!$G1474)</f>
        <v/>
      </c>
      <c r="E1475" s="25" t="str">
        <f>IF($A1475="","",'Lot Balance'!$H1474)</f>
        <v/>
      </c>
      <c r="F1475" s="23" t="str">
        <f>IF($A1475="","",'Lot Balance'!$I1474)</f>
        <v/>
      </c>
      <c r="G1475" s="23" t="str">
        <f>IF($A1475="","",'Lot Balance'!$O1474)</f>
        <v/>
      </c>
      <c r="H1475" s="33" t="str">
        <f>IF($A1475="","",'Lot Balance'!$P1474)</f>
        <v/>
      </c>
      <c r="I1475" s="26" t="str">
        <f>IF($A1475="","",COUNTIFS(tblIssues[Lot Number],$B1475))</f>
        <v/>
      </c>
      <c r="J1475" s="31" t="str">
        <f>IF($A1475="","",IF('Lot Balance'!$O1474&lt;=0,"Depleted",'Lot Balance'!$Q1474))</f>
        <v/>
      </c>
    </row>
    <row r="1476" spans="1:10" x14ac:dyDescent="0.35">
      <c r="A1476" s="18" t="str">
        <f>IF('Lot Balance'!$A1475="","",'Lot Balance'!$A1475)</f>
        <v/>
      </c>
      <c r="B1476" s="18" t="str">
        <f>IF($A1476="","",'Lot Balance'!$B1475)</f>
        <v/>
      </c>
      <c r="C1476" s="18" t="str">
        <f>IF($A1476="","",'Lot Balance'!$C1475)</f>
        <v/>
      </c>
      <c r="D1476" s="25" t="str">
        <f>IF($A1476="","",'Lot Balance'!$G1475)</f>
        <v/>
      </c>
      <c r="E1476" s="25" t="str">
        <f>IF($A1476="","",'Lot Balance'!$H1475)</f>
        <v/>
      </c>
      <c r="F1476" s="23" t="str">
        <f>IF($A1476="","",'Lot Balance'!$I1475)</f>
        <v/>
      </c>
      <c r="G1476" s="23" t="str">
        <f>IF($A1476="","",'Lot Balance'!$O1475)</f>
        <v/>
      </c>
      <c r="H1476" s="33" t="str">
        <f>IF($A1476="","",'Lot Balance'!$P1475)</f>
        <v/>
      </c>
      <c r="I1476" s="26" t="str">
        <f>IF($A1476="","",COUNTIFS(tblIssues[Lot Number],$B1476))</f>
        <v/>
      </c>
      <c r="J1476" s="31" t="str">
        <f>IF($A1476="","",IF('Lot Balance'!$O1475&lt;=0,"Depleted",'Lot Balance'!$Q1475))</f>
        <v/>
      </c>
    </row>
    <row r="1477" spans="1:10" x14ac:dyDescent="0.35">
      <c r="A1477" s="18" t="str">
        <f>IF('Lot Balance'!$A1476="","",'Lot Balance'!$A1476)</f>
        <v/>
      </c>
      <c r="B1477" s="18" t="str">
        <f>IF($A1477="","",'Lot Balance'!$B1476)</f>
        <v/>
      </c>
      <c r="C1477" s="18" t="str">
        <f>IF($A1477="","",'Lot Balance'!$C1476)</f>
        <v/>
      </c>
      <c r="D1477" s="25" t="str">
        <f>IF($A1477="","",'Lot Balance'!$G1476)</f>
        <v/>
      </c>
      <c r="E1477" s="25" t="str">
        <f>IF($A1477="","",'Lot Balance'!$H1476)</f>
        <v/>
      </c>
      <c r="F1477" s="23" t="str">
        <f>IF($A1477="","",'Lot Balance'!$I1476)</f>
        <v/>
      </c>
      <c r="G1477" s="23" t="str">
        <f>IF($A1477="","",'Lot Balance'!$O1476)</f>
        <v/>
      </c>
      <c r="H1477" s="33" t="str">
        <f>IF($A1477="","",'Lot Balance'!$P1476)</f>
        <v/>
      </c>
      <c r="I1477" s="26" t="str">
        <f>IF($A1477="","",COUNTIFS(tblIssues[Lot Number],$B1477))</f>
        <v/>
      </c>
      <c r="J1477" s="31" t="str">
        <f>IF($A1477="","",IF('Lot Balance'!$O1476&lt;=0,"Depleted",'Lot Balance'!$Q1476))</f>
        <v/>
      </c>
    </row>
    <row r="1478" spans="1:10" x14ac:dyDescent="0.35">
      <c r="A1478" s="18" t="str">
        <f>IF('Lot Balance'!$A1477="","",'Lot Balance'!$A1477)</f>
        <v/>
      </c>
      <c r="B1478" s="18" t="str">
        <f>IF($A1478="","",'Lot Balance'!$B1477)</f>
        <v/>
      </c>
      <c r="C1478" s="18" t="str">
        <f>IF($A1478="","",'Lot Balance'!$C1477)</f>
        <v/>
      </c>
      <c r="D1478" s="25" t="str">
        <f>IF($A1478="","",'Lot Balance'!$G1477)</f>
        <v/>
      </c>
      <c r="E1478" s="25" t="str">
        <f>IF($A1478="","",'Lot Balance'!$H1477)</f>
        <v/>
      </c>
      <c r="F1478" s="23" t="str">
        <f>IF($A1478="","",'Lot Balance'!$I1477)</f>
        <v/>
      </c>
      <c r="G1478" s="23" t="str">
        <f>IF($A1478="","",'Lot Balance'!$O1477)</f>
        <v/>
      </c>
      <c r="H1478" s="33" t="str">
        <f>IF($A1478="","",'Lot Balance'!$P1477)</f>
        <v/>
      </c>
      <c r="I1478" s="26" t="str">
        <f>IF($A1478="","",COUNTIFS(tblIssues[Lot Number],$B1478))</f>
        <v/>
      </c>
      <c r="J1478" s="31" t="str">
        <f>IF($A1478="","",IF('Lot Balance'!$O1477&lt;=0,"Depleted",'Lot Balance'!$Q1477))</f>
        <v/>
      </c>
    </row>
    <row r="1479" spans="1:10" x14ac:dyDescent="0.35">
      <c r="A1479" s="18" t="str">
        <f>IF('Lot Balance'!$A1478="","",'Lot Balance'!$A1478)</f>
        <v/>
      </c>
      <c r="B1479" s="18" t="str">
        <f>IF($A1479="","",'Lot Balance'!$B1478)</f>
        <v/>
      </c>
      <c r="C1479" s="18" t="str">
        <f>IF($A1479="","",'Lot Balance'!$C1478)</f>
        <v/>
      </c>
      <c r="D1479" s="25" t="str">
        <f>IF($A1479="","",'Lot Balance'!$G1478)</f>
        <v/>
      </c>
      <c r="E1479" s="25" t="str">
        <f>IF($A1479="","",'Lot Balance'!$H1478)</f>
        <v/>
      </c>
      <c r="F1479" s="23" t="str">
        <f>IF($A1479="","",'Lot Balance'!$I1478)</f>
        <v/>
      </c>
      <c r="G1479" s="23" t="str">
        <f>IF($A1479="","",'Lot Balance'!$O1478)</f>
        <v/>
      </c>
      <c r="H1479" s="33" t="str">
        <f>IF($A1479="","",'Lot Balance'!$P1478)</f>
        <v/>
      </c>
      <c r="I1479" s="26" t="str">
        <f>IF($A1479="","",COUNTIFS(tblIssues[Lot Number],$B1479))</f>
        <v/>
      </c>
      <c r="J1479" s="31" t="str">
        <f>IF($A1479="","",IF('Lot Balance'!$O1478&lt;=0,"Depleted",'Lot Balance'!$Q1478))</f>
        <v/>
      </c>
    </row>
    <row r="1480" spans="1:10" x14ac:dyDescent="0.35">
      <c r="A1480" s="18" t="str">
        <f>IF('Lot Balance'!$A1479="","",'Lot Balance'!$A1479)</f>
        <v/>
      </c>
      <c r="B1480" s="18" t="str">
        <f>IF($A1480="","",'Lot Balance'!$B1479)</f>
        <v/>
      </c>
      <c r="C1480" s="18" t="str">
        <f>IF($A1480="","",'Lot Balance'!$C1479)</f>
        <v/>
      </c>
      <c r="D1480" s="25" t="str">
        <f>IF($A1480="","",'Lot Balance'!$G1479)</f>
        <v/>
      </c>
      <c r="E1480" s="25" t="str">
        <f>IF($A1480="","",'Lot Balance'!$H1479)</f>
        <v/>
      </c>
      <c r="F1480" s="23" t="str">
        <f>IF($A1480="","",'Lot Balance'!$I1479)</f>
        <v/>
      </c>
      <c r="G1480" s="23" t="str">
        <f>IF($A1480="","",'Lot Balance'!$O1479)</f>
        <v/>
      </c>
      <c r="H1480" s="33" t="str">
        <f>IF($A1480="","",'Lot Balance'!$P1479)</f>
        <v/>
      </c>
      <c r="I1480" s="26" t="str">
        <f>IF($A1480="","",COUNTIFS(tblIssues[Lot Number],$B1480))</f>
        <v/>
      </c>
      <c r="J1480" s="31" t="str">
        <f>IF($A1480="","",IF('Lot Balance'!$O1479&lt;=0,"Depleted",'Lot Balance'!$Q1479))</f>
        <v/>
      </c>
    </row>
    <row r="1481" spans="1:10" x14ac:dyDescent="0.35">
      <c r="A1481" s="18" t="str">
        <f>IF('Lot Balance'!$A1480="","",'Lot Balance'!$A1480)</f>
        <v/>
      </c>
      <c r="B1481" s="18" t="str">
        <f>IF($A1481="","",'Lot Balance'!$B1480)</f>
        <v/>
      </c>
      <c r="C1481" s="18" t="str">
        <f>IF($A1481="","",'Lot Balance'!$C1480)</f>
        <v/>
      </c>
      <c r="D1481" s="25" t="str">
        <f>IF($A1481="","",'Lot Balance'!$G1480)</f>
        <v/>
      </c>
      <c r="E1481" s="25" t="str">
        <f>IF($A1481="","",'Lot Balance'!$H1480)</f>
        <v/>
      </c>
      <c r="F1481" s="23" t="str">
        <f>IF($A1481="","",'Lot Balance'!$I1480)</f>
        <v/>
      </c>
      <c r="G1481" s="23" t="str">
        <f>IF($A1481="","",'Lot Balance'!$O1480)</f>
        <v/>
      </c>
      <c r="H1481" s="33" t="str">
        <f>IF($A1481="","",'Lot Balance'!$P1480)</f>
        <v/>
      </c>
      <c r="I1481" s="26" t="str">
        <f>IF($A1481="","",COUNTIFS(tblIssues[Lot Number],$B1481))</f>
        <v/>
      </c>
      <c r="J1481" s="31" t="str">
        <f>IF($A1481="","",IF('Lot Balance'!$O1480&lt;=0,"Depleted",'Lot Balance'!$Q1480))</f>
        <v/>
      </c>
    </row>
    <row r="1482" spans="1:10" x14ac:dyDescent="0.35">
      <c r="A1482" s="18" t="str">
        <f>IF('Lot Balance'!$A1481="","",'Lot Balance'!$A1481)</f>
        <v/>
      </c>
      <c r="B1482" s="18" t="str">
        <f>IF($A1482="","",'Lot Balance'!$B1481)</f>
        <v/>
      </c>
      <c r="C1482" s="18" t="str">
        <f>IF($A1482="","",'Lot Balance'!$C1481)</f>
        <v/>
      </c>
      <c r="D1482" s="25" t="str">
        <f>IF($A1482="","",'Lot Balance'!$G1481)</f>
        <v/>
      </c>
      <c r="E1482" s="25" t="str">
        <f>IF($A1482="","",'Lot Balance'!$H1481)</f>
        <v/>
      </c>
      <c r="F1482" s="23" t="str">
        <f>IF($A1482="","",'Lot Balance'!$I1481)</f>
        <v/>
      </c>
      <c r="G1482" s="23" t="str">
        <f>IF($A1482="","",'Lot Balance'!$O1481)</f>
        <v/>
      </c>
      <c r="H1482" s="33" t="str">
        <f>IF($A1482="","",'Lot Balance'!$P1481)</f>
        <v/>
      </c>
      <c r="I1482" s="26" t="str">
        <f>IF($A1482="","",COUNTIFS(tblIssues[Lot Number],$B1482))</f>
        <v/>
      </c>
      <c r="J1482" s="31" t="str">
        <f>IF($A1482="","",IF('Lot Balance'!$O1481&lt;=0,"Depleted",'Lot Balance'!$Q1481))</f>
        <v/>
      </c>
    </row>
    <row r="1483" spans="1:10" x14ac:dyDescent="0.35">
      <c r="A1483" s="18" t="str">
        <f>IF('Lot Balance'!$A1482="","",'Lot Balance'!$A1482)</f>
        <v/>
      </c>
      <c r="B1483" s="18" t="str">
        <f>IF($A1483="","",'Lot Balance'!$B1482)</f>
        <v/>
      </c>
      <c r="C1483" s="18" t="str">
        <f>IF($A1483="","",'Lot Balance'!$C1482)</f>
        <v/>
      </c>
      <c r="D1483" s="25" t="str">
        <f>IF($A1483="","",'Lot Balance'!$G1482)</f>
        <v/>
      </c>
      <c r="E1483" s="25" t="str">
        <f>IF($A1483="","",'Lot Balance'!$H1482)</f>
        <v/>
      </c>
      <c r="F1483" s="23" t="str">
        <f>IF($A1483="","",'Lot Balance'!$I1482)</f>
        <v/>
      </c>
      <c r="G1483" s="23" t="str">
        <f>IF($A1483="","",'Lot Balance'!$O1482)</f>
        <v/>
      </c>
      <c r="H1483" s="33" t="str">
        <f>IF($A1483="","",'Lot Balance'!$P1482)</f>
        <v/>
      </c>
      <c r="I1483" s="26" t="str">
        <f>IF($A1483="","",COUNTIFS(tblIssues[Lot Number],$B1483))</f>
        <v/>
      </c>
      <c r="J1483" s="31" t="str">
        <f>IF($A1483="","",IF('Lot Balance'!$O1482&lt;=0,"Depleted",'Lot Balance'!$Q1482))</f>
        <v/>
      </c>
    </row>
    <row r="1484" spans="1:10" x14ac:dyDescent="0.35">
      <c r="A1484" s="18" t="str">
        <f>IF('Lot Balance'!$A1483="","",'Lot Balance'!$A1483)</f>
        <v/>
      </c>
      <c r="B1484" s="18" t="str">
        <f>IF($A1484="","",'Lot Balance'!$B1483)</f>
        <v/>
      </c>
      <c r="C1484" s="18" t="str">
        <f>IF($A1484="","",'Lot Balance'!$C1483)</f>
        <v/>
      </c>
      <c r="D1484" s="25" t="str">
        <f>IF($A1484="","",'Lot Balance'!$G1483)</f>
        <v/>
      </c>
      <c r="E1484" s="25" t="str">
        <f>IF($A1484="","",'Lot Balance'!$H1483)</f>
        <v/>
      </c>
      <c r="F1484" s="23" t="str">
        <f>IF($A1484="","",'Lot Balance'!$I1483)</f>
        <v/>
      </c>
      <c r="G1484" s="23" t="str">
        <f>IF($A1484="","",'Lot Balance'!$O1483)</f>
        <v/>
      </c>
      <c r="H1484" s="33" t="str">
        <f>IF($A1484="","",'Lot Balance'!$P1483)</f>
        <v/>
      </c>
      <c r="I1484" s="26" t="str">
        <f>IF($A1484="","",COUNTIFS(tblIssues[Lot Number],$B1484))</f>
        <v/>
      </c>
      <c r="J1484" s="31" t="str">
        <f>IF($A1484="","",IF('Lot Balance'!$O1483&lt;=0,"Depleted",'Lot Balance'!$Q1483))</f>
        <v/>
      </c>
    </row>
    <row r="1485" spans="1:10" x14ac:dyDescent="0.35">
      <c r="A1485" s="18" t="str">
        <f>IF('Lot Balance'!$A1484="","",'Lot Balance'!$A1484)</f>
        <v/>
      </c>
      <c r="B1485" s="18" t="str">
        <f>IF($A1485="","",'Lot Balance'!$B1484)</f>
        <v/>
      </c>
      <c r="C1485" s="18" t="str">
        <f>IF($A1485="","",'Lot Balance'!$C1484)</f>
        <v/>
      </c>
      <c r="D1485" s="25" t="str">
        <f>IF($A1485="","",'Lot Balance'!$G1484)</f>
        <v/>
      </c>
      <c r="E1485" s="25" t="str">
        <f>IF($A1485="","",'Lot Balance'!$H1484)</f>
        <v/>
      </c>
      <c r="F1485" s="23" t="str">
        <f>IF($A1485="","",'Lot Balance'!$I1484)</f>
        <v/>
      </c>
      <c r="G1485" s="23" t="str">
        <f>IF($A1485="","",'Lot Balance'!$O1484)</f>
        <v/>
      </c>
      <c r="H1485" s="33" t="str">
        <f>IF($A1485="","",'Lot Balance'!$P1484)</f>
        <v/>
      </c>
      <c r="I1485" s="26" t="str">
        <f>IF($A1485="","",COUNTIFS(tblIssues[Lot Number],$B1485))</f>
        <v/>
      </c>
      <c r="J1485" s="31" t="str">
        <f>IF($A1485="","",IF('Lot Balance'!$O1484&lt;=0,"Depleted",'Lot Balance'!$Q1484))</f>
        <v/>
      </c>
    </row>
    <row r="1486" spans="1:10" x14ac:dyDescent="0.35">
      <c r="A1486" s="18" t="str">
        <f>IF('Lot Balance'!$A1485="","",'Lot Balance'!$A1485)</f>
        <v/>
      </c>
      <c r="B1486" s="18" t="str">
        <f>IF($A1486="","",'Lot Balance'!$B1485)</f>
        <v/>
      </c>
      <c r="C1486" s="18" t="str">
        <f>IF($A1486="","",'Lot Balance'!$C1485)</f>
        <v/>
      </c>
      <c r="D1486" s="25" t="str">
        <f>IF($A1486="","",'Lot Balance'!$G1485)</f>
        <v/>
      </c>
      <c r="E1486" s="25" t="str">
        <f>IF($A1486="","",'Lot Balance'!$H1485)</f>
        <v/>
      </c>
      <c r="F1486" s="23" t="str">
        <f>IF($A1486="","",'Lot Balance'!$I1485)</f>
        <v/>
      </c>
      <c r="G1486" s="23" t="str">
        <f>IF($A1486="","",'Lot Balance'!$O1485)</f>
        <v/>
      </c>
      <c r="H1486" s="33" t="str">
        <f>IF($A1486="","",'Lot Balance'!$P1485)</f>
        <v/>
      </c>
      <c r="I1486" s="26" t="str">
        <f>IF($A1486="","",COUNTIFS(tblIssues[Lot Number],$B1486))</f>
        <v/>
      </c>
      <c r="J1486" s="31" t="str">
        <f>IF($A1486="","",IF('Lot Balance'!$O1485&lt;=0,"Depleted",'Lot Balance'!$Q1485))</f>
        <v/>
      </c>
    </row>
    <row r="1487" spans="1:10" x14ac:dyDescent="0.35">
      <c r="A1487" s="18" t="str">
        <f>IF('Lot Balance'!$A1486="","",'Lot Balance'!$A1486)</f>
        <v/>
      </c>
      <c r="B1487" s="18" t="str">
        <f>IF($A1487="","",'Lot Balance'!$B1486)</f>
        <v/>
      </c>
      <c r="C1487" s="18" t="str">
        <f>IF($A1487="","",'Lot Balance'!$C1486)</f>
        <v/>
      </c>
      <c r="D1487" s="25" t="str">
        <f>IF($A1487="","",'Lot Balance'!$G1486)</f>
        <v/>
      </c>
      <c r="E1487" s="25" t="str">
        <f>IF($A1487="","",'Lot Balance'!$H1486)</f>
        <v/>
      </c>
      <c r="F1487" s="23" t="str">
        <f>IF($A1487="","",'Lot Balance'!$I1486)</f>
        <v/>
      </c>
      <c r="G1487" s="23" t="str">
        <f>IF($A1487="","",'Lot Balance'!$O1486)</f>
        <v/>
      </c>
      <c r="H1487" s="33" t="str">
        <f>IF($A1487="","",'Lot Balance'!$P1486)</f>
        <v/>
      </c>
      <c r="I1487" s="26" t="str">
        <f>IF($A1487="","",COUNTIFS(tblIssues[Lot Number],$B1487))</f>
        <v/>
      </c>
      <c r="J1487" s="31" t="str">
        <f>IF($A1487="","",IF('Lot Balance'!$O1486&lt;=0,"Depleted",'Lot Balance'!$Q1486))</f>
        <v/>
      </c>
    </row>
    <row r="1488" spans="1:10" x14ac:dyDescent="0.35">
      <c r="A1488" s="18" t="str">
        <f>IF('Lot Balance'!$A1487="","",'Lot Balance'!$A1487)</f>
        <v/>
      </c>
      <c r="B1488" s="18" t="str">
        <f>IF($A1488="","",'Lot Balance'!$B1487)</f>
        <v/>
      </c>
      <c r="C1488" s="18" t="str">
        <f>IF($A1488="","",'Lot Balance'!$C1487)</f>
        <v/>
      </c>
      <c r="D1488" s="25" t="str">
        <f>IF($A1488="","",'Lot Balance'!$G1487)</f>
        <v/>
      </c>
      <c r="E1488" s="25" t="str">
        <f>IF($A1488="","",'Lot Balance'!$H1487)</f>
        <v/>
      </c>
      <c r="F1488" s="23" t="str">
        <f>IF($A1488="","",'Lot Balance'!$I1487)</f>
        <v/>
      </c>
      <c r="G1488" s="23" t="str">
        <f>IF($A1488="","",'Lot Balance'!$O1487)</f>
        <v/>
      </c>
      <c r="H1488" s="33" t="str">
        <f>IF($A1488="","",'Lot Balance'!$P1487)</f>
        <v/>
      </c>
      <c r="I1488" s="26" t="str">
        <f>IF($A1488="","",COUNTIFS(tblIssues[Lot Number],$B1488))</f>
        <v/>
      </c>
      <c r="J1488" s="31" t="str">
        <f>IF($A1488="","",IF('Lot Balance'!$O1487&lt;=0,"Depleted",'Lot Balance'!$Q1487))</f>
        <v/>
      </c>
    </row>
    <row r="1489" spans="1:10" x14ac:dyDescent="0.35">
      <c r="A1489" s="18" t="str">
        <f>IF('Lot Balance'!$A1488="","",'Lot Balance'!$A1488)</f>
        <v/>
      </c>
      <c r="B1489" s="18" t="str">
        <f>IF($A1489="","",'Lot Balance'!$B1488)</f>
        <v/>
      </c>
      <c r="C1489" s="18" t="str">
        <f>IF($A1489="","",'Lot Balance'!$C1488)</f>
        <v/>
      </c>
      <c r="D1489" s="25" t="str">
        <f>IF($A1489="","",'Lot Balance'!$G1488)</f>
        <v/>
      </c>
      <c r="E1489" s="25" t="str">
        <f>IF($A1489="","",'Lot Balance'!$H1488)</f>
        <v/>
      </c>
      <c r="F1489" s="23" t="str">
        <f>IF($A1489="","",'Lot Balance'!$I1488)</f>
        <v/>
      </c>
      <c r="G1489" s="23" t="str">
        <f>IF($A1489="","",'Lot Balance'!$O1488)</f>
        <v/>
      </c>
      <c r="H1489" s="33" t="str">
        <f>IF($A1489="","",'Lot Balance'!$P1488)</f>
        <v/>
      </c>
      <c r="I1489" s="26" t="str">
        <f>IF($A1489="","",COUNTIFS(tblIssues[Lot Number],$B1489))</f>
        <v/>
      </c>
      <c r="J1489" s="31" t="str">
        <f>IF($A1489="","",IF('Lot Balance'!$O1488&lt;=0,"Depleted",'Lot Balance'!$Q1488))</f>
        <v/>
      </c>
    </row>
    <row r="1490" spans="1:10" x14ac:dyDescent="0.35">
      <c r="A1490" s="18" t="str">
        <f>IF('Lot Balance'!$A1489="","",'Lot Balance'!$A1489)</f>
        <v/>
      </c>
      <c r="B1490" s="18" t="str">
        <f>IF($A1490="","",'Lot Balance'!$B1489)</f>
        <v/>
      </c>
      <c r="C1490" s="18" t="str">
        <f>IF($A1490="","",'Lot Balance'!$C1489)</f>
        <v/>
      </c>
      <c r="D1490" s="25" t="str">
        <f>IF($A1490="","",'Lot Balance'!$G1489)</f>
        <v/>
      </c>
      <c r="E1490" s="25" t="str">
        <f>IF($A1490="","",'Lot Balance'!$H1489)</f>
        <v/>
      </c>
      <c r="F1490" s="23" t="str">
        <f>IF($A1490="","",'Lot Balance'!$I1489)</f>
        <v/>
      </c>
      <c r="G1490" s="23" t="str">
        <f>IF($A1490="","",'Lot Balance'!$O1489)</f>
        <v/>
      </c>
      <c r="H1490" s="33" t="str">
        <f>IF($A1490="","",'Lot Balance'!$P1489)</f>
        <v/>
      </c>
      <c r="I1490" s="26" t="str">
        <f>IF($A1490="","",COUNTIFS(tblIssues[Lot Number],$B1490))</f>
        <v/>
      </c>
      <c r="J1490" s="31" t="str">
        <f>IF($A1490="","",IF('Lot Balance'!$O1489&lt;=0,"Depleted",'Lot Balance'!$Q1489))</f>
        <v/>
      </c>
    </row>
    <row r="1491" spans="1:10" x14ac:dyDescent="0.35">
      <c r="A1491" s="18" t="str">
        <f>IF('Lot Balance'!$A1490="","",'Lot Balance'!$A1490)</f>
        <v/>
      </c>
      <c r="B1491" s="18" t="str">
        <f>IF($A1491="","",'Lot Balance'!$B1490)</f>
        <v/>
      </c>
      <c r="C1491" s="18" t="str">
        <f>IF($A1491="","",'Lot Balance'!$C1490)</f>
        <v/>
      </c>
      <c r="D1491" s="25" t="str">
        <f>IF($A1491="","",'Lot Balance'!$G1490)</f>
        <v/>
      </c>
      <c r="E1491" s="25" t="str">
        <f>IF($A1491="","",'Lot Balance'!$H1490)</f>
        <v/>
      </c>
      <c r="F1491" s="23" t="str">
        <f>IF($A1491="","",'Lot Balance'!$I1490)</f>
        <v/>
      </c>
      <c r="G1491" s="23" t="str">
        <f>IF($A1491="","",'Lot Balance'!$O1490)</f>
        <v/>
      </c>
      <c r="H1491" s="33" t="str">
        <f>IF($A1491="","",'Lot Balance'!$P1490)</f>
        <v/>
      </c>
      <c r="I1491" s="26" t="str">
        <f>IF($A1491="","",COUNTIFS(tblIssues[Lot Number],$B1491))</f>
        <v/>
      </c>
      <c r="J1491" s="31" t="str">
        <f>IF($A1491="","",IF('Lot Balance'!$O1490&lt;=0,"Depleted",'Lot Balance'!$Q1490))</f>
        <v/>
      </c>
    </row>
    <row r="1492" spans="1:10" x14ac:dyDescent="0.35">
      <c r="A1492" s="18" t="str">
        <f>IF('Lot Balance'!$A1491="","",'Lot Balance'!$A1491)</f>
        <v/>
      </c>
      <c r="B1492" s="18" t="str">
        <f>IF($A1492="","",'Lot Balance'!$B1491)</f>
        <v/>
      </c>
      <c r="C1492" s="18" t="str">
        <f>IF($A1492="","",'Lot Balance'!$C1491)</f>
        <v/>
      </c>
      <c r="D1492" s="25" t="str">
        <f>IF($A1492="","",'Lot Balance'!$G1491)</f>
        <v/>
      </c>
      <c r="E1492" s="25" t="str">
        <f>IF($A1492="","",'Lot Balance'!$H1491)</f>
        <v/>
      </c>
      <c r="F1492" s="23" t="str">
        <f>IF($A1492="","",'Lot Balance'!$I1491)</f>
        <v/>
      </c>
      <c r="G1492" s="23" t="str">
        <f>IF($A1492="","",'Lot Balance'!$O1491)</f>
        <v/>
      </c>
      <c r="H1492" s="33" t="str">
        <f>IF($A1492="","",'Lot Balance'!$P1491)</f>
        <v/>
      </c>
      <c r="I1492" s="26" t="str">
        <f>IF($A1492="","",COUNTIFS(tblIssues[Lot Number],$B1492))</f>
        <v/>
      </c>
      <c r="J1492" s="31" t="str">
        <f>IF($A1492="","",IF('Lot Balance'!$O1491&lt;=0,"Depleted",'Lot Balance'!$Q1491))</f>
        <v/>
      </c>
    </row>
    <row r="1493" spans="1:10" x14ac:dyDescent="0.35">
      <c r="A1493" s="18" t="str">
        <f>IF('Lot Balance'!$A1492="","",'Lot Balance'!$A1492)</f>
        <v/>
      </c>
      <c r="B1493" s="18" t="str">
        <f>IF($A1493="","",'Lot Balance'!$B1492)</f>
        <v/>
      </c>
      <c r="C1493" s="18" t="str">
        <f>IF($A1493="","",'Lot Balance'!$C1492)</f>
        <v/>
      </c>
      <c r="D1493" s="25" t="str">
        <f>IF($A1493="","",'Lot Balance'!$G1492)</f>
        <v/>
      </c>
      <c r="E1493" s="25" t="str">
        <f>IF($A1493="","",'Lot Balance'!$H1492)</f>
        <v/>
      </c>
      <c r="F1493" s="23" t="str">
        <f>IF($A1493="","",'Lot Balance'!$I1492)</f>
        <v/>
      </c>
      <c r="G1493" s="23" t="str">
        <f>IF($A1493="","",'Lot Balance'!$O1492)</f>
        <v/>
      </c>
      <c r="H1493" s="33" t="str">
        <f>IF($A1493="","",'Lot Balance'!$P1492)</f>
        <v/>
      </c>
      <c r="I1493" s="26" t="str">
        <f>IF($A1493="","",COUNTIFS(tblIssues[Lot Number],$B1493))</f>
        <v/>
      </c>
      <c r="J1493" s="31" t="str">
        <f>IF($A1493="","",IF('Lot Balance'!$O1492&lt;=0,"Depleted",'Lot Balance'!$Q1492))</f>
        <v/>
      </c>
    </row>
    <row r="1494" spans="1:10" x14ac:dyDescent="0.35">
      <c r="A1494" s="18" t="str">
        <f>IF('Lot Balance'!$A1493="","",'Lot Balance'!$A1493)</f>
        <v/>
      </c>
      <c r="B1494" s="18" t="str">
        <f>IF($A1494="","",'Lot Balance'!$B1493)</f>
        <v/>
      </c>
      <c r="C1494" s="18" t="str">
        <f>IF($A1494="","",'Lot Balance'!$C1493)</f>
        <v/>
      </c>
      <c r="D1494" s="25" t="str">
        <f>IF($A1494="","",'Lot Balance'!$G1493)</f>
        <v/>
      </c>
      <c r="E1494" s="25" t="str">
        <f>IF($A1494="","",'Lot Balance'!$H1493)</f>
        <v/>
      </c>
      <c r="F1494" s="23" t="str">
        <f>IF($A1494="","",'Lot Balance'!$I1493)</f>
        <v/>
      </c>
      <c r="G1494" s="23" t="str">
        <f>IF($A1494="","",'Lot Balance'!$O1493)</f>
        <v/>
      </c>
      <c r="H1494" s="33" t="str">
        <f>IF($A1494="","",'Lot Balance'!$P1493)</f>
        <v/>
      </c>
      <c r="I1494" s="26" t="str">
        <f>IF($A1494="","",COUNTIFS(tblIssues[Lot Number],$B1494))</f>
        <v/>
      </c>
      <c r="J1494" s="31" t="str">
        <f>IF($A1494="","",IF('Lot Balance'!$O1493&lt;=0,"Depleted",'Lot Balance'!$Q1493))</f>
        <v/>
      </c>
    </row>
    <row r="1495" spans="1:10" x14ac:dyDescent="0.35">
      <c r="A1495" s="18" t="str">
        <f>IF('Lot Balance'!$A1494="","",'Lot Balance'!$A1494)</f>
        <v/>
      </c>
      <c r="B1495" s="18" t="str">
        <f>IF($A1495="","",'Lot Balance'!$B1494)</f>
        <v/>
      </c>
      <c r="C1495" s="18" t="str">
        <f>IF($A1495="","",'Lot Balance'!$C1494)</f>
        <v/>
      </c>
      <c r="D1495" s="25" t="str">
        <f>IF($A1495="","",'Lot Balance'!$G1494)</f>
        <v/>
      </c>
      <c r="E1495" s="25" t="str">
        <f>IF($A1495="","",'Lot Balance'!$H1494)</f>
        <v/>
      </c>
      <c r="F1495" s="23" t="str">
        <f>IF($A1495="","",'Lot Balance'!$I1494)</f>
        <v/>
      </c>
      <c r="G1495" s="23" t="str">
        <f>IF($A1495="","",'Lot Balance'!$O1494)</f>
        <v/>
      </c>
      <c r="H1495" s="33" t="str">
        <f>IF($A1495="","",'Lot Balance'!$P1494)</f>
        <v/>
      </c>
      <c r="I1495" s="26" t="str">
        <f>IF($A1495="","",COUNTIFS(tblIssues[Lot Number],$B1495))</f>
        <v/>
      </c>
      <c r="J1495" s="31" t="str">
        <f>IF($A1495="","",IF('Lot Balance'!$O1494&lt;=0,"Depleted",'Lot Balance'!$Q1494))</f>
        <v/>
      </c>
    </row>
    <row r="1496" spans="1:10" x14ac:dyDescent="0.35">
      <c r="A1496" s="18" t="str">
        <f>IF('Lot Balance'!$A1495="","",'Lot Balance'!$A1495)</f>
        <v/>
      </c>
      <c r="B1496" s="18" t="str">
        <f>IF($A1496="","",'Lot Balance'!$B1495)</f>
        <v/>
      </c>
      <c r="C1496" s="18" t="str">
        <f>IF($A1496="","",'Lot Balance'!$C1495)</f>
        <v/>
      </c>
      <c r="D1496" s="25" t="str">
        <f>IF($A1496="","",'Lot Balance'!$G1495)</f>
        <v/>
      </c>
      <c r="E1496" s="25" t="str">
        <f>IF($A1496="","",'Lot Balance'!$H1495)</f>
        <v/>
      </c>
      <c r="F1496" s="23" t="str">
        <f>IF($A1496="","",'Lot Balance'!$I1495)</f>
        <v/>
      </c>
      <c r="G1496" s="23" t="str">
        <f>IF($A1496="","",'Lot Balance'!$O1495)</f>
        <v/>
      </c>
      <c r="H1496" s="33" t="str">
        <f>IF($A1496="","",'Lot Balance'!$P1495)</f>
        <v/>
      </c>
      <c r="I1496" s="26" t="str">
        <f>IF($A1496="","",COUNTIFS(tblIssues[Lot Number],$B1496))</f>
        <v/>
      </c>
      <c r="J1496" s="31" t="str">
        <f>IF($A1496="","",IF('Lot Balance'!$O1495&lt;=0,"Depleted",'Lot Balance'!$Q1495))</f>
        <v/>
      </c>
    </row>
    <row r="1497" spans="1:10" x14ac:dyDescent="0.35">
      <c r="A1497" s="18" t="str">
        <f>IF('Lot Balance'!$A1496="","",'Lot Balance'!$A1496)</f>
        <v/>
      </c>
      <c r="B1497" s="18" t="str">
        <f>IF($A1497="","",'Lot Balance'!$B1496)</f>
        <v/>
      </c>
      <c r="C1497" s="18" t="str">
        <f>IF($A1497="","",'Lot Balance'!$C1496)</f>
        <v/>
      </c>
      <c r="D1497" s="25" t="str">
        <f>IF($A1497="","",'Lot Balance'!$G1496)</f>
        <v/>
      </c>
      <c r="E1497" s="25" t="str">
        <f>IF($A1497="","",'Lot Balance'!$H1496)</f>
        <v/>
      </c>
      <c r="F1497" s="23" t="str">
        <f>IF($A1497="","",'Lot Balance'!$I1496)</f>
        <v/>
      </c>
      <c r="G1497" s="23" t="str">
        <f>IF($A1497="","",'Lot Balance'!$O1496)</f>
        <v/>
      </c>
      <c r="H1497" s="33" t="str">
        <f>IF($A1497="","",'Lot Balance'!$P1496)</f>
        <v/>
      </c>
      <c r="I1497" s="26" t="str">
        <f>IF($A1497="","",COUNTIFS(tblIssues[Lot Number],$B1497))</f>
        <v/>
      </c>
      <c r="J1497" s="31" t="str">
        <f>IF($A1497="","",IF('Lot Balance'!$O1496&lt;=0,"Depleted",'Lot Balance'!$Q1496))</f>
        <v/>
      </c>
    </row>
    <row r="1498" spans="1:10" x14ac:dyDescent="0.35">
      <c r="A1498" s="18" t="str">
        <f>IF('Lot Balance'!$A1497="","",'Lot Balance'!$A1497)</f>
        <v/>
      </c>
      <c r="B1498" s="18" t="str">
        <f>IF($A1498="","",'Lot Balance'!$B1497)</f>
        <v/>
      </c>
      <c r="C1498" s="18" t="str">
        <f>IF($A1498="","",'Lot Balance'!$C1497)</f>
        <v/>
      </c>
      <c r="D1498" s="25" t="str">
        <f>IF($A1498="","",'Lot Balance'!$G1497)</f>
        <v/>
      </c>
      <c r="E1498" s="25" t="str">
        <f>IF($A1498="","",'Lot Balance'!$H1497)</f>
        <v/>
      </c>
      <c r="F1498" s="23" t="str">
        <f>IF($A1498="","",'Lot Balance'!$I1497)</f>
        <v/>
      </c>
      <c r="G1498" s="23" t="str">
        <f>IF($A1498="","",'Lot Balance'!$O1497)</f>
        <v/>
      </c>
      <c r="H1498" s="33" t="str">
        <f>IF($A1498="","",'Lot Balance'!$P1497)</f>
        <v/>
      </c>
      <c r="I1498" s="26" t="str">
        <f>IF($A1498="","",COUNTIFS(tblIssues[Lot Number],$B1498))</f>
        <v/>
      </c>
      <c r="J1498" s="31" t="str">
        <f>IF($A1498="","",IF('Lot Balance'!$O1497&lt;=0,"Depleted",'Lot Balance'!$Q1497))</f>
        <v/>
      </c>
    </row>
    <row r="1499" spans="1:10" x14ac:dyDescent="0.35">
      <c r="A1499" s="18" t="str">
        <f>IF('Lot Balance'!$A1498="","",'Lot Balance'!$A1498)</f>
        <v/>
      </c>
      <c r="B1499" s="18" t="str">
        <f>IF($A1499="","",'Lot Balance'!$B1498)</f>
        <v/>
      </c>
      <c r="C1499" s="18" t="str">
        <f>IF($A1499="","",'Lot Balance'!$C1498)</f>
        <v/>
      </c>
      <c r="D1499" s="25" t="str">
        <f>IF($A1499="","",'Lot Balance'!$G1498)</f>
        <v/>
      </c>
      <c r="E1499" s="25" t="str">
        <f>IF($A1499="","",'Lot Balance'!$H1498)</f>
        <v/>
      </c>
      <c r="F1499" s="23" t="str">
        <f>IF($A1499="","",'Lot Balance'!$I1498)</f>
        <v/>
      </c>
      <c r="G1499" s="23" t="str">
        <f>IF($A1499="","",'Lot Balance'!$O1498)</f>
        <v/>
      </c>
      <c r="H1499" s="33" t="str">
        <f>IF($A1499="","",'Lot Balance'!$P1498)</f>
        <v/>
      </c>
      <c r="I1499" s="26" t="str">
        <f>IF($A1499="","",COUNTIFS(tblIssues[Lot Number],$B1499))</f>
        <v/>
      </c>
      <c r="J1499" s="31" t="str">
        <f>IF($A1499="","",IF('Lot Balance'!$O1498&lt;=0,"Depleted",'Lot Balance'!$Q1498))</f>
        <v/>
      </c>
    </row>
    <row r="1500" spans="1:10" x14ac:dyDescent="0.35">
      <c r="A1500" s="18" t="str">
        <f>IF('Lot Balance'!$A1499="","",'Lot Balance'!$A1499)</f>
        <v/>
      </c>
      <c r="B1500" s="18" t="str">
        <f>IF($A1500="","",'Lot Balance'!$B1499)</f>
        <v/>
      </c>
      <c r="C1500" s="18" t="str">
        <f>IF($A1500="","",'Lot Balance'!$C1499)</f>
        <v/>
      </c>
      <c r="D1500" s="25" t="str">
        <f>IF($A1500="","",'Lot Balance'!$G1499)</f>
        <v/>
      </c>
      <c r="E1500" s="25" t="str">
        <f>IF($A1500="","",'Lot Balance'!$H1499)</f>
        <v/>
      </c>
      <c r="F1500" s="23" t="str">
        <f>IF($A1500="","",'Lot Balance'!$I1499)</f>
        <v/>
      </c>
      <c r="G1500" s="23" t="str">
        <f>IF($A1500="","",'Lot Balance'!$O1499)</f>
        <v/>
      </c>
      <c r="H1500" s="33" t="str">
        <f>IF($A1500="","",'Lot Balance'!$P1499)</f>
        <v/>
      </c>
      <c r="I1500" s="26" t="str">
        <f>IF($A1500="","",COUNTIFS(tblIssues[Lot Number],$B1500))</f>
        <v/>
      </c>
      <c r="J1500" s="31" t="str">
        <f>IF($A1500="","",IF('Lot Balance'!$O1499&lt;=0,"Depleted",'Lot Balance'!$Q1499))</f>
        <v/>
      </c>
    </row>
    <row r="1501" spans="1:10" x14ac:dyDescent="0.35">
      <c r="A1501" s="18" t="str">
        <f>IF('Lot Balance'!$A1500="","",'Lot Balance'!$A1500)</f>
        <v/>
      </c>
      <c r="B1501" s="18" t="str">
        <f>IF($A1501="","",'Lot Balance'!$B1500)</f>
        <v/>
      </c>
      <c r="C1501" s="18" t="str">
        <f>IF($A1501="","",'Lot Balance'!$C1500)</f>
        <v/>
      </c>
      <c r="D1501" s="25" t="str">
        <f>IF($A1501="","",'Lot Balance'!$G1500)</f>
        <v/>
      </c>
      <c r="E1501" s="25" t="str">
        <f>IF($A1501="","",'Lot Balance'!$H1500)</f>
        <v/>
      </c>
      <c r="F1501" s="23" t="str">
        <f>IF($A1501="","",'Lot Balance'!$I1500)</f>
        <v/>
      </c>
      <c r="G1501" s="23" t="str">
        <f>IF($A1501="","",'Lot Balance'!$O1500)</f>
        <v/>
      </c>
      <c r="H1501" s="33" t="str">
        <f>IF($A1501="","",'Lot Balance'!$P1500)</f>
        <v/>
      </c>
      <c r="I1501" s="26" t="str">
        <f>IF($A1501="","",COUNTIFS(tblIssues[Lot Number],$B1501))</f>
        <v/>
      </c>
      <c r="J1501" s="31" t="str">
        <f>IF($A1501="","",IF('Lot Balance'!$O1500&lt;=0,"Depleted",'Lot Balance'!$Q1500))</f>
        <v/>
      </c>
    </row>
    <row r="1502" spans="1:10" x14ac:dyDescent="0.35">
      <c r="A1502" s="18" t="str">
        <f>IF('Lot Balance'!$A1501="","",'Lot Balance'!$A1501)</f>
        <v/>
      </c>
      <c r="B1502" s="18" t="str">
        <f>IF($A1502="","",'Lot Balance'!$B1501)</f>
        <v/>
      </c>
      <c r="C1502" s="18" t="str">
        <f>IF($A1502="","",'Lot Balance'!$C1501)</f>
        <v/>
      </c>
      <c r="D1502" s="25" t="str">
        <f>IF($A1502="","",'Lot Balance'!$G1501)</f>
        <v/>
      </c>
      <c r="E1502" s="25" t="str">
        <f>IF($A1502="","",'Lot Balance'!$H1501)</f>
        <v/>
      </c>
      <c r="F1502" s="23" t="str">
        <f>IF($A1502="","",'Lot Balance'!$I1501)</f>
        <v/>
      </c>
      <c r="G1502" s="23" t="str">
        <f>IF($A1502="","",'Lot Balance'!$O1501)</f>
        <v/>
      </c>
      <c r="H1502" s="33" t="str">
        <f>IF($A1502="","",'Lot Balance'!$P1501)</f>
        <v/>
      </c>
      <c r="I1502" s="26" t="str">
        <f>IF($A1502="","",COUNTIFS(tblIssues[Lot Number],$B1502))</f>
        <v/>
      </c>
      <c r="J1502" s="31" t="str">
        <f>IF($A1502="","",IF('Lot Balance'!$O1501&lt;=0,"Depleted",'Lot Balance'!$Q1501))</f>
        <v/>
      </c>
    </row>
    <row r="1503" spans="1:10" x14ac:dyDescent="0.35">
      <c r="A1503" s="18" t="str">
        <f>IF('Lot Balance'!$A1502="","",'Lot Balance'!$A1502)</f>
        <v/>
      </c>
      <c r="B1503" s="18" t="str">
        <f>IF($A1503="","",'Lot Balance'!$B1502)</f>
        <v/>
      </c>
      <c r="C1503" s="18" t="str">
        <f>IF($A1503="","",'Lot Balance'!$C1502)</f>
        <v/>
      </c>
      <c r="D1503" s="25" t="str">
        <f>IF($A1503="","",'Lot Balance'!$G1502)</f>
        <v/>
      </c>
      <c r="E1503" s="25" t="str">
        <f>IF($A1503="","",'Lot Balance'!$H1502)</f>
        <v/>
      </c>
      <c r="F1503" s="23" t="str">
        <f>IF($A1503="","",'Lot Balance'!$I1502)</f>
        <v/>
      </c>
      <c r="G1503" s="23" t="str">
        <f>IF($A1503="","",'Lot Balance'!$O1502)</f>
        <v/>
      </c>
      <c r="H1503" s="33" t="str">
        <f>IF($A1503="","",'Lot Balance'!$P1502)</f>
        <v/>
      </c>
      <c r="I1503" s="26" t="str">
        <f>IF($A1503="","",COUNTIFS(tblIssues[Lot Number],$B1503))</f>
        <v/>
      </c>
      <c r="J1503" s="31" t="str">
        <f>IF($A1503="","",IF('Lot Balance'!$O1502&lt;=0,"Depleted",'Lot Balance'!$Q1502))</f>
        <v/>
      </c>
    </row>
    <row r="1504" spans="1:10" x14ac:dyDescent="0.35">
      <c r="A1504" s="18" t="str">
        <f>IF('Lot Balance'!$A1503="","",'Lot Balance'!$A1503)</f>
        <v/>
      </c>
      <c r="B1504" s="18" t="str">
        <f>IF($A1504="","",'Lot Balance'!$B1503)</f>
        <v/>
      </c>
      <c r="C1504" s="18" t="str">
        <f>IF($A1504="","",'Lot Balance'!$C1503)</f>
        <v/>
      </c>
      <c r="D1504" s="25" t="str">
        <f>IF($A1504="","",'Lot Balance'!$G1503)</f>
        <v/>
      </c>
      <c r="E1504" s="25" t="str">
        <f>IF($A1504="","",'Lot Balance'!$H1503)</f>
        <v/>
      </c>
      <c r="F1504" s="23" t="str">
        <f>IF($A1504="","",'Lot Balance'!$I1503)</f>
        <v/>
      </c>
      <c r="G1504" s="23" t="str">
        <f>IF($A1504="","",'Lot Balance'!$O1503)</f>
        <v/>
      </c>
      <c r="H1504" s="33" t="str">
        <f>IF($A1504="","",'Lot Balance'!$P1503)</f>
        <v/>
      </c>
      <c r="I1504" s="26" t="str">
        <f>IF($A1504="","",COUNTIFS(tblIssues[Lot Number],$B1504))</f>
        <v/>
      </c>
      <c r="J1504" s="31" t="str">
        <f>IF($A1504="","",IF('Lot Balance'!$O1503&lt;=0,"Depleted",'Lot Balance'!$Q1503))</f>
        <v/>
      </c>
    </row>
    <row r="1505" spans="1:10" x14ac:dyDescent="0.35">
      <c r="A1505" s="18" t="str">
        <f>IF('Lot Balance'!$A1504="","",'Lot Balance'!$A1504)</f>
        <v/>
      </c>
      <c r="B1505" s="18" t="str">
        <f>IF($A1505="","",'Lot Balance'!$B1504)</f>
        <v/>
      </c>
      <c r="C1505" s="18" t="str">
        <f>IF($A1505="","",'Lot Balance'!$C1504)</f>
        <v/>
      </c>
      <c r="D1505" s="25" t="str">
        <f>IF($A1505="","",'Lot Balance'!$G1504)</f>
        <v/>
      </c>
      <c r="E1505" s="25" t="str">
        <f>IF($A1505="","",'Lot Balance'!$H1504)</f>
        <v/>
      </c>
      <c r="F1505" s="23" t="str">
        <f>IF($A1505="","",'Lot Balance'!$I1504)</f>
        <v/>
      </c>
      <c r="G1505" s="23" t="str">
        <f>IF($A1505="","",'Lot Balance'!$O1504)</f>
        <v/>
      </c>
      <c r="H1505" s="33" t="str">
        <f>IF($A1505="","",'Lot Balance'!$P1504)</f>
        <v/>
      </c>
      <c r="I1505" s="26" t="str">
        <f>IF($A1505="","",COUNTIFS(tblIssues[Lot Number],$B1505))</f>
        <v/>
      </c>
      <c r="J1505" s="31" t="str">
        <f>IF($A1505="","",IF('Lot Balance'!$O1504&lt;=0,"Depleted",'Lot Balance'!$Q1504))</f>
        <v/>
      </c>
    </row>
    <row r="1506" spans="1:10" x14ac:dyDescent="0.35">
      <c r="A1506" s="18" t="str">
        <f>IF('Lot Balance'!$A1505="","",'Lot Balance'!$A1505)</f>
        <v/>
      </c>
      <c r="B1506" s="18" t="str">
        <f>IF($A1506="","",'Lot Balance'!$B1505)</f>
        <v/>
      </c>
      <c r="C1506" s="18" t="str">
        <f>IF($A1506="","",'Lot Balance'!$C1505)</f>
        <v/>
      </c>
      <c r="D1506" s="25" t="str">
        <f>IF($A1506="","",'Lot Balance'!$G1505)</f>
        <v/>
      </c>
      <c r="E1506" s="25" t="str">
        <f>IF($A1506="","",'Lot Balance'!$H1505)</f>
        <v/>
      </c>
      <c r="F1506" s="23" t="str">
        <f>IF($A1506="","",'Lot Balance'!$I1505)</f>
        <v/>
      </c>
      <c r="G1506" s="23" t="str">
        <f>IF($A1506="","",'Lot Balance'!$O1505)</f>
        <v/>
      </c>
      <c r="H1506" s="33" t="str">
        <f>IF($A1506="","",'Lot Balance'!$P1505)</f>
        <v/>
      </c>
      <c r="I1506" s="26" t="str">
        <f>IF($A1506="","",COUNTIFS(tblIssues[Lot Number],$B1506))</f>
        <v/>
      </c>
      <c r="J1506" s="31" t="str">
        <f>IF($A1506="","",IF('Lot Balance'!$O1505&lt;=0,"Depleted",'Lot Balance'!$Q1505))</f>
        <v/>
      </c>
    </row>
    <row r="1507" spans="1:10" x14ac:dyDescent="0.35">
      <c r="A1507" s="18" t="str">
        <f>IF('Lot Balance'!$A1506="","",'Lot Balance'!$A1506)</f>
        <v/>
      </c>
      <c r="B1507" s="18" t="str">
        <f>IF($A1507="","",'Lot Balance'!$B1506)</f>
        <v/>
      </c>
      <c r="C1507" s="18" t="str">
        <f>IF($A1507="","",'Lot Balance'!$C1506)</f>
        <v/>
      </c>
      <c r="D1507" s="25" t="str">
        <f>IF($A1507="","",'Lot Balance'!$G1506)</f>
        <v/>
      </c>
      <c r="E1507" s="25" t="str">
        <f>IF($A1507="","",'Lot Balance'!$H1506)</f>
        <v/>
      </c>
      <c r="F1507" s="23" t="str">
        <f>IF($A1507="","",'Lot Balance'!$I1506)</f>
        <v/>
      </c>
      <c r="G1507" s="23" t="str">
        <f>IF($A1507="","",'Lot Balance'!$O1506)</f>
        <v/>
      </c>
      <c r="H1507" s="33" t="str">
        <f>IF($A1507="","",'Lot Balance'!$P1506)</f>
        <v/>
      </c>
      <c r="I1507" s="26" t="str">
        <f>IF($A1507="","",COUNTIFS(tblIssues[Lot Number],$B1507))</f>
        <v/>
      </c>
      <c r="J1507" s="31" t="str">
        <f>IF($A1507="","",IF('Lot Balance'!$O1506&lt;=0,"Depleted",'Lot Balance'!$Q1506))</f>
        <v/>
      </c>
    </row>
    <row r="1508" spans="1:10" x14ac:dyDescent="0.35">
      <c r="A1508" s="18" t="str">
        <f>IF('Lot Balance'!$A1507="","",'Lot Balance'!$A1507)</f>
        <v/>
      </c>
      <c r="B1508" s="18" t="str">
        <f>IF($A1508="","",'Lot Balance'!$B1507)</f>
        <v/>
      </c>
      <c r="C1508" s="18" t="str">
        <f>IF($A1508="","",'Lot Balance'!$C1507)</f>
        <v/>
      </c>
      <c r="D1508" s="25" t="str">
        <f>IF($A1508="","",'Lot Balance'!$G1507)</f>
        <v/>
      </c>
      <c r="E1508" s="25" t="str">
        <f>IF($A1508="","",'Lot Balance'!$H1507)</f>
        <v/>
      </c>
      <c r="F1508" s="23" t="str">
        <f>IF($A1508="","",'Lot Balance'!$I1507)</f>
        <v/>
      </c>
      <c r="G1508" s="23" t="str">
        <f>IF($A1508="","",'Lot Balance'!$O1507)</f>
        <v/>
      </c>
      <c r="H1508" s="33" t="str">
        <f>IF($A1508="","",'Lot Balance'!$P1507)</f>
        <v/>
      </c>
      <c r="I1508" s="26" t="str">
        <f>IF($A1508="","",COUNTIFS(tblIssues[Lot Number],$B1508))</f>
        <v/>
      </c>
      <c r="J1508" s="31" t="str">
        <f>IF($A1508="","",IF('Lot Balance'!$O1507&lt;=0,"Depleted",'Lot Balance'!$Q1507))</f>
        <v/>
      </c>
    </row>
    <row r="1509" spans="1:10" x14ac:dyDescent="0.35">
      <c r="A1509" s="18" t="str">
        <f>IF('Lot Balance'!$A1508="","",'Lot Balance'!$A1508)</f>
        <v/>
      </c>
      <c r="B1509" s="18" t="str">
        <f>IF($A1509="","",'Lot Balance'!$B1508)</f>
        <v/>
      </c>
      <c r="C1509" s="18" t="str">
        <f>IF($A1509="","",'Lot Balance'!$C1508)</f>
        <v/>
      </c>
      <c r="D1509" s="25" t="str">
        <f>IF($A1509="","",'Lot Balance'!$G1508)</f>
        <v/>
      </c>
      <c r="E1509" s="25" t="str">
        <f>IF($A1509="","",'Lot Balance'!$H1508)</f>
        <v/>
      </c>
      <c r="F1509" s="23" t="str">
        <f>IF($A1509="","",'Lot Balance'!$I1508)</f>
        <v/>
      </c>
      <c r="G1509" s="23" t="str">
        <f>IF($A1509="","",'Lot Balance'!$O1508)</f>
        <v/>
      </c>
      <c r="H1509" s="33" t="str">
        <f>IF($A1509="","",'Lot Balance'!$P1508)</f>
        <v/>
      </c>
      <c r="I1509" s="26" t="str">
        <f>IF($A1509="","",COUNTIFS(tblIssues[Lot Number],$B1509))</f>
        <v/>
      </c>
      <c r="J1509" s="31" t="str">
        <f>IF($A1509="","",IF('Lot Balance'!$O1508&lt;=0,"Depleted",'Lot Balance'!$Q1508))</f>
        <v/>
      </c>
    </row>
    <row r="1510" spans="1:10" x14ac:dyDescent="0.35">
      <c r="A1510" s="18" t="str">
        <f>IF('Lot Balance'!$A1509="","",'Lot Balance'!$A1509)</f>
        <v/>
      </c>
      <c r="B1510" s="18" t="str">
        <f>IF($A1510="","",'Lot Balance'!$B1509)</f>
        <v/>
      </c>
      <c r="C1510" s="18" t="str">
        <f>IF($A1510="","",'Lot Balance'!$C1509)</f>
        <v/>
      </c>
      <c r="D1510" s="25" t="str">
        <f>IF($A1510="","",'Lot Balance'!$G1509)</f>
        <v/>
      </c>
      <c r="E1510" s="25" t="str">
        <f>IF($A1510="","",'Lot Balance'!$H1509)</f>
        <v/>
      </c>
      <c r="F1510" s="23" t="str">
        <f>IF($A1510="","",'Lot Balance'!$I1509)</f>
        <v/>
      </c>
      <c r="G1510" s="23" t="str">
        <f>IF($A1510="","",'Lot Balance'!$O1509)</f>
        <v/>
      </c>
      <c r="H1510" s="33" t="str">
        <f>IF($A1510="","",'Lot Balance'!$P1509)</f>
        <v/>
      </c>
      <c r="I1510" s="26" t="str">
        <f>IF($A1510="","",COUNTIFS(tblIssues[Lot Number],$B1510))</f>
        <v/>
      </c>
      <c r="J1510" s="31" t="str">
        <f>IF($A1510="","",IF('Lot Balance'!$O1509&lt;=0,"Depleted",'Lot Balance'!$Q1509))</f>
        <v/>
      </c>
    </row>
    <row r="1511" spans="1:10" x14ac:dyDescent="0.35">
      <c r="A1511" s="18" t="str">
        <f>IF('Lot Balance'!$A1510="","",'Lot Balance'!$A1510)</f>
        <v/>
      </c>
      <c r="B1511" s="18" t="str">
        <f>IF($A1511="","",'Lot Balance'!$B1510)</f>
        <v/>
      </c>
      <c r="C1511" s="18" t="str">
        <f>IF($A1511="","",'Lot Balance'!$C1510)</f>
        <v/>
      </c>
      <c r="D1511" s="25" t="str">
        <f>IF($A1511="","",'Lot Balance'!$G1510)</f>
        <v/>
      </c>
      <c r="E1511" s="25" t="str">
        <f>IF($A1511="","",'Lot Balance'!$H1510)</f>
        <v/>
      </c>
      <c r="F1511" s="23" t="str">
        <f>IF($A1511="","",'Lot Balance'!$I1510)</f>
        <v/>
      </c>
      <c r="G1511" s="23" t="str">
        <f>IF($A1511="","",'Lot Balance'!$O1510)</f>
        <v/>
      </c>
      <c r="H1511" s="33" t="str">
        <f>IF($A1511="","",'Lot Balance'!$P1510)</f>
        <v/>
      </c>
      <c r="I1511" s="26" t="str">
        <f>IF($A1511="","",COUNTIFS(tblIssues[Lot Number],$B1511))</f>
        <v/>
      </c>
      <c r="J1511" s="31" t="str">
        <f>IF($A1511="","",IF('Lot Balance'!$O1510&lt;=0,"Depleted",'Lot Balance'!$Q1510))</f>
        <v/>
      </c>
    </row>
    <row r="1512" spans="1:10" x14ac:dyDescent="0.35">
      <c r="A1512" s="18" t="str">
        <f>IF('Lot Balance'!$A1511="","",'Lot Balance'!$A1511)</f>
        <v/>
      </c>
      <c r="B1512" s="18" t="str">
        <f>IF($A1512="","",'Lot Balance'!$B1511)</f>
        <v/>
      </c>
      <c r="C1512" s="18" t="str">
        <f>IF($A1512="","",'Lot Balance'!$C1511)</f>
        <v/>
      </c>
      <c r="D1512" s="25" t="str">
        <f>IF($A1512="","",'Lot Balance'!$G1511)</f>
        <v/>
      </c>
      <c r="E1512" s="25" t="str">
        <f>IF($A1512="","",'Lot Balance'!$H1511)</f>
        <v/>
      </c>
      <c r="F1512" s="23" t="str">
        <f>IF($A1512="","",'Lot Balance'!$I1511)</f>
        <v/>
      </c>
      <c r="G1512" s="23" t="str">
        <f>IF($A1512="","",'Lot Balance'!$O1511)</f>
        <v/>
      </c>
      <c r="H1512" s="33" t="str">
        <f>IF($A1512="","",'Lot Balance'!$P1511)</f>
        <v/>
      </c>
      <c r="I1512" s="26" t="str">
        <f>IF($A1512="","",COUNTIFS(tblIssues[Lot Number],$B1512))</f>
        <v/>
      </c>
      <c r="J1512" s="31" t="str">
        <f>IF($A1512="","",IF('Lot Balance'!$O1511&lt;=0,"Depleted",'Lot Balance'!$Q1511))</f>
        <v/>
      </c>
    </row>
    <row r="1513" spans="1:10" x14ac:dyDescent="0.35">
      <c r="A1513" s="18" t="str">
        <f>IF('Lot Balance'!$A1512="","",'Lot Balance'!$A1512)</f>
        <v/>
      </c>
      <c r="B1513" s="18" t="str">
        <f>IF($A1513="","",'Lot Balance'!$B1512)</f>
        <v/>
      </c>
      <c r="C1513" s="18" t="str">
        <f>IF($A1513="","",'Lot Balance'!$C1512)</f>
        <v/>
      </c>
      <c r="D1513" s="25" t="str">
        <f>IF($A1513="","",'Lot Balance'!$G1512)</f>
        <v/>
      </c>
      <c r="E1513" s="25" t="str">
        <f>IF($A1513="","",'Lot Balance'!$H1512)</f>
        <v/>
      </c>
      <c r="F1513" s="23" t="str">
        <f>IF($A1513="","",'Lot Balance'!$I1512)</f>
        <v/>
      </c>
      <c r="G1513" s="23" t="str">
        <f>IF($A1513="","",'Lot Balance'!$O1512)</f>
        <v/>
      </c>
      <c r="H1513" s="33" t="str">
        <f>IF($A1513="","",'Lot Balance'!$P1512)</f>
        <v/>
      </c>
      <c r="I1513" s="26" t="str">
        <f>IF($A1513="","",COUNTIFS(tblIssues[Lot Number],$B1513))</f>
        <v/>
      </c>
      <c r="J1513" s="31" t="str">
        <f>IF($A1513="","",IF('Lot Balance'!$O1512&lt;=0,"Depleted",'Lot Balance'!$Q1512))</f>
        <v/>
      </c>
    </row>
    <row r="1514" spans="1:10" x14ac:dyDescent="0.35">
      <c r="A1514" s="18" t="str">
        <f>IF('Lot Balance'!$A1513="","",'Lot Balance'!$A1513)</f>
        <v/>
      </c>
      <c r="B1514" s="18" t="str">
        <f>IF($A1514="","",'Lot Balance'!$B1513)</f>
        <v/>
      </c>
      <c r="C1514" s="18" t="str">
        <f>IF($A1514="","",'Lot Balance'!$C1513)</f>
        <v/>
      </c>
      <c r="D1514" s="25" t="str">
        <f>IF($A1514="","",'Lot Balance'!$G1513)</f>
        <v/>
      </c>
      <c r="E1514" s="25" t="str">
        <f>IF($A1514="","",'Lot Balance'!$H1513)</f>
        <v/>
      </c>
      <c r="F1514" s="23" t="str">
        <f>IF($A1514="","",'Lot Balance'!$I1513)</f>
        <v/>
      </c>
      <c r="G1514" s="23" t="str">
        <f>IF($A1514="","",'Lot Balance'!$O1513)</f>
        <v/>
      </c>
      <c r="H1514" s="33" t="str">
        <f>IF($A1514="","",'Lot Balance'!$P1513)</f>
        <v/>
      </c>
      <c r="I1514" s="26" t="str">
        <f>IF($A1514="","",COUNTIFS(tblIssues[Lot Number],$B1514))</f>
        <v/>
      </c>
      <c r="J1514" s="31" t="str">
        <f>IF($A1514="","",IF('Lot Balance'!$O1513&lt;=0,"Depleted",'Lot Balance'!$Q1513))</f>
        <v/>
      </c>
    </row>
    <row r="1515" spans="1:10" x14ac:dyDescent="0.35">
      <c r="A1515" s="18" t="str">
        <f>IF('Lot Balance'!$A1514="","",'Lot Balance'!$A1514)</f>
        <v/>
      </c>
      <c r="B1515" s="18" t="str">
        <f>IF($A1515="","",'Lot Balance'!$B1514)</f>
        <v/>
      </c>
      <c r="C1515" s="18" t="str">
        <f>IF($A1515="","",'Lot Balance'!$C1514)</f>
        <v/>
      </c>
      <c r="D1515" s="25" t="str">
        <f>IF($A1515="","",'Lot Balance'!$G1514)</f>
        <v/>
      </c>
      <c r="E1515" s="25" t="str">
        <f>IF($A1515="","",'Lot Balance'!$H1514)</f>
        <v/>
      </c>
      <c r="F1515" s="23" t="str">
        <f>IF($A1515="","",'Lot Balance'!$I1514)</f>
        <v/>
      </c>
      <c r="G1515" s="23" t="str">
        <f>IF($A1515="","",'Lot Balance'!$O1514)</f>
        <v/>
      </c>
      <c r="H1515" s="33" t="str">
        <f>IF($A1515="","",'Lot Balance'!$P1514)</f>
        <v/>
      </c>
      <c r="I1515" s="26" t="str">
        <f>IF($A1515="","",COUNTIFS(tblIssues[Lot Number],$B1515))</f>
        <v/>
      </c>
      <c r="J1515" s="31" t="str">
        <f>IF($A1515="","",IF('Lot Balance'!$O1514&lt;=0,"Depleted",'Lot Balance'!$Q1514))</f>
        <v/>
      </c>
    </row>
    <row r="1516" spans="1:10" x14ac:dyDescent="0.35">
      <c r="A1516" s="18" t="str">
        <f>IF('Lot Balance'!$A1515="","",'Lot Balance'!$A1515)</f>
        <v/>
      </c>
      <c r="B1516" s="18" t="str">
        <f>IF($A1516="","",'Lot Balance'!$B1515)</f>
        <v/>
      </c>
      <c r="C1516" s="18" t="str">
        <f>IF($A1516="","",'Lot Balance'!$C1515)</f>
        <v/>
      </c>
      <c r="D1516" s="25" t="str">
        <f>IF($A1516="","",'Lot Balance'!$G1515)</f>
        <v/>
      </c>
      <c r="E1516" s="25" t="str">
        <f>IF($A1516="","",'Lot Balance'!$H1515)</f>
        <v/>
      </c>
      <c r="F1516" s="23" t="str">
        <f>IF($A1516="","",'Lot Balance'!$I1515)</f>
        <v/>
      </c>
      <c r="G1516" s="23" t="str">
        <f>IF($A1516="","",'Lot Balance'!$O1515)</f>
        <v/>
      </c>
      <c r="H1516" s="33" t="str">
        <f>IF($A1516="","",'Lot Balance'!$P1515)</f>
        <v/>
      </c>
      <c r="I1516" s="26" t="str">
        <f>IF($A1516="","",COUNTIFS(tblIssues[Lot Number],$B1516))</f>
        <v/>
      </c>
      <c r="J1516" s="31" t="str">
        <f>IF($A1516="","",IF('Lot Balance'!$O1515&lt;=0,"Depleted",'Lot Balance'!$Q1515))</f>
        <v/>
      </c>
    </row>
    <row r="1517" spans="1:10" x14ac:dyDescent="0.35">
      <c r="A1517" s="18" t="str">
        <f>IF('Lot Balance'!$A1516="","",'Lot Balance'!$A1516)</f>
        <v/>
      </c>
      <c r="B1517" s="18" t="str">
        <f>IF($A1517="","",'Lot Balance'!$B1516)</f>
        <v/>
      </c>
      <c r="C1517" s="18" t="str">
        <f>IF($A1517="","",'Lot Balance'!$C1516)</f>
        <v/>
      </c>
      <c r="D1517" s="25" t="str">
        <f>IF($A1517="","",'Lot Balance'!$G1516)</f>
        <v/>
      </c>
      <c r="E1517" s="25" t="str">
        <f>IF($A1517="","",'Lot Balance'!$H1516)</f>
        <v/>
      </c>
      <c r="F1517" s="23" t="str">
        <f>IF($A1517="","",'Lot Balance'!$I1516)</f>
        <v/>
      </c>
      <c r="G1517" s="23" t="str">
        <f>IF($A1517="","",'Lot Balance'!$O1516)</f>
        <v/>
      </c>
      <c r="H1517" s="33" t="str">
        <f>IF($A1517="","",'Lot Balance'!$P1516)</f>
        <v/>
      </c>
      <c r="I1517" s="26" t="str">
        <f>IF($A1517="","",COUNTIFS(tblIssues[Lot Number],$B1517))</f>
        <v/>
      </c>
      <c r="J1517" s="31" t="str">
        <f>IF($A1517="","",IF('Lot Balance'!$O1516&lt;=0,"Depleted",'Lot Balance'!$Q1516))</f>
        <v/>
      </c>
    </row>
    <row r="1518" spans="1:10" x14ac:dyDescent="0.35">
      <c r="A1518" s="18" t="str">
        <f>IF('Lot Balance'!$A1517="","",'Lot Balance'!$A1517)</f>
        <v/>
      </c>
      <c r="B1518" s="18" t="str">
        <f>IF($A1518="","",'Lot Balance'!$B1517)</f>
        <v/>
      </c>
      <c r="C1518" s="18" t="str">
        <f>IF($A1518="","",'Lot Balance'!$C1517)</f>
        <v/>
      </c>
      <c r="D1518" s="25" t="str">
        <f>IF($A1518="","",'Lot Balance'!$G1517)</f>
        <v/>
      </c>
      <c r="E1518" s="25" t="str">
        <f>IF($A1518="","",'Lot Balance'!$H1517)</f>
        <v/>
      </c>
      <c r="F1518" s="23" t="str">
        <f>IF($A1518="","",'Lot Balance'!$I1517)</f>
        <v/>
      </c>
      <c r="G1518" s="23" t="str">
        <f>IF($A1518="","",'Lot Balance'!$O1517)</f>
        <v/>
      </c>
      <c r="H1518" s="33" t="str">
        <f>IF($A1518="","",'Lot Balance'!$P1517)</f>
        <v/>
      </c>
      <c r="I1518" s="26" t="str">
        <f>IF($A1518="","",COUNTIFS(tblIssues[Lot Number],$B1518))</f>
        <v/>
      </c>
      <c r="J1518" s="31" t="str">
        <f>IF($A1518="","",IF('Lot Balance'!$O1517&lt;=0,"Depleted",'Lot Balance'!$Q1517))</f>
        <v/>
      </c>
    </row>
    <row r="1519" spans="1:10" x14ac:dyDescent="0.35">
      <c r="A1519" s="18" t="str">
        <f>IF('Lot Balance'!$A1518="","",'Lot Balance'!$A1518)</f>
        <v/>
      </c>
      <c r="B1519" s="18" t="str">
        <f>IF($A1519="","",'Lot Balance'!$B1518)</f>
        <v/>
      </c>
      <c r="C1519" s="18" t="str">
        <f>IF($A1519="","",'Lot Balance'!$C1518)</f>
        <v/>
      </c>
      <c r="D1519" s="25" t="str">
        <f>IF($A1519="","",'Lot Balance'!$G1518)</f>
        <v/>
      </c>
      <c r="E1519" s="25" t="str">
        <f>IF($A1519="","",'Lot Balance'!$H1518)</f>
        <v/>
      </c>
      <c r="F1519" s="23" t="str">
        <f>IF($A1519="","",'Lot Balance'!$I1518)</f>
        <v/>
      </c>
      <c r="G1519" s="23" t="str">
        <f>IF($A1519="","",'Lot Balance'!$O1518)</f>
        <v/>
      </c>
      <c r="H1519" s="33" t="str">
        <f>IF($A1519="","",'Lot Balance'!$P1518)</f>
        <v/>
      </c>
      <c r="I1519" s="26" t="str">
        <f>IF($A1519="","",COUNTIFS(tblIssues[Lot Number],$B1519))</f>
        <v/>
      </c>
      <c r="J1519" s="31" t="str">
        <f>IF($A1519="","",IF('Lot Balance'!$O1518&lt;=0,"Depleted",'Lot Balance'!$Q1518))</f>
        <v/>
      </c>
    </row>
    <row r="1520" spans="1:10" x14ac:dyDescent="0.35">
      <c r="A1520" s="18" t="str">
        <f>IF('Lot Balance'!$A1519="","",'Lot Balance'!$A1519)</f>
        <v/>
      </c>
      <c r="B1520" s="18" t="str">
        <f>IF($A1520="","",'Lot Balance'!$B1519)</f>
        <v/>
      </c>
      <c r="C1520" s="18" t="str">
        <f>IF($A1520="","",'Lot Balance'!$C1519)</f>
        <v/>
      </c>
      <c r="D1520" s="25" t="str">
        <f>IF($A1520="","",'Lot Balance'!$G1519)</f>
        <v/>
      </c>
      <c r="E1520" s="25" t="str">
        <f>IF($A1520="","",'Lot Balance'!$H1519)</f>
        <v/>
      </c>
      <c r="F1520" s="23" t="str">
        <f>IF($A1520="","",'Lot Balance'!$I1519)</f>
        <v/>
      </c>
      <c r="G1520" s="23" t="str">
        <f>IF($A1520="","",'Lot Balance'!$O1519)</f>
        <v/>
      </c>
      <c r="H1520" s="33" t="str">
        <f>IF($A1520="","",'Lot Balance'!$P1519)</f>
        <v/>
      </c>
      <c r="I1520" s="26" t="str">
        <f>IF($A1520="","",COUNTIFS(tblIssues[Lot Number],$B1520))</f>
        <v/>
      </c>
      <c r="J1520" s="31" t="str">
        <f>IF($A1520="","",IF('Lot Balance'!$O1519&lt;=0,"Depleted",'Lot Balance'!$Q1519))</f>
        <v/>
      </c>
    </row>
    <row r="1521" spans="1:10" x14ac:dyDescent="0.35">
      <c r="A1521" s="18" t="str">
        <f>IF('Lot Balance'!$A1520="","",'Lot Balance'!$A1520)</f>
        <v/>
      </c>
      <c r="B1521" s="18" t="str">
        <f>IF($A1521="","",'Lot Balance'!$B1520)</f>
        <v/>
      </c>
      <c r="C1521" s="18" t="str">
        <f>IF($A1521="","",'Lot Balance'!$C1520)</f>
        <v/>
      </c>
      <c r="D1521" s="25" t="str">
        <f>IF($A1521="","",'Lot Balance'!$G1520)</f>
        <v/>
      </c>
      <c r="E1521" s="25" t="str">
        <f>IF($A1521="","",'Lot Balance'!$H1520)</f>
        <v/>
      </c>
      <c r="F1521" s="23" t="str">
        <f>IF($A1521="","",'Lot Balance'!$I1520)</f>
        <v/>
      </c>
      <c r="G1521" s="23" t="str">
        <f>IF($A1521="","",'Lot Balance'!$O1520)</f>
        <v/>
      </c>
      <c r="H1521" s="33" t="str">
        <f>IF($A1521="","",'Lot Balance'!$P1520)</f>
        <v/>
      </c>
      <c r="I1521" s="26" t="str">
        <f>IF($A1521="","",COUNTIFS(tblIssues[Lot Number],$B1521))</f>
        <v/>
      </c>
      <c r="J1521" s="31" t="str">
        <f>IF($A1521="","",IF('Lot Balance'!$O1520&lt;=0,"Depleted",'Lot Balance'!$Q1520))</f>
        <v/>
      </c>
    </row>
    <row r="1522" spans="1:10" x14ac:dyDescent="0.35">
      <c r="A1522" s="18" t="str">
        <f>IF('Lot Balance'!$A1521="","",'Lot Balance'!$A1521)</f>
        <v/>
      </c>
      <c r="B1522" s="18" t="str">
        <f>IF($A1522="","",'Lot Balance'!$B1521)</f>
        <v/>
      </c>
      <c r="C1522" s="18" t="str">
        <f>IF($A1522="","",'Lot Balance'!$C1521)</f>
        <v/>
      </c>
      <c r="D1522" s="25" t="str">
        <f>IF($A1522="","",'Lot Balance'!$G1521)</f>
        <v/>
      </c>
      <c r="E1522" s="25" t="str">
        <f>IF($A1522="","",'Lot Balance'!$H1521)</f>
        <v/>
      </c>
      <c r="F1522" s="23" t="str">
        <f>IF($A1522="","",'Lot Balance'!$I1521)</f>
        <v/>
      </c>
      <c r="G1522" s="23" t="str">
        <f>IF($A1522="","",'Lot Balance'!$O1521)</f>
        <v/>
      </c>
      <c r="H1522" s="33" t="str">
        <f>IF($A1522="","",'Lot Balance'!$P1521)</f>
        <v/>
      </c>
      <c r="I1522" s="26" t="str">
        <f>IF($A1522="","",COUNTIFS(tblIssues[Lot Number],$B1522))</f>
        <v/>
      </c>
      <c r="J1522" s="31" t="str">
        <f>IF($A1522="","",IF('Lot Balance'!$O1521&lt;=0,"Depleted",'Lot Balance'!$Q1521))</f>
        <v/>
      </c>
    </row>
    <row r="1523" spans="1:10" x14ac:dyDescent="0.35">
      <c r="A1523" s="18" t="str">
        <f>IF('Lot Balance'!$A1522="","",'Lot Balance'!$A1522)</f>
        <v/>
      </c>
      <c r="B1523" s="18" t="str">
        <f>IF($A1523="","",'Lot Balance'!$B1522)</f>
        <v/>
      </c>
      <c r="C1523" s="18" t="str">
        <f>IF($A1523="","",'Lot Balance'!$C1522)</f>
        <v/>
      </c>
      <c r="D1523" s="25" t="str">
        <f>IF($A1523="","",'Lot Balance'!$G1522)</f>
        <v/>
      </c>
      <c r="E1523" s="25" t="str">
        <f>IF($A1523="","",'Lot Balance'!$H1522)</f>
        <v/>
      </c>
      <c r="F1523" s="23" t="str">
        <f>IF($A1523="","",'Lot Balance'!$I1522)</f>
        <v/>
      </c>
      <c r="G1523" s="23" t="str">
        <f>IF($A1523="","",'Lot Balance'!$O1522)</f>
        <v/>
      </c>
      <c r="H1523" s="33" t="str">
        <f>IF($A1523="","",'Lot Balance'!$P1522)</f>
        <v/>
      </c>
      <c r="I1523" s="26" t="str">
        <f>IF($A1523="","",COUNTIFS(tblIssues[Lot Number],$B1523))</f>
        <v/>
      </c>
      <c r="J1523" s="31" t="str">
        <f>IF($A1523="","",IF('Lot Balance'!$O1522&lt;=0,"Depleted",'Lot Balance'!$Q1522))</f>
        <v/>
      </c>
    </row>
    <row r="1524" spans="1:10" x14ac:dyDescent="0.35">
      <c r="A1524" s="18" t="str">
        <f>IF('Lot Balance'!$A1523="","",'Lot Balance'!$A1523)</f>
        <v/>
      </c>
      <c r="B1524" s="18" t="str">
        <f>IF($A1524="","",'Lot Balance'!$B1523)</f>
        <v/>
      </c>
      <c r="C1524" s="18" t="str">
        <f>IF($A1524="","",'Lot Balance'!$C1523)</f>
        <v/>
      </c>
      <c r="D1524" s="25" t="str">
        <f>IF($A1524="","",'Lot Balance'!$G1523)</f>
        <v/>
      </c>
      <c r="E1524" s="25" t="str">
        <f>IF($A1524="","",'Lot Balance'!$H1523)</f>
        <v/>
      </c>
      <c r="F1524" s="23" t="str">
        <f>IF($A1524="","",'Lot Balance'!$I1523)</f>
        <v/>
      </c>
      <c r="G1524" s="23" t="str">
        <f>IF($A1524="","",'Lot Balance'!$O1523)</f>
        <v/>
      </c>
      <c r="H1524" s="33" t="str">
        <f>IF($A1524="","",'Lot Balance'!$P1523)</f>
        <v/>
      </c>
      <c r="I1524" s="26" t="str">
        <f>IF($A1524="","",COUNTIFS(tblIssues[Lot Number],$B1524))</f>
        <v/>
      </c>
      <c r="J1524" s="31" t="str">
        <f>IF($A1524="","",IF('Lot Balance'!$O1523&lt;=0,"Depleted",'Lot Balance'!$Q1523))</f>
        <v/>
      </c>
    </row>
    <row r="1525" spans="1:10" x14ac:dyDescent="0.35">
      <c r="A1525" s="18" t="str">
        <f>IF('Lot Balance'!$A1524="","",'Lot Balance'!$A1524)</f>
        <v/>
      </c>
      <c r="B1525" s="18" t="str">
        <f>IF($A1525="","",'Lot Balance'!$B1524)</f>
        <v/>
      </c>
      <c r="C1525" s="18" t="str">
        <f>IF($A1525="","",'Lot Balance'!$C1524)</f>
        <v/>
      </c>
      <c r="D1525" s="25" t="str">
        <f>IF($A1525="","",'Lot Balance'!$G1524)</f>
        <v/>
      </c>
      <c r="E1525" s="25" t="str">
        <f>IF($A1525="","",'Lot Balance'!$H1524)</f>
        <v/>
      </c>
      <c r="F1525" s="23" t="str">
        <f>IF($A1525="","",'Lot Balance'!$I1524)</f>
        <v/>
      </c>
      <c r="G1525" s="23" t="str">
        <f>IF($A1525="","",'Lot Balance'!$O1524)</f>
        <v/>
      </c>
      <c r="H1525" s="33" t="str">
        <f>IF($A1525="","",'Lot Balance'!$P1524)</f>
        <v/>
      </c>
      <c r="I1525" s="26" t="str">
        <f>IF($A1525="","",COUNTIFS(tblIssues[Lot Number],$B1525))</f>
        <v/>
      </c>
      <c r="J1525" s="31" t="str">
        <f>IF($A1525="","",IF('Lot Balance'!$O1524&lt;=0,"Depleted",'Lot Balance'!$Q1524))</f>
        <v/>
      </c>
    </row>
    <row r="1526" spans="1:10" x14ac:dyDescent="0.35">
      <c r="A1526" s="18" t="str">
        <f>IF('Lot Balance'!$A1525="","",'Lot Balance'!$A1525)</f>
        <v/>
      </c>
      <c r="B1526" s="18" t="str">
        <f>IF($A1526="","",'Lot Balance'!$B1525)</f>
        <v/>
      </c>
      <c r="C1526" s="18" t="str">
        <f>IF($A1526="","",'Lot Balance'!$C1525)</f>
        <v/>
      </c>
      <c r="D1526" s="25" t="str">
        <f>IF($A1526="","",'Lot Balance'!$G1525)</f>
        <v/>
      </c>
      <c r="E1526" s="25" t="str">
        <f>IF($A1526="","",'Lot Balance'!$H1525)</f>
        <v/>
      </c>
      <c r="F1526" s="23" t="str">
        <f>IF($A1526="","",'Lot Balance'!$I1525)</f>
        <v/>
      </c>
      <c r="G1526" s="23" t="str">
        <f>IF($A1526="","",'Lot Balance'!$O1525)</f>
        <v/>
      </c>
      <c r="H1526" s="33" t="str">
        <f>IF($A1526="","",'Lot Balance'!$P1525)</f>
        <v/>
      </c>
      <c r="I1526" s="26" t="str">
        <f>IF($A1526="","",COUNTIFS(tblIssues[Lot Number],$B1526))</f>
        <v/>
      </c>
      <c r="J1526" s="31" t="str">
        <f>IF($A1526="","",IF('Lot Balance'!$O1525&lt;=0,"Depleted",'Lot Balance'!$Q1525))</f>
        <v/>
      </c>
    </row>
    <row r="1527" spans="1:10" x14ac:dyDescent="0.35">
      <c r="A1527" s="18" t="str">
        <f>IF('Lot Balance'!$A1526="","",'Lot Balance'!$A1526)</f>
        <v/>
      </c>
      <c r="B1527" s="18" t="str">
        <f>IF($A1527="","",'Lot Balance'!$B1526)</f>
        <v/>
      </c>
      <c r="C1527" s="18" t="str">
        <f>IF($A1527="","",'Lot Balance'!$C1526)</f>
        <v/>
      </c>
      <c r="D1527" s="25" t="str">
        <f>IF($A1527="","",'Lot Balance'!$G1526)</f>
        <v/>
      </c>
      <c r="E1527" s="25" t="str">
        <f>IF($A1527="","",'Lot Balance'!$H1526)</f>
        <v/>
      </c>
      <c r="F1527" s="23" t="str">
        <f>IF($A1527="","",'Lot Balance'!$I1526)</f>
        <v/>
      </c>
      <c r="G1527" s="23" t="str">
        <f>IF($A1527="","",'Lot Balance'!$O1526)</f>
        <v/>
      </c>
      <c r="H1527" s="33" t="str">
        <f>IF($A1527="","",'Lot Balance'!$P1526)</f>
        <v/>
      </c>
      <c r="I1527" s="26" t="str">
        <f>IF($A1527="","",COUNTIFS(tblIssues[Lot Number],$B1527))</f>
        <v/>
      </c>
      <c r="J1527" s="31" t="str">
        <f>IF($A1527="","",IF('Lot Balance'!$O1526&lt;=0,"Depleted",'Lot Balance'!$Q1526))</f>
        <v/>
      </c>
    </row>
    <row r="1528" spans="1:10" x14ac:dyDescent="0.35">
      <c r="A1528" s="18" t="str">
        <f>IF('Lot Balance'!$A1527="","",'Lot Balance'!$A1527)</f>
        <v/>
      </c>
      <c r="B1528" s="18" t="str">
        <f>IF($A1528="","",'Lot Balance'!$B1527)</f>
        <v/>
      </c>
      <c r="C1528" s="18" t="str">
        <f>IF($A1528="","",'Lot Balance'!$C1527)</f>
        <v/>
      </c>
      <c r="D1528" s="25" t="str">
        <f>IF($A1528="","",'Lot Balance'!$G1527)</f>
        <v/>
      </c>
      <c r="E1528" s="25" t="str">
        <f>IF($A1528="","",'Lot Balance'!$H1527)</f>
        <v/>
      </c>
      <c r="F1528" s="23" t="str">
        <f>IF($A1528="","",'Lot Balance'!$I1527)</f>
        <v/>
      </c>
      <c r="G1528" s="23" t="str">
        <f>IF($A1528="","",'Lot Balance'!$O1527)</f>
        <v/>
      </c>
      <c r="H1528" s="33" t="str">
        <f>IF($A1528="","",'Lot Balance'!$P1527)</f>
        <v/>
      </c>
      <c r="I1528" s="26" t="str">
        <f>IF($A1528="","",COUNTIFS(tblIssues[Lot Number],$B1528))</f>
        <v/>
      </c>
      <c r="J1528" s="31" t="str">
        <f>IF($A1528="","",IF('Lot Balance'!$O1527&lt;=0,"Depleted",'Lot Balance'!$Q1527))</f>
        <v/>
      </c>
    </row>
    <row r="1529" spans="1:10" x14ac:dyDescent="0.35">
      <c r="A1529" s="18" t="str">
        <f>IF('Lot Balance'!$A1528="","",'Lot Balance'!$A1528)</f>
        <v/>
      </c>
      <c r="B1529" s="18" t="str">
        <f>IF($A1529="","",'Lot Balance'!$B1528)</f>
        <v/>
      </c>
      <c r="C1529" s="18" t="str">
        <f>IF($A1529="","",'Lot Balance'!$C1528)</f>
        <v/>
      </c>
      <c r="D1529" s="25" t="str">
        <f>IF($A1529="","",'Lot Balance'!$G1528)</f>
        <v/>
      </c>
      <c r="E1529" s="25" t="str">
        <f>IF($A1529="","",'Lot Balance'!$H1528)</f>
        <v/>
      </c>
      <c r="F1529" s="23" t="str">
        <f>IF($A1529="","",'Lot Balance'!$I1528)</f>
        <v/>
      </c>
      <c r="G1529" s="23" t="str">
        <f>IF($A1529="","",'Lot Balance'!$O1528)</f>
        <v/>
      </c>
      <c r="H1529" s="33" t="str">
        <f>IF($A1529="","",'Lot Balance'!$P1528)</f>
        <v/>
      </c>
      <c r="I1529" s="26" t="str">
        <f>IF($A1529="","",COUNTIFS(tblIssues[Lot Number],$B1529))</f>
        <v/>
      </c>
      <c r="J1529" s="31" t="str">
        <f>IF($A1529="","",IF('Lot Balance'!$O1528&lt;=0,"Depleted",'Lot Balance'!$Q1528))</f>
        <v/>
      </c>
    </row>
    <row r="1530" spans="1:10" x14ac:dyDescent="0.35">
      <c r="A1530" s="18" t="str">
        <f>IF('Lot Balance'!$A1529="","",'Lot Balance'!$A1529)</f>
        <v/>
      </c>
      <c r="B1530" s="18" t="str">
        <f>IF($A1530="","",'Lot Balance'!$B1529)</f>
        <v/>
      </c>
      <c r="C1530" s="18" t="str">
        <f>IF($A1530="","",'Lot Balance'!$C1529)</f>
        <v/>
      </c>
      <c r="D1530" s="25" t="str">
        <f>IF($A1530="","",'Lot Balance'!$G1529)</f>
        <v/>
      </c>
      <c r="E1530" s="25" t="str">
        <f>IF($A1530="","",'Lot Balance'!$H1529)</f>
        <v/>
      </c>
      <c r="F1530" s="23" t="str">
        <f>IF($A1530="","",'Lot Balance'!$I1529)</f>
        <v/>
      </c>
      <c r="G1530" s="23" t="str">
        <f>IF($A1530="","",'Lot Balance'!$O1529)</f>
        <v/>
      </c>
      <c r="H1530" s="33" t="str">
        <f>IF($A1530="","",'Lot Balance'!$P1529)</f>
        <v/>
      </c>
      <c r="I1530" s="26" t="str">
        <f>IF($A1530="","",COUNTIFS(tblIssues[Lot Number],$B1530))</f>
        <v/>
      </c>
      <c r="J1530" s="31" t="str">
        <f>IF($A1530="","",IF('Lot Balance'!$O1529&lt;=0,"Depleted",'Lot Balance'!$Q1529))</f>
        <v/>
      </c>
    </row>
    <row r="1531" spans="1:10" x14ac:dyDescent="0.35">
      <c r="A1531" s="18" t="str">
        <f>IF('Lot Balance'!$A1530="","",'Lot Balance'!$A1530)</f>
        <v/>
      </c>
      <c r="B1531" s="18" t="str">
        <f>IF($A1531="","",'Lot Balance'!$B1530)</f>
        <v/>
      </c>
      <c r="C1531" s="18" t="str">
        <f>IF($A1531="","",'Lot Balance'!$C1530)</f>
        <v/>
      </c>
      <c r="D1531" s="25" t="str">
        <f>IF($A1531="","",'Lot Balance'!$G1530)</f>
        <v/>
      </c>
      <c r="E1531" s="25" t="str">
        <f>IF($A1531="","",'Lot Balance'!$H1530)</f>
        <v/>
      </c>
      <c r="F1531" s="23" t="str">
        <f>IF($A1531="","",'Lot Balance'!$I1530)</f>
        <v/>
      </c>
      <c r="G1531" s="23" t="str">
        <f>IF($A1531="","",'Lot Balance'!$O1530)</f>
        <v/>
      </c>
      <c r="H1531" s="33" t="str">
        <f>IF($A1531="","",'Lot Balance'!$P1530)</f>
        <v/>
      </c>
      <c r="I1531" s="26" t="str">
        <f>IF($A1531="","",COUNTIFS(tblIssues[Lot Number],$B1531))</f>
        <v/>
      </c>
      <c r="J1531" s="31" t="str">
        <f>IF($A1531="","",IF('Lot Balance'!$O1530&lt;=0,"Depleted",'Lot Balance'!$Q1530))</f>
        <v/>
      </c>
    </row>
    <row r="1532" spans="1:10" x14ac:dyDescent="0.35">
      <c r="A1532" s="18" t="str">
        <f>IF('Lot Balance'!$A1531="","",'Lot Balance'!$A1531)</f>
        <v/>
      </c>
      <c r="B1532" s="18" t="str">
        <f>IF($A1532="","",'Lot Balance'!$B1531)</f>
        <v/>
      </c>
      <c r="C1532" s="18" t="str">
        <f>IF($A1532="","",'Lot Balance'!$C1531)</f>
        <v/>
      </c>
      <c r="D1532" s="25" t="str">
        <f>IF($A1532="","",'Lot Balance'!$G1531)</f>
        <v/>
      </c>
      <c r="E1532" s="25" t="str">
        <f>IF($A1532="","",'Lot Balance'!$H1531)</f>
        <v/>
      </c>
      <c r="F1532" s="23" t="str">
        <f>IF($A1532="","",'Lot Balance'!$I1531)</f>
        <v/>
      </c>
      <c r="G1532" s="23" t="str">
        <f>IF($A1532="","",'Lot Balance'!$O1531)</f>
        <v/>
      </c>
      <c r="H1532" s="33" t="str">
        <f>IF($A1532="","",'Lot Balance'!$P1531)</f>
        <v/>
      </c>
      <c r="I1532" s="26" t="str">
        <f>IF($A1532="","",COUNTIFS(tblIssues[Lot Number],$B1532))</f>
        <v/>
      </c>
      <c r="J1532" s="31" t="str">
        <f>IF($A1532="","",IF('Lot Balance'!$O1531&lt;=0,"Depleted",'Lot Balance'!$Q1531))</f>
        <v/>
      </c>
    </row>
    <row r="1533" spans="1:10" x14ac:dyDescent="0.35">
      <c r="A1533" s="18" t="str">
        <f>IF('Lot Balance'!$A1532="","",'Lot Balance'!$A1532)</f>
        <v/>
      </c>
      <c r="B1533" s="18" t="str">
        <f>IF($A1533="","",'Lot Balance'!$B1532)</f>
        <v/>
      </c>
      <c r="C1533" s="18" t="str">
        <f>IF($A1533="","",'Lot Balance'!$C1532)</f>
        <v/>
      </c>
      <c r="D1533" s="25" t="str">
        <f>IF($A1533="","",'Lot Balance'!$G1532)</f>
        <v/>
      </c>
      <c r="E1533" s="25" t="str">
        <f>IF($A1533="","",'Lot Balance'!$H1532)</f>
        <v/>
      </c>
      <c r="F1533" s="23" t="str">
        <f>IF($A1533="","",'Lot Balance'!$I1532)</f>
        <v/>
      </c>
      <c r="G1533" s="23" t="str">
        <f>IF($A1533="","",'Lot Balance'!$O1532)</f>
        <v/>
      </c>
      <c r="H1533" s="33" t="str">
        <f>IF($A1533="","",'Lot Balance'!$P1532)</f>
        <v/>
      </c>
      <c r="I1533" s="26" t="str">
        <f>IF($A1533="","",COUNTIFS(tblIssues[Lot Number],$B1533))</f>
        <v/>
      </c>
      <c r="J1533" s="31" t="str">
        <f>IF($A1533="","",IF('Lot Balance'!$O1532&lt;=0,"Depleted",'Lot Balance'!$Q1532))</f>
        <v/>
      </c>
    </row>
    <row r="1534" spans="1:10" x14ac:dyDescent="0.35">
      <c r="A1534" s="18" t="str">
        <f>IF('Lot Balance'!$A1533="","",'Lot Balance'!$A1533)</f>
        <v/>
      </c>
      <c r="B1534" s="18" t="str">
        <f>IF($A1534="","",'Lot Balance'!$B1533)</f>
        <v/>
      </c>
      <c r="C1534" s="18" t="str">
        <f>IF($A1534="","",'Lot Balance'!$C1533)</f>
        <v/>
      </c>
      <c r="D1534" s="25" t="str">
        <f>IF($A1534="","",'Lot Balance'!$G1533)</f>
        <v/>
      </c>
      <c r="E1534" s="25" t="str">
        <f>IF($A1534="","",'Lot Balance'!$H1533)</f>
        <v/>
      </c>
      <c r="F1534" s="23" t="str">
        <f>IF($A1534="","",'Lot Balance'!$I1533)</f>
        <v/>
      </c>
      <c r="G1534" s="23" t="str">
        <f>IF($A1534="","",'Lot Balance'!$O1533)</f>
        <v/>
      </c>
      <c r="H1534" s="33" t="str">
        <f>IF($A1534="","",'Lot Balance'!$P1533)</f>
        <v/>
      </c>
      <c r="I1534" s="26" t="str">
        <f>IF($A1534="","",COUNTIFS(tblIssues[Lot Number],$B1534))</f>
        <v/>
      </c>
      <c r="J1534" s="31" t="str">
        <f>IF($A1534="","",IF('Lot Balance'!$O1533&lt;=0,"Depleted",'Lot Balance'!$Q1533))</f>
        <v/>
      </c>
    </row>
    <row r="1535" spans="1:10" x14ac:dyDescent="0.35">
      <c r="A1535" s="18" t="str">
        <f>IF('Lot Balance'!$A1534="","",'Lot Balance'!$A1534)</f>
        <v/>
      </c>
      <c r="B1535" s="18" t="str">
        <f>IF($A1535="","",'Lot Balance'!$B1534)</f>
        <v/>
      </c>
      <c r="C1535" s="18" t="str">
        <f>IF($A1535="","",'Lot Balance'!$C1534)</f>
        <v/>
      </c>
      <c r="D1535" s="25" t="str">
        <f>IF($A1535="","",'Lot Balance'!$G1534)</f>
        <v/>
      </c>
      <c r="E1535" s="25" t="str">
        <f>IF($A1535="","",'Lot Balance'!$H1534)</f>
        <v/>
      </c>
      <c r="F1535" s="23" t="str">
        <f>IF($A1535="","",'Lot Balance'!$I1534)</f>
        <v/>
      </c>
      <c r="G1535" s="23" t="str">
        <f>IF($A1535="","",'Lot Balance'!$O1534)</f>
        <v/>
      </c>
      <c r="H1535" s="33" t="str">
        <f>IF($A1535="","",'Lot Balance'!$P1534)</f>
        <v/>
      </c>
      <c r="I1535" s="26" t="str">
        <f>IF($A1535="","",COUNTIFS(tblIssues[Lot Number],$B1535))</f>
        <v/>
      </c>
      <c r="J1535" s="31" t="str">
        <f>IF($A1535="","",IF('Lot Balance'!$O1534&lt;=0,"Depleted",'Lot Balance'!$Q1534))</f>
        <v/>
      </c>
    </row>
    <row r="1536" spans="1:10" x14ac:dyDescent="0.35">
      <c r="A1536" s="18" t="str">
        <f>IF('Lot Balance'!$A1535="","",'Lot Balance'!$A1535)</f>
        <v/>
      </c>
      <c r="B1536" s="18" t="str">
        <f>IF($A1536="","",'Lot Balance'!$B1535)</f>
        <v/>
      </c>
      <c r="C1536" s="18" t="str">
        <f>IF($A1536="","",'Lot Balance'!$C1535)</f>
        <v/>
      </c>
      <c r="D1536" s="25" t="str">
        <f>IF($A1536="","",'Lot Balance'!$G1535)</f>
        <v/>
      </c>
      <c r="E1536" s="25" t="str">
        <f>IF($A1536="","",'Lot Balance'!$H1535)</f>
        <v/>
      </c>
      <c r="F1536" s="23" t="str">
        <f>IF($A1536="","",'Lot Balance'!$I1535)</f>
        <v/>
      </c>
      <c r="G1536" s="23" t="str">
        <f>IF($A1536="","",'Lot Balance'!$O1535)</f>
        <v/>
      </c>
      <c r="H1536" s="33" t="str">
        <f>IF($A1536="","",'Lot Balance'!$P1535)</f>
        <v/>
      </c>
      <c r="I1536" s="26" t="str">
        <f>IF($A1536="","",COUNTIFS(tblIssues[Lot Number],$B1536))</f>
        <v/>
      </c>
      <c r="J1536" s="31" t="str">
        <f>IF($A1536="","",IF('Lot Balance'!$O1535&lt;=0,"Depleted",'Lot Balance'!$Q1535))</f>
        <v/>
      </c>
    </row>
    <row r="1537" spans="1:10" x14ac:dyDescent="0.35">
      <c r="A1537" s="18" t="str">
        <f>IF('Lot Balance'!$A1536="","",'Lot Balance'!$A1536)</f>
        <v/>
      </c>
      <c r="B1537" s="18" t="str">
        <f>IF($A1537="","",'Lot Balance'!$B1536)</f>
        <v/>
      </c>
      <c r="C1537" s="18" t="str">
        <f>IF($A1537="","",'Lot Balance'!$C1536)</f>
        <v/>
      </c>
      <c r="D1537" s="25" t="str">
        <f>IF($A1537="","",'Lot Balance'!$G1536)</f>
        <v/>
      </c>
      <c r="E1537" s="25" t="str">
        <f>IF($A1537="","",'Lot Balance'!$H1536)</f>
        <v/>
      </c>
      <c r="F1537" s="23" t="str">
        <f>IF($A1537="","",'Lot Balance'!$I1536)</f>
        <v/>
      </c>
      <c r="G1537" s="23" t="str">
        <f>IF($A1537="","",'Lot Balance'!$O1536)</f>
        <v/>
      </c>
      <c r="H1537" s="33" t="str">
        <f>IF($A1537="","",'Lot Balance'!$P1536)</f>
        <v/>
      </c>
      <c r="I1537" s="26" t="str">
        <f>IF($A1537="","",COUNTIFS(tblIssues[Lot Number],$B1537))</f>
        <v/>
      </c>
      <c r="J1537" s="31" t="str">
        <f>IF($A1537="","",IF('Lot Balance'!$O1536&lt;=0,"Depleted",'Lot Balance'!$Q1536))</f>
        <v/>
      </c>
    </row>
    <row r="1538" spans="1:10" x14ac:dyDescent="0.35">
      <c r="A1538" s="18" t="str">
        <f>IF('Lot Balance'!$A1537="","",'Lot Balance'!$A1537)</f>
        <v/>
      </c>
      <c r="B1538" s="18" t="str">
        <f>IF($A1538="","",'Lot Balance'!$B1537)</f>
        <v/>
      </c>
      <c r="C1538" s="18" t="str">
        <f>IF($A1538="","",'Lot Balance'!$C1537)</f>
        <v/>
      </c>
      <c r="D1538" s="25" t="str">
        <f>IF($A1538="","",'Lot Balance'!$G1537)</f>
        <v/>
      </c>
      <c r="E1538" s="25" t="str">
        <f>IF($A1538="","",'Lot Balance'!$H1537)</f>
        <v/>
      </c>
      <c r="F1538" s="23" t="str">
        <f>IF($A1538="","",'Lot Balance'!$I1537)</f>
        <v/>
      </c>
      <c r="G1538" s="23" t="str">
        <f>IF($A1538="","",'Lot Balance'!$O1537)</f>
        <v/>
      </c>
      <c r="H1538" s="33" t="str">
        <f>IF($A1538="","",'Lot Balance'!$P1537)</f>
        <v/>
      </c>
      <c r="I1538" s="26" t="str">
        <f>IF($A1538="","",COUNTIFS(tblIssues[Lot Number],$B1538))</f>
        <v/>
      </c>
      <c r="J1538" s="31" t="str">
        <f>IF($A1538="","",IF('Lot Balance'!$O1537&lt;=0,"Depleted",'Lot Balance'!$Q1537))</f>
        <v/>
      </c>
    </row>
    <row r="1539" spans="1:10" x14ac:dyDescent="0.35">
      <c r="A1539" s="18" t="str">
        <f>IF('Lot Balance'!$A1538="","",'Lot Balance'!$A1538)</f>
        <v/>
      </c>
      <c r="B1539" s="18" t="str">
        <f>IF($A1539="","",'Lot Balance'!$B1538)</f>
        <v/>
      </c>
      <c r="C1539" s="18" t="str">
        <f>IF($A1539="","",'Lot Balance'!$C1538)</f>
        <v/>
      </c>
      <c r="D1539" s="25" t="str">
        <f>IF($A1539="","",'Lot Balance'!$G1538)</f>
        <v/>
      </c>
      <c r="E1539" s="25" t="str">
        <f>IF($A1539="","",'Lot Balance'!$H1538)</f>
        <v/>
      </c>
      <c r="F1539" s="23" t="str">
        <f>IF($A1539="","",'Lot Balance'!$I1538)</f>
        <v/>
      </c>
      <c r="G1539" s="23" t="str">
        <f>IF($A1539="","",'Lot Balance'!$O1538)</f>
        <v/>
      </c>
      <c r="H1539" s="33" t="str">
        <f>IF($A1539="","",'Lot Balance'!$P1538)</f>
        <v/>
      </c>
      <c r="I1539" s="26" t="str">
        <f>IF($A1539="","",COUNTIFS(tblIssues[Lot Number],$B1539))</f>
        <v/>
      </c>
      <c r="J1539" s="31" t="str">
        <f>IF($A1539="","",IF('Lot Balance'!$O1538&lt;=0,"Depleted",'Lot Balance'!$Q1538))</f>
        <v/>
      </c>
    </row>
    <row r="1540" spans="1:10" x14ac:dyDescent="0.35">
      <c r="A1540" s="18" t="str">
        <f>IF('Lot Balance'!$A1539="","",'Lot Balance'!$A1539)</f>
        <v/>
      </c>
      <c r="B1540" s="18" t="str">
        <f>IF($A1540="","",'Lot Balance'!$B1539)</f>
        <v/>
      </c>
      <c r="C1540" s="18" t="str">
        <f>IF($A1540="","",'Lot Balance'!$C1539)</f>
        <v/>
      </c>
      <c r="D1540" s="25" t="str">
        <f>IF($A1540="","",'Lot Balance'!$G1539)</f>
        <v/>
      </c>
      <c r="E1540" s="25" t="str">
        <f>IF($A1540="","",'Lot Balance'!$H1539)</f>
        <v/>
      </c>
      <c r="F1540" s="23" t="str">
        <f>IF($A1540="","",'Lot Balance'!$I1539)</f>
        <v/>
      </c>
      <c r="G1540" s="23" t="str">
        <f>IF($A1540="","",'Lot Balance'!$O1539)</f>
        <v/>
      </c>
      <c r="H1540" s="33" t="str">
        <f>IF($A1540="","",'Lot Balance'!$P1539)</f>
        <v/>
      </c>
      <c r="I1540" s="26" t="str">
        <f>IF($A1540="","",COUNTIFS(tblIssues[Lot Number],$B1540))</f>
        <v/>
      </c>
      <c r="J1540" s="31" t="str">
        <f>IF($A1540="","",IF('Lot Balance'!$O1539&lt;=0,"Depleted",'Lot Balance'!$Q1539))</f>
        <v/>
      </c>
    </row>
    <row r="1541" spans="1:10" x14ac:dyDescent="0.35">
      <c r="A1541" s="18" t="str">
        <f>IF('Lot Balance'!$A1540="","",'Lot Balance'!$A1540)</f>
        <v/>
      </c>
      <c r="B1541" s="18" t="str">
        <f>IF($A1541="","",'Lot Balance'!$B1540)</f>
        <v/>
      </c>
      <c r="C1541" s="18" t="str">
        <f>IF($A1541="","",'Lot Balance'!$C1540)</f>
        <v/>
      </c>
      <c r="D1541" s="25" t="str">
        <f>IF($A1541="","",'Lot Balance'!$G1540)</f>
        <v/>
      </c>
      <c r="E1541" s="25" t="str">
        <f>IF($A1541="","",'Lot Balance'!$H1540)</f>
        <v/>
      </c>
      <c r="F1541" s="23" t="str">
        <f>IF($A1541="","",'Lot Balance'!$I1540)</f>
        <v/>
      </c>
      <c r="G1541" s="23" t="str">
        <f>IF($A1541="","",'Lot Balance'!$O1540)</f>
        <v/>
      </c>
      <c r="H1541" s="33" t="str">
        <f>IF($A1541="","",'Lot Balance'!$P1540)</f>
        <v/>
      </c>
      <c r="I1541" s="26" t="str">
        <f>IF($A1541="","",COUNTIFS(tblIssues[Lot Number],$B1541))</f>
        <v/>
      </c>
      <c r="J1541" s="31" t="str">
        <f>IF($A1541="","",IF('Lot Balance'!$O1540&lt;=0,"Depleted",'Lot Balance'!$Q1540))</f>
        <v/>
      </c>
    </row>
    <row r="1542" spans="1:10" x14ac:dyDescent="0.35">
      <c r="A1542" s="18" t="str">
        <f>IF('Lot Balance'!$A1541="","",'Lot Balance'!$A1541)</f>
        <v/>
      </c>
      <c r="B1542" s="18" t="str">
        <f>IF($A1542="","",'Lot Balance'!$B1541)</f>
        <v/>
      </c>
      <c r="C1542" s="18" t="str">
        <f>IF($A1542="","",'Lot Balance'!$C1541)</f>
        <v/>
      </c>
      <c r="D1542" s="25" t="str">
        <f>IF($A1542="","",'Lot Balance'!$G1541)</f>
        <v/>
      </c>
      <c r="E1542" s="25" t="str">
        <f>IF($A1542="","",'Lot Balance'!$H1541)</f>
        <v/>
      </c>
      <c r="F1542" s="23" t="str">
        <f>IF($A1542="","",'Lot Balance'!$I1541)</f>
        <v/>
      </c>
      <c r="G1542" s="23" t="str">
        <f>IF($A1542="","",'Lot Balance'!$O1541)</f>
        <v/>
      </c>
      <c r="H1542" s="33" t="str">
        <f>IF($A1542="","",'Lot Balance'!$P1541)</f>
        <v/>
      </c>
      <c r="I1542" s="26" t="str">
        <f>IF($A1542="","",COUNTIFS(tblIssues[Lot Number],$B1542))</f>
        <v/>
      </c>
      <c r="J1542" s="31" t="str">
        <f>IF($A1542="","",IF('Lot Balance'!$O1541&lt;=0,"Depleted",'Lot Balance'!$Q1541))</f>
        <v/>
      </c>
    </row>
    <row r="1543" spans="1:10" x14ac:dyDescent="0.35">
      <c r="A1543" s="18" t="str">
        <f>IF('Lot Balance'!$A1542="","",'Lot Balance'!$A1542)</f>
        <v/>
      </c>
      <c r="B1543" s="18" t="str">
        <f>IF($A1543="","",'Lot Balance'!$B1542)</f>
        <v/>
      </c>
      <c r="C1543" s="18" t="str">
        <f>IF($A1543="","",'Lot Balance'!$C1542)</f>
        <v/>
      </c>
      <c r="D1543" s="25" t="str">
        <f>IF($A1543="","",'Lot Balance'!$G1542)</f>
        <v/>
      </c>
      <c r="E1543" s="25" t="str">
        <f>IF($A1543="","",'Lot Balance'!$H1542)</f>
        <v/>
      </c>
      <c r="F1543" s="23" t="str">
        <f>IF($A1543="","",'Lot Balance'!$I1542)</f>
        <v/>
      </c>
      <c r="G1543" s="23" t="str">
        <f>IF($A1543="","",'Lot Balance'!$O1542)</f>
        <v/>
      </c>
      <c r="H1543" s="33" t="str">
        <f>IF($A1543="","",'Lot Balance'!$P1542)</f>
        <v/>
      </c>
      <c r="I1543" s="26" t="str">
        <f>IF($A1543="","",COUNTIFS(tblIssues[Lot Number],$B1543))</f>
        <v/>
      </c>
      <c r="J1543" s="31" t="str">
        <f>IF($A1543="","",IF('Lot Balance'!$O1542&lt;=0,"Depleted",'Lot Balance'!$Q1542))</f>
        <v/>
      </c>
    </row>
    <row r="1544" spans="1:10" x14ac:dyDescent="0.35">
      <c r="A1544" s="18" t="str">
        <f>IF('Lot Balance'!$A1543="","",'Lot Balance'!$A1543)</f>
        <v/>
      </c>
      <c r="B1544" s="18" t="str">
        <f>IF($A1544="","",'Lot Balance'!$B1543)</f>
        <v/>
      </c>
      <c r="C1544" s="18" t="str">
        <f>IF($A1544="","",'Lot Balance'!$C1543)</f>
        <v/>
      </c>
      <c r="D1544" s="25" t="str">
        <f>IF($A1544="","",'Lot Balance'!$G1543)</f>
        <v/>
      </c>
      <c r="E1544" s="25" t="str">
        <f>IF($A1544="","",'Lot Balance'!$H1543)</f>
        <v/>
      </c>
      <c r="F1544" s="23" t="str">
        <f>IF($A1544="","",'Lot Balance'!$I1543)</f>
        <v/>
      </c>
      <c r="G1544" s="23" t="str">
        <f>IF($A1544="","",'Lot Balance'!$O1543)</f>
        <v/>
      </c>
      <c r="H1544" s="33" t="str">
        <f>IF($A1544="","",'Lot Balance'!$P1543)</f>
        <v/>
      </c>
      <c r="I1544" s="26" t="str">
        <f>IF($A1544="","",COUNTIFS(tblIssues[Lot Number],$B1544))</f>
        <v/>
      </c>
      <c r="J1544" s="31" t="str">
        <f>IF($A1544="","",IF('Lot Balance'!$O1543&lt;=0,"Depleted",'Lot Balance'!$Q1543))</f>
        <v/>
      </c>
    </row>
    <row r="1545" spans="1:10" x14ac:dyDescent="0.35">
      <c r="A1545" s="18" t="str">
        <f>IF('Lot Balance'!$A1544="","",'Lot Balance'!$A1544)</f>
        <v/>
      </c>
      <c r="B1545" s="18" t="str">
        <f>IF($A1545="","",'Lot Balance'!$B1544)</f>
        <v/>
      </c>
      <c r="C1545" s="18" t="str">
        <f>IF($A1545="","",'Lot Balance'!$C1544)</f>
        <v/>
      </c>
      <c r="D1545" s="25" t="str">
        <f>IF($A1545="","",'Lot Balance'!$G1544)</f>
        <v/>
      </c>
      <c r="E1545" s="25" t="str">
        <f>IF($A1545="","",'Lot Balance'!$H1544)</f>
        <v/>
      </c>
      <c r="F1545" s="23" t="str">
        <f>IF($A1545="","",'Lot Balance'!$I1544)</f>
        <v/>
      </c>
      <c r="G1545" s="23" t="str">
        <f>IF($A1545="","",'Lot Balance'!$O1544)</f>
        <v/>
      </c>
      <c r="H1545" s="33" t="str">
        <f>IF($A1545="","",'Lot Balance'!$P1544)</f>
        <v/>
      </c>
      <c r="I1545" s="26" t="str">
        <f>IF($A1545="","",COUNTIFS(tblIssues[Lot Number],$B1545))</f>
        <v/>
      </c>
      <c r="J1545" s="31" t="str">
        <f>IF($A1545="","",IF('Lot Balance'!$O1544&lt;=0,"Depleted",'Lot Balance'!$Q1544))</f>
        <v/>
      </c>
    </row>
    <row r="1546" spans="1:10" x14ac:dyDescent="0.35">
      <c r="A1546" s="18" t="str">
        <f>IF('Lot Balance'!$A1545="","",'Lot Balance'!$A1545)</f>
        <v/>
      </c>
      <c r="B1546" s="18" t="str">
        <f>IF($A1546="","",'Lot Balance'!$B1545)</f>
        <v/>
      </c>
      <c r="C1546" s="18" t="str">
        <f>IF($A1546="","",'Lot Balance'!$C1545)</f>
        <v/>
      </c>
      <c r="D1546" s="25" t="str">
        <f>IF($A1546="","",'Lot Balance'!$G1545)</f>
        <v/>
      </c>
      <c r="E1546" s="25" t="str">
        <f>IF($A1546="","",'Lot Balance'!$H1545)</f>
        <v/>
      </c>
      <c r="F1546" s="23" t="str">
        <f>IF($A1546="","",'Lot Balance'!$I1545)</f>
        <v/>
      </c>
      <c r="G1546" s="23" t="str">
        <f>IF($A1546="","",'Lot Balance'!$O1545)</f>
        <v/>
      </c>
      <c r="H1546" s="33" t="str">
        <f>IF($A1546="","",'Lot Balance'!$P1545)</f>
        <v/>
      </c>
      <c r="I1546" s="26" t="str">
        <f>IF($A1546="","",COUNTIFS(tblIssues[Lot Number],$B1546))</f>
        <v/>
      </c>
      <c r="J1546" s="31" t="str">
        <f>IF($A1546="","",IF('Lot Balance'!$O1545&lt;=0,"Depleted",'Lot Balance'!$Q1545))</f>
        <v/>
      </c>
    </row>
    <row r="1547" spans="1:10" x14ac:dyDescent="0.35">
      <c r="A1547" s="18" t="str">
        <f>IF('Lot Balance'!$A1546="","",'Lot Balance'!$A1546)</f>
        <v/>
      </c>
      <c r="B1547" s="18" t="str">
        <f>IF($A1547="","",'Lot Balance'!$B1546)</f>
        <v/>
      </c>
      <c r="C1547" s="18" t="str">
        <f>IF($A1547="","",'Lot Balance'!$C1546)</f>
        <v/>
      </c>
      <c r="D1547" s="25" t="str">
        <f>IF($A1547="","",'Lot Balance'!$G1546)</f>
        <v/>
      </c>
      <c r="E1547" s="25" t="str">
        <f>IF($A1547="","",'Lot Balance'!$H1546)</f>
        <v/>
      </c>
      <c r="F1547" s="23" t="str">
        <f>IF($A1547="","",'Lot Balance'!$I1546)</f>
        <v/>
      </c>
      <c r="G1547" s="23" t="str">
        <f>IF($A1547="","",'Lot Balance'!$O1546)</f>
        <v/>
      </c>
      <c r="H1547" s="33" t="str">
        <f>IF($A1547="","",'Lot Balance'!$P1546)</f>
        <v/>
      </c>
      <c r="I1547" s="26" t="str">
        <f>IF($A1547="","",COUNTIFS(tblIssues[Lot Number],$B1547))</f>
        <v/>
      </c>
      <c r="J1547" s="31" t="str">
        <f>IF($A1547="","",IF('Lot Balance'!$O1546&lt;=0,"Depleted",'Lot Balance'!$Q1546))</f>
        <v/>
      </c>
    </row>
    <row r="1548" spans="1:10" x14ac:dyDescent="0.35">
      <c r="A1548" s="18" t="str">
        <f>IF('Lot Balance'!$A1547="","",'Lot Balance'!$A1547)</f>
        <v/>
      </c>
      <c r="B1548" s="18" t="str">
        <f>IF($A1548="","",'Lot Balance'!$B1547)</f>
        <v/>
      </c>
      <c r="C1548" s="18" t="str">
        <f>IF($A1548="","",'Lot Balance'!$C1547)</f>
        <v/>
      </c>
      <c r="D1548" s="25" t="str">
        <f>IF($A1548="","",'Lot Balance'!$G1547)</f>
        <v/>
      </c>
      <c r="E1548" s="25" t="str">
        <f>IF($A1548="","",'Lot Balance'!$H1547)</f>
        <v/>
      </c>
      <c r="F1548" s="23" t="str">
        <f>IF($A1548="","",'Lot Balance'!$I1547)</f>
        <v/>
      </c>
      <c r="G1548" s="23" t="str">
        <f>IF($A1548="","",'Lot Balance'!$O1547)</f>
        <v/>
      </c>
      <c r="H1548" s="33" t="str">
        <f>IF($A1548="","",'Lot Balance'!$P1547)</f>
        <v/>
      </c>
      <c r="I1548" s="26" t="str">
        <f>IF($A1548="","",COUNTIFS(tblIssues[Lot Number],$B1548))</f>
        <v/>
      </c>
      <c r="J1548" s="31" t="str">
        <f>IF($A1548="","",IF('Lot Balance'!$O1547&lt;=0,"Depleted",'Lot Balance'!$Q1547))</f>
        <v/>
      </c>
    </row>
    <row r="1549" spans="1:10" x14ac:dyDescent="0.35">
      <c r="A1549" s="18" t="str">
        <f>IF('Lot Balance'!$A1548="","",'Lot Balance'!$A1548)</f>
        <v/>
      </c>
      <c r="B1549" s="18" t="str">
        <f>IF($A1549="","",'Lot Balance'!$B1548)</f>
        <v/>
      </c>
      <c r="C1549" s="18" t="str">
        <f>IF($A1549="","",'Lot Balance'!$C1548)</f>
        <v/>
      </c>
      <c r="D1549" s="25" t="str">
        <f>IF($A1549="","",'Lot Balance'!$G1548)</f>
        <v/>
      </c>
      <c r="E1549" s="25" t="str">
        <f>IF($A1549="","",'Lot Balance'!$H1548)</f>
        <v/>
      </c>
      <c r="F1549" s="23" t="str">
        <f>IF($A1549="","",'Lot Balance'!$I1548)</f>
        <v/>
      </c>
      <c r="G1549" s="23" t="str">
        <f>IF($A1549="","",'Lot Balance'!$O1548)</f>
        <v/>
      </c>
      <c r="H1549" s="33" t="str">
        <f>IF($A1549="","",'Lot Balance'!$P1548)</f>
        <v/>
      </c>
      <c r="I1549" s="26" t="str">
        <f>IF($A1549="","",COUNTIFS(tblIssues[Lot Number],$B1549))</f>
        <v/>
      </c>
      <c r="J1549" s="31" t="str">
        <f>IF($A1549="","",IF('Lot Balance'!$O1548&lt;=0,"Depleted",'Lot Balance'!$Q1548))</f>
        <v/>
      </c>
    </row>
    <row r="1550" spans="1:10" x14ac:dyDescent="0.35">
      <c r="A1550" s="18" t="str">
        <f>IF('Lot Balance'!$A1549="","",'Lot Balance'!$A1549)</f>
        <v/>
      </c>
      <c r="B1550" s="18" t="str">
        <f>IF($A1550="","",'Lot Balance'!$B1549)</f>
        <v/>
      </c>
      <c r="C1550" s="18" t="str">
        <f>IF($A1550="","",'Lot Balance'!$C1549)</f>
        <v/>
      </c>
      <c r="D1550" s="25" t="str">
        <f>IF($A1550="","",'Lot Balance'!$G1549)</f>
        <v/>
      </c>
      <c r="E1550" s="25" t="str">
        <f>IF($A1550="","",'Lot Balance'!$H1549)</f>
        <v/>
      </c>
      <c r="F1550" s="23" t="str">
        <f>IF($A1550="","",'Lot Balance'!$I1549)</f>
        <v/>
      </c>
      <c r="G1550" s="23" t="str">
        <f>IF($A1550="","",'Lot Balance'!$O1549)</f>
        <v/>
      </c>
      <c r="H1550" s="33" t="str">
        <f>IF($A1550="","",'Lot Balance'!$P1549)</f>
        <v/>
      </c>
      <c r="I1550" s="26" t="str">
        <f>IF($A1550="","",COUNTIFS(tblIssues[Lot Number],$B1550))</f>
        <v/>
      </c>
      <c r="J1550" s="31" t="str">
        <f>IF($A1550="","",IF('Lot Balance'!$O1549&lt;=0,"Depleted",'Lot Balance'!$Q1549))</f>
        <v/>
      </c>
    </row>
    <row r="1551" spans="1:10" x14ac:dyDescent="0.35">
      <c r="A1551" s="18" t="str">
        <f>IF('Lot Balance'!$A1550="","",'Lot Balance'!$A1550)</f>
        <v/>
      </c>
      <c r="B1551" s="18" t="str">
        <f>IF($A1551="","",'Lot Balance'!$B1550)</f>
        <v/>
      </c>
      <c r="C1551" s="18" t="str">
        <f>IF($A1551="","",'Lot Balance'!$C1550)</f>
        <v/>
      </c>
      <c r="D1551" s="25" t="str">
        <f>IF($A1551="","",'Lot Balance'!$G1550)</f>
        <v/>
      </c>
      <c r="E1551" s="25" t="str">
        <f>IF($A1551="","",'Lot Balance'!$H1550)</f>
        <v/>
      </c>
      <c r="F1551" s="23" t="str">
        <f>IF($A1551="","",'Lot Balance'!$I1550)</f>
        <v/>
      </c>
      <c r="G1551" s="23" t="str">
        <f>IF($A1551="","",'Lot Balance'!$O1550)</f>
        <v/>
      </c>
      <c r="H1551" s="33" t="str">
        <f>IF($A1551="","",'Lot Balance'!$P1550)</f>
        <v/>
      </c>
      <c r="I1551" s="26" t="str">
        <f>IF($A1551="","",COUNTIFS(tblIssues[Lot Number],$B1551))</f>
        <v/>
      </c>
      <c r="J1551" s="31" t="str">
        <f>IF($A1551="","",IF('Lot Balance'!$O1550&lt;=0,"Depleted",'Lot Balance'!$Q1550))</f>
        <v/>
      </c>
    </row>
    <row r="1552" spans="1:10" x14ac:dyDescent="0.35">
      <c r="A1552" s="18" t="str">
        <f>IF('Lot Balance'!$A1551="","",'Lot Balance'!$A1551)</f>
        <v/>
      </c>
      <c r="B1552" s="18" t="str">
        <f>IF($A1552="","",'Lot Balance'!$B1551)</f>
        <v/>
      </c>
      <c r="C1552" s="18" t="str">
        <f>IF($A1552="","",'Lot Balance'!$C1551)</f>
        <v/>
      </c>
      <c r="D1552" s="25" t="str">
        <f>IF($A1552="","",'Lot Balance'!$G1551)</f>
        <v/>
      </c>
      <c r="E1552" s="25" t="str">
        <f>IF($A1552="","",'Lot Balance'!$H1551)</f>
        <v/>
      </c>
      <c r="F1552" s="23" t="str">
        <f>IF($A1552="","",'Lot Balance'!$I1551)</f>
        <v/>
      </c>
      <c r="G1552" s="23" t="str">
        <f>IF($A1552="","",'Lot Balance'!$O1551)</f>
        <v/>
      </c>
      <c r="H1552" s="33" t="str">
        <f>IF($A1552="","",'Lot Balance'!$P1551)</f>
        <v/>
      </c>
      <c r="I1552" s="26" t="str">
        <f>IF($A1552="","",COUNTIFS(tblIssues[Lot Number],$B1552))</f>
        <v/>
      </c>
      <c r="J1552" s="31" t="str">
        <f>IF($A1552="","",IF('Lot Balance'!$O1551&lt;=0,"Depleted",'Lot Balance'!$Q1551))</f>
        <v/>
      </c>
    </row>
    <row r="1553" spans="1:10" x14ac:dyDescent="0.35">
      <c r="A1553" s="18" t="str">
        <f>IF('Lot Balance'!$A1552="","",'Lot Balance'!$A1552)</f>
        <v/>
      </c>
      <c r="B1553" s="18" t="str">
        <f>IF($A1553="","",'Lot Balance'!$B1552)</f>
        <v/>
      </c>
      <c r="C1553" s="18" t="str">
        <f>IF($A1553="","",'Lot Balance'!$C1552)</f>
        <v/>
      </c>
      <c r="D1553" s="25" t="str">
        <f>IF($A1553="","",'Lot Balance'!$G1552)</f>
        <v/>
      </c>
      <c r="E1553" s="25" t="str">
        <f>IF($A1553="","",'Lot Balance'!$H1552)</f>
        <v/>
      </c>
      <c r="F1553" s="23" t="str">
        <f>IF($A1553="","",'Lot Balance'!$I1552)</f>
        <v/>
      </c>
      <c r="G1553" s="23" t="str">
        <f>IF($A1553="","",'Lot Balance'!$O1552)</f>
        <v/>
      </c>
      <c r="H1553" s="33" t="str">
        <f>IF($A1553="","",'Lot Balance'!$P1552)</f>
        <v/>
      </c>
      <c r="I1553" s="26" t="str">
        <f>IF($A1553="","",COUNTIFS(tblIssues[Lot Number],$B1553))</f>
        <v/>
      </c>
      <c r="J1553" s="31" t="str">
        <f>IF($A1553="","",IF('Lot Balance'!$O1552&lt;=0,"Depleted",'Lot Balance'!$Q1552))</f>
        <v/>
      </c>
    </row>
    <row r="1554" spans="1:10" x14ac:dyDescent="0.35">
      <c r="A1554" s="18" t="str">
        <f>IF('Lot Balance'!$A1553="","",'Lot Balance'!$A1553)</f>
        <v/>
      </c>
      <c r="B1554" s="18" t="str">
        <f>IF($A1554="","",'Lot Balance'!$B1553)</f>
        <v/>
      </c>
      <c r="C1554" s="18" t="str">
        <f>IF($A1554="","",'Lot Balance'!$C1553)</f>
        <v/>
      </c>
      <c r="D1554" s="25" t="str">
        <f>IF($A1554="","",'Lot Balance'!$G1553)</f>
        <v/>
      </c>
      <c r="E1554" s="25" t="str">
        <f>IF($A1554="","",'Lot Balance'!$H1553)</f>
        <v/>
      </c>
      <c r="F1554" s="23" t="str">
        <f>IF($A1554="","",'Lot Balance'!$I1553)</f>
        <v/>
      </c>
      <c r="G1554" s="23" t="str">
        <f>IF($A1554="","",'Lot Balance'!$O1553)</f>
        <v/>
      </c>
      <c r="H1554" s="33" t="str">
        <f>IF($A1554="","",'Lot Balance'!$P1553)</f>
        <v/>
      </c>
      <c r="I1554" s="26" t="str">
        <f>IF($A1554="","",COUNTIFS(tblIssues[Lot Number],$B1554))</f>
        <v/>
      </c>
      <c r="J1554" s="31" t="str">
        <f>IF($A1554="","",IF('Lot Balance'!$O1553&lt;=0,"Depleted",'Lot Balance'!$Q1553))</f>
        <v/>
      </c>
    </row>
    <row r="1555" spans="1:10" x14ac:dyDescent="0.35">
      <c r="A1555" s="18" t="str">
        <f>IF('Lot Balance'!$A1554="","",'Lot Balance'!$A1554)</f>
        <v/>
      </c>
      <c r="B1555" s="18" t="str">
        <f>IF($A1555="","",'Lot Balance'!$B1554)</f>
        <v/>
      </c>
      <c r="C1555" s="18" t="str">
        <f>IF($A1555="","",'Lot Balance'!$C1554)</f>
        <v/>
      </c>
      <c r="D1555" s="25" t="str">
        <f>IF($A1555="","",'Lot Balance'!$G1554)</f>
        <v/>
      </c>
      <c r="E1555" s="25" t="str">
        <f>IF($A1555="","",'Lot Balance'!$H1554)</f>
        <v/>
      </c>
      <c r="F1555" s="23" t="str">
        <f>IF($A1555="","",'Lot Balance'!$I1554)</f>
        <v/>
      </c>
      <c r="G1555" s="23" t="str">
        <f>IF($A1555="","",'Lot Balance'!$O1554)</f>
        <v/>
      </c>
      <c r="H1555" s="33" t="str">
        <f>IF($A1555="","",'Lot Balance'!$P1554)</f>
        <v/>
      </c>
      <c r="I1555" s="26" t="str">
        <f>IF($A1555="","",COUNTIFS(tblIssues[Lot Number],$B1555))</f>
        <v/>
      </c>
      <c r="J1555" s="31" t="str">
        <f>IF($A1555="","",IF('Lot Balance'!$O1554&lt;=0,"Depleted",'Lot Balance'!$Q1554))</f>
        <v/>
      </c>
    </row>
    <row r="1556" spans="1:10" x14ac:dyDescent="0.35">
      <c r="A1556" s="18" t="str">
        <f>IF('Lot Balance'!$A1555="","",'Lot Balance'!$A1555)</f>
        <v/>
      </c>
      <c r="B1556" s="18" t="str">
        <f>IF($A1556="","",'Lot Balance'!$B1555)</f>
        <v/>
      </c>
      <c r="C1556" s="18" t="str">
        <f>IF($A1556="","",'Lot Balance'!$C1555)</f>
        <v/>
      </c>
      <c r="D1556" s="25" t="str">
        <f>IF($A1556="","",'Lot Balance'!$G1555)</f>
        <v/>
      </c>
      <c r="E1556" s="25" t="str">
        <f>IF($A1556="","",'Lot Balance'!$H1555)</f>
        <v/>
      </c>
      <c r="F1556" s="23" t="str">
        <f>IF($A1556="","",'Lot Balance'!$I1555)</f>
        <v/>
      </c>
      <c r="G1556" s="23" t="str">
        <f>IF($A1556="","",'Lot Balance'!$O1555)</f>
        <v/>
      </c>
      <c r="H1556" s="33" t="str">
        <f>IF($A1556="","",'Lot Balance'!$P1555)</f>
        <v/>
      </c>
      <c r="I1556" s="26" t="str">
        <f>IF($A1556="","",COUNTIFS(tblIssues[Lot Number],$B1556))</f>
        <v/>
      </c>
      <c r="J1556" s="31" t="str">
        <f>IF($A1556="","",IF('Lot Balance'!$O1555&lt;=0,"Depleted",'Lot Balance'!$Q1555))</f>
        <v/>
      </c>
    </row>
    <row r="1557" spans="1:10" x14ac:dyDescent="0.35">
      <c r="A1557" s="18" t="str">
        <f>IF('Lot Balance'!$A1556="","",'Lot Balance'!$A1556)</f>
        <v/>
      </c>
      <c r="B1557" s="18" t="str">
        <f>IF($A1557="","",'Lot Balance'!$B1556)</f>
        <v/>
      </c>
      <c r="C1557" s="18" t="str">
        <f>IF($A1557="","",'Lot Balance'!$C1556)</f>
        <v/>
      </c>
      <c r="D1557" s="25" t="str">
        <f>IF($A1557="","",'Lot Balance'!$G1556)</f>
        <v/>
      </c>
      <c r="E1557" s="25" t="str">
        <f>IF($A1557="","",'Lot Balance'!$H1556)</f>
        <v/>
      </c>
      <c r="F1557" s="23" t="str">
        <f>IF($A1557="","",'Lot Balance'!$I1556)</f>
        <v/>
      </c>
      <c r="G1557" s="23" t="str">
        <f>IF($A1557="","",'Lot Balance'!$O1556)</f>
        <v/>
      </c>
      <c r="H1557" s="33" t="str">
        <f>IF($A1557="","",'Lot Balance'!$P1556)</f>
        <v/>
      </c>
      <c r="I1557" s="26" t="str">
        <f>IF($A1557="","",COUNTIFS(tblIssues[Lot Number],$B1557))</f>
        <v/>
      </c>
      <c r="J1557" s="31" t="str">
        <f>IF($A1557="","",IF('Lot Balance'!$O1556&lt;=0,"Depleted",'Lot Balance'!$Q1556))</f>
        <v/>
      </c>
    </row>
    <row r="1558" spans="1:10" x14ac:dyDescent="0.35">
      <c r="A1558" s="18" t="str">
        <f>IF('Lot Balance'!$A1557="","",'Lot Balance'!$A1557)</f>
        <v/>
      </c>
      <c r="B1558" s="18" t="str">
        <f>IF($A1558="","",'Lot Balance'!$B1557)</f>
        <v/>
      </c>
      <c r="C1558" s="18" t="str">
        <f>IF($A1558="","",'Lot Balance'!$C1557)</f>
        <v/>
      </c>
      <c r="D1558" s="25" t="str">
        <f>IF($A1558="","",'Lot Balance'!$G1557)</f>
        <v/>
      </c>
      <c r="E1558" s="25" t="str">
        <f>IF($A1558="","",'Lot Balance'!$H1557)</f>
        <v/>
      </c>
      <c r="F1558" s="23" t="str">
        <f>IF($A1558="","",'Lot Balance'!$I1557)</f>
        <v/>
      </c>
      <c r="G1558" s="23" t="str">
        <f>IF($A1558="","",'Lot Balance'!$O1557)</f>
        <v/>
      </c>
      <c r="H1558" s="33" t="str">
        <f>IF($A1558="","",'Lot Balance'!$P1557)</f>
        <v/>
      </c>
      <c r="I1558" s="26" t="str">
        <f>IF($A1558="","",COUNTIFS(tblIssues[Lot Number],$B1558))</f>
        <v/>
      </c>
      <c r="J1558" s="31" t="str">
        <f>IF($A1558="","",IF('Lot Balance'!$O1557&lt;=0,"Depleted",'Lot Balance'!$Q1557))</f>
        <v/>
      </c>
    </row>
    <row r="1559" spans="1:10" x14ac:dyDescent="0.35">
      <c r="A1559" s="18" t="str">
        <f>IF('Lot Balance'!$A1558="","",'Lot Balance'!$A1558)</f>
        <v/>
      </c>
      <c r="B1559" s="18" t="str">
        <f>IF($A1559="","",'Lot Balance'!$B1558)</f>
        <v/>
      </c>
      <c r="C1559" s="18" t="str">
        <f>IF($A1559="","",'Lot Balance'!$C1558)</f>
        <v/>
      </c>
      <c r="D1559" s="25" t="str">
        <f>IF($A1559="","",'Lot Balance'!$G1558)</f>
        <v/>
      </c>
      <c r="E1559" s="25" t="str">
        <f>IF($A1559="","",'Lot Balance'!$H1558)</f>
        <v/>
      </c>
      <c r="F1559" s="23" t="str">
        <f>IF($A1559="","",'Lot Balance'!$I1558)</f>
        <v/>
      </c>
      <c r="G1559" s="23" t="str">
        <f>IF($A1559="","",'Lot Balance'!$O1558)</f>
        <v/>
      </c>
      <c r="H1559" s="33" t="str">
        <f>IF($A1559="","",'Lot Balance'!$P1558)</f>
        <v/>
      </c>
      <c r="I1559" s="26" t="str">
        <f>IF($A1559="","",COUNTIFS(tblIssues[Lot Number],$B1559))</f>
        <v/>
      </c>
      <c r="J1559" s="31" t="str">
        <f>IF($A1559="","",IF('Lot Balance'!$O1558&lt;=0,"Depleted",'Lot Balance'!$Q1558))</f>
        <v/>
      </c>
    </row>
    <row r="1560" spans="1:10" x14ac:dyDescent="0.35">
      <c r="A1560" s="18" t="str">
        <f>IF('Lot Balance'!$A1559="","",'Lot Balance'!$A1559)</f>
        <v/>
      </c>
      <c r="B1560" s="18" t="str">
        <f>IF($A1560="","",'Lot Balance'!$B1559)</f>
        <v/>
      </c>
      <c r="C1560" s="18" t="str">
        <f>IF($A1560="","",'Lot Balance'!$C1559)</f>
        <v/>
      </c>
      <c r="D1560" s="25" t="str">
        <f>IF($A1560="","",'Lot Balance'!$G1559)</f>
        <v/>
      </c>
      <c r="E1560" s="25" t="str">
        <f>IF($A1560="","",'Lot Balance'!$H1559)</f>
        <v/>
      </c>
      <c r="F1560" s="23" t="str">
        <f>IF($A1560="","",'Lot Balance'!$I1559)</f>
        <v/>
      </c>
      <c r="G1560" s="23" t="str">
        <f>IF($A1560="","",'Lot Balance'!$O1559)</f>
        <v/>
      </c>
      <c r="H1560" s="33" t="str">
        <f>IF($A1560="","",'Lot Balance'!$P1559)</f>
        <v/>
      </c>
      <c r="I1560" s="26" t="str">
        <f>IF($A1560="","",COUNTIFS(tblIssues[Lot Number],$B1560))</f>
        <v/>
      </c>
      <c r="J1560" s="31" t="str">
        <f>IF($A1560="","",IF('Lot Balance'!$O1559&lt;=0,"Depleted",'Lot Balance'!$Q1559))</f>
        <v/>
      </c>
    </row>
    <row r="1561" spans="1:10" x14ac:dyDescent="0.35">
      <c r="A1561" s="18" t="str">
        <f>IF('Lot Balance'!$A1560="","",'Lot Balance'!$A1560)</f>
        <v/>
      </c>
      <c r="B1561" s="18" t="str">
        <f>IF($A1561="","",'Lot Balance'!$B1560)</f>
        <v/>
      </c>
      <c r="C1561" s="18" t="str">
        <f>IF($A1561="","",'Lot Balance'!$C1560)</f>
        <v/>
      </c>
      <c r="D1561" s="25" t="str">
        <f>IF($A1561="","",'Lot Balance'!$G1560)</f>
        <v/>
      </c>
      <c r="E1561" s="25" t="str">
        <f>IF($A1561="","",'Lot Balance'!$H1560)</f>
        <v/>
      </c>
      <c r="F1561" s="23" t="str">
        <f>IF($A1561="","",'Lot Balance'!$I1560)</f>
        <v/>
      </c>
      <c r="G1561" s="23" t="str">
        <f>IF($A1561="","",'Lot Balance'!$O1560)</f>
        <v/>
      </c>
      <c r="H1561" s="33" t="str">
        <f>IF($A1561="","",'Lot Balance'!$P1560)</f>
        <v/>
      </c>
      <c r="I1561" s="26" t="str">
        <f>IF($A1561="","",COUNTIFS(tblIssues[Lot Number],$B1561))</f>
        <v/>
      </c>
      <c r="J1561" s="31" t="str">
        <f>IF($A1561="","",IF('Lot Balance'!$O1560&lt;=0,"Depleted",'Lot Balance'!$Q1560))</f>
        <v/>
      </c>
    </row>
    <row r="1562" spans="1:10" x14ac:dyDescent="0.35">
      <c r="A1562" s="18" t="str">
        <f>IF('Lot Balance'!$A1561="","",'Lot Balance'!$A1561)</f>
        <v/>
      </c>
      <c r="B1562" s="18" t="str">
        <f>IF($A1562="","",'Lot Balance'!$B1561)</f>
        <v/>
      </c>
      <c r="C1562" s="18" t="str">
        <f>IF($A1562="","",'Lot Balance'!$C1561)</f>
        <v/>
      </c>
      <c r="D1562" s="25" t="str">
        <f>IF($A1562="","",'Lot Balance'!$G1561)</f>
        <v/>
      </c>
      <c r="E1562" s="25" t="str">
        <f>IF($A1562="","",'Lot Balance'!$H1561)</f>
        <v/>
      </c>
      <c r="F1562" s="23" t="str">
        <f>IF($A1562="","",'Lot Balance'!$I1561)</f>
        <v/>
      </c>
      <c r="G1562" s="23" t="str">
        <f>IF($A1562="","",'Lot Balance'!$O1561)</f>
        <v/>
      </c>
      <c r="H1562" s="33" t="str">
        <f>IF($A1562="","",'Lot Balance'!$P1561)</f>
        <v/>
      </c>
      <c r="I1562" s="26" t="str">
        <f>IF($A1562="","",COUNTIFS(tblIssues[Lot Number],$B1562))</f>
        <v/>
      </c>
      <c r="J1562" s="31" t="str">
        <f>IF($A1562="","",IF('Lot Balance'!$O1561&lt;=0,"Depleted",'Lot Balance'!$Q1561))</f>
        <v/>
      </c>
    </row>
    <row r="1563" spans="1:10" x14ac:dyDescent="0.35">
      <c r="A1563" s="18" t="str">
        <f>IF('Lot Balance'!$A1562="","",'Lot Balance'!$A1562)</f>
        <v/>
      </c>
      <c r="B1563" s="18" t="str">
        <f>IF($A1563="","",'Lot Balance'!$B1562)</f>
        <v/>
      </c>
      <c r="C1563" s="18" t="str">
        <f>IF($A1563="","",'Lot Balance'!$C1562)</f>
        <v/>
      </c>
      <c r="D1563" s="25" t="str">
        <f>IF($A1563="","",'Lot Balance'!$G1562)</f>
        <v/>
      </c>
      <c r="E1563" s="25" t="str">
        <f>IF($A1563="","",'Lot Balance'!$H1562)</f>
        <v/>
      </c>
      <c r="F1563" s="23" t="str">
        <f>IF($A1563="","",'Lot Balance'!$I1562)</f>
        <v/>
      </c>
      <c r="G1563" s="23" t="str">
        <f>IF($A1563="","",'Lot Balance'!$O1562)</f>
        <v/>
      </c>
      <c r="H1563" s="33" t="str">
        <f>IF($A1563="","",'Lot Balance'!$P1562)</f>
        <v/>
      </c>
      <c r="I1563" s="26" t="str">
        <f>IF($A1563="","",COUNTIFS(tblIssues[Lot Number],$B1563))</f>
        <v/>
      </c>
      <c r="J1563" s="31" t="str">
        <f>IF($A1563="","",IF('Lot Balance'!$O1562&lt;=0,"Depleted",'Lot Balance'!$Q1562))</f>
        <v/>
      </c>
    </row>
    <row r="1564" spans="1:10" x14ac:dyDescent="0.35">
      <c r="A1564" s="18" t="str">
        <f>IF('Lot Balance'!$A1563="","",'Lot Balance'!$A1563)</f>
        <v/>
      </c>
      <c r="B1564" s="18" t="str">
        <f>IF($A1564="","",'Lot Balance'!$B1563)</f>
        <v/>
      </c>
      <c r="C1564" s="18" t="str">
        <f>IF($A1564="","",'Lot Balance'!$C1563)</f>
        <v/>
      </c>
      <c r="D1564" s="25" t="str">
        <f>IF($A1564="","",'Lot Balance'!$G1563)</f>
        <v/>
      </c>
      <c r="E1564" s="25" t="str">
        <f>IF($A1564="","",'Lot Balance'!$H1563)</f>
        <v/>
      </c>
      <c r="F1564" s="23" t="str">
        <f>IF($A1564="","",'Lot Balance'!$I1563)</f>
        <v/>
      </c>
      <c r="G1564" s="23" t="str">
        <f>IF($A1564="","",'Lot Balance'!$O1563)</f>
        <v/>
      </c>
      <c r="H1564" s="33" t="str">
        <f>IF($A1564="","",'Lot Balance'!$P1563)</f>
        <v/>
      </c>
      <c r="I1564" s="26" t="str">
        <f>IF($A1564="","",COUNTIFS(tblIssues[Lot Number],$B1564))</f>
        <v/>
      </c>
      <c r="J1564" s="31" t="str">
        <f>IF($A1564="","",IF('Lot Balance'!$O1563&lt;=0,"Depleted",'Lot Balance'!$Q1563))</f>
        <v/>
      </c>
    </row>
    <row r="1565" spans="1:10" x14ac:dyDescent="0.35">
      <c r="A1565" s="18" t="str">
        <f>IF('Lot Balance'!$A1564="","",'Lot Balance'!$A1564)</f>
        <v/>
      </c>
      <c r="B1565" s="18" t="str">
        <f>IF($A1565="","",'Lot Balance'!$B1564)</f>
        <v/>
      </c>
      <c r="C1565" s="18" t="str">
        <f>IF($A1565="","",'Lot Balance'!$C1564)</f>
        <v/>
      </c>
      <c r="D1565" s="25" t="str">
        <f>IF($A1565="","",'Lot Balance'!$G1564)</f>
        <v/>
      </c>
      <c r="E1565" s="25" t="str">
        <f>IF($A1565="","",'Lot Balance'!$H1564)</f>
        <v/>
      </c>
      <c r="F1565" s="23" t="str">
        <f>IF($A1565="","",'Lot Balance'!$I1564)</f>
        <v/>
      </c>
      <c r="G1565" s="23" t="str">
        <f>IF($A1565="","",'Lot Balance'!$O1564)</f>
        <v/>
      </c>
      <c r="H1565" s="33" t="str">
        <f>IF($A1565="","",'Lot Balance'!$P1564)</f>
        <v/>
      </c>
      <c r="I1565" s="26" t="str">
        <f>IF($A1565="","",COUNTIFS(tblIssues[Lot Number],$B1565))</f>
        <v/>
      </c>
      <c r="J1565" s="31" t="str">
        <f>IF($A1565="","",IF('Lot Balance'!$O1564&lt;=0,"Depleted",'Lot Balance'!$Q1564))</f>
        <v/>
      </c>
    </row>
    <row r="1566" spans="1:10" x14ac:dyDescent="0.35">
      <c r="A1566" s="18" t="str">
        <f>IF('Lot Balance'!$A1565="","",'Lot Balance'!$A1565)</f>
        <v/>
      </c>
      <c r="B1566" s="18" t="str">
        <f>IF($A1566="","",'Lot Balance'!$B1565)</f>
        <v/>
      </c>
      <c r="C1566" s="18" t="str">
        <f>IF($A1566="","",'Lot Balance'!$C1565)</f>
        <v/>
      </c>
      <c r="D1566" s="25" t="str">
        <f>IF($A1566="","",'Lot Balance'!$G1565)</f>
        <v/>
      </c>
      <c r="E1566" s="25" t="str">
        <f>IF($A1566="","",'Lot Balance'!$H1565)</f>
        <v/>
      </c>
      <c r="F1566" s="23" t="str">
        <f>IF($A1566="","",'Lot Balance'!$I1565)</f>
        <v/>
      </c>
      <c r="G1566" s="23" t="str">
        <f>IF($A1566="","",'Lot Balance'!$O1565)</f>
        <v/>
      </c>
      <c r="H1566" s="33" t="str">
        <f>IF($A1566="","",'Lot Balance'!$P1565)</f>
        <v/>
      </c>
      <c r="I1566" s="26" t="str">
        <f>IF($A1566="","",COUNTIFS(tblIssues[Lot Number],$B1566))</f>
        <v/>
      </c>
      <c r="J1566" s="31" t="str">
        <f>IF($A1566="","",IF('Lot Balance'!$O1565&lt;=0,"Depleted",'Lot Balance'!$Q1565))</f>
        <v/>
      </c>
    </row>
    <row r="1567" spans="1:10" x14ac:dyDescent="0.35">
      <c r="A1567" s="18" t="str">
        <f>IF('Lot Balance'!$A1566="","",'Lot Balance'!$A1566)</f>
        <v/>
      </c>
      <c r="B1567" s="18" t="str">
        <f>IF($A1567="","",'Lot Balance'!$B1566)</f>
        <v/>
      </c>
      <c r="C1567" s="18" t="str">
        <f>IF($A1567="","",'Lot Balance'!$C1566)</f>
        <v/>
      </c>
      <c r="D1567" s="25" t="str">
        <f>IF($A1567="","",'Lot Balance'!$G1566)</f>
        <v/>
      </c>
      <c r="E1567" s="25" t="str">
        <f>IF($A1567="","",'Lot Balance'!$H1566)</f>
        <v/>
      </c>
      <c r="F1567" s="23" t="str">
        <f>IF($A1567="","",'Lot Balance'!$I1566)</f>
        <v/>
      </c>
      <c r="G1567" s="23" t="str">
        <f>IF($A1567="","",'Lot Balance'!$O1566)</f>
        <v/>
      </c>
      <c r="H1567" s="33" t="str">
        <f>IF($A1567="","",'Lot Balance'!$P1566)</f>
        <v/>
      </c>
      <c r="I1567" s="26" t="str">
        <f>IF($A1567="","",COUNTIFS(tblIssues[Lot Number],$B1567))</f>
        <v/>
      </c>
      <c r="J1567" s="31" t="str">
        <f>IF($A1567="","",IF('Lot Balance'!$O1566&lt;=0,"Depleted",'Lot Balance'!$Q1566))</f>
        <v/>
      </c>
    </row>
    <row r="1568" spans="1:10" x14ac:dyDescent="0.35">
      <c r="A1568" s="18" t="str">
        <f>IF('Lot Balance'!$A1567="","",'Lot Balance'!$A1567)</f>
        <v/>
      </c>
      <c r="B1568" s="18" t="str">
        <f>IF($A1568="","",'Lot Balance'!$B1567)</f>
        <v/>
      </c>
      <c r="C1568" s="18" t="str">
        <f>IF($A1568="","",'Lot Balance'!$C1567)</f>
        <v/>
      </c>
      <c r="D1568" s="25" t="str">
        <f>IF($A1568="","",'Lot Balance'!$G1567)</f>
        <v/>
      </c>
      <c r="E1568" s="25" t="str">
        <f>IF($A1568="","",'Lot Balance'!$H1567)</f>
        <v/>
      </c>
      <c r="F1568" s="23" t="str">
        <f>IF($A1568="","",'Lot Balance'!$I1567)</f>
        <v/>
      </c>
      <c r="G1568" s="23" t="str">
        <f>IF($A1568="","",'Lot Balance'!$O1567)</f>
        <v/>
      </c>
      <c r="H1568" s="33" t="str">
        <f>IF($A1568="","",'Lot Balance'!$P1567)</f>
        <v/>
      </c>
      <c r="I1568" s="26" t="str">
        <f>IF($A1568="","",COUNTIFS(tblIssues[Lot Number],$B1568))</f>
        <v/>
      </c>
      <c r="J1568" s="31" t="str">
        <f>IF($A1568="","",IF('Lot Balance'!$O1567&lt;=0,"Depleted",'Lot Balance'!$Q1567))</f>
        <v/>
      </c>
    </row>
    <row r="1569" spans="1:10" x14ac:dyDescent="0.35">
      <c r="A1569" s="18" t="str">
        <f>IF('Lot Balance'!$A1568="","",'Lot Balance'!$A1568)</f>
        <v/>
      </c>
      <c r="B1569" s="18" t="str">
        <f>IF($A1569="","",'Lot Balance'!$B1568)</f>
        <v/>
      </c>
      <c r="C1569" s="18" t="str">
        <f>IF($A1569="","",'Lot Balance'!$C1568)</f>
        <v/>
      </c>
      <c r="D1569" s="25" t="str">
        <f>IF($A1569="","",'Lot Balance'!$G1568)</f>
        <v/>
      </c>
      <c r="E1569" s="25" t="str">
        <f>IF($A1569="","",'Lot Balance'!$H1568)</f>
        <v/>
      </c>
      <c r="F1569" s="23" t="str">
        <f>IF($A1569="","",'Lot Balance'!$I1568)</f>
        <v/>
      </c>
      <c r="G1569" s="23" t="str">
        <f>IF($A1569="","",'Lot Balance'!$O1568)</f>
        <v/>
      </c>
      <c r="H1569" s="33" t="str">
        <f>IF($A1569="","",'Lot Balance'!$P1568)</f>
        <v/>
      </c>
      <c r="I1569" s="26" t="str">
        <f>IF($A1569="","",COUNTIFS(tblIssues[Lot Number],$B1569))</f>
        <v/>
      </c>
      <c r="J1569" s="31" t="str">
        <f>IF($A1569="","",IF('Lot Balance'!$O1568&lt;=0,"Depleted",'Lot Balance'!$Q1568))</f>
        <v/>
      </c>
    </row>
    <row r="1570" spans="1:10" x14ac:dyDescent="0.35">
      <c r="A1570" s="18" t="str">
        <f>IF('Lot Balance'!$A1569="","",'Lot Balance'!$A1569)</f>
        <v/>
      </c>
      <c r="B1570" s="18" t="str">
        <f>IF($A1570="","",'Lot Balance'!$B1569)</f>
        <v/>
      </c>
      <c r="C1570" s="18" t="str">
        <f>IF($A1570="","",'Lot Balance'!$C1569)</f>
        <v/>
      </c>
      <c r="D1570" s="25" t="str">
        <f>IF($A1570="","",'Lot Balance'!$G1569)</f>
        <v/>
      </c>
      <c r="E1570" s="25" t="str">
        <f>IF($A1570="","",'Lot Balance'!$H1569)</f>
        <v/>
      </c>
      <c r="F1570" s="23" t="str">
        <f>IF($A1570="","",'Lot Balance'!$I1569)</f>
        <v/>
      </c>
      <c r="G1570" s="23" t="str">
        <f>IF($A1570="","",'Lot Balance'!$O1569)</f>
        <v/>
      </c>
      <c r="H1570" s="33" t="str">
        <f>IF($A1570="","",'Lot Balance'!$P1569)</f>
        <v/>
      </c>
      <c r="I1570" s="26" t="str">
        <f>IF($A1570="","",COUNTIFS(tblIssues[Lot Number],$B1570))</f>
        <v/>
      </c>
      <c r="J1570" s="31" t="str">
        <f>IF($A1570="","",IF('Lot Balance'!$O1569&lt;=0,"Depleted",'Lot Balance'!$Q1569))</f>
        <v/>
      </c>
    </row>
    <row r="1571" spans="1:10" x14ac:dyDescent="0.35">
      <c r="A1571" s="18" t="str">
        <f>IF('Lot Balance'!$A1570="","",'Lot Balance'!$A1570)</f>
        <v/>
      </c>
      <c r="B1571" s="18" t="str">
        <f>IF($A1571="","",'Lot Balance'!$B1570)</f>
        <v/>
      </c>
      <c r="C1571" s="18" t="str">
        <f>IF($A1571="","",'Lot Balance'!$C1570)</f>
        <v/>
      </c>
      <c r="D1571" s="25" t="str">
        <f>IF($A1571="","",'Lot Balance'!$G1570)</f>
        <v/>
      </c>
      <c r="E1571" s="25" t="str">
        <f>IF($A1571="","",'Lot Balance'!$H1570)</f>
        <v/>
      </c>
      <c r="F1571" s="23" t="str">
        <f>IF($A1571="","",'Lot Balance'!$I1570)</f>
        <v/>
      </c>
      <c r="G1571" s="23" t="str">
        <f>IF($A1571="","",'Lot Balance'!$O1570)</f>
        <v/>
      </c>
      <c r="H1571" s="33" t="str">
        <f>IF($A1571="","",'Lot Balance'!$P1570)</f>
        <v/>
      </c>
      <c r="I1571" s="26" t="str">
        <f>IF($A1571="","",COUNTIFS(tblIssues[Lot Number],$B1571))</f>
        <v/>
      </c>
      <c r="J1571" s="31" t="str">
        <f>IF($A1571="","",IF('Lot Balance'!$O1570&lt;=0,"Depleted",'Lot Balance'!$Q1570))</f>
        <v/>
      </c>
    </row>
    <row r="1572" spans="1:10" x14ac:dyDescent="0.35">
      <c r="A1572" s="18" t="str">
        <f>IF('Lot Balance'!$A1571="","",'Lot Balance'!$A1571)</f>
        <v/>
      </c>
      <c r="B1572" s="18" t="str">
        <f>IF($A1572="","",'Lot Balance'!$B1571)</f>
        <v/>
      </c>
      <c r="C1572" s="18" t="str">
        <f>IF($A1572="","",'Lot Balance'!$C1571)</f>
        <v/>
      </c>
      <c r="D1572" s="25" t="str">
        <f>IF($A1572="","",'Lot Balance'!$G1571)</f>
        <v/>
      </c>
      <c r="E1572" s="25" t="str">
        <f>IF($A1572="","",'Lot Balance'!$H1571)</f>
        <v/>
      </c>
      <c r="F1572" s="23" t="str">
        <f>IF($A1572="","",'Lot Balance'!$I1571)</f>
        <v/>
      </c>
      <c r="G1572" s="23" t="str">
        <f>IF($A1572="","",'Lot Balance'!$O1571)</f>
        <v/>
      </c>
      <c r="H1572" s="33" t="str">
        <f>IF($A1572="","",'Lot Balance'!$P1571)</f>
        <v/>
      </c>
      <c r="I1572" s="26" t="str">
        <f>IF($A1572="","",COUNTIFS(tblIssues[Lot Number],$B1572))</f>
        <v/>
      </c>
      <c r="J1572" s="31" t="str">
        <f>IF($A1572="","",IF('Lot Balance'!$O1571&lt;=0,"Depleted",'Lot Balance'!$Q1571))</f>
        <v/>
      </c>
    </row>
    <row r="1573" spans="1:10" x14ac:dyDescent="0.35">
      <c r="A1573" s="18" t="str">
        <f>IF('Lot Balance'!$A1572="","",'Lot Balance'!$A1572)</f>
        <v/>
      </c>
      <c r="B1573" s="18" t="str">
        <f>IF($A1573="","",'Lot Balance'!$B1572)</f>
        <v/>
      </c>
      <c r="C1573" s="18" t="str">
        <f>IF($A1573="","",'Lot Balance'!$C1572)</f>
        <v/>
      </c>
      <c r="D1573" s="25" t="str">
        <f>IF($A1573="","",'Lot Balance'!$G1572)</f>
        <v/>
      </c>
      <c r="E1573" s="25" t="str">
        <f>IF($A1573="","",'Lot Balance'!$H1572)</f>
        <v/>
      </c>
      <c r="F1573" s="23" t="str">
        <f>IF($A1573="","",'Lot Balance'!$I1572)</f>
        <v/>
      </c>
      <c r="G1573" s="23" t="str">
        <f>IF($A1573="","",'Lot Balance'!$O1572)</f>
        <v/>
      </c>
      <c r="H1573" s="33" t="str">
        <f>IF($A1573="","",'Lot Balance'!$P1572)</f>
        <v/>
      </c>
      <c r="I1573" s="26" t="str">
        <f>IF($A1573="","",COUNTIFS(tblIssues[Lot Number],$B1573))</f>
        <v/>
      </c>
      <c r="J1573" s="31" t="str">
        <f>IF($A1573="","",IF('Lot Balance'!$O1572&lt;=0,"Depleted",'Lot Balance'!$Q1572))</f>
        <v/>
      </c>
    </row>
    <row r="1574" spans="1:10" x14ac:dyDescent="0.35">
      <c r="A1574" s="18" t="str">
        <f>IF('Lot Balance'!$A1573="","",'Lot Balance'!$A1573)</f>
        <v/>
      </c>
      <c r="B1574" s="18" t="str">
        <f>IF($A1574="","",'Lot Balance'!$B1573)</f>
        <v/>
      </c>
      <c r="C1574" s="18" t="str">
        <f>IF($A1574="","",'Lot Balance'!$C1573)</f>
        <v/>
      </c>
      <c r="D1574" s="25" t="str">
        <f>IF($A1574="","",'Lot Balance'!$G1573)</f>
        <v/>
      </c>
      <c r="E1574" s="25" t="str">
        <f>IF($A1574="","",'Lot Balance'!$H1573)</f>
        <v/>
      </c>
      <c r="F1574" s="23" t="str">
        <f>IF($A1574="","",'Lot Balance'!$I1573)</f>
        <v/>
      </c>
      <c r="G1574" s="23" t="str">
        <f>IF($A1574="","",'Lot Balance'!$O1573)</f>
        <v/>
      </c>
      <c r="H1574" s="33" t="str">
        <f>IF($A1574="","",'Lot Balance'!$P1573)</f>
        <v/>
      </c>
      <c r="I1574" s="26" t="str">
        <f>IF($A1574="","",COUNTIFS(tblIssues[Lot Number],$B1574))</f>
        <v/>
      </c>
      <c r="J1574" s="31" t="str">
        <f>IF($A1574="","",IF('Lot Balance'!$O1573&lt;=0,"Depleted",'Lot Balance'!$Q1573))</f>
        <v/>
      </c>
    </row>
    <row r="1575" spans="1:10" x14ac:dyDescent="0.35">
      <c r="A1575" s="18" t="str">
        <f>IF('Lot Balance'!$A1574="","",'Lot Balance'!$A1574)</f>
        <v/>
      </c>
      <c r="B1575" s="18" t="str">
        <f>IF($A1575="","",'Lot Balance'!$B1574)</f>
        <v/>
      </c>
      <c r="C1575" s="18" t="str">
        <f>IF($A1575="","",'Lot Balance'!$C1574)</f>
        <v/>
      </c>
      <c r="D1575" s="25" t="str">
        <f>IF($A1575="","",'Lot Balance'!$G1574)</f>
        <v/>
      </c>
      <c r="E1575" s="25" t="str">
        <f>IF($A1575="","",'Lot Balance'!$H1574)</f>
        <v/>
      </c>
      <c r="F1575" s="23" t="str">
        <f>IF($A1575="","",'Lot Balance'!$I1574)</f>
        <v/>
      </c>
      <c r="G1575" s="23" t="str">
        <f>IF($A1575="","",'Lot Balance'!$O1574)</f>
        <v/>
      </c>
      <c r="H1575" s="33" t="str">
        <f>IF($A1575="","",'Lot Balance'!$P1574)</f>
        <v/>
      </c>
      <c r="I1575" s="26" t="str">
        <f>IF($A1575="","",COUNTIFS(tblIssues[Lot Number],$B1575))</f>
        <v/>
      </c>
      <c r="J1575" s="31" t="str">
        <f>IF($A1575="","",IF('Lot Balance'!$O1574&lt;=0,"Depleted",'Lot Balance'!$Q1574))</f>
        <v/>
      </c>
    </row>
    <row r="1576" spans="1:10" x14ac:dyDescent="0.35">
      <c r="A1576" s="18" t="str">
        <f>IF('Lot Balance'!$A1575="","",'Lot Balance'!$A1575)</f>
        <v/>
      </c>
      <c r="B1576" s="18" t="str">
        <f>IF($A1576="","",'Lot Balance'!$B1575)</f>
        <v/>
      </c>
      <c r="C1576" s="18" t="str">
        <f>IF($A1576="","",'Lot Balance'!$C1575)</f>
        <v/>
      </c>
      <c r="D1576" s="25" t="str">
        <f>IF($A1576="","",'Lot Balance'!$G1575)</f>
        <v/>
      </c>
      <c r="E1576" s="25" t="str">
        <f>IF($A1576="","",'Lot Balance'!$H1575)</f>
        <v/>
      </c>
      <c r="F1576" s="23" t="str">
        <f>IF($A1576="","",'Lot Balance'!$I1575)</f>
        <v/>
      </c>
      <c r="G1576" s="23" t="str">
        <f>IF($A1576="","",'Lot Balance'!$O1575)</f>
        <v/>
      </c>
      <c r="H1576" s="33" t="str">
        <f>IF($A1576="","",'Lot Balance'!$P1575)</f>
        <v/>
      </c>
      <c r="I1576" s="26" t="str">
        <f>IF($A1576="","",COUNTIFS(tblIssues[Lot Number],$B1576))</f>
        <v/>
      </c>
      <c r="J1576" s="31" t="str">
        <f>IF($A1576="","",IF('Lot Balance'!$O1575&lt;=0,"Depleted",'Lot Balance'!$Q1575))</f>
        <v/>
      </c>
    </row>
    <row r="1577" spans="1:10" x14ac:dyDescent="0.35">
      <c r="A1577" s="18" t="str">
        <f>IF('Lot Balance'!$A1576="","",'Lot Balance'!$A1576)</f>
        <v/>
      </c>
      <c r="B1577" s="18" t="str">
        <f>IF($A1577="","",'Lot Balance'!$B1576)</f>
        <v/>
      </c>
      <c r="C1577" s="18" t="str">
        <f>IF($A1577="","",'Lot Balance'!$C1576)</f>
        <v/>
      </c>
      <c r="D1577" s="25" t="str">
        <f>IF($A1577="","",'Lot Balance'!$G1576)</f>
        <v/>
      </c>
      <c r="E1577" s="25" t="str">
        <f>IF($A1577="","",'Lot Balance'!$H1576)</f>
        <v/>
      </c>
      <c r="F1577" s="23" t="str">
        <f>IF($A1577="","",'Lot Balance'!$I1576)</f>
        <v/>
      </c>
      <c r="G1577" s="23" t="str">
        <f>IF($A1577="","",'Lot Balance'!$O1576)</f>
        <v/>
      </c>
      <c r="H1577" s="33" t="str">
        <f>IF($A1577="","",'Lot Balance'!$P1576)</f>
        <v/>
      </c>
      <c r="I1577" s="26" t="str">
        <f>IF($A1577="","",COUNTIFS(tblIssues[Lot Number],$B1577))</f>
        <v/>
      </c>
      <c r="J1577" s="31" t="str">
        <f>IF($A1577="","",IF('Lot Balance'!$O1576&lt;=0,"Depleted",'Lot Balance'!$Q1576))</f>
        <v/>
      </c>
    </row>
    <row r="1578" spans="1:10" x14ac:dyDescent="0.35">
      <c r="A1578" s="18" t="str">
        <f>IF('Lot Balance'!$A1577="","",'Lot Balance'!$A1577)</f>
        <v/>
      </c>
      <c r="B1578" s="18" t="str">
        <f>IF($A1578="","",'Lot Balance'!$B1577)</f>
        <v/>
      </c>
      <c r="C1578" s="18" t="str">
        <f>IF($A1578="","",'Lot Balance'!$C1577)</f>
        <v/>
      </c>
      <c r="D1578" s="25" t="str">
        <f>IF($A1578="","",'Lot Balance'!$G1577)</f>
        <v/>
      </c>
      <c r="E1578" s="25" t="str">
        <f>IF($A1578="","",'Lot Balance'!$H1577)</f>
        <v/>
      </c>
      <c r="F1578" s="23" t="str">
        <f>IF($A1578="","",'Lot Balance'!$I1577)</f>
        <v/>
      </c>
      <c r="G1578" s="23" t="str">
        <f>IF($A1578="","",'Lot Balance'!$O1577)</f>
        <v/>
      </c>
      <c r="H1578" s="33" t="str">
        <f>IF($A1578="","",'Lot Balance'!$P1577)</f>
        <v/>
      </c>
      <c r="I1578" s="26" t="str">
        <f>IF($A1578="","",COUNTIFS(tblIssues[Lot Number],$B1578))</f>
        <v/>
      </c>
      <c r="J1578" s="31" t="str">
        <f>IF($A1578="","",IF('Lot Balance'!$O1577&lt;=0,"Depleted",'Lot Balance'!$Q1577))</f>
        <v/>
      </c>
    </row>
    <row r="1579" spans="1:10" x14ac:dyDescent="0.35">
      <c r="A1579" s="18" t="str">
        <f>IF('Lot Balance'!$A1578="","",'Lot Balance'!$A1578)</f>
        <v/>
      </c>
      <c r="B1579" s="18" t="str">
        <f>IF($A1579="","",'Lot Balance'!$B1578)</f>
        <v/>
      </c>
      <c r="C1579" s="18" t="str">
        <f>IF($A1579="","",'Lot Balance'!$C1578)</f>
        <v/>
      </c>
      <c r="D1579" s="25" t="str">
        <f>IF($A1579="","",'Lot Balance'!$G1578)</f>
        <v/>
      </c>
      <c r="E1579" s="25" t="str">
        <f>IF($A1579="","",'Lot Balance'!$H1578)</f>
        <v/>
      </c>
      <c r="F1579" s="23" t="str">
        <f>IF($A1579="","",'Lot Balance'!$I1578)</f>
        <v/>
      </c>
      <c r="G1579" s="23" t="str">
        <f>IF($A1579="","",'Lot Balance'!$O1578)</f>
        <v/>
      </c>
      <c r="H1579" s="33" t="str">
        <f>IF($A1579="","",'Lot Balance'!$P1578)</f>
        <v/>
      </c>
      <c r="I1579" s="26" t="str">
        <f>IF($A1579="","",COUNTIFS(tblIssues[Lot Number],$B1579))</f>
        <v/>
      </c>
      <c r="J1579" s="31" t="str">
        <f>IF($A1579="","",IF('Lot Balance'!$O1578&lt;=0,"Depleted",'Lot Balance'!$Q1578))</f>
        <v/>
      </c>
    </row>
    <row r="1580" spans="1:10" x14ac:dyDescent="0.35">
      <c r="A1580" s="18" t="str">
        <f>IF('Lot Balance'!$A1579="","",'Lot Balance'!$A1579)</f>
        <v/>
      </c>
      <c r="B1580" s="18" t="str">
        <f>IF($A1580="","",'Lot Balance'!$B1579)</f>
        <v/>
      </c>
      <c r="C1580" s="18" t="str">
        <f>IF($A1580="","",'Lot Balance'!$C1579)</f>
        <v/>
      </c>
      <c r="D1580" s="25" t="str">
        <f>IF($A1580="","",'Lot Balance'!$G1579)</f>
        <v/>
      </c>
      <c r="E1580" s="25" t="str">
        <f>IF($A1580="","",'Lot Balance'!$H1579)</f>
        <v/>
      </c>
      <c r="F1580" s="23" t="str">
        <f>IF($A1580="","",'Lot Balance'!$I1579)</f>
        <v/>
      </c>
      <c r="G1580" s="23" t="str">
        <f>IF($A1580="","",'Lot Balance'!$O1579)</f>
        <v/>
      </c>
      <c r="H1580" s="33" t="str">
        <f>IF($A1580="","",'Lot Balance'!$P1579)</f>
        <v/>
      </c>
      <c r="I1580" s="26" t="str">
        <f>IF($A1580="","",COUNTIFS(tblIssues[Lot Number],$B1580))</f>
        <v/>
      </c>
      <c r="J1580" s="31" t="str">
        <f>IF($A1580="","",IF('Lot Balance'!$O1579&lt;=0,"Depleted",'Lot Balance'!$Q1579))</f>
        <v/>
      </c>
    </row>
    <row r="1581" spans="1:10" x14ac:dyDescent="0.35">
      <c r="A1581" s="18" t="str">
        <f>IF('Lot Balance'!$A1580="","",'Lot Balance'!$A1580)</f>
        <v/>
      </c>
      <c r="B1581" s="18" t="str">
        <f>IF($A1581="","",'Lot Balance'!$B1580)</f>
        <v/>
      </c>
      <c r="C1581" s="18" t="str">
        <f>IF($A1581="","",'Lot Balance'!$C1580)</f>
        <v/>
      </c>
      <c r="D1581" s="25" t="str">
        <f>IF($A1581="","",'Lot Balance'!$G1580)</f>
        <v/>
      </c>
      <c r="E1581" s="25" t="str">
        <f>IF($A1581="","",'Lot Balance'!$H1580)</f>
        <v/>
      </c>
      <c r="F1581" s="23" t="str">
        <f>IF($A1581="","",'Lot Balance'!$I1580)</f>
        <v/>
      </c>
      <c r="G1581" s="23" t="str">
        <f>IF($A1581="","",'Lot Balance'!$O1580)</f>
        <v/>
      </c>
      <c r="H1581" s="33" t="str">
        <f>IF($A1581="","",'Lot Balance'!$P1580)</f>
        <v/>
      </c>
      <c r="I1581" s="26" t="str">
        <f>IF($A1581="","",COUNTIFS(tblIssues[Lot Number],$B1581))</f>
        <v/>
      </c>
      <c r="J1581" s="31" t="str">
        <f>IF($A1581="","",IF('Lot Balance'!$O1580&lt;=0,"Depleted",'Lot Balance'!$Q1580))</f>
        <v/>
      </c>
    </row>
    <row r="1582" spans="1:10" x14ac:dyDescent="0.35">
      <c r="A1582" s="18" t="str">
        <f>IF('Lot Balance'!$A1581="","",'Lot Balance'!$A1581)</f>
        <v/>
      </c>
      <c r="B1582" s="18" t="str">
        <f>IF($A1582="","",'Lot Balance'!$B1581)</f>
        <v/>
      </c>
      <c r="C1582" s="18" t="str">
        <f>IF($A1582="","",'Lot Balance'!$C1581)</f>
        <v/>
      </c>
      <c r="D1582" s="25" t="str">
        <f>IF($A1582="","",'Lot Balance'!$G1581)</f>
        <v/>
      </c>
      <c r="E1582" s="25" t="str">
        <f>IF($A1582="","",'Lot Balance'!$H1581)</f>
        <v/>
      </c>
      <c r="F1582" s="23" t="str">
        <f>IF($A1582="","",'Lot Balance'!$I1581)</f>
        <v/>
      </c>
      <c r="G1582" s="23" t="str">
        <f>IF($A1582="","",'Lot Balance'!$O1581)</f>
        <v/>
      </c>
      <c r="H1582" s="33" t="str">
        <f>IF($A1582="","",'Lot Balance'!$P1581)</f>
        <v/>
      </c>
      <c r="I1582" s="26" t="str">
        <f>IF($A1582="","",COUNTIFS(tblIssues[Lot Number],$B1582))</f>
        <v/>
      </c>
      <c r="J1582" s="31" t="str">
        <f>IF($A1582="","",IF('Lot Balance'!$O1581&lt;=0,"Depleted",'Lot Balance'!$Q1581))</f>
        <v/>
      </c>
    </row>
    <row r="1583" spans="1:10" x14ac:dyDescent="0.35">
      <c r="A1583" s="18" t="str">
        <f>IF('Lot Balance'!$A1582="","",'Lot Balance'!$A1582)</f>
        <v/>
      </c>
      <c r="B1583" s="18" t="str">
        <f>IF($A1583="","",'Lot Balance'!$B1582)</f>
        <v/>
      </c>
      <c r="C1583" s="18" t="str">
        <f>IF($A1583="","",'Lot Balance'!$C1582)</f>
        <v/>
      </c>
      <c r="D1583" s="25" t="str">
        <f>IF($A1583="","",'Lot Balance'!$G1582)</f>
        <v/>
      </c>
      <c r="E1583" s="25" t="str">
        <f>IF($A1583="","",'Lot Balance'!$H1582)</f>
        <v/>
      </c>
      <c r="F1583" s="23" t="str">
        <f>IF($A1583="","",'Lot Balance'!$I1582)</f>
        <v/>
      </c>
      <c r="G1583" s="23" t="str">
        <f>IF($A1583="","",'Lot Balance'!$O1582)</f>
        <v/>
      </c>
      <c r="H1583" s="33" t="str">
        <f>IF($A1583="","",'Lot Balance'!$P1582)</f>
        <v/>
      </c>
      <c r="I1583" s="26" t="str">
        <f>IF($A1583="","",COUNTIFS(tblIssues[Lot Number],$B1583))</f>
        <v/>
      </c>
      <c r="J1583" s="31" t="str">
        <f>IF($A1583="","",IF('Lot Balance'!$O1582&lt;=0,"Depleted",'Lot Balance'!$Q1582))</f>
        <v/>
      </c>
    </row>
    <row r="1584" spans="1:10" x14ac:dyDescent="0.35">
      <c r="A1584" s="18" t="str">
        <f>IF('Lot Balance'!$A1583="","",'Lot Balance'!$A1583)</f>
        <v/>
      </c>
      <c r="B1584" s="18" t="str">
        <f>IF($A1584="","",'Lot Balance'!$B1583)</f>
        <v/>
      </c>
      <c r="C1584" s="18" t="str">
        <f>IF($A1584="","",'Lot Balance'!$C1583)</f>
        <v/>
      </c>
      <c r="D1584" s="25" t="str">
        <f>IF($A1584="","",'Lot Balance'!$G1583)</f>
        <v/>
      </c>
      <c r="E1584" s="25" t="str">
        <f>IF($A1584="","",'Lot Balance'!$H1583)</f>
        <v/>
      </c>
      <c r="F1584" s="23" t="str">
        <f>IF($A1584="","",'Lot Balance'!$I1583)</f>
        <v/>
      </c>
      <c r="G1584" s="23" t="str">
        <f>IF($A1584="","",'Lot Balance'!$O1583)</f>
        <v/>
      </c>
      <c r="H1584" s="33" t="str">
        <f>IF($A1584="","",'Lot Balance'!$P1583)</f>
        <v/>
      </c>
      <c r="I1584" s="26" t="str">
        <f>IF($A1584="","",COUNTIFS(tblIssues[Lot Number],$B1584))</f>
        <v/>
      </c>
      <c r="J1584" s="31" t="str">
        <f>IF($A1584="","",IF('Lot Balance'!$O1583&lt;=0,"Depleted",'Lot Balance'!$Q1583))</f>
        <v/>
      </c>
    </row>
    <row r="1585" spans="1:10" x14ac:dyDescent="0.35">
      <c r="A1585" s="18" t="str">
        <f>IF('Lot Balance'!$A1584="","",'Lot Balance'!$A1584)</f>
        <v/>
      </c>
      <c r="B1585" s="18" t="str">
        <f>IF($A1585="","",'Lot Balance'!$B1584)</f>
        <v/>
      </c>
      <c r="C1585" s="18" t="str">
        <f>IF($A1585="","",'Lot Balance'!$C1584)</f>
        <v/>
      </c>
      <c r="D1585" s="25" t="str">
        <f>IF($A1585="","",'Lot Balance'!$G1584)</f>
        <v/>
      </c>
      <c r="E1585" s="25" t="str">
        <f>IF($A1585="","",'Lot Balance'!$H1584)</f>
        <v/>
      </c>
      <c r="F1585" s="23" t="str">
        <f>IF($A1585="","",'Lot Balance'!$I1584)</f>
        <v/>
      </c>
      <c r="G1585" s="23" t="str">
        <f>IF($A1585="","",'Lot Balance'!$O1584)</f>
        <v/>
      </c>
      <c r="H1585" s="33" t="str">
        <f>IF($A1585="","",'Lot Balance'!$P1584)</f>
        <v/>
      </c>
      <c r="I1585" s="26" t="str">
        <f>IF($A1585="","",COUNTIFS(tblIssues[Lot Number],$B1585))</f>
        <v/>
      </c>
      <c r="J1585" s="31" t="str">
        <f>IF($A1585="","",IF('Lot Balance'!$O1584&lt;=0,"Depleted",'Lot Balance'!$Q1584))</f>
        <v/>
      </c>
    </row>
    <row r="1586" spans="1:10" x14ac:dyDescent="0.35">
      <c r="A1586" s="18" t="str">
        <f>IF('Lot Balance'!$A1585="","",'Lot Balance'!$A1585)</f>
        <v/>
      </c>
      <c r="B1586" s="18" t="str">
        <f>IF($A1586="","",'Lot Balance'!$B1585)</f>
        <v/>
      </c>
      <c r="C1586" s="18" t="str">
        <f>IF($A1586="","",'Lot Balance'!$C1585)</f>
        <v/>
      </c>
      <c r="D1586" s="25" t="str">
        <f>IF($A1586="","",'Lot Balance'!$G1585)</f>
        <v/>
      </c>
      <c r="E1586" s="25" t="str">
        <f>IF($A1586="","",'Lot Balance'!$H1585)</f>
        <v/>
      </c>
      <c r="F1586" s="23" t="str">
        <f>IF($A1586="","",'Lot Balance'!$I1585)</f>
        <v/>
      </c>
      <c r="G1586" s="23" t="str">
        <f>IF($A1586="","",'Lot Balance'!$O1585)</f>
        <v/>
      </c>
      <c r="H1586" s="33" t="str">
        <f>IF($A1586="","",'Lot Balance'!$P1585)</f>
        <v/>
      </c>
      <c r="I1586" s="26" t="str">
        <f>IF($A1586="","",COUNTIFS(tblIssues[Lot Number],$B1586))</f>
        <v/>
      </c>
      <c r="J1586" s="31" t="str">
        <f>IF($A1586="","",IF('Lot Balance'!$O1585&lt;=0,"Depleted",'Lot Balance'!$Q1585))</f>
        <v/>
      </c>
    </row>
    <row r="1587" spans="1:10" x14ac:dyDescent="0.35">
      <c r="A1587" s="18" t="str">
        <f>IF('Lot Balance'!$A1586="","",'Lot Balance'!$A1586)</f>
        <v/>
      </c>
      <c r="B1587" s="18" t="str">
        <f>IF($A1587="","",'Lot Balance'!$B1586)</f>
        <v/>
      </c>
      <c r="C1587" s="18" t="str">
        <f>IF($A1587="","",'Lot Balance'!$C1586)</f>
        <v/>
      </c>
      <c r="D1587" s="25" t="str">
        <f>IF($A1587="","",'Lot Balance'!$G1586)</f>
        <v/>
      </c>
      <c r="E1587" s="25" t="str">
        <f>IF($A1587="","",'Lot Balance'!$H1586)</f>
        <v/>
      </c>
      <c r="F1587" s="23" t="str">
        <f>IF($A1587="","",'Lot Balance'!$I1586)</f>
        <v/>
      </c>
      <c r="G1587" s="23" t="str">
        <f>IF($A1587="","",'Lot Balance'!$O1586)</f>
        <v/>
      </c>
      <c r="H1587" s="33" t="str">
        <f>IF($A1587="","",'Lot Balance'!$P1586)</f>
        <v/>
      </c>
      <c r="I1587" s="26" t="str">
        <f>IF($A1587="","",COUNTIFS(tblIssues[Lot Number],$B1587))</f>
        <v/>
      </c>
      <c r="J1587" s="31" t="str">
        <f>IF($A1587="","",IF('Lot Balance'!$O1586&lt;=0,"Depleted",'Lot Balance'!$Q1586))</f>
        <v/>
      </c>
    </row>
    <row r="1588" spans="1:10" x14ac:dyDescent="0.35">
      <c r="A1588" s="18" t="str">
        <f>IF('Lot Balance'!$A1587="","",'Lot Balance'!$A1587)</f>
        <v/>
      </c>
      <c r="B1588" s="18" t="str">
        <f>IF($A1588="","",'Lot Balance'!$B1587)</f>
        <v/>
      </c>
      <c r="C1588" s="18" t="str">
        <f>IF($A1588="","",'Lot Balance'!$C1587)</f>
        <v/>
      </c>
      <c r="D1588" s="25" t="str">
        <f>IF($A1588="","",'Lot Balance'!$G1587)</f>
        <v/>
      </c>
      <c r="E1588" s="25" t="str">
        <f>IF($A1588="","",'Lot Balance'!$H1587)</f>
        <v/>
      </c>
      <c r="F1588" s="23" t="str">
        <f>IF($A1588="","",'Lot Balance'!$I1587)</f>
        <v/>
      </c>
      <c r="G1588" s="23" t="str">
        <f>IF($A1588="","",'Lot Balance'!$O1587)</f>
        <v/>
      </c>
      <c r="H1588" s="33" t="str">
        <f>IF($A1588="","",'Lot Balance'!$P1587)</f>
        <v/>
      </c>
      <c r="I1588" s="26" t="str">
        <f>IF($A1588="","",COUNTIFS(tblIssues[Lot Number],$B1588))</f>
        <v/>
      </c>
      <c r="J1588" s="31" t="str">
        <f>IF($A1588="","",IF('Lot Balance'!$O1587&lt;=0,"Depleted",'Lot Balance'!$Q1587))</f>
        <v/>
      </c>
    </row>
    <row r="1589" spans="1:10" x14ac:dyDescent="0.35">
      <c r="A1589" s="18" t="str">
        <f>IF('Lot Balance'!$A1588="","",'Lot Balance'!$A1588)</f>
        <v/>
      </c>
      <c r="B1589" s="18" t="str">
        <f>IF($A1589="","",'Lot Balance'!$B1588)</f>
        <v/>
      </c>
      <c r="C1589" s="18" t="str">
        <f>IF($A1589="","",'Lot Balance'!$C1588)</f>
        <v/>
      </c>
      <c r="D1589" s="25" t="str">
        <f>IF($A1589="","",'Lot Balance'!$G1588)</f>
        <v/>
      </c>
      <c r="E1589" s="25" t="str">
        <f>IF($A1589="","",'Lot Balance'!$H1588)</f>
        <v/>
      </c>
      <c r="F1589" s="23" t="str">
        <f>IF($A1589="","",'Lot Balance'!$I1588)</f>
        <v/>
      </c>
      <c r="G1589" s="23" t="str">
        <f>IF($A1589="","",'Lot Balance'!$O1588)</f>
        <v/>
      </c>
      <c r="H1589" s="33" t="str">
        <f>IF($A1589="","",'Lot Balance'!$P1588)</f>
        <v/>
      </c>
      <c r="I1589" s="26" t="str">
        <f>IF($A1589="","",COUNTIFS(tblIssues[Lot Number],$B1589))</f>
        <v/>
      </c>
      <c r="J1589" s="31" t="str">
        <f>IF($A1589="","",IF('Lot Balance'!$O1588&lt;=0,"Depleted",'Lot Balance'!$Q1588))</f>
        <v/>
      </c>
    </row>
    <row r="1590" spans="1:10" x14ac:dyDescent="0.35">
      <c r="A1590" s="18" t="str">
        <f>IF('Lot Balance'!$A1589="","",'Lot Balance'!$A1589)</f>
        <v/>
      </c>
      <c r="B1590" s="18" t="str">
        <f>IF($A1590="","",'Lot Balance'!$B1589)</f>
        <v/>
      </c>
      <c r="C1590" s="18" t="str">
        <f>IF($A1590="","",'Lot Balance'!$C1589)</f>
        <v/>
      </c>
      <c r="D1590" s="25" t="str">
        <f>IF($A1590="","",'Lot Balance'!$G1589)</f>
        <v/>
      </c>
      <c r="E1590" s="25" t="str">
        <f>IF($A1590="","",'Lot Balance'!$H1589)</f>
        <v/>
      </c>
      <c r="F1590" s="23" t="str">
        <f>IF($A1590="","",'Lot Balance'!$I1589)</f>
        <v/>
      </c>
      <c r="G1590" s="23" t="str">
        <f>IF($A1590="","",'Lot Balance'!$O1589)</f>
        <v/>
      </c>
      <c r="H1590" s="33" t="str">
        <f>IF($A1590="","",'Lot Balance'!$P1589)</f>
        <v/>
      </c>
      <c r="I1590" s="26" t="str">
        <f>IF($A1590="","",COUNTIFS(tblIssues[Lot Number],$B1590))</f>
        <v/>
      </c>
      <c r="J1590" s="31" t="str">
        <f>IF($A1590="","",IF('Lot Balance'!$O1589&lt;=0,"Depleted",'Lot Balance'!$Q1589))</f>
        <v/>
      </c>
    </row>
    <row r="1591" spans="1:10" x14ac:dyDescent="0.35">
      <c r="A1591" s="18" t="str">
        <f>IF('Lot Balance'!$A1590="","",'Lot Balance'!$A1590)</f>
        <v/>
      </c>
      <c r="B1591" s="18" t="str">
        <f>IF($A1591="","",'Lot Balance'!$B1590)</f>
        <v/>
      </c>
      <c r="C1591" s="18" t="str">
        <f>IF($A1591="","",'Lot Balance'!$C1590)</f>
        <v/>
      </c>
      <c r="D1591" s="25" t="str">
        <f>IF($A1591="","",'Lot Balance'!$G1590)</f>
        <v/>
      </c>
      <c r="E1591" s="25" t="str">
        <f>IF($A1591="","",'Lot Balance'!$H1590)</f>
        <v/>
      </c>
      <c r="F1591" s="23" t="str">
        <f>IF($A1591="","",'Lot Balance'!$I1590)</f>
        <v/>
      </c>
      <c r="G1591" s="23" t="str">
        <f>IF($A1591="","",'Lot Balance'!$O1590)</f>
        <v/>
      </c>
      <c r="H1591" s="33" t="str">
        <f>IF($A1591="","",'Lot Balance'!$P1590)</f>
        <v/>
      </c>
      <c r="I1591" s="26" t="str">
        <f>IF($A1591="","",COUNTIFS(tblIssues[Lot Number],$B1591))</f>
        <v/>
      </c>
      <c r="J1591" s="31" t="str">
        <f>IF($A1591="","",IF('Lot Balance'!$O1590&lt;=0,"Depleted",'Lot Balance'!$Q1590))</f>
        <v/>
      </c>
    </row>
    <row r="1592" spans="1:10" x14ac:dyDescent="0.35">
      <c r="A1592" s="18" t="str">
        <f>IF('Lot Balance'!$A1591="","",'Lot Balance'!$A1591)</f>
        <v/>
      </c>
      <c r="B1592" s="18" t="str">
        <f>IF($A1592="","",'Lot Balance'!$B1591)</f>
        <v/>
      </c>
      <c r="C1592" s="18" t="str">
        <f>IF($A1592="","",'Lot Balance'!$C1591)</f>
        <v/>
      </c>
      <c r="D1592" s="25" t="str">
        <f>IF($A1592="","",'Lot Balance'!$G1591)</f>
        <v/>
      </c>
      <c r="E1592" s="25" t="str">
        <f>IF($A1592="","",'Lot Balance'!$H1591)</f>
        <v/>
      </c>
      <c r="F1592" s="23" t="str">
        <f>IF($A1592="","",'Lot Balance'!$I1591)</f>
        <v/>
      </c>
      <c r="G1592" s="23" t="str">
        <f>IF($A1592="","",'Lot Balance'!$O1591)</f>
        <v/>
      </c>
      <c r="H1592" s="33" t="str">
        <f>IF($A1592="","",'Lot Balance'!$P1591)</f>
        <v/>
      </c>
      <c r="I1592" s="26" t="str">
        <f>IF($A1592="","",COUNTIFS(tblIssues[Lot Number],$B1592))</f>
        <v/>
      </c>
      <c r="J1592" s="31" t="str">
        <f>IF($A1592="","",IF('Lot Balance'!$O1591&lt;=0,"Depleted",'Lot Balance'!$Q1591))</f>
        <v/>
      </c>
    </row>
    <row r="1593" spans="1:10" x14ac:dyDescent="0.35">
      <c r="A1593" s="18" t="str">
        <f>IF('Lot Balance'!$A1592="","",'Lot Balance'!$A1592)</f>
        <v/>
      </c>
      <c r="B1593" s="18" t="str">
        <f>IF($A1593="","",'Lot Balance'!$B1592)</f>
        <v/>
      </c>
      <c r="C1593" s="18" t="str">
        <f>IF($A1593="","",'Lot Balance'!$C1592)</f>
        <v/>
      </c>
      <c r="D1593" s="25" t="str">
        <f>IF($A1593="","",'Lot Balance'!$G1592)</f>
        <v/>
      </c>
      <c r="E1593" s="25" t="str">
        <f>IF($A1593="","",'Lot Balance'!$H1592)</f>
        <v/>
      </c>
      <c r="F1593" s="23" t="str">
        <f>IF($A1593="","",'Lot Balance'!$I1592)</f>
        <v/>
      </c>
      <c r="G1593" s="23" t="str">
        <f>IF($A1593="","",'Lot Balance'!$O1592)</f>
        <v/>
      </c>
      <c r="H1593" s="33" t="str">
        <f>IF($A1593="","",'Lot Balance'!$P1592)</f>
        <v/>
      </c>
      <c r="I1593" s="26" t="str">
        <f>IF($A1593="","",COUNTIFS(tblIssues[Lot Number],$B1593))</f>
        <v/>
      </c>
      <c r="J1593" s="31" t="str">
        <f>IF($A1593="","",IF('Lot Balance'!$O1592&lt;=0,"Depleted",'Lot Balance'!$Q1592))</f>
        <v/>
      </c>
    </row>
    <row r="1594" spans="1:10" x14ac:dyDescent="0.35">
      <c r="A1594" s="18" t="str">
        <f>IF('Lot Balance'!$A1593="","",'Lot Balance'!$A1593)</f>
        <v/>
      </c>
      <c r="B1594" s="18" t="str">
        <f>IF($A1594="","",'Lot Balance'!$B1593)</f>
        <v/>
      </c>
      <c r="C1594" s="18" t="str">
        <f>IF($A1594="","",'Lot Balance'!$C1593)</f>
        <v/>
      </c>
      <c r="D1594" s="25" t="str">
        <f>IF($A1594="","",'Lot Balance'!$G1593)</f>
        <v/>
      </c>
      <c r="E1594" s="25" t="str">
        <f>IF($A1594="","",'Lot Balance'!$H1593)</f>
        <v/>
      </c>
      <c r="F1594" s="23" t="str">
        <f>IF($A1594="","",'Lot Balance'!$I1593)</f>
        <v/>
      </c>
      <c r="G1594" s="23" t="str">
        <f>IF($A1594="","",'Lot Balance'!$O1593)</f>
        <v/>
      </c>
      <c r="H1594" s="33" t="str">
        <f>IF($A1594="","",'Lot Balance'!$P1593)</f>
        <v/>
      </c>
      <c r="I1594" s="26" t="str">
        <f>IF($A1594="","",COUNTIFS(tblIssues[Lot Number],$B1594))</f>
        <v/>
      </c>
      <c r="J1594" s="31" t="str">
        <f>IF($A1594="","",IF('Lot Balance'!$O1593&lt;=0,"Depleted",'Lot Balance'!$Q1593))</f>
        <v/>
      </c>
    </row>
    <row r="1595" spans="1:10" x14ac:dyDescent="0.35">
      <c r="A1595" s="18" t="str">
        <f>IF('Lot Balance'!$A1594="","",'Lot Balance'!$A1594)</f>
        <v/>
      </c>
      <c r="B1595" s="18" t="str">
        <f>IF($A1595="","",'Lot Balance'!$B1594)</f>
        <v/>
      </c>
      <c r="C1595" s="18" t="str">
        <f>IF($A1595="","",'Lot Balance'!$C1594)</f>
        <v/>
      </c>
      <c r="D1595" s="25" t="str">
        <f>IF($A1595="","",'Lot Balance'!$G1594)</f>
        <v/>
      </c>
      <c r="E1595" s="25" t="str">
        <f>IF($A1595="","",'Lot Balance'!$H1594)</f>
        <v/>
      </c>
      <c r="F1595" s="23" t="str">
        <f>IF($A1595="","",'Lot Balance'!$I1594)</f>
        <v/>
      </c>
      <c r="G1595" s="23" t="str">
        <f>IF($A1595="","",'Lot Balance'!$O1594)</f>
        <v/>
      </c>
      <c r="H1595" s="33" t="str">
        <f>IF($A1595="","",'Lot Balance'!$P1594)</f>
        <v/>
      </c>
      <c r="I1595" s="26" t="str">
        <f>IF($A1595="","",COUNTIFS(tblIssues[Lot Number],$B1595))</f>
        <v/>
      </c>
      <c r="J1595" s="31" t="str">
        <f>IF($A1595="","",IF('Lot Balance'!$O1594&lt;=0,"Depleted",'Lot Balance'!$Q1594))</f>
        <v/>
      </c>
    </row>
    <row r="1596" spans="1:10" x14ac:dyDescent="0.35">
      <c r="A1596" s="18" t="str">
        <f>IF('Lot Balance'!$A1595="","",'Lot Balance'!$A1595)</f>
        <v/>
      </c>
      <c r="B1596" s="18" t="str">
        <f>IF($A1596="","",'Lot Balance'!$B1595)</f>
        <v/>
      </c>
      <c r="C1596" s="18" t="str">
        <f>IF($A1596="","",'Lot Balance'!$C1595)</f>
        <v/>
      </c>
      <c r="D1596" s="25" t="str">
        <f>IF($A1596="","",'Lot Balance'!$G1595)</f>
        <v/>
      </c>
      <c r="E1596" s="25" t="str">
        <f>IF($A1596="","",'Lot Balance'!$H1595)</f>
        <v/>
      </c>
      <c r="F1596" s="23" t="str">
        <f>IF($A1596="","",'Lot Balance'!$I1595)</f>
        <v/>
      </c>
      <c r="G1596" s="23" t="str">
        <f>IF($A1596="","",'Lot Balance'!$O1595)</f>
        <v/>
      </c>
      <c r="H1596" s="33" t="str">
        <f>IF($A1596="","",'Lot Balance'!$P1595)</f>
        <v/>
      </c>
      <c r="I1596" s="26" t="str">
        <f>IF($A1596="","",COUNTIFS(tblIssues[Lot Number],$B1596))</f>
        <v/>
      </c>
      <c r="J1596" s="31" t="str">
        <f>IF($A1596="","",IF('Lot Balance'!$O1595&lt;=0,"Depleted",'Lot Balance'!$Q1595))</f>
        <v/>
      </c>
    </row>
    <row r="1597" spans="1:10" x14ac:dyDescent="0.35">
      <c r="A1597" s="18" t="str">
        <f>IF('Lot Balance'!$A1596="","",'Lot Balance'!$A1596)</f>
        <v/>
      </c>
      <c r="B1597" s="18" t="str">
        <f>IF($A1597="","",'Lot Balance'!$B1596)</f>
        <v/>
      </c>
      <c r="C1597" s="18" t="str">
        <f>IF($A1597="","",'Lot Balance'!$C1596)</f>
        <v/>
      </c>
      <c r="D1597" s="25" t="str">
        <f>IF($A1597="","",'Lot Balance'!$G1596)</f>
        <v/>
      </c>
      <c r="E1597" s="25" t="str">
        <f>IF($A1597="","",'Lot Balance'!$H1596)</f>
        <v/>
      </c>
      <c r="F1597" s="23" t="str">
        <f>IF($A1597="","",'Lot Balance'!$I1596)</f>
        <v/>
      </c>
      <c r="G1597" s="23" t="str">
        <f>IF($A1597="","",'Lot Balance'!$O1596)</f>
        <v/>
      </c>
      <c r="H1597" s="33" t="str">
        <f>IF($A1597="","",'Lot Balance'!$P1596)</f>
        <v/>
      </c>
      <c r="I1597" s="26" t="str">
        <f>IF($A1597="","",COUNTIFS(tblIssues[Lot Number],$B1597))</f>
        <v/>
      </c>
      <c r="J1597" s="31" t="str">
        <f>IF($A1597="","",IF('Lot Balance'!$O1596&lt;=0,"Depleted",'Lot Balance'!$Q1596))</f>
        <v/>
      </c>
    </row>
    <row r="1598" spans="1:10" x14ac:dyDescent="0.35">
      <c r="A1598" s="18" t="str">
        <f>IF('Lot Balance'!$A1597="","",'Lot Balance'!$A1597)</f>
        <v/>
      </c>
      <c r="B1598" s="18" t="str">
        <f>IF($A1598="","",'Lot Balance'!$B1597)</f>
        <v/>
      </c>
      <c r="C1598" s="18" t="str">
        <f>IF($A1598="","",'Lot Balance'!$C1597)</f>
        <v/>
      </c>
      <c r="D1598" s="25" t="str">
        <f>IF($A1598="","",'Lot Balance'!$G1597)</f>
        <v/>
      </c>
      <c r="E1598" s="25" t="str">
        <f>IF($A1598="","",'Lot Balance'!$H1597)</f>
        <v/>
      </c>
      <c r="F1598" s="23" t="str">
        <f>IF($A1598="","",'Lot Balance'!$I1597)</f>
        <v/>
      </c>
      <c r="G1598" s="23" t="str">
        <f>IF($A1598="","",'Lot Balance'!$O1597)</f>
        <v/>
      </c>
      <c r="H1598" s="33" t="str">
        <f>IF($A1598="","",'Lot Balance'!$P1597)</f>
        <v/>
      </c>
      <c r="I1598" s="26" t="str">
        <f>IF($A1598="","",COUNTIFS(tblIssues[Lot Number],$B1598))</f>
        <v/>
      </c>
      <c r="J1598" s="31" t="str">
        <f>IF($A1598="","",IF('Lot Balance'!$O1597&lt;=0,"Depleted",'Lot Balance'!$Q1597))</f>
        <v/>
      </c>
    </row>
    <row r="1599" spans="1:10" x14ac:dyDescent="0.35">
      <c r="A1599" s="18" t="str">
        <f>IF('Lot Balance'!$A1598="","",'Lot Balance'!$A1598)</f>
        <v/>
      </c>
      <c r="B1599" s="18" t="str">
        <f>IF($A1599="","",'Lot Balance'!$B1598)</f>
        <v/>
      </c>
      <c r="C1599" s="18" t="str">
        <f>IF($A1599="","",'Lot Balance'!$C1598)</f>
        <v/>
      </c>
      <c r="D1599" s="25" t="str">
        <f>IF($A1599="","",'Lot Balance'!$G1598)</f>
        <v/>
      </c>
      <c r="E1599" s="25" t="str">
        <f>IF($A1599="","",'Lot Balance'!$H1598)</f>
        <v/>
      </c>
      <c r="F1599" s="23" t="str">
        <f>IF($A1599="","",'Lot Balance'!$I1598)</f>
        <v/>
      </c>
      <c r="G1599" s="23" t="str">
        <f>IF($A1599="","",'Lot Balance'!$O1598)</f>
        <v/>
      </c>
      <c r="H1599" s="33" t="str">
        <f>IF($A1599="","",'Lot Balance'!$P1598)</f>
        <v/>
      </c>
      <c r="I1599" s="26" t="str">
        <f>IF($A1599="","",COUNTIFS(tblIssues[Lot Number],$B1599))</f>
        <v/>
      </c>
      <c r="J1599" s="31" t="str">
        <f>IF($A1599="","",IF('Lot Balance'!$O1598&lt;=0,"Depleted",'Lot Balance'!$Q1598))</f>
        <v/>
      </c>
    </row>
    <row r="1600" spans="1:10" x14ac:dyDescent="0.35">
      <c r="A1600" s="18" t="str">
        <f>IF('Lot Balance'!$A1599="","",'Lot Balance'!$A1599)</f>
        <v/>
      </c>
      <c r="B1600" s="18" t="str">
        <f>IF($A1600="","",'Lot Balance'!$B1599)</f>
        <v/>
      </c>
      <c r="C1600" s="18" t="str">
        <f>IF($A1600="","",'Lot Balance'!$C1599)</f>
        <v/>
      </c>
      <c r="D1600" s="25" t="str">
        <f>IF($A1600="","",'Lot Balance'!$G1599)</f>
        <v/>
      </c>
      <c r="E1600" s="25" t="str">
        <f>IF($A1600="","",'Lot Balance'!$H1599)</f>
        <v/>
      </c>
      <c r="F1600" s="23" t="str">
        <f>IF($A1600="","",'Lot Balance'!$I1599)</f>
        <v/>
      </c>
      <c r="G1600" s="23" t="str">
        <f>IF($A1600="","",'Lot Balance'!$O1599)</f>
        <v/>
      </c>
      <c r="H1600" s="33" t="str">
        <f>IF($A1600="","",'Lot Balance'!$P1599)</f>
        <v/>
      </c>
      <c r="I1600" s="26" t="str">
        <f>IF($A1600="","",COUNTIFS(tblIssues[Lot Number],$B1600))</f>
        <v/>
      </c>
      <c r="J1600" s="31" t="str">
        <f>IF($A1600="","",IF('Lot Balance'!$O1599&lt;=0,"Depleted",'Lot Balance'!$Q1599))</f>
        <v/>
      </c>
    </row>
    <row r="1601" spans="1:10" x14ac:dyDescent="0.35">
      <c r="A1601" s="18" t="str">
        <f>IF('Lot Balance'!$A1600="","",'Lot Balance'!$A1600)</f>
        <v/>
      </c>
      <c r="B1601" s="18" t="str">
        <f>IF($A1601="","",'Lot Balance'!$B1600)</f>
        <v/>
      </c>
      <c r="C1601" s="18" t="str">
        <f>IF($A1601="","",'Lot Balance'!$C1600)</f>
        <v/>
      </c>
      <c r="D1601" s="25" t="str">
        <f>IF($A1601="","",'Lot Balance'!$G1600)</f>
        <v/>
      </c>
      <c r="E1601" s="25" t="str">
        <f>IF($A1601="","",'Lot Balance'!$H1600)</f>
        <v/>
      </c>
      <c r="F1601" s="23" t="str">
        <f>IF($A1601="","",'Lot Balance'!$I1600)</f>
        <v/>
      </c>
      <c r="G1601" s="23" t="str">
        <f>IF($A1601="","",'Lot Balance'!$O1600)</f>
        <v/>
      </c>
      <c r="H1601" s="33" t="str">
        <f>IF($A1601="","",'Lot Balance'!$P1600)</f>
        <v/>
      </c>
      <c r="I1601" s="26" t="str">
        <f>IF($A1601="","",COUNTIFS(tblIssues[Lot Number],$B1601))</f>
        <v/>
      </c>
      <c r="J1601" s="31" t="str">
        <f>IF($A1601="","",IF('Lot Balance'!$O1600&lt;=0,"Depleted",'Lot Balance'!$Q1600))</f>
        <v/>
      </c>
    </row>
    <row r="1602" spans="1:10" x14ac:dyDescent="0.35">
      <c r="A1602" s="18" t="str">
        <f>IF('Lot Balance'!$A1601="","",'Lot Balance'!$A1601)</f>
        <v/>
      </c>
      <c r="B1602" s="18" t="str">
        <f>IF($A1602="","",'Lot Balance'!$B1601)</f>
        <v/>
      </c>
      <c r="C1602" s="18" t="str">
        <f>IF($A1602="","",'Lot Balance'!$C1601)</f>
        <v/>
      </c>
      <c r="D1602" s="25" t="str">
        <f>IF($A1602="","",'Lot Balance'!$G1601)</f>
        <v/>
      </c>
      <c r="E1602" s="25" t="str">
        <f>IF($A1602="","",'Lot Balance'!$H1601)</f>
        <v/>
      </c>
      <c r="F1602" s="23" t="str">
        <f>IF($A1602="","",'Lot Balance'!$I1601)</f>
        <v/>
      </c>
      <c r="G1602" s="23" t="str">
        <f>IF($A1602="","",'Lot Balance'!$O1601)</f>
        <v/>
      </c>
      <c r="H1602" s="33" t="str">
        <f>IF($A1602="","",'Lot Balance'!$P1601)</f>
        <v/>
      </c>
      <c r="I1602" s="26" t="str">
        <f>IF($A1602="","",COUNTIFS(tblIssues[Lot Number],$B1602))</f>
        <v/>
      </c>
      <c r="J1602" s="31" t="str">
        <f>IF($A1602="","",IF('Lot Balance'!$O1601&lt;=0,"Depleted",'Lot Balance'!$Q1601))</f>
        <v/>
      </c>
    </row>
    <row r="1603" spans="1:10" x14ac:dyDescent="0.35">
      <c r="A1603" s="18" t="str">
        <f>IF('Lot Balance'!$A1602="","",'Lot Balance'!$A1602)</f>
        <v/>
      </c>
      <c r="B1603" s="18" t="str">
        <f>IF($A1603="","",'Lot Balance'!$B1602)</f>
        <v/>
      </c>
      <c r="C1603" s="18" t="str">
        <f>IF($A1603="","",'Lot Balance'!$C1602)</f>
        <v/>
      </c>
      <c r="D1603" s="25" t="str">
        <f>IF($A1603="","",'Lot Balance'!$G1602)</f>
        <v/>
      </c>
      <c r="E1603" s="25" t="str">
        <f>IF($A1603="","",'Lot Balance'!$H1602)</f>
        <v/>
      </c>
      <c r="F1603" s="23" t="str">
        <f>IF($A1603="","",'Lot Balance'!$I1602)</f>
        <v/>
      </c>
      <c r="G1603" s="23" t="str">
        <f>IF($A1603="","",'Lot Balance'!$O1602)</f>
        <v/>
      </c>
      <c r="H1603" s="33" t="str">
        <f>IF($A1603="","",'Lot Balance'!$P1602)</f>
        <v/>
      </c>
      <c r="I1603" s="26" t="str">
        <f>IF($A1603="","",COUNTIFS(tblIssues[Lot Number],$B1603))</f>
        <v/>
      </c>
      <c r="J1603" s="31" t="str">
        <f>IF($A1603="","",IF('Lot Balance'!$O1602&lt;=0,"Depleted",'Lot Balance'!$Q1602))</f>
        <v/>
      </c>
    </row>
    <row r="1604" spans="1:10" x14ac:dyDescent="0.35">
      <c r="A1604" s="18" t="str">
        <f>IF('Lot Balance'!$A1603="","",'Lot Balance'!$A1603)</f>
        <v/>
      </c>
      <c r="B1604" s="18" t="str">
        <f>IF($A1604="","",'Lot Balance'!$B1603)</f>
        <v/>
      </c>
      <c r="C1604" s="18" t="str">
        <f>IF($A1604="","",'Lot Balance'!$C1603)</f>
        <v/>
      </c>
      <c r="D1604" s="25" t="str">
        <f>IF($A1604="","",'Lot Balance'!$G1603)</f>
        <v/>
      </c>
      <c r="E1604" s="25" t="str">
        <f>IF($A1604="","",'Lot Balance'!$H1603)</f>
        <v/>
      </c>
      <c r="F1604" s="23" t="str">
        <f>IF($A1604="","",'Lot Balance'!$I1603)</f>
        <v/>
      </c>
      <c r="G1604" s="23" t="str">
        <f>IF($A1604="","",'Lot Balance'!$O1603)</f>
        <v/>
      </c>
      <c r="H1604" s="33" t="str">
        <f>IF($A1604="","",'Lot Balance'!$P1603)</f>
        <v/>
      </c>
      <c r="I1604" s="26" t="str">
        <f>IF($A1604="","",COUNTIFS(tblIssues[Lot Number],$B1604))</f>
        <v/>
      </c>
      <c r="J1604" s="31" t="str">
        <f>IF($A1604="","",IF('Lot Balance'!$O1603&lt;=0,"Depleted",'Lot Balance'!$Q1603))</f>
        <v/>
      </c>
    </row>
    <row r="1605" spans="1:10" x14ac:dyDescent="0.35">
      <c r="A1605" s="18" t="str">
        <f>IF('Lot Balance'!$A1604="","",'Lot Balance'!$A1604)</f>
        <v/>
      </c>
      <c r="B1605" s="18" t="str">
        <f>IF($A1605="","",'Lot Balance'!$B1604)</f>
        <v/>
      </c>
      <c r="C1605" s="18" t="str">
        <f>IF($A1605="","",'Lot Balance'!$C1604)</f>
        <v/>
      </c>
      <c r="D1605" s="25" t="str">
        <f>IF($A1605="","",'Lot Balance'!$G1604)</f>
        <v/>
      </c>
      <c r="E1605" s="25" t="str">
        <f>IF($A1605="","",'Lot Balance'!$H1604)</f>
        <v/>
      </c>
      <c r="F1605" s="23" t="str">
        <f>IF($A1605="","",'Lot Balance'!$I1604)</f>
        <v/>
      </c>
      <c r="G1605" s="23" t="str">
        <f>IF($A1605="","",'Lot Balance'!$O1604)</f>
        <v/>
      </c>
      <c r="H1605" s="33" t="str">
        <f>IF($A1605="","",'Lot Balance'!$P1604)</f>
        <v/>
      </c>
      <c r="I1605" s="26" t="str">
        <f>IF($A1605="","",COUNTIFS(tblIssues[Lot Number],$B1605))</f>
        <v/>
      </c>
      <c r="J1605" s="31" t="str">
        <f>IF($A1605="","",IF('Lot Balance'!$O1604&lt;=0,"Depleted",'Lot Balance'!$Q1604))</f>
        <v/>
      </c>
    </row>
    <row r="1606" spans="1:10" x14ac:dyDescent="0.35">
      <c r="A1606" s="18" t="str">
        <f>IF('Lot Balance'!$A1605="","",'Lot Balance'!$A1605)</f>
        <v/>
      </c>
      <c r="B1606" s="18" t="str">
        <f>IF($A1606="","",'Lot Balance'!$B1605)</f>
        <v/>
      </c>
      <c r="C1606" s="18" t="str">
        <f>IF($A1606="","",'Lot Balance'!$C1605)</f>
        <v/>
      </c>
      <c r="D1606" s="25" t="str">
        <f>IF($A1606="","",'Lot Balance'!$G1605)</f>
        <v/>
      </c>
      <c r="E1606" s="25" t="str">
        <f>IF($A1606="","",'Lot Balance'!$H1605)</f>
        <v/>
      </c>
      <c r="F1606" s="23" t="str">
        <f>IF($A1606="","",'Lot Balance'!$I1605)</f>
        <v/>
      </c>
      <c r="G1606" s="23" t="str">
        <f>IF($A1606="","",'Lot Balance'!$O1605)</f>
        <v/>
      </c>
      <c r="H1606" s="33" t="str">
        <f>IF($A1606="","",'Lot Balance'!$P1605)</f>
        <v/>
      </c>
      <c r="I1606" s="26" t="str">
        <f>IF($A1606="","",COUNTIFS(tblIssues[Lot Number],$B1606))</f>
        <v/>
      </c>
      <c r="J1606" s="31" t="str">
        <f>IF($A1606="","",IF('Lot Balance'!$O1605&lt;=0,"Depleted",'Lot Balance'!$Q1605))</f>
        <v/>
      </c>
    </row>
    <row r="1607" spans="1:10" x14ac:dyDescent="0.35">
      <c r="A1607" s="18" t="str">
        <f>IF('Lot Balance'!$A1606="","",'Lot Balance'!$A1606)</f>
        <v/>
      </c>
      <c r="B1607" s="18" t="str">
        <f>IF($A1607="","",'Lot Balance'!$B1606)</f>
        <v/>
      </c>
      <c r="C1607" s="18" t="str">
        <f>IF($A1607="","",'Lot Balance'!$C1606)</f>
        <v/>
      </c>
      <c r="D1607" s="25" t="str">
        <f>IF($A1607="","",'Lot Balance'!$G1606)</f>
        <v/>
      </c>
      <c r="E1607" s="25" t="str">
        <f>IF($A1607="","",'Lot Balance'!$H1606)</f>
        <v/>
      </c>
      <c r="F1607" s="23" t="str">
        <f>IF($A1607="","",'Lot Balance'!$I1606)</f>
        <v/>
      </c>
      <c r="G1607" s="23" t="str">
        <f>IF($A1607="","",'Lot Balance'!$O1606)</f>
        <v/>
      </c>
      <c r="H1607" s="33" t="str">
        <f>IF($A1607="","",'Lot Balance'!$P1606)</f>
        <v/>
      </c>
      <c r="I1607" s="26" t="str">
        <f>IF($A1607="","",COUNTIFS(tblIssues[Lot Number],$B1607))</f>
        <v/>
      </c>
      <c r="J1607" s="31" t="str">
        <f>IF($A1607="","",IF('Lot Balance'!$O1606&lt;=0,"Depleted",'Lot Balance'!$Q1606))</f>
        <v/>
      </c>
    </row>
    <row r="1608" spans="1:10" x14ac:dyDescent="0.35">
      <c r="A1608" s="18" t="str">
        <f>IF('Lot Balance'!$A1607="","",'Lot Balance'!$A1607)</f>
        <v/>
      </c>
      <c r="B1608" s="18" t="str">
        <f>IF($A1608="","",'Lot Balance'!$B1607)</f>
        <v/>
      </c>
      <c r="C1608" s="18" t="str">
        <f>IF($A1608="","",'Lot Balance'!$C1607)</f>
        <v/>
      </c>
      <c r="D1608" s="25" t="str">
        <f>IF($A1608="","",'Lot Balance'!$G1607)</f>
        <v/>
      </c>
      <c r="E1608" s="25" t="str">
        <f>IF($A1608="","",'Lot Balance'!$H1607)</f>
        <v/>
      </c>
      <c r="F1608" s="23" t="str">
        <f>IF($A1608="","",'Lot Balance'!$I1607)</f>
        <v/>
      </c>
      <c r="G1608" s="23" t="str">
        <f>IF($A1608="","",'Lot Balance'!$O1607)</f>
        <v/>
      </c>
      <c r="H1608" s="33" t="str">
        <f>IF($A1608="","",'Lot Balance'!$P1607)</f>
        <v/>
      </c>
      <c r="I1608" s="26" t="str">
        <f>IF($A1608="","",COUNTIFS(tblIssues[Lot Number],$B1608))</f>
        <v/>
      </c>
      <c r="J1608" s="31" t="str">
        <f>IF($A1608="","",IF('Lot Balance'!$O1607&lt;=0,"Depleted",'Lot Balance'!$Q1607))</f>
        <v/>
      </c>
    </row>
    <row r="1609" spans="1:10" x14ac:dyDescent="0.35">
      <c r="A1609" s="18" t="str">
        <f>IF('Lot Balance'!$A1608="","",'Lot Balance'!$A1608)</f>
        <v/>
      </c>
      <c r="B1609" s="18" t="str">
        <f>IF($A1609="","",'Lot Balance'!$B1608)</f>
        <v/>
      </c>
      <c r="C1609" s="18" t="str">
        <f>IF($A1609="","",'Lot Balance'!$C1608)</f>
        <v/>
      </c>
      <c r="D1609" s="25" t="str">
        <f>IF($A1609="","",'Lot Balance'!$G1608)</f>
        <v/>
      </c>
      <c r="E1609" s="25" t="str">
        <f>IF($A1609="","",'Lot Balance'!$H1608)</f>
        <v/>
      </c>
      <c r="F1609" s="23" t="str">
        <f>IF($A1609="","",'Lot Balance'!$I1608)</f>
        <v/>
      </c>
      <c r="G1609" s="23" t="str">
        <f>IF($A1609="","",'Lot Balance'!$O1608)</f>
        <v/>
      </c>
      <c r="H1609" s="33" t="str">
        <f>IF($A1609="","",'Lot Balance'!$P1608)</f>
        <v/>
      </c>
      <c r="I1609" s="26" t="str">
        <f>IF($A1609="","",COUNTIFS(tblIssues[Lot Number],$B1609))</f>
        <v/>
      </c>
      <c r="J1609" s="31" t="str">
        <f>IF($A1609="","",IF('Lot Balance'!$O1608&lt;=0,"Depleted",'Lot Balance'!$Q1608))</f>
        <v/>
      </c>
    </row>
    <row r="1610" spans="1:10" x14ac:dyDescent="0.35">
      <c r="A1610" s="18" t="str">
        <f>IF('Lot Balance'!$A1609="","",'Lot Balance'!$A1609)</f>
        <v/>
      </c>
      <c r="B1610" s="18" t="str">
        <f>IF($A1610="","",'Lot Balance'!$B1609)</f>
        <v/>
      </c>
      <c r="C1610" s="18" t="str">
        <f>IF($A1610="","",'Lot Balance'!$C1609)</f>
        <v/>
      </c>
      <c r="D1610" s="25" t="str">
        <f>IF($A1610="","",'Lot Balance'!$G1609)</f>
        <v/>
      </c>
      <c r="E1610" s="25" t="str">
        <f>IF($A1610="","",'Lot Balance'!$H1609)</f>
        <v/>
      </c>
      <c r="F1610" s="23" t="str">
        <f>IF($A1610="","",'Lot Balance'!$I1609)</f>
        <v/>
      </c>
      <c r="G1610" s="23" t="str">
        <f>IF($A1610="","",'Lot Balance'!$O1609)</f>
        <v/>
      </c>
      <c r="H1610" s="33" t="str">
        <f>IF($A1610="","",'Lot Balance'!$P1609)</f>
        <v/>
      </c>
      <c r="I1610" s="26" t="str">
        <f>IF($A1610="","",COUNTIFS(tblIssues[Lot Number],$B1610))</f>
        <v/>
      </c>
      <c r="J1610" s="31" t="str">
        <f>IF($A1610="","",IF('Lot Balance'!$O1609&lt;=0,"Depleted",'Lot Balance'!$Q1609))</f>
        <v/>
      </c>
    </row>
    <row r="1611" spans="1:10" x14ac:dyDescent="0.35">
      <c r="A1611" s="18" t="str">
        <f>IF('Lot Balance'!$A1610="","",'Lot Balance'!$A1610)</f>
        <v/>
      </c>
      <c r="B1611" s="18" t="str">
        <f>IF($A1611="","",'Lot Balance'!$B1610)</f>
        <v/>
      </c>
      <c r="C1611" s="18" t="str">
        <f>IF($A1611="","",'Lot Balance'!$C1610)</f>
        <v/>
      </c>
      <c r="D1611" s="25" t="str">
        <f>IF($A1611="","",'Lot Balance'!$G1610)</f>
        <v/>
      </c>
      <c r="E1611" s="25" t="str">
        <f>IF($A1611="","",'Lot Balance'!$H1610)</f>
        <v/>
      </c>
      <c r="F1611" s="23" t="str">
        <f>IF($A1611="","",'Lot Balance'!$I1610)</f>
        <v/>
      </c>
      <c r="G1611" s="23" t="str">
        <f>IF($A1611="","",'Lot Balance'!$O1610)</f>
        <v/>
      </c>
      <c r="H1611" s="33" t="str">
        <f>IF($A1611="","",'Lot Balance'!$P1610)</f>
        <v/>
      </c>
      <c r="I1611" s="26" t="str">
        <f>IF($A1611="","",COUNTIFS(tblIssues[Lot Number],$B1611))</f>
        <v/>
      </c>
      <c r="J1611" s="31" t="str">
        <f>IF($A1611="","",IF('Lot Balance'!$O1610&lt;=0,"Depleted",'Lot Balance'!$Q1610))</f>
        <v/>
      </c>
    </row>
    <row r="1612" spans="1:10" x14ac:dyDescent="0.35">
      <c r="A1612" s="18" t="str">
        <f>IF('Lot Balance'!$A1611="","",'Lot Balance'!$A1611)</f>
        <v/>
      </c>
      <c r="B1612" s="18" t="str">
        <f>IF($A1612="","",'Lot Balance'!$B1611)</f>
        <v/>
      </c>
      <c r="C1612" s="18" t="str">
        <f>IF($A1612="","",'Lot Balance'!$C1611)</f>
        <v/>
      </c>
      <c r="D1612" s="25" t="str">
        <f>IF($A1612="","",'Lot Balance'!$G1611)</f>
        <v/>
      </c>
      <c r="E1612" s="25" t="str">
        <f>IF($A1612="","",'Lot Balance'!$H1611)</f>
        <v/>
      </c>
      <c r="F1612" s="23" t="str">
        <f>IF($A1612="","",'Lot Balance'!$I1611)</f>
        <v/>
      </c>
      <c r="G1612" s="23" t="str">
        <f>IF($A1612="","",'Lot Balance'!$O1611)</f>
        <v/>
      </c>
      <c r="H1612" s="33" t="str">
        <f>IF($A1612="","",'Lot Balance'!$P1611)</f>
        <v/>
      </c>
      <c r="I1612" s="26" t="str">
        <f>IF($A1612="","",COUNTIFS(tblIssues[Lot Number],$B1612))</f>
        <v/>
      </c>
      <c r="J1612" s="31" t="str">
        <f>IF($A1612="","",IF('Lot Balance'!$O1611&lt;=0,"Depleted",'Lot Balance'!$Q1611))</f>
        <v/>
      </c>
    </row>
    <row r="1613" spans="1:10" x14ac:dyDescent="0.35">
      <c r="A1613" s="18" t="str">
        <f>IF('Lot Balance'!$A1612="","",'Lot Balance'!$A1612)</f>
        <v/>
      </c>
      <c r="B1613" s="18" t="str">
        <f>IF($A1613="","",'Lot Balance'!$B1612)</f>
        <v/>
      </c>
      <c r="C1613" s="18" t="str">
        <f>IF($A1613="","",'Lot Balance'!$C1612)</f>
        <v/>
      </c>
      <c r="D1613" s="25" t="str">
        <f>IF($A1613="","",'Lot Balance'!$G1612)</f>
        <v/>
      </c>
      <c r="E1613" s="25" t="str">
        <f>IF($A1613="","",'Lot Balance'!$H1612)</f>
        <v/>
      </c>
      <c r="F1613" s="23" t="str">
        <f>IF($A1613="","",'Lot Balance'!$I1612)</f>
        <v/>
      </c>
      <c r="G1613" s="23" t="str">
        <f>IF($A1613="","",'Lot Balance'!$O1612)</f>
        <v/>
      </c>
      <c r="H1613" s="33" t="str">
        <f>IF($A1613="","",'Lot Balance'!$P1612)</f>
        <v/>
      </c>
      <c r="I1613" s="26" t="str">
        <f>IF($A1613="","",COUNTIFS(tblIssues[Lot Number],$B1613))</f>
        <v/>
      </c>
      <c r="J1613" s="31" t="str">
        <f>IF($A1613="","",IF('Lot Balance'!$O1612&lt;=0,"Depleted",'Lot Balance'!$Q1612))</f>
        <v/>
      </c>
    </row>
    <row r="1614" spans="1:10" x14ac:dyDescent="0.35">
      <c r="A1614" s="18" t="str">
        <f>IF('Lot Balance'!$A1613="","",'Lot Balance'!$A1613)</f>
        <v/>
      </c>
      <c r="B1614" s="18" t="str">
        <f>IF($A1614="","",'Lot Balance'!$B1613)</f>
        <v/>
      </c>
      <c r="C1614" s="18" t="str">
        <f>IF($A1614="","",'Lot Balance'!$C1613)</f>
        <v/>
      </c>
      <c r="D1614" s="25" t="str">
        <f>IF($A1614="","",'Lot Balance'!$G1613)</f>
        <v/>
      </c>
      <c r="E1614" s="25" t="str">
        <f>IF($A1614="","",'Lot Balance'!$H1613)</f>
        <v/>
      </c>
      <c r="F1614" s="23" t="str">
        <f>IF($A1614="","",'Lot Balance'!$I1613)</f>
        <v/>
      </c>
      <c r="G1614" s="23" t="str">
        <f>IF($A1614="","",'Lot Balance'!$O1613)</f>
        <v/>
      </c>
      <c r="H1614" s="33" t="str">
        <f>IF($A1614="","",'Lot Balance'!$P1613)</f>
        <v/>
      </c>
      <c r="I1614" s="26" t="str">
        <f>IF($A1614="","",COUNTIFS(tblIssues[Lot Number],$B1614))</f>
        <v/>
      </c>
      <c r="J1614" s="31" t="str">
        <f>IF($A1614="","",IF('Lot Balance'!$O1613&lt;=0,"Depleted",'Lot Balance'!$Q1613))</f>
        <v/>
      </c>
    </row>
    <row r="1615" spans="1:10" x14ac:dyDescent="0.35">
      <c r="A1615" s="18" t="str">
        <f>IF('Lot Balance'!$A1614="","",'Lot Balance'!$A1614)</f>
        <v/>
      </c>
      <c r="B1615" s="18" t="str">
        <f>IF($A1615="","",'Lot Balance'!$B1614)</f>
        <v/>
      </c>
      <c r="C1615" s="18" t="str">
        <f>IF($A1615="","",'Lot Balance'!$C1614)</f>
        <v/>
      </c>
      <c r="D1615" s="25" t="str">
        <f>IF($A1615="","",'Lot Balance'!$G1614)</f>
        <v/>
      </c>
      <c r="E1615" s="25" t="str">
        <f>IF($A1615="","",'Lot Balance'!$H1614)</f>
        <v/>
      </c>
      <c r="F1615" s="23" t="str">
        <f>IF($A1615="","",'Lot Balance'!$I1614)</f>
        <v/>
      </c>
      <c r="G1615" s="23" t="str">
        <f>IF($A1615="","",'Lot Balance'!$O1614)</f>
        <v/>
      </c>
      <c r="H1615" s="33" t="str">
        <f>IF($A1615="","",'Lot Balance'!$P1614)</f>
        <v/>
      </c>
      <c r="I1615" s="26" t="str">
        <f>IF($A1615="","",COUNTIFS(tblIssues[Lot Number],$B1615))</f>
        <v/>
      </c>
      <c r="J1615" s="31" t="str">
        <f>IF($A1615="","",IF('Lot Balance'!$O1614&lt;=0,"Depleted",'Lot Balance'!$Q1614))</f>
        <v/>
      </c>
    </row>
    <row r="1616" spans="1:10" x14ac:dyDescent="0.35">
      <c r="A1616" s="18" t="str">
        <f>IF('Lot Balance'!$A1615="","",'Lot Balance'!$A1615)</f>
        <v/>
      </c>
      <c r="B1616" s="18" t="str">
        <f>IF($A1616="","",'Lot Balance'!$B1615)</f>
        <v/>
      </c>
      <c r="C1616" s="18" t="str">
        <f>IF($A1616="","",'Lot Balance'!$C1615)</f>
        <v/>
      </c>
      <c r="D1616" s="25" t="str">
        <f>IF($A1616="","",'Lot Balance'!$G1615)</f>
        <v/>
      </c>
      <c r="E1616" s="25" t="str">
        <f>IF($A1616="","",'Lot Balance'!$H1615)</f>
        <v/>
      </c>
      <c r="F1616" s="23" t="str">
        <f>IF($A1616="","",'Lot Balance'!$I1615)</f>
        <v/>
      </c>
      <c r="G1616" s="23" t="str">
        <f>IF($A1616="","",'Lot Balance'!$O1615)</f>
        <v/>
      </c>
      <c r="H1616" s="33" t="str">
        <f>IF($A1616="","",'Lot Balance'!$P1615)</f>
        <v/>
      </c>
      <c r="I1616" s="26" t="str">
        <f>IF($A1616="","",COUNTIFS(tblIssues[Lot Number],$B1616))</f>
        <v/>
      </c>
      <c r="J1616" s="31" t="str">
        <f>IF($A1616="","",IF('Lot Balance'!$O1615&lt;=0,"Depleted",'Lot Balance'!$Q1615))</f>
        <v/>
      </c>
    </row>
    <row r="1617" spans="1:10" x14ac:dyDescent="0.35">
      <c r="A1617" s="18" t="str">
        <f>IF('Lot Balance'!$A1616="","",'Lot Balance'!$A1616)</f>
        <v/>
      </c>
      <c r="B1617" s="18" t="str">
        <f>IF($A1617="","",'Lot Balance'!$B1616)</f>
        <v/>
      </c>
      <c r="C1617" s="18" t="str">
        <f>IF($A1617="","",'Lot Balance'!$C1616)</f>
        <v/>
      </c>
      <c r="D1617" s="25" t="str">
        <f>IF($A1617="","",'Lot Balance'!$G1616)</f>
        <v/>
      </c>
      <c r="E1617" s="25" t="str">
        <f>IF($A1617="","",'Lot Balance'!$H1616)</f>
        <v/>
      </c>
      <c r="F1617" s="23" t="str">
        <f>IF($A1617="","",'Lot Balance'!$I1616)</f>
        <v/>
      </c>
      <c r="G1617" s="23" t="str">
        <f>IF($A1617="","",'Lot Balance'!$O1616)</f>
        <v/>
      </c>
      <c r="H1617" s="33" t="str">
        <f>IF($A1617="","",'Lot Balance'!$P1616)</f>
        <v/>
      </c>
      <c r="I1617" s="26" t="str">
        <f>IF($A1617="","",COUNTIFS(tblIssues[Lot Number],$B1617))</f>
        <v/>
      </c>
      <c r="J1617" s="31" t="str">
        <f>IF($A1617="","",IF('Lot Balance'!$O1616&lt;=0,"Depleted",'Lot Balance'!$Q1616))</f>
        <v/>
      </c>
    </row>
    <row r="1618" spans="1:10" x14ac:dyDescent="0.35">
      <c r="A1618" s="18" t="str">
        <f>IF('Lot Balance'!$A1617="","",'Lot Balance'!$A1617)</f>
        <v/>
      </c>
      <c r="B1618" s="18" t="str">
        <f>IF($A1618="","",'Lot Balance'!$B1617)</f>
        <v/>
      </c>
      <c r="C1618" s="18" t="str">
        <f>IF($A1618="","",'Lot Balance'!$C1617)</f>
        <v/>
      </c>
      <c r="D1618" s="25" t="str">
        <f>IF($A1618="","",'Lot Balance'!$G1617)</f>
        <v/>
      </c>
      <c r="E1618" s="25" t="str">
        <f>IF($A1618="","",'Lot Balance'!$H1617)</f>
        <v/>
      </c>
      <c r="F1618" s="23" t="str">
        <f>IF($A1618="","",'Lot Balance'!$I1617)</f>
        <v/>
      </c>
      <c r="G1618" s="23" t="str">
        <f>IF($A1618="","",'Lot Balance'!$O1617)</f>
        <v/>
      </c>
      <c r="H1618" s="33" t="str">
        <f>IF($A1618="","",'Lot Balance'!$P1617)</f>
        <v/>
      </c>
      <c r="I1618" s="26" t="str">
        <f>IF($A1618="","",COUNTIFS(tblIssues[Lot Number],$B1618))</f>
        <v/>
      </c>
      <c r="J1618" s="31" t="str">
        <f>IF($A1618="","",IF('Lot Balance'!$O1617&lt;=0,"Depleted",'Lot Balance'!$Q1617))</f>
        <v/>
      </c>
    </row>
    <row r="1619" spans="1:10" x14ac:dyDescent="0.35">
      <c r="A1619" s="18" t="str">
        <f>IF('Lot Balance'!$A1618="","",'Lot Balance'!$A1618)</f>
        <v/>
      </c>
      <c r="B1619" s="18" t="str">
        <f>IF($A1619="","",'Lot Balance'!$B1618)</f>
        <v/>
      </c>
      <c r="C1619" s="18" t="str">
        <f>IF($A1619="","",'Lot Balance'!$C1618)</f>
        <v/>
      </c>
      <c r="D1619" s="25" t="str">
        <f>IF($A1619="","",'Lot Balance'!$G1618)</f>
        <v/>
      </c>
      <c r="E1619" s="25" t="str">
        <f>IF($A1619="","",'Lot Balance'!$H1618)</f>
        <v/>
      </c>
      <c r="F1619" s="23" t="str">
        <f>IF($A1619="","",'Lot Balance'!$I1618)</f>
        <v/>
      </c>
      <c r="G1619" s="23" t="str">
        <f>IF($A1619="","",'Lot Balance'!$O1618)</f>
        <v/>
      </c>
      <c r="H1619" s="33" t="str">
        <f>IF($A1619="","",'Lot Balance'!$P1618)</f>
        <v/>
      </c>
      <c r="I1619" s="26" t="str">
        <f>IF($A1619="","",COUNTIFS(tblIssues[Lot Number],$B1619))</f>
        <v/>
      </c>
      <c r="J1619" s="31" t="str">
        <f>IF($A1619="","",IF('Lot Balance'!$O1618&lt;=0,"Depleted",'Lot Balance'!$Q1618))</f>
        <v/>
      </c>
    </row>
    <row r="1620" spans="1:10" x14ac:dyDescent="0.35">
      <c r="A1620" s="18" t="str">
        <f>IF('Lot Balance'!$A1619="","",'Lot Balance'!$A1619)</f>
        <v/>
      </c>
      <c r="B1620" s="18" t="str">
        <f>IF($A1620="","",'Lot Balance'!$B1619)</f>
        <v/>
      </c>
      <c r="C1620" s="18" t="str">
        <f>IF($A1620="","",'Lot Balance'!$C1619)</f>
        <v/>
      </c>
      <c r="D1620" s="25" t="str">
        <f>IF($A1620="","",'Lot Balance'!$G1619)</f>
        <v/>
      </c>
      <c r="E1620" s="25" t="str">
        <f>IF($A1620="","",'Lot Balance'!$H1619)</f>
        <v/>
      </c>
      <c r="F1620" s="23" t="str">
        <f>IF($A1620="","",'Lot Balance'!$I1619)</f>
        <v/>
      </c>
      <c r="G1620" s="23" t="str">
        <f>IF($A1620="","",'Lot Balance'!$O1619)</f>
        <v/>
      </c>
      <c r="H1620" s="33" t="str">
        <f>IF($A1620="","",'Lot Balance'!$P1619)</f>
        <v/>
      </c>
      <c r="I1620" s="26" t="str">
        <f>IF($A1620="","",COUNTIFS(tblIssues[Lot Number],$B1620))</f>
        <v/>
      </c>
      <c r="J1620" s="31" t="str">
        <f>IF($A1620="","",IF('Lot Balance'!$O1619&lt;=0,"Depleted",'Lot Balance'!$Q1619))</f>
        <v/>
      </c>
    </row>
    <row r="1621" spans="1:10" x14ac:dyDescent="0.35">
      <c r="A1621" s="18" t="str">
        <f>IF('Lot Balance'!$A1620="","",'Lot Balance'!$A1620)</f>
        <v/>
      </c>
      <c r="B1621" s="18" t="str">
        <f>IF($A1621="","",'Lot Balance'!$B1620)</f>
        <v/>
      </c>
      <c r="C1621" s="18" t="str">
        <f>IF($A1621="","",'Lot Balance'!$C1620)</f>
        <v/>
      </c>
      <c r="D1621" s="25" t="str">
        <f>IF($A1621="","",'Lot Balance'!$G1620)</f>
        <v/>
      </c>
      <c r="E1621" s="25" t="str">
        <f>IF($A1621="","",'Lot Balance'!$H1620)</f>
        <v/>
      </c>
      <c r="F1621" s="23" t="str">
        <f>IF($A1621="","",'Lot Balance'!$I1620)</f>
        <v/>
      </c>
      <c r="G1621" s="23" t="str">
        <f>IF($A1621="","",'Lot Balance'!$O1620)</f>
        <v/>
      </c>
      <c r="H1621" s="33" t="str">
        <f>IF($A1621="","",'Lot Balance'!$P1620)</f>
        <v/>
      </c>
      <c r="I1621" s="26" t="str">
        <f>IF($A1621="","",COUNTIFS(tblIssues[Lot Number],$B1621))</f>
        <v/>
      </c>
      <c r="J1621" s="31" t="str">
        <f>IF($A1621="","",IF('Lot Balance'!$O1620&lt;=0,"Depleted",'Lot Balance'!$Q1620))</f>
        <v/>
      </c>
    </row>
    <row r="1622" spans="1:10" x14ac:dyDescent="0.35">
      <c r="A1622" s="18" t="str">
        <f>IF('Lot Balance'!$A1621="","",'Lot Balance'!$A1621)</f>
        <v/>
      </c>
      <c r="B1622" s="18" t="str">
        <f>IF($A1622="","",'Lot Balance'!$B1621)</f>
        <v/>
      </c>
      <c r="C1622" s="18" t="str">
        <f>IF($A1622="","",'Lot Balance'!$C1621)</f>
        <v/>
      </c>
      <c r="D1622" s="25" t="str">
        <f>IF($A1622="","",'Lot Balance'!$G1621)</f>
        <v/>
      </c>
      <c r="E1622" s="25" t="str">
        <f>IF($A1622="","",'Lot Balance'!$H1621)</f>
        <v/>
      </c>
      <c r="F1622" s="23" t="str">
        <f>IF($A1622="","",'Lot Balance'!$I1621)</f>
        <v/>
      </c>
      <c r="G1622" s="23" t="str">
        <f>IF($A1622="","",'Lot Balance'!$O1621)</f>
        <v/>
      </c>
      <c r="H1622" s="33" t="str">
        <f>IF($A1622="","",'Lot Balance'!$P1621)</f>
        <v/>
      </c>
      <c r="I1622" s="26" t="str">
        <f>IF($A1622="","",COUNTIFS(tblIssues[Lot Number],$B1622))</f>
        <v/>
      </c>
      <c r="J1622" s="31" t="str">
        <f>IF($A1622="","",IF('Lot Balance'!$O1621&lt;=0,"Depleted",'Lot Balance'!$Q1621))</f>
        <v/>
      </c>
    </row>
    <row r="1623" spans="1:10" x14ac:dyDescent="0.35">
      <c r="A1623" s="18" t="str">
        <f>IF('Lot Balance'!$A1622="","",'Lot Balance'!$A1622)</f>
        <v/>
      </c>
      <c r="B1623" s="18" t="str">
        <f>IF($A1623="","",'Lot Balance'!$B1622)</f>
        <v/>
      </c>
      <c r="C1623" s="18" t="str">
        <f>IF($A1623="","",'Lot Balance'!$C1622)</f>
        <v/>
      </c>
      <c r="D1623" s="25" t="str">
        <f>IF($A1623="","",'Lot Balance'!$G1622)</f>
        <v/>
      </c>
      <c r="E1623" s="25" t="str">
        <f>IF($A1623="","",'Lot Balance'!$H1622)</f>
        <v/>
      </c>
      <c r="F1623" s="23" t="str">
        <f>IF($A1623="","",'Lot Balance'!$I1622)</f>
        <v/>
      </c>
      <c r="G1623" s="23" t="str">
        <f>IF($A1623="","",'Lot Balance'!$O1622)</f>
        <v/>
      </c>
      <c r="H1623" s="33" t="str">
        <f>IF($A1623="","",'Lot Balance'!$P1622)</f>
        <v/>
      </c>
      <c r="I1623" s="26" t="str">
        <f>IF($A1623="","",COUNTIFS(tblIssues[Lot Number],$B1623))</f>
        <v/>
      </c>
      <c r="J1623" s="31" t="str">
        <f>IF($A1623="","",IF('Lot Balance'!$O1622&lt;=0,"Depleted",'Lot Balance'!$Q1622))</f>
        <v/>
      </c>
    </row>
    <row r="1624" spans="1:10" x14ac:dyDescent="0.35">
      <c r="A1624" s="18" t="str">
        <f>IF('Lot Balance'!$A1623="","",'Lot Balance'!$A1623)</f>
        <v/>
      </c>
      <c r="B1624" s="18" t="str">
        <f>IF($A1624="","",'Lot Balance'!$B1623)</f>
        <v/>
      </c>
      <c r="C1624" s="18" t="str">
        <f>IF($A1624="","",'Lot Balance'!$C1623)</f>
        <v/>
      </c>
      <c r="D1624" s="25" t="str">
        <f>IF($A1624="","",'Lot Balance'!$G1623)</f>
        <v/>
      </c>
      <c r="E1624" s="25" t="str">
        <f>IF($A1624="","",'Lot Balance'!$H1623)</f>
        <v/>
      </c>
      <c r="F1624" s="23" t="str">
        <f>IF($A1624="","",'Lot Balance'!$I1623)</f>
        <v/>
      </c>
      <c r="G1624" s="23" t="str">
        <f>IF($A1624="","",'Lot Balance'!$O1623)</f>
        <v/>
      </c>
      <c r="H1624" s="33" t="str">
        <f>IF($A1624="","",'Lot Balance'!$P1623)</f>
        <v/>
      </c>
      <c r="I1624" s="26" t="str">
        <f>IF($A1624="","",COUNTIFS(tblIssues[Lot Number],$B1624))</f>
        <v/>
      </c>
      <c r="J1624" s="31" t="str">
        <f>IF($A1624="","",IF('Lot Balance'!$O1623&lt;=0,"Depleted",'Lot Balance'!$Q1623))</f>
        <v/>
      </c>
    </row>
    <row r="1625" spans="1:10" x14ac:dyDescent="0.35">
      <c r="A1625" s="18" t="str">
        <f>IF('Lot Balance'!$A1624="","",'Lot Balance'!$A1624)</f>
        <v/>
      </c>
      <c r="B1625" s="18" t="str">
        <f>IF($A1625="","",'Lot Balance'!$B1624)</f>
        <v/>
      </c>
      <c r="C1625" s="18" t="str">
        <f>IF($A1625="","",'Lot Balance'!$C1624)</f>
        <v/>
      </c>
      <c r="D1625" s="25" t="str">
        <f>IF($A1625="","",'Lot Balance'!$G1624)</f>
        <v/>
      </c>
      <c r="E1625" s="25" t="str">
        <f>IF($A1625="","",'Lot Balance'!$H1624)</f>
        <v/>
      </c>
      <c r="F1625" s="23" t="str">
        <f>IF($A1625="","",'Lot Balance'!$I1624)</f>
        <v/>
      </c>
      <c r="G1625" s="23" t="str">
        <f>IF($A1625="","",'Lot Balance'!$O1624)</f>
        <v/>
      </c>
      <c r="H1625" s="33" t="str">
        <f>IF($A1625="","",'Lot Balance'!$P1624)</f>
        <v/>
      </c>
      <c r="I1625" s="26" t="str">
        <f>IF($A1625="","",COUNTIFS(tblIssues[Lot Number],$B1625))</f>
        <v/>
      </c>
      <c r="J1625" s="31" t="str">
        <f>IF($A1625="","",IF('Lot Balance'!$O1624&lt;=0,"Depleted",'Lot Balance'!$Q1624))</f>
        <v/>
      </c>
    </row>
    <row r="1626" spans="1:10" x14ac:dyDescent="0.35">
      <c r="A1626" s="18" t="str">
        <f>IF('Lot Balance'!$A1625="","",'Lot Balance'!$A1625)</f>
        <v/>
      </c>
      <c r="B1626" s="18" t="str">
        <f>IF($A1626="","",'Lot Balance'!$B1625)</f>
        <v/>
      </c>
      <c r="C1626" s="18" t="str">
        <f>IF($A1626="","",'Lot Balance'!$C1625)</f>
        <v/>
      </c>
      <c r="D1626" s="25" t="str">
        <f>IF($A1626="","",'Lot Balance'!$G1625)</f>
        <v/>
      </c>
      <c r="E1626" s="25" t="str">
        <f>IF($A1626="","",'Lot Balance'!$H1625)</f>
        <v/>
      </c>
      <c r="F1626" s="23" t="str">
        <f>IF($A1626="","",'Lot Balance'!$I1625)</f>
        <v/>
      </c>
      <c r="G1626" s="23" t="str">
        <f>IF($A1626="","",'Lot Balance'!$O1625)</f>
        <v/>
      </c>
      <c r="H1626" s="33" t="str">
        <f>IF($A1626="","",'Lot Balance'!$P1625)</f>
        <v/>
      </c>
      <c r="I1626" s="26" t="str">
        <f>IF($A1626="","",COUNTIFS(tblIssues[Lot Number],$B1626))</f>
        <v/>
      </c>
      <c r="J1626" s="31" t="str">
        <f>IF($A1626="","",IF('Lot Balance'!$O1625&lt;=0,"Depleted",'Lot Balance'!$Q1625))</f>
        <v/>
      </c>
    </row>
    <row r="1627" spans="1:10" x14ac:dyDescent="0.35">
      <c r="A1627" s="18" t="str">
        <f>IF('Lot Balance'!$A1626="","",'Lot Balance'!$A1626)</f>
        <v/>
      </c>
      <c r="B1627" s="18" t="str">
        <f>IF($A1627="","",'Lot Balance'!$B1626)</f>
        <v/>
      </c>
      <c r="C1627" s="18" t="str">
        <f>IF($A1627="","",'Lot Balance'!$C1626)</f>
        <v/>
      </c>
      <c r="D1627" s="25" t="str">
        <f>IF($A1627="","",'Lot Balance'!$G1626)</f>
        <v/>
      </c>
      <c r="E1627" s="25" t="str">
        <f>IF($A1627="","",'Lot Balance'!$H1626)</f>
        <v/>
      </c>
      <c r="F1627" s="23" t="str">
        <f>IF($A1627="","",'Lot Balance'!$I1626)</f>
        <v/>
      </c>
      <c r="G1627" s="23" t="str">
        <f>IF($A1627="","",'Lot Balance'!$O1626)</f>
        <v/>
      </c>
      <c r="H1627" s="33" t="str">
        <f>IF($A1627="","",'Lot Balance'!$P1626)</f>
        <v/>
      </c>
      <c r="I1627" s="26" t="str">
        <f>IF($A1627="","",COUNTIFS(tblIssues[Lot Number],$B1627))</f>
        <v/>
      </c>
      <c r="J1627" s="31" t="str">
        <f>IF($A1627="","",IF('Lot Balance'!$O1626&lt;=0,"Depleted",'Lot Balance'!$Q1626))</f>
        <v/>
      </c>
    </row>
    <row r="1628" spans="1:10" x14ac:dyDescent="0.35">
      <c r="A1628" s="18" t="str">
        <f>IF('Lot Balance'!$A1627="","",'Lot Balance'!$A1627)</f>
        <v/>
      </c>
      <c r="B1628" s="18" t="str">
        <f>IF($A1628="","",'Lot Balance'!$B1627)</f>
        <v/>
      </c>
      <c r="C1628" s="18" t="str">
        <f>IF($A1628="","",'Lot Balance'!$C1627)</f>
        <v/>
      </c>
      <c r="D1628" s="25" t="str">
        <f>IF($A1628="","",'Lot Balance'!$G1627)</f>
        <v/>
      </c>
      <c r="E1628" s="25" t="str">
        <f>IF($A1628="","",'Lot Balance'!$H1627)</f>
        <v/>
      </c>
      <c r="F1628" s="23" t="str">
        <f>IF($A1628="","",'Lot Balance'!$I1627)</f>
        <v/>
      </c>
      <c r="G1628" s="23" t="str">
        <f>IF($A1628="","",'Lot Balance'!$O1627)</f>
        <v/>
      </c>
      <c r="H1628" s="33" t="str">
        <f>IF($A1628="","",'Lot Balance'!$P1627)</f>
        <v/>
      </c>
      <c r="I1628" s="26" t="str">
        <f>IF($A1628="","",COUNTIFS(tblIssues[Lot Number],$B1628))</f>
        <v/>
      </c>
      <c r="J1628" s="31" t="str">
        <f>IF($A1628="","",IF('Lot Balance'!$O1627&lt;=0,"Depleted",'Lot Balance'!$Q1627))</f>
        <v/>
      </c>
    </row>
    <row r="1629" spans="1:10" x14ac:dyDescent="0.35">
      <c r="A1629" s="18" t="str">
        <f>IF('Lot Balance'!$A1628="","",'Lot Balance'!$A1628)</f>
        <v/>
      </c>
      <c r="B1629" s="18" t="str">
        <f>IF($A1629="","",'Lot Balance'!$B1628)</f>
        <v/>
      </c>
      <c r="C1629" s="18" t="str">
        <f>IF($A1629="","",'Lot Balance'!$C1628)</f>
        <v/>
      </c>
      <c r="D1629" s="25" t="str">
        <f>IF($A1629="","",'Lot Balance'!$G1628)</f>
        <v/>
      </c>
      <c r="E1629" s="25" t="str">
        <f>IF($A1629="","",'Lot Balance'!$H1628)</f>
        <v/>
      </c>
      <c r="F1629" s="23" t="str">
        <f>IF($A1629="","",'Lot Balance'!$I1628)</f>
        <v/>
      </c>
      <c r="G1629" s="23" t="str">
        <f>IF($A1629="","",'Lot Balance'!$O1628)</f>
        <v/>
      </c>
      <c r="H1629" s="33" t="str">
        <f>IF($A1629="","",'Lot Balance'!$P1628)</f>
        <v/>
      </c>
      <c r="I1629" s="26" t="str">
        <f>IF($A1629="","",COUNTIFS(tblIssues[Lot Number],$B1629))</f>
        <v/>
      </c>
      <c r="J1629" s="31" t="str">
        <f>IF($A1629="","",IF('Lot Balance'!$O1628&lt;=0,"Depleted",'Lot Balance'!$Q1628))</f>
        <v/>
      </c>
    </row>
    <row r="1630" spans="1:10" x14ac:dyDescent="0.35">
      <c r="A1630" s="18" t="str">
        <f>IF('Lot Balance'!$A1629="","",'Lot Balance'!$A1629)</f>
        <v/>
      </c>
      <c r="B1630" s="18" t="str">
        <f>IF($A1630="","",'Lot Balance'!$B1629)</f>
        <v/>
      </c>
      <c r="C1630" s="18" t="str">
        <f>IF($A1630="","",'Lot Balance'!$C1629)</f>
        <v/>
      </c>
      <c r="D1630" s="25" t="str">
        <f>IF($A1630="","",'Lot Balance'!$G1629)</f>
        <v/>
      </c>
      <c r="E1630" s="25" t="str">
        <f>IF($A1630="","",'Lot Balance'!$H1629)</f>
        <v/>
      </c>
      <c r="F1630" s="23" t="str">
        <f>IF($A1630="","",'Lot Balance'!$I1629)</f>
        <v/>
      </c>
      <c r="G1630" s="23" t="str">
        <f>IF($A1630="","",'Lot Balance'!$O1629)</f>
        <v/>
      </c>
      <c r="H1630" s="33" t="str">
        <f>IF($A1630="","",'Lot Balance'!$P1629)</f>
        <v/>
      </c>
      <c r="I1630" s="26" t="str">
        <f>IF($A1630="","",COUNTIFS(tblIssues[Lot Number],$B1630))</f>
        <v/>
      </c>
      <c r="J1630" s="31" t="str">
        <f>IF($A1630="","",IF('Lot Balance'!$O1629&lt;=0,"Depleted",'Lot Balance'!$Q1629))</f>
        <v/>
      </c>
    </row>
    <row r="1631" spans="1:10" x14ac:dyDescent="0.35">
      <c r="A1631" s="18" t="str">
        <f>IF('Lot Balance'!$A1630="","",'Lot Balance'!$A1630)</f>
        <v/>
      </c>
      <c r="B1631" s="18" t="str">
        <f>IF($A1631="","",'Lot Balance'!$B1630)</f>
        <v/>
      </c>
      <c r="C1631" s="18" t="str">
        <f>IF($A1631="","",'Lot Balance'!$C1630)</f>
        <v/>
      </c>
      <c r="D1631" s="25" t="str">
        <f>IF($A1631="","",'Lot Balance'!$G1630)</f>
        <v/>
      </c>
      <c r="E1631" s="25" t="str">
        <f>IF($A1631="","",'Lot Balance'!$H1630)</f>
        <v/>
      </c>
      <c r="F1631" s="23" t="str">
        <f>IF($A1631="","",'Lot Balance'!$I1630)</f>
        <v/>
      </c>
      <c r="G1631" s="23" t="str">
        <f>IF($A1631="","",'Lot Balance'!$O1630)</f>
        <v/>
      </c>
      <c r="H1631" s="33" t="str">
        <f>IF($A1631="","",'Lot Balance'!$P1630)</f>
        <v/>
      </c>
      <c r="I1631" s="26" t="str">
        <f>IF($A1631="","",COUNTIFS(tblIssues[Lot Number],$B1631))</f>
        <v/>
      </c>
      <c r="J1631" s="31" t="str">
        <f>IF($A1631="","",IF('Lot Balance'!$O1630&lt;=0,"Depleted",'Lot Balance'!$Q1630))</f>
        <v/>
      </c>
    </row>
    <row r="1632" spans="1:10" x14ac:dyDescent="0.35">
      <c r="A1632" s="18" t="str">
        <f>IF('Lot Balance'!$A1631="","",'Lot Balance'!$A1631)</f>
        <v/>
      </c>
      <c r="B1632" s="18" t="str">
        <f>IF($A1632="","",'Lot Balance'!$B1631)</f>
        <v/>
      </c>
      <c r="C1632" s="18" t="str">
        <f>IF($A1632="","",'Lot Balance'!$C1631)</f>
        <v/>
      </c>
      <c r="D1632" s="25" t="str">
        <f>IF($A1632="","",'Lot Balance'!$G1631)</f>
        <v/>
      </c>
      <c r="E1632" s="25" t="str">
        <f>IF($A1632="","",'Lot Balance'!$H1631)</f>
        <v/>
      </c>
      <c r="F1632" s="23" t="str">
        <f>IF($A1632="","",'Lot Balance'!$I1631)</f>
        <v/>
      </c>
      <c r="G1632" s="23" t="str">
        <f>IF($A1632="","",'Lot Balance'!$O1631)</f>
        <v/>
      </c>
      <c r="H1632" s="33" t="str">
        <f>IF($A1632="","",'Lot Balance'!$P1631)</f>
        <v/>
      </c>
      <c r="I1632" s="26" t="str">
        <f>IF($A1632="","",COUNTIFS(tblIssues[Lot Number],$B1632))</f>
        <v/>
      </c>
      <c r="J1632" s="31" t="str">
        <f>IF($A1632="","",IF('Lot Balance'!$O1631&lt;=0,"Depleted",'Lot Balance'!$Q1631))</f>
        <v/>
      </c>
    </row>
    <row r="1633" spans="1:10" x14ac:dyDescent="0.35">
      <c r="A1633" s="18" t="str">
        <f>IF('Lot Balance'!$A1632="","",'Lot Balance'!$A1632)</f>
        <v/>
      </c>
      <c r="B1633" s="18" t="str">
        <f>IF($A1633="","",'Lot Balance'!$B1632)</f>
        <v/>
      </c>
      <c r="C1633" s="18" t="str">
        <f>IF($A1633="","",'Lot Balance'!$C1632)</f>
        <v/>
      </c>
      <c r="D1633" s="25" t="str">
        <f>IF($A1633="","",'Lot Balance'!$G1632)</f>
        <v/>
      </c>
      <c r="E1633" s="25" t="str">
        <f>IF($A1633="","",'Lot Balance'!$H1632)</f>
        <v/>
      </c>
      <c r="F1633" s="23" t="str">
        <f>IF($A1633="","",'Lot Balance'!$I1632)</f>
        <v/>
      </c>
      <c r="G1633" s="23" t="str">
        <f>IF($A1633="","",'Lot Balance'!$O1632)</f>
        <v/>
      </c>
      <c r="H1633" s="33" t="str">
        <f>IF($A1633="","",'Lot Balance'!$P1632)</f>
        <v/>
      </c>
      <c r="I1633" s="26" t="str">
        <f>IF($A1633="","",COUNTIFS(tblIssues[Lot Number],$B1633))</f>
        <v/>
      </c>
      <c r="J1633" s="31" t="str">
        <f>IF($A1633="","",IF('Lot Balance'!$O1632&lt;=0,"Depleted",'Lot Balance'!$Q1632))</f>
        <v/>
      </c>
    </row>
    <row r="1634" spans="1:10" x14ac:dyDescent="0.35">
      <c r="A1634" s="18" t="str">
        <f>IF('Lot Balance'!$A1633="","",'Lot Balance'!$A1633)</f>
        <v/>
      </c>
      <c r="B1634" s="18" t="str">
        <f>IF($A1634="","",'Lot Balance'!$B1633)</f>
        <v/>
      </c>
      <c r="C1634" s="18" t="str">
        <f>IF($A1634="","",'Lot Balance'!$C1633)</f>
        <v/>
      </c>
      <c r="D1634" s="25" t="str">
        <f>IF($A1634="","",'Lot Balance'!$G1633)</f>
        <v/>
      </c>
      <c r="E1634" s="25" t="str">
        <f>IF($A1634="","",'Lot Balance'!$H1633)</f>
        <v/>
      </c>
      <c r="F1634" s="23" t="str">
        <f>IF($A1634="","",'Lot Balance'!$I1633)</f>
        <v/>
      </c>
      <c r="G1634" s="23" t="str">
        <f>IF($A1634="","",'Lot Balance'!$O1633)</f>
        <v/>
      </c>
      <c r="H1634" s="33" t="str">
        <f>IF($A1634="","",'Lot Balance'!$P1633)</f>
        <v/>
      </c>
      <c r="I1634" s="26" t="str">
        <f>IF($A1634="","",COUNTIFS(tblIssues[Lot Number],$B1634))</f>
        <v/>
      </c>
      <c r="J1634" s="31" t="str">
        <f>IF($A1634="","",IF('Lot Balance'!$O1633&lt;=0,"Depleted",'Lot Balance'!$Q1633))</f>
        <v/>
      </c>
    </row>
    <row r="1635" spans="1:10" x14ac:dyDescent="0.35">
      <c r="A1635" s="18" t="str">
        <f>IF('Lot Balance'!$A1634="","",'Lot Balance'!$A1634)</f>
        <v/>
      </c>
      <c r="B1635" s="18" t="str">
        <f>IF($A1635="","",'Lot Balance'!$B1634)</f>
        <v/>
      </c>
      <c r="C1635" s="18" t="str">
        <f>IF($A1635="","",'Lot Balance'!$C1634)</f>
        <v/>
      </c>
      <c r="D1635" s="25" t="str">
        <f>IF($A1635="","",'Lot Balance'!$G1634)</f>
        <v/>
      </c>
      <c r="E1635" s="25" t="str">
        <f>IF($A1635="","",'Lot Balance'!$H1634)</f>
        <v/>
      </c>
      <c r="F1635" s="23" t="str">
        <f>IF($A1635="","",'Lot Balance'!$I1634)</f>
        <v/>
      </c>
      <c r="G1635" s="23" t="str">
        <f>IF($A1635="","",'Lot Balance'!$O1634)</f>
        <v/>
      </c>
      <c r="H1635" s="33" t="str">
        <f>IF($A1635="","",'Lot Balance'!$P1634)</f>
        <v/>
      </c>
      <c r="I1635" s="26" t="str">
        <f>IF($A1635="","",COUNTIFS(tblIssues[Lot Number],$B1635))</f>
        <v/>
      </c>
      <c r="J1635" s="31" t="str">
        <f>IF($A1635="","",IF('Lot Balance'!$O1634&lt;=0,"Depleted",'Lot Balance'!$Q1634))</f>
        <v/>
      </c>
    </row>
    <row r="1636" spans="1:10" x14ac:dyDescent="0.35">
      <c r="A1636" s="18" t="str">
        <f>IF('Lot Balance'!$A1635="","",'Lot Balance'!$A1635)</f>
        <v/>
      </c>
      <c r="B1636" s="18" t="str">
        <f>IF($A1636="","",'Lot Balance'!$B1635)</f>
        <v/>
      </c>
      <c r="C1636" s="18" t="str">
        <f>IF($A1636="","",'Lot Balance'!$C1635)</f>
        <v/>
      </c>
      <c r="D1636" s="25" t="str">
        <f>IF($A1636="","",'Lot Balance'!$G1635)</f>
        <v/>
      </c>
      <c r="E1636" s="25" t="str">
        <f>IF($A1636="","",'Lot Balance'!$H1635)</f>
        <v/>
      </c>
      <c r="F1636" s="23" t="str">
        <f>IF($A1636="","",'Lot Balance'!$I1635)</f>
        <v/>
      </c>
      <c r="G1636" s="23" t="str">
        <f>IF($A1636="","",'Lot Balance'!$O1635)</f>
        <v/>
      </c>
      <c r="H1636" s="33" t="str">
        <f>IF($A1636="","",'Lot Balance'!$P1635)</f>
        <v/>
      </c>
      <c r="I1636" s="26" t="str">
        <f>IF($A1636="","",COUNTIFS(tblIssues[Lot Number],$B1636))</f>
        <v/>
      </c>
      <c r="J1636" s="31" t="str">
        <f>IF($A1636="","",IF('Lot Balance'!$O1635&lt;=0,"Depleted",'Lot Balance'!$Q1635))</f>
        <v/>
      </c>
    </row>
    <row r="1637" spans="1:10" x14ac:dyDescent="0.35">
      <c r="A1637" s="18" t="str">
        <f>IF('Lot Balance'!$A1636="","",'Lot Balance'!$A1636)</f>
        <v/>
      </c>
      <c r="B1637" s="18" t="str">
        <f>IF($A1637="","",'Lot Balance'!$B1636)</f>
        <v/>
      </c>
      <c r="C1637" s="18" t="str">
        <f>IF($A1637="","",'Lot Balance'!$C1636)</f>
        <v/>
      </c>
      <c r="D1637" s="25" t="str">
        <f>IF($A1637="","",'Lot Balance'!$G1636)</f>
        <v/>
      </c>
      <c r="E1637" s="25" t="str">
        <f>IF($A1637="","",'Lot Balance'!$H1636)</f>
        <v/>
      </c>
      <c r="F1637" s="23" t="str">
        <f>IF($A1637="","",'Lot Balance'!$I1636)</f>
        <v/>
      </c>
      <c r="G1637" s="23" t="str">
        <f>IF($A1637="","",'Lot Balance'!$O1636)</f>
        <v/>
      </c>
      <c r="H1637" s="33" t="str">
        <f>IF($A1637="","",'Lot Balance'!$P1636)</f>
        <v/>
      </c>
      <c r="I1637" s="26" t="str">
        <f>IF($A1637="","",COUNTIFS(tblIssues[Lot Number],$B1637))</f>
        <v/>
      </c>
      <c r="J1637" s="31" t="str">
        <f>IF($A1637="","",IF('Lot Balance'!$O1636&lt;=0,"Depleted",'Lot Balance'!$Q1636))</f>
        <v/>
      </c>
    </row>
    <row r="1638" spans="1:10" x14ac:dyDescent="0.35">
      <c r="A1638" s="18" t="str">
        <f>IF('Lot Balance'!$A1637="","",'Lot Balance'!$A1637)</f>
        <v/>
      </c>
      <c r="B1638" s="18" t="str">
        <f>IF($A1638="","",'Lot Balance'!$B1637)</f>
        <v/>
      </c>
      <c r="C1638" s="18" t="str">
        <f>IF($A1638="","",'Lot Balance'!$C1637)</f>
        <v/>
      </c>
      <c r="D1638" s="25" t="str">
        <f>IF($A1638="","",'Lot Balance'!$G1637)</f>
        <v/>
      </c>
      <c r="E1638" s="25" t="str">
        <f>IF($A1638="","",'Lot Balance'!$H1637)</f>
        <v/>
      </c>
      <c r="F1638" s="23" t="str">
        <f>IF($A1638="","",'Lot Balance'!$I1637)</f>
        <v/>
      </c>
      <c r="G1638" s="23" t="str">
        <f>IF($A1638="","",'Lot Balance'!$O1637)</f>
        <v/>
      </c>
      <c r="H1638" s="33" t="str">
        <f>IF($A1638="","",'Lot Balance'!$P1637)</f>
        <v/>
      </c>
      <c r="I1638" s="26" t="str">
        <f>IF($A1638="","",COUNTIFS(tblIssues[Lot Number],$B1638))</f>
        <v/>
      </c>
      <c r="J1638" s="31" t="str">
        <f>IF($A1638="","",IF('Lot Balance'!$O1637&lt;=0,"Depleted",'Lot Balance'!$Q1637))</f>
        <v/>
      </c>
    </row>
    <row r="1639" spans="1:10" x14ac:dyDescent="0.35">
      <c r="A1639" s="18" t="str">
        <f>IF('Lot Balance'!$A1638="","",'Lot Balance'!$A1638)</f>
        <v/>
      </c>
      <c r="B1639" s="18" t="str">
        <f>IF($A1639="","",'Lot Balance'!$B1638)</f>
        <v/>
      </c>
      <c r="C1639" s="18" t="str">
        <f>IF($A1639="","",'Lot Balance'!$C1638)</f>
        <v/>
      </c>
      <c r="D1639" s="25" t="str">
        <f>IF($A1639="","",'Lot Balance'!$G1638)</f>
        <v/>
      </c>
      <c r="E1639" s="25" t="str">
        <f>IF($A1639="","",'Lot Balance'!$H1638)</f>
        <v/>
      </c>
      <c r="F1639" s="23" t="str">
        <f>IF($A1639="","",'Lot Balance'!$I1638)</f>
        <v/>
      </c>
      <c r="G1639" s="23" t="str">
        <f>IF($A1639="","",'Lot Balance'!$O1638)</f>
        <v/>
      </c>
      <c r="H1639" s="33" t="str">
        <f>IF($A1639="","",'Lot Balance'!$P1638)</f>
        <v/>
      </c>
      <c r="I1639" s="26" t="str">
        <f>IF($A1639="","",COUNTIFS(tblIssues[Lot Number],$B1639))</f>
        <v/>
      </c>
      <c r="J1639" s="31" t="str">
        <f>IF($A1639="","",IF('Lot Balance'!$O1638&lt;=0,"Depleted",'Lot Balance'!$Q1638))</f>
        <v/>
      </c>
    </row>
    <row r="1640" spans="1:10" x14ac:dyDescent="0.35">
      <c r="A1640" s="18" t="str">
        <f>IF('Lot Balance'!$A1639="","",'Lot Balance'!$A1639)</f>
        <v/>
      </c>
      <c r="B1640" s="18" t="str">
        <f>IF($A1640="","",'Lot Balance'!$B1639)</f>
        <v/>
      </c>
      <c r="C1640" s="18" t="str">
        <f>IF($A1640="","",'Lot Balance'!$C1639)</f>
        <v/>
      </c>
      <c r="D1640" s="25" t="str">
        <f>IF($A1640="","",'Lot Balance'!$G1639)</f>
        <v/>
      </c>
      <c r="E1640" s="25" t="str">
        <f>IF($A1640="","",'Lot Balance'!$H1639)</f>
        <v/>
      </c>
      <c r="F1640" s="23" t="str">
        <f>IF($A1640="","",'Lot Balance'!$I1639)</f>
        <v/>
      </c>
      <c r="G1640" s="23" t="str">
        <f>IF($A1640="","",'Lot Balance'!$O1639)</f>
        <v/>
      </c>
      <c r="H1640" s="33" t="str">
        <f>IF($A1640="","",'Lot Balance'!$P1639)</f>
        <v/>
      </c>
      <c r="I1640" s="26" t="str">
        <f>IF($A1640="","",COUNTIFS(tblIssues[Lot Number],$B1640))</f>
        <v/>
      </c>
      <c r="J1640" s="31" t="str">
        <f>IF($A1640="","",IF('Lot Balance'!$O1639&lt;=0,"Depleted",'Lot Balance'!$Q1639))</f>
        <v/>
      </c>
    </row>
    <row r="1641" spans="1:10" x14ac:dyDescent="0.35">
      <c r="A1641" s="18" t="str">
        <f>IF('Lot Balance'!$A1640="","",'Lot Balance'!$A1640)</f>
        <v/>
      </c>
      <c r="B1641" s="18" t="str">
        <f>IF($A1641="","",'Lot Balance'!$B1640)</f>
        <v/>
      </c>
      <c r="C1641" s="18" t="str">
        <f>IF($A1641="","",'Lot Balance'!$C1640)</f>
        <v/>
      </c>
      <c r="D1641" s="25" t="str">
        <f>IF($A1641="","",'Lot Balance'!$G1640)</f>
        <v/>
      </c>
      <c r="E1641" s="25" t="str">
        <f>IF($A1641="","",'Lot Balance'!$H1640)</f>
        <v/>
      </c>
      <c r="F1641" s="23" t="str">
        <f>IF($A1641="","",'Lot Balance'!$I1640)</f>
        <v/>
      </c>
      <c r="G1641" s="23" t="str">
        <f>IF($A1641="","",'Lot Balance'!$O1640)</f>
        <v/>
      </c>
      <c r="H1641" s="33" t="str">
        <f>IF($A1641="","",'Lot Balance'!$P1640)</f>
        <v/>
      </c>
      <c r="I1641" s="26" t="str">
        <f>IF($A1641="","",COUNTIFS(tblIssues[Lot Number],$B1641))</f>
        <v/>
      </c>
      <c r="J1641" s="31" t="str">
        <f>IF($A1641="","",IF('Lot Balance'!$O1640&lt;=0,"Depleted",'Lot Balance'!$Q1640))</f>
        <v/>
      </c>
    </row>
    <row r="1642" spans="1:10" x14ac:dyDescent="0.35">
      <c r="A1642" s="18" t="str">
        <f>IF('Lot Balance'!$A1641="","",'Lot Balance'!$A1641)</f>
        <v/>
      </c>
      <c r="B1642" s="18" t="str">
        <f>IF($A1642="","",'Lot Balance'!$B1641)</f>
        <v/>
      </c>
      <c r="C1642" s="18" t="str">
        <f>IF($A1642="","",'Lot Balance'!$C1641)</f>
        <v/>
      </c>
      <c r="D1642" s="25" t="str">
        <f>IF($A1642="","",'Lot Balance'!$G1641)</f>
        <v/>
      </c>
      <c r="E1642" s="25" t="str">
        <f>IF($A1642="","",'Lot Balance'!$H1641)</f>
        <v/>
      </c>
      <c r="F1642" s="23" t="str">
        <f>IF($A1642="","",'Lot Balance'!$I1641)</f>
        <v/>
      </c>
      <c r="G1642" s="23" t="str">
        <f>IF($A1642="","",'Lot Balance'!$O1641)</f>
        <v/>
      </c>
      <c r="H1642" s="33" t="str">
        <f>IF($A1642="","",'Lot Balance'!$P1641)</f>
        <v/>
      </c>
      <c r="I1642" s="26" t="str">
        <f>IF($A1642="","",COUNTIFS(tblIssues[Lot Number],$B1642))</f>
        <v/>
      </c>
      <c r="J1642" s="31" t="str">
        <f>IF($A1642="","",IF('Lot Balance'!$O1641&lt;=0,"Depleted",'Lot Balance'!$Q1641))</f>
        <v/>
      </c>
    </row>
    <row r="1643" spans="1:10" x14ac:dyDescent="0.35">
      <c r="A1643" s="18" t="str">
        <f>IF('Lot Balance'!$A1642="","",'Lot Balance'!$A1642)</f>
        <v/>
      </c>
      <c r="B1643" s="18" t="str">
        <f>IF($A1643="","",'Lot Balance'!$B1642)</f>
        <v/>
      </c>
      <c r="C1643" s="18" t="str">
        <f>IF($A1643="","",'Lot Balance'!$C1642)</f>
        <v/>
      </c>
      <c r="D1643" s="25" t="str">
        <f>IF($A1643="","",'Lot Balance'!$G1642)</f>
        <v/>
      </c>
      <c r="E1643" s="25" t="str">
        <f>IF($A1643="","",'Lot Balance'!$H1642)</f>
        <v/>
      </c>
      <c r="F1643" s="23" t="str">
        <f>IF($A1643="","",'Lot Balance'!$I1642)</f>
        <v/>
      </c>
      <c r="G1643" s="23" t="str">
        <f>IF($A1643="","",'Lot Balance'!$O1642)</f>
        <v/>
      </c>
      <c r="H1643" s="33" t="str">
        <f>IF($A1643="","",'Lot Balance'!$P1642)</f>
        <v/>
      </c>
      <c r="I1643" s="26" t="str">
        <f>IF($A1643="","",COUNTIFS(tblIssues[Lot Number],$B1643))</f>
        <v/>
      </c>
      <c r="J1643" s="31" t="str">
        <f>IF($A1643="","",IF('Lot Balance'!$O1642&lt;=0,"Depleted",'Lot Balance'!$Q1642))</f>
        <v/>
      </c>
    </row>
    <row r="1644" spans="1:10" x14ac:dyDescent="0.35">
      <c r="A1644" s="18" t="str">
        <f>IF('Lot Balance'!$A1643="","",'Lot Balance'!$A1643)</f>
        <v/>
      </c>
      <c r="B1644" s="18" t="str">
        <f>IF($A1644="","",'Lot Balance'!$B1643)</f>
        <v/>
      </c>
      <c r="C1644" s="18" t="str">
        <f>IF($A1644="","",'Lot Balance'!$C1643)</f>
        <v/>
      </c>
      <c r="D1644" s="25" t="str">
        <f>IF($A1644="","",'Lot Balance'!$G1643)</f>
        <v/>
      </c>
      <c r="E1644" s="25" t="str">
        <f>IF($A1644="","",'Lot Balance'!$H1643)</f>
        <v/>
      </c>
      <c r="F1644" s="23" t="str">
        <f>IF($A1644="","",'Lot Balance'!$I1643)</f>
        <v/>
      </c>
      <c r="G1644" s="23" t="str">
        <f>IF($A1644="","",'Lot Balance'!$O1643)</f>
        <v/>
      </c>
      <c r="H1644" s="33" t="str">
        <f>IF($A1644="","",'Lot Balance'!$P1643)</f>
        <v/>
      </c>
      <c r="I1644" s="26" t="str">
        <f>IF($A1644="","",COUNTIFS(tblIssues[Lot Number],$B1644))</f>
        <v/>
      </c>
      <c r="J1644" s="31" t="str">
        <f>IF($A1644="","",IF('Lot Balance'!$O1643&lt;=0,"Depleted",'Lot Balance'!$Q1643))</f>
        <v/>
      </c>
    </row>
    <row r="1645" spans="1:10" x14ac:dyDescent="0.35">
      <c r="A1645" s="18" t="str">
        <f>IF('Lot Balance'!$A1644="","",'Lot Balance'!$A1644)</f>
        <v/>
      </c>
      <c r="B1645" s="18" t="str">
        <f>IF($A1645="","",'Lot Balance'!$B1644)</f>
        <v/>
      </c>
      <c r="C1645" s="18" t="str">
        <f>IF($A1645="","",'Lot Balance'!$C1644)</f>
        <v/>
      </c>
      <c r="D1645" s="25" t="str">
        <f>IF($A1645="","",'Lot Balance'!$G1644)</f>
        <v/>
      </c>
      <c r="E1645" s="25" t="str">
        <f>IF($A1645="","",'Lot Balance'!$H1644)</f>
        <v/>
      </c>
      <c r="F1645" s="23" t="str">
        <f>IF($A1645="","",'Lot Balance'!$I1644)</f>
        <v/>
      </c>
      <c r="G1645" s="23" t="str">
        <f>IF($A1645="","",'Lot Balance'!$O1644)</f>
        <v/>
      </c>
      <c r="H1645" s="33" t="str">
        <f>IF($A1645="","",'Lot Balance'!$P1644)</f>
        <v/>
      </c>
      <c r="I1645" s="26" t="str">
        <f>IF($A1645="","",COUNTIFS(tblIssues[Lot Number],$B1645))</f>
        <v/>
      </c>
      <c r="J1645" s="31" t="str">
        <f>IF($A1645="","",IF('Lot Balance'!$O1644&lt;=0,"Depleted",'Lot Balance'!$Q1644))</f>
        <v/>
      </c>
    </row>
    <row r="1646" spans="1:10" x14ac:dyDescent="0.35">
      <c r="A1646" s="18" t="str">
        <f>IF('Lot Balance'!$A1645="","",'Lot Balance'!$A1645)</f>
        <v/>
      </c>
      <c r="B1646" s="18" t="str">
        <f>IF($A1646="","",'Lot Balance'!$B1645)</f>
        <v/>
      </c>
      <c r="C1646" s="18" t="str">
        <f>IF($A1646="","",'Lot Balance'!$C1645)</f>
        <v/>
      </c>
      <c r="D1646" s="25" t="str">
        <f>IF($A1646="","",'Lot Balance'!$G1645)</f>
        <v/>
      </c>
      <c r="E1646" s="25" t="str">
        <f>IF($A1646="","",'Lot Balance'!$H1645)</f>
        <v/>
      </c>
      <c r="F1646" s="23" t="str">
        <f>IF($A1646="","",'Lot Balance'!$I1645)</f>
        <v/>
      </c>
      <c r="G1646" s="23" t="str">
        <f>IF($A1646="","",'Lot Balance'!$O1645)</f>
        <v/>
      </c>
      <c r="H1646" s="33" t="str">
        <f>IF($A1646="","",'Lot Balance'!$P1645)</f>
        <v/>
      </c>
      <c r="I1646" s="26" t="str">
        <f>IF($A1646="","",COUNTIFS(tblIssues[Lot Number],$B1646))</f>
        <v/>
      </c>
      <c r="J1646" s="31" t="str">
        <f>IF($A1646="","",IF('Lot Balance'!$O1645&lt;=0,"Depleted",'Lot Balance'!$Q1645))</f>
        <v/>
      </c>
    </row>
    <row r="1647" spans="1:10" x14ac:dyDescent="0.35">
      <c r="A1647" s="18" t="str">
        <f>IF('Lot Balance'!$A1646="","",'Lot Balance'!$A1646)</f>
        <v/>
      </c>
      <c r="B1647" s="18" t="str">
        <f>IF($A1647="","",'Lot Balance'!$B1646)</f>
        <v/>
      </c>
      <c r="C1647" s="18" t="str">
        <f>IF($A1647="","",'Lot Balance'!$C1646)</f>
        <v/>
      </c>
      <c r="D1647" s="25" t="str">
        <f>IF($A1647="","",'Lot Balance'!$G1646)</f>
        <v/>
      </c>
      <c r="E1647" s="25" t="str">
        <f>IF($A1647="","",'Lot Balance'!$H1646)</f>
        <v/>
      </c>
      <c r="F1647" s="23" t="str">
        <f>IF($A1647="","",'Lot Balance'!$I1646)</f>
        <v/>
      </c>
      <c r="G1647" s="23" t="str">
        <f>IF($A1647="","",'Lot Balance'!$O1646)</f>
        <v/>
      </c>
      <c r="H1647" s="33" t="str">
        <f>IF($A1647="","",'Lot Balance'!$P1646)</f>
        <v/>
      </c>
      <c r="I1647" s="26" t="str">
        <f>IF($A1647="","",COUNTIFS(tblIssues[Lot Number],$B1647))</f>
        <v/>
      </c>
      <c r="J1647" s="31" t="str">
        <f>IF($A1647="","",IF('Lot Balance'!$O1646&lt;=0,"Depleted",'Lot Balance'!$Q1646))</f>
        <v/>
      </c>
    </row>
    <row r="1648" spans="1:10" x14ac:dyDescent="0.35">
      <c r="A1648" s="18" t="str">
        <f>IF('Lot Balance'!$A1647="","",'Lot Balance'!$A1647)</f>
        <v/>
      </c>
      <c r="B1648" s="18" t="str">
        <f>IF($A1648="","",'Lot Balance'!$B1647)</f>
        <v/>
      </c>
      <c r="C1648" s="18" t="str">
        <f>IF($A1648="","",'Lot Balance'!$C1647)</f>
        <v/>
      </c>
      <c r="D1648" s="25" t="str">
        <f>IF($A1648="","",'Lot Balance'!$G1647)</f>
        <v/>
      </c>
      <c r="E1648" s="25" t="str">
        <f>IF($A1648="","",'Lot Balance'!$H1647)</f>
        <v/>
      </c>
      <c r="F1648" s="23" t="str">
        <f>IF($A1648="","",'Lot Balance'!$I1647)</f>
        <v/>
      </c>
      <c r="G1648" s="23" t="str">
        <f>IF($A1648="","",'Lot Balance'!$O1647)</f>
        <v/>
      </c>
      <c r="H1648" s="33" t="str">
        <f>IF($A1648="","",'Lot Balance'!$P1647)</f>
        <v/>
      </c>
      <c r="I1648" s="26" t="str">
        <f>IF($A1648="","",COUNTIFS(tblIssues[Lot Number],$B1648))</f>
        <v/>
      </c>
      <c r="J1648" s="31" t="str">
        <f>IF($A1648="","",IF('Lot Balance'!$O1647&lt;=0,"Depleted",'Lot Balance'!$Q1647))</f>
        <v/>
      </c>
    </row>
    <row r="1649" spans="1:10" x14ac:dyDescent="0.35">
      <c r="A1649" s="18" t="str">
        <f>IF('Lot Balance'!$A1648="","",'Lot Balance'!$A1648)</f>
        <v/>
      </c>
      <c r="B1649" s="18" t="str">
        <f>IF($A1649="","",'Lot Balance'!$B1648)</f>
        <v/>
      </c>
      <c r="C1649" s="18" t="str">
        <f>IF($A1649="","",'Lot Balance'!$C1648)</f>
        <v/>
      </c>
      <c r="D1649" s="25" t="str">
        <f>IF($A1649="","",'Lot Balance'!$G1648)</f>
        <v/>
      </c>
      <c r="E1649" s="25" t="str">
        <f>IF($A1649="","",'Lot Balance'!$H1648)</f>
        <v/>
      </c>
      <c r="F1649" s="23" t="str">
        <f>IF($A1649="","",'Lot Balance'!$I1648)</f>
        <v/>
      </c>
      <c r="G1649" s="23" t="str">
        <f>IF($A1649="","",'Lot Balance'!$O1648)</f>
        <v/>
      </c>
      <c r="H1649" s="33" t="str">
        <f>IF($A1649="","",'Lot Balance'!$P1648)</f>
        <v/>
      </c>
      <c r="I1649" s="26" t="str">
        <f>IF($A1649="","",COUNTIFS(tblIssues[Lot Number],$B1649))</f>
        <v/>
      </c>
      <c r="J1649" s="31" t="str">
        <f>IF($A1649="","",IF('Lot Balance'!$O1648&lt;=0,"Depleted",'Lot Balance'!$Q1648))</f>
        <v/>
      </c>
    </row>
    <row r="1650" spans="1:10" x14ac:dyDescent="0.35">
      <c r="A1650" s="18" t="str">
        <f>IF('Lot Balance'!$A1649="","",'Lot Balance'!$A1649)</f>
        <v/>
      </c>
      <c r="B1650" s="18" t="str">
        <f>IF($A1650="","",'Lot Balance'!$B1649)</f>
        <v/>
      </c>
      <c r="C1650" s="18" t="str">
        <f>IF($A1650="","",'Lot Balance'!$C1649)</f>
        <v/>
      </c>
      <c r="D1650" s="25" t="str">
        <f>IF($A1650="","",'Lot Balance'!$G1649)</f>
        <v/>
      </c>
      <c r="E1650" s="25" t="str">
        <f>IF($A1650="","",'Lot Balance'!$H1649)</f>
        <v/>
      </c>
      <c r="F1650" s="23" t="str">
        <f>IF($A1650="","",'Lot Balance'!$I1649)</f>
        <v/>
      </c>
      <c r="G1650" s="23" t="str">
        <f>IF($A1650="","",'Lot Balance'!$O1649)</f>
        <v/>
      </c>
      <c r="H1650" s="33" t="str">
        <f>IF($A1650="","",'Lot Balance'!$P1649)</f>
        <v/>
      </c>
      <c r="I1650" s="26" t="str">
        <f>IF($A1650="","",COUNTIFS(tblIssues[Lot Number],$B1650))</f>
        <v/>
      </c>
      <c r="J1650" s="31" t="str">
        <f>IF($A1650="","",IF('Lot Balance'!$O1649&lt;=0,"Depleted",'Lot Balance'!$Q1649))</f>
        <v/>
      </c>
    </row>
    <row r="1651" spans="1:10" x14ac:dyDescent="0.35">
      <c r="A1651" s="18" t="str">
        <f>IF('Lot Balance'!$A1650="","",'Lot Balance'!$A1650)</f>
        <v/>
      </c>
      <c r="B1651" s="18" t="str">
        <f>IF($A1651="","",'Lot Balance'!$B1650)</f>
        <v/>
      </c>
      <c r="C1651" s="18" t="str">
        <f>IF($A1651="","",'Lot Balance'!$C1650)</f>
        <v/>
      </c>
      <c r="D1651" s="25" t="str">
        <f>IF($A1651="","",'Lot Balance'!$G1650)</f>
        <v/>
      </c>
      <c r="E1651" s="25" t="str">
        <f>IF($A1651="","",'Lot Balance'!$H1650)</f>
        <v/>
      </c>
      <c r="F1651" s="23" t="str">
        <f>IF($A1651="","",'Lot Balance'!$I1650)</f>
        <v/>
      </c>
      <c r="G1651" s="23" t="str">
        <f>IF($A1651="","",'Lot Balance'!$O1650)</f>
        <v/>
      </c>
      <c r="H1651" s="33" t="str">
        <f>IF($A1651="","",'Lot Balance'!$P1650)</f>
        <v/>
      </c>
      <c r="I1651" s="26" t="str">
        <f>IF($A1651="","",COUNTIFS(tblIssues[Lot Number],$B1651))</f>
        <v/>
      </c>
      <c r="J1651" s="31" t="str">
        <f>IF($A1651="","",IF('Lot Balance'!$O1650&lt;=0,"Depleted",'Lot Balance'!$Q1650))</f>
        <v/>
      </c>
    </row>
    <row r="1652" spans="1:10" x14ac:dyDescent="0.35">
      <c r="A1652" s="18" t="str">
        <f>IF('Lot Balance'!$A1651="","",'Lot Balance'!$A1651)</f>
        <v/>
      </c>
      <c r="B1652" s="18" t="str">
        <f>IF($A1652="","",'Lot Balance'!$B1651)</f>
        <v/>
      </c>
      <c r="C1652" s="18" t="str">
        <f>IF($A1652="","",'Lot Balance'!$C1651)</f>
        <v/>
      </c>
      <c r="D1652" s="25" t="str">
        <f>IF($A1652="","",'Lot Balance'!$G1651)</f>
        <v/>
      </c>
      <c r="E1652" s="25" t="str">
        <f>IF($A1652="","",'Lot Balance'!$H1651)</f>
        <v/>
      </c>
      <c r="F1652" s="23" t="str">
        <f>IF($A1652="","",'Lot Balance'!$I1651)</f>
        <v/>
      </c>
      <c r="G1652" s="23" t="str">
        <f>IF($A1652="","",'Lot Balance'!$O1651)</f>
        <v/>
      </c>
      <c r="H1652" s="33" t="str">
        <f>IF($A1652="","",'Lot Balance'!$P1651)</f>
        <v/>
      </c>
      <c r="I1652" s="26" t="str">
        <f>IF($A1652="","",COUNTIFS(tblIssues[Lot Number],$B1652))</f>
        <v/>
      </c>
      <c r="J1652" s="31" t="str">
        <f>IF($A1652="","",IF('Lot Balance'!$O1651&lt;=0,"Depleted",'Lot Balance'!$Q1651))</f>
        <v/>
      </c>
    </row>
    <row r="1653" spans="1:10" x14ac:dyDescent="0.35">
      <c r="A1653" s="18" t="str">
        <f>IF('Lot Balance'!$A1652="","",'Lot Balance'!$A1652)</f>
        <v/>
      </c>
      <c r="B1653" s="18" t="str">
        <f>IF($A1653="","",'Lot Balance'!$B1652)</f>
        <v/>
      </c>
      <c r="C1653" s="18" t="str">
        <f>IF($A1653="","",'Lot Balance'!$C1652)</f>
        <v/>
      </c>
      <c r="D1653" s="25" t="str">
        <f>IF($A1653="","",'Lot Balance'!$G1652)</f>
        <v/>
      </c>
      <c r="E1653" s="25" t="str">
        <f>IF($A1653="","",'Lot Balance'!$H1652)</f>
        <v/>
      </c>
      <c r="F1653" s="23" t="str">
        <f>IF($A1653="","",'Lot Balance'!$I1652)</f>
        <v/>
      </c>
      <c r="G1653" s="23" t="str">
        <f>IF($A1653="","",'Lot Balance'!$O1652)</f>
        <v/>
      </c>
      <c r="H1653" s="33" t="str">
        <f>IF($A1653="","",'Lot Balance'!$P1652)</f>
        <v/>
      </c>
      <c r="I1653" s="26" t="str">
        <f>IF($A1653="","",COUNTIFS(tblIssues[Lot Number],$B1653))</f>
        <v/>
      </c>
      <c r="J1653" s="31" t="str">
        <f>IF($A1653="","",IF('Lot Balance'!$O1652&lt;=0,"Depleted",'Lot Balance'!$Q1652))</f>
        <v/>
      </c>
    </row>
    <row r="1654" spans="1:10" x14ac:dyDescent="0.35">
      <c r="A1654" s="18" t="str">
        <f>IF('Lot Balance'!$A1653="","",'Lot Balance'!$A1653)</f>
        <v/>
      </c>
      <c r="B1654" s="18" t="str">
        <f>IF($A1654="","",'Lot Balance'!$B1653)</f>
        <v/>
      </c>
      <c r="C1654" s="18" t="str">
        <f>IF($A1654="","",'Lot Balance'!$C1653)</f>
        <v/>
      </c>
      <c r="D1654" s="25" t="str">
        <f>IF($A1654="","",'Lot Balance'!$G1653)</f>
        <v/>
      </c>
      <c r="E1654" s="25" t="str">
        <f>IF($A1654="","",'Lot Balance'!$H1653)</f>
        <v/>
      </c>
      <c r="F1654" s="23" t="str">
        <f>IF($A1654="","",'Lot Balance'!$I1653)</f>
        <v/>
      </c>
      <c r="G1654" s="23" t="str">
        <f>IF($A1654="","",'Lot Balance'!$O1653)</f>
        <v/>
      </c>
      <c r="H1654" s="33" t="str">
        <f>IF($A1654="","",'Lot Balance'!$P1653)</f>
        <v/>
      </c>
      <c r="I1654" s="26" t="str">
        <f>IF($A1654="","",COUNTIFS(tblIssues[Lot Number],$B1654))</f>
        <v/>
      </c>
      <c r="J1654" s="31" t="str">
        <f>IF($A1654="","",IF('Lot Balance'!$O1653&lt;=0,"Depleted",'Lot Balance'!$Q1653))</f>
        <v/>
      </c>
    </row>
    <row r="1655" spans="1:10" x14ac:dyDescent="0.35">
      <c r="A1655" s="18" t="str">
        <f>IF('Lot Balance'!$A1654="","",'Lot Balance'!$A1654)</f>
        <v/>
      </c>
      <c r="B1655" s="18" t="str">
        <f>IF($A1655="","",'Lot Balance'!$B1654)</f>
        <v/>
      </c>
      <c r="C1655" s="18" t="str">
        <f>IF($A1655="","",'Lot Balance'!$C1654)</f>
        <v/>
      </c>
      <c r="D1655" s="25" t="str">
        <f>IF($A1655="","",'Lot Balance'!$G1654)</f>
        <v/>
      </c>
      <c r="E1655" s="25" t="str">
        <f>IF($A1655="","",'Lot Balance'!$H1654)</f>
        <v/>
      </c>
      <c r="F1655" s="23" t="str">
        <f>IF($A1655="","",'Lot Balance'!$I1654)</f>
        <v/>
      </c>
      <c r="G1655" s="23" t="str">
        <f>IF($A1655="","",'Lot Balance'!$O1654)</f>
        <v/>
      </c>
      <c r="H1655" s="33" t="str">
        <f>IF($A1655="","",'Lot Balance'!$P1654)</f>
        <v/>
      </c>
      <c r="I1655" s="26" t="str">
        <f>IF($A1655="","",COUNTIFS(tblIssues[Lot Number],$B1655))</f>
        <v/>
      </c>
      <c r="J1655" s="31" t="str">
        <f>IF($A1655="","",IF('Lot Balance'!$O1654&lt;=0,"Depleted",'Lot Balance'!$Q1654))</f>
        <v/>
      </c>
    </row>
    <row r="1656" spans="1:10" x14ac:dyDescent="0.35">
      <c r="A1656" s="18" t="str">
        <f>IF('Lot Balance'!$A1655="","",'Lot Balance'!$A1655)</f>
        <v/>
      </c>
      <c r="B1656" s="18" t="str">
        <f>IF($A1656="","",'Lot Balance'!$B1655)</f>
        <v/>
      </c>
      <c r="C1656" s="18" t="str">
        <f>IF($A1656="","",'Lot Balance'!$C1655)</f>
        <v/>
      </c>
      <c r="D1656" s="25" t="str">
        <f>IF($A1656="","",'Lot Balance'!$G1655)</f>
        <v/>
      </c>
      <c r="E1656" s="25" t="str">
        <f>IF($A1656="","",'Lot Balance'!$H1655)</f>
        <v/>
      </c>
      <c r="F1656" s="23" t="str">
        <f>IF($A1656="","",'Lot Balance'!$I1655)</f>
        <v/>
      </c>
      <c r="G1656" s="23" t="str">
        <f>IF($A1656="","",'Lot Balance'!$O1655)</f>
        <v/>
      </c>
      <c r="H1656" s="33" t="str">
        <f>IF($A1656="","",'Lot Balance'!$P1655)</f>
        <v/>
      </c>
      <c r="I1656" s="26" t="str">
        <f>IF($A1656="","",COUNTIFS(tblIssues[Lot Number],$B1656))</f>
        <v/>
      </c>
      <c r="J1656" s="31" t="str">
        <f>IF($A1656="","",IF('Lot Balance'!$O1655&lt;=0,"Depleted",'Lot Balance'!$Q1655))</f>
        <v/>
      </c>
    </row>
    <row r="1657" spans="1:10" x14ac:dyDescent="0.35">
      <c r="A1657" s="18" t="str">
        <f>IF('Lot Balance'!$A1656="","",'Lot Balance'!$A1656)</f>
        <v/>
      </c>
      <c r="B1657" s="18" t="str">
        <f>IF($A1657="","",'Lot Balance'!$B1656)</f>
        <v/>
      </c>
      <c r="C1657" s="18" t="str">
        <f>IF($A1657="","",'Lot Balance'!$C1656)</f>
        <v/>
      </c>
      <c r="D1657" s="25" t="str">
        <f>IF($A1657="","",'Lot Balance'!$G1656)</f>
        <v/>
      </c>
      <c r="E1657" s="25" t="str">
        <f>IF($A1657="","",'Lot Balance'!$H1656)</f>
        <v/>
      </c>
      <c r="F1657" s="23" t="str">
        <f>IF($A1657="","",'Lot Balance'!$I1656)</f>
        <v/>
      </c>
      <c r="G1657" s="23" t="str">
        <f>IF($A1657="","",'Lot Balance'!$O1656)</f>
        <v/>
      </c>
      <c r="H1657" s="33" t="str">
        <f>IF($A1657="","",'Lot Balance'!$P1656)</f>
        <v/>
      </c>
      <c r="I1657" s="26" t="str">
        <f>IF($A1657="","",COUNTIFS(tblIssues[Lot Number],$B1657))</f>
        <v/>
      </c>
      <c r="J1657" s="31" t="str">
        <f>IF($A1657="","",IF('Lot Balance'!$O1656&lt;=0,"Depleted",'Lot Balance'!$Q1656))</f>
        <v/>
      </c>
    </row>
    <row r="1658" spans="1:10" x14ac:dyDescent="0.35">
      <c r="A1658" s="18" t="str">
        <f>IF('Lot Balance'!$A1657="","",'Lot Balance'!$A1657)</f>
        <v/>
      </c>
      <c r="B1658" s="18" t="str">
        <f>IF($A1658="","",'Lot Balance'!$B1657)</f>
        <v/>
      </c>
      <c r="C1658" s="18" t="str">
        <f>IF($A1658="","",'Lot Balance'!$C1657)</f>
        <v/>
      </c>
      <c r="D1658" s="25" t="str">
        <f>IF($A1658="","",'Lot Balance'!$G1657)</f>
        <v/>
      </c>
      <c r="E1658" s="25" t="str">
        <f>IF($A1658="","",'Lot Balance'!$H1657)</f>
        <v/>
      </c>
      <c r="F1658" s="23" t="str">
        <f>IF($A1658="","",'Lot Balance'!$I1657)</f>
        <v/>
      </c>
      <c r="G1658" s="23" t="str">
        <f>IF($A1658="","",'Lot Balance'!$O1657)</f>
        <v/>
      </c>
      <c r="H1658" s="33" t="str">
        <f>IF($A1658="","",'Lot Balance'!$P1657)</f>
        <v/>
      </c>
      <c r="I1658" s="26" t="str">
        <f>IF($A1658="","",COUNTIFS(tblIssues[Lot Number],$B1658))</f>
        <v/>
      </c>
      <c r="J1658" s="31" t="str">
        <f>IF($A1658="","",IF('Lot Balance'!$O1657&lt;=0,"Depleted",'Lot Balance'!$Q1657))</f>
        <v/>
      </c>
    </row>
    <row r="1659" spans="1:10" x14ac:dyDescent="0.35">
      <c r="A1659" s="18" t="str">
        <f>IF('Lot Balance'!$A1658="","",'Lot Balance'!$A1658)</f>
        <v/>
      </c>
      <c r="B1659" s="18" t="str">
        <f>IF($A1659="","",'Lot Balance'!$B1658)</f>
        <v/>
      </c>
      <c r="C1659" s="18" t="str">
        <f>IF($A1659="","",'Lot Balance'!$C1658)</f>
        <v/>
      </c>
      <c r="D1659" s="25" t="str">
        <f>IF($A1659="","",'Lot Balance'!$G1658)</f>
        <v/>
      </c>
      <c r="E1659" s="25" t="str">
        <f>IF($A1659="","",'Lot Balance'!$H1658)</f>
        <v/>
      </c>
      <c r="F1659" s="23" t="str">
        <f>IF($A1659="","",'Lot Balance'!$I1658)</f>
        <v/>
      </c>
      <c r="G1659" s="23" t="str">
        <f>IF($A1659="","",'Lot Balance'!$O1658)</f>
        <v/>
      </c>
      <c r="H1659" s="33" t="str">
        <f>IF($A1659="","",'Lot Balance'!$P1658)</f>
        <v/>
      </c>
      <c r="I1659" s="26" t="str">
        <f>IF($A1659="","",COUNTIFS(tblIssues[Lot Number],$B1659))</f>
        <v/>
      </c>
      <c r="J1659" s="31" t="str">
        <f>IF($A1659="","",IF('Lot Balance'!$O1658&lt;=0,"Depleted",'Lot Balance'!$Q1658))</f>
        <v/>
      </c>
    </row>
    <row r="1660" spans="1:10" x14ac:dyDescent="0.35">
      <c r="A1660" s="18" t="str">
        <f>IF('Lot Balance'!$A1659="","",'Lot Balance'!$A1659)</f>
        <v/>
      </c>
      <c r="B1660" s="18" t="str">
        <f>IF($A1660="","",'Lot Balance'!$B1659)</f>
        <v/>
      </c>
      <c r="C1660" s="18" t="str">
        <f>IF($A1660="","",'Lot Balance'!$C1659)</f>
        <v/>
      </c>
      <c r="D1660" s="25" t="str">
        <f>IF($A1660="","",'Lot Balance'!$G1659)</f>
        <v/>
      </c>
      <c r="E1660" s="25" t="str">
        <f>IF($A1660="","",'Lot Balance'!$H1659)</f>
        <v/>
      </c>
      <c r="F1660" s="23" t="str">
        <f>IF($A1660="","",'Lot Balance'!$I1659)</f>
        <v/>
      </c>
      <c r="G1660" s="23" t="str">
        <f>IF($A1660="","",'Lot Balance'!$O1659)</f>
        <v/>
      </c>
      <c r="H1660" s="33" t="str">
        <f>IF($A1660="","",'Lot Balance'!$P1659)</f>
        <v/>
      </c>
      <c r="I1660" s="26" t="str">
        <f>IF($A1660="","",COUNTIFS(tblIssues[Lot Number],$B1660))</f>
        <v/>
      </c>
      <c r="J1660" s="31" t="str">
        <f>IF($A1660="","",IF('Lot Balance'!$O1659&lt;=0,"Depleted",'Lot Balance'!$Q1659))</f>
        <v/>
      </c>
    </row>
    <row r="1661" spans="1:10" x14ac:dyDescent="0.35">
      <c r="A1661" s="18" t="str">
        <f>IF('Lot Balance'!$A1660="","",'Lot Balance'!$A1660)</f>
        <v/>
      </c>
      <c r="B1661" s="18" t="str">
        <f>IF($A1661="","",'Lot Balance'!$B1660)</f>
        <v/>
      </c>
      <c r="C1661" s="18" t="str">
        <f>IF($A1661="","",'Lot Balance'!$C1660)</f>
        <v/>
      </c>
      <c r="D1661" s="25" t="str">
        <f>IF($A1661="","",'Lot Balance'!$G1660)</f>
        <v/>
      </c>
      <c r="E1661" s="25" t="str">
        <f>IF($A1661="","",'Lot Balance'!$H1660)</f>
        <v/>
      </c>
      <c r="F1661" s="23" t="str">
        <f>IF($A1661="","",'Lot Balance'!$I1660)</f>
        <v/>
      </c>
      <c r="G1661" s="23" t="str">
        <f>IF($A1661="","",'Lot Balance'!$O1660)</f>
        <v/>
      </c>
      <c r="H1661" s="33" t="str">
        <f>IF($A1661="","",'Lot Balance'!$P1660)</f>
        <v/>
      </c>
      <c r="I1661" s="26" t="str">
        <f>IF($A1661="","",COUNTIFS(tblIssues[Lot Number],$B1661))</f>
        <v/>
      </c>
      <c r="J1661" s="31" t="str">
        <f>IF($A1661="","",IF('Lot Balance'!$O1660&lt;=0,"Depleted",'Lot Balance'!$Q1660))</f>
        <v/>
      </c>
    </row>
    <row r="1662" spans="1:10" x14ac:dyDescent="0.35">
      <c r="A1662" s="18" t="str">
        <f>IF('Lot Balance'!$A1661="","",'Lot Balance'!$A1661)</f>
        <v/>
      </c>
      <c r="B1662" s="18" t="str">
        <f>IF($A1662="","",'Lot Balance'!$B1661)</f>
        <v/>
      </c>
      <c r="C1662" s="18" t="str">
        <f>IF($A1662="","",'Lot Balance'!$C1661)</f>
        <v/>
      </c>
      <c r="D1662" s="25" t="str">
        <f>IF($A1662="","",'Lot Balance'!$G1661)</f>
        <v/>
      </c>
      <c r="E1662" s="25" t="str">
        <f>IF($A1662="","",'Lot Balance'!$H1661)</f>
        <v/>
      </c>
      <c r="F1662" s="23" t="str">
        <f>IF($A1662="","",'Lot Balance'!$I1661)</f>
        <v/>
      </c>
      <c r="G1662" s="23" t="str">
        <f>IF($A1662="","",'Lot Balance'!$O1661)</f>
        <v/>
      </c>
      <c r="H1662" s="33" t="str">
        <f>IF($A1662="","",'Lot Balance'!$P1661)</f>
        <v/>
      </c>
      <c r="I1662" s="26" t="str">
        <f>IF($A1662="","",COUNTIFS(tblIssues[Lot Number],$B1662))</f>
        <v/>
      </c>
      <c r="J1662" s="31" t="str">
        <f>IF($A1662="","",IF('Lot Balance'!$O1661&lt;=0,"Depleted",'Lot Balance'!$Q1661))</f>
        <v/>
      </c>
    </row>
    <row r="1663" spans="1:10" x14ac:dyDescent="0.35">
      <c r="A1663" s="18" t="str">
        <f>IF('Lot Balance'!$A1662="","",'Lot Balance'!$A1662)</f>
        <v/>
      </c>
      <c r="B1663" s="18" t="str">
        <f>IF($A1663="","",'Lot Balance'!$B1662)</f>
        <v/>
      </c>
      <c r="C1663" s="18" t="str">
        <f>IF($A1663="","",'Lot Balance'!$C1662)</f>
        <v/>
      </c>
      <c r="D1663" s="25" t="str">
        <f>IF($A1663="","",'Lot Balance'!$G1662)</f>
        <v/>
      </c>
      <c r="E1663" s="25" t="str">
        <f>IF($A1663="","",'Lot Balance'!$H1662)</f>
        <v/>
      </c>
      <c r="F1663" s="23" t="str">
        <f>IF($A1663="","",'Lot Balance'!$I1662)</f>
        <v/>
      </c>
      <c r="G1663" s="23" t="str">
        <f>IF($A1663="","",'Lot Balance'!$O1662)</f>
        <v/>
      </c>
      <c r="H1663" s="33" t="str">
        <f>IF($A1663="","",'Lot Balance'!$P1662)</f>
        <v/>
      </c>
      <c r="I1663" s="26" t="str">
        <f>IF($A1663="","",COUNTIFS(tblIssues[Lot Number],$B1663))</f>
        <v/>
      </c>
      <c r="J1663" s="31" t="str">
        <f>IF($A1663="","",IF('Lot Balance'!$O1662&lt;=0,"Depleted",'Lot Balance'!$Q1662))</f>
        <v/>
      </c>
    </row>
    <row r="1664" spans="1:10" x14ac:dyDescent="0.35">
      <c r="A1664" s="18" t="str">
        <f>IF('Lot Balance'!$A1663="","",'Lot Balance'!$A1663)</f>
        <v/>
      </c>
      <c r="B1664" s="18" t="str">
        <f>IF($A1664="","",'Lot Balance'!$B1663)</f>
        <v/>
      </c>
      <c r="C1664" s="18" t="str">
        <f>IF($A1664="","",'Lot Balance'!$C1663)</f>
        <v/>
      </c>
      <c r="D1664" s="25" t="str">
        <f>IF($A1664="","",'Lot Balance'!$G1663)</f>
        <v/>
      </c>
      <c r="E1664" s="25" t="str">
        <f>IF($A1664="","",'Lot Balance'!$H1663)</f>
        <v/>
      </c>
      <c r="F1664" s="23" t="str">
        <f>IF($A1664="","",'Lot Balance'!$I1663)</f>
        <v/>
      </c>
      <c r="G1664" s="23" t="str">
        <f>IF($A1664="","",'Lot Balance'!$O1663)</f>
        <v/>
      </c>
      <c r="H1664" s="33" t="str">
        <f>IF($A1664="","",'Lot Balance'!$P1663)</f>
        <v/>
      </c>
      <c r="I1664" s="26" t="str">
        <f>IF($A1664="","",COUNTIFS(tblIssues[Lot Number],$B1664))</f>
        <v/>
      </c>
      <c r="J1664" s="31" t="str">
        <f>IF($A1664="","",IF('Lot Balance'!$O1663&lt;=0,"Depleted",'Lot Balance'!$Q1663))</f>
        <v/>
      </c>
    </row>
    <row r="1665" spans="1:10" x14ac:dyDescent="0.35">
      <c r="A1665" s="18" t="str">
        <f>IF('Lot Balance'!$A1664="","",'Lot Balance'!$A1664)</f>
        <v/>
      </c>
      <c r="B1665" s="18" t="str">
        <f>IF($A1665="","",'Lot Balance'!$B1664)</f>
        <v/>
      </c>
      <c r="C1665" s="18" t="str">
        <f>IF($A1665="","",'Lot Balance'!$C1664)</f>
        <v/>
      </c>
      <c r="D1665" s="25" t="str">
        <f>IF($A1665="","",'Lot Balance'!$G1664)</f>
        <v/>
      </c>
      <c r="E1665" s="25" t="str">
        <f>IF($A1665="","",'Lot Balance'!$H1664)</f>
        <v/>
      </c>
      <c r="F1665" s="23" t="str">
        <f>IF($A1665="","",'Lot Balance'!$I1664)</f>
        <v/>
      </c>
      <c r="G1665" s="23" t="str">
        <f>IF($A1665="","",'Lot Balance'!$O1664)</f>
        <v/>
      </c>
      <c r="H1665" s="33" t="str">
        <f>IF($A1665="","",'Lot Balance'!$P1664)</f>
        <v/>
      </c>
      <c r="I1665" s="26" t="str">
        <f>IF($A1665="","",COUNTIFS(tblIssues[Lot Number],$B1665))</f>
        <v/>
      </c>
      <c r="J1665" s="31" t="str">
        <f>IF($A1665="","",IF('Lot Balance'!$O1664&lt;=0,"Depleted",'Lot Balance'!$Q1664))</f>
        <v/>
      </c>
    </row>
    <row r="1666" spans="1:10" x14ac:dyDescent="0.35">
      <c r="A1666" s="18" t="str">
        <f>IF('Lot Balance'!$A1665="","",'Lot Balance'!$A1665)</f>
        <v/>
      </c>
      <c r="B1666" s="18" t="str">
        <f>IF($A1666="","",'Lot Balance'!$B1665)</f>
        <v/>
      </c>
      <c r="C1666" s="18" t="str">
        <f>IF($A1666="","",'Lot Balance'!$C1665)</f>
        <v/>
      </c>
      <c r="D1666" s="25" t="str">
        <f>IF($A1666="","",'Lot Balance'!$G1665)</f>
        <v/>
      </c>
      <c r="E1666" s="25" t="str">
        <f>IF($A1666="","",'Lot Balance'!$H1665)</f>
        <v/>
      </c>
      <c r="F1666" s="23" t="str">
        <f>IF($A1666="","",'Lot Balance'!$I1665)</f>
        <v/>
      </c>
      <c r="G1666" s="23" t="str">
        <f>IF($A1666="","",'Lot Balance'!$O1665)</f>
        <v/>
      </c>
      <c r="H1666" s="33" t="str">
        <f>IF($A1666="","",'Lot Balance'!$P1665)</f>
        <v/>
      </c>
      <c r="I1666" s="26" t="str">
        <f>IF($A1666="","",COUNTIFS(tblIssues[Lot Number],$B1666))</f>
        <v/>
      </c>
      <c r="J1666" s="31" t="str">
        <f>IF($A1666="","",IF('Lot Balance'!$O1665&lt;=0,"Depleted",'Lot Balance'!$Q1665))</f>
        <v/>
      </c>
    </row>
    <row r="1667" spans="1:10" x14ac:dyDescent="0.35">
      <c r="A1667" s="18" t="str">
        <f>IF('Lot Balance'!$A1666="","",'Lot Balance'!$A1666)</f>
        <v/>
      </c>
      <c r="B1667" s="18" t="str">
        <f>IF($A1667="","",'Lot Balance'!$B1666)</f>
        <v/>
      </c>
      <c r="C1667" s="18" t="str">
        <f>IF($A1667="","",'Lot Balance'!$C1666)</f>
        <v/>
      </c>
      <c r="D1667" s="25" t="str">
        <f>IF($A1667="","",'Lot Balance'!$G1666)</f>
        <v/>
      </c>
      <c r="E1667" s="25" t="str">
        <f>IF($A1667="","",'Lot Balance'!$H1666)</f>
        <v/>
      </c>
      <c r="F1667" s="23" t="str">
        <f>IF($A1667="","",'Lot Balance'!$I1666)</f>
        <v/>
      </c>
      <c r="G1667" s="23" t="str">
        <f>IF($A1667="","",'Lot Balance'!$O1666)</f>
        <v/>
      </c>
      <c r="H1667" s="33" t="str">
        <f>IF($A1667="","",'Lot Balance'!$P1666)</f>
        <v/>
      </c>
      <c r="I1667" s="26" t="str">
        <f>IF($A1667="","",COUNTIFS(tblIssues[Lot Number],$B1667))</f>
        <v/>
      </c>
      <c r="J1667" s="31" t="str">
        <f>IF($A1667="","",IF('Lot Balance'!$O1666&lt;=0,"Depleted",'Lot Balance'!$Q1666))</f>
        <v/>
      </c>
    </row>
    <row r="1668" spans="1:10" x14ac:dyDescent="0.35">
      <c r="A1668" s="18" t="str">
        <f>IF('Lot Balance'!$A1667="","",'Lot Balance'!$A1667)</f>
        <v/>
      </c>
      <c r="B1668" s="18" t="str">
        <f>IF($A1668="","",'Lot Balance'!$B1667)</f>
        <v/>
      </c>
      <c r="C1668" s="18" t="str">
        <f>IF($A1668="","",'Lot Balance'!$C1667)</f>
        <v/>
      </c>
      <c r="D1668" s="25" t="str">
        <f>IF($A1668="","",'Lot Balance'!$G1667)</f>
        <v/>
      </c>
      <c r="E1668" s="25" t="str">
        <f>IF($A1668="","",'Lot Balance'!$H1667)</f>
        <v/>
      </c>
      <c r="F1668" s="23" t="str">
        <f>IF($A1668="","",'Lot Balance'!$I1667)</f>
        <v/>
      </c>
      <c r="G1668" s="23" t="str">
        <f>IF($A1668="","",'Lot Balance'!$O1667)</f>
        <v/>
      </c>
      <c r="H1668" s="33" t="str">
        <f>IF($A1668="","",'Lot Balance'!$P1667)</f>
        <v/>
      </c>
      <c r="I1668" s="26" t="str">
        <f>IF($A1668="","",COUNTIFS(tblIssues[Lot Number],$B1668))</f>
        <v/>
      </c>
      <c r="J1668" s="31" t="str">
        <f>IF($A1668="","",IF('Lot Balance'!$O1667&lt;=0,"Depleted",'Lot Balance'!$Q1667))</f>
        <v/>
      </c>
    </row>
    <row r="1669" spans="1:10" x14ac:dyDescent="0.35">
      <c r="A1669" s="18" t="str">
        <f>IF('Lot Balance'!$A1668="","",'Lot Balance'!$A1668)</f>
        <v/>
      </c>
      <c r="B1669" s="18" t="str">
        <f>IF($A1669="","",'Lot Balance'!$B1668)</f>
        <v/>
      </c>
      <c r="C1669" s="18" t="str">
        <f>IF($A1669="","",'Lot Balance'!$C1668)</f>
        <v/>
      </c>
      <c r="D1669" s="25" t="str">
        <f>IF($A1669="","",'Lot Balance'!$G1668)</f>
        <v/>
      </c>
      <c r="E1669" s="25" t="str">
        <f>IF($A1669="","",'Lot Balance'!$H1668)</f>
        <v/>
      </c>
      <c r="F1669" s="23" t="str">
        <f>IF($A1669="","",'Lot Balance'!$I1668)</f>
        <v/>
      </c>
      <c r="G1669" s="23" t="str">
        <f>IF($A1669="","",'Lot Balance'!$O1668)</f>
        <v/>
      </c>
      <c r="H1669" s="33" t="str">
        <f>IF($A1669="","",'Lot Balance'!$P1668)</f>
        <v/>
      </c>
      <c r="I1669" s="26" t="str">
        <f>IF($A1669="","",COUNTIFS(tblIssues[Lot Number],$B1669))</f>
        <v/>
      </c>
      <c r="J1669" s="31" t="str">
        <f>IF($A1669="","",IF('Lot Balance'!$O1668&lt;=0,"Depleted",'Lot Balance'!$Q1668))</f>
        <v/>
      </c>
    </row>
    <row r="1670" spans="1:10" x14ac:dyDescent="0.35">
      <c r="A1670" s="18" t="str">
        <f>IF('Lot Balance'!$A1669="","",'Lot Balance'!$A1669)</f>
        <v/>
      </c>
      <c r="B1670" s="18" t="str">
        <f>IF($A1670="","",'Lot Balance'!$B1669)</f>
        <v/>
      </c>
      <c r="C1670" s="18" t="str">
        <f>IF($A1670="","",'Lot Balance'!$C1669)</f>
        <v/>
      </c>
      <c r="D1670" s="25" t="str">
        <f>IF($A1670="","",'Lot Balance'!$G1669)</f>
        <v/>
      </c>
      <c r="E1670" s="25" t="str">
        <f>IF($A1670="","",'Lot Balance'!$H1669)</f>
        <v/>
      </c>
      <c r="F1670" s="23" t="str">
        <f>IF($A1670="","",'Lot Balance'!$I1669)</f>
        <v/>
      </c>
      <c r="G1670" s="23" t="str">
        <f>IF($A1670="","",'Lot Balance'!$O1669)</f>
        <v/>
      </c>
      <c r="H1670" s="33" t="str">
        <f>IF($A1670="","",'Lot Balance'!$P1669)</f>
        <v/>
      </c>
      <c r="I1670" s="26" t="str">
        <f>IF($A1670="","",COUNTIFS(tblIssues[Lot Number],$B1670))</f>
        <v/>
      </c>
      <c r="J1670" s="31" t="str">
        <f>IF($A1670="","",IF('Lot Balance'!$O1669&lt;=0,"Depleted",'Lot Balance'!$Q1669))</f>
        <v/>
      </c>
    </row>
    <row r="1671" spans="1:10" x14ac:dyDescent="0.35">
      <c r="A1671" s="18" t="str">
        <f>IF('Lot Balance'!$A1670="","",'Lot Balance'!$A1670)</f>
        <v/>
      </c>
      <c r="B1671" s="18" t="str">
        <f>IF($A1671="","",'Lot Balance'!$B1670)</f>
        <v/>
      </c>
      <c r="C1671" s="18" t="str">
        <f>IF($A1671="","",'Lot Balance'!$C1670)</f>
        <v/>
      </c>
      <c r="D1671" s="25" t="str">
        <f>IF($A1671="","",'Lot Balance'!$G1670)</f>
        <v/>
      </c>
      <c r="E1671" s="25" t="str">
        <f>IF($A1671="","",'Lot Balance'!$H1670)</f>
        <v/>
      </c>
      <c r="F1671" s="23" t="str">
        <f>IF($A1671="","",'Lot Balance'!$I1670)</f>
        <v/>
      </c>
      <c r="G1671" s="23" t="str">
        <f>IF($A1671="","",'Lot Balance'!$O1670)</f>
        <v/>
      </c>
      <c r="H1671" s="33" t="str">
        <f>IF($A1671="","",'Lot Balance'!$P1670)</f>
        <v/>
      </c>
      <c r="I1671" s="26" t="str">
        <f>IF($A1671="","",COUNTIFS(tblIssues[Lot Number],$B1671))</f>
        <v/>
      </c>
      <c r="J1671" s="31" t="str">
        <f>IF($A1671="","",IF('Lot Balance'!$O1670&lt;=0,"Depleted",'Lot Balance'!$Q1670))</f>
        <v/>
      </c>
    </row>
    <row r="1672" spans="1:10" x14ac:dyDescent="0.35">
      <c r="A1672" s="18" t="str">
        <f>IF('Lot Balance'!$A1671="","",'Lot Balance'!$A1671)</f>
        <v/>
      </c>
      <c r="B1672" s="18" t="str">
        <f>IF($A1672="","",'Lot Balance'!$B1671)</f>
        <v/>
      </c>
      <c r="C1672" s="18" t="str">
        <f>IF($A1672="","",'Lot Balance'!$C1671)</f>
        <v/>
      </c>
      <c r="D1672" s="25" t="str">
        <f>IF($A1672="","",'Lot Balance'!$G1671)</f>
        <v/>
      </c>
      <c r="E1672" s="25" t="str">
        <f>IF($A1672="","",'Lot Balance'!$H1671)</f>
        <v/>
      </c>
      <c r="F1672" s="23" t="str">
        <f>IF($A1672="","",'Lot Balance'!$I1671)</f>
        <v/>
      </c>
      <c r="G1672" s="23" t="str">
        <f>IF($A1672="","",'Lot Balance'!$O1671)</f>
        <v/>
      </c>
      <c r="H1672" s="33" t="str">
        <f>IF($A1672="","",'Lot Balance'!$P1671)</f>
        <v/>
      </c>
      <c r="I1672" s="26" t="str">
        <f>IF($A1672="","",COUNTIFS(tblIssues[Lot Number],$B1672))</f>
        <v/>
      </c>
      <c r="J1672" s="31" t="str">
        <f>IF($A1672="","",IF('Lot Balance'!$O1671&lt;=0,"Depleted",'Lot Balance'!$Q1671))</f>
        <v/>
      </c>
    </row>
    <row r="1673" spans="1:10" x14ac:dyDescent="0.35">
      <c r="A1673" s="18" t="str">
        <f>IF('Lot Balance'!$A1672="","",'Lot Balance'!$A1672)</f>
        <v/>
      </c>
      <c r="B1673" s="18" t="str">
        <f>IF($A1673="","",'Lot Balance'!$B1672)</f>
        <v/>
      </c>
      <c r="C1673" s="18" t="str">
        <f>IF($A1673="","",'Lot Balance'!$C1672)</f>
        <v/>
      </c>
      <c r="D1673" s="25" t="str">
        <f>IF($A1673="","",'Lot Balance'!$G1672)</f>
        <v/>
      </c>
      <c r="E1673" s="25" t="str">
        <f>IF($A1673="","",'Lot Balance'!$H1672)</f>
        <v/>
      </c>
      <c r="F1673" s="23" t="str">
        <f>IF($A1673="","",'Lot Balance'!$I1672)</f>
        <v/>
      </c>
      <c r="G1673" s="23" t="str">
        <f>IF($A1673="","",'Lot Balance'!$O1672)</f>
        <v/>
      </c>
      <c r="H1673" s="33" t="str">
        <f>IF($A1673="","",'Lot Balance'!$P1672)</f>
        <v/>
      </c>
      <c r="I1673" s="26" t="str">
        <f>IF($A1673="","",COUNTIFS(tblIssues[Lot Number],$B1673))</f>
        <v/>
      </c>
      <c r="J1673" s="31" t="str">
        <f>IF($A1673="","",IF('Lot Balance'!$O1672&lt;=0,"Depleted",'Lot Balance'!$Q1672))</f>
        <v/>
      </c>
    </row>
    <row r="1674" spans="1:10" x14ac:dyDescent="0.35">
      <c r="A1674" s="18" t="str">
        <f>IF('Lot Balance'!$A1673="","",'Lot Balance'!$A1673)</f>
        <v/>
      </c>
      <c r="B1674" s="18" t="str">
        <f>IF($A1674="","",'Lot Balance'!$B1673)</f>
        <v/>
      </c>
      <c r="C1674" s="18" t="str">
        <f>IF($A1674="","",'Lot Balance'!$C1673)</f>
        <v/>
      </c>
      <c r="D1674" s="25" t="str">
        <f>IF($A1674="","",'Lot Balance'!$G1673)</f>
        <v/>
      </c>
      <c r="E1674" s="25" t="str">
        <f>IF($A1674="","",'Lot Balance'!$H1673)</f>
        <v/>
      </c>
      <c r="F1674" s="23" t="str">
        <f>IF($A1674="","",'Lot Balance'!$I1673)</f>
        <v/>
      </c>
      <c r="G1674" s="23" t="str">
        <f>IF($A1674="","",'Lot Balance'!$O1673)</f>
        <v/>
      </c>
      <c r="H1674" s="33" t="str">
        <f>IF($A1674="","",'Lot Balance'!$P1673)</f>
        <v/>
      </c>
      <c r="I1674" s="26" t="str">
        <f>IF($A1674="","",COUNTIFS(tblIssues[Lot Number],$B1674))</f>
        <v/>
      </c>
      <c r="J1674" s="31" t="str">
        <f>IF($A1674="","",IF('Lot Balance'!$O1673&lt;=0,"Depleted",'Lot Balance'!$Q1673))</f>
        <v/>
      </c>
    </row>
    <row r="1675" spans="1:10" x14ac:dyDescent="0.35">
      <c r="A1675" s="18" t="str">
        <f>IF('Lot Balance'!$A1674="","",'Lot Balance'!$A1674)</f>
        <v/>
      </c>
      <c r="B1675" s="18" t="str">
        <f>IF($A1675="","",'Lot Balance'!$B1674)</f>
        <v/>
      </c>
      <c r="C1675" s="18" t="str">
        <f>IF($A1675="","",'Lot Balance'!$C1674)</f>
        <v/>
      </c>
      <c r="D1675" s="25" t="str">
        <f>IF($A1675="","",'Lot Balance'!$G1674)</f>
        <v/>
      </c>
      <c r="E1675" s="25" t="str">
        <f>IF($A1675="","",'Lot Balance'!$H1674)</f>
        <v/>
      </c>
      <c r="F1675" s="23" t="str">
        <f>IF($A1675="","",'Lot Balance'!$I1674)</f>
        <v/>
      </c>
      <c r="G1675" s="23" t="str">
        <f>IF($A1675="","",'Lot Balance'!$O1674)</f>
        <v/>
      </c>
      <c r="H1675" s="33" t="str">
        <f>IF($A1675="","",'Lot Balance'!$P1674)</f>
        <v/>
      </c>
      <c r="I1675" s="26" t="str">
        <f>IF($A1675="","",COUNTIFS(tblIssues[Lot Number],$B1675))</f>
        <v/>
      </c>
      <c r="J1675" s="31" t="str">
        <f>IF($A1675="","",IF('Lot Balance'!$O1674&lt;=0,"Depleted",'Lot Balance'!$Q1674))</f>
        <v/>
      </c>
    </row>
    <row r="1676" spans="1:10" x14ac:dyDescent="0.35">
      <c r="A1676" s="18" t="str">
        <f>IF('Lot Balance'!$A1675="","",'Lot Balance'!$A1675)</f>
        <v/>
      </c>
      <c r="B1676" s="18" t="str">
        <f>IF($A1676="","",'Lot Balance'!$B1675)</f>
        <v/>
      </c>
      <c r="C1676" s="18" t="str">
        <f>IF($A1676="","",'Lot Balance'!$C1675)</f>
        <v/>
      </c>
      <c r="D1676" s="25" t="str">
        <f>IF($A1676="","",'Lot Balance'!$G1675)</f>
        <v/>
      </c>
      <c r="E1676" s="25" t="str">
        <f>IF($A1676="","",'Lot Balance'!$H1675)</f>
        <v/>
      </c>
      <c r="F1676" s="23" t="str">
        <f>IF($A1676="","",'Lot Balance'!$I1675)</f>
        <v/>
      </c>
      <c r="G1676" s="23" t="str">
        <f>IF($A1676="","",'Lot Balance'!$O1675)</f>
        <v/>
      </c>
      <c r="H1676" s="33" t="str">
        <f>IF($A1676="","",'Lot Balance'!$P1675)</f>
        <v/>
      </c>
      <c r="I1676" s="26" t="str">
        <f>IF($A1676="","",COUNTIFS(tblIssues[Lot Number],$B1676))</f>
        <v/>
      </c>
      <c r="J1676" s="31" t="str">
        <f>IF($A1676="","",IF('Lot Balance'!$O1675&lt;=0,"Depleted",'Lot Balance'!$Q1675))</f>
        <v/>
      </c>
    </row>
    <row r="1677" spans="1:10" x14ac:dyDescent="0.35">
      <c r="A1677" s="18" t="str">
        <f>IF('Lot Balance'!$A1676="","",'Lot Balance'!$A1676)</f>
        <v/>
      </c>
      <c r="B1677" s="18" t="str">
        <f>IF($A1677="","",'Lot Balance'!$B1676)</f>
        <v/>
      </c>
      <c r="C1677" s="18" t="str">
        <f>IF($A1677="","",'Lot Balance'!$C1676)</f>
        <v/>
      </c>
      <c r="D1677" s="25" t="str">
        <f>IF($A1677="","",'Lot Balance'!$G1676)</f>
        <v/>
      </c>
      <c r="E1677" s="25" t="str">
        <f>IF($A1677="","",'Lot Balance'!$H1676)</f>
        <v/>
      </c>
      <c r="F1677" s="23" t="str">
        <f>IF($A1677="","",'Lot Balance'!$I1676)</f>
        <v/>
      </c>
      <c r="G1677" s="23" t="str">
        <f>IF($A1677="","",'Lot Balance'!$O1676)</f>
        <v/>
      </c>
      <c r="H1677" s="33" t="str">
        <f>IF($A1677="","",'Lot Balance'!$P1676)</f>
        <v/>
      </c>
      <c r="I1677" s="26" t="str">
        <f>IF($A1677="","",COUNTIFS(tblIssues[Lot Number],$B1677))</f>
        <v/>
      </c>
      <c r="J1677" s="31" t="str">
        <f>IF($A1677="","",IF('Lot Balance'!$O1676&lt;=0,"Depleted",'Lot Balance'!$Q1676))</f>
        <v/>
      </c>
    </row>
    <row r="1678" spans="1:10" x14ac:dyDescent="0.35">
      <c r="A1678" s="18" t="str">
        <f>IF('Lot Balance'!$A1677="","",'Lot Balance'!$A1677)</f>
        <v/>
      </c>
      <c r="B1678" s="18" t="str">
        <f>IF($A1678="","",'Lot Balance'!$B1677)</f>
        <v/>
      </c>
      <c r="C1678" s="18" t="str">
        <f>IF($A1678="","",'Lot Balance'!$C1677)</f>
        <v/>
      </c>
      <c r="D1678" s="25" t="str">
        <f>IF($A1678="","",'Lot Balance'!$G1677)</f>
        <v/>
      </c>
      <c r="E1678" s="25" t="str">
        <f>IF($A1678="","",'Lot Balance'!$H1677)</f>
        <v/>
      </c>
      <c r="F1678" s="23" t="str">
        <f>IF($A1678="","",'Lot Balance'!$I1677)</f>
        <v/>
      </c>
      <c r="G1678" s="23" t="str">
        <f>IF($A1678="","",'Lot Balance'!$O1677)</f>
        <v/>
      </c>
      <c r="H1678" s="33" t="str">
        <f>IF($A1678="","",'Lot Balance'!$P1677)</f>
        <v/>
      </c>
      <c r="I1678" s="26" t="str">
        <f>IF($A1678="","",COUNTIFS(tblIssues[Lot Number],$B1678))</f>
        <v/>
      </c>
      <c r="J1678" s="31" t="str">
        <f>IF($A1678="","",IF('Lot Balance'!$O1677&lt;=0,"Depleted",'Lot Balance'!$Q1677))</f>
        <v/>
      </c>
    </row>
    <row r="1679" spans="1:10" x14ac:dyDescent="0.35">
      <c r="A1679" s="18" t="str">
        <f>IF('Lot Balance'!$A1678="","",'Lot Balance'!$A1678)</f>
        <v/>
      </c>
      <c r="B1679" s="18" t="str">
        <f>IF($A1679="","",'Lot Balance'!$B1678)</f>
        <v/>
      </c>
      <c r="C1679" s="18" t="str">
        <f>IF($A1679="","",'Lot Balance'!$C1678)</f>
        <v/>
      </c>
      <c r="D1679" s="25" t="str">
        <f>IF($A1679="","",'Lot Balance'!$G1678)</f>
        <v/>
      </c>
      <c r="E1679" s="25" t="str">
        <f>IF($A1679="","",'Lot Balance'!$H1678)</f>
        <v/>
      </c>
      <c r="F1679" s="23" t="str">
        <f>IF($A1679="","",'Lot Balance'!$I1678)</f>
        <v/>
      </c>
      <c r="G1679" s="23" t="str">
        <f>IF($A1679="","",'Lot Balance'!$O1678)</f>
        <v/>
      </c>
      <c r="H1679" s="33" t="str">
        <f>IF($A1679="","",'Lot Balance'!$P1678)</f>
        <v/>
      </c>
      <c r="I1679" s="26" t="str">
        <f>IF($A1679="","",COUNTIFS(tblIssues[Lot Number],$B1679))</f>
        <v/>
      </c>
      <c r="J1679" s="31" t="str">
        <f>IF($A1679="","",IF('Lot Balance'!$O1678&lt;=0,"Depleted",'Lot Balance'!$Q1678))</f>
        <v/>
      </c>
    </row>
    <row r="1680" spans="1:10" x14ac:dyDescent="0.35">
      <c r="A1680" s="18" t="str">
        <f>IF('Lot Balance'!$A1679="","",'Lot Balance'!$A1679)</f>
        <v/>
      </c>
      <c r="B1680" s="18" t="str">
        <f>IF($A1680="","",'Lot Balance'!$B1679)</f>
        <v/>
      </c>
      <c r="C1680" s="18" t="str">
        <f>IF($A1680="","",'Lot Balance'!$C1679)</f>
        <v/>
      </c>
      <c r="D1680" s="25" t="str">
        <f>IF($A1680="","",'Lot Balance'!$G1679)</f>
        <v/>
      </c>
      <c r="E1680" s="25" t="str">
        <f>IF($A1680="","",'Lot Balance'!$H1679)</f>
        <v/>
      </c>
      <c r="F1680" s="23" t="str">
        <f>IF($A1680="","",'Lot Balance'!$I1679)</f>
        <v/>
      </c>
      <c r="G1680" s="23" t="str">
        <f>IF($A1680="","",'Lot Balance'!$O1679)</f>
        <v/>
      </c>
      <c r="H1680" s="33" t="str">
        <f>IF($A1680="","",'Lot Balance'!$P1679)</f>
        <v/>
      </c>
      <c r="I1680" s="26" t="str">
        <f>IF($A1680="","",COUNTIFS(tblIssues[Lot Number],$B1680))</f>
        <v/>
      </c>
      <c r="J1680" s="31" t="str">
        <f>IF($A1680="","",IF('Lot Balance'!$O1679&lt;=0,"Depleted",'Lot Balance'!$Q1679))</f>
        <v/>
      </c>
    </row>
    <row r="1681" spans="1:10" x14ac:dyDescent="0.35">
      <c r="A1681" s="18" t="str">
        <f>IF('Lot Balance'!$A1680="","",'Lot Balance'!$A1680)</f>
        <v/>
      </c>
      <c r="B1681" s="18" t="str">
        <f>IF($A1681="","",'Lot Balance'!$B1680)</f>
        <v/>
      </c>
      <c r="C1681" s="18" t="str">
        <f>IF($A1681="","",'Lot Balance'!$C1680)</f>
        <v/>
      </c>
      <c r="D1681" s="25" t="str">
        <f>IF($A1681="","",'Lot Balance'!$G1680)</f>
        <v/>
      </c>
      <c r="E1681" s="25" t="str">
        <f>IF($A1681="","",'Lot Balance'!$H1680)</f>
        <v/>
      </c>
      <c r="F1681" s="23" t="str">
        <f>IF($A1681="","",'Lot Balance'!$I1680)</f>
        <v/>
      </c>
      <c r="G1681" s="23" t="str">
        <f>IF($A1681="","",'Lot Balance'!$O1680)</f>
        <v/>
      </c>
      <c r="H1681" s="33" t="str">
        <f>IF($A1681="","",'Lot Balance'!$P1680)</f>
        <v/>
      </c>
      <c r="I1681" s="26" t="str">
        <f>IF($A1681="","",COUNTIFS(tblIssues[Lot Number],$B1681))</f>
        <v/>
      </c>
      <c r="J1681" s="31" t="str">
        <f>IF($A1681="","",IF('Lot Balance'!$O1680&lt;=0,"Depleted",'Lot Balance'!$Q1680))</f>
        <v/>
      </c>
    </row>
    <row r="1682" spans="1:10" x14ac:dyDescent="0.35">
      <c r="A1682" s="18" t="str">
        <f>IF('Lot Balance'!$A1681="","",'Lot Balance'!$A1681)</f>
        <v/>
      </c>
      <c r="B1682" s="18" t="str">
        <f>IF($A1682="","",'Lot Balance'!$B1681)</f>
        <v/>
      </c>
      <c r="C1682" s="18" t="str">
        <f>IF($A1682="","",'Lot Balance'!$C1681)</f>
        <v/>
      </c>
      <c r="D1682" s="25" t="str">
        <f>IF($A1682="","",'Lot Balance'!$G1681)</f>
        <v/>
      </c>
      <c r="E1682" s="25" t="str">
        <f>IF($A1682="","",'Lot Balance'!$H1681)</f>
        <v/>
      </c>
      <c r="F1682" s="23" t="str">
        <f>IF($A1682="","",'Lot Balance'!$I1681)</f>
        <v/>
      </c>
      <c r="G1682" s="23" t="str">
        <f>IF($A1682="","",'Lot Balance'!$O1681)</f>
        <v/>
      </c>
      <c r="H1682" s="33" t="str">
        <f>IF($A1682="","",'Lot Balance'!$P1681)</f>
        <v/>
      </c>
      <c r="I1682" s="26" t="str">
        <f>IF($A1682="","",COUNTIFS(tblIssues[Lot Number],$B1682))</f>
        <v/>
      </c>
      <c r="J1682" s="31" t="str">
        <f>IF($A1682="","",IF('Lot Balance'!$O1681&lt;=0,"Depleted",'Lot Balance'!$Q1681))</f>
        <v/>
      </c>
    </row>
    <row r="1683" spans="1:10" x14ac:dyDescent="0.35">
      <c r="A1683" s="18" t="str">
        <f>IF('Lot Balance'!$A1682="","",'Lot Balance'!$A1682)</f>
        <v/>
      </c>
      <c r="B1683" s="18" t="str">
        <f>IF($A1683="","",'Lot Balance'!$B1682)</f>
        <v/>
      </c>
      <c r="C1683" s="18" t="str">
        <f>IF($A1683="","",'Lot Balance'!$C1682)</f>
        <v/>
      </c>
      <c r="D1683" s="25" t="str">
        <f>IF($A1683="","",'Lot Balance'!$G1682)</f>
        <v/>
      </c>
      <c r="E1683" s="25" t="str">
        <f>IF($A1683="","",'Lot Balance'!$H1682)</f>
        <v/>
      </c>
      <c r="F1683" s="23" t="str">
        <f>IF($A1683="","",'Lot Balance'!$I1682)</f>
        <v/>
      </c>
      <c r="G1683" s="23" t="str">
        <f>IF($A1683="","",'Lot Balance'!$O1682)</f>
        <v/>
      </c>
      <c r="H1683" s="33" t="str">
        <f>IF($A1683="","",'Lot Balance'!$P1682)</f>
        <v/>
      </c>
      <c r="I1683" s="26" t="str">
        <f>IF($A1683="","",COUNTIFS(tblIssues[Lot Number],$B1683))</f>
        <v/>
      </c>
      <c r="J1683" s="31" t="str">
        <f>IF($A1683="","",IF('Lot Balance'!$O1682&lt;=0,"Depleted",'Lot Balance'!$Q1682))</f>
        <v/>
      </c>
    </row>
    <row r="1684" spans="1:10" x14ac:dyDescent="0.35">
      <c r="A1684" s="18" t="str">
        <f>IF('Lot Balance'!$A1683="","",'Lot Balance'!$A1683)</f>
        <v/>
      </c>
      <c r="B1684" s="18" t="str">
        <f>IF($A1684="","",'Lot Balance'!$B1683)</f>
        <v/>
      </c>
      <c r="C1684" s="18" t="str">
        <f>IF($A1684="","",'Lot Balance'!$C1683)</f>
        <v/>
      </c>
      <c r="D1684" s="25" t="str">
        <f>IF($A1684="","",'Lot Balance'!$G1683)</f>
        <v/>
      </c>
      <c r="E1684" s="25" t="str">
        <f>IF($A1684="","",'Lot Balance'!$H1683)</f>
        <v/>
      </c>
      <c r="F1684" s="23" t="str">
        <f>IF($A1684="","",'Lot Balance'!$I1683)</f>
        <v/>
      </c>
      <c r="G1684" s="23" t="str">
        <f>IF($A1684="","",'Lot Balance'!$O1683)</f>
        <v/>
      </c>
      <c r="H1684" s="33" t="str">
        <f>IF($A1684="","",'Lot Balance'!$P1683)</f>
        <v/>
      </c>
      <c r="I1684" s="26" t="str">
        <f>IF($A1684="","",COUNTIFS(tblIssues[Lot Number],$B1684))</f>
        <v/>
      </c>
      <c r="J1684" s="31" t="str">
        <f>IF($A1684="","",IF('Lot Balance'!$O1683&lt;=0,"Depleted",'Lot Balance'!$Q1683))</f>
        <v/>
      </c>
    </row>
    <row r="1685" spans="1:10" x14ac:dyDescent="0.35">
      <c r="A1685" s="18" t="str">
        <f>IF('Lot Balance'!$A1684="","",'Lot Balance'!$A1684)</f>
        <v/>
      </c>
      <c r="B1685" s="18" t="str">
        <f>IF($A1685="","",'Lot Balance'!$B1684)</f>
        <v/>
      </c>
      <c r="C1685" s="18" t="str">
        <f>IF($A1685="","",'Lot Balance'!$C1684)</f>
        <v/>
      </c>
      <c r="D1685" s="25" t="str">
        <f>IF($A1685="","",'Lot Balance'!$G1684)</f>
        <v/>
      </c>
      <c r="E1685" s="25" t="str">
        <f>IF($A1685="","",'Lot Balance'!$H1684)</f>
        <v/>
      </c>
      <c r="F1685" s="23" t="str">
        <f>IF($A1685="","",'Lot Balance'!$I1684)</f>
        <v/>
      </c>
      <c r="G1685" s="23" t="str">
        <f>IF($A1685="","",'Lot Balance'!$O1684)</f>
        <v/>
      </c>
      <c r="H1685" s="33" t="str">
        <f>IF($A1685="","",'Lot Balance'!$P1684)</f>
        <v/>
      </c>
      <c r="I1685" s="26" t="str">
        <f>IF($A1685="","",COUNTIFS(tblIssues[Lot Number],$B1685))</f>
        <v/>
      </c>
      <c r="J1685" s="31" t="str">
        <f>IF($A1685="","",IF('Lot Balance'!$O1684&lt;=0,"Depleted",'Lot Balance'!$Q1684))</f>
        <v/>
      </c>
    </row>
    <row r="1686" spans="1:10" x14ac:dyDescent="0.35">
      <c r="A1686" s="18" t="str">
        <f>IF('Lot Balance'!$A1685="","",'Lot Balance'!$A1685)</f>
        <v/>
      </c>
      <c r="B1686" s="18" t="str">
        <f>IF($A1686="","",'Lot Balance'!$B1685)</f>
        <v/>
      </c>
      <c r="C1686" s="18" t="str">
        <f>IF($A1686="","",'Lot Balance'!$C1685)</f>
        <v/>
      </c>
      <c r="D1686" s="25" t="str">
        <f>IF($A1686="","",'Lot Balance'!$G1685)</f>
        <v/>
      </c>
      <c r="E1686" s="25" t="str">
        <f>IF($A1686="","",'Lot Balance'!$H1685)</f>
        <v/>
      </c>
      <c r="F1686" s="23" t="str">
        <f>IF($A1686="","",'Lot Balance'!$I1685)</f>
        <v/>
      </c>
      <c r="G1686" s="23" t="str">
        <f>IF($A1686="","",'Lot Balance'!$O1685)</f>
        <v/>
      </c>
      <c r="H1686" s="33" t="str">
        <f>IF($A1686="","",'Lot Balance'!$P1685)</f>
        <v/>
      </c>
      <c r="I1686" s="26" t="str">
        <f>IF($A1686="","",COUNTIFS(tblIssues[Lot Number],$B1686))</f>
        <v/>
      </c>
      <c r="J1686" s="31" t="str">
        <f>IF($A1686="","",IF('Lot Balance'!$O1685&lt;=0,"Depleted",'Lot Balance'!$Q1685))</f>
        <v/>
      </c>
    </row>
    <row r="1687" spans="1:10" x14ac:dyDescent="0.35">
      <c r="A1687" s="18" t="str">
        <f>IF('Lot Balance'!$A1686="","",'Lot Balance'!$A1686)</f>
        <v/>
      </c>
      <c r="B1687" s="18" t="str">
        <f>IF($A1687="","",'Lot Balance'!$B1686)</f>
        <v/>
      </c>
      <c r="C1687" s="18" t="str">
        <f>IF($A1687="","",'Lot Balance'!$C1686)</f>
        <v/>
      </c>
      <c r="D1687" s="25" t="str">
        <f>IF($A1687="","",'Lot Balance'!$G1686)</f>
        <v/>
      </c>
      <c r="E1687" s="25" t="str">
        <f>IF($A1687="","",'Lot Balance'!$H1686)</f>
        <v/>
      </c>
      <c r="F1687" s="23" t="str">
        <f>IF($A1687="","",'Lot Balance'!$I1686)</f>
        <v/>
      </c>
      <c r="G1687" s="23" t="str">
        <f>IF($A1687="","",'Lot Balance'!$O1686)</f>
        <v/>
      </c>
      <c r="H1687" s="33" t="str">
        <f>IF($A1687="","",'Lot Balance'!$P1686)</f>
        <v/>
      </c>
      <c r="I1687" s="26" t="str">
        <f>IF($A1687="","",COUNTIFS(tblIssues[Lot Number],$B1687))</f>
        <v/>
      </c>
      <c r="J1687" s="31" t="str">
        <f>IF($A1687="","",IF('Lot Balance'!$O1686&lt;=0,"Depleted",'Lot Balance'!$Q1686))</f>
        <v/>
      </c>
    </row>
    <row r="1688" spans="1:10" x14ac:dyDescent="0.35">
      <c r="A1688" s="18" t="str">
        <f>IF('Lot Balance'!$A1687="","",'Lot Balance'!$A1687)</f>
        <v/>
      </c>
      <c r="B1688" s="18" t="str">
        <f>IF($A1688="","",'Lot Balance'!$B1687)</f>
        <v/>
      </c>
      <c r="C1688" s="18" t="str">
        <f>IF($A1688="","",'Lot Balance'!$C1687)</f>
        <v/>
      </c>
      <c r="D1688" s="25" t="str">
        <f>IF($A1688="","",'Lot Balance'!$G1687)</f>
        <v/>
      </c>
      <c r="E1688" s="25" t="str">
        <f>IF($A1688="","",'Lot Balance'!$H1687)</f>
        <v/>
      </c>
      <c r="F1688" s="23" t="str">
        <f>IF($A1688="","",'Lot Balance'!$I1687)</f>
        <v/>
      </c>
      <c r="G1688" s="23" t="str">
        <f>IF($A1688="","",'Lot Balance'!$O1687)</f>
        <v/>
      </c>
      <c r="H1688" s="33" t="str">
        <f>IF($A1688="","",'Lot Balance'!$P1687)</f>
        <v/>
      </c>
      <c r="I1688" s="26" t="str">
        <f>IF($A1688="","",COUNTIFS(tblIssues[Lot Number],$B1688))</f>
        <v/>
      </c>
      <c r="J1688" s="31" t="str">
        <f>IF($A1688="","",IF('Lot Balance'!$O1687&lt;=0,"Depleted",'Lot Balance'!$Q1687))</f>
        <v/>
      </c>
    </row>
    <row r="1689" spans="1:10" x14ac:dyDescent="0.35">
      <c r="A1689" s="18" t="str">
        <f>IF('Lot Balance'!$A1688="","",'Lot Balance'!$A1688)</f>
        <v/>
      </c>
      <c r="B1689" s="18" t="str">
        <f>IF($A1689="","",'Lot Balance'!$B1688)</f>
        <v/>
      </c>
      <c r="C1689" s="18" t="str">
        <f>IF($A1689="","",'Lot Balance'!$C1688)</f>
        <v/>
      </c>
      <c r="D1689" s="25" t="str">
        <f>IF($A1689="","",'Lot Balance'!$G1688)</f>
        <v/>
      </c>
      <c r="E1689" s="25" t="str">
        <f>IF($A1689="","",'Lot Balance'!$H1688)</f>
        <v/>
      </c>
      <c r="F1689" s="23" t="str">
        <f>IF($A1689="","",'Lot Balance'!$I1688)</f>
        <v/>
      </c>
      <c r="G1689" s="23" t="str">
        <f>IF($A1689="","",'Lot Balance'!$O1688)</f>
        <v/>
      </c>
      <c r="H1689" s="33" t="str">
        <f>IF($A1689="","",'Lot Balance'!$P1688)</f>
        <v/>
      </c>
      <c r="I1689" s="26" t="str">
        <f>IF($A1689="","",COUNTIFS(tblIssues[Lot Number],$B1689))</f>
        <v/>
      </c>
      <c r="J1689" s="31" t="str">
        <f>IF($A1689="","",IF('Lot Balance'!$O1688&lt;=0,"Depleted",'Lot Balance'!$Q1688))</f>
        <v/>
      </c>
    </row>
    <row r="1690" spans="1:10" x14ac:dyDescent="0.35">
      <c r="A1690" s="18" t="str">
        <f>IF('Lot Balance'!$A1689="","",'Lot Balance'!$A1689)</f>
        <v/>
      </c>
      <c r="B1690" s="18" t="str">
        <f>IF($A1690="","",'Lot Balance'!$B1689)</f>
        <v/>
      </c>
      <c r="C1690" s="18" t="str">
        <f>IF($A1690="","",'Lot Balance'!$C1689)</f>
        <v/>
      </c>
      <c r="D1690" s="25" t="str">
        <f>IF($A1690="","",'Lot Balance'!$G1689)</f>
        <v/>
      </c>
      <c r="E1690" s="25" t="str">
        <f>IF($A1690="","",'Lot Balance'!$H1689)</f>
        <v/>
      </c>
      <c r="F1690" s="23" t="str">
        <f>IF($A1690="","",'Lot Balance'!$I1689)</f>
        <v/>
      </c>
      <c r="G1690" s="23" t="str">
        <f>IF($A1690="","",'Lot Balance'!$O1689)</f>
        <v/>
      </c>
      <c r="H1690" s="33" t="str">
        <f>IF($A1690="","",'Lot Balance'!$P1689)</f>
        <v/>
      </c>
      <c r="I1690" s="26" t="str">
        <f>IF($A1690="","",COUNTIFS(tblIssues[Lot Number],$B1690))</f>
        <v/>
      </c>
      <c r="J1690" s="31" t="str">
        <f>IF($A1690="","",IF('Lot Balance'!$O1689&lt;=0,"Depleted",'Lot Balance'!$Q1689))</f>
        <v/>
      </c>
    </row>
    <row r="1691" spans="1:10" x14ac:dyDescent="0.35">
      <c r="A1691" s="18" t="str">
        <f>IF('Lot Balance'!$A1690="","",'Lot Balance'!$A1690)</f>
        <v/>
      </c>
      <c r="B1691" s="18" t="str">
        <f>IF($A1691="","",'Lot Balance'!$B1690)</f>
        <v/>
      </c>
      <c r="C1691" s="18" t="str">
        <f>IF($A1691="","",'Lot Balance'!$C1690)</f>
        <v/>
      </c>
      <c r="D1691" s="25" t="str">
        <f>IF($A1691="","",'Lot Balance'!$G1690)</f>
        <v/>
      </c>
      <c r="E1691" s="25" t="str">
        <f>IF($A1691="","",'Lot Balance'!$H1690)</f>
        <v/>
      </c>
      <c r="F1691" s="23" t="str">
        <f>IF($A1691="","",'Lot Balance'!$I1690)</f>
        <v/>
      </c>
      <c r="G1691" s="23" t="str">
        <f>IF($A1691="","",'Lot Balance'!$O1690)</f>
        <v/>
      </c>
      <c r="H1691" s="33" t="str">
        <f>IF($A1691="","",'Lot Balance'!$P1690)</f>
        <v/>
      </c>
      <c r="I1691" s="26" t="str">
        <f>IF($A1691="","",COUNTIFS(tblIssues[Lot Number],$B1691))</f>
        <v/>
      </c>
      <c r="J1691" s="31" t="str">
        <f>IF($A1691="","",IF('Lot Balance'!$O1690&lt;=0,"Depleted",'Lot Balance'!$Q1690))</f>
        <v/>
      </c>
    </row>
    <row r="1692" spans="1:10" x14ac:dyDescent="0.35">
      <c r="A1692" s="18" t="str">
        <f>IF('Lot Balance'!$A1691="","",'Lot Balance'!$A1691)</f>
        <v/>
      </c>
      <c r="B1692" s="18" t="str">
        <f>IF($A1692="","",'Lot Balance'!$B1691)</f>
        <v/>
      </c>
      <c r="C1692" s="18" t="str">
        <f>IF($A1692="","",'Lot Balance'!$C1691)</f>
        <v/>
      </c>
      <c r="D1692" s="25" t="str">
        <f>IF($A1692="","",'Lot Balance'!$G1691)</f>
        <v/>
      </c>
      <c r="E1692" s="25" t="str">
        <f>IF($A1692="","",'Lot Balance'!$H1691)</f>
        <v/>
      </c>
      <c r="F1692" s="23" t="str">
        <f>IF($A1692="","",'Lot Balance'!$I1691)</f>
        <v/>
      </c>
      <c r="G1692" s="23" t="str">
        <f>IF($A1692="","",'Lot Balance'!$O1691)</f>
        <v/>
      </c>
      <c r="H1692" s="33" t="str">
        <f>IF($A1692="","",'Lot Balance'!$P1691)</f>
        <v/>
      </c>
      <c r="I1692" s="26" t="str">
        <f>IF($A1692="","",COUNTIFS(tblIssues[Lot Number],$B1692))</f>
        <v/>
      </c>
      <c r="J1692" s="31" t="str">
        <f>IF($A1692="","",IF('Lot Balance'!$O1691&lt;=0,"Depleted",'Lot Balance'!$Q1691))</f>
        <v/>
      </c>
    </row>
    <row r="1693" spans="1:10" x14ac:dyDescent="0.35">
      <c r="A1693" s="18" t="str">
        <f>IF('Lot Balance'!$A1692="","",'Lot Balance'!$A1692)</f>
        <v/>
      </c>
      <c r="B1693" s="18" t="str">
        <f>IF($A1693="","",'Lot Balance'!$B1692)</f>
        <v/>
      </c>
      <c r="C1693" s="18" t="str">
        <f>IF($A1693="","",'Lot Balance'!$C1692)</f>
        <v/>
      </c>
      <c r="D1693" s="25" t="str">
        <f>IF($A1693="","",'Lot Balance'!$G1692)</f>
        <v/>
      </c>
      <c r="E1693" s="25" t="str">
        <f>IF($A1693="","",'Lot Balance'!$H1692)</f>
        <v/>
      </c>
      <c r="F1693" s="23" t="str">
        <f>IF($A1693="","",'Lot Balance'!$I1692)</f>
        <v/>
      </c>
      <c r="G1693" s="23" t="str">
        <f>IF($A1693="","",'Lot Balance'!$O1692)</f>
        <v/>
      </c>
      <c r="H1693" s="33" t="str">
        <f>IF($A1693="","",'Lot Balance'!$P1692)</f>
        <v/>
      </c>
      <c r="I1693" s="26" t="str">
        <f>IF($A1693="","",COUNTIFS(tblIssues[Lot Number],$B1693))</f>
        <v/>
      </c>
      <c r="J1693" s="31" t="str">
        <f>IF($A1693="","",IF('Lot Balance'!$O1692&lt;=0,"Depleted",'Lot Balance'!$Q1692))</f>
        <v/>
      </c>
    </row>
    <row r="1694" spans="1:10" x14ac:dyDescent="0.35">
      <c r="A1694" s="18" t="str">
        <f>IF('Lot Balance'!$A1693="","",'Lot Balance'!$A1693)</f>
        <v/>
      </c>
      <c r="B1694" s="18" t="str">
        <f>IF($A1694="","",'Lot Balance'!$B1693)</f>
        <v/>
      </c>
      <c r="C1694" s="18" t="str">
        <f>IF($A1694="","",'Lot Balance'!$C1693)</f>
        <v/>
      </c>
      <c r="D1694" s="25" t="str">
        <f>IF($A1694="","",'Lot Balance'!$G1693)</f>
        <v/>
      </c>
      <c r="E1694" s="25" t="str">
        <f>IF($A1694="","",'Lot Balance'!$H1693)</f>
        <v/>
      </c>
      <c r="F1694" s="23" t="str">
        <f>IF($A1694="","",'Lot Balance'!$I1693)</f>
        <v/>
      </c>
      <c r="G1694" s="23" t="str">
        <f>IF($A1694="","",'Lot Balance'!$O1693)</f>
        <v/>
      </c>
      <c r="H1694" s="33" t="str">
        <f>IF($A1694="","",'Lot Balance'!$P1693)</f>
        <v/>
      </c>
      <c r="I1694" s="26" t="str">
        <f>IF($A1694="","",COUNTIFS(tblIssues[Lot Number],$B1694))</f>
        <v/>
      </c>
      <c r="J1694" s="31" t="str">
        <f>IF($A1694="","",IF('Lot Balance'!$O1693&lt;=0,"Depleted",'Lot Balance'!$Q1693))</f>
        <v/>
      </c>
    </row>
    <row r="1695" spans="1:10" x14ac:dyDescent="0.35">
      <c r="A1695" s="18" t="str">
        <f>IF('Lot Balance'!$A1694="","",'Lot Balance'!$A1694)</f>
        <v/>
      </c>
      <c r="B1695" s="18" t="str">
        <f>IF($A1695="","",'Lot Balance'!$B1694)</f>
        <v/>
      </c>
      <c r="C1695" s="18" t="str">
        <f>IF($A1695="","",'Lot Balance'!$C1694)</f>
        <v/>
      </c>
      <c r="D1695" s="25" t="str">
        <f>IF($A1695="","",'Lot Balance'!$G1694)</f>
        <v/>
      </c>
      <c r="E1695" s="25" t="str">
        <f>IF($A1695="","",'Lot Balance'!$H1694)</f>
        <v/>
      </c>
      <c r="F1695" s="23" t="str">
        <f>IF($A1695="","",'Lot Balance'!$I1694)</f>
        <v/>
      </c>
      <c r="G1695" s="23" t="str">
        <f>IF($A1695="","",'Lot Balance'!$O1694)</f>
        <v/>
      </c>
      <c r="H1695" s="33" t="str">
        <f>IF($A1695="","",'Lot Balance'!$P1694)</f>
        <v/>
      </c>
      <c r="I1695" s="26" t="str">
        <f>IF($A1695="","",COUNTIFS(tblIssues[Lot Number],$B1695))</f>
        <v/>
      </c>
      <c r="J1695" s="31" t="str">
        <f>IF($A1695="","",IF('Lot Balance'!$O1694&lt;=0,"Depleted",'Lot Balance'!$Q1694))</f>
        <v/>
      </c>
    </row>
    <row r="1696" spans="1:10" x14ac:dyDescent="0.35">
      <c r="A1696" s="18" t="str">
        <f>IF('Lot Balance'!$A1695="","",'Lot Balance'!$A1695)</f>
        <v/>
      </c>
      <c r="B1696" s="18" t="str">
        <f>IF($A1696="","",'Lot Balance'!$B1695)</f>
        <v/>
      </c>
      <c r="C1696" s="18" t="str">
        <f>IF($A1696="","",'Lot Balance'!$C1695)</f>
        <v/>
      </c>
      <c r="D1696" s="25" t="str">
        <f>IF($A1696="","",'Lot Balance'!$G1695)</f>
        <v/>
      </c>
      <c r="E1696" s="25" t="str">
        <f>IF($A1696="","",'Lot Balance'!$H1695)</f>
        <v/>
      </c>
      <c r="F1696" s="23" t="str">
        <f>IF($A1696="","",'Lot Balance'!$I1695)</f>
        <v/>
      </c>
      <c r="G1696" s="23" t="str">
        <f>IF($A1696="","",'Lot Balance'!$O1695)</f>
        <v/>
      </c>
      <c r="H1696" s="33" t="str">
        <f>IF($A1696="","",'Lot Balance'!$P1695)</f>
        <v/>
      </c>
      <c r="I1696" s="26" t="str">
        <f>IF($A1696="","",COUNTIFS(tblIssues[Lot Number],$B1696))</f>
        <v/>
      </c>
      <c r="J1696" s="31" t="str">
        <f>IF($A1696="","",IF('Lot Balance'!$O1695&lt;=0,"Depleted",'Lot Balance'!$Q1695))</f>
        <v/>
      </c>
    </row>
    <row r="1697" spans="1:10" x14ac:dyDescent="0.35">
      <c r="A1697" s="18" t="str">
        <f>IF('Lot Balance'!$A1696="","",'Lot Balance'!$A1696)</f>
        <v/>
      </c>
      <c r="B1697" s="18" t="str">
        <f>IF($A1697="","",'Lot Balance'!$B1696)</f>
        <v/>
      </c>
      <c r="C1697" s="18" t="str">
        <f>IF($A1697="","",'Lot Balance'!$C1696)</f>
        <v/>
      </c>
      <c r="D1697" s="25" t="str">
        <f>IF($A1697="","",'Lot Balance'!$G1696)</f>
        <v/>
      </c>
      <c r="E1697" s="25" t="str">
        <f>IF($A1697="","",'Lot Balance'!$H1696)</f>
        <v/>
      </c>
      <c r="F1697" s="23" t="str">
        <f>IF($A1697="","",'Lot Balance'!$I1696)</f>
        <v/>
      </c>
      <c r="G1697" s="23" t="str">
        <f>IF($A1697="","",'Lot Balance'!$O1696)</f>
        <v/>
      </c>
      <c r="H1697" s="33" t="str">
        <f>IF($A1697="","",'Lot Balance'!$P1696)</f>
        <v/>
      </c>
      <c r="I1697" s="26" t="str">
        <f>IF($A1697="","",COUNTIFS(tblIssues[Lot Number],$B1697))</f>
        <v/>
      </c>
      <c r="J1697" s="31" t="str">
        <f>IF($A1697="","",IF('Lot Balance'!$O1696&lt;=0,"Depleted",'Lot Balance'!$Q1696))</f>
        <v/>
      </c>
    </row>
    <row r="1698" spans="1:10" x14ac:dyDescent="0.35">
      <c r="A1698" s="18" t="str">
        <f>IF('Lot Balance'!$A1697="","",'Lot Balance'!$A1697)</f>
        <v/>
      </c>
      <c r="B1698" s="18" t="str">
        <f>IF($A1698="","",'Lot Balance'!$B1697)</f>
        <v/>
      </c>
      <c r="C1698" s="18" t="str">
        <f>IF($A1698="","",'Lot Balance'!$C1697)</f>
        <v/>
      </c>
      <c r="D1698" s="25" t="str">
        <f>IF($A1698="","",'Lot Balance'!$G1697)</f>
        <v/>
      </c>
      <c r="E1698" s="25" t="str">
        <f>IF($A1698="","",'Lot Balance'!$H1697)</f>
        <v/>
      </c>
      <c r="F1698" s="23" t="str">
        <f>IF($A1698="","",'Lot Balance'!$I1697)</f>
        <v/>
      </c>
      <c r="G1698" s="23" t="str">
        <f>IF($A1698="","",'Lot Balance'!$O1697)</f>
        <v/>
      </c>
      <c r="H1698" s="33" t="str">
        <f>IF($A1698="","",'Lot Balance'!$P1697)</f>
        <v/>
      </c>
      <c r="I1698" s="26" t="str">
        <f>IF($A1698="","",COUNTIFS(tblIssues[Lot Number],$B1698))</f>
        <v/>
      </c>
      <c r="J1698" s="31" t="str">
        <f>IF($A1698="","",IF('Lot Balance'!$O1697&lt;=0,"Depleted",'Lot Balance'!$Q1697))</f>
        <v/>
      </c>
    </row>
    <row r="1699" spans="1:10" x14ac:dyDescent="0.35">
      <c r="A1699" s="18" t="str">
        <f>IF('Lot Balance'!$A1698="","",'Lot Balance'!$A1698)</f>
        <v/>
      </c>
      <c r="B1699" s="18" t="str">
        <f>IF($A1699="","",'Lot Balance'!$B1698)</f>
        <v/>
      </c>
      <c r="C1699" s="18" t="str">
        <f>IF($A1699="","",'Lot Balance'!$C1698)</f>
        <v/>
      </c>
      <c r="D1699" s="25" t="str">
        <f>IF($A1699="","",'Lot Balance'!$G1698)</f>
        <v/>
      </c>
      <c r="E1699" s="25" t="str">
        <f>IF($A1699="","",'Lot Balance'!$H1698)</f>
        <v/>
      </c>
      <c r="F1699" s="23" t="str">
        <f>IF($A1699="","",'Lot Balance'!$I1698)</f>
        <v/>
      </c>
      <c r="G1699" s="23" t="str">
        <f>IF($A1699="","",'Lot Balance'!$O1698)</f>
        <v/>
      </c>
      <c r="H1699" s="33" t="str">
        <f>IF($A1699="","",'Lot Balance'!$P1698)</f>
        <v/>
      </c>
      <c r="I1699" s="26" t="str">
        <f>IF($A1699="","",COUNTIFS(tblIssues[Lot Number],$B1699))</f>
        <v/>
      </c>
      <c r="J1699" s="31" t="str">
        <f>IF($A1699="","",IF('Lot Balance'!$O1698&lt;=0,"Depleted",'Lot Balance'!$Q1698))</f>
        <v/>
      </c>
    </row>
    <row r="1700" spans="1:10" x14ac:dyDescent="0.35">
      <c r="A1700" s="18" t="str">
        <f>IF('Lot Balance'!$A1699="","",'Lot Balance'!$A1699)</f>
        <v/>
      </c>
      <c r="B1700" s="18" t="str">
        <f>IF($A1700="","",'Lot Balance'!$B1699)</f>
        <v/>
      </c>
      <c r="C1700" s="18" t="str">
        <f>IF($A1700="","",'Lot Balance'!$C1699)</f>
        <v/>
      </c>
      <c r="D1700" s="25" t="str">
        <f>IF($A1700="","",'Lot Balance'!$G1699)</f>
        <v/>
      </c>
      <c r="E1700" s="25" t="str">
        <f>IF($A1700="","",'Lot Balance'!$H1699)</f>
        <v/>
      </c>
      <c r="F1700" s="23" t="str">
        <f>IF($A1700="","",'Lot Balance'!$I1699)</f>
        <v/>
      </c>
      <c r="G1700" s="23" t="str">
        <f>IF($A1700="","",'Lot Balance'!$O1699)</f>
        <v/>
      </c>
      <c r="H1700" s="33" t="str">
        <f>IF($A1700="","",'Lot Balance'!$P1699)</f>
        <v/>
      </c>
      <c r="I1700" s="26" t="str">
        <f>IF($A1700="","",COUNTIFS(tblIssues[Lot Number],$B1700))</f>
        <v/>
      </c>
      <c r="J1700" s="31" t="str">
        <f>IF($A1700="","",IF('Lot Balance'!$O1699&lt;=0,"Depleted",'Lot Balance'!$Q1699))</f>
        <v/>
      </c>
    </row>
    <row r="1701" spans="1:10" x14ac:dyDescent="0.35">
      <c r="A1701" s="18" t="str">
        <f>IF('Lot Balance'!$A1700="","",'Lot Balance'!$A1700)</f>
        <v/>
      </c>
      <c r="B1701" s="18" t="str">
        <f>IF($A1701="","",'Lot Balance'!$B1700)</f>
        <v/>
      </c>
      <c r="C1701" s="18" t="str">
        <f>IF($A1701="","",'Lot Balance'!$C1700)</f>
        <v/>
      </c>
      <c r="D1701" s="25" t="str">
        <f>IF($A1701="","",'Lot Balance'!$G1700)</f>
        <v/>
      </c>
      <c r="E1701" s="25" t="str">
        <f>IF($A1701="","",'Lot Balance'!$H1700)</f>
        <v/>
      </c>
      <c r="F1701" s="23" t="str">
        <f>IF($A1701="","",'Lot Balance'!$I1700)</f>
        <v/>
      </c>
      <c r="G1701" s="23" t="str">
        <f>IF($A1701="","",'Lot Balance'!$O1700)</f>
        <v/>
      </c>
      <c r="H1701" s="33" t="str">
        <f>IF($A1701="","",'Lot Balance'!$P1700)</f>
        <v/>
      </c>
      <c r="I1701" s="26" t="str">
        <f>IF($A1701="","",COUNTIFS(tblIssues[Lot Number],$B1701))</f>
        <v/>
      </c>
      <c r="J1701" s="31" t="str">
        <f>IF($A1701="","",IF('Lot Balance'!$O1700&lt;=0,"Depleted",'Lot Balance'!$Q1700))</f>
        <v/>
      </c>
    </row>
    <row r="1702" spans="1:10" x14ac:dyDescent="0.35">
      <c r="A1702" s="18" t="str">
        <f>IF('Lot Balance'!$A1701="","",'Lot Balance'!$A1701)</f>
        <v/>
      </c>
      <c r="B1702" s="18" t="str">
        <f>IF($A1702="","",'Lot Balance'!$B1701)</f>
        <v/>
      </c>
      <c r="C1702" s="18" t="str">
        <f>IF($A1702="","",'Lot Balance'!$C1701)</f>
        <v/>
      </c>
      <c r="D1702" s="25" t="str">
        <f>IF($A1702="","",'Lot Balance'!$G1701)</f>
        <v/>
      </c>
      <c r="E1702" s="25" t="str">
        <f>IF($A1702="","",'Lot Balance'!$H1701)</f>
        <v/>
      </c>
      <c r="F1702" s="23" t="str">
        <f>IF($A1702="","",'Lot Balance'!$I1701)</f>
        <v/>
      </c>
      <c r="G1702" s="23" t="str">
        <f>IF($A1702="","",'Lot Balance'!$O1701)</f>
        <v/>
      </c>
      <c r="H1702" s="33" t="str">
        <f>IF($A1702="","",'Lot Balance'!$P1701)</f>
        <v/>
      </c>
      <c r="I1702" s="26" t="str">
        <f>IF($A1702="","",COUNTIFS(tblIssues[Lot Number],$B1702))</f>
        <v/>
      </c>
      <c r="J1702" s="31" t="str">
        <f>IF($A1702="","",IF('Lot Balance'!$O1701&lt;=0,"Depleted",'Lot Balance'!$Q1701))</f>
        <v/>
      </c>
    </row>
    <row r="1703" spans="1:10" x14ac:dyDescent="0.35">
      <c r="A1703" s="18" t="str">
        <f>IF('Lot Balance'!$A1702="","",'Lot Balance'!$A1702)</f>
        <v/>
      </c>
      <c r="B1703" s="18" t="str">
        <f>IF($A1703="","",'Lot Balance'!$B1702)</f>
        <v/>
      </c>
      <c r="C1703" s="18" t="str">
        <f>IF($A1703="","",'Lot Balance'!$C1702)</f>
        <v/>
      </c>
      <c r="D1703" s="25" t="str">
        <f>IF($A1703="","",'Lot Balance'!$G1702)</f>
        <v/>
      </c>
      <c r="E1703" s="25" t="str">
        <f>IF($A1703="","",'Lot Balance'!$H1702)</f>
        <v/>
      </c>
      <c r="F1703" s="23" t="str">
        <f>IF($A1703="","",'Lot Balance'!$I1702)</f>
        <v/>
      </c>
      <c r="G1703" s="23" t="str">
        <f>IF($A1703="","",'Lot Balance'!$O1702)</f>
        <v/>
      </c>
      <c r="H1703" s="33" t="str">
        <f>IF($A1703="","",'Lot Balance'!$P1702)</f>
        <v/>
      </c>
      <c r="I1703" s="26" t="str">
        <f>IF($A1703="","",COUNTIFS(tblIssues[Lot Number],$B1703))</f>
        <v/>
      </c>
      <c r="J1703" s="31" t="str">
        <f>IF($A1703="","",IF('Lot Balance'!$O1702&lt;=0,"Depleted",'Lot Balance'!$Q1702))</f>
        <v/>
      </c>
    </row>
    <row r="1704" spans="1:10" x14ac:dyDescent="0.35">
      <c r="A1704" s="18" t="str">
        <f>IF('Lot Balance'!$A1703="","",'Lot Balance'!$A1703)</f>
        <v/>
      </c>
      <c r="B1704" s="18" t="str">
        <f>IF($A1704="","",'Lot Balance'!$B1703)</f>
        <v/>
      </c>
      <c r="C1704" s="18" t="str">
        <f>IF($A1704="","",'Lot Balance'!$C1703)</f>
        <v/>
      </c>
      <c r="D1704" s="25" t="str">
        <f>IF($A1704="","",'Lot Balance'!$G1703)</f>
        <v/>
      </c>
      <c r="E1704" s="25" t="str">
        <f>IF($A1704="","",'Lot Balance'!$H1703)</f>
        <v/>
      </c>
      <c r="F1704" s="23" t="str">
        <f>IF($A1704="","",'Lot Balance'!$I1703)</f>
        <v/>
      </c>
      <c r="G1704" s="23" t="str">
        <f>IF($A1704="","",'Lot Balance'!$O1703)</f>
        <v/>
      </c>
      <c r="H1704" s="33" t="str">
        <f>IF($A1704="","",'Lot Balance'!$P1703)</f>
        <v/>
      </c>
      <c r="I1704" s="26" t="str">
        <f>IF($A1704="","",COUNTIFS(tblIssues[Lot Number],$B1704))</f>
        <v/>
      </c>
      <c r="J1704" s="31" t="str">
        <f>IF($A1704="","",IF('Lot Balance'!$O1703&lt;=0,"Depleted",'Lot Balance'!$Q1703))</f>
        <v/>
      </c>
    </row>
    <row r="1705" spans="1:10" x14ac:dyDescent="0.35">
      <c r="A1705" s="18" t="str">
        <f>IF('Lot Balance'!$A1704="","",'Lot Balance'!$A1704)</f>
        <v/>
      </c>
      <c r="B1705" s="18" t="str">
        <f>IF($A1705="","",'Lot Balance'!$B1704)</f>
        <v/>
      </c>
      <c r="C1705" s="18" t="str">
        <f>IF($A1705="","",'Lot Balance'!$C1704)</f>
        <v/>
      </c>
      <c r="D1705" s="25" t="str">
        <f>IF($A1705="","",'Lot Balance'!$G1704)</f>
        <v/>
      </c>
      <c r="E1705" s="25" t="str">
        <f>IF($A1705="","",'Lot Balance'!$H1704)</f>
        <v/>
      </c>
      <c r="F1705" s="23" t="str">
        <f>IF($A1705="","",'Lot Balance'!$I1704)</f>
        <v/>
      </c>
      <c r="G1705" s="23" t="str">
        <f>IF($A1705="","",'Lot Balance'!$O1704)</f>
        <v/>
      </c>
      <c r="H1705" s="33" t="str">
        <f>IF($A1705="","",'Lot Balance'!$P1704)</f>
        <v/>
      </c>
      <c r="I1705" s="26" t="str">
        <f>IF($A1705="","",COUNTIFS(tblIssues[Lot Number],$B1705))</f>
        <v/>
      </c>
      <c r="J1705" s="31" t="str">
        <f>IF($A1705="","",IF('Lot Balance'!$O1704&lt;=0,"Depleted",'Lot Balance'!$Q1704))</f>
        <v/>
      </c>
    </row>
    <row r="1706" spans="1:10" x14ac:dyDescent="0.35">
      <c r="A1706" s="18" t="str">
        <f>IF('Lot Balance'!$A1705="","",'Lot Balance'!$A1705)</f>
        <v/>
      </c>
      <c r="B1706" s="18" t="str">
        <f>IF($A1706="","",'Lot Balance'!$B1705)</f>
        <v/>
      </c>
      <c r="C1706" s="18" t="str">
        <f>IF($A1706="","",'Lot Balance'!$C1705)</f>
        <v/>
      </c>
      <c r="D1706" s="25" t="str">
        <f>IF($A1706="","",'Lot Balance'!$G1705)</f>
        <v/>
      </c>
      <c r="E1706" s="25" t="str">
        <f>IF($A1706="","",'Lot Balance'!$H1705)</f>
        <v/>
      </c>
      <c r="F1706" s="23" t="str">
        <f>IF($A1706="","",'Lot Balance'!$I1705)</f>
        <v/>
      </c>
      <c r="G1706" s="23" t="str">
        <f>IF($A1706="","",'Lot Balance'!$O1705)</f>
        <v/>
      </c>
      <c r="H1706" s="33" t="str">
        <f>IF($A1706="","",'Lot Balance'!$P1705)</f>
        <v/>
      </c>
      <c r="I1706" s="26" t="str">
        <f>IF($A1706="","",COUNTIFS(tblIssues[Lot Number],$B1706))</f>
        <v/>
      </c>
      <c r="J1706" s="31" t="str">
        <f>IF($A1706="","",IF('Lot Balance'!$O1705&lt;=0,"Depleted",'Lot Balance'!$Q1705))</f>
        <v/>
      </c>
    </row>
    <row r="1707" spans="1:10" x14ac:dyDescent="0.35">
      <c r="A1707" s="18" t="str">
        <f>IF('Lot Balance'!$A1706="","",'Lot Balance'!$A1706)</f>
        <v/>
      </c>
      <c r="B1707" s="18" t="str">
        <f>IF($A1707="","",'Lot Balance'!$B1706)</f>
        <v/>
      </c>
      <c r="C1707" s="18" t="str">
        <f>IF($A1707="","",'Lot Balance'!$C1706)</f>
        <v/>
      </c>
      <c r="D1707" s="25" t="str">
        <f>IF($A1707="","",'Lot Balance'!$G1706)</f>
        <v/>
      </c>
      <c r="E1707" s="25" t="str">
        <f>IF($A1707="","",'Lot Balance'!$H1706)</f>
        <v/>
      </c>
      <c r="F1707" s="23" t="str">
        <f>IF($A1707="","",'Lot Balance'!$I1706)</f>
        <v/>
      </c>
      <c r="G1707" s="23" t="str">
        <f>IF($A1707="","",'Lot Balance'!$O1706)</f>
        <v/>
      </c>
      <c r="H1707" s="33" t="str">
        <f>IF($A1707="","",'Lot Balance'!$P1706)</f>
        <v/>
      </c>
      <c r="I1707" s="26" t="str">
        <f>IF($A1707="","",COUNTIFS(tblIssues[Lot Number],$B1707))</f>
        <v/>
      </c>
      <c r="J1707" s="31" t="str">
        <f>IF($A1707="","",IF('Lot Balance'!$O1706&lt;=0,"Depleted",'Lot Balance'!$Q1706))</f>
        <v/>
      </c>
    </row>
    <row r="1708" spans="1:10" x14ac:dyDescent="0.35">
      <c r="A1708" s="18" t="str">
        <f>IF('Lot Balance'!$A1707="","",'Lot Balance'!$A1707)</f>
        <v/>
      </c>
      <c r="B1708" s="18" t="str">
        <f>IF($A1708="","",'Lot Balance'!$B1707)</f>
        <v/>
      </c>
      <c r="C1708" s="18" t="str">
        <f>IF($A1708="","",'Lot Balance'!$C1707)</f>
        <v/>
      </c>
      <c r="D1708" s="25" t="str">
        <f>IF($A1708="","",'Lot Balance'!$G1707)</f>
        <v/>
      </c>
      <c r="E1708" s="25" t="str">
        <f>IF($A1708="","",'Lot Balance'!$H1707)</f>
        <v/>
      </c>
      <c r="F1708" s="23" t="str">
        <f>IF($A1708="","",'Lot Balance'!$I1707)</f>
        <v/>
      </c>
      <c r="G1708" s="23" t="str">
        <f>IF($A1708="","",'Lot Balance'!$O1707)</f>
        <v/>
      </c>
      <c r="H1708" s="33" t="str">
        <f>IF($A1708="","",'Lot Balance'!$P1707)</f>
        <v/>
      </c>
      <c r="I1708" s="26" t="str">
        <f>IF($A1708="","",COUNTIFS(tblIssues[Lot Number],$B1708))</f>
        <v/>
      </c>
      <c r="J1708" s="31" t="str">
        <f>IF($A1708="","",IF('Lot Balance'!$O1707&lt;=0,"Depleted",'Lot Balance'!$Q1707))</f>
        <v/>
      </c>
    </row>
    <row r="1709" spans="1:10" x14ac:dyDescent="0.35">
      <c r="A1709" s="18" t="str">
        <f>IF('Lot Balance'!$A1708="","",'Lot Balance'!$A1708)</f>
        <v/>
      </c>
      <c r="B1709" s="18" t="str">
        <f>IF($A1709="","",'Lot Balance'!$B1708)</f>
        <v/>
      </c>
      <c r="C1709" s="18" t="str">
        <f>IF($A1709="","",'Lot Balance'!$C1708)</f>
        <v/>
      </c>
      <c r="D1709" s="25" t="str">
        <f>IF($A1709="","",'Lot Balance'!$G1708)</f>
        <v/>
      </c>
      <c r="E1709" s="25" t="str">
        <f>IF($A1709="","",'Lot Balance'!$H1708)</f>
        <v/>
      </c>
      <c r="F1709" s="23" t="str">
        <f>IF($A1709="","",'Lot Balance'!$I1708)</f>
        <v/>
      </c>
      <c r="G1709" s="23" t="str">
        <f>IF($A1709="","",'Lot Balance'!$O1708)</f>
        <v/>
      </c>
      <c r="H1709" s="33" t="str">
        <f>IF($A1709="","",'Lot Balance'!$P1708)</f>
        <v/>
      </c>
      <c r="I1709" s="26" t="str">
        <f>IF($A1709="","",COUNTIFS(tblIssues[Lot Number],$B1709))</f>
        <v/>
      </c>
      <c r="J1709" s="31" t="str">
        <f>IF($A1709="","",IF('Lot Balance'!$O1708&lt;=0,"Depleted",'Lot Balance'!$Q1708))</f>
        <v/>
      </c>
    </row>
    <row r="1710" spans="1:10" x14ac:dyDescent="0.35">
      <c r="A1710" s="18" t="str">
        <f>IF('Lot Balance'!$A1709="","",'Lot Balance'!$A1709)</f>
        <v/>
      </c>
      <c r="B1710" s="18" t="str">
        <f>IF($A1710="","",'Lot Balance'!$B1709)</f>
        <v/>
      </c>
      <c r="C1710" s="18" t="str">
        <f>IF($A1710="","",'Lot Balance'!$C1709)</f>
        <v/>
      </c>
      <c r="D1710" s="25" t="str">
        <f>IF($A1710="","",'Lot Balance'!$G1709)</f>
        <v/>
      </c>
      <c r="E1710" s="25" t="str">
        <f>IF($A1710="","",'Lot Balance'!$H1709)</f>
        <v/>
      </c>
      <c r="F1710" s="23" t="str">
        <f>IF($A1710="","",'Lot Balance'!$I1709)</f>
        <v/>
      </c>
      <c r="G1710" s="23" t="str">
        <f>IF($A1710="","",'Lot Balance'!$O1709)</f>
        <v/>
      </c>
      <c r="H1710" s="33" t="str">
        <f>IF($A1710="","",'Lot Balance'!$P1709)</f>
        <v/>
      </c>
      <c r="I1710" s="26" t="str">
        <f>IF($A1710="","",COUNTIFS(tblIssues[Lot Number],$B1710))</f>
        <v/>
      </c>
      <c r="J1710" s="31" t="str">
        <f>IF($A1710="","",IF('Lot Balance'!$O1709&lt;=0,"Depleted",'Lot Balance'!$Q1709))</f>
        <v/>
      </c>
    </row>
    <row r="1711" spans="1:10" x14ac:dyDescent="0.35">
      <c r="A1711" s="18" t="str">
        <f>IF('Lot Balance'!$A1710="","",'Lot Balance'!$A1710)</f>
        <v/>
      </c>
      <c r="B1711" s="18" t="str">
        <f>IF($A1711="","",'Lot Balance'!$B1710)</f>
        <v/>
      </c>
      <c r="C1711" s="18" t="str">
        <f>IF($A1711="","",'Lot Balance'!$C1710)</f>
        <v/>
      </c>
      <c r="D1711" s="25" t="str">
        <f>IF($A1711="","",'Lot Balance'!$G1710)</f>
        <v/>
      </c>
      <c r="E1711" s="25" t="str">
        <f>IF($A1711="","",'Lot Balance'!$H1710)</f>
        <v/>
      </c>
      <c r="F1711" s="23" t="str">
        <f>IF($A1711="","",'Lot Balance'!$I1710)</f>
        <v/>
      </c>
      <c r="G1711" s="23" t="str">
        <f>IF($A1711="","",'Lot Balance'!$O1710)</f>
        <v/>
      </c>
      <c r="H1711" s="33" t="str">
        <f>IF($A1711="","",'Lot Balance'!$P1710)</f>
        <v/>
      </c>
      <c r="I1711" s="26" t="str">
        <f>IF($A1711="","",COUNTIFS(tblIssues[Lot Number],$B1711))</f>
        <v/>
      </c>
      <c r="J1711" s="31" t="str">
        <f>IF($A1711="","",IF('Lot Balance'!$O1710&lt;=0,"Depleted",'Lot Balance'!$Q1710))</f>
        <v/>
      </c>
    </row>
    <row r="1712" spans="1:10" x14ac:dyDescent="0.35">
      <c r="A1712" s="18" t="str">
        <f>IF('Lot Balance'!$A1711="","",'Lot Balance'!$A1711)</f>
        <v/>
      </c>
      <c r="B1712" s="18" t="str">
        <f>IF($A1712="","",'Lot Balance'!$B1711)</f>
        <v/>
      </c>
      <c r="C1712" s="18" t="str">
        <f>IF($A1712="","",'Lot Balance'!$C1711)</f>
        <v/>
      </c>
      <c r="D1712" s="25" t="str">
        <f>IF($A1712="","",'Lot Balance'!$G1711)</f>
        <v/>
      </c>
      <c r="E1712" s="25" t="str">
        <f>IF($A1712="","",'Lot Balance'!$H1711)</f>
        <v/>
      </c>
      <c r="F1712" s="23" t="str">
        <f>IF($A1712="","",'Lot Balance'!$I1711)</f>
        <v/>
      </c>
      <c r="G1712" s="23" t="str">
        <f>IF($A1712="","",'Lot Balance'!$O1711)</f>
        <v/>
      </c>
      <c r="H1712" s="33" t="str">
        <f>IF($A1712="","",'Lot Balance'!$P1711)</f>
        <v/>
      </c>
      <c r="I1712" s="26" t="str">
        <f>IF($A1712="","",COUNTIFS(tblIssues[Lot Number],$B1712))</f>
        <v/>
      </c>
      <c r="J1712" s="31" t="str">
        <f>IF($A1712="","",IF('Lot Balance'!$O1711&lt;=0,"Depleted",'Lot Balance'!$Q1711))</f>
        <v/>
      </c>
    </row>
    <row r="1713" spans="1:10" x14ac:dyDescent="0.35">
      <c r="A1713" s="18" t="str">
        <f>IF('Lot Balance'!$A1712="","",'Lot Balance'!$A1712)</f>
        <v/>
      </c>
      <c r="B1713" s="18" t="str">
        <f>IF($A1713="","",'Lot Balance'!$B1712)</f>
        <v/>
      </c>
      <c r="C1713" s="18" t="str">
        <f>IF($A1713="","",'Lot Balance'!$C1712)</f>
        <v/>
      </c>
      <c r="D1713" s="25" t="str">
        <f>IF($A1713="","",'Lot Balance'!$G1712)</f>
        <v/>
      </c>
      <c r="E1713" s="25" t="str">
        <f>IF($A1713="","",'Lot Balance'!$H1712)</f>
        <v/>
      </c>
      <c r="F1713" s="23" t="str">
        <f>IF($A1713="","",'Lot Balance'!$I1712)</f>
        <v/>
      </c>
      <c r="G1713" s="23" t="str">
        <f>IF($A1713="","",'Lot Balance'!$O1712)</f>
        <v/>
      </c>
      <c r="H1713" s="33" t="str">
        <f>IF($A1713="","",'Lot Balance'!$P1712)</f>
        <v/>
      </c>
      <c r="I1713" s="26" t="str">
        <f>IF($A1713="","",COUNTIFS(tblIssues[Lot Number],$B1713))</f>
        <v/>
      </c>
      <c r="J1713" s="31" t="str">
        <f>IF($A1713="","",IF('Lot Balance'!$O1712&lt;=0,"Depleted",'Lot Balance'!$Q1712))</f>
        <v/>
      </c>
    </row>
    <row r="1714" spans="1:10" x14ac:dyDescent="0.35">
      <c r="A1714" s="18" t="str">
        <f>IF('Lot Balance'!$A1713="","",'Lot Balance'!$A1713)</f>
        <v/>
      </c>
      <c r="B1714" s="18" t="str">
        <f>IF($A1714="","",'Lot Balance'!$B1713)</f>
        <v/>
      </c>
      <c r="C1714" s="18" t="str">
        <f>IF($A1714="","",'Lot Balance'!$C1713)</f>
        <v/>
      </c>
      <c r="D1714" s="25" t="str">
        <f>IF($A1714="","",'Lot Balance'!$G1713)</f>
        <v/>
      </c>
      <c r="E1714" s="25" t="str">
        <f>IF($A1714="","",'Lot Balance'!$H1713)</f>
        <v/>
      </c>
      <c r="F1714" s="23" t="str">
        <f>IF($A1714="","",'Lot Balance'!$I1713)</f>
        <v/>
      </c>
      <c r="G1714" s="23" t="str">
        <f>IF($A1714="","",'Lot Balance'!$O1713)</f>
        <v/>
      </c>
      <c r="H1714" s="33" t="str">
        <f>IF($A1714="","",'Lot Balance'!$P1713)</f>
        <v/>
      </c>
      <c r="I1714" s="26" t="str">
        <f>IF($A1714="","",COUNTIFS(tblIssues[Lot Number],$B1714))</f>
        <v/>
      </c>
      <c r="J1714" s="31" t="str">
        <f>IF($A1714="","",IF('Lot Balance'!$O1713&lt;=0,"Depleted",'Lot Balance'!$Q1713))</f>
        <v/>
      </c>
    </row>
    <row r="1715" spans="1:10" x14ac:dyDescent="0.35">
      <c r="A1715" s="18" t="str">
        <f>IF('Lot Balance'!$A1714="","",'Lot Balance'!$A1714)</f>
        <v/>
      </c>
      <c r="B1715" s="18" t="str">
        <f>IF($A1715="","",'Lot Balance'!$B1714)</f>
        <v/>
      </c>
      <c r="C1715" s="18" t="str">
        <f>IF($A1715="","",'Lot Balance'!$C1714)</f>
        <v/>
      </c>
      <c r="D1715" s="25" t="str">
        <f>IF($A1715="","",'Lot Balance'!$G1714)</f>
        <v/>
      </c>
      <c r="E1715" s="25" t="str">
        <f>IF($A1715="","",'Lot Balance'!$H1714)</f>
        <v/>
      </c>
      <c r="F1715" s="23" t="str">
        <f>IF($A1715="","",'Lot Balance'!$I1714)</f>
        <v/>
      </c>
      <c r="G1715" s="23" t="str">
        <f>IF($A1715="","",'Lot Balance'!$O1714)</f>
        <v/>
      </c>
      <c r="H1715" s="33" t="str">
        <f>IF($A1715="","",'Lot Balance'!$P1714)</f>
        <v/>
      </c>
      <c r="I1715" s="26" t="str">
        <f>IF($A1715="","",COUNTIFS(tblIssues[Lot Number],$B1715))</f>
        <v/>
      </c>
      <c r="J1715" s="31" t="str">
        <f>IF($A1715="","",IF('Lot Balance'!$O1714&lt;=0,"Depleted",'Lot Balance'!$Q1714))</f>
        <v/>
      </c>
    </row>
    <row r="1716" spans="1:10" x14ac:dyDescent="0.35">
      <c r="A1716" s="18" t="str">
        <f>IF('Lot Balance'!$A1715="","",'Lot Balance'!$A1715)</f>
        <v/>
      </c>
      <c r="B1716" s="18" t="str">
        <f>IF($A1716="","",'Lot Balance'!$B1715)</f>
        <v/>
      </c>
      <c r="C1716" s="18" t="str">
        <f>IF($A1716="","",'Lot Balance'!$C1715)</f>
        <v/>
      </c>
      <c r="D1716" s="25" t="str">
        <f>IF($A1716="","",'Lot Balance'!$G1715)</f>
        <v/>
      </c>
      <c r="E1716" s="25" t="str">
        <f>IF($A1716="","",'Lot Balance'!$H1715)</f>
        <v/>
      </c>
      <c r="F1716" s="23" t="str">
        <f>IF($A1716="","",'Lot Balance'!$I1715)</f>
        <v/>
      </c>
      <c r="G1716" s="23" t="str">
        <f>IF($A1716="","",'Lot Balance'!$O1715)</f>
        <v/>
      </c>
      <c r="H1716" s="33" t="str">
        <f>IF($A1716="","",'Lot Balance'!$P1715)</f>
        <v/>
      </c>
      <c r="I1716" s="26" t="str">
        <f>IF($A1716="","",COUNTIFS(tblIssues[Lot Number],$B1716))</f>
        <v/>
      </c>
      <c r="J1716" s="31" t="str">
        <f>IF($A1716="","",IF('Lot Balance'!$O1715&lt;=0,"Depleted",'Lot Balance'!$Q1715))</f>
        <v/>
      </c>
    </row>
    <row r="1717" spans="1:10" x14ac:dyDescent="0.35">
      <c r="A1717" s="18" t="str">
        <f>IF('Lot Balance'!$A1716="","",'Lot Balance'!$A1716)</f>
        <v/>
      </c>
      <c r="B1717" s="18" t="str">
        <f>IF($A1717="","",'Lot Balance'!$B1716)</f>
        <v/>
      </c>
      <c r="C1717" s="18" t="str">
        <f>IF($A1717="","",'Lot Balance'!$C1716)</f>
        <v/>
      </c>
      <c r="D1717" s="25" t="str">
        <f>IF($A1717="","",'Lot Balance'!$G1716)</f>
        <v/>
      </c>
      <c r="E1717" s="25" t="str">
        <f>IF($A1717="","",'Lot Balance'!$H1716)</f>
        <v/>
      </c>
      <c r="F1717" s="23" t="str">
        <f>IF($A1717="","",'Lot Balance'!$I1716)</f>
        <v/>
      </c>
      <c r="G1717" s="23" t="str">
        <f>IF($A1717="","",'Lot Balance'!$O1716)</f>
        <v/>
      </c>
      <c r="H1717" s="33" t="str">
        <f>IF($A1717="","",'Lot Balance'!$P1716)</f>
        <v/>
      </c>
      <c r="I1717" s="26" t="str">
        <f>IF($A1717="","",COUNTIFS(tblIssues[Lot Number],$B1717))</f>
        <v/>
      </c>
      <c r="J1717" s="31" t="str">
        <f>IF($A1717="","",IF('Lot Balance'!$O1716&lt;=0,"Depleted",'Lot Balance'!$Q1716))</f>
        <v/>
      </c>
    </row>
    <row r="1718" spans="1:10" x14ac:dyDescent="0.35">
      <c r="A1718" s="18" t="str">
        <f>IF('Lot Balance'!$A1717="","",'Lot Balance'!$A1717)</f>
        <v/>
      </c>
      <c r="B1718" s="18" t="str">
        <f>IF($A1718="","",'Lot Balance'!$B1717)</f>
        <v/>
      </c>
      <c r="C1718" s="18" t="str">
        <f>IF($A1718="","",'Lot Balance'!$C1717)</f>
        <v/>
      </c>
      <c r="D1718" s="25" t="str">
        <f>IF($A1718="","",'Lot Balance'!$G1717)</f>
        <v/>
      </c>
      <c r="E1718" s="25" t="str">
        <f>IF($A1718="","",'Lot Balance'!$H1717)</f>
        <v/>
      </c>
      <c r="F1718" s="23" t="str">
        <f>IF($A1718="","",'Lot Balance'!$I1717)</f>
        <v/>
      </c>
      <c r="G1718" s="23" t="str">
        <f>IF($A1718="","",'Lot Balance'!$O1717)</f>
        <v/>
      </c>
      <c r="H1718" s="33" t="str">
        <f>IF($A1718="","",'Lot Balance'!$P1717)</f>
        <v/>
      </c>
      <c r="I1718" s="26" t="str">
        <f>IF($A1718="","",COUNTIFS(tblIssues[Lot Number],$B1718))</f>
        <v/>
      </c>
      <c r="J1718" s="31" t="str">
        <f>IF($A1718="","",IF('Lot Balance'!$O1717&lt;=0,"Depleted",'Lot Balance'!$Q1717))</f>
        <v/>
      </c>
    </row>
    <row r="1719" spans="1:10" x14ac:dyDescent="0.35">
      <c r="A1719" s="18" t="str">
        <f>IF('Lot Balance'!$A1718="","",'Lot Balance'!$A1718)</f>
        <v/>
      </c>
      <c r="B1719" s="18" t="str">
        <f>IF($A1719="","",'Lot Balance'!$B1718)</f>
        <v/>
      </c>
      <c r="C1719" s="18" t="str">
        <f>IF($A1719="","",'Lot Balance'!$C1718)</f>
        <v/>
      </c>
      <c r="D1719" s="25" t="str">
        <f>IF($A1719="","",'Lot Balance'!$G1718)</f>
        <v/>
      </c>
      <c r="E1719" s="25" t="str">
        <f>IF($A1719="","",'Lot Balance'!$H1718)</f>
        <v/>
      </c>
      <c r="F1719" s="23" t="str">
        <f>IF($A1719="","",'Lot Balance'!$I1718)</f>
        <v/>
      </c>
      <c r="G1719" s="23" t="str">
        <f>IF($A1719="","",'Lot Balance'!$O1718)</f>
        <v/>
      </c>
      <c r="H1719" s="33" t="str">
        <f>IF($A1719="","",'Lot Balance'!$P1718)</f>
        <v/>
      </c>
      <c r="I1719" s="26" t="str">
        <f>IF($A1719="","",COUNTIFS(tblIssues[Lot Number],$B1719))</f>
        <v/>
      </c>
      <c r="J1719" s="31" t="str">
        <f>IF($A1719="","",IF('Lot Balance'!$O1718&lt;=0,"Depleted",'Lot Balance'!$Q1718))</f>
        <v/>
      </c>
    </row>
    <row r="1720" spans="1:10" x14ac:dyDescent="0.35">
      <c r="A1720" s="18" t="str">
        <f>IF('Lot Balance'!$A1719="","",'Lot Balance'!$A1719)</f>
        <v/>
      </c>
      <c r="B1720" s="18" t="str">
        <f>IF($A1720="","",'Lot Balance'!$B1719)</f>
        <v/>
      </c>
      <c r="C1720" s="18" t="str">
        <f>IF($A1720="","",'Lot Balance'!$C1719)</f>
        <v/>
      </c>
      <c r="D1720" s="25" t="str">
        <f>IF($A1720="","",'Lot Balance'!$G1719)</f>
        <v/>
      </c>
      <c r="E1720" s="25" t="str">
        <f>IF($A1720="","",'Lot Balance'!$H1719)</f>
        <v/>
      </c>
      <c r="F1720" s="23" t="str">
        <f>IF($A1720="","",'Lot Balance'!$I1719)</f>
        <v/>
      </c>
      <c r="G1720" s="23" t="str">
        <f>IF($A1720="","",'Lot Balance'!$O1719)</f>
        <v/>
      </c>
      <c r="H1720" s="33" t="str">
        <f>IF($A1720="","",'Lot Balance'!$P1719)</f>
        <v/>
      </c>
      <c r="I1720" s="26" t="str">
        <f>IF($A1720="","",COUNTIFS(tblIssues[Lot Number],$B1720))</f>
        <v/>
      </c>
      <c r="J1720" s="31" t="str">
        <f>IF($A1720="","",IF('Lot Balance'!$O1719&lt;=0,"Depleted",'Lot Balance'!$Q1719))</f>
        <v/>
      </c>
    </row>
    <row r="1721" spans="1:10" x14ac:dyDescent="0.35">
      <c r="A1721" s="18" t="str">
        <f>IF('Lot Balance'!$A1720="","",'Lot Balance'!$A1720)</f>
        <v/>
      </c>
      <c r="B1721" s="18" t="str">
        <f>IF($A1721="","",'Lot Balance'!$B1720)</f>
        <v/>
      </c>
      <c r="C1721" s="18" t="str">
        <f>IF($A1721="","",'Lot Balance'!$C1720)</f>
        <v/>
      </c>
      <c r="D1721" s="25" t="str">
        <f>IF($A1721="","",'Lot Balance'!$G1720)</f>
        <v/>
      </c>
      <c r="E1721" s="25" t="str">
        <f>IF($A1721="","",'Lot Balance'!$H1720)</f>
        <v/>
      </c>
      <c r="F1721" s="23" t="str">
        <f>IF($A1721="","",'Lot Balance'!$I1720)</f>
        <v/>
      </c>
      <c r="G1721" s="23" t="str">
        <f>IF($A1721="","",'Lot Balance'!$O1720)</f>
        <v/>
      </c>
      <c r="H1721" s="33" t="str">
        <f>IF($A1721="","",'Lot Balance'!$P1720)</f>
        <v/>
      </c>
      <c r="I1721" s="26" t="str">
        <f>IF($A1721="","",COUNTIFS(tblIssues[Lot Number],$B1721))</f>
        <v/>
      </c>
      <c r="J1721" s="31" t="str">
        <f>IF($A1721="","",IF('Lot Balance'!$O1720&lt;=0,"Depleted",'Lot Balance'!$Q1720))</f>
        <v/>
      </c>
    </row>
    <row r="1722" spans="1:10" x14ac:dyDescent="0.35">
      <c r="A1722" s="18" t="str">
        <f>IF('Lot Balance'!$A1721="","",'Lot Balance'!$A1721)</f>
        <v/>
      </c>
      <c r="B1722" s="18" t="str">
        <f>IF($A1722="","",'Lot Balance'!$B1721)</f>
        <v/>
      </c>
      <c r="C1722" s="18" t="str">
        <f>IF($A1722="","",'Lot Balance'!$C1721)</f>
        <v/>
      </c>
      <c r="D1722" s="25" t="str">
        <f>IF($A1722="","",'Lot Balance'!$G1721)</f>
        <v/>
      </c>
      <c r="E1722" s="25" t="str">
        <f>IF($A1722="","",'Lot Balance'!$H1721)</f>
        <v/>
      </c>
      <c r="F1722" s="23" t="str">
        <f>IF($A1722="","",'Lot Balance'!$I1721)</f>
        <v/>
      </c>
      <c r="G1722" s="23" t="str">
        <f>IF($A1722="","",'Lot Balance'!$O1721)</f>
        <v/>
      </c>
      <c r="H1722" s="33" t="str">
        <f>IF($A1722="","",'Lot Balance'!$P1721)</f>
        <v/>
      </c>
      <c r="I1722" s="26" t="str">
        <f>IF($A1722="","",COUNTIFS(tblIssues[Lot Number],$B1722))</f>
        <v/>
      </c>
      <c r="J1722" s="31" t="str">
        <f>IF($A1722="","",IF('Lot Balance'!$O1721&lt;=0,"Depleted",'Lot Balance'!$Q1721))</f>
        <v/>
      </c>
    </row>
    <row r="1723" spans="1:10" x14ac:dyDescent="0.35">
      <c r="A1723" s="18" t="str">
        <f>IF('Lot Balance'!$A1722="","",'Lot Balance'!$A1722)</f>
        <v/>
      </c>
      <c r="B1723" s="18" t="str">
        <f>IF($A1723="","",'Lot Balance'!$B1722)</f>
        <v/>
      </c>
      <c r="C1723" s="18" t="str">
        <f>IF($A1723="","",'Lot Balance'!$C1722)</f>
        <v/>
      </c>
      <c r="D1723" s="25" t="str">
        <f>IF($A1723="","",'Lot Balance'!$G1722)</f>
        <v/>
      </c>
      <c r="E1723" s="25" t="str">
        <f>IF($A1723="","",'Lot Balance'!$H1722)</f>
        <v/>
      </c>
      <c r="F1723" s="23" t="str">
        <f>IF($A1723="","",'Lot Balance'!$I1722)</f>
        <v/>
      </c>
      <c r="G1723" s="23" t="str">
        <f>IF($A1723="","",'Lot Balance'!$O1722)</f>
        <v/>
      </c>
      <c r="H1723" s="33" t="str">
        <f>IF($A1723="","",'Lot Balance'!$P1722)</f>
        <v/>
      </c>
      <c r="I1723" s="26" t="str">
        <f>IF($A1723="","",COUNTIFS(tblIssues[Lot Number],$B1723))</f>
        <v/>
      </c>
      <c r="J1723" s="31" t="str">
        <f>IF($A1723="","",IF('Lot Balance'!$O1722&lt;=0,"Depleted",'Lot Balance'!$Q1722))</f>
        <v/>
      </c>
    </row>
    <row r="1724" spans="1:10" x14ac:dyDescent="0.35">
      <c r="A1724" s="18" t="str">
        <f>IF('Lot Balance'!$A1723="","",'Lot Balance'!$A1723)</f>
        <v/>
      </c>
      <c r="B1724" s="18" t="str">
        <f>IF($A1724="","",'Lot Balance'!$B1723)</f>
        <v/>
      </c>
      <c r="C1724" s="18" t="str">
        <f>IF($A1724="","",'Lot Balance'!$C1723)</f>
        <v/>
      </c>
      <c r="D1724" s="25" t="str">
        <f>IF($A1724="","",'Lot Balance'!$G1723)</f>
        <v/>
      </c>
      <c r="E1724" s="25" t="str">
        <f>IF($A1724="","",'Lot Balance'!$H1723)</f>
        <v/>
      </c>
      <c r="F1724" s="23" t="str">
        <f>IF($A1724="","",'Lot Balance'!$I1723)</f>
        <v/>
      </c>
      <c r="G1724" s="23" t="str">
        <f>IF($A1724="","",'Lot Balance'!$O1723)</f>
        <v/>
      </c>
      <c r="H1724" s="33" t="str">
        <f>IF($A1724="","",'Lot Balance'!$P1723)</f>
        <v/>
      </c>
      <c r="I1724" s="26" t="str">
        <f>IF($A1724="","",COUNTIFS(tblIssues[Lot Number],$B1724))</f>
        <v/>
      </c>
      <c r="J1724" s="31" t="str">
        <f>IF($A1724="","",IF('Lot Balance'!$O1723&lt;=0,"Depleted",'Lot Balance'!$Q1723))</f>
        <v/>
      </c>
    </row>
    <row r="1725" spans="1:10" x14ac:dyDescent="0.35">
      <c r="A1725" s="18" t="str">
        <f>IF('Lot Balance'!$A1724="","",'Lot Balance'!$A1724)</f>
        <v/>
      </c>
      <c r="B1725" s="18" t="str">
        <f>IF($A1725="","",'Lot Balance'!$B1724)</f>
        <v/>
      </c>
      <c r="C1725" s="18" t="str">
        <f>IF($A1725="","",'Lot Balance'!$C1724)</f>
        <v/>
      </c>
      <c r="D1725" s="25" t="str">
        <f>IF($A1725="","",'Lot Balance'!$G1724)</f>
        <v/>
      </c>
      <c r="E1725" s="25" t="str">
        <f>IF($A1725="","",'Lot Balance'!$H1724)</f>
        <v/>
      </c>
      <c r="F1725" s="23" t="str">
        <f>IF($A1725="","",'Lot Balance'!$I1724)</f>
        <v/>
      </c>
      <c r="G1725" s="23" t="str">
        <f>IF($A1725="","",'Lot Balance'!$O1724)</f>
        <v/>
      </c>
      <c r="H1725" s="33" t="str">
        <f>IF($A1725="","",'Lot Balance'!$P1724)</f>
        <v/>
      </c>
      <c r="I1725" s="26" t="str">
        <f>IF($A1725="","",COUNTIFS(tblIssues[Lot Number],$B1725))</f>
        <v/>
      </c>
      <c r="J1725" s="31" t="str">
        <f>IF($A1725="","",IF('Lot Balance'!$O1724&lt;=0,"Depleted",'Lot Balance'!$Q1724))</f>
        <v/>
      </c>
    </row>
    <row r="1726" spans="1:10" x14ac:dyDescent="0.35">
      <c r="A1726" s="18" t="str">
        <f>IF('Lot Balance'!$A1725="","",'Lot Balance'!$A1725)</f>
        <v/>
      </c>
      <c r="B1726" s="18" t="str">
        <f>IF($A1726="","",'Lot Balance'!$B1725)</f>
        <v/>
      </c>
      <c r="C1726" s="18" t="str">
        <f>IF($A1726="","",'Lot Balance'!$C1725)</f>
        <v/>
      </c>
      <c r="D1726" s="25" t="str">
        <f>IF($A1726="","",'Lot Balance'!$G1725)</f>
        <v/>
      </c>
      <c r="E1726" s="25" t="str">
        <f>IF($A1726="","",'Lot Balance'!$H1725)</f>
        <v/>
      </c>
      <c r="F1726" s="23" t="str">
        <f>IF($A1726="","",'Lot Balance'!$I1725)</f>
        <v/>
      </c>
      <c r="G1726" s="23" t="str">
        <f>IF($A1726="","",'Lot Balance'!$O1725)</f>
        <v/>
      </c>
      <c r="H1726" s="33" t="str">
        <f>IF($A1726="","",'Lot Balance'!$P1725)</f>
        <v/>
      </c>
      <c r="I1726" s="26" t="str">
        <f>IF($A1726="","",COUNTIFS(tblIssues[Lot Number],$B1726))</f>
        <v/>
      </c>
      <c r="J1726" s="31" t="str">
        <f>IF($A1726="","",IF('Lot Balance'!$O1725&lt;=0,"Depleted",'Lot Balance'!$Q1725))</f>
        <v/>
      </c>
    </row>
    <row r="1727" spans="1:10" x14ac:dyDescent="0.35">
      <c r="A1727" s="18" t="str">
        <f>IF('Lot Balance'!$A1726="","",'Lot Balance'!$A1726)</f>
        <v/>
      </c>
      <c r="B1727" s="18" t="str">
        <f>IF($A1727="","",'Lot Balance'!$B1726)</f>
        <v/>
      </c>
      <c r="C1727" s="18" t="str">
        <f>IF($A1727="","",'Lot Balance'!$C1726)</f>
        <v/>
      </c>
      <c r="D1727" s="25" t="str">
        <f>IF($A1727="","",'Lot Balance'!$G1726)</f>
        <v/>
      </c>
      <c r="E1727" s="25" t="str">
        <f>IF($A1727="","",'Lot Balance'!$H1726)</f>
        <v/>
      </c>
      <c r="F1727" s="23" t="str">
        <f>IF($A1727="","",'Lot Balance'!$I1726)</f>
        <v/>
      </c>
      <c r="G1727" s="23" t="str">
        <f>IF($A1727="","",'Lot Balance'!$O1726)</f>
        <v/>
      </c>
      <c r="H1727" s="33" t="str">
        <f>IF($A1727="","",'Lot Balance'!$P1726)</f>
        <v/>
      </c>
      <c r="I1727" s="26" t="str">
        <f>IF($A1727="","",COUNTIFS(tblIssues[Lot Number],$B1727))</f>
        <v/>
      </c>
      <c r="J1727" s="31" t="str">
        <f>IF($A1727="","",IF('Lot Balance'!$O1726&lt;=0,"Depleted",'Lot Balance'!$Q1726))</f>
        <v/>
      </c>
    </row>
    <row r="1728" spans="1:10" x14ac:dyDescent="0.35">
      <c r="A1728" s="18" t="str">
        <f>IF('Lot Balance'!$A1727="","",'Lot Balance'!$A1727)</f>
        <v/>
      </c>
      <c r="B1728" s="18" t="str">
        <f>IF($A1728="","",'Lot Balance'!$B1727)</f>
        <v/>
      </c>
      <c r="C1728" s="18" t="str">
        <f>IF($A1728="","",'Lot Balance'!$C1727)</f>
        <v/>
      </c>
      <c r="D1728" s="25" t="str">
        <f>IF($A1728="","",'Lot Balance'!$G1727)</f>
        <v/>
      </c>
      <c r="E1728" s="25" t="str">
        <f>IF($A1728="","",'Lot Balance'!$H1727)</f>
        <v/>
      </c>
      <c r="F1728" s="23" t="str">
        <f>IF($A1728="","",'Lot Balance'!$I1727)</f>
        <v/>
      </c>
      <c r="G1728" s="23" t="str">
        <f>IF($A1728="","",'Lot Balance'!$O1727)</f>
        <v/>
      </c>
      <c r="H1728" s="33" t="str">
        <f>IF($A1728="","",'Lot Balance'!$P1727)</f>
        <v/>
      </c>
      <c r="I1728" s="26" t="str">
        <f>IF($A1728="","",COUNTIFS(tblIssues[Lot Number],$B1728))</f>
        <v/>
      </c>
      <c r="J1728" s="31" t="str">
        <f>IF($A1728="","",IF('Lot Balance'!$O1727&lt;=0,"Depleted",'Lot Balance'!$Q1727))</f>
        <v/>
      </c>
    </row>
    <row r="1729" spans="1:10" x14ac:dyDescent="0.35">
      <c r="A1729" s="18" t="str">
        <f>IF('Lot Balance'!$A1728="","",'Lot Balance'!$A1728)</f>
        <v/>
      </c>
      <c r="B1729" s="18" t="str">
        <f>IF($A1729="","",'Lot Balance'!$B1728)</f>
        <v/>
      </c>
      <c r="C1729" s="18" t="str">
        <f>IF($A1729="","",'Lot Balance'!$C1728)</f>
        <v/>
      </c>
      <c r="D1729" s="25" t="str">
        <f>IF($A1729="","",'Lot Balance'!$G1728)</f>
        <v/>
      </c>
      <c r="E1729" s="25" t="str">
        <f>IF($A1729="","",'Lot Balance'!$H1728)</f>
        <v/>
      </c>
      <c r="F1729" s="23" t="str">
        <f>IF($A1729="","",'Lot Balance'!$I1728)</f>
        <v/>
      </c>
      <c r="G1729" s="23" t="str">
        <f>IF($A1729="","",'Lot Balance'!$O1728)</f>
        <v/>
      </c>
      <c r="H1729" s="33" t="str">
        <f>IF($A1729="","",'Lot Balance'!$P1728)</f>
        <v/>
      </c>
      <c r="I1729" s="26" t="str">
        <f>IF($A1729="","",COUNTIFS(tblIssues[Lot Number],$B1729))</f>
        <v/>
      </c>
      <c r="J1729" s="31" t="str">
        <f>IF($A1729="","",IF('Lot Balance'!$O1728&lt;=0,"Depleted",'Lot Balance'!$Q1728))</f>
        <v/>
      </c>
    </row>
    <row r="1730" spans="1:10" x14ac:dyDescent="0.35">
      <c r="A1730" s="18" t="str">
        <f>IF('Lot Balance'!$A1729="","",'Lot Balance'!$A1729)</f>
        <v/>
      </c>
      <c r="B1730" s="18" t="str">
        <f>IF($A1730="","",'Lot Balance'!$B1729)</f>
        <v/>
      </c>
      <c r="C1730" s="18" t="str">
        <f>IF($A1730="","",'Lot Balance'!$C1729)</f>
        <v/>
      </c>
      <c r="D1730" s="25" t="str">
        <f>IF($A1730="","",'Lot Balance'!$G1729)</f>
        <v/>
      </c>
      <c r="E1730" s="25" t="str">
        <f>IF($A1730="","",'Lot Balance'!$H1729)</f>
        <v/>
      </c>
      <c r="F1730" s="23" t="str">
        <f>IF($A1730="","",'Lot Balance'!$I1729)</f>
        <v/>
      </c>
      <c r="G1730" s="23" t="str">
        <f>IF($A1730="","",'Lot Balance'!$O1729)</f>
        <v/>
      </c>
      <c r="H1730" s="33" t="str">
        <f>IF($A1730="","",'Lot Balance'!$P1729)</f>
        <v/>
      </c>
      <c r="I1730" s="26" t="str">
        <f>IF($A1730="","",COUNTIFS(tblIssues[Lot Number],$B1730))</f>
        <v/>
      </c>
      <c r="J1730" s="31" t="str">
        <f>IF($A1730="","",IF('Lot Balance'!$O1729&lt;=0,"Depleted",'Lot Balance'!$Q1729))</f>
        <v/>
      </c>
    </row>
    <row r="1731" spans="1:10" x14ac:dyDescent="0.35">
      <c r="A1731" s="18" t="str">
        <f>IF('Lot Balance'!$A1730="","",'Lot Balance'!$A1730)</f>
        <v/>
      </c>
      <c r="B1731" s="18" t="str">
        <f>IF($A1731="","",'Lot Balance'!$B1730)</f>
        <v/>
      </c>
      <c r="C1731" s="18" t="str">
        <f>IF($A1731="","",'Lot Balance'!$C1730)</f>
        <v/>
      </c>
      <c r="D1731" s="25" t="str">
        <f>IF($A1731="","",'Lot Balance'!$G1730)</f>
        <v/>
      </c>
      <c r="E1731" s="25" t="str">
        <f>IF($A1731="","",'Lot Balance'!$H1730)</f>
        <v/>
      </c>
      <c r="F1731" s="23" t="str">
        <f>IF($A1731="","",'Lot Balance'!$I1730)</f>
        <v/>
      </c>
      <c r="G1731" s="23" t="str">
        <f>IF($A1731="","",'Lot Balance'!$O1730)</f>
        <v/>
      </c>
      <c r="H1731" s="33" t="str">
        <f>IF($A1731="","",'Lot Balance'!$P1730)</f>
        <v/>
      </c>
      <c r="I1731" s="26" t="str">
        <f>IF($A1731="","",COUNTIFS(tblIssues[Lot Number],$B1731))</f>
        <v/>
      </c>
      <c r="J1731" s="31" t="str">
        <f>IF($A1731="","",IF('Lot Balance'!$O1730&lt;=0,"Depleted",'Lot Balance'!$Q1730))</f>
        <v/>
      </c>
    </row>
    <row r="1732" spans="1:10" x14ac:dyDescent="0.35">
      <c r="A1732" s="18" t="str">
        <f>IF('Lot Balance'!$A1731="","",'Lot Balance'!$A1731)</f>
        <v/>
      </c>
      <c r="B1732" s="18" t="str">
        <f>IF($A1732="","",'Lot Balance'!$B1731)</f>
        <v/>
      </c>
      <c r="C1732" s="18" t="str">
        <f>IF($A1732="","",'Lot Balance'!$C1731)</f>
        <v/>
      </c>
      <c r="D1732" s="25" t="str">
        <f>IF($A1732="","",'Lot Balance'!$G1731)</f>
        <v/>
      </c>
      <c r="E1732" s="25" t="str">
        <f>IF($A1732="","",'Lot Balance'!$H1731)</f>
        <v/>
      </c>
      <c r="F1732" s="23" t="str">
        <f>IF($A1732="","",'Lot Balance'!$I1731)</f>
        <v/>
      </c>
      <c r="G1732" s="23" t="str">
        <f>IF($A1732="","",'Lot Balance'!$O1731)</f>
        <v/>
      </c>
      <c r="H1732" s="33" t="str">
        <f>IF($A1732="","",'Lot Balance'!$P1731)</f>
        <v/>
      </c>
      <c r="I1732" s="26" t="str">
        <f>IF($A1732="","",COUNTIFS(tblIssues[Lot Number],$B1732))</f>
        <v/>
      </c>
      <c r="J1732" s="31" t="str">
        <f>IF($A1732="","",IF('Lot Balance'!$O1731&lt;=0,"Depleted",'Lot Balance'!$Q1731))</f>
        <v/>
      </c>
    </row>
    <row r="1733" spans="1:10" x14ac:dyDescent="0.35">
      <c r="A1733" s="18" t="str">
        <f>IF('Lot Balance'!$A1732="","",'Lot Balance'!$A1732)</f>
        <v/>
      </c>
      <c r="B1733" s="18" t="str">
        <f>IF($A1733="","",'Lot Balance'!$B1732)</f>
        <v/>
      </c>
      <c r="C1733" s="18" t="str">
        <f>IF($A1733="","",'Lot Balance'!$C1732)</f>
        <v/>
      </c>
      <c r="D1733" s="25" t="str">
        <f>IF($A1733="","",'Lot Balance'!$G1732)</f>
        <v/>
      </c>
      <c r="E1733" s="25" t="str">
        <f>IF($A1733="","",'Lot Balance'!$H1732)</f>
        <v/>
      </c>
      <c r="F1733" s="23" t="str">
        <f>IF($A1733="","",'Lot Balance'!$I1732)</f>
        <v/>
      </c>
      <c r="G1733" s="23" t="str">
        <f>IF($A1733="","",'Lot Balance'!$O1732)</f>
        <v/>
      </c>
      <c r="H1733" s="33" t="str">
        <f>IF($A1733="","",'Lot Balance'!$P1732)</f>
        <v/>
      </c>
      <c r="I1733" s="26" t="str">
        <f>IF($A1733="","",COUNTIFS(tblIssues[Lot Number],$B1733))</f>
        <v/>
      </c>
      <c r="J1733" s="31" t="str">
        <f>IF($A1733="","",IF('Lot Balance'!$O1732&lt;=0,"Depleted",'Lot Balance'!$Q1732))</f>
        <v/>
      </c>
    </row>
    <row r="1734" spans="1:10" x14ac:dyDescent="0.35">
      <c r="A1734" s="18" t="str">
        <f>IF('Lot Balance'!$A1733="","",'Lot Balance'!$A1733)</f>
        <v/>
      </c>
      <c r="B1734" s="18" t="str">
        <f>IF($A1734="","",'Lot Balance'!$B1733)</f>
        <v/>
      </c>
      <c r="C1734" s="18" t="str">
        <f>IF($A1734="","",'Lot Balance'!$C1733)</f>
        <v/>
      </c>
      <c r="D1734" s="25" t="str">
        <f>IF($A1734="","",'Lot Balance'!$G1733)</f>
        <v/>
      </c>
      <c r="E1734" s="25" t="str">
        <f>IF($A1734="","",'Lot Balance'!$H1733)</f>
        <v/>
      </c>
      <c r="F1734" s="23" t="str">
        <f>IF($A1734="","",'Lot Balance'!$I1733)</f>
        <v/>
      </c>
      <c r="G1734" s="23" t="str">
        <f>IF($A1734="","",'Lot Balance'!$O1733)</f>
        <v/>
      </c>
      <c r="H1734" s="33" t="str">
        <f>IF($A1734="","",'Lot Balance'!$P1733)</f>
        <v/>
      </c>
      <c r="I1734" s="26" t="str">
        <f>IF($A1734="","",COUNTIFS(tblIssues[Lot Number],$B1734))</f>
        <v/>
      </c>
      <c r="J1734" s="31" t="str">
        <f>IF($A1734="","",IF('Lot Balance'!$O1733&lt;=0,"Depleted",'Lot Balance'!$Q1733))</f>
        <v/>
      </c>
    </row>
    <row r="1735" spans="1:10" x14ac:dyDescent="0.35">
      <c r="A1735" s="18" t="str">
        <f>IF('Lot Balance'!$A1734="","",'Lot Balance'!$A1734)</f>
        <v/>
      </c>
      <c r="B1735" s="18" t="str">
        <f>IF($A1735="","",'Lot Balance'!$B1734)</f>
        <v/>
      </c>
      <c r="C1735" s="18" t="str">
        <f>IF($A1735="","",'Lot Balance'!$C1734)</f>
        <v/>
      </c>
      <c r="D1735" s="25" t="str">
        <f>IF($A1735="","",'Lot Balance'!$G1734)</f>
        <v/>
      </c>
      <c r="E1735" s="25" t="str">
        <f>IF($A1735="","",'Lot Balance'!$H1734)</f>
        <v/>
      </c>
      <c r="F1735" s="23" t="str">
        <f>IF($A1735="","",'Lot Balance'!$I1734)</f>
        <v/>
      </c>
      <c r="G1735" s="23" t="str">
        <f>IF($A1735="","",'Lot Balance'!$O1734)</f>
        <v/>
      </c>
      <c r="H1735" s="33" t="str">
        <f>IF($A1735="","",'Lot Balance'!$P1734)</f>
        <v/>
      </c>
      <c r="I1735" s="26" t="str">
        <f>IF($A1735="","",COUNTIFS(tblIssues[Lot Number],$B1735))</f>
        <v/>
      </c>
      <c r="J1735" s="31" t="str">
        <f>IF($A1735="","",IF('Lot Balance'!$O1734&lt;=0,"Depleted",'Lot Balance'!$Q1734))</f>
        <v/>
      </c>
    </row>
    <row r="1736" spans="1:10" x14ac:dyDescent="0.35">
      <c r="A1736" s="18" t="str">
        <f>IF('Lot Balance'!$A1735="","",'Lot Balance'!$A1735)</f>
        <v/>
      </c>
      <c r="B1736" s="18" t="str">
        <f>IF($A1736="","",'Lot Balance'!$B1735)</f>
        <v/>
      </c>
      <c r="C1736" s="18" t="str">
        <f>IF($A1736="","",'Lot Balance'!$C1735)</f>
        <v/>
      </c>
      <c r="D1736" s="25" t="str">
        <f>IF($A1736="","",'Lot Balance'!$G1735)</f>
        <v/>
      </c>
      <c r="E1736" s="25" t="str">
        <f>IF($A1736="","",'Lot Balance'!$H1735)</f>
        <v/>
      </c>
      <c r="F1736" s="23" t="str">
        <f>IF($A1736="","",'Lot Balance'!$I1735)</f>
        <v/>
      </c>
      <c r="G1736" s="23" t="str">
        <f>IF($A1736="","",'Lot Balance'!$O1735)</f>
        <v/>
      </c>
      <c r="H1736" s="33" t="str">
        <f>IF($A1736="","",'Lot Balance'!$P1735)</f>
        <v/>
      </c>
      <c r="I1736" s="26" t="str">
        <f>IF($A1736="","",COUNTIFS(tblIssues[Lot Number],$B1736))</f>
        <v/>
      </c>
      <c r="J1736" s="31" t="str">
        <f>IF($A1736="","",IF('Lot Balance'!$O1735&lt;=0,"Depleted",'Lot Balance'!$Q1735))</f>
        <v/>
      </c>
    </row>
    <row r="1737" spans="1:10" x14ac:dyDescent="0.35">
      <c r="A1737" s="18" t="str">
        <f>IF('Lot Balance'!$A1736="","",'Lot Balance'!$A1736)</f>
        <v/>
      </c>
      <c r="B1737" s="18" t="str">
        <f>IF($A1737="","",'Lot Balance'!$B1736)</f>
        <v/>
      </c>
      <c r="C1737" s="18" t="str">
        <f>IF($A1737="","",'Lot Balance'!$C1736)</f>
        <v/>
      </c>
      <c r="D1737" s="25" t="str">
        <f>IF($A1737="","",'Lot Balance'!$G1736)</f>
        <v/>
      </c>
      <c r="E1737" s="25" t="str">
        <f>IF($A1737="","",'Lot Balance'!$H1736)</f>
        <v/>
      </c>
      <c r="F1737" s="23" t="str">
        <f>IF($A1737="","",'Lot Balance'!$I1736)</f>
        <v/>
      </c>
      <c r="G1737" s="23" t="str">
        <f>IF($A1737="","",'Lot Balance'!$O1736)</f>
        <v/>
      </c>
      <c r="H1737" s="33" t="str">
        <f>IF($A1737="","",'Lot Balance'!$P1736)</f>
        <v/>
      </c>
      <c r="I1737" s="26" t="str">
        <f>IF($A1737="","",COUNTIFS(tblIssues[Lot Number],$B1737))</f>
        <v/>
      </c>
      <c r="J1737" s="31" t="str">
        <f>IF($A1737="","",IF('Lot Balance'!$O1736&lt;=0,"Depleted",'Lot Balance'!$Q1736))</f>
        <v/>
      </c>
    </row>
    <row r="1738" spans="1:10" x14ac:dyDescent="0.35">
      <c r="A1738" s="18" t="str">
        <f>IF('Lot Balance'!$A1737="","",'Lot Balance'!$A1737)</f>
        <v/>
      </c>
      <c r="B1738" s="18" t="str">
        <f>IF($A1738="","",'Lot Balance'!$B1737)</f>
        <v/>
      </c>
      <c r="C1738" s="18" t="str">
        <f>IF($A1738="","",'Lot Balance'!$C1737)</f>
        <v/>
      </c>
      <c r="D1738" s="25" t="str">
        <f>IF($A1738="","",'Lot Balance'!$G1737)</f>
        <v/>
      </c>
      <c r="E1738" s="25" t="str">
        <f>IF($A1738="","",'Lot Balance'!$H1737)</f>
        <v/>
      </c>
      <c r="F1738" s="23" t="str">
        <f>IF($A1738="","",'Lot Balance'!$I1737)</f>
        <v/>
      </c>
      <c r="G1738" s="23" t="str">
        <f>IF($A1738="","",'Lot Balance'!$O1737)</f>
        <v/>
      </c>
      <c r="H1738" s="33" t="str">
        <f>IF($A1738="","",'Lot Balance'!$P1737)</f>
        <v/>
      </c>
      <c r="I1738" s="26" t="str">
        <f>IF($A1738="","",COUNTIFS(tblIssues[Lot Number],$B1738))</f>
        <v/>
      </c>
      <c r="J1738" s="31" t="str">
        <f>IF($A1738="","",IF('Lot Balance'!$O1737&lt;=0,"Depleted",'Lot Balance'!$Q1737))</f>
        <v/>
      </c>
    </row>
    <row r="1739" spans="1:10" x14ac:dyDescent="0.35">
      <c r="A1739" s="18" t="str">
        <f>IF('Lot Balance'!$A1738="","",'Lot Balance'!$A1738)</f>
        <v/>
      </c>
      <c r="B1739" s="18" t="str">
        <f>IF($A1739="","",'Lot Balance'!$B1738)</f>
        <v/>
      </c>
      <c r="C1739" s="18" t="str">
        <f>IF($A1739="","",'Lot Balance'!$C1738)</f>
        <v/>
      </c>
      <c r="D1739" s="25" t="str">
        <f>IF($A1739="","",'Lot Balance'!$G1738)</f>
        <v/>
      </c>
      <c r="E1739" s="25" t="str">
        <f>IF($A1739="","",'Lot Balance'!$H1738)</f>
        <v/>
      </c>
      <c r="F1739" s="23" t="str">
        <f>IF($A1739="","",'Lot Balance'!$I1738)</f>
        <v/>
      </c>
      <c r="G1739" s="23" t="str">
        <f>IF($A1739="","",'Lot Balance'!$O1738)</f>
        <v/>
      </c>
      <c r="H1739" s="33" t="str">
        <f>IF($A1739="","",'Lot Balance'!$P1738)</f>
        <v/>
      </c>
      <c r="I1739" s="26" t="str">
        <f>IF($A1739="","",COUNTIFS(tblIssues[Lot Number],$B1739))</f>
        <v/>
      </c>
      <c r="J1739" s="31" t="str">
        <f>IF($A1739="","",IF('Lot Balance'!$O1738&lt;=0,"Depleted",'Lot Balance'!$Q1738))</f>
        <v/>
      </c>
    </row>
    <row r="1740" spans="1:10" x14ac:dyDescent="0.35">
      <c r="A1740" s="18" t="str">
        <f>IF('Lot Balance'!$A1739="","",'Lot Balance'!$A1739)</f>
        <v/>
      </c>
      <c r="B1740" s="18" t="str">
        <f>IF($A1740="","",'Lot Balance'!$B1739)</f>
        <v/>
      </c>
      <c r="C1740" s="18" t="str">
        <f>IF($A1740="","",'Lot Balance'!$C1739)</f>
        <v/>
      </c>
      <c r="D1740" s="25" t="str">
        <f>IF($A1740="","",'Lot Balance'!$G1739)</f>
        <v/>
      </c>
      <c r="E1740" s="25" t="str">
        <f>IF($A1740="","",'Lot Balance'!$H1739)</f>
        <v/>
      </c>
      <c r="F1740" s="23" t="str">
        <f>IF($A1740="","",'Lot Balance'!$I1739)</f>
        <v/>
      </c>
      <c r="G1740" s="23" t="str">
        <f>IF($A1740="","",'Lot Balance'!$O1739)</f>
        <v/>
      </c>
      <c r="H1740" s="33" t="str">
        <f>IF($A1740="","",'Lot Balance'!$P1739)</f>
        <v/>
      </c>
      <c r="I1740" s="26" t="str">
        <f>IF($A1740="","",COUNTIFS(tblIssues[Lot Number],$B1740))</f>
        <v/>
      </c>
      <c r="J1740" s="31" t="str">
        <f>IF($A1740="","",IF('Lot Balance'!$O1739&lt;=0,"Depleted",'Lot Balance'!$Q1739))</f>
        <v/>
      </c>
    </row>
    <row r="1741" spans="1:10" x14ac:dyDescent="0.35">
      <c r="A1741" s="18" t="str">
        <f>IF('Lot Balance'!$A1740="","",'Lot Balance'!$A1740)</f>
        <v/>
      </c>
      <c r="B1741" s="18" t="str">
        <f>IF($A1741="","",'Lot Balance'!$B1740)</f>
        <v/>
      </c>
      <c r="C1741" s="18" t="str">
        <f>IF($A1741="","",'Lot Balance'!$C1740)</f>
        <v/>
      </c>
      <c r="D1741" s="25" t="str">
        <f>IF($A1741="","",'Lot Balance'!$G1740)</f>
        <v/>
      </c>
      <c r="E1741" s="25" t="str">
        <f>IF($A1741="","",'Lot Balance'!$H1740)</f>
        <v/>
      </c>
      <c r="F1741" s="23" t="str">
        <f>IF($A1741="","",'Lot Balance'!$I1740)</f>
        <v/>
      </c>
      <c r="G1741" s="23" t="str">
        <f>IF($A1741="","",'Lot Balance'!$O1740)</f>
        <v/>
      </c>
      <c r="H1741" s="33" t="str">
        <f>IF($A1741="","",'Lot Balance'!$P1740)</f>
        <v/>
      </c>
      <c r="I1741" s="26" t="str">
        <f>IF($A1741="","",COUNTIFS(tblIssues[Lot Number],$B1741))</f>
        <v/>
      </c>
      <c r="J1741" s="31" t="str">
        <f>IF($A1741="","",IF('Lot Balance'!$O1740&lt;=0,"Depleted",'Lot Balance'!$Q1740))</f>
        <v/>
      </c>
    </row>
    <row r="1742" spans="1:10" x14ac:dyDescent="0.35">
      <c r="A1742" s="18" t="str">
        <f>IF('Lot Balance'!$A1741="","",'Lot Balance'!$A1741)</f>
        <v/>
      </c>
      <c r="B1742" s="18" t="str">
        <f>IF($A1742="","",'Lot Balance'!$B1741)</f>
        <v/>
      </c>
      <c r="C1742" s="18" t="str">
        <f>IF($A1742="","",'Lot Balance'!$C1741)</f>
        <v/>
      </c>
      <c r="D1742" s="25" t="str">
        <f>IF($A1742="","",'Lot Balance'!$G1741)</f>
        <v/>
      </c>
      <c r="E1742" s="25" t="str">
        <f>IF($A1742="","",'Lot Balance'!$H1741)</f>
        <v/>
      </c>
      <c r="F1742" s="23" t="str">
        <f>IF($A1742="","",'Lot Balance'!$I1741)</f>
        <v/>
      </c>
      <c r="G1742" s="23" t="str">
        <f>IF($A1742="","",'Lot Balance'!$O1741)</f>
        <v/>
      </c>
      <c r="H1742" s="33" t="str">
        <f>IF($A1742="","",'Lot Balance'!$P1741)</f>
        <v/>
      </c>
      <c r="I1742" s="26" t="str">
        <f>IF($A1742="","",COUNTIFS(tblIssues[Lot Number],$B1742))</f>
        <v/>
      </c>
      <c r="J1742" s="31" t="str">
        <f>IF($A1742="","",IF('Lot Balance'!$O1741&lt;=0,"Depleted",'Lot Balance'!$Q1741))</f>
        <v/>
      </c>
    </row>
    <row r="1743" spans="1:10" x14ac:dyDescent="0.35">
      <c r="A1743" s="18" t="str">
        <f>IF('Lot Balance'!$A1742="","",'Lot Balance'!$A1742)</f>
        <v/>
      </c>
      <c r="B1743" s="18" t="str">
        <f>IF($A1743="","",'Lot Balance'!$B1742)</f>
        <v/>
      </c>
      <c r="C1743" s="18" t="str">
        <f>IF($A1743="","",'Lot Balance'!$C1742)</f>
        <v/>
      </c>
      <c r="D1743" s="25" t="str">
        <f>IF($A1743="","",'Lot Balance'!$G1742)</f>
        <v/>
      </c>
      <c r="E1743" s="25" t="str">
        <f>IF($A1743="","",'Lot Balance'!$H1742)</f>
        <v/>
      </c>
      <c r="F1743" s="23" t="str">
        <f>IF($A1743="","",'Lot Balance'!$I1742)</f>
        <v/>
      </c>
      <c r="G1743" s="23" t="str">
        <f>IF($A1743="","",'Lot Balance'!$O1742)</f>
        <v/>
      </c>
      <c r="H1743" s="33" t="str">
        <f>IF($A1743="","",'Lot Balance'!$P1742)</f>
        <v/>
      </c>
      <c r="I1743" s="26" t="str">
        <f>IF($A1743="","",COUNTIFS(tblIssues[Lot Number],$B1743))</f>
        <v/>
      </c>
      <c r="J1743" s="31" t="str">
        <f>IF($A1743="","",IF('Lot Balance'!$O1742&lt;=0,"Depleted",'Lot Balance'!$Q1742))</f>
        <v/>
      </c>
    </row>
    <row r="1744" spans="1:10" x14ac:dyDescent="0.35">
      <c r="A1744" s="18" t="str">
        <f>IF('Lot Balance'!$A1743="","",'Lot Balance'!$A1743)</f>
        <v/>
      </c>
      <c r="B1744" s="18" t="str">
        <f>IF($A1744="","",'Lot Balance'!$B1743)</f>
        <v/>
      </c>
      <c r="C1744" s="18" t="str">
        <f>IF($A1744="","",'Lot Balance'!$C1743)</f>
        <v/>
      </c>
      <c r="D1744" s="25" t="str">
        <f>IF($A1744="","",'Lot Balance'!$G1743)</f>
        <v/>
      </c>
      <c r="E1744" s="25" t="str">
        <f>IF($A1744="","",'Lot Balance'!$H1743)</f>
        <v/>
      </c>
      <c r="F1744" s="23" t="str">
        <f>IF($A1744="","",'Lot Balance'!$I1743)</f>
        <v/>
      </c>
      <c r="G1744" s="23" t="str">
        <f>IF($A1744="","",'Lot Balance'!$O1743)</f>
        <v/>
      </c>
      <c r="H1744" s="33" t="str">
        <f>IF($A1744="","",'Lot Balance'!$P1743)</f>
        <v/>
      </c>
      <c r="I1744" s="26" t="str">
        <f>IF($A1744="","",COUNTIFS(tblIssues[Lot Number],$B1744))</f>
        <v/>
      </c>
      <c r="J1744" s="31" t="str">
        <f>IF($A1744="","",IF('Lot Balance'!$O1743&lt;=0,"Depleted",'Lot Balance'!$Q1743))</f>
        <v/>
      </c>
    </row>
    <row r="1745" spans="1:10" x14ac:dyDescent="0.35">
      <c r="A1745" s="18" t="str">
        <f>IF('Lot Balance'!$A1744="","",'Lot Balance'!$A1744)</f>
        <v/>
      </c>
      <c r="B1745" s="18" t="str">
        <f>IF($A1745="","",'Lot Balance'!$B1744)</f>
        <v/>
      </c>
      <c r="C1745" s="18" t="str">
        <f>IF($A1745="","",'Lot Balance'!$C1744)</f>
        <v/>
      </c>
      <c r="D1745" s="25" t="str">
        <f>IF($A1745="","",'Lot Balance'!$G1744)</f>
        <v/>
      </c>
      <c r="E1745" s="25" t="str">
        <f>IF($A1745="","",'Lot Balance'!$H1744)</f>
        <v/>
      </c>
      <c r="F1745" s="23" t="str">
        <f>IF($A1745="","",'Lot Balance'!$I1744)</f>
        <v/>
      </c>
      <c r="G1745" s="23" t="str">
        <f>IF($A1745="","",'Lot Balance'!$O1744)</f>
        <v/>
      </c>
      <c r="H1745" s="33" t="str">
        <f>IF($A1745="","",'Lot Balance'!$P1744)</f>
        <v/>
      </c>
      <c r="I1745" s="26" t="str">
        <f>IF($A1745="","",COUNTIFS(tblIssues[Lot Number],$B1745))</f>
        <v/>
      </c>
      <c r="J1745" s="31" t="str">
        <f>IF($A1745="","",IF('Lot Balance'!$O1744&lt;=0,"Depleted",'Lot Balance'!$Q1744))</f>
        <v/>
      </c>
    </row>
    <row r="1746" spans="1:10" x14ac:dyDescent="0.35">
      <c r="A1746" s="18" t="str">
        <f>IF('Lot Balance'!$A1745="","",'Lot Balance'!$A1745)</f>
        <v/>
      </c>
      <c r="B1746" s="18" t="str">
        <f>IF($A1746="","",'Lot Balance'!$B1745)</f>
        <v/>
      </c>
      <c r="C1746" s="18" t="str">
        <f>IF($A1746="","",'Lot Balance'!$C1745)</f>
        <v/>
      </c>
      <c r="D1746" s="25" t="str">
        <f>IF($A1746="","",'Lot Balance'!$G1745)</f>
        <v/>
      </c>
      <c r="E1746" s="25" t="str">
        <f>IF($A1746="","",'Lot Balance'!$H1745)</f>
        <v/>
      </c>
      <c r="F1746" s="23" t="str">
        <f>IF($A1746="","",'Lot Balance'!$I1745)</f>
        <v/>
      </c>
      <c r="G1746" s="23" t="str">
        <f>IF($A1746="","",'Lot Balance'!$O1745)</f>
        <v/>
      </c>
      <c r="H1746" s="33" t="str">
        <f>IF($A1746="","",'Lot Balance'!$P1745)</f>
        <v/>
      </c>
      <c r="I1746" s="26" t="str">
        <f>IF($A1746="","",COUNTIFS(tblIssues[Lot Number],$B1746))</f>
        <v/>
      </c>
      <c r="J1746" s="31" t="str">
        <f>IF($A1746="","",IF('Lot Balance'!$O1745&lt;=0,"Depleted",'Lot Balance'!$Q1745))</f>
        <v/>
      </c>
    </row>
    <row r="1747" spans="1:10" x14ac:dyDescent="0.35">
      <c r="A1747" s="18" t="str">
        <f>IF('Lot Balance'!$A1746="","",'Lot Balance'!$A1746)</f>
        <v/>
      </c>
      <c r="B1747" s="18" t="str">
        <f>IF($A1747="","",'Lot Balance'!$B1746)</f>
        <v/>
      </c>
      <c r="C1747" s="18" t="str">
        <f>IF($A1747="","",'Lot Balance'!$C1746)</f>
        <v/>
      </c>
      <c r="D1747" s="25" t="str">
        <f>IF($A1747="","",'Lot Balance'!$G1746)</f>
        <v/>
      </c>
      <c r="E1747" s="25" t="str">
        <f>IF($A1747="","",'Lot Balance'!$H1746)</f>
        <v/>
      </c>
      <c r="F1747" s="23" t="str">
        <f>IF($A1747="","",'Lot Balance'!$I1746)</f>
        <v/>
      </c>
      <c r="G1747" s="23" t="str">
        <f>IF($A1747="","",'Lot Balance'!$O1746)</f>
        <v/>
      </c>
      <c r="H1747" s="33" t="str">
        <f>IF($A1747="","",'Lot Balance'!$P1746)</f>
        <v/>
      </c>
      <c r="I1747" s="26" t="str">
        <f>IF($A1747="","",COUNTIFS(tblIssues[Lot Number],$B1747))</f>
        <v/>
      </c>
      <c r="J1747" s="31" t="str">
        <f>IF($A1747="","",IF('Lot Balance'!$O1746&lt;=0,"Depleted",'Lot Balance'!$Q1746))</f>
        <v/>
      </c>
    </row>
    <row r="1748" spans="1:10" x14ac:dyDescent="0.35">
      <c r="A1748" s="18" t="str">
        <f>IF('Lot Balance'!$A1747="","",'Lot Balance'!$A1747)</f>
        <v/>
      </c>
      <c r="B1748" s="18" t="str">
        <f>IF($A1748="","",'Lot Balance'!$B1747)</f>
        <v/>
      </c>
      <c r="C1748" s="18" t="str">
        <f>IF($A1748="","",'Lot Balance'!$C1747)</f>
        <v/>
      </c>
      <c r="D1748" s="25" t="str">
        <f>IF($A1748="","",'Lot Balance'!$G1747)</f>
        <v/>
      </c>
      <c r="E1748" s="25" t="str">
        <f>IF($A1748="","",'Lot Balance'!$H1747)</f>
        <v/>
      </c>
      <c r="F1748" s="23" t="str">
        <f>IF($A1748="","",'Lot Balance'!$I1747)</f>
        <v/>
      </c>
      <c r="G1748" s="23" t="str">
        <f>IF($A1748="","",'Lot Balance'!$O1747)</f>
        <v/>
      </c>
      <c r="H1748" s="33" t="str">
        <f>IF($A1748="","",'Lot Balance'!$P1747)</f>
        <v/>
      </c>
      <c r="I1748" s="26" t="str">
        <f>IF($A1748="","",COUNTIFS(tblIssues[Lot Number],$B1748))</f>
        <v/>
      </c>
      <c r="J1748" s="31" t="str">
        <f>IF($A1748="","",IF('Lot Balance'!$O1747&lt;=0,"Depleted",'Lot Balance'!$Q1747))</f>
        <v/>
      </c>
    </row>
    <row r="1749" spans="1:10" x14ac:dyDescent="0.35">
      <c r="A1749" s="18" t="str">
        <f>IF('Lot Balance'!$A1748="","",'Lot Balance'!$A1748)</f>
        <v/>
      </c>
      <c r="B1749" s="18" t="str">
        <f>IF($A1749="","",'Lot Balance'!$B1748)</f>
        <v/>
      </c>
      <c r="C1749" s="18" t="str">
        <f>IF($A1749="","",'Lot Balance'!$C1748)</f>
        <v/>
      </c>
      <c r="D1749" s="25" t="str">
        <f>IF($A1749="","",'Lot Balance'!$G1748)</f>
        <v/>
      </c>
      <c r="E1749" s="25" t="str">
        <f>IF($A1749="","",'Lot Balance'!$H1748)</f>
        <v/>
      </c>
      <c r="F1749" s="23" t="str">
        <f>IF($A1749="","",'Lot Balance'!$I1748)</f>
        <v/>
      </c>
      <c r="G1749" s="23" t="str">
        <f>IF($A1749="","",'Lot Balance'!$O1748)</f>
        <v/>
      </c>
      <c r="H1749" s="33" t="str">
        <f>IF($A1749="","",'Lot Balance'!$P1748)</f>
        <v/>
      </c>
      <c r="I1749" s="26" t="str">
        <f>IF($A1749="","",COUNTIFS(tblIssues[Lot Number],$B1749))</f>
        <v/>
      </c>
      <c r="J1749" s="31" t="str">
        <f>IF($A1749="","",IF('Lot Balance'!$O1748&lt;=0,"Depleted",'Lot Balance'!$Q1748))</f>
        <v/>
      </c>
    </row>
    <row r="1750" spans="1:10" x14ac:dyDescent="0.35">
      <c r="A1750" s="18" t="str">
        <f>IF('Lot Balance'!$A1749="","",'Lot Balance'!$A1749)</f>
        <v/>
      </c>
      <c r="B1750" s="18" t="str">
        <f>IF($A1750="","",'Lot Balance'!$B1749)</f>
        <v/>
      </c>
      <c r="C1750" s="18" t="str">
        <f>IF($A1750="","",'Lot Balance'!$C1749)</f>
        <v/>
      </c>
      <c r="D1750" s="25" t="str">
        <f>IF($A1750="","",'Lot Balance'!$G1749)</f>
        <v/>
      </c>
      <c r="E1750" s="25" t="str">
        <f>IF($A1750="","",'Lot Balance'!$H1749)</f>
        <v/>
      </c>
      <c r="F1750" s="23" t="str">
        <f>IF($A1750="","",'Lot Balance'!$I1749)</f>
        <v/>
      </c>
      <c r="G1750" s="23" t="str">
        <f>IF($A1750="","",'Lot Balance'!$O1749)</f>
        <v/>
      </c>
      <c r="H1750" s="33" t="str">
        <f>IF($A1750="","",'Lot Balance'!$P1749)</f>
        <v/>
      </c>
      <c r="I1750" s="26" t="str">
        <f>IF($A1750="","",COUNTIFS(tblIssues[Lot Number],$B1750))</f>
        <v/>
      </c>
      <c r="J1750" s="31" t="str">
        <f>IF($A1750="","",IF('Lot Balance'!$O1749&lt;=0,"Depleted",'Lot Balance'!$Q1749))</f>
        <v/>
      </c>
    </row>
    <row r="1751" spans="1:10" x14ac:dyDescent="0.35">
      <c r="A1751" s="18" t="str">
        <f>IF('Lot Balance'!$A1750="","",'Lot Balance'!$A1750)</f>
        <v/>
      </c>
      <c r="B1751" s="18" t="str">
        <f>IF($A1751="","",'Lot Balance'!$B1750)</f>
        <v/>
      </c>
      <c r="C1751" s="18" t="str">
        <f>IF($A1751="","",'Lot Balance'!$C1750)</f>
        <v/>
      </c>
      <c r="D1751" s="25" t="str">
        <f>IF($A1751="","",'Lot Balance'!$G1750)</f>
        <v/>
      </c>
      <c r="E1751" s="25" t="str">
        <f>IF($A1751="","",'Lot Balance'!$H1750)</f>
        <v/>
      </c>
      <c r="F1751" s="23" t="str">
        <f>IF($A1751="","",'Lot Balance'!$I1750)</f>
        <v/>
      </c>
      <c r="G1751" s="23" t="str">
        <f>IF($A1751="","",'Lot Balance'!$O1750)</f>
        <v/>
      </c>
      <c r="H1751" s="33" t="str">
        <f>IF($A1751="","",'Lot Balance'!$P1750)</f>
        <v/>
      </c>
      <c r="I1751" s="26" t="str">
        <f>IF($A1751="","",COUNTIFS(tblIssues[Lot Number],$B1751))</f>
        <v/>
      </c>
      <c r="J1751" s="31" t="str">
        <f>IF($A1751="","",IF('Lot Balance'!$O1750&lt;=0,"Depleted",'Lot Balance'!$Q1750))</f>
        <v/>
      </c>
    </row>
    <row r="1752" spans="1:10" x14ac:dyDescent="0.35">
      <c r="A1752" s="18" t="str">
        <f>IF('Lot Balance'!$A1751="","",'Lot Balance'!$A1751)</f>
        <v/>
      </c>
      <c r="B1752" s="18" t="str">
        <f>IF($A1752="","",'Lot Balance'!$B1751)</f>
        <v/>
      </c>
      <c r="C1752" s="18" t="str">
        <f>IF($A1752="","",'Lot Balance'!$C1751)</f>
        <v/>
      </c>
      <c r="D1752" s="25" t="str">
        <f>IF($A1752="","",'Lot Balance'!$G1751)</f>
        <v/>
      </c>
      <c r="E1752" s="25" t="str">
        <f>IF($A1752="","",'Lot Balance'!$H1751)</f>
        <v/>
      </c>
      <c r="F1752" s="23" t="str">
        <f>IF($A1752="","",'Lot Balance'!$I1751)</f>
        <v/>
      </c>
      <c r="G1752" s="23" t="str">
        <f>IF($A1752="","",'Lot Balance'!$O1751)</f>
        <v/>
      </c>
      <c r="H1752" s="33" t="str">
        <f>IF($A1752="","",'Lot Balance'!$P1751)</f>
        <v/>
      </c>
      <c r="I1752" s="26" t="str">
        <f>IF($A1752="","",COUNTIFS(tblIssues[Lot Number],$B1752))</f>
        <v/>
      </c>
      <c r="J1752" s="31" t="str">
        <f>IF($A1752="","",IF('Lot Balance'!$O1751&lt;=0,"Depleted",'Lot Balance'!$Q1751))</f>
        <v/>
      </c>
    </row>
    <row r="1753" spans="1:10" x14ac:dyDescent="0.35">
      <c r="A1753" s="18" t="str">
        <f>IF('Lot Balance'!$A1752="","",'Lot Balance'!$A1752)</f>
        <v/>
      </c>
      <c r="B1753" s="18" t="str">
        <f>IF($A1753="","",'Lot Balance'!$B1752)</f>
        <v/>
      </c>
      <c r="C1753" s="18" t="str">
        <f>IF($A1753="","",'Lot Balance'!$C1752)</f>
        <v/>
      </c>
      <c r="D1753" s="25" t="str">
        <f>IF($A1753="","",'Lot Balance'!$G1752)</f>
        <v/>
      </c>
      <c r="E1753" s="25" t="str">
        <f>IF($A1753="","",'Lot Balance'!$H1752)</f>
        <v/>
      </c>
      <c r="F1753" s="23" t="str">
        <f>IF($A1753="","",'Lot Balance'!$I1752)</f>
        <v/>
      </c>
      <c r="G1753" s="23" t="str">
        <f>IF($A1753="","",'Lot Balance'!$O1752)</f>
        <v/>
      </c>
      <c r="H1753" s="33" t="str">
        <f>IF($A1753="","",'Lot Balance'!$P1752)</f>
        <v/>
      </c>
      <c r="I1753" s="26" t="str">
        <f>IF($A1753="","",COUNTIFS(tblIssues[Lot Number],$B1753))</f>
        <v/>
      </c>
      <c r="J1753" s="31" t="str">
        <f>IF($A1753="","",IF('Lot Balance'!$O1752&lt;=0,"Depleted",'Lot Balance'!$Q1752))</f>
        <v/>
      </c>
    </row>
    <row r="1754" spans="1:10" x14ac:dyDescent="0.35">
      <c r="A1754" s="18" t="str">
        <f>IF('Lot Balance'!$A1753="","",'Lot Balance'!$A1753)</f>
        <v/>
      </c>
      <c r="B1754" s="18" t="str">
        <f>IF($A1754="","",'Lot Balance'!$B1753)</f>
        <v/>
      </c>
      <c r="C1754" s="18" t="str">
        <f>IF($A1754="","",'Lot Balance'!$C1753)</f>
        <v/>
      </c>
      <c r="D1754" s="25" t="str">
        <f>IF($A1754="","",'Lot Balance'!$G1753)</f>
        <v/>
      </c>
      <c r="E1754" s="25" t="str">
        <f>IF($A1754="","",'Lot Balance'!$H1753)</f>
        <v/>
      </c>
      <c r="F1754" s="23" t="str">
        <f>IF($A1754="","",'Lot Balance'!$I1753)</f>
        <v/>
      </c>
      <c r="G1754" s="23" t="str">
        <f>IF($A1754="","",'Lot Balance'!$O1753)</f>
        <v/>
      </c>
      <c r="H1754" s="33" t="str">
        <f>IF($A1754="","",'Lot Balance'!$P1753)</f>
        <v/>
      </c>
      <c r="I1754" s="26" t="str">
        <f>IF($A1754="","",COUNTIFS(tblIssues[Lot Number],$B1754))</f>
        <v/>
      </c>
      <c r="J1754" s="31" t="str">
        <f>IF($A1754="","",IF('Lot Balance'!$O1753&lt;=0,"Depleted",'Lot Balance'!$Q1753))</f>
        <v/>
      </c>
    </row>
    <row r="1755" spans="1:10" x14ac:dyDescent="0.35">
      <c r="A1755" s="18" t="str">
        <f>IF('Lot Balance'!$A1754="","",'Lot Balance'!$A1754)</f>
        <v/>
      </c>
      <c r="B1755" s="18" t="str">
        <f>IF($A1755="","",'Lot Balance'!$B1754)</f>
        <v/>
      </c>
      <c r="C1755" s="18" t="str">
        <f>IF($A1755="","",'Lot Balance'!$C1754)</f>
        <v/>
      </c>
      <c r="D1755" s="25" t="str">
        <f>IF($A1755="","",'Lot Balance'!$G1754)</f>
        <v/>
      </c>
      <c r="E1755" s="25" t="str">
        <f>IF($A1755="","",'Lot Balance'!$H1754)</f>
        <v/>
      </c>
      <c r="F1755" s="23" t="str">
        <f>IF($A1755="","",'Lot Balance'!$I1754)</f>
        <v/>
      </c>
      <c r="G1755" s="23" t="str">
        <f>IF($A1755="","",'Lot Balance'!$O1754)</f>
        <v/>
      </c>
      <c r="H1755" s="33" t="str">
        <f>IF($A1755="","",'Lot Balance'!$P1754)</f>
        <v/>
      </c>
      <c r="I1755" s="26" t="str">
        <f>IF($A1755="","",COUNTIFS(tblIssues[Lot Number],$B1755))</f>
        <v/>
      </c>
      <c r="J1755" s="31" t="str">
        <f>IF($A1755="","",IF('Lot Balance'!$O1754&lt;=0,"Depleted",'Lot Balance'!$Q1754))</f>
        <v/>
      </c>
    </row>
    <row r="1756" spans="1:10" x14ac:dyDescent="0.35">
      <c r="A1756" s="18" t="str">
        <f>IF('Lot Balance'!$A1755="","",'Lot Balance'!$A1755)</f>
        <v/>
      </c>
      <c r="B1756" s="18" t="str">
        <f>IF($A1756="","",'Lot Balance'!$B1755)</f>
        <v/>
      </c>
      <c r="C1756" s="18" t="str">
        <f>IF($A1756="","",'Lot Balance'!$C1755)</f>
        <v/>
      </c>
      <c r="D1756" s="25" t="str">
        <f>IF($A1756="","",'Lot Balance'!$G1755)</f>
        <v/>
      </c>
      <c r="E1756" s="25" t="str">
        <f>IF($A1756="","",'Lot Balance'!$H1755)</f>
        <v/>
      </c>
      <c r="F1756" s="23" t="str">
        <f>IF($A1756="","",'Lot Balance'!$I1755)</f>
        <v/>
      </c>
      <c r="G1756" s="23" t="str">
        <f>IF($A1756="","",'Lot Balance'!$O1755)</f>
        <v/>
      </c>
      <c r="H1756" s="33" t="str">
        <f>IF($A1756="","",'Lot Balance'!$P1755)</f>
        <v/>
      </c>
      <c r="I1756" s="26" t="str">
        <f>IF($A1756="","",COUNTIFS(tblIssues[Lot Number],$B1756))</f>
        <v/>
      </c>
      <c r="J1756" s="31" t="str">
        <f>IF($A1756="","",IF('Lot Balance'!$O1755&lt;=0,"Depleted",'Lot Balance'!$Q1755))</f>
        <v/>
      </c>
    </row>
    <row r="1757" spans="1:10" x14ac:dyDescent="0.35">
      <c r="A1757" s="18" t="str">
        <f>IF('Lot Balance'!$A1756="","",'Lot Balance'!$A1756)</f>
        <v/>
      </c>
      <c r="B1757" s="18" t="str">
        <f>IF($A1757="","",'Lot Balance'!$B1756)</f>
        <v/>
      </c>
      <c r="C1757" s="18" t="str">
        <f>IF($A1757="","",'Lot Balance'!$C1756)</f>
        <v/>
      </c>
      <c r="D1757" s="25" t="str">
        <f>IF($A1757="","",'Lot Balance'!$G1756)</f>
        <v/>
      </c>
      <c r="E1757" s="25" t="str">
        <f>IF($A1757="","",'Lot Balance'!$H1756)</f>
        <v/>
      </c>
      <c r="F1757" s="23" t="str">
        <f>IF($A1757="","",'Lot Balance'!$I1756)</f>
        <v/>
      </c>
      <c r="G1757" s="23" t="str">
        <f>IF($A1757="","",'Lot Balance'!$O1756)</f>
        <v/>
      </c>
      <c r="H1757" s="33" t="str">
        <f>IF($A1757="","",'Lot Balance'!$P1756)</f>
        <v/>
      </c>
      <c r="I1757" s="26" t="str">
        <f>IF($A1757="","",COUNTIFS(tblIssues[Lot Number],$B1757))</f>
        <v/>
      </c>
      <c r="J1757" s="31" t="str">
        <f>IF($A1757="","",IF('Lot Balance'!$O1756&lt;=0,"Depleted",'Lot Balance'!$Q1756))</f>
        <v/>
      </c>
    </row>
    <row r="1758" spans="1:10" x14ac:dyDescent="0.35">
      <c r="A1758" s="18" t="str">
        <f>IF('Lot Balance'!$A1757="","",'Lot Balance'!$A1757)</f>
        <v/>
      </c>
      <c r="B1758" s="18" t="str">
        <f>IF($A1758="","",'Lot Balance'!$B1757)</f>
        <v/>
      </c>
      <c r="C1758" s="18" t="str">
        <f>IF($A1758="","",'Lot Balance'!$C1757)</f>
        <v/>
      </c>
      <c r="D1758" s="25" t="str">
        <f>IF($A1758="","",'Lot Balance'!$G1757)</f>
        <v/>
      </c>
      <c r="E1758" s="25" t="str">
        <f>IF($A1758="","",'Lot Balance'!$H1757)</f>
        <v/>
      </c>
      <c r="F1758" s="23" t="str">
        <f>IF($A1758="","",'Lot Balance'!$I1757)</f>
        <v/>
      </c>
      <c r="G1758" s="23" t="str">
        <f>IF($A1758="","",'Lot Balance'!$O1757)</f>
        <v/>
      </c>
      <c r="H1758" s="33" t="str">
        <f>IF($A1758="","",'Lot Balance'!$P1757)</f>
        <v/>
      </c>
      <c r="I1758" s="26" t="str">
        <f>IF($A1758="","",COUNTIFS(tblIssues[Lot Number],$B1758))</f>
        <v/>
      </c>
      <c r="J1758" s="31" t="str">
        <f>IF($A1758="","",IF('Lot Balance'!$O1757&lt;=0,"Depleted",'Lot Balance'!$Q1757))</f>
        <v/>
      </c>
    </row>
    <row r="1759" spans="1:10" x14ac:dyDescent="0.35">
      <c r="A1759" s="18" t="str">
        <f>IF('Lot Balance'!$A1758="","",'Lot Balance'!$A1758)</f>
        <v/>
      </c>
      <c r="B1759" s="18" t="str">
        <f>IF($A1759="","",'Lot Balance'!$B1758)</f>
        <v/>
      </c>
      <c r="C1759" s="18" t="str">
        <f>IF($A1759="","",'Lot Balance'!$C1758)</f>
        <v/>
      </c>
      <c r="D1759" s="25" t="str">
        <f>IF($A1759="","",'Lot Balance'!$G1758)</f>
        <v/>
      </c>
      <c r="E1759" s="25" t="str">
        <f>IF($A1759="","",'Lot Balance'!$H1758)</f>
        <v/>
      </c>
      <c r="F1759" s="23" t="str">
        <f>IF($A1759="","",'Lot Balance'!$I1758)</f>
        <v/>
      </c>
      <c r="G1759" s="23" t="str">
        <f>IF($A1759="","",'Lot Balance'!$O1758)</f>
        <v/>
      </c>
      <c r="H1759" s="33" t="str">
        <f>IF($A1759="","",'Lot Balance'!$P1758)</f>
        <v/>
      </c>
      <c r="I1759" s="26" t="str">
        <f>IF($A1759="","",COUNTIFS(tblIssues[Lot Number],$B1759))</f>
        <v/>
      </c>
      <c r="J1759" s="31" t="str">
        <f>IF($A1759="","",IF('Lot Balance'!$O1758&lt;=0,"Depleted",'Lot Balance'!$Q1758))</f>
        <v/>
      </c>
    </row>
    <row r="1760" spans="1:10" x14ac:dyDescent="0.35">
      <c r="A1760" s="18" t="str">
        <f>IF('Lot Balance'!$A1759="","",'Lot Balance'!$A1759)</f>
        <v/>
      </c>
      <c r="B1760" s="18" t="str">
        <f>IF($A1760="","",'Lot Balance'!$B1759)</f>
        <v/>
      </c>
      <c r="C1760" s="18" t="str">
        <f>IF($A1760="","",'Lot Balance'!$C1759)</f>
        <v/>
      </c>
      <c r="D1760" s="25" t="str">
        <f>IF($A1760="","",'Lot Balance'!$G1759)</f>
        <v/>
      </c>
      <c r="E1760" s="25" t="str">
        <f>IF($A1760="","",'Lot Balance'!$H1759)</f>
        <v/>
      </c>
      <c r="F1760" s="23" t="str">
        <f>IF($A1760="","",'Lot Balance'!$I1759)</f>
        <v/>
      </c>
      <c r="G1760" s="23" t="str">
        <f>IF($A1760="","",'Lot Balance'!$O1759)</f>
        <v/>
      </c>
      <c r="H1760" s="33" t="str">
        <f>IF($A1760="","",'Lot Balance'!$P1759)</f>
        <v/>
      </c>
      <c r="I1760" s="26" t="str">
        <f>IF($A1760="","",COUNTIFS(tblIssues[Lot Number],$B1760))</f>
        <v/>
      </c>
      <c r="J1760" s="31" t="str">
        <f>IF($A1760="","",IF('Lot Balance'!$O1759&lt;=0,"Depleted",'Lot Balance'!$Q1759))</f>
        <v/>
      </c>
    </row>
    <row r="1761" spans="1:10" x14ac:dyDescent="0.35">
      <c r="A1761" s="18" t="str">
        <f>IF('Lot Balance'!$A1760="","",'Lot Balance'!$A1760)</f>
        <v/>
      </c>
      <c r="B1761" s="18" t="str">
        <f>IF($A1761="","",'Lot Balance'!$B1760)</f>
        <v/>
      </c>
      <c r="C1761" s="18" t="str">
        <f>IF($A1761="","",'Lot Balance'!$C1760)</f>
        <v/>
      </c>
      <c r="D1761" s="25" t="str">
        <f>IF($A1761="","",'Lot Balance'!$G1760)</f>
        <v/>
      </c>
      <c r="E1761" s="25" t="str">
        <f>IF($A1761="","",'Lot Balance'!$H1760)</f>
        <v/>
      </c>
      <c r="F1761" s="23" t="str">
        <f>IF($A1761="","",'Lot Balance'!$I1760)</f>
        <v/>
      </c>
      <c r="G1761" s="23" t="str">
        <f>IF($A1761="","",'Lot Balance'!$O1760)</f>
        <v/>
      </c>
      <c r="H1761" s="33" t="str">
        <f>IF($A1761="","",'Lot Balance'!$P1760)</f>
        <v/>
      </c>
      <c r="I1761" s="26" t="str">
        <f>IF($A1761="","",COUNTIFS(tblIssues[Lot Number],$B1761))</f>
        <v/>
      </c>
      <c r="J1761" s="31" t="str">
        <f>IF($A1761="","",IF('Lot Balance'!$O1760&lt;=0,"Depleted",'Lot Balance'!$Q1760))</f>
        <v/>
      </c>
    </row>
    <row r="1762" spans="1:10" x14ac:dyDescent="0.35">
      <c r="A1762" s="18" t="str">
        <f>IF('Lot Balance'!$A1761="","",'Lot Balance'!$A1761)</f>
        <v/>
      </c>
      <c r="B1762" s="18" t="str">
        <f>IF($A1762="","",'Lot Balance'!$B1761)</f>
        <v/>
      </c>
      <c r="C1762" s="18" t="str">
        <f>IF($A1762="","",'Lot Balance'!$C1761)</f>
        <v/>
      </c>
      <c r="D1762" s="25" t="str">
        <f>IF($A1762="","",'Lot Balance'!$G1761)</f>
        <v/>
      </c>
      <c r="E1762" s="25" t="str">
        <f>IF($A1762="","",'Lot Balance'!$H1761)</f>
        <v/>
      </c>
      <c r="F1762" s="23" t="str">
        <f>IF($A1762="","",'Lot Balance'!$I1761)</f>
        <v/>
      </c>
      <c r="G1762" s="23" t="str">
        <f>IF($A1762="","",'Lot Balance'!$O1761)</f>
        <v/>
      </c>
      <c r="H1762" s="33" t="str">
        <f>IF($A1762="","",'Lot Balance'!$P1761)</f>
        <v/>
      </c>
      <c r="I1762" s="26" t="str">
        <f>IF($A1762="","",COUNTIFS(tblIssues[Lot Number],$B1762))</f>
        <v/>
      </c>
      <c r="J1762" s="31" t="str">
        <f>IF($A1762="","",IF('Lot Balance'!$O1761&lt;=0,"Depleted",'Lot Balance'!$Q1761))</f>
        <v/>
      </c>
    </row>
    <row r="1763" spans="1:10" x14ac:dyDescent="0.35">
      <c r="A1763" s="18" t="str">
        <f>IF('Lot Balance'!$A1762="","",'Lot Balance'!$A1762)</f>
        <v/>
      </c>
      <c r="B1763" s="18" t="str">
        <f>IF($A1763="","",'Lot Balance'!$B1762)</f>
        <v/>
      </c>
      <c r="C1763" s="18" t="str">
        <f>IF($A1763="","",'Lot Balance'!$C1762)</f>
        <v/>
      </c>
      <c r="D1763" s="25" t="str">
        <f>IF($A1763="","",'Lot Balance'!$G1762)</f>
        <v/>
      </c>
      <c r="E1763" s="25" t="str">
        <f>IF($A1763="","",'Lot Balance'!$H1762)</f>
        <v/>
      </c>
      <c r="F1763" s="23" t="str">
        <f>IF($A1763="","",'Lot Balance'!$I1762)</f>
        <v/>
      </c>
      <c r="G1763" s="23" t="str">
        <f>IF($A1763="","",'Lot Balance'!$O1762)</f>
        <v/>
      </c>
      <c r="H1763" s="33" t="str">
        <f>IF($A1763="","",'Lot Balance'!$P1762)</f>
        <v/>
      </c>
      <c r="I1763" s="26" t="str">
        <f>IF($A1763="","",COUNTIFS(tblIssues[Lot Number],$B1763))</f>
        <v/>
      </c>
      <c r="J1763" s="31" t="str">
        <f>IF($A1763="","",IF('Lot Balance'!$O1762&lt;=0,"Depleted",'Lot Balance'!$Q1762))</f>
        <v/>
      </c>
    </row>
    <row r="1764" spans="1:10" x14ac:dyDescent="0.35">
      <c r="A1764" s="18" t="str">
        <f>IF('Lot Balance'!$A1763="","",'Lot Balance'!$A1763)</f>
        <v/>
      </c>
      <c r="B1764" s="18" t="str">
        <f>IF($A1764="","",'Lot Balance'!$B1763)</f>
        <v/>
      </c>
      <c r="C1764" s="18" t="str">
        <f>IF($A1764="","",'Lot Balance'!$C1763)</f>
        <v/>
      </c>
      <c r="D1764" s="25" t="str">
        <f>IF($A1764="","",'Lot Balance'!$G1763)</f>
        <v/>
      </c>
      <c r="E1764" s="25" t="str">
        <f>IF($A1764="","",'Lot Balance'!$H1763)</f>
        <v/>
      </c>
      <c r="F1764" s="23" t="str">
        <f>IF($A1764="","",'Lot Balance'!$I1763)</f>
        <v/>
      </c>
      <c r="G1764" s="23" t="str">
        <f>IF($A1764="","",'Lot Balance'!$O1763)</f>
        <v/>
      </c>
      <c r="H1764" s="33" t="str">
        <f>IF($A1764="","",'Lot Balance'!$P1763)</f>
        <v/>
      </c>
      <c r="I1764" s="26" t="str">
        <f>IF($A1764="","",COUNTIFS(tblIssues[Lot Number],$B1764))</f>
        <v/>
      </c>
      <c r="J1764" s="31" t="str">
        <f>IF($A1764="","",IF('Lot Balance'!$O1763&lt;=0,"Depleted",'Lot Balance'!$Q1763))</f>
        <v/>
      </c>
    </row>
    <row r="1765" spans="1:10" x14ac:dyDescent="0.35">
      <c r="A1765" s="18" t="str">
        <f>IF('Lot Balance'!$A1764="","",'Lot Balance'!$A1764)</f>
        <v/>
      </c>
      <c r="B1765" s="18" t="str">
        <f>IF($A1765="","",'Lot Balance'!$B1764)</f>
        <v/>
      </c>
      <c r="C1765" s="18" t="str">
        <f>IF($A1765="","",'Lot Balance'!$C1764)</f>
        <v/>
      </c>
      <c r="D1765" s="25" t="str">
        <f>IF($A1765="","",'Lot Balance'!$G1764)</f>
        <v/>
      </c>
      <c r="E1765" s="25" t="str">
        <f>IF($A1765="","",'Lot Balance'!$H1764)</f>
        <v/>
      </c>
      <c r="F1765" s="23" t="str">
        <f>IF($A1765="","",'Lot Balance'!$I1764)</f>
        <v/>
      </c>
      <c r="G1765" s="23" t="str">
        <f>IF($A1765="","",'Lot Balance'!$O1764)</f>
        <v/>
      </c>
      <c r="H1765" s="33" t="str">
        <f>IF($A1765="","",'Lot Balance'!$P1764)</f>
        <v/>
      </c>
      <c r="I1765" s="26" t="str">
        <f>IF($A1765="","",COUNTIFS(tblIssues[Lot Number],$B1765))</f>
        <v/>
      </c>
      <c r="J1765" s="31" t="str">
        <f>IF($A1765="","",IF('Lot Balance'!$O1764&lt;=0,"Depleted",'Lot Balance'!$Q1764))</f>
        <v/>
      </c>
    </row>
    <row r="1766" spans="1:10" x14ac:dyDescent="0.35">
      <c r="A1766" s="18" t="str">
        <f>IF('Lot Balance'!$A1765="","",'Lot Balance'!$A1765)</f>
        <v/>
      </c>
      <c r="B1766" s="18" t="str">
        <f>IF($A1766="","",'Lot Balance'!$B1765)</f>
        <v/>
      </c>
      <c r="C1766" s="18" t="str">
        <f>IF($A1766="","",'Lot Balance'!$C1765)</f>
        <v/>
      </c>
      <c r="D1766" s="25" t="str">
        <f>IF($A1766="","",'Lot Balance'!$G1765)</f>
        <v/>
      </c>
      <c r="E1766" s="25" t="str">
        <f>IF($A1766="","",'Lot Balance'!$H1765)</f>
        <v/>
      </c>
      <c r="F1766" s="23" t="str">
        <f>IF($A1766="","",'Lot Balance'!$I1765)</f>
        <v/>
      </c>
      <c r="G1766" s="23" t="str">
        <f>IF($A1766="","",'Lot Balance'!$O1765)</f>
        <v/>
      </c>
      <c r="H1766" s="33" t="str">
        <f>IF($A1766="","",'Lot Balance'!$P1765)</f>
        <v/>
      </c>
      <c r="I1766" s="26" t="str">
        <f>IF($A1766="","",COUNTIFS(tblIssues[Lot Number],$B1766))</f>
        <v/>
      </c>
      <c r="J1766" s="31" t="str">
        <f>IF($A1766="","",IF('Lot Balance'!$O1765&lt;=0,"Depleted",'Lot Balance'!$Q1765))</f>
        <v/>
      </c>
    </row>
    <row r="1767" spans="1:10" x14ac:dyDescent="0.35">
      <c r="A1767" s="18" t="str">
        <f>IF('Lot Balance'!$A1766="","",'Lot Balance'!$A1766)</f>
        <v/>
      </c>
      <c r="B1767" s="18" t="str">
        <f>IF($A1767="","",'Lot Balance'!$B1766)</f>
        <v/>
      </c>
      <c r="C1767" s="18" t="str">
        <f>IF($A1767="","",'Lot Balance'!$C1766)</f>
        <v/>
      </c>
      <c r="D1767" s="25" t="str">
        <f>IF($A1767="","",'Lot Balance'!$G1766)</f>
        <v/>
      </c>
      <c r="E1767" s="25" t="str">
        <f>IF($A1767="","",'Lot Balance'!$H1766)</f>
        <v/>
      </c>
      <c r="F1767" s="23" t="str">
        <f>IF($A1767="","",'Lot Balance'!$I1766)</f>
        <v/>
      </c>
      <c r="G1767" s="23" t="str">
        <f>IF($A1767="","",'Lot Balance'!$O1766)</f>
        <v/>
      </c>
      <c r="H1767" s="33" t="str">
        <f>IF($A1767="","",'Lot Balance'!$P1766)</f>
        <v/>
      </c>
      <c r="I1767" s="26" t="str">
        <f>IF($A1767="","",COUNTIFS(tblIssues[Lot Number],$B1767))</f>
        <v/>
      </c>
      <c r="J1767" s="31" t="str">
        <f>IF($A1767="","",IF('Lot Balance'!$O1766&lt;=0,"Depleted",'Lot Balance'!$Q1766))</f>
        <v/>
      </c>
    </row>
    <row r="1768" spans="1:10" x14ac:dyDescent="0.35">
      <c r="A1768" s="18" t="str">
        <f>IF('Lot Balance'!$A1767="","",'Lot Balance'!$A1767)</f>
        <v/>
      </c>
      <c r="B1768" s="18" t="str">
        <f>IF($A1768="","",'Lot Balance'!$B1767)</f>
        <v/>
      </c>
      <c r="C1768" s="18" t="str">
        <f>IF($A1768="","",'Lot Balance'!$C1767)</f>
        <v/>
      </c>
      <c r="D1768" s="25" t="str">
        <f>IF($A1768="","",'Lot Balance'!$G1767)</f>
        <v/>
      </c>
      <c r="E1768" s="25" t="str">
        <f>IF($A1768="","",'Lot Balance'!$H1767)</f>
        <v/>
      </c>
      <c r="F1768" s="23" t="str">
        <f>IF($A1768="","",'Lot Balance'!$I1767)</f>
        <v/>
      </c>
      <c r="G1768" s="23" t="str">
        <f>IF($A1768="","",'Lot Balance'!$O1767)</f>
        <v/>
      </c>
      <c r="H1768" s="33" t="str">
        <f>IF($A1768="","",'Lot Balance'!$P1767)</f>
        <v/>
      </c>
      <c r="I1768" s="26" t="str">
        <f>IF($A1768="","",COUNTIFS(tblIssues[Lot Number],$B1768))</f>
        <v/>
      </c>
      <c r="J1768" s="31" t="str">
        <f>IF($A1768="","",IF('Lot Balance'!$O1767&lt;=0,"Depleted",'Lot Balance'!$Q1767))</f>
        <v/>
      </c>
    </row>
    <row r="1769" spans="1:10" x14ac:dyDescent="0.35">
      <c r="A1769" s="18" t="str">
        <f>IF('Lot Balance'!$A1768="","",'Lot Balance'!$A1768)</f>
        <v/>
      </c>
      <c r="B1769" s="18" t="str">
        <f>IF($A1769="","",'Lot Balance'!$B1768)</f>
        <v/>
      </c>
      <c r="C1769" s="18" t="str">
        <f>IF($A1769="","",'Lot Balance'!$C1768)</f>
        <v/>
      </c>
      <c r="D1769" s="25" t="str">
        <f>IF($A1769="","",'Lot Balance'!$G1768)</f>
        <v/>
      </c>
      <c r="E1769" s="25" t="str">
        <f>IF($A1769="","",'Lot Balance'!$H1768)</f>
        <v/>
      </c>
      <c r="F1769" s="23" t="str">
        <f>IF($A1769="","",'Lot Balance'!$I1768)</f>
        <v/>
      </c>
      <c r="G1769" s="23" t="str">
        <f>IF($A1769="","",'Lot Balance'!$O1768)</f>
        <v/>
      </c>
      <c r="H1769" s="33" t="str">
        <f>IF($A1769="","",'Lot Balance'!$P1768)</f>
        <v/>
      </c>
      <c r="I1769" s="26" t="str">
        <f>IF($A1769="","",COUNTIFS(tblIssues[Lot Number],$B1769))</f>
        <v/>
      </c>
      <c r="J1769" s="31" t="str">
        <f>IF($A1769="","",IF('Lot Balance'!$O1768&lt;=0,"Depleted",'Lot Balance'!$Q1768))</f>
        <v/>
      </c>
    </row>
    <row r="1770" spans="1:10" x14ac:dyDescent="0.35">
      <c r="A1770" s="18" t="str">
        <f>IF('Lot Balance'!$A1769="","",'Lot Balance'!$A1769)</f>
        <v/>
      </c>
      <c r="B1770" s="18" t="str">
        <f>IF($A1770="","",'Lot Balance'!$B1769)</f>
        <v/>
      </c>
      <c r="C1770" s="18" t="str">
        <f>IF($A1770="","",'Lot Balance'!$C1769)</f>
        <v/>
      </c>
      <c r="D1770" s="25" t="str">
        <f>IF($A1770="","",'Lot Balance'!$G1769)</f>
        <v/>
      </c>
      <c r="E1770" s="25" t="str">
        <f>IF($A1770="","",'Lot Balance'!$H1769)</f>
        <v/>
      </c>
      <c r="F1770" s="23" t="str">
        <f>IF($A1770="","",'Lot Balance'!$I1769)</f>
        <v/>
      </c>
      <c r="G1770" s="23" t="str">
        <f>IF($A1770="","",'Lot Balance'!$O1769)</f>
        <v/>
      </c>
      <c r="H1770" s="33" t="str">
        <f>IF($A1770="","",'Lot Balance'!$P1769)</f>
        <v/>
      </c>
      <c r="I1770" s="26" t="str">
        <f>IF($A1770="","",COUNTIFS(tblIssues[Lot Number],$B1770))</f>
        <v/>
      </c>
      <c r="J1770" s="31" t="str">
        <f>IF($A1770="","",IF('Lot Balance'!$O1769&lt;=0,"Depleted",'Lot Balance'!$Q1769))</f>
        <v/>
      </c>
    </row>
    <row r="1771" spans="1:10" x14ac:dyDescent="0.35">
      <c r="A1771" s="18" t="str">
        <f>IF('Lot Balance'!$A1770="","",'Lot Balance'!$A1770)</f>
        <v/>
      </c>
      <c r="B1771" s="18" t="str">
        <f>IF($A1771="","",'Lot Balance'!$B1770)</f>
        <v/>
      </c>
      <c r="C1771" s="18" t="str">
        <f>IF($A1771="","",'Lot Balance'!$C1770)</f>
        <v/>
      </c>
      <c r="D1771" s="25" t="str">
        <f>IF($A1771="","",'Lot Balance'!$G1770)</f>
        <v/>
      </c>
      <c r="E1771" s="25" t="str">
        <f>IF($A1771="","",'Lot Balance'!$H1770)</f>
        <v/>
      </c>
      <c r="F1771" s="23" t="str">
        <f>IF($A1771="","",'Lot Balance'!$I1770)</f>
        <v/>
      </c>
      <c r="G1771" s="23" t="str">
        <f>IF($A1771="","",'Lot Balance'!$O1770)</f>
        <v/>
      </c>
      <c r="H1771" s="33" t="str">
        <f>IF($A1771="","",'Lot Balance'!$P1770)</f>
        <v/>
      </c>
      <c r="I1771" s="26" t="str">
        <f>IF($A1771="","",COUNTIFS(tblIssues[Lot Number],$B1771))</f>
        <v/>
      </c>
      <c r="J1771" s="31" t="str">
        <f>IF($A1771="","",IF('Lot Balance'!$O1770&lt;=0,"Depleted",'Lot Balance'!$Q1770))</f>
        <v/>
      </c>
    </row>
    <row r="1772" spans="1:10" x14ac:dyDescent="0.35">
      <c r="A1772" s="18" t="str">
        <f>IF('Lot Balance'!$A1771="","",'Lot Balance'!$A1771)</f>
        <v/>
      </c>
      <c r="B1772" s="18" t="str">
        <f>IF($A1772="","",'Lot Balance'!$B1771)</f>
        <v/>
      </c>
      <c r="C1772" s="18" t="str">
        <f>IF($A1772="","",'Lot Balance'!$C1771)</f>
        <v/>
      </c>
      <c r="D1772" s="25" t="str">
        <f>IF($A1772="","",'Lot Balance'!$G1771)</f>
        <v/>
      </c>
      <c r="E1772" s="25" t="str">
        <f>IF($A1772="","",'Lot Balance'!$H1771)</f>
        <v/>
      </c>
      <c r="F1772" s="23" t="str">
        <f>IF($A1772="","",'Lot Balance'!$I1771)</f>
        <v/>
      </c>
      <c r="G1772" s="23" t="str">
        <f>IF($A1772="","",'Lot Balance'!$O1771)</f>
        <v/>
      </c>
      <c r="H1772" s="33" t="str">
        <f>IF($A1772="","",'Lot Balance'!$P1771)</f>
        <v/>
      </c>
      <c r="I1772" s="26" t="str">
        <f>IF($A1772="","",COUNTIFS(tblIssues[Lot Number],$B1772))</f>
        <v/>
      </c>
      <c r="J1772" s="31" t="str">
        <f>IF($A1772="","",IF('Lot Balance'!$O1771&lt;=0,"Depleted",'Lot Balance'!$Q1771))</f>
        <v/>
      </c>
    </row>
    <row r="1773" spans="1:10" x14ac:dyDescent="0.35">
      <c r="A1773" s="18" t="str">
        <f>IF('Lot Balance'!$A1772="","",'Lot Balance'!$A1772)</f>
        <v/>
      </c>
      <c r="B1773" s="18" t="str">
        <f>IF($A1773="","",'Lot Balance'!$B1772)</f>
        <v/>
      </c>
      <c r="C1773" s="18" t="str">
        <f>IF($A1773="","",'Lot Balance'!$C1772)</f>
        <v/>
      </c>
      <c r="D1773" s="25" t="str">
        <f>IF($A1773="","",'Lot Balance'!$G1772)</f>
        <v/>
      </c>
      <c r="E1773" s="25" t="str">
        <f>IF($A1773="","",'Lot Balance'!$H1772)</f>
        <v/>
      </c>
      <c r="F1773" s="23" t="str">
        <f>IF($A1773="","",'Lot Balance'!$I1772)</f>
        <v/>
      </c>
      <c r="G1773" s="23" t="str">
        <f>IF($A1773="","",'Lot Balance'!$O1772)</f>
        <v/>
      </c>
      <c r="H1773" s="33" t="str">
        <f>IF($A1773="","",'Lot Balance'!$P1772)</f>
        <v/>
      </c>
      <c r="I1773" s="26" t="str">
        <f>IF($A1773="","",COUNTIFS(tblIssues[Lot Number],$B1773))</f>
        <v/>
      </c>
      <c r="J1773" s="31" t="str">
        <f>IF($A1773="","",IF('Lot Balance'!$O1772&lt;=0,"Depleted",'Lot Balance'!$Q1772))</f>
        <v/>
      </c>
    </row>
    <row r="1774" spans="1:10" x14ac:dyDescent="0.35">
      <c r="A1774" s="18" t="str">
        <f>IF('Lot Balance'!$A1773="","",'Lot Balance'!$A1773)</f>
        <v/>
      </c>
      <c r="B1774" s="18" t="str">
        <f>IF($A1774="","",'Lot Balance'!$B1773)</f>
        <v/>
      </c>
      <c r="C1774" s="18" t="str">
        <f>IF($A1774="","",'Lot Balance'!$C1773)</f>
        <v/>
      </c>
      <c r="D1774" s="25" t="str">
        <f>IF($A1774="","",'Lot Balance'!$G1773)</f>
        <v/>
      </c>
      <c r="E1774" s="25" t="str">
        <f>IF($A1774="","",'Lot Balance'!$H1773)</f>
        <v/>
      </c>
      <c r="F1774" s="23" t="str">
        <f>IF($A1774="","",'Lot Balance'!$I1773)</f>
        <v/>
      </c>
      <c r="G1774" s="23" t="str">
        <f>IF($A1774="","",'Lot Balance'!$O1773)</f>
        <v/>
      </c>
      <c r="H1774" s="33" t="str">
        <f>IF($A1774="","",'Lot Balance'!$P1773)</f>
        <v/>
      </c>
      <c r="I1774" s="26" t="str">
        <f>IF($A1774="","",COUNTIFS(tblIssues[Lot Number],$B1774))</f>
        <v/>
      </c>
      <c r="J1774" s="31" t="str">
        <f>IF($A1774="","",IF('Lot Balance'!$O1773&lt;=0,"Depleted",'Lot Balance'!$Q1773))</f>
        <v/>
      </c>
    </row>
    <row r="1775" spans="1:10" x14ac:dyDescent="0.35">
      <c r="A1775" s="18" t="str">
        <f>IF('Lot Balance'!$A1774="","",'Lot Balance'!$A1774)</f>
        <v/>
      </c>
      <c r="B1775" s="18" t="str">
        <f>IF($A1775="","",'Lot Balance'!$B1774)</f>
        <v/>
      </c>
      <c r="C1775" s="18" t="str">
        <f>IF($A1775="","",'Lot Balance'!$C1774)</f>
        <v/>
      </c>
      <c r="D1775" s="25" t="str">
        <f>IF($A1775="","",'Lot Balance'!$G1774)</f>
        <v/>
      </c>
      <c r="E1775" s="25" t="str">
        <f>IF($A1775="","",'Lot Balance'!$H1774)</f>
        <v/>
      </c>
      <c r="F1775" s="23" t="str">
        <f>IF($A1775="","",'Lot Balance'!$I1774)</f>
        <v/>
      </c>
      <c r="G1775" s="23" t="str">
        <f>IF($A1775="","",'Lot Balance'!$O1774)</f>
        <v/>
      </c>
      <c r="H1775" s="33" t="str">
        <f>IF($A1775="","",'Lot Balance'!$P1774)</f>
        <v/>
      </c>
      <c r="I1775" s="26" t="str">
        <f>IF($A1775="","",COUNTIFS(tblIssues[Lot Number],$B1775))</f>
        <v/>
      </c>
      <c r="J1775" s="31" t="str">
        <f>IF($A1775="","",IF('Lot Balance'!$O1774&lt;=0,"Depleted",'Lot Balance'!$Q1774))</f>
        <v/>
      </c>
    </row>
    <row r="1776" spans="1:10" x14ac:dyDescent="0.35">
      <c r="A1776" s="18" t="str">
        <f>IF('Lot Balance'!$A1775="","",'Lot Balance'!$A1775)</f>
        <v/>
      </c>
      <c r="B1776" s="18" t="str">
        <f>IF($A1776="","",'Lot Balance'!$B1775)</f>
        <v/>
      </c>
      <c r="C1776" s="18" t="str">
        <f>IF($A1776="","",'Lot Balance'!$C1775)</f>
        <v/>
      </c>
      <c r="D1776" s="25" t="str">
        <f>IF($A1776="","",'Lot Balance'!$G1775)</f>
        <v/>
      </c>
      <c r="E1776" s="25" t="str">
        <f>IF($A1776="","",'Lot Balance'!$H1775)</f>
        <v/>
      </c>
      <c r="F1776" s="23" t="str">
        <f>IF($A1776="","",'Lot Balance'!$I1775)</f>
        <v/>
      </c>
      <c r="G1776" s="23" t="str">
        <f>IF($A1776="","",'Lot Balance'!$O1775)</f>
        <v/>
      </c>
      <c r="H1776" s="33" t="str">
        <f>IF($A1776="","",'Lot Balance'!$P1775)</f>
        <v/>
      </c>
      <c r="I1776" s="26" t="str">
        <f>IF($A1776="","",COUNTIFS(tblIssues[Lot Number],$B1776))</f>
        <v/>
      </c>
      <c r="J1776" s="31" t="str">
        <f>IF($A1776="","",IF('Lot Balance'!$O1775&lt;=0,"Depleted",'Lot Balance'!$Q1775))</f>
        <v/>
      </c>
    </row>
    <row r="1777" spans="1:10" x14ac:dyDescent="0.35">
      <c r="A1777" s="18" t="str">
        <f>IF('Lot Balance'!$A1776="","",'Lot Balance'!$A1776)</f>
        <v/>
      </c>
      <c r="B1777" s="18" t="str">
        <f>IF($A1777="","",'Lot Balance'!$B1776)</f>
        <v/>
      </c>
      <c r="C1777" s="18" t="str">
        <f>IF($A1777="","",'Lot Balance'!$C1776)</f>
        <v/>
      </c>
      <c r="D1777" s="25" t="str">
        <f>IF($A1777="","",'Lot Balance'!$G1776)</f>
        <v/>
      </c>
      <c r="E1777" s="25" t="str">
        <f>IF($A1777="","",'Lot Balance'!$H1776)</f>
        <v/>
      </c>
      <c r="F1777" s="23" t="str">
        <f>IF($A1777="","",'Lot Balance'!$I1776)</f>
        <v/>
      </c>
      <c r="G1777" s="23" t="str">
        <f>IF($A1777="","",'Lot Balance'!$O1776)</f>
        <v/>
      </c>
      <c r="H1777" s="33" t="str">
        <f>IF($A1777="","",'Lot Balance'!$P1776)</f>
        <v/>
      </c>
      <c r="I1777" s="26" t="str">
        <f>IF($A1777="","",COUNTIFS(tblIssues[Lot Number],$B1777))</f>
        <v/>
      </c>
      <c r="J1777" s="31" t="str">
        <f>IF($A1777="","",IF('Lot Balance'!$O1776&lt;=0,"Depleted",'Lot Balance'!$Q1776))</f>
        <v/>
      </c>
    </row>
    <row r="1778" spans="1:10" x14ac:dyDescent="0.35">
      <c r="A1778" s="18" t="str">
        <f>IF('Lot Balance'!$A1777="","",'Lot Balance'!$A1777)</f>
        <v/>
      </c>
      <c r="B1778" s="18" t="str">
        <f>IF($A1778="","",'Lot Balance'!$B1777)</f>
        <v/>
      </c>
      <c r="C1778" s="18" t="str">
        <f>IF($A1778="","",'Lot Balance'!$C1777)</f>
        <v/>
      </c>
      <c r="D1778" s="25" t="str">
        <f>IF($A1778="","",'Lot Balance'!$G1777)</f>
        <v/>
      </c>
      <c r="E1778" s="25" t="str">
        <f>IF($A1778="","",'Lot Balance'!$H1777)</f>
        <v/>
      </c>
      <c r="F1778" s="23" t="str">
        <f>IF($A1778="","",'Lot Balance'!$I1777)</f>
        <v/>
      </c>
      <c r="G1778" s="23" t="str">
        <f>IF($A1778="","",'Lot Balance'!$O1777)</f>
        <v/>
      </c>
      <c r="H1778" s="33" t="str">
        <f>IF($A1778="","",'Lot Balance'!$P1777)</f>
        <v/>
      </c>
      <c r="I1778" s="26" t="str">
        <f>IF($A1778="","",COUNTIFS(tblIssues[Lot Number],$B1778))</f>
        <v/>
      </c>
      <c r="J1778" s="31" t="str">
        <f>IF($A1778="","",IF('Lot Balance'!$O1777&lt;=0,"Depleted",'Lot Balance'!$Q1777))</f>
        <v/>
      </c>
    </row>
    <row r="1779" spans="1:10" x14ac:dyDescent="0.35">
      <c r="A1779" s="18" t="str">
        <f>IF('Lot Balance'!$A1778="","",'Lot Balance'!$A1778)</f>
        <v/>
      </c>
      <c r="B1779" s="18" t="str">
        <f>IF($A1779="","",'Lot Balance'!$B1778)</f>
        <v/>
      </c>
      <c r="C1779" s="18" t="str">
        <f>IF($A1779="","",'Lot Balance'!$C1778)</f>
        <v/>
      </c>
      <c r="D1779" s="25" t="str">
        <f>IF($A1779="","",'Lot Balance'!$G1778)</f>
        <v/>
      </c>
      <c r="E1779" s="25" t="str">
        <f>IF($A1779="","",'Lot Balance'!$H1778)</f>
        <v/>
      </c>
      <c r="F1779" s="23" t="str">
        <f>IF($A1779="","",'Lot Balance'!$I1778)</f>
        <v/>
      </c>
      <c r="G1779" s="23" t="str">
        <f>IF($A1779="","",'Lot Balance'!$O1778)</f>
        <v/>
      </c>
      <c r="H1779" s="33" t="str">
        <f>IF($A1779="","",'Lot Balance'!$P1778)</f>
        <v/>
      </c>
      <c r="I1779" s="26" t="str">
        <f>IF($A1779="","",COUNTIFS(tblIssues[Lot Number],$B1779))</f>
        <v/>
      </c>
      <c r="J1779" s="31" t="str">
        <f>IF($A1779="","",IF('Lot Balance'!$O1778&lt;=0,"Depleted",'Lot Balance'!$Q1778))</f>
        <v/>
      </c>
    </row>
    <row r="1780" spans="1:10" x14ac:dyDescent="0.35">
      <c r="A1780" s="18" t="str">
        <f>IF('Lot Balance'!$A1779="","",'Lot Balance'!$A1779)</f>
        <v/>
      </c>
      <c r="B1780" s="18" t="str">
        <f>IF($A1780="","",'Lot Balance'!$B1779)</f>
        <v/>
      </c>
      <c r="C1780" s="18" t="str">
        <f>IF($A1780="","",'Lot Balance'!$C1779)</f>
        <v/>
      </c>
      <c r="D1780" s="25" t="str">
        <f>IF($A1780="","",'Lot Balance'!$G1779)</f>
        <v/>
      </c>
      <c r="E1780" s="25" t="str">
        <f>IF($A1780="","",'Lot Balance'!$H1779)</f>
        <v/>
      </c>
      <c r="F1780" s="23" t="str">
        <f>IF($A1780="","",'Lot Balance'!$I1779)</f>
        <v/>
      </c>
      <c r="G1780" s="23" t="str">
        <f>IF($A1780="","",'Lot Balance'!$O1779)</f>
        <v/>
      </c>
      <c r="H1780" s="33" t="str">
        <f>IF($A1780="","",'Lot Balance'!$P1779)</f>
        <v/>
      </c>
      <c r="I1780" s="26" t="str">
        <f>IF($A1780="","",COUNTIFS(tblIssues[Lot Number],$B1780))</f>
        <v/>
      </c>
      <c r="J1780" s="31" t="str">
        <f>IF($A1780="","",IF('Lot Balance'!$O1779&lt;=0,"Depleted",'Lot Balance'!$Q1779))</f>
        <v/>
      </c>
    </row>
    <row r="1781" spans="1:10" x14ac:dyDescent="0.35">
      <c r="A1781" s="18" t="str">
        <f>IF('Lot Balance'!$A1780="","",'Lot Balance'!$A1780)</f>
        <v/>
      </c>
      <c r="B1781" s="18" t="str">
        <f>IF($A1781="","",'Lot Balance'!$B1780)</f>
        <v/>
      </c>
      <c r="C1781" s="18" t="str">
        <f>IF($A1781="","",'Lot Balance'!$C1780)</f>
        <v/>
      </c>
      <c r="D1781" s="25" t="str">
        <f>IF($A1781="","",'Lot Balance'!$G1780)</f>
        <v/>
      </c>
      <c r="E1781" s="25" t="str">
        <f>IF($A1781="","",'Lot Balance'!$H1780)</f>
        <v/>
      </c>
      <c r="F1781" s="23" t="str">
        <f>IF($A1781="","",'Lot Balance'!$I1780)</f>
        <v/>
      </c>
      <c r="G1781" s="23" t="str">
        <f>IF($A1781="","",'Lot Balance'!$O1780)</f>
        <v/>
      </c>
      <c r="H1781" s="33" t="str">
        <f>IF($A1781="","",'Lot Balance'!$P1780)</f>
        <v/>
      </c>
      <c r="I1781" s="26" t="str">
        <f>IF($A1781="","",COUNTIFS(tblIssues[Lot Number],$B1781))</f>
        <v/>
      </c>
      <c r="J1781" s="31" t="str">
        <f>IF($A1781="","",IF('Lot Balance'!$O1780&lt;=0,"Depleted",'Lot Balance'!$Q1780))</f>
        <v/>
      </c>
    </row>
    <row r="1782" spans="1:10" x14ac:dyDescent="0.35">
      <c r="A1782" s="18" t="str">
        <f>IF('Lot Balance'!$A1781="","",'Lot Balance'!$A1781)</f>
        <v/>
      </c>
      <c r="B1782" s="18" t="str">
        <f>IF($A1782="","",'Lot Balance'!$B1781)</f>
        <v/>
      </c>
      <c r="C1782" s="18" t="str">
        <f>IF($A1782="","",'Lot Balance'!$C1781)</f>
        <v/>
      </c>
      <c r="D1782" s="25" t="str">
        <f>IF($A1782="","",'Lot Balance'!$G1781)</f>
        <v/>
      </c>
      <c r="E1782" s="25" t="str">
        <f>IF($A1782="","",'Lot Balance'!$H1781)</f>
        <v/>
      </c>
      <c r="F1782" s="23" t="str">
        <f>IF($A1782="","",'Lot Balance'!$I1781)</f>
        <v/>
      </c>
      <c r="G1782" s="23" t="str">
        <f>IF($A1782="","",'Lot Balance'!$O1781)</f>
        <v/>
      </c>
      <c r="H1782" s="33" t="str">
        <f>IF($A1782="","",'Lot Balance'!$P1781)</f>
        <v/>
      </c>
      <c r="I1782" s="26" t="str">
        <f>IF($A1782="","",COUNTIFS(tblIssues[Lot Number],$B1782))</f>
        <v/>
      </c>
      <c r="J1782" s="31" t="str">
        <f>IF($A1782="","",IF('Lot Balance'!$O1781&lt;=0,"Depleted",'Lot Balance'!$Q1781))</f>
        <v/>
      </c>
    </row>
    <row r="1783" spans="1:10" x14ac:dyDescent="0.35">
      <c r="A1783" s="18" t="str">
        <f>IF('Lot Balance'!$A1782="","",'Lot Balance'!$A1782)</f>
        <v/>
      </c>
      <c r="B1783" s="18" t="str">
        <f>IF($A1783="","",'Lot Balance'!$B1782)</f>
        <v/>
      </c>
      <c r="C1783" s="18" t="str">
        <f>IF($A1783="","",'Lot Balance'!$C1782)</f>
        <v/>
      </c>
      <c r="D1783" s="25" t="str">
        <f>IF($A1783="","",'Lot Balance'!$G1782)</f>
        <v/>
      </c>
      <c r="E1783" s="25" t="str">
        <f>IF($A1783="","",'Lot Balance'!$H1782)</f>
        <v/>
      </c>
      <c r="F1783" s="23" t="str">
        <f>IF($A1783="","",'Lot Balance'!$I1782)</f>
        <v/>
      </c>
      <c r="G1783" s="23" t="str">
        <f>IF($A1783="","",'Lot Balance'!$O1782)</f>
        <v/>
      </c>
      <c r="H1783" s="33" t="str">
        <f>IF($A1783="","",'Lot Balance'!$P1782)</f>
        <v/>
      </c>
      <c r="I1783" s="26" t="str">
        <f>IF($A1783="","",COUNTIFS(tblIssues[Lot Number],$B1783))</f>
        <v/>
      </c>
      <c r="J1783" s="31" t="str">
        <f>IF($A1783="","",IF('Lot Balance'!$O1782&lt;=0,"Depleted",'Lot Balance'!$Q1782))</f>
        <v/>
      </c>
    </row>
    <row r="1784" spans="1:10" x14ac:dyDescent="0.35">
      <c r="A1784" s="18" t="str">
        <f>IF('Lot Balance'!$A1783="","",'Lot Balance'!$A1783)</f>
        <v/>
      </c>
      <c r="B1784" s="18" t="str">
        <f>IF($A1784="","",'Lot Balance'!$B1783)</f>
        <v/>
      </c>
      <c r="C1784" s="18" t="str">
        <f>IF($A1784="","",'Lot Balance'!$C1783)</f>
        <v/>
      </c>
      <c r="D1784" s="25" t="str">
        <f>IF($A1784="","",'Lot Balance'!$G1783)</f>
        <v/>
      </c>
      <c r="E1784" s="25" t="str">
        <f>IF($A1784="","",'Lot Balance'!$H1783)</f>
        <v/>
      </c>
      <c r="F1784" s="23" t="str">
        <f>IF($A1784="","",'Lot Balance'!$I1783)</f>
        <v/>
      </c>
      <c r="G1784" s="23" t="str">
        <f>IF($A1784="","",'Lot Balance'!$O1783)</f>
        <v/>
      </c>
      <c r="H1784" s="33" t="str">
        <f>IF($A1784="","",'Lot Balance'!$P1783)</f>
        <v/>
      </c>
      <c r="I1784" s="26" t="str">
        <f>IF($A1784="","",COUNTIFS(tblIssues[Lot Number],$B1784))</f>
        <v/>
      </c>
      <c r="J1784" s="31" t="str">
        <f>IF($A1784="","",IF('Lot Balance'!$O1783&lt;=0,"Depleted",'Lot Balance'!$Q1783))</f>
        <v/>
      </c>
    </row>
    <row r="1785" spans="1:10" x14ac:dyDescent="0.35">
      <c r="A1785" s="18" t="str">
        <f>IF('Lot Balance'!$A1784="","",'Lot Balance'!$A1784)</f>
        <v/>
      </c>
      <c r="B1785" s="18" t="str">
        <f>IF($A1785="","",'Lot Balance'!$B1784)</f>
        <v/>
      </c>
      <c r="C1785" s="18" t="str">
        <f>IF($A1785="","",'Lot Balance'!$C1784)</f>
        <v/>
      </c>
      <c r="D1785" s="25" t="str">
        <f>IF($A1785="","",'Lot Balance'!$G1784)</f>
        <v/>
      </c>
      <c r="E1785" s="25" t="str">
        <f>IF($A1785="","",'Lot Balance'!$H1784)</f>
        <v/>
      </c>
      <c r="F1785" s="23" t="str">
        <f>IF($A1785="","",'Lot Balance'!$I1784)</f>
        <v/>
      </c>
      <c r="G1785" s="23" t="str">
        <f>IF($A1785="","",'Lot Balance'!$O1784)</f>
        <v/>
      </c>
      <c r="H1785" s="33" t="str">
        <f>IF($A1785="","",'Lot Balance'!$P1784)</f>
        <v/>
      </c>
      <c r="I1785" s="26" t="str">
        <f>IF($A1785="","",COUNTIFS(tblIssues[Lot Number],$B1785))</f>
        <v/>
      </c>
      <c r="J1785" s="31" t="str">
        <f>IF($A1785="","",IF('Lot Balance'!$O1784&lt;=0,"Depleted",'Lot Balance'!$Q1784))</f>
        <v/>
      </c>
    </row>
    <row r="1786" spans="1:10" x14ac:dyDescent="0.35">
      <c r="A1786" s="18" t="str">
        <f>IF('Lot Balance'!$A1785="","",'Lot Balance'!$A1785)</f>
        <v/>
      </c>
      <c r="B1786" s="18" t="str">
        <f>IF($A1786="","",'Lot Balance'!$B1785)</f>
        <v/>
      </c>
      <c r="C1786" s="18" t="str">
        <f>IF($A1786="","",'Lot Balance'!$C1785)</f>
        <v/>
      </c>
      <c r="D1786" s="25" t="str">
        <f>IF($A1786="","",'Lot Balance'!$G1785)</f>
        <v/>
      </c>
      <c r="E1786" s="25" t="str">
        <f>IF($A1786="","",'Lot Balance'!$H1785)</f>
        <v/>
      </c>
      <c r="F1786" s="23" t="str">
        <f>IF($A1786="","",'Lot Balance'!$I1785)</f>
        <v/>
      </c>
      <c r="G1786" s="23" t="str">
        <f>IF($A1786="","",'Lot Balance'!$O1785)</f>
        <v/>
      </c>
      <c r="H1786" s="33" t="str">
        <f>IF($A1786="","",'Lot Balance'!$P1785)</f>
        <v/>
      </c>
      <c r="I1786" s="26" t="str">
        <f>IF($A1786="","",COUNTIFS(tblIssues[Lot Number],$B1786))</f>
        <v/>
      </c>
      <c r="J1786" s="31" t="str">
        <f>IF($A1786="","",IF('Lot Balance'!$O1785&lt;=0,"Depleted",'Lot Balance'!$Q1785))</f>
        <v/>
      </c>
    </row>
    <row r="1787" spans="1:10" x14ac:dyDescent="0.35">
      <c r="A1787" s="18" t="str">
        <f>IF('Lot Balance'!$A1786="","",'Lot Balance'!$A1786)</f>
        <v/>
      </c>
      <c r="B1787" s="18" t="str">
        <f>IF($A1787="","",'Lot Balance'!$B1786)</f>
        <v/>
      </c>
      <c r="C1787" s="18" t="str">
        <f>IF($A1787="","",'Lot Balance'!$C1786)</f>
        <v/>
      </c>
      <c r="D1787" s="25" t="str">
        <f>IF($A1787="","",'Lot Balance'!$G1786)</f>
        <v/>
      </c>
      <c r="E1787" s="25" t="str">
        <f>IF($A1787="","",'Lot Balance'!$H1786)</f>
        <v/>
      </c>
      <c r="F1787" s="23" t="str">
        <f>IF($A1787="","",'Lot Balance'!$I1786)</f>
        <v/>
      </c>
      <c r="G1787" s="23" t="str">
        <f>IF($A1787="","",'Lot Balance'!$O1786)</f>
        <v/>
      </c>
      <c r="H1787" s="33" t="str">
        <f>IF($A1787="","",'Lot Balance'!$P1786)</f>
        <v/>
      </c>
      <c r="I1787" s="26" t="str">
        <f>IF($A1787="","",COUNTIFS(tblIssues[Lot Number],$B1787))</f>
        <v/>
      </c>
      <c r="J1787" s="31" t="str">
        <f>IF($A1787="","",IF('Lot Balance'!$O1786&lt;=0,"Depleted",'Lot Balance'!$Q1786))</f>
        <v/>
      </c>
    </row>
    <row r="1788" spans="1:10" x14ac:dyDescent="0.35">
      <c r="A1788" s="18" t="str">
        <f>IF('Lot Balance'!$A1787="","",'Lot Balance'!$A1787)</f>
        <v/>
      </c>
      <c r="B1788" s="18" t="str">
        <f>IF($A1788="","",'Lot Balance'!$B1787)</f>
        <v/>
      </c>
      <c r="C1788" s="18" t="str">
        <f>IF($A1788="","",'Lot Balance'!$C1787)</f>
        <v/>
      </c>
      <c r="D1788" s="25" t="str">
        <f>IF($A1788="","",'Lot Balance'!$G1787)</f>
        <v/>
      </c>
      <c r="E1788" s="25" t="str">
        <f>IF($A1788="","",'Lot Balance'!$H1787)</f>
        <v/>
      </c>
      <c r="F1788" s="23" t="str">
        <f>IF($A1788="","",'Lot Balance'!$I1787)</f>
        <v/>
      </c>
      <c r="G1788" s="23" t="str">
        <f>IF($A1788="","",'Lot Balance'!$O1787)</f>
        <v/>
      </c>
      <c r="H1788" s="33" t="str">
        <f>IF($A1788="","",'Lot Balance'!$P1787)</f>
        <v/>
      </c>
      <c r="I1788" s="26" t="str">
        <f>IF($A1788="","",COUNTIFS(tblIssues[Lot Number],$B1788))</f>
        <v/>
      </c>
      <c r="J1788" s="31" t="str">
        <f>IF($A1788="","",IF('Lot Balance'!$O1787&lt;=0,"Depleted",'Lot Balance'!$Q1787))</f>
        <v/>
      </c>
    </row>
    <row r="1789" spans="1:10" x14ac:dyDescent="0.35">
      <c r="A1789" s="18" t="str">
        <f>IF('Lot Balance'!$A1788="","",'Lot Balance'!$A1788)</f>
        <v/>
      </c>
      <c r="B1789" s="18" t="str">
        <f>IF($A1789="","",'Lot Balance'!$B1788)</f>
        <v/>
      </c>
      <c r="C1789" s="18" t="str">
        <f>IF($A1789="","",'Lot Balance'!$C1788)</f>
        <v/>
      </c>
      <c r="D1789" s="25" t="str">
        <f>IF($A1789="","",'Lot Balance'!$G1788)</f>
        <v/>
      </c>
      <c r="E1789" s="25" t="str">
        <f>IF($A1789="","",'Lot Balance'!$H1788)</f>
        <v/>
      </c>
      <c r="F1789" s="23" t="str">
        <f>IF($A1789="","",'Lot Balance'!$I1788)</f>
        <v/>
      </c>
      <c r="G1789" s="23" t="str">
        <f>IF($A1789="","",'Lot Balance'!$O1788)</f>
        <v/>
      </c>
      <c r="H1789" s="33" t="str">
        <f>IF($A1789="","",'Lot Balance'!$P1788)</f>
        <v/>
      </c>
      <c r="I1789" s="26" t="str">
        <f>IF($A1789="","",COUNTIFS(tblIssues[Lot Number],$B1789))</f>
        <v/>
      </c>
      <c r="J1789" s="31" t="str">
        <f>IF($A1789="","",IF('Lot Balance'!$O1788&lt;=0,"Depleted",'Lot Balance'!$Q1788))</f>
        <v/>
      </c>
    </row>
    <row r="1790" spans="1:10" x14ac:dyDescent="0.35">
      <c r="A1790" s="18" t="str">
        <f>IF('Lot Balance'!$A1789="","",'Lot Balance'!$A1789)</f>
        <v/>
      </c>
      <c r="B1790" s="18" t="str">
        <f>IF($A1790="","",'Lot Balance'!$B1789)</f>
        <v/>
      </c>
      <c r="C1790" s="18" t="str">
        <f>IF($A1790="","",'Lot Balance'!$C1789)</f>
        <v/>
      </c>
      <c r="D1790" s="25" t="str">
        <f>IF($A1790="","",'Lot Balance'!$G1789)</f>
        <v/>
      </c>
      <c r="E1790" s="25" t="str">
        <f>IF($A1790="","",'Lot Balance'!$H1789)</f>
        <v/>
      </c>
      <c r="F1790" s="23" t="str">
        <f>IF($A1790="","",'Lot Balance'!$I1789)</f>
        <v/>
      </c>
      <c r="G1790" s="23" t="str">
        <f>IF($A1790="","",'Lot Balance'!$O1789)</f>
        <v/>
      </c>
      <c r="H1790" s="33" t="str">
        <f>IF($A1790="","",'Lot Balance'!$P1789)</f>
        <v/>
      </c>
      <c r="I1790" s="26" t="str">
        <f>IF($A1790="","",COUNTIFS(tblIssues[Lot Number],$B1790))</f>
        <v/>
      </c>
      <c r="J1790" s="31" t="str">
        <f>IF($A1790="","",IF('Lot Balance'!$O1789&lt;=0,"Depleted",'Lot Balance'!$Q1789))</f>
        <v/>
      </c>
    </row>
    <row r="1791" spans="1:10" x14ac:dyDescent="0.35">
      <c r="A1791" s="18" t="str">
        <f>IF('Lot Balance'!$A1790="","",'Lot Balance'!$A1790)</f>
        <v/>
      </c>
      <c r="B1791" s="18" t="str">
        <f>IF($A1791="","",'Lot Balance'!$B1790)</f>
        <v/>
      </c>
      <c r="C1791" s="18" t="str">
        <f>IF($A1791="","",'Lot Balance'!$C1790)</f>
        <v/>
      </c>
      <c r="D1791" s="25" t="str">
        <f>IF($A1791="","",'Lot Balance'!$G1790)</f>
        <v/>
      </c>
      <c r="E1791" s="25" t="str">
        <f>IF($A1791="","",'Lot Balance'!$H1790)</f>
        <v/>
      </c>
      <c r="F1791" s="23" t="str">
        <f>IF($A1791="","",'Lot Balance'!$I1790)</f>
        <v/>
      </c>
      <c r="G1791" s="23" t="str">
        <f>IF($A1791="","",'Lot Balance'!$O1790)</f>
        <v/>
      </c>
      <c r="H1791" s="33" t="str">
        <f>IF($A1791="","",'Lot Balance'!$P1790)</f>
        <v/>
      </c>
      <c r="I1791" s="26" t="str">
        <f>IF($A1791="","",COUNTIFS(tblIssues[Lot Number],$B1791))</f>
        <v/>
      </c>
      <c r="J1791" s="31" t="str">
        <f>IF($A1791="","",IF('Lot Balance'!$O1790&lt;=0,"Depleted",'Lot Balance'!$Q1790))</f>
        <v/>
      </c>
    </row>
    <row r="1792" spans="1:10" x14ac:dyDescent="0.35">
      <c r="A1792" s="18" t="str">
        <f>IF('Lot Balance'!$A1791="","",'Lot Balance'!$A1791)</f>
        <v/>
      </c>
      <c r="B1792" s="18" t="str">
        <f>IF($A1792="","",'Lot Balance'!$B1791)</f>
        <v/>
      </c>
      <c r="C1792" s="18" t="str">
        <f>IF($A1792="","",'Lot Balance'!$C1791)</f>
        <v/>
      </c>
      <c r="D1792" s="25" t="str">
        <f>IF($A1792="","",'Lot Balance'!$G1791)</f>
        <v/>
      </c>
      <c r="E1792" s="25" t="str">
        <f>IF($A1792="","",'Lot Balance'!$H1791)</f>
        <v/>
      </c>
      <c r="F1792" s="23" t="str">
        <f>IF($A1792="","",'Lot Balance'!$I1791)</f>
        <v/>
      </c>
      <c r="G1792" s="23" t="str">
        <f>IF($A1792="","",'Lot Balance'!$O1791)</f>
        <v/>
      </c>
      <c r="H1792" s="33" t="str">
        <f>IF($A1792="","",'Lot Balance'!$P1791)</f>
        <v/>
      </c>
      <c r="I1792" s="26" t="str">
        <f>IF($A1792="","",COUNTIFS(tblIssues[Lot Number],$B1792))</f>
        <v/>
      </c>
      <c r="J1792" s="31" t="str">
        <f>IF($A1792="","",IF('Lot Balance'!$O1791&lt;=0,"Depleted",'Lot Balance'!$Q1791))</f>
        <v/>
      </c>
    </row>
    <row r="1793" spans="1:10" x14ac:dyDescent="0.35">
      <c r="A1793" s="18" t="str">
        <f>IF('Lot Balance'!$A1792="","",'Lot Balance'!$A1792)</f>
        <v/>
      </c>
      <c r="B1793" s="18" t="str">
        <f>IF($A1793="","",'Lot Balance'!$B1792)</f>
        <v/>
      </c>
      <c r="C1793" s="18" t="str">
        <f>IF($A1793="","",'Lot Balance'!$C1792)</f>
        <v/>
      </c>
      <c r="D1793" s="25" t="str">
        <f>IF($A1793="","",'Lot Balance'!$G1792)</f>
        <v/>
      </c>
      <c r="E1793" s="25" t="str">
        <f>IF($A1793="","",'Lot Balance'!$H1792)</f>
        <v/>
      </c>
      <c r="F1793" s="23" t="str">
        <f>IF($A1793="","",'Lot Balance'!$I1792)</f>
        <v/>
      </c>
      <c r="G1793" s="23" t="str">
        <f>IF($A1793="","",'Lot Balance'!$O1792)</f>
        <v/>
      </c>
      <c r="H1793" s="33" t="str">
        <f>IF($A1793="","",'Lot Balance'!$P1792)</f>
        <v/>
      </c>
      <c r="I1793" s="26" t="str">
        <f>IF($A1793="","",COUNTIFS(tblIssues[Lot Number],$B1793))</f>
        <v/>
      </c>
      <c r="J1793" s="31" t="str">
        <f>IF($A1793="","",IF('Lot Balance'!$O1792&lt;=0,"Depleted",'Lot Balance'!$Q1792))</f>
        <v/>
      </c>
    </row>
    <row r="1794" spans="1:10" x14ac:dyDescent="0.35">
      <c r="A1794" s="18" t="str">
        <f>IF('Lot Balance'!$A1793="","",'Lot Balance'!$A1793)</f>
        <v/>
      </c>
      <c r="B1794" s="18" t="str">
        <f>IF($A1794="","",'Lot Balance'!$B1793)</f>
        <v/>
      </c>
      <c r="C1794" s="18" t="str">
        <f>IF($A1794="","",'Lot Balance'!$C1793)</f>
        <v/>
      </c>
      <c r="D1794" s="25" t="str">
        <f>IF($A1794="","",'Lot Balance'!$G1793)</f>
        <v/>
      </c>
      <c r="E1794" s="25" t="str">
        <f>IF($A1794="","",'Lot Balance'!$H1793)</f>
        <v/>
      </c>
      <c r="F1794" s="23" t="str">
        <f>IF($A1794="","",'Lot Balance'!$I1793)</f>
        <v/>
      </c>
      <c r="G1794" s="23" t="str">
        <f>IF($A1794="","",'Lot Balance'!$O1793)</f>
        <v/>
      </c>
      <c r="H1794" s="33" t="str">
        <f>IF($A1794="","",'Lot Balance'!$P1793)</f>
        <v/>
      </c>
      <c r="I1794" s="26" t="str">
        <f>IF($A1794="","",COUNTIFS(tblIssues[Lot Number],$B1794))</f>
        <v/>
      </c>
      <c r="J1794" s="31" t="str">
        <f>IF($A1794="","",IF('Lot Balance'!$O1793&lt;=0,"Depleted",'Lot Balance'!$Q1793))</f>
        <v/>
      </c>
    </row>
    <row r="1795" spans="1:10" x14ac:dyDescent="0.35">
      <c r="A1795" s="18" t="str">
        <f>IF('Lot Balance'!$A1794="","",'Lot Balance'!$A1794)</f>
        <v/>
      </c>
      <c r="B1795" s="18" t="str">
        <f>IF($A1795="","",'Lot Balance'!$B1794)</f>
        <v/>
      </c>
      <c r="C1795" s="18" t="str">
        <f>IF($A1795="","",'Lot Balance'!$C1794)</f>
        <v/>
      </c>
      <c r="D1795" s="25" t="str">
        <f>IF($A1795="","",'Lot Balance'!$G1794)</f>
        <v/>
      </c>
      <c r="E1795" s="25" t="str">
        <f>IF($A1795="","",'Lot Balance'!$H1794)</f>
        <v/>
      </c>
      <c r="F1795" s="23" t="str">
        <f>IF($A1795="","",'Lot Balance'!$I1794)</f>
        <v/>
      </c>
      <c r="G1795" s="23" t="str">
        <f>IF($A1795="","",'Lot Balance'!$O1794)</f>
        <v/>
      </c>
      <c r="H1795" s="33" t="str">
        <f>IF($A1795="","",'Lot Balance'!$P1794)</f>
        <v/>
      </c>
      <c r="I1795" s="26" t="str">
        <f>IF($A1795="","",COUNTIFS(tblIssues[Lot Number],$B1795))</f>
        <v/>
      </c>
      <c r="J1795" s="31" t="str">
        <f>IF($A1795="","",IF('Lot Balance'!$O1794&lt;=0,"Depleted",'Lot Balance'!$Q1794))</f>
        <v/>
      </c>
    </row>
    <row r="1796" spans="1:10" x14ac:dyDescent="0.35">
      <c r="A1796" s="18" t="str">
        <f>IF('Lot Balance'!$A1795="","",'Lot Balance'!$A1795)</f>
        <v/>
      </c>
      <c r="B1796" s="18" t="str">
        <f>IF($A1796="","",'Lot Balance'!$B1795)</f>
        <v/>
      </c>
      <c r="C1796" s="18" t="str">
        <f>IF($A1796="","",'Lot Balance'!$C1795)</f>
        <v/>
      </c>
      <c r="D1796" s="25" t="str">
        <f>IF($A1796="","",'Lot Balance'!$G1795)</f>
        <v/>
      </c>
      <c r="E1796" s="25" t="str">
        <f>IF($A1796="","",'Lot Balance'!$H1795)</f>
        <v/>
      </c>
      <c r="F1796" s="23" t="str">
        <f>IF($A1796="","",'Lot Balance'!$I1795)</f>
        <v/>
      </c>
      <c r="G1796" s="23" t="str">
        <f>IF($A1796="","",'Lot Balance'!$O1795)</f>
        <v/>
      </c>
      <c r="H1796" s="33" t="str">
        <f>IF($A1796="","",'Lot Balance'!$P1795)</f>
        <v/>
      </c>
      <c r="I1796" s="26" t="str">
        <f>IF($A1796="","",COUNTIFS(tblIssues[Lot Number],$B1796))</f>
        <v/>
      </c>
      <c r="J1796" s="31" t="str">
        <f>IF($A1796="","",IF('Lot Balance'!$O1795&lt;=0,"Depleted",'Lot Balance'!$Q1795))</f>
        <v/>
      </c>
    </row>
    <row r="1797" spans="1:10" x14ac:dyDescent="0.35">
      <c r="A1797" s="18" t="str">
        <f>IF('Lot Balance'!$A1796="","",'Lot Balance'!$A1796)</f>
        <v/>
      </c>
      <c r="B1797" s="18" t="str">
        <f>IF($A1797="","",'Lot Balance'!$B1796)</f>
        <v/>
      </c>
      <c r="C1797" s="18" t="str">
        <f>IF($A1797="","",'Lot Balance'!$C1796)</f>
        <v/>
      </c>
      <c r="D1797" s="25" t="str">
        <f>IF($A1797="","",'Lot Balance'!$G1796)</f>
        <v/>
      </c>
      <c r="E1797" s="25" t="str">
        <f>IF($A1797="","",'Lot Balance'!$H1796)</f>
        <v/>
      </c>
      <c r="F1797" s="23" t="str">
        <f>IF($A1797="","",'Lot Balance'!$I1796)</f>
        <v/>
      </c>
      <c r="G1797" s="23" t="str">
        <f>IF($A1797="","",'Lot Balance'!$O1796)</f>
        <v/>
      </c>
      <c r="H1797" s="33" t="str">
        <f>IF($A1797="","",'Lot Balance'!$P1796)</f>
        <v/>
      </c>
      <c r="I1797" s="26" t="str">
        <f>IF($A1797="","",COUNTIFS(tblIssues[Lot Number],$B1797))</f>
        <v/>
      </c>
      <c r="J1797" s="31" t="str">
        <f>IF($A1797="","",IF('Lot Balance'!$O1796&lt;=0,"Depleted",'Lot Balance'!$Q1796))</f>
        <v/>
      </c>
    </row>
    <row r="1798" spans="1:10" x14ac:dyDescent="0.35">
      <c r="A1798" s="18" t="str">
        <f>IF('Lot Balance'!$A1797="","",'Lot Balance'!$A1797)</f>
        <v/>
      </c>
      <c r="B1798" s="18" t="str">
        <f>IF($A1798="","",'Lot Balance'!$B1797)</f>
        <v/>
      </c>
      <c r="C1798" s="18" t="str">
        <f>IF($A1798="","",'Lot Balance'!$C1797)</f>
        <v/>
      </c>
      <c r="D1798" s="25" t="str">
        <f>IF($A1798="","",'Lot Balance'!$G1797)</f>
        <v/>
      </c>
      <c r="E1798" s="25" t="str">
        <f>IF($A1798="","",'Lot Balance'!$H1797)</f>
        <v/>
      </c>
      <c r="F1798" s="23" t="str">
        <f>IF($A1798="","",'Lot Balance'!$I1797)</f>
        <v/>
      </c>
      <c r="G1798" s="23" t="str">
        <f>IF($A1798="","",'Lot Balance'!$O1797)</f>
        <v/>
      </c>
      <c r="H1798" s="33" t="str">
        <f>IF($A1798="","",'Lot Balance'!$P1797)</f>
        <v/>
      </c>
      <c r="I1798" s="26" t="str">
        <f>IF($A1798="","",COUNTIFS(tblIssues[Lot Number],$B1798))</f>
        <v/>
      </c>
      <c r="J1798" s="31" t="str">
        <f>IF($A1798="","",IF('Lot Balance'!$O1797&lt;=0,"Depleted",'Lot Balance'!$Q1797))</f>
        <v/>
      </c>
    </row>
    <row r="1799" spans="1:10" x14ac:dyDescent="0.35">
      <c r="A1799" s="18" t="str">
        <f>IF('Lot Balance'!$A1798="","",'Lot Balance'!$A1798)</f>
        <v/>
      </c>
      <c r="B1799" s="18" t="str">
        <f>IF($A1799="","",'Lot Balance'!$B1798)</f>
        <v/>
      </c>
      <c r="C1799" s="18" t="str">
        <f>IF($A1799="","",'Lot Balance'!$C1798)</f>
        <v/>
      </c>
      <c r="D1799" s="25" t="str">
        <f>IF($A1799="","",'Lot Balance'!$G1798)</f>
        <v/>
      </c>
      <c r="E1799" s="25" t="str">
        <f>IF($A1799="","",'Lot Balance'!$H1798)</f>
        <v/>
      </c>
      <c r="F1799" s="23" t="str">
        <f>IF($A1799="","",'Lot Balance'!$I1798)</f>
        <v/>
      </c>
      <c r="G1799" s="23" t="str">
        <f>IF($A1799="","",'Lot Balance'!$O1798)</f>
        <v/>
      </c>
      <c r="H1799" s="33" t="str">
        <f>IF($A1799="","",'Lot Balance'!$P1798)</f>
        <v/>
      </c>
      <c r="I1799" s="26" t="str">
        <f>IF($A1799="","",COUNTIFS(tblIssues[Lot Number],$B1799))</f>
        <v/>
      </c>
      <c r="J1799" s="31" t="str">
        <f>IF($A1799="","",IF('Lot Balance'!$O1798&lt;=0,"Depleted",'Lot Balance'!$Q1798))</f>
        <v/>
      </c>
    </row>
    <row r="1800" spans="1:10" x14ac:dyDescent="0.35">
      <c r="A1800" s="18" t="str">
        <f>IF('Lot Balance'!$A1799="","",'Lot Balance'!$A1799)</f>
        <v/>
      </c>
      <c r="B1800" s="18" t="str">
        <f>IF($A1800="","",'Lot Balance'!$B1799)</f>
        <v/>
      </c>
      <c r="C1800" s="18" t="str">
        <f>IF($A1800="","",'Lot Balance'!$C1799)</f>
        <v/>
      </c>
      <c r="D1800" s="25" t="str">
        <f>IF($A1800="","",'Lot Balance'!$G1799)</f>
        <v/>
      </c>
      <c r="E1800" s="25" t="str">
        <f>IF($A1800="","",'Lot Balance'!$H1799)</f>
        <v/>
      </c>
      <c r="F1800" s="23" t="str">
        <f>IF($A1800="","",'Lot Balance'!$I1799)</f>
        <v/>
      </c>
      <c r="G1800" s="23" t="str">
        <f>IF($A1800="","",'Lot Balance'!$O1799)</f>
        <v/>
      </c>
      <c r="H1800" s="33" t="str">
        <f>IF($A1800="","",'Lot Balance'!$P1799)</f>
        <v/>
      </c>
      <c r="I1800" s="26" t="str">
        <f>IF($A1800="","",COUNTIFS(tblIssues[Lot Number],$B1800))</f>
        <v/>
      </c>
      <c r="J1800" s="31" t="str">
        <f>IF($A1800="","",IF('Lot Balance'!$O1799&lt;=0,"Depleted",'Lot Balance'!$Q1799))</f>
        <v/>
      </c>
    </row>
    <row r="1801" spans="1:10" x14ac:dyDescent="0.35">
      <c r="A1801" s="18" t="str">
        <f>IF('Lot Balance'!$A1800="","",'Lot Balance'!$A1800)</f>
        <v/>
      </c>
      <c r="B1801" s="18" t="str">
        <f>IF($A1801="","",'Lot Balance'!$B1800)</f>
        <v/>
      </c>
      <c r="C1801" s="18" t="str">
        <f>IF($A1801="","",'Lot Balance'!$C1800)</f>
        <v/>
      </c>
      <c r="D1801" s="25" t="str">
        <f>IF($A1801="","",'Lot Balance'!$G1800)</f>
        <v/>
      </c>
      <c r="E1801" s="25" t="str">
        <f>IF($A1801="","",'Lot Balance'!$H1800)</f>
        <v/>
      </c>
      <c r="F1801" s="23" t="str">
        <f>IF($A1801="","",'Lot Balance'!$I1800)</f>
        <v/>
      </c>
      <c r="G1801" s="23" t="str">
        <f>IF($A1801="","",'Lot Balance'!$O1800)</f>
        <v/>
      </c>
      <c r="H1801" s="33" t="str">
        <f>IF($A1801="","",'Lot Balance'!$P1800)</f>
        <v/>
      </c>
      <c r="I1801" s="26" t="str">
        <f>IF($A1801="","",COUNTIFS(tblIssues[Lot Number],$B1801))</f>
        <v/>
      </c>
      <c r="J1801" s="31" t="str">
        <f>IF($A1801="","",IF('Lot Balance'!$O1800&lt;=0,"Depleted",'Lot Balance'!$Q1800))</f>
        <v/>
      </c>
    </row>
    <row r="1802" spans="1:10" x14ac:dyDescent="0.35">
      <c r="A1802" s="18" t="str">
        <f>IF('Lot Balance'!$A1801="","",'Lot Balance'!$A1801)</f>
        <v/>
      </c>
      <c r="B1802" s="18" t="str">
        <f>IF($A1802="","",'Lot Balance'!$B1801)</f>
        <v/>
      </c>
      <c r="C1802" s="18" t="str">
        <f>IF($A1802="","",'Lot Balance'!$C1801)</f>
        <v/>
      </c>
      <c r="D1802" s="25" t="str">
        <f>IF($A1802="","",'Lot Balance'!$G1801)</f>
        <v/>
      </c>
      <c r="E1802" s="25" t="str">
        <f>IF($A1802="","",'Lot Balance'!$H1801)</f>
        <v/>
      </c>
      <c r="F1802" s="23" t="str">
        <f>IF($A1802="","",'Lot Balance'!$I1801)</f>
        <v/>
      </c>
      <c r="G1802" s="23" t="str">
        <f>IF($A1802="","",'Lot Balance'!$O1801)</f>
        <v/>
      </c>
      <c r="H1802" s="33" t="str">
        <f>IF($A1802="","",'Lot Balance'!$P1801)</f>
        <v/>
      </c>
      <c r="I1802" s="26" t="str">
        <f>IF($A1802="","",COUNTIFS(tblIssues[Lot Number],$B1802))</f>
        <v/>
      </c>
      <c r="J1802" s="31" t="str">
        <f>IF($A1802="","",IF('Lot Balance'!$O1801&lt;=0,"Depleted",'Lot Balance'!$Q1801))</f>
        <v/>
      </c>
    </row>
    <row r="1803" spans="1:10" x14ac:dyDescent="0.35">
      <c r="A1803" s="18" t="str">
        <f>IF('Lot Balance'!$A1802="","",'Lot Balance'!$A1802)</f>
        <v/>
      </c>
      <c r="B1803" s="18" t="str">
        <f>IF($A1803="","",'Lot Balance'!$B1802)</f>
        <v/>
      </c>
      <c r="C1803" s="18" t="str">
        <f>IF($A1803="","",'Lot Balance'!$C1802)</f>
        <v/>
      </c>
      <c r="D1803" s="25" t="str">
        <f>IF($A1803="","",'Lot Balance'!$G1802)</f>
        <v/>
      </c>
      <c r="E1803" s="25" t="str">
        <f>IF($A1803="","",'Lot Balance'!$H1802)</f>
        <v/>
      </c>
      <c r="F1803" s="23" t="str">
        <f>IF($A1803="","",'Lot Balance'!$I1802)</f>
        <v/>
      </c>
      <c r="G1803" s="23" t="str">
        <f>IF($A1803="","",'Lot Balance'!$O1802)</f>
        <v/>
      </c>
      <c r="H1803" s="33" t="str">
        <f>IF($A1803="","",'Lot Balance'!$P1802)</f>
        <v/>
      </c>
      <c r="I1803" s="26" t="str">
        <f>IF($A1803="","",COUNTIFS(tblIssues[Lot Number],$B1803))</f>
        <v/>
      </c>
      <c r="J1803" s="31" t="str">
        <f>IF($A1803="","",IF('Lot Balance'!$O1802&lt;=0,"Depleted",'Lot Balance'!$Q1802))</f>
        <v/>
      </c>
    </row>
    <row r="1804" spans="1:10" x14ac:dyDescent="0.35">
      <c r="A1804" s="18" t="str">
        <f>IF('Lot Balance'!$A1803="","",'Lot Balance'!$A1803)</f>
        <v/>
      </c>
      <c r="B1804" s="18" t="str">
        <f>IF($A1804="","",'Lot Balance'!$B1803)</f>
        <v/>
      </c>
      <c r="C1804" s="18" t="str">
        <f>IF($A1804="","",'Lot Balance'!$C1803)</f>
        <v/>
      </c>
      <c r="D1804" s="25" t="str">
        <f>IF($A1804="","",'Lot Balance'!$G1803)</f>
        <v/>
      </c>
      <c r="E1804" s="25" t="str">
        <f>IF($A1804="","",'Lot Balance'!$H1803)</f>
        <v/>
      </c>
      <c r="F1804" s="23" t="str">
        <f>IF($A1804="","",'Lot Balance'!$I1803)</f>
        <v/>
      </c>
      <c r="G1804" s="23" t="str">
        <f>IF($A1804="","",'Lot Balance'!$O1803)</f>
        <v/>
      </c>
      <c r="H1804" s="33" t="str">
        <f>IF($A1804="","",'Lot Balance'!$P1803)</f>
        <v/>
      </c>
      <c r="I1804" s="26" t="str">
        <f>IF($A1804="","",COUNTIFS(tblIssues[Lot Number],$B1804))</f>
        <v/>
      </c>
      <c r="J1804" s="31" t="str">
        <f>IF($A1804="","",IF('Lot Balance'!$O1803&lt;=0,"Depleted",'Lot Balance'!$Q1803))</f>
        <v/>
      </c>
    </row>
    <row r="1805" spans="1:10" x14ac:dyDescent="0.35">
      <c r="A1805" s="18" t="str">
        <f>IF('Lot Balance'!$A1804="","",'Lot Balance'!$A1804)</f>
        <v/>
      </c>
      <c r="B1805" s="18" t="str">
        <f>IF($A1805="","",'Lot Balance'!$B1804)</f>
        <v/>
      </c>
      <c r="C1805" s="18" t="str">
        <f>IF($A1805="","",'Lot Balance'!$C1804)</f>
        <v/>
      </c>
      <c r="D1805" s="25" t="str">
        <f>IF($A1805="","",'Lot Balance'!$G1804)</f>
        <v/>
      </c>
      <c r="E1805" s="25" t="str">
        <f>IF($A1805="","",'Lot Balance'!$H1804)</f>
        <v/>
      </c>
      <c r="F1805" s="23" t="str">
        <f>IF($A1805="","",'Lot Balance'!$I1804)</f>
        <v/>
      </c>
      <c r="G1805" s="23" t="str">
        <f>IF($A1805="","",'Lot Balance'!$O1804)</f>
        <v/>
      </c>
      <c r="H1805" s="33" t="str">
        <f>IF($A1805="","",'Lot Balance'!$P1804)</f>
        <v/>
      </c>
      <c r="I1805" s="26" t="str">
        <f>IF($A1805="","",COUNTIFS(tblIssues[Lot Number],$B1805))</f>
        <v/>
      </c>
      <c r="J1805" s="31" t="str">
        <f>IF($A1805="","",IF('Lot Balance'!$O1804&lt;=0,"Depleted",'Lot Balance'!$Q1804))</f>
        <v/>
      </c>
    </row>
    <row r="1806" spans="1:10" x14ac:dyDescent="0.35">
      <c r="A1806" s="18" t="str">
        <f>IF('Lot Balance'!$A1805="","",'Lot Balance'!$A1805)</f>
        <v/>
      </c>
      <c r="B1806" s="18" t="str">
        <f>IF($A1806="","",'Lot Balance'!$B1805)</f>
        <v/>
      </c>
      <c r="C1806" s="18" t="str">
        <f>IF($A1806="","",'Lot Balance'!$C1805)</f>
        <v/>
      </c>
      <c r="D1806" s="25" t="str">
        <f>IF($A1806="","",'Lot Balance'!$G1805)</f>
        <v/>
      </c>
      <c r="E1806" s="25" t="str">
        <f>IF($A1806="","",'Lot Balance'!$H1805)</f>
        <v/>
      </c>
      <c r="F1806" s="23" t="str">
        <f>IF($A1806="","",'Lot Balance'!$I1805)</f>
        <v/>
      </c>
      <c r="G1806" s="23" t="str">
        <f>IF($A1806="","",'Lot Balance'!$O1805)</f>
        <v/>
      </c>
      <c r="H1806" s="33" t="str">
        <f>IF($A1806="","",'Lot Balance'!$P1805)</f>
        <v/>
      </c>
      <c r="I1806" s="26" t="str">
        <f>IF($A1806="","",COUNTIFS(tblIssues[Lot Number],$B1806))</f>
        <v/>
      </c>
      <c r="J1806" s="31" t="str">
        <f>IF($A1806="","",IF('Lot Balance'!$O1805&lt;=0,"Depleted",'Lot Balance'!$Q1805))</f>
        <v/>
      </c>
    </row>
    <row r="1807" spans="1:10" x14ac:dyDescent="0.35">
      <c r="A1807" s="18" t="str">
        <f>IF('Lot Balance'!$A1806="","",'Lot Balance'!$A1806)</f>
        <v/>
      </c>
      <c r="B1807" s="18" t="str">
        <f>IF($A1807="","",'Lot Balance'!$B1806)</f>
        <v/>
      </c>
      <c r="C1807" s="18" t="str">
        <f>IF($A1807="","",'Lot Balance'!$C1806)</f>
        <v/>
      </c>
      <c r="D1807" s="25" t="str">
        <f>IF($A1807="","",'Lot Balance'!$G1806)</f>
        <v/>
      </c>
      <c r="E1807" s="25" t="str">
        <f>IF($A1807="","",'Lot Balance'!$H1806)</f>
        <v/>
      </c>
      <c r="F1807" s="23" t="str">
        <f>IF($A1807="","",'Lot Balance'!$I1806)</f>
        <v/>
      </c>
      <c r="G1807" s="23" t="str">
        <f>IF($A1807="","",'Lot Balance'!$O1806)</f>
        <v/>
      </c>
      <c r="H1807" s="33" t="str">
        <f>IF($A1807="","",'Lot Balance'!$P1806)</f>
        <v/>
      </c>
      <c r="I1807" s="26" t="str">
        <f>IF($A1807="","",COUNTIFS(tblIssues[Lot Number],$B1807))</f>
        <v/>
      </c>
      <c r="J1807" s="31" t="str">
        <f>IF($A1807="","",IF('Lot Balance'!$O1806&lt;=0,"Depleted",'Lot Balance'!$Q1806))</f>
        <v/>
      </c>
    </row>
    <row r="1808" spans="1:10" x14ac:dyDescent="0.35">
      <c r="A1808" s="18" t="str">
        <f>IF('Lot Balance'!$A1807="","",'Lot Balance'!$A1807)</f>
        <v/>
      </c>
      <c r="B1808" s="18" t="str">
        <f>IF($A1808="","",'Lot Balance'!$B1807)</f>
        <v/>
      </c>
      <c r="C1808" s="18" t="str">
        <f>IF($A1808="","",'Lot Balance'!$C1807)</f>
        <v/>
      </c>
      <c r="D1808" s="25" t="str">
        <f>IF($A1808="","",'Lot Balance'!$G1807)</f>
        <v/>
      </c>
      <c r="E1808" s="25" t="str">
        <f>IF($A1808="","",'Lot Balance'!$H1807)</f>
        <v/>
      </c>
      <c r="F1808" s="23" t="str">
        <f>IF($A1808="","",'Lot Balance'!$I1807)</f>
        <v/>
      </c>
      <c r="G1808" s="23" t="str">
        <f>IF($A1808="","",'Lot Balance'!$O1807)</f>
        <v/>
      </c>
      <c r="H1808" s="33" t="str">
        <f>IF($A1808="","",'Lot Balance'!$P1807)</f>
        <v/>
      </c>
      <c r="I1808" s="26" t="str">
        <f>IF($A1808="","",COUNTIFS(tblIssues[Lot Number],$B1808))</f>
        <v/>
      </c>
      <c r="J1808" s="31" t="str">
        <f>IF($A1808="","",IF('Lot Balance'!$O1807&lt;=0,"Depleted",'Lot Balance'!$Q1807))</f>
        <v/>
      </c>
    </row>
    <row r="1809" spans="1:10" x14ac:dyDescent="0.35">
      <c r="A1809" s="18" t="str">
        <f>IF('Lot Balance'!$A1808="","",'Lot Balance'!$A1808)</f>
        <v/>
      </c>
      <c r="B1809" s="18" t="str">
        <f>IF($A1809="","",'Lot Balance'!$B1808)</f>
        <v/>
      </c>
      <c r="C1809" s="18" t="str">
        <f>IF($A1809="","",'Lot Balance'!$C1808)</f>
        <v/>
      </c>
      <c r="D1809" s="25" t="str">
        <f>IF($A1809="","",'Lot Balance'!$G1808)</f>
        <v/>
      </c>
      <c r="E1809" s="25" t="str">
        <f>IF($A1809="","",'Lot Balance'!$H1808)</f>
        <v/>
      </c>
      <c r="F1809" s="23" t="str">
        <f>IF($A1809="","",'Lot Balance'!$I1808)</f>
        <v/>
      </c>
      <c r="G1809" s="23" t="str">
        <f>IF($A1809="","",'Lot Balance'!$O1808)</f>
        <v/>
      </c>
      <c r="H1809" s="33" t="str">
        <f>IF($A1809="","",'Lot Balance'!$P1808)</f>
        <v/>
      </c>
      <c r="I1809" s="26" t="str">
        <f>IF($A1809="","",COUNTIFS(tblIssues[Lot Number],$B1809))</f>
        <v/>
      </c>
      <c r="J1809" s="31" t="str">
        <f>IF($A1809="","",IF('Lot Balance'!$O1808&lt;=0,"Depleted",'Lot Balance'!$Q1808))</f>
        <v/>
      </c>
    </row>
    <row r="1810" spans="1:10" x14ac:dyDescent="0.35">
      <c r="A1810" s="18" t="str">
        <f>IF('Lot Balance'!$A1809="","",'Lot Balance'!$A1809)</f>
        <v/>
      </c>
      <c r="B1810" s="18" t="str">
        <f>IF($A1810="","",'Lot Balance'!$B1809)</f>
        <v/>
      </c>
      <c r="C1810" s="18" t="str">
        <f>IF($A1810="","",'Lot Balance'!$C1809)</f>
        <v/>
      </c>
      <c r="D1810" s="25" t="str">
        <f>IF($A1810="","",'Lot Balance'!$G1809)</f>
        <v/>
      </c>
      <c r="E1810" s="25" t="str">
        <f>IF($A1810="","",'Lot Balance'!$H1809)</f>
        <v/>
      </c>
      <c r="F1810" s="23" t="str">
        <f>IF($A1810="","",'Lot Balance'!$I1809)</f>
        <v/>
      </c>
      <c r="G1810" s="23" t="str">
        <f>IF($A1810="","",'Lot Balance'!$O1809)</f>
        <v/>
      </c>
      <c r="H1810" s="33" t="str">
        <f>IF($A1810="","",'Lot Balance'!$P1809)</f>
        <v/>
      </c>
      <c r="I1810" s="26" t="str">
        <f>IF($A1810="","",COUNTIFS(tblIssues[Lot Number],$B1810))</f>
        <v/>
      </c>
      <c r="J1810" s="31" t="str">
        <f>IF($A1810="","",IF('Lot Balance'!$O1809&lt;=0,"Depleted",'Lot Balance'!$Q1809))</f>
        <v/>
      </c>
    </row>
    <row r="1811" spans="1:10" x14ac:dyDescent="0.35">
      <c r="A1811" s="18" t="str">
        <f>IF('Lot Balance'!$A1810="","",'Lot Balance'!$A1810)</f>
        <v/>
      </c>
      <c r="B1811" s="18" t="str">
        <f>IF($A1811="","",'Lot Balance'!$B1810)</f>
        <v/>
      </c>
      <c r="C1811" s="18" t="str">
        <f>IF($A1811="","",'Lot Balance'!$C1810)</f>
        <v/>
      </c>
      <c r="D1811" s="25" t="str">
        <f>IF($A1811="","",'Lot Balance'!$G1810)</f>
        <v/>
      </c>
      <c r="E1811" s="25" t="str">
        <f>IF($A1811="","",'Lot Balance'!$H1810)</f>
        <v/>
      </c>
      <c r="F1811" s="23" t="str">
        <f>IF($A1811="","",'Lot Balance'!$I1810)</f>
        <v/>
      </c>
      <c r="G1811" s="23" t="str">
        <f>IF($A1811="","",'Lot Balance'!$O1810)</f>
        <v/>
      </c>
      <c r="H1811" s="33" t="str">
        <f>IF($A1811="","",'Lot Balance'!$P1810)</f>
        <v/>
      </c>
      <c r="I1811" s="26" t="str">
        <f>IF($A1811="","",COUNTIFS(tblIssues[Lot Number],$B1811))</f>
        <v/>
      </c>
      <c r="J1811" s="31" t="str">
        <f>IF($A1811="","",IF('Lot Balance'!$O1810&lt;=0,"Depleted",'Lot Balance'!$Q1810))</f>
        <v/>
      </c>
    </row>
    <row r="1812" spans="1:10" x14ac:dyDescent="0.35">
      <c r="A1812" s="18" t="str">
        <f>IF('Lot Balance'!$A1811="","",'Lot Balance'!$A1811)</f>
        <v/>
      </c>
      <c r="B1812" s="18" t="str">
        <f>IF($A1812="","",'Lot Balance'!$B1811)</f>
        <v/>
      </c>
      <c r="C1812" s="18" t="str">
        <f>IF($A1812="","",'Lot Balance'!$C1811)</f>
        <v/>
      </c>
      <c r="D1812" s="25" t="str">
        <f>IF($A1812="","",'Lot Balance'!$G1811)</f>
        <v/>
      </c>
      <c r="E1812" s="25" t="str">
        <f>IF($A1812="","",'Lot Balance'!$H1811)</f>
        <v/>
      </c>
      <c r="F1812" s="23" t="str">
        <f>IF($A1812="","",'Lot Balance'!$I1811)</f>
        <v/>
      </c>
      <c r="G1812" s="23" t="str">
        <f>IF($A1812="","",'Lot Balance'!$O1811)</f>
        <v/>
      </c>
      <c r="H1812" s="33" t="str">
        <f>IF($A1812="","",'Lot Balance'!$P1811)</f>
        <v/>
      </c>
      <c r="I1812" s="26" t="str">
        <f>IF($A1812="","",COUNTIFS(tblIssues[Lot Number],$B1812))</f>
        <v/>
      </c>
      <c r="J1812" s="31" t="str">
        <f>IF($A1812="","",IF('Lot Balance'!$O1811&lt;=0,"Depleted",'Lot Balance'!$Q1811))</f>
        <v/>
      </c>
    </row>
    <row r="1813" spans="1:10" x14ac:dyDescent="0.35">
      <c r="A1813" s="18" t="str">
        <f>IF('Lot Balance'!$A1812="","",'Lot Balance'!$A1812)</f>
        <v/>
      </c>
      <c r="B1813" s="18" t="str">
        <f>IF($A1813="","",'Lot Balance'!$B1812)</f>
        <v/>
      </c>
      <c r="C1813" s="18" t="str">
        <f>IF($A1813="","",'Lot Balance'!$C1812)</f>
        <v/>
      </c>
      <c r="D1813" s="25" t="str">
        <f>IF($A1813="","",'Lot Balance'!$G1812)</f>
        <v/>
      </c>
      <c r="E1813" s="25" t="str">
        <f>IF($A1813="","",'Lot Balance'!$H1812)</f>
        <v/>
      </c>
      <c r="F1813" s="23" t="str">
        <f>IF($A1813="","",'Lot Balance'!$I1812)</f>
        <v/>
      </c>
      <c r="G1813" s="23" t="str">
        <f>IF($A1813="","",'Lot Balance'!$O1812)</f>
        <v/>
      </c>
      <c r="H1813" s="33" t="str">
        <f>IF($A1813="","",'Lot Balance'!$P1812)</f>
        <v/>
      </c>
      <c r="I1813" s="26" t="str">
        <f>IF($A1813="","",COUNTIFS(tblIssues[Lot Number],$B1813))</f>
        <v/>
      </c>
      <c r="J1813" s="31" t="str">
        <f>IF($A1813="","",IF('Lot Balance'!$O1812&lt;=0,"Depleted",'Lot Balance'!$Q1812))</f>
        <v/>
      </c>
    </row>
    <row r="1814" spans="1:10" x14ac:dyDescent="0.35">
      <c r="A1814" s="18" t="str">
        <f>IF('Lot Balance'!$A1813="","",'Lot Balance'!$A1813)</f>
        <v/>
      </c>
      <c r="B1814" s="18" t="str">
        <f>IF($A1814="","",'Lot Balance'!$B1813)</f>
        <v/>
      </c>
      <c r="C1814" s="18" t="str">
        <f>IF($A1814="","",'Lot Balance'!$C1813)</f>
        <v/>
      </c>
      <c r="D1814" s="25" t="str">
        <f>IF($A1814="","",'Lot Balance'!$G1813)</f>
        <v/>
      </c>
      <c r="E1814" s="25" t="str">
        <f>IF($A1814="","",'Lot Balance'!$H1813)</f>
        <v/>
      </c>
      <c r="F1814" s="23" t="str">
        <f>IF($A1814="","",'Lot Balance'!$I1813)</f>
        <v/>
      </c>
      <c r="G1814" s="23" t="str">
        <f>IF($A1814="","",'Lot Balance'!$O1813)</f>
        <v/>
      </c>
      <c r="H1814" s="33" t="str">
        <f>IF($A1814="","",'Lot Balance'!$P1813)</f>
        <v/>
      </c>
      <c r="I1814" s="26" t="str">
        <f>IF($A1814="","",COUNTIFS(tblIssues[Lot Number],$B1814))</f>
        <v/>
      </c>
      <c r="J1814" s="31" t="str">
        <f>IF($A1814="","",IF('Lot Balance'!$O1813&lt;=0,"Depleted",'Lot Balance'!$Q1813))</f>
        <v/>
      </c>
    </row>
    <row r="1815" spans="1:10" x14ac:dyDescent="0.35">
      <c r="A1815" s="18" t="str">
        <f>IF('Lot Balance'!$A1814="","",'Lot Balance'!$A1814)</f>
        <v/>
      </c>
      <c r="B1815" s="18" t="str">
        <f>IF($A1815="","",'Lot Balance'!$B1814)</f>
        <v/>
      </c>
      <c r="C1815" s="18" t="str">
        <f>IF($A1815="","",'Lot Balance'!$C1814)</f>
        <v/>
      </c>
      <c r="D1815" s="25" t="str">
        <f>IF($A1815="","",'Lot Balance'!$G1814)</f>
        <v/>
      </c>
      <c r="E1815" s="25" t="str">
        <f>IF($A1815="","",'Lot Balance'!$H1814)</f>
        <v/>
      </c>
      <c r="F1815" s="23" t="str">
        <f>IF($A1815="","",'Lot Balance'!$I1814)</f>
        <v/>
      </c>
      <c r="G1815" s="23" t="str">
        <f>IF($A1815="","",'Lot Balance'!$O1814)</f>
        <v/>
      </c>
      <c r="H1815" s="33" t="str">
        <f>IF($A1815="","",'Lot Balance'!$P1814)</f>
        <v/>
      </c>
      <c r="I1815" s="26" t="str">
        <f>IF($A1815="","",COUNTIFS(tblIssues[Lot Number],$B1815))</f>
        <v/>
      </c>
      <c r="J1815" s="31" t="str">
        <f>IF($A1815="","",IF('Lot Balance'!$O1814&lt;=0,"Depleted",'Lot Balance'!$Q1814))</f>
        <v/>
      </c>
    </row>
    <row r="1816" spans="1:10" x14ac:dyDescent="0.35">
      <c r="A1816" s="18" t="str">
        <f>IF('Lot Balance'!$A1815="","",'Lot Balance'!$A1815)</f>
        <v/>
      </c>
      <c r="B1816" s="18" t="str">
        <f>IF($A1816="","",'Lot Balance'!$B1815)</f>
        <v/>
      </c>
      <c r="C1816" s="18" t="str">
        <f>IF($A1816="","",'Lot Balance'!$C1815)</f>
        <v/>
      </c>
      <c r="D1816" s="25" t="str">
        <f>IF($A1816="","",'Lot Balance'!$G1815)</f>
        <v/>
      </c>
      <c r="E1816" s="25" t="str">
        <f>IF($A1816="","",'Lot Balance'!$H1815)</f>
        <v/>
      </c>
      <c r="F1816" s="23" t="str">
        <f>IF($A1816="","",'Lot Balance'!$I1815)</f>
        <v/>
      </c>
      <c r="G1816" s="23" t="str">
        <f>IF($A1816="","",'Lot Balance'!$O1815)</f>
        <v/>
      </c>
      <c r="H1816" s="33" t="str">
        <f>IF($A1816="","",'Lot Balance'!$P1815)</f>
        <v/>
      </c>
      <c r="I1816" s="26" t="str">
        <f>IF($A1816="","",COUNTIFS(tblIssues[Lot Number],$B1816))</f>
        <v/>
      </c>
      <c r="J1816" s="31" t="str">
        <f>IF($A1816="","",IF('Lot Balance'!$O1815&lt;=0,"Depleted",'Lot Balance'!$Q1815))</f>
        <v/>
      </c>
    </row>
    <row r="1817" spans="1:10" x14ac:dyDescent="0.35">
      <c r="A1817" s="18" t="str">
        <f>IF('Lot Balance'!$A1816="","",'Lot Balance'!$A1816)</f>
        <v/>
      </c>
      <c r="B1817" s="18" t="str">
        <f>IF($A1817="","",'Lot Balance'!$B1816)</f>
        <v/>
      </c>
      <c r="C1817" s="18" t="str">
        <f>IF($A1817="","",'Lot Balance'!$C1816)</f>
        <v/>
      </c>
      <c r="D1817" s="25" t="str">
        <f>IF($A1817="","",'Lot Balance'!$G1816)</f>
        <v/>
      </c>
      <c r="E1817" s="25" t="str">
        <f>IF($A1817="","",'Lot Balance'!$H1816)</f>
        <v/>
      </c>
      <c r="F1817" s="23" t="str">
        <f>IF($A1817="","",'Lot Balance'!$I1816)</f>
        <v/>
      </c>
      <c r="G1817" s="23" t="str">
        <f>IF($A1817="","",'Lot Balance'!$O1816)</f>
        <v/>
      </c>
      <c r="H1817" s="33" t="str">
        <f>IF($A1817="","",'Lot Balance'!$P1816)</f>
        <v/>
      </c>
      <c r="I1817" s="26" t="str">
        <f>IF($A1817="","",COUNTIFS(tblIssues[Lot Number],$B1817))</f>
        <v/>
      </c>
      <c r="J1817" s="31" t="str">
        <f>IF($A1817="","",IF('Lot Balance'!$O1816&lt;=0,"Depleted",'Lot Balance'!$Q1816))</f>
        <v/>
      </c>
    </row>
    <row r="1818" spans="1:10" x14ac:dyDescent="0.35">
      <c r="A1818" s="18" t="str">
        <f>IF('Lot Balance'!$A1817="","",'Lot Balance'!$A1817)</f>
        <v/>
      </c>
      <c r="B1818" s="18" t="str">
        <f>IF($A1818="","",'Lot Balance'!$B1817)</f>
        <v/>
      </c>
      <c r="C1818" s="18" t="str">
        <f>IF($A1818="","",'Lot Balance'!$C1817)</f>
        <v/>
      </c>
      <c r="D1818" s="25" t="str">
        <f>IF($A1818="","",'Lot Balance'!$G1817)</f>
        <v/>
      </c>
      <c r="E1818" s="25" t="str">
        <f>IF($A1818="","",'Lot Balance'!$H1817)</f>
        <v/>
      </c>
      <c r="F1818" s="23" t="str">
        <f>IF($A1818="","",'Lot Balance'!$I1817)</f>
        <v/>
      </c>
      <c r="G1818" s="23" t="str">
        <f>IF($A1818="","",'Lot Balance'!$O1817)</f>
        <v/>
      </c>
      <c r="H1818" s="33" t="str">
        <f>IF($A1818="","",'Lot Balance'!$P1817)</f>
        <v/>
      </c>
      <c r="I1818" s="26" t="str">
        <f>IF($A1818="","",COUNTIFS(tblIssues[Lot Number],$B1818))</f>
        <v/>
      </c>
      <c r="J1818" s="31" t="str">
        <f>IF($A1818="","",IF('Lot Balance'!$O1817&lt;=0,"Depleted",'Lot Balance'!$Q1817))</f>
        <v/>
      </c>
    </row>
    <row r="1819" spans="1:10" x14ac:dyDescent="0.35">
      <c r="A1819" s="18" t="str">
        <f>IF('Lot Balance'!$A1818="","",'Lot Balance'!$A1818)</f>
        <v/>
      </c>
      <c r="B1819" s="18" t="str">
        <f>IF($A1819="","",'Lot Balance'!$B1818)</f>
        <v/>
      </c>
      <c r="C1819" s="18" t="str">
        <f>IF($A1819="","",'Lot Balance'!$C1818)</f>
        <v/>
      </c>
      <c r="D1819" s="25" t="str">
        <f>IF($A1819="","",'Lot Balance'!$G1818)</f>
        <v/>
      </c>
      <c r="E1819" s="25" t="str">
        <f>IF($A1819="","",'Lot Balance'!$H1818)</f>
        <v/>
      </c>
      <c r="F1819" s="23" t="str">
        <f>IF($A1819="","",'Lot Balance'!$I1818)</f>
        <v/>
      </c>
      <c r="G1819" s="23" t="str">
        <f>IF($A1819="","",'Lot Balance'!$O1818)</f>
        <v/>
      </c>
      <c r="H1819" s="33" t="str">
        <f>IF($A1819="","",'Lot Balance'!$P1818)</f>
        <v/>
      </c>
      <c r="I1819" s="26" t="str">
        <f>IF($A1819="","",COUNTIFS(tblIssues[Lot Number],$B1819))</f>
        <v/>
      </c>
      <c r="J1819" s="31" t="str">
        <f>IF($A1819="","",IF('Lot Balance'!$O1818&lt;=0,"Depleted",'Lot Balance'!$Q1818))</f>
        <v/>
      </c>
    </row>
    <row r="1820" spans="1:10" x14ac:dyDescent="0.35">
      <c r="A1820" s="18" t="str">
        <f>IF('Lot Balance'!$A1819="","",'Lot Balance'!$A1819)</f>
        <v/>
      </c>
      <c r="B1820" s="18" t="str">
        <f>IF($A1820="","",'Lot Balance'!$B1819)</f>
        <v/>
      </c>
      <c r="C1820" s="18" t="str">
        <f>IF($A1820="","",'Lot Balance'!$C1819)</f>
        <v/>
      </c>
      <c r="D1820" s="25" t="str">
        <f>IF($A1820="","",'Lot Balance'!$G1819)</f>
        <v/>
      </c>
      <c r="E1820" s="25" t="str">
        <f>IF($A1820="","",'Lot Balance'!$H1819)</f>
        <v/>
      </c>
      <c r="F1820" s="23" t="str">
        <f>IF($A1820="","",'Lot Balance'!$I1819)</f>
        <v/>
      </c>
      <c r="G1820" s="23" t="str">
        <f>IF($A1820="","",'Lot Balance'!$O1819)</f>
        <v/>
      </c>
      <c r="H1820" s="33" t="str">
        <f>IF($A1820="","",'Lot Balance'!$P1819)</f>
        <v/>
      </c>
      <c r="I1820" s="26" t="str">
        <f>IF($A1820="","",COUNTIFS(tblIssues[Lot Number],$B1820))</f>
        <v/>
      </c>
      <c r="J1820" s="31" t="str">
        <f>IF($A1820="","",IF('Lot Balance'!$O1819&lt;=0,"Depleted",'Lot Balance'!$Q1819))</f>
        <v/>
      </c>
    </row>
    <row r="1821" spans="1:10" x14ac:dyDescent="0.35">
      <c r="A1821" s="18" t="str">
        <f>IF('Lot Balance'!$A1820="","",'Lot Balance'!$A1820)</f>
        <v/>
      </c>
      <c r="B1821" s="18" t="str">
        <f>IF($A1821="","",'Lot Balance'!$B1820)</f>
        <v/>
      </c>
      <c r="C1821" s="18" t="str">
        <f>IF($A1821="","",'Lot Balance'!$C1820)</f>
        <v/>
      </c>
      <c r="D1821" s="25" t="str">
        <f>IF($A1821="","",'Lot Balance'!$G1820)</f>
        <v/>
      </c>
      <c r="E1821" s="25" t="str">
        <f>IF($A1821="","",'Lot Balance'!$H1820)</f>
        <v/>
      </c>
      <c r="F1821" s="23" t="str">
        <f>IF($A1821="","",'Lot Balance'!$I1820)</f>
        <v/>
      </c>
      <c r="G1821" s="23" t="str">
        <f>IF($A1821="","",'Lot Balance'!$O1820)</f>
        <v/>
      </c>
      <c r="H1821" s="33" t="str">
        <f>IF($A1821="","",'Lot Balance'!$P1820)</f>
        <v/>
      </c>
      <c r="I1821" s="26" t="str">
        <f>IF($A1821="","",COUNTIFS(tblIssues[Lot Number],$B1821))</f>
        <v/>
      </c>
      <c r="J1821" s="31" t="str">
        <f>IF($A1821="","",IF('Lot Balance'!$O1820&lt;=0,"Depleted",'Lot Balance'!$Q1820))</f>
        <v/>
      </c>
    </row>
    <row r="1822" spans="1:10" x14ac:dyDescent="0.35">
      <c r="A1822" s="18" t="str">
        <f>IF('Lot Balance'!$A1821="","",'Lot Balance'!$A1821)</f>
        <v/>
      </c>
      <c r="B1822" s="18" t="str">
        <f>IF($A1822="","",'Lot Balance'!$B1821)</f>
        <v/>
      </c>
      <c r="C1822" s="18" t="str">
        <f>IF($A1822="","",'Lot Balance'!$C1821)</f>
        <v/>
      </c>
      <c r="D1822" s="25" t="str">
        <f>IF($A1822="","",'Lot Balance'!$G1821)</f>
        <v/>
      </c>
      <c r="E1822" s="25" t="str">
        <f>IF($A1822="","",'Lot Balance'!$H1821)</f>
        <v/>
      </c>
      <c r="F1822" s="23" t="str">
        <f>IF($A1822="","",'Lot Balance'!$I1821)</f>
        <v/>
      </c>
      <c r="G1822" s="23" t="str">
        <f>IF($A1822="","",'Lot Balance'!$O1821)</f>
        <v/>
      </c>
      <c r="H1822" s="33" t="str">
        <f>IF($A1822="","",'Lot Balance'!$P1821)</f>
        <v/>
      </c>
      <c r="I1822" s="26" t="str">
        <f>IF($A1822="","",COUNTIFS(tblIssues[Lot Number],$B1822))</f>
        <v/>
      </c>
      <c r="J1822" s="31" t="str">
        <f>IF($A1822="","",IF('Lot Balance'!$O1821&lt;=0,"Depleted",'Lot Balance'!$Q1821))</f>
        <v/>
      </c>
    </row>
    <row r="1823" spans="1:10" x14ac:dyDescent="0.35">
      <c r="A1823" s="18" t="str">
        <f>IF('Lot Balance'!$A1822="","",'Lot Balance'!$A1822)</f>
        <v/>
      </c>
      <c r="B1823" s="18" t="str">
        <f>IF($A1823="","",'Lot Balance'!$B1822)</f>
        <v/>
      </c>
      <c r="C1823" s="18" t="str">
        <f>IF($A1823="","",'Lot Balance'!$C1822)</f>
        <v/>
      </c>
      <c r="D1823" s="25" t="str">
        <f>IF($A1823="","",'Lot Balance'!$G1822)</f>
        <v/>
      </c>
      <c r="E1823" s="25" t="str">
        <f>IF($A1823="","",'Lot Balance'!$H1822)</f>
        <v/>
      </c>
      <c r="F1823" s="23" t="str">
        <f>IF($A1823="","",'Lot Balance'!$I1822)</f>
        <v/>
      </c>
      <c r="G1823" s="23" t="str">
        <f>IF($A1823="","",'Lot Balance'!$O1822)</f>
        <v/>
      </c>
      <c r="H1823" s="33" t="str">
        <f>IF($A1823="","",'Lot Balance'!$P1822)</f>
        <v/>
      </c>
      <c r="I1823" s="26" t="str">
        <f>IF($A1823="","",COUNTIFS(tblIssues[Lot Number],$B1823))</f>
        <v/>
      </c>
      <c r="J1823" s="31" t="str">
        <f>IF($A1823="","",IF('Lot Balance'!$O1822&lt;=0,"Depleted",'Lot Balance'!$Q1822))</f>
        <v/>
      </c>
    </row>
    <row r="1824" spans="1:10" x14ac:dyDescent="0.35">
      <c r="A1824" s="18" t="str">
        <f>IF('Lot Balance'!$A1823="","",'Lot Balance'!$A1823)</f>
        <v/>
      </c>
      <c r="B1824" s="18" t="str">
        <f>IF($A1824="","",'Lot Balance'!$B1823)</f>
        <v/>
      </c>
      <c r="C1824" s="18" t="str">
        <f>IF($A1824="","",'Lot Balance'!$C1823)</f>
        <v/>
      </c>
      <c r="D1824" s="25" t="str">
        <f>IF($A1824="","",'Lot Balance'!$G1823)</f>
        <v/>
      </c>
      <c r="E1824" s="25" t="str">
        <f>IF($A1824="","",'Lot Balance'!$H1823)</f>
        <v/>
      </c>
      <c r="F1824" s="23" t="str">
        <f>IF($A1824="","",'Lot Balance'!$I1823)</f>
        <v/>
      </c>
      <c r="G1824" s="23" t="str">
        <f>IF($A1824="","",'Lot Balance'!$O1823)</f>
        <v/>
      </c>
      <c r="H1824" s="33" t="str">
        <f>IF($A1824="","",'Lot Balance'!$P1823)</f>
        <v/>
      </c>
      <c r="I1824" s="26" t="str">
        <f>IF($A1824="","",COUNTIFS(tblIssues[Lot Number],$B1824))</f>
        <v/>
      </c>
      <c r="J1824" s="31" t="str">
        <f>IF($A1824="","",IF('Lot Balance'!$O1823&lt;=0,"Depleted",'Lot Balance'!$Q1823))</f>
        <v/>
      </c>
    </row>
    <row r="1825" spans="1:10" x14ac:dyDescent="0.35">
      <c r="A1825" s="18" t="str">
        <f>IF('Lot Balance'!$A1824="","",'Lot Balance'!$A1824)</f>
        <v/>
      </c>
      <c r="B1825" s="18" t="str">
        <f>IF($A1825="","",'Lot Balance'!$B1824)</f>
        <v/>
      </c>
      <c r="C1825" s="18" t="str">
        <f>IF($A1825="","",'Lot Balance'!$C1824)</f>
        <v/>
      </c>
      <c r="D1825" s="25" t="str">
        <f>IF($A1825="","",'Lot Balance'!$G1824)</f>
        <v/>
      </c>
      <c r="E1825" s="25" t="str">
        <f>IF($A1825="","",'Lot Balance'!$H1824)</f>
        <v/>
      </c>
      <c r="F1825" s="23" t="str">
        <f>IF($A1825="","",'Lot Balance'!$I1824)</f>
        <v/>
      </c>
      <c r="G1825" s="23" t="str">
        <f>IF($A1825="","",'Lot Balance'!$O1824)</f>
        <v/>
      </c>
      <c r="H1825" s="33" t="str">
        <f>IF($A1825="","",'Lot Balance'!$P1824)</f>
        <v/>
      </c>
      <c r="I1825" s="26" t="str">
        <f>IF($A1825="","",COUNTIFS(tblIssues[Lot Number],$B1825))</f>
        <v/>
      </c>
      <c r="J1825" s="31" t="str">
        <f>IF($A1825="","",IF('Lot Balance'!$O1824&lt;=0,"Depleted",'Lot Balance'!$Q1824))</f>
        <v/>
      </c>
    </row>
    <row r="1826" spans="1:10" x14ac:dyDescent="0.35">
      <c r="A1826" s="18" t="str">
        <f>IF('Lot Balance'!$A1825="","",'Lot Balance'!$A1825)</f>
        <v/>
      </c>
      <c r="B1826" s="18" t="str">
        <f>IF($A1826="","",'Lot Balance'!$B1825)</f>
        <v/>
      </c>
      <c r="C1826" s="18" t="str">
        <f>IF($A1826="","",'Lot Balance'!$C1825)</f>
        <v/>
      </c>
      <c r="D1826" s="25" t="str">
        <f>IF($A1826="","",'Lot Balance'!$G1825)</f>
        <v/>
      </c>
      <c r="E1826" s="25" t="str">
        <f>IF($A1826="","",'Lot Balance'!$H1825)</f>
        <v/>
      </c>
      <c r="F1826" s="23" t="str">
        <f>IF($A1826="","",'Lot Balance'!$I1825)</f>
        <v/>
      </c>
      <c r="G1826" s="23" t="str">
        <f>IF($A1826="","",'Lot Balance'!$O1825)</f>
        <v/>
      </c>
      <c r="H1826" s="33" t="str">
        <f>IF($A1826="","",'Lot Balance'!$P1825)</f>
        <v/>
      </c>
      <c r="I1826" s="26" t="str">
        <f>IF($A1826="","",COUNTIFS(tblIssues[Lot Number],$B1826))</f>
        <v/>
      </c>
      <c r="J1826" s="31" t="str">
        <f>IF($A1826="","",IF('Lot Balance'!$O1825&lt;=0,"Depleted",'Lot Balance'!$Q1825))</f>
        <v/>
      </c>
    </row>
    <row r="1827" spans="1:10" x14ac:dyDescent="0.35">
      <c r="A1827" s="18" t="str">
        <f>IF('Lot Balance'!$A1826="","",'Lot Balance'!$A1826)</f>
        <v/>
      </c>
      <c r="B1827" s="18" t="str">
        <f>IF($A1827="","",'Lot Balance'!$B1826)</f>
        <v/>
      </c>
      <c r="C1827" s="18" t="str">
        <f>IF($A1827="","",'Lot Balance'!$C1826)</f>
        <v/>
      </c>
      <c r="D1827" s="25" t="str">
        <f>IF($A1827="","",'Lot Balance'!$G1826)</f>
        <v/>
      </c>
      <c r="E1827" s="25" t="str">
        <f>IF($A1827="","",'Lot Balance'!$H1826)</f>
        <v/>
      </c>
      <c r="F1827" s="23" t="str">
        <f>IF($A1827="","",'Lot Balance'!$I1826)</f>
        <v/>
      </c>
      <c r="G1827" s="23" t="str">
        <f>IF($A1827="","",'Lot Balance'!$O1826)</f>
        <v/>
      </c>
      <c r="H1827" s="33" t="str">
        <f>IF($A1827="","",'Lot Balance'!$P1826)</f>
        <v/>
      </c>
      <c r="I1827" s="26" t="str">
        <f>IF($A1827="","",COUNTIFS(tblIssues[Lot Number],$B1827))</f>
        <v/>
      </c>
      <c r="J1827" s="31" t="str">
        <f>IF($A1827="","",IF('Lot Balance'!$O1826&lt;=0,"Depleted",'Lot Balance'!$Q1826))</f>
        <v/>
      </c>
    </row>
    <row r="1828" spans="1:10" x14ac:dyDescent="0.35">
      <c r="A1828" s="18" t="str">
        <f>IF('Lot Balance'!$A1827="","",'Lot Balance'!$A1827)</f>
        <v/>
      </c>
      <c r="B1828" s="18" t="str">
        <f>IF($A1828="","",'Lot Balance'!$B1827)</f>
        <v/>
      </c>
      <c r="C1828" s="18" t="str">
        <f>IF($A1828="","",'Lot Balance'!$C1827)</f>
        <v/>
      </c>
      <c r="D1828" s="25" t="str">
        <f>IF($A1828="","",'Lot Balance'!$G1827)</f>
        <v/>
      </c>
      <c r="E1828" s="25" t="str">
        <f>IF($A1828="","",'Lot Balance'!$H1827)</f>
        <v/>
      </c>
      <c r="F1828" s="23" t="str">
        <f>IF($A1828="","",'Lot Balance'!$I1827)</f>
        <v/>
      </c>
      <c r="G1828" s="23" t="str">
        <f>IF($A1828="","",'Lot Balance'!$O1827)</f>
        <v/>
      </c>
      <c r="H1828" s="33" t="str">
        <f>IF($A1828="","",'Lot Balance'!$P1827)</f>
        <v/>
      </c>
      <c r="I1828" s="26" t="str">
        <f>IF($A1828="","",COUNTIFS(tblIssues[Lot Number],$B1828))</f>
        <v/>
      </c>
      <c r="J1828" s="31" t="str">
        <f>IF($A1828="","",IF('Lot Balance'!$O1827&lt;=0,"Depleted",'Lot Balance'!$Q1827))</f>
        <v/>
      </c>
    </row>
    <row r="1829" spans="1:10" x14ac:dyDescent="0.35">
      <c r="A1829" s="18" t="str">
        <f>IF('Lot Balance'!$A1828="","",'Lot Balance'!$A1828)</f>
        <v/>
      </c>
      <c r="B1829" s="18" t="str">
        <f>IF($A1829="","",'Lot Balance'!$B1828)</f>
        <v/>
      </c>
      <c r="C1829" s="18" t="str">
        <f>IF($A1829="","",'Lot Balance'!$C1828)</f>
        <v/>
      </c>
      <c r="D1829" s="25" t="str">
        <f>IF($A1829="","",'Lot Balance'!$G1828)</f>
        <v/>
      </c>
      <c r="E1829" s="25" t="str">
        <f>IF($A1829="","",'Lot Balance'!$H1828)</f>
        <v/>
      </c>
      <c r="F1829" s="23" t="str">
        <f>IF($A1829="","",'Lot Balance'!$I1828)</f>
        <v/>
      </c>
      <c r="G1829" s="23" t="str">
        <f>IF($A1829="","",'Lot Balance'!$O1828)</f>
        <v/>
      </c>
      <c r="H1829" s="33" t="str">
        <f>IF($A1829="","",'Lot Balance'!$P1828)</f>
        <v/>
      </c>
      <c r="I1829" s="26" t="str">
        <f>IF($A1829="","",COUNTIFS(tblIssues[Lot Number],$B1829))</f>
        <v/>
      </c>
      <c r="J1829" s="31" t="str">
        <f>IF($A1829="","",IF('Lot Balance'!$O1828&lt;=0,"Depleted",'Lot Balance'!$Q1828))</f>
        <v/>
      </c>
    </row>
    <row r="1830" spans="1:10" x14ac:dyDescent="0.35">
      <c r="A1830" s="18" t="str">
        <f>IF('Lot Balance'!$A1829="","",'Lot Balance'!$A1829)</f>
        <v/>
      </c>
      <c r="B1830" s="18" t="str">
        <f>IF($A1830="","",'Lot Balance'!$B1829)</f>
        <v/>
      </c>
      <c r="C1830" s="18" t="str">
        <f>IF($A1830="","",'Lot Balance'!$C1829)</f>
        <v/>
      </c>
      <c r="D1830" s="25" t="str">
        <f>IF($A1830="","",'Lot Balance'!$G1829)</f>
        <v/>
      </c>
      <c r="E1830" s="25" t="str">
        <f>IF($A1830="","",'Lot Balance'!$H1829)</f>
        <v/>
      </c>
      <c r="F1830" s="23" t="str">
        <f>IF($A1830="","",'Lot Balance'!$I1829)</f>
        <v/>
      </c>
      <c r="G1830" s="23" t="str">
        <f>IF($A1830="","",'Lot Balance'!$O1829)</f>
        <v/>
      </c>
      <c r="H1830" s="33" t="str">
        <f>IF($A1830="","",'Lot Balance'!$P1829)</f>
        <v/>
      </c>
      <c r="I1830" s="26" t="str">
        <f>IF($A1830="","",COUNTIFS(tblIssues[Lot Number],$B1830))</f>
        <v/>
      </c>
      <c r="J1830" s="31" t="str">
        <f>IF($A1830="","",IF('Lot Balance'!$O1829&lt;=0,"Depleted",'Lot Balance'!$Q1829))</f>
        <v/>
      </c>
    </row>
    <row r="1831" spans="1:10" x14ac:dyDescent="0.35">
      <c r="A1831" s="18" t="str">
        <f>IF('Lot Balance'!$A1830="","",'Lot Balance'!$A1830)</f>
        <v/>
      </c>
      <c r="B1831" s="18" t="str">
        <f>IF($A1831="","",'Lot Balance'!$B1830)</f>
        <v/>
      </c>
      <c r="C1831" s="18" t="str">
        <f>IF($A1831="","",'Lot Balance'!$C1830)</f>
        <v/>
      </c>
      <c r="D1831" s="25" t="str">
        <f>IF($A1831="","",'Lot Balance'!$G1830)</f>
        <v/>
      </c>
      <c r="E1831" s="25" t="str">
        <f>IF($A1831="","",'Lot Balance'!$H1830)</f>
        <v/>
      </c>
      <c r="F1831" s="23" t="str">
        <f>IF($A1831="","",'Lot Balance'!$I1830)</f>
        <v/>
      </c>
      <c r="G1831" s="23" t="str">
        <f>IF($A1831="","",'Lot Balance'!$O1830)</f>
        <v/>
      </c>
      <c r="H1831" s="33" t="str">
        <f>IF($A1831="","",'Lot Balance'!$P1830)</f>
        <v/>
      </c>
      <c r="I1831" s="26" t="str">
        <f>IF($A1831="","",COUNTIFS(tblIssues[Lot Number],$B1831))</f>
        <v/>
      </c>
      <c r="J1831" s="31" t="str">
        <f>IF($A1831="","",IF('Lot Balance'!$O1830&lt;=0,"Depleted",'Lot Balance'!$Q1830))</f>
        <v/>
      </c>
    </row>
    <row r="1832" spans="1:10" x14ac:dyDescent="0.35">
      <c r="A1832" s="18" t="str">
        <f>IF('Lot Balance'!$A1831="","",'Lot Balance'!$A1831)</f>
        <v/>
      </c>
      <c r="B1832" s="18" t="str">
        <f>IF($A1832="","",'Lot Balance'!$B1831)</f>
        <v/>
      </c>
      <c r="C1832" s="18" t="str">
        <f>IF($A1832="","",'Lot Balance'!$C1831)</f>
        <v/>
      </c>
      <c r="D1832" s="25" t="str">
        <f>IF($A1832="","",'Lot Balance'!$G1831)</f>
        <v/>
      </c>
      <c r="E1832" s="25" t="str">
        <f>IF($A1832="","",'Lot Balance'!$H1831)</f>
        <v/>
      </c>
      <c r="F1832" s="23" t="str">
        <f>IF($A1832="","",'Lot Balance'!$I1831)</f>
        <v/>
      </c>
      <c r="G1832" s="23" t="str">
        <f>IF($A1832="","",'Lot Balance'!$O1831)</f>
        <v/>
      </c>
      <c r="H1832" s="33" t="str">
        <f>IF($A1832="","",'Lot Balance'!$P1831)</f>
        <v/>
      </c>
      <c r="I1832" s="26" t="str">
        <f>IF($A1832="","",COUNTIFS(tblIssues[Lot Number],$B1832))</f>
        <v/>
      </c>
      <c r="J1832" s="31" t="str">
        <f>IF($A1832="","",IF('Lot Balance'!$O1831&lt;=0,"Depleted",'Lot Balance'!$Q1831))</f>
        <v/>
      </c>
    </row>
    <row r="1833" spans="1:10" x14ac:dyDescent="0.35">
      <c r="A1833" s="18" t="str">
        <f>IF('Lot Balance'!$A1832="","",'Lot Balance'!$A1832)</f>
        <v/>
      </c>
      <c r="B1833" s="18" t="str">
        <f>IF($A1833="","",'Lot Balance'!$B1832)</f>
        <v/>
      </c>
      <c r="C1833" s="18" t="str">
        <f>IF($A1833="","",'Lot Balance'!$C1832)</f>
        <v/>
      </c>
      <c r="D1833" s="25" t="str">
        <f>IF($A1833="","",'Lot Balance'!$G1832)</f>
        <v/>
      </c>
      <c r="E1833" s="25" t="str">
        <f>IF($A1833="","",'Lot Balance'!$H1832)</f>
        <v/>
      </c>
      <c r="F1833" s="23" t="str">
        <f>IF($A1833="","",'Lot Balance'!$I1832)</f>
        <v/>
      </c>
      <c r="G1833" s="23" t="str">
        <f>IF($A1833="","",'Lot Balance'!$O1832)</f>
        <v/>
      </c>
      <c r="H1833" s="33" t="str">
        <f>IF($A1833="","",'Lot Balance'!$P1832)</f>
        <v/>
      </c>
      <c r="I1833" s="26" t="str">
        <f>IF($A1833="","",COUNTIFS(tblIssues[Lot Number],$B1833))</f>
        <v/>
      </c>
      <c r="J1833" s="31" t="str">
        <f>IF($A1833="","",IF('Lot Balance'!$O1832&lt;=0,"Depleted",'Lot Balance'!$Q1832))</f>
        <v/>
      </c>
    </row>
    <row r="1834" spans="1:10" x14ac:dyDescent="0.35">
      <c r="A1834" s="18" t="str">
        <f>IF('Lot Balance'!$A1833="","",'Lot Balance'!$A1833)</f>
        <v/>
      </c>
      <c r="B1834" s="18" t="str">
        <f>IF($A1834="","",'Lot Balance'!$B1833)</f>
        <v/>
      </c>
      <c r="C1834" s="18" t="str">
        <f>IF($A1834="","",'Lot Balance'!$C1833)</f>
        <v/>
      </c>
      <c r="D1834" s="25" t="str">
        <f>IF($A1834="","",'Lot Balance'!$G1833)</f>
        <v/>
      </c>
      <c r="E1834" s="25" t="str">
        <f>IF($A1834="","",'Lot Balance'!$H1833)</f>
        <v/>
      </c>
      <c r="F1834" s="23" t="str">
        <f>IF($A1834="","",'Lot Balance'!$I1833)</f>
        <v/>
      </c>
      <c r="G1834" s="23" t="str">
        <f>IF($A1834="","",'Lot Balance'!$O1833)</f>
        <v/>
      </c>
      <c r="H1834" s="33" t="str">
        <f>IF($A1834="","",'Lot Balance'!$P1833)</f>
        <v/>
      </c>
      <c r="I1834" s="26" t="str">
        <f>IF($A1834="","",COUNTIFS(tblIssues[Lot Number],$B1834))</f>
        <v/>
      </c>
      <c r="J1834" s="31" t="str">
        <f>IF($A1834="","",IF('Lot Balance'!$O1833&lt;=0,"Depleted",'Lot Balance'!$Q1833))</f>
        <v/>
      </c>
    </row>
    <row r="1835" spans="1:10" x14ac:dyDescent="0.35">
      <c r="A1835" s="18" t="str">
        <f>IF('Lot Balance'!$A1834="","",'Lot Balance'!$A1834)</f>
        <v/>
      </c>
      <c r="B1835" s="18" t="str">
        <f>IF($A1835="","",'Lot Balance'!$B1834)</f>
        <v/>
      </c>
      <c r="C1835" s="18" t="str">
        <f>IF($A1835="","",'Lot Balance'!$C1834)</f>
        <v/>
      </c>
      <c r="D1835" s="25" t="str">
        <f>IF($A1835="","",'Lot Balance'!$G1834)</f>
        <v/>
      </c>
      <c r="E1835" s="25" t="str">
        <f>IF($A1835="","",'Lot Balance'!$H1834)</f>
        <v/>
      </c>
      <c r="F1835" s="23" t="str">
        <f>IF($A1835="","",'Lot Balance'!$I1834)</f>
        <v/>
      </c>
      <c r="G1835" s="23" t="str">
        <f>IF($A1835="","",'Lot Balance'!$O1834)</f>
        <v/>
      </c>
      <c r="H1835" s="33" t="str">
        <f>IF($A1835="","",'Lot Balance'!$P1834)</f>
        <v/>
      </c>
      <c r="I1835" s="26" t="str">
        <f>IF($A1835="","",COUNTIFS(tblIssues[Lot Number],$B1835))</f>
        <v/>
      </c>
      <c r="J1835" s="31" t="str">
        <f>IF($A1835="","",IF('Lot Balance'!$O1834&lt;=0,"Depleted",'Lot Balance'!$Q1834))</f>
        <v/>
      </c>
    </row>
    <row r="1836" spans="1:10" x14ac:dyDescent="0.35">
      <c r="A1836" s="18" t="str">
        <f>IF('Lot Balance'!$A1835="","",'Lot Balance'!$A1835)</f>
        <v/>
      </c>
      <c r="B1836" s="18" t="str">
        <f>IF($A1836="","",'Lot Balance'!$B1835)</f>
        <v/>
      </c>
      <c r="C1836" s="18" t="str">
        <f>IF($A1836="","",'Lot Balance'!$C1835)</f>
        <v/>
      </c>
      <c r="D1836" s="25" t="str">
        <f>IF($A1836="","",'Lot Balance'!$G1835)</f>
        <v/>
      </c>
      <c r="E1836" s="25" t="str">
        <f>IF($A1836="","",'Lot Balance'!$H1835)</f>
        <v/>
      </c>
      <c r="F1836" s="23" t="str">
        <f>IF($A1836="","",'Lot Balance'!$I1835)</f>
        <v/>
      </c>
      <c r="G1836" s="23" t="str">
        <f>IF($A1836="","",'Lot Balance'!$O1835)</f>
        <v/>
      </c>
      <c r="H1836" s="33" t="str">
        <f>IF($A1836="","",'Lot Balance'!$P1835)</f>
        <v/>
      </c>
      <c r="I1836" s="26" t="str">
        <f>IF($A1836="","",COUNTIFS(tblIssues[Lot Number],$B1836))</f>
        <v/>
      </c>
      <c r="J1836" s="31" t="str">
        <f>IF($A1836="","",IF('Lot Balance'!$O1835&lt;=0,"Depleted",'Lot Balance'!$Q1835))</f>
        <v/>
      </c>
    </row>
    <row r="1837" spans="1:10" x14ac:dyDescent="0.35">
      <c r="A1837" s="18" t="str">
        <f>IF('Lot Balance'!$A1836="","",'Lot Balance'!$A1836)</f>
        <v/>
      </c>
      <c r="B1837" s="18" t="str">
        <f>IF($A1837="","",'Lot Balance'!$B1836)</f>
        <v/>
      </c>
      <c r="C1837" s="18" t="str">
        <f>IF($A1837="","",'Lot Balance'!$C1836)</f>
        <v/>
      </c>
      <c r="D1837" s="25" t="str">
        <f>IF($A1837="","",'Lot Balance'!$G1836)</f>
        <v/>
      </c>
      <c r="E1837" s="25" t="str">
        <f>IF($A1837="","",'Lot Balance'!$H1836)</f>
        <v/>
      </c>
      <c r="F1837" s="23" t="str">
        <f>IF($A1837="","",'Lot Balance'!$I1836)</f>
        <v/>
      </c>
      <c r="G1837" s="23" t="str">
        <f>IF($A1837="","",'Lot Balance'!$O1836)</f>
        <v/>
      </c>
      <c r="H1837" s="33" t="str">
        <f>IF($A1837="","",'Lot Balance'!$P1836)</f>
        <v/>
      </c>
      <c r="I1837" s="26" t="str">
        <f>IF($A1837="","",COUNTIFS(tblIssues[Lot Number],$B1837))</f>
        <v/>
      </c>
      <c r="J1837" s="31" t="str">
        <f>IF($A1837="","",IF('Lot Balance'!$O1836&lt;=0,"Depleted",'Lot Balance'!$Q1836))</f>
        <v/>
      </c>
    </row>
    <row r="1838" spans="1:10" x14ac:dyDescent="0.35">
      <c r="A1838" s="18" t="str">
        <f>IF('Lot Balance'!$A1837="","",'Lot Balance'!$A1837)</f>
        <v/>
      </c>
      <c r="B1838" s="18" t="str">
        <f>IF($A1838="","",'Lot Balance'!$B1837)</f>
        <v/>
      </c>
      <c r="C1838" s="18" t="str">
        <f>IF($A1838="","",'Lot Balance'!$C1837)</f>
        <v/>
      </c>
      <c r="D1838" s="25" t="str">
        <f>IF($A1838="","",'Lot Balance'!$G1837)</f>
        <v/>
      </c>
      <c r="E1838" s="25" t="str">
        <f>IF($A1838="","",'Lot Balance'!$H1837)</f>
        <v/>
      </c>
      <c r="F1838" s="23" t="str">
        <f>IF($A1838="","",'Lot Balance'!$I1837)</f>
        <v/>
      </c>
      <c r="G1838" s="23" t="str">
        <f>IF($A1838="","",'Lot Balance'!$O1837)</f>
        <v/>
      </c>
      <c r="H1838" s="33" t="str">
        <f>IF($A1838="","",'Lot Balance'!$P1837)</f>
        <v/>
      </c>
      <c r="I1838" s="26" t="str">
        <f>IF($A1838="","",COUNTIFS(tblIssues[Lot Number],$B1838))</f>
        <v/>
      </c>
      <c r="J1838" s="31" t="str">
        <f>IF($A1838="","",IF('Lot Balance'!$O1837&lt;=0,"Depleted",'Lot Balance'!$Q1837))</f>
        <v/>
      </c>
    </row>
    <row r="1839" spans="1:10" x14ac:dyDescent="0.35">
      <c r="A1839" s="18" t="str">
        <f>IF('Lot Balance'!$A1838="","",'Lot Balance'!$A1838)</f>
        <v/>
      </c>
      <c r="B1839" s="18" t="str">
        <f>IF($A1839="","",'Lot Balance'!$B1838)</f>
        <v/>
      </c>
      <c r="C1839" s="18" t="str">
        <f>IF($A1839="","",'Lot Balance'!$C1838)</f>
        <v/>
      </c>
      <c r="D1839" s="25" t="str">
        <f>IF($A1839="","",'Lot Balance'!$G1838)</f>
        <v/>
      </c>
      <c r="E1839" s="25" t="str">
        <f>IF($A1839="","",'Lot Balance'!$H1838)</f>
        <v/>
      </c>
      <c r="F1839" s="23" t="str">
        <f>IF($A1839="","",'Lot Balance'!$I1838)</f>
        <v/>
      </c>
      <c r="G1839" s="23" t="str">
        <f>IF($A1839="","",'Lot Balance'!$O1838)</f>
        <v/>
      </c>
      <c r="H1839" s="33" t="str">
        <f>IF($A1839="","",'Lot Balance'!$P1838)</f>
        <v/>
      </c>
      <c r="I1839" s="26" t="str">
        <f>IF($A1839="","",COUNTIFS(tblIssues[Lot Number],$B1839))</f>
        <v/>
      </c>
      <c r="J1839" s="31" t="str">
        <f>IF($A1839="","",IF('Lot Balance'!$O1838&lt;=0,"Depleted",'Lot Balance'!$Q1838))</f>
        <v/>
      </c>
    </row>
    <row r="1840" spans="1:10" x14ac:dyDescent="0.35">
      <c r="A1840" s="18" t="str">
        <f>IF('Lot Balance'!$A1839="","",'Lot Balance'!$A1839)</f>
        <v/>
      </c>
      <c r="B1840" s="18" t="str">
        <f>IF($A1840="","",'Lot Balance'!$B1839)</f>
        <v/>
      </c>
      <c r="C1840" s="18" t="str">
        <f>IF($A1840="","",'Lot Balance'!$C1839)</f>
        <v/>
      </c>
      <c r="D1840" s="25" t="str">
        <f>IF($A1840="","",'Lot Balance'!$G1839)</f>
        <v/>
      </c>
      <c r="E1840" s="25" t="str">
        <f>IF($A1840="","",'Lot Balance'!$H1839)</f>
        <v/>
      </c>
      <c r="F1840" s="23" t="str">
        <f>IF($A1840="","",'Lot Balance'!$I1839)</f>
        <v/>
      </c>
      <c r="G1840" s="23" t="str">
        <f>IF($A1840="","",'Lot Balance'!$O1839)</f>
        <v/>
      </c>
      <c r="H1840" s="33" t="str">
        <f>IF($A1840="","",'Lot Balance'!$P1839)</f>
        <v/>
      </c>
      <c r="I1840" s="26" t="str">
        <f>IF($A1840="","",COUNTIFS(tblIssues[Lot Number],$B1840))</f>
        <v/>
      </c>
      <c r="J1840" s="31" t="str">
        <f>IF($A1840="","",IF('Lot Balance'!$O1839&lt;=0,"Depleted",'Lot Balance'!$Q1839))</f>
        <v/>
      </c>
    </row>
    <row r="1841" spans="1:10" x14ac:dyDescent="0.35">
      <c r="A1841" s="18" t="str">
        <f>IF('Lot Balance'!$A1840="","",'Lot Balance'!$A1840)</f>
        <v/>
      </c>
      <c r="B1841" s="18" t="str">
        <f>IF($A1841="","",'Lot Balance'!$B1840)</f>
        <v/>
      </c>
      <c r="C1841" s="18" t="str">
        <f>IF($A1841="","",'Lot Balance'!$C1840)</f>
        <v/>
      </c>
      <c r="D1841" s="25" t="str">
        <f>IF($A1841="","",'Lot Balance'!$G1840)</f>
        <v/>
      </c>
      <c r="E1841" s="25" t="str">
        <f>IF($A1841="","",'Lot Balance'!$H1840)</f>
        <v/>
      </c>
      <c r="F1841" s="23" t="str">
        <f>IF($A1841="","",'Lot Balance'!$I1840)</f>
        <v/>
      </c>
      <c r="G1841" s="23" t="str">
        <f>IF($A1841="","",'Lot Balance'!$O1840)</f>
        <v/>
      </c>
      <c r="H1841" s="33" t="str">
        <f>IF($A1841="","",'Lot Balance'!$P1840)</f>
        <v/>
      </c>
      <c r="I1841" s="26" t="str">
        <f>IF($A1841="","",COUNTIFS(tblIssues[Lot Number],$B1841))</f>
        <v/>
      </c>
      <c r="J1841" s="31" t="str">
        <f>IF($A1841="","",IF('Lot Balance'!$O1840&lt;=0,"Depleted",'Lot Balance'!$Q1840))</f>
        <v/>
      </c>
    </row>
    <row r="1842" spans="1:10" x14ac:dyDescent="0.35">
      <c r="A1842" s="18" t="str">
        <f>IF('Lot Balance'!$A1841="","",'Lot Balance'!$A1841)</f>
        <v/>
      </c>
      <c r="B1842" s="18" t="str">
        <f>IF($A1842="","",'Lot Balance'!$B1841)</f>
        <v/>
      </c>
      <c r="C1842" s="18" t="str">
        <f>IF($A1842="","",'Lot Balance'!$C1841)</f>
        <v/>
      </c>
      <c r="D1842" s="25" t="str">
        <f>IF($A1842="","",'Lot Balance'!$G1841)</f>
        <v/>
      </c>
      <c r="E1842" s="25" t="str">
        <f>IF($A1842="","",'Lot Balance'!$H1841)</f>
        <v/>
      </c>
      <c r="F1842" s="23" t="str">
        <f>IF($A1842="","",'Lot Balance'!$I1841)</f>
        <v/>
      </c>
      <c r="G1842" s="23" t="str">
        <f>IF($A1842="","",'Lot Balance'!$O1841)</f>
        <v/>
      </c>
      <c r="H1842" s="33" t="str">
        <f>IF($A1842="","",'Lot Balance'!$P1841)</f>
        <v/>
      </c>
      <c r="I1842" s="26" t="str">
        <f>IF($A1842="","",COUNTIFS(tblIssues[Lot Number],$B1842))</f>
        <v/>
      </c>
      <c r="J1842" s="31" t="str">
        <f>IF($A1842="","",IF('Lot Balance'!$O1841&lt;=0,"Depleted",'Lot Balance'!$Q1841))</f>
        <v/>
      </c>
    </row>
    <row r="1843" spans="1:10" x14ac:dyDescent="0.35">
      <c r="A1843" s="18" t="str">
        <f>IF('Lot Balance'!$A1842="","",'Lot Balance'!$A1842)</f>
        <v/>
      </c>
      <c r="B1843" s="18" t="str">
        <f>IF($A1843="","",'Lot Balance'!$B1842)</f>
        <v/>
      </c>
      <c r="C1843" s="18" t="str">
        <f>IF($A1843="","",'Lot Balance'!$C1842)</f>
        <v/>
      </c>
      <c r="D1843" s="25" t="str">
        <f>IF($A1843="","",'Lot Balance'!$G1842)</f>
        <v/>
      </c>
      <c r="E1843" s="25" t="str">
        <f>IF($A1843="","",'Lot Balance'!$H1842)</f>
        <v/>
      </c>
      <c r="F1843" s="23" t="str">
        <f>IF($A1843="","",'Lot Balance'!$I1842)</f>
        <v/>
      </c>
      <c r="G1843" s="23" t="str">
        <f>IF($A1843="","",'Lot Balance'!$O1842)</f>
        <v/>
      </c>
      <c r="H1843" s="33" t="str">
        <f>IF($A1843="","",'Lot Balance'!$P1842)</f>
        <v/>
      </c>
      <c r="I1843" s="26" t="str">
        <f>IF($A1843="","",COUNTIFS(tblIssues[Lot Number],$B1843))</f>
        <v/>
      </c>
      <c r="J1843" s="31" t="str">
        <f>IF($A1843="","",IF('Lot Balance'!$O1842&lt;=0,"Depleted",'Lot Balance'!$Q1842))</f>
        <v/>
      </c>
    </row>
    <row r="1844" spans="1:10" x14ac:dyDescent="0.35">
      <c r="A1844" s="18" t="str">
        <f>IF('Lot Balance'!$A1843="","",'Lot Balance'!$A1843)</f>
        <v/>
      </c>
      <c r="B1844" s="18" t="str">
        <f>IF($A1844="","",'Lot Balance'!$B1843)</f>
        <v/>
      </c>
      <c r="C1844" s="18" t="str">
        <f>IF($A1844="","",'Lot Balance'!$C1843)</f>
        <v/>
      </c>
      <c r="D1844" s="25" t="str">
        <f>IF($A1844="","",'Lot Balance'!$G1843)</f>
        <v/>
      </c>
      <c r="E1844" s="25" t="str">
        <f>IF($A1844="","",'Lot Balance'!$H1843)</f>
        <v/>
      </c>
      <c r="F1844" s="23" t="str">
        <f>IF($A1844="","",'Lot Balance'!$I1843)</f>
        <v/>
      </c>
      <c r="G1844" s="23" t="str">
        <f>IF($A1844="","",'Lot Balance'!$O1843)</f>
        <v/>
      </c>
      <c r="H1844" s="33" t="str">
        <f>IF($A1844="","",'Lot Balance'!$P1843)</f>
        <v/>
      </c>
      <c r="I1844" s="26" t="str">
        <f>IF($A1844="","",COUNTIFS(tblIssues[Lot Number],$B1844))</f>
        <v/>
      </c>
      <c r="J1844" s="31" t="str">
        <f>IF($A1844="","",IF('Lot Balance'!$O1843&lt;=0,"Depleted",'Lot Balance'!$Q1843))</f>
        <v/>
      </c>
    </row>
    <row r="1845" spans="1:10" x14ac:dyDescent="0.35">
      <c r="A1845" s="18" t="str">
        <f>IF('Lot Balance'!$A1844="","",'Lot Balance'!$A1844)</f>
        <v/>
      </c>
      <c r="B1845" s="18" t="str">
        <f>IF($A1845="","",'Lot Balance'!$B1844)</f>
        <v/>
      </c>
      <c r="C1845" s="18" t="str">
        <f>IF($A1845="","",'Lot Balance'!$C1844)</f>
        <v/>
      </c>
      <c r="D1845" s="25" t="str">
        <f>IF($A1845="","",'Lot Balance'!$G1844)</f>
        <v/>
      </c>
      <c r="E1845" s="25" t="str">
        <f>IF($A1845="","",'Lot Balance'!$H1844)</f>
        <v/>
      </c>
      <c r="F1845" s="23" t="str">
        <f>IF($A1845="","",'Lot Balance'!$I1844)</f>
        <v/>
      </c>
      <c r="G1845" s="23" t="str">
        <f>IF($A1845="","",'Lot Balance'!$O1844)</f>
        <v/>
      </c>
      <c r="H1845" s="33" t="str">
        <f>IF($A1845="","",'Lot Balance'!$P1844)</f>
        <v/>
      </c>
      <c r="I1845" s="26" t="str">
        <f>IF($A1845="","",COUNTIFS(tblIssues[Lot Number],$B1845))</f>
        <v/>
      </c>
      <c r="J1845" s="31" t="str">
        <f>IF($A1845="","",IF('Lot Balance'!$O1844&lt;=0,"Depleted",'Lot Balance'!$Q1844))</f>
        <v/>
      </c>
    </row>
    <row r="1846" spans="1:10" x14ac:dyDescent="0.35">
      <c r="A1846" s="18" t="str">
        <f>IF('Lot Balance'!$A1845="","",'Lot Balance'!$A1845)</f>
        <v/>
      </c>
      <c r="B1846" s="18" t="str">
        <f>IF($A1846="","",'Lot Balance'!$B1845)</f>
        <v/>
      </c>
      <c r="C1846" s="18" t="str">
        <f>IF($A1846="","",'Lot Balance'!$C1845)</f>
        <v/>
      </c>
      <c r="D1846" s="25" t="str">
        <f>IF($A1846="","",'Lot Balance'!$G1845)</f>
        <v/>
      </c>
      <c r="E1846" s="25" t="str">
        <f>IF($A1846="","",'Lot Balance'!$H1845)</f>
        <v/>
      </c>
      <c r="F1846" s="23" t="str">
        <f>IF($A1846="","",'Lot Balance'!$I1845)</f>
        <v/>
      </c>
      <c r="G1846" s="23" t="str">
        <f>IF($A1846="","",'Lot Balance'!$O1845)</f>
        <v/>
      </c>
      <c r="H1846" s="33" t="str">
        <f>IF($A1846="","",'Lot Balance'!$P1845)</f>
        <v/>
      </c>
      <c r="I1846" s="26" t="str">
        <f>IF($A1846="","",COUNTIFS(tblIssues[Lot Number],$B1846))</f>
        <v/>
      </c>
      <c r="J1846" s="31" t="str">
        <f>IF($A1846="","",IF('Lot Balance'!$O1845&lt;=0,"Depleted",'Lot Balance'!$Q1845))</f>
        <v/>
      </c>
    </row>
    <row r="1847" spans="1:10" x14ac:dyDescent="0.35">
      <c r="A1847" s="18" t="str">
        <f>IF('Lot Balance'!$A1846="","",'Lot Balance'!$A1846)</f>
        <v/>
      </c>
      <c r="B1847" s="18" t="str">
        <f>IF($A1847="","",'Lot Balance'!$B1846)</f>
        <v/>
      </c>
      <c r="C1847" s="18" t="str">
        <f>IF($A1847="","",'Lot Balance'!$C1846)</f>
        <v/>
      </c>
      <c r="D1847" s="25" t="str">
        <f>IF($A1847="","",'Lot Balance'!$G1846)</f>
        <v/>
      </c>
      <c r="E1847" s="25" t="str">
        <f>IF($A1847="","",'Lot Balance'!$H1846)</f>
        <v/>
      </c>
      <c r="F1847" s="23" t="str">
        <f>IF($A1847="","",'Lot Balance'!$I1846)</f>
        <v/>
      </c>
      <c r="G1847" s="23" t="str">
        <f>IF($A1847="","",'Lot Balance'!$O1846)</f>
        <v/>
      </c>
      <c r="H1847" s="33" t="str">
        <f>IF($A1847="","",'Lot Balance'!$P1846)</f>
        <v/>
      </c>
      <c r="I1847" s="26" t="str">
        <f>IF($A1847="","",COUNTIFS(tblIssues[Lot Number],$B1847))</f>
        <v/>
      </c>
      <c r="J1847" s="31" t="str">
        <f>IF($A1847="","",IF('Lot Balance'!$O1846&lt;=0,"Depleted",'Lot Balance'!$Q1846))</f>
        <v/>
      </c>
    </row>
    <row r="1848" spans="1:10" x14ac:dyDescent="0.35">
      <c r="A1848" s="18" t="str">
        <f>IF('Lot Balance'!$A1847="","",'Lot Balance'!$A1847)</f>
        <v/>
      </c>
      <c r="B1848" s="18" t="str">
        <f>IF($A1848="","",'Lot Balance'!$B1847)</f>
        <v/>
      </c>
      <c r="C1848" s="18" t="str">
        <f>IF($A1848="","",'Lot Balance'!$C1847)</f>
        <v/>
      </c>
      <c r="D1848" s="25" t="str">
        <f>IF($A1848="","",'Lot Balance'!$G1847)</f>
        <v/>
      </c>
      <c r="E1848" s="25" t="str">
        <f>IF($A1848="","",'Lot Balance'!$H1847)</f>
        <v/>
      </c>
      <c r="F1848" s="23" t="str">
        <f>IF($A1848="","",'Lot Balance'!$I1847)</f>
        <v/>
      </c>
      <c r="G1848" s="23" t="str">
        <f>IF($A1848="","",'Lot Balance'!$O1847)</f>
        <v/>
      </c>
      <c r="H1848" s="33" t="str">
        <f>IF($A1848="","",'Lot Balance'!$P1847)</f>
        <v/>
      </c>
      <c r="I1848" s="26" t="str">
        <f>IF($A1848="","",COUNTIFS(tblIssues[Lot Number],$B1848))</f>
        <v/>
      </c>
      <c r="J1848" s="31" t="str">
        <f>IF($A1848="","",IF('Lot Balance'!$O1847&lt;=0,"Depleted",'Lot Balance'!$Q1847))</f>
        <v/>
      </c>
    </row>
    <row r="1849" spans="1:10" x14ac:dyDescent="0.35">
      <c r="A1849" s="18" t="str">
        <f>IF('Lot Balance'!$A1848="","",'Lot Balance'!$A1848)</f>
        <v/>
      </c>
      <c r="B1849" s="18" t="str">
        <f>IF($A1849="","",'Lot Balance'!$B1848)</f>
        <v/>
      </c>
      <c r="C1849" s="18" t="str">
        <f>IF($A1849="","",'Lot Balance'!$C1848)</f>
        <v/>
      </c>
      <c r="D1849" s="25" t="str">
        <f>IF($A1849="","",'Lot Balance'!$G1848)</f>
        <v/>
      </c>
      <c r="E1849" s="25" t="str">
        <f>IF($A1849="","",'Lot Balance'!$H1848)</f>
        <v/>
      </c>
      <c r="F1849" s="23" t="str">
        <f>IF($A1849="","",'Lot Balance'!$I1848)</f>
        <v/>
      </c>
      <c r="G1849" s="23" t="str">
        <f>IF($A1849="","",'Lot Balance'!$O1848)</f>
        <v/>
      </c>
      <c r="H1849" s="33" t="str">
        <f>IF($A1849="","",'Lot Balance'!$P1848)</f>
        <v/>
      </c>
      <c r="I1849" s="26" t="str">
        <f>IF($A1849="","",COUNTIFS(tblIssues[Lot Number],$B1849))</f>
        <v/>
      </c>
      <c r="J1849" s="31" t="str">
        <f>IF($A1849="","",IF('Lot Balance'!$O1848&lt;=0,"Depleted",'Lot Balance'!$Q1848))</f>
        <v/>
      </c>
    </row>
    <row r="1850" spans="1:10" x14ac:dyDescent="0.35">
      <c r="A1850" s="18" t="str">
        <f>IF('Lot Balance'!$A1849="","",'Lot Balance'!$A1849)</f>
        <v/>
      </c>
      <c r="B1850" s="18" t="str">
        <f>IF($A1850="","",'Lot Balance'!$B1849)</f>
        <v/>
      </c>
      <c r="C1850" s="18" t="str">
        <f>IF($A1850="","",'Lot Balance'!$C1849)</f>
        <v/>
      </c>
      <c r="D1850" s="25" t="str">
        <f>IF($A1850="","",'Lot Balance'!$G1849)</f>
        <v/>
      </c>
      <c r="E1850" s="25" t="str">
        <f>IF($A1850="","",'Lot Balance'!$H1849)</f>
        <v/>
      </c>
      <c r="F1850" s="23" t="str">
        <f>IF($A1850="","",'Lot Balance'!$I1849)</f>
        <v/>
      </c>
      <c r="G1850" s="23" t="str">
        <f>IF($A1850="","",'Lot Balance'!$O1849)</f>
        <v/>
      </c>
      <c r="H1850" s="33" t="str">
        <f>IF($A1850="","",'Lot Balance'!$P1849)</f>
        <v/>
      </c>
      <c r="I1850" s="26" t="str">
        <f>IF($A1850="","",COUNTIFS(tblIssues[Lot Number],$B1850))</f>
        <v/>
      </c>
      <c r="J1850" s="31" t="str">
        <f>IF($A1850="","",IF('Lot Balance'!$O1849&lt;=0,"Depleted",'Lot Balance'!$Q1849))</f>
        <v/>
      </c>
    </row>
    <row r="1851" spans="1:10" x14ac:dyDescent="0.35">
      <c r="A1851" s="18" t="str">
        <f>IF('Lot Balance'!$A1850="","",'Lot Balance'!$A1850)</f>
        <v/>
      </c>
      <c r="B1851" s="18" t="str">
        <f>IF($A1851="","",'Lot Balance'!$B1850)</f>
        <v/>
      </c>
      <c r="C1851" s="18" t="str">
        <f>IF($A1851="","",'Lot Balance'!$C1850)</f>
        <v/>
      </c>
      <c r="D1851" s="25" t="str">
        <f>IF($A1851="","",'Lot Balance'!$G1850)</f>
        <v/>
      </c>
      <c r="E1851" s="25" t="str">
        <f>IF($A1851="","",'Lot Balance'!$H1850)</f>
        <v/>
      </c>
      <c r="F1851" s="23" t="str">
        <f>IF($A1851="","",'Lot Balance'!$I1850)</f>
        <v/>
      </c>
      <c r="G1851" s="23" t="str">
        <f>IF($A1851="","",'Lot Balance'!$O1850)</f>
        <v/>
      </c>
      <c r="H1851" s="33" t="str">
        <f>IF($A1851="","",'Lot Balance'!$P1850)</f>
        <v/>
      </c>
      <c r="I1851" s="26" t="str">
        <f>IF($A1851="","",COUNTIFS(tblIssues[Lot Number],$B1851))</f>
        <v/>
      </c>
      <c r="J1851" s="31" t="str">
        <f>IF($A1851="","",IF('Lot Balance'!$O1850&lt;=0,"Depleted",'Lot Balance'!$Q1850))</f>
        <v/>
      </c>
    </row>
    <row r="1852" spans="1:10" x14ac:dyDescent="0.35">
      <c r="A1852" s="18" t="str">
        <f>IF('Lot Balance'!$A1851="","",'Lot Balance'!$A1851)</f>
        <v/>
      </c>
      <c r="B1852" s="18" t="str">
        <f>IF($A1852="","",'Lot Balance'!$B1851)</f>
        <v/>
      </c>
      <c r="C1852" s="18" t="str">
        <f>IF($A1852="","",'Lot Balance'!$C1851)</f>
        <v/>
      </c>
      <c r="D1852" s="25" t="str">
        <f>IF($A1852="","",'Lot Balance'!$G1851)</f>
        <v/>
      </c>
      <c r="E1852" s="25" t="str">
        <f>IF($A1852="","",'Lot Balance'!$H1851)</f>
        <v/>
      </c>
      <c r="F1852" s="23" t="str">
        <f>IF($A1852="","",'Lot Balance'!$I1851)</f>
        <v/>
      </c>
      <c r="G1852" s="23" t="str">
        <f>IF($A1852="","",'Lot Balance'!$O1851)</f>
        <v/>
      </c>
      <c r="H1852" s="33" t="str">
        <f>IF($A1852="","",'Lot Balance'!$P1851)</f>
        <v/>
      </c>
      <c r="I1852" s="26" t="str">
        <f>IF($A1852="","",COUNTIFS(tblIssues[Lot Number],$B1852))</f>
        <v/>
      </c>
      <c r="J1852" s="31" t="str">
        <f>IF($A1852="","",IF('Lot Balance'!$O1851&lt;=0,"Depleted",'Lot Balance'!$Q1851))</f>
        <v/>
      </c>
    </row>
    <row r="1853" spans="1:10" x14ac:dyDescent="0.35">
      <c r="A1853" s="18" t="str">
        <f>IF('Lot Balance'!$A1852="","",'Lot Balance'!$A1852)</f>
        <v/>
      </c>
      <c r="B1853" s="18" t="str">
        <f>IF($A1853="","",'Lot Balance'!$B1852)</f>
        <v/>
      </c>
      <c r="C1853" s="18" t="str">
        <f>IF($A1853="","",'Lot Balance'!$C1852)</f>
        <v/>
      </c>
      <c r="D1853" s="25" t="str">
        <f>IF($A1853="","",'Lot Balance'!$G1852)</f>
        <v/>
      </c>
      <c r="E1853" s="25" t="str">
        <f>IF($A1853="","",'Lot Balance'!$H1852)</f>
        <v/>
      </c>
      <c r="F1853" s="23" t="str">
        <f>IF($A1853="","",'Lot Balance'!$I1852)</f>
        <v/>
      </c>
      <c r="G1853" s="23" t="str">
        <f>IF($A1853="","",'Lot Balance'!$O1852)</f>
        <v/>
      </c>
      <c r="H1853" s="33" t="str">
        <f>IF($A1853="","",'Lot Balance'!$P1852)</f>
        <v/>
      </c>
      <c r="I1853" s="26" t="str">
        <f>IF($A1853="","",COUNTIFS(tblIssues[Lot Number],$B1853))</f>
        <v/>
      </c>
      <c r="J1853" s="31" t="str">
        <f>IF($A1853="","",IF('Lot Balance'!$O1852&lt;=0,"Depleted",'Lot Balance'!$Q1852))</f>
        <v/>
      </c>
    </row>
    <row r="1854" spans="1:10" x14ac:dyDescent="0.35">
      <c r="A1854" s="18" t="str">
        <f>IF('Lot Balance'!$A1853="","",'Lot Balance'!$A1853)</f>
        <v/>
      </c>
      <c r="B1854" s="18" t="str">
        <f>IF($A1854="","",'Lot Balance'!$B1853)</f>
        <v/>
      </c>
      <c r="C1854" s="18" t="str">
        <f>IF($A1854="","",'Lot Balance'!$C1853)</f>
        <v/>
      </c>
      <c r="D1854" s="25" t="str">
        <f>IF($A1854="","",'Lot Balance'!$G1853)</f>
        <v/>
      </c>
      <c r="E1854" s="25" t="str">
        <f>IF($A1854="","",'Lot Balance'!$H1853)</f>
        <v/>
      </c>
      <c r="F1854" s="23" t="str">
        <f>IF($A1854="","",'Lot Balance'!$I1853)</f>
        <v/>
      </c>
      <c r="G1854" s="23" t="str">
        <f>IF($A1854="","",'Lot Balance'!$O1853)</f>
        <v/>
      </c>
      <c r="H1854" s="33" t="str">
        <f>IF($A1854="","",'Lot Balance'!$P1853)</f>
        <v/>
      </c>
      <c r="I1854" s="26" t="str">
        <f>IF($A1854="","",COUNTIFS(tblIssues[Lot Number],$B1854))</f>
        <v/>
      </c>
      <c r="J1854" s="31" t="str">
        <f>IF($A1854="","",IF('Lot Balance'!$O1853&lt;=0,"Depleted",'Lot Balance'!$Q1853))</f>
        <v/>
      </c>
    </row>
    <row r="1855" spans="1:10" x14ac:dyDescent="0.35">
      <c r="A1855" s="18" t="str">
        <f>IF('Lot Balance'!$A1854="","",'Lot Balance'!$A1854)</f>
        <v/>
      </c>
      <c r="B1855" s="18" t="str">
        <f>IF($A1855="","",'Lot Balance'!$B1854)</f>
        <v/>
      </c>
      <c r="C1855" s="18" t="str">
        <f>IF($A1855="","",'Lot Balance'!$C1854)</f>
        <v/>
      </c>
      <c r="D1855" s="25" t="str">
        <f>IF($A1855="","",'Lot Balance'!$G1854)</f>
        <v/>
      </c>
      <c r="E1855" s="25" t="str">
        <f>IF($A1855="","",'Lot Balance'!$H1854)</f>
        <v/>
      </c>
      <c r="F1855" s="23" t="str">
        <f>IF($A1855="","",'Lot Balance'!$I1854)</f>
        <v/>
      </c>
      <c r="G1855" s="23" t="str">
        <f>IF($A1855="","",'Lot Balance'!$O1854)</f>
        <v/>
      </c>
      <c r="H1855" s="33" t="str">
        <f>IF($A1855="","",'Lot Balance'!$P1854)</f>
        <v/>
      </c>
      <c r="I1855" s="26" t="str">
        <f>IF($A1855="","",COUNTIFS(tblIssues[Lot Number],$B1855))</f>
        <v/>
      </c>
      <c r="J1855" s="31" t="str">
        <f>IF($A1855="","",IF('Lot Balance'!$O1854&lt;=0,"Depleted",'Lot Balance'!$Q1854))</f>
        <v/>
      </c>
    </row>
    <row r="1856" spans="1:10" x14ac:dyDescent="0.35">
      <c r="A1856" s="18" t="str">
        <f>IF('Lot Balance'!$A1855="","",'Lot Balance'!$A1855)</f>
        <v/>
      </c>
      <c r="B1856" s="18" t="str">
        <f>IF($A1856="","",'Lot Balance'!$B1855)</f>
        <v/>
      </c>
      <c r="C1856" s="18" t="str">
        <f>IF($A1856="","",'Lot Balance'!$C1855)</f>
        <v/>
      </c>
      <c r="D1856" s="25" t="str">
        <f>IF($A1856="","",'Lot Balance'!$G1855)</f>
        <v/>
      </c>
      <c r="E1856" s="25" t="str">
        <f>IF($A1856="","",'Lot Balance'!$H1855)</f>
        <v/>
      </c>
      <c r="F1856" s="23" t="str">
        <f>IF($A1856="","",'Lot Balance'!$I1855)</f>
        <v/>
      </c>
      <c r="G1856" s="23" t="str">
        <f>IF($A1856="","",'Lot Balance'!$O1855)</f>
        <v/>
      </c>
      <c r="H1856" s="33" t="str">
        <f>IF($A1856="","",'Lot Balance'!$P1855)</f>
        <v/>
      </c>
      <c r="I1856" s="26" t="str">
        <f>IF($A1856="","",COUNTIFS(tblIssues[Lot Number],$B1856))</f>
        <v/>
      </c>
      <c r="J1856" s="31" t="str">
        <f>IF($A1856="","",IF('Lot Balance'!$O1855&lt;=0,"Depleted",'Lot Balance'!$Q1855))</f>
        <v/>
      </c>
    </row>
    <row r="1857" spans="1:10" x14ac:dyDescent="0.35">
      <c r="A1857" s="18" t="str">
        <f>IF('Lot Balance'!$A1856="","",'Lot Balance'!$A1856)</f>
        <v/>
      </c>
      <c r="B1857" s="18" t="str">
        <f>IF($A1857="","",'Lot Balance'!$B1856)</f>
        <v/>
      </c>
      <c r="C1857" s="18" t="str">
        <f>IF($A1857="","",'Lot Balance'!$C1856)</f>
        <v/>
      </c>
      <c r="D1857" s="25" t="str">
        <f>IF($A1857="","",'Lot Balance'!$G1856)</f>
        <v/>
      </c>
      <c r="E1857" s="25" t="str">
        <f>IF($A1857="","",'Lot Balance'!$H1856)</f>
        <v/>
      </c>
      <c r="F1857" s="23" t="str">
        <f>IF($A1857="","",'Lot Balance'!$I1856)</f>
        <v/>
      </c>
      <c r="G1857" s="23" t="str">
        <f>IF($A1857="","",'Lot Balance'!$O1856)</f>
        <v/>
      </c>
      <c r="H1857" s="33" t="str">
        <f>IF($A1857="","",'Lot Balance'!$P1856)</f>
        <v/>
      </c>
      <c r="I1857" s="26" t="str">
        <f>IF($A1857="","",COUNTIFS(tblIssues[Lot Number],$B1857))</f>
        <v/>
      </c>
      <c r="J1857" s="31" t="str">
        <f>IF($A1857="","",IF('Lot Balance'!$O1856&lt;=0,"Depleted",'Lot Balance'!$Q1856))</f>
        <v/>
      </c>
    </row>
    <row r="1858" spans="1:10" x14ac:dyDescent="0.35">
      <c r="A1858" s="18" t="str">
        <f>IF('Lot Balance'!$A1857="","",'Lot Balance'!$A1857)</f>
        <v/>
      </c>
      <c r="B1858" s="18" t="str">
        <f>IF($A1858="","",'Lot Balance'!$B1857)</f>
        <v/>
      </c>
      <c r="C1858" s="18" t="str">
        <f>IF($A1858="","",'Lot Balance'!$C1857)</f>
        <v/>
      </c>
      <c r="D1858" s="25" t="str">
        <f>IF($A1858="","",'Lot Balance'!$G1857)</f>
        <v/>
      </c>
      <c r="E1858" s="25" t="str">
        <f>IF($A1858="","",'Lot Balance'!$H1857)</f>
        <v/>
      </c>
      <c r="F1858" s="23" t="str">
        <f>IF($A1858="","",'Lot Balance'!$I1857)</f>
        <v/>
      </c>
      <c r="G1858" s="23" t="str">
        <f>IF($A1858="","",'Lot Balance'!$O1857)</f>
        <v/>
      </c>
      <c r="H1858" s="33" t="str">
        <f>IF($A1858="","",'Lot Balance'!$P1857)</f>
        <v/>
      </c>
      <c r="I1858" s="26" t="str">
        <f>IF($A1858="","",COUNTIFS(tblIssues[Lot Number],$B1858))</f>
        <v/>
      </c>
      <c r="J1858" s="31" t="str">
        <f>IF($A1858="","",IF('Lot Balance'!$O1857&lt;=0,"Depleted",'Lot Balance'!$Q1857))</f>
        <v/>
      </c>
    </row>
    <row r="1859" spans="1:10" x14ac:dyDescent="0.35">
      <c r="A1859" s="18" t="str">
        <f>IF('Lot Balance'!$A1858="","",'Lot Balance'!$A1858)</f>
        <v/>
      </c>
      <c r="B1859" s="18" t="str">
        <f>IF($A1859="","",'Lot Balance'!$B1858)</f>
        <v/>
      </c>
      <c r="C1859" s="18" t="str">
        <f>IF($A1859="","",'Lot Balance'!$C1858)</f>
        <v/>
      </c>
      <c r="D1859" s="25" t="str">
        <f>IF($A1859="","",'Lot Balance'!$G1858)</f>
        <v/>
      </c>
      <c r="E1859" s="25" t="str">
        <f>IF($A1859="","",'Lot Balance'!$H1858)</f>
        <v/>
      </c>
      <c r="F1859" s="23" t="str">
        <f>IF($A1859="","",'Lot Balance'!$I1858)</f>
        <v/>
      </c>
      <c r="G1859" s="23" t="str">
        <f>IF($A1859="","",'Lot Balance'!$O1858)</f>
        <v/>
      </c>
      <c r="H1859" s="33" t="str">
        <f>IF($A1859="","",'Lot Balance'!$P1858)</f>
        <v/>
      </c>
      <c r="I1859" s="26" t="str">
        <f>IF($A1859="","",COUNTIFS(tblIssues[Lot Number],$B1859))</f>
        <v/>
      </c>
      <c r="J1859" s="31" t="str">
        <f>IF($A1859="","",IF('Lot Balance'!$O1858&lt;=0,"Depleted",'Lot Balance'!$Q1858))</f>
        <v/>
      </c>
    </row>
    <row r="1860" spans="1:10" x14ac:dyDescent="0.35">
      <c r="A1860" s="18" t="str">
        <f>IF('Lot Balance'!$A1859="","",'Lot Balance'!$A1859)</f>
        <v/>
      </c>
      <c r="B1860" s="18" t="str">
        <f>IF($A1860="","",'Lot Balance'!$B1859)</f>
        <v/>
      </c>
      <c r="C1860" s="18" t="str">
        <f>IF($A1860="","",'Lot Balance'!$C1859)</f>
        <v/>
      </c>
      <c r="D1860" s="25" t="str">
        <f>IF($A1860="","",'Lot Balance'!$G1859)</f>
        <v/>
      </c>
      <c r="E1860" s="25" t="str">
        <f>IF($A1860="","",'Lot Balance'!$H1859)</f>
        <v/>
      </c>
      <c r="F1860" s="23" t="str">
        <f>IF($A1860="","",'Lot Balance'!$I1859)</f>
        <v/>
      </c>
      <c r="G1860" s="23" t="str">
        <f>IF($A1860="","",'Lot Balance'!$O1859)</f>
        <v/>
      </c>
      <c r="H1860" s="33" t="str">
        <f>IF($A1860="","",'Lot Balance'!$P1859)</f>
        <v/>
      </c>
      <c r="I1860" s="26" t="str">
        <f>IF($A1860="","",COUNTIFS(tblIssues[Lot Number],$B1860))</f>
        <v/>
      </c>
      <c r="J1860" s="31" t="str">
        <f>IF($A1860="","",IF('Lot Balance'!$O1859&lt;=0,"Depleted",'Lot Balance'!$Q1859))</f>
        <v/>
      </c>
    </row>
    <row r="1861" spans="1:10" x14ac:dyDescent="0.35">
      <c r="A1861" s="18" t="str">
        <f>IF('Lot Balance'!$A1860="","",'Lot Balance'!$A1860)</f>
        <v/>
      </c>
      <c r="B1861" s="18" t="str">
        <f>IF($A1861="","",'Lot Balance'!$B1860)</f>
        <v/>
      </c>
      <c r="C1861" s="18" t="str">
        <f>IF($A1861="","",'Lot Balance'!$C1860)</f>
        <v/>
      </c>
      <c r="D1861" s="25" t="str">
        <f>IF($A1861="","",'Lot Balance'!$G1860)</f>
        <v/>
      </c>
      <c r="E1861" s="25" t="str">
        <f>IF($A1861="","",'Lot Balance'!$H1860)</f>
        <v/>
      </c>
      <c r="F1861" s="23" t="str">
        <f>IF($A1861="","",'Lot Balance'!$I1860)</f>
        <v/>
      </c>
      <c r="G1861" s="23" t="str">
        <f>IF($A1861="","",'Lot Balance'!$O1860)</f>
        <v/>
      </c>
      <c r="H1861" s="33" t="str">
        <f>IF($A1861="","",'Lot Balance'!$P1860)</f>
        <v/>
      </c>
      <c r="I1861" s="26" t="str">
        <f>IF($A1861="","",COUNTIFS(tblIssues[Lot Number],$B1861))</f>
        <v/>
      </c>
      <c r="J1861" s="31" t="str">
        <f>IF($A1861="","",IF('Lot Balance'!$O1860&lt;=0,"Depleted",'Lot Balance'!$Q1860))</f>
        <v/>
      </c>
    </row>
    <row r="1862" spans="1:10" x14ac:dyDescent="0.35">
      <c r="A1862" s="18" t="str">
        <f>IF('Lot Balance'!$A1861="","",'Lot Balance'!$A1861)</f>
        <v/>
      </c>
      <c r="B1862" s="18" t="str">
        <f>IF($A1862="","",'Lot Balance'!$B1861)</f>
        <v/>
      </c>
      <c r="C1862" s="18" t="str">
        <f>IF($A1862="","",'Lot Balance'!$C1861)</f>
        <v/>
      </c>
      <c r="D1862" s="25" t="str">
        <f>IF($A1862="","",'Lot Balance'!$G1861)</f>
        <v/>
      </c>
      <c r="E1862" s="25" t="str">
        <f>IF($A1862="","",'Lot Balance'!$H1861)</f>
        <v/>
      </c>
      <c r="F1862" s="23" t="str">
        <f>IF($A1862="","",'Lot Balance'!$I1861)</f>
        <v/>
      </c>
      <c r="G1862" s="23" t="str">
        <f>IF($A1862="","",'Lot Balance'!$O1861)</f>
        <v/>
      </c>
      <c r="H1862" s="33" t="str">
        <f>IF($A1862="","",'Lot Balance'!$P1861)</f>
        <v/>
      </c>
      <c r="I1862" s="26" t="str">
        <f>IF($A1862="","",COUNTIFS(tblIssues[Lot Number],$B1862))</f>
        <v/>
      </c>
      <c r="J1862" s="31" t="str">
        <f>IF($A1862="","",IF('Lot Balance'!$O1861&lt;=0,"Depleted",'Lot Balance'!$Q1861))</f>
        <v/>
      </c>
    </row>
    <row r="1863" spans="1:10" x14ac:dyDescent="0.35">
      <c r="A1863" s="18" t="str">
        <f>IF('Lot Balance'!$A1862="","",'Lot Balance'!$A1862)</f>
        <v/>
      </c>
      <c r="B1863" s="18" t="str">
        <f>IF($A1863="","",'Lot Balance'!$B1862)</f>
        <v/>
      </c>
      <c r="C1863" s="18" t="str">
        <f>IF($A1863="","",'Lot Balance'!$C1862)</f>
        <v/>
      </c>
      <c r="D1863" s="25" t="str">
        <f>IF($A1863="","",'Lot Balance'!$G1862)</f>
        <v/>
      </c>
      <c r="E1863" s="25" t="str">
        <f>IF($A1863="","",'Lot Balance'!$H1862)</f>
        <v/>
      </c>
      <c r="F1863" s="23" t="str">
        <f>IF($A1863="","",'Lot Balance'!$I1862)</f>
        <v/>
      </c>
      <c r="G1863" s="23" t="str">
        <f>IF($A1863="","",'Lot Balance'!$O1862)</f>
        <v/>
      </c>
      <c r="H1863" s="33" t="str">
        <f>IF($A1863="","",'Lot Balance'!$P1862)</f>
        <v/>
      </c>
      <c r="I1863" s="26" t="str">
        <f>IF($A1863="","",COUNTIFS(tblIssues[Lot Number],$B1863))</f>
        <v/>
      </c>
      <c r="J1863" s="31" t="str">
        <f>IF($A1863="","",IF('Lot Balance'!$O1862&lt;=0,"Depleted",'Lot Balance'!$Q1862))</f>
        <v/>
      </c>
    </row>
    <row r="1864" spans="1:10" x14ac:dyDescent="0.35">
      <c r="A1864" s="18" t="str">
        <f>IF('Lot Balance'!$A1863="","",'Lot Balance'!$A1863)</f>
        <v/>
      </c>
      <c r="B1864" s="18" t="str">
        <f>IF($A1864="","",'Lot Balance'!$B1863)</f>
        <v/>
      </c>
      <c r="C1864" s="18" t="str">
        <f>IF($A1864="","",'Lot Balance'!$C1863)</f>
        <v/>
      </c>
      <c r="D1864" s="25" t="str">
        <f>IF($A1864="","",'Lot Balance'!$G1863)</f>
        <v/>
      </c>
      <c r="E1864" s="25" t="str">
        <f>IF($A1864="","",'Lot Balance'!$H1863)</f>
        <v/>
      </c>
      <c r="F1864" s="23" t="str">
        <f>IF($A1864="","",'Lot Balance'!$I1863)</f>
        <v/>
      </c>
      <c r="G1864" s="23" t="str">
        <f>IF($A1864="","",'Lot Balance'!$O1863)</f>
        <v/>
      </c>
      <c r="H1864" s="33" t="str">
        <f>IF($A1864="","",'Lot Balance'!$P1863)</f>
        <v/>
      </c>
      <c r="I1864" s="26" t="str">
        <f>IF($A1864="","",COUNTIFS(tblIssues[Lot Number],$B1864))</f>
        <v/>
      </c>
      <c r="J1864" s="31" t="str">
        <f>IF($A1864="","",IF('Lot Balance'!$O1863&lt;=0,"Depleted",'Lot Balance'!$Q1863))</f>
        <v/>
      </c>
    </row>
    <row r="1865" spans="1:10" x14ac:dyDescent="0.35">
      <c r="A1865" s="18" t="str">
        <f>IF('Lot Balance'!$A1864="","",'Lot Balance'!$A1864)</f>
        <v/>
      </c>
      <c r="B1865" s="18" t="str">
        <f>IF($A1865="","",'Lot Balance'!$B1864)</f>
        <v/>
      </c>
      <c r="C1865" s="18" t="str">
        <f>IF($A1865="","",'Lot Balance'!$C1864)</f>
        <v/>
      </c>
      <c r="D1865" s="25" t="str">
        <f>IF($A1865="","",'Lot Balance'!$G1864)</f>
        <v/>
      </c>
      <c r="E1865" s="25" t="str">
        <f>IF($A1865="","",'Lot Balance'!$H1864)</f>
        <v/>
      </c>
      <c r="F1865" s="23" t="str">
        <f>IF($A1865="","",'Lot Balance'!$I1864)</f>
        <v/>
      </c>
      <c r="G1865" s="23" t="str">
        <f>IF($A1865="","",'Lot Balance'!$O1864)</f>
        <v/>
      </c>
      <c r="H1865" s="33" t="str">
        <f>IF($A1865="","",'Lot Balance'!$P1864)</f>
        <v/>
      </c>
      <c r="I1865" s="26" t="str">
        <f>IF($A1865="","",COUNTIFS(tblIssues[Lot Number],$B1865))</f>
        <v/>
      </c>
      <c r="J1865" s="31" t="str">
        <f>IF($A1865="","",IF('Lot Balance'!$O1864&lt;=0,"Depleted",'Lot Balance'!$Q1864))</f>
        <v/>
      </c>
    </row>
    <row r="1866" spans="1:10" x14ac:dyDescent="0.35">
      <c r="A1866" s="18" t="str">
        <f>IF('Lot Balance'!$A1865="","",'Lot Balance'!$A1865)</f>
        <v/>
      </c>
      <c r="B1866" s="18" t="str">
        <f>IF($A1866="","",'Lot Balance'!$B1865)</f>
        <v/>
      </c>
      <c r="C1866" s="18" t="str">
        <f>IF($A1866="","",'Lot Balance'!$C1865)</f>
        <v/>
      </c>
      <c r="D1866" s="25" t="str">
        <f>IF($A1866="","",'Lot Balance'!$G1865)</f>
        <v/>
      </c>
      <c r="E1866" s="25" t="str">
        <f>IF($A1866="","",'Lot Balance'!$H1865)</f>
        <v/>
      </c>
      <c r="F1866" s="23" t="str">
        <f>IF($A1866="","",'Lot Balance'!$I1865)</f>
        <v/>
      </c>
      <c r="G1866" s="23" t="str">
        <f>IF($A1866="","",'Lot Balance'!$O1865)</f>
        <v/>
      </c>
      <c r="H1866" s="33" t="str">
        <f>IF($A1866="","",'Lot Balance'!$P1865)</f>
        <v/>
      </c>
      <c r="I1866" s="26" t="str">
        <f>IF($A1866="","",COUNTIFS(tblIssues[Lot Number],$B1866))</f>
        <v/>
      </c>
      <c r="J1866" s="31" t="str">
        <f>IF($A1866="","",IF('Lot Balance'!$O1865&lt;=0,"Depleted",'Lot Balance'!$Q1865))</f>
        <v/>
      </c>
    </row>
    <row r="1867" spans="1:10" x14ac:dyDescent="0.35">
      <c r="A1867" s="18" t="str">
        <f>IF('Lot Balance'!$A1866="","",'Lot Balance'!$A1866)</f>
        <v/>
      </c>
      <c r="B1867" s="18" t="str">
        <f>IF($A1867="","",'Lot Balance'!$B1866)</f>
        <v/>
      </c>
      <c r="C1867" s="18" t="str">
        <f>IF($A1867="","",'Lot Balance'!$C1866)</f>
        <v/>
      </c>
      <c r="D1867" s="25" t="str">
        <f>IF($A1867="","",'Lot Balance'!$G1866)</f>
        <v/>
      </c>
      <c r="E1867" s="25" t="str">
        <f>IF($A1867="","",'Lot Balance'!$H1866)</f>
        <v/>
      </c>
      <c r="F1867" s="23" t="str">
        <f>IF($A1867="","",'Lot Balance'!$I1866)</f>
        <v/>
      </c>
      <c r="G1867" s="23" t="str">
        <f>IF($A1867="","",'Lot Balance'!$O1866)</f>
        <v/>
      </c>
      <c r="H1867" s="33" t="str">
        <f>IF($A1867="","",'Lot Balance'!$P1866)</f>
        <v/>
      </c>
      <c r="I1867" s="26" t="str">
        <f>IF($A1867="","",COUNTIFS(tblIssues[Lot Number],$B1867))</f>
        <v/>
      </c>
      <c r="J1867" s="31" t="str">
        <f>IF($A1867="","",IF('Lot Balance'!$O1866&lt;=0,"Depleted",'Lot Balance'!$Q1866))</f>
        <v/>
      </c>
    </row>
    <row r="1868" spans="1:10" x14ac:dyDescent="0.35">
      <c r="A1868" s="18" t="str">
        <f>IF('Lot Balance'!$A1867="","",'Lot Balance'!$A1867)</f>
        <v/>
      </c>
      <c r="B1868" s="18" t="str">
        <f>IF($A1868="","",'Lot Balance'!$B1867)</f>
        <v/>
      </c>
      <c r="C1868" s="18" t="str">
        <f>IF($A1868="","",'Lot Balance'!$C1867)</f>
        <v/>
      </c>
      <c r="D1868" s="25" t="str">
        <f>IF($A1868="","",'Lot Balance'!$G1867)</f>
        <v/>
      </c>
      <c r="E1868" s="25" t="str">
        <f>IF($A1868="","",'Lot Balance'!$H1867)</f>
        <v/>
      </c>
      <c r="F1868" s="23" t="str">
        <f>IF($A1868="","",'Lot Balance'!$I1867)</f>
        <v/>
      </c>
      <c r="G1868" s="23" t="str">
        <f>IF($A1868="","",'Lot Balance'!$O1867)</f>
        <v/>
      </c>
      <c r="H1868" s="33" t="str">
        <f>IF($A1868="","",'Lot Balance'!$P1867)</f>
        <v/>
      </c>
      <c r="I1868" s="26" t="str">
        <f>IF($A1868="","",COUNTIFS(tblIssues[Lot Number],$B1868))</f>
        <v/>
      </c>
      <c r="J1868" s="31" t="str">
        <f>IF($A1868="","",IF('Lot Balance'!$O1867&lt;=0,"Depleted",'Lot Balance'!$Q1867))</f>
        <v/>
      </c>
    </row>
    <row r="1869" spans="1:10" x14ac:dyDescent="0.35">
      <c r="A1869" s="18" t="str">
        <f>IF('Lot Balance'!$A1868="","",'Lot Balance'!$A1868)</f>
        <v/>
      </c>
      <c r="B1869" s="18" t="str">
        <f>IF($A1869="","",'Lot Balance'!$B1868)</f>
        <v/>
      </c>
      <c r="C1869" s="18" t="str">
        <f>IF($A1869="","",'Lot Balance'!$C1868)</f>
        <v/>
      </c>
      <c r="D1869" s="25" t="str">
        <f>IF($A1869="","",'Lot Balance'!$G1868)</f>
        <v/>
      </c>
      <c r="E1869" s="25" t="str">
        <f>IF($A1869="","",'Lot Balance'!$H1868)</f>
        <v/>
      </c>
      <c r="F1869" s="23" t="str">
        <f>IF($A1869="","",'Lot Balance'!$I1868)</f>
        <v/>
      </c>
      <c r="G1869" s="23" t="str">
        <f>IF($A1869="","",'Lot Balance'!$O1868)</f>
        <v/>
      </c>
      <c r="H1869" s="33" t="str">
        <f>IF($A1869="","",'Lot Balance'!$P1868)</f>
        <v/>
      </c>
      <c r="I1869" s="26" t="str">
        <f>IF($A1869="","",COUNTIFS(tblIssues[Lot Number],$B1869))</f>
        <v/>
      </c>
      <c r="J1869" s="31" t="str">
        <f>IF($A1869="","",IF('Lot Balance'!$O1868&lt;=0,"Depleted",'Lot Balance'!$Q1868))</f>
        <v/>
      </c>
    </row>
    <row r="1870" spans="1:10" x14ac:dyDescent="0.35">
      <c r="A1870" s="18" t="str">
        <f>IF('Lot Balance'!$A1869="","",'Lot Balance'!$A1869)</f>
        <v/>
      </c>
      <c r="B1870" s="18" t="str">
        <f>IF($A1870="","",'Lot Balance'!$B1869)</f>
        <v/>
      </c>
      <c r="C1870" s="18" t="str">
        <f>IF($A1870="","",'Lot Balance'!$C1869)</f>
        <v/>
      </c>
      <c r="D1870" s="25" t="str">
        <f>IF($A1870="","",'Lot Balance'!$G1869)</f>
        <v/>
      </c>
      <c r="E1870" s="25" t="str">
        <f>IF($A1870="","",'Lot Balance'!$H1869)</f>
        <v/>
      </c>
      <c r="F1870" s="23" t="str">
        <f>IF($A1870="","",'Lot Balance'!$I1869)</f>
        <v/>
      </c>
      <c r="G1870" s="23" t="str">
        <f>IF($A1870="","",'Lot Balance'!$O1869)</f>
        <v/>
      </c>
      <c r="H1870" s="33" t="str">
        <f>IF($A1870="","",'Lot Balance'!$P1869)</f>
        <v/>
      </c>
      <c r="I1870" s="26" t="str">
        <f>IF($A1870="","",COUNTIFS(tblIssues[Lot Number],$B1870))</f>
        <v/>
      </c>
      <c r="J1870" s="31" t="str">
        <f>IF($A1870="","",IF('Lot Balance'!$O1869&lt;=0,"Depleted",'Lot Balance'!$Q1869))</f>
        <v/>
      </c>
    </row>
    <row r="1871" spans="1:10" x14ac:dyDescent="0.35">
      <c r="A1871" s="18" t="str">
        <f>IF('Lot Balance'!$A1870="","",'Lot Balance'!$A1870)</f>
        <v/>
      </c>
      <c r="B1871" s="18" t="str">
        <f>IF($A1871="","",'Lot Balance'!$B1870)</f>
        <v/>
      </c>
      <c r="C1871" s="18" t="str">
        <f>IF($A1871="","",'Lot Balance'!$C1870)</f>
        <v/>
      </c>
      <c r="D1871" s="25" t="str">
        <f>IF($A1871="","",'Lot Balance'!$G1870)</f>
        <v/>
      </c>
      <c r="E1871" s="25" t="str">
        <f>IF($A1871="","",'Lot Balance'!$H1870)</f>
        <v/>
      </c>
      <c r="F1871" s="23" t="str">
        <f>IF($A1871="","",'Lot Balance'!$I1870)</f>
        <v/>
      </c>
      <c r="G1871" s="23" t="str">
        <f>IF($A1871="","",'Lot Balance'!$O1870)</f>
        <v/>
      </c>
      <c r="H1871" s="33" t="str">
        <f>IF($A1871="","",'Lot Balance'!$P1870)</f>
        <v/>
      </c>
      <c r="I1871" s="26" t="str">
        <f>IF($A1871="","",COUNTIFS(tblIssues[Lot Number],$B1871))</f>
        <v/>
      </c>
      <c r="J1871" s="31" t="str">
        <f>IF($A1871="","",IF('Lot Balance'!$O1870&lt;=0,"Depleted",'Lot Balance'!$Q1870))</f>
        <v/>
      </c>
    </row>
    <row r="1872" spans="1:10" x14ac:dyDescent="0.35">
      <c r="A1872" s="18" t="str">
        <f>IF('Lot Balance'!$A1871="","",'Lot Balance'!$A1871)</f>
        <v/>
      </c>
      <c r="B1872" s="18" t="str">
        <f>IF($A1872="","",'Lot Balance'!$B1871)</f>
        <v/>
      </c>
      <c r="C1872" s="18" t="str">
        <f>IF($A1872="","",'Lot Balance'!$C1871)</f>
        <v/>
      </c>
      <c r="D1872" s="25" t="str">
        <f>IF($A1872="","",'Lot Balance'!$G1871)</f>
        <v/>
      </c>
      <c r="E1872" s="25" t="str">
        <f>IF($A1872="","",'Lot Balance'!$H1871)</f>
        <v/>
      </c>
      <c r="F1872" s="23" t="str">
        <f>IF($A1872="","",'Lot Balance'!$I1871)</f>
        <v/>
      </c>
      <c r="G1872" s="23" t="str">
        <f>IF($A1872="","",'Lot Balance'!$O1871)</f>
        <v/>
      </c>
      <c r="H1872" s="33" t="str">
        <f>IF($A1872="","",'Lot Balance'!$P1871)</f>
        <v/>
      </c>
      <c r="I1872" s="26" t="str">
        <f>IF($A1872="","",COUNTIFS(tblIssues[Lot Number],$B1872))</f>
        <v/>
      </c>
      <c r="J1872" s="31" t="str">
        <f>IF($A1872="","",IF('Lot Balance'!$O1871&lt;=0,"Depleted",'Lot Balance'!$Q1871))</f>
        <v/>
      </c>
    </row>
    <row r="1873" spans="1:10" x14ac:dyDescent="0.35">
      <c r="A1873" s="18" t="str">
        <f>IF('Lot Balance'!$A1872="","",'Lot Balance'!$A1872)</f>
        <v/>
      </c>
      <c r="B1873" s="18" t="str">
        <f>IF($A1873="","",'Lot Balance'!$B1872)</f>
        <v/>
      </c>
      <c r="C1873" s="18" t="str">
        <f>IF($A1873="","",'Lot Balance'!$C1872)</f>
        <v/>
      </c>
      <c r="D1873" s="25" t="str">
        <f>IF($A1873="","",'Lot Balance'!$G1872)</f>
        <v/>
      </c>
      <c r="E1873" s="25" t="str">
        <f>IF($A1873="","",'Lot Balance'!$H1872)</f>
        <v/>
      </c>
      <c r="F1873" s="23" t="str">
        <f>IF($A1873="","",'Lot Balance'!$I1872)</f>
        <v/>
      </c>
      <c r="G1873" s="23" t="str">
        <f>IF($A1873="","",'Lot Balance'!$O1872)</f>
        <v/>
      </c>
      <c r="H1873" s="33" t="str">
        <f>IF($A1873="","",'Lot Balance'!$P1872)</f>
        <v/>
      </c>
      <c r="I1873" s="26" t="str">
        <f>IF($A1873="","",COUNTIFS(tblIssues[Lot Number],$B1873))</f>
        <v/>
      </c>
      <c r="J1873" s="31" t="str">
        <f>IF($A1873="","",IF('Lot Balance'!$O1872&lt;=0,"Depleted",'Lot Balance'!$Q1872))</f>
        <v/>
      </c>
    </row>
    <row r="1874" spans="1:10" x14ac:dyDescent="0.35">
      <c r="A1874" s="18" t="str">
        <f>IF('Lot Balance'!$A1873="","",'Lot Balance'!$A1873)</f>
        <v/>
      </c>
      <c r="B1874" s="18" t="str">
        <f>IF($A1874="","",'Lot Balance'!$B1873)</f>
        <v/>
      </c>
      <c r="C1874" s="18" t="str">
        <f>IF($A1874="","",'Lot Balance'!$C1873)</f>
        <v/>
      </c>
      <c r="D1874" s="25" t="str">
        <f>IF($A1874="","",'Lot Balance'!$G1873)</f>
        <v/>
      </c>
      <c r="E1874" s="25" t="str">
        <f>IF($A1874="","",'Lot Balance'!$H1873)</f>
        <v/>
      </c>
      <c r="F1874" s="23" t="str">
        <f>IF($A1874="","",'Lot Balance'!$I1873)</f>
        <v/>
      </c>
      <c r="G1874" s="23" t="str">
        <f>IF($A1874="","",'Lot Balance'!$O1873)</f>
        <v/>
      </c>
      <c r="H1874" s="33" t="str">
        <f>IF($A1874="","",'Lot Balance'!$P1873)</f>
        <v/>
      </c>
      <c r="I1874" s="26" t="str">
        <f>IF($A1874="","",COUNTIFS(tblIssues[Lot Number],$B1874))</f>
        <v/>
      </c>
      <c r="J1874" s="31" t="str">
        <f>IF($A1874="","",IF('Lot Balance'!$O1873&lt;=0,"Depleted",'Lot Balance'!$Q1873))</f>
        <v/>
      </c>
    </row>
    <row r="1875" spans="1:10" x14ac:dyDescent="0.35">
      <c r="A1875" s="18" t="str">
        <f>IF('Lot Balance'!$A1874="","",'Lot Balance'!$A1874)</f>
        <v/>
      </c>
      <c r="B1875" s="18" t="str">
        <f>IF($A1875="","",'Lot Balance'!$B1874)</f>
        <v/>
      </c>
      <c r="C1875" s="18" t="str">
        <f>IF($A1875="","",'Lot Balance'!$C1874)</f>
        <v/>
      </c>
      <c r="D1875" s="25" t="str">
        <f>IF($A1875="","",'Lot Balance'!$G1874)</f>
        <v/>
      </c>
      <c r="E1875" s="25" t="str">
        <f>IF($A1875="","",'Lot Balance'!$H1874)</f>
        <v/>
      </c>
      <c r="F1875" s="23" t="str">
        <f>IF($A1875="","",'Lot Balance'!$I1874)</f>
        <v/>
      </c>
      <c r="G1875" s="23" t="str">
        <f>IF($A1875="","",'Lot Balance'!$O1874)</f>
        <v/>
      </c>
      <c r="H1875" s="33" t="str">
        <f>IF($A1875="","",'Lot Balance'!$P1874)</f>
        <v/>
      </c>
      <c r="I1875" s="26" t="str">
        <f>IF($A1875="","",COUNTIFS(tblIssues[Lot Number],$B1875))</f>
        <v/>
      </c>
      <c r="J1875" s="31" t="str">
        <f>IF($A1875="","",IF('Lot Balance'!$O1874&lt;=0,"Depleted",'Lot Balance'!$Q1874))</f>
        <v/>
      </c>
    </row>
    <row r="1876" spans="1:10" x14ac:dyDescent="0.35">
      <c r="A1876" s="18" t="str">
        <f>IF('Lot Balance'!$A1875="","",'Lot Balance'!$A1875)</f>
        <v/>
      </c>
      <c r="B1876" s="18" t="str">
        <f>IF($A1876="","",'Lot Balance'!$B1875)</f>
        <v/>
      </c>
      <c r="C1876" s="18" t="str">
        <f>IF($A1876="","",'Lot Balance'!$C1875)</f>
        <v/>
      </c>
      <c r="D1876" s="25" t="str">
        <f>IF($A1876="","",'Lot Balance'!$G1875)</f>
        <v/>
      </c>
      <c r="E1876" s="25" t="str">
        <f>IF($A1876="","",'Lot Balance'!$H1875)</f>
        <v/>
      </c>
      <c r="F1876" s="23" t="str">
        <f>IF($A1876="","",'Lot Balance'!$I1875)</f>
        <v/>
      </c>
      <c r="G1876" s="23" t="str">
        <f>IF($A1876="","",'Lot Balance'!$O1875)</f>
        <v/>
      </c>
      <c r="H1876" s="33" t="str">
        <f>IF($A1876="","",'Lot Balance'!$P1875)</f>
        <v/>
      </c>
      <c r="I1876" s="26" t="str">
        <f>IF($A1876="","",COUNTIFS(tblIssues[Lot Number],$B1876))</f>
        <v/>
      </c>
      <c r="J1876" s="31" t="str">
        <f>IF($A1876="","",IF('Lot Balance'!$O1875&lt;=0,"Depleted",'Lot Balance'!$Q1875))</f>
        <v/>
      </c>
    </row>
    <row r="1877" spans="1:10" x14ac:dyDescent="0.35">
      <c r="A1877" s="18" t="str">
        <f>IF('Lot Balance'!$A1876="","",'Lot Balance'!$A1876)</f>
        <v/>
      </c>
      <c r="B1877" s="18" t="str">
        <f>IF($A1877="","",'Lot Balance'!$B1876)</f>
        <v/>
      </c>
      <c r="C1877" s="18" t="str">
        <f>IF($A1877="","",'Lot Balance'!$C1876)</f>
        <v/>
      </c>
      <c r="D1877" s="25" t="str">
        <f>IF($A1877="","",'Lot Balance'!$G1876)</f>
        <v/>
      </c>
      <c r="E1877" s="25" t="str">
        <f>IF($A1877="","",'Lot Balance'!$H1876)</f>
        <v/>
      </c>
      <c r="F1877" s="23" t="str">
        <f>IF($A1877="","",'Lot Balance'!$I1876)</f>
        <v/>
      </c>
      <c r="G1877" s="23" t="str">
        <f>IF($A1877="","",'Lot Balance'!$O1876)</f>
        <v/>
      </c>
      <c r="H1877" s="33" t="str">
        <f>IF($A1877="","",'Lot Balance'!$P1876)</f>
        <v/>
      </c>
      <c r="I1877" s="26" t="str">
        <f>IF($A1877="","",COUNTIFS(tblIssues[Lot Number],$B1877))</f>
        <v/>
      </c>
      <c r="J1877" s="31" t="str">
        <f>IF($A1877="","",IF('Lot Balance'!$O1876&lt;=0,"Depleted",'Lot Balance'!$Q1876))</f>
        <v/>
      </c>
    </row>
    <row r="1878" spans="1:10" x14ac:dyDescent="0.35">
      <c r="A1878" s="18" t="str">
        <f>IF('Lot Balance'!$A1877="","",'Lot Balance'!$A1877)</f>
        <v/>
      </c>
      <c r="B1878" s="18" t="str">
        <f>IF($A1878="","",'Lot Balance'!$B1877)</f>
        <v/>
      </c>
      <c r="C1878" s="18" t="str">
        <f>IF($A1878="","",'Lot Balance'!$C1877)</f>
        <v/>
      </c>
      <c r="D1878" s="25" t="str">
        <f>IF($A1878="","",'Lot Balance'!$G1877)</f>
        <v/>
      </c>
      <c r="E1878" s="25" t="str">
        <f>IF($A1878="","",'Lot Balance'!$H1877)</f>
        <v/>
      </c>
      <c r="F1878" s="23" t="str">
        <f>IF($A1878="","",'Lot Balance'!$I1877)</f>
        <v/>
      </c>
      <c r="G1878" s="23" t="str">
        <f>IF($A1878="","",'Lot Balance'!$O1877)</f>
        <v/>
      </c>
      <c r="H1878" s="33" t="str">
        <f>IF($A1878="","",'Lot Balance'!$P1877)</f>
        <v/>
      </c>
      <c r="I1878" s="26" t="str">
        <f>IF($A1878="","",COUNTIFS(tblIssues[Lot Number],$B1878))</f>
        <v/>
      </c>
      <c r="J1878" s="31" t="str">
        <f>IF($A1878="","",IF('Lot Balance'!$O1877&lt;=0,"Depleted",'Lot Balance'!$Q1877))</f>
        <v/>
      </c>
    </row>
    <row r="1879" spans="1:10" x14ac:dyDescent="0.35">
      <c r="A1879" s="18" t="str">
        <f>IF('Lot Balance'!$A1878="","",'Lot Balance'!$A1878)</f>
        <v/>
      </c>
      <c r="B1879" s="18" t="str">
        <f>IF($A1879="","",'Lot Balance'!$B1878)</f>
        <v/>
      </c>
      <c r="C1879" s="18" t="str">
        <f>IF($A1879="","",'Lot Balance'!$C1878)</f>
        <v/>
      </c>
      <c r="D1879" s="25" t="str">
        <f>IF($A1879="","",'Lot Balance'!$G1878)</f>
        <v/>
      </c>
      <c r="E1879" s="25" t="str">
        <f>IF($A1879="","",'Lot Balance'!$H1878)</f>
        <v/>
      </c>
      <c r="F1879" s="23" t="str">
        <f>IF($A1879="","",'Lot Balance'!$I1878)</f>
        <v/>
      </c>
      <c r="G1879" s="23" t="str">
        <f>IF($A1879="","",'Lot Balance'!$O1878)</f>
        <v/>
      </c>
      <c r="H1879" s="33" t="str">
        <f>IF($A1879="","",'Lot Balance'!$P1878)</f>
        <v/>
      </c>
      <c r="I1879" s="26" t="str">
        <f>IF($A1879="","",COUNTIFS(tblIssues[Lot Number],$B1879))</f>
        <v/>
      </c>
      <c r="J1879" s="31" t="str">
        <f>IF($A1879="","",IF('Lot Balance'!$O1878&lt;=0,"Depleted",'Lot Balance'!$Q1878))</f>
        <v/>
      </c>
    </row>
    <row r="1880" spans="1:10" x14ac:dyDescent="0.35">
      <c r="A1880" s="18" t="str">
        <f>IF('Lot Balance'!$A1879="","",'Lot Balance'!$A1879)</f>
        <v/>
      </c>
      <c r="B1880" s="18" t="str">
        <f>IF($A1880="","",'Lot Balance'!$B1879)</f>
        <v/>
      </c>
      <c r="C1880" s="18" t="str">
        <f>IF($A1880="","",'Lot Balance'!$C1879)</f>
        <v/>
      </c>
      <c r="D1880" s="25" t="str">
        <f>IF($A1880="","",'Lot Balance'!$G1879)</f>
        <v/>
      </c>
      <c r="E1880" s="25" t="str">
        <f>IF($A1880="","",'Lot Balance'!$H1879)</f>
        <v/>
      </c>
      <c r="F1880" s="23" t="str">
        <f>IF($A1880="","",'Lot Balance'!$I1879)</f>
        <v/>
      </c>
      <c r="G1880" s="23" t="str">
        <f>IF($A1880="","",'Lot Balance'!$O1879)</f>
        <v/>
      </c>
      <c r="H1880" s="33" t="str">
        <f>IF($A1880="","",'Lot Balance'!$P1879)</f>
        <v/>
      </c>
      <c r="I1880" s="26" t="str">
        <f>IF($A1880="","",COUNTIFS(tblIssues[Lot Number],$B1880))</f>
        <v/>
      </c>
      <c r="J1880" s="31" t="str">
        <f>IF($A1880="","",IF('Lot Balance'!$O1879&lt;=0,"Depleted",'Lot Balance'!$Q1879))</f>
        <v/>
      </c>
    </row>
    <row r="1881" spans="1:10" x14ac:dyDescent="0.35">
      <c r="A1881" s="18" t="str">
        <f>IF('Lot Balance'!$A1880="","",'Lot Balance'!$A1880)</f>
        <v/>
      </c>
      <c r="B1881" s="18" t="str">
        <f>IF($A1881="","",'Lot Balance'!$B1880)</f>
        <v/>
      </c>
      <c r="C1881" s="18" t="str">
        <f>IF($A1881="","",'Lot Balance'!$C1880)</f>
        <v/>
      </c>
      <c r="D1881" s="25" t="str">
        <f>IF($A1881="","",'Lot Balance'!$G1880)</f>
        <v/>
      </c>
      <c r="E1881" s="25" t="str">
        <f>IF($A1881="","",'Lot Balance'!$H1880)</f>
        <v/>
      </c>
      <c r="F1881" s="23" t="str">
        <f>IF($A1881="","",'Lot Balance'!$I1880)</f>
        <v/>
      </c>
      <c r="G1881" s="23" t="str">
        <f>IF($A1881="","",'Lot Balance'!$O1880)</f>
        <v/>
      </c>
      <c r="H1881" s="33" t="str">
        <f>IF($A1881="","",'Lot Balance'!$P1880)</f>
        <v/>
      </c>
      <c r="I1881" s="26" t="str">
        <f>IF($A1881="","",COUNTIFS(tblIssues[Lot Number],$B1881))</f>
        <v/>
      </c>
      <c r="J1881" s="31" t="str">
        <f>IF($A1881="","",IF('Lot Balance'!$O1880&lt;=0,"Depleted",'Lot Balance'!$Q1880))</f>
        <v/>
      </c>
    </row>
    <row r="1882" spans="1:10" x14ac:dyDescent="0.35">
      <c r="A1882" s="18" t="str">
        <f>IF('Lot Balance'!$A1881="","",'Lot Balance'!$A1881)</f>
        <v/>
      </c>
      <c r="B1882" s="18" t="str">
        <f>IF($A1882="","",'Lot Balance'!$B1881)</f>
        <v/>
      </c>
      <c r="C1882" s="18" t="str">
        <f>IF($A1882="","",'Lot Balance'!$C1881)</f>
        <v/>
      </c>
      <c r="D1882" s="25" t="str">
        <f>IF($A1882="","",'Lot Balance'!$G1881)</f>
        <v/>
      </c>
      <c r="E1882" s="25" t="str">
        <f>IF($A1882="","",'Lot Balance'!$H1881)</f>
        <v/>
      </c>
      <c r="F1882" s="23" t="str">
        <f>IF($A1882="","",'Lot Balance'!$I1881)</f>
        <v/>
      </c>
      <c r="G1882" s="23" t="str">
        <f>IF($A1882="","",'Lot Balance'!$O1881)</f>
        <v/>
      </c>
      <c r="H1882" s="33" t="str">
        <f>IF($A1882="","",'Lot Balance'!$P1881)</f>
        <v/>
      </c>
      <c r="I1882" s="26" t="str">
        <f>IF($A1882="","",COUNTIFS(tblIssues[Lot Number],$B1882))</f>
        <v/>
      </c>
      <c r="J1882" s="31" t="str">
        <f>IF($A1882="","",IF('Lot Balance'!$O1881&lt;=0,"Depleted",'Lot Balance'!$Q1881))</f>
        <v/>
      </c>
    </row>
    <row r="1883" spans="1:10" x14ac:dyDescent="0.35">
      <c r="A1883" s="18" t="str">
        <f>IF('Lot Balance'!$A1882="","",'Lot Balance'!$A1882)</f>
        <v/>
      </c>
      <c r="B1883" s="18" t="str">
        <f>IF($A1883="","",'Lot Balance'!$B1882)</f>
        <v/>
      </c>
      <c r="C1883" s="18" t="str">
        <f>IF($A1883="","",'Lot Balance'!$C1882)</f>
        <v/>
      </c>
      <c r="D1883" s="25" t="str">
        <f>IF($A1883="","",'Lot Balance'!$G1882)</f>
        <v/>
      </c>
      <c r="E1883" s="25" t="str">
        <f>IF($A1883="","",'Lot Balance'!$H1882)</f>
        <v/>
      </c>
      <c r="F1883" s="23" t="str">
        <f>IF($A1883="","",'Lot Balance'!$I1882)</f>
        <v/>
      </c>
      <c r="G1883" s="23" t="str">
        <f>IF($A1883="","",'Lot Balance'!$O1882)</f>
        <v/>
      </c>
      <c r="H1883" s="33" t="str">
        <f>IF($A1883="","",'Lot Balance'!$P1882)</f>
        <v/>
      </c>
      <c r="I1883" s="26" t="str">
        <f>IF($A1883="","",COUNTIFS(tblIssues[Lot Number],$B1883))</f>
        <v/>
      </c>
      <c r="J1883" s="31" t="str">
        <f>IF($A1883="","",IF('Lot Balance'!$O1882&lt;=0,"Depleted",'Lot Balance'!$Q1882))</f>
        <v/>
      </c>
    </row>
    <row r="1884" spans="1:10" x14ac:dyDescent="0.35">
      <c r="A1884" s="18" t="str">
        <f>IF('Lot Balance'!$A1883="","",'Lot Balance'!$A1883)</f>
        <v/>
      </c>
      <c r="B1884" s="18" t="str">
        <f>IF($A1884="","",'Lot Balance'!$B1883)</f>
        <v/>
      </c>
      <c r="C1884" s="18" t="str">
        <f>IF($A1884="","",'Lot Balance'!$C1883)</f>
        <v/>
      </c>
      <c r="D1884" s="25" t="str">
        <f>IF($A1884="","",'Lot Balance'!$G1883)</f>
        <v/>
      </c>
      <c r="E1884" s="25" t="str">
        <f>IF($A1884="","",'Lot Balance'!$H1883)</f>
        <v/>
      </c>
      <c r="F1884" s="23" t="str">
        <f>IF($A1884="","",'Lot Balance'!$I1883)</f>
        <v/>
      </c>
      <c r="G1884" s="23" t="str">
        <f>IF($A1884="","",'Lot Balance'!$O1883)</f>
        <v/>
      </c>
      <c r="H1884" s="33" t="str">
        <f>IF($A1884="","",'Lot Balance'!$P1883)</f>
        <v/>
      </c>
      <c r="I1884" s="26" t="str">
        <f>IF($A1884="","",COUNTIFS(tblIssues[Lot Number],$B1884))</f>
        <v/>
      </c>
      <c r="J1884" s="31" t="str">
        <f>IF($A1884="","",IF('Lot Balance'!$O1883&lt;=0,"Depleted",'Lot Balance'!$Q1883))</f>
        <v/>
      </c>
    </row>
    <row r="1885" spans="1:10" x14ac:dyDescent="0.35">
      <c r="A1885" s="18" t="str">
        <f>IF('Lot Balance'!$A1884="","",'Lot Balance'!$A1884)</f>
        <v/>
      </c>
      <c r="B1885" s="18" t="str">
        <f>IF($A1885="","",'Lot Balance'!$B1884)</f>
        <v/>
      </c>
      <c r="C1885" s="18" t="str">
        <f>IF($A1885="","",'Lot Balance'!$C1884)</f>
        <v/>
      </c>
      <c r="D1885" s="25" t="str">
        <f>IF($A1885="","",'Lot Balance'!$G1884)</f>
        <v/>
      </c>
      <c r="E1885" s="25" t="str">
        <f>IF($A1885="","",'Lot Balance'!$H1884)</f>
        <v/>
      </c>
      <c r="F1885" s="23" t="str">
        <f>IF($A1885="","",'Lot Balance'!$I1884)</f>
        <v/>
      </c>
      <c r="G1885" s="23" t="str">
        <f>IF($A1885="","",'Lot Balance'!$O1884)</f>
        <v/>
      </c>
      <c r="H1885" s="33" t="str">
        <f>IF($A1885="","",'Lot Balance'!$P1884)</f>
        <v/>
      </c>
      <c r="I1885" s="26" t="str">
        <f>IF($A1885="","",COUNTIFS(tblIssues[Lot Number],$B1885))</f>
        <v/>
      </c>
      <c r="J1885" s="31" t="str">
        <f>IF($A1885="","",IF('Lot Balance'!$O1884&lt;=0,"Depleted",'Lot Balance'!$Q1884))</f>
        <v/>
      </c>
    </row>
    <row r="1886" spans="1:10" x14ac:dyDescent="0.35">
      <c r="A1886" s="18" t="str">
        <f>IF('Lot Balance'!$A1885="","",'Lot Balance'!$A1885)</f>
        <v/>
      </c>
      <c r="B1886" s="18" t="str">
        <f>IF($A1886="","",'Lot Balance'!$B1885)</f>
        <v/>
      </c>
      <c r="C1886" s="18" t="str">
        <f>IF($A1886="","",'Lot Balance'!$C1885)</f>
        <v/>
      </c>
      <c r="D1886" s="25" t="str">
        <f>IF($A1886="","",'Lot Balance'!$G1885)</f>
        <v/>
      </c>
      <c r="E1886" s="25" t="str">
        <f>IF($A1886="","",'Lot Balance'!$H1885)</f>
        <v/>
      </c>
      <c r="F1886" s="23" t="str">
        <f>IF($A1886="","",'Lot Balance'!$I1885)</f>
        <v/>
      </c>
      <c r="G1886" s="23" t="str">
        <f>IF($A1886="","",'Lot Balance'!$O1885)</f>
        <v/>
      </c>
      <c r="H1886" s="33" t="str">
        <f>IF($A1886="","",'Lot Balance'!$P1885)</f>
        <v/>
      </c>
      <c r="I1886" s="26" t="str">
        <f>IF($A1886="","",COUNTIFS(tblIssues[Lot Number],$B1886))</f>
        <v/>
      </c>
      <c r="J1886" s="31" t="str">
        <f>IF($A1886="","",IF('Lot Balance'!$O1885&lt;=0,"Depleted",'Lot Balance'!$Q1885))</f>
        <v/>
      </c>
    </row>
    <row r="1887" spans="1:10" x14ac:dyDescent="0.35">
      <c r="A1887" s="18" t="str">
        <f>IF('Lot Balance'!$A1886="","",'Lot Balance'!$A1886)</f>
        <v/>
      </c>
      <c r="B1887" s="18" t="str">
        <f>IF($A1887="","",'Lot Balance'!$B1886)</f>
        <v/>
      </c>
      <c r="C1887" s="18" t="str">
        <f>IF($A1887="","",'Lot Balance'!$C1886)</f>
        <v/>
      </c>
      <c r="D1887" s="25" t="str">
        <f>IF($A1887="","",'Lot Balance'!$G1886)</f>
        <v/>
      </c>
      <c r="E1887" s="25" t="str">
        <f>IF($A1887="","",'Lot Balance'!$H1886)</f>
        <v/>
      </c>
      <c r="F1887" s="23" t="str">
        <f>IF($A1887="","",'Lot Balance'!$I1886)</f>
        <v/>
      </c>
      <c r="G1887" s="23" t="str">
        <f>IF($A1887="","",'Lot Balance'!$O1886)</f>
        <v/>
      </c>
      <c r="H1887" s="33" t="str">
        <f>IF($A1887="","",'Lot Balance'!$P1886)</f>
        <v/>
      </c>
      <c r="I1887" s="26" t="str">
        <f>IF($A1887="","",COUNTIFS(tblIssues[Lot Number],$B1887))</f>
        <v/>
      </c>
      <c r="J1887" s="31" t="str">
        <f>IF($A1887="","",IF('Lot Balance'!$O1886&lt;=0,"Depleted",'Lot Balance'!$Q1886))</f>
        <v/>
      </c>
    </row>
    <row r="1888" spans="1:10" x14ac:dyDescent="0.35">
      <c r="A1888" s="18" t="str">
        <f>IF('Lot Balance'!$A1887="","",'Lot Balance'!$A1887)</f>
        <v/>
      </c>
      <c r="B1888" s="18" t="str">
        <f>IF($A1888="","",'Lot Balance'!$B1887)</f>
        <v/>
      </c>
      <c r="C1888" s="18" t="str">
        <f>IF($A1888="","",'Lot Balance'!$C1887)</f>
        <v/>
      </c>
      <c r="D1888" s="25" t="str">
        <f>IF($A1888="","",'Lot Balance'!$G1887)</f>
        <v/>
      </c>
      <c r="E1888" s="25" t="str">
        <f>IF($A1888="","",'Lot Balance'!$H1887)</f>
        <v/>
      </c>
      <c r="F1888" s="23" t="str">
        <f>IF($A1888="","",'Lot Balance'!$I1887)</f>
        <v/>
      </c>
      <c r="G1888" s="23" t="str">
        <f>IF($A1888="","",'Lot Balance'!$O1887)</f>
        <v/>
      </c>
      <c r="H1888" s="33" t="str">
        <f>IF($A1888="","",'Lot Balance'!$P1887)</f>
        <v/>
      </c>
      <c r="I1888" s="26" t="str">
        <f>IF($A1888="","",COUNTIFS(tblIssues[Lot Number],$B1888))</f>
        <v/>
      </c>
      <c r="J1888" s="31" t="str">
        <f>IF($A1888="","",IF('Lot Balance'!$O1887&lt;=0,"Depleted",'Lot Balance'!$Q1887))</f>
        <v/>
      </c>
    </row>
    <row r="1889" spans="1:10" x14ac:dyDescent="0.35">
      <c r="A1889" s="18" t="str">
        <f>IF('Lot Balance'!$A1888="","",'Lot Balance'!$A1888)</f>
        <v/>
      </c>
      <c r="B1889" s="18" t="str">
        <f>IF($A1889="","",'Lot Balance'!$B1888)</f>
        <v/>
      </c>
      <c r="C1889" s="18" t="str">
        <f>IF($A1889="","",'Lot Balance'!$C1888)</f>
        <v/>
      </c>
      <c r="D1889" s="25" t="str">
        <f>IF($A1889="","",'Lot Balance'!$G1888)</f>
        <v/>
      </c>
      <c r="E1889" s="25" t="str">
        <f>IF($A1889="","",'Lot Balance'!$H1888)</f>
        <v/>
      </c>
      <c r="F1889" s="23" t="str">
        <f>IF($A1889="","",'Lot Balance'!$I1888)</f>
        <v/>
      </c>
      <c r="G1889" s="23" t="str">
        <f>IF($A1889="","",'Lot Balance'!$O1888)</f>
        <v/>
      </c>
      <c r="H1889" s="33" t="str">
        <f>IF($A1889="","",'Lot Balance'!$P1888)</f>
        <v/>
      </c>
      <c r="I1889" s="26" t="str">
        <f>IF($A1889="","",COUNTIFS(tblIssues[Lot Number],$B1889))</f>
        <v/>
      </c>
      <c r="J1889" s="31" t="str">
        <f>IF($A1889="","",IF('Lot Balance'!$O1888&lt;=0,"Depleted",'Lot Balance'!$Q1888))</f>
        <v/>
      </c>
    </row>
    <row r="1890" spans="1:10" x14ac:dyDescent="0.35">
      <c r="A1890" s="18" t="str">
        <f>IF('Lot Balance'!$A1889="","",'Lot Balance'!$A1889)</f>
        <v/>
      </c>
      <c r="B1890" s="18" t="str">
        <f>IF($A1890="","",'Lot Balance'!$B1889)</f>
        <v/>
      </c>
      <c r="C1890" s="18" t="str">
        <f>IF($A1890="","",'Lot Balance'!$C1889)</f>
        <v/>
      </c>
      <c r="D1890" s="25" t="str">
        <f>IF($A1890="","",'Lot Balance'!$G1889)</f>
        <v/>
      </c>
      <c r="E1890" s="25" t="str">
        <f>IF($A1890="","",'Lot Balance'!$H1889)</f>
        <v/>
      </c>
      <c r="F1890" s="23" t="str">
        <f>IF($A1890="","",'Lot Balance'!$I1889)</f>
        <v/>
      </c>
      <c r="G1890" s="23" t="str">
        <f>IF($A1890="","",'Lot Balance'!$O1889)</f>
        <v/>
      </c>
      <c r="H1890" s="33" t="str">
        <f>IF($A1890="","",'Lot Balance'!$P1889)</f>
        <v/>
      </c>
      <c r="I1890" s="26" t="str">
        <f>IF($A1890="","",COUNTIFS(tblIssues[Lot Number],$B1890))</f>
        <v/>
      </c>
      <c r="J1890" s="31" t="str">
        <f>IF($A1890="","",IF('Lot Balance'!$O1889&lt;=0,"Depleted",'Lot Balance'!$Q1889))</f>
        <v/>
      </c>
    </row>
    <row r="1891" spans="1:10" x14ac:dyDescent="0.35">
      <c r="A1891" s="18" t="str">
        <f>IF('Lot Balance'!$A1890="","",'Lot Balance'!$A1890)</f>
        <v/>
      </c>
      <c r="B1891" s="18" t="str">
        <f>IF($A1891="","",'Lot Balance'!$B1890)</f>
        <v/>
      </c>
      <c r="C1891" s="18" t="str">
        <f>IF($A1891="","",'Lot Balance'!$C1890)</f>
        <v/>
      </c>
      <c r="D1891" s="25" t="str">
        <f>IF($A1891="","",'Lot Balance'!$G1890)</f>
        <v/>
      </c>
      <c r="E1891" s="25" t="str">
        <f>IF($A1891="","",'Lot Balance'!$H1890)</f>
        <v/>
      </c>
      <c r="F1891" s="23" t="str">
        <f>IF($A1891="","",'Lot Balance'!$I1890)</f>
        <v/>
      </c>
      <c r="G1891" s="23" t="str">
        <f>IF($A1891="","",'Lot Balance'!$O1890)</f>
        <v/>
      </c>
      <c r="H1891" s="33" t="str">
        <f>IF($A1891="","",'Lot Balance'!$P1890)</f>
        <v/>
      </c>
      <c r="I1891" s="26" t="str">
        <f>IF($A1891="","",COUNTIFS(tblIssues[Lot Number],$B1891))</f>
        <v/>
      </c>
      <c r="J1891" s="31" t="str">
        <f>IF($A1891="","",IF('Lot Balance'!$O1890&lt;=0,"Depleted",'Lot Balance'!$Q1890))</f>
        <v/>
      </c>
    </row>
    <row r="1892" spans="1:10" x14ac:dyDescent="0.35">
      <c r="A1892" s="18" t="str">
        <f>IF('Lot Balance'!$A1891="","",'Lot Balance'!$A1891)</f>
        <v/>
      </c>
      <c r="B1892" s="18" t="str">
        <f>IF($A1892="","",'Lot Balance'!$B1891)</f>
        <v/>
      </c>
      <c r="C1892" s="18" t="str">
        <f>IF($A1892="","",'Lot Balance'!$C1891)</f>
        <v/>
      </c>
      <c r="D1892" s="25" t="str">
        <f>IF($A1892="","",'Lot Balance'!$G1891)</f>
        <v/>
      </c>
      <c r="E1892" s="25" t="str">
        <f>IF($A1892="","",'Lot Balance'!$H1891)</f>
        <v/>
      </c>
      <c r="F1892" s="23" t="str">
        <f>IF($A1892="","",'Lot Balance'!$I1891)</f>
        <v/>
      </c>
      <c r="G1892" s="23" t="str">
        <f>IF($A1892="","",'Lot Balance'!$O1891)</f>
        <v/>
      </c>
      <c r="H1892" s="33" t="str">
        <f>IF($A1892="","",'Lot Balance'!$P1891)</f>
        <v/>
      </c>
      <c r="I1892" s="26" t="str">
        <f>IF($A1892="","",COUNTIFS(tblIssues[Lot Number],$B1892))</f>
        <v/>
      </c>
      <c r="J1892" s="31" t="str">
        <f>IF($A1892="","",IF('Lot Balance'!$O1891&lt;=0,"Depleted",'Lot Balance'!$Q1891))</f>
        <v/>
      </c>
    </row>
    <row r="1893" spans="1:10" x14ac:dyDescent="0.35">
      <c r="A1893" s="18" t="str">
        <f>IF('Lot Balance'!$A1892="","",'Lot Balance'!$A1892)</f>
        <v/>
      </c>
      <c r="B1893" s="18" t="str">
        <f>IF($A1893="","",'Lot Balance'!$B1892)</f>
        <v/>
      </c>
      <c r="C1893" s="18" t="str">
        <f>IF($A1893="","",'Lot Balance'!$C1892)</f>
        <v/>
      </c>
      <c r="D1893" s="25" t="str">
        <f>IF($A1893="","",'Lot Balance'!$G1892)</f>
        <v/>
      </c>
      <c r="E1893" s="25" t="str">
        <f>IF($A1893="","",'Lot Balance'!$H1892)</f>
        <v/>
      </c>
      <c r="F1893" s="23" t="str">
        <f>IF($A1893="","",'Lot Balance'!$I1892)</f>
        <v/>
      </c>
      <c r="G1893" s="23" t="str">
        <f>IF($A1893="","",'Lot Balance'!$O1892)</f>
        <v/>
      </c>
      <c r="H1893" s="33" t="str">
        <f>IF($A1893="","",'Lot Balance'!$P1892)</f>
        <v/>
      </c>
      <c r="I1893" s="26" t="str">
        <f>IF($A1893="","",COUNTIFS(tblIssues[Lot Number],$B1893))</f>
        <v/>
      </c>
      <c r="J1893" s="31" t="str">
        <f>IF($A1893="","",IF('Lot Balance'!$O1892&lt;=0,"Depleted",'Lot Balance'!$Q1892))</f>
        <v/>
      </c>
    </row>
    <row r="1894" spans="1:10" x14ac:dyDescent="0.35">
      <c r="A1894" s="18" t="str">
        <f>IF('Lot Balance'!$A1893="","",'Lot Balance'!$A1893)</f>
        <v/>
      </c>
      <c r="B1894" s="18" t="str">
        <f>IF($A1894="","",'Lot Balance'!$B1893)</f>
        <v/>
      </c>
      <c r="C1894" s="18" t="str">
        <f>IF($A1894="","",'Lot Balance'!$C1893)</f>
        <v/>
      </c>
      <c r="D1894" s="25" t="str">
        <f>IF($A1894="","",'Lot Balance'!$G1893)</f>
        <v/>
      </c>
      <c r="E1894" s="25" t="str">
        <f>IF($A1894="","",'Lot Balance'!$H1893)</f>
        <v/>
      </c>
      <c r="F1894" s="23" t="str">
        <f>IF($A1894="","",'Lot Balance'!$I1893)</f>
        <v/>
      </c>
      <c r="G1894" s="23" t="str">
        <f>IF($A1894="","",'Lot Balance'!$O1893)</f>
        <v/>
      </c>
      <c r="H1894" s="33" t="str">
        <f>IF($A1894="","",'Lot Balance'!$P1893)</f>
        <v/>
      </c>
      <c r="I1894" s="26" t="str">
        <f>IF($A1894="","",COUNTIFS(tblIssues[Lot Number],$B1894))</f>
        <v/>
      </c>
      <c r="J1894" s="31" t="str">
        <f>IF($A1894="","",IF('Lot Balance'!$O1893&lt;=0,"Depleted",'Lot Balance'!$Q1893))</f>
        <v/>
      </c>
    </row>
    <row r="1895" spans="1:10" x14ac:dyDescent="0.35">
      <c r="A1895" s="18" t="str">
        <f>IF('Lot Balance'!$A1894="","",'Lot Balance'!$A1894)</f>
        <v/>
      </c>
      <c r="B1895" s="18" t="str">
        <f>IF($A1895="","",'Lot Balance'!$B1894)</f>
        <v/>
      </c>
      <c r="C1895" s="18" t="str">
        <f>IF($A1895="","",'Lot Balance'!$C1894)</f>
        <v/>
      </c>
      <c r="D1895" s="25" t="str">
        <f>IF($A1895="","",'Lot Balance'!$G1894)</f>
        <v/>
      </c>
      <c r="E1895" s="25" t="str">
        <f>IF($A1895="","",'Lot Balance'!$H1894)</f>
        <v/>
      </c>
      <c r="F1895" s="23" t="str">
        <f>IF($A1895="","",'Lot Balance'!$I1894)</f>
        <v/>
      </c>
      <c r="G1895" s="23" t="str">
        <f>IF($A1895="","",'Lot Balance'!$O1894)</f>
        <v/>
      </c>
      <c r="H1895" s="33" t="str">
        <f>IF($A1895="","",'Lot Balance'!$P1894)</f>
        <v/>
      </c>
      <c r="I1895" s="26" t="str">
        <f>IF($A1895="","",COUNTIFS(tblIssues[Lot Number],$B1895))</f>
        <v/>
      </c>
      <c r="J1895" s="31" t="str">
        <f>IF($A1895="","",IF('Lot Balance'!$O1894&lt;=0,"Depleted",'Lot Balance'!$Q1894))</f>
        <v/>
      </c>
    </row>
    <row r="1896" spans="1:10" x14ac:dyDescent="0.35">
      <c r="A1896" s="18" t="str">
        <f>IF('Lot Balance'!$A1895="","",'Lot Balance'!$A1895)</f>
        <v/>
      </c>
      <c r="B1896" s="18" t="str">
        <f>IF($A1896="","",'Lot Balance'!$B1895)</f>
        <v/>
      </c>
      <c r="C1896" s="18" t="str">
        <f>IF($A1896="","",'Lot Balance'!$C1895)</f>
        <v/>
      </c>
      <c r="D1896" s="25" t="str">
        <f>IF($A1896="","",'Lot Balance'!$G1895)</f>
        <v/>
      </c>
      <c r="E1896" s="25" t="str">
        <f>IF($A1896="","",'Lot Balance'!$H1895)</f>
        <v/>
      </c>
      <c r="F1896" s="23" t="str">
        <f>IF($A1896="","",'Lot Balance'!$I1895)</f>
        <v/>
      </c>
      <c r="G1896" s="23" t="str">
        <f>IF($A1896="","",'Lot Balance'!$O1895)</f>
        <v/>
      </c>
      <c r="H1896" s="33" t="str">
        <f>IF($A1896="","",'Lot Balance'!$P1895)</f>
        <v/>
      </c>
      <c r="I1896" s="26" t="str">
        <f>IF($A1896="","",COUNTIFS(tblIssues[Lot Number],$B1896))</f>
        <v/>
      </c>
      <c r="J1896" s="31" t="str">
        <f>IF($A1896="","",IF('Lot Balance'!$O1895&lt;=0,"Depleted",'Lot Balance'!$Q1895))</f>
        <v/>
      </c>
    </row>
    <row r="1897" spans="1:10" x14ac:dyDescent="0.35">
      <c r="A1897" s="18" t="str">
        <f>IF('Lot Balance'!$A1896="","",'Lot Balance'!$A1896)</f>
        <v/>
      </c>
      <c r="B1897" s="18" t="str">
        <f>IF($A1897="","",'Lot Balance'!$B1896)</f>
        <v/>
      </c>
      <c r="C1897" s="18" t="str">
        <f>IF($A1897="","",'Lot Balance'!$C1896)</f>
        <v/>
      </c>
      <c r="D1897" s="25" t="str">
        <f>IF($A1897="","",'Lot Balance'!$G1896)</f>
        <v/>
      </c>
      <c r="E1897" s="25" t="str">
        <f>IF($A1897="","",'Lot Balance'!$H1896)</f>
        <v/>
      </c>
      <c r="F1897" s="23" t="str">
        <f>IF($A1897="","",'Lot Balance'!$I1896)</f>
        <v/>
      </c>
      <c r="G1897" s="23" t="str">
        <f>IF($A1897="","",'Lot Balance'!$O1896)</f>
        <v/>
      </c>
      <c r="H1897" s="33" t="str">
        <f>IF($A1897="","",'Lot Balance'!$P1896)</f>
        <v/>
      </c>
      <c r="I1897" s="26" t="str">
        <f>IF($A1897="","",COUNTIFS(tblIssues[Lot Number],$B1897))</f>
        <v/>
      </c>
      <c r="J1897" s="31" t="str">
        <f>IF($A1897="","",IF('Lot Balance'!$O1896&lt;=0,"Depleted",'Lot Balance'!$Q1896))</f>
        <v/>
      </c>
    </row>
    <row r="1898" spans="1:10" x14ac:dyDescent="0.35">
      <c r="A1898" s="18" t="str">
        <f>IF('Lot Balance'!$A1897="","",'Lot Balance'!$A1897)</f>
        <v/>
      </c>
      <c r="B1898" s="18" t="str">
        <f>IF($A1898="","",'Lot Balance'!$B1897)</f>
        <v/>
      </c>
      <c r="C1898" s="18" t="str">
        <f>IF($A1898="","",'Lot Balance'!$C1897)</f>
        <v/>
      </c>
      <c r="D1898" s="25" t="str">
        <f>IF($A1898="","",'Lot Balance'!$G1897)</f>
        <v/>
      </c>
      <c r="E1898" s="25" t="str">
        <f>IF($A1898="","",'Lot Balance'!$H1897)</f>
        <v/>
      </c>
      <c r="F1898" s="23" t="str">
        <f>IF($A1898="","",'Lot Balance'!$I1897)</f>
        <v/>
      </c>
      <c r="G1898" s="23" t="str">
        <f>IF($A1898="","",'Lot Balance'!$O1897)</f>
        <v/>
      </c>
      <c r="H1898" s="33" t="str">
        <f>IF($A1898="","",'Lot Balance'!$P1897)</f>
        <v/>
      </c>
      <c r="I1898" s="26" t="str">
        <f>IF($A1898="","",COUNTIFS(tblIssues[Lot Number],$B1898))</f>
        <v/>
      </c>
      <c r="J1898" s="31" t="str">
        <f>IF($A1898="","",IF('Lot Balance'!$O1897&lt;=0,"Depleted",'Lot Balance'!$Q1897))</f>
        <v/>
      </c>
    </row>
    <row r="1899" spans="1:10" x14ac:dyDescent="0.35">
      <c r="A1899" s="18" t="str">
        <f>IF('Lot Balance'!$A1898="","",'Lot Balance'!$A1898)</f>
        <v/>
      </c>
      <c r="B1899" s="18" t="str">
        <f>IF($A1899="","",'Lot Balance'!$B1898)</f>
        <v/>
      </c>
      <c r="C1899" s="18" t="str">
        <f>IF($A1899="","",'Lot Balance'!$C1898)</f>
        <v/>
      </c>
      <c r="D1899" s="25" t="str">
        <f>IF($A1899="","",'Lot Balance'!$G1898)</f>
        <v/>
      </c>
      <c r="E1899" s="25" t="str">
        <f>IF($A1899="","",'Lot Balance'!$H1898)</f>
        <v/>
      </c>
      <c r="F1899" s="23" t="str">
        <f>IF($A1899="","",'Lot Balance'!$I1898)</f>
        <v/>
      </c>
      <c r="G1899" s="23" t="str">
        <f>IF($A1899="","",'Lot Balance'!$O1898)</f>
        <v/>
      </c>
      <c r="H1899" s="33" t="str">
        <f>IF($A1899="","",'Lot Balance'!$P1898)</f>
        <v/>
      </c>
      <c r="I1899" s="26" t="str">
        <f>IF($A1899="","",COUNTIFS(tblIssues[Lot Number],$B1899))</f>
        <v/>
      </c>
      <c r="J1899" s="31" t="str">
        <f>IF($A1899="","",IF('Lot Balance'!$O1898&lt;=0,"Depleted",'Lot Balance'!$Q1898))</f>
        <v/>
      </c>
    </row>
    <row r="1900" spans="1:10" x14ac:dyDescent="0.35">
      <c r="A1900" s="18" t="str">
        <f>IF('Lot Balance'!$A1899="","",'Lot Balance'!$A1899)</f>
        <v/>
      </c>
      <c r="B1900" s="18" t="str">
        <f>IF($A1900="","",'Lot Balance'!$B1899)</f>
        <v/>
      </c>
      <c r="C1900" s="18" t="str">
        <f>IF($A1900="","",'Lot Balance'!$C1899)</f>
        <v/>
      </c>
      <c r="D1900" s="25" t="str">
        <f>IF($A1900="","",'Lot Balance'!$G1899)</f>
        <v/>
      </c>
      <c r="E1900" s="25" t="str">
        <f>IF($A1900="","",'Lot Balance'!$H1899)</f>
        <v/>
      </c>
      <c r="F1900" s="23" t="str">
        <f>IF($A1900="","",'Lot Balance'!$I1899)</f>
        <v/>
      </c>
      <c r="G1900" s="23" t="str">
        <f>IF($A1900="","",'Lot Balance'!$O1899)</f>
        <v/>
      </c>
      <c r="H1900" s="33" t="str">
        <f>IF($A1900="","",'Lot Balance'!$P1899)</f>
        <v/>
      </c>
      <c r="I1900" s="26" t="str">
        <f>IF($A1900="","",COUNTIFS(tblIssues[Lot Number],$B1900))</f>
        <v/>
      </c>
      <c r="J1900" s="31" t="str">
        <f>IF($A1900="","",IF('Lot Balance'!$O1899&lt;=0,"Depleted",'Lot Balance'!$Q1899))</f>
        <v/>
      </c>
    </row>
    <row r="1901" spans="1:10" x14ac:dyDescent="0.35">
      <c r="A1901" s="18" t="str">
        <f>IF('Lot Balance'!$A1900="","",'Lot Balance'!$A1900)</f>
        <v/>
      </c>
      <c r="B1901" s="18" t="str">
        <f>IF($A1901="","",'Lot Balance'!$B1900)</f>
        <v/>
      </c>
      <c r="C1901" s="18" t="str">
        <f>IF($A1901="","",'Lot Balance'!$C1900)</f>
        <v/>
      </c>
      <c r="D1901" s="25" t="str">
        <f>IF($A1901="","",'Lot Balance'!$G1900)</f>
        <v/>
      </c>
      <c r="E1901" s="25" t="str">
        <f>IF($A1901="","",'Lot Balance'!$H1900)</f>
        <v/>
      </c>
      <c r="F1901" s="23" t="str">
        <f>IF($A1901="","",'Lot Balance'!$I1900)</f>
        <v/>
      </c>
      <c r="G1901" s="23" t="str">
        <f>IF($A1901="","",'Lot Balance'!$O1900)</f>
        <v/>
      </c>
      <c r="H1901" s="33" t="str">
        <f>IF($A1901="","",'Lot Balance'!$P1900)</f>
        <v/>
      </c>
      <c r="I1901" s="26" t="str">
        <f>IF($A1901="","",COUNTIFS(tblIssues[Lot Number],$B1901))</f>
        <v/>
      </c>
      <c r="J1901" s="31" t="str">
        <f>IF($A1901="","",IF('Lot Balance'!$O1900&lt;=0,"Depleted",'Lot Balance'!$Q1900))</f>
        <v/>
      </c>
    </row>
    <row r="1902" spans="1:10" x14ac:dyDescent="0.35">
      <c r="A1902" s="18" t="str">
        <f>IF('Lot Balance'!$A1901="","",'Lot Balance'!$A1901)</f>
        <v/>
      </c>
      <c r="B1902" s="18" t="str">
        <f>IF($A1902="","",'Lot Balance'!$B1901)</f>
        <v/>
      </c>
      <c r="C1902" s="18" t="str">
        <f>IF($A1902="","",'Lot Balance'!$C1901)</f>
        <v/>
      </c>
      <c r="D1902" s="25" t="str">
        <f>IF($A1902="","",'Lot Balance'!$G1901)</f>
        <v/>
      </c>
      <c r="E1902" s="25" t="str">
        <f>IF($A1902="","",'Lot Balance'!$H1901)</f>
        <v/>
      </c>
      <c r="F1902" s="23" t="str">
        <f>IF($A1902="","",'Lot Balance'!$I1901)</f>
        <v/>
      </c>
      <c r="G1902" s="23" t="str">
        <f>IF($A1902="","",'Lot Balance'!$O1901)</f>
        <v/>
      </c>
      <c r="H1902" s="33" t="str">
        <f>IF($A1902="","",'Lot Balance'!$P1901)</f>
        <v/>
      </c>
      <c r="I1902" s="26" t="str">
        <f>IF($A1902="","",COUNTIFS(tblIssues[Lot Number],$B1902))</f>
        <v/>
      </c>
      <c r="J1902" s="31" t="str">
        <f>IF($A1902="","",IF('Lot Balance'!$O1901&lt;=0,"Depleted",'Lot Balance'!$Q1901))</f>
        <v/>
      </c>
    </row>
    <row r="1903" spans="1:10" x14ac:dyDescent="0.35">
      <c r="A1903" s="18" t="str">
        <f>IF('Lot Balance'!$A1902="","",'Lot Balance'!$A1902)</f>
        <v/>
      </c>
      <c r="B1903" s="18" t="str">
        <f>IF($A1903="","",'Lot Balance'!$B1902)</f>
        <v/>
      </c>
      <c r="C1903" s="18" t="str">
        <f>IF($A1903="","",'Lot Balance'!$C1902)</f>
        <v/>
      </c>
      <c r="D1903" s="25" t="str">
        <f>IF($A1903="","",'Lot Balance'!$G1902)</f>
        <v/>
      </c>
      <c r="E1903" s="25" t="str">
        <f>IF($A1903="","",'Lot Balance'!$H1902)</f>
        <v/>
      </c>
      <c r="F1903" s="23" t="str">
        <f>IF($A1903="","",'Lot Balance'!$I1902)</f>
        <v/>
      </c>
      <c r="G1903" s="23" t="str">
        <f>IF($A1903="","",'Lot Balance'!$O1902)</f>
        <v/>
      </c>
      <c r="H1903" s="33" t="str">
        <f>IF($A1903="","",'Lot Balance'!$P1902)</f>
        <v/>
      </c>
      <c r="I1903" s="26" t="str">
        <f>IF($A1903="","",COUNTIFS(tblIssues[Lot Number],$B1903))</f>
        <v/>
      </c>
      <c r="J1903" s="31" t="str">
        <f>IF($A1903="","",IF('Lot Balance'!$O1902&lt;=0,"Depleted",'Lot Balance'!$Q1902))</f>
        <v/>
      </c>
    </row>
    <row r="1904" spans="1:10" x14ac:dyDescent="0.35">
      <c r="A1904" s="18" t="str">
        <f>IF('Lot Balance'!$A1903="","",'Lot Balance'!$A1903)</f>
        <v/>
      </c>
      <c r="B1904" s="18" t="str">
        <f>IF($A1904="","",'Lot Balance'!$B1903)</f>
        <v/>
      </c>
      <c r="C1904" s="18" t="str">
        <f>IF($A1904="","",'Lot Balance'!$C1903)</f>
        <v/>
      </c>
      <c r="D1904" s="25" t="str">
        <f>IF($A1904="","",'Lot Balance'!$G1903)</f>
        <v/>
      </c>
      <c r="E1904" s="25" t="str">
        <f>IF($A1904="","",'Lot Balance'!$H1903)</f>
        <v/>
      </c>
      <c r="F1904" s="23" t="str">
        <f>IF($A1904="","",'Lot Balance'!$I1903)</f>
        <v/>
      </c>
      <c r="G1904" s="23" t="str">
        <f>IF($A1904="","",'Lot Balance'!$O1903)</f>
        <v/>
      </c>
      <c r="H1904" s="33" t="str">
        <f>IF($A1904="","",'Lot Balance'!$P1903)</f>
        <v/>
      </c>
      <c r="I1904" s="26" t="str">
        <f>IF($A1904="","",COUNTIFS(tblIssues[Lot Number],$B1904))</f>
        <v/>
      </c>
      <c r="J1904" s="31" t="str">
        <f>IF($A1904="","",IF('Lot Balance'!$O1903&lt;=0,"Depleted",'Lot Balance'!$Q1903))</f>
        <v/>
      </c>
    </row>
    <row r="1905" spans="1:10" x14ac:dyDescent="0.35">
      <c r="A1905" s="18" t="str">
        <f>IF('Lot Balance'!$A1904="","",'Lot Balance'!$A1904)</f>
        <v/>
      </c>
      <c r="B1905" s="18" t="str">
        <f>IF($A1905="","",'Lot Balance'!$B1904)</f>
        <v/>
      </c>
      <c r="C1905" s="18" t="str">
        <f>IF($A1905="","",'Lot Balance'!$C1904)</f>
        <v/>
      </c>
      <c r="D1905" s="25" t="str">
        <f>IF($A1905="","",'Lot Balance'!$G1904)</f>
        <v/>
      </c>
      <c r="E1905" s="25" t="str">
        <f>IF($A1905="","",'Lot Balance'!$H1904)</f>
        <v/>
      </c>
      <c r="F1905" s="23" t="str">
        <f>IF($A1905="","",'Lot Balance'!$I1904)</f>
        <v/>
      </c>
      <c r="G1905" s="23" t="str">
        <f>IF($A1905="","",'Lot Balance'!$O1904)</f>
        <v/>
      </c>
      <c r="H1905" s="33" t="str">
        <f>IF($A1905="","",'Lot Balance'!$P1904)</f>
        <v/>
      </c>
      <c r="I1905" s="26" t="str">
        <f>IF($A1905="","",COUNTIFS(tblIssues[Lot Number],$B1905))</f>
        <v/>
      </c>
      <c r="J1905" s="31" t="str">
        <f>IF($A1905="","",IF('Lot Balance'!$O1904&lt;=0,"Depleted",'Lot Balance'!$Q1904))</f>
        <v/>
      </c>
    </row>
    <row r="1906" spans="1:10" x14ac:dyDescent="0.35">
      <c r="A1906" s="18" t="str">
        <f>IF('Lot Balance'!$A1905="","",'Lot Balance'!$A1905)</f>
        <v/>
      </c>
      <c r="B1906" s="18" t="str">
        <f>IF($A1906="","",'Lot Balance'!$B1905)</f>
        <v/>
      </c>
      <c r="C1906" s="18" t="str">
        <f>IF($A1906="","",'Lot Balance'!$C1905)</f>
        <v/>
      </c>
      <c r="D1906" s="25" t="str">
        <f>IF($A1906="","",'Lot Balance'!$G1905)</f>
        <v/>
      </c>
      <c r="E1906" s="25" t="str">
        <f>IF($A1906="","",'Lot Balance'!$H1905)</f>
        <v/>
      </c>
      <c r="F1906" s="23" t="str">
        <f>IF($A1906="","",'Lot Balance'!$I1905)</f>
        <v/>
      </c>
      <c r="G1906" s="23" t="str">
        <f>IF($A1906="","",'Lot Balance'!$O1905)</f>
        <v/>
      </c>
      <c r="H1906" s="33" t="str">
        <f>IF($A1906="","",'Lot Balance'!$P1905)</f>
        <v/>
      </c>
      <c r="I1906" s="26" t="str">
        <f>IF($A1906="","",COUNTIFS(tblIssues[Lot Number],$B1906))</f>
        <v/>
      </c>
      <c r="J1906" s="31" t="str">
        <f>IF($A1906="","",IF('Lot Balance'!$O1905&lt;=0,"Depleted",'Lot Balance'!$Q1905))</f>
        <v/>
      </c>
    </row>
    <row r="1907" spans="1:10" x14ac:dyDescent="0.35">
      <c r="A1907" s="18" t="str">
        <f>IF('Lot Balance'!$A1906="","",'Lot Balance'!$A1906)</f>
        <v/>
      </c>
      <c r="B1907" s="18" t="str">
        <f>IF($A1907="","",'Lot Balance'!$B1906)</f>
        <v/>
      </c>
      <c r="C1907" s="18" t="str">
        <f>IF($A1907="","",'Lot Balance'!$C1906)</f>
        <v/>
      </c>
      <c r="D1907" s="25" t="str">
        <f>IF($A1907="","",'Lot Balance'!$G1906)</f>
        <v/>
      </c>
      <c r="E1907" s="25" t="str">
        <f>IF($A1907="","",'Lot Balance'!$H1906)</f>
        <v/>
      </c>
      <c r="F1907" s="23" t="str">
        <f>IF($A1907="","",'Lot Balance'!$I1906)</f>
        <v/>
      </c>
      <c r="G1907" s="23" t="str">
        <f>IF($A1907="","",'Lot Balance'!$O1906)</f>
        <v/>
      </c>
      <c r="H1907" s="33" t="str">
        <f>IF($A1907="","",'Lot Balance'!$P1906)</f>
        <v/>
      </c>
      <c r="I1907" s="26" t="str">
        <f>IF($A1907="","",COUNTIFS(tblIssues[Lot Number],$B1907))</f>
        <v/>
      </c>
      <c r="J1907" s="31" t="str">
        <f>IF($A1907="","",IF('Lot Balance'!$O1906&lt;=0,"Depleted",'Lot Balance'!$Q1906))</f>
        <v/>
      </c>
    </row>
    <row r="1908" spans="1:10" x14ac:dyDescent="0.35">
      <c r="A1908" s="18" t="str">
        <f>IF('Lot Balance'!$A1907="","",'Lot Balance'!$A1907)</f>
        <v/>
      </c>
      <c r="B1908" s="18" t="str">
        <f>IF($A1908="","",'Lot Balance'!$B1907)</f>
        <v/>
      </c>
      <c r="C1908" s="18" t="str">
        <f>IF($A1908="","",'Lot Balance'!$C1907)</f>
        <v/>
      </c>
      <c r="D1908" s="25" t="str">
        <f>IF($A1908="","",'Lot Balance'!$G1907)</f>
        <v/>
      </c>
      <c r="E1908" s="25" t="str">
        <f>IF($A1908="","",'Lot Balance'!$H1907)</f>
        <v/>
      </c>
      <c r="F1908" s="23" t="str">
        <f>IF($A1908="","",'Lot Balance'!$I1907)</f>
        <v/>
      </c>
      <c r="G1908" s="23" t="str">
        <f>IF($A1908="","",'Lot Balance'!$O1907)</f>
        <v/>
      </c>
      <c r="H1908" s="33" t="str">
        <f>IF($A1908="","",'Lot Balance'!$P1907)</f>
        <v/>
      </c>
      <c r="I1908" s="26" t="str">
        <f>IF($A1908="","",COUNTIFS(tblIssues[Lot Number],$B1908))</f>
        <v/>
      </c>
      <c r="J1908" s="31" t="str">
        <f>IF($A1908="","",IF('Lot Balance'!$O1907&lt;=0,"Depleted",'Lot Balance'!$Q1907))</f>
        <v/>
      </c>
    </row>
    <row r="1909" spans="1:10" x14ac:dyDescent="0.35">
      <c r="A1909" s="18" t="str">
        <f>IF('Lot Balance'!$A1908="","",'Lot Balance'!$A1908)</f>
        <v/>
      </c>
      <c r="B1909" s="18" t="str">
        <f>IF($A1909="","",'Lot Balance'!$B1908)</f>
        <v/>
      </c>
      <c r="C1909" s="18" t="str">
        <f>IF($A1909="","",'Lot Balance'!$C1908)</f>
        <v/>
      </c>
      <c r="D1909" s="25" t="str">
        <f>IF($A1909="","",'Lot Balance'!$G1908)</f>
        <v/>
      </c>
      <c r="E1909" s="25" t="str">
        <f>IF($A1909="","",'Lot Balance'!$H1908)</f>
        <v/>
      </c>
      <c r="F1909" s="23" t="str">
        <f>IF($A1909="","",'Lot Balance'!$I1908)</f>
        <v/>
      </c>
      <c r="G1909" s="23" t="str">
        <f>IF($A1909="","",'Lot Balance'!$O1908)</f>
        <v/>
      </c>
      <c r="H1909" s="33" t="str">
        <f>IF($A1909="","",'Lot Balance'!$P1908)</f>
        <v/>
      </c>
      <c r="I1909" s="26" t="str">
        <f>IF($A1909="","",COUNTIFS(tblIssues[Lot Number],$B1909))</f>
        <v/>
      </c>
      <c r="J1909" s="31" t="str">
        <f>IF($A1909="","",IF('Lot Balance'!$O1908&lt;=0,"Depleted",'Lot Balance'!$Q1908))</f>
        <v/>
      </c>
    </row>
    <row r="1910" spans="1:10" x14ac:dyDescent="0.35">
      <c r="A1910" s="18" t="str">
        <f>IF('Lot Balance'!$A1909="","",'Lot Balance'!$A1909)</f>
        <v/>
      </c>
      <c r="B1910" s="18" t="str">
        <f>IF($A1910="","",'Lot Balance'!$B1909)</f>
        <v/>
      </c>
      <c r="C1910" s="18" t="str">
        <f>IF($A1910="","",'Lot Balance'!$C1909)</f>
        <v/>
      </c>
      <c r="D1910" s="25" t="str">
        <f>IF($A1910="","",'Lot Balance'!$G1909)</f>
        <v/>
      </c>
      <c r="E1910" s="25" t="str">
        <f>IF($A1910="","",'Lot Balance'!$H1909)</f>
        <v/>
      </c>
      <c r="F1910" s="23" t="str">
        <f>IF($A1910="","",'Lot Balance'!$I1909)</f>
        <v/>
      </c>
      <c r="G1910" s="23" t="str">
        <f>IF($A1910="","",'Lot Balance'!$O1909)</f>
        <v/>
      </c>
      <c r="H1910" s="33" t="str">
        <f>IF($A1910="","",'Lot Balance'!$P1909)</f>
        <v/>
      </c>
      <c r="I1910" s="26" t="str">
        <f>IF($A1910="","",COUNTIFS(tblIssues[Lot Number],$B1910))</f>
        <v/>
      </c>
      <c r="J1910" s="31" t="str">
        <f>IF($A1910="","",IF('Lot Balance'!$O1909&lt;=0,"Depleted",'Lot Balance'!$Q1909))</f>
        <v/>
      </c>
    </row>
    <row r="1911" spans="1:10" x14ac:dyDescent="0.35">
      <c r="A1911" s="18" t="str">
        <f>IF('Lot Balance'!$A1910="","",'Lot Balance'!$A1910)</f>
        <v/>
      </c>
      <c r="B1911" s="18" t="str">
        <f>IF($A1911="","",'Lot Balance'!$B1910)</f>
        <v/>
      </c>
      <c r="C1911" s="18" t="str">
        <f>IF($A1911="","",'Lot Balance'!$C1910)</f>
        <v/>
      </c>
      <c r="D1911" s="25" t="str">
        <f>IF($A1911="","",'Lot Balance'!$G1910)</f>
        <v/>
      </c>
      <c r="E1911" s="25" t="str">
        <f>IF($A1911="","",'Lot Balance'!$H1910)</f>
        <v/>
      </c>
      <c r="F1911" s="23" t="str">
        <f>IF($A1911="","",'Lot Balance'!$I1910)</f>
        <v/>
      </c>
      <c r="G1911" s="23" t="str">
        <f>IF($A1911="","",'Lot Balance'!$O1910)</f>
        <v/>
      </c>
      <c r="H1911" s="33" t="str">
        <f>IF($A1911="","",'Lot Balance'!$P1910)</f>
        <v/>
      </c>
      <c r="I1911" s="26" t="str">
        <f>IF($A1911="","",COUNTIFS(tblIssues[Lot Number],$B1911))</f>
        <v/>
      </c>
      <c r="J1911" s="31" t="str">
        <f>IF($A1911="","",IF('Lot Balance'!$O1910&lt;=0,"Depleted",'Lot Balance'!$Q1910))</f>
        <v/>
      </c>
    </row>
    <row r="1912" spans="1:10" x14ac:dyDescent="0.35">
      <c r="A1912" s="18" t="str">
        <f>IF('Lot Balance'!$A1911="","",'Lot Balance'!$A1911)</f>
        <v/>
      </c>
      <c r="B1912" s="18" t="str">
        <f>IF($A1912="","",'Lot Balance'!$B1911)</f>
        <v/>
      </c>
      <c r="C1912" s="18" t="str">
        <f>IF($A1912="","",'Lot Balance'!$C1911)</f>
        <v/>
      </c>
      <c r="D1912" s="25" t="str">
        <f>IF($A1912="","",'Lot Balance'!$G1911)</f>
        <v/>
      </c>
      <c r="E1912" s="25" t="str">
        <f>IF($A1912="","",'Lot Balance'!$H1911)</f>
        <v/>
      </c>
      <c r="F1912" s="23" t="str">
        <f>IF($A1912="","",'Lot Balance'!$I1911)</f>
        <v/>
      </c>
      <c r="G1912" s="23" t="str">
        <f>IF($A1912="","",'Lot Balance'!$O1911)</f>
        <v/>
      </c>
      <c r="H1912" s="33" t="str">
        <f>IF($A1912="","",'Lot Balance'!$P1911)</f>
        <v/>
      </c>
      <c r="I1912" s="26" t="str">
        <f>IF($A1912="","",COUNTIFS(tblIssues[Lot Number],$B1912))</f>
        <v/>
      </c>
      <c r="J1912" s="31" t="str">
        <f>IF($A1912="","",IF('Lot Balance'!$O1911&lt;=0,"Depleted",'Lot Balance'!$Q1911))</f>
        <v/>
      </c>
    </row>
    <row r="1913" spans="1:10" x14ac:dyDescent="0.35">
      <c r="A1913" s="18" t="str">
        <f>IF('Lot Balance'!$A1912="","",'Lot Balance'!$A1912)</f>
        <v/>
      </c>
      <c r="B1913" s="18" t="str">
        <f>IF($A1913="","",'Lot Balance'!$B1912)</f>
        <v/>
      </c>
      <c r="C1913" s="18" t="str">
        <f>IF($A1913="","",'Lot Balance'!$C1912)</f>
        <v/>
      </c>
      <c r="D1913" s="25" t="str">
        <f>IF($A1913="","",'Lot Balance'!$G1912)</f>
        <v/>
      </c>
      <c r="E1913" s="25" t="str">
        <f>IF($A1913="","",'Lot Balance'!$H1912)</f>
        <v/>
      </c>
      <c r="F1913" s="23" t="str">
        <f>IF($A1913="","",'Lot Balance'!$I1912)</f>
        <v/>
      </c>
      <c r="G1913" s="23" t="str">
        <f>IF($A1913="","",'Lot Balance'!$O1912)</f>
        <v/>
      </c>
      <c r="H1913" s="33" t="str">
        <f>IF($A1913="","",'Lot Balance'!$P1912)</f>
        <v/>
      </c>
      <c r="I1913" s="26" t="str">
        <f>IF($A1913="","",COUNTIFS(tblIssues[Lot Number],$B1913))</f>
        <v/>
      </c>
      <c r="J1913" s="31" t="str">
        <f>IF($A1913="","",IF('Lot Balance'!$O1912&lt;=0,"Depleted",'Lot Balance'!$Q1912))</f>
        <v/>
      </c>
    </row>
    <row r="1914" spans="1:10" x14ac:dyDescent="0.35">
      <c r="A1914" s="18" t="str">
        <f>IF('Lot Balance'!$A1913="","",'Lot Balance'!$A1913)</f>
        <v/>
      </c>
      <c r="B1914" s="18" t="str">
        <f>IF($A1914="","",'Lot Balance'!$B1913)</f>
        <v/>
      </c>
      <c r="C1914" s="18" t="str">
        <f>IF($A1914="","",'Lot Balance'!$C1913)</f>
        <v/>
      </c>
      <c r="D1914" s="25" t="str">
        <f>IF($A1914="","",'Lot Balance'!$G1913)</f>
        <v/>
      </c>
      <c r="E1914" s="25" t="str">
        <f>IF($A1914="","",'Lot Balance'!$H1913)</f>
        <v/>
      </c>
      <c r="F1914" s="23" t="str">
        <f>IF($A1914="","",'Lot Balance'!$I1913)</f>
        <v/>
      </c>
      <c r="G1914" s="23" t="str">
        <f>IF($A1914="","",'Lot Balance'!$O1913)</f>
        <v/>
      </c>
      <c r="H1914" s="33" t="str">
        <f>IF($A1914="","",'Lot Balance'!$P1913)</f>
        <v/>
      </c>
      <c r="I1914" s="26" t="str">
        <f>IF($A1914="","",COUNTIFS(tblIssues[Lot Number],$B1914))</f>
        <v/>
      </c>
      <c r="J1914" s="31" t="str">
        <f>IF($A1914="","",IF('Lot Balance'!$O1913&lt;=0,"Depleted",'Lot Balance'!$Q1913))</f>
        <v/>
      </c>
    </row>
    <row r="1915" spans="1:10" x14ac:dyDescent="0.35">
      <c r="A1915" s="18" t="str">
        <f>IF('Lot Balance'!$A1914="","",'Lot Balance'!$A1914)</f>
        <v/>
      </c>
      <c r="B1915" s="18" t="str">
        <f>IF($A1915="","",'Lot Balance'!$B1914)</f>
        <v/>
      </c>
      <c r="C1915" s="18" t="str">
        <f>IF($A1915="","",'Lot Balance'!$C1914)</f>
        <v/>
      </c>
      <c r="D1915" s="25" t="str">
        <f>IF($A1915="","",'Lot Balance'!$G1914)</f>
        <v/>
      </c>
      <c r="E1915" s="25" t="str">
        <f>IF($A1915="","",'Lot Balance'!$H1914)</f>
        <v/>
      </c>
      <c r="F1915" s="23" t="str">
        <f>IF($A1915="","",'Lot Balance'!$I1914)</f>
        <v/>
      </c>
      <c r="G1915" s="23" t="str">
        <f>IF($A1915="","",'Lot Balance'!$O1914)</f>
        <v/>
      </c>
      <c r="H1915" s="33" t="str">
        <f>IF($A1915="","",'Lot Balance'!$P1914)</f>
        <v/>
      </c>
      <c r="I1915" s="26" t="str">
        <f>IF($A1915="","",COUNTIFS(tblIssues[Lot Number],$B1915))</f>
        <v/>
      </c>
      <c r="J1915" s="31" t="str">
        <f>IF($A1915="","",IF('Lot Balance'!$O1914&lt;=0,"Depleted",'Lot Balance'!$Q1914))</f>
        <v/>
      </c>
    </row>
    <row r="1916" spans="1:10" x14ac:dyDescent="0.35">
      <c r="A1916" s="18" t="str">
        <f>IF('Lot Balance'!$A1915="","",'Lot Balance'!$A1915)</f>
        <v/>
      </c>
      <c r="B1916" s="18" t="str">
        <f>IF($A1916="","",'Lot Balance'!$B1915)</f>
        <v/>
      </c>
      <c r="C1916" s="18" t="str">
        <f>IF($A1916="","",'Lot Balance'!$C1915)</f>
        <v/>
      </c>
      <c r="D1916" s="25" t="str">
        <f>IF($A1916="","",'Lot Balance'!$G1915)</f>
        <v/>
      </c>
      <c r="E1916" s="25" t="str">
        <f>IF($A1916="","",'Lot Balance'!$H1915)</f>
        <v/>
      </c>
      <c r="F1916" s="23" t="str">
        <f>IF($A1916="","",'Lot Balance'!$I1915)</f>
        <v/>
      </c>
      <c r="G1916" s="23" t="str">
        <f>IF($A1916="","",'Lot Balance'!$O1915)</f>
        <v/>
      </c>
      <c r="H1916" s="33" t="str">
        <f>IF($A1916="","",'Lot Balance'!$P1915)</f>
        <v/>
      </c>
      <c r="I1916" s="26" t="str">
        <f>IF($A1916="","",COUNTIFS(tblIssues[Lot Number],$B1916))</f>
        <v/>
      </c>
      <c r="J1916" s="31" t="str">
        <f>IF($A1916="","",IF('Lot Balance'!$O1915&lt;=0,"Depleted",'Lot Balance'!$Q1915))</f>
        <v/>
      </c>
    </row>
    <row r="1917" spans="1:10" x14ac:dyDescent="0.35">
      <c r="A1917" s="18" t="str">
        <f>IF('Lot Balance'!$A1916="","",'Lot Balance'!$A1916)</f>
        <v/>
      </c>
      <c r="B1917" s="18" t="str">
        <f>IF($A1917="","",'Lot Balance'!$B1916)</f>
        <v/>
      </c>
      <c r="C1917" s="18" t="str">
        <f>IF($A1917="","",'Lot Balance'!$C1916)</f>
        <v/>
      </c>
      <c r="D1917" s="25" t="str">
        <f>IF($A1917="","",'Lot Balance'!$G1916)</f>
        <v/>
      </c>
      <c r="E1917" s="25" t="str">
        <f>IF($A1917="","",'Lot Balance'!$H1916)</f>
        <v/>
      </c>
      <c r="F1917" s="23" t="str">
        <f>IF($A1917="","",'Lot Balance'!$I1916)</f>
        <v/>
      </c>
      <c r="G1917" s="23" t="str">
        <f>IF($A1917="","",'Lot Balance'!$O1916)</f>
        <v/>
      </c>
      <c r="H1917" s="33" t="str">
        <f>IF($A1917="","",'Lot Balance'!$P1916)</f>
        <v/>
      </c>
      <c r="I1917" s="26" t="str">
        <f>IF($A1917="","",COUNTIFS(tblIssues[Lot Number],$B1917))</f>
        <v/>
      </c>
      <c r="J1917" s="31" t="str">
        <f>IF($A1917="","",IF('Lot Balance'!$O1916&lt;=0,"Depleted",'Lot Balance'!$Q1916))</f>
        <v/>
      </c>
    </row>
    <row r="1918" spans="1:10" x14ac:dyDescent="0.35">
      <c r="A1918" s="18" t="str">
        <f>IF('Lot Balance'!$A1917="","",'Lot Balance'!$A1917)</f>
        <v/>
      </c>
      <c r="B1918" s="18" t="str">
        <f>IF($A1918="","",'Lot Balance'!$B1917)</f>
        <v/>
      </c>
      <c r="C1918" s="18" t="str">
        <f>IF($A1918="","",'Lot Balance'!$C1917)</f>
        <v/>
      </c>
      <c r="D1918" s="25" t="str">
        <f>IF($A1918="","",'Lot Balance'!$G1917)</f>
        <v/>
      </c>
      <c r="E1918" s="25" t="str">
        <f>IF($A1918="","",'Lot Balance'!$H1917)</f>
        <v/>
      </c>
      <c r="F1918" s="23" t="str">
        <f>IF($A1918="","",'Lot Balance'!$I1917)</f>
        <v/>
      </c>
      <c r="G1918" s="23" t="str">
        <f>IF($A1918="","",'Lot Balance'!$O1917)</f>
        <v/>
      </c>
      <c r="H1918" s="33" t="str">
        <f>IF($A1918="","",'Lot Balance'!$P1917)</f>
        <v/>
      </c>
      <c r="I1918" s="26" t="str">
        <f>IF($A1918="","",COUNTIFS(tblIssues[Lot Number],$B1918))</f>
        <v/>
      </c>
      <c r="J1918" s="31" t="str">
        <f>IF($A1918="","",IF('Lot Balance'!$O1917&lt;=0,"Depleted",'Lot Balance'!$Q1917))</f>
        <v/>
      </c>
    </row>
    <row r="1919" spans="1:10" x14ac:dyDescent="0.35">
      <c r="A1919" s="18" t="str">
        <f>IF('Lot Balance'!$A1918="","",'Lot Balance'!$A1918)</f>
        <v/>
      </c>
      <c r="B1919" s="18" t="str">
        <f>IF($A1919="","",'Lot Balance'!$B1918)</f>
        <v/>
      </c>
      <c r="C1919" s="18" t="str">
        <f>IF($A1919="","",'Lot Balance'!$C1918)</f>
        <v/>
      </c>
      <c r="D1919" s="25" t="str">
        <f>IF($A1919="","",'Lot Balance'!$G1918)</f>
        <v/>
      </c>
      <c r="E1919" s="25" t="str">
        <f>IF($A1919="","",'Lot Balance'!$H1918)</f>
        <v/>
      </c>
      <c r="F1919" s="23" t="str">
        <f>IF($A1919="","",'Lot Balance'!$I1918)</f>
        <v/>
      </c>
      <c r="G1919" s="23" t="str">
        <f>IF($A1919="","",'Lot Balance'!$O1918)</f>
        <v/>
      </c>
      <c r="H1919" s="33" t="str">
        <f>IF($A1919="","",'Lot Balance'!$P1918)</f>
        <v/>
      </c>
      <c r="I1919" s="26" t="str">
        <f>IF($A1919="","",COUNTIFS(tblIssues[Lot Number],$B1919))</f>
        <v/>
      </c>
      <c r="J1919" s="31" t="str">
        <f>IF($A1919="","",IF('Lot Balance'!$O1918&lt;=0,"Depleted",'Lot Balance'!$Q1918))</f>
        <v/>
      </c>
    </row>
    <row r="1920" spans="1:10" x14ac:dyDescent="0.35">
      <c r="A1920" s="18" t="str">
        <f>IF('Lot Balance'!$A1919="","",'Lot Balance'!$A1919)</f>
        <v/>
      </c>
      <c r="B1920" s="18" t="str">
        <f>IF($A1920="","",'Lot Balance'!$B1919)</f>
        <v/>
      </c>
      <c r="C1920" s="18" t="str">
        <f>IF($A1920="","",'Lot Balance'!$C1919)</f>
        <v/>
      </c>
      <c r="D1920" s="25" t="str">
        <f>IF($A1920="","",'Lot Balance'!$G1919)</f>
        <v/>
      </c>
      <c r="E1920" s="25" t="str">
        <f>IF($A1920="","",'Lot Balance'!$H1919)</f>
        <v/>
      </c>
      <c r="F1920" s="23" t="str">
        <f>IF($A1920="","",'Lot Balance'!$I1919)</f>
        <v/>
      </c>
      <c r="G1920" s="23" t="str">
        <f>IF($A1920="","",'Lot Balance'!$O1919)</f>
        <v/>
      </c>
      <c r="H1920" s="33" t="str">
        <f>IF($A1920="","",'Lot Balance'!$P1919)</f>
        <v/>
      </c>
      <c r="I1920" s="26" t="str">
        <f>IF($A1920="","",COUNTIFS(tblIssues[Lot Number],$B1920))</f>
        <v/>
      </c>
      <c r="J1920" s="31" t="str">
        <f>IF($A1920="","",IF('Lot Balance'!$O1919&lt;=0,"Depleted",'Lot Balance'!$Q1919))</f>
        <v/>
      </c>
    </row>
    <row r="1921" spans="1:10" x14ac:dyDescent="0.35">
      <c r="A1921" s="18" t="str">
        <f>IF('Lot Balance'!$A1920="","",'Lot Balance'!$A1920)</f>
        <v/>
      </c>
      <c r="B1921" s="18" t="str">
        <f>IF($A1921="","",'Lot Balance'!$B1920)</f>
        <v/>
      </c>
      <c r="C1921" s="18" t="str">
        <f>IF($A1921="","",'Lot Balance'!$C1920)</f>
        <v/>
      </c>
      <c r="D1921" s="25" t="str">
        <f>IF($A1921="","",'Lot Balance'!$G1920)</f>
        <v/>
      </c>
      <c r="E1921" s="25" t="str">
        <f>IF($A1921="","",'Lot Balance'!$H1920)</f>
        <v/>
      </c>
      <c r="F1921" s="23" t="str">
        <f>IF($A1921="","",'Lot Balance'!$I1920)</f>
        <v/>
      </c>
      <c r="G1921" s="23" t="str">
        <f>IF($A1921="","",'Lot Balance'!$O1920)</f>
        <v/>
      </c>
      <c r="H1921" s="33" t="str">
        <f>IF($A1921="","",'Lot Balance'!$P1920)</f>
        <v/>
      </c>
      <c r="I1921" s="26" t="str">
        <f>IF($A1921="","",COUNTIFS(tblIssues[Lot Number],$B1921))</f>
        <v/>
      </c>
      <c r="J1921" s="31" t="str">
        <f>IF($A1921="","",IF('Lot Balance'!$O1920&lt;=0,"Depleted",'Lot Balance'!$Q1920))</f>
        <v/>
      </c>
    </row>
    <row r="1922" spans="1:10" x14ac:dyDescent="0.35">
      <c r="A1922" s="18" t="str">
        <f>IF('Lot Balance'!$A1921="","",'Lot Balance'!$A1921)</f>
        <v/>
      </c>
      <c r="B1922" s="18" t="str">
        <f>IF($A1922="","",'Lot Balance'!$B1921)</f>
        <v/>
      </c>
      <c r="C1922" s="18" t="str">
        <f>IF($A1922="","",'Lot Balance'!$C1921)</f>
        <v/>
      </c>
      <c r="D1922" s="25" t="str">
        <f>IF($A1922="","",'Lot Balance'!$G1921)</f>
        <v/>
      </c>
      <c r="E1922" s="25" t="str">
        <f>IF($A1922="","",'Lot Balance'!$H1921)</f>
        <v/>
      </c>
      <c r="F1922" s="23" t="str">
        <f>IF($A1922="","",'Lot Balance'!$I1921)</f>
        <v/>
      </c>
      <c r="G1922" s="23" t="str">
        <f>IF($A1922="","",'Lot Balance'!$O1921)</f>
        <v/>
      </c>
      <c r="H1922" s="33" t="str">
        <f>IF($A1922="","",'Lot Balance'!$P1921)</f>
        <v/>
      </c>
      <c r="I1922" s="26" t="str">
        <f>IF($A1922="","",COUNTIFS(tblIssues[Lot Number],$B1922))</f>
        <v/>
      </c>
      <c r="J1922" s="31" t="str">
        <f>IF($A1922="","",IF('Lot Balance'!$O1921&lt;=0,"Depleted",'Lot Balance'!$Q1921))</f>
        <v/>
      </c>
    </row>
    <row r="1923" spans="1:10" x14ac:dyDescent="0.35">
      <c r="A1923" s="18" t="str">
        <f>IF('Lot Balance'!$A1922="","",'Lot Balance'!$A1922)</f>
        <v/>
      </c>
      <c r="B1923" s="18" t="str">
        <f>IF($A1923="","",'Lot Balance'!$B1922)</f>
        <v/>
      </c>
      <c r="C1923" s="18" t="str">
        <f>IF($A1923="","",'Lot Balance'!$C1922)</f>
        <v/>
      </c>
      <c r="D1923" s="25" t="str">
        <f>IF($A1923="","",'Lot Balance'!$G1922)</f>
        <v/>
      </c>
      <c r="E1923" s="25" t="str">
        <f>IF($A1923="","",'Lot Balance'!$H1922)</f>
        <v/>
      </c>
      <c r="F1923" s="23" t="str">
        <f>IF($A1923="","",'Lot Balance'!$I1922)</f>
        <v/>
      </c>
      <c r="G1923" s="23" t="str">
        <f>IF($A1923="","",'Lot Balance'!$O1922)</f>
        <v/>
      </c>
      <c r="H1923" s="33" t="str">
        <f>IF($A1923="","",'Lot Balance'!$P1922)</f>
        <v/>
      </c>
      <c r="I1923" s="26" t="str">
        <f>IF($A1923="","",COUNTIFS(tblIssues[Lot Number],$B1923))</f>
        <v/>
      </c>
      <c r="J1923" s="31" t="str">
        <f>IF($A1923="","",IF('Lot Balance'!$O1922&lt;=0,"Depleted",'Lot Balance'!$Q1922))</f>
        <v/>
      </c>
    </row>
    <row r="1924" spans="1:10" x14ac:dyDescent="0.35">
      <c r="A1924" s="18" t="str">
        <f>IF('Lot Balance'!$A1923="","",'Lot Balance'!$A1923)</f>
        <v/>
      </c>
      <c r="B1924" s="18" t="str">
        <f>IF($A1924="","",'Lot Balance'!$B1923)</f>
        <v/>
      </c>
      <c r="C1924" s="18" t="str">
        <f>IF($A1924="","",'Lot Balance'!$C1923)</f>
        <v/>
      </c>
      <c r="D1924" s="25" t="str">
        <f>IF($A1924="","",'Lot Balance'!$G1923)</f>
        <v/>
      </c>
      <c r="E1924" s="25" t="str">
        <f>IF($A1924="","",'Lot Balance'!$H1923)</f>
        <v/>
      </c>
      <c r="F1924" s="23" t="str">
        <f>IF($A1924="","",'Lot Balance'!$I1923)</f>
        <v/>
      </c>
      <c r="G1924" s="23" t="str">
        <f>IF($A1924="","",'Lot Balance'!$O1923)</f>
        <v/>
      </c>
      <c r="H1924" s="33" t="str">
        <f>IF($A1924="","",'Lot Balance'!$P1923)</f>
        <v/>
      </c>
      <c r="I1924" s="26" t="str">
        <f>IF($A1924="","",COUNTIFS(tblIssues[Lot Number],$B1924))</f>
        <v/>
      </c>
      <c r="J1924" s="31" t="str">
        <f>IF($A1924="","",IF('Lot Balance'!$O1923&lt;=0,"Depleted",'Lot Balance'!$Q1923))</f>
        <v/>
      </c>
    </row>
    <row r="1925" spans="1:10" x14ac:dyDescent="0.35">
      <c r="A1925" s="18" t="str">
        <f>IF('Lot Balance'!$A1924="","",'Lot Balance'!$A1924)</f>
        <v/>
      </c>
      <c r="B1925" s="18" t="str">
        <f>IF($A1925="","",'Lot Balance'!$B1924)</f>
        <v/>
      </c>
      <c r="C1925" s="18" t="str">
        <f>IF($A1925="","",'Lot Balance'!$C1924)</f>
        <v/>
      </c>
      <c r="D1925" s="25" t="str">
        <f>IF($A1925="","",'Lot Balance'!$G1924)</f>
        <v/>
      </c>
      <c r="E1925" s="25" t="str">
        <f>IF($A1925="","",'Lot Balance'!$H1924)</f>
        <v/>
      </c>
      <c r="F1925" s="23" t="str">
        <f>IF($A1925="","",'Lot Balance'!$I1924)</f>
        <v/>
      </c>
      <c r="G1925" s="23" t="str">
        <f>IF($A1925="","",'Lot Balance'!$O1924)</f>
        <v/>
      </c>
      <c r="H1925" s="33" t="str">
        <f>IF($A1925="","",'Lot Balance'!$P1924)</f>
        <v/>
      </c>
      <c r="I1925" s="26" t="str">
        <f>IF($A1925="","",COUNTIFS(tblIssues[Lot Number],$B1925))</f>
        <v/>
      </c>
      <c r="J1925" s="31" t="str">
        <f>IF($A1925="","",IF('Lot Balance'!$O1924&lt;=0,"Depleted",'Lot Balance'!$Q1924))</f>
        <v/>
      </c>
    </row>
    <row r="1926" spans="1:10" x14ac:dyDescent="0.35">
      <c r="A1926" s="18" t="str">
        <f>IF('Lot Balance'!$A1925="","",'Lot Balance'!$A1925)</f>
        <v/>
      </c>
      <c r="B1926" s="18" t="str">
        <f>IF($A1926="","",'Lot Balance'!$B1925)</f>
        <v/>
      </c>
      <c r="C1926" s="18" t="str">
        <f>IF($A1926="","",'Lot Balance'!$C1925)</f>
        <v/>
      </c>
      <c r="D1926" s="25" t="str">
        <f>IF($A1926="","",'Lot Balance'!$G1925)</f>
        <v/>
      </c>
      <c r="E1926" s="25" t="str">
        <f>IF($A1926="","",'Lot Balance'!$H1925)</f>
        <v/>
      </c>
      <c r="F1926" s="23" t="str">
        <f>IF($A1926="","",'Lot Balance'!$I1925)</f>
        <v/>
      </c>
      <c r="G1926" s="23" t="str">
        <f>IF($A1926="","",'Lot Balance'!$O1925)</f>
        <v/>
      </c>
      <c r="H1926" s="33" t="str">
        <f>IF($A1926="","",'Lot Balance'!$P1925)</f>
        <v/>
      </c>
      <c r="I1926" s="26" t="str">
        <f>IF($A1926="","",COUNTIFS(tblIssues[Lot Number],$B1926))</f>
        <v/>
      </c>
      <c r="J1926" s="31" t="str">
        <f>IF($A1926="","",IF('Lot Balance'!$O1925&lt;=0,"Depleted",'Lot Balance'!$Q1925))</f>
        <v/>
      </c>
    </row>
    <row r="1927" spans="1:10" x14ac:dyDescent="0.35">
      <c r="A1927" s="18" t="str">
        <f>IF('Lot Balance'!$A1926="","",'Lot Balance'!$A1926)</f>
        <v/>
      </c>
      <c r="B1927" s="18" t="str">
        <f>IF($A1927="","",'Lot Balance'!$B1926)</f>
        <v/>
      </c>
      <c r="C1927" s="18" t="str">
        <f>IF($A1927="","",'Lot Balance'!$C1926)</f>
        <v/>
      </c>
      <c r="D1927" s="25" t="str">
        <f>IF($A1927="","",'Lot Balance'!$G1926)</f>
        <v/>
      </c>
      <c r="E1927" s="25" t="str">
        <f>IF($A1927="","",'Lot Balance'!$H1926)</f>
        <v/>
      </c>
      <c r="F1927" s="23" t="str">
        <f>IF($A1927="","",'Lot Balance'!$I1926)</f>
        <v/>
      </c>
      <c r="G1927" s="23" t="str">
        <f>IF($A1927="","",'Lot Balance'!$O1926)</f>
        <v/>
      </c>
      <c r="H1927" s="33" t="str">
        <f>IF($A1927="","",'Lot Balance'!$P1926)</f>
        <v/>
      </c>
      <c r="I1927" s="26" t="str">
        <f>IF($A1927="","",COUNTIFS(tblIssues[Lot Number],$B1927))</f>
        <v/>
      </c>
      <c r="J1927" s="31" t="str">
        <f>IF($A1927="","",IF('Lot Balance'!$O1926&lt;=0,"Depleted",'Lot Balance'!$Q1926))</f>
        <v/>
      </c>
    </row>
    <row r="1928" spans="1:10" x14ac:dyDescent="0.35">
      <c r="A1928" s="18" t="str">
        <f>IF('Lot Balance'!$A1927="","",'Lot Balance'!$A1927)</f>
        <v/>
      </c>
      <c r="B1928" s="18" t="str">
        <f>IF($A1928="","",'Lot Balance'!$B1927)</f>
        <v/>
      </c>
      <c r="C1928" s="18" t="str">
        <f>IF($A1928="","",'Lot Balance'!$C1927)</f>
        <v/>
      </c>
      <c r="D1928" s="25" t="str">
        <f>IF($A1928="","",'Lot Balance'!$G1927)</f>
        <v/>
      </c>
      <c r="E1928" s="25" t="str">
        <f>IF($A1928="","",'Lot Balance'!$H1927)</f>
        <v/>
      </c>
      <c r="F1928" s="23" t="str">
        <f>IF($A1928="","",'Lot Balance'!$I1927)</f>
        <v/>
      </c>
      <c r="G1928" s="23" t="str">
        <f>IF($A1928="","",'Lot Balance'!$O1927)</f>
        <v/>
      </c>
      <c r="H1928" s="33" t="str">
        <f>IF($A1928="","",'Lot Balance'!$P1927)</f>
        <v/>
      </c>
      <c r="I1928" s="26" t="str">
        <f>IF($A1928="","",COUNTIFS(tblIssues[Lot Number],$B1928))</f>
        <v/>
      </c>
      <c r="J1928" s="31" t="str">
        <f>IF($A1928="","",IF('Lot Balance'!$O1927&lt;=0,"Depleted",'Lot Balance'!$Q1927))</f>
        <v/>
      </c>
    </row>
    <row r="1929" spans="1:10" x14ac:dyDescent="0.35">
      <c r="A1929" s="18" t="str">
        <f>IF('Lot Balance'!$A1928="","",'Lot Balance'!$A1928)</f>
        <v/>
      </c>
      <c r="B1929" s="18" t="str">
        <f>IF($A1929="","",'Lot Balance'!$B1928)</f>
        <v/>
      </c>
      <c r="C1929" s="18" t="str">
        <f>IF($A1929="","",'Lot Balance'!$C1928)</f>
        <v/>
      </c>
      <c r="D1929" s="25" t="str">
        <f>IF($A1929="","",'Lot Balance'!$G1928)</f>
        <v/>
      </c>
      <c r="E1929" s="25" t="str">
        <f>IF($A1929="","",'Lot Balance'!$H1928)</f>
        <v/>
      </c>
      <c r="F1929" s="23" t="str">
        <f>IF($A1929="","",'Lot Balance'!$I1928)</f>
        <v/>
      </c>
      <c r="G1929" s="23" t="str">
        <f>IF($A1929="","",'Lot Balance'!$O1928)</f>
        <v/>
      </c>
      <c r="H1929" s="33" t="str">
        <f>IF($A1929="","",'Lot Balance'!$P1928)</f>
        <v/>
      </c>
      <c r="I1929" s="26" t="str">
        <f>IF($A1929="","",COUNTIFS(tblIssues[Lot Number],$B1929))</f>
        <v/>
      </c>
      <c r="J1929" s="31" t="str">
        <f>IF($A1929="","",IF('Lot Balance'!$O1928&lt;=0,"Depleted",'Lot Balance'!$Q1928))</f>
        <v/>
      </c>
    </row>
    <row r="1930" spans="1:10" x14ac:dyDescent="0.35">
      <c r="A1930" s="18" t="str">
        <f>IF('Lot Balance'!$A1929="","",'Lot Balance'!$A1929)</f>
        <v/>
      </c>
      <c r="B1930" s="18" t="str">
        <f>IF($A1930="","",'Lot Balance'!$B1929)</f>
        <v/>
      </c>
      <c r="C1930" s="18" t="str">
        <f>IF($A1930="","",'Lot Balance'!$C1929)</f>
        <v/>
      </c>
      <c r="D1930" s="25" t="str">
        <f>IF($A1930="","",'Lot Balance'!$G1929)</f>
        <v/>
      </c>
      <c r="E1930" s="25" t="str">
        <f>IF($A1930="","",'Lot Balance'!$H1929)</f>
        <v/>
      </c>
      <c r="F1930" s="23" t="str">
        <f>IF($A1930="","",'Lot Balance'!$I1929)</f>
        <v/>
      </c>
      <c r="G1930" s="23" t="str">
        <f>IF($A1930="","",'Lot Balance'!$O1929)</f>
        <v/>
      </c>
      <c r="H1930" s="33" t="str">
        <f>IF($A1930="","",'Lot Balance'!$P1929)</f>
        <v/>
      </c>
      <c r="I1930" s="26" t="str">
        <f>IF($A1930="","",COUNTIFS(tblIssues[Lot Number],$B1930))</f>
        <v/>
      </c>
      <c r="J1930" s="31" t="str">
        <f>IF($A1930="","",IF('Lot Balance'!$O1929&lt;=0,"Depleted",'Lot Balance'!$Q1929))</f>
        <v/>
      </c>
    </row>
    <row r="1931" spans="1:10" x14ac:dyDescent="0.35">
      <c r="A1931" s="18" t="str">
        <f>IF('Lot Balance'!$A1930="","",'Lot Balance'!$A1930)</f>
        <v/>
      </c>
      <c r="B1931" s="18" t="str">
        <f>IF($A1931="","",'Lot Balance'!$B1930)</f>
        <v/>
      </c>
      <c r="C1931" s="18" t="str">
        <f>IF($A1931="","",'Lot Balance'!$C1930)</f>
        <v/>
      </c>
      <c r="D1931" s="25" t="str">
        <f>IF($A1931="","",'Lot Balance'!$G1930)</f>
        <v/>
      </c>
      <c r="E1931" s="25" t="str">
        <f>IF($A1931="","",'Lot Balance'!$H1930)</f>
        <v/>
      </c>
      <c r="F1931" s="23" t="str">
        <f>IF($A1931="","",'Lot Balance'!$I1930)</f>
        <v/>
      </c>
      <c r="G1931" s="23" t="str">
        <f>IF($A1931="","",'Lot Balance'!$O1930)</f>
        <v/>
      </c>
      <c r="H1931" s="33" t="str">
        <f>IF($A1931="","",'Lot Balance'!$P1930)</f>
        <v/>
      </c>
      <c r="I1931" s="26" t="str">
        <f>IF($A1931="","",COUNTIFS(tblIssues[Lot Number],$B1931))</f>
        <v/>
      </c>
      <c r="J1931" s="31" t="str">
        <f>IF($A1931="","",IF('Lot Balance'!$O1930&lt;=0,"Depleted",'Lot Balance'!$Q1930))</f>
        <v/>
      </c>
    </row>
    <row r="1932" spans="1:10" x14ac:dyDescent="0.35">
      <c r="A1932" s="18" t="str">
        <f>IF('Lot Balance'!$A1931="","",'Lot Balance'!$A1931)</f>
        <v/>
      </c>
      <c r="B1932" s="18" t="str">
        <f>IF($A1932="","",'Lot Balance'!$B1931)</f>
        <v/>
      </c>
      <c r="C1932" s="18" t="str">
        <f>IF($A1932="","",'Lot Balance'!$C1931)</f>
        <v/>
      </c>
      <c r="D1932" s="25" t="str">
        <f>IF($A1932="","",'Lot Balance'!$G1931)</f>
        <v/>
      </c>
      <c r="E1932" s="25" t="str">
        <f>IF($A1932="","",'Lot Balance'!$H1931)</f>
        <v/>
      </c>
      <c r="F1932" s="23" t="str">
        <f>IF($A1932="","",'Lot Balance'!$I1931)</f>
        <v/>
      </c>
      <c r="G1932" s="23" t="str">
        <f>IF($A1932="","",'Lot Balance'!$O1931)</f>
        <v/>
      </c>
      <c r="H1932" s="33" t="str">
        <f>IF($A1932="","",'Lot Balance'!$P1931)</f>
        <v/>
      </c>
      <c r="I1932" s="26" t="str">
        <f>IF($A1932="","",COUNTIFS(tblIssues[Lot Number],$B1932))</f>
        <v/>
      </c>
      <c r="J1932" s="31" t="str">
        <f>IF($A1932="","",IF('Lot Balance'!$O1931&lt;=0,"Depleted",'Lot Balance'!$Q1931))</f>
        <v/>
      </c>
    </row>
    <row r="1933" spans="1:10" x14ac:dyDescent="0.35">
      <c r="A1933" s="18" t="str">
        <f>IF('Lot Balance'!$A1932="","",'Lot Balance'!$A1932)</f>
        <v/>
      </c>
      <c r="B1933" s="18" t="str">
        <f>IF($A1933="","",'Lot Balance'!$B1932)</f>
        <v/>
      </c>
      <c r="C1933" s="18" t="str">
        <f>IF($A1933="","",'Lot Balance'!$C1932)</f>
        <v/>
      </c>
      <c r="D1933" s="25" t="str">
        <f>IF($A1933="","",'Lot Balance'!$G1932)</f>
        <v/>
      </c>
      <c r="E1933" s="25" t="str">
        <f>IF($A1933="","",'Lot Balance'!$H1932)</f>
        <v/>
      </c>
      <c r="F1933" s="23" t="str">
        <f>IF($A1933="","",'Lot Balance'!$I1932)</f>
        <v/>
      </c>
      <c r="G1933" s="23" t="str">
        <f>IF($A1933="","",'Lot Balance'!$O1932)</f>
        <v/>
      </c>
      <c r="H1933" s="33" t="str">
        <f>IF($A1933="","",'Lot Balance'!$P1932)</f>
        <v/>
      </c>
      <c r="I1933" s="26" t="str">
        <f>IF($A1933="","",COUNTIFS(tblIssues[Lot Number],$B1933))</f>
        <v/>
      </c>
      <c r="J1933" s="31" t="str">
        <f>IF($A1933="","",IF('Lot Balance'!$O1932&lt;=0,"Depleted",'Lot Balance'!$Q1932))</f>
        <v/>
      </c>
    </row>
    <row r="1934" spans="1:10" x14ac:dyDescent="0.35">
      <c r="A1934" s="18" t="str">
        <f>IF('Lot Balance'!$A1933="","",'Lot Balance'!$A1933)</f>
        <v/>
      </c>
      <c r="B1934" s="18" t="str">
        <f>IF($A1934="","",'Lot Balance'!$B1933)</f>
        <v/>
      </c>
      <c r="C1934" s="18" t="str">
        <f>IF($A1934="","",'Lot Balance'!$C1933)</f>
        <v/>
      </c>
      <c r="D1934" s="25" t="str">
        <f>IF($A1934="","",'Lot Balance'!$G1933)</f>
        <v/>
      </c>
      <c r="E1934" s="25" t="str">
        <f>IF($A1934="","",'Lot Balance'!$H1933)</f>
        <v/>
      </c>
      <c r="F1934" s="23" t="str">
        <f>IF($A1934="","",'Lot Balance'!$I1933)</f>
        <v/>
      </c>
      <c r="G1934" s="23" t="str">
        <f>IF($A1934="","",'Lot Balance'!$O1933)</f>
        <v/>
      </c>
      <c r="H1934" s="33" t="str">
        <f>IF($A1934="","",'Lot Balance'!$P1933)</f>
        <v/>
      </c>
      <c r="I1934" s="26" t="str">
        <f>IF($A1934="","",COUNTIFS(tblIssues[Lot Number],$B1934))</f>
        <v/>
      </c>
      <c r="J1934" s="31" t="str">
        <f>IF($A1934="","",IF('Lot Balance'!$O1933&lt;=0,"Depleted",'Lot Balance'!$Q1933))</f>
        <v/>
      </c>
    </row>
    <row r="1935" spans="1:10" x14ac:dyDescent="0.35">
      <c r="A1935" s="18" t="str">
        <f>IF('Lot Balance'!$A1934="","",'Lot Balance'!$A1934)</f>
        <v/>
      </c>
      <c r="B1935" s="18" t="str">
        <f>IF($A1935="","",'Lot Balance'!$B1934)</f>
        <v/>
      </c>
      <c r="C1935" s="18" t="str">
        <f>IF($A1935="","",'Lot Balance'!$C1934)</f>
        <v/>
      </c>
      <c r="D1935" s="25" t="str">
        <f>IF($A1935="","",'Lot Balance'!$G1934)</f>
        <v/>
      </c>
      <c r="E1935" s="25" t="str">
        <f>IF($A1935="","",'Lot Balance'!$H1934)</f>
        <v/>
      </c>
      <c r="F1935" s="23" t="str">
        <f>IF($A1935="","",'Lot Balance'!$I1934)</f>
        <v/>
      </c>
      <c r="G1935" s="23" t="str">
        <f>IF($A1935="","",'Lot Balance'!$O1934)</f>
        <v/>
      </c>
      <c r="H1935" s="33" t="str">
        <f>IF($A1935="","",'Lot Balance'!$P1934)</f>
        <v/>
      </c>
      <c r="I1935" s="26" t="str">
        <f>IF($A1935="","",COUNTIFS(tblIssues[Lot Number],$B1935))</f>
        <v/>
      </c>
      <c r="J1935" s="31" t="str">
        <f>IF($A1935="","",IF('Lot Balance'!$O1934&lt;=0,"Depleted",'Lot Balance'!$Q1934))</f>
        <v/>
      </c>
    </row>
    <row r="1936" spans="1:10" x14ac:dyDescent="0.35">
      <c r="A1936" s="18" t="str">
        <f>IF('Lot Balance'!$A1935="","",'Lot Balance'!$A1935)</f>
        <v/>
      </c>
      <c r="B1936" s="18" t="str">
        <f>IF($A1936="","",'Lot Balance'!$B1935)</f>
        <v/>
      </c>
      <c r="C1936" s="18" t="str">
        <f>IF($A1936="","",'Lot Balance'!$C1935)</f>
        <v/>
      </c>
      <c r="D1936" s="25" t="str">
        <f>IF($A1936="","",'Lot Balance'!$G1935)</f>
        <v/>
      </c>
      <c r="E1936" s="25" t="str">
        <f>IF($A1936="","",'Lot Balance'!$H1935)</f>
        <v/>
      </c>
      <c r="F1936" s="23" t="str">
        <f>IF($A1936="","",'Lot Balance'!$I1935)</f>
        <v/>
      </c>
      <c r="G1936" s="23" t="str">
        <f>IF($A1936="","",'Lot Balance'!$O1935)</f>
        <v/>
      </c>
      <c r="H1936" s="33" t="str">
        <f>IF($A1936="","",'Lot Balance'!$P1935)</f>
        <v/>
      </c>
      <c r="I1936" s="26" t="str">
        <f>IF($A1936="","",COUNTIFS(tblIssues[Lot Number],$B1936))</f>
        <v/>
      </c>
      <c r="J1936" s="31" t="str">
        <f>IF($A1936="","",IF('Lot Balance'!$O1935&lt;=0,"Depleted",'Lot Balance'!$Q1935))</f>
        <v/>
      </c>
    </row>
    <row r="1937" spans="1:10" x14ac:dyDescent="0.35">
      <c r="A1937" s="18" t="str">
        <f>IF('Lot Balance'!$A1936="","",'Lot Balance'!$A1936)</f>
        <v/>
      </c>
      <c r="B1937" s="18" t="str">
        <f>IF($A1937="","",'Lot Balance'!$B1936)</f>
        <v/>
      </c>
      <c r="C1937" s="18" t="str">
        <f>IF($A1937="","",'Lot Balance'!$C1936)</f>
        <v/>
      </c>
      <c r="D1937" s="25" t="str">
        <f>IF($A1937="","",'Lot Balance'!$G1936)</f>
        <v/>
      </c>
      <c r="E1937" s="25" t="str">
        <f>IF($A1937="","",'Lot Balance'!$H1936)</f>
        <v/>
      </c>
      <c r="F1937" s="23" t="str">
        <f>IF($A1937="","",'Lot Balance'!$I1936)</f>
        <v/>
      </c>
      <c r="G1937" s="23" t="str">
        <f>IF($A1937="","",'Lot Balance'!$O1936)</f>
        <v/>
      </c>
      <c r="H1937" s="33" t="str">
        <f>IF($A1937="","",'Lot Balance'!$P1936)</f>
        <v/>
      </c>
      <c r="I1937" s="26" t="str">
        <f>IF($A1937="","",COUNTIFS(tblIssues[Lot Number],$B1937))</f>
        <v/>
      </c>
      <c r="J1937" s="31" t="str">
        <f>IF($A1937="","",IF('Lot Balance'!$O1936&lt;=0,"Depleted",'Lot Balance'!$Q1936))</f>
        <v/>
      </c>
    </row>
    <row r="1938" spans="1:10" x14ac:dyDescent="0.35">
      <c r="A1938" s="18" t="str">
        <f>IF('Lot Balance'!$A1937="","",'Lot Balance'!$A1937)</f>
        <v/>
      </c>
      <c r="B1938" s="18" t="str">
        <f>IF($A1938="","",'Lot Balance'!$B1937)</f>
        <v/>
      </c>
      <c r="C1938" s="18" t="str">
        <f>IF($A1938="","",'Lot Balance'!$C1937)</f>
        <v/>
      </c>
      <c r="D1938" s="25" t="str">
        <f>IF($A1938="","",'Lot Balance'!$G1937)</f>
        <v/>
      </c>
      <c r="E1938" s="25" t="str">
        <f>IF($A1938="","",'Lot Balance'!$H1937)</f>
        <v/>
      </c>
      <c r="F1938" s="23" t="str">
        <f>IF($A1938="","",'Lot Balance'!$I1937)</f>
        <v/>
      </c>
      <c r="G1938" s="23" t="str">
        <f>IF($A1938="","",'Lot Balance'!$O1937)</f>
        <v/>
      </c>
      <c r="H1938" s="33" t="str">
        <f>IF($A1938="","",'Lot Balance'!$P1937)</f>
        <v/>
      </c>
      <c r="I1938" s="26" t="str">
        <f>IF($A1938="","",COUNTIFS(tblIssues[Lot Number],$B1938))</f>
        <v/>
      </c>
      <c r="J1938" s="31" t="str">
        <f>IF($A1938="","",IF('Lot Balance'!$O1937&lt;=0,"Depleted",'Lot Balance'!$Q1937))</f>
        <v/>
      </c>
    </row>
    <row r="1939" spans="1:10" x14ac:dyDescent="0.35">
      <c r="A1939" s="18" t="str">
        <f>IF('Lot Balance'!$A1938="","",'Lot Balance'!$A1938)</f>
        <v/>
      </c>
      <c r="B1939" s="18" t="str">
        <f>IF($A1939="","",'Lot Balance'!$B1938)</f>
        <v/>
      </c>
      <c r="C1939" s="18" t="str">
        <f>IF($A1939="","",'Lot Balance'!$C1938)</f>
        <v/>
      </c>
      <c r="D1939" s="25" t="str">
        <f>IF($A1939="","",'Lot Balance'!$G1938)</f>
        <v/>
      </c>
      <c r="E1939" s="25" t="str">
        <f>IF($A1939="","",'Lot Balance'!$H1938)</f>
        <v/>
      </c>
      <c r="F1939" s="23" t="str">
        <f>IF($A1939="","",'Lot Balance'!$I1938)</f>
        <v/>
      </c>
      <c r="G1939" s="23" t="str">
        <f>IF($A1939="","",'Lot Balance'!$O1938)</f>
        <v/>
      </c>
      <c r="H1939" s="33" t="str">
        <f>IF($A1939="","",'Lot Balance'!$P1938)</f>
        <v/>
      </c>
      <c r="I1939" s="26" t="str">
        <f>IF($A1939="","",COUNTIFS(tblIssues[Lot Number],$B1939))</f>
        <v/>
      </c>
      <c r="J1939" s="31" t="str">
        <f>IF($A1939="","",IF('Lot Balance'!$O1938&lt;=0,"Depleted",'Lot Balance'!$Q1938))</f>
        <v/>
      </c>
    </row>
    <row r="1940" spans="1:10" x14ac:dyDescent="0.35">
      <c r="A1940" s="18" t="str">
        <f>IF('Lot Balance'!$A1939="","",'Lot Balance'!$A1939)</f>
        <v/>
      </c>
      <c r="B1940" s="18" t="str">
        <f>IF($A1940="","",'Lot Balance'!$B1939)</f>
        <v/>
      </c>
      <c r="C1940" s="18" t="str">
        <f>IF($A1940="","",'Lot Balance'!$C1939)</f>
        <v/>
      </c>
      <c r="D1940" s="25" t="str">
        <f>IF($A1940="","",'Lot Balance'!$G1939)</f>
        <v/>
      </c>
      <c r="E1940" s="25" t="str">
        <f>IF($A1940="","",'Lot Balance'!$H1939)</f>
        <v/>
      </c>
      <c r="F1940" s="23" t="str">
        <f>IF($A1940="","",'Lot Balance'!$I1939)</f>
        <v/>
      </c>
      <c r="G1940" s="23" t="str">
        <f>IF($A1940="","",'Lot Balance'!$O1939)</f>
        <v/>
      </c>
      <c r="H1940" s="33" t="str">
        <f>IF($A1940="","",'Lot Balance'!$P1939)</f>
        <v/>
      </c>
      <c r="I1940" s="26" t="str">
        <f>IF($A1940="","",COUNTIFS(tblIssues[Lot Number],$B1940))</f>
        <v/>
      </c>
      <c r="J1940" s="31" t="str">
        <f>IF($A1940="","",IF('Lot Balance'!$O1939&lt;=0,"Depleted",'Lot Balance'!$Q1939))</f>
        <v/>
      </c>
    </row>
    <row r="1941" spans="1:10" x14ac:dyDescent="0.35">
      <c r="A1941" s="18" t="str">
        <f>IF('Lot Balance'!$A1940="","",'Lot Balance'!$A1940)</f>
        <v/>
      </c>
      <c r="B1941" s="18" t="str">
        <f>IF($A1941="","",'Lot Balance'!$B1940)</f>
        <v/>
      </c>
      <c r="C1941" s="18" t="str">
        <f>IF($A1941="","",'Lot Balance'!$C1940)</f>
        <v/>
      </c>
      <c r="D1941" s="25" t="str">
        <f>IF($A1941="","",'Lot Balance'!$G1940)</f>
        <v/>
      </c>
      <c r="E1941" s="25" t="str">
        <f>IF($A1941="","",'Lot Balance'!$H1940)</f>
        <v/>
      </c>
      <c r="F1941" s="23" t="str">
        <f>IF($A1941="","",'Lot Balance'!$I1940)</f>
        <v/>
      </c>
      <c r="G1941" s="23" t="str">
        <f>IF($A1941="","",'Lot Balance'!$O1940)</f>
        <v/>
      </c>
      <c r="H1941" s="33" t="str">
        <f>IF($A1941="","",'Lot Balance'!$P1940)</f>
        <v/>
      </c>
      <c r="I1941" s="26" t="str">
        <f>IF($A1941="","",COUNTIFS(tblIssues[Lot Number],$B1941))</f>
        <v/>
      </c>
      <c r="J1941" s="31" t="str">
        <f>IF($A1941="","",IF('Lot Balance'!$O1940&lt;=0,"Depleted",'Lot Balance'!$Q1940))</f>
        <v/>
      </c>
    </row>
    <row r="1942" spans="1:10" x14ac:dyDescent="0.35">
      <c r="A1942" s="18" t="str">
        <f>IF('Lot Balance'!$A1941="","",'Lot Balance'!$A1941)</f>
        <v/>
      </c>
      <c r="B1942" s="18" t="str">
        <f>IF($A1942="","",'Lot Balance'!$B1941)</f>
        <v/>
      </c>
      <c r="C1942" s="18" t="str">
        <f>IF($A1942="","",'Lot Balance'!$C1941)</f>
        <v/>
      </c>
      <c r="D1942" s="25" t="str">
        <f>IF($A1942="","",'Lot Balance'!$G1941)</f>
        <v/>
      </c>
      <c r="E1942" s="25" t="str">
        <f>IF($A1942="","",'Lot Balance'!$H1941)</f>
        <v/>
      </c>
      <c r="F1942" s="23" t="str">
        <f>IF($A1942="","",'Lot Balance'!$I1941)</f>
        <v/>
      </c>
      <c r="G1942" s="23" t="str">
        <f>IF($A1942="","",'Lot Balance'!$O1941)</f>
        <v/>
      </c>
      <c r="H1942" s="33" t="str">
        <f>IF($A1942="","",'Lot Balance'!$P1941)</f>
        <v/>
      </c>
      <c r="I1942" s="26" t="str">
        <f>IF($A1942="","",COUNTIFS(tblIssues[Lot Number],$B1942))</f>
        <v/>
      </c>
      <c r="J1942" s="31" t="str">
        <f>IF($A1942="","",IF('Lot Balance'!$O1941&lt;=0,"Depleted",'Lot Balance'!$Q1941))</f>
        <v/>
      </c>
    </row>
    <row r="1943" spans="1:10" x14ac:dyDescent="0.35">
      <c r="A1943" s="18" t="str">
        <f>IF('Lot Balance'!$A1942="","",'Lot Balance'!$A1942)</f>
        <v/>
      </c>
      <c r="B1943" s="18" t="str">
        <f>IF($A1943="","",'Lot Balance'!$B1942)</f>
        <v/>
      </c>
      <c r="C1943" s="18" t="str">
        <f>IF($A1943="","",'Lot Balance'!$C1942)</f>
        <v/>
      </c>
      <c r="D1943" s="25" t="str">
        <f>IF($A1943="","",'Lot Balance'!$G1942)</f>
        <v/>
      </c>
      <c r="E1943" s="25" t="str">
        <f>IF($A1943="","",'Lot Balance'!$H1942)</f>
        <v/>
      </c>
      <c r="F1943" s="23" t="str">
        <f>IF($A1943="","",'Lot Balance'!$I1942)</f>
        <v/>
      </c>
      <c r="G1943" s="23" t="str">
        <f>IF($A1943="","",'Lot Balance'!$O1942)</f>
        <v/>
      </c>
      <c r="H1943" s="33" t="str">
        <f>IF($A1943="","",'Lot Balance'!$P1942)</f>
        <v/>
      </c>
      <c r="I1943" s="26" t="str">
        <f>IF($A1943="","",COUNTIFS(tblIssues[Lot Number],$B1943))</f>
        <v/>
      </c>
      <c r="J1943" s="31" t="str">
        <f>IF($A1943="","",IF('Lot Balance'!$O1942&lt;=0,"Depleted",'Lot Balance'!$Q1942))</f>
        <v/>
      </c>
    </row>
    <row r="1944" spans="1:10" x14ac:dyDescent="0.35">
      <c r="A1944" s="18" t="str">
        <f>IF('Lot Balance'!$A1943="","",'Lot Balance'!$A1943)</f>
        <v/>
      </c>
      <c r="B1944" s="18" t="str">
        <f>IF($A1944="","",'Lot Balance'!$B1943)</f>
        <v/>
      </c>
      <c r="C1944" s="18" t="str">
        <f>IF($A1944="","",'Lot Balance'!$C1943)</f>
        <v/>
      </c>
      <c r="D1944" s="25" t="str">
        <f>IF($A1944="","",'Lot Balance'!$G1943)</f>
        <v/>
      </c>
      <c r="E1944" s="25" t="str">
        <f>IF($A1944="","",'Lot Balance'!$H1943)</f>
        <v/>
      </c>
      <c r="F1944" s="23" t="str">
        <f>IF($A1944="","",'Lot Balance'!$I1943)</f>
        <v/>
      </c>
      <c r="G1944" s="23" t="str">
        <f>IF($A1944="","",'Lot Balance'!$O1943)</f>
        <v/>
      </c>
      <c r="H1944" s="33" t="str">
        <f>IF($A1944="","",'Lot Balance'!$P1943)</f>
        <v/>
      </c>
      <c r="I1944" s="26" t="str">
        <f>IF($A1944="","",COUNTIFS(tblIssues[Lot Number],$B1944))</f>
        <v/>
      </c>
      <c r="J1944" s="31" t="str">
        <f>IF($A1944="","",IF('Lot Balance'!$O1943&lt;=0,"Depleted",'Lot Balance'!$Q1943))</f>
        <v/>
      </c>
    </row>
    <row r="1945" spans="1:10" x14ac:dyDescent="0.35">
      <c r="A1945" s="18" t="str">
        <f>IF('Lot Balance'!$A1944="","",'Lot Balance'!$A1944)</f>
        <v/>
      </c>
      <c r="B1945" s="18" t="str">
        <f>IF($A1945="","",'Lot Balance'!$B1944)</f>
        <v/>
      </c>
      <c r="C1945" s="18" t="str">
        <f>IF($A1945="","",'Lot Balance'!$C1944)</f>
        <v/>
      </c>
      <c r="D1945" s="25" t="str">
        <f>IF($A1945="","",'Lot Balance'!$G1944)</f>
        <v/>
      </c>
      <c r="E1945" s="25" t="str">
        <f>IF($A1945="","",'Lot Balance'!$H1944)</f>
        <v/>
      </c>
      <c r="F1945" s="23" t="str">
        <f>IF($A1945="","",'Lot Balance'!$I1944)</f>
        <v/>
      </c>
      <c r="G1945" s="23" t="str">
        <f>IF($A1945="","",'Lot Balance'!$O1944)</f>
        <v/>
      </c>
      <c r="H1945" s="33" t="str">
        <f>IF($A1945="","",'Lot Balance'!$P1944)</f>
        <v/>
      </c>
      <c r="I1945" s="26" t="str">
        <f>IF($A1945="","",COUNTIFS(tblIssues[Lot Number],$B1945))</f>
        <v/>
      </c>
      <c r="J1945" s="31" t="str">
        <f>IF($A1945="","",IF('Lot Balance'!$O1944&lt;=0,"Depleted",'Lot Balance'!$Q1944))</f>
        <v/>
      </c>
    </row>
    <row r="1946" spans="1:10" x14ac:dyDescent="0.35">
      <c r="A1946" s="18" t="str">
        <f>IF('Lot Balance'!$A1945="","",'Lot Balance'!$A1945)</f>
        <v/>
      </c>
      <c r="B1946" s="18" t="str">
        <f>IF($A1946="","",'Lot Balance'!$B1945)</f>
        <v/>
      </c>
      <c r="C1946" s="18" t="str">
        <f>IF($A1946="","",'Lot Balance'!$C1945)</f>
        <v/>
      </c>
      <c r="D1946" s="25" t="str">
        <f>IF($A1946="","",'Lot Balance'!$G1945)</f>
        <v/>
      </c>
      <c r="E1946" s="25" t="str">
        <f>IF($A1946="","",'Lot Balance'!$H1945)</f>
        <v/>
      </c>
      <c r="F1946" s="23" t="str">
        <f>IF($A1946="","",'Lot Balance'!$I1945)</f>
        <v/>
      </c>
      <c r="G1946" s="23" t="str">
        <f>IF($A1946="","",'Lot Balance'!$O1945)</f>
        <v/>
      </c>
      <c r="H1946" s="33" t="str">
        <f>IF($A1946="","",'Lot Balance'!$P1945)</f>
        <v/>
      </c>
      <c r="I1946" s="26" t="str">
        <f>IF($A1946="","",COUNTIFS(tblIssues[Lot Number],$B1946))</f>
        <v/>
      </c>
      <c r="J1946" s="31" t="str">
        <f>IF($A1946="","",IF('Lot Balance'!$O1945&lt;=0,"Depleted",'Lot Balance'!$Q1945))</f>
        <v/>
      </c>
    </row>
    <row r="1947" spans="1:10" x14ac:dyDescent="0.35">
      <c r="A1947" s="18" t="str">
        <f>IF('Lot Balance'!$A1946="","",'Lot Balance'!$A1946)</f>
        <v/>
      </c>
      <c r="B1947" s="18" t="str">
        <f>IF($A1947="","",'Lot Balance'!$B1946)</f>
        <v/>
      </c>
      <c r="C1947" s="18" t="str">
        <f>IF($A1947="","",'Lot Balance'!$C1946)</f>
        <v/>
      </c>
      <c r="D1947" s="25" t="str">
        <f>IF($A1947="","",'Lot Balance'!$G1946)</f>
        <v/>
      </c>
      <c r="E1947" s="25" t="str">
        <f>IF($A1947="","",'Lot Balance'!$H1946)</f>
        <v/>
      </c>
      <c r="F1947" s="23" t="str">
        <f>IF($A1947="","",'Lot Balance'!$I1946)</f>
        <v/>
      </c>
      <c r="G1947" s="23" t="str">
        <f>IF($A1947="","",'Lot Balance'!$O1946)</f>
        <v/>
      </c>
      <c r="H1947" s="33" t="str">
        <f>IF($A1947="","",'Lot Balance'!$P1946)</f>
        <v/>
      </c>
      <c r="I1947" s="26" t="str">
        <f>IF($A1947="","",COUNTIFS(tblIssues[Lot Number],$B1947))</f>
        <v/>
      </c>
      <c r="J1947" s="31" t="str">
        <f>IF($A1947="","",IF('Lot Balance'!$O1946&lt;=0,"Depleted",'Lot Balance'!$Q1946))</f>
        <v/>
      </c>
    </row>
    <row r="1948" spans="1:10" x14ac:dyDescent="0.35">
      <c r="A1948" s="18" t="str">
        <f>IF('Lot Balance'!$A1947="","",'Lot Balance'!$A1947)</f>
        <v/>
      </c>
      <c r="B1948" s="18" t="str">
        <f>IF($A1948="","",'Lot Balance'!$B1947)</f>
        <v/>
      </c>
      <c r="C1948" s="18" t="str">
        <f>IF($A1948="","",'Lot Balance'!$C1947)</f>
        <v/>
      </c>
      <c r="D1948" s="25" t="str">
        <f>IF($A1948="","",'Lot Balance'!$G1947)</f>
        <v/>
      </c>
      <c r="E1948" s="25" t="str">
        <f>IF($A1948="","",'Lot Balance'!$H1947)</f>
        <v/>
      </c>
      <c r="F1948" s="23" t="str">
        <f>IF($A1948="","",'Lot Balance'!$I1947)</f>
        <v/>
      </c>
      <c r="G1948" s="23" t="str">
        <f>IF($A1948="","",'Lot Balance'!$O1947)</f>
        <v/>
      </c>
      <c r="H1948" s="33" t="str">
        <f>IF($A1948="","",'Lot Balance'!$P1947)</f>
        <v/>
      </c>
      <c r="I1948" s="26" t="str">
        <f>IF($A1948="","",COUNTIFS(tblIssues[Lot Number],$B1948))</f>
        <v/>
      </c>
      <c r="J1948" s="31" t="str">
        <f>IF($A1948="","",IF('Lot Balance'!$O1947&lt;=0,"Depleted",'Lot Balance'!$Q1947))</f>
        <v/>
      </c>
    </row>
    <row r="1949" spans="1:10" x14ac:dyDescent="0.35">
      <c r="A1949" s="18" t="str">
        <f>IF('Lot Balance'!$A1948="","",'Lot Balance'!$A1948)</f>
        <v/>
      </c>
      <c r="B1949" s="18" t="str">
        <f>IF($A1949="","",'Lot Balance'!$B1948)</f>
        <v/>
      </c>
      <c r="C1949" s="18" t="str">
        <f>IF($A1949="","",'Lot Balance'!$C1948)</f>
        <v/>
      </c>
      <c r="D1949" s="25" t="str">
        <f>IF($A1949="","",'Lot Balance'!$G1948)</f>
        <v/>
      </c>
      <c r="E1949" s="25" t="str">
        <f>IF($A1949="","",'Lot Balance'!$H1948)</f>
        <v/>
      </c>
      <c r="F1949" s="23" t="str">
        <f>IF($A1949="","",'Lot Balance'!$I1948)</f>
        <v/>
      </c>
      <c r="G1949" s="23" t="str">
        <f>IF($A1949="","",'Lot Balance'!$O1948)</f>
        <v/>
      </c>
      <c r="H1949" s="33" t="str">
        <f>IF($A1949="","",'Lot Balance'!$P1948)</f>
        <v/>
      </c>
      <c r="I1949" s="26" t="str">
        <f>IF($A1949="","",COUNTIFS(tblIssues[Lot Number],$B1949))</f>
        <v/>
      </c>
      <c r="J1949" s="31" t="str">
        <f>IF($A1949="","",IF('Lot Balance'!$O1948&lt;=0,"Depleted",'Lot Balance'!$Q1948))</f>
        <v/>
      </c>
    </row>
    <row r="1950" spans="1:10" x14ac:dyDescent="0.35">
      <c r="A1950" s="18" t="str">
        <f>IF('Lot Balance'!$A1949="","",'Lot Balance'!$A1949)</f>
        <v/>
      </c>
      <c r="B1950" s="18" t="str">
        <f>IF($A1950="","",'Lot Balance'!$B1949)</f>
        <v/>
      </c>
      <c r="C1950" s="18" t="str">
        <f>IF($A1950="","",'Lot Balance'!$C1949)</f>
        <v/>
      </c>
      <c r="D1950" s="25" t="str">
        <f>IF($A1950="","",'Lot Balance'!$G1949)</f>
        <v/>
      </c>
      <c r="E1950" s="25" t="str">
        <f>IF($A1950="","",'Lot Balance'!$H1949)</f>
        <v/>
      </c>
      <c r="F1950" s="23" t="str">
        <f>IF($A1950="","",'Lot Balance'!$I1949)</f>
        <v/>
      </c>
      <c r="G1950" s="23" t="str">
        <f>IF($A1950="","",'Lot Balance'!$O1949)</f>
        <v/>
      </c>
      <c r="H1950" s="33" t="str">
        <f>IF($A1950="","",'Lot Balance'!$P1949)</f>
        <v/>
      </c>
      <c r="I1950" s="26" t="str">
        <f>IF($A1950="","",COUNTIFS(tblIssues[Lot Number],$B1950))</f>
        <v/>
      </c>
      <c r="J1950" s="31" t="str">
        <f>IF($A1950="","",IF('Lot Balance'!$O1949&lt;=0,"Depleted",'Lot Balance'!$Q1949))</f>
        <v/>
      </c>
    </row>
    <row r="1951" spans="1:10" x14ac:dyDescent="0.35">
      <c r="A1951" s="18" t="str">
        <f>IF('Lot Balance'!$A1950="","",'Lot Balance'!$A1950)</f>
        <v/>
      </c>
      <c r="B1951" s="18" t="str">
        <f>IF($A1951="","",'Lot Balance'!$B1950)</f>
        <v/>
      </c>
      <c r="C1951" s="18" t="str">
        <f>IF($A1951="","",'Lot Balance'!$C1950)</f>
        <v/>
      </c>
      <c r="D1951" s="25" t="str">
        <f>IF($A1951="","",'Lot Balance'!$G1950)</f>
        <v/>
      </c>
      <c r="E1951" s="25" t="str">
        <f>IF($A1951="","",'Lot Balance'!$H1950)</f>
        <v/>
      </c>
      <c r="F1951" s="23" t="str">
        <f>IF($A1951="","",'Lot Balance'!$I1950)</f>
        <v/>
      </c>
      <c r="G1951" s="23" t="str">
        <f>IF($A1951="","",'Lot Balance'!$O1950)</f>
        <v/>
      </c>
      <c r="H1951" s="33" t="str">
        <f>IF($A1951="","",'Lot Balance'!$P1950)</f>
        <v/>
      </c>
      <c r="I1951" s="26" t="str">
        <f>IF($A1951="","",COUNTIFS(tblIssues[Lot Number],$B1951))</f>
        <v/>
      </c>
      <c r="J1951" s="31" t="str">
        <f>IF($A1951="","",IF('Lot Balance'!$O1950&lt;=0,"Depleted",'Lot Balance'!$Q1950))</f>
        <v/>
      </c>
    </row>
    <row r="1952" spans="1:10" x14ac:dyDescent="0.35">
      <c r="A1952" s="18" t="str">
        <f>IF('Lot Balance'!$A1951="","",'Lot Balance'!$A1951)</f>
        <v/>
      </c>
      <c r="B1952" s="18" t="str">
        <f>IF($A1952="","",'Lot Balance'!$B1951)</f>
        <v/>
      </c>
      <c r="C1952" s="18" t="str">
        <f>IF($A1952="","",'Lot Balance'!$C1951)</f>
        <v/>
      </c>
      <c r="D1952" s="25" t="str">
        <f>IF($A1952="","",'Lot Balance'!$G1951)</f>
        <v/>
      </c>
      <c r="E1952" s="25" t="str">
        <f>IF($A1952="","",'Lot Balance'!$H1951)</f>
        <v/>
      </c>
      <c r="F1952" s="23" t="str">
        <f>IF($A1952="","",'Lot Balance'!$I1951)</f>
        <v/>
      </c>
      <c r="G1952" s="23" t="str">
        <f>IF($A1952="","",'Lot Balance'!$O1951)</f>
        <v/>
      </c>
      <c r="H1952" s="33" t="str">
        <f>IF($A1952="","",'Lot Balance'!$P1951)</f>
        <v/>
      </c>
      <c r="I1952" s="26" t="str">
        <f>IF($A1952="","",COUNTIFS(tblIssues[Lot Number],$B1952))</f>
        <v/>
      </c>
      <c r="J1952" s="31" t="str">
        <f>IF($A1952="","",IF('Lot Balance'!$O1951&lt;=0,"Depleted",'Lot Balance'!$Q1951))</f>
        <v/>
      </c>
    </row>
    <row r="1953" spans="1:10" x14ac:dyDescent="0.35">
      <c r="A1953" s="18" t="str">
        <f>IF('Lot Balance'!$A1952="","",'Lot Balance'!$A1952)</f>
        <v/>
      </c>
      <c r="B1953" s="18" t="str">
        <f>IF($A1953="","",'Lot Balance'!$B1952)</f>
        <v/>
      </c>
      <c r="C1953" s="18" t="str">
        <f>IF($A1953="","",'Lot Balance'!$C1952)</f>
        <v/>
      </c>
      <c r="D1953" s="25" t="str">
        <f>IF($A1953="","",'Lot Balance'!$G1952)</f>
        <v/>
      </c>
      <c r="E1953" s="25" t="str">
        <f>IF($A1953="","",'Lot Balance'!$H1952)</f>
        <v/>
      </c>
      <c r="F1953" s="23" t="str">
        <f>IF($A1953="","",'Lot Balance'!$I1952)</f>
        <v/>
      </c>
      <c r="G1953" s="23" t="str">
        <f>IF($A1953="","",'Lot Balance'!$O1952)</f>
        <v/>
      </c>
      <c r="H1953" s="33" t="str">
        <f>IF($A1953="","",'Lot Balance'!$P1952)</f>
        <v/>
      </c>
      <c r="I1953" s="26" t="str">
        <f>IF($A1953="","",COUNTIFS(tblIssues[Lot Number],$B1953))</f>
        <v/>
      </c>
      <c r="J1953" s="31" t="str">
        <f>IF($A1953="","",IF('Lot Balance'!$O1952&lt;=0,"Depleted",'Lot Balance'!$Q1952))</f>
        <v/>
      </c>
    </row>
    <row r="1954" spans="1:10" x14ac:dyDescent="0.35">
      <c r="A1954" s="18" t="str">
        <f>IF('Lot Balance'!$A1953="","",'Lot Balance'!$A1953)</f>
        <v/>
      </c>
      <c r="B1954" s="18" t="str">
        <f>IF($A1954="","",'Lot Balance'!$B1953)</f>
        <v/>
      </c>
      <c r="C1954" s="18" t="str">
        <f>IF($A1954="","",'Lot Balance'!$C1953)</f>
        <v/>
      </c>
      <c r="D1954" s="25" t="str">
        <f>IF($A1954="","",'Lot Balance'!$G1953)</f>
        <v/>
      </c>
      <c r="E1954" s="25" t="str">
        <f>IF($A1954="","",'Lot Balance'!$H1953)</f>
        <v/>
      </c>
      <c r="F1954" s="23" t="str">
        <f>IF($A1954="","",'Lot Balance'!$I1953)</f>
        <v/>
      </c>
      <c r="G1954" s="23" t="str">
        <f>IF($A1954="","",'Lot Balance'!$O1953)</f>
        <v/>
      </c>
      <c r="H1954" s="33" t="str">
        <f>IF($A1954="","",'Lot Balance'!$P1953)</f>
        <v/>
      </c>
      <c r="I1954" s="26" t="str">
        <f>IF($A1954="","",COUNTIFS(tblIssues[Lot Number],$B1954))</f>
        <v/>
      </c>
      <c r="J1954" s="31" t="str">
        <f>IF($A1954="","",IF('Lot Balance'!$O1953&lt;=0,"Depleted",'Lot Balance'!$Q1953))</f>
        <v/>
      </c>
    </row>
    <row r="1955" spans="1:10" x14ac:dyDescent="0.35">
      <c r="A1955" s="18" t="str">
        <f>IF('Lot Balance'!$A1954="","",'Lot Balance'!$A1954)</f>
        <v/>
      </c>
      <c r="B1955" s="18" t="str">
        <f>IF($A1955="","",'Lot Balance'!$B1954)</f>
        <v/>
      </c>
      <c r="C1955" s="18" t="str">
        <f>IF($A1955="","",'Lot Balance'!$C1954)</f>
        <v/>
      </c>
      <c r="D1955" s="25" t="str">
        <f>IF($A1955="","",'Lot Balance'!$G1954)</f>
        <v/>
      </c>
      <c r="E1955" s="25" t="str">
        <f>IF($A1955="","",'Lot Balance'!$H1954)</f>
        <v/>
      </c>
      <c r="F1955" s="23" t="str">
        <f>IF($A1955="","",'Lot Balance'!$I1954)</f>
        <v/>
      </c>
      <c r="G1955" s="23" t="str">
        <f>IF($A1955="","",'Lot Balance'!$O1954)</f>
        <v/>
      </c>
      <c r="H1955" s="33" t="str">
        <f>IF($A1955="","",'Lot Balance'!$P1954)</f>
        <v/>
      </c>
      <c r="I1955" s="26" t="str">
        <f>IF($A1955="","",COUNTIFS(tblIssues[Lot Number],$B1955))</f>
        <v/>
      </c>
      <c r="J1955" s="31" t="str">
        <f>IF($A1955="","",IF('Lot Balance'!$O1954&lt;=0,"Depleted",'Lot Balance'!$Q1954))</f>
        <v/>
      </c>
    </row>
    <row r="1956" spans="1:10" x14ac:dyDescent="0.35">
      <c r="A1956" s="18" t="str">
        <f>IF('Lot Balance'!$A1955="","",'Lot Balance'!$A1955)</f>
        <v/>
      </c>
      <c r="B1956" s="18" t="str">
        <f>IF($A1956="","",'Lot Balance'!$B1955)</f>
        <v/>
      </c>
      <c r="C1956" s="18" t="str">
        <f>IF($A1956="","",'Lot Balance'!$C1955)</f>
        <v/>
      </c>
      <c r="D1956" s="25" t="str">
        <f>IF($A1956="","",'Lot Balance'!$G1955)</f>
        <v/>
      </c>
      <c r="E1956" s="25" t="str">
        <f>IF($A1956="","",'Lot Balance'!$H1955)</f>
        <v/>
      </c>
      <c r="F1956" s="23" t="str">
        <f>IF($A1956="","",'Lot Balance'!$I1955)</f>
        <v/>
      </c>
      <c r="G1956" s="23" t="str">
        <f>IF($A1956="","",'Lot Balance'!$O1955)</f>
        <v/>
      </c>
      <c r="H1956" s="33" t="str">
        <f>IF($A1956="","",'Lot Balance'!$P1955)</f>
        <v/>
      </c>
      <c r="I1956" s="26" t="str">
        <f>IF($A1956="","",COUNTIFS(tblIssues[Lot Number],$B1956))</f>
        <v/>
      </c>
      <c r="J1956" s="31" t="str">
        <f>IF($A1956="","",IF('Lot Balance'!$O1955&lt;=0,"Depleted",'Lot Balance'!$Q1955))</f>
        <v/>
      </c>
    </row>
    <row r="1957" spans="1:10" x14ac:dyDescent="0.35">
      <c r="A1957" s="18" t="str">
        <f>IF('Lot Balance'!$A1956="","",'Lot Balance'!$A1956)</f>
        <v/>
      </c>
      <c r="B1957" s="18" t="str">
        <f>IF($A1957="","",'Lot Balance'!$B1956)</f>
        <v/>
      </c>
      <c r="C1957" s="18" t="str">
        <f>IF($A1957="","",'Lot Balance'!$C1956)</f>
        <v/>
      </c>
      <c r="D1957" s="25" t="str">
        <f>IF($A1957="","",'Lot Balance'!$G1956)</f>
        <v/>
      </c>
      <c r="E1957" s="25" t="str">
        <f>IF($A1957="","",'Lot Balance'!$H1956)</f>
        <v/>
      </c>
      <c r="F1957" s="23" t="str">
        <f>IF($A1957="","",'Lot Balance'!$I1956)</f>
        <v/>
      </c>
      <c r="G1957" s="23" t="str">
        <f>IF($A1957="","",'Lot Balance'!$O1956)</f>
        <v/>
      </c>
      <c r="H1957" s="33" t="str">
        <f>IF($A1957="","",'Lot Balance'!$P1956)</f>
        <v/>
      </c>
      <c r="I1957" s="26" t="str">
        <f>IF($A1957="","",COUNTIFS(tblIssues[Lot Number],$B1957))</f>
        <v/>
      </c>
      <c r="J1957" s="31" t="str">
        <f>IF($A1957="","",IF('Lot Balance'!$O1956&lt;=0,"Depleted",'Lot Balance'!$Q1956))</f>
        <v/>
      </c>
    </row>
    <row r="1958" spans="1:10" x14ac:dyDescent="0.35">
      <c r="A1958" s="18" t="str">
        <f>IF('Lot Balance'!$A1957="","",'Lot Balance'!$A1957)</f>
        <v/>
      </c>
      <c r="B1958" s="18" t="str">
        <f>IF($A1958="","",'Lot Balance'!$B1957)</f>
        <v/>
      </c>
      <c r="C1958" s="18" t="str">
        <f>IF($A1958="","",'Lot Balance'!$C1957)</f>
        <v/>
      </c>
      <c r="D1958" s="25" t="str">
        <f>IF($A1958="","",'Lot Balance'!$G1957)</f>
        <v/>
      </c>
      <c r="E1958" s="25" t="str">
        <f>IF($A1958="","",'Lot Balance'!$H1957)</f>
        <v/>
      </c>
      <c r="F1958" s="23" t="str">
        <f>IF($A1958="","",'Lot Balance'!$I1957)</f>
        <v/>
      </c>
      <c r="G1958" s="23" t="str">
        <f>IF($A1958="","",'Lot Balance'!$O1957)</f>
        <v/>
      </c>
      <c r="H1958" s="33" t="str">
        <f>IF($A1958="","",'Lot Balance'!$P1957)</f>
        <v/>
      </c>
      <c r="I1958" s="26" t="str">
        <f>IF($A1958="","",COUNTIFS(tblIssues[Lot Number],$B1958))</f>
        <v/>
      </c>
      <c r="J1958" s="31" t="str">
        <f>IF($A1958="","",IF('Lot Balance'!$O1957&lt;=0,"Depleted",'Lot Balance'!$Q1957))</f>
        <v/>
      </c>
    </row>
    <row r="1959" spans="1:10" x14ac:dyDescent="0.35">
      <c r="A1959" s="18" t="str">
        <f>IF('Lot Balance'!$A1958="","",'Lot Balance'!$A1958)</f>
        <v/>
      </c>
      <c r="B1959" s="18" t="str">
        <f>IF($A1959="","",'Lot Balance'!$B1958)</f>
        <v/>
      </c>
      <c r="C1959" s="18" t="str">
        <f>IF($A1959="","",'Lot Balance'!$C1958)</f>
        <v/>
      </c>
      <c r="D1959" s="25" t="str">
        <f>IF($A1959="","",'Lot Balance'!$G1958)</f>
        <v/>
      </c>
      <c r="E1959" s="25" t="str">
        <f>IF($A1959="","",'Lot Balance'!$H1958)</f>
        <v/>
      </c>
      <c r="F1959" s="23" t="str">
        <f>IF($A1959="","",'Lot Balance'!$I1958)</f>
        <v/>
      </c>
      <c r="G1959" s="23" t="str">
        <f>IF($A1959="","",'Lot Balance'!$O1958)</f>
        <v/>
      </c>
      <c r="H1959" s="33" t="str">
        <f>IF($A1959="","",'Lot Balance'!$P1958)</f>
        <v/>
      </c>
      <c r="I1959" s="26" t="str">
        <f>IF($A1959="","",COUNTIFS(tblIssues[Lot Number],$B1959))</f>
        <v/>
      </c>
      <c r="J1959" s="31" t="str">
        <f>IF($A1959="","",IF('Lot Balance'!$O1958&lt;=0,"Depleted",'Lot Balance'!$Q1958))</f>
        <v/>
      </c>
    </row>
    <row r="1960" spans="1:10" x14ac:dyDescent="0.35">
      <c r="A1960" s="18" t="str">
        <f>IF('Lot Balance'!$A1959="","",'Lot Balance'!$A1959)</f>
        <v/>
      </c>
      <c r="B1960" s="18" t="str">
        <f>IF($A1960="","",'Lot Balance'!$B1959)</f>
        <v/>
      </c>
      <c r="C1960" s="18" t="str">
        <f>IF($A1960="","",'Lot Balance'!$C1959)</f>
        <v/>
      </c>
      <c r="D1960" s="25" t="str">
        <f>IF($A1960="","",'Lot Balance'!$G1959)</f>
        <v/>
      </c>
      <c r="E1960" s="25" t="str">
        <f>IF($A1960="","",'Lot Balance'!$H1959)</f>
        <v/>
      </c>
      <c r="F1960" s="23" t="str">
        <f>IF($A1960="","",'Lot Balance'!$I1959)</f>
        <v/>
      </c>
      <c r="G1960" s="23" t="str">
        <f>IF($A1960="","",'Lot Balance'!$O1959)</f>
        <v/>
      </c>
      <c r="H1960" s="33" t="str">
        <f>IF($A1960="","",'Lot Balance'!$P1959)</f>
        <v/>
      </c>
      <c r="I1960" s="26" t="str">
        <f>IF($A1960="","",COUNTIFS(tblIssues[Lot Number],$B1960))</f>
        <v/>
      </c>
      <c r="J1960" s="31" t="str">
        <f>IF($A1960="","",IF('Lot Balance'!$O1959&lt;=0,"Depleted",'Lot Balance'!$Q1959))</f>
        <v/>
      </c>
    </row>
    <row r="1961" spans="1:10" x14ac:dyDescent="0.35">
      <c r="A1961" s="18" t="str">
        <f>IF('Lot Balance'!$A1960="","",'Lot Balance'!$A1960)</f>
        <v/>
      </c>
      <c r="B1961" s="18" t="str">
        <f>IF($A1961="","",'Lot Balance'!$B1960)</f>
        <v/>
      </c>
      <c r="C1961" s="18" t="str">
        <f>IF($A1961="","",'Lot Balance'!$C1960)</f>
        <v/>
      </c>
      <c r="D1961" s="25" t="str">
        <f>IF($A1961="","",'Lot Balance'!$G1960)</f>
        <v/>
      </c>
      <c r="E1961" s="25" t="str">
        <f>IF($A1961="","",'Lot Balance'!$H1960)</f>
        <v/>
      </c>
      <c r="F1961" s="23" t="str">
        <f>IF($A1961="","",'Lot Balance'!$I1960)</f>
        <v/>
      </c>
      <c r="G1961" s="23" t="str">
        <f>IF($A1961="","",'Lot Balance'!$O1960)</f>
        <v/>
      </c>
      <c r="H1961" s="33" t="str">
        <f>IF($A1961="","",'Lot Balance'!$P1960)</f>
        <v/>
      </c>
      <c r="I1961" s="26" t="str">
        <f>IF($A1961="","",COUNTIFS(tblIssues[Lot Number],$B1961))</f>
        <v/>
      </c>
      <c r="J1961" s="31" t="str">
        <f>IF($A1961="","",IF('Lot Balance'!$O1960&lt;=0,"Depleted",'Lot Balance'!$Q1960))</f>
        <v/>
      </c>
    </row>
    <row r="1962" spans="1:10" x14ac:dyDescent="0.35">
      <c r="A1962" s="18" t="str">
        <f>IF('Lot Balance'!$A1961="","",'Lot Balance'!$A1961)</f>
        <v/>
      </c>
      <c r="B1962" s="18" t="str">
        <f>IF($A1962="","",'Lot Balance'!$B1961)</f>
        <v/>
      </c>
      <c r="C1962" s="18" t="str">
        <f>IF($A1962="","",'Lot Balance'!$C1961)</f>
        <v/>
      </c>
      <c r="D1962" s="25" t="str">
        <f>IF($A1962="","",'Lot Balance'!$G1961)</f>
        <v/>
      </c>
      <c r="E1962" s="25" t="str">
        <f>IF($A1962="","",'Lot Balance'!$H1961)</f>
        <v/>
      </c>
      <c r="F1962" s="23" t="str">
        <f>IF($A1962="","",'Lot Balance'!$I1961)</f>
        <v/>
      </c>
      <c r="G1962" s="23" t="str">
        <f>IF($A1962="","",'Lot Balance'!$O1961)</f>
        <v/>
      </c>
      <c r="H1962" s="33" t="str">
        <f>IF($A1962="","",'Lot Balance'!$P1961)</f>
        <v/>
      </c>
      <c r="I1962" s="26" t="str">
        <f>IF($A1962="","",COUNTIFS(tblIssues[Lot Number],$B1962))</f>
        <v/>
      </c>
      <c r="J1962" s="31" t="str">
        <f>IF($A1962="","",IF('Lot Balance'!$O1961&lt;=0,"Depleted",'Lot Balance'!$Q1961))</f>
        <v/>
      </c>
    </row>
    <row r="1963" spans="1:10" x14ac:dyDescent="0.35">
      <c r="A1963" s="18" t="str">
        <f>IF('Lot Balance'!$A1962="","",'Lot Balance'!$A1962)</f>
        <v/>
      </c>
      <c r="B1963" s="18" t="str">
        <f>IF($A1963="","",'Lot Balance'!$B1962)</f>
        <v/>
      </c>
      <c r="C1963" s="18" t="str">
        <f>IF($A1963="","",'Lot Balance'!$C1962)</f>
        <v/>
      </c>
      <c r="D1963" s="25" t="str">
        <f>IF($A1963="","",'Lot Balance'!$G1962)</f>
        <v/>
      </c>
      <c r="E1963" s="25" t="str">
        <f>IF($A1963="","",'Lot Balance'!$H1962)</f>
        <v/>
      </c>
      <c r="F1963" s="23" t="str">
        <f>IF($A1963="","",'Lot Balance'!$I1962)</f>
        <v/>
      </c>
      <c r="G1963" s="23" t="str">
        <f>IF($A1963="","",'Lot Balance'!$O1962)</f>
        <v/>
      </c>
      <c r="H1963" s="33" t="str">
        <f>IF($A1963="","",'Lot Balance'!$P1962)</f>
        <v/>
      </c>
      <c r="I1963" s="26" t="str">
        <f>IF($A1963="","",COUNTIFS(tblIssues[Lot Number],$B1963))</f>
        <v/>
      </c>
      <c r="J1963" s="31" t="str">
        <f>IF($A1963="","",IF('Lot Balance'!$O1962&lt;=0,"Depleted",'Lot Balance'!$Q1962))</f>
        <v/>
      </c>
    </row>
    <row r="1964" spans="1:10" x14ac:dyDescent="0.35">
      <c r="A1964" s="18" t="str">
        <f>IF('Lot Balance'!$A1963="","",'Lot Balance'!$A1963)</f>
        <v/>
      </c>
      <c r="B1964" s="18" t="str">
        <f>IF($A1964="","",'Lot Balance'!$B1963)</f>
        <v/>
      </c>
      <c r="C1964" s="18" t="str">
        <f>IF($A1964="","",'Lot Balance'!$C1963)</f>
        <v/>
      </c>
      <c r="D1964" s="25" t="str">
        <f>IF($A1964="","",'Lot Balance'!$G1963)</f>
        <v/>
      </c>
      <c r="E1964" s="25" t="str">
        <f>IF($A1964="","",'Lot Balance'!$H1963)</f>
        <v/>
      </c>
      <c r="F1964" s="23" t="str">
        <f>IF($A1964="","",'Lot Balance'!$I1963)</f>
        <v/>
      </c>
      <c r="G1964" s="23" t="str">
        <f>IF($A1964="","",'Lot Balance'!$O1963)</f>
        <v/>
      </c>
      <c r="H1964" s="33" t="str">
        <f>IF($A1964="","",'Lot Balance'!$P1963)</f>
        <v/>
      </c>
      <c r="I1964" s="26" t="str">
        <f>IF($A1964="","",COUNTIFS(tblIssues[Lot Number],$B1964))</f>
        <v/>
      </c>
      <c r="J1964" s="31" t="str">
        <f>IF($A1964="","",IF('Lot Balance'!$O1963&lt;=0,"Depleted",'Lot Balance'!$Q1963))</f>
        <v/>
      </c>
    </row>
    <row r="1965" spans="1:10" x14ac:dyDescent="0.35">
      <c r="A1965" s="18" t="str">
        <f>IF('Lot Balance'!$A1964="","",'Lot Balance'!$A1964)</f>
        <v/>
      </c>
      <c r="B1965" s="18" t="str">
        <f>IF($A1965="","",'Lot Balance'!$B1964)</f>
        <v/>
      </c>
      <c r="C1965" s="18" t="str">
        <f>IF($A1965="","",'Lot Balance'!$C1964)</f>
        <v/>
      </c>
      <c r="D1965" s="25" t="str">
        <f>IF($A1965="","",'Lot Balance'!$G1964)</f>
        <v/>
      </c>
      <c r="E1965" s="25" t="str">
        <f>IF($A1965="","",'Lot Balance'!$H1964)</f>
        <v/>
      </c>
      <c r="F1965" s="23" t="str">
        <f>IF($A1965="","",'Lot Balance'!$I1964)</f>
        <v/>
      </c>
      <c r="G1965" s="23" t="str">
        <f>IF($A1965="","",'Lot Balance'!$O1964)</f>
        <v/>
      </c>
      <c r="H1965" s="33" t="str">
        <f>IF($A1965="","",'Lot Balance'!$P1964)</f>
        <v/>
      </c>
      <c r="I1965" s="26" t="str">
        <f>IF($A1965="","",COUNTIFS(tblIssues[Lot Number],$B1965))</f>
        <v/>
      </c>
      <c r="J1965" s="31" t="str">
        <f>IF($A1965="","",IF('Lot Balance'!$O1964&lt;=0,"Depleted",'Lot Balance'!$Q1964))</f>
        <v/>
      </c>
    </row>
    <row r="1966" spans="1:10" x14ac:dyDescent="0.35">
      <c r="A1966" s="18" t="str">
        <f>IF('Lot Balance'!$A1965="","",'Lot Balance'!$A1965)</f>
        <v/>
      </c>
      <c r="B1966" s="18" t="str">
        <f>IF($A1966="","",'Lot Balance'!$B1965)</f>
        <v/>
      </c>
      <c r="C1966" s="18" t="str">
        <f>IF($A1966="","",'Lot Balance'!$C1965)</f>
        <v/>
      </c>
      <c r="D1966" s="25" t="str">
        <f>IF($A1966="","",'Lot Balance'!$G1965)</f>
        <v/>
      </c>
      <c r="E1966" s="25" t="str">
        <f>IF($A1966="","",'Lot Balance'!$H1965)</f>
        <v/>
      </c>
      <c r="F1966" s="23" t="str">
        <f>IF($A1966="","",'Lot Balance'!$I1965)</f>
        <v/>
      </c>
      <c r="G1966" s="23" t="str">
        <f>IF($A1966="","",'Lot Balance'!$O1965)</f>
        <v/>
      </c>
      <c r="H1966" s="33" t="str">
        <f>IF($A1966="","",'Lot Balance'!$P1965)</f>
        <v/>
      </c>
      <c r="I1966" s="26" t="str">
        <f>IF($A1966="","",COUNTIFS(tblIssues[Lot Number],$B1966))</f>
        <v/>
      </c>
      <c r="J1966" s="31" t="str">
        <f>IF($A1966="","",IF('Lot Balance'!$O1965&lt;=0,"Depleted",'Lot Balance'!$Q1965))</f>
        <v/>
      </c>
    </row>
    <row r="1967" spans="1:10" x14ac:dyDescent="0.35">
      <c r="A1967" s="18" t="str">
        <f>IF('Lot Balance'!$A1966="","",'Lot Balance'!$A1966)</f>
        <v/>
      </c>
      <c r="B1967" s="18" t="str">
        <f>IF($A1967="","",'Lot Balance'!$B1966)</f>
        <v/>
      </c>
      <c r="C1967" s="18" t="str">
        <f>IF($A1967="","",'Lot Balance'!$C1966)</f>
        <v/>
      </c>
      <c r="D1967" s="25" t="str">
        <f>IF($A1967="","",'Lot Balance'!$G1966)</f>
        <v/>
      </c>
      <c r="E1967" s="25" t="str">
        <f>IF($A1967="","",'Lot Balance'!$H1966)</f>
        <v/>
      </c>
      <c r="F1967" s="23" t="str">
        <f>IF($A1967="","",'Lot Balance'!$I1966)</f>
        <v/>
      </c>
      <c r="G1967" s="23" t="str">
        <f>IF($A1967="","",'Lot Balance'!$O1966)</f>
        <v/>
      </c>
      <c r="H1967" s="33" t="str">
        <f>IF($A1967="","",'Lot Balance'!$P1966)</f>
        <v/>
      </c>
      <c r="I1967" s="26" t="str">
        <f>IF($A1967="","",COUNTIFS(tblIssues[Lot Number],$B1967))</f>
        <v/>
      </c>
      <c r="J1967" s="31" t="str">
        <f>IF($A1967="","",IF('Lot Balance'!$O1966&lt;=0,"Depleted",'Lot Balance'!$Q1966))</f>
        <v/>
      </c>
    </row>
    <row r="1968" spans="1:10" x14ac:dyDescent="0.35">
      <c r="A1968" s="18" t="str">
        <f>IF('Lot Balance'!$A1967="","",'Lot Balance'!$A1967)</f>
        <v/>
      </c>
      <c r="B1968" s="18" t="str">
        <f>IF($A1968="","",'Lot Balance'!$B1967)</f>
        <v/>
      </c>
      <c r="C1968" s="18" t="str">
        <f>IF($A1968="","",'Lot Balance'!$C1967)</f>
        <v/>
      </c>
      <c r="D1968" s="25" t="str">
        <f>IF($A1968="","",'Lot Balance'!$G1967)</f>
        <v/>
      </c>
      <c r="E1968" s="25" t="str">
        <f>IF($A1968="","",'Lot Balance'!$H1967)</f>
        <v/>
      </c>
      <c r="F1968" s="23" t="str">
        <f>IF($A1968="","",'Lot Balance'!$I1967)</f>
        <v/>
      </c>
      <c r="G1968" s="23" t="str">
        <f>IF($A1968="","",'Lot Balance'!$O1967)</f>
        <v/>
      </c>
      <c r="H1968" s="33" t="str">
        <f>IF($A1968="","",'Lot Balance'!$P1967)</f>
        <v/>
      </c>
      <c r="I1968" s="26" t="str">
        <f>IF($A1968="","",COUNTIFS(tblIssues[Lot Number],$B1968))</f>
        <v/>
      </c>
      <c r="J1968" s="31" t="str">
        <f>IF($A1968="","",IF('Lot Balance'!$O1967&lt;=0,"Depleted",'Lot Balance'!$Q1967))</f>
        <v/>
      </c>
    </row>
    <row r="1969" spans="1:10" x14ac:dyDescent="0.35">
      <c r="A1969" s="18" t="str">
        <f>IF('Lot Balance'!$A1968="","",'Lot Balance'!$A1968)</f>
        <v/>
      </c>
      <c r="B1969" s="18" t="str">
        <f>IF($A1969="","",'Lot Balance'!$B1968)</f>
        <v/>
      </c>
      <c r="C1969" s="18" t="str">
        <f>IF($A1969="","",'Lot Balance'!$C1968)</f>
        <v/>
      </c>
      <c r="D1969" s="25" t="str">
        <f>IF($A1969="","",'Lot Balance'!$G1968)</f>
        <v/>
      </c>
      <c r="E1969" s="25" t="str">
        <f>IF($A1969="","",'Lot Balance'!$H1968)</f>
        <v/>
      </c>
      <c r="F1969" s="23" t="str">
        <f>IF($A1969="","",'Lot Balance'!$I1968)</f>
        <v/>
      </c>
      <c r="G1969" s="23" t="str">
        <f>IF($A1969="","",'Lot Balance'!$O1968)</f>
        <v/>
      </c>
      <c r="H1969" s="33" t="str">
        <f>IF($A1969="","",'Lot Balance'!$P1968)</f>
        <v/>
      </c>
      <c r="I1969" s="26" t="str">
        <f>IF($A1969="","",COUNTIFS(tblIssues[Lot Number],$B1969))</f>
        <v/>
      </c>
      <c r="J1969" s="31" t="str">
        <f>IF($A1969="","",IF('Lot Balance'!$O1968&lt;=0,"Depleted",'Lot Balance'!$Q1968))</f>
        <v/>
      </c>
    </row>
    <row r="1970" spans="1:10" x14ac:dyDescent="0.35">
      <c r="A1970" s="18" t="str">
        <f>IF('Lot Balance'!$A1969="","",'Lot Balance'!$A1969)</f>
        <v/>
      </c>
      <c r="B1970" s="18" t="str">
        <f>IF($A1970="","",'Lot Balance'!$B1969)</f>
        <v/>
      </c>
      <c r="C1970" s="18" t="str">
        <f>IF($A1970="","",'Lot Balance'!$C1969)</f>
        <v/>
      </c>
      <c r="D1970" s="25" t="str">
        <f>IF($A1970="","",'Lot Balance'!$G1969)</f>
        <v/>
      </c>
      <c r="E1970" s="25" t="str">
        <f>IF($A1970="","",'Lot Balance'!$H1969)</f>
        <v/>
      </c>
      <c r="F1970" s="23" t="str">
        <f>IF($A1970="","",'Lot Balance'!$I1969)</f>
        <v/>
      </c>
      <c r="G1970" s="23" t="str">
        <f>IF($A1970="","",'Lot Balance'!$O1969)</f>
        <v/>
      </c>
      <c r="H1970" s="33" t="str">
        <f>IF($A1970="","",'Lot Balance'!$P1969)</f>
        <v/>
      </c>
      <c r="I1970" s="26" t="str">
        <f>IF($A1970="","",COUNTIFS(tblIssues[Lot Number],$B1970))</f>
        <v/>
      </c>
      <c r="J1970" s="31" t="str">
        <f>IF($A1970="","",IF('Lot Balance'!$O1969&lt;=0,"Depleted",'Lot Balance'!$Q1969))</f>
        <v/>
      </c>
    </row>
    <row r="1971" spans="1:10" x14ac:dyDescent="0.35">
      <c r="A1971" s="18" t="str">
        <f>IF('Lot Balance'!$A1970="","",'Lot Balance'!$A1970)</f>
        <v/>
      </c>
      <c r="B1971" s="18" t="str">
        <f>IF($A1971="","",'Lot Balance'!$B1970)</f>
        <v/>
      </c>
      <c r="C1971" s="18" t="str">
        <f>IF($A1971="","",'Lot Balance'!$C1970)</f>
        <v/>
      </c>
      <c r="D1971" s="25" t="str">
        <f>IF($A1971="","",'Lot Balance'!$G1970)</f>
        <v/>
      </c>
      <c r="E1971" s="25" t="str">
        <f>IF($A1971="","",'Lot Balance'!$H1970)</f>
        <v/>
      </c>
      <c r="F1971" s="23" t="str">
        <f>IF($A1971="","",'Lot Balance'!$I1970)</f>
        <v/>
      </c>
      <c r="G1971" s="23" t="str">
        <f>IF($A1971="","",'Lot Balance'!$O1970)</f>
        <v/>
      </c>
      <c r="H1971" s="33" t="str">
        <f>IF($A1971="","",'Lot Balance'!$P1970)</f>
        <v/>
      </c>
      <c r="I1971" s="26" t="str">
        <f>IF($A1971="","",COUNTIFS(tblIssues[Lot Number],$B1971))</f>
        <v/>
      </c>
      <c r="J1971" s="31" t="str">
        <f>IF($A1971="","",IF('Lot Balance'!$O1970&lt;=0,"Depleted",'Lot Balance'!$Q1970))</f>
        <v/>
      </c>
    </row>
    <row r="1972" spans="1:10" x14ac:dyDescent="0.35">
      <c r="A1972" s="18" t="str">
        <f>IF('Lot Balance'!$A1971="","",'Lot Balance'!$A1971)</f>
        <v/>
      </c>
      <c r="B1972" s="18" t="str">
        <f>IF($A1972="","",'Lot Balance'!$B1971)</f>
        <v/>
      </c>
      <c r="C1972" s="18" t="str">
        <f>IF($A1972="","",'Lot Balance'!$C1971)</f>
        <v/>
      </c>
      <c r="D1972" s="25" t="str">
        <f>IF($A1972="","",'Lot Balance'!$G1971)</f>
        <v/>
      </c>
      <c r="E1972" s="25" t="str">
        <f>IF($A1972="","",'Lot Balance'!$H1971)</f>
        <v/>
      </c>
      <c r="F1972" s="23" t="str">
        <f>IF($A1972="","",'Lot Balance'!$I1971)</f>
        <v/>
      </c>
      <c r="G1972" s="23" t="str">
        <f>IF($A1972="","",'Lot Balance'!$O1971)</f>
        <v/>
      </c>
      <c r="H1972" s="33" t="str">
        <f>IF($A1972="","",'Lot Balance'!$P1971)</f>
        <v/>
      </c>
      <c r="I1972" s="26" t="str">
        <f>IF($A1972="","",COUNTIFS(tblIssues[Lot Number],$B1972))</f>
        <v/>
      </c>
      <c r="J1972" s="31" t="str">
        <f>IF($A1972="","",IF('Lot Balance'!$O1971&lt;=0,"Depleted",'Lot Balance'!$Q1971))</f>
        <v/>
      </c>
    </row>
    <row r="1973" spans="1:10" x14ac:dyDescent="0.35">
      <c r="A1973" s="18" t="str">
        <f>IF('Lot Balance'!$A1972="","",'Lot Balance'!$A1972)</f>
        <v/>
      </c>
      <c r="B1973" s="18" t="str">
        <f>IF($A1973="","",'Lot Balance'!$B1972)</f>
        <v/>
      </c>
      <c r="C1973" s="18" t="str">
        <f>IF($A1973="","",'Lot Balance'!$C1972)</f>
        <v/>
      </c>
      <c r="D1973" s="25" t="str">
        <f>IF($A1973="","",'Lot Balance'!$G1972)</f>
        <v/>
      </c>
      <c r="E1973" s="25" t="str">
        <f>IF($A1973="","",'Lot Balance'!$H1972)</f>
        <v/>
      </c>
      <c r="F1973" s="23" t="str">
        <f>IF($A1973="","",'Lot Balance'!$I1972)</f>
        <v/>
      </c>
      <c r="G1973" s="23" t="str">
        <f>IF($A1973="","",'Lot Balance'!$O1972)</f>
        <v/>
      </c>
      <c r="H1973" s="33" t="str">
        <f>IF($A1973="","",'Lot Balance'!$P1972)</f>
        <v/>
      </c>
      <c r="I1973" s="26" t="str">
        <f>IF($A1973="","",COUNTIFS(tblIssues[Lot Number],$B1973))</f>
        <v/>
      </c>
      <c r="J1973" s="31" t="str">
        <f>IF($A1973="","",IF('Lot Balance'!$O1972&lt;=0,"Depleted",'Lot Balance'!$Q1972))</f>
        <v/>
      </c>
    </row>
    <row r="1974" spans="1:10" x14ac:dyDescent="0.35">
      <c r="A1974" s="18" t="str">
        <f>IF('Lot Balance'!$A1973="","",'Lot Balance'!$A1973)</f>
        <v/>
      </c>
      <c r="B1974" s="18" t="str">
        <f>IF($A1974="","",'Lot Balance'!$B1973)</f>
        <v/>
      </c>
      <c r="C1974" s="18" t="str">
        <f>IF($A1974="","",'Lot Balance'!$C1973)</f>
        <v/>
      </c>
      <c r="D1974" s="25" t="str">
        <f>IF($A1974="","",'Lot Balance'!$G1973)</f>
        <v/>
      </c>
      <c r="E1974" s="25" t="str">
        <f>IF($A1974="","",'Lot Balance'!$H1973)</f>
        <v/>
      </c>
      <c r="F1974" s="23" t="str">
        <f>IF($A1974="","",'Lot Balance'!$I1973)</f>
        <v/>
      </c>
      <c r="G1974" s="23" t="str">
        <f>IF($A1974="","",'Lot Balance'!$O1973)</f>
        <v/>
      </c>
      <c r="H1974" s="33" t="str">
        <f>IF($A1974="","",'Lot Balance'!$P1973)</f>
        <v/>
      </c>
      <c r="I1974" s="26" t="str">
        <f>IF($A1974="","",COUNTIFS(tblIssues[Lot Number],$B1974))</f>
        <v/>
      </c>
      <c r="J1974" s="31" t="str">
        <f>IF($A1974="","",IF('Lot Balance'!$O1973&lt;=0,"Depleted",'Lot Balance'!$Q1973))</f>
        <v/>
      </c>
    </row>
    <row r="1975" spans="1:10" x14ac:dyDescent="0.35">
      <c r="A1975" s="18" t="str">
        <f>IF('Lot Balance'!$A1974="","",'Lot Balance'!$A1974)</f>
        <v/>
      </c>
      <c r="B1975" s="18" t="str">
        <f>IF($A1975="","",'Lot Balance'!$B1974)</f>
        <v/>
      </c>
      <c r="C1975" s="18" t="str">
        <f>IF($A1975="","",'Lot Balance'!$C1974)</f>
        <v/>
      </c>
      <c r="D1975" s="25" t="str">
        <f>IF($A1975="","",'Lot Balance'!$G1974)</f>
        <v/>
      </c>
      <c r="E1975" s="25" t="str">
        <f>IF($A1975="","",'Lot Balance'!$H1974)</f>
        <v/>
      </c>
      <c r="F1975" s="23" t="str">
        <f>IF($A1975="","",'Lot Balance'!$I1974)</f>
        <v/>
      </c>
      <c r="G1975" s="23" t="str">
        <f>IF($A1975="","",'Lot Balance'!$O1974)</f>
        <v/>
      </c>
      <c r="H1975" s="33" t="str">
        <f>IF($A1975="","",'Lot Balance'!$P1974)</f>
        <v/>
      </c>
      <c r="I1975" s="26" t="str">
        <f>IF($A1975="","",COUNTIFS(tblIssues[Lot Number],$B1975))</f>
        <v/>
      </c>
      <c r="J1975" s="31" t="str">
        <f>IF($A1975="","",IF('Lot Balance'!$O1974&lt;=0,"Depleted",'Lot Balance'!$Q1974))</f>
        <v/>
      </c>
    </row>
    <row r="1976" spans="1:10" x14ac:dyDescent="0.35">
      <c r="A1976" s="18" t="str">
        <f>IF('Lot Balance'!$A1975="","",'Lot Balance'!$A1975)</f>
        <v/>
      </c>
      <c r="B1976" s="18" t="str">
        <f>IF($A1976="","",'Lot Balance'!$B1975)</f>
        <v/>
      </c>
      <c r="C1976" s="18" t="str">
        <f>IF($A1976="","",'Lot Balance'!$C1975)</f>
        <v/>
      </c>
      <c r="D1976" s="25" t="str">
        <f>IF($A1976="","",'Lot Balance'!$G1975)</f>
        <v/>
      </c>
      <c r="E1976" s="25" t="str">
        <f>IF($A1976="","",'Lot Balance'!$H1975)</f>
        <v/>
      </c>
      <c r="F1976" s="23" t="str">
        <f>IF($A1976="","",'Lot Balance'!$I1975)</f>
        <v/>
      </c>
      <c r="G1976" s="23" t="str">
        <f>IF($A1976="","",'Lot Balance'!$O1975)</f>
        <v/>
      </c>
      <c r="H1976" s="33" t="str">
        <f>IF($A1976="","",'Lot Balance'!$P1975)</f>
        <v/>
      </c>
      <c r="I1976" s="26" t="str">
        <f>IF($A1976="","",COUNTIFS(tblIssues[Lot Number],$B1976))</f>
        <v/>
      </c>
      <c r="J1976" s="31" t="str">
        <f>IF($A1976="","",IF('Lot Balance'!$O1975&lt;=0,"Depleted",'Lot Balance'!$Q1975))</f>
        <v/>
      </c>
    </row>
    <row r="1977" spans="1:10" x14ac:dyDescent="0.35">
      <c r="A1977" s="18" t="str">
        <f>IF('Lot Balance'!$A1976="","",'Lot Balance'!$A1976)</f>
        <v/>
      </c>
      <c r="B1977" s="18" t="str">
        <f>IF($A1977="","",'Lot Balance'!$B1976)</f>
        <v/>
      </c>
      <c r="C1977" s="18" t="str">
        <f>IF($A1977="","",'Lot Balance'!$C1976)</f>
        <v/>
      </c>
      <c r="D1977" s="25" t="str">
        <f>IF($A1977="","",'Lot Balance'!$G1976)</f>
        <v/>
      </c>
      <c r="E1977" s="25" t="str">
        <f>IF($A1977="","",'Lot Balance'!$H1976)</f>
        <v/>
      </c>
      <c r="F1977" s="23" t="str">
        <f>IF($A1977="","",'Lot Balance'!$I1976)</f>
        <v/>
      </c>
      <c r="G1977" s="23" t="str">
        <f>IF($A1977="","",'Lot Balance'!$O1976)</f>
        <v/>
      </c>
      <c r="H1977" s="33" t="str">
        <f>IF($A1977="","",'Lot Balance'!$P1976)</f>
        <v/>
      </c>
      <c r="I1977" s="26" t="str">
        <f>IF($A1977="","",COUNTIFS(tblIssues[Lot Number],$B1977))</f>
        <v/>
      </c>
      <c r="J1977" s="31" t="str">
        <f>IF($A1977="","",IF('Lot Balance'!$O1976&lt;=0,"Depleted",'Lot Balance'!$Q1976))</f>
        <v/>
      </c>
    </row>
    <row r="1978" spans="1:10" x14ac:dyDescent="0.35">
      <c r="A1978" s="18" t="str">
        <f>IF('Lot Balance'!$A1977="","",'Lot Balance'!$A1977)</f>
        <v/>
      </c>
      <c r="B1978" s="18" t="str">
        <f>IF($A1978="","",'Lot Balance'!$B1977)</f>
        <v/>
      </c>
      <c r="C1978" s="18" t="str">
        <f>IF($A1978="","",'Lot Balance'!$C1977)</f>
        <v/>
      </c>
      <c r="D1978" s="25" t="str">
        <f>IF($A1978="","",'Lot Balance'!$G1977)</f>
        <v/>
      </c>
      <c r="E1978" s="25" t="str">
        <f>IF($A1978="","",'Lot Balance'!$H1977)</f>
        <v/>
      </c>
      <c r="F1978" s="23" t="str">
        <f>IF($A1978="","",'Lot Balance'!$I1977)</f>
        <v/>
      </c>
      <c r="G1978" s="23" t="str">
        <f>IF($A1978="","",'Lot Balance'!$O1977)</f>
        <v/>
      </c>
      <c r="H1978" s="33" t="str">
        <f>IF($A1978="","",'Lot Balance'!$P1977)</f>
        <v/>
      </c>
      <c r="I1978" s="26" t="str">
        <f>IF($A1978="","",COUNTIFS(tblIssues[Lot Number],$B1978))</f>
        <v/>
      </c>
      <c r="J1978" s="31" t="str">
        <f>IF($A1978="","",IF('Lot Balance'!$O1977&lt;=0,"Depleted",'Lot Balance'!$Q1977))</f>
        <v/>
      </c>
    </row>
    <row r="1979" spans="1:10" x14ac:dyDescent="0.35">
      <c r="A1979" s="18" t="str">
        <f>IF('Lot Balance'!$A1978="","",'Lot Balance'!$A1978)</f>
        <v/>
      </c>
      <c r="B1979" s="18" t="str">
        <f>IF($A1979="","",'Lot Balance'!$B1978)</f>
        <v/>
      </c>
      <c r="C1979" s="18" t="str">
        <f>IF($A1979="","",'Lot Balance'!$C1978)</f>
        <v/>
      </c>
      <c r="D1979" s="25" t="str">
        <f>IF($A1979="","",'Lot Balance'!$G1978)</f>
        <v/>
      </c>
      <c r="E1979" s="25" t="str">
        <f>IF($A1979="","",'Lot Balance'!$H1978)</f>
        <v/>
      </c>
      <c r="F1979" s="23" t="str">
        <f>IF($A1979="","",'Lot Balance'!$I1978)</f>
        <v/>
      </c>
      <c r="G1979" s="23" t="str">
        <f>IF($A1979="","",'Lot Balance'!$O1978)</f>
        <v/>
      </c>
      <c r="H1979" s="33" t="str">
        <f>IF($A1979="","",'Lot Balance'!$P1978)</f>
        <v/>
      </c>
      <c r="I1979" s="26" t="str">
        <f>IF($A1979="","",COUNTIFS(tblIssues[Lot Number],$B1979))</f>
        <v/>
      </c>
      <c r="J1979" s="31" t="str">
        <f>IF($A1979="","",IF('Lot Balance'!$O1978&lt;=0,"Depleted",'Lot Balance'!$Q1978))</f>
        <v/>
      </c>
    </row>
    <row r="1980" spans="1:10" x14ac:dyDescent="0.35">
      <c r="A1980" s="18" t="str">
        <f>IF('Lot Balance'!$A1979="","",'Lot Balance'!$A1979)</f>
        <v/>
      </c>
      <c r="B1980" s="18" t="str">
        <f>IF($A1980="","",'Lot Balance'!$B1979)</f>
        <v/>
      </c>
      <c r="C1980" s="18" t="str">
        <f>IF($A1980="","",'Lot Balance'!$C1979)</f>
        <v/>
      </c>
      <c r="D1980" s="25" t="str">
        <f>IF($A1980="","",'Lot Balance'!$G1979)</f>
        <v/>
      </c>
      <c r="E1980" s="25" t="str">
        <f>IF($A1980="","",'Lot Balance'!$H1979)</f>
        <v/>
      </c>
      <c r="F1980" s="23" t="str">
        <f>IF($A1980="","",'Lot Balance'!$I1979)</f>
        <v/>
      </c>
      <c r="G1980" s="23" t="str">
        <f>IF($A1980="","",'Lot Balance'!$O1979)</f>
        <v/>
      </c>
      <c r="H1980" s="33" t="str">
        <f>IF($A1980="","",'Lot Balance'!$P1979)</f>
        <v/>
      </c>
      <c r="I1980" s="26" t="str">
        <f>IF($A1980="","",COUNTIFS(tblIssues[Lot Number],$B1980))</f>
        <v/>
      </c>
      <c r="J1980" s="31" t="str">
        <f>IF($A1980="","",IF('Lot Balance'!$O1979&lt;=0,"Depleted",'Lot Balance'!$Q1979))</f>
        <v/>
      </c>
    </row>
    <row r="1981" spans="1:10" x14ac:dyDescent="0.35">
      <c r="A1981" s="18" t="str">
        <f>IF('Lot Balance'!$A1980="","",'Lot Balance'!$A1980)</f>
        <v/>
      </c>
      <c r="B1981" s="18" t="str">
        <f>IF($A1981="","",'Lot Balance'!$B1980)</f>
        <v/>
      </c>
      <c r="C1981" s="18" t="str">
        <f>IF($A1981="","",'Lot Balance'!$C1980)</f>
        <v/>
      </c>
      <c r="D1981" s="25" t="str">
        <f>IF($A1981="","",'Lot Balance'!$G1980)</f>
        <v/>
      </c>
      <c r="E1981" s="25" t="str">
        <f>IF($A1981="","",'Lot Balance'!$H1980)</f>
        <v/>
      </c>
      <c r="F1981" s="23" t="str">
        <f>IF($A1981="","",'Lot Balance'!$I1980)</f>
        <v/>
      </c>
      <c r="G1981" s="23" t="str">
        <f>IF($A1981="","",'Lot Balance'!$O1980)</f>
        <v/>
      </c>
      <c r="H1981" s="33" t="str">
        <f>IF($A1981="","",'Lot Balance'!$P1980)</f>
        <v/>
      </c>
      <c r="I1981" s="26" t="str">
        <f>IF($A1981="","",COUNTIFS(tblIssues[Lot Number],$B1981))</f>
        <v/>
      </c>
      <c r="J1981" s="31" t="str">
        <f>IF($A1981="","",IF('Lot Balance'!$O1980&lt;=0,"Depleted",'Lot Balance'!$Q1980))</f>
        <v/>
      </c>
    </row>
    <row r="1982" spans="1:10" x14ac:dyDescent="0.35">
      <c r="A1982" s="18" t="str">
        <f>IF('Lot Balance'!$A1981="","",'Lot Balance'!$A1981)</f>
        <v/>
      </c>
      <c r="B1982" s="18" t="str">
        <f>IF($A1982="","",'Lot Balance'!$B1981)</f>
        <v/>
      </c>
      <c r="C1982" s="18" t="str">
        <f>IF($A1982="","",'Lot Balance'!$C1981)</f>
        <v/>
      </c>
      <c r="D1982" s="25" t="str">
        <f>IF($A1982="","",'Lot Balance'!$G1981)</f>
        <v/>
      </c>
      <c r="E1982" s="25" t="str">
        <f>IF($A1982="","",'Lot Balance'!$H1981)</f>
        <v/>
      </c>
      <c r="F1982" s="23" t="str">
        <f>IF($A1982="","",'Lot Balance'!$I1981)</f>
        <v/>
      </c>
      <c r="G1982" s="23" t="str">
        <f>IF($A1982="","",'Lot Balance'!$O1981)</f>
        <v/>
      </c>
      <c r="H1982" s="33" t="str">
        <f>IF($A1982="","",'Lot Balance'!$P1981)</f>
        <v/>
      </c>
      <c r="I1982" s="26" t="str">
        <f>IF($A1982="","",COUNTIFS(tblIssues[Lot Number],$B1982))</f>
        <v/>
      </c>
      <c r="J1982" s="31" t="str">
        <f>IF($A1982="","",IF('Lot Balance'!$O1981&lt;=0,"Depleted",'Lot Balance'!$Q1981))</f>
        <v/>
      </c>
    </row>
    <row r="1983" spans="1:10" x14ac:dyDescent="0.35">
      <c r="A1983" s="18" t="str">
        <f>IF('Lot Balance'!$A1982="","",'Lot Balance'!$A1982)</f>
        <v/>
      </c>
      <c r="B1983" s="18" t="str">
        <f>IF($A1983="","",'Lot Balance'!$B1982)</f>
        <v/>
      </c>
      <c r="C1983" s="18" t="str">
        <f>IF($A1983="","",'Lot Balance'!$C1982)</f>
        <v/>
      </c>
      <c r="D1983" s="25" t="str">
        <f>IF($A1983="","",'Lot Balance'!$G1982)</f>
        <v/>
      </c>
      <c r="E1983" s="25" t="str">
        <f>IF($A1983="","",'Lot Balance'!$H1982)</f>
        <v/>
      </c>
      <c r="F1983" s="23" t="str">
        <f>IF($A1983="","",'Lot Balance'!$I1982)</f>
        <v/>
      </c>
      <c r="G1983" s="23" t="str">
        <f>IF($A1983="","",'Lot Balance'!$O1982)</f>
        <v/>
      </c>
      <c r="H1983" s="33" t="str">
        <f>IF($A1983="","",'Lot Balance'!$P1982)</f>
        <v/>
      </c>
      <c r="I1983" s="26" t="str">
        <f>IF($A1983="","",COUNTIFS(tblIssues[Lot Number],$B1983))</f>
        <v/>
      </c>
      <c r="J1983" s="31" t="str">
        <f>IF($A1983="","",IF('Lot Balance'!$O1982&lt;=0,"Depleted",'Lot Balance'!$Q1982))</f>
        <v/>
      </c>
    </row>
    <row r="1984" spans="1:10" x14ac:dyDescent="0.35">
      <c r="A1984" s="18" t="str">
        <f>IF('Lot Balance'!$A1983="","",'Lot Balance'!$A1983)</f>
        <v/>
      </c>
      <c r="B1984" s="18" t="str">
        <f>IF($A1984="","",'Lot Balance'!$B1983)</f>
        <v/>
      </c>
      <c r="C1984" s="18" t="str">
        <f>IF($A1984="","",'Lot Balance'!$C1983)</f>
        <v/>
      </c>
      <c r="D1984" s="25" t="str">
        <f>IF($A1984="","",'Lot Balance'!$G1983)</f>
        <v/>
      </c>
      <c r="E1984" s="25" t="str">
        <f>IF($A1984="","",'Lot Balance'!$H1983)</f>
        <v/>
      </c>
      <c r="F1984" s="23" t="str">
        <f>IF($A1984="","",'Lot Balance'!$I1983)</f>
        <v/>
      </c>
      <c r="G1984" s="23" t="str">
        <f>IF($A1984="","",'Lot Balance'!$O1983)</f>
        <v/>
      </c>
      <c r="H1984" s="33" t="str">
        <f>IF($A1984="","",'Lot Balance'!$P1983)</f>
        <v/>
      </c>
      <c r="I1984" s="26" t="str">
        <f>IF($A1984="","",COUNTIFS(tblIssues[Lot Number],$B1984))</f>
        <v/>
      </c>
      <c r="J1984" s="31" t="str">
        <f>IF($A1984="","",IF('Lot Balance'!$O1983&lt;=0,"Depleted",'Lot Balance'!$Q1983))</f>
        <v/>
      </c>
    </row>
    <row r="1985" spans="1:10" x14ac:dyDescent="0.35">
      <c r="A1985" s="18" t="str">
        <f>IF('Lot Balance'!$A1984="","",'Lot Balance'!$A1984)</f>
        <v/>
      </c>
      <c r="B1985" s="18" t="str">
        <f>IF($A1985="","",'Lot Balance'!$B1984)</f>
        <v/>
      </c>
      <c r="C1985" s="18" t="str">
        <f>IF($A1985="","",'Lot Balance'!$C1984)</f>
        <v/>
      </c>
      <c r="D1985" s="25" t="str">
        <f>IF($A1985="","",'Lot Balance'!$G1984)</f>
        <v/>
      </c>
      <c r="E1985" s="25" t="str">
        <f>IF($A1985="","",'Lot Balance'!$H1984)</f>
        <v/>
      </c>
      <c r="F1985" s="23" t="str">
        <f>IF($A1985="","",'Lot Balance'!$I1984)</f>
        <v/>
      </c>
      <c r="G1985" s="23" t="str">
        <f>IF($A1985="","",'Lot Balance'!$O1984)</f>
        <v/>
      </c>
      <c r="H1985" s="33" t="str">
        <f>IF($A1985="","",'Lot Balance'!$P1984)</f>
        <v/>
      </c>
      <c r="I1985" s="26" t="str">
        <f>IF($A1985="","",COUNTIFS(tblIssues[Lot Number],$B1985))</f>
        <v/>
      </c>
      <c r="J1985" s="31" t="str">
        <f>IF($A1985="","",IF('Lot Balance'!$O1984&lt;=0,"Depleted",'Lot Balance'!$Q1984))</f>
        <v/>
      </c>
    </row>
    <row r="1986" spans="1:10" x14ac:dyDescent="0.35">
      <c r="A1986" s="18" t="str">
        <f>IF('Lot Balance'!$A1985="","",'Lot Balance'!$A1985)</f>
        <v/>
      </c>
      <c r="B1986" s="18" t="str">
        <f>IF($A1986="","",'Lot Balance'!$B1985)</f>
        <v/>
      </c>
      <c r="C1986" s="18" t="str">
        <f>IF($A1986="","",'Lot Balance'!$C1985)</f>
        <v/>
      </c>
      <c r="D1986" s="25" t="str">
        <f>IF($A1986="","",'Lot Balance'!$G1985)</f>
        <v/>
      </c>
      <c r="E1986" s="25" t="str">
        <f>IF($A1986="","",'Lot Balance'!$H1985)</f>
        <v/>
      </c>
      <c r="F1986" s="23" t="str">
        <f>IF($A1986="","",'Lot Balance'!$I1985)</f>
        <v/>
      </c>
      <c r="G1986" s="23" t="str">
        <f>IF($A1986="","",'Lot Balance'!$O1985)</f>
        <v/>
      </c>
      <c r="H1986" s="33" t="str">
        <f>IF($A1986="","",'Lot Balance'!$P1985)</f>
        <v/>
      </c>
      <c r="I1986" s="26" t="str">
        <f>IF($A1986="","",COUNTIFS(tblIssues[Lot Number],$B1986))</f>
        <v/>
      </c>
      <c r="J1986" s="31" t="str">
        <f>IF($A1986="","",IF('Lot Balance'!$O1985&lt;=0,"Depleted",'Lot Balance'!$Q1985))</f>
        <v/>
      </c>
    </row>
    <row r="1987" spans="1:10" x14ac:dyDescent="0.35">
      <c r="A1987" s="18" t="str">
        <f>IF('Lot Balance'!$A1986="","",'Lot Balance'!$A1986)</f>
        <v/>
      </c>
      <c r="B1987" s="18" t="str">
        <f>IF($A1987="","",'Lot Balance'!$B1986)</f>
        <v/>
      </c>
      <c r="C1987" s="18" t="str">
        <f>IF($A1987="","",'Lot Balance'!$C1986)</f>
        <v/>
      </c>
      <c r="D1987" s="25" t="str">
        <f>IF($A1987="","",'Lot Balance'!$G1986)</f>
        <v/>
      </c>
      <c r="E1987" s="25" t="str">
        <f>IF($A1987="","",'Lot Balance'!$H1986)</f>
        <v/>
      </c>
      <c r="F1987" s="23" t="str">
        <f>IF($A1987="","",'Lot Balance'!$I1986)</f>
        <v/>
      </c>
      <c r="G1987" s="23" t="str">
        <f>IF($A1987="","",'Lot Balance'!$O1986)</f>
        <v/>
      </c>
      <c r="H1987" s="33" t="str">
        <f>IF($A1987="","",'Lot Balance'!$P1986)</f>
        <v/>
      </c>
      <c r="I1987" s="26" t="str">
        <f>IF($A1987="","",COUNTIFS(tblIssues[Lot Number],$B1987))</f>
        <v/>
      </c>
      <c r="J1987" s="31" t="str">
        <f>IF($A1987="","",IF('Lot Balance'!$O1986&lt;=0,"Depleted",'Lot Balance'!$Q1986))</f>
        <v/>
      </c>
    </row>
    <row r="1988" spans="1:10" x14ac:dyDescent="0.35">
      <c r="A1988" s="18" t="str">
        <f>IF('Lot Balance'!$A1987="","",'Lot Balance'!$A1987)</f>
        <v/>
      </c>
      <c r="B1988" s="18" t="str">
        <f>IF($A1988="","",'Lot Balance'!$B1987)</f>
        <v/>
      </c>
      <c r="C1988" s="18" t="str">
        <f>IF($A1988="","",'Lot Balance'!$C1987)</f>
        <v/>
      </c>
      <c r="D1988" s="25" t="str">
        <f>IF($A1988="","",'Lot Balance'!$G1987)</f>
        <v/>
      </c>
      <c r="E1988" s="25" t="str">
        <f>IF($A1988="","",'Lot Balance'!$H1987)</f>
        <v/>
      </c>
      <c r="F1988" s="23" t="str">
        <f>IF($A1988="","",'Lot Balance'!$I1987)</f>
        <v/>
      </c>
      <c r="G1988" s="23" t="str">
        <f>IF($A1988="","",'Lot Balance'!$O1987)</f>
        <v/>
      </c>
      <c r="H1988" s="33" t="str">
        <f>IF($A1988="","",'Lot Balance'!$P1987)</f>
        <v/>
      </c>
      <c r="I1988" s="26" t="str">
        <f>IF($A1988="","",COUNTIFS(tblIssues[Lot Number],$B1988))</f>
        <v/>
      </c>
      <c r="J1988" s="31" t="str">
        <f>IF($A1988="","",IF('Lot Balance'!$O1987&lt;=0,"Depleted",'Lot Balance'!$Q1987))</f>
        <v/>
      </c>
    </row>
    <row r="1989" spans="1:10" x14ac:dyDescent="0.35">
      <c r="A1989" s="18" t="str">
        <f>IF('Lot Balance'!$A1988="","",'Lot Balance'!$A1988)</f>
        <v/>
      </c>
      <c r="B1989" s="18" t="str">
        <f>IF($A1989="","",'Lot Balance'!$B1988)</f>
        <v/>
      </c>
      <c r="C1989" s="18" t="str">
        <f>IF($A1989="","",'Lot Balance'!$C1988)</f>
        <v/>
      </c>
      <c r="D1989" s="25" t="str">
        <f>IF($A1989="","",'Lot Balance'!$G1988)</f>
        <v/>
      </c>
      <c r="E1989" s="25" t="str">
        <f>IF($A1989="","",'Lot Balance'!$H1988)</f>
        <v/>
      </c>
      <c r="F1989" s="23" t="str">
        <f>IF($A1989="","",'Lot Balance'!$I1988)</f>
        <v/>
      </c>
      <c r="G1989" s="23" t="str">
        <f>IF($A1989="","",'Lot Balance'!$O1988)</f>
        <v/>
      </c>
      <c r="H1989" s="33" t="str">
        <f>IF($A1989="","",'Lot Balance'!$P1988)</f>
        <v/>
      </c>
      <c r="I1989" s="26" t="str">
        <f>IF($A1989="","",COUNTIFS(tblIssues[Lot Number],$B1989))</f>
        <v/>
      </c>
      <c r="J1989" s="31" t="str">
        <f>IF($A1989="","",IF('Lot Balance'!$O1988&lt;=0,"Depleted",'Lot Balance'!$Q1988))</f>
        <v/>
      </c>
    </row>
    <row r="1990" spans="1:10" x14ac:dyDescent="0.35">
      <c r="A1990" s="18" t="str">
        <f>IF('Lot Balance'!$A1989="","",'Lot Balance'!$A1989)</f>
        <v/>
      </c>
      <c r="B1990" s="18" t="str">
        <f>IF($A1990="","",'Lot Balance'!$B1989)</f>
        <v/>
      </c>
      <c r="C1990" s="18" t="str">
        <f>IF($A1990="","",'Lot Balance'!$C1989)</f>
        <v/>
      </c>
      <c r="D1990" s="25" t="str">
        <f>IF($A1990="","",'Lot Balance'!$G1989)</f>
        <v/>
      </c>
      <c r="E1990" s="25" t="str">
        <f>IF($A1990="","",'Lot Balance'!$H1989)</f>
        <v/>
      </c>
      <c r="F1990" s="23" t="str">
        <f>IF($A1990="","",'Lot Balance'!$I1989)</f>
        <v/>
      </c>
      <c r="G1990" s="23" t="str">
        <f>IF($A1990="","",'Lot Balance'!$O1989)</f>
        <v/>
      </c>
      <c r="H1990" s="33" t="str">
        <f>IF($A1990="","",'Lot Balance'!$P1989)</f>
        <v/>
      </c>
      <c r="I1990" s="26" t="str">
        <f>IF($A1990="","",COUNTIFS(tblIssues[Lot Number],$B1990))</f>
        <v/>
      </c>
      <c r="J1990" s="31" t="str">
        <f>IF($A1990="","",IF('Lot Balance'!$O1989&lt;=0,"Depleted",'Lot Balance'!$Q1989))</f>
        <v/>
      </c>
    </row>
    <row r="1991" spans="1:10" x14ac:dyDescent="0.35">
      <c r="A1991" s="18" t="str">
        <f>IF('Lot Balance'!$A1990="","",'Lot Balance'!$A1990)</f>
        <v/>
      </c>
      <c r="B1991" s="18" t="str">
        <f>IF($A1991="","",'Lot Balance'!$B1990)</f>
        <v/>
      </c>
      <c r="C1991" s="18" t="str">
        <f>IF($A1991="","",'Lot Balance'!$C1990)</f>
        <v/>
      </c>
      <c r="D1991" s="25" t="str">
        <f>IF($A1991="","",'Lot Balance'!$G1990)</f>
        <v/>
      </c>
      <c r="E1991" s="25" t="str">
        <f>IF($A1991="","",'Lot Balance'!$H1990)</f>
        <v/>
      </c>
      <c r="F1991" s="23" t="str">
        <f>IF($A1991="","",'Lot Balance'!$I1990)</f>
        <v/>
      </c>
      <c r="G1991" s="23" t="str">
        <f>IF($A1991="","",'Lot Balance'!$O1990)</f>
        <v/>
      </c>
      <c r="H1991" s="33" t="str">
        <f>IF($A1991="","",'Lot Balance'!$P1990)</f>
        <v/>
      </c>
      <c r="I1991" s="26" t="str">
        <f>IF($A1991="","",COUNTIFS(tblIssues[Lot Number],$B1991))</f>
        <v/>
      </c>
      <c r="J1991" s="31" t="str">
        <f>IF($A1991="","",IF('Lot Balance'!$O1990&lt;=0,"Depleted",'Lot Balance'!$Q1990))</f>
        <v/>
      </c>
    </row>
    <row r="1992" spans="1:10" x14ac:dyDescent="0.35">
      <c r="A1992" s="18" t="str">
        <f>IF('Lot Balance'!$A1991="","",'Lot Balance'!$A1991)</f>
        <v/>
      </c>
      <c r="B1992" s="18" t="str">
        <f>IF($A1992="","",'Lot Balance'!$B1991)</f>
        <v/>
      </c>
      <c r="C1992" s="18" t="str">
        <f>IF($A1992="","",'Lot Balance'!$C1991)</f>
        <v/>
      </c>
      <c r="D1992" s="25" t="str">
        <f>IF($A1992="","",'Lot Balance'!$G1991)</f>
        <v/>
      </c>
      <c r="E1992" s="25" t="str">
        <f>IF($A1992="","",'Lot Balance'!$H1991)</f>
        <v/>
      </c>
      <c r="F1992" s="23" t="str">
        <f>IF($A1992="","",'Lot Balance'!$I1991)</f>
        <v/>
      </c>
      <c r="G1992" s="23" t="str">
        <f>IF($A1992="","",'Lot Balance'!$O1991)</f>
        <v/>
      </c>
      <c r="H1992" s="33" t="str">
        <f>IF($A1992="","",'Lot Balance'!$P1991)</f>
        <v/>
      </c>
      <c r="I1992" s="26" t="str">
        <f>IF($A1992="","",COUNTIFS(tblIssues[Lot Number],$B1992))</f>
        <v/>
      </c>
      <c r="J1992" s="31" t="str">
        <f>IF($A1992="","",IF('Lot Balance'!$O1991&lt;=0,"Depleted",'Lot Balance'!$Q1991))</f>
        <v/>
      </c>
    </row>
    <row r="1993" spans="1:10" x14ac:dyDescent="0.35">
      <c r="A1993" s="18" t="str">
        <f>IF('Lot Balance'!$A1992="","",'Lot Balance'!$A1992)</f>
        <v/>
      </c>
      <c r="B1993" s="18" t="str">
        <f>IF($A1993="","",'Lot Balance'!$B1992)</f>
        <v/>
      </c>
      <c r="C1993" s="18" t="str">
        <f>IF($A1993="","",'Lot Balance'!$C1992)</f>
        <v/>
      </c>
      <c r="D1993" s="25" t="str">
        <f>IF($A1993="","",'Lot Balance'!$G1992)</f>
        <v/>
      </c>
      <c r="E1993" s="25" t="str">
        <f>IF($A1993="","",'Lot Balance'!$H1992)</f>
        <v/>
      </c>
      <c r="F1993" s="23" t="str">
        <f>IF($A1993="","",'Lot Balance'!$I1992)</f>
        <v/>
      </c>
      <c r="G1993" s="23" t="str">
        <f>IF($A1993="","",'Lot Balance'!$O1992)</f>
        <v/>
      </c>
      <c r="H1993" s="33" t="str">
        <f>IF($A1993="","",'Lot Balance'!$P1992)</f>
        <v/>
      </c>
      <c r="I1993" s="26" t="str">
        <f>IF($A1993="","",COUNTIFS(tblIssues[Lot Number],$B1993))</f>
        <v/>
      </c>
      <c r="J1993" s="31" t="str">
        <f>IF($A1993="","",IF('Lot Balance'!$O1992&lt;=0,"Depleted",'Lot Balance'!$Q1992))</f>
        <v/>
      </c>
    </row>
    <row r="1994" spans="1:10" x14ac:dyDescent="0.35">
      <c r="A1994" s="18" t="str">
        <f>IF('Lot Balance'!$A1993="","",'Lot Balance'!$A1993)</f>
        <v/>
      </c>
      <c r="B1994" s="18" t="str">
        <f>IF($A1994="","",'Lot Balance'!$B1993)</f>
        <v/>
      </c>
      <c r="C1994" s="18" t="str">
        <f>IF($A1994="","",'Lot Balance'!$C1993)</f>
        <v/>
      </c>
      <c r="D1994" s="25" t="str">
        <f>IF($A1994="","",'Lot Balance'!$G1993)</f>
        <v/>
      </c>
      <c r="E1994" s="25" t="str">
        <f>IF($A1994="","",'Lot Balance'!$H1993)</f>
        <v/>
      </c>
      <c r="F1994" s="23" t="str">
        <f>IF($A1994="","",'Lot Balance'!$I1993)</f>
        <v/>
      </c>
      <c r="G1994" s="23" t="str">
        <f>IF($A1994="","",'Lot Balance'!$O1993)</f>
        <v/>
      </c>
      <c r="H1994" s="33" t="str">
        <f>IF($A1994="","",'Lot Balance'!$P1993)</f>
        <v/>
      </c>
      <c r="I1994" s="26" t="str">
        <f>IF($A1994="","",COUNTIFS(tblIssues[Lot Number],$B1994))</f>
        <v/>
      </c>
      <c r="J1994" s="31" t="str">
        <f>IF($A1994="","",IF('Lot Balance'!$O1993&lt;=0,"Depleted",'Lot Balance'!$Q1993))</f>
        <v/>
      </c>
    </row>
    <row r="1995" spans="1:10" x14ac:dyDescent="0.35">
      <c r="A1995" s="18" t="str">
        <f>IF('Lot Balance'!$A1994="","",'Lot Balance'!$A1994)</f>
        <v/>
      </c>
      <c r="B1995" s="18" t="str">
        <f>IF($A1995="","",'Lot Balance'!$B1994)</f>
        <v/>
      </c>
      <c r="C1995" s="18" t="str">
        <f>IF($A1995="","",'Lot Balance'!$C1994)</f>
        <v/>
      </c>
      <c r="D1995" s="25" t="str">
        <f>IF($A1995="","",'Lot Balance'!$G1994)</f>
        <v/>
      </c>
      <c r="E1995" s="25" t="str">
        <f>IF($A1995="","",'Lot Balance'!$H1994)</f>
        <v/>
      </c>
      <c r="F1995" s="23" t="str">
        <f>IF($A1995="","",'Lot Balance'!$I1994)</f>
        <v/>
      </c>
      <c r="G1995" s="23" t="str">
        <f>IF($A1995="","",'Lot Balance'!$O1994)</f>
        <v/>
      </c>
      <c r="H1995" s="33" t="str">
        <f>IF($A1995="","",'Lot Balance'!$P1994)</f>
        <v/>
      </c>
      <c r="I1995" s="26" t="str">
        <f>IF($A1995="","",COUNTIFS(tblIssues[Lot Number],$B1995))</f>
        <v/>
      </c>
      <c r="J1995" s="31" t="str">
        <f>IF($A1995="","",IF('Lot Balance'!$O1994&lt;=0,"Depleted",'Lot Balance'!$Q1994))</f>
        <v/>
      </c>
    </row>
    <row r="1996" spans="1:10" x14ac:dyDescent="0.35">
      <c r="A1996" s="18" t="str">
        <f>IF('Lot Balance'!$A1995="","",'Lot Balance'!$A1995)</f>
        <v/>
      </c>
      <c r="B1996" s="18" t="str">
        <f>IF($A1996="","",'Lot Balance'!$B1995)</f>
        <v/>
      </c>
      <c r="C1996" s="18" t="str">
        <f>IF($A1996="","",'Lot Balance'!$C1995)</f>
        <v/>
      </c>
      <c r="D1996" s="25" t="str">
        <f>IF($A1996="","",'Lot Balance'!$G1995)</f>
        <v/>
      </c>
      <c r="E1996" s="25" t="str">
        <f>IF($A1996="","",'Lot Balance'!$H1995)</f>
        <v/>
      </c>
      <c r="F1996" s="23" t="str">
        <f>IF($A1996="","",'Lot Balance'!$I1995)</f>
        <v/>
      </c>
      <c r="G1996" s="23" t="str">
        <f>IF($A1996="","",'Lot Balance'!$O1995)</f>
        <v/>
      </c>
      <c r="H1996" s="33" t="str">
        <f>IF($A1996="","",'Lot Balance'!$P1995)</f>
        <v/>
      </c>
      <c r="I1996" s="26" t="str">
        <f>IF($A1996="","",COUNTIFS(tblIssues[Lot Number],$B1996))</f>
        <v/>
      </c>
      <c r="J1996" s="31" t="str">
        <f>IF($A1996="","",IF('Lot Balance'!$O1995&lt;=0,"Depleted",'Lot Balance'!$Q1995))</f>
        <v/>
      </c>
    </row>
    <row r="1997" spans="1:10" x14ac:dyDescent="0.35">
      <c r="A1997" s="18" t="str">
        <f>IF('Lot Balance'!$A1996="","",'Lot Balance'!$A1996)</f>
        <v/>
      </c>
      <c r="B1997" s="18" t="str">
        <f>IF($A1997="","",'Lot Balance'!$B1996)</f>
        <v/>
      </c>
      <c r="C1997" s="18" t="str">
        <f>IF($A1997="","",'Lot Balance'!$C1996)</f>
        <v/>
      </c>
      <c r="D1997" s="25" t="str">
        <f>IF($A1997="","",'Lot Balance'!$G1996)</f>
        <v/>
      </c>
      <c r="E1997" s="25" t="str">
        <f>IF($A1997="","",'Lot Balance'!$H1996)</f>
        <v/>
      </c>
      <c r="F1997" s="23" t="str">
        <f>IF($A1997="","",'Lot Balance'!$I1996)</f>
        <v/>
      </c>
      <c r="G1997" s="23" t="str">
        <f>IF($A1997="","",'Lot Balance'!$O1996)</f>
        <v/>
      </c>
      <c r="H1997" s="33" t="str">
        <f>IF($A1997="","",'Lot Balance'!$P1996)</f>
        <v/>
      </c>
      <c r="I1997" s="26" t="str">
        <f>IF($A1997="","",COUNTIFS(tblIssues[Lot Number],$B1997))</f>
        <v/>
      </c>
      <c r="J1997" s="31" t="str">
        <f>IF($A1997="","",IF('Lot Balance'!$O1996&lt;=0,"Depleted",'Lot Balance'!$Q1996))</f>
        <v/>
      </c>
    </row>
    <row r="1998" spans="1:10" x14ac:dyDescent="0.35">
      <c r="A1998" s="18" t="str">
        <f>IF('Lot Balance'!$A1997="","",'Lot Balance'!$A1997)</f>
        <v/>
      </c>
      <c r="B1998" s="18" t="str">
        <f>IF($A1998="","",'Lot Balance'!$B1997)</f>
        <v/>
      </c>
      <c r="C1998" s="18" t="str">
        <f>IF($A1998="","",'Lot Balance'!$C1997)</f>
        <v/>
      </c>
      <c r="D1998" s="25" t="str">
        <f>IF($A1998="","",'Lot Balance'!$G1997)</f>
        <v/>
      </c>
      <c r="E1998" s="25" t="str">
        <f>IF($A1998="","",'Lot Balance'!$H1997)</f>
        <v/>
      </c>
      <c r="F1998" s="23" t="str">
        <f>IF($A1998="","",'Lot Balance'!$I1997)</f>
        <v/>
      </c>
      <c r="G1998" s="23" t="str">
        <f>IF($A1998="","",'Lot Balance'!$O1997)</f>
        <v/>
      </c>
      <c r="H1998" s="33" t="str">
        <f>IF($A1998="","",'Lot Balance'!$P1997)</f>
        <v/>
      </c>
      <c r="I1998" s="26" t="str">
        <f>IF($A1998="","",COUNTIFS(tblIssues[Lot Number],$B1998))</f>
        <v/>
      </c>
      <c r="J1998" s="31" t="str">
        <f>IF($A1998="","",IF('Lot Balance'!$O1997&lt;=0,"Depleted",'Lot Balance'!$Q1997))</f>
        <v/>
      </c>
    </row>
    <row r="1999" spans="1:10" x14ac:dyDescent="0.35">
      <c r="A1999" s="18" t="str">
        <f>IF('Lot Balance'!$A1998="","",'Lot Balance'!$A1998)</f>
        <v/>
      </c>
      <c r="B1999" s="18" t="str">
        <f>IF($A1999="","",'Lot Balance'!$B1998)</f>
        <v/>
      </c>
      <c r="C1999" s="18" t="str">
        <f>IF($A1999="","",'Lot Balance'!$C1998)</f>
        <v/>
      </c>
      <c r="D1999" s="25" t="str">
        <f>IF($A1999="","",'Lot Balance'!$G1998)</f>
        <v/>
      </c>
      <c r="E1999" s="25" t="str">
        <f>IF($A1999="","",'Lot Balance'!$H1998)</f>
        <v/>
      </c>
      <c r="F1999" s="23" t="str">
        <f>IF($A1999="","",'Lot Balance'!$I1998)</f>
        <v/>
      </c>
      <c r="G1999" s="23" t="str">
        <f>IF($A1999="","",'Lot Balance'!$O1998)</f>
        <v/>
      </c>
      <c r="H1999" s="33" t="str">
        <f>IF($A1999="","",'Lot Balance'!$P1998)</f>
        <v/>
      </c>
      <c r="I1999" s="26" t="str">
        <f>IF($A1999="","",COUNTIFS(tblIssues[Lot Number],$B1999))</f>
        <v/>
      </c>
      <c r="J1999" s="31" t="str">
        <f>IF($A1999="","",IF('Lot Balance'!$O1998&lt;=0,"Depleted",'Lot Balance'!$Q1998))</f>
        <v/>
      </c>
    </row>
    <row r="2000" spans="1:10" x14ac:dyDescent="0.35">
      <c r="A2000" s="18" t="str">
        <f>IF('Lot Balance'!$A1999="","",'Lot Balance'!$A1999)</f>
        <v/>
      </c>
      <c r="B2000" s="18" t="str">
        <f>IF($A2000="","",'Lot Balance'!$B1999)</f>
        <v/>
      </c>
      <c r="C2000" s="18" t="str">
        <f>IF($A2000="","",'Lot Balance'!$C1999)</f>
        <v/>
      </c>
      <c r="D2000" s="25" t="str">
        <f>IF($A2000="","",'Lot Balance'!$G1999)</f>
        <v/>
      </c>
      <c r="E2000" s="25" t="str">
        <f>IF($A2000="","",'Lot Balance'!$H1999)</f>
        <v/>
      </c>
      <c r="F2000" s="23" t="str">
        <f>IF($A2000="","",'Lot Balance'!$I1999)</f>
        <v/>
      </c>
      <c r="G2000" s="23" t="str">
        <f>IF($A2000="","",'Lot Balance'!$O1999)</f>
        <v/>
      </c>
      <c r="H2000" s="33" t="str">
        <f>IF($A2000="","",'Lot Balance'!$P1999)</f>
        <v/>
      </c>
      <c r="I2000" s="26" t="str">
        <f>IF($A2000="","",COUNTIFS(tblIssues[Lot Number],$B2000))</f>
        <v/>
      </c>
      <c r="J2000" s="31" t="str">
        <f>IF($A2000="","",IF('Lot Balance'!$O1999&lt;=0,"Depleted",'Lot Balance'!$Q1999))</f>
        <v/>
      </c>
    </row>
    <row r="2001" spans="1:10" x14ac:dyDescent="0.35">
      <c r="A2001" s="18" t="str">
        <f>IF('Lot Balance'!$A2000="","",'Lot Balance'!$A2000)</f>
        <v/>
      </c>
      <c r="B2001" s="18" t="str">
        <f>IF($A2001="","",'Lot Balance'!$B2000)</f>
        <v/>
      </c>
      <c r="C2001" s="18" t="str">
        <f>IF($A2001="","",'Lot Balance'!$C2000)</f>
        <v/>
      </c>
      <c r="D2001" s="25" t="str">
        <f>IF($A2001="","",'Lot Balance'!$G2000)</f>
        <v/>
      </c>
      <c r="E2001" s="25" t="str">
        <f>IF($A2001="","",'Lot Balance'!$H2000)</f>
        <v/>
      </c>
      <c r="F2001" s="23" t="str">
        <f>IF($A2001="","",'Lot Balance'!$I2000)</f>
        <v/>
      </c>
      <c r="G2001" s="23" t="str">
        <f>IF($A2001="","",'Lot Balance'!$O2000)</f>
        <v/>
      </c>
      <c r="H2001" s="33" t="str">
        <f>IF($A2001="","",'Lot Balance'!$P2000)</f>
        <v/>
      </c>
      <c r="I2001" s="26" t="str">
        <f>IF($A2001="","",COUNTIFS(tblIssues[Lot Number],$B2001))</f>
        <v/>
      </c>
      <c r="J2001" s="31" t="str">
        <f>IF($A2001="","",IF('Lot Balance'!$O2000&lt;=0,"Depleted",'Lot Balance'!$Q2000))</f>
        <v/>
      </c>
    </row>
  </sheetData>
  <autoFilter ref="A5:J1000" xr:uid="{00000000-0009-0000-0000-00000B000000}"/>
  <mergeCells count="2">
    <mergeCell ref="A1:J1"/>
    <mergeCell ref="A2:J2"/>
  </mergeCells>
  <conditionalFormatting sqref="J6:J2001">
    <cfRule type="cellIs" dxfId="5" priority="2" operator="equal">
      <formula>"EXPIRED"</formula>
    </cfRule>
    <cfRule type="cellIs" dxfId="4" priority="3" operator="equal">
      <formula>"CRITICAL"</formula>
    </cfRule>
    <cfRule type="cellIs" dxfId="3" priority="4" operator="equal">
      <formula>"Expiring"</formula>
    </cfRule>
    <cfRule type="cellIs" dxfId="2" priority="5" operator="equal">
      <formula>"Depleted"</formula>
    </cfRule>
  </conditionalFormatting>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E26D6-2450-4C64-9D04-4D0B101833A0}">
  <dimension ref="A1:J505"/>
  <sheetViews>
    <sheetView workbookViewId="0">
      <pane ySplit="5" topLeftCell="A6" activePane="bottomLeft" state="frozen"/>
      <selection pane="bottomLeft" activeCell="C6" sqref="C6"/>
    </sheetView>
  </sheetViews>
  <sheetFormatPr defaultRowHeight="14.5" x14ac:dyDescent="0.35"/>
  <cols>
    <col min="1" max="1" width="14.1796875" bestFit="1" customWidth="1"/>
    <col min="2" max="2" width="16.1796875" customWidth="1"/>
    <col min="3" max="3" width="19.26953125" bestFit="1" customWidth="1"/>
    <col min="4" max="4" width="4.81640625" bestFit="1" customWidth="1"/>
    <col min="5" max="5" width="14.453125" bestFit="1" customWidth="1"/>
    <col min="6" max="6" width="50.26953125" customWidth="1"/>
    <col min="7" max="7" width="11.54296875" bestFit="1" customWidth="1"/>
    <col min="8" max="8" width="7.1796875" bestFit="1" customWidth="1"/>
    <col min="9" max="9" width="7.453125" bestFit="1" customWidth="1"/>
    <col min="10" max="10" width="14" bestFit="1" customWidth="1"/>
  </cols>
  <sheetData>
    <row r="1" spans="1:10" ht="19" x14ac:dyDescent="0.35">
      <c r="A1" s="117" t="s">
        <v>628</v>
      </c>
      <c r="B1" s="117"/>
      <c r="C1" s="117"/>
      <c r="D1" s="117"/>
      <c r="E1" s="117"/>
      <c r="F1" s="117"/>
      <c r="G1" s="117"/>
      <c r="H1" s="117"/>
      <c r="I1" s="117"/>
      <c r="J1" s="117"/>
    </row>
    <row r="2" spans="1:10" x14ac:dyDescent="0.35">
      <c r="A2" s="118" t="s">
        <v>644</v>
      </c>
      <c r="B2" s="118"/>
      <c r="C2" s="118"/>
      <c r="D2" s="118"/>
      <c r="E2" s="118"/>
      <c r="F2" s="118"/>
      <c r="G2" s="118"/>
      <c r="H2" s="118"/>
      <c r="I2" s="118"/>
      <c r="J2" s="118"/>
    </row>
    <row r="3" spans="1:10" x14ac:dyDescent="0.35">
      <c r="A3" s="30" t="s">
        <v>631</v>
      </c>
      <c r="B3" s="61">
        <f>COUNT(tblIssues[Alert Row])</f>
        <v>65</v>
      </c>
      <c r="C3" s="30" t="s">
        <v>632</v>
      </c>
      <c r="D3" s="61">
        <f>COUNTIF(tblIssues[Quota Status],"⚠ OVER QUOTA")</f>
        <v>141</v>
      </c>
      <c r="E3" s="30" t="s">
        <v>633</v>
      </c>
      <c r="F3" s="61" cm="1">
        <f t="array" ref="F3">SUMPRODUCT(($A$6:$A$505&lt;&gt;"")/COUNTIF($A$6:$A$505,$A$6:$A$505&amp;""))</f>
        <v>35.000000000000007</v>
      </c>
      <c r="G3" s="30" t="s">
        <v>634</v>
      </c>
      <c r="H3" s="61">
        <f>SUM($I$6:$I$505)</f>
        <v>10660</v>
      </c>
    </row>
    <row r="5" spans="1:10" ht="23" x14ac:dyDescent="0.35">
      <c r="A5" s="3" t="s">
        <v>301</v>
      </c>
      <c r="B5" s="3" t="s">
        <v>302</v>
      </c>
      <c r="C5" s="3" t="s">
        <v>303</v>
      </c>
      <c r="D5" s="3" t="s">
        <v>304</v>
      </c>
      <c r="E5" s="3" t="s">
        <v>88</v>
      </c>
      <c r="F5" s="3" t="s">
        <v>621</v>
      </c>
      <c r="G5" s="3" t="s">
        <v>629</v>
      </c>
      <c r="H5" s="3" t="s">
        <v>623</v>
      </c>
      <c r="I5" s="3" t="s">
        <v>630</v>
      </c>
      <c r="J5" s="3" t="s">
        <v>532</v>
      </c>
    </row>
    <row r="6" spans="1:10" x14ac:dyDescent="0.35">
      <c r="A6" s="18" t="str">
        <f>IFERROR(INDEX(tblIssues[Staff ID],MATCH(ROW()-5,tblIssues[Alert Row],0)),"")</f>
        <v>TL/RPN-002-A9</v>
      </c>
      <c r="B6" s="18" t="str">
        <f>IF($A6="","",INDEX(tblIssues[Staff Name (pick)],MATCH(ROW()-5,tblIssues[Alert Row],0)))</f>
        <v>Lastname149, Firstname149</v>
      </c>
      <c r="C6" s="18" t="str">
        <f>IF($A6="","",INDEX(tblIssues[Role],MATCH(ROW()-5,tblIssues[Alert Row],0)))</f>
        <v>TL/RPN</v>
      </c>
      <c r="D6" s="25" t="str">
        <f>IF($A6="","",INDEX(tblIssues[Area],MATCH(ROW()-5,tblIssues[Alert Row],0)))</f>
        <v>A9</v>
      </c>
      <c r="E6" s="25" t="str">
        <f>IF($A6="","",INDEX(tblIssues[Item Name],MATCH(ROW()-5,tblIssues[Alert Row],0)))</f>
        <v>Disinfectant Wipes OS</v>
      </c>
      <c r="F6" s="98" t="str">
        <f>IF($A6="","",INDEX(tblIssues[Month],MATCH(ROW()-5,tblIssues[Alert Row],0)))</f>
        <v>2026-04</v>
      </c>
      <c r="G6" s="23">
        <f>IF($A6="","",INDEX(tblIssues[Units This Month (Staff/Item)],MATCH(ROW()-5,tblIssues[Alert Row],0)))</f>
        <v>480</v>
      </c>
      <c r="H6" s="23">
        <f>IF($A6="","",INDEX(tblIssues[Monthly Quota],MATCH(ROW()-5,tblIssues[Alert Row],0)))</f>
        <v>160</v>
      </c>
      <c r="I6" s="27">
        <f t="shared" ref="I6:I69" si="0">IF($A6="","",$G6-$H6)</f>
        <v>320</v>
      </c>
      <c r="J6" s="31" t="str">
        <f t="shared" ref="J6:J69" si="1">IF($A6="","","⚠ OVER QUOTA")</f>
        <v>⚠ OVER QUOTA</v>
      </c>
    </row>
    <row r="7" spans="1:10" x14ac:dyDescent="0.35">
      <c r="A7" s="18" t="str">
        <f>IFERROR(INDEX(tblIssues[Staff ID],MATCH(ROW()-5,tblIssues[Alert Row],0)),"")</f>
        <v>RN-031-A2</v>
      </c>
      <c r="B7" s="18" t="str">
        <f>IF($A7="","",INDEX(tblIssues[Staff Name (pick)],MATCH(ROW()-5,tblIssues[Alert Row],0)))</f>
        <v>Lastname035, Firstname035</v>
      </c>
      <c r="C7" s="18" t="str">
        <f>IF($A7="","",INDEX(tblIssues[Role],MATCH(ROW()-5,tblIssues[Alert Row],0)))</f>
        <v>RN</v>
      </c>
      <c r="D7" s="25" t="str">
        <f>IF($A7="","",INDEX(tblIssues[Area],MATCH(ROW()-5,tblIssues[Alert Row],0)))</f>
        <v>A2</v>
      </c>
      <c r="E7" s="25" t="str">
        <f>IF($A7="","",INDEX(tblIssues[Item Name],MATCH(ROW()-5,tblIssues[Alert Row],0)))</f>
        <v>Sample Org CONNECT Welcome Package RN</v>
      </c>
      <c r="F7" s="98" t="str">
        <f>IF($A7="","",INDEX(tblIssues[Month],MATCH(ROW()-5,tblIssues[Alert Row],0)))</f>
        <v>2026-04</v>
      </c>
      <c r="G7" s="23">
        <f>IF($A7="","",INDEX(tblIssues[Units This Month (Staff/Item)],MATCH(ROW()-5,tblIssues[Alert Row],0)))</f>
        <v>20</v>
      </c>
      <c r="H7" s="23">
        <f>IF($A7="","",INDEX(tblIssues[Monthly Quota],MATCH(ROW()-5,tblIssues[Alert Row],0)))</f>
        <v>10</v>
      </c>
      <c r="I7" s="27">
        <f t="shared" si="0"/>
        <v>10</v>
      </c>
      <c r="J7" s="31" t="str">
        <f t="shared" si="1"/>
        <v>⚠ OVER QUOTA</v>
      </c>
    </row>
    <row r="8" spans="1:10" x14ac:dyDescent="0.35">
      <c r="A8" s="18" t="str">
        <f>IFERROR(INDEX(tblIssues[Staff ID],MATCH(ROW()-5,tblIssues[Alert Row],0)),"")</f>
        <v>PSW-055-A4</v>
      </c>
      <c r="B8" s="18" t="str">
        <f>IF($A8="","",INDEX(tblIssues[Staff Name (pick)],MATCH(ROW()-5,tblIssues[Alert Row],0)))</f>
        <v>Lastname115, Firstname115</v>
      </c>
      <c r="C8" s="18" t="str">
        <f>IF($A8="","",INDEX(tblIssues[Role],MATCH(ROW()-5,tblIssues[Alert Row],0)))</f>
        <v>PSW</v>
      </c>
      <c r="D8" s="25" t="str">
        <f>IF($A8="","",INDEX(tblIssues[Area],MATCH(ROW()-5,tblIssues[Alert Row],0)))</f>
        <v>A4</v>
      </c>
      <c r="E8" s="25" t="str">
        <f>IF($A8="","",INDEX(tblIssues[Item Name],MATCH(ROW()-5,tblIssues[Alert Row],0)))</f>
        <v>Level 1/2 - Yellow Gown</v>
      </c>
      <c r="F8" s="98" t="str">
        <f>IF($A8="","",INDEX(tblIssues[Month],MATCH(ROW()-5,tblIssues[Alert Row],0)))</f>
        <v>2026-04</v>
      </c>
      <c r="G8" s="23">
        <f>IF($A8="","",INDEX(tblIssues[Units This Month (Staff/Item)],MATCH(ROW()-5,tblIssues[Alert Row],0)))</f>
        <v>10</v>
      </c>
      <c r="H8" s="23">
        <f>IF($A8="","",INDEX(tblIssues[Monthly Quota],MATCH(ROW()-5,tblIssues[Alert Row],0)))</f>
        <v>5</v>
      </c>
      <c r="I8" s="27">
        <f t="shared" si="0"/>
        <v>5</v>
      </c>
      <c r="J8" s="31" t="str">
        <f t="shared" si="1"/>
        <v>⚠ OVER QUOTA</v>
      </c>
    </row>
    <row r="9" spans="1:10" x14ac:dyDescent="0.35">
      <c r="A9" s="18" t="str">
        <f>IFERROR(INDEX(tblIssues[Staff ID],MATCH(ROW()-5,tblIssues[Alert Row],0)),"")</f>
        <v>RN-045-A1</v>
      </c>
      <c r="B9" s="18" t="str">
        <f>IF($A9="","",INDEX(tblIssues[Staff Name (pick)],MATCH(ROW()-5,tblIssues[Alert Row],0)))</f>
        <v>Lastname052, Firstname052</v>
      </c>
      <c r="C9" s="18" t="str">
        <f>IF($A9="","",INDEX(tblIssues[Role],MATCH(ROW()-5,tblIssues[Alert Row],0)))</f>
        <v>RN</v>
      </c>
      <c r="D9" s="25" t="str">
        <f>IF($A9="","",INDEX(tblIssues[Area],MATCH(ROW()-5,tblIssues[Alert Row],0)))</f>
        <v>A1</v>
      </c>
      <c r="E9" s="25" t="str">
        <f>IF($A9="","",INDEX(tblIssues[Item Name],MATCH(ROW()-5,tblIssues[Alert Row],0)))</f>
        <v>Hand Sanitizer OS</v>
      </c>
      <c r="F9" s="98" t="str">
        <f>IF($A9="","",INDEX(tblIssues[Month],MATCH(ROW()-5,tblIssues[Alert Row],0)))</f>
        <v>2026-04</v>
      </c>
      <c r="G9" s="23">
        <f>IF($A9="","",INDEX(tblIssues[Units This Month (Staff/Item)],MATCH(ROW()-5,tblIssues[Alert Row],0)))</f>
        <v>2</v>
      </c>
      <c r="H9" s="23">
        <f>IF($A9="","",INDEX(tblIssues[Monthly Quota],MATCH(ROW()-5,tblIssues[Alert Row],0)))</f>
        <v>1</v>
      </c>
      <c r="I9" s="27">
        <f t="shared" si="0"/>
        <v>1</v>
      </c>
      <c r="J9" s="31" t="str">
        <f t="shared" si="1"/>
        <v>⚠ OVER QUOTA</v>
      </c>
    </row>
    <row r="10" spans="1:10" x14ac:dyDescent="0.35">
      <c r="A10" s="18" t="str">
        <f>IFERROR(INDEX(tblIssues[Staff ID],MATCH(ROW()-5,tblIssues[Alert Row],0)),"")</f>
        <v>RN-009-A2</v>
      </c>
      <c r="B10" s="18" t="str">
        <f>IF($A10="","",INDEX(tblIssues[Staff Name (pick)],MATCH(ROW()-5,tblIssues[Alert Row],0)))</f>
        <v>Lastname009, Firstname009</v>
      </c>
      <c r="C10" s="18" t="str">
        <f>IF($A10="","",INDEX(tblIssues[Role],MATCH(ROW()-5,tblIssues[Alert Row],0)))</f>
        <v>RN</v>
      </c>
      <c r="D10" s="25" t="str">
        <f>IF($A10="","",INDEX(tblIssues[Area],MATCH(ROW()-5,tblIssues[Alert Row],0)))</f>
        <v>A2</v>
      </c>
      <c r="E10" s="25" t="str">
        <f>IF($A10="","",INDEX(tblIssues[Item Name],MATCH(ROW()-5,tblIssues[Alert Row],0)))</f>
        <v>Hand Sanitizer OS</v>
      </c>
      <c r="F10" s="98" t="str">
        <f>IF($A10="","",INDEX(tblIssues[Month],MATCH(ROW()-5,tblIssues[Alert Row],0)))</f>
        <v>2026-04</v>
      </c>
      <c r="G10" s="23">
        <f>IF($A10="","",INDEX(tblIssues[Units This Month (Staff/Item)],MATCH(ROW()-5,tblIssues[Alert Row],0)))</f>
        <v>2</v>
      </c>
      <c r="H10" s="23">
        <f>IF($A10="","",INDEX(tblIssues[Monthly Quota],MATCH(ROW()-5,tblIssues[Alert Row],0)))</f>
        <v>1</v>
      </c>
      <c r="I10" s="27">
        <f t="shared" si="0"/>
        <v>1</v>
      </c>
      <c r="J10" s="31" t="str">
        <f t="shared" si="1"/>
        <v>⚠ OVER QUOTA</v>
      </c>
    </row>
    <row r="11" spans="1:10" x14ac:dyDescent="0.35">
      <c r="A11" s="18" t="str">
        <f>IFERROR(INDEX(tblIssues[Staff ID],MATCH(ROW()-5,tblIssues[Alert Row],0)),"")</f>
        <v>RN-050-A1</v>
      </c>
      <c r="B11" s="18" t="str">
        <f>IF($A11="","",INDEX(tblIssues[Staff Name (pick)],MATCH(ROW()-5,tblIssues[Alert Row],0)))</f>
        <v>Lastname059, Firstname059</v>
      </c>
      <c r="C11" s="18" t="str">
        <f>IF($A11="","",INDEX(tblIssues[Role],MATCH(ROW()-5,tblIssues[Alert Row],0)))</f>
        <v>RN</v>
      </c>
      <c r="D11" s="25" t="str">
        <f>IF($A11="","",INDEX(tblIssues[Area],MATCH(ROW()-5,tblIssues[Alert Row],0)))</f>
        <v>A1</v>
      </c>
      <c r="E11" s="25" t="str">
        <f>IF($A11="","",INDEX(tblIssues[Item Name],MATCH(ROW()-5,tblIssues[Alert Row],0)))</f>
        <v>Gloves - Medium</v>
      </c>
      <c r="F11" s="98" t="str">
        <f>IF($A11="","",INDEX(tblIssues[Month],MATCH(ROW()-5,tblIssues[Alert Row],0)))</f>
        <v>2026-04</v>
      </c>
      <c r="G11" s="23">
        <f>IF($A11="","",INDEX(tblIssues[Units This Month (Staff/Item)],MATCH(ROW()-5,tblIssues[Alert Row],0)))</f>
        <v>1000</v>
      </c>
      <c r="H11" s="23">
        <f>IF($A11="","",INDEX(tblIssues[Monthly Quota],MATCH(ROW()-5,tblIssues[Alert Row],0)))</f>
        <v>500</v>
      </c>
      <c r="I11" s="27">
        <f t="shared" si="0"/>
        <v>500</v>
      </c>
      <c r="J11" s="31" t="str">
        <f t="shared" si="1"/>
        <v>⚠ OVER QUOTA</v>
      </c>
    </row>
    <row r="12" spans="1:10" x14ac:dyDescent="0.35">
      <c r="A12" s="18" t="str">
        <f>IFERROR(INDEX(tblIssues[Staff ID],MATCH(ROW()-5,tblIssues[Alert Row],0)),"")</f>
        <v>OEE-008-A3</v>
      </c>
      <c r="B12" s="18" t="str">
        <f>IF($A12="","",INDEX(tblIssues[Staff Name (pick)],MATCH(ROW()-5,tblIssues[Alert Row],0)))</f>
        <v>Lastname263, Firstname263</v>
      </c>
      <c r="C12" s="18" t="str">
        <f>IF($A12="","",INDEX(tblIssues[Role],MATCH(ROW()-5,tblIssues[Alert Row],0)))</f>
        <v>OEE</v>
      </c>
      <c r="D12" s="25" t="str">
        <f>IF($A12="","",INDEX(tblIssues[Area],MATCH(ROW()-5,tblIssues[Alert Row],0)))</f>
        <v>A3</v>
      </c>
      <c r="E12" s="25" t="str">
        <f>IF($A12="","",INDEX(tblIssues[Item Name],MATCH(ROW()-5,tblIssues[Alert Row],0)))</f>
        <v>Disinfectant Wipes</v>
      </c>
      <c r="F12" s="98" t="str">
        <f>IF($A12="","",INDEX(tblIssues[Month],MATCH(ROW()-5,tblIssues[Alert Row],0)))</f>
        <v>2026-04</v>
      </c>
      <c r="G12" s="23">
        <f>IF($A12="","",INDEX(tblIssues[Units This Month (Staff/Item)],MATCH(ROW()-5,tblIssues[Alert Row],0)))</f>
        <v>160</v>
      </c>
      <c r="H12" s="23">
        <f>IF($A12="","",INDEX(tblIssues[Monthly Quota],MATCH(ROW()-5,tblIssues[Alert Row],0)))</f>
        <v>80</v>
      </c>
      <c r="I12" s="27">
        <f t="shared" si="0"/>
        <v>80</v>
      </c>
      <c r="J12" s="31" t="str">
        <f t="shared" si="1"/>
        <v>⚠ OVER QUOTA</v>
      </c>
    </row>
    <row r="13" spans="1:10" x14ac:dyDescent="0.35">
      <c r="A13" s="18" t="str">
        <f>IFERROR(INDEX(tblIssues[Staff ID],MATCH(ROW()-5,tblIssues[Alert Row],0)),"")</f>
        <v>RN-010-A2</v>
      </c>
      <c r="B13" s="18" t="str">
        <f>IF($A13="","",INDEX(tblIssues[Staff Name (pick)],MATCH(ROW()-5,tblIssues[Alert Row],0)))</f>
        <v>Lastname010, Firstname010</v>
      </c>
      <c r="C13" s="18" t="str">
        <f>IF($A13="","",INDEX(tblIssues[Role],MATCH(ROW()-5,tblIssues[Alert Row],0)))</f>
        <v>RN</v>
      </c>
      <c r="D13" s="25" t="str">
        <f>IF($A13="","",INDEX(tblIssues[Area],MATCH(ROW()-5,tblIssues[Alert Row],0)))</f>
        <v>A2</v>
      </c>
      <c r="E13" s="25" t="str">
        <f>IF($A13="","",INDEX(tblIssues[Item Name],MATCH(ROW()-5,tblIssues[Alert Row],0)))</f>
        <v>Hand Sanitizer OS</v>
      </c>
      <c r="F13" s="98" t="str">
        <f>IF($A13="","",INDEX(tblIssues[Month],MATCH(ROW()-5,tblIssues[Alert Row],0)))</f>
        <v>2026-04</v>
      </c>
      <c r="G13" s="23">
        <f>IF($A13="","",INDEX(tblIssues[Units This Month (Staff/Item)],MATCH(ROW()-5,tblIssues[Alert Row],0)))</f>
        <v>2</v>
      </c>
      <c r="H13" s="23">
        <f>IF($A13="","",INDEX(tblIssues[Monthly Quota],MATCH(ROW()-5,tblIssues[Alert Row],0)))</f>
        <v>1</v>
      </c>
      <c r="I13" s="27">
        <f t="shared" si="0"/>
        <v>1</v>
      </c>
      <c r="J13" s="31" t="str">
        <f t="shared" si="1"/>
        <v>⚠ OVER QUOTA</v>
      </c>
    </row>
    <row r="14" spans="1:10" x14ac:dyDescent="0.35">
      <c r="A14" s="18" t="str">
        <f>IFERROR(INDEX(tblIssues[Staff ID],MATCH(ROW()-5,tblIssues[Alert Row],0)),"")</f>
        <v>PSW-110-A6</v>
      </c>
      <c r="B14" s="18" t="str">
        <f>IF($A14="","",INDEX(tblIssues[Staff Name (pick)],MATCH(ROW()-5,tblIssues[Alert Row],0)))</f>
        <v>Lastname172, Firstname172</v>
      </c>
      <c r="C14" s="18" t="str">
        <f>IF($A14="","",INDEX(tblIssues[Role],MATCH(ROW()-5,tblIssues[Alert Row],0)))</f>
        <v>PSW</v>
      </c>
      <c r="D14" s="25" t="str">
        <f>IF($A14="","",INDEX(tblIssues[Area],MATCH(ROW()-5,tblIssues[Alert Row],0)))</f>
        <v>A6</v>
      </c>
      <c r="E14" s="25" t="str">
        <f>IF($A14="","",INDEX(tblIssues[Item Name],MATCH(ROW()-5,tblIssues[Alert Row],0)))</f>
        <v>Gloves - Medium</v>
      </c>
      <c r="F14" s="98" t="str">
        <f>IF($A14="","",INDEX(tblIssues[Month],MATCH(ROW()-5,tblIssues[Alert Row],0)))</f>
        <v>2026-05</v>
      </c>
      <c r="G14" s="23">
        <f>IF($A14="","",INDEX(tblIssues[Units This Month (Staff/Item)],MATCH(ROW()-5,tblIssues[Alert Row],0)))</f>
        <v>1000</v>
      </c>
      <c r="H14" s="23">
        <f>IF($A14="","",INDEX(tblIssues[Monthly Quota],MATCH(ROW()-5,tblIssues[Alert Row],0)))</f>
        <v>500</v>
      </c>
      <c r="I14" s="27">
        <f t="shared" si="0"/>
        <v>500</v>
      </c>
      <c r="J14" s="31" t="str">
        <f t="shared" si="1"/>
        <v>⚠ OVER QUOTA</v>
      </c>
    </row>
    <row r="15" spans="1:10" x14ac:dyDescent="0.35">
      <c r="A15" s="18" t="str">
        <f>IFERROR(INDEX(tblIssues[Staff ID],MATCH(ROW()-5,tblIssues[Alert Row],0)),"")</f>
        <v>PSW-110-A6</v>
      </c>
      <c r="B15" s="18" t="str">
        <f>IF($A15="","",INDEX(tblIssues[Staff Name (pick)],MATCH(ROW()-5,tblIssues[Alert Row],0)))</f>
        <v>Lastname172, Firstname172</v>
      </c>
      <c r="C15" s="18" t="str">
        <f>IF($A15="","",INDEX(tblIssues[Role],MATCH(ROW()-5,tblIssues[Alert Row],0)))</f>
        <v>PSW</v>
      </c>
      <c r="D15" s="25" t="str">
        <f>IF($A15="","",INDEX(tblIssues[Area],MATCH(ROW()-5,tblIssues[Alert Row],0)))</f>
        <v>A6</v>
      </c>
      <c r="E15" s="25" t="str">
        <f>IF($A15="","",INDEX(tblIssues[Item Name],MATCH(ROW()-5,tblIssues[Alert Row],0)))</f>
        <v>Hand Sanitizer</v>
      </c>
      <c r="F15" s="98" t="str">
        <f>IF($A15="","",INDEX(tblIssues[Month],MATCH(ROW()-5,tblIssues[Alert Row],0)))</f>
        <v>2026-05</v>
      </c>
      <c r="G15" s="23">
        <f>IF($A15="","",INDEX(tblIssues[Units This Month (Staff/Item)],MATCH(ROW()-5,tblIssues[Alert Row],0)))</f>
        <v>4</v>
      </c>
      <c r="H15" s="23">
        <f>IF($A15="","",INDEX(tblIssues[Monthly Quota],MATCH(ROW()-5,tblIssues[Alert Row],0)))</f>
        <v>2</v>
      </c>
      <c r="I15" s="27">
        <f t="shared" si="0"/>
        <v>2</v>
      </c>
      <c r="J15" s="31" t="str">
        <f t="shared" si="1"/>
        <v>⚠ OVER QUOTA</v>
      </c>
    </row>
    <row r="16" spans="1:10" x14ac:dyDescent="0.35">
      <c r="A16" s="18" t="str">
        <f>IFERROR(INDEX(tblIssues[Staff ID],MATCH(ROW()-5,tblIssues[Alert Row],0)),"")</f>
        <v>PSW-110-A6</v>
      </c>
      <c r="B16" s="18" t="str">
        <f>IF($A16="","",INDEX(tblIssues[Staff Name (pick)],MATCH(ROW()-5,tblIssues[Alert Row],0)))</f>
        <v>Lastname172, Firstname172</v>
      </c>
      <c r="C16" s="18" t="str">
        <f>IF($A16="","",INDEX(tblIssues[Role],MATCH(ROW()-5,tblIssues[Alert Row],0)))</f>
        <v>PSW</v>
      </c>
      <c r="D16" s="25" t="str">
        <f>IF($A16="","",INDEX(tblIssues[Area],MATCH(ROW()-5,tblIssues[Alert Row],0)))</f>
        <v>A6</v>
      </c>
      <c r="E16" s="25" t="str">
        <f>IF($A16="","",INDEX(tblIssues[Item Name],MATCH(ROW()-5,tblIssues[Alert Row],0)))</f>
        <v>Hand Sanitizer OS</v>
      </c>
      <c r="F16" s="98" t="str">
        <f>IF($A16="","",INDEX(tblIssues[Month],MATCH(ROW()-5,tblIssues[Alert Row],0)))</f>
        <v>2026-05</v>
      </c>
      <c r="G16" s="23">
        <f>IF($A16="","",INDEX(tblIssues[Units This Month (Staff/Item)],MATCH(ROW()-5,tblIssues[Alert Row],0)))</f>
        <v>2</v>
      </c>
      <c r="H16" s="23">
        <f>IF($A16="","",INDEX(tblIssues[Monthly Quota],MATCH(ROW()-5,tblIssues[Alert Row],0)))</f>
        <v>1</v>
      </c>
      <c r="I16" s="27">
        <f t="shared" si="0"/>
        <v>1</v>
      </c>
      <c r="J16" s="31" t="str">
        <f t="shared" si="1"/>
        <v>⚠ OVER QUOTA</v>
      </c>
    </row>
    <row r="17" spans="1:10" x14ac:dyDescent="0.35">
      <c r="A17" s="18" t="str">
        <f>IFERROR(INDEX(tblIssues[Staff ID],MATCH(ROW()-5,tblIssues[Alert Row],0)),"")</f>
        <v>PSW-110-A6</v>
      </c>
      <c r="B17" s="18" t="str">
        <f>IF($A17="","",INDEX(tblIssues[Staff Name (pick)],MATCH(ROW()-5,tblIssues[Alert Row],0)))</f>
        <v>Lastname172, Firstname172</v>
      </c>
      <c r="C17" s="18" t="str">
        <f>IF($A17="","",INDEX(tblIssues[Role],MATCH(ROW()-5,tblIssues[Alert Row],0)))</f>
        <v>PSW</v>
      </c>
      <c r="D17" s="25" t="str">
        <f>IF($A17="","",INDEX(tblIssues[Area],MATCH(ROW()-5,tblIssues[Alert Row],0)))</f>
        <v>A6</v>
      </c>
      <c r="E17" s="25" t="str">
        <f>IF($A17="","",INDEX(tblIssues[Item Name],MATCH(ROW()-5,tblIssues[Alert Row],0)))</f>
        <v>Surgical Masks</v>
      </c>
      <c r="F17" s="98" t="str">
        <f>IF($A17="","",INDEX(tblIssues[Month],MATCH(ROW()-5,tblIssues[Alert Row],0)))</f>
        <v>2026-05</v>
      </c>
      <c r="G17" s="23">
        <f>IF($A17="","",INDEX(tblIssues[Units This Month (Staff/Item)],MATCH(ROW()-5,tblIssues[Alert Row],0)))</f>
        <v>100</v>
      </c>
      <c r="H17" s="23">
        <f>IF($A17="","",INDEX(tblIssues[Monthly Quota],MATCH(ROW()-5,tblIssues[Alert Row],0)))</f>
        <v>50</v>
      </c>
      <c r="I17" s="27">
        <f t="shared" si="0"/>
        <v>50</v>
      </c>
      <c r="J17" s="31" t="str">
        <f t="shared" si="1"/>
        <v>⚠ OVER QUOTA</v>
      </c>
    </row>
    <row r="18" spans="1:10" x14ac:dyDescent="0.35">
      <c r="A18" s="18" t="str">
        <f>IFERROR(INDEX(tblIssues[Staff ID],MATCH(ROW()-5,tblIssues[Alert Row],0)),"")</f>
        <v>RN-026-A2</v>
      </c>
      <c r="B18" s="18" t="str">
        <f>IF($A18="","",INDEX(tblIssues[Staff Name (pick)],MATCH(ROW()-5,tblIssues[Alert Row],0)))</f>
        <v>Lastname030, Firstname030</v>
      </c>
      <c r="C18" s="18" t="str">
        <f>IF($A18="","",INDEX(tblIssues[Role],MATCH(ROW()-5,tblIssues[Alert Row],0)))</f>
        <v>RN</v>
      </c>
      <c r="D18" s="25" t="str">
        <f>IF($A18="","",INDEX(tblIssues[Area],MATCH(ROW()-5,tblIssues[Alert Row],0)))</f>
        <v>A2</v>
      </c>
      <c r="E18" s="25" t="str">
        <f>IF($A18="","",INDEX(tblIssues[Item Name],MATCH(ROW()-5,tblIssues[Alert Row],0)))</f>
        <v>Shoe Covers</v>
      </c>
      <c r="F18" s="98" t="str">
        <f>IF($A18="","",INDEX(tblIssues[Month],MATCH(ROW()-5,tblIssues[Alert Row],0)))</f>
        <v>2026-05</v>
      </c>
      <c r="G18" s="23">
        <f>IF($A18="","",INDEX(tblIssues[Units This Month (Staff/Item)],MATCH(ROW()-5,tblIssues[Alert Row],0)))</f>
        <v>100</v>
      </c>
      <c r="H18" s="23">
        <f>IF($A18="","",INDEX(tblIssues[Monthly Quota],MATCH(ROW()-5,tblIssues[Alert Row],0)))</f>
        <v>50</v>
      </c>
      <c r="I18" s="27">
        <f t="shared" si="0"/>
        <v>50</v>
      </c>
      <c r="J18" s="31" t="str">
        <f t="shared" si="1"/>
        <v>⚠ OVER QUOTA</v>
      </c>
    </row>
    <row r="19" spans="1:10" x14ac:dyDescent="0.35">
      <c r="A19" s="18" t="str">
        <f>IFERROR(INDEX(tblIssues[Staff ID],MATCH(ROW()-5,tblIssues[Alert Row],0)),"")</f>
        <v>RN-026-A2</v>
      </c>
      <c r="B19" s="18" t="str">
        <f>IF($A19="","",INDEX(tblIssues[Staff Name (pick)],MATCH(ROW()-5,tblIssues[Alert Row],0)))</f>
        <v>Lastname030, Firstname030</v>
      </c>
      <c r="C19" s="18" t="str">
        <f>IF($A19="","",INDEX(tblIssues[Role],MATCH(ROW()-5,tblIssues[Alert Row],0)))</f>
        <v>RN</v>
      </c>
      <c r="D19" s="25" t="str">
        <f>IF($A19="","",INDEX(tblIssues[Area],MATCH(ROW()-5,tblIssues[Alert Row],0)))</f>
        <v>A2</v>
      </c>
      <c r="E19" s="25" t="str">
        <f>IF($A19="","",INDEX(tblIssues[Item Name],MATCH(ROW()-5,tblIssues[Alert Row],0)))</f>
        <v>Level 1/2 - Yellow Gown</v>
      </c>
      <c r="F19" s="98" t="str">
        <f>IF($A19="","",INDEX(tblIssues[Month],MATCH(ROW()-5,tblIssues[Alert Row],0)))</f>
        <v>2026-05</v>
      </c>
      <c r="G19" s="23">
        <f>IF($A19="","",INDEX(tblIssues[Units This Month (Staff/Item)],MATCH(ROW()-5,tblIssues[Alert Row],0)))</f>
        <v>10</v>
      </c>
      <c r="H19" s="23">
        <f>IF($A19="","",INDEX(tblIssues[Monthly Quota],MATCH(ROW()-5,tblIssues[Alert Row],0)))</f>
        <v>5</v>
      </c>
      <c r="I19" s="27">
        <f t="shared" si="0"/>
        <v>5</v>
      </c>
      <c r="J19" s="31" t="str">
        <f t="shared" si="1"/>
        <v>⚠ OVER QUOTA</v>
      </c>
    </row>
    <row r="20" spans="1:10" x14ac:dyDescent="0.35">
      <c r="A20" s="18" t="str">
        <f>IFERROR(INDEX(tblIssues[Staff ID],MATCH(ROW()-5,tblIssues[Alert Row],0)),"")</f>
        <v>TL/RPN-001-A8</v>
      </c>
      <c r="B20" s="18" t="str">
        <f>IF($A20="","",INDEX(tblIssues[Staff Name (pick)],MATCH(ROW()-5,tblIssues[Alert Row],0)))</f>
        <v>Lastname105, Firstname105</v>
      </c>
      <c r="C20" s="18" t="str">
        <f>IF($A20="","",INDEX(tblIssues[Role],MATCH(ROW()-5,tblIssues[Alert Row],0)))</f>
        <v>TL/RPN</v>
      </c>
      <c r="D20" s="25" t="str">
        <f>IF($A20="","",INDEX(tblIssues[Area],MATCH(ROW()-5,tblIssues[Alert Row],0)))</f>
        <v>A8</v>
      </c>
      <c r="E20" s="25" t="str">
        <f>IF($A20="","",INDEX(tblIssues[Item Name],MATCH(ROW()-5,tblIssues[Alert Row],0)))</f>
        <v>Hand Sanitizer</v>
      </c>
      <c r="F20" s="98" t="str">
        <f>IF($A20="","",INDEX(tblIssues[Month],MATCH(ROW()-5,tblIssues[Alert Row],0)))</f>
        <v>2026-05</v>
      </c>
      <c r="G20" s="23">
        <f>IF($A20="","",INDEX(tblIssues[Units This Month (Staff/Item)],MATCH(ROW()-5,tblIssues[Alert Row],0)))</f>
        <v>4</v>
      </c>
      <c r="H20" s="23">
        <f>IF($A20="","",INDEX(tblIssues[Monthly Quota],MATCH(ROW()-5,tblIssues[Alert Row],0)))</f>
        <v>2</v>
      </c>
      <c r="I20" s="27">
        <f t="shared" si="0"/>
        <v>2</v>
      </c>
      <c r="J20" s="31" t="str">
        <f t="shared" si="1"/>
        <v>⚠ OVER QUOTA</v>
      </c>
    </row>
    <row r="21" spans="1:10" x14ac:dyDescent="0.35">
      <c r="A21" s="18" t="str">
        <f>IFERROR(INDEX(tblIssues[Staff ID],MATCH(ROW()-5,tblIssues[Alert Row],0)),"")</f>
        <v>TL/RPN-002-A9</v>
      </c>
      <c r="B21" s="18" t="str">
        <f>IF($A21="","",INDEX(tblIssues[Staff Name (pick)],MATCH(ROW()-5,tblIssues[Alert Row],0)))</f>
        <v>Lastname149, Firstname149</v>
      </c>
      <c r="C21" s="18" t="str">
        <f>IF($A21="","",INDEX(tblIssues[Role],MATCH(ROW()-5,tblIssues[Alert Row],0)))</f>
        <v>TL/RPN</v>
      </c>
      <c r="D21" s="25" t="str">
        <f>IF($A21="","",INDEX(tblIssues[Area],MATCH(ROW()-5,tblIssues[Alert Row],0)))</f>
        <v>A9</v>
      </c>
      <c r="E21" s="25" t="str">
        <f>IF($A21="","",INDEX(tblIssues[Item Name],MATCH(ROW()-5,tblIssues[Alert Row],0)))</f>
        <v>Disinfectant Wipes OS</v>
      </c>
      <c r="F21" s="98" t="str">
        <f>IF($A21="","",INDEX(tblIssues[Month],MATCH(ROW()-5,tblIssues[Alert Row],0)))</f>
        <v>2026-05</v>
      </c>
      <c r="G21" s="23">
        <f>IF($A21="","",INDEX(tblIssues[Units This Month (Staff/Item)],MATCH(ROW()-5,tblIssues[Alert Row],0)))</f>
        <v>320</v>
      </c>
      <c r="H21" s="23">
        <f>IF($A21="","",INDEX(tblIssues[Monthly Quota],MATCH(ROW()-5,tblIssues[Alert Row],0)))</f>
        <v>160</v>
      </c>
      <c r="I21" s="27">
        <f t="shared" si="0"/>
        <v>160</v>
      </c>
      <c r="J21" s="31" t="str">
        <f t="shared" si="1"/>
        <v>⚠ OVER QUOTA</v>
      </c>
    </row>
    <row r="22" spans="1:10" x14ac:dyDescent="0.35">
      <c r="A22" s="18" t="str">
        <f>IFERROR(INDEX(tblIssues[Staff ID],MATCH(ROW()-5,tblIssues[Alert Row],0)),"")</f>
        <v>RN-009-A2</v>
      </c>
      <c r="B22" s="18" t="str">
        <f>IF($A22="","",INDEX(tblIssues[Staff Name (pick)],MATCH(ROW()-5,tblIssues[Alert Row],0)))</f>
        <v>Lastname009, Firstname009</v>
      </c>
      <c r="C22" s="18" t="str">
        <f>IF($A22="","",INDEX(tblIssues[Role],MATCH(ROW()-5,tblIssues[Alert Row],0)))</f>
        <v>RN</v>
      </c>
      <c r="D22" s="25" t="str">
        <f>IF($A22="","",INDEX(tblIssues[Area],MATCH(ROW()-5,tblIssues[Alert Row],0)))</f>
        <v>A2</v>
      </c>
      <c r="E22" s="25" t="str">
        <f>IF($A22="","",INDEX(tblIssues[Item Name],MATCH(ROW()-5,tblIssues[Alert Row],0)))</f>
        <v>Hand Sanitizer OS</v>
      </c>
      <c r="F22" s="98" t="str">
        <f>IF($A22="","",INDEX(tblIssues[Month],MATCH(ROW()-5,tblIssues[Alert Row],0)))</f>
        <v>2026-05</v>
      </c>
      <c r="G22" s="23">
        <f>IF($A22="","",INDEX(tblIssues[Units This Month (Staff/Item)],MATCH(ROW()-5,tblIssues[Alert Row],0)))</f>
        <v>2</v>
      </c>
      <c r="H22" s="23">
        <f>IF($A22="","",INDEX(tblIssues[Monthly Quota],MATCH(ROW()-5,tblIssues[Alert Row],0)))</f>
        <v>1</v>
      </c>
      <c r="I22" s="27">
        <f t="shared" si="0"/>
        <v>1</v>
      </c>
      <c r="J22" s="31" t="str">
        <f t="shared" si="1"/>
        <v>⚠ OVER QUOTA</v>
      </c>
    </row>
    <row r="23" spans="1:10" x14ac:dyDescent="0.35">
      <c r="A23" s="18" t="str">
        <f>IFERROR(INDEX(tblIssues[Staff ID],MATCH(ROW()-5,tblIssues[Alert Row],0)),"")</f>
        <v>RN-047-TBD</v>
      </c>
      <c r="B23" s="18" t="str">
        <f>IF($A23="","",INDEX(tblIssues[Staff Name (pick)],MATCH(ROW()-5,tblIssues[Alert Row],0)))</f>
        <v>Lastname055, Firstname055</v>
      </c>
      <c r="C23" s="18" t="str">
        <f>IF($A23="","",INDEX(tblIssues[Role],MATCH(ROW()-5,tblIssues[Alert Row],0)))</f>
        <v>RN</v>
      </c>
      <c r="D23" s="25">
        <f>IF($A23="","",INDEX(tblIssues[Area],MATCH(ROW()-5,tblIssues[Alert Row],0)))</f>
        <v>0</v>
      </c>
      <c r="E23" s="25" t="str">
        <f>IF($A23="","",INDEX(tblIssues[Item Name],MATCH(ROW()-5,tblIssues[Alert Row],0)))</f>
        <v>Sample Org CONNECT Welcome Package RN</v>
      </c>
      <c r="F23" s="98" t="str">
        <f>IF($A23="","",INDEX(tblIssues[Month],MATCH(ROW()-5,tblIssues[Alert Row],0)))</f>
        <v>2026-05</v>
      </c>
      <c r="G23" s="23">
        <f>IF($A23="","",INDEX(tblIssues[Units This Month (Staff/Item)],MATCH(ROW()-5,tblIssues[Alert Row],0)))</f>
        <v>50</v>
      </c>
      <c r="H23" s="23">
        <f>IF($A23="","",INDEX(tblIssues[Monthly Quota],MATCH(ROW()-5,tblIssues[Alert Row],0)))</f>
        <v>10</v>
      </c>
      <c r="I23" s="27">
        <f t="shared" si="0"/>
        <v>40</v>
      </c>
      <c r="J23" s="31" t="str">
        <f t="shared" si="1"/>
        <v>⚠ OVER QUOTA</v>
      </c>
    </row>
    <row r="24" spans="1:10" x14ac:dyDescent="0.35">
      <c r="A24" s="18" t="str">
        <f>IFERROR(INDEX(tblIssues[Staff ID],MATCH(ROW()-5,tblIssues[Alert Row],0)),"")</f>
        <v>TL/RPN-002-A9</v>
      </c>
      <c r="B24" s="18" t="str">
        <f>IF($A24="","",INDEX(tblIssues[Staff Name (pick)],MATCH(ROW()-5,tblIssues[Alert Row],0)))</f>
        <v>Lastname149, Firstname149</v>
      </c>
      <c r="C24" s="18" t="str">
        <f>IF($A24="","",INDEX(tblIssues[Role],MATCH(ROW()-5,tblIssues[Alert Row],0)))</f>
        <v>TL/RPN</v>
      </c>
      <c r="D24" s="25" t="str">
        <f>IF($A24="","",INDEX(tblIssues[Area],MATCH(ROW()-5,tblIssues[Alert Row],0)))</f>
        <v>A9</v>
      </c>
      <c r="E24" s="25" t="str">
        <f>IF($A24="","",INDEX(tblIssues[Item Name],MATCH(ROW()-5,tblIssues[Alert Row],0)))</f>
        <v>Sample Org CONNECT Welcome Package PSW</v>
      </c>
      <c r="F24" s="98" t="str">
        <f>IF($A24="","",INDEX(tblIssues[Month],MATCH(ROW()-5,tblIssues[Alert Row],0)))</f>
        <v>2026-05</v>
      </c>
      <c r="G24" s="23">
        <f>IF($A24="","",INDEX(tblIssues[Units This Month (Staff/Item)],MATCH(ROW()-5,tblIssues[Alert Row],0)))</f>
        <v>4</v>
      </c>
      <c r="H24" s="23">
        <f>IF($A24="","",INDEX(tblIssues[Monthly Quota],MATCH(ROW()-5,tblIssues[Alert Row],0)))</f>
        <v>2</v>
      </c>
      <c r="I24" s="27">
        <f t="shared" si="0"/>
        <v>2</v>
      </c>
      <c r="J24" s="31" t="str">
        <f t="shared" si="1"/>
        <v>⚠ OVER QUOTA</v>
      </c>
    </row>
    <row r="25" spans="1:10" x14ac:dyDescent="0.35">
      <c r="A25" s="18" t="str">
        <f>IFERROR(INDEX(tblIssues[Staff ID],MATCH(ROW()-5,tblIssues[Alert Row],0)),"")</f>
        <v>PSW-135-A5</v>
      </c>
      <c r="B25" s="18" t="str">
        <f>IF($A25="","",INDEX(tblIssues[Staff Name (pick)],MATCH(ROW()-5,tblIssues[Alert Row],0)))</f>
        <v>Lastname198, Firstname198</v>
      </c>
      <c r="C25" s="18" t="str">
        <f>IF($A25="","",INDEX(tblIssues[Role],MATCH(ROW()-5,tblIssues[Alert Row],0)))</f>
        <v>PSW</v>
      </c>
      <c r="D25" s="25" t="str">
        <f>IF($A25="","",INDEX(tblIssues[Area],MATCH(ROW()-5,tblIssues[Alert Row],0)))</f>
        <v>A5</v>
      </c>
      <c r="E25" s="25" t="str">
        <f>IF($A25="","",INDEX(tblIssues[Item Name],MATCH(ROW()-5,tblIssues[Alert Row],0)))</f>
        <v>Gloves - Large</v>
      </c>
      <c r="F25" s="98" t="str">
        <f>IF($A25="","",INDEX(tblIssues[Month],MATCH(ROW()-5,tblIssues[Alert Row],0)))</f>
        <v>2026-05</v>
      </c>
      <c r="G25" s="23">
        <f>IF($A25="","",INDEX(tblIssues[Units This Month (Staff/Item)],MATCH(ROW()-5,tblIssues[Alert Row],0)))</f>
        <v>1500</v>
      </c>
      <c r="H25" s="23">
        <f>IF($A25="","",INDEX(tblIssues[Monthly Quota],MATCH(ROW()-5,tblIssues[Alert Row],0)))</f>
        <v>500</v>
      </c>
      <c r="I25" s="27">
        <f t="shared" si="0"/>
        <v>1000</v>
      </c>
      <c r="J25" s="31" t="str">
        <f t="shared" si="1"/>
        <v>⚠ OVER QUOTA</v>
      </c>
    </row>
    <row r="26" spans="1:10" x14ac:dyDescent="0.35">
      <c r="A26" s="18" t="str">
        <f>IFERROR(INDEX(tblIssues[Staff ID],MATCH(ROW()-5,tblIssues[Alert Row],0)),"")</f>
        <v>RN-045-A1</v>
      </c>
      <c r="B26" s="18" t="str">
        <f>IF($A26="","",INDEX(tblIssues[Staff Name (pick)],MATCH(ROW()-5,tblIssues[Alert Row],0)))</f>
        <v>Lastname052, Firstname052</v>
      </c>
      <c r="C26" s="18" t="str">
        <f>IF($A26="","",INDEX(tblIssues[Role],MATCH(ROW()-5,tblIssues[Alert Row],0)))</f>
        <v>RN</v>
      </c>
      <c r="D26" s="25" t="str">
        <f>IF($A26="","",INDEX(tblIssues[Area],MATCH(ROW()-5,tblIssues[Alert Row],0)))</f>
        <v>A1</v>
      </c>
      <c r="E26" s="25" t="str">
        <f>IF($A26="","",INDEX(tblIssues[Item Name],MATCH(ROW()-5,tblIssues[Alert Row],0)))</f>
        <v>Gloves - Medium</v>
      </c>
      <c r="F26" s="98" t="str">
        <f>IF($A26="","",INDEX(tblIssues[Month],MATCH(ROW()-5,tblIssues[Alert Row],0)))</f>
        <v>2026-06</v>
      </c>
      <c r="G26" s="23">
        <f>IF($A26="","",INDEX(tblIssues[Units This Month (Staff/Item)],MATCH(ROW()-5,tblIssues[Alert Row],0)))</f>
        <v>1000</v>
      </c>
      <c r="H26" s="23">
        <f>IF($A26="","",INDEX(tblIssues[Monthly Quota],MATCH(ROW()-5,tblIssues[Alert Row],0)))</f>
        <v>500</v>
      </c>
      <c r="I26" s="27">
        <f t="shared" si="0"/>
        <v>500</v>
      </c>
      <c r="J26" s="31" t="str">
        <f t="shared" si="1"/>
        <v>⚠ OVER QUOTA</v>
      </c>
    </row>
    <row r="27" spans="1:10" x14ac:dyDescent="0.35">
      <c r="A27" s="18" t="str">
        <f>IFERROR(INDEX(tblIssues[Staff ID],MATCH(ROW()-5,tblIssues[Alert Row],0)),"")</f>
        <v>RN-045-A1</v>
      </c>
      <c r="B27" s="18" t="str">
        <f>IF($A27="","",INDEX(tblIssues[Staff Name (pick)],MATCH(ROW()-5,tblIssues[Alert Row],0)))</f>
        <v>Lastname052, Firstname052</v>
      </c>
      <c r="C27" s="18" t="str">
        <f>IF($A27="","",INDEX(tblIssues[Role],MATCH(ROW()-5,tblIssues[Alert Row],0)))</f>
        <v>RN</v>
      </c>
      <c r="D27" s="25" t="str">
        <f>IF($A27="","",INDEX(tblIssues[Area],MATCH(ROW()-5,tblIssues[Alert Row],0)))</f>
        <v>A1</v>
      </c>
      <c r="E27" s="25" t="str">
        <f>IF($A27="","",INDEX(tblIssues[Item Name],MATCH(ROW()-5,tblIssues[Alert Row],0)))</f>
        <v>Hand Sanitizer OS</v>
      </c>
      <c r="F27" s="98" t="str">
        <f>IF($A27="","",INDEX(tblIssues[Month],MATCH(ROW()-5,tblIssues[Alert Row],0)))</f>
        <v>2026-06</v>
      </c>
      <c r="G27" s="23">
        <f>IF($A27="","",INDEX(tblIssues[Units This Month (Staff/Item)],MATCH(ROW()-5,tblIssues[Alert Row],0)))</f>
        <v>4</v>
      </c>
      <c r="H27" s="23">
        <f>IF($A27="","",INDEX(tblIssues[Monthly Quota],MATCH(ROW()-5,tblIssues[Alert Row],0)))</f>
        <v>1</v>
      </c>
      <c r="I27" s="27">
        <f t="shared" si="0"/>
        <v>3</v>
      </c>
      <c r="J27" s="31" t="str">
        <f t="shared" si="1"/>
        <v>⚠ OVER QUOTA</v>
      </c>
    </row>
    <row r="28" spans="1:10" x14ac:dyDescent="0.35">
      <c r="A28" s="18" t="str">
        <f>IFERROR(INDEX(tblIssues[Staff ID],MATCH(ROW()-5,tblIssues[Alert Row],0)),"")</f>
        <v>RN-049-A1</v>
      </c>
      <c r="B28" s="18" t="str">
        <f>IF($A28="","",INDEX(tblIssues[Staff Name (pick)],MATCH(ROW()-5,tblIssues[Alert Row],0)))</f>
        <v>Lastname058, Firstname058</v>
      </c>
      <c r="C28" s="18" t="str">
        <f>IF($A28="","",INDEX(tblIssues[Role],MATCH(ROW()-5,tblIssues[Alert Row],0)))</f>
        <v>RN</v>
      </c>
      <c r="D28" s="25" t="str">
        <f>IF($A28="","",INDEX(tblIssues[Area],MATCH(ROW()-5,tblIssues[Alert Row],0)))</f>
        <v>A1</v>
      </c>
      <c r="E28" s="25" t="str">
        <f>IF($A28="","",INDEX(tblIssues[Item Name],MATCH(ROW()-5,tblIssues[Alert Row],0)))</f>
        <v>Sample Org CONNECT Welcome Package RN</v>
      </c>
      <c r="F28" s="98" t="str">
        <f>IF($A28="","",INDEX(tblIssues[Month],MATCH(ROW()-5,tblIssues[Alert Row],0)))</f>
        <v>2026-06</v>
      </c>
      <c r="G28" s="23">
        <f>IF($A28="","",INDEX(tblIssues[Units This Month (Staff/Item)],MATCH(ROW()-5,tblIssues[Alert Row],0)))</f>
        <v>30</v>
      </c>
      <c r="H28" s="23">
        <f>IF($A28="","",INDEX(tblIssues[Monthly Quota],MATCH(ROW()-5,tblIssues[Alert Row],0)))</f>
        <v>10</v>
      </c>
      <c r="I28" s="27">
        <f t="shared" si="0"/>
        <v>20</v>
      </c>
      <c r="J28" s="31" t="str">
        <f t="shared" si="1"/>
        <v>⚠ OVER QUOTA</v>
      </c>
    </row>
    <row r="29" spans="1:10" x14ac:dyDescent="0.35">
      <c r="A29" s="18" t="str">
        <f>IFERROR(INDEX(tblIssues[Staff ID],MATCH(ROW()-5,tblIssues[Alert Row],0)),"")</f>
        <v>PSW-172-TBD</v>
      </c>
      <c r="B29" s="18" t="str">
        <f>IF($A29="","",INDEX(tblIssues[Staff Name (pick)],MATCH(ROW()-5,tblIssues[Alert Row],0)))</f>
        <v>Lastname235, Firstname235</v>
      </c>
      <c r="C29" s="18" t="str">
        <f>IF($A29="","",INDEX(tblIssues[Role],MATCH(ROW()-5,tblIssues[Alert Row],0)))</f>
        <v>PSW</v>
      </c>
      <c r="D29" s="25">
        <f>IF($A29="","",INDEX(tblIssues[Area],MATCH(ROW()-5,tblIssues[Alert Row],0)))</f>
        <v>0</v>
      </c>
      <c r="E29" s="25" t="str">
        <f>IF($A29="","",INDEX(tblIssues[Item Name],MATCH(ROW()-5,tblIssues[Alert Row],0)))</f>
        <v>Surgical Masks</v>
      </c>
      <c r="F29" s="98" t="str">
        <f>IF($A29="","",INDEX(tblIssues[Month],MATCH(ROW()-5,tblIssues[Alert Row],0)))</f>
        <v>2026-06</v>
      </c>
      <c r="G29" s="23">
        <f>IF($A29="","",INDEX(tblIssues[Units This Month (Staff/Item)],MATCH(ROW()-5,tblIssues[Alert Row],0)))</f>
        <v>100</v>
      </c>
      <c r="H29" s="23">
        <f>IF($A29="","",INDEX(tblIssues[Monthly Quota],MATCH(ROW()-5,tblIssues[Alert Row],0)))</f>
        <v>50</v>
      </c>
      <c r="I29" s="27">
        <f t="shared" si="0"/>
        <v>50</v>
      </c>
      <c r="J29" s="31" t="str">
        <f t="shared" si="1"/>
        <v>⚠ OVER QUOTA</v>
      </c>
    </row>
    <row r="30" spans="1:10" x14ac:dyDescent="0.35">
      <c r="A30" s="18" t="str">
        <f>IFERROR(INDEX(tblIssues[Staff ID],MATCH(ROW()-5,tblIssues[Alert Row],0)),"")</f>
        <v>PSW-171-A4</v>
      </c>
      <c r="B30" s="18" t="str">
        <f>IF($A30="","",INDEX(tblIssues[Staff Name (pick)],MATCH(ROW()-5,tblIssues[Alert Row],0)))</f>
        <v>Lastname234, Firstname234</v>
      </c>
      <c r="C30" s="18" t="str">
        <f>IF($A30="","",INDEX(tblIssues[Role],MATCH(ROW()-5,tblIssues[Alert Row],0)))</f>
        <v>PSW</v>
      </c>
      <c r="D30" s="25" t="str">
        <f>IF($A30="","",INDEX(tblIssues[Area],MATCH(ROW()-5,tblIssues[Alert Row],0)))</f>
        <v>A4</v>
      </c>
      <c r="E30" s="25" t="str">
        <f>IF($A30="","",INDEX(tblIssues[Item Name],MATCH(ROW()-5,tblIssues[Alert Row],0)))</f>
        <v>Hand Sanitizer OS</v>
      </c>
      <c r="F30" s="98" t="str">
        <f>IF($A30="","",INDEX(tblIssues[Month],MATCH(ROW()-5,tblIssues[Alert Row],0)))</f>
        <v>2026-06</v>
      </c>
      <c r="G30" s="23">
        <f>IF($A30="","",INDEX(tblIssues[Units This Month (Staff/Item)],MATCH(ROW()-5,tblIssues[Alert Row],0)))</f>
        <v>2</v>
      </c>
      <c r="H30" s="23">
        <f>IF($A30="","",INDEX(tblIssues[Monthly Quota],MATCH(ROW()-5,tblIssues[Alert Row],0)))</f>
        <v>1</v>
      </c>
      <c r="I30" s="27">
        <f t="shared" si="0"/>
        <v>1</v>
      </c>
      <c r="J30" s="31" t="str">
        <f t="shared" si="1"/>
        <v>⚠ OVER QUOTA</v>
      </c>
    </row>
    <row r="31" spans="1:10" x14ac:dyDescent="0.35">
      <c r="A31" s="18" t="str">
        <f>IFERROR(INDEX(tblIssues[Staff ID],MATCH(ROW()-5,tblIssues[Alert Row],0)),"")</f>
        <v>PSW-139-A4</v>
      </c>
      <c r="B31" s="18" t="str">
        <f>IF($A31="","",INDEX(tblIssues[Staff Name (pick)],MATCH(ROW()-5,tblIssues[Alert Row],0)))</f>
        <v>Lastname202, Firstname202</v>
      </c>
      <c r="C31" s="18" t="str">
        <f>IF($A31="","",INDEX(tblIssues[Role],MATCH(ROW()-5,tblIssues[Alert Row],0)))</f>
        <v>PSW</v>
      </c>
      <c r="D31" s="25" t="str">
        <f>IF($A31="","",INDEX(tblIssues[Area],MATCH(ROW()-5,tblIssues[Alert Row],0)))</f>
        <v>A4</v>
      </c>
      <c r="E31" s="25" t="str">
        <f>IF($A31="","",INDEX(tblIssues[Item Name],MATCH(ROW()-5,tblIssues[Alert Row],0)))</f>
        <v>Hand Sanitizer OS</v>
      </c>
      <c r="F31" s="98" t="str">
        <f>IF($A31="","",INDEX(tblIssues[Month],MATCH(ROW()-5,tblIssues[Alert Row],0)))</f>
        <v>2026-06</v>
      </c>
      <c r="G31" s="23">
        <f>IF($A31="","",INDEX(tblIssues[Units This Month (Staff/Item)],MATCH(ROW()-5,tblIssues[Alert Row],0)))</f>
        <v>2</v>
      </c>
      <c r="H31" s="23">
        <f>IF($A31="","",INDEX(tblIssues[Monthly Quota],MATCH(ROW()-5,tblIssues[Alert Row],0)))</f>
        <v>1</v>
      </c>
      <c r="I31" s="27">
        <f t="shared" si="0"/>
        <v>1</v>
      </c>
      <c r="J31" s="31" t="str">
        <f t="shared" si="1"/>
        <v>⚠ OVER QUOTA</v>
      </c>
    </row>
    <row r="32" spans="1:10" x14ac:dyDescent="0.35">
      <c r="A32" s="18" t="str">
        <f>IFERROR(INDEX(tblIssues[Staff ID],MATCH(ROW()-5,tblIssues[Alert Row],0)),"")</f>
        <v>PSW-157-A5</v>
      </c>
      <c r="B32" s="18" t="str">
        <f>IF($A32="","",INDEX(tblIssues[Staff Name (pick)],MATCH(ROW()-5,tblIssues[Alert Row],0)))</f>
        <v>Lastname220, Firstname220</v>
      </c>
      <c r="C32" s="18" t="str">
        <f>IF($A32="","",INDEX(tblIssues[Role],MATCH(ROW()-5,tblIssues[Alert Row],0)))</f>
        <v>PSW</v>
      </c>
      <c r="D32" s="25" t="str">
        <f>IF($A32="","",INDEX(tblIssues[Area],MATCH(ROW()-5,tblIssues[Alert Row],0)))</f>
        <v>A5</v>
      </c>
      <c r="E32" s="25" t="str">
        <f>IF($A32="","",INDEX(tblIssues[Item Name],MATCH(ROW()-5,tblIssues[Alert Row],0)))</f>
        <v>Gloves - Medium</v>
      </c>
      <c r="F32" s="98" t="str">
        <f>IF($A32="","",INDEX(tblIssues[Month],MATCH(ROW()-5,tblIssues[Alert Row],0)))</f>
        <v>2026-06</v>
      </c>
      <c r="G32" s="23">
        <f>IF($A32="","",INDEX(tblIssues[Units This Month (Staff/Item)],MATCH(ROW()-5,tblIssues[Alert Row],0)))</f>
        <v>1000</v>
      </c>
      <c r="H32" s="23">
        <f>IF($A32="","",INDEX(tblIssues[Monthly Quota],MATCH(ROW()-5,tblIssues[Alert Row],0)))</f>
        <v>500</v>
      </c>
      <c r="I32" s="27">
        <f t="shared" si="0"/>
        <v>500</v>
      </c>
      <c r="J32" s="31" t="str">
        <f t="shared" si="1"/>
        <v>⚠ OVER QUOTA</v>
      </c>
    </row>
    <row r="33" spans="1:10" x14ac:dyDescent="0.35">
      <c r="A33" s="18" t="str">
        <f>IFERROR(INDEX(tblIssues[Staff ID],MATCH(ROW()-5,tblIssues[Alert Row],0)),"")</f>
        <v>PSW-157-A5</v>
      </c>
      <c r="B33" s="18" t="str">
        <f>IF($A33="","",INDEX(tblIssues[Staff Name (pick)],MATCH(ROW()-5,tblIssues[Alert Row],0)))</f>
        <v>Lastname220, Firstname220</v>
      </c>
      <c r="C33" s="18" t="str">
        <f>IF($A33="","",INDEX(tblIssues[Role],MATCH(ROW()-5,tblIssues[Alert Row],0)))</f>
        <v>PSW</v>
      </c>
      <c r="D33" s="25" t="str">
        <f>IF($A33="","",INDEX(tblIssues[Area],MATCH(ROW()-5,tblIssues[Alert Row],0)))</f>
        <v>A5</v>
      </c>
      <c r="E33" s="25" t="str">
        <f>IF($A33="","",INDEX(tblIssues[Item Name],MATCH(ROW()-5,tblIssues[Alert Row],0)))</f>
        <v>Hand Sanitizer OS</v>
      </c>
      <c r="F33" s="98" t="str">
        <f>IF($A33="","",INDEX(tblIssues[Month],MATCH(ROW()-5,tblIssues[Alert Row],0)))</f>
        <v>2026-06</v>
      </c>
      <c r="G33" s="23">
        <f>IF($A33="","",INDEX(tblIssues[Units This Month (Staff/Item)],MATCH(ROW()-5,tblIssues[Alert Row],0)))</f>
        <v>2</v>
      </c>
      <c r="H33" s="23">
        <f>IF($A33="","",INDEX(tblIssues[Monthly Quota],MATCH(ROW()-5,tblIssues[Alert Row],0)))</f>
        <v>1</v>
      </c>
      <c r="I33" s="27">
        <f t="shared" si="0"/>
        <v>1</v>
      </c>
      <c r="J33" s="31" t="str">
        <f t="shared" si="1"/>
        <v>⚠ OVER QUOTA</v>
      </c>
    </row>
    <row r="34" spans="1:10" x14ac:dyDescent="0.35">
      <c r="A34" s="18" t="str">
        <f>IFERROR(INDEX(tblIssues[Staff ID],MATCH(ROW()-5,tblIssues[Alert Row],0)),"")</f>
        <v>PSW-157-A5</v>
      </c>
      <c r="B34" s="18" t="str">
        <f>IF($A34="","",INDEX(tblIssues[Staff Name (pick)],MATCH(ROW()-5,tblIssues[Alert Row],0)))</f>
        <v>Lastname220, Firstname220</v>
      </c>
      <c r="C34" s="18" t="str">
        <f>IF($A34="","",INDEX(tblIssues[Role],MATCH(ROW()-5,tblIssues[Alert Row],0)))</f>
        <v>PSW</v>
      </c>
      <c r="D34" s="25" t="str">
        <f>IF($A34="","",INDEX(tblIssues[Area],MATCH(ROW()-5,tblIssues[Alert Row],0)))</f>
        <v>A5</v>
      </c>
      <c r="E34" s="25" t="str">
        <f>IF($A34="","",INDEX(tblIssues[Item Name],MATCH(ROW()-5,tblIssues[Alert Row],0)))</f>
        <v>Surgical Masks</v>
      </c>
      <c r="F34" s="98" t="str">
        <f>IF($A34="","",INDEX(tblIssues[Month],MATCH(ROW()-5,tblIssues[Alert Row],0)))</f>
        <v>2026-06</v>
      </c>
      <c r="G34" s="23">
        <f>IF($A34="","",INDEX(tblIssues[Units This Month (Staff/Item)],MATCH(ROW()-5,tblIssues[Alert Row],0)))</f>
        <v>100</v>
      </c>
      <c r="H34" s="23">
        <f>IF($A34="","",INDEX(tblIssues[Monthly Quota],MATCH(ROW()-5,tblIssues[Alert Row],0)))</f>
        <v>50</v>
      </c>
      <c r="I34" s="27">
        <f t="shared" si="0"/>
        <v>50</v>
      </c>
      <c r="J34" s="31" t="str">
        <f t="shared" si="1"/>
        <v>⚠ OVER QUOTA</v>
      </c>
    </row>
    <row r="35" spans="1:10" x14ac:dyDescent="0.35">
      <c r="A35" s="18" t="str">
        <f>IFERROR(INDEX(tblIssues[Staff ID],MATCH(ROW()-5,tblIssues[Alert Row],0)),"")</f>
        <v>PSW-055-A4</v>
      </c>
      <c r="B35" s="18" t="str">
        <f>IF($A35="","",INDEX(tblIssues[Staff Name (pick)],MATCH(ROW()-5,tblIssues[Alert Row],0)))</f>
        <v>Lastname115, Firstname115</v>
      </c>
      <c r="C35" s="18" t="str">
        <f>IF($A35="","",INDEX(tblIssues[Role],MATCH(ROW()-5,tblIssues[Alert Row],0)))</f>
        <v>PSW</v>
      </c>
      <c r="D35" s="25" t="str">
        <f>IF($A35="","",INDEX(tblIssues[Area],MATCH(ROW()-5,tblIssues[Alert Row],0)))</f>
        <v>A4</v>
      </c>
      <c r="E35" s="25" t="str">
        <f>IF($A35="","",INDEX(tblIssues[Item Name],MATCH(ROW()-5,tblIssues[Alert Row],0)))</f>
        <v>Level 1/2 - Yellow Gown</v>
      </c>
      <c r="F35" s="98" t="str">
        <f>IF($A35="","",INDEX(tblIssues[Month],MATCH(ROW()-5,tblIssues[Alert Row],0)))</f>
        <v>2026-06</v>
      </c>
      <c r="G35" s="23">
        <f>IF($A35="","",INDEX(tblIssues[Units This Month (Staff/Item)],MATCH(ROW()-5,tblIssues[Alert Row],0)))</f>
        <v>10</v>
      </c>
      <c r="H35" s="23">
        <f>IF($A35="","",INDEX(tblIssues[Monthly Quota],MATCH(ROW()-5,tblIssues[Alert Row],0)))</f>
        <v>5</v>
      </c>
      <c r="I35" s="27">
        <f t="shared" si="0"/>
        <v>5</v>
      </c>
      <c r="J35" s="31" t="str">
        <f t="shared" si="1"/>
        <v>⚠ OVER QUOTA</v>
      </c>
    </row>
    <row r="36" spans="1:10" x14ac:dyDescent="0.35">
      <c r="A36" s="18" t="str">
        <f>IFERROR(INDEX(tblIssues[Staff ID],MATCH(ROW()-5,tblIssues[Alert Row],0)),"")</f>
        <v>RN-028-A1</v>
      </c>
      <c r="B36" s="18" t="str">
        <f>IF($A36="","",INDEX(tblIssues[Staff Name (pick)],MATCH(ROW()-5,tblIssues[Alert Row],0)))</f>
        <v>Lastname032, Firstname032</v>
      </c>
      <c r="C36" s="18" t="str">
        <f>IF($A36="","",INDEX(tblIssues[Role],MATCH(ROW()-5,tblIssues[Alert Row],0)))</f>
        <v>RN</v>
      </c>
      <c r="D36" s="25" t="str">
        <f>IF($A36="","",INDEX(tblIssues[Area],MATCH(ROW()-5,tblIssues[Alert Row],0)))</f>
        <v>A1</v>
      </c>
      <c r="E36" s="25" t="str">
        <f>IF($A36="","",INDEX(tblIssues[Item Name],MATCH(ROW()-5,tblIssues[Alert Row],0)))</f>
        <v>Sample Org CONNECT Welcome Package RN</v>
      </c>
      <c r="F36" s="98" t="str">
        <f>IF($A36="","",INDEX(tblIssues[Month],MATCH(ROW()-5,tblIssues[Alert Row],0)))</f>
        <v>2026-06</v>
      </c>
      <c r="G36" s="23">
        <f>IF($A36="","",INDEX(tblIssues[Units This Month (Staff/Item)],MATCH(ROW()-5,tblIssues[Alert Row],0)))</f>
        <v>20</v>
      </c>
      <c r="H36" s="23">
        <f>IF($A36="","",INDEX(tblIssues[Monthly Quota],MATCH(ROW()-5,tblIssues[Alert Row],0)))</f>
        <v>10</v>
      </c>
      <c r="I36" s="27">
        <f t="shared" si="0"/>
        <v>10</v>
      </c>
      <c r="J36" s="31" t="str">
        <f t="shared" si="1"/>
        <v>⚠ OVER QUOTA</v>
      </c>
    </row>
    <row r="37" spans="1:10" x14ac:dyDescent="0.35">
      <c r="A37" s="18" t="str">
        <f>IFERROR(INDEX(tblIssues[Staff ID],MATCH(ROW()-5,tblIssues[Alert Row],0)),"")</f>
        <v>RN-043-A1</v>
      </c>
      <c r="B37" s="18" t="str">
        <f>IF($A37="","",INDEX(tblIssues[Staff Name (pick)],MATCH(ROW()-5,tblIssues[Alert Row],0)))</f>
        <v>Lastname050, Firstname050</v>
      </c>
      <c r="C37" s="18" t="str">
        <f>IF($A37="","",INDEX(tblIssues[Role],MATCH(ROW()-5,tblIssues[Alert Row],0)))</f>
        <v>RN</v>
      </c>
      <c r="D37" s="25" t="str">
        <f>IF($A37="","",INDEX(tblIssues[Area],MATCH(ROW()-5,tblIssues[Alert Row],0)))</f>
        <v>A1</v>
      </c>
      <c r="E37" s="25" t="str">
        <f>IF($A37="","",INDEX(tblIssues[Item Name],MATCH(ROW()-5,tblIssues[Alert Row],0)))</f>
        <v>Gloves - Medium</v>
      </c>
      <c r="F37" s="98" t="str">
        <f>IF($A37="","",INDEX(tblIssues[Month],MATCH(ROW()-5,tblIssues[Alert Row],0)))</f>
        <v>2026-06</v>
      </c>
      <c r="G37" s="23">
        <f>IF($A37="","",INDEX(tblIssues[Units This Month (Staff/Item)],MATCH(ROW()-5,tblIssues[Alert Row],0)))</f>
        <v>1000</v>
      </c>
      <c r="H37" s="23">
        <f>IF($A37="","",INDEX(tblIssues[Monthly Quota],MATCH(ROW()-5,tblIssues[Alert Row],0)))</f>
        <v>500</v>
      </c>
      <c r="I37" s="27">
        <f t="shared" si="0"/>
        <v>500</v>
      </c>
      <c r="J37" s="31" t="str">
        <f t="shared" si="1"/>
        <v>⚠ OVER QUOTA</v>
      </c>
    </row>
    <row r="38" spans="1:10" x14ac:dyDescent="0.35">
      <c r="A38" s="18" t="str">
        <f>IFERROR(INDEX(tblIssues[Staff ID],MATCH(ROW()-5,tblIssues[Alert Row],0)),"")</f>
        <v>RN-043-A1</v>
      </c>
      <c r="B38" s="18" t="str">
        <f>IF($A38="","",INDEX(tblIssues[Staff Name (pick)],MATCH(ROW()-5,tblIssues[Alert Row],0)))</f>
        <v>Lastname050, Firstname050</v>
      </c>
      <c r="C38" s="18" t="str">
        <f>IF($A38="","",INDEX(tblIssues[Role],MATCH(ROW()-5,tblIssues[Alert Row],0)))</f>
        <v>RN</v>
      </c>
      <c r="D38" s="25" t="str">
        <f>IF($A38="","",INDEX(tblIssues[Area],MATCH(ROW()-5,tblIssues[Alert Row],0)))</f>
        <v>A1</v>
      </c>
      <c r="E38" s="25" t="str">
        <f>IF($A38="","",INDEX(tblIssues[Item Name],MATCH(ROW()-5,tblIssues[Alert Row],0)))</f>
        <v>Hand Sanitizer OS</v>
      </c>
      <c r="F38" s="98" t="str">
        <f>IF($A38="","",INDEX(tblIssues[Month],MATCH(ROW()-5,tblIssues[Alert Row],0)))</f>
        <v>2026-06</v>
      </c>
      <c r="G38" s="23">
        <f>IF($A38="","",INDEX(tblIssues[Units This Month (Staff/Item)],MATCH(ROW()-5,tblIssues[Alert Row],0)))</f>
        <v>2</v>
      </c>
      <c r="H38" s="23">
        <f>IF($A38="","",INDEX(tblIssues[Monthly Quota],MATCH(ROW()-5,tblIssues[Alert Row],0)))</f>
        <v>1</v>
      </c>
      <c r="I38" s="27">
        <f t="shared" si="0"/>
        <v>1</v>
      </c>
      <c r="J38" s="31" t="str">
        <f t="shared" si="1"/>
        <v>⚠ OVER QUOTA</v>
      </c>
    </row>
    <row r="39" spans="1:10" x14ac:dyDescent="0.35">
      <c r="A39" s="18" t="str">
        <f>IFERROR(INDEX(tblIssues[Staff ID],MATCH(ROW()-5,tblIssues[Alert Row],0)),"")</f>
        <v>RN-025-A1</v>
      </c>
      <c r="B39" s="18" t="str">
        <f>IF($A39="","",INDEX(tblIssues[Staff Name (pick)],MATCH(ROW()-5,tblIssues[Alert Row],0)))</f>
        <v>Lastname029, Firstname029</v>
      </c>
      <c r="C39" s="18" t="str">
        <f>IF($A39="","",INDEX(tblIssues[Role],MATCH(ROW()-5,tblIssues[Alert Row],0)))</f>
        <v>RN</v>
      </c>
      <c r="D39" s="25" t="str">
        <f>IF($A39="","",INDEX(tblIssues[Area],MATCH(ROW()-5,tblIssues[Alert Row],0)))</f>
        <v>A1</v>
      </c>
      <c r="E39" s="25" t="str">
        <f>IF($A39="","",INDEX(tblIssues[Item Name],MATCH(ROW()-5,tblIssues[Alert Row],0)))</f>
        <v>Gloves - Medium</v>
      </c>
      <c r="F39" s="98" t="str">
        <f>IF($A39="","",INDEX(tblIssues[Month],MATCH(ROW()-5,tblIssues[Alert Row],0)))</f>
        <v>2026-06</v>
      </c>
      <c r="G39" s="23">
        <f>IF($A39="","",INDEX(tblIssues[Units This Month (Staff/Item)],MATCH(ROW()-5,tblIssues[Alert Row],0)))</f>
        <v>1000</v>
      </c>
      <c r="H39" s="23">
        <f>IF($A39="","",INDEX(tblIssues[Monthly Quota],MATCH(ROW()-5,tblIssues[Alert Row],0)))</f>
        <v>500</v>
      </c>
      <c r="I39" s="27">
        <f t="shared" si="0"/>
        <v>500</v>
      </c>
      <c r="J39" s="31" t="str">
        <f t="shared" si="1"/>
        <v>⚠ OVER QUOTA</v>
      </c>
    </row>
    <row r="40" spans="1:10" x14ac:dyDescent="0.35">
      <c r="A40" s="18" t="str">
        <f>IFERROR(INDEX(tblIssues[Staff ID],MATCH(ROW()-5,tblIssues[Alert Row],0)),"")</f>
        <v>RN-018-A2</v>
      </c>
      <c r="B40" s="18" t="str">
        <f>IF($A40="","",INDEX(tblIssues[Staff Name (pick)],MATCH(ROW()-5,tblIssues[Alert Row],0)))</f>
        <v>Lastname021, Firstname021</v>
      </c>
      <c r="C40" s="18" t="str">
        <f>IF($A40="","",INDEX(tblIssues[Role],MATCH(ROW()-5,tblIssues[Alert Row],0)))</f>
        <v>RN</v>
      </c>
      <c r="D40" s="25" t="str">
        <f>IF($A40="","",INDEX(tblIssues[Area],MATCH(ROW()-5,tblIssues[Alert Row],0)))</f>
        <v>A2</v>
      </c>
      <c r="E40" s="25" t="str">
        <f>IF($A40="","",INDEX(tblIssues[Item Name],MATCH(ROW()-5,tblIssues[Alert Row],0)))</f>
        <v>Gloves - Medium</v>
      </c>
      <c r="F40" s="98" t="str">
        <f>IF($A40="","",INDEX(tblIssues[Month],MATCH(ROW()-5,tblIssues[Alert Row],0)))</f>
        <v>2026-06</v>
      </c>
      <c r="G40" s="23">
        <f>IF($A40="","",INDEX(tblIssues[Units This Month (Staff/Item)],MATCH(ROW()-5,tblIssues[Alert Row],0)))</f>
        <v>1000</v>
      </c>
      <c r="H40" s="23">
        <f>IF($A40="","",INDEX(tblIssues[Monthly Quota],MATCH(ROW()-5,tblIssues[Alert Row],0)))</f>
        <v>500</v>
      </c>
      <c r="I40" s="27">
        <f t="shared" si="0"/>
        <v>500</v>
      </c>
      <c r="J40" s="31" t="str">
        <f t="shared" si="1"/>
        <v>⚠ OVER QUOTA</v>
      </c>
    </row>
    <row r="41" spans="1:10" x14ac:dyDescent="0.35">
      <c r="A41" s="18" t="str">
        <f>IFERROR(INDEX(tblIssues[Staff ID],MATCH(ROW()-5,tblIssues[Alert Row],0)),"")</f>
        <v>RN-018-A2</v>
      </c>
      <c r="B41" s="18" t="str">
        <f>IF($A41="","",INDEX(tblIssues[Staff Name (pick)],MATCH(ROW()-5,tblIssues[Alert Row],0)))</f>
        <v>Lastname021, Firstname021</v>
      </c>
      <c r="C41" s="18" t="str">
        <f>IF($A41="","",INDEX(tblIssues[Role],MATCH(ROW()-5,tblIssues[Alert Row],0)))</f>
        <v>RN</v>
      </c>
      <c r="D41" s="25" t="str">
        <f>IF($A41="","",INDEX(tblIssues[Area],MATCH(ROW()-5,tblIssues[Alert Row],0)))</f>
        <v>A2</v>
      </c>
      <c r="E41" s="25" t="str">
        <f>IF($A41="","",INDEX(tblIssues[Item Name],MATCH(ROW()-5,tblIssues[Alert Row],0)))</f>
        <v>Sample Org CONNECT Welcome Package RN</v>
      </c>
      <c r="F41" s="98" t="str">
        <f>IF($A41="","",INDEX(tblIssues[Month],MATCH(ROW()-5,tblIssues[Alert Row],0)))</f>
        <v>2026-06</v>
      </c>
      <c r="G41" s="23">
        <f>IF($A41="","",INDEX(tblIssues[Units This Month (Staff/Item)],MATCH(ROW()-5,tblIssues[Alert Row],0)))</f>
        <v>20</v>
      </c>
      <c r="H41" s="23">
        <f>IF($A41="","",INDEX(tblIssues[Monthly Quota],MATCH(ROW()-5,tblIssues[Alert Row],0)))</f>
        <v>10</v>
      </c>
      <c r="I41" s="27">
        <f t="shared" si="0"/>
        <v>10</v>
      </c>
      <c r="J41" s="31" t="str">
        <f t="shared" si="1"/>
        <v>⚠ OVER QUOTA</v>
      </c>
    </row>
    <row r="42" spans="1:10" x14ac:dyDescent="0.35">
      <c r="A42" s="18" t="str">
        <f>IFERROR(INDEX(tblIssues[Staff ID],MATCH(ROW()-5,tblIssues[Alert Row],0)),"")</f>
        <v>RN-011-A2</v>
      </c>
      <c r="B42" s="18" t="str">
        <f>IF($A42="","",INDEX(tblIssues[Staff Name (pick)],MATCH(ROW()-5,tblIssues[Alert Row],0)))</f>
        <v>Lastname011, Firstname011</v>
      </c>
      <c r="C42" s="18" t="str">
        <f>IF($A42="","",INDEX(tblIssues[Role],MATCH(ROW()-5,tblIssues[Alert Row],0)))</f>
        <v>RN</v>
      </c>
      <c r="D42" s="25" t="str">
        <f>IF($A42="","",INDEX(tblIssues[Area],MATCH(ROW()-5,tblIssues[Alert Row],0)))</f>
        <v>A2</v>
      </c>
      <c r="E42" s="25" t="str">
        <f>IF($A42="","",INDEX(tblIssues[Item Name],MATCH(ROW()-5,tblIssues[Alert Row],0)))</f>
        <v>Gloves - Medium</v>
      </c>
      <c r="F42" s="98" t="str">
        <f>IF($A42="","",INDEX(tblIssues[Month],MATCH(ROW()-5,tblIssues[Alert Row],0)))</f>
        <v>2026-06</v>
      </c>
      <c r="G42" s="23">
        <f>IF($A42="","",INDEX(tblIssues[Units This Month (Staff/Item)],MATCH(ROW()-5,tblIssues[Alert Row],0)))</f>
        <v>1000</v>
      </c>
      <c r="H42" s="23">
        <f>IF($A42="","",INDEX(tblIssues[Monthly Quota],MATCH(ROW()-5,tblIssues[Alert Row],0)))</f>
        <v>500</v>
      </c>
      <c r="I42" s="27">
        <f t="shared" si="0"/>
        <v>500</v>
      </c>
      <c r="J42" s="31" t="str">
        <f t="shared" si="1"/>
        <v>⚠ OVER QUOTA</v>
      </c>
    </row>
    <row r="43" spans="1:10" x14ac:dyDescent="0.35">
      <c r="A43" s="18" t="str">
        <f>IFERROR(INDEX(tblIssues[Staff ID],MATCH(ROW()-5,tblIssues[Alert Row],0)),"")</f>
        <v>RN-011-A2</v>
      </c>
      <c r="B43" s="18" t="str">
        <f>IF($A43="","",INDEX(tblIssues[Staff Name (pick)],MATCH(ROW()-5,tblIssues[Alert Row],0)))</f>
        <v>Lastname011, Firstname011</v>
      </c>
      <c r="C43" s="18" t="str">
        <f>IF($A43="","",INDEX(tblIssues[Role],MATCH(ROW()-5,tblIssues[Alert Row],0)))</f>
        <v>RN</v>
      </c>
      <c r="D43" s="25" t="str">
        <f>IF($A43="","",INDEX(tblIssues[Area],MATCH(ROW()-5,tblIssues[Alert Row],0)))</f>
        <v>A2</v>
      </c>
      <c r="E43" s="25" t="str">
        <f>IF($A43="","",INDEX(tblIssues[Item Name],MATCH(ROW()-5,tblIssues[Alert Row],0)))</f>
        <v>Sample Org CONNECT Welcome Package RN</v>
      </c>
      <c r="F43" s="98" t="str">
        <f>IF($A43="","",INDEX(tblIssues[Month],MATCH(ROW()-5,tblIssues[Alert Row],0)))</f>
        <v>2026-06</v>
      </c>
      <c r="G43" s="23">
        <f>IF($A43="","",INDEX(tblIssues[Units This Month (Staff/Item)],MATCH(ROW()-5,tblIssues[Alert Row],0)))</f>
        <v>20</v>
      </c>
      <c r="H43" s="23">
        <f>IF($A43="","",INDEX(tblIssues[Monthly Quota],MATCH(ROW()-5,tblIssues[Alert Row],0)))</f>
        <v>10</v>
      </c>
      <c r="I43" s="27">
        <f t="shared" si="0"/>
        <v>10</v>
      </c>
      <c r="J43" s="31" t="str">
        <f t="shared" si="1"/>
        <v>⚠ OVER QUOTA</v>
      </c>
    </row>
    <row r="44" spans="1:10" x14ac:dyDescent="0.35">
      <c r="A44" s="18" t="str">
        <f>IFERROR(INDEX(tblIssues[Staff ID],MATCH(ROW()-5,tblIssues[Alert Row],0)),"")</f>
        <v>RPN-001-A1</v>
      </c>
      <c r="B44" s="18" t="str">
        <f>IF($A44="","",INDEX(tblIssues[Staff Name (pick)],MATCH(ROW()-5,tblIssues[Alert Row],0)))</f>
        <v>Lastname012, Firstname012</v>
      </c>
      <c r="C44" s="18" t="str">
        <f>IF($A44="","",INDEX(tblIssues[Role],MATCH(ROW()-5,tblIssues[Alert Row],0)))</f>
        <v>RPN</v>
      </c>
      <c r="D44" s="25" t="str">
        <f>IF($A44="","",INDEX(tblIssues[Area],MATCH(ROW()-5,tblIssues[Alert Row],0)))</f>
        <v>A1</v>
      </c>
      <c r="E44" s="25" t="str">
        <f>IF($A44="","",INDEX(tblIssues[Item Name],MATCH(ROW()-5,tblIssues[Alert Row],0)))</f>
        <v>Sample Org CONNECT Welcome Package RN</v>
      </c>
      <c r="F44" s="98" t="str">
        <f>IF($A44="","",INDEX(tblIssues[Month],MATCH(ROW()-5,tblIssues[Alert Row],0)))</f>
        <v>2026-06</v>
      </c>
      <c r="G44" s="23">
        <f>IF($A44="","",INDEX(tblIssues[Units This Month (Staff/Item)],MATCH(ROW()-5,tblIssues[Alert Row],0)))</f>
        <v>30</v>
      </c>
      <c r="H44" s="23">
        <f>IF($A44="","",INDEX(tblIssues[Monthly Quota],MATCH(ROW()-5,tblIssues[Alert Row],0)))</f>
        <v>10</v>
      </c>
      <c r="I44" s="27">
        <f t="shared" si="0"/>
        <v>20</v>
      </c>
      <c r="J44" s="31" t="str">
        <f t="shared" si="1"/>
        <v>⚠ OVER QUOTA</v>
      </c>
    </row>
    <row r="45" spans="1:10" x14ac:dyDescent="0.35">
      <c r="A45" s="18" t="str">
        <f>IFERROR(INDEX(tblIssues[Staff ID],MATCH(ROW()-5,tblIssues[Alert Row],0)),"")</f>
        <v>PSW-023-A6</v>
      </c>
      <c r="B45" s="18" t="str">
        <f>IF($A45="","",INDEX(tblIssues[Staff Name (pick)],MATCH(ROW()-5,tblIssues[Alert Row],0)))</f>
        <v>Lastname083, Firstname083</v>
      </c>
      <c r="C45" s="18" t="str">
        <f>IF($A45="","",INDEX(tblIssues[Role],MATCH(ROW()-5,tblIssues[Alert Row],0)))</f>
        <v>PSW</v>
      </c>
      <c r="D45" s="25" t="str">
        <f>IF($A45="","",INDEX(tblIssues[Area],MATCH(ROW()-5,tblIssues[Alert Row],0)))</f>
        <v>A6</v>
      </c>
      <c r="E45" s="25" t="str">
        <f>IF($A45="","",INDEX(tblIssues[Item Name],MATCH(ROW()-5,tblIssues[Alert Row],0)))</f>
        <v>Gloves - Small</v>
      </c>
      <c r="F45" s="98" t="str">
        <f>IF($A45="","",INDEX(tblIssues[Month],MATCH(ROW()-5,tblIssues[Alert Row],0)))</f>
        <v>2026-06</v>
      </c>
      <c r="G45" s="23">
        <f>IF($A45="","",INDEX(tblIssues[Units This Month (Staff/Item)],MATCH(ROW()-5,tblIssues[Alert Row],0)))</f>
        <v>1000</v>
      </c>
      <c r="H45" s="23">
        <f>IF($A45="","",INDEX(tblIssues[Monthly Quota],MATCH(ROW()-5,tblIssues[Alert Row],0)))</f>
        <v>500</v>
      </c>
      <c r="I45" s="27">
        <f t="shared" si="0"/>
        <v>500</v>
      </c>
      <c r="J45" s="31" t="str">
        <f t="shared" si="1"/>
        <v>⚠ OVER QUOTA</v>
      </c>
    </row>
    <row r="46" spans="1:10" x14ac:dyDescent="0.35">
      <c r="A46" s="18" t="str">
        <f>IFERROR(INDEX(tblIssues[Staff ID],MATCH(ROW()-5,tblIssues[Alert Row],0)),"")</f>
        <v>PSW-023-A6</v>
      </c>
      <c r="B46" s="18" t="str">
        <f>IF($A46="","",INDEX(tblIssues[Staff Name (pick)],MATCH(ROW()-5,tblIssues[Alert Row],0)))</f>
        <v>Lastname083, Firstname083</v>
      </c>
      <c r="C46" s="18" t="str">
        <f>IF($A46="","",INDEX(tblIssues[Role],MATCH(ROW()-5,tblIssues[Alert Row],0)))</f>
        <v>PSW</v>
      </c>
      <c r="D46" s="25" t="str">
        <f>IF($A46="","",INDEX(tblIssues[Area],MATCH(ROW()-5,tblIssues[Alert Row],0)))</f>
        <v>A6</v>
      </c>
      <c r="E46" s="25" t="str">
        <f>IF($A46="","",INDEX(tblIssues[Item Name],MATCH(ROW()-5,tblIssues[Alert Row],0)))</f>
        <v>Hand Sanitizer OS</v>
      </c>
      <c r="F46" s="98" t="str">
        <f>IF($A46="","",INDEX(tblIssues[Month],MATCH(ROW()-5,tblIssues[Alert Row],0)))</f>
        <v>2026-06</v>
      </c>
      <c r="G46" s="23">
        <f>IF($A46="","",INDEX(tblIssues[Units This Month (Staff/Item)],MATCH(ROW()-5,tblIssues[Alert Row],0)))</f>
        <v>2</v>
      </c>
      <c r="H46" s="23">
        <f>IF($A46="","",INDEX(tblIssues[Monthly Quota],MATCH(ROW()-5,tblIssues[Alert Row],0)))</f>
        <v>1</v>
      </c>
      <c r="I46" s="27">
        <f t="shared" si="0"/>
        <v>1</v>
      </c>
      <c r="J46" s="31" t="str">
        <f t="shared" si="1"/>
        <v>⚠ OVER QUOTA</v>
      </c>
    </row>
    <row r="47" spans="1:10" x14ac:dyDescent="0.35">
      <c r="A47" s="18" t="str">
        <f>IFERROR(INDEX(tblIssues[Staff ID],MATCH(ROW()-5,tblIssues[Alert Row],0)),"")</f>
        <v>PSW-030-A4</v>
      </c>
      <c r="B47" s="18" t="str">
        <f>IF($A47="","",INDEX(tblIssues[Staff Name (pick)],MATCH(ROW()-5,tblIssues[Alert Row],0)))</f>
        <v>Lastname089, Firstname089</v>
      </c>
      <c r="C47" s="18" t="str">
        <f>IF($A47="","",INDEX(tblIssues[Role],MATCH(ROW()-5,tblIssues[Alert Row],0)))</f>
        <v>PSW</v>
      </c>
      <c r="D47" s="25" t="str">
        <f>IF($A47="","",INDEX(tblIssues[Area],MATCH(ROW()-5,tblIssues[Alert Row],0)))</f>
        <v>A4</v>
      </c>
      <c r="E47" s="25" t="str">
        <f>IF($A47="","",INDEX(tblIssues[Item Name],MATCH(ROW()-5,tblIssues[Alert Row],0)))</f>
        <v>Hand Sanitizer OS</v>
      </c>
      <c r="F47" s="98" t="str">
        <f>IF($A47="","",INDEX(tblIssues[Month],MATCH(ROW()-5,tblIssues[Alert Row],0)))</f>
        <v>2026-06</v>
      </c>
      <c r="G47" s="23">
        <f>IF($A47="","",INDEX(tblIssues[Units This Month (Staff/Item)],MATCH(ROW()-5,tblIssues[Alert Row],0)))</f>
        <v>2</v>
      </c>
      <c r="H47" s="23">
        <f>IF($A47="","",INDEX(tblIssues[Monthly Quota],MATCH(ROW()-5,tblIssues[Alert Row],0)))</f>
        <v>1</v>
      </c>
      <c r="I47" s="27">
        <f t="shared" si="0"/>
        <v>1</v>
      </c>
      <c r="J47" s="31" t="str">
        <f t="shared" si="1"/>
        <v>⚠ OVER QUOTA</v>
      </c>
    </row>
    <row r="48" spans="1:10" x14ac:dyDescent="0.35">
      <c r="A48" s="18" t="str">
        <f>IFERROR(INDEX(tblIssues[Staff ID],MATCH(ROW()-5,tblIssues[Alert Row],0)),"")</f>
        <v>TL/RPN-002-A9</v>
      </c>
      <c r="B48" s="18" t="str">
        <f>IF($A48="","",INDEX(tblIssues[Staff Name (pick)],MATCH(ROW()-5,tblIssues[Alert Row],0)))</f>
        <v>Lastname149, Firstname149</v>
      </c>
      <c r="C48" s="18" t="str">
        <f>IF($A48="","",INDEX(tblIssues[Role],MATCH(ROW()-5,tblIssues[Alert Row],0)))</f>
        <v>TL/RPN</v>
      </c>
      <c r="D48" s="25" t="str">
        <f>IF($A48="","",INDEX(tblIssues[Area],MATCH(ROW()-5,tblIssues[Alert Row],0)))</f>
        <v>A9</v>
      </c>
      <c r="E48" s="25" t="str">
        <f>IF($A48="","",INDEX(tblIssues[Item Name],MATCH(ROW()-5,tblIssues[Alert Row],0)))</f>
        <v>Hand Sanitizer OS</v>
      </c>
      <c r="F48" s="98" t="str">
        <f>IF($A48="","",INDEX(tblIssues[Month],MATCH(ROW()-5,tblIssues[Alert Row],0)))</f>
        <v>2026-06</v>
      </c>
      <c r="G48" s="23">
        <f>IF($A48="","",INDEX(tblIssues[Units This Month (Staff/Item)],MATCH(ROW()-5,tblIssues[Alert Row],0)))</f>
        <v>2</v>
      </c>
      <c r="H48" s="23">
        <f>IF($A48="","",INDEX(tblIssues[Monthly Quota],MATCH(ROW()-5,tblIssues[Alert Row],0)))</f>
        <v>1</v>
      </c>
      <c r="I48" s="27">
        <f t="shared" si="0"/>
        <v>1</v>
      </c>
      <c r="J48" s="31" t="str">
        <f t="shared" si="1"/>
        <v>⚠ OVER QUOTA</v>
      </c>
    </row>
    <row r="49" spans="1:10" x14ac:dyDescent="0.35">
      <c r="A49" s="18" t="str">
        <f>IFERROR(INDEX(tblIssues[Staff ID],MATCH(ROW()-5,tblIssues[Alert Row],0)),"")</f>
        <v>RPN-002-A1</v>
      </c>
      <c r="B49" s="18" t="str">
        <f>IF($A49="","",INDEX(tblIssues[Staff Name (pick)],MATCH(ROW()-5,tblIssues[Alert Row],0)))</f>
        <v>Lastname017, Firstname017</v>
      </c>
      <c r="C49" s="18" t="str">
        <f>IF($A49="","",INDEX(tblIssues[Role],MATCH(ROW()-5,tblIssues[Alert Row],0)))</f>
        <v>RPN</v>
      </c>
      <c r="D49" s="25" t="str">
        <f>IF($A49="","",INDEX(tblIssues[Area],MATCH(ROW()-5,tblIssues[Alert Row],0)))</f>
        <v>A1</v>
      </c>
      <c r="E49" s="25" t="str">
        <f>IF($A49="","",INDEX(tblIssues[Item Name],MATCH(ROW()-5,tblIssues[Alert Row],0)))</f>
        <v>Hand Sanitizer OS</v>
      </c>
      <c r="F49" s="98" t="str">
        <f>IF($A49="","",INDEX(tblIssues[Month],MATCH(ROW()-5,tblIssues[Alert Row],0)))</f>
        <v>2026-06</v>
      </c>
      <c r="G49" s="23">
        <f>IF($A49="","",INDEX(tblIssues[Units This Month (Staff/Item)],MATCH(ROW()-5,tblIssues[Alert Row],0)))</f>
        <v>2</v>
      </c>
      <c r="H49" s="23">
        <f>IF($A49="","",INDEX(tblIssues[Monthly Quota],MATCH(ROW()-5,tblIssues[Alert Row],0)))</f>
        <v>1</v>
      </c>
      <c r="I49" s="27">
        <f t="shared" si="0"/>
        <v>1</v>
      </c>
      <c r="J49" s="31" t="str">
        <f t="shared" si="1"/>
        <v>⚠ OVER QUOTA</v>
      </c>
    </row>
    <row r="50" spans="1:10" x14ac:dyDescent="0.35">
      <c r="A50" s="18" t="str">
        <f>IFERROR(INDEX(tblIssues[Staff ID],MATCH(ROW()-5,tblIssues[Alert Row],0)),"")</f>
        <v>RPN-002-A1</v>
      </c>
      <c r="B50" s="18" t="str">
        <f>IF($A50="","",INDEX(tblIssues[Staff Name (pick)],MATCH(ROW()-5,tblIssues[Alert Row],0)))</f>
        <v>Lastname017, Firstname017</v>
      </c>
      <c r="C50" s="18" t="str">
        <f>IF($A50="","",INDEX(tblIssues[Role],MATCH(ROW()-5,tblIssues[Alert Row],0)))</f>
        <v>RPN</v>
      </c>
      <c r="D50" s="25" t="str">
        <f>IF($A50="","",INDEX(tblIssues[Area],MATCH(ROW()-5,tblIssues[Alert Row],0)))</f>
        <v>A1</v>
      </c>
      <c r="E50" s="25" t="str">
        <f>IF($A50="","",INDEX(tblIssues[Item Name],MATCH(ROW()-5,tblIssues[Alert Row],0)))</f>
        <v>Sample Org CONNECT Welcome Package RN</v>
      </c>
      <c r="F50" s="98" t="str">
        <f>IF($A50="","",INDEX(tblIssues[Month],MATCH(ROW()-5,tblIssues[Alert Row],0)))</f>
        <v>2026-06</v>
      </c>
      <c r="G50" s="23">
        <f>IF($A50="","",INDEX(tblIssues[Units This Month (Staff/Item)],MATCH(ROW()-5,tblIssues[Alert Row],0)))</f>
        <v>20</v>
      </c>
      <c r="H50" s="23">
        <f>IF($A50="","",INDEX(tblIssues[Monthly Quota],MATCH(ROW()-5,tblIssues[Alert Row],0)))</f>
        <v>10</v>
      </c>
      <c r="I50" s="27">
        <f t="shared" si="0"/>
        <v>10</v>
      </c>
      <c r="J50" s="31" t="str">
        <f t="shared" si="1"/>
        <v>⚠ OVER QUOTA</v>
      </c>
    </row>
    <row r="51" spans="1:10" x14ac:dyDescent="0.35">
      <c r="A51" s="18" t="str">
        <f>IFERROR(INDEX(tblIssues[Staff ID],MATCH(ROW()-5,tblIssues[Alert Row],0)),"")</f>
        <v>TL/RPN-001-A8</v>
      </c>
      <c r="B51" s="18" t="str">
        <f>IF($A51="","",INDEX(tblIssues[Staff Name (pick)],MATCH(ROW()-5,tblIssues[Alert Row],0)))</f>
        <v>Lastname105, Firstname105</v>
      </c>
      <c r="C51" s="18" t="str">
        <f>IF($A51="","",INDEX(tblIssues[Role],MATCH(ROW()-5,tblIssues[Alert Row],0)))</f>
        <v>TL/RPN</v>
      </c>
      <c r="D51" s="25" t="str">
        <f>IF($A51="","",INDEX(tblIssues[Area],MATCH(ROW()-5,tblIssues[Alert Row],0)))</f>
        <v>A8</v>
      </c>
      <c r="E51" s="25" t="str">
        <f>IF($A51="","",INDEX(tblIssues[Item Name],MATCH(ROW()-5,tblIssues[Alert Row],0)))</f>
        <v>Hand Sanitizer</v>
      </c>
      <c r="F51" s="98" t="str">
        <f>IF($A51="","",INDEX(tblIssues[Month],MATCH(ROW()-5,tblIssues[Alert Row],0)))</f>
        <v>2026-06</v>
      </c>
      <c r="G51" s="23">
        <f>IF($A51="","",INDEX(tblIssues[Units This Month (Staff/Item)],MATCH(ROW()-5,tblIssues[Alert Row],0)))</f>
        <v>6</v>
      </c>
      <c r="H51" s="23">
        <f>IF($A51="","",INDEX(tblIssues[Monthly Quota],MATCH(ROW()-5,tblIssues[Alert Row],0)))</f>
        <v>2</v>
      </c>
      <c r="I51" s="27">
        <f t="shared" si="0"/>
        <v>4</v>
      </c>
      <c r="J51" s="31" t="str">
        <f t="shared" si="1"/>
        <v>⚠ OVER QUOTA</v>
      </c>
    </row>
    <row r="52" spans="1:10" x14ac:dyDescent="0.35">
      <c r="A52" s="18" t="str">
        <f>IFERROR(INDEX(tblIssues[Staff ID],MATCH(ROW()-5,tblIssues[Alert Row],0)),"")</f>
        <v>TL/RPN-001-A8</v>
      </c>
      <c r="B52" s="18" t="str">
        <f>IF($A52="","",INDEX(tblIssues[Staff Name (pick)],MATCH(ROW()-5,tblIssues[Alert Row],0)))</f>
        <v>Lastname105, Firstname105</v>
      </c>
      <c r="C52" s="18" t="str">
        <f>IF($A52="","",INDEX(tblIssues[Role],MATCH(ROW()-5,tblIssues[Alert Row],0)))</f>
        <v>TL/RPN</v>
      </c>
      <c r="D52" s="25" t="str">
        <f>IF($A52="","",INDEX(tblIssues[Area],MATCH(ROW()-5,tblIssues[Alert Row],0)))</f>
        <v>A8</v>
      </c>
      <c r="E52" s="25" t="str">
        <f>IF($A52="","",INDEX(tblIssues[Item Name],MATCH(ROW()-5,tblIssues[Alert Row],0)))</f>
        <v>Disinfectant Wipes</v>
      </c>
      <c r="F52" s="98" t="str">
        <f>IF($A52="","",INDEX(tblIssues[Month],MATCH(ROW()-5,tblIssues[Alert Row],0)))</f>
        <v>2026-06</v>
      </c>
      <c r="G52" s="23">
        <f>IF($A52="","",INDEX(tblIssues[Units This Month (Staff/Item)],MATCH(ROW()-5,tblIssues[Alert Row],0)))</f>
        <v>160</v>
      </c>
      <c r="H52" s="23">
        <f>IF($A52="","",INDEX(tblIssues[Monthly Quota],MATCH(ROW()-5,tblIssues[Alert Row],0)))</f>
        <v>80</v>
      </c>
      <c r="I52" s="27">
        <f t="shared" si="0"/>
        <v>80</v>
      </c>
      <c r="J52" s="31" t="str">
        <f t="shared" si="1"/>
        <v>⚠ OVER QUOTA</v>
      </c>
    </row>
    <row r="53" spans="1:10" x14ac:dyDescent="0.35">
      <c r="A53" s="18" t="str">
        <f>IFERROR(INDEX(tblIssues[Staff ID],MATCH(ROW()-5,tblIssues[Alert Row],0)),"")</f>
        <v>PSW-152-A6</v>
      </c>
      <c r="B53" s="18" t="str">
        <f>IF($A53="","",INDEX(tblIssues[Staff Name (pick)],MATCH(ROW()-5,tblIssues[Alert Row],0)))</f>
        <v>Lastname215, Firstname215</v>
      </c>
      <c r="C53" s="18" t="str">
        <f>IF($A53="","",INDEX(tblIssues[Role],MATCH(ROW()-5,tblIssues[Alert Row],0)))</f>
        <v>PSW</v>
      </c>
      <c r="D53" s="25" t="str">
        <f>IF($A53="","",INDEX(tblIssues[Area],MATCH(ROW()-5,tblIssues[Alert Row],0)))</f>
        <v>A6</v>
      </c>
      <c r="E53" s="25" t="str">
        <f>IF($A53="","",INDEX(tblIssues[Item Name],MATCH(ROW()-5,tblIssues[Alert Row],0)))</f>
        <v>Gloves - Medium</v>
      </c>
      <c r="F53" s="98" t="str">
        <f>IF($A53="","",INDEX(tblIssues[Month],MATCH(ROW()-5,tblIssues[Alert Row],0)))</f>
        <v>2026-07</v>
      </c>
      <c r="G53" s="23">
        <f>IF($A53="","",INDEX(tblIssues[Units This Month (Staff/Item)],MATCH(ROW()-5,tblIssues[Alert Row],0)))</f>
        <v>1500</v>
      </c>
      <c r="H53" s="23">
        <f>IF($A53="","",INDEX(tblIssues[Monthly Quota],MATCH(ROW()-5,tblIssues[Alert Row],0)))</f>
        <v>500</v>
      </c>
      <c r="I53" s="27">
        <f t="shared" si="0"/>
        <v>1000</v>
      </c>
      <c r="J53" s="31" t="str">
        <f t="shared" si="1"/>
        <v>⚠ OVER QUOTA</v>
      </c>
    </row>
    <row r="54" spans="1:10" x14ac:dyDescent="0.35">
      <c r="A54" s="18" t="str">
        <f>IFERROR(INDEX(tblIssues[Staff ID],MATCH(ROW()-5,tblIssues[Alert Row],0)),"")</f>
        <v>PSW-126-A6</v>
      </c>
      <c r="B54" s="18" t="str">
        <f>IF($A54="","",INDEX(tblIssues[Staff Name (pick)],MATCH(ROW()-5,tblIssues[Alert Row],0)))</f>
        <v>Lastname189, Firstname189</v>
      </c>
      <c r="C54" s="18" t="str">
        <f>IF($A54="","",INDEX(tblIssues[Role],MATCH(ROW()-5,tblIssues[Alert Row],0)))</f>
        <v>PSW</v>
      </c>
      <c r="D54" s="25" t="str">
        <f>IF($A54="","",INDEX(tblIssues[Area],MATCH(ROW()-5,tblIssues[Alert Row],0)))</f>
        <v>A6</v>
      </c>
      <c r="E54" s="25" t="str">
        <f>IF($A54="","",INDEX(tblIssues[Item Name],MATCH(ROW()-5,tblIssues[Alert Row],0)))</f>
        <v>Gloves - Large</v>
      </c>
      <c r="F54" s="98" t="str">
        <f>IF($A54="","",INDEX(tblIssues[Month],MATCH(ROW()-5,tblIssues[Alert Row],0)))</f>
        <v>2026-07</v>
      </c>
      <c r="G54" s="23">
        <f>IF($A54="","",INDEX(tblIssues[Units This Month (Staff/Item)],MATCH(ROW()-5,tblIssues[Alert Row],0)))</f>
        <v>1000</v>
      </c>
      <c r="H54" s="23">
        <f>IF($A54="","",INDEX(tblIssues[Monthly Quota],MATCH(ROW()-5,tblIssues[Alert Row],0)))</f>
        <v>500</v>
      </c>
      <c r="I54" s="27">
        <f t="shared" si="0"/>
        <v>500</v>
      </c>
      <c r="J54" s="31" t="str">
        <f t="shared" si="1"/>
        <v>⚠ OVER QUOTA</v>
      </c>
    </row>
    <row r="55" spans="1:10" x14ac:dyDescent="0.35">
      <c r="A55" s="18" t="str">
        <f>IFERROR(INDEX(tblIssues[Staff ID],MATCH(ROW()-5,tblIssues[Alert Row],0)),"")</f>
        <v>PSW-168-A6</v>
      </c>
      <c r="B55" s="18" t="str">
        <f>IF($A55="","",INDEX(tblIssues[Staff Name (pick)],MATCH(ROW()-5,tblIssues[Alert Row],0)))</f>
        <v>Lastname231, Firstname231</v>
      </c>
      <c r="C55" s="18" t="str">
        <f>IF($A55="","",INDEX(tblIssues[Role],MATCH(ROW()-5,tblIssues[Alert Row],0)))</f>
        <v>PSW</v>
      </c>
      <c r="D55" s="25" t="str">
        <f>IF($A55="","",INDEX(tblIssues[Area],MATCH(ROW()-5,tblIssues[Alert Row],0)))</f>
        <v>A6</v>
      </c>
      <c r="E55" s="25" t="str">
        <f>IF($A55="","",INDEX(tblIssues[Item Name],MATCH(ROW()-5,tblIssues[Alert Row],0)))</f>
        <v>Gloves - Medium</v>
      </c>
      <c r="F55" s="98" t="str">
        <f>IF($A55="","",INDEX(tblIssues[Month],MATCH(ROW()-5,tblIssues[Alert Row],0)))</f>
        <v>2026-07</v>
      </c>
      <c r="G55" s="23">
        <f>IF($A55="","",INDEX(tblIssues[Units This Month (Staff/Item)],MATCH(ROW()-5,tblIssues[Alert Row],0)))</f>
        <v>1000</v>
      </c>
      <c r="H55" s="23">
        <f>IF($A55="","",INDEX(tblIssues[Monthly Quota],MATCH(ROW()-5,tblIssues[Alert Row],0)))</f>
        <v>500</v>
      </c>
      <c r="I55" s="27">
        <f t="shared" si="0"/>
        <v>500</v>
      </c>
      <c r="J55" s="31" t="str">
        <f t="shared" si="1"/>
        <v>⚠ OVER QUOTA</v>
      </c>
    </row>
    <row r="56" spans="1:10" x14ac:dyDescent="0.35">
      <c r="A56" s="18" t="str">
        <f>IFERROR(INDEX(tblIssues[Staff ID],MATCH(ROW()-5,tblIssues[Alert Row],0)),"")</f>
        <v>PSW-168-A6</v>
      </c>
      <c r="B56" s="18" t="str">
        <f>IF($A56="","",INDEX(tblIssues[Staff Name (pick)],MATCH(ROW()-5,tblIssues[Alert Row],0)))</f>
        <v>Lastname231, Firstname231</v>
      </c>
      <c r="C56" s="18" t="str">
        <f>IF($A56="","",INDEX(tblIssues[Role],MATCH(ROW()-5,tblIssues[Alert Row],0)))</f>
        <v>PSW</v>
      </c>
      <c r="D56" s="25" t="str">
        <f>IF($A56="","",INDEX(tblIssues[Area],MATCH(ROW()-5,tblIssues[Alert Row],0)))</f>
        <v>A6</v>
      </c>
      <c r="E56" s="25" t="str">
        <f>IF($A56="","",INDEX(tblIssues[Item Name],MATCH(ROW()-5,tblIssues[Alert Row],0)))</f>
        <v>Hand Sanitizer OS</v>
      </c>
      <c r="F56" s="98" t="str">
        <f>IF($A56="","",INDEX(tblIssues[Month],MATCH(ROW()-5,tblIssues[Alert Row],0)))</f>
        <v>2026-07</v>
      </c>
      <c r="G56" s="23">
        <f>IF($A56="","",INDEX(tblIssues[Units This Month (Staff/Item)],MATCH(ROW()-5,tblIssues[Alert Row],0)))</f>
        <v>2</v>
      </c>
      <c r="H56" s="23">
        <f>IF($A56="","",INDEX(tblIssues[Monthly Quota],MATCH(ROW()-5,tblIssues[Alert Row],0)))</f>
        <v>1</v>
      </c>
      <c r="I56" s="27">
        <f t="shared" si="0"/>
        <v>1</v>
      </c>
      <c r="J56" s="31" t="str">
        <f t="shared" si="1"/>
        <v>⚠ OVER QUOTA</v>
      </c>
    </row>
    <row r="57" spans="1:10" x14ac:dyDescent="0.35">
      <c r="A57" s="18" t="str">
        <f>IFERROR(INDEX(tblIssues[Staff ID],MATCH(ROW()-5,tblIssues[Alert Row],0)),"")</f>
        <v>RN-038-A1</v>
      </c>
      <c r="B57" s="18" t="str">
        <f>IF($A57="","",INDEX(tblIssues[Staff Name (pick)],MATCH(ROW()-5,tblIssues[Alert Row],0)))</f>
        <v>Lastname044, Firstname044</v>
      </c>
      <c r="C57" s="18" t="str">
        <f>IF($A57="","",INDEX(tblIssues[Role],MATCH(ROW()-5,tblIssues[Alert Row],0)))</f>
        <v>RN</v>
      </c>
      <c r="D57" s="25" t="str">
        <f>IF($A57="","",INDEX(tblIssues[Area],MATCH(ROW()-5,tblIssues[Alert Row],0)))</f>
        <v>A1</v>
      </c>
      <c r="E57" s="25" t="str">
        <f>IF($A57="","",INDEX(tblIssues[Item Name],MATCH(ROW()-5,tblIssues[Alert Row],0)))</f>
        <v>Hand Sanitizer OS</v>
      </c>
      <c r="F57" s="98" t="str">
        <f>IF($A57="","",INDEX(tblIssues[Month],MATCH(ROW()-5,tblIssues[Alert Row],0)))</f>
        <v>2026-07</v>
      </c>
      <c r="G57" s="23">
        <f>IF($A57="","",INDEX(tblIssues[Units This Month (Staff/Item)],MATCH(ROW()-5,tblIssues[Alert Row],0)))</f>
        <v>2</v>
      </c>
      <c r="H57" s="23">
        <f>IF($A57="","",INDEX(tblIssues[Monthly Quota],MATCH(ROW()-5,tblIssues[Alert Row],0)))</f>
        <v>1</v>
      </c>
      <c r="I57" s="27">
        <f t="shared" si="0"/>
        <v>1</v>
      </c>
      <c r="J57" s="31" t="str">
        <f t="shared" si="1"/>
        <v>⚠ OVER QUOTA</v>
      </c>
    </row>
    <row r="58" spans="1:10" x14ac:dyDescent="0.35">
      <c r="A58" s="18" t="str">
        <f>IFERROR(INDEX(tblIssues[Staff ID],MATCH(ROW()-5,tblIssues[Alert Row],0)),"")</f>
        <v>PSW-048-A5</v>
      </c>
      <c r="B58" s="18" t="str">
        <f>IF($A58="","",INDEX(tblIssues[Staff Name (pick)],MATCH(ROW()-5,tblIssues[Alert Row],0)))</f>
        <v>Lastname108, Firstname108</v>
      </c>
      <c r="C58" s="18" t="str">
        <f>IF($A58="","",INDEX(tblIssues[Role],MATCH(ROW()-5,tblIssues[Alert Row],0)))</f>
        <v>PSW</v>
      </c>
      <c r="D58" s="25" t="str">
        <f>IF($A58="","",INDEX(tblIssues[Area],MATCH(ROW()-5,tblIssues[Alert Row],0)))</f>
        <v>A5</v>
      </c>
      <c r="E58" s="25" t="str">
        <f>IF($A58="","",INDEX(tblIssues[Item Name],MATCH(ROW()-5,tblIssues[Alert Row],0)))</f>
        <v>Gloves - Small</v>
      </c>
      <c r="F58" s="98" t="str">
        <f>IF($A58="","",INDEX(tblIssues[Month],MATCH(ROW()-5,tblIssues[Alert Row],0)))</f>
        <v>2026-07</v>
      </c>
      <c r="G58" s="23">
        <f>IF($A58="","",INDEX(tblIssues[Units This Month (Staff/Item)],MATCH(ROW()-5,tblIssues[Alert Row],0)))</f>
        <v>1000</v>
      </c>
      <c r="H58" s="23">
        <f>IF($A58="","",INDEX(tblIssues[Monthly Quota],MATCH(ROW()-5,tblIssues[Alert Row],0)))</f>
        <v>500</v>
      </c>
      <c r="I58" s="27">
        <f t="shared" si="0"/>
        <v>500</v>
      </c>
      <c r="J58" s="31" t="str">
        <f t="shared" si="1"/>
        <v>⚠ OVER QUOTA</v>
      </c>
    </row>
    <row r="59" spans="1:10" x14ac:dyDescent="0.35">
      <c r="A59" s="18" t="str">
        <f>IFERROR(INDEX(tblIssues[Staff ID],MATCH(ROW()-5,tblIssues[Alert Row],0)),"")</f>
        <v>PSW-070-A6</v>
      </c>
      <c r="B59" s="18" t="str">
        <f>IF($A59="","",INDEX(tblIssues[Staff Name (pick)],MATCH(ROW()-5,tblIssues[Alert Row],0)))</f>
        <v>Lastname130, Firstname130</v>
      </c>
      <c r="C59" s="18" t="str">
        <f>IF($A59="","",INDEX(tblIssues[Role],MATCH(ROW()-5,tblIssues[Alert Row],0)))</f>
        <v>PSW</v>
      </c>
      <c r="D59" s="25" t="str">
        <f>IF($A59="","",INDEX(tblIssues[Area],MATCH(ROW()-5,tblIssues[Alert Row],0)))</f>
        <v>A6</v>
      </c>
      <c r="E59" s="25" t="str">
        <f>IF($A59="","",INDEX(tblIssues[Item Name],MATCH(ROW()-5,tblIssues[Alert Row],0)))</f>
        <v>Hand Sanitizer</v>
      </c>
      <c r="F59" s="98" t="str">
        <f>IF($A59="","",INDEX(tblIssues[Month],MATCH(ROW()-5,tblIssues[Alert Row],0)))</f>
        <v>2026-07</v>
      </c>
      <c r="G59" s="23">
        <f>IF($A59="","",INDEX(tblIssues[Units This Month (Staff/Item)],MATCH(ROW()-5,tblIssues[Alert Row],0)))</f>
        <v>4</v>
      </c>
      <c r="H59" s="23">
        <f>IF($A59="","",INDEX(tblIssues[Monthly Quota],MATCH(ROW()-5,tblIssues[Alert Row],0)))</f>
        <v>2</v>
      </c>
      <c r="I59" s="27">
        <f t="shared" si="0"/>
        <v>2</v>
      </c>
      <c r="J59" s="31" t="str">
        <f t="shared" si="1"/>
        <v>⚠ OVER QUOTA</v>
      </c>
    </row>
    <row r="60" spans="1:10" x14ac:dyDescent="0.35">
      <c r="A60" s="18" t="str">
        <f>IFERROR(INDEX(tblIssues[Staff ID],MATCH(ROW()-5,tblIssues[Alert Row],0)),"")</f>
        <v>PSW-135-A5</v>
      </c>
      <c r="B60" s="18" t="str">
        <f>IF($A60="","",INDEX(tblIssues[Staff Name (pick)],MATCH(ROW()-5,tblIssues[Alert Row],0)))</f>
        <v>Lastname198, Firstname198</v>
      </c>
      <c r="C60" s="18" t="str">
        <f>IF($A60="","",INDEX(tblIssues[Role],MATCH(ROW()-5,tblIssues[Alert Row],0)))</f>
        <v>PSW</v>
      </c>
      <c r="D60" s="25" t="str">
        <f>IF($A60="","",INDEX(tblIssues[Area],MATCH(ROW()-5,tblIssues[Alert Row],0)))</f>
        <v>A5</v>
      </c>
      <c r="E60" s="25" t="str">
        <f>IF($A60="","",INDEX(tblIssues[Item Name],MATCH(ROW()-5,tblIssues[Alert Row],0)))</f>
        <v>Surgical Masks</v>
      </c>
      <c r="F60" s="98" t="str">
        <f>IF($A60="","",INDEX(tblIssues[Month],MATCH(ROW()-5,tblIssues[Alert Row],0)))</f>
        <v>2026-07</v>
      </c>
      <c r="G60" s="23">
        <f>IF($A60="","",INDEX(tblIssues[Units This Month (Staff/Item)],MATCH(ROW()-5,tblIssues[Alert Row],0)))</f>
        <v>100</v>
      </c>
      <c r="H60" s="23">
        <f>IF($A60="","",INDEX(tblIssues[Monthly Quota],MATCH(ROW()-5,tblIssues[Alert Row],0)))</f>
        <v>50</v>
      </c>
      <c r="I60" s="27">
        <f t="shared" si="0"/>
        <v>50</v>
      </c>
      <c r="J60" s="31" t="str">
        <f t="shared" si="1"/>
        <v>⚠ OVER QUOTA</v>
      </c>
    </row>
    <row r="61" spans="1:10" x14ac:dyDescent="0.35">
      <c r="A61" s="18" t="str">
        <f>IFERROR(INDEX(tblIssues[Staff ID],MATCH(ROW()-5,tblIssues[Alert Row],0)),"")</f>
        <v>PSW-135-A5</v>
      </c>
      <c r="B61" s="18" t="str">
        <f>IF($A61="","",INDEX(tblIssues[Staff Name (pick)],MATCH(ROW()-5,tblIssues[Alert Row],0)))</f>
        <v>Lastname198, Firstname198</v>
      </c>
      <c r="C61" s="18" t="str">
        <f>IF($A61="","",INDEX(tblIssues[Role],MATCH(ROW()-5,tblIssues[Alert Row],0)))</f>
        <v>PSW</v>
      </c>
      <c r="D61" s="25" t="str">
        <f>IF($A61="","",INDEX(tblIssues[Area],MATCH(ROW()-5,tblIssues[Alert Row],0)))</f>
        <v>A5</v>
      </c>
      <c r="E61" s="25" t="str">
        <f>IF($A61="","",INDEX(tblIssues[Item Name],MATCH(ROW()-5,tblIssues[Alert Row],0)))</f>
        <v>Hand Sanitizer OS</v>
      </c>
      <c r="F61" s="98" t="str">
        <f>IF($A61="","",INDEX(tblIssues[Month],MATCH(ROW()-5,tblIssues[Alert Row],0)))</f>
        <v>2026-07</v>
      </c>
      <c r="G61" s="23">
        <f>IF($A61="","",INDEX(tblIssues[Units This Month (Staff/Item)],MATCH(ROW()-5,tblIssues[Alert Row],0)))</f>
        <v>2</v>
      </c>
      <c r="H61" s="23">
        <f>IF($A61="","",INDEX(tblIssues[Monthly Quota],MATCH(ROW()-5,tblIssues[Alert Row],0)))</f>
        <v>1</v>
      </c>
      <c r="I61" s="27">
        <f t="shared" si="0"/>
        <v>1</v>
      </c>
      <c r="J61" s="31" t="str">
        <f t="shared" si="1"/>
        <v>⚠ OVER QUOTA</v>
      </c>
    </row>
    <row r="62" spans="1:10" x14ac:dyDescent="0.35">
      <c r="A62" s="18" t="str">
        <f>IFERROR(INDEX(tblIssues[Staff ID],MATCH(ROW()-5,tblIssues[Alert Row],0)),"")</f>
        <v>RN-004-A2</v>
      </c>
      <c r="B62" s="18" t="str">
        <f>IF($A62="","",INDEX(tblIssues[Staff Name (pick)],MATCH(ROW()-5,tblIssues[Alert Row],0)))</f>
        <v>Lastname004, Firstname004</v>
      </c>
      <c r="C62" s="18" t="str">
        <f>IF($A62="","",INDEX(tblIssues[Role],MATCH(ROW()-5,tblIssues[Alert Row],0)))</f>
        <v>RN</v>
      </c>
      <c r="D62" s="25" t="str">
        <f>IF($A62="","",INDEX(tblIssues[Area],MATCH(ROW()-5,tblIssues[Alert Row],0)))</f>
        <v>A2</v>
      </c>
      <c r="E62" s="25" t="str">
        <f>IF($A62="","",INDEX(tblIssues[Item Name],MATCH(ROW()-5,tblIssues[Alert Row],0)))</f>
        <v>Hand Sanitizer OS</v>
      </c>
      <c r="F62" s="98" t="str">
        <f>IF($A62="","",INDEX(tblIssues[Month],MATCH(ROW()-5,tblIssues[Alert Row],0)))</f>
        <v>2026-07</v>
      </c>
      <c r="G62" s="23">
        <f>IF($A62="","",INDEX(tblIssues[Units This Month (Staff/Item)],MATCH(ROW()-5,tblIssues[Alert Row],0)))</f>
        <v>2</v>
      </c>
      <c r="H62" s="23">
        <f>IF($A62="","",INDEX(tblIssues[Monthly Quota],MATCH(ROW()-5,tblIssues[Alert Row],0)))</f>
        <v>1</v>
      </c>
      <c r="I62" s="27">
        <f t="shared" si="0"/>
        <v>1</v>
      </c>
      <c r="J62" s="31" t="str">
        <f t="shared" si="1"/>
        <v>⚠ OVER QUOTA</v>
      </c>
    </row>
    <row r="63" spans="1:10" x14ac:dyDescent="0.35">
      <c r="A63" s="18" t="str">
        <f>IFERROR(INDEX(tblIssues[Staff ID],MATCH(ROW()-5,tblIssues[Alert Row],0)),"")</f>
        <v>RN-004-A2</v>
      </c>
      <c r="B63" s="18" t="str">
        <f>IF($A63="","",INDEX(tblIssues[Staff Name (pick)],MATCH(ROW()-5,tblIssues[Alert Row],0)))</f>
        <v>Lastname004, Firstname004</v>
      </c>
      <c r="C63" s="18" t="str">
        <f>IF($A63="","",INDEX(tblIssues[Role],MATCH(ROW()-5,tblIssues[Alert Row],0)))</f>
        <v>RN</v>
      </c>
      <c r="D63" s="25" t="str">
        <f>IF($A63="","",INDEX(tblIssues[Area],MATCH(ROW()-5,tblIssues[Alert Row],0)))</f>
        <v>A2</v>
      </c>
      <c r="E63" s="25" t="str">
        <f>IF($A63="","",INDEX(tblIssues[Item Name],MATCH(ROW()-5,tblIssues[Alert Row],0)))</f>
        <v>Sample Org CONNECT Welcome Package RN</v>
      </c>
      <c r="F63" s="98" t="str">
        <f>IF($A63="","",INDEX(tblIssues[Month],MATCH(ROW()-5,tblIssues[Alert Row],0)))</f>
        <v>2026-07</v>
      </c>
      <c r="G63" s="23">
        <f>IF($A63="","",INDEX(tblIssues[Units This Month (Staff/Item)],MATCH(ROW()-5,tblIssues[Alert Row],0)))</f>
        <v>20</v>
      </c>
      <c r="H63" s="23">
        <f>IF($A63="","",INDEX(tblIssues[Monthly Quota],MATCH(ROW()-5,tblIssues[Alert Row],0)))</f>
        <v>10</v>
      </c>
      <c r="I63" s="27">
        <f t="shared" si="0"/>
        <v>10</v>
      </c>
      <c r="J63" s="31" t="str">
        <f t="shared" si="1"/>
        <v>⚠ OVER QUOTA</v>
      </c>
    </row>
    <row r="64" spans="1:10" x14ac:dyDescent="0.35">
      <c r="A64" s="18" t="str">
        <f>IFERROR(INDEX(tblIssues[Staff ID],MATCH(ROW()-5,tblIssues[Alert Row],0)),"")</f>
        <v>RN-028-A1</v>
      </c>
      <c r="B64" s="18" t="str">
        <f>IF($A64="","",INDEX(tblIssues[Staff Name (pick)],MATCH(ROW()-5,tblIssues[Alert Row],0)))</f>
        <v>Lastname032, Firstname032</v>
      </c>
      <c r="C64" s="18" t="str">
        <f>IF($A64="","",INDEX(tblIssues[Role],MATCH(ROW()-5,tblIssues[Alert Row],0)))</f>
        <v>RN</v>
      </c>
      <c r="D64" s="25" t="str">
        <f>IF($A64="","",INDEX(tblIssues[Area],MATCH(ROW()-5,tblIssues[Alert Row],0)))</f>
        <v>A1</v>
      </c>
      <c r="E64" s="25" t="str">
        <f>IF($A64="","",INDEX(tblIssues[Item Name],MATCH(ROW()-5,tblIssues[Alert Row],0)))</f>
        <v>Gloves - Large</v>
      </c>
      <c r="F64" s="98" t="str">
        <f>IF($A64="","",INDEX(tblIssues[Month],MATCH(ROW()-5,tblIssues[Alert Row],0)))</f>
        <v>2026-07</v>
      </c>
      <c r="G64" s="23">
        <f>IF($A64="","",INDEX(tblIssues[Units This Month (Staff/Item)],MATCH(ROW()-5,tblIssues[Alert Row],0)))</f>
        <v>1000</v>
      </c>
      <c r="H64" s="23">
        <f>IF($A64="","",INDEX(tblIssues[Monthly Quota],MATCH(ROW()-5,tblIssues[Alert Row],0)))</f>
        <v>500</v>
      </c>
      <c r="I64" s="27">
        <f t="shared" si="0"/>
        <v>500</v>
      </c>
      <c r="J64" s="31" t="str">
        <f t="shared" si="1"/>
        <v>⚠ OVER QUOTA</v>
      </c>
    </row>
    <row r="65" spans="1:10" x14ac:dyDescent="0.35">
      <c r="A65" s="18" t="str">
        <f>IFERROR(INDEX(tblIssues[Staff ID],MATCH(ROW()-5,tblIssues[Alert Row],0)),"")</f>
        <v>RN-028-A1</v>
      </c>
      <c r="B65" s="18" t="str">
        <f>IF($A65="","",INDEX(tblIssues[Staff Name (pick)],MATCH(ROW()-5,tblIssues[Alert Row],0)))</f>
        <v>Lastname032, Firstname032</v>
      </c>
      <c r="C65" s="18" t="str">
        <f>IF($A65="","",INDEX(tblIssues[Role],MATCH(ROW()-5,tblIssues[Alert Row],0)))</f>
        <v>RN</v>
      </c>
      <c r="D65" s="25" t="str">
        <f>IF($A65="","",INDEX(tblIssues[Area],MATCH(ROW()-5,tblIssues[Alert Row],0)))</f>
        <v>A1</v>
      </c>
      <c r="E65" s="25" t="str">
        <f>IF($A65="","",INDEX(tblIssues[Item Name],MATCH(ROW()-5,tblIssues[Alert Row],0)))</f>
        <v>Hand Sanitizer OS</v>
      </c>
      <c r="F65" s="98" t="str">
        <f>IF($A65="","",INDEX(tblIssues[Month],MATCH(ROW()-5,tblIssues[Alert Row],0)))</f>
        <v>2026-07</v>
      </c>
      <c r="G65" s="23">
        <f>IF($A65="","",INDEX(tblIssues[Units This Month (Staff/Item)],MATCH(ROW()-5,tblIssues[Alert Row],0)))</f>
        <v>2</v>
      </c>
      <c r="H65" s="23">
        <f>IF($A65="","",INDEX(tblIssues[Monthly Quota],MATCH(ROW()-5,tblIssues[Alert Row],0)))</f>
        <v>1</v>
      </c>
      <c r="I65" s="27">
        <f t="shared" si="0"/>
        <v>1</v>
      </c>
      <c r="J65" s="31" t="str">
        <f t="shared" si="1"/>
        <v>⚠ OVER QUOTA</v>
      </c>
    </row>
    <row r="66" spans="1:10" x14ac:dyDescent="0.35">
      <c r="A66" s="18" t="str">
        <f>IFERROR(INDEX(tblIssues[Staff ID],MATCH(ROW()-5,tblIssues[Alert Row],0)),"")</f>
        <v>RN-010-A2</v>
      </c>
      <c r="B66" s="18" t="str">
        <f>IF($A66="","",INDEX(tblIssues[Staff Name (pick)],MATCH(ROW()-5,tblIssues[Alert Row],0)))</f>
        <v>Lastname010, Firstname010</v>
      </c>
      <c r="C66" s="18" t="str">
        <f>IF($A66="","",INDEX(tblIssues[Role],MATCH(ROW()-5,tblIssues[Alert Row],0)))</f>
        <v>RN</v>
      </c>
      <c r="D66" s="25" t="str">
        <f>IF($A66="","",INDEX(tblIssues[Area],MATCH(ROW()-5,tblIssues[Alert Row],0)))</f>
        <v>A2</v>
      </c>
      <c r="E66" s="25" t="str">
        <f>IF($A66="","",INDEX(tblIssues[Item Name],MATCH(ROW()-5,tblIssues[Alert Row],0)))</f>
        <v>Sample Org Week Water Bottle</v>
      </c>
      <c r="F66" s="98" t="str">
        <f>IF($A66="","",INDEX(tblIssues[Month],MATCH(ROW()-5,tblIssues[Alert Row],0)))</f>
        <v>2026-07</v>
      </c>
      <c r="G66" s="23">
        <f>IF($A66="","",INDEX(tblIssues[Units This Month (Staff/Item)],MATCH(ROW()-5,tblIssues[Alert Row],0)))</f>
        <v>2</v>
      </c>
      <c r="H66" s="23">
        <f>IF($A66="","",INDEX(tblIssues[Monthly Quota],MATCH(ROW()-5,tblIssues[Alert Row],0)))</f>
        <v>1</v>
      </c>
      <c r="I66" s="27">
        <f t="shared" si="0"/>
        <v>1</v>
      </c>
      <c r="J66" s="31" t="str">
        <f t="shared" si="1"/>
        <v>⚠ OVER QUOTA</v>
      </c>
    </row>
    <row r="67" spans="1:10" x14ac:dyDescent="0.35">
      <c r="A67" s="18" t="str">
        <f>IFERROR(INDEX(tblIssues[Staff ID],MATCH(ROW()-5,tblIssues[Alert Row],0)),"")</f>
        <v>PSW-023-A6</v>
      </c>
      <c r="B67" s="18" t="str">
        <f>IF($A67="","",INDEX(tblIssues[Staff Name (pick)],MATCH(ROW()-5,tblIssues[Alert Row],0)))</f>
        <v>Lastname083, Firstname083</v>
      </c>
      <c r="C67" s="18" t="str">
        <f>IF($A67="","",INDEX(tblIssues[Role],MATCH(ROW()-5,tblIssues[Alert Row],0)))</f>
        <v>PSW</v>
      </c>
      <c r="D67" s="25" t="str">
        <f>IF($A67="","",INDEX(tblIssues[Area],MATCH(ROW()-5,tblIssues[Alert Row],0)))</f>
        <v>A6</v>
      </c>
      <c r="E67" s="25" t="str">
        <f>IF($A67="","",INDEX(tblIssues[Item Name],MATCH(ROW()-5,tblIssues[Alert Row],0)))</f>
        <v>Gloves - Small</v>
      </c>
      <c r="F67" s="98" t="str">
        <f>IF($A67="","",INDEX(tblIssues[Month],MATCH(ROW()-5,tblIssues[Alert Row],0)))</f>
        <v>2026-07</v>
      </c>
      <c r="G67" s="23">
        <f>IF($A67="","",INDEX(tblIssues[Units This Month (Staff/Item)],MATCH(ROW()-5,tblIssues[Alert Row],0)))</f>
        <v>1000</v>
      </c>
      <c r="H67" s="23">
        <f>IF($A67="","",INDEX(tblIssues[Monthly Quota],MATCH(ROW()-5,tblIssues[Alert Row],0)))</f>
        <v>500</v>
      </c>
      <c r="I67" s="27">
        <f t="shared" si="0"/>
        <v>500</v>
      </c>
      <c r="J67" s="31" t="str">
        <f t="shared" si="1"/>
        <v>⚠ OVER QUOTA</v>
      </c>
    </row>
    <row r="68" spans="1:10" x14ac:dyDescent="0.35">
      <c r="A68" s="18" t="str">
        <f>IFERROR(INDEX(tblIssues[Staff ID],MATCH(ROW()-5,tblIssues[Alert Row],0)),"")</f>
        <v>RN-050-A1</v>
      </c>
      <c r="B68" s="18" t="str">
        <f>IF($A68="","",INDEX(tblIssues[Staff Name (pick)],MATCH(ROW()-5,tblIssues[Alert Row],0)))</f>
        <v>Lastname059, Firstname059</v>
      </c>
      <c r="C68" s="18" t="str">
        <f>IF($A68="","",INDEX(tblIssues[Role],MATCH(ROW()-5,tblIssues[Alert Row],0)))</f>
        <v>RN</v>
      </c>
      <c r="D68" s="25" t="str">
        <f>IF($A68="","",INDEX(tblIssues[Area],MATCH(ROW()-5,tblIssues[Alert Row],0)))</f>
        <v>A1</v>
      </c>
      <c r="E68" s="25" t="str">
        <f>IF($A68="","",INDEX(tblIssues[Item Name],MATCH(ROW()-5,tblIssues[Alert Row],0)))</f>
        <v>Hand Sanitizer OS</v>
      </c>
      <c r="F68" s="98" t="str">
        <f>IF($A68="","",INDEX(tblIssues[Month],MATCH(ROW()-5,tblIssues[Alert Row],0)))</f>
        <v>2026-07</v>
      </c>
      <c r="G68" s="23">
        <f>IF($A68="","",INDEX(tblIssues[Units This Month (Staff/Item)],MATCH(ROW()-5,tblIssues[Alert Row],0)))</f>
        <v>2</v>
      </c>
      <c r="H68" s="23">
        <f>IF($A68="","",INDEX(tblIssues[Monthly Quota],MATCH(ROW()-5,tblIssues[Alert Row],0)))</f>
        <v>1</v>
      </c>
      <c r="I68" s="27">
        <f t="shared" si="0"/>
        <v>1</v>
      </c>
      <c r="J68" s="31" t="str">
        <f t="shared" si="1"/>
        <v>⚠ OVER QUOTA</v>
      </c>
    </row>
    <row r="69" spans="1:10" x14ac:dyDescent="0.35">
      <c r="A69" s="18" t="str">
        <f>IFERROR(INDEX(tblIssues[Staff ID],MATCH(ROW()-5,tblIssues[Alert Row],0)),"")</f>
        <v>RN-050-A1</v>
      </c>
      <c r="B69" s="18" t="str">
        <f>IF($A69="","",INDEX(tblIssues[Staff Name (pick)],MATCH(ROW()-5,tblIssues[Alert Row],0)))</f>
        <v>Lastname059, Firstname059</v>
      </c>
      <c r="C69" s="18" t="str">
        <f>IF($A69="","",INDEX(tblIssues[Role],MATCH(ROW()-5,tblIssues[Alert Row],0)))</f>
        <v>RN</v>
      </c>
      <c r="D69" s="25" t="str">
        <f>IF($A69="","",INDEX(tblIssues[Area],MATCH(ROW()-5,tblIssues[Alert Row],0)))</f>
        <v>A1</v>
      </c>
      <c r="E69" s="25" t="str">
        <f>IF($A69="","",INDEX(tblIssues[Item Name],MATCH(ROW()-5,tblIssues[Alert Row],0)))</f>
        <v>Disinfectant Wipes</v>
      </c>
      <c r="F69" s="98" t="str">
        <f>IF($A69="","",INDEX(tblIssues[Month],MATCH(ROW()-5,tblIssues[Alert Row],0)))</f>
        <v>2026-07</v>
      </c>
      <c r="G69" s="23">
        <f>IF($A69="","",INDEX(tblIssues[Units This Month (Staff/Item)],MATCH(ROW()-5,tblIssues[Alert Row],0)))</f>
        <v>160</v>
      </c>
      <c r="H69" s="23">
        <f>IF($A69="","",INDEX(tblIssues[Monthly Quota],MATCH(ROW()-5,tblIssues[Alert Row],0)))</f>
        <v>80</v>
      </c>
      <c r="I69" s="27">
        <f t="shared" si="0"/>
        <v>80</v>
      </c>
      <c r="J69" s="31" t="str">
        <f t="shared" si="1"/>
        <v>⚠ OVER QUOTA</v>
      </c>
    </row>
    <row r="70" spans="1:10" x14ac:dyDescent="0.35">
      <c r="A70" s="18" t="str">
        <f>IFERROR(INDEX(tblIssues[Staff ID],MATCH(ROW()-5,tblIssues[Alert Row],0)),"")</f>
        <v>RN-035-A1</v>
      </c>
      <c r="B70" s="18" t="str">
        <f>IF($A70="","",INDEX(tblIssues[Staff Name (pick)],MATCH(ROW()-5,tblIssues[Alert Row],0)))</f>
        <v>Lastname040, Firstname040</v>
      </c>
      <c r="C70" s="18" t="str">
        <f>IF($A70="","",INDEX(tblIssues[Role],MATCH(ROW()-5,tblIssues[Alert Row],0)))</f>
        <v>RN</v>
      </c>
      <c r="D70" s="25" t="str">
        <f>IF($A70="","",INDEX(tblIssues[Area],MATCH(ROW()-5,tblIssues[Alert Row],0)))</f>
        <v>A1</v>
      </c>
      <c r="E70" s="25" t="str">
        <f>IF($A70="","",INDEX(tblIssues[Item Name],MATCH(ROW()-5,tblIssues[Alert Row],0)))</f>
        <v>Gloves - Medium</v>
      </c>
      <c r="F70" s="98" t="str">
        <f>IF($A70="","",INDEX(tblIssues[Month],MATCH(ROW()-5,tblIssues[Alert Row],0)))</f>
        <v>2026-07</v>
      </c>
      <c r="G70" s="23">
        <f>IF($A70="","",INDEX(tblIssues[Units This Month (Staff/Item)],MATCH(ROW()-5,tblIssues[Alert Row],0)))</f>
        <v>1000</v>
      </c>
      <c r="H70" s="23">
        <f>IF($A70="","",INDEX(tblIssues[Monthly Quota],MATCH(ROW()-5,tblIssues[Alert Row],0)))</f>
        <v>500</v>
      </c>
      <c r="I70" s="27">
        <f t="shared" ref="I70:I133" si="2">IF($A70="","",$G70-$H70)</f>
        <v>500</v>
      </c>
      <c r="J70" s="31" t="str">
        <f t="shared" ref="J70:J133" si="3">IF($A70="","","⚠ OVER QUOTA")</f>
        <v>⚠ OVER QUOTA</v>
      </c>
    </row>
    <row r="71" spans="1:10" x14ac:dyDescent="0.35">
      <c r="A71" s="18" t="str">
        <f>IFERROR(INDEX(tblIssues[Staff ID],MATCH(ROW()-5,tblIssues[Alert Row],0)),"")</f>
        <v/>
      </c>
      <c r="B71" s="18" t="str">
        <f>IF($A71="","",INDEX(tblIssues[Staff Name (pick)],MATCH(ROW()-5,tblIssues[Alert Row],0)))</f>
        <v/>
      </c>
      <c r="C71" s="18" t="str">
        <f>IF($A71="","",INDEX(tblIssues[Role],MATCH(ROW()-5,tblIssues[Alert Row],0)))</f>
        <v/>
      </c>
      <c r="D71" s="25" t="str">
        <f>IF($A71="","",INDEX(tblIssues[Area],MATCH(ROW()-5,tblIssues[Alert Row],0)))</f>
        <v/>
      </c>
      <c r="E71" s="25" t="str">
        <f>IF($A71="","",INDEX(tblIssues[Item Name],MATCH(ROW()-5,tblIssues[Alert Row],0)))</f>
        <v/>
      </c>
      <c r="F71" s="98" t="str">
        <f>IF($A71="","",INDEX(tblIssues[Month],MATCH(ROW()-5,tblIssues[Alert Row],0)))</f>
        <v/>
      </c>
      <c r="G71" s="23" t="str">
        <f>IF($A71="","",INDEX(tblIssues[Units This Month (Staff/Item)],MATCH(ROW()-5,tblIssues[Alert Row],0)))</f>
        <v/>
      </c>
      <c r="H71" s="23" t="str">
        <f>IF($A71="","",INDEX(tblIssues[Monthly Quota],MATCH(ROW()-5,tblIssues[Alert Row],0)))</f>
        <v/>
      </c>
      <c r="I71" s="27" t="str">
        <f t="shared" si="2"/>
        <v/>
      </c>
      <c r="J71" s="31" t="str">
        <f t="shared" si="3"/>
        <v/>
      </c>
    </row>
    <row r="72" spans="1:10" x14ac:dyDescent="0.35">
      <c r="A72" s="18" t="str">
        <f>IFERROR(INDEX(tblIssues[Staff ID],MATCH(ROW()-5,tblIssues[Alert Row],0)),"")</f>
        <v/>
      </c>
      <c r="B72" s="18" t="str">
        <f>IF($A72="","",INDEX(tblIssues[Staff Name (pick)],MATCH(ROW()-5,tblIssues[Alert Row],0)))</f>
        <v/>
      </c>
      <c r="C72" s="18" t="str">
        <f>IF($A72="","",INDEX(tblIssues[Role],MATCH(ROW()-5,tblIssues[Alert Row],0)))</f>
        <v/>
      </c>
      <c r="D72" s="25" t="str">
        <f>IF($A72="","",INDEX(tblIssues[Area],MATCH(ROW()-5,tblIssues[Alert Row],0)))</f>
        <v/>
      </c>
      <c r="E72" s="25" t="str">
        <f>IF($A72="","",INDEX(tblIssues[Item Name],MATCH(ROW()-5,tblIssues[Alert Row],0)))</f>
        <v/>
      </c>
      <c r="F72" s="98" t="str">
        <f>IF($A72="","",INDEX(tblIssues[Month],MATCH(ROW()-5,tblIssues[Alert Row],0)))</f>
        <v/>
      </c>
      <c r="G72" s="23" t="str">
        <f>IF($A72="","",INDEX(tblIssues[Units This Month (Staff/Item)],MATCH(ROW()-5,tblIssues[Alert Row],0)))</f>
        <v/>
      </c>
      <c r="H72" s="23" t="str">
        <f>IF($A72="","",INDEX(tblIssues[Monthly Quota],MATCH(ROW()-5,tblIssues[Alert Row],0)))</f>
        <v/>
      </c>
      <c r="I72" s="27" t="str">
        <f t="shared" si="2"/>
        <v/>
      </c>
      <c r="J72" s="31" t="str">
        <f t="shared" si="3"/>
        <v/>
      </c>
    </row>
    <row r="73" spans="1:10" x14ac:dyDescent="0.35">
      <c r="A73" s="18" t="str">
        <f>IFERROR(INDEX(tblIssues[Staff ID],MATCH(ROW()-5,tblIssues[Alert Row],0)),"")</f>
        <v/>
      </c>
      <c r="B73" s="18" t="str">
        <f>IF($A73="","",INDEX(tblIssues[Staff Name (pick)],MATCH(ROW()-5,tblIssues[Alert Row],0)))</f>
        <v/>
      </c>
      <c r="C73" s="18" t="str">
        <f>IF($A73="","",INDEX(tblIssues[Role],MATCH(ROW()-5,tblIssues[Alert Row],0)))</f>
        <v/>
      </c>
      <c r="D73" s="25" t="str">
        <f>IF($A73="","",INDEX(tblIssues[Area],MATCH(ROW()-5,tblIssues[Alert Row],0)))</f>
        <v/>
      </c>
      <c r="E73" s="25" t="str">
        <f>IF($A73="","",INDEX(tblIssues[Item Name],MATCH(ROW()-5,tblIssues[Alert Row],0)))</f>
        <v/>
      </c>
      <c r="F73" s="98" t="str">
        <f>IF($A73="","",INDEX(tblIssues[Month],MATCH(ROW()-5,tblIssues[Alert Row],0)))</f>
        <v/>
      </c>
      <c r="G73" s="23" t="str">
        <f>IF($A73="","",INDEX(tblIssues[Units This Month (Staff/Item)],MATCH(ROW()-5,tblIssues[Alert Row],0)))</f>
        <v/>
      </c>
      <c r="H73" s="23" t="str">
        <f>IF($A73="","",INDEX(tblIssues[Monthly Quota],MATCH(ROW()-5,tblIssues[Alert Row],0)))</f>
        <v/>
      </c>
      <c r="I73" s="27" t="str">
        <f t="shared" si="2"/>
        <v/>
      </c>
      <c r="J73" s="31" t="str">
        <f t="shared" si="3"/>
        <v/>
      </c>
    </row>
    <row r="74" spans="1:10" x14ac:dyDescent="0.35">
      <c r="A74" s="18" t="str">
        <f>IFERROR(INDEX(tblIssues[Staff ID],MATCH(ROW()-5,tblIssues[Alert Row],0)),"")</f>
        <v/>
      </c>
      <c r="B74" s="18" t="str">
        <f>IF($A74="","",INDEX(tblIssues[Staff Name (pick)],MATCH(ROW()-5,tblIssues[Alert Row],0)))</f>
        <v/>
      </c>
      <c r="C74" s="18" t="str">
        <f>IF($A74="","",INDEX(tblIssues[Role],MATCH(ROW()-5,tblIssues[Alert Row],0)))</f>
        <v/>
      </c>
      <c r="D74" s="25" t="str">
        <f>IF($A74="","",INDEX(tblIssues[Area],MATCH(ROW()-5,tblIssues[Alert Row],0)))</f>
        <v/>
      </c>
      <c r="E74" s="25" t="str">
        <f>IF($A74="","",INDEX(tblIssues[Item Name],MATCH(ROW()-5,tblIssues[Alert Row],0)))</f>
        <v/>
      </c>
      <c r="F74" s="98" t="str">
        <f>IF($A74="","",INDEX(tblIssues[Month],MATCH(ROW()-5,tblIssues[Alert Row],0)))</f>
        <v/>
      </c>
      <c r="G74" s="23" t="str">
        <f>IF($A74="","",INDEX(tblIssues[Units This Month (Staff/Item)],MATCH(ROW()-5,tblIssues[Alert Row],0)))</f>
        <v/>
      </c>
      <c r="H74" s="23" t="str">
        <f>IF($A74="","",INDEX(tblIssues[Monthly Quota],MATCH(ROW()-5,tblIssues[Alert Row],0)))</f>
        <v/>
      </c>
      <c r="I74" s="27" t="str">
        <f t="shared" si="2"/>
        <v/>
      </c>
      <c r="J74" s="31" t="str">
        <f t="shared" si="3"/>
        <v/>
      </c>
    </row>
    <row r="75" spans="1:10" x14ac:dyDescent="0.35">
      <c r="A75" s="18" t="str">
        <f>IFERROR(INDEX(tblIssues[Staff ID],MATCH(ROW()-5,tblIssues[Alert Row],0)),"")</f>
        <v/>
      </c>
      <c r="B75" s="18" t="str">
        <f>IF($A75="","",INDEX(tblIssues[Staff Name (pick)],MATCH(ROW()-5,tblIssues[Alert Row],0)))</f>
        <v/>
      </c>
      <c r="C75" s="18" t="str">
        <f>IF($A75="","",INDEX(tblIssues[Role],MATCH(ROW()-5,tblIssues[Alert Row],0)))</f>
        <v/>
      </c>
      <c r="D75" s="25" t="str">
        <f>IF($A75="","",INDEX(tblIssues[Area],MATCH(ROW()-5,tblIssues[Alert Row],0)))</f>
        <v/>
      </c>
      <c r="E75" s="25" t="str">
        <f>IF($A75="","",INDEX(tblIssues[Item Name],MATCH(ROW()-5,tblIssues[Alert Row],0)))</f>
        <v/>
      </c>
      <c r="F75" s="98" t="str">
        <f>IF($A75="","",INDEX(tblIssues[Month],MATCH(ROW()-5,tblIssues[Alert Row],0)))</f>
        <v/>
      </c>
      <c r="G75" s="23" t="str">
        <f>IF($A75="","",INDEX(tblIssues[Units This Month (Staff/Item)],MATCH(ROW()-5,tblIssues[Alert Row],0)))</f>
        <v/>
      </c>
      <c r="H75" s="23" t="str">
        <f>IF($A75="","",INDEX(tblIssues[Monthly Quota],MATCH(ROW()-5,tblIssues[Alert Row],0)))</f>
        <v/>
      </c>
      <c r="I75" s="27" t="str">
        <f t="shared" si="2"/>
        <v/>
      </c>
      <c r="J75" s="31" t="str">
        <f t="shared" si="3"/>
        <v/>
      </c>
    </row>
    <row r="76" spans="1:10" x14ac:dyDescent="0.35">
      <c r="A76" s="18" t="str">
        <f>IFERROR(INDEX(tblIssues[Staff ID],MATCH(ROW()-5,tblIssues[Alert Row],0)),"")</f>
        <v/>
      </c>
      <c r="B76" s="18" t="str">
        <f>IF($A76="","",INDEX(tblIssues[Staff Name (pick)],MATCH(ROW()-5,tblIssues[Alert Row],0)))</f>
        <v/>
      </c>
      <c r="C76" s="18" t="str">
        <f>IF($A76="","",INDEX(tblIssues[Role],MATCH(ROW()-5,tblIssues[Alert Row],0)))</f>
        <v/>
      </c>
      <c r="D76" s="25" t="str">
        <f>IF($A76="","",INDEX(tblIssues[Area],MATCH(ROW()-5,tblIssues[Alert Row],0)))</f>
        <v/>
      </c>
      <c r="E76" s="25" t="str">
        <f>IF($A76="","",INDEX(tblIssues[Item Name],MATCH(ROW()-5,tblIssues[Alert Row],0)))</f>
        <v/>
      </c>
      <c r="F76" s="98" t="str">
        <f>IF($A76="","",INDEX(tblIssues[Month],MATCH(ROW()-5,tblIssues[Alert Row],0)))</f>
        <v/>
      </c>
      <c r="G76" s="23" t="str">
        <f>IF($A76="","",INDEX(tblIssues[Units This Month (Staff/Item)],MATCH(ROW()-5,tblIssues[Alert Row],0)))</f>
        <v/>
      </c>
      <c r="H76" s="23" t="str">
        <f>IF($A76="","",INDEX(tblIssues[Monthly Quota],MATCH(ROW()-5,tblIssues[Alert Row],0)))</f>
        <v/>
      </c>
      <c r="I76" s="27" t="str">
        <f t="shared" si="2"/>
        <v/>
      </c>
      <c r="J76" s="31" t="str">
        <f t="shared" si="3"/>
        <v/>
      </c>
    </row>
    <row r="77" spans="1:10" x14ac:dyDescent="0.35">
      <c r="A77" s="18" t="str">
        <f>IFERROR(INDEX(tblIssues[Staff ID],MATCH(ROW()-5,tblIssues[Alert Row],0)),"")</f>
        <v/>
      </c>
      <c r="B77" s="18" t="str">
        <f>IF($A77="","",INDEX(tblIssues[Staff Name (pick)],MATCH(ROW()-5,tblIssues[Alert Row],0)))</f>
        <v/>
      </c>
      <c r="C77" s="18" t="str">
        <f>IF($A77="","",INDEX(tblIssues[Role],MATCH(ROW()-5,tblIssues[Alert Row],0)))</f>
        <v/>
      </c>
      <c r="D77" s="25" t="str">
        <f>IF($A77="","",INDEX(tblIssues[Area],MATCH(ROW()-5,tblIssues[Alert Row],0)))</f>
        <v/>
      </c>
      <c r="E77" s="25" t="str">
        <f>IF($A77="","",INDEX(tblIssues[Item Name],MATCH(ROW()-5,tblIssues[Alert Row],0)))</f>
        <v/>
      </c>
      <c r="F77" s="98" t="str">
        <f>IF($A77="","",INDEX(tblIssues[Month],MATCH(ROW()-5,tblIssues[Alert Row],0)))</f>
        <v/>
      </c>
      <c r="G77" s="23" t="str">
        <f>IF($A77="","",INDEX(tblIssues[Units This Month (Staff/Item)],MATCH(ROW()-5,tblIssues[Alert Row],0)))</f>
        <v/>
      </c>
      <c r="H77" s="23" t="str">
        <f>IF($A77="","",INDEX(tblIssues[Monthly Quota],MATCH(ROW()-5,tblIssues[Alert Row],0)))</f>
        <v/>
      </c>
      <c r="I77" s="27" t="str">
        <f t="shared" si="2"/>
        <v/>
      </c>
      <c r="J77" s="31" t="str">
        <f t="shared" si="3"/>
        <v/>
      </c>
    </row>
    <row r="78" spans="1:10" x14ac:dyDescent="0.35">
      <c r="A78" s="18" t="str">
        <f>IFERROR(INDEX(tblIssues[Staff ID],MATCH(ROW()-5,tblIssues[Alert Row],0)),"")</f>
        <v/>
      </c>
      <c r="B78" s="18" t="str">
        <f>IF($A78="","",INDEX(tblIssues[Staff Name (pick)],MATCH(ROW()-5,tblIssues[Alert Row],0)))</f>
        <v/>
      </c>
      <c r="C78" s="18" t="str">
        <f>IF($A78="","",INDEX(tblIssues[Role],MATCH(ROW()-5,tblIssues[Alert Row],0)))</f>
        <v/>
      </c>
      <c r="D78" s="25" t="str">
        <f>IF($A78="","",INDEX(tblIssues[Area],MATCH(ROW()-5,tblIssues[Alert Row],0)))</f>
        <v/>
      </c>
      <c r="E78" s="25" t="str">
        <f>IF($A78="","",INDEX(tblIssues[Item Name],MATCH(ROW()-5,tblIssues[Alert Row],0)))</f>
        <v/>
      </c>
      <c r="F78" s="98" t="str">
        <f>IF($A78="","",INDEX(tblIssues[Month],MATCH(ROW()-5,tblIssues[Alert Row],0)))</f>
        <v/>
      </c>
      <c r="G78" s="23" t="str">
        <f>IF($A78="","",INDEX(tblIssues[Units This Month (Staff/Item)],MATCH(ROW()-5,tblIssues[Alert Row],0)))</f>
        <v/>
      </c>
      <c r="H78" s="23" t="str">
        <f>IF($A78="","",INDEX(tblIssues[Monthly Quota],MATCH(ROW()-5,tblIssues[Alert Row],0)))</f>
        <v/>
      </c>
      <c r="I78" s="27" t="str">
        <f t="shared" si="2"/>
        <v/>
      </c>
      <c r="J78" s="31" t="str">
        <f t="shared" si="3"/>
        <v/>
      </c>
    </row>
    <row r="79" spans="1:10" x14ac:dyDescent="0.35">
      <c r="A79" s="18" t="str">
        <f>IFERROR(INDEX(tblIssues[Staff ID],MATCH(ROW()-5,tblIssues[Alert Row],0)),"")</f>
        <v/>
      </c>
      <c r="B79" s="18" t="str">
        <f>IF($A79="","",INDEX(tblIssues[Staff Name (pick)],MATCH(ROW()-5,tblIssues[Alert Row],0)))</f>
        <v/>
      </c>
      <c r="C79" s="18" t="str">
        <f>IF($A79="","",INDEX(tblIssues[Role],MATCH(ROW()-5,tblIssues[Alert Row],0)))</f>
        <v/>
      </c>
      <c r="D79" s="25" t="str">
        <f>IF($A79="","",INDEX(tblIssues[Area],MATCH(ROW()-5,tblIssues[Alert Row],0)))</f>
        <v/>
      </c>
      <c r="E79" s="25" t="str">
        <f>IF($A79="","",INDEX(tblIssues[Item Name],MATCH(ROW()-5,tblIssues[Alert Row],0)))</f>
        <v/>
      </c>
      <c r="F79" s="98" t="str">
        <f>IF($A79="","",INDEX(tblIssues[Month],MATCH(ROW()-5,tblIssues[Alert Row],0)))</f>
        <v/>
      </c>
      <c r="G79" s="23" t="str">
        <f>IF($A79="","",INDEX(tblIssues[Units This Month (Staff/Item)],MATCH(ROW()-5,tblIssues[Alert Row],0)))</f>
        <v/>
      </c>
      <c r="H79" s="23" t="str">
        <f>IF($A79="","",INDEX(tblIssues[Monthly Quota],MATCH(ROW()-5,tblIssues[Alert Row],0)))</f>
        <v/>
      </c>
      <c r="I79" s="27" t="str">
        <f t="shared" si="2"/>
        <v/>
      </c>
      <c r="J79" s="31" t="str">
        <f t="shared" si="3"/>
        <v/>
      </c>
    </row>
    <row r="80" spans="1:10" x14ac:dyDescent="0.35">
      <c r="A80" s="18" t="str">
        <f>IFERROR(INDEX(tblIssues[Staff ID],MATCH(ROW()-5,tblIssues[Alert Row],0)),"")</f>
        <v/>
      </c>
      <c r="B80" s="18" t="str">
        <f>IF($A80="","",INDEX(tblIssues[Staff Name (pick)],MATCH(ROW()-5,tblIssues[Alert Row],0)))</f>
        <v/>
      </c>
      <c r="C80" s="18" t="str">
        <f>IF($A80="","",INDEX(tblIssues[Role],MATCH(ROW()-5,tblIssues[Alert Row],0)))</f>
        <v/>
      </c>
      <c r="D80" s="25" t="str">
        <f>IF($A80="","",INDEX(tblIssues[Area],MATCH(ROW()-5,tblIssues[Alert Row],0)))</f>
        <v/>
      </c>
      <c r="E80" s="25" t="str">
        <f>IF($A80="","",INDEX(tblIssues[Item Name],MATCH(ROW()-5,tblIssues[Alert Row],0)))</f>
        <v/>
      </c>
      <c r="F80" s="98" t="str">
        <f>IF($A80="","",INDEX(tblIssues[Month],MATCH(ROW()-5,tblIssues[Alert Row],0)))</f>
        <v/>
      </c>
      <c r="G80" s="23" t="str">
        <f>IF($A80="","",INDEX(tblIssues[Units This Month (Staff/Item)],MATCH(ROW()-5,tblIssues[Alert Row],0)))</f>
        <v/>
      </c>
      <c r="H80" s="23" t="str">
        <f>IF($A80="","",INDEX(tblIssues[Monthly Quota],MATCH(ROW()-5,tblIssues[Alert Row],0)))</f>
        <v/>
      </c>
      <c r="I80" s="27" t="str">
        <f t="shared" si="2"/>
        <v/>
      </c>
      <c r="J80" s="31" t="str">
        <f t="shared" si="3"/>
        <v/>
      </c>
    </row>
    <row r="81" spans="1:10" x14ac:dyDescent="0.35">
      <c r="A81" s="18" t="str">
        <f>IFERROR(INDEX(tblIssues[Staff ID],MATCH(ROW()-5,tblIssues[Alert Row],0)),"")</f>
        <v/>
      </c>
      <c r="B81" s="18" t="str">
        <f>IF($A81="","",INDEX(tblIssues[Staff Name (pick)],MATCH(ROW()-5,tblIssues[Alert Row],0)))</f>
        <v/>
      </c>
      <c r="C81" s="18" t="str">
        <f>IF($A81="","",INDEX(tblIssues[Role],MATCH(ROW()-5,tblIssues[Alert Row],0)))</f>
        <v/>
      </c>
      <c r="D81" s="25" t="str">
        <f>IF($A81="","",INDEX(tblIssues[Area],MATCH(ROW()-5,tblIssues[Alert Row],0)))</f>
        <v/>
      </c>
      <c r="E81" s="25" t="str">
        <f>IF($A81="","",INDEX(tblIssues[Item Name],MATCH(ROW()-5,tblIssues[Alert Row],0)))</f>
        <v/>
      </c>
      <c r="F81" s="98" t="str">
        <f>IF($A81="","",INDEX(tblIssues[Month],MATCH(ROW()-5,tblIssues[Alert Row],0)))</f>
        <v/>
      </c>
      <c r="G81" s="23" t="str">
        <f>IF($A81="","",INDEX(tblIssues[Units This Month (Staff/Item)],MATCH(ROW()-5,tblIssues[Alert Row],0)))</f>
        <v/>
      </c>
      <c r="H81" s="23" t="str">
        <f>IF($A81="","",INDEX(tblIssues[Monthly Quota],MATCH(ROW()-5,tblIssues[Alert Row],0)))</f>
        <v/>
      </c>
      <c r="I81" s="27" t="str">
        <f t="shared" si="2"/>
        <v/>
      </c>
      <c r="J81" s="31" t="str">
        <f t="shared" si="3"/>
        <v/>
      </c>
    </row>
    <row r="82" spans="1:10" x14ac:dyDescent="0.35">
      <c r="A82" s="18" t="str">
        <f>IFERROR(INDEX(tblIssues[Staff ID],MATCH(ROW()-5,tblIssues[Alert Row],0)),"")</f>
        <v/>
      </c>
      <c r="B82" s="18" t="str">
        <f>IF($A82="","",INDEX(tblIssues[Staff Name (pick)],MATCH(ROW()-5,tblIssues[Alert Row],0)))</f>
        <v/>
      </c>
      <c r="C82" s="18" t="str">
        <f>IF($A82="","",INDEX(tblIssues[Role],MATCH(ROW()-5,tblIssues[Alert Row],0)))</f>
        <v/>
      </c>
      <c r="D82" s="25" t="str">
        <f>IF($A82="","",INDEX(tblIssues[Area],MATCH(ROW()-5,tblIssues[Alert Row],0)))</f>
        <v/>
      </c>
      <c r="E82" s="25" t="str">
        <f>IF($A82="","",INDEX(tblIssues[Item Name],MATCH(ROW()-5,tblIssues[Alert Row],0)))</f>
        <v/>
      </c>
      <c r="F82" s="98" t="str">
        <f>IF($A82="","",INDEX(tblIssues[Month],MATCH(ROW()-5,tblIssues[Alert Row],0)))</f>
        <v/>
      </c>
      <c r="G82" s="23" t="str">
        <f>IF($A82="","",INDEX(tblIssues[Units This Month (Staff/Item)],MATCH(ROW()-5,tblIssues[Alert Row],0)))</f>
        <v/>
      </c>
      <c r="H82" s="23" t="str">
        <f>IF($A82="","",INDEX(tblIssues[Monthly Quota],MATCH(ROW()-5,tblIssues[Alert Row],0)))</f>
        <v/>
      </c>
      <c r="I82" s="27" t="str">
        <f t="shared" si="2"/>
        <v/>
      </c>
      <c r="J82" s="31" t="str">
        <f t="shared" si="3"/>
        <v/>
      </c>
    </row>
    <row r="83" spans="1:10" x14ac:dyDescent="0.35">
      <c r="A83" s="18" t="str">
        <f>IFERROR(INDEX(tblIssues[Staff ID],MATCH(ROW()-5,tblIssues[Alert Row],0)),"")</f>
        <v/>
      </c>
      <c r="B83" s="18" t="str">
        <f>IF($A83="","",INDEX(tblIssues[Staff Name (pick)],MATCH(ROW()-5,tblIssues[Alert Row],0)))</f>
        <v/>
      </c>
      <c r="C83" s="18" t="str">
        <f>IF($A83="","",INDEX(tblIssues[Role],MATCH(ROW()-5,tblIssues[Alert Row],0)))</f>
        <v/>
      </c>
      <c r="D83" s="25" t="str">
        <f>IF($A83="","",INDEX(tblIssues[Area],MATCH(ROW()-5,tblIssues[Alert Row],0)))</f>
        <v/>
      </c>
      <c r="E83" s="25" t="str">
        <f>IF($A83="","",INDEX(tblIssues[Item Name],MATCH(ROW()-5,tblIssues[Alert Row],0)))</f>
        <v/>
      </c>
      <c r="F83" s="98" t="str">
        <f>IF($A83="","",INDEX(tblIssues[Month],MATCH(ROW()-5,tblIssues[Alert Row],0)))</f>
        <v/>
      </c>
      <c r="G83" s="23" t="str">
        <f>IF($A83="","",INDEX(tblIssues[Units This Month (Staff/Item)],MATCH(ROW()-5,tblIssues[Alert Row],0)))</f>
        <v/>
      </c>
      <c r="H83" s="23" t="str">
        <f>IF($A83="","",INDEX(tblIssues[Monthly Quota],MATCH(ROW()-5,tblIssues[Alert Row],0)))</f>
        <v/>
      </c>
      <c r="I83" s="27" t="str">
        <f t="shared" si="2"/>
        <v/>
      </c>
      <c r="J83" s="31" t="str">
        <f t="shared" si="3"/>
        <v/>
      </c>
    </row>
    <row r="84" spans="1:10" x14ac:dyDescent="0.35">
      <c r="A84" s="18" t="str">
        <f>IFERROR(INDEX(tblIssues[Staff ID],MATCH(ROW()-5,tblIssues[Alert Row],0)),"")</f>
        <v/>
      </c>
      <c r="B84" s="18" t="str">
        <f>IF($A84="","",INDEX(tblIssues[Staff Name (pick)],MATCH(ROW()-5,tblIssues[Alert Row],0)))</f>
        <v/>
      </c>
      <c r="C84" s="18" t="str">
        <f>IF($A84="","",INDEX(tblIssues[Role],MATCH(ROW()-5,tblIssues[Alert Row],0)))</f>
        <v/>
      </c>
      <c r="D84" s="25" t="str">
        <f>IF($A84="","",INDEX(tblIssues[Area],MATCH(ROW()-5,tblIssues[Alert Row],0)))</f>
        <v/>
      </c>
      <c r="E84" s="25" t="str">
        <f>IF($A84="","",INDEX(tblIssues[Item Name],MATCH(ROW()-5,tblIssues[Alert Row],0)))</f>
        <v/>
      </c>
      <c r="F84" s="98" t="str">
        <f>IF($A84="","",INDEX(tblIssues[Month],MATCH(ROW()-5,tblIssues[Alert Row],0)))</f>
        <v/>
      </c>
      <c r="G84" s="23" t="str">
        <f>IF($A84="","",INDEX(tblIssues[Units This Month (Staff/Item)],MATCH(ROW()-5,tblIssues[Alert Row],0)))</f>
        <v/>
      </c>
      <c r="H84" s="23" t="str">
        <f>IF($A84="","",INDEX(tblIssues[Monthly Quota],MATCH(ROW()-5,tblIssues[Alert Row],0)))</f>
        <v/>
      </c>
      <c r="I84" s="27" t="str">
        <f t="shared" si="2"/>
        <v/>
      </c>
      <c r="J84" s="31" t="str">
        <f t="shared" si="3"/>
        <v/>
      </c>
    </row>
    <row r="85" spans="1:10" x14ac:dyDescent="0.35">
      <c r="A85" s="18" t="str">
        <f>IFERROR(INDEX(tblIssues[Staff ID],MATCH(ROW()-5,tblIssues[Alert Row],0)),"")</f>
        <v/>
      </c>
      <c r="B85" s="18" t="str">
        <f>IF($A85="","",INDEX(tblIssues[Staff Name (pick)],MATCH(ROW()-5,tblIssues[Alert Row],0)))</f>
        <v/>
      </c>
      <c r="C85" s="18" t="str">
        <f>IF($A85="","",INDEX(tblIssues[Role],MATCH(ROW()-5,tblIssues[Alert Row],0)))</f>
        <v/>
      </c>
      <c r="D85" s="25" t="str">
        <f>IF($A85="","",INDEX(tblIssues[Area],MATCH(ROW()-5,tblIssues[Alert Row],0)))</f>
        <v/>
      </c>
      <c r="E85" s="25" t="str">
        <f>IF($A85="","",INDEX(tblIssues[Item Name],MATCH(ROW()-5,tblIssues[Alert Row],0)))</f>
        <v/>
      </c>
      <c r="F85" s="98" t="str">
        <f>IF($A85="","",INDEX(tblIssues[Month],MATCH(ROW()-5,tblIssues[Alert Row],0)))</f>
        <v/>
      </c>
      <c r="G85" s="23" t="str">
        <f>IF($A85="","",INDEX(tblIssues[Units This Month (Staff/Item)],MATCH(ROW()-5,tblIssues[Alert Row],0)))</f>
        <v/>
      </c>
      <c r="H85" s="23" t="str">
        <f>IF($A85="","",INDEX(tblIssues[Monthly Quota],MATCH(ROW()-5,tblIssues[Alert Row],0)))</f>
        <v/>
      </c>
      <c r="I85" s="27" t="str">
        <f t="shared" si="2"/>
        <v/>
      </c>
      <c r="J85" s="31" t="str">
        <f t="shared" si="3"/>
        <v/>
      </c>
    </row>
    <row r="86" spans="1:10" x14ac:dyDescent="0.35">
      <c r="A86" s="18" t="str">
        <f>IFERROR(INDEX(tblIssues[Staff ID],MATCH(ROW()-5,tblIssues[Alert Row],0)),"")</f>
        <v/>
      </c>
      <c r="B86" s="18" t="str">
        <f>IF($A86="","",INDEX(tblIssues[Staff Name (pick)],MATCH(ROW()-5,tblIssues[Alert Row],0)))</f>
        <v/>
      </c>
      <c r="C86" s="18" t="str">
        <f>IF($A86="","",INDEX(tblIssues[Role],MATCH(ROW()-5,tblIssues[Alert Row],0)))</f>
        <v/>
      </c>
      <c r="D86" s="25" t="str">
        <f>IF($A86="","",INDEX(tblIssues[Area],MATCH(ROW()-5,tblIssues[Alert Row],0)))</f>
        <v/>
      </c>
      <c r="E86" s="25" t="str">
        <f>IF($A86="","",INDEX(tblIssues[Item Name],MATCH(ROW()-5,tblIssues[Alert Row],0)))</f>
        <v/>
      </c>
      <c r="F86" s="98" t="str">
        <f>IF($A86="","",INDEX(tblIssues[Month],MATCH(ROW()-5,tblIssues[Alert Row],0)))</f>
        <v/>
      </c>
      <c r="G86" s="23" t="str">
        <f>IF($A86="","",INDEX(tblIssues[Units This Month (Staff/Item)],MATCH(ROW()-5,tblIssues[Alert Row],0)))</f>
        <v/>
      </c>
      <c r="H86" s="23" t="str">
        <f>IF($A86="","",INDEX(tblIssues[Monthly Quota],MATCH(ROW()-5,tblIssues[Alert Row],0)))</f>
        <v/>
      </c>
      <c r="I86" s="27" t="str">
        <f t="shared" si="2"/>
        <v/>
      </c>
      <c r="J86" s="31" t="str">
        <f t="shared" si="3"/>
        <v/>
      </c>
    </row>
    <row r="87" spans="1:10" x14ac:dyDescent="0.35">
      <c r="A87" s="18" t="str">
        <f>IFERROR(INDEX(tblIssues[Staff ID],MATCH(ROW()-5,tblIssues[Alert Row],0)),"")</f>
        <v/>
      </c>
      <c r="B87" s="18" t="str">
        <f>IF($A87="","",INDEX(tblIssues[Staff Name (pick)],MATCH(ROW()-5,tblIssues[Alert Row],0)))</f>
        <v/>
      </c>
      <c r="C87" s="18" t="str">
        <f>IF($A87="","",INDEX(tblIssues[Role],MATCH(ROW()-5,tblIssues[Alert Row],0)))</f>
        <v/>
      </c>
      <c r="D87" s="25" t="str">
        <f>IF($A87="","",INDEX(tblIssues[Area],MATCH(ROW()-5,tblIssues[Alert Row],0)))</f>
        <v/>
      </c>
      <c r="E87" s="25" t="str">
        <f>IF($A87="","",INDEX(tblIssues[Item Name],MATCH(ROW()-5,tblIssues[Alert Row],0)))</f>
        <v/>
      </c>
      <c r="F87" s="98" t="str">
        <f>IF($A87="","",INDEX(tblIssues[Month],MATCH(ROW()-5,tblIssues[Alert Row],0)))</f>
        <v/>
      </c>
      <c r="G87" s="23" t="str">
        <f>IF($A87="","",INDEX(tblIssues[Units This Month (Staff/Item)],MATCH(ROW()-5,tblIssues[Alert Row],0)))</f>
        <v/>
      </c>
      <c r="H87" s="23" t="str">
        <f>IF($A87="","",INDEX(tblIssues[Monthly Quota],MATCH(ROW()-5,tblIssues[Alert Row],0)))</f>
        <v/>
      </c>
      <c r="I87" s="27" t="str">
        <f t="shared" si="2"/>
        <v/>
      </c>
      <c r="J87" s="31" t="str">
        <f t="shared" si="3"/>
        <v/>
      </c>
    </row>
    <row r="88" spans="1:10" x14ac:dyDescent="0.35">
      <c r="A88" s="18" t="str">
        <f>IFERROR(INDEX(tblIssues[Staff ID],MATCH(ROW()-5,tblIssues[Alert Row],0)),"")</f>
        <v/>
      </c>
      <c r="B88" s="18" t="str">
        <f>IF($A88="","",INDEX(tblIssues[Staff Name (pick)],MATCH(ROW()-5,tblIssues[Alert Row],0)))</f>
        <v/>
      </c>
      <c r="C88" s="18" t="str">
        <f>IF($A88="","",INDEX(tblIssues[Role],MATCH(ROW()-5,tblIssues[Alert Row],0)))</f>
        <v/>
      </c>
      <c r="D88" s="25" t="str">
        <f>IF($A88="","",INDEX(tblIssues[Area],MATCH(ROW()-5,tblIssues[Alert Row],0)))</f>
        <v/>
      </c>
      <c r="E88" s="25" t="str">
        <f>IF($A88="","",INDEX(tblIssues[Item Name],MATCH(ROW()-5,tblIssues[Alert Row],0)))</f>
        <v/>
      </c>
      <c r="F88" s="98" t="str">
        <f>IF($A88="","",INDEX(tblIssues[Month],MATCH(ROW()-5,tblIssues[Alert Row],0)))</f>
        <v/>
      </c>
      <c r="G88" s="23" t="str">
        <f>IF($A88="","",INDEX(tblIssues[Units This Month (Staff/Item)],MATCH(ROW()-5,tblIssues[Alert Row],0)))</f>
        <v/>
      </c>
      <c r="H88" s="23" t="str">
        <f>IF($A88="","",INDEX(tblIssues[Monthly Quota],MATCH(ROW()-5,tblIssues[Alert Row],0)))</f>
        <v/>
      </c>
      <c r="I88" s="27" t="str">
        <f t="shared" si="2"/>
        <v/>
      </c>
      <c r="J88" s="31" t="str">
        <f t="shared" si="3"/>
        <v/>
      </c>
    </row>
    <row r="89" spans="1:10" x14ac:dyDescent="0.35">
      <c r="A89" s="18" t="str">
        <f>IFERROR(INDEX(tblIssues[Staff ID],MATCH(ROW()-5,tblIssues[Alert Row],0)),"")</f>
        <v/>
      </c>
      <c r="B89" s="18" t="str">
        <f>IF($A89="","",INDEX(tblIssues[Staff Name (pick)],MATCH(ROW()-5,tblIssues[Alert Row],0)))</f>
        <v/>
      </c>
      <c r="C89" s="18" t="str">
        <f>IF($A89="","",INDEX(tblIssues[Role],MATCH(ROW()-5,tblIssues[Alert Row],0)))</f>
        <v/>
      </c>
      <c r="D89" s="25" t="str">
        <f>IF($A89="","",INDEX(tblIssues[Area],MATCH(ROW()-5,tblIssues[Alert Row],0)))</f>
        <v/>
      </c>
      <c r="E89" s="25" t="str">
        <f>IF($A89="","",INDEX(tblIssues[Item Name],MATCH(ROW()-5,tblIssues[Alert Row],0)))</f>
        <v/>
      </c>
      <c r="F89" s="98" t="str">
        <f>IF($A89="","",INDEX(tblIssues[Month],MATCH(ROW()-5,tblIssues[Alert Row],0)))</f>
        <v/>
      </c>
      <c r="G89" s="23" t="str">
        <f>IF($A89="","",INDEX(tblIssues[Units This Month (Staff/Item)],MATCH(ROW()-5,tblIssues[Alert Row],0)))</f>
        <v/>
      </c>
      <c r="H89" s="23" t="str">
        <f>IF($A89="","",INDEX(tblIssues[Monthly Quota],MATCH(ROW()-5,tblIssues[Alert Row],0)))</f>
        <v/>
      </c>
      <c r="I89" s="27" t="str">
        <f t="shared" si="2"/>
        <v/>
      </c>
      <c r="J89" s="31" t="str">
        <f t="shared" si="3"/>
        <v/>
      </c>
    </row>
    <row r="90" spans="1:10" x14ac:dyDescent="0.35">
      <c r="A90" s="18" t="str">
        <f>IFERROR(INDEX(tblIssues[Staff ID],MATCH(ROW()-5,tblIssues[Alert Row],0)),"")</f>
        <v/>
      </c>
      <c r="B90" s="18" t="str">
        <f>IF($A90="","",INDEX(tblIssues[Staff Name (pick)],MATCH(ROW()-5,tblIssues[Alert Row],0)))</f>
        <v/>
      </c>
      <c r="C90" s="18" t="str">
        <f>IF($A90="","",INDEX(tblIssues[Role],MATCH(ROW()-5,tblIssues[Alert Row],0)))</f>
        <v/>
      </c>
      <c r="D90" s="25" t="str">
        <f>IF($A90="","",INDEX(tblIssues[Area],MATCH(ROW()-5,tblIssues[Alert Row],0)))</f>
        <v/>
      </c>
      <c r="E90" s="25" t="str">
        <f>IF($A90="","",INDEX(tblIssues[Item Name],MATCH(ROW()-5,tblIssues[Alert Row],0)))</f>
        <v/>
      </c>
      <c r="F90" s="98" t="str">
        <f>IF($A90="","",INDEX(tblIssues[Month],MATCH(ROW()-5,tblIssues[Alert Row],0)))</f>
        <v/>
      </c>
      <c r="G90" s="23" t="str">
        <f>IF($A90="","",INDEX(tblIssues[Units This Month (Staff/Item)],MATCH(ROW()-5,tblIssues[Alert Row],0)))</f>
        <v/>
      </c>
      <c r="H90" s="23" t="str">
        <f>IF($A90="","",INDEX(tblIssues[Monthly Quota],MATCH(ROW()-5,tblIssues[Alert Row],0)))</f>
        <v/>
      </c>
      <c r="I90" s="27" t="str">
        <f t="shared" si="2"/>
        <v/>
      </c>
      <c r="J90" s="31" t="str">
        <f t="shared" si="3"/>
        <v/>
      </c>
    </row>
    <row r="91" spans="1:10" x14ac:dyDescent="0.35">
      <c r="A91" s="18" t="str">
        <f>IFERROR(INDEX(tblIssues[Staff ID],MATCH(ROW()-5,tblIssues[Alert Row],0)),"")</f>
        <v/>
      </c>
      <c r="B91" s="18" t="str">
        <f>IF($A91="","",INDEX(tblIssues[Staff Name (pick)],MATCH(ROW()-5,tblIssues[Alert Row],0)))</f>
        <v/>
      </c>
      <c r="C91" s="18" t="str">
        <f>IF($A91="","",INDEX(tblIssues[Role],MATCH(ROW()-5,tblIssues[Alert Row],0)))</f>
        <v/>
      </c>
      <c r="D91" s="25" t="str">
        <f>IF($A91="","",INDEX(tblIssues[Area],MATCH(ROW()-5,tblIssues[Alert Row],0)))</f>
        <v/>
      </c>
      <c r="E91" s="25" t="str">
        <f>IF($A91="","",INDEX(tblIssues[Item Name],MATCH(ROW()-5,tblIssues[Alert Row],0)))</f>
        <v/>
      </c>
      <c r="F91" s="98" t="str">
        <f>IF($A91="","",INDEX(tblIssues[Month],MATCH(ROW()-5,tblIssues[Alert Row],0)))</f>
        <v/>
      </c>
      <c r="G91" s="23" t="str">
        <f>IF($A91="","",INDEX(tblIssues[Units This Month (Staff/Item)],MATCH(ROW()-5,tblIssues[Alert Row],0)))</f>
        <v/>
      </c>
      <c r="H91" s="23" t="str">
        <f>IF($A91="","",INDEX(tblIssues[Monthly Quota],MATCH(ROW()-5,tblIssues[Alert Row],0)))</f>
        <v/>
      </c>
      <c r="I91" s="27" t="str">
        <f t="shared" si="2"/>
        <v/>
      </c>
      <c r="J91" s="31" t="str">
        <f t="shared" si="3"/>
        <v/>
      </c>
    </row>
    <row r="92" spans="1:10" x14ac:dyDescent="0.35">
      <c r="A92" s="18" t="str">
        <f>IFERROR(INDEX(tblIssues[Staff ID],MATCH(ROW()-5,tblIssues[Alert Row],0)),"")</f>
        <v/>
      </c>
      <c r="B92" s="18" t="str">
        <f>IF($A92="","",INDEX(tblIssues[Staff Name (pick)],MATCH(ROW()-5,tblIssues[Alert Row],0)))</f>
        <v/>
      </c>
      <c r="C92" s="18" t="str">
        <f>IF($A92="","",INDEX(tblIssues[Role],MATCH(ROW()-5,tblIssues[Alert Row],0)))</f>
        <v/>
      </c>
      <c r="D92" s="25" t="str">
        <f>IF($A92="","",INDEX(tblIssues[Area],MATCH(ROW()-5,tblIssues[Alert Row],0)))</f>
        <v/>
      </c>
      <c r="E92" s="25" t="str">
        <f>IF($A92="","",INDEX(tblIssues[Item Name],MATCH(ROW()-5,tblIssues[Alert Row],0)))</f>
        <v/>
      </c>
      <c r="F92" s="98" t="str">
        <f>IF($A92="","",INDEX(tblIssues[Month],MATCH(ROW()-5,tblIssues[Alert Row],0)))</f>
        <v/>
      </c>
      <c r="G92" s="23" t="str">
        <f>IF($A92="","",INDEX(tblIssues[Units This Month (Staff/Item)],MATCH(ROW()-5,tblIssues[Alert Row],0)))</f>
        <v/>
      </c>
      <c r="H92" s="23" t="str">
        <f>IF($A92="","",INDEX(tblIssues[Monthly Quota],MATCH(ROW()-5,tblIssues[Alert Row],0)))</f>
        <v/>
      </c>
      <c r="I92" s="27" t="str">
        <f t="shared" si="2"/>
        <v/>
      </c>
      <c r="J92" s="31" t="str">
        <f t="shared" si="3"/>
        <v/>
      </c>
    </row>
    <row r="93" spans="1:10" x14ac:dyDescent="0.35">
      <c r="A93" s="18" t="str">
        <f>IFERROR(INDEX(tblIssues[Staff ID],MATCH(ROW()-5,tblIssues[Alert Row],0)),"")</f>
        <v/>
      </c>
      <c r="B93" s="18" t="str">
        <f>IF($A93="","",INDEX(tblIssues[Staff Name (pick)],MATCH(ROW()-5,tblIssues[Alert Row],0)))</f>
        <v/>
      </c>
      <c r="C93" s="18" t="str">
        <f>IF($A93="","",INDEX(tblIssues[Role],MATCH(ROW()-5,tblIssues[Alert Row],0)))</f>
        <v/>
      </c>
      <c r="D93" s="25" t="str">
        <f>IF($A93="","",INDEX(tblIssues[Area],MATCH(ROW()-5,tblIssues[Alert Row],0)))</f>
        <v/>
      </c>
      <c r="E93" s="25" t="str">
        <f>IF($A93="","",INDEX(tblIssues[Item Name],MATCH(ROW()-5,tblIssues[Alert Row],0)))</f>
        <v/>
      </c>
      <c r="F93" s="98" t="str">
        <f>IF($A93="","",INDEX(tblIssues[Month],MATCH(ROW()-5,tblIssues[Alert Row],0)))</f>
        <v/>
      </c>
      <c r="G93" s="23" t="str">
        <f>IF($A93="","",INDEX(tblIssues[Units This Month (Staff/Item)],MATCH(ROW()-5,tblIssues[Alert Row],0)))</f>
        <v/>
      </c>
      <c r="H93" s="23" t="str">
        <f>IF($A93="","",INDEX(tblIssues[Monthly Quota],MATCH(ROW()-5,tblIssues[Alert Row],0)))</f>
        <v/>
      </c>
      <c r="I93" s="27" t="str">
        <f t="shared" si="2"/>
        <v/>
      </c>
      <c r="J93" s="31" t="str">
        <f t="shared" si="3"/>
        <v/>
      </c>
    </row>
    <row r="94" spans="1:10" x14ac:dyDescent="0.35">
      <c r="A94" s="18" t="str">
        <f>IFERROR(INDEX(tblIssues[Staff ID],MATCH(ROW()-5,tblIssues[Alert Row],0)),"")</f>
        <v/>
      </c>
      <c r="B94" s="18" t="str">
        <f>IF($A94="","",INDEX(tblIssues[Staff Name (pick)],MATCH(ROW()-5,tblIssues[Alert Row],0)))</f>
        <v/>
      </c>
      <c r="C94" s="18" t="str">
        <f>IF($A94="","",INDEX(tblIssues[Role],MATCH(ROW()-5,tblIssues[Alert Row],0)))</f>
        <v/>
      </c>
      <c r="D94" s="25" t="str">
        <f>IF($A94="","",INDEX(tblIssues[Area],MATCH(ROW()-5,tblIssues[Alert Row],0)))</f>
        <v/>
      </c>
      <c r="E94" s="25" t="str">
        <f>IF($A94="","",INDEX(tblIssues[Item Name],MATCH(ROW()-5,tblIssues[Alert Row],0)))</f>
        <v/>
      </c>
      <c r="F94" s="98" t="str">
        <f>IF($A94="","",INDEX(tblIssues[Month],MATCH(ROW()-5,tblIssues[Alert Row],0)))</f>
        <v/>
      </c>
      <c r="G94" s="23" t="str">
        <f>IF($A94="","",INDEX(tblIssues[Units This Month (Staff/Item)],MATCH(ROW()-5,tblIssues[Alert Row],0)))</f>
        <v/>
      </c>
      <c r="H94" s="23" t="str">
        <f>IF($A94="","",INDEX(tblIssues[Monthly Quota],MATCH(ROW()-5,tblIssues[Alert Row],0)))</f>
        <v/>
      </c>
      <c r="I94" s="27" t="str">
        <f t="shared" si="2"/>
        <v/>
      </c>
      <c r="J94" s="31" t="str">
        <f t="shared" si="3"/>
        <v/>
      </c>
    </row>
    <row r="95" spans="1:10" x14ac:dyDescent="0.35">
      <c r="A95" s="18" t="str">
        <f>IFERROR(INDEX(tblIssues[Staff ID],MATCH(ROW()-5,tblIssues[Alert Row],0)),"")</f>
        <v/>
      </c>
      <c r="B95" s="18" t="str">
        <f>IF($A95="","",INDEX(tblIssues[Staff Name (pick)],MATCH(ROW()-5,tblIssues[Alert Row],0)))</f>
        <v/>
      </c>
      <c r="C95" s="18" t="str">
        <f>IF($A95="","",INDEX(tblIssues[Role],MATCH(ROW()-5,tblIssues[Alert Row],0)))</f>
        <v/>
      </c>
      <c r="D95" s="25" t="str">
        <f>IF($A95="","",INDEX(tblIssues[Area],MATCH(ROW()-5,tblIssues[Alert Row],0)))</f>
        <v/>
      </c>
      <c r="E95" s="25" t="str">
        <f>IF($A95="","",INDEX(tblIssues[Item Name],MATCH(ROW()-5,tblIssues[Alert Row],0)))</f>
        <v/>
      </c>
      <c r="F95" s="98" t="str">
        <f>IF($A95="","",INDEX(tblIssues[Month],MATCH(ROW()-5,tblIssues[Alert Row],0)))</f>
        <v/>
      </c>
      <c r="G95" s="23" t="str">
        <f>IF($A95="","",INDEX(tblIssues[Units This Month (Staff/Item)],MATCH(ROW()-5,tblIssues[Alert Row],0)))</f>
        <v/>
      </c>
      <c r="H95" s="23" t="str">
        <f>IF($A95="","",INDEX(tblIssues[Monthly Quota],MATCH(ROW()-5,tblIssues[Alert Row],0)))</f>
        <v/>
      </c>
      <c r="I95" s="27" t="str">
        <f t="shared" si="2"/>
        <v/>
      </c>
      <c r="J95" s="31" t="str">
        <f t="shared" si="3"/>
        <v/>
      </c>
    </row>
    <row r="96" spans="1:10" x14ac:dyDescent="0.35">
      <c r="A96" s="18" t="str">
        <f>IFERROR(INDEX(tblIssues[Staff ID],MATCH(ROW()-5,tblIssues[Alert Row],0)),"")</f>
        <v/>
      </c>
      <c r="B96" s="18" t="str">
        <f>IF($A96="","",INDEX(tblIssues[Staff Name (pick)],MATCH(ROW()-5,tblIssues[Alert Row],0)))</f>
        <v/>
      </c>
      <c r="C96" s="18" t="str">
        <f>IF($A96="","",INDEX(tblIssues[Role],MATCH(ROW()-5,tblIssues[Alert Row],0)))</f>
        <v/>
      </c>
      <c r="D96" s="25" t="str">
        <f>IF($A96="","",INDEX(tblIssues[Area],MATCH(ROW()-5,tblIssues[Alert Row],0)))</f>
        <v/>
      </c>
      <c r="E96" s="25" t="str">
        <f>IF($A96="","",INDEX(tblIssues[Item Name],MATCH(ROW()-5,tblIssues[Alert Row],0)))</f>
        <v/>
      </c>
      <c r="F96" s="98" t="str">
        <f>IF($A96="","",INDEX(tblIssues[Month],MATCH(ROW()-5,tblIssues[Alert Row],0)))</f>
        <v/>
      </c>
      <c r="G96" s="23" t="str">
        <f>IF($A96="","",INDEX(tblIssues[Units This Month (Staff/Item)],MATCH(ROW()-5,tblIssues[Alert Row],0)))</f>
        <v/>
      </c>
      <c r="H96" s="23" t="str">
        <f>IF($A96="","",INDEX(tblIssues[Monthly Quota],MATCH(ROW()-5,tblIssues[Alert Row],0)))</f>
        <v/>
      </c>
      <c r="I96" s="27" t="str">
        <f t="shared" si="2"/>
        <v/>
      </c>
      <c r="J96" s="31" t="str">
        <f t="shared" si="3"/>
        <v/>
      </c>
    </row>
    <row r="97" spans="1:10" x14ac:dyDescent="0.35">
      <c r="A97" s="18" t="str">
        <f>IFERROR(INDEX(tblIssues[Staff ID],MATCH(ROW()-5,tblIssues[Alert Row],0)),"")</f>
        <v/>
      </c>
      <c r="B97" s="18" t="str">
        <f>IF($A97="","",INDEX(tblIssues[Staff Name (pick)],MATCH(ROW()-5,tblIssues[Alert Row],0)))</f>
        <v/>
      </c>
      <c r="C97" s="18" t="str">
        <f>IF($A97="","",INDEX(tblIssues[Role],MATCH(ROW()-5,tblIssues[Alert Row],0)))</f>
        <v/>
      </c>
      <c r="D97" s="25" t="str">
        <f>IF($A97="","",INDEX(tblIssues[Area],MATCH(ROW()-5,tblIssues[Alert Row],0)))</f>
        <v/>
      </c>
      <c r="E97" s="25" t="str">
        <f>IF($A97="","",INDEX(tblIssues[Item Name],MATCH(ROW()-5,tblIssues[Alert Row],0)))</f>
        <v/>
      </c>
      <c r="F97" s="98" t="str">
        <f>IF($A97="","",INDEX(tblIssues[Month],MATCH(ROW()-5,tblIssues[Alert Row],0)))</f>
        <v/>
      </c>
      <c r="G97" s="23" t="str">
        <f>IF($A97="","",INDEX(tblIssues[Units This Month (Staff/Item)],MATCH(ROW()-5,tblIssues[Alert Row],0)))</f>
        <v/>
      </c>
      <c r="H97" s="23" t="str">
        <f>IF($A97="","",INDEX(tblIssues[Monthly Quota],MATCH(ROW()-5,tblIssues[Alert Row],0)))</f>
        <v/>
      </c>
      <c r="I97" s="27" t="str">
        <f t="shared" si="2"/>
        <v/>
      </c>
      <c r="J97" s="31" t="str">
        <f t="shared" si="3"/>
        <v/>
      </c>
    </row>
    <row r="98" spans="1:10" x14ac:dyDescent="0.35">
      <c r="A98" s="18" t="str">
        <f>IFERROR(INDEX(tblIssues[Staff ID],MATCH(ROW()-5,tblIssues[Alert Row],0)),"")</f>
        <v/>
      </c>
      <c r="B98" s="18" t="str">
        <f>IF($A98="","",INDEX(tblIssues[Staff Name (pick)],MATCH(ROW()-5,tblIssues[Alert Row],0)))</f>
        <v/>
      </c>
      <c r="C98" s="18" t="str">
        <f>IF($A98="","",INDEX(tblIssues[Role],MATCH(ROW()-5,tblIssues[Alert Row],0)))</f>
        <v/>
      </c>
      <c r="D98" s="25" t="str">
        <f>IF($A98="","",INDEX(tblIssues[Area],MATCH(ROW()-5,tblIssues[Alert Row],0)))</f>
        <v/>
      </c>
      <c r="E98" s="25" t="str">
        <f>IF($A98="","",INDEX(tblIssues[Item Name],MATCH(ROW()-5,tblIssues[Alert Row],0)))</f>
        <v/>
      </c>
      <c r="F98" s="98" t="str">
        <f>IF($A98="","",INDEX(tblIssues[Month],MATCH(ROW()-5,tblIssues[Alert Row],0)))</f>
        <v/>
      </c>
      <c r="G98" s="23" t="str">
        <f>IF($A98="","",INDEX(tblIssues[Units This Month (Staff/Item)],MATCH(ROW()-5,tblIssues[Alert Row],0)))</f>
        <v/>
      </c>
      <c r="H98" s="23" t="str">
        <f>IF($A98="","",INDEX(tblIssues[Monthly Quota],MATCH(ROW()-5,tblIssues[Alert Row],0)))</f>
        <v/>
      </c>
      <c r="I98" s="27" t="str">
        <f t="shared" si="2"/>
        <v/>
      </c>
      <c r="J98" s="31" t="str">
        <f t="shared" si="3"/>
        <v/>
      </c>
    </row>
    <row r="99" spans="1:10" x14ac:dyDescent="0.35">
      <c r="A99" s="18" t="str">
        <f>IFERROR(INDEX(tblIssues[Staff ID],MATCH(ROW()-5,tblIssues[Alert Row],0)),"")</f>
        <v/>
      </c>
      <c r="B99" s="18" t="str">
        <f>IF($A99="","",INDEX(tblIssues[Staff Name (pick)],MATCH(ROW()-5,tblIssues[Alert Row],0)))</f>
        <v/>
      </c>
      <c r="C99" s="18" t="str">
        <f>IF($A99="","",INDEX(tblIssues[Role],MATCH(ROW()-5,tblIssues[Alert Row],0)))</f>
        <v/>
      </c>
      <c r="D99" s="25" t="str">
        <f>IF($A99="","",INDEX(tblIssues[Area],MATCH(ROW()-5,tblIssues[Alert Row],0)))</f>
        <v/>
      </c>
      <c r="E99" s="25" t="str">
        <f>IF($A99="","",INDEX(tblIssues[Item Name],MATCH(ROW()-5,tblIssues[Alert Row],0)))</f>
        <v/>
      </c>
      <c r="F99" s="98" t="str">
        <f>IF($A99="","",INDEX(tblIssues[Month],MATCH(ROW()-5,tblIssues[Alert Row],0)))</f>
        <v/>
      </c>
      <c r="G99" s="23" t="str">
        <f>IF($A99="","",INDEX(tblIssues[Units This Month (Staff/Item)],MATCH(ROW()-5,tblIssues[Alert Row],0)))</f>
        <v/>
      </c>
      <c r="H99" s="23" t="str">
        <f>IF($A99="","",INDEX(tblIssues[Monthly Quota],MATCH(ROW()-5,tblIssues[Alert Row],0)))</f>
        <v/>
      </c>
      <c r="I99" s="27" t="str">
        <f t="shared" si="2"/>
        <v/>
      </c>
      <c r="J99" s="31" t="str">
        <f t="shared" si="3"/>
        <v/>
      </c>
    </row>
    <row r="100" spans="1:10" x14ac:dyDescent="0.35">
      <c r="A100" s="18" t="str">
        <f>IFERROR(INDEX(tblIssues[Staff ID],MATCH(ROW()-5,tblIssues[Alert Row],0)),"")</f>
        <v/>
      </c>
      <c r="B100" s="18" t="str">
        <f>IF($A100="","",INDEX(tblIssues[Staff Name (pick)],MATCH(ROW()-5,tblIssues[Alert Row],0)))</f>
        <v/>
      </c>
      <c r="C100" s="18" t="str">
        <f>IF($A100="","",INDEX(tblIssues[Role],MATCH(ROW()-5,tblIssues[Alert Row],0)))</f>
        <v/>
      </c>
      <c r="D100" s="25" t="str">
        <f>IF($A100="","",INDEX(tblIssues[Area],MATCH(ROW()-5,tblIssues[Alert Row],0)))</f>
        <v/>
      </c>
      <c r="E100" s="25" t="str">
        <f>IF($A100="","",INDEX(tblIssues[Item Name],MATCH(ROW()-5,tblIssues[Alert Row],0)))</f>
        <v/>
      </c>
      <c r="F100" s="98" t="str">
        <f>IF($A100="","",INDEX(tblIssues[Month],MATCH(ROW()-5,tblIssues[Alert Row],0)))</f>
        <v/>
      </c>
      <c r="G100" s="23" t="str">
        <f>IF($A100="","",INDEX(tblIssues[Units This Month (Staff/Item)],MATCH(ROW()-5,tblIssues[Alert Row],0)))</f>
        <v/>
      </c>
      <c r="H100" s="23" t="str">
        <f>IF($A100="","",INDEX(tblIssues[Monthly Quota],MATCH(ROW()-5,tblIssues[Alert Row],0)))</f>
        <v/>
      </c>
      <c r="I100" s="27" t="str">
        <f t="shared" si="2"/>
        <v/>
      </c>
      <c r="J100" s="31" t="str">
        <f t="shared" si="3"/>
        <v/>
      </c>
    </row>
    <row r="101" spans="1:10" x14ac:dyDescent="0.35">
      <c r="A101" s="18" t="str">
        <f>IFERROR(INDEX(tblIssues[Staff ID],MATCH(ROW()-5,tblIssues[Alert Row],0)),"")</f>
        <v/>
      </c>
      <c r="B101" s="18" t="str">
        <f>IF($A101="","",INDEX(tblIssues[Staff Name (pick)],MATCH(ROW()-5,tblIssues[Alert Row],0)))</f>
        <v/>
      </c>
      <c r="C101" s="18" t="str">
        <f>IF($A101="","",INDEX(tblIssues[Role],MATCH(ROW()-5,tblIssues[Alert Row],0)))</f>
        <v/>
      </c>
      <c r="D101" s="25" t="str">
        <f>IF($A101="","",INDEX(tblIssues[Area],MATCH(ROW()-5,tblIssues[Alert Row],0)))</f>
        <v/>
      </c>
      <c r="E101" s="25" t="str">
        <f>IF($A101="","",INDEX(tblIssues[Item Name],MATCH(ROW()-5,tblIssues[Alert Row],0)))</f>
        <v/>
      </c>
      <c r="F101" s="98" t="str">
        <f>IF($A101="","",INDEX(tblIssues[Month],MATCH(ROW()-5,tblIssues[Alert Row],0)))</f>
        <v/>
      </c>
      <c r="G101" s="23" t="str">
        <f>IF($A101="","",INDEX(tblIssues[Units This Month (Staff/Item)],MATCH(ROW()-5,tblIssues[Alert Row],0)))</f>
        <v/>
      </c>
      <c r="H101" s="23" t="str">
        <f>IF($A101="","",INDEX(tblIssues[Monthly Quota],MATCH(ROW()-5,tblIssues[Alert Row],0)))</f>
        <v/>
      </c>
      <c r="I101" s="27" t="str">
        <f t="shared" si="2"/>
        <v/>
      </c>
      <c r="J101" s="31" t="str">
        <f t="shared" si="3"/>
        <v/>
      </c>
    </row>
    <row r="102" spans="1:10" x14ac:dyDescent="0.35">
      <c r="A102" s="18" t="str">
        <f>IFERROR(INDEX(tblIssues[Staff ID],MATCH(ROW()-5,tblIssues[Alert Row],0)),"")</f>
        <v/>
      </c>
      <c r="B102" s="18" t="str">
        <f>IF($A102="","",INDEX(tblIssues[Staff Name (pick)],MATCH(ROW()-5,tblIssues[Alert Row],0)))</f>
        <v/>
      </c>
      <c r="C102" s="18" t="str">
        <f>IF($A102="","",INDEX(tblIssues[Role],MATCH(ROW()-5,tblIssues[Alert Row],0)))</f>
        <v/>
      </c>
      <c r="D102" s="25" t="str">
        <f>IF($A102="","",INDEX(tblIssues[Area],MATCH(ROW()-5,tblIssues[Alert Row],0)))</f>
        <v/>
      </c>
      <c r="E102" s="25" t="str">
        <f>IF($A102="","",INDEX(tblIssues[Item Name],MATCH(ROW()-5,tblIssues[Alert Row],0)))</f>
        <v/>
      </c>
      <c r="F102" s="98" t="str">
        <f>IF($A102="","",INDEX(tblIssues[Month],MATCH(ROW()-5,tblIssues[Alert Row],0)))</f>
        <v/>
      </c>
      <c r="G102" s="23" t="str">
        <f>IF($A102="","",INDEX(tblIssues[Units This Month (Staff/Item)],MATCH(ROW()-5,tblIssues[Alert Row],0)))</f>
        <v/>
      </c>
      <c r="H102" s="23" t="str">
        <f>IF($A102="","",INDEX(tblIssues[Monthly Quota],MATCH(ROW()-5,tblIssues[Alert Row],0)))</f>
        <v/>
      </c>
      <c r="I102" s="27" t="str">
        <f t="shared" si="2"/>
        <v/>
      </c>
      <c r="J102" s="31" t="str">
        <f t="shared" si="3"/>
        <v/>
      </c>
    </row>
    <row r="103" spans="1:10" x14ac:dyDescent="0.35">
      <c r="A103" s="18" t="str">
        <f>IFERROR(INDEX(tblIssues[Staff ID],MATCH(ROW()-5,tblIssues[Alert Row],0)),"")</f>
        <v/>
      </c>
      <c r="B103" s="18" t="str">
        <f>IF($A103="","",INDEX(tblIssues[Staff Name (pick)],MATCH(ROW()-5,tblIssues[Alert Row],0)))</f>
        <v/>
      </c>
      <c r="C103" s="18" t="str">
        <f>IF($A103="","",INDEX(tblIssues[Role],MATCH(ROW()-5,tblIssues[Alert Row],0)))</f>
        <v/>
      </c>
      <c r="D103" s="25" t="str">
        <f>IF($A103="","",INDEX(tblIssues[Area],MATCH(ROW()-5,tblIssues[Alert Row],0)))</f>
        <v/>
      </c>
      <c r="E103" s="25" t="str">
        <f>IF($A103="","",INDEX(tblIssues[Item Name],MATCH(ROW()-5,tblIssues[Alert Row],0)))</f>
        <v/>
      </c>
      <c r="F103" s="98" t="str">
        <f>IF($A103="","",INDEX(tblIssues[Month],MATCH(ROW()-5,tblIssues[Alert Row],0)))</f>
        <v/>
      </c>
      <c r="G103" s="23" t="str">
        <f>IF($A103="","",INDEX(tblIssues[Units This Month (Staff/Item)],MATCH(ROW()-5,tblIssues[Alert Row],0)))</f>
        <v/>
      </c>
      <c r="H103" s="23" t="str">
        <f>IF($A103="","",INDEX(tblIssues[Monthly Quota],MATCH(ROW()-5,tblIssues[Alert Row],0)))</f>
        <v/>
      </c>
      <c r="I103" s="27" t="str">
        <f t="shared" si="2"/>
        <v/>
      </c>
      <c r="J103" s="31" t="str">
        <f t="shared" si="3"/>
        <v/>
      </c>
    </row>
    <row r="104" spans="1:10" x14ac:dyDescent="0.35">
      <c r="A104" s="18" t="str">
        <f>IFERROR(INDEX(tblIssues[Staff ID],MATCH(ROW()-5,tblIssues[Alert Row],0)),"")</f>
        <v/>
      </c>
      <c r="B104" s="18" t="str">
        <f>IF($A104="","",INDEX(tblIssues[Staff Name (pick)],MATCH(ROW()-5,tblIssues[Alert Row],0)))</f>
        <v/>
      </c>
      <c r="C104" s="18" t="str">
        <f>IF($A104="","",INDEX(tblIssues[Role],MATCH(ROW()-5,tblIssues[Alert Row],0)))</f>
        <v/>
      </c>
      <c r="D104" s="25" t="str">
        <f>IF($A104="","",INDEX(tblIssues[Area],MATCH(ROW()-5,tblIssues[Alert Row],0)))</f>
        <v/>
      </c>
      <c r="E104" s="25" t="str">
        <f>IF($A104="","",INDEX(tblIssues[Item Name],MATCH(ROW()-5,tblIssues[Alert Row],0)))</f>
        <v/>
      </c>
      <c r="F104" s="98" t="str">
        <f>IF($A104="","",INDEX(tblIssues[Month],MATCH(ROW()-5,tblIssues[Alert Row],0)))</f>
        <v/>
      </c>
      <c r="G104" s="23" t="str">
        <f>IF($A104="","",INDEX(tblIssues[Units This Month (Staff/Item)],MATCH(ROW()-5,tblIssues[Alert Row],0)))</f>
        <v/>
      </c>
      <c r="H104" s="23" t="str">
        <f>IF($A104="","",INDEX(tblIssues[Monthly Quota],MATCH(ROW()-5,tblIssues[Alert Row],0)))</f>
        <v/>
      </c>
      <c r="I104" s="27" t="str">
        <f t="shared" si="2"/>
        <v/>
      </c>
      <c r="J104" s="31" t="str">
        <f t="shared" si="3"/>
        <v/>
      </c>
    </row>
    <row r="105" spans="1:10" x14ac:dyDescent="0.35">
      <c r="A105" s="18" t="str">
        <f>IFERROR(INDEX(tblIssues[Staff ID],MATCH(ROW()-5,tblIssues[Alert Row],0)),"")</f>
        <v/>
      </c>
      <c r="B105" s="18" t="str">
        <f>IF($A105="","",INDEX(tblIssues[Staff Name (pick)],MATCH(ROW()-5,tblIssues[Alert Row],0)))</f>
        <v/>
      </c>
      <c r="C105" s="18" t="str">
        <f>IF($A105="","",INDEX(tblIssues[Role],MATCH(ROW()-5,tblIssues[Alert Row],0)))</f>
        <v/>
      </c>
      <c r="D105" s="25" t="str">
        <f>IF($A105="","",INDEX(tblIssues[Area],MATCH(ROW()-5,tblIssues[Alert Row],0)))</f>
        <v/>
      </c>
      <c r="E105" s="25" t="str">
        <f>IF($A105="","",INDEX(tblIssues[Item Name],MATCH(ROW()-5,tblIssues[Alert Row],0)))</f>
        <v/>
      </c>
      <c r="F105" s="98" t="str">
        <f>IF($A105="","",INDEX(tblIssues[Month],MATCH(ROW()-5,tblIssues[Alert Row],0)))</f>
        <v/>
      </c>
      <c r="G105" s="23" t="str">
        <f>IF($A105="","",INDEX(tblIssues[Units This Month (Staff/Item)],MATCH(ROW()-5,tblIssues[Alert Row],0)))</f>
        <v/>
      </c>
      <c r="H105" s="23" t="str">
        <f>IF($A105="","",INDEX(tblIssues[Monthly Quota],MATCH(ROW()-5,tblIssues[Alert Row],0)))</f>
        <v/>
      </c>
      <c r="I105" s="27" t="str">
        <f t="shared" si="2"/>
        <v/>
      </c>
      <c r="J105" s="31" t="str">
        <f t="shared" si="3"/>
        <v/>
      </c>
    </row>
    <row r="106" spans="1:10" x14ac:dyDescent="0.35">
      <c r="A106" s="18" t="str">
        <f>IFERROR(INDEX(tblIssues[Staff ID],MATCH(ROW()-5,tblIssues[Alert Row],0)),"")</f>
        <v/>
      </c>
      <c r="B106" s="18" t="str">
        <f>IF($A106="","",INDEX(tblIssues[Staff Name (pick)],MATCH(ROW()-5,tblIssues[Alert Row],0)))</f>
        <v/>
      </c>
      <c r="C106" s="18" t="str">
        <f>IF($A106="","",INDEX(tblIssues[Role],MATCH(ROW()-5,tblIssues[Alert Row],0)))</f>
        <v/>
      </c>
      <c r="D106" s="25" t="str">
        <f>IF($A106="","",INDEX(tblIssues[Area],MATCH(ROW()-5,tblIssues[Alert Row],0)))</f>
        <v/>
      </c>
      <c r="E106" s="25" t="str">
        <f>IF($A106="","",INDEX(tblIssues[Item Name],MATCH(ROW()-5,tblIssues[Alert Row],0)))</f>
        <v/>
      </c>
      <c r="F106" s="98" t="str">
        <f>IF($A106="","",INDEX(tblIssues[Month],MATCH(ROW()-5,tblIssues[Alert Row],0)))</f>
        <v/>
      </c>
      <c r="G106" s="23" t="str">
        <f>IF($A106="","",INDEX(tblIssues[Units This Month (Staff/Item)],MATCH(ROW()-5,tblIssues[Alert Row],0)))</f>
        <v/>
      </c>
      <c r="H106" s="23" t="str">
        <f>IF($A106="","",INDEX(tblIssues[Monthly Quota],MATCH(ROW()-5,tblIssues[Alert Row],0)))</f>
        <v/>
      </c>
      <c r="I106" s="27" t="str">
        <f t="shared" si="2"/>
        <v/>
      </c>
      <c r="J106" s="31" t="str">
        <f t="shared" si="3"/>
        <v/>
      </c>
    </row>
    <row r="107" spans="1:10" x14ac:dyDescent="0.35">
      <c r="A107" s="18" t="str">
        <f>IFERROR(INDEX(tblIssues[Staff ID],MATCH(ROW()-5,tblIssues[Alert Row],0)),"")</f>
        <v/>
      </c>
      <c r="B107" s="18" t="str">
        <f>IF($A107="","",INDEX(tblIssues[Staff Name (pick)],MATCH(ROW()-5,tblIssues[Alert Row],0)))</f>
        <v/>
      </c>
      <c r="C107" s="18" t="str">
        <f>IF($A107="","",INDEX(tblIssues[Role],MATCH(ROW()-5,tblIssues[Alert Row],0)))</f>
        <v/>
      </c>
      <c r="D107" s="25" t="str">
        <f>IF($A107="","",INDEX(tblIssues[Area],MATCH(ROW()-5,tblIssues[Alert Row],0)))</f>
        <v/>
      </c>
      <c r="E107" s="25" t="str">
        <f>IF($A107="","",INDEX(tblIssues[Item Name],MATCH(ROW()-5,tblIssues[Alert Row],0)))</f>
        <v/>
      </c>
      <c r="F107" s="98" t="str">
        <f>IF($A107="","",INDEX(tblIssues[Month],MATCH(ROW()-5,tblIssues[Alert Row],0)))</f>
        <v/>
      </c>
      <c r="G107" s="23" t="str">
        <f>IF($A107="","",INDEX(tblIssues[Units This Month (Staff/Item)],MATCH(ROW()-5,tblIssues[Alert Row],0)))</f>
        <v/>
      </c>
      <c r="H107" s="23" t="str">
        <f>IF($A107="","",INDEX(tblIssues[Monthly Quota],MATCH(ROW()-5,tblIssues[Alert Row],0)))</f>
        <v/>
      </c>
      <c r="I107" s="27" t="str">
        <f t="shared" si="2"/>
        <v/>
      </c>
      <c r="J107" s="31" t="str">
        <f t="shared" si="3"/>
        <v/>
      </c>
    </row>
    <row r="108" spans="1:10" x14ac:dyDescent="0.35">
      <c r="A108" s="18" t="str">
        <f>IFERROR(INDEX(tblIssues[Staff ID],MATCH(ROW()-5,tblIssues[Alert Row],0)),"")</f>
        <v/>
      </c>
      <c r="B108" s="18" t="str">
        <f>IF($A108="","",INDEX(tblIssues[Staff Name (pick)],MATCH(ROW()-5,tblIssues[Alert Row],0)))</f>
        <v/>
      </c>
      <c r="C108" s="18" t="str">
        <f>IF($A108="","",INDEX(tblIssues[Role],MATCH(ROW()-5,tblIssues[Alert Row],0)))</f>
        <v/>
      </c>
      <c r="D108" s="25" t="str">
        <f>IF($A108="","",INDEX(tblIssues[Area],MATCH(ROW()-5,tblIssues[Alert Row],0)))</f>
        <v/>
      </c>
      <c r="E108" s="25" t="str">
        <f>IF($A108="","",INDEX(tblIssues[Item Name],MATCH(ROW()-5,tblIssues[Alert Row],0)))</f>
        <v/>
      </c>
      <c r="F108" s="98" t="str">
        <f>IF($A108="","",INDEX(tblIssues[Month],MATCH(ROW()-5,tblIssues[Alert Row],0)))</f>
        <v/>
      </c>
      <c r="G108" s="23" t="str">
        <f>IF($A108="","",INDEX(tblIssues[Units This Month (Staff/Item)],MATCH(ROW()-5,tblIssues[Alert Row],0)))</f>
        <v/>
      </c>
      <c r="H108" s="23" t="str">
        <f>IF($A108="","",INDEX(tblIssues[Monthly Quota],MATCH(ROW()-5,tblIssues[Alert Row],0)))</f>
        <v/>
      </c>
      <c r="I108" s="27" t="str">
        <f t="shared" si="2"/>
        <v/>
      </c>
      <c r="J108" s="31" t="str">
        <f t="shared" si="3"/>
        <v/>
      </c>
    </row>
    <row r="109" spans="1:10" x14ac:dyDescent="0.35">
      <c r="A109" s="18" t="str">
        <f>IFERROR(INDEX(tblIssues[Staff ID],MATCH(ROW()-5,tblIssues[Alert Row],0)),"")</f>
        <v/>
      </c>
      <c r="B109" s="18" t="str">
        <f>IF($A109="","",INDEX(tblIssues[Staff Name (pick)],MATCH(ROW()-5,tblIssues[Alert Row],0)))</f>
        <v/>
      </c>
      <c r="C109" s="18" t="str">
        <f>IF($A109="","",INDEX(tblIssues[Role],MATCH(ROW()-5,tblIssues[Alert Row],0)))</f>
        <v/>
      </c>
      <c r="D109" s="25" t="str">
        <f>IF($A109="","",INDEX(tblIssues[Area],MATCH(ROW()-5,tblIssues[Alert Row],0)))</f>
        <v/>
      </c>
      <c r="E109" s="25" t="str">
        <f>IF($A109="","",INDEX(tblIssues[Item Name],MATCH(ROW()-5,tblIssues[Alert Row],0)))</f>
        <v/>
      </c>
      <c r="F109" s="98" t="str">
        <f>IF($A109="","",INDEX(tblIssues[Month],MATCH(ROW()-5,tblIssues[Alert Row],0)))</f>
        <v/>
      </c>
      <c r="G109" s="23" t="str">
        <f>IF($A109="","",INDEX(tblIssues[Units This Month (Staff/Item)],MATCH(ROW()-5,tblIssues[Alert Row],0)))</f>
        <v/>
      </c>
      <c r="H109" s="23" t="str">
        <f>IF($A109="","",INDEX(tblIssues[Monthly Quota],MATCH(ROW()-5,tblIssues[Alert Row],0)))</f>
        <v/>
      </c>
      <c r="I109" s="27" t="str">
        <f t="shared" si="2"/>
        <v/>
      </c>
      <c r="J109" s="31" t="str">
        <f t="shared" si="3"/>
        <v/>
      </c>
    </row>
    <row r="110" spans="1:10" x14ac:dyDescent="0.35">
      <c r="A110" s="18" t="str">
        <f>IFERROR(INDEX(tblIssues[Staff ID],MATCH(ROW()-5,tblIssues[Alert Row],0)),"")</f>
        <v/>
      </c>
      <c r="B110" s="18" t="str">
        <f>IF($A110="","",INDEX(tblIssues[Staff Name (pick)],MATCH(ROW()-5,tblIssues[Alert Row],0)))</f>
        <v/>
      </c>
      <c r="C110" s="18" t="str">
        <f>IF($A110="","",INDEX(tblIssues[Role],MATCH(ROW()-5,tblIssues[Alert Row],0)))</f>
        <v/>
      </c>
      <c r="D110" s="25" t="str">
        <f>IF($A110="","",INDEX(tblIssues[Area],MATCH(ROW()-5,tblIssues[Alert Row],0)))</f>
        <v/>
      </c>
      <c r="E110" s="25" t="str">
        <f>IF($A110="","",INDEX(tblIssues[Item Name],MATCH(ROW()-5,tblIssues[Alert Row],0)))</f>
        <v/>
      </c>
      <c r="F110" s="98" t="str">
        <f>IF($A110="","",INDEX(tblIssues[Month],MATCH(ROW()-5,tblIssues[Alert Row],0)))</f>
        <v/>
      </c>
      <c r="G110" s="23" t="str">
        <f>IF($A110="","",INDEX(tblIssues[Units This Month (Staff/Item)],MATCH(ROW()-5,tblIssues[Alert Row],0)))</f>
        <v/>
      </c>
      <c r="H110" s="23" t="str">
        <f>IF($A110="","",INDEX(tblIssues[Monthly Quota],MATCH(ROW()-5,tblIssues[Alert Row],0)))</f>
        <v/>
      </c>
      <c r="I110" s="27" t="str">
        <f t="shared" si="2"/>
        <v/>
      </c>
      <c r="J110" s="31" t="str">
        <f t="shared" si="3"/>
        <v/>
      </c>
    </row>
    <row r="111" spans="1:10" x14ac:dyDescent="0.35">
      <c r="A111" s="18" t="str">
        <f>IFERROR(INDEX(tblIssues[Staff ID],MATCH(ROW()-5,tblIssues[Alert Row],0)),"")</f>
        <v/>
      </c>
      <c r="B111" s="18" t="str">
        <f>IF($A111="","",INDEX(tblIssues[Staff Name (pick)],MATCH(ROW()-5,tblIssues[Alert Row],0)))</f>
        <v/>
      </c>
      <c r="C111" s="18" t="str">
        <f>IF($A111="","",INDEX(tblIssues[Role],MATCH(ROW()-5,tblIssues[Alert Row],0)))</f>
        <v/>
      </c>
      <c r="D111" s="25" t="str">
        <f>IF($A111="","",INDEX(tblIssues[Area],MATCH(ROW()-5,tblIssues[Alert Row],0)))</f>
        <v/>
      </c>
      <c r="E111" s="25" t="str">
        <f>IF($A111="","",INDEX(tblIssues[Item Name],MATCH(ROW()-5,tblIssues[Alert Row],0)))</f>
        <v/>
      </c>
      <c r="F111" s="98" t="str">
        <f>IF($A111="","",INDEX(tblIssues[Month],MATCH(ROW()-5,tblIssues[Alert Row],0)))</f>
        <v/>
      </c>
      <c r="G111" s="23" t="str">
        <f>IF($A111="","",INDEX(tblIssues[Units This Month (Staff/Item)],MATCH(ROW()-5,tblIssues[Alert Row],0)))</f>
        <v/>
      </c>
      <c r="H111" s="23" t="str">
        <f>IF($A111="","",INDEX(tblIssues[Monthly Quota],MATCH(ROW()-5,tblIssues[Alert Row],0)))</f>
        <v/>
      </c>
      <c r="I111" s="27" t="str">
        <f t="shared" si="2"/>
        <v/>
      </c>
      <c r="J111" s="31" t="str">
        <f t="shared" si="3"/>
        <v/>
      </c>
    </row>
    <row r="112" spans="1:10" x14ac:dyDescent="0.35">
      <c r="A112" s="18" t="str">
        <f>IFERROR(INDEX(tblIssues[Staff ID],MATCH(ROW()-5,tblIssues[Alert Row],0)),"")</f>
        <v/>
      </c>
      <c r="B112" s="18" t="str">
        <f>IF($A112="","",INDEX(tblIssues[Staff Name (pick)],MATCH(ROW()-5,tblIssues[Alert Row],0)))</f>
        <v/>
      </c>
      <c r="C112" s="18" t="str">
        <f>IF($A112="","",INDEX(tblIssues[Role],MATCH(ROW()-5,tblIssues[Alert Row],0)))</f>
        <v/>
      </c>
      <c r="D112" s="25" t="str">
        <f>IF($A112="","",INDEX(tblIssues[Area],MATCH(ROW()-5,tblIssues[Alert Row],0)))</f>
        <v/>
      </c>
      <c r="E112" s="25" t="str">
        <f>IF($A112="","",INDEX(tblIssues[Item Name],MATCH(ROW()-5,tblIssues[Alert Row],0)))</f>
        <v/>
      </c>
      <c r="F112" s="98" t="str">
        <f>IF($A112="","",INDEX(tblIssues[Month],MATCH(ROW()-5,tblIssues[Alert Row],0)))</f>
        <v/>
      </c>
      <c r="G112" s="23" t="str">
        <f>IF($A112="","",INDEX(tblIssues[Units This Month (Staff/Item)],MATCH(ROW()-5,tblIssues[Alert Row],0)))</f>
        <v/>
      </c>
      <c r="H112" s="23" t="str">
        <f>IF($A112="","",INDEX(tblIssues[Monthly Quota],MATCH(ROW()-5,tblIssues[Alert Row],0)))</f>
        <v/>
      </c>
      <c r="I112" s="27" t="str">
        <f t="shared" si="2"/>
        <v/>
      </c>
      <c r="J112" s="31" t="str">
        <f t="shared" si="3"/>
        <v/>
      </c>
    </row>
    <row r="113" spans="1:10" x14ac:dyDescent="0.35">
      <c r="A113" s="18" t="str">
        <f>IFERROR(INDEX(tblIssues[Staff ID],MATCH(ROW()-5,tblIssues[Alert Row],0)),"")</f>
        <v/>
      </c>
      <c r="B113" s="18" t="str">
        <f>IF($A113="","",INDEX(tblIssues[Staff Name (pick)],MATCH(ROW()-5,tblIssues[Alert Row],0)))</f>
        <v/>
      </c>
      <c r="C113" s="18" t="str">
        <f>IF($A113="","",INDEX(tblIssues[Role],MATCH(ROW()-5,tblIssues[Alert Row],0)))</f>
        <v/>
      </c>
      <c r="D113" s="25" t="str">
        <f>IF($A113="","",INDEX(tblIssues[Area],MATCH(ROW()-5,tblIssues[Alert Row],0)))</f>
        <v/>
      </c>
      <c r="E113" s="25" t="str">
        <f>IF($A113="","",INDEX(tblIssues[Item Name],MATCH(ROW()-5,tblIssues[Alert Row],0)))</f>
        <v/>
      </c>
      <c r="F113" s="98" t="str">
        <f>IF($A113="","",INDEX(tblIssues[Month],MATCH(ROW()-5,tblIssues[Alert Row],0)))</f>
        <v/>
      </c>
      <c r="G113" s="23" t="str">
        <f>IF($A113="","",INDEX(tblIssues[Units This Month (Staff/Item)],MATCH(ROW()-5,tblIssues[Alert Row],0)))</f>
        <v/>
      </c>
      <c r="H113" s="23" t="str">
        <f>IF($A113="","",INDEX(tblIssues[Monthly Quota],MATCH(ROW()-5,tblIssues[Alert Row],0)))</f>
        <v/>
      </c>
      <c r="I113" s="27" t="str">
        <f t="shared" si="2"/>
        <v/>
      </c>
      <c r="J113" s="31" t="str">
        <f t="shared" si="3"/>
        <v/>
      </c>
    </row>
    <row r="114" spans="1:10" x14ac:dyDescent="0.35">
      <c r="A114" s="18" t="str">
        <f>IFERROR(INDEX(tblIssues[Staff ID],MATCH(ROW()-5,tblIssues[Alert Row],0)),"")</f>
        <v/>
      </c>
      <c r="B114" s="18" t="str">
        <f>IF($A114="","",INDEX(tblIssues[Staff Name (pick)],MATCH(ROW()-5,tblIssues[Alert Row],0)))</f>
        <v/>
      </c>
      <c r="C114" s="18" t="str">
        <f>IF($A114="","",INDEX(tblIssues[Role],MATCH(ROW()-5,tblIssues[Alert Row],0)))</f>
        <v/>
      </c>
      <c r="D114" s="25" t="str">
        <f>IF($A114="","",INDEX(tblIssues[Area],MATCH(ROW()-5,tblIssues[Alert Row],0)))</f>
        <v/>
      </c>
      <c r="E114" s="25" t="str">
        <f>IF($A114="","",INDEX(tblIssues[Item Name],MATCH(ROW()-5,tblIssues[Alert Row],0)))</f>
        <v/>
      </c>
      <c r="F114" s="98" t="str">
        <f>IF($A114="","",INDEX(tblIssues[Month],MATCH(ROW()-5,tblIssues[Alert Row],0)))</f>
        <v/>
      </c>
      <c r="G114" s="23" t="str">
        <f>IF($A114="","",INDEX(tblIssues[Units This Month (Staff/Item)],MATCH(ROW()-5,tblIssues[Alert Row],0)))</f>
        <v/>
      </c>
      <c r="H114" s="23" t="str">
        <f>IF($A114="","",INDEX(tblIssues[Monthly Quota],MATCH(ROW()-5,tblIssues[Alert Row],0)))</f>
        <v/>
      </c>
      <c r="I114" s="27" t="str">
        <f t="shared" si="2"/>
        <v/>
      </c>
      <c r="J114" s="31" t="str">
        <f t="shared" si="3"/>
        <v/>
      </c>
    </row>
    <row r="115" spans="1:10" x14ac:dyDescent="0.35">
      <c r="A115" s="18" t="str">
        <f>IFERROR(INDEX(tblIssues[Staff ID],MATCH(ROW()-5,tblIssues[Alert Row],0)),"")</f>
        <v/>
      </c>
      <c r="B115" s="18" t="str">
        <f>IF($A115="","",INDEX(tblIssues[Staff Name (pick)],MATCH(ROW()-5,tblIssues[Alert Row],0)))</f>
        <v/>
      </c>
      <c r="C115" s="18" t="str">
        <f>IF($A115="","",INDEX(tblIssues[Role],MATCH(ROW()-5,tblIssues[Alert Row],0)))</f>
        <v/>
      </c>
      <c r="D115" s="25" t="str">
        <f>IF($A115="","",INDEX(tblIssues[Area],MATCH(ROW()-5,tblIssues[Alert Row],0)))</f>
        <v/>
      </c>
      <c r="E115" s="25" t="str">
        <f>IF($A115="","",INDEX(tblIssues[Item Name],MATCH(ROW()-5,tblIssues[Alert Row],0)))</f>
        <v/>
      </c>
      <c r="F115" s="98" t="str">
        <f>IF($A115="","",INDEX(tblIssues[Month],MATCH(ROW()-5,tblIssues[Alert Row],0)))</f>
        <v/>
      </c>
      <c r="G115" s="23" t="str">
        <f>IF($A115="","",INDEX(tblIssues[Units This Month (Staff/Item)],MATCH(ROW()-5,tblIssues[Alert Row],0)))</f>
        <v/>
      </c>
      <c r="H115" s="23" t="str">
        <f>IF($A115="","",INDEX(tblIssues[Monthly Quota],MATCH(ROW()-5,tblIssues[Alert Row],0)))</f>
        <v/>
      </c>
      <c r="I115" s="27" t="str">
        <f t="shared" si="2"/>
        <v/>
      </c>
      <c r="J115" s="31" t="str">
        <f t="shared" si="3"/>
        <v/>
      </c>
    </row>
    <row r="116" spans="1:10" x14ac:dyDescent="0.35">
      <c r="A116" s="18" t="str">
        <f>IFERROR(INDEX(tblIssues[Staff ID],MATCH(ROW()-5,tblIssues[Alert Row],0)),"")</f>
        <v/>
      </c>
      <c r="B116" s="18" t="str">
        <f>IF($A116="","",INDEX(tblIssues[Staff Name (pick)],MATCH(ROW()-5,tblIssues[Alert Row],0)))</f>
        <v/>
      </c>
      <c r="C116" s="18" t="str">
        <f>IF($A116="","",INDEX(tblIssues[Role],MATCH(ROW()-5,tblIssues[Alert Row],0)))</f>
        <v/>
      </c>
      <c r="D116" s="25" t="str">
        <f>IF($A116="","",INDEX(tblIssues[Area],MATCH(ROW()-5,tblIssues[Alert Row],0)))</f>
        <v/>
      </c>
      <c r="E116" s="25" t="str">
        <f>IF($A116="","",INDEX(tblIssues[Item Name],MATCH(ROW()-5,tblIssues[Alert Row],0)))</f>
        <v/>
      </c>
      <c r="F116" s="98" t="str">
        <f>IF($A116="","",INDEX(tblIssues[Month],MATCH(ROW()-5,tblIssues[Alert Row],0)))</f>
        <v/>
      </c>
      <c r="G116" s="23" t="str">
        <f>IF($A116="","",INDEX(tblIssues[Units This Month (Staff/Item)],MATCH(ROW()-5,tblIssues[Alert Row],0)))</f>
        <v/>
      </c>
      <c r="H116" s="23" t="str">
        <f>IF($A116="","",INDEX(tblIssues[Monthly Quota],MATCH(ROW()-5,tblIssues[Alert Row],0)))</f>
        <v/>
      </c>
      <c r="I116" s="27" t="str">
        <f t="shared" si="2"/>
        <v/>
      </c>
      <c r="J116" s="31" t="str">
        <f t="shared" si="3"/>
        <v/>
      </c>
    </row>
    <row r="117" spans="1:10" x14ac:dyDescent="0.35">
      <c r="A117" s="18" t="str">
        <f>IFERROR(INDEX(tblIssues[Staff ID],MATCH(ROW()-5,tblIssues[Alert Row],0)),"")</f>
        <v/>
      </c>
      <c r="B117" s="18" t="str">
        <f>IF($A117="","",INDEX(tblIssues[Staff Name (pick)],MATCH(ROW()-5,tblIssues[Alert Row],0)))</f>
        <v/>
      </c>
      <c r="C117" s="18" t="str">
        <f>IF($A117="","",INDEX(tblIssues[Role],MATCH(ROW()-5,tblIssues[Alert Row],0)))</f>
        <v/>
      </c>
      <c r="D117" s="25" t="str">
        <f>IF($A117="","",INDEX(tblIssues[Area],MATCH(ROW()-5,tblIssues[Alert Row],0)))</f>
        <v/>
      </c>
      <c r="E117" s="25" t="str">
        <f>IF($A117="","",INDEX(tblIssues[Item Name],MATCH(ROW()-5,tblIssues[Alert Row],0)))</f>
        <v/>
      </c>
      <c r="F117" s="98" t="str">
        <f>IF($A117="","",INDEX(tblIssues[Month],MATCH(ROW()-5,tblIssues[Alert Row],0)))</f>
        <v/>
      </c>
      <c r="G117" s="23" t="str">
        <f>IF($A117="","",INDEX(tblIssues[Units This Month (Staff/Item)],MATCH(ROW()-5,tblIssues[Alert Row],0)))</f>
        <v/>
      </c>
      <c r="H117" s="23" t="str">
        <f>IF($A117="","",INDEX(tblIssues[Monthly Quota],MATCH(ROW()-5,tblIssues[Alert Row],0)))</f>
        <v/>
      </c>
      <c r="I117" s="27" t="str">
        <f t="shared" si="2"/>
        <v/>
      </c>
      <c r="J117" s="31" t="str">
        <f t="shared" si="3"/>
        <v/>
      </c>
    </row>
    <row r="118" spans="1:10" x14ac:dyDescent="0.35">
      <c r="A118" s="18" t="str">
        <f>IFERROR(INDEX(tblIssues[Staff ID],MATCH(ROW()-5,tblIssues[Alert Row],0)),"")</f>
        <v/>
      </c>
      <c r="B118" s="18" t="str">
        <f>IF($A118="","",INDEX(tblIssues[Staff Name (pick)],MATCH(ROW()-5,tblIssues[Alert Row],0)))</f>
        <v/>
      </c>
      <c r="C118" s="18" t="str">
        <f>IF($A118="","",INDEX(tblIssues[Role],MATCH(ROW()-5,tblIssues[Alert Row],0)))</f>
        <v/>
      </c>
      <c r="D118" s="25" t="str">
        <f>IF($A118="","",INDEX(tblIssues[Area],MATCH(ROW()-5,tblIssues[Alert Row],0)))</f>
        <v/>
      </c>
      <c r="E118" s="25" t="str">
        <f>IF($A118="","",INDEX(tblIssues[Item Name],MATCH(ROW()-5,tblIssues[Alert Row],0)))</f>
        <v/>
      </c>
      <c r="F118" s="98" t="str">
        <f>IF($A118="","",INDEX(tblIssues[Month],MATCH(ROW()-5,tblIssues[Alert Row],0)))</f>
        <v/>
      </c>
      <c r="G118" s="23" t="str">
        <f>IF($A118="","",INDEX(tblIssues[Units This Month (Staff/Item)],MATCH(ROW()-5,tblIssues[Alert Row],0)))</f>
        <v/>
      </c>
      <c r="H118" s="23" t="str">
        <f>IF($A118="","",INDEX(tblIssues[Monthly Quota],MATCH(ROW()-5,tblIssues[Alert Row],0)))</f>
        <v/>
      </c>
      <c r="I118" s="27" t="str">
        <f t="shared" si="2"/>
        <v/>
      </c>
      <c r="J118" s="31" t="str">
        <f t="shared" si="3"/>
        <v/>
      </c>
    </row>
    <row r="119" spans="1:10" x14ac:dyDescent="0.35">
      <c r="A119" s="18" t="str">
        <f>IFERROR(INDEX(tblIssues[Staff ID],MATCH(ROW()-5,tblIssues[Alert Row],0)),"")</f>
        <v/>
      </c>
      <c r="B119" s="18" t="str">
        <f>IF($A119="","",INDEX(tblIssues[Staff Name (pick)],MATCH(ROW()-5,tblIssues[Alert Row],0)))</f>
        <v/>
      </c>
      <c r="C119" s="18" t="str">
        <f>IF($A119="","",INDEX(tblIssues[Role],MATCH(ROW()-5,tblIssues[Alert Row],0)))</f>
        <v/>
      </c>
      <c r="D119" s="25" t="str">
        <f>IF($A119="","",INDEX(tblIssues[Area],MATCH(ROW()-5,tblIssues[Alert Row],0)))</f>
        <v/>
      </c>
      <c r="E119" s="25" t="str">
        <f>IF($A119="","",INDEX(tblIssues[Item Name],MATCH(ROW()-5,tblIssues[Alert Row],0)))</f>
        <v/>
      </c>
      <c r="F119" s="98" t="str">
        <f>IF($A119="","",INDEX(tblIssues[Month],MATCH(ROW()-5,tblIssues[Alert Row],0)))</f>
        <v/>
      </c>
      <c r="G119" s="23" t="str">
        <f>IF($A119="","",INDEX(tblIssues[Units This Month (Staff/Item)],MATCH(ROW()-5,tblIssues[Alert Row],0)))</f>
        <v/>
      </c>
      <c r="H119" s="23" t="str">
        <f>IF($A119="","",INDEX(tblIssues[Monthly Quota],MATCH(ROW()-5,tblIssues[Alert Row],0)))</f>
        <v/>
      </c>
      <c r="I119" s="27" t="str">
        <f t="shared" si="2"/>
        <v/>
      </c>
      <c r="J119" s="31" t="str">
        <f t="shared" si="3"/>
        <v/>
      </c>
    </row>
    <row r="120" spans="1:10" x14ac:dyDescent="0.35">
      <c r="A120" s="18" t="str">
        <f>IFERROR(INDEX(tblIssues[Staff ID],MATCH(ROW()-5,tblIssues[Alert Row],0)),"")</f>
        <v/>
      </c>
      <c r="B120" s="18" t="str">
        <f>IF($A120="","",INDEX(tblIssues[Staff Name (pick)],MATCH(ROW()-5,tblIssues[Alert Row],0)))</f>
        <v/>
      </c>
      <c r="C120" s="18" t="str">
        <f>IF($A120="","",INDEX(tblIssues[Role],MATCH(ROW()-5,tblIssues[Alert Row],0)))</f>
        <v/>
      </c>
      <c r="D120" s="25" t="str">
        <f>IF($A120="","",INDEX(tblIssues[Area],MATCH(ROW()-5,tblIssues[Alert Row],0)))</f>
        <v/>
      </c>
      <c r="E120" s="25" t="str">
        <f>IF($A120="","",INDEX(tblIssues[Item Name],MATCH(ROW()-5,tblIssues[Alert Row],0)))</f>
        <v/>
      </c>
      <c r="F120" s="98" t="str">
        <f>IF($A120="","",INDEX(tblIssues[Month],MATCH(ROW()-5,tblIssues[Alert Row],0)))</f>
        <v/>
      </c>
      <c r="G120" s="23" t="str">
        <f>IF($A120="","",INDEX(tblIssues[Units This Month (Staff/Item)],MATCH(ROW()-5,tblIssues[Alert Row],0)))</f>
        <v/>
      </c>
      <c r="H120" s="23" t="str">
        <f>IF($A120="","",INDEX(tblIssues[Monthly Quota],MATCH(ROW()-5,tblIssues[Alert Row],0)))</f>
        <v/>
      </c>
      <c r="I120" s="27" t="str">
        <f t="shared" si="2"/>
        <v/>
      </c>
      <c r="J120" s="31" t="str">
        <f t="shared" si="3"/>
        <v/>
      </c>
    </row>
    <row r="121" spans="1:10" x14ac:dyDescent="0.35">
      <c r="A121" s="18" t="str">
        <f>IFERROR(INDEX(tblIssues[Staff ID],MATCH(ROW()-5,tblIssues[Alert Row],0)),"")</f>
        <v/>
      </c>
      <c r="B121" s="18" t="str">
        <f>IF($A121="","",INDEX(tblIssues[Staff Name (pick)],MATCH(ROW()-5,tblIssues[Alert Row],0)))</f>
        <v/>
      </c>
      <c r="C121" s="18" t="str">
        <f>IF($A121="","",INDEX(tblIssues[Role],MATCH(ROW()-5,tblIssues[Alert Row],0)))</f>
        <v/>
      </c>
      <c r="D121" s="25" t="str">
        <f>IF($A121="","",INDEX(tblIssues[Area],MATCH(ROW()-5,tblIssues[Alert Row],0)))</f>
        <v/>
      </c>
      <c r="E121" s="25" t="str">
        <f>IF($A121="","",INDEX(tblIssues[Item Name],MATCH(ROW()-5,tblIssues[Alert Row],0)))</f>
        <v/>
      </c>
      <c r="F121" s="98" t="str">
        <f>IF($A121="","",INDEX(tblIssues[Month],MATCH(ROW()-5,tblIssues[Alert Row],0)))</f>
        <v/>
      </c>
      <c r="G121" s="23" t="str">
        <f>IF($A121="","",INDEX(tblIssues[Units This Month (Staff/Item)],MATCH(ROW()-5,tblIssues[Alert Row],0)))</f>
        <v/>
      </c>
      <c r="H121" s="23" t="str">
        <f>IF($A121="","",INDEX(tblIssues[Monthly Quota],MATCH(ROW()-5,tblIssues[Alert Row],0)))</f>
        <v/>
      </c>
      <c r="I121" s="27" t="str">
        <f t="shared" si="2"/>
        <v/>
      </c>
      <c r="J121" s="31" t="str">
        <f t="shared" si="3"/>
        <v/>
      </c>
    </row>
    <row r="122" spans="1:10" x14ac:dyDescent="0.35">
      <c r="A122" s="18" t="str">
        <f>IFERROR(INDEX(tblIssues[Staff ID],MATCH(ROW()-5,tblIssues[Alert Row],0)),"")</f>
        <v/>
      </c>
      <c r="B122" s="18" t="str">
        <f>IF($A122="","",INDEX(tblIssues[Staff Name (pick)],MATCH(ROW()-5,tblIssues[Alert Row],0)))</f>
        <v/>
      </c>
      <c r="C122" s="18" t="str">
        <f>IF($A122="","",INDEX(tblIssues[Role],MATCH(ROW()-5,tblIssues[Alert Row],0)))</f>
        <v/>
      </c>
      <c r="D122" s="25" t="str">
        <f>IF($A122="","",INDEX(tblIssues[Area],MATCH(ROW()-5,tblIssues[Alert Row],0)))</f>
        <v/>
      </c>
      <c r="E122" s="25" t="str">
        <f>IF($A122="","",INDEX(tblIssues[Item Name],MATCH(ROW()-5,tblIssues[Alert Row],0)))</f>
        <v/>
      </c>
      <c r="F122" s="98" t="str">
        <f>IF($A122="","",INDEX(tblIssues[Month],MATCH(ROW()-5,tblIssues[Alert Row],0)))</f>
        <v/>
      </c>
      <c r="G122" s="23" t="str">
        <f>IF($A122="","",INDEX(tblIssues[Units This Month (Staff/Item)],MATCH(ROW()-5,tblIssues[Alert Row],0)))</f>
        <v/>
      </c>
      <c r="H122" s="23" t="str">
        <f>IF($A122="","",INDEX(tblIssues[Monthly Quota],MATCH(ROW()-5,tblIssues[Alert Row],0)))</f>
        <v/>
      </c>
      <c r="I122" s="27" t="str">
        <f t="shared" si="2"/>
        <v/>
      </c>
      <c r="J122" s="31" t="str">
        <f t="shared" si="3"/>
        <v/>
      </c>
    </row>
    <row r="123" spans="1:10" x14ac:dyDescent="0.35">
      <c r="A123" s="18" t="str">
        <f>IFERROR(INDEX(tblIssues[Staff ID],MATCH(ROW()-5,tblIssues[Alert Row],0)),"")</f>
        <v/>
      </c>
      <c r="B123" s="18" t="str">
        <f>IF($A123="","",INDEX(tblIssues[Staff Name (pick)],MATCH(ROW()-5,tblIssues[Alert Row],0)))</f>
        <v/>
      </c>
      <c r="C123" s="18" t="str">
        <f>IF($A123="","",INDEX(tblIssues[Role],MATCH(ROW()-5,tblIssues[Alert Row],0)))</f>
        <v/>
      </c>
      <c r="D123" s="25" t="str">
        <f>IF($A123="","",INDEX(tblIssues[Area],MATCH(ROW()-5,tblIssues[Alert Row],0)))</f>
        <v/>
      </c>
      <c r="E123" s="25" t="str">
        <f>IF($A123="","",INDEX(tblIssues[Item Name],MATCH(ROW()-5,tblIssues[Alert Row],0)))</f>
        <v/>
      </c>
      <c r="F123" s="98" t="str">
        <f>IF($A123="","",INDEX(tblIssues[Month],MATCH(ROW()-5,tblIssues[Alert Row],0)))</f>
        <v/>
      </c>
      <c r="G123" s="23" t="str">
        <f>IF($A123="","",INDEX(tblIssues[Units This Month (Staff/Item)],MATCH(ROW()-5,tblIssues[Alert Row],0)))</f>
        <v/>
      </c>
      <c r="H123" s="23" t="str">
        <f>IF($A123="","",INDEX(tblIssues[Monthly Quota],MATCH(ROW()-5,tblIssues[Alert Row],0)))</f>
        <v/>
      </c>
      <c r="I123" s="27" t="str">
        <f t="shared" si="2"/>
        <v/>
      </c>
      <c r="J123" s="31" t="str">
        <f t="shared" si="3"/>
        <v/>
      </c>
    </row>
    <row r="124" spans="1:10" x14ac:dyDescent="0.35">
      <c r="A124" s="18" t="str">
        <f>IFERROR(INDEX(tblIssues[Staff ID],MATCH(ROW()-5,tblIssues[Alert Row],0)),"")</f>
        <v/>
      </c>
      <c r="B124" s="18" t="str">
        <f>IF($A124="","",INDEX(tblIssues[Staff Name (pick)],MATCH(ROW()-5,tblIssues[Alert Row],0)))</f>
        <v/>
      </c>
      <c r="C124" s="18" t="str">
        <f>IF($A124="","",INDEX(tblIssues[Role],MATCH(ROW()-5,tblIssues[Alert Row],0)))</f>
        <v/>
      </c>
      <c r="D124" s="25" t="str">
        <f>IF($A124="","",INDEX(tblIssues[Area],MATCH(ROW()-5,tblIssues[Alert Row],0)))</f>
        <v/>
      </c>
      <c r="E124" s="25" t="str">
        <f>IF($A124="","",INDEX(tblIssues[Item Name],MATCH(ROW()-5,tblIssues[Alert Row],0)))</f>
        <v/>
      </c>
      <c r="F124" s="98" t="str">
        <f>IF($A124="","",INDEX(tblIssues[Month],MATCH(ROW()-5,tblIssues[Alert Row],0)))</f>
        <v/>
      </c>
      <c r="G124" s="23" t="str">
        <f>IF($A124="","",INDEX(tblIssues[Units This Month (Staff/Item)],MATCH(ROW()-5,tblIssues[Alert Row],0)))</f>
        <v/>
      </c>
      <c r="H124" s="23" t="str">
        <f>IF($A124="","",INDEX(tblIssues[Monthly Quota],MATCH(ROW()-5,tblIssues[Alert Row],0)))</f>
        <v/>
      </c>
      <c r="I124" s="27" t="str">
        <f t="shared" si="2"/>
        <v/>
      </c>
      <c r="J124" s="31" t="str">
        <f t="shared" si="3"/>
        <v/>
      </c>
    </row>
    <row r="125" spans="1:10" x14ac:dyDescent="0.35">
      <c r="A125" s="18" t="str">
        <f>IFERROR(INDEX(tblIssues[Staff ID],MATCH(ROW()-5,tblIssues[Alert Row],0)),"")</f>
        <v/>
      </c>
      <c r="B125" s="18" t="str">
        <f>IF($A125="","",INDEX(tblIssues[Staff Name (pick)],MATCH(ROW()-5,tblIssues[Alert Row],0)))</f>
        <v/>
      </c>
      <c r="C125" s="18" t="str">
        <f>IF($A125="","",INDEX(tblIssues[Role],MATCH(ROW()-5,tblIssues[Alert Row],0)))</f>
        <v/>
      </c>
      <c r="D125" s="25" t="str">
        <f>IF($A125="","",INDEX(tblIssues[Area],MATCH(ROW()-5,tblIssues[Alert Row],0)))</f>
        <v/>
      </c>
      <c r="E125" s="25" t="str">
        <f>IF($A125="","",INDEX(tblIssues[Item Name],MATCH(ROW()-5,tblIssues[Alert Row],0)))</f>
        <v/>
      </c>
      <c r="F125" s="98" t="str">
        <f>IF($A125="","",INDEX(tblIssues[Month],MATCH(ROW()-5,tblIssues[Alert Row],0)))</f>
        <v/>
      </c>
      <c r="G125" s="23" t="str">
        <f>IF($A125="","",INDEX(tblIssues[Units This Month (Staff/Item)],MATCH(ROW()-5,tblIssues[Alert Row],0)))</f>
        <v/>
      </c>
      <c r="H125" s="23" t="str">
        <f>IF($A125="","",INDEX(tblIssues[Monthly Quota],MATCH(ROW()-5,tblIssues[Alert Row],0)))</f>
        <v/>
      </c>
      <c r="I125" s="27" t="str">
        <f t="shared" si="2"/>
        <v/>
      </c>
      <c r="J125" s="31" t="str">
        <f t="shared" si="3"/>
        <v/>
      </c>
    </row>
    <row r="126" spans="1:10" x14ac:dyDescent="0.35">
      <c r="A126" s="18" t="str">
        <f>IFERROR(INDEX(tblIssues[Staff ID],MATCH(ROW()-5,tblIssues[Alert Row],0)),"")</f>
        <v/>
      </c>
      <c r="B126" s="18" t="str">
        <f>IF($A126="","",INDEX(tblIssues[Staff Name (pick)],MATCH(ROW()-5,tblIssues[Alert Row],0)))</f>
        <v/>
      </c>
      <c r="C126" s="18" t="str">
        <f>IF($A126="","",INDEX(tblIssues[Role],MATCH(ROW()-5,tblIssues[Alert Row],0)))</f>
        <v/>
      </c>
      <c r="D126" s="25" t="str">
        <f>IF($A126="","",INDEX(tblIssues[Area],MATCH(ROW()-5,tblIssues[Alert Row],0)))</f>
        <v/>
      </c>
      <c r="E126" s="25" t="str">
        <f>IF($A126="","",INDEX(tblIssues[Item Name],MATCH(ROW()-5,tblIssues[Alert Row],0)))</f>
        <v/>
      </c>
      <c r="F126" s="98" t="str">
        <f>IF($A126="","",INDEX(tblIssues[Month],MATCH(ROW()-5,tblIssues[Alert Row],0)))</f>
        <v/>
      </c>
      <c r="G126" s="23" t="str">
        <f>IF($A126="","",INDEX(tblIssues[Units This Month (Staff/Item)],MATCH(ROW()-5,tblIssues[Alert Row],0)))</f>
        <v/>
      </c>
      <c r="H126" s="23" t="str">
        <f>IF($A126="","",INDEX(tblIssues[Monthly Quota],MATCH(ROW()-5,tblIssues[Alert Row],0)))</f>
        <v/>
      </c>
      <c r="I126" s="27" t="str">
        <f t="shared" si="2"/>
        <v/>
      </c>
      <c r="J126" s="31" t="str">
        <f t="shared" si="3"/>
        <v/>
      </c>
    </row>
    <row r="127" spans="1:10" x14ac:dyDescent="0.35">
      <c r="A127" s="18" t="str">
        <f>IFERROR(INDEX(tblIssues[Staff ID],MATCH(ROW()-5,tblIssues[Alert Row],0)),"")</f>
        <v/>
      </c>
      <c r="B127" s="18" t="str">
        <f>IF($A127="","",INDEX(tblIssues[Staff Name (pick)],MATCH(ROW()-5,tblIssues[Alert Row],0)))</f>
        <v/>
      </c>
      <c r="C127" s="18" t="str">
        <f>IF($A127="","",INDEX(tblIssues[Role],MATCH(ROW()-5,tblIssues[Alert Row],0)))</f>
        <v/>
      </c>
      <c r="D127" s="25" t="str">
        <f>IF($A127="","",INDEX(tblIssues[Area],MATCH(ROW()-5,tblIssues[Alert Row],0)))</f>
        <v/>
      </c>
      <c r="E127" s="25" t="str">
        <f>IF($A127="","",INDEX(tblIssues[Item Name],MATCH(ROW()-5,tblIssues[Alert Row],0)))</f>
        <v/>
      </c>
      <c r="F127" s="98" t="str">
        <f>IF($A127="","",INDEX(tblIssues[Month],MATCH(ROW()-5,tblIssues[Alert Row],0)))</f>
        <v/>
      </c>
      <c r="G127" s="23" t="str">
        <f>IF($A127="","",INDEX(tblIssues[Units This Month (Staff/Item)],MATCH(ROW()-5,tblIssues[Alert Row],0)))</f>
        <v/>
      </c>
      <c r="H127" s="23" t="str">
        <f>IF($A127="","",INDEX(tblIssues[Monthly Quota],MATCH(ROW()-5,tblIssues[Alert Row],0)))</f>
        <v/>
      </c>
      <c r="I127" s="27" t="str">
        <f t="shared" si="2"/>
        <v/>
      </c>
      <c r="J127" s="31" t="str">
        <f t="shared" si="3"/>
        <v/>
      </c>
    </row>
    <row r="128" spans="1:10" x14ac:dyDescent="0.35">
      <c r="A128" s="18" t="str">
        <f>IFERROR(INDEX(tblIssues[Staff ID],MATCH(ROW()-5,tblIssues[Alert Row],0)),"")</f>
        <v/>
      </c>
      <c r="B128" s="18" t="str">
        <f>IF($A128="","",INDEX(tblIssues[Staff Name (pick)],MATCH(ROW()-5,tblIssues[Alert Row],0)))</f>
        <v/>
      </c>
      <c r="C128" s="18" t="str">
        <f>IF($A128="","",INDEX(tblIssues[Role],MATCH(ROW()-5,tblIssues[Alert Row],0)))</f>
        <v/>
      </c>
      <c r="D128" s="25" t="str">
        <f>IF($A128="","",INDEX(tblIssues[Area],MATCH(ROW()-5,tblIssues[Alert Row],0)))</f>
        <v/>
      </c>
      <c r="E128" s="25" t="str">
        <f>IF($A128="","",INDEX(tblIssues[Item Name],MATCH(ROW()-5,tblIssues[Alert Row],0)))</f>
        <v/>
      </c>
      <c r="F128" s="98" t="str">
        <f>IF($A128="","",INDEX(tblIssues[Month],MATCH(ROW()-5,tblIssues[Alert Row],0)))</f>
        <v/>
      </c>
      <c r="G128" s="23" t="str">
        <f>IF($A128="","",INDEX(tblIssues[Units This Month (Staff/Item)],MATCH(ROW()-5,tblIssues[Alert Row],0)))</f>
        <v/>
      </c>
      <c r="H128" s="23" t="str">
        <f>IF($A128="","",INDEX(tblIssues[Monthly Quota],MATCH(ROW()-5,tblIssues[Alert Row],0)))</f>
        <v/>
      </c>
      <c r="I128" s="27" t="str">
        <f t="shared" si="2"/>
        <v/>
      </c>
      <c r="J128" s="31" t="str">
        <f t="shared" si="3"/>
        <v/>
      </c>
    </row>
    <row r="129" spans="1:10" x14ac:dyDescent="0.35">
      <c r="A129" s="18" t="str">
        <f>IFERROR(INDEX(tblIssues[Staff ID],MATCH(ROW()-5,tblIssues[Alert Row],0)),"")</f>
        <v/>
      </c>
      <c r="B129" s="18" t="str">
        <f>IF($A129="","",INDEX(tblIssues[Staff Name (pick)],MATCH(ROW()-5,tblIssues[Alert Row],0)))</f>
        <v/>
      </c>
      <c r="C129" s="18" t="str">
        <f>IF($A129="","",INDEX(tblIssues[Role],MATCH(ROW()-5,tblIssues[Alert Row],0)))</f>
        <v/>
      </c>
      <c r="D129" s="25" t="str">
        <f>IF($A129="","",INDEX(tblIssues[Area],MATCH(ROW()-5,tblIssues[Alert Row],0)))</f>
        <v/>
      </c>
      <c r="E129" s="25" t="str">
        <f>IF($A129="","",INDEX(tblIssues[Item Name],MATCH(ROW()-5,tblIssues[Alert Row],0)))</f>
        <v/>
      </c>
      <c r="F129" s="98" t="str">
        <f>IF($A129="","",INDEX(tblIssues[Month],MATCH(ROW()-5,tblIssues[Alert Row],0)))</f>
        <v/>
      </c>
      <c r="G129" s="23" t="str">
        <f>IF($A129="","",INDEX(tblIssues[Units This Month (Staff/Item)],MATCH(ROW()-5,tblIssues[Alert Row],0)))</f>
        <v/>
      </c>
      <c r="H129" s="23" t="str">
        <f>IF($A129="","",INDEX(tblIssues[Monthly Quota],MATCH(ROW()-5,tblIssues[Alert Row],0)))</f>
        <v/>
      </c>
      <c r="I129" s="27" t="str">
        <f t="shared" si="2"/>
        <v/>
      </c>
      <c r="J129" s="31" t="str">
        <f t="shared" si="3"/>
        <v/>
      </c>
    </row>
    <row r="130" spans="1:10" x14ac:dyDescent="0.35">
      <c r="A130" s="18" t="str">
        <f>IFERROR(INDEX(tblIssues[Staff ID],MATCH(ROW()-5,tblIssues[Alert Row],0)),"")</f>
        <v/>
      </c>
      <c r="B130" s="18" t="str">
        <f>IF($A130="","",INDEX(tblIssues[Staff Name (pick)],MATCH(ROW()-5,tblIssues[Alert Row],0)))</f>
        <v/>
      </c>
      <c r="C130" s="18" t="str">
        <f>IF($A130="","",INDEX(tblIssues[Role],MATCH(ROW()-5,tblIssues[Alert Row],0)))</f>
        <v/>
      </c>
      <c r="D130" s="25" t="str">
        <f>IF($A130="","",INDEX(tblIssues[Area],MATCH(ROW()-5,tblIssues[Alert Row],0)))</f>
        <v/>
      </c>
      <c r="E130" s="25" t="str">
        <f>IF($A130="","",INDEX(tblIssues[Item Name],MATCH(ROW()-5,tblIssues[Alert Row],0)))</f>
        <v/>
      </c>
      <c r="F130" s="98" t="str">
        <f>IF($A130="","",INDEX(tblIssues[Month],MATCH(ROW()-5,tblIssues[Alert Row],0)))</f>
        <v/>
      </c>
      <c r="G130" s="23" t="str">
        <f>IF($A130="","",INDEX(tblIssues[Units This Month (Staff/Item)],MATCH(ROW()-5,tblIssues[Alert Row],0)))</f>
        <v/>
      </c>
      <c r="H130" s="23" t="str">
        <f>IF($A130="","",INDEX(tblIssues[Monthly Quota],MATCH(ROW()-5,tblIssues[Alert Row],0)))</f>
        <v/>
      </c>
      <c r="I130" s="27" t="str">
        <f t="shared" si="2"/>
        <v/>
      </c>
      <c r="J130" s="31" t="str">
        <f t="shared" si="3"/>
        <v/>
      </c>
    </row>
    <row r="131" spans="1:10" x14ac:dyDescent="0.35">
      <c r="A131" s="18" t="str">
        <f>IFERROR(INDEX(tblIssues[Staff ID],MATCH(ROW()-5,tblIssues[Alert Row],0)),"")</f>
        <v/>
      </c>
      <c r="B131" s="18" t="str">
        <f>IF($A131="","",INDEX(tblIssues[Staff Name (pick)],MATCH(ROW()-5,tblIssues[Alert Row],0)))</f>
        <v/>
      </c>
      <c r="C131" s="18" t="str">
        <f>IF($A131="","",INDEX(tblIssues[Role],MATCH(ROW()-5,tblIssues[Alert Row],0)))</f>
        <v/>
      </c>
      <c r="D131" s="25" t="str">
        <f>IF($A131="","",INDEX(tblIssues[Area],MATCH(ROW()-5,tblIssues[Alert Row],0)))</f>
        <v/>
      </c>
      <c r="E131" s="25" t="str">
        <f>IF($A131="","",INDEX(tblIssues[Item Name],MATCH(ROW()-5,tblIssues[Alert Row],0)))</f>
        <v/>
      </c>
      <c r="F131" s="98" t="str">
        <f>IF($A131="","",INDEX(tblIssues[Month],MATCH(ROW()-5,tblIssues[Alert Row],0)))</f>
        <v/>
      </c>
      <c r="G131" s="23" t="str">
        <f>IF($A131="","",INDEX(tblIssues[Units This Month (Staff/Item)],MATCH(ROW()-5,tblIssues[Alert Row],0)))</f>
        <v/>
      </c>
      <c r="H131" s="23" t="str">
        <f>IF($A131="","",INDEX(tblIssues[Monthly Quota],MATCH(ROW()-5,tblIssues[Alert Row],0)))</f>
        <v/>
      </c>
      <c r="I131" s="27" t="str">
        <f t="shared" si="2"/>
        <v/>
      </c>
      <c r="J131" s="31" t="str">
        <f t="shared" si="3"/>
        <v/>
      </c>
    </row>
    <row r="132" spans="1:10" x14ac:dyDescent="0.35">
      <c r="A132" s="18" t="str">
        <f>IFERROR(INDEX(tblIssues[Staff ID],MATCH(ROW()-5,tblIssues[Alert Row],0)),"")</f>
        <v/>
      </c>
      <c r="B132" s="18" t="str">
        <f>IF($A132="","",INDEX(tblIssues[Staff Name (pick)],MATCH(ROW()-5,tblIssues[Alert Row],0)))</f>
        <v/>
      </c>
      <c r="C132" s="18" t="str">
        <f>IF($A132="","",INDEX(tblIssues[Role],MATCH(ROW()-5,tblIssues[Alert Row],0)))</f>
        <v/>
      </c>
      <c r="D132" s="25" t="str">
        <f>IF($A132="","",INDEX(tblIssues[Area],MATCH(ROW()-5,tblIssues[Alert Row],0)))</f>
        <v/>
      </c>
      <c r="E132" s="25" t="str">
        <f>IF($A132="","",INDEX(tblIssues[Item Name],MATCH(ROW()-5,tblIssues[Alert Row],0)))</f>
        <v/>
      </c>
      <c r="F132" s="98" t="str">
        <f>IF($A132="","",INDEX(tblIssues[Month],MATCH(ROW()-5,tblIssues[Alert Row],0)))</f>
        <v/>
      </c>
      <c r="G132" s="23" t="str">
        <f>IF($A132="","",INDEX(tblIssues[Units This Month (Staff/Item)],MATCH(ROW()-5,tblIssues[Alert Row],0)))</f>
        <v/>
      </c>
      <c r="H132" s="23" t="str">
        <f>IF($A132="","",INDEX(tblIssues[Monthly Quota],MATCH(ROW()-5,tblIssues[Alert Row],0)))</f>
        <v/>
      </c>
      <c r="I132" s="27" t="str">
        <f t="shared" si="2"/>
        <v/>
      </c>
      <c r="J132" s="31" t="str">
        <f t="shared" si="3"/>
        <v/>
      </c>
    </row>
    <row r="133" spans="1:10" x14ac:dyDescent="0.35">
      <c r="A133" s="18" t="str">
        <f>IFERROR(INDEX(tblIssues[Staff ID],MATCH(ROW()-5,tblIssues[Alert Row],0)),"")</f>
        <v/>
      </c>
      <c r="B133" s="18" t="str">
        <f>IF($A133="","",INDEX(tblIssues[Staff Name (pick)],MATCH(ROW()-5,tblIssues[Alert Row],0)))</f>
        <v/>
      </c>
      <c r="C133" s="18" t="str">
        <f>IF($A133="","",INDEX(tblIssues[Role],MATCH(ROW()-5,tblIssues[Alert Row],0)))</f>
        <v/>
      </c>
      <c r="D133" s="25" t="str">
        <f>IF($A133="","",INDEX(tblIssues[Area],MATCH(ROW()-5,tblIssues[Alert Row],0)))</f>
        <v/>
      </c>
      <c r="E133" s="25" t="str">
        <f>IF($A133="","",INDEX(tblIssues[Item Name],MATCH(ROW()-5,tblIssues[Alert Row],0)))</f>
        <v/>
      </c>
      <c r="F133" s="98" t="str">
        <f>IF($A133="","",INDEX(tblIssues[Month],MATCH(ROW()-5,tblIssues[Alert Row],0)))</f>
        <v/>
      </c>
      <c r="G133" s="23" t="str">
        <f>IF($A133="","",INDEX(tblIssues[Units This Month (Staff/Item)],MATCH(ROW()-5,tblIssues[Alert Row],0)))</f>
        <v/>
      </c>
      <c r="H133" s="23" t="str">
        <f>IF($A133="","",INDEX(tblIssues[Monthly Quota],MATCH(ROW()-5,tblIssues[Alert Row],0)))</f>
        <v/>
      </c>
      <c r="I133" s="27" t="str">
        <f t="shared" si="2"/>
        <v/>
      </c>
      <c r="J133" s="31" t="str">
        <f t="shared" si="3"/>
        <v/>
      </c>
    </row>
    <row r="134" spans="1:10" x14ac:dyDescent="0.35">
      <c r="A134" s="18" t="str">
        <f>IFERROR(INDEX(tblIssues[Staff ID],MATCH(ROW()-5,tblIssues[Alert Row],0)),"")</f>
        <v/>
      </c>
      <c r="B134" s="18" t="str">
        <f>IF($A134="","",INDEX(tblIssues[Staff Name (pick)],MATCH(ROW()-5,tblIssues[Alert Row],0)))</f>
        <v/>
      </c>
      <c r="C134" s="18" t="str">
        <f>IF($A134="","",INDEX(tblIssues[Role],MATCH(ROW()-5,tblIssues[Alert Row],0)))</f>
        <v/>
      </c>
      <c r="D134" s="25" t="str">
        <f>IF($A134="","",INDEX(tblIssues[Area],MATCH(ROW()-5,tblIssues[Alert Row],0)))</f>
        <v/>
      </c>
      <c r="E134" s="25" t="str">
        <f>IF($A134="","",INDEX(tblIssues[Item Name],MATCH(ROW()-5,tblIssues[Alert Row],0)))</f>
        <v/>
      </c>
      <c r="F134" s="98" t="str">
        <f>IF($A134="","",INDEX(tblIssues[Month],MATCH(ROW()-5,tblIssues[Alert Row],0)))</f>
        <v/>
      </c>
      <c r="G134" s="23" t="str">
        <f>IF($A134="","",INDEX(tblIssues[Units This Month (Staff/Item)],MATCH(ROW()-5,tblIssues[Alert Row],0)))</f>
        <v/>
      </c>
      <c r="H134" s="23" t="str">
        <f>IF($A134="","",INDEX(tblIssues[Monthly Quota],MATCH(ROW()-5,tblIssues[Alert Row],0)))</f>
        <v/>
      </c>
      <c r="I134" s="27" t="str">
        <f t="shared" ref="I134:I197" si="4">IF($A134="","",$G134-$H134)</f>
        <v/>
      </c>
      <c r="J134" s="31" t="str">
        <f t="shared" ref="J134:J197" si="5">IF($A134="","","⚠ OVER QUOTA")</f>
        <v/>
      </c>
    </row>
    <row r="135" spans="1:10" x14ac:dyDescent="0.35">
      <c r="A135" s="18" t="str">
        <f>IFERROR(INDEX(tblIssues[Staff ID],MATCH(ROW()-5,tblIssues[Alert Row],0)),"")</f>
        <v/>
      </c>
      <c r="B135" s="18" t="str">
        <f>IF($A135="","",INDEX(tblIssues[Staff Name (pick)],MATCH(ROW()-5,tblIssues[Alert Row],0)))</f>
        <v/>
      </c>
      <c r="C135" s="18" t="str">
        <f>IF($A135="","",INDEX(tblIssues[Role],MATCH(ROW()-5,tblIssues[Alert Row],0)))</f>
        <v/>
      </c>
      <c r="D135" s="25" t="str">
        <f>IF($A135="","",INDEX(tblIssues[Area],MATCH(ROW()-5,tblIssues[Alert Row],0)))</f>
        <v/>
      </c>
      <c r="E135" s="25" t="str">
        <f>IF($A135="","",INDEX(tblIssues[Item Name],MATCH(ROW()-5,tblIssues[Alert Row],0)))</f>
        <v/>
      </c>
      <c r="F135" s="98" t="str">
        <f>IF($A135="","",INDEX(tblIssues[Month],MATCH(ROW()-5,tblIssues[Alert Row],0)))</f>
        <v/>
      </c>
      <c r="G135" s="23" t="str">
        <f>IF($A135="","",INDEX(tblIssues[Units This Month (Staff/Item)],MATCH(ROW()-5,tblIssues[Alert Row],0)))</f>
        <v/>
      </c>
      <c r="H135" s="23" t="str">
        <f>IF($A135="","",INDEX(tblIssues[Monthly Quota],MATCH(ROW()-5,tblIssues[Alert Row],0)))</f>
        <v/>
      </c>
      <c r="I135" s="27" t="str">
        <f t="shared" si="4"/>
        <v/>
      </c>
      <c r="J135" s="31" t="str">
        <f t="shared" si="5"/>
        <v/>
      </c>
    </row>
    <row r="136" spans="1:10" x14ac:dyDescent="0.35">
      <c r="A136" s="18" t="str">
        <f>IFERROR(INDEX(tblIssues[Staff ID],MATCH(ROW()-5,tblIssues[Alert Row],0)),"")</f>
        <v/>
      </c>
      <c r="B136" s="18" t="str">
        <f>IF($A136="","",INDEX(tblIssues[Staff Name (pick)],MATCH(ROW()-5,tblIssues[Alert Row],0)))</f>
        <v/>
      </c>
      <c r="C136" s="18" t="str">
        <f>IF($A136="","",INDEX(tblIssues[Role],MATCH(ROW()-5,tblIssues[Alert Row],0)))</f>
        <v/>
      </c>
      <c r="D136" s="25" t="str">
        <f>IF($A136="","",INDEX(tblIssues[Area],MATCH(ROW()-5,tblIssues[Alert Row],0)))</f>
        <v/>
      </c>
      <c r="E136" s="25" t="str">
        <f>IF($A136="","",INDEX(tblIssues[Item Name],MATCH(ROW()-5,tblIssues[Alert Row],0)))</f>
        <v/>
      </c>
      <c r="F136" s="98" t="str">
        <f>IF($A136="","",INDEX(tblIssues[Month],MATCH(ROW()-5,tblIssues[Alert Row],0)))</f>
        <v/>
      </c>
      <c r="G136" s="23" t="str">
        <f>IF($A136="","",INDEX(tblIssues[Units This Month (Staff/Item)],MATCH(ROW()-5,tblIssues[Alert Row],0)))</f>
        <v/>
      </c>
      <c r="H136" s="23" t="str">
        <f>IF($A136="","",INDEX(tblIssues[Monthly Quota],MATCH(ROW()-5,tblIssues[Alert Row],0)))</f>
        <v/>
      </c>
      <c r="I136" s="27" t="str">
        <f t="shared" si="4"/>
        <v/>
      </c>
      <c r="J136" s="31" t="str">
        <f t="shared" si="5"/>
        <v/>
      </c>
    </row>
    <row r="137" spans="1:10" x14ac:dyDescent="0.35">
      <c r="A137" s="18" t="str">
        <f>IFERROR(INDEX(tblIssues[Staff ID],MATCH(ROW()-5,tblIssues[Alert Row],0)),"")</f>
        <v/>
      </c>
      <c r="B137" s="18" t="str">
        <f>IF($A137="","",INDEX(tblIssues[Staff Name (pick)],MATCH(ROW()-5,tblIssues[Alert Row],0)))</f>
        <v/>
      </c>
      <c r="C137" s="18" t="str">
        <f>IF($A137="","",INDEX(tblIssues[Role],MATCH(ROW()-5,tblIssues[Alert Row],0)))</f>
        <v/>
      </c>
      <c r="D137" s="25" t="str">
        <f>IF($A137="","",INDEX(tblIssues[Area],MATCH(ROW()-5,tblIssues[Alert Row],0)))</f>
        <v/>
      </c>
      <c r="E137" s="25" t="str">
        <f>IF($A137="","",INDEX(tblIssues[Item Name],MATCH(ROW()-5,tblIssues[Alert Row],0)))</f>
        <v/>
      </c>
      <c r="F137" s="98" t="str">
        <f>IF($A137="","",INDEX(tblIssues[Month],MATCH(ROW()-5,tblIssues[Alert Row],0)))</f>
        <v/>
      </c>
      <c r="G137" s="23" t="str">
        <f>IF($A137="","",INDEX(tblIssues[Units This Month (Staff/Item)],MATCH(ROW()-5,tblIssues[Alert Row],0)))</f>
        <v/>
      </c>
      <c r="H137" s="23" t="str">
        <f>IF($A137="","",INDEX(tblIssues[Monthly Quota],MATCH(ROW()-5,tblIssues[Alert Row],0)))</f>
        <v/>
      </c>
      <c r="I137" s="27" t="str">
        <f t="shared" si="4"/>
        <v/>
      </c>
      <c r="J137" s="31" t="str">
        <f t="shared" si="5"/>
        <v/>
      </c>
    </row>
    <row r="138" spans="1:10" x14ac:dyDescent="0.35">
      <c r="A138" s="18" t="str">
        <f>IFERROR(INDEX(tblIssues[Staff ID],MATCH(ROW()-5,tblIssues[Alert Row],0)),"")</f>
        <v/>
      </c>
      <c r="B138" s="18" t="str">
        <f>IF($A138="","",INDEX(tblIssues[Staff Name (pick)],MATCH(ROW()-5,tblIssues[Alert Row],0)))</f>
        <v/>
      </c>
      <c r="C138" s="18" t="str">
        <f>IF($A138="","",INDEX(tblIssues[Role],MATCH(ROW()-5,tblIssues[Alert Row],0)))</f>
        <v/>
      </c>
      <c r="D138" s="25" t="str">
        <f>IF($A138="","",INDEX(tblIssues[Area],MATCH(ROW()-5,tblIssues[Alert Row],0)))</f>
        <v/>
      </c>
      <c r="E138" s="25" t="str">
        <f>IF($A138="","",INDEX(tblIssues[Item Name],MATCH(ROW()-5,tblIssues[Alert Row],0)))</f>
        <v/>
      </c>
      <c r="F138" s="98" t="str">
        <f>IF($A138="","",INDEX(tblIssues[Month],MATCH(ROW()-5,tblIssues[Alert Row],0)))</f>
        <v/>
      </c>
      <c r="G138" s="23" t="str">
        <f>IF($A138="","",INDEX(tblIssues[Units This Month (Staff/Item)],MATCH(ROW()-5,tblIssues[Alert Row],0)))</f>
        <v/>
      </c>
      <c r="H138" s="23" t="str">
        <f>IF($A138="","",INDEX(tblIssues[Monthly Quota],MATCH(ROW()-5,tblIssues[Alert Row],0)))</f>
        <v/>
      </c>
      <c r="I138" s="27" t="str">
        <f t="shared" si="4"/>
        <v/>
      </c>
      <c r="J138" s="31" t="str">
        <f t="shared" si="5"/>
        <v/>
      </c>
    </row>
    <row r="139" spans="1:10" x14ac:dyDescent="0.35">
      <c r="A139" s="18" t="str">
        <f>IFERROR(INDEX(tblIssues[Staff ID],MATCH(ROW()-5,tblIssues[Alert Row],0)),"")</f>
        <v/>
      </c>
      <c r="B139" s="18" t="str">
        <f>IF($A139="","",INDEX(tblIssues[Staff Name (pick)],MATCH(ROW()-5,tblIssues[Alert Row],0)))</f>
        <v/>
      </c>
      <c r="C139" s="18" t="str">
        <f>IF($A139="","",INDEX(tblIssues[Role],MATCH(ROW()-5,tblIssues[Alert Row],0)))</f>
        <v/>
      </c>
      <c r="D139" s="25" t="str">
        <f>IF($A139="","",INDEX(tblIssues[Area],MATCH(ROW()-5,tblIssues[Alert Row],0)))</f>
        <v/>
      </c>
      <c r="E139" s="25" t="str">
        <f>IF($A139="","",INDEX(tblIssues[Item Name],MATCH(ROW()-5,tblIssues[Alert Row],0)))</f>
        <v/>
      </c>
      <c r="F139" s="98" t="str">
        <f>IF($A139="","",INDEX(tblIssues[Month],MATCH(ROW()-5,tblIssues[Alert Row],0)))</f>
        <v/>
      </c>
      <c r="G139" s="23" t="str">
        <f>IF($A139="","",INDEX(tblIssues[Units This Month (Staff/Item)],MATCH(ROW()-5,tblIssues[Alert Row],0)))</f>
        <v/>
      </c>
      <c r="H139" s="23" t="str">
        <f>IF($A139="","",INDEX(tblIssues[Monthly Quota],MATCH(ROW()-5,tblIssues[Alert Row],0)))</f>
        <v/>
      </c>
      <c r="I139" s="27" t="str">
        <f t="shared" si="4"/>
        <v/>
      </c>
      <c r="J139" s="31" t="str">
        <f t="shared" si="5"/>
        <v/>
      </c>
    </row>
    <row r="140" spans="1:10" x14ac:dyDescent="0.35">
      <c r="A140" s="18" t="str">
        <f>IFERROR(INDEX(tblIssues[Staff ID],MATCH(ROW()-5,tblIssues[Alert Row],0)),"")</f>
        <v/>
      </c>
      <c r="B140" s="18" t="str">
        <f>IF($A140="","",INDEX(tblIssues[Staff Name (pick)],MATCH(ROW()-5,tblIssues[Alert Row],0)))</f>
        <v/>
      </c>
      <c r="C140" s="18" t="str">
        <f>IF($A140="","",INDEX(tblIssues[Role],MATCH(ROW()-5,tblIssues[Alert Row],0)))</f>
        <v/>
      </c>
      <c r="D140" s="25" t="str">
        <f>IF($A140="","",INDEX(tblIssues[Area],MATCH(ROW()-5,tblIssues[Alert Row],0)))</f>
        <v/>
      </c>
      <c r="E140" s="25" t="str">
        <f>IF($A140="","",INDEX(tblIssues[Item Name],MATCH(ROW()-5,tblIssues[Alert Row],0)))</f>
        <v/>
      </c>
      <c r="F140" s="98" t="str">
        <f>IF($A140="","",INDEX(tblIssues[Month],MATCH(ROW()-5,tblIssues[Alert Row],0)))</f>
        <v/>
      </c>
      <c r="G140" s="23" t="str">
        <f>IF($A140="","",INDEX(tblIssues[Units This Month (Staff/Item)],MATCH(ROW()-5,tblIssues[Alert Row],0)))</f>
        <v/>
      </c>
      <c r="H140" s="23" t="str">
        <f>IF($A140="","",INDEX(tblIssues[Monthly Quota],MATCH(ROW()-5,tblIssues[Alert Row],0)))</f>
        <v/>
      </c>
      <c r="I140" s="27" t="str">
        <f t="shared" si="4"/>
        <v/>
      </c>
      <c r="J140" s="31" t="str">
        <f t="shared" si="5"/>
        <v/>
      </c>
    </row>
    <row r="141" spans="1:10" x14ac:dyDescent="0.35">
      <c r="A141" s="18" t="str">
        <f>IFERROR(INDEX(tblIssues[Staff ID],MATCH(ROW()-5,tblIssues[Alert Row],0)),"")</f>
        <v/>
      </c>
      <c r="B141" s="18" t="str">
        <f>IF($A141="","",INDEX(tblIssues[Staff Name (pick)],MATCH(ROW()-5,tblIssues[Alert Row],0)))</f>
        <v/>
      </c>
      <c r="C141" s="18" t="str">
        <f>IF($A141="","",INDEX(tblIssues[Role],MATCH(ROW()-5,tblIssues[Alert Row],0)))</f>
        <v/>
      </c>
      <c r="D141" s="25" t="str">
        <f>IF($A141="","",INDEX(tblIssues[Area],MATCH(ROW()-5,tblIssues[Alert Row],0)))</f>
        <v/>
      </c>
      <c r="E141" s="25" t="str">
        <f>IF($A141="","",INDEX(tblIssues[Item Name],MATCH(ROW()-5,tblIssues[Alert Row],0)))</f>
        <v/>
      </c>
      <c r="F141" s="98" t="str">
        <f>IF($A141="","",INDEX(tblIssues[Month],MATCH(ROW()-5,tblIssues[Alert Row],0)))</f>
        <v/>
      </c>
      <c r="G141" s="23" t="str">
        <f>IF($A141="","",INDEX(tblIssues[Units This Month (Staff/Item)],MATCH(ROW()-5,tblIssues[Alert Row],0)))</f>
        <v/>
      </c>
      <c r="H141" s="23" t="str">
        <f>IF($A141="","",INDEX(tblIssues[Monthly Quota],MATCH(ROW()-5,tblIssues[Alert Row],0)))</f>
        <v/>
      </c>
      <c r="I141" s="27" t="str">
        <f t="shared" si="4"/>
        <v/>
      </c>
      <c r="J141" s="31" t="str">
        <f t="shared" si="5"/>
        <v/>
      </c>
    </row>
    <row r="142" spans="1:10" x14ac:dyDescent="0.35">
      <c r="A142" s="18" t="str">
        <f>IFERROR(INDEX(tblIssues[Staff ID],MATCH(ROW()-5,tblIssues[Alert Row],0)),"")</f>
        <v/>
      </c>
      <c r="B142" s="18" t="str">
        <f>IF($A142="","",INDEX(tblIssues[Staff Name (pick)],MATCH(ROW()-5,tblIssues[Alert Row],0)))</f>
        <v/>
      </c>
      <c r="C142" s="18" t="str">
        <f>IF($A142="","",INDEX(tblIssues[Role],MATCH(ROW()-5,tblIssues[Alert Row],0)))</f>
        <v/>
      </c>
      <c r="D142" s="25" t="str">
        <f>IF($A142="","",INDEX(tblIssues[Area],MATCH(ROW()-5,tblIssues[Alert Row],0)))</f>
        <v/>
      </c>
      <c r="E142" s="25" t="str">
        <f>IF($A142="","",INDEX(tblIssues[Item Name],MATCH(ROW()-5,tblIssues[Alert Row],0)))</f>
        <v/>
      </c>
      <c r="F142" s="98" t="str">
        <f>IF($A142="","",INDEX(tblIssues[Month],MATCH(ROW()-5,tblIssues[Alert Row],0)))</f>
        <v/>
      </c>
      <c r="G142" s="23" t="str">
        <f>IF($A142="","",INDEX(tblIssues[Units This Month (Staff/Item)],MATCH(ROW()-5,tblIssues[Alert Row],0)))</f>
        <v/>
      </c>
      <c r="H142" s="23" t="str">
        <f>IF($A142="","",INDEX(tblIssues[Monthly Quota],MATCH(ROW()-5,tblIssues[Alert Row],0)))</f>
        <v/>
      </c>
      <c r="I142" s="27" t="str">
        <f t="shared" si="4"/>
        <v/>
      </c>
      <c r="J142" s="31" t="str">
        <f t="shared" si="5"/>
        <v/>
      </c>
    </row>
    <row r="143" spans="1:10" x14ac:dyDescent="0.35">
      <c r="A143" s="18" t="str">
        <f>IFERROR(INDEX(tblIssues[Staff ID],MATCH(ROW()-5,tblIssues[Alert Row],0)),"")</f>
        <v/>
      </c>
      <c r="B143" s="18" t="str">
        <f>IF($A143="","",INDEX(tblIssues[Staff Name (pick)],MATCH(ROW()-5,tblIssues[Alert Row],0)))</f>
        <v/>
      </c>
      <c r="C143" s="18" t="str">
        <f>IF($A143="","",INDEX(tblIssues[Role],MATCH(ROW()-5,tblIssues[Alert Row],0)))</f>
        <v/>
      </c>
      <c r="D143" s="25" t="str">
        <f>IF($A143="","",INDEX(tblIssues[Area],MATCH(ROW()-5,tblIssues[Alert Row],0)))</f>
        <v/>
      </c>
      <c r="E143" s="25" t="str">
        <f>IF($A143="","",INDEX(tblIssues[Item Name],MATCH(ROW()-5,tblIssues[Alert Row],0)))</f>
        <v/>
      </c>
      <c r="F143" s="98" t="str">
        <f>IF($A143="","",INDEX(tblIssues[Month],MATCH(ROW()-5,tblIssues[Alert Row],0)))</f>
        <v/>
      </c>
      <c r="G143" s="23" t="str">
        <f>IF($A143="","",INDEX(tblIssues[Units This Month (Staff/Item)],MATCH(ROW()-5,tblIssues[Alert Row],0)))</f>
        <v/>
      </c>
      <c r="H143" s="23" t="str">
        <f>IF($A143="","",INDEX(tblIssues[Monthly Quota],MATCH(ROW()-5,tblIssues[Alert Row],0)))</f>
        <v/>
      </c>
      <c r="I143" s="27" t="str">
        <f t="shared" si="4"/>
        <v/>
      </c>
      <c r="J143" s="31" t="str">
        <f t="shared" si="5"/>
        <v/>
      </c>
    </row>
    <row r="144" spans="1:10" x14ac:dyDescent="0.35">
      <c r="A144" s="18" t="str">
        <f>IFERROR(INDEX(tblIssues[Staff ID],MATCH(ROW()-5,tblIssues[Alert Row],0)),"")</f>
        <v/>
      </c>
      <c r="B144" s="18" t="str">
        <f>IF($A144="","",INDEX(tblIssues[Staff Name (pick)],MATCH(ROW()-5,tblIssues[Alert Row],0)))</f>
        <v/>
      </c>
      <c r="C144" s="18" t="str">
        <f>IF($A144="","",INDEX(tblIssues[Role],MATCH(ROW()-5,tblIssues[Alert Row],0)))</f>
        <v/>
      </c>
      <c r="D144" s="25" t="str">
        <f>IF($A144="","",INDEX(tblIssues[Area],MATCH(ROW()-5,tblIssues[Alert Row],0)))</f>
        <v/>
      </c>
      <c r="E144" s="25" t="str">
        <f>IF($A144="","",INDEX(tblIssues[Item Name],MATCH(ROW()-5,tblIssues[Alert Row],0)))</f>
        <v/>
      </c>
      <c r="F144" s="98" t="str">
        <f>IF($A144="","",INDEX(tblIssues[Month],MATCH(ROW()-5,tblIssues[Alert Row],0)))</f>
        <v/>
      </c>
      <c r="G144" s="23" t="str">
        <f>IF($A144="","",INDEX(tblIssues[Units This Month (Staff/Item)],MATCH(ROW()-5,tblIssues[Alert Row],0)))</f>
        <v/>
      </c>
      <c r="H144" s="23" t="str">
        <f>IF($A144="","",INDEX(tblIssues[Monthly Quota],MATCH(ROW()-5,tblIssues[Alert Row],0)))</f>
        <v/>
      </c>
      <c r="I144" s="27" t="str">
        <f t="shared" si="4"/>
        <v/>
      </c>
      <c r="J144" s="31" t="str">
        <f t="shared" si="5"/>
        <v/>
      </c>
    </row>
    <row r="145" spans="1:10" x14ac:dyDescent="0.35">
      <c r="A145" s="18" t="str">
        <f>IFERROR(INDEX(tblIssues[Staff ID],MATCH(ROW()-5,tblIssues[Alert Row],0)),"")</f>
        <v/>
      </c>
      <c r="B145" s="18" t="str">
        <f>IF($A145="","",INDEX(tblIssues[Staff Name (pick)],MATCH(ROW()-5,tblIssues[Alert Row],0)))</f>
        <v/>
      </c>
      <c r="C145" s="18" t="str">
        <f>IF($A145="","",INDEX(tblIssues[Role],MATCH(ROW()-5,tblIssues[Alert Row],0)))</f>
        <v/>
      </c>
      <c r="D145" s="25" t="str">
        <f>IF($A145="","",INDEX(tblIssues[Area],MATCH(ROW()-5,tblIssues[Alert Row],0)))</f>
        <v/>
      </c>
      <c r="E145" s="25" t="str">
        <f>IF($A145="","",INDEX(tblIssues[Item Name],MATCH(ROW()-5,tblIssues[Alert Row],0)))</f>
        <v/>
      </c>
      <c r="F145" s="98" t="str">
        <f>IF($A145="","",INDEX(tblIssues[Month],MATCH(ROW()-5,tblIssues[Alert Row],0)))</f>
        <v/>
      </c>
      <c r="G145" s="23" t="str">
        <f>IF($A145="","",INDEX(tblIssues[Units This Month (Staff/Item)],MATCH(ROW()-5,tblIssues[Alert Row],0)))</f>
        <v/>
      </c>
      <c r="H145" s="23" t="str">
        <f>IF($A145="","",INDEX(tblIssues[Monthly Quota],MATCH(ROW()-5,tblIssues[Alert Row],0)))</f>
        <v/>
      </c>
      <c r="I145" s="27" t="str">
        <f t="shared" si="4"/>
        <v/>
      </c>
      <c r="J145" s="31" t="str">
        <f t="shared" si="5"/>
        <v/>
      </c>
    </row>
    <row r="146" spans="1:10" x14ac:dyDescent="0.35">
      <c r="A146" s="18" t="str">
        <f>IFERROR(INDEX(tblIssues[Staff ID],MATCH(ROW()-5,tblIssues[Alert Row],0)),"")</f>
        <v/>
      </c>
      <c r="B146" s="18" t="str">
        <f>IF($A146="","",INDEX(tblIssues[Staff Name (pick)],MATCH(ROW()-5,tblIssues[Alert Row],0)))</f>
        <v/>
      </c>
      <c r="C146" s="18" t="str">
        <f>IF($A146="","",INDEX(tblIssues[Role],MATCH(ROW()-5,tblIssues[Alert Row],0)))</f>
        <v/>
      </c>
      <c r="D146" s="25" t="str">
        <f>IF($A146="","",INDEX(tblIssues[Area],MATCH(ROW()-5,tblIssues[Alert Row],0)))</f>
        <v/>
      </c>
      <c r="E146" s="25" t="str">
        <f>IF($A146="","",INDEX(tblIssues[Item Name],MATCH(ROW()-5,tblIssues[Alert Row],0)))</f>
        <v/>
      </c>
      <c r="F146" s="98" t="str">
        <f>IF($A146="","",INDEX(tblIssues[Month],MATCH(ROW()-5,tblIssues[Alert Row],0)))</f>
        <v/>
      </c>
      <c r="G146" s="23" t="str">
        <f>IF($A146="","",INDEX(tblIssues[Units This Month (Staff/Item)],MATCH(ROW()-5,tblIssues[Alert Row],0)))</f>
        <v/>
      </c>
      <c r="H146" s="23" t="str">
        <f>IF($A146="","",INDEX(tblIssues[Monthly Quota],MATCH(ROW()-5,tblIssues[Alert Row],0)))</f>
        <v/>
      </c>
      <c r="I146" s="27" t="str">
        <f t="shared" si="4"/>
        <v/>
      </c>
      <c r="J146" s="31" t="str">
        <f t="shared" si="5"/>
        <v/>
      </c>
    </row>
    <row r="147" spans="1:10" x14ac:dyDescent="0.35">
      <c r="A147" s="18" t="str">
        <f>IFERROR(INDEX(tblIssues[Staff ID],MATCH(ROW()-5,tblIssues[Alert Row],0)),"")</f>
        <v/>
      </c>
      <c r="B147" s="18" t="str">
        <f>IF($A147="","",INDEX(tblIssues[Staff Name (pick)],MATCH(ROW()-5,tblIssues[Alert Row],0)))</f>
        <v/>
      </c>
      <c r="C147" s="18" t="str">
        <f>IF($A147="","",INDEX(tblIssues[Role],MATCH(ROW()-5,tblIssues[Alert Row],0)))</f>
        <v/>
      </c>
      <c r="D147" s="25" t="str">
        <f>IF($A147="","",INDEX(tblIssues[Area],MATCH(ROW()-5,tblIssues[Alert Row],0)))</f>
        <v/>
      </c>
      <c r="E147" s="25" t="str">
        <f>IF($A147="","",INDEX(tblIssues[Item Name],MATCH(ROW()-5,tblIssues[Alert Row],0)))</f>
        <v/>
      </c>
      <c r="F147" s="98" t="str">
        <f>IF($A147="","",INDEX(tblIssues[Month],MATCH(ROW()-5,tblIssues[Alert Row],0)))</f>
        <v/>
      </c>
      <c r="G147" s="23" t="str">
        <f>IF($A147="","",INDEX(tblIssues[Units This Month (Staff/Item)],MATCH(ROW()-5,tblIssues[Alert Row],0)))</f>
        <v/>
      </c>
      <c r="H147" s="23" t="str">
        <f>IF($A147="","",INDEX(tblIssues[Monthly Quota],MATCH(ROW()-5,tblIssues[Alert Row],0)))</f>
        <v/>
      </c>
      <c r="I147" s="27" t="str">
        <f t="shared" si="4"/>
        <v/>
      </c>
      <c r="J147" s="31" t="str">
        <f t="shared" si="5"/>
        <v/>
      </c>
    </row>
    <row r="148" spans="1:10" x14ac:dyDescent="0.35">
      <c r="A148" s="18" t="str">
        <f>IFERROR(INDEX(tblIssues[Staff ID],MATCH(ROW()-5,tblIssues[Alert Row],0)),"")</f>
        <v/>
      </c>
      <c r="B148" s="18" t="str">
        <f>IF($A148="","",INDEX(tblIssues[Staff Name (pick)],MATCH(ROW()-5,tblIssues[Alert Row],0)))</f>
        <v/>
      </c>
      <c r="C148" s="18" t="str">
        <f>IF($A148="","",INDEX(tblIssues[Role],MATCH(ROW()-5,tblIssues[Alert Row],0)))</f>
        <v/>
      </c>
      <c r="D148" s="25" t="str">
        <f>IF($A148="","",INDEX(tblIssues[Area],MATCH(ROW()-5,tblIssues[Alert Row],0)))</f>
        <v/>
      </c>
      <c r="E148" s="25" t="str">
        <f>IF($A148="","",INDEX(tblIssues[Item Name],MATCH(ROW()-5,tblIssues[Alert Row],0)))</f>
        <v/>
      </c>
      <c r="F148" s="98" t="str">
        <f>IF($A148="","",INDEX(tblIssues[Month],MATCH(ROW()-5,tblIssues[Alert Row],0)))</f>
        <v/>
      </c>
      <c r="G148" s="23" t="str">
        <f>IF($A148="","",INDEX(tblIssues[Units This Month (Staff/Item)],MATCH(ROW()-5,tblIssues[Alert Row],0)))</f>
        <v/>
      </c>
      <c r="H148" s="23" t="str">
        <f>IF($A148="","",INDEX(tblIssues[Monthly Quota],MATCH(ROW()-5,tblIssues[Alert Row],0)))</f>
        <v/>
      </c>
      <c r="I148" s="27" t="str">
        <f t="shared" si="4"/>
        <v/>
      </c>
      <c r="J148" s="31" t="str">
        <f t="shared" si="5"/>
        <v/>
      </c>
    </row>
    <row r="149" spans="1:10" x14ac:dyDescent="0.35">
      <c r="A149" s="18" t="str">
        <f>IFERROR(INDEX(tblIssues[Staff ID],MATCH(ROW()-5,tblIssues[Alert Row],0)),"")</f>
        <v/>
      </c>
      <c r="B149" s="18" t="str">
        <f>IF($A149="","",INDEX(tblIssues[Staff Name (pick)],MATCH(ROW()-5,tblIssues[Alert Row],0)))</f>
        <v/>
      </c>
      <c r="C149" s="18" t="str">
        <f>IF($A149="","",INDEX(tblIssues[Role],MATCH(ROW()-5,tblIssues[Alert Row],0)))</f>
        <v/>
      </c>
      <c r="D149" s="25" t="str">
        <f>IF($A149="","",INDEX(tblIssues[Area],MATCH(ROW()-5,tblIssues[Alert Row],0)))</f>
        <v/>
      </c>
      <c r="E149" s="25" t="str">
        <f>IF($A149="","",INDEX(tblIssues[Item Name],MATCH(ROW()-5,tblIssues[Alert Row],0)))</f>
        <v/>
      </c>
      <c r="F149" s="98" t="str">
        <f>IF($A149="","",INDEX(tblIssues[Month],MATCH(ROW()-5,tblIssues[Alert Row],0)))</f>
        <v/>
      </c>
      <c r="G149" s="23" t="str">
        <f>IF($A149="","",INDEX(tblIssues[Units This Month (Staff/Item)],MATCH(ROW()-5,tblIssues[Alert Row],0)))</f>
        <v/>
      </c>
      <c r="H149" s="23" t="str">
        <f>IF($A149="","",INDEX(tblIssues[Monthly Quota],MATCH(ROW()-5,tblIssues[Alert Row],0)))</f>
        <v/>
      </c>
      <c r="I149" s="27" t="str">
        <f t="shared" si="4"/>
        <v/>
      </c>
      <c r="J149" s="31" t="str">
        <f t="shared" si="5"/>
        <v/>
      </c>
    </row>
    <row r="150" spans="1:10" x14ac:dyDescent="0.35">
      <c r="A150" s="18" t="str">
        <f>IFERROR(INDEX(tblIssues[Staff ID],MATCH(ROW()-5,tblIssues[Alert Row],0)),"")</f>
        <v/>
      </c>
      <c r="B150" s="18" t="str">
        <f>IF($A150="","",INDEX(tblIssues[Staff Name (pick)],MATCH(ROW()-5,tblIssues[Alert Row],0)))</f>
        <v/>
      </c>
      <c r="C150" s="18" t="str">
        <f>IF($A150="","",INDEX(tblIssues[Role],MATCH(ROW()-5,tblIssues[Alert Row],0)))</f>
        <v/>
      </c>
      <c r="D150" s="25" t="str">
        <f>IF($A150="","",INDEX(tblIssues[Area],MATCH(ROW()-5,tblIssues[Alert Row],0)))</f>
        <v/>
      </c>
      <c r="E150" s="25" t="str">
        <f>IF($A150="","",INDEX(tblIssues[Item Name],MATCH(ROW()-5,tblIssues[Alert Row],0)))</f>
        <v/>
      </c>
      <c r="F150" s="98" t="str">
        <f>IF($A150="","",INDEX(tblIssues[Month],MATCH(ROW()-5,tblIssues[Alert Row],0)))</f>
        <v/>
      </c>
      <c r="G150" s="23" t="str">
        <f>IF($A150="","",INDEX(tblIssues[Units This Month (Staff/Item)],MATCH(ROW()-5,tblIssues[Alert Row],0)))</f>
        <v/>
      </c>
      <c r="H150" s="23" t="str">
        <f>IF($A150="","",INDEX(tblIssues[Monthly Quota],MATCH(ROW()-5,tblIssues[Alert Row],0)))</f>
        <v/>
      </c>
      <c r="I150" s="27" t="str">
        <f t="shared" si="4"/>
        <v/>
      </c>
      <c r="J150" s="31" t="str">
        <f t="shared" si="5"/>
        <v/>
      </c>
    </row>
    <row r="151" spans="1:10" x14ac:dyDescent="0.35">
      <c r="A151" s="18" t="str">
        <f>IFERROR(INDEX(tblIssues[Staff ID],MATCH(ROW()-5,tblIssues[Alert Row],0)),"")</f>
        <v/>
      </c>
      <c r="B151" s="18" t="str">
        <f>IF($A151="","",INDEX(tblIssues[Staff Name (pick)],MATCH(ROW()-5,tblIssues[Alert Row],0)))</f>
        <v/>
      </c>
      <c r="C151" s="18" t="str">
        <f>IF($A151="","",INDEX(tblIssues[Role],MATCH(ROW()-5,tblIssues[Alert Row],0)))</f>
        <v/>
      </c>
      <c r="D151" s="25" t="str">
        <f>IF($A151="","",INDEX(tblIssues[Area],MATCH(ROW()-5,tblIssues[Alert Row],0)))</f>
        <v/>
      </c>
      <c r="E151" s="25" t="str">
        <f>IF($A151="","",INDEX(tblIssues[Item Name],MATCH(ROW()-5,tblIssues[Alert Row],0)))</f>
        <v/>
      </c>
      <c r="F151" s="98" t="str">
        <f>IF($A151="","",INDEX(tblIssues[Month],MATCH(ROW()-5,tblIssues[Alert Row],0)))</f>
        <v/>
      </c>
      <c r="G151" s="23" t="str">
        <f>IF($A151="","",INDEX(tblIssues[Units This Month (Staff/Item)],MATCH(ROW()-5,tblIssues[Alert Row],0)))</f>
        <v/>
      </c>
      <c r="H151" s="23" t="str">
        <f>IF($A151="","",INDEX(tblIssues[Monthly Quota],MATCH(ROW()-5,tblIssues[Alert Row],0)))</f>
        <v/>
      </c>
      <c r="I151" s="27" t="str">
        <f t="shared" si="4"/>
        <v/>
      </c>
      <c r="J151" s="31" t="str">
        <f t="shared" si="5"/>
        <v/>
      </c>
    </row>
    <row r="152" spans="1:10" x14ac:dyDescent="0.35">
      <c r="A152" s="18" t="str">
        <f>IFERROR(INDEX(tblIssues[Staff ID],MATCH(ROW()-5,tblIssues[Alert Row],0)),"")</f>
        <v/>
      </c>
      <c r="B152" s="18" t="str">
        <f>IF($A152="","",INDEX(tblIssues[Staff Name (pick)],MATCH(ROW()-5,tblIssues[Alert Row],0)))</f>
        <v/>
      </c>
      <c r="C152" s="18" t="str">
        <f>IF($A152="","",INDEX(tblIssues[Role],MATCH(ROW()-5,tblIssues[Alert Row],0)))</f>
        <v/>
      </c>
      <c r="D152" s="25" t="str">
        <f>IF($A152="","",INDEX(tblIssues[Area],MATCH(ROW()-5,tblIssues[Alert Row],0)))</f>
        <v/>
      </c>
      <c r="E152" s="25" t="str">
        <f>IF($A152="","",INDEX(tblIssues[Item Name],MATCH(ROW()-5,tblIssues[Alert Row],0)))</f>
        <v/>
      </c>
      <c r="F152" s="98" t="str">
        <f>IF($A152="","",INDEX(tblIssues[Month],MATCH(ROW()-5,tblIssues[Alert Row],0)))</f>
        <v/>
      </c>
      <c r="G152" s="23" t="str">
        <f>IF($A152="","",INDEX(tblIssues[Units This Month (Staff/Item)],MATCH(ROW()-5,tblIssues[Alert Row],0)))</f>
        <v/>
      </c>
      <c r="H152" s="23" t="str">
        <f>IF($A152="","",INDEX(tblIssues[Monthly Quota],MATCH(ROW()-5,tblIssues[Alert Row],0)))</f>
        <v/>
      </c>
      <c r="I152" s="27" t="str">
        <f t="shared" si="4"/>
        <v/>
      </c>
      <c r="J152" s="31" t="str">
        <f t="shared" si="5"/>
        <v/>
      </c>
    </row>
    <row r="153" spans="1:10" x14ac:dyDescent="0.35">
      <c r="A153" s="18" t="str">
        <f>IFERROR(INDEX(tblIssues[Staff ID],MATCH(ROW()-5,tblIssues[Alert Row],0)),"")</f>
        <v/>
      </c>
      <c r="B153" s="18" t="str">
        <f>IF($A153="","",INDEX(tblIssues[Staff Name (pick)],MATCH(ROW()-5,tblIssues[Alert Row],0)))</f>
        <v/>
      </c>
      <c r="C153" s="18" t="str">
        <f>IF($A153="","",INDEX(tblIssues[Role],MATCH(ROW()-5,tblIssues[Alert Row],0)))</f>
        <v/>
      </c>
      <c r="D153" s="25" t="str">
        <f>IF($A153="","",INDEX(tblIssues[Area],MATCH(ROW()-5,tblIssues[Alert Row],0)))</f>
        <v/>
      </c>
      <c r="E153" s="25" t="str">
        <f>IF($A153="","",INDEX(tblIssues[Item Name],MATCH(ROW()-5,tblIssues[Alert Row],0)))</f>
        <v/>
      </c>
      <c r="F153" s="98" t="str">
        <f>IF($A153="","",INDEX(tblIssues[Month],MATCH(ROW()-5,tblIssues[Alert Row],0)))</f>
        <v/>
      </c>
      <c r="G153" s="23" t="str">
        <f>IF($A153="","",INDEX(tblIssues[Units This Month (Staff/Item)],MATCH(ROW()-5,tblIssues[Alert Row],0)))</f>
        <v/>
      </c>
      <c r="H153" s="23" t="str">
        <f>IF($A153="","",INDEX(tblIssues[Monthly Quota],MATCH(ROW()-5,tblIssues[Alert Row],0)))</f>
        <v/>
      </c>
      <c r="I153" s="27" t="str">
        <f t="shared" si="4"/>
        <v/>
      </c>
      <c r="J153" s="31" t="str">
        <f t="shared" si="5"/>
        <v/>
      </c>
    </row>
    <row r="154" spans="1:10" x14ac:dyDescent="0.35">
      <c r="A154" s="18" t="str">
        <f>IFERROR(INDEX(tblIssues[Staff ID],MATCH(ROW()-5,tblIssues[Alert Row],0)),"")</f>
        <v/>
      </c>
      <c r="B154" s="18" t="str">
        <f>IF($A154="","",INDEX(tblIssues[Staff Name (pick)],MATCH(ROW()-5,tblIssues[Alert Row],0)))</f>
        <v/>
      </c>
      <c r="C154" s="18" t="str">
        <f>IF($A154="","",INDEX(tblIssues[Role],MATCH(ROW()-5,tblIssues[Alert Row],0)))</f>
        <v/>
      </c>
      <c r="D154" s="25" t="str">
        <f>IF($A154="","",INDEX(tblIssues[Area],MATCH(ROW()-5,tblIssues[Alert Row],0)))</f>
        <v/>
      </c>
      <c r="E154" s="25" t="str">
        <f>IF($A154="","",INDEX(tblIssues[Item Name],MATCH(ROW()-5,tblIssues[Alert Row],0)))</f>
        <v/>
      </c>
      <c r="F154" s="98" t="str">
        <f>IF($A154="","",INDEX(tblIssues[Month],MATCH(ROW()-5,tblIssues[Alert Row],0)))</f>
        <v/>
      </c>
      <c r="G154" s="23" t="str">
        <f>IF($A154="","",INDEX(tblIssues[Units This Month (Staff/Item)],MATCH(ROW()-5,tblIssues[Alert Row],0)))</f>
        <v/>
      </c>
      <c r="H154" s="23" t="str">
        <f>IF($A154="","",INDEX(tblIssues[Monthly Quota],MATCH(ROW()-5,tblIssues[Alert Row],0)))</f>
        <v/>
      </c>
      <c r="I154" s="27" t="str">
        <f t="shared" si="4"/>
        <v/>
      </c>
      <c r="J154" s="31" t="str">
        <f t="shared" si="5"/>
        <v/>
      </c>
    </row>
    <row r="155" spans="1:10" x14ac:dyDescent="0.35">
      <c r="A155" s="18" t="str">
        <f>IFERROR(INDEX(tblIssues[Staff ID],MATCH(ROW()-5,tblIssues[Alert Row],0)),"")</f>
        <v/>
      </c>
      <c r="B155" s="18" t="str">
        <f>IF($A155="","",INDEX(tblIssues[Staff Name (pick)],MATCH(ROW()-5,tblIssues[Alert Row],0)))</f>
        <v/>
      </c>
      <c r="C155" s="18" t="str">
        <f>IF($A155="","",INDEX(tblIssues[Role],MATCH(ROW()-5,tblIssues[Alert Row],0)))</f>
        <v/>
      </c>
      <c r="D155" s="25" t="str">
        <f>IF($A155="","",INDEX(tblIssues[Area],MATCH(ROW()-5,tblIssues[Alert Row],0)))</f>
        <v/>
      </c>
      <c r="E155" s="25" t="str">
        <f>IF($A155="","",INDEX(tblIssues[Item Name],MATCH(ROW()-5,tblIssues[Alert Row],0)))</f>
        <v/>
      </c>
      <c r="F155" s="98" t="str">
        <f>IF($A155="","",INDEX(tblIssues[Month],MATCH(ROW()-5,tblIssues[Alert Row],0)))</f>
        <v/>
      </c>
      <c r="G155" s="23" t="str">
        <f>IF($A155="","",INDEX(tblIssues[Units This Month (Staff/Item)],MATCH(ROW()-5,tblIssues[Alert Row],0)))</f>
        <v/>
      </c>
      <c r="H155" s="23" t="str">
        <f>IF($A155="","",INDEX(tblIssues[Monthly Quota],MATCH(ROW()-5,tblIssues[Alert Row],0)))</f>
        <v/>
      </c>
      <c r="I155" s="27" t="str">
        <f t="shared" si="4"/>
        <v/>
      </c>
      <c r="J155" s="31" t="str">
        <f t="shared" si="5"/>
        <v/>
      </c>
    </row>
    <row r="156" spans="1:10" x14ac:dyDescent="0.35">
      <c r="A156" s="18" t="str">
        <f>IFERROR(INDEX(tblIssues[Staff ID],MATCH(ROW()-5,tblIssues[Alert Row],0)),"")</f>
        <v/>
      </c>
      <c r="B156" s="18" t="str">
        <f>IF($A156="","",INDEX(tblIssues[Staff Name (pick)],MATCH(ROW()-5,tblIssues[Alert Row],0)))</f>
        <v/>
      </c>
      <c r="C156" s="18" t="str">
        <f>IF($A156="","",INDEX(tblIssues[Role],MATCH(ROW()-5,tblIssues[Alert Row],0)))</f>
        <v/>
      </c>
      <c r="D156" s="25" t="str">
        <f>IF($A156="","",INDEX(tblIssues[Area],MATCH(ROW()-5,tblIssues[Alert Row],0)))</f>
        <v/>
      </c>
      <c r="E156" s="25" t="str">
        <f>IF($A156="","",INDEX(tblIssues[Item Name],MATCH(ROW()-5,tblIssues[Alert Row],0)))</f>
        <v/>
      </c>
      <c r="F156" s="98" t="str">
        <f>IF($A156="","",INDEX(tblIssues[Month],MATCH(ROW()-5,tblIssues[Alert Row],0)))</f>
        <v/>
      </c>
      <c r="G156" s="23" t="str">
        <f>IF($A156="","",INDEX(tblIssues[Units This Month (Staff/Item)],MATCH(ROW()-5,tblIssues[Alert Row],0)))</f>
        <v/>
      </c>
      <c r="H156" s="23" t="str">
        <f>IF($A156="","",INDEX(tblIssues[Monthly Quota],MATCH(ROW()-5,tblIssues[Alert Row],0)))</f>
        <v/>
      </c>
      <c r="I156" s="27" t="str">
        <f t="shared" si="4"/>
        <v/>
      </c>
      <c r="J156" s="31" t="str">
        <f t="shared" si="5"/>
        <v/>
      </c>
    </row>
    <row r="157" spans="1:10" x14ac:dyDescent="0.35">
      <c r="A157" s="18" t="str">
        <f>IFERROR(INDEX(tblIssues[Staff ID],MATCH(ROW()-5,tblIssues[Alert Row],0)),"")</f>
        <v/>
      </c>
      <c r="B157" s="18" t="str">
        <f>IF($A157="","",INDEX(tblIssues[Staff Name (pick)],MATCH(ROW()-5,tblIssues[Alert Row],0)))</f>
        <v/>
      </c>
      <c r="C157" s="18" t="str">
        <f>IF($A157="","",INDEX(tblIssues[Role],MATCH(ROW()-5,tblIssues[Alert Row],0)))</f>
        <v/>
      </c>
      <c r="D157" s="25" t="str">
        <f>IF($A157="","",INDEX(tblIssues[Area],MATCH(ROW()-5,tblIssues[Alert Row],0)))</f>
        <v/>
      </c>
      <c r="E157" s="25" t="str">
        <f>IF($A157="","",INDEX(tblIssues[Item Name],MATCH(ROW()-5,tblIssues[Alert Row],0)))</f>
        <v/>
      </c>
      <c r="F157" s="98" t="str">
        <f>IF($A157="","",INDEX(tblIssues[Month],MATCH(ROW()-5,tblIssues[Alert Row],0)))</f>
        <v/>
      </c>
      <c r="G157" s="23" t="str">
        <f>IF($A157="","",INDEX(tblIssues[Units This Month (Staff/Item)],MATCH(ROW()-5,tblIssues[Alert Row],0)))</f>
        <v/>
      </c>
      <c r="H157" s="23" t="str">
        <f>IF($A157="","",INDEX(tblIssues[Monthly Quota],MATCH(ROW()-5,tblIssues[Alert Row],0)))</f>
        <v/>
      </c>
      <c r="I157" s="27" t="str">
        <f t="shared" si="4"/>
        <v/>
      </c>
      <c r="J157" s="31" t="str">
        <f t="shared" si="5"/>
        <v/>
      </c>
    </row>
    <row r="158" spans="1:10" x14ac:dyDescent="0.35">
      <c r="A158" s="18" t="str">
        <f>IFERROR(INDEX(tblIssues[Staff ID],MATCH(ROW()-5,tblIssues[Alert Row],0)),"")</f>
        <v/>
      </c>
      <c r="B158" s="18" t="str">
        <f>IF($A158="","",INDEX(tblIssues[Staff Name (pick)],MATCH(ROW()-5,tblIssues[Alert Row],0)))</f>
        <v/>
      </c>
      <c r="C158" s="18" t="str">
        <f>IF($A158="","",INDEX(tblIssues[Role],MATCH(ROW()-5,tblIssues[Alert Row],0)))</f>
        <v/>
      </c>
      <c r="D158" s="25" t="str">
        <f>IF($A158="","",INDEX(tblIssues[Area],MATCH(ROW()-5,tblIssues[Alert Row],0)))</f>
        <v/>
      </c>
      <c r="E158" s="25" t="str">
        <f>IF($A158="","",INDEX(tblIssues[Item Name],MATCH(ROW()-5,tblIssues[Alert Row],0)))</f>
        <v/>
      </c>
      <c r="F158" s="98" t="str">
        <f>IF($A158="","",INDEX(tblIssues[Month],MATCH(ROW()-5,tblIssues[Alert Row],0)))</f>
        <v/>
      </c>
      <c r="G158" s="23" t="str">
        <f>IF($A158="","",INDEX(tblIssues[Units This Month (Staff/Item)],MATCH(ROW()-5,tblIssues[Alert Row],0)))</f>
        <v/>
      </c>
      <c r="H158" s="23" t="str">
        <f>IF($A158="","",INDEX(tblIssues[Monthly Quota],MATCH(ROW()-5,tblIssues[Alert Row],0)))</f>
        <v/>
      </c>
      <c r="I158" s="27" t="str">
        <f t="shared" si="4"/>
        <v/>
      </c>
      <c r="J158" s="31" t="str">
        <f t="shared" si="5"/>
        <v/>
      </c>
    </row>
    <row r="159" spans="1:10" x14ac:dyDescent="0.35">
      <c r="A159" s="18" t="str">
        <f>IFERROR(INDEX(tblIssues[Staff ID],MATCH(ROW()-5,tblIssues[Alert Row],0)),"")</f>
        <v/>
      </c>
      <c r="B159" s="18" t="str">
        <f>IF($A159="","",INDEX(tblIssues[Staff Name (pick)],MATCH(ROW()-5,tblIssues[Alert Row],0)))</f>
        <v/>
      </c>
      <c r="C159" s="18" t="str">
        <f>IF($A159="","",INDEX(tblIssues[Role],MATCH(ROW()-5,tblIssues[Alert Row],0)))</f>
        <v/>
      </c>
      <c r="D159" s="25" t="str">
        <f>IF($A159="","",INDEX(tblIssues[Area],MATCH(ROW()-5,tblIssues[Alert Row],0)))</f>
        <v/>
      </c>
      <c r="E159" s="25" t="str">
        <f>IF($A159="","",INDEX(tblIssues[Item Name],MATCH(ROW()-5,tblIssues[Alert Row],0)))</f>
        <v/>
      </c>
      <c r="F159" s="98" t="str">
        <f>IF($A159="","",INDEX(tblIssues[Month],MATCH(ROW()-5,tblIssues[Alert Row],0)))</f>
        <v/>
      </c>
      <c r="G159" s="23" t="str">
        <f>IF($A159="","",INDEX(tblIssues[Units This Month (Staff/Item)],MATCH(ROW()-5,tblIssues[Alert Row],0)))</f>
        <v/>
      </c>
      <c r="H159" s="23" t="str">
        <f>IF($A159="","",INDEX(tblIssues[Monthly Quota],MATCH(ROW()-5,tblIssues[Alert Row],0)))</f>
        <v/>
      </c>
      <c r="I159" s="27" t="str">
        <f t="shared" si="4"/>
        <v/>
      </c>
      <c r="J159" s="31" t="str">
        <f t="shared" si="5"/>
        <v/>
      </c>
    </row>
    <row r="160" spans="1:10" x14ac:dyDescent="0.35">
      <c r="A160" s="18" t="str">
        <f>IFERROR(INDEX(tblIssues[Staff ID],MATCH(ROW()-5,tblIssues[Alert Row],0)),"")</f>
        <v/>
      </c>
      <c r="B160" s="18" t="str">
        <f>IF($A160="","",INDEX(tblIssues[Staff Name (pick)],MATCH(ROW()-5,tblIssues[Alert Row],0)))</f>
        <v/>
      </c>
      <c r="C160" s="18" t="str">
        <f>IF($A160="","",INDEX(tblIssues[Role],MATCH(ROW()-5,tblIssues[Alert Row],0)))</f>
        <v/>
      </c>
      <c r="D160" s="25" t="str">
        <f>IF($A160="","",INDEX(tblIssues[Area],MATCH(ROW()-5,tblIssues[Alert Row],0)))</f>
        <v/>
      </c>
      <c r="E160" s="25" t="str">
        <f>IF($A160="","",INDEX(tblIssues[Item Name],MATCH(ROW()-5,tblIssues[Alert Row],0)))</f>
        <v/>
      </c>
      <c r="F160" s="98" t="str">
        <f>IF($A160="","",INDEX(tblIssues[Month],MATCH(ROW()-5,tblIssues[Alert Row],0)))</f>
        <v/>
      </c>
      <c r="G160" s="23" t="str">
        <f>IF($A160="","",INDEX(tblIssues[Units This Month (Staff/Item)],MATCH(ROW()-5,tblIssues[Alert Row],0)))</f>
        <v/>
      </c>
      <c r="H160" s="23" t="str">
        <f>IF($A160="","",INDEX(tblIssues[Monthly Quota],MATCH(ROW()-5,tblIssues[Alert Row],0)))</f>
        <v/>
      </c>
      <c r="I160" s="27" t="str">
        <f t="shared" si="4"/>
        <v/>
      </c>
      <c r="J160" s="31" t="str">
        <f t="shared" si="5"/>
        <v/>
      </c>
    </row>
    <row r="161" spans="1:10" x14ac:dyDescent="0.35">
      <c r="A161" s="18" t="str">
        <f>IFERROR(INDEX(tblIssues[Staff ID],MATCH(ROW()-5,tblIssues[Alert Row],0)),"")</f>
        <v/>
      </c>
      <c r="B161" s="18" t="str">
        <f>IF($A161="","",INDEX(tblIssues[Staff Name (pick)],MATCH(ROW()-5,tblIssues[Alert Row],0)))</f>
        <v/>
      </c>
      <c r="C161" s="18" t="str">
        <f>IF($A161="","",INDEX(tblIssues[Role],MATCH(ROW()-5,tblIssues[Alert Row],0)))</f>
        <v/>
      </c>
      <c r="D161" s="25" t="str">
        <f>IF($A161="","",INDEX(tblIssues[Area],MATCH(ROW()-5,tblIssues[Alert Row],0)))</f>
        <v/>
      </c>
      <c r="E161" s="25" t="str">
        <f>IF($A161="","",INDEX(tblIssues[Item Name],MATCH(ROW()-5,tblIssues[Alert Row],0)))</f>
        <v/>
      </c>
      <c r="F161" s="98" t="str">
        <f>IF($A161="","",INDEX(tblIssues[Month],MATCH(ROW()-5,tblIssues[Alert Row],0)))</f>
        <v/>
      </c>
      <c r="G161" s="23" t="str">
        <f>IF($A161="","",INDEX(tblIssues[Units This Month (Staff/Item)],MATCH(ROW()-5,tblIssues[Alert Row],0)))</f>
        <v/>
      </c>
      <c r="H161" s="23" t="str">
        <f>IF($A161="","",INDEX(tblIssues[Monthly Quota],MATCH(ROW()-5,tblIssues[Alert Row],0)))</f>
        <v/>
      </c>
      <c r="I161" s="27" t="str">
        <f t="shared" si="4"/>
        <v/>
      </c>
      <c r="J161" s="31" t="str">
        <f t="shared" si="5"/>
        <v/>
      </c>
    </row>
    <row r="162" spans="1:10" x14ac:dyDescent="0.35">
      <c r="A162" s="18" t="str">
        <f>IFERROR(INDEX(tblIssues[Staff ID],MATCH(ROW()-5,tblIssues[Alert Row],0)),"")</f>
        <v/>
      </c>
      <c r="B162" s="18" t="str">
        <f>IF($A162="","",INDEX(tblIssues[Staff Name (pick)],MATCH(ROW()-5,tblIssues[Alert Row],0)))</f>
        <v/>
      </c>
      <c r="C162" s="18" t="str">
        <f>IF($A162="","",INDEX(tblIssues[Role],MATCH(ROW()-5,tblIssues[Alert Row],0)))</f>
        <v/>
      </c>
      <c r="D162" s="25" t="str">
        <f>IF($A162="","",INDEX(tblIssues[Area],MATCH(ROW()-5,tblIssues[Alert Row],0)))</f>
        <v/>
      </c>
      <c r="E162" s="25" t="str">
        <f>IF($A162="","",INDEX(tblIssues[Item Name],MATCH(ROW()-5,tblIssues[Alert Row],0)))</f>
        <v/>
      </c>
      <c r="F162" s="98" t="str">
        <f>IF($A162="","",INDEX(tblIssues[Month],MATCH(ROW()-5,tblIssues[Alert Row],0)))</f>
        <v/>
      </c>
      <c r="G162" s="23" t="str">
        <f>IF($A162="","",INDEX(tblIssues[Units This Month (Staff/Item)],MATCH(ROW()-5,tblIssues[Alert Row],0)))</f>
        <v/>
      </c>
      <c r="H162" s="23" t="str">
        <f>IF($A162="","",INDEX(tblIssues[Monthly Quota],MATCH(ROW()-5,tblIssues[Alert Row],0)))</f>
        <v/>
      </c>
      <c r="I162" s="27" t="str">
        <f t="shared" si="4"/>
        <v/>
      </c>
      <c r="J162" s="31" t="str">
        <f t="shared" si="5"/>
        <v/>
      </c>
    </row>
    <row r="163" spans="1:10" x14ac:dyDescent="0.35">
      <c r="A163" s="18" t="str">
        <f>IFERROR(INDEX(tblIssues[Staff ID],MATCH(ROW()-5,tblIssues[Alert Row],0)),"")</f>
        <v/>
      </c>
      <c r="B163" s="18" t="str">
        <f>IF($A163="","",INDEX(tblIssues[Staff Name (pick)],MATCH(ROW()-5,tblIssues[Alert Row],0)))</f>
        <v/>
      </c>
      <c r="C163" s="18" t="str">
        <f>IF($A163="","",INDEX(tblIssues[Role],MATCH(ROW()-5,tblIssues[Alert Row],0)))</f>
        <v/>
      </c>
      <c r="D163" s="25" t="str">
        <f>IF($A163="","",INDEX(tblIssues[Area],MATCH(ROW()-5,tblIssues[Alert Row],0)))</f>
        <v/>
      </c>
      <c r="E163" s="25" t="str">
        <f>IF($A163="","",INDEX(tblIssues[Item Name],MATCH(ROW()-5,tblIssues[Alert Row],0)))</f>
        <v/>
      </c>
      <c r="F163" s="98" t="str">
        <f>IF($A163="","",INDEX(tblIssues[Month],MATCH(ROW()-5,tblIssues[Alert Row],0)))</f>
        <v/>
      </c>
      <c r="G163" s="23" t="str">
        <f>IF($A163="","",INDEX(tblIssues[Units This Month (Staff/Item)],MATCH(ROW()-5,tblIssues[Alert Row],0)))</f>
        <v/>
      </c>
      <c r="H163" s="23" t="str">
        <f>IF($A163="","",INDEX(tblIssues[Monthly Quota],MATCH(ROW()-5,tblIssues[Alert Row],0)))</f>
        <v/>
      </c>
      <c r="I163" s="27" t="str">
        <f t="shared" si="4"/>
        <v/>
      </c>
      <c r="J163" s="31" t="str">
        <f t="shared" si="5"/>
        <v/>
      </c>
    </row>
    <row r="164" spans="1:10" x14ac:dyDescent="0.35">
      <c r="A164" s="18" t="str">
        <f>IFERROR(INDEX(tblIssues[Staff ID],MATCH(ROW()-5,tblIssues[Alert Row],0)),"")</f>
        <v/>
      </c>
      <c r="B164" s="18" t="str">
        <f>IF($A164="","",INDEX(tblIssues[Staff Name (pick)],MATCH(ROW()-5,tblIssues[Alert Row],0)))</f>
        <v/>
      </c>
      <c r="C164" s="18" t="str">
        <f>IF($A164="","",INDEX(tblIssues[Role],MATCH(ROW()-5,tblIssues[Alert Row],0)))</f>
        <v/>
      </c>
      <c r="D164" s="25" t="str">
        <f>IF($A164="","",INDEX(tblIssues[Area],MATCH(ROW()-5,tblIssues[Alert Row],0)))</f>
        <v/>
      </c>
      <c r="E164" s="25" t="str">
        <f>IF($A164="","",INDEX(tblIssues[Item Name],MATCH(ROW()-5,tblIssues[Alert Row],0)))</f>
        <v/>
      </c>
      <c r="F164" s="98" t="str">
        <f>IF($A164="","",INDEX(tblIssues[Month],MATCH(ROW()-5,tblIssues[Alert Row],0)))</f>
        <v/>
      </c>
      <c r="G164" s="23" t="str">
        <f>IF($A164="","",INDEX(tblIssues[Units This Month (Staff/Item)],MATCH(ROW()-5,tblIssues[Alert Row],0)))</f>
        <v/>
      </c>
      <c r="H164" s="23" t="str">
        <f>IF($A164="","",INDEX(tblIssues[Monthly Quota],MATCH(ROW()-5,tblIssues[Alert Row],0)))</f>
        <v/>
      </c>
      <c r="I164" s="27" t="str">
        <f t="shared" si="4"/>
        <v/>
      </c>
      <c r="J164" s="31" t="str">
        <f t="shared" si="5"/>
        <v/>
      </c>
    </row>
    <row r="165" spans="1:10" x14ac:dyDescent="0.35">
      <c r="A165" s="18" t="str">
        <f>IFERROR(INDEX(tblIssues[Staff ID],MATCH(ROW()-5,tblIssues[Alert Row],0)),"")</f>
        <v/>
      </c>
      <c r="B165" s="18" t="str">
        <f>IF($A165="","",INDEX(tblIssues[Staff Name (pick)],MATCH(ROW()-5,tblIssues[Alert Row],0)))</f>
        <v/>
      </c>
      <c r="C165" s="18" t="str">
        <f>IF($A165="","",INDEX(tblIssues[Role],MATCH(ROW()-5,tblIssues[Alert Row],0)))</f>
        <v/>
      </c>
      <c r="D165" s="25" t="str">
        <f>IF($A165="","",INDEX(tblIssues[Area],MATCH(ROW()-5,tblIssues[Alert Row],0)))</f>
        <v/>
      </c>
      <c r="E165" s="25" t="str">
        <f>IF($A165="","",INDEX(tblIssues[Item Name],MATCH(ROW()-5,tblIssues[Alert Row],0)))</f>
        <v/>
      </c>
      <c r="F165" s="98" t="str">
        <f>IF($A165="","",INDEX(tblIssues[Month],MATCH(ROW()-5,tblIssues[Alert Row],0)))</f>
        <v/>
      </c>
      <c r="G165" s="23" t="str">
        <f>IF($A165="","",INDEX(tblIssues[Units This Month (Staff/Item)],MATCH(ROW()-5,tblIssues[Alert Row],0)))</f>
        <v/>
      </c>
      <c r="H165" s="23" t="str">
        <f>IF($A165="","",INDEX(tblIssues[Monthly Quota],MATCH(ROW()-5,tblIssues[Alert Row],0)))</f>
        <v/>
      </c>
      <c r="I165" s="27" t="str">
        <f t="shared" si="4"/>
        <v/>
      </c>
      <c r="J165" s="31" t="str">
        <f t="shared" si="5"/>
        <v/>
      </c>
    </row>
    <row r="166" spans="1:10" x14ac:dyDescent="0.35">
      <c r="A166" s="18" t="str">
        <f>IFERROR(INDEX(tblIssues[Staff ID],MATCH(ROW()-5,tblIssues[Alert Row],0)),"")</f>
        <v/>
      </c>
      <c r="B166" s="18" t="str">
        <f>IF($A166="","",INDEX(tblIssues[Staff Name (pick)],MATCH(ROW()-5,tblIssues[Alert Row],0)))</f>
        <v/>
      </c>
      <c r="C166" s="18" t="str">
        <f>IF($A166="","",INDEX(tblIssues[Role],MATCH(ROW()-5,tblIssues[Alert Row],0)))</f>
        <v/>
      </c>
      <c r="D166" s="25" t="str">
        <f>IF($A166="","",INDEX(tblIssues[Area],MATCH(ROW()-5,tblIssues[Alert Row],0)))</f>
        <v/>
      </c>
      <c r="E166" s="25" t="str">
        <f>IF($A166="","",INDEX(tblIssues[Item Name],MATCH(ROW()-5,tblIssues[Alert Row],0)))</f>
        <v/>
      </c>
      <c r="F166" s="98" t="str">
        <f>IF($A166="","",INDEX(tblIssues[Month],MATCH(ROW()-5,tblIssues[Alert Row],0)))</f>
        <v/>
      </c>
      <c r="G166" s="23" t="str">
        <f>IF($A166="","",INDEX(tblIssues[Units This Month (Staff/Item)],MATCH(ROW()-5,tblIssues[Alert Row],0)))</f>
        <v/>
      </c>
      <c r="H166" s="23" t="str">
        <f>IF($A166="","",INDEX(tblIssues[Monthly Quota],MATCH(ROW()-5,tblIssues[Alert Row],0)))</f>
        <v/>
      </c>
      <c r="I166" s="27" t="str">
        <f t="shared" si="4"/>
        <v/>
      </c>
      <c r="J166" s="31" t="str">
        <f t="shared" si="5"/>
        <v/>
      </c>
    </row>
    <row r="167" spans="1:10" x14ac:dyDescent="0.35">
      <c r="A167" s="18" t="str">
        <f>IFERROR(INDEX(tblIssues[Staff ID],MATCH(ROW()-5,tblIssues[Alert Row],0)),"")</f>
        <v/>
      </c>
      <c r="B167" s="18" t="str">
        <f>IF($A167="","",INDEX(tblIssues[Staff Name (pick)],MATCH(ROW()-5,tblIssues[Alert Row],0)))</f>
        <v/>
      </c>
      <c r="C167" s="18" t="str">
        <f>IF($A167="","",INDEX(tblIssues[Role],MATCH(ROW()-5,tblIssues[Alert Row],0)))</f>
        <v/>
      </c>
      <c r="D167" s="25" t="str">
        <f>IF($A167="","",INDEX(tblIssues[Area],MATCH(ROW()-5,tblIssues[Alert Row],0)))</f>
        <v/>
      </c>
      <c r="E167" s="25" t="str">
        <f>IF($A167="","",INDEX(tblIssues[Item Name],MATCH(ROW()-5,tblIssues[Alert Row],0)))</f>
        <v/>
      </c>
      <c r="F167" s="98" t="str">
        <f>IF($A167="","",INDEX(tblIssues[Month],MATCH(ROW()-5,tblIssues[Alert Row],0)))</f>
        <v/>
      </c>
      <c r="G167" s="23" t="str">
        <f>IF($A167="","",INDEX(tblIssues[Units This Month (Staff/Item)],MATCH(ROW()-5,tblIssues[Alert Row],0)))</f>
        <v/>
      </c>
      <c r="H167" s="23" t="str">
        <f>IF($A167="","",INDEX(tblIssues[Monthly Quota],MATCH(ROW()-5,tblIssues[Alert Row],0)))</f>
        <v/>
      </c>
      <c r="I167" s="27" t="str">
        <f t="shared" si="4"/>
        <v/>
      </c>
      <c r="J167" s="31" t="str">
        <f t="shared" si="5"/>
        <v/>
      </c>
    </row>
    <row r="168" spans="1:10" x14ac:dyDescent="0.35">
      <c r="A168" s="18" t="str">
        <f>IFERROR(INDEX(tblIssues[Staff ID],MATCH(ROW()-5,tblIssues[Alert Row],0)),"")</f>
        <v/>
      </c>
      <c r="B168" s="18" t="str">
        <f>IF($A168="","",INDEX(tblIssues[Staff Name (pick)],MATCH(ROW()-5,tblIssues[Alert Row],0)))</f>
        <v/>
      </c>
      <c r="C168" s="18" t="str">
        <f>IF($A168="","",INDEX(tblIssues[Role],MATCH(ROW()-5,tblIssues[Alert Row],0)))</f>
        <v/>
      </c>
      <c r="D168" s="25" t="str">
        <f>IF($A168="","",INDEX(tblIssues[Area],MATCH(ROW()-5,tblIssues[Alert Row],0)))</f>
        <v/>
      </c>
      <c r="E168" s="25" t="str">
        <f>IF($A168="","",INDEX(tblIssues[Item Name],MATCH(ROW()-5,tblIssues[Alert Row],0)))</f>
        <v/>
      </c>
      <c r="F168" s="98" t="str">
        <f>IF($A168="","",INDEX(tblIssues[Month],MATCH(ROW()-5,tblIssues[Alert Row],0)))</f>
        <v/>
      </c>
      <c r="G168" s="23" t="str">
        <f>IF($A168="","",INDEX(tblIssues[Units This Month (Staff/Item)],MATCH(ROW()-5,tblIssues[Alert Row],0)))</f>
        <v/>
      </c>
      <c r="H168" s="23" t="str">
        <f>IF($A168="","",INDEX(tblIssues[Monthly Quota],MATCH(ROW()-5,tblIssues[Alert Row],0)))</f>
        <v/>
      </c>
      <c r="I168" s="27" t="str">
        <f t="shared" si="4"/>
        <v/>
      </c>
      <c r="J168" s="31" t="str">
        <f t="shared" si="5"/>
        <v/>
      </c>
    </row>
    <row r="169" spans="1:10" x14ac:dyDescent="0.35">
      <c r="A169" s="18" t="str">
        <f>IFERROR(INDEX(tblIssues[Staff ID],MATCH(ROW()-5,tblIssues[Alert Row],0)),"")</f>
        <v/>
      </c>
      <c r="B169" s="18" t="str">
        <f>IF($A169="","",INDEX(tblIssues[Staff Name (pick)],MATCH(ROW()-5,tblIssues[Alert Row],0)))</f>
        <v/>
      </c>
      <c r="C169" s="18" t="str">
        <f>IF($A169="","",INDEX(tblIssues[Role],MATCH(ROW()-5,tblIssues[Alert Row],0)))</f>
        <v/>
      </c>
      <c r="D169" s="25" t="str">
        <f>IF($A169="","",INDEX(tblIssues[Area],MATCH(ROW()-5,tblIssues[Alert Row],0)))</f>
        <v/>
      </c>
      <c r="E169" s="25" t="str">
        <f>IF($A169="","",INDEX(tblIssues[Item Name],MATCH(ROW()-5,tblIssues[Alert Row],0)))</f>
        <v/>
      </c>
      <c r="F169" s="98" t="str">
        <f>IF($A169="","",INDEX(tblIssues[Month],MATCH(ROW()-5,tblIssues[Alert Row],0)))</f>
        <v/>
      </c>
      <c r="G169" s="23" t="str">
        <f>IF($A169="","",INDEX(tblIssues[Units This Month (Staff/Item)],MATCH(ROW()-5,tblIssues[Alert Row],0)))</f>
        <v/>
      </c>
      <c r="H169" s="23" t="str">
        <f>IF($A169="","",INDEX(tblIssues[Monthly Quota],MATCH(ROW()-5,tblIssues[Alert Row],0)))</f>
        <v/>
      </c>
      <c r="I169" s="27" t="str">
        <f t="shared" si="4"/>
        <v/>
      </c>
      <c r="J169" s="31" t="str">
        <f t="shared" si="5"/>
        <v/>
      </c>
    </row>
    <row r="170" spans="1:10" x14ac:dyDescent="0.35">
      <c r="A170" s="18" t="str">
        <f>IFERROR(INDEX(tblIssues[Staff ID],MATCH(ROW()-5,tblIssues[Alert Row],0)),"")</f>
        <v/>
      </c>
      <c r="B170" s="18" t="str">
        <f>IF($A170="","",INDEX(tblIssues[Staff Name (pick)],MATCH(ROW()-5,tblIssues[Alert Row],0)))</f>
        <v/>
      </c>
      <c r="C170" s="18" t="str">
        <f>IF($A170="","",INDEX(tblIssues[Role],MATCH(ROW()-5,tblIssues[Alert Row],0)))</f>
        <v/>
      </c>
      <c r="D170" s="25" t="str">
        <f>IF($A170="","",INDEX(tblIssues[Area],MATCH(ROW()-5,tblIssues[Alert Row],0)))</f>
        <v/>
      </c>
      <c r="E170" s="25" t="str">
        <f>IF($A170="","",INDEX(tblIssues[Item Name],MATCH(ROW()-5,tblIssues[Alert Row],0)))</f>
        <v/>
      </c>
      <c r="F170" s="98" t="str">
        <f>IF($A170="","",INDEX(tblIssues[Month],MATCH(ROW()-5,tblIssues[Alert Row],0)))</f>
        <v/>
      </c>
      <c r="G170" s="23" t="str">
        <f>IF($A170="","",INDEX(tblIssues[Units This Month (Staff/Item)],MATCH(ROW()-5,tblIssues[Alert Row],0)))</f>
        <v/>
      </c>
      <c r="H170" s="23" t="str">
        <f>IF($A170="","",INDEX(tblIssues[Monthly Quota],MATCH(ROW()-5,tblIssues[Alert Row],0)))</f>
        <v/>
      </c>
      <c r="I170" s="27" t="str">
        <f t="shared" si="4"/>
        <v/>
      </c>
      <c r="J170" s="31" t="str">
        <f t="shared" si="5"/>
        <v/>
      </c>
    </row>
    <row r="171" spans="1:10" x14ac:dyDescent="0.35">
      <c r="A171" s="18" t="str">
        <f>IFERROR(INDEX(tblIssues[Staff ID],MATCH(ROW()-5,tblIssues[Alert Row],0)),"")</f>
        <v/>
      </c>
      <c r="B171" s="18" t="str">
        <f>IF($A171="","",INDEX(tblIssues[Staff Name (pick)],MATCH(ROW()-5,tblIssues[Alert Row],0)))</f>
        <v/>
      </c>
      <c r="C171" s="18" t="str">
        <f>IF($A171="","",INDEX(tblIssues[Role],MATCH(ROW()-5,tblIssues[Alert Row],0)))</f>
        <v/>
      </c>
      <c r="D171" s="25" t="str">
        <f>IF($A171="","",INDEX(tblIssues[Area],MATCH(ROW()-5,tblIssues[Alert Row],0)))</f>
        <v/>
      </c>
      <c r="E171" s="25" t="str">
        <f>IF($A171="","",INDEX(tblIssues[Item Name],MATCH(ROW()-5,tblIssues[Alert Row],0)))</f>
        <v/>
      </c>
      <c r="F171" s="98" t="str">
        <f>IF($A171="","",INDEX(tblIssues[Month],MATCH(ROW()-5,tblIssues[Alert Row],0)))</f>
        <v/>
      </c>
      <c r="G171" s="23" t="str">
        <f>IF($A171="","",INDEX(tblIssues[Units This Month (Staff/Item)],MATCH(ROW()-5,tblIssues[Alert Row],0)))</f>
        <v/>
      </c>
      <c r="H171" s="23" t="str">
        <f>IF($A171="","",INDEX(tblIssues[Monthly Quota],MATCH(ROW()-5,tblIssues[Alert Row],0)))</f>
        <v/>
      </c>
      <c r="I171" s="27" t="str">
        <f t="shared" si="4"/>
        <v/>
      </c>
      <c r="J171" s="31" t="str">
        <f t="shared" si="5"/>
        <v/>
      </c>
    </row>
    <row r="172" spans="1:10" x14ac:dyDescent="0.35">
      <c r="A172" s="18" t="str">
        <f>IFERROR(INDEX(tblIssues[Staff ID],MATCH(ROW()-5,tblIssues[Alert Row],0)),"")</f>
        <v/>
      </c>
      <c r="B172" s="18" t="str">
        <f>IF($A172="","",INDEX(tblIssues[Staff Name (pick)],MATCH(ROW()-5,tblIssues[Alert Row],0)))</f>
        <v/>
      </c>
      <c r="C172" s="18" t="str">
        <f>IF($A172="","",INDEX(tblIssues[Role],MATCH(ROW()-5,tblIssues[Alert Row],0)))</f>
        <v/>
      </c>
      <c r="D172" s="25" t="str">
        <f>IF($A172="","",INDEX(tblIssues[Area],MATCH(ROW()-5,tblIssues[Alert Row],0)))</f>
        <v/>
      </c>
      <c r="E172" s="25" t="str">
        <f>IF($A172="","",INDEX(tblIssues[Item Name],MATCH(ROW()-5,tblIssues[Alert Row],0)))</f>
        <v/>
      </c>
      <c r="F172" s="98" t="str">
        <f>IF($A172="","",INDEX(tblIssues[Month],MATCH(ROW()-5,tblIssues[Alert Row],0)))</f>
        <v/>
      </c>
      <c r="G172" s="23" t="str">
        <f>IF($A172="","",INDEX(tblIssues[Units This Month (Staff/Item)],MATCH(ROW()-5,tblIssues[Alert Row],0)))</f>
        <v/>
      </c>
      <c r="H172" s="23" t="str">
        <f>IF($A172="","",INDEX(tblIssues[Monthly Quota],MATCH(ROW()-5,tblIssues[Alert Row],0)))</f>
        <v/>
      </c>
      <c r="I172" s="27" t="str">
        <f t="shared" si="4"/>
        <v/>
      </c>
      <c r="J172" s="31" t="str">
        <f t="shared" si="5"/>
        <v/>
      </c>
    </row>
    <row r="173" spans="1:10" x14ac:dyDescent="0.35">
      <c r="A173" s="18" t="str">
        <f>IFERROR(INDEX(tblIssues[Staff ID],MATCH(ROW()-5,tblIssues[Alert Row],0)),"")</f>
        <v/>
      </c>
      <c r="B173" s="18" t="str">
        <f>IF($A173="","",INDEX(tblIssues[Staff Name (pick)],MATCH(ROW()-5,tblIssues[Alert Row],0)))</f>
        <v/>
      </c>
      <c r="C173" s="18" t="str">
        <f>IF($A173="","",INDEX(tblIssues[Role],MATCH(ROW()-5,tblIssues[Alert Row],0)))</f>
        <v/>
      </c>
      <c r="D173" s="25" t="str">
        <f>IF($A173="","",INDEX(tblIssues[Area],MATCH(ROW()-5,tblIssues[Alert Row],0)))</f>
        <v/>
      </c>
      <c r="E173" s="25" t="str">
        <f>IF($A173="","",INDEX(tblIssues[Item Name],MATCH(ROW()-5,tblIssues[Alert Row],0)))</f>
        <v/>
      </c>
      <c r="F173" s="98" t="str">
        <f>IF($A173="","",INDEX(tblIssues[Month],MATCH(ROW()-5,tblIssues[Alert Row],0)))</f>
        <v/>
      </c>
      <c r="G173" s="23" t="str">
        <f>IF($A173="","",INDEX(tblIssues[Units This Month (Staff/Item)],MATCH(ROW()-5,tblIssues[Alert Row],0)))</f>
        <v/>
      </c>
      <c r="H173" s="23" t="str">
        <f>IF($A173="","",INDEX(tblIssues[Monthly Quota],MATCH(ROW()-5,tblIssues[Alert Row],0)))</f>
        <v/>
      </c>
      <c r="I173" s="27" t="str">
        <f t="shared" si="4"/>
        <v/>
      </c>
      <c r="J173" s="31" t="str">
        <f t="shared" si="5"/>
        <v/>
      </c>
    </row>
    <row r="174" spans="1:10" x14ac:dyDescent="0.35">
      <c r="A174" s="18" t="str">
        <f>IFERROR(INDEX(tblIssues[Staff ID],MATCH(ROW()-5,tblIssues[Alert Row],0)),"")</f>
        <v/>
      </c>
      <c r="B174" s="18" t="str">
        <f>IF($A174="","",INDEX(tblIssues[Staff Name (pick)],MATCH(ROW()-5,tblIssues[Alert Row],0)))</f>
        <v/>
      </c>
      <c r="C174" s="18" t="str">
        <f>IF($A174="","",INDEX(tblIssues[Role],MATCH(ROW()-5,tblIssues[Alert Row],0)))</f>
        <v/>
      </c>
      <c r="D174" s="25" t="str">
        <f>IF($A174="","",INDEX(tblIssues[Area],MATCH(ROW()-5,tblIssues[Alert Row],0)))</f>
        <v/>
      </c>
      <c r="E174" s="25" t="str">
        <f>IF($A174="","",INDEX(tblIssues[Item Name],MATCH(ROW()-5,tblIssues[Alert Row],0)))</f>
        <v/>
      </c>
      <c r="F174" s="98" t="str">
        <f>IF($A174="","",INDEX(tblIssues[Month],MATCH(ROW()-5,tblIssues[Alert Row],0)))</f>
        <v/>
      </c>
      <c r="G174" s="23" t="str">
        <f>IF($A174="","",INDEX(tblIssues[Units This Month (Staff/Item)],MATCH(ROW()-5,tblIssues[Alert Row],0)))</f>
        <v/>
      </c>
      <c r="H174" s="23" t="str">
        <f>IF($A174="","",INDEX(tblIssues[Monthly Quota],MATCH(ROW()-5,tblIssues[Alert Row],0)))</f>
        <v/>
      </c>
      <c r="I174" s="27" t="str">
        <f t="shared" si="4"/>
        <v/>
      </c>
      <c r="J174" s="31" t="str">
        <f t="shared" si="5"/>
        <v/>
      </c>
    </row>
    <row r="175" spans="1:10" x14ac:dyDescent="0.35">
      <c r="A175" s="18" t="str">
        <f>IFERROR(INDEX(tblIssues[Staff ID],MATCH(ROW()-5,tblIssues[Alert Row],0)),"")</f>
        <v/>
      </c>
      <c r="B175" s="18" t="str">
        <f>IF($A175="","",INDEX(tblIssues[Staff Name (pick)],MATCH(ROW()-5,tblIssues[Alert Row],0)))</f>
        <v/>
      </c>
      <c r="C175" s="18" t="str">
        <f>IF($A175="","",INDEX(tblIssues[Role],MATCH(ROW()-5,tblIssues[Alert Row],0)))</f>
        <v/>
      </c>
      <c r="D175" s="25" t="str">
        <f>IF($A175="","",INDEX(tblIssues[Area],MATCH(ROW()-5,tblIssues[Alert Row],0)))</f>
        <v/>
      </c>
      <c r="E175" s="25" t="str">
        <f>IF($A175="","",INDEX(tblIssues[Item Name],MATCH(ROW()-5,tblIssues[Alert Row],0)))</f>
        <v/>
      </c>
      <c r="F175" s="98" t="str">
        <f>IF($A175="","",INDEX(tblIssues[Month],MATCH(ROW()-5,tblIssues[Alert Row],0)))</f>
        <v/>
      </c>
      <c r="G175" s="23" t="str">
        <f>IF($A175="","",INDEX(tblIssues[Units This Month (Staff/Item)],MATCH(ROW()-5,tblIssues[Alert Row],0)))</f>
        <v/>
      </c>
      <c r="H175" s="23" t="str">
        <f>IF($A175="","",INDEX(tblIssues[Monthly Quota],MATCH(ROW()-5,tblIssues[Alert Row],0)))</f>
        <v/>
      </c>
      <c r="I175" s="27" t="str">
        <f t="shared" si="4"/>
        <v/>
      </c>
      <c r="J175" s="31" t="str">
        <f t="shared" si="5"/>
        <v/>
      </c>
    </row>
    <row r="176" spans="1:10" x14ac:dyDescent="0.35">
      <c r="A176" s="18" t="str">
        <f>IFERROR(INDEX(tblIssues[Staff ID],MATCH(ROW()-5,tblIssues[Alert Row],0)),"")</f>
        <v/>
      </c>
      <c r="B176" s="18" t="str">
        <f>IF($A176="","",INDEX(tblIssues[Staff Name (pick)],MATCH(ROW()-5,tblIssues[Alert Row],0)))</f>
        <v/>
      </c>
      <c r="C176" s="18" t="str">
        <f>IF($A176="","",INDEX(tblIssues[Role],MATCH(ROW()-5,tblIssues[Alert Row],0)))</f>
        <v/>
      </c>
      <c r="D176" s="25" t="str">
        <f>IF($A176="","",INDEX(tblIssues[Area],MATCH(ROW()-5,tblIssues[Alert Row],0)))</f>
        <v/>
      </c>
      <c r="E176" s="25" t="str">
        <f>IF($A176="","",INDEX(tblIssues[Item Name],MATCH(ROW()-5,tblIssues[Alert Row],0)))</f>
        <v/>
      </c>
      <c r="F176" s="98" t="str">
        <f>IF($A176="","",INDEX(tblIssues[Month],MATCH(ROW()-5,tblIssues[Alert Row],0)))</f>
        <v/>
      </c>
      <c r="G176" s="23" t="str">
        <f>IF($A176="","",INDEX(tblIssues[Units This Month (Staff/Item)],MATCH(ROW()-5,tblIssues[Alert Row],0)))</f>
        <v/>
      </c>
      <c r="H176" s="23" t="str">
        <f>IF($A176="","",INDEX(tblIssues[Monthly Quota],MATCH(ROW()-5,tblIssues[Alert Row],0)))</f>
        <v/>
      </c>
      <c r="I176" s="27" t="str">
        <f t="shared" si="4"/>
        <v/>
      </c>
      <c r="J176" s="31" t="str">
        <f t="shared" si="5"/>
        <v/>
      </c>
    </row>
    <row r="177" spans="1:10" x14ac:dyDescent="0.35">
      <c r="A177" s="18" t="str">
        <f>IFERROR(INDEX(tblIssues[Staff ID],MATCH(ROW()-5,tblIssues[Alert Row],0)),"")</f>
        <v/>
      </c>
      <c r="B177" s="18" t="str">
        <f>IF($A177="","",INDEX(tblIssues[Staff Name (pick)],MATCH(ROW()-5,tblIssues[Alert Row],0)))</f>
        <v/>
      </c>
      <c r="C177" s="18" t="str">
        <f>IF($A177="","",INDEX(tblIssues[Role],MATCH(ROW()-5,tblIssues[Alert Row],0)))</f>
        <v/>
      </c>
      <c r="D177" s="25" t="str">
        <f>IF($A177="","",INDEX(tblIssues[Area],MATCH(ROW()-5,tblIssues[Alert Row],0)))</f>
        <v/>
      </c>
      <c r="E177" s="25" t="str">
        <f>IF($A177="","",INDEX(tblIssues[Item Name],MATCH(ROW()-5,tblIssues[Alert Row],0)))</f>
        <v/>
      </c>
      <c r="F177" s="98" t="str">
        <f>IF($A177="","",INDEX(tblIssues[Month],MATCH(ROW()-5,tblIssues[Alert Row],0)))</f>
        <v/>
      </c>
      <c r="G177" s="23" t="str">
        <f>IF($A177="","",INDEX(tblIssues[Units This Month (Staff/Item)],MATCH(ROW()-5,tblIssues[Alert Row],0)))</f>
        <v/>
      </c>
      <c r="H177" s="23" t="str">
        <f>IF($A177="","",INDEX(tblIssues[Monthly Quota],MATCH(ROW()-5,tblIssues[Alert Row],0)))</f>
        <v/>
      </c>
      <c r="I177" s="27" t="str">
        <f t="shared" si="4"/>
        <v/>
      </c>
      <c r="J177" s="31" t="str">
        <f t="shared" si="5"/>
        <v/>
      </c>
    </row>
    <row r="178" spans="1:10" x14ac:dyDescent="0.35">
      <c r="A178" s="18" t="str">
        <f>IFERROR(INDEX(tblIssues[Staff ID],MATCH(ROW()-5,tblIssues[Alert Row],0)),"")</f>
        <v/>
      </c>
      <c r="B178" s="18" t="str">
        <f>IF($A178="","",INDEX(tblIssues[Staff Name (pick)],MATCH(ROW()-5,tblIssues[Alert Row],0)))</f>
        <v/>
      </c>
      <c r="C178" s="18" t="str">
        <f>IF($A178="","",INDEX(tblIssues[Role],MATCH(ROW()-5,tblIssues[Alert Row],0)))</f>
        <v/>
      </c>
      <c r="D178" s="25" t="str">
        <f>IF($A178="","",INDEX(tblIssues[Area],MATCH(ROW()-5,tblIssues[Alert Row],0)))</f>
        <v/>
      </c>
      <c r="E178" s="25" t="str">
        <f>IF($A178="","",INDEX(tblIssues[Item Name],MATCH(ROW()-5,tblIssues[Alert Row],0)))</f>
        <v/>
      </c>
      <c r="F178" s="98" t="str">
        <f>IF($A178="","",INDEX(tblIssues[Month],MATCH(ROW()-5,tblIssues[Alert Row],0)))</f>
        <v/>
      </c>
      <c r="G178" s="23" t="str">
        <f>IF($A178="","",INDEX(tblIssues[Units This Month (Staff/Item)],MATCH(ROW()-5,tblIssues[Alert Row],0)))</f>
        <v/>
      </c>
      <c r="H178" s="23" t="str">
        <f>IF($A178="","",INDEX(tblIssues[Monthly Quota],MATCH(ROW()-5,tblIssues[Alert Row],0)))</f>
        <v/>
      </c>
      <c r="I178" s="27" t="str">
        <f t="shared" si="4"/>
        <v/>
      </c>
      <c r="J178" s="31" t="str">
        <f t="shared" si="5"/>
        <v/>
      </c>
    </row>
    <row r="179" spans="1:10" x14ac:dyDescent="0.35">
      <c r="A179" s="18" t="str">
        <f>IFERROR(INDEX(tblIssues[Staff ID],MATCH(ROW()-5,tblIssues[Alert Row],0)),"")</f>
        <v/>
      </c>
      <c r="B179" s="18" t="str">
        <f>IF($A179="","",INDEX(tblIssues[Staff Name (pick)],MATCH(ROW()-5,tblIssues[Alert Row],0)))</f>
        <v/>
      </c>
      <c r="C179" s="18" t="str">
        <f>IF($A179="","",INDEX(tblIssues[Role],MATCH(ROW()-5,tblIssues[Alert Row],0)))</f>
        <v/>
      </c>
      <c r="D179" s="25" t="str">
        <f>IF($A179="","",INDEX(tblIssues[Area],MATCH(ROW()-5,tblIssues[Alert Row],0)))</f>
        <v/>
      </c>
      <c r="E179" s="25" t="str">
        <f>IF($A179="","",INDEX(tblIssues[Item Name],MATCH(ROW()-5,tblIssues[Alert Row],0)))</f>
        <v/>
      </c>
      <c r="F179" s="98" t="str">
        <f>IF($A179="","",INDEX(tblIssues[Month],MATCH(ROW()-5,tblIssues[Alert Row],0)))</f>
        <v/>
      </c>
      <c r="G179" s="23" t="str">
        <f>IF($A179="","",INDEX(tblIssues[Units This Month (Staff/Item)],MATCH(ROW()-5,tblIssues[Alert Row],0)))</f>
        <v/>
      </c>
      <c r="H179" s="23" t="str">
        <f>IF($A179="","",INDEX(tblIssues[Monthly Quota],MATCH(ROW()-5,tblIssues[Alert Row],0)))</f>
        <v/>
      </c>
      <c r="I179" s="27" t="str">
        <f t="shared" si="4"/>
        <v/>
      </c>
      <c r="J179" s="31" t="str">
        <f t="shared" si="5"/>
        <v/>
      </c>
    </row>
    <row r="180" spans="1:10" x14ac:dyDescent="0.35">
      <c r="A180" s="18" t="str">
        <f>IFERROR(INDEX(tblIssues[Staff ID],MATCH(ROW()-5,tblIssues[Alert Row],0)),"")</f>
        <v/>
      </c>
      <c r="B180" s="18" t="str">
        <f>IF($A180="","",INDEX(tblIssues[Staff Name (pick)],MATCH(ROW()-5,tblIssues[Alert Row],0)))</f>
        <v/>
      </c>
      <c r="C180" s="18" t="str">
        <f>IF($A180="","",INDEX(tblIssues[Role],MATCH(ROW()-5,tblIssues[Alert Row],0)))</f>
        <v/>
      </c>
      <c r="D180" s="25" t="str">
        <f>IF($A180="","",INDEX(tblIssues[Area],MATCH(ROW()-5,tblIssues[Alert Row],0)))</f>
        <v/>
      </c>
      <c r="E180" s="25" t="str">
        <f>IF($A180="","",INDEX(tblIssues[Item Name],MATCH(ROW()-5,tblIssues[Alert Row],0)))</f>
        <v/>
      </c>
      <c r="F180" s="98" t="str">
        <f>IF($A180="","",INDEX(tblIssues[Month],MATCH(ROW()-5,tblIssues[Alert Row],0)))</f>
        <v/>
      </c>
      <c r="G180" s="23" t="str">
        <f>IF($A180="","",INDEX(tblIssues[Units This Month (Staff/Item)],MATCH(ROW()-5,tblIssues[Alert Row],0)))</f>
        <v/>
      </c>
      <c r="H180" s="23" t="str">
        <f>IF($A180="","",INDEX(tblIssues[Monthly Quota],MATCH(ROW()-5,tblIssues[Alert Row],0)))</f>
        <v/>
      </c>
      <c r="I180" s="27" t="str">
        <f t="shared" si="4"/>
        <v/>
      </c>
      <c r="J180" s="31" t="str">
        <f t="shared" si="5"/>
        <v/>
      </c>
    </row>
    <row r="181" spans="1:10" x14ac:dyDescent="0.35">
      <c r="A181" s="18" t="str">
        <f>IFERROR(INDEX(tblIssues[Staff ID],MATCH(ROW()-5,tblIssues[Alert Row],0)),"")</f>
        <v/>
      </c>
      <c r="B181" s="18" t="str">
        <f>IF($A181="","",INDEX(tblIssues[Staff Name (pick)],MATCH(ROW()-5,tblIssues[Alert Row],0)))</f>
        <v/>
      </c>
      <c r="C181" s="18" t="str">
        <f>IF($A181="","",INDEX(tblIssues[Role],MATCH(ROW()-5,tblIssues[Alert Row],0)))</f>
        <v/>
      </c>
      <c r="D181" s="25" t="str">
        <f>IF($A181="","",INDEX(tblIssues[Area],MATCH(ROW()-5,tblIssues[Alert Row],0)))</f>
        <v/>
      </c>
      <c r="E181" s="25" t="str">
        <f>IF($A181="","",INDEX(tblIssues[Item Name],MATCH(ROW()-5,tblIssues[Alert Row],0)))</f>
        <v/>
      </c>
      <c r="F181" s="98" t="str">
        <f>IF($A181="","",INDEX(tblIssues[Month],MATCH(ROW()-5,tblIssues[Alert Row],0)))</f>
        <v/>
      </c>
      <c r="G181" s="23" t="str">
        <f>IF($A181="","",INDEX(tblIssues[Units This Month (Staff/Item)],MATCH(ROW()-5,tblIssues[Alert Row],0)))</f>
        <v/>
      </c>
      <c r="H181" s="23" t="str">
        <f>IF($A181="","",INDEX(tblIssues[Monthly Quota],MATCH(ROW()-5,tblIssues[Alert Row],0)))</f>
        <v/>
      </c>
      <c r="I181" s="27" t="str">
        <f t="shared" si="4"/>
        <v/>
      </c>
      <c r="J181" s="31" t="str">
        <f t="shared" si="5"/>
        <v/>
      </c>
    </row>
    <row r="182" spans="1:10" x14ac:dyDescent="0.35">
      <c r="A182" s="18" t="str">
        <f>IFERROR(INDEX(tblIssues[Staff ID],MATCH(ROW()-5,tblIssues[Alert Row],0)),"")</f>
        <v/>
      </c>
      <c r="B182" s="18" t="str">
        <f>IF($A182="","",INDEX(tblIssues[Staff Name (pick)],MATCH(ROW()-5,tblIssues[Alert Row],0)))</f>
        <v/>
      </c>
      <c r="C182" s="18" t="str">
        <f>IF($A182="","",INDEX(tblIssues[Role],MATCH(ROW()-5,tblIssues[Alert Row],0)))</f>
        <v/>
      </c>
      <c r="D182" s="25" t="str">
        <f>IF($A182="","",INDEX(tblIssues[Area],MATCH(ROW()-5,tblIssues[Alert Row],0)))</f>
        <v/>
      </c>
      <c r="E182" s="25" t="str">
        <f>IF($A182="","",INDEX(tblIssues[Item Name],MATCH(ROW()-5,tblIssues[Alert Row],0)))</f>
        <v/>
      </c>
      <c r="F182" s="98" t="str">
        <f>IF($A182="","",INDEX(tblIssues[Month],MATCH(ROW()-5,tblIssues[Alert Row],0)))</f>
        <v/>
      </c>
      <c r="G182" s="23" t="str">
        <f>IF($A182="","",INDEX(tblIssues[Units This Month (Staff/Item)],MATCH(ROW()-5,tblIssues[Alert Row],0)))</f>
        <v/>
      </c>
      <c r="H182" s="23" t="str">
        <f>IF($A182="","",INDEX(tblIssues[Monthly Quota],MATCH(ROW()-5,tblIssues[Alert Row],0)))</f>
        <v/>
      </c>
      <c r="I182" s="27" t="str">
        <f t="shared" si="4"/>
        <v/>
      </c>
      <c r="J182" s="31" t="str">
        <f t="shared" si="5"/>
        <v/>
      </c>
    </row>
    <row r="183" spans="1:10" x14ac:dyDescent="0.35">
      <c r="A183" s="18" t="str">
        <f>IFERROR(INDEX(tblIssues[Staff ID],MATCH(ROW()-5,tblIssues[Alert Row],0)),"")</f>
        <v/>
      </c>
      <c r="B183" s="18" t="str">
        <f>IF($A183="","",INDEX(tblIssues[Staff Name (pick)],MATCH(ROW()-5,tblIssues[Alert Row],0)))</f>
        <v/>
      </c>
      <c r="C183" s="18" t="str">
        <f>IF($A183="","",INDEX(tblIssues[Role],MATCH(ROW()-5,tblIssues[Alert Row],0)))</f>
        <v/>
      </c>
      <c r="D183" s="25" t="str">
        <f>IF($A183="","",INDEX(tblIssues[Area],MATCH(ROW()-5,tblIssues[Alert Row],0)))</f>
        <v/>
      </c>
      <c r="E183" s="25" t="str">
        <f>IF($A183="","",INDEX(tblIssues[Item Name],MATCH(ROW()-5,tblIssues[Alert Row],0)))</f>
        <v/>
      </c>
      <c r="F183" s="98" t="str">
        <f>IF($A183="","",INDEX(tblIssues[Month],MATCH(ROW()-5,tblIssues[Alert Row],0)))</f>
        <v/>
      </c>
      <c r="G183" s="23" t="str">
        <f>IF($A183="","",INDEX(tblIssues[Units This Month (Staff/Item)],MATCH(ROW()-5,tblIssues[Alert Row],0)))</f>
        <v/>
      </c>
      <c r="H183" s="23" t="str">
        <f>IF($A183="","",INDEX(tblIssues[Monthly Quota],MATCH(ROW()-5,tblIssues[Alert Row],0)))</f>
        <v/>
      </c>
      <c r="I183" s="27" t="str">
        <f t="shared" si="4"/>
        <v/>
      </c>
      <c r="J183" s="31" t="str">
        <f t="shared" si="5"/>
        <v/>
      </c>
    </row>
    <row r="184" spans="1:10" x14ac:dyDescent="0.35">
      <c r="A184" s="18" t="str">
        <f>IFERROR(INDEX(tblIssues[Staff ID],MATCH(ROW()-5,tblIssues[Alert Row],0)),"")</f>
        <v/>
      </c>
      <c r="B184" s="18" t="str">
        <f>IF($A184="","",INDEX(tblIssues[Staff Name (pick)],MATCH(ROW()-5,tblIssues[Alert Row],0)))</f>
        <v/>
      </c>
      <c r="C184" s="18" t="str">
        <f>IF($A184="","",INDEX(tblIssues[Role],MATCH(ROW()-5,tblIssues[Alert Row],0)))</f>
        <v/>
      </c>
      <c r="D184" s="25" t="str">
        <f>IF($A184="","",INDEX(tblIssues[Area],MATCH(ROW()-5,tblIssues[Alert Row],0)))</f>
        <v/>
      </c>
      <c r="E184" s="25" t="str">
        <f>IF($A184="","",INDEX(tblIssues[Item Name],MATCH(ROW()-5,tblIssues[Alert Row],0)))</f>
        <v/>
      </c>
      <c r="F184" s="98" t="str">
        <f>IF($A184="","",INDEX(tblIssues[Month],MATCH(ROW()-5,tblIssues[Alert Row],0)))</f>
        <v/>
      </c>
      <c r="G184" s="23" t="str">
        <f>IF($A184="","",INDEX(tblIssues[Units This Month (Staff/Item)],MATCH(ROW()-5,tblIssues[Alert Row],0)))</f>
        <v/>
      </c>
      <c r="H184" s="23" t="str">
        <f>IF($A184="","",INDEX(tblIssues[Monthly Quota],MATCH(ROW()-5,tblIssues[Alert Row],0)))</f>
        <v/>
      </c>
      <c r="I184" s="27" t="str">
        <f t="shared" si="4"/>
        <v/>
      </c>
      <c r="J184" s="31" t="str">
        <f t="shared" si="5"/>
        <v/>
      </c>
    </row>
    <row r="185" spans="1:10" x14ac:dyDescent="0.35">
      <c r="A185" s="18" t="str">
        <f>IFERROR(INDEX(tblIssues[Staff ID],MATCH(ROW()-5,tblIssues[Alert Row],0)),"")</f>
        <v/>
      </c>
      <c r="B185" s="18" t="str">
        <f>IF($A185="","",INDEX(tblIssues[Staff Name (pick)],MATCH(ROW()-5,tblIssues[Alert Row],0)))</f>
        <v/>
      </c>
      <c r="C185" s="18" t="str">
        <f>IF($A185="","",INDEX(tblIssues[Role],MATCH(ROW()-5,tblIssues[Alert Row],0)))</f>
        <v/>
      </c>
      <c r="D185" s="25" t="str">
        <f>IF($A185="","",INDEX(tblIssues[Area],MATCH(ROW()-5,tblIssues[Alert Row],0)))</f>
        <v/>
      </c>
      <c r="E185" s="25" t="str">
        <f>IF($A185="","",INDEX(tblIssues[Item Name],MATCH(ROW()-5,tblIssues[Alert Row],0)))</f>
        <v/>
      </c>
      <c r="F185" s="98" t="str">
        <f>IF($A185="","",INDEX(tblIssues[Month],MATCH(ROW()-5,tblIssues[Alert Row],0)))</f>
        <v/>
      </c>
      <c r="G185" s="23" t="str">
        <f>IF($A185="","",INDEX(tblIssues[Units This Month (Staff/Item)],MATCH(ROW()-5,tblIssues[Alert Row],0)))</f>
        <v/>
      </c>
      <c r="H185" s="23" t="str">
        <f>IF($A185="","",INDEX(tblIssues[Monthly Quota],MATCH(ROW()-5,tblIssues[Alert Row],0)))</f>
        <v/>
      </c>
      <c r="I185" s="27" t="str">
        <f t="shared" si="4"/>
        <v/>
      </c>
      <c r="J185" s="31" t="str">
        <f t="shared" si="5"/>
        <v/>
      </c>
    </row>
    <row r="186" spans="1:10" x14ac:dyDescent="0.35">
      <c r="A186" s="18" t="str">
        <f>IFERROR(INDEX(tblIssues[Staff ID],MATCH(ROW()-5,tblIssues[Alert Row],0)),"")</f>
        <v/>
      </c>
      <c r="B186" s="18" t="str">
        <f>IF($A186="","",INDEX(tblIssues[Staff Name (pick)],MATCH(ROW()-5,tblIssues[Alert Row],0)))</f>
        <v/>
      </c>
      <c r="C186" s="18" t="str">
        <f>IF($A186="","",INDEX(tblIssues[Role],MATCH(ROW()-5,tblIssues[Alert Row],0)))</f>
        <v/>
      </c>
      <c r="D186" s="25" t="str">
        <f>IF($A186="","",INDEX(tblIssues[Area],MATCH(ROW()-5,tblIssues[Alert Row],0)))</f>
        <v/>
      </c>
      <c r="E186" s="25" t="str">
        <f>IF($A186="","",INDEX(tblIssues[Item Name],MATCH(ROW()-5,tblIssues[Alert Row],0)))</f>
        <v/>
      </c>
      <c r="F186" s="98" t="str">
        <f>IF($A186="","",INDEX(tblIssues[Month],MATCH(ROW()-5,tblIssues[Alert Row],0)))</f>
        <v/>
      </c>
      <c r="G186" s="23" t="str">
        <f>IF($A186="","",INDEX(tblIssues[Units This Month (Staff/Item)],MATCH(ROW()-5,tblIssues[Alert Row],0)))</f>
        <v/>
      </c>
      <c r="H186" s="23" t="str">
        <f>IF($A186="","",INDEX(tblIssues[Monthly Quota],MATCH(ROW()-5,tblIssues[Alert Row],0)))</f>
        <v/>
      </c>
      <c r="I186" s="27" t="str">
        <f t="shared" si="4"/>
        <v/>
      </c>
      <c r="J186" s="31" t="str">
        <f t="shared" si="5"/>
        <v/>
      </c>
    </row>
    <row r="187" spans="1:10" x14ac:dyDescent="0.35">
      <c r="A187" s="18" t="str">
        <f>IFERROR(INDEX(tblIssues[Staff ID],MATCH(ROW()-5,tblIssues[Alert Row],0)),"")</f>
        <v/>
      </c>
      <c r="B187" s="18" t="str">
        <f>IF($A187="","",INDEX(tblIssues[Staff Name (pick)],MATCH(ROW()-5,tblIssues[Alert Row],0)))</f>
        <v/>
      </c>
      <c r="C187" s="18" t="str">
        <f>IF($A187="","",INDEX(tblIssues[Role],MATCH(ROW()-5,tblIssues[Alert Row],0)))</f>
        <v/>
      </c>
      <c r="D187" s="25" t="str">
        <f>IF($A187="","",INDEX(tblIssues[Area],MATCH(ROW()-5,tblIssues[Alert Row],0)))</f>
        <v/>
      </c>
      <c r="E187" s="25" t="str">
        <f>IF($A187="","",INDEX(tblIssues[Item Name],MATCH(ROW()-5,tblIssues[Alert Row],0)))</f>
        <v/>
      </c>
      <c r="F187" s="98" t="str">
        <f>IF($A187="","",INDEX(tblIssues[Month],MATCH(ROW()-5,tblIssues[Alert Row],0)))</f>
        <v/>
      </c>
      <c r="G187" s="23" t="str">
        <f>IF($A187="","",INDEX(tblIssues[Units This Month (Staff/Item)],MATCH(ROW()-5,tblIssues[Alert Row],0)))</f>
        <v/>
      </c>
      <c r="H187" s="23" t="str">
        <f>IF($A187="","",INDEX(tblIssues[Monthly Quota],MATCH(ROW()-5,tblIssues[Alert Row],0)))</f>
        <v/>
      </c>
      <c r="I187" s="27" t="str">
        <f t="shared" si="4"/>
        <v/>
      </c>
      <c r="J187" s="31" t="str">
        <f t="shared" si="5"/>
        <v/>
      </c>
    </row>
    <row r="188" spans="1:10" x14ac:dyDescent="0.35">
      <c r="A188" s="18" t="str">
        <f>IFERROR(INDEX(tblIssues[Staff ID],MATCH(ROW()-5,tblIssues[Alert Row],0)),"")</f>
        <v/>
      </c>
      <c r="B188" s="18" t="str">
        <f>IF($A188="","",INDEX(tblIssues[Staff Name (pick)],MATCH(ROW()-5,tblIssues[Alert Row],0)))</f>
        <v/>
      </c>
      <c r="C188" s="18" t="str">
        <f>IF($A188="","",INDEX(tblIssues[Role],MATCH(ROW()-5,tblIssues[Alert Row],0)))</f>
        <v/>
      </c>
      <c r="D188" s="25" t="str">
        <f>IF($A188="","",INDEX(tblIssues[Area],MATCH(ROW()-5,tblIssues[Alert Row],0)))</f>
        <v/>
      </c>
      <c r="E188" s="25" t="str">
        <f>IF($A188="","",INDEX(tblIssues[Item Name],MATCH(ROW()-5,tblIssues[Alert Row],0)))</f>
        <v/>
      </c>
      <c r="F188" s="98" t="str">
        <f>IF($A188="","",INDEX(tblIssues[Month],MATCH(ROW()-5,tblIssues[Alert Row],0)))</f>
        <v/>
      </c>
      <c r="G188" s="23" t="str">
        <f>IF($A188="","",INDEX(tblIssues[Units This Month (Staff/Item)],MATCH(ROW()-5,tblIssues[Alert Row],0)))</f>
        <v/>
      </c>
      <c r="H188" s="23" t="str">
        <f>IF($A188="","",INDEX(tblIssues[Monthly Quota],MATCH(ROW()-5,tblIssues[Alert Row],0)))</f>
        <v/>
      </c>
      <c r="I188" s="27" t="str">
        <f t="shared" si="4"/>
        <v/>
      </c>
      <c r="J188" s="31" t="str">
        <f t="shared" si="5"/>
        <v/>
      </c>
    </row>
    <row r="189" spans="1:10" x14ac:dyDescent="0.35">
      <c r="A189" s="18" t="str">
        <f>IFERROR(INDEX(tblIssues[Staff ID],MATCH(ROW()-5,tblIssues[Alert Row],0)),"")</f>
        <v/>
      </c>
      <c r="B189" s="18" t="str">
        <f>IF($A189="","",INDEX(tblIssues[Staff Name (pick)],MATCH(ROW()-5,tblIssues[Alert Row],0)))</f>
        <v/>
      </c>
      <c r="C189" s="18" t="str">
        <f>IF($A189="","",INDEX(tblIssues[Role],MATCH(ROW()-5,tblIssues[Alert Row],0)))</f>
        <v/>
      </c>
      <c r="D189" s="25" t="str">
        <f>IF($A189="","",INDEX(tblIssues[Area],MATCH(ROW()-5,tblIssues[Alert Row],0)))</f>
        <v/>
      </c>
      <c r="E189" s="25" t="str">
        <f>IF($A189="","",INDEX(tblIssues[Item Name],MATCH(ROW()-5,tblIssues[Alert Row],0)))</f>
        <v/>
      </c>
      <c r="F189" s="98" t="str">
        <f>IF($A189="","",INDEX(tblIssues[Month],MATCH(ROW()-5,tblIssues[Alert Row],0)))</f>
        <v/>
      </c>
      <c r="G189" s="23" t="str">
        <f>IF($A189="","",INDEX(tblIssues[Units This Month (Staff/Item)],MATCH(ROW()-5,tblIssues[Alert Row],0)))</f>
        <v/>
      </c>
      <c r="H189" s="23" t="str">
        <f>IF($A189="","",INDEX(tblIssues[Monthly Quota],MATCH(ROW()-5,tblIssues[Alert Row],0)))</f>
        <v/>
      </c>
      <c r="I189" s="27" t="str">
        <f t="shared" si="4"/>
        <v/>
      </c>
      <c r="J189" s="31" t="str">
        <f t="shared" si="5"/>
        <v/>
      </c>
    </row>
    <row r="190" spans="1:10" x14ac:dyDescent="0.35">
      <c r="A190" s="18" t="str">
        <f>IFERROR(INDEX(tblIssues[Staff ID],MATCH(ROW()-5,tblIssues[Alert Row],0)),"")</f>
        <v/>
      </c>
      <c r="B190" s="18" t="str">
        <f>IF($A190="","",INDEX(tblIssues[Staff Name (pick)],MATCH(ROW()-5,tblIssues[Alert Row],0)))</f>
        <v/>
      </c>
      <c r="C190" s="18" t="str">
        <f>IF($A190="","",INDEX(tblIssues[Role],MATCH(ROW()-5,tblIssues[Alert Row],0)))</f>
        <v/>
      </c>
      <c r="D190" s="25" t="str">
        <f>IF($A190="","",INDEX(tblIssues[Area],MATCH(ROW()-5,tblIssues[Alert Row],0)))</f>
        <v/>
      </c>
      <c r="E190" s="25" t="str">
        <f>IF($A190="","",INDEX(tblIssues[Item Name],MATCH(ROW()-5,tblIssues[Alert Row],0)))</f>
        <v/>
      </c>
      <c r="F190" s="98" t="str">
        <f>IF($A190="","",INDEX(tblIssues[Month],MATCH(ROW()-5,tblIssues[Alert Row],0)))</f>
        <v/>
      </c>
      <c r="G190" s="23" t="str">
        <f>IF($A190="","",INDEX(tblIssues[Units This Month (Staff/Item)],MATCH(ROW()-5,tblIssues[Alert Row],0)))</f>
        <v/>
      </c>
      <c r="H190" s="23" t="str">
        <f>IF($A190="","",INDEX(tblIssues[Monthly Quota],MATCH(ROW()-5,tblIssues[Alert Row],0)))</f>
        <v/>
      </c>
      <c r="I190" s="27" t="str">
        <f t="shared" si="4"/>
        <v/>
      </c>
      <c r="J190" s="31" t="str">
        <f t="shared" si="5"/>
        <v/>
      </c>
    </row>
    <row r="191" spans="1:10" x14ac:dyDescent="0.35">
      <c r="A191" s="18" t="str">
        <f>IFERROR(INDEX(tblIssues[Staff ID],MATCH(ROW()-5,tblIssues[Alert Row],0)),"")</f>
        <v/>
      </c>
      <c r="B191" s="18" t="str">
        <f>IF($A191="","",INDEX(tblIssues[Staff Name (pick)],MATCH(ROW()-5,tblIssues[Alert Row],0)))</f>
        <v/>
      </c>
      <c r="C191" s="18" t="str">
        <f>IF($A191="","",INDEX(tblIssues[Role],MATCH(ROW()-5,tblIssues[Alert Row],0)))</f>
        <v/>
      </c>
      <c r="D191" s="25" t="str">
        <f>IF($A191="","",INDEX(tblIssues[Area],MATCH(ROW()-5,tblIssues[Alert Row],0)))</f>
        <v/>
      </c>
      <c r="E191" s="25" t="str">
        <f>IF($A191="","",INDEX(tblIssues[Item Name],MATCH(ROW()-5,tblIssues[Alert Row],0)))</f>
        <v/>
      </c>
      <c r="F191" s="98" t="str">
        <f>IF($A191="","",INDEX(tblIssues[Month],MATCH(ROW()-5,tblIssues[Alert Row],0)))</f>
        <v/>
      </c>
      <c r="G191" s="23" t="str">
        <f>IF($A191="","",INDEX(tblIssues[Units This Month (Staff/Item)],MATCH(ROW()-5,tblIssues[Alert Row],0)))</f>
        <v/>
      </c>
      <c r="H191" s="23" t="str">
        <f>IF($A191="","",INDEX(tblIssues[Monthly Quota],MATCH(ROW()-5,tblIssues[Alert Row],0)))</f>
        <v/>
      </c>
      <c r="I191" s="27" t="str">
        <f t="shared" si="4"/>
        <v/>
      </c>
      <c r="J191" s="31" t="str">
        <f t="shared" si="5"/>
        <v/>
      </c>
    </row>
    <row r="192" spans="1:10" x14ac:dyDescent="0.35">
      <c r="A192" s="18" t="str">
        <f>IFERROR(INDEX(tblIssues[Staff ID],MATCH(ROW()-5,tblIssues[Alert Row],0)),"")</f>
        <v/>
      </c>
      <c r="B192" s="18" t="str">
        <f>IF($A192="","",INDEX(tblIssues[Staff Name (pick)],MATCH(ROW()-5,tblIssues[Alert Row],0)))</f>
        <v/>
      </c>
      <c r="C192" s="18" t="str">
        <f>IF($A192="","",INDEX(tblIssues[Role],MATCH(ROW()-5,tblIssues[Alert Row],0)))</f>
        <v/>
      </c>
      <c r="D192" s="25" t="str">
        <f>IF($A192="","",INDEX(tblIssues[Area],MATCH(ROW()-5,tblIssues[Alert Row],0)))</f>
        <v/>
      </c>
      <c r="E192" s="25" t="str">
        <f>IF($A192="","",INDEX(tblIssues[Item Name],MATCH(ROW()-5,tblIssues[Alert Row],0)))</f>
        <v/>
      </c>
      <c r="F192" s="98" t="str">
        <f>IF($A192="","",INDEX(tblIssues[Month],MATCH(ROW()-5,tblIssues[Alert Row],0)))</f>
        <v/>
      </c>
      <c r="G192" s="23" t="str">
        <f>IF($A192="","",INDEX(tblIssues[Units This Month (Staff/Item)],MATCH(ROW()-5,tblIssues[Alert Row],0)))</f>
        <v/>
      </c>
      <c r="H192" s="23" t="str">
        <f>IF($A192="","",INDEX(tblIssues[Monthly Quota],MATCH(ROW()-5,tblIssues[Alert Row],0)))</f>
        <v/>
      </c>
      <c r="I192" s="27" t="str">
        <f t="shared" si="4"/>
        <v/>
      </c>
      <c r="J192" s="31" t="str">
        <f t="shared" si="5"/>
        <v/>
      </c>
    </row>
    <row r="193" spans="1:10" x14ac:dyDescent="0.35">
      <c r="A193" s="18" t="str">
        <f>IFERROR(INDEX(tblIssues[Staff ID],MATCH(ROW()-5,tblIssues[Alert Row],0)),"")</f>
        <v/>
      </c>
      <c r="B193" s="18" t="str">
        <f>IF($A193="","",INDEX(tblIssues[Staff Name (pick)],MATCH(ROW()-5,tblIssues[Alert Row],0)))</f>
        <v/>
      </c>
      <c r="C193" s="18" t="str">
        <f>IF($A193="","",INDEX(tblIssues[Role],MATCH(ROW()-5,tblIssues[Alert Row],0)))</f>
        <v/>
      </c>
      <c r="D193" s="25" t="str">
        <f>IF($A193="","",INDEX(tblIssues[Area],MATCH(ROW()-5,tblIssues[Alert Row],0)))</f>
        <v/>
      </c>
      <c r="E193" s="25" t="str">
        <f>IF($A193="","",INDEX(tblIssues[Item Name],MATCH(ROW()-5,tblIssues[Alert Row],0)))</f>
        <v/>
      </c>
      <c r="F193" s="98" t="str">
        <f>IF($A193="","",INDEX(tblIssues[Month],MATCH(ROW()-5,tblIssues[Alert Row],0)))</f>
        <v/>
      </c>
      <c r="G193" s="23" t="str">
        <f>IF($A193="","",INDEX(tblIssues[Units This Month (Staff/Item)],MATCH(ROW()-5,tblIssues[Alert Row],0)))</f>
        <v/>
      </c>
      <c r="H193" s="23" t="str">
        <f>IF($A193="","",INDEX(tblIssues[Monthly Quota],MATCH(ROW()-5,tblIssues[Alert Row],0)))</f>
        <v/>
      </c>
      <c r="I193" s="27" t="str">
        <f t="shared" si="4"/>
        <v/>
      </c>
      <c r="J193" s="31" t="str">
        <f t="shared" si="5"/>
        <v/>
      </c>
    </row>
    <row r="194" spans="1:10" x14ac:dyDescent="0.35">
      <c r="A194" s="18" t="str">
        <f>IFERROR(INDEX(tblIssues[Staff ID],MATCH(ROW()-5,tblIssues[Alert Row],0)),"")</f>
        <v/>
      </c>
      <c r="B194" s="18" t="str">
        <f>IF($A194="","",INDEX(tblIssues[Staff Name (pick)],MATCH(ROW()-5,tblIssues[Alert Row],0)))</f>
        <v/>
      </c>
      <c r="C194" s="18" t="str">
        <f>IF($A194="","",INDEX(tblIssues[Role],MATCH(ROW()-5,tblIssues[Alert Row],0)))</f>
        <v/>
      </c>
      <c r="D194" s="25" t="str">
        <f>IF($A194="","",INDEX(tblIssues[Area],MATCH(ROW()-5,tblIssues[Alert Row],0)))</f>
        <v/>
      </c>
      <c r="E194" s="25" t="str">
        <f>IF($A194="","",INDEX(tblIssues[Item Name],MATCH(ROW()-5,tblIssues[Alert Row],0)))</f>
        <v/>
      </c>
      <c r="F194" s="98" t="str">
        <f>IF($A194="","",INDEX(tblIssues[Month],MATCH(ROW()-5,tblIssues[Alert Row],0)))</f>
        <v/>
      </c>
      <c r="G194" s="23" t="str">
        <f>IF($A194="","",INDEX(tblIssues[Units This Month (Staff/Item)],MATCH(ROW()-5,tblIssues[Alert Row],0)))</f>
        <v/>
      </c>
      <c r="H194" s="23" t="str">
        <f>IF($A194="","",INDEX(tblIssues[Monthly Quota],MATCH(ROW()-5,tblIssues[Alert Row],0)))</f>
        <v/>
      </c>
      <c r="I194" s="27" t="str">
        <f t="shared" si="4"/>
        <v/>
      </c>
      <c r="J194" s="31" t="str">
        <f t="shared" si="5"/>
        <v/>
      </c>
    </row>
    <row r="195" spans="1:10" x14ac:dyDescent="0.35">
      <c r="A195" s="18" t="str">
        <f>IFERROR(INDEX(tblIssues[Staff ID],MATCH(ROW()-5,tblIssues[Alert Row],0)),"")</f>
        <v/>
      </c>
      <c r="B195" s="18" t="str">
        <f>IF($A195="","",INDEX(tblIssues[Staff Name (pick)],MATCH(ROW()-5,tblIssues[Alert Row],0)))</f>
        <v/>
      </c>
      <c r="C195" s="18" t="str">
        <f>IF($A195="","",INDEX(tblIssues[Role],MATCH(ROW()-5,tblIssues[Alert Row],0)))</f>
        <v/>
      </c>
      <c r="D195" s="25" t="str">
        <f>IF($A195="","",INDEX(tblIssues[Area],MATCH(ROW()-5,tblIssues[Alert Row],0)))</f>
        <v/>
      </c>
      <c r="E195" s="25" t="str">
        <f>IF($A195="","",INDEX(tblIssues[Item Name],MATCH(ROW()-5,tblIssues[Alert Row],0)))</f>
        <v/>
      </c>
      <c r="F195" s="98" t="str">
        <f>IF($A195="","",INDEX(tblIssues[Month],MATCH(ROW()-5,tblIssues[Alert Row],0)))</f>
        <v/>
      </c>
      <c r="G195" s="23" t="str">
        <f>IF($A195="","",INDEX(tblIssues[Units This Month (Staff/Item)],MATCH(ROW()-5,tblIssues[Alert Row],0)))</f>
        <v/>
      </c>
      <c r="H195" s="23" t="str">
        <f>IF($A195="","",INDEX(tblIssues[Monthly Quota],MATCH(ROW()-5,tblIssues[Alert Row],0)))</f>
        <v/>
      </c>
      <c r="I195" s="27" t="str">
        <f t="shared" si="4"/>
        <v/>
      </c>
      <c r="J195" s="31" t="str">
        <f t="shared" si="5"/>
        <v/>
      </c>
    </row>
    <row r="196" spans="1:10" x14ac:dyDescent="0.35">
      <c r="A196" s="18" t="str">
        <f>IFERROR(INDEX(tblIssues[Staff ID],MATCH(ROW()-5,tblIssues[Alert Row],0)),"")</f>
        <v/>
      </c>
      <c r="B196" s="18" t="str">
        <f>IF($A196="","",INDEX(tblIssues[Staff Name (pick)],MATCH(ROW()-5,tblIssues[Alert Row],0)))</f>
        <v/>
      </c>
      <c r="C196" s="18" t="str">
        <f>IF($A196="","",INDEX(tblIssues[Role],MATCH(ROW()-5,tblIssues[Alert Row],0)))</f>
        <v/>
      </c>
      <c r="D196" s="25" t="str">
        <f>IF($A196="","",INDEX(tblIssues[Area],MATCH(ROW()-5,tblIssues[Alert Row],0)))</f>
        <v/>
      </c>
      <c r="E196" s="25" t="str">
        <f>IF($A196="","",INDEX(tblIssues[Item Name],MATCH(ROW()-5,tblIssues[Alert Row],0)))</f>
        <v/>
      </c>
      <c r="F196" s="98" t="str">
        <f>IF($A196="","",INDEX(tblIssues[Month],MATCH(ROW()-5,tblIssues[Alert Row],0)))</f>
        <v/>
      </c>
      <c r="G196" s="23" t="str">
        <f>IF($A196="","",INDEX(tblIssues[Units This Month (Staff/Item)],MATCH(ROW()-5,tblIssues[Alert Row],0)))</f>
        <v/>
      </c>
      <c r="H196" s="23" t="str">
        <f>IF($A196="","",INDEX(tblIssues[Monthly Quota],MATCH(ROW()-5,tblIssues[Alert Row],0)))</f>
        <v/>
      </c>
      <c r="I196" s="27" t="str">
        <f t="shared" si="4"/>
        <v/>
      </c>
      <c r="J196" s="31" t="str">
        <f t="shared" si="5"/>
        <v/>
      </c>
    </row>
    <row r="197" spans="1:10" x14ac:dyDescent="0.35">
      <c r="A197" s="18" t="str">
        <f>IFERROR(INDEX(tblIssues[Staff ID],MATCH(ROW()-5,tblIssues[Alert Row],0)),"")</f>
        <v/>
      </c>
      <c r="B197" s="18" t="str">
        <f>IF($A197="","",INDEX(tblIssues[Staff Name (pick)],MATCH(ROW()-5,tblIssues[Alert Row],0)))</f>
        <v/>
      </c>
      <c r="C197" s="18" t="str">
        <f>IF($A197="","",INDEX(tblIssues[Role],MATCH(ROW()-5,tblIssues[Alert Row],0)))</f>
        <v/>
      </c>
      <c r="D197" s="25" t="str">
        <f>IF($A197="","",INDEX(tblIssues[Area],MATCH(ROW()-5,tblIssues[Alert Row],0)))</f>
        <v/>
      </c>
      <c r="E197" s="25" t="str">
        <f>IF($A197="","",INDEX(tblIssues[Item Name],MATCH(ROW()-5,tblIssues[Alert Row],0)))</f>
        <v/>
      </c>
      <c r="F197" s="98" t="str">
        <f>IF($A197="","",INDEX(tblIssues[Month],MATCH(ROW()-5,tblIssues[Alert Row],0)))</f>
        <v/>
      </c>
      <c r="G197" s="23" t="str">
        <f>IF($A197="","",INDEX(tblIssues[Units This Month (Staff/Item)],MATCH(ROW()-5,tblIssues[Alert Row],0)))</f>
        <v/>
      </c>
      <c r="H197" s="23" t="str">
        <f>IF($A197="","",INDEX(tblIssues[Monthly Quota],MATCH(ROW()-5,tblIssues[Alert Row],0)))</f>
        <v/>
      </c>
      <c r="I197" s="27" t="str">
        <f t="shared" si="4"/>
        <v/>
      </c>
      <c r="J197" s="31" t="str">
        <f t="shared" si="5"/>
        <v/>
      </c>
    </row>
    <row r="198" spans="1:10" x14ac:dyDescent="0.35">
      <c r="A198" s="18" t="str">
        <f>IFERROR(INDEX(tblIssues[Staff ID],MATCH(ROW()-5,tblIssues[Alert Row],0)),"")</f>
        <v/>
      </c>
      <c r="B198" s="18" t="str">
        <f>IF($A198="","",INDEX(tblIssues[Staff Name (pick)],MATCH(ROW()-5,tblIssues[Alert Row],0)))</f>
        <v/>
      </c>
      <c r="C198" s="18" t="str">
        <f>IF($A198="","",INDEX(tblIssues[Role],MATCH(ROW()-5,tblIssues[Alert Row],0)))</f>
        <v/>
      </c>
      <c r="D198" s="25" t="str">
        <f>IF($A198="","",INDEX(tblIssues[Area],MATCH(ROW()-5,tblIssues[Alert Row],0)))</f>
        <v/>
      </c>
      <c r="E198" s="25" t="str">
        <f>IF($A198="","",INDEX(tblIssues[Item Name],MATCH(ROW()-5,tblIssues[Alert Row],0)))</f>
        <v/>
      </c>
      <c r="F198" s="98" t="str">
        <f>IF($A198="","",INDEX(tblIssues[Month],MATCH(ROW()-5,tblIssues[Alert Row],0)))</f>
        <v/>
      </c>
      <c r="G198" s="23" t="str">
        <f>IF($A198="","",INDEX(tblIssues[Units This Month (Staff/Item)],MATCH(ROW()-5,tblIssues[Alert Row],0)))</f>
        <v/>
      </c>
      <c r="H198" s="23" t="str">
        <f>IF($A198="","",INDEX(tblIssues[Monthly Quota],MATCH(ROW()-5,tblIssues[Alert Row],0)))</f>
        <v/>
      </c>
      <c r="I198" s="27" t="str">
        <f t="shared" ref="I198:I261" si="6">IF($A198="","",$G198-$H198)</f>
        <v/>
      </c>
      <c r="J198" s="31" t="str">
        <f t="shared" ref="J198:J261" si="7">IF($A198="","","⚠ OVER QUOTA")</f>
        <v/>
      </c>
    </row>
    <row r="199" spans="1:10" x14ac:dyDescent="0.35">
      <c r="A199" s="18" t="str">
        <f>IFERROR(INDEX(tblIssues[Staff ID],MATCH(ROW()-5,tblIssues[Alert Row],0)),"")</f>
        <v/>
      </c>
      <c r="B199" s="18" t="str">
        <f>IF($A199="","",INDEX(tblIssues[Staff Name (pick)],MATCH(ROW()-5,tblIssues[Alert Row],0)))</f>
        <v/>
      </c>
      <c r="C199" s="18" t="str">
        <f>IF($A199="","",INDEX(tblIssues[Role],MATCH(ROW()-5,tblIssues[Alert Row],0)))</f>
        <v/>
      </c>
      <c r="D199" s="25" t="str">
        <f>IF($A199="","",INDEX(tblIssues[Area],MATCH(ROW()-5,tblIssues[Alert Row],0)))</f>
        <v/>
      </c>
      <c r="E199" s="25" t="str">
        <f>IF($A199="","",INDEX(tblIssues[Item Name],MATCH(ROW()-5,tblIssues[Alert Row],0)))</f>
        <v/>
      </c>
      <c r="F199" s="98" t="str">
        <f>IF($A199="","",INDEX(tblIssues[Month],MATCH(ROW()-5,tblIssues[Alert Row],0)))</f>
        <v/>
      </c>
      <c r="G199" s="23" t="str">
        <f>IF($A199="","",INDEX(tblIssues[Units This Month (Staff/Item)],MATCH(ROW()-5,tblIssues[Alert Row],0)))</f>
        <v/>
      </c>
      <c r="H199" s="23" t="str">
        <f>IF($A199="","",INDEX(tblIssues[Monthly Quota],MATCH(ROW()-5,tblIssues[Alert Row],0)))</f>
        <v/>
      </c>
      <c r="I199" s="27" t="str">
        <f t="shared" si="6"/>
        <v/>
      </c>
      <c r="J199" s="31" t="str">
        <f t="shared" si="7"/>
        <v/>
      </c>
    </row>
    <row r="200" spans="1:10" x14ac:dyDescent="0.35">
      <c r="A200" s="18" t="str">
        <f>IFERROR(INDEX(tblIssues[Staff ID],MATCH(ROW()-5,tblIssues[Alert Row],0)),"")</f>
        <v/>
      </c>
      <c r="B200" s="18" t="str">
        <f>IF($A200="","",INDEX(tblIssues[Staff Name (pick)],MATCH(ROW()-5,tblIssues[Alert Row],0)))</f>
        <v/>
      </c>
      <c r="C200" s="18" t="str">
        <f>IF($A200="","",INDEX(tblIssues[Role],MATCH(ROW()-5,tblIssues[Alert Row],0)))</f>
        <v/>
      </c>
      <c r="D200" s="25" t="str">
        <f>IF($A200="","",INDEX(tblIssues[Area],MATCH(ROW()-5,tblIssues[Alert Row],0)))</f>
        <v/>
      </c>
      <c r="E200" s="25" t="str">
        <f>IF($A200="","",INDEX(tblIssues[Item Name],MATCH(ROW()-5,tblIssues[Alert Row],0)))</f>
        <v/>
      </c>
      <c r="F200" s="98" t="str">
        <f>IF($A200="","",INDEX(tblIssues[Month],MATCH(ROW()-5,tblIssues[Alert Row],0)))</f>
        <v/>
      </c>
      <c r="G200" s="23" t="str">
        <f>IF($A200="","",INDEX(tblIssues[Units This Month (Staff/Item)],MATCH(ROW()-5,tblIssues[Alert Row],0)))</f>
        <v/>
      </c>
      <c r="H200" s="23" t="str">
        <f>IF($A200="","",INDEX(tblIssues[Monthly Quota],MATCH(ROW()-5,tblIssues[Alert Row],0)))</f>
        <v/>
      </c>
      <c r="I200" s="27" t="str">
        <f t="shared" si="6"/>
        <v/>
      </c>
      <c r="J200" s="31" t="str">
        <f t="shared" si="7"/>
        <v/>
      </c>
    </row>
    <row r="201" spans="1:10" x14ac:dyDescent="0.35">
      <c r="A201" s="18" t="str">
        <f>IFERROR(INDEX(tblIssues[Staff ID],MATCH(ROW()-5,tblIssues[Alert Row],0)),"")</f>
        <v/>
      </c>
      <c r="B201" s="18" t="str">
        <f>IF($A201="","",INDEX(tblIssues[Staff Name (pick)],MATCH(ROW()-5,tblIssues[Alert Row],0)))</f>
        <v/>
      </c>
      <c r="C201" s="18" t="str">
        <f>IF($A201="","",INDEX(tblIssues[Role],MATCH(ROW()-5,tblIssues[Alert Row],0)))</f>
        <v/>
      </c>
      <c r="D201" s="25" t="str">
        <f>IF($A201="","",INDEX(tblIssues[Area],MATCH(ROW()-5,tblIssues[Alert Row],0)))</f>
        <v/>
      </c>
      <c r="E201" s="25" t="str">
        <f>IF($A201="","",INDEX(tblIssues[Item Name],MATCH(ROW()-5,tblIssues[Alert Row],0)))</f>
        <v/>
      </c>
      <c r="F201" s="98" t="str">
        <f>IF($A201="","",INDEX(tblIssues[Month],MATCH(ROW()-5,tblIssues[Alert Row],0)))</f>
        <v/>
      </c>
      <c r="G201" s="23" t="str">
        <f>IF($A201="","",INDEX(tblIssues[Units This Month (Staff/Item)],MATCH(ROW()-5,tblIssues[Alert Row],0)))</f>
        <v/>
      </c>
      <c r="H201" s="23" t="str">
        <f>IF($A201="","",INDEX(tblIssues[Monthly Quota],MATCH(ROW()-5,tblIssues[Alert Row],0)))</f>
        <v/>
      </c>
      <c r="I201" s="27" t="str">
        <f t="shared" si="6"/>
        <v/>
      </c>
      <c r="J201" s="31" t="str">
        <f t="shared" si="7"/>
        <v/>
      </c>
    </row>
    <row r="202" spans="1:10" x14ac:dyDescent="0.35">
      <c r="A202" s="18" t="str">
        <f>IFERROR(INDEX(tblIssues[Staff ID],MATCH(ROW()-5,tblIssues[Alert Row],0)),"")</f>
        <v/>
      </c>
      <c r="B202" s="18" t="str">
        <f>IF($A202="","",INDEX(tblIssues[Staff Name (pick)],MATCH(ROW()-5,tblIssues[Alert Row],0)))</f>
        <v/>
      </c>
      <c r="C202" s="18" t="str">
        <f>IF($A202="","",INDEX(tblIssues[Role],MATCH(ROW()-5,tblIssues[Alert Row],0)))</f>
        <v/>
      </c>
      <c r="D202" s="25" t="str">
        <f>IF($A202="","",INDEX(tblIssues[Area],MATCH(ROW()-5,tblIssues[Alert Row],0)))</f>
        <v/>
      </c>
      <c r="E202" s="25" t="str">
        <f>IF($A202="","",INDEX(tblIssues[Item Name],MATCH(ROW()-5,tblIssues[Alert Row],0)))</f>
        <v/>
      </c>
      <c r="F202" s="98" t="str">
        <f>IF($A202="","",INDEX(tblIssues[Month],MATCH(ROW()-5,tblIssues[Alert Row],0)))</f>
        <v/>
      </c>
      <c r="G202" s="23" t="str">
        <f>IF($A202="","",INDEX(tblIssues[Units This Month (Staff/Item)],MATCH(ROW()-5,tblIssues[Alert Row],0)))</f>
        <v/>
      </c>
      <c r="H202" s="23" t="str">
        <f>IF($A202="","",INDEX(tblIssues[Monthly Quota],MATCH(ROW()-5,tblIssues[Alert Row],0)))</f>
        <v/>
      </c>
      <c r="I202" s="27" t="str">
        <f t="shared" si="6"/>
        <v/>
      </c>
      <c r="J202" s="31" t="str">
        <f t="shared" si="7"/>
        <v/>
      </c>
    </row>
    <row r="203" spans="1:10" x14ac:dyDescent="0.35">
      <c r="A203" s="18" t="str">
        <f>IFERROR(INDEX(tblIssues[Staff ID],MATCH(ROW()-5,tblIssues[Alert Row],0)),"")</f>
        <v/>
      </c>
      <c r="B203" s="18" t="str">
        <f>IF($A203="","",INDEX(tblIssues[Staff Name (pick)],MATCH(ROW()-5,tblIssues[Alert Row],0)))</f>
        <v/>
      </c>
      <c r="C203" s="18" t="str">
        <f>IF($A203="","",INDEX(tblIssues[Role],MATCH(ROW()-5,tblIssues[Alert Row],0)))</f>
        <v/>
      </c>
      <c r="D203" s="25" t="str">
        <f>IF($A203="","",INDEX(tblIssues[Area],MATCH(ROW()-5,tblIssues[Alert Row],0)))</f>
        <v/>
      </c>
      <c r="E203" s="25" t="str">
        <f>IF($A203="","",INDEX(tblIssues[Item Name],MATCH(ROW()-5,tblIssues[Alert Row],0)))</f>
        <v/>
      </c>
      <c r="F203" s="98" t="str">
        <f>IF($A203="","",INDEX(tblIssues[Month],MATCH(ROW()-5,tblIssues[Alert Row],0)))</f>
        <v/>
      </c>
      <c r="G203" s="23" t="str">
        <f>IF($A203="","",INDEX(tblIssues[Units This Month (Staff/Item)],MATCH(ROW()-5,tblIssues[Alert Row],0)))</f>
        <v/>
      </c>
      <c r="H203" s="23" t="str">
        <f>IF($A203="","",INDEX(tblIssues[Monthly Quota],MATCH(ROW()-5,tblIssues[Alert Row],0)))</f>
        <v/>
      </c>
      <c r="I203" s="27" t="str">
        <f t="shared" si="6"/>
        <v/>
      </c>
      <c r="J203" s="31" t="str">
        <f t="shared" si="7"/>
        <v/>
      </c>
    </row>
    <row r="204" spans="1:10" x14ac:dyDescent="0.35">
      <c r="A204" s="18" t="str">
        <f>IFERROR(INDEX(tblIssues[Staff ID],MATCH(ROW()-5,tblIssues[Alert Row],0)),"")</f>
        <v/>
      </c>
      <c r="B204" s="18" t="str">
        <f>IF($A204="","",INDEX(tblIssues[Staff Name (pick)],MATCH(ROW()-5,tblIssues[Alert Row],0)))</f>
        <v/>
      </c>
      <c r="C204" s="18" t="str">
        <f>IF($A204="","",INDEX(tblIssues[Role],MATCH(ROW()-5,tblIssues[Alert Row],0)))</f>
        <v/>
      </c>
      <c r="D204" s="25" t="str">
        <f>IF($A204="","",INDEX(tblIssues[Area],MATCH(ROW()-5,tblIssues[Alert Row],0)))</f>
        <v/>
      </c>
      <c r="E204" s="25" t="str">
        <f>IF($A204="","",INDEX(tblIssues[Item Name],MATCH(ROW()-5,tblIssues[Alert Row],0)))</f>
        <v/>
      </c>
      <c r="F204" s="98" t="str">
        <f>IF($A204="","",INDEX(tblIssues[Month],MATCH(ROW()-5,tblIssues[Alert Row],0)))</f>
        <v/>
      </c>
      <c r="G204" s="23" t="str">
        <f>IF($A204="","",INDEX(tblIssues[Units This Month (Staff/Item)],MATCH(ROW()-5,tblIssues[Alert Row],0)))</f>
        <v/>
      </c>
      <c r="H204" s="23" t="str">
        <f>IF($A204="","",INDEX(tblIssues[Monthly Quota],MATCH(ROW()-5,tblIssues[Alert Row],0)))</f>
        <v/>
      </c>
      <c r="I204" s="27" t="str">
        <f t="shared" si="6"/>
        <v/>
      </c>
      <c r="J204" s="31" t="str">
        <f t="shared" si="7"/>
        <v/>
      </c>
    </row>
    <row r="205" spans="1:10" x14ac:dyDescent="0.35">
      <c r="A205" s="18" t="str">
        <f>IFERROR(INDEX(tblIssues[Staff ID],MATCH(ROW()-5,tblIssues[Alert Row],0)),"")</f>
        <v/>
      </c>
      <c r="B205" s="18" t="str">
        <f>IF($A205="","",INDEX(tblIssues[Staff Name (pick)],MATCH(ROW()-5,tblIssues[Alert Row],0)))</f>
        <v/>
      </c>
      <c r="C205" s="18" t="str">
        <f>IF($A205="","",INDEX(tblIssues[Role],MATCH(ROW()-5,tblIssues[Alert Row],0)))</f>
        <v/>
      </c>
      <c r="D205" s="25" t="str">
        <f>IF($A205="","",INDEX(tblIssues[Area],MATCH(ROW()-5,tblIssues[Alert Row],0)))</f>
        <v/>
      </c>
      <c r="E205" s="25" t="str">
        <f>IF($A205="","",INDEX(tblIssues[Item Name],MATCH(ROW()-5,tblIssues[Alert Row],0)))</f>
        <v/>
      </c>
      <c r="F205" s="98" t="str">
        <f>IF($A205="","",INDEX(tblIssues[Month],MATCH(ROW()-5,tblIssues[Alert Row],0)))</f>
        <v/>
      </c>
      <c r="G205" s="23" t="str">
        <f>IF($A205="","",INDEX(tblIssues[Units This Month (Staff/Item)],MATCH(ROW()-5,tblIssues[Alert Row],0)))</f>
        <v/>
      </c>
      <c r="H205" s="23" t="str">
        <f>IF($A205="","",INDEX(tblIssues[Monthly Quota],MATCH(ROW()-5,tblIssues[Alert Row],0)))</f>
        <v/>
      </c>
      <c r="I205" s="27" t="str">
        <f t="shared" si="6"/>
        <v/>
      </c>
      <c r="J205" s="31" t="str">
        <f t="shared" si="7"/>
        <v/>
      </c>
    </row>
    <row r="206" spans="1:10" x14ac:dyDescent="0.35">
      <c r="A206" s="18" t="str">
        <f>IFERROR(INDEX(tblIssues[Staff ID],MATCH(ROW()-5,tblIssues[Alert Row],0)),"")</f>
        <v/>
      </c>
      <c r="B206" s="18" t="str">
        <f>IF($A206="","",INDEX(tblIssues[Staff Name (pick)],MATCH(ROW()-5,tblIssues[Alert Row],0)))</f>
        <v/>
      </c>
      <c r="C206" s="18" t="str">
        <f>IF($A206="","",INDEX(tblIssues[Role],MATCH(ROW()-5,tblIssues[Alert Row],0)))</f>
        <v/>
      </c>
      <c r="D206" s="25" t="str">
        <f>IF($A206="","",INDEX(tblIssues[Area],MATCH(ROW()-5,tblIssues[Alert Row],0)))</f>
        <v/>
      </c>
      <c r="E206" s="25" t="str">
        <f>IF($A206="","",INDEX(tblIssues[Item Name],MATCH(ROW()-5,tblIssues[Alert Row],0)))</f>
        <v/>
      </c>
      <c r="F206" s="98" t="str">
        <f>IF($A206="","",INDEX(tblIssues[Month],MATCH(ROW()-5,tblIssues[Alert Row],0)))</f>
        <v/>
      </c>
      <c r="G206" s="23" t="str">
        <f>IF($A206="","",INDEX(tblIssues[Units This Month (Staff/Item)],MATCH(ROW()-5,tblIssues[Alert Row],0)))</f>
        <v/>
      </c>
      <c r="H206" s="23" t="str">
        <f>IF($A206="","",INDEX(tblIssues[Monthly Quota],MATCH(ROW()-5,tblIssues[Alert Row],0)))</f>
        <v/>
      </c>
      <c r="I206" s="27" t="str">
        <f t="shared" si="6"/>
        <v/>
      </c>
      <c r="J206" s="31" t="str">
        <f t="shared" si="7"/>
        <v/>
      </c>
    </row>
    <row r="207" spans="1:10" x14ac:dyDescent="0.35">
      <c r="A207" s="18" t="str">
        <f>IFERROR(INDEX(tblIssues[Staff ID],MATCH(ROW()-5,tblIssues[Alert Row],0)),"")</f>
        <v/>
      </c>
      <c r="B207" s="18" t="str">
        <f>IF($A207="","",INDEX(tblIssues[Staff Name (pick)],MATCH(ROW()-5,tblIssues[Alert Row],0)))</f>
        <v/>
      </c>
      <c r="C207" s="18" t="str">
        <f>IF($A207="","",INDEX(tblIssues[Role],MATCH(ROW()-5,tblIssues[Alert Row],0)))</f>
        <v/>
      </c>
      <c r="D207" s="25" t="str">
        <f>IF($A207="","",INDEX(tblIssues[Area],MATCH(ROW()-5,tblIssues[Alert Row],0)))</f>
        <v/>
      </c>
      <c r="E207" s="25" t="str">
        <f>IF($A207="","",INDEX(tblIssues[Item Name],MATCH(ROW()-5,tblIssues[Alert Row],0)))</f>
        <v/>
      </c>
      <c r="F207" s="98" t="str">
        <f>IF($A207="","",INDEX(tblIssues[Month],MATCH(ROW()-5,tblIssues[Alert Row],0)))</f>
        <v/>
      </c>
      <c r="G207" s="23" t="str">
        <f>IF($A207="","",INDEX(tblIssues[Units This Month (Staff/Item)],MATCH(ROW()-5,tblIssues[Alert Row],0)))</f>
        <v/>
      </c>
      <c r="H207" s="23" t="str">
        <f>IF($A207="","",INDEX(tblIssues[Monthly Quota],MATCH(ROW()-5,tblIssues[Alert Row],0)))</f>
        <v/>
      </c>
      <c r="I207" s="27" t="str">
        <f t="shared" si="6"/>
        <v/>
      </c>
      <c r="J207" s="31" t="str">
        <f t="shared" si="7"/>
        <v/>
      </c>
    </row>
    <row r="208" spans="1:10" x14ac:dyDescent="0.35">
      <c r="A208" s="18" t="str">
        <f>IFERROR(INDEX(tblIssues[Staff ID],MATCH(ROW()-5,tblIssues[Alert Row],0)),"")</f>
        <v/>
      </c>
      <c r="B208" s="18" t="str">
        <f>IF($A208="","",INDEX(tblIssues[Staff Name (pick)],MATCH(ROW()-5,tblIssues[Alert Row],0)))</f>
        <v/>
      </c>
      <c r="C208" s="18" t="str">
        <f>IF($A208="","",INDEX(tblIssues[Role],MATCH(ROW()-5,tblIssues[Alert Row],0)))</f>
        <v/>
      </c>
      <c r="D208" s="25" t="str">
        <f>IF($A208="","",INDEX(tblIssues[Area],MATCH(ROW()-5,tblIssues[Alert Row],0)))</f>
        <v/>
      </c>
      <c r="E208" s="25" t="str">
        <f>IF($A208="","",INDEX(tblIssues[Item Name],MATCH(ROW()-5,tblIssues[Alert Row],0)))</f>
        <v/>
      </c>
      <c r="F208" s="98" t="str">
        <f>IF($A208="","",INDEX(tblIssues[Month],MATCH(ROW()-5,tblIssues[Alert Row],0)))</f>
        <v/>
      </c>
      <c r="G208" s="23" t="str">
        <f>IF($A208="","",INDEX(tblIssues[Units This Month (Staff/Item)],MATCH(ROW()-5,tblIssues[Alert Row],0)))</f>
        <v/>
      </c>
      <c r="H208" s="23" t="str">
        <f>IF($A208="","",INDEX(tblIssues[Monthly Quota],MATCH(ROW()-5,tblIssues[Alert Row],0)))</f>
        <v/>
      </c>
      <c r="I208" s="27" t="str">
        <f t="shared" si="6"/>
        <v/>
      </c>
      <c r="J208" s="31" t="str">
        <f t="shared" si="7"/>
        <v/>
      </c>
    </row>
    <row r="209" spans="1:10" x14ac:dyDescent="0.35">
      <c r="A209" s="18" t="str">
        <f>IFERROR(INDEX(tblIssues[Staff ID],MATCH(ROW()-5,tblIssues[Alert Row],0)),"")</f>
        <v/>
      </c>
      <c r="B209" s="18" t="str">
        <f>IF($A209="","",INDEX(tblIssues[Staff Name (pick)],MATCH(ROW()-5,tblIssues[Alert Row],0)))</f>
        <v/>
      </c>
      <c r="C209" s="18" t="str">
        <f>IF($A209="","",INDEX(tblIssues[Role],MATCH(ROW()-5,tblIssues[Alert Row],0)))</f>
        <v/>
      </c>
      <c r="D209" s="25" t="str">
        <f>IF($A209="","",INDEX(tblIssues[Area],MATCH(ROW()-5,tblIssues[Alert Row],0)))</f>
        <v/>
      </c>
      <c r="E209" s="25" t="str">
        <f>IF($A209="","",INDEX(tblIssues[Item Name],MATCH(ROW()-5,tblIssues[Alert Row],0)))</f>
        <v/>
      </c>
      <c r="F209" s="98" t="str">
        <f>IF($A209="","",INDEX(tblIssues[Month],MATCH(ROW()-5,tblIssues[Alert Row],0)))</f>
        <v/>
      </c>
      <c r="G209" s="23" t="str">
        <f>IF($A209="","",INDEX(tblIssues[Units This Month (Staff/Item)],MATCH(ROW()-5,tblIssues[Alert Row],0)))</f>
        <v/>
      </c>
      <c r="H209" s="23" t="str">
        <f>IF($A209="","",INDEX(tblIssues[Monthly Quota],MATCH(ROW()-5,tblIssues[Alert Row],0)))</f>
        <v/>
      </c>
      <c r="I209" s="27" t="str">
        <f t="shared" si="6"/>
        <v/>
      </c>
      <c r="J209" s="31" t="str">
        <f t="shared" si="7"/>
        <v/>
      </c>
    </row>
    <row r="210" spans="1:10" x14ac:dyDescent="0.35">
      <c r="A210" s="18" t="str">
        <f>IFERROR(INDEX(tblIssues[Staff ID],MATCH(ROW()-5,tblIssues[Alert Row],0)),"")</f>
        <v/>
      </c>
      <c r="B210" s="18" t="str">
        <f>IF($A210="","",INDEX(tblIssues[Staff Name (pick)],MATCH(ROW()-5,tblIssues[Alert Row],0)))</f>
        <v/>
      </c>
      <c r="C210" s="18" t="str">
        <f>IF($A210="","",INDEX(tblIssues[Role],MATCH(ROW()-5,tblIssues[Alert Row],0)))</f>
        <v/>
      </c>
      <c r="D210" s="25" t="str">
        <f>IF($A210="","",INDEX(tblIssues[Area],MATCH(ROW()-5,tblIssues[Alert Row],0)))</f>
        <v/>
      </c>
      <c r="E210" s="25" t="str">
        <f>IF($A210="","",INDEX(tblIssues[Item Name],MATCH(ROW()-5,tblIssues[Alert Row],0)))</f>
        <v/>
      </c>
      <c r="F210" s="98" t="str">
        <f>IF($A210="","",INDEX(tblIssues[Month],MATCH(ROW()-5,tblIssues[Alert Row],0)))</f>
        <v/>
      </c>
      <c r="G210" s="23" t="str">
        <f>IF($A210="","",INDEX(tblIssues[Units This Month (Staff/Item)],MATCH(ROW()-5,tblIssues[Alert Row],0)))</f>
        <v/>
      </c>
      <c r="H210" s="23" t="str">
        <f>IF($A210="","",INDEX(tblIssues[Monthly Quota],MATCH(ROW()-5,tblIssues[Alert Row],0)))</f>
        <v/>
      </c>
      <c r="I210" s="27" t="str">
        <f t="shared" si="6"/>
        <v/>
      </c>
      <c r="J210" s="31" t="str">
        <f t="shared" si="7"/>
        <v/>
      </c>
    </row>
    <row r="211" spans="1:10" x14ac:dyDescent="0.35">
      <c r="A211" s="18" t="str">
        <f>IFERROR(INDEX(tblIssues[Staff ID],MATCH(ROW()-5,tblIssues[Alert Row],0)),"")</f>
        <v/>
      </c>
      <c r="B211" s="18" t="str">
        <f>IF($A211="","",INDEX(tblIssues[Staff Name (pick)],MATCH(ROW()-5,tblIssues[Alert Row],0)))</f>
        <v/>
      </c>
      <c r="C211" s="18" t="str">
        <f>IF($A211="","",INDEX(tblIssues[Role],MATCH(ROW()-5,tblIssues[Alert Row],0)))</f>
        <v/>
      </c>
      <c r="D211" s="25" t="str">
        <f>IF($A211="","",INDEX(tblIssues[Area],MATCH(ROW()-5,tblIssues[Alert Row],0)))</f>
        <v/>
      </c>
      <c r="E211" s="25" t="str">
        <f>IF($A211="","",INDEX(tblIssues[Item Name],MATCH(ROW()-5,tblIssues[Alert Row],0)))</f>
        <v/>
      </c>
      <c r="F211" s="98" t="str">
        <f>IF($A211="","",INDEX(tblIssues[Month],MATCH(ROW()-5,tblIssues[Alert Row],0)))</f>
        <v/>
      </c>
      <c r="G211" s="23" t="str">
        <f>IF($A211="","",INDEX(tblIssues[Units This Month (Staff/Item)],MATCH(ROW()-5,tblIssues[Alert Row],0)))</f>
        <v/>
      </c>
      <c r="H211" s="23" t="str">
        <f>IF($A211="","",INDEX(tblIssues[Monthly Quota],MATCH(ROW()-5,tblIssues[Alert Row],0)))</f>
        <v/>
      </c>
      <c r="I211" s="27" t="str">
        <f t="shared" si="6"/>
        <v/>
      </c>
      <c r="J211" s="31" t="str">
        <f t="shared" si="7"/>
        <v/>
      </c>
    </row>
    <row r="212" spans="1:10" x14ac:dyDescent="0.35">
      <c r="A212" s="18" t="str">
        <f>IFERROR(INDEX(tblIssues[Staff ID],MATCH(ROW()-5,tblIssues[Alert Row],0)),"")</f>
        <v/>
      </c>
      <c r="B212" s="18" t="str">
        <f>IF($A212="","",INDEX(tblIssues[Staff Name (pick)],MATCH(ROW()-5,tblIssues[Alert Row],0)))</f>
        <v/>
      </c>
      <c r="C212" s="18" t="str">
        <f>IF($A212="","",INDEX(tblIssues[Role],MATCH(ROW()-5,tblIssues[Alert Row],0)))</f>
        <v/>
      </c>
      <c r="D212" s="25" t="str">
        <f>IF($A212="","",INDEX(tblIssues[Area],MATCH(ROW()-5,tblIssues[Alert Row],0)))</f>
        <v/>
      </c>
      <c r="E212" s="25" t="str">
        <f>IF($A212="","",INDEX(tblIssues[Item Name],MATCH(ROW()-5,tblIssues[Alert Row],0)))</f>
        <v/>
      </c>
      <c r="F212" s="98" t="str">
        <f>IF($A212="","",INDEX(tblIssues[Month],MATCH(ROW()-5,tblIssues[Alert Row],0)))</f>
        <v/>
      </c>
      <c r="G212" s="23" t="str">
        <f>IF($A212="","",INDEX(tblIssues[Units This Month (Staff/Item)],MATCH(ROW()-5,tblIssues[Alert Row],0)))</f>
        <v/>
      </c>
      <c r="H212" s="23" t="str">
        <f>IF($A212="","",INDEX(tblIssues[Monthly Quota],MATCH(ROW()-5,tblIssues[Alert Row],0)))</f>
        <v/>
      </c>
      <c r="I212" s="27" t="str">
        <f t="shared" si="6"/>
        <v/>
      </c>
      <c r="J212" s="31" t="str">
        <f t="shared" si="7"/>
        <v/>
      </c>
    </row>
    <row r="213" spans="1:10" x14ac:dyDescent="0.35">
      <c r="A213" s="18" t="str">
        <f>IFERROR(INDEX(tblIssues[Staff ID],MATCH(ROW()-5,tblIssues[Alert Row],0)),"")</f>
        <v/>
      </c>
      <c r="B213" s="18" t="str">
        <f>IF($A213="","",INDEX(tblIssues[Staff Name (pick)],MATCH(ROW()-5,tblIssues[Alert Row],0)))</f>
        <v/>
      </c>
      <c r="C213" s="18" t="str">
        <f>IF($A213="","",INDEX(tblIssues[Role],MATCH(ROW()-5,tblIssues[Alert Row],0)))</f>
        <v/>
      </c>
      <c r="D213" s="25" t="str">
        <f>IF($A213="","",INDEX(tblIssues[Area],MATCH(ROW()-5,tblIssues[Alert Row],0)))</f>
        <v/>
      </c>
      <c r="E213" s="25" t="str">
        <f>IF($A213="","",INDEX(tblIssues[Item Name],MATCH(ROW()-5,tblIssues[Alert Row],0)))</f>
        <v/>
      </c>
      <c r="F213" s="98" t="str">
        <f>IF($A213="","",INDEX(tblIssues[Month],MATCH(ROW()-5,tblIssues[Alert Row],0)))</f>
        <v/>
      </c>
      <c r="G213" s="23" t="str">
        <f>IF($A213="","",INDEX(tblIssues[Units This Month (Staff/Item)],MATCH(ROW()-5,tblIssues[Alert Row],0)))</f>
        <v/>
      </c>
      <c r="H213" s="23" t="str">
        <f>IF($A213="","",INDEX(tblIssues[Monthly Quota],MATCH(ROW()-5,tblIssues[Alert Row],0)))</f>
        <v/>
      </c>
      <c r="I213" s="27" t="str">
        <f t="shared" si="6"/>
        <v/>
      </c>
      <c r="J213" s="31" t="str">
        <f t="shared" si="7"/>
        <v/>
      </c>
    </row>
    <row r="214" spans="1:10" x14ac:dyDescent="0.35">
      <c r="A214" s="18" t="str">
        <f>IFERROR(INDEX(tblIssues[Staff ID],MATCH(ROW()-5,tblIssues[Alert Row],0)),"")</f>
        <v/>
      </c>
      <c r="B214" s="18" t="str">
        <f>IF($A214="","",INDEX(tblIssues[Staff Name (pick)],MATCH(ROW()-5,tblIssues[Alert Row],0)))</f>
        <v/>
      </c>
      <c r="C214" s="18" t="str">
        <f>IF($A214="","",INDEX(tblIssues[Role],MATCH(ROW()-5,tblIssues[Alert Row],0)))</f>
        <v/>
      </c>
      <c r="D214" s="25" t="str">
        <f>IF($A214="","",INDEX(tblIssues[Area],MATCH(ROW()-5,tblIssues[Alert Row],0)))</f>
        <v/>
      </c>
      <c r="E214" s="25" t="str">
        <f>IF($A214="","",INDEX(tblIssues[Item Name],MATCH(ROW()-5,tblIssues[Alert Row],0)))</f>
        <v/>
      </c>
      <c r="F214" s="98" t="str">
        <f>IF($A214="","",INDEX(tblIssues[Month],MATCH(ROW()-5,tblIssues[Alert Row],0)))</f>
        <v/>
      </c>
      <c r="G214" s="23" t="str">
        <f>IF($A214="","",INDEX(tblIssues[Units This Month (Staff/Item)],MATCH(ROW()-5,tblIssues[Alert Row],0)))</f>
        <v/>
      </c>
      <c r="H214" s="23" t="str">
        <f>IF($A214="","",INDEX(tblIssues[Monthly Quota],MATCH(ROW()-5,tblIssues[Alert Row],0)))</f>
        <v/>
      </c>
      <c r="I214" s="27" t="str">
        <f t="shared" si="6"/>
        <v/>
      </c>
      <c r="J214" s="31" t="str">
        <f t="shared" si="7"/>
        <v/>
      </c>
    </row>
    <row r="215" spans="1:10" x14ac:dyDescent="0.35">
      <c r="A215" s="18" t="str">
        <f>IFERROR(INDEX(tblIssues[Staff ID],MATCH(ROW()-5,tblIssues[Alert Row],0)),"")</f>
        <v/>
      </c>
      <c r="B215" s="18" t="str">
        <f>IF($A215="","",INDEX(tblIssues[Staff Name (pick)],MATCH(ROW()-5,tblIssues[Alert Row],0)))</f>
        <v/>
      </c>
      <c r="C215" s="18" t="str">
        <f>IF($A215="","",INDEX(tblIssues[Role],MATCH(ROW()-5,tblIssues[Alert Row],0)))</f>
        <v/>
      </c>
      <c r="D215" s="25" t="str">
        <f>IF($A215="","",INDEX(tblIssues[Area],MATCH(ROW()-5,tblIssues[Alert Row],0)))</f>
        <v/>
      </c>
      <c r="E215" s="25" t="str">
        <f>IF($A215="","",INDEX(tblIssues[Item Name],MATCH(ROW()-5,tblIssues[Alert Row],0)))</f>
        <v/>
      </c>
      <c r="F215" s="98" t="str">
        <f>IF($A215="","",INDEX(tblIssues[Month],MATCH(ROW()-5,tblIssues[Alert Row],0)))</f>
        <v/>
      </c>
      <c r="G215" s="23" t="str">
        <f>IF($A215="","",INDEX(tblIssues[Units This Month (Staff/Item)],MATCH(ROW()-5,tblIssues[Alert Row],0)))</f>
        <v/>
      </c>
      <c r="H215" s="23" t="str">
        <f>IF($A215="","",INDEX(tblIssues[Monthly Quota],MATCH(ROW()-5,tblIssues[Alert Row],0)))</f>
        <v/>
      </c>
      <c r="I215" s="27" t="str">
        <f t="shared" si="6"/>
        <v/>
      </c>
      <c r="J215" s="31" t="str">
        <f t="shared" si="7"/>
        <v/>
      </c>
    </row>
    <row r="216" spans="1:10" x14ac:dyDescent="0.35">
      <c r="A216" s="18" t="str">
        <f>IFERROR(INDEX(tblIssues[Staff ID],MATCH(ROW()-5,tblIssues[Alert Row],0)),"")</f>
        <v/>
      </c>
      <c r="B216" s="18" t="str">
        <f>IF($A216="","",INDEX(tblIssues[Staff Name (pick)],MATCH(ROW()-5,tblIssues[Alert Row],0)))</f>
        <v/>
      </c>
      <c r="C216" s="18" t="str">
        <f>IF($A216="","",INDEX(tblIssues[Role],MATCH(ROW()-5,tblIssues[Alert Row],0)))</f>
        <v/>
      </c>
      <c r="D216" s="25" t="str">
        <f>IF($A216="","",INDEX(tblIssues[Area],MATCH(ROW()-5,tblIssues[Alert Row],0)))</f>
        <v/>
      </c>
      <c r="E216" s="25" t="str">
        <f>IF($A216="","",INDEX(tblIssues[Item Name],MATCH(ROW()-5,tblIssues[Alert Row],0)))</f>
        <v/>
      </c>
      <c r="F216" s="98" t="str">
        <f>IF($A216="","",INDEX(tblIssues[Month],MATCH(ROW()-5,tblIssues[Alert Row],0)))</f>
        <v/>
      </c>
      <c r="G216" s="23" t="str">
        <f>IF($A216="","",INDEX(tblIssues[Units This Month (Staff/Item)],MATCH(ROW()-5,tblIssues[Alert Row],0)))</f>
        <v/>
      </c>
      <c r="H216" s="23" t="str">
        <f>IF($A216="","",INDEX(tblIssues[Monthly Quota],MATCH(ROW()-5,tblIssues[Alert Row],0)))</f>
        <v/>
      </c>
      <c r="I216" s="27" t="str">
        <f t="shared" si="6"/>
        <v/>
      </c>
      <c r="J216" s="31" t="str">
        <f t="shared" si="7"/>
        <v/>
      </c>
    </row>
    <row r="217" spans="1:10" x14ac:dyDescent="0.35">
      <c r="A217" s="18" t="str">
        <f>IFERROR(INDEX(tblIssues[Staff ID],MATCH(ROW()-5,tblIssues[Alert Row],0)),"")</f>
        <v/>
      </c>
      <c r="B217" s="18" t="str">
        <f>IF($A217="","",INDEX(tblIssues[Staff Name (pick)],MATCH(ROW()-5,tblIssues[Alert Row],0)))</f>
        <v/>
      </c>
      <c r="C217" s="18" t="str">
        <f>IF($A217="","",INDEX(tblIssues[Role],MATCH(ROW()-5,tblIssues[Alert Row],0)))</f>
        <v/>
      </c>
      <c r="D217" s="25" t="str">
        <f>IF($A217="","",INDEX(tblIssues[Area],MATCH(ROW()-5,tblIssues[Alert Row],0)))</f>
        <v/>
      </c>
      <c r="E217" s="25" t="str">
        <f>IF($A217="","",INDEX(tblIssues[Item Name],MATCH(ROW()-5,tblIssues[Alert Row],0)))</f>
        <v/>
      </c>
      <c r="F217" s="98" t="str">
        <f>IF($A217="","",INDEX(tblIssues[Month],MATCH(ROW()-5,tblIssues[Alert Row],0)))</f>
        <v/>
      </c>
      <c r="G217" s="23" t="str">
        <f>IF($A217="","",INDEX(tblIssues[Units This Month (Staff/Item)],MATCH(ROW()-5,tblIssues[Alert Row],0)))</f>
        <v/>
      </c>
      <c r="H217" s="23" t="str">
        <f>IF($A217="","",INDEX(tblIssues[Monthly Quota],MATCH(ROW()-5,tblIssues[Alert Row],0)))</f>
        <v/>
      </c>
      <c r="I217" s="27" t="str">
        <f t="shared" si="6"/>
        <v/>
      </c>
      <c r="J217" s="31" t="str">
        <f t="shared" si="7"/>
        <v/>
      </c>
    </row>
    <row r="218" spans="1:10" x14ac:dyDescent="0.35">
      <c r="A218" s="18" t="str">
        <f>IFERROR(INDEX(tblIssues[Staff ID],MATCH(ROW()-5,tblIssues[Alert Row],0)),"")</f>
        <v/>
      </c>
      <c r="B218" s="18" t="str">
        <f>IF($A218="","",INDEX(tblIssues[Staff Name (pick)],MATCH(ROW()-5,tblIssues[Alert Row],0)))</f>
        <v/>
      </c>
      <c r="C218" s="18" t="str">
        <f>IF($A218="","",INDEX(tblIssues[Role],MATCH(ROW()-5,tblIssues[Alert Row],0)))</f>
        <v/>
      </c>
      <c r="D218" s="25" t="str">
        <f>IF($A218="","",INDEX(tblIssues[Area],MATCH(ROW()-5,tblIssues[Alert Row],0)))</f>
        <v/>
      </c>
      <c r="E218" s="25" t="str">
        <f>IF($A218="","",INDEX(tblIssues[Item Name],MATCH(ROW()-5,tblIssues[Alert Row],0)))</f>
        <v/>
      </c>
      <c r="F218" s="98" t="str">
        <f>IF($A218="","",INDEX(tblIssues[Month],MATCH(ROW()-5,tblIssues[Alert Row],0)))</f>
        <v/>
      </c>
      <c r="G218" s="23" t="str">
        <f>IF($A218="","",INDEX(tblIssues[Units This Month (Staff/Item)],MATCH(ROW()-5,tblIssues[Alert Row],0)))</f>
        <v/>
      </c>
      <c r="H218" s="23" t="str">
        <f>IF($A218="","",INDEX(tblIssues[Monthly Quota],MATCH(ROW()-5,tblIssues[Alert Row],0)))</f>
        <v/>
      </c>
      <c r="I218" s="27" t="str">
        <f t="shared" si="6"/>
        <v/>
      </c>
      <c r="J218" s="31" t="str">
        <f t="shared" si="7"/>
        <v/>
      </c>
    </row>
    <row r="219" spans="1:10" x14ac:dyDescent="0.35">
      <c r="A219" s="18" t="str">
        <f>IFERROR(INDEX(tblIssues[Staff ID],MATCH(ROW()-5,tblIssues[Alert Row],0)),"")</f>
        <v/>
      </c>
      <c r="B219" s="18" t="str">
        <f>IF($A219="","",INDEX(tblIssues[Staff Name (pick)],MATCH(ROW()-5,tblIssues[Alert Row],0)))</f>
        <v/>
      </c>
      <c r="C219" s="18" t="str">
        <f>IF($A219="","",INDEX(tblIssues[Role],MATCH(ROW()-5,tblIssues[Alert Row],0)))</f>
        <v/>
      </c>
      <c r="D219" s="25" t="str">
        <f>IF($A219="","",INDEX(tblIssues[Area],MATCH(ROW()-5,tblIssues[Alert Row],0)))</f>
        <v/>
      </c>
      <c r="E219" s="25" t="str">
        <f>IF($A219="","",INDEX(tblIssues[Item Name],MATCH(ROW()-5,tblIssues[Alert Row],0)))</f>
        <v/>
      </c>
      <c r="F219" s="98" t="str">
        <f>IF($A219="","",INDEX(tblIssues[Month],MATCH(ROW()-5,tblIssues[Alert Row],0)))</f>
        <v/>
      </c>
      <c r="G219" s="23" t="str">
        <f>IF($A219="","",INDEX(tblIssues[Units This Month (Staff/Item)],MATCH(ROW()-5,tblIssues[Alert Row],0)))</f>
        <v/>
      </c>
      <c r="H219" s="23" t="str">
        <f>IF($A219="","",INDEX(tblIssues[Monthly Quota],MATCH(ROW()-5,tblIssues[Alert Row],0)))</f>
        <v/>
      </c>
      <c r="I219" s="27" t="str">
        <f t="shared" si="6"/>
        <v/>
      </c>
      <c r="J219" s="31" t="str">
        <f t="shared" si="7"/>
        <v/>
      </c>
    </row>
    <row r="220" spans="1:10" x14ac:dyDescent="0.35">
      <c r="A220" s="18" t="str">
        <f>IFERROR(INDEX(tblIssues[Staff ID],MATCH(ROW()-5,tblIssues[Alert Row],0)),"")</f>
        <v/>
      </c>
      <c r="B220" s="18" t="str">
        <f>IF($A220="","",INDEX(tblIssues[Staff Name (pick)],MATCH(ROW()-5,tblIssues[Alert Row],0)))</f>
        <v/>
      </c>
      <c r="C220" s="18" t="str">
        <f>IF($A220="","",INDEX(tblIssues[Role],MATCH(ROW()-5,tblIssues[Alert Row],0)))</f>
        <v/>
      </c>
      <c r="D220" s="25" t="str">
        <f>IF($A220="","",INDEX(tblIssues[Area],MATCH(ROW()-5,tblIssues[Alert Row],0)))</f>
        <v/>
      </c>
      <c r="E220" s="25" t="str">
        <f>IF($A220="","",INDEX(tblIssues[Item Name],MATCH(ROW()-5,tblIssues[Alert Row],0)))</f>
        <v/>
      </c>
      <c r="F220" s="98" t="str">
        <f>IF($A220="","",INDEX(tblIssues[Month],MATCH(ROW()-5,tblIssues[Alert Row],0)))</f>
        <v/>
      </c>
      <c r="G220" s="23" t="str">
        <f>IF($A220="","",INDEX(tblIssues[Units This Month (Staff/Item)],MATCH(ROW()-5,tblIssues[Alert Row],0)))</f>
        <v/>
      </c>
      <c r="H220" s="23" t="str">
        <f>IF($A220="","",INDEX(tblIssues[Monthly Quota],MATCH(ROW()-5,tblIssues[Alert Row],0)))</f>
        <v/>
      </c>
      <c r="I220" s="27" t="str">
        <f t="shared" si="6"/>
        <v/>
      </c>
      <c r="J220" s="31" t="str">
        <f t="shared" si="7"/>
        <v/>
      </c>
    </row>
    <row r="221" spans="1:10" x14ac:dyDescent="0.35">
      <c r="A221" s="18" t="str">
        <f>IFERROR(INDEX(tblIssues[Staff ID],MATCH(ROW()-5,tblIssues[Alert Row],0)),"")</f>
        <v/>
      </c>
      <c r="B221" s="18" t="str">
        <f>IF($A221="","",INDEX(tblIssues[Staff Name (pick)],MATCH(ROW()-5,tblIssues[Alert Row],0)))</f>
        <v/>
      </c>
      <c r="C221" s="18" t="str">
        <f>IF($A221="","",INDEX(tblIssues[Role],MATCH(ROW()-5,tblIssues[Alert Row],0)))</f>
        <v/>
      </c>
      <c r="D221" s="25" t="str">
        <f>IF($A221="","",INDEX(tblIssues[Area],MATCH(ROW()-5,tblIssues[Alert Row],0)))</f>
        <v/>
      </c>
      <c r="E221" s="25" t="str">
        <f>IF($A221="","",INDEX(tblIssues[Item Name],MATCH(ROW()-5,tblIssues[Alert Row],0)))</f>
        <v/>
      </c>
      <c r="F221" s="98" t="str">
        <f>IF($A221="","",INDEX(tblIssues[Month],MATCH(ROW()-5,tblIssues[Alert Row],0)))</f>
        <v/>
      </c>
      <c r="G221" s="23" t="str">
        <f>IF($A221="","",INDEX(tblIssues[Units This Month (Staff/Item)],MATCH(ROW()-5,tblIssues[Alert Row],0)))</f>
        <v/>
      </c>
      <c r="H221" s="23" t="str">
        <f>IF($A221="","",INDEX(tblIssues[Monthly Quota],MATCH(ROW()-5,tblIssues[Alert Row],0)))</f>
        <v/>
      </c>
      <c r="I221" s="27" t="str">
        <f t="shared" si="6"/>
        <v/>
      </c>
      <c r="J221" s="31" t="str">
        <f t="shared" si="7"/>
        <v/>
      </c>
    </row>
    <row r="222" spans="1:10" x14ac:dyDescent="0.35">
      <c r="A222" s="18" t="str">
        <f>IFERROR(INDEX(tblIssues[Staff ID],MATCH(ROW()-5,tblIssues[Alert Row],0)),"")</f>
        <v/>
      </c>
      <c r="B222" s="18" t="str">
        <f>IF($A222="","",INDEX(tblIssues[Staff Name (pick)],MATCH(ROW()-5,tblIssues[Alert Row],0)))</f>
        <v/>
      </c>
      <c r="C222" s="18" t="str">
        <f>IF($A222="","",INDEX(tblIssues[Role],MATCH(ROW()-5,tblIssues[Alert Row],0)))</f>
        <v/>
      </c>
      <c r="D222" s="25" t="str">
        <f>IF($A222="","",INDEX(tblIssues[Area],MATCH(ROW()-5,tblIssues[Alert Row],0)))</f>
        <v/>
      </c>
      <c r="E222" s="25" t="str">
        <f>IF($A222="","",INDEX(tblIssues[Item Name],MATCH(ROW()-5,tblIssues[Alert Row],0)))</f>
        <v/>
      </c>
      <c r="F222" s="98" t="str">
        <f>IF($A222="","",INDEX(tblIssues[Month],MATCH(ROW()-5,tblIssues[Alert Row],0)))</f>
        <v/>
      </c>
      <c r="G222" s="23" t="str">
        <f>IF($A222="","",INDEX(tblIssues[Units This Month (Staff/Item)],MATCH(ROW()-5,tblIssues[Alert Row],0)))</f>
        <v/>
      </c>
      <c r="H222" s="23" t="str">
        <f>IF($A222="","",INDEX(tblIssues[Monthly Quota],MATCH(ROW()-5,tblIssues[Alert Row],0)))</f>
        <v/>
      </c>
      <c r="I222" s="27" t="str">
        <f t="shared" si="6"/>
        <v/>
      </c>
      <c r="J222" s="31" t="str">
        <f t="shared" si="7"/>
        <v/>
      </c>
    </row>
    <row r="223" spans="1:10" x14ac:dyDescent="0.35">
      <c r="A223" s="18" t="str">
        <f>IFERROR(INDEX(tblIssues[Staff ID],MATCH(ROW()-5,tblIssues[Alert Row],0)),"")</f>
        <v/>
      </c>
      <c r="B223" s="18" t="str">
        <f>IF($A223="","",INDEX(tblIssues[Staff Name (pick)],MATCH(ROW()-5,tblIssues[Alert Row],0)))</f>
        <v/>
      </c>
      <c r="C223" s="18" t="str">
        <f>IF($A223="","",INDEX(tblIssues[Role],MATCH(ROW()-5,tblIssues[Alert Row],0)))</f>
        <v/>
      </c>
      <c r="D223" s="25" t="str">
        <f>IF($A223="","",INDEX(tblIssues[Area],MATCH(ROW()-5,tblIssues[Alert Row],0)))</f>
        <v/>
      </c>
      <c r="E223" s="25" t="str">
        <f>IF($A223="","",INDEX(tblIssues[Item Name],MATCH(ROW()-5,tblIssues[Alert Row],0)))</f>
        <v/>
      </c>
      <c r="F223" s="98" t="str">
        <f>IF($A223="","",INDEX(tblIssues[Month],MATCH(ROW()-5,tblIssues[Alert Row],0)))</f>
        <v/>
      </c>
      <c r="G223" s="23" t="str">
        <f>IF($A223="","",INDEX(tblIssues[Units This Month (Staff/Item)],MATCH(ROW()-5,tblIssues[Alert Row],0)))</f>
        <v/>
      </c>
      <c r="H223" s="23" t="str">
        <f>IF($A223="","",INDEX(tblIssues[Monthly Quota],MATCH(ROW()-5,tblIssues[Alert Row],0)))</f>
        <v/>
      </c>
      <c r="I223" s="27" t="str">
        <f t="shared" si="6"/>
        <v/>
      </c>
      <c r="J223" s="31" t="str">
        <f t="shared" si="7"/>
        <v/>
      </c>
    </row>
    <row r="224" spans="1:10" x14ac:dyDescent="0.35">
      <c r="A224" s="18" t="str">
        <f>IFERROR(INDEX(tblIssues[Staff ID],MATCH(ROW()-5,tblIssues[Alert Row],0)),"")</f>
        <v/>
      </c>
      <c r="B224" s="18" t="str">
        <f>IF($A224="","",INDEX(tblIssues[Staff Name (pick)],MATCH(ROW()-5,tblIssues[Alert Row],0)))</f>
        <v/>
      </c>
      <c r="C224" s="18" t="str">
        <f>IF($A224="","",INDEX(tblIssues[Role],MATCH(ROW()-5,tblIssues[Alert Row],0)))</f>
        <v/>
      </c>
      <c r="D224" s="25" t="str">
        <f>IF($A224="","",INDEX(tblIssues[Area],MATCH(ROW()-5,tblIssues[Alert Row],0)))</f>
        <v/>
      </c>
      <c r="E224" s="25" t="str">
        <f>IF($A224="","",INDEX(tblIssues[Item Name],MATCH(ROW()-5,tblIssues[Alert Row],0)))</f>
        <v/>
      </c>
      <c r="F224" s="98" t="str">
        <f>IF($A224="","",INDEX(tblIssues[Month],MATCH(ROW()-5,tblIssues[Alert Row],0)))</f>
        <v/>
      </c>
      <c r="G224" s="23" t="str">
        <f>IF($A224="","",INDEX(tblIssues[Units This Month (Staff/Item)],MATCH(ROW()-5,tblIssues[Alert Row],0)))</f>
        <v/>
      </c>
      <c r="H224" s="23" t="str">
        <f>IF($A224="","",INDEX(tblIssues[Monthly Quota],MATCH(ROW()-5,tblIssues[Alert Row],0)))</f>
        <v/>
      </c>
      <c r="I224" s="27" t="str">
        <f t="shared" si="6"/>
        <v/>
      </c>
      <c r="J224" s="31" t="str">
        <f t="shared" si="7"/>
        <v/>
      </c>
    </row>
    <row r="225" spans="1:10" x14ac:dyDescent="0.35">
      <c r="A225" s="18" t="str">
        <f>IFERROR(INDEX(tblIssues[Staff ID],MATCH(ROW()-5,tblIssues[Alert Row],0)),"")</f>
        <v/>
      </c>
      <c r="B225" s="18" t="str">
        <f>IF($A225="","",INDEX(tblIssues[Staff Name (pick)],MATCH(ROW()-5,tblIssues[Alert Row],0)))</f>
        <v/>
      </c>
      <c r="C225" s="18" t="str">
        <f>IF($A225="","",INDEX(tblIssues[Role],MATCH(ROW()-5,tblIssues[Alert Row],0)))</f>
        <v/>
      </c>
      <c r="D225" s="25" t="str">
        <f>IF($A225="","",INDEX(tblIssues[Area],MATCH(ROW()-5,tblIssues[Alert Row],0)))</f>
        <v/>
      </c>
      <c r="E225" s="25" t="str">
        <f>IF($A225="","",INDEX(tblIssues[Item Name],MATCH(ROW()-5,tblIssues[Alert Row],0)))</f>
        <v/>
      </c>
      <c r="F225" s="98" t="str">
        <f>IF($A225="","",INDEX(tblIssues[Month],MATCH(ROW()-5,tblIssues[Alert Row],0)))</f>
        <v/>
      </c>
      <c r="G225" s="23" t="str">
        <f>IF($A225="","",INDEX(tblIssues[Units This Month (Staff/Item)],MATCH(ROW()-5,tblIssues[Alert Row],0)))</f>
        <v/>
      </c>
      <c r="H225" s="23" t="str">
        <f>IF($A225="","",INDEX(tblIssues[Monthly Quota],MATCH(ROW()-5,tblIssues[Alert Row],0)))</f>
        <v/>
      </c>
      <c r="I225" s="27" t="str">
        <f t="shared" si="6"/>
        <v/>
      </c>
      <c r="J225" s="31" t="str">
        <f t="shared" si="7"/>
        <v/>
      </c>
    </row>
    <row r="226" spans="1:10" x14ac:dyDescent="0.35">
      <c r="A226" s="18" t="str">
        <f>IFERROR(INDEX(tblIssues[Staff ID],MATCH(ROW()-5,tblIssues[Alert Row],0)),"")</f>
        <v/>
      </c>
      <c r="B226" s="18" t="str">
        <f>IF($A226="","",INDEX(tblIssues[Staff Name (pick)],MATCH(ROW()-5,tblIssues[Alert Row],0)))</f>
        <v/>
      </c>
      <c r="C226" s="18" t="str">
        <f>IF($A226="","",INDEX(tblIssues[Role],MATCH(ROW()-5,tblIssues[Alert Row],0)))</f>
        <v/>
      </c>
      <c r="D226" s="25" t="str">
        <f>IF($A226="","",INDEX(tblIssues[Area],MATCH(ROW()-5,tblIssues[Alert Row],0)))</f>
        <v/>
      </c>
      <c r="E226" s="25" t="str">
        <f>IF($A226="","",INDEX(tblIssues[Item Name],MATCH(ROW()-5,tblIssues[Alert Row],0)))</f>
        <v/>
      </c>
      <c r="F226" s="98" t="str">
        <f>IF($A226="","",INDEX(tblIssues[Month],MATCH(ROW()-5,tblIssues[Alert Row],0)))</f>
        <v/>
      </c>
      <c r="G226" s="23" t="str">
        <f>IF($A226="","",INDEX(tblIssues[Units This Month (Staff/Item)],MATCH(ROW()-5,tblIssues[Alert Row],0)))</f>
        <v/>
      </c>
      <c r="H226" s="23" t="str">
        <f>IF($A226="","",INDEX(tblIssues[Monthly Quota],MATCH(ROW()-5,tblIssues[Alert Row],0)))</f>
        <v/>
      </c>
      <c r="I226" s="27" t="str">
        <f t="shared" si="6"/>
        <v/>
      </c>
      <c r="J226" s="31" t="str">
        <f t="shared" si="7"/>
        <v/>
      </c>
    </row>
    <row r="227" spans="1:10" x14ac:dyDescent="0.35">
      <c r="A227" s="18" t="str">
        <f>IFERROR(INDEX(tblIssues[Staff ID],MATCH(ROW()-5,tblIssues[Alert Row],0)),"")</f>
        <v/>
      </c>
      <c r="B227" s="18" t="str">
        <f>IF($A227="","",INDEX(tblIssues[Staff Name (pick)],MATCH(ROW()-5,tblIssues[Alert Row],0)))</f>
        <v/>
      </c>
      <c r="C227" s="18" t="str">
        <f>IF($A227="","",INDEX(tblIssues[Role],MATCH(ROW()-5,tblIssues[Alert Row],0)))</f>
        <v/>
      </c>
      <c r="D227" s="25" t="str">
        <f>IF($A227="","",INDEX(tblIssues[Area],MATCH(ROW()-5,tblIssues[Alert Row],0)))</f>
        <v/>
      </c>
      <c r="E227" s="25" t="str">
        <f>IF($A227="","",INDEX(tblIssues[Item Name],MATCH(ROW()-5,tblIssues[Alert Row],0)))</f>
        <v/>
      </c>
      <c r="F227" s="98" t="str">
        <f>IF($A227="","",INDEX(tblIssues[Month],MATCH(ROW()-5,tblIssues[Alert Row],0)))</f>
        <v/>
      </c>
      <c r="G227" s="23" t="str">
        <f>IF($A227="","",INDEX(tblIssues[Units This Month (Staff/Item)],MATCH(ROW()-5,tblIssues[Alert Row],0)))</f>
        <v/>
      </c>
      <c r="H227" s="23" t="str">
        <f>IF($A227="","",INDEX(tblIssues[Monthly Quota],MATCH(ROW()-5,tblIssues[Alert Row],0)))</f>
        <v/>
      </c>
      <c r="I227" s="27" t="str">
        <f t="shared" si="6"/>
        <v/>
      </c>
      <c r="J227" s="31" t="str">
        <f t="shared" si="7"/>
        <v/>
      </c>
    </row>
    <row r="228" spans="1:10" x14ac:dyDescent="0.35">
      <c r="A228" s="18" t="str">
        <f>IFERROR(INDEX(tblIssues[Staff ID],MATCH(ROW()-5,tblIssues[Alert Row],0)),"")</f>
        <v/>
      </c>
      <c r="B228" s="18" t="str">
        <f>IF($A228="","",INDEX(tblIssues[Staff Name (pick)],MATCH(ROW()-5,tblIssues[Alert Row],0)))</f>
        <v/>
      </c>
      <c r="C228" s="18" t="str">
        <f>IF($A228="","",INDEX(tblIssues[Role],MATCH(ROW()-5,tblIssues[Alert Row],0)))</f>
        <v/>
      </c>
      <c r="D228" s="25" t="str">
        <f>IF($A228="","",INDEX(tblIssues[Area],MATCH(ROW()-5,tblIssues[Alert Row],0)))</f>
        <v/>
      </c>
      <c r="E228" s="25" t="str">
        <f>IF($A228="","",INDEX(tblIssues[Item Name],MATCH(ROW()-5,tblIssues[Alert Row],0)))</f>
        <v/>
      </c>
      <c r="F228" s="98" t="str">
        <f>IF($A228="","",INDEX(tblIssues[Month],MATCH(ROW()-5,tblIssues[Alert Row],0)))</f>
        <v/>
      </c>
      <c r="G228" s="23" t="str">
        <f>IF($A228="","",INDEX(tblIssues[Units This Month (Staff/Item)],MATCH(ROW()-5,tblIssues[Alert Row],0)))</f>
        <v/>
      </c>
      <c r="H228" s="23" t="str">
        <f>IF($A228="","",INDEX(tblIssues[Monthly Quota],MATCH(ROW()-5,tblIssues[Alert Row],0)))</f>
        <v/>
      </c>
      <c r="I228" s="27" t="str">
        <f t="shared" si="6"/>
        <v/>
      </c>
      <c r="J228" s="31" t="str">
        <f t="shared" si="7"/>
        <v/>
      </c>
    </row>
    <row r="229" spans="1:10" x14ac:dyDescent="0.35">
      <c r="A229" s="18" t="str">
        <f>IFERROR(INDEX(tblIssues[Staff ID],MATCH(ROW()-5,tblIssues[Alert Row],0)),"")</f>
        <v/>
      </c>
      <c r="B229" s="18" t="str">
        <f>IF($A229="","",INDEX(tblIssues[Staff Name (pick)],MATCH(ROW()-5,tblIssues[Alert Row],0)))</f>
        <v/>
      </c>
      <c r="C229" s="18" t="str">
        <f>IF($A229="","",INDEX(tblIssues[Role],MATCH(ROW()-5,tblIssues[Alert Row],0)))</f>
        <v/>
      </c>
      <c r="D229" s="25" t="str">
        <f>IF($A229="","",INDEX(tblIssues[Area],MATCH(ROW()-5,tblIssues[Alert Row],0)))</f>
        <v/>
      </c>
      <c r="E229" s="25" t="str">
        <f>IF($A229="","",INDEX(tblIssues[Item Name],MATCH(ROW()-5,tblIssues[Alert Row],0)))</f>
        <v/>
      </c>
      <c r="F229" s="98" t="str">
        <f>IF($A229="","",INDEX(tblIssues[Month],MATCH(ROW()-5,tblIssues[Alert Row],0)))</f>
        <v/>
      </c>
      <c r="G229" s="23" t="str">
        <f>IF($A229="","",INDEX(tblIssues[Units This Month (Staff/Item)],MATCH(ROW()-5,tblIssues[Alert Row],0)))</f>
        <v/>
      </c>
      <c r="H229" s="23" t="str">
        <f>IF($A229="","",INDEX(tblIssues[Monthly Quota],MATCH(ROW()-5,tblIssues[Alert Row],0)))</f>
        <v/>
      </c>
      <c r="I229" s="27" t="str">
        <f t="shared" si="6"/>
        <v/>
      </c>
      <c r="J229" s="31" t="str">
        <f t="shared" si="7"/>
        <v/>
      </c>
    </row>
    <row r="230" spans="1:10" x14ac:dyDescent="0.35">
      <c r="A230" s="18" t="str">
        <f>IFERROR(INDEX(tblIssues[Staff ID],MATCH(ROW()-5,tblIssues[Alert Row],0)),"")</f>
        <v/>
      </c>
      <c r="B230" s="18" t="str">
        <f>IF($A230="","",INDEX(tblIssues[Staff Name (pick)],MATCH(ROW()-5,tblIssues[Alert Row],0)))</f>
        <v/>
      </c>
      <c r="C230" s="18" t="str">
        <f>IF($A230="","",INDEX(tblIssues[Role],MATCH(ROW()-5,tblIssues[Alert Row],0)))</f>
        <v/>
      </c>
      <c r="D230" s="25" t="str">
        <f>IF($A230="","",INDEX(tblIssues[Area],MATCH(ROW()-5,tblIssues[Alert Row],0)))</f>
        <v/>
      </c>
      <c r="E230" s="25" t="str">
        <f>IF($A230="","",INDEX(tblIssues[Item Name],MATCH(ROW()-5,tblIssues[Alert Row],0)))</f>
        <v/>
      </c>
      <c r="F230" s="98" t="str">
        <f>IF($A230="","",INDEX(tblIssues[Month],MATCH(ROW()-5,tblIssues[Alert Row],0)))</f>
        <v/>
      </c>
      <c r="G230" s="23" t="str">
        <f>IF($A230="","",INDEX(tblIssues[Units This Month (Staff/Item)],MATCH(ROW()-5,tblIssues[Alert Row],0)))</f>
        <v/>
      </c>
      <c r="H230" s="23" t="str">
        <f>IF($A230="","",INDEX(tblIssues[Monthly Quota],MATCH(ROW()-5,tblIssues[Alert Row],0)))</f>
        <v/>
      </c>
      <c r="I230" s="27" t="str">
        <f t="shared" si="6"/>
        <v/>
      </c>
      <c r="J230" s="31" t="str">
        <f t="shared" si="7"/>
        <v/>
      </c>
    </row>
    <row r="231" spans="1:10" x14ac:dyDescent="0.35">
      <c r="A231" s="18" t="str">
        <f>IFERROR(INDEX(tblIssues[Staff ID],MATCH(ROW()-5,tblIssues[Alert Row],0)),"")</f>
        <v/>
      </c>
      <c r="B231" s="18" t="str">
        <f>IF($A231="","",INDEX(tblIssues[Staff Name (pick)],MATCH(ROW()-5,tblIssues[Alert Row],0)))</f>
        <v/>
      </c>
      <c r="C231" s="18" t="str">
        <f>IF($A231="","",INDEX(tblIssues[Role],MATCH(ROW()-5,tblIssues[Alert Row],0)))</f>
        <v/>
      </c>
      <c r="D231" s="25" t="str">
        <f>IF($A231="","",INDEX(tblIssues[Area],MATCH(ROW()-5,tblIssues[Alert Row],0)))</f>
        <v/>
      </c>
      <c r="E231" s="25" t="str">
        <f>IF($A231="","",INDEX(tblIssues[Item Name],MATCH(ROW()-5,tblIssues[Alert Row],0)))</f>
        <v/>
      </c>
      <c r="F231" s="98" t="str">
        <f>IF($A231="","",INDEX(tblIssues[Month],MATCH(ROW()-5,tblIssues[Alert Row],0)))</f>
        <v/>
      </c>
      <c r="G231" s="23" t="str">
        <f>IF($A231="","",INDEX(tblIssues[Units This Month (Staff/Item)],MATCH(ROW()-5,tblIssues[Alert Row],0)))</f>
        <v/>
      </c>
      <c r="H231" s="23" t="str">
        <f>IF($A231="","",INDEX(tblIssues[Monthly Quota],MATCH(ROW()-5,tblIssues[Alert Row],0)))</f>
        <v/>
      </c>
      <c r="I231" s="27" t="str">
        <f t="shared" si="6"/>
        <v/>
      </c>
      <c r="J231" s="31" t="str">
        <f t="shared" si="7"/>
        <v/>
      </c>
    </row>
    <row r="232" spans="1:10" x14ac:dyDescent="0.35">
      <c r="A232" s="18" t="str">
        <f>IFERROR(INDEX(tblIssues[Staff ID],MATCH(ROW()-5,tblIssues[Alert Row],0)),"")</f>
        <v/>
      </c>
      <c r="B232" s="18" t="str">
        <f>IF($A232="","",INDEX(tblIssues[Staff Name (pick)],MATCH(ROW()-5,tblIssues[Alert Row],0)))</f>
        <v/>
      </c>
      <c r="C232" s="18" t="str">
        <f>IF($A232="","",INDEX(tblIssues[Role],MATCH(ROW()-5,tblIssues[Alert Row],0)))</f>
        <v/>
      </c>
      <c r="D232" s="25" t="str">
        <f>IF($A232="","",INDEX(tblIssues[Area],MATCH(ROW()-5,tblIssues[Alert Row],0)))</f>
        <v/>
      </c>
      <c r="E232" s="25" t="str">
        <f>IF($A232="","",INDEX(tblIssues[Item Name],MATCH(ROW()-5,tblIssues[Alert Row],0)))</f>
        <v/>
      </c>
      <c r="F232" s="98" t="str">
        <f>IF($A232="","",INDEX(tblIssues[Month],MATCH(ROW()-5,tblIssues[Alert Row],0)))</f>
        <v/>
      </c>
      <c r="G232" s="23" t="str">
        <f>IF($A232="","",INDEX(tblIssues[Units This Month (Staff/Item)],MATCH(ROW()-5,tblIssues[Alert Row],0)))</f>
        <v/>
      </c>
      <c r="H232" s="23" t="str">
        <f>IF($A232="","",INDEX(tblIssues[Monthly Quota],MATCH(ROW()-5,tblIssues[Alert Row],0)))</f>
        <v/>
      </c>
      <c r="I232" s="27" t="str">
        <f t="shared" si="6"/>
        <v/>
      </c>
      <c r="J232" s="31" t="str">
        <f t="shared" si="7"/>
        <v/>
      </c>
    </row>
    <row r="233" spans="1:10" x14ac:dyDescent="0.35">
      <c r="A233" s="18" t="str">
        <f>IFERROR(INDEX(tblIssues[Staff ID],MATCH(ROW()-5,tblIssues[Alert Row],0)),"")</f>
        <v/>
      </c>
      <c r="B233" s="18" t="str">
        <f>IF($A233="","",INDEX(tblIssues[Staff Name (pick)],MATCH(ROW()-5,tblIssues[Alert Row],0)))</f>
        <v/>
      </c>
      <c r="C233" s="18" t="str">
        <f>IF($A233="","",INDEX(tblIssues[Role],MATCH(ROW()-5,tblIssues[Alert Row],0)))</f>
        <v/>
      </c>
      <c r="D233" s="25" t="str">
        <f>IF($A233="","",INDEX(tblIssues[Area],MATCH(ROW()-5,tblIssues[Alert Row],0)))</f>
        <v/>
      </c>
      <c r="E233" s="25" t="str">
        <f>IF($A233="","",INDEX(tblIssues[Item Name],MATCH(ROW()-5,tblIssues[Alert Row],0)))</f>
        <v/>
      </c>
      <c r="F233" s="98" t="str">
        <f>IF($A233="","",INDEX(tblIssues[Month],MATCH(ROW()-5,tblIssues[Alert Row],0)))</f>
        <v/>
      </c>
      <c r="G233" s="23" t="str">
        <f>IF($A233="","",INDEX(tblIssues[Units This Month (Staff/Item)],MATCH(ROW()-5,tblIssues[Alert Row],0)))</f>
        <v/>
      </c>
      <c r="H233" s="23" t="str">
        <f>IF($A233="","",INDEX(tblIssues[Monthly Quota],MATCH(ROW()-5,tblIssues[Alert Row],0)))</f>
        <v/>
      </c>
      <c r="I233" s="27" t="str">
        <f t="shared" si="6"/>
        <v/>
      </c>
      <c r="J233" s="31" t="str">
        <f t="shared" si="7"/>
        <v/>
      </c>
    </row>
    <row r="234" spans="1:10" x14ac:dyDescent="0.35">
      <c r="A234" s="18" t="str">
        <f>IFERROR(INDEX(tblIssues[Staff ID],MATCH(ROW()-5,tblIssues[Alert Row],0)),"")</f>
        <v/>
      </c>
      <c r="B234" s="18" t="str">
        <f>IF($A234="","",INDEX(tblIssues[Staff Name (pick)],MATCH(ROW()-5,tblIssues[Alert Row],0)))</f>
        <v/>
      </c>
      <c r="C234" s="18" t="str">
        <f>IF($A234="","",INDEX(tblIssues[Role],MATCH(ROW()-5,tblIssues[Alert Row],0)))</f>
        <v/>
      </c>
      <c r="D234" s="25" t="str">
        <f>IF($A234="","",INDEX(tblIssues[Area],MATCH(ROW()-5,tblIssues[Alert Row],0)))</f>
        <v/>
      </c>
      <c r="E234" s="25" t="str">
        <f>IF($A234="","",INDEX(tblIssues[Item Name],MATCH(ROW()-5,tblIssues[Alert Row],0)))</f>
        <v/>
      </c>
      <c r="F234" s="98" t="str">
        <f>IF($A234="","",INDEX(tblIssues[Month],MATCH(ROW()-5,tblIssues[Alert Row],0)))</f>
        <v/>
      </c>
      <c r="G234" s="23" t="str">
        <f>IF($A234="","",INDEX(tblIssues[Units This Month (Staff/Item)],MATCH(ROW()-5,tblIssues[Alert Row],0)))</f>
        <v/>
      </c>
      <c r="H234" s="23" t="str">
        <f>IF($A234="","",INDEX(tblIssues[Monthly Quota],MATCH(ROW()-5,tblIssues[Alert Row],0)))</f>
        <v/>
      </c>
      <c r="I234" s="27" t="str">
        <f t="shared" si="6"/>
        <v/>
      </c>
      <c r="J234" s="31" t="str">
        <f t="shared" si="7"/>
        <v/>
      </c>
    </row>
    <row r="235" spans="1:10" x14ac:dyDescent="0.35">
      <c r="A235" s="18" t="str">
        <f>IFERROR(INDEX(tblIssues[Staff ID],MATCH(ROW()-5,tblIssues[Alert Row],0)),"")</f>
        <v/>
      </c>
      <c r="B235" s="18" t="str">
        <f>IF($A235="","",INDEX(tblIssues[Staff Name (pick)],MATCH(ROW()-5,tblIssues[Alert Row],0)))</f>
        <v/>
      </c>
      <c r="C235" s="18" t="str">
        <f>IF($A235="","",INDEX(tblIssues[Role],MATCH(ROW()-5,tblIssues[Alert Row],0)))</f>
        <v/>
      </c>
      <c r="D235" s="25" t="str">
        <f>IF($A235="","",INDEX(tblIssues[Area],MATCH(ROW()-5,tblIssues[Alert Row],0)))</f>
        <v/>
      </c>
      <c r="E235" s="25" t="str">
        <f>IF($A235="","",INDEX(tblIssues[Item Name],MATCH(ROW()-5,tblIssues[Alert Row],0)))</f>
        <v/>
      </c>
      <c r="F235" s="98" t="str">
        <f>IF($A235="","",INDEX(tblIssues[Month],MATCH(ROW()-5,tblIssues[Alert Row],0)))</f>
        <v/>
      </c>
      <c r="G235" s="23" t="str">
        <f>IF($A235="","",INDEX(tblIssues[Units This Month (Staff/Item)],MATCH(ROW()-5,tblIssues[Alert Row],0)))</f>
        <v/>
      </c>
      <c r="H235" s="23" t="str">
        <f>IF($A235="","",INDEX(tblIssues[Monthly Quota],MATCH(ROW()-5,tblIssues[Alert Row],0)))</f>
        <v/>
      </c>
      <c r="I235" s="27" t="str">
        <f t="shared" si="6"/>
        <v/>
      </c>
      <c r="J235" s="31" t="str">
        <f t="shared" si="7"/>
        <v/>
      </c>
    </row>
    <row r="236" spans="1:10" x14ac:dyDescent="0.35">
      <c r="A236" s="18" t="str">
        <f>IFERROR(INDEX(tblIssues[Staff ID],MATCH(ROW()-5,tblIssues[Alert Row],0)),"")</f>
        <v/>
      </c>
      <c r="B236" s="18" t="str">
        <f>IF($A236="","",INDEX(tblIssues[Staff Name (pick)],MATCH(ROW()-5,tblIssues[Alert Row],0)))</f>
        <v/>
      </c>
      <c r="C236" s="18" t="str">
        <f>IF($A236="","",INDEX(tblIssues[Role],MATCH(ROW()-5,tblIssues[Alert Row],0)))</f>
        <v/>
      </c>
      <c r="D236" s="25" t="str">
        <f>IF($A236="","",INDEX(tblIssues[Area],MATCH(ROW()-5,tblIssues[Alert Row],0)))</f>
        <v/>
      </c>
      <c r="E236" s="25" t="str">
        <f>IF($A236="","",INDEX(tblIssues[Item Name],MATCH(ROW()-5,tblIssues[Alert Row],0)))</f>
        <v/>
      </c>
      <c r="F236" s="98" t="str">
        <f>IF($A236="","",INDEX(tblIssues[Month],MATCH(ROW()-5,tblIssues[Alert Row],0)))</f>
        <v/>
      </c>
      <c r="G236" s="23" t="str">
        <f>IF($A236="","",INDEX(tblIssues[Units This Month (Staff/Item)],MATCH(ROW()-5,tblIssues[Alert Row],0)))</f>
        <v/>
      </c>
      <c r="H236" s="23" t="str">
        <f>IF($A236="","",INDEX(tblIssues[Monthly Quota],MATCH(ROW()-5,tblIssues[Alert Row],0)))</f>
        <v/>
      </c>
      <c r="I236" s="27" t="str">
        <f t="shared" si="6"/>
        <v/>
      </c>
      <c r="J236" s="31" t="str">
        <f t="shared" si="7"/>
        <v/>
      </c>
    </row>
    <row r="237" spans="1:10" x14ac:dyDescent="0.35">
      <c r="A237" s="18" t="str">
        <f>IFERROR(INDEX(tblIssues[Staff ID],MATCH(ROW()-5,tblIssues[Alert Row],0)),"")</f>
        <v/>
      </c>
      <c r="B237" s="18" t="str">
        <f>IF($A237="","",INDEX(tblIssues[Staff Name (pick)],MATCH(ROW()-5,tblIssues[Alert Row],0)))</f>
        <v/>
      </c>
      <c r="C237" s="18" t="str">
        <f>IF($A237="","",INDEX(tblIssues[Role],MATCH(ROW()-5,tblIssues[Alert Row],0)))</f>
        <v/>
      </c>
      <c r="D237" s="25" t="str">
        <f>IF($A237="","",INDEX(tblIssues[Area],MATCH(ROW()-5,tblIssues[Alert Row],0)))</f>
        <v/>
      </c>
      <c r="E237" s="25" t="str">
        <f>IF($A237="","",INDEX(tblIssues[Item Name],MATCH(ROW()-5,tblIssues[Alert Row],0)))</f>
        <v/>
      </c>
      <c r="F237" s="98" t="str">
        <f>IF($A237="","",INDEX(tblIssues[Month],MATCH(ROW()-5,tblIssues[Alert Row],0)))</f>
        <v/>
      </c>
      <c r="G237" s="23" t="str">
        <f>IF($A237="","",INDEX(tblIssues[Units This Month (Staff/Item)],MATCH(ROW()-5,tblIssues[Alert Row],0)))</f>
        <v/>
      </c>
      <c r="H237" s="23" t="str">
        <f>IF($A237="","",INDEX(tblIssues[Monthly Quota],MATCH(ROW()-5,tblIssues[Alert Row],0)))</f>
        <v/>
      </c>
      <c r="I237" s="27" t="str">
        <f t="shared" si="6"/>
        <v/>
      </c>
      <c r="J237" s="31" t="str">
        <f t="shared" si="7"/>
        <v/>
      </c>
    </row>
    <row r="238" spans="1:10" x14ac:dyDescent="0.35">
      <c r="A238" s="18" t="str">
        <f>IFERROR(INDEX(tblIssues[Staff ID],MATCH(ROW()-5,tblIssues[Alert Row],0)),"")</f>
        <v/>
      </c>
      <c r="B238" s="18" t="str">
        <f>IF($A238="","",INDEX(tblIssues[Staff Name (pick)],MATCH(ROW()-5,tblIssues[Alert Row],0)))</f>
        <v/>
      </c>
      <c r="C238" s="18" t="str">
        <f>IF($A238="","",INDEX(tblIssues[Role],MATCH(ROW()-5,tblIssues[Alert Row],0)))</f>
        <v/>
      </c>
      <c r="D238" s="25" t="str">
        <f>IF($A238="","",INDEX(tblIssues[Area],MATCH(ROW()-5,tblIssues[Alert Row],0)))</f>
        <v/>
      </c>
      <c r="E238" s="25" t="str">
        <f>IF($A238="","",INDEX(tblIssues[Item Name],MATCH(ROW()-5,tblIssues[Alert Row],0)))</f>
        <v/>
      </c>
      <c r="F238" s="98" t="str">
        <f>IF($A238="","",INDEX(tblIssues[Month],MATCH(ROW()-5,tblIssues[Alert Row],0)))</f>
        <v/>
      </c>
      <c r="G238" s="23" t="str">
        <f>IF($A238="","",INDEX(tblIssues[Units This Month (Staff/Item)],MATCH(ROW()-5,tblIssues[Alert Row],0)))</f>
        <v/>
      </c>
      <c r="H238" s="23" t="str">
        <f>IF($A238="","",INDEX(tblIssues[Monthly Quota],MATCH(ROW()-5,tblIssues[Alert Row],0)))</f>
        <v/>
      </c>
      <c r="I238" s="27" t="str">
        <f t="shared" si="6"/>
        <v/>
      </c>
      <c r="J238" s="31" t="str">
        <f t="shared" si="7"/>
        <v/>
      </c>
    </row>
    <row r="239" spans="1:10" x14ac:dyDescent="0.35">
      <c r="A239" s="18" t="str">
        <f>IFERROR(INDEX(tblIssues[Staff ID],MATCH(ROW()-5,tblIssues[Alert Row],0)),"")</f>
        <v/>
      </c>
      <c r="B239" s="18" t="str">
        <f>IF($A239="","",INDEX(tblIssues[Staff Name (pick)],MATCH(ROW()-5,tblIssues[Alert Row],0)))</f>
        <v/>
      </c>
      <c r="C239" s="18" t="str">
        <f>IF($A239="","",INDEX(tblIssues[Role],MATCH(ROW()-5,tblIssues[Alert Row],0)))</f>
        <v/>
      </c>
      <c r="D239" s="25" t="str">
        <f>IF($A239="","",INDEX(tblIssues[Area],MATCH(ROW()-5,tblIssues[Alert Row],0)))</f>
        <v/>
      </c>
      <c r="E239" s="25" t="str">
        <f>IF($A239="","",INDEX(tblIssues[Item Name],MATCH(ROW()-5,tblIssues[Alert Row],0)))</f>
        <v/>
      </c>
      <c r="F239" s="98" t="str">
        <f>IF($A239="","",INDEX(tblIssues[Month],MATCH(ROW()-5,tblIssues[Alert Row],0)))</f>
        <v/>
      </c>
      <c r="G239" s="23" t="str">
        <f>IF($A239="","",INDEX(tblIssues[Units This Month (Staff/Item)],MATCH(ROW()-5,tblIssues[Alert Row],0)))</f>
        <v/>
      </c>
      <c r="H239" s="23" t="str">
        <f>IF($A239="","",INDEX(tblIssues[Monthly Quota],MATCH(ROW()-5,tblIssues[Alert Row],0)))</f>
        <v/>
      </c>
      <c r="I239" s="27" t="str">
        <f t="shared" si="6"/>
        <v/>
      </c>
      <c r="J239" s="31" t="str">
        <f t="shared" si="7"/>
        <v/>
      </c>
    </row>
    <row r="240" spans="1:10" x14ac:dyDescent="0.35">
      <c r="A240" s="18" t="str">
        <f>IFERROR(INDEX(tblIssues[Staff ID],MATCH(ROW()-5,tblIssues[Alert Row],0)),"")</f>
        <v/>
      </c>
      <c r="B240" s="18" t="str">
        <f>IF($A240="","",INDEX(tblIssues[Staff Name (pick)],MATCH(ROW()-5,tblIssues[Alert Row],0)))</f>
        <v/>
      </c>
      <c r="C240" s="18" t="str">
        <f>IF($A240="","",INDEX(tblIssues[Role],MATCH(ROW()-5,tblIssues[Alert Row],0)))</f>
        <v/>
      </c>
      <c r="D240" s="25" t="str">
        <f>IF($A240="","",INDEX(tblIssues[Area],MATCH(ROW()-5,tblIssues[Alert Row],0)))</f>
        <v/>
      </c>
      <c r="E240" s="25" t="str">
        <f>IF($A240="","",INDEX(tblIssues[Item Name],MATCH(ROW()-5,tblIssues[Alert Row],0)))</f>
        <v/>
      </c>
      <c r="F240" s="98" t="str">
        <f>IF($A240="","",INDEX(tblIssues[Month],MATCH(ROW()-5,tblIssues[Alert Row],0)))</f>
        <v/>
      </c>
      <c r="G240" s="23" t="str">
        <f>IF($A240="","",INDEX(tblIssues[Units This Month (Staff/Item)],MATCH(ROW()-5,tblIssues[Alert Row],0)))</f>
        <v/>
      </c>
      <c r="H240" s="23" t="str">
        <f>IF($A240="","",INDEX(tblIssues[Monthly Quota],MATCH(ROW()-5,tblIssues[Alert Row],0)))</f>
        <v/>
      </c>
      <c r="I240" s="27" t="str">
        <f t="shared" si="6"/>
        <v/>
      </c>
      <c r="J240" s="31" t="str">
        <f t="shared" si="7"/>
        <v/>
      </c>
    </row>
    <row r="241" spans="1:10" x14ac:dyDescent="0.35">
      <c r="A241" s="18" t="str">
        <f>IFERROR(INDEX(tblIssues[Staff ID],MATCH(ROW()-5,tblIssues[Alert Row],0)),"")</f>
        <v/>
      </c>
      <c r="B241" s="18" t="str">
        <f>IF($A241="","",INDEX(tblIssues[Staff Name (pick)],MATCH(ROW()-5,tblIssues[Alert Row],0)))</f>
        <v/>
      </c>
      <c r="C241" s="18" t="str">
        <f>IF($A241="","",INDEX(tblIssues[Role],MATCH(ROW()-5,tblIssues[Alert Row],0)))</f>
        <v/>
      </c>
      <c r="D241" s="25" t="str">
        <f>IF($A241="","",INDEX(tblIssues[Area],MATCH(ROW()-5,tblIssues[Alert Row],0)))</f>
        <v/>
      </c>
      <c r="E241" s="25" t="str">
        <f>IF($A241="","",INDEX(tblIssues[Item Name],MATCH(ROW()-5,tblIssues[Alert Row],0)))</f>
        <v/>
      </c>
      <c r="F241" s="98" t="str">
        <f>IF($A241="","",INDEX(tblIssues[Month],MATCH(ROW()-5,tblIssues[Alert Row],0)))</f>
        <v/>
      </c>
      <c r="G241" s="23" t="str">
        <f>IF($A241="","",INDEX(tblIssues[Units This Month (Staff/Item)],MATCH(ROW()-5,tblIssues[Alert Row],0)))</f>
        <v/>
      </c>
      <c r="H241" s="23" t="str">
        <f>IF($A241="","",INDEX(tblIssues[Monthly Quota],MATCH(ROW()-5,tblIssues[Alert Row],0)))</f>
        <v/>
      </c>
      <c r="I241" s="27" t="str">
        <f t="shared" si="6"/>
        <v/>
      </c>
      <c r="J241" s="31" t="str">
        <f t="shared" si="7"/>
        <v/>
      </c>
    </row>
    <row r="242" spans="1:10" x14ac:dyDescent="0.35">
      <c r="A242" s="18" t="str">
        <f>IFERROR(INDEX(tblIssues[Staff ID],MATCH(ROW()-5,tblIssues[Alert Row],0)),"")</f>
        <v/>
      </c>
      <c r="B242" s="18" t="str">
        <f>IF($A242="","",INDEX(tblIssues[Staff Name (pick)],MATCH(ROW()-5,tblIssues[Alert Row],0)))</f>
        <v/>
      </c>
      <c r="C242" s="18" t="str">
        <f>IF($A242="","",INDEX(tblIssues[Role],MATCH(ROW()-5,tblIssues[Alert Row],0)))</f>
        <v/>
      </c>
      <c r="D242" s="25" t="str">
        <f>IF($A242="","",INDEX(tblIssues[Area],MATCH(ROW()-5,tblIssues[Alert Row],0)))</f>
        <v/>
      </c>
      <c r="E242" s="25" t="str">
        <f>IF($A242="","",INDEX(tblIssues[Item Name],MATCH(ROW()-5,tblIssues[Alert Row],0)))</f>
        <v/>
      </c>
      <c r="F242" s="98" t="str">
        <f>IF($A242="","",INDEX(tblIssues[Month],MATCH(ROW()-5,tblIssues[Alert Row],0)))</f>
        <v/>
      </c>
      <c r="G242" s="23" t="str">
        <f>IF($A242="","",INDEX(tblIssues[Units This Month (Staff/Item)],MATCH(ROW()-5,tblIssues[Alert Row],0)))</f>
        <v/>
      </c>
      <c r="H242" s="23" t="str">
        <f>IF($A242="","",INDEX(tblIssues[Monthly Quota],MATCH(ROW()-5,tblIssues[Alert Row],0)))</f>
        <v/>
      </c>
      <c r="I242" s="27" t="str">
        <f t="shared" si="6"/>
        <v/>
      </c>
      <c r="J242" s="31" t="str">
        <f t="shared" si="7"/>
        <v/>
      </c>
    </row>
    <row r="243" spans="1:10" x14ac:dyDescent="0.35">
      <c r="A243" s="18" t="str">
        <f>IFERROR(INDEX(tblIssues[Staff ID],MATCH(ROW()-5,tblIssues[Alert Row],0)),"")</f>
        <v/>
      </c>
      <c r="B243" s="18" t="str">
        <f>IF($A243="","",INDEX(tblIssues[Staff Name (pick)],MATCH(ROW()-5,tblIssues[Alert Row],0)))</f>
        <v/>
      </c>
      <c r="C243" s="18" t="str">
        <f>IF($A243="","",INDEX(tblIssues[Role],MATCH(ROW()-5,tblIssues[Alert Row],0)))</f>
        <v/>
      </c>
      <c r="D243" s="25" t="str">
        <f>IF($A243="","",INDEX(tblIssues[Area],MATCH(ROW()-5,tblIssues[Alert Row],0)))</f>
        <v/>
      </c>
      <c r="E243" s="25" t="str">
        <f>IF($A243="","",INDEX(tblIssues[Item Name],MATCH(ROW()-5,tblIssues[Alert Row],0)))</f>
        <v/>
      </c>
      <c r="F243" s="98" t="str">
        <f>IF($A243="","",INDEX(tblIssues[Month],MATCH(ROW()-5,tblIssues[Alert Row],0)))</f>
        <v/>
      </c>
      <c r="G243" s="23" t="str">
        <f>IF($A243="","",INDEX(tblIssues[Units This Month (Staff/Item)],MATCH(ROW()-5,tblIssues[Alert Row],0)))</f>
        <v/>
      </c>
      <c r="H243" s="23" t="str">
        <f>IF($A243="","",INDEX(tblIssues[Monthly Quota],MATCH(ROW()-5,tblIssues[Alert Row],0)))</f>
        <v/>
      </c>
      <c r="I243" s="27" t="str">
        <f t="shared" si="6"/>
        <v/>
      </c>
      <c r="J243" s="31" t="str">
        <f t="shared" si="7"/>
        <v/>
      </c>
    </row>
    <row r="244" spans="1:10" x14ac:dyDescent="0.35">
      <c r="A244" s="18" t="str">
        <f>IFERROR(INDEX(tblIssues[Staff ID],MATCH(ROW()-5,tblIssues[Alert Row],0)),"")</f>
        <v/>
      </c>
      <c r="B244" s="18" t="str">
        <f>IF($A244="","",INDEX(tblIssues[Staff Name (pick)],MATCH(ROW()-5,tblIssues[Alert Row],0)))</f>
        <v/>
      </c>
      <c r="C244" s="18" t="str">
        <f>IF($A244="","",INDEX(tblIssues[Role],MATCH(ROW()-5,tblIssues[Alert Row],0)))</f>
        <v/>
      </c>
      <c r="D244" s="25" t="str">
        <f>IF($A244="","",INDEX(tblIssues[Area],MATCH(ROW()-5,tblIssues[Alert Row],0)))</f>
        <v/>
      </c>
      <c r="E244" s="25" t="str">
        <f>IF($A244="","",INDEX(tblIssues[Item Name],MATCH(ROW()-5,tblIssues[Alert Row],0)))</f>
        <v/>
      </c>
      <c r="F244" s="98" t="str">
        <f>IF($A244="","",INDEX(tblIssues[Month],MATCH(ROW()-5,tblIssues[Alert Row],0)))</f>
        <v/>
      </c>
      <c r="G244" s="23" t="str">
        <f>IF($A244="","",INDEX(tblIssues[Units This Month (Staff/Item)],MATCH(ROW()-5,tblIssues[Alert Row],0)))</f>
        <v/>
      </c>
      <c r="H244" s="23" t="str">
        <f>IF($A244="","",INDEX(tblIssues[Monthly Quota],MATCH(ROW()-5,tblIssues[Alert Row],0)))</f>
        <v/>
      </c>
      <c r="I244" s="27" t="str">
        <f t="shared" si="6"/>
        <v/>
      </c>
      <c r="J244" s="31" t="str">
        <f t="shared" si="7"/>
        <v/>
      </c>
    </row>
    <row r="245" spans="1:10" x14ac:dyDescent="0.35">
      <c r="A245" s="18" t="str">
        <f>IFERROR(INDEX(tblIssues[Staff ID],MATCH(ROW()-5,tblIssues[Alert Row],0)),"")</f>
        <v/>
      </c>
      <c r="B245" s="18" t="str">
        <f>IF($A245="","",INDEX(tblIssues[Staff Name (pick)],MATCH(ROW()-5,tblIssues[Alert Row],0)))</f>
        <v/>
      </c>
      <c r="C245" s="18" t="str">
        <f>IF($A245="","",INDEX(tblIssues[Role],MATCH(ROW()-5,tblIssues[Alert Row],0)))</f>
        <v/>
      </c>
      <c r="D245" s="25" t="str">
        <f>IF($A245="","",INDEX(tblIssues[Area],MATCH(ROW()-5,tblIssues[Alert Row],0)))</f>
        <v/>
      </c>
      <c r="E245" s="25" t="str">
        <f>IF($A245="","",INDEX(tblIssues[Item Name],MATCH(ROW()-5,tblIssues[Alert Row],0)))</f>
        <v/>
      </c>
      <c r="F245" s="98" t="str">
        <f>IF($A245="","",INDEX(tblIssues[Month],MATCH(ROW()-5,tblIssues[Alert Row],0)))</f>
        <v/>
      </c>
      <c r="G245" s="23" t="str">
        <f>IF($A245="","",INDEX(tblIssues[Units This Month (Staff/Item)],MATCH(ROW()-5,tblIssues[Alert Row],0)))</f>
        <v/>
      </c>
      <c r="H245" s="23" t="str">
        <f>IF($A245="","",INDEX(tblIssues[Monthly Quota],MATCH(ROW()-5,tblIssues[Alert Row],0)))</f>
        <v/>
      </c>
      <c r="I245" s="27" t="str">
        <f t="shared" si="6"/>
        <v/>
      </c>
      <c r="J245" s="31" t="str">
        <f t="shared" si="7"/>
        <v/>
      </c>
    </row>
    <row r="246" spans="1:10" x14ac:dyDescent="0.35">
      <c r="A246" s="18" t="str">
        <f>IFERROR(INDEX(tblIssues[Staff ID],MATCH(ROW()-5,tblIssues[Alert Row],0)),"")</f>
        <v/>
      </c>
      <c r="B246" s="18" t="str">
        <f>IF($A246="","",INDEX(tblIssues[Staff Name (pick)],MATCH(ROW()-5,tblIssues[Alert Row],0)))</f>
        <v/>
      </c>
      <c r="C246" s="18" t="str">
        <f>IF($A246="","",INDEX(tblIssues[Role],MATCH(ROW()-5,tblIssues[Alert Row],0)))</f>
        <v/>
      </c>
      <c r="D246" s="25" t="str">
        <f>IF($A246="","",INDEX(tblIssues[Area],MATCH(ROW()-5,tblIssues[Alert Row],0)))</f>
        <v/>
      </c>
      <c r="E246" s="25" t="str">
        <f>IF($A246="","",INDEX(tblIssues[Item Name],MATCH(ROW()-5,tblIssues[Alert Row],0)))</f>
        <v/>
      </c>
      <c r="F246" s="98" t="str">
        <f>IF($A246="","",INDEX(tblIssues[Month],MATCH(ROW()-5,tblIssues[Alert Row],0)))</f>
        <v/>
      </c>
      <c r="G246" s="23" t="str">
        <f>IF($A246="","",INDEX(tblIssues[Units This Month (Staff/Item)],MATCH(ROW()-5,tblIssues[Alert Row],0)))</f>
        <v/>
      </c>
      <c r="H246" s="23" t="str">
        <f>IF($A246="","",INDEX(tblIssues[Monthly Quota],MATCH(ROW()-5,tblIssues[Alert Row],0)))</f>
        <v/>
      </c>
      <c r="I246" s="27" t="str">
        <f t="shared" si="6"/>
        <v/>
      </c>
      <c r="J246" s="31" t="str">
        <f t="shared" si="7"/>
        <v/>
      </c>
    </row>
    <row r="247" spans="1:10" x14ac:dyDescent="0.35">
      <c r="A247" s="18" t="str">
        <f>IFERROR(INDEX(tblIssues[Staff ID],MATCH(ROW()-5,tblIssues[Alert Row],0)),"")</f>
        <v/>
      </c>
      <c r="B247" s="18" t="str">
        <f>IF($A247="","",INDEX(tblIssues[Staff Name (pick)],MATCH(ROW()-5,tblIssues[Alert Row],0)))</f>
        <v/>
      </c>
      <c r="C247" s="18" t="str">
        <f>IF($A247="","",INDEX(tblIssues[Role],MATCH(ROW()-5,tblIssues[Alert Row],0)))</f>
        <v/>
      </c>
      <c r="D247" s="25" t="str">
        <f>IF($A247="","",INDEX(tblIssues[Area],MATCH(ROW()-5,tblIssues[Alert Row],0)))</f>
        <v/>
      </c>
      <c r="E247" s="25" t="str">
        <f>IF($A247="","",INDEX(tblIssues[Item Name],MATCH(ROW()-5,tblIssues[Alert Row],0)))</f>
        <v/>
      </c>
      <c r="F247" s="98" t="str">
        <f>IF($A247="","",INDEX(tblIssues[Month],MATCH(ROW()-5,tblIssues[Alert Row],0)))</f>
        <v/>
      </c>
      <c r="G247" s="23" t="str">
        <f>IF($A247="","",INDEX(tblIssues[Units This Month (Staff/Item)],MATCH(ROW()-5,tblIssues[Alert Row],0)))</f>
        <v/>
      </c>
      <c r="H247" s="23" t="str">
        <f>IF($A247="","",INDEX(tblIssues[Monthly Quota],MATCH(ROW()-5,tblIssues[Alert Row],0)))</f>
        <v/>
      </c>
      <c r="I247" s="27" t="str">
        <f t="shared" si="6"/>
        <v/>
      </c>
      <c r="J247" s="31" t="str">
        <f t="shared" si="7"/>
        <v/>
      </c>
    </row>
    <row r="248" spans="1:10" x14ac:dyDescent="0.35">
      <c r="A248" s="18" t="str">
        <f>IFERROR(INDEX(tblIssues[Staff ID],MATCH(ROW()-5,tblIssues[Alert Row],0)),"")</f>
        <v/>
      </c>
      <c r="B248" s="18" t="str">
        <f>IF($A248="","",INDEX(tblIssues[Staff Name (pick)],MATCH(ROW()-5,tblIssues[Alert Row],0)))</f>
        <v/>
      </c>
      <c r="C248" s="18" t="str">
        <f>IF($A248="","",INDEX(tblIssues[Role],MATCH(ROW()-5,tblIssues[Alert Row],0)))</f>
        <v/>
      </c>
      <c r="D248" s="25" t="str">
        <f>IF($A248="","",INDEX(tblIssues[Area],MATCH(ROW()-5,tblIssues[Alert Row],0)))</f>
        <v/>
      </c>
      <c r="E248" s="25" t="str">
        <f>IF($A248="","",INDEX(tblIssues[Item Name],MATCH(ROW()-5,tblIssues[Alert Row],0)))</f>
        <v/>
      </c>
      <c r="F248" s="98" t="str">
        <f>IF($A248="","",INDEX(tblIssues[Month],MATCH(ROW()-5,tblIssues[Alert Row],0)))</f>
        <v/>
      </c>
      <c r="G248" s="23" t="str">
        <f>IF($A248="","",INDEX(tblIssues[Units This Month (Staff/Item)],MATCH(ROW()-5,tblIssues[Alert Row],0)))</f>
        <v/>
      </c>
      <c r="H248" s="23" t="str">
        <f>IF($A248="","",INDEX(tblIssues[Monthly Quota],MATCH(ROW()-5,tblIssues[Alert Row],0)))</f>
        <v/>
      </c>
      <c r="I248" s="27" t="str">
        <f t="shared" si="6"/>
        <v/>
      </c>
      <c r="J248" s="31" t="str">
        <f t="shared" si="7"/>
        <v/>
      </c>
    </row>
    <row r="249" spans="1:10" x14ac:dyDescent="0.35">
      <c r="A249" s="18" t="str">
        <f>IFERROR(INDEX(tblIssues[Staff ID],MATCH(ROW()-5,tblIssues[Alert Row],0)),"")</f>
        <v/>
      </c>
      <c r="B249" s="18" t="str">
        <f>IF($A249="","",INDEX(tblIssues[Staff Name (pick)],MATCH(ROW()-5,tblIssues[Alert Row],0)))</f>
        <v/>
      </c>
      <c r="C249" s="18" t="str">
        <f>IF($A249="","",INDEX(tblIssues[Role],MATCH(ROW()-5,tblIssues[Alert Row],0)))</f>
        <v/>
      </c>
      <c r="D249" s="25" t="str">
        <f>IF($A249="","",INDEX(tblIssues[Area],MATCH(ROW()-5,tblIssues[Alert Row],0)))</f>
        <v/>
      </c>
      <c r="E249" s="25" t="str">
        <f>IF($A249="","",INDEX(tblIssues[Item Name],MATCH(ROW()-5,tblIssues[Alert Row],0)))</f>
        <v/>
      </c>
      <c r="F249" s="98" t="str">
        <f>IF($A249="","",INDEX(tblIssues[Month],MATCH(ROW()-5,tblIssues[Alert Row],0)))</f>
        <v/>
      </c>
      <c r="G249" s="23" t="str">
        <f>IF($A249="","",INDEX(tblIssues[Units This Month (Staff/Item)],MATCH(ROW()-5,tblIssues[Alert Row],0)))</f>
        <v/>
      </c>
      <c r="H249" s="23" t="str">
        <f>IF($A249="","",INDEX(tblIssues[Monthly Quota],MATCH(ROW()-5,tblIssues[Alert Row],0)))</f>
        <v/>
      </c>
      <c r="I249" s="27" t="str">
        <f t="shared" si="6"/>
        <v/>
      </c>
      <c r="J249" s="31" t="str">
        <f t="shared" si="7"/>
        <v/>
      </c>
    </row>
    <row r="250" spans="1:10" x14ac:dyDescent="0.35">
      <c r="A250" s="18" t="str">
        <f>IFERROR(INDEX(tblIssues[Staff ID],MATCH(ROW()-5,tblIssues[Alert Row],0)),"")</f>
        <v/>
      </c>
      <c r="B250" s="18" t="str">
        <f>IF($A250="","",INDEX(tblIssues[Staff Name (pick)],MATCH(ROW()-5,tblIssues[Alert Row],0)))</f>
        <v/>
      </c>
      <c r="C250" s="18" t="str">
        <f>IF($A250="","",INDEX(tblIssues[Role],MATCH(ROW()-5,tblIssues[Alert Row],0)))</f>
        <v/>
      </c>
      <c r="D250" s="25" t="str">
        <f>IF($A250="","",INDEX(tblIssues[Area],MATCH(ROW()-5,tblIssues[Alert Row],0)))</f>
        <v/>
      </c>
      <c r="E250" s="25" t="str">
        <f>IF($A250="","",INDEX(tblIssues[Item Name],MATCH(ROW()-5,tblIssues[Alert Row],0)))</f>
        <v/>
      </c>
      <c r="F250" s="98" t="str">
        <f>IF($A250="","",INDEX(tblIssues[Month],MATCH(ROW()-5,tblIssues[Alert Row],0)))</f>
        <v/>
      </c>
      <c r="G250" s="23" t="str">
        <f>IF($A250="","",INDEX(tblIssues[Units This Month (Staff/Item)],MATCH(ROW()-5,tblIssues[Alert Row],0)))</f>
        <v/>
      </c>
      <c r="H250" s="23" t="str">
        <f>IF($A250="","",INDEX(tblIssues[Monthly Quota],MATCH(ROW()-5,tblIssues[Alert Row],0)))</f>
        <v/>
      </c>
      <c r="I250" s="27" t="str">
        <f t="shared" si="6"/>
        <v/>
      </c>
      <c r="J250" s="31" t="str">
        <f t="shared" si="7"/>
        <v/>
      </c>
    </row>
    <row r="251" spans="1:10" x14ac:dyDescent="0.35">
      <c r="A251" s="18" t="str">
        <f>IFERROR(INDEX(tblIssues[Staff ID],MATCH(ROW()-5,tblIssues[Alert Row],0)),"")</f>
        <v/>
      </c>
      <c r="B251" s="18" t="str">
        <f>IF($A251="","",INDEX(tblIssues[Staff Name (pick)],MATCH(ROW()-5,tblIssues[Alert Row],0)))</f>
        <v/>
      </c>
      <c r="C251" s="18" t="str">
        <f>IF($A251="","",INDEX(tblIssues[Role],MATCH(ROW()-5,tblIssues[Alert Row],0)))</f>
        <v/>
      </c>
      <c r="D251" s="25" t="str">
        <f>IF($A251="","",INDEX(tblIssues[Area],MATCH(ROW()-5,tblIssues[Alert Row],0)))</f>
        <v/>
      </c>
      <c r="E251" s="25" t="str">
        <f>IF($A251="","",INDEX(tblIssues[Item Name],MATCH(ROW()-5,tblIssues[Alert Row],0)))</f>
        <v/>
      </c>
      <c r="F251" s="98" t="str">
        <f>IF($A251="","",INDEX(tblIssues[Month],MATCH(ROW()-5,tblIssues[Alert Row],0)))</f>
        <v/>
      </c>
      <c r="G251" s="23" t="str">
        <f>IF($A251="","",INDEX(tblIssues[Units This Month (Staff/Item)],MATCH(ROW()-5,tblIssues[Alert Row],0)))</f>
        <v/>
      </c>
      <c r="H251" s="23" t="str">
        <f>IF($A251="","",INDEX(tblIssues[Monthly Quota],MATCH(ROW()-5,tblIssues[Alert Row],0)))</f>
        <v/>
      </c>
      <c r="I251" s="27" t="str">
        <f t="shared" si="6"/>
        <v/>
      </c>
      <c r="J251" s="31" t="str">
        <f t="shared" si="7"/>
        <v/>
      </c>
    </row>
    <row r="252" spans="1:10" x14ac:dyDescent="0.35">
      <c r="A252" s="18" t="str">
        <f>IFERROR(INDEX(tblIssues[Staff ID],MATCH(ROW()-5,tblIssues[Alert Row],0)),"")</f>
        <v/>
      </c>
      <c r="B252" s="18" t="str">
        <f>IF($A252="","",INDEX(tblIssues[Staff Name (pick)],MATCH(ROW()-5,tblIssues[Alert Row],0)))</f>
        <v/>
      </c>
      <c r="C252" s="18" t="str">
        <f>IF($A252="","",INDEX(tblIssues[Role],MATCH(ROW()-5,tblIssues[Alert Row],0)))</f>
        <v/>
      </c>
      <c r="D252" s="25" t="str">
        <f>IF($A252="","",INDEX(tblIssues[Area],MATCH(ROW()-5,tblIssues[Alert Row],0)))</f>
        <v/>
      </c>
      <c r="E252" s="25" t="str">
        <f>IF($A252="","",INDEX(tblIssues[Item Name],MATCH(ROW()-5,tblIssues[Alert Row],0)))</f>
        <v/>
      </c>
      <c r="F252" s="98" t="str">
        <f>IF($A252="","",INDEX(tblIssues[Month],MATCH(ROW()-5,tblIssues[Alert Row],0)))</f>
        <v/>
      </c>
      <c r="G252" s="23" t="str">
        <f>IF($A252="","",INDEX(tblIssues[Units This Month (Staff/Item)],MATCH(ROW()-5,tblIssues[Alert Row],0)))</f>
        <v/>
      </c>
      <c r="H252" s="23" t="str">
        <f>IF($A252="","",INDEX(tblIssues[Monthly Quota],MATCH(ROW()-5,tblIssues[Alert Row],0)))</f>
        <v/>
      </c>
      <c r="I252" s="27" t="str">
        <f t="shared" si="6"/>
        <v/>
      </c>
      <c r="J252" s="31" t="str">
        <f t="shared" si="7"/>
        <v/>
      </c>
    </row>
    <row r="253" spans="1:10" x14ac:dyDescent="0.35">
      <c r="A253" s="18" t="str">
        <f>IFERROR(INDEX(tblIssues[Staff ID],MATCH(ROW()-5,tblIssues[Alert Row],0)),"")</f>
        <v/>
      </c>
      <c r="B253" s="18" t="str">
        <f>IF($A253="","",INDEX(tblIssues[Staff Name (pick)],MATCH(ROW()-5,tblIssues[Alert Row],0)))</f>
        <v/>
      </c>
      <c r="C253" s="18" t="str">
        <f>IF($A253="","",INDEX(tblIssues[Role],MATCH(ROW()-5,tblIssues[Alert Row],0)))</f>
        <v/>
      </c>
      <c r="D253" s="25" t="str">
        <f>IF($A253="","",INDEX(tblIssues[Area],MATCH(ROW()-5,tblIssues[Alert Row],0)))</f>
        <v/>
      </c>
      <c r="E253" s="25" t="str">
        <f>IF($A253="","",INDEX(tblIssues[Item Name],MATCH(ROW()-5,tblIssues[Alert Row],0)))</f>
        <v/>
      </c>
      <c r="F253" s="98" t="str">
        <f>IF($A253="","",INDEX(tblIssues[Month],MATCH(ROW()-5,tblIssues[Alert Row],0)))</f>
        <v/>
      </c>
      <c r="G253" s="23" t="str">
        <f>IF($A253="","",INDEX(tblIssues[Units This Month (Staff/Item)],MATCH(ROW()-5,tblIssues[Alert Row],0)))</f>
        <v/>
      </c>
      <c r="H253" s="23" t="str">
        <f>IF($A253="","",INDEX(tblIssues[Monthly Quota],MATCH(ROW()-5,tblIssues[Alert Row],0)))</f>
        <v/>
      </c>
      <c r="I253" s="27" t="str">
        <f t="shared" si="6"/>
        <v/>
      </c>
      <c r="J253" s="31" t="str">
        <f t="shared" si="7"/>
        <v/>
      </c>
    </row>
    <row r="254" spans="1:10" x14ac:dyDescent="0.35">
      <c r="A254" s="18" t="str">
        <f>IFERROR(INDEX(tblIssues[Staff ID],MATCH(ROW()-5,tblIssues[Alert Row],0)),"")</f>
        <v/>
      </c>
      <c r="B254" s="18" t="str">
        <f>IF($A254="","",INDEX(tblIssues[Staff Name (pick)],MATCH(ROW()-5,tblIssues[Alert Row],0)))</f>
        <v/>
      </c>
      <c r="C254" s="18" t="str">
        <f>IF($A254="","",INDEX(tblIssues[Role],MATCH(ROW()-5,tblIssues[Alert Row],0)))</f>
        <v/>
      </c>
      <c r="D254" s="25" t="str">
        <f>IF($A254="","",INDEX(tblIssues[Area],MATCH(ROW()-5,tblIssues[Alert Row],0)))</f>
        <v/>
      </c>
      <c r="E254" s="25" t="str">
        <f>IF($A254="","",INDEX(tblIssues[Item Name],MATCH(ROW()-5,tblIssues[Alert Row],0)))</f>
        <v/>
      </c>
      <c r="F254" s="98" t="str">
        <f>IF($A254="","",INDEX(tblIssues[Month],MATCH(ROW()-5,tblIssues[Alert Row],0)))</f>
        <v/>
      </c>
      <c r="G254" s="23" t="str">
        <f>IF($A254="","",INDEX(tblIssues[Units This Month (Staff/Item)],MATCH(ROW()-5,tblIssues[Alert Row],0)))</f>
        <v/>
      </c>
      <c r="H254" s="23" t="str">
        <f>IF($A254="","",INDEX(tblIssues[Monthly Quota],MATCH(ROW()-5,tblIssues[Alert Row],0)))</f>
        <v/>
      </c>
      <c r="I254" s="27" t="str">
        <f t="shared" si="6"/>
        <v/>
      </c>
      <c r="J254" s="31" t="str">
        <f t="shared" si="7"/>
        <v/>
      </c>
    </row>
    <row r="255" spans="1:10" x14ac:dyDescent="0.35">
      <c r="A255" s="18" t="str">
        <f>IFERROR(INDEX(tblIssues[Staff ID],MATCH(ROW()-5,tblIssues[Alert Row],0)),"")</f>
        <v/>
      </c>
      <c r="B255" s="18" t="str">
        <f>IF($A255="","",INDEX(tblIssues[Staff Name (pick)],MATCH(ROW()-5,tblIssues[Alert Row],0)))</f>
        <v/>
      </c>
      <c r="C255" s="18" t="str">
        <f>IF($A255="","",INDEX(tblIssues[Role],MATCH(ROW()-5,tblIssues[Alert Row],0)))</f>
        <v/>
      </c>
      <c r="D255" s="25" t="str">
        <f>IF($A255="","",INDEX(tblIssues[Area],MATCH(ROW()-5,tblIssues[Alert Row],0)))</f>
        <v/>
      </c>
      <c r="E255" s="25" t="str">
        <f>IF($A255="","",INDEX(tblIssues[Item Name],MATCH(ROW()-5,tblIssues[Alert Row],0)))</f>
        <v/>
      </c>
      <c r="F255" s="98" t="str">
        <f>IF($A255="","",INDEX(tblIssues[Month],MATCH(ROW()-5,tblIssues[Alert Row],0)))</f>
        <v/>
      </c>
      <c r="G255" s="23" t="str">
        <f>IF($A255="","",INDEX(tblIssues[Units This Month (Staff/Item)],MATCH(ROW()-5,tblIssues[Alert Row],0)))</f>
        <v/>
      </c>
      <c r="H255" s="23" t="str">
        <f>IF($A255="","",INDEX(tblIssues[Monthly Quota],MATCH(ROW()-5,tblIssues[Alert Row],0)))</f>
        <v/>
      </c>
      <c r="I255" s="27" t="str">
        <f t="shared" si="6"/>
        <v/>
      </c>
      <c r="J255" s="31" t="str">
        <f t="shared" si="7"/>
        <v/>
      </c>
    </row>
    <row r="256" spans="1:10" x14ac:dyDescent="0.35">
      <c r="A256" s="18" t="str">
        <f>IFERROR(INDEX(tblIssues[Staff ID],MATCH(ROW()-5,tblIssues[Alert Row],0)),"")</f>
        <v/>
      </c>
      <c r="B256" s="18" t="str">
        <f>IF($A256="","",INDEX(tblIssues[Staff Name (pick)],MATCH(ROW()-5,tblIssues[Alert Row],0)))</f>
        <v/>
      </c>
      <c r="C256" s="18" t="str">
        <f>IF($A256="","",INDEX(tblIssues[Role],MATCH(ROW()-5,tblIssues[Alert Row],0)))</f>
        <v/>
      </c>
      <c r="D256" s="25" t="str">
        <f>IF($A256="","",INDEX(tblIssues[Area],MATCH(ROW()-5,tblIssues[Alert Row],0)))</f>
        <v/>
      </c>
      <c r="E256" s="25" t="str">
        <f>IF($A256="","",INDEX(tblIssues[Item Name],MATCH(ROW()-5,tblIssues[Alert Row],0)))</f>
        <v/>
      </c>
      <c r="F256" s="98" t="str">
        <f>IF($A256="","",INDEX(tblIssues[Month],MATCH(ROW()-5,tblIssues[Alert Row],0)))</f>
        <v/>
      </c>
      <c r="G256" s="23" t="str">
        <f>IF($A256="","",INDEX(tblIssues[Units This Month (Staff/Item)],MATCH(ROW()-5,tblIssues[Alert Row],0)))</f>
        <v/>
      </c>
      <c r="H256" s="23" t="str">
        <f>IF($A256="","",INDEX(tblIssues[Monthly Quota],MATCH(ROW()-5,tblIssues[Alert Row],0)))</f>
        <v/>
      </c>
      <c r="I256" s="27" t="str">
        <f t="shared" si="6"/>
        <v/>
      </c>
      <c r="J256" s="31" t="str">
        <f t="shared" si="7"/>
        <v/>
      </c>
    </row>
    <row r="257" spans="1:10" x14ac:dyDescent="0.35">
      <c r="A257" s="18" t="str">
        <f>IFERROR(INDEX(tblIssues[Staff ID],MATCH(ROW()-5,tblIssues[Alert Row],0)),"")</f>
        <v/>
      </c>
      <c r="B257" s="18" t="str">
        <f>IF($A257="","",INDEX(tblIssues[Staff Name (pick)],MATCH(ROW()-5,tblIssues[Alert Row],0)))</f>
        <v/>
      </c>
      <c r="C257" s="18" t="str">
        <f>IF($A257="","",INDEX(tblIssues[Role],MATCH(ROW()-5,tblIssues[Alert Row],0)))</f>
        <v/>
      </c>
      <c r="D257" s="25" t="str">
        <f>IF($A257="","",INDEX(tblIssues[Area],MATCH(ROW()-5,tblIssues[Alert Row],0)))</f>
        <v/>
      </c>
      <c r="E257" s="25" t="str">
        <f>IF($A257="","",INDEX(tblIssues[Item Name],MATCH(ROW()-5,tblIssues[Alert Row],0)))</f>
        <v/>
      </c>
      <c r="F257" s="98" t="str">
        <f>IF($A257="","",INDEX(tblIssues[Month],MATCH(ROW()-5,tblIssues[Alert Row],0)))</f>
        <v/>
      </c>
      <c r="G257" s="23" t="str">
        <f>IF($A257="","",INDEX(tblIssues[Units This Month (Staff/Item)],MATCH(ROW()-5,tblIssues[Alert Row],0)))</f>
        <v/>
      </c>
      <c r="H257" s="23" t="str">
        <f>IF($A257="","",INDEX(tblIssues[Monthly Quota],MATCH(ROW()-5,tblIssues[Alert Row],0)))</f>
        <v/>
      </c>
      <c r="I257" s="27" t="str">
        <f t="shared" si="6"/>
        <v/>
      </c>
      <c r="J257" s="31" t="str">
        <f t="shared" si="7"/>
        <v/>
      </c>
    </row>
    <row r="258" spans="1:10" x14ac:dyDescent="0.35">
      <c r="A258" s="18" t="str">
        <f>IFERROR(INDEX(tblIssues[Staff ID],MATCH(ROW()-5,tblIssues[Alert Row],0)),"")</f>
        <v/>
      </c>
      <c r="B258" s="18" t="str">
        <f>IF($A258="","",INDEX(tblIssues[Staff Name (pick)],MATCH(ROW()-5,tblIssues[Alert Row],0)))</f>
        <v/>
      </c>
      <c r="C258" s="18" t="str">
        <f>IF($A258="","",INDEX(tblIssues[Role],MATCH(ROW()-5,tblIssues[Alert Row],0)))</f>
        <v/>
      </c>
      <c r="D258" s="25" t="str">
        <f>IF($A258="","",INDEX(tblIssues[Area],MATCH(ROW()-5,tblIssues[Alert Row],0)))</f>
        <v/>
      </c>
      <c r="E258" s="25" t="str">
        <f>IF($A258="","",INDEX(tblIssues[Item Name],MATCH(ROW()-5,tblIssues[Alert Row],0)))</f>
        <v/>
      </c>
      <c r="F258" s="98" t="str">
        <f>IF($A258="","",INDEX(tblIssues[Month],MATCH(ROW()-5,tblIssues[Alert Row],0)))</f>
        <v/>
      </c>
      <c r="G258" s="23" t="str">
        <f>IF($A258="","",INDEX(tblIssues[Units This Month (Staff/Item)],MATCH(ROW()-5,tblIssues[Alert Row],0)))</f>
        <v/>
      </c>
      <c r="H258" s="23" t="str">
        <f>IF($A258="","",INDEX(tblIssues[Monthly Quota],MATCH(ROW()-5,tblIssues[Alert Row],0)))</f>
        <v/>
      </c>
      <c r="I258" s="27" t="str">
        <f t="shared" si="6"/>
        <v/>
      </c>
      <c r="J258" s="31" t="str">
        <f t="shared" si="7"/>
        <v/>
      </c>
    </row>
    <row r="259" spans="1:10" x14ac:dyDescent="0.35">
      <c r="A259" s="18" t="str">
        <f>IFERROR(INDEX(tblIssues[Staff ID],MATCH(ROW()-5,tblIssues[Alert Row],0)),"")</f>
        <v/>
      </c>
      <c r="B259" s="18" t="str">
        <f>IF($A259="","",INDEX(tblIssues[Staff Name (pick)],MATCH(ROW()-5,tblIssues[Alert Row],0)))</f>
        <v/>
      </c>
      <c r="C259" s="18" t="str">
        <f>IF($A259="","",INDEX(tblIssues[Role],MATCH(ROW()-5,tblIssues[Alert Row],0)))</f>
        <v/>
      </c>
      <c r="D259" s="25" t="str">
        <f>IF($A259="","",INDEX(tblIssues[Area],MATCH(ROW()-5,tblIssues[Alert Row],0)))</f>
        <v/>
      </c>
      <c r="E259" s="25" t="str">
        <f>IF($A259="","",INDEX(tblIssues[Item Name],MATCH(ROW()-5,tblIssues[Alert Row],0)))</f>
        <v/>
      </c>
      <c r="F259" s="98" t="str">
        <f>IF($A259="","",INDEX(tblIssues[Month],MATCH(ROW()-5,tblIssues[Alert Row],0)))</f>
        <v/>
      </c>
      <c r="G259" s="23" t="str">
        <f>IF($A259="","",INDEX(tblIssues[Units This Month (Staff/Item)],MATCH(ROW()-5,tblIssues[Alert Row],0)))</f>
        <v/>
      </c>
      <c r="H259" s="23" t="str">
        <f>IF($A259="","",INDEX(tblIssues[Monthly Quota],MATCH(ROW()-5,tblIssues[Alert Row],0)))</f>
        <v/>
      </c>
      <c r="I259" s="27" t="str">
        <f t="shared" si="6"/>
        <v/>
      </c>
      <c r="J259" s="31" t="str">
        <f t="shared" si="7"/>
        <v/>
      </c>
    </row>
    <row r="260" spans="1:10" x14ac:dyDescent="0.35">
      <c r="A260" s="18" t="str">
        <f>IFERROR(INDEX(tblIssues[Staff ID],MATCH(ROW()-5,tblIssues[Alert Row],0)),"")</f>
        <v/>
      </c>
      <c r="B260" s="18" t="str">
        <f>IF($A260="","",INDEX(tblIssues[Staff Name (pick)],MATCH(ROW()-5,tblIssues[Alert Row],0)))</f>
        <v/>
      </c>
      <c r="C260" s="18" t="str">
        <f>IF($A260="","",INDEX(tblIssues[Role],MATCH(ROW()-5,tblIssues[Alert Row],0)))</f>
        <v/>
      </c>
      <c r="D260" s="25" t="str">
        <f>IF($A260="","",INDEX(tblIssues[Area],MATCH(ROW()-5,tblIssues[Alert Row],0)))</f>
        <v/>
      </c>
      <c r="E260" s="25" t="str">
        <f>IF($A260="","",INDEX(tblIssues[Item Name],MATCH(ROW()-5,tblIssues[Alert Row],0)))</f>
        <v/>
      </c>
      <c r="F260" s="98" t="str">
        <f>IF($A260="","",INDEX(tblIssues[Month],MATCH(ROW()-5,tblIssues[Alert Row],0)))</f>
        <v/>
      </c>
      <c r="G260" s="23" t="str">
        <f>IF($A260="","",INDEX(tblIssues[Units This Month (Staff/Item)],MATCH(ROW()-5,tblIssues[Alert Row],0)))</f>
        <v/>
      </c>
      <c r="H260" s="23" t="str">
        <f>IF($A260="","",INDEX(tblIssues[Monthly Quota],MATCH(ROW()-5,tblIssues[Alert Row],0)))</f>
        <v/>
      </c>
      <c r="I260" s="27" t="str">
        <f t="shared" si="6"/>
        <v/>
      </c>
      <c r="J260" s="31" t="str">
        <f t="shared" si="7"/>
        <v/>
      </c>
    </row>
    <row r="261" spans="1:10" x14ac:dyDescent="0.35">
      <c r="A261" s="18" t="str">
        <f>IFERROR(INDEX(tblIssues[Staff ID],MATCH(ROW()-5,tblIssues[Alert Row],0)),"")</f>
        <v/>
      </c>
      <c r="B261" s="18" t="str">
        <f>IF($A261="","",INDEX(tblIssues[Staff Name (pick)],MATCH(ROW()-5,tblIssues[Alert Row],0)))</f>
        <v/>
      </c>
      <c r="C261" s="18" t="str">
        <f>IF($A261="","",INDEX(tblIssues[Role],MATCH(ROW()-5,tblIssues[Alert Row],0)))</f>
        <v/>
      </c>
      <c r="D261" s="25" t="str">
        <f>IF($A261="","",INDEX(tblIssues[Area],MATCH(ROW()-5,tblIssues[Alert Row],0)))</f>
        <v/>
      </c>
      <c r="E261" s="25" t="str">
        <f>IF($A261="","",INDEX(tblIssues[Item Name],MATCH(ROW()-5,tblIssues[Alert Row],0)))</f>
        <v/>
      </c>
      <c r="F261" s="98" t="str">
        <f>IF($A261="","",INDEX(tblIssues[Month],MATCH(ROW()-5,tblIssues[Alert Row],0)))</f>
        <v/>
      </c>
      <c r="G261" s="23" t="str">
        <f>IF($A261="","",INDEX(tblIssues[Units This Month (Staff/Item)],MATCH(ROW()-5,tblIssues[Alert Row],0)))</f>
        <v/>
      </c>
      <c r="H261" s="23" t="str">
        <f>IF($A261="","",INDEX(tblIssues[Monthly Quota],MATCH(ROW()-5,tblIssues[Alert Row],0)))</f>
        <v/>
      </c>
      <c r="I261" s="27" t="str">
        <f t="shared" si="6"/>
        <v/>
      </c>
      <c r="J261" s="31" t="str">
        <f t="shared" si="7"/>
        <v/>
      </c>
    </row>
    <row r="262" spans="1:10" x14ac:dyDescent="0.35">
      <c r="A262" s="18" t="str">
        <f>IFERROR(INDEX(tblIssues[Staff ID],MATCH(ROW()-5,tblIssues[Alert Row],0)),"")</f>
        <v/>
      </c>
      <c r="B262" s="18" t="str">
        <f>IF($A262="","",INDEX(tblIssues[Staff Name (pick)],MATCH(ROW()-5,tblIssues[Alert Row],0)))</f>
        <v/>
      </c>
      <c r="C262" s="18" t="str">
        <f>IF($A262="","",INDEX(tblIssues[Role],MATCH(ROW()-5,tblIssues[Alert Row],0)))</f>
        <v/>
      </c>
      <c r="D262" s="25" t="str">
        <f>IF($A262="","",INDEX(tblIssues[Area],MATCH(ROW()-5,tblIssues[Alert Row],0)))</f>
        <v/>
      </c>
      <c r="E262" s="25" t="str">
        <f>IF($A262="","",INDEX(tblIssues[Item Name],MATCH(ROW()-5,tblIssues[Alert Row],0)))</f>
        <v/>
      </c>
      <c r="F262" s="98" t="str">
        <f>IF($A262="","",INDEX(tblIssues[Month],MATCH(ROW()-5,tblIssues[Alert Row],0)))</f>
        <v/>
      </c>
      <c r="G262" s="23" t="str">
        <f>IF($A262="","",INDEX(tblIssues[Units This Month (Staff/Item)],MATCH(ROW()-5,tblIssues[Alert Row],0)))</f>
        <v/>
      </c>
      <c r="H262" s="23" t="str">
        <f>IF($A262="","",INDEX(tblIssues[Monthly Quota],MATCH(ROW()-5,tblIssues[Alert Row],0)))</f>
        <v/>
      </c>
      <c r="I262" s="27" t="str">
        <f t="shared" ref="I262:I325" si="8">IF($A262="","",$G262-$H262)</f>
        <v/>
      </c>
      <c r="J262" s="31" t="str">
        <f t="shared" ref="J262:J325" si="9">IF($A262="","","⚠ OVER QUOTA")</f>
        <v/>
      </c>
    </row>
    <row r="263" spans="1:10" x14ac:dyDescent="0.35">
      <c r="A263" s="18" t="str">
        <f>IFERROR(INDEX(tblIssues[Staff ID],MATCH(ROW()-5,tblIssues[Alert Row],0)),"")</f>
        <v/>
      </c>
      <c r="B263" s="18" t="str">
        <f>IF($A263="","",INDEX(tblIssues[Staff Name (pick)],MATCH(ROW()-5,tblIssues[Alert Row],0)))</f>
        <v/>
      </c>
      <c r="C263" s="18" t="str">
        <f>IF($A263="","",INDEX(tblIssues[Role],MATCH(ROW()-5,tblIssues[Alert Row],0)))</f>
        <v/>
      </c>
      <c r="D263" s="25" t="str">
        <f>IF($A263="","",INDEX(tblIssues[Area],MATCH(ROW()-5,tblIssues[Alert Row],0)))</f>
        <v/>
      </c>
      <c r="E263" s="25" t="str">
        <f>IF($A263="","",INDEX(tblIssues[Item Name],MATCH(ROW()-5,tblIssues[Alert Row],0)))</f>
        <v/>
      </c>
      <c r="F263" s="98" t="str">
        <f>IF($A263="","",INDEX(tblIssues[Month],MATCH(ROW()-5,tblIssues[Alert Row],0)))</f>
        <v/>
      </c>
      <c r="G263" s="23" t="str">
        <f>IF($A263="","",INDEX(tblIssues[Units This Month (Staff/Item)],MATCH(ROW()-5,tblIssues[Alert Row],0)))</f>
        <v/>
      </c>
      <c r="H263" s="23" t="str">
        <f>IF($A263="","",INDEX(tblIssues[Monthly Quota],MATCH(ROW()-5,tblIssues[Alert Row],0)))</f>
        <v/>
      </c>
      <c r="I263" s="27" t="str">
        <f t="shared" si="8"/>
        <v/>
      </c>
      <c r="J263" s="31" t="str">
        <f t="shared" si="9"/>
        <v/>
      </c>
    </row>
    <row r="264" spans="1:10" x14ac:dyDescent="0.35">
      <c r="A264" s="18" t="str">
        <f>IFERROR(INDEX(tblIssues[Staff ID],MATCH(ROW()-5,tblIssues[Alert Row],0)),"")</f>
        <v/>
      </c>
      <c r="B264" s="18" t="str">
        <f>IF($A264="","",INDEX(tblIssues[Staff Name (pick)],MATCH(ROW()-5,tblIssues[Alert Row],0)))</f>
        <v/>
      </c>
      <c r="C264" s="18" t="str">
        <f>IF($A264="","",INDEX(tblIssues[Role],MATCH(ROW()-5,tblIssues[Alert Row],0)))</f>
        <v/>
      </c>
      <c r="D264" s="25" t="str">
        <f>IF($A264="","",INDEX(tblIssues[Area],MATCH(ROW()-5,tblIssues[Alert Row],0)))</f>
        <v/>
      </c>
      <c r="E264" s="25" t="str">
        <f>IF($A264="","",INDEX(tblIssues[Item Name],MATCH(ROW()-5,tblIssues[Alert Row],0)))</f>
        <v/>
      </c>
      <c r="F264" s="98" t="str">
        <f>IF($A264="","",INDEX(tblIssues[Month],MATCH(ROW()-5,tblIssues[Alert Row],0)))</f>
        <v/>
      </c>
      <c r="G264" s="23" t="str">
        <f>IF($A264="","",INDEX(tblIssues[Units This Month (Staff/Item)],MATCH(ROW()-5,tblIssues[Alert Row],0)))</f>
        <v/>
      </c>
      <c r="H264" s="23" t="str">
        <f>IF($A264="","",INDEX(tblIssues[Monthly Quota],MATCH(ROW()-5,tblIssues[Alert Row],0)))</f>
        <v/>
      </c>
      <c r="I264" s="27" t="str">
        <f t="shared" si="8"/>
        <v/>
      </c>
      <c r="J264" s="31" t="str">
        <f t="shared" si="9"/>
        <v/>
      </c>
    </row>
    <row r="265" spans="1:10" x14ac:dyDescent="0.35">
      <c r="A265" s="18" t="str">
        <f>IFERROR(INDEX(tblIssues[Staff ID],MATCH(ROW()-5,tblIssues[Alert Row],0)),"")</f>
        <v/>
      </c>
      <c r="B265" s="18" t="str">
        <f>IF($A265="","",INDEX(tblIssues[Staff Name (pick)],MATCH(ROW()-5,tblIssues[Alert Row],0)))</f>
        <v/>
      </c>
      <c r="C265" s="18" t="str">
        <f>IF($A265="","",INDEX(tblIssues[Role],MATCH(ROW()-5,tblIssues[Alert Row],0)))</f>
        <v/>
      </c>
      <c r="D265" s="25" t="str">
        <f>IF($A265="","",INDEX(tblIssues[Area],MATCH(ROW()-5,tblIssues[Alert Row],0)))</f>
        <v/>
      </c>
      <c r="E265" s="25" t="str">
        <f>IF($A265="","",INDEX(tblIssues[Item Name],MATCH(ROW()-5,tblIssues[Alert Row],0)))</f>
        <v/>
      </c>
      <c r="F265" s="98" t="str">
        <f>IF($A265="","",INDEX(tblIssues[Month],MATCH(ROW()-5,tblIssues[Alert Row],0)))</f>
        <v/>
      </c>
      <c r="G265" s="23" t="str">
        <f>IF($A265="","",INDEX(tblIssues[Units This Month (Staff/Item)],MATCH(ROW()-5,tblIssues[Alert Row],0)))</f>
        <v/>
      </c>
      <c r="H265" s="23" t="str">
        <f>IF($A265="","",INDEX(tblIssues[Monthly Quota],MATCH(ROW()-5,tblIssues[Alert Row],0)))</f>
        <v/>
      </c>
      <c r="I265" s="27" t="str">
        <f t="shared" si="8"/>
        <v/>
      </c>
      <c r="J265" s="31" t="str">
        <f t="shared" si="9"/>
        <v/>
      </c>
    </row>
    <row r="266" spans="1:10" x14ac:dyDescent="0.35">
      <c r="A266" s="18" t="str">
        <f>IFERROR(INDEX(tblIssues[Staff ID],MATCH(ROW()-5,tblIssues[Alert Row],0)),"")</f>
        <v/>
      </c>
      <c r="B266" s="18" t="str">
        <f>IF($A266="","",INDEX(tblIssues[Staff Name (pick)],MATCH(ROW()-5,tblIssues[Alert Row],0)))</f>
        <v/>
      </c>
      <c r="C266" s="18" t="str">
        <f>IF($A266="","",INDEX(tblIssues[Role],MATCH(ROW()-5,tblIssues[Alert Row],0)))</f>
        <v/>
      </c>
      <c r="D266" s="25" t="str">
        <f>IF($A266="","",INDEX(tblIssues[Area],MATCH(ROW()-5,tblIssues[Alert Row],0)))</f>
        <v/>
      </c>
      <c r="E266" s="25" t="str">
        <f>IF($A266="","",INDEX(tblIssues[Item Name],MATCH(ROW()-5,tblIssues[Alert Row],0)))</f>
        <v/>
      </c>
      <c r="F266" s="98" t="str">
        <f>IF($A266="","",INDEX(tblIssues[Month],MATCH(ROW()-5,tblIssues[Alert Row],0)))</f>
        <v/>
      </c>
      <c r="G266" s="23" t="str">
        <f>IF($A266="","",INDEX(tblIssues[Units This Month (Staff/Item)],MATCH(ROW()-5,tblIssues[Alert Row],0)))</f>
        <v/>
      </c>
      <c r="H266" s="23" t="str">
        <f>IF($A266="","",INDEX(tblIssues[Monthly Quota],MATCH(ROW()-5,tblIssues[Alert Row],0)))</f>
        <v/>
      </c>
      <c r="I266" s="27" t="str">
        <f t="shared" si="8"/>
        <v/>
      </c>
      <c r="J266" s="31" t="str">
        <f t="shared" si="9"/>
        <v/>
      </c>
    </row>
    <row r="267" spans="1:10" x14ac:dyDescent="0.35">
      <c r="A267" s="18" t="str">
        <f>IFERROR(INDEX(tblIssues[Staff ID],MATCH(ROW()-5,tblIssues[Alert Row],0)),"")</f>
        <v/>
      </c>
      <c r="B267" s="18" t="str">
        <f>IF($A267="","",INDEX(tblIssues[Staff Name (pick)],MATCH(ROW()-5,tblIssues[Alert Row],0)))</f>
        <v/>
      </c>
      <c r="C267" s="18" t="str">
        <f>IF($A267="","",INDEX(tblIssues[Role],MATCH(ROW()-5,tblIssues[Alert Row],0)))</f>
        <v/>
      </c>
      <c r="D267" s="25" t="str">
        <f>IF($A267="","",INDEX(tblIssues[Area],MATCH(ROW()-5,tblIssues[Alert Row],0)))</f>
        <v/>
      </c>
      <c r="E267" s="25" t="str">
        <f>IF($A267="","",INDEX(tblIssues[Item Name],MATCH(ROW()-5,tblIssues[Alert Row],0)))</f>
        <v/>
      </c>
      <c r="F267" s="98" t="str">
        <f>IF($A267="","",INDEX(tblIssues[Month],MATCH(ROW()-5,tblIssues[Alert Row],0)))</f>
        <v/>
      </c>
      <c r="G267" s="23" t="str">
        <f>IF($A267="","",INDEX(tblIssues[Units This Month (Staff/Item)],MATCH(ROW()-5,tblIssues[Alert Row],0)))</f>
        <v/>
      </c>
      <c r="H267" s="23" t="str">
        <f>IF($A267="","",INDEX(tblIssues[Monthly Quota],MATCH(ROW()-5,tblIssues[Alert Row],0)))</f>
        <v/>
      </c>
      <c r="I267" s="27" t="str">
        <f t="shared" si="8"/>
        <v/>
      </c>
      <c r="J267" s="31" t="str">
        <f t="shared" si="9"/>
        <v/>
      </c>
    </row>
    <row r="268" spans="1:10" x14ac:dyDescent="0.35">
      <c r="A268" s="18" t="str">
        <f>IFERROR(INDEX(tblIssues[Staff ID],MATCH(ROW()-5,tblIssues[Alert Row],0)),"")</f>
        <v/>
      </c>
      <c r="B268" s="18" t="str">
        <f>IF($A268="","",INDEX(tblIssues[Staff Name (pick)],MATCH(ROW()-5,tblIssues[Alert Row],0)))</f>
        <v/>
      </c>
      <c r="C268" s="18" t="str">
        <f>IF($A268="","",INDEX(tblIssues[Role],MATCH(ROW()-5,tblIssues[Alert Row],0)))</f>
        <v/>
      </c>
      <c r="D268" s="25" t="str">
        <f>IF($A268="","",INDEX(tblIssues[Area],MATCH(ROW()-5,tblIssues[Alert Row],0)))</f>
        <v/>
      </c>
      <c r="E268" s="25" t="str">
        <f>IF($A268="","",INDEX(tblIssues[Item Name],MATCH(ROW()-5,tblIssues[Alert Row],0)))</f>
        <v/>
      </c>
      <c r="F268" s="98" t="str">
        <f>IF($A268="","",INDEX(tblIssues[Month],MATCH(ROW()-5,tblIssues[Alert Row],0)))</f>
        <v/>
      </c>
      <c r="G268" s="23" t="str">
        <f>IF($A268="","",INDEX(tblIssues[Units This Month (Staff/Item)],MATCH(ROW()-5,tblIssues[Alert Row],0)))</f>
        <v/>
      </c>
      <c r="H268" s="23" t="str">
        <f>IF($A268="","",INDEX(tblIssues[Monthly Quota],MATCH(ROW()-5,tblIssues[Alert Row],0)))</f>
        <v/>
      </c>
      <c r="I268" s="27" t="str">
        <f t="shared" si="8"/>
        <v/>
      </c>
      <c r="J268" s="31" t="str">
        <f t="shared" si="9"/>
        <v/>
      </c>
    </row>
    <row r="269" spans="1:10" x14ac:dyDescent="0.35">
      <c r="A269" s="18" t="str">
        <f>IFERROR(INDEX(tblIssues[Staff ID],MATCH(ROW()-5,tblIssues[Alert Row],0)),"")</f>
        <v/>
      </c>
      <c r="B269" s="18" t="str">
        <f>IF($A269="","",INDEX(tblIssues[Staff Name (pick)],MATCH(ROW()-5,tblIssues[Alert Row],0)))</f>
        <v/>
      </c>
      <c r="C269" s="18" t="str">
        <f>IF($A269="","",INDEX(tblIssues[Role],MATCH(ROW()-5,tblIssues[Alert Row],0)))</f>
        <v/>
      </c>
      <c r="D269" s="25" t="str">
        <f>IF($A269="","",INDEX(tblIssues[Area],MATCH(ROW()-5,tblIssues[Alert Row],0)))</f>
        <v/>
      </c>
      <c r="E269" s="25" t="str">
        <f>IF($A269="","",INDEX(tblIssues[Item Name],MATCH(ROW()-5,tblIssues[Alert Row],0)))</f>
        <v/>
      </c>
      <c r="F269" s="98" t="str">
        <f>IF($A269="","",INDEX(tblIssues[Month],MATCH(ROW()-5,tblIssues[Alert Row],0)))</f>
        <v/>
      </c>
      <c r="G269" s="23" t="str">
        <f>IF($A269="","",INDEX(tblIssues[Units This Month (Staff/Item)],MATCH(ROW()-5,tblIssues[Alert Row],0)))</f>
        <v/>
      </c>
      <c r="H269" s="23" t="str">
        <f>IF($A269="","",INDEX(tblIssues[Monthly Quota],MATCH(ROW()-5,tblIssues[Alert Row],0)))</f>
        <v/>
      </c>
      <c r="I269" s="27" t="str">
        <f t="shared" si="8"/>
        <v/>
      </c>
      <c r="J269" s="31" t="str">
        <f t="shared" si="9"/>
        <v/>
      </c>
    </row>
    <row r="270" spans="1:10" x14ac:dyDescent="0.35">
      <c r="A270" s="18" t="str">
        <f>IFERROR(INDEX(tblIssues[Staff ID],MATCH(ROW()-5,tblIssues[Alert Row],0)),"")</f>
        <v/>
      </c>
      <c r="B270" s="18" t="str">
        <f>IF($A270="","",INDEX(tblIssues[Staff Name (pick)],MATCH(ROW()-5,tblIssues[Alert Row],0)))</f>
        <v/>
      </c>
      <c r="C270" s="18" t="str">
        <f>IF($A270="","",INDEX(tblIssues[Role],MATCH(ROW()-5,tblIssues[Alert Row],0)))</f>
        <v/>
      </c>
      <c r="D270" s="25" t="str">
        <f>IF($A270="","",INDEX(tblIssues[Area],MATCH(ROW()-5,tblIssues[Alert Row],0)))</f>
        <v/>
      </c>
      <c r="E270" s="25" t="str">
        <f>IF($A270="","",INDEX(tblIssues[Item Name],MATCH(ROW()-5,tblIssues[Alert Row],0)))</f>
        <v/>
      </c>
      <c r="F270" s="98" t="str">
        <f>IF($A270="","",INDEX(tblIssues[Month],MATCH(ROW()-5,tblIssues[Alert Row],0)))</f>
        <v/>
      </c>
      <c r="G270" s="23" t="str">
        <f>IF($A270="","",INDEX(tblIssues[Units This Month (Staff/Item)],MATCH(ROW()-5,tblIssues[Alert Row],0)))</f>
        <v/>
      </c>
      <c r="H270" s="23" t="str">
        <f>IF($A270="","",INDEX(tblIssues[Monthly Quota],MATCH(ROW()-5,tblIssues[Alert Row],0)))</f>
        <v/>
      </c>
      <c r="I270" s="27" t="str">
        <f t="shared" si="8"/>
        <v/>
      </c>
      <c r="J270" s="31" t="str">
        <f t="shared" si="9"/>
        <v/>
      </c>
    </row>
    <row r="271" spans="1:10" x14ac:dyDescent="0.35">
      <c r="A271" s="18" t="str">
        <f>IFERROR(INDEX(tblIssues[Staff ID],MATCH(ROW()-5,tblIssues[Alert Row],0)),"")</f>
        <v/>
      </c>
      <c r="B271" s="18" t="str">
        <f>IF($A271="","",INDEX(tblIssues[Staff Name (pick)],MATCH(ROW()-5,tblIssues[Alert Row],0)))</f>
        <v/>
      </c>
      <c r="C271" s="18" t="str">
        <f>IF($A271="","",INDEX(tblIssues[Role],MATCH(ROW()-5,tblIssues[Alert Row],0)))</f>
        <v/>
      </c>
      <c r="D271" s="25" t="str">
        <f>IF($A271="","",INDEX(tblIssues[Area],MATCH(ROW()-5,tblIssues[Alert Row],0)))</f>
        <v/>
      </c>
      <c r="E271" s="25" t="str">
        <f>IF($A271="","",INDEX(tblIssues[Item Name],MATCH(ROW()-5,tblIssues[Alert Row],0)))</f>
        <v/>
      </c>
      <c r="F271" s="98" t="str">
        <f>IF($A271="","",INDEX(tblIssues[Month],MATCH(ROW()-5,tblIssues[Alert Row],0)))</f>
        <v/>
      </c>
      <c r="G271" s="23" t="str">
        <f>IF($A271="","",INDEX(tblIssues[Units This Month (Staff/Item)],MATCH(ROW()-5,tblIssues[Alert Row],0)))</f>
        <v/>
      </c>
      <c r="H271" s="23" t="str">
        <f>IF($A271="","",INDEX(tblIssues[Monthly Quota],MATCH(ROW()-5,tblIssues[Alert Row],0)))</f>
        <v/>
      </c>
      <c r="I271" s="27" t="str">
        <f t="shared" si="8"/>
        <v/>
      </c>
      <c r="J271" s="31" t="str">
        <f t="shared" si="9"/>
        <v/>
      </c>
    </row>
    <row r="272" spans="1:10" x14ac:dyDescent="0.35">
      <c r="A272" s="18" t="str">
        <f>IFERROR(INDEX(tblIssues[Staff ID],MATCH(ROW()-5,tblIssues[Alert Row],0)),"")</f>
        <v/>
      </c>
      <c r="B272" s="18" t="str">
        <f>IF($A272="","",INDEX(tblIssues[Staff Name (pick)],MATCH(ROW()-5,tblIssues[Alert Row],0)))</f>
        <v/>
      </c>
      <c r="C272" s="18" t="str">
        <f>IF($A272="","",INDEX(tblIssues[Role],MATCH(ROW()-5,tblIssues[Alert Row],0)))</f>
        <v/>
      </c>
      <c r="D272" s="25" t="str">
        <f>IF($A272="","",INDEX(tblIssues[Area],MATCH(ROW()-5,tblIssues[Alert Row],0)))</f>
        <v/>
      </c>
      <c r="E272" s="25" t="str">
        <f>IF($A272="","",INDEX(tblIssues[Item Name],MATCH(ROW()-5,tblIssues[Alert Row],0)))</f>
        <v/>
      </c>
      <c r="F272" s="98" t="str">
        <f>IF($A272="","",INDEX(tblIssues[Month],MATCH(ROW()-5,tblIssues[Alert Row],0)))</f>
        <v/>
      </c>
      <c r="G272" s="23" t="str">
        <f>IF($A272="","",INDEX(tblIssues[Units This Month (Staff/Item)],MATCH(ROW()-5,tblIssues[Alert Row],0)))</f>
        <v/>
      </c>
      <c r="H272" s="23" t="str">
        <f>IF($A272="","",INDEX(tblIssues[Monthly Quota],MATCH(ROW()-5,tblIssues[Alert Row],0)))</f>
        <v/>
      </c>
      <c r="I272" s="27" t="str">
        <f t="shared" si="8"/>
        <v/>
      </c>
      <c r="J272" s="31" t="str">
        <f t="shared" si="9"/>
        <v/>
      </c>
    </row>
    <row r="273" spans="1:10" x14ac:dyDescent="0.35">
      <c r="A273" s="18" t="str">
        <f>IFERROR(INDEX(tblIssues[Staff ID],MATCH(ROW()-5,tblIssues[Alert Row],0)),"")</f>
        <v/>
      </c>
      <c r="B273" s="18" t="str">
        <f>IF($A273="","",INDEX(tblIssues[Staff Name (pick)],MATCH(ROW()-5,tblIssues[Alert Row],0)))</f>
        <v/>
      </c>
      <c r="C273" s="18" t="str">
        <f>IF($A273="","",INDEX(tblIssues[Role],MATCH(ROW()-5,tblIssues[Alert Row],0)))</f>
        <v/>
      </c>
      <c r="D273" s="25" t="str">
        <f>IF($A273="","",INDEX(tblIssues[Area],MATCH(ROW()-5,tblIssues[Alert Row],0)))</f>
        <v/>
      </c>
      <c r="E273" s="25" t="str">
        <f>IF($A273="","",INDEX(tblIssues[Item Name],MATCH(ROW()-5,tblIssues[Alert Row],0)))</f>
        <v/>
      </c>
      <c r="F273" s="98" t="str">
        <f>IF($A273="","",INDEX(tblIssues[Month],MATCH(ROW()-5,tblIssues[Alert Row],0)))</f>
        <v/>
      </c>
      <c r="G273" s="23" t="str">
        <f>IF($A273="","",INDEX(tblIssues[Units This Month (Staff/Item)],MATCH(ROW()-5,tblIssues[Alert Row],0)))</f>
        <v/>
      </c>
      <c r="H273" s="23" t="str">
        <f>IF($A273="","",INDEX(tblIssues[Monthly Quota],MATCH(ROW()-5,tblIssues[Alert Row],0)))</f>
        <v/>
      </c>
      <c r="I273" s="27" t="str">
        <f t="shared" si="8"/>
        <v/>
      </c>
      <c r="J273" s="31" t="str">
        <f t="shared" si="9"/>
        <v/>
      </c>
    </row>
    <row r="274" spans="1:10" x14ac:dyDescent="0.35">
      <c r="A274" s="18" t="str">
        <f>IFERROR(INDEX(tblIssues[Staff ID],MATCH(ROW()-5,tblIssues[Alert Row],0)),"")</f>
        <v/>
      </c>
      <c r="B274" s="18" t="str">
        <f>IF($A274="","",INDEX(tblIssues[Staff Name (pick)],MATCH(ROW()-5,tblIssues[Alert Row],0)))</f>
        <v/>
      </c>
      <c r="C274" s="18" t="str">
        <f>IF($A274="","",INDEX(tblIssues[Role],MATCH(ROW()-5,tblIssues[Alert Row],0)))</f>
        <v/>
      </c>
      <c r="D274" s="25" t="str">
        <f>IF($A274="","",INDEX(tblIssues[Area],MATCH(ROW()-5,tblIssues[Alert Row],0)))</f>
        <v/>
      </c>
      <c r="E274" s="25" t="str">
        <f>IF($A274="","",INDEX(tblIssues[Item Name],MATCH(ROW()-5,tblIssues[Alert Row],0)))</f>
        <v/>
      </c>
      <c r="F274" s="98" t="str">
        <f>IF($A274="","",INDEX(tblIssues[Month],MATCH(ROW()-5,tblIssues[Alert Row],0)))</f>
        <v/>
      </c>
      <c r="G274" s="23" t="str">
        <f>IF($A274="","",INDEX(tblIssues[Units This Month (Staff/Item)],MATCH(ROW()-5,tblIssues[Alert Row],0)))</f>
        <v/>
      </c>
      <c r="H274" s="23" t="str">
        <f>IF($A274="","",INDEX(tblIssues[Monthly Quota],MATCH(ROW()-5,tblIssues[Alert Row],0)))</f>
        <v/>
      </c>
      <c r="I274" s="27" t="str">
        <f t="shared" si="8"/>
        <v/>
      </c>
      <c r="J274" s="31" t="str">
        <f t="shared" si="9"/>
        <v/>
      </c>
    </row>
    <row r="275" spans="1:10" x14ac:dyDescent="0.35">
      <c r="A275" s="18" t="str">
        <f>IFERROR(INDEX(tblIssues[Staff ID],MATCH(ROW()-5,tblIssues[Alert Row],0)),"")</f>
        <v/>
      </c>
      <c r="B275" s="18" t="str">
        <f>IF($A275="","",INDEX(tblIssues[Staff Name (pick)],MATCH(ROW()-5,tblIssues[Alert Row],0)))</f>
        <v/>
      </c>
      <c r="C275" s="18" t="str">
        <f>IF($A275="","",INDEX(tblIssues[Role],MATCH(ROW()-5,tblIssues[Alert Row],0)))</f>
        <v/>
      </c>
      <c r="D275" s="25" t="str">
        <f>IF($A275="","",INDEX(tblIssues[Area],MATCH(ROW()-5,tblIssues[Alert Row],0)))</f>
        <v/>
      </c>
      <c r="E275" s="25" t="str">
        <f>IF($A275="","",INDEX(tblIssues[Item Name],MATCH(ROW()-5,tblIssues[Alert Row],0)))</f>
        <v/>
      </c>
      <c r="F275" s="98" t="str">
        <f>IF($A275="","",INDEX(tblIssues[Month],MATCH(ROW()-5,tblIssues[Alert Row],0)))</f>
        <v/>
      </c>
      <c r="G275" s="23" t="str">
        <f>IF($A275="","",INDEX(tblIssues[Units This Month (Staff/Item)],MATCH(ROW()-5,tblIssues[Alert Row],0)))</f>
        <v/>
      </c>
      <c r="H275" s="23" t="str">
        <f>IF($A275="","",INDEX(tblIssues[Monthly Quota],MATCH(ROW()-5,tblIssues[Alert Row],0)))</f>
        <v/>
      </c>
      <c r="I275" s="27" t="str">
        <f t="shared" si="8"/>
        <v/>
      </c>
      <c r="J275" s="31" t="str">
        <f t="shared" si="9"/>
        <v/>
      </c>
    </row>
    <row r="276" spans="1:10" x14ac:dyDescent="0.35">
      <c r="A276" s="18" t="str">
        <f>IFERROR(INDEX(tblIssues[Staff ID],MATCH(ROW()-5,tblIssues[Alert Row],0)),"")</f>
        <v/>
      </c>
      <c r="B276" s="18" t="str">
        <f>IF($A276="","",INDEX(tblIssues[Staff Name (pick)],MATCH(ROW()-5,tblIssues[Alert Row],0)))</f>
        <v/>
      </c>
      <c r="C276" s="18" t="str">
        <f>IF($A276="","",INDEX(tblIssues[Role],MATCH(ROW()-5,tblIssues[Alert Row],0)))</f>
        <v/>
      </c>
      <c r="D276" s="25" t="str">
        <f>IF($A276="","",INDEX(tblIssues[Area],MATCH(ROW()-5,tblIssues[Alert Row],0)))</f>
        <v/>
      </c>
      <c r="E276" s="25" t="str">
        <f>IF($A276="","",INDEX(tblIssues[Item Name],MATCH(ROW()-5,tblIssues[Alert Row],0)))</f>
        <v/>
      </c>
      <c r="F276" s="98" t="str">
        <f>IF($A276="","",INDEX(tblIssues[Month],MATCH(ROW()-5,tblIssues[Alert Row],0)))</f>
        <v/>
      </c>
      <c r="G276" s="23" t="str">
        <f>IF($A276="","",INDEX(tblIssues[Units This Month (Staff/Item)],MATCH(ROW()-5,tblIssues[Alert Row],0)))</f>
        <v/>
      </c>
      <c r="H276" s="23" t="str">
        <f>IF($A276="","",INDEX(tblIssues[Monthly Quota],MATCH(ROW()-5,tblIssues[Alert Row],0)))</f>
        <v/>
      </c>
      <c r="I276" s="27" t="str">
        <f t="shared" si="8"/>
        <v/>
      </c>
      <c r="J276" s="31" t="str">
        <f t="shared" si="9"/>
        <v/>
      </c>
    </row>
    <row r="277" spans="1:10" x14ac:dyDescent="0.35">
      <c r="A277" s="18" t="str">
        <f>IFERROR(INDEX(tblIssues[Staff ID],MATCH(ROW()-5,tblIssues[Alert Row],0)),"")</f>
        <v/>
      </c>
      <c r="B277" s="18" t="str">
        <f>IF($A277="","",INDEX(tblIssues[Staff Name (pick)],MATCH(ROW()-5,tblIssues[Alert Row],0)))</f>
        <v/>
      </c>
      <c r="C277" s="18" t="str">
        <f>IF($A277="","",INDEX(tblIssues[Role],MATCH(ROW()-5,tblIssues[Alert Row],0)))</f>
        <v/>
      </c>
      <c r="D277" s="25" t="str">
        <f>IF($A277="","",INDEX(tblIssues[Area],MATCH(ROW()-5,tblIssues[Alert Row],0)))</f>
        <v/>
      </c>
      <c r="E277" s="25" t="str">
        <f>IF($A277="","",INDEX(tblIssues[Item Name],MATCH(ROW()-5,tblIssues[Alert Row],0)))</f>
        <v/>
      </c>
      <c r="F277" s="98" t="str">
        <f>IF($A277="","",INDEX(tblIssues[Month],MATCH(ROW()-5,tblIssues[Alert Row],0)))</f>
        <v/>
      </c>
      <c r="G277" s="23" t="str">
        <f>IF($A277="","",INDEX(tblIssues[Units This Month (Staff/Item)],MATCH(ROW()-5,tblIssues[Alert Row],0)))</f>
        <v/>
      </c>
      <c r="H277" s="23" t="str">
        <f>IF($A277="","",INDEX(tblIssues[Monthly Quota],MATCH(ROW()-5,tblIssues[Alert Row],0)))</f>
        <v/>
      </c>
      <c r="I277" s="27" t="str">
        <f t="shared" si="8"/>
        <v/>
      </c>
      <c r="J277" s="31" t="str">
        <f t="shared" si="9"/>
        <v/>
      </c>
    </row>
    <row r="278" spans="1:10" x14ac:dyDescent="0.35">
      <c r="A278" s="18" t="str">
        <f>IFERROR(INDEX(tblIssues[Staff ID],MATCH(ROW()-5,tblIssues[Alert Row],0)),"")</f>
        <v/>
      </c>
      <c r="B278" s="18" t="str">
        <f>IF($A278="","",INDEX(tblIssues[Staff Name (pick)],MATCH(ROW()-5,tblIssues[Alert Row],0)))</f>
        <v/>
      </c>
      <c r="C278" s="18" t="str">
        <f>IF($A278="","",INDEX(tblIssues[Role],MATCH(ROW()-5,tblIssues[Alert Row],0)))</f>
        <v/>
      </c>
      <c r="D278" s="25" t="str">
        <f>IF($A278="","",INDEX(tblIssues[Area],MATCH(ROW()-5,tblIssues[Alert Row],0)))</f>
        <v/>
      </c>
      <c r="E278" s="25" t="str">
        <f>IF($A278="","",INDEX(tblIssues[Item Name],MATCH(ROW()-5,tblIssues[Alert Row],0)))</f>
        <v/>
      </c>
      <c r="F278" s="98" t="str">
        <f>IF($A278="","",INDEX(tblIssues[Month],MATCH(ROW()-5,tblIssues[Alert Row],0)))</f>
        <v/>
      </c>
      <c r="G278" s="23" t="str">
        <f>IF($A278="","",INDEX(tblIssues[Units This Month (Staff/Item)],MATCH(ROW()-5,tblIssues[Alert Row],0)))</f>
        <v/>
      </c>
      <c r="H278" s="23" t="str">
        <f>IF($A278="","",INDEX(tblIssues[Monthly Quota],MATCH(ROW()-5,tblIssues[Alert Row],0)))</f>
        <v/>
      </c>
      <c r="I278" s="27" t="str">
        <f t="shared" si="8"/>
        <v/>
      </c>
      <c r="J278" s="31" t="str">
        <f t="shared" si="9"/>
        <v/>
      </c>
    </row>
    <row r="279" spans="1:10" x14ac:dyDescent="0.35">
      <c r="A279" s="18" t="str">
        <f>IFERROR(INDEX(tblIssues[Staff ID],MATCH(ROW()-5,tblIssues[Alert Row],0)),"")</f>
        <v/>
      </c>
      <c r="B279" s="18" t="str">
        <f>IF($A279="","",INDEX(tblIssues[Staff Name (pick)],MATCH(ROW()-5,tblIssues[Alert Row],0)))</f>
        <v/>
      </c>
      <c r="C279" s="18" t="str">
        <f>IF($A279="","",INDEX(tblIssues[Role],MATCH(ROW()-5,tblIssues[Alert Row],0)))</f>
        <v/>
      </c>
      <c r="D279" s="25" t="str">
        <f>IF($A279="","",INDEX(tblIssues[Area],MATCH(ROW()-5,tblIssues[Alert Row],0)))</f>
        <v/>
      </c>
      <c r="E279" s="25" t="str">
        <f>IF($A279="","",INDEX(tblIssues[Item Name],MATCH(ROW()-5,tblIssues[Alert Row],0)))</f>
        <v/>
      </c>
      <c r="F279" s="98" t="str">
        <f>IF($A279="","",INDEX(tblIssues[Month],MATCH(ROW()-5,tblIssues[Alert Row],0)))</f>
        <v/>
      </c>
      <c r="G279" s="23" t="str">
        <f>IF($A279="","",INDEX(tblIssues[Units This Month (Staff/Item)],MATCH(ROW()-5,tblIssues[Alert Row],0)))</f>
        <v/>
      </c>
      <c r="H279" s="23" t="str">
        <f>IF($A279="","",INDEX(tblIssues[Monthly Quota],MATCH(ROW()-5,tblIssues[Alert Row],0)))</f>
        <v/>
      </c>
      <c r="I279" s="27" t="str">
        <f t="shared" si="8"/>
        <v/>
      </c>
      <c r="J279" s="31" t="str">
        <f t="shared" si="9"/>
        <v/>
      </c>
    </row>
    <row r="280" spans="1:10" x14ac:dyDescent="0.35">
      <c r="A280" s="18" t="str">
        <f>IFERROR(INDEX(tblIssues[Staff ID],MATCH(ROW()-5,tblIssues[Alert Row],0)),"")</f>
        <v/>
      </c>
      <c r="B280" s="18" t="str">
        <f>IF($A280="","",INDEX(tblIssues[Staff Name (pick)],MATCH(ROW()-5,tblIssues[Alert Row],0)))</f>
        <v/>
      </c>
      <c r="C280" s="18" t="str">
        <f>IF($A280="","",INDEX(tblIssues[Role],MATCH(ROW()-5,tblIssues[Alert Row],0)))</f>
        <v/>
      </c>
      <c r="D280" s="25" t="str">
        <f>IF($A280="","",INDEX(tblIssues[Area],MATCH(ROW()-5,tblIssues[Alert Row],0)))</f>
        <v/>
      </c>
      <c r="E280" s="25" t="str">
        <f>IF($A280="","",INDEX(tblIssues[Item Name],MATCH(ROW()-5,tblIssues[Alert Row],0)))</f>
        <v/>
      </c>
      <c r="F280" s="98" t="str">
        <f>IF($A280="","",INDEX(tblIssues[Month],MATCH(ROW()-5,tblIssues[Alert Row],0)))</f>
        <v/>
      </c>
      <c r="G280" s="23" t="str">
        <f>IF($A280="","",INDEX(tblIssues[Units This Month (Staff/Item)],MATCH(ROW()-5,tblIssues[Alert Row],0)))</f>
        <v/>
      </c>
      <c r="H280" s="23" t="str">
        <f>IF($A280="","",INDEX(tblIssues[Monthly Quota],MATCH(ROW()-5,tblIssues[Alert Row],0)))</f>
        <v/>
      </c>
      <c r="I280" s="27" t="str">
        <f t="shared" si="8"/>
        <v/>
      </c>
      <c r="J280" s="31" t="str">
        <f t="shared" si="9"/>
        <v/>
      </c>
    </row>
    <row r="281" spans="1:10" x14ac:dyDescent="0.35">
      <c r="A281" s="18" t="str">
        <f>IFERROR(INDEX(tblIssues[Staff ID],MATCH(ROW()-5,tblIssues[Alert Row],0)),"")</f>
        <v/>
      </c>
      <c r="B281" s="18" t="str">
        <f>IF($A281="","",INDEX(tblIssues[Staff Name (pick)],MATCH(ROW()-5,tblIssues[Alert Row],0)))</f>
        <v/>
      </c>
      <c r="C281" s="18" t="str">
        <f>IF($A281="","",INDEX(tblIssues[Role],MATCH(ROW()-5,tblIssues[Alert Row],0)))</f>
        <v/>
      </c>
      <c r="D281" s="25" t="str">
        <f>IF($A281="","",INDEX(tblIssues[Area],MATCH(ROW()-5,tblIssues[Alert Row],0)))</f>
        <v/>
      </c>
      <c r="E281" s="25" t="str">
        <f>IF($A281="","",INDEX(tblIssues[Item Name],MATCH(ROW()-5,tblIssues[Alert Row],0)))</f>
        <v/>
      </c>
      <c r="F281" s="98" t="str">
        <f>IF($A281="","",INDEX(tblIssues[Month],MATCH(ROW()-5,tblIssues[Alert Row],0)))</f>
        <v/>
      </c>
      <c r="G281" s="23" t="str">
        <f>IF($A281="","",INDEX(tblIssues[Units This Month (Staff/Item)],MATCH(ROW()-5,tblIssues[Alert Row],0)))</f>
        <v/>
      </c>
      <c r="H281" s="23" t="str">
        <f>IF($A281="","",INDEX(tblIssues[Monthly Quota],MATCH(ROW()-5,tblIssues[Alert Row],0)))</f>
        <v/>
      </c>
      <c r="I281" s="27" t="str">
        <f t="shared" si="8"/>
        <v/>
      </c>
      <c r="J281" s="31" t="str">
        <f t="shared" si="9"/>
        <v/>
      </c>
    </row>
    <row r="282" spans="1:10" x14ac:dyDescent="0.35">
      <c r="A282" s="18" t="str">
        <f>IFERROR(INDEX(tblIssues[Staff ID],MATCH(ROW()-5,tblIssues[Alert Row],0)),"")</f>
        <v/>
      </c>
      <c r="B282" s="18" t="str">
        <f>IF($A282="","",INDEX(tblIssues[Staff Name (pick)],MATCH(ROW()-5,tblIssues[Alert Row],0)))</f>
        <v/>
      </c>
      <c r="C282" s="18" t="str">
        <f>IF($A282="","",INDEX(tblIssues[Role],MATCH(ROW()-5,tblIssues[Alert Row],0)))</f>
        <v/>
      </c>
      <c r="D282" s="25" t="str">
        <f>IF($A282="","",INDEX(tblIssues[Area],MATCH(ROW()-5,tblIssues[Alert Row],0)))</f>
        <v/>
      </c>
      <c r="E282" s="25" t="str">
        <f>IF($A282="","",INDEX(tblIssues[Item Name],MATCH(ROW()-5,tblIssues[Alert Row],0)))</f>
        <v/>
      </c>
      <c r="F282" s="98" t="str">
        <f>IF($A282="","",INDEX(tblIssues[Month],MATCH(ROW()-5,tblIssues[Alert Row],0)))</f>
        <v/>
      </c>
      <c r="G282" s="23" t="str">
        <f>IF($A282="","",INDEX(tblIssues[Units This Month (Staff/Item)],MATCH(ROW()-5,tblIssues[Alert Row],0)))</f>
        <v/>
      </c>
      <c r="H282" s="23" t="str">
        <f>IF($A282="","",INDEX(tblIssues[Monthly Quota],MATCH(ROW()-5,tblIssues[Alert Row],0)))</f>
        <v/>
      </c>
      <c r="I282" s="27" t="str">
        <f t="shared" si="8"/>
        <v/>
      </c>
      <c r="J282" s="31" t="str">
        <f t="shared" si="9"/>
        <v/>
      </c>
    </row>
    <row r="283" spans="1:10" x14ac:dyDescent="0.35">
      <c r="A283" s="18" t="str">
        <f>IFERROR(INDEX(tblIssues[Staff ID],MATCH(ROW()-5,tblIssues[Alert Row],0)),"")</f>
        <v/>
      </c>
      <c r="B283" s="18" t="str">
        <f>IF($A283="","",INDEX(tblIssues[Staff Name (pick)],MATCH(ROW()-5,tblIssues[Alert Row],0)))</f>
        <v/>
      </c>
      <c r="C283" s="18" t="str">
        <f>IF($A283="","",INDEX(tblIssues[Role],MATCH(ROW()-5,tblIssues[Alert Row],0)))</f>
        <v/>
      </c>
      <c r="D283" s="25" t="str">
        <f>IF($A283="","",INDEX(tblIssues[Area],MATCH(ROW()-5,tblIssues[Alert Row],0)))</f>
        <v/>
      </c>
      <c r="E283" s="25" t="str">
        <f>IF($A283="","",INDEX(tblIssues[Item Name],MATCH(ROW()-5,tblIssues[Alert Row],0)))</f>
        <v/>
      </c>
      <c r="F283" s="98" t="str">
        <f>IF($A283="","",INDEX(tblIssues[Month],MATCH(ROW()-5,tblIssues[Alert Row],0)))</f>
        <v/>
      </c>
      <c r="G283" s="23" t="str">
        <f>IF($A283="","",INDEX(tblIssues[Units This Month (Staff/Item)],MATCH(ROW()-5,tblIssues[Alert Row],0)))</f>
        <v/>
      </c>
      <c r="H283" s="23" t="str">
        <f>IF($A283="","",INDEX(tblIssues[Monthly Quota],MATCH(ROW()-5,tblIssues[Alert Row],0)))</f>
        <v/>
      </c>
      <c r="I283" s="27" t="str">
        <f t="shared" si="8"/>
        <v/>
      </c>
      <c r="J283" s="31" t="str">
        <f t="shared" si="9"/>
        <v/>
      </c>
    </row>
    <row r="284" spans="1:10" x14ac:dyDescent="0.35">
      <c r="A284" s="18" t="str">
        <f>IFERROR(INDEX(tblIssues[Staff ID],MATCH(ROW()-5,tblIssues[Alert Row],0)),"")</f>
        <v/>
      </c>
      <c r="B284" s="18" t="str">
        <f>IF($A284="","",INDEX(tblIssues[Staff Name (pick)],MATCH(ROW()-5,tblIssues[Alert Row],0)))</f>
        <v/>
      </c>
      <c r="C284" s="18" t="str">
        <f>IF($A284="","",INDEX(tblIssues[Role],MATCH(ROW()-5,tblIssues[Alert Row],0)))</f>
        <v/>
      </c>
      <c r="D284" s="25" t="str">
        <f>IF($A284="","",INDEX(tblIssues[Area],MATCH(ROW()-5,tblIssues[Alert Row],0)))</f>
        <v/>
      </c>
      <c r="E284" s="25" t="str">
        <f>IF($A284="","",INDEX(tblIssues[Item Name],MATCH(ROW()-5,tblIssues[Alert Row],0)))</f>
        <v/>
      </c>
      <c r="F284" s="98" t="str">
        <f>IF($A284="","",INDEX(tblIssues[Month],MATCH(ROW()-5,tblIssues[Alert Row],0)))</f>
        <v/>
      </c>
      <c r="G284" s="23" t="str">
        <f>IF($A284="","",INDEX(tblIssues[Units This Month (Staff/Item)],MATCH(ROW()-5,tblIssues[Alert Row],0)))</f>
        <v/>
      </c>
      <c r="H284" s="23" t="str">
        <f>IF($A284="","",INDEX(tblIssues[Monthly Quota],MATCH(ROW()-5,tblIssues[Alert Row],0)))</f>
        <v/>
      </c>
      <c r="I284" s="27" t="str">
        <f t="shared" si="8"/>
        <v/>
      </c>
      <c r="J284" s="31" t="str">
        <f t="shared" si="9"/>
        <v/>
      </c>
    </row>
    <row r="285" spans="1:10" x14ac:dyDescent="0.35">
      <c r="A285" s="18" t="str">
        <f>IFERROR(INDEX(tblIssues[Staff ID],MATCH(ROW()-5,tblIssues[Alert Row],0)),"")</f>
        <v/>
      </c>
      <c r="B285" s="18" t="str">
        <f>IF($A285="","",INDEX(tblIssues[Staff Name (pick)],MATCH(ROW()-5,tblIssues[Alert Row],0)))</f>
        <v/>
      </c>
      <c r="C285" s="18" t="str">
        <f>IF($A285="","",INDEX(tblIssues[Role],MATCH(ROW()-5,tblIssues[Alert Row],0)))</f>
        <v/>
      </c>
      <c r="D285" s="25" t="str">
        <f>IF($A285="","",INDEX(tblIssues[Area],MATCH(ROW()-5,tblIssues[Alert Row],0)))</f>
        <v/>
      </c>
      <c r="E285" s="25" t="str">
        <f>IF($A285="","",INDEX(tblIssues[Item Name],MATCH(ROW()-5,tblIssues[Alert Row],0)))</f>
        <v/>
      </c>
      <c r="F285" s="98" t="str">
        <f>IF($A285="","",INDEX(tblIssues[Month],MATCH(ROW()-5,tblIssues[Alert Row],0)))</f>
        <v/>
      </c>
      <c r="G285" s="23" t="str">
        <f>IF($A285="","",INDEX(tblIssues[Units This Month (Staff/Item)],MATCH(ROW()-5,tblIssues[Alert Row],0)))</f>
        <v/>
      </c>
      <c r="H285" s="23" t="str">
        <f>IF($A285="","",INDEX(tblIssues[Monthly Quota],MATCH(ROW()-5,tblIssues[Alert Row],0)))</f>
        <v/>
      </c>
      <c r="I285" s="27" t="str">
        <f t="shared" si="8"/>
        <v/>
      </c>
      <c r="J285" s="31" t="str">
        <f t="shared" si="9"/>
        <v/>
      </c>
    </row>
    <row r="286" spans="1:10" x14ac:dyDescent="0.35">
      <c r="A286" s="18" t="str">
        <f>IFERROR(INDEX(tblIssues[Staff ID],MATCH(ROW()-5,tblIssues[Alert Row],0)),"")</f>
        <v/>
      </c>
      <c r="B286" s="18" t="str">
        <f>IF($A286="","",INDEX(tblIssues[Staff Name (pick)],MATCH(ROW()-5,tblIssues[Alert Row],0)))</f>
        <v/>
      </c>
      <c r="C286" s="18" t="str">
        <f>IF($A286="","",INDEX(tblIssues[Role],MATCH(ROW()-5,tblIssues[Alert Row],0)))</f>
        <v/>
      </c>
      <c r="D286" s="25" t="str">
        <f>IF($A286="","",INDEX(tblIssues[Area],MATCH(ROW()-5,tblIssues[Alert Row],0)))</f>
        <v/>
      </c>
      <c r="E286" s="25" t="str">
        <f>IF($A286="","",INDEX(tblIssues[Item Name],MATCH(ROW()-5,tblIssues[Alert Row],0)))</f>
        <v/>
      </c>
      <c r="F286" s="98" t="str">
        <f>IF($A286="","",INDEX(tblIssues[Month],MATCH(ROW()-5,tblIssues[Alert Row],0)))</f>
        <v/>
      </c>
      <c r="G286" s="23" t="str">
        <f>IF($A286="","",INDEX(tblIssues[Units This Month (Staff/Item)],MATCH(ROW()-5,tblIssues[Alert Row],0)))</f>
        <v/>
      </c>
      <c r="H286" s="23" t="str">
        <f>IF($A286="","",INDEX(tblIssues[Monthly Quota],MATCH(ROW()-5,tblIssues[Alert Row],0)))</f>
        <v/>
      </c>
      <c r="I286" s="27" t="str">
        <f t="shared" si="8"/>
        <v/>
      </c>
      <c r="J286" s="31" t="str">
        <f t="shared" si="9"/>
        <v/>
      </c>
    </row>
    <row r="287" spans="1:10" x14ac:dyDescent="0.35">
      <c r="A287" s="18" t="str">
        <f>IFERROR(INDEX(tblIssues[Staff ID],MATCH(ROW()-5,tblIssues[Alert Row],0)),"")</f>
        <v/>
      </c>
      <c r="B287" s="18" t="str">
        <f>IF($A287="","",INDEX(tblIssues[Staff Name (pick)],MATCH(ROW()-5,tblIssues[Alert Row],0)))</f>
        <v/>
      </c>
      <c r="C287" s="18" t="str">
        <f>IF($A287="","",INDEX(tblIssues[Role],MATCH(ROW()-5,tblIssues[Alert Row],0)))</f>
        <v/>
      </c>
      <c r="D287" s="25" t="str">
        <f>IF($A287="","",INDEX(tblIssues[Area],MATCH(ROW()-5,tblIssues[Alert Row],0)))</f>
        <v/>
      </c>
      <c r="E287" s="25" t="str">
        <f>IF($A287="","",INDEX(tblIssues[Item Name],MATCH(ROW()-5,tblIssues[Alert Row],0)))</f>
        <v/>
      </c>
      <c r="F287" s="98" t="str">
        <f>IF($A287="","",INDEX(tblIssues[Month],MATCH(ROW()-5,tblIssues[Alert Row],0)))</f>
        <v/>
      </c>
      <c r="G287" s="23" t="str">
        <f>IF($A287="","",INDEX(tblIssues[Units This Month (Staff/Item)],MATCH(ROW()-5,tblIssues[Alert Row],0)))</f>
        <v/>
      </c>
      <c r="H287" s="23" t="str">
        <f>IF($A287="","",INDEX(tblIssues[Monthly Quota],MATCH(ROW()-5,tblIssues[Alert Row],0)))</f>
        <v/>
      </c>
      <c r="I287" s="27" t="str">
        <f t="shared" si="8"/>
        <v/>
      </c>
      <c r="J287" s="31" t="str">
        <f t="shared" si="9"/>
        <v/>
      </c>
    </row>
    <row r="288" spans="1:10" x14ac:dyDescent="0.35">
      <c r="A288" s="18" t="str">
        <f>IFERROR(INDEX(tblIssues[Staff ID],MATCH(ROW()-5,tblIssues[Alert Row],0)),"")</f>
        <v/>
      </c>
      <c r="B288" s="18" t="str">
        <f>IF($A288="","",INDEX(tblIssues[Staff Name (pick)],MATCH(ROW()-5,tblIssues[Alert Row],0)))</f>
        <v/>
      </c>
      <c r="C288" s="18" t="str">
        <f>IF($A288="","",INDEX(tblIssues[Role],MATCH(ROW()-5,tblIssues[Alert Row],0)))</f>
        <v/>
      </c>
      <c r="D288" s="25" t="str">
        <f>IF($A288="","",INDEX(tblIssues[Area],MATCH(ROW()-5,tblIssues[Alert Row],0)))</f>
        <v/>
      </c>
      <c r="E288" s="25" t="str">
        <f>IF($A288="","",INDEX(tblIssues[Item Name],MATCH(ROW()-5,tblIssues[Alert Row],0)))</f>
        <v/>
      </c>
      <c r="F288" s="98" t="str">
        <f>IF($A288="","",INDEX(tblIssues[Month],MATCH(ROW()-5,tblIssues[Alert Row],0)))</f>
        <v/>
      </c>
      <c r="G288" s="23" t="str">
        <f>IF($A288="","",INDEX(tblIssues[Units This Month (Staff/Item)],MATCH(ROW()-5,tblIssues[Alert Row],0)))</f>
        <v/>
      </c>
      <c r="H288" s="23" t="str">
        <f>IF($A288="","",INDEX(tblIssues[Monthly Quota],MATCH(ROW()-5,tblIssues[Alert Row],0)))</f>
        <v/>
      </c>
      <c r="I288" s="27" t="str">
        <f t="shared" si="8"/>
        <v/>
      </c>
      <c r="J288" s="31" t="str">
        <f t="shared" si="9"/>
        <v/>
      </c>
    </row>
    <row r="289" spans="1:10" x14ac:dyDescent="0.35">
      <c r="A289" s="18" t="str">
        <f>IFERROR(INDEX(tblIssues[Staff ID],MATCH(ROW()-5,tblIssues[Alert Row],0)),"")</f>
        <v/>
      </c>
      <c r="B289" s="18" t="str">
        <f>IF($A289="","",INDEX(tblIssues[Staff Name (pick)],MATCH(ROW()-5,tblIssues[Alert Row],0)))</f>
        <v/>
      </c>
      <c r="C289" s="18" t="str">
        <f>IF($A289="","",INDEX(tblIssues[Role],MATCH(ROW()-5,tblIssues[Alert Row],0)))</f>
        <v/>
      </c>
      <c r="D289" s="25" t="str">
        <f>IF($A289="","",INDEX(tblIssues[Area],MATCH(ROW()-5,tblIssues[Alert Row],0)))</f>
        <v/>
      </c>
      <c r="E289" s="25" t="str">
        <f>IF($A289="","",INDEX(tblIssues[Item Name],MATCH(ROW()-5,tblIssues[Alert Row],0)))</f>
        <v/>
      </c>
      <c r="F289" s="98" t="str">
        <f>IF($A289="","",INDEX(tblIssues[Month],MATCH(ROW()-5,tblIssues[Alert Row],0)))</f>
        <v/>
      </c>
      <c r="G289" s="23" t="str">
        <f>IF($A289="","",INDEX(tblIssues[Units This Month (Staff/Item)],MATCH(ROW()-5,tblIssues[Alert Row],0)))</f>
        <v/>
      </c>
      <c r="H289" s="23" t="str">
        <f>IF($A289="","",INDEX(tblIssues[Monthly Quota],MATCH(ROW()-5,tblIssues[Alert Row],0)))</f>
        <v/>
      </c>
      <c r="I289" s="27" t="str">
        <f t="shared" si="8"/>
        <v/>
      </c>
      <c r="J289" s="31" t="str">
        <f t="shared" si="9"/>
        <v/>
      </c>
    </row>
    <row r="290" spans="1:10" x14ac:dyDescent="0.35">
      <c r="A290" s="18" t="str">
        <f>IFERROR(INDEX(tblIssues[Staff ID],MATCH(ROW()-5,tblIssues[Alert Row],0)),"")</f>
        <v/>
      </c>
      <c r="B290" s="18" t="str">
        <f>IF($A290="","",INDEX(tblIssues[Staff Name (pick)],MATCH(ROW()-5,tblIssues[Alert Row],0)))</f>
        <v/>
      </c>
      <c r="C290" s="18" t="str">
        <f>IF($A290="","",INDEX(tblIssues[Role],MATCH(ROW()-5,tblIssues[Alert Row],0)))</f>
        <v/>
      </c>
      <c r="D290" s="25" t="str">
        <f>IF($A290="","",INDEX(tblIssues[Area],MATCH(ROW()-5,tblIssues[Alert Row],0)))</f>
        <v/>
      </c>
      <c r="E290" s="25" t="str">
        <f>IF($A290="","",INDEX(tblIssues[Item Name],MATCH(ROW()-5,tblIssues[Alert Row],0)))</f>
        <v/>
      </c>
      <c r="F290" s="98" t="str">
        <f>IF($A290="","",INDEX(tblIssues[Month],MATCH(ROW()-5,tblIssues[Alert Row],0)))</f>
        <v/>
      </c>
      <c r="G290" s="23" t="str">
        <f>IF($A290="","",INDEX(tblIssues[Units This Month (Staff/Item)],MATCH(ROW()-5,tblIssues[Alert Row],0)))</f>
        <v/>
      </c>
      <c r="H290" s="23" t="str">
        <f>IF($A290="","",INDEX(tblIssues[Monthly Quota],MATCH(ROW()-5,tblIssues[Alert Row],0)))</f>
        <v/>
      </c>
      <c r="I290" s="27" t="str">
        <f t="shared" si="8"/>
        <v/>
      </c>
      <c r="J290" s="31" t="str">
        <f t="shared" si="9"/>
        <v/>
      </c>
    </row>
    <row r="291" spans="1:10" x14ac:dyDescent="0.35">
      <c r="A291" s="18" t="str">
        <f>IFERROR(INDEX(tblIssues[Staff ID],MATCH(ROW()-5,tblIssues[Alert Row],0)),"")</f>
        <v/>
      </c>
      <c r="B291" s="18" t="str">
        <f>IF($A291="","",INDEX(tblIssues[Staff Name (pick)],MATCH(ROW()-5,tblIssues[Alert Row],0)))</f>
        <v/>
      </c>
      <c r="C291" s="18" t="str">
        <f>IF($A291="","",INDEX(tblIssues[Role],MATCH(ROW()-5,tblIssues[Alert Row],0)))</f>
        <v/>
      </c>
      <c r="D291" s="25" t="str">
        <f>IF($A291="","",INDEX(tblIssues[Area],MATCH(ROW()-5,tblIssues[Alert Row],0)))</f>
        <v/>
      </c>
      <c r="E291" s="25" t="str">
        <f>IF($A291="","",INDEX(tblIssues[Item Name],MATCH(ROW()-5,tblIssues[Alert Row],0)))</f>
        <v/>
      </c>
      <c r="F291" s="98" t="str">
        <f>IF($A291="","",INDEX(tblIssues[Month],MATCH(ROW()-5,tblIssues[Alert Row],0)))</f>
        <v/>
      </c>
      <c r="G291" s="23" t="str">
        <f>IF($A291="","",INDEX(tblIssues[Units This Month (Staff/Item)],MATCH(ROW()-5,tblIssues[Alert Row],0)))</f>
        <v/>
      </c>
      <c r="H291" s="23" t="str">
        <f>IF($A291="","",INDEX(tblIssues[Monthly Quota],MATCH(ROW()-5,tblIssues[Alert Row],0)))</f>
        <v/>
      </c>
      <c r="I291" s="27" t="str">
        <f t="shared" si="8"/>
        <v/>
      </c>
      <c r="J291" s="31" t="str">
        <f t="shared" si="9"/>
        <v/>
      </c>
    </row>
    <row r="292" spans="1:10" x14ac:dyDescent="0.35">
      <c r="A292" s="18" t="str">
        <f>IFERROR(INDEX(tblIssues[Staff ID],MATCH(ROW()-5,tblIssues[Alert Row],0)),"")</f>
        <v/>
      </c>
      <c r="B292" s="18" t="str">
        <f>IF($A292="","",INDEX(tblIssues[Staff Name (pick)],MATCH(ROW()-5,tblIssues[Alert Row],0)))</f>
        <v/>
      </c>
      <c r="C292" s="18" t="str">
        <f>IF($A292="","",INDEX(tblIssues[Role],MATCH(ROW()-5,tblIssues[Alert Row],0)))</f>
        <v/>
      </c>
      <c r="D292" s="25" t="str">
        <f>IF($A292="","",INDEX(tblIssues[Area],MATCH(ROW()-5,tblIssues[Alert Row],0)))</f>
        <v/>
      </c>
      <c r="E292" s="25" t="str">
        <f>IF($A292="","",INDEX(tblIssues[Item Name],MATCH(ROW()-5,tblIssues[Alert Row],0)))</f>
        <v/>
      </c>
      <c r="F292" s="98" t="str">
        <f>IF($A292="","",INDEX(tblIssues[Month],MATCH(ROW()-5,tblIssues[Alert Row],0)))</f>
        <v/>
      </c>
      <c r="G292" s="23" t="str">
        <f>IF($A292="","",INDEX(tblIssues[Units This Month (Staff/Item)],MATCH(ROW()-5,tblIssues[Alert Row],0)))</f>
        <v/>
      </c>
      <c r="H292" s="23" t="str">
        <f>IF($A292="","",INDEX(tblIssues[Monthly Quota],MATCH(ROW()-5,tblIssues[Alert Row],0)))</f>
        <v/>
      </c>
      <c r="I292" s="27" t="str">
        <f t="shared" si="8"/>
        <v/>
      </c>
      <c r="J292" s="31" t="str">
        <f t="shared" si="9"/>
        <v/>
      </c>
    </row>
    <row r="293" spans="1:10" x14ac:dyDescent="0.35">
      <c r="A293" s="18" t="str">
        <f>IFERROR(INDEX(tblIssues[Staff ID],MATCH(ROW()-5,tblIssues[Alert Row],0)),"")</f>
        <v/>
      </c>
      <c r="B293" s="18" t="str">
        <f>IF($A293="","",INDEX(tblIssues[Staff Name (pick)],MATCH(ROW()-5,tblIssues[Alert Row],0)))</f>
        <v/>
      </c>
      <c r="C293" s="18" t="str">
        <f>IF($A293="","",INDEX(tblIssues[Role],MATCH(ROW()-5,tblIssues[Alert Row],0)))</f>
        <v/>
      </c>
      <c r="D293" s="25" t="str">
        <f>IF($A293="","",INDEX(tblIssues[Area],MATCH(ROW()-5,tblIssues[Alert Row],0)))</f>
        <v/>
      </c>
      <c r="E293" s="25" t="str">
        <f>IF($A293="","",INDEX(tblIssues[Item Name],MATCH(ROW()-5,tblIssues[Alert Row],0)))</f>
        <v/>
      </c>
      <c r="F293" s="98" t="str">
        <f>IF($A293="","",INDEX(tblIssues[Month],MATCH(ROW()-5,tblIssues[Alert Row],0)))</f>
        <v/>
      </c>
      <c r="G293" s="23" t="str">
        <f>IF($A293="","",INDEX(tblIssues[Units This Month (Staff/Item)],MATCH(ROW()-5,tblIssues[Alert Row],0)))</f>
        <v/>
      </c>
      <c r="H293" s="23" t="str">
        <f>IF($A293="","",INDEX(tblIssues[Monthly Quota],MATCH(ROW()-5,tblIssues[Alert Row],0)))</f>
        <v/>
      </c>
      <c r="I293" s="27" t="str">
        <f t="shared" si="8"/>
        <v/>
      </c>
      <c r="J293" s="31" t="str">
        <f t="shared" si="9"/>
        <v/>
      </c>
    </row>
    <row r="294" spans="1:10" x14ac:dyDescent="0.35">
      <c r="A294" s="18" t="str">
        <f>IFERROR(INDEX(tblIssues[Staff ID],MATCH(ROW()-5,tblIssues[Alert Row],0)),"")</f>
        <v/>
      </c>
      <c r="B294" s="18" t="str">
        <f>IF($A294="","",INDEX(tblIssues[Staff Name (pick)],MATCH(ROW()-5,tblIssues[Alert Row],0)))</f>
        <v/>
      </c>
      <c r="C294" s="18" t="str">
        <f>IF($A294="","",INDEX(tblIssues[Role],MATCH(ROW()-5,tblIssues[Alert Row],0)))</f>
        <v/>
      </c>
      <c r="D294" s="25" t="str">
        <f>IF($A294="","",INDEX(tblIssues[Area],MATCH(ROW()-5,tblIssues[Alert Row],0)))</f>
        <v/>
      </c>
      <c r="E294" s="25" t="str">
        <f>IF($A294="","",INDEX(tblIssues[Item Name],MATCH(ROW()-5,tblIssues[Alert Row],0)))</f>
        <v/>
      </c>
      <c r="F294" s="98" t="str">
        <f>IF($A294="","",INDEX(tblIssues[Month],MATCH(ROW()-5,tblIssues[Alert Row],0)))</f>
        <v/>
      </c>
      <c r="G294" s="23" t="str">
        <f>IF($A294="","",INDEX(tblIssues[Units This Month (Staff/Item)],MATCH(ROW()-5,tblIssues[Alert Row],0)))</f>
        <v/>
      </c>
      <c r="H294" s="23" t="str">
        <f>IF($A294="","",INDEX(tblIssues[Monthly Quota],MATCH(ROW()-5,tblIssues[Alert Row],0)))</f>
        <v/>
      </c>
      <c r="I294" s="27" t="str">
        <f t="shared" si="8"/>
        <v/>
      </c>
      <c r="J294" s="31" t="str">
        <f t="shared" si="9"/>
        <v/>
      </c>
    </row>
    <row r="295" spans="1:10" x14ac:dyDescent="0.35">
      <c r="A295" s="18" t="str">
        <f>IFERROR(INDEX(tblIssues[Staff ID],MATCH(ROW()-5,tblIssues[Alert Row],0)),"")</f>
        <v/>
      </c>
      <c r="B295" s="18" t="str">
        <f>IF($A295="","",INDEX(tblIssues[Staff Name (pick)],MATCH(ROW()-5,tblIssues[Alert Row],0)))</f>
        <v/>
      </c>
      <c r="C295" s="18" t="str">
        <f>IF($A295="","",INDEX(tblIssues[Role],MATCH(ROW()-5,tblIssues[Alert Row],0)))</f>
        <v/>
      </c>
      <c r="D295" s="25" t="str">
        <f>IF($A295="","",INDEX(tblIssues[Area],MATCH(ROW()-5,tblIssues[Alert Row],0)))</f>
        <v/>
      </c>
      <c r="E295" s="25" t="str">
        <f>IF($A295="","",INDEX(tblIssues[Item Name],MATCH(ROW()-5,tblIssues[Alert Row],0)))</f>
        <v/>
      </c>
      <c r="F295" s="98" t="str">
        <f>IF($A295="","",INDEX(tblIssues[Month],MATCH(ROW()-5,tblIssues[Alert Row],0)))</f>
        <v/>
      </c>
      <c r="G295" s="23" t="str">
        <f>IF($A295="","",INDEX(tblIssues[Units This Month (Staff/Item)],MATCH(ROW()-5,tblIssues[Alert Row],0)))</f>
        <v/>
      </c>
      <c r="H295" s="23" t="str">
        <f>IF($A295="","",INDEX(tblIssues[Monthly Quota],MATCH(ROW()-5,tblIssues[Alert Row],0)))</f>
        <v/>
      </c>
      <c r="I295" s="27" t="str">
        <f t="shared" si="8"/>
        <v/>
      </c>
      <c r="J295" s="31" t="str">
        <f t="shared" si="9"/>
        <v/>
      </c>
    </row>
    <row r="296" spans="1:10" x14ac:dyDescent="0.35">
      <c r="A296" s="18" t="str">
        <f>IFERROR(INDEX(tblIssues[Staff ID],MATCH(ROW()-5,tblIssues[Alert Row],0)),"")</f>
        <v/>
      </c>
      <c r="B296" s="18" t="str">
        <f>IF($A296="","",INDEX(tblIssues[Staff Name (pick)],MATCH(ROW()-5,tblIssues[Alert Row],0)))</f>
        <v/>
      </c>
      <c r="C296" s="18" t="str">
        <f>IF($A296="","",INDEX(tblIssues[Role],MATCH(ROW()-5,tblIssues[Alert Row],0)))</f>
        <v/>
      </c>
      <c r="D296" s="25" t="str">
        <f>IF($A296="","",INDEX(tblIssues[Area],MATCH(ROW()-5,tblIssues[Alert Row],0)))</f>
        <v/>
      </c>
      <c r="E296" s="25" t="str">
        <f>IF($A296="","",INDEX(tblIssues[Item Name],MATCH(ROW()-5,tblIssues[Alert Row],0)))</f>
        <v/>
      </c>
      <c r="F296" s="98" t="str">
        <f>IF($A296="","",INDEX(tblIssues[Month],MATCH(ROW()-5,tblIssues[Alert Row],0)))</f>
        <v/>
      </c>
      <c r="G296" s="23" t="str">
        <f>IF($A296="","",INDEX(tblIssues[Units This Month (Staff/Item)],MATCH(ROW()-5,tblIssues[Alert Row],0)))</f>
        <v/>
      </c>
      <c r="H296" s="23" t="str">
        <f>IF($A296="","",INDEX(tblIssues[Monthly Quota],MATCH(ROW()-5,tblIssues[Alert Row],0)))</f>
        <v/>
      </c>
      <c r="I296" s="27" t="str">
        <f t="shared" si="8"/>
        <v/>
      </c>
      <c r="J296" s="31" t="str">
        <f t="shared" si="9"/>
        <v/>
      </c>
    </row>
    <row r="297" spans="1:10" x14ac:dyDescent="0.35">
      <c r="A297" s="18" t="str">
        <f>IFERROR(INDEX(tblIssues[Staff ID],MATCH(ROW()-5,tblIssues[Alert Row],0)),"")</f>
        <v/>
      </c>
      <c r="B297" s="18" t="str">
        <f>IF($A297="","",INDEX(tblIssues[Staff Name (pick)],MATCH(ROW()-5,tblIssues[Alert Row],0)))</f>
        <v/>
      </c>
      <c r="C297" s="18" t="str">
        <f>IF($A297="","",INDEX(tblIssues[Role],MATCH(ROW()-5,tblIssues[Alert Row],0)))</f>
        <v/>
      </c>
      <c r="D297" s="25" t="str">
        <f>IF($A297="","",INDEX(tblIssues[Area],MATCH(ROW()-5,tblIssues[Alert Row],0)))</f>
        <v/>
      </c>
      <c r="E297" s="25" t="str">
        <f>IF($A297="","",INDEX(tblIssues[Item Name],MATCH(ROW()-5,tblIssues[Alert Row],0)))</f>
        <v/>
      </c>
      <c r="F297" s="98" t="str">
        <f>IF($A297="","",INDEX(tblIssues[Month],MATCH(ROW()-5,tblIssues[Alert Row],0)))</f>
        <v/>
      </c>
      <c r="G297" s="23" t="str">
        <f>IF($A297="","",INDEX(tblIssues[Units This Month (Staff/Item)],MATCH(ROW()-5,tblIssues[Alert Row],0)))</f>
        <v/>
      </c>
      <c r="H297" s="23" t="str">
        <f>IF($A297="","",INDEX(tblIssues[Monthly Quota],MATCH(ROW()-5,tblIssues[Alert Row],0)))</f>
        <v/>
      </c>
      <c r="I297" s="27" t="str">
        <f t="shared" si="8"/>
        <v/>
      </c>
      <c r="J297" s="31" t="str">
        <f t="shared" si="9"/>
        <v/>
      </c>
    </row>
    <row r="298" spans="1:10" x14ac:dyDescent="0.35">
      <c r="A298" s="18" t="str">
        <f>IFERROR(INDEX(tblIssues[Staff ID],MATCH(ROW()-5,tblIssues[Alert Row],0)),"")</f>
        <v/>
      </c>
      <c r="B298" s="18" t="str">
        <f>IF($A298="","",INDEX(tblIssues[Staff Name (pick)],MATCH(ROW()-5,tblIssues[Alert Row],0)))</f>
        <v/>
      </c>
      <c r="C298" s="18" t="str">
        <f>IF($A298="","",INDEX(tblIssues[Role],MATCH(ROW()-5,tblIssues[Alert Row],0)))</f>
        <v/>
      </c>
      <c r="D298" s="25" t="str">
        <f>IF($A298="","",INDEX(tblIssues[Area],MATCH(ROW()-5,tblIssues[Alert Row],0)))</f>
        <v/>
      </c>
      <c r="E298" s="25" t="str">
        <f>IF($A298="","",INDEX(tblIssues[Item Name],MATCH(ROW()-5,tblIssues[Alert Row],0)))</f>
        <v/>
      </c>
      <c r="F298" s="98" t="str">
        <f>IF($A298="","",INDEX(tblIssues[Month],MATCH(ROW()-5,tblIssues[Alert Row],0)))</f>
        <v/>
      </c>
      <c r="G298" s="23" t="str">
        <f>IF($A298="","",INDEX(tblIssues[Units This Month (Staff/Item)],MATCH(ROW()-5,tblIssues[Alert Row],0)))</f>
        <v/>
      </c>
      <c r="H298" s="23" t="str">
        <f>IF($A298="","",INDEX(tblIssues[Monthly Quota],MATCH(ROW()-5,tblIssues[Alert Row],0)))</f>
        <v/>
      </c>
      <c r="I298" s="27" t="str">
        <f t="shared" si="8"/>
        <v/>
      </c>
      <c r="J298" s="31" t="str">
        <f t="shared" si="9"/>
        <v/>
      </c>
    </row>
    <row r="299" spans="1:10" x14ac:dyDescent="0.35">
      <c r="A299" s="18" t="str">
        <f>IFERROR(INDEX(tblIssues[Staff ID],MATCH(ROW()-5,tblIssues[Alert Row],0)),"")</f>
        <v/>
      </c>
      <c r="B299" s="18" t="str">
        <f>IF($A299="","",INDEX(tblIssues[Staff Name (pick)],MATCH(ROW()-5,tblIssues[Alert Row],0)))</f>
        <v/>
      </c>
      <c r="C299" s="18" t="str">
        <f>IF($A299="","",INDEX(tblIssues[Role],MATCH(ROW()-5,tblIssues[Alert Row],0)))</f>
        <v/>
      </c>
      <c r="D299" s="25" t="str">
        <f>IF($A299="","",INDEX(tblIssues[Area],MATCH(ROW()-5,tblIssues[Alert Row],0)))</f>
        <v/>
      </c>
      <c r="E299" s="25" t="str">
        <f>IF($A299="","",INDEX(tblIssues[Item Name],MATCH(ROW()-5,tblIssues[Alert Row],0)))</f>
        <v/>
      </c>
      <c r="F299" s="98" t="str">
        <f>IF($A299="","",INDEX(tblIssues[Month],MATCH(ROW()-5,tblIssues[Alert Row],0)))</f>
        <v/>
      </c>
      <c r="G299" s="23" t="str">
        <f>IF($A299="","",INDEX(tblIssues[Units This Month (Staff/Item)],MATCH(ROW()-5,tblIssues[Alert Row],0)))</f>
        <v/>
      </c>
      <c r="H299" s="23" t="str">
        <f>IF($A299="","",INDEX(tblIssues[Monthly Quota],MATCH(ROW()-5,tblIssues[Alert Row],0)))</f>
        <v/>
      </c>
      <c r="I299" s="27" t="str">
        <f t="shared" si="8"/>
        <v/>
      </c>
      <c r="J299" s="31" t="str">
        <f t="shared" si="9"/>
        <v/>
      </c>
    </row>
    <row r="300" spans="1:10" x14ac:dyDescent="0.35">
      <c r="A300" s="18" t="str">
        <f>IFERROR(INDEX(tblIssues[Staff ID],MATCH(ROW()-5,tblIssues[Alert Row],0)),"")</f>
        <v/>
      </c>
      <c r="B300" s="18" t="str">
        <f>IF($A300="","",INDEX(tblIssues[Staff Name (pick)],MATCH(ROW()-5,tblIssues[Alert Row],0)))</f>
        <v/>
      </c>
      <c r="C300" s="18" t="str">
        <f>IF($A300="","",INDEX(tblIssues[Role],MATCH(ROW()-5,tblIssues[Alert Row],0)))</f>
        <v/>
      </c>
      <c r="D300" s="25" t="str">
        <f>IF($A300="","",INDEX(tblIssues[Area],MATCH(ROW()-5,tblIssues[Alert Row],0)))</f>
        <v/>
      </c>
      <c r="E300" s="25" t="str">
        <f>IF($A300="","",INDEX(tblIssues[Item Name],MATCH(ROW()-5,tblIssues[Alert Row],0)))</f>
        <v/>
      </c>
      <c r="F300" s="98" t="str">
        <f>IF($A300="","",INDEX(tblIssues[Month],MATCH(ROW()-5,tblIssues[Alert Row],0)))</f>
        <v/>
      </c>
      <c r="G300" s="23" t="str">
        <f>IF($A300="","",INDEX(tblIssues[Units This Month (Staff/Item)],MATCH(ROW()-5,tblIssues[Alert Row],0)))</f>
        <v/>
      </c>
      <c r="H300" s="23" t="str">
        <f>IF($A300="","",INDEX(tblIssues[Monthly Quota],MATCH(ROW()-5,tblIssues[Alert Row],0)))</f>
        <v/>
      </c>
      <c r="I300" s="27" t="str">
        <f t="shared" si="8"/>
        <v/>
      </c>
      <c r="J300" s="31" t="str">
        <f t="shared" si="9"/>
        <v/>
      </c>
    </row>
    <row r="301" spans="1:10" x14ac:dyDescent="0.35">
      <c r="A301" s="18" t="str">
        <f>IFERROR(INDEX(tblIssues[Staff ID],MATCH(ROW()-5,tblIssues[Alert Row],0)),"")</f>
        <v/>
      </c>
      <c r="B301" s="18" t="str">
        <f>IF($A301="","",INDEX(tblIssues[Staff Name (pick)],MATCH(ROW()-5,tblIssues[Alert Row],0)))</f>
        <v/>
      </c>
      <c r="C301" s="18" t="str">
        <f>IF($A301="","",INDEX(tblIssues[Role],MATCH(ROW()-5,tblIssues[Alert Row],0)))</f>
        <v/>
      </c>
      <c r="D301" s="25" t="str">
        <f>IF($A301="","",INDEX(tblIssues[Area],MATCH(ROW()-5,tblIssues[Alert Row],0)))</f>
        <v/>
      </c>
      <c r="E301" s="25" t="str">
        <f>IF($A301="","",INDEX(tblIssues[Item Name],MATCH(ROW()-5,tblIssues[Alert Row],0)))</f>
        <v/>
      </c>
      <c r="F301" s="98" t="str">
        <f>IF($A301="","",INDEX(tblIssues[Month],MATCH(ROW()-5,tblIssues[Alert Row],0)))</f>
        <v/>
      </c>
      <c r="G301" s="23" t="str">
        <f>IF($A301="","",INDEX(tblIssues[Units This Month (Staff/Item)],MATCH(ROW()-5,tblIssues[Alert Row],0)))</f>
        <v/>
      </c>
      <c r="H301" s="23" t="str">
        <f>IF($A301="","",INDEX(tblIssues[Monthly Quota],MATCH(ROW()-5,tblIssues[Alert Row],0)))</f>
        <v/>
      </c>
      <c r="I301" s="27" t="str">
        <f t="shared" si="8"/>
        <v/>
      </c>
      <c r="J301" s="31" t="str">
        <f t="shared" si="9"/>
        <v/>
      </c>
    </row>
    <row r="302" spans="1:10" x14ac:dyDescent="0.35">
      <c r="A302" s="18" t="str">
        <f>IFERROR(INDEX(tblIssues[Staff ID],MATCH(ROW()-5,tblIssues[Alert Row],0)),"")</f>
        <v/>
      </c>
      <c r="B302" s="18" t="str">
        <f>IF($A302="","",INDEX(tblIssues[Staff Name (pick)],MATCH(ROW()-5,tblIssues[Alert Row],0)))</f>
        <v/>
      </c>
      <c r="C302" s="18" t="str">
        <f>IF($A302="","",INDEX(tblIssues[Role],MATCH(ROW()-5,tblIssues[Alert Row],0)))</f>
        <v/>
      </c>
      <c r="D302" s="25" t="str">
        <f>IF($A302="","",INDEX(tblIssues[Area],MATCH(ROW()-5,tblIssues[Alert Row],0)))</f>
        <v/>
      </c>
      <c r="E302" s="25" t="str">
        <f>IF($A302="","",INDEX(tblIssues[Item Name],MATCH(ROW()-5,tblIssues[Alert Row],0)))</f>
        <v/>
      </c>
      <c r="F302" s="98" t="str">
        <f>IF($A302="","",INDEX(tblIssues[Month],MATCH(ROW()-5,tblIssues[Alert Row],0)))</f>
        <v/>
      </c>
      <c r="G302" s="23" t="str">
        <f>IF($A302="","",INDEX(tblIssues[Units This Month (Staff/Item)],MATCH(ROW()-5,tblIssues[Alert Row],0)))</f>
        <v/>
      </c>
      <c r="H302" s="23" t="str">
        <f>IF($A302="","",INDEX(tblIssues[Monthly Quota],MATCH(ROW()-5,tblIssues[Alert Row],0)))</f>
        <v/>
      </c>
      <c r="I302" s="27" t="str">
        <f t="shared" si="8"/>
        <v/>
      </c>
      <c r="J302" s="31" t="str">
        <f t="shared" si="9"/>
        <v/>
      </c>
    </row>
    <row r="303" spans="1:10" x14ac:dyDescent="0.35">
      <c r="A303" s="18" t="str">
        <f>IFERROR(INDEX(tblIssues[Staff ID],MATCH(ROW()-5,tblIssues[Alert Row],0)),"")</f>
        <v/>
      </c>
      <c r="B303" s="18" t="str">
        <f>IF($A303="","",INDEX(tblIssues[Staff Name (pick)],MATCH(ROW()-5,tblIssues[Alert Row],0)))</f>
        <v/>
      </c>
      <c r="C303" s="18" t="str">
        <f>IF($A303="","",INDEX(tblIssues[Role],MATCH(ROW()-5,tblIssues[Alert Row],0)))</f>
        <v/>
      </c>
      <c r="D303" s="25" t="str">
        <f>IF($A303="","",INDEX(tblIssues[Area],MATCH(ROW()-5,tblIssues[Alert Row],0)))</f>
        <v/>
      </c>
      <c r="E303" s="25" t="str">
        <f>IF($A303="","",INDEX(tblIssues[Item Name],MATCH(ROW()-5,tblIssues[Alert Row],0)))</f>
        <v/>
      </c>
      <c r="F303" s="98" t="str">
        <f>IF($A303="","",INDEX(tblIssues[Month],MATCH(ROW()-5,tblIssues[Alert Row],0)))</f>
        <v/>
      </c>
      <c r="G303" s="23" t="str">
        <f>IF($A303="","",INDEX(tblIssues[Units This Month (Staff/Item)],MATCH(ROW()-5,tblIssues[Alert Row],0)))</f>
        <v/>
      </c>
      <c r="H303" s="23" t="str">
        <f>IF($A303="","",INDEX(tblIssues[Monthly Quota],MATCH(ROW()-5,tblIssues[Alert Row],0)))</f>
        <v/>
      </c>
      <c r="I303" s="27" t="str">
        <f t="shared" si="8"/>
        <v/>
      </c>
      <c r="J303" s="31" t="str">
        <f t="shared" si="9"/>
        <v/>
      </c>
    </row>
    <row r="304" spans="1:10" x14ac:dyDescent="0.35">
      <c r="A304" s="18" t="str">
        <f>IFERROR(INDEX(tblIssues[Staff ID],MATCH(ROW()-5,tblIssues[Alert Row],0)),"")</f>
        <v/>
      </c>
      <c r="B304" s="18" t="str">
        <f>IF($A304="","",INDEX(tblIssues[Staff Name (pick)],MATCH(ROW()-5,tblIssues[Alert Row],0)))</f>
        <v/>
      </c>
      <c r="C304" s="18" t="str">
        <f>IF($A304="","",INDEX(tblIssues[Role],MATCH(ROW()-5,tblIssues[Alert Row],0)))</f>
        <v/>
      </c>
      <c r="D304" s="25" t="str">
        <f>IF($A304="","",INDEX(tblIssues[Area],MATCH(ROW()-5,tblIssues[Alert Row],0)))</f>
        <v/>
      </c>
      <c r="E304" s="25" t="str">
        <f>IF($A304="","",INDEX(tblIssues[Item Name],MATCH(ROW()-5,tblIssues[Alert Row],0)))</f>
        <v/>
      </c>
      <c r="F304" s="98" t="str">
        <f>IF($A304="","",INDEX(tblIssues[Month],MATCH(ROW()-5,tblIssues[Alert Row],0)))</f>
        <v/>
      </c>
      <c r="G304" s="23" t="str">
        <f>IF($A304="","",INDEX(tblIssues[Units This Month (Staff/Item)],MATCH(ROW()-5,tblIssues[Alert Row],0)))</f>
        <v/>
      </c>
      <c r="H304" s="23" t="str">
        <f>IF($A304="","",INDEX(tblIssues[Monthly Quota],MATCH(ROW()-5,tblIssues[Alert Row],0)))</f>
        <v/>
      </c>
      <c r="I304" s="27" t="str">
        <f t="shared" si="8"/>
        <v/>
      </c>
      <c r="J304" s="31" t="str">
        <f t="shared" si="9"/>
        <v/>
      </c>
    </row>
    <row r="305" spans="1:10" x14ac:dyDescent="0.35">
      <c r="A305" s="18" t="str">
        <f>IFERROR(INDEX(tblIssues[Staff ID],MATCH(ROW()-5,tblIssues[Alert Row],0)),"")</f>
        <v/>
      </c>
      <c r="B305" s="18" t="str">
        <f>IF($A305="","",INDEX(tblIssues[Staff Name (pick)],MATCH(ROW()-5,tblIssues[Alert Row],0)))</f>
        <v/>
      </c>
      <c r="C305" s="18" t="str">
        <f>IF($A305="","",INDEX(tblIssues[Role],MATCH(ROW()-5,tblIssues[Alert Row],0)))</f>
        <v/>
      </c>
      <c r="D305" s="25" t="str">
        <f>IF($A305="","",INDEX(tblIssues[Area],MATCH(ROW()-5,tblIssues[Alert Row],0)))</f>
        <v/>
      </c>
      <c r="E305" s="25" t="str">
        <f>IF($A305="","",INDEX(tblIssues[Item Name],MATCH(ROW()-5,tblIssues[Alert Row],0)))</f>
        <v/>
      </c>
      <c r="F305" s="98" t="str">
        <f>IF($A305="","",INDEX(tblIssues[Month],MATCH(ROW()-5,tblIssues[Alert Row],0)))</f>
        <v/>
      </c>
      <c r="G305" s="23" t="str">
        <f>IF($A305="","",INDEX(tblIssues[Units This Month (Staff/Item)],MATCH(ROW()-5,tblIssues[Alert Row],0)))</f>
        <v/>
      </c>
      <c r="H305" s="23" t="str">
        <f>IF($A305="","",INDEX(tblIssues[Monthly Quota],MATCH(ROW()-5,tblIssues[Alert Row],0)))</f>
        <v/>
      </c>
      <c r="I305" s="27" t="str">
        <f t="shared" si="8"/>
        <v/>
      </c>
      <c r="J305" s="31" t="str">
        <f t="shared" si="9"/>
        <v/>
      </c>
    </row>
    <row r="306" spans="1:10" x14ac:dyDescent="0.35">
      <c r="A306" s="18" t="str">
        <f>IFERROR(INDEX(tblIssues[Staff ID],MATCH(ROW()-5,tblIssues[Alert Row],0)),"")</f>
        <v/>
      </c>
      <c r="B306" s="18" t="str">
        <f>IF($A306="","",INDEX(tblIssues[Staff Name (pick)],MATCH(ROW()-5,tblIssues[Alert Row],0)))</f>
        <v/>
      </c>
      <c r="C306" s="18" t="str">
        <f>IF($A306="","",INDEX(tblIssues[Role],MATCH(ROW()-5,tblIssues[Alert Row],0)))</f>
        <v/>
      </c>
      <c r="D306" s="25" t="str">
        <f>IF($A306="","",INDEX(tblIssues[Area],MATCH(ROW()-5,tblIssues[Alert Row],0)))</f>
        <v/>
      </c>
      <c r="E306" s="25" t="str">
        <f>IF($A306="","",INDEX(tblIssues[Item Name],MATCH(ROW()-5,tblIssues[Alert Row],0)))</f>
        <v/>
      </c>
      <c r="F306" s="98" t="str">
        <f>IF($A306="","",INDEX(tblIssues[Month],MATCH(ROW()-5,tblIssues[Alert Row],0)))</f>
        <v/>
      </c>
      <c r="G306" s="23" t="str">
        <f>IF($A306="","",INDEX(tblIssues[Units This Month (Staff/Item)],MATCH(ROW()-5,tblIssues[Alert Row],0)))</f>
        <v/>
      </c>
      <c r="H306" s="23" t="str">
        <f>IF($A306="","",INDEX(tblIssues[Monthly Quota],MATCH(ROW()-5,tblIssues[Alert Row],0)))</f>
        <v/>
      </c>
      <c r="I306" s="27" t="str">
        <f t="shared" si="8"/>
        <v/>
      </c>
      <c r="J306" s="31" t="str">
        <f t="shared" si="9"/>
        <v/>
      </c>
    </row>
    <row r="307" spans="1:10" x14ac:dyDescent="0.35">
      <c r="A307" s="18" t="str">
        <f>IFERROR(INDEX(tblIssues[Staff ID],MATCH(ROW()-5,tblIssues[Alert Row],0)),"")</f>
        <v/>
      </c>
      <c r="B307" s="18" t="str">
        <f>IF($A307="","",INDEX(tblIssues[Staff Name (pick)],MATCH(ROW()-5,tblIssues[Alert Row],0)))</f>
        <v/>
      </c>
      <c r="C307" s="18" t="str">
        <f>IF($A307="","",INDEX(tblIssues[Role],MATCH(ROW()-5,tblIssues[Alert Row],0)))</f>
        <v/>
      </c>
      <c r="D307" s="25" t="str">
        <f>IF($A307="","",INDEX(tblIssues[Area],MATCH(ROW()-5,tblIssues[Alert Row],0)))</f>
        <v/>
      </c>
      <c r="E307" s="25" t="str">
        <f>IF($A307="","",INDEX(tblIssues[Item Name],MATCH(ROW()-5,tblIssues[Alert Row],0)))</f>
        <v/>
      </c>
      <c r="F307" s="98" t="str">
        <f>IF($A307="","",INDEX(tblIssues[Month],MATCH(ROW()-5,tblIssues[Alert Row],0)))</f>
        <v/>
      </c>
      <c r="G307" s="23" t="str">
        <f>IF($A307="","",INDEX(tblIssues[Units This Month (Staff/Item)],MATCH(ROW()-5,tblIssues[Alert Row],0)))</f>
        <v/>
      </c>
      <c r="H307" s="23" t="str">
        <f>IF($A307="","",INDEX(tblIssues[Monthly Quota],MATCH(ROW()-5,tblIssues[Alert Row],0)))</f>
        <v/>
      </c>
      <c r="I307" s="27" t="str">
        <f t="shared" si="8"/>
        <v/>
      </c>
      <c r="J307" s="31" t="str">
        <f t="shared" si="9"/>
        <v/>
      </c>
    </row>
    <row r="308" spans="1:10" x14ac:dyDescent="0.35">
      <c r="A308" s="18" t="str">
        <f>IFERROR(INDEX(tblIssues[Staff ID],MATCH(ROW()-5,tblIssues[Alert Row],0)),"")</f>
        <v/>
      </c>
      <c r="B308" s="18" t="str">
        <f>IF($A308="","",INDEX(tblIssues[Staff Name (pick)],MATCH(ROW()-5,tblIssues[Alert Row],0)))</f>
        <v/>
      </c>
      <c r="C308" s="18" t="str">
        <f>IF($A308="","",INDEX(tblIssues[Role],MATCH(ROW()-5,tblIssues[Alert Row],0)))</f>
        <v/>
      </c>
      <c r="D308" s="25" t="str">
        <f>IF($A308="","",INDEX(tblIssues[Area],MATCH(ROW()-5,tblIssues[Alert Row],0)))</f>
        <v/>
      </c>
      <c r="E308" s="25" t="str">
        <f>IF($A308="","",INDEX(tblIssues[Item Name],MATCH(ROW()-5,tblIssues[Alert Row],0)))</f>
        <v/>
      </c>
      <c r="F308" s="98" t="str">
        <f>IF($A308="","",INDEX(tblIssues[Month],MATCH(ROW()-5,tblIssues[Alert Row],0)))</f>
        <v/>
      </c>
      <c r="G308" s="23" t="str">
        <f>IF($A308="","",INDEX(tblIssues[Units This Month (Staff/Item)],MATCH(ROW()-5,tblIssues[Alert Row],0)))</f>
        <v/>
      </c>
      <c r="H308" s="23" t="str">
        <f>IF($A308="","",INDEX(tblIssues[Monthly Quota],MATCH(ROW()-5,tblIssues[Alert Row],0)))</f>
        <v/>
      </c>
      <c r="I308" s="27" t="str">
        <f t="shared" si="8"/>
        <v/>
      </c>
      <c r="J308" s="31" t="str">
        <f t="shared" si="9"/>
        <v/>
      </c>
    </row>
    <row r="309" spans="1:10" x14ac:dyDescent="0.35">
      <c r="A309" s="18" t="str">
        <f>IFERROR(INDEX(tblIssues[Staff ID],MATCH(ROW()-5,tblIssues[Alert Row],0)),"")</f>
        <v/>
      </c>
      <c r="B309" s="18" t="str">
        <f>IF($A309="","",INDEX(tblIssues[Staff Name (pick)],MATCH(ROW()-5,tblIssues[Alert Row],0)))</f>
        <v/>
      </c>
      <c r="C309" s="18" t="str">
        <f>IF($A309="","",INDEX(tblIssues[Role],MATCH(ROW()-5,tblIssues[Alert Row],0)))</f>
        <v/>
      </c>
      <c r="D309" s="25" t="str">
        <f>IF($A309="","",INDEX(tblIssues[Area],MATCH(ROW()-5,tblIssues[Alert Row],0)))</f>
        <v/>
      </c>
      <c r="E309" s="25" t="str">
        <f>IF($A309="","",INDEX(tblIssues[Item Name],MATCH(ROW()-5,tblIssues[Alert Row],0)))</f>
        <v/>
      </c>
      <c r="F309" s="98" t="str">
        <f>IF($A309="","",INDEX(tblIssues[Month],MATCH(ROW()-5,tblIssues[Alert Row],0)))</f>
        <v/>
      </c>
      <c r="G309" s="23" t="str">
        <f>IF($A309="","",INDEX(tblIssues[Units This Month (Staff/Item)],MATCH(ROW()-5,tblIssues[Alert Row],0)))</f>
        <v/>
      </c>
      <c r="H309" s="23" t="str">
        <f>IF($A309="","",INDEX(tblIssues[Monthly Quota],MATCH(ROW()-5,tblIssues[Alert Row],0)))</f>
        <v/>
      </c>
      <c r="I309" s="27" t="str">
        <f t="shared" si="8"/>
        <v/>
      </c>
      <c r="J309" s="31" t="str">
        <f t="shared" si="9"/>
        <v/>
      </c>
    </row>
    <row r="310" spans="1:10" x14ac:dyDescent="0.35">
      <c r="A310" s="18" t="str">
        <f>IFERROR(INDEX(tblIssues[Staff ID],MATCH(ROW()-5,tblIssues[Alert Row],0)),"")</f>
        <v/>
      </c>
      <c r="B310" s="18" t="str">
        <f>IF($A310="","",INDEX(tblIssues[Staff Name (pick)],MATCH(ROW()-5,tblIssues[Alert Row],0)))</f>
        <v/>
      </c>
      <c r="C310" s="18" t="str">
        <f>IF($A310="","",INDEX(tblIssues[Role],MATCH(ROW()-5,tblIssues[Alert Row],0)))</f>
        <v/>
      </c>
      <c r="D310" s="25" t="str">
        <f>IF($A310="","",INDEX(tblIssues[Area],MATCH(ROW()-5,tblIssues[Alert Row],0)))</f>
        <v/>
      </c>
      <c r="E310" s="25" t="str">
        <f>IF($A310="","",INDEX(tblIssues[Item Name],MATCH(ROW()-5,tblIssues[Alert Row],0)))</f>
        <v/>
      </c>
      <c r="F310" s="98" t="str">
        <f>IF($A310="","",INDEX(tblIssues[Month],MATCH(ROW()-5,tblIssues[Alert Row],0)))</f>
        <v/>
      </c>
      <c r="G310" s="23" t="str">
        <f>IF($A310="","",INDEX(tblIssues[Units This Month (Staff/Item)],MATCH(ROW()-5,tblIssues[Alert Row],0)))</f>
        <v/>
      </c>
      <c r="H310" s="23" t="str">
        <f>IF($A310="","",INDEX(tblIssues[Monthly Quota],MATCH(ROW()-5,tblIssues[Alert Row],0)))</f>
        <v/>
      </c>
      <c r="I310" s="27" t="str">
        <f t="shared" si="8"/>
        <v/>
      </c>
      <c r="J310" s="31" t="str">
        <f t="shared" si="9"/>
        <v/>
      </c>
    </row>
    <row r="311" spans="1:10" x14ac:dyDescent="0.35">
      <c r="A311" s="18" t="str">
        <f>IFERROR(INDEX(tblIssues[Staff ID],MATCH(ROW()-5,tblIssues[Alert Row],0)),"")</f>
        <v/>
      </c>
      <c r="B311" s="18" t="str">
        <f>IF($A311="","",INDEX(tblIssues[Staff Name (pick)],MATCH(ROW()-5,tblIssues[Alert Row],0)))</f>
        <v/>
      </c>
      <c r="C311" s="18" t="str">
        <f>IF($A311="","",INDEX(tblIssues[Role],MATCH(ROW()-5,tblIssues[Alert Row],0)))</f>
        <v/>
      </c>
      <c r="D311" s="25" t="str">
        <f>IF($A311="","",INDEX(tblIssues[Area],MATCH(ROW()-5,tblIssues[Alert Row],0)))</f>
        <v/>
      </c>
      <c r="E311" s="25" t="str">
        <f>IF($A311="","",INDEX(tblIssues[Item Name],MATCH(ROW()-5,tblIssues[Alert Row],0)))</f>
        <v/>
      </c>
      <c r="F311" s="98" t="str">
        <f>IF($A311="","",INDEX(tblIssues[Month],MATCH(ROW()-5,tblIssues[Alert Row],0)))</f>
        <v/>
      </c>
      <c r="G311" s="23" t="str">
        <f>IF($A311="","",INDEX(tblIssues[Units This Month (Staff/Item)],MATCH(ROW()-5,tblIssues[Alert Row],0)))</f>
        <v/>
      </c>
      <c r="H311" s="23" t="str">
        <f>IF($A311="","",INDEX(tblIssues[Monthly Quota],MATCH(ROW()-5,tblIssues[Alert Row],0)))</f>
        <v/>
      </c>
      <c r="I311" s="27" t="str">
        <f t="shared" si="8"/>
        <v/>
      </c>
      <c r="J311" s="31" t="str">
        <f t="shared" si="9"/>
        <v/>
      </c>
    </row>
    <row r="312" spans="1:10" x14ac:dyDescent="0.35">
      <c r="A312" s="18" t="str">
        <f>IFERROR(INDEX(tblIssues[Staff ID],MATCH(ROW()-5,tblIssues[Alert Row],0)),"")</f>
        <v/>
      </c>
      <c r="B312" s="18" t="str">
        <f>IF($A312="","",INDEX(tblIssues[Staff Name (pick)],MATCH(ROW()-5,tblIssues[Alert Row],0)))</f>
        <v/>
      </c>
      <c r="C312" s="18" t="str">
        <f>IF($A312="","",INDEX(tblIssues[Role],MATCH(ROW()-5,tblIssues[Alert Row],0)))</f>
        <v/>
      </c>
      <c r="D312" s="25" t="str">
        <f>IF($A312="","",INDEX(tblIssues[Area],MATCH(ROW()-5,tblIssues[Alert Row],0)))</f>
        <v/>
      </c>
      <c r="E312" s="25" t="str">
        <f>IF($A312="","",INDEX(tblIssues[Item Name],MATCH(ROW()-5,tblIssues[Alert Row],0)))</f>
        <v/>
      </c>
      <c r="F312" s="98" t="str">
        <f>IF($A312="","",INDEX(tblIssues[Month],MATCH(ROW()-5,tblIssues[Alert Row],0)))</f>
        <v/>
      </c>
      <c r="G312" s="23" t="str">
        <f>IF($A312="","",INDEX(tblIssues[Units This Month (Staff/Item)],MATCH(ROW()-5,tblIssues[Alert Row],0)))</f>
        <v/>
      </c>
      <c r="H312" s="23" t="str">
        <f>IF($A312="","",INDEX(tblIssues[Monthly Quota],MATCH(ROW()-5,tblIssues[Alert Row],0)))</f>
        <v/>
      </c>
      <c r="I312" s="27" t="str">
        <f t="shared" si="8"/>
        <v/>
      </c>
      <c r="J312" s="31" t="str">
        <f t="shared" si="9"/>
        <v/>
      </c>
    </row>
    <row r="313" spans="1:10" x14ac:dyDescent="0.35">
      <c r="A313" s="18" t="str">
        <f>IFERROR(INDEX(tblIssues[Staff ID],MATCH(ROW()-5,tblIssues[Alert Row],0)),"")</f>
        <v/>
      </c>
      <c r="B313" s="18" t="str">
        <f>IF($A313="","",INDEX(tblIssues[Staff Name (pick)],MATCH(ROW()-5,tblIssues[Alert Row],0)))</f>
        <v/>
      </c>
      <c r="C313" s="18" t="str">
        <f>IF($A313="","",INDEX(tblIssues[Role],MATCH(ROW()-5,tblIssues[Alert Row],0)))</f>
        <v/>
      </c>
      <c r="D313" s="25" t="str">
        <f>IF($A313="","",INDEX(tblIssues[Area],MATCH(ROW()-5,tblIssues[Alert Row],0)))</f>
        <v/>
      </c>
      <c r="E313" s="25" t="str">
        <f>IF($A313="","",INDEX(tblIssues[Item Name],MATCH(ROW()-5,tblIssues[Alert Row],0)))</f>
        <v/>
      </c>
      <c r="F313" s="98" t="str">
        <f>IF($A313="","",INDEX(tblIssues[Month],MATCH(ROW()-5,tblIssues[Alert Row],0)))</f>
        <v/>
      </c>
      <c r="G313" s="23" t="str">
        <f>IF($A313="","",INDEX(tblIssues[Units This Month (Staff/Item)],MATCH(ROW()-5,tblIssues[Alert Row],0)))</f>
        <v/>
      </c>
      <c r="H313" s="23" t="str">
        <f>IF($A313="","",INDEX(tblIssues[Monthly Quota],MATCH(ROW()-5,tblIssues[Alert Row],0)))</f>
        <v/>
      </c>
      <c r="I313" s="27" t="str">
        <f t="shared" si="8"/>
        <v/>
      </c>
      <c r="J313" s="31" t="str">
        <f t="shared" si="9"/>
        <v/>
      </c>
    </row>
    <row r="314" spans="1:10" x14ac:dyDescent="0.35">
      <c r="A314" s="18" t="str">
        <f>IFERROR(INDEX(tblIssues[Staff ID],MATCH(ROW()-5,tblIssues[Alert Row],0)),"")</f>
        <v/>
      </c>
      <c r="B314" s="18" t="str">
        <f>IF($A314="","",INDEX(tblIssues[Staff Name (pick)],MATCH(ROW()-5,tblIssues[Alert Row],0)))</f>
        <v/>
      </c>
      <c r="C314" s="18" t="str">
        <f>IF($A314="","",INDEX(tblIssues[Role],MATCH(ROW()-5,tblIssues[Alert Row],0)))</f>
        <v/>
      </c>
      <c r="D314" s="25" t="str">
        <f>IF($A314="","",INDEX(tblIssues[Area],MATCH(ROW()-5,tblIssues[Alert Row],0)))</f>
        <v/>
      </c>
      <c r="E314" s="25" t="str">
        <f>IF($A314="","",INDEX(tblIssues[Item Name],MATCH(ROW()-5,tblIssues[Alert Row],0)))</f>
        <v/>
      </c>
      <c r="F314" s="98" t="str">
        <f>IF($A314="","",INDEX(tblIssues[Month],MATCH(ROW()-5,tblIssues[Alert Row],0)))</f>
        <v/>
      </c>
      <c r="G314" s="23" t="str">
        <f>IF($A314="","",INDEX(tblIssues[Units This Month (Staff/Item)],MATCH(ROW()-5,tblIssues[Alert Row],0)))</f>
        <v/>
      </c>
      <c r="H314" s="23" t="str">
        <f>IF($A314="","",INDEX(tblIssues[Monthly Quota],MATCH(ROW()-5,tblIssues[Alert Row],0)))</f>
        <v/>
      </c>
      <c r="I314" s="27" t="str">
        <f t="shared" si="8"/>
        <v/>
      </c>
      <c r="J314" s="31" t="str">
        <f t="shared" si="9"/>
        <v/>
      </c>
    </row>
    <row r="315" spans="1:10" x14ac:dyDescent="0.35">
      <c r="A315" s="18" t="str">
        <f>IFERROR(INDEX(tblIssues[Staff ID],MATCH(ROW()-5,tblIssues[Alert Row],0)),"")</f>
        <v/>
      </c>
      <c r="B315" s="18" t="str">
        <f>IF($A315="","",INDEX(tblIssues[Staff Name (pick)],MATCH(ROW()-5,tblIssues[Alert Row],0)))</f>
        <v/>
      </c>
      <c r="C315" s="18" t="str">
        <f>IF($A315="","",INDEX(tblIssues[Role],MATCH(ROW()-5,tblIssues[Alert Row],0)))</f>
        <v/>
      </c>
      <c r="D315" s="25" t="str">
        <f>IF($A315="","",INDEX(tblIssues[Area],MATCH(ROW()-5,tblIssues[Alert Row],0)))</f>
        <v/>
      </c>
      <c r="E315" s="25" t="str">
        <f>IF($A315="","",INDEX(tblIssues[Item Name],MATCH(ROW()-5,tblIssues[Alert Row],0)))</f>
        <v/>
      </c>
      <c r="F315" s="98" t="str">
        <f>IF($A315="","",INDEX(tblIssues[Month],MATCH(ROW()-5,tblIssues[Alert Row],0)))</f>
        <v/>
      </c>
      <c r="G315" s="23" t="str">
        <f>IF($A315="","",INDEX(tblIssues[Units This Month (Staff/Item)],MATCH(ROW()-5,tblIssues[Alert Row],0)))</f>
        <v/>
      </c>
      <c r="H315" s="23" t="str">
        <f>IF($A315="","",INDEX(tblIssues[Monthly Quota],MATCH(ROW()-5,tblIssues[Alert Row],0)))</f>
        <v/>
      </c>
      <c r="I315" s="27" t="str">
        <f t="shared" si="8"/>
        <v/>
      </c>
      <c r="J315" s="31" t="str">
        <f t="shared" si="9"/>
        <v/>
      </c>
    </row>
    <row r="316" spans="1:10" x14ac:dyDescent="0.35">
      <c r="A316" s="18" t="str">
        <f>IFERROR(INDEX(tblIssues[Staff ID],MATCH(ROW()-5,tblIssues[Alert Row],0)),"")</f>
        <v/>
      </c>
      <c r="B316" s="18" t="str">
        <f>IF($A316="","",INDEX(tblIssues[Staff Name (pick)],MATCH(ROW()-5,tblIssues[Alert Row],0)))</f>
        <v/>
      </c>
      <c r="C316" s="18" t="str">
        <f>IF($A316="","",INDEX(tblIssues[Role],MATCH(ROW()-5,tblIssues[Alert Row],0)))</f>
        <v/>
      </c>
      <c r="D316" s="25" t="str">
        <f>IF($A316="","",INDEX(tblIssues[Area],MATCH(ROW()-5,tblIssues[Alert Row],0)))</f>
        <v/>
      </c>
      <c r="E316" s="25" t="str">
        <f>IF($A316="","",INDEX(tblIssues[Item Name],MATCH(ROW()-5,tblIssues[Alert Row],0)))</f>
        <v/>
      </c>
      <c r="F316" s="98" t="str">
        <f>IF($A316="","",INDEX(tblIssues[Month],MATCH(ROW()-5,tblIssues[Alert Row],0)))</f>
        <v/>
      </c>
      <c r="G316" s="23" t="str">
        <f>IF($A316="","",INDEX(tblIssues[Units This Month (Staff/Item)],MATCH(ROW()-5,tblIssues[Alert Row],0)))</f>
        <v/>
      </c>
      <c r="H316" s="23" t="str">
        <f>IF($A316="","",INDEX(tblIssues[Monthly Quota],MATCH(ROW()-5,tblIssues[Alert Row],0)))</f>
        <v/>
      </c>
      <c r="I316" s="27" t="str">
        <f t="shared" si="8"/>
        <v/>
      </c>
      <c r="J316" s="31" t="str">
        <f t="shared" si="9"/>
        <v/>
      </c>
    </row>
    <row r="317" spans="1:10" x14ac:dyDescent="0.35">
      <c r="A317" s="18" t="str">
        <f>IFERROR(INDEX(tblIssues[Staff ID],MATCH(ROW()-5,tblIssues[Alert Row],0)),"")</f>
        <v/>
      </c>
      <c r="B317" s="18" t="str">
        <f>IF($A317="","",INDEX(tblIssues[Staff Name (pick)],MATCH(ROW()-5,tblIssues[Alert Row],0)))</f>
        <v/>
      </c>
      <c r="C317" s="18" t="str">
        <f>IF($A317="","",INDEX(tblIssues[Role],MATCH(ROW()-5,tblIssues[Alert Row],0)))</f>
        <v/>
      </c>
      <c r="D317" s="25" t="str">
        <f>IF($A317="","",INDEX(tblIssues[Area],MATCH(ROW()-5,tblIssues[Alert Row],0)))</f>
        <v/>
      </c>
      <c r="E317" s="25" t="str">
        <f>IF($A317="","",INDEX(tblIssues[Item Name],MATCH(ROW()-5,tblIssues[Alert Row],0)))</f>
        <v/>
      </c>
      <c r="F317" s="98" t="str">
        <f>IF($A317="","",INDEX(tblIssues[Month],MATCH(ROW()-5,tblIssues[Alert Row],0)))</f>
        <v/>
      </c>
      <c r="G317" s="23" t="str">
        <f>IF($A317="","",INDEX(tblIssues[Units This Month (Staff/Item)],MATCH(ROW()-5,tblIssues[Alert Row],0)))</f>
        <v/>
      </c>
      <c r="H317" s="23" t="str">
        <f>IF($A317="","",INDEX(tblIssues[Monthly Quota],MATCH(ROW()-5,tblIssues[Alert Row],0)))</f>
        <v/>
      </c>
      <c r="I317" s="27" t="str">
        <f t="shared" si="8"/>
        <v/>
      </c>
      <c r="J317" s="31" t="str">
        <f t="shared" si="9"/>
        <v/>
      </c>
    </row>
    <row r="318" spans="1:10" x14ac:dyDescent="0.35">
      <c r="A318" s="18" t="str">
        <f>IFERROR(INDEX(tblIssues[Staff ID],MATCH(ROW()-5,tblIssues[Alert Row],0)),"")</f>
        <v/>
      </c>
      <c r="B318" s="18" t="str">
        <f>IF($A318="","",INDEX(tblIssues[Staff Name (pick)],MATCH(ROW()-5,tblIssues[Alert Row],0)))</f>
        <v/>
      </c>
      <c r="C318" s="18" t="str">
        <f>IF($A318="","",INDEX(tblIssues[Role],MATCH(ROW()-5,tblIssues[Alert Row],0)))</f>
        <v/>
      </c>
      <c r="D318" s="25" t="str">
        <f>IF($A318="","",INDEX(tblIssues[Area],MATCH(ROW()-5,tblIssues[Alert Row],0)))</f>
        <v/>
      </c>
      <c r="E318" s="25" t="str">
        <f>IF($A318="","",INDEX(tblIssues[Item Name],MATCH(ROW()-5,tblIssues[Alert Row],0)))</f>
        <v/>
      </c>
      <c r="F318" s="98" t="str">
        <f>IF($A318="","",INDEX(tblIssues[Month],MATCH(ROW()-5,tblIssues[Alert Row],0)))</f>
        <v/>
      </c>
      <c r="G318" s="23" t="str">
        <f>IF($A318="","",INDEX(tblIssues[Units This Month (Staff/Item)],MATCH(ROW()-5,tblIssues[Alert Row],0)))</f>
        <v/>
      </c>
      <c r="H318" s="23" t="str">
        <f>IF($A318="","",INDEX(tblIssues[Monthly Quota],MATCH(ROW()-5,tblIssues[Alert Row],0)))</f>
        <v/>
      </c>
      <c r="I318" s="27" t="str">
        <f t="shared" si="8"/>
        <v/>
      </c>
      <c r="J318" s="31" t="str">
        <f t="shared" si="9"/>
        <v/>
      </c>
    </row>
    <row r="319" spans="1:10" x14ac:dyDescent="0.35">
      <c r="A319" s="18" t="str">
        <f>IFERROR(INDEX(tblIssues[Staff ID],MATCH(ROW()-5,tblIssues[Alert Row],0)),"")</f>
        <v/>
      </c>
      <c r="B319" s="18" t="str">
        <f>IF($A319="","",INDEX(tblIssues[Staff Name (pick)],MATCH(ROW()-5,tblIssues[Alert Row],0)))</f>
        <v/>
      </c>
      <c r="C319" s="18" t="str">
        <f>IF($A319="","",INDEX(tblIssues[Role],MATCH(ROW()-5,tblIssues[Alert Row],0)))</f>
        <v/>
      </c>
      <c r="D319" s="25" t="str">
        <f>IF($A319="","",INDEX(tblIssues[Area],MATCH(ROW()-5,tblIssues[Alert Row],0)))</f>
        <v/>
      </c>
      <c r="E319" s="25" t="str">
        <f>IF($A319="","",INDEX(tblIssues[Item Name],MATCH(ROW()-5,tblIssues[Alert Row],0)))</f>
        <v/>
      </c>
      <c r="F319" s="98" t="str">
        <f>IF($A319="","",INDEX(tblIssues[Month],MATCH(ROW()-5,tblIssues[Alert Row],0)))</f>
        <v/>
      </c>
      <c r="G319" s="23" t="str">
        <f>IF($A319="","",INDEX(tblIssues[Units This Month (Staff/Item)],MATCH(ROW()-5,tblIssues[Alert Row],0)))</f>
        <v/>
      </c>
      <c r="H319" s="23" t="str">
        <f>IF($A319="","",INDEX(tblIssues[Monthly Quota],MATCH(ROW()-5,tblIssues[Alert Row],0)))</f>
        <v/>
      </c>
      <c r="I319" s="27" t="str">
        <f t="shared" si="8"/>
        <v/>
      </c>
      <c r="J319" s="31" t="str">
        <f t="shared" si="9"/>
        <v/>
      </c>
    </row>
    <row r="320" spans="1:10" x14ac:dyDescent="0.35">
      <c r="A320" s="18" t="str">
        <f>IFERROR(INDEX(tblIssues[Staff ID],MATCH(ROW()-5,tblIssues[Alert Row],0)),"")</f>
        <v/>
      </c>
      <c r="B320" s="18" t="str">
        <f>IF($A320="","",INDEX(tblIssues[Staff Name (pick)],MATCH(ROW()-5,tblIssues[Alert Row],0)))</f>
        <v/>
      </c>
      <c r="C320" s="18" t="str">
        <f>IF($A320="","",INDEX(tblIssues[Role],MATCH(ROW()-5,tblIssues[Alert Row],0)))</f>
        <v/>
      </c>
      <c r="D320" s="25" t="str">
        <f>IF($A320="","",INDEX(tblIssues[Area],MATCH(ROW()-5,tblIssues[Alert Row],0)))</f>
        <v/>
      </c>
      <c r="E320" s="25" t="str">
        <f>IF($A320="","",INDEX(tblIssues[Item Name],MATCH(ROW()-5,tblIssues[Alert Row],0)))</f>
        <v/>
      </c>
      <c r="F320" s="98" t="str">
        <f>IF($A320="","",INDEX(tblIssues[Month],MATCH(ROW()-5,tblIssues[Alert Row],0)))</f>
        <v/>
      </c>
      <c r="G320" s="23" t="str">
        <f>IF($A320="","",INDEX(tblIssues[Units This Month (Staff/Item)],MATCH(ROW()-5,tblIssues[Alert Row],0)))</f>
        <v/>
      </c>
      <c r="H320" s="23" t="str">
        <f>IF($A320="","",INDEX(tblIssues[Monthly Quota],MATCH(ROW()-5,tblIssues[Alert Row],0)))</f>
        <v/>
      </c>
      <c r="I320" s="27" t="str">
        <f t="shared" si="8"/>
        <v/>
      </c>
      <c r="J320" s="31" t="str">
        <f t="shared" si="9"/>
        <v/>
      </c>
    </row>
    <row r="321" spans="1:10" x14ac:dyDescent="0.35">
      <c r="A321" s="18" t="str">
        <f>IFERROR(INDEX(tblIssues[Staff ID],MATCH(ROW()-5,tblIssues[Alert Row],0)),"")</f>
        <v/>
      </c>
      <c r="B321" s="18" t="str">
        <f>IF($A321="","",INDEX(tblIssues[Staff Name (pick)],MATCH(ROW()-5,tblIssues[Alert Row],0)))</f>
        <v/>
      </c>
      <c r="C321" s="18" t="str">
        <f>IF($A321="","",INDEX(tblIssues[Role],MATCH(ROW()-5,tblIssues[Alert Row],0)))</f>
        <v/>
      </c>
      <c r="D321" s="25" t="str">
        <f>IF($A321="","",INDEX(tblIssues[Area],MATCH(ROW()-5,tblIssues[Alert Row],0)))</f>
        <v/>
      </c>
      <c r="E321" s="25" t="str">
        <f>IF($A321="","",INDEX(tblIssues[Item Name],MATCH(ROW()-5,tblIssues[Alert Row],0)))</f>
        <v/>
      </c>
      <c r="F321" s="98" t="str">
        <f>IF($A321="","",INDEX(tblIssues[Month],MATCH(ROW()-5,tblIssues[Alert Row],0)))</f>
        <v/>
      </c>
      <c r="G321" s="23" t="str">
        <f>IF($A321="","",INDEX(tblIssues[Units This Month (Staff/Item)],MATCH(ROW()-5,tblIssues[Alert Row],0)))</f>
        <v/>
      </c>
      <c r="H321" s="23" t="str">
        <f>IF($A321="","",INDEX(tblIssues[Monthly Quota],MATCH(ROW()-5,tblIssues[Alert Row],0)))</f>
        <v/>
      </c>
      <c r="I321" s="27" t="str">
        <f t="shared" si="8"/>
        <v/>
      </c>
      <c r="J321" s="31" t="str">
        <f t="shared" si="9"/>
        <v/>
      </c>
    </row>
    <row r="322" spans="1:10" x14ac:dyDescent="0.35">
      <c r="A322" s="18" t="str">
        <f>IFERROR(INDEX(tblIssues[Staff ID],MATCH(ROW()-5,tblIssues[Alert Row],0)),"")</f>
        <v/>
      </c>
      <c r="B322" s="18" t="str">
        <f>IF($A322="","",INDEX(tblIssues[Staff Name (pick)],MATCH(ROW()-5,tblIssues[Alert Row],0)))</f>
        <v/>
      </c>
      <c r="C322" s="18" t="str">
        <f>IF($A322="","",INDEX(tblIssues[Role],MATCH(ROW()-5,tblIssues[Alert Row],0)))</f>
        <v/>
      </c>
      <c r="D322" s="25" t="str">
        <f>IF($A322="","",INDEX(tblIssues[Area],MATCH(ROW()-5,tblIssues[Alert Row],0)))</f>
        <v/>
      </c>
      <c r="E322" s="25" t="str">
        <f>IF($A322="","",INDEX(tblIssues[Item Name],MATCH(ROW()-5,tblIssues[Alert Row],0)))</f>
        <v/>
      </c>
      <c r="F322" s="98" t="str">
        <f>IF($A322="","",INDEX(tblIssues[Month],MATCH(ROW()-5,tblIssues[Alert Row],0)))</f>
        <v/>
      </c>
      <c r="G322" s="23" t="str">
        <f>IF($A322="","",INDEX(tblIssues[Units This Month (Staff/Item)],MATCH(ROW()-5,tblIssues[Alert Row],0)))</f>
        <v/>
      </c>
      <c r="H322" s="23" t="str">
        <f>IF($A322="","",INDEX(tblIssues[Monthly Quota],MATCH(ROW()-5,tblIssues[Alert Row],0)))</f>
        <v/>
      </c>
      <c r="I322" s="27" t="str">
        <f t="shared" si="8"/>
        <v/>
      </c>
      <c r="J322" s="31" t="str">
        <f t="shared" si="9"/>
        <v/>
      </c>
    </row>
    <row r="323" spans="1:10" x14ac:dyDescent="0.35">
      <c r="A323" s="18" t="str">
        <f>IFERROR(INDEX(tblIssues[Staff ID],MATCH(ROW()-5,tblIssues[Alert Row],0)),"")</f>
        <v/>
      </c>
      <c r="B323" s="18" t="str">
        <f>IF($A323="","",INDEX(tblIssues[Staff Name (pick)],MATCH(ROW()-5,tblIssues[Alert Row],0)))</f>
        <v/>
      </c>
      <c r="C323" s="18" t="str">
        <f>IF($A323="","",INDEX(tblIssues[Role],MATCH(ROW()-5,tblIssues[Alert Row],0)))</f>
        <v/>
      </c>
      <c r="D323" s="25" t="str">
        <f>IF($A323="","",INDEX(tblIssues[Area],MATCH(ROW()-5,tblIssues[Alert Row],0)))</f>
        <v/>
      </c>
      <c r="E323" s="25" t="str">
        <f>IF($A323="","",INDEX(tblIssues[Item Name],MATCH(ROW()-5,tblIssues[Alert Row],0)))</f>
        <v/>
      </c>
      <c r="F323" s="98" t="str">
        <f>IF($A323="","",INDEX(tblIssues[Month],MATCH(ROW()-5,tblIssues[Alert Row],0)))</f>
        <v/>
      </c>
      <c r="G323" s="23" t="str">
        <f>IF($A323="","",INDEX(tblIssues[Units This Month (Staff/Item)],MATCH(ROW()-5,tblIssues[Alert Row],0)))</f>
        <v/>
      </c>
      <c r="H323" s="23" t="str">
        <f>IF($A323="","",INDEX(tblIssues[Monthly Quota],MATCH(ROW()-5,tblIssues[Alert Row],0)))</f>
        <v/>
      </c>
      <c r="I323" s="27" t="str">
        <f t="shared" si="8"/>
        <v/>
      </c>
      <c r="J323" s="31" t="str">
        <f t="shared" si="9"/>
        <v/>
      </c>
    </row>
    <row r="324" spans="1:10" x14ac:dyDescent="0.35">
      <c r="A324" s="18" t="str">
        <f>IFERROR(INDEX(tblIssues[Staff ID],MATCH(ROW()-5,tblIssues[Alert Row],0)),"")</f>
        <v/>
      </c>
      <c r="B324" s="18" t="str">
        <f>IF($A324="","",INDEX(tblIssues[Staff Name (pick)],MATCH(ROW()-5,tblIssues[Alert Row],0)))</f>
        <v/>
      </c>
      <c r="C324" s="18" t="str">
        <f>IF($A324="","",INDEX(tblIssues[Role],MATCH(ROW()-5,tblIssues[Alert Row],0)))</f>
        <v/>
      </c>
      <c r="D324" s="25" t="str">
        <f>IF($A324="","",INDEX(tblIssues[Area],MATCH(ROW()-5,tblIssues[Alert Row],0)))</f>
        <v/>
      </c>
      <c r="E324" s="25" t="str">
        <f>IF($A324="","",INDEX(tblIssues[Item Name],MATCH(ROW()-5,tblIssues[Alert Row],0)))</f>
        <v/>
      </c>
      <c r="F324" s="98" t="str">
        <f>IF($A324="","",INDEX(tblIssues[Month],MATCH(ROW()-5,tblIssues[Alert Row],0)))</f>
        <v/>
      </c>
      <c r="G324" s="23" t="str">
        <f>IF($A324="","",INDEX(tblIssues[Units This Month (Staff/Item)],MATCH(ROW()-5,tblIssues[Alert Row],0)))</f>
        <v/>
      </c>
      <c r="H324" s="23" t="str">
        <f>IF($A324="","",INDEX(tblIssues[Monthly Quota],MATCH(ROW()-5,tblIssues[Alert Row],0)))</f>
        <v/>
      </c>
      <c r="I324" s="27" t="str">
        <f t="shared" si="8"/>
        <v/>
      </c>
      <c r="J324" s="31" t="str">
        <f t="shared" si="9"/>
        <v/>
      </c>
    </row>
    <row r="325" spans="1:10" x14ac:dyDescent="0.35">
      <c r="A325" s="18" t="str">
        <f>IFERROR(INDEX(tblIssues[Staff ID],MATCH(ROW()-5,tblIssues[Alert Row],0)),"")</f>
        <v/>
      </c>
      <c r="B325" s="18" t="str">
        <f>IF($A325="","",INDEX(tblIssues[Staff Name (pick)],MATCH(ROW()-5,tblIssues[Alert Row],0)))</f>
        <v/>
      </c>
      <c r="C325" s="18" t="str">
        <f>IF($A325="","",INDEX(tblIssues[Role],MATCH(ROW()-5,tblIssues[Alert Row],0)))</f>
        <v/>
      </c>
      <c r="D325" s="25" t="str">
        <f>IF($A325="","",INDEX(tblIssues[Area],MATCH(ROW()-5,tblIssues[Alert Row],0)))</f>
        <v/>
      </c>
      <c r="E325" s="25" t="str">
        <f>IF($A325="","",INDEX(tblIssues[Item Name],MATCH(ROW()-5,tblIssues[Alert Row],0)))</f>
        <v/>
      </c>
      <c r="F325" s="98" t="str">
        <f>IF($A325="","",INDEX(tblIssues[Month],MATCH(ROW()-5,tblIssues[Alert Row],0)))</f>
        <v/>
      </c>
      <c r="G325" s="23" t="str">
        <f>IF($A325="","",INDEX(tblIssues[Units This Month (Staff/Item)],MATCH(ROW()-5,tblIssues[Alert Row],0)))</f>
        <v/>
      </c>
      <c r="H325" s="23" t="str">
        <f>IF($A325="","",INDEX(tblIssues[Monthly Quota],MATCH(ROW()-5,tblIssues[Alert Row],0)))</f>
        <v/>
      </c>
      <c r="I325" s="27" t="str">
        <f t="shared" si="8"/>
        <v/>
      </c>
      <c r="J325" s="31" t="str">
        <f t="shared" si="9"/>
        <v/>
      </c>
    </row>
    <row r="326" spans="1:10" x14ac:dyDescent="0.35">
      <c r="A326" s="18" t="str">
        <f>IFERROR(INDEX(tblIssues[Staff ID],MATCH(ROW()-5,tblIssues[Alert Row],0)),"")</f>
        <v/>
      </c>
      <c r="B326" s="18" t="str">
        <f>IF($A326="","",INDEX(tblIssues[Staff Name (pick)],MATCH(ROW()-5,tblIssues[Alert Row],0)))</f>
        <v/>
      </c>
      <c r="C326" s="18" t="str">
        <f>IF($A326="","",INDEX(tblIssues[Role],MATCH(ROW()-5,tblIssues[Alert Row],0)))</f>
        <v/>
      </c>
      <c r="D326" s="25" t="str">
        <f>IF($A326="","",INDEX(tblIssues[Area],MATCH(ROW()-5,tblIssues[Alert Row],0)))</f>
        <v/>
      </c>
      <c r="E326" s="25" t="str">
        <f>IF($A326="","",INDEX(tblIssues[Item Name],MATCH(ROW()-5,tblIssues[Alert Row],0)))</f>
        <v/>
      </c>
      <c r="F326" s="98" t="str">
        <f>IF($A326="","",INDEX(tblIssues[Month],MATCH(ROW()-5,tblIssues[Alert Row],0)))</f>
        <v/>
      </c>
      <c r="G326" s="23" t="str">
        <f>IF($A326="","",INDEX(tblIssues[Units This Month (Staff/Item)],MATCH(ROW()-5,tblIssues[Alert Row],0)))</f>
        <v/>
      </c>
      <c r="H326" s="23" t="str">
        <f>IF($A326="","",INDEX(tblIssues[Monthly Quota],MATCH(ROW()-5,tblIssues[Alert Row],0)))</f>
        <v/>
      </c>
      <c r="I326" s="27" t="str">
        <f t="shared" ref="I326:I389" si="10">IF($A326="","",$G326-$H326)</f>
        <v/>
      </c>
      <c r="J326" s="31" t="str">
        <f t="shared" ref="J326:J389" si="11">IF($A326="","","⚠ OVER QUOTA")</f>
        <v/>
      </c>
    </row>
    <row r="327" spans="1:10" x14ac:dyDescent="0.35">
      <c r="A327" s="18" t="str">
        <f>IFERROR(INDEX(tblIssues[Staff ID],MATCH(ROW()-5,tblIssues[Alert Row],0)),"")</f>
        <v/>
      </c>
      <c r="B327" s="18" t="str">
        <f>IF($A327="","",INDEX(tblIssues[Staff Name (pick)],MATCH(ROW()-5,tblIssues[Alert Row],0)))</f>
        <v/>
      </c>
      <c r="C327" s="18" t="str">
        <f>IF($A327="","",INDEX(tblIssues[Role],MATCH(ROW()-5,tblIssues[Alert Row],0)))</f>
        <v/>
      </c>
      <c r="D327" s="25" t="str">
        <f>IF($A327="","",INDEX(tblIssues[Area],MATCH(ROW()-5,tblIssues[Alert Row],0)))</f>
        <v/>
      </c>
      <c r="E327" s="25" t="str">
        <f>IF($A327="","",INDEX(tblIssues[Item Name],MATCH(ROW()-5,tblIssues[Alert Row],0)))</f>
        <v/>
      </c>
      <c r="F327" s="98" t="str">
        <f>IF($A327="","",INDEX(tblIssues[Month],MATCH(ROW()-5,tblIssues[Alert Row],0)))</f>
        <v/>
      </c>
      <c r="G327" s="23" t="str">
        <f>IF($A327="","",INDEX(tblIssues[Units This Month (Staff/Item)],MATCH(ROW()-5,tblIssues[Alert Row],0)))</f>
        <v/>
      </c>
      <c r="H327" s="23" t="str">
        <f>IF($A327="","",INDEX(tblIssues[Monthly Quota],MATCH(ROW()-5,tblIssues[Alert Row],0)))</f>
        <v/>
      </c>
      <c r="I327" s="27" t="str">
        <f t="shared" si="10"/>
        <v/>
      </c>
      <c r="J327" s="31" t="str">
        <f t="shared" si="11"/>
        <v/>
      </c>
    </row>
    <row r="328" spans="1:10" x14ac:dyDescent="0.35">
      <c r="A328" s="18" t="str">
        <f>IFERROR(INDEX(tblIssues[Staff ID],MATCH(ROW()-5,tblIssues[Alert Row],0)),"")</f>
        <v/>
      </c>
      <c r="B328" s="18" t="str">
        <f>IF($A328="","",INDEX(tblIssues[Staff Name (pick)],MATCH(ROW()-5,tblIssues[Alert Row],0)))</f>
        <v/>
      </c>
      <c r="C328" s="18" t="str">
        <f>IF($A328="","",INDEX(tblIssues[Role],MATCH(ROW()-5,tblIssues[Alert Row],0)))</f>
        <v/>
      </c>
      <c r="D328" s="25" t="str">
        <f>IF($A328="","",INDEX(tblIssues[Area],MATCH(ROW()-5,tblIssues[Alert Row],0)))</f>
        <v/>
      </c>
      <c r="E328" s="25" t="str">
        <f>IF($A328="","",INDEX(tblIssues[Item Name],MATCH(ROW()-5,tblIssues[Alert Row],0)))</f>
        <v/>
      </c>
      <c r="F328" s="98" t="str">
        <f>IF($A328="","",INDEX(tblIssues[Month],MATCH(ROW()-5,tblIssues[Alert Row],0)))</f>
        <v/>
      </c>
      <c r="G328" s="23" t="str">
        <f>IF($A328="","",INDEX(tblIssues[Units This Month (Staff/Item)],MATCH(ROW()-5,tblIssues[Alert Row],0)))</f>
        <v/>
      </c>
      <c r="H328" s="23" t="str">
        <f>IF($A328="","",INDEX(tblIssues[Monthly Quota],MATCH(ROW()-5,tblIssues[Alert Row],0)))</f>
        <v/>
      </c>
      <c r="I328" s="27" t="str">
        <f t="shared" si="10"/>
        <v/>
      </c>
      <c r="J328" s="31" t="str">
        <f t="shared" si="11"/>
        <v/>
      </c>
    </row>
    <row r="329" spans="1:10" x14ac:dyDescent="0.35">
      <c r="A329" s="18" t="str">
        <f>IFERROR(INDEX(tblIssues[Staff ID],MATCH(ROW()-5,tblIssues[Alert Row],0)),"")</f>
        <v/>
      </c>
      <c r="B329" s="18" t="str">
        <f>IF($A329="","",INDEX(tblIssues[Staff Name (pick)],MATCH(ROW()-5,tblIssues[Alert Row],0)))</f>
        <v/>
      </c>
      <c r="C329" s="18" t="str">
        <f>IF($A329="","",INDEX(tblIssues[Role],MATCH(ROW()-5,tblIssues[Alert Row],0)))</f>
        <v/>
      </c>
      <c r="D329" s="25" t="str">
        <f>IF($A329="","",INDEX(tblIssues[Area],MATCH(ROW()-5,tblIssues[Alert Row],0)))</f>
        <v/>
      </c>
      <c r="E329" s="25" t="str">
        <f>IF($A329="","",INDEX(tblIssues[Item Name],MATCH(ROW()-5,tblIssues[Alert Row],0)))</f>
        <v/>
      </c>
      <c r="F329" s="98" t="str">
        <f>IF($A329="","",INDEX(tblIssues[Month],MATCH(ROW()-5,tblIssues[Alert Row],0)))</f>
        <v/>
      </c>
      <c r="G329" s="23" t="str">
        <f>IF($A329="","",INDEX(tblIssues[Units This Month (Staff/Item)],MATCH(ROW()-5,tblIssues[Alert Row],0)))</f>
        <v/>
      </c>
      <c r="H329" s="23" t="str">
        <f>IF($A329="","",INDEX(tblIssues[Monthly Quota],MATCH(ROW()-5,tblIssues[Alert Row],0)))</f>
        <v/>
      </c>
      <c r="I329" s="27" t="str">
        <f t="shared" si="10"/>
        <v/>
      </c>
      <c r="J329" s="31" t="str">
        <f t="shared" si="11"/>
        <v/>
      </c>
    </row>
    <row r="330" spans="1:10" x14ac:dyDescent="0.35">
      <c r="A330" s="18" t="str">
        <f>IFERROR(INDEX(tblIssues[Staff ID],MATCH(ROW()-5,tblIssues[Alert Row],0)),"")</f>
        <v/>
      </c>
      <c r="B330" s="18" t="str">
        <f>IF($A330="","",INDEX(tblIssues[Staff Name (pick)],MATCH(ROW()-5,tblIssues[Alert Row],0)))</f>
        <v/>
      </c>
      <c r="C330" s="18" t="str">
        <f>IF($A330="","",INDEX(tblIssues[Role],MATCH(ROW()-5,tblIssues[Alert Row],0)))</f>
        <v/>
      </c>
      <c r="D330" s="25" t="str">
        <f>IF($A330="","",INDEX(tblIssues[Area],MATCH(ROW()-5,tblIssues[Alert Row],0)))</f>
        <v/>
      </c>
      <c r="E330" s="25" t="str">
        <f>IF($A330="","",INDEX(tblIssues[Item Name],MATCH(ROW()-5,tblIssues[Alert Row],0)))</f>
        <v/>
      </c>
      <c r="F330" s="98" t="str">
        <f>IF($A330="","",INDEX(tblIssues[Month],MATCH(ROW()-5,tblIssues[Alert Row],0)))</f>
        <v/>
      </c>
      <c r="G330" s="23" t="str">
        <f>IF($A330="","",INDEX(tblIssues[Units This Month (Staff/Item)],MATCH(ROW()-5,tblIssues[Alert Row],0)))</f>
        <v/>
      </c>
      <c r="H330" s="23" t="str">
        <f>IF($A330="","",INDEX(tblIssues[Monthly Quota],MATCH(ROW()-5,tblIssues[Alert Row],0)))</f>
        <v/>
      </c>
      <c r="I330" s="27" t="str">
        <f t="shared" si="10"/>
        <v/>
      </c>
      <c r="J330" s="31" t="str">
        <f t="shared" si="11"/>
        <v/>
      </c>
    </row>
    <row r="331" spans="1:10" x14ac:dyDescent="0.35">
      <c r="A331" s="18" t="str">
        <f>IFERROR(INDEX(tblIssues[Staff ID],MATCH(ROW()-5,tblIssues[Alert Row],0)),"")</f>
        <v/>
      </c>
      <c r="B331" s="18" t="str">
        <f>IF($A331="","",INDEX(tblIssues[Staff Name (pick)],MATCH(ROW()-5,tblIssues[Alert Row],0)))</f>
        <v/>
      </c>
      <c r="C331" s="18" t="str">
        <f>IF($A331="","",INDEX(tblIssues[Role],MATCH(ROW()-5,tblIssues[Alert Row],0)))</f>
        <v/>
      </c>
      <c r="D331" s="25" t="str">
        <f>IF($A331="","",INDEX(tblIssues[Area],MATCH(ROW()-5,tblIssues[Alert Row],0)))</f>
        <v/>
      </c>
      <c r="E331" s="25" t="str">
        <f>IF($A331="","",INDEX(tblIssues[Item Name],MATCH(ROW()-5,tblIssues[Alert Row],0)))</f>
        <v/>
      </c>
      <c r="F331" s="98" t="str">
        <f>IF($A331="","",INDEX(tblIssues[Month],MATCH(ROW()-5,tblIssues[Alert Row],0)))</f>
        <v/>
      </c>
      <c r="G331" s="23" t="str">
        <f>IF($A331="","",INDEX(tblIssues[Units This Month (Staff/Item)],MATCH(ROW()-5,tblIssues[Alert Row],0)))</f>
        <v/>
      </c>
      <c r="H331" s="23" t="str">
        <f>IF($A331="","",INDEX(tblIssues[Monthly Quota],MATCH(ROW()-5,tblIssues[Alert Row],0)))</f>
        <v/>
      </c>
      <c r="I331" s="27" t="str">
        <f t="shared" si="10"/>
        <v/>
      </c>
      <c r="J331" s="31" t="str">
        <f t="shared" si="11"/>
        <v/>
      </c>
    </row>
    <row r="332" spans="1:10" x14ac:dyDescent="0.35">
      <c r="A332" s="18" t="str">
        <f>IFERROR(INDEX(tblIssues[Staff ID],MATCH(ROW()-5,tblIssues[Alert Row],0)),"")</f>
        <v/>
      </c>
      <c r="B332" s="18" t="str">
        <f>IF($A332="","",INDEX(tblIssues[Staff Name (pick)],MATCH(ROW()-5,tblIssues[Alert Row],0)))</f>
        <v/>
      </c>
      <c r="C332" s="18" t="str">
        <f>IF($A332="","",INDEX(tblIssues[Role],MATCH(ROW()-5,tblIssues[Alert Row],0)))</f>
        <v/>
      </c>
      <c r="D332" s="25" t="str">
        <f>IF($A332="","",INDEX(tblIssues[Area],MATCH(ROW()-5,tblIssues[Alert Row],0)))</f>
        <v/>
      </c>
      <c r="E332" s="25" t="str">
        <f>IF($A332="","",INDEX(tblIssues[Item Name],MATCH(ROW()-5,tblIssues[Alert Row],0)))</f>
        <v/>
      </c>
      <c r="F332" s="98" t="str">
        <f>IF($A332="","",INDEX(tblIssues[Month],MATCH(ROW()-5,tblIssues[Alert Row],0)))</f>
        <v/>
      </c>
      <c r="G332" s="23" t="str">
        <f>IF($A332="","",INDEX(tblIssues[Units This Month (Staff/Item)],MATCH(ROW()-5,tblIssues[Alert Row],0)))</f>
        <v/>
      </c>
      <c r="H332" s="23" t="str">
        <f>IF($A332="","",INDEX(tblIssues[Monthly Quota],MATCH(ROW()-5,tblIssues[Alert Row],0)))</f>
        <v/>
      </c>
      <c r="I332" s="27" t="str">
        <f t="shared" si="10"/>
        <v/>
      </c>
      <c r="J332" s="31" t="str">
        <f t="shared" si="11"/>
        <v/>
      </c>
    </row>
    <row r="333" spans="1:10" x14ac:dyDescent="0.35">
      <c r="A333" s="18" t="str">
        <f>IFERROR(INDEX(tblIssues[Staff ID],MATCH(ROW()-5,tblIssues[Alert Row],0)),"")</f>
        <v/>
      </c>
      <c r="B333" s="18" t="str">
        <f>IF($A333="","",INDEX(tblIssues[Staff Name (pick)],MATCH(ROW()-5,tblIssues[Alert Row],0)))</f>
        <v/>
      </c>
      <c r="C333" s="18" t="str">
        <f>IF($A333="","",INDEX(tblIssues[Role],MATCH(ROW()-5,tblIssues[Alert Row],0)))</f>
        <v/>
      </c>
      <c r="D333" s="25" t="str">
        <f>IF($A333="","",INDEX(tblIssues[Area],MATCH(ROW()-5,tblIssues[Alert Row],0)))</f>
        <v/>
      </c>
      <c r="E333" s="25" t="str">
        <f>IF($A333="","",INDEX(tblIssues[Item Name],MATCH(ROW()-5,tblIssues[Alert Row],0)))</f>
        <v/>
      </c>
      <c r="F333" s="98" t="str">
        <f>IF($A333="","",INDEX(tblIssues[Month],MATCH(ROW()-5,tblIssues[Alert Row],0)))</f>
        <v/>
      </c>
      <c r="G333" s="23" t="str">
        <f>IF($A333="","",INDEX(tblIssues[Units This Month (Staff/Item)],MATCH(ROW()-5,tblIssues[Alert Row],0)))</f>
        <v/>
      </c>
      <c r="H333" s="23" t="str">
        <f>IF($A333="","",INDEX(tblIssues[Monthly Quota],MATCH(ROW()-5,tblIssues[Alert Row],0)))</f>
        <v/>
      </c>
      <c r="I333" s="27" t="str">
        <f t="shared" si="10"/>
        <v/>
      </c>
      <c r="J333" s="31" t="str">
        <f t="shared" si="11"/>
        <v/>
      </c>
    </row>
    <row r="334" spans="1:10" x14ac:dyDescent="0.35">
      <c r="A334" s="18" t="str">
        <f>IFERROR(INDEX(tblIssues[Staff ID],MATCH(ROW()-5,tblIssues[Alert Row],0)),"")</f>
        <v/>
      </c>
      <c r="B334" s="18" t="str">
        <f>IF($A334="","",INDEX(tblIssues[Staff Name (pick)],MATCH(ROW()-5,tblIssues[Alert Row],0)))</f>
        <v/>
      </c>
      <c r="C334" s="18" t="str">
        <f>IF($A334="","",INDEX(tblIssues[Role],MATCH(ROW()-5,tblIssues[Alert Row],0)))</f>
        <v/>
      </c>
      <c r="D334" s="25" t="str">
        <f>IF($A334="","",INDEX(tblIssues[Area],MATCH(ROW()-5,tblIssues[Alert Row],0)))</f>
        <v/>
      </c>
      <c r="E334" s="25" t="str">
        <f>IF($A334="","",INDEX(tblIssues[Item Name],MATCH(ROW()-5,tblIssues[Alert Row],0)))</f>
        <v/>
      </c>
      <c r="F334" s="98" t="str">
        <f>IF($A334="","",INDEX(tblIssues[Month],MATCH(ROW()-5,tblIssues[Alert Row],0)))</f>
        <v/>
      </c>
      <c r="G334" s="23" t="str">
        <f>IF($A334="","",INDEX(tblIssues[Units This Month (Staff/Item)],MATCH(ROW()-5,tblIssues[Alert Row],0)))</f>
        <v/>
      </c>
      <c r="H334" s="23" t="str">
        <f>IF($A334="","",INDEX(tblIssues[Monthly Quota],MATCH(ROW()-5,tblIssues[Alert Row],0)))</f>
        <v/>
      </c>
      <c r="I334" s="27" t="str">
        <f t="shared" si="10"/>
        <v/>
      </c>
      <c r="J334" s="31" t="str">
        <f t="shared" si="11"/>
        <v/>
      </c>
    </row>
    <row r="335" spans="1:10" x14ac:dyDescent="0.35">
      <c r="A335" s="18" t="str">
        <f>IFERROR(INDEX(tblIssues[Staff ID],MATCH(ROW()-5,tblIssues[Alert Row],0)),"")</f>
        <v/>
      </c>
      <c r="B335" s="18" t="str">
        <f>IF($A335="","",INDEX(tblIssues[Staff Name (pick)],MATCH(ROW()-5,tblIssues[Alert Row],0)))</f>
        <v/>
      </c>
      <c r="C335" s="18" t="str">
        <f>IF($A335="","",INDEX(tblIssues[Role],MATCH(ROW()-5,tblIssues[Alert Row],0)))</f>
        <v/>
      </c>
      <c r="D335" s="25" t="str">
        <f>IF($A335="","",INDEX(tblIssues[Area],MATCH(ROW()-5,tblIssues[Alert Row],0)))</f>
        <v/>
      </c>
      <c r="E335" s="25" t="str">
        <f>IF($A335="","",INDEX(tblIssues[Item Name],MATCH(ROW()-5,tblIssues[Alert Row],0)))</f>
        <v/>
      </c>
      <c r="F335" s="98" t="str">
        <f>IF($A335="","",INDEX(tblIssues[Month],MATCH(ROW()-5,tblIssues[Alert Row],0)))</f>
        <v/>
      </c>
      <c r="G335" s="23" t="str">
        <f>IF($A335="","",INDEX(tblIssues[Units This Month (Staff/Item)],MATCH(ROW()-5,tblIssues[Alert Row],0)))</f>
        <v/>
      </c>
      <c r="H335" s="23" t="str">
        <f>IF($A335="","",INDEX(tblIssues[Monthly Quota],MATCH(ROW()-5,tblIssues[Alert Row],0)))</f>
        <v/>
      </c>
      <c r="I335" s="27" t="str">
        <f t="shared" si="10"/>
        <v/>
      </c>
      <c r="J335" s="31" t="str">
        <f t="shared" si="11"/>
        <v/>
      </c>
    </row>
    <row r="336" spans="1:10" x14ac:dyDescent="0.35">
      <c r="A336" s="18" t="str">
        <f>IFERROR(INDEX(tblIssues[Staff ID],MATCH(ROW()-5,tblIssues[Alert Row],0)),"")</f>
        <v/>
      </c>
      <c r="B336" s="18" t="str">
        <f>IF($A336="","",INDEX(tblIssues[Staff Name (pick)],MATCH(ROW()-5,tblIssues[Alert Row],0)))</f>
        <v/>
      </c>
      <c r="C336" s="18" t="str">
        <f>IF($A336="","",INDEX(tblIssues[Role],MATCH(ROW()-5,tblIssues[Alert Row],0)))</f>
        <v/>
      </c>
      <c r="D336" s="25" t="str">
        <f>IF($A336="","",INDEX(tblIssues[Area],MATCH(ROW()-5,tblIssues[Alert Row],0)))</f>
        <v/>
      </c>
      <c r="E336" s="25" t="str">
        <f>IF($A336="","",INDEX(tblIssues[Item Name],MATCH(ROW()-5,tblIssues[Alert Row],0)))</f>
        <v/>
      </c>
      <c r="F336" s="98" t="str">
        <f>IF($A336="","",INDEX(tblIssues[Month],MATCH(ROW()-5,tblIssues[Alert Row],0)))</f>
        <v/>
      </c>
      <c r="G336" s="23" t="str">
        <f>IF($A336="","",INDEX(tblIssues[Units This Month (Staff/Item)],MATCH(ROW()-5,tblIssues[Alert Row],0)))</f>
        <v/>
      </c>
      <c r="H336" s="23" t="str">
        <f>IF($A336="","",INDEX(tblIssues[Monthly Quota],MATCH(ROW()-5,tblIssues[Alert Row],0)))</f>
        <v/>
      </c>
      <c r="I336" s="27" t="str">
        <f t="shared" si="10"/>
        <v/>
      </c>
      <c r="J336" s="31" t="str">
        <f t="shared" si="11"/>
        <v/>
      </c>
    </row>
    <row r="337" spans="1:10" x14ac:dyDescent="0.35">
      <c r="A337" s="18" t="str">
        <f>IFERROR(INDEX(tblIssues[Staff ID],MATCH(ROW()-5,tblIssues[Alert Row],0)),"")</f>
        <v/>
      </c>
      <c r="B337" s="18" t="str">
        <f>IF($A337="","",INDEX(tblIssues[Staff Name (pick)],MATCH(ROW()-5,tblIssues[Alert Row],0)))</f>
        <v/>
      </c>
      <c r="C337" s="18" t="str">
        <f>IF($A337="","",INDEX(tblIssues[Role],MATCH(ROW()-5,tblIssues[Alert Row],0)))</f>
        <v/>
      </c>
      <c r="D337" s="25" t="str">
        <f>IF($A337="","",INDEX(tblIssues[Area],MATCH(ROW()-5,tblIssues[Alert Row],0)))</f>
        <v/>
      </c>
      <c r="E337" s="25" t="str">
        <f>IF($A337="","",INDEX(tblIssues[Item Name],MATCH(ROW()-5,tblIssues[Alert Row],0)))</f>
        <v/>
      </c>
      <c r="F337" s="98" t="str">
        <f>IF($A337="","",INDEX(tblIssues[Month],MATCH(ROW()-5,tblIssues[Alert Row],0)))</f>
        <v/>
      </c>
      <c r="G337" s="23" t="str">
        <f>IF($A337="","",INDEX(tblIssues[Units This Month (Staff/Item)],MATCH(ROW()-5,tblIssues[Alert Row],0)))</f>
        <v/>
      </c>
      <c r="H337" s="23" t="str">
        <f>IF($A337="","",INDEX(tblIssues[Monthly Quota],MATCH(ROW()-5,tblIssues[Alert Row],0)))</f>
        <v/>
      </c>
      <c r="I337" s="27" t="str">
        <f t="shared" si="10"/>
        <v/>
      </c>
      <c r="J337" s="31" t="str">
        <f t="shared" si="11"/>
        <v/>
      </c>
    </row>
    <row r="338" spans="1:10" x14ac:dyDescent="0.35">
      <c r="A338" s="18" t="str">
        <f>IFERROR(INDEX(tblIssues[Staff ID],MATCH(ROW()-5,tblIssues[Alert Row],0)),"")</f>
        <v/>
      </c>
      <c r="B338" s="18" t="str">
        <f>IF($A338="","",INDEX(tblIssues[Staff Name (pick)],MATCH(ROW()-5,tblIssues[Alert Row],0)))</f>
        <v/>
      </c>
      <c r="C338" s="18" t="str">
        <f>IF($A338="","",INDEX(tblIssues[Role],MATCH(ROW()-5,tblIssues[Alert Row],0)))</f>
        <v/>
      </c>
      <c r="D338" s="25" t="str">
        <f>IF($A338="","",INDEX(tblIssues[Area],MATCH(ROW()-5,tblIssues[Alert Row],0)))</f>
        <v/>
      </c>
      <c r="E338" s="25" t="str">
        <f>IF($A338="","",INDEX(tblIssues[Item Name],MATCH(ROW()-5,tblIssues[Alert Row],0)))</f>
        <v/>
      </c>
      <c r="F338" s="98" t="str">
        <f>IF($A338="","",INDEX(tblIssues[Month],MATCH(ROW()-5,tblIssues[Alert Row],0)))</f>
        <v/>
      </c>
      <c r="G338" s="23" t="str">
        <f>IF($A338="","",INDEX(tblIssues[Units This Month (Staff/Item)],MATCH(ROW()-5,tblIssues[Alert Row],0)))</f>
        <v/>
      </c>
      <c r="H338" s="23" t="str">
        <f>IF($A338="","",INDEX(tblIssues[Monthly Quota],MATCH(ROW()-5,tblIssues[Alert Row],0)))</f>
        <v/>
      </c>
      <c r="I338" s="27" t="str">
        <f t="shared" si="10"/>
        <v/>
      </c>
      <c r="J338" s="31" t="str">
        <f t="shared" si="11"/>
        <v/>
      </c>
    </row>
    <row r="339" spans="1:10" x14ac:dyDescent="0.35">
      <c r="A339" s="18" t="str">
        <f>IFERROR(INDEX(tblIssues[Staff ID],MATCH(ROW()-5,tblIssues[Alert Row],0)),"")</f>
        <v/>
      </c>
      <c r="B339" s="18" t="str">
        <f>IF($A339="","",INDEX(tblIssues[Staff Name (pick)],MATCH(ROW()-5,tblIssues[Alert Row],0)))</f>
        <v/>
      </c>
      <c r="C339" s="18" t="str">
        <f>IF($A339="","",INDEX(tblIssues[Role],MATCH(ROW()-5,tblIssues[Alert Row],0)))</f>
        <v/>
      </c>
      <c r="D339" s="25" t="str">
        <f>IF($A339="","",INDEX(tblIssues[Area],MATCH(ROW()-5,tblIssues[Alert Row],0)))</f>
        <v/>
      </c>
      <c r="E339" s="25" t="str">
        <f>IF($A339="","",INDEX(tblIssues[Item Name],MATCH(ROW()-5,tblIssues[Alert Row],0)))</f>
        <v/>
      </c>
      <c r="F339" s="98" t="str">
        <f>IF($A339="","",INDEX(tblIssues[Month],MATCH(ROW()-5,tblIssues[Alert Row],0)))</f>
        <v/>
      </c>
      <c r="G339" s="23" t="str">
        <f>IF($A339="","",INDEX(tblIssues[Units This Month (Staff/Item)],MATCH(ROW()-5,tblIssues[Alert Row],0)))</f>
        <v/>
      </c>
      <c r="H339" s="23" t="str">
        <f>IF($A339="","",INDEX(tblIssues[Monthly Quota],MATCH(ROW()-5,tblIssues[Alert Row],0)))</f>
        <v/>
      </c>
      <c r="I339" s="27" t="str">
        <f t="shared" si="10"/>
        <v/>
      </c>
      <c r="J339" s="31" t="str">
        <f t="shared" si="11"/>
        <v/>
      </c>
    </row>
    <row r="340" spans="1:10" x14ac:dyDescent="0.35">
      <c r="A340" s="18" t="str">
        <f>IFERROR(INDEX(tblIssues[Staff ID],MATCH(ROW()-5,tblIssues[Alert Row],0)),"")</f>
        <v/>
      </c>
      <c r="B340" s="18" t="str">
        <f>IF($A340="","",INDEX(tblIssues[Staff Name (pick)],MATCH(ROW()-5,tblIssues[Alert Row],0)))</f>
        <v/>
      </c>
      <c r="C340" s="18" t="str">
        <f>IF($A340="","",INDEX(tblIssues[Role],MATCH(ROW()-5,tblIssues[Alert Row],0)))</f>
        <v/>
      </c>
      <c r="D340" s="25" t="str">
        <f>IF($A340="","",INDEX(tblIssues[Area],MATCH(ROW()-5,tblIssues[Alert Row],0)))</f>
        <v/>
      </c>
      <c r="E340" s="25" t="str">
        <f>IF($A340="","",INDEX(tblIssues[Item Name],MATCH(ROW()-5,tblIssues[Alert Row],0)))</f>
        <v/>
      </c>
      <c r="F340" s="98" t="str">
        <f>IF($A340="","",INDEX(tblIssues[Month],MATCH(ROW()-5,tblIssues[Alert Row],0)))</f>
        <v/>
      </c>
      <c r="G340" s="23" t="str">
        <f>IF($A340="","",INDEX(tblIssues[Units This Month (Staff/Item)],MATCH(ROW()-5,tblIssues[Alert Row],0)))</f>
        <v/>
      </c>
      <c r="H340" s="23" t="str">
        <f>IF($A340="","",INDEX(tblIssues[Monthly Quota],MATCH(ROW()-5,tblIssues[Alert Row],0)))</f>
        <v/>
      </c>
      <c r="I340" s="27" t="str">
        <f t="shared" si="10"/>
        <v/>
      </c>
      <c r="J340" s="31" t="str">
        <f t="shared" si="11"/>
        <v/>
      </c>
    </row>
    <row r="341" spans="1:10" x14ac:dyDescent="0.35">
      <c r="A341" s="18" t="str">
        <f>IFERROR(INDEX(tblIssues[Staff ID],MATCH(ROW()-5,tblIssues[Alert Row],0)),"")</f>
        <v/>
      </c>
      <c r="B341" s="18" t="str">
        <f>IF($A341="","",INDEX(tblIssues[Staff Name (pick)],MATCH(ROW()-5,tblIssues[Alert Row],0)))</f>
        <v/>
      </c>
      <c r="C341" s="18" t="str">
        <f>IF($A341="","",INDEX(tblIssues[Role],MATCH(ROW()-5,tblIssues[Alert Row],0)))</f>
        <v/>
      </c>
      <c r="D341" s="25" t="str">
        <f>IF($A341="","",INDEX(tblIssues[Area],MATCH(ROW()-5,tblIssues[Alert Row],0)))</f>
        <v/>
      </c>
      <c r="E341" s="25" t="str">
        <f>IF($A341="","",INDEX(tblIssues[Item Name],MATCH(ROW()-5,tblIssues[Alert Row],0)))</f>
        <v/>
      </c>
      <c r="F341" s="98" t="str">
        <f>IF($A341="","",INDEX(tblIssues[Month],MATCH(ROW()-5,tblIssues[Alert Row],0)))</f>
        <v/>
      </c>
      <c r="G341" s="23" t="str">
        <f>IF($A341="","",INDEX(tblIssues[Units This Month (Staff/Item)],MATCH(ROW()-5,tblIssues[Alert Row],0)))</f>
        <v/>
      </c>
      <c r="H341" s="23" t="str">
        <f>IF($A341="","",INDEX(tblIssues[Monthly Quota],MATCH(ROW()-5,tblIssues[Alert Row],0)))</f>
        <v/>
      </c>
      <c r="I341" s="27" t="str">
        <f t="shared" si="10"/>
        <v/>
      </c>
      <c r="J341" s="31" t="str">
        <f t="shared" si="11"/>
        <v/>
      </c>
    </row>
    <row r="342" spans="1:10" x14ac:dyDescent="0.35">
      <c r="A342" s="18" t="str">
        <f>IFERROR(INDEX(tblIssues[Staff ID],MATCH(ROW()-5,tblIssues[Alert Row],0)),"")</f>
        <v/>
      </c>
      <c r="B342" s="18" t="str">
        <f>IF($A342="","",INDEX(tblIssues[Staff Name (pick)],MATCH(ROW()-5,tblIssues[Alert Row],0)))</f>
        <v/>
      </c>
      <c r="C342" s="18" t="str">
        <f>IF($A342="","",INDEX(tblIssues[Role],MATCH(ROW()-5,tblIssues[Alert Row],0)))</f>
        <v/>
      </c>
      <c r="D342" s="25" t="str">
        <f>IF($A342="","",INDEX(tblIssues[Area],MATCH(ROW()-5,tblIssues[Alert Row],0)))</f>
        <v/>
      </c>
      <c r="E342" s="25" t="str">
        <f>IF($A342="","",INDEX(tblIssues[Item Name],MATCH(ROW()-5,tblIssues[Alert Row],0)))</f>
        <v/>
      </c>
      <c r="F342" s="98" t="str">
        <f>IF($A342="","",INDEX(tblIssues[Month],MATCH(ROW()-5,tblIssues[Alert Row],0)))</f>
        <v/>
      </c>
      <c r="G342" s="23" t="str">
        <f>IF($A342="","",INDEX(tblIssues[Units This Month (Staff/Item)],MATCH(ROW()-5,tblIssues[Alert Row],0)))</f>
        <v/>
      </c>
      <c r="H342" s="23" t="str">
        <f>IF($A342="","",INDEX(tblIssues[Monthly Quota],MATCH(ROW()-5,tblIssues[Alert Row],0)))</f>
        <v/>
      </c>
      <c r="I342" s="27" t="str">
        <f t="shared" si="10"/>
        <v/>
      </c>
      <c r="J342" s="31" t="str">
        <f t="shared" si="11"/>
        <v/>
      </c>
    </row>
    <row r="343" spans="1:10" x14ac:dyDescent="0.35">
      <c r="A343" s="18" t="str">
        <f>IFERROR(INDEX(tblIssues[Staff ID],MATCH(ROW()-5,tblIssues[Alert Row],0)),"")</f>
        <v/>
      </c>
      <c r="B343" s="18" t="str">
        <f>IF($A343="","",INDEX(tblIssues[Staff Name (pick)],MATCH(ROW()-5,tblIssues[Alert Row],0)))</f>
        <v/>
      </c>
      <c r="C343" s="18" t="str">
        <f>IF($A343="","",INDEX(tblIssues[Role],MATCH(ROW()-5,tblIssues[Alert Row],0)))</f>
        <v/>
      </c>
      <c r="D343" s="25" t="str">
        <f>IF($A343="","",INDEX(tblIssues[Area],MATCH(ROW()-5,tblIssues[Alert Row],0)))</f>
        <v/>
      </c>
      <c r="E343" s="25" t="str">
        <f>IF($A343="","",INDEX(tblIssues[Item Name],MATCH(ROW()-5,tblIssues[Alert Row],0)))</f>
        <v/>
      </c>
      <c r="F343" s="98" t="str">
        <f>IF($A343="","",INDEX(tblIssues[Month],MATCH(ROW()-5,tblIssues[Alert Row],0)))</f>
        <v/>
      </c>
      <c r="G343" s="23" t="str">
        <f>IF($A343="","",INDEX(tblIssues[Units This Month (Staff/Item)],MATCH(ROW()-5,tblIssues[Alert Row],0)))</f>
        <v/>
      </c>
      <c r="H343" s="23" t="str">
        <f>IF($A343="","",INDEX(tblIssues[Monthly Quota],MATCH(ROW()-5,tblIssues[Alert Row],0)))</f>
        <v/>
      </c>
      <c r="I343" s="27" t="str">
        <f t="shared" si="10"/>
        <v/>
      </c>
      <c r="J343" s="31" t="str">
        <f t="shared" si="11"/>
        <v/>
      </c>
    </row>
    <row r="344" spans="1:10" x14ac:dyDescent="0.35">
      <c r="A344" s="18" t="str">
        <f>IFERROR(INDEX(tblIssues[Staff ID],MATCH(ROW()-5,tblIssues[Alert Row],0)),"")</f>
        <v/>
      </c>
      <c r="B344" s="18" t="str">
        <f>IF($A344="","",INDEX(tblIssues[Staff Name (pick)],MATCH(ROW()-5,tblIssues[Alert Row],0)))</f>
        <v/>
      </c>
      <c r="C344" s="18" t="str">
        <f>IF($A344="","",INDEX(tblIssues[Role],MATCH(ROW()-5,tblIssues[Alert Row],0)))</f>
        <v/>
      </c>
      <c r="D344" s="25" t="str">
        <f>IF($A344="","",INDEX(tblIssues[Area],MATCH(ROW()-5,tblIssues[Alert Row],0)))</f>
        <v/>
      </c>
      <c r="E344" s="25" t="str">
        <f>IF($A344="","",INDEX(tblIssues[Item Name],MATCH(ROW()-5,tblIssues[Alert Row],0)))</f>
        <v/>
      </c>
      <c r="F344" s="98" t="str">
        <f>IF($A344="","",INDEX(tblIssues[Month],MATCH(ROW()-5,tblIssues[Alert Row],0)))</f>
        <v/>
      </c>
      <c r="G344" s="23" t="str">
        <f>IF($A344="","",INDEX(tblIssues[Units This Month (Staff/Item)],MATCH(ROW()-5,tblIssues[Alert Row],0)))</f>
        <v/>
      </c>
      <c r="H344" s="23" t="str">
        <f>IF($A344="","",INDEX(tblIssues[Monthly Quota],MATCH(ROW()-5,tblIssues[Alert Row],0)))</f>
        <v/>
      </c>
      <c r="I344" s="27" t="str">
        <f t="shared" si="10"/>
        <v/>
      </c>
      <c r="J344" s="31" t="str">
        <f t="shared" si="11"/>
        <v/>
      </c>
    </row>
    <row r="345" spans="1:10" x14ac:dyDescent="0.35">
      <c r="A345" s="18" t="str">
        <f>IFERROR(INDEX(tblIssues[Staff ID],MATCH(ROW()-5,tblIssues[Alert Row],0)),"")</f>
        <v/>
      </c>
      <c r="B345" s="18" t="str">
        <f>IF($A345="","",INDEX(tblIssues[Staff Name (pick)],MATCH(ROW()-5,tblIssues[Alert Row],0)))</f>
        <v/>
      </c>
      <c r="C345" s="18" t="str">
        <f>IF($A345="","",INDEX(tblIssues[Role],MATCH(ROW()-5,tblIssues[Alert Row],0)))</f>
        <v/>
      </c>
      <c r="D345" s="25" t="str">
        <f>IF($A345="","",INDEX(tblIssues[Area],MATCH(ROW()-5,tblIssues[Alert Row],0)))</f>
        <v/>
      </c>
      <c r="E345" s="25" t="str">
        <f>IF($A345="","",INDEX(tblIssues[Item Name],MATCH(ROW()-5,tblIssues[Alert Row],0)))</f>
        <v/>
      </c>
      <c r="F345" s="98" t="str">
        <f>IF($A345="","",INDEX(tblIssues[Month],MATCH(ROW()-5,tblIssues[Alert Row],0)))</f>
        <v/>
      </c>
      <c r="G345" s="23" t="str">
        <f>IF($A345="","",INDEX(tblIssues[Units This Month (Staff/Item)],MATCH(ROW()-5,tblIssues[Alert Row],0)))</f>
        <v/>
      </c>
      <c r="H345" s="23" t="str">
        <f>IF($A345="","",INDEX(tblIssues[Monthly Quota],MATCH(ROW()-5,tblIssues[Alert Row],0)))</f>
        <v/>
      </c>
      <c r="I345" s="27" t="str">
        <f t="shared" si="10"/>
        <v/>
      </c>
      <c r="J345" s="31" t="str">
        <f t="shared" si="11"/>
        <v/>
      </c>
    </row>
    <row r="346" spans="1:10" x14ac:dyDescent="0.35">
      <c r="A346" s="18" t="str">
        <f>IFERROR(INDEX(tblIssues[Staff ID],MATCH(ROW()-5,tblIssues[Alert Row],0)),"")</f>
        <v/>
      </c>
      <c r="B346" s="18" t="str">
        <f>IF($A346="","",INDEX(tblIssues[Staff Name (pick)],MATCH(ROW()-5,tblIssues[Alert Row],0)))</f>
        <v/>
      </c>
      <c r="C346" s="18" t="str">
        <f>IF($A346="","",INDEX(tblIssues[Role],MATCH(ROW()-5,tblIssues[Alert Row],0)))</f>
        <v/>
      </c>
      <c r="D346" s="25" t="str">
        <f>IF($A346="","",INDEX(tblIssues[Area],MATCH(ROW()-5,tblIssues[Alert Row],0)))</f>
        <v/>
      </c>
      <c r="E346" s="25" t="str">
        <f>IF($A346="","",INDEX(tblIssues[Item Name],MATCH(ROW()-5,tblIssues[Alert Row],0)))</f>
        <v/>
      </c>
      <c r="F346" s="98" t="str">
        <f>IF($A346="","",INDEX(tblIssues[Month],MATCH(ROW()-5,tblIssues[Alert Row],0)))</f>
        <v/>
      </c>
      <c r="G346" s="23" t="str">
        <f>IF($A346="","",INDEX(tblIssues[Units This Month (Staff/Item)],MATCH(ROW()-5,tblIssues[Alert Row],0)))</f>
        <v/>
      </c>
      <c r="H346" s="23" t="str">
        <f>IF($A346="","",INDEX(tblIssues[Monthly Quota],MATCH(ROW()-5,tblIssues[Alert Row],0)))</f>
        <v/>
      </c>
      <c r="I346" s="27" t="str">
        <f t="shared" si="10"/>
        <v/>
      </c>
      <c r="J346" s="31" t="str">
        <f t="shared" si="11"/>
        <v/>
      </c>
    </row>
    <row r="347" spans="1:10" x14ac:dyDescent="0.35">
      <c r="A347" s="18" t="str">
        <f>IFERROR(INDEX(tblIssues[Staff ID],MATCH(ROW()-5,tblIssues[Alert Row],0)),"")</f>
        <v/>
      </c>
      <c r="B347" s="18" t="str">
        <f>IF($A347="","",INDEX(tblIssues[Staff Name (pick)],MATCH(ROW()-5,tblIssues[Alert Row],0)))</f>
        <v/>
      </c>
      <c r="C347" s="18" t="str">
        <f>IF($A347="","",INDEX(tblIssues[Role],MATCH(ROW()-5,tblIssues[Alert Row],0)))</f>
        <v/>
      </c>
      <c r="D347" s="25" t="str">
        <f>IF($A347="","",INDEX(tblIssues[Area],MATCH(ROW()-5,tblIssues[Alert Row],0)))</f>
        <v/>
      </c>
      <c r="E347" s="25" t="str">
        <f>IF($A347="","",INDEX(tblIssues[Item Name],MATCH(ROW()-5,tblIssues[Alert Row],0)))</f>
        <v/>
      </c>
      <c r="F347" s="98" t="str">
        <f>IF($A347="","",INDEX(tblIssues[Month],MATCH(ROW()-5,tblIssues[Alert Row],0)))</f>
        <v/>
      </c>
      <c r="G347" s="23" t="str">
        <f>IF($A347="","",INDEX(tblIssues[Units This Month (Staff/Item)],MATCH(ROW()-5,tblIssues[Alert Row],0)))</f>
        <v/>
      </c>
      <c r="H347" s="23" t="str">
        <f>IF($A347="","",INDEX(tblIssues[Monthly Quota],MATCH(ROW()-5,tblIssues[Alert Row],0)))</f>
        <v/>
      </c>
      <c r="I347" s="27" t="str">
        <f t="shared" si="10"/>
        <v/>
      </c>
      <c r="J347" s="31" t="str">
        <f t="shared" si="11"/>
        <v/>
      </c>
    </row>
    <row r="348" spans="1:10" x14ac:dyDescent="0.35">
      <c r="A348" s="18" t="str">
        <f>IFERROR(INDEX(tblIssues[Staff ID],MATCH(ROW()-5,tblIssues[Alert Row],0)),"")</f>
        <v/>
      </c>
      <c r="B348" s="18" t="str">
        <f>IF($A348="","",INDEX(tblIssues[Staff Name (pick)],MATCH(ROW()-5,tblIssues[Alert Row],0)))</f>
        <v/>
      </c>
      <c r="C348" s="18" t="str">
        <f>IF($A348="","",INDEX(tblIssues[Role],MATCH(ROW()-5,tblIssues[Alert Row],0)))</f>
        <v/>
      </c>
      <c r="D348" s="25" t="str">
        <f>IF($A348="","",INDEX(tblIssues[Area],MATCH(ROW()-5,tblIssues[Alert Row],0)))</f>
        <v/>
      </c>
      <c r="E348" s="25" t="str">
        <f>IF($A348="","",INDEX(tblIssues[Item Name],MATCH(ROW()-5,tblIssues[Alert Row],0)))</f>
        <v/>
      </c>
      <c r="F348" s="98" t="str">
        <f>IF($A348="","",INDEX(tblIssues[Month],MATCH(ROW()-5,tblIssues[Alert Row],0)))</f>
        <v/>
      </c>
      <c r="G348" s="23" t="str">
        <f>IF($A348="","",INDEX(tblIssues[Units This Month (Staff/Item)],MATCH(ROW()-5,tblIssues[Alert Row],0)))</f>
        <v/>
      </c>
      <c r="H348" s="23" t="str">
        <f>IF($A348="","",INDEX(tblIssues[Monthly Quota],MATCH(ROW()-5,tblIssues[Alert Row],0)))</f>
        <v/>
      </c>
      <c r="I348" s="27" t="str">
        <f t="shared" si="10"/>
        <v/>
      </c>
      <c r="J348" s="31" t="str">
        <f t="shared" si="11"/>
        <v/>
      </c>
    </row>
    <row r="349" spans="1:10" x14ac:dyDescent="0.35">
      <c r="A349" s="18" t="str">
        <f>IFERROR(INDEX(tblIssues[Staff ID],MATCH(ROW()-5,tblIssues[Alert Row],0)),"")</f>
        <v/>
      </c>
      <c r="B349" s="18" t="str">
        <f>IF($A349="","",INDEX(tblIssues[Staff Name (pick)],MATCH(ROW()-5,tblIssues[Alert Row],0)))</f>
        <v/>
      </c>
      <c r="C349" s="18" t="str">
        <f>IF($A349="","",INDEX(tblIssues[Role],MATCH(ROW()-5,tblIssues[Alert Row],0)))</f>
        <v/>
      </c>
      <c r="D349" s="25" t="str">
        <f>IF($A349="","",INDEX(tblIssues[Area],MATCH(ROW()-5,tblIssues[Alert Row],0)))</f>
        <v/>
      </c>
      <c r="E349" s="25" t="str">
        <f>IF($A349="","",INDEX(tblIssues[Item Name],MATCH(ROW()-5,tblIssues[Alert Row],0)))</f>
        <v/>
      </c>
      <c r="F349" s="98" t="str">
        <f>IF($A349="","",INDEX(tblIssues[Month],MATCH(ROW()-5,tblIssues[Alert Row],0)))</f>
        <v/>
      </c>
      <c r="G349" s="23" t="str">
        <f>IF($A349="","",INDEX(tblIssues[Units This Month (Staff/Item)],MATCH(ROW()-5,tblIssues[Alert Row],0)))</f>
        <v/>
      </c>
      <c r="H349" s="23" t="str">
        <f>IF($A349="","",INDEX(tblIssues[Monthly Quota],MATCH(ROW()-5,tblIssues[Alert Row],0)))</f>
        <v/>
      </c>
      <c r="I349" s="27" t="str">
        <f t="shared" si="10"/>
        <v/>
      </c>
      <c r="J349" s="31" t="str">
        <f t="shared" si="11"/>
        <v/>
      </c>
    </row>
    <row r="350" spans="1:10" x14ac:dyDescent="0.35">
      <c r="A350" s="18" t="str">
        <f>IFERROR(INDEX(tblIssues[Staff ID],MATCH(ROW()-5,tblIssues[Alert Row],0)),"")</f>
        <v/>
      </c>
      <c r="B350" s="18" t="str">
        <f>IF($A350="","",INDEX(tblIssues[Staff Name (pick)],MATCH(ROW()-5,tblIssues[Alert Row],0)))</f>
        <v/>
      </c>
      <c r="C350" s="18" t="str">
        <f>IF($A350="","",INDEX(tblIssues[Role],MATCH(ROW()-5,tblIssues[Alert Row],0)))</f>
        <v/>
      </c>
      <c r="D350" s="25" t="str">
        <f>IF($A350="","",INDEX(tblIssues[Area],MATCH(ROW()-5,tblIssues[Alert Row],0)))</f>
        <v/>
      </c>
      <c r="E350" s="25" t="str">
        <f>IF($A350="","",INDEX(tblIssues[Item Name],MATCH(ROW()-5,tblIssues[Alert Row],0)))</f>
        <v/>
      </c>
      <c r="F350" s="98" t="str">
        <f>IF($A350="","",INDEX(tblIssues[Month],MATCH(ROW()-5,tblIssues[Alert Row],0)))</f>
        <v/>
      </c>
      <c r="G350" s="23" t="str">
        <f>IF($A350="","",INDEX(tblIssues[Units This Month (Staff/Item)],MATCH(ROW()-5,tblIssues[Alert Row],0)))</f>
        <v/>
      </c>
      <c r="H350" s="23" t="str">
        <f>IF($A350="","",INDEX(tblIssues[Monthly Quota],MATCH(ROW()-5,tblIssues[Alert Row],0)))</f>
        <v/>
      </c>
      <c r="I350" s="27" t="str">
        <f t="shared" si="10"/>
        <v/>
      </c>
      <c r="J350" s="31" t="str">
        <f t="shared" si="11"/>
        <v/>
      </c>
    </row>
    <row r="351" spans="1:10" x14ac:dyDescent="0.35">
      <c r="A351" s="18" t="str">
        <f>IFERROR(INDEX(tblIssues[Staff ID],MATCH(ROW()-5,tblIssues[Alert Row],0)),"")</f>
        <v/>
      </c>
      <c r="B351" s="18" t="str">
        <f>IF($A351="","",INDEX(tblIssues[Staff Name (pick)],MATCH(ROW()-5,tblIssues[Alert Row],0)))</f>
        <v/>
      </c>
      <c r="C351" s="18" t="str">
        <f>IF($A351="","",INDEX(tblIssues[Role],MATCH(ROW()-5,tblIssues[Alert Row],0)))</f>
        <v/>
      </c>
      <c r="D351" s="25" t="str">
        <f>IF($A351="","",INDEX(tblIssues[Area],MATCH(ROW()-5,tblIssues[Alert Row],0)))</f>
        <v/>
      </c>
      <c r="E351" s="25" t="str">
        <f>IF($A351="","",INDEX(tblIssues[Item Name],MATCH(ROW()-5,tblIssues[Alert Row],0)))</f>
        <v/>
      </c>
      <c r="F351" s="98" t="str">
        <f>IF($A351="","",INDEX(tblIssues[Month],MATCH(ROW()-5,tblIssues[Alert Row],0)))</f>
        <v/>
      </c>
      <c r="G351" s="23" t="str">
        <f>IF($A351="","",INDEX(tblIssues[Units This Month (Staff/Item)],MATCH(ROW()-5,tblIssues[Alert Row],0)))</f>
        <v/>
      </c>
      <c r="H351" s="23" t="str">
        <f>IF($A351="","",INDEX(tblIssues[Monthly Quota],MATCH(ROW()-5,tblIssues[Alert Row],0)))</f>
        <v/>
      </c>
      <c r="I351" s="27" t="str">
        <f t="shared" si="10"/>
        <v/>
      </c>
      <c r="J351" s="31" t="str">
        <f t="shared" si="11"/>
        <v/>
      </c>
    </row>
    <row r="352" spans="1:10" x14ac:dyDescent="0.35">
      <c r="A352" s="18" t="str">
        <f>IFERROR(INDEX(tblIssues[Staff ID],MATCH(ROW()-5,tblIssues[Alert Row],0)),"")</f>
        <v/>
      </c>
      <c r="B352" s="18" t="str">
        <f>IF($A352="","",INDEX(tblIssues[Staff Name (pick)],MATCH(ROW()-5,tblIssues[Alert Row],0)))</f>
        <v/>
      </c>
      <c r="C352" s="18" t="str">
        <f>IF($A352="","",INDEX(tblIssues[Role],MATCH(ROW()-5,tblIssues[Alert Row],0)))</f>
        <v/>
      </c>
      <c r="D352" s="25" t="str">
        <f>IF($A352="","",INDEX(tblIssues[Area],MATCH(ROW()-5,tblIssues[Alert Row],0)))</f>
        <v/>
      </c>
      <c r="E352" s="25" t="str">
        <f>IF($A352="","",INDEX(tblIssues[Item Name],MATCH(ROW()-5,tblIssues[Alert Row],0)))</f>
        <v/>
      </c>
      <c r="F352" s="98" t="str">
        <f>IF($A352="","",INDEX(tblIssues[Month],MATCH(ROW()-5,tblIssues[Alert Row],0)))</f>
        <v/>
      </c>
      <c r="G352" s="23" t="str">
        <f>IF($A352="","",INDEX(tblIssues[Units This Month (Staff/Item)],MATCH(ROW()-5,tblIssues[Alert Row],0)))</f>
        <v/>
      </c>
      <c r="H352" s="23" t="str">
        <f>IF($A352="","",INDEX(tblIssues[Monthly Quota],MATCH(ROW()-5,tblIssues[Alert Row],0)))</f>
        <v/>
      </c>
      <c r="I352" s="27" t="str">
        <f t="shared" si="10"/>
        <v/>
      </c>
      <c r="J352" s="31" t="str">
        <f t="shared" si="11"/>
        <v/>
      </c>
    </row>
    <row r="353" spans="1:10" x14ac:dyDescent="0.35">
      <c r="A353" s="18" t="str">
        <f>IFERROR(INDEX(tblIssues[Staff ID],MATCH(ROW()-5,tblIssues[Alert Row],0)),"")</f>
        <v/>
      </c>
      <c r="B353" s="18" t="str">
        <f>IF($A353="","",INDEX(tblIssues[Staff Name (pick)],MATCH(ROW()-5,tblIssues[Alert Row],0)))</f>
        <v/>
      </c>
      <c r="C353" s="18" t="str">
        <f>IF($A353="","",INDEX(tblIssues[Role],MATCH(ROW()-5,tblIssues[Alert Row],0)))</f>
        <v/>
      </c>
      <c r="D353" s="25" t="str">
        <f>IF($A353="","",INDEX(tblIssues[Area],MATCH(ROW()-5,tblIssues[Alert Row],0)))</f>
        <v/>
      </c>
      <c r="E353" s="25" t="str">
        <f>IF($A353="","",INDEX(tblIssues[Item Name],MATCH(ROW()-5,tblIssues[Alert Row],0)))</f>
        <v/>
      </c>
      <c r="F353" s="98" t="str">
        <f>IF($A353="","",INDEX(tblIssues[Month],MATCH(ROW()-5,tblIssues[Alert Row],0)))</f>
        <v/>
      </c>
      <c r="G353" s="23" t="str">
        <f>IF($A353="","",INDEX(tblIssues[Units This Month (Staff/Item)],MATCH(ROW()-5,tblIssues[Alert Row],0)))</f>
        <v/>
      </c>
      <c r="H353" s="23" t="str">
        <f>IF($A353="","",INDEX(tblIssues[Monthly Quota],MATCH(ROW()-5,tblIssues[Alert Row],0)))</f>
        <v/>
      </c>
      <c r="I353" s="27" t="str">
        <f t="shared" si="10"/>
        <v/>
      </c>
      <c r="J353" s="31" t="str">
        <f t="shared" si="11"/>
        <v/>
      </c>
    </row>
    <row r="354" spans="1:10" x14ac:dyDescent="0.35">
      <c r="A354" s="18" t="str">
        <f>IFERROR(INDEX(tblIssues[Staff ID],MATCH(ROW()-5,tblIssues[Alert Row],0)),"")</f>
        <v/>
      </c>
      <c r="B354" s="18" t="str">
        <f>IF($A354="","",INDEX(tblIssues[Staff Name (pick)],MATCH(ROW()-5,tblIssues[Alert Row],0)))</f>
        <v/>
      </c>
      <c r="C354" s="18" t="str">
        <f>IF($A354="","",INDEX(tblIssues[Role],MATCH(ROW()-5,tblIssues[Alert Row],0)))</f>
        <v/>
      </c>
      <c r="D354" s="25" t="str">
        <f>IF($A354="","",INDEX(tblIssues[Area],MATCH(ROW()-5,tblIssues[Alert Row],0)))</f>
        <v/>
      </c>
      <c r="E354" s="25" t="str">
        <f>IF($A354="","",INDEX(tblIssues[Item Name],MATCH(ROW()-5,tblIssues[Alert Row],0)))</f>
        <v/>
      </c>
      <c r="F354" s="98" t="str">
        <f>IF($A354="","",INDEX(tblIssues[Month],MATCH(ROW()-5,tblIssues[Alert Row],0)))</f>
        <v/>
      </c>
      <c r="G354" s="23" t="str">
        <f>IF($A354="","",INDEX(tblIssues[Units This Month (Staff/Item)],MATCH(ROW()-5,tblIssues[Alert Row],0)))</f>
        <v/>
      </c>
      <c r="H354" s="23" t="str">
        <f>IF($A354="","",INDEX(tblIssues[Monthly Quota],MATCH(ROW()-5,tblIssues[Alert Row],0)))</f>
        <v/>
      </c>
      <c r="I354" s="27" t="str">
        <f t="shared" si="10"/>
        <v/>
      </c>
      <c r="J354" s="31" t="str">
        <f t="shared" si="11"/>
        <v/>
      </c>
    </row>
    <row r="355" spans="1:10" x14ac:dyDescent="0.35">
      <c r="A355" s="18" t="str">
        <f>IFERROR(INDEX(tblIssues[Staff ID],MATCH(ROW()-5,tblIssues[Alert Row],0)),"")</f>
        <v/>
      </c>
      <c r="B355" s="18" t="str">
        <f>IF($A355="","",INDEX(tblIssues[Staff Name (pick)],MATCH(ROW()-5,tblIssues[Alert Row],0)))</f>
        <v/>
      </c>
      <c r="C355" s="18" t="str">
        <f>IF($A355="","",INDEX(tblIssues[Role],MATCH(ROW()-5,tblIssues[Alert Row],0)))</f>
        <v/>
      </c>
      <c r="D355" s="25" t="str">
        <f>IF($A355="","",INDEX(tblIssues[Area],MATCH(ROW()-5,tblIssues[Alert Row],0)))</f>
        <v/>
      </c>
      <c r="E355" s="25" t="str">
        <f>IF($A355="","",INDEX(tblIssues[Item Name],MATCH(ROW()-5,tblIssues[Alert Row],0)))</f>
        <v/>
      </c>
      <c r="F355" s="98" t="str">
        <f>IF($A355="","",INDEX(tblIssues[Month],MATCH(ROW()-5,tblIssues[Alert Row],0)))</f>
        <v/>
      </c>
      <c r="G355" s="23" t="str">
        <f>IF($A355="","",INDEX(tblIssues[Units This Month (Staff/Item)],MATCH(ROW()-5,tblIssues[Alert Row],0)))</f>
        <v/>
      </c>
      <c r="H355" s="23" t="str">
        <f>IF($A355="","",INDEX(tblIssues[Monthly Quota],MATCH(ROW()-5,tblIssues[Alert Row],0)))</f>
        <v/>
      </c>
      <c r="I355" s="27" t="str">
        <f t="shared" si="10"/>
        <v/>
      </c>
      <c r="J355" s="31" t="str">
        <f t="shared" si="11"/>
        <v/>
      </c>
    </row>
    <row r="356" spans="1:10" x14ac:dyDescent="0.35">
      <c r="A356" s="18" t="str">
        <f>IFERROR(INDEX(tblIssues[Staff ID],MATCH(ROW()-5,tblIssues[Alert Row],0)),"")</f>
        <v/>
      </c>
      <c r="B356" s="18" t="str">
        <f>IF($A356="","",INDEX(tblIssues[Staff Name (pick)],MATCH(ROW()-5,tblIssues[Alert Row],0)))</f>
        <v/>
      </c>
      <c r="C356" s="18" t="str">
        <f>IF($A356="","",INDEX(tblIssues[Role],MATCH(ROW()-5,tblIssues[Alert Row],0)))</f>
        <v/>
      </c>
      <c r="D356" s="25" t="str">
        <f>IF($A356="","",INDEX(tblIssues[Area],MATCH(ROW()-5,tblIssues[Alert Row],0)))</f>
        <v/>
      </c>
      <c r="E356" s="25" t="str">
        <f>IF($A356="","",INDEX(tblIssues[Item Name],MATCH(ROW()-5,tblIssues[Alert Row],0)))</f>
        <v/>
      </c>
      <c r="F356" s="98" t="str">
        <f>IF($A356="","",INDEX(tblIssues[Month],MATCH(ROW()-5,tblIssues[Alert Row],0)))</f>
        <v/>
      </c>
      <c r="G356" s="23" t="str">
        <f>IF($A356="","",INDEX(tblIssues[Units This Month (Staff/Item)],MATCH(ROW()-5,tblIssues[Alert Row],0)))</f>
        <v/>
      </c>
      <c r="H356" s="23" t="str">
        <f>IF($A356="","",INDEX(tblIssues[Monthly Quota],MATCH(ROW()-5,tblIssues[Alert Row],0)))</f>
        <v/>
      </c>
      <c r="I356" s="27" t="str">
        <f t="shared" si="10"/>
        <v/>
      </c>
      <c r="J356" s="31" t="str">
        <f t="shared" si="11"/>
        <v/>
      </c>
    </row>
    <row r="357" spans="1:10" x14ac:dyDescent="0.35">
      <c r="A357" s="18" t="str">
        <f>IFERROR(INDEX(tblIssues[Staff ID],MATCH(ROW()-5,tblIssues[Alert Row],0)),"")</f>
        <v/>
      </c>
      <c r="B357" s="18" t="str">
        <f>IF($A357="","",INDEX(tblIssues[Staff Name (pick)],MATCH(ROW()-5,tblIssues[Alert Row],0)))</f>
        <v/>
      </c>
      <c r="C357" s="18" t="str">
        <f>IF($A357="","",INDEX(tblIssues[Role],MATCH(ROW()-5,tblIssues[Alert Row],0)))</f>
        <v/>
      </c>
      <c r="D357" s="25" t="str">
        <f>IF($A357="","",INDEX(tblIssues[Area],MATCH(ROW()-5,tblIssues[Alert Row],0)))</f>
        <v/>
      </c>
      <c r="E357" s="25" t="str">
        <f>IF($A357="","",INDEX(tblIssues[Item Name],MATCH(ROW()-5,tblIssues[Alert Row],0)))</f>
        <v/>
      </c>
      <c r="F357" s="98" t="str">
        <f>IF($A357="","",INDEX(tblIssues[Month],MATCH(ROW()-5,tblIssues[Alert Row],0)))</f>
        <v/>
      </c>
      <c r="G357" s="23" t="str">
        <f>IF($A357="","",INDEX(tblIssues[Units This Month (Staff/Item)],MATCH(ROW()-5,tblIssues[Alert Row],0)))</f>
        <v/>
      </c>
      <c r="H357" s="23" t="str">
        <f>IF($A357="","",INDEX(tblIssues[Monthly Quota],MATCH(ROW()-5,tblIssues[Alert Row],0)))</f>
        <v/>
      </c>
      <c r="I357" s="27" t="str">
        <f t="shared" si="10"/>
        <v/>
      </c>
      <c r="J357" s="31" t="str">
        <f t="shared" si="11"/>
        <v/>
      </c>
    </row>
    <row r="358" spans="1:10" x14ac:dyDescent="0.35">
      <c r="A358" s="18" t="str">
        <f>IFERROR(INDEX(tblIssues[Staff ID],MATCH(ROW()-5,tblIssues[Alert Row],0)),"")</f>
        <v/>
      </c>
      <c r="B358" s="18" t="str">
        <f>IF($A358="","",INDEX(tblIssues[Staff Name (pick)],MATCH(ROW()-5,tblIssues[Alert Row],0)))</f>
        <v/>
      </c>
      <c r="C358" s="18" t="str">
        <f>IF($A358="","",INDEX(tblIssues[Role],MATCH(ROW()-5,tblIssues[Alert Row],0)))</f>
        <v/>
      </c>
      <c r="D358" s="25" t="str">
        <f>IF($A358="","",INDEX(tblIssues[Area],MATCH(ROW()-5,tblIssues[Alert Row],0)))</f>
        <v/>
      </c>
      <c r="E358" s="25" t="str">
        <f>IF($A358="","",INDEX(tblIssues[Item Name],MATCH(ROW()-5,tblIssues[Alert Row],0)))</f>
        <v/>
      </c>
      <c r="F358" s="98" t="str">
        <f>IF($A358="","",INDEX(tblIssues[Month],MATCH(ROW()-5,tblIssues[Alert Row],0)))</f>
        <v/>
      </c>
      <c r="G358" s="23" t="str">
        <f>IF($A358="","",INDEX(tblIssues[Units This Month (Staff/Item)],MATCH(ROW()-5,tblIssues[Alert Row],0)))</f>
        <v/>
      </c>
      <c r="H358" s="23" t="str">
        <f>IF($A358="","",INDEX(tblIssues[Monthly Quota],MATCH(ROW()-5,tblIssues[Alert Row],0)))</f>
        <v/>
      </c>
      <c r="I358" s="27" t="str">
        <f t="shared" si="10"/>
        <v/>
      </c>
      <c r="J358" s="31" t="str">
        <f t="shared" si="11"/>
        <v/>
      </c>
    </row>
    <row r="359" spans="1:10" x14ac:dyDescent="0.35">
      <c r="A359" s="18" t="str">
        <f>IFERROR(INDEX(tblIssues[Staff ID],MATCH(ROW()-5,tblIssues[Alert Row],0)),"")</f>
        <v/>
      </c>
      <c r="B359" s="18" t="str">
        <f>IF($A359="","",INDEX(tblIssues[Staff Name (pick)],MATCH(ROW()-5,tblIssues[Alert Row],0)))</f>
        <v/>
      </c>
      <c r="C359" s="18" t="str">
        <f>IF($A359="","",INDEX(tblIssues[Role],MATCH(ROW()-5,tblIssues[Alert Row],0)))</f>
        <v/>
      </c>
      <c r="D359" s="25" t="str">
        <f>IF($A359="","",INDEX(tblIssues[Area],MATCH(ROW()-5,tblIssues[Alert Row],0)))</f>
        <v/>
      </c>
      <c r="E359" s="25" t="str">
        <f>IF($A359="","",INDEX(tblIssues[Item Name],MATCH(ROW()-5,tblIssues[Alert Row],0)))</f>
        <v/>
      </c>
      <c r="F359" s="98" t="str">
        <f>IF($A359="","",INDEX(tblIssues[Month],MATCH(ROW()-5,tblIssues[Alert Row],0)))</f>
        <v/>
      </c>
      <c r="G359" s="23" t="str">
        <f>IF($A359="","",INDEX(tblIssues[Units This Month (Staff/Item)],MATCH(ROW()-5,tblIssues[Alert Row],0)))</f>
        <v/>
      </c>
      <c r="H359" s="23" t="str">
        <f>IF($A359="","",INDEX(tblIssues[Monthly Quota],MATCH(ROW()-5,tblIssues[Alert Row],0)))</f>
        <v/>
      </c>
      <c r="I359" s="27" t="str">
        <f t="shared" si="10"/>
        <v/>
      </c>
      <c r="J359" s="31" t="str">
        <f t="shared" si="11"/>
        <v/>
      </c>
    </row>
    <row r="360" spans="1:10" x14ac:dyDescent="0.35">
      <c r="A360" s="18" t="str">
        <f>IFERROR(INDEX(tblIssues[Staff ID],MATCH(ROW()-5,tblIssues[Alert Row],0)),"")</f>
        <v/>
      </c>
      <c r="B360" s="18" t="str">
        <f>IF($A360="","",INDEX(tblIssues[Staff Name (pick)],MATCH(ROW()-5,tblIssues[Alert Row],0)))</f>
        <v/>
      </c>
      <c r="C360" s="18" t="str">
        <f>IF($A360="","",INDEX(tblIssues[Role],MATCH(ROW()-5,tblIssues[Alert Row],0)))</f>
        <v/>
      </c>
      <c r="D360" s="25" t="str">
        <f>IF($A360="","",INDEX(tblIssues[Area],MATCH(ROW()-5,tblIssues[Alert Row],0)))</f>
        <v/>
      </c>
      <c r="E360" s="25" t="str">
        <f>IF($A360="","",INDEX(tblIssues[Item Name],MATCH(ROW()-5,tblIssues[Alert Row],0)))</f>
        <v/>
      </c>
      <c r="F360" s="98" t="str">
        <f>IF($A360="","",INDEX(tblIssues[Month],MATCH(ROW()-5,tblIssues[Alert Row],0)))</f>
        <v/>
      </c>
      <c r="G360" s="23" t="str">
        <f>IF($A360="","",INDEX(tblIssues[Units This Month (Staff/Item)],MATCH(ROW()-5,tblIssues[Alert Row],0)))</f>
        <v/>
      </c>
      <c r="H360" s="23" t="str">
        <f>IF($A360="","",INDEX(tblIssues[Monthly Quota],MATCH(ROW()-5,tblIssues[Alert Row],0)))</f>
        <v/>
      </c>
      <c r="I360" s="27" t="str">
        <f t="shared" si="10"/>
        <v/>
      </c>
      <c r="J360" s="31" t="str">
        <f t="shared" si="11"/>
        <v/>
      </c>
    </row>
    <row r="361" spans="1:10" x14ac:dyDescent="0.35">
      <c r="A361" s="18" t="str">
        <f>IFERROR(INDEX(tblIssues[Staff ID],MATCH(ROW()-5,tblIssues[Alert Row],0)),"")</f>
        <v/>
      </c>
      <c r="B361" s="18" t="str">
        <f>IF($A361="","",INDEX(tblIssues[Staff Name (pick)],MATCH(ROW()-5,tblIssues[Alert Row],0)))</f>
        <v/>
      </c>
      <c r="C361" s="18" t="str">
        <f>IF($A361="","",INDEX(tblIssues[Role],MATCH(ROW()-5,tblIssues[Alert Row],0)))</f>
        <v/>
      </c>
      <c r="D361" s="25" t="str">
        <f>IF($A361="","",INDEX(tblIssues[Area],MATCH(ROW()-5,tblIssues[Alert Row],0)))</f>
        <v/>
      </c>
      <c r="E361" s="25" t="str">
        <f>IF($A361="","",INDEX(tblIssues[Item Name],MATCH(ROW()-5,tblIssues[Alert Row],0)))</f>
        <v/>
      </c>
      <c r="F361" s="98" t="str">
        <f>IF($A361="","",INDEX(tblIssues[Month],MATCH(ROW()-5,tblIssues[Alert Row],0)))</f>
        <v/>
      </c>
      <c r="G361" s="23" t="str">
        <f>IF($A361="","",INDEX(tblIssues[Units This Month (Staff/Item)],MATCH(ROW()-5,tblIssues[Alert Row],0)))</f>
        <v/>
      </c>
      <c r="H361" s="23" t="str">
        <f>IF($A361="","",INDEX(tblIssues[Monthly Quota],MATCH(ROW()-5,tblIssues[Alert Row],0)))</f>
        <v/>
      </c>
      <c r="I361" s="27" t="str">
        <f t="shared" si="10"/>
        <v/>
      </c>
      <c r="J361" s="31" t="str">
        <f t="shared" si="11"/>
        <v/>
      </c>
    </row>
    <row r="362" spans="1:10" x14ac:dyDescent="0.35">
      <c r="A362" s="18" t="str">
        <f>IFERROR(INDEX(tblIssues[Staff ID],MATCH(ROW()-5,tblIssues[Alert Row],0)),"")</f>
        <v/>
      </c>
      <c r="B362" s="18" t="str">
        <f>IF($A362="","",INDEX(tblIssues[Staff Name (pick)],MATCH(ROW()-5,tblIssues[Alert Row],0)))</f>
        <v/>
      </c>
      <c r="C362" s="18" t="str">
        <f>IF($A362="","",INDEX(tblIssues[Role],MATCH(ROW()-5,tblIssues[Alert Row],0)))</f>
        <v/>
      </c>
      <c r="D362" s="25" t="str">
        <f>IF($A362="","",INDEX(tblIssues[Area],MATCH(ROW()-5,tblIssues[Alert Row],0)))</f>
        <v/>
      </c>
      <c r="E362" s="25" t="str">
        <f>IF($A362="","",INDEX(tblIssues[Item Name],MATCH(ROW()-5,tblIssues[Alert Row],0)))</f>
        <v/>
      </c>
      <c r="F362" s="98" t="str">
        <f>IF($A362="","",INDEX(tblIssues[Month],MATCH(ROW()-5,tblIssues[Alert Row],0)))</f>
        <v/>
      </c>
      <c r="G362" s="23" t="str">
        <f>IF($A362="","",INDEX(tblIssues[Units This Month (Staff/Item)],MATCH(ROW()-5,tblIssues[Alert Row],0)))</f>
        <v/>
      </c>
      <c r="H362" s="23" t="str">
        <f>IF($A362="","",INDEX(tblIssues[Monthly Quota],MATCH(ROW()-5,tblIssues[Alert Row],0)))</f>
        <v/>
      </c>
      <c r="I362" s="27" t="str">
        <f t="shared" si="10"/>
        <v/>
      </c>
      <c r="J362" s="31" t="str">
        <f t="shared" si="11"/>
        <v/>
      </c>
    </row>
    <row r="363" spans="1:10" x14ac:dyDescent="0.35">
      <c r="A363" s="18" t="str">
        <f>IFERROR(INDEX(tblIssues[Staff ID],MATCH(ROW()-5,tblIssues[Alert Row],0)),"")</f>
        <v/>
      </c>
      <c r="B363" s="18" t="str">
        <f>IF($A363="","",INDEX(tblIssues[Staff Name (pick)],MATCH(ROW()-5,tblIssues[Alert Row],0)))</f>
        <v/>
      </c>
      <c r="C363" s="18" t="str">
        <f>IF($A363="","",INDEX(tblIssues[Role],MATCH(ROW()-5,tblIssues[Alert Row],0)))</f>
        <v/>
      </c>
      <c r="D363" s="25" t="str">
        <f>IF($A363="","",INDEX(tblIssues[Area],MATCH(ROW()-5,tblIssues[Alert Row],0)))</f>
        <v/>
      </c>
      <c r="E363" s="25" t="str">
        <f>IF($A363="","",INDEX(tblIssues[Item Name],MATCH(ROW()-5,tblIssues[Alert Row],0)))</f>
        <v/>
      </c>
      <c r="F363" s="98" t="str">
        <f>IF($A363="","",INDEX(tblIssues[Month],MATCH(ROW()-5,tblIssues[Alert Row],0)))</f>
        <v/>
      </c>
      <c r="G363" s="23" t="str">
        <f>IF($A363="","",INDEX(tblIssues[Units This Month (Staff/Item)],MATCH(ROW()-5,tblIssues[Alert Row],0)))</f>
        <v/>
      </c>
      <c r="H363" s="23" t="str">
        <f>IF($A363="","",INDEX(tblIssues[Monthly Quota],MATCH(ROW()-5,tblIssues[Alert Row],0)))</f>
        <v/>
      </c>
      <c r="I363" s="27" t="str">
        <f t="shared" si="10"/>
        <v/>
      </c>
      <c r="J363" s="31" t="str">
        <f t="shared" si="11"/>
        <v/>
      </c>
    </row>
    <row r="364" spans="1:10" x14ac:dyDescent="0.35">
      <c r="A364" s="18" t="str">
        <f>IFERROR(INDEX(tblIssues[Staff ID],MATCH(ROW()-5,tblIssues[Alert Row],0)),"")</f>
        <v/>
      </c>
      <c r="B364" s="18" t="str">
        <f>IF($A364="","",INDEX(tblIssues[Staff Name (pick)],MATCH(ROW()-5,tblIssues[Alert Row],0)))</f>
        <v/>
      </c>
      <c r="C364" s="18" t="str">
        <f>IF($A364="","",INDEX(tblIssues[Role],MATCH(ROW()-5,tblIssues[Alert Row],0)))</f>
        <v/>
      </c>
      <c r="D364" s="25" t="str">
        <f>IF($A364="","",INDEX(tblIssues[Area],MATCH(ROW()-5,tblIssues[Alert Row],0)))</f>
        <v/>
      </c>
      <c r="E364" s="25" t="str">
        <f>IF($A364="","",INDEX(tblIssues[Item Name],MATCH(ROW()-5,tblIssues[Alert Row],0)))</f>
        <v/>
      </c>
      <c r="F364" s="98" t="str">
        <f>IF($A364="","",INDEX(tblIssues[Month],MATCH(ROW()-5,tblIssues[Alert Row],0)))</f>
        <v/>
      </c>
      <c r="G364" s="23" t="str">
        <f>IF($A364="","",INDEX(tblIssues[Units This Month (Staff/Item)],MATCH(ROW()-5,tblIssues[Alert Row],0)))</f>
        <v/>
      </c>
      <c r="H364" s="23" t="str">
        <f>IF($A364="","",INDEX(tblIssues[Monthly Quota],MATCH(ROW()-5,tblIssues[Alert Row],0)))</f>
        <v/>
      </c>
      <c r="I364" s="27" t="str">
        <f t="shared" si="10"/>
        <v/>
      </c>
      <c r="J364" s="31" t="str">
        <f t="shared" si="11"/>
        <v/>
      </c>
    </row>
    <row r="365" spans="1:10" x14ac:dyDescent="0.35">
      <c r="A365" s="18" t="str">
        <f>IFERROR(INDEX(tblIssues[Staff ID],MATCH(ROW()-5,tblIssues[Alert Row],0)),"")</f>
        <v/>
      </c>
      <c r="B365" s="18" t="str">
        <f>IF($A365="","",INDEX(tblIssues[Staff Name (pick)],MATCH(ROW()-5,tblIssues[Alert Row],0)))</f>
        <v/>
      </c>
      <c r="C365" s="18" t="str">
        <f>IF($A365="","",INDEX(tblIssues[Role],MATCH(ROW()-5,tblIssues[Alert Row],0)))</f>
        <v/>
      </c>
      <c r="D365" s="25" t="str">
        <f>IF($A365="","",INDEX(tblIssues[Area],MATCH(ROW()-5,tblIssues[Alert Row],0)))</f>
        <v/>
      </c>
      <c r="E365" s="25" t="str">
        <f>IF($A365="","",INDEX(tblIssues[Item Name],MATCH(ROW()-5,tblIssues[Alert Row],0)))</f>
        <v/>
      </c>
      <c r="F365" s="98" t="str">
        <f>IF($A365="","",INDEX(tblIssues[Month],MATCH(ROW()-5,tblIssues[Alert Row],0)))</f>
        <v/>
      </c>
      <c r="G365" s="23" t="str">
        <f>IF($A365="","",INDEX(tblIssues[Units This Month (Staff/Item)],MATCH(ROW()-5,tblIssues[Alert Row],0)))</f>
        <v/>
      </c>
      <c r="H365" s="23" t="str">
        <f>IF($A365="","",INDEX(tblIssues[Monthly Quota],MATCH(ROW()-5,tblIssues[Alert Row],0)))</f>
        <v/>
      </c>
      <c r="I365" s="27" t="str">
        <f t="shared" si="10"/>
        <v/>
      </c>
      <c r="J365" s="31" t="str">
        <f t="shared" si="11"/>
        <v/>
      </c>
    </row>
    <row r="366" spans="1:10" x14ac:dyDescent="0.35">
      <c r="A366" s="18" t="str">
        <f>IFERROR(INDEX(tblIssues[Staff ID],MATCH(ROW()-5,tblIssues[Alert Row],0)),"")</f>
        <v/>
      </c>
      <c r="B366" s="18" t="str">
        <f>IF($A366="","",INDEX(tblIssues[Staff Name (pick)],MATCH(ROW()-5,tblIssues[Alert Row],0)))</f>
        <v/>
      </c>
      <c r="C366" s="18" t="str">
        <f>IF($A366="","",INDEX(tblIssues[Role],MATCH(ROW()-5,tblIssues[Alert Row],0)))</f>
        <v/>
      </c>
      <c r="D366" s="25" t="str">
        <f>IF($A366="","",INDEX(tblIssues[Area],MATCH(ROW()-5,tblIssues[Alert Row],0)))</f>
        <v/>
      </c>
      <c r="E366" s="25" t="str">
        <f>IF($A366="","",INDEX(tblIssues[Item Name],MATCH(ROW()-5,tblIssues[Alert Row],0)))</f>
        <v/>
      </c>
      <c r="F366" s="98" t="str">
        <f>IF($A366="","",INDEX(tblIssues[Month],MATCH(ROW()-5,tblIssues[Alert Row],0)))</f>
        <v/>
      </c>
      <c r="G366" s="23" t="str">
        <f>IF($A366="","",INDEX(tblIssues[Units This Month (Staff/Item)],MATCH(ROW()-5,tblIssues[Alert Row],0)))</f>
        <v/>
      </c>
      <c r="H366" s="23" t="str">
        <f>IF($A366="","",INDEX(tblIssues[Monthly Quota],MATCH(ROW()-5,tblIssues[Alert Row],0)))</f>
        <v/>
      </c>
      <c r="I366" s="27" t="str">
        <f t="shared" si="10"/>
        <v/>
      </c>
      <c r="J366" s="31" t="str">
        <f t="shared" si="11"/>
        <v/>
      </c>
    </row>
    <row r="367" spans="1:10" x14ac:dyDescent="0.35">
      <c r="A367" s="18" t="str">
        <f>IFERROR(INDEX(tblIssues[Staff ID],MATCH(ROW()-5,tblIssues[Alert Row],0)),"")</f>
        <v/>
      </c>
      <c r="B367" s="18" t="str">
        <f>IF($A367="","",INDEX(tblIssues[Staff Name (pick)],MATCH(ROW()-5,tblIssues[Alert Row],0)))</f>
        <v/>
      </c>
      <c r="C367" s="18" t="str">
        <f>IF($A367="","",INDEX(tblIssues[Role],MATCH(ROW()-5,tblIssues[Alert Row],0)))</f>
        <v/>
      </c>
      <c r="D367" s="25" t="str">
        <f>IF($A367="","",INDEX(tblIssues[Area],MATCH(ROW()-5,tblIssues[Alert Row],0)))</f>
        <v/>
      </c>
      <c r="E367" s="25" t="str">
        <f>IF($A367="","",INDEX(tblIssues[Item Name],MATCH(ROW()-5,tblIssues[Alert Row],0)))</f>
        <v/>
      </c>
      <c r="F367" s="98" t="str">
        <f>IF($A367="","",INDEX(tblIssues[Month],MATCH(ROW()-5,tblIssues[Alert Row],0)))</f>
        <v/>
      </c>
      <c r="G367" s="23" t="str">
        <f>IF($A367="","",INDEX(tblIssues[Units This Month (Staff/Item)],MATCH(ROW()-5,tblIssues[Alert Row],0)))</f>
        <v/>
      </c>
      <c r="H367" s="23" t="str">
        <f>IF($A367="","",INDEX(tblIssues[Monthly Quota],MATCH(ROW()-5,tblIssues[Alert Row],0)))</f>
        <v/>
      </c>
      <c r="I367" s="27" t="str">
        <f t="shared" si="10"/>
        <v/>
      </c>
      <c r="J367" s="31" t="str">
        <f t="shared" si="11"/>
        <v/>
      </c>
    </row>
    <row r="368" spans="1:10" x14ac:dyDescent="0.35">
      <c r="A368" s="18" t="str">
        <f>IFERROR(INDEX(tblIssues[Staff ID],MATCH(ROW()-5,tblIssues[Alert Row],0)),"")</f>
        <v/>
      </c>
      <c r="B368" s="18" t="str">
        <f>IF($A368="","",INDEX(tblIssues[Staff Name (pick)],MATCH(ROW()-5,tblIssues[Alert Row],0)))</f>
        <v/>
      </c>
      <c r="C368" s="18" t="str">
        <f>IF($A368="","",INDEX(tblIssues[Role],MATCH(ROW()-5,tblIssues[Alert Row],0)))</f>
        <v/>
      </c>
      <c r="D368" s="25" t="str">
        <f>IF($A368="","",INDEX(tblIssues[Area],MATCH(ROW()-5,tblIssues[Alert Row],0)))</f>
        <v/>
      </c>
      <c r="E368" s="25" t="str">
        <f>IF($A368="","",INDEX(tblIssues[Item Name],MATCH(ROW()-5,tblIssues[Alert Row],0)))</f>
        <v/>
      </c>
      <c r="F368" s="98" t="str">
        <f>IF($A368="","",INDEX(tblIssues[Month],MATCH(ROW()-5,tblIssues[Alert Row],0)))</f>
        <v/>
      </c>
      <c r="G368" s="23" t="str">
        <f>IF($A368="","",INDEX(tblIssues[Units This Month (Staff/Item)],MATCH(ROW()-5,tblIssues[Alert Row],0)))</f>
        <v/>
      </c>
      <c r="H368" s="23" t="str">
        <f>IF($A368="","",INDEX(tblIssues[Monthly Quota],MATCH(ROW()-5,tblIssues[Alert Row],0)))</f>
        <v/>
      </c>
      <c r="I368" s="27" t="str">
        <f t="shared" si="10"/>
        <v/>
      </c>
      <c r="J368" s="31" t="str">
        <f t="shared" si="11"/>
        <v/>
      </c>
    </row>
    <row r="369" spans="1:10" x14ac:dyDescent="0.35">
      <c r="A369" s="18" t="str">
        <f>IFERROR(INDEX(tblIssues[Staff ID],MATCH(ROW()-5,tblIssues[Alert Row],0)),"")</f>
        <v/>
      </c>
      <c r="B369" s="18" t="str">
        <f>IF($A369="","",INDEX(tblIssues[Staff Name (pick)],MATCH(ROW()-5,tblIssues[Alert Row],0)))</f>
        <v/>
      </c>
      <c r="C369" s="18" t="str">
        <f>IF($A369="","",INDEX(tblIssues[Role],MATCH(ROW()-5,tblIssues[Alert Row],0)))</f>
        <v/>
      </c>
      <c r="D369" s="25" t="str">
        <f>IF($A369="","",INDEX(tblIssues[Area],MATCH(ROW()-5,tblIssues[Alert Row],0)))</f>
        <v/>
      </c>
      <c r="E369" s="25" t="str">
        <f>IF($A369="","",INDEX(tblIssues[Item Name],MATCH(ROW()-5,tblIssues[Alert Row],0)))</f>
        <v/>
      </c>
      <c r="F369" s="98" t="str">
        <f>IF($A369="","",INDEX(tblIssues[Month],MATCH(ROW()-5,tblIssues[Alert Row],0)))</f>
        <v/>
      </c>
      <c r="G369" s="23" t="str">
        <f>IF($A369="","",INDEX(tblIssues[Units This Month (Staff/Item)],MATCH(ROW()-5,tblIssues[Alert Row],0)))</f>
        <v/>
      </c>
      <c r="H369" s="23" t="str">
        <f>IF($A369="","",INDEX(tblIssues[Monthly Quota],MATCH(ROW()-5,tblIssues[Alert Row],0)))</f>
        <v/>
      </c>
      <c r="I369" s="27" t="str">
        <f t="shared" si="10"/>
        <v/>
      </c>
      <c r="J369" s="31" t="str">
        <f t="shared" si="11"/>
        <v/>
      </c>
    </row>
    <row r="370" spans="1:10" x14ac:dyDescent="0.35">
      <c r="A370" s="18" t="str">
        <f>IFERROR(INDEX(tblIssues[Staff ID],MATCH(ROW()-5,tblIssues[Alert Row],0)),"")</f>
        <v/>
      </c>
      <c r="B370" s="18" t="str">
        <f>IF($A370="","",INDEX(tblIssues[Staff Name (pick)],MATCH(ROW()-5,tblIssues[Alert Row],0)))</f>
        <v/>
      </c>
      <c r="C370" s="18" t="str">
        <f>IF($A370="","",INDEX(tblIssues[Role],MATCH(ROW()-5,tblIssues[Alert Row],0)))</f>
        <v/>
      </c>
      <c r="D370" s="25" t="str">
        <f>IF($A370="","",INDEX(tblIssues[Area],MATCH(ROW()-5,tblIssues[Alert Row],0)))</f>
        <v/>
      </c>
      <c r="E370" s="25" t="str">
        <f>IF($A370="","",INDEX(tblIssues[Item Name],MATCH(ROW()-5,tblIssues[Alert Row],0)))</f>
        <v/>
      </c>
      <c r="F370" s="98" t="str">
        <f>IF($A370="","",INDEX(tblIssues[Month],MATCH(ROW()-5,tblIssues[Alert Row],0)))</f>
        <v/>
      </c>
      <c r="G370" s="23" t="str">
        <f>IF($A370="","",INDEX(tblIssues[Units This Month (Staff/Item)],MATCH(ROW()-5,tblIssues[Alert Row],0)))</f>
        <v/>
      </c>
      <c r="H370" s="23" t="str">
        <f>IF($A370="","",INDEX(tblIssues[Monthly Quota],MATCH(ROW()-5,tblIssues[Alert Row],0)))</f>
        <v/>
      </c>
      <c r="I370" s="27" t="str">
        <f t="shared" si="10"/>
        <v/>
      </c>
      <c r="J370" s="31" t="str">
        <f t="shared" si="11"/>
        <v/>
      </c>
    </row>
    <row r="371" spans="1:10" x14ac:dyDescent="0.35">
      <c r="A371" s="18" t="str">
        <f>IFERROR(INDEX(tblIssues[Staff ID],MATCH(ROW()-5,tblIssues[Alert Row],0)),"")</f>
        <v/>
      </c>
      <c r="B371" s="18" t="str">
        <f>IF($A371="","",INDEX(tblIssues[Staff Name (pick)],MATCH(ROW()-5,tblIssues[Alert Row],0)))</f>
        <v/>
      </c>
      <c r="C371" s="18" t="str">
        <f>IF($A371="","",INDEX(tblIssues[Role],MATCH(ROW()-5,tblIssues[Alert Row],0)))</f>
        <v/>
      </c>
      <c r="D371" s="25" t="str">
        <f>IF($A371="","",INDEX(tblIssues[Area],MATCH(ROW()-5,tblIssues[Alert Row],0)))</f>
        <v/>
      </c>
      <c r="E371" s="25" t="str">
        <f>IF($A371="","",INDEX(tblIssues[Item Name],MATCH(ROW()-5,tblIssues[Alert Row],0)))</f>
        <v/>
      </c>
      <c r="F371" s="98" t="str">
        <f>IF($A371="","",INDEX(tblIssues[Month],MATCH(ROW()-5,tblIssues[Alert Row],0)))</f>
        <v/>
      </c>
      <c r="G371" s="23" t="str">
        <f>IF($A371="","",INDEX(tblIssues[Units This Month (Staff/Item)],MATCH(ROW()-5,tblIssues[Alert Row],0)))</f>
        <v/>
      </c>
      <c r="H371" s="23" t="str">
        <f>IF($A371="","",INDEX(tblIssues[Monthly Quota],MATCH(ROW()-5,tblIssues[Alert Row],0)))</f>
        <v/>
      </c>
      <c r="I371" s="27" t="str">
        <f t="shared" si="10"/>
        <v/>
      </c>
      <c r="J371" s="31" t="str">
        <f t="shared" si="11"/>
        <v/>
      </c>
    </row>
    <row r="372" spans="1:10" x14ac:dyDescent="0.35">
      <c r="A372" s="18" t="str">
        <f>IFERROR(INDEX(tblIssues[Staff ID],MATCH(ROW()-5,tblIssues[Alert Row],0)),"")</f>
        <v/>
      </c>
      <c r="B372" s="18" t="str">
        <f>IF($A372="","",INDEX(tblIssues[Staff Name (pick)],MATCH(ROW()-5,tblIssues[Alert Row],0)))</f>
        <v/>
      </c>
      <c r="C372" s="18" t="str">
        <f>IF($A372="","",INDEX(tblIssues[Role],MATCH(ROW()-5,tblIssues[Alert Row],0)))</f>
        <v/>
      </c>
      <c r="D372" s="25" t="str">
        <f>IF($A372="","",INDEX(tblIssues[Area],MATCH(ROW()-5,tblIssues[Alert Row],0)))</f>
        <v/>
      </c>
      <c r="E372" s="25" t="str">
        <f>IF($A372="","",INDEX(tblIssues[Item Name],MATCH(ROW()-5,tblIssues[Alert Row],0)))</f>
        <v/>
      </c>
      <c r="F372" s="98" t="str">
        <f>IF($A372="","",INDEX(tblIssues[Month],MATCH(ROW()-5,tblIssues[Alert Row],0)))</f>
        <v/>
      </c>
      <c r="G372" s="23" t="str">
        <f>IF($A372="","",INDEX(tblIssues[Units This Month (Staff/Item)],MATCH(ROW()-5,tblIssues[Alert Row],0)))</f>
        <v/>
      </c>
      <c r="H372" s="23" t="str">
        <f>IF($A372="","",INDEX(tblIssues[Monthly Quota],MATCH(ROW()-5,tblIssues[Alert Row],0)))</f>
        <v/>
      </c>
      <c r="I372" s="27" t="str">
        <f t="shared" si="10"/>
        <v/>
      </c>
      <c r="J372" s="31" t="str">
        <f t="shared" si="11"/>
        <v/>
      </c>
    </row>
    <row r="373" spans="1:10" x14ac:dyDescent="0.35">
      <c r="A373" s="18" t="str">
        <f>IFERROR(INDEX(tblIssues[Staff ID],MATCH(ROW()-5,tblIssues[Alert Row],0)),"")</f>
        <v/>
      </c>
      <c r="B373" s="18" t="str">
        <f>IF($A373="","",INDEX(tblIssues[Staff Name (pick)],MATCH(ROW()-5,tblIssues[Alert Row],0)))</f>
        <v/>
      </c>
      <c r="C373" s="18" t="str">
        <f>IF($A373="","",INDEX(tblIssues[Role],MATCH(ROW()-5,tblIssues[Alert Row],0)))</f>
        <v/>
      </c>
      <c r="D373" s="25" t="str">
        <f>IF($A373="","",INDEX(tblIssues[Area],MATCH(ROW()-5,tblIssues[Alert Row],0)))</f>
        <v/>
      </c>
      <c r="E373" s="25" t="str">
        <f>IF($A373="","",INDEX(tblIssues[Item Name],MATCH(ROW()-5,tblIssues[Alert Row],0)))</f>
        <v/>
      </c>
      <c r="F373" s="98" t="str">
        <f>IF($A373="","",INDEX(tblIssues[Month],MATCH(ROW()-5,tblIssues[Alert Row],0)))</f>
        <v/>
      </c>
      <c r="G373" s="23" t="str">
        <f>IF($A373="","",INDEX(tblIssues[Units This Month (Staff/Item)],MATCH(ROW()-5,tblIssues[Alert Row],0)))</f>
        <v/>
      </c>
      <c r="H373" s="23" t="str">
        <f>IF($A373="","",INDEX(tblIssues[Monthly Quota],MATCH(ROW()-5,tblIssues[Alert Row],0)))</f>
        <v/>
      </c>
      <c r="I373" s="27" t="str">
        <f t="shared" si="10"/>
        <v/>
      </c>
      <c r="J373" s="31" t="str">
        <f t="shared" si="11"/>
        <v/>
      </c>
    </row>
    <row r="374" spans="1:10" x14ac:dyDescent="0.35">
      <c r="A374" s="18" t="str">
        <f>IFERROR(INDEX(tblIssues[Staff ID],MATCH(ROW()-5,tblIssues[Alert Row],0)),"")</f>
        <v/>
      </c>
      <c r="B374" s="18" t="str">
        <f>IF($A374="","",INDEX(tblIssues[Staff Name (pick)],MATCH(ROW()-5,tblIssues[Alert Row],0)))</f>
        <v/>
      </c>
      <c r="C374" s="18" t="str">
        <f>IF($A374="","",INDEX(tblIssues[Role],MATCH(ROW()-5,tblIssues[Alert Row],0)))</f>
        <v/>
      </c>
      <c r="D374" s="25" t="str">
        <f>IF($A374="","",INDEX(tblIssues[Area],MATCH(ROW()-5,tblIssues[Alert Row],0)))</f>
        <v/>
      </c>
      <c r="E374" s="25" t="str">
        <f>IF($A374="","",INDEX(tblIssues[Item Name],MATCH(ROW()-5,tblIssues[Alert Row],0)))</f>
        <v/>
      </c>
      <c r="F374" s="98" t="str">
        <f>IF($A374="","",INDEX(tblIssues[Month],MATCH(ROW()-5,tblIssues[Alert Row],0)))</f>
        <v/>
      </c>
      <c r="G374" s="23" t="str">
        <f>IF($A374="","",INDEX(tblIssues[Units This Month (Staff/Item)],MATCH(ROW()-5,tblIssues[Alert Row],0)))</f>
        <v/>
      </c>
      <c r="H374" s="23" t="str">
        <f>IF($A374="","",INDEX(tblIssues[Monthly Quota],MATCH(ROW()-5,tblIssues[Alert Row],0)))</f>
        <v/>
      </c>
      <c r="I374" s="27" t="str">
        <f t="shared" si="10"/>
        <v/>
      </c>
      <c r="J374" s="31" t="str">
        <f t="shared" si="11"/>
        <v/>
      </c>
    </row>
    <row r="375" spans="1:10" x14ac:dyDescent="0.35">
      <c r="A375" s="18" t="str">
        <f>IFERROR(INDEX(tblIssues[Staff ID],MATCH(ROW()-5,tblIssues[Alert Row],0)),"")</f>
        <v/>
      </c>
      <c r="B375" s="18" t="str">
        <f>IF($A375="","",INDEX(tblIssues[Staff Name (pick)],MATCH(ROW()-5,tblIssues[Alert Row],0)))</f>
        <v/>
      </c>
      <c r="C375" s="18" t="str">
        <f>IF($A375="","",INDEX(tblIssues[Role],MATCH(ROW()-5,tblIssues[Alert Row],0)))</f>
        <v/>
      </c>
      <c r="D375" s="25" t="str">
        <f>IF($A375="","",INDEX(tblIssues[Area],MATCH(ROW()-5,tblIssues[Alert Row],0)))</f>
        <v/>
      </c>
      <c r="E375" s="25" t="str">
        <f>IF($A375="","",INDEX(tblIssues[Item Name],MATCH(ROW()-5,tblIssues[Alert Row],0)))</f>
        <v/>
      </c>
      <c r="F375" s="98" t="str">
        <f>IF($A375="","",INDEX(tblIssues[Month],MATCH(ROW()-5,tblIssues[Alert Row],0)))</f>
        <v/>
      </c>
      <c r="G375" s="23" t="str">
        <f>IF($A375="","",INDEX(tblIssues[Units This Month (Staff/Item)],MATCH(ROW()-5,tblIssues[Alert Row],0)))</f>
        <v/>
      </c>
      <c r="H375" s="23" t="str">
        <f>IF($A375="","",INDEX(tblIssues[Monthly Quota],MATCH(ROW()-5,tblIssues[Alert Row],0)))</f>
        <v/>
      </c>
      <c r="I375" s="27" t="str">
        <f t="shared" si="10"/>
        <v/>
      </c>
      <c r="J375" s="31" t="str">
        <f t="shared" si="11"/>
        <v/>
      </c>
    </row>
    <row r="376" spans="1:10" x14ac:dyDescent="0.35">
      <c r="A376" s="18" t="str">
        <f>IFERROR(INDEX(tblIssues[Staff ID],MATCH(ROW()-5,tblIssues[Alert Row],0)),"")</f>
        <v/>
      </c>
      <c r="B376" s="18" t="str">
        <f>IF($A376="","",INDEX(tblIssues[Staff Name (pick)],MATCH(ROW()-5,tblIssues[Alert Row],0)))</f>
        <v/>
      </c>
      <c r="C376" s="18" t="str">
        <f>IF($A376="","",INDEX(tblIssues[Role],MATCH(ROW()-5,tblIssues[Alert Row],0)))</f>
        <v/>
      </c>
      <c r="D376" s="25" t="str">
        <f>IF($A376="","",INDEX(tblIssues[Area],MATCH(ROW()-5,tblIssues[Alert Row],0)))</f>
        <v/>
      </c>
      <c r="E376" s="25" t="str">
        <f>IF($A376="","",INDEX(tblIssues[Item Name],MATCH(ROW()-5,tblIssues[Alert Row],0)))</f>
        <v/>
      </c>
      <c r="F376" s="98" t="str">
        <f>IF($A376="","",INDEX(tblIssues[Month],MATCH(ROW()-5,tblIssues[Alert Row],0)))</f>
        <v/>
      </c>
      <c r="G376" s="23" t="str">
        <f>IF($A376="","",INDEX(tblIssues[Units This Month (Staff/Item)],MATCH(ROW()-5,tblIssues[Alert Row],0)))</f>
        <v/>
      </c>
      <c r="H376" s="23" t="str">
        <f>IF($A376="","",INDEX(tblIssues[Monthly Quota],MATCH(ROW()-5,tblIssues[Alert Row],0)))</f>
        <v/>
      </c>
      <c r="I376" s="27" t="str">
        <f t="shared" si="10"/>
        <v/>
      </c>
      <c r="J376" s="31" t="str">
        <f t="shared" si="11"/>
        <v/>
      </c>
    </row>
    <row r="377" spans="1:10" x14ac:dyDescent="0.35">
      <c r="A377" s="18" t="str">
        <f>IFERROR(INDEX(tblIssues[Staff ID],MATCH(ROW()-5,tblIssues[Alert Row],0)),"")</f>
        <v/>
      </c>
      <c r="B377" s="18" t="str">
        <f>IF($A377="","",INDEX(tblIssues[Staff Name (pick)],MATCH(ROW()-5,tblIssues[Alert Row],0)))</f>
        <v/>
      </c>
      <c r="C377" s="18" t="str">
        <f>IF($A377="","",INDEX(tblIssues[Role],MATCH(ROW()-5,tblIssues[Alert Row],0)))</f>
        <v/>
      </c>
      <c r="D377" s="25" t="str">
        <f>IF($A377="","",INDEX(tblIssues[Area],MATCH(ROW()-5,tblIssues[Alert Row],0)))</f>
        <v/>
      </c>
      <c r="E377" s="25" t="str">
        <f>IF($A377="","",INDEX(tblIssues[Item Name],MATCH(ROW()-5,tblIssues[Alert Row],0)))</f>
        <v/>
      </c>
      <c r="F377" s="98" t="str">
        <f>IF($A377="","",INDEX(tblIssues[Month],MATCH(ROW()-5,tblIssues[Alert Row],0)))</f>
        <v/>
      </c>
      <c r="G377" s="23" t="str">
        <f>IF($A377="","",INDEX(tblIssues[Units This Month (Staff/Item)],MATCH(ROW()-5,tblIssues[Alert Row],0)))</f>
        <v/>
      </c>
      <c r="H377" s="23" t="str">
        <f>IF($A377="","",INDEX(tblIssues[Monthly Quota],MATCH(ROW()-5,tblIssues[Alert Row],0)))</f>
        <v/>
      </c>
      <c r="I377" s="27" t="str">
        <f t="shared" si="10"/>
        <v/>
      </c>
      <c r="J377" s="31" t="str">
        <f t="shared" si="11"/>
        <v/>
      </c>
    </row>
    <row r="378" spans="1:10" x14ac:dyDescent="0.35">
      <c r="A378" s="18" t="str">
        <f>IFERROR(INDEX(tblIssues[Staff ID],MATCH(ROW()-5,tblIssues[Alert Row],0)),"")</f>
        <v/>
      </c>
      <c r="B378" s="18" t="str">
        <f>IF($A378="","",INDEX(tblIssues[Staff Name (pick)],MATCH(ROW()-5,tblIssues[Alert Row],0)))</f>
        <v/>
      </c>
      <c r="C378" s="18" t="str">
        <f>IF($A378="","",INDEX(tblIssues[Role],MATCH(ROW()-5,tblIssues[Alert Row],0)))</f>
        <v/>
      </c>
      <c r="D378" s="25" t="str">
        <f>IF($A378="","",INDEX(tblIssues[Area],MATCH(ROW()-5,tblIssues[Alert Row],0)))</f>
        <v/>
      </c>
      <c r="E378" s="25" t="str">
        <f>IF($A378="","",INDEX(tblIssues[Item Name],MATCH(ROW()-5,tblIssues[Alert Row],0)))</f>
        <v/>
      </c>
      <c r="F378" s="98" t="str">
        <f>IF($A378="","",INDEX(tblIssues[Month],MATCH(ROW()-5,tblIssues[Alert Row],0)))</f>
        <v/>
      </c>
      <c r="G378" s="23" t="str">
        <f>IF($A378="","",INDEX(tblIssues[Units This Month (Staff/Item)],MATCH(ROW()-5,tblIssues[Alert Row],0)))</f>
        <v/>
      </c>
      <c r="H378" s="23" t="str">
        <f>IF($A378="","",INDEX(tblIssues[Monthly Quota],MATCH(ROW()-5,tblIssues[Alert Row],0)))</f>
        <v/>
      </c>
      <c r="I378" s="27" t="str">
        <f t="shared" si="10"/>
        <v/>
      </c>
      <c r="J378" s="31" t="str">
        <f t="shared" si="11"/>
        <v/>
      </c>
    </row>
    <row r="379" spans="1:10" x14ac:dyDescent="0.35">
      <c r="A379" s="18" t="str">
        <f>IFERROR(INDEX(tblIssues[Staff ID],MATCH(ROW()-5,tblIssues[Alert Row],0)),"")</f>
        <v/>
      </c>
      <c r="B379" s="18" t="str">
        <f>IF($A379="","",INDEX(tblIssues[Staff Name (pick)],MATCH(ROW()-5,tblIssues[Alert Row],0)))</f>
        <v/>
      </c>
      <c r="C379" s="18" t="str">
        <f>IF($A379="","",INDEX(tblIssues[Role],MATCH(ROW()-5,tblIssues[Alert Row],0)))</f>
        <v/>
      </c>
      <c r="D379" s="25" t="str">
        <f>IF($A379="","",INDEX(tblIssues[Area],MATCH(ROW()-5,tblIssues[Alert Row],0)))</f>
        <v/>
      </c>
      <c r="E379" s="25" t="str">
        <f>IF($A379="","",INDEX(tblIssues[Item Name],MATCH(ROW()-5,tblIssues[Alert Row],0)))</f>
        <v/>
      </c>
      <c r="F379" s="98" t="str">
        <f>IF($A379="","",INDEX(tblIssues[Month],MATCH(ROW()-5,tblIssues[Alert Row],0)))</f>
        <v/>
      </c>
      <c r="G379" s="23" t="str">
        <f>IF($A379="","",INDEX(tblIssues[Units This Month (Staff/Item)],MATCH(ROW()-5,tblIssues[Alert Row],0)))</f>
        <v/>
      </c>
      <c r="H379" s="23" t="str">
        <f>IF($A379="","",INDEX(tblIssues[Monthly Quota],MATCH(ROW()-5,tblIssues[Alert Row],0)))</f>
        <v/>
      </c>
      <c r="I379" s="27" t="str">
        <f t="shared" si="10"/>
        <v/>
      </c>
      <c r="J379" s="31" t="str">
        <f t="shared" si="11"/>
        <v/>
      </c>
    </row>
    <row r="380" spans="1:10" x14ac:dyDescent="0.35">
      <c r="A380" s="18" t="str">
        <f>IFERROR(INDEX(tblIssues[Staff ID],MATCH(ROW()-5,tblIssues[Alert Row],0)),"")</f>
        <v/>
      </c>
      <c r="B380" s="18" t="str">
        <f>IF($A380="","",INDEX(tblIssues[Staff Name (pick)],MATCH(ROW()-5,tblIssues[Alert Row],0)))</f>
        <v/>
      </c>
      <c r="C380" s="18" t="str">
        <f>IF($A380="","",INDEX(tblIssues[Role],MATCH(ROW()-5,tblIssues[Alert Row],0)))</f>
        <v/>
      </c>
      <c r="D380" s="25" t="str">
        <f>IF($A380="","",INDEX(tblIssues[Area],MATCH(ROW()-5,tblIssues[Alert Row],0)))</f>
        <v/>
      </c>
      <c r="E380" s="25" t="str">
        <f>IF($A380="","",INDEX(tblIssues[Item Name],MATCH(ROW()-5,tblIssues[Alert Row],0)))</f>
        <v/>
      </c>
      <c r="F380" s="98" t="str">
        <f>IF($A380="","",INDEX(tblIssues[Month],MATCH(ROW()-5,tblIssues[Alert Row],0)))</f>
        <v/>
      </c>
      <c r="G380" s="23" t="str">
        <f>IF($A380="","",INDEX(tblIssues[Units This Month (Staff/Item)],MATCH(ROW()-5,tblIssues[Alert Row],0)))</f>
        <v/>
      </c>
      <c r="H380" s="23" t="str">
        <f>IF($A380="","",INDEX(tblIssues[Monthly Quota],MATCH(ROW()-5,tblIssues[Alert Row],0)))</f>
        <v/>
      </c>
      <c r="I380" s="27" t="str">
        <f t="shared" si="10"/>
        <v/>
      </c>
      <c r="J380" s="31" t="str">
        <f t="shared" si="11"/>
        <v/>
      </c>
    </row>
    <row r="381" spans="1:10" x14ac:dyDescent="0.35">
      <c r="A381" s="18" t="str">
        <f>IFERROR(INDEX(tblIssues[Staff ID],MATCH(ROW()-5,tblIssues[Alert Row],0)),"")</f>
        <v/>
      </c>
      <c r="B381" s="18" t="str">
        <f>IF($A381="","",INDEX(tblIssues[Staff Name (pick)],MATCH(ROW()-5,tblIssues[Alert Row],0)))</f>
        <v/>
      </c>
      <c r="C381" s="18" t="str">
        <f>IF($A381="","",INDEX(tblIssues[Role],MATCH(ROW()-5,tblIssues[Alert Row],0)))</f>
        <v/>
      </c>
      <c r="D381" s="25" t="str">
        <f>IF($A381="","",INDEX(tblIssues[Area],MATCH(ROW()-5,tblIssues[Alert Row],0)))</f>
        <v/>
      </c>
      <c r="E381" s="25" t="str">
        <f>IF($A381="","",INDEX(tblIssues[Item Name],MATCH(ROW()-5,tblIssues[Alert Row],0)))</f>
        <v/>
      </c>
      <c r="F381" s="98" t="str">
        <f>IF($A381="","",INDEX(tblIssues[Month],MATCH(ROW()-5,tblIssues[Alert Row],0)))</f>
        <v/>
      </c>
      <c r="G381" s="23" t="str">
        <f>IF($A381="","",INDEX(tblIssues[Units This Month (Staff/Item)],MATCH(ROW()-5,tblIssues[Alert Row],0)))</f>
        <v/>
      </c>
      <c r="H381" s="23" t="str">
        <f>IF($A381="","",INDEX(tblIssues[Monthly Quota],MATCH(ROW()-5,tblIssues[Alert Row],0)))</f>
        <v/>
      </c>
      <c r="I381" s="27" t="str">
        <f t="shared" si="10"/>
        <v/>
      </c>
      <c r="J381" s="31" t="str">
        <f t="shared" si="11"/>
        <v/>
      </c>
    </row>
    <row r="382" spans="1:10" x14ac:dyDescent="0.35">
      <c r="A382" s="18" t="str">
        <f>IFERROR(INDEX(tblIssues[Staff ID],MATCH(ROW()-5,tblIssues[Alert Row],0)),"")</f>
        <v/>
      </c>
      <c r="B382" s="18" t="str">
        <f>IF($A382="","",INDEX(tblIssues[Staff Name (pick)],MATCH(ROW()-5,tblIssues[Alert Row],0)))</f>
        <v/>
      </c>
      <c r="C382" s="18" t="str">
        <f>IF($A382="","",INDEX(tblIssues[Role],MATCH(ROW()-5,tblIssues[Alert Row],0)))</f>
        <v/>
      </c>
      <c r="D382" s="25" t="str">
        <f>IF($A382="","",INDEX(tblIssues[Area],MATCH(ROW()-5,tblIssues[Alert Row],0)))</f>
        <v/>
      </c>
      <c r="E382" s="25" t="str">
        <f>IF($A382="","",INDEX(tblIssues[Item Name],MATCH(ROW()-5,tblIssues[Alert Row],0)))</f>
        <v/>
      </c>
      <c r="F382" s="98" t="str">
        <f>IF($A382="","",INDEX(tblIssues[Month],MATCH(ROW()-5,tblIssues[Alert Row],0)))</f>
        <v/>
      </c>
      <c r="G382" s="23" t="str">
        <f>IF($A382="","",INDEX(tblIssues[Units This Month (Staff/Item)],MATCH(ROW()-5,tblIssues[Alert Row],0)))</f>
        <v/>
      </c>
      <c r="H382" s="23" t="str">
        <f>IF($A382="","",INDEX(tblIssues[Monthly Quota],MATCH(ROW()-5,tblIssues[Alert Row],0)))</f>
        <v/>
      </c>
      <c r="I382" s="27" t="str">
        <f t="shared" si="10"/>
        <v/>
      </c>
      <c r="J382" s="31" t="str">
        <f t="shared" si="11"/>
        <v/>
      </c>
    </row>
    <row r="383" spans="1:10" x14ac:dyDescent="0.35">
      <c r="A383" s="18" t="str">
        <f>IFERROR(INDEX(tblIssues[Staff ID],MATCH(ROW()-5,tblIssues[Alert Row],0)),"")</f>
        <v/>
      </c>
      <c r="B383" s="18" t="str">
        <f>IF($A383="","",INDEX(tblIssues[Staff Name (pick)],MATCH(ROW()-5,tblIssues[Alert Row],0)))</f>
        <v/>
      </c>
      <c r="C383" s="18" t="str">
        <f>IF($A383="","",INDEX(tblIssues[Role],MATCH(ROW()-5,tblIssues[Alert Row],0)))</f>
        <v/>
      </c>
      <c r="D383" s="25" t="str">
        <f>IF($A383="","",INDEX(tblIssues[Area],MATCH(ROW()-5,tblIssues[Alert Row],0)))</f>
        <v/>
      </c>
      <c r="E383" s="25" t="str">
        <f>IF($A383="","",INDEX(tblIssues[Item Name],MATCH(ROW()-5,tblIssues[Alert Row],0)))</f>
        <v/>
      </c>
      <c r="F383" s="98" t="str">
        <f>IF($A383="","",INDEX(tblIssues[Month],MATCH(ROW()-5,tblIssues[Alert Row],0)))</f>
        <v/>
      </c>
      <c r="G383" s="23" t="str">
        <f>IF($A383="","",INDEX(tblIssues[Units This Month (Staff/Item)],MATCH(ROW()-5,tblIssues[Alert Row],0)))</f>
        <v/>
      </c>
      <c r="H383" s="23" t="str">
        <f>IF($A383="","",INDEX(tblIssues[Monthly Quota],MATCH(ROW()-5,tblIssues[Alert Row],0)))</f>
        <v/>
      </c>
      <c r="I383" s="27" t="str">
        <f t="shared" si="10"/>
        <v/>
      </c>
      <c r="J383" s="31" t="str">
        <f t="shared" si="11"/>
        <v/>
      </c>
    </row>
    <row r="384" spans="1:10" x14ac:dyDescent="0.35">
      <c r="A384" s="18" t="str">
        <f>IFERROR(INDEX(tblIssues[Staff ID],MATCH(ROW()-5,tblIssues[Alert Row],0)),"")</f>
        <v/>
      </c>
      <c r="B384" s="18" t="str">
        <f>IF($A384="","",INDEX(tblIssues[Staff Name (pick)],MATCH(ROW()-5,tblIssues[Alert Row],0)))</f>
        <v/>
      </c>
      <c r="C384" s="18" t="str">
        <f>IF($A384="","",INDEX(tblIssues[Role],MATCH(ROW()-5,tblIssues[Alert Row],0)))</f>
        <v/>
      </c>
      <c r="D384" s="25" t="str">
        <f>IF($A384="","",INDEX(tblIssues[Area],MATCH(ROW()-5,tblIssues[Alert Row],0)))</f>
        <v/>
      </c>
      <c r="E384" s="25" t="str">
        <f>IF($A384="","",INDEX(tblIssues[Item Name],MATCH(ROW()-5,tblIssues[Alert Row],0)))</f>
        <v/>
      </c>
      <c r="F384" s="98" t="str">
        <f>IF($A384="","",INDEX(tblIssues[Month],MATCH(ROW()-5,tblIssues[Alert Row],0)))</f>
        <v/>
      </c>
      <c r="G384" s="23" t="str">
        <f>IF($A384="","",INDEX(tblIssues[Units This Month (Staff/Item)],MATCH(ROW()-5,tblIssues[Alert Row],0)))</f>
        <v/>
      </c>
      <c r="H384" s="23" t="str">
        <f>IF($A384="","",INDEX(tblIssues[Monthly Quota],MATCH(ROW()-5,tblIssues[Alert Row],0)))</f>
        <v/>
      </c>
      <c r="I384" s="27" t="str">
        <f t="shared" si="10"/>
        <v/>
      </c>
      <c r="J384" s="31" t="str">
        <f t="shared" si="11"/>
        <v/>
      </c>
    </row>
    <row r="385" spans="1:10" x14ac:dyDescent="0.35">
      <c r="A385" s="18" t="str">
        <f>IFERROR(INDEX(tblIssues[Staff ID],MATCH(ROW()-5,tblIssues[Alert Row],0)),"")</f>
        <v/>
      </c>
      <c r="B385" s="18" t="str">
        <f>IF($A385="","",INDEX(tblIssues[Staff Name (pick)],MATCH(ROW()-5,tblIssues[Alert Row],0)))</f>
        <v/>
      </c>
      <c r="C385" s="18" t="str">
        <f>IF($A385="","",INDEX(tblIssues[Role],MATCH(ROW()-5,tblIssues[Alert Row],0)))</f>
        <v/>
      </c>
      <c r="D385" s="25" t="str">
        <f>IF($A385="","",INDEX(tblIssues[Area],MATCH(ROW()-5,tblIssues[Alert Row],0)))</f>
        <v/>
      </c>
      <c r="E385" s="25" t="str">
        <f>IF($A385="","",INDEX(tblIssues[Item Name],MATCH(ROW()-5,tblIssues[Alert Row],0)))</f>
        <v/>
      </c>
      <c r="F385" s="98" t="str">
        <f>IF($A385="","",INDEX(tblIssues[Month],MATCH(ROW()-5,tblIssues[Alert Row],0)))</f>
        <v/>
      </c>
      <c r="G385" s="23" t="str">
        <f>IF($A385="","",INDEX(tblIssues[Units This Month (Staff/Item)],MATCH(ROW()-5,tblIssues[Alert Row],0)))</f>
        <v/>
      </c>
      <c r="H385" s="23" t="str">
        <f>IF($A385="","",INDEX(tblIssues[Monthly Quota],MATCH(ROW()-5,tblIssues[Alert Row],0)))</f>
        <v/>
      </c>
      <c r="I385" s="27" t="str">
        <f t="shared" si="10"/>
        <v/>
      </c>
      <c r="J385" s="31" t="str">
        <f t="shared" si="11"/>
        <v/>
      </c>
    </row>
    <row r="386" spans="1:10" x14ac:dyDescent="0.35">
      <c r="A386" s="18" t="str">
        <f>IFERROR(INDEX(tblIssues[Staff ID],MATCH(ROW()-5,tblIssues[Alert Row],0)),"")</f>
        <v/>
      </c>
      <c r="B386" s="18" t="str">
        <f>IF($A386="","",INDEX(tblIssues[Staff Name (pick)],MATCH(ROW()-5,tblIssues[Alert Row],0)))</f>
        <v/>
      </c>
      <c r="C386" s="18" t="str">
        <f>IF($A386="","",INDEX(tblIssues[Role],MATCH(ROW()-5,tblIssues[Alert Row],0)))</f>
        <v/>
      </c>
      <c r="D386" s="25" t="str">
        <f>IF($A386="","",INDEX(tblIssues[Area],MATCH(ROW()-5,tblIssues[Alert Row],0)))</f>
        <v/>
      </c>
      <c r="E386" s="25" t="str">
        <f>IF($A386="","",INDEX(tblIssues[Item Name],MATCH(ROW()-5,tblIssues[Alert Row],0)))</f>
        <v/>
      </c>
      <c r="F386" s="98" t="str">
        <f>IF($A386="","",INDEX(tblIssues[Month],MATCH(ROW()-5,tblIssues[Alert Row],0)))</f>
        <v/>
      </c>
      <c r="G386" s="23" t="str">
        <f>IF($A386="","",INDEX(tblIssues[Units This Month (Staff/Item)],MATCH(ROW()-5,tblIssues[Alert Row],0)))</f>
        <v/>
      </c>
      <c r="H386" s="23" t="str">
        <f>IF($A386="","",INDEX(tblIssues[Monthly Quota],MATCH(ROW()-5,tblIssues[Alert Row],0)))</f>
        <v/>
      </c>
      <c r="I386" s="27" t="str">
        <f t="shared" si="10"/>
        <v/>
      </c>
      <c r="J386" s="31" t="str">
        <f t="shared" si="11"/>
        <v/>
      </c>
    </row>
    <row r="387" spans="1:10" x14ac:dyDescent="0.35">
      <c r="A387" s="18" t="str">
        <f>IFERROR(INDEX(tblIssues[Staff ID],MATCH(ROW()-5,tblIssues[Alert Row],0)),"")</f>
        <v/>
      </c>
      <c r="B387" s="18" t="str">
        <f>IF($A387="","",INDEX(tblIssues[Staff Name (pick)],MATCH(ROW()-5,tblIssues[Alert Row],0)))</f>
        <v/>
      </c>
      <c r="C387" s="18" t="str">
        <f>IF($A387="","",INDEX(tblIssues[Role],MATCH(ROW()-5,tblIssues[Alert Row],0)))</f>
        <v/>
      </c>
      <c r="D387" s="25" t="str">
        <f>IF($A387="","",INDEX(tblIssues[Area],MATCH(ROW()-5,tblIssues[Alert Row],0)))</f>
        <v/>
      </c>
      <c r="E387" s="25" t="str">
        <f>IF($A387="","",INDEX(tblIssues[Item Name],MATCH(ROW()-5,tblIssues[Alert Row],0)))</f>
        <v/>
      </c>
      <c r="F387" s="98" t="str">
        <f>IF($A387="","",INDEX(tblIssues[Month],MATCH(ROW()-5,tblIssues[Alert Row],0)))</f>
        <v/>
      </c>
      <c r="G387" s="23" t="str">
        <f>IF($A387="","",INDEX(tblIssues[Units This Month (Staff/Item)],MATCH(ROW()-5,tblIssues[Alert Row],0)))</f>
        <v/>
      </c>
      <c r="H387" s="23" t="str">
        <f>IF($A387="","",INDEX(tblIssues[Monthly Quota],MATCH(ROW()-5,tblIssues[Alert Row],0)))</f>
        <v/>
      </c>
      <c r="I387" s="27" t="str">
        <f t="shared" si="10"/>
        <v/>
      </c>
      <c r="J387" s="31" t="str">
        <f t="shared" si="11"/>
        <v/>
      </c>
    </row>
    <row r="388" spans="1:10" x14ac:dyDescent="0.35">
      <c r="A388" s="18" t="str">
        <f>IFERROR(INDEX(tblIssues[Staff ID],MATCH(ROW()-5,tblIssues[Alert Row],0)),"")</f>
        <v/>
      </c>
      <c r="B388" s="18" t="str">
        <f>IF($A388="","",INDEX(tblIssues[Staff Name (pick)],MATCH(ROW()-5,tblIssues[Alert Row],0)))</f>
        <v/>
      </c>
      <c r="C388" s="18" t="str">
        <f>IF($A388="","",INDEX(tblIssues[Role],MATCH(ROW()-5,tblIssues[Alert Row],0)))</f>
        <v/>
      </c>
      <c r="D388" s="25" t="str">
        <f>IF($A388="","",INDEX(tblIssues[Area],MATCH(ROW()-5,tblIssues[Alert Row],0)))</f>
        <v/>
      </c>
      <c r="E388" s="25" t="str">
        <f>IF($A388="","",INDEX(tblIssues[Item Name],MATCH(ROW()-5,tblIssues[Alert Row],0)))</f>
        <v/>
      </c>
      <c r="F388" s="98" t="str">
        <f>IF($A388="","",INDEX(tblIssues[Month],MATCH(ROW()-5,tblIssues[Alert Row],0)))</f>
        <v/>
      </c>
      <c r="G388" s="23" t="str">
        <f>IF($A388="","",INDEX(tblIssues[Units This Month (Staff/Item)],MATCH(ROW()-5,tblIssues[Alert Row],0)))</f>
        <v/>
      </c>
      <c r="H388" s="23" t="str">
        <f>IF($A388="","",INDEX(tblIssues[Monthly Quota],MATCH(ROW()-5,tblIssues[Alert Row],0)))</f>
        <v/>
      </c>
      <c r="I388" s="27" t="str">
        <f t="shared" si="10"/>
        <v/>
      </c>
      <c r="J388" s="31" t="str">
        <f t="shared" si="11"/>
        <v/>
      </c>
    </row>
    <row r="389" spans="1:10" x14ac:dyDescent="0.35">
      <c r="A389" s="18" t="str">
        <f>IFERROR(INDEX(tblIssues[Staff ID],MATCH(ROW()-5,tblIssues[Alert Row],0)),"")</f>
        <v/>
      </c>
      <c r="B389" s="18" t="str">
        <f>IF($A389="","",INDEX(tblIssues[Staff Name (pick)],MATCH(ROW()-5,tblIssues[Alert Row],0)))</f>
        <v/>
      </c>
      <c r="C389" s="18" t="str">
        <f>IF($A389="","",INDEX(tblIssues[Role],MATCH(ROW()-5,tblIssues[Alert Row],0)))</f>
        <v/>
      </c>
      <c r="D389" s="25" t="str">
        <f>IF($A389="","",INDEX(tblIssues[Area],MATCH(ROW()-5,tblIssues[Alert Row],0)))</f>
        <v/>
      </c>
      <c r="E389" s="25" t="str">
        <f>IF($A389="","",INDEX(tblIssues[Item Name],MATCH(ROW()-5,tblIssues[Alert Row],0)))</f>
        <v/>
      </c>
      <c r="F389" s="98" t="str">
        <f>IF($A389="","",INDEX(tblIssues[Month],MATCH(ROW()-5,tblIssues[Alert Row],0)))</f>
        <v/>
      </c>
      <c r="G389" s="23" t="str">
        <f>IF($A389="","",INDEX(tblIssues[Units This Month (Staff/Item)],MATCH(ROW()-5,tblIssues[Alert Row],0)))</f>
        <v/>
      </c>
      <c r="H389" s="23" t="str">
        <f>IF($A389="","",INDEX(tblIssues[Monthly Quota],MATCH(ROW()-5,tblIssues[Alert Row],0)))</f>
        <v/>
      </c>
      <c r="I389" s="27" t="str">
        <f t="shared" si="10"/>
        <v/>
      </c>
      <c r="J389" s="31" t="str">
        <f t="shared" si="11"/>
        <v/>
      </c>
    </row>
    <row r="390" spans="1:10" x14ac:dyDescent="0.35">
      <c r="A390" s="18" t="str">
        <f>IFERROR(INDEX(tblIssues[Staff ID],MATCH(ROW()-5,tblIssues[Alert Row],0)),"")</f>
        <v/>
      </c>
      <c r="B390" s="18" t="str">
        <f>IF($A390="","",INDEX(tblIssues[Staff Name (pick)],MATCH(ROW()-5,tblIssues[Alert Row],0)))</f>
        <v/>
      </c>
      <c r="C390" s="18" t="str">
        <f>IF($A390="","",INDEX(tblIssues[Role],MATCH(ROW()-5,tblIssues[Alert Row],0)))</f>
        <v/>
      </c>
      <c r="D390" s="25" t="str">
        <f>IF($A390="","",INDEX(tblIssues[Area],MATCH(ROW()-5,tblIssues[Alert Row],0)))</f>
        <v/>
      </c>
      <c r="E390" s="25" t="str">
        <f>IF($A390="","",INDEX(tblIssues[Item Name],MATCH(ROW()-5,tblIssues[Alert Row],0)))</f>
        <v/>
      </c>
      <c r="F390" s="98" t="str">
        <f>IF($A390="","",INDEX(tblIssues[Month],MATCH(ROW()-5,tblIssues[Alert Row],0)))</f>
        <v/>
      </c>
      <c r="G390" s="23" t="str">
        <f>IF($A390="","",INDEX(tblIssues[Units This Month (Staff/Item)],MATCH(ROW()-5,tblIssues[Alert Row],0)))</f>
        <v/>
      </c>
      <c r="H390" s="23" t="str">
        <f>IF($A390="","",INDEX(tblIssues[Monthly Quota],MATCH(ROW()-5,tblIssues[Alert Row],0)))</f>
        <v/>
      </c>
      <c r="I390" s="27" t="str">
        <f t="shared" ref="I390:I453" si="12">IF($A390="","",$G390-$H390)</f>
        <v/>
      </c>
      <c r="J390" s="31" t="str">
        <f t="shared" ref="J390:J453" si="13">IF($A390="","","⚠ OVER QUOTA")</f>
        <v/>
      </c>
    </row>
    <row r="391" spans="1:10" x14ac:dyDescent="0.35">
      <c r="A391" s="18" t="str">
        <f>IFERROR(INDEX(tblIssues[Staff ID],MATCH(ROW()-5,tblIssues[Alert Row],0)),"")</f>
        <v/>
      </c>
      <c r="B391" s="18" t="str">
        <f>IF($A391="","",INDEX(tblIssues[Staff Name (pick)],MATCH(ROW()-5,tblIssues[Alert Row],0)))</f>
        <v/>
      </c>
      <c r="C391" s="18" t="str">
        <f>IF($A391="","",INDEX(tblIssues[Role],MATCH(ROW()-5,tblIssues[Alert Row],0)))</f>
        <v/>
      </c>
      <c r="D391" s="25" t="str">
        <f>IF($A391="","",INDEX(tblIssues[Area],MATCH(ROW()-5,tblIssues[Alert Row],0)))</f>
        <v/>
      </c>
      <c r="E391" s="25" t="str">
        <f>IF($A391="","",INDEX(tblIssues[Item Name],MATCH(ROW()-5,tblIssues[Alert Row],0)))</f>
        <v/>
      </c>
      <c r="F391" s="98" t="str">
        <f>IF($A391="","",INDEX(tblIssues[Month],MATCH(ROW()-5,tblIssues[Alert Row],0)))</f>
        <v/>
      </c>
      <c r="G391" s="23" t="str">
        <f>IF($A391="","",INDEX(tblIssues[Units This Month (Staff/Item)],MATCH(ROW()-5,tblIssues[Alert Row],0)))</f>
        <v/>
      </c>
      <c r="H391" s="23" t="str">
        <f>IF($A391="","",INDEX(tblIssues[Monthly Quota],MATCH(ROW()-5,tblIssues[Alert Row],0)))</f>
        <v/>
      </c>
      <c r="I391" s="27" t="str">
        <f t="shared" si="12"/>
        <v/>
      </c>
      <c r="J391" s="31" t="str">
        <f t="shared" si="13"/>
        <v/>
      </c>
    </row>
    <row r="392" spans="1:10" x14ac:dyDescent="0.35">
      <c r="A392" s="18" t="str">
        <f>IFERROR(INDEX(tblIssues[Staff ID],MATCH(ROW()-5,tblIssues[Alert Row],0)),"")</f>
        <v/>
      </c>
      <c r="B392" s="18" t="str">
        <f>IF($A392="","",INDEX(tblIssues[Staff Name (pick)],MATCH(ROW()-5,tblIssues[Alert Row],0)))</f>
        <v/>
      </c>
      <c r="C392" s="18" t="str">
        <f>IF($A392="","",INDEX(tblIssues[Role],MATCH(ROW()-5,tblIssues[Alert Row],0)))</f>
        <v/>
      </c>
      <c r="D392" s="25" t="str">
        <f>IF($A392="","",INDEX(tblIssues[Area],MATCH(ROW()-5,tblIssues[Alert Row],0)))</f>
        <v/>
      </c>
      <c r="E392" s="25" t="str">
        <f>IF($A392="","",INDEX(tblIssues[Item Name],MATCH(ROW()-5,tblIssues[Alert Row],0)))</f>
        <v/>
      </c>
      <c r="F392" s="98" t="str">
        <f>IF($A392="","",INDEX(tblIssues[Month],MATCH(ROW()-5,tblIssues[Alert Row],0)))</f>
        <v/>
      </c>
      <c r="G392" s="23" t="str">
        <f>IF($A392="","",INDEX(tblIssues[Units This Month (Staff/Item)],MATCH(ROW()-5,tblIssues[Alert Row],0)))</f>
        <v/>
      </c>
      <c r="H392" s="23" t="str">
        <f>IF($A392="","",INDEX(tblIssues[Monthly Quota],MATCH(ROW()-5,tblIssues[Alert Row],0)))</f>
        <v/>
      </c>
      <c r="I392" s="27" t="str">
        <f t="shared" si="12"/>
        <v/>
      </c>
      <c r="J392" s="31" t="str">
        <f t="shared" si="13"/>
        <v/>
      </c>
    </row>
    <row r="393" spans="1:10" x14ac:dyDescent="0.35">
      <c r="A393" s="18" t="str">
        <f>IFERROR(INDEX(tblIssues[Staff ID],MATCH(ROW()-5,tblIssues[Alert Row],0)),"")</f>
        <v/>
      </c>
      <c r="B393" s="18" t="str">
        <f>IF($A393="","",INDEX(tblIssues[Staff Name (pick)],MATCH(ROW()-5,tblIssues[Alert Row],0)))</f>
        <v/>
      </c>
      <c r="C393" s="18" t="str">
        <f>IF($A393="","",INDEX(tblIssues[Role],MATCH(ROW()-5,tblIssues[Alert Row],0)))</f>
        <v/>
      </c>
      <c r="D393" s="25" t="str">
        <f>IF($A393="","",INDEX(tblIssues[Area],MATCH(ROW()-5,tblIssues[Alert Row],0)))</f>
        <v/>
      </c>
      <c r="E393" s="25" t="str">
        <f>IF($A393="","",INDEX(tblIssues[Item Name],MATCH(ROW()-5,tblIssues[Alert Row],0)))</f>
        <v/>
      </c>
      <c r="F393" s="98" t="str">
        <f>IF($A393="","",INDEX(tblIssues[Month],MATCH(ROW()-5,tblIssues[Alert Row],0)))</f>
        <v/>
      </c>
      <c r="G393" s="23" t="str">
        <f>IF($A393="","",INDEX(tblIssues[Units This Month (Staff/Item)],MATCH(ROW()-5,tblIssues[Alert Row],0)))</f>
        <v/>
      </c>
      <c r="H393" s="23" t="str">
        <f>IF($A393="","",INDEX(tblIssues[Monthly Quota],MATCH(ROW()-5,tblIssues[Alert Row],0)))</f>
        <v/>
      </c>
      <c r="I393" s="27" t="str">
        <f t="shared" si="12"/>
        <v/>
      </c>
      <c r="J393" s="31" t="str">
        <f t="shared" si="13"/>
        <v/>
      </c>
    </row>
    <row r="394" spans="1:10" x14ac:dyDescent="0.35">
      <c r="A394" s="18" t="str">
        <f>IFERROR(INDEX(tblIssues[Staff ID],MATCH(ROW()-5,tblIssues[Alert Row],0)),"")</f>
        <v/>
      </c>
      <c r="B394" s="18" t="str">
        <f>IF($A394="","",INDEX(tblIssues[Staff Name (pick)],MATCH(ROW()-5,tblIssues[Alert Row],0)))</f>
        <v/>
      </c>
      <c r="C394" s="18" t="str">
        <f>IF($A394="","",INDEX(tblIssues[Role],MATCH(ROW()-5,tblIssues[Alert Row],0)))</f>
        <v/>
      </c>
      <c r="D394" s="25" t="str">
        <f>IF($A394="","",INDEX(tblIssues[Area],MATCH(ROW()-5,tblIssues[Alert Row],0)))</f>
        <v/>
      </c>
      <c r="E394" s="25" t="str">
        <f>IF($A394="","",INDEX(tblIssues[Item Name],MATCH(ROW()-5,tblIssues[Alert Row],0)))</f>
        <v/>
      </c>
      <c r="F394" s="98" t="str">
        <f>IF($A394="","",INDEX(tblIssues[Month],MATCH(ROW()-5,tblIssues[Alert Row],0)))</f>
        <v/>
      </c>
      <c r="G394" s="23" t="str">
        <f>IF($A394="","",INDEX(tblIssues[Units This Month (Staff/Item)],MATCH(ROW()-5,tblIssues[Alert Row],0)))</f>
        <v/>
      </c>
      <c r="H394" s="23" t="str">
        <f>IF($A394="","",INDEX(tblIssues[Monthly Quota],MATCH(ROW()-5,tblIssues[Alert Row],0)))</f>
        <v/>
      </c>
      <c r="I394" s="27" t="str">
        <f t="shared" si="12"/>
        <v/>
      </c>
      <c r="J394" s="31" t="str">
        <f t="shared" si="13"/>
        <v/>
      </c>
    </row>
    <row r="395" spans="1:10" x14ac:dyDescent="0.35">
      <c r="A395" s="18" t="str">
        <f>IFERROR(INDEX(tblIssues[Staff ID],MATCH(ROW()-5,tblIssues[Alert Row],0)),"")</f>
        <v/>
      </c>
      <c r="B395" s="18" t="str">
        <f>IF($A395="","",INDEX(tblIssues[Staff Name (pick)],MATCH(ROW()-5,tblIssues[Alert Row],0)))</f>
        <v/>
      </c>
      <c r="C395" s="18" t="str">
        <f>IF($A395="","",INDEX(tblIssues[Role],MATCH(ROW()-5,tblIssues[Alert Row],0)))</f>
        <v/>
      </c>
      <c r="D395" s="25" t="str">
        <f>IF($A395="","",INDEX(tblIssues[Area],MATCH(ROW()-5,tblIssues[Alert Row],0)))</f>
        <v/>
      </c>
      <c r="E395" s="25" t="str">
        <f>IF($A395="","",INDEX(tblIssues[Item Name],MATCH(ROW()-5,tblIssues[Alert Row],0)))</f>
        <v/>
      </c>
      <c r="F395" s="98" t="str">
        <f>IF($A395="","",INDEX(tblIssues[Month],MATCH(ROW()-5,tblIssues[Alert Row],0)))</f>
        <v/>
      </c>
      <c r="G395" s="23" t="str">
        <f>IF($A395="","",INDEX(tblIssues[Units This Month (Staff/Item)],MATCH(ROW()-5,tblIssues[Alert Row],0)))</f>
        <v/>
      </c>
      <c r="H395" s="23" t="str">
        <f>IF($A395="","",INDEX(tblIssues[Monthly Quota],MATCH(ROW()-5,tblIssues[Alert Row],0)))</f>
        <v/>
      </c>
      <c r="I395" s="27" t="str">
        <f t="shared" si="12"/>
        <v/>
      </c>
      <c r="J395" s="31" t="str">
        <f t="shared" si="13"/>
        <v/>
      </c>
    </row>
    <row r="396" spans="1:10" x14ac:dyDescent="0.35">
      <c r="A396" s="18" t="str">
        <f>IFERROR(INDEX(tblIssues[Staff ID],MATCH(ROW()-5,tblIssues[Alert Row],0)),"")</f>
        <v/>
      </c>
      <c r="B396" s="18" t="str">
        <f>IF($A396="","",INDEX(tblIssues[Staff Name (pick)],MATCH(ROW()-5,tblIssues[Alert Row],0)))</f>
        <v/>
      </c>
      <c r="C396" s="18" t="str">
        <f>IF($A396="","",INDEX(tblIssues[Role],MATCH(ROW()-5,tblIssues[Alert Row],0)))</f>
        <v/>
      </c>
      <c r="D396" s="25" t="str">
        <f>IF($A396="","",INDEX(tblIssues[Area],MATCH(ROW()-5,tblIssues[Alert Row],0)))</f>
        <v/>
      </c>
      <c r="E396" s="25" t="str">
        <f>IF($A396="","",INDEX(tblIssues[Item Name],MATCH(ROW()-5,tblIssues[Alert Row],0)))</f>
        <v/>
      </c>
      <c r="F396" s="98" t="str">
        <f>IF($A396="","",INDEX(tblIssues[Month],MATCH(ROW()-5,tblIssues[Alert Row],0)))</f>
        <v/>
      </c>
      <c r="G396" s="23" t="str">
        <f>IF($A396="","",INDEX(tblIssues[Units This Month (Staff/Item)],MATCH(ROW()-5,tblIssues[Alert Row],0)))</f>
        <v/>
      </c>
      <c r="H396" s="23" t="str">
        <f>IF($A396="","",INDEX(tblIssues[Monthly Quota],MATCH(ROW()-5,tblIssues[Alert Row],0)))</f>
        <v/>
      </c>
      <c r="I396" s="27" t="str">
        <f t="shared" si="12"/>
        <v/>
      </c>
      <c r="J396" s="31" t="str">
        <f t="shared" si="13"/>
        <v/>
      </c>
    </row>
    <row r="397" spans="1:10" x14ac:dyDescent="0.35">
      <c r="A397" s="18" t="str">
        <f>IFERROR(INDEX(tblIssues[Staff ID],MATCH(ROW()-5,tblIssues[Alert Row],0)),"")</f>
        <v/>
      </c>
      <c r="B397" s="18" t="str">
        <f>IF($A397="","",INDEX(tblIssues[Staff Name (pick)],MATCH(ROW()-5,tblIssues[Alert Row],0)))</f>
        <v/>
      </c>
      <c r="C397" s="18" t="str">
        <f>IF($A397="","",INDEX(tblIssues[Role],MATCH(ROW()-5,tblIssues[Alert Row],0)))</f>
        <v/>
      </c>
      <c r="D397" s="25" t="str">
        <f>IF($A397="","",INDEX(tblIssues[Area],MATCH(ROW()-5,tblIssues[Alert Row],0)))</f>
        <v/>
      </c>
      <c r="E397" s="25" t="str">
        <f>IF($A397="","",INDEX(tblIssues[Item Name],MATCH(ROW()-5,tblIssues[Alert Row],0)))</f>
        <v/>
      </c>
      <c r="F397" s="98" t="str">
        <f>IF($A397="","",INDEX(tblIssues[Month],MATCH(ROW()-5,tblIssues[Alert Row],0)))</f>
        <v/>
      </c>
      <c r="G397" s="23" t="str">
        <f>IF($A397="","",INDEX(tblIssues[Units This Month (Staff/Item)],MATCH(ROW()-5,tblIssues[Alert Row],0)))</f>
        <v/>
      </c>
      <c r="H397" s="23" t="str">
        <f>IF($A397="","",INDEX(tblIssues[Monthly Quota],MATCH(ROW()-5,tblIssues[Alert Row],0)))</f>
        <v/>
      </c>
      <c r="I397" s="27" t="str">
        <f t="shared" si="12"/>
        <v/>
      </c>
      <c r="J397" s="31" t="str">
        <f t="shared" si="13"/>
        <v/>
      </c>
    </row>
    <row r="398" spans="1:10" x14ac:dyDescent="0.35">
      <c r="A398" s="18" t="str">
        <f>IFERROR(INDEX(tblIssues[Staff ID],MATCH(ROW()-5,tblIssues[Alert Row],0)),"")</f>
        <v/>
      </c>
      <c r="B398" s="18" t="str">
        <f>IF($A398="","",INDEX(tblIssues[Staff Name (pick)],MATCH(ROW()-5,tblIssues[Alert Row],0)))</f>
        <v/>
      </c>
      <c r="C398" s="18" t="str">
        <f>IF($A398="","",INDEX(tblIssues[Role],MATCH(ROW()-5,tblIssues[Alert Row],0)))</f>
        <v/>
      </c>
      <c r="D398" s="25" t="str">
        <f>IF($A398="","",INDEX(tblIssues[Area],MATCH(ROW()-5,tblIssues[Alert Row],0)))</f>
        <v/>
      </c>
      <c r="E398" s="25" t="str">
        <f>IF($A398="","",INDEX(tblIssues[Item Name],MATCH(ROW()-5,tblIssues[Alert Row],0)))</f>
        <v/>
      </c>
      <c r="F398" s="98" t="str">
        <f>IF($A398="","",INDEX(tblIssues[Month],MATCH(ROW()-5,tblIssues[Alert Row],0)))</f>
        <v/>
      </c>
      <c r="G398" s="23" t="str">
        <f>IF($A398="","",INDEX(tblIssues[Units This Month (Staff/Item)],MATCH(ROW()-5,tblIssues[Alert Row],0)))</f>
        <v/>
      </c>
      <c r="H398" s="23" t="str">
        <f>IF($A398="","",INDEX(tblIssues[Monthly Quota],MATCH(ROW()-5,tblIssues[Alert Row],0)))</f>
        <v/>
      </c>
      <c r="I398" s="27" t="str">
        <f t="shared" si="12"/>
        <v/>
      </c>
      <c r="J398" s="31" t="str">
        <f t="shared" si="13"/>
        <v/>
      </c>
    </row>
    <row r="399" spans="1:10" x14ac:dyDescent="0.35">
      <c r="A399" s="18" t="str">
        <f>IFERROR(INDEX(tblIssues[Staff ID],MATCH(ROW()-5,tblIssues[Alert Row],0)),"")</f>
        <v/>
      </c>
      <c r="B399" s="18" t="str">
        <f>IF($A399="","",INDEX(tblIssues[Staff Name (pick)],MATCH(ROW()-5,tblIssues[Alert Row],0)))</f>
        <v/>
      </c>
      <c r="C399" s="18" t="str">
        <f>IF($A399="","",INDEX(tblIssues[Role],MATCH(ROW()-5,tblIssues[Alert Row],0)))</f>
        <v/>
      </c>
      <c r="D399" s="25" t="str">
        <f>IF($A399="","",INDEX(tblIssues[Area],MATCH(ROW()-5,tblIssues[Alert Row],0)))</f>
        <v/>
      </c>
      <c r="E399" s="25" t="str">
        <f>IF($A399="","",INDEX(tblIssues[Item Name],MATCH(ROW()-5,tblIssues[Alert Row],0)))</f>
        <v/>
      </c>
      <c r="F399" s="98" t="str">
        <f>IF($A399="","",INDEX(tblIssues[Month],MATCH(ROW()-5,tblIssues[Alert Row],0)))</f>
        <v/>
      </c>
      <c r="G399" s="23" t="str">
        <f>IF($A399="","",INDEX(tblIssues[Units This Month (Staff/Item)],MATCH(ROW()-5,tblIssues[Alert Row],0)))</f>
        <v/>
      </c>
      <c r="H399" s="23" t="str">
        <f>IF($A399="","",INDEX(tblIssues[Monthly Quota],MATCH(ROW()-5,tblIssues[Alert Row],0)))</f>
        <v/>
      </c>
      <c r="I399" s="27" t="str">
        <f t="shared" si="12"/>
        <v/>
      </c>
      <c r="J399" s="31" t="str">
        <f t="shared" si="13"/>
        <v/>
      </c>
    </row>
    <row r="400" spans="1:10" x14ac:dyDescent="0.35">
      <c r="A400" s="18" t="str">
        <f>IFERROR(INDEX(tblIssues[Staff ID],MATCH(ROW()-5,tblIssues[Alert Row],0)),"")</f>
        <v/>
      </c>
      <c r="B400" s="18" t="str">
        <f>IF($A400="","",INDEX(tblIssues[Staff Name (pick)],MATCH(ROW()-5,tblIssues[Alert Row],0)))</f>
        <v/>
      </c>
      <c r="C400" s="18" t="str">
        <f>IF($A400="","",INDEX(tblIssues[Role],MATCH(ROW()-5,tblIssues[Alert Row],0)))</f>
        <v/>
      </c>
      <c r="D400" s="25" t="str">
        <f>IF($A400="","",INDEX(tblIssues[Area],MATCH(ROW()-5,tblIssues[Alert Row],0)))</f>
        <v/>
      </c>
      <c r="E400" s="25" t="str">
        <f>IF($A400="","",INDEX(tblIssues[Item Name],MATCH(ROW()-5,tblIssues[Alert Row],0)))</f>
        <v/>
      </c>
      <c r="F400" s="98" t="str">
        <f>IF($A400="","",INDEX(tblIssues[Month],MATCH(ROW()-5,tblIssues[Alert Row],0)))</f>
        <v/>
      </c>
      <c r="G400" s="23" t="str">
        <f>IF($A400="","",INDEX(tblIssues[Units This Month (Staff/Item)],MATCH(ROW()-5,tblIssues[Alert Row],0)))</f>
        <v/>
      </c>
      <c r="H400" s="23" t="str">
        <f>IF($A400="","",INDEX(tblIssues[Monthly Quota],MATCH(ROW()-5,tblIssues[Alert Row],0)))</f>
        <v/>
      </c>
      <c r="I400" s="27" t="str">
        <f t="shared" si="12"/>
        <v/>
      </c>
      <c r="J400" s="31" t="str">
        <f t="shared" si="13"/>
        <v/>
      </c>
    </row>
    <row r="401" spans="1:10" x14ac:dyDescent="0.35">
      <c r="A401" s="18" t="str">
        <f>IFERROR(INDEX(tblIssues[Staff ID],MATCH(ROW()-5,tblIssues[Alert Row],0)),"")</f>
        <v/>
      </c>
      <c r="B401" s="18" t="str">
        <f>IF($A401="","",INDEX(tblIssues[Staff Name (pick)],MATCH(ROW()-5,tblIssues[Alert Row],0)))</f>
        <v/>
      </c>
      <c r="C401" s="18" t="str">
        <f>IF($A401="","",INDEX(tblIssues[Role],MATCH(ROW()-5,tblIssues[Alert Row],0)))</f>
        <v/>
      </c>
      <c r="D401" s="25" t="str">
        <f>IF($A401="","",INDEX(tblIssues[Area],MATCH(ROW()-5,tblIssues[Alert Row],0)))</f>
        <v/>
      </c>
      <c r="E401" s="25" t="str">
        <f>IF($A401="","",INDEX(tblIssues[Item Name],MATCH(ROW()-5,tblIssues[Alert Row],0)))</f>
        <v/>
      </c>
      <c r="F401" s="98" t="str">
        <f>IF($A401="","",INDEX(tblIssues[Month],MATCH(ROW()-5,tblIssues[Alert Row],0)))</f>
        <v/>
      </c>
      <c r="G401" s="23" t="str">
        <f>IF($A401="","",INDEX(tblIssues[Units This Month (Staff/Item)],MATCH(ROW()-5,tblIssues[Alert Row],0)))</f>
        <v/>
      </c>
      <c r="H401" s="23" t="str">
        <f>IF($A401="","",INDEX(tblIssues[Monthly Quota],MATCH(ROW()-5,tblIssues[Alert Row],0)))</f>
        <v/>
      </c>
      <c r="I401" s="27" t="str">
        <f t="shared" si="12"/>
        <v/>
      </c>
      <c r="J401" s="31" t="str">
        <f t="shared" si="13"/>
        <v/>
      </c>
    </row>
    <row r="402" spans="1:10" x14ac:dyDescent="0.35">
      <c r="A402" s="18" t="str">
        <f>IFERROR(INDEX(tblIssues[Staff ID],MATCH(ROW()-5,tblIssues[Alert Row],0)),"")</f>
        <v/>
      </c>
      <c r="B402" s="18" t="str">
        <f>IF($A402="","",INDEX(tblIssues[Staff Name (pick)],MATCH(ROW()-5,tblIssues[Alert Row],0)))</f>
        <v/>
      </c>
      <c r="C402" s="18" t="str">
        <f>IF($A402="","",INDEX(tblIssues[Role],MATCH(ROW()-5,tblIssues[Alert Row],0)))</f>
        <v/>
      </c>
      <c r="D402" s="25" t="str">
        <f>IF($A402="","",INDEX(tblIssues[Area],MATCH(ROW()-5,tblIssues[Alert Row],0)))</f>
        <v/>
      </c>
      <c r="E402" s="25" t="str">
        <f>IF($A402="","",INDEX(tblIssues[Item Name],MATCH(ROW()-5,tblIssues[Alert Row],0)))</f>
        <v/>
      </c>
      <c r="F402" s="98" t="str">
        <f>IF($A402="","",INDEX(tblIssues[Month],MATCH(ROW()-5,tblIssues[Alert Row],0)))</f>
        <v/>
      </c>
      <c r="G402" s="23" t="str">
        <f>IF($A402="","",INDEX(tblIssues[Units This Month (Staff/Item)],MATCH(ROW()-5,tblIssues[Alert Row],0)))</f>
        <v/>
      </c>
      <c r="H402" s="23" t="str">
        <f>IF($A402="","",INDEX(tblIssues[Monthly Quota],MATCH(ROW()-5,tblIssues[Alert Row],0)))</f>
        <v/>
      </c>
      <c r="I402" s="27" t="str">
        <f t="shared" si="12"/>
        <v/>
      </c>
      <c r="J402" s="31" t="str">
        <f t="shared" si="13"/>
        <v/>
      </c>
    </row>
    <row r="403" spans="1:10" x14ac:dyDescent="0.35">
      <c r="A403" s="18" t="str">
        <f>IFERROR(INDEX(tblIssues[Staff ID],MATCH(ROW()-5,tblIssues[Alert Row],0)),"")</f>
        <v/>
      </c>
      <c r="B403" s="18" t="str">
        <f>IF($A403="","",INDEX(tblIssues[Staff Name (pick)],MATCH(ROW()-5,tblIssues[Alert Row],0)))</f>
        <v/>
      </c>
      <c r="C403" s="18" t="str">
        <f>IF($A403="","",INDEX(tblIssues[Role],MATCH(ROW()-5,tblIssues[Alert Row],0)))</f>
        <v/>
      </c>
      <c r="D403" s="25" t="str">
        <f>IF($A403="","",INDEX(tblIssues[Area],MATCH(ROW()-5,tblIssues[Alert Row],0)))</f>
        <v/>
      </c>
      <c r="E403" s="25" t="str">
        <f>IF($A403="","",INDEX(tblIssues[Item Name],MATCH(ROW()-5,tblIssues[Alert Row],0)))</f>
        <v/>
      </c>
      <c r="F403" s="98" t="str">
        <f>IF($A403="","",INDEX(tblIssues[Month],MATCH(ROW()-5,tblIssues[Alert Row],0)))</f>
        <v/>
      </c>
      <c r="G403" s="23" t="str">
        <f>IF($A403="","",INDEX(tblIssues[Units This Month (Staff/Item)],MATCH(ROW()-5,tblIssues[Alert Row],0)))</f>
        <v/>
      </c>
      <c r="H403" s="23" t="str">
        <f>IF($A403="","",INDEX(tblIssues[Monthly Quota],MATCH(ROW()-5,tblIssues[Alert Row],0)))</f>
        <v/>
      </c>
      <c r="I403" s="27" t="str">
        <f t="shared" si="12"/>
        <v/>
      </c>
      <c r="J403" s="31" t="str">
        <f t="shared" si="13"/>
        <v/>
      </c>
    </row>
    <row r="404" spans="1:10" x14ac:dyDescent="0.35">
      <c r="A404" s="18" t="str">
        <f>IFERROR(INDEX(tblIssues[Staff ID],MATCH(ROW()-5,tblIssues[Alert Row],0)),"")</f>
        <v/>
      </c>
      <c r="B404" s="18" t="str">
        <f>IF($A404="","",INDEX(tblIssues[Staff Name (pick)],MATCH(ROW()-5,tblIssues[Alert Row],0)))</f>
        <v/>
      </c>
      <c r="C404" s="18" t="str">
        <f>IF($A404="","",INDEX(tblIssues[Role],MATCH(ROW()-5,tblIssues[Alert Row],0)))</f>
        <v/>
      </c>
      <c r="D404" s="25" t="str">
        <f>IF($A404="","",INDEX(tblIssues[Area],MATCH(ROW()-5,tblIssues[Alert Row],0)))</f>
        <v/>
      </c>
      <c r="E404" s="25" t="str">
        <f>IF($A404="","",INDEX(tblIssues[Item Name],MATCH(ROW()-5,tblIssues[Alert Row],0)))</f>
        <v/>
      </c>
      <c r="F404" s="98" t="str">
        <f>IF($A404="","",INDEX(tblIssues[Month],MATCH(ROW()-5,tblIssues[Alert Row],0)))</f>
        <v/>
      </c>
      <c r="G404" s="23" t="str">
        <f>IF($A404="","",INDEX(tblIssues[Units This Month (Staff/Item)],MATCH(ROW()-5,tblIssues[Alert Row],0)))</f>
        <v/>
      </c>
      <c r="H404" s="23" t="str">
        <f>IF($A404="","",INDEX(tblIssues[Monthly Quota],MATCH(ROW()-5,tblIssues[Alert Row],0)))</f>
        <v/>
      </c>
      <c r="I404" s="27" t="str">
        <f t="shared" si="12"/>
        <v/>
      </c>
      <c r="J404" s="31" t="str">
        <f t="shared" si="13"/>
        <v/>
      </c>
    </row>
    <row r="405" spans="1:10" x14ac:dyDescent="0.35">
      <c r="A405" s="18" t="str">
        <f>IFERROR(INDEX(tblIssues[Staff ID],MATCH(ROW()-5,tblIssues[Alert Row],0)),"")</f>
        <v/>
      </c>
      <c r="B405" s="18" t="str">
        <f>IF($A405="","",INDEX(tblIssues[Staff Name (pick)],MATCH(ROW()-5,tblIssues[Alert Row],0)))</f>
        <v/>
      </c>
      <c r="C405" s="18" t="str">
        <f>IF($A405="","",INDEX(tblIssues[Role],MATCH(ROW()-5,tblIssues[Alert Row],0)))</f>
        <v/>
      </c>
      <c r="D405" s="25" t="str">
        <f>IF($A405="","",INDEX(tblIssues[Area],MATCH(ROW()-5,tblIssues[Alert Row],0)))</f>
        <v/>
      </c>
      <c r="E405" s="25" t="str">
        <f>IF($A405="","",INDEX(tblIssues[Item Name],MATCH(ROW()-5,tblIssues[Alert Row],0)))</f>
        <v/>
      </c>
      <c r="F405" s="98" t="str">
        <f>IF($A405="","",INDEX(tblIssues[Month],MATCH(ROW()-5,tblIssues[Alert Row],0)))</f>
        <v/>
      </c>
      <c r="G405" s="23" t="str">
        <f>IF($A405="","",INDEX(tblIssues[Units This Month (Staff/Item)],MATCH(ROW()-5,tblIssues[Alert Row],0)))</f>
        <v/>
      </c>
      <c r="H405" s="23" t="str">
        <f>IF($A405="","",INDEX(tblIssues[Monthly Quota],MATCH(ROW()-5,tblIssues[Alert Row],0)))</f>
        <v/>
      </c>
      <c r="I405" s="27" t="str">
        <f t="shared" si="12"/>
        <v/>
      </c>
      <c r="J405" s="31" t="str">
        <f t="shared" si="13"/>
        <v/>
      </c>
    </row>
    <row r="406" spans="1:10" x14ac:dyDescent="0.35">
      <c r="A406" s="18" t="str">
        <f>IFERROR(INDEX(tblIssues[Staff ID],MATCH(ROW()-5,tblIssues[Alert Row],0)),"")</f>
        <v/>
      </c>
      <c r="B406" s="18" t="str">
        <f>IF($A406="","",INDEX(tblIssues[Staff Name (pick)],MATCH(ROW()-5,tblIssues[Alert Row],0)))</f>
        <v/>
      </c>
      <c r="C406" s="18" t="str">
        <f>IF($A406="","",INDEX(tblIssues[Role],MATCH(ROW()-5,tblIssues[Alert Row],0)))</f>
        <v/>
      </c>
      <c r="D406" s="25" t="str">
        <f>IF($A406="","",INDEX(tblIssues[Area],MATCH(ROW()-5,tblIssues[Alert Row],0)))</f>
        <v/>
      </c>
      <c r="E406" s="25" t="str">
        <f>IF($A406="","",INDEX(tblIssues[Item Name],MATCH(ROW()-5,tblIssues[Alert Row],0)))</f>
        <v/>
      </c>
      <c r="F406" s="98" t="str">
        <f>IF($A406="","",INDEX(tblIssues[Month],MATCH(ROW()-5,tblIssues[Alert Row],0)))</f>
        <v/>
      </c>
      <c r="G406" s="23" t="str">
        <f>IF($A406="","",INDEX(tblIssues[Units This Month (Staff/Item)],MATCH(ROW()-5,tblIssues[Alert Row],0)))</f>
        <v/>
      </c>
      <c r="H406" s="23" t="str">
        <f>IF($A406="","",INDEX(tblIssues[Monthly Quota],MATCH(ROW()-5,tblIssues[Alert Row],0)))</f>
        <v/>
      </c>
      <c r="I406" s="27" t="str">
        <f t="shared" si="12"/>
        <v/>
      </c>
      <c r="J406" s="31" t="str">
        <f t="shared" si="13"/>
        <v/>
      </c>
    </row>
    <row r="407" spans="1:10" x14ac:dyDescent="0.35">
      <c r="A407" s="18" t="str">
        <f>IFERROR(INDEX(tblIssues[Staff ID],MATCH(ROW()-5,tblIssues[Alert Row],0)),"")</f>
        <v/>
      </c>
      <c r="B407" s="18" t="str">
        <f>IF($A407="","",INDEX(tblIssues[Staff Name (pick)],MATCH(ROW()-5,tblIssues[Alert Row],0)))</f>
        <v/>
      </c>
      <c r="C407" s="18" t="str">
        <f>IF($A407="","",INDEX(tblIssues[Role],MATCH(ROW()-5,tblIssues[Alert Row],0)))</f>
        <v/>
      </c>
      <c r="D407" s="25" t="str">
        <f>IF($A407="","",INDEX(tblIssues[Area],MATCH(ROW()-5,tblIssues[Alert Row],0)))</f>
        <v/>
      </c>
      <c r="E407" s="25" t="str">
        <f>IF($A407="","",INDEX(tblIssues[Item Name],MATCH(ROW()-5,tblIssues[Alert Row],0)))</f>
        <v/>
      </c>
      <c r="F407" s="98" t="str">
        <f>IF($A407="","",INDEX(tblIssues[Month],MATCH(ROW()-5,tblIssues[Alert Row],0)))</f>
        <v/>
      </c>
      <c r="G407" s="23" t="str">
        <f>IF($A407="","",INDEX(tblIssues[Units This Month (Staff/Item)],MATCH(ROW()-5,tblIssues[Alert Row],0)))</f>
        <v/>
      </c>
      <c r="H407" s="23" t="str">
        <f>IF($A407="","",INDEX(tblIssues[Monthly Quota],MATCH(ROW()-5,tblIssues[Alert Row],0)))</f>
        <v/>
      </c>
      <c r="I407" s="27" t="str">
        <f t="shared" si="12"/>
        <v/>
      </c>
      <c r="J407" s="31" t="str">
        <f t="shared" si="13"/>
        <v/>
      </c>
    </row>
    <row r="408" spans="1:10" x14ac:dyDescent="0.35">
      <c r="A408" s="18" t="str">
        <f>IFERROR(INDEX(tblIssues[Staff ID],MATCH(ROW()-5,tblIssues[Alert Row],0)),"")</f>
        <v/>
      </c>
      <c r="B408" s="18" t="str">
        <f>IF($A408="","",INDEX(tblIssues[Staff Name (pick)],MATCH(ROW()-5,tblIssues[Alert Row],0)))</f>
        <v/>
      </c>
      <c r="C408" s="18" t="str">
        <f>IF($A408="","",INDEX(tblIssues[Role],MATCH(ROW()-5,tblIssues[Alert Row],0)))</f>
        <v/>
      </c>
      <c r="D408" s="25" t="str">
        <f>IF($A408="","",INDEX(tblIssues[Area],MATCH(ROW()-5,tblIssues[Alert Row],0)))</f>
        <v/>
      </c>
      <c r="E408" s="25" t="str">
        <f>IF($A408="","",INDEX(tblIssues[Item Name],MATCH(ROW()-5,tblIssues[Alert Row],0)))</f>
        <v/>
      </c>
      <c r="F408" s="98" t="str">
        <f>IF($A408="","",INDEX(tblIssues[Month],MATCH(ROW()-5,tblIssues[Alert Row],0)))</f>
        <v/>
      </c>
      <c r="G408" s="23" t="str">
        <f>IF($A408="","",INDEX(tblIssues[Units This Month (Staff/Item)],MATCH(ROW()-5,tblIssues[Alert Row],0)))</f>
        <v/>
      </c>
      <c r="H408" s="23" t="str">
        <f>IF($A408="","",INDEX(tblIssues[Monthly Quota],MATCH(ROW()-5,tblIssues[Alert Row],0)))</f>
        <v/>
      </c>
      <c r="I408" s="27" t="str">
        <f t="shared" si="12"/>
        <v/>
      </c>
      <c r="J408" s="31" t="str">
        <f t="shared" si="13"/>
        <v/>
      </c>
    </row>
    <row r="409" spans="1:10" x14ac:dyDescent="0.35">
      <c r="A409" s="18" t="str">
        <f>IFERROR(INDEX(tblIssues[Staff ID],MATCH(ROW()-5,tblIssues[Alert Row],0)),"")</f>
        <v/>
      </c>
      <c r="B409" s="18" t="str">
        <f>IF($A409="","",INDEX(tblIssues[Staff Name (pick)],MATCH(ROW()-5,tblIssues[Alert Row],0)))</f>
        <v/>
      </c>
      <c r="C409" s="18" t="str">
        <f>IF($A409="","",INDEX(tblIssues[Role],MATCH(ROW()-5,tblIssues[Alert Row],0)))</f>
        <v/>
      </c>
      <c r="D409" s="25" t="str">
        <f>IF($A409="","",INDEX(tblIssues[Area],MATCH(ROW()-5,tblIssues[Alert Row],0)))</f>
        <v/>
      </c>
      <c r="E409" s="25" t="str">
        <f>IF($A409="","",INDEX(tblIssues[Item Name],MATCH(ROW()-5,tblIssues[Alert Row],0)))</f>
        <v/>
      </c>
      <c r="F409" s="98" t="str">
        <f>IF($A409="","",INDEX(tblIssues[Month],MATCH(ROW()-5,tblIssues[Alert Row],0)))</f>
        <v/>
      </c>
      <c r="G409" s="23" t="str">
        <f>IF($A409="","",INDEX(tblIssues[Units This Month (Staff/Item)],MATCH(ROW()-5,tblIssues[Alert Row],0)))</f>
        <v/>
      </c>
      <c r="H409" s="23" t="str">
        <f>IF($A409="","",INDEX(tblIssues[Monthly Quota],MATCH(ROW()-5,tblIssues[Alert Row],0)))</f>
        <v/>
      </c>
      <c r="I409" s="27" t="str">
        <f t="shared" si="12"/>
        <v/>
      </c>
      <c r="J409" s="31" t="str">
        <f t="shared" si="13"/>
        <v/>
      </c>
    </row>
    <row r="410" spans="1:10" x14ac:dyDescent="0.35">
      <c r="A410" s="18" t="str">
        <f>IFERROR(INDEX(tblIssues[Staff ID],MATCH(ROW()-5,tblIssues[Alert Row],0)),"")</f>
        <v/>
      </c>
      <c r="B410" s="18" t="str">
        <f>IF($A410="","",INDEX(tblIssues[Staff Name (pick)],MATCH(ROW()-5,tblIssues[Alert Row],0)))</f>
        <v/>
      </c>
      <c r="C410" s="18" t="str">
        <f>IF($A410="","",INDEX(tblIssues[Role],MATCH(ROW()-5,tblIssues[Alert Row],0)))</f>
        <v/>
      </c>
      <c r="D410" s="25" t="str">
        <f>IF($A410="","",INDEX(tblIssues[Area],MATCH(ROW()-5,tblIssues[Alert Row],0)))</f>
        <v/>
      </c>
      <c r="E410" s="25" t="str">
        <f>IF($A410="","",INDEX(tblIssues[Item Name],MATCH(ROW()-5,tblIssues[Alert Row],0)))</f>
        <v/>
      </c>
      <c r="F410" s="98" t="str">
        <f>IF($A410="","",INDEX(tblIssues[Month],MATCH(ROW()-5,tblIssues[Alert Row],0)))</f>
        <v/>
      </c>
      <c r="G410" s="23" t="str">
        <f>IF($A410="","",INDEX(tblIssues[Units This Month (Staff/Item)],MATCH(ROW()-5,tblIssues[Alert Row],0)))</f>
        <v/>
      </c>
      <c r="H410" s="23" t="str">
        <f>IF($A410="","",INDEX(tblIssues[Monthly Quota],MATCH(ROW()-5,tblIssues[Alert Row],0)))</f>
        <v/>
      </c>
      <c r="I410" s="27" t="str">
        <f t="shared" si="12"/>
        <v/>
      </c>
      <c r="J410" s="31" t="str">
        <f t="shared" si="13"/>
        <v/>
      </c>
    </row>
    <row r="411" spans="1:10" x14ac:dyDescent="0.35">
      <c r="A411" s="18" t="str">
        <f>IFERROR(INDEX(tblIssues[Staff ID],MATCH(ROW()-5,tblIssues[Alert Row],0)),"")</f>
        <v/>
      </c>
      <c r="B411" s="18" t="str">
        <f>IF($A411="","",INDEX(tblIssues[Staff Name (pick)],MATCH(ROW()-5,tblIssues[Alert Row],0)))</f>
        <v/>
      </c>
      <c r="C411" s="18" t="str">
        <f>IF($A411="","",INDEX(tblIssues[Role],MATCH(ROW()-5,tblIssues[Alert Row],0)))</f>
        <v/>
      </c>
      <c r="D411" s="25" t="str">
        <f>IF($A411="","",INDEX(tblIssues[Area],MATCH(ROW()-5,tblIssues[Alert Row],0)))</f>
        <v/>
      </c>
      <c r="E411" s="25" t="str">
        <f>IF($A411="","",INDEX(tblIssues[Item Name],MATCH(ROW()-5,tblIssues[Alert Row],0)))</f>
        <v/>
      </c>
      <c r="F411" s="98" t="str">
        <f>IF($A411="","",INDEX(tblIssues[Month],MATCH(ROW()-5,tblIssues[Alert Row],0)))</f>
        <v/>
      </c>
      <c r="G411" s="23" t="str">
        <f>IF($A411="","",INDEX(tblIssues[Units This Month (Staff/Item)],MATCH(ROW()-5,tblIssues[Alert Row],0)))</f>
        <v/>
      </c>
      <c r="H411" s="23" t="str">
        <f>IF($A411="","",INDEX(tblIssues[Monthly Quota],MATCH(ROW()-5,tblIssues[Alert Row],0)))</f>
        <v/>
      </c>
      <c r="I411" s="27" t="str">
        <f t="shared" si="12"/>
        <v/>
      </c>
      <c r="J411" s="31" t="str">
        <f t="shared" si="13"/>
        <v/>
      </c>
    </row>
    <row r="412" spans="1:10" x14ac:dyDescent="0.35">
      <c r="A412" s="18" t="str">
        <f>IFERROR(INDEX(tblIssues[Staff ID],MATCH(ROW()-5,tblIssues[Alert Row],0)),"")</f>
        <v/>
      </c>
      <c r="B412" s="18" t="str">
        <f>IF($A412="","",INDEX(tblIssues[Staff Name (pick)],MATCH(ROW()-5,tblIssues[Alert Row],0)))</f>
        <v/>
      </c>
      <c r="C412" s="18" t="str">
        <f>IF($A412="","",INDEX(tblIssues[Role],MATCH(ROW()-5,tblIssues[Alert Row],0)))</f>
        <v/>
      </c>
      <c r="D412" s="25" t="str">
        <f>IF($A412="","",INDEX(tblIssues[Area],MATCH(ROW()-5,tblIssues[Alert Row],0)))</f>
        <v/>
      </c>
      <c r="E412" s="25" t="str">
        <f>IF($A412="","",INDEX(tblIssues[Item Name],MATCH(ROW()-5,tblIssues[Alert Row],0)))</f>
        <v/>
      </c>
      <c r="F412" s="98" t="str">
        <f>IF($A412="","",INDEX(tblIssues[Month],MATCH(ROW()-5,tblIssues[Alert Row],0)))</f>
        <v/>
      </c>
      <c r="G412" s="23" t="str">
        <f>IF($A412="","",INDEX(tblIssues[Units This Month (Staff/Item)],MATCH(ROW()-5,tblIssues[Alert Row],0)))</f>
        <v/>
      </c>
      <c r="H412" s="23" t="str">
        <f>IF($A412="","",INDEX(tblIssues[Monthly Quota],MATCH(ROW()-5,tblIssues[Alert Row],0)))</f>
        <v/>
      </c>
      <c r="I412" s="27" t="str">
        <f t="shared" si="12"/>
        <v/>
      </c>
      <c r="J412" s="31" t="str">
        <f t="shared" si="13"/>
        <v/>
      </c>
    </row>
    <row r="413" spans="1:10" x14ac:dyDescent="0.35">
      <c r="A413" s="18" t="str">
        <f>IFERROR(INDEX(tblIssues[Staff ID],MATCH(ROW()-5,tblIssues[Alert Row],0)),"")</f>
        <v/>
      </c>
      <c r="B413" s="18" t="str">
        <f>IF($A413="","",INDEX(tblIssues[Staff Name (pick)],MATCH(ROW()-5,tblIssues[Alert Row],0)))</f>
        <v/>
      </c>
      <c r="C413" s="18" t="str">
        <f>IF($A413="","",INDEX(tblIssues[Role],MATCH(ROW()-5,tblIssues[Alert Row],0)))</f>
        <v/>
      </c>
      <c r="D413" s="25" t="str">
        <f>IF($A413="","",INDEX(tblIssues[Area],MATCH(ROW()-5,tblIssues[Alert Row],0)))</f>
        <v/>
      </c>
      <c r="E413" s="25" t="str">
        <f>IF($A413="","",INDEX(tblIssues[Item Name],MATCH(ROW()-5,tblIssues[Alert Row],0)))</f>
        <v/>
      </c>
      <c r="F413" s="98" t="str">
        <f>IF($A413="","",INDEX(tblIssues[Month],MATCH(ROW()-5,tblIssues[Alert Row],0)))</f>
        <v/>
      </c>
      <c r="G413" s="23" t="str">
        <f>IF($A413="","",INDEX(tblIssues[Units This Month (Staff/Item)],MATCH(ROW()-5,tblIssues[Alert Row],0)))</f>
        <v/>
      </c>
      <c r="H413" s="23" t="str">
        <f>IF($A413="","",INDEX(tblIssues[Monthly Quota],MATCH(ROW()-5,tblIssues[Alert Row],0)))</f>
        <v/>
      </c>
      <c r="I413" s="27" t="str">
        <f t="shared" si="12"/>
        <v/>
      </c>
      <c r="J413" s="31" t="str">
        <f t="shared" si="13"/>
        <v/>
      </c>
    </row>
    <row r="414" spans="1:10" x14ac:dyDescent="0.35">
      <c r="A414" s="18" t="str">
        <f>IFERROR(INDEX(tblIssues[Staff ID],MATCH(ROW()-5,tblIssues[Alert Row],0)),"")</f>
        <v/>
      </c>
      <c r="B414" s="18" t="str">
        <f>IF($A414="","",INDEX(tblIssues[Staff Name (pick)],MATCH(ROW()-5,tblIssues[Alert Row],0)))</f>
        <v/>
      </c>
      <c r="C414" s="18" t="str">
        <f>IF($A414="","",INDEX(tblIssues[Role],MATCH(ROW()-5,tblIssues[Alert Row],0)))</f>
        <v/>
      </c>
      <c r="D414" s="25" t="str">
        <f>IF($A414="","",INDEX(tblIssues[Area],MATCH(ROW()-5,tblIssues[Alert Row],0)))</f>
        <v/>
      </c>
      <c r="E414" s="25" t="str">
        <f>IF($A414="","",INDEX(tblIssues[Item Name],MATCH(ROW()-5,tblIssues[Alert Row],0)))</f>
        <v/>
      </c>
      <c r="F414" s="98" t="str">
        <f>IF($A414="","",INDEX(tblIssues[Month],MATCH(ROW()-5,tblIssues[Alert Row],0)))</f>
        <v/>
      </c>
      <c r="G414" s="23" t="str">
        <f>IF($A414="","",INDEX(tblIssues[Units This Month (Staff/Item)],MATCH(ROW()-5,tblIssues[Alert Row],0)))</f>
        <v/>
      </c>
      <c r="H414" s="23" t="str">
        <f>IF($A414="","",INDEX(tblIssues[Monthly Quota],MATCH(ROW()-5,tblIssues[Alert Row],0)))</f>
        <v/>
      </c>
      <c r="I414" s="27" t="str">
        <f t="shared" si="12"/>
        <v/>
      </c>
      <c r="J414" s="31" t="str">
        <f t="shared" si="13"/>
        <v/>
      </c>
    </row>
    <row r="415" spans="1:10" x14ac:dyDescent="0.35">
      <c r="A415" s="18" t="str">
        <f>IFERROR(INDEX(tblIssues[Staff ID],MATCH(ROW()-5,tblIssues[Alert Row],0)),"")</f>
        <v/>
      </c>
      <c r="B415" s="18" t="str">
        <f>IF($A415="","",INDEX(tblIssues[Staff Name (pick)],MATCH(ROW()-5,tblIssues[Alert Row],0)))</f>
        <v/>
      </c>
      <c r="C415" s="18" t="str">
        <f>IF($A415="","",INDEX(tblIssues[Role],MATCH(ROW()-5,tblIssues[Alert Row],0)))</f>
        <v/>
      </c>
      <c r="D415" s="25" t="str">
        <f>IF($A415="","",INDEX(tblIssues[Area],MATCH(ROW()-5,tblIssues[Alert Row],0)))</f>
        <v/>
      </c>
      <c r="E415" s="25" t="str">
        <f>IF($A415="","",INDEX(tblIssues[Item Name],MATCH(ROW()-5,tblIssues[Alert Row],0)))</f>
        <v/>
      </c>
      <c r="F415" s="98" t="str">
        <f>IF($A415="","",INDEX(tblIssues[Month],MATCH(ROW()-5,tblIssues[Alert Row],0)))</f>
        <v/>
      </c>
      <c r="G415" s="23" t="str">
        <f>IF($A415="","",INDEX(tblIssues[Units This Month (Staff/Item)],MATCH(ROW()-5,tblIssues[Alert Row],0)))</f>
        <v/>
      </c>
      <c r="H415" s="23" t="str">
        <f>IF($A415="","",INDEX(tblIssues[Monthly Quota],MATCH(ROW()-5,tblIssues[Alert Row],0)))</f>
        <v/>
      </c>
      <c r="I415" s="27" t="str">
        <f t="shared" si="12"/>
        <v/>
      </c>
      <c r="J415" s="31" t="str">
        <f t="shared" si="13"/>
        <v/>
      </c>
    </row>
    <row r="416" spans="1:10" x14ac:dyDescent="0.35">
      <c r="A416" s="18" t="str">
        <f>IFERROR(INDEX(tblIssues[Staff ID],MATCH(ROW()-5,tblIssues[Alert Row],0)),"")</f>
        <v/>
      </c>
      <c r="B416" s="18" t="str">
        <f>IF($A416="","",INDEX(tblIssues[Staff Name (pick)],MATCH(ROW()-5,tblIssues[Alert Row],0)))</f>
        <v/>
      </c>
      <c r="C416" s="18" t="str">
        <f>IF($A416="","",INDEX(tblIssues[Role],MATCH(ROW()-5,tblIssues[Alert Row],0)))</f>
        <v/>
      </c>
      <c r="D416" s="25" t="str">
        <f>IF($A416="","",INDEX(tblIssues[Area],MATCH(ROW()-5,tblIssues[Alert Row],0)))</f>
        <v/>
      </c>
      <c r="E416" s="25" t="str">
        <f>IF($A416="","",INDEX(tblIssues[Item Name],MATCH(ROW()-5,tblIssues[Alert Row],0)))</f>
        <v/>
      </c>
      <c r="F416" s="98" t="str">
        <f>IF($A416="","",INDEX(tblIssues[Month],MATCH(ROW()-5,tblIssues[Alert Row],0)))</f>
        <v/>
      </c>
      <c r="G416" s="23" t="str">
        <f>IF($A416="","",INDEX(tblIssues[Units This Month (Staff/Item)],MATCH(ROW()-5,tblIssues[Alert Row],0)))</f>
        <v/>
      </c>
      <c r="H416" s="23" t="str">
        <f>IF($A416="","",INDEX(tblIssues[Monthly Quota],MATCH(ROW()-5,tblIssues[Alert Row],0)))</f>
        <v/>
      </c>
      <c r="I416" s="27" t="str">
        <f t="shared" si="12"/>
        <v/>
      </c>
      <c r="J416" s="31" t="str">
        <f t="shared" si="13"/>
        <v/>
      </c>
    </row>
    <row r="417" spans="1:10" x14ac:dyDescent="0.35">
      <c r="A417" s="18" t="str">
        <f>IFERROR(INDEX(tblIssues[Staff ID],MATCH(ROW()-5,tblIssues[Alert Row],0)),"")</f>
        <v/>
      </c>
      <c r="B417" s="18" t="str">
        <f>IF($A417="","",INDEX(tblIssues[Staff Name (pick)],MATCH(ROW()-5,tblIssues[Alert Row],0)))</f>
        <v/>
      </c>
      <c r="C417" s="18" t="str">
        <f>IF($A417="","",INDEX(tblIssues[Role],MATCH(ROW()-5,tblIssues[Alert Row],0)))</f>
        <v/>
      </c>
      <c r="D417" s="25" t="str">
        <f>IF($A417="","",INDEX(tblIssues[Area],MATCH(ROW()-5,tblIssues[Alert Row],0)))</f>
        <v/>
      </c>
      <c r="E417" s="25" t="str">
        <f>IF($A417="","",INDEX(tblIssues[Item Name],MATCH(ROW()-5,tblIssues[Alert Row],0)))</f>
        <v/>
      </c>
      <c r="F417" s="98" t="str">
        <f>IF($A417="","",INDEX(tblIssues[Month],MATCH(ROW()-5,tblIssues[Alert Row],0)))</f>
        <v/>
      </c>
      <c r="G417" s="23" t="str">
        <f>IF($A417="","",INDEX(tblIssues[Units This Month (Staff/Item)],MATCH(ROW()-5,tblIssues[Alert Row],0)))</f>
        <v/>
      </c>
      <c r="H417" s="23" t="str">
        <f>IF($A417="","",INDEX(tblIssues[Monthly Quota],MATCH(ROW()-5,tblIssues[Alert Row],0)))</f>
        <v/>
      </c>
      <c r="I417" s="27" t="str">
        <f t="shared" si="12"/>
        <v/>
      </c>
      <c r="J417" s="31" t="str">
        <f t="shared" si="13"/>
        <v/>
      </c>
    </row>
    <row r="418" spans="1:10" x14ac:dyDescent="0.35">
      <c r="A418" s="18" t="str">
        <f>IFERROR(INDEX(tblIssues[Staff ID],MATCH(ROW()-5,tblIssues[Alert Row],0)),"")</f>
        <v/>
      </c>
      <c r="B418" s="18" t="str">
        <f>IF($A418="","",INDEX(tblIssues[Staff Name (pick)],MATCH(ROW()-5,tblIssues[Alert Row],0)))</f>
        <v/>
      </c>
      <c r="C418" s="18" t="str">
        <f>IF($A418="","",INDEX(tblIssues[Role],MATCH(ROW()-5,tblIssues[Alert Row],0)))</f>
        <v/>
      </c>
      <c r="D418" s="25" t="str">
        <f>IF($A418="","",INDEX(tblIssues[Area],MATCH(ROW()-5,tblIssues[Alert Row],0)))</f>
        <v/>
      </c>
      <c r="E418" s="25" t="str">
        <f>IF($A418="","",INDEX(tblIssues[Item Name],MATCH(ROW()-5,tblIssues[Alert Row],0)))</f>
        <v/>
      </c>
      <c r="F418" s="98" t="str">
        <f>IF($A418="","",INDEX(tblIssues[Month],MATCH(ROW()-5,tblIssues[Alert Row],0)))</f>
        <v/>
      </c>
      <c r="G418" s="23" t="str">
        <f>IF($A418="","",INDEX(tblIssues[Units This Month (Staff/Item)],MATCH(ROW()-5,tblIssues[Alert Row],0)))</f>
        <v/>
      </c>
      <c r="H418" s="23" t="str">
        <f>IF($A418="","",INDEX(tblIssues[Monthly Quota],MATCH(ROW()-5,tblIssues[Alert Row],0)))</f>
        <v/>
      </c>
      <c r="I418" s="27" t="str">
        <f t="shared" si="12"/>
        <v/>
      </c>
      <c r="J418" s="31" t="str">
        <f t="shared" si="13"/>
        <v/>
      </c>
    </row>
    <row r="419" spans="1:10" x14ac:dyDescent="0.35">
      <c r="A419" s="18" t="str">
        <f>IFERROR(INDEX(tblIssues[Staff ID],MATCH(ROW()-5,tblIssues[Alert Row],0)),"")</f>
        <v/>
      </c>
      <c r="B419" s="18" t="str">
        <f>IF($A419="","",INDEX(tblIssues[Staff Name (pick)],MATCH(ROW()-5,tblIssues[Alert Row],0)))</f>
        <v/>
      </c>
      <c r="C419" s="18" t="str">
        <f>IF($A419="","",INDEX(tblIssues[Role],MATCH(ROW()-5,tblIssues[Alert Row],0)))</f>
        <v/>
      </c>
      <c r="D419" s="25" t="str">
        <f>IF($A419="","",INDEX(tblIssues[Area],MATCH(ROW()-5,tblIssues[Alert Row],0)))</f>
        <v/>
      </c>
      <c r="E419" s="25" t="str">
        <f>IF($A419="","",INDEX(tblIssues[Item Name],MATCH(ROW()-5,tblIssues[Alert Row],0)))</f>
        <v/>
      </c>
      <c r="F419" s="98" t="str">
        <f>IF($A419="","",INDEX(tblIssues[Month],MATCH(ROW()-5,tblIssues[Alert Row],0)))</f>
        <v/>
      </c>
      <c r="G419" s="23" t="str">
        <f>IF($A419="","",INDEX(tblIssues[Units This Month (Staff/Item)],MATCH(ROW()-5,tblIssues[Alert Row],0)))</f>
        <v/>
      </c>
      <c r="H419" s="23" t="str">
        <f>IF($A419="","",INDEX(tblIssues[Monthly Quota],MATCH(ROW()-5,tblIssues[Alert Row],0)))</f>
        <v/>
      </c>
      <c r="I419" s="27" t="str">
        <f t="shared" si="12"/>
        <v/>
      </c>
      <c r="J419" s="31" t="str">
        <f t="shared" si="13"/>
        <v/>
      </c>
    </row>
    <row r="420" spans="1:10" x14ac:dyDescent="0.35">
      <c r="A420" s="18" t="str">
        <f>IFERROR(INDEX(tblIssues[Staff ID],MATCH(ROW()-5,tblIssues[Alert Row],0)),"")</f>
        <v/>
      </c>
      <c r="B420" s="18" t="str">
        <f>IF($A420="","",INDEX(tblIssues[Staff Name (pick)],MATCH(ROW()-5,tblIssues[Alert Row],0)))</f>
        <v/>
      </c>
      <c r="C420" s="18" t="str">
        <f>IF($A420="","",INDEX(tblIssues[Role],MATCH(ROW()-5,tblIssues[Alert Row],0)))</f>
        <v/>
      </c>
      <c r="D420" s="25" t="str">
        <f>IF($A420="","",INDEX(tblIssues[Area],MATCH(ROW()-5,tblIssues[Alert Row],0)))</f>
        <v/>
      </c>
      <c r="E420" s="25" t="str">
        <f>IF($A420="","",INDEX(tblIssues[Item Name],MATCH(ROW()-5,tblIssues[Alert Row],0)))</f>
        <v/>
      </c>
      <c r="F420" s="98" t="str">
        <f>IF($A420="","",INDEX(tblIssues[Month],MATCH(ROW()-5,tblIssues[Alert Row],0)))</f>
        <v/>
      </c>
      <c r="G420" s="23" t="str">
        <f>IF($A420="","",INDEX(tblIssues[Units This Month (Staff/Item)],MATCH(ROW()-5,tblIssues[Alert Row],0)))</f>
        <v/>
      </c>
      <c r="H420" s="23" t="str">
        <f>IF($A420="","",INDEX(tblIssues[Monthly Quota],MATCH(ROW()-5,tblIssues[Alert Row],0)))</f>
        <v/>
      </c>
      <c r="I420" s="27" t="str">
        <f t="shared" si="12"/>
        <v/>
      </c>
      <c r="J420" s="31" t="str">
        <f t="shared" si="13"/>
        <v/>
      </c>
    </row>
    <row r="421" spans="1:10" x14ac:dyDescent="0.35">
      <c r="A421" s="18" t="str">
        <f>IFERROR(INDEX(tblIssues[Staff ID],MATCH(ROW()-5,tblIssues[Alert Row],0)),"")</f>
        <v/>
      </c>
      <c r="B421" s="18" t="str">
        <f>IF($A421="","",INDEX(tblIssues[Staff Name (pick)],MATCH(ROW()-5,tblIssues[Alert Row],0)))</f>
        <v/>
      </c>
      <c r="C421" s="18" t="str">
        <f>IF($A421="","",INDEX(tblIssues[Role],MATCH(ROW()-5,tblIssues[Alert Row],0)))</f>
        <v/>
      </c>
      <c r="D421" s="25" t="str">
        <f>IF($A421="","",INDEX(tblIssues[Area],MATCH(ROW()-5,tblIssues[Alert Row],0)))</f>
        <v/>
      </c>
      <c r="E421" s="25" t="str">
        <f>IF($A421="","",INDEX(tblIssues[Item Name],MATCH(ROW()-5,tblIssues[Alert Row],0)))</f>
        <v/>
      </c>
      <c r="F421" s="98" t="str">
        <f>IF($A421="","",INDEX(tblIssues[Month],MATCH(ROW()-5,tblIssues[Alert Row],0)))</f>
        <v/>
      </c>
      <c r="G421" s="23" t="str">
        <f>IF($A421="","",INDEX(tblIssues[Units This Month (Staff/Item)],MATCH(ROW()-5,tblIssues[Alert Row],0)))</f>
        <v/>
      </c>
      <c r="H421" s="23" t="str">
        <f>IF($A421="","",INDEX(tblIssues[Monthly Quota],MATCH(ROW()-5,tblIssues[Alert Row],0)))</f>
        <v/>
      </c>
      <c r="I421" s="27" t="str">
        <f t="shared" si="12"/>
        <v/>
      </c>
      <c r="J421" s="31" t="str">
        <f t="shared" si="13"/>
        <v/>
      </c>
    </row>
    <row r="422" spans="1:10" x14ac:dyDescent="0.35">
      <c r="A422" s="18" t="str">
        <f>IFERROR(INDEX(tblIssues[Staff ID],MATCH(ROW()-5,tblIssues[Alert Row],0)),"")</f>
        <v/>
      </c>
      <c r="B422" s="18" t="str">
        <f>IF($A422="","",INDEX(tblIssues[Staff Name (pick)],MATCH(ROW()-5,tblIssues[Alert Row],0)))</f>
        <v/>
      </c>
      <c r="C422" s="18" t="str">
        <f>IF($A422="","",INDEX(tblIssues[Role],MATCH(ROW()-5,tblIssues[Alert Row],0)))</f>
        <v/>
      </c>
      <c r="D422" s="25" t="str">
        <f>IF($A422="","",INDEX(tblIssues[Area],MATCH(ROW()-5,tblIssues[Alert Row],0)))</f>
        <v/>
      </c>
      <c r="E422" s="25" t="str">
        <f>IF($A422="","",INDEX(tblIssues[Item Name],MATCH(ROW()-5,tblIssues[Alert Row],0)))</f>
        <v/>
      </c>
      <c r="F422" s="98" t="str">
        <f>IF($A422="","",INDEX(tblIssues[Month],MATCH(ROW()-5,tblIssues[Alert Row],0)))</f>
        <v/>
      </c>
      <c r="G422" s="23" t="str">
        <f>IF($A422="","",INDEX(tblIssues[Units This Month (Staff/Item)],MATCH(ROW()-5,tblIssues[Alert Row],0)))</f>
        <v/>
      </c>
      <c r="H422" s="23" t="str">
        <f>IF($A422="","",INDEX(tblIssues[Monthly Quota],MATCH(ROW()-5,tblIssues[Alert Row],0)))</f>
        <v/>
      </c>
      <c r="I422" s="27" t="str">
        <f t="shared" si="12"/>
        <v/>
      </c>
      <c r="J422" s="31" t="str">
        <f t="shared" si="13"/>
        <v/>
      </c>
    </row>
    <row r="423" spans="1:10" x14ac:dyDescent="0.35">
      <c r="A423" s="18" t="str">
        <f>IFERROR(INDEX(tblIssues[Staff ID],MATCH(ROW()-5,tblIssues[Alert Row],0)),"")</f>
        <v/>
      </c>
      <c r="B423" s="18" t="str">
        <f>IF($A423="","",INDEX(tblIssues[Staff Name (pick)],MATCH(ROW()-5,tblIssues[Alert Row],0)))</f>
        <v/>
      </c>
      <c r="C423" s="18" t="str">
        <f>IF($A423="","",INDEX(tblIssues[Role],MATCH(ROW()-5,tblIssues[Alert Row],0)))</f>
        <v/>
      </c>
      <c r="D423" s="25" t="str">
        <f>IF($A423="","",INDEX(tblIssues[Area],MATCH(ROW()-5,tblIssues[Alert Row],0)))</f>
        <v/>
      </c>
      <c r="E423" s="25" t="str">
        <f>IF($A423="","",INDEX(tblIssues[Item Name],MATCH(ROW()-5,tblIssues[Alert Row],0)))</f>
        <v/>
      </c>
      <c r="F423" s="98" t="str">
        <f>IF($A423="","",INDEX(tblIssues[Month],MATCH(ROW()-5,tblIssues[Alert Row],0)))</f>
        <v/>
      </c>
      <c r="G423" s="23" t="str">
        <f>IF($A423="","",INDEX(tblIssues[Units This Month (Staff/Item)],MATCH(ROW()-5,tblIssues[Alert Row],0)))</f>
        <v/>
      </c>
      <c r="H423" s="23" t="str">
        <f>IF($A423="","",INDEX(tblIssues[Monthly Quota],MATCH(ROW()-5,tblIssues[Alert Row],0)))</f>
        <v/>
      </c>
      <c r="I423" s="27" t="str">
        <f t="shared" si="12"/>
        <v/>
      </c>
      <c r="J423" s="31" t="str">
        <f t="shared" si="13"/>
        <v/>
      </c>
    </row>
    <row r="424" spans="1:10" x14ac:dyDescent="0.35">
      <c r="A424" s="18" t="str">
        <f>IFERROR(INDEX(tblIssues[Staff ID],MATCH(ROW()-5,tblIssues[Alert Row],0)),"")</f>
        <v/>
      </c>
      <c r="B424" s="18" t="str">
        <f>IF($A424="","",INDEX(tblIssues[Staff Name (pick)],MATCH(ROW()-5,tblIssues[Alert Row],0)))</f>
        <v/>
      </c>
      <c r="C424" s="18" t="str">
        <f>IF($A424="","",INDEX(tblIssues[Role],MATCH(ROW()-5,tblIssues[Alert Row],0)))</f>
        <v/>
      </c>
      <c r="D424" s="25" t="str">
        <f>IF($A424="","",INDEX(tblIssues[Area],MATCH(ROW()-5,tblIssues[Alert Row],0)))</f>
        <v/>
      </c>
      <c r="E424" s="25" t="str">
        <f>IF($A424="","",INDEX(tblIssues[Item Name],MATCH(ROW()-5,tblIssues[Alert Row],0)))</f>
        <v/>
      </c>
      <c r="F424" s="98" t="str">
        <f>IF($A424="","",INDEX(tblIssues[Month],MATCH(ROW()-5,tblIssues[Alert Row],0)))</f>
        <v/>
      </c>
      <c r="G424" s="23" t="str">
        <f>IF($A424="","",INDEX(tblIssues[Units This Month (Staff/Item)],MATCH(ROW()-5,tblIssues[Alert Row],0)))</f>
        <v/>
      </c>
      <c r="H424" s="23" t="str">
        <f>IF($A424="","",INDEX(tblIssues[Monthly Quota],MATCH(ROW()-5,tblIssues[Alert Row],0)))</f>
        <v/>
      </c>
      <c r="I424" s="27" t="str">
        <f t="shared" si="12"/>
        <v/>
      </c>
      <c r="J424" s="31" t="str">
        <f t="shared" si="13"/>
        <v/>
      </c>
    </row>
    <row r="425" spans="1:10" x14ac:dyDescent="0.35">
      <c r="A425" s="18" t="str">
        <f>IFERROR(INDEX(tblIssues[Staff ID],MATCH(ROW()-5,tblIssues[Alert Row],0)),"")</f>
        <v/>
      </c>
      <c r="B425" s="18" t="str">
        <f>IF($A425="","",INDEX(tblIssues[Staff Name (pick)],MATCH(ROW()-5,tblIssues[Alert Row],0)))</f>
        <v/>
      </c>
      <c r="C425" s="18" t="str">
        <f>IF($A425="","",INDEX(tblIssues[Role],MATCH(ROW()-5,tblIssues[Alert Row],0)))</f>
        <v/>
      </c>
      <c r="D425" s="25" t="str">
        <f>IF($A425="","",INDEX(tblIssues[Area],MATCH(ROW()-5,tblIssues[Alert Row],0)))</f>
        <v/>
      </c>
      <c r="E425" s="25" t="str">
        <f>IF($A425="","",INDEX(tblIssues[Item Name],MATCH(ROW()-5,tblIssues[Alert Row],0)))</f>
        <v/>
      </c>
      <c r="F425" s="98" t="str">
        <f>IF($A425="","",INDEX(tblIssues[Month],MATCH(ROW()-5,tblIssues[Alert Row],0)))</f>
        <v/>
      </c>
      <c r="G425" s="23" t="str">
        <f>IF($A425="","",INDEX(tblIssues[Units This Month (Staff/Item)],MATCH(ROW()-5,tblIssues[Alert Row],0)))</f>
        <v/>
      </c>
      <c r="H425" s="23" t="str">
        <f>IF($A425="","",INDEX(tblIssues[Monthly Quota],MATCH(ROW()-5,tblIssues[Alert Row],0)))</f>
        <v/>
      </c>
      <c r="I425" s="27" t="str">
        <f t="shared" si="12"/>
        <v/>
      </c>
      <c r="J425" s="31" t="str">
        <f t="shared" si="13"/>
        <v/>
      </c>
    </row>
    <row r="426" spans="1:10" x14ac:dyDescent="0.35">
      <c r="A426" s="18" t="str">
        <f>IFERROR(INDEX(tblIssues[Staff ID],MATCH(ROW()-5,tblIssues[Alert Row],0)),"")</f>
        <v/>
      </c>
      <c r="B426" s="18" t="str">
        <f>IF($A426="","",INDEX(tblIssues[Staff Name (pick)],MATCH(ROW()-5,tblIssues[Alert Row],0)))</f>
        <v/>
      </c>
      <c r="C426" s="18" t="str">
        <f>IF($A426="","",INDEX(tblIssues[Role],MATCH(ROW()-5,tblIssues[Alert Row],0)))</f>
        <v/>
      </c>
      <c r="D426" s="25" t="str">
        <f>IF($A426="","",INDEX(tblIssues[Area],MATCH(ROW()-5,tblIssues[Alert Row],0)))</f>
        <v/>
      </c>
      <c r="E426" s="25" t="str">
        <f>IF($A426="","",INDEX(tblIssues[Item Name],MATCH(ROW()-5,tblIssues[Alert Row],0)))</f>
        <v/>
      </c>
      <c r="F426" s="98" t="str">
        <f>IF($A426="","",INDEX(tblIssues[Month],MATCH(ROW()-5,tblIssues[Alert Row],0)))</f>
        <v/>
      </c>
      <c r="G426" s="23" t="str">
        <f>IF($A426="","",INDEX(tblIssues[Units This Month (Staff/Item)],MATCH(ROW()-5,tblIssues[Alert Row],0)))</f>
        <v/>
      </c>
      <c r="H426" s="23" t="str">
        <f>IF($A426="","",INDEX(tblIssues[Monthly Quota],MATCH(ROW()-5,tblIssues[Alert Row],0)))</f>
        <v/>
      </c>
      <c r="I426" s="27" t="str">
        <f t="shared" si="12"/>
        <v/>
      </c>
      <c r="J426" s="31" t="str">
        <f t="shared" si="13"/>
        <v/>
      </c>
    </row>
    <row r="427" spans="1:10" x14ac:dyDescent="0.35">
      <c r="A427" s="18" t="str">
        <f>IFERROR(INDEX(tblIssues[Staff ID],MATCH(ROW()-5,tblIssues[Alert Row],0)),"")</f>
        <v/>
      </c>
      <c r="B427" s="18" t="str">
        <f>IF($A427="","",INDEX(tblIssues[Staff Name (pick)],MATCH(ROW()-5,tblIssues[Alert Row],0)))</f>
        <v/>
      </c>
      <c r="C427" s="18" t="str">
        <f>IF($A427="","",INDEX(tblIssues[Role],MATCH(ROW()-5,tblIssues[Alert Row],0)))</f>
        <v/>
      </c>
      <c r="D427" s="25" t="str">
        <f>IF($A427="","",INDEX(tblIssues[Area],MATCH(ROW()-5,tblIssues[Alert Row],0)))</f>
        <v/>
      </c>
      <c r="E427" s="25" t="str">
        <f>IF($A427="","",INDEX(tblIssues[Item Name],MATCH(ROW()-5,tblIssues[Alert Row],0)))</f>
        <v/>
      </c>
      <c r="F427" s="98" t="str">
        <f>IF($A427="","",INDEX(tblIssues[Month],MATCH(ROW()-5,tblIssues[Alert Row],0)))</f>
        <v/>
      </c>
      <c r="G427" s="23" t="str">
        <f>IF($A427="","",INDEX(tblIssues[Units This Month (Staff/Item)],MATCH(ROW()-5,tblIssues[Alert Row],0)))</f>
        <v/>
      </c>
      <c r="H427" s="23" t="str">
        <f>IF($A427="","",INDEX(tblIssues[Monthly Quota],MATCH(ROW()-5,tblIssues[Alert Row],0)))</f>
        <v/>
      </c>
      <c r="I427" s="27" t="str">
        <f t="shared" si="12"/>
        <v/>
      </c>
      <c r="J427" s="31" t="str">
        <f t="shared" si="13"/>
        <v/>
      </c>
    </row>
    <row r="428" spans="1:10" x14ac:dyDescent="0.35">
      <c r="A428" s="18" t="str">
        <f>IFERROR(INDEX(tblIssues[Staff ID],MATCH(ROW()-5,tblIssues[Alert Row],0)),"")</f>
        <v/>
      </c>
      <c r="B428" s="18" t="str">
        <f>IF($A428="","",INDEX(tblIssues[Staff Name (pick)],MATCH(ROW()-5,tblIssues[Alert Row],0)))</f>
        <v/>
      </c>
      <c r="C428" s="18" t="str">
        <f>IF($A428="","",INDEX(tblIssues[Role],MATCH(ROW()-5,tblIssues[Alert Row],0)))</f>
        <v/>
      </c>
      <c r="D428" s="25" t="str">
        <f>IF($A428="","",INDEX(tblIssues[Area],MATCH(ROW()-5,tblIssues[Alert Row],0)))</f>
        <v/>
      </c>
      <c r="E428" s="25" t="str">
        <f>IF($A428="","",INDEX(tblIssues[Item Name],MATCH(ROW()-5,tblIssues[Alert Row],0)))</f>
        <v/>
      </c>
      <c r="F428" s="98" t="str">
        <f>IF($A428="","",INDEX(tblIssues[Month],MATCH(ROW()-5,tblIssues[Alert Row],0)))</f>
        <v/>
      </c>
      <c r="G428" s="23" t="str">
        <f>IF($A428="","",INDEX(tblIssues[Units This Month (Staff/Item)],MATCH(ROW()-5,tblIssues[Alert Row],0)))</f>
        <v/>
      </c>
      <c r="H428" s="23" t="str">
        <f>IF($A428="","",INDEX(tblIssues[Monthly Quota],MATCH(ROW()-5,tblIssues[Alert Row],0)))</f>
        <v/>
      </c>
      <c r="I428" s="27" t="str">
        <f t="shared" si="12"/>
        <v/>
      </c>
      <c r="J428" s="31" t="str">
        <f t="shared" si="13"/>
        <v/>
      </c>
    </row>
    <row r="429" spans="1:10" x14ac:dyDescent="0.35">
      <c r="A429" s="18" t="str">
        <f>IFERROR(INDEX(tblIssues[Staff ID],MATCH(ROW()-5,tblIssues[Alert Row],0)),"")</f>
        <v/>
      </c>
      <c r="B429" s="18" t="str">
        <f>IF($A429="","",INDEX(tblIssues[Staff Name (pick)],MATCH(ROW()-5,tblIssues[Alert Row],0)))</f>
        <v/>
      </c>
      <c r="C429" s="18" t="str">
        <f>IF($A429="","",INDEX(tblIssues[Role],MATCH(ROW()-5,tblIssues[Alert Row],0)))</f>
        <v/>
      </c>
      <c r="D429" s="25" t="str">
        <f>IF($A429="","",INDEX(tblIssues[Area],MATCH(ROW()-5,tblIssues[Alert Row],0)))</f>
        <v/>
      </c>
      <c r="E429" s="25" t="str">
        <f>IF($A429="","",INDEX(tblIssues[Item Name],MATCH(ROW()-5,tblIssues[Alert Row],0)))</f>
        <v/>
      </c>
      <c r="F429" s="98" t="str">
        <f>IF($A429="","",INDEX(tblIssues[Month],MATCH(ROW()-5,tblIssues[Alert Row],0)))</f>
        <v/>
      </c>
      <c r="G429" s="23" t="str">
        <f>IF($A429="","",INDEX(tblIssues[Units This Month (Staff/Item)],MATCH(ROW()-5,tblIssues[Alert Row],0)))</f>
        <v/>
      </c>
      <c r="H429" s="23" t="str">
        <f>IF($A429="","",INDEX(tblIssues[Monthly Quota],MATCH(ROW()-5,tblIssues[Alert Row],0)))</f>
        <v/>
      </c>
      <c r="I429" s="27" t="str">
        <f t="shared" si="12"/>
        <v/>
      </c>
      <c r="J429" s="31" t="str">
        <f t="shared" si="13"/>
        <v/>
      </c>
    </row>
    <row r="430" spans="1:10" x14ac:dyDescent="0.35">
      <c r="A430" s="18" t="str">
        <f>IFERROR(INDEX(tblIssues[Staff ID],MATCH(ROW()-5,tblIssues[Alert Row],0)),"")</f>
        <v/>
      </c>
      <c r="B430" s="18" t="str">
        <f>IF($A430="","",INDEX(tblIssues[Staff Name (pick)],MATCH(ROW()-5,tblIssues[Alert Row],0)))</f>
        <v/>
      </c>
      <c r="C430" s="18" t="str">
        <f>IF($A430="","",INDEX(tblIssues[Role],MATCH(ROW()-5,tblIssues[Alert Row],0)))</f>
        <v/>
      </c>
      <c r="D430" s="25" t="str">
        <f>IF($A430="","",INDEX(tblIssues[Area],MATCH(ROW()-5,tblIssues[Alert Row],0)))</f>
        <v/>
      </c>
      <c r="E430" s="25" t="str">
        <f>IF($A430="","",INDEX(tblIssues[Item Name],MATCH(ROW()-5,tblIssues[Alert Row],0)))</f>
        <v/>
      </c>
      <c r="F430" s="98" t="str">
        <f>IF($A430="","",INDEX(tblIssues[Month],MATCH(ROW()-5,tblIssues[Alert Row],0)))</f>
        <v/>
      </c>
      <c r="G430" s="23" t="str">
        <f>IF($A430="","",INDEX(tblIssues[Units This Month (Staff/Item)],MATCH(ROW()-5,tblIssues[Alert Row],0)))</f>
        <v/>
      </c>
      <c r="H430" s="23" t="str">
        <f>IF($A430="","",INDEX(tblIssues[Monthly Quota],MATCH(ROW()-5,tblIssues[Alert Row],0)))</f>
        <v/>
      </c>
      <c r="I430" s="27" t="str">
        <f t="shared" si="12"/>
        <v/>
      </c>
      <c r="J430" s="31" t="str">
        <f t="shared" si="13"/>
        <v/>
      </c>
    </row>
    <row r="431" spans="1:10" x14ac:dyDescent="0.35">
      <c r="A431" s="18" t="str">
        <f>IFERROR(INDEX(tblIssues[Staff ID],MATCH(ROW()-5,tblIssues[Alert Row],0)),"")</f>
        <v/>
      </c>
      <c r="B431" s="18" t="str">
        <f>IF($A431="","",INDEX(tblIssues[Staff Name (pick)],MATCH(ROW()-5,tblIssues[Alert Row],0)))</f>
        <v/>
      </c>
      <c r="C431" s="18" t="str">
        <f>IF($A431="","",INDEX(tblIssues[Role],MATCH(ROW()-5,tblIssues[Alert Row],0)))</f>
        <v/>
      </c>
      <c r="D431" s="25" t="str">
        <f>IF($A431="","",INDEX(tblIssues[Area],MATCH(ROW()-5,tblIssues[Alert Row],0)))</f>
        <v/>
      </c>
      <c r="E431" s="25" t="str">
        <f>IF($A431="","",INDEX(tblIssues[Item Name],MATCH(ROW()-5,tblIssues[Alert Row],0)))</f>
        <v/>
      </c>
      <c r="F431" s="98" t="str">
        <f>IF($A431="","",INDEX(tblIssues[Month],MATCH(ROW()-5,tblIssues[Alert Row],0)))</f>
        <v/>
      </c>
      <c r="G431" s="23" t="str">
        <f>IF($A431="","",INDEX(tblIssues[Units This Month (Staff/Item)],MATCH(ROW()-5,tblIssues[Alert Row],0)))</f>
        <v/>
      </c>
      <c r="H431" s="23" t="str">
        <f>IF($A431="","",INDEX(tblIssues[Monthly Quota],MATCH(ROW()-5,tblIssues[Alert Row],0)))</f>
        <v/>
      </c>
      <c r="I431" s="27" t="str">
        <f t="shared" si="12"/>
        <v/>
      </c>
      <c r="J431" s="31" t="str">
        <f t="shared" si="13"/>
        <v/>
      </c>
    </row>
    <row r="432" spans="1:10" x14ac:dyDescent="0.35">
      <c r="A432" s="18" t="str">
        <f>IFERROR(INDEX(tblIssues[Staff ID],MATCH(ROW()-5,tblIssues[Alert Row],0)),"")</f>
        <v/>
      </c>
      <c r="B432" s="18" t="str">
        <f>IF($A432="","",INDEX(tblIssues[Staff Name (pick)],MATCH(ROW()-5,tblIssues[Alert Row],0)))</f>
        <v/>
      </c>
      <c r="C432" s="18" t="str">
        <f>IF($A432="","",INDEX(tblIssues[Role],MATCH(ROW()-5,tblIssues[Alert Row],0)))</f>
        <v/>
      </c>
      <c r="D432" s="25" t="str">
        <f>IF($A432="","",INDEX(tblIssues[Area],MATCH(ROW()-5,tblIssues[Alert Row],0)))</f>
        <v/>
      </c>
      <c r="E432" s="25" t="str">
        <f>IF($A432="","",INDEX(tblIssues[Item Name],MATCH(ROW()-5,tblIssues[Alert Row],0)))</f>
        <v/>
      </c>
      <c r="F432" s="98" t="str">
        <f>IF($A432="","",INDEX(tblIssues[Month],MATCH(ROW()-5,tblIssues[Alert Row],0)))</f>
        <v/>
      </c>
      <c r="G432" s="23" t="str">
        <f>IF($A432="","",INDEX(tblIssues[Units This Month (Staff/Item)],MATCH(ROW()-5,tblIssues[Alert Row],0)))</f>
        <v/>
      </c>
      <c r="H432" s="23" t="str">
        <f>IF($A432="","",INDEX(tblIssues[Monthly Quota],MATCH(ROW()-5,tblIssues[Alert Row],0)))</f>
        <v/>
      </c>
      <c r="I432" s="27" t="str">
        <f t="shared" si="12"/>
        <v/>
      </c>
      <c r="J432" s="31" t="str">
        <f t="shared" si="13"/>
        <v/>
      </c>
    </row>
    <row r="433" spans="1:10" x14ac:dyDescent="0.35">
      <c r="A433" s="18" t="str">
        <f>IFERROR(INDEX(tblIssues[Staff ID],MATCH(ROW()-5,tblIssues[Alert Row],0)),"")</f>
        <v/>
      </c>
      <c r="B433" s="18" t="str">
        <f>IF($A433="","",INDEX(tblIssues[Staff Name (pick)],MATCH(ROW()-5,tblIssues[Alert Row],0)))</f>
        <v/>
      </c>
      <c r="C433" s="18" t="str">
        <f>IF($A433="","",INDEX(tblIssues[Role],MATCH(ROW()-5,tblIssues[Alert Row],0)))</f>
        <v/>
      </c>
      <c r="D433" s="25" t="str">
        <f>IF($A433="","",INDEX(tblIssues[Area],MATCH(ROW()-5,tblIssues[Alert Row],0)))</f>
        <v/>
      </c>
      <c r="E433" s="25" t="str">
        <f>IF($A433="","",INDEX(tblIssues[Item Name],MATCH(ROW()-5,tblIssues[Alert Row],0)))</f>
        <v/>
      </c>
      <c r="F433" s="98" t="str">
        <f>IF($A433="","",INDEX(tblIssues[Month],MATCH(ROW()-5,tblIssues[Alert Row],0)))</f>
        <v/>
      </c>
      <c r="G433" s="23" t="str">
        <f>IF($A433="","",INDEX(tblIssues[Units This Month (Staff/Item)],MATCH(ROW()-5,tblIssues[Alert Row],0)))</f>
        <v/>
      </c>
      <c r="H433" s="23" t="str">
        <f>IF($A433="","",INDEX(tblIssues[Monthly Quota],MATCH(ROW()-5,tblIssues[Alert Row],0)))</f>
        <v/>
      </c>
      <c r="I433" s="27" t="str">
        <f t="shared" si="12"/>
        <v/>
      </c>
      <c r="J433" s="31" t="str">
        <f t="shared" si="13"/>
        <v/>
      </c>
    </row>
    <row r="434" spans="1:10" x14ac:dyDescent="0.35">
      <c r="A434" s="18" t="str">
        <f>IFERROR(INDEX(tblIssues[Staff ID],MATCH(ROW()-5,tblIssues[Alert Row],0)),"")</f>
        <v/>
      </c>
      <c r="B434" s="18" t="str">
        <f>IF($A434="","",INDEX(tblIssues[Staff Name (pick)],MATCH(ROW()-5,tblIssues[Alert Row],0)))</f>
        <v/>
      </c>
      <c r="C434" s="18" t="str">
        <f>IF($A434="","",INDEX(tblIssues[Role],MATCH(ROW()-5,tblIssues[Alert Row],0)))</f>
        <v/>
      </c>
      <c r="D434" s="25" t="str">
        <f>IF($A434="","",INDEX(tblIssues[Area],MATCH(ROW()-5,tblIssues[Alert Row],0)))</f>
        <v/>
      </c>
      <c r="E434" s="25" t="str">
        <f>IF($A434="","",INDEX(tblIssues[Item Name],MATCH(ROW()-5,tblIssues[Alert Row],0)))</f>
        <v/>
      </c>
      <c r="F434" s="98" t="str">
        <f>IF($A434="","",INDEX(tblIssues[Month],MATCH(ROW()-5,tblIssues[Alert Row],0)))</f>
        <v/>
      </c>
      <c r="G434" s="23" t="str">
        <f>IF($A434="","",INDEX(tblIssues[Units This Month (Staff/Item)],MATCH(ROW()-5,tblIssues[Alert Row],0)))</f>
        <v/>
      </c>
      <c r="H434" s="23" t="str">
        <f>IF($A434="","",INDEX(tblIssues[Monthly Quota],MATCH(ROW()-5,tblIssues[Alert Row],0)))</f>
        <v/>
      </c>
      <c r="I434" s="27" t="str">
        <f t="shared" si="12"/>
        <v/>
      </c>
      <c r="J434" s="31" t="str">
        <f t="shared" si="13"/>
        <v/>
      </c>
    </row>
    <row r="435" spans="1:10" x14ac:dyDescent="0.35">
      <c r="A435" s="18" t="str">
        <f>IFERROR(INDEX(tblIssues[Staff ID],MATCH(ROW()-5,tblIssues[Alert Row],0)),"")</f>
        <v/>
      </c>
      <c r="B435" s="18" t="str">
        <f>IF($A435="","",INDEX(tblIssues[Staff Name (pick)],MATCH(ROW()-5,tblIssues[Alert Row],0)))</f>
        <v/>
      </c>
      <c r="C435" s="18" t="str">
        <f>IF($A435="","",INDEX(tblIssues[Role],MATCH(ROW()-5,tblIssues[Alert Row],0)))</f>
        <v/>
      </c>
      <c r="D435" s="25" t="str">
        <f>IF($A435="","",INDEX(tblIssues[Area],MATCH(ROW()-5,tblIssues[Alert Row],0)))</f>
        <v/>
      </c>
      <c r="E435" s="25" t="str">
        <f>IF($A435="","",INDEX(tblIssues[Item Name],MATCH(ROW()-5,tblIssues[Alert Row],0)))</f>
        <v/>
      </c>
      <c r="F435" s="98" t="str">
        <f>IF($A435="","",INDEX(tblIssues[Month],MATCH(ROW()-5,tblIssues[Alert Row],0)))</f>
        <v/>
      </c>
      <c r="G435" s="23" t="str">
        <f>IF($A435="","",INDEX(tblIssues[Units This Month (Staff/Item)],MATCH(ROW()-5,tblIssues[Alert Row],0)))</f>
        <v/>
      </c>
      <c r="H435" s="23" t="str">
        <f>IF($A435="","",INDEX(tblIssues[Monthly Quota],MATCH(ROW()-5,tblIssues[Alert Row],0)))</f>
        <v/>
      </c>
      <c r="I435" s="27" t="str">
        <f t="shared" si="12"/>
        <v/>
      </c>
      <c r="J435" s="31" t="str">
        <f t="shared" si="13"/>
        <v/>
      </c>
    </row>
    <row r="436" spans="1:10" x14ac:dyDescent="0.35">
      <c r="A436" s="18" t="str">
        <f>IFERROR(INDEX(tblIssues[Staff ID],MATCH(ROW()-5,tblIssues[Alert Row],0)),"")</f>
        <v/>
      </c>
      <c r="B436" s="18" t="str">
        <f>IF($A436="","",INDEX(tblIssues[Staff Name (pick)],MATCH(ROW()-5,tblIssues[Alert Row],0)))</f>
        <v/>
      </c>
      <c r="C436" s="18" t="str">
        <f>IF($A436="","",INDEX(tblIssues[Role],MATCH(ROW()-5,tblIssues[Alert Row],0)))</f>
        <v/>
      </c>
      <c r="D436" s="25" t="str">
        <f>IF($A436="","",INDEX(tblIssues[Area],MATCH(ROW()-5,tblIssues[Alert Row],0)))</f>
        <v/>
      </c>
      <c r="E436" s="25" t="str">
        <f>IF($A436="","",INDEX(tblIssues[Item Name],MATCH(ROW()-5,tblIssues[Alert Row],0)))</f>
        <v/>
      </c>
      <c r="F436" s="98" t="str">
        <f>IF($A436="","",INDEX(tblIssues[Month],MATCH(ROW()-5,tblIssues[Alert Row],0)))</f>
        <v/>
      </c>
      <c r="G436" s="23" t="str">
        <f>IF($A436="","",INDEX(tblIssues[Units This Month (Staff/Item)],MATCH(ROW()-5,tblIssues[Alert Row],0)))</f>
        <v/>
      </c>
      <c r="H436" s="23" t="str">
        <f>IF($A436="","",INDEX(tblIssues[Monthly Quota],MATCH(ROW()-5,tblIssues[Alert Row],0)))</f>
        <v/>
      </c>
      <c r="I436" s="27" t="str">
        <f t="shared" si="12"/>
        <v/>
      </c>
      <c r="J436" s="31" t="str">
        <f t="shared" si="13"/>
        <v/>
      </c>
    </row>
    <row r="437" spans="1:10" x14ac:dyDescent="0.35">
      <c r="A437" s="18" t="str">
        <f>IFERROR(INDEX(tblIssues[Staff ID],MATCH(ROW()-5,tblIssues[Alert Row],0)),"")</f>
        <v/>
      </c>
      <c r="B437" s="18" t="str">
        <f>IF($A437="","",INDEX(tblIssues[Staff Name (pick)],MATCH(ROW()-5,tblIssues[Alert Row],0)))</f>
        <v/>
      </c>
      <c r="C437" s="18" t="str">
        <f>IF($A437="","",INDEX(tblIssues[Role],MATCH(ROW()-5,tblIssues[Alert Row],0)))</f>
        <v/>
      </c>
      <c r="D437" s="25" t="str">
        <f>IF($A437="","",INDEX(tblIssues[Area],MATCH(ROW()-5,tblIssues[Alert Row],0)))</f>
        <v/>
      </c>
      <c r="E437" s="25" t="str">
        <f>IF($A437="","",INDEX(tblIssues[Item Name],MATCH(ROW()-5,tblIssues[Alert Row],0)))</f>
        <v/>
      </c>
      <c r="F437" s="98" t="str">
        <f>IF($A437="","",INDEX(tblIssues[Month],MATCH(ROW()-5,tblIssues[Alert Row],0)))</f>
        <v/>
      </c>
      <c r="G437" s="23" t="str">
        <f>IF($A437="","",INDEX(tblIssues[Units This Month (Staff/Item)],MATCH(ROW()-5,tblIssues[Alert Row],0)))</f>
        <v/>
      </c>
      <c r="H437" s="23" t="str">
        <f>IF($A437="","",INDEX(tblIssues[Monthly Quota],MATCH(ROW()-5,tblIssues[Alert Row],0)))</f>
        <v/>
      </c>
      <c r="I437" s="27" t="str">
        <f t="shared" si="12"/>
        <v/>
      </c>
      <c r="J437" s="31" t="str">
        <f t="shared" si="13"/>
        <v/>
      </c>
    </row>
    <row r="438" spans="1:10" x14ac:dyDescent="0.35">
      <c r="A438" s="18" t="str">
        <f>IFERROR(INDEX(tblIssues[Staff ID],MATCH(ROW()-5,tblIssues[Alert Row],0)),"")</f>
        <v/>
      </c>
      <c r="B438" s="18" t="str">
        <f>IF($A438="","",INDEX(tblIssues[Staff Name (pick)],MATCH(ROW()-5,tblIssues[Alert Row],0)))</f>
        <v/>
      </c>
      <c r="C438" s="18" t="str">
        <f>IF($A438="","",INDEX(tblIssues[Role],MATCH(ROW()-5,tblIssues[Alert Row],0)))</f>
        <v/>
      </c>
      <c r="D438" s="25" t="str">
        <f>IF($A438="","",INDEX(tblIssues[Area],MATCH(ROW()-5,tblIssues[Alert Row],0)))</f>
        <v/>
      </c>
      <c r="E438" s="25" t="str">
        <f>IF($A438="","",INDEX(tblIssues[Item Name],MATCH(ROW()-5,tblIssues[Alert Row],0)))</f>
        <v/>
      </c>
      <c r="F438" s="98" t="str">
        <f>IF($A438="","",INDEX(tblIssues[Month],MATCH(ROW()-5,tblIssues[Alert Row],0)))</f>
        <v/>
      </c>
      <c r="G438" s="23" t="str">
        <f>IF($A438="","",INDEX(tblIssues[Units This Month (Staff/Item)],MATCH(ROW()-5,tblIssues[Alert Row],0)))</f>
        <v/>
      </c>
      <c r="H438" s="23" t="str">
        <f>IF($A438="","",INDEX(tblIssues[Monthly Quota],MATCH(ROW()-5,tblIssues[Alert Row],0)))</f>
        <v/>
      </c>
      <c r="I438" s="27" t="str">
        <f t="shared" si="12"/>
        <v/>
      </c>
      <c r="J438" s="31" t="str">
        <f t="shared" si="13"/>
        <v/>
      </c>
    </row>
    <row r="439" spans="1:10" x14ac:dyDescent="0.35">
      <c r="A439" s="18" t="str">
        <f>IFERROR(INDEX(tblIssues[Staff ID],MATCH(ROW()-5,tblIssues[Alert Row],0)),"")</f>
        <v/>
      </c>
      <c r="B439" s="18" t="str">
        <f>IF($A439="","",INDEX(tblIssues[Staff Name (pick)],MATCH(ROW()-5,tblIssues[Alert Row],0)))</f>
        <v/>
      </c>
      <c r="C439" s="18" t="str">
        <f>IF($A439="","",INDEX(tblIssues[Role],MATCH(ROW()-5,tblIssues[Alert Row],0)))</f>
        <v/>
      </c>
      <c r="D439" s="25" t="str">
        <f>IF($A439="","",INDEX(tblIssues[Area],MATCH(ROW()-5,tblIssues[Alert Row],0)))</f>
        <v/>
      </c>
      <c r="E439" s="25" t="str">
        <f>IF($A439="","",INDEX(tblIssues[Item Name],MATCH(ROW()-5,tblIssues[Alert Row],0)))</f>
        <v/>
      </c>
      <c r="F439" s="98" t="str">
        <f>IF($A439="","",INDEX(tblIssues[Month],MATCH(ROW()-5,tblIssues[Alert Row],0)))</f>
        <v/>
      </c>
      <c r="G439" s="23" t="str">
        <f>IF($A439="","",INDEX(tblIssues[Units This Month (Staff/Item)],MATCH(ROW()-5,tblIssues[Alert Row],0)))</f>
        <v/>
      </c>
      <c r="H439" s="23" t="str">
        <f>IF($A439="","",INDEX(tblIssues[Monthly Quota],MATCH(ROW()-5,tblIssues[Alert Row],0)))</f>
        <v/>
      </c>
      <c r="I439" s="27" t="str">
        <f t="shared" si="12"/>
        <v/>
      </c>
      <c r="J439" s="31" t="str">
        <f t="shared" si="13"/>
        <v/>
      </c>
    </row>
    <row r="440" spans="1:10" x14ac:dyDescent="0.35">
      <c r="A440" s="18" t="str">
        <f>IFERROR(INDEX(tblIssues[Staff ID],MATCH(ROW()-5,tblIssues[Alert Row],0)),"")</f>
        <v/>
      </c>
      <c r="B440" s="18" t="str">
        <f>IF($A440="","",INDEX(tblIssues[Staff Name (pick)],MATCH(ROW()-5,tblIssues[Alert Row],0)))</f>
        <v/>
      </c>
      <c r="C440" s="18" t="str">
        <f>IF($A440="","",INDEX(tblIssues[Role],MATCH(ROW()-5,tblIssues[Alert Row],0)))</f>
        <v/>
      </c>
      <c r="D440" s="25" t="str">
        <f>IF($A440="","",INDEX(tblIssues[Area],MATCH(ROW()-5,tblIssues[Alert Row],0)))</f>
        <v/>
      </c>
      <c r="E440" s="25" t="str">
        <f>IF($A440="","",INDEX(tblIssues[Item Name],MATCH(ROW()-5,tblIssues[Alert Row],0)))</f>
        <v/>
      </c>
      <c r="F440" s="98" t="str">
        <f>IF($A440="","",INDEX(tblIssues[Month],MATCH(ROW()-5,tblIssues[Alert Row],0)))</f>
        <v/>
      </c>
      <c r="G440" s="23" t="str">
        <f>IF($A440="","",INDEX(tblIssues[Units This Month (Staff/Item)],MATCH(ROW()-5,tblIssues[Alert Row],0)))</f>
        <v/>
      </c>
      <c r="H440" s="23" t="str">
        <f>IF($A440="","",INDEX(tblIssues[Monthly Quota],MATCH(ROW()-5,tblIssues[Alert Row],0)))</f>
        <v/>
      </c>
      <c r="I440" s="27" t="str">
        <f t="shared" si="12"/>
        <v/>
      </c>
      <c r="J440" s="31" t="str">
        <f t="shared" si="13"/>
        <v/>
      </c>
    </row>
    <row r="441" spans="1:10" x14ac:dyDescent="0.35">
      <c r="A441" s="18" t="str">
        <f>IFERROR(INDEX(tblIssues[Staff ID],MATCH(ROW()-5,tblIssues[Alert Row],0)),"")</f>
        <v/>
      </c>
      <c r="B441" s="18" t="str">
        <f>IF($A441="","",INDEX(tblIssues[Staff Name (pick)],MATCH(ROW()-5,tblIssues[Alert Row],0)))</f>
        <v/>
      </c>
      <c r="C441" s="18" t="str">
        <f>IF($A441="","",INDEX(tblIssues[Role],MATCH(ROW()-5,tblIssues[Alert Row],0)))</f>
        <v/>
      </c>
      <c r="D441" s="25" t="str">
        <f>IF($A441="","",INDEX(tblIssues[Area],MATCH(ROW()-5,tblIssues[Alert Row],0)))</f>
        <v/>
      </c>
      <c r="E441" s="25" t="str">
        <f>IF($A441="","",INDEX(tblIssues[Item Name],MATCH(ROW()-5,tblIssues[Alert Row],0)))</f>
        <v/>
      </c>
      <c r="F441" s="98" t="str">
        <f>IF($A441="","",INDEX(tblIssues[Month],MATCH(ROW()-5,tblIssues[Alert Row],0)))</f>
        <v/>
      </c>
      <c r="G441" s="23" t="str">
        <f>IF($A441="","",INDEX(tblIssues[Units This Month (Staff/Item)],MATCH(ROW()-5,tblIssues[Alert Row],0)))</f>
        <v/>
      </c>
      <c r="H441" s="23" t="str">
        <f>IF($A441="","",INDEX(tblIssues[Monthly Quota],MATCH(ROW()-5,tblIssues[Alert Row],0)))</f>
        <v/>
      </c>
      <c r="I441" s="27" t="str">
        <f t="shared" si="12"/>
        <v/>
      </c>
      <c r="J441" s="31" t="str">
        <f t="shared" si="13"/>
        <v/>
      </c>
    </row>
    <row r="442" spans="1:10" x14ac:dyDescent="0.35">
      <c r="A442" s="18" t="str">
        <f>IFERROR(INDEX(tblIssues[Staff ID],MATCH(ROW()-5,tblIssues[Alert Row],0)),"")</f>
        <v/>
      </c>
      <c r="B442" s="18" t="str">
        <f>IF($A442="","",INDEX(tblIssues[Staff Name (pick)],MATCH(ROW()-5,tblIssues[Alert Row],0)))</f>
        <v/>
      </c>
      <c r="C442" s="18" t="str">
        <f>IF($A442="","",INDEX(tblIssues[Role],MATCH(ROW()-5,tblIssues[Alert Row],0)))</f>
        <v/>
      </c>
      <c r="D442" s="25" t="str">
        <f>IF($A442="","",INDEX(tblIssues[Area],MATCH(ROW()-5,tblIssues[Alert Row],0)))</f>
        <v/>
      </c>
      <c r="E442" s="25" t="str">
        <f>IF($A442="","",INDEX(tblIssues[Item Name],MATCH(ROW()-5,tblIssues[Alert Row],0)))</f>
        <v/>
      </c>
      <c r="F442" s="98" t="str">
        <f>IF($A442="","",INDEX(tblIssues[Month],MATCH(ROW()-5,tblIssues[Alert Row],0)))</f>
        <v/>
      </c>
      <c r="G442" s="23" t="str">
        <f>IF($A442="","",INDEX(tblIssues[Units This Month (Staff/Item)],MATCH(ROW()-5,tblIssues[Alert Row],0)))</f>
        <v/>
      </c>
      <c r="H442" s="23" t="str">
        <f>IF($A442="","",INDEX(tblIssues[Monthly Quota],MATCH(ROW()-5,tblIssues[Alert Row],0)))</f>
        <v/>
      </c>
      <c r="I442" s="27" t="str">
        <f t="shared" si="12"/>
        <v/>
      </c>
      <c r="J442" s="31" t="str">
        <f t="shared" si="13"/>
        <v/>
      </c>
    </row>
    <row r="443" spans="1:10" x14ac:dyDescent="0.35">
      <c r="A443" s="18" t="str">
        <f>IFERROR(INDEX(tblIssues[Staff ID],MATCH(ROW()-5,tblIssues[Alert Row],0)),"")</f>
        <v/>
      </c>
      <c r="B443" s="18" t="str">
        <f>IF($A443="","",INDEX(tblIssues[Staff Name (pick)],MATCH(ROW()-5,tblIssues[Alert Row],0)))</f>
        <v/>
      </c>
      <c r="C443" s="18" t="str">
        <f>IF($A443="","",INDEX(tblIssues[Role],MATCH(ROW()-5,tblIssues[Alert Row],0)))</f>
        <v/>
      </c>
      <c r="D443" s="25" t="str">
        <f>IF($A443="","",INDEX(tblIssues[Area],MATCH(ROW()-5,tblIssues[Alert Row],0)))</f>
        <v/>
      </c>
      <c r="E443" s="25" t="str">
        <f>IF($A443="","",INDEX(tblIssues[Item Name],MATCH(ROW()-5,tblIssues[Alert Row],0)))</f>
        <v/>
      </c>
      <c r="F443" s="98" t="str">
        <f>IF($A443="","",INDEX(tblIssues[Month],MATCH(ROW()-5,tblIssues[Alert Row],0)))</f>
        <v/>
      </c>
      <c r="G443" s="23" t="str">
        <f>IF($A443="","",INDEX(tblIssues[Units This Month (Staff/Item)],MATCH(ROW()-5,tblIssues[Alert Row],0)))</f>
        <v/>
      </c>
      <c r="H443" s="23" t="str">
        <f>IF($A443="","",INDEX(tblIssues[Monthly Quota],MATCH(ROW()-5,tblIssues[Alert Row],0)))</f>
        <v/>
      </c>
      <c r="I443" s="27" t="str">
        <f t="shared" si="12"/>
        <v/>
      </c>
      <c r="J443" s="31" t="str">
        <f t="shared" si="13"/>
        <v/>
      </c>
    </row>
    <row r="444" spans="1:10" x14ac:dyDescent="0.35">
      <c r="A444" s="18" t="str">
        <f>IFERROR(INDEX(tblIssues[Staff ID],MATCH(ROW()-5,tblIssues[Alert Row],0)),"")</f>
        <v/>
      </c>
      <c r="B444" s="18" t="str">
        <f>IF($A444="","",INDEX(tblIssues[Staff Name (pick)],MATCH(ROW()-5,tblIssues[Alert Row],0)))</f>
        <v/>
      </c>
      <c r="C444" s="18" t="str">
        <f>IF($A444="","",INDEX(tblIssues[Role],MATCH(ROW()-5,tblIssues[Alert Row],0)))</f>
        <v/>
      </c>
      <c r="D444" s="25" t="str">
        <f>IF($A444="","",INDEX(tblIssues[Area],MATCH(ROW()-5,tblIssues[Alert Row],0)))</f>
        <v/>
      </c>
      <c r="E444" s="25" t="str">
        <f>IF($A444="","",INDEX(tblIssues[Item Name],MATCH(ROW()-5,tblIssues[Alert Row],0)))</f>
        <v/>
      </c>
      <c r="F444" s="98" t="str">
        <f>IF($A444="","",INDEX(tblIssues[Month],MATCH(ROW()-5,tblIssues[Alert Row],0)))</f>
        <v/>
      </c>
      <c r="G444" s="23" t="str">
        <f>IF($A444="","",INDEX(tblIssues[Units This Month (Staff/Item)],MATCH(ROW()-5,tblIssues[Alert Row],0)))</f>
        <v/>
      </c>
      <c r="H444" s="23" t="str">
        <f>IF($A444="","",INDEX(tblIssues[Monthly Quota],MATCH(ROW()-5,tblIssues[Alert Row],0)))</f>
        <v/>
      </c>
      <c r="I444" s="27" t="str">
        <f t="shared" si="12"/>
        <v/>
      </c>
      <c r="J444" s="31" t="str">
        <f t="shared" si="13"/>
        <v/>
      </c>
    </row>
    <row r="445" spans="1:10" x14ac:dyDescent="0.35">
      <c r="A445" s="18" t="str">
        <f>IFERROR(INDEX(tblIssues[Staff ID],MATCH(ROW()-5,tblIssues[Alert Row],0)),"")</f>
        <v/>
      </c>
      <c r="B445" s="18" t="str">
        <f>IF($A445="","",INDEX(tblIssues[Staff Name (pick)],MATCH(ROW()-5,tblIssues[Alert Row],0)))</f>
        <v/>
      </c>
      <c r="C445" s="18" t="str">
        <f>IF($A445="","",INDEX(tblIssues[Role],MATCH(ROW()-5,tblIssues[Alert Row],0)))</f>
        <v/>
      </c>
      <c r="D445" s="25" t="str">
        <f>IF($A445="","",INDEX(tblIssues[Area],MATCH(ROW()-5,tblIssues[Alert Row],0)))</f>
        <v/>
      </c>
      <c r="E445" s="25" t="str">
        <f>IF($A445="","",INDEX(tblIssues[Item Name],MATCH(ROW()-5,tblIssues[Alert Row],0)))</f>
        <v/>
      </c>
      <c r="F445" s="98" t="str">
        <f>IF($A445="","",INDEX(tblIssues[Month],MATCH(ROW()-5,tblIssues[Alert Row],0)))</f>
        <v/>
      </c>
      <c r="G445" s="23" t="str">
        <f>IF($A445="","",INDEX(tblIssues[Units This Month (Staff/Item)],MATCH(ROW()-5,tblIssues[Alert Row],0)))</f>
        <v/>
      </c>
      <c r="H445" s="23" t="str">
        <f>IF($A445="","",INDEX(tblIssues[Monthly Quota],MATCH(ROW()-5,tblIssues[Alert Row],0)))</f>
        <v/>
      </c>
      <c r="I445" s="27" t="str">
        <f t="shared" si="12"/>
        <v/>
      </c>
      <c r="J445" s="31" t="str">
        <f t="shared" si="13"/>
        <v/>
      </c>
    </row>
    <row r="446" spans="1:10" x14ac:dyDescent="0.35">
      <c r="A446" s="18" t="str">
        <f>IFERROR(INDEX(tblIssues[Staff ID],MATCH(ROW()-5,tblIssues[Alert Row],0)),"")</f>
        <v/>
      </c>
      <c r="B446" s="18" t="str">
        <f>IF($A446="","",INDEX(tblIssues[Staff Name (pick)],MATCH(ROW()-5,tblIssues[Alert Row],0)))</f>
        <v/>
      </c>
      <c r="C446" s="18" t="str">
        <f>IF($A446="","",INDEX(tblIssues[Role],MATCH(ROW()-5,tblIssues[Alert Row],0)))</f>
        <v/>
      </c>
      <c r="D446" s="25" t="str">
        <f>IF($A446="","",INDEX(tblIssues[Area],MATCH(ROW()-5,tblIssues[Alert Row],0)))</f>
        <v/>
      </c>
      <c r="E446" s="25" t="str">
        <f>IF($A446="","",INDEX(tblIssues[Item Name],MATCH(ROW()-5,tblIssues[Alert Row],0)))</f>
        <v/>
      </c>
      <c r="F446" s="98" t="str">
        <f>IF($A446="","",INDEX(tblIssues[Month],MATCH(ROW()-5,tblIssues[Alert Row],0)))</f>
        <v/>
      </c>
      <c r="G446" s="23" t="str">
        <f>IF($A446="","",INDEX(tblIssues[Units This Month (Staff/Item)],MATCH(ROW()-5,tblIssues[Alert Row],0)))</f>
        <v/>
      </c>
      <c r="H446" s="23" t="str">
        <f>IF($A446="","",INDEX(tblIssues[Monthly Quota],MATCH(ROW()-5,tblIssues[Alert Row],0)))</f>
        <v/>
      </c>
      <c r="I446" s="27" t="str">
        <f t="shared" si="12"/>
        <v/>
      </c>
      <c r="J446" s="31" t="str">
        <f t="shared" si="13"/>
        <v/>
      </c>
    </row>
    <row r="447" spans="1:10" x14ac:dyDescent="0.35">
      <c r="A447" s="18" t="str">
        <f>IFERROR(INDEX(tblIssues[Staff ID],MATCH(ROW()-5,tblIssues[Alert Row],0)),"")</f>
        <v/>
      </c>
      <c r="B447" s="18" t="str">
        <f>IF($A447="","",INDEX(tblIssues[Staff Name (pick)],MATCH(ROW()-5,tblIssues[Alert Row],0)))</f>
        <v/>
      </c>
      <c r="C447" s="18" t="str">
        <f>IF($A447="","",INDEX(tblIssues[Role],MATCH(ROW()-5,tblIssues[Alert Row],0)))</f>
        <v/>
      </c>
      <c r="D447" s="25" t="str">
        <f>IF($A447="","",INDEX(tblIssues[Area],MATCH(ROW()-5,tblIssues[Alert Row],0)))</f>
        <v/>
      </c>
      <c r="E447" s="25" t="str">
        <f>IF($A447="","",INDEX(tblIssues[Item Name],MATCH(ROW()-5,tblIssues[Alert Row],0)))</f>
        <v/>
      </c>
      <c r="F447" s="98" t="str">
        <f>IF($A447="","",INDEX(tblIssues[Month],MATCH(ROW()-5,tblIssues[Alert Row],0)))</f>
        <v/>
      </c>
      <c r="G447" s="23" t="str">
        <f>IF($A447="","",INDEX(tblIssues[Units This Month (Staff/Item)],MATCH(ROW()-5,tblIssues[Alert Row],0)))</f>
        <v/>
      </c>
      <c r="H447" s="23" t="str">
        <f>IF($A447="","",INDEX(tblIssues[Monthly Quota],MATCH(ROW()-5,tblIssues[Alert Row],0)))</f>
        <v/>
      </c>
      <c r="I447" s="27" t="str">
        <f t="shared" si="12"/>
        <v/>
      </c>
      <c r="J447" s="31" t="str">
        <f t="shared" si="13"/>
        <v/>
      </c>
    </row>
    <row r="448" spans="1:10" x14ac:dyDescent="0.35">
      <c r="A448" s="18" t="str">
        <f>IFERROR(INDEX(tblIssues[Staff ID],MATCH(ROW()-5,tblIssues[Alert Row],0)),"")</f>
        <v/>
      </c>
      <c r="B448" s="18" t="str">
        <f>IF($A448="","",INDEX(tblIssues[Staff Name (pick)],MATCH(ROW()-5,tblIssues[Alert Row],0)))</f>
        <v/>
      </c>
      <c r="C448" s="18" t="str">
        <f>IF($A448="","",INDEX(tblIssues[Role],MATCH(ROW()-5,tblIssues[Alert Row],0)))</f>
        <v/>
      </c>
      <c r="D448" s="25" t="str">
        <f>IF($A448="","",INDEX(tblIssues[Area],MATCH(ROW()-5,tblIssues[Alert Row],0)))</f>
        <v/>
      </c>
      <c r="E448" s="25" t="str">
        <f>IF($A448="","",INDEX(tblIssues[Item Name],MATCH(ROW()-5,tblIssues[Alert Row],0)))</f>
        <v/>
      </c>
      <c r="F448" s="98" t="str">
        <f>IF($A448="","",INDEX(tblIssues[Month],MATCH(ROW()-5,tblIssues[Alert Row],0)))</f>
        <v/>
      </c>
      <c r="G448" s="23" t="str">
        <f>IF($A448="","",INDEX(tblIssues[Units This Month (Staff/Item)],MATCH(ROW()-5,tblIssues[Alert Row],0)))</f>
        <v/>
      </c>
      <c r="H448" s="23" t="str">
        <f>IF($A448="","",INDEX(tblIssues[Monthly Quota],MATCH(ROW()-5,tblIssues[Alert Row],0)))</f>
        <v/>
      </c>
      <c r="I448" s="27" t="str">
        <f t="shared" si="12"/>
        <v/>
      </c>
      <c r="J448" s="31" t="str">
        <f t="shared" si="13"/>
        <v/>
      </c>
    </row>
    <row r="449" spans="1:10" x14ac:dyDescent="0.35">
      <c r="A449" s="18" t="str">
        <f>IFERROR(INDEX(tblIssues[Staff ID],MATCH(ROW()-5,tblIssues[Alert Row],0)),"")</f>
        <v/>
      </c>
      <c r="B449" s="18" t="str">
        <f>IF($A449="","",INDEX(tblIssues[Staff Name (pick)],MATCH(ROW()-5,tblIssues[Alert Row],0)))</f>
        <v/>
      </c>
      <c r="C449" s="18" t="str">
        <f>IF($A449="","",INDEX(tblIssues[Role],MATCH(ROW()-5,tblIssues[Alert Row],0)))</f>
        <v/>
      </c>
      <c r="D449" s="25" t="str">
        <f>IF($A449="","",INDEX(tblIssues[Area],MATCH(ROW()-5,tblIssues[Alert Row],0)))</f>
        <v/>
      </c>
      <c r="E449" s="25" t="str">
        <f>IF($A449="","",INDEX(tblIssues[Item Name],MATCH(ROW()-5,tblIssues[Alert Row],0)))</f>
        <v/>
      </c>
      <c r="F449" s="98" t="str">
        <f>IF($A449="","",INDEX(tblIssues[Month],MATCH(ROW()-5,tblIssues[Alert Row],0)))</f>
        <v/>
      </c>
      <c r="G449" s="23" t="str">
        <f>IF($A449="","",INDEX(tblIssues[Units This Month (Staff/Item)],MATCH(ROW()-5,tblIssues[Alert Row],0)))</f>
        <v/>
      </c>
      <c r="H449" s="23" t="str">
        <f>IF($A449="","",INDEX(tblIssues[Monthly Quota],MATCH(ROW()-5,tblIssues[Alert Row],0)))</f>
        <v/>
      </c>
      <c r="I449" s="27" t="str">
        <f t="shared" si="12"/>
        <v/>
      </c>
      <c r="J449" s="31" t="str">
        <f t="shared" si="13"/>
        <v/>
      </c>
    </row>
    <row r="450" spans="1:10" x14ac:dyDescent="0.35">
      <c r="A450" s="18" t="str">
        <f>IFERROR(INDEX(tblIssues[Staff ID],MATCH(ROW()-5,tblIssues[Alert Row],0)),"")</f>
        <v/>
      </c>
      <c r="B450" s="18" t="str">
        <f>IF($A450="","",INDEX(tblIssues[Staff Name (pick)],MATCH(ROW()-5,tblIssues[Alert Row],0)))</f>
        <v/>
      </c>
      <c r="C450" s="18" t="str">
        <f>IF($A450="","",INDEX(tblIssues[Role],MATCH(ROW()-5,tblIssues[Alert Row],0)))</f>
        <v/>
      </c>
      <c r="D450" s="25" t="str">
        <f>IF($A450="","",INDEX(tblIssues[Area],MATCH(ROW()-5,tblIssues[Alert Row],0)))</f>
        <v/>
      </c>
      <c r="E450" s="25" t="str">
        <f>IF($A450="","",INDEX(tblIssues[Item Name],MATCH(ROW()-5,tblIssues[Alert Row],0)))</f>
        <v/>
      </c>
      <c r="F450" s="98" t="str">
        <f>IF($A450="","",INDEX(tblIssues[Month],MATCH(ROW()-5,tblIssues[Alert Row],0)))</f>
        <v/>
      </c>
      <c r="G450" s="23" t="str">
        <f>IF($A450="","",INDEX(tblIssues[Units This Month (Staff/Item)],MATCH(ROW()-5,tblIssues[Alert Row],0)))</f>
        <v/>
      </c>
      <c r="H450" s="23" t="str">
        <f>IF($A450="","",INDEX(tblIssues[Monthly Quota],MATCH(ROW()-5,tblIssues[Alert Row],0)))</f>
        <v/>
      </c>
      <c r="I450" s="27" t="str">
        <f t="shared" si="12"/>
        <v/>
      </c>
      <c r="J450" s="31" t="str">
        <f t="shared" si="13"/>
        <v/>
      </c>
    </row>
    <row r="451" spans="1:10" x14ac:dyDescent="0.35">
      <c r="A451" s="18" t="str">
        <f>IFERROR(INDEX(tblIssues[Staff ID],MATCH(ROW()-5,tblIssues[Alert Row],0)),"")</f>
        <v/>
      </c>
      <c r="B451" s="18" t="str">
        <f>IF($A451="","",INDEX(tblIssues[Staff Name (pick)],MATCH(ROW()-5,tblIssues[Alert Row],0)))</f>
        <v/>
      </c>
      <c r="C451" s="18" t="str">
        <f>IF($A451="","",INDEX(tblIssues[Role],MATCH(ROW()-5,tblIssues[Alert Row],0)))</f>
        <v/>
      </c>
      <c r="D451" s="25" t="str">
        <f>IF($A451="","",INDEX(tblIssues[Area],MATCH(ROW()-5,tblIssues[Alert Row],0)))</f>
        <v/>
      </c>
      <c r="E451" s="25" t="str">
        <f>IF($A451="","",INDEX(tblIssues[Item Name],MATCH(ROW()-5,tblIssues[Alert Row],0)))</f>
        <v/>
      </c>
      <c r="F451" s="98" t="str">
        <f>IF($A451="","",INDEX(tblIssues[Month],MATCH(ROW()-5,tblIssues[Alert Row],0)))</f>
        <v/>
      </c>
      <c r="G451" s="23" t="str">
        <f>IF($A451="","",INDEX(tblIssues[Units This Month (Staff/Item)],MATCH(ROW()-5,tblIssues[Alert Row],0)))</f>
        <v/>
      </c>
      <c r="H451" s="23" t="str">
        <f>IF($A451="","",INDEX(tblIssues[Monthly Quota],MATCH(ROW()-5,tblIssues[Alert Row],0)))</f>
        <v/>
      </c>
      <c r="I451" s="27" t="str">
        <f t="shared" si="12"/>
        <v/>
      </c>
      <c r="J451" s="31" t="str">
        <f t="shared" si="13"/>
        <v/>
      </c>
    </row>
    <row r="452" spans="1:10" x14ac:dyDescent="0.35">
      <c r="A452" s="18" t="str">
        <f>IFERROR(INDEX(tblIssues[Staff ID],MATCH(ROW()-5,tblIssues[Alert Row],0)),"")</f>
        <v/>
      </c>
      <c r="B452" s="18" t="str">
        <f>IF($A452="","",INDEX(tblIssues[Staff Name (pick)],MATCH(ROW()-5,tblIssues[Alert Row],0)))</f>
        <v/>
      </c>
      <c r="C452" s="18" t="str">
        <f>IF($A452="","",INDEX(tblIssues[Role],MATCH(ROW()-5,tblIssues[Alert Row],0)))</f>
        <v/>
      </c>
      <c r="D452" s="25" t="str">
        <f>IF($A452="","",INDEX(tblIssues[Area],MATCH(ROW()-5,tblIssues[Alert Row],0)))</f>
        <v/>
      </c>
      <c r="E452" s="25" t="str">
        <f>IF($A452="","",INDEX(tblIssues[Item Name],MATCH(ROW()-5,tblIssues[Alert Row],0)))</f>
        <v/>
      </c>
      <c r="F452" s="98" t="str">
        <f>IF($A452="","",INDEX(tblIssues[Month],MATCH(ROW()-5,tblIssues[Alert Row],0)))</f>
        <v/>
      </c>
      <c r="G452" s="23" t="str">
        <f>IF($A452="","",INDEX(tblIssues[Units This Month (Staff/Item)],MATCH(ROW()-5,tblIssues[Alert Row],0)))</f>
        <v/>
      </c>
      <c r="H452" s="23" t="str">
        <f>IF($A452="","",INDEX(tblIssues[Monthly Quota],MATCH(ROW()-5,tblIssues[Alert Row],0)))</f>
        <v/>
      </c>
      <c r="I452" s="27" t="str">
        <f t="shared" si="12"/>
        <v/>
      </c>
      <c r="J452" s="31" t="str">
        <f t="shared" si="13"/>
        <v/>
      </c>
    </row>
    <row r="453" spans="1:10" x14ac:dyDescent="0.35">
      <c r="A453" s="18" t="str">
        <f>IFERROR(INDEX(tblIssues[Staff ID],MATCH(ROW()-5,tblIssues[Alert Row],0)),"")</f>
        <v/>
      </c>
      <c r="B453" s="18" t="str">
        <f>IF($A453="","",INDEX(tblIssues[Staff Name (pick)],MATCH(ROW()-5,tblIssues[Alert Row],0)))</f>
        <v/>
      </c>
      <c r="C453" s="18" t="str">
        <f>IF($A453="","",INDEX(tblIssues[Role],MATCH(ROW()-5,tblIssues[Alert Row],0)))</f>
        <v/>
      </c>
      <c r="D453" s="25" t="str">
        <f>IF($A453="","",INDEX(tblIssues[Area],MATCH(ROW()-5,tblIssues[Alert Row],0)))</f>
        <v/>
      </c>
      <c r="E453" s="25" t="str">
        <f>IF($A453="","",INDEX(tblIssues[Item Name],MATCH(ROW()-5,tblIssues[Alert Row],0)))</f>
        <v/>
      </c>
      <c r="F453" s="98" t="str">
        <f>IF($A453="","",INDEX(tblIssues[Month],MATCH(ROW()-5,tblIssues[Alert Row],0)))</f>
        <v/>
      </c>
      <c r="G453" s="23" t="str">
        <f>IF($A453="","",INDEX(tblIssues[Units This Month (Staff/Item)],MATCH(ROW()-5,tblIssues[Alert Row],0)))</f>
        <v/>
      </c>
      <c r="H453" s="23" t="str">
        <f>IF($A453="","",INDEX(tblIssues[Monthly Quota],MATCH(ROW()-5,tblIssues[Alert Row],0)))</f>
        <v/>
      </c>
      <c r="I453" s="27" t="str">
        <f t="shared" si="12"/>
        <v/>
      </c>
      <c r="J453" s="31" t="str">
        <f t="shared" si="13"/>
        <v/>
      </c>
    </row>
    <row r="454" spans="1:10" x14ac:dyDescent="0.35">
      <c r="A454" s="18" t="str">
        <f>IFERROR(INDEX(tblIssues[Staff ID],MATCH(ROW()-5,tblIssues[Alert Row],0)),"")</f>
        <v/>
      </c>
      <c r="B454" s="18" t="str">
        <f>IF($A454="","",INDEX(tblIssues[Staff Name (pick)],MATCH(ROW()-5,tblIssues[Alert Row],0)))</f>
        <v/>
      </c>
      <c r="C454" s="18" t="str">
        <f>IF($A454="","",INDEX(tblIssues[Role],MATCH(ROW()-5,tblIssues[Alert Row],0)))</f>
        <v/>
      </c>
      <c r="D454" s="25" t="str">
        <f>IF($A454="","",INDEX(tblIssues[Area],MATCH(ROW()-5,tblIssues[Alert Row],0)))</f>
        <v/>
      </c>
      <c r="E454" s="25" t="str">
        <f>IF($A454="","",INDEX(tblIssues[Item Name],MATCH(ROW()-5,tblIssues[Alert Row],0)))</f>
        <v/>
      </c>
      <c r="F454" s="98" t="str">
        <f>IF($A454="","",INDEX(tblIssues[Month],MATCH(ROW()-5,tblIssues[Alert Row],0)))</f>
        <v/>
      </c>
      <c r="G454" s="23" t="str">
        <f>IF($A454="","",INDEX(tblIssues[Units This Month (Staff/Item)],MATCH(ROW()-5,tblIssues[Alert Row],0)))</f>
        <v/>
      </c>
      <c r="H454" s="23" t="str">
        <f>IF($A454="","",INDEX(tblIssues[Monthly Quota],MATCH(ROW()-5,tblIssues[Alert Row],0)))</f>
        <v/>
      </c>
      <c r="I454" s="27" t="str">
        <f t="shared" ref="I454:I505" si="14">IF($A454="","",$G454-$H454)</f>
        <v/>
      </c>
      <c r="J454" s="31" t="str">
        <f t="shared" ref="J454:J505" si="15">IF($A454="","","⚠ OVER QUOTA")</f>
        <v/>
      </c>
    </row>
    <row r="455" spans="1:10" x14ac:dyDescent="0.35">
      <c r="A455" s="18" t="str">
        <f>IFERROR(INDEX(tblIssues[Staff ID],MATCH(ROW()-5,tblIssues[Alert Row],0)),"")</f>
        <v/>
      </c>
      <c r="B455" s="18" t="str">
        <f>IF($A455="","",INDEX(tblIssues[Staff Name (pick)],MATCH(ROW()-5,tblIssues[Alert Row],0)))</f>
        <v/>
      </c>
      <c r="C455" s="18" t="str">
        <f>IF($A455="","",INDEX(tblIssues[Role],MATCH(ROW()-5,tblIssues[Alert Row],0)))</f>
        <v/>
      </c>
      <c r="D455" s="25" t="str">
        <f>IF($A455="","",INDEX(tblIssues[Area],MATCH(ROW()-5,tblIssues[Alert Row],0)))</f>
        <v/>
      </c>
      <c r="E455" s="25" t="str">
        <f>IF($A455="","",INDEX(tblIssues[Item Name],MATCH(ROW()-5,tblIssues[Alert Row],0)))</f>
        <v/>
      </c>
      <c r="F455" s="98" t="str">
        <f>IF($A455="","",INDEX(tblIssues[Month],MATCH(ROW()-5,tblIssues[Alert Row],0)))</f>
        <v/>
      </c>
      <c r="G455" s="23" t="str">
        <f>IF($A455="","",INDEX(tblIssues[Units This Month (Staff/Item)],MATCH(ROW()-5,tblIssues[Alert Row],0)))</f>
        <v/>
      </c>
      <c r="H455" s="23" t="str">
        <f>IF($A455="","",INDEX(tblIssues[Monthly Quota],MATCH(ROW()-5,tblIssues[Alert Row],0)))</f>
        <v/>
      </c>
      <c r="I455" s="27" t="str">
        <f t="shared" si="14"/>
        <v/>
      </c>
      <c r="J455" s="31" t="str">
        <f t="shared" si="15"/>
        <v/>
      </c>
    </row>
    <row r="456" spans="1:10" x14ac:dyDescent="0.35">
      <c r="A456" s="18" t="str">
        <f>IFERROR(INDEX(tblIssues[Staff ID],MATCH(ROW()-5,tblIssues[Alert Row],0)),"")</f>
        <v/>
      </c>
      <c r="B456" s="18" t="str">
        <f>IF($A456="","",INDEX(tblIssues[Staff Name (pick)],MATCH(ROW()-5,tblIssues[Alert Row],0)))</f>
        <v/>
      </c>
      <c r="C456" s="18" t="str">
        <f>IF($A456="","",INDEX(tblIssues[Role],MATCH(ROW()-5,tblIssues[Alert Row],0)))</f>
        <v/>
      </c>
      <c r="D456" s="25" t="str">
        <f>IF($A456="","",INDEX(tblIssues[Area],MATCH(ROW()-5,tblIssues[Alert Row],0)))</f>
        <v/>
      </c>
      <c r="E456" s="25" t="str">
        <f>IF($A456="","",INDEX(tblIssues[Item Name],MATCH(ROW()-5,tblIssues[Alert Row],0)))</f>
        <v/>
      </c>
      <c r="F456" s="98" t="str">
        <f>IF($A456="","",INDEX(tblIssues[Month],MATCH(ROW()-5,tblIssues[Alert Row],0)))</f>
        <v/>
      </c>
      <c r="G456" s="23" t="str">
        <f>IF($A456="","",INDEX(tblIssues[Units This Month (Staff/Item)],MATCH(ROW()-5,tblIssues[Alert Row],0)))</f>
        <v/>
      </c>
      <c r="H456" s="23" t="str">
        <f>IF($A456="","",INDEX(tblIssues[Monthly Quota],MATCH(ROW()-5,tblIssues[Alert Row],0)))</f>
        <v/>
      </c>
      <c r="I456" s="27" t="str">
        <f t="shared" si="14"/>
        <v/>
      </c>
      <c r="J456" s="31" t="str">
        <f t="shared" si="15"/>
        <v/>
      </c>
    </row>
    <row r="457" spans="1:10" x14ac:dyDescent="0.35">
      <c r="A457" s="18" t="str">
        <f>IFERROR(INDEX(tblIssues[Staff ID],MATCH(ROW()-5,tblIssues[Alert Row],0)),"")</f>
        <v/>
      </c>
      <c r="B457" s="18" t="str">
        <f>IF($A457="","",INDEX(tblIssues[Staff Name (pick)],MATCH(ROW()-5,tblIssues[Alert Row],0)))</f>
        <v/>
      </c>
      <c r="C457" s="18" t="str">
        <f>IF($A457="","",INDEX(tblIssues[Role],MATCH(ROW()-5,tblIssues[Alert Row],0)))</f>
        <v/>
      </c>
      <c r="D457" s="25" t="str">
        <f>IF($A457="","",INDEX(tblIssues[Area],MATCH(ROW()-5,tblIssues[Alert Row],0)))</f>
        <v/>
      </c>
      <c r="E457" s="25" t="str">
        <f>IF($A457="","",INDEX(tblIssues[Item Name],MATCH(ROW()-5,tblIssues[Alert Row],0)))</f>
        <v/>
      </c>
      <c r="F457" s="98" t="str">
        <f>IF($A457="","",INDEX(tblIssues[Month],MATCH(ROW()-5,tblIssues[Alert Row],0)))</f>
        <v/>
      </c>
      <c r="G457" s="23" t="str">
        <f>IF($A457="","",INDEX(tblIssues[Units This Month (Staff/Item)],MATCH(ROW()-5,tblIssues[Alert Row],0)))</f>
        <v/>
      </c>
      <c r="H457" s="23" t="str">
        <f>IF($A457="","",INDEX(tblIssues[Monthly Quota],MATCH(ROW()-5,tblIssues[Alert Row],0)))</f>
        <v/>
      </c>
      <c r="I457" s="27" t="str">
        <f t="shared" si="14"/>
        <v/>
      </c>
      <c r="J457" s="31" t="str">
        <f t="shared" si="15"/>
        <v/>
      </c>
    </row>
    <row r="458" spans="1:10" x14ac:dyDescent="0.35">
      <c r="A458" s="18" t="str">
        <f>IFERROR(INDEX(tblIssues[Staff ID],MATCH(ROW()-5,tblIssues[Alert Row],0)),"")</f>
        <v/>
      </c>
      <c r="B458" s="18" t="str">
        <f>IF($A458="","",INDEX(tblIssues[Staff Name (pick)],MATCH(ROW()-5,tblIssues[Alert Row],0)))</f>
        <v/>
      </c>
      <c r="C458" s="18" t="str">
        <f>IF($A458="","",INDEX(tblIssues[Role],MATCH(ROW()-5,tblIssues[Alert Row],0)))</f>
        <v/>
      </c>
      <c r="D458" s="25" t="str">
        <f>IF($A458="","",INDEX(tblIssues[Area],MATCH(ROW()-5,tblIssues[Alert Row],0)))</f>
        <v/>
      </c>
      <c r="E458" s="25" t="str">
        <f>IF($A458="","",INDEX(tblIssues[Item Name],MATCH(ROW()-5,tblIssues[Alert Row],0)))</f>
        <v/>
      </c>
      <c r="F458" s="98" t="str">
        <f>IF($A458="","",INDEX(tblIssues[Month],MATCH(ROW()-5,tblIssues[Alert Row],0)))</f>
        <v/>
      </c>
      <c r="G458" s="23" t="str">
        <f>IF($A458="","",INDEX(tblIssues[Units This Month (Staff/Item)],MATCH(ROW()-5,tblIssues[Alert Row],0)))</f>
        <v/>
      </c>
      <c r="H458" s="23" t="str">
        <f>IF($A458="","",INDEX(tblIssues[Monthly Quota],MATCH(ROW()-5,tblIssues[Alert Row],0)))</f>
        <v/>
      </c>
      <c r="I458" s="27" t="str">
        <f t="shared" si="14"/>
        <v/>
      </c>
      <c r="J458" s="31" t="str">
        <f t="shared" si="15"/>
        <v/>
      </c>
    </row>
    <row r="459" spans="1:10" x14ac:dyDescent="0.35">
      <c r="A459" s="18" t="str">
        <f>IFERROR(INDEX(tblIssues[Staff ID],MATCH(ROW()-5,tblIssues[Alert Row],0)),"")</f>
        <v/>
      </c>
      <c r="B459" s="18" t="str">
        <f>IF($A459="","",INDEX(tblIssues[Staff Name (pick)],MATCH(ROW()-5,tblIssues[Alert Row],0)))</f>
        <v/>
      </c>
      <c r="C459" s="18" t="str">
        <f>IF($A459="","",INDEX(tblIssues[Role],MATCH(ROW()-5,tblIssues[Alert Row],0)))</f>
        <v/>
      </c>
      <c r="D459" s="25" t="str">
        <f>IF($A459="","",INDEX(tblIssues[Area],MATCH(ROW()-5,tblIssues[Alert Row],0)))</f>
        <v/>
      </c>
      <c r="E459" s="25" t="str">
        <f>IF($A459="","",INDEX(tblIssues[Item Name],MATCH(ROW()-5,tblIssues[Alert Row],0)))</f>
        <v/>
      </c>
      <c r="F459" s="98" t="str">
        <f>IF($A459="","",INDEX(tblIssues[Month],MATCH(ROW()-5,tblIssues[Alert Row],0)))</f>
        <v/>
      </c>
      <c r="G459" s="23" t="str">
        <f>IF($A459="","",INDEX(tblIssues[Units This Month (Staff/Item)],MATCH(ROW()-5,tblIssues[Alert Row],0)))</f>
        <v/>
      </c>
      <c r="H459" s="23" t="str">
        <f>IF($A459="","",INDEX(tblIssues[Monthly Quota],MATCH(ROW()-5,tblIssues[Alert Row],0)))</f>
        <v/>
      </c>
      <c r="I459" s="27" t="str">
        <f t="shared" si="14"/>
        <v/>
      </c>
      <c r="J459" s="31" t="str">
        <f t="shared" si="15"/>
        <v/>
      </c>
    </row>
    <row r="460" spans="1:10" x14ac:dyDescent="0.35">
      <c r="A460" s="18" t="str">
        <f>IFERROR(INDEX(tblIssues[Staff ID],MATCH(ROW()-5,tblIssues[Alert Row],0)),"")</f>
        <v/>
      </c>
      <c r="B460" s="18" t="str">
        <f>IF($A460="","",INDEX(tblIssues[Staff Name (pick)],MATCH(ROW()-5,tblIssues[Alert Row],0)))</f>
        <v/>
      </c>
      <c r="C460" s="18" t="str">
        <f>IF($A460="","",INDEX(tblIssues[Role],MATCH(ROW()-5,tblIssues[Alert Row],0)))</f>
        <v/>
      </c>
      <c r="D460" s="25" t="str">
        <f>IF($A460="","",INDEX(tblIssues[Area],MATCH(ROW()-5,tblIssues[Alert Row],0)))</f>
        <v/>
      </c>
      <c r="E460" s="25" t="str">
        <f>IF($A460="","",INDEX(tblIssues[Item Name],MATCH(ROW()-5,tblIssues[Alert Row],0)))</f>
        <v/>
      </c>
      <c r="F460" s="98" t="str">
        <f>IF($A460="","",INDEX(tblIssues[Month],MATCH(ROW()-5,tblIssues[Alert Row],0)))</f>
        <v/>
      </c>
      <c r="G460" s="23" t="str">
        <f>IF($A460="","",INDEX(tblIssues[Units This Month (Staff/Item)],MATCH(ROW()-5,tblIssues[Alert Row],0)))</f>
        <v/>
      </c>
      <c r="H460" s="23" t="str">
        <f>IF($A460="","",INDEX(tblIssues[Monthly Quota],MATCH(ROW()-5,tblIssues[Alert Row],0)))</f>
        <v/>
      </c>
      <c r="I460" s="27" t="str">
        <f t="shared" si="14"/>
        <v/>
      </c>
      <c r="J460" s="31" t="str">
        <f t="shared" si="15"/>
        <v/>
      </c>
    </row>
    <row r="461" spans="1:10" x14ac:dyDescent="0.35">
      <c r="A461" s="18" t="str">
        <f>IFERROR(INDEX(tblIssues[Staff ID],MATCH(ROW()-5,tblIssues[Alert Row],0)),"")</f>
        <v/>
      </c>
      <c r="B461" s="18" t="str">
        <f>IF($A461="","",INDEX(tblIssues[Staff Name (pick)],MATCH(ROW()-5,tblIssues[Alert Row],0)))</f>
        <v/>
      </c>
      <c r="C461" s="18" t="str">
        <f>IF($A461="","",INDEX(tblIssues[Role],MATCH(ROW()-5,tblIssues[Alert Row],0)))</f>
        <v/>
      </c>
      <c r="D461" s="25" t="str">
        <f>IF($A461="","",INDEX(tblIssues[Area],MATCH(ROW()-5,tblIssues[Alert Row],0)))</f>
        <v/>
      </c>
      <c r="E461" s="25" t="str">
        <f>IF($A461="","",INDEX(tblIssues[Item Name],MATCH(ROW()-5,tblIssues[Alert Row],0)))</f>
        <v/>
      </c>
      <c r="F461" s="98" t="str">
        <f>IF($A461="","",INDEX(tblIssues[Month],MATCH(ROW()-5,tblIssues[Alert Row],0)))</f>
        <v/>
      </c>
      <c r="G461" s="23" t="str">
        <f>IF($A461="","",INDEX(tblIssues[Units This Month (Staff/Item)],MATCH(ROW()-5,tblIssues[Alert Row],0)))</f>
        <v/>
      </c>
      <c r="H461" s="23" t="str">
        <f>IF($A461="","",INDEX(tblIssues[Monthly Quota],MATCH(ROW()-5,tblIssues[Alert Row],0)))</f>
        <v/>
      </c>
      <c r="I461" s="27" t="str">
        <f t="shared" si="14"/>
        <v/>
      </c>
      <c r="J461" s="31" t="str">
        <f t="shared" si="15"/>
        <v/>
      </c>
    </row>
    <row r="462" spans="1:10" x14ac:dyDescent="0.35">
      <c r="A462" s="18" t="str">
        <f>IFERROR(INDEX(tblIssues[Staff ID],MATCH(ROW()-5,tblIssues[Alert Row],0)),"")</f>
        <v/>
      </c>
      <c r="B462" s="18" t="str">
        <f>IF($A462="","",INDEX(tblIssues[Staff Name (pick)],MATCH(ROW()-5,tblIssues[Alert Row],0)))</f>
        <v/>
      </c>
      <c r="C462" s="18" t="str">
        <f>IF($A462="","",INDEX(tblIssues[Role],MATCH(ROW()-5,tblIssues[Alert Row],0)))</f>
        <v/>
      </c>
      <c r="D462" s="25" t="str">
        <f>IF($A462="","",INDEX(tblIssues[Area],MATCH(ROW()-5,tblIssues[Alert Row],0)))</f>
        <v/>
      </c>
      <c r="E462" s="25" t="str">
        <f>IF($A462="","",INDEX(tblIssues[Item Name],MATCH(ROW()-5,tblIssues[Alert Row],0)))</f>
        <v/>
      </c>
      <c r="F462" s="98" t="str">
        <f>IF($A462="","",INDEX(tblIssues[Month],MATCH(ROW()-5,tblIssues[Alert Row],0)))</f>
        <v/>
      </c>
      <c r="G462" s="23" t="str">
        <f>IF($A462="","",INDEX(tblIssues[Units This Month (Staff/Item)],MATCH(ROW()-5,tblIssues[Alert Row],0)))</f>
        <v/>
      </c>
      <c r="H462" s="23" t="str">
        <f>IF($A462="","",INDEX(tblIssues[Monthly Quota],MATCH(ROW()-5,tblIssues[Alert Row],0)))</f>
        <v/>
      </c>
      <c r="I462" s="27" t="str">
        <f t="shared" si="14"/>
        <v/>
      </c>
      <c r="J462" s="31" t="str">
        <f t="shared" si="15"/>
        <v/>
      </c>
    </row>
    <row r="463" spans="1:10" x14ac:dyDescent="0.35">
      <c r="A463" s="18" t="str">
        <f>IFERROR(INDEX(tblIssues[Staff ID],MATCH(ROW()-5,tblIssues[Alert Row],0)),"")</f>
        <v/>
      </c>
      <c r="B463" s="18" t="str">
        <f>IF($A463="","",INDEX(tblIssues[Staff Name (pick)],MATCH(ROW()-5,tblIssues[Alert Row],0)))</f>
        <v/>
      </c>
      <c r="C463" s="18" t="str">
        <f>IF($A463="","",INDEX(tblIssues[Role],MATCH(ROW()-5,tblIssues[Alert Row],0)))</f>
        <v/>
      </c>
      <c r="D463" s="25" t="str">
        <f>IF($A463="","",INDEX(tblIssues[Area],MATCH(ROW()-5,tblIssues[Alert Row],0)))</f>
        <v/>
      </c>
      <c r="E463" s="25" t="str">
        <f>IF($A463="","",INDEX(tblIssues[Item Name],MATCH(ROW()-5,tblIssues[Alert Row],0)))</f>
        <v/>
      </c>
      <c r="F463" s="98" t="str">
        <f>IF($A463="","",INDEX(tblIssues[Month],MATCH(ROW()-5,tblIssues[Alert Row],0)))</f>
        <v/>
      </c>
      <c r="G463" s="23" t="str">
        <f>IF($A463="","",INDEX(tblIssues[Units This Month (Staff/Item)],MATCH(ROW()-5,tblIssues[Alert Row],0)))</f>
        <v/>
      </c>
      <c r="H463" s="23" t="str">
        <f>IF($A463="","",INDEX(tblIssues[Monthly Quota],MATCH(ROW()-5,tblIssues[Alert Row],0)))</f>
        <v/>
      </c>
      <c r="I463" s="27" t="str">
        <f t="shared" si="14"/>
        <v/>
      </c>
      <c r="J463" s="31" t="str">
        <f t="shared" si="15"/>
        <v/>
      </c>
    </row>
    <row r="464" spans="1:10" x14ac:dyDescent="0.35">
      <c r="A464" s="18" t="str">
        <f>IFERROR(INDEX(tblIssues[Staff ID],MATCH(ROW()-5,tblIssues[Alert Row],0)),"")</f>
        <v/>
      </c>
      <c r="B464" s="18" t="str">
        <f>IF($A464="","",INDEX(tblIssues[Staff Name (pick)],MATCH(ROW()-5,tblIssues[Alert Row],0)))</f>
        <v/>
      </c>
      <c r="C464" s="18" t="str">
        <f>IF($A464="","",INDEX(tblIssues[Role],MATCH(ROW()-5,tblIssues[Alert Row],0)))</f>
        <v/>
      </c>
      <c r="D464" s="25" t="str">
        <f>IF($A464="","",INDEX(tblIssues[Area],MATCH(ROW()-5,tblIssues[Alert Row],0)))</f>
        <v/>
      </c>
      <c r="E464" s="25" t="str">
        <f>IF($A464="","",INDEX(tblIssues[Item Name],MATCH(ROW()-5,tblIssues[Alert Row],0)))</f>
        <v/>
      </c>
      <c r="F464" s="98" t="str">
        <f>IF($A464="","",INDEX(tblIssues[Month],MATCH(ROW()-5,tblIssues[Alert Row],0)))</f>
        <v/>
      </c>
      <c r="G464" s="23" t="str">
        <f>IF($A464="","",INDEX(tblIssues[Units This Month (Staff/Item)],MATCH(ROW()-5,tblIssues[Alert Row],0)))</f>
        <v/>
      </c>
      <c r="H464" s="23" t="str">
        <f>IF($A464="","",INDEX(tblIssues[Monthly Quota],MATCH(ROW()-5,tblIssues[Alert Row],0)))</f>
        <v/>
      </c>
      <c r="I464" s="27" t="str">
        <f t="shared" si="14"/>
        <v/>
      </c>
      <c r="J464" s="31" t="str">
        <f t="shared" si="15"/>
        <v/>
      </c>
    </row>
    <row r="465" spans="1:10" x14ac:dyDescent="0.35">
      <c r="A465" s="18" t="str">
        <f>IFERROR(INDEX(tblIssues[Staff ID],MATCH(ROW()-5,tblIssues[Alert Row],0)),"")</f>
        <v/>
      </c>
      <c r="B465" s="18" t="str">
        <f>IF($A465="","",INDEX(tblIssues[Staff Name (pick)],MATCH(ROW()-5,tblIssues[Alert Row],0)))</f>
        <v/>
      </c>
      <c r="C465" s="18" t="str">
        <f>IF($A465="","",INDEX(tblIssues[Role],MATCH(ROW()-5,tblIssues[Alert Row],0)))</f>
        <v/>
      </c>
      <c r="D465" s="25" t="str">
        <f>IF($A465="","",INDEX(tblIssues[Area],MATCH(ROW()-5,tblIssues[Alert Row],0)))</f>
        <v/>
      </c>
      <c r="E465" s="25" t="str">
        <f>IF($A465="","",INDEX(tblIssues[Item Name],MATCH(ROW()-5,tblIssues[Alert Row],0)))</f>
        <v/>
      </c>
      <c r="F465" s="98" t="str">
        <f>IF($A465="","",INDEX(tblIssues[Month],MATCH(ROW()-5,tblIssues[Alert Row],0)))</f>
        <v/>
      </c>
      <c r="G465" s="23" t="str">
        <f>IF($A465="","",INDEX(tblIssues[Units This Month (Staff/Item)],MATCH(ROW()-5,tblIssues[Alert Row],0)))</f>
        <v/>
      </c>
      <c r="H465" s="23" t="str">
        <f>IF($A465="","",INDEX(tblIssues[Monthly Quota],MATCH(ROW()-5,tblIssues[Alert Row],0)))</f>
        <v/>
      </c>
      <c r="I465" s="27" t="str">
        <f t="shared" si="14"/>
        <v/>
      </c>
      <c r="J465" s="31" t="str">
        <f t="shared" si="15"/>
        <v/>
      </c>
    </row>
    <row r="466" spans="1:10" x14ac:dyDescent="0.35">
      <c r="A466" s="18" t="str">
        <f>IFERROR(INDEX(tblIssues[Staff ID],MATCH(ROW()-5,tblIssues[Alert Row],0)),"")</f>
        <v/>
      </c>
      <c r="B466" s="18" t="str">
        <f>IF($A466="","",INDEX(tblIssues[Staff Name (pick)],MATCH(ROW()-5,tblIssues[Alert Row],0)))</f>
        <v/>
      </c>
      <c r="C466" s="18" t="str">
        <f>IF($A466="","",INDEX(tblIssues[Role],MATCH(ROW()-5,tblIssues[Alert Row],0)))</f>
        <v/>
      </c>
      <c r="D466" s="25" t="str">
        <f>IF($A466="","",INDEX(tblIssues[Area],MATCH(ROW()-5,tblIssues[Alert Row],0)))</f>
        <v/>
      </c>
      <c r="E466" s="25" t="str">
        <f>IF($A466="","",INDEX(tblIssues[Item Name],MATCH(ROW()-5,tblIssues[Alert Row],0)))</f>
        <v/>
      </c>
      <c r="F466" s="98" t="str">
        <f>IF($A466="","",INDEX(tblIssues[Month],MATCH(ROW()-5,tblIssues[Alert Row],0)))</f>
        <v/>
      </c>
      <c r="G466" s="23" t="str">
        <f>IF($A466="","",INDEX(tblIssues[Units This Month (Staff/Item)],MATCH(ROW()-5,tblIssues[Alert Row],0)))</f>
        <v/>
      </c>
      <c r="H466" s="23" t="str">
        <f>IF($A466="","",INDEX(tblIssues[Monthly Quota],MATCH(ROW()-5,tblIssues[Alert Row],0)))</f>
        <v/>
      </c>
      <c r="I466" s="27" t="str">
        <f t="shared" si="14"/>
        <v/>
      </c>
      <c r="J466" s="31" t="str">
        <f t="shared" si="15"/>
        <v/>
      </c>
    </row>
    <row r="467" spans="1:10" x14ac:dyDescent="0.35">
      <c r="A467" s="18" t="str">
        <f>IFERROR(INDEX(tblIssues[Staff ID],MATCH(ROW()-5,tblIssues[Alert Row],0)),"")</f>
        <v/>
      </c>
      <c r="B467" s="18" t="str">
        <f>IF($A467="","",INDEX(tblIssues[Staff Name (pick)],MATCH(ROW()-5,tblIssues[Alert Row],0)))</f>
        <v/>
      </c>
      <c r="C467" s="18" t="str">
        <f>IF($A467="","",INDEX(tblIssues[Role],MATCH(ROW()-5,tblIssues[Alert Row],0)))</f>
        <v/>
      </c>
      <c r="D467" s="25" t="str">
        <f>IF($A467="","",INDEX(tblIssues[Area],MATCH(ROW()-5,tblIssues[Alert Row],0)))</f>
        <v/>
      </c>
      <c r="E467" s="25" t="str">
        <f>IF($A467="","",INDEX(tblIssues[Item Name],MATCH(ROW()-5,tblIssues[Alert Row],0)))</f>
        <v/>
      </c>
      <c r="F467" s="98" t="str">
        <f>IF($A467="","",INDEX(tblIssues[Month],MATCH(ROW()-5,tblIssues[Alert Row],0)))</f>
        <v/>
      </c>
      <c r="G467" s="23" t="str">
        <f>IF($A467="","",INDEX(tblIssues[Units This Month (Staff/Item)],MATCH(ROW()-5,tblIssues[Alert Row],0)))</f>
        <v/>
      </c>
      <c r="H467" s="23" t="str">
        <f>IF($A467="","",INDEX(tblIssues[Monthly Quota],MATCH(ROW()-5,tblIssues[Alert Row],0)))</f>
        <v/>
      </c>
      <c r="I467" s="27" t="str">
        <f t="shared" si="14"/>
        <v/>
      </c>
      <c r="J467" s="31" t="str">
        <f t="shared" si="15"/>
        <v/>
      </c>
    </row>
    <row r="468" spans="1:10" x14ac:dyDescent="0.35">
      <c r="A468" s="18" t="str">
        <f>IFERROR(INDEX(tblIssues[Staff ID],MATCH(ROW()-5,tblIssues[Alert Row],0)),"")</f>
        <v/>
      </c>
      <c r="B468" s="18" t="str">
        <f>IF($A468="","",INDEX(tblIssues[Staff Name (pick)],MATCH(ROW()-5,tblIssues[Alert Row],0)))</f>
        <v/>
      </c>
      <c r="C468" s="18" t="str">
        <f>IF($A468="","",INDEX(tblIssues[Role],MATCH(ROW()-5,tblIssues[Alert Row],0)))</f>
        <v/>
      </c>
      <c r="D468" s="25" t="str">
        <f>IF($A468="","",INDEX(tblIssues[Area],MATCH(ROW()-5,tblIssues[Alert Row],0)))</f>
        <v/>
      </c>
      <c r="E468" s="25" t="str">
        <f>IF($A468="","",INDEX(tblIssues[Item Name],MATCH(ROW()-5,tblIssues[Alert Row],0)))</f>
        <v/>
      </c>
      <c r="F468" s="98" t="str">
        <f>IF($A468="","",INDEX(tblIssues[Month],MATCH(ROW()-5,tblIssues[Alert Row],0)))</f>
        <v/>
      </c>
      <c r="G468" s="23" t="str">
        <f>IF($A468="","",INDEX(tblIssues[Units This Month (Staff/Item)],MATCH(ROW()-5,tblIssues[Alert Row],0)))</f>
        <v/>
      </c>
      <c r="H468" s="23" t="str">
        <f>IF($A468="","",INDEX(tblIssues[Monthly Quota],MATCH(ROW()-5,tblIssues[Alert Row],0)))</f>
        <v/>
      </c>
      <c r="I468" s="27" t="str">
        <f t="shared" si="14"/>
        <v/>
      </c>
      <c r="J468" s="31" t="str">
        <f t="shared" si="15"/>
        <v/>
      </c>
    </row>
    <row r="469" spans="1:10" x14ac:dyDescent="0.35">
      <c r="A469" s="18" t="str">
        <f>IFERROR(INDEX(tblIssues[Staff ID],MATCH(ROW()-5,tblIssues[Alert Row],0)),"")</f>
        <v/>
      </c>
      <c r="B469" s="18" t="str">
        <f>IF($A469="","",INDEX(tblIssues[Staff Name (pick)],MATCH(ROW()-5,tblIssues[Alert Row],0)))</f>
        <v/>
      </c>
      <c r="C469" s="18" t="str">
        <f>IF($A469="","",INDEX(tblIssues[Role],MATCH(ROW()-5,tblIssues[Alert Row],0)))</f>
        <v/>
      </c>
      <c r="D469" s="25" t="str">
        <f>IF($A469="","",INDEX(tblIssues[Area],MATCH(ROW()-5,tblIssues[Alert Row],0)))</f>
        <v/>
      </c>
      <c r="E469" s="25" t="str">
        <f>IF($A469="","",INDEX(tblIssues[Item Name],MATCH(ROW()-5,tblIssues[Alert Row],0)))</f>
        <v/>
      </c>
      <c r="F469" s="98" t="str">
        <f>IF($A469="","",INDEX(tblIssues[Month],MATCH(ROW()-5,tblIssues[Alert Row],0)))</f>
        <v/>
      </c>
      <c r="G469" s="23" t="str">
        <f>IF($A469="","",INDEX(tblIssues[Units This Month (Staff/Item)],MATCH(ROW()-5,tblIssues[Alert Row],0)))</f>
        <v/>
      </c>
      <c r="H469" s="23" t="str">
        <f>IF($A469="","",INDEX(tblIssues[Monthly Quota],MATCH(ROW()-5,tblIssues[Alert Row],0)))</f>
        <v/>
      </c>
      <c r="I469" s="27" t="str">
        <f t="shared" si="14"/>
        <v/>
      </c>
      <c r="J469" s="31" t="str">
        <f t="shared" si="15"/>
        <v/>
      </c>
    </row>
    <row r="470" spans="1:10" x14ac:dyDescent="0.35">
      <c r="A470" s="18" t="str">
        <f>IFERROR(INDEX(tblIssues[Staff ID],MATCH(ROW()-5,tblIssues[Alert Row],0)),"")</f>
        <v/>
      </c>
      <c r="B470" s="18" t="str">
        <f>IF($A470="","",INDEX(tblIssues[Staff Name (pick)],MATCH(ROW()-5,tblIssues[Alert Row],0)))</f>
        <v/>
      </c>
      <c r="C470" s="18" t="str">
        <f>IF($A470="","",INDEX(tblIssues[Role],MATCH(ROW()-5,tblIssues[Alert Row],0)))</f>
        <v/>
      </c>
      <c r="D470" s="25" t="str">
        <f>IF($A470="","",INDEX(tblIssues[Area],MATCH(ROW()-5,tblIssues[Alert Row],0)))</f>
        <v/>
      </c>
      <c r="E470" s="25" t="str">
        <f>IF($A470="","",INDEX(tblIssues[Item Name],MATCH(ROW()-5,tblIssues[Alert Row],0)))</f>
        <v/>
      </c>
      <c r="F470" s="98" t="str">
        <f>IF($A470="","",INDEX(tblIssues[Month],MATCH(ROW()-5,tblIssues[Alert Row],0)))</f>
        <v/>
      </c>
      <c r="G470" s="23" t="str">
        <f>IF($A470="","",INDEX(tblIssues[Units This Month (Staff/Item)],MATCH(ROW()-5,tblIssues[Alert Row],0)))</f>
        <v/>
      </c>
      <c r="H470" s="23" t="str">
        <f>IF($A470="","",INDEX(tblIssues[Monthly Quota],MATCH(ROW()-5,tblIssues[Alert Row],0)))</f>
        <v/>
      </c>
      <c r="I470" s="27" t="str">
        <f t="shared" si="14"/>
        <v/>
      </c>
      <c r="J470" s="31" t="str">
        <f t="shared" si="15"/>
        <v/>
      </c>
    </row>
    <row r="471" spans="1:10" x14ac:dyDescent="0.35">
      <c r="A471" s="18" t="str">
        <f>IFERROR(INDEX(tblIssues[Staff ID],MATCH(ROW()-5,tblIssues[Alert Row],0)),"")</f>
        <v/>
      </c>
      <c r="B471" s="18" t="str">
        <f>IF($A471="","",INDEX(tblIssues[Staff Name (pick)],MATCH(ROW()-5,tblIssues[Alert Row],0)))</f>
        <v/>
      </c>
      <c r="C471" s="18" t="str">
        <f>IF($A471="","",INDEX(tblIssues[Role],MATCH(ROW()-5,tblIssues[Alert Row],0)))</f>
        <v/>
      </c>
      <c r="D471" s="25" t="str">
        <f>IF($A471="","",INDEX(tblIssues[Area],MATCH(ROW()-5,tblIssues[Alert Row],0)))</f>
        <v/>
      </c>
      <c r="E471" s="25" t="str">
        <f>IF($A471="","",INDEX(tblIssues[Item Name],MATCH(ROW()-5,tblIssues[Alert Row],0)))</f>
        <v/>
      </c>
      <c r="F471" s="98" t="str">
        <f>IF($A471="","",INDEX(tblIssues[Month],MATCH(ROW()-5,tblIssues[Alert Row],0)))</f>
        <v/>
      </c>
      <c r="G471" s="23" t="str">
        <f>IF($A471="","",INDEX(tblIssues[Units This Month (Staff/Item)],MATCH(ROW()-5,tblIssues[Alert Row],0)))</f>
        <v/>
      </c>
      <c r="H471" s="23" t="str">
        <f>IF($A471="","",INDEX(tblIssues[Monthly Quota],MATCH(ROW()-5,tblIssues[Alert Row],0)))</f>
        <v/>
      </c>
      <c r="I471" s="27" t="str">
        <f t="shared" si="14"/>
        <v/>
      </c>
      <c r="J471" s="31" t="str">
        <f t="shared" si="15"/>
        <v/>
      </c>
    </row>
    <row r="472" spans="1:10" x14ac:dyDescent="0.35">
      <c r="A472" s="18" t="str">
        <f>IFERROR(INDEX(tblIssues[Staff ID],MATCH(ROW()-5,tblIssues[Alert Row],0)),"")</f>
        <v/>
      </c>
      <c r="B472" s="18" t="str">
        <f>IF($A472="","",INDEX(tblIssues[Staff Name (pick)],MATCH(ROW()-5,tblIssues[Alert Row],0)))</f>
        <v/>
      </c>
      <c r="C472" s="18" t="str">
        <f>IF($A472="","",INDEX(tblIssues[Role],MATCH(ROW()-5,tblIssues[Alert Row],0)))</f>
        <v/>
      </c>
      <c r="D472" s="25" t="str">
        <f>IF($A472="","",INDEX(tblIssues[Area],MATCH(ROW()-5,tblIssues[Alert Row],0)))</f>
        <v/>
      </c>
      <c r="E472" s="25" t="str">
        <f>IF($A472="","",INDEX(tblIssues[Item Name],MATCH(ROW()-5,tblIssues[Alert Row],0)))</f>
        <v/>
      </c>
      <c r="F472" s="98" t="str">
        <f>IF($A472="","",INDEX(tblIssues[Month],MATCH(ROW()-5,tblIssues[Alert Row],0)))</f>
        <v/>
      </c>
      <c r="G472" s="23" t="str">
        <f>IF($A472="","",INDEX(tblIssues[Units This Month (Staff/Item)],MATCH(ROW()-5,tblIssues[Alert Row],0)))</f>
        <v/>
      </c>
      <c r="H472" s="23" t="str">
        <f>IF($A472="","",INDEX(tblIssues[Monthly Quota],MATCH(ROW()-5,tblIssues[Alert Row],0)))</f>
        <v/>
      </c>
      <c r="I472" s="27" t="str">
        <f t="shared" si="14"/>
        <v/>
      </c>
      <c r="J472" s="31" t="str">
        <f t="shared" si="15"/>
        <v/>
      </c>
    </row>
    <row r="473" spans="1:10" x14ac:dyDescent="0.35">
      <c r="A473" s="18" t="str">
        <f>IFERROR(INDEX(tblIssues[Staff ID],MATCH(ROW()-5,tblIssues[Alert Row],0)),"")</f>
        <v/>
      </c>
      <c r="B473" s="18" t="str">
        <f>IF($A473="","",INDEX(tblIssues[Staff Name (pick)],MATCH(ROW()-5,tblIssues[Alert Row],0)))</f>
        <v/>
      </c>
      <c r="C473" s="18" t="str">
        <f>IF($A473="","",INDEX(tblIssues[Role],MATCH(ROW()-5,tblIssues[Alert Row],0)))</f>
        <v/>
      </c>
      <c r="D473" s="25" t="str">
        <f>IF($A473="","",INDEX(tblIssues[Area],MATCH(ROW()-5,tblIssues[Alert Row],0)))</f>
        <v/>
      </c>
      <c r="E473" s="25" t="str">
        <f>IF($A473="","",INDEX(tblIssues[Item Name],MATCH(ROW()-5,tblIssues[Alert Row],0)))</f>
        <v/>
      </c>
      <c r="F473" s="98" t="str">
        <f>IF($A473="","",INDEX(tblIssues[Month],MATCH(ROW()-5,tblIssues[Alert Row],0)))</f>
        <v/>
      </c>
      <c r="G473" s="23" t="str">
        <f>IF($A473="","",INDEX(tblIssues[Units This Month (Staff/Item)],MATCH(ROW()-5,tblIssues[Alert Row],0)))</f>
        <v/>
      </c>
      <c r="H473" s="23" t="str">
        <f>IF($A473="","",INDEX(tblIssues[Monthly Quota],MATCH(ROW()-5,tblIssues[Alert Row],0)))</f>
        <v/>
      </c>
      <c r="I473" s="27" t="str">
        <f t="shared" si="14"/>
        <v/>
      </c>
      <c r="J473" s="31" t="str">
        <f t="shared" si="15"/>
        <v/>
      </c>
    </row>
    <row r="474" spans="1:10" x14ac:dyDescent="0.35">
      <c r="A474" s="18" t="str">
        <f>IFERROR(INDEX(tblIssues[Staff ID],MATCH(ROW()-5,tblIssues[Alert Row],0)),"")</f>
        <v/>
      </c>
      <c r="B474" s="18" t="str">
        <f>IF($A474="","",INDEX(tblIssues[Staff Name (pick)],MATCH(ROW()-5,tblIssues[Alert Row],0)))</f>
        <v/>
      </c>
      <c r="C474" s="18" t="str">
        <f>IF($A474="","",INDEX(tblIssues[Role],MATCH(ROW()-5,tblIssues[Alert Row],0)))</f>
        <v/>
      </c>
      <c r="D474" s="25" t="str">
        <f>IF($A474="","",INDEX(tblIssues[Area],MATCH(ROW()-5,tblIssues[Alert Row],0)))</f>
        <v/>
      </c>
      <c r="E474" s="25" t="str">
        <f>IF($A474="","",INDEX(tblIssues[Item Name],MATCH(ROW()-5,tblIssues[Alert Row],0)))</f>
        <v/>
      </c>
      <c r="F474" s="98" t="str">
        <f>IF($A474="","",INDEX(tblIssues[Month],MATCH(ROW()-5,tblIssues[Alert Row],0)))</f>
        <v/>
      </c>
      <c r="G474" s="23" t="str">
        <f>IF($A474="","",INDEX(tblIssues[Units This Month (Staff/Item)],MATCH(ROW()-5,tblIssues[Alert Row],0)))</f>
        <v/>
      </c>
      <c r="H474" s="23" t="str">
        <f>IF($A474="","",INDEX(tblIssues[Monthly Quota],MATCH(ROW()-5,tblIssues[Alert Row],0)))</f>
        <v/>
      </c>
      <c r="I474" s="27" t="str">
        <f t="shared" si="14"/>
        <v/>
      </c>
      <c r="J474" s="31" t="str">
        <f t="shared" si="15"/>
        <v/>
      </c>
    </row>
    <row r="475" spans="1:10" x14ac:dyDescent="0.35">
      <c r="A475" s="18" t="str">
        <f>IFERROR(INDEX(tblIssues[Staff ID],MATCH(ROW()-5,tblIssues[Alert Row],0)),"")</f>
        <v/>
      </c>
      <c r="B475" s="18" t="str">
        <f>IF($A475="","",INDEX(tblIssues[Staff Name (pick)],MATCH(ROW()-5,tblIssues[Alert Row],0)))</f>
        <v/>
      </c>
      <c r="C475" s="18" t="str">
        <f>IF($A475="","",INDEX(tblIssues[Role],MATCH(ROW()-5,tblIssues[Alert Row],0)))</f>
        <v/>
      </c>
      <c r="D475" s="25" t="str">
        <f>IF($A475="","",INDEX(tblIssues[Area],MATCH(ROW()-5,tblIssues[Alert Row],0)))</f>
        <v/>
      </c>
      <c r="E475" s="25" t="str">
        <f>IF($A475="","",INDEX(tblIssues[Item Name],MATCH(ROW()-5,tblIssues[Alert Row],0)))</f>
        <v/>
      </c>
      <c r="F475" s="98" t="str">
        <f>IF($A475="","",INDEX(tblIssues[Month],MATCH(ROW()-5,tblIssues[Alert Row],0)))</f>
        <v/>
      </c>
      <c r="G475" s="23" t="str">
        <f>IF($A475="","",INDEX(tblIssues[Units This Month (Staff/Item)],MATCH(ROW()-5,tblIssues[Alert Row],0)))</f>
        <v/>
      </c>
      <c r="H475" s="23" t="str">
        <f>IF($A475="","",INDEX(tblIssues[Monthly Quota],MATCH(ROW()-5,tblIssues[Alert Row],0)))</f>
        <v/>
      </c>
      <c r="I475" s="27" t="str">
        <f t="shared" si="14"/>
        <v/>
      </c>
      <c r="J475" s="31" t="str">
        <f t="shared" si="15"/>
        <v/>
      </c>
    </row>
    <row r="476" spans="1:10" x14ac:dyDescent="0.35">
      <c r="A476" s="18" t="str">
        <f>IFERROR(INDEX(tblIssues[Staff ID],MATCH(ROW()-5,tblIssues[Alert Row],0)),"")</f>
        <v/>
      </c>
      <c r="B476" s="18" t="str">
        <f>IF($A476="","",INDEX(tblIssues[Staff Name (pick)],MATCH(ROW()-5,tblIssues[Alert Row],0)))</f>
        <v/>
      </c>
      <c r="C476" s="18" t="str">
        <f>IF($A476="","",INDEX(tblIssues[Role],MATCH(ROW()-5,tblIssues[Alert Row],0)))</f>
        <v/>
      </c>
      <c r="D476" s="25" t="str">
        <f>IF($A476="","",INDEX(tblIssues[Area],MATCH(ROW()-5,tblIssues[Alert Row],0)))</f>
        <v/>
      </c>
      <c r="E476" s="25" t="str">
        <f>IF($A476="","",INDEX(tblIssues[Item Name],MATCH(ROW()-5,tblIssues[Alert Row],0)))</f>
        <v/>
      </c>
      <c r="F476" s="98" t="str">
        <f>IF($A476="","",INDEX(tblIssues[Month],MATCH(ROW()-5,tblIssues[Alert Row],0)))</f>
        <v/>
      </c>
      <c r="G476" s="23" t="str">
        <f>IF($A476="","",INDEX(tblIssues[Units This Month (Staff/Item)],MATCH(ROW()-5,tblIssues[Alert Row],0)))</f>
        <v/>
      </c>
      <c r="H476" s="23" t="str">
        <f>IF($A476="","",INDEX(tblIssues[Monthly Quota],MATCH(ROW()-5,tblIssues[Alert Row],0)))</f>
        <v/>
      </c>
      <c r="I476" s="27" t="str">
        <f t="shared" si="14"/>
        <v/>
      </c>
      <c r="J476" s="31" t="str">
        <f t="shared" si="15"/>
        <v/>
      </c>
    </row>
    <row r="477" spans="1:10" x14ac:dyDescent="0.35">
      <c r="A477" s="18" t="str">
        <f>IFERROR(INDEX(tblIssues[Staff ID],MATCH(ROW()-5,tblIssues[Alert Row],0)),"")</f>
        <v/>
      </c>
      <c r="B477" s="18" t="str">
        <f>IF($A477="","",INDEX(tblIssues[Staff Name (pick)],MATCH(ROW()-5,tblIssues[Alert Row],0)))</f>
        <v/>
      </c>
      <c r="C477" s="18" t="str">
        <f>IF($A477="","",INDEX(tblIssues[Role],MATCH(ROW()-5,tblIssues[Alert Row],0)))</f>
        <v/>
      </c>
      <c r="D477" s="25" t="str">
        <f>IF($A477="","",INDEX(tblIssues[Area],MATCH(ROW()-5,tblIssues[Alert Row],0)))</f>
        <v/>
      </c>
      <c r="E477" s="25" t="str">
        <f>IF($A477="","",INDEX(tblIssues[Item Name],MATCH(ROW()-5,tblIssues[Alert Row],0)))</f>
        <v/>
      </c>
      <c r="F477" s="98" t="str">
        <f>IF($A477="","",INDEX(tblIssues[Month],MATCH(ROW()-5,tblIssues[Alert Row],0)))</f>
        <v/>
      </c>
      <c r="G477" s="23" t="str">
        <f>IF($A477="","",INDEX(tblIssues[Units This Month (Staff/Item)],MATCH(ROW()-5,tblIssues[Alert Row],0)))</f>
        <v/>
      </c>
      <c r="H477" s="23" t="str">
        <f>IF($A477="","",INDEX(tblIssues[Monthly Quota],MATCH(ROW()-5,tblIssues[Alert Row],0)))</f>
        <v/>
      </c>
      <c r="I477" s="27" t="str">
        <f t="shared" si="14"/>
        <v/>
      </c>
      <c r="J477" s="31" t="str">
        <f t="shared" si="15"/>
        <v/>
      </c>
    </row>
    <row r="478" spans="1:10" x14ac:dyDescent="0.35">
      <c r="A478" s="18" t="str">
        <f>IFERROR(INDEX(tblIssues[Staff ID],MATCH(ROW()-5,tblIssues[Alert Row],0)),"")</f>
        <v/>
      </c>
      <c r="B478" s="18" t="str">
        <f>IF($A478="","",INDEX(tblIssues[Staff Name (pick)],MATCH(ROW()-5,tblIssues[Alert Row],0)))</f>
        <v/>
      </c>
      <c r="C478" s="18" t="str">
        <f>IF($A478="","",INDEX(tblIssues[Role],MATCH(ROW()-5,tblIssues[Alert Row],0)))</f>
        <v/>
      </c>
      <c r="D478" s="25" t="str">
        <f>IF($A478="","",INDEX(tblIssues[Area],MATCH(ROW()-5,tblIssues[Alert Row],0)))</f>
        <v/>
      </c>
      <c r="E478" s="25" t="str">
        <f>IF($A478="","",INDEX(tblIssues[Item Name],MATCH(ROW()-5,tblIssues[Alert Row],0)))</f>
        <v/>
      </c>
      <c r="F478" s="98" t="str">
        <f>IF($A478="","",INDEX(tblIssues[Month],MATCH(ROW()-5,tblIssues[Alert Row],0)))</f>
        <v/>
      </c>
      <c r="G478" s="23" t="str">
        <f>IF($A478="","",INDEX(tblIssues[Units This Month (Staff/Item)],MATCH(ROW()-5,tblIssues[Alert Row],0)))</f>
        <v/>
      </c>
      <c r="H478" s="23" t="str">
        <f>IF($A478="","",INDEX(tblIssues[Monthly Quota],MATCH(ROW()-5,tblIssues[Alert Row],0)))</f>
        <v/>
      </c>
      <c r="I478" s="27" t="str">
        <f t="shared" si="14"/>
        <v/>
      </c>
      <c r="J478" s="31" t="str">
        <f t="shared" si="15"/>
        <v/>
      </c>
    </row>
    <row r="479" spans="1:10" x14ac:dyDescent="0.35">
      <c r="A479" s="18" t="str">
        <f>IFERROR(INDEX(tblIssues[Staff ID],MATCH(ROW()-5,tblIssues[Alert Row],0)),"")</f>
        <v/>
      </c>
      <c r="B479" s="18" t="str">
        <f>IF($A479="","",INDEX(tblIssues[Staff Name (pick)],MATCH(ROW()-5,tblIssues[Alert Row],0)))</f>
        <v/>
      </c>
      <c r="C479" s="18" t="str">
        <f>IF($A479="","",INDEX(tblIssues[Role],MATCH(ROW()-5,tblIssues[Alert Row],0)))</f>
        <v/>
      </c>
      <c r="D479" s="25" t="str">
        <f>IF($A479="","",INDEX(tblIssues[Area],MATCH(ROW()-5,tblIssues[Alert Row],0)))</f>
        <v/>
      </c>
      <c r="E479" s="25" t="str">
        <f>IF($A479="","",INDEX(tblIssues[Item Name],MATCH(ROW()-5,tblIssues[Alert Row],0)))</f>
        <v/>
      </c>
      <c r="F479" s="98" t="str">
        <f>IF($A479="","",INDEX(tblIssues[Month],MATCH(ROW()-5,tblIssues[Alert Row],0)))</f>
        <v/>
      </c>
      <c r="G479" s="23" t="str">
        <f>IF($A479="","",INDEX(tblIssues[Units This Month (Staff/Item)],MATCH(ROW()-5,tblIssues[Alert Row],0)))</f>
        <v/>
      </c>
      <c r="H479" s="23" t="str">
        <f>IF($A479="","",INDEX(tblIssues[Monthly Quota],MATCH(ROW()-5,tblIssues[Alert Row],0)))</f>
        <v/>
      </c>
      <c r="I479" s="27" t="str">
        <f t="shared" si="14"/>
        <v/>
      </c>
      <c r="J479" s="31" t="str">
        <f t="shared" si="15"/>
        <v/>
      </c>
    </row>
    <row r="480" spans="1:10" x14ac:dyDescent="0.35">
      <c r="A480" s="18" t="str">
        <f>IFERROR(INDEX(tblIssues[Staff ID],MATCH(ROW()-5,tblIssues[Alert Row],0)),"")</f>
        <v/>
      </c>
      <c r="B480" s="18" t="str">
        <f>IF($A480="","",INDEX(tblIssues[Staff Name (pick)],MATCH(ROW()-5,tblIssues[Alert Row],0)))</f>
        <v/>
      </c>
      <c r="C480" s="18" t="str">
        <f>IF($A480="","",INDEX(tblIssues[Role],MATCH(ROW()-5,tblIssues[Alert Row],0)))</f>
        <v/>
      </c>
      <c r="D480" s="25" t="str">
        <f>IF($A480="","",INDEX(tblIssues[Area],MATCH(ROW()-5,tblIssues[Alert Row],0)))</f>
        <v/>
      </c>
      <c r="E480" s="25" t="str">
        <f>IF($A480="","",INDEX(tblIssues[Item Name],MATCH(ROW()-5,tblIssues[Alert Row],0)))</f>
        <v/>
      </c>
      <c r="F480" s="98" t="str">
        <f>IF($A480="","",INDEX(tblIssues[Month],MATCH(ROW()-5,tblIssues[Alert Row],0)))</f>
        <v/>
      </c>
      <c r="G480" s="23" t="str">
        <f>IF($A480="","",INDEX(tblIssues[Units This Month (Staff/Item)],MATCH(ROW()-5,tblIssues[Alert Row],0)))</f>
        <v/>
      </c>
      <c r="H480" s="23" t="str">
        <f>IF($A480="","",INDEX(tblIssues[Monthly Quota],MATCH(ROW()-5,tblIssues[Alert Row],0)))</f>
        <v/>
      </c>
      <c r="I480" s="27" t="str">
        <f t="shared" si="14"/>
        <v/>
      </c>
      <c r="J480" s="31" t="str">
        <f t="shared" si="15"/>
        <v/>
      </c>
    </row>
    <row r="481" spans="1:10" x14ac:dyDescent="0.35">
      <c r="A481" s="18" t="str">
        <f>IFERROR(INDEX(tblIssues[Staff ID],MATCH(ROW()-5,tblIssues[Alert Row],0)),"")</f>
        <v/>
      </c>
      <c r="B481" s="18" t="str">
        <f>IF($A481="","",INDEX(tblIssues[Staff Name (pick)],MATCH(ROW()-5,tblIssues[Alert Row],0)))</f>
        <v/>
      </c>
      <c r="C481" s="18" t="str">
        <f>IF($A481="","",INDEX(tblIssues[Role],MATCH(ROW()-5,tblIssues[Alert Row],0)))</f>
        <v/>
      </c>
      <c r="D481" s="25" t="str">
        <f>IF($A481="","",INDEX(tblIssues[Area],MATCH(ROW()-5,tblIssues[Alert Row],0)))</f>
        <v/>
      </c>
      <c r="E481" s="25" t="str">
        <f>IF($A481="","",INDEX(tblIssues[Item Name],MATCH(ROW()-5,tblIssues[Alert Row],0)))</f>
        <v/>
      </c>
      <c r="F481" s="98" t="str">
        <f>IF($A481="","",INDEX(tblIssues[Month],MATCH(ROW()-5,tblIssues[Alert Row],0)))</f>
        <v/>
      </c>
      <c r="G481" s="23" t="str">
        <f>IF($A481="","",INDEX(tblIssues[Units This Month (Staff/Item)],MATCH(ROW()-5,tblIssues[Alert Row],0)))</f>
        <v/>
      </c>
      <c r="H481" s="23" t="str">
        <f>IF($A481="","",INDEX(tblIssues[Monthly Quota],MATCH(ROW()-5,tblIssues[Alert Row],0)))</f>
        <v/>
      </c>
      <c r="I481" s="27" t="str">
        <f t="shared" si="14"/>
        <v/>
      </c>
      <c r="J481" s="31" t="str">
        <f t="shared" si="15"/>
        <v/>
      </c>
    </row>
    <row r="482" spans="1:10" x14ac:dyDescent="0.35">
      <c r="A482" s="18" t="str">
        <f>IFERROR(INDEX(tblIssues[Staff ID],MATCH(ROW()-5,tblIssues[Alert Row],0)),"")</f>
        <v/>
      </c>
      <c r="B482" s="18" t="str">
        <f>IF($A482="","",INDEX(tblIssues[Staff Name (pick)],MATCH(ROW()-5,tblIssues[Alert Row],0)))</f>
        <v/>
      </c>
      <c r="C482" s="18" t="str">
        <f>IF($A482="","",INDEX(tblIssues[Role],MATCH(ROW()-5,tblIssues[Alert Row],0)))</f>
        <v/>
      </c>
      <c r="D482" s="25" t="str">
        <f>IF($A482="","",INDEX(tblIssues[Area],MATCH(ROW()-5,tblIssues[Alert Row],0)))</f>
        <v/>
      </c>
      <c r="E482" s="25" t="str">
        <f>IF($A482="","",INDEX(tblIssues[Item Name],MATCH(ROW()-5,tblIssues[Alert Row],0)))</f>
        <v/>
      </c>
      <c r="F482" s="98" t="str">
        <f>IF($A482="","",INDEX(tblIssues[Month],MATCH(ROW()-5,tblIssues[Alert Row],0)))</f>
        <v/>
      </c>
      <c r="G482" s="23" t="str">
        <f>IF($A482="","",INDEX(tblIssues[Units This Month (Staff/Item)],MATCH(ROW()-5,tblIssues[Alert Row],0)))</f>
        <v/>
      </c>
      <c r="H482" s="23" t="str">
        <f>IF($A482="","",INDEX(tblIssues[Monthly Quota],MATCH(ROW()-5,tblIssues[Alert Row],0)))</f>
        <v/>
      </c>
      <c r="I482" s="27" t="str">
        <f t="shared" si="14"/>
        <v/>
      </c>
      <c r="J482" s="31" t="str">
        <f t="shared" si="15"/>
        <v/>
      </c>
    </row>
    <row r="483" spans="1:10" x14ac:dyDescent="0.35">
      <c r="A483" s="18" t="str">
        <f>IFERROR(INDEX(tblIssues[Staff ID],MATCH(ROW()-5,tblIssues[Alert Row],0)),"")</f>
        <v/>
      </c>
      <c r="B483" s="18" t="str">
        <f>IF($A483="","",INDEX(tblIssues[Staff Name (pick)],MATCH(ROW()-5,tblIssues[Alert Row],0)))</f>
        <v/>
      </c>
      <c r="C483" s="18" t="str">
        <f>IF($A483="","",INDEX(tblIssues[Role],MATCH(ROW()-5,tblIssues[Alert Row],0)))</f>
        <v/>
      </c>
      <c r="D483" s="25" t="str">
        <f>IF($A483="","",INDEX(tblIssues[Area],MATCH(ROW()-5,tblIssues[Alert Row],0)))</f>
        <v/>
      </c>
      <c r="E483" s="25" t="str">
        <f>IF($A483="","",INDEX(tblIssues[Item Name],MATCH(ROW()-5,tblIssues[Alert Row],0)))</f>
        <v/>
      </c>
      <c r="F483" s="98" t="str">
        <f>IF($A483="","",INDEX(tblIssues[Month],MATCH(ROW()-5,tblIssues[Alert Row],0)))</f>
        <v/>
      </c>
      <c r="G483" s="23" t="str">
        <f>IF($A483="","",INDEX(tblIssues[Units This Month (Staff/Item)],MATCH(ROW()-5,tblIssues[Alert Row],0)))</f>
        <v/>
      </c>
      <c r="H483" s="23" t="str">
        <f>IF($A483="","",INDEX(tblIssues[Monthly Quota],MATCH(ROW()-5,tblIssues[Alert Row],0)))</f>
        <v/>
      </c>
      <c r="I483" s="27" t="str">
        <f t="shared" si="14"/>
        <v/>
      </c>
      <c r="J483" s="31" t="str">
        <f t="shared" si="15"/>
        <v/>
      </c>
    </row>
    <row r="484" spans="1:10" x14ac:dyDescent="0.35">
      <c r="A484" s="18" t="str">
        <f>IFERROR(INDEX(tblIssues[Staff ID],MATCH(ROW()-5,tblIssues[Alert Row],0)),"")</f>
        <v/>
      </c>
      <c r="B484" s="18" t="str">
        <f>IF($A484="","",INDEX(tblIssues[Staff Name (pick)],MATCH(ROW()-5,tblIssues[Alert Row],0)))</f>
        <v/>
      </c>
      <c r="C484" s="18" t="str">
        <f>IF($A484="","",INDEX(tblIssues[Role],MATCH(ROW()-5,tblIssues[Alert Row],0)))</f>
        <v/>
      </c>
      <c r="D484" s="25" t="str">
        <f>IF($A484="","",INDEX(tblIssues[Area],MATCH(ROW()-5,tblIssues[Alert Row],0)))</f>
        <v/>
      </c>
      <c r="E484" s="25" t="str">
        <f>IF($A484="","",INDEX(tblIssues[Item Name],MATCH(ROW()-5,tblIssues[Alert Row],0)))</f>
        <v/>
      </c>
      <c r="F484" s="98" t="str">
        <f>IF($A484="","",INDEX(tblIssues[Month],MATCH(ROW()-5,tblIssues[Alert Row],0)))</f>
        <v/>
      </c>
      <c r="G484" s="23" t="str">
        <f>IF($A484="","",INDEX(tblIssues[Units This Month (Staff/Item)],MATCH(ROW()-5,tblIssues[Alert Row],0)))</f>
        <v/>
      </c>
      <c r="H484" s="23" t="str">
        <f>IF($A484="","",INDEX(tblIssues[Monthly Quota],MATCH(ROW()-5,tblIssues[Alert Row],0)))</f>
        <v/>
      </c>
      <c r="I484" s="27" t="str">
        <f t="shared" si="14"/>
        <v/>
      </c>
      <c r="J484" s="31" t="str">
        <f t="shared" si="15"/>
        <v/>
      </c>
    </row>
    <row r="485" spans="1:10" x14ac:dyDescent="0.35">
      <c r="A485" s="18" t="str">
        <f>IFERROR(INDEX(tblIssues[Staff ID],MATCH(ROW()-5,tblIssues[Alert Row],0)),"")</f>
        <v/>
      </c>
      <c r="B485" s="18" t="str">
        <f>IF($A485="","",INDEX(tblIssues[Staff Name (pick)],MATCH(ROW()-5,tblIssues[Alert Row],0)))</f>
        <v/>
      </c>
      <c r="C485" s="18" t="str">
        <f>IF($A485="","",INDEX(tblIssues[Role],MATCH(ROW()-5,tblIssues[Alert Row],0)))</f>
        <v/>
      </c>
      <c r="D485" s="25" t="str">
        <f>IF($A485="","",INDEX(tblIssues[Area],MATCH(ROW()-5,tblIssues[Alert Row],0)))</f>
        <v/>
      </c>
      <c r="E485" s="25" t="str">
        <f>IF($A485="","",INDEX(tblIssues[Item Name],MATCH(ROW()-5,tblIssues[Alert Row],0)))</f>
        <v/>
      </c>
      <c r="F485" s="98" t="str">
        <f>IF($A485="","",INDEX(tblIssues[Month],MATCH(ROW()-5,tblIssues[Alert Row],0)))</f>
        <v/>
      </c>
      <c r="G485" s="23" t="str">
        <f>IF($A485="","",INDEX(tblIssues[Units This Month (Staff/Item)],MATCH(ROW()-5,tblIssues[Alert Row],0)))</f>
        <v/>
      </c>
      <c r="H485" s="23" t="str">
        <f>IF($A485="","",INDEX(tblIssues[Monthly Quota],MATCH(ROW()-5,tblIssues[Alert Row],0)))</f>
        <v/>
      </c>
      <c r="I485" s="27" t="str">
        <f t="shared" si="14"/>
        <v/>
      </c>
      <c r="J485" s="31" t="str">
        <f t="shared" si="15"/>
        <v/>
      </c>
    </row>
    <row r="486" spans="1:10" x14ac:dyDescent="0.35">
      <c r="A486" s="18" t="str">
        <f>IFERROR(INDEX(tblIssues[Staff ID],MATCH(ROW()-5,tblIssues[Alert Row],0)),"")</f>
        <v/>
      </c>
      <c r="B486" s="18" t="str">
        <f>IF($A486="","",INDEX(tblIssues[Staff Name (pick)],MATCH(ROW()-5,tblIssues[Alert Row],0)))</f>
        <v/>
      </c>
      <c r="C486" s="18" t="str">
        <f>IF($A486="","",INDEX(tblIssues[Role],MATCH(ROW()-5,tblIssues[Alert Row],0)))</f>
        <v/>
      </c>
      <c r="D486" s="25" t="str">
        <f>IF($A486="","",INDEX(tblIssues[Area],MATCH(ROW()-5,tblIssues[Alert Row],0)))</f>
        <v/>
      </c>
      <c r="E486" s="25" t="str">
        <f>IF($A486="","",INDEX(tblIssues[Item Name],MATCH(ROW()-5,tblIssues[Alert Row],0)))</f>
        <v/>
      </c>
      <c r="F486" s="98" t="str">
        <f>IF($A486="","",INDEX(tblIssues[Month],MATCH(ROW()-5,tblIssues[Alert Row],0)))</f>
        <v/>
      </c>
      <c r="G486" s="23" t="str">
        <f>IF($A486="","",INDEX(tblIssues[Units This Month (Staff/Item)],MATCH(ROW()-5,tblIssues[Alert Row],0)))</f>
        <v/>
      </c>
      <c r="H486" s="23" t="str">
        <f>IF($A486="","",INDEX(tblIssues[Monthly Quota],MATCH(ROW()-5,tblIssues[Alert Row],0)))</f>
        <v/>
      </c>
      <c r="I486" s="27" t="str">
        <f t="shared" si="14"/>
        <v/>
      </c>
      <c r="J486" s="31" t="str">
        <f t="shared" si="15"/>
        <v/>
      </c>
    </row>
    <row r="487" spans="1:10" x14ac:dyDescent="0.35">
      <c r="A487" s="18" t="str">
        <f>IFERROR(INDEX(tblIssues[Staff ID],MATCH(ROW()-5,tblIssues[Alert Row],0)),"")</f>
        <v/>
      </c>
      <c r="B487" s="18" t="str">
        <f>IF($A487="","",INDEX(tblIssues[Staff Name (pick)],MATCH(ROW()-5,tblIssues[Alert Row],0)))</f>
        <v/>
      </c>
      <c r="C487" s="18" t="str">
        <f>IF($A487="","",INDEX(tblIssues[Role],MATCH(ROW()-5,tblIssues[Alert Row],0)))</f>
        <v/>
      </c>
      <c r="D487" s="25" t="str">
        <f>IF($A487="","",INDEX(tblIssues[Area],MATCH(ROW()-5,tblIssues[Alert Row],0)))</f>
        <v/>
      </c>
      <c r="E487" s="25" t="str">
        <f>IF($A487="","",INDEX(tblIssues[Item Name],MATCH(ROW()-5,tblIssues[Alert Row],0)))</f>
        <v/>
      </c>
      <c r="F487" s="98" t="str">
        <f>IF($A487="","",INDEX(tblIssues[Month],MATCH(ROW()-5,tblIssues[Alert Row],0)))</f>
        <v/>
      </c>
      <c r="G487" s="23" t="str">
        <f>IF($A487="","",INDEX(tblIssues[Units This Month (Staff/Item)],MATCH(ROW()-5,tblIssues[Alert Row],0)))</f>
        <v/>
      </c>
      <c r="H487" s="23" t="str">
        <f>IF($A487="","",INDEX(tblIssues[Monthly Quota],MATCH(ROW()-5,tblIssues[Alert Row],0)))</f>
        <v/>
      </c>
      <c r="I487" s="27" t="str">
        <f t="shared" si="14"/>
        <v/>
      </c>
      <c r="J487" s="31" t="str">
        <f t="shared" si="15"/>
        <v/>
      </c>
    </row>
    <row r="488" spans="1:10" x14ac:dyDescent="0.35">
      <c r="A488" s="18" t="str">
        <f>IFERROR(INDEX(tblIssues[Staff ID],MATCH(ROW()-5,tblIssues[Alert Row],0)),"")</f>
        <v/>
      </c>
      <c r="B488" s="18" t="str">
        <f>IF($A488="","",INDEX(tblIssues[Staff Name (pick)],MATCH(ROW()-5,tblIssues[Alert Row],0)))</f>
        <v/>
      </c>
      <c r="C488" s="18" t="str">
        <f>IF($A488="","",INDEX(tblIssues[Role],MATCH(ROW()-5,tblIssues[Alert Row],0)))</f>
        <v/>
      </c>
      <c r="D488" s="25" t="str">
        <f>IF($A488="","",INDEX(tblIssues[Area],MATCH(ROW()-5,tblIssues[Alert Row],0)))</f>
        <v/>
      </c>
      <c r="E488" s="25" t="str">
        <f>IF($A488="","",INDEX(tblIssues[Item Name],MATCH(ROW()-5,tblIssues[Alert Row],0)))</f>
        <v/>
      </c>
      <c r="F488" s="98" t="str">
        <f>IF($A488="","",INDEX(tblIssues[Month],MATCH(ROW()-5,tblIssues[Alert Row],0)))</f>
        <v/>
      </c>
      <c r="G488" s="23" t="str">
        <f>IF($A488="","",INDEX(tblIssues[Units This Month (Staff/Item)],MATCH(ROW()-5,tblIssues[Alert Row],0)))</f>
        <v/>
      </c>
      <c r="H488" s="23" t="str">
        <f>IF($A488="","",INDEX(tblIssues[Monthly Quota],MATCH(ROW()-5,tblIssues[Alert Row],0)))</f>
        <v/>
      </c>
      <c r="I488" s="27" t="str">
        <f t="shared" si="14"/>
        <v/>
      </c>
      <c r="J488" s="31" t="str">
        <f t="shared" si="15"/>
        <v/>
      </c>
    </row>
    <row r="489" spans="1:10" x14ac:dyDescent="0.35">
      <c r="A489" s="18" t="str">
        <f>IFERROR(INDEX(tblIssues[Staff ID],MATCH(ROW()-5,tblIssues[Alert Row],0)),"")</f>
        <v/>
      </c>
      <c r="B489" s="18" t="str">
        <f>IF($A489="","",INDEX(tblIssues[Staff Name (pick)],MATCH(ROW()-5,tblIssues[Alert Row],0)))</f>
        <v/>
      </c>
      <c r="C489" s="18" t="str">
        <f>IF($A489="","",INDEX(tblIssues[Role],MATCH(ROW()-5,tblIssues[Alert Row],0)))</f>
        <v/>
      </c>
      <c r="D489" s="25" t="str">
        <f>IF($A489="","",INDEX(tblIssues[Area],MATCH(ROW()-5,tblIssues[Alert Row],0)))</f>
        <v/>
      </c>
      <c r="E489" s="25" t="str">
        <f>IF($A489="","",INDEX(tblIssues[Item Name],MATCH(ROW()-5,tblIssues[Alert Row],0)))</f>
        <v/>
      </c>
      <c r="F489" s="98" t="str">
        <f>IF($A489="","",INDEX(tblIssues[Month],MATCH(ROW()-5,tblIssues[Alert Row],0)))</f>
        <v/>
      </c>
      <c r="G489" s="23" t="str">
        <f>IF($A489="","",INDEX(tblIssues[Units This Month (Staff/Item)],MATCH(ROW()-5,tblIssues[Alert Row],0)))</f>
        <v/>
      </c>
      <c r="H489" s="23" t="str">
        <f>IF($A489="","",INDEX(tblIssues[Monthly Quota],MATCH(ROW()-5,tblIssues[Alert Row],0)))</f>
        <v/>
      </c>
      <c r="I489" s="27" t="str">
        <f t="shared" si="14"/>
        <v/>
      </c>
      <c r="J489" s="31" t="str">
        <f t="shared" si="15"/>
        <v/>
      </c>
    </row>
    <row r="490" spans="1:10" x14ac:dyDescent="0.35">
      <c r="A490" s="18" t="str">
        <f>IFERROR(INDEX(tblIssues[Staff ID],MATCH(ROW()-5,tblIssues[Alert Row],0)),"")</f>
        <v/>
      </c>
      <c r="B490" s="18" t="str">
        <f>IF($A490="","",INDEX(tblIssues[Staff Name (pick)],MATCH(ROW()-5,tblIssues[Alert Row],0)))</f>
        <v/>
      </c>
      <c r="C490" s="18" t="str">
        <f>IF($A490="","",INDEX(tblIssues[Role],MATCH(ROW()-5,tblIssues[Alert Row],0)))</f>
        <v/>
      </c>
      <c r="D490" s="25" t="str">
        <f>IF($A490="","",INDEX(tblIssues[Area],MATCH(ROW()-5,tblIssues[Alert Row],0)))</f>
        <v/>
      </c>
      <c r="E490" s="25" t="str">
        <f>IF($A490="","",INDEX(tblIssues[Item Name],MATCH(ROW()-5,tblIssues[Alert Row],0)))</f>
        <v/>
      </c>
      <c r="F490" s="98" t="str">
        <f>IF($A490="","",INDEX(tblIssues[Month],MATCH(ROW()-5,tblIssues[Alert Row],0)))</f>
        <v/>
      </c>
      <c r="G490" s="23" t="str">
        <f>IF($A490="","",INDEX(tblIssues[Units This Month (Staff/Item)],MATCH(ROW()-5,tblIssues[Alert Row],0)))</f>
        <v/>
      </c>
      <c r="H490" s="23" t="str">
        <f>IF($A490="","",INDEX(tblIssues[Monthly Quota],MATCH(ROW()-5,tblIssues[Alert Row],0)))</f>
        <v/>
      </c>
      <c r="I490" s="27" t="str">
        <f t="shared" si="14"/>
        <v/>
      </c>
      <c r="J490" s="31" t="str">
        <f t="shared" si="15"/>
        <v/>
      </c>
    </row>
    <row r="491" spans="1:10" x14ac:dyDescent="0.35">
      <c r="A491" s="18" t="str">
        <f>IFERROR(INDEX(tblIssues[Staff ID],MATCH(ROW()-5,tblIssues[Alert Row],0)),"")</f>
        <v/>
      </c>
      <c r="B491" s="18" t="str">
        <f>IF($A491="","",INDEX(tblIssues[Staff Name (pick)],MATCH(ROW()-5,tblIssues[Alert Row],0)))</f>
        <v/>
      </c>
      <c r="C491" s="18" t="str">
        <f>IF($A491="","",INDEX(tblIssues[Role],MATCH(ROW()-5,tblIssues[Alert Row],0)))</f>
        <v/>
      </c>
      <c r="D491" s="25" t="str">
        <f>IF($A491="","",INDEX(tblIssues[Area],MATCH(ROW()-5,tblIssues[Alert Row],0)))</f>
        <v/>
      </c>
      <c r="E491" s="25" t="str">
        <f>IF($A491="","",INDEX(tblIssues[Item Name],MATCH(ROW()-5,tblIssues[Alert Row],0)))</f>
        <v/>
      </c>
      <c r="F491" s="98" t="str">
        <f>IF($A491="","",INDEX(tblIssues[Month],MATCH(ROW()-5,tblIssues[Alert Row],0)))</f>
        <v/>
      </c>
      <c r="G491" s="23" t="str">
        <f>IF($A491="","",INDEX(tblIssues[Units This Month (Staff/Item)],MATCH(ROW()-5,tblIssues[Alert Row],0)))</f>
        <v/>
      </c>
      <c r="H491" s="23" t="str">
        <f>IF($A491="","",INDEX(tblIssues[Monthly Quota],MATCH(ROW()-5,tblIssues[Alert Row],0)))</f>
        <v/>
      </c>
      <c r="I491" s="27" t="str">
        <f t="shared" si="14"/>
        <v/>
      </c>
      <c r="J491" s="31" t="str">
        <f t="shared" si="15"/>
        <v/>
      </c>
    </row>
    <row r="492" spans="1:10" x14ac:dyDescent="0.35">
      <c r="A492" s="18" t="str">
        <f>IFERROR(INDEX(tblIssues[Staff ID],MATCH(ROW()-5,tblIssues[Alert Row],0)),"")</f>
        <v/>
      </c>
      <c r="B492" s="18" t="str">
        <f>IF($A492="","",INDEX(tblIssues[Staff Name (pick)],MATCH(ROW()-5,tblIssues[Alert Row],0)))</f>
        <v/>
      </c>
      <c r="C492" s="18" t="str">
        <f>IF($A492="","",INDEX(tblIssues[Role],MATCH(ROW()-5,tblIssues[Alert Row],0)))</f>
        <v/>
      </c>
      <c r="D492" s="25" t="str">
        <f>IF($A492="","",INDEX(tblIssues[Area],MATCH(ROW()-5,tblIssues[Alert Row],0)))</f>
        <v/>
      </c>
      <c r="E492" s="25" t="str">
        <f>IF($A492="","",INDEX(tblIssues[Item Name],MATCH(ROW()-5,tblIssues[Alert Row],0)))</f>
        <v/>
      </c>
      <c r="F492" s="98" t="str">
        <f>IF($A492="","",INDEX(tblIssues[Month],MATCH(ROW()-5,tblIssues[Alert Row],0)))</f>
        <v/>
      </c>
      <c r="G492" s="23" t="str">
        <f>IF($A492="","",INDEX(tblIssues[Units This Month (Staff/Item)],MATCH(ROW()-5,tblIssues[Alert Row],0)))</f>
        <v/>
      </c>
      <c r="H492" s="23" t="str">
        <f>IF($A492="","",INDEX(tblIssues[Monthly Quota],MATCH(ROW()-5,tblIssues[Alert Row],0)))</f>
        <v/>
      </c>
      <c r="I492" s="27" t="str">
        <f t="shared" si="14"/>
        <v/>
      </c>
      <c r="J492" s="31" t="str">
        <f t="shared" si="15"/>
        <v/>
      </c>
    </row>
    <row r="493" spans="1:10" x14ac:dyDescent="0.35">
      <c r="A493" s="18" t="str">
        <f>IFERROR(INDEX(tblIssues[Staff ID],MATCH(ROW()-5,tblIssues[Alert Row],0)),"")</f>
        <v/>
      </c>
      <c r="B493" s="18" t="str">
        <f>IF($A493="","",INDEX(tblIssues[Staff Name (pick)],MATCH(ROW()-5,tblIssues[Alert Row],0)))</f>
        <v/>
      </c>
      <c r="C493" s="18" t="str">
        <f>IF($A493="","",INDEX(tblIssues[Role],MATCH(ROW()-5,tblIssues[Alert Row],0)))</f>
        <v/>
      </c>
      <c r="D493" s="25" t="str">
        <f>IF($A493="","",INDEX(tblIssues[Area],MATCH(ROW()-5,tblIssues[Alert Row],0)))</f>
        <v/>
      </c>
      <c r="E493" s="25" t="str">
        <f>IF($A493="","",INDEX(tblIssues[Item Name],MATCH(ROW()-5,tblIssues[Alert Row],0)))</f>
        <v/>
      </c>
      <c r="F493" s="98" t="str">
        <f>IF($A493="","",INDEX(tblIssues[Month],MATCH(ROW()-5,tblIssues[Alert Row],0)))</f>
        <v/>
      </c>
      <c r="G493" s="23" t="str">
        <f>IF($A493="","",INDEX(tblIssues[Units This Month (Staff/Item)],MATCH(ROW()-5,tblIssues[Alert Row],0)))</f>
        <v/>
      </c>
      <c r="H493" s="23" t="str">
        <f>IF($A493="","",INDEX(tblIssues[Monthly Quota],MATCH(ROW()-5,tblIssues[Alert Row],0)))</f>
        <v/>
      </c>
      <c r="I493" s="27" t="str">
        <f t="shared" si="14"/>
        <v/>
      </c>
      <c r="J493" s="31" t="str">
        <f t="shared" si="15"/>
        <v/>
      </c>
    </row>
    <row r="494" spans="1:10" x14ac:dyDescent="0.35">
      <c r="A494" s="18" t="str">
        <f>IFERROR(INDEX(tblIssues[Staff ID],MATCH(ROW()-5,tblIssues[Alert Row],0)),"")</f>
        <v/>
      </c>
      <c r="B494" s="18" t="str">
        <f>IF($A494="","",INDEX(tblIssues[Staff Name (pick)],MATCH(ROW()-5,tblIssues[Alert Row],0)))</f>
        <v/>
      </c>
      <c r="C494" s="18" t="str">
        <f>IF($A494="","",INDEX(tblIssues[Role],MATCH(ROW()-5,tblIssues[Alert Row],0)))</f>
        <v/>
      </c>
      <c r="D494" s="25" t="str">
        <f>IF($A494="","",INDEX(tblIssues[Area],MATCH(ROW()-5,tblIssues[Alert Row],0)))</f>
        <v/>
      </c>
      <c r="E494" s="25" t="str">
        <f>IF($A494="","",INDEX(tblIssues[Item Name],MATCH(ROW()-5,tblIssues[Alert Row],0)))</f>
        <v/>
      </c>
      <c r="F494" s="98" t="str">
        <f>IF($A494="","",INDEX(tblIssues[Month],MATCH(ROW()-5,tblIssues[Alert Row],0)))</f>
        <v/>
      </c>
      <c r="G494" s="23" t="str">
        <f>IF($A494="","",INDEX(tblIssues[Units This Month (Staff/Item)],MATCH(ROW()-5,tblIssues[Alert Row],0)))</f>
        <v/>
      </c>
      <c r="H494" s="23" t="str">
        <f>IF($A494="","",INDEX(tblIssues[Monthly Quota],MATCH(ROW()-5,tblIssues[Alert Row],0)))</f>
        <v/>
      </c>
      <c r="I494" s="27" t="str">
        <f t="shared" si="14"/>
        <v/>
      </c>
      <c r="J494" s="31" t="str">
        <f t="shared" si="15"/>
        <v/>
      </c>
    </row>
    <row r="495" spans="1:10" x14ac:dyDescent="0.35">
      <c r="A495" s="18" t="str">
        <f>IFERROR(INDEX(tblIssues[Staff ID],MATCH(ROW()-5,tblIssues[Alert Row],0)),"")</f>
        <v/>
      </c>
      <c r="B495" s="18" t="str">
        <f>IF($A495="","",INDEX(tblIssues[Staff Name (pick)],MATCH(ROW()-5,tblIssues[Alert Row],0)))</f>
        <v/>
      </c>
      <c r="C495" s="18" t="str">
        <f>IF($A495="","",INDEX(tblIssues[Role],MATCH(ROW()-5,tblIssues[Alert Row],0)))</f>
        <v/>
      </c>
      <c r="D495" s="25" t="str">
        <f>IF($A495="","",INDEX(tblIssues[Area],MATCH(ROW()-5,tblIssues[Alert Row],0)))</f>
        <v/>
      </c>
      <c r="E495" s="25" t="str">
        <f>IF($A495="","",INDEX(tblIssues[Item Name],MATCH(ROW()-5,tblIssues[Alert Row],0)))</f>
        <v/>
      </c>
      <c r="F495" s="98" t="str">
        <f>IF($A495="","",INDEX(tblIssues[Month],MATCH(ROW()-5,tblIssues[Alert Row],0)))</f>
        <v/>
      </c>
      <c r="G495" s="23" t="str">
        <f>IF($A495="","",INDEX(tblIssues[Units This Month (Staff/Item)],MATCH(ROW()-5,tblIssues[Alert Row],0)))</f>
        <v/>
      </c>
      <c r="H495" s="23" t="str">
        <f>IF($A495="","",INDEX(tblIssues[Monthly Quota],MATCH(ROW()-5,tblIssues[Alert Row],0)))</f>
        <v/>
      </c>
      <c r="I495" s="27" t="str">
        <f t="shared" si="14"/>
        <v/>
      </c>
      <c r="J495" s="31" t="str">
        <f t="shared" si="15"/>
        <v/>
      </c>
    </row>
    <row r="496" spans="1:10" x14ac:dyDescent="0.35">
      <c r="A496" s="18" t="str">
        <f>IFERROR(INDEX(tblIssues[Staff ID],MATCH(ROW()-5,tblIssues[Alert Row],0)),"")</f>
        <v/>
      </c>
      <c r="B496" s="18" t="str">
        <f>IF($A496="","",INDEX(tblIssues[Staff Name (pick)],MATCH(ROW()-5,tblIssues[Alert Row],0)))</f>
        <v/>
      </c>
      <c r="C496" s="18" t="str">
        <f>IF($A496="","",INDEX(tblIssues[Role],MATCH(ROW()-5,tblIssues[Alert Row],0)))</f>
        <v/>
      </c>
      <c r="D496" s="25" t="str">
        <f>IF($A496="","",INDEX(tblIssues[Area],MATCH(ROW()-5,tblIssues[Alert Row],0)))</f>
        <v/>
      </c>
      <c r="E496" s="25" t="str">
        <f>IF($A496="","",INDEX(tblIssues[Item Name],MATCH(ROW()-5,tblIssues[Alert Row],0)))</f>
        <v/>
      </c>
      <c r="F496" s="98" t="str">
        <f>IF($A496="","",INDEX(tblIssues[Month],MATCH(ROW()-5,tblIssues[Alert Row],0)))</f>
        <v/>
      </c>
      <c r="G496" s="23" t="str">
        <f>IF($A496="","",INDEX(tblIssues[Units This Month (Staff/Item)],MATCH(ROW()-5,tblIssues[Alert Row],0)))</f>
        <v/>
      </c>
      <c r="H496" s="23" t="str">
        <f>IF($A496="","",INDEX(tblIssues[Monthly Quota],MATCH(ROW()-5,tblIssues[Alert Row],0)))</f>
        <v/>
      </c>
      <c r="I496" s="27" t="str">
        <f t="shared" si="14"/>
        <v/>
      </c>
      <c r="J496" s="31" t="str">
        <f t="shared" si="15"/>
        <v/>
      </c>
    </row>
    <row r="497" spans="1:10" x14ac:dyDescent="0.35">
      <c r="A497" s="18" t="str">
        <f>IFERROR(INDEX(tblIssues[Staff ID],MATCH(ROW()-5,tblIssues[Alert Row],0)),"")</f>
        <v/>
      </c>
      <c r="B497" s="18" t="str">
        <f>IF($A497="","",INDEX(tblIssues[Staff Name (pick)],MATCH(ROW()-5,tblIssues[Alert Row],0)))</f>
        <v/>
      </c>
      <c r="C497" s="18" t="str">
        <f>IF($A497="","",INDEX(tblIssues[Role],MATCH(ROW()-5,tblIssues[Alert Row],0)))</f>
        <v/>
      </c>
      <c r="D497" s="25" t="str">
        <f>IF($A497="","",INDEX(tblIssues[Area],MATCH(ROW()-5,tblIssues[Alert Row],0)))</f>
        <v/>
      </c>
      <c r="E497" s="25" t="str">
        <f>IF($A497="","",INDEX(tblIssues[Item Name],MATCH(ROW()-5,tblIssues[Alert Row],0)))</f>
        <v/>
      </c>
      <c r="F497" s="98" t="str">
        <f>IF($A497="","",INDEX(tblIssues[Month],MATCH(ROW()-5,tblIssues[Alert Row],0)))</f>
        <v/>
      </c>
      <c r="G497" s="23" t="str">
        <f>IF($A497="","",INDEX(tblIssues[Units This Month (Staff/Item)],MATCH(ROW()-5,tblIssues[Alert Row],0)))</f>
        <v/>
      </c>
      <c r="H497" s="23" t="str">
        <f>IF($A497="","",INDEX(tblIssues[Monthly Quota],MATCH(ROW()-5,tblIssues[Alert Row],0)))</f>
        <v/>
      </c>
      <c r="I497" s="27" t="str">
        <f t="shared" si="14"/>
        <v/>
      </c>
      <c r="J497" s="31" t="str">
        <f t="shared" si="15"/>
        <v/>
      </c>
    </row>
    <row r="498" spans="1:10" x14ac:dyDescent="0.35">
      <c r="A498" s="18" t="str">
        <f>IFERROR(INDEX(tblIssues[Staff ID],MATCH(ROW()-5,tblIssues[Alert Row],0)),"")</f>
        <v/>
      </c>
      <c r="B498" s="18" t="str">
        <f>IF($A498="","",INDEX(tblIssues[Staff Name (pick)],MATCH(ROW()-5,tblIssues[Alert Row],0)))</f>
        <v/>
      </c>
      <c r="C498" s="18" t="str">
        <f>IF($A498="","",INDEX(tblIssues[Role],MATCH(ROW()-5,tblIssues[Alert Row],0)))</f>
        <v/>
      </c>
      <c r="D498" s="25" t="str">
        <f>IF($A498="","",INDEX(tblIssues[Area],MATCH(ROW()-5,tblIssues[Alert Row],0)))</f>
        <v/>
      </c>
      <c r="E498" s="25" t="str">
        <f>IF($A498="","",INDEX(tblIssues[Item Name],MATCH(ROW()-5,tblIssues[Alert Row],0)))</f>
        <v/>
      </c>
      <c r="F498" s="98" t="str">
        <f>IF($A498="","",INDEX(tblIssues[Month],MATCH(ROW()-5,tblIssues[Alert Row],0)))</f>
        <v/>
      </c>
      <c r="G498" s="23" t="str">
        <f>IF($A498="","",INDEX(tblIssues[Units This Month (Staff/Item)],MATCH(ROW()-5,tblIssues[Alert Row],0)))</f>
        <v/>
      </c>
      <c r="H498" s="23" t="str">
        <f>IF($A498="","",INDEX(tblIssues[Monthly Quota],MATCH(ROW()-5,tblIssues[Alert Row],0)))</f>
        <v/>
      </c>
      <c r="I498" s="27" t="str">
        <f t="shared" si="14"/>
        <v/>
      </c>
      <c r="J498" s="31" t="str">
        <f t="shared" si="15"/>
        <v/>
      </c>
    </row>
    <row r="499" spans="1:10" x14ac:dyDescent="0.35">
      <c r="A499" s="18" t="str">
        <f>IFERROR(INDEX(tblIssues[Staff ID],MATCH(ROW()-5,tblIssues[Alert Row],0)),"")</f>
        <v/>
      </c>
      <c r="B499" s="18" t="str">
        <f>IF($A499="","",INDEX(tblIssues[Staff Name (pick)],MATCH(ROW()-5,tblIssues[Alert Row],0)))</f>
        <v/>
      </c>
      <c r="C499" s="18" t="str">
        <f>IF($A499="","",INDEX(tblIssues[Role],MATCH(ROW()-5,tblIssues[Alert Row],0)))</f>
        <v/>
      </c>
      <c r="D499" s="25" t="str">
        <f>IF($A499="","",INDEX(tblIssues[Area],MATCH(ROW()-5,tblIssues[Alert Row],0)))</f>
        <v/>
      </c>
      <c r="E499" s="25" t="str">
        <f>IF($A499="","",INDEX(tblIssues[Item Name],MATCH(ROW()-5,tblIssues[Alert Row],0)))</f>
        <v/>
      </c>
      <c r="F499" s="98" t="str">
        <f>IF($A499="","",INDEX(tblIssues[Month],MATCH(ROW()-5,tblIssues[Alert Row],0)))</f>
        <v/>
      </c>
      <c r="G499" s="23" t="str">
        <f>IF($A499="","",INDEX(tblIssues[Units This Month (Staff/Item)],MATCH(ROW()-5,tblIssues[Alert Row],0)))</f>
        <v/>
      </c>
      <c r="H499" s="23" t="str">
        <f>IF($A499="","",INDEX(tblIssues[Monthly Quota],MATCH(ROW()-5,tblIssues[Alert Row],0)))</f>
        <v/>
      </c>
      <c r="I499" s="27" t="str">
        <f t="shared" si="14"/>
        <v/>
      </c>
      <c r="J499" s="31" t="str">
        <f t="shared" si="15"/>
        <v/>
      </c>
    </row>
    <row r="500" spans="1:10" x14ac:dyDescent="0.35">
      <c r="A500" s="18" t="str">
        <f>IFERROR(INDEX(tblIssues[Staff ID],MATCH(ROW()-5,tblIssues[Alert Row],0)),"")</f>
        <v/>
      </c>
      <c r="B500" s="18" t="str">
        <f>IF($A500="","",INDEX(tblIssues[Staff Name (pick)],MATCH(ROW()-5,tblIssues[Alert Row],0)))</f>
        <v/>
      </c>
      <c r="C500" s="18" t="str">
        <f>IF($A500="","",INDEX(tblIssues[Role],MATCH(ROW()-5,tblIssues[Alert Row],0)))</f>
        <v/>
      </c>
      <c r="D500" s="25" t="str">
        <f>IF($A500="","",INDEX(tblIssues[Area],MATCH(ROW()-5,tblIssues[Alert Row],0)))</f>
        <v/>
      </c>
      <c r="E500" s="25" t="str">
        <f>IF($A500="","",INDEX(tblIssues[Item Name],MATCH(ROW()-5,tblIssues[Alert Row],0)))</f>
        <v/>
      </c>
      <c r="F500" s="98" t="str">
        <f>IF($A500="","",INDEX(tblIssues[Month],MATCH(ROW()-5,tblIssues[Alert Row],0)))</f>
        <v/>
      </c>
      <c r="G500" s="23" t="str">
        <f>IF($A500="","",INDEX(tblIssues[Units This Month (Staff/Item)],MATCH(ROW()-5,tblIssues[Alert Row],0)))</f>
        <v/>
      </c>
      <c r="H500" s="23" t="str">
        <f>IF($A500="","",INDEX(tblIssues[Monthly Quota],MATCH(ROW()-5,tblIssues[Alert Row],0)))</f>
        <v/>
      </c>
      <c r="I500" s="27" t="str">
        <f t="shared" si="14"/>
        <v/>
      </c>
      <c r="J500" s="31" t="str">
        <f t="shared" si="15"/>
        <v/>
      </c>
    </row>
    <row r="501" spans="1:10" x14ac:dyDescent="0.35">
      <c r="A501" s="18" t="str">
        <f>IFERROR(INDEX(tblIssues[Staff ID],MATCH(ROW()-5,tblIssues[Alert Row],0)),"")</f>
        <v/>
      </c>
      <c r="B501" s="18" t="str">
        <f>IF($A501="","",INDEX(tblIssues[Staff Name (pick)],MATCH(ROW()-5,tblIssues[Alert Row],0)))</f>
        <v/>
      </c>
      <c r="C501" s="18" t="str">
        <f>IF($A501="","",INDEX(tblIssues[Role],MATCH(ROW()-5,tblIssues[Alert Row],0)))</f>
        <v/>
      </c>
      <c r="D501" s="25" t="str">
        <f>IF($A501="","",INDEX(tblIssues[Area],MATCH(ROW()-5,tblIssues[Alert Row],0)))</f>
        <v/>
      </c>
      <c r="E501" s="25" t="str">
        <f>IF($A501="","",INDEX(tblIssues[Item Name],MATCH(ROW()-5,tblIssues[Alert Row],0)))</f>
        <v/>
      </c>
      <c r="F501" s="98" t="str">
        <f>IF($A501="","",INDEX(tblIssues[Month],MATCH(ROW()-5,tblIssues[Alert Row],0)))</f>
        <v/>
      </c>
      <c r="G501" s="23" t="str">
        <f>IF($A501="","",INDEX(tblIssues[Units This Month (Staff/Item)],MATCH(ROW()-5,tblIssues[Alert Row],0)))</f>
        <v/>
      </c>
      <c r="H501" s="23" t="str">
        <f>IF($A501="","",INDEX(tblIssues[Monthly Quota],MATCH(ROW()-5,tblIssues[Alert Row],0)))</f>
        <v/>
      </c>
      <c r="I501" s="27" t="str">
        <f t="shared" si="14"/>
        <v/>
      </c>
      <c r="J501" s="31" t="str">
        <f t="shared" si="15"/>
        <v/>
      </c>
    </row>
    <row r="502" spans="1:10" x14ac:dyDescent="0.35">
      <c r="A502" s="18" t="str">
        <f>IFERROR(INDEX(tblIssues[Staff ID],MATCH(ROW()-5,tblIssues[Alert Row],0)),"")</f>
        <v/>
      </c>
      <c r="B502" s="18" t="str">
        <f>IF($A502="","",INDEX(tblIssues[Staff Name (pick)],MATCH(ROW()-5,tblIssues[Alert Row],0)))</f>
        <v/>
      </c>
      <c r="C502" s="18" t="str">
        <f>IF($A502="","",INDEX(tblIssues[Role],MATCH(ROW()-5,tblIssues[Alert Row],0)))</f>
        <v/>
      </c>
      <c r="D502" s="25" t="str">
        <f>IF($A502="","",INDEX(tblIssues[Area],MATCH(ROW()-5,tblIssues[Alert Row],0)))</f>
        <v/>
      </c>
      <c r="E502" s="25" t="str">
        <f>IF($A502="","",INDEX(tblIssues[Item Name],MATCH(ROW()-5,tblIssues[Alert Row],0)))</f>
        <v/>
      </c>
      <c r="F502" s="98" t="str">
        <f>IF($A502="","",INDEX(tblIssues[Month],MATCH(ROW()-5,tblIssues[Alert Row],0)))</f>
        <v/>
      </c>
      <c r="G502" s="23" t="str">
        <f>IF($A502="","",INDEX(tblIssues[Units This Month (Staff/Item)],MATCH(ROW()-5,tblIssues[Alert Row],0)))</f>
        <v/>
      </c>
      <c r="H502" s="23" t="str">
        <f>IF($A502="","",INDEX(tblIssues[Monthly Quota],MATCH(ROW()-5,tblIssues[Alert Row],0)))</f>
        <v/>
      </c>
      <c r="I502" s="27" t="str">
        <f t="shared" si="14"/>
        <v/>
      </c>
      <c r="J502" s="31" t="str">
        <f t="shared" si="15"/>
        <v/>
      </c>
    </row>
    <row r="503" spans="1:10" x14ac:dyDescent="0.35">
      <c r="A503" s="18" t="str">
        <f>IFERROR(INDEX(tblIssues[Staff ID],MATCH(ROW()-5,tblIssues[Alert Row],0)),"")</f>
        <v/>
      </c>
      <c r="B503" s="18" t="str">
        <f>IF($A503="","",INDEX(tblIssues[Staff Name (pick)],MATCH(ROW()-5,tblIssues[Alert Row],0)))</f>
        <v/>
      </c>
      <c r="C503" s="18" t="str">
        <f>IF($A503="","",INDEX(tblIssues[Role],MATCH(ROW()-5,tblIssues[Alert Row],0)))</f>
        <v/>
      </c>
      <c r="D503" s="25" t="str">
        <f>IF($A503="","",INDEX(tblIssues[Area],MATCH(ROW()-5,tblIssues[Alert Row],0)))</f>
        <v/>
      </c>
      <c r="E503" s="25" t="str">
        <f>IF($A503="","",INDEX(tblIssues[Item Name],MATCH(ROW()-5,tblIssues[Alert Row],0)))</f>
        <v/>
      </c>
      <c r="F503" s="98" t="str">
        <f>IF($A503="","",INDEX(tblIssues[Month],MATCH(ROW()-5,tblIssues[Alert Row],0)))</f>
        <v/>
      </c>
      <c r="G503" s="23" t="str">
        <f>IF($A503="","",INDEX(tblIssues[Units This Month (Staff/Item)],MATCH(ROW()-5,tblIssues[Alert Row],0)))</f>
        <v/>
      </c>
      <c r="H503" s="23" t="str">
        <f>IF($A503="","",INDEX(tblIssues[Monthly Quota],MATCH(ROW()-5,tblIssues[Alert Row],0)))</f>
        <v/>
      </c>
      <c r="I503" s="27" t="str">
        <f t="shared" si="14"/>
        <v/>
      </c>
      <c r="J503" s="31" t="str">
        <f t="shared" si="15"/>
        <v/>
      </c>
    </row>
    <row r="504" spans="1:10" x14ac:dyDescent="0.35">
      <c r="A504" s="18" t="str">
        <f>IFERROR(INDEX(tblIssues[Staff ID],MATCH(ROW()-5,tblIssues[Alert Row],0)),"")</f>
        <v/>
      </c>
      <c r="B504" s="18" t="str">
        <f>IF($A504="","",INDEX(tblIssues[Staff Name (pick)],MATCH(ROW()-5,tblIssues[Alert Row],0)))</f>
        <v/>
      </c>
      <c r="C504" s="18" t="str">
        <f>IF($A504="","",INDEX(tblIssues[Role],MATCH(ROW()-5,tblIssues[Alert Row],0)))</f>
        <v/>
      </c>
      <c r="D504" s="25" t="str">
        <f>IF($A504="","",INDEX(tblIssues[Area],MATCH(ROW()-5,tblIssues[Alert Row],0)))</f>
        <v/>
      </c>
      <c r="E504" s="25" t="str">
        <f>IF($A504="","",INDEX(tblIssues[Item Name],MATCH(ROW()-5,tblIssues[Alert Row],0)))</f>
        <v/>
      </c>
      <c r="F504" s="98" t="str">
        <f>IF($A504="","",INDEX(tblIssues[Month],MATCH(ROW()-5,tblIssues[Alert Row],0)))</f>
        <v/>
      </c>
      <c r="G504" s="23" t="str">
        <f>IF($A504="","",INDEX(tblIssues[Units This Month (Staff/Item)],MATCH(ROW()-5,tblIssues[Alert Row],0)))</f>
        <v/>
      </c>
      <c r="H504" s="23" t="str">
        <f>IF($A504="","",INDEX(tblIssues[Monthly Quota],MATCH(ROW()-5,tblIssues[Alert Row],0)))</f>
        <v/>
      </c>
      <c r="I504" s="27" t="str">
        <f t="shared" si="14"/>
        <v/>
      </c>
      <c r="J504" s="31" t="str">
        <f t="shared" si="15"/>
        <v/>
      </c>
    </row>
    <row r="505" spans="1:10" x14ac:dyDescent="0.35">
      <c r="A505" s="18" t="str">
        <f>IFERROR(INDEX(tblIssues[Staff ID],MATCH(ROW()-5,tblIssues[Alert Row],0)),"")</f>
        <v/>
      </c>
      <c r="B505" s="18" t="str">
        <f>IF($A505="","",INDEX(tblIssues[Staff Name (pick)],MATCH(ROW()-5,tblIssues[Alert Row],0)))</f>
        <v/>
      </c>
      <c r="C505" s="18" t="str">
        <f>IF($A505="","",INDEX(tblIssues[Role],MATCH(ROW()-5,tblIssues[Alert Row],0)))</f>
        <v/>
      </c>
      <c r="D505" s="25" t="str">
        <f>IF($A505="","",INDEX(tblIssues[Area],MATCH(ROW()-5,tblIssues[Alert Row],0)))</f>
        <v/>
      </c>
      <c r="E505" s="25" t="str">
        <f>IF($A505="","",INDEX(tblIssues[Item Name],MATCH(ROW()-5,tblIssues[Alert Row],0)))</f>
        <v/>
      </c>
      <c r="F505" s="98" t="str">
        <f>IF($A505="","",INDEX(tblIssues[Month],MATCH(ROW()-5,tblIssues[Alert Row],0)))</f>
        <v/>
      </c>
      <c r="G505" s="23" t="str">
        <f>IF($A505="","",INDEX(tblIssues[Units This Month (Staff/Item)],MATCH(ROW()-5,tblIssues[Alert Row],0)))</f>
        <v/>
      </c>
      <c r="H505" s="23" t="str">
        <f>IF($A505="","",INDEX(tblIssues[Monthly Quota],MATCH(ROW()-5,tblIssues[Alert Row],0)))</f>
        <v/>
      </c>
      <c r="I505" s="27" t="str">
        <f t="shared" si="14"/>
        <v/>
      </c>
      <c r="J505" s="31" t="str">
        <f t="shared" si="15"/>
        <v/>
      </c>
    </row>
  </sheetData>
  <mergeCells count="2">
    <mergeCell ref="A1:J1"/>
    <mergeCell ref="A2:J2"/>
  </mergeCells>
  <conditionalFormatting sqref="J6:J505">
    <cfRule type="containsText" dxfId="1" priority="1" operator="containsText" text="OVER">
      <formula>NOT(ISERROR(SEARCH("OVER",J6)))</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B3A5C"/>
  </sheetPr>
  <dimension ref="A1:J600"/>
  <sheetViews>
    <sheetView showGridLines="0" zoomScaleNormal="100" workbookViewId="0">
      <pane ySplit="4" topLeftCell="A27" activePane="bottomLeft" state="frozen"/>
      <selection pane="bottomLeft" sqref="A1:J1"/>
    </sheetView>
  </sheetViews>
  <sheetFormatPr defaultColWidth="8.54296875" defaultRowHeight="14.5" x14ac:dyDescent="0.35"/>
  <cols>
    <col min="1" max="1" width="14" customWidth="1"/>
    <col min="2" max="2" width="22" customWidth="1"/>
    <col min="3" max="3" width="12" customWidth="1"/>
    <col min="4" max="4" width="11" customWidth="1"/>
    <col min="5" max="6" width="13" customWidth="1"/>
    <col min="7" max="8" width="14" customWidth="1"/>
    <col min="9" max="9" width="18" customWidth="1"/>
    <col min="10" max="10" width="17" customWidth="1"/>
  </cols>
  <sheetData>
    <row r="1" spans="1:10" ht="24" customHeight="1" x14ac:dyDescent="0.35">
      <c r="A1" s="117" t="s">
        <v>540</v>
      </c>
      <c r="B1" s="117"/>
      <c r="C1" s="117"/>
      <c r="D1" s="117"/>
      <c r="E1" s="117"/>
      <c r="F1" s="117"/>
      <c r="G1" s="117"/>
      <c r="H1" s="117"/>
      <c r="I1" s="117"/>
      <c r="J1" s="117"/>
    </row>
    <row r="2" spans="1:10" ht="13.5" customHeight="1" x14ac:dyDescent="0.35">
      <c r="A2" s="118" t="s">
        <v>541</v>
      </c>
      <c r="B2" s="118"/>
      <c r="C2" s="118"/>
      <c r="D2" s="118"/>
      <c r="E2" s="118"/>
      <c r="F2" s="118"/>
      <c r="G2" s="118"/>
      <c r="H2" s="118"/>
      <c r="I2" s="118"/>
      <c r="J2" s="118"/>
    </row>
    <row r="4" spans="1:10" ht="25.5" customHeight="1" x14ac:dyDescent="0.35">
      <c r="A4" s="3" t="s">
        <v>301</v>
      </c>
      <c r="B4" s="3" t="s">
        <v>302</v>
      </c>
      <c r="C4" s="3" t="s">
        <v>303</v>
      </c>
      <c r="D4" s="3" t="s">
        <v>304</v>
      </c>
      <c r="E4" s="3" t="s">
        <v>542</v>
      </c>
      <c r="F4" s="3" t="s">
        <v>543</v>
      </c>
      <c r="G4" s="3" t="s">
        <v>544</v>
      </c>
      <c r="H4" s="3" t="s">
        <v>545</v>
      </c>
      <c r="I4" s="3" t="s">
        <v>546</v>
      </c>
      <c r="J4" s="3" t="s">
        <v>547</v>
      </c>
    </row>
    <row r="5" spans="1:10" x14ac:dyDescent="0.35">
      <c r="A5" s="18" t="str">
        <f>IF('Staff Directory'!$A5="","",'Staff Directory'!$A5)</f>
        <v>RN-001-A1</v>
      </c>
      <c r="B5" s="18" t="str">
        <f>IF($A5="","",'Staff Directory'!$B5)</f>
        <v>Lastname001, Firstname001</v>
      </c>
      <c r="C5" s="19" t="str">
        <f>IF($A5="","",'Staff Directory'!$C5)</f>
        <v>RN</v>
      </c>
      <c r="D5" s="19" t="str">
        <f>IF($A5="","",'Staff Directory'!$D5)</f>
        <v>A1</v>
      </c>
      <c r="E5" s="26">
        <f>IF($A5="","",COUNTIFS(tblIssues[Staff ID],$A5))</f>
        <v>0</v>
      </c>
      <c r="F5" s="26">
        <f>IF($A5="","",SUMIFS(tblIssues[Qty Issued],tblIssues[Staff ID],$A5))</f>
        <v>0</v>
      </c>
      <c r="G5" s="21">
        <f>IF($A5="","",SUMIFS(tblIssues[Line Cost],tblIssues[Staff ID],$A5))</f>
        <v>0</v>
      </c>
      <c r="H5" s="24" t="str">
        <f>IF($A5="","",IF($E5=0,"",IFERROR(_xlfn.MAXIFS(tblIssues[Order Date],tblIssues[Staff ID],$A5),"")))</f>
        <v/>
      </c>
      <c r="I5" s="24" t="str">
        <f>IF($A5="","",IF($E5=0,"",IFERROR(_xlfn.MAXIFS(tblIssues[Next Scheduled],tblIssues[Staff ID],$A5),"")))</f>
        <v/>
      </c>
      <c r="J5" s="26">
        <f>IF($A5="","",COUNTIFS(tblIssues[Staff ID],$A5,tblIssues[Status],"Pending"))</f>
        <v>0</v>
      </c>
    </row>
    <row r="6" spans="1:10" x14ac:dyDescent="0.35">
      <c r="A6" s="18" t="str">
        <f>IF('Staff Directory'!$A6="","",'Staff Directory'!$A6)</f>
        <v>RN-002-A1</v>
      </c>
      <c r="B6" s="18" t="str">
        <f>IF($A6="","",'Staff Directory'!$B6)</f>
        <v>Lastname002, Firstname002</v>
      </c>
      <c r="C6" s="19" t="str">
        <f>IF($A6="","",'Staff Directory'!$C6)</f>
        <v>RN</v>
      </c>
      <c r="D6" s="19" t="str">
        <f>IF($A6="","",'Staff Directory'!$D6)</f>
        <v>A1</v>
      </c>
      <c r="E6" s="26">
        <f>IF($A6="","",COUNTIFS(tblIssues[Staff ID],$A6))</f>
        <v>16</v>
      </c>
      <c r="F6" s="26">
        <f>IF($A6="","",SUMIFS(tblIssues[Qty Issued],tblIssues[Staff ID],$A6))</f>
        <v>2013</v>
      </c>
      <c r="G6" s="21">
        <f>IF($A6="","",SUMIFS(tblIssues[Line Cost],tblIssues[Staff ID],$A6))</f>
        <v>164.00030000000001</v>
      </c>
      <c r="H6" s="24">
        <f>IF($A6="","",IF($E6=0,"",IFERROR(_xlfn.MAXIFS(tblIssues[Order Date],tblIssues[Staff ID],$A6),"")))</f>
        <v>46224</v>
      </c>
      <c r="I6" s="24">
        <f>IF($A6="","",IF($E6=0,"",IFERROR(_xlfn.MAXIFS(tblIssues[Next Scheduled],tblIssues[Staff ID],$A6),"")))</f>
        <v>46272</v>
      </c>
      <c r="J6" s="26">
        <f>IF($A6="","",COUNTIFS(tblIssues[Staff ID],$A6,tblIssues[Status],"Pending"))</f>
        <v>0</v>
      </c>
    </row>
    <row r="7" spans="1:10" x14ac:dyDescent="0.35">
      <c r="A7" s="18" t="str">
        <f>IF('Staff Directory'!$A7="","",'Staff Directory'!$A7)</f>
        <v>RN-003-A1</v>
      </c>
      <c r="B7" s="18" t="str">
        <f>IF($A7="","",'Staff Directory'!$B7)</f>
        <v>Lastname003, Firstname003</v>
      </c>
      <c r="C7" s="19" t="str">
        <f>IF($A7="","",'Staff Directory'!$C7)</f>
        <v>RN</v>
      </c>
      <c r="D7" s="19" t="str">
        <f>IF($A7="","",'Staff Directory'!$D7)</f>
        <v>A1</v>
      </c>
      <c r="E7" s="26">
        <f>IF($A7="","",COUNTIFS(tblIssues[Staff ID],$A7))</f>
        <v>0</v>
      </c>
      <c r="F7" s="26">
        <f>IF($A7="","",SUMIFS(tblIssues[Qty Issued],tblIssues[Staff ID],$A7))</f>
        <v>0</v>
      </c>
      <c r="G7" s="21">
        <f>IF($A7="","",SUMIFS(tblIssues[Line Cost],tblIssues[Staff ID],$A7))</f>
        <v>0</v>
      </c>
      <c r="H7" s="24" t="str">
        <f>IF($A7="","",IF($E7=0,"",IFERROR(_xlfn.MAXIFS(tblIssues[Order Date],tblIssues[Staff ID],$A7),"")))</f>
        <v/>
      </c>
      <c r="I7" s="24" t="str">
        <f>IF($A7="","",IF($E7=0,"",IFERROR(_xlfn.MAXIFS(tblIssues[Next Scheduled],tblIssues[Staff ID],$A7),"")))</f>
        <v/>
      </c>
      <c r="J7" s="26">
        <f>IF($A7="","",COUNTIFS(tblIssues[Staff ID],$A7,tblIssues[Status],"Pending"))</f>
        <v>0</v>
      </c>
    </row>
    <row r="8" spans="1:10" x14ac:dyDescent="0.35">
      <c r="A8" s="18" t="str">
        <f>IF('Staff Directory'!$A8="","",'Staff Directory'!$A8)</f>
        <v>RN-004-A2</v>
      </c>
      <c r="B8" s="18" t="str">
        <f>IF($A8="","",'Staff Directory'!$B8)</f>
        <v>Lastname004, Firstname004</v>
      </c>
      <c r="C8" s="19" t="str">
        <f>IF($A8="","",'Staff Directory'!$C8)</f>
        <v>RN</v>
      </c>
      <c r="D8" s="19" t="str">
        <f>IF($A8="","",'Staff Directory'!$D8)</f>
        <v>A2</v>
      </c>
      <c r="E8" s="26">
        <f>IF($A8="","",COUNTIFS(tblIssues[Staff ID],$A8))</f>
        <v>20</v>
      </c>
      <c r="F8" s="26">
        <f>IF($A8="","",SUMIFS(tblIssues[Qty Issued],tblIssues[Staff ID],$A8))</f>
        <v>2426</v>
      </c>
      <c r="G8" s="21">
        <f>IF($A8="","",SUMIFS(tblIssues[Line Cost],tblIssues[Staff ID],$A8))</f>
        <v>162.9803</v>
      </c>
      <c r="H8" s="24">
        <f>IF($A8="","",IF($E8=0,"",IFERROR(_xlfn.MAXIFS(tblIssues[Order Date],tblIssues[Staff ID],$A8),"")))</f>
        <v>46213</v>
      </c>
      <c r="I8" s="24">
        <f>IF($A8="","",IF($E8=0,"",IFERROR(_xlfn.MAXIFS(tblIssues[Next Scheduled],tblIssues[Staff ID],$A8),"")))</f>
        <v>46261</v>
      </c>
      <c r="J8" s="26">
        <f>IF($A8="","",COUNTIFS(tblIssues[Staff ID],$A8,tblIssues[Status],"Pending"))</f>
        <v>0</v>
      </c>
    </row>
    <row r="9" spans="1:10" x14ac:dyDescent="0.35">
      <c r="A9" s="18" t="str">
        <f>IF('Staff Directory'!$A9="","",'Staff Directory'!$A9)</f>
        <v>RN-005-A1</v>
      </c>
      <c r="B9" s="18" t="str">
        <f>IF($A9="","",'Staff Directory'!$B9)</f>
        <v>Lastname005, Firstname005</v>
      </c>
      <c r="C9" s="19" t="str">
        <f>IF($A9="","",'Staff Directory'!$C9)</f>
        <v>RN</v>
      </c>
      <c r="D9" s="19" t="str">
        <f>IF($A9="","",'Staff Directory'!$D9)</f>
        <v>A1</v>
      </c>
      <c r="E9" s="26">
        <f>IF($A9="","",COUNTIFS(tblIssues[Staff ID],$A9))</f>
        <v>0</v>
      </c>
      <c r="F9" s="26">
        <f>IF($A9="","",SUMIFS(tblIssues[Qty Issued],tblIssues[Staff ID],$A9))</f>
        <v>0</v>
      </c>
      <c r="G9" s="21">
        <f>IF($A9="","",SUMIFS(tblIssues[Line Cost],tblIssues[Staff ID],$A9))</f>
        <v>0</v>
      </c>
      <c r="H9" s="24" t="str">
        <f>IF($A9="","",IF($E9=0,"",IFERROR(_xlfn.MAXIFS(tblIssues[Order Date],tblIssues[Staff ID],$A9),"")))</f>
        <v/>
      </c>
      <c r="I9" s="24" t="str">
        <f>IF($A9="","",IF($E9=0,"",IFERROR(_xlfn.MAXIFS(tblIssues[Next Scheduled],tblIssues[Staff ID],$A9),"")))</f>
        <v/>
      </c>
      <c r="J9" s="26">
        <f>IF($A9="","",COUNTIFS(tblIssues[Staff ID],$A9,tblIssues[Status],"Pending"))</f>
        <v>0</v>
      </c>
    </row>
    <row r="10" spans="1:10" x14ac:dyDescent="0.35">
      <c r="A10" s="18" t="str">
        <f>IF('Staff Directory'!$A10="","",'Staff Directory'!$A10)</f>
        <v>RN-006-A1</v>
      </c>
      <c r="B10" s="18" t="str">
        <f>IF($A10="","",'Staff Directory'!$B10)</f>
        <v>Lastname006, Firstname006</v>
      </c>
      <c r="C10" s="19" t="str">
        <f>IF($A10="","",'Staff Directory'!$C10)</f>
        <v>RN</v>
      </c>
      <c r="D10" s="19" t="str">
        <f>IF($A10="","",'Staff Directory'!$D10)</f>
        <v>A1</v>
      </c>
      <c r="E10" s="26">
        <f>IF($A10="","",COUNTIFS(tblIssues[Staff ID],$A10))</f>
        <v>21</v>
      </c>
      <c r="F10" s="26">
        <f>IF($A10="","",SUMIFS(tblIssues[Qty Issued],tblIssues[Staff ID],$A10))</f>
        <v>2597</v>
      </c>
      <c r="G10" s="21">
        <f>IF($A10="","",SUMIFS(tblIssues[Line Cost],tblIssues[Staff ID],$A10))</f>
        <v>212.46019999999999</v>
      </c>
      <c r="H10" s="24">
        <f>IF($A10="","",IF($E10=0,"",IFERROR(_xlfn.MAXIFS(tblIssues[Order Date],tblIssues[Staff ID],$A10),"")))</f>
        <v>46204</v>
      </c>
      <c r="I10" s="24">
        <f>IF($A10="","",IF($E10=0,"",IFERROR(_xlfn.MAXIFS(tblIssues[Next Scheduled],tblIssues[Staff ID],$A10),"")))</f>
        <v>46252</v>
      </c>
      <c r="J10" s="26">
        <f>IF($A10="","",COUNTIFS(tblIssues[Staff ID],$A10,tblIssues[Status],"Pending"))</f>
        <v>0</v>
      </c>
    </row>
    <row r="11" spans="1:10" x14ac:dyDescent="0.35">
      <c r="A11" s="18" t="str">
        <f>IF('Staff Directory'!$A11="","",'Staff Directory'!$A11)</f>
        <v>RN-007-A1</v>
      </c>
      <c r="B11" s="18" t="str">
        <f>IF($A11="","",'Staff Directory'!$B11)</f>
        <v>Lastname007, Firstname007</v>
      </c>
      <c r="C11" s="19" t="str">
        <f>IF($A11="","",'Staff Directory'!$C11)</f>
        <v>RN</v>
      </c>
      <c r="D11" s="19" t="str">
        <f>IF($A11="","",'Staff Directory'!$D11)</f>
        <v>A1</v>
      </c>
      <c r="E11" s="26">
        <f>IF($A11="","",COUNTIFS(tblIssues[Staff ID],$A11))</f>
        <v>0</v>
      </c>
      <c r="F11" s="26">
        <f>IF($A11="","",SUMIFS(tblIssues[Qty Issued],tblIssues[Staff ID],$A11))</f>
        <v>0</v>
      </c>
      <c r="G11" s="21">
        <f>IF($A11="","",SUMIFS(tblIssues[Line Cost],tblIssues[Staff ID],$A11))</f>
        <v>0</v>
      </c>
      <c r="H11" s="24" t="str">
        <f>IF($A11="","",IF($E11=0,"",IFERROR(_xlfn.MAXIFS(tblIssues[Order Date],tblIssues[Staff ID],$A11),"")))</f>
        <v/>
      </c>
      <c r="I11" s="24" t="str">
        <f>IF($A11="","",IF($E11=0,"",IFERROR(_xlfn.MAXIFS(tblIssues[Next Scheduled],tblIssues[Staff ID],$A11),"")))</f>
        <v/>
      </c>
      <c r="J11" s="26">
        <f>IF($A11="","",COUNTIFS(tblIssues[Staff ID],$A11,tblIssues[Status],"Pending"))</f>
        <v>0</v>
      </c>
    </row>
    <row r="12" spans="1:10" x14ac:dyDescent="0.35">
      <c r="A12" s="18" t="str">
        <f>IF('Staff Directory'!$A12="","",'Staff Directory'!$A12)</f>
        <v>RN-008-A1</v>
      </c>
      <c r="B12" s="18" t="str">
        <f>IF($A12="","",'Staff Directory'!$B12)</f>
        <v>Lastname008, Firstname008</v>
      </c>
      <c r="C12" s="19" t="str">
        <f>IF($A12="","",'Staff Directory'!$C12)</f>
        <v>RN</v>
      </c>
      <c r="D12" s="19" t="str">
        <f>IF($A12="","",'Staff Directory'!$D12)</f>
        <v>A1</v>
      </c>
      <c r="E12" s="26">
        <f>IF($A12="","",COUNTIFS(tblIssues[Staff ID],$A12))</f>
        <v>1</v>
      </c>
      <c r="F12" s="26">
        <f>IF($A12="","",SUMIFS(tblIssues[Qty Issued],tblIssues[Staff ID],$A12))</f>
        <v>10</v>
      </c>
      <c r="G12" s="21">
        <f>IF($A12="","",SUMIFS(tblIssues[Line Cost],tblIssues[Staff ID],$A12))</f>
        <v>0</v>
      </c>
      <c r="H12" s="24">
        <f>IF($A12="","",IF($E12=0,"",IFERROR(_xlfn.MAXIFS(tblIssues[Order Date],tblIssues[Staff ID],$A12),"")))</f>
        <v>46150</v>
      </c>
      <c r="I12" s="24">
        <f>IF($A12="","",IF($E12=0,"",IFERROR(_xlfn.MAXIFS(tblIssues[Next Scheduled],tblIssues[Staff ID],$A12),"")))</f>
        <v>46198</v>
      </c>
      <c r="J12" s="26">
        <f>IF($A12="","",COUNTIFS(tblIssues[Staff ID],$A12,tblIssues[Status],"Pending"))</f>
        <v>0</v>
      </c>
    </row>
    <row r="13" spans="1:10" x14ac:dyDescent="0.35">
      <c r="A13" s="18" t="str">
        <f>IF('Staff Directory'!$A13="","",'Staff Directory'!$A13)</f>
        <v>RN-009-A2</v>
      </c>
      <c r="B13" s="18" t="str">
        <f>IF($A13="","",'Staff Directory'!$B13)</f>
        <v>Lastname009, Firstname009</v>
      </c>
      <c r="C13" s="19" t="str">
        <f>IF($A13="","",'Staff Directory'!$C13)</f>
        <v>RN</v>
      </c>
      <c r="D13" s="19" t="str">
        <f>IF($A13="","",'Staff Directory'!$D13)</f>
        <v>A2</v>
      </c>
      <c r="E13" s="26">
        <f>IF($A13="","",COUNTIFS(tblIssues[Staff ID],$A13))</f>
        <v>12</v>
      </c>
      <c r="F13" s="26">
        <f>IF($A13="","",SUMIFS(tblIssues[Qty Issued],tblIssues[Staff ID],$A13))</f>
        <v>1284</v>
      </c>
      <c r="G13" s="21">
        <f>IF($A13="","",SUMIFS(tblIssues[Line Cost],tblIssues[Staff ID],$A13))</f>
        <v>96.000400000000013</v>
      </c>
      <c r="H13" s="24">
        <f>IF($A13="","",IF($E13=0,"",IFERROR(_xlfn.MAXIFS(tblIssues[Order Date],tblIssues[Staff ID],$A13),"")))</f>
        <v>46161</v>
      </c>
      <c r="I13" s="24">
        <f>IF($A13="","",IF($E13=0,"",IFERROR(_xlfn.MAXIFS(tblIssues[Next Scheduled],tblIssues[Staff ID],$A13),"")))</f>
        <v>46209</v>
      </c>
      <c r="J13" s="26">
        <f>IF($A13="","",COUNTIFS(tblIssues[Staff ID],$A13,tblIssues[Status],"Pending"))</f>
        <v>0</v>
      </c>
    </row>
    <row r="14" spans="1:10" x14ac:dyDescent="0.35">
      <c r="A14" s="18" t="str">
        <f>IF('Staff Directory'!$A14="","",'Staff Directory'!$A14)</f>
        <v>RN-010-A2</v>
      </c>
      <c r="B14" s="18" t="str">
        <f>IF($A14="","",'Staff Directory'!$B14)</f>
        <v>Lastname010, Firstname010</v>
      </c>
      <c r="C14" s="19" t="str">
        <f>IF($A14="","",'Staff Directory'!$C14)</f>
        <v>RN</v>
      </c>
      <c r="D14" s="19" t="str">
        <f>IF($A14="","",'Staff Directory'!$D14)</f>
        <v>A2</v>
      </c>
      <c r="E14" s="26">
        <f>IF($A14="","",COUNTIFS(tblIssues[Staff ID],$A14))</f>
        <v>10</v>
      </c>
      <c r="F14" s="26">
        <f>IF($A14="","",SUMIFS(tblIssues[Qty Issued],tblIssues[Staff ID],$A14))</f>
        <v>1027</v>
      </c>
      <c r="G14" s="21">
        <f>IF($A14="","",SUMIFS(tblIssues[Line Cost],tblIssues[Staff ID],$A14))</f>
        <v>63.9803</v>
      </c>
      <c r="H14" s="24">
        <f>IF($A14="","",IF($E14=0,"",IFERROR(_xlfn.MAXIFS(tblIssues[Order Date],tblIssues[Staff ID],$A14),"")))</f>
        <v>46219</v>
      </c>
      <c r="I14" s="24">
        <f>IF($A14="","",IF($E14=0,"",IFERROR(_xlfn.MAXIFS(tblIssues[Next Scheduled],tblIssues[Staff ID],$A14),"")))</f>
        <v>46267</v>
      </c>
      <c r="J14" s="26">
        <f>IF($A14="","",COUNTIFS(tblIssues[Staff ID],$A14,tblIssues[Status],"Pending"))</f>
        <v>0</v>
      </c>
    </row>
    <row r="15" spans="1:10" x14ac:dyDescent="0.35">
      <c r="A15" s="18" t="str">
        <f>IF('Staff Directory'!$A15="","",'Staff Directory'!$A15)</f>
        <v>RN-011-A2</v>
      </c>
      <c r="B15" s="18" t="str">
        <f>IF($A15="","",'Staff Directory'!$B15)</f>
        <v>Lastname011, Firstname011</v>
      </c>
      <c r="C15" s="19" t="str">
        <f>IF($A15="","",'Staff Directory'!$C15)</f>
        <v>RN</v>
      </c>
      <c r="D15" s="19" t="str">
        <f>IF($A15="","",'Staff Directory'!$D15)</f>
        <v>A2</v>
      </c>
      <c r="E15" s="26">
        <f>IF($A15="","",COUNTIFS(tblIssues[Staff ID],$A15))</f>
        <v>12</v>
      </c>
      <c r="F15" s="26">
        <f>IF($A15="","",SUMIFS(tblIssues[Qty Issued],tblIssues[Staff ID],$A15))</f>
        <v>1793</v>
      </c>
      <c r="G15" s="21">
        <f>IF($A15="","",SUMIFS(tblIssues[Line Cost],tblIssues[Staff ID],$A15))</f>
        <v>132.48009999999999</v>
      </c>
      <c r="H15" s="24">
        <f>IF($A15="","",IF($E15=0,"",IFERROR(_xlfn.MAXIFS(tblIssues[Order Date],tblIssues[Staff ID],$A15),"")))</f>
        <v>46189</v>
      </c>
      <c r="I15" s="24">
        <f>IF($A15="","",IF($E15=0,"",IFERROR(_xlfn.MAXIFS(tblIssues[Next Scheduled],tblIssues[Staff ID],$A15),"")))</f>
        <v>46237</v>
      </c>
      <c r="J15" s="26">
        <f>IF($A15="","",COUNTIFS(tblIssues[Staff ID],$A15,tblIssues[Status],"Pending"))</f>
        <v>0</v>
      </c>
    </row>
    <row r="16" spans="1:10" x14ac:dyDescent="0.35">
      <c r="A16" s="18" t="str">
        <f>IF('Staff Directory'!$A16="","",'Staff Directory'!$A16)</f>
        <v>RPN-001-A1</v>
      </c>
      <c r="B16" s="18" t="str">
        <f>IF($A16="","",'Staff Directory'!$B16)</f>
        <v>Lastname012, Firstname012</v>
      </c>
      <c r="C16" s="19" t="str">
        <f>IF($A16="","",'Staff Directory'!$C16)</f>
        <v>RPN</v>
      </c>
      <c r="D16" s="19" t="str">
        <f>IF($A16="","",'Staff Directory'!$D16)</f>
        <v>A1</v>
      </c>
      <c r="E16" s="26">
        <f>IF($A16="","",COUNTIFS(tblIssues[Staff ID],$A16))</f>
        <v>13</v>
      </c>
      <c r="F16" s="26">
        <f>IF($A16="","",SUMIFS(tblIssues[Qty Issued],tblIssues[Staff ID],$A16))</f>
        <v>1340</v>
      </c>
      <c r="G16" s="21">
        <f>IF($A16="","",SUMIFS(tblIssues[Line Cost],tblIssues[Staff ID],$A16))</f>
        <v>96</v>
      </c>
      <c r="H16" s="24">
        <f>IF($A16="","",IF($E16=0,"",IFERROR(_xlfn.MAXIFS(tblIssues[Order Date],tblIssues[Staff ID],$A16),"")))</f>
        <v>46189</v>
      </c>
      <c r="I16" s="24">
        <f>IF($A16="","",IF($E16=0,"",IFERROR(_xlfn.MAXIFS(tblIssues[Next Scheduled],tblIssues[Staff ID],$A16),"")))</f>
        <v>46237</v>
      </c>
      <c r="J16" s="26">
        <f>IF($A16="","",COUNTIFS(tblIssues[Staff ID],$A16,tblIssues[Status],"Pending"))</f>
        <v>0</v>
      </c>
    </row>
    <row r="17" spans="1:10" x14ac:dyDescent="0.35">
      <c r="A17" s="18" t="str">
        <f>IF('Staff Directory'!$A17="","",'Staff Directory'!$A17)</f>
        <v>RN-012-A1</v>
      </c>
      <c r="B17" s="18" t="str">
        <f>IF($A17="","",'Staff Directory'!$B17)</f>
        <v>Lastname013, Firstname013</v>
      </c>
      <c r="C17" s="19" t="str">
        <f>IF($A17="","",'Staff Directory'!$C17)</f>
        <v>RN</v>
      </c>
      <c r="D17" s="19" t="str">
        <f>IF($A17="","",'Staff Directory'!$D17)</f>
        <v>A1</v>
      </c>
      <c r="E17" s="26">
        <f>IF($A17="","",COUNTIFS(tblIssues[Staff ID],$A17))</f>
        <v>0</v>
      </c>
      <c r="F17" s="26">
        <f>IF($A17="","",SUMIFS(tblIssues[Qty Issued],tblIssues[Staff ID],$A17))</f>
        <v>0</v>
      </c>
      <c r="G17" s="21">
        <f>IF($A17="","",SUMIFS(tblIssues[Line Cost],tblIssues[Staff ID],$A17))</f>
        <v>0</v>
      </c>
      <c r="H17" s="24" t="str">
        <f>IF($A17="","",IF($E17=0,"",IFERROR(_xlfn.MAXIFS(tblIssues[Order Date],tblIssues[Staff ID],$A17),"")))</f>
        <v/>
      </c>
      <c r="I17" s="24" t="str">
        <f>IF($A17="","",IF($E17=0,"",IFERROR(_xlfn.MAXIFS(tblIssues[Next Scheduled],tblIssues[Staff ID],$A17),"")))</f>
        <v/>
      </c>
      <c r="J17" s="26">
        <f>IF($A17="","",COUNTIFS(tblIssues[Staff ID],$A17,tblIssues[Status],"Pending"))</f>
        <v>0</v>
      </c>
    </row>
    <row r="18" spans="1:10" x14ac:dyDescent="0.35">
      <c r="A18" s="18" t="str">
        <f>IF('Staff Directory'!$A18="","",'Staff Directory'!$A18)</f>
        <v>RN-013-A2</v>
      </c>
      <c r="B18" s="18" t="str">
        <f>IF($A18="","",'Staff Directory'!$B18)</f>
        <v>Lastname014, Firstname014</v>
      </c>
      <c r="C18" s="19" t="str">
        <f>IF($A18="","",'Staff Directory'!$C18)</f>
        <v>RN</v>
      </c>
      <c r="D18" s="19" t="str">
        <f>IF($A18="","",'Staff Directory'!$D18)</f>
        <v>A2</v>
      </c>
      <c r="E18" s="26">
        <f>IF($A18="","",COUNTIFS(tblIssues[Staff ID],$A18))</f>
        <v>1</v>
      </c>
      <c r="F18" s="26">
        <f>IF($A18="","",SUMIFS(tblIssues[Qty Issued],tblIssues[Staff ID],$A18))</f>
        <v>10</v>
      </c>
      <c r="G18" s="21">
        <f>IF($A18="","",SUMIFS(tblIssues[Line Cost],tblIssues[Staff ID],$A18))</f>
        <v>0</v>
      </c>
      <c r="H18" s="24">
        <f>IF($A18="","",IF($E18=0,"",IFERROR(_xlfn.MAXIFS(tblIssues[Order Date],tblIssues[Staff ID],$A18),"")))</f>
        <v>46121</v>
      </c>
      <c r="I18" s="24">
        <f>IF($A18="","",IF($E18=0,"",IFERROR(_xlfn.MAXIFS(tblIssues[Next Scheduled],tblIssues[Staff ID],$A18),"")))</f>
        <v>46169</v>
      </c>
      <c r="J18" s="26">
        <f>IF($A18="","",COUNTIFS(tblIssues[Staff ID],$A18,tblIssues[Status],"Pending"))</f>
        <v>0</v>
      </c>
    </row>
    <row r="19" spans="1:10" x14ac:dyDescent="0.35">
      <c r="A19" s="18" t="str">
        <f>IF('Staff Directory'!$A19="","",'Staff Directory'!$A19)</f>
        <v>RN-014-A1</v>
      </c>
      <c r="B19" s="18" t="str">
        <f>IF($A19="","",'Staff Directory'!$B19)</f>
        <v>Lastname015, Firstname015</v>
      </c>
      <c r="C19" s="19" t="str">
        <f>IF($A19="","",'Staff Directory'!$C19)</f>
        <v>RN</v>
      </c>
      <c r="D19" s="19" t="str">
        <f>IF($A19="","",'Staff Directory'!$D19)</f>
        <v>A1</v>
      </c>
      <c r="E19" s="26">
        <f>IF($A19="","",COUNTIFS(tblIssues[Staff ID],$A19))</f>
        <v>1</v>
      </c>
      <c r="F19" s="26">
        <f>IF($A19="","",SUMIFS(tblIssues[Qty Issued],tblIssues[Staff ID],$A19))</f>
        <v>10</v>
      </c>
      <c r="G19" s="21">
        <f>IF($A19="","",SUMIFS(tblIssues[Line Cost],tblIssues[Staff ID],$A19))</f>
        <v>0</v>
      </c>
      <c r="H19" s="24">
        <f>IF($A19="","",IF($E19=0,"",IFERROR(_xlfn.MAXIFS(tblIssues[Order Date],tblIssues[Staff ID],$A19),"")))</f>
        <v>46150</v>
      </c>
      <c r="I19" s="24">
        <f>IF($A19="","",IF($E19=0,"",IFERROR(_xlfn.MAXIFS(tblIssues[Next Scheduled],tblIssues[Staff ID],$A19),"")))</f>
        <v>46198</v>
      </c>
      <c r="J19" s="26">
        <f>IF($A19="","",COUNTIFS(tblIssues[Staff ID],$A19,tblIssues[Status],"Pending"))</f>
        <v>0</v>
      </c>
    </row>
    <row r="20" spans="1:10" x14ac:dyDescent="0.35">
      <c r="A20" s="18" t="str">
        <f>IF('Staff Directory'!$A20="","",'Staff Directory'!$A20)</f>
        <v>RN-015-A1</v>
      </c>
      <c r="B20" s="18" t="str">
        <f>IF($A20="","",'Staff Directory'!$B20)</f>
        <v>Lastname016, Firstname016</v>
      </c>
      <c r="C20" s="19" t="str">
        <f>IF($A20="","",'Staff Directory'!$C20)</f>
        <v>RN</v>
      </c>
      <c r="D20" s="19" t="str">
        <f>IF($A20="","",'Staff Directory'!$D20)</f>
        <v>A1</v>
      </c>
      <c r="E20" s="26">
        <f>IF($A20="","",COUNTIFS(tblIssues[Staff ID],$A20))</f>
        <v>1</v>
      </c>
      <c r="F20" s="26">
        <f>IF($A20="","",SUMIFS(tblIssues[Qty Issued],tblIssues[Staff ID],$A20))</f>
        <v>10</v>
      </c>
      <c r="G20" s="21">
        <f>IF($A20="","",SUMIFS(tblIssues[Line Cost],tblIssues[Staff ID],$A20))</f>
        <v>0</v>
      </c>
      <c r="H20" s="24">
        <f>IF($A20="","",IF($E20=0,"",IFERROR(_xlfn.MAXIFS(tblIssues[Order Date],tblIssues[Staff ID],$A20),"")))</f>
        <v>46150</v>
      </c>
      <c r="I20" s="24">
        <f>IF($A20="","",IF($E20=0,"",IFERROR(_xlfn.MAXIFS(tblIssues[Next Scheduled],tblIssues[Staff ID],$A20),"")))</f>
        <v>46198</v>
      </c>
      <c r="J20" s="26">
        <f>IF($A20="","",COUNTIFS(tblIssues[Staff ID],$A20,tblIssues[Status],"Pending"))</f>
        <v>0</v>
      </c>
    </row>
    <row r="21" spans="1:10" x14ac:dyDescent="0.35">
      <c r="A21" s="18" t="str">
        <f>IF('Staff Directory'!$A21="","",'Staff Directory'!$A21)</f>
        <v>RPN-002-A1</v>
      </c>
      <c r="B21" s="18" t="str">
        <f>IF($A21="","",'Staff Directory'!$B21)</f>
        <v>Lastname017, Firstname017</v>
      </c>
      <c r="C21" s="19" t="str">
        <f>IF($A21="","",'Staff Directory'!$C21)</f>
        <v>RPN</v>
      </c>
      <c r="D21" s="19" t="str">
        <f>IF($A21="","",'Staff Directory'!$D21)</f>
        <v>A1</v>
      </c>
      <c r="E21" s="26">
        <f>IF($A21="","",COUNTIFS(tblIssues[Staff ID],$A21))</f>
        <v>15</v>
      </c>
      <c r="F21" s="26">
        <f>IF($A21="","",SUMIFS(tblIssues[Qty Issued],tblIssues[Staff ID],$A21))</f>
        <v>1338</v>
      </c>
      <c r="G21" s="21">
        <f>IF($A21="","",SUMIFS(tblIssues[Line Cost],tblIssues[Staff ID],$A21))</f>
        <v>111.00030000000001</v>
      </c>
      <c r="H21" s="24">
        <f>IF($A21="","",IF($E21=0,"",IFERROR(_xlfn.MAXIFS(tblIssues[Order Date],tblIssues[Staff ID],$A21),"")))</f>
        <v>46196</v>
      </c>
      <c r="I21" s="24">
        <f>IF($A21="","",IF($E21=0,"",IFERROR(_xlfn.MAXIFS(tblIssues[Next Scheduled],tblIssues[Staff ID],$A21),"")))</f>
        <v>46244</v>
      </c>
      <c r="J21" s="26">
        <f>IF($A21="","",COUNTIFS(tblIssues[Staff ID],$A21,tblIssues[Status],"Pending"))</f>
        <v>0</v>
      </c>
    </row>
    <row r="22" spans="1:10" x14ac:dyDescent="0.35">
      <c r="A22" s="18" t="str">
        <f>IF('Staff Directory'!$A22="","",'Staff Directory'!$A22)</f>
        <v>RN-016-A1</v>
      </c>
      <c r="B22" s="18" t="str">
        <f>IF($A22="","",'Staff Directory'!$B22)</f>
        <v>Lastname018, Firstname018</v>
      </c>
      <c r="C22" s="19" t="str">
        <f>IF($A22="","",'Staff Directory'!$C22)</f>
        <v>RN</v>
      </c>
      <c r="D22" s="19" t="str">
        <f>IF($A22="","",'Staff Directory'!$D22)</f>
        <v>A1</v>
      </c>
      <c r="E22" s="26">
        <f>IF($A22="","",COUNTIFS(tblIssues[Staff ID],$A22))</f>
        <v>0</v>
      </c>
      <c r="F22" s="26">
        <f>IF($A22="","",SUMIFS(tblIssues[Qty Issued],tblIssues[Staff ID],$A22))</f>
        <v>0</v>
      </c>
      <c r="G22" s="21">
        <f>IF($A22="","",SUMIFS(tblIssues[Line Cost],tblIssues[Staff ID],$A22))</f>
        <v>0</v>
      </c>
      <c r="H22" s="24" t="str">
        <f>IF($A22="","",IF($E22=0,"",IFERROR(_xlfn.MAXIFS(tblIssues[Order Date],tblIssues[Staff ID],$A22),"")))</f>
        <v/>
      </c>
      <c r="I22" s="24" t="str">
        <f>IF($A22="","",IF($E22=0,"",IFERROR(_xlfn.MAXIFS(tblIssues[Next Scheduled],tblIssues[Staff ID],$A22),"")))</f>
        <v/>
      </c>
      <c r="J22" s="26">
        <f>IF($A22="","",COUNTIFS(tblIssues[Staff ID],$A22,tblIssues[Status],"Pending"))</f>
        <v>0</v>
      </c>
    </row>
    <row r="23" spans="1:10" x14ac:dyDescent="0.35">
      <c r="A23" s="18" t="str">
        <f>IF('Staff Directory'!$A23="","",'Staff Directory'!$A23)</f>
        <v>RPN-003-A1</v>
      </c>
      <c r="B23" s="18" t="str">
        <f>IF($A23="","",'Staff Directory'!$B23)</f>
        <v>Lastname019, Firstname019</v>
      </c>
      <c r="C23" s="19" t="str">
        <f>IF($A23="","",'Staff Directory'!$C23)</f>
        <v>RPN</v>
      </c>
      <c r="D23" s="19" t="str">
        <f>IF($A23="","",'Staff Directory'!$D23)</f>
        <v>A1</v>
      </c>
      <c r="E23" s="26">
        <f>IF($A23="","",COUNTIFS(tblIssues[Staff ID],$A23))</f>
        <v>1</v>
      </c>
      <c r="F23" s="26">
        <f>IF($A23="","",SUMIFS(tblIssues[Qty Issued],tblIssues[Staff ID],$A23))</f>
        <v>10</v>
      </c>
      <c r="G23" s="21">
        <f>IF($A23="","",SUMIFS(tblIssues[Line Cost],tblIssues[Staff ID],$A23))</f>
        <v>0</v>
      </c>
      <c r="H23" s="24">
        <f>IF($A23="","",IF($E23=0,"",IFERROR(_xlfn.MAXIFS(tblIssues[Order Date],tblIssues[Staff ID],$A23),"")))</f>
        <v>46150</v>
      </c>
      <c r="I23" s="24">
        <f>IF($A23="","",IF($E23=0,"",IFERROR(_xlfn.MAXIFS(tblIssues[Next Scheduled],tblIssues[Staff ID],$A23),"")))</f>
        <v>46198</v>
      </c>
      <c r="J23" s="26">
        <f>IF($A23="","",COUNTIFS(tblIssues[Staff ID],$A23,tblIssues[Status],"Pending"))</f>
        <v>0</v>
      </c>
    </row>
    <row r="24" spans="1:10" x14ac:dyDescent="0.35">
      <c r="A24" s="18" t="str">
        <f>IF('Staff Directory'!$A24="","",'Staff Directory'!$A24)</f>
        <v>RN-017-A2</v>
      </c>
      <c r="B24" s="18" t="str">
        <f>IF($A24="","",'Staff Directory'!$B24)</f>
        <v>Lastname020, Firstname020</v>
      </c>
      <c r="C24" s="19" t="str">
        <f>IF($A24="","",'Staff Directory'!$C24)</f>
        <v>RN</v>
      </c>
      <c r="D24" s="19" t="str">
        <f>IF($A24="","",'Staff Directory'!$D24)</f>
        <v>A2</v>
      </c>
      <c r="E24" s="26">
        <f>IF($A24="","",COUNTIFS(tblIssues[Staff ID],$A24))</f>
        <v>7</v>
      </c>
      <c r="F24" s="26">
        <f>IF($A24="","",SUMIFS(tblIssues[Qty Issued],tblIssues[Staff ID],$A24))</f>
        <v>1081</v>
      </c>
      <c r="G24" s="21">
        <f>IF($A24="","",SUMIFS(tblIssues[Line Cost],tblIssues[Staff ID],$A24))</f>
        <v>67.5</v>
      </c>
      <c r="H24" s="24">
        <f>IF($A24="","",IF($E24=0,"",IFERROR(_xlfn.MAXIFS(tblIssues[Order Date],tblIssues[Staff ID],$A24),"")))</f>
        <v>46213</v>
      </c>
      <c r="I24" s="24">
        <f>IF($A24="","",IF($E24=0,"",IFERROR(_xlfn.MAXIFS(tblIssues[Next Scheduled],tblIssues[Staff ID],$A24),"")))</f>
        <v>46261</v>
      </c>
      <c r="J24" s="26">
        <f>IF($A24="","",COUNTIFS(tblIssues[Staff ID],$A24,tblIssues[Status],"Pending"))</f>
        <v>0</v>
      </c>
    </row>
    <row r="25" spans="1:10" x14ac:dyDescent="0.35">
      <c r="A25" s="18" t="str">
        <f>IF('Staff Directory'!$A25="","",'Staff Directory'!$A25)</f>
        <v>RN-018-A2</v>
      </c>
      <c r="B25" s="18" t="str">
        <f>IF($A25="","",'Staff Directory'!$B25)</f>
        <v>Lastname021, Firstname021</v>
      </c>
      <c r="C25" s="19" t="str">
        <f>IF($A25="","",'Staff Directory'!$C25)</f>
        <v>RN</v>
      </c>
      <c r="D25" s="19" t="str">
        <f>IF($A25="","",'Staff Directory'!$D25)</f>
        <v>A2</v>
      </c>
      <c r="E25" s="26">
        <f>IF($A25="","",COUNTIFS(tblIssues[Staff ID],$A25))</f>
        <v>12</v>
      </c>
      <c r="F25" s="26">
        <f>IF($A25="","",SUMIFS(tblIssues[Qty Issued],tblIssues[Staff ID],$A25))</f>
        <v>1793</v>
      </c>
      <c r="G25" s="21">
        <f>IF($A25="","",SUMIFS(tblIssues[Line Cost],tblIssues[Staff ID],$A25))</f>
        <v>132.48009999999999</v>
      </c>
      <c r="H25" s="24">
        <f>IF($A25="","",IF($E25=0,"",IFERROR(_xlfn.MAXIFS(tblIssues[Order Date],tblIssues[Staff ID],$A25),"")))</f>
        <v>46189</v>
      </c>
      <c r="I25" s="24">
        <f>IF($A25="","",IF($E25=0,"",IFERROR(_xlfn.MAXIFS(tblIssues[Next Scheduled],tblIssues[Staff ID],$A25),"")))</f>
        <v>46237</v>
      </c>
      <c r="J25" s="26">
        <f>IF($A25="","",COUNTIFS(tblIssues[Staff ID],$A25,tblIssues[Status],"Pending"))</f>
        <v>0</v>
      </c>
    </row>
    <row r="26" spans="1:10" x14ac:dyDescent="0.35">
      <c r="A26" s="18" t="str">
        <f>IF('Staff Directory'!$A26="","",'Staff Directory'!$A26)</f>
        <v>RN-019-A2</v>
      </c>
      <c r="B26" s="18" t="str">
        <f>IF($A26="","",'Staff Directory'!$B26)</f>
        <v>Lastname022, Firstname022</v>
      </c>
      <c r="C26" s="19" t="str">
        <f>IF($A26="","",'Staff Directory'!$C26)</f>
        <v>RN</v>
      </c>
      <c r="D26" s="19" t="str">
        <f>IF($A26="","",'Staff Directory'!$D26)</f>
        <v>A2</v>
      </c>
      <c r="E26" s="26">
        <f>IF($A26="","",COUNTIFS(tblIssues[Staff ID],$A26))</f>
        <v>0</v>
      </c>
      <c r="F26" s="26">
        <f>IF($A26="","",SUMIFS(tblIssues[Qty Issued],tblIssues[Staff ID],$A26))</f>
        <v>0</v>
      </c>
      <c r="G26" s="21">
        <f>IF($A26="","",SUMIFS(tblIssues[Line Cost],tblIssues[Staff ID],$A26))</f>
        <v>0</v>
      </c>
      <c r="H26" s="24" t="str">
        <f>IF($A26="","",IF($E26=0,"",IFERROR(_xlfn.MAXIFS(tblIssues[Order Date],tblIssues[Staff ID],$A26),"")))</f>
        <v/>
      </c>
      <c r="I26" s="24" t="str">
        <f>IF($A26="","",IF($E26=0,"",IFERROR(_xlfn.MAXIFS(tblIssues[Next Scheduled],tblIssues[Staff ID],$A26),"")))</f>
        <v/>
      </c>
      <c r="J26" s="26">
        <f>IF($A26="","",COUNTIFS(tblIssues[Staff ID],$A26,tblIssues[Status],"Pending"))</f>
        <v>0</v>
      </c>
    </row>
    <row r="27" spans="1:10" x14ac:dyDescent="0.35">
      <c r="A27" s="18" t="str">
        <f>IF('Staff Directory'!$A27="","",'Staff Directory'!$A27)</f>
        <v>RN-020-A2</v>
      </c>
      <c r="B27" s="18" t="str">
        <f>IF($A27="","",'Staff Directory'!$B27)</f>
        <v>Lastname023, Firstname023</v>
      </c>
      <c r="C27" s="19" t="str">
        <f>IF($A27="","",'Staff Directory'!$C27)</f>
        <v>RN</v>
      </c>
      <c r="D27" s="19" t="str">
        <f>IF($A27="","",'Staff Directory'!$D27)</f>
        <v>A2</v>
      </c>
      <c r="E27" s="26">
        <f>IF($A27="","",COUNTIFS(tblIssues[Staff ID],$A27))</f>
        <v>6</v>
      </c>
      <c r="F27" s="26">
        <f>IF($A27="","",SUMIFS(tblIssues[Qty Issued],tblIssues[Staff ID],$A27))</f>
        <v>1171</v>
      </c>
      <c r="G27" s="21">
        <f>IF($A27="","",SUMIFS(tblIssues[Line Cost],tblIssues[Staff ID],$A27))</f>
        <v>71.000100000000003</v>
      </c>
      <c r="H27" s="24">
        <f>IF($A27="","",IF($E27=0,"",IFERROR(_xlfn.MAXIFS(tblIssues[Order Date],tblIssues[Staff ID],$A27),"")))</f>
        <v>46162</v>
      </c>
      <c r="I27" s="24">
        <f>IF($A27="","",IF($E27=0,"",IFERROR(_xlfn.MAXIFS(tblIssues[Next Scheduled],tblIssues[Staff ID],$A27),"")))</f>
        <v>46210</v>
      </c>
      <c r="J27" s="26">
        <f>IF($A27="","",COUNTIFS(tblIssues[Staff ID],$A27,tblIssues[Status],"Pending"))</f>
        <v>0</v>
      </c>
    </row>
    <row r="28" spans="1:10" x14ac:dyDescent="0.35">
      <c r="A28" s="18" t="str">
        <f>IF('Staff Directory'!$A28="","",'Staff Directory'!$A28)</f>
        <v>RPN-004-A1</v>
      </c>
      <c r="B28" s="18" t="str">
        <f>IF($A28="","",'Staff Directory'!$B28)</f>
        <v>Lastname024, Firstname024</v>
      </c>
      <c r="C28" s="19" t="str">
        <f>IF($A28="","",'Staff Directory'!$C28)</f>
        <v>RPN</v>
      </c>
      <c r="D28" s="19" t="str">
        <f>IF($A28="","",'Staff Directory'!$D28)</f>
        <v>A1</v>
      </c>
      <c r="E28" s="26">
        <f>IF($A28="","",COUNTIFS(tblIssues[Staff ID],$A28))</f>
        <v>1</v>
      </c>
      <c r="F28" s="26">
        <f>IF($A28="","",SUMIFS(tblIssues[Qty Issued],tblIssues[Staff ID],$A28))</f>
        <v>10</v>
      </c>
      <c r="G28" s="21">
        <f>IF($A28="","",SUMIFS(tblIssues[Line Cost],tblIssues[Staff ID],$A28))</f>
        <v>0</v>
      </c>
      <c r="H28" s="24">
        <f>IF($A28="","",IF($E28=0,"",IFERROR(_xlfn.MAXIFS(tblIssues[Order Date],tblIssues[Staff ID],$A28),"")))</f>
        <v>46150</v>
      </c>
      <c r="I28" s="24">
        <f>IF($A28="","",IF($E28=0,"",IFERROR(_xlfn.MAXIFS(tblIssues[Next Scheduled],tblIssues[Staff ID],$A28),"")))</f>
        <v>46198</v>
      </c>
      <c r="J28" s="26">
        <f>IF($A28="","",COUNTIFS(tblIssues[Staff ID],$A28,tblIssues[Status],"Pending"))</f>
        <v>0</v>
      </c>
    </row>
    <row r="29" spans="1:10" x14ac:dyDescent="0.35">
      <c r="A29" s="18" t="str">
        <f>IF('Staff Directory'!$A29="","",'Staff Directory'!$A29)</f>
        <v>RN-021-A2</v>
      </c>
      <c r="B29" s="18" t="str">
        <f>IF($A29="","",'Staff Directory'!$B29)</f>
        <v>Lastname025, Firstname025</v>
      </c>
      <c r="C29" s="19" t="str">
        <f>IF($A29="","",'Staff Directory'!$C29)</f>
        <v>RN</v>
      </c>
      <c r="D29" s="19" t="str">
        <f>IF($A29="","",'Staff Directory'!$D29)</f>
        <v>A2</v>
      </c>
      <c r="E29" s="26">
        <f>IF($A29="","",COUNTIFS(tblIssues[Staff ID],$A29))</f>
        <v>5</v>
      </c>
      <c r="F29" s="26">
        <f>IF($A29="","",SUMIFS(tblIssues[Qty Issued],tblIssues[Staff ID],$A29))</f>
        <v>1022</v>
      </c>
      <c r="G29" s="21">
        <f>IF($A29="","",SUMIFS(tblIssues[Line Cost],tblIssues[Staff ID],$A29))</f>
        <v>63.980000000000004</v>
      </c>
      <c r="H29" s="24">
        <f>IF($A29="","",IF($E29=0,"",IFERROR(_xlfn.MAXIFS(tblIssues[Order Date],tblIssues[Staff ID],$A29),"")))</f>
        <v>46206</v>
      </c>
      <c r="I29" s="24">
        <f>IF($A29="","",IF($E29=0,"",IFERROR(_xlfn.MAXIFS(tblIssues[Next Scheduled],tblIssues[Staff ID],$A29),"")))</f>
        <v>46254</v>
      </c>
      <c r="J29" s="26">
        <f>IF($A29="","",COUNTIFS(tblIssues[Staff ID],$A29,tblIssues[Status],"Pending"))</f>
        <v>0</v>
      </c>
    </row>
    <row r="30" spans="1:10" x14ac:dyDescent="0.35">
      <c r="A30" s="18" t="str">
        <f>IF('Staff Directory'!$A30="","",'Staff Directory'!$A30)</f>
        <v>RN-022-A2</v>
      </c>
      <c r="B30" s="18" t="str">
        <f>IF($A30="","",'Staff Directory'!$B30)</f>
        <v>Lastname026, Firstname026</v>
      </c>
      <c r="C30" s="19" t="str">
        <f>IF($A30="","",'Staff Directory'!$C30)</f>
        <v>RN</v>
      </c>
      <c r="D30" s="19" t="str">
        <f>IF($A30="","",'Staff Directory'!$D30)</f>
        <v>A2</v>
      </c>
      <c r="E30" s="26">
        <f>IF($A30="","",COUNTIFS(tblIssues[Staff ID],$A30))</f>
        <v>0</v>
      </c>
      <c r="F30" s="26">
        <f>IF($A30="","",SUMIFS(tblIssues[Qty Issued],tblIssues[Staff ID],$A30))</f>
        <v>0</v>
      </c>
      <c r="G30" s="21">
        <f>IF($A30="","",SUMIFS(tblIssues[Line Cost],tblIssues[Staff ID],$A30))</f>
        <v>0</v>
      </c>
      <c r="H30" s="24" t="str">
        <f>IF($A30="","",IF($E30=0,"",IFERROR(_xlfn.MAXIFS(tblIssues[Order Date],tblIssues[Staff ID],$A30),"")))</f>
        <v/>
      </c>
      <c r="I30" s="24" t="str">
        <f>IF($A30="","",IF($E30=0,"",IFERROR(_xlfn.MAXIFS(tblIssues[Next Scheduled],tblIssues[Staff ID],$A30),"")))</f>
        <v/>
      </c>
      <c r="J30" s="26">
        <f>IF($A30="","",COUNTIFS(tblIssues[Staff ID],$A30,tblIssues[Status],"Pending"))</f>
        <v>0</v>
      </c>
    </row>
    <row r="31" spans="1:10" x14ac:dyDescent="0.35">
      <c r="A31" s="18" t="str">
        <f>IF('Staff Directory'!$A31="","",'Staff Directory'!$A31)</f>
        <v>RN-023-A2</v>
      </c>
      <c r="B31" s="18" t="str">
        <f>IF($A31="","",'Staff Directory'!$B31)</f>
        <v>Lastname027, Firstname027</v>
      </c>
      <c r="C31" s="19" t="str">
        <f>IF($A31="","",'Staff Directory'!$C31)</f>
        <v>RN</v>
      </c>
      <c r="D31" s="19" t="str">
        <f>IF($A31="","",'Staff Directory'!$D31)</f>
        <v>A2</v>
      </c>
      <c r="E31" s="26">
        <f>IF($A31="","",COUNTIFS(tblIssues[Staff ID],$A31))</f>
        <v>0</v>
      </c>
      <c r="F31" s="26">
        <f>IF($A31="","",SUMIFS(tblIssues[Qty Issued],tblIssues[Staff ID],$A31))</f>
        <v>0</v>
      </c>
      <c r="G31" s="21">
        <f>IF($A31="","",SUMIFS(tblIssues[Line Cost],tblIssues[Staff ID],$A31))</f>
        <v>0</v>
      </c>
      <c r="H31" s="24" t="str">
        <f>IF($A31="","",IF($E31=0,"",IFERROR(_xlfn.MAXIFS(tblIssues[Order Date],tblIssues[Staff ID],$A31),"")))</f>
        <v/>
      </c>
      <c r="I31" s="24" t="str">
        <f>IF($A31="","",IF($E31=0,"",IFERROR(_xlfn.MAXIFS(tblIssues[Next Scheduled],tblIssues[Staff ID],$A31),"")))</f>
        <v/>
      </c>
      <c r="J31" s="26">
        <f>IF($A31="","",COUNTIFS(tblIssues[Staff ID],$A31,tblIssues[Status],"Pending"))</f>
        <v>0</v>
      </c>
    </row>
    <row r="32" spans="1:10" x14ac:dyDescent="0.35">
      <c r="A32" s="18" t="str">
        <f>IF('Staff Directory'!$A32="","",'Staff Directory'!$A32)</f>
        <v>RN-024-A2</v>
      </c>
      <c r="B32" s="18" t="str">
        <f>IF($A32="","",'Staff Directory'!$B32)</f>
        <v>Lastname028, Firstname028</v>
      </c>
      <c r="C32" s="19" t="str">
        <f>IF($A32="","",'Staff Directory'!$C32)</f>
        <v>RN</v>
      </c>
      <c r="D32" s="19" t="str">
        <f>IF($A32="","",'Staff Directory'!$D32)</f>
        <v>A2</v>
      </c>
      <c r="E32" s="26">
        <f>IF($A32="","",COUNTIFS(tblIssues[Staff ID],$A32))</f>
        <v>10</v>
      </c>
      <c r="F32" s="26">
        <f>IF($A32="","",SUMIFS(tblIssues[Qty Issued],tblIssues[Staff ID],$A32))</f>
        <v>1273</v>
      </c>
      <c r="G32" s="21">
        <f>IF($A32="","",SUMIFS(tblIssues[Line Cost],tblIssues[Staff ID],$A32))</f>
        <v>96.000200000000007</v>
      </c>
      <c r="H32" s="24">
        <f>IF($A32="","",IF($E32=0,"",IFERROR(_xlfn.MAXIFS(tblIssues[Order Date],tblIssues[Staff ID],$A32),"")))</f>
        <v>46219</v>
      </c>
      <c r="I32" s="24">
        <f>IF($A32="","",IF($E32=0,"",IFERROR(_xlfn.MAXIFS(tblIssues[Next Scheduled],tblIssues[Staff ID],$A32),"")))</f>
        <v>46267</v>
      </c>
      <c r="J32" s="26">
        <f>IF($A32="","",COUNTIFS(tblIssues[Staff ID],$A32,tblIssues[Status],"Pending"))</f>
        <v>0</v>
      </c>
    </row>
    <row r="33" spans="1:10" x14ac:dyDescent="0.35">
      <c r="A33" s="18" t="str">
        <f>IF('Staff Directory'!$A33="","",'Staff Directory'!$A33)</f>
        <v>RN-025-A1</v>
      </c>
      <c r="B33" s="18" t="str">
        <f>IF($A33="","",'Staff Directory'!$B33)</f>
        <v>Lastname029, Firstname029</v>
      </c>
      <c r="C33" s="19" t="str">
        <f>IF($A33="","",'Staff Directory'!$C33)</f>
        <v>RN</v>
      </c>
      <c r="D33" s="19" t="str">
        <f>IF($A33="","",'Staff Directory'!$D33)</f>
        <v>A1</v>
      </c>
      <c r="E33" s="26">
        <f>IF($A33="","",COUNTIFS(tblIssues[Staff ID],$A33))</f>
        <v>10</v>
      </c>
      <c r="F33" s="26">
        <f>IF($A33="","",SUMIFS(tblIssues[Qty Issued],tblIssues[Staff ID],$A33))</f>
        <v>1613</v>
      </c>
      <c r="G33" s="21">
        <f>IF($A33="","",SUMIFS(tblIssues[Line Cost],tblIssues[Staff ID],$A33))</f>
        <v>103.98010000000001</v>
      </c>
      <c r="H33" s="24">
        <f>IF($A33="","",IF($E33=0,"",IFERROR(_xlfn.MAXIFS(tblIssues[Order Date],tblIssues[Staff ID],$A33),"")))</f>
        <v>46185</v>
      </c>
      <c r="I33" s="24">
        <f>IF($A33="","",IF($E33=0,"",IFERROR(_xlfn.MAXIFS(tblIssues[Next Scheduled],tblIssues[Staff ID],$A33),"")))</f>
        <v>46233</v>
      </c>
      <c r="J33" s="26">
        <f>IF($A33="","",COUNTIFS(tblIssues[Staff ID],$A33,tblIssues[Status],"Pending"))</f>
        <v>0</v>
      </c>
    </row>
    <row r="34" spans="1:10" x14ac:dyDescent="0.35">
      <c r="A34" s="18" t="str">
        <f>IF('Staff Directory'!$A34="","",'Staff Directory'!$A34)</f>
        <v>RN-026-A2</v>
      </c>
      <c r="B34" s="18" t="str">
        <f>IF($A34="","",'Staff Directory'!$B34)</f>
        <v>Lastname030, Firstname030</v>
      </c>
      <c r="C34" s="19" t="str">
        <f>IF($A34="","",'Staff Directory'!$C34)</f>
        <v>RN</v>
      </c>
      <c r="D34" s="19" t="str">
        <f>IF($A34="","",'Staff Directory'!$D34)</f>
        <v>A2</v>
      </c>
      <c r="E34" s="26">
        <f>IF($A34="","",COUNTIFS(tblIssues[Staff ID],$A34))</f>
        <v>8</v>
      </c>
      <c r="F34" s="26">
        <f>IF($A34="","",SUMIFS(tblIssues[Qty Issued],tblIssues[Staff ID],$A34))</f>
        <v>710</v>
      </c>
      <c r="G34" s="21">
        <f>IF($A34="","",SUMIFS(tblIssues[Line Cost],tblIssues[Staff ID],$A34))</f>
        <v>85.5</v>
      </c>
      <c r="H34" s="24">
        <f>IF($A34="","",IF($E34=0,"",IFERROR(_xlfn.MAXIFS(tblIssues[Order Date],tblIssues[Staff ID],$A34),"")))</f>
        <v>46153</v>
      </c>
      <c r="I34" s="24">
        <f>IF($A34="","",IF($E34=0,"",IFERROR(_xlfn.MAXIFS(tblIssues[Next Scheduled],tblIssues[Staff ID],$A34),"")))</f>
        <v>46199</v>
      </c>
      <c r="J34" s="26">
        <f>IF($A34="","",COUNTIFS(tblIssues[Staff ID],$A34,tblIssues[Status],"Pending"))</f>
        <v>0</v>
      </c>
    </row>
    <row r="35" spans="1:10" x14ac:dyDescent="0.35">
      <c r="A35" s="18" t="str">
        <f>IF('Staff Directory'!$A35="","",'Staff Directory'!$A35)</f>
        <v>RN-027-A1</v>
      </c>
      <c r="B35" s="18" t="str">
        <f>IF($A35="","",'Staff Directory'!$B35)</f>
        <v>Lastname031, Firstname031</v>
      </c>
      <c r="C35" s="19" t="str">
        <f>IF($A35="","",'Staff Directory'!$C35)</f>
        <v>RN</v>
      </c>
      <c r="D35" s="19" t="str">
        <f>IF($A35="","",'Staff Directory'!$D35)</f>
        <v>A1</v>
      </c>
      <c r="E35" s="26">
        <f>IF($A35="","",COUNTIFS(tblIssues[Staff ID],$A35))</f>
        <v>4</v>
      </c>
      <c r="F35" s="26">
        <f>IF($A35="","",SUMIFS(tblIssues[Qty Issued],tblIssues[Staff ID],$A35))</f>
        <v>550</v>
      </c>
      <c r="G35" s="21">
        <f>IF($A35="","",SUMIFS(tblIssues[Line Cost],tblIssues[Staff ID],$A35))</f>
        <v>27.5</v>
      </c>
      <c r="H35" s="24">
        <f>IF($A35="","",IF($E35=0,"",IFERROR(_xlfn.MAXIFS(tblIssues[Order Date],tblIssues[Staff ID],$A35),"")))</f>
        <v>46150</v>
      </c>
      <c r="I35" s="24">
        <f>IF($A35="","",IF($E35=0,"",IFERROR(_xlfn.MAXIFS(tblIssues[Next Scheduled],tblIssues[Staff ID],$A35),"")))</f>
        <v>46198</v>
      </c>
      <c r="J35" s="26">
        <f>IF($A35="","",COUNTIFS(tblIssues[Staff ID],$A35,tblIssues[Status],"Pending"))</f>
        <v>0</v>
      </c>
    </row>
    <row r="36" spans="1:10" x14ac:dyDescent="0.35">
      <c r="A36" s="18" t="str">
        <f>IF('Staff Directory'!$A36="","",'Staff Directory'!$A36)</f>
        <v>RN-028-A1</v>
      </c>
      <c r="B36" s="18" t="str">
        <f>IF($A36="","",'Staff Directory'!$B36)</f>
        <v>Lastname032, Firstname032</v>
      </c>
      <c r="C36" s="19" t="str">
        <f>IF($A36="","",'Staff Directory'!$C36)</f>
        <v>RN</v>
      </c>
      <c r="D36" s="19" t="str">
        <f>IF($A36="","",'Staff Directory'!$D36)</f>
        <v>A1</v>
      </c>
      <c r="E36" s="26">
        <f>IF($A36="","",COUNTIFS(tblIssues[Staff ID],$A36))</f>
        <v>17</v>
      </c>
      <c r="F36" s="26">
        <f>IF($A36="","",SUMIFS(tblIssues[Qty Issued],tblIssues[Staff ID],$A36))</f>
        <v>2475</v>
      </c>
      <c r="G36" s="21">
        <f>IF($A36="","",SUMIFS(tblIssues[Line Cost],tblIssues[Staff ID],$A36))</f>
        <v>159.9803</v>
      </c>
      <c r="H36" s="24">
        <f>IF($A36="","",IF($E36=0,"",IFERROR(_xlfn.MAXIFS(tblIssues[Order Date],tblIssues[Staff ID],$A36),"")))</f>
        <v>46217</v>
      </c>
      <c r="I36" s="24">
        <f>IF($A36="","",IF($E36=0,"",IFERROR(_xlfn.MAXIFS(tblIssues[Next Scheduled],tblIssues[Staff ID],$A36),"")))</f>
        <v>46265</v>
      </c>
      <c r="J36" s="26">
        <f>IF($A36="","",COUNTIFS(tblIssues[Staff ID],$A36,tblIssues[Status],"Pending"))</f>
        <v>0</v>
      </c>
    </row>
    <row r="37" spans="1:10" x14ac:dyDescent="0.35">
      <c r="A37" s="18" t="str">
        <f>IF('Staff Directory'!$A37="","",'Staff Directory'!$A37)</f>
        <v>RN-029-A1</v>
      </c>
      <c r="B37" s="18" t="str">
        <f>IF($A37="","",'Staff Directory'!$B37)</f>
        <v>Lastname033, Firstname033</v>
      </c>
      <c r="C37" s="19" t="str">
        <f>IF($A37="","",'Staff Directory'!$C37)</f>
        <v>RN</v>
      </c>
      <c r="D37" s="19" t="str">
        <f>IF($A37="","",'Staff Directory'!$D37)</f>
        <v>A1</v>
      </c>
      <c r="E37" s="26">
        <f>IF($A37="","",COUNTIFS(tblIssues[Staff ID],$A37))</f>
        <v>1</v>
      </c>
      <c r="F37" s="26">
        <f>IF($A37="","",SUMIFS(tblIssues[Qty Issued],tblIssues[Staff ID],$A37))</f>
        <v>10</v>
      </c>
      <c r="G37" s="21">
        <f>IF($A37="","",SUMIFS(tblIssues[Line Cost],tblIssues[Staff ID],$A37))</f>
        <v>0</v>
      </c>
      <c r="H37" s="24">
        <f>IF($A37="","",IF($E37=0,"",IFERROR(_xlfn.MAXIFS(tblIssues[Order Date],tblIssues[Staff ID],$A37),"")))</f>
        <v>46150</v>
      </c>
      <c r="I37" s="24">
        <f>IF($A37="","",IF($E37=0,"",IFERROR(_xlfn.MAXIFS(tblIssues[Next Scheduled],tblIssues[Staff ID],$A37),"")))</f>
        <v>46198</v>
      </c>
      <c r="J37" s="26">
        <f>IF($A37="","",COUNTIFS(tblIssues[Staff ID],$A37,tblIssues[Status],"Pending"))</f>
        <v>0</v>
      </c>
    </row>
    <row r="38" spans="1:10" x14ac:dyDescent="0.35">
      <c r="A38" s="18" t="str">
        <f>IF('Staff Directory'!$A38="","",'Staff Directory'!$A38)</f>
        <v>RN-030-A2</v>
      </c>
      <c r="B38" s="18" t="str">
        <f>IF($A38="","",'Staff Directory'!$B38)</f>
        <v>Lastname034, Firstname034</v>
      </c>
      <c r="C38" s="19" t="str">
        <f>IF($A38="","",'Staff Directory'!$C38)</f>
        <v>RN</v>
      </c>
      <c r="D38" s="19" t="str">
        <f>IF($A38="","",'Staff Directory'!$D38)</f>
        <v>A2</v>
      </c>
      <c r="E38" s="26">
        <f>IF($A38="","",COUNTIFS(tblIssues[Staff ID],$A38))</f>
        <v>1</v>
      </c>
      <c r="F38" s="26">
        <f>IF($A38="","",SUMIFS(tblIssues[Qty Issued],tblIssues[Staff ID],$A38))</f>
        <v>10</v>
      </c>
      <c r="G38" s="21">
        <f>IF($A38="","",SUMIFS(tblIssues[Line Cost],tblIssues[Staff ID],$A38))</f>
        <v>0</v>
      </c>
      <c r="H38" s="24">
        <f>IF($A38="","",IF($E38=0,"",IFERROR(_xlfn.MAXIFS(tblIssues[Order Date],tblIssues[Staff ID],$A38),"")))</f>
        <v>46121</v>
      </c>
      <c r="I38" s="24">
        <f>IF($A38="","",IF($E38=0,"",IFERROR(_xlfn.MAXIFS(tblIssues[Next Scheduled],tblIssues[Staff ID],$A38),"")))</f>
        <v>46169</v>
      </c>
      <c r="J38" s="26">
        <f>IF($A38="","",COUNTIFS(tblIssues[Staff ID],$A38,tblIssues[Status],"Pending"))</f>
        <v>0</v>
      </c>
    </row>
    <row r="39" spans="1:10" x14ac:dyDescent="0.35">
      <c r="A39" s="18" t="str">
        <f>IF('Staff Directory'!$A39="","",'Staff Directory'!$A39)</f>
        <v>RN-031-A2</v>
      </c>
      <c r="B39" s="18" t="str">
        <f>IF($A39="","",'Staff Directory'!$B39)</f>
        <v>Lastname035, Firstname035</v>
      </c>
      <c r="C39" s="19" t="str">
        <f>IF($A39="","",'Staff Directory'!$C39)</f>
        <v>RN</v>
      </c>
      <c r="D39" s="19" t="str">
        <f>IF($A39="","",'Staff Directory'!$D39)</f>
        <v>A2</v>
      </c>
      <c r="E39" s="26">
        <f>IF($A39="","",COUNTIFS(tblIssues[Staff ID],$A39))</f>
        <v>4</v>
      </c>
      <c r="F39" s="26">
        <f>IF($A39="","",SUMIFS(tblIssues[Qty Issued],tblIssues[Staff ID],$A39))</f>
        <v>80</v>
      </c>
      <c r="G39" s="21">
        <f>IF($A39="","",SUMIFS(tblIssues[Line Cost],tblIssues[Staff ID],$A39))</f>
        <v>12.5</v>
      </c>
      <c r="H39" s="24">
        <f>IF($A39="","",IF($E39=0,"",IFERROR(_xlfn.MAXIFS(tblIssues[Order Date],tblIssues[Staff ID],$A39),"")))</f>
        <v>46169</v>
      </c>
      <c r="I39" s="24">
        <f>IF($A39="","",IF($E39=0,"",IFERROR(_xlfn.MAXIFS(tblIssues[Next Scheduled],tblIssues[Staff ID],$A39),"")))</f>
        <v>46217</v>
      </c>
      <c r="J39" s="26">
        <f>IF($A39="","",COUNTIFS(tblIssues[Staff ID],$A39,tblIssues[Status],"Pending"))</f>
        <v>0</v>
      </c>
    </row>
    <row r="40" spans="1:10" x14ac:dyDescent="0.35">
      <c r="A40" s="18" t="str">
        <f>IF('Staff Directory'!$A40="","",'Staff Directory'!$A40)</f>
        <v>RN-032-A1</v>
      </c>
      <c r="B40" s="18" t="str">
        <f>IF($A40="","",'Staff Directory'!$B40)</f>
        <v>Lastname036, Firstname036</v>
      </c>
      <c r="C40" s="19" t="str">
        <f>IF($A40="","",'Staff Directory'!$C40)</f>
        <v>RN</v>
      </c>
      <c r="D40" s="19" t="str">
        <f>IF($A40="","",'Staff Directory'!$D40)</f>
        <v>A1</v>
      </c>
      <c r="E40" s="26">
        <f>IF($A40="","",COUNTIFS(tblIssues[Staff ID],$A40))</f>
        <v>0</v>
      </c>
      <c r="F40" s="26">
        <f>IF($A40="","",SUMIFS(tblIssues[Qty Issued],tblIssues[Staff ID],$A40))</f>
        <v>0</v>
      </c>
      <c r="G40" s="21">
        <f>IF($A40="","",SUMIFS(tblIssues[Line Cost],tblIssues[Staff ID],$A40))</f>
        <v>0</v>
      </c>
      <c r="H40" s="24" t="str">
        <f>IF($A40="","",IF($E40=0,"",IFERROR(_xlfn.MAXIFS(tblIssues[Order Date],tblIssues[Staff ID],$A40),"")))</f>
        <v/>
      </c>
      <c r="I40" s="24" t="str">
        <f>IF($A40="","",IF($E40=0,"",IFERROR(_xlfn.MAXIFS(tblIssues[Next Scheduled],tblIssues[Staff ID],$A40),"")))</f>
        <v/>
      </c>
      <c r="J40" s="26">
        <f>IF($A40="","",COUNTIFS(tblIssues[Staff ID],$A40,tblIssues[Status],"Pending"))</f>
        <v>0</v>
      </c>
    </row>
    <row r="41" spans="1:10" x14ac:dyDescent="0.35">
      <c r="A41" s="18" t="str">
        <f>IF('Staff Directory'!$A41="","",'Staff Directory'!$A41)</f>
        <v>RPN-005-A1</v>
      </c>
      <c r="B41" s="18" t="str">
        <f>IF($A41="","",'Staff Directory'!$B41)</f>
        <v>Lastname037, Firstname037</v>
      </c>
      <c r="C41" s="19" t="str">
        <f>IF($A41="","",'Staff Directory'!$C41)</f>
        <v>RPN</v>
      </c>
      <c r="D41" s="19" t="str">
        <f>IF($A41="","",'Staff Directory'!$D41)</f>
        <v>A1</v>
      </c>
      <c r="E41" s="26">
        <f>IF($A41="","",COUNTIFS(tblIssues[Staff ID],$A41))</f>
        <v>1</v>
      </c>
      <c r="F41" s="26">
        <f>IF($A41="","",SUMIFS(tblIssues[Qty Issued],tblIssues[Staff ID],$A41))</f>
        <v>10</v>
      </c>
      <c r="G41" s="21">
        <f>IF($A41="","",SUMIFS(tblIssues[Line Cost],tblIssues[Staff ID],$A41))</f>
        <v>0</v>
      </c>
      <c r="H41" s="24">
        <f>IF($A41="","",IF($E41=0,"",IFERROR(_xlfn.MAXIFS(tblIssues[Order Date],tblIssues[Staff ID],$A41),"")))</f>
        <v>46150</v>
      </c>
      <c r="I41" s="24">
        <f>IF($A41="","",IF($E41=0,"",IFERROR(_xlfn.MAXIFS(tblIssues[Next Scheduled],tblIssues[Staff ID],$A41),"")))</f>
        <v>46198</v>
      </c>
      <c r="J41" s="26">
        <f>IF($A41="","",COUNTIFS(tblIssues[Staff ID],$A41,tblIssues[Status],"Pending"))</f>
        <v>0</v>
      </c>
    </row>
    <row r="42" spans="1:10" x14ac:dyDescent="0.35">
      <c r="A42" s="18" t="str">
        <f>IF('Staff Directory'!$A42="","",'Staff Directory'!$A42)</f>
        <v>RN-033-A2</v>
      </c>
      <c r="B42" s="18" t="str">
        <f>IF($A42="","",'Staff Directory'!$B42)</f>
        <v>Lastname038, Firstname038</v>
      </c>
      <c r="C42" s="19" t="str">
        <f>IF($A42="","",'Staff Directory'!$C42)</f>
        <v>RN</v>
      </c>
      <c r="D42" s="19" t="str">
        <f>IF($A42="","",'Staff Directory'!$D42)</f>
        <v>A2</v>
      </c>
      <c r="E42" s="26">
        <f>IF($A42="","",COUNTIFS(tblIssues[Staff ID],$A42))</f>
        <v>14</v>
      </c>
      <c r="F42" s="26">
        <f>IF($A42="","",SUMIFS(tblIssues[Qty Issued],tblIssues[Staff ID],$A42))</f>
        <v>1906</v>
      </c>
      <c r="G42" s="21">
        <f>IF($A42="","",SUMIFS(tblIssues[Line Cost],tblIssues[Staff ID],$A42))</f>
        <v>161.96009999999998</v>
      </c>
      <c r="H42" s="24">
        <f>IF($A42="","",IF($E42=0,"",IFERROR(_xlfn.MAXIFS(tblIssues[Order Date],tblIssues[Staff ID],$A42),"")))</f>
        <v>46204</v>
      </c>
      <c r="I42" s="24">
        <f>IF($A42="","",IF($E42=0,"",IFERROR(_xlfn.MAXIFS(tblIssues[Next Scheduled],tblIssues[Staff ID],$A42),"")))</f>
        <v>46252</v>
      </c>
      <c r="J42" s="26">
        <f>IF($A42="","",COUNTIFS(tblIssues[Staff ID],$A42,tblIssues[Status],"Pending"))</f>
        <v>0</v>
      </c>
    </row>
    <row r="43" spans="1:10" x14ac:dyDescent="0.35">
      <c r="A43" s="18" t="str">
        <f>IF('Staff Directory'!$A43="","",'Staff Directory'!$A43)</f>
        <v>RN-034-A1</v>
      </c>
      <c r="B43" s="18" t="str">
        <f>IF($A43="","",'Staff Directory'!$B43)</f>
        <v>Lastname039, Firstname039</v>
      </c>
      <c r="C43" s="19" t="str">
        <f>IF($A43="","",'Staff Directory'!$C43)</f>
        <v>RN</v>
      </c>
      <c r="D43" s="19" t="str">
        <f>IF($A43="","",'Staff Directory'!$D43)</f>
        <v>A1</v>
      </c>
      <c r="E43" s="26">
        <f>IF($A43="","",COUNTIFS(tblIssues[Staff ID],$A43))</f>
        <v>0</v>
      </c>
      <c r="F43" s="26">
        <f>IF($A43="","",SUMIFS(tblIssues[Qty Issued],tblIssues[Staff ID],$A43))</f>
        <v>0</v>
      </c>
      <c r="G43" s="21">
        <f>IF($A43="","",SUMIFS(tblIssues[Line Cost],tblIssues[Staff ID],$A43))</f>
        <v>0</v>
      </c>
      <c r="H43" s="24" t="str">
        <f>IF($A43="","",IF($E43=0,"",IFERROR(_xlfn.MAXIFS(tblIssues[Order Date],tblIssues[Staff ID],$A43),"")))</f>
        <v/>
      </c>
      <c r="I43" s="24" t="str">
        <f>IF($A43="","",IF($E43=0,"",IFERROR(_xlfn.MAXIFS(tblIssues[Next Scheduled],tblIssues[Staff ID],$A43),"")))</f>
        <v/>
      </c>
      <c r="J43" s="26">
        <f>IF($A43="","",COUNTIFS(tblIssues[Staff ID],$A43,tblIssues[Status],"Pending"))</f>
        <v>0</v>
      </c>
    </row>
    <row r="44" spans="1:10" x14ac:dyDescent="0.35">
      <c r="A44" s="18" t="str">
        <f>IF('Staff Directory'!$A44="","",'Staff Directory'!$A44)</f>
        <v>RN-035-A1</v>
      </c>
      <c r="B44" s="18" t="str">
        <f>IF($A44="","",'Staff Directory'!$B44)</f>
        <v>Lastname040, Firstname040</v>
      </c>
      <c r="C44" s="19" t="str">
        <f>IF($A44="","",'Staff Directory'!$C44)</f>
        <v>RN</v>
      </c>
      <c r="D44" s="19" t="str">
        <f>IF($A44="","",'Staff Directory'!$D44)</f>
        <v>A1</v>
      </c>
      <c r="E44" s="26">
        <f>IF($A44="","",COUNTIFS(tblIssues[Staff ID],$A44))</f>
        <v>4</v>
      </c>
      <c r="F44" s="26">
        <f>IF($A44="","",SUMIFS(tblIssues[Qty Issued],tblIssues[Staff ID],$A44))</f>
        <v>1520</v>
      </c>
      <c r="G44" s="21">
        <f>IF($A44="","",SUMIFS(tblIssues[Line Cost],tblIssues[Staff ID],$A44))</f>
        <v>82.5</v>
      </c>
      <c r="H44" s="24">
        <f>IF($A44="","",IF($E44=0,"",IFERROR(_xlfn.MAXIFS(tblIssues[Order Date],tblIssues[Staff ID],$A44),"")))</f>
        <v>46227</v>
      </c>
      <c r="I44" s="24">
        <f>IF($A44="","",IF($E44=0,"",IFERROR(_xlfn.MAXIFS(tblIssues[Next Scheduled],tblIssues[Staff ID],$A44),"")))</f>
        <v>46275</v>
      </c>
      <c r="J44" s="26">
        <f>IF($A44="","",COUNTIFS(tblIssues[Staff ID],$A44,tblIssues[Status],"Pending"))</f>
        <v>0</v>
      </c>
    </row>
    <row r="45" spans="1:10" x14ac:dyDescent="0.35">
      <c r="A45" s="18" t="str">
        <f>IF('Staff Directory'!$A45="","",'Staff Directory'!$A45)</f>
        <v>RN-036-A1</v>
      </c>
      <c r="B45" s="18" t="str">
        <f>IF($A45="","",'Staff Directory'!$B45)</f>
        <v>Lastname041, Firstname041</v>
      </c>
      <c r="C45" s="19" t="str">
        <f>IF($A45="","",'Staff Directory'!$C45)</f>
        <v>RN</v>
      </c>
      <c r="D45" s="19" t="str">
        <f>IF($A45="","",'Staff Directory'!$D45)</f>
        <v>A1</v>
      </c>
      <c r="E45" s="26">
        <f>IF($A45="","",COUNTIFS(tblIssues[Staff ID],$A45))</f>
        <v>1</v>
      </c>
      <c r="F45" s="26">
        <f>IF($A45="","",SUMIFS(tblIssues[Qty Issued],tblIssues[Staff ID],$A45))</f>
        <v>10</v>
      </c>
      <c r="G45" s="21">
        <f>IF($A45="","",SUMIFS(tblIssues[Line Cost],tblIssues[Staff ID],$A45))</f>
        <v>0</v>
      </c>
      <c r="H45" s="24">
        <f>IF($A45="","",IF($E45=0,"",IFERROR(_xlfn.MAXIFS(tblIssues[Order Date],tblIssues[Staff ID],$A45),"")))</f>
        <v>46150</v>
      </c>
      <c r="I45" s="24">
        <f>IF($A45="","",IF($E45=0,"",IFERROR(_xlfn.MAXIFS(tblIssues[Next Scheduled],tblIssues[Staff ID],$A45),"")))</f>
        <v>46198</v>
      </c>
      <c r="J45" s="26">
        <f>IF($A45="","",COUNTIFS(tblIssues[Staff ID],$A45,tblIssues[Status],"Pending"))</f>
        <v>0</v>
      </c>
    </row>
    <row r="46" spans="1:10" x14ac:dyDescent="0.35">
      <c r="A46" s="18" t="str">
        <f>IF('Staff Directory'!$A46="","",'Staff Directory'!$A46)</f>
        <v>RPN-006-A1</v>
      </c>
      <c r="B46" s="18" t="str">
        <f>IF($A46="","",'Staff Directory'!$B46)</f>
        <v>Lastname042, Firstname042</v>
      </c>
      <c r="C46" s="19" t="str">
        <f>IF($A46="","",'Staff Directory'!$C46)</f>
        <v>RPN</v>
      </c>
      <c r="D46" s="19" t="str">
        <f>IF($A46="","",'Staff Directory'!$D46)</f>
        <v>A1</v>
      </c>
      <c r="E46" s="26">
        <f>IF($A46="","",COUNTIFS(tblIssues[Staff ID],$A46))</f>
        <v>16</v>
      </c>
      <c r="F46" s="26">
        <f>IF($A46="","",SUMIFS(tblIssues[Qty Issued],tblIssues[Staff ID],$A46))</f>
        <v>1726</v>
      </c>
      <c r="G46" s="21">
        <f>IF($A46="","",SUMIFS(tblIssues[Line Cost],tblIssues[Staff ID],$A46))</f>
        <v>125.46020000000001</v>
      </c>
      <c r="H46" s="24">
        <f>IF($A46="","",IF($E46=0,"",IFERROR(_xlfn.MAXIFS(tblIssues[Order Date],tblIssues[Staff ID],$A46),"")))</f>
        <v>46197</v>
      </c>
      <c r="I46" s="24">
        <f>IF($A46="","",IF($E46=0,"",IFERROR(_xlfn.MAXIFS(tblIssues[Next Scheduled],tblIssues[Staff ID],$A46),"")))</f>
        <v>46245</v>
      </c>
      <c r="J46" s="26">
        <f>IF($A46="","",COUNTIFS(tblIssues[Staff ID],$A46,tblIssues[Status],"Pending"))</f>
        <v>0</v>
      </c>
    </row>
    <row r="47" spans="1:10" x14ac:dyDescent="0.35">
      <c r="A47" s="18" t="str">
        <f>IF('Staff Directory'!$A47="","",'Staff Directory'!$A47)</f>
        <v>RN-037-A2</v>
      </c>
      <c r="B47" s="18" t="str">
        <f>IF($A47="","",'Staff Directory'!$B47)</f>
        <v>Lastname043, Firstname043</v>
      </c>
      <c r="C47" s="19" t="str">
        <f>IF($A47="","",'Staff Directory'!$C47)</f>
        <v>RN</v>
      </c>
      <c r="D47" s="19" t="str">
        <f>IF($A47="","",'Staff Directory'!$D47)</f>
        <v>A2</v>
      </c>
      <c r="E47" s="26">
        <f>IF($A47="","",COUNTIFS(tblIssues[Staff ID],$A47))</f>
        <v>0</v>
      </c>
      <c r="F47" s="26">
        <f>IF($A47="","",SUMIFS(tblIssues[Qty Issued],tblIssues[Staff ID],$A47))</f>
        <v>0</v>
      </c>
      <c r="G47" s="21">
        <f>IF($A47="","",SUMIFS(tblIssues[Line Cost],tblIssues[Staff ID],$A47))</f>
        <v>0</v>
      </c>
      <c r="H47" s="24" t="str">
        <f>IF($A47="","",IF($E47=0,"",IFERROR(_xlfn.MAXIFS(tblIssues[Order Date],tblIssues[Staff ID],$A47),"")))</f>
        <v/>
      </c>
      <c r="I47" s="24" t="str">
        <f>IF($A47="","",IF($E47=0,"",IFERROR(_xlfn.MAXIFS(tblIssues[Next Scheduled],tblIssues[Staff ID],$A47),"")))</f>
        <v/>
      </c>
      <c r="J47" s="26">
        <f>IF($A47="","",COUNTIFS(tblIssues[Staff ID],$A47,tblIssues[Status],"Pending"))</f>
        <v>0</v>
      </c>
    </row>
    <row r="48" spans="1:10" x14ac:dyDescent="0.35">
      <c r="A48" s="18" t="str">
        <f>IF('Staff Directory'!$A48="","",'Staff Directory'!$A48)</f>
        <v>RN-038-A1</v>
      </c>
      <c r="B48" s="18" t="str">
        <f>IF($A48="","",'Staff Directory'!$B48)</f>
        <v>Lastname044, Firstname044</v>
      </c>
      <c r="C48" s="19" t="str">
        <f>IF($A48="","",'Staff Directory'!$C48)</f>
        <v>RN</v>
      </c>
      <c r="D48" s="19" t="str">
        <f>IF($A48="","",'Staff Directory'!$D48)</f>
        <v>A1</v>
      </c>
      <c r="E48" s="26">
        <f>IF($A48="","",COUNTIFS(tblIssues[Staff ID],$A48))</f>
        <v>4</v>
      </c>
      <c r="F48" s="26">
        <f>IF($A48="","",SUMIFS(tblIssues[Qty Issued],tblIssues[Staff ID],$A48))</f>
        <v>512</v>
      </c>
      <c r="G48" s="21">
        <f>IF($A48="","",SUMIFS(tblIssues[Line Cost],tblIssues[Staff ID],$A48))</f>
        <v>27.5002</v>
      </c>
      <c r="H48" s="24">
        <f>IF($A48="","",IF($E48=0,"",IFERROR(_xlfn.MAXIFS(tblIssues[Order Date],tblIssues[Staff ID],$A48),"")))</f>
        <v>46209</v>
      </c>
      <c r="I48" s="24">
        <f>IF($A48="","",IF($E48=0,"",IFERROR(_xlfn.MAXIFS(tblIssues[Next Scheduled],tblIssues[Staff ID],$A48),"")))</f>
        <v>46255</v>
      </c>
      <c r="J48" s="26">
        <f>IF($A48="","",COUNTIFS(tblIssues[Staff ID],$A48,tblIssues[Status],"Pending"))</f>
        <v>0</v>
      </c>
    </row>
    <row r="49" spans="1:10" x14ac:dyDescent="0.35">
      <c r="A49" s="18" t="str">
        <f>IF('Staff Directory'!$A49="","",'Staff Directory'!$A49)</f>
        <v>RN-039-A1</v>
      </c>
      <c r="B49" s="18" t="str">
        <f>IF($A49="","",'Staff Directory'!$B49)</f>
        <v>Lastname045, Firstname045</v>
      </c>
      <c r="C49" s="19" t="str">
        <f>IF($A49="","",'Staff Directory'!$C49)</f>
        <v>RN</v>
      </c>
      <c r="D49" s="19" t="str">
        <f>IF($A49="","",'Staff Directory'!$D49)</f>
        <v>A1</v>
      </c>
      <c r="E49" s="26">
        <f>IF($A49="","",COUNTIFS(tblIssues[Staff ID],$A49))</f>
        <v>0</v>
      </c>
      <c r="F49" s="26">
        <f>IF($A49="","",SUMIFS(tblIssues[Qty Issued],tblIssues[Staff ID],$A49))</f>
        <v>0</v>
      </c>
      <c r="G49" s="21">
        <f>IF($A49="","",SUMIFS(tblIssues[Line Cost],tblIssues[Staff ID],$A49))</f>
        <v>0</v>
      </c>
      <c r="H49" s="24" t="str">
        <f>IF($A49="","",IF($E49=0,"",IFERROR(_xlfn.MAXIFS(tblIssues[Order Date],tblIssues[Staff ID],$A49),"")))</f>
        <v/>
      </c>
      <c r="I49" s="24" t="str">
        <f>IF($A49="","",IF($E49=0,"",IFERROR(_xlfn.MAXIFS(tblIssues[Next Scheduled],tblIssues[Staff ID],$A49),"")))</f>
        <v/>
      </c>
      <c r="J49" s="26">
        <f>IF($A49="","",COUNTIFS(tblIssues[Staff ID],$A49,tblIssues[Status],"Pending"))</f>
        <v>0</v>
      </c>
    </row>
    <row r="50" spans="1:10" x14ac:dyDescent="0.35">
      <c r="A50" s="18" t="str">
        <f>IF('Staff Directory'!$A50="","",'Staff Directory'!$A50)</f>
        <v>RN-040-A2</v>
      </c>
      <c r="B50" s="18" t="str">
        <f>IF($A50="","",'Staff Directory'!$B50)</f>
        <v>Lastname046, Firstname046</v>
      </c>
      <c r="C50" s="19" t="str">
        <f>IF($A50="","",'Staff Directory'!$C50)</f>
        <v>RN</v>
      </c>
      <c r="D50" s="19" t="str">
        <f>IF($A50="","",'Staff Directory'!$D50)</f>
        <v>A2</v>
      </c>
      <c r="E50" s="26">
        <f>IF($A50="","",COUNTIFS(tblIssues[Staff ID],$A50))</f>
        <v>13</v>
      </c>
      <c r="F50" s="26">
        <f>IF($A50="","",SUMIFS(tblIssues[Qty Issued],tblIssues[Staff ID],$A50))</f>
        <v>2086</v>
      </c>
      <c r="G50" s="21">
        <f>IF($A50="","",SUMIFS(tblIssues[Line Cost],tblIssues[Staff ID],$A50))</f>
        <v>131.48030000000003</v>
      </c>
      <c r="H50" s="24">
        <f>IF($A50="","",IF($E50=0,"",IFERROR(_xlfn.MAXIFS(tblIssues[Order Date],tblIssues[Staff ID],$A50),"")))</f>
        <v>46219</v>
      </c>
      <c r="I50" s="24">
        <f>IF($A50="","",IF($E50=0,"",IFERROR(_xlfn.MAXIFS(tblIssues[Next Scheduled],tblIssues[Staff ID],$A50),"")))</f>
        <v>46267</v>
      </c>
      <c r="J50" s="26">
        <f>IF($A50="","",COUNTIFS(tblIssues[Staff ID],$A50,tblIssues[Status],"Pending"))</f>
        <v>0</v>
      </c>
    </row>
    <row r="51" spans="1:10" x14ac:dyDescent="0.35">
      <c r="A51" s="18" t="str">
        <f>IF('Staff Directory'!$A51="","",'Staff Directory'!$A51)</f>
        <v>RPN-007-A1</v>
      </c>
      <c r="B51" s="18" t="str">
        <f>IF($A51="","",'Staff Directory'!$B51)</f>
        <v>Lastname047, Firstname047</v>
      </c>
      <c r="C51" s="19" t="str">
        <f>IF($A51="","",'Staff Directory'!$C51)</f>
        <v>RPN</v>
      </c>
      <c r="D51" s="19" t="str">
        <f>IF($A51="","",'Staff Directory'!$D51)</f>
        <v>A1</v>
      </c>
      <c r="E51" s="26">
        <f>IF($A51="","",COUNTIFS(tblIssues[Staff ID],$A51))</f>
        <v>1</v>
      </c>
      <c r="F51" s="26">
        <f>IF($A51="","",SUMIFS(tblIssues[Qty Issued],tblIssues[Staff ID],$A51))</f>
        <v>10</v>
      </c>
      <c r="G51" s="21">
        <f>IF($A51="","",SUMIFS(tblIssues[Line Cost],tblIssues[Staff ID],$A51))</f>
        <v>0</v>
      </c>
      <c r="H51" s="24">
        <f>IF($A51="","",IF($E51=0,"",IFERROR(_xlfn.MAXIFS(tblIssues[Order Date],tblIssues[Staff ID],$A51),"")))</f>
        <v>46150</v>
      </c>
      <c r="I51" s="24">
        <f>IF($A51="","",IF($E51=0,"",IFERROR(_xlfn.MAXIFS(tblIssues[Next Scheduled],tblIssues[Staff ID],$A51),"")))</f>
        <v>46198</v>
      </c>
      <c r="J51" s="26">
        <f>IF($A51="","",COUNTIFS(tblIssues[Staff ID],$A51,tblIssues[Status],"Pending"))</f>
        <v>0</v>
      </c>
    </row>
    <row r="52" spans="1:10" x14ac:dyDescent="0.35">
      <c r="A52" s="18" t="str">
        <f>IF('Staff Directory'!$A52="","",'Staff Directory'!$A52)</f>
        <v>RN-041-A1</v>
      </c>
      <c r="B52" s="18" t="str">
        <f>IF($A52="","",'Staff Directory'!$B52)</f>
        <v>Lastname048, Firstname048</v>
      </c>
      <c r="C52" s="19" t="str">
        <f>IF($A52="","",'Staff Directory'!$C52)</f>
        <v>RN</v>
      </c>
      <c r="D52" s="19" t="str">
        <f>IF($A52="","",'Staff Directory'!$D52)</f>
        <v>A1</v>
      </c>
      <c r="E52" s="26">
        <f>IF($A52="","",COUNTIFS(tblIssues[Staff ID],$A52))</f>
        <v>1</v>
      </c>
      <c r="F52" s="26">
        <f>IF($A52="","",SUMIFS(tblIssues[Qty Issued],tblIssues[Staff ID],$A52))</f>
        <v>10</v>
      </c>
      <c r="G52" s="21">
        <f>IF($A52="","",SUMIFS(tblIssues[Line Cost],tblIssues[Staff ID],$A52))</f>
        <v>0</v>
      </c>
      <c r="H52" s="24">
        <f>IF($A52="","",IF($E52=0,"",IFERROR(_xlfn.MAXIFS(tblIssues[Order Date],tblIssues[Staff ID],$A52),"")))</f>
        <v>46150</v>
      </c>
      <c r="I52" s="24">
        <f>IF($A52="","",IF($E52=0,"",IFERROR(_xlfn.MAXIFS(tblIssues[Next Scheduled],tblIssues[Staff ID],$A52),"")))</f>
        <v>46198</v>
      </c>
      <c r="J52" s="26">
        <f>IF($A52="","",COUNTIFS(tblIssues[Staff ID],$A52,tblIssues[Status],"Pending"))</f>
        <v>0</v>
      </c>
    </row>
    <row r="53" spans="1:10" x14ac:dyDescent="0.35">
      <c r="A53" s="18" t="str">
        <f>IF('Staff Directory'!$A53="","",'Staff Directory'!$A53)</f>
        <v>RN-042-A1</v>
      </c>
      <c r="B53" s="18" t="str">
        <f>IF($A53="","",'Staff Directory'!$B53)</f>
        <v>Lastname049, Firstname049</v>
      </c>
      <c r="C53" s="19" t="str">
        <f>IF($A53="","",'Staff Directory'!$C53)</f>
        <v>RN</v>
      </c>
      <c r="D53" s="19" t="str">
        <f>IF($A53="","",'Staff Directory'!$D53)</f>
        <v>A1</v>
      </c>
      <c r="E53" s="26">
        <f>IF($A53="","",COUNTIFS(tblIssues[Staff ID],$A53))</f>
        <v>1</v>
      </c>
      <c r="F53" s="26">
        <f>IF($A53="","",SUMIFS(tblIssues[Qty Issued],tblIssues[Staff ID],$A53))</f>
        <v>10</v>
      </c>
      <c r="G53" s="21">
        <f>IF($A53="","",SUMIFS(tblIssues[Line Cost],tblIssues[Staff ID],$A53))</f>
        <v>0</v>
      </c>
      <c r="H53" s="24">
        <f>IF($A53="","",IF($E53=0,"",IFERROR(_xlfn.MAXIFS(tblIssues[Order Date],tblIssues[Staff ID],$A53),"")))</f>
        <v>46150</v>
      </c>
      <c r="I53" s="24">
        <f>IF($A53="","",IF($E53=0,"",IFERROR(_xlfn.MAXIFS(tblIssues[Next Scheduled],tblIssues[Staff ID],$A53),"")))</f>
        <v>46198</v>
      </c>
      <c r="J53" s="26">
        <f>IF($A53="","",COUNTIFS(tblIssues[Staff ID],$A53,tblIssues[Status],"Pending"))</f>
        <v>0</v>
      </c>
    </row>
    <row r="54" spans="1:10" x14ac:dyDescent="0.35">
      <c r="A54" s="18" t="str">
        <f>IF('Staff Directory'!$A54="","",'Staff Directory'!$A54)</f>
        <v>RN-043-A1</v>
      </c>
      <c r="B54" s="18" t="str">
        <f>IF($A54="","",'Staff Directory'!$B54)</f>
        <v>Lastname050, Firstname050</v>
      </c>
      <c r="C54" s="19" t="str">
        <f>IF($A54="","",'Staff Directory'!$C54)</f>
        <v>RN</v>
      </c>
      <c r="D54" s="19" t="str">
        <f>IF($A54="","",'Staff Directory'!$D54)</f>
        <v>A1</v>
      </c>
      <c r="E54" s="26">
        <f>IF($A54="","",COUNTIFS(tblIssues[Staff ID],$A54))</f>
        <v>13</v>
      </c>
      <c r="F54" s="26">
        <f>IF($A54="","",SUMIFS(tblIssues[Qty Issued],tblIssues[Staff ID],$A54))</f>
        <v>1773</v>
      </c>
      <c r="G54" s="21">
        <f>IF($A54="","",SUMIFS(tblIssues[Line Cost],tblIssues[Staff ID],$A54))</f>
        <v>111.00030000000001</v>
      </c>
      <c r="H54" s="24">
        <f>IF($A54="","",IF($E54=0,"",IFERROR(_xlfn.MAXIFS(tblIssues[Order Date],tblIssues[Staff ID],$A54),"")))</f>
        <v>46182</v>
      </c>
      <c r="I54" s="24">
        <f>IF($A54="","",IF($E54=0,"",IFERROR(_xlfn.MAXIFS(tblIssues[Next Scheduled],tblIssues[Staff ID],$A54),"")))</f>
        <v>46230</v>
      </c>
      <c r="J54" s="26">
        <f>IF($A54="","",COUNTIFS(tblIssues[Staff ID],$A54,tblIssues[Status],"Pending"))</f>
        <v>0</v>
      </c>
    </row>
    <row r="55" spans="1:10" x14ac:dyDescent="0.35">
      <c r="A55" s="18" t="str">
        <f>IF('Staff Directory'!$A55="","",'Staff Directory'!$A55)</f>
        <v>RN-044-A2</v>
      </c>
      <c r="B55" s="18" t="str">
        <f>IF($A55="","",'Staff Directory'!$B55)</f>
        <v>Lastname051, Firstname051</v>
      </c>
      <c r="C55" s="19" t="str">
        <f>IF($A55="","",'Staff Directory'!$C55)</f>
        <v>RN</v>
      </c>
      <c r="D55" s="19" t="str">
        <f>IF($A55="","",'Staff Directory'!$D55)</f>
        <v>A2</v>
      </c>
      <c r="E55" s="26">
        <f>IF($A55="","",COUNTIFS(tblIssues[Staff ID],$A55))</f>
        <v>1</v>
      </c>
      <c r="F55" s="26">
        <f>IF($A55="","",SUMIFS(tblIssues[Qty Issued],tblIssues[Staff ID],$A55))</f>
        <v>10</v>
      </c>
      <c r="G55" s="21">
        <f>IF($A55="","",SUMIFS(tblIssues[Line Cost],tblIssues[Staff ID],$A55))</f>
        <v>0</v>
      </c>
      <c r="H55" s="24">
        <f>IF($A55="","",IF($E55=0,"",IFERROR(_xlfn.MAXIFS(tblIssues[Order Date],tblIssues[Staff ID],$A55),"")))</f>
        <v>46121</v>
      </c>
      <c r="I55" s="24">
        <f>IF($A55="","",IF($E55=0,"",IFERROR(_xlfn.MAXIFS(tblIssues[Next Scheduled],tblIssues[Staff ID],$A55),"")))</f>
        <v>46169</v>
      </c>
      <c r="J55" s="26">
        <f>IF($A55="","",COUNTIFS(tblIssues[Staff ID],$A55,tblIssues[Status],"Pending"))</f>
        <v>0</v>
      </c>
    </row>
    <row r="56" spans="1:10" x14ac:dyDescent="0.35">
      <c r="A56" s="18" t="str">
        <f>IF('Staff Directory'!$A56="","",'Staff Directory'!$A56)</f>
        <v>RN-045-A1</v>
      </c>
      <c r="B56" s="18" t="str">
        <f>IF($A56="","",'Staff Directory'!$B56)</f>
        <v>Lastname052, Firstname052</v>
      </c>
      <c r="C56" s="19" t="str">
        <f>IF($A56="","",'Staff Directory'!$C56)</f>
        <v>RN</v>
      </c>
      <c r="D56" s="19" t="str">
        <f>IF($A56="","",'Staff Directory'!$D56)</f>
        <v>A1</v>
      </c>
      <c r="E56" s="26">
        <f>IF($A56="","",COUNTIFS(tblIssues[Staff ID],$A56))</f>
        <v>14</v>
      </c>
      <c r="F56" s="26">
        <f>IF($A56="","",SUMIFS(tblIssues[Qty Issued],tblIssues[Staff ID],$A56))</f>
        <v>1616</v>
      </c>
      <c r="G56" s="21">
        <f>IF($A56="","",SUMIFS(tblIssues[Line Cost],tblIssues[Staff ID],$A56))</f>
        <v>95.00060000000002</v>
      </c>
      <c r="H56" s="24">
        <f>IF($A56="","",IF($E56=0,"",IFERROR(_xlfn.MAXIFS(tblIssues[Order Date],tblIssues[Staff ID],$A56),"")))</f>
        <v>46203</v>
      </c>
      <c r="I56" s="24">
        <f>IF($A56="","",IF($E56=0,"",IFERROR(_xlfn.MAXIFS(tblIssues[Next Scheduled],tblIssues[Staff ID],$A56),"")))</f>
        <v>46251</v>
      </c>
      <c r="J56" s="26">
        <f>IF($A56="","",COUNTIFS(tblIssues[Staff ID],$A56,tblIssues[Status],"Pending"))</f>
        <v>0</v>
      </c>
    </row>
    <row r="57" spans="1:10" x14ac:dyDescent="0.35">
      <c r="A57" s="18" t="str">
        <f>IF('Staff Directory'!$A57="","",'Staff Directory'!$A57)</f>
        <v>RN-046-A1</v>
      </c>
      <c r="B57" s="18" t="str">
        <f>IF($A57="","",'Staff Directory'!$B57)</f>
        <v>Lastname053, Firstname053</v>
      </c>
      <c r="C57" s="19" t="str">
        <f>IF($A57="","",'Staff Directory'!$C57)</f>
        <v>RN</v>
      </c>
      <c r="D57" s="19" t="str">
        <f>IF($A57="","",'Staff Directory'!$D57)</f>
        <v>A1</v>
      </c>
      <c r="E57" s="26">
        <f>IF($A57="","",COUNTIFS(tblIssues[Staff ID],$A57))</f>
        <v>0</v>
      </c>
      <c r="F57" s="26">
        <f>IF($A57="","",SUMIFS(tblIssues[Qty Issued],tblIssues[Staff ID],$A57))</f>
        <v>0</v>
      </c>
      <c r="G57" s="21">
        <f>IF($A57="","",SUMIFS(tblIssues[Line Cost],tblIssues[Staff ID],$A57))</f>
        <v>0</v>
      </c>
      <c r="H57" s="24" t="str">
        <f>IF($A57="","",IF($E57=0,"",IFERROR(_xlfn.MAXIFS(tblIssues[Order Date],tblIssues[Staff ID],$A57),"")))</f>
        <v/>
      </c>
      <c r="I57" s="24" t="str">
        <f>IF($A57="","",IF($E57=0,"",IFERROR(_xlfn.MAXIFS(tblIssues[Next Scheduled],tblIssues[Staff ID],$A57),"")))</f>
        <v/>
      </c>
      <c r="J57" s="26">
        <f>IF($A57="","",COUNTIFS(tblIssues[Staff ID],$A57,tblIssues[Status],"Pending"))</f>
        <v>0</v>
      </c>
    </row>
    <row r="58" spans="1:10" x14ac:dyDescent="0.35">
      <c r="A58" s="18" t="str">
        <f>IF('Staff Directory'!$A58="","",'Staff Directory'!$A58)</f>
        <v>OEE-001-A3</v>
      </c>
      <c r="B58" s="18" t="str">
        <f>IF($A58="","",'Staff Directory'!$B58)</f>
        <v>Lastname054, Firstname054</v>
      </c>
      <c r="C58" s="19" t="str">
        <f>IF($A58="","",'Staff Directory'!$C58)</f>
        <v>OEE</v>
      </c>
      <c r="D58" s="19" t="str">
        <f>IF($A58="","",'Staff Directory'!$D58)</f>
        <v>A3</v>
      </c>
      <c r="E58" s="26">
        <f>IF($A58="","",COUNTIFS(tblIssues[Staff ID],$A58))</f>
        <v>0</v>
      </c>
      <c r="F58" s="26">
        <f>IF($A58="","",SUMIFS(tblIssues[Qty Issued],tblIssues[Staff ID],$A58))</f>
        <v>0</v>
      </c>
      <c r="G58" s="21">
        <f>IF($A58="","",SUMIFS(tblIssues[Line Cost],tblIssues[Staff ID],$A58))</f>
        <v>0</v>
      </c>
      <c r="H58" s="24" t="str">
        <f>IF($A58="","",IF($E58=0,"",IFERROR(_xlfn.MAXIFS(tblIssues[Order Date],tblIssues[Staff ID],$A58),"")))</f>
        <v/>
      </c>
      <c r="I58" s="24" t="str">
        <f>IF($A58="","",IF($E58=0,"",IFERROR(_xlfn.MAXIFS(tblIssues[Next Scheduled],tblIssues[Staff ID],$A58),"")))</f>
        <v/>
      </c>
      <c r="J58" s="26">
        <f>IF($A58="","",COUNTIFS(tblIssues[Staff ID],$A58,tblIssues[Status],"Pending"))</f>
        <v>0</v>
      </c>
    </row>
    <row r="59" spans="1:10" x14ac:dyDescent="0.35">
      <c r="A59" s="18" t="str">
        <f>IF('Staff Directory'!$A59="","",'Staff Directory'!$A59)</f>
        <v>RN-047-TBD</v>
      </c>
      <c r="B59" s="18" t="str">
        <f>IF($A59="","",'Staff Directory'!$B59)</f>
        <v>Lastname055, Firstname055</v>
      </c>
      <c r="C59" s="19" t="str">
        <f>IF($A59="","",'Staff Directory'!$C59)</f>
        <v>RN</v>
      </c>
      <c r="D59" s="19">
        <f>IF($A59="","",'Staff Directory'!$D59)</f>
        <v>0</v>
      </c>
      <c r="E59" s="26">
        <f>IF($A59="","",COUNTIFS(tblIssues[Staff ID],$A59))</f>
        <v>5</v>
      </c>
      <c r="F59" s="26">
        <f>IF($A59="","",SUMIFS(tblIssues[Qty Issued],tblIssues[Staff ID],$A59))</f>
        <v>50</v>
      </c>
      <c r="G59" s="21">
        <f>IF($A59="","",SUMIFS(tblIssues[Line Cost],tblIssues[Staff ID],$A59))</f>
        <v>0</v>
      </c>
      <c r="H59" s="24">
        <f>IF($A59="","",IF($E59=0,"",IFERROR(_xlfn.MAXIFS(tblIssues[Order Date],tblIssues[Staff ID],$A59),"")))</f>
        <v>46161</v>
      </c>
      <c r="I59" s="24">
        <f>IF($A59="","",IF($E59=0,"",IFERROR(_xlfn.MAXIFS(tblIssues[Next Scheduled],tblIssues[Staff ID],$A59),"")))</f>
        <v>46209</v>
      </c>
      <c r="J59" s="26">
        <f>IF($A59="","",COUNTIFS(tblIssues[Staff ID],$A59,tblIssues[Status],"Pending"))</f>
        <v>0</v>
      </c>
    </row>
    <row r="60" spans="1:10" x14ac:dyDescent="0.35">
      <c r="A60" s="18" t="str">
        <f>IF('Staff Directory'!$A60="","",'Staff Directory'!$A60)</f>
        <v>RN-048-A1</v>
      </c>
      <c r="B60" s="18" t="str">
        <f>IF($A60="","",'Staff Directory'!$B60)</f>
        <v>Lastname056, Firstname056</v>
      </c>
      <c r="C60" s="19" t="str">
        <f>IF($A60="","",'Staff Directory'!$C60)</f>
        <v>RN</v>
      </c>
      <c r="D60" s="19" t="str">
        <f>IF($A60="","",'Staff Directory'!$D60)</f>
        <v>A1</v>
      </c>
      <c r="E60" s="26">
        <f>IF($A60="","",COUNTIFS(tblIssues[Staff ID],$A60))</f>
        <v>0</v>
      </c>
      <c r="F60" s="26">
        <f>IF($A60="","",SUMIFS(tblIssues[Qty Issued],tblIssues[Staff ID],$A60))</f>
        <v>0</v>
      </c>
      <c r="G60" s="21">
        <f>IF($A60="","",SUMIFS(tblIssues[Line Cost],tblIssues[Staff ID],$A60))</f>
        <v>0</v>
      </c>
      <c r="H60" s="24" t="str">
        <f>IF($A60="","",IF($E60=0,"",IFERROR(_xlfn.MAXIFS(tblIssues[Order Date],tblIssues[Staff ID],$A60),"")))</f>
        <v/>
      </c>
      <c r="I60" s="24" t="str">
        <f>IF($A60="","",IF($E60=0,"",IFERROR(_xlfn.MAXIFS(tblIssues[Next Scheduled],tblIssues[Staff ID],$A60),"")))</f>
        <v/>
      </c>
      <c r="J60" s="26">
        <f>IF($A60="","",COUNTIFS(tblIssues[Staff ID],$A60,tblIssues[Status],"Pending"))</f>
        <v>0</v>
      </c>
    </row>
    <row r="61" spans="1:10" x14ac:dyDescent="0.35">
      <c r="A61" s="18" t="str">
        <f>IF('Staff Directory'!$A61="","",'Staff Directory'!$A61)</f>
        <v>ADMN CO-001-TBD</v>
      </c>
      <c r="B61" s="18" t="str">
        <f>IF($A61="","",'Staff Directory'!$B61)</f>
        <v>Lastname057, Firstname057</v>
      </c>
      <c r="C61" s="19" t="str">
        <f>IF($A61="","",'Staff Directory'!$C61)</f>
        <v>ADMN CO</v>
      </c>
      <c r="D61" s="19">
        <f>IF($A61="","",'Staff Directory'!$D61)</f>
        <v>0</v>
      </c>
      <c r="E61" s="26">
        <f>IF($A61="","",COUNTIFS(tblIssues[Staff ID],$A61))</f>
        <v>0</v>
      </c>
      <c r="F61" s="26">
        <f>IF($A61="","",SUMIFS(tblIssues[Qty Issued],tblIssues[Staff ID],$A61))</f>
        <v>0</v>
      </c>
      <c r="G61" s="21">
        <f>IF($A61="","",SUMIFS(tblIssues[Line Cost],tblIssues[Staff ID],$A61))</f>
        <v>0</v>
      </c>
      <c r="H61" s="24" t="str">
        <f>IF($A61="","",IF($E61=0,"",IFERROR(_xlfn.MAXIFS(tblIssues[Order Date],tblIssues[Staff ID],$A61),"")))</f>
        <v/>
      </c>
      <c r="I61" s="24" t="str">
        <f>IF($A61="","",IF($E61=0,"",IFERROR(_xlfn.MAXIFS(tblIssues[Next Scheduled],tblIssues[Staff ID],$A61),"")))</f>
        <v/>
      </c>
      <c r="J61" s="26">
        <f>IF($A61="","",COUNTIFS(tblIssues[Staff ID],$A61,tblIssues[Status],"Pending"))</f>
        <v>0</v>
      </c>
    </row>
    <row r="62" spans="1:10" x14ac:dyDescent="0.35">
      <c r="A62" s="18" t="str">
        <f>IF('Staff Directory'!$A62="","",'Staff Directory'!$A62)</f>
        <v>RN-049-A1</v>
      </c>
      <c r="B62" s="18" t="str">
        <f>IF($A62="","",'Staff Directory'!$B62)</f>
        <v>Lastname058, Firstname058</v>
      </c>
      <c r="C62" s="19" t="str">
        <f>IF($A62="","",'Staff Directory'!$C62)</f>
        <v>RN</v>
      </c>
      <c r="D62" s="19" t="str">
        <f>IF($A62="","",'Staff Directory'!$D62)</f>
        <v>A1</v>
      </c>
      <c r="E62" s="26">
        <f>IF($A62="","",COUNTIFS(tblIssues[Staff ID],$A62))</f>
        <v>14</v>
      </c>
      <c r="F62" s="26">
        <f>IF($A62="","",SUMIFS(tblIssues[Qty Issued],tblIssues[Staff ID],$A62))</f>
        <v>1305</v>
      </c>
      <c r="G62" s="21">
        <f>IF($A62="","",SUMIFS(tblIssues[Line Cost],tblIssues[Staff ID],$A62))</f>
        <v>104.9802</v>
      </c>
      <c r="H62" s="24">
        <f>IF($A62="","",IF($E62=0,"",IFERROR(_xlfn.MAXIFS(tblIssues[Order Date],tblIssues[Staff ID],$A62),"")))</f>
        <v>46203</v>
      </c>
      <c r="I62" s="24">
        <f>IF($A62="","",IF($E62=0,"",IFERROR(_xlfn.MAXIFS(tblIssues[Next Scheduled],tblIssues[Staff ID],$A62),"")))</f>
        <v>46251</v>
      </c>
      <c r="J62" s="26">
        <f>IF($A62="","",COUNTIFS(tblIssues[Staff ID],$A62,tblIssues[Status],"Pending"))</f>
        <v>0</v>
      </c>
    </row>
    <row r="63" spans="1:10" x14ac:dyDescent="0.35">
      <c r="A63" s="18" t="str">
        <f>IF('Staff Directory'!$A63="","",'Staff Directory'!$A63)</f>
        <v>RN-050-A1</v>
      </c>
      <c r="B63" s="18" t="str">
        <f>IF($A63="","",'Staff Directory'!$B63)</f>
        <v>Lastname059, Firstname059</v>
      </c>
      <c r="C63" s="19" t="str">
        <f>IF($A63="","",'Staff Directory'!$C63)</f>
        <v>RN</v>
      </c>
      <c r="D63" s="19" t="str">
        <f>IF($A63="","",'Staff Directory'!$D63)</f>
        <v>A1</v>
      </c>
      <c r="E63" s="26">
        <f>IF($A63="","",COUNTIFS(tblIssues[Staff ID],$A63))</f>
        <v>16</v>
      </c>
      <c r="F63" s="26">
        <f>IF($A63="","",SUMIFS(tblIssues[Qty Issued],tblIssues[Staff ID],$A63))</f>
        <v>1803</v>
      </c>
      <c r="G63" s="21">
        <f>IF($A63="","",SUMIFS(tblIssues[Line Cost],tblIssues[Staff ID],$A63))</f>
        <v>136.25030000000001</v>
      </c>
      <c r="H63" s="24">
        <f>IF($A63="","",IF($E63=0,"",IFERROR(_xlfn.MAXIFS(tblIssues[Order Date],tblIssues[Staff ID],$A63),"")))</f>
        <v>46225</v>
      </c>
      <c r="I63" s="24">
        <f>IF($A63="","",IF($E63=0,"",IFERROR(_xlfn.MAXIFS(tblIssues[Next Scheduled],tblIssues[Staff ID],$A63),"")))</f>
        <v>46273</v>
      </c>
      <c r="J63" s="26">
        <f>IF($A63="","",COUNTIFS(tblIssues[Staff ID],$A63,tblIssues[Status],"Pending"))</f>
        <v>0</v>
      </c>
    </row>
    <row r="64" spans="1:10" x14ac:dyDescent="0.35">
      <c r="A64" s="18" t="str">
        <f>IF('Staff Directory'!$A64="","",'Staff Directory'!$A64)</f>
        <v>RN-051-A2</v>
      </c>
      <c r="B64" s="18" t="str">
        <f>IF($A64="","",'Staff Directory'!$B64)</f>
        <v>Lastname060, Firstname060</v>
      </c>
      <c r="C64" s="19" t="str">
        <f>IF($A64="","",'Staff Directory'!$C64)</f>
        <v>RN</v>
      </c>
      <c r="D64" s="19" t="str">
        <f>IF($A64="","",'Staff Directory'!$D64)</f>
        <v>A2</v>
      </c>
      <c r="E64" s="26">
        <f>IF($A64="","",COUNTIFS(tblIssues[Staff ID],$A64))</f>
        <v>16</v>
      </c>
      <c r="F64" s="26">
        <f>IF($A64="","",SUMIFS(tblIssues[Qty Issued],tblIssues[Staff ID],$A64))</f>
        <v>659</v>
      </c>
      <c r="G64" s="21">
        <f>IF($A64="","",SUMIFS(tblIssues[Line Cost],tblIssues[Staff ID],$A64))</f>
        <v>718.47009999999989</v>
      </c>
      <c r="H64" s="24">
        <f>IF($A64="","",IF($E64=0,"",IFERROR(_xlfn.MAXIFS(tblIssues[Order Date],tblIssues[Staff ID],$A64),"")))</f>
        <v>46146</v>
      </c>
      <c r="I64" s="24">
        <f>IF($A64="","",IF($E64=0,"",IFERROR(_xlfn.MAXIFS(tblIssues[Next Scheduled],tblIssues[Staff ID],$A64),"")))</f>
        <v>46192</v>
      </c>
      <c r="J64" s="26">
        <f>IF($A64="","",COUNTIFS(tblIssues[Staff ID],$A64,tblIssues[Status],"Pending"))</f>
        <v>0</v>
      </c>
    </row>
    <row r="65" spans="1:10" x14ac:dyDescent="0.35">
      <c r="A65" s="18" t="str">
        <f>IF('Staff Directory'!$A65="","",'Staff Directory'!$A65)</f>
        <v>PSW-001-A4</v>
      </c>
      <c r="B65" s="18" t="str">
        <f>IF($A65="","",'Staff Directory'!$B65)</f>
        <v>Lastname061, Firstname061</v>
      </c>
      <c r="C65" s="19" t="str">
        <f>IF($A65="","",'Staff Directory'!$C65)</f>
        <v>PSW</v>
      </c>
      <c r="D65" s="19" t="str">
        <f>IF($A65="","",'Staff Directory'!$D65)</f>
        <v>A4</v>
      </c>
      <c r="E65" s="26">
        <f>IF($A65="","",COUNTIFS(tblIssues[Staff ID],$A65))</f>
        <v>0</v>
      </c>
      <c r="F65" s="26">
        <f>IF($A65="","",SUMIFS(tblIssues[Qty Issued],tblIssues[Staff ID],$A65))</f>
        <v>0</v>
      </c>
      <c r="G65" s="21">
        <f>IF($A65="","",SUMIFS(tblIssues[Line Cost],tblIssues[Staff ID],$A65))</f>
        <v>0</v>
      </c>
      <c r="H65" s="24" t="str">
        <f>IF($A65="","",IF($E65=0,"",IFERROR(_xlfn.MAXIFS(tblIssues[Order Date],tblIssues[Staff ID],$A65),"")))</f>
        <v/>
      </c>
      <c r="I65" s="24" t="str">
        <f>IF($A65="","",IF($E65=0,"",IFERROR(_xlfn.MAXIFS(tblIssues[Next Scheduled],tblIssues[Staff ID],$A65),"")))</f>
        <v/>
      </c>
      <c r="J65" s="26">
        <f>IF($A65="","",COUNTIFS(tblIssues[Staff ID],$A65,tblIssues[Status],"Pending"))</f>
        <v>0</v>
      </c>
    </row>
    <row r="66" spans="1:10" x14ac:dyDescent="0.35">
      <c r="A66" s="18" t="str">
        <f>IF('Staff Directory'!$A66="","",'Staff Directory'!$A66)</f>
        <v>PSW-002-A4</v>
      </c>
      <c r="B66" s="18" t="str">
        <f>IF($A66="","",'Staff Directory'!$B66)</f>
        <v>Lastname062, Firstname062</v>
      </c>
      <c r="C66" s="19" t="str">
        <f>IF($A66="","",'Staff Directory'!$C66)</f>
        <v>PSW</v>
      </c>
      <c r="D66" s="19" t="str">
        <f>IF($A66="","",'Staff Directory'!$D66)</f>
        <v>A4</v>
      </c>
      <c r="E66" s="26">
        <f>IF($A66="","",COUNTIFS(tblIssues[Staff ID],$A66))</f>
        <v>0</v>
      </c>
      <c r="F66" s="26">
        <f>IF($A66="","",SUMIFS(tblIssues[Qty Issued],tblIssues[Staff ID],$A66))</f>
        <v>0</v>
      </c>
      <c r="G66" s="21">
        <f>IF($A66="","",SUMIFS(tblIssues[Line Cost],tblIssues[Staff ID],$A66))</f>
        <v>0</v>
      </c>
      <c r="H66" s="24" t="str">
        <f>IF($A66="","",IF($E66=0,"",IFERROR(_xlfn.MAXIFS(tblIssues[Order Date],tblIssues[Staff ID],$A66),"")))</f>
        <v/>
      </c>
      <c r="I66" s="24" t="str">
        <f>IF($A66="","",IF($E66=0,"",IFERROR(_xlfn.MAXIFS(tblIssues[Next Scheduled],tblIssues[Staff ID],$A66),"")))</f>
        <v/>
      </c>
      <c r="J66" s="26">
        <f>IF($A66="","",COUNTIFS(tblIssues[Staff ID],$A66,tblIssues[Status],"Pending"))</f>
        <v>0</v>
      </c>
    </row>
    <row r="67" spans="1:10" x14ac:dyDescent="0.35">
      <c r="A67" s="18" t="str">
        <f>IF('Staff Directory'!$A67="","",'Staff Directory'!$A67)</f>
        <v>PSW-003-A4</v>
      </c>
      <c r="B67" s="18" t="str">
        <f>IF($A67="","",'Staff Directory'!$B67)</f>
        <v>Lastname063, Firstname063</v>
      </c>
      <c r="C67" s="19" t="str">
        <f>IF($A67="","",'Staff Directory'!$C67)</f>
        <v>PSW</v>
      </c>
      <c r="D67" s="19" t="str">
        <f>IF($A67="","",'Staff Directory'!$D67)</f>
        <v>A4</v>
      </c>
      <c r="E67" s="26">
        <f>IF($A67="","",COUNTIFS(tblIssues[Staff ID],$A67))</f>
        <v>0</v>
      </c>
      <c r="F67" s="26">
        <f>IF($A67="","",SUMIFS(tblIssues[Qty Issued],tblIssues[Staff ID],$A67))</f>
        <v>0</v>
      </c>
      <c r="G67" s="21">
        <f>IF($A67="","",SUMIFS(tblIssues[Line Cost],tblIssues[Staff ID],$A67))</f>
        <v>0</v>
      </c>
      <c r="H67" s="24" t="str">
        <f>IF($A67="","",IF($E67=0,"",IFERROR(_xlfn.MAXIFS(tblIssues[Order Date],tblIssues[Staff ID],$A67),"")))</f>
        <v/>
      </c>
      <c r="I67" s="24" t="str">
        <f>IF($A67="","",IF($E67=0,"",IFERROR(_xlfn.MAXIFS(tblIssues[Next Scheduled],tblIssues[Staff ID],$A67),"")))</f>
        <v/>
      </c>
      <c r="J67" s="26">
        <f>IF($A67="","",COUNTIFS(tblIssues[Staff ID],$A67,tblIssues[Status],"Pending"))</f>
        <v>0</v>
      </c>
    </row>
    <row r="68" spans="1:10" x14ac:dyDescent="0.35">
      <c r="A68" s="18" t="str">
        <f>IF('Staff Directory'!$A68="","",'Staff Directory'!$A68)</f>
        <v>PSW-004-A4</v>
      </c>
      <c r="B68" s="18" t="str">
        <f>IF($A68="","",'Staff Directory'!$B68)</f>
        <v>Lastname064, Firstname064</v>
      </c>
      <c r="C68" s="19" t="str">
        <f>IF($A68="","",'Staff Directory'!$C68)</f>
        <v>PSW</v>
      </c>
      <c r="D68" s="19" t="str">
        <f>IF($A68="","",'Staff Directory'!$D68)</f>
        <v>A4</v>
      </c>
      <c r="E68" s="26">
        <f>IF($A68="","",COUNTIFS(tblIssues[Staff ID],$A68))</f>
        <v>8</v>
      </c>
      <c r="F68" s="26">
        <f>IF($A68="","",SUMIFS(tblIssues[Qty Issued],tblIssues[Staff ID],$A68))</f>
        <v>1390</v>
      </c>
      <c r="G68" s="21">
        <f>IF($A68="","",SUMIFS(tblIssues[Line Cost],tblIssues[Staff ID],$A68))</f>
        <v>116.5</v>
      </c>
      <c r="H68" s="24">
        <f>IF($A68="","",IF($E68=0,"",IFERROR(_xlfn.MAXIFS(tblIssues[Order Date],tblIssues[Staff ID],$A68),"")))</f>
        <v>46196</v>
      </c>
      <c r="I68" s="24">
        <f>IF($A68="","",IF($E68=0,"",IFERROR(_xlfn.MAXIFS(tblIssues[Next Scheduled],tblIssues[Staff ID],$A68),"")))</f>
        <v>46244</v>
      </c>
      <c r="J68" s="26">
        <f>IF($A68="","",COUNTIFS(tblIssues[Staff ID],$A68,tblIssues[Status],"Pending"))</f>
        <v>0</v>
      </c>
    </row>
    <row r="69" spans="1:10" x14ac:dyDescent="0.35">
      <c r="A69" s="18" t="str">
        <f>IF('Staff Directory'!$A69="","",'Staff Directory'!$A69)</f>
        <v>PSW-005-A5</v>
      </c>
      <c r="B69" s="18" t="str">
        <f>IF($A69="","",'Staff Directory'!$B69)</f>
        <v>Lastname065, Firstname065</v>
      </c>
      <c r="C69" s="19" t="str">
        <f>IF($A69="","",'Staff Directory'!$C69)</f>
        <v>PSW</v>
      </c>
      <c r="D69" s="19" t="str">
        <f>IF($A69="","",'Staff Directory'!$D69)</f>
        <v>A5</v>
      </c>
      <c r="E69" s="26">
        <f>IF($A69="","",COUNTIFS(tblIssues[Staff ID],$A69))</f>
        <v>0</v>
      </c>
      <c r="F69" s="26">
        <f>IF($A69="","",SUMIFS(tblIssues[Qty Issued],tblIssues[Staff ID],$A69))</f>
        <v>0</v>
      </c>
      <c r="G69" s="21">
        <f>IF($A69="","",SUMIFS(tblIssues[Line Cost],tblIssues[Staff ID],$A69))</f>
        <v>0</v>
      </c>
      <c r="H69" s="24" t="str">
        <f>IF($A69="","",IF($E69=0,"",IFERROR(_xlfn.MAXIFS(tblIssues[Order Date],tblIssues[Staff ID],$A69),"")))</f>
        <v/>
      </c>
      <c r="I69" s="24" t="str">
        <f>IF($A69="","",IF($E69=0,"",IFERROR(_xlfn.MAXIFS(tblIssues[Next Scheduled],tblIssues[Staff ID],$A69),"")))</f>
        <v/>
      </c>
      <c r="J69" s="26">
        <f>IF($A69="","",COUNTIFS(tblIssues[Staff ID],$A69,tblIssues[Status],"Pending"))</f>
        <v>0</v>
      </c>
    </row>
    <row r="70" spans="1:10" x14ac:dyDescent="0.35">
      <c r="A70" s="18" t="str">
        <f>IF('Staff Directory'!$A70="","",'Staff Directory'!$A70)</f>
        <v>PSW-006-A6</v>
      </c>
      <c r="B70" s="18" t="str">
        <f>IF($A70="","",'Staff Directory'!$B70)</f>
        <v>Lastname066, Firstname066</v>
      </c>
      <c r="C70" s="19" t="str">
        <f>IF($A70="","",'Staff Directory'!$C70)</f>
        <v>PSW</v>
      </c>
      <c r="D70" s="19" t="str">
        <f>IF($A70="","",'Staff Directory'!$D70)</f>
        <v>A6</v>
      </c>
      <c r="E70" s="26">
        <f>IF($A70="","",COUNTIFS(tblIssues[Staff ID],$A70))</f>
        <v>10</v>
      </c>
      <c r="F70" s="26">
        <f>IF($A70="","",SUMIFS(tblIssues[Qty Issued],tblIssues[Staff ID],$A70))</f>
        <v>1891</v>
      </c>
      <c r="G70" s="21">
        <f>IF($A70="","",SUMIFS(tblIssues[Line Cost],tblIssues[Staff ID],$A70))</f>
        <v>144</v>
      </c>
      <c r="H70" s="24">
        <f>IF($A70="","",IF($E70=0,"",IFERROR(_xlfn.MAXIFS(tblIssues[Order Date],tblIssues[Staff ID],$A70),"")))</f>
        <v>46212</v>
      </c>
      <c r="I70" s="24">
        <f>IF($A70="","",IF($E70=0,"",IFERROR(_xlfn.MAXIFS(tblIssues[Next Scheduled],tblIssues[Staff ID],$A70),"")))</f>
        <v>46260</v>
      </c>
      <c r="J70" s="26">
        <f>IF($A70="","",COUNTIFS(tblIssues[Staff ID],$A70,tblIssues[Status],"Pending"))</f>
        <v>0</v>
      </c>
    </row>
    <row r="71" spans="1:10" x14ac:dyDescent="0.35">
      <c r="A71" s="18" t="str">
        <f>IF('Staff Directory'!$A71="","",'Staff Directory'!$A71)</f>
        <v>PSW-007-A5</v>
      </c>
      <c r="B71" s="18" t="str">
        <f>IF($A71="","",'Staff Directory'!$B71)</f>
        <v>Lastname067, Firstname067</v>
      </c>
      <c r="C71" s="19" t="str">
        <f>IF($A71="","",'Staff Directory'!$C71)</f>
        <v>PSW</v>
      </c>
      <c r="D71" s="19" t="str">
        <f>IF($A71="","",'Staff Directory'!$D71)</f>
        <v>A5</v>
      </c>
      <c r="E71" s="26">
        <f>IF($A71="","",COUNTIFS(tblIssues[Staff ID],$A71))</f>
        <v>0</v>
      </c>
      <c r="F71" s="26">
        <f>IF($A71="","",SUMIFS(tblIssues[Qty Issued],tblIssues[Staff ID],$A71))</f>
        <v>0</v>
      </c>
      <c r="G71" s="21">
        <f>IF($A71="","",SUMIFS(tblIssues[Line Cost],tblIssues[Staff ID],$A71))</f>
        <v>0</v>
      </c>
      <c r="H71" s="24" t="str">
        <f>IF($A71="","",IF($E71=0,"",IFERROR(_xlfn.MAXIFS(tblIssues[Order Date],tblIssues[Staff ID],$A71),"")))</f>
        <v/>
      </c>
      <c r="I71" s="24" t="str">
        <f>IF($A71="","",IF($E71=0,"",IFERROR(_xlfn.MAXIFS(tblIssues[Next Scheduled],tblIssues[Staff ID],$A71),"")))</f>
        <v/>
      </c>
      <c r="J71" s="26">
        <f>IF($A71="","",COUNTIFS(tblIssues[Staff ID],$A71,tblIssues[Status],"Pending"))</f>
        <v>0</v>
      </c>
    </row>
    <row r="72" spans="1:10" x14ac:dyDescent="0.35">
      <c r="A72" s="18" t="str">
        <f>IF('Staff Directory'!$A72="","",'Staff Directory'!$A72)</f>
        <v>PSW-008-A6</v>
      </c>
      <c r="B72" s="18" t="str">
        <f>IF($A72="","",'Staff Directory'!$B72)</f>
        <v>Lastname068, Firstname068</v>
      </c>
      <c r="C72" s="19" t="str">
        <f>IF($A72="","",'Staff Directory'!$C72)</f>
        <v>PSW</v>
      </c>
      <c r="D72" s="19" t="str">
        <f>IF($A72="","",'Staff Directory'!$D72)</f>
        <v>A6</v>
      </c>
      <c r="E72" s="26">
        <f>IF($A72="","",COUNTIFS(tblIssues[Staff ID],$A72))</f>
        <v>11</v>
      </c>
      <c r="F72" s="26">
        <f>IF($A72="","",SUMIFS(tblIssues[Qty Issued],tblIssues[Staff ID],$A72))</f>
        <v>2324</v>
      </c>
      <c r="G72" s="21">
        <f>IF($A72="","",SUMIFS(tblIssues[Line Cost],tblIssues[Staff ID],$A72))</f>
        <v>142.0001</v>
      </c>
      <c r="H72" s="24">
        <f>IF($A72="","",IF($E72=0,"",IFERROR(_xlfn.MAXIFS(tblIssues[Order Date],tblIssues[Staff ID],$A72),"")))</f>
        <v>46212</v>
      </c>
      <c r="I72" s="24">
        <f>IF($A72="","",IF($E72=0,"",IFERROR(_xlfn.MAXIFS(tblIssues[Next Scheduled],tblIssues[Staff ID],$A72),"")))</f>
        <v>46260</v>
      </c>
      <c r="J72" s="26">
        <f>IF($A72="","",COUNTIFS(tblIssues[Staff ID],$A72,tblIssues[Status],"Pending"))</f>
        <v>0</v>
      </c>
    </row>
    <row r="73" spans="1:10" x14ac:dyDescent="0.35">
      <c r="A73" s="18" t="str">
        <f>IF('Staff Directory'!$A73="","",'Staff Directory'!$A73)</f>
        <v>PSW-009-A5</v>
      </c>
      <c r="B73" s="18" t="str">
        <f>IF($A73="","",'Staff Directory'!$B73)</f>
        <v>Lastname069, Firstname069</v>
      </c>
      <c r="C73" s="19" t="str">
        <f>IF($A73="","",'Staff Directory'!$C73)</f>
        <v>PSW</v>
      </c>
      <c r="D73" s="19" t="str">
        <f>IF($A73="","",'Staff Directory'!$D73)</f>
        <v>A5</v>
      </c>
      <c r="E73" s="26">
        <f>IF($A73="","",COUNTIFS(tblIssues[Staff ID],$A73))</f>
        <v>0</v>
      </c>
      <c r="F73" s="26">
        <f>IF($A73="","",SUMIFS(tblIssues[Qty Issued],tblIssues[Staff ID],$A73))</f>
        <v>0</v>
      </c>
      <c r="G73" s="21">
        <f>IF($A73="","",SUMIFS(tblIssues[Line Cost],tblIssues[Staff ID],$A73))</f>
        <v>0</v>
      </c>
      <c r="H73" s="24" t="str">
        <f>IF($A73="","",IF($E73=0,"",IFERROR(_xlfn.MAXIFS(tblIssues[Order Date],tblIssues[Staff ID],$A73),"")))</f>
        <v/>
      </c>
      <c r="I73" s="24" t="str">
        <f>IF($A73="","",IF($E73=0,"",IFERROR(_xlfn.MAXIFS(tblIssues[Next Scheduled],tblIssues[Staff ID],$A73),"")))</f>
        <v/>
      </c>
      <c r="J73" s="26">
        <f>IF($A73="","",COUNTIFS(tblIssues[Staff ID],$A73,tblIssues[Status],"Pending"))</f>
        <v>0</v>
      </c>
    </row>
    <row r="74" spans="1:10" x14ac:dyDescent="0.35">
      <c r="A74" s="18" t="str">
        <f>IF('Staff Directory'!$A74="","",'Staff Directory'!$A74)</f>
        <v>PSW-010-A4</v>
      </c>
      <c r="B74" s="18" t="str">
        <f>IF($A74="","",'Staff Directory'!$B74)</f>
        <v>Lastname070, Firstname070</v>
      </c>
      <c r="C74" s="19" t="str">
        <f>IF($A74="","",'Staff Directory'!$C74)</f>
        <v>PSW</v>
      </c>
      <c r="D74" s="19" t="str">
        <f>IF($A74="","",'Staff Directory'!$D74)</f>
        <v>A4</v>
      </c>
      <c r="E74" s="26">
        <f>IF($A74="","",COUNTIFS(tblIssues[Staff ID],$A74))</f>
        <v>6</v>
      </c>
      <c r="F74" s="26">
        <f>IF($A74="","",SUMIFS(tblIssues[Qty Issued],tblIssues[Staff ID],$A74))</f>
        <v>1553</v>
      </c>
      <c r="G74" s="21">
        <f>IF($A74="","",SUMIFS(tblIssues[Line Cost],tblIssues[Staff ID],$A74))</f>
        <v>95</v>
      </c>
      <c r="H74" s="24">
        <f>IF($A74="","",IF($E74=0,"",IFERROR(_xlfn.MAXIFS(tblIssues[Order Date],tblIssues[Staff ID],$A74),"")))</f>
        <v>46206</v>
      </c>
      <c r="I74" s="24">
        <f>IF($A74="","",IF($E74=0,"",IFERROR(_xlfn.MAXIFS(tblIssues[Next Scheduled],tblIssues[Staff ID],$A74),"")))</f>
        <v>46254</v>
      </c>
      <c r="J74" s="26">
        <f>IF($A74="","",COUNTIFS(tblIssues[Staff ID],$A74,tblIssues[Status],"Pending"))</f>
        <v>0</v>
      </c>
    </row>
    <row r="75" spans="1:10" x14ac:dyDescent="0.35">
      <c r="A75" s="18" t="str">
        <f>IF('Staff Directory'!$A75="","",'Staff Directory'!$A75)</f>
        <v>PSW-011-A6</v>
      </c>
      <c r="B75" s="18" t="str">
        <f>IF($A75="","",'Staff Directory'!$B75)</f>
        <v>Lastname071, Firstname071</v>
      </c>
      <c r="C75" s="19" t="str">
        <f>IF($A75="","",'Staff Directory'!$C75)</f>
        <v>PSW</v>
      </c>
      <c r="D75" s="19" t="str">
        <f>IF($A75="","",'Staff Directory'!$D75)</f>
        <v>A6</v>
      </c>
      <c r="E75" s="26">
        <f>IF($A75="","",COUNTIFS(tblIssues[Staff ID],$A75))</f>
        <v>5</v>
      </c>
      <c r="F75" s="26">
        <f>IF($A75="","",SUMIFS(tblIssues[Qty Issued],tblIssues[Staff ID],$A75))</f>
        <v>1102</v>
      </c>
      <c r="G75" s="21">
        <f>IF($A75="","",SUMIFS(tblIssues[Line Cost],tblIssues[Staff ID],$A75))</f>
        <v>80</v>
      </c>
      <c r="H75" s="24">
        <f>IF($A75="","",IF($E75=0,"",IFERROR(_xlfn.MAXIFS(tblIssues[Order Date],tblIssues[Staff ID],$A75),"")))</f>
        <v>46174</v>
      </c>
      <c r="I75" s="24">
        <f>IF($A75="","",IF($E75=0,"",IFERROR(_xlfn.MAXIFS(tblIssues[Next Scheduled],tblIssues[Staff ID],$A75),"")))</f>
        <v>46220</v>
      </c>
      <c r="J75" s="26">
        <f>IF($A75="","",COUNTIFS(tblIssues[Staff ID],$A75,tblIssues[Status],"Pending"))</f>
        <v>0</v>
      </c>
    </row>
    <row r="76" spans="1:10" x14ac:dyDescent="0.35">
      <c r="A76" s="18" t="str">
        <f>IF('Staff Directory'!$A76="","",'Staff Directory'!$A76)</f>
        <v>PSW-012-A4</v>
      </c>
      <c r="B76" s="18" t="str">
        <f>IF($A76="","",'Staff Directory'!$B76)</f>
        <v>Lastname072, Firstname072</v>
      </c>
      <c r="C76" s="19" t="str">
        <f>IF($A76="","",'Staff Directory'!$C76)</f>
        <v>PSW</v>
      </c>
      <c r="D76" s="19" t="str">
        <f>IF($A76="","",'Staff Directory'!$D76)</f>
        <v>A4</v>
      </c>
      <c r="E76" s="26">
        <f>IF($A76="","",COUNTIFS(tblIssues[Staff ID],$A76))</f>
        <v>3</v>
      </c>
      <c r="F76" s="26">
        <f>IF($A76="","",SUMIFS(tblIssues[Qty Issued],tblIssues[Staff ID],$A76))</f>
        <v>552</v>
      </c>
      <c r="G76" s="21">
        <f>IF($A76="","",SUMIFS(tblIssues[Line Cost],tblIssues[Staff ID],$A76))</f>
        <v>40</v>
      </c>
      <c r="H76" s="24">
        <f>IF($A76="","",IF($E76=0,"",IFERROR(_xlfn.MAXIFS(tblIssues[Order Date],tblIssues[Staff ID],$A76),"")))</f>
        <v>46119</v>
      </c>
      <c r="I76" s="24">
        <f>IF($A76="","",IF($E76=0,"",IFERROR(_xlfn.MAXIFS(tblIssues[Next Scheduled],tblIssues[Staff ID],$A76),"")))</f>
        <v>46167</v>
      </c>
      <c r="J76" s="26">
        <f>IF($A76="","",COUNTIFS(tblIssues[Staff ID],$A76,tblIssues[Status],"Pending"))</f>
        <v>0</v>
      </c>
    </row>
    <row r="77" spans="1:10" x14ac:dyDescent="0.35">
      <c r="A77" s="18" t="str">
        <f>IF('Staff Directory'!$A77="","",'Staff Directory'!$A77)</f>
        <v>PSW-013-A5</v>
      </c>
      <c r="B77" s="18" t="str">
        <f>IF($A77="","",'Staff Directory'!$B77)</f>
        <v>Lastname073, Firstname073</v>
      </c>
      <c r="C77" s="19" t="str">
        <f>IF($A77="","",'Staff Directory'!$C77)</f>
        <v>PSW</v>
      </c>
      <c r="D77" s="19" t="str">
        <f>IF($A77="","",'Staff Directory'!$D77)</f>
        <v>A5</v>
      </c>
      <c r="E77" s="26">
        <f>IF($A77="","",COUNTIFS(tblIssues[Staff ID],$A77))</f>
        <v>17</v>
      </c>
      <c r="F77" s="26">
        <f>IF($A77="","",SUMIFS(tblIssues[Qty Issued],tblIssues[Staff ID],$A77))</f>
        <v>2526</v>
      </c>
      <c r="G77" s="21">
        <f>IF($A77="","",SUMIFS(tblIssues[Line Cost],tblIssues[Staff ID],$A77))</f>
        <v>200.9803</v>
      </c>
      <c r="H77" s="24">
        <f>IF($A77="","",IF($E77=0,"",IFERROR(_xlfn.MAXIFS(tblIssues[Order Date],tblIssues[Staff ID],$A77),"")))</f>
        <v>46209</v>
      </c>
      <c r="I77" s="24">
        <f>IF($A77="","",IF($E77=0,"",IFERROR(_xlfn.MAXIFS(tblIssues[Next Scheduled],tblIssues[Staff ID],$A77),"")))</f>
        <v>46255</v>
      </c>
      <c r="J77" s="26">
        <f>IF($A77="","",COUNTIFS(tblIssues[Staff ID],$A77,tblIssues[Status],"Pending"))</f>
        <v>0</v>
      </c>
    </row>
    <row r="78" spans="1:10" x14ac:dyDescent="0.35">
      <c r="A78" s="18" t="str">
        <f>IF('Staff Directory'!$A78="","",'Staff Directory'!$A78)</f>
        <v>PSW-014-A4</v>
      </c>
      <c r="B78" s="18" t="str">
        <f>IF($A78="","",'Staff Directory'!$B78)</f>
        <v>Lastname074, Firstname074</v>
      </c>
      <c r="C78" s="19" t="str">
        <f>IF($A78="","",'Staff Directory'!$C78)</f>
        <v>PSW</v>
      </c>
      <c r="D78" s="19" t="str">
        <f>IF($A78="","",'Staff Directory'!$D78)</f>
        <v>A4</v>
      </c>
      <c r="E78" s="26">
        <f>IF($A78="","",COUNTIFS(tblIssues[Staff ID],$A78))</f>
        <v>0</v>
      </c>
      <c r="F78" s="26">
        <f>IF($A78="","",SUMIFS(tblIssues[Qty Issued],tblIssues[Staff ID],$A78))</f>
        <v>0</v>
      </c>
      <c r="G78" s="21">
        <f>IF($A78="","",SUMIFS(tblIssues[Line Cost],tblIssues[Staff ID],$A78))</f>
        <v>0</v>
      </c>
      <c r="H78" s="24" t="str">
        <f>IF($A78="","",IF($E78=0,"",IFERROR(_xlfn.MAXIFS(tblIssues[Order Date],tblIssues[Staff ID],$A78),"")))</f>
        <v/>
      </c>
      <c r="I78" s="24" t="str">
        <f>IF($A78="","",IF($E78=0,"",IFERROR(_xlfn.MAXIFS(tblIssues[Next Scheduled],tblIssues[Staff ID],$A78),"")))</f>
        <v/>
      </c>
      <c r="J78" s="26">
        <f>IF($A78="","",COUNTIFS(tblIssues[Staff ID],$A78,tblIssues[Status],"Pending"))</f>
        <v>0</v>
      </c>
    </row>
    <row r="79" spans="1:10" x14ac:dyDescent="0.35">
      <c r="A79" s="18" t="str">
        <f>IF('Staff Directory'!$A79="","",'Staff Directory'!$A79)</f>
        <v>PSW-015-A5</v>
      </c>
      <c r="B79" s="18" t="str">
        <f>IF($A79="","",'Staff Directory'!$B79)</f>
        <v>Lastname075, Firstname075</v>
      </c>
      <c r="C79" s="19" t="str">
        <f>IF($A79="","",'Staff Directory'!$C79)</f>
        <v>PSW</v>
      </c>
      <c r="D79" s="19" t="str">
        <f>IF($A79="","",'Staff Directory'!$D79)</f>
        <v>A5</v>
      </c>
      <c r="E79" s="26">
        <f>IF($A79="","",COUNTIFS(tblIssues[Staff ID],$A79))</f>
        <v>0</v>
      </c>
      <c r="F79" s="26">
        <f>IF($A79="","",SUMIFS(tblIssues[Qty Issued],tblIssues[Staff ID],$A79))</f>
        <v>0</v>
      </c>
      <c r="G79" s="21">
        <f>IF($A79="","",SUMIFS(tblIssues[Line Cost],tblIssues[Staff ID],$A79))</f>
        <v>0</v>
      </c>
      <c r="H79" s="24" t="str">
        <f>IF($A79="","",IF($E79=0,"",IFERROR(_xlfn.MAXIFS(tblIssues[Order Date],tblIssues[Staff ID],$A79),"")))</f>
        <v/>
      </c>
      <c r="I79" s="24" t="str">
        <f>IF($A79="","",IF($E79=0,"",IFERROR(_xlfn.MAXIFS(tblIssues[Next Scheduled],tblIssues[Staff ID],$A79),"")))</f>
        <v/>
      </c>
      <c r="J79" s="26">
        <f>IF($A79="","",COUNTIFS(tblIssues[Staff ID],$A79,tblIssues[Status],"Pending"))</f>
        <v>0</v>
      </c>
    </row>
    <row r="80" spans="1:10" x14ac:dyDescent="0.35">
      <c r="A80" s="18" t="str">
        <f>IF('Staff Directory'!$A80="","",'Staff Directory'!$A80)</f>
        <v>PSW-016-A6</v>
      </c>
      <c r="B80" s="18" t="str">
        <f>IF($A80="","",'Staff Directory'!$B80)</f>
        <v>Lastname076, Firstname076</v>
      </c>
      <c r="C80" s="19" t="str">
        <f>IF($A80="","",'Staff Directory'!$C80)</f>
        <v>PSW</v>
      </c>
      <c r="D80" s="19" t="str">
        <f>IF($A80="","",'Staff Directory'!$D80)</f>
        <v>A6</v>
      </c>
      <c r="E80" s="26">
        <f>IF($A80="","",COUNTIFS(tblIssues[Staff ID],$A80))</f>
        <v>4</v>
      </c>
      <c r="F80" s="26">
        <f>IF($A80="","",SUMIFS(tblIssues[Qty Issued],tblIssues[Staff ID],$A80))</f>
        <v>631</v>
      </c>
      <c r="G80" s="21">
        <f>IF($A80="","",SUMIFS(tblIssues[Line Cost],tblIssues[Staff ID],$A80))</f>
        <v>48.000100000000003</v>
      </c>
      <c r="H80" s="24">
        <f>IF($A80="","",IF($E80=0,"",IFERROR(_xlfn.MAXIFS(tblIssues[Order Date],tblIssues[Staff ID],$A80),"")))</f>
        <v>46175</v>
      </c>
      <c r="I80" s="24">
        <f>IF($A80="","",IF($E80=0,"",IFERROR(_xlfn.MAXIFS(tblIssues[Next Scheduled],tblIssues[Staff ID],$A80),"")))</f>
        <v>46223</v>
      </c>
      <c r="J80" s="26">
        <f>IF($A80="","",COUNTIFS(tblIssues[Staff ID],$A80,tblIssues[Status],"Pending"))</f>
        <v>0</v>
      </c>
    </row>
    <row r="81" spans="1:10" x14ac:dyDescent="0.35">
      <c r="A81" s="18" t="str">
        <f>IF('Staff Directory'!$A81="","",'Staff Directory'!$A81)</f>
        <v>PSW-017-A5</v>
      </c>
      <c r="B81" s="18" t="str">
        <f>IF($A81="","",'Staff Directory'!$B81)</f>
        <v>Lastname077, Firstname077</v>
      </c>
      <c r="C81" s="19" t="str">
        <f>IF($A81="","",'Staff Directory'!$C81)</f>
        <v>PSW</v>
      </c>
      <c r="D81" s="19" t="str">
        <f>IF($A81="","",'Staff Directory'!$D81)</f>
        <v>A5</v>
      </c>
      <c r="E81" s="26">
        <f>IF($A81="","",COUNTIFS(tblIssues[Staff ID],$A81))</f>
        <v>8</v>
      </c>
      <c r="F81" s="26">
        <f>IF($A81="","",SUMIFS(tblIssues[Qty Issued],tblIssues[Staff ID],$A81))</f>
        <v>1203</v>
      </c>
      <c r="G81" s="21">
        <f>IF($A81="","",SUMIFS(tblIssues[Line Cost],tblIssues[Staff ID],$A81))</f>
        <v>100.0001</v>
      </c>
      <c r="H81" s="24">
        <f>IF($A81="","",IF($E81=0,"",IFERROR(_xlfn.MAXIFS(tblIssues[Order Date],tblIssues[Staff ID],$A81),"")))</f>
        <v>46174</v>
      </c>
      <c r="I81" s="24">
        <f>IF($A81="","",IF($E81=0,"",IFERROR(_xlfn.MAXIFS(tblIssues[Next Scheduled],tblIssues[Staff ID],$A81),"")))</f>
        <v>46220</v>
      </c>
      <c r="J81" s="26">
        <f>IF($A81="","",COUNTIFS(tblIssues[Staff ID],$A81,tblIssues[Status],"Pending"))</f>
        <v>0</v>
      </c>
    </row>
    <row r="82" spans="1:10" x14ac:dyDescent="0.35">
      <c r="A82" s="18" t="str">
        <f>IF('Staff Directory'!$A82="","",'Staff Directory'!$A82)</f>
        <v>PSW-018-A5</v>
      </c>
      <c r="B82" s="18" t="str">
        <f>IF($A82="","",'Staff Directory'!$B82)</f>
        <v>Lastname078, Firstname078</v>
      </c>
      <c r="C82" s="19" t="str">
        <f>IF($A82="","",'Staff Directory'!$C82)</f>
        <v>PSW</v>
      </c>
      <c r="D82" s="19" t="str">
        <f>IF($A82="","",'Staff Directory'!$D82)</f>
        <v>A5</v>
      </c>
      <c r="E82" s="26">
        <f>IF($A82="","",COUNTIFS(tblIssues[Staff ID],$A82))</f>
        <v>17</v>
      </c>
      <c r="F82" s="26">
        <f>IF($A82="","",SUMIFS(tblIssues[Qty Issued],tblIssues[Staff ID],$A82))</f>
        <v>2370</v>
      </c>
      <c r="G82" s="21">
        <f>IF($A82="","",SUMIFS(tblIssues[Line Cost],tblIssues[Staff ID],$A82))</f>
        <v>202.94030000000001</v>
      </c>
      <c r="H82" s="24">
        <f>IF($A82="","",IF($E82=0,"",IFERROR(_xlfn.MAXIFS(tblIssues[Order Date],tblIssues[Staff ID],$A82),"")))</f>
        <v>46206</v>
      </c>
      <c r="I82" s="24">
        <f>IF($A82="","",IF($E82=0,"",IFERROR(_xlfn.MAXIFS(tblIssues[Next Scheduled],tblIssues[Staff ID],$A82),"")))</f>
        <v>46254</v>
      </c>
      <c r="J82" s="26">
        <f>IF($A82="","",COUNTIFS(tblIssues[Staff ID],$A82,tblIssues[Status],"Pending"))</f>
        <v>0</v>
      </c>
    </row>
    <row r="83" spans="1:10" x14ac:dyDescent="0.35">
      <c r="A83" s="18" t="str">
        <f>IF('Staff Directory'!$A83="","",'Staff Directory'!$A83)</f>
        <v>PSW-019-A7</v>
      </c>
      <c r="B83" s="18" t="str">
        <f>IF($A83="","",'Staff Directory'!$B83)</f>
        <v>Lastname079, Firstname079</v>
      </c>
      <c r="C83" s="19" t="str">
        <f>IF($A83="","",'Staff Directory'!$C83)</f>
        <v>PSW</v>
      </c>
      <c r="D83" s="19" t="str">
        <f>IF($A83="","",'Staff Directory'!$D83)</f>
        <v>A7</v>
      </c>
      <c r="E83" s="26">
        <f>IF($A83="","",COUNTIFS(tblIssues[Staff ID],$A83))</f>
        <v>4</v>
      </c>
      <c r="F83" s="26">
        <f>IF($A83="","",SUMIFS(tblIssues[Qty Issued],tblIssues[Staff ID],$A83))</f>
        <v>631</v>
      </c>
      <c r="G83" s="21">
        <f>IF($A83="","",SUMIFS(tblIssues[Line Cost],tblIssues[Staff ID],$A83))</f>
        <v>48.000100000000003</v>
      </c>
      <c r="H83" s="24">
        <f>IF($A83="","",IF($E83=0,"",IFERROR(_xlfn.MAXIFS(tblIssues[Order Date],tblIssues[Staff ID],$A83),"")))</f>
        <v>46150</v>
      </c>
      <c r="I83" s="24">
        <f>IF($A83="","",IF($E83=0,"",IFERROR(_xlfn.MAXIFS(tblIssues[Next Scheduled],tblIssues[Staff ID],$A83),"")))</f>
        <v>46198</v>
      </c>
      <c r="J83" s="26">
        <f>IF($A83="","",COUNTIFS(tblIssues[Staff ID],$A83,tblIssues[Status],"Pending"))</f>
        <v>0</v>
      </c>
    </row>
    <row r="84" spans="1:10" x14ac:dyDescent="0.35">
      <c r="A84" s="18" t="str">
        <f>IF('Staff Directory'!$A84="","",'Staff Directory'!$A84)</f>
        <v>PSW-020-A6</v>
      </c>
      <c r="B84" s="18" t="str">
        <f>IF($A84="","",'Staff Directory'!$B84)</f>
        <v>Lastname080, Firstname080</v>
      </c>
      <c r="C84" s="19" t="str">
        <f>IF($A84="","",'Staff Directory'!$C84)</f>
        <v>PSW</v>
      </c>
      <c r="D84" s="19" t="str">
        <f>IF($A84="","",'Staff Directory'!$D84)</f>
        <v>A6</v>
      </c>
      <c r="E84" s="26">
        <f>IF($A84="","",COUNTIFS(tblIssues[Staff ID],$A84))</f>
        <v>3</v>
      </c>
      <c r="F84" s="26">
        <f>IF($A84="","",SUMIFS(tblIssues[Qty Issued],tblIssues[Staff ID],$A84))</f>
        <v>551</v>
      </c>
      <c r="G84" s="21">
        <f>IF($A84="","",SUMIFS(tblIssues[Line Cost],tblIssues[Staff ID],$A84))</f>
        <v>40.000100000000003</v>
      </c>
      <c r="H84" s="24">
        <f>IF($A84="","",IF($E84=0,"",IFERROR(_xlfn.MAXIFS(tblIssues[Order Date],tblIssues[Staff ID],$A84),"")))</f>
        <v>46153</v>
      </c>
      <c r="I84" s="24">
        <f>IF($A84="","",IF($E84=0,"",IFERROR(_xlfn.MAXIFS(tblIssues[Next Scheduled],tblIssues[Staff ID],$A84),"")))</f>
        <v>46199</v>
      </c>
      <c r="J84" s="26">
        <f>IF($A84="","",COUNTIFS(tblIssues[Staff ID],$A84,tblIssues[Status],"Pending"))</f>
        <v>0</v>
      </c>
    </row>
    <row r="85" spans="1:10" x14ac:dyDescent="0.35">
      <c r="A85" s="18" t="str">
        <f>IF('Staff Directory'!$A85="","",'Staff Directory'!$A85)</f>
        <v>PSW-021-A5</v>
      </c>
      <c r="B85" s="18" t="str">
        <f>IF($A85="","",'Staff Directory'!$B85)</f>
        <v>Lastname081, Firstname081</v>
      </c>
      <c r="C85" s="19" t="str">
        <f>IF($A85="","",'Staff Directory'!$C85)</f>
        <v>PSW</v>
      </c>
      <c r="D85" s="19" t="str">
        <f>IF($A85="","",'Staff Directory'!$D85)</f>
        <v>A5</v>
      </c>
      <c r="E85" s="26">
        <f>IF($A85="","",COUNTIFS(tblIssues[Staff ID],$A85))</f>
        <v>7</v>
      </c>
      <c r="F85" s="26">
        <f>IF($A85="","",SUMIFS(tblIssues[Qty Issued],tblIssues[Staff ID],$A85))</f>
        <v>1055</v>
      </c>
      <c r="G85" s="21">
        <f>IF($A85="","",SUMIFS(tblIssues[Line Cost],tblIssues[Staff ID],$A85))</f>
        <v>76.480200000000011</v>
      </c>
      <c r="H85" s="24">
        <f>IF($A85="","",IF($E85=0,"",IFERROR(_xlfn.MAXIFS(tblIssues[Order Date],tblIssues[Staff ID],$A85),"")))</f>
        <v>46216</v>
      </c>
      <c r="I85" s="24">
        <f>IF($A85="","",IF($E85=0,"",IFERROR(_xlfn.MAXIFS(tblIssues[Next Scheduled],tblIssues[Staff ID],$A85),"")))</f>
        <v>46262</v>
      </c>
      <c r="J85" s="26">
        <f>IF($A85="","",COUNTIFS(tblIssues[Staff ID],$A85,tblIssues[Status],"Pending"))</f>
        <v>0</v>
      </c>
    </row>
    <row r="86" spans="1:10" x14ac:dyDescent="0.35">
      <c r="A86" s="18" t="str">
        <f>IF('Staff Directory'!$A86="","",'Staff Directory'!$A86)</f>
        <v>PSW-022-A4</v>
      </c>
      <c r="B86" s="18" t="str">
        <f>IF($A86="","",'Staff Directory'!$B86)</f>
        <v>Lastname082, Firstname082</v>
      </c>
      <c r="C86" s="19" t="str">
        <f>IF($A86="","",'Staff Directory'!$C86)</f>
        <v>PSW</v>
      </c>
      <c r="D86" s="19" t="str">
        <f>IF($A86="","",'Staff Directory'!$D86)</f>
        <v>A4</v>
      </c>
      <c r="E86" s="26">
        <f>IF($A86="","",COUNTIFS(tblIssues[Staff ID],$A86))</f>
        <v>5</v>
      </c>
      <c r="F86" s="26">
        <f>IF($A86="","",SUMIFS(tblIssues[Qty Issued],tblIssues[Staff ID],$A86))</f>
        <v>1101</v>
      </c>
      <c r="G86" s="21">
        <f>IF($A86="","",SUMIFS(tblIssues[Line Cost],tblIssues[Staff ID],$A86))</f>
        <v>80</v>
      </c>
      <c r="H86" s="24">
        <f>IF($A86="","",IF($E86=0,"",IFERROR(_xlfn.MAXIFS(tblIssues[Order Date],tblIssues[Staff ID],$A86),"")))</f>
        <v>46212</v>
      </c>
      <c r="I86" s="24">
        <f>IF($A86="","",IF($E86=0,"",IFERROR(_xlfn.MAXIFS(tblIssues[Next Scheduled],tblIssues[Staff ID],$A86),"")))</f>
        <v>46260</v>
      </c>
      <c r="J86" s="26">
        <f>IF($A86="","",COUNTIFS(tblIssues[Staff ID],$A86,tblIssues[Status],"Pending"))</f>
        <v>0</v>
      </c>
    </row>
    <row r="87" spans="1:10" x14ac:dyDescent="0.35">
      <c r="A87" s="18" t="str">
        <f>IF('Staff Directory'!$A87="","",'Staff Directory'!$A87)</f>
        <v>PSW-023-A6</v>
      </c>
      <c r="B87" s="18" t="str">
        <f>IF($A87="","",'Staff Directory'!$B87)</f>
        <v>Lastname083, Firstname083</v>
      </c>
      <c r="C87" s="19" t="str">
        <f>IF($A87="","",'Staff Directory'!$C87)</f>
        <v>PSW</v>
      </c>
      <c r="D87" s="19" t="str">
        <f>IF($A87="","",'Staff Directory'!$D87)</f>
        <v>A6</v>
      </c>
      <c r="E87" s="26">
        <f>IF($A87="","",COUNTIFS(tblIssues[Staff ID],$A87))</f>
        <v>24</v>
      </c>
      <c r="F87" s="26">
        <f>IF($A87="","",SUMIFS(tblIssues[Qty Issued],tblIssues[Staff ID],$A87))</f>
        <v>3422</v>
      </c>
      <c r="G87" s="21">
        <f>IF($A87="","",SUMIFS(tblIssues[Line Cost],tblIssues[Staff ID],$A87))</f>
        <v>313.44029999999998</v>
      </c>
      <c r="H87" s="24">
        <f>IF($A87="","",IF($E87=0,"",IFERROR(_xlfn.MAXIFS(tblIssues[Order Date],tblIssues[Staff ID],$A87),"")))</f>
        <v>46224</v>
      </c>
      <c r="I87" s="24">
        <f>IF($A87="","",IF($E87=0,"",IFERROR(_xlfn.MAXIFS(tblIssues[Next Scheduled],tblIssues[Staff ID],$A87),"")))</f>
        <v>46272</v>
      </c>
      <c r="J87" s="26">
        <f>IF($A87="","",COUNTIFS(tblIssues[Staff ID],$A87,tblIssues[Status],"Pending"))</f>
        <v>0</v>
      </c>
    </row>
    <row r="88" spans="1:10" x14ac:dyDescent="0.35">
      <c r="A88" s="18" t="str">
        <f>IF('Staff Directory'!$A88="","",'Staff Directory'!$A88)</f>
        <v>PSW-024-A4</v>
      </c>
      <c r="B88" s="18" t="str">
        <f>IF($A88="","",'Staff Directory'!$B88)</f>
        <v>Lastname084, Firstname084</v>
      </c>
      <c r="C88" s="19" t="str">
        <f>IF($A88="","",'Staff Directory'!$C88)</f>
        <v>PSW</v>
      </c>
      <c r="D88" s="19" t="str">
        <f>IF($A88="","",'Staff Directory'!$D88)</f>
        <v>A4</v>
      </c>
      <c r="E88" s="26">
        <f>IF($A88="","",COUNTIFS(tblIssues[Staff ID],$A88))</f>
        <v>18</v>
      </c>
      <c r="F88" s="26">
        <f>IF($A88="","",SUMIFS(tblIssues[Qty Issued],tblIssues[Staff ID],$A88))</f>
        <v>2527</v>
      </c>
      <c r="G88" s="21">
        <f>IF($A88="","",SUMIFS(tblIssues[Line Cost],tblIssues[Staff ID],$A88))</f>
        <v>192.00040000000001</v>
      </c>
      <c r="H88" s="24">
        <f>IF($A88="","",IF($E88=0,"",IFERROR(_xlfn.MAXIFS(tblIssues[Order Date],tblIssues[Staff ID],$A88),"")))</f>
        <v>46227</v>
      </c>
      <c r="I88" s="24">
        <f>IF($A88="","",IF($E88=0,"",IFERROR(_xlfn.MAXIFS(tblIssues[Next Scheduled],tblIssues[Staff ID],$A88),"")))</f>
        <v>46275</v>
      </c>
      <c r="J88" s="26">
        <f>IF($A88="","",COUNTIFS(tblIssues[Staff ID],$A88,tblIssues[Status],"Pending"))</f>
        <v>0</v>
      </c>
    </row>
    <row r="89" spans="1:10" x14ac:dyDescent="0.35">
      <c r="A89" s="18" t="str">
        <f>IF('Staff Directory'!$A89="","",'Staff Directory'!$A89)</f>
        <v>PSW-025-A4</v>
      </c>
      <c r="B89" s="18" t="str">
        <f>IF($A89="","",'Staff Directory'!$B89)</f>
        <v>Lastname085, Firstname085</v>
      </c>
      <c r="C89" s="19" t="str">
        <f>IF($A89="","",'Staff Directory'!$C89)</f>
        <v>PSW</v>
      </c>
      <c r="D89" s="19" t="str">
        <f>IF($A89="","",'Staff Directory'!$D89)</f>
        <v>A4</v>
      </c>
      <c r="E89" s="26">
        <f>IF($A89="","",COUNTIFS(tblIssues[Staff ID],$A89))</f>
        <v>13</v>
      </c>
      <c r="F89" s="26">
        <f>IF($A89="","",SUMIFS(tblIssues[Qty Issued],tblIssues[Staff ID],$A89))</f>
        <v>1898</v>
      </c>
      <c r="G89" s="21">
        <f>IF($A89="","",SUMIFS(tblIssues[Line Cost],tblIssues[Staff ID],$A89))</f>
        <v>159.00020000000001</v>
      </c>
      <c r="H89" s="24">
        <f>IF($A89="","",IF($E89=0,"",IFERROR(_xlfn.MAXIFS(tblIssues[Order Date],tblIssues[Staff ID],$A89),"")))</f>
        <v>46224</v>
      </c>
      <c r="I89" s="24">
        <f>IF($A89="","",IF($E89=0,"",IFERROR(_xlfn.MAXIFS(tblIssues[Next Scheduled],tblIssues[Staff ID],$A89),"")))</f>
        <v>46272</v>
      </c>
      <c r="J89" s="26">
        <f>IF($A89="","",COUNTIFS(tblIssues[Staff ID],$A89,tblIssues[Status],"Pending"))</f>
        <v>0</v>
      </c>
    </row>
    <row r="90" spans="1:10" x14ac:dyDescent="0.35">
      <c r="A90" s="18" t="str">
        <f>IF('Staff Directory'!$A90="","",'Staff Directory'!$A90)</f>
        <v>PSW-026-A5</v>
      </c>
      <c r="B90" s="18" t="str">
        <f>IF($A90="","",'Staff Directory'!$B90)</f>
        <v>Lastname085, Firstname085</v>
      </c>
      <c r="C90" s="19" t="str">
        <f>IF($A90="","",'Staff Directory'!$C90)</f>
        <v>PSW</v>
      </c>
      <c r="D90" s="19" t="str">
        <f>IF($A90="","",'Staff Directory'!$D90)</f>
        <v>A5</v>
      </c>
      <c r="E90" s="26">
        <f>IF($A90="","",COUNTIFS(tblIssues[Staff ID],$A90))</f>
        <v>0</v>
      </c>
      <c r="F90" s="26">
        <f>IF($A90="","",SUMIFS(tblIssues[Qty Issued],tblIssues[Staff ID],$A90))</f>
        <v>0</v>
      </c>
      <c r="G90" s="21">
        <f>IF($A90="","",SUMIFS(tblIssues[Line Cost],tblIssues[Staff ID],$A90))</f>
        <v>0</v>
      </c>
      <c r="H90" s="24" t="str">
        <f>IF($A90="","",IF($E90=0,"",IFERROR(_xlfn.MAXIFS(tblIssues[Order Date],tblIssues[Staff ID],$A90),"")))</f>
        <v/>
      </c>
      <c r="I90" s="24" t="str">
        <f>IF($A90="","",IF($E90=0,"",IFERROR(_xlfn.MAXIFS(tblIssues[Next Scheduled],tblIssues[Staff ID],$A90),"")))</f>
        <v/>
      </c>
      <c r="J90" s="26">
        <f>IF($A90="","",COUNTIFS(tblIssues[Staff ID],$A90,tblIssues[Status],"Pending"))</f>
        <v>0</v>
      </c>
    </row>
    <row r="91" spans="1:10" x14ac:dyDescent="0.35">
      <c r="A91" s="18" t="str">
        <f>IF('Staff Directory'!$A91="","",'Staff Directory'!$A91)</f>
        <v>PSW-027-A6</v>
      </c>
      <c r="B91" s="18" t="str">
        <f>IF($A91="","",'Staff Directory'!$B91)</f>
        <v>Lastname086, Firstname086</v>
      </c>
      <c r="C91" s="19" t="str">
        <f>IF($A91="","",'Staff Directory'!$C91)</f>
        <v>PSW</v>
      </c>
      <c r="D91" s="19" t="str">
        <f>IF($A91="","",'Staff Directory'!$D91)</f>
        <v>A6</v>
      </c>
      <c r="E91" s="26">
        <f>IF($A91="","",COUNTIFS(tblIssues[Staff ID],$A91))</f>
        <v>0</v>
      </c>
      <c r="F91" s="26">
        <f>IF($A91="","",SUMIFS(tblIssues[Qty Issued],tblIssues[Staff ID],$A91))</f>
        <v>0</v>
      </c>
      <c r="G91" s="21">
        <f>IF($A91="","",SUMIFS(tblIssues[Line Cost],tblIssues[Staff ID],$A91))</f>
        <v>0</v>
      </c>
      <c r="H91" s="24" t="str">
        <f>IF($A91="","",IF($E91=0,"",IFERROR(_xlfn.MAXIFS(tblIssues[Order Date],tblIssues[Staff ID],$A91),"")))</f>
        <v/>
      </c>
      <c r="I91" s="24" t="str">
        <f>IF($A91="","",IF($E91=0,"",IFERROR(_xlfn.MAXIFS(tblIssues[Next Scheduled],tblIssues[Staff ID],$A91),"")))</f>
        <v/>
      </c>
      <c r="J91" s="26">
        <f>IF($A91="","",COUNTIFS(tblIssues[Staff ID],$A91,tblIssues[Status],"Pending"))</f>
        <v>0</v>
      </c>
    </row>
    <row r="92" spans="1:10" x14ac:dyDescent="0.35">
      <c r="A92" s="18" t="str">
        <f>IF('Staff Directory'!$A92="","",'Staff Directory'!$A92)</f>
        <v>PSW-028-A4</v>
      </c>
      <c r="B92" s="18" t="str">
        <f>IF($A92="","",'Staff Directory'!$B92)</f>
        <v>Lastname087, Firstname087</v>
      </c>
      <c r="C92" s="19" t="str">
        <f>IF($A92="","",'Staff Directory'!$C92)</f>
        <v>PSW</v>
      </c>
      <c r="D92" s="19" t="str">
        <f>IF($A92="","",'Staff Directory'!$D92)</f>
        <v>A4</v>
      </c>
      <c r="E92" s="26">
        <f>IF($A92="","",COUNTIFS(tblIssues[Staff ID],$A92))</f>
        <v>0</v>
      </c>
      <c r="F92" s="26">
        <f>IF($A92="","",SUMIFS(tblIssues[Qty Issued],tblIssues[Staff ID],$A92))</f>
        <v>0</v>
      </c>
      <c r="G92" s="21">
        <f>IF($A92="","",SUMIFS(tblIssues[Line Cost],tblIssues[Staff ID],$A92))</f>
        <v>0</v>
      </c>
      <c r="H92" s="24" t="str">
        <f>IF($A92="","",IF($E92=0,"",IFERROR(_xlfn.MAXIFS(tblIssues[Order Date],tblIssues[Staff ID],$A92),"")))</f>
        <v/>
      </c>
      <c r="I92" s="24" t="str">
        <f>IF($A92="","",IF($E92=0,"",IFERROR(_xlfn.MAXIFS(tblIssues[Next Scheduled],tblIssues[Staff ID],$A92),"")))</f>
        <v/>
      </c>
      <c r="J92" s="26">
        <f>IF($A92="","",COUNTIFS(tblIssues[Staff ID],$A92,tblIssues[Status],"Pending"))</f>
        <v>0</v>
      </c>
    </row>
    <row r="93" spans="1:10" x14ac:dyDescent="0.35">
      <c r="A93" s="18" t="str">
        <f>IF('Staff Directory'!$A93="","",'Staff Directory'!$A93)</f>
        <v>PSW-029-A5</v>
      </c>
      <c r="B93" s="18" t="str">
        <f>IF($A93="","",'Staff Directory'!$B93)</f>
        <v>Lastname088, Firstname088</v>
      </c>
      <c r="C93" s="19" t="str">
        <f>IF($A93="","",'Staff Directory'!$C93)</f>
        <v>PSW</v>
      </c>
      <c r="D93" s="19" t="str">
        <f>IF($A93="","",'Staff Directory'!$D93)</f>
        <v>A5</v>
      </c>
      <c r="E93" s="26">
        <f>IF($A93="","",COUNTIFS(tblIssues[Staff ID],$A93))</f>
        <v>4</v>
      </c>
      <c r="F93" s="26">
        <f>IF($A93="","",SUMIFS(tblIssues[Qty Issued],tblIssues[Staff ID],$A93))</f>
        <v>635</v>
      </c>
      <c r="G93" s="21">
        <f>IF($A93="","",SUMIFS(tblIssues[Line Cost],tblIssues[Staff ID],$A93))</f>
        <v>58.25</v>
      </c>
      <c r="H93" s="24">
        <f>IF($A93="","",IF($E93=0,"",IFERROR(_xlfn.MAXIFS(tblIssues[Order Date],tblIssues[Staff ID],$A93),"")))</f>
        <v>46174</v>
      </c>
      <c r="I93" s="24">
        <f>IF($A93="","",IF($E93=0,"",IFERROR(_xlfn.MAXIFS(tblIssues[Next Scheduled],tblIssues[Staff ID],$A93),"")))</f>
        <v>46220</v>
      </c>
      <c r="J93" s="26">
        <f>IF($A93="","",COUNTIFS(tblIssues[Staff ID],$A93,tblIssues[Status],"Pending"))</f>
        <v>0</v>
      </c>
    </row>
    <row r="94" spans="1:10" x14ac:dyDescent="0.35">
      <c r="A94" s="18" t="str">
        <f>IF('Staff Directory'!$A94="","",'Staff Directory'!$A94)</f>
        <v>PSW-030-A4</v>
      </c>
      <c r="B94" s="18" t="str">
        <f>IF($A94="","",'Staff Directory'!$B94)</f>
        <v>Lastname089, Firstname089</v>
      </c>
      <c r="C94" s="19" t="str">
        <f>IF($A94="","",'Staff Directory'!$C94)</f>
        <v>PSW</v>
      </c>
      <c r="D94" s="19" t="str">
        <f>IF($A94="","",'Staff Directory'!$D94)</f>
        <v>A4</v>
      </c>
      <c r="E94" s="26">
        <f>IF($A94="","",COUNTIFS(tblIssues[Staff ID],$A94))</f>
        <v>19</v>
      </c>
      <c r="F94" s="26">
        <f>IF($A94="","",SUMIFS(tblIssues[Qty Issued],tblIssues[Staff ID],$A94))</f>
        <v>2433</v>
      </c>
      <c r="G94" s="21">
        <f>IF($A94="","",SUMIFS(tblIssues[Line Cost],tblIssues[Staff ID],$A94))</f>
        <v>193.94040000000001</v>
      </c>
      <c r="H94" s="24">
        <f>IF($A94="","",IF($E94=0,"",IFERROR(_xlfn.MAXIFS(tblIssues[Order Date],tblIssues[Staff ID],$A94),"")))</f>
        <v>46224</v>
      </c>
      <c r="I94" s="24">
        <f>IF($A94="","",IF($E94=0,"",IFERROR(_xlfn.MAXIFS(tblIssues[Next Scheduled],tblIssues[Staff ID],$A94),"")))</f>
        <v>46272</v>
      </c>
      <c r="J94" s="26">
        <f>IF($A94="","",COUNTIFS(tblIssues[Staff ID],$A94,tblIssues[Status],"Pending"))</f>
        <v>0</v>
      </c>
    </row>
    <row r="95" spans="1:10" x14ac:dyDescent="0.35">
      <c r="A95" s="18" t="str">
        <f>IF('Staff Directory'!$A95="","",'Staff Directory'!$A95)</f>
        <v>PSW-031-A4</v>
      </c>
      <c r="B95" s="18" t="str">
        <f>IF($A95="","",'Staff Directory'!$B95)</f>
        <v>Lastname090, Firstname090</v>
      </c>
      <c r="C95" s="19" t="str">
        <f>IF($A95="","",'Staff Directory'!$C95)</f>
        <v>PSW</v>
      </c>
      <c r="D95" s="19" t="str">
        <f>IF($A95="","",'Staff Directory'!$D95)</f>
        <v>A4</v>
      </c>
      <c r="E95" s="26">
        <f>IF($A95="","",COUNTIFS(tblIssues[Staff ID],$A95))</f>
        <v>5</v>
      </c>
      <c r="F95" s="26">
        <f>IF($A95="","",SUMIFS(tblIssues[Qty Issued],tblIssues[Staff ID],$A95))</f>
        <v>633</v>
      </c>
      <c r="G95" s="21">
        <f>IF($A95="","",SUMIFS(tblIssues[Line Cost],tblIssues[Staff ID],$A95))</f>
        <v>56.9801</v>
      </c>
      <c r="H95" s="24">
        <f>IF($A95="","",IF($E95=0,"",IFERROR(_xlfn.MAXIFS(tblIssues[Order Date],tblIssues[Staff ID],$A95),"")))</f>
        <v>46204</v>
      </c>
      <c r="I95" s="24">
        <f>IF($A95="","",IF($E95=0,"",IFERROR(_xlfn.MAXIFS(tblIssues[Next Scheduled],tblIssues[Staff ID],$A95),"")))</f>
        <v>46252</v>
      </c>
      <c r="J95" s="26">
        <f>IF($A95="","",COUNTIFS(tblIssues[Staff ID],$A95,tblIssues[Status],"Pending"))</f>
        <v>0</v>
      </c>
    </row>
    <row r="96" spans="1:10" x14ac:dyDescent="0.35">
      <c r="A96" s="18" t="str">
        <f>IF('Staff Directory'!$A96="","",'Staff Directory'!$A96)</f>
        <v>PSW-032-A6</v>
      </c>
      <c r="B96" s="18" t="str">
        <f>IF($A96="","",'Staff Directory'!$B96)</f>
        <v>Lastname091, Firstname091</v>
      </c>
      <c r="C96" s="19" t="str">
        <f>IF($A96="","",'Staff Directory'!$C96)</f>
        <v>PSW</v>
      </c>
      <c r="D96" s="19" t="str">
        <f>IF($A96="","",'Staff Directory'!$D96)</f>
        <v>A6</v>
      </c>
      <c r="E96" s="26">
        <f>IF($A96="","",COUNTIFS(tblIssues[Staff ID],$A96))</f>
        <v>11</v>
      </c>
      <c r="F96" s="26">
        <f>IF($A96="","",SUMIFS(tblIssues[Qty Issued],tblIssues[Staff ID],$A96))</f>
        <v>2361</v>
      </c>
      <c r="G96" s="21">
        <f>IF($A96="","",SUMIFS(tblIssues[Line Cost],tblIssues[Staff ID],$A96))</f>
        <v>176</v>
      </c>
      <c r="H96" s="24">
        <f>IF($A96="","",IF($E96=0,"",IFERROR(_xlfn.MAXIFS(tblIssues[Order Date],tblIssues[Staff ID],$A96),"")))</f>
        <v>46211</v>
      </c>
      <c r="I96" s="24">
        <f>IF($A96="","",IF($E96=0,"",IFERROR(_xlfn.MAXIFS(tblIssues[Next Scheduled],tblIssues[Staff ID],$A96),"")))</f>
        <v>46259</v>
      </c>
      <c r="J96" s="26">
        <f>IF($A96="","",COUNTIFS(tblIssues[Staff ID],$A96,tblIssues[Status],"Pending"))</f>
        <v>0</v>
      </c>
    </row>
    <row r="97" spans="1:10" x14ac:dyDescent="0.35">
      <c r="A97" s="18" t="str">
        <f>IF('Staff Directory'!$A97="","",'Staff Directory'!$A97)</f>
        <v>PSW-033-A4</v>
      </c>
      <c r="B97" s="18" t="str">
        <f>IF($A97="","",'Staff Directory'!$B97)</f>
        <v>Lastname092, Firstname092</v>
      </c>
      <c r="C97" s="19" t="str">
        <f>IF($A97="","",'Staff Directory'!$C97)</f>
        <v>PSW</v>
      </c>
      <c r="D97" s="19" t="str">
        <f>IF($A97="","",'Staff Directory'!$D97)</f>
        <v>A4</v>
      </c>
      <c r="E97" s="26">
        <f>IF($A97="","",COUNTIFS(tblIssues[Staff ID],$A97))</f>
        <v>22</v>
      </c>
      <c r="F97" s="26">
        <f>IF($A97="","",SUMIFS(tblIssues[Qty Issued],tblIssues[Staff ID],$A97))</f>
        <v>3179</v>
      </c>
      <c r="G97" s="21">
        <f>IF($A97="","",SUMIFS(tblIssues[Line Cost],tblIssues[Staff ID],$A97))</f>
        <v>830.92039999999997</v>
      </c>
      <c r="H97" s="24">
        <f>IF($A97="","",IF($E97=0,"",IFERROR(_xlfn.MAXIFS(tblIssues[Order Date],tblIssues[Staff ID],$A97),"")))</f>
        <v>46235</v>
      </c>
      <c r="I97" s="24">
        <f>IF($A97="","",IF($E97=0,"",IFERROR(_xlfn.MAXIFS(tblIssues[Next Scheduled],tblIssues[Staff ID],$A97),"")))</f>
        <v>46282</v>
      </c>
      <c r="J97" s="26">
        <f>IF($A97="","",COUNTIFS(tblIssues[Staff ID],$A97,tblIssues[Status],"Pending"))</f>
        <v>5</v>
      </c>
    </row>
    <row r="98" spans="1:10" x14ac:dyDescent="0.35">
      <c r="A98" s="18" t="str">
        <f>IF('Staff Directory'!$A98="","",'Staff Directory'!$A98)</f>
        <v>PSW-034-A5</v>
      </c>
      <c r="B98" s="18" t="str">
        <f>IF($A98="","",'Staff Directory'!$B98)</f>
        <v>Lastname093, Firstname093</v>
      </c>
      <c r="C98" s="19" t="str">
        <f>IF($A98="","",'Staff Directory'!$C98)</f>
        <v>PSW</v>
      </c>
      <c r="D98" s="19" t="str">
        <f>IF($A98="","",'Staff Directory'!$D98)</f>
        <v>A5</v>
      </c>
      <c r="E98" s="26">
        <f>IF($A98="","",COUNTIFS(tblIssues[Staff ID],$A98))</f>
        <v>0</v>
      </c>
      <c r="F98" s="26">
        <f>IF($A98="","",SUMIFS(tblIssues[Qty Issued],tblIssues[Staff ID],$A98))</f>
        <v>0</v>
      </c>
      <c r="G98" s="21">
        <f>IF($A98="","",SUMIFS(tblIssues[Line Cost],tblIssues[Staff ID],$A98))</f>
        <v>0</v>
      </c>
      <c r="H98" s="24" t="str">
        <f>IF($A98="","",IF($E98=0,"",IFERROR(_xlfn.MAXIFS(tblIssues[Order Date],tblIssues[Staff ID],$A98),"")))</f>
        <v/>
      </c>
      <c r="I98" s="24" t="str">
        <f>IF($A98="","",IF($E98=0,"",IFERROR(_xlfn.MAXIFS(tblIssues[Next Scheduled],tblIssues[Staff ID],$A98),"")))</f>
        <v/>
      </c>
      <c r="J98" s="26">
        <f>IF($A98="","",COUNTIFS(tblIssues[Staff ID],$A98,tblIssues[Status],"Pending"))</f>
        <v>0</v>
      </c>
    </row>
    <row r="99" spans="1:10" x14ac:dyDescent="0.35">
      <c r="A99" s="18" t="str">
        <f>IF('Staff Directory'!$A99="","",'Staff Directory'!$A99)</f>
        <v>PSW-035-A5</v>
      </c>
      <c r="B99" s="18" t="str">
        <f>IF($A99="","",'Staff Directory'!$B99)</f>
        <v>Lastname094, Firstname094</v>
      </c>
      <c r="C99" s="19" t="str">
        <f>IF($A99="","",'Staff Directory'!$C99)</f>
        <v>PSW</v>
      </c>
      <c r="D99" s="19" t="str">
        <f>IF($A99="","",'Staff Directory'!$D99)</f>
        <v>A5</v>
      </c>
      <c r="E99" s="26">
        <f>IF($A99="","",COUNTIFS(tblIssues[Staff ID],$A99))</f>
        <v>7</v>
      </c>
      <c r="F99" s="26">
        <f>IF($A99="","",SUMIFS(tblIssues[Qty Issued],tblIssues[Staff ID],$A99))</f>
        <v>1182</v>
      </c>
      <c r="G99" s="21">
        <f>IF($A99="","",SUMIFS(tblIssues[Line Cost],tblIssues[Staff ID],$A99))</f>
        <v>88.000200000000007</v>
      </c>
      <c r="H99" s="24">
        <f>IF($A99="","",IF($E99=0,"",IFERROR(_xlfn.MAXIFS(tblIssues[Order Date],tblIssues[Staff ID],$A99),"")))</f>
        <v>46183</v>
      </c>
      <c r="I99" s="24">
        <f>IF($A99="","",IF($E99=0,"",IFERROR(_xlfn.MAXIFS(tblIssues[Next Scheduled],tblIssues[Staff ID],$A99),"")))</f>
        <v>46231</v>
      </c>
      <c r="J99" s="26">
        <f>IF($A99="","",COUNTIFS(tblIssues[Staff ID],$A99,tblIssues[Status],"Pending"))</f>
        <v>0</v>
      </c>
    </row>
    <row r="100" spans="1:10" x14ac:dyDescent="0.35">
      <c r="A100" s="18" t="str">
        <f>IF('Staff Directory'!$A100="","",'Staff Directory'!$A100)</f>
        <v>PSW-036-A7</v>
      </c>
      <c r="B100" s="18" t="str">
        <f>IF($A100="","",'Staff Directory'!$B100)</f>
        <v>Lastname095, Firstname095</v>
      </c>
      <c r="C100" s="19" t="str">
        <f>IF($A100="","",'Staff Directory'!$C100)</f>
        <v>PSW</v>
      </c>
      <c r="D100" s="19" t="str">
        <f>IF($A100="","",'Staff Directory'!$D100)</f>
        <v>A7</v>
      </c>
      <c r="E100" s="26">
        <f>IF($A100="","",COUNTIFS(tblIssues[Staff ID],$A100))</f>
        <v>18</v>
      </c>
      <c r="F100" s="26">
        <f>IF($A100="","",SUMIFS(tblIssues[Qty Issued],tblIssues[Staff ID],$A100))</f>
        <v>2527</v>
      </c>
      <c r="G100" s="21">
        <f>IF($A100="","",SUMIFS(tblIssues[Line Cost],tblIssues[Staff ID],$A100))</f>
        <v>192.00040000000001</v>
      </c>
      <c r="H100" s="24">
        <f>IF($A100="","",IF($E100=0,"",IFERROR(_xlfn.MAXIFS(tblIssues[Order Date],tblIssues[Staff ID],$A100),"")))</f>
        <v>46224</v>
      </c>
      <c r="I100" s="24">
        <f>IF($A100="","",IF($E100=0,"",IFERROR(_xlfn.MAXIFS(tblIssues[Next Scheduled],tblIssues[Staff ID],$A100),"")))</f>
        <v>46272</v>
      </c>
      <c r="J100" s="26">
        <f>IF($A100="","",COUNTIFS(tblIssues[Staff ID],$A100,tblIssues[Status],"Pending"))</f>
        <v>0</v>
      </c>
    </row>
    <row r="101" spans="1:10" x14ac:dyDescent="0.35">
      <c r="A101" s="18" t="str">
        <f>IF('Staff Directory'!$A101="","",'Staff Directory'!$A101)</f>
        <v>PSW-037-A4</v>
      </c>
      <c r="B101" s="18" t="str">
        <f>IF($A101="","",'Staff Directory'!$B101)</f>
        <v>Lastname096, Firstname096</v>
      </c>
      <c r="C101" s="19" t="str">
        <f>IF($A101="","",'Staff Directory'!$C101)</f>
        <v>PSW</v>
      </c>
      <c r="D101" s="19" t="str">
        <f>IF($A101="","",'Staff Directory'!$D101)</f>
        <v>A4</v>
      </c>
      <c r="E101" s="26">
        <f>IF($A101="","",COUNTIFS(tblIssues[Staff ID],$A101))</f>
        <v>0</v>
      </c>
      <c r="F101" s="26">
        <f>IF($A101="","",SUMIFS(tblIssues[Qty Issued],tblIssues[Staff ID],$A101))</f>
        <v>0</v>
      </c>
      <c r="G101" s="21">
        <f>IF($A101="","",SUMIFS(tblIssues[Line Cost],tblIssues[Staff ID],$A101))</f>
        <v>0</v>
      </c>
      <c r="H101" s="24" t="str">
        <f>IF($A101="","",IF($E101=0,"",IFERROR(_xlfn.MAXIFS(tblIssues[Order Date],tblIssues[Staff ID],$A101),"")))</f>
        <v/>
      </c>
      <c r="I101" s="24" t="str">
        <f>IF($A101="","",IF($E101=0,"",IFERROR(_xlfn.MAXIFS(tblIssues[Next Scheduled],tblIssues[Staff ID],$A101),"")))</f>
        <v/>
      </c>
      <c r="J101" s="26">
        <f>IF($A101="","",COUNTIFS(tblIssues[Staff ID],$A101,tblIssues[Status],"Pending"))</f>
        <v>0</v>
      </c>
    </row>
    <row r="102" spans="1:10" x14ac:dyDescent="0.35">
      <c r="A102" s="18" t="str">
        <f>IF('Staff Directory'!$A102="","",'Staff Directory'!$A102)</f>
        <v>PSW-038-A6</v>
      </c>
      <c r="B102" s="18" t="str">
        <f>IF($A102="","",'Staff Directory'!$B102)</f>
        <v>Lastname097, Firstname097</v>
      </c>
      <c r="C102" s="19" t="str">
        <f>IF($A102="","",'Staff Directory'!$C102)</f>
        <v>PSW</v>
      </c>
      <c r="D102" s="19" t="str">
        <f>IF($A102="","",'Staff Directory'!$D102)</f>
        <v>A6</v>
      </c>
      <c r="E102" s="26">
        <f>IF($A102="","",COUNTIFS(tblIssues[Staff ID],$A102))</f>
        <v>5</v>
      </c>
      <c r="F102" s="26">
        <f>IF($A102="","",SUMIFS(tblIssues[Qty Issued],tblIssues[Staff ID],$A102))</f>
        <v>1052</v>
      </c>
      <c r="G102" s="21">
        <f>IF($A102="","",SUMIFS(tblIssues[Line Cost],tblIssues[Staff ID],$A102))</f>
        <v>67.500100000000003</v>
      </c>
      <c r="H102" s="24">
        <f>IF($A102="","",IF($E102=0,"",IFERROR(_xlfn.MAXIFS(tblIssues[Order Date],tblIssues[Staff ID],$A102),"")))</f>
        <v>46203</v>
      </c>
      <c r="I102" s="24">
        <f>IF($A102="","",IF($E102=0,"",IFERROR(_xlfn.MAXIFS(tblIssues[Next Scheduled],tblIssues[Staff ID],$A102),"")))</f>
        <v>46251</v>
      </c>
      <c r="J102" s="26">
        <f>IF($A102="","",COUNTIFS(tblIssues[Staff ID],$A102,tblIssues[Status],"Pending"))</f>
        <v>0</v>
      </c>
    </row>
    <row r="103" spans="1:10" x14ac:dyDescent="0.35">
      <c r="A103" s="18" t="str">
        <f>IF('Staff Directory'!$A103="","",'Staff Directory'!$A103)</f>
        <v>PSW-039-A5</v>
      </c>
      <c r="B103" s="18" t="str">
        <f>IF($A103="","",'Staff Directory'!$B103)</f>
        <v>Lastname098, Firstname098</v>
      </c>
      <c r="C103" s="19" t="str">
        <f>IF($A103="","",'Staff Directory'!$C103)</f>
        <v>PSW</v>
      </c>
      <c r="D103" s="19" t="str">
        <f>IF($A103="","",'Staff Directory'!$D103)</f>
        <v>A5</v>
      </c>
      <c r="E103" s="26">
        <f>IF($A103="","",COUNTIFS(tblIssues[Staff ID],$A103))</f>
        <v>8</v>
      </c>
      <c r="F103" s="26">
        <f>IF($A103="","",SUMIFS(tblIssues[Qty Issued],tblIssues[Staff ID],$A103))</f>
        <v>1214</v>
      </c>
      <c r="G103" s="21">
        <f>IF($A103="","",SUMIFS(tblIssues[Line Cost],tblIssues[Staff ID],$A103))</f>
        <v>83.500200000000007</v>
      </c>
      <c r="H103" s="24">
        <f>IF($A103="","",IF($E103=0,"",IFERROR(_xlfn.MAXIFS(tblIssues[Order Date],tblIssues[Staff ID],$A103),"")))</f>
        <v>46196</v>
      </c>
      <c r="I103" s="24">
        <f>IF($A103="","",IF($E103=0,"",IFERROR(_xlfn.MAXIFS(tblIssues[Next Scheduled],tblIssues[Staff ID],$A103),"")))</f>
        <v>46244</v>
      </c>
      <c r="J103" s="26">
        <f>IF($A103="","",COUNTIFS(tblIssues[Staff ID],$A103,tblIssues[Status],"Pending"))</f>
        <v>0</v>
      </c>
    </row>
    <row r="104" spans="1:10" x14ac:dyDescent="0.35">
      <c r="A104" s="18" t="str">
        <f>IF('Staff Directory'!$A104="","",'Staff Directory'!$A104)</f>
        <v>PSW-040-A6</v>
      </c>
      <c r="B104" s="18" t="str">
        <f>IF($A104="","",'Staff Directory'!$B104)</f>
        <v>Lastname099, Firstname099</v>
      </c>
      <c r="C104" s="19" t="str">
        <f>IF($A104="","",'Staff Directory'!$C104)</f>
        <v>PSW</v>
      </c>
      <c r="D104" s="19" t="str">
        <f>IF($A104="","",'Staff Directory'!$D104)</f>
        <v>A6</v>
      </c>
      <c r="E104" s="26">
        <f>IF($A104="","",COUNTIFS(tblIssues[Staff ID],$A104))</f>
        <v>10</v>
      </c>
      <c r="F104" s="26">
        <f>IF($A104="","",SUMIFS(tblIssues[Qty Issued],tblIssues[Staff ID],$A104))</f>
        <v>1764</v>
      </c>
      <c r="G104" s="21">
        <f>IF($A104="","",SUMIFS(tblIssues[Line Cost],tblIssues[Staff ID],$A104))</f>
        <v>123.5001</v>
      </c>
      <c r="H104" s="24">
        <f>IF($A104="","",IF($E104=0,"",IFERROR(_xlfn.MAXIFS(tblIssues[Order Date],tblIssues[Staff ID],$A104),"")))</f>
        <v>46209</v>
      </c>
      <c r="I104" s="24">
        <f>IF($A104="","",IF($E104=0,"",IFERROR(_xlfn.MAXIFS(tblIssues[Next Scheduled],tblIssues[Staff ID],$A104),"")))</f>
        <v>46255</v>
      </c>
      <c r="J104" s="26">
        <f>IF($A104="","",COUNTIFS(tblIssues[Staff ID],$A104,tblIssues[Status],"Pending"))</f>
        <v>0</v>
      </c>
    </row>
    <row r="105" spans="1:10" x14ac:dyDescent="0.35">
      <c r="A105" s="18" t="str">
        <f>IF('Staff Directory'!$A105="","",'Staff Directory'!$A105)</f>
        <v>PSW-041-A4</v>
      </c>
      <c r="B105" s="18" t="str">
        <f>IF($A105="","",'Staff Directory'!$B105)</f>
        <v>Lastname100, Firstname100</v>
      </c>
      <c r="C105" s="19" t="str">
        <f>IF($A105="","",'Staff Directory'!$C105)</f>
        <v>PSW</v>
      </c>
      <c r="D105" s="19" t="str">
        <f>IF($A105="","",'Staff Directory'!$D105)</f>
        <v>A4</v>
      </c>
      <c r="E105" s="26">
        <f>IF($A105="","",COUNTIFS(tblIssues[Staff ID],$A105))</f>
        <v>19</v>
      </c>
      <c r="F105" s="26">
        <f>IF($A105="","",SUMIFS(tblIssues[Qty Issued],tblIssues[Staff ID],$A105))</f>
        <v>2540</v>
      </c>
      <c r="G105" s="21">
        <f>IF($A105="","",SUMIFS(tblIssues[Line Cost],tblIssues[Staff ID],$A105))</f>
        <v>237.00020000000001</v>
      </c>
      <c r="H105" s="24">
        <f>IF($A105="","",IF($E105=0,"",IFERROR(_xlfn.MAXIFS(tblIssues[Order Date],tblIssues[Staff ID],$A105),"")))</f>
        <v>46219</v>
      </c>
      <c r="I105" s="24">
        <f>IF($A105="","",IF($E105=0,"",IFERROR(_xlfn.MAXIFS(tblIssues[Next Scheduled],tblIssues[Staff ID],$A105),"")))</f>
        <v>46267</v>
      </c>
      <c r="J105" s="26">
        <f>IF($A105="","",COUNTIFS(tblIssues[Staff ID],$A105,tblIssues[Status],"Pending"))</f>
        <v>0</v>
      </c>
    </row>
    <row r="106" spans="1:10" x14ac:dyDescent="0.35">
      <c r="A106" s="18" t="str">
        <f>IF('Staff Directory'!$A106="","",'Staff Directory'!$A106)</f>
        <v>PSW-042-A4</v>
      </c>
      <c r="B106" s="18" t="str">
        <f>IF($A106="","",'Staff Directory'!$B106)</f>
        <v>Lastname101, Firstname101</v>
      </c>
      <c r="C106" s="19" t="str">
        <f>IF($A106="","",'Staff Directory'!$C106)</f>
        <v>PSW</v>
      </c>
      <c r="D106" s="19" t="str">
        <f>IF($A106="","",'Staff Directory'!$D106)</f>
        <v>A4</v>
      </c>
      <c r="E106" s="26">
        <f>IF($A106="","",COUNTIFS(tblIssues[Staff ID],$A106))</f>
        <v>5</v>
      </c>
      <c r="F106" s="26">
        <f>IF($A106="","",SUMIFS(tblIssues[Qty Issued],tblIssues[Staff ID],$A106))</f>
        <v>632</v>
      </c>
      <c r="G106" s="21">
        <f>IF($A106="","",SUMIFS(tblIssues[Line Cost],tblIssues[Staff ID],$A106))</f>
        <v>48.000100000000003</v>
      </c>
      <c r="H106" s="24">
        <f>IF($A106="","",IF($E106=0,"",IFERROR(_xlfn.MAXIFS(tblIssues[Order Date],tblIssues[Staff ID],$A106),"")))</f>
        <v>46218</v>
      </c>
      <c r="I106" s="24">
        <f>IF($A106="","",IF($E106=0,"",IFERROR(_xlfn.MAXIFS(tblIssues[Next Scheduled],tblIssues[Staff ID],$A106),"")))</f>
        <v>46266</v>
      </c>
      <c r="J106" s="26">
        <f>IF($A106="","",COUNTIFS(tblIssues[Staff ID],$A106,tblIssues[Status],"Pending"))</f>
        <v>0</v>
      </c>
    </row>
    <row r="107" spans="1:10" x14ac:dyDescent="0.35">
      <c r="A107" s="18" t="str">
        <f>IF('Staff Directory'!$A107="","",'Staff Directory'!$A107)</f>
        <v>PSW-043-A5</v>
      </c>
      <c r="B107" s="18" t="str">
        <f>IF($A107="","",'Staff Directory'!$B107)</f>
        <v>Lastname102, Firstname102</v>
      </c>
      <c r="C107" s="19" t="str">
        <f>IF($A107="","",'Staff Directory'!$C107)</f>
        <v>PSW</v>
      </c>
      <c r="D107" s="19" t="str">
        <f>IF($A107="","",'Staff Directory'!$D107)</f>
        <v>A5</v>
      </c>
      <c r="E107" s="26">
        <f>IF($A107="","",COUNTIFS(tblIssues[Staff ID],$A107))</f>
        <v>19</v>
      </c>
      <c r="F107" s="26">
        <f>IF($A107="","",SUMIFS(tblIssues[Qty Issued],tblIssues[Staff ID],$A107))</f>
        <v>2532</v>
      </c>
      <c r="G107" s="21">
        <f>IF($A107="","",SUMIFS(tblIssues[Line Cost],tblIssues[Staff ID],$A107))</f>
        <v>207.00040000000001</v>
      </c>
      <c r="H107" s="24">
        <f>IF($A107="","",IF($E107=0,"",IFERROR(_xlfn.MAXIFS(tblIssues[Order Date],tblIssues[Staff ID],$A107),"")))</f>
        <v>46213</v>
      </c>
      <c r="I107" s="24">
        <f>IF($A107="","",IF($E107=0,"",IFERROR(_xlfn.MAXIFS(tblIssues[Next Scheduled],tblIssues[Staff ID],$A107),"")))</f>
        <v>46261</v>
      </c>
      <c r="J107" s="26">
        <f>IF($A107="","",COUNTIFS(tblIssues[Staff ID],$A107,tblIssues[Status],"Pending"))</f>
        <v>0</v>
      </c>
    </row>
    <row r="108" spans="1:10" x14ac:dyDescent="0.35">
      <c r="A108" s="18" t="str">
        <f>IF('Staff Directory'!$A108="","",'Staff Directory'!$A108)</f>
        <v>PSW-044-A4</v>
      </c>
      <c r="B108" s="18" t="str">
        <f>IF($A108="","",'Staff Directory'!$B108)</f>
        <v>Lastname103, Firstname103</v>
      </c>
      <c r="C108" s="19" t="str">
        <f>IF($A108="","",'Staff Directory'!$C108)</f>
        <v>PSW</v>
      </c>
      <c r="D108" s="19" t="str">
        <f>IF($A108="","",'Staff Directory'!$D108)</f>
        <v>A4</v>
      </c>
      <c r="E108" s="26">
        <f>IF($A108="","",COUNTIFS(tblIssues[Staff ID],$A108))</f>
        <v>6</v>
      </c>
      <c r="F108" s="26">
        <f>IF($A108="","",SUMIFS(tblIssues[Qty Issued],tblIssues[Staff ID],$A108))</f>
        <v>1102</v>
      </c>
      <c r="G108" s="21">
        <f>IF($A108="","",SUMIFS(tblIssues[Line Cost],tblIssues[Staff ID],$A108))</f>
        <v>80.000200000000007</v>
      </c>
      <c r="H108" s="24">
        <f>IF($A108="","",IF($E108=0,"",IFERROR(_xlfn.MAXIFS(tblIssues[Order Date],tblIssues[Staff ID],$A108),"")))</f>
        <v>46224</v>
      </c>
      <c r="I108" s="24">
        <f>IF($A108="","",IF($E108=0,"",IFERROR(_xlfn.MAXIFS(tblIssues[Next Scheduled],tblIssues[Staff ID],$A108),"")))</f>
        <v>46272</v>
      </c>
      <c r="J108" s="26">
        <f>IF($A108="","",COUNTIFS(tblIssues[Staff ID],$A108,tblIssues[Status],"Pending"))</f>
        <v>0</v>
      </c>
    </row>
    <row r="109" spans="1:10" x14ac:dyDescent="0.35">
      <c r="A109" s="18" t="str">
        <f>IF('Staff Directory'!$A109="","",'Staff Directory'!$A109)</f>
        <v>PSW-045-A4</v>
      </c>
      <c r="B109" s="18" t="str">
        <f>IF($A109="","",'Staff Directory'!$B109)</f>
        <v>Lastname104, Firstname104</v>
      </c>
      <c r="C109" s="19" t="str">
        <f>IF($A109="","",'Staff Directory'!$C109)</f>
        <v>PSW</v>
      </c>
      <c r="D109" s="19" t="str">
        <f>IF($A109="","",'Staff Directory'!$D109)</f>
        <v>A4</v>
      </c>
      <c r="E109" s="26">
        <f>IF($A109="","",COUNTIFS(tblIssues[Staff ID],$A109))</f>
        <v>0</v>
      </c>
      <c r="F109" s="26">
        <f>IF($A109="","",SUMIFS(tblIssues[Qty Issued],tblIssues[Staff ID],$A109))</f>
        <v>0</v>
      </c>
      <c r="G109" s="21">
        <f>IF($A109="","",SUMIFS(tblIssues[Line Cost],tblIssues[Staff ID],$A109))</f>
        <v>0</v>
      </c>
      <c r="H109" s="24" t="str">
        <f>IF($A109="","",IF($E109=0,"",IFERROR(_xlfn.MAXIFS(tblIssues[Order Date],tblIssues[Staff ID],$A109),"")))</f>
        <v/>
      </c>
      <c r="I109" s="24" t="str">
        <f>IF($A109="","",IF($E109=0,"",IFERROR(_xlfn.MAXIFS(tblIssues[Next Scheduled],tblIssues[Staff ID],$A109),"")))</f>
        <v/>
      </c>
      <c r="J109" s="26">
        <f>IF($A109="","",COUNTIFS(tblIssues[Staff ID],$A109,tblIssues[Status],"Pending"))</f>
        <v>0</v>
      </c>
    </row>
    <row r="110" spans="1:10" x14ac:dyDescent="0.35">
      <c r="A110" s="18" t="str">
        <f>IF('Staff Directory'!$A110="","",'Staff Directory'!$A110)</f>
        <v>TL/RPN-001-A8</v>
      </c>
      <c r="B110" s="18" t="str">
        <f>IF($A110="","",'Staff Directory'!$B110)</f>
        <v>Lastname105, Firstname105</v>
      </c>
      <c r="C110" s="19" t="str">
        <f>IF($A110="","",'Staff Directory'!$C110)</f>
        <v>TL/RPN</v>
      </c>
      <c r="D110" s="19" t="str">
        <f>IF($A110="","",'Staff Directory'!$D110)</f>
        <v>A8</v>
      </c>
      <c r="E110" s="26">
        <f>IF($A110="","",COUNTIFS(tblIssues[Staff ID],$A110))</f>
        <v>13</v>
      </c>
      <c r="F110" s="26">
        <f>IF($A110="","",SUMIFS(tblIssues[Qty Issued],tblIssues[Staff ID],$A110))</f>
        <v>704</v>
      </c>
      <c r="G110" s="21">
        <f>IF($A110="","",SUMIFS(tblIssues[Line Cost],tblIssues[Staff ID],$A110))</f>
        <v>123.36000000000001</v>
      </c>
      <c r="H110" s="24">
        <f>IF($A110="","",IF($E110=0,"",IFERROR(_xlfn.MAXIFS(tblIssues[Order Date],tblIssues[Staff ID],$A110),"")))</f>
        <v>46197</v>
      </c>
      <c r="I110" s="24">
        <f>IF($A110="","",IF($E110=0,"",IFERROR(_xlfn.MAXIFS(tblIssues[Next Scheduled],tblIssues[Staff ID],$A110),"")))</f>
        <v>46245</v>
      </c>
      <c r="J110" s="26">
        <f>IF($A110="","",COUNTIFS(tblIssues[Staff ID],$A110,tblIssues[Status],"Pending"))</f>
        <v>0</v>
      </c>
    </row>
    <row r="111" spans="1:10" x14ac:dyDescent="0.35">
      <c r="A111" s="18" t="str">
        <f>IF('Staff Directory'!$A111="","",'Staff Directory'!$A111)</f>
        <v>PSW-046-A4</v>
      </c>
      <c r="B111" s="18" t="str">
        <f>IF($A111="","",'Staff Directory'!$B111)</f>
        <v>Lastname106, Firstname106</v>
      </c>
      <c r="C111" s="19" t="str">
        <f>IF($A111="","",'Staff Directory'!$C111)</f>
        <v>PSW</v>
      </c>
      <c r="D111" s="19" t="str">
        <f>IF($A111="","",'Staff Directory'!$D111)</f>
        <v>A4</v>
      </c>
      <c r="E111" s="26">
        <f>IF($A111="","",COUNTIFS(tblIssues[Staff ID],$A111))</f>
        <v>4</v>
      </c>
      <c r="F111" s="26">
        <f>IF($A111="","",SUMIFS(tblIssues[Qty Issued],tblIssues[Staff ID],$A111))</f>
        <v>1082</v>
      </c>
      <c r="G111" s="21">
        <f>IF($A111="","",SUMIFS(tblIssues[Line Cost],tblIssues[Staff ID],$A111))</f>
        <v>63</v>
      </c>
      <c r="H111" s="24">
        <f>IF($A111="","",IF($E111=0,"",IFERROR(_xlfn.MAXIFS(tblIssues[Order Date],tblIssues[Staff ID],$A111),"")))</f>
        <v>46185</v>
      </c>
      <c r="I111" s="24">
        <f>IF($A111="","",IF($E111=0,"",IFERROR(_xlfn.MAXIFS(tblIssues[Next Scheduled],tblIssues[Staff ID],$A111),"")))</f>
        <v>46233</v>
      </c>
      <c r="J111" s="26">
        <f>IF($A111="","",COUNTIFS(tblIssues[Staff ID],$A111,tblIssues[Status],"Pending"))</f>
        <v>0</v>
      </c>
    </row>
    <row r="112" spans="1:10" x14ac:dyDescent="0.35">
      <c r="A112" s="18" t="str">
        <f>IF('Staff Directory'!$A112="","",'Staff Directory'!$A112)</f>
        <v>PSW-047-A5</v>
      </c>
      <c r="B112" s="18" t="str">
        <f>IF($A112="","",'Staff Directory'!$B112)</f>
        <v>Lastname107, Firstname107</v>
      </c>
      <c r="C112" s="19" t="str">
        <f>IF($A112="","",'Staff Directory'!$C112)</f>
        <v>PSW</v>
      </c>
      <c r="D112" s="19" t="str">
        <f>IF($A112="","",'Staff Directory'!$D112)</f>
        <v>A5</v>
      </c>
      <c r="E112" s="26">
        <f>IF($A112="","",COUNTIFS(tblIssues[Staff ID],$A112))</f>
        <v>12</v>
      </c>
      <c r="F112" s="26">
        <f>IF($A112="","",SUMIFS(tblIssues[Qty Issued],tblIssues[Staff ID],$A112))</f>
        <v>2316</v>
      </c>
      <c r="G112" s="21">
        <f>IF($A112="","",SUMIFS(tblIssues[Line Cost],tblIssues[Staff ID],$A112))</f>
        <v>181.46</v>
      </c>
      <c r="H112" s="24">
        <f>IF($A112="","",IF($E112=0,"",IFERROR(_xlfn.MAXIFS(tblIssues[Order Date],tblIssues[Staff ID],$A112),"")))</f>
        <v>46211</v>
      </c>
      <c r="I112" s="24">
        <f>IF($A112="","",IF($E112=0,"",IFERROR(_xlfn.MAXIFS(tblIssues[Next Scheduled],tblIssues[Staff ID],$A112),"")))</f>
        <v>46259</v>
      </c>
      <c r="J112" s="26">
        <f>IF($A112="","",COUNTIFS(tblIssues[Staff ID],$A112,tblIssues[Status],"Pending"))</f>
        <v>0</v>
      </c>
    </row>
    <row r="113" spans="1:10" x14ac:dyDescent="0.35">
      <c r="A113" s="18" t="str">
        <f>IF('Staff Directory'!$A113="","",'Staff Directory'!$A113)</f>
        <v>PSW-048-A5</v>
      </c>
      <c r="B113" s="18" t="str">
        <f>IF($A113="","",'Staff Directory'!$B113)</f>
        <v>Lastname108, Firstname108</v>
      </c>
      <c r="C113" s="19" t="str">
        <f>IF($A113="","",'Staff Directory'!$C113)</f>
        <v>PSW</v>
      </c>
      <c r="D113" s="19" t="str">
        <f>IF($A113="","",'Staff Directory'!$D113)</f>
        <v>A5</v>
      </c>
      <c r="E113" s="26">
        <f>IF($A113="","",COUNTIFS(tblIssues[Staff ID],$A113))</f>
        <v>12</v>
      </c>
      <c r="F113" s="26">
        <f>IF($A113="","",SUMIFS(tblIssues[Qty Issued],tblIssues[Staff ID],$A113))</f>
        <v>2393</v>
      </c>
      <c r="G113" s="21">
        <f>IF($A113="","",SUMIFS(tblIssues[Line Cost],tblIssues[Staff ID],$A113))</f>
        <v>171.5</v>
      </c>
      <c r="H113" s="24">
        <f>IF($A113="","",IF($E113=0,"",IFERROR(_xlfn.MAXIFS(tblIssues[Order Date],tblIssues[Staff ID],$A113),"")))</f>
        <v>46210</v>
      </c>
      <c r="I113" s="24">
        <f>IF($A113="","",IF($E113=0,"",IFERROR(_xlfn.MAXIFS(tblIssues[Next Scheduled],tblIssues[Staff ID],$A113),"")))</f>
        <v>46258</v>
      </c>
      <c r="J113" s="26">
        <f>IF($A113="","",COUNTIFS(tblIssues[Staff ID],$A113,tblIssues[Status],"Pending"))</f>
        <v>0</v>
      </c>
    </row>
    <row r="114" spans="1:10" x14ac:dyDescent="0.35">
      <c r="A114" s="18" t="str">
        <f>IF('Staff Directory'!$A114="","",'Staff Directory'!$A114)</f>
        <v>PSW-049-A4</v>
      </c>
      <c r="B114" s="18" t="str">
        <f>IF($A114="","",'Staff Directory'!$B114)</f>
        <v>Lastname109, Firstname109</v>
      </c>
      <c r="C114" s="19" t="str">
        <f>IF($A114="","",'Staff Directory'!$C114)</f>
        <v>PSW</v>
      </c>
      <c r="D114" s="19" t="str">
        <f>IF($A114="","",'Staff Directory'!$D114)</f>
        <v>A4</v>
      </c>
      <c r="E114" s="26">
        <f>IF($A114="","",COUNTIFS(tblIssues[Staff ID],$A114))</f>
        <v>0</v>
      </c>
      <c r="F114" s="26">
        <f>IF($A114="","",SUMIFS(tblIssues[Qty Issued],tblIssues[Staff ID],$A114))</f>
        <v>0</v>
      </c>
      <c r="G114" s="21">
        <f>IF($A114="","",SUMIFS(tblIssues[Line Cost],tblIssues[Staff ID],$A114))</f>
        <v>0</v>
      </c>
      <c r="H114" s="24" t="str">
        <f>IF($A114="","",IF($E114=0,"",IFERROR(_xlfn.MAXIFS(tblIssues[Order Date],tblIssues[Staff ID],$A114),"")))</f>
        <v/>
      </c>
      <c r="I114" s="24" t="str">
        <f>IF($A114="","",IF($E114=0,"",IFERROR(_xlfn.MAXIFS(tblIssues[Next Scheduled],tblIssues[Staff ID],$A114),"")))</f>
        <v/>
      </c>
      <c r="J114" s="26">
        <f>IF($A114="","",COUNTIFS(tblIssues[Staff ID],$A114,tblIssues[Status],"Pending"))</f>
        <v>0</v>
      </c>
    </row>
    <row r="115" spans="1:10" x14ac:dyDescent="0.35">
      <c r="A115" s="18" t="str">
        <f>IF('Staff Directory'!$A115="","",'Staff Directory'!$A115)</f>
        <v>PSW-050-A7</v>
      </c>
      <c r="B115" s="18" t="str">
        <f>IF($A115="","",'Staff Directory'!$B115)</f>
        <v>Lastname110, Firstname110</v>
      </c>
      <c r="C115" s="19" t="str">
        <f>IF($A115="","",'Staff Directory'!$C115)</f>
        <v>PSW</v>
      </c>
      <c r="D115" s="19" t="str">
        <f>IF($A115="","",'Staff Directory'!$D115)</f>
        <v>A7</v>
      </c>
      <c r="E115" s="26">
        <f>IF($A115="","",COUNTIFS(tblIssues[Staff ID],$A115))</f>
        <v>9</v>
      </c>
      <c r="F115" s="26">
        <f>IF($A115="","",SUMIFS(tblIssues[Qty Issued],tblIssues[Staff ID],$A115))</f>
        <v>1264</v>
      </c>
      <c r="G115" s="21">
        <f>IF($A115="","",SUMIFS(tblIssues[Line Cost],tblIssues[Staff ID],$A115))</f>
        <v>96.000200000000007</v>
      </c>
      <c r="H115" s="24">
        <f>IF($A115="","",IF($E115=0,"",IFERROR(_xlfn.MAXIFS(tblIssues[Order Date],tblIssues[Staff ID],$A115),"")))</f>
        <v>46185</v>
      </c>
      <c r="I115" s="24">
        <f>IF($A115="","",IF($E115=0,"",IFERROR(_xlfn.MAXIFS(tblIssues[Next Scheduled],tblIssues[Staff ID],$A115),"")))</f>
        <v>46233</v>
      </c>
      <c r="J115" s="26">
        <f>IF($A115="","",COUNTIFS(tblIssues[Staff ID],$A115,tblIssues[Status],"Pending"))</f>
        <v>0</v>
      </c>
    </row>
    <row r="116" spans="1:10" x14ac:dyDescent="0.35">
      <c r="A116" s="18" t="str">
        <f>IF('Staff Directory'!$A116="","",'Staff Directory'!$A116)</f>
        <v>PSW-051-A4</v>
      </c>
      <c r="B116" s="18" t="str">
        <f>IF($A116="","",'Staff Directory'!$B116)</f>
        <v>Lastname111, Firstname111</v>
      </c>
      <c r="C116" s="19" t="str">
        <f>IF($A116="","",'Staff Directory'!$C116)</f>
        <v>PSW</v>
      </c>
      <c r="D116" s="19" t="str">
        <f>IF($A116="","",'Staff Directory'!$D116)</f>
        <v>A4</v>
      </c>
      <c r="E116" s="26">
        <f>IF($A116="","",COUNTIFS(tblIssues[Staff ID],$A116))</f>
        <v>13</v>
      </c>
      <c r="F116" s="26">
        <f>IF($A116="","",SUMIFS(tblIssues[Qty Issued],tblIssues[Staff ID],$A116))</f>
        <v>1894</v>
      </c>
      <c r="G116" s="21">
        <f>IF($A116="","",SUMIFS(tblIssues[Line Cost],tblIssues[Staff ID],$A116))</f>
        <v>144.00030000000001</v>
      </c>
      <c r="H116" s="24">
        <f>IF($A116="","",IF($E116=0,"",IFERROR(_xlfn.MAXIFS(tblIssues[Order Date],tblIssues[Staff ID],$A116),"")))</f>
        <v>46209</v>
      </c>
      <c r="I116" s="24">
        <f>IF($A116="","",IF($E116=0,"",IFERROR(_xlfn.MAXIFS(tblIssues[Next Scheduled],tblIssues[Staff ID],$A116),"")))</f>
        <v>46255</v>
      </c>
      <c r="J116" s="26">
        <f>IF($A116="","",COUNTIFS(tblIssues[Staff ID],$A116,tblIssues[Status],"Pending"))</f>
        <v>0</v>
      </c>
    </row>
    <row r="117" spans="1:10" x14ac:dyDescent="0.35">
      <c r="A117" s="18" t="str">
        <f>IF('Staff Directory'!$A117="","",'Staff Directory'!$A117)</f>
        <v>PSW-052-A5</v>
      </c>
      <c r="B117" s="18" t="str">
        <f>IF($A117="","",'Staff Directory'!$B117)</f>
        <v>Lastname112, Firstname112</v>
      </c>
      <c r="C117" s="19" t="str">
        <f>IF($A117="","",'Staff Directory'!$C117)</f>
        <v>PSW</v>
      </c>
      <c r="D117" s="19" t="str">
        <f>IF($A117="","",'Staff Directory'!$D117)</f>
        <v>A5</v>
      </c>
      <c r="E117" s="26">
        <f>IF($A117="","",COUNTIFS(tblIssues[Staff ID],$A117))</f>
        <v>13</v>
      </c>
      <c r="F117" s="26">
        <f>IF($A117="","",SUMIFS(tblIssues[Qty Issued],tblIssues[Staff ID],$A117))</f>
        <v>1815</v>
      </c>
      <c r="G117" s="21">
        <f>IF($A117="","",SUMIFS(tblIssues[Line Cost],tblIssues[Staff ID],$A117))</f>
        <v>136.00030000000001</v>
      </c>
      <c r="H117" s="24">
        <f>IF($A117="","",IF($E117=0,"",IFERROR(_xlfn.MAXIFS(tblIssues[Order Date],tblIssues[Staff ID],$A117),"")))</f>
        <v>46216</v>
      </c>
      <c r="I117" s="24">
        <f>IF($A117="","",IF($E117=0,"",IFERROR(_xlfn.MAXIFS(tblIssues[Next Scheduled],tblIssues[Staff ID],$A117),"")))</f>
        <v>46262</v>
      </c>
      <c r="J117" s="26">
        <f>IF($A117="","",COUNTIFS(tblIssues[Staff ID],$A117,tblIssues[Status],"Pending"))</f>
        <v>0</v>
      </c>
    </row>
    <row r="118" spans="1:10" x14ac:dyDescent="0.35">
      <c r="A118" s="18" t="str">
        <f>IF('Staff Directory'!$A118="","",'Staff Directory'!$A118)</f>
        <v>PSW-053-A4</v>
      </c>
      <c r="B118" s="18" t="str">
        <f>IF($A118="","",'Staff Directory'!$B118)</f>
        <v>Lastname113, Firstname113</v>
      </c>
      <c r="C118" s="19" t="str">
        <f>IF($A118="","",'Staff Directory'!$C118)</f>
        <v>PSW</v>
      </c>
      <c r="D118" s="19" t="str">
        <f>IF($A118="","",'Staff Directory'!$D118)</f>
        <v>A4</v>
      </c>
      <c r="E118" s="26">
        <f>IF($A118="","",COUNTIFS(tblIssues[Staff ID],$A118))</f>
        <v>17</v>
      </c>
      <c r="F118" s="26">
        <f>IF($A118="","",SUMIFS(tblIssues[Qty Issued],tblIssues[Staff ID],$A118))</f>
        <v>2387</v>
      </c>
      <c r="G118" s="21">
        <f>IF($A118="","",SUMIFS(tblIssues[Line Cost],tblIssues[Staff ID],$A118))</f>
        <v>176.00040000000001</v>
      </c>
      <c r="H118" s="24">
        <f>IF($A118="","",IF($E118=0,"",IFERROR(_xlfn.MAXIFS(tblIssues[Order Date],tblIssues[Staff ID],$A118),"")))</f>
        <v>46224</v>
      </c>
      <c r="I118" s="24">
        <f>IF($A118="","",IF($E118=0,"",IFERROR(_xlfn.MAXIFS(tblIssues[Next Scheduled],tblIssues[Staff ID],$A118),"")))</f>
        <v>46272</v>
      </c>
      <c r="J118" s="26">
        <f>IF($A118="","",COUNTIFS(tblIssues[Staff ID],$A118,tblIssues[Status],"Pending"))</f>
        <v>0</v>
      </c>
    </row>
    <row r="119" spans="1:10" x14ac:dyDescent="0.35">
      <c r="A119" s="18" t="str">
        <f>IF('Staff Directory'!$A119="","",'Staff Directory'!$A119)</f>
        <v>PSW-054-A6</v>
      </c>
      <c r="B119" s="18" t="str">
        <f>IF($A119="","",'Staff Directory'!$B119)</f>
        <v>Lastname114, Firstname114</v>
      </c>
      <c r="C119" s="19" t="str">
        <f>IF($A119="","",'Staff Directory'!$C119)</f>
        <v>PSW</v>
      </c>
      <c r="D119" s="19" t="str">
        <f>IF($A119="","",'Staff Directory'!$D119)</f>
        <v>A6</v>
      </c>
      <c r="E119" s="26">
        <f>IF($A119="","",COUNTIFS(tblIssues[Staff ID],$A119))</f>
        <v>0</v>
      </c>
      <c r="F119" s="26">
        <f>IF($A119="","",SUMIFS(tblIssues[Qty Issued],tblIssues[Staff ID],$A119))</f>
        <v>0</v>
      </c>
      <c r="G119" s="21">
        <f>IF($A119="","",SUMIFS(tblIssues[Line Cost],tblIssues[Staff ID],$A119))</f>
        <v>0</v>
      </c>
      <c r="H119" s="24" t="str">
        <f>IF($A119="","",IF($E119=0,"",IFERROR(_xlfn.MAXIFS(tblIssues[Order Date],tblIssues[Staff ID],$A119),"")))</f>
        <v/>
      </c>
      <c r="I119" s="24" t="str">
        <f>IF($A119="","",IF($E119=0,"",IFERROR(_xlfn.MAXIFS(tblIssues[Next Scheduled],tblIssues[Staff ID],$A119),"")))</f>
        <v/>
      </c>
      <c r="J119" s="26">
        <f>IF($A119="","",COUNTIFS(tblIssues[Staff ID],$A119,tblIssues[Status],"Pending"))</f>
        <v>0</v>
      </c>
    </row>
    <row r="120" spans="1:10" x14ac:dyDescent="0.35">
      <c r="A120" s="18" t="str">
        <f>IF('Staff Directory'!$A120="","",'Staff Directory'!$A120)</f>
        <v>PSW-055-A4</v>
      </c>
      <c r="B120" s="18" t="str">
        <f>IF($A120="","",'Staff Directory'!$B120)</f>
        <v>Lastname115, Firstname115</v>
      </c>
      <c r="C120" s="19" t="str">
        <f>IF($A120="","",'Staff Directory'!$C120)</f>
        <v>PSW</v>
      </c>
      <c r="D120" s="19" t="str">
        <f>IF($A120="","",'Staff Directory'!$D120)</f>
        <v>A4</v>
      </c>
      <c r="E120" s="26">
        <f>IF($A120="","",COUNTIFS(tblIssues[Staff ID],$A120))</f>
        <v>18</v>
      </c>
      <c r="F120" s="26">
        <f>IF($A120="","",SUMIFS(tblIssues[Qty Issued],tblIssues[Staff ID],$A120))</f>
        <v>1921</v>
      </c>
      <c r="G120" s="21">
        <f>IF($A120="","",SUMIFS(tblIssues[Line Cost],tblIssues[Staff ID],$A120))</f>
        <v>227.98010000000002</v>
      </c>
      <c r="H120" s="24">
        <f>IF($A120="","",IF($E120=0,"",IFERROR(_xlfn.MAXIFS(tblIssues[Order Date],tblIssues[Staff ID],$A120),"")))</f>
        <v>46206</v>
      </c>
      <c r="I120" s="24">
        <f>IF($A120="","",IF($E120=0,"",IFERROR(_xlfn.MAXIFS(tblIssues[Next Scheduled],tblIssues[Staff ID],$A120),"")))</f>
        <v>46254</v>
      </c>
      <c r="J120" s="26">
        <f>IF($A120="","",COUNTIFS(tblIssues[Staff ID],$A120,tblIssues[Status],"Pending"))</f>
        <v>0</v>
      </c>
    </row>
    <row r="121" spans="1:10" x14ac:dyDescent="0.35">
      <c r="A121" s="18" t="str">
        <f>IF('Staff Directory'!$A121="","",'Staff Directory'!$A121)</f>
        <v>PSW-056-A6</v>
      </c>
      <c r="B121" s="18" t="str">
        <f>IF($A121="","",'Staff Directory'!$B121)</f>
        <v>Lastname116, Firstname116</v>
      </c>
      <c r="C121" s="19" t="str">
        <f>IF($A121="","",'Staff Directory'!$C121)</f>
        <v>PSW</v>
      </c>
      <c r="D121" s="19" t="str">
        <f>IF($A121="","",'Staff Directory'!$D121)</f>
        <v>A6</v>
      </c>
      <c r="E121" s="26">
        <f>IF($A121="","",COUNTIFS(tblIssues[Staff ID],$A121))</f>
        <v>13</v>
      </c>
      <c r="F121" s="26">
        <f>IF($A121="","",SUMIFS(tblIssues[Qty Issued],tblIssues[Staff ID],$A121))</f>
        <v>2521</v>
      </c>
      <c r="G121" s="21">
        <f>IF($A121="","",SUMIFS(tblIssues[Line Cost],tblIssues[Staff ID],$A121))</f>
        <v>192</v>
      </c>
      <c r="H121" s="24">
        <f>IF($A121="","",IF($E121=0,"",IFERROR(_xlfn.MAXIFS(tblIssues[Order Date],tblIssues[Staff ID],$A121),"")))</f>
        <v>46204</v>
      </c>
      <c r="I121" s="24">
        <f>IF($A121="","",IF($E121=0,"",IFERROR(_xlfn.MAXIFS(tblIssues[Next Scheduled],tblIssues[Staff ID],$A121),"")))</f>
        <v>46252</v>
      </c>
      <c r="J121" s="26">
        <f>IF($A121="","",COUNTIFS(tblIssues[Staff ID],$A121,tblIssues[Status],"Pending"))</f>
        <v>0</v>
      </c>
    </row>
    <row r="122" spans="1:10" x14ac:dyDescent="0.35">
      <c r="A122" s="18" t="str">
        <f>IF('Staff Directory'!$A122="","",'Staff Directory'!$A122)</f>
        <v>PSW-057-A5</v>
      </c>
      <c r="B122" s="18" t="str">
        <f>IF($A122="","",'Staff Directory'!$B122)</f>
        <v>Lastname117, Firstname117</v>
      </c>
      <c r="C122" s="19" t="str">
        <f>IF($A122="","",'Staff Directory'!$C122)</f>
        <v>PSW</v>
      </c>
      <c r="D122" s="19" t="str">
        <f>IF($A122="","",'Staff Directory'!$D122)</f>
        <v>A5</v>
      </c>
      <c r="E122" s="26">
        <f>IF($A122="","",COUNTIFS(tblIssues[Staff ID],$A122))</f>
        <v>17</v>
      </c>
      <c r="F122" s="26">
        <f>IF($A122="","",SUMIFS(tblIssues[Qty Issued],tblIssues[Staff ID],$A122))</f>
        <v>2516</v>
      </c>
      <c r="G122" s="21">
        <f>IF($A122="","",SUMIFS(tblIssues[Line Cost],tblIssues[Staff ID],$A122))</f>
        <v>214.98010000000002</v>
      </c>
      <c r="H122" s="24">
        <f>IF($A122="","",IF($E122=0,"",IFERROR(_xlfn.MAXIFS(tblIssues[Order Date],tblIssues[Staff ID],$A122),"")))</f>
        <v>46204</v>
      </c>
      <c r="I122" s="24">
        <f>IF($A122="","",IF($E122=0,"",IFERROR(_xlfn.MAXIFS(tblIssues[Next Scheduled],tblIssues[Staff ID],$A122),"")))</f>
        <v>46252</v>
      </c>
      <c r="J122" s="26">
        <f>IF($A122="","",COUNTIFS(tblIssues[Staff ID],$A122,tblIssues[Status],"Pending"))</f>
        <v>0</v>
      </c>
    </row>
    <row r="123" spans="1:10" x14ac:dyDescent="0.35">
      <c r="A123" s="18" t="str">
        <f>IF('Staff Directory'!$A123="","",'Staff Directory'!$A123)</f>
        <v>PSW-058-A5</v>
      </c>
      <c r="B123" s="18" t="str">
        <f>IF($A123="","",'Staff Directory'!$B123)</f>
        <v>Lastname118, Firstname118</v>
      </c>
      <c r="C123" s="19" t="str">
        <f>IF($A123="","",'Staff Directory'!$C123)</f>
        <v>PSW</v>
      </c>
      <c r="D123" s="19" t="str">
        <f>IF($A123="","",'Staff Directory'!$D123)</f>
        <v>A5</v>
      </c>
      <c r="E123" s="26">
        <f>IF($A123="","",COUNTIFS(tblIssues[Staff ID],$A123))</f>
        <v>12</v>
      </c>
      <c r="F123" s="26">
        <f>IF($A123="","",SUMIFS(tblIssues[Qty Issued],tblIssues[Staff ID],$A123))</f>
        <v>2423</v>
      </c>
      <c r="G123" s="21">
        <f>IF($A123="","",SUMIFS(tblIssues[Line Cost],tblIssues[Staff ID],$A123))</f>
        <v>167</v>
      </c>
      <c r="H123" s="24">
        <f>IF($A123="","",IF($E123=0,"",IFERROR(_xlfn.MAXIFS(tblIssues[Order Date],tblIssues[Staff ID],$A123),"")))</f>
        <v>46211</v>
      </c>
      <c r="I123" s="24">
        <f>IF($A123="","",IF($E123=0,"",IFERROR(_xlfn.MAXIFS(tblIssues[Next Scheduled],tblIssues[Staff ID],$A123),"")))</f>
        <v>46259</v>
      </c>
      <c r="J123" s="26">
        <f>IF($A123="","",COUNTIFS(tblIssues[Staff ID],$A123,tblIssues[Status],"Pending"))</f>
        <v>0</v>
      </c>
    </row>
    <row r="124" spans="1:10" x14ac:dyDescent="0.35">
      <c r="A124" s="18" t="str">
        <f>IF('Staff Directory'!$A124="","",'Staff Directory'!$A124)</f>
        <v>PSW-059-A6</v>
      </c>
      <c r="B124" s="18" t="str">
        <f>IF($A124="","",'Staff Directory'!$B124)</f>
        <v>Lastname119, Firstname119</v>
      </c>
      <c r="C124" s="19" t="str">
        <f>IF($A124="","",'Staff Directory'!$C124)</f>
        <v>PSW</v>
      </c>
      <c r="D124" s="19" t="str">
        <f>IF($A124="","",'Staff Directory'!$D124)</f>
        <v>A6</v>
      </c>
      <c r="E124" s="26">
        <f>IF($A124="","",COUNTIFS(tblIssues[Staff ID],$A124))</f>
        <v>0</v>
      </c>
      <c r="F124" s="26">
        <f>IF($A124="","",SUMIFS(tblIssues[Qty Issued],tblIssues[Staff ID],$A124))</f>
        <v>0</v>
      </c>
      <c r="G124" s="21">
        <f>IF($A124="","",SUMIFS(tblIssues[Line Cost],tblIssues[Staff ID],$A124))</f>
        <v>0</v>
      </c>
      <c r="H124" s="24" t="str">
        <f>IF($A124="","",IF($E124=0,"",IFERROR(_xlfn.MAXIFS(tblIssues[Order Date],tblIssues[Staff ID],$A124),"")))</f>
        <v/>
      </c>
      <c r="I124" s="24" t="str">
        <f>IF($A124="","",IF($E124=0,"",IFERROR(_xlfn.MAXIFS(tblIssues[Next Scheduled],tblIssues[Staff ID],$A124),"")))</f>
        <v/>
      </c>
      <c r="J124" s="26">
        <f>IF($A124="","",COUNTIFS(tblIssues[Staff ID],$A124,tblIssues[Status],"Pending"))</f>
        <v>0</v>
      </c>
    </row>
    <row r="125" spans="1:10" x14ac:dyDescent="0.35">
      <c r="A125" s="18" t="str">
        <f>IF('Staff Directory'!$A125="","",'Staff Directory'!$A125)</f>
        <v>PSW-060-A6</v>
      </c>
      <c r="B125" s="18" t="str">
        <f>IF($A125="","",'Staff Directory'!$B125)</f>
        <v>Lastname120, Firstname120</v>
      </c>
      <c r="C125" s="19" t="str">
        <f>IF($A125="","",'Staff Directory'!$C125)</f>
        <v>PSW</v>
      </c>
      <c r="D125" s="19" t="str">
        <f>IF($A125="","",'Staff Directory'!$D125)</f>
        <v>A6</v>
      </c>
      <c r="E125" s="26">
        <f>IF($A125="","",COUNTIFS(tblIssues[Staff ID],$A125))</f>
        <v>10</v>
      </c>
      <c r="F125" s="26">
        <f>IF($A125="","",SUMIFS(tblIssues[Qty Issued],tblIssues[Staff ID],$A125))</f>
        <v>1744</v>
      </c>
      <c r="G125" s="21">
        <f>IF($A125="","",SUMIFS(tblIssues[Line Cost],tblIssues[Staff ID],$A125))</f>
        <v>106.50030000000001</v>
      </c>
      <c r="H125" s="24">
        <f>IF($A125="","",IF($E125=0,"",IFERROR(_xlfn.MAXIFS(tblIssues[Order Date],tblIssues[Staff ID],$A125),"")))</f>
        <v>46225</v>
      </c>
      <c r="I125" s="24">
        <f>IF($A125="","",IF($E125=0,"",IFERROR(_xlfn.MAXIFS(tblIssues[Next Scheduled],tblIssues[Staff ID],$A125),"")))</f>
        <v>46273</v>
      </c>
      <c r="J125" s="26">
        <f>IF($A125="","",COUNTIFS(tblIssues[Staff ID],$A125,tblIssues[Status],"Pending"))</f>
        <v>0</v>
      </c>
    </row>
    <row r="126" spans="1:10" x14ac:dyDescent="0.35">
      <c r="A126" s="18" t="str">
        <f>IF('Staff Directory'!$A126="","",'Staff Directory'!$A126)</f>
        <v>PSW-061-A5</v>
      </c>
      <c r="B126" s="18" t="str">
        <f>IF($A126="","",'Staff Directory'!$B126)</f>
        <v>Lastname121, Firstname121</v>
      </c>
      <c r="C126" s="19" t="str">
        <f>IF($A126="","",'Staff Directory'!$C126)</f>
        <v>PSW</v>
      </c>
      <c r="D126" s="19" t="str">
        <f>IF($A126="","",'Staff Directory'!$D126)</f>
        <v>A5</v>
      </c>
      <c r="E126" s="26">
        <f>IF($A126="","",COUNTIFS(tblIssues[Staff ID],$A126))</f>
        <v>15</v>
      </c>
      <c r="F126" s="26">
        <f>IF($A126="","",SUMIFS(tblIssues[Qty Issued],tblIssues[Staff ID],$A126))</f>
        <v>2475</v>
      </c>
      <c r="G126" s="21">
        <f>IF($A126="","",SUMIFS(tblIssues[Line Cost],tblIssues[Staff ID],$A126))</f>
        <v>179.50020000000001</v>
      </c>
      <c r="H126" s="24">
        <f>IF($A126="","",IF($E126=0,"",IFERROR(_xlfn.MAXIFS(tblIssues[Order Date],tblIssues[Staff ID],$A126),"")))</f>
        <v>46212</v>
      </c>
      <c r="I126" s="24">
        <f>IF($A126="","",IF($E126=0,"",IFERROR(_xlfn.MAXIFS(tblIssues[Next Scheduled],tblIssues[Staff ID],$A126),"")))</f>
        <v>46260</v>
      </c>
      <c r="J126" s="26">
        <f>IF($A126="","",COUNTIFS(tblIssues[Staff ID],$A126,tblIssues[Status],"Pending"))</f>
        <v>0</v>
      </c>
    </row>
    <row r="127" spans="1:10" x14ac:dyDescent="0.35">
      <c r="A127" s="18" t="str">
        <f>IF('Staff Directory'!$A127="","",'Staff Directory'!$A127)</f>
        <v>PSW-062-A5</v>
      </c>
      <c r="B127" s="18" t="str">
        <f>IF($A127="","",'Staff Directory'!$B127)</f>
        <v>Lastname122, Firstname122</v>
      </c>
      <c r="C127" s="19" t="str">
        <f>IF($A127="","",'Staff Directory'!$C127)</f>
        <v>PSW</v>
      </c>
      <c r="D127" s="19" t="str">
        <f>IF($A127="","",'Staff Directory'!$D127)</f>
        <v>A5</v>
      </c>
      <c r="E127" s="26">
        <f>IF($A127="","",COUNTIFS(tblIssues[Staff ID],$A127))</f>
        <v>0</v>
      </c>
      <c r="F127" s="26">
        <f>IF($A127="","",SUMIFS(tblIssues[Qty Issued],tblIssues[Staff ID],$A127))</f>
        <v>0</v>
      </c>
      <c r="G127" s="21">
        <f>IF($A127="","",SUMIFS(tblIssues[Line Cost],tblIssues[Staff ID],$A127))</f>
        <v>0</v>
      </c>
      <c r="H127" s="24" t="str">
        <f>IF($A127="","",IF($E127=0,"",IFERROR(_xlfn.MAXIFS(tblIssues[Order Date],tblIssues[Staff ID],$A127),"")))</f>
        <v/>
      </c>
      <c r="I127" s="24" t="str">
        <f>IF($A127="","",IF($E127=0,"",IFERROR(_xlfn.MAXIFS(tblIssues[Next Scheduled],tblIssues[Staff ID],$A127),"")))</f>
        <v/>
      </c>
      <c r="J127" s="26">
        <f>IF($A127="","",COUNTIFS(tblIssues[Staff ID],$A127,tblIssues[Status],"Pending"))</f>
        <v>0</v>
      </c>
    </row>
    <row r="128" spans="1:10" x14ac:dyDescent="0.35">
      <c r="A128" s="18" t="str">
        <f>IF('Staff Directory'!$A128="","",'Staff Directory'!$A128)</f>
        <v>PSW-063-A6</v>
      </c>
      <c r="B128" s="18" t="str">
        <f>IF($A128="","",'Staff Directory'!$B128)</f>
        <v>Lastname123, Firstname123</v>
      </c>
      <c r="C128" s="19" t="str">
        <f>IF($A128="","",'Staff Directory'!$C128)</f>
        <v>PSW</v>
      </c>
      <c r="D128" s="19" t="str">
        <f>IF($A128="","",'Staff Directory'!$D128)</f>
        <v>A6</v>
      </c>
      <c r="E128" s="26">
        <f>IF($A128="","",COUNTIFS(tblIssues[Staff ID],$A128))</f>
        <v>18</v>
      </c>
      <c r="F128" s="26">
        <f>IF($A128="","",SUMIFS(tblIssues[Qty Issued],tblIssues[Staff ID],$A128))</f>
        <v>2528</v>
      </c>
      <c r="G128" s="21">
        <f>IF($A128="","",SUMIFS(tblIssues[Line Cost],tblIssues[Staff ID],$A128))</f>
        <v>200.9803</v>
      </c>
      <c r="H128" s="24">
        <f>IF($A128="","",IF($E128=0,"",IFERROR(_xlfn.MAXIFS(tblIssues[Order Date],tblIssues[Staff ID],$A128),"")))</f>
        <v>46209</v>
      </c>
      <c r="I128" s="24">
        <f>IF($A128="","",IF($E128=0,"",IFERROR(_xlfn.MAXIFS(tblIssues[Next Scheduled],tblIssues[Staff ID],$A128),"")))</f>
        <v>46255</v>
      </c>
      <c r="J128" s="26">
        <f>IF($A128="","",COUNTIFS(tblIssues[Staff ID],$A128,tblIssues[Status],"Pending"))</f>
        <v>0</v>
      </c>
    </row>
    <row r="129" spans="1:10" x14ac:dyDescent="0.35">
      <c r="A129" s="18" t="str">
        <f>IF('Staff Directory'!$A129="","",'Staff Directory'!$A129)</f>
        <v>PSW-064-A7</v>
      </c>
      <c r="B129" s="18" t="str">
        <f>IF($A129="","",'Staff Directory'!$B129)</f>
        <v>Lastname124, Firstname124</v>
      </c>
      <c r="C129" s="19" t="str">
        <f>IF($A129="","",'Staff Directory'!$C129)</f>
        <v>PSW</v>
      </c>
      <c r="D129" s="19" t="str">
        <f>IF($A129="","",'Staff Directory'!$D129)</f>
        <v>A7</v>
      </c>
      <c r="E129" s="26">
        <f>IF($A129="","",COUNTIFS(tblIssues[Staff ID],$A129))</f>
        <v>0</v>
      </c>
      <c r="F129" s="26">
        <f>IF($A129="","",SUMIFS(tblIssues[Qty Issued],tblIssues[Staff ID],$A129))</f>
        <v>0</v>
      </c>
      <c r="G129" s="21">
        <f>IF($A129="","",SUMIFS(tblIssues[Line Cost],tblIssues[Staff ID],$A129))</f>
        <v>0</v>
      </c>
      <c r="H129" s="24" t="str">
        <f>IF($A129="","",IF($E129=0,"",IFERROR(_xlfn.MAXIFS(tblIssues[Order Date],tblIssues[Staff ID],$A129),"")))</f>
        <v/>
      </c>
      <c r="I129" s="24" t="str">
        <f>IF($A129="","",IF($E129=0,"",IFERROR(_xlfn.MAXIFS(tblIssues[Next Scheduled],tblIssues[Staff ID],$A129),"")))</f>
        <v/>
      </c>
      <c r="J129" s="26">
        <f>IF($A129="","",COUNTIFS(tblIssues[Staff ID],$A129,tblIssues[Status],"Pending"))</f>
        <v>0</v>
      </c>
    </row>
    <row r="130" spans="1:10" x14ac:dyDescent="0.35">
      <c r="A130" s="18" t="str">
        <f>IF('Staff Directory'!$A130="","",'Staff Directory'!$A130)</f>
        <v>PSW-065-A4</v>
      </c>
      <c r="B130" s="18" t="str">
        <f>IF($A130="","",'Staff Directory'!$B130)</f>
        <v>Lastname125, Firstname125</v>
      </c>
      <c r="C130" s="19" t="str">
        <f>IF($A130="","",'Staff Directory'!$C130)</f>
        <v>PSW</v>
      </c>
      <c r="D130" s="19" t="str">
        <f>IF($A130="","",'Staff Directory'!$D130)</f>
        <v>A4</v>
      </c>
      <c r="E130" s="26">
        <f>IF($A130="","",COUNTIFS(tblIssues[Staff ID],$A130))</f>
        <v>13</v>
      </c>
      <c r="F130" s="26">
        <f>IF($A130="","",SUMIFS(tblIssues[Qty Issued],tblIssues[Staff ID],$A130))</f>
        <v>1895</v>
      </c>
      <c r="G130" s="21">
        <f>IF($A130="","",SUMIFS(tblIssues[Line Cost],tblIssues[Staff ID],$A130))</f>
        <v>144.00030000000001</v>
      </c>
      <c r="H130" s="24">
        <f>IF($A130="","",IF($E130=0,"",IFERROR(_xlfn.MAXIFS(tblIssues[Order Date],tblIssues[Staff ID],$A130),"")))</f>
        <v>46205</v>
      </c>
      <c r="I130" s="24">
        <f>IF($A130="","",IF($E130=0,"",IFERROR(_xlfn.MAXIFS(tblIssues[Next Scheduled],tblIssues[Staff ID],$A130),"")))</f>
        <v>46253</v>
      </c>
      <c r="J130" s="26">
        <f>IF($A130="","",COUNTIFS(tblIssues[Staff ID],$A130,tblIssues[Status],"Pending"))</f>
        <v>0</v>
      </c>
    </row>
    <row r="131" spans="1:10" x14ac:dyDescent="0.35">
      <c r="A131" s="18" t="str">
        <f>IF('Staff Directory'!$A131="","",'Staff Directory'!$A131)</f>
        <v>PSW-066-A5</v>
      </c>
      <c r="B131" s="18" t="str">
        <f>IF($A131="","",'Staff Directory'!$B131)</f>
        <v>Lastname126, Firstname126</v>
      </c>
      <c r="C131" s="19" t="str">
        <f>IF($A131="","",'Staff Directory'!$C131)</f>
        <v>PSW</v>
      </c>
      <c r="D131" s="19" t="str">
        <f>IF($A131="","",'Staff Directory'!$D131)</f>
        <v>A5</v>
      </c>
      <c r="E131" s="26">
        <f>IF($A131="","",COUNTIFS(tblIssues[Staff ID],$A131))</f>
        <v>10</v>
      </c>
      <c r="F131" s="26">
        <f>IF($A131="","",SUMIFS(tblIssues[Qty Issued],tblIssues[Staff ID],$A131))</f>
        <v>1763</v>
      </c>
      <c r="G131" s="21">
        <f>IF($A131="","",SUMIFS(tblIssues[Line Cost],tblIssues[Staff ID],$A131))</f>
        <v>123.50020000000001</v>
      </c>
      <c r="H131" s="24">
        <f>IF($A131="","",IF($E131=0,"",IFERROR(_xlfn.MAXIFS(tblIssues[Order Date],tblIssues[Staff ID],$A131),"")))</f>
        <v>46209</v>
      </c>
      <c r="I131" s="24">
        <f>IF($A131="","",IF($E131=0,"",IFERROR(_xlfn.MAXIFS(tblIssues[Next Scheduled],tblIssues[Staff ID],$A131),"")))</f>
        <v>46255</v>
      </c>
      <c r="J131" s="26">
        <f>IF($A131="","",COUNTIFS(tblIssues[Staff ID],$A131,tblIssues[Status],"Pending"))</f>
        <v>0</v>
      </c>
    </row>
    <row r="132" spans="1:10" x14ac:dyDescent="0.35">
      <c r="A132" s="18" t="str">
        <f>IF('Staff Directory'!$A132="","",'Staff Directory'!$A132)</f>
        <v>PSW-067-A7</v>
      </c>
      <c r="B132" s="18" t="str">
        <f>IF($A132="","",'Staff Directory'!$B132)</f>
        <v>Lastname127, Firstname127</v>
      </c>
      <c r="C132" s="19" t="str">
        <f>IF($A132="","",'Staff Directory'!$C132)</f>
        <v>PSW</v>
      </c>
      <c r="D132" s="19" t="str">
        <f>IF($A132="","",'Staff Directory'!$D132)</f>
        <v>A7</v>
      </c>
      <c r="E132" s="26">
        <f>IF($A132="","",COUNTIFS(tblIssues[Staff ID],$A132))</f>
        <v>0</v>
      </c>
      <c r="F132" s="26">
        <f>IF($A132="","",SUMIFS(tblIssues[Qty Issued],tblIssues[Staff ID],$A132))</f>
        <v>0</v>
      </c>
      <c r="G132" s="21">
        <f>IF($A132="","",SUMIFS(tblIssues[Line Cost],tblIssues[Staff ID],$A132))</f>
        <v>0</v>
      </c>
      <c r="H132" s="24" t="str">
        <f>IF($A132="","",IF($E132=0,"",IFERROR(_xlfn.MAXIFS(tblIssues[Order Date],tblIssues[Staff ID],$A132),"")))</f>
        <v/>
      </c>
      <c r="I132" s="24" t="str">
        <f>IF($A132="","",IF($E132=0,"",IFERROR(_xlfn.MAXIFS(tblIssues[Next Scheduled],tblIssues[Staff ID],$A132),"")))</f>
        <v/>
      </c>
      <c r="J132" s="26">
        <f>IF($A132="","",COUNTIFS(tblIssues[Staff ID],$A132,tblIssues[Status],"Pending"))</f>
        <v>0</v>
      </c>
    </row>
    <row r="133" spans="1:10" x14ac:dyDescent="0.35">
      <c r="A133" s="18" t="str">
        <f>IF('Staff Directory'!$A133="","",'Staff Directory'!$A133)</f>
        <v>PSW-068-A7</v>
      </c>
      <c r="B133" s="18" t="str">
        <f>IF($A133="","",'Staff Directory'!$B133)</f>
        <v>Lastname128, Firstname128</v>
      </c>
      <c r="C133" s="19" t="str">
        <f>IF($A133="","",'Staff Directory'!$C133)</f>
        <v>PSW</v>
      </c>
      <c r="D133" s="19" t="str">
        <f>IF($A133="","",'Staff Directory'!$D133)</f>
        <v>A7</v>
      </c>
      <c r="E133" s="26">
        <f>IF($A133="","",COUNTIFS(tblIssues[Staff ID],$A133))</f>
        <v>17</v>
      </c>
      <c r="F133" s="26">
        <f>IF($A133="","",SUMIFS(tblIssues[Qty Issued],tblIssues[Staff ID],$A133))</f>
        <v>2526</v>
      </c>
      <c r="G133" s="21">
        <f>IF($A133="","",SUMIFS(tblIssues[Line Cost],tblIssues[Staff ID],$A133))</f>
        <v>192.00040000000001</v>
      </c>
      <c r="H133" s="24">
        <f>IF($A133="","",IF($E133=0,"",IFERROR(_xlfn.MAXIFS(tblIssues[Order Date],tblIssues[Staff ID],$A133),"")))</f>
        <v>46216</v>
      </c>
      <c r="I133" s="24">
        <f>IF($A133="","",IF($E133=0,"",IFERROR(_xlfn.MAXIFS(tblIssues[Next Scheduled],tblIssues[Staff ID],$A133),"")))</f>
        <v>46262</v>
      </c>
      <c r="J133" s="26">
        <f>IF($A133="","",COUNTIFS(tblIssues[Staff ID],$A133,tblIssues[Status],"Pending"))</f>
        <v>0</v>
      </c>
    </row>
    <row r="134" spans="1:10" x14ac:dyDescent="0.35">
      <c r="A134" s="18" t="str">
        <f>IF('Staff Directory'!$A134="","",'Staff Directory'!$A134)</f>
        <v>PSW-069-A4</v>
      </c>
      <c r="B134" s="18" t="str">
        <f>IF($A134="","",'Staff Directory'!$B134)</f>
        <v>Lastname129, Firstname129</v>
      </c>
      <c r="C134" s="19" t="str">
        <f>IF($A134="","",'Staff Directory'!$C134)</f>
        <v>PSW</v>
      </c>
      <c r="D134" s="19" t="str">
        <f>IF($A134="","",'Staff Directory'!$D134)</f>
        <v>A4</v>
      </c>
      <c r="E134" s="26">
        <f>IF($A134="","",COUNTIFS(tblIssues[Staff ID],$A134))</f>
        <v>8</v>
      </c>
      <c r="F134" s="26">
        <f>IF($A134="","",SUMIFS(tblIssues[Qty Issued],tblIssues[Staff ID],$A134))</f>
        <v>1653</v>
      </c>
      <c r="G134" s="21">
        <f>IF($A134="","",SUMIFS(tblIssues[Line Cost],tblIssues[Staff ID],$A134))</f>
        <v>120.0001</v>
      </c>
      <c r="H134" s="24">
        <f>IF($A134="","",IF($E134=0,"",IFERROR(_xlfn.MAXIFS(tblIssues[Order Date],tblIssues[Staff ID],$A134),"")))</f>
        <v>46177</v>
      </c>
      <c r="I134" s="24">
        <f>IF($A134="","",IF($E134=0,"",IFERROR(_xlfn.MAXIFS(tblIssues[Next Scheduled],tblIssues[Staff ID],$A134),"")))</f>
        <v>46225</v>
      </c>
      <c r="J134" s="26">
        <f>IF($A134="","",COUNTIFS(tblIssues[Staff ID],$A134,tblIssues[Status],"Pending"))</f>
        <v>0</v>
      </c>
    </row>
    <row r="135" spans="1:10" x14ac:dyDescent="0.35">
      <c r="A135" s="18" t="str">
        <f>IF('Staff Directory'!$A135="","",'Staff Directory'!$A135)</f>
        <v>PSW-070-A6</v>
      </c>
      <c r="B135" s="18" t="str">
        <f>IF($A135="","",'Staff Directory'!$B135)</f>
        <v>Lastname130, Firstname130</v>
      </c>
      <c r="C135" s="19" t="str">
        <f>IF($A135="","",'Staff Directory'!$C135)</f>
        <v>PSW</v>
      </c>
      <c r="D135" s="19" t="str">
        <f>IF($A135="","",'Staff Directory'!$D135)</f>
        <v>A6</v>
      </c>
      <c r="E135" s="26">
        <f>IF($A135="","",COUNTIFS(tblIssues[Staff ID],$A135))</f>
        <v>11</v>
      </c>
      <c r="F135" s="26">
        <f>IF($A135="","",SUMIFS(tblIssues[Qty Issued],tblIssues[Staff ID],$A135))</f>
        <v>2168</v>
      </c>
      <c r="G135" s="21">
        <f>IF($A135="","",SUMIFS(tblIssues[Line Cost],tblIssues[Staff ID],$A135))</f>
        <v>143.96009999999998</v>
      </c>
      <c r="H135" s="24">
        <f>IF($A135="","",IF($E135=0,"",IFERROR(_xlfn.MAXIFS(tblIssues[Order Date],tblIssues[Staff ID],$A135),"")))</f>
        <v>46211</v>
      </c>
      <c r="I135" s="24">
        <f>IF($A135="","",IF($E135=0,"",IFERROR(_xlfn.MAXIFS(tblIssues[Next Scheduled],tblIssues[Staff ID],$A135),"")))</f>
        <v>46259</v>
      </c>
      <c r="J135" s="26">
        <f>IF($A135="","",COUNTIFS(tblIssues[Staff ID],$A135,tblIssues[Status],"Pending"))</f>
        <v>0</v>
      </c>
    </row>
    <row r="136" spans="1:10" x14ac:dyDescent="0.35">
      <c r="A136" s="18" t="str">
        <f>IF('Staff Directory'!$A136="","",'Staff Directory'!$A136)</f>
        <v>PSW-071-TBD</v>
      </c>
      <c r="B136" s="18" t="str">
        <f>IF($A136="","",'Staff Directory'!$B136)</f>
        <v>Lastname131, Firstname131</v>
      </c>
      <c r="C136" s="19" t="str">
        <f>IF($A136="","",'Staff Directory'!$C136)</f>
        <v>PSW</v>
      </c>
      <c r="D136" s="19">
        <f>IF($A136="","",'Staff Directory'!$D136)</f>
        <v>0</v>
      </c>
      <c r="E136" s="26">
        <f>IF($A136="","",COUNTIFS(tblIssues[Staff ID],$A136))</f>
        <v>9</v>
      </c>
      <c r="F136" s="26">
        <f>IF($A136="","",SUMIFS(tblIssues[Qty Issued],tblIssues[Staff ID],$A136))</f>
        <v>1269</v>
      </c>
      <c r="G136" s="21">
        <f>IF($A136="","",SUMIFS(tblIssues[Line Cost],tblIssues[Staff ID],$A136))</f>
        <v>115.23</v>
      </c>
      <c r="H136" s="24">
        <f>IF($A136="","",IF($E136=0,"",IFERROR(_xlfn.MAXIFS(tblIssues[Order Date],tblIssues[Staff ID],$A136),"")))</f>
        <v>46189</v>
      </c>
      <c r="I136" s="24">
        <f>IF($A136="","",IF($E136=0,"",IFERROR(_xlfn.MAXIFS(tblIssues[Next Scheduled],tblIssues[Staff ID],$A136),"")))</f>
        <v>46237</v>
      </c>
      <c r="J136" s="26">
        <f>IF($A136="","",COUNTIFS(tblIssues[Staff ID],$A136,tblIssues[Status],"Pending"))</f>
        <v>0</v>
      </c>
    </row>
    <row r="137" spans="1:10" x14ac:dyDescent="0.35">
      <c r="A137" s="18" t="str">
        <f>IF('Staff Directory'!$A137="","",'Staff Directory'!$A137)</f>
        <v>PSW-072-A5</v>
      </c>
      <c r="B137" s="18" t="str">
        <f>IF($A137="","",'Staff Directory'!$B137)</f>
        <v>Lastname132, Firstname132</v>
      </c>
      <c r="C137" s="19" t="str">
        <f>IF($A137="","",'Staff Directory'!$C137)</f>
        <v>PSW</v>
      </c>
      <c r="D137" s="19" t="str">
        <f>IF($A137="","",'Staff Directory'!$D137)</f>
        <v>A5</v>
      </c>
      <c r="E137" s="26">
        <f>IF($A137="","",COUNTIFS(tblIssues[Staff ID],$A137))</f>
        <v>0</v>
      </c>
      <c r="F137" s="26">
        <f>IF($A137="","",SUMIFS(tblIssues[Qty Issued],tblIssues[Staff ID],$A137))</f>
        <v>0</v>
      </c>
      <c r="G137" s="21">
        <f>IF($A137="","",SUMIFS(tblIssues[Line Cost],tblIssues[Staff ID],$A137))</f>
        <v>0</v>
      </c>
      <c r="H137" s="24" t="str">
        <f>IF($A137="","",IF($E137=0,"",IFERROR(_xlfn.MAXIFS(tblIssues[Order Date],tblIssues[Staff ID],$A137),"")))</f>
        <v/>
      </c>
      <c r="I137" s="24" t="str">
        <f>IF($A137="","",IF($E137=0,"",IFERROR(_xlfn.MAXIFS(tblIssues[Next Scheduled],tblIssues[Staff ID],$A137),"")))</f>
        <v/>
      </c>
      <c r="J137" s="26">
        <f>IF($A137="","",COUNTIFS(tblIssues[Staff ID],$A137,tblIssues[Status],"Pending"))</f>
        <v>0</v>
      </c>
    </row>
    <row r="138" spans="1:10" x14ac:dyDescent="0.35">
      <c r="A138" s="18" t="str">
        <f>IF('Staff Directory'!$A138="","",'Staff Directory'!$A138)</f>
        <v>PSW-073-A5</v>
      </c>
      <c r="B138" s="18" t="str">
        <f>IF($A138="","",'Staff Directory'!$B138)</f>
        <v>Lastname133, Firstname133</v>
      </c>
      <c r="C138" s="19" t="str">
        <f>IF($A138="","",'Staff Directory'!$C138)</f>
        <v>PSW</v>
      </c>
      <c r="D138" s="19" t="str">
        <f>IF($A138="","",'Staff Directory'!$D138)</f>
        <v>A5</v>
      </c>
      <c r="E138" s="26">
        <f>IF($A138="","",COUNTIFS(tblIssues[Staff ID],$A138))</f>
        <v>5</v>
      </c>
      <c r="F138" s="26">
        <f>IF($A138="","",SUMIFS(tblIssues[Qty Issued],tblIssues[Staff ID],$A138))</f>
        <v>1102</v>
      </c>
      <c r="G138" s="21">
        <f>IF($A138="","",SUMIFS(tblIssues[Line Cost],tblIssues[Staff ID],$A138))</f>
        <v>80</v>
      </c>
      <c r="H138" s="24">
        <f>IF($A138="","",IF($E138=0,"",IFERROR(_xlfn.MAXIFS(tblIssues[Order Date],tblIssues[Staff ID],$A138),"")))</f>
        <v>46177</v>
      </c>
      <c r="I138" s="24">
        <f>IF($A138="","",IF($E138=0,"",IFERROR(_xlfn.MAXIFS(tblIssues[Next Scheduled],tblIssues[Staff ID],$A138),"")))</f>
        <v>46225</v>
      </c>
      <c r="J138" s="26">
        <f>IF($A138="","",COUNTIFS(tblIssues[Staff ID],$A138,tblIssues[Status],"Pending"))</f>
        <v>0</v>
      </c>
    </row>
    <row r="139" spans="1:10" x14ac:dyDescent="0.35">
      <c r="A139" s="18" t="str">
        <f>IF('Staff Directory'!$A139="","",'Staff Directory'!$A139)</f>
        <v>PSW-074-A5</v>
      </c>
      <c r="B139" s="18" t="str">
        <f>IF($A139="","",'Staff Directory'!$B139)</f>
        <v>Lastname134, Firstname134</v>
      </c>
      <c r="C139" s="19" t="str">
        <f>IF($A139="","",'Staff Directory'!$C139)</f>
        <v>PSW</v>
      </c>
      <c r="D139" s="19" t="str">
        <f>IF($A139="","",'Staff Directory'!$D139)</f>
        <v>A5</v>
      </c>
      <c r="E139" s="26">
        <f>IF($A139="","",COUNTIFS(tblIssues[Staff ID],$A139))</f>
        <v>8</v>
      </c>
      <c r="F139" s="26">
        <f>IF($A139="","",SUMIFS(tblIssues[Qty Issued],tblIssues[Staff ID],$A139))</f>
        <v>1263</v>
      </c>
      <c r="G139" s="21">
        <f>IF($A139="","",SUMIFS(tblIssues[Line Cost],tblIssues[Staff ID],$A139))</f>
        <v>104.98010000000001</v>
      </c>
      <c r="H139" s="24">
        <f>IF($A139="","",IF($E139=0,"",IFERROR(_xlfn.MAXIFS(tblIssues[Order Date],tblIssues[Staff ID],$A139),"")))</f>
        <v>46204</v>
      </c>
      <c r="I139" s="24">
        <f>IF($A139="","",IF($E139=0,"",IFERROR(_xlfn.MAXIFS(tblIssues[Next Scheduled],tblIssues[Staff ID],$A139),"")))</f>
        <v>46252</v>
      </c>
      <c r="J139" s="26">
        <f>IF($A139="","",COUNTIFS(tblIssues[Staff ID],$A139,tblIssues[Status],"Pending"))</f>
        <v>0</v>
      </c>
    </row>
    <row r="140" spans="1:10" x14ac:dyDescent="0.35">
      <c r="A140" s="18" t="str">
        <f>IF('Staff Directory'!$A140="","",'Staff Directory'!$A140)</f>
        <v>PSW-075-A7</v>
      </c>
      <c r="B140" s="18" t="str">
        <f>IF($A140="","",'Staff Directory'!$B140)</f>
        <v>Lastname135, Firstname135</v>
      </c>
      <c r="C140" s="19" t="str">
        <f>IF($A140="","",'Staff Directory'!$C140)</f>
        <v>PSW</v>
      </c>
      <c r="D140" s="19" t="str">
        <f>IF($A140="","",'Staff Directory'!$D140)</f>
        <v>A7</v>
      </c>
      <c r="E140" s="26">
        <f>IF($A140="","",COUNTIFS(tblIssues[Staff ID],$A140))</f>
        <v>0</v>
      </c>
      <c r="F140" s="26">
        <f>IF($A140="","",SUMIFS(tblIssues[Qty Issued],tblIssues[Staff ID],$A140))</f>
        <v>0</v>
      </c>
      <c r="G140" s="21">
        <f>IF($A140="","",SUMIFS(tblIssues[Line Cost],tblIssues[Staff ID],$A140))</f>
        <v>0</v>
      </c>
      <c r="H140" s="24" t="str">
        <f>IF($A140="","",IF($E140=0,"",IFERROR(_xlfn.MAXIFS(tblIssues[Order Date],tblIssues[Staff ID],$A140),"")))</f>
        <v/>
      </c>
      <c r="I140" s="24" t="str">
        <f>IF($A140="","",IF($E140=0,"",IFERROR(_xlfn.MAXIFS(tblIssues[Next Scheduled],tblIssues[Staff ID],$A140),"")))</f>
        <v/>
      </c>
      <c r="J140" s="26">
        <f>IF($A140="","",COUNTIFS(tblIssues[Staff ID],$A140,tblIssues[Status],"Pending"))</f>
        <v>0</v>
      </c>
    </row>
    <row r="141" spans="1:10" x14ac:dyDescent="0.35">
      <c r="A141" s="18" t="str">
        <f>IF('Staff Directory'!$A141="","",'Staff Directory'!$A141)</f>
        <v>PSW-076-A5</v>
      </c>
      <c r="B141" s="18" t="str">
        <f>IF($A141="","",'Staff Directory'!$B141)</f>
        <v>Lastname136, Firstname136</v>
      </c>
      <c r="C141" s="19" t="str">
        <f>IF($A141="","",'Staff Directory'!$C141)</f>
        <v>PSW</v>
      </c>
      <c r="D141" s="19" t="str">
        <f>IF($A141="","",'Staff Directory'!$D141)</f>
        <v>A5</v>
      </c>
      <c r="E141" s="26">
        <f>IF($A141="","",COUNTIFS(tblIssues[Staff ID],$A141))</f>
        <v>5</v>
      </c>
      <c r="F141" s="26">
        <f>IF($A141="","",SUMIFS(tblIssues[Qty Issued],tblIssues[Staff ID],$A141))</f>
        <v>633</v>
      </c>
      <c r="G141" s="21">
        <f>IF($A141="","",SUMIFS(tblIssues[Line Cost],tblIssues[Staff ID],$A141))</f>
        <v>48.000100000000003</v>
      </c>
      <c r="H141" s="24">
        <f>IF($A141="","",IF($E141=0,"",IFERROR(_xlfn.MAXIFS(tblIssues[Order Date],tblIssues[Staff ID],$A141),"")))</f>
        <v>46128</v>
      </c>
      <c r="I141" s="24">
        <f>IF($A141="","",IF($E141=0,"",IFERROR(_xlfn.MAXIFS(tblIssues[Next Scheduled],tblIssues[Staff ID],$A141),"")))</f>
        <v>46176</v>
      </c>
      <c r="J141" s="26">
        <f>IF($A141="","",COUNTIFS(tblIssues[Staff ID],$A141,tblIssues[Status],"Pending"))</f>
        <v>0</v>
      </c>
    </row>
    <row r="142" spans="1:10" x14ac:dyDescent="0.35">
      <c r="A142" s="18" t="str">
        <f>IF('Staff Directory'!$A142="","",'Staff Directory'!$A142)</f>
        <v>PSW-077-A7</v>
      </c>
      <c r="B142" s="18" t="str">
        <f>IF($A142="","",'Staff Directory'!$B142)</f>
        <v>Lastname137, Firstname137</v>
      </c>
      <c r="C142" s="19" t="str">
        <f>IF($A142="","",'Staff Directory'!$C142)</f>
        <v>PSW</v>
      </c>
      <c r="D142" s="19" t="str">
        <f>IF($A142="","",'Staff Directory'!$D142)</f>
        <v>A7</v>
      </c>
      <c r="E142" s="26">
        <f>IF($A142="","",COUNTIFS(tblIssues[Staff ID],$A142))</f>
        <v>0</v>
      </c>
      <c r="F142" s="26">
        <f>IF($A142="","",SUMIFS(tblIssues[Qty Issued],tblIssues[Staff ID],$A142))</f>
        <v>0</v>
      </c>
      <c r="G142" s="21">
        <f>IF($A142="","",SUMIFS(tblIssues[Line Cost],tblIssues[Staff ID],$A142))</f>
        <v>0</v>
      </c>
      <c r="H142" s="24" t="str">
        <f>IF($A142="","",IF($E142=0,"",IFERROR(_xlfn.MAXIFS(tblIssues[Order Date],tblIssues[Staff ID],$A142),"")))</f>
        <v/>
      </c>
      <c r="I142" s="24" t="str">
        <f>IF($A142="","",IF($E142=0,"",IFERROR(_xlfn.MAXIFS(tblIssues[Next Scheduled],tblIssues[Staff ID],$A142),"")))</f>
        <v/>
      </c>
      <c r="J142" s="26">
        <f>IF($A142="","",COUNTIFS(tblIssues[Staff ID],$A142,tblIssues[Status],"Pending"))</f>
        <v>0</v>
      </c>
    </row>
    <row r="143" spans="1:10" x14ac:dyDescent="0.35">
      <c r="A143" s="18" t="str">
        <f>IF('Staff Directory'!$A143="","",'Staff Directory'!$A143)</f>
        <v>PSW-078-A4</v>
      </c>
      <c r="B143" s="18" t="str">
        <f>IF($A143="","",'Staff Directory'!$B143)</f>
        <v>Lastname138, Firstname138</v>
      </c>
      <c r="C143" s="19" t="str">
        <f>IF($A143="","",'Staff Directory'!$C143)</f>
        <v>PSW</v>
      </c>
      <c r="D143" s="19" t="str">
        <f>IF($A143="","",'Staff Directory'!$D143)</f>
        <v>A4</v>
      </c>
      <c r="E143" s="26">
        <f>IF($A143="","",COUNTIFS(tblIssues[Staff ID],$A143))</f>
        <v>8</v>
      </c>
      <c r="F143" s="26">
        <f>IF($A143="","",SUMIFS(tblIssues[Qty Issued],tblIssues[Staff ID],$A143))</f>
        <v>1731</v>
      </c>
      <c r="G143" s="21">
        <f>IF($A143="","",SUMIFS(tblIssues[Line Cost],tblIssues[Staff ID],$A143))</f>
        <v>128.0001</v>
      </c>
      <c r="H143" s="24">
        <f>IF($A143="","",IF($E143=0,"",IFERROR(_xlfn.MAXIFS(tblIssues[Order Date],tblIssues[Staff ID],$A143),"")))</f>
        <v>46225</v>
      </c>
      <c r="I143" s="24">
        <f>IF($A143="","",IF($E143=0,"",IFERROR(_xlfn.MAXIFS(tblIssues[Next Scheduled],tblIssues[Staff ID],$A143),"")))</f>
        <v>46273</v>
      </c>
      <c r="J143" s="26">
        <f>IF($A143="","",COUNTIFS(tblIssues[Staff ID],$A143,tblIssues[Status],"Pending"))</f>
        <v>0</v>
      </c>
    </row>
    <row r="144" spans="1:10" x14ac:dyDescent="0.35">
      <c r="A144" s="18" t="str">
        <f>IF('Staff Directory'!$A144="","",'Staff Directory'!$A144)</f>
        <v>PSW-079-A5</v>
      </c>
      <c r="B144" s="18" t="str">
        <f>IF($A144="","",'Staff Directory'!$B144)</f>
        <v>Lastname139, Firstname139</v>
      </c>
      <c r="C144" s="19" t="str">
        <f>IF($A144="","",'Staff Directory'!$C144)</f>
        <v>PSW</v>
      </c>
      <c r="D144" s="19" t="str">
        <f>IF($A144="","",'Staff Directory'!$D144)</f>
        <v>A5</v>
      </c>
      <c r="E144" s="26">
        <f>IF($A144="","",COUNTIFS(tblIssues[Staff ID],$A144))</f>
        <v>10</v>
      </c>
      <c r="F144" s="26">
        <f>IF($A144="","",SUMIFS(tblIssues[Qty Issued],tblIssues[Staff ID],$A144))</f>
        <v>1842</v>
      </c>
      <c r="G144" s="21">
        <f>IF($A144="","",SUMIFS(tblIssues[Line Cost],tblIssues[Staff ID],$A144))</f>
        <v>131.50020000000001</v>
      </c>
      <c r="H144" s="24">
        <f>IF($A144="","",IF($E144=0,"",IFERROR(_xlfn.MAXIFS(tblIssues[Order Date],tblIssues[Staff ID],$A144),"")))</f>
        <v>46189</v>
      </c>
      <c r="I144" s="24">
        <f>IF($A144="","",IF($E144=0,"",IFERROR(_xlfn.MAXIFS(tblIssues[Next Scheduled],tblIssues[Staff ID],$A144),"")))</f>
        <v>46237</v>
      </c>
      <c r="J144" s="26">
        <f>IF($A144="","",COUNTIFS(tblIssues[Staff ID],$A144,tblIssues[Status],"Pending"))</f>
        <v>0</v>
      </c>
    </row>
    <row r="145" spans="1:10" x14ac:dyDescent="0.35">
      <c r="A145" s="18" t="str">
        <f>IF('Staff Directory'!$A145="","",'Staff Directory'!$A145)</f>
        <v>PSW-080-A5</v>
      </c>
      <c r="B145" s="18" t="str">
        <f>IF($A145="","",'Staff Directory'!$B145)</f>
        <v>Lastname140, Firstname140</v>
      </c>
      <c r="C145" s="19" t="str">
        <f>IF($A145="","",'Staff Directory'!$C145)</f>
        <v>PSW</v>
      </c>
      <c r="D145" s="19" t="str">
        <f>IF($A145="","",'Staff Directory'!$D145)</f>
        <v>A5</v>
      </c>
      <c r="E145" s="26">
        <f>IF($A145="","",COUNTIFS(tblIssues[Staff ID],$A145))</f>
        <v>0</v>
      </c>
      <c r="F145" s="26">
        <f>IF($A145="","",SUMIFS(tblIssues[Qty Issued],tblIssues[Staff ID],$A145))</f>
        <v>0</v>
      </c>
      <c r="G145" s="21">
        <f>IF($A145="","",SUMIFS(tblIssues[Line Cost],tblIssues[Staff ID],$A145))</f>
        <v>0</v>
      </c>
      <c r="H145" s="24" t="str">
        <f>IF($A145="","",IF($E145=0,"",IFERROR(_xlfn.MAXIFS(tblIssues[Order Date],tblIssues[Staff ID],$A145),"")))</f>
        <v/>
      </c>
      <c r="I145" s="24" t="str">
        <f>IF($A145="","",IF($E145=0,"",IFERROR(_xlfn.MAXIFS(tblIssues[Next Scheduled],tblIssues[Staff ID],$A145),"")))</f>
        <v/>
      </c>
      <c r="J145" s="26">
        <f>IF($A145="","",COUNTIFS(tblIssues[Staff ID],$A145,tblIssues[Status],"Pending"))</f>
        <v>0</v>
      </c>
    </row>
    <row r="146" spans="1:10" x14ac:dyDescent="0.35">
      <c r="A146" s="18" t="str">
        <f>IF('Staff Directory'!$A146="","",'Staff Directory'!$A146)</f>
        <v>PSW-081-A6</v>
      </c>
      <c r="B146" s="18" t="str">
        <f>IF($A146="","",'Staff Directory'!$B146)</f>
        <v>Lastname141, Firstname141</v>
      </c>
      <c r="C146" s="19" t="str">
        <f>IF($A146="","",'Staff Directory'!$C146)</f>
        <v>PSW</v>
      </c>
      <c r="D146" s="19" t="str">
        <f>IF($A146="","",'Staff Directory'!$D146)</f>
        <v>A6</v>
      </c>
      <c r="E146" s="26">
        <f>IF($A146="","",COUNTIFS(tblIssues[Staff ID],$A146))</f>
        <v>0</v>
      </c>
      <c r="F146" s="26">
        <f>IF($A146="","",SUMIFS(tblIssues[Qty Issued],tblIssues[Staff ID],$A146))</f>
        <v>0</v>
      </c>
      <c r="G146" s="21">
        <f>IF($A146="","",SUMIFS(tblIssues[Line Cost],tblIssues[Staff ID],$A146))</f>
        <v>0</v>
      </c>
      <c r="H146" s="24" t="str">
        <f>IF($A146="","",IF($E146=0,"",IFERROR(_xlfn.MAXIFS(tblIssues[Order Date],tblIssues[Staff ID],$A146),"")))</f>
        <v/>
      </c>
      <c r="I146" s="24" t="str">
        <f>IF($A146="","",IF($E146=0,"",IFERROR(_xlfn.MAXIFS(tblIssues[Next Scheduled],tblIssues[Staff ID],$A146),"")))</f>
        <v/>
      </c>
      <c r="J146" s="26">
        <f>IF($A146="","",COUNTIFS(tblIssues[Staff ID],$A146,tblIssues[Status],"Pending"))</f>
        <v>0</v>
      </c>
    </row>
    <row r="147" spans="1:10" x14ac:dyDescent="0.35">
      <c r="A147" s="18" t="str">
        <f>IF('Staff Directory'!$A147="","",'Staff Directory'!$A147)</f>
        <v>PSW-082-A5</v>
      </c>
      <c r="B147" s="18" t="str">
        <f>IF($A147="","",'Staff Directory'!$B147)</f>
        <v>Lastname142, Firstname142</v>
      </c>
      <c r="C147" s="19" t="str">
        <f>IF($A147="","",'Staff Directory'!$C147)</f>
        <v>PSW</v>
      </c>
      <c r="D147" s="19" t="str">
        <f>IF($A147="","",'Staff Directory'!$D147)</f>
        <v>A5</v>
      </c>
      <c r="E147" s="26">
        <f>IF($A147="","",COUNTIFS(tblIssues[Staff ID],$A147))</f>
        <v>8</v>
      </c>
      <c r="F147" s="26">
        <f>IF($A147="","",SUMIFS(tblIssues[Qty Issued],tblIssues[Staff ID],$A147))</f>
        <v>2085</v>
      </c>
      <c r="G147" s="21">
        <f>IF($A147="","",SUMIFS(tblIssues[Line Cost],tblIssues[Staff ID],$A147))</f>
        <v>126.98</v>
      </c>
      <c r="H147" s="24">
        <f>IF($A147="","",IF($E147=0,"",IFERROR(_xlfn.MAXIFS(tblIssues[Order Date],tblIssues[Staff ID],$A147),"")))</f>
        <v>46212</v>
      </c>
      <c r="I147" s="24">
        <f>IF($A147="","",IF($E147=0,"",IFERROR(_xlfn.MAXIFS(tblIssues[Next Scheduled],tblIssues[Staff ID],$A147),"")))</f>
        <v>46260</v>
      </c>
      <c r="J147" s="26">
        <f>IF($A147="","",COUNTIFS(tblIssues[Staff ID],$A147,tblIssues[Status],"Pending"))</f>
        <v>0</v>
      </c>
    </row>
    <row r="148" spans="1:10" x14ac:dyDescent="0.35">
      <c r="A148" s="18" t="str">
        <f>IF('Staff Directory'!$A148="","",'Staff Directory'!$A148)</f>
        <v>PSW-083-A6</v>
      </c>
      <c r="B148" s="18" t="str">
        <f>IF($A148="","",'Staff Directory'!$B148)</f>
        <v>Lastname143, Firstname143</v>
      </c>
      <c r="C148" s="19" t="str">
        <f>IF($A148="","",'Staff Directory'!$C148)</f>
        <v>PSW</v>
      </c>
      <c r="D148" s="19" t="str">
        <f>IF($A148="","",'Staff Directory'!$D148)</f>
        <v>A6</v>
      </c>
      <c r="E148" s="26">
        <f>IF($A148="","",COUNTIFS(tblIssues[Staff ID],$A148))</f>
        <v>0</v>
      </c>
      <c r="F148" s="26">
        <f>IF($A148="","",SUMIFS(tblIssues[Qty Issued],tblIssues[Staff ID],$A148))</f>
        <v>0</v>
      </c>
      <c r="G148" s="21">
        <f>IF($A148="","",SUMIFS(tblIssues[Line Cost],tblIssues[Staff ID],$A148))</f>
        <v>0</v>
      </c>
      <c r="H148" s="24" t="str">
        <f>IF($A148="","",IF($E148=0,"",IFERROR(_xlfn.MAXIFS(tblIssues[Order Date],tblIssues[Staff ID],$A148),"")))</f>
        <v/>
      </c>
      <c r="I148" s="24" t="str">
        <f>IF($A148="","",IF($E148=0,"",IFERROR(_xlfn.MAXIFS(tblIssues[Next Scheduled],tblIssues[Staff ID],$A148),"")))</f>
        <v/>
      </c>
      <c r="J148" s="26">
        <f>IF($A148="","",COUNTIFS(tblIssues[Staff ID],$A148,tblIssues[Status],"Pending"))</f>
        <v>0</v>
      </c>
    </row>
    <row r="149" spans="1:10" x14ac:dyDescent="0.35">
      <c r="A149" s="18" t="str">
        <f>IF('Staff Directory'!$A149="","",'Staff Directory'!$A149)</f>
        <v>PSW-084-A5</v>
      </c>
      <c r="B149" s="18" t="str">
        <f>IF($A149="","",'Staff Directory'!$B149)</f>
        <v>Lastname144, Firstname144</v>
      </c>
      <c r="C149" s="19" t="str">
        <f>IF($A149="","",'Staff Directory'!$C149)</f>
        <v>PSW</v>
      </c>
      <c r="D149" s="19" t="str">
        <f>IF($A149="","",'Staff Directory'!$D149)</f>
        <v>A5</v>
      </c>
      <c r="E149" s="26">
        <f>IF($A149="","",COUNTIFS(tblIssues[Staff ID],$A149))</f>
        <v>7</v>
      </c>
      <c r="F149" s="26">
        <f>IF($A149="","",SUMIFS(tblIssues[Qty Issued],tblIssues[Staff ID],$A149))</f>
        <v>1182</v>
      </c>
      <c r="G149" s="21">
        <f>IF($A149="","",SUMIFS(tblIssues[Line Cost],tblIssues[Staff ID],$A149))</f>
        <v>88.000100000000003</v>
      </c>
      <c r="H149" s="24">
        <f>IF($A149="","",IF($E149=0,"",IFERROR(_xlfn.MAXIFS(tblIssues[Order Date],tblIssues[Staff ID],$A149),"")))</f>
        <v>46204</v>
      </c>
      <c r="I149" s="24">
        <f>IF($A149="","",IF($E149=0,"",IFERROR(_xlfn.MAXIFS(tblIssues[Next Scheduled],tblIssues[Staff ID],$A149),"")))</f>
        <v>46252</v>
      </c>
      <c r="J149" s="26">
        <f>IF($A149="","",COUNTIFS(tblIssues[Staff ID],$A149,tblIssues[Status],"Pending"))</f>
        <v>0</v>
      </c>
    </row>
    <row r="150" spans="1:10" x14ac:dyDescent="0.35">
      <c r="A150" s="18" t="str">
        <f>IF('Staff Directory'!$A150="","",'Staff Directory'!$A150)</f>
        <v>PSW-085-A6</v>
      </c>
      <c r="B150" s="18" t="str">
        <f>IF($A150="","",'Staff Directory'!$B150)</f>
        <v>Lastname145, Firstname145</v>
      </c>
      <c r="C150" s="19" t="str">
        <f>IF($A150="","",'Staff Directory'!$C150)</f>
        <v>PSW</v>
      </c>
      <c r="D150" s="19" t="str">
        <f>IF($A150="","",'Staff Directory'!$D150)</f>
        <v>A6</v>
      </c>
      <c r="E150" s="26">
        <f>IF($A150="","",COUNTIFS(tblIssues[Staff ID],$A150))</f>
        <v>4</v>
      </c>
      <c r="F150" s="26">
        <f>IF($A150="","",SUMIFS(tblIssues[Qty Issued],tblIssues[Staff ID],$A150))</f>
        <v>1160</v>
      </c>
      <c r="G150" s="21">
        <f>IF($A150="","",SUMIFS(tblIssues[Line Cost],tblIssues[Staff ID],$A150))</f>
        <v>71</v>
      </c>
      <c r="H150" s="24">
        <f>IF($A150="","",IF($E150=0,"",IFERROR(_xlfn.MAXIFS(tblIssues[Order Date],tblIssues[Staff ID],$A150),"")))</f>
        <v>46182</v>
      </c>
      <c r="I150" s="24">
        <f>IF($A150="","",IF($E150=0,"",IFERROR(_xlfn.MAXIFS(tblIssues[Next Scheduled],tblIssues[Staff ID],$A150),"")))</f>
        <v>46230</v>
      </c>
      <c r="J150" s="26">
        <f>IF($A150="","",COUNTIFS(tblIssues[Staff ID],$A150,tblIssues[Status],"Pending"))</f>
        <v>0</v>
      </c>
    </row>
    <row r="151" spans="1:10" x14ac:dyDescent="0.35">
      <c r="A151" s="18" t="str">
        <f>IF('Staff Directory'!$A151="","",'Staff Directory'!$A151)</f>
        <v>PSW-086-A4</v>
      </c>
      <c r="B151" s="18" t="str">
        <f>IF($A151="","",'Staff Directory'!$B151)</f>
        <v>Lastname146, Firstname146</v>
      </c>
      <c r="C151" s="19" t="str">
        <f>IF($A151="","",'Staff Directory'!$C151)</f>
        <v>PSW</v>
      </c>
      <c r="D151" s="19" t="str">
        <f>IF($A151="","",'Staff Directory'!$D151)</f>
        <v>A4</v>
      </c>
      <c r="E151" s="26">
        <f>IF($A151="","",COUNTIFS(tblIssues[Staff ID],$A151))</f>
        <v>7</v>
      </c>
      <c r="F151" s="26">
        <f>IF($A151="","",SUMIFS(tblIssues[Qty Issued],tblIssues[Staff ID],$A151))</f>
        <v>1663</v>
      </c>
      <c r="G151" s="21">
        <f>IF($A151="","",SUMIFS(tblIssues[Line Cost],tblIssues[Staff ID],$A151))</f>
        <v>98.5</v>
      </c>
      <c r="H151" s="24">
        <f>IF($A151="","",IF($E151=0,"",IFERROR(_xlfn.MAXIFS(tblIssues[Order Date],tblIssues[Staff ID],$A151),"")))</f>
        <v>46206</v>
      </c>
      <c r="I151" s="24">
        <f>IF($A151="","",IF($E151=0,"",IFERROR(_xlfn.MAXIFS(tblIssues[Next Scheduled],tblIssues[Staff ID],$A151),"")))</f>
        <v>46254</v>
      </c>
      <c r="J151" s="26">
        <f>IF($A151="","",COUNTIFS(tblIssues[Staff ID],$A151,tblIssues[Status],"Pending"))</f>
        <v>0</v>
      </c>
    </row>
    <row r="152" spans="1:10" x14ac:dyDescent="0.35">
      <c r="A152" s="18" t="str">
        <f>IF('Staff Directory'!$A152="","",'Staff Directory'!$A152)</f>
        <v>PSW-087-A4</v>
      </c>
      <c r="B152" s="18" t="str">
        <f>IF($A152="","",'Staff Directory'!$B152)</f>
        <v>Lastname147, Firstname147</v>
      </c>
      <c r="C152" s="19" t="str">
        <f>IF($A152="","",'Staff Directory'!$C152)</f>
        <v>PSW</v>
      </c>
      <c r="D152" s="19" t="str">
        <f>IF($A152="","",'Staff Directory'!$D152)</f>
        <v>A4</v>
      </c>
      <c r="E152" s="26">
        <f>IF($A152="","",COUNTIFS(tblIssues[Staff ID],$A152))</f>
        <v>10</v>
      </c>
      <c r="F152" s="26">
        <f>IF($A152="","",SUMIFS(tblIssues[Qty Issued],tblIssues[Staff ID],$A152))</f>
        <v>1745</v>
      </c>
      <c r="G152" s="21">
        <f>IF($A152="","",SUMIFS(tblIssues[Line Cost],tblIssues[Staff ID],$A152))</f>
        <v>106.50020000000001</v>
      </c>
      <c r="H152" s="24">
        <f>IF($A152="","",IF($E152=0,"",IFERROR(_xlfn.MAXIFS(tblIssues[Order Date],tblIssues[Staff ID],$A152),"")))</f>
        <v>46206</v>
      </c>
      <c r="I152" s="24">
        <f>IF($A152="","",IF($E152=0,"",IFERROR(_xlfn.MAXIFS(tblIssues[Next Scheduled],tblIssues[Staff ID],$A152),"")))</f>
        <v>46254</v>
      </c>
      <c r="J152" s="26">
        <f>IF($A152="","",COUNTIFS(tblIssues[Staff ID],$A152,tblIssues[Status],"Pending"))</f>
        <v>0</v>
      </c>
    </row>
    <row r="153" spans="1:10" x14ac:dyDescent="0.35">
      <c r="A153" s="18" t="str">
        <f>IF('Staff Directory'!$A153="","",'Staff Directory'!$A153)</f>
        <v>PSW-088-A6</v>
      </c>
      <c r="B153" s="18" t="str">
        <f>IF($A153="","",'Staff Directory'!$B153)</f>
        <v>Lastname148, Firstname148</v>
      </c>
      <c r="C153" s="19" t="str">
        <f>IF($A153="","",'Staff Directory'!$C153)</f>
        <v>PSW</v>
      </c>
      <c r="D153" s="19" t="str">
        <f>IF($A153="","",'Staff Directory'!$D153)</f>
        <v>A6</v>
      </c>
      <c r="E153" s="26">
        <f>IF($A153="","",COUNTIFS(tblIssues[Staff ID],$A153))</f>
        <v>13</v>
      </c>
      <c r="F153" s="26">
        <f>IF($A153="","",SUMIFS(tblIssues[Qty Issued],tblIssues[Staff ID],$A153))</f>
        <v>1894</v>
      </c>
      <c r="G153" s="21">
        <f>IF($A153="","",SUMIFS(tblIssues[Line Cost],tblIssues[Staff ID],$A153))</f>
        <v>144.00030000000001</v>
      </c>
      <c r="H153" s="24">
        <f>IF($A153="","",IF($E153=0,"",IFERROR(_xlfn.MAXIFS(tblIssues[Order Date],tblIssues[Staff ID],$A153),"")))</f>
        <v>46211</v>
      </c>
      <c r="I153" s="24">
        <f>IF($A153="","",IF($E153=0,"",IFERROR(_xlfn.MAXIFS(tblIssues[Next Scheduled],tblIssues[Staff ID],$A153),"")))</f>
        <v>46259</v>
      </c>
      <c r="J153" s="26">
        <f>IF($A153="","",COUNTIFS(tblIssues[Staff ID],$A153,tblIssues[Status],"Pending"))</f>
        <v>0</v>
      </c>
    </row>
    <row r="154" spans="1:10" x14ac:dyDescent="0.35">
      <c r="A154" s="18" t="str">
        <f>IF('Staff Directory'!$A154="","",'Staff Directory'!$A154)</f>
        <v>TL/RPN-002-A9</v>
      </c>
      <c r="B154" s="18" t="str">
        <f>IF($A154="","",'Staff Directory'!$B154)</f>
        <v>Lastname149, Firstname149</v>
      </c>
      <c r="C154" s="19" t="str">
        <f>IF($A154="","",'Staff Directory'!$C154)</f>
        <v>TL/RPN</v>
      </c>
      <c r="D154" s="19" t="str">
        <f>IF($A154="","",'Staff Directory'!$D154)</f>
        <v>A9</v>
      </c>
      <c r="E154" s="26">
        <f>IF($A154="","",COUNTIFS(tblIssues[Staff ID],$A154))</f>
        <v>21</v>
      </c>
      <c r="F154" s="26">
        <f>IF($A154="","",SUMIFS(tblIssues[Qty Issued],tblIssues[Staff ID],$A154))</f>
        <v>3009</v>
      </c>
      <c r="G154" s="21">
        <f>IF($A154="","",SUMIFS(tblIssues[Line Cost],tblIssues[Staff ID],$A154))</f>
        <v>143.00040000000001</v>
      </c>
      <c r="H154" s="24">
        <f>IF($A154="","",IF($E154=0,"",IFERROR(_xlfn.MAXIFS(tblIssues[Order Date],tblIssues[Staff ID],$A154),"")))</f>
        <v>46190</v>
      </c>
      <c r="I154" s="24">
        <f>IF($A154="","",IF($E154=0,"",IFERROR(_xlfn.MAXIFS(tblIssues[Next Scheduled],tblIssues[Staff ID],$A154),"")))</f>
        <v>46238</v>
      </c>
      <c r="J154" s="26">
        <f>IF($A154="","",COUNTIFS(tblIssues[Staff ID],$A154,tblIssues[Status],"Pending"))</f>
        <v>0</v>
      </c>
    </row>
    <row r="155" spans="1:10" x14ac:dyDescent="0.35">
      <c r="A155" s="18" t="str">
        <f>IF('Staff Directory'!$A155="","",'Staff Directory'!$A155)</f>
        <v>PSW-089-A5</v>
      </c>
      <c r="B155" s="18" t="str">
        <f>IF($A155="","",'Staff Directory'!$B155)</f>
        <v>Lastname150, Firstname150</v>
      </c>
      <c r="C155" s="19" t="str">
        <f>IF($A155="","",'Staff Directory'!$C155)</f>
        <v>PSW</v>
      </c>
      <c r="D155" s="19" t="str">
        <f>IF($A155="","",'Staff Directory'!$D155)</f>
        <v>A5</v>
      </c>
      <c r="E155" s="26">
        <f>IF($A155="","",COUNTIFS(tblIssues[Staff ID],$A155))</f>
        <v>5</v>
      </c>
      <c r="F155" s="26">
        <f>IF($A155="","",SUMIFS(tblIssues[Qty Issued],tblIssues[Staff ID],$A155))</f>
        <v>632</v>
      </c>
      <c r="G155" s="21">
        <f>IF($A155="","",SUMIFS(tblIssues[Line Cost],tblIssues[Staff ID],$A155))</f>
        <v>48.000100000000003</v>
      </c>
      <c r="H155" s="24">
        <f>IF($A155="","",IF($E155=0,"",IFERROR(_xlfn.MAXIFS(tblIssues[Order Date],tblIssues[Staff ID],$A155),"")))</f>
        <v>46211</v>
      </c>
      <c r="I155" s="24">
        <f>IF($A155="","",IF($E155=0,"",IFERROR(_xlfn.MAXIFS(tblIssues[Next Scheduled],tblIssues[Staff ID],$A155),"")))</f>
        <v>46259</v>
      </c>
      <c r="J155" s="26">
        <f>IF($A155="","",COUNTIFS(tblIssues[Staff ID],$A155,tblIssues[Status],"Pending"))</f>
        <v>0</v>
      </c>
    </row>
    <row r="156" spans="1:10" x14ac:dyDescent="0.35">
      <c r="A156" s="18" t="str">
        <f>IF('Staff Directory'!$A156="","",'Staff Directory'!$A156)</f>
        <v>TL/RPN-003-A10</v>
      </c>
      <c r="B156" s="18" t="str">
        <f>IF($A156="","",'Staff Directory'!$B156)</f>
        <v>Lastname151, Firstname151</v>
      </c>
      <c r="C156" s="19" t="str">
        <f>IF($A156="","",'Staff Directory'!$C156)</f>
        <v>TL/RPN</v>
      </c>
      <c r="D156" s="19" t="str">
        <f>IF($A156="","",'Staff Directory'!$D156)</f>
        <v>A10</v>
      </c>
      <c r="E156" s="26">
        <f>IF($A156="","",COUNTIFS(tblIssues[Staff ID],$A156))</f>
        <v>0</v>
      </c>
      <c r="F156" s="26">
        <f>IF($A156="","",SUMIFS(tblIssues[Qty Issued],tblIssues[Staff ID],$A156))</f>
        <v>0</v>
      </c>
      <c r="G156" s="21">
        <f>IF($A156="","",SUMIFS(tblIssues[Line Cost],tblIssues[Staff ID],$A156))</f>
        <v>0</v>
      </c>
      <c r="H156" s="24" t="str">
        <f>IF($A156="","",IF($E156=0,"",IFERROR(_xlfn.MAXIFS(tblIssues[Order Date],tblIssues[Staff ID],$A156),"")))</f>
        <v/>
      </c>
      <c r="I156" s="24" t="str">
        <f>IF($A156="","",IF($E156=0,"",IFERROR(_xlfn.MAXIFS(tblIssues[Next Scheduled],tblIssues[Staff ID],$A156),"")))</f>
        <v/>
      </c>
      <c r="J156" s="26">
        <f>IF($A156="","",COUNTIFS(tblIssues[Staff ID],$A156,tblIssues[Status],"Pending"))</f>
        <v>0</v>
      </c>
    </row>
    <row r="157" spans="1:10" x14ac:dyDescent="0.35">
      <c r="A157" s="18" t="str">
        <f>IF('Staff Directory'!$A157="","",'Staff Directory'!$A157)</f>
        <v>PSW-090-A6</v>
      </c>
      <c r="B157" s="18" t="str">
        <f>IF($A157="","",'Staff Directory'!$B157)</f>
        <v>Lastname152, Firstname152</v>
      </c>
      <c r="C157" s="19" t="str">
        <f>IF($A157="","",'Staff Directory'!$C157)</f>
        <v>PSW</v>
      </c>
      <c r="D157" s="19" t="str">
        <f>IF($A157="","",'Staff Directory'!$D157)</f>
        <v>A6</v>
      </c>
      <c r="E157" s="26">
        <f>IF($A157="","",COUNTIFS(tblIssues[Staff ID],$A157))</f>
        <v>0</v>
      </c>
      <c r="F157" s="26">
        <f>IF($A157="","",SUMIFS(tblIssues[Qty Issued],tblIssues[Staff ID],$A157))</f>
        <v>0</v>
      </c>
      <c r="G157" s="21">
        <f>IF($A157="","",SUMIFS(tblIssues[Line Cost],tblIssues[Staff ID],$A157))</f>
        <v>0</v>
      </c>
      <c r="H157" s="24" t="str">
        <f>IF($A157="","",IF($E157=0,"",IFERROR(_xlfn.MAXIFS(tblIssues[Order Date],tblIssues[Staff ID],$A157),"")))</f>
        <v/>
      </c>
      <c r="I157" s="24" t="str">
        <f>IF($A157="","",IF($E157=0,"",IFERROR(_xlfn.MAXIFS(tblIssues[Next Scheduled],tblIssues[Staff ID],$A157),"")))</f>
        <v/>
      </c>
      <c r="J157" s="26">
        <f>IF($A157="","",COUNTIFS(tblIssues[Staff ID],$A157,tblIssues[Status],"Pending"))</f>
        <v>0</v>
      </c>
    </row>
    <row r="158" spans="1:10" x14ac:dyDescent="0.35">
      <c r="A158" s="18" t="str">
        <f>IF('Staff Directory'!$A158="","",'Staff Directory'!$A158)</f>
        <v>PSW-091-A5</v>
      </c>
      <c r="B158" s="18" t="str">
        <f>IF($A158="","",'Staff Directory'!$B158)</f>
        <v>Lastname153, Firstname153</v>
      </c>
      <c r="C158" s="19" t="str">
        <f>IF($A158="","",'Staff Directory'!$C158)</f>
        <v>PSW</v>
      </c>
      <c r="D158" s="19" t="str">
        <f>IF($A158="","",'Staff Directory'!$D158)</f>
        <v>A5</v>
      </c>
      <c r="E158" s="26">
        <f>IF($A158="","",COUNTIFS(tblIssues[Staff ID],$A158))</f>
        <v>0</v>
      </c>
      <c r="F158" s="26">
        <f>IF($A158="","",SUMIFS(tblIssues[Qty Issued],tblIssues[Staff ID],$A158))</f>
        <v>0</v>
      </c>
      <c r="G158" s="21">
        <f>IF($A158="","",SUMIFS(tblIssues[Line Cost],tblIssues[Staff ID],$A158))</f>
        <v>0</v>
      </c>
      <c r="H158" s="24" t="str">
        <f>IF($A158="","",IF($E158=0,"",IFERROR(_xlfn.MAXIFS(tblIssues[Order Date],tblIssues[Staff ID],$A158),"")))</f>
        <v/>
      </c>
      <c r="I158" s="24" t="str">
        <f>IF($A158="","",IF($E158=0,"",IFERROR(_xlfn.MAXIFS(tblIssues[Next Scheduled],tblIssues[Staff ID],$A158),"")))</f>
        <v/>
      </c>
      <c r="J158" s="26">
        <f>IF($A158="","",COUNTIFS(tblIssues[Staff ID],$A158,tblIssues[Status],"Pending"))</f>
        <v>0</v>
      </c>
    </row>
    <row r="159" spans="1:10" x14ac:dyDescent="0.35">
      <c r="A159" s="18" t="str">
        <f>IF('Staff Directory'!$A159="","",'Staff Directory'!$A159)</f>
        <v>PSW-092-A4</v>
      </c>
      <c r="B159" s="18" t="str">
        <f>IF($A159="","",'Staff Directory'!$B159)</f>
        <v>Lastname154, Firstname154</v>
      </c>
      <c r="C159" s="19" t="str">
        <f>IF($A159="","",'Staff Directory'!$C159)</f>
        <v>PSW</v>
      </c>
      <c r="D159" s="19" t="str">
        <f>IF($A159="","",'Staff Directory'!$D159)</f>
        <v>A4</v>
      </c>
      <c r="E159" s="26">
        <f>IF($A159="","",COUNTIFS(tblIssues[Staff ID],$A159))</f>
        <v>0</v>
      </c>
      <c r="F159" s="26">
        <f>IF($A159="","",SUMIFS(tblIssues[Qty Issued],tblIssues[Staff ID],$A159))</f>
        <v>0</v>
      </c>
      <c r="G159" s="21">
        <f>IF($A159="","",SUMIFS(tblIssues[Line Cost],tblIssues[Staff ID],$A159))</f>
        <v>0</v>
      </c>
      <c r="H159" s="24" t="str">
        <f>IF($A159="","",IF($E159=0,"",IFERROR(_xlfn.MAXIFS(tblIssues[Order Date],tblIssues[Staff ID],$A159),"")))</f>
        <v/>
      </c>
      <c r="I159" s="24" t="str">
        <f>IF($A159="","",IF($E159=0,"",IFERROR(_xlfn.MAXIFS(tblIssues[Next Scheduled],tblIssues[Staff ID],$A159),"")))</f>
        <v/>
      </c>
      <c r="J159" s="26">
        <f>IF($A159="","",COUNTIFS(tblIssues[Staff ID],$A159,tblIssues[Status],"Pending"))</f>
        <v>0</v>
      </c>
    </row>
    <row r="160" spans="1:10" x14ac:dyDescent="0.35">
      <c r="A160" s="18" t="str">
        <f>IF('Staff Directory'!$A160="","",'Staff Directory'!$A160)</f>
        <v>PSW-093-TBD</v>
      </c>
      <c r="B160" s="18" t="str">
        <f>IF($A160="","",'Staff Directory'!$B160)</f>
        <v>Lastname155, Firstname155</v>
      </c>
      <c r="C160" s="19" t="str">
        <f>IF($A160="","",'Staff Directory'!$C160)</f>
        <v>PSW</v>
      </c>
      <c r="D160" s="19">
        <f>IF($A160="","",'Staff Directory'!$D160)</f>
        <v>0</v>
      </c>
      <c r="E160" s="26">
        <f>IF($A160="","",COUNTIFS(tblIssues[Staff ID],$A160))</f>
        <v>6</v>
      </c>
      <c r="F160" s="26">
        <f>IF($A160="","",SUMIFS(tblIssues[Qty Issued],tblIssues[Staff ID],$A160))</f>
        <v>682</v>
      </c>
      <c r="G160" s="21">
        <f>IF($A160="","",SUMIFS(tblIssues[Line Cost],tblIssues[Staff ID],$A160))</f>
        <v>58.000100000000003</v>
      </c>
      <c r="H160" s="24">
        <f>IF($A160="","",IF($E160=0,"",IFERROR(_xlfn.MAXIFS(tblIssues[Order Date],tblIssues[Staff ID],$A160),"")))</f>
        <v>46212</v>
      </c>
      <c r="I160" s="24">
        <f>IF($A160="","",IF($E160=0,"",IFERROR(_xlfn.MAXIFS(tblIssues[Next Scheduled],tblIssues[Staff ID],$A160),"")))</f>
        <v>46260</v>
      </c>
      <c r="J160" s="26">
        <f>IF($A160="","",COUNTIFS(tblIssues[Staff ID],$A160,tblIssues[Status],"Pending"))</f>
        <v>0</v>
      </c>
    </row>
    <row r="161" spans="1:10" x14ac:dyDescent="0.35">
      <c r="A161" s="18" t="str">
        <f>IF('Staff Directory'!$A161="","",'Staff Directory'!$A161)</f>
        <v>PSW-094-A6</v>
      </c>
      <c r="B161" s="18" t="str">
        <f>IF($A161="","",'Staff Directory'!$B161)</f>
        <v>Lastname156, Firstname156</v>
      </c>
      <c r="C161" s="19" t="str">
        <f>IF($A161="","",'Staff Directory'!$C161)</f>
        <v>PSW</v>
      </c>
      <c r="D161" s="19" t="str">
        <f>IF($A161="","",'Staff Directory'!$D161)</f>
        <v>A6</v>
      </c>
      <c r="E161" s="26">
        <f>IF($A161="","",COUNTIFS(tblIssues[Staff ID],$A161))</f>
        <v>10</v>
      </c>
      <c r="F161" s="26">
        <f>IF($A161="","",SUMIFS(tblIssues[Qty Issued],tblIssues[Staff ID],$A161))</f>
        <v>1266</v>
      </c>
      <c r="G161" s="21">
        <f>IF($A161="","",SUMIFS(tblIssues[Line Cost],tblIssues[Staff ID],$A161))</f>
        <v>113.96020000000001</v>
      </c>
      <c r="H161" s="24">
        <f>IF($A161="","",IF($E161=0,"",IFERROR(_xlfn.MAXIFS(tblIssues[Order Date],tblIssues[Staff ID],$A161),"")))</f>
        <v>46189</v>
      </c>
      <c r="I161" s="24">
        <f>IF($A161="","",IF($E161=0,"",IFERROR(_xlfn.MAXIFS(tblIssues[Next Scheduled],tblIssues[Staff ID],$A161),"")))</f>
        <v>46237</v>
      </c>
      <c r="J161" s="26">
        <f>IF($A161="","",COUNTIFS(tblIssues[Staff ID],$A161,tblIssues[Status],"Pending"))</f>
        <v>0</v>
      </c>
    </row>
    <row r="162" spans="1:10" x14ac:dyDescent="0.35">
      <c r="A162" s="18" t="str">
        <f>IF('Staff Directory'!$A162="","",'Staff Directory'!$A162)</f>
        <v>PSW-095-A5</v>
      </c>
      <c r="B162" s="18" t="str">
        <f>IF($A162="","",'Staff Directory'!$B162)</f>
        <v>Lastname157, Firstname157</v>
      </c>
      <c r="C162" s="19" t="str">
        <f>IF($A162="","",'Staff Directory'!$C162)</f>
        <v>PSW</v>
      </c>
      <c r="D162" s="19" t="str">
        <f>IF($A162="","",'Staff Directory'!$D162)</f>
        <v>A5</v>
      </c>
      <c r="E162" s="26">
        <f>IF($A162="","",COUNTIFS(tblIssues[Staff ID],$A162))</f>
        <v>16</v>
      </c>
      <c r="F162" s="26">
        <f>IF($A162="","",SUMIFS(tblIssues[Qty Issued],tblIssues[Staff ID],$A162))</f>
        <v>1862</v>
      </c>
      <c r="G162" s="21">
        <f>IF($A162="","",SUMIFS(tblIssues[Line Cost],tblIssues[Staff ID],$A162))</f>
        <v>185.4802</v>
      </c>
      <c r="H162" s="24">
        <f>IF($A162="","",IF($E162=0,"",IFERROR(_xlfn.MAXIFS(tblIssues[Order Date],tblIssues[Staff ID],$A162),"")))</f>
        <v>46189</v>
      </c>
      <c r="I162" s="24">
        <f>IF($A162="","",IF($E162=0,"",IFERROR(_xlfn.MAXIFS(tblIssues[Next Scheduled],tblIssues[Staff ID],$A162),"")))</f>
        <v>46237</v>
      </c>
      <c r="J162" s="26">
        <f>IF($A162="","",COUNTIFS(tblIssues[Staff ID],$A162,tblIssues[Status],"Pending"))</f>
        <v>0</v>
      </c>
    </row>
    <row r="163" spans="1:10" x14ac:dyDescent="0.35">
      <c r="A163" s="18" t="str">
        <f>IF('Staff Directory'!$A163="","",'Staff Directory'!$A163)</f>
        <v>PSW-096-A5</v>
      </c>
      <c r="B163" s="18" t="str">
        <f>IF($A163="","",'Staff Directory'!$B163)</f>
        <v>Lastname158, Firstname158</v>
      </c>
      <c r="C163" s="19" t="str">
        <f>IF($A163="","",'Staff Directory'!$C163)</f>
        <v>PSW</v>
      </c>
      <c r="D163" s="19" t="str">
        <f>IF($A163="","",'Staff Directory'!$D163)</f>
        <v>A5</v>
      </c>
      <c r="E163" s="26">
        <f>IF($A163="","",COUNTIFS(tblIssues[Staff ID],$A163))</f>
        <v>0</v>
      </c>
      <c r="F163" s="26">
        <f>IF($A163="","",SUMIFS(tblIssues[Qty Issued],tblIssues[Staff ID],$A163))</f>
        <v>0</v>
      </c>
      <c r="G163" s="21">
        <f>IF($A163="","",SUMIFS(tblIssues[Line Cost],tblIssues[Staff ID],$A163))</f>
        <v>0</v>
      </c>
      <c r="H163" s="24" t="str">
        <f>IF($A163="","",IF($E163=0,"",IFERROR(_xlfn.MAXIFS(tblIssues[Order Date],tblIssues[Staff ID],$A163),"")))</f>
        <v/>
      </c>
      <c r="I163" s="24" t="str">
        <f>IF($A163="","",IF($E163=0,"",IFERROR(_xlfn.MAXIFS(tblIssues[Next Scheduled],tblIssues[Staff ID],$A163),"")))</f>
        <v/>
      </c>
      <c r="J163" s="26">
        <f>IF($A163="","",COUNTIFS(tblIssues[Staff ID],$A163,tblIssues[Status],"Pending"))</f>
        <v>0</v>
      </c>
    </row>
    <row r="164" spans="1:10" x14ac:dyDescent="0.35">
      <c r="A164" s="18" t="str">
        <f>IF('Staff Directory'!$A164="","",'Staff Directory'!$A164)</f>
        <v>PSW-097-A6</v>
      </c>
      <c r="B164" s="18" t="str">
        <f>IF($A164="","",'Staff Directory'!$B164)</f>
        <v>Lastname159, Firstname159</v>
      </c>
      <c r="C164" s="19" t="str">
        <f>IF($A164="","",'Staff Directory'!$C164)</f>
        <v>PSW</v>
      </c>
      <c r="D164" s="19" t="str">
        <f>IF($A164="","",'Staff Directory'!$D164)</f>
        <v>A6</v>
      </c>
      <c r="E164" s="26">
        <f>IF($A164="","",COUNTIFS(tblIssues[Staff ID],$A164))</f>
        <v>0</v>
      </c>
      <c r="F164" s="26">
        <f>IF($A164="","",SUMIFS(tblIssues[Qty Issued],tblIssues[Staff ID],$A164))</f>
        <v>0</v>
      </c>
      <c r="G164" s="21">
        <f>IF($A164="","",SUMIFS(tblIssues[Line Cost],tblIssues[Staff ID],$A164))</f>
        <v>0</v>
      </c>
      <c r="H164" s="24" t="str">
        <f>IF($A164="","",IF($E164=0,"",IFERROR(_xlfn.MAXIFS(tblIssues[Order Date],tblIssues[Staff ID],$A164),"")))</f>
        <v/>
      </c>
      <c r="I164" s="24" t="str">
        <f>IF($A164="","",IF($E164=0,"",IFERROR(_xlfn.MAXIFS(tblIssues[Next Scheduled],tblIssues[Staff ID],$A164),"")))</f>
        <v/>
      </c>
      <c r="J164" s="26">
        <f>IF($A164="","",COUNTIFS(tblIssues[Staff ID],$A164,tblIssues[Status],"Pending"))</f>
        <v>0</v>
      </c>
    </row>
    <row r="165" spans="1:10" x14ac:dyDescent="0.35">
      <c r="A165" s="18" t="str">
        <f>IF('Staff Directory'!$A165="","",'Staff Directory'!$A165)</f>
        <v>PSW-098-A4</v>
      </c>
      <c r="B165" s="18" t="str">
        <f>IF($A165="","",'Staff Directory'!$B165)</f>
        <v>Lastname160, Firstname160</v>
      </c>
      <c r="C165" s="19" t="str">
        <f>IF($A165="","",'Staff Directory'!$C165)</f>
        <v>PSW</v>
      </c>
      <c r="D165" s="19" t="str">
        <f>IF($A165="","",'Staff Directory'!$D165)</f>
        <v>A4</v>
      </c>
      <c r="E165" s="26">
        <f>IF($A165="","",COUNTIFS(tblIssues[Staff ID],$A165))</f>
        <v>12</v>
      </c>
      <c r="F165" s="26">
        <f>IF($A165="","",SUMIFS(tblIssues[Qty Issued],tblIssues[Staff ID],$A165))</f>
        <v>2246</v>
      </c>
      <c r="G165" s="21">
        <f>IF($A165="","",SUMIFS(tblIssues[Line Cost],tblIssues[Staff ID],$A165))</f>
        <v>142.98030000000003</v>
      </c>
      <c r="H165" s="24">
        <f>IF($A165="","",IF($E165=0,"",IFERROR(_xlfn.MAXIFS(tblIssues[Order Date],tblIssues[Staff ID],$A165),"")))</f>
        <v>46206</v>
      </c>
      <c r="I165" s="24">
        <f>IF($A165="","",IF($E165=0,"",IFERROR(_xlfn.MAXIFS(tblIssues[Next Scheduled],tblIssues[Staff ID],$A165),"")))</f>
        <v>46254</v>
      </c>
      <c r="J165" s="26">
        <f>IF($A165="","",COUNTIFS(tblIssues[Staff ID],$A165,tblIssues[Status],"Pending"))</f>
        <v>0</v>
      </c>
    </row>
    <row r="166" spans="1:10" x14ac:dyDescent="0.35">
      <c r="A166" s="18" t="str">
        <f>IF('Staff Directory'!$A166="","",'Staff Directory'!$A166)</f>
        <v>PSW-099-A6</v>
      </c>
      <c r="B166" s="18" t="str">
        <f>IF($A166="","",'Staff Directory'!$B166)</f>
        <v>Lastname161, Firstname161</v>
      </c>
      <c r="C166" s="19" t="str">
        <f>IF($A166="","",'Staff Directory'!$C166)</f>
        <v>PSW</v>
      </c>
      <c r="D166" s="19" t="str">
        <f>IF($A166="","",'Staff Directory'!$D166)</f>
        <v>A6</v>
      </c>
      <c r="E166" s="26">
        <f>IF($A166="","",COUNTIFS(tblIssues[Staff ID],$A166))</f>
        <v>12</v>
      </c>
      <c r="F166" s="26">
        <f>IF($A166="","",SUMIFS(tblIssues[Qty Issued],tblIssues[Staff ID],$A166))</f>
        <v>1815</v>
      </c>
      <c r="G166" s="21">
        <f>IF($A166="","",SUMIFS(tblIssues[Line Cost],tblIssues[Staff ID],$A166))</f>
        <v>136.00030000000001</v>
      </c>
      <c r="H166" s="24">
        <f>IF($A166="","",IF($E166=0,"",IFERROR(_xlfn.MAXIFS(tblIssues[Order Date],tblIssues[Staff ID],$A166),"")))</f>
        <v>46204</v>
      </c>
      <c r="I166" s="24">
        <f>IF($A166="","",IF($E166=0,"",IFERROR(_xlfn.MAXIFS(tblIssues[Next Scheduled],tblIssues[Staff ID],$A166),"")))</f>
        <v>46252</v>
      </c>
      <c r="J166" s="26">
        <f>IF($A166="","",COUNTIFS(tblIssues[Staff ID],$A166,tblIssues[Status],"Pending"))</f>
        <v>0</v>
      </c>
    </row>
    <row r="167" spans="1:10" x14ac:dyDescent="0.35">
      <c r="A167" s="18" t="str">
        <f>IF('Staff Directory'!$A167="","",'Staff Directory'!$A167)</f>
        <v>PSW-100-A6</v>
      </c>
      <c r="B167" s="18" t="str">
        <f>IF($A167="","",'Staff Directory'!$B167)</f>
        <v>Lastname162, Firstname162</v>
      </c>
      <c r="C167" s="19" t="str">
        <f>IF($A167="","",'Staff Directory'!$C167)</f>
        <v>PSW</v>
      </c>
      <c r="D167" s="19" t="str">
        <f>IF($A167="","",'Staff Directory'!$D167)</f>
        <v>A6</v>
      </c>
      <c r="E167" s="26">
        <f>IF($A167="","",COUNTIFS(tblIssues[Staff ID],$A167))</f>
        <v>13</v>
      </c>
      <c r="F167" s="26">
        <f>IF($A167="","",SUMIFS(tblIssues[Qty Issued],tblIssues[Staff ID],$A167))</f>
        <v>1846</v>
      </c>
      <c r="G167" s="21">
        <f>IF($A167="","",SUMIFS(tblIssues[Line Cost],tblIssues[Staff ID],$A167))</f>
        <v>131.50030000000001</v>
      </c>
      <c r="H167" s="24">
        <f>IF($A167="","",IF($E167=0,"",IFERROR(_xlfn.MAXIFS(tblIssues[Order Date],tblIssues[Staff ID],$A167),"")))</f>
        <v>46224</v>
      </c>
      <c r="I167" s="24">
        <f>IF($A167="","",IF($E167=0,"",IFERROR(_xlfn.MAXIFS(tblIssues[Next Scheduled],tblIssues[Staff ID],$A167),"")))</f>
        <v>46272</v>
      </c>
      <c r="J167" s="26">
        <f>IF($A167="","",COUNTIFS(tblIssues[Staff ID],$A167,tblIssues[Status],"Pending"))</f>
        <v>0</v>
      </c>
    </row>
    <row r="168" spans="1:10" x14ac:dyDescent="0.35">
      <c r="A168" s="18" t="str">
        <f>IF('Staff Directory'!$A168="","",'Staff Directory'!$A168)</f>
        <v>PSW-101-A5</v>
      </c>
      <c r="B168" s="18" t="str">
        <f>IF($A168="","",'Staff Directory'!$B168)</f>
        <v>Lastname163, Firstname163</v>
      </c>
      <c r="C168" s="19" t="str">
        <f>IF($A168="","",'Staff Directory'!$C168)</f>
        <v>PSW</v>
      </c>
      <c r="D168" s="19" t="str">
        <f>IF($A168="","",'Staff Directory'!$D168)</f>
        <v>A5</v>
      </c>
      <c r="E168" s="26">
        <f>IF($A168="","",COUNTIFS(tblIssues[Staff ID],$A168))</f>
        <v>0</v>
      </c>
      <c r="F168" s="26">
        <f>IF($A168="","",SUMIFS(tblIssues[Qty Issued],tblIssues[Staff ID],$A168))</f>
        <v>0</v>
      </c>
      <c r="G168" s="21">
        <f>IF($A168="","",SUMIFS(tblIssues[Line Cost],tblIssues[Staff ID],$A168))</f>
        <v>0</v>
      </c>
      <c r="H168" s="24" t="str">
        <f>IF($A168="","",IF($E168=0,"",IFERROR(_xlfn.MAXIFS(tblIssues[Order Date],tblIssues[Staff ID],$A168),"")))</f>
        <v/>
      </c>
      <c r="I168" s="24" t="str">
        <f>IF($A168="","",IF($E168=0,"",IFERROR(_xlfn.MAXIFS(tblIssues[Next Scheduled],tblIssues[Staff ID],$A168),"")))</f>
        <v/>
      </c>
      <c r="J168" s="26">
        <f>IF($A168="","",COUNTIFS(tblIssues[Staff ID],$A168,tblIssues[Status],"Pending"))</f>
        <v>0</v>
      </c>
    </row>
    <row r="169" spans="1:10" x14ac:dyDescent="0.35">
      <c r="A169" s="18" t="str">
        <f>IF('Staff Directory'!$A169="","",'Staff Directory'!$A169)</f>
        <v>PSW-102-A6</v>
      </c>
      <c r="B169" s="18" t="str">
        <f>IF($A169="","",'Staff Directory'!$B169)</f>
        <v>Lastname164, Firstname164</v>
      </c>
      <c r="C169" s="19" t="str">
        <f>IF($A169="","",'Staff Directory'!$C169)</f>
        <v>PSW</v>
      </c>
      <c r="D169" s="19" t="str">
        <f>IF($A169="","",'Staff Directory'!$D169)</f>
        <v>A6</v>
      </c>
      <c r="E169" s="26">
        <f>IF($A169="","",COUNTIFS(tblIssues[Staff ID],$A169))</f>
        <v>17</v>
      </c>
      <c r="F169" s="26">
        <f>IF($A169="","",SUMIFS(tblIssues[Qty Issued],tblIssues[Staff ID],$A169))</f>
        <v>2526</v>
      </c>
      <c r="G169" s="21">
        <f>IF($A169="","",SUMIFS(tblIssues[Line Cost],tblIssues[Staff ID],$A169))</f>
        <v>200.9803</v>
      </c>
      <c r="H169" s="24">
        <f>IF($A169="","",IF($E169=0,"",IFERROR(_xlfn.MAXIFS(tblIssues[Order Date],tblIssues[Staff ID],$A169),"")))</f>
        <v>46204</v>
      </c>
      <c r="I169" s="24">
        <f>IF($A169="","",IF($E169=0,"",IFERROR(_xlfn.MAXIFS(tblIssues[Next Scheduled],tblIssues[Staff ID],$A169),"")))</f>
        <v>46252</v>
      </c>
      <c r="J169" s="26">
        <f>IF($A169="","",COUNTIFS(tblIssues[Staff ID],$A169,tblIssues[Status],"Pending"))</f>
        <v>0</v>
      </c>
    </row>
    <row r="170" spans="1:10" x14ac:dyDescent="0.35">
      <c r="A170" s="18" t="str">
        <f>IF('Staff Directory'!$A170="","",'Staff Directory'!$A170)</f>
        <v>PSW-103-A4</v>
      </c>
      <c r="B170" s="18" t="str">
        <f>IF($A170="","",'Staff Directory'!$B170)</f>
        <v>Lastname165, Firstname165</v>
      </c>
      <c r="C170" s="19" t="str">
        <f>IF($A170="","",'Staff Directory'!$C170)</f>
        <v>PSW</v>
      </c>
      <c r="D170" s="19" t="str">
        <f>IF($A170="","",'Staff Directory'!$D170)</f>
        <v>A4</v>
      </c>
      <c r="E170" s="26">
        <f>IF($A170="","",COUNTIFS(tblIssues[Staff ID],$A170))</f>
        <v>8</v>
      </c>
      <c r="F170" s="26">
        <f>IF($A170="","",SUMIFS(tblIssues[Qty Issued],tblIssues[Staff ID],$A170))</f>
        <v>1262</v>
      </c>
      <c r="G170" s="21">
        <f>IF($A170="","",SUMIFS(tblIssues[Line Cost],tblIssues[Staff ID],$A170))</f>
        <v>96.000200000000007</v>
      </c>
      <c r="H170" s="24">
        <f>IF($A170="","",IF($E170=0,"",IFERROR(_xlfn.MAXIFS(tblIssues[Order Date],tblIssues[Staff ID],$A170),"")))</f>
        <v>46213</v>
      </c>
      <c r="I170" s="24">
        <f>IF($A170="","",IF($E170=0,"",IFERROR(_xlfn.MAXIFS(tblIssues[Next Scheduled],tblIssues[Staff ID],$A170),"")))</f>
        <v>46261</v>
      </c>
      <c r="J170" s="26">
        <f>IF($A170="","",COUNTIFS(tblIssues[Staff ID],$A170,tblIssues[Status],"Pending"))</f>
        <v>0</v>
      </c>
    </row>
    <row r="171" spans="1:10" x14ac:dyDescent="0.35">
      <c r="A171" s="18" t="str">
        <f>IF('Staff Directory'!$A171="","",'Staff Directory'!$A171)</f>
        <v>PSW-104-A6</v>
      </c>
      <c r="B171" s="18" t="str">
        <f>IF($A171="","",'Staff Directory'!$B171)</f>
        <v>Lastname166, Firstname166</v>
      </c>
      <c r="C171" s="19" t="str">
        <f>IF($A171="","",'Staff Directory'!$C171)</f>
        <v>PSW</v>
      </c>
      <c r="D171" s="19" t="str">
        <f>IF($A171="","",'Staff Directory'!$D171)</f>
        <v>A6</v>
      </c>
      <c r="E171" s="26">
        <f>IF($A171="","",COUNTIFS(tblIssues[Staff ID],$A171))</f>
        <v>17</v>
      </c>
      <c r="F171" s="26">
        <f>IF($A171="","",SUMIFS(tblIssues[Qty Issued],tblIssues[Staff ID],$A171))</f>
        <v>2527</v>
      </c>
      <c r="G171" s="21">
        <f>IF($A171="","",SUMIFS(tblIssues[Line Cost],tblIssues[Staff ID],$A171))</f>
        <v>200.98020000000002</v>
      </c>
      <c r="H171" s="24">
        <f>IF($A171="","",IF($E171=0,"",IFERROR(_xlfn.MAXIFS(tblIssues[Order Date],tblIssues[Staff ID],$A171),"")))</f>
        <v>46211</v>
      </c>
      <c r="I171" s="24">
        <f>IF($A171="","",IF($E171=0,"",IFERROR(_xlfn.MAXIFS(tblIssues[Next Scheduled],tblIssues[Staff ID],$A171),"")))</f>
        <v>46259</v>
      </c>
      <c r="J171" s="26">
        <f>IF($A171="","",COUNTIFS(tblIssues[Staff ID],$A171,tblIssues[Status],"Pending"))</f>
        <v>0</v>
      </c>
    </row>
    <row r="172" spans="1:10" x14ac:dyDescent="0.35">
      <c r="A172" s="18" t="str">
        <f>IF('Staff Directory'!$A172="","",'Staff Directory'!$A172)</f>
        <v>PSW-105-A5</v>
      </c>
      <c r="B172" s="18" t="str">
        <f>IF($A172="","",'Staff Directory'!$B172)</f>
        <v>Lastname167, Firstname167</v>
      </c>
      <c r="C172" s="19" t="str">
        <f>IF($A172="","",'Staff Directory'!$C172)</f>
        <v>PSW</v>
      </c>
      <c r="D172" s="19" t="str">
        <f>IF($A172="","",'Staff Directory'!$D172)</f>
        <v>A5</v>
      </c>
      <c r="E172" s="26">
        <f>IF($A172="","",COUNTIFS(tblIssues[Staff ID],$A172))</f>
        <v>19</v>
      </c>
      <c r="F172" s="26">
        <f>IF($A172="","",SUMIFS(tblIssues[Qty Issued],tblIssues[Staff ID],$A172))</f>
        <v>2529</v>
      </c>
      <c r="G172" s="21">
        <f>IF($A172="","",SUMIFS(tblIssues[Line Cost],tblIssues[Staff ID],$A172))</f>
        <v>214.9803</v>
      </c>
      <c r="H172" s="24">
        <f>IF($A172="","",IF($E172=0,"",IFERROR(_xlfn.MAXIFS(tblIssues[Order Date],tblIssues[Staff ID],$A172),"")))</f>
        <v>46209</v>
      </c>
      <c r="I172" s="24">
        <f>IF($A172="","",IF($E172=0,"",IFERROR(_xlfn.MAXIFS(tblIssues[Next Scheduled],tblIssues[Staff ID],$A172),"")))</f>
        <v>46255</v>
      </c>
      <c r="J172" s="26">
        <f>IF($A172="","",COUNTIFS(tblIssues[Staff ID],$A172,tblIssues[Status],"Pending"))</f>
        <v>0</v>
      </c>
    </row>
    <row r="173" spans="1:10" x14ac:dyDescent="0.35">
      <c r="A173" s="18" t="str">
        <f>IF('Staff Directory'!$A173="","",'Staff Directory'!$A173)</f>
        <v>PSW-106-A4</v>
      </c>
      <c r="B173" s="18" t="str">
        <f>IF($A173="","",'Staff Directory'!$B173)</f>
        <v>Lastname168, Firstname168</v>
      </c>
      <c r="C173" s="19" t="str">
        <f>IF($A173="","",'Staff Directory'!$C173)</f>
        <v>PSW</v>
      </c>
      <c r="D173" s="19" t="str">
        <f>IF($A173="","",'Staff Directory'!$D173)</f>
        <v>A4</v>
      </c>
      <c r="E173" s="26">
        <f>IF($A173="","",COUNTIFS(tblIssues[Staff ID],$A173))</f>
        <v>0</v>
      </c>
      <c r="F173" s="26">
        <f>IF($A173="","",SUMIFS(tblIssues[Qty Issued],tblIssues[Staff ID],$A173))</f>
        <v>0</v>
      </c>
      <c r="G173" s="21">
        <f>IF($A173="","",SUMIFS(tblIssues[Line Cost],tblIssues[Staff ID],$A173))</f>
        <v>0</v>
      </c>
      <c r="H173" s="24" t="str">
        <f>IF($A173="","",IF($E173=0,"",IFERROR(_xlfn.MAXIFS(tblIssues[Order Date],tblIssues[Staff ID],$A173),"")))</f>
        <v/>
      </c>
      <c r="I173" s="24" t="str">
        <f>IF($A173="","",IF($E173=0,"",IFERROR(_xlfn.MAXIFS(tblIssues[Next Scheduled],tblIssues[Staff ID],$A173),"")))</f>
        <v/>
      </c>
      <c r="J173" s="26">
        <f>IF($A173="","",COUNTIFS(tblIssues[Staff ID],$A173,tblIssues[Status],"Pending"))</f>
        <v>0</v>
      </c>
    </row>
    <row r="174" spans="1:10" x14ac:dyDescent="0.35">
      <c r="A174" s="18" t="str">
        <f>IF('Staff Directory'!$A174="","",'Staff Directory'!$A174)</f>
        <v>PSW-107-A6</v>
      </c>
      <c r="B174" s="18" t="str">
        <f>IF($A174="","",'Staff Directory'!$B174)</f>
        <v>Lastname169, Firstname169</v>
      </c>
      <c r="C174" s="19" t="str">
        <f>IF($A174="","",'Staff Directory'!$C174)</f>
        <v>PSW</v>
      </c>
      <c r="D174" s="19" t="str">
        <f>IF($A174="","",'Staff Directory'!$D174)</f>
        <v>A6</v>
      </c>
      <c r="E174" s="26">
        <f>IF($A174="","",COUNTIFS(tblIssues[Staff ID],$A174))</f>
        <v>7</v>
      </c>
      <c r="F174" s="26">
        <f>IF($A174="","",SUMIFS(tblIssues[Qty Issued],tblIssues[Staff ID],$A174))</f>
        <v>1055</v>
      </c>
      <c r="G174" s="21">
        <f>IF($A174="","",SUMIFS(tblIssues[Line Cost],tblIssues[Staff ID],$A174))</f>
        <v>67.500200000000007</v>
      </c>
      <c r="H174" s="24">
        <f>IF($A174="","",IF($E174=0,"",IFERROR(_xlfn.MAXIFS(tblIssues[Order Date],tblIssues[Staff ID],$A174),"")))</f>
        <v>46164</v>
      </c>
      <c r="I174" s="24">
        <f>IF($A174="","",IF($E174=0,"",IFERROR(_xlfn.MAXIFS(tblIssues[Next Scheduled],tblIssues[Staff ID],$A174),"")))</f>
        <v>46212</v>
      </c>
      <c r="J174" s="26">
        <f>IF($A174="","",COUNTIFS(tblIssues[Staff ID],$A174,tblIssues[Status],"Pending"))</f>
        <v>0</v>
      </c>
    </row>
    <row r="175" spans="1:10" x14ac:dyDescent="0.35">
      <c r="A175" s="18" t="str">
        <f>IF('Staff Directory'!$A175="","",'Staff Directory'!$A175)</f>
        <v>PSW-108-A4</v>
      </c>
      <c r="B175" s="18" t="str">
        <f>IF($A175="","",'Staff Directory'!$B175)</f>
        <v>Lastname170, Firstname170</v>
      </c>
      <c r="C175" s="19" t="str">
        <f>IF($A175="","",'Staff Directory'!$C175)</f>
        <v>PSW</v>
      </c>
      <c r="D175" s="19" t="str">
        <f>IF($A175="","",'Staff Directory'!$D175)</f>
        <v>A4</v>
      </c>
      <c r="E175" s="26">
        <f>IF($A175="","",COUNTIFS(tblIssues[Staff ID],$A175))</f>
        <v>8</v>
      </c>
      <c r="F175" s="26">
        <f>IF($A175="","",SUMIFS(tblIssues[Qty Issued],tblIssues[Staff ID],$A175))</f>
        <v>1105</v>
      </c>
      <c r="G175" s="21">
        <f>IF($A175="","",SUMIFS(tblIssues[Line Cost],tblIssues[Staff ID],$A175))</f>
        <v>80.000200000000007</v>
      </c>
      <c r="H175" s="24">
        <f>IF($A175="","",IF($E175=0,"",IFERROR(_xlfn.MAXIFS(tblIssues[Order Date],tblIssues[Staff ID],$A175),"")))</f>
        <v>46212</v>
      </c>
      <c r="I175" s="24">
        <f>IF($A175="","",IF($E175=0,"",IFERROR(_xlfn.MAXIFS(tblIssues[Next Scheduled],tblIssues[Staff ID],$A175),"")))</f>
        <v>46260</v>
      </c>
      <c r="J175" s="26">
        <f>IF($A175="","",COUNTIFS(tblIssues[Staff ID],$A175,tblIssues[Status],"Pending"))</f>
        <v>0</v>
      </c>
    </row>
    <row r="176" spans="1:10" x14ac:dyDescent="0.35">
      <c r="A176" s="18" t="str">
        <f>IF('Staff Directory'!$A176="","",'Staff Directory'!$A176)</f>
        <v>PSW-109-A6</v>
      </c>
      <c r="B176" s="18" t="str">
        <f>IF($A176="","",'Staff Directory'!$B176)</f>
        <v>Lastname171, Firstname171</v>
      </c>
      <c r="C176" s="19" t="str">
        <f>IF($A176="","",'Staff Directory'!$C176)</f>
        <v>PSW</v>
      </c>
      <c r="D176" s="19" t="str">
        <f>IF($A176="","",'Staff Directory'!$D176)</f>
        <v>A6</v>
      </c>
      <c r="E176" s="26">
        <f>IF($A176="","",COUNTIFS(tblIssues[Staff ID],$A176))</f>
        <v>7</v>
      </c>
      <c r="F176" s="26">
        <f>IF($A176="","",SUMIFS(tblIssues[Qty Issued],tblIssues[Staff ID],$A176))</f>
        <v>1212</v>
      </c>
      <c r="G176" s="21">
        <f>IF($A176="","",SUMIFS(tblIssues[Line Cost],tblIssues[Staff ID],$A176))</f>
        <v>83.500100000000003</v>
      </c>
      <c r="H176" s="24">
        <f>IF($A176="","",IF($E176=0,"",IFERROR(_xlfn.MAXIFS(tblIssues[Order Date],tblIssues[Staff ID],$A176),"")))</f>
        <v>46224</v>
      </c>
      <c r="I176" s="24">
        <f>IF($A176="","",IF($E176=0,"",IFERROR(_xlfn.MAXIFS(tblIssues[Next Scheduled],tblIssues[Staff ID],$A176),"")))</f>
        <v>46272</v>
      </c>
      <c r="J176" s="26">
        <f>IF($A176="","",COUNTIFS(tblIssues[Staff ID],$A176,tblIssues[Status],"Pending"))</f>
        <v>0</v>
      </c>
    </row>
    <row r="177" spans="1:10" x14ac:dyDescent="0.35">
      <c r="A177" s="18" t="str">
        <f>IF('Staff Directory'!$A177="","",'Staff Directory'!$A177)</f>
        <v>PSW-110-A6</v>
      </c>
      <c r="B177" s="18" t="str">
        <f>IF($A177="","",'Staff Directory'!$B177)</f>
        <v>Lastname172, Firstname172</v>
      </c>
      <c r="C177" s="19" t="str">
        <f>IF($A177="","",'Staff Directory'!$C177)</f>
        <v>PSW</v>
      </c>
      <c r="D177" s="19" t="str">
        <f>IF($A177="","",'Staff Directory'!$D177)</f>
        <v>A6</v>
      </c>
      <c r="E177" s="26">
        <f>IF($A177="","",COUNTIFS(tblIssues[Staff ID],$A177))</f>
        <v>8</v>
      </c>
      <c r="F177" s="26">
        <f>IF($A177="","",SUMIFS(tblIssues[Qty Issued],tblIssues[Staff ID],$A177))</f>
        <v>1106</v>
      </c>
      <c r="G177" s="21">
        <f>IF($A177="","",SUMIFS(tblIssues[Line Cost],tblIssues[Staff ID],$A177))</f>
        <v>97.960200000000015</v>
      </c>
      <c r="H177" s="24">
        <f>IF($A177="","",IF($E177=0,"",IFERROR(_xlfn.MAXIFS(tblIssues[Order Date],tblIssues[Staff ID],$A177),"")))</f>
        <v>46161</v>
      </c>
      <c r="I177" s="24">
        <f>IF($A177="","",IF($E177=0,"",IFERROR(_xlfn.MAXIFS(tblIssues[Next Scheduled],tblIssues[Staff ID],$A177),"")))</f>
        <v>46209</v>
      </c>
      <c r="J177" s="26">
        <f>IF($A177="","",COUNTIFS(tblIssues[Staff ID],$A177,tblIssues[Status],"Pending"))</f>
        <v>0</v>
      </c>
    </row>
    <row r="178" spans="1:10" x14ac:dyDescent="0.35">
      <c r="A178" s="18" t="str">
        <f>IF('Staff Directory'!$A178="","",'Staff Directory'!$A178)</f>
        <v>PSW-111-A6</v>
      </c>
      <c r="B178" s="18" t="str">
        <f>IF($A178="","",'Staff Directory'!$B178)</f>
        <v>Lastname173, Firstname173</v>
      </c>
      <c r="C178" s="19" t="str">
        <f>IF($A178="","",'Staff Directory'!$C178)</f>
        <v>PSW</v>
      </c>
      <c r="D178" s="19" t="str">
        <f>IF($A178="","",'Staff Directory'!$D178)</f>
        <v>A6</v>
      </c>
      <c r="E178" s="26">
        <f>IF($A178="","",COUNTIFS(tblIssues[Staff ID],$A178))</f>
        <v>0</v>
      </c>
      <c r="F178" s="26">
        <f>IF($A178="","",SUMIFS(tblIssues[Qty Issued],tblIssues[Staff ID],$A178))</f>
        <v>0</v>
      </c>
      <c r="G178" s="21">
        <f>IF($A178="","",SUMIFS(tblIssues[Line Cost],tblIssues[Staff ID],$A178))</f>
        <v>0</v>
      </c>
      <c r="H178" s="24" t="str">
        <f>IF($A178="","",IF($E178=0,"",IFERROR(_xlfn.MAXIFS(tblIssues[Order Date],tblIssues[Staff ID],$A178),"")))</f>
        <v/>
      </c>
      <c r="I178" s="24" t="str">
        <f>IF($A178="","",IF($E178=0,"",IFERROR(_xlfn.MAXIFS(tblIssues[Next Scheduled],tblIssues[Staff ID],$A178),"")))</f>
        <v/>
      </c>
      <c r="J178" s="26">
        <f>IF($A178="","",COUNTIFS(tblIssues[Staff ID],$A178,tblIssues[Status],"Pending"))</f>
        <v>0</v>
      </c>
    </row>
    <row r="179" spans="1:10" x14ac:dyDescent="0.35">
      <c r="A179" s="18" t="str">
        <f>IF('Staff Directory'!$A179="","",'Staff Directory'!$A179)</f>
        <v>PSW-112-A4</v>
      </c>
      <c r="B179" s="18" t="str">
        <f>IF($A179="","",'Staff Directory'!$B179)</f>
        <v>Lastname174, Firstname174</v>
      </c>
      <c r="C179" s="19" t="str">
        <f>IF($A179="","",'Staff Directory'!$C179)</f>
        <v>PSW</v>
      </c>
      <c r="D179" s="19" t="str">
        <f>IF($A179="","",'Staff Directory'!$D179)</f>
        <v>A4</v>
      </c>
      <c r="E179" s="26">
        <f>IF($A179="","",COUNTIFS(tblIssues[Staff ID],$A179))</f>
        <v>0</v>
      </c>
      <c r="F179" s="26">
        <f>IF($A179="","",SUMIFS(tblIssues[Qty Issued],tblIssues[Staff ID],$A179))</f>
        <v>0</v>
      </c>
      <c r="G179" s="21">
        <f>IF($A179="","",SUMIFS(tblIssues[Line Cost],tblIssues[Staff ID],$A179))</f>
        <v>0</v>
      </c>
      <c r="H179" s="24" t="str">
        <f>IF($A179="","",IF($E179=0,"",IFERROR(_xlfn.MAXIFS(tblIssues[Order Date],tblIssues[Staff ID],$A179),"")))</f>
        <v/>
      </c>
      <c r="I179" s="24" t="str">
        <f>IF($A179="","",IF($E179=0,"",IFERROR(_xlfn.MAXIFS(tblIssues[Next Scheduled],tblIssues[Staff ID],$A179),"")))</f>
        <v/>
      </c>
      <c r="J179" s="26">
        <f>IF($A179="","",COUNTIFS(tblIssues[Staff ID],$A179,tblIssues[Status],"Pending"))</f>
        <v>0</v>
      </c>
    </row>
    <row r="180" spans="1:10" x14ac:dyDescent="0.35">
      <c r="A180" s="18" t="str">
        <f>IF('Staff Directory'!$A180="","",'Staff Directory'!$A180)</f>
        <v>PSW-113-A4</v>
      </c>
      <c r="B180" s="18" t="str">
        <f>IF($A180="","",'Staff Directory'!$B180)</f>
        <v>Lastname175, Firstname175</v>
      </c>
      <c r="C180" s="19" t="str">
        <f>IF($A180="","",'Staff Directory'!$C180)</f>
        <v>PSW</v>
      </c>
      <c r="D180" s="19" t="str">
        <f>IF($A180="","",'Staff Directory'!$D180)</f>
        <v>A4</v>
      </c>
      <c r="E180" s="26">
        <f>IF($A180="","",COUNTIFS(tblIssues[Staff ID],$A180))</f>
        <v>11</v>
      </c>
      <c r="F180" s="26">
        <f>IF($A180="","",SUMIFS(tblIssues[Qty Issued],tblIssues[Staff ID],$A180))</f>
        <v>1736</v>
      </c>
      <c r="G180" s="21">
        <f>IF($A180="","",SUMIFS(tblIssues[Line Cost],tblIssues[Staff ID],$A180))</f>
        <v>136.98020000000002</v>
      </c>
      <c r="H180" s="24">
        <f>IF($A180="","",IF($E180=0,"",IFERROR(_xlfn.MAXIFS(tblIssues[Order Date],tblIssues[Staff ID],$A180),"")))</f>
        <v>46190</v>
      </c>
      <c r="I180" s="24">
        <f>IF($A180="","",IF($E180=0,"",IFERROR(_xlfn.MAXIFS(tblIssues[Next Scheduled],tblIssues[Staff ID],$A180),"")))</f>
        <v>46238</v>
      </c>
      <c r="J180" s="26">
        <f>IF($A180="","",COUNTIFS(tblIssues[Staff ID],$A180,tblIssues[Status],"Pending"))</f>
        <v>0</v>
      </c>
    </row>
    <row r="181" spans="1:10" x14ac:dyDescent="0.35">
      <c r="A181" s="18" t="str">
        <f>IF('Staff Directory'!$A181="","",'Staff Directory'!$A181)</f>
        <v>PSW-114-A4</v>
      </c>
      <c r="B181" s="18" t="str">
        <f>IF($A181="","",'Staff Directory'!$B181)</f>
        <v>Lastname176, Firstname176</v>
      </c>
      <c r="C181" s="19" t="str">
        <f>IF($A181="","",'Staff Directory'!$C181)</f>
        <v>PSW</v>
      </c>
      <c r="D181" s="19" t="str">
        <f>IF($A181="","",'Staff Directory'!$D181)</f>
        <v>A4</v>
      </c>
      <c r="E181" s="26">
        <f>IF($A181="","",COUNTIFS(tblIssues[Staff ID],$A181))</f>
        <v>5</v>
      </c>
      <c r="F181" s="26">
        <f>IF($A181="","",SUMIFS(tblIssues[Qty Issued],tblIssues[Staff ID],$A181))</f>
        <v>632</v>
      </c>
      <c r="G181" s="21">
        <f>IF($A181="","",SUMIFS(tblIssues[Line Cost],tblIssues[Staff ID],$A181))</f>
        <v>48.000100000000003</v>
      </c>
      <c r="H181" s="24">
        <f>IF($A181="","",IF($E181=0,"",IFERROR(_xlfn.MAXIFS(tblIssues[Order Date],tblIssues[Staff ID],$A181),"")))</f>
        <v>46212</v>
      </c>
      <c r="I181" s="24">
        <f>IF($A181="","",IF($E181=0,"",IFERROR(_xlfn.MAXIFS(tblIssues[Next Scheduled],tblIssues[Staff ID],$A181),"")))</f>
        <v>46260</v>
      </c>
      <c r="J181" s="26">
        <f>IF($A181="","",COUNTIFS(tblIssues[Staff ID],$A181,tblIssues[Status],"Pending"))</f>
        <v>0</v>
      </c>
    </row>
    <row r="182" spans="1:10" x14ac:dyDescent="0.35">
      <c r="A182" s="18" t="str">
        <f>IF('Staff Directory'!$A182="","",'Staff Directory'!$A182)</f>
        <v>PSW-115-A5</v>
      </c>
      <c r="B182" s="18" t="str">
        <f>IF($A182="","",'Staff Directory'!$B182)</f>
        <v>Lastname177, Firstname177</v>
      </c>
      <c r="C182" s="19" t="str">
        <f>IF($A182="","",'Staff Directory'!$C182)</f>
        <v>PSW</v>
      </c>
      <c r="D182" s="19" t="str">
        <f>IF($A182="","",'Staff Directory'!$D182)</f>
        <v>A5</v>
      </c>
      <c r="E182" s="26">
        <f>IF($A182="","",COUNTIFS(tblIssues[Staff ID],$A182))</f>
        <v>8</v>
      </c>
      <c r="F182" s="26">
        <f>IF($A182="","",SUMIFS(tblIssues[Qty Issued],tblIssues[Staff ID],$A182))</f>
        <v>1683</v>
      </c>
      <c r="G182" s="21">
        <f>IF($A182="","",SUMIFS(tblIssues[Line Cost],tblIssues[Staff ID],$A182))</f>
        <v>115.5</v>
      </c>
      <c r="H182" s="24">
        <f>IF($A182="","",IF($E182=0,"",IFERROR(_xlfn.MAXIFS(tblIssues[Order Date],tblIssues[Staff ID],$A182),"")))</f>
        <v>46209</v>
      </c>
      <c r="I182" s="24">
        <f>IF($A182="","",IF($E182=0,"",IFERROR(_xlfn.MAXIFS(tblIssues[Next Scheduled],tblIssues[Staff ID],$A182),"")))</f>
        <v>46255</v>
      </c>
      <c r="J182" s="26">
        <f>IF($A182="","",COUNTIFS(tblIssues[Staff ID],$A182,tblIssues[Status],"Pending"))</f>
        <v>0</v>
      </c>
    </row>
    <row r="183" spans="1:10" x14ac:dyDescent="0.35">
      <c r="A183" s="18" t="str">
        <f>IF('Staff Directory'!$A183="","",'Staff Directory'!$A183)</f>
        <v>TL/RPN-004-A4</v>
      </c>
      <c r="B183" s="18" t="str">
        <f>IF($A183="","",'Staff Directory'!$B183)</f>
        <v>Lastname178, Firstname178</v>
      </c>
      <c r="C183" s="19" t="str">
        <f>IF($A183="","",'Staff Directory'!$C183)</f>
        <v>TL/RPN</v>
      </c>
      <c r="D183" s="19" t="str">
        <f>IF($A183="","",'Staff Directory'!$D183)</f>
        <v>A4</v>
      </c>
      <c r="E183" s="26">
        <f>IF($A183="","",COUNTIFS(tblIssues[Staff ID],$A183))</f>
        <v>0</v>
      </c>
      <c r="F183" s="26">
        <f>IF($A183="","",SUMIFS(tblIssues[Qty Issued],tblIssues[Staff ID],$A183))</f>
        <v>0</v>
      </c>
      <c r="G183" s="21">
        <f>IF($A183="","",SUMIFS(tblIssues[Line Cost],tblIssues[Staff ID],$A183))</f>
        <v>0</v>
      </c>
      <c r="H183" s="24" t="str">
        <f>IF($A183="","",IF($E183=0,"",IFERROR(_xlfn.MAXIFS(tblIssues[Order Date],tblIssues[Staff ID],$A183),"")))</f>
        <v/>
      </c>
      <c r="I183" s="24" t="str">
        <f>IF($A183="","",IF($E183=0,"",IFERROR(_xlfn.MAXIFS(tblIssues[Next Scheduled],tblIssues[Staff ID],$A183),"")))</f>
        <v/>
      </c>
      <c r="J183" s="26">
        <f>IF($A183="","",COUNTIFS(tblIssues[Staff ID],$A183,tblIssues[Status],"Pending"))</f>
        <v>0</v>
      </c>
    </row>
    <row r="184" spans="1:10" x14ac:dyDescent="0.35">
      <c r="A184" s="18" t="str">
        <f>IF('Staff Directory'!$A184="","",'Staff Directory'!$A184)</f>
        <v>PSW-116-A6</v>
      </c>
      <c r="B184" s="18" t="str">
        <f>IF($A184="","",'Staff Directory'!$B184)</f>
        <v>Lastname179, Firstname179</v>
      </c>
      <c r="C184" s="19" t="str">
        <f>IF($A184="","",'Staff Directory'!$C184)</f>
        <v>PSW</v>
      </c>
      <c r="D184" s="19" t="str">
        <f>IF($A184="","",'Staff Directory'!$D184)</f>
        <v>A6</v>
      </c>
      <c r="E184" s="26">
        <f>IF($A184="","",COUNTIFS(tblIssues[Staff ID],$A184))</f>
        <v>10</v>
      </c>
      <c r="F184" s="26">
        <f>IF($A184="","",SUMIFS(tblIssues[Qty Issued],tblIssues[Staff ID],$A184))</f>
        <v>1794</v>
      </c>
      <c r="G184" s="21">
        <f>IF($A184="","",SUMIFS(tblIssues[Line Cost],tblIssues[Staff ID],$A184))</f>
        <v>127.98020000000001</v>
      </c>
      <c r="H184" s="24">
        <f>IF($A184="","",IF($E184=0,"",IFERROR(_xlfn.MAXIFS(tblIssues[Order Date],tblIssues[Staff ID],$A184),"")))</f>
        <v>46175</v>
      </c>
      <c r="I184" s="24">
        <f>IF($A184="","",IF($E184=0,"",IFERROR(_xlfn.MAXIFS(tblIssues[Next Scheduled],tblIssues[Staff ID],$A184),"")))</f>
        <v>46223</v>
      </c>
      <c r="J184" s="26">
        <f>IF($A184="","",COUNTIFS(tblIssues[Staff ID],$A184,tblIssues[Status],"Pending"))</f>
        <v>0</v>
      </c>
    </row>
    <row r="185" spans="1:10" x14ac:dyDescent="0.35">
      <c r="A185" s="18" t="str">
        <f>IF('Staff Directory'!$A185="","",'Staff Directory'!$A185)</f>
        <v>PSW-117-A5</v>
      </c>
      <c r="B185" s="18" t="str">
        <f>IF($A185="","",'Staff Directory'!$B185)</f>
        <v>Lastname180, Firstname180</v>
      </c>
      <c r="C185" s="19" t="str">
        <f>IF($A185="","",'Staff Directory'!$C185)</f>
        <v>PSW</v>
      </c>
      <c r="D185" s="19" t="str">
        <f>IF($A185="","",'Staff Directory'!$D185)</f>
        <v>A5</v>
      </c>
      <c r="E185" s="26">
        <f>IF($A185="","",COUNTIFS(tblIssues[Staff ID],$A185))</f>
        <v>0</v>
      </c>
      <c r="F185" s="26">
        <f>IF($A185="","",SUMIFS(tblIssues[Qty Issued],tblIssues[Staff ID],$A185))</f>
        <v>0</v>
      </c>
      <c r="G185" s="21">
        <f>IF($A185="","",SUMIFS(tblIssues[Line Cost],tblIssues[Staff ID],$A185))</f>
        <v>0</v>
      </c>
      <c r="H185" s="24" t="str">
        <f>IF($A185="","",IF($E185=0,"",IFERROR(_xlfn.MAXIFS(tblIssues[Order Date],tblIssues[Staff ID],$A185),"")))</f>
        <v/>
      </c>
      <c r="I185" s="24" t="str">
        <f>IF($A185="","",IF($E185=0,"",IFERROR(_xlfn.MAXIFS(tblIssues[Next Scheduled],tblIssues[Staff ID],$A185),"")))</f>
        <v/>
      </c>
      <c r="J185" s="26">
        <f>IF($A185="","",COUNTIFS(tblIssues[Staff ID],$A185,tblIssues[Status],"Pending"))</f>
        <v>0</v>
      </c>
    </row>
    <row r="186" spans="1:10" x14ac:dyDescent="0.35">
      <c r="A186" s="18" t="str">
        <f>IF('Staff Directory'!$A186="","",'Staff Directory'!$A186)</f>
        <v>PSW-118-A5</v>
      </c>
      <c r="B186" s="18" t="str">
        <f>IF($A186="","",'Staff Directory'!$B186)</f>
        <v>Lastname181, Firstname181</v>
      </c>
      <c r="C186" s="19" t="str">
        <f>IF($A186="","",'Staff Directory'!$C186)</f>
        <v>PSW</v>
      </c>
      <c r="D186" s="19" t="str">
        <f>IF($A186="","",'Staff Directory'!$D186)</f>
        <v>A5</v>
      </c>
      <c r="E186" s="26">
        <f>IF($A186="","",COUNTIFS(tblIssues[Staff ID],$A186))</f>
        <v>11</v>
      </c>
      <c r="F186" s="26">
        <f>IF($A186="","",SUMIFS(tblIssues[Qty Issued],tblIssues[Staff ID],$A186))</f>
        <v>2207</v>
      </c>
      <c r="G186" s="21">
        <f>IF($A186="","",SUMIFS(tblIssues[Line Cost],tblIssues[Staff ID],$A186))</f>
        <v>175.00020000000001</v>
      </c>
      <c r="H186" s="24">
        <f>IF($A186="","",IF($E186=0,"",IFERROR(_xlfn.MAXIFS(tblIssues[Order Date],tblIssues[Staff ID],$A186),"")))</f>
        <v>46206</v>
      </c>
      <c r="I186" s="24">
        <f>IF($A186="","",IF($E186=0,"",IFERROR(_xlfn.MAXIFS(tblIssues[Next Scheduled],tblIssues[Staff ID],$A186),"")))</f>
        <v>46254</v>
      </c>
      <c r="J186" s="26">
        <f>IF($A186="","",COUNTIFS(tblIssues[Staff ID],$A186,tblIssues[Status],"Pending"))</f>
        <v>0</v>
      </c>
    </row>
    <row r="187" spans="1:10" x14ac:dyDescent="0.35">
      <c r="A187" s="18" t="str">
        <f>IF('Staff Directory'!$A187="","",'Staff Directory'!$A187)</f>
        <v>PSW-119-A5</v>
      </c>
      <c r="B187" s="18" t="str">
        <f>IF($A187="","",'Staff Directory'!$B187)</f>
        <v>Lastname182, Firstname182</v>
      </c>
      <c r="C187" s="19" t="str">
        <f>IF($A187="","",'Staff Directory'!$C187)</f>
        <v>PSW</v>
      </c>
      <c r="D187" s="19" t="str">
        <f>IF($A187="","",'Staff Directory'!$D187)</f>
        <v>A5</v>
      </c>
      <c r="E187" s="26">
        <f>IF($A187="","",COUNTIFS(tblIssues[Staff ID],$A187))</f>
        <v>9</v>
      </c>
      <c r="F187" s="26">
        <f>IF($A187="","",SUMIFS(tblIssues[Qty Issued],tblIssues[Staff ID],$A187))</f>
        <v>1263</v>
      </c>
      <c r="G187" s="21">
        <f>IF($A187="","",SUMIFS(tblIssues[Line Cost],tblIssues[Staff ID],$A187))</f>
        <v>96.000200000000007</v>
      </c>
      <c r="H187" s="24">
        <f>IF($A187="","",IF($E187=0,"",IFERROR(_xlfn.MAXIFS(tblIssues[Order Date],tblIssues[Staff ID],$A187),"")))</f>
        <v>46224</v>
      </c>
      <c r="I187" s="24">
        <f>IF($A187="","",IF($E187=0,"",IFERROR(_xlfn.MAXIFS(tblIssues[Next Scheduled],tblIssues[Staff ID],$A187),"")))</f>
        <v>46272</v>
      </c>
      <c r="J187" s="26">
        <f>IF($A187="","",COUNTIFS(tblIssues[Staff ID],$A187,tblIssues[Status],"Pending"))</f>
        <v>0</v>
      </c>
    </row>
    <row r="188" spans="1:10" x14ac:dyDescent="0.35">
      <c r="A188" s="18" t="str">
        <f>IF('Staff Directory'!$A188="","",'Staff Directory'!$A188)</f>
        <v>PSW-120-A5</v>
      </c>
      <c r="B188" s="18" t="str">
        <f>IF($A188="","",'Staff Directory'!$B188)</f>
        <v>Lastname183, Firstname183</v>
      </c>
      <c r="C188" s="19" t="str">
        <f>IF($A188="","",'Staff Directory'!$C188)</f>
        <v>PSW</v>
      </c>
      <c r="D188" s="19" t="str">
        <f>IF($A188="","",'Staff Directory'!$D188)</f>
        <v>A5</v>
      </c>
      <c r="E188" s="26">
        <f>IF($A188="","",COUNTIFS(tblIssues[Staff ID],$A188))</f>
        <v>2</v>
      </c>
      <c r="F188" s="26">
        <f>IF($A188="","",SUMIFS(tblIssues[Qty Issued],tblIssues[Staff ID],$A188))</f>
        <v>550</v>
      </c>
      <c r="G188" s="21">
        <f>IF($A188="","",SUMIFS(tblIssues[Line Cost],tblIssues[Staff ID],$A188))</f>
        <v>40</v>
      </c>
      <c r="H188" s="24">
        <f>IF($A188="","",IF($E188=0,"",IFERROR(_xlfn.MAXIFS(tblIssues[Order Date],tblIssues[Staff ID],$A188),"")))</f>
        <v>46185</v>
      </c>
      <c r="I188" s="24">
        <f>IF($A188="","",IF($E188=0,"",IFERROR(_xlfn.MAXIFS(tblIssues[Next Scheduled],tblIssues[Staff ID],$A188),"")))</f>
        <v>46233</v>
      </c>
      <c r="J188" s="26">
        <f>IF($A188="","",COUNTIFS(tblIssues[Staff ID],$A188,tblIssues[Status],"Pending"))</f>
        <v>0</v>
      </c>
    </row>
    <row r="189" spans="1:10" x14ac:dyDescent="0.35">
      <c r="A189" s="18" t="str">
        <f>IF('Staff Directory'!$A189="","",'Staff Directory'!$A189)</f>
        <v>PSW-121-A4</v>
      </c>
      <c r="B189" s="18" t="str">
        <f>IF($A189="","",'Staff Directory'!$B189)</f>
        <v>Lastname184, Firstname184</v>
      </c>
      <c r="C189" s="19" t="str">
        <f>IF($A189="","",'Staff Directory'!$C189)</f>
        <v>PSW</v>
      </c>
      <c r="D189" s="19" t="str">
        <f>IF($A189="","",'Staff Directory'!$D189)</f>
        <v>A4</v>
      </c>
      <c r="E189" s="26">
        <f>IF($A189="","",COUNTIFS(tblIssues[Staff ID],$A189))</f>
        <v>16</v>
      </c>
      <c r="F189" s="26">
        <f>IF($A189="","",SUMIFS(tblIssues[Qty Issued],tblIssues[Staff ID],$A189))</f>
        <v>2540</v>
      </c>
      <c r="G189" s="21">
        <f>IF($A189="","",SUMIFS(tblIssues[Line Cost],tblIssues[Staff ID],$A189))</f>
        <v>252</v>
      </c>
      <c r="H189" s="24">
        <f>IF($A189="","",IF($E189=0,"",IFERROR(_xlfn.MAXIFS(tblIssues[Order Date],tblIssues[Staff ID],$A189),"")))</f>
        <v>46206</v>
      </c>
      <c r="I189" s="24">
        <f>IF($A189="","",IF($E189=0,"",IFERROR(_xlfn.MAXIFS(tblIssues[Next Scheduled],tblIssues[Staff ID],$A189),"")))</f>
        <v>46254</v>
      </c>
      <c r="J189" s="26">
        <f>IF($A189="","",COUNTIFS(tblIssues[Staff ID],$A189,tblIssues[Status],"Pending"))</f>
        <v>0</v>
      </c>
    </row>
    <row r="190" spans="1:10" x14ac:dyDescent="0.35">
      <c r="A190" s="18" t="str">
        <f>IF('Staff Directory'!$A190="","",'Staff Directory'!$A190)</f>
        <v>PSW-122-A5</v>
      </c>
      <c r="B190" s="18" t="str">
        <f>IF($A190="","",'Staff Directory'!$B190)</f>
        <v>Lastname185, Firstname185</v>
      </c>
      <c r="C190" s="19" t="str">
        <f>IF($A190="","",'Staff Directory'!$C190)</f>
        <v>PSW</v>
      </c>
      <c r="D190" s="19" t="str">
        <f>IF($A190="","",'Staff Directory'!$D190)</f>
        <v>A5</v>
      </c>
      <c r="E190" s="26">
        <f>IF($A190="","",COUNTIFS(tblIssues[Staff ID],$A190))</f>
        <v>0</v>
      </c>
      <c r="F190" s="26">
        <f>IF($A190="","",SUMIFS(tblIssues[Qty Issued],tblIssues[Staff ID],$A190))</f>
        <v>0</v>
      </c>
      <c r="G190" s="21">
        <f>IF($A190="","",SUMIFS(tblIssues[Line Cost],tblIssues[Staff ID],$A190))</f>
        <v>0</v>
      </c>
      <c r="H190" s="24" t="str">
        <f>IF($A190="","",IF($E190=0,"",IFERROR(_xlfn.MAXIFS(tblIssues[Order Date],tblIssues[Staff ID],$A190),"")))</f>
        <v/>
      </c>
      <c r="I190" s="24" t="str">
        <f>IF($A190="","",IF($E190=0,"",IFERROR(_xlfn.MAXIFS(tblIssues[Next Scheduled],tblIssues[Staff ID],$A190),"")))</f>
        <v/>
      </c>
      <c r="J190" s="26">
        <f>IF($A190="","",COUNTIFS(tblIssues[Staff ID],$A190,tblIssues[Status],"Pending"))</f>
        <v>0</v>
      </c>
    </row>
    <row r="191" spans="1:10" x14ac:dyDescent="0.35">
      <c r="A191" s="18" t="str">
        <f>IF('Staff Directory'!$A191="","",'Staff Directory'!$A191)</f>
        <v>PSW-123-A4</v>
      </c>
      <c r="B191" s="18" t="str">
        <f>IF($A191="","",'Staff Directory'!$B191)</f>
        <v>Lastname186, Firstname186</v>
      </c>
      <c r="C191" s="19" t="str">
        <f>IF($A191="","",'Staff Directory'!$C191)</f>
        <v>PSW</v>
      </c>
      <c r="D191" s="19" t="str">
        <f>IF($A191="","",'Staff Directory'!$D191)</f>
        <v>A4</v>
      </c>
      <c r="E191" s="26">
        <f>IF($A191="","",COUNTIFS(tblIssues[Staff ID],$A191))</f>
        <v>0</v>
      </c>
      <c r="F191" s="26">
        <f>IF($A191="","",SUMIFS(tblIssues[Qty Issued],tblIssues[Staff ID],$A191))</f>
        <v>0</v>
      </c>
      <c r="G191" s="21">
        <f>IF($A191="","",SUMIFS(tblIssues[Line Cost],tblIssues[Staff ID],$A191))</f>
        <v>0</v>
      </c>
      <c r="H191" s="24" t="str">
        <f>IF($A191="","",IF($E191=0,"",IFERROR(_xlfn.MAXIFS(tblIssues[Order Date],tblIssues[Staff ID],$A191),"")))</f>
        <v/>
      </c>
      <c r="I191" s="24" t="str">
        <f>IF($A191="","",IF($E191=0,"",IFERROR(_xlfn.MAXIFS(tblIssues[Next Scheduled],tblIssues[Staff ID],$A191),"")))</f>
        <v/>
      </c>
      <c r="J191" s="26">
        <f>IF($A191="","",COUNTIFS(tblIssues[Staff ID],$A191,tblIssues[Status],"Pending"))</f>
        <v>0</v>
      </c>
    </row>
    <row r="192" spans="1:10" x14ac:dyDescent="0.35">
      <c r="A192" s="18" t="str">
        <f>IF('Staff Directory'!$A192="","",'Staff Directory'!$A192)</f>
        <v>PSW-124-A6</v>
      </c>
      <c r="B192" s="18" t="str">
        <f>IF($A192="","",'Staff Directory'!$B192)</f>
        <v>Lastname187, Firstname187</v>
      </c>
      <c r="C192" s="19" t="str">
        <f>IF($A192="","",'Staff Directory'!$C192)</f>
        <v>PSW</v>
      </c>
      <c r="D192" s="19" t="str">
        <f>IF($A192="","",'Staff Directory'!$D192)</f>
        <v>A6</v>
      </c>
      <c r="E192" s="26">
        <f>IF($A192="","",COUNTIFS(tblIssues[Staff ID],$A192))</f>
        <v>14</v>
      </c>
      <c r="F192" s="26">
        <f>IF($A192="","",SUMIFS(tblIssues[Qty Issued],tblIssues[Staff ID],$A192))</f>
        <v>2523</v>
      </c>
      <c r="G192" s="21">
        <f>IF($A192="","",SUMIFS(tblIssues[Line Cost],tblIssues[Staff ID],$A192))</f>
        <v>192</v>
      </c>
      <c r="H192" s="24">
        <f>IF($A192="","",IF($E192=0,"",IFERROR(_xlfn.MAXIFS(tblIssues[Order Date],tblIssues[Staff ID],$A192),"")))</f>
        <v>46206</v>
      </c>
      <c r="I192" s="24">
        <f>IF($A192="","",IF($E192=0,"",IFERROR(_xlfn.MAXIFS(tblIssues[Next Scheduled],tblIssues[Staff ID],$A192),"")))</f>
        <v>46254</v>
      </c>
      <c r="J192" s="26">
        <f>IF($A192="","",COUNTIFS(tblIssues[Staff ID],$A192,tblIssues[Status],"Pending"))</f>
        <v>0</v>
      </c>
    </row>
    <row r="193" spans="1:10" x14ac:dyDescent="0.35">
      <c r="A193" s="18" t="str">
        <f>IF('Staff Directory'!$A193="","",'Staff Directory'!$A193)</f>
        <v>PSW-125-A4</v>
      </c>
      <c r="B193" s="18" t="str">
        <f>IF($A193="","",'Staff Directory'!$B193)</f>
        <v>Lastname188, Firstname188</v>
      </c>
      <c r="C193" s="19" t="str">
        <f>IF($A193="","",'Staff Directory'!$C193)</f>
        <v>PSW</v>
      </c>
      <c r="D193" s="19" t="str">
        <f>IF($A193="","",'Staff Directory'!$D193)</f>
        <v>A4</v>
      </c>
      <c r="E193" s="26">
        <f>IF($A193="","",COUNTIFS(tblIssues[Staff ID],$A193))</f>
        <v>18</v>
      </c>
      <c r="F193" s="26">
        <f>IF($A193="","",SUMIFS(tblIssues[Qty Issued],tblIssues[Staff ID],$A193))</f>
        <v>2527</v>
      </c>
      <c r="G193" s="21">
        <f>IF($A193="","",SUMIFS(tblIssues[Line Cost],tblIssues[Staff ID],$A193))</f>
        <v>192.00040000000001</v>
      </c>
      <c r="H193" s="24">
        <f>IF($A193="","",IF($E193=0,"",IFERROR(_xlfn.MAXIFS(tblIssues[Order Date],tblIssues[Staff ID],$A193),"")))</f>
        <v>46224</v>
      </c>
      <c r="I193" s="24">
        <f>IF($A193="","",IF($E193=0,"",IFERROR(_xlfn.MAXIFS(tblIssues[Next Scheduled],tblIssues[Staff ID],$A193),"")))</f>
        <v>46272</v>
      </c>
      <c r="J193" s="26">
        <f>IF($A193="","",COUNTIFS(tblIssues[Staff ID],$A193,tblIssues[Status],"Pending"))</f>
        <v>0</v>
      </c>
    </row>
    <row r="194" spans="1:10" x14ac:dyDescent="0.35">
      <c r="A194" s="18" t="str">
        <f>IF('Staff Directory'!$A194="","",'Staff Directory'!$A194)</f>
        <v>PSW-126-A6</v>
      </c>
      <c r="B194" s="18" t="str">
        <f>IF($A194="","",'Staff Directory'!$B194)</f>
        <v>Lastname189, Firstname189</v>
      </c>
      <c r="C194" s="19" t="str">
        <f>IF($A194="","",'Staff Directory'!$C194)</f>
        <v>PSW</v>
      </c>
      <c r="D194" s="19" t="str">
        <f>IF($A194="","",'Staff Directory'!$D194)</f>
        <v>A6</v>
      </c>
      <c r="E194" s="26">
        <f>IF($A194="","",COUNTIFS(tblIssues[Staff ID],$A194))</f>
        <v>13</v>
      </c>
      <c r="F194" s="26">
        <f>IF($A194="","",SUMIFS(tblIssues[Qty Issued],tblIssues[Staff ID],$A194))</f>
        <v>2728</v>
      </c>
      <c r="G194" s="21">
        <f>IF($A194="","",SUMIFS(tblIssues[Line Cost],tblIssues[Staff ID],$A194))</f>
        <v>196.75</v>
      </c>
      <c r="H194" s="24">
        <f>IF($A194="","",IF($E194=0,"",IFERROR(_xlfn.MAXIFS(tblIssues[Order Date],tblIssues[Staff ID],$A194),"")))</f>
        <v>46211</v>
      </c>
      <c r="I194" s="24">
        <f>IF($A194="","",IF($E194=0,"",IFERROR(_xlfn.MAXIFS(tblIssues[Next Scheduled],tblIssues[Staff ID],$A194),"")))</f>
        <v>46259</v>
      </c>
      <c r="J194" s="26">
        <f>IF($A194="","",COUNTIFS(tblIssues[Staff ID],$A194,tblIssues[Status],"Pending"))</f>
        <v>0</v>
      </c>
    </row>
    <row r="195" spans="1:10" x14ac:dyDescent="0.35">
      <c r="A195" s="18" t="str">
        <f>IF('Staff Directory'!$A195="","",'Staff Directory'!$A195)</f>
        <v>PSW-127-A6</v>
      </c>
      <c r="B195" s="18" t="str">
        <f>IF($A195="","",'Staff Directory'!$B195)</f>
        <v>Lastname190, Firstname190</v>
      </c>
      <c r="C195" s="19" t="str">
        <f>IF($A195="","",'Staff Directory'!$C195)</f>
        <v>PSW</v>
      </c>
      <c r="D195" s="19" t="str">
        <f>IF($A195="","",'Staff Directory'!$D195)</f>
        <v>A6</v>
      </c>
      <c r="E195" s="26">
        <f>IF($A195="","",COUNTIFS(tblIssues[Staff ID],$A195))</f>
        <v>14</v>
      </c>
      <c r="F195" s="26">
        <f>IF($A195="","",SUMIFS(tblIssues[Qty Issued],tblIssues[Staff ID],$A195))</f>
        <v>2425</v>
      </c>
      <c r="G195" s="21">
        <f>IF($A195="","",SUMIFS(tblIssues[Line Cost],tblIssues[Staff ID],$A195))</f>
        <v>175.9802</v>
      </c>
      <c r="H195" s="24">
        <f>IF($A195="","",IF($E195=0,"",IFERROR(_xlfn.MAXIFS(tblIssues[Order Date],tblIssues[Staff ID],$A195),"")))</f>
        <v>46204</v>
      </c>
      <c r="I195" s="24">
        <f>IF($A195="","",IF($E195=0,"",IFERROR(_xlfn.MAXIFS(tblIssues[Next Scheduled],tblIssues[Staff ID],$A195),"")))</f>
        <v>46252</v>
      </c>
      <c r="J195" s="26">
        <f>IF($A195="","",COUNTIFS(tblIssues[Staff ID],$A195,tblIssues[Status],"Pending"))</f>
        <v>0</v>
      </c>
    </row>
    <row r="196" spans="1:10" x14ac:dyDescent="0.35">
      <c r="A196" s="18" t="str">
        <f>IF('Staff Directory'!$A196="","",'Staff Directory'!$A196)</f>
        <v>PSW-128-A6</v>
      </c>
      <c r="B196" s="18" t="str">
        <f>IF($A196="","",'Staff Directory'!$B196)</f>
        <v>Lastname191, Firstname191</v>
      </c>
      <c r="C196" s="19" t="str">
        <f>IF($A196="","",'Staff Directory'!$C196)</f>
        <v>PSW</v>
      </c>
      <c r="D196" s="19" t="str">
        <f>IF($A196="","",'Staff Directory'!$D196)</f>
        <v>A6</v>
      </c>
      <c r="E196" s="26">
        <f>IF($A196="","",COUNTIFS(tblIssues[Staff ID],$A196))</f>
        <v>11</v>
      </c>
      <c r="F196" s="26">
        <f>IF($A196="","",SUMIFS(tblIssues[Qty Issued],tblIssues[Staff ID],$A196))</f>
        <v>2422</v>
      </c>
      <c r="G196" s="21">
        <f>IF($A196="","",SUMIFS(tblIssues[Line Cost],tblIssues[Staff ID],$A196))</f>
        <v>167</v>
      </c>
      <c r="H196" s="24">
        <f>IF($A196="","",IF($E196=0,"",IFERROR(_xlfn.MAXIFS(tblIssues[Order Date],tblIssues[Staff ID],$A196),"")))</f>
        <v>46231</v>
      </c>
      <c r="I196" s="24">
        <f>IF($A196="","",IF($E196=0,"",IFERROR(_xlfn.MAXIFS(tblIssues[Next Scheduled],tblIssues[Staff ID],$A196),"")))</f>
        <v>46279</v>
      </c>
      <c r="J196" s="26">
        <f>IF($A196="","",COUNTIFS(tblIssues[Staff ID],$A196,tblIssues[Status],"Pending"))</f>
        <v>2</v>
      </c>
    </row>
    <row r="197" spans="1:10" x14ac:dyDescent="0.35">
      <c r="A197" s="18" t="str">
        <f>IF('Staff Directory'!$A197="","",'Staff Directory'!$A197)</f>
        <v>PSW-129-A6</v>
      </c>
      <c r="B197" s="18" t="str">
        <f>IF($A197="","",'Staff Directory'!$B197)</f>
        <v>Lastname192, Firstname192</v>
      </c>
      <c r="C197" s="19" t="str">
        <f>IF($A197="","",'Staff Directory'!$C197)</f>
        <v>PSW</v>
      </c>
      <c r="D197" s="19" t="str">
        <f>IF($A197="","",'Staff Directory'!$D197)</f>
        <v>A6</v>
      </c>
      <c r="E197" s="26">
        <f>IF($A197="","",COUNTIFS(tblIssues[Staff ID],$A197))</f>
        <v>7</v>
      </c>
      <c r="F197" s="26">
        <f>IF($A197="","",SUMIFS(tblIssues[Qty Issued],tblIssues[Staff ID],$A197))</f>
        <v>1183</v>
      </c>
      <c r="G197" s="21">
        <f>IF($A197="","",SUMIFS(tblIssues[Line Cost],tblIssues[Staff ID],$A197))</f>
        <v>88</v>
      </c>
      <c r="H197" s="24">
        <f>IF($A197="","",IF($E197=0,"",IFERROR(_xlfn.MAXIFS(tblIssues[Order Date],tblIssues[Staff ID],$A197),"")))</f>
        <v>46224</v>
      </c>
      <c r="I197" s="24">
        <f>IF($A197="","",IF($E197=0,"",IFERROR(_xlfn.MAXIFS(tblIssues[Next Scheduled],tblIssues[Staff ID],$A197),"")))</f>
        <v>46272</v>
      </c>
      <c r="J197" s="26">
        <f>IF($A197="","",COUNTIFS(tblIssues[Staff ID],$A197,tblIssues[Status],"Pending"))</f>
        <v>0</v>
      </c>
    </row>
    <row r="198" spans="1:10" x14ac:dyDescent="0.35">
      <c r="A198" s="18" t="str">
        <f>IF('Staff Directory'!$A198="","",'Staff Directory'!$A198)</f>
        <v>PSW-130-A6</v>
      </c>
      <c r="B198" s="18" t="str">
        <f>IF($A198="","",'Staff Directory'!$B198)</f>
        <v>Lastname193, Firstname193</v>
      </c>
      <c r="C198" s="19" t="str">
        <f>IF($A198="","",'Staff Directory'!$C198)</f>
        <v>PSW</v>
      </c>
      <c r="D198" s="19" t="str">
        <f>IF($A198="","",'Staff Directory'!$D198)</f>
        <v>A6</v>
      </c>
      <c r="E198" s="26">
        <f>IF($A198="","",COUNTIFS(tblIssues[Staff ID],$A198))</f>
        <v>12</v>
      </c>
      <c r="F198" s="26">
        <f>IF($A198="","",SUMIFS(tblIssues[Qty Issued],tblIssues[Staff ID],$A198))</f>
        <v>1767</v>
      </c>
      <c r="G198" s="21">
        <f>IF($A198="","",SUMIFS(tblIssues[Line Cost],tblIssues[Staff ID],$A198))</f>
        <v>132.4802</v>
      </c>
      <c r="H198" s="24">
        <f>IF($A198="","",IF($E198=0,"",IFERROR(_xlfn.MAXIFS(tblIssues[Order Date],tblIssues[Staff ID],$A198),"")))</f>
        <v>46211</v>
      </c>
      <c r="I198" s="24">
        <f>IF($A198="","",IF($E198=0,"",IFERROR(_xlfn.MAXIFS(tblIssues[Next Scheduled],tblIssues[Staff ID],$A198),"")))</f>
        <v>46259</v>
      </c>
      <c r="J198" s="26">
        <f>IF($A198="","",COUNTIFS(tblIssues[Staff ID],$A198,tblIssues[Status],"Pending"))</f>
        <v>0</v>
      </c>
    </row>
    <row r="199" spans="1:10" x14ac:dyDescent="0.35">
      <c r="A199" s="18" t="str">
        <f>IF('Staff Directory'!$A199="","",'Staff Directory'!$A199)</f>
        <v>PSW-131-A5</v>
      </c>
      <c r="B199" s="18" t="str">
        <f>IF($A199="","",'Staff Directory'!$B199)</f>
        <v>Lastname194, Firstname194</v>
      </c>
      <c r="C199" s="19" t="str">
        <f>IF($A199="","",'Staff Directory'!$C199)</f>
        <v>PSW</v>
      </c>
      <c r="D199" s="19" t="str">
        <f>IF($A199="","",'Staff Directory'!$D199)</f>
        <v>A5</v>
      </c>
      <c r="E199" s="26">
        <f>IF($A199="","",COUNTIFS(tblIssues[Staff ID],$A199))</f>
        <v>13</v>
      </c>
      <c r="F199" s="26">
        <f>IF($A199="","",SUMIFS(tblIssues[Qty Issued],tblIssues[Staff ID],$A199))</f>
        <v>1847</v>
      </c>
      <c r="G199" s="21">
        <f>IF($A199="","",SUMIFS(tblIssues[Line Cost],tblIssues[Staff ID],$A199))</f>
        <v>147.48020000000002</v>
      </c>
      <c r="H199" s="24">
        <f>IF($A199="","",IF($E199=0,"",IFERROR(_xlfn.MAXIFS(tblIssues[Order Date],tblIssues[Staff ID],$A199),"")))</f>
        <v>46191</v>
      </c>
      <c r="I199" s="24">
        <f>IF($A199="","",IF($E199=0,"",IFERROR(_xlfn.MAXIFS(tblIssues[Next Scheduled],tblIssues[Staff ID],$A199),"")))</f>
        <v>46239</v>
      </c>
      <c r="J199" s="26">
        <f>IF($A199="","",COUNTIFS(tblIssues[Staff ID],$A199,tblIssues[Status],"Pending"))</f>
        <v>0</v>
      </c>
    </row>
    <row r="200" spans="1:10" x14ac:dyDescent="0.35">
      <c r="A200" s="18" t="str">
        <f>IF('Staff Directory'!$A200="","",'Staff Directory'!$A200)</f>
        <v>PSW-132-A6</v>
      </c>
      <c r="B200" s="18" t="str">
        <f>IF($A200="","",'Staff Directory'!$B200)</f>
        <v>Lastname195, Firstname195</v>
      </c>
      <c r="C200" s="19" t="str">
        <f>IF($A200="","",'Staff Directory'!$C200)</f>
        <v>PSW</v>
      </c>
      <c r="D200" s="19" t="str">
        <f>IF($A200="","",'Staff Directory'!$D200)</f>
        <v>A6</v>
      </c>
      <c r="E200" s="26">
        <f>IF($A200="","",COUNTIFS(tblIssues[Staff ID],$A200))</f>
        <v>15</v>
      </c>
      <c r="F200" s="26">
        <f>IF($A200="","",SUMIFS(tblIssues[Qty Issued],tblIssues[Staff ID],$A200))</f>
        <v>2426</v>
      </c>
      <c r="G200" s="21">
        <f>IF($A200="","",SUMIFS(tblIssues[Line Cost],tblIssues[Staff ID],$A200))</f>
        <v>175.98030000000003</v>
      </c>
      <c r="H200" s="24">
        <f>IF($A200="","",IF($E200=0,"",IFERROR(_xlfn.MAXIFS(tblIssues[Order Date],tblIssues[Staff ID],$A200),"")))</f>
        <v>46204</v>
      </c>
      <c r="I200" s="24">
        <f>IF($A200="","",IF($E200=0,"",IFERROR(_xlfn.MAXIFS(tblIssues[Next Scheduled],tblIssues[Staff ID],$A200),"")))</f>
        <v>46252</v>
      </c>
      <c r="J200" s="26">
        <f>IF($A200="","",COUNTIFS(tblIssues[Staff ID],$A200,tblIssues[Status],"Pending"))</f>
        <v>0</v>
      </c>
    </row>
    <row r="201" spans="1:10" x14ac:dyDescent="0.35">
      <c r="A201" s="18" t="str">
        <f>IF('Staff Directory'!$A201="","",'Staff Directory'!$A201)</f>
        <v>PSW-133-A6</v>
      </c>
      <c r="B201" s="18" t="str">
        <f>IF($A201="","",'Staff Directory'!$B201)</f>
        <v>Lastname196, Firstname196</v>
      </c>
      <c r="C201" s="19" t="str">
        <f>IF($A201="","",'Staff Directory'!$C201)</f>
        <v>PSW</v>
      </c>
      <c r="D201" s="19" t="str">
        <f>IF($A201="","",'Staff Directory'!$D201)</f>
        <v>A6</v>
      </c>
      <c r="E201" s="26">
        <f>IF($A201="","",COUNTIFS(tblIssues[Staff ID],$A201))</f>
        <v>7</v>
      </c>
      <c r="F201" s="26">
        <f>IF($A201="","",SUMIFS(tblIssues[Qty Issued],tblIssues[Staff ID],$A201))</f>
        <v>1107</v>
      </c>
      <c r="G201" s="21">
        <f>IF($A201="","",SUMIFS(tblIssues[Line Cost],tblIssues[Staff ID],$A201))</f>
        <v>95.000200000000007</v>
      </c>
      <c r="H201" s="24">
        <f>IF($A201="","",IF($E201=0,"",IFERROR(_xlfn.MAXIFS(tblIssues[Order Date],tblIssues[Staff ID],$A201),"")))</f>
        <v>46191</v>
      </c>
      <c r="I201" s="24">
        <f>IF($A201="","",IF($E201=0,"",IFERROR(_xlfn.MAXIFS(tblIssues[Next Scheduled],tblIssues[Staff ID],$A201),"")))</f>
        <v>46239</v>
      </c>
      <c r="J201" s="26">
        <f>IF($A201="","",COUNTIFS(tblIssues[Staff ID],$A201,tblIssues[Status],"Pending"))</f>
        <v>0</v>
      </c>
    </row>
    <row r="202" spans="1:10" x14ac:dyDescent="0.35">
      <c r="A202" s="18" t="str">
        <f>IF('Staff Directory'!$A202="","",'Staff Directory'!$A202)</f>
        <v>PSW-134-A6</v>
      </c>
      <c r="B202" s="18" t="str">
        <f>IF($A202="","",'Staff Directory'!$B202)</f>
        <v>Lastname197, Firstname197</v>
      </c>
      <c r="C202" s="19" t="str">
        <f>IF($A202="","",'Staff Directory'!$C202)</f>
        <v>PSW</v>
      </c>
      <c r="D202" s="19" t="str">
        <f>IF($A202="","",'Staff Directory'!$D202)</f>
        <v>A6</v>
      </c>
      <c r="E202" s="26">
        <f>IF($A202="","",COUNTIFS(tblIssues[Staff ID],$A202))</f>
        <v>7</v>
      </c>
      <c r="F202" s="26">
        <f>IF($A202="","",SUMIFS(tblIssues[Qty Issued],tblIssues[Staff ID],$A202))</f>
        <v>1103</v>
      </c>
      <c r="G202" s="21">
        <f>IF($A202="","",SUMIFS(tblIssues[Line Cost],tblIssues[Staff ID],$A202))</f>
        <v>80.000200000000007</v>
      </c>
      <c r="H202" s="24">
        <f>IF($A202="","",IF($E202=0,"",IFERROR(_xlfn.MAXIFS(tblIssues[Order Date],tblIssues[Staff ID],$A202),"")))</f>
        <v>46197</v>
      </c>
      <c r="I202" s="24">
        <f>IF($A202="","",IF($E202=0,"",IFERROR(_xlfn.MAXIFS(tblIssues[Next Scheduled],tblIssues[Staff ID],$A202),"")))</f>
        <v>46245</v>
      </c>
      <c r="J202" s="26">
        <f>IF($A202="","",COUNTIFS(tblIssues[Staff ID],$A202,tblIssues[Status],"Pending"))</f>
        <v>0</v>
      </c>
    </row>
    <row r="203" spans="1:10" x14ac:dyDescent="0.35">
      <c r="A203" s="18" t="str">
        <f>IF('Staff Directory'!$A203="","",'Staff Directory'!$A203)</f>
        <v>PSW-135-A5</v>
      </c>
      <c r="B203" s="18" t="str">
        <f>IF($A203="","",'Staff Directory'!$B203)</f>
        <v>Lastname198, Firstname198</v>
      </c>
      <c r="C203" s="19" t="str">
        <f>IF($A203="","",'Staff Directory'!$C203)</f>
        <v>PSW</v>
      </c>
      <c r="D203" s="19" t="str">
        <f>IF($A203="","",'Staff Directory'!$D203)</f>
        <v>A5</v>
      </c>
      <c r="E203" s="26">
        <f>IF($A203="","",COUNTIFS(tblIssues[Staff ID],$A203))</f>
        <v>8</v>
      </c>
      <c r="F203" s="26">
        <f>IF($A203="","",SUMIFS(tblIssues[Qty Issued],tblIssues[Staff ID],$A203))</f>
        <v>1603</v>
      </c>
      <c r="G203" s="21">
        <f>IF($A203="","",SUMIFS(tblIssues[Line Cost],tblIssues[Staff ID],$A203))</f>
        <v>107.50020000000001</v>
      </c>
      <c r="H203" s="24">
        <f>IF($A203="","",IF($E203=0,"",IFERROR(_xlfn.MAXIFS(tblIssues[Order Date],tblIssues[Staff ID],$A203),"")))</f>
        <v>46212</v>
      </c>
      <c r="I203" s="24">
        <f>IF($A203="","",IF($E203=0,"",IFERROR(_xlfn.MAXIFS(tblIssues[Next Scheduled],tblIssues[Staff ID],$A203),"")))</f>
        <v>46260</v>
      </c>
      <c r="J203" s="26">
        <f>IF($A203="","",COUNTIFS(tblIssues[Staff ID],$A203,tblIssues[Status],"Pending"))</f>
        <v>0</v>
      </c>
    </row>
    <row r="204" spans="1:10" x14ac:dyDescent="0.35">
      <c r="A204" s="18" t="str">
        <f>IF('Staff Directory'!$A204="","",'Staff Directory'!$A204)</f>
        <v>PSW-136-A4</v>
      </c>
      <c r="B204" s="18" t="str">
        <f>IF($A204="","",'Staff Directory'!$B204)</f>
        <v>Lastname199, Firstname199</v>
      </c>
      <c r="C204" s="19" t="str">
        <f>IF($A204="","",'Staff Directory'!$C204)</f>
        <v>PSW</v>
      </c>
      <c r="D204" s="19" t="str">
        <f>IF($A204="","",'Staff Directory'!$D204)</f>
        <v>A4</v>
      </c>
      <c r="E204" s="26">
        <f>IF($A204="","",COUNTIFS(tblIssues[Staff ID],$A204))</f>
        <v>10</v>
      </c>
      <c r="F204" s="26">
        <f>IF($A204="","",SUMIFS(tblIssues[Qty Issued],tblIssues[Staff ID],$A204))</f>
        <v>1812</v>
      </c>
      <c r="G204" s="21">
        <f>IF($A204="","",SUMIFS(tblIssues[Line Cost],tblIssues[Staff ID],$A204))</f>
        <v>136.0001</v>
      </c>
      <c r="H204" s="24">
        <f>IF($A204="","",IF($E204=0,"",IFERROR(_xlfn.MAXIFS(tblIssues[Order Date],tblIssues[Staff ID],$A204),"")))</f>
        <v>46219</v>
      </c>
      <c r="I204" s="24">
        <f>IF($A204="","",IF($E204=0,"",IFERROR(_xlfn.MAXIFS(tblIssues[Next Scheduled],tblIssues[Staff ID],$A204),"")))</f>
        <v>46267</v>
      </c>
      <c r="J204" s="26">
        <f>IF($A204="","",COUNTIFS(tblIssues[Staff ID],$A204,tblIssues[Status],"Pending"))</f>
        <v>0</v>
      </c>
    </row>
    <row r="205" spans="1:10" x14ac:dyDescent="0.35">
      <c r="A205" s="18" t="str">
        <f>IF('Staff Directory'!$A205="","",'Staff Directory'!$A205)</f>
        <v>PSW-137-A6</v>
      </c>
      <c r="B205" s="18" t="str">
        <f>IF($A205="","",'Staff Directory'!$B205)</f>
        <v>Lastname200, Firstname200</v>
      </c>
      <c r="C205" s="19" t="str">
        <f>IF($A205="","",'Staff Directory'!$C205)</f>
        <v>PSW</v>
      </c>
      <c r="D205" s="19" t="str">
        <f>IF($A205="","",'Staff Directory'!$D205)</f>
        <v>A6</v>
      </c>
      <c r="E205" s="26">
        <f>IF($A205="","",COUNTIFS(tblIssues[Staff ID],$A205))</f>
        <v>4</v>
      </c>
      <c r="F205" s="26">
        <f>IF($A205="","",SUMIFS(tblIssues[Qty Issued],tblIssues[Staff ID],$A205))</f>
        <v>1130</v>
      </c>
      <c r="G205" s="21">
        <f>IF($A205="","",SUMIFS(tblIssues[Line Cost],tblIssues[Staff ID],$A205))</f>
        <v>75.5</v>
      </c>
      <c r="H205" s="24">
        <f>IF($A205="","",IF($E205=0,"",IFERROR(_xlfn.MAXIFS(tblIssues[Order Date],tblIssues[Staff ID],$A205),"")))</f>
        <v>46189</v>
      </c>
      <c r="I205" s="24">
        <f>IF($A205="","",IF($E205=0,"",IFERROR(_xlfn.MAXIFS(tblIssues[Next Scheduled],tblIssues[Staff ID],$A205),"")))</f>
        <v>46237</v>
      </c>
      <c r="J205" s="26">
        <f>IF($A205="","",COUNTIFS(tblIssues[Staff ID],$A205,tblIssues[Status],"Pending"))</f>
        <v>0</v>
      </c>
    </row>
    <row r="206" spans="1:10" x14ac:dyDescent="0.35">
      <c r="A206" s="18" t="str">
        <f>IF('Staff Directory'!$A206="","",'Staff Directory'!$A206)</f>
        <v>PSW-138-A4</v>
      </c>
      <c r="B206" s="18" t="str">
        <f>IF($A206="","",'Staff Directory'!$B206)</f>
        <v>Lastname201, Firstname201</v>
      </c>
      <c r="C206" s="19" t="str">
        <f>IF($A206="","",'Staff Directory'!$C206)</f>
        <v>PSW</v>
      </c>
      <c r="D206" s="19" t="str">
        <f>IF($A206="","",'Staff Directory'!$D206)</f>
        <v>A4</v>
      </c>
      <c r="E206" s="26">
        <f>IF($A206="","",COUNTIFS(tblIssues[Staff ID],$A206))</f>
        <v>12</v>
      </c>
      <c r="F206" s="26">
        <f>IF($A206="","",SUMIFS(tblIssues[Qty Issued],tblIssues[Staff ID],$A206))</f>
        <v>1845</v>
      </c>
      <c r="G206" s="21">
        <f>IF($A206="","",SUMIFS(tblIssues[Line Cost],tblIssues[Staff ID],$A206))</f>
        <v>140.48020000000002</v>
      </c>
      <c r="H206" s="24">
        <f>IF($A206="","",IF($E206=0,"",IFERROR(_xlfn.MAXIFS(tblIssues[Order Date],tblIssues[Staff ID],$A206),"")))</f>
        <v>46204</v>
      </c>
      <c r="I206" s="24">
        <f>IF($A206="","",IF($E206=0,"",IFERROR(_xlfn.MAXIFS(tblIssues[Next Scheduled],tblIssues[Staff ID],$A206),"")))</f>
        <v>46252</v>
      </c>
      <c r="J206" s="26">
        <f>IF($A206="","",COUNTIFS(tblIssues[Staff ID],$A206,tblIssues[Status],"Pending"))</f>
        <v>0</v>
      </c>
    </row>
    <row r="207" spans="1:10" x14ac:dyDescent="0.35">
      <c r="A207" s="18" t="str">
        <f>IF('Staff Directory'!$A207="","",'Staff Directory'!$A207)</f>
        <v>PSW-139-A4</v>
      </c>
      <c r="B207" s="18" t="str">
        <f>IF($A207="","",'Staff Directory'!$B207)</f>
        <v>Lastname202, Firstname202</v>
      </c>
      <c r="C207" s="19" t="str">
        <f>IF($A207="","",'Staff Directory'!$C207)</f>
        <v>PSW</v>
      </c>
      <c r="D207" s="19" t="str">
        <f>IF($A207="","",'Staff Directory'!$D207)</f>
        <v>A4</v>
      </c>
      <c r="E207" s="26">
        <f>IF($A207="","",COUNTIFS(tblIssues[Staff ID],$A207))</f>
        <v>19</v>
      </c>
      <c r="F207" s="26">
        <f>IF($A207="","",SUMIFS(tblIssues[Qty Issued],tblIssues[Staff ID],$A207))</f>
        <v>2528</v>
      </c>
      <c r="G207" s="21">
        <f>IF($A207="","",SUMIFS(tblIssues[Line Cost],tblIssues[Staff ID],$A207))</f>
        <v>192.00050000000002</v>
      </c>
      <c r="H207" s="24">
        <f>IF($A207="","",IF($E207=0,"",IFERROR(_xlfn.MAXIFS(tblIssues[Order Date],tblIssues[Staff ID],$A207),"")))</f>
        <v>46225</v>
      </c>
      <c r="I207" s="24">
        <f>IF($A207="","",IF($E207=0,"",IFERROR(_xlfn.MAXIFS(tblIssues[Next Scheduled],tblIssues[Staff ID],$A207),"")))</f>
        <v>46273</v>
      </c>
      <c r="J207" s="26">
        <f>IF($A207="","",COUNTIFS(tblIssues[Staff ID],$A207,tblIssues[Status],"Pending"))</f>
        <v>0</v>
      </c>
    </row>
    <row r="208" spans="1:10" x14ac:dyDescent="0.35">
      <c r="A208" s="18" t="str">
        <f>IF('Staff Directory'!$A208="","",'Staff Directory'!$A208)</f>
        <v>PSW-140-A7</v>
      </c>
      <c r="B208" s="18" t="str">
        <f>IF($A208="","",'Staff Directory'!$B208)</f>
        <v>Lastname203, Firstname203</v>
      </c>
      <c r="C208" s="19" t="str">
        <f>IF($A208="","",'Staff Directory'!$C208)</f>
        <v>PSW</v>
      </c>
      <c r="D208" s="19" t="str">
        <f>IF($A208="","",'Staff Directory'!$D208)</f>
        <v>A7</v>
      </c>
      <c r="E208" s="26">
        <f>IF($A208="","",COUNTIFS(tblIssues[Staff ID],$A208))</f>
        <v>9</v>
      </c>
      <c r="F208" s="26">
        <f>IF($A208="","",SUMIFS(tblIssues[Qty Issued],tblIssues[Staff ID],$A208))</f>
        <v>1264</v>
      </c>
      <c r="G208" s="21">
        <f>IF($A208="","",SUMIFS(tblIssues[Line Cost],tblIssues[Staff ID],$A208))</f>
        <v>96.000200000000007</v>
      </c>
      <c r="H208" s="24">
        <f>IF($A208="","",IF($E208=0,"",IFERROR(_xlfn.MAXIFS(tblIssues[Order Date],tblIssues[Staff ID],$A208),"")))</f>
        <v>46189</v>
      </c>
      <c r="I208" s="24">
        <f>IF($A208="","",IF($E208=0,"",IFERROR(_xlfn.MAXIFS(tblIssues[Next Scheduled],tblIssues[Staff ID],$A208),"")))</f>
        <v>46237</v>
      </c>
      <c r="J208" s="26">
        <f>IF($A208="","",COUNTIFS(tblIssues[Staff ID],$A208,tblIssues[Status],"Pending"))</f>
        <v>0</v>
      </c>
    </row>
    <row r="209" spans="1:10" x14ac:dyDescent="0.35">
      <c r="A209" s="18" t="str">
        <f>IF('Staff Directory'!$A209="","",'Staff Directory'!$A209)</f>
        <v>PSW-141-A6</v>
      </c>
      <c r="B209" s="18" t="str">
        <f>IF($A209="","",'Staff Directory'!$B209)</f>
        <v>Lastname204, Firstname204</v>
      </c>
      <c r="C209" s="19" t="str">
        <f>IF($A209="","",'Staff Directory'!$C209)</f>
        <v>PSW</v>
      </c>
      <c r="D209" s="19" t="str">
        <f>IF($A209="","",'Staff Directory'!$D209)</f>
        <v>A6</v>
      </c>
      <c r="E209" s="26">
        <f>IF($A209="","",COUNTIFS(tblIssues[Staff ID],$A209))</f>
        <v>0</v>
      </c>
      <c r="F209" s="26">
        <f>IF($A209="","",SUMIFS(tblIssues[Qty Issued],tblIssues[Staff ID],$A209))</f>
        <v>0</v>
      </c>
      <c r="G209" s="21">
        <f>IF($A209="","",SUMIFS(tblIssues[Line Cost],tblIssues[Staff ID],$A209))</f>
        <v>0</v>
      </c>
      <c r="H209" s="24" t="str">
        <f>IF($A209="","",IF($E209=0,"",IFERROR(_xlfn.MAXIFS(tblIssues[Order Date],tblIssues[Staff ID],$A209),"")))</f>
        <v/>
      </c>
      <c r="I209" s="24" t="str">
        <f>IF($A209="","",IF($E209=0,"",IFERROR(_xlfn.MAXIFS(tblIssues[Next Scheduled],tblIssues[Staff ID],$A209),"")))</f>
        <v/>
      </c>
      <c r="J209" s="26">
        <f>IF($A209="","",COUNTIFS(tblIssues[Staff ID],$A209,tblIssues[Status],"Pending"))</f>
        <v>0</v>
      </c>
    </row>
    <row r="210" spans="1:10" x14ac:dyDescent="0.35">
      <c r="A210" s="18" t="str">
        <f>IF('Staff Directory'!$A210="","",'Staff Directory'!$A210)</f>
        <v>PSW-142-A6</v>
      </c>
      <c r="B210" s="18" t="str">
        <f>IF($A210="","",'Staff Directory'!$B210)</f>
        <v>Lastname205, Firstname205</v>
      </c>
      <c r="C210" s="19" t="str">
        <f>IF($A210="","",'Staff Directory'!$C210)</f>
        <v>PSW</v>
      </c>
      <c r="D210" s="19" t="str">
        <f>IF($A210="","",'Staff Directory'!$D210)</f>
        <v>A6</v>
      </c>
      <c r="E210" s="26">
        <f>IF($A210="","",COUNTIFS(tblIssues[Staff ID],$A210))</f>
        <v>17</v>
      </c>
      <c r="F210" s="26">
        <f>IF($A210="","",SUMIFS(tblIssues[Qty Issued],tblIssues[Staff ID],$A210))</f>
        <v>2526</v>
      </c>
      <c r="G210" s="21">
        <f>IF($A210="","",SUMIFS(tblIssues[Line Cost],tblIssues[Staff ID],$A210))</f>
        <v>200.9803</v>
      </c>
      <c r="H210" s="24">
        <f>IF($A210="","",IF($E210=0,"",IFERROR(_xlfn.MAXIFS(tblIssues[Order Date],tblIssues[Staff ID],$A210),"")))</f>
        <v>46204</v>
      </c>
      <c r="I210" s="24">
        <f>IF($A210="","",IF($E210=0,"",IFERROR(_xlfn.MAXIFS(tblIssues[Next Scheduled],tblIssues[Staff ID],$A210),"")))</f>
        <v>46252</v>
      </c>
      <c r="J210" s="26">
        <f>IF($A210="","",COUNTIFS(tblIssues[Staff ID],$A210,tblIssues[Status],"Pending"))</f>
        <v>0</v>
      </c>
    </row>
    <row r="211" spans="1:10" x14ac:dyDescent="0.35">
      <c r="A211" s="18" t="str">
        <f>IF('Staff Directory'!$A211="","",'Staff Directory'!$A211)</f>
        <v>PSW-143-A4</v>
      </c>
      <c r="B211" s="18" t="str">
        <f>IF($A211="","",'Staff Directory'!$B211)</f>
        <v>Lastname206, Firstname206</v>
      </c>
      <c r="C211" s="19" t="str">
        <f>IF($A211="","",'Staff Directory'!$C211)</f>
        <v>PSW</v>
      </c>
      <c r="D211" s="19" t="str">
        <f>IF($A211="","",'Staff Directory'!$D211)</f>
        <v>A4</v>
      </c>
      <c r="E211" s="26">
        <f>IF($A211="","",COUNTIFS(tblIssues[Staff ID],$A211))</f>
        <v>0</v>
      </c>
      <c r="F211" s="26">
        <f>IF($A211="","",SUMIFS(tblIssues[Qty Issued],tblIssues[Staff ID],$A211))</f>
        <v>0</v>
      </c>
      <c r="G211" s="21">
        <f>IF($A211="","",SUMIFS(tblIssues[Line Cost],tblIssues[Staff ID],$A211))</f>
        <v>0</v>
      </c>
      <c r="H211" s="24" t="str">
        <f>IF($A211="","",IF($E211=0,"",IFERROR(_xlfn.MAXIFS(tblIssues[Order Date],tblIssues[Staff ID],$A211),"")))</f>
        <v/>
      </c>
      <c r="I211" s="24" t="str">
        <f>IF($A211="","",IF($E211=0,"",IFERROR(_xlfn.MAXIFS(tblIssues[Next Scheduled],tblIssues[Staff ID],$A211),"")))</f>
        <v/>
      </c>
      <c r="J211" s="26">
        <f>IF($A211="","",COUNTIFS(tblIssues[Staff ID],$A211,tblIssues[Status],"Pending"))</f>
        <v>0</v>
      </c>
    </row>
    <row r="212" spans="1:10" x14ac:dyDescent="0.35">
      <c r="A212" s="18" t="str">
        <f>IF('Staff Directory'!$A212="","",'Staff Directory'!$A212)</f>
        <v>PSW-144-A6</v>
      </c>
      <c r="B212" s="18" t="str">
        <f>IF($A212="","",'Staff Directory'!$B212)</f>
        <v>Lastname207, Firstname207</v>
      </c>
      <c r="C212" s="19" t="str">
        <f>IF($A212="","",'Staff Directory'!$C212)</f>
        <v>PSW</v>
      </c>
      <c r="D212" s="19" t="str">
        <f>IF($A212="","",'Staff Directory'!$D212)</f>
        <v>A6</v>
      </c>
      <c r="E212" s="26">
        <f>IF($A212="","",COUNTIFS(tblIssues[Staff ID],$A212))</f>
        <v>6</v>
      </c>
      <c r="F212" s="26">
        <f>IF($A212="","",SUMIFS(tblIssues[Qty Issued],tblIssues[Staff ID],$A212))</f>
        <v>1661</v>
      </c>
      <c r="G212" s="21">
        <f>IF($A212="","",SUMIFS(tblIssues[Line Cost],tblIssues[Staff ID],$A212))</f>
        <v>98.500100000000003</v>
      </c>
      <c r="H212" s="24">
        <f>IF($A212="","",IF($E212=0,"",IFERROR(_xlfn.MAXIFS(tblIssues[Order Date],tblIssues[Staff ID],$A212),"")))</f>
        <v>46209</v>
      </c>
      <c r="I212" s="24">
        <f>IF($A212="","",IF($E212=0,"",IFERROR(_xlfn.MAXIFS(tblIssues[Next Scheduled],tblIssues[Staff ID],$A212),"")))</f>
        <v>46255</v>
      </c>
      <c r="J212" s="26">
        <f>IF($A212="","",COUNTIFS(tblIssues[Staff ID],$A212,tblIssues[Status],"Pending"))</f>
        <v>0</v>
      </c>
    </row>
    <row r="213" spans="1:10" x14ac:dyDescent="0.35">
      <c r="A213" s="18" t="str">
        <f>IF('Staff Directory'!$A213="","",'Staff Directory'!$A213)</f>
        <v>PSW-145-A5</v>
      </c>
      <c r="B213" s="18" t="str">
        <f>IF($A213="","",'Staff Directory'!$B213)</f>
        <v>Lastname208, Firstname208</v>
      </c>
      <c r="C213" s="19" t="str">
        <f>IF($A213="","",'Staff Directory'!$C213)</f>
        <v>PSW</v>
      </c>
      <c r="D213" s="19" t="str">
        <f>IF($A213="","",'Staff Directory'!$D213)</f>
        <v>A5</v>
      </c>
      <c r="E213" s="26">
        <f>IF($A213="","",COUNTIFS(tblIssues[Staff ID],$A213))</f>
        <v>0</v>
      </c>
      <c r="F213" s="26">
        <f>IF($A213="","",SUMIFS(tblIssues[Qty Issued],tblIssues[Staff ID],$A213))</f>
        <v>0</v>
      </c>
      <c r="G213" s="21">
        <f>IF($A213="","",SUMIFS(tblIssues[Line Cost],tblIssues[Staff ID],$A213))</f>
        <v>0</v>
      </c>
      <c r="H213" s="24" t="str">
        <f>IF($A213="","",IF($E213=0,"",IFERROR(_xlfn.MAXIFS(tblIssues[Order Date],tblIssues[Staff ID],$A213),"")))</f>
        <v/>
      </c>
      <c r="I213" s="24" t="str">
        <f>IF($A213="","",IF($E213=0,"",IFERROR(_xlfn.MAXIFS(tblIssues[Next Scheduled],tblIssues[Staff ID],$A213),"")))</f>
        <v/>
      </c>
      <c r="J213" s="26">
        <f>IF($A213="","",COUNTIFS(tblIssues[Staff ID],$A213,tblIssues[Status],"Pending"))</f>
        <v>0</v>
      </c>
    </row>
    <row r="214" spans="1:10" x14ac:dyDescent="0.35">
      <c r="A214" s="18" t="str">
        <f>IF('Staff Directory'!$A214="","",'Staff Directory'!$A214)</f>
        <v>PSW-146-A5</v>
      </c>
      <c r="B214" s="18" t="str">
        <f>IF($A214="","",'Staff Directory'!$B214)</f>
        <v>Lastname209, Firstname209</v>
      </c>
      <c r="C214" s="19" t="str">
        <f>IF($A214="","",'Staff Directory'!$C214)</f>
        <v>PSW</v>
      </c>
      <c r="D214" s="19" t="str">
        <f>IF($A214="","",'Staff Directory'!$D214)</f>
        <v>A5</v>
      </c>
      <c r="E214" s="26">
        <f>IF($A214="","",COUNTIFS(tblIssues[Staff ID],$A214))</f>
        <v>0</v>
      </c>
      <c r="F214" s="26">
        <f>IF($A214="","",SUMIFS(tblIssues[Qty Issued],tblIssues[Staff ID],$A214))</f>
        <v>0</v>
      </c>
      <c r="G214" s="21">
        <f>IF($A214="","",SUMIFS(tblIssues[Line Cost],tblIssues[Staff ID],$A214))</f>
        <v>0</v>
      </c>
      <c r="H214" s="24" t="str">
        <f>IF($A214="","",IF($E214=0,"",IFERROR(_xlfn.MAXIFS(tblIssues[Order Date],tblIssues[Staff ID],$A214),"")))</f>
        <v/>
      </c>
      <c r="I214" s="24" t="str">
        <f>IF($A214="","",IF($E214=0,"",IFERROR(_xlfn.MAXIFS(tblIssues[Next Scheduled],tblIssues[Staff ID],$A214),"")))</f>
        <v/>
      </c>
      <c r="J214" s="26">
        <f>IF($A214="","",COUNTIFS(tblIssues[Staff ID],$A214,tblIssues[Status],"Pending"))</f>
        <v>0</v>
      </c>
    </row>
    <row r="215" spans="1:10" x14ac:dyDescent="0.35">
      <c r="A215" s="18" t="str">
        <f>IF('Staff Directory'!$A215="","",'Staff Directory'!$A215)</f>
        <v>PSW-147-A5</v>
      </c>
      <c r="B215" s="18" t="str">
        <f>IF($A215="","",'Staff Directory'!$B215)</f>
        <v>Lastname210, Firstname210</v>
      </c>
      <c r="C215" s="19" t="str">
        <f>IF($A215="","",'Staff Directory'!$C215)</f>
        <v>PSW</v>
      </c>
      <c r="D215" s="19" t="str">
        <f>IF($A215="","",'Staff Directory'!$D215)</f>
        <v>A5</v>
      </c>
      <c r="E215" s="26">
        <f>IF($A215="","",COUNTIFS(tblIssues[Staff ID],$A215))</f>
        <v>5</v>
      </c>
      <c r="F215" s="26">
        <f>IF($A215="","",SUMIFS(tblIssues[Qty Issued],tblIssues[Staff ID],$A215))</f>
        <v>632</v>
      </c>
      <c r="G215" s="21">
        <f>IF($A215="","",SUMIFS(tblIssues[Line Cost],tblIssues[Staff ID],$A215))</f>
        <v>48.000100000000003</v>
      </c>
      <c r="H215" s="24">
        <f>IF($A215="","",IF($E215=0,"",IFERROR(_xlfn.MAXIFS(tblIssues[Order Date],tblIssues[Staff ID],$A215),"")))</f>
        <v>46203</v>
      </c>
      <c r="I215" s="24">
        <f>IF($A215="","",IF($E215=0,"",IFERROR(_xlfn.MAXIFS(tblIssues[Next Scheduled],tblIssues[Staff ID],$A215),"")))</f>
        <v>46251</v>
      </c>
      <c r="J215" s="26">
        <f>IF($A215="","",COUNTIFS(tblIssues[Staff ID],$A215,tblIssues[Status],"Pending"))</f>
        <v>0</v>
      </c>
    </row>
    <row r="216" spans="1:10" x14ac:dyDescent="0.35">
      <c r="A216" s="18" t="str">
        <f>IF('Staff Directory'!$A216="","",'Staff Directory'!$A216)</f>
        <v>PSW-148-A6</v>
      </c>
      <c r="B216" s="18" t="str">
        <f>IF($A216="","",'Staff Directory'!$B216)</f>
        <v>Lastname211, Firstname211</v>
      </c>
      <c r="C216" s="19" t="str">
        <f>IF($A216="","",'Staff Directory'!$C216)</f>
        <v>PSW</v>
      </c>
      <c r="D216" s="19" t="str">
        <f>IF($A216="","",'Staff Directory'!$D216)</f>
        <v>A6</v>
      </c>
      <c r="E216" s="26">
        <f>IF($A216="","",COUNTIFS(tblIssues[Staff ID],$A216))</f>
        <v>3</v>
      </c>
      <c r="F216" s="26">
        <f>IF($A216="","",SUMIFS(tblIssues[Qty Issued],tblIssues[Staff ID],$A216))</f>
        <v>551</v>
      </c>
      <c r="G216" s="21">
        <f>IF($A216="","",SUMIFS(tblIssues[Line Cost],tblIssues[Staff ID],$A216))</f>
        <v>40.000100000000003</v>
      </c>
      <c r="H216" s="24">
        <f>IF($A216="","",IF($E216=0,"",IFERROR(_xlfn.MAXIFS(tblIssues[Order Date],tblIssues[Staff ID],$A216),"")))</f>
        <v>46140</v>
      </c>
      <c r="I216" s="24">
        <f>IF($A216="","",IF($E216=0,"",IFERROR(_xlfn.MAXIFS(tblIssues[Next Scheduled],tblIssues[Staff ID],$A216),"")))</f>
        <v>46188</v>
      </c>
      <c r="J216" s="26">
        <f>IF($A216="","",COUNTIFS(tblIssues[Staff ID],$A216,tblIssues[Status],"Pending"))</f>
        <v>0</v>
      </c>
    </row>
    <row r="217" spans="1:10" x14ac:dyDescent="0.35">
      <c r="A217" s="18" t="str">
        <f>IF('Staff Directory'!$A217="","",'Staff Directory'!$A217)</f>
        <v>PSW-149-A5</v>
      </c>
      <c r="B217" s="18" t="str">
        <f>IF($A217="","",'Staff Directory'!$B217)</f>
        <v>Lastname212, Firstname212</v>
      </c>
      <c r="C217" s="19" t="str">
        <f>IF($A217="","",'Staff Directory'!$C217)</f>
        <v>PSW</v>
      </c>
      <c r="D217" s="19" t="str">
        <f>IF($A217="","",'Staff Directory'!$D217)</f>
        <v>A5</v>
      </c>
      <c r="E217" s="26">
        <f>IF($A217="","",COUNTIFS(tblIssues[Staff ID],$A217))</f>
        <v>10</v>
      </c>
      <c r="F217" s="26">
        <f>IF($A217="","",SUMIFS(tblIssues[Qty Issued],tblIssues[Staff ID],$A217))</f>
        <v>1892</v>
      </c>
      <c r="G217" s="21">
        <f>IF($A217="","",SUMIFS(tblIssues[Line Cost],tblIssues[Staff ID],$A217))</f>
        <v>144</v>
      </c>
      <c r="H217" s="24">
        <f>IF($A217="","",IF($E217=0,"",IFERROR(_xlfn.MAXIFS(tblIssues[Order Date],tblIssues[Staff ID],$A217),"")))</f>
        <v>46175</v>
      </c>
      <c r="I217" s="24">
        <f>IF($A217="","",IF($E217=0,"",IFERROR(_xlfn.MAXIFS(tblIssues[Next Scheduled],tblIssues[Staff ID],$A217),"")))</f>
        <v>46223</v>
      </c>
      <c r="J217" s="26">
        <f>IF($A217="","",COUNTIFS(tblIssues[Staff ID],$A217,tblIssues[Status],"Pending"))</f>
        <v>0</v>
      </c>
    </row>
    <row r="218" spans="1:10" x14ac:dyDescent="0.35">
      <c r="A218" s="18" t="str">
        <f>IF('Staff Directory'!$A218="","",'Staff Directory'!$A218)</f>
        <v>PSW-150-A5</v>
      </c>
      <c r="B218" s="18" t="str">
        <f>IF($A218="","",'Staff Directory'!$B218)</f>
        <v>Lastname213, Firstname213</v>
      </c>
      <c r="C218" s="19" t="str">
        <f>IF($A218="","",'Staff Directory'!$C218)</f>
        <v>PSW</v>
      </c>
      <c r="D218" s="19" t="str">
        <f>IF($A218="","",'Staff Directory'!$D218)</f>
        <v>A5</v>
      </c>
      <c r="E218" s="26">
        <f>IF($A218="","",COUNTIFS(tblIssues[Staff ID],$A218))</f>
        <v>18</v>
      </c>
      <c r="F218" s="26">
        <f>IF($A218="","",SUMIFS(tblIssues[Qty Issued],tblIssues[Staff ID],$A218))</f>
        <v>2760</v>
      </c>
      <c r="G218" s="21">
        <f>IF($A218="","",SUMIFS(tblIssues[Line Cost],tblIssues[Staff ID],$A218))</f>
        <v>208.98050000000001</v>
      </c>
      <c r="H218" s="24">
        <f>IF($A218="","",IF($E218=0,"",IFERROR(_xlfn.MAXIFS(tblIssues[Order Date],tblIssues[Staff ID],$A218),"")))</f>
        <v>46235</v>
      </c>
      <c r="I218" s="24">
        <f>IF($A218="","",IF($E218=0,"",IFERROR(_xlfn.MAXIFS(tblIssues[Next Scheduled],tblIssues[Staff ID],$A218),"")))</f>
        <v>46282</v>
      </c>
      <c r="J218" s="26">
        <f>IF($A218="","",COUNTIFS(tblIssues[Staff ID],$A218,tblIssues[Status],"Pending"))</f>
        <v>5</v>
      </c>
    </row>
    <row r="219" spans="1:10" x14ac:dyDescent="0.35">
      <c r="A219" s="18" t="str">
        <f>IF('Staff Directory'!$A219="","",'Staff Directory'!$A219)</f>
        <v>PSW-151-A4</v>
      </c>
      <c r="B219" s="18" t="str">
        <f>IF($A219="","",'Staff Directory'!$B219)</f>
        <v>Lastname214, Firstname214</v>
      </c>
      <c r="C219" s="19" t="str">
        <f>IF($A219="","",'Staff Directory'!$C219)</f>
        <v>PSW</v>
      </c>
      <c r="D219" s="19" t="str">
        <f>IF($A219="","",'Staff Directory'!$D219)</f>
        <v>A4</v>
      </c>
      <c r="E219" s="26">
        <f>IF($A219="","",COUNTIFS(tblIssues[Staff ID],$A219))</f>
        <v>3</v>
      </c>
      <c r="F219" s="26">
        <f>IF($A219="","",SUMIFS(tblIssues[Qty Issued],tblIssues[Staff ID],$A219))</f>
        <v>551</v>
      </c>
      <c r="G219" s="21">
        <f>IF($A219="","",SUMIFS(tblIssues[Line Cost],tblIssues[Staff ID],$A219))</f>
        <v>40.000100000000003</v>
      </c>
      <c r="H219" s="24">
        <f>IF($A219="","",IF($E219=0,"",IFERROR(_xlfn.MAXIFS(tblIssues[Order Date],tblIssues[Staff ID],$A219),"")))</f>
        <v>46146</v>
      </c>
      <c r="I219" s="24">
        <f>IF($A219="","",IF($E219=0,"",IFERROR(_xlfn.MAXIFS(tblIssues[Next Scheduled],tblIssues[Staff ID],$A219),"")))</f>
        <v>46192</v>
      </c>
      <c r="J219" s="26">
        <f>IF($A219="","",COUNTIFS(tblIssues[Staff ID],$A219,tblIssues[Status],"Pending"))</f>
        <v>0</v>
      </c>
    </row>
    <row r="220" spans="1:10" x14ac:dyDescent="0.35">
      <c r="A220" s="18" t="str">
        <f>IF('Staff Directory'!$A220="","",'Staff Directory'!$A220)</f>
        <v>PSW-152-A6</v>
      </c>
      <c r="B220" s="18" t="str">
        <f>IF($A220="","",'Staff Directory'!$B220)</f>
        <v>Lastname215, Firstname215</v>
      </c>
      <c r="C220" s="19" t="str">
        <f>IF($A220="","",'Staff Directory'!$C220)</f>
        <v>PSW</v>
      </c>
      <c r="D220" s="19" t="str">
        <f>IF($A220="","",'Staff Directory'!$D220)</f>
        <v>A6</v>
      </c>
      <c r="E220" s="26">
        <f>IF($A220="","",COUNTIFS(tblIssues[Staff ID],$A220))</f>
        <v>9</v>
      </c>
      <c r="F220" s="26">
        <f>IF($A220="","",SUMIFS(tblIssues[Qty Issued],tblIssues[Staff ID],$A220))</f>
        <v>3131</v>
      </c>
      <c r="G220" s="21">
        <f>IF($A220="","",SUMIFS(tblIssues[Line Cost],tblIssues[Staff ID],$A220))</f>
        <v>185.5</v>
      </c>
      <c r="H220" s="24">
        <f>IF($A220="","",IF($E220=0,"",IFERROR(_xlfn.MAXIFS(tblIssues[Order Date],tblIssues[Staff ID],$A220),"")))</f>
        <v>46231</v>
      </c>
      <c r="I220" s="24">
        <f>IF($A220="","",IF($E220=0,"",IFERROR(_xlfn.MAXIFS(tblIssues[Next Scheduled],tblIssues[Staff ID],$A220),"")))</f>
        <v>46279</v>
      </c>
      <c r="J220" s="26">
        <f>IF($A220="","",COUNTIFS(tblIssues[Staff ID],$A220,tblIssues[Status],"Pending"))</f>
        <v>2</v>
      </c>
    </row>
    <row r="221" spans="1:10" x14ac:dyDescent="0.35">
      <c r="A221" s="18" t="str">
        <f>IF('Staff Directory'!$A221="","",'Staff Directory'!$A221)</f>
        <v>PSW-153-A7</v>
      </c>
      <c r="B221" s="18" t="str">
        <f>IF($A221="","",'Staff Directory'!$B221)</f>
        <v>Lastname216, Firstname216</v>
      </c>
      <c r="C221" s="19" t="str">
        <f>IF($A221="","",'Staff Directory'!$C221)</f>
        <v>PSW</v>
      </c>
      <c r="D221" s="19" t="str">
        <f>IF($A221="","",'Staff Directory'!$D221)</f>
        <v>A7</v>
      </c>
      <c r="E221" s="26">
        <f>IF($A221="","",COUNTIFS(tblIssues[Staff ID],$A221))</f>
        <v>0</v>
      </c>
      <c r="F221" s="26">
        <f>IF($A221="","",SUMIFS(tblIssues[Qty Issued],tblIssues[Staff ID],$A221))</f>
        <v>0</v>
      </c>
      <c r="G221" s="21">
        <f>IF($A221="","",SUMIFS(tblIssues[Line Cost],tblIssues[Staff ID],$A221))</f>
        <v>0</v>
      </c>
      <c r="H221" s="24" t="str">
        <f>IF($A221="","",IF($E221=0,"",IFERROR(_xlfn.MAXIFS(tblIssues[Order Date],tblIssues[Staff ID],$A221),"")))</f>
        <v/>
      </c>
      <c r="I221" s="24" t="str">
        <f>IF($A221="","",IF($E221=0,"",IFERROR(_xlfn.MAXIFS(tblIssues[Next Scheduled],tblIssues[Staff ID],$A221),"")))</f>
        <v/>
      </c>
      <c r="J221" s="26">
        <f>IF($A221="","",COUNTIFS(tblIssues[Staff ID],$A221,tblIssues[Status],"Pending"))</f>
        <v>0</v>
      </c>
    </row>
    <row r="222" spans="1:10" x14ac:dyDescent="0.35">
      <c r="A222" s="18" t="str">
        <f>IF('Staff Directory'!$A222="","",'Staff Directory'!$A222)</f>
        <v>PSW-154-A6</v>
      </c>
      <c r="B222" s="18" t="str">
        <f>IF($A222="","",'Staff Directory'!$B222)</f>
        <v>Lastname217, Firstname217</v>
      </c>
      <c r="C222" s="19" t="str">
        <f>IF($A222="","",'Staff Directory'!$C222)</f>
        <v>PSW</v>
      </c>
      <c r="D222" s="19" t="str">
        <f>IF($A222="","",'Staff Directory'!$D222)</f>
        <v>A6</v>
      </c>
      <c r="E222" s="26">
        <f>IF($A222="","",COUNTIFS(tblIssues[Staff ID],$A222))</f>
        <v>2</v>
      </c>
      <c r="F222" s="26">
        <f>IF($A222="","",SUMIFS(tblIssues[Qty Issued],tblIssues[Staff ID],$A222))</f>
        <v>501</v>
      </c>
      <c r="G222" s="21">
        <f>IF($A222="","",SUMIFS(tblIssues[Line Cost],tblIssues[Staff ID],$A222))</f>
        <v>27.5</v>
      </c>
      <c r="H222" s="24">
        <f>IF($A222="","",IF($E222=0,"",IFERROR(_xlfn.MAXIFS(tblIssues[Order Date],tblIssues[Staff ID],$A222),"")))</f>
        <v>46209</v>
      </c>
      <c r="I222" s="24">
        <f>IF($A222="","",IF($E222=0,"",IFERROR(_xlfn.MAXIFS(tblIssues[Next Scheduled],tblIssues[Staff ID],$A222),"")))</f>
        <v>46255</v>
      </c>
      <c r="J222" s="26">
        <f>IF($A222="","",COUNTIFS(tblIssues[Staff ID],$A222,tblIssues[Status],"Pending"))</f>
        <v>0</v>
      </c>
    </row>
    <row r="223" spans="1:10" x14ac:dyDescent="0.35">
      <c r="A223" s="18" t="str">
        <f>IF('Staff Directory'!$A223="","",'Staff Directory'!$A223)</f>
        <v>PSW-155-A5</v>
      </c>
      <c r="B223" s="18" t="str">
        <f>IF($A223="","",'Staff Directory'!$B223)</f>
        <v>Lastname218, Firstname218</v>
      </c>
      <c r="C223" s="19" t="str">
        <f>IF($A223="","",'Staff Directory'!$C223)</f>
        <v>PSW</v>
      </c>
      <c r="D223" s="19" t="str">
        <f>IF($A223="","",'Staff Directory'!$D223)</f>
        <v>A5</v>
      </c>
      <c r="E223" s="26">
        <f>IF($A223="","",COUNTIFS(tblIssues[Staff ID],$A223))</f>
        <v>4</v>
      </c>
      <c r="F223" s="26">
        <f>IF($A223="","",SUMIFS(tblIssues[Qty Issued],tblIssues[Staff ID],$A223))</f>
        <v>631</v>
      </c>
      <c r="G223" s="21">
        <f>IF($A223="","",SUMIFS(tblIssues[Line Cost],tblIssues[Staff ID],$A223))</f>
        <v>48.000100000000003</v>
      </c>
      <c r="H223" s="24">
        <f>IF($A223="","",IF($E223=0,"",IFERROR(_xlfn.MAXIFS(tblIssues[Order Date],tblIssues[Staff ID],$A223),"")))</f>
        <v>46177</v>
      </c>
      <c r="I223" s="24">
        <f>IF($A223="","",IF($E223=0,"",IFERROR(_xlfn.MAXIFS(tblIssues[Next Scheduled],tblIssues[Staff ID],$A223),"")))</f>
        <v>46225</v>
      </c>
      <c r="J223" s="26">
        <f>IF($A223="","",COUNTIFS(tblIssues[Staff ID],$A223,tblIssues[Status],"Pending"))</f>
        <v>0</v>
      </c>
    </row>
    <row r="224" spans="1:10" x14ac:dyDescent="0.35">
      <c r="A224" s="18" t="str">
        <f>IF('Staff Directory'!$A224="","",'Staff Directory'!$A224)</f>
        <v>PSW-156-A5</v>
      </c>
      <c r="B224" s="18" t="str">
        <f>IF($A224="","",'Staff Directory'!$B224)</f>
        <v>Lastname219, Firstname219</v>
      </c>
      <c r="C224" s="19" t="str">
        <f>IF($A224="","",'Staff Directory'!$C224)</f>
        <v>PSW</v>
      </c>
      <c r="D224" s="19" t="str">
        <f>IF($A224="","",'Staff Directory'!$D224)</f>
        <v>A5</v>
      </c>
      <c r="E224" s="26">
        <f>IF($A224="","",COUNTIFS(tblIssues[Staff ID],$A224))</f>
        <v>4</v>
      </c>
      <c r="F224" s="26">
        <f>IF($A224="","",SUMIFS(tblIssues[Qty Issued],tblIssues[Staff ID],$A224))</f>
        <v>631</v>
      </c>
      <c r="G224" s="21">
        <f>IF($A224="","",SUMIFS(tblIssues[Line Cost],tblIssues[Staff ID],$A224))</f>
        <v>48.000100000000003</v>
      </c>
      <c r="H224" s="24">
        <f>IF($A224="","",IF($E224=0,"",IFERROR(_xlfn.MAXIFS(tblIssues[Order Date],tblIssues[Staff ID],$A224),"")))</f>
        <v>46182</v>
      </c>
      <c r="I224" s="24">
        <f>IF($A224="","",IF($E224=0,"",IFERROR(_xlfn.MAXIFS(tblIssues[Next Scheduled],tblIssues[Staff ID],$A224),"")))</f>
        <v>46230</v>
      </c>
      <c r="J224" s="26">
        <f>IF($A224="","",COUNTIFS(tblIssues[Staff ID],$A224,tblIssues[Status],"Pending"))</f>
        <v>0</v>
      </c>
    </row>
    <row r="225" spans="1:10" x14ac:dyDescent="0.35">
      <c r="A225" s="18" t="str">
        <f>IF('Staff Directory'!$A225="","",'Staff Directory'!$A225)</f>
        <v>PSW-157-A5</v>
      </c>
      <c r="B225" s="18" t="str">
        <f>IF($A225="","",'Staff Directory'!$B225)</f>
        <v>Lastname220, Firstname220</v>
      </c>
      <c r="C225" s="19" t="str">
        <f>IF($A225="","",'Staff Directory'!$C225)</f>
        <v>PSW</v>
      </c>
      <c r="D225" s="19" t="str">
        <f>IF($A225="","",'Staff Directory'!$D225)</f>
        <v>A5</v>
      </c>
      <c r="E225" s="26">
        <f>IF($A225="","",COUNTIFS(tblIssues[Staff ID],$A225))</f>
        <v>11</v>
      </c>
      <c r="F225" s="26">
        <f>IF($A225="","",SUMIFS(tblIssues[Qty Issued],tblIssues[Staff ID],$A225))</f>
        <v>1813</v>
      </c>
      <c r="G225" s="21">
        <f>IF($A225="","",SUMIFS(tblIssues[Line Cost],tblIssues[Staff ID],$A225))</f>
        <v>136.00030000000001</v>
      </c>
      <c r="H225" s="24">
        <f>IF($A225="","",IF($E225=0,"",IFERROR(_xlfn.MAXIFS(tblIssues[Order Date],tblIssues[Staff ID],$A225),"")))</f>
        <v>46189</v>
      </c>
      <c r="I225" s="24">
        <f>IF($A225="","",IF($E225=0,"",IFERROR(_xlfn.MAXIFS(tblIssues[Next Scheduled],tblIssues[Staff ID],$A225),"")))</f>
        <v>46237</v>
      </c>
      <c r="J225" s="26">
        <f>IF($A225="","",COUNTIFS(tblIssues[Staff ID],$A225,tblIssues[Status],"Pending"))</f>
        <v>0</v>
      </c>
    </row>
    <row r="226" spans="1:10" x14ac:dyDescent="0.35">
      <c r="A226" s="18" t="str">
        <f>IF('Staff Directory'!$A226="","",'Staff Directory'!$A226)</f>
        <v>PSW-158-A4</v>
      </c>
      <c r="B226" s="18" t="str">
        <f>IF($A226="","",'Staff Directory'!$B226)</f>
        <v>Lastname221, Firstname221</v>
      </c>
      <c r="C226" s="19" t="str">
        <f>IF($A226="","",'Staff Directory'!$C226)</f>
        <v>PSW</v>
      </c>
      <c r="D226" s="19" t="str">
        <f>IF($A226="","",'Staff Directory'!$D226)</f>
        <v>A4</v>
      </c>
      <c r="E226" s="26">
        <f>IF($A226="","",COUNTIFS(tblIssues[Staff ID],$A226))</f>
        <v>4</v>
      </c>
      <c r="F226" s="26">
        <f>IF($A226="","",SUMIFS(tblIssues[Qty Issued],tblIssues[Staff ID],$A226))</f>
        <v>552</v>
      </c>
      <c r="G226" s="21">
        <f>IF($A226="","",SUMIFS(tblIssues[Line Cost],tblIssues[Staff ID],$A226))</f>
        <v>40.000100000000003</v>
      </c>
      <c r="H226" s="24">
        <f>IF($A226="","",IF($E226=0,"",IFERROR(_xlfn.MAXIFS(tblIssues[Order Date],tblIssues[Staff ID],$A226),"")))</f>
        <v>46212</v>
      </c>
      <c r="I226" s="24">
        <f>IF($A226="","",IF($E226=0,"",IFERROR(_xlfn.MAXIFS(tblIssues[Next Scheduled],tblIssues[Staff ID],$A226),"")))</f>
        <v>46260</v>
      </c>
      <c r="J226" s="26">
        <f>IF($A226="","",COUNTIFS(tblIssues[Staff ID],$A226,tblIssues[Status],"Pending"))</f>
        <v>0</v>
      </c>
    </row>
    <row r="227" spans="1:10" x14ac:dyDescent="0.35">
      <c r="A227" s="18" t="str">
        <f>IF('Staff Directory'!$A227="","",'Staff Directory'!$A227)</f>
        <v>PSW-159-A6</v>
      </c>
      <c r="B227" s="18" t="str">
        <f>IF($A227="","",'Staff Directory'!$B227)</f>
        <v>Lastname222, Firstname222</v>
      </c>
      <c r="C227" s="19" t="str">
        <f>IF($A227="","",'Staff Directory'!$C227)</f>
        <v>PSW</v>
      </c>
      <c r="D227" s="19" t="str">
        <f>IF($A227="","",'Staff Directory'!$D227)</f>
        <v>A6</v>
      </c>
      <c r="E227" s="26">
        <f>IF($A227="","",COUNTIFS(tblIssues[Staff ID],$A227))</f>
        <v>3</v>
      </c>
      <c r="F227" s="26">
        <f>IF($A227="","",SUMIFS(tblIssues[Qty Issued],tblIssues[Staff ID],$A227))</f>
        <v>551</v>
      </c>
      <c r="G227" s="21">
        <f>IF($A227="","",SUMIFS(tblIssues[Line Cost],tblIssues[Staff ID],$A227))</f>
        <v>40.000100000000003</v>
      </c>
      <c r="H227" s="24">
        <f>IF($A227="","",IF($E227=0,"",IFERROR(_xlfn.MAXIFS(tblIssues[Order Date],tblIssues[Staff ID],$A227),"")))</f>
        <v>46190</v>
      </c>
      <c r="I227" s="24">
        <f>IF($A227="","",IF($E227=0,"",IFERROR(_xlfn.MAXIFS(tblIssues[Next Scheduled],tblIssues[Staff ID],$A227),"")))</f>
        <v>46238</v>
      </c>
      <c r="J227" s="26">
        <f>IF($A227="","",COUNTIFS(tblIssues[Staff ID],$A227,tblIssues[Status],"Pending"))</f>
        <v>0</v>
      </c>
    </row>
    <row r="228" spans="1:10" x14ac:dyDescent="0.35">
      <c r="A228" s="18" t="str">
        <f>IF('Staff Directory'!$A228="","",'Staff Directory'!$A228)</f>
        <v>PSW-160-A7</v>
      </c>
      <c r="B228" s="18" t="str">
        <f>IF($A228="","",'Staff Directory'!$B228)</f>
        <v>Lastname223, Firstname223</v>
      </c>
      <c r="C228" s="19" t="str">
        <f>IF($A228="","",'Staff Directory'!$C228)</f>
        <v>PSW</v>
      </c>
      <c r="D228" s="19" t="str">
        <f>IF($A228="","",'Staff Directory'!$D228)</f>
        <v>A7</v>
      </c>
      <c r="E228" s="26">
        <f>IF($A228="","",COUNTIFS(tblIssues[Staff ID],$A228))</f>
        <v>4</v>
      </c>
      <c r="F228" s="26">
        <f>IF($A228="","",SUMIFS(tblIssues[Qty Issued],tblIssues[Staff ID],$A228))</f>
        <v>552</v>
      </c>
      <c r="G228" s="21">
        <f>IF($A228="","",SUMIFS(tblIssues[Line Cost],tblIssues[Staff ID],$A228))</f>
        <v>40.000100000000003</v>
      </c>
      <c r="H228" s="24">
        <f>IF($A228="","",IF($E228=0,"",IFERROR(_xlfn.MAXIFS(tblIssues[Order Date],tblIssues[Staff ID],$A228),"")))</f>
        <v>46211</v>
      </c>
      <c r="I228" s="24">
        <f>IF($A228="","",IF($E228=0,"",IFERROR(_xlfn.MAXIFS(tblIssues[Next Scheduled],tblIssues[Staff ID],$A228),"")))</f>
        <v>46259</v>
      </c>
      <c r="J228" s="26">
        <f>IF($A228="","",COUNTIFS(tblIssues[Staff ID],$A228,tblIssues[Status],"Pending"))</f>
        <v>0</v>
      </c>
    </row>
    <row r="229" spans="1:10" x14ac:dyDescent="0.35">
      <c r="A229" s="18" t="str">
        <f>IF('Staff Directory'!$A229="","",'Staff Directory'!$A229)</f>
        <v>PSW-161-A6</v>
      </c>
      <c r="B229" s="18" t="str">
        <f>IF($A229="","",'Staff Directory'!$B229)</f>
        <v>Lastname224, Firstname224</v>
      </c>
      <c r="C229" s="19" t="str">
        <f>IF($A229="","",'Staff Directory'!$C229)</f>
        <v>PSW</v>
      </c>
      <c r="D229" s="19" t="str">
        <f>IF($A229="","",'Staff Directory'!$D229)</f>
        <v>A6</v>
      </c>
      <c r="E229" s="26">
        <f>IF($A229="","",COUNTIFS(tblIssues[Staff ID],$A229))</f>
        <v>10</v>
      </c>
      <c r="F229" s="26">
        <f>IF($A229="","",SUMIFS(tblIssues[Qty Issued],tblIssues[Staff ID],$A229))</f>
        <v>2372</v>
      </c>
      <c r="G229" s="21">
        <f>IF($A229="","",SUMIFS(tblIssues[Line Cost],tblIssues[Staff ID],$A229))</f>
        <v>154.5</v>
      </c>
      <c r="H229" s="24">
        <f>IF($A229="","",IF($E229=0,"",IFERROR(_xlfn.MAXIFS(tblIssues[Order Date],tblIssues[Staff ID],$A229),"")))</f>
        <v>46206</v>
      </c>
      <c r="I229" s="24">
        <f>IF($A229="","",IF($E229=0,"",IFERROR(_xlfn.MAXIFS(tblIssues[Next Scheduled],tblIssues[Staff ID],$A229),"")))</f>
        <v>46254</v>
      </c>
      <c r="J229" s="26">
        <f>IF($A229="","",COUNTIFS(tblIssues[Staff ID],$A229,tblIssues[Status],"Pending"))</f>
        <v>0</v>
      </c>
    </row>
    <row r="230" spans="1:10" x14ac:dyDescent="0.35">
      <c r="A230" s="18" t="str">
        <f>IF('Staff Directory'!$A230="","",'Staff Directory'!$A230)</f>
        <v>PSW-162-A6</v>
      </c>
      <c r="B230" s="18" t="str">
        <f>IF($A230="","",'Staff Directory'!$B230)</f>
        <v>Lastname225, Firstname225</v>
      </c>
      <c r="C230" s="19" t="str">
        <f>IF($A230="","",'Staff Directory'!$C230)</f>
        <v>PSW</v>
      </c>
      <c r="D230" s="19" t="str">
        <f>IF($A230="","",'Staff Directory'!$D230)</f>
        <v>A6</v>
      </c>
      <c r="E230" s="26">
        <f>IF($A230="","",COUNTIFS(tblIssues[Staff ID],$A230))</f>
        <v>13</v>
      </c>
      <c r="F230" s="26">
        <f>IF($A230="","",SUMIFS(tblIssues[Qty Issued],tblIssues[Staff ID],$A230))</f>
        <v>2521</v>
      </c>
      <c r="G230" s="21">
        <f>IF($A230="","",SUMIFS(tblIssues[Line Cost],tblIssues[Staff ID],$A230))</f>
        <v>192</v>
      </c>
      <c r="H230" s="24">
        <f>IF($A230="","",IF($E230=0,"",IFERROR(_xlfn.MAXIFS(tblIssues[Order Date],tblIssues[Staff ID],$A230),"")))</f>
        <v>46204</v>
      </c>
      <c r="I230" s="24">
        <f>IF($A230="","",IF($E230=0,"",IFERROR(_xlfn.MAXIFS(tblIssues[Next Scheduled],tblIssues[Staff ID],$A230),"")))</f>
        <v>46252</v>
      </c>
      <c r="J230" s="26">
        <f>IF($A230="","",COUNTIFS(tblIssues[Staff ID],$A230,tblIssues[Status],"Pending"))</f>
        <v>0</v>
      </c>
    </row>
    <row r="231" spans="1:10" x14ac:dyDescent="0.35">
      <c r="A231" s="18" t="str">
        <f>IF('Staff Directory'!$A231="","",'Staff Directory'!$A231)</f>
        <v>PSW-163-A5</v>
      </c>
      <c r="B231" s="18" t="str">
        <f>IF($A231="","",'Staff Directory'!$B231)</f>
        <v>Lastname226, Firstname226</v>
      </c>
      <c r="C231" s="19" t="str">
        <f>IF($A231="","",'Staff Directory'!$C231)</f>
        <v>PSW</v>
      </c>
      <c r="D231" s="19" t="str">
        <f>IF($A231="","",'Staff Directory'!$D231)</f>
        <v>A5</v>
      </c>
      <c r="E231" s="26">
        <f>IF($A231="","",COUNTIFS(tblIssues[Staff ID],$A231))</f>
        <v>7</v>
      </c>
      <c r="F231" s="26">
        <f>IF($A231="","",SUMIFS(tblIssues[Qty Issued],tblIssues[Staff ID],$A231))</f>
        <v>1504</v>
      </c>
      <c r="G231" s="21">
        <f>IF($A231="","",SUMIFS(tblIssues[Line Cost],tblIssues[Staff ID],$A231))</f>
        <v>82.50030000000001</v>
      </c>
      <c r="H231" s="24">
        <f>IF($A231="","",IF($E231=0,"",IFERROR(_xlfn.MAXIFS(tblIssues[Order Date],tblIssues[Staff ID],$A231),"")))</f>
        <v>46210</v>
      </c>
      <c r="I231" s="24">
        <f>IF($A231="","",IF($E231=0,"",IFERROR(_xlfn.MAXIFS(tblIssues[Next Scheduled],tblIssues[Staff ID],$A231),"")))</f>
        <v>46258</v>
      </c>
      <c r="J231" s="26">
        <f>IF($A231="","",COUNTIFS(tblIssues[Staff ID],$A231,tblIssues[Status],"Pending"))</f>
        <v>0</v>
      </c>
    </row>
    <row r="232" spans="1:10" x14ac:dyDescent="0.35">
      <c r="A232" s="18" t="str">
        <f>IF('Staff Directory'!$A232="","",'Staff Directory'!$A232)</f>
        <v>PSW-164-A6</v>
      </c>
      <c r="B232" s="18" t="str">
        <f>IF($A232="","",'Staff Directory'!$B232)</f>
        <v>Lastname227, Firstname227</v>
      </c>
      <c r="C232" s="19" t="str">
        <f>IF($A232="","",'Staff Directory'!$C232)</f>
        <v>PSW</v>
      </c>
      <c r="D232" s="19" t="str">
        <f>IF($A232="","",'Staff Directory'!$D232)</f>
        <v>A6</v>
      </c>
      <c r="E232" s="26">
        <f>IF($A232="","",COUNTIFS(tblIssues[Staff ID],$A232))</f>
        <v>8</v>
      </c>
      <c r="F232" s="26">
        <f>IF($A232="","",SUMIFS(tblIssues[Qty Issued],tblIssues[Staff ID],$A232))</f>
        <v>1262</v>
      </c>
      <c r="G232" s="21">
        <f>IF($A232="","",SUMIFS(tblIssues[Line Cost],tblIssues[Staff ID],$A232))</f>
        <v>96.000100000000003</v>
      </c>
      <c r="H232" s="24">
        <f>IF($A232="","",IF($E232=0,"",IFERROR(_xlfn.MAXIFS(tblIssues[Order Date],tblIssues[Staff ID],$A232),"")))</f>
        <v>46218</v>
      </c>
      <c r="I232" s="24">
        <f>IF($A232="","",IF($E232=0,"",IFERROR(_xlfn.MAXIFS(tblIssues[Next Scheduled],tblIssues[Staff ID],$A232),"")))</f>
        <v>46266</v>
      </c>
      <c r="J232" s="26">
        <f>IF($A232="","",COUNTIFS(tblIssues[Staff ID],$A232,tblIssues[Status],"Pending"))</f>
        <v>0</v>
      </c>
    </row>
    <row r="233" spans="1:10" x14ac:dyDescent="0.35">
      <c r="A233" s="18" t="str">
        <f>IF('Staff Directory'!$A233="","",'Staff Directory'!$A233)</f>
        <v>PSW-165-A6</v>
      </c>
      <c r="B233" s="18" t="str">
        <f>IF($A233="","",'Staff Directory'!$B233)</f>
        <v>Lastname228, Firstname228</v>
      </c>
      <c r="C233" s="19" t="str">
        <f>IF($A233="","",'Staff Directory'!$C233)</f>
        <v>PSW</v>
      </c>
      <c r="D233" s="19" t="str">
        <f>IF($A233="","",'Staff Directory'!$D233)</f>
        <v>A6</v>
      </c>
      <c r="E233" s="26">
        <f>IF($A233="","",COUNTIFS(tblIssues[Staff ID],$A233))</f>
        <v>0</v>
      </c>
      <c r="F233" s="26">
        <f>IF($A233="","",SUMIFS(tblIssues[Qty Issued],tblIssues[Staff ID],$A233))</f>
        <v>0</v>
      </c>
      <c r="G233" s="21">
        <f>IF($A233="","",SUMIFS(tblIssues[Line Cost],tblIssues[Staff ID],$A233))</f>
        <v>0</v>
      </c>
      <c r="H233" s="24" t="str">
        <f>IF($A233="","",IF($E233=0,"",IFERROR(_xlfn.MAXIFS(tblIssues[Order Date],tblIssues[Staff ID],$A233),"")))</f>
        <v/>
      </c>
      <c r="I233" s="24" t="str">
        <f>IF($A233="","",IF($E233=0,"",IFERROR(_xlfn.MAXIFS(tblIssues[Next Scheduled],tblIssues[Staff ID],$A233),"")))</f>
        <v/>
      </c>
      <c r="J233" s="26">
        <f>IF($A233="","",COUNTIFS(tblIssues[Staff ID],$A233,tblIssues[Status],"Pending"))</f>
        <v>0</v>
      </c>
    </row>
    <row r="234" spans="1:10" x14ac:dyDescent="0.35">
      <c r="A234" s="18" t="str">
        <f>IF('Staff Directory'!$A234="","",'Staff Directory'!$A234)</f>
        <v>PSW-166-A5</v>
      </c>
      <c r="B234" s="18" t="str">
        <f>IF($A234="","",'Staff Directory'!$B234)</f>
        <v>Lastname229, Firstname229</v>
      </c>
      <c r="C234" s="19" t="str">
        <f>IF($A234="","",'Staff Directory'!$C234)</f>
        <v>PSW</v>
      </c>
      <c r="D234" s="19" t="str">
        <f>IF($A234="","",'Staff Directory'!$D234)</f>
        <v>A5</v>
      </c>
      <c r="E234" s="26">
        <f>IF($A234="","",COUNTIFS(tblIssues[Staff ID],$A234))</f>
        <v>0</v>
      </c>
      <c r="F234" s="26">
        <f>IF($A234="","",SUMIFS(tblIssues[Qty Issued],tblIssues[Staff ID],$A234))</f>
        <v>0</v>
      </c>
      <c r="G234" s="21">
        <f>IF($A234="","",SUMIFS(tblIssues[Line Cost],tblIssues[Staff ID],$A234))</f>
        <v>0</v>
      </c>
      <c r="H234" s="24" t="str">
        <f>IF($A234="","",IF($E234=0,"",IFERROR(_xlfn.MAXIFS(tblIssues[Order Date],tblIssues[Staff ID],$A234),"")))</f>
        <v/>
      </c>
      <c r="I234" s="24" t="str">
        <f>IF($A234="","",IF($E234=0,"",IFERROR(_xlfn.MAXIFS(tblIssues[Next Scheduled],tblIssues[Staff ID],$A234),"")))</f>
        <v/>
      </c>
      <c r="J234" s="26">
        <f>IF($A234="","",COUNTIFS(tblIssues[Staff ID],$A234,tblIssues[Status],"Pending"))</f>
        <v>0</v>
      </c>
    </row>
    <row r="235" spans="1:10" x14ac:dyDescent="0.35">
      <c r="A235" s="18" t="str">
        <f>IF('Staff Directory'!$A235="","",'Staff Directory'!$A235)</f>
        <v>PSW-167-A4</v>
      </c>
      <c r="B235" s="18" t="str">
        <f>IF($A235="","",'Staff Directory'!$B235)</f>
        <v>Lastname230, Firstname230</v>
      </c>
      <c r="C235" s="19" t="str">
        <f>IF($A235="","",'Staff Directory'!$C235)</f>
        <v>PSW</v>
      </c>
      <c r="D235" s="19" t="str">
        <f>IF($A235="","",'Staff Directory'!$D235)</f>
        <v>A4</v>
      </c>
      <c r="E235" s="26">
        <f>IF($A235="","",COUNTIFS(tblIssues[Staff ID],$A235))</f>
        <v>18</v>
      </c>
      <c r="F235" s="26">
        <f>IF($A235="","",SUMIFS(tblIssues[Qty Issued],tblIssues[Staff ID],$A235))</f>
        <v>1957</v>
      </c>
      <c r="G235" s="21">
        <f>IF($A235="","",SUMIFS(tblIssues[Line Cost],tblIssues[Staff ID],$A235))</f>
        <v>1900.7602999999999</v>
      </c>
      <c r="H235" s="24">
        <f>IF($A235="","",IF($E235=0,"",IFERROR(_xlfn.MAXIFS(tblIssues[Order Date],tblIssues[Staff ID],$A235),"")))</f>
        <v>46204</v>
      </c>
      <c r="I235" s="24">
        <f>IF($A235="","",IF($E235=0,"",IFERROR(_xlfn.MAXIFS(tblIssues[Next Scheduled],tblIssues[Staff ID],$A235),"")))</f>
        <v>46252</v>
      </c>
      <c r="J235" s="26">
        <f>IF($A235="","",COUNTIFS(tblIssues[Staff ID],$A235,tblIssues[Status],"Pending"))</f>
        <v>0</v>
      </c>
    </row>
    <row r="236" spans="1:10" x14ac:dyDescent="0.35">
      <c r="A236" s="18" t="str">
        <f>IF('Staff Directory'!$A236="","",'Staff Directory'!$A236)</f>
        <v>PSW-168-A6</v>
      </c>
      <c r="B236" s="18" t="str">
        <f>IF($A236="","",'Staff Directory'!$B236)</f>
        <v>Lastname231, Firstname231</v>
      </c>
      <c r="C236" s="19" t="str">
        <f>IF($A236="","",'Staff Directory'!$C236)</f>
        <v>PSW</v>
      </c>
      <c r="D236" s="19" t="str">
        <f>IF($A236="","",'Staff Directory'!$D236)</f>
        <v>A6</v>
      </c>
      <c r="E236" s="26">
        <f>IF($A236="","",COUNTIFS(tblIssues[Staff ID],$A236))</f>
        <v>13</v>
      </c>
      <c r="F236" s="26">
        <f>IF($A236="","",SUMIFS(tblIssues[Qty Issued],tblIssues[Staff ID],$A236))</f>
        <v>2217</v>
      </c>
      <c r="G236" s="21">
        <f>IF($A236="","",SUMIFS(tblIssues[Line Cost],tblIssues[Staff ID],$A236))</f>
        <v>138.50030000000001</v>
      </c>
      <c r="H236" s="24">
        <f>IF($A236="","",IF($E236=0,"",IFERROR(_xlfn.MAXIFS(tblIssues[Order Date],tblIssues[Staff ID],$A236),"")))</f>
        <v>46225</v>
      </c>
      <c r="I236" s="24">
        <f>IF($A236="","",IF($E236=0,"",IFERROR(_xlfn.MAXIFS(tblIssues[Next Scheduled],tblIssues[Staff ID],$A236),"")))</f>
        <v>46273</v>
      </c>
      <c r="J236" s="26">
        <f>IF($A236="","",COUNTIFS(tblIssues[Staff ID],$A236,tblIssues[Status],"Pending"))</f>
        <v>0</v>
      </c>
    </row>
    <row r="237" spans="1:10" x14ac:dyDescent="0.35">
      <c r="A237" s="18" t="str">
        <f>IF('Staff Directory'!$A237="","",'Staff Directory'!$A237)</f>
        <v>PSW-169-A6</v>
      </c>
      <c r="B237" s="18" t="str">
        <f>IF($A237="","",'Staff Directory'!$B237)</f>
        <v>Lastname232, Firstname232</v>
      </c>
      <c r="C237" s="19" t="str">
        <f>IF($A237="","",'Staff Directory'!$C237)</f>
        <v>PSW</v>
      </c>
      <c r="D237" s="19" t="str">
        <f>IF($A237="","",'Staff Directory'!$D237)</f>
        <v>A6</v>
      </c>
      <c r="E237" s="26">
        <f>IF($A237="","",COUNTIFS(tblIssues[Staff ID],$A237))</f>
        <v>18</v>
      </c>
      <c r="F237" s="26">
        <f>IF($A237="","",SUMIFS(tblIssues[Qty Issued],tblIssues[Staff ID],$A237))</f>
        <v>2527</v>
      </c>
      <c r="G237" s="21">
        <f>IF($A237="","",SUMIFS(tblIssues[Line Cost],tblIssues[Staff ID],$A237))</f>
        <v>192.00040000000001</v>
      </c>
      <c r="H237" s="24">
        <f>IF($A237="","",IF($E237=0,"",IFERROR(_xlfn.MAXIFS(tblIssues[Order Date],tblIssues[Staff ID],$A237),"")))</f>
        <v>46216</v>
      </c>
      <c r="I237" s="24">
        <f>IF($A237="","",IF($E237=0,"",IFERROR(_xlfn.MAXIFS(tblIssues[Next Scheduled],tblIssues[Staff ID],$A237),"")))</f>
        <v>46262</v>
      </c>
      <c r="J237" s="26">
        <f>IF($A237="","",COUNTIFS(tblIssues[Staff ID],$A237,tblIssues[Status],"Pending"))</f>
        <v>0</v>
      </c>
    </row>
    <row r="238" spans="1:10" x14ac:dyDescent="0.35">
      <c r="A238" s="18" t="str">
        <f>IF('Staff Directory'!$A238="","",'Staff Directory'!$A238)</f>
        <v>PSW-170-A4</v>
      </c>
      <c r="B238" s="18" t="str">
        <f>IF($A238="","",'Staff Directory'!$B238)</f>
        <v>Lastname233, Firstname233</v>
      </c>
      <c r="C238" s="19" t="str">
        <f>IF($A238="","",'Staff Directory'!$C238)</f>
        <v>PSW</v>
      </c>
      <c r="D238" s="19" t="str">
        <f>IF($A238="","",'Staff Directory'!$D238)</f>
        <v>A4</v>
      </c>
      <c r="E238" s="26">
        <f>IF($A238="","",COUNTIFS(tblIssues[Staff ID],$A238))</f>
        <v>0</v>
      </c>
      <c r="F238" s="26">
        <f>IF($A238="","",SUMIFS(tblIssues[Qty Issued],tblIssues[Staff ID],$A238))</f>
        <v>0</v>
      </c>
      <c r="G238" s="21">
        <f>IF($A238="","",SUMIFS(tblIssues[Line Cost],tblIssues[Staff ID],$A238))</f>
        <v>0</v>
      </c>
      <c r="H238" s="24" t="str">
        <f>IF($A238="","",IF($E238=0,"",IFERROR(_xlfn.MAXIFS(tblIssues[Order Date],tblIssues[Staff ID],$A238),"")))</f>
        <v/>
      </c>
      <c r="I238" s="24" t="str">
        <f>IF($A238="","",IF($E238=0,"",IFERROR(_xlfn.MAXIFS(tblIssues[Next Scheduled],tblIssues[Staff ID],$A238),"")))</f>
        <v/>
      </c>
      <c r="J238" s="26">
        <f>IF($A238="","",COUNTIFS(tblIssues[Staff ID],$A238,tblIssues[Status],"Pending"))</f>
        <v>0</v>
      </c>
    </row>
    <row r="239" spans="1:10" x14ac:dyDescent="0.35">
      <c r="A239" s="18" t="str">
        <f>IF('Staff Directory'!$A239="","",'Staff Directory'!$A239)</f>
        <v>PSW-171-A4</v>
      </c>
      <c r="B239" s="18" t="str">
        <f>IF($A239="","",'Staff Directory'!$B239)</f>
        <v>Lastname234, Firstname234</v>
      </c>
      <c r="C239" s="19" t="str">
        <f>IF($A239="","",'Staff Directory'!$C239)</f>
        <v>PSW</v>
      </c>
      <c r="D239" s="19" t="str">
        <f>IF($A239="","",'Staff Directory'!$D239)</f>
        <v>A4</v>
      </c>
      <c r="E239" s="26">
        <f>IF($A239="","",COUNTIFS(tblIssues[Staff ID],$A239))</f>
        <v>13</v>
      </c>
      <c r="F239" s="26">
        <f>IF($A239="","",SUMIFS(tblIssues[Qty Issued],tblIssues[Staff ID],$A239))</f>
        <v>1895</v>
      </c>
      <c r="G239" s="21">
        <f>IF($A239="","",SUMIFS(tblIssues[Line Cost],tblIssues[Staff ID],$A239))</f>
        <v>152.9803</v>
      </c>
      <c r="H239" s="24">
        <f>IF($A239="","",IF($E239=0,"",IFERROR(_xlfn.MAXIFS(tblIssues[Order Date],tblIssues[Staff ID],$A239),"")))</f>
        <v>46175</v>
      </c>
      <c r="I239" s="24">
        <f>IF($A239="","",IF($E239=0,"",IFERROR(_xlfn.MAXIFS(tblIssues[Next Scheduled],tblIssues[Staff ID],$A239),"")))</f>
        <v>46223</v>
      </c>
      <c r="J239" s="26">
        <f>IF($A239="","",COUNTIFS(tblIssues[Staff ID],$A239,tblIssues[Status],"Pending"))</f>
        <v>0</v>
      </c>
    </row>
    <row r="240" spans="1:10" x14ac:dyDescent="0.35">
      <c r="A240" s="18" t="str">
        <f>IF('Staff Directory'!$A240="","",'Staff Directory'!$A240)</f>
        <v>PSW-172-TBD</v>
      </c>
      <c r="B240" s="18" t="str">
        <f>IF($A240="","",'Staff Directory'!$B240)</f>
        <v>Lastname235, Firstname235</v>
      </c>
      <c r="C240" s="19" t="str">
        <f>IF($A240="","",'Staff Directory'!$C240)</f>
        <v>PSW</v>
      </c>
      <c r="D240" s="19">
        <f>IF($A240="","",'Staff Directory'!$D240)</f>
        <v>0</v>
      </c>
      <c r="E240" s="26">
        <f>IF($A240="","",COUNTIFS(tblIssues[Staff ID],$A240))</f>
        <v>9</v>
      </c>
      <c r="F240" s="26">
        <f>IF($A240="","",SUMIFS(tblIssues[Qty Issued],tblIssues[Staff ID],$A240))</f>
        <v>1781</v>
      </c>
      <c r="G240" s="21">
        <f>IF($A240="","",SUMIFS(tblIssues[Line Cost],tblIssues[Staff ID],$A240))</f>
        <v>140.5</v>
      </c>
      <c r="H240" s="24">
        <f>IF($A240="","",IF($E240=0,"",IFERROR(_xlfn.MAXIFS(tblIssues[Order Date],tblIssues[Staff ID],$A240),"")))</f>
        <v>46211</v>
      </c>
      <c r="I240" s="24">
        <f>IF($A240="","",IF($E240=0,"",IFERROR(_xlfn.MAXIFS(tblIssues[Next Scheduled],tblIssues[Staff ID],$A240),"")))</f>
        <v>46259</v>
      </c>
      <c r="J240" s="26">
        <f>IF($A240="","",COUNTIFS(tblIssues[Staff ID],$A240,tblIssues[Status],"Pending"))</f>
        <v>0</v>
      </c>
    </row>
    <row r="241" spans="1:10" x14ac:dyDescent="0.35">
      <c r="A241" s="18" t="str">
        <f>IF('Staff Directory'!$A241="","",'Staff Directory'!$A241)</f>
        <v>PSW-173-TBD</v>
      </c>
      <c r="B241" s="18" t="str">
        <f>IF($A241="","",'Staff Directory'!$B241)</f>
        <v>Lastname236, Firstname236</v>
      </c>
      <c r="C241" s="19" t="str">
        <f>IF($A241="","",'Staff Directory'!$C241)</f>
        <v>PSW</v>
      </c>
      <c r="D241" s="19">
        <f>IF($A241="","",'Staff Directory'!$D241)</f>
        <v>0</v>
      </c>
      <c r="E241" s="26">
        <f>IF($A241="","",COUNTIFS(tblIssues[Staff ID],$A241))</f>
        <v>0</v>
      </c>
      <c r="F241" s="26">
        <f>IF($A241="","",SUMIFS(tblIssues[Qty Issued],tblIssues[Staff ID],$A241))</f>
        <v>0</v>
      </c>
      <c r="G241" s="21">
        <f>IF($A241="","",SUMIFS(tblIssues[Line Cost],tblIssues[Staff ID],$A241))</f>
        <v>0</v>
      </c>
      <c r="H241" s="24" t="str">
        <f>IF($A241="","",IF($E241=0,"",IFERROR(_xlfn.MAXIFS(tblIssues[Order Date],tblIssues[Staff ID],$A241),"")))</f>
        <v/>
      </c>
      <c r="I241" s="24" t="str">
        <f>IF($A241="","",IF($E241=0,"",IFERROR(_xlfn.MAXIFS(tblIssues[Next Scheduled],tblIssues[Staff ID],$A241),"")))</f>
        <v/>
      </c>
      <c r="J241" s="26">
        <f>IF($A241="","",COUNTIFS(tblIssues[Staff ID],$A241,tblIssues[Status],"Pending"))</f>
        <v>0</v>
      </c>
    </row>
    <row r="242" spans="1:10" x14ac:dyDescent="0.35">
      <c r="A242" s="18" t="str">
        <f>IF('Staff Directory'!$A242="","",'Staff Directory'!$A242)</f>
        <v>PSW-174-TBD</v>
      </c>
      <c r="B242" s="18" t="str">
        <f>IF($A242="","",'Staff Directory'!$B242)</f>
        <v>Lastname237, Firstname237</v>
      </c>
      <c r="C242" s="19" t="str">
        <f>IF($A242="","",'Staff Directory'!$C242)</f>
        <v>PSW</v>
      </c>
      <c r="D242" s="19">
        <f>IF($A242="","",'Staff Directory'!$D242)</f>
        <v>0</v>
      </c>
      <c r="E242" s="26">
        <f>IF($A242="","",COUNTIFS(tblIssues[Staff ID],$A242))</f>
        <v>11</v>
      </c>
      <c r="F242" s="26">
        <f>IF($A242="","",SUMIFS(tblIssues[Qty Issued],tblIssues[Staff ID],$A242))</f>
        <v>1843</v>
      </c>
      <c r="G242" s="21">
        <f>IF($A242="","",SUMIFS(tblIssues[Line Cost],tblIssues[Staff ID],$A242))</f>
        <v>131.50030000000001</v>
      </c>
      <c r="H242" s="24">
        <f>IF($A242="","",IF($E242=0,"",IFERROR(_xlfn.MAXIFS(tblIssues[Order Date],tblIssues[Staff ID],$A242),"")))</f>
        <v>46224</v>
      </c>
      <c r="I242" s="24">
        <f>IF($A242="","",IF($E242=0,"",IFERROR(_xlfn.MAXIFS(tblIssues[Next Scheduled],tblIssues[Staff ID],$A242),"")))</f>
        <v>46272</v>
      </c>
      <c r="J242" s="26">
        <f>IF($A242="","",COUNTIFS(tblIssues[Staff ID],$A242,tblIssues[Status],"Pending"))</f>
        <v>0</v>
      </c>
    </row>
    <row r="243" spans="1:10" x14ac:dyDescent="0.35">
      <c r="A243" s="18" t="str">
        <f>IF('Staff Directory'!$A243="","",'Staff Directory'!$A243)</f>
        <v>PSW-175-TBD</v>
      </c>
      <c r="B243" s="18" t="str">
        <f>IF($A243="","",'Staff Directory'!$B243)</f>
        <v>Lastname238, Firstname238</v>
      </c>
      <c r="C243" s="19" t="str">
        <f>IF($A243="","",'Staff Directory'!$C243)</f>
        <v>PSW</v>
      </c>
      <c r="D243" s="19">
        <f>IF($A243="","",'Staff Directory'!$D243)</f>
        <v>0</v>
      </c>
      <c r="E243" s="26">
        <f>IF($A243="","",COUNTIFS(tblIssues[Staff ID],$A243))</f>
        <v>9</v>
      </c>
      <c r="F243" s="26">
        <f>IF($A243="","",SUMIFS(tblIssues[Qty Issued],tblIssues[Staff ID],$A243))</f>
        <v>1267</v>
      </c>
      <c r="G243" s="21">
        <f>IF($A243="","",SUMIFS(tblIssues[Line Cost],tblIssues[Staff ID],$A243))</f>
        <v>111.00020000000001</v>
      </c>
      <c r="H243" s="24">
        <f>IF($A243="","",IF($E243=0,"",IFERROR(_xlfn.MAXIFS(tblIssues[Order Date],tblIssues[Staff ID],$A243),"")))</f>
        <v>46231</v>
      </c>
      <c r="I243" s="24">
        <f>IF($A243="","",IF($E243=0,"",IFERROR(_xlfn.MAXIFS(tblIssues[Next Scheduled],tblIssues[Staff ID],$A243),"")))</f>
        <v>46279</v>
      </c>
      <c r="J243" s="26">
        <f>IF($A243="","",COUNTIFS(tblIssues[Staff ID],$A243,tblIssues[Status],"Pending"))</f>
        <v>5</v>
      </c>
    </row>
    <row r="244" spans="1:10" x14ac:dyDescent="0.35">
      <c r="A244" s="18" t="str">
        <f>IF('Staff Directory'!$A244="","",'Staff Directory'!$A244)</f>
        <v>PSW-176-TBD</v>
      </c>
      <c r="B244" s="18" t="str">
        <f>IF($A244="","",'Staff Directory'!$B244)</f>
        <v>Lastname239, Firstname239</v>
      </c>
      <c r="C244" s="19" t="str">
        <f>IF($A244="","",'Staff Directory'!$C244)</f>
        <v>PSW</v>
      </c>
      <c r="D244" s="19">
        <f>IF($A244="","",'Staff Directory'!$D244)</f>
        <v>0</v>
      </c>
      <c r="E244" s="26">
        <f>IF($A244="","",COUNTIFS(tblIssues[Staff ID],$A244))</f>
        <v>0</v>
      </c>
      <c r="F244" s="26">
        <f>IF($A244="","",SUMIFS(tblIssues[Qty Issued],tblIssues[Staff ID],$A244))</f>
        <v>0</v>
      </c>
      <c r="G244" s="21">
        <f>IF($A244="","",SUMIFS(tblIssues[Line Cost],tblIssues[Staff ID],$A244))</f>
        <v>0</v>
      </c>
      <c r="H244" s="24" t="str">
        <f>IF($A244="","",IF($E244=0,"",IFERROR(_xlfn.MAXIFS(tblIssues[Order Date],tblIssues[Staff ID],$A244),"")))</f>
        <v/>
      </c>
      <c r="I244" s="24" t="str">
        <f>IF($A244="","",IF($E244=0,"",IFERROR(_xlfn.MAXIFS(tblIssues[Next Scheduled],tblIssues[Staff ID],$A244),"")))</f>
        <v/>
      </c>
      <c r="J244" s="26">
        <f>IF($A244="","",COUNTIFS(tblIssues[Staff ID],$A244,tblIssues[Status],"Pending"))</f>
        <v>0</v>
      </c>
    </row>
    <row r="245" spans="1:10" x14ac:dyDescent="0.35">
      <c r="A245" s="18" t="str">
        <f>IF('Staff Directory'!$A245="","",'Staff Directory'!$A245)</f>
        <v>PSW-177-TBD</v>
      </c>
      <c r="B245" s="18" t="str">
        <f>IF($A245="","",'Staff Directory'!$B245)</f>
        <v>Lastname240, Firstname240</v>
      </c>
      <c r="C245" s="19" t="str">
        <f>IF($A245="","",'Staff Directory'!$C245)</f>
        <v>PSW</v>
      </c>
      <c r="D245" s="19">
        <f>IF($A245="","",'Staff Directory'!$D245)</f>
        <v>0</v>
      </c>
      <c r="E245" s="26">
        <f>IF($A245="","",COUNTIFS(tblIssues[Staff ID],$A245))</f>
        <v>16</v>
      </c>
      <c r="F245" s="26">
        <f>IF($A245="","",SUMIFS(tblIssues[Qty Issued],tblIssues[Staff ID],$A245))</f>
        <v>1287</v>
      </c>
      <c r="G245" s="21">
        <f>IF($A245="","",SUMIFS(tblIssues[Line Cost],tblIssues[Staff ID],$A245))</f>
        <v>743.65</v>
      </c>
      <c r="H245" s="24">
        <f>IF($A245="","",IF($E245=0,"",IFERROR(_xlfn.MAXIFS(tblIssues[Order Date],tblIssues[Staff ID],$A245),"")))</f>
        <v>46209</v>
      </c>
      <c r="I245" s="24">
        <f>IF($A245="","",IF($E245=0,"",IFERROR(_xlfn.MAXIFS(tblIssues[Next Scheduled],tblIssues[Staff ID],$A245),"")))</f>
        <v>46255</v>
      </c>
      <c r="J245" s="26">
        <f>IF($A245="","",COUNTIFS(tblIssues[Staff ID],$A245,tblIssues[Status],"Pending"))</f>
        <v>0</v>
      </c>
    </row>
    <row r="246" spans="1:10" x14ac:dyDescent="0.35">
      <c r="A246" s="18" t="str">
        <f>IF('Staff Directory'!$A246="","",'Staff Directory'!$A246)</f>
        <v>PSW-178-TBD</v>
      </c>
      <c r="B246" s="18" t="str">
        <f>IF($A246="","",'Staff Directory'!$B246)</f>
        <v>Lastname241, Firstname241</v>
      </c>
      <c r="C246" s="19" t="str">
        <f>IF($A246="","",'Staff Directory'!$C246)</f>
        <v>PSW</v>
      </c>
      <c r="D246" s="19">
        <f>IF($A246="","",'Staff Directory'!$D246)</f>
        <v>0</v>
      </c>
      <c r="E246" s="26">
        <f>IF($A246="","",COUNTIFS(tblIssues[Staff ID],$A246))</f>
        <v>12</v>
      </c>
      <c r="F246" s="26">
        <f>IF($A246="","",SUMIFS(tblIssues[Qty Issued],tblIssues[Staff ID],$A246))</f>
        <v>656</v>
      </c>
      <c r="G246" s="21">
        <f>IF($A246="","",SUMIFS(tblIssues[Line Cost],tblIssues[Staff ID],$A246))</f>
        <v>695.65</v>
      </c>
      <c r="H246" s="24">
        <f>IF($A246="","",IF($E246=0,"",IFERROR(_xlfn.MAXIFS(tblIssues[Order Date],tblIssues[Staff ID],$A246),"")))</f>
        <v>46174</v>
      </c>
      <c r="I246" s="24">
        <f>IF($A246="","",IF($E246=0,"",IFERROR(_xlfn.MAXIFS(tblIssues[Next Scheduled],tblIssues[Staff ID],$A246),"")))</f>
        <v>46220</v>
      </c>
      <c r="J246" s="26">
        <f>IF($A246="","",COUNTIFS(tblIssues[Staff ID],$A246,tblIssues[Status],"Pending"))</f>
        <v>0</v>
      </c>
    </row>
    <row r="247" spans="1:10" x14ac:dyDescent="0.35">
      <c r="A247" s="18" t="str">
        <f>IF('Staff Directory'!$A247="","",'Staff Directory'!$A247)</f>
        <v>PSW-179-TBD</v>
      </c>
      <c r="B247" s="18" t="str">
        <f>IF($A247="","",'Staff Directory'!$B247)</f>
        <v>Lastname242, Firstname242</v>
      </c>
      <c r="C247" s="19" t="str">
        <f>IF($A247="","",'Staff Directory'!$C247)</f>
        <v>PSW</v>
      </c>
      <c r="D247" s="19">
        <f>IF($A247="","",'Staff Directory'!$D247)</f>
        <v>0</v>
      </c>
      <c r="E247" s="26">
        <f>IF($A247="","",COUNTIFS(tblIssues[Staff ID],$A247))</f>
        <v>14</v>
      </c>
      <c r="F247" s="26">
        <f>IF($A247="","",SUMIFS(tblIssues[Qty Issued],tblIssues[Staff ID],$A247))</f>
        <v>1157</v>
      </c>
      <c r="G247" s="21">
        <f>IF($A247="","",SUMIFS(tblIssues[Line Cost],tblIssues[Staff ID],$A247))</f>
        <v>723.15</v>
      </c>
      <c r="H247" s="24">
        <f>IF($A247="","",IF($E247=0,"",IFERROR(_xlfn.MAXIFS(tblIssues[Order Date],tblIssues[Staff ID],$A247),"")))</f>
        <v>46209</v>
      </c>
      <c r="I247" s="24">
        <f>IF($A247="","",IF($E247=0,"",IFERROR(_xlfn.MAXIFS(tblIssues[Next Scheduled],tblIssues[Staff ID],$A247),"")))</f>
        <v>46255</v>
      </c>
      <c r="J247" s="26">
        <f>IF($A247="","",COUNTIFS(tblIssues[Staff ID],$A247,tblIssues[Status],"Pending"))</f>
        <v>0</v>
      </c>
    </row>
    <row r="248" spans="1:10" x14ac:dyDescent="0.35">
      <c r="A248" s="18" t="str">
        <f>IF('Staff Directory'!$A248="","",'Staff Directory'!$A248)</f>
        <v>PSW-180-A6</v>
      </c>
      <c r="B248" s="18" t="str">
        <f>IF($A248="","",'Staff Directory'!$B248)</f>
        <v>Lastname243, Firstname243</v>
      </c>
      <c r="C248" s="19" t="str">
        <f>IF($A248="","",'Staff Directory'!$C248)</f>
        <v>PSW</v>
      </c>
      <c r="D248" s="19" t="str">
        <f>IF($A248="","",'Staff Directory'!$D248)</f>
        <v>A6</v>
      </c>
      <c r="E248" s="26">
        <f>IF($A248="","",COUNTIFS(tblIssues[Staff ID],$A248))</f>
        <v>15</v>
      </c>
      <c r="F248" s="26">
        <f>IF($A248="","",SUMIFS(tblIssues[Qty Issued],tblIssues[Staff ID],$A248))</f>
        <v>1237</v>
      </c>
      <c r="G248" s="21">
        <f>IF($A248="","",SUMIFS(tblIssues[Line Cost],tblIssues[Staff ID],$A248))</f>
        <v>731.15009999999995</v>
      </c>
      <c r="H248" s="24">
        <f>IF($A248="","",IF($E248=0,"",IFERROR(_xlfn.MAXIFS(tblIssues[Order Date],tblIssues[Staff ID],$A248),"")))</f>
        <v>46224</v>
      </c>
      <c r="I248" s="24">
        <f>IF($A248="","",IF($E248=0,"",IFERROR(_xlfn.MAXIFS(tblIssues[Next Scheduled],tblIssues[Staff ID],$A248),"")))</f>
        <v>46272</v>
      </c>
      <c r="J248" s="26">
        <f>IF($A248="","",COUNTIFS(tblIssues[Staff ID],$A248,tblIssues[Status],"Pending"))</f>
        <v>0</v>
      </c>
    </row>
    <row r="249" spans="1:10" x14ac:dyDescent="0.35">
      <c r="A249" s="18" t="str">
        <f>IF('Staff Directory'!$A249="","",'Staff Directory'!$A249)</f>
        <v>PSW-181-TBD</v>
      </c>
      <c r="B249" s="18" t="str">
        <f>IF($A249="","",'Staff Directory'!$B249)</f>
        <v>Lastname244, Firstname244</v>
      </c>
      <c r="C249" s="19" t="str">
        <f>IF($A249="","",'Staff Directory'!$C249)</f>
        <v>PSW</v>
      </c>
      <c r="D249" s="19">
        <f>IF($A249="","",'Staff Directory'!$D249)</f>
        <v>0</v>
      </c>
      <c r="E249" s="26">
        <f>IF($A249="","",COUNTIFS(tblIssues[Staff ID],$A249))</f>
        <v>16</v>
      </c>
      <c r="F249" s="26">
        <f>IF($A249="","",SUMIFS(tblIssues[Qty Issued],tblIssues[Staff ID],$A249))</f>
        <v>1287</v>
      </c>
      <c r="G249" s="21">
        <f>IF($A249="","",SUMIFS(tblIssues[Line Cost],tblIssues[Staff ID],$A249))</f>
        <v>740.65009999999995</v>
      </c>
      <c r="H249" s="24">
        <f>IF($A249="","",IF($E249=0,"",IFERROR(_xlfn.MAXIFS(tblIssues[Order Date],tblIssues[Staff ID],$A249),"")))</f>
        <v>46216</v>
      </c>
      <c r="I249" s="24">
        <f>IF($A249="","",IF($E249=0,"",IFERROR(_xlfn.MAXIFS(tblIssues[Next Scheduled],tblIssues[Staff ID],$A249),"")))</f>
        <v>46262</v>
      </c>
      <c r="J249" s="26">
        <f>IF($A249="","",COUNTIFS(tblIssues[Staff ID],$A249,tblIssues[Status],"Pending"))</f>
        <v>0</v>
      </c>
    </row>
    <row r="250" spans="1:10" x14ac:dyDescent="0.35">
      <c r="A250" s="18" t="str">
        <f>IF('Staff Directory'!$A250="","",'Staff Directory'!$A250)</f>
        <v>PSW-182-A5</v>
      </c>
      <c r="B250" s="18" t="str">
        <f>IF($A250="","",'Staff Directory'!$B250)</f>
        <v>Lastname245, Firstname245</v>
      </c>
      <c r="C250" s="19" t="str">
        <f>IF($A250="","",'Staff Directory'!$C250)</f>
        <v>PSW</v>
      </c>
      <c r="D250" s="19" t="str">
        <f>IF($A250="","",'Staff Directory'!$D250)</f>
        <v>A5</v>
      </c>
      <c r="E250" s="26">
        <f>IF($A250="","",COUNTIFS(tblIssues[Staff ID],$A250))</f>
        <v>18</v>
      </c>
      <c r="F250" s="26">
        <f>IF($A250="","",SUMIFS(tblIssues[Qty Issued],tblIssues[Staff ID],$A250))</f>
        <v>1293</v>
      </c>
      <c r="G250" s="21">
        <f>IF($A250="","",SUMIFS(tblIssues[Line Cost],tblIssues[Staff ID],$A250))</f>
        <v>758.65009999999995</v>
      </c>
      <c r="H250" s="24">
        <f>IF($A250="","",IF($E250=0,"",IFERROR(_xlfn.MAXIFS(tblIssues[Order Date],tblIssues[Staff ID],$A250),"")))</f>
        <v>46212</v>
      </c>
      <c r="I250" s="24">
        <f>IF($A250="","",IF($E250=0,"",IFERROR(_xlfn.MAXIFS(tblIssues[Next Scheduled],tblIssues[Staff ID],$A250),"")))</f>
        <v>46260</v>
      </c>
      <c r="J250" s="26">
        <f>IF($A250="","",COUNTIFS(tblIssues[Staff ID],$A250,tblIssues[Status],"Pending"))</f>
        <v>0</v>
      </c>
    </row>
    <row r="251" spans="1:10" x14ac:dyDescent="0.35">
      <c r="A251" s="18" t="str">
        <f>IF('Staff Directory'!$A251="","",'Staff Directory'!$A251)</f>
        <v>PSW-183-TBD</v>
      </c>
      <c r="B251" s="18" t="str">
        <f>IF($A251="","",'Staff Directory'!$B251)</f>
        <v>Lastname246, Firstname246</v>
      </c>
      <c r="C251" s="19" t="str">
        <f>IF($A251="","",'Staff Directory'!$C251)</f>
        <v>PSW</v>
      </c>
      <c r="D251" s="19">
        <f>IF($A251="","",'Staff Directory'!$D251)</f>
        <v>0</v>
      </c>
      <c r="E251" s="26">
        <f>IF($A251="","",COUNTIFS(tblIssues[Staff ID],$A251))</f>
        <v>14</v>
      </c>
      <c r="F251" s="26">
        <f>IF($A251="","",SUMIFS(tblIssues[Qty Issued],tblIssues[Staff ID],$A251))</f>
        <v>1157</v>
      </c>
      <c r="G251" s="21">
        <f>IF($A251="","",SUMIFS(tblIssues[Line Cost],tblIssues[Staff ID],$A251))</f>
        <v>720.15009999999995</v>
      </c>
      <c r="H251" s="24">
        <f>IF($A251="","",IF($E251=0,"",IFERROR(_xlfn.MAXIFS(tblIssues[Order Date],tblIssues[Staff ID],$A251),"")))</f>
        <v>46212</v>
      </c>
      <c r="I251" s="24">
        <f>IF($A251="","",IF($E251=0,"",IFERROR(_xlfn.MAXIFS(tblIssues[Next Scheduled],tblIssues[Staff ID],$A251),"")))</f>
        <v>46260</v>
      </c>
      <c r="J251" s="26">
        <f>IF($A251="","",COUNTIFS(tblIssues[Staff ID],$A251,tblIssues[Status],"Pending"))</f>
        <v>0</v>
      </c>
    </row>
    <row r="252" spans="1:10" x14ac:dyDescent="0.35">
      <c r="A252" s="18" t="str">
        <f>IF('Staff Directory'!$A252="","",'Staff Directory'!$A252)</f>
        <v>PSW-184-TBD</v>
      </c>
      <c r="B252" s="18" t="str">
        <f>IF($A252="","",'Staff Directory'!$B252)</f>
        <v>Lastname247, Firstname247</v>
      </c>
      <c r="C252" s="19" t="str">
        <f>IF($A252="","",'Staff Directory'!$C252)</f>
        <v>PSW</v>
      </c>
      <c r="D252" s="19">
        <f>IF($A252="","",'Staff Directory'!$D252)</f>
        <v>0</v>
      </c>
      <c r="E252" s="26">
        <f>IF($A252="","",COUNTIFS(tblIssues[Staff ID],$A252))</f>
        <v>14</v>
      </c>
      <c r="F252" s="26">
        <f>IF($A252="","",SUMIFS(tblIssues[Qty Issued],tblIssues[Staff ID],$A252))</f>
        <v>1206</v>
      </c>
      <c r="G252" s="21">
        <f>IF($A252="","",SUMIFS(tblIssues[Line Cost],tblIssues[Staff ID],$A252))</f>
        <v>735.65</v>
      </c>
      <c r="H252" s="24">
        <f>IF($A252="","",IF($E252=0,"",IFERROR(_xlfn.MAXIFS(tblIssues[Order Date],tblIssues[Staff ID],$A252),"")))</f>
        <v>46224</v>
      </c>
      <c r="I252" s="24">
        <f>IF($A252="","",IF($E252=0,"",IFERROR(_xlfn.MAXIFS(tblIssues[Next Scheduled],tblIssues[Staff ID],$A252),"")))</f>
        <v>46272</v>
      </c>
      <c r="J252" s="26">
        <f>IF($A252="","",COUNTIFS(tblIssues[Staff ID],$A252,tblIssues[Status],"Pending"))</f>
        <v>0</v>
      </c>
    </row>
    <row r="253" spans="1:10" x14ac:dyDescent="0.35">
      <c r="A253" s="18" t="str">
        <f>IF('Staff Directory'!$A253="","",'Staff Directory'!$A253)</f>
        <v>PSW-185-TBD</v>
      </c>
      <c r="B253" s="18" t="str">
        <f>IF($A253="","",'Staff Directory'!$B253)</f>
        <v>Lastname248, Firstname248</v>
      </c>
      <c r="C253" s="19" t="str">
        <f>IF($A253="","",'Staff Directory'!$C253)</f>
        <v>PSW</v>
      </c>
      <c r="D253" s="19">
        <f>IF($A253="","",'Staff Directory'!$D253)</f>
        <v>0</v>
      </c>
      <c r="E253" s="26">
        <f>IF($A253="","",COUNTIFS(tblIssues[Staff ID],$A253))</f>
        <v>12</v>
      </c>
      <c r="F253" s="26">
        <f>IF($A253="","",SUMIFS(tblIssues[Qty Issued],tblIssues[Staff ID],$A253))</f>
        <v>656</v>
      </c>
      <c r="G253" s="21">
        <f>IF($A253="","",SUMIFS(tblIssues[Line Cost],tblIssues[Staff ID],$A253))</f>
        <v>692.65</v>
      </c>
      <c r="H253" s="24">
        <f>IF($A253="","",IF($E253=0,"",IFERROR(_xlfn.MAXIFS(tblIssues[Order Date],tblIssues[Staff ID],$A253),"")))</f>
        <v>46174</v>
      </c>
      <c r="I253" s="24">
        <f>IF($A253="","",IF($E253=0,"",IFERROR(_xlfn.MAXIFS(tblIssues[Next Scheduled],tblIssues[Staff ID],$A253),"")))</f>
        <v>46220</v>
      </c>
      <c r="J253" s="26">
        <f>IF($A253="","",COUNTIFS(tblIssues[Staff ID],$A253,tblIssues[Status],"Pending"))</f>
        <v>0</v>
      </c>
    </row>
    <row r="254" spans="1:10" x14ac:dyDescent="0.35">
      <c r="A254" s="18" t="str">
        <f>IF('Staff Directory'!$A254="","",'Staff Directory'!$A254)</f>
        <v>PSW-186-TBD</v>
      </c>
      <c r="B254" s="18" t="str">
        <f>IF($A254="","",'Staff Directory'!$B254)</f>
        <v>Lastname249, Firstname249</v>
      </c>
      <c r="C254" s="19" t="str">
        <f>IF($A254="","",'Staff Directory'!$C254)</f>
        <v>PSW</v>
      </c>
      <c r="D254" s="19">
        <f>IF($A254="","",'Staff Directory'!$D254)</f>
        <v>0</v>
      </c>
      <c r="E254" s="26">
        <f>IF($A254="","",COUNTIFS(tblIssues[Staff ID],$A254))</f>
        <v>12</v>
      </c>
      <c r="F254" s="26">
        <f>IF($A254="","",SUMIFS(tblIssues[Qty Issued],tblIssues[Staff ID],$A254))</f>
        <v>656</v>
      </c>
      <c r="G254" s="21">
        <f>IF($A254="","",SUMIFS(tblIssues[Line Cost],tblIssues[Staff ID],$A254))</f>
        <v>692.65</v>
      </c>
      <c r="H254" s="24">
        <f>IF($A254="","",IF($E254=0,"",IFERROR(_xlfn.MAXIFS(tblIssues[Order Date],tblIssues[Staff ID],$A254),"")))</f>
        <v>46209</v>
      </c>
      <c r="I254" s="24">
        <f>IF($A254="","",IF($E254=0,"",IFERROR(_xlfn.MAXIFS(tblIssues[Next Scheduled],tblIssues[Staff ID],$A254),"")))</f>
        <v>46255</v>
      </c>
      <c r="J254" s="26">
        <f>IF($A254="","",COUNTIFS(tblIssues[Staff ID],$A254,tblIssues[Status],"Pending"))</f>
        <v>0</v>
      </c>
    </row>
    <row r="255" spans="1:10" x14ac:dyDescent="0.35">
      <c r="A255" s="18" t="str">
        <f>IF('Staff Directory'!$A255="","",'Staff Directory'!$A255)</f>
        <v>PSW-187-TBD</v>
      </c>
      <c r="B255" s="18" t="str">
        <f>IF($A255="","",'Staff Directory'!$B255)</f>
        <v>Lastname250, Firstname250</v>
      </c>
      <c r="C255" s="19" t="str">
        <f>IF($A255="","",'Staff Directory'!$C255)</f>
        <v>PSW</v>
      </c>
      <c r="D255" s="19">
        <f>IF($A255="","",'Staff Directory'!$D255)</f>
        <v>0</v>
      </c>
      <c r="E255" s="26">
        <f>IF($A255="","",COUNTIFS(tblIssues[Staff ID],$A255))</f>
        <v>12</v>
      </c>
      <c r="F255" s="26">
        <f>IF($A255="","",SUMIFS(tblIssues[Qty Issued],tblIssues[Staff ID],$A255))</f>
        <v>656</v>
      </c>
      <c r="G255" s="21">
        <f>IF($A255="","",SUMIFS(tblIssues[Line Cost],tblIssues[Staff ID],$A255))</f>
        <v>692.65</v>
      </c>
      <c r="H255" s="24">
        <f>IF($A255="","",IF($E255=0,"",IFERROR(_xlfn.MAXIFS(tblIssues[Order Date],tblIssues[Staff ID],$A255),"")))</f>
        <v>46209</v>
      </c>
      <c r="I255" s="24">
        <f>IF($A255="","",IF($E255=0,"",IFERROR(_xlfn.MAXIFS(tblIssues[Next Scheduled],tblIssues[Staff ID],$A255),"")))</f>
        <v>46255</v>
      </c>
      <c r="J255" s="26">
        <f>IF($A255="","",COUNTIFS(tblIssues[Staff ID],$A255,tblIssues[Status],"Pending"))</f>
        <v>0</v>
      </c>
    </row>
    <row r="256" spans="1:10" x14ac:dyDescent="0.35">
      <c r="A256" s="18" t="str">
        <f>IF('Staff Directory'!$A256="","",'Staff Directory'!$A256)</f>
        <v>PSW-188-TBD</v>
      </c>
      <c r="B256" s="18" t="str">
        <f>IF($A256="","",'Staff Directory'!$B256)</f>
        <v>Lastname251, Firstname251</v>
      </c>
      <c r="C256" s="19" t="str">
        <f>IF($A256="","",'Staff Directory'!$C256)</f>
        <v>PSW</v>
      </c>
      <c r="D256" s="19">
        <f>IF($A256="","",'Staff Directory'!$D256)</f>
        <v>0</v>
      </c>
      <c r="E256" s="26">
        <f>IF($A256="","",COUNTIFS(tblIssues[Staff ID],$A256))</f>
        <v>12</v>
      </c>
      <c r="F256" s="26">
        <f>IF($A256="","",SUMIFS(tblIssues[Qty Issued],tblIssues[Staff ID],$A256))</f>
        <v>656</v>
      </c>
      <c r="G256" s="21">
        <f>IF($A256="","",SUMIFS(tblIssues[Line Cost],tblIssues[Staff ID],$A256))</f>
        <v>695.65</v>
      </c>
      <c r="H256" s="24">
        <f>IF($A256="","",IF($E256=0,"",IFERROR(_xlfn.MAXIFS(tblIssues[Order Date],tblIssues[Staff ID],$A256),"")))</f>
        <v>46209</v>
      </c>
      <c r="I256" s="24">
        <f>IF($A256="","",IF($E256=0,"",IFERROR(_xlfn.MAXIFS(tblIssues[Next Scheduled],tblIssues[Staff ID],$A256),"")))</f>
        <v>46255</v>
      </c>
      <c r="J256" s="26">
        <f>IF($A256="","",COUNTIFS(tblIssues[Staff ID],$A256,tblIssues[Status],"Pending"))</f>
        <v>0</v>
      </c>
    </row>
    <row r="257" spans="1:10" x14ac:dyDescent="0.35">
      <c r="A257" s="18" t="str">
        <f>IF('Staff Directory'!$A257="","",'Staff Directory'!$A257)</f>
        <v>PSW-189-TBD</v>
      </c>
      <c r="B257" s="18" t="str">
        <f>IF($A257="","",'Staff Directory'!$B257)</f>
        <v>Lastname252, Firstname252</v>
      </c>
      <c r="C257" s="19" t="str">
        <f>IF($A257="","",'Staff Directory'!$C257)</f>
        <v>PSW</v>
      </c>
      <c r="D257" s="19">
        <f>IF($A257="","",'Staff Directory'!$D257)</f>
        <v>0</v>
      </c>
      <c r="E257" s="26">
        <f>IF($A257="","",COUNTIFS(tblIssues[Staff ID],$A257))</f>
        <v>12</v>
      </c>
      <c r="F257" s="26">
        <f>IF($A257="","",SUMIFS(tblIssues[Qty Issued],tblIssues[Staff ID],$A257))</f>
        <v>656</v>
      </c>
      <c r="G257" s="21">
        <f>IF($A257="","",SUMIFS(tblIssues[Line Cost],tblIssues[Staff ID],$A257))</f>
        <v>695.65</v>
      </c>
      <c r="H257" s="24">
        <f>IF($A257="","",IF($E257=0,"",IFERROR(_xlfn.MAXIFS(tblIssues[Order Date],tblIssues[Staff ID],$A257),"")))</f>
        <v>46209</v>
      </c>
      <c r="I257" s="24">
        <f>IF($A257="","",IF($E257=0,"",IFERROR(_xlfn.MAXIFS(tblIssues[Next Scheduled],tblIssues[Staff ID],$A257),"")))</f>
        <v>46255</v>
      </c>
      <c r="J257" s="26">
        <f>IF($A257="","",COUNTIFS(tblIssues[Staff ID],$A257,tblIssues[Status],"Pending"))</f>
        <v>0</v>
      </c>
    </row>
    <row r="258" spans="1:10" x14ac:dyDescent="0.35">
      <c r="A258" s="18" t="str">
        <f>IF('Staff Directory'!$A258="","",'Staff Directory'!$A258)</f>
        <v>PSW-190-TBD</v>
      </c>
      <c r="B258" s="18" t="str">
        <f>IF($A258="","",'Staff Directory'!$B258)</f>
        <v>Lastname253, Firstname253</v>
      </c>
      <c r="C258" s="19" t="str">
        <f>IF($A258="","",'Staff Directory'!$C258)</f>
        <v>PSW</v>
      </c>
      <c r="D258" s="19">
        <f>IF($A258="","",'Staff Directory'!$D258)</f>
        <v>0</v>
      </c>
      <c r="E258" s="26">
        <f>IF($A258="","",COUNTIFS(tblIssues[Staff ID],$A258))</f>
        <v>12</v>
      </c>
      <c r="F258" s="26">
        <f>IF($A258="","",SUMIFS(tblIssues[Qty Issued],tblIssues[Staff ID],$A258))</f>
        <v>656</v>
      </c>
      <c r="G258" s="21">
        <f>IF($A258="","",SUMIFS(tblIssues[Line Cost],tblIssues[Staff ID],$A258))</f>
        <v>695.65</v>
      </c>
      <c r="H258" s="24">
        <f>IF($A258="","",IF($E258=0,"",IFERROR(_xlfn.MAXIFS(tblIssues[Order Date],tblIssues[Staff ID],$A258),"")))</f>
        <v>46209</v>
      </c>
      <c r="I258" s="24">
        <f>IF($A258="","",IF($E258=0,"",IFERROR(_xlfn.MAXIFS(tblIssues[Next Scheduled],tblIssues[Staff ID],$A258),"")))</f>
        <v>46255</v>
      </c>
      <c r="J258" s="26">
        <f>IF($A258="","",COUNTIFS(tblIssues[Staff ID],$A258,tblIssues[Status],"Pending"))</f>
        <v>0</v>
      </c>
    </row>
    <row r="259" spans="1:10" x14ac:dyDescent="0.35">
      <c r="A259" s="18" t="str">
        <f>IF('Staff Directory'!$A259="","",'Staff Directory'!$A259)</f>
        <v>PSW-191-TBD</v>
      </c>
      <c r="B259" s="18" t="str">
        <f>IF($A259="","",'Staff Directory'!$B259)</f>
        <v>Lastname254, Firstname254</v>
      </c>
      <c r="C259" s="19" t="str">
        <f>IF($A259="","",'Staff Directory'!$C259)</f>
        <v>PSW</v>
      </c>
      <c r="D259" s="19">
        <f>IF($A259="","",'Staff Directory'!$D259)</f>
        <v>0</v>
      </c>
      <c r="E259" s="26">
        <f>IF($A259="","",COUNTIFS(tblIssues[Staff ID],$A259))</f>
        <v>12</v>
      </c>
      <c r="F259" s="26">
        <f>IF($A259="","",SUMIFS(tblIssues[Qty Issued],tblIssues[Staff ID],$A259))</f>
        <v>656</v>
      </c>
      <c r="G259" s="21">
        <f>IF($A259="","",SUMIFS(tblIssues[Line Cost],tblIssues[Staff ID],$A259))</f>
        <v>695.65</v>
      </c>
      <c r="H259" s="24">
        <f>IF($A259="","",IF($E259=0,"",IFERROR(_xlfn.MAXIFS(tblIssues[Order Date],tblIssues[Staff ID],$A259),"")))</f>
        <v>46209</v>
      </c>
      <c r="I259" s="24">
        <f>IF($A259="","",IF($E259=0,"",IFERROR(_xlfn.MAXIFS(tblIssues[Next Scheduled],tblIssues[Staff ID],$A259),"")))</f>
        <v>46255</v>
      </c>
      <c r="J259" s="26">
        <f>IF($A259="","",COUNTIFS(tblIssues[Staff ID],$A259,tblIssues[Status],"Pending"))</f>
        <v>0</v>
      </c>
    </row>
    <row r="260" spans="1:10" x14ac:dyDescent="0.35">
      <c r="A260" s="18" t="str">
        <f>IF('Staff Directory'!$A260="","",'Staff Directory'!$A260)</f>
        <v>PSW-192-TBD</v>
      </c>
      <c r="B260" s="18" t="str">
        <f>IF($A260="","",'Staff Directory'!$B260)</f>
        <v>Lastname255, Firstname255</v>
      </c>
      <c r="C260" s="19" t="str">
        <f>IF($A260="","",'Staff Directory'!$C260)</f>
        <v>PSW</v>
      </c>
      <c r="D260" s="19">
        <f>IF($A260="","",'Staff Directory'!$D260)</f>
        <v>0</v>
      </c>
      <c r="E260" s="26">
        <f>IF($A260="","",COUNTIFS(tblIssues[Staff ID],$A260))</f>
        <v>12</v>
      </c>
      <c r="F260" s="26">
        <f>IF($A260="","",SUMIFS(tblIssues[Qty Issued],tblIssues[Staff ID],$A260))</f>
        <v>656</v>
      </c>
      <c r="G260" s="21">
        <f>IF($A260="","",SUMIFS(tblIssues[Line Cost],tblIssues[Staff ID],$A260))</f>
        <v>695.65</v>
      </c>
      <c r="H260" s="24">
        <f>IF($A260="","",IF($E260=0,"",IFERROR(_xlfn.MAXIFS(tblIssues[Order Date],tblIssues[Staff ID],$A260),"")))</f>
        <v>46209</v>
      </c>
      <c r="I260" s="24">
        <f>IF($A260="","",IF($E260=0,"",IFERROR(_xlfn.MAXIFS(tblIssues[Next Scheduled],tblIssues[Staff ID],$A260),"")))</f>
        <v>46255</v>
      </c>
      <c r="J260" s="26">
        <f>IF($A260="","",COUNTIFS(tblIssues[Staff ID],$A260,tblIssues[Status],"Pending"))</f>
        <v>0</v>
      </c>
    </row>
    <row r="261" spans="1:10" x14ac:dyDescent="0.35">
      <c r="A261" s="18" t="str">
        <f>IF('Staff Directory'!$A261="","",'Staff Directory'!$A261)</f>
        <v>PSW-193-TBD</v>
      </c>
      <c r="B261" s="18" t="str">
        <f>IF($A261="","",'Staff Directory'!$B261)</f>
        <v>Lastname256, Firstname256</v>
      </c>
      <c r="C261" s="19" t="str">
        <f>IF($A261="","",'Staff Directory'!$C261)</f>
        <v>PSW</v>
      </c>
      <c r="D261" s="19">
        <f>IF($A261="","",'Staff Directory'!$D261)</f>
        <v>0</v>
      </c>
      <c r="E261" s="26">
        <f>IF($A261="","",COUNTIFS(tblIssues[Staff ID],$A261))</f>
        <v>12</v>
      </c>
      <c r="F261" s="26">
        <f>IF($A261="","",SUMIFS(tblIssues[Qty Issued],tblIssues[Staff ID],$A261))</f>
        <v>656</v>
      </c>
      <c r="G261" s="21">
        <f>IF($A261="","",SUMIFS(tblIssues[Line Cost],tblIssues[Staff ID],$A261))</f>
        <v>695.65</v>
      </c>
      <c r="H261" s="24">
        <f>IF($A261="","",IF($E261=0,"",IFERROR(_xlfn.MAXIFS(tblIssues[Order Date],tblIssues[Staff ID],$A261),"")))</f>
        <v>46209</v>
      </c>
      <c r="I261" s="24">
        <f>IF($A261="","",IF($E261=0,"",IFERROR(_xlfn.MAXIFS(tblIssues[Next Scheduled],tblIssues[Staff ID],$A261),"")))</f>
        <v>46255</v>
      </c>
      <c r="J261" s="26">
        <f>IF($A261="","",COUNTIFS(tblIssues[Staff ID],$A261,tblIssues[Status],"Pending"))</f>
        <v>0</v>
      </c>
    </row>
    <row r="262" spans="1:10" x14ac:dyDescent="0.35">
      <c r="A262" s="18" t="str">
        <f>IF('Staff Directory'!$A262="","",'Staff Directory'!$A262)</f>
        <v>OEE-002-A3</v>
      </c>
      <c r="B262" s="18" t="str">
        <f>IF($A262="","",'Staff Directory'!$B262)</f>
        <v>Lastname257, Firstname257</v>
      </c>
      <c r="C262" s="19" t="str">
        <f>IF($A262="","",'Staff Directory'!$C262)</f>
        <v>OEE</v>
      </c>
      <c r="D262" s="19" t="str">
        <f>IF($A262="","",'Staff Directory'!$D262)</f>
        <v>A3</v>
      </c>
      <c r="E262" s="26">
        <f>IF($A262="","",COUNTIFS(tblIssues[Staff ID],$A262))</f>
        <v>0</v>
      </c>
      <c r="F262" s="26">
        <f>IF($A262="","",SUMIFS(tblIssues[Qty Issued],tblIssues[Staff ID],$A262))</f>
        <v>0</v>
      </c>
      <c r="G262" s="21">
        <f>IF($A262="","",SUMIFS(tblIssues[Line Cost],tblIssues[Staff ID],$A262))</f>
        <v>0</v>
      </c>
      <c r="H262" s="24" t="str">
        <f>IF($A262="","",IF($E262=0,"",IFERROR(_xlfn.MAXIFS(tblIssues[Order Date],tblIssues[Staff ID],$A262),"")))</f>
        <v/>
      </c>
      <c r="I262" s="24" t="str">
        <f>IF($A262="","",IF($E262=0,"",IFERROR(_xlfn.MAXIFS(tblIssues[Next Scheduled],tblIssues[Staff ID],$A262),"")))</f>
        <v/>
      </c>
      <c r="J262" s="26">
        <f>IF($A262="","",COUNTIFS(tblIssues[Staff ID],$A262,tblIssues[Status],"Pending"))</f>
        <v>0</v>
      </c>
    </row>
    <row r="263" spans="1:10" x14ac:dyDescent="0.35">
      <c r="A263" s="18" t="str">
        <f>IF('Staff Directory'!$A263="","",'Staff Directory'!$A263)</f>
        <v>OEE-003-A3</v>
      </c>
      <c r="B263" s="18" t="str">
        <f>IF($A263="","",'Staff Directory'!$B263)</f>
        <v>Lastname258, Firstname258</v>
      </c>
      <c r="C263" s="19" t="str">
        <f>IF($A263="","",'Staff Directory'!$C263)</f>
        <v>OEE</v>
      </c>
      <c r="D263" s="19" t="str">
        <f>IF($A263="","",'Staff Directory'!$D263)</f>
        <v>A3</v>
      </c>
      <c r="E263" s="26">
        <f>IF($A263="","",COUNTIFS(tblIssues[Staff ID],$A263))</f>
        <v>0</v>
      </c>
      <c r="F263" s="26">
        <f>IF($A263="","",SUMIFS(tblIssues[Qty Issued],tblIssues[Staff ID],$A263))</f>
        <v>0</v>
      </c>
      <c r="G263" s="21">
        <f>IF($A263="","",SUMIFS(tblIssues[Line Cost],tblIssues[Staff ID],$A263))</f>
        <v>0</v>
      </c>
      <c r="H263" s="24" t="str">
        <f>IF($A263="","",IF($E263=0,"",IFERROR(_xlfn.MAXIFS(tblIssues[Order Date],tblIssues[Staff ID],$A263),"")))</f>
        <v/>
      </c>
      <c r="I263" s="24" t="str">
        <f>IF($A263="","",IF($E263=0,"",IFERROR(_xlfn.MAXIFS(tblIssues[Next Scheduled],tblIssues[Staff ID],$A263),"")))</f>
        <v/>
      </c>
      <c r="J263" s="26">
        <f>IF($A263="","",COUNTIFS(tblIssues[Staff ID],$A263,tblIssues[Status],"Pending"))</f>
        <v>0</v>
      </c>
    </row>
    <row r="264" spans="1:10" x14ac:dyDescent="0.35">
      <c r="A264" s="18" t="str">
        <f>IF('Staff Directory'!$A264="","",'Staff Directory'!$A264)</f>
        <v>OEE-004-A3</v>
      </c>
      <c r="B264" s="18" t="str">
        <f>IF($A264="","",'Staff Directory'!$B264)</f>
        <v>Lastname259, Firstname259</v>
      </c>
      <c r="C264" s="19" t="str">
        <f>IF($A264="","",'Staff Directory'!$C264)</f>
        <v>OEE</v>
      </c>
      <c r="D264" s="19" t="str">
        <f>IF($A264="","",'Staff Directory'!$D264)</f>
        <v>A3</v>
      </c>
      <c r="E264" s="26">
        <f>IF($A264="","",COUNTIFS(tblIssues[Staff ID],$A264))</f>
        <v>0</v>
      </c>
      <c r="F264" s="26">
        <f>IF($A264="","",SUMIFS(tblIssues[Qty Issued],tblIssues[Staff ID],$A264))</f>
        <v>0</v>
      </c>
      <c r="G264" s="21">
        <f>IF($A264="","",SUMIFS(tblIssues[Line Cost],tblIssues[Staff ID],$A264))</f>
        <v>0</v>
      </c>
      <c r="H264" s="24" t="str">
        <f>IF($A264="","",IF($E264=0,"",IFERROR(_xlfn.MAXIFS(tblIssues[Order Date],tblIssues[Staff ID],$A264),"")))</f>
        <v/>
      </c>
      <c r="I264" s="24" t="str">
        <f>IF($A264="","",IF($E264=0,"",IFERROR(_xlfn.MAXIFS(tblIssues[Next Scheduled],tblIssues[Staff ID],$A264),"")))</f>
        <v/>
      </c>
      <c r="J264" s="26">
        <f>IF($A264="","",COUNTIFS(tblIssues[Staff ID],$A264,tblIssues[Status],"Pending"))</f>
        <v>0</v>
      </c>
    </row>
    <row r="265" spans="1:10" x14ac:dyDescent="0.35">
      <c r="A265" s="18" t="str">
        <f>IF('Staff Directory'!$A265="","",'Staff Directory'!$A265)</f>
        <v>OEE-005-A3</v>
      </c>
      <c r="B265" s="18" t="str">
        <f>IF($A265="","",'Staff Directory'!$B265)</f>
        <v>Lastname260, Firstname260</v>
      </c>
      <c r="C265" s="19" t="str">
        <f>IF($A265="","",'Staff Directory'!$C265)</f>
        <v>OEE</v>
      </c>
      <c r="D265" s="19" t="str">
        <f>IF($A265="","",'Staff Directory'!$D265)</f>
        <v>A3</v>
      </c>
      <c r="E265" s="26">
        <f>IF($A265="","",COUNTIFS(tblIssues[Staff ID],$A265))</f>
        <v>0</v>
      </c>
      <c r="F265" s="26">
        <f>IF($A265="","",SUMIFS(tblIssues[Qty Issued],tblIssues[Staff ID],$A265))</f>
        <v>0</v>
      </c>
      <c r="G265" s="21">
        <f>IF($A265="","",SUMIFS(tblIssues[Line Cost],tblIssues[Staff ID],$A265))</f>
        <v>0</v>
      </c>
      <c r="H265" s="24" t="str">
        <f>IF($A265="","",IF($E265=0,"",IFERROR(_xlfn.MAXIFS(tblIssues[Order Date],tblIssues[Staff ID],$A265),"")))</f>
        <v/>
      </c>
      <c r="I265" s="24" t="str">
        <f>IF($A265="","",IF($E265=0,"",IFERROR(_xlfn.MAXIFS(tblIssues[Next Scheduled],tblIssues[Staff ID],$A265),"")))</f>
        <v/>
      </c>
      <c r="J265" s="26">
        <f>IF($A265="","",COUNTIFS(tblIssues[Staff ID],$A265,tblIssues[Status],"Pending"))</f>
        <v>0</v>
      </c>
    </row>
    <row r="266" spans="1:10" x14ac:dyDescent="0.35">
      <c r="A266" s="18" t="str">
        <f>IF('Staff Directory'!$A266="","",'Staff Directory'!$A266)</f>
        <v>OEE-006-A3</v>
      </c>
      <c r="B266" s="18" t="str">
        <f>IF($A266="","",'Staff Directory'!$B266)</f>
        <v>Lastname261, Firstname261</v>
      </c>
      <c r="C266" s="19" t="str">
        <f>IF($A266="","",'Staff Directory'!$C266)</f>
        <v>OEE</v>
      </c>
      <c r="D266" s="19" t="str">
        <f>IF($A266="","",'Staff Directory'!$D266)</f>
        <v>A3</v>
      </c>
      <c r="E266" s="26">
        <f>IF($A266="","",COUNTIFS(tblIssues[Staff ID],$A266))</f>
        <v>0</v>
      </c>
      <c r="F266" s="26">
        <f>IF($A266="","",SUMIFS(tblIssues[Qty Issued],tblIssues[Staff ID],$A266))</f>
        <v>0</v>
      </c>
      <c r="G266" s="21">
        <f>IF($A266="","",SUMIFS(tblIssues[Line Cost],tblIssues[Staff ID],$A266))</f>
        <v>0</v>
      </c>
      <c r="H266" s="24" t="str">
        <f>IF($A266="","",IF($E266=0,"",IFERROR(_xlfn.MAXIFS(tblIssues[Order Date],tblIssues[Staff ID],$A266),"")))</f>
        <v/>
      </c>
      <c r="I266" s="24" t="str">
        <f>IF($A266="","",IF($E266=0,"",IFERROR(_xlfn.MAXIFS(tblIssues[Next Scheduled],tblIssues[Staff ID],$A266),"")))</f>
        <v/>
      </c>
      <c r="J266" s="26">
        <f>IF($A266="","",COUNTIFS(tblIssues[Staff ID],$A266,tblIssues[Status],"Pending"))</f>
        <v>0</v>
      </c>
    </row>
    <row r="267" spans="1:10" x14ac:dyDescent="0.35">
      <c r="A267" s="18" t="str">
        <f>IF('Staff Directory'!$A267="","",'Staff Directory'!$A267)</f>
        <v>OEE-007-A3</v>
      </c>
      <c r="B267" s="18" t="str">
        <f>IF($A267="","",'Staff Directory'!$B267)</f>
        <v>Lastname262, Firstname262</v>
      </c>
      <c r="C267" s="19" t="str">
        <f>IF($A267="","",'Staff Directory'!$C267)</f>
        <v>OEE</v>
      </c>
      <c r="D267" s="19" t="str">
        <f>IF($A267="","",'Staff Directory'!$D267)</f>
        <v>A3</v>
      </c>
      <c r="E267" s="26">
        <f>IF($A267="","",COUNTIFS(tblIssues[Staff ID],$A267))</f>
        <v>1</v>
      </c>
      <c r="F267" s="26">
        <f>IF($A267="","",SUMIFS(tblIssues[Qty Issued],tblIssues[Staff ID],$A267))</f>
        <v>2</v>
      </c>
      <c r="G267" s="21">
        <f>IF($A267="","",SUMIFS(tblIssues[Line Cost],tblIssues[Staff ID],$A267))</f>
        <v>8.98</v>
      </c>
      <c r="H267" s="24">
        <f>IF($A267="","",IF($E267=0,"",IFERROR(_xlfn.MAXIFS(tblIssues[Order Date],tblIssues[Staff ID],$A267),"")))</f>
        <v>46114</v>
      </c>
      <c r="I267" s="24">
        <f>IF($A267="","",IF($E267=0,"",IFERROR(_xlfn.MAXIFS(tblIssues[Next Scheduled],tblIssues[Staff ID],$A267),"")))</f>
        <v>46162</v>
      </c>
      <c r="J267" s="26">
        <f>IF($A267="","",COUNTIFS(tblIssues[Staff ID],$A267,tblIssues[Status],"Pending"))</f>
        <v>0</v>
      </c>
    </row>
    <row r="268" spans="1:10" x14ac:dyDescent="0.35">
      <c r="A268" s="18" t="str">
        <f>IF('Staff Directory'!$A268="","",'Staff Directory'!$A268)</f>
        <v>OEE-008-A3</v>
      </c>
      <c r="B268" s="18" t="str">
        <f>IF($A268="","",'Staff Directory'!$B268)</f>
        <v>Lastname263, Firstname263</v>
      </c>
      <c r="C268" s="19" t="str">
        <f>IF($A268="","",'Staff Directory'!$C268)</f>
        <v>OEE</v>
      </c>
      <c r="D268" s="19" t="str">
        <f>IF($A268="","",'Staff Directory'!$D268)</f>
        <v>A3</v>
      </c>
      <c r="E268" s="26">
        <f>IF($A268="","",COUNTIFS(tblIssues[Staff ID],$A268))</f>
        <v>2</v>
      </c>
      <c r="F268" s="26">
        <f>IF($A268="","",SUMIFS(tblIssues[Qty Issued],tblIssues[Staff ID],$A268))</f>
        <v>160</v>
      </c>
      <c r="G268" s="21">
        <f>IF($A268="","",SUMIFS(tblIssues[Line Cost],tblIssues[Staff ID],$A268))</f>
        <v>16</v>
      </c>
      <c r="H268" s="24">
        <f>IF($A268="","",IF($E268=0,"",IFERROR(_xlfn.MAXIFS(tblIssues[Order Date],tblIssues[Staff ID],$A268),"")))</f>
        <v>46136</v>
      </c>
      <c r="I268" s="24">
        <f>IF($A268="","",IF($E268=0,"",IFERROR(_xlfn.MAXIFS(tblIssues[Next Scheduled],tblIssues[Staff ID],$A268),"")))</f>
        <v>46184</v>
      </c>
      <c r="J268" s="26">
        <f>IF($A268="","",COUNTIFS(tblIssues[Staff ID],$A268,tblIssues[Status],"Pending"))</f>
        <v>0</v>
      </c>
    </row>
    <row r="269" spans="1:10" x14ac:dyDescent="0.35">
      <c r="A269" s="18" t="str">
        <f>IF('Staff Directory'!$A269="","",'Staff Directory'!$A269)</f>
        <v>OEE-009-A3</v>
      </c>
      <c r="B269" s="18" t="str">
        <f>IF($A269="","",'Staff Directory'!$B269)</f>
        <v>Lastname264, Firstname264</v>
      </c>
      <c r="C269" s="19" t="str">
        <f>IF($A269="","",'Staff Directory'!$C269)</f>
        <v>OEE</v>
      </c>
      <c r="D269" s="19" t="str">
        <f>IF($A269="","",'Staff Directory'!$D269)</f>
        <v>A3</v>
      </c>
      <c r="E269" s="26">
        <f>IF($A269="","",COUNTIFS(tblIssues[Staff ID],$A269))</f>
        <v>0</v>
      </c>
      <c r="F269" s="26">
        <f>IF($A269="","",SUMIFS(tblIssues[Qty Issued],tblIssues[Staff ID],$A269))</f>
        <v>0</v>
      </c>
      <c r="G269" s="21">
        <f>IF($A269="","",SUMIFS(tblIssues[Line Cost],tblIssues[Staff ID],$A269))</f>
        <v>0</v>
      </c>
      <c r="H269" s="24" t="str">
        <f>IF($A269="","",IF($E269=0,"",IFERROR(_xlfn.MAXIFS(tblIssues[Order Date],tblIssues[Staff ID],$A269),"")))</f>
        <v/>
      </c>
      <c r="I269" s="24" t="str">
        <f>IF($A269="","",IF($E269=0,"",IFERROR(_xlfn.MAXIFS(tblIssues[Next Scheduled],tblIssues[Staff ID],$A269),"")))</f>
        <v/>
      </c>
      <c r="J269" s="26">
        <f>IF($A269="","",COUNTIFS(tblIssues[Staff ID],$A269,tblIssues[Status],"Pending"))</f>
        <v>0</v>
      </c>
    </row>
    <row r="270" spans="1:10" x14ac:dyDescent="0.35">
      <c r="A270" s="18" t="str">
        <f>IF('Staff Directory'!$A270="","",'Staff Directory'!$A270)</f>
        <v>OEE-010-A3</v>
      </c>
      <c r="B270" s="18" t="str">
        <f>IF($A270="","",'Staff Directory'!$B270)</f>
        <v>Lastname265, Firstname265</v>
      </c>
      <c r="C270" s="19" t="str">
        <f>IF($A270="","",'Staff Directory'!$C270)</f>
        <v>OEE</v>
      </c>
      <c r="D270" s="19" t="str">
        <f>IF($A270="","",'Staff Directory'!$D270)</f>
        <v>A3</v>
      </c>
      <c r="E270" s="26">
        <f>IF($A270="","",COUNTIFS(tblIssues[Staff ID],$A270))</f>
        <v>0</v>
      </c>
      <c r="F270" s="26">
        <f>IF($A270="","",SUMIFS(tblIssues[Qty Issued],tblIssues[Staff ID],$A270))</f>
        <v>0</v>
      </c>
      <c r="G270" s="21">
        <f>IF($A270="","",SUMIFS(tblIssues[Line Cost],tblIssues[Staff ID],$A270))</f>
        <v>0</v>
      </c>
      <c r="H270" s="24" t="str">
        <f>IF($A270="","",IF($E270=0,"",IFERROR(_xlfn.MAXIFS(tblIssues[Order Date],tblIssues[Staff ID],$A270),"")))</f>
        <v/>
      </c>
      <c r="I270" s="24" t="str">
        <f>IF($A270="","",IF($E270=0,"",IFERROR(_xlfn.MAXIFS(tblIssues[Next Scheduled],tblIssues[Staff ID],$A270),"")))</f>
        <v/>
      </c>
      <c r="J270" s="26">
        <f>IF($A270="","",COUNTIFS(tblIssues[Staff ID],$A270,tblIssues[Status],"Pending"))</f>
        <v>0</v>
      </c>
    </row>
    <row r="271" spans="1:10" x14ac:dyDescent="0.35">
      <c r="A271" s="18" t="str">
        <f>IF('Staff Directory'!$A271="","",'Staff Directory'!$A271)</f>
        <v/>
      </c>
      <c r="B271" s="18" t="str">
        <f>IF($A271="","",'Staff Directory'!$B271)</f>
        <v/>
      </c>
      <c r="C271" s="19" t="str">
        <f>IF($A271="","",'Staff Directory'!$C271)</f>
        <v/>
      </c>
      <c r="D271" s="19" t="str">
        <f>IF($A271="","",'Staff Directory'!$D271)</f>
        <v/>
      </c>
      <c r="E271" s="26" t="str">
        <f>IF($A271="","",COUNTIFS(tblIssues[Staff ID],$A271))</f>
        <v/>
      </c>
      <c r="F271" s="26" t="str">
        <f>IF($A271="","",SUMIFS(tblIssues[Qty Issued],tblIssues[Staff ID],$A271))</f>
        <v/>
      </c>
      <c r="G271" s="21" t="str">
        <f>IF($A271="","",SUMIFS(tblIssues[Line Cost],tblIssues[Staff ID],$A271))</f>
        <v/>
      </c>
      <c r="H271" s="24" t="str">
        <f>IF($A271="","",IF($E271=0,"",IFERROR(_xlfn.MAXIFS(tblIssues[Order Date],tblIssues[Staff ID],$A271),"")))</f>
        <v/>
      </c>
      <c r="I271" s="24" t="str">
        <f>IF($A271="","",IF($E271=0,"",IFERROR(_xlfn.MAXIFS(tblIssues[Next Scheduled],tblIssues[Staff ID],$A271),"")))</f>
        <v/>
      </c>
      <c r="J271" s="26" t="str">
        <f>IF($A271="","",COUNTIFS(tblIssues[Staff ID],$A271,tblIssues[Status],"Pending"))</f>
        <v/>
      </c>
    </row>
    <row r="272" spans="1:10" x14ac:dyDescent="0.35">
      <c r="A272" s="18" t="str">
        <f>IF('Staff Directory'!$A272="","",'Staff Directory'!$A272)</f>
        <v/>
      </c>
      <c r="B272" s="18" t="str">
        <f>IF($A272="","",'Staff Directory'!$B272)</f>
        <v/>
      </c>
      <c r="C272" s="19" t="str">
        <f>IF($A272="","",'Staff Directory'!$C272)</f>
        <v/>
      </c>
      <c r="D272" s="19" t="str">
        <f>IF($A272="","",'Staff Directory'!$D272)</f>
        <v/>
      </c>
      <c r="E272" s="26" t="str">
        <f>IF($A272="","",COUNTIFS(tblIssues[Staff ID],$A272))</f>
        <v/>
      </c>
      <c r="F272" s="26" t="str">
        <f>IF($A272="","",SUMIFS(tblIssues[Qty Issued],tblIssues[Staff ID],$A272))</f>
        <v/>
      </c>
      <c r="G272" s="21" t="str">
        <f>IF($A272="","",SUMIFS(tblIssues[Line Cost],tblIssues[Staff ID],$A272))</f>
        <v/>
      </c>
      <c r="H272" s="24" t="str">
        <f>IF($A272="","",IF($E272=0,"",IFERROR(_xlfn.MAXIFS(tblIssues[Order Date],tblIssues[Staff ID],$A272),"")))</f>
        <v/>
      </c>
      <c r="I272" s="24" t="str">
        <f>IF($A272="","",IF($E272=0,"",IFERROR(_xlfn.MAXIFS(tblIssues[Next Scheduled],tblIssues[Staff ID],$A272),"")))</f>
        <v/>
      </c>
      <c r="J272" s="26" t="str">
        <f>IF($A272="","",COUNTIFS(tblIssues[Staff ID],$A272,tblIssues[Status],"Pending"))</f>
        <v/>
      </c>
    </row>
    <row r="273" spans="1:10" x14ac:dyDescent="0.35">
      <c r="A273" s="18" t="str">
        <f>IF('Staff Directory'!$A273="","",'Staff Directory'!$A273)</f>
        <v/>
      </c>
      <c r="B273" s="18" t="str">
        <f>IF($A273="","",'Staff Directory'!$B273)</f>
        <v/>
      </c>
      <c r="C273" s="19" t="str">
        <f>IF($A273="","",'Staff Directory'!$C273)</f>
        <v/>
      </c>
      <c r="D273" s="19" t="str">
        <f>IF($A273="","",'Staff Directory'!$D273)</f>
        <v/>
      </c>
      <c r="E273" s="26" t="str">
        <f>IF($A273="","",COUNTIFS(tblIssues[Staff ID],$A273))</f>
        <v/>
      </c>
      <c r="F273" s="26" t="str">
        <f>IF($A273="","",SUMIFS(tblIssues[Qty Issued],tblIssues[Staff ID],$A273))</f>
        <v/>
      </c>
      <c r="G273" s="21" t="str">
        <f>IF($A273="","",SUMIFS(tblIssues[Line Cost],tblIssues[Staff ID],$A273))</f>
        <v/>
      </c>
      <c r="H273" s="24" t="str">
        <f>IF($A273="","",IF($E273=0,"",IFERROR(_xlfn.MAXIFS(tblIssues[Order Date],tblIssues[Staff ID],$A273),"")))</f>
        <v/>
      </c>
      <c r="I273" s="24" t="str">
        <f>IF($A273="","",IF($E273=0,"",IFERROR(_xlfn.MAXIFS(tblIssues[Next Scheduled],tblIssues[Staff ID],$A273),"")))</f>
        <v/>
      </c>
      <c r="J273" s="26" t="str">
        <f>IF($A273="","",COUNTIFS(tblIssues[Staff ID],$A273,tblIssues[Status],"Pending"))</f>
        <v/>
      </c>
    </row>
    <row r="274" spans="1:10" x14ac:dyDescent="0.35">
      <c r="A274" s="18" t="str">
        <f>IF('Staff Directory'!$A274="","",'Staff Directory'!$A274)</f>
        <v/>
      </c>
      <c r="B274" s="18" t="str">
        <f>IF($A274="","",'Staff Directory'!$B274)</f>
        <v/>
      </c>
      <c r="C274" s="19" t="str">
        <f>IF($A274="","",'Staff Directory'!$C274)</f>
        <v/>
      </c>
      <c r="D274" s="19" t="str">
        <f>IF($A274="","",'Staff Directory'!$D274)</f>
        <v/>
      </c>
      <c r="E274" s="26" t="str">
        <f>IF($A274="","",COUNTIFS(tblIssues[Staff ID],$A274))</f>
        <v/>
      </c>
      <c r="F274" s="26" t="str">
        <f>IF($A274="","",SUMIFS(tblIssues[Qty Issued],tblIssues[Staff ID],$A274))</f>
        <v/>
      </c>
      <c r="G274" s="21" t="str">
        <f>IF($A274="","",SUMIFS(tblIssues[Line Cost],tblIssues[Staff ID],$A274))</f>
        <v/>
      </c>
      <c r="H274" s="24" t="str">
        <f>IF($A274="","",IF($E274=0,"",IFERROR(_xlfn.MAXIFS(tblIssues[Order Date],tblIssues[Staff ID],$A274),"")))</f>
        <v/>
      </c>
      <c r="I274" s="24" t="str">
        <f>IF($A274="","",IF($E274=0,"",IFERROR(_xlfn.MAXIFS(tblIssues[Next Scheduled],tblIssues[Staff ID],$A274),"")))</f>
        <v/>
      </c>
      <c r="J274" s="26" t="str">
        <f>IF($A274="","",COUNTIFS(tblIssues[Staff ID],$A274,tblIssues[Status],"Pending"))</f>
        <v/>
      </c>
    </row>
    <row r="275" spans="1:10" x14ac:dyDescent="0.35">
      <c r="A275" s="18" t="str">
        <f>IF('Staff Directory'!$A275="","",'Staff Directory'!$A275)</f>
        <v/>
      </c>
      <c r="B275" s="18" t="str">
        <f>IF($A275="","",'Staff Directory'!$B275)</f>
        <v/>
      </c>
      <c r="C275" s="19" t="str">
        <f>IF($A275="","",'Staff Directory'!$C275)</f>
        <v/>
      </c>
      <c r="D275" s="19" t="str">
        <f>IF($A275="","",'Staff Directory'!$D275)</f>
        <v/>
      </c>
      <c r="E275" s="26" t="str">
        <f>IF($A275="","",COUNTIFS(tblIssues[Staff ID],$A275))</f>
        <v/>
      </c>
      <c r="F275" s="26" t="str">
        <f>IF($A275="","",SUMIFS(tblIssues[Qty Issued],tblIssues[Staff ID],$A275))</f>
        <v/>
      </c>
      <c r="G275" s="21" t="str">
        <f>IF($A275="","",SUMIFS(tblIssues[Line Cost],tblIssues[Staff ID],$A275))</f>
        <v/>
      </c>
      <c r="H275" s="24" t="str">
        <f>IF($A275="","",IF($E275=0,"",IFERROR(_xlfn.MAXIFS(tblIssues[Order Date],tblIssues[Staff ID],$A275),"")))</f>
        <v/>
      </c>
      <c r="I275" s="24" t="str">
        <f>IF($A275="","",IF($E275=0,"",IFERROR(_xlfn.MAXIFS(tblIssues[Next Scheduled],tblIssues[Staff ID],$A275),"")))</f>
        <v/>
      </c>
      <c r="J275" s="26" t="str">
        <f>IF($A275="","",COUNTIFS(tblIssues[Staff ID],$A275,tblIssues[Status],"Pending"))</f>
        <v/>
      </c>
    </row>
    <row r="276" spans="1:10" x14ac:dyDescent="0.35">
      <c r="A276" s="18" t="str">
        <f>IF('Staff Directory'!$A276="","",'Staff Directory'!$A276)</f>
        <v/>
      </c>
      <c r="B276" s="18" t="str">
        <f>IF($A276="","",'Staff Directory'!$B276)</f>
        <v/>
      </c>
      <c r="C276" s="19" t="str">
        <f>IF($A276="","",'Staff Directory'!$C276)</f>
        <v/>
      </c>
      <c r="D276" s="19" t="str">
        <f>IF($A276="","",'Staff Directory'!$D276)</f>
        <v/>
      </c>
      <c r="E276" s="26" t="str">
        <f>IF($A276="","",COUNTIFS(tblIssues[Staff ID],$A276))</f>
        <v/>
      </c>
      <c r="F276" s="26" t="str">
        <f>IF($A276="","",SUMIFS(tblIssues[Qty Issued],tblIssues[Staff ID],$A276))</f>
        <v/>
      </c>
      <c r="G276" s="21" t="str">
        <f>IF($A276="","",SUMIFS(tblIssues[Line Cost],tblIssues[Staff ID],$A276))</f>
        <v/>
      </c>
      <c r="H276" s="24" t="str">
        <f>IF($A276="","",IF($E276=0,"",IFERROR(_xlfn.MAXIFS(tblIssues[Order Date],tblIssues[Staff ID],$A276),"")))</f>
        <v/>
      </c>
      <c r="I276" s="24" t="str">
        <f>IF($A276="","",IF($E276=0,"",IFERROR(_xlfn.MAXIFS(tblIssues[Next Scheduled],tblIssues[Staff ID],$A276),"")))</f>
        <v/>
      </c>
      <c r="J276" s="26" t="str">
        <f>IF($A276="","",COUNTIFS(tblIssues[Staff ID],$A276,tblIssues[Status],"Pending"))</f>
        <v/>
      </c>
    </row>
    <row r="277" spans="1:10" x14ac:dyDescent="0.35">
      <c r="A277" s="18" t="str">
        <f>IF('Staff Directory'!$A277="","",'Staff Directory'!$A277)</f>
        <v/>
      </c>
      <c r="B277" s="18" t="str">
        <f>IF($A277="","",'Staff Directory'!$B277)</f>
        <v/>
      </c>
      <c r="C277" s="19" t="str">
        <f>IF($A277="","",'Staff Directory'!$C277)</f>
        <v/>
      </c>
      <c r="D277" s="19" t="str">
        <f>IF($A277="","",'Staff Directory'!$D277)</f>
        <v/>
      </c>
      <c r="E277" s="26" t="str">
        <f>IF($A277="","",COUNTIFS(tblIssues[Staff ID],$A277))</f>
        <v/>
      </c>
      <c r="F277" s="26" t="str">
        <f>IF($A277="","",SUMIFS(tblIssues[Qty Issued],tblIssues[Staff ID],$A277))</f>
        <v/>
      </c>
      <c r="G277" s="21" t="str">
        <f>IF($A277="","",SUMIFS(tblIssues[Line Cost],tblIssues[Staff ID],$A277))</f>
        <v/>
      </c>
      <c r="H277" s="24" t="str">
        <f>IF($A277="","",IF($E277=0,"",IFERROR(_xlfn.MAXIFS(tblIssues[Order Date],tblIssues[Staff ID],$A277),"")))</f>
        <v/>
      </c>
      <c r="I277" s="24" t="str">
        <f>IF($A277="","",IF($E277=0,"",IFERROR(_xlfn.MAXIFS(tblIssues[Next Scheduled],tblIssues[Staff ID],$A277),"")))</f>
        <v/>
      </c>
      <c r="J277" s="26" t="str">
        <f>IF($A277="","",COUNTIFS(tblIssues[Staff ID],$A277,tblIssues[Status],"Pending"))</f>
        <v/>
      </c>
    </row>
    <row r="278" spans="1:10" x14ac:dyDescent="0.35">
      <c r="A278" s="18" t="str">
        <f>IF('Staff Directory'!$A278="","",'Staff Directory'!$A278)</f>
        <v/>
      </c>
      <c r="B278" s="18" t="str">
        <f>IF($A278="","",'Staff Directory'!$B278)</f>
        <v/>
      </c>
      <c r="C278" s="19" t="str">
        <f>IF($A278="","",'Staff Directory'!$C278)</f>
        <v/>
      </c>
      <c r="D278" s="19" t="str">
        <f>IF($A278="","",'Staff Directory'!$D278)</f>
        <v/>
      </c>
      <c r="E278" s="26" t="str">
        <f>IF($A278="","",COUNTIFS(tblIssues[Staff ID],$A278))</f>
        <v/>
      </c>
      <c r="F278" s="26" t="str">
        <f>IF($A278="","",SUMIFS(tblIssues[Qty Issued],tblIssues[Staff ID],$A278))</f>
        <v/>
      </c>
      <c r="G278" s="21" t="str">
        <f>IF($A278="","",SUMIFS(tblIssues[Line Cost],tblIssues[Staff ID],$A278))</f>
        <v/>
      </c>
      <c r="H278" s="24" t="str">
        <f>IF($A278="","",IF($E278=0,"",IFERROR(_xlfn.MAXIFS(tblIssues[Order Date],tblIssues[Staff ID],$A278),"")))</f>
        <v/>
      </c>
      <c r="I278" s="24" t="str">
        <f>IF($A278="","",IF($E278=0,"",IFERROR(_xlfn.MAXIFS(tblIssues[Next Scheduled],tblIssues[Staff ID],$A278),"")))</f>
        <v/>
      </c>
      <c r="J278" s="26" t="str">
        <f>IF($A278="","",COUNTIFS(tblIssues[Staff ID],$A278,tblIssues[Status],"Pending"))</f>
        <v/>
      </c>
    </row>
    <row r="279" spans="1:10" x14ac:dyDescent="0.35">
      <c r="A279" s="18" t="str">
        <f>IF('Staff Directory'!$A279="","",'Staff Directory'!$A279)</f>
        <v/>
      </c>
      <c r="B279" s="18" t="str">
        <f>IF($A279="","",'Staff Directory'!$B279)</f>
        <v/>
      </c>
      <c r="C279" s="19" t="str">
        <f>IF($A279="","",'Staff Directory'!$C279)</f>
        <v/>
      </c>
      <c r="D279" s="19" t="str">
        <f>IF($A279="","",'Staff Directory'!$D279)</f>
        <v/>
      </c>
      <c r="E279" s="26" t="str">
        <f>IF($A279="","",COUNTIFS(tblIssues[Staff ID],$A279))</f>
        <v/>
      </c>
      <c r="F279" s="26" t="str">
        <f>IF($A279="","",SUMIFS(tblIssues[Qty Issued],tblIssues[Staff ID],$A279))</f>
        <v/>
      </c>
      <c r="G279" s="21" t="str">
        <f>IF($A279="","",SUMIFS(tblIssues[Line Cost],tblIssues[Staff ID],$A279))</f>
        <v/>
      </c>
      <c r="H279" s="24" t="str">
        <f>IF($A279="","",IF($E279=0,"",IFERROR(_xlfn.MAXIFS(tblIssues[Order Date],tblIssues[Staff ID],$A279),"")))</f>
        <v/>
      </c>
      <c r="I279" s="24" t="str">
        <f>IF($A279="","",IF($E279=0,"",IFERROR(_xlfn.MAXIFS(tblIssues[Next Scheduled],tblIssues[Staff ID],$A279),"")))</f>
        <v/>
      </c>
      <c r="J279" s="26" t="str">
        <f>IF($A279="","",COUNTIFS(tblIssues[Staff ID],$A279,tblIssues[Status],"Pending"))</f>
        <v/>
      </c>
    </row>
    <row r="280" spans="1:10" x14ac:dyDescent="0.35">
      <c r="A280" s="18" t="str">
        <f>IF('Staff Directory'!$A280="","",'Staff Directory'!$A280)</f>
        <v/>
      </c>
      <c r="B280" s="18" t="str">
        <f>IF($A280="","",'Staff Directory'!$B280)</f>
        <v/>
      </c>
      <c r="C280" s="19" t="str">
        <f>IF($A280="","",'Staff Directory'!$C280)</f>
        <v/>
      </c>
      <c r="D280" s="19" t="str">
        <f>IF($A280="","",'Staff Directory'!$D280)</f>
        <v/>
      </c>
      <c r="E280" s="26" t="str">
        <f>IF($A280="","",COUNTIFS(tblIssues[Staff ID],$A280))</f>
        <v/>
      </c>
      <c r="F280" s="26" t="str">
        <f>IF($A280="","",SUMIFS(tblIssues[Qty Issued],tblIssues[Staff ID],$A280))</f>
        <v/>
      </c>
      <c r="G280" s="21" t="str">
        <f>IF($A280="","",SUMIFS(tblIssues[Line Cost],tblIssues[Staff ID],$A280))</f>
        <v/>
      </c>
      <c r="H280" s="24" t="str">
        <f>IF($A280="","",IF($E280=0,"",IFERROR(_xlfn.MAXIFS(tblIssues[Order Date],tblIssues[Staff ID],$A280),"")))</f>
        <v/>
      </c>
      <c r="I280" s="24" t="str">
        <f>IF($A280="","",IF($E280=0,"",IFERROR(_xlfn.MAXIFS(tblIssues[Next Scheduled],tblIssues[Staff ID],$A280),"")))</f>
        <v/>
      </c>
      <c r="J280" s="26" t="str">
        <f>IF($A280="","",COUNTIFS(tblIssues[Staff ID],$A280,tblIssues[Status],"Pending"))</f>
        <v/>
      </c>
    </row>
    <row r="281" spans="1:10" x14ac:dyDescent="0.35">
      <c r="A281" s="18" t="str">
        <f>IF('Staff Directory'!$A281="","",'Staff Directory'!$A281)</f>
        <v/>
      </c>
      <c r="B281" s="18" t="str">
        <f>IF($A281="","",'Staff Directory'!$B281)</f>
        <v/>
      </c>
      <c r="C281" s="19" t="str">
        <f>IF($A281="","",'Staff Directory'!$C281)</f>
        <v/>
      </c>
      <c r="D281" s="19" t="str">
        <f>IF($A281="","",'Staff Directory'!$D281)</f>
        <v/>
      </c>
      <c r="E281" s="26" t="str">
        <f>IF($A281="","",COUNTIFS(tblIssues[Staff ID],$A281))</f>
        <v/>
      </c>
      <c r="F281" s="26" t="str">
        <f>IF($A281="","",SUMIFS(tblIssues[Qty Issued],tblIssues[Staff ID],$A281))</f>
        <v/>
      </c>
      <c r="G281" s="21" t="str">
        <f>IF($A281="","",SUMIFS(tblIssues[Line Cost],tblIssues[Staff ID],$A281))</f>
        <v/>
      </c>
      <c r="H281" s="24" t="str">
        <f>IF($A281="","",IF($E281=0,"",IFERROR(_xlfn.MAXIFS(tblIssues[Order Date],tblIssues[Staff ID],$A281),"")))</f>
        <v/>
      </c>
      <c r="I281" s="24" t="str">
        <f>IF($A281="","",IF($E281=0,"",IFERROR(_xlfn.MAXIFS(tblIssues[Next Scheduled],tblIssues[Staff ID],$A281),"")))</f>
        <v/>
      </c>
      <c r="J281" s="26" t="str">
        <f>IF($A281="","",COUNTIFS(tblIssues[Staff ID],$A281,tblIssues[Status],"Pending"))</f>
        <v/>
      </c>
    </row>
    <row r="282" spans="1:10" x14ac:dyDescent="0.35">
      <c r="A282" s="18" t="str">
        <f>IF('Staff Directory'!$A282="","",'Staff Directory'!$A282)</f>
        <v/>
      </c>
      <c r="B282" s="18" t="str">
        <f>IF($A282="","",'Staff Directory'!$B282)</f>
        <v/>
      </c>
      <c r="C282" s="19" t="str">
        <f>IF($A282="","",'Staff Directory'!$C282)</f>
        <v/>
      </c>
      <c r="D282" s="19" t="str">
        <f>IF($A282="","",'Staff Directory'!$D282)</f>
        <v/>
      </c>
      <c r="E282" s="26" t="str">
        <f>IF($A282="","",COUNTIFS(tblIssues[Staff ID],$A282))</f>
        <v/>
      </c>
      <c r="F282" s="26" t="str">
        <f>IF($A282="","",SUMIFS(tblIssues[Qty Issued],tblIssues[Staff ID],$A282))</f>
        <v/>
      </c>
      <c r="G282" s="21" t="str">
        <f>IF($A282="","",SUMIFS(tblIssues[Line Cost],tblIssues[Staff ID],$A282))</f>
        <v/>
      </c>
      <c r="H282" s="24" t="str">
        <f>IF($A282="","",IF($E282=0,"",IFERROR(_xlfn.MAXIFS(tblIssues[Order Date],tblIssues[Staff ID],$A282),"")))</f>
        <v/>
      </c>
      <c r="I282" s="24" t="str">
        <f>IF($A282="","",IF($E282=0,"",IFERROR(_xlfn.MAXIFS(tblIssues[Next Scheduled],tblIssues[Staff ID],$A282),"")))</f>
        <v/>
      </c>
      <c r="J282" s="26" t="str">
        <f>IF($A282="","",COUNTIFS(tblIssues[Staff ID],$A282,tblIssues[Status],"Pending"))</f>
        <v/>
      </c>
    </row>
    <row r="283" spans="1:10" x14ac:dyDescent="0.35">
      <c r="A283" s="18" t="str">
        <f>IF('Staff Directory'!$A283="","",'Staff Directory'!$A283)</f>
        <v/>
      </c>
      <c r="B283" s="18" t="str">
        <f>IF($A283="","",'Staff Directory'!$B283)</f>
        <v/>
      </c>
      <c r="C283" s="19" t="str">
        <f>IF($A283="","",'Staff Directory'!$C283)</f>
        <v/>
      </c>
      <c r="D283" s="19" t="str">
        <f>IF($A283="","",'Staff Directory'!$D283)</f>
        <v/>
      </c>
      <c r="E283" s="26" t="str">
        <f>IF($A283="","",COUNTIFS(tblIssues[Staff ID],$A283))</f>
        <v/>
      </c>
      <c r="F283" s="26" t="str">
        <f>IF($A283="","",SUMIFS(tblIssues[Qty Issued],tblIssues[Staff ID],$A283))</f>
        <v/>
      </c>
      <c r="G283" s="21" t="str">
        <f>IF($A283="","",SUMIFS(tblIssues[Line Cost],tblIssues[Staff ID],$A283))</f>
        <v/>
      </c>
      <c r="H283" s="24" t="str">
        <f>IF($A283="","",IF($E283=0,"",IFERROR(_xlfn.MAXIFS(tblIssues[Order Date],tblIssues[Staff ID],$A283),"")))</f>
        <v/>
      </c>
      <c r="I283" s="24" t="str">
        <f>IF($A283="","",IF($E283=0,"",IFERROR(_xlfn.MAXIFS(tblIssues[Next Scheduled],tblIssues[Staff ID],$A283),"")))</f>
        <v/>
      </c>
      <c r="J283" s="26" t="str">
        <f>IF($A283="","",COUNTIFS(tblIssues[Staff ID],$A283,tblIssues[Status],"Pending"))</f>
        <v/>
      </c>
    </row>
    <row r="284" spans="1:10" x14ac:dyDescent="0.35">
      <c r="A284" s="18" t="str">
        <f>IF('Staff Directory'!$A284="","",'Staff Directory'!$A284)</f>
        <v/>
      </c>
      <c r="B284" s="18" t="str">
        <f>IF($A284="","",'Staff Directory'!$B284)</f>
        <v/>
      </c>
      <c r="C284" s="19" t="str">
        <f>IF($A284="","",'Staff Directory'!$C284)</f>
        <v/>
      </c>
      <c r="D284" s="19" t="str">
        <f>IF($A284="","",'Staff Directory'!$D284)</f>
        <v/>
      </c>
      <c r="E284" s="26" t="str">
        <f>IF($A284="","",COUNTIFS(tblIssues[Staff ID],$A284))</f>
        <v/>
      </c>
      <c r="F284" s="26" t="str">
        <f>IF($A284="","",SUMIFS(tblIssues[Qty Issued],tblIssues[Staff ID],$A284))</f>
        <v/>
      </c>
      <c r="G284" s="21" t="str">
        <f>IF($A284="","",SUMIFS(tblIssues[Line Cost],tblIssues[Staff ID],$A284))</f>
        <v/>
      </c>
      <c r="H284" s="24" t="str">
        <f>IF($A284="","",IF($E284=0,"",IFERROR(_xlfn.MAXIFS(tblIssues[Order Date],tblIssues[Staff ID],$A284),"")))</f>
        <v/>
      </c>
      <c r="I284" s="24" t="str">
        <f>IF($A284="","",IF($E284=0,"",IFERROR(_xlfn.MAXIFS(tblIssues[Next Scheduled],tblIssues[Staff ID],$A284),"")))</f>
        <v/>
      </c>
      <c r="J284" s="26" t="str">
        <f>IF($A284="","",COUNTIFS(tblIssues[Staff ID],$A284,tblIssues[Status],"Pending"))</f>
        <v/>
      </c>
    </row>
    <row r="285" spans="1:10" x14ac:dyDescent="0.35">
      <c r="A285" s="18" t="str">
        <f>IF('Staff Directory'!$A285="","",'Staff Directory'!$A285)</f>
        <v/>
      </c>
      <c r="B285" s="18" t="str">
        <f>IF($A285="","",'Staff Directory'!$B285)</f>
        <v/>
      </c>
      <c r="C285" s="19" t="str">
        <f>IF($A285="","",'Staff Directory'!$C285)</f>
        <v/>
      </c>
      <c r="D285" s="19" t="str">
        <f>IF($A285="","",'Staff Directory'!$D285)</f>
        <v/>
      </c>
      <c r="E285" s="26" t="str">
        <f>IF($A285="","",COUNTIFS(tblIssues[Staff ID],$A285))</f>
        <v/>
      </c>
      <c r="F285" s="26" t="str">
        <f>IF($A285="","",SUMIFS(tblIssues[Qty Issued],tblIssues[Staff ID],$A285))</f>
        <v/>
      </c>
      <c r="G285" s="21" t="str">
        <f>IF($A285="","",SUMIFS(tblIssues[Line Cost],tblIssues[Staff ID],$A285))</f>
        <v/>
      </c>
      <c r="H285" s="24" t="str">
        <f>IF($A285="","",IF($E285=0,"",IFERROR(_xlfn.MAXIFS(tblIssues[Order Date],tblIssues[Staff ID],$A285),"")))</f>
        <v/>
      </c>
      <c r="I285" s="24" t="str">
        <f>IF($A285="","",IF($E285=0,"",IFERROR(_xlfn.MAXIFS(tblIssues[Next Scheduled],tblIssues[Staff ID],$A285),"")))</f>
        <v/>
      </c>
      <c r="J285" s="26" t="str">
        <f>IF($A285="","",COUNTIFS(tblIssues[Staff ID],$A285,tblIssues[Status],"Pending"))</f>
        <v/>
      </c>
    </row>
    <row r="286" spans="1:10" x14ac:dyDescent="0.35">
      <c r="A286" s="18" t="str">
        <f>IF('Staff Directory'!$A286="","",'Staff Directory'!$A286)</f>
        <v/>
      </c>
      <c r="B286" s="18" t="str">
        <f>IF($A286="","",'Staff Directory'!$B286)</f>
        <v/>
      </c>
      <c r="C286" s="19" t="str">
        <f>IF($A286="","",'Staff Directory'!$C286)</f>
        <v/>
      </c>
      <c r="D286" s="19" t="str">
        <f>IF($A286="","",'Staff Directory'!$D286)</f>
        <v/>
      </c>
      <c r="E286" s="26" t="str">
        <f>IF($A286="","",COUNTIFS(tblIssues[Staff ID],$A286))</f>
        <v/>
      </c>
      <c r="F286" s="26" t="str">
        <f>IF($A286="","",SUMIFS(tblIssues[Qty Issued],tblIssues[Staff ID],$A286))</f>
        <v/>
      </c>
      <c r="G286" s="21" t="str">
        <f>IF($A286="","",SUMIFS(tblIssues[Line Cost],tblIssues[Staff ID],$A286))</f>
        <v/>
      </c>
      <c r="H286" s="24" t="str">
        <f>IF($A286="","",IF($E286=0,"",IFERROR(_xlfn.MAXIFS(tblIssues[Order Date],tblIssues[Staff ID],$A286),"")))</f>
        <v/>
      </c>
      <c r="I286" s="24" t="str">
        <f>IF($A286="","",IF($E286=0,"",IFERROR(_xlfn.MAXIFS(tblIssues[Next Scheduled],tblIssues[Staff ID],$A286),"")))</f>
        <v/>
      </c>
      <c r="J286" s="26" t="str">
        <f>IF($A286="","",COUNTIFS(tblIssues[Staff ID],$A286,tblIssues[Status],"Pending"))</f>
        <v/>
      </c>
    </row>
    <row r="287" spans="1:10" x14ac:dyDescent="0.35">
      <c r="A287" s="18" t="str">
        <f>IF('Staff Directory'!$A287="","",'Staff Directory'!$A287)</f>
        <v/>
      </c>
      <c r="B287" s="18" t="str">
        <f>IF($A287="","",'Staff Directory'!$B287)</f>
        <v/>
      </c>
      <c r="C287" s="19" t="str">
        <f>IF($A287="","",'Staff Directory'!$C287)</f>
        <v/>
      </c>
      <c r="D287" s="19" t="str">
        <f>IF($A287="","",'Staff Directory'!$D287)</f>
        <v/>
      </c>
      <c r="E287" s="26" t="str">
        <f>IF($A287="","",COUNTIFS(tblIssues[Staff ID],$A287))</f>
        <v/>
      </c>
      <c r="F287" s="26" t="str">
        <f>IF($A287="","",SUMIFS(tblIssues[Qty Issued],tblIssues[Staff ID],$A287))</f>
        <v/>
      </c>
      <c r="G287" s="21" t="str">
        <f>IF($A287="","",SUMIFS(tblIssues[Line Cost],tblIssues[Staff ID],$A287))</f>
        <v/>
      </c>
      <c r="H287" s="24" t="str">
        <f>IF($A287="","",IF($E287=0,"",IFERROR(_xlfn.MAXIFS(tblIssues[Order Date],tblIssues[Staff ID],$A287),"")))</f>
        <v/>
      </c>
      <c r="I287" s="24" t="str">
        <f>IF($A287="","",IF($E287=0,"",IFERROR(_xlfn.MAXIFS(tblIssues[Next Scheduled],tblIssues[Staff ID],$A287),"")))</f>
        <v/>
      </c>
      <c r="J287" s="26" t="str">
        <f>IF($A287="","",COUNTIFS(tblIssues[Staff ID],$A287,tblIssues[Status],"Pending"))</f>
        <v/>
      </c>
    </row>
    <row r="288" spans="1:10" x14ac:dyDescent="0.35">
      <c r="A288" s="18" t="str">
        <f>IF('Staff Directory'!$A288="","",'Staff Directory'!$A288)</f>
        <v/>
      </c>
      <c r="B288" s="18" t="str">
        <f>IF($A288="","",'Staff Directory'!$B288)</f>
        <v/>
      </c>
      <c r="C288" s="19" t="str">
        <f>IF($A288="","",'Staff Directory'!$C288)</f>
        <v/>
      </c>
      <c r="D288" s="19" t="str">
        <f>IF($A288="","",'Staff Directory'!$D288)</f>
        <v/>
      </c>
      <c r="E288" s="26" t="str">
        <f>IF($A288="","",COUNTIFS(tblIssues[Staff ID],$A288))</f>
        <v/>
      </c>
      <c r="F288" s="26" t="str">
        <f>IF($A288="","",SUMIFS(tblIssues[Qty Issued],tblIssues[Staff ID],$A288))</f>
        <v/>
      </c>
      <c r="G288" s="21" t="str">
        <f>IF($A288="","",SUMIFS(tblIssues[Line Cost],tblIssues[Staff ID],$A288))</f>
        <v/>
      </c>
      <c r="H288" s="24" t="str">
        <f>IF($A288="","",IF($E288=0,"",IFERROR(_xlfn.MAXIFS(tblIssues[Order Date],tblIssues[Staff ID],$A288),"")))</f>
        <v/>
      </c>
      <c r="I288" s="24" t="str">
        <f>IF($A288="","",IF($E288=0,"",IFERROR(_xlfn.MAXIFS(tblIssues[Next Scheduled],tblIssues[Staff ID],$A288),"")))</f>
        <v/>
      </c>
      <c r="J288" s="26" t="str">
        <f>IF($A288="","",COUNTIFS(tblIssues[Staff ID],$A288,tblIssues[Status],"Pending"))</f>
        <v/>
      </c>
    </row>
    <row r="289" spans="1:10" x14ac:dyDescent="0.35">
      <c r="A289" s="18" t="str">
        <f>IF('Staff Directory'!$A289="","",'Staff Directory'!$A289)</f>
        <v/>
      </c>
      <c r="B289" s="18" t="str">
        <f>IF($A289="","",'Staff Directory'!$B289)</f>
        <v/>
      </c>
      <c r="C289" s="19" t="str">
        <f>IF($A289="","",'Staff Directory'!$C289)</f>
        <v/>
      </c>
      <c r="D289" s="19" t="str">
        <f>IF($A289="","",'Staff Directory'!$D289)</f>
        <v/>
      </c>
      <c r="E289" s="26" t="str">
        <f>IF($A289="","",COUNTIFS(tblIssues[Staff ID],$A289))</f>
        <v/>
      </c>
      <c r="F289" s="26" t="str">
        <f>IF($A289="","",SUMIFS(tblIssues[Qty Issued],tblIssues[Staff ID],$A289))</f>
        <v/>
      </c>
      <c r="G289" s="21" t="str">
        <f>IF($A289="","",SUMIFS(tblIssues[Line Cost],tblIssues[Staff ID],$A289))</f>
        <v/>
      </c>
      <c r="H289" s="24" t="str">
        <f>IF($A289="","",IF($E289=0,"",IFERROR(_xlfn.MAXIFS(tblIssues[Order Date],tblIssues[Staff ID],$A289),"")))</f>
        <v/>
      </c>
      <c r="I289" s="24" t="str">
        <f>IF($A289="","",IF($E289=0,"",IFERROR(_xlfn.MAXIFS(tblIssues[Next Scheduled],tblIssues[Staff ID],$A289),"")))</f>
        <v/>
      </c>
      <c r="J289" s="26" t="str">
        <f>IF($A289="","",COUNTIFS(tblIssues[Staff ID],$A289,tblIssues[Status],"Pending"))</f>
        <v/>
      </c>
    </row>
    <row r="290" spans="1:10" x14ac:dyDescent="0.35">
      <c r="A290" s="18" t="str">
        <f>IF('Staff Directory'!$A290="","",'Staff Directory'!$A290)</f>
        <v/>
      </c>
      <c r="B290" s="18" t="str">
        <f>IF($A290="","",'Staff Directory'!$B290)</f>
        <v/>
      </c>
      <c r="C290" s="19" t="str">
        <f>IF($A290="","",'Staff Directory'!$C290)</f>
        <v/>
      </c>
      <c r="D290" s="19" t="str">
        <f>IF($A290="","",'Staff Directory'!$D290)</f>
        <v/>
      </c>
      <c r="E290" s="26" t="str">
        <f>IF($A290="","",COUNTIFS(tblIssues[Staff ID],$A290))</f>
        <v/>
      </c>
      <c r="F290" s="26" t="str">
        <f>IF($A290="","",SUMIFS(tblIssues[Qty Issued],tblIssues[Staff ID],$A290))</f>
        <v/>
      </c>
      <c r="G290" s="21" t="str">
        <f>IF($A290="","",SUMIFS(tblIssues[Line Cost],tblIssues[Staff ID],$A290))</f>
        <v/>
      </c>
      <c r="H290" s="24" t="str">
        <f>IF($A290="","",IF($E290=0,"",IFERROR(_xlfn.MAXIFS(tblIssues[Order Date],tblIssues[Staff ID],$A290),"")))</f>
        <v/>
      </c>
      <c r="I290" s="24" t="str">
        <f>IF($A290="","",IF($E290=0,"",IFERROR(_xlfn.MAXIFS(tblIssues[Next Scheduled],tblIssues[Staff ID],$A290),"")))</f>
        <v/>
      </c>
      <c r="J290" s="26" t="str">
        <f>IF($A290="","",COUNTIFS(tblIssues[Staff ID],$A290,tblIssues[Status],"Pending"))</f>
        <v/>
      </c>
    </row>
    <row r="291" spans="1:10" x14ac:dyDescent="0.35">
      <c r="A291" s="18" t="str">
        <f>IF('Staff Directory'!$A291="","",'Staff Directory'!$A291)</f>
        <v/>
      </c>
      <c r="B291" s="18" t="str">
        <f>IF($A291="","",'Staff Directory'!$B291)</f>
        <v/>
      </c>
      <c r="C291" s="19" t="str">
        <f>IF($A291="","",'Staff Directory'!$C291)</f>
        <v/>
      </c>
      <c r="D291" s="19" t="str">
        <f>IF($A291="","",'Staff Directory'!$D291)</f>
        <v/>
      </c>
      <c r="E291" s="26" t="str">
        <f>IF($A291="","",COUNTIFS(tblIssues[Staff ID],$A291))</f>
        <v/>
      </c>
      <c r="F291" s="26" t="str">
        <f>IF($A291="","",SUMIFS(tblIssues[Qty Issued],tblIssues[Staff ID],$A291))</f>
        <v/>
      </c>
      <c r="G291" s="21" t="str">
        <f>IF($A291="","",SUMIFS(tblIssues[Line Cost],tblIssues[Staff ID],$A291))</f>
        <v/>
      </c>
      <c r="H291" s="24" t="str">
        <f>IF($A291="","",IF($E291=0,"",IFERROR(_xlfn.MAXIFS(tblIssues[Order Date],tblIssues[Staff ID],$A291),"")))</f>
        <v/>
      </c>
      <c r="I291" s="24" t="str">
        <f>IF($A291="","",IF($E291=0,"",IFERROR(_xlfn.MAXIFS(tblIssues[Next Scheduled],tblIssues[Staff ID],$A291),"")))</f>
        <v/>
      </c>
      <c r="J291" s="26" t="str">
        <f>IF($A291="","",COUNTIFS(tblIssues[Staff ID],$A291,tblIssues[Status],"Pending"))</f>
        <v/>
      </c>
    </row>
    <row r="292" spans="1:10" x14ac:dyDescent="0.35">
      <c r="A292" s="18" t="str">
        <f>IF('Staff Directory'!$A292="","",'Staff Directory'!$A292)</f>
        <v/>
      </c>
      <c r="B292" s="18" t="str">
        <f>IF($A292="","",'Staff Directory'!$B292)</f>
        <v/>
      </c>
      <c r="C292" s="19" t="str">
        <f>IF($A292="","",'Staff Directory'!$C292)</f>
        <v/>
      </c>
      <c r="D292" s="19" t="str">
        <f>IF($A292="","",'Staff Directory'!$D292)</f>
        <v/>
      </c>
      <c r="E292" s="26" t="str">
        <f>IF($A292="","",COUNTIFS(tblIssues[Staff ID],$A292))</f>
        <v/>
      </c>
      <c r="F292" s="26" t="str">
        <f>IF($A292="","",SUMIFS(tblIssues[Qty Issued],tblIssues[Staff ID],$A292))</f>
        <v/>
      </c>
      <c r="G292" s="21" t="str">
        <f>IF($A292="","",SUMIFS(tblIssues[Line Cost],tblIssues[Staff ID],$A292))</f>
        <v/>
      </c>
      <c r="H292" s="24" t="str">
        <f>IF($A292="","",IF($E292=0,"",IFERROR(_xlfn.MAXIFS(tblIssues[Order Date],tblIssues[Staff ID],$A292),"")))</f>
        <v/>
      </c>
      <c r="I292" s="24" t="str">
        <f>IF($A292="","",IF($E292=0,"",IFERROR(_xlfn.MAXIFS(tblIssues[Next Scheduled],tblIssues[Staff ID],$A292),"")))</f>
        <v/>
      </c>
      <c r="J292" s="26" t="str">
        <f>IF($A292="","",COUNTIFS(tblIssues[Staff ID],$A292,tblIssues[Status],"Pending"))</f>
        <v/>
      </c>
    </row>
    <row r="293" spans="1:10" x14ac:dyDescent="0.35">
      <c r="A293" s="18" t="str">
        <f>IF('Staff Directory'!$A293="","",'Staff Directory'!$A293)</f>
        <v/>
      </c>
      <c r="B293" s="18" t="str">
        <f>IF($A293="","",'Staff Directory'!$B293)</f>
        <v/>
      </c>
      <c r="C293" s="19" t="str">
        <f>IF($A293="","",'Staff Directory'!$C293)</f>
        <v/>
      </c>
      <c r="D293" s="19" t="str">
        <f>IF($A293="","",'Staff Directory'!$D293)</f>
        <v/>
      </c>
      <c r="E293" s="26" t="str">
        <f>IF($A293="","",COUNTIFS(tblIssues[Staff ID],$A293))</f>
        <v/>
      </c>
      <c r="F293" s="26" t="str">
        <f>IF($A293="","",SUMIFS(tblIssues[Qty Issued],tblIssues[Staff ID],$A293))</f>
        <v/>
      </c>
      <c r="G293" s="21" t="str">
        <f>IF($A293="","",SUMIFS(tblIssues[Line Cost],tblIssues[Staff ID],$A293))</f>
        <v/>
      </c>
      <c r="H293" s="24" t="str">
        <f>IF($A293="","",IF($E293=0,"",IFERROR(_xlfn.MAXIFS(tblIssues[Order Date],tblIssues[Staff ID],$A293),"")))</f>
        <v/>
      </c>
      <c r="I293" s="24" t="str">
        <f>IF($A293="","",IF($E293=0,"",IFERROR(_xlfn.MAXIFS(tblIssues[Next Scheduled],tblIssues[Staff ID],$A293),"")))</f>
        <v/>
      </c>
      <c r="J293" s="26" t="str">
        <f>IF($A293="","",COUNTIFS(tblIssues[Staff ID],$A293,tblIssues[Status],"Pending"))</f>
        <v/>
      </c>
    </row>
    <row r="294" spans="1:10" x14ac:dyDescent="0.35">
      <c r="A294" s="18" t="str">
        <f>IF('Staff Directory'!$A294="","",'Staff Directory'!$A294)</f>
        <v/>
      </c>
      <c r="B294" s="18" t="str">
        <f>IF($A294="","",'Staff Directory'!$B294)</f>
        <v/>
      </c>
      <c r="C294" s="19" t="str">
        <f>IF($A294="","",'Staff Directory'!$C294)</f>
        <v/>
      </c>
      <c r="D294" s="19" t="str">
        <f>IF($A294="","",'Staff Directory'!$D294)</f>
        <v/>
      </c>
      <c r="E294" s="26" t="str">
        <f>IF($A294="","",COUNTIFS(tblIssues[Staff ID],$A294))</f>
        <v/>
      </c>
      <c r="F294" s="26" t="str">
        <f>IF($A294="","",SUMIFS(tblIssues[Qty Issued],tblIssues[Staff ID],$A294))</f>
        <v/>
      </c>
      <c r="G294" s="21" t="str">
        <f>IF($A294="","",SUMIFS(tblIssues[Line Cost],tblIssues[Staff ID],$A294))</f>
        <v/>
      </c>
      <c r="H294" s="24" t="str">
        <f>IF($A294="","",IF($E294=0,"",IFERROR(_xlfn.MAXIFS(tblIssues[Order Date],tblIssues[Staff ID],$A294),"")))</f>
        <v/>
      </c>
      <c r="I294" s="24" t="str">
        <f>IF($A294="","",IF($E294=0,"",IFERROR(_xlfn.MAXIFS(tblIssues[Next Scheduled],tblIssues[Staff ID],$A294),"")))</f>
        <v/>
      </c>
      <c r="J294" s="26" t="str">
        <f>IF($A294="","",COUNTIFS(tblIssues[Staff ID],$A294,tblIssues[Status],"Pending"))</f>
        <v/>
      </c>
    </row>
    <row r="295" spans="1:10" x14ac:dyDescent="0.35">
      <c r="A295" s="18" t="str">
        <f>IF('Staff Directory'!$A295="","",'Staff Directory'!$A295)</f>
        <v/>
      </c>
      <c r="B295" s="18" t="str">
        <f>IF($A295="","",'Staff Directory'!$B295)</f>
        <v/>
      </c>
      <c r="C295" s="19" t="str">
        <f>IF($A295="","",'Staff Directory'!$C295)</f>
        <v/>
      </c>
      <c r="D295" s="19" t="str">
        <f>IF($A295="","",'Staff Directory'!$D295)</f>
        <v/>
      </c>
      <c r="E295" s="26" t="str">
        <f>IF($A295="","",COUNTIFS(tblIssues[Staff ID],$A295))</f>
        <v/>
      </c>
      <c r="F295" s="26" t="str">
        <f>IF($A295="","",SUMIFS(tblIssues[Qty Issued],tblIssues[Staff ID],$A295))</f>
        <v/>
      </c>
      <c r="G295" s="21" t="str">
        <f>IF($A295="","",SUMIFS(tblIssues[Line Cost],tblIssues[Staff ID],$A295))</f>
        <v/>
      </c>
      <c r="H295" s="24" t="str">
        <f>IF($A295="","",IF($E295=0,"",IFERROR(_xlfn.MAXIFS(tblIssues[Order Date],tblIssues[Staff ID],$A295),"")))</f>
        <v/>
      </c>
      <c r="I295" s="24" t="str">
        <f>IF($A295="","",IF($E295=0,"",IFERROR(_xlfn.MAXIFS(tblIssues[Next Scheduled],tblIssues[Staff ID],$A295),"")))</f>
        <v/>
      </c>
      <c r="J295" s="26" t="str">
        <f>IF($A295="","",COUNTIFS(tblIssues[Staff ID],$A295,tblIssues[Status],"Pending"))</f>
        <v/>
      </c>
    </row>
    <row r="296" spans="1:10" x14ac:dyDescent="0.35">
      <c r="A296" s="18" t="str">
        <f>IF('Staff Directory'!$A296="","",'Staff Directory'!$A296)</f>
        <v/>
      </c>
      <c r="B296" s="18" t="str">
        <f>IF($A296="","",'Staff Directory'!$B296)</f>
        <v/>
      </c>
      <c r="C296" s="19" t="str">
        <f>IF($A296="","",'Staff Directory'!$C296)</f>
        <v/>
      </c>
      <c r="D296" s="19" t="str">
        <f>IF($A296="","",'Staff Directory'!$D296)</f>
        <v/>
      </c>
      <c r="E296" s="26" t="str">
        <f>IF($A296="","",COUNTIFS(tblIssues[Staff ID],$A296))</f>
        <v/>
      </c>
      <c r="F296" s="26" t="str">
        <f>IF($A296="","",SUMIFS(tblIssues[Qty Issued],tblIssues[Staff ID],$A296))</f>
        <v/>
      </c>
      <c r="G296" s="21" t="str">
        <f>IF($A296="","",SUMIFS(tblIssues[Line Cost],tblIssues[Staff ID],$A296))</f>
        <v/>
      </c>
      <c r="H296" s="24" t="str">
        <f>IF($A296="","",IF($E296=0,"",IFERROR(_xlfn.MAXIFS(tblIssues[Order Date],tblIssues[Staff ID],$A296),"")))</f>
        <v/>
      </c>
      <c r="I296" s="24" t="str">
        <f>IF($A296="","",IF($E296=0,"",IFERROR(_xlfn.MAXIFS(tblIssues[Next Scheduled],tblIssues[Staff ID],$A296),"")))</f>
        <v/>
      </c>
      <c r="J296" s="26" t="str">
        <f>IF($A296="","",COUNTIFS(tblIssues[Staff ID],$A296,tblIssues[Status],"Pending"))</f>
        <v/>
      </c>
    </row>
    <row r="297" spans="1:10" x14ac:dyDescent="0.35">
      <c r="A297" s="18" t="str">
        <f>IF('Staff Directory'!$A297="","",'Staff Directory'!$A297)</f>
        <v/>
      </c>
      <c r="B297" s="18" t="str">
        <f>IF($A297="","",'Staff Directory'!$B297)</f>
        <v/>
      </c>
      <c r="C297" s="19" t="str">
        <f>IF($A297="","",'Staff Directory'!$C297)</f>
        <v/>
      </c>
      <c r="D297" s="19" t="str">
        <f>IF($A297="","",'Staff Directory'!$D297)</f>
        <v/>
      </c>
      <c r="E297" s="26" t="str">
        <f>IF($A297="","",COUNTIFS(tblIssues[Staff ID],$A297))</f>
        <v/>
      </c>
      <c r="F297" s="26" t="str">
        <f>IF($A297="","",SUMIFS(tblIssues[Qty Issued],tblIssues[Staff ID],$A297))</f>
        <v/>
      </c>
      <c r="G297" s="21" t="str">
        <f>IF($A297="","",SUMIFS(tblIssues[Line Cost],tblIssues[Staff ID],$A297))</f>
        <v/>
      </c>
      <c r="H297" s="24" t="str">
        <f>IF($A297="","",IF($E297=0,"",IFERROR(_xlfn.MAXIFS(tblIssues[Order Date],tblIssues[Staff ID],$A297),"")))</f>
        <v/>
      </c>
      <c r="I297" s="24" t="str">
        <f>IF($A297="","",IF($E297=0,"",IFERROR(_xlfn.MAXIFS(tblIssues[Next Scheduled],tblIssues[Staff ID],$A297),"")))</f>
        <v/>
      </c>
      <c r="J297" s="26" t="str">
        <f>IF($A297="","",COUNTIFS(tblIssues[Staff ID],$A297,tblIssues[Status],"Pending"))</f>
        <v/>
      </c>
    </row>
    <row r="298" spans="1:10" x14ac:dyDescent="0.35">
      <c r="A298" s="18" t="str">
        <f>IF('Staff Directory'!$A298="","",'Staff Directory'!$A298)</f>
        <v/>
      </c>
      <c r="B298" s="18" t="str">
        <f>IF($A298="","",'Staff Directory'!$B298)</f>
        <v/>
      </c>
      <c r="C298" s="19" t="str">
        <f>IF($A298="","",'Staff Directory'!$C298)</f>
        <v/>
      </c>
      <c r="D298" s="19" t="str">
        <f>IF($A298="","",'Staff Directory'!$D298)</f>
        <v/>
      </c>
      <c r="E298" s="26" t="str">
        <f>IF($A298="","",COUNTIFS(tblIssues[Staff ID],$A298))</f>
        <v/>
      </c>
      <c r="F298" s="26" t="str">
        <f>IF($A298="","",SUMIFS(tblIssues[Qty Issued],tblIssues[Staff ID],$A298))</f>
        <v/>
      </c>
      <c r="G298" s="21" t="str">
        <f>IF($A298="","",SUMIFS(tblIssues[Line Cost],tblIssues[Staff ID],$A298))</f>
        <v/>
      </c>
      <c r="H298" s="24" t="str">
        <f>IF($A298="","",IF($E298=0,"",IFERROR(_xlfn.MAXIFS(tblIssues[Order Date],tblIssues[Staff ID],$A298),"")))</f>
        <v/>
      </c>
      <c r="I298" s="24" t="str">
        <f>IF($A298="","",IF($E298=0,"",IFERROR(_xlfn.MAXIFS(tblIssues[Next Scheduled],tblIssues[Staff ID],$A298),"")))</f>
        <v/>
      </c>
      <c r="J298" s="26" t="str">
        <f>IF($A298="","",COUNTIFS(tblIssues[Staff ID],$A298,tblIssues[Status],"Pending"))</f>
        <v/>
      </c>
    </row>
    <row r="299" spans="1:10" x14ac:dyDescent="0.35">
      <c r="A299" s="18" t="str">
        <f>IF('Staff Directory'!$A299="","",'Staff Directory'!$A299)</f>
        <v/>
      </c>
      <c r="B299" s="18" t="str">
        <f>IF($A299="","",'Staff Directory'!$B299)</f>
        <v/>
      </c>
      <c r="C299" s="19" t="str">
        <f>IF($A299="","",'Staff Directory'!$C299)</f>
        <v/>
      </c>
      <c r="D299" s="19" t="str">
        <f>IF($A299="","",'Staff Directory'!$D299)</f>
        <v/>
      </c>
      <c r="E299" s="26" t="str">
        <f>IF($A299="","",COUNTIFS(tblIssues[Staff ID],$A299))</f>
        <v/>
      </c>
      <c r="F299" s="26" t="str">
        <f>IF($A299="","",SUMIFS(tblIssues[Qty Issued],tblIssues[Staff ID],$A299))</f>
        <v/>
      </c>
      <c r="G299" s="21" t="str">
        <f>IF($A299="","",SUMIFS(tblIssues[Line Cost],tblIssues[Staff ID],$A299))</f>
        <v/>
      </c>
      <c r="H299" s="24" t="str">
        <f>IF($A299="","",IF($E299=0,"",IFERROR(_xlfn.MAXIFS(tblIssues[Order Date],tblIssues[Staff ID],$A299),"")))</f>
        <v/>
      </c>
      <c r="I299" s="24" t="str">
        <f>IF($A299="","",IF($E299=0,"",IFERROR(_xlfn.MAXIFS(tblIssues[Next Scheduled],tblIssues[Staff ID],$A299),"")))</f>
        <v/>
      </c>
      <c r="J299" s="26" t="str">
        <f>IF($A299="","",COUNTIFS(tblIssues[Staff ID],$A299,tblIssues[Status],"Pending"))</f>
        <v/>
      </c>
    </row>
    <row r="300" spans="1:10" x14ac:dyDescent="0.35">
      <c r="A300" s="18" t="str">
        <f>IF('Staff Directory'!$A300="","",'Staff Directory'!$A300)</f>
        <v/>
      </c>
      <c r="B300" s="18" t="str">
        <f>IF($A300="","",'Staff Directory'!$B300)</f>
        <v/>
      </c>
      <c r="C300" s="19" t="str">
        <f>IF($A300="","",'Staff Directory'!$C300)</f>
        <v/>
      </c>
      <c r="D300" s="19" t="str">
        <f>IF($A300="","",'Staff Directory'!$D300)</f>
        <v/>
      </c>
      <c r="E300" s="26" t="str">
        <f>IF($A300="","",COUNTIFS(tblIssues[Staff ID],$A300))</f>
        <v/>
      </c>
      <c r="F300" s="26" t="str">
        <f>IF($A300="","",SUMIFS(tblIssues[Qty Issued],tblIssues[Staff ID],$A300))</f>
        <v/>
      </c>
      <c r="G300" s="21" t="str">
        <f>IF($A300="","",SUMIFS(tblIssues[Line Cost],tblIssues[Staff ID],$A300))</f>
        <v/>
      </c>
      <c r="H300" s="24" t="str">
        <f>IF($A300="","",IF($E300=0,"",IFERROR(_xlfn.MAXIFS(tblIssues[Order Date],tblIssues[Staff ID],$A300),"")))</f>
        <v/>
      </c>
      <c r="I300" s="24" t="str">
        <f>IF($A300="","",IF($E300=0,"",IFERROR(_xlfn.MAXIFS(tblIssues[Next Scheduled],tblIssues[Staff ID],$A300),"")))</f>
        <v/>
      </c>
      <c r="J300" s="26" t="str">
        <f>IF($A300="","",COUNTIFS(tblIssues[Staff ID],$A300,tblIssues[Status],"Pending"))</f>
        <v/>
      </c>
    </row>
    <row r="301" spans="1:10" x14ac:dyDescent="0.35">
      <c r="A301" s="18" t="str">
        <f>IF('Staff Directory'!$A301="","",'Staff Directory'!$A301)</f>
        <v/>
      </c>
      <c r="B301" s="18" t="str">
        <f>IF($A301="","",'Staff Directory'!$B301)</f>
        <v/>
      </c>
      <c r="C301" s="19" t="str">
        <f>IF($A301="","",'Staff Directory'!$C301)</f>
        <v/>
      </c>
      <c r="D301" s="19" t="str">
        <f>IF($A301="","",'Staff Directory'!$D301)</f>
        <v/>
      </c>
      <c r="E301" s="26" t="str">
        <f>IF($A301="","",COUNTIFS(tblIssues[Staff ID],$A301))</f>
        <v/>
      </c>
      <c r="F301" s="26" t="str">
        <f>IF($A301="","",SUMIFS(tblIssues[Qty Issued],tblIssues[Staff ID],$A301))</f>
        <v/>
      </c>
      <c r="G301" s="21" t="str">
        <f>IF($A301="","",SUMIFS(tblIssues[Line Cost],tblIssues[Staff ID],$A301))</f>
        <v/>
      </c>
      <c r="H301" s="24" t="str">
        <f>IF($A301="","",IF($E301=0,"",IFERROR(_xlfn.MAXIFS(tblIssues[Order Date],tblIssues[Staff ID],$A301),"")))</f>
        <v/>
      </c>
      <c r="I301" s="24" t="str">
        <f>IF($A301="","",IF($E301=0,"",IFERROR(_xlfn.MAXIFS(tblIssues[Next Scheduled],tblIssues[Staff ID],$A301),"")))</f>
        <v/>
      </c>
      <c r="J301" s="26" t="str">
        <f>IF($A301="","",COUNTIFS(tblIssues[Staff ID],$A301,tblIssues[Status],"Pending"))</f>
        <v/>
      </c>
    </row>
    <row r="302" spans="1:10" x14ac:dyDescent="0.35">
      <c r="A302" s="18" t="str">
        <f>IF('Staff Directory'!$A302="","",'Staff Directory'!$A302)</f>
        <v/>
      </c>
      <c r="B302" s="18" t="str">
        <f>IF($A302="","",'Staff Directory'!$B302)</f>
        <v/>
      </c>
      <c r="C302" s="19" t="str">
        <f>IF($A302="","",'Staff Directory'!$C302)</f>
        <v/>
      </c>
      <c r="D302" s="19" t="str">
        <f>IF($A302="","",'Staff Directory'!$D302)</f>
        <v/>
      </c>
      <c r="E302" s="26" t="str">
        <f>IF($A302="","",COUNTIFS(tblIssues[Staff ID],$A302))</f>
        <v/>
      </c>
      <c r="F302" s="26" t="str">
        <f>IF($A302="","",SUMIFS(tblIssues[Qty Issued],tblIssues[Staff ID],$A302))</f>
        <v/>
      </c>
      <c r="G302" s="21" t="str">
        <f>IF($A302="","",SUMIFS(tblIssues[Line Cost],tblIssues[Staff ID],$A302))</f>
        <v/>
      </c>
      <c r="H302" s="24" t="str">
        <f>IF($A302="","",IF($E302=0,"",IFERROR(_xlfn.MAXIFS(tblIssues[Order Date],tblIssues[Staff ID],$A302),"")))</f>
        <v/>
      </c>
      <c r="I302" s="24" t="str">
        <f>IF($A302="","",IF($E302=0,"",IFERROR(_xlfn.MAXIFS(tblIssues[Next Scheduled],tblIssues[Staff ID],$A302),"")))</f>
        <v/>
      </c>
      <c r="J302" s="26" t="str">
        <f>IF($A302="","",COUNTIFS(tblIssues[Staff ID],$A302,tblIssues[Status],"Pending"))</f>
        <v/>
      </c>
    </row>
    <row r="303" spans="1:10" x14ac:dyDescent="0.35">
      <c r="A303" s="18" t="str">
        <f>IF('Staff Directory'!$A303="","",'Staff Directory'!$A303)</f>
        <v/>
      </c>
      <c r="B303" s="18" t="str">
        <f>IF($A303="","",'Staff Directory'!$B303)</f>
        <v/>
      </c>
      <c r="C303" s="19" t="str">
        <f>IF($A303="","",'Staff Directory'!$C303)</f>
        <v/>
      </c>
      <c r="D303" s="19" t="str">
        <f>IF($A303="","",'Staff Directory'!$D303)</f>
        <v/>
      </c>
      <c r="E303" s="26" t="str">
        <f>IF($A303="","",COUNTIFS(tblIssues[Staff ID],$A303))</f>
        <v/>
      </c>
      <c r="F303" s="26" t="str">
        <f>IF($A303="","",SUMIFS(tblIssues[Qty Issued],tblIssues[Staff ID],$A303))</f>
        <v/>
      </c>
      <c r="G303" s="21" t="str">
        <f>IF($A303="","",SUMIFS(tblIssues[Line Cost],tblIssues[Staff ID],$A303))</f>
        <v/>
      </c>
      <c r="H303" s="24" t="str">
        <f>IF($A303="","",IF($E303=0,"",IFERROR(_xlfn.MAXIFS(tblIssues[Order Date],tblIssues[Staff ID],$A303),"")))</f>
        <v/>
      </c>
      <c r="I303" s="24" t="str">
        <f>IF($A303="","",IF($E303=0,"",IFERROR(_xlfn.MAXIFS(tblIssues[Next Scheduled],tblIssues[Staff ID],$A303),"")))</f>
        <v/>
      </c>
      <c r="J303" s="26" t="str">
        <f>IF($A303="","",COUNTIFS(tblIssues[Staff ID],$A303,tblIssues[Status],"Pending"))</f>
        <v/>
      </c>
    </row>
    <row r="304" spans="1:10" x14ac:dyDescent="0.35">
      <c r="A304" s="18" t="str">
        <f>IF('Staff Directory'!$A304="","",'Staff Directory'!$A304)</f>
        <v/>
      </c>
      <c r="B304" s="18" t="str">
        <f>IF($A304="","",'Staff Directory'!$B304)</f>
        <v/>
      </c>
      <c r="C304" s="19" t="str">
        <f>IF($A304="","",'Staff Directory'!$C304)</f>
        <v/>
      </c>
      <c r="D304" s="19" t="str">
        <f>IF($A304="","",'Staff Directory'!$D304)</f>
        <v/>
      </c>
      <c r="E304" s="26" t="str">
        <f>IF($A304="","",COUNTIFS(tblIssues[Staff ID],$A304))</f>
        <v/>
      </c>
      <c r="F304" s="26" t="str">
        <f>IF($A304="","",SUMIFS(tblIssues[Qty Issued],tblIssues[Staff ID],$A304))</f>
        <v/>
      </c>
      <c r="G304" s="21" t="str">
        <f>IF($A304="","",SUMIFS(tblIssues[Line Cost],tblIssues[Staff ID],$A304))</f>
        <v/>
      </c>
      <c r="H304" s="24" t="str">
        <f>IF($A304="","",IF($E304=0,"",IFERROR(_xlfn.MAXIFS(tblIssues[Order Date],tblIssues[Staff ID],$A304),"")))</f>
        <v/>
      </c>
      <c r="I304" s="24" t="str">
        <f>IF($A304="","",IF($E304=0,"",IFERROR(_xlfn.MAXIFS(tblIssues[Next Scheduled],tblIssues[Staff ID],$A304),"")))</f>
        <v/>
      </c>
      <c r="J304" s="26" t="str">
        <f>IF($A304="","",COUNTIFS(tblIssues[Staff ID],$A304,tblIssues[Status],"Pending"))</f>
        <v/>
      </c>
    </row>
    <row r="305" spans="1:10" x14ac:dyDescent="0.35">
      <c r="A305" s="18" t="str">
        <f>IF('Staff Directory'!$A305="","",'Staff Directory'!$A305)</f>
        <v/>
      </c>
      <c r="B305" s="18" t="str">
        <f>IF($A305="","",'Staff Directory'!$B305)</f>
        <v/>
      </c>
      <c r="C305" s="19" t="str">
        <f>IF($A305="","",'Staff Directory'!$C305)</f>
        <v/>
      </c>
      <c r="D305" s="19" t="str">
        <f>IF($A305="","",'Staff Directory'!$D305)</f>
        <v/>
      </c>
      <c r="E305" s="26" t="str">
        <f>IF($A305="","",COUNTIFS(tblIssues[Staff ID],$A305))</f>
        <v/>
      </c>
      <c r="F305" s="26" t="str">
        <f>IF($A305="","",SUMIFS(tblIssues[Qty Issued],tblIssues[Staff ID],$A305))</f>
        <v/>
      </c>
      <c r="G305" s="21" t="str">
        <f>IF($A305="","",SUMIFS(tblIssues[Line Cost],tblIssues[Staff ID],$A305))</f>
        <v/>
      </c>
      <c r="H305" s="24" t="str">
        <f>IF($A305="","",IF($E305=0,"",IFERROR(_xlfn.MAXIFS(tblIssues[Order Date],tblIssues[Staff ID],$A305),"")))</f>
        <v/>
      </c>
      <c r="I305" s="24" t="str">
        <f>IF($A305="","",IF($E305=0,"",IFERROR(_xlfn.MAXIFS(tblIssues[Next Scheduled],tblIssues[Staff ID],$A305),"")))</f>
        <v/>
      </c>
      <c r="J305" s="26" t="str">
        <f>IF($A305="","",COUNTIFS(tblIssues[Staff ID],$A305,tblIssues[Status],"Pending"))</f>
        <v/>
      </c>
    </row>
    <row r="306" spans="1:10" x14ac:dyDescent="0.35">
      <c r="A306" s="18" t="str">
        <f>IF('Staff Directory'!$A306="","",'Staff Directory'!$A306)</f>
        <v/>
      </c>
      <c r="B306" s="18" t="str">
        <f>IF($A306="","",'Staff Directory'!$B306)</f>
        <v/>
      </c>
      <c r="C306" s="19" t="str">
        <f>IF($A306="","",'Staff Directory'!$C306)</f>
        <v/>
      </c>
      <c r="D306" s="19" t="str">
        <f>IF($A306="","",'Staff Directory'!$D306)</f>
        <v/>
      </c>
      <c r="E306" s="26" t="str">
        <f>IF($A306="","",COUNTIFS(tblIssues[Staff ID],$A306))</f>
        <v/>
      </c>
      <c r="F306" s="26" t="str">
        <f>IF($A306="","",SUMIFS(tblIssues[Qty Issued],tblIssues[Staff ID],$A306))</f>
        <v/>
      </c>
      <c r="G306" s="21" t="str">
        <f>IF($A306="","",SUMIFS(tblIssues[Line Cost],tblIssues[Staff ID],$A306))</f>
        <v/>
      </c>
      <c r="H306" s="24" t="str">
        <f>IF($A306="","",IF($E306=0,"",IFERROR(_xlfn.MAXIFS(tblIssues[Order Date],tblIssues[Staff ID],$A306),"")))</f>
        <v/>
      </c>
      <c r="I306" s="24" t="str">
        <f>IF($A306="","",IF($E306=0,"",IFERROR(_xlfn.MAXIFS(tblIssues[Next Scheduled],tblIssues[Staff ID],$A306),"")))</f>
        <v/>
      </c>
      <c r="J306" s="26" t="str">
        <f>IF($A306="","",COUNTIFS(tblIssues[Staff ID],$A306,tblIssues[Status],"Pending"))</f>
        <v/>
      </c>
    </row>
    <row r="307" spans="1:10" x14ac:dyDescent="0.35">
      <c r="A307" s="18" t="str">
        <f>IF('Staff Directory'!$A307="","",'Staff Directory'!$A307)</f>
        <v/>
      </c>
      <c r="B307" s="18" t="str">
        <f>IF($A307="","",'Staff Directory'!$B307)</f>
        <v/>
      </c>
      <c r="C307" s="19" t="str">
        <f>IF($A307="","",'Staff Directory'!$C307)</f>
        <v/>
      </c>
      <c r="D307" s="19" t="str">
        <f>IF($A307="","",'Staff Directory'!$D307)</f>
        <v/>
      </c>
      <c r="E307" s="26" t="str">
        <f>IF($A307="","",COUNTIFS(tblIssues[Staff ID],$A307))</f>
        <v/>
      </c>
      <c r="F307" s="26" t="str">
        <f>IF($A307="","",SUMIFS(tblIssues[Qty Issued],tblIssues[Staff ID],$A307))</f>
        <v/>
      </c>
      <c r="G307" s="21" t="str">
        <f>IF($A307="","",SUMIFS(tblIssues[Line Cost],tblIssues[Staff ID],$A307))</f>
        <v/>
      </c>
      <c r="H307" s="24" t="str">
        <f>IF($A307="","",IF($E307=0,"",IFERROR(_xlfn.MAXIFS(tblIssues[Order Date],tblIssues[Staff ID],$A307),"")))</f>
        <v/>
      </c>
      <c r="I307" s="24" t="str">
        <f>IF($A307="","",IF($E307=0,"",IFERROR(_xlfn.MAXIFS(tblIssues[Next Scheduled],tblIssues[Staff ID],$A307),"")))</f>
        <v/>
      </c>
      <c r="J307" s="26" t="str">
        <f>IF($A307="","",COUNTIFS(tblIssues[Staff ID],$A307,tblIssues[Status],"Pending"))</f>
        <v/>
      </c>
    </row>
    <row r="308" spans="1:10" x14ac:dyDescent="0.35">
      <c r="A308" s="18" t="str">
        <f>IF('Staff Directory'!$A308="","",'Staff Directory'!$A308)</f>
        <v/>
      </c>
      <c r="B308" s="18" t="str">
        <f>IF($A308="","",'Staff Directory'!$B308)</f>
        <v/>
      </c>
      <c r="C308" s="19" t="str">
        <f>IF($A308="","",'Staff Directory'!$C308)</f>
        <v/>
      </c>
      <c r="D308" s="19" t="str">
        <f>IF($A308="","",'Staff Directory'!$D308)</f>
        <v/>
      </c>
      <c r="E308" s="26" t="str">
        <f>IF($A308="","",COUNTIFS(tblIssues[Staff ID],$A308))</f>
        <v/>
      </c>
      <c r="F308" s="26" t="str">
        <f>IF($A308="","",SUMIFS(tblIssues[Qty Issued],tblIssues[Staff ID],$A308))</f>
        <v/>
      </c>
      <c r="G308" s="21" t="str">
        <f>IF($A308="","",SUMIFS(tblIssues[Line Cost],tblIssues[Staff ID],$A308))</f>
        <v/>
      </c>
      <c r="H308" s="24" t="str">
        <f>IF($A308="","",IF($E308=0,"",IFERROR(_xlfn.MAXIFS(tblIssues[Order Date],tblIssues[Staff ID],$A308),"")))</f>
        <v/>
      </c>
      <c r="I308" s="24" t="str">
        <f>IF($A308="","",IF($E308=0,"",IFERROR(_xlfn.MAXIFS(tblIssues[Next Scheduled],tblIssues[Staff ID],$A308),"")))</f>
        <v/>
      </c>
      <c r="J308" s="26" t="str">
        <f>IF($A308="","",COUNTIFS(tblIssues[Staff ID],$A308,tblIssues[Status],"Pending"))</f>
        <v/>
      </c>
    </row>
    <row r="309" spans="1:10" x14ac:dyDescent="0.35">
      <c r="A309" s="18" t="str">
        <f>IF('Staff Directory'!$A309="","",'Staff Directory'!$A309)</f>
        <v/>
      </c>
      <c r="B309" s="18" t="str">
        <f>IF($A309="","",'Staff Directory'!$B309)</f>
        <v/>
      </c>
      <c r="C309" s="19" t="str">
        <f>IF($A309="","",'Staff Directory'!$C309)</f>
        <v/>
      </c>
      <c r="D309" s="19" t="str">
        <f>IF($A309="","",'Staff Directory'!$D309)</f>
        <v/>
      </c>
      <c r="E309" s="26" t="str">
        <f>IF($A309="","",COUNTIFS(tblIssues[Staff ID],$A309))</f>
        <v/>
      </c>
      <c r="F309" s="26" t="str">
        <f>IF($A309="","",SUMIFS(tblIssues[Qty Issued],tblIssues[Staff ID],$A309))</f>
        <v/>
      </c>
      <c r="G309" s="21" t="str">
        <f>IF($A309="","",SUMIFS(tblIssues[Line Cost],tblIssues[Staff ID],$A309))</f>
        <v/>
      </c>
      <c r="H309" s="24" t="str">
        <f>IF($A309="","",IF($E309=0,"",IFERROR(_xlfn.MAXIFS(tblIssues[Order Date],tblIssues[Staff ID],$A309),"")))</f>
        <v/>
      </c>
      <c r="I309" s="24" t="str">
        <f>IF($A309="","",IF($E309=0,"",IFERROR(_xlfn.MAXIFS(tblIssues[Next Scheduled],tblIssues[Staff ID],$A309),"")))</f>
        <v/>
      </c>
      <c r="J309" s="26" t="str">
        <f>IF($A309="","",COUNTIFS(tblIssues[Staff ID],$A309,tblIssues[Status],"Pending"))</f>
        <v/>
      </c>
    </row>
    <row r="310" spans="1:10" x14ac:dyDescent="0.35">
      <c r="A310" s="18" t="str">
        <f>IF('Staff Directory'!$A310="","",'Staff Directory'!$A310)</f>
        <v/>
      </c>
      <c r="B310" s="18" t="str">
        <f>IF($A310="","",'Staff Directory'!$B310)</f>
        <v/>
      </c>
      <c r="C310" s="19" t="str">
        <f>IF($A310="","",'Staff Directory'!$C310)</f>
        <v/>
      </c>
      <c r="D310" s="19" t="str">
        <f>IF($A310="","",'Staff Directory'!$D310)</f>
        <v/>
      </c>
      <c r="E310" s="26" t="str">
        <f>IF($A310="","",COUNTIFS(tblIssues[Staff ID],$A310))</f>
        <v/>
      </c>
      <c r="F310" s="26" t="str">
        <f>IF($A310="","",SUMIFS(tblIssues[Qty Issued],tblIssues[Staff ID],$A310))</f>
        <v/>
      </c>
      <c r="G310" s="21" t="str">
        <f>IF($A310="","",SUMIFS(tblIssues[Line Cost],tblIssues[Staff ID],$A310))</f>
        <v/>
      </c>
      <c r="H310" s="24" t="str">
        <f>IF($A310="","",IF($E310=0,"",IFERROR(_xlfn.MAXIFS(tblIssues[Order Date],tblIssues[Staff ID],$A310),"")))</f>
        <v/>
      </c>
      <c r="I310" s="24" t="str">
        <f>IF($A310="","",IF($E310=0,"",IFERROR(_xlfn.MAXIFS(tblIssues[Next Scheduled],tblIssues[Staff ID],$A310),"")))</f>
        <v/>
      </c>
      <c r="J310" s="26" t="str">
        <f>IF($A310="","",COUNTIFS(tblIssues[Staff ID],$A310,tblIssues[Status],"Pending"))</f>
        <v/>
      </c>
    </row>
    <row r="311" spans="1:10" x14ac:dyDescent="0.35">
      <c r="A311" s="18" t="str">
        <f>IF('Staff Directory'!$A311="","",'Staff Directory'!$A311)</f>
        <v/>
      </c>
      <c r="B311" s="18" t="str">
        <f>IF($A311="","",'Staff Directory'!$B311)</f>
        <v/>
      </c>
      <c r="C311" s="19" t="str">
        <f>IF($A311="","",'Staff Directory'!$C311)</f>
        <v/>
      </c>
      <c r="D311" s="19" t="str">
        <f>IF($A311="","",'Staff Directory'!$D311)</f>
        <v/>
      </c>
      <c r="E311" s="26" t="str">
        <f>IF($A311="","",COUNTIFS(tblIssues[Staff ID],$A311))</f>
        <v/>
      </c>
      <c r="F311" s="26" t="str">
        <f>IF($A311="","",SUMIFS(tblIssues[Qty Issued],tblIssues[Staff ID],$A311))</f>
        <v/>
      </c>
      <c r="G311" s="21" t="str">
        <f>IF($A311="","",SUMIFS(tblIssues[Line Cost],tblIssues[Staff ID],$A311))</f>
        <v/>
      </c>
      <c r="H311" s="24" t="str">
        <f>IF($A311="","",IF($E311=0,"",IFERROR(_xlfn.MAXIFS(tblIssues[Order Date],tblIssues[Staff ID],$A311),"")))</f>
        <v/>
      </c>
      <c r="I311" s="24" t="str">
        <f>IF($A311="","",IF($E311=0,"",IFERROR(_xlfn.MAXIFS(tblIssues[Next Scheduled],tblIssues[Staff ID],$A311),"")))</f>
        <v/>
      </c>
      <c r="J311" s="26" t="str">
        <f>IF($A311="","",COUNTIFS(tblIssues[Staff ID],$A311,tblIssues[Status],"Pending"))</f>
        <v/>
      </c>
    </row>
    <row r="312" spans="1:10" x14ac:dyDescent="0.35">
      <c r="A312" s="18" t="str">
        <f>IF('Staff Directory'!$A312="","",'Staff Directory'!$A312)</f>
        <v/>
      </c>
      <c r="B312" s="18" t="str">
        <f>IF($A312="","",'Staff Directory'!$B312)</f>
        <v/>
      </c>
      <c r="C312" s="19" t="str">
        <f>IF($A312="","",'Staff Directory'!$C312)</f>
        <v/>
      </c>
      <c r="D312" s="19" t="str">
        <f>IF($A312="","",'Staff Directory'!$D312)</f>
        <v/>
      </c>
      <c r="E312" s="26" t="str">
        <f>IF($A312="","",COUNTIFS(tblIssues[Staff ID],$A312))</f>
        <v/>
      </c>
      <c r="F312" s="26" t="str">
        <f>IF($A312="","",SUMIFS(tblIssues[Qty Issued],tblIssues[Staff ID],$A312))</f>
        <v/>
      </c>
      <c r="G312" s="21" t="str">
        <f>IF($A312="","",SUMIFS(tblIssues[Line Cost],tblIssues[Staff ID],$A312))</f>
        <v/>
      </c>
      <c r="H312" s="24" t="str">
        <f>IF($A312="","",IF($E312=0,"",IFERROR(_xlfn.MAXIFS(tblIssues[Order Date],tblIssues[Staff ID],$A312),"")))</f>
        <v/>
      </c>
      <c r="I312" s="24" t="str">
        <f>IF($A312="","",IF($E312=0,"",IFERROR(_xlfn.MAXIFS(tblIssues[Next Scheduled],tblIssues[Staff ID],$A312),"")))</f>
        <v/>
      </c>
      <c r="J312" s="26" t="str">
        <f>IF($A312="","",COUNTIFS(tblIssues[Staff ID],$A312,tblIssues[Status],"Pending"))</f>
        <v/>
      </c>
    </row>
    <row r="313" spans="1:10" x14ac:dyDescent="0.35">
      <c r="A313" s="18" t="str">
        <f>IF('Staff Directory'!$A313="","",'Staff Directory'!$A313)</f>
        <v/>
      </c>
      <c r="B313" s="18" t="str">
        <f>IF($A313="","",'Staff Directory'!$B313)</f>
        <v/>
      </c>
      <c r="C313" s="19" t="str">
        <f>IF($A313="","",'Staff Directory'!$C313)</f>
        <v/>
      </c>
      <c r="D313" s="19" t="str">
        <f>IF($A313="","",'Staff Directory'!$D313)</f>
        <v/>
      </c>
      <c r="E313" s="26" t="str">
        <f>IF($A313="","",COUNTIFS(tblIssues[Staff ID],$A313))</f>
        <v/>
      </c>
      <c r="F313" s="26" t="str">
        <f>IF($A313="","",SUMIFS(tblIssues[Qty Issued],tblIssues[Staff ID],$A313))</f>
        <v/>
      </c>
      <c r="G313" s="21" t="str">
        <f>IF($A313="","",SUMIFS(tblIssues[Line Cost],tblIssues[Staff ID],$A313))</f>
        <v/>
      </c>
      <c r="H313" s="24" t="str">
        <f>IF($A313="","",IF($E313=0,"",IFERROR(_xlfn.MAXIFS(tblIssues[Order Date],tblIssues[Staff ID],$A313),"")))</f>
        <v/>
      </c>
      <c r="I313" s="24" t="str">
        <f>IF($A313="","",IF($E313=0,"",IFERROR(_xlfn.MAXIFS(tblIssues[Next Scheduled],tblIssues[Staff ID],$A313),"")))</f>
        <v/>
      </c>
      <c r="J313" s="26" t="str">
        <f>IF($A313="","",COUNTIFS(tblIssues[Staff ID],$A313,tblIssues[Status],"Pending"))</f>
        <v/>
      </c>
    </row>
    <row r="314" spans="1:10" x14ac:dyDescent="0.35">
      <c r="A314" s="18" t="str">
        <f>IF('Staff Directory'!$A314="","",'Staff Directory'!$A314)</f>
        <v/>
      </c>
      <c r="B314" s="18" t="str">
        <f>IF($A314="","",'Staff Directory'!$B314)</f>
        <v/>
      </c>
      <c r="C314" s="19" t="str">
        <f>IF($A314="","",'Staff Directory'!$C314)</f>
        <v/>
      </c>
      <c r="D314" s="19" t="str">
        <f>IF($A314="","",'Staff Directory'!$D314)</f>
        <v/>
      </c>
      <c r="E314" s="26" t="str">
        <f>IF($A314="","",COUNTIFS(tblIssues[Staff ID],$A314))</f>
        <v/>
      </c>
      <c r="F314" s="26" t="str">
        <f>IF($A314="","",SUMIFS(tblIssues[Qty Issued],tblIssues[Staff ID],$A314))</f>
        <v/>
      </c>
      <c r="G314" s="21" t="str">
        <f>IF($A314="","",SUMIFS(tblIssues[Line Cost],tblIssues[Staff ID],$A314))</f>
        <v/>
      </c>
      <c r="H314" s="24" t="str">
        <f>IF($A314="","",IF($E314=0,"",IFERROR(_xlfn.MAXIFS(tblIssues[Order Date],tblIssues[Staff ID],$A314),"")))</f>
        <v/>
      </c>
      <c r="I314" s="24" t="str">
        <f>IF($A314="","",IF($E314=0,"",IFERROR(_xlfn.MAXIFS(tblIssues[Next Scheduled],tblIssues[Staff ID],$A314),"")))</f>
        <v/>
      </c>
      <c r="J314" s="26" t="str">
        <f>IF($A314="","",COUNTIFS(tblIssues[Staff ID],$A314,tblIssues[Status],"Pending"))</f>
        <v/>
      </c>
    </row>
    <row r="315" spans="1:10" x14ac:dyDescent="0.35">
      <c r="A315" s="18" t="str">
        <f>IF('Staff Directory'!$A315="","",'Staff Directory'!$A315)</f>
        <v/>
      </c>
      <c r="B315" s="18" t="str">
        <f>IF($A315="","",'Staff Directory'!$B315)</f>
        <v/>
      </c>
      <c r="C315" s="19" t="str">
        <f>IF($A315="","",'Staff Directory'!$C315)</f>
        <v/>
      </c>
      <c r="D315" s="19" t="str">
        <f>IF($A315="","",'Staff Directory'!$D315)</f>
        <v/>
      </c>
      <c r="E315" s="26" t="str">
        <f>IF($A315="","",COUNTIFS(tblIssues[Staff ID],$A315))</f>
        <v/>
      </c>
      <c r="F315" s="26" t="str">
        <f>IF($A315="","",SUMIFS(tblIssues[Qty Issued],tblIssues[Staff ID],$A315))</f>
        <v/>
      </c>
      <c r="G315" s="21" t="str">
        <f>IF($A315="","",SUMIFS(tblIssues[Line Cost],tblIssues[Staff ID],$A315))</f>
        <v/>
      </c>
      <c r="H315" s="24" t="str">
        <f>IF($A315="","",IF($E315=0,"",IFERROR(_xlfn.MAXIFS(tblIssues[Order Date],tblIssues[Staff ID],$A315),"")))</f>
        <v/>
      </c>
      <c r="I315" s="24" t="str">
        <f>IF($A315="","",IF($E315=0,"",IFERROR(_xlfn.MAXIFS(tblIssues[Next Scheduled],tblIssues[Staff ID],$A315),"")))</f>
        <v/>
      </c>
      <c r="J315" s="26" t="str">
        <f>IF($A315="","",COUNTIFS(tblIssues[Staff ID],$A315,tblIssues[Status],"Pending"))</f>
        <v/>
      </c>
    </row>
    <row r="316" spans="1:10" x14ac:dyDescent="0.35">
      <c r="A316" s="18" t="str">
        <f>IF('Staff Directory'!$A316="","",'Staff Directory'!$A316)</f>
        <v/>
      </c>
      <c r="B316" s="18" t="str">
        <f>IF($A316="","",'Staff Directory'!$B316)</f>
        <v/>
      </c>
      <c r="C316" s="19" t="str">
        <f>IF($A316="","",'Staff Directory'!$C316)</f>
        <v/>
      </c>
      <c r="D316" s="19" t="str">
        <f>IF($A316="","",'Staff Directory'!$D316)</f>
        <v/>
      </c>
      <c r="E316" s="26" t="str">
        <f>IF($A316="","",COUNTIFS(tblIssues[Staff ID],$A316))</f>
        <v/>
      </c>
      <c r="F316" s="26" t="str">
        <f>IF($A316="","",SUMIFS(tblIssues[Qty Issued],tblIssues[Staff ID],$A316))</f>
        <v/>
      </c>
      <c r="G316" s="21" t="str">
        <f>IF($A316="","",SUMIFS(tblIssues[Line Cost],tblIssues[Staff ID],$A316))</f>
        <v/>
      </c>
      <c r="H316" s="24" t="str">
        <f>IF($A316="","",IF($E316=0,"",IFERROR(_xlfn.MAXIFS(tblIssues[Order Date],tblIssues[Staff ID],$A316),"")))</f>
        <v/>
      </c>
      <c r="I316" s="24" t="str">
        <f>IF($A316="","",IF($E316=0,"",IFERROR(_xlfn.MAXIFS(tblIssues[Next Scheduled],tblIssues[Staff ID],$A316),"")))</f>
        <v/>
      </c>
      <c r="J316" s="26" t="str">
        <f>IF($A316="","",COUNTIFS(tblIssues[Staff ID],$A316,tblIssues[Status],"Pending"))</f>
        <v/>
      </c>
    </row>
    <row r="317" spans="1:10" x14ac:dyDescent="0.35">
      <c r="A317" s="18" t="str">
        <f>IF('Staff Directory'!$A317="","",'Staff Directory'!$A317)</f>
        <v/>
      </c>
      <c r="B317" s="18" t="str">
        <f>IF($A317="","",'Staff Directory'!$B317)</f>
        <v/>
      </c>
      <c r="C317" s="19" t="str">
        <f>IF($A317="","",'Staff Directory'!$C317)</f>
        <v/>
      </c>
      <c r="D317" s="19" t="str">
        <f>IF($A317="","",'Staff Directory'!$D317)</f>
        <v/>
      </c>
      <c r="E317" s="26" t="str">
        <f>IF($A317="","",COUNTIFS(tblIssues[Staff ID],$A317))</f>
        <v/>
      </c>
      <c r="F317" s="26" t="str">
        <f>IF($A317="","",SUMIFS(tblIssues[Qty Issued],tblIssues[Staff ID],$A317))</f>
        <v/>
      </c>
      <c r="G317" s="21" t="str">
        <f>IF($A317="","",SUMIFS(tblIssues[Line Cost],tblIssues[Staff ID],$A317))</f>
        <v/>
      </c>
      <c r="H317" s="24" t="str">
        <f>IF($A317="","",IF($E317=0,"",IFERROR(_xlfn.MAXIFS(tblIssues[Order Date],tblIssues[Staff ID],$A317),"")))</f>
        <v/>
      </c>
      <c r="I317" s="24" t="str">
        <f>IF($A317="","",IF($E317=0,"",IFERROR(_xlfn.MAXIFS(tblIssues[Next Scheduled],tblIssues[Staff ID],$A317),"")))</f>
        <v/>
      </c>
      <c r="J317" s="26" t="str">
        <f>IF($A317="","",COUNTIFS(tblIssues[Staff ID],$A317,tblIssues[Status],"Pending"))</f>
        <v/>
      </c>
    </row>
    <row r="318" spans="1:10" x14ac:dyDescent="0.35">
      <c r="A318" s="18" t="str">
        <f>IF('Staff Directory'!$A318="","",'Staff Directory'!$A318)</f>
        <v/>
      </c>
      <c r="B318" s="18" t="str">
        <f>IF($A318="","",'Staff Directory'!$B318)</f>
        <v/>
      </c>
      <c r="C318" s="19" t="str">
        <f>IF($A318="","",'Staff Directory'!$C318)</f>
        <v/>
      </c>
      <c r="D318" s="19" t="str">
        <f>IF($A318="","",'Staff Directory'!$D318)</f>
        <v/>
      </c>
      <c r="E318" s="26" t="str">
        <f>IF($A318="","",COUNTIFS(tblIssues[Staff ID],$A318))</f>
        <v/>
      </c>
      <c r="F318" s="26" t="str">
        <f>IF($A318="","",SUMIFS(tblIssues[Qty Issued],tblIssues[Staff ID],$A318))</f>
        <v/>
      </c>
      <c r="G318" s="21" t="str">
        <f>IF($A318="","",SUMIFS(tblIssues[Line Cost],tblIssues[Staff ID],$A318))</f>
        <v/>
      </c>
      <c r="H318" s="24" t="str">
        <f>IF($A318="","",IF($E318=0,"",IFERROR(_xlfn.MAXIFS(tblIssues[Order Date],tblIssues[Staff ID],$A318),"")))</f>
        <v/>
      </c>
      <c r="I318" s="24" t="str">
        <f>IF($A318="","",IF($E318=0,"",IFERROR(_xlfn.MAXIFS(tblIssues[Next Scheduled],tblIssues[Staff ID],$A318),"")))</f>
        <v/>
      </c>
      <c r="J318" s="26" t="str">
        <f>IF($A318="","",COUNTIFS(tblIssues[Staff ID],$A318,tblIssues[Status],"Pending"))</f>
        <v/>
      </c>
    </row>
    <row r="319" spans="1:10" x14ac:dyDescent="0.35">
      <c r="A319" s="18" t="str">
        <f>IF('Staff Directory'!$A319="","",'Staff Directory'!$A319)</f>
        <v/>
      </c>
      <c r="B319" s="18" t="str">
        <f>IF($A319="","",'Staff Directory'!$B319)</f>
        <v/>
      </c>
      <c r="C319" s="19" t="str">
        <f>IF($A319="","",'Staff Directory'!$C319)</f>
        <v/>
      </c>
      <c r="D319" s="19" t="str">
        <f>IF($A319="","",'Staff Directory'!$D319)</f>
        <v/>
      </c>
      <c r="E319" s="26" t="str">
        <f>IF($A319="","",COUNTIFS(tblIssues[Staff ID],$A319))</f>
        <v/>
      </c>
      <c r="F319" s="26" t="str">
        <f>IF($A319="","",SUMIFS(tblIssues[Qty Issued],tblIssues[Staff ID],$A319))</f>
        <v/>
      </c>
      <c r="G319" s="21" t="str">
        <f>IF($A319="","",SUMIFS(tblIssues[Line Cost],tblIssues[Staff ID],$A319))</f>
        <v/>
      </c>
      <c r="H319" s="24" t="str">
        <f>IF($A319="","",IF($E319=0,"",IFERROR(_xlfn.MAXIFS(tblIssues[Order Date],tblIssues[Staff ID],$A319),"")))</f>
        <v/>
      </c>
      <c r="I319" s="24" t="str">
        <f>IF($A319="","",IF($E319=0,"",IFERROR(_xlfn.MAXIFS(tblIssues[Next Scheduled],tblIssues[Staff ID],$A319),"")))</f>
        <v/>
      </c>
      <c r="J319" s="26" t="str">
        <f>IF($A319="","",COUNTIFS(tblIssues[Staff ID],$A319,tblIssues[Status],"Pending"))</f>
        <v/>
      </c>
    </row>
    <row r="320" spans="1:10" x14ac:dyDescent="0.35">
      <c r="A320" s="18" t="str">
        <f>IF('Staff Directory'!$A320="","",'Staff Directory'!$A320)</f>
        <v/>
      </c>
      <c r="B320" s="18" t="str">
        <f>IF($A320="","",'Staff Directory'!$B320)</f>
        <v/>
      </c>
      <c r="C320" s="19" t="str">
        <f>IF($A320="","",'Staff Directory'!$C320)</f>
        <v/>
      </c>
      <c r="D320" s="19" t="str">
        <f>IF($A320="","",'Staff Directory'!$D320)</f>
        <v/>
      </c>
      <c r="E320" s="26" t="str">
        <f>IF($A320="","",COUNTIFS(tblIssues[Staff ID],$A320))</f>
        <v/>
      </c>
      <c r="F320" s="26" t="str">
        <f>IF($A320="","",SUMIFS(tblIssues[Qty Issued],tblIssues[Staff ID],$A320))</f>
        <v/>
      </c>
      <c r="G320" s="21" t="str">
        <f>IF($A320="","",SUMIFS(tblIssues[Line Cost],tblIssues[Staff ID],$A320))</f>
        <v/>
      </c>
      <c r="H320" s="24" t="str">
        <f>IF($A320="","",IF($E320=0,"",IFERROR(_xlfn.MAXIFS(tblIssues[Order Date],tblIssues[Staff ID],$A320),"")))</f>
        <v/>
      </c>
      <c r="I320" s="24" t="str">
        <f>IF($A320="","",IF($E320=0,"",IFERROR(_xlfn.MAXIFS(tblIssues[Next Scheduled],tblIssues[Staff ID],$A320),"")))</f>
        <v/>
      </c>
      <c r="J320" s="26" t="str">
        <f>IF($A320="","",COUNTIFS(tblIssues[Staff ID],$A320,tblIssues[Status],"Pending"))</f>
        <v/>
      </c>
    </row>
    <row r="321" spans="1:10" x14ac:dyDescent="0.35">
      <c r="A321" s="18" t="str">
        <f>IF('Staff Directory'!$A321="","",'Staff Directory'!$A321)</f>
        <v/>
      </c>
      <c r="B321" s="18" t="str">
        <f>IF($A321="","",'Staff Directory'!$B321)</f>
        <v/>
      </c>
      <c r="C321" s="19" t="str">
        <f>IF($A321="","",'Staff Directory'!$C321)</f>
        <v/>
      </c>
      <c r="D321" s="19" t="str">
        <f>IF($A321="","",'Staff Directory'!$D321)</f>
        <v/>
      </c>
      <c r="E321" s="26" t="str">
        <f>IF($A321="","",COUNTIFS(tblIssues[Staff ID],$A321))</f>
        <v/>
      </c>
      <c r="F321" s="26" t="str">
        <f>IF($A321="","",SUMIFS(tblIssues[Qty Issued],tblIssues[Staff ID],$A321))</f>
        <v/>
      </c>
      <c r="G321" s="21" t="str">
        <f>IF($A321="","",SUMIFS(tblIssues[Line Cost],tblIssues[Staff ID],$A321))</f>
        <v/>
      </c>
      <c r="H321" s="24" t="str">
        <f>IF($A321="","",IF($E321=0,"",IFERROR(_xlfn.MAXIFS(tblIssues[Order Date],tblIssues[Staff ID],$A321),"")))</f>
        <v/>
      </c>
      <c r="I321" s="24" t="str">
        <f>IF($A321="","",IF($E321=0,"",IFERROR(_xlfn.MAXIFS(tblIssues[Next Scheduled],tblIssues[Staff ID],$A321),"")))</f>
        <v/>
      </c>
      <c r="J321" s="26" t="str">
        <f>IF($A321="","",COUNTIFS(tblIssues[Staff ID],$A321,tblIssues[Status],"Pending"))</f>
        <v/>
      </c>
    </row>
    <row r="322" spans="1:10" x14ac:dyDescent="0.35">
      <c r="A322" s="18" t="str">
        <f>IF('Staff Directory'!$A322="","",'Staff Directory'!$A322)</f>
        <v/>
      </c>
      <c r="B322" s="18" t="str">
        <f>IF($A322="","",'Staff Directory'!$B322)</f>
        <v/>
      </c>
      <c r="C322" s="19" t="str">
        <f>IF($A322="","",'Staff Directory'!$C322)</f>
        <v/>
      </c>
      <c r="D322" s="19" t="str">
        <f>IF($A322="","",'Staff Directory'!$D322)</f>
        <v/>
      </c>
      <c r="E322" s="26" t="str">
        <f>IF($A322="","",COUNTIFS(tblIssues[Staff ID],$A322))</f>
        <v/>
      </c>
      <c r="F322" s="26" t="str">
        <f>IF($A322="","",SUMIFS(tblIssues[Qty Issued],tblIssues[Staff ID],$A322))</f>
        <v/>
      </c>
      <c r="G322" s="21" t="str">
        <f>IF($A322="","",SUMIFS(tblIssues[Line Cost],tblIssues[Staff ID],$A322))</f>
        <v/>
      </c>
      <c r="H322" s="24" t="str">
        <f>IF($A322="","",IF($E322=0,"",IFERROR(_xlfn.MAXIFS(tblIssues[Order Date],tblIssues[Staff ID],$A322),"")))</f>
        <v/>
      </c>
      <c r="I322" s="24" t="str">
        <f>IF($A322="","",IF($E322=0,"",IFERROR(_xlfn.MAXIFS(tblIssues[Next Scheduled],tblIssues[Staff ID],$A322),"")))</f>
        <v/>
      </c>
      <c r="J322" s="26" t="str">
        <f>IF($A322="","",COUNTIFS(tblIssues[Staff ID],$A322,tblIssues[Status],"Pending"))</f>
        <v/>
      </c>
    </row>
    <row r="323" spans="1:10" x14ac:dyDescent="0.35">
      <c r="A323" s="18" t="str">
        <f>IF('Staff Directory'!$A323="","",'Staff Directory'!$A323)</f>
        <v/>
      </c>
      <c r="B323" s="18" t="str">
        <f>IF($A323="","",'Staff Directory'!$B323)</f>
        <v/>
      </c>
      <c r="C323" s="19" t="str">
        <f>IF($A323="","",'Staff Directory'!$C323)</f>
        <v/>
      </c>
      <c r="D323" s="19" t="str">
        <f>IF($A323="","",'Staff Directory'!$D323)</f>
        <v/>
      </c>
      <c r="E323" s="26" t="str">
        <f>IF($A323="","",COUNTIFS(tblIssues[Staff ID],$A323))</f>
        <v/>
      </c>
      <c r="F323" s="26" t="str">
        <f>IF($A323="","",SUMIFS(tblIssues[Qty Issued],tblIssues[Staff ID],$A323))</f>
        <v/>
      </c>
      <c r="G323" s="21" t="str">
        <f>IF($A323="","",SUMIFS(tblIssues[Line Cost],tblIssues[Staff ID],$A323))</f>
        <v/>
      </c>
      <c r="H323" s="24" t="str">
        <f>IF($A323="","",IF($E323=0,"",IFERROR(_xlfn.MAXIFS(tblIssues[Order Date],tblIssues[Staff ID],$A323),"")))</f>
        <v/>
      </c>
      <c r="I323" s="24" t="str">
        <f>IF($A323="","",IF($E323=0,"",IFERROR(_xlfn.MAXIFS(tblIssues[Next Scheduled],tblIssues[Staff ID],$A323),"")))</f>
        <v/>
      </c>
      <c r="J323" s="26" t="str">
        <f>IF($A323="","",COUNTIFS(tblIssues[Staff ID],$A323,tblIssues[Status],"Pending"))</f>
        <v/>
      </c>
    </row>
    <row r="324" spans="1:10" x14ac:dyDescent="0.35">
      <c r="A324" s="18" t="str">
        <f>IF('Staff Directory'!$A324="","",'Staff Directory'!$A324)</f>
        <v/>
      </c>
      <c r="B324" s="18" t="str">
        <f>IF($A324="","",'Staff Directory'!$B324)</f>
        <v/>
      </c>
      <c r="C324" s="19" t="str">
        <f>IF($A324="","",'Staff Directory'!$C324)</f>
        <v/>
      </c>
      <c r="D324" s="19" t="str">
        <f>IF($A324="","",'Staff Directory'!$D324)</f>
        <v/>
      </c>
      <c r="E324" s="26" t="str">
        <f>IF($A324="","",COUNTIFS(tblIssues[Staff ID],$A324))</f>
        <v/>
      </c>
      <c r="F324" s="26" t="str">
        <f>IF($A324="","",SUMIFS(tblIssues[Qty Issued],tblIssues[Staff ID],$A324))</f>
        <v/>
      </c>
      <c r="G324" s="21" t="str">
        <f>IF($A324="","",SUMIFS(tblIssues[Line Cost],tblIssues[Staff ID],$A324))</f>
        <v/>
      </c>
      <c r="H324" s="24" t="str">
        <f>IF($A324="","",IF($E324=0,"",IFERROR(_xlfn.MAXIFS(tblIssues[Order Date],tblIssues[Staff ID],$A324),"")))</f>
        <v/>
      </c>
      <c r="I324" s="24" t="str">
        <f>IF($A324="","",IF($E324=0,"",IFERROR(_xlfn.MAXIFS(tblIssues[Next Scheduled],tblIssues[Staff ID],$A324),"")))</f>
        <v/>
      </c>
      <c r="J324" s="26" t="str">
        <f>IF($A324="","",COUNTIFS(tblIssues[Staff ID],$A324,tblIssues[Status],"Pending"))</f>
        <v/>
      </c>
    </row>
    <row r="325" spans="1:10" x14ac:dyDescent="0.35">
      <c r="A325" s="18" t="str">
        <f>IF('Staff Directory'!$A325="","",'Staff Directory'!$A325)</f>
        <v/>
      </c>
      <c r="B325" s="18" t="str">
        <f>IF($A325="","",'Staff Directory'!$B325)</f>
        <v/>
      </c>
      <c r="C325" s="19" t="str">
        <f>IF($A325="","",'Staff Directory'!$C325)</f>
        <v/>
      </c>
      <c r="D325" s="19" t="str">
        <f>IF($A325="","",'Staff Directory'!$D325)</f>
        <v/>
      </c>
      <c r="E325" s="26" t="str">
        <f>IF($A325="","",COUNTIFS(tblIssues[Staff ID],$A325))</f>
        <v/>
      </c>
      <c r="F325" s="26" t="str">
        <f>IF($A325="","",SUMIFS(tblIssues[Qty Issued],tblIssues[Staff ID],$A325))</f>
        <v/>
      </c>
      <c r="G325" s="21" t="str">
        <f>IF($A325="","",SUMIFS(tblIssues[Line Cost],tblIssues[Staff ID],$A325))</f>
        <v/>
      </c>
      <c r="H325" s="24" t="str">
        <f>IF($A325="","",IF($E325=0,"",IFERROR(_xlfn.MAXIFS(tblIssues[Order Date],tblIssues[Staff ID],$A325),"")))</f>
        <v/>
      </c>
      <c r="I325" s="24" t="str">
        <f>IF($A325="","",IF($E325=0,"",IFERROR(_xlfn.MAXIFS(tblIssues[Next Scheduled],tblIssues[Staff ID],$A325),"")))</f>
        <v/>
      </c>
      <c r="J325" s="26" t="str">
        <f>IF($A325="","",COUNTIFS(tblIssues[Staff ID],$A325,tblIssues[Status],"Pending"))</f>
        <v/>
      </c>
    </row>
    <row r="326" spans="1:10" x14ac:dyDescent="0.35">
      <c r="A326" s="18" t="str">
        <f>IF('Staff Directory'!$A326="","",'Staff Directory'!$A326)</f>
        <v/>
      </c>
      <c r="B326" s="18" t="str">
        <f>IF($A326="","",'Staff Directory'!$B326)</f>
        <v/>
      </c>
      <c r="C326" s="19" t="str">
        <f>IF($A326="","",'Staff Directory'!$C326)</f>
        <v/>
      </c>
      <c r="D326" s="19" t="str">
        <f>IF($A326="","",'Staff Directory'!$D326)</f>
        <v/>
      </c>
      <c r="E326" s="26" t="str">
        <f>IF($A326="","",COUNTIFS(tblIssues[Staff ID],$A326))</f>
        <v/>
      </c>
      <c r="F326" s="26" t="str">
        <f>IF($A326="","",SUMIFS(tblIssues[Qty Issued],tblIssues[Staff ID],$A326))</f>
        <v/>
      </c>
      <c r="G326" s="21" t="str">
        <f>IF($A326="","",SUMIFS(tblIssues[Line Cost],tblIssues[Staff ID],$A326))</f>
        <v/>
      </c>
      <c r="H326" s="24" t="str">
        <f>IF($A326="","",IF($E326=0,"",IFERROR(_xlfn.MAXIFS(tblIssues[Order Date],tblIssues[Staff ID],$A326),"")))</f>
        <v/>
      </c>
      <c r="I326" s="24" t="str">
        <f>IF($A326="","",IF($E326=0,"",IFERROR(_xlfn.MAXIFS(tblIssues[Next Scheduled],tblIssues[Staff ID],$A326),"")))</f>
        <v/>
      </c>
      <c r="J326" s="26" t="str">
        <f>IF($A326="","",COUNTIFS(tblIssues[Staff ID],$A326,tblIssues[Status],"Pending"))</f>
        <v/>
      </c>
    </row>
    <row r="327" spans="1:10" x14ac:dyDescent="0.35">
      <c r="A327" s="18" t="str">
        <f>IF('Staff Directory'!$A327="","",'Staff Directory'!$A327)</f>
        <v/>
      </c>
      <c r="B327" s="18" t="str">
        <f>IF($A327="","",'Staff Directory'!$B327)</f>
        <v/>
      </c>
      <c r="C327" s="19" t="str">
        <f>IF($A327="","",'Staff Directory'!$C327)</f>
        <v/>
      </c>
      <c r="D327" s="19" t="str">
        <f>IF($A327="","",'Staff Directory'!$D327)</f>
        <v/>
      </c>
      <c r="E327" s="26" t="str">
        <f>IF($A327="","",COUNTIFS(tblIssues[Staff ID],$A327))</f>
        <v/>
      </c>
      <c r="F327" s="26" t="str">
        <f>IF($A327="","",SUMIFS(tblIssues[Qty Issued],tblIssues[Staff ID],$A327))</f>
        <v/>
      </c>
      <c r="G327" s="21" t="str">
        <f>IF($A327="","",SUMIFS(tblIssues[Line Cost],tblIssues[Staff ID],$A327))</f>
        <v/>
      </c>
      <c r="H327" s="24" t="str">
        <f>IF($A327="","",IF($E327=0,"",IFERROR(_xlfn.MAXIFS(tblIssues[Order Date],tblIssues[Staff ID],$A327),"")))</f>
        <v/>
      </c>
      <c r="I327" s="24" t="str">
        <f>IF($A327="","",IF($E327=0,"",IFERROR(_xlfn.MAXIFS(tblIssues[Next Scheduled],tblIssues[Staff ID],$A327),"")))</f>
        <v/>
      </c>
      <c r="J327" s="26" t="str">
        <f>IF($A327="","",COUNTIFS(tblIssues[Staff ID],$A327,tblIssues[Status],"Pending"))</f>
        <v/>
      </c>
    </row>
    <row r="328" spans="1:10" x14ac:dyDescent="0.35">
      <c r="A328" s="18" t="str">
        <f>IF('Staff Directory'!$A328="","",'Staff Directory'!$A328)</f>
        <v/>
      </c>
      <c r="B328" s="18" t="str">
        <f>IF($A328="","",'Staff Directory'!$B328)</f>
        <v/>
      </c>
      <c r="C328" s="19" t="str">
        <f>IF($A328="","",'Staff Directory'!$C328)</f>
        <v/>
      </c>
      <c r="D328" s="19" t="str">
        <f>IF($A328="","",'Staff Directory'!$D328)</f>
        <v/>
      </c>
      <c r="E328" s="26" t="str">
        <f>IF($A328="","",COUNTIFS(tblIssues[Staff ID],$A328))</f>
        <v/>
      </c>
      <c r="F328" s="26" t="str">
        <f>IF($A328="","",SUMIFS(tblIssues[Qty Issued],tblIssues[Staff ID],$A328))</f>
        <v/>
      </c>
      <c r="G328" s="21" t="str">
        <f>IF($A328="","",SUMIFS(tblIssues[Line Cost],tblIssues[Staff ID],$A328))</f>
        <v/>
      </c>
      <c r="H328" s="24" t="str">
        <f>IF($A328="","",IF($E328=0,"",IFERROR(_xlfn.MAXIFS(tblIssues[Order Date],tblIssues[Staff ID],$A328),"")))</f>
        <v/>
      </c>
      <c r="I328" s="24" t="str">
        <f>IF($A328="","",IF($E328=0,"",IFERROR(_xlfn.MAXIFS(tblIssues[Next Scheduled],tblIssues[Staff ID],$A328),"")))</f>
        <v/>
      </c>
      <c r="J328" s="26" t="str">
        <f>IF($A328="","",COUNTIFS(tblIssues[Staff ID],$A328,tblIssues[Status],"Pending"))</f>
        <v/>
      </c>
    </row>
    <row r="329" spans="1:10" x14ac:dyDescent="0.35">
      <c r="A329" s="18" t="str">
        <f>IF('Staff Directory'!$A329="","",'Staff Directory'!$A329)</f>
        <v/>
      </c>
      <c r="B329" s="18" t="str">
        <f>IF($A329="","",'Staff Directory'!$B329)</f>
        <v/>
      </c>
      <c r="C329" s="19" t="str">
        <f>IF($A329="","",'Staff Directory'!$C329)</f>
        <v/>
      </c>
      <c r="D329" s="19" t="str">
        <f>IF($A329="","",'Staff Directory'!$D329)</f>
        <v/>
      </c>
      <c r="E329" s="26" t="str">
        <f>IF($A329="","",COUNTIFS(tblIssues[Staff ID],$A329))</f>
        <v/>
      </c>
      <c r="F329" s="26" t="str">
        <f>IF($A329="","",SUMIFS(tblIssues[Qty Issued],tblIssues[Staff ID],$A329))</f>
        <v/>
      </c>
      <c r="G329" s="21" t="str">
        <f>IF($A329="","",SUMIFS(tblIssues[Line Cost],tblIssues[Staff ID],$A329))</f>
        <v/>
      </c>
      <c r="H329" s="24" t="str">
        <f>IF($A329="","",IF($E329=0,"",IFERROR(_xlfn.MAXIFS(tblIssues[Order Date],tblIssues[Staff ID],$A329),"")))</f>
        <v/>
      </c>
      <c r="I329" s="24" t="str">
        <f>IF($A329="","",IF($E329=0,"",IFERROR(_xlfn.MAXIFS(tblIssues[Next Scheduled],tblIssues[Staff ID],$A329),"")))</f>
        <v/>
      </c>
      <c r="J329" s="26" t="str">
        <f>IF($A329="","",COUNTIFS(tblIssues[Staff ID],$A329,tblIssues[Status],"Pending"))</f>
        <v/>
      </c>
    </row>
    <row r="330" spans="1:10" x14ac:dyDescent="0.35">
      <c r="A330" s="18" t="str">
        <f>IF('Staff Directory'!$A330="","",'Staff Directory'!$A330)</f>
        <v/>
      </c>
      <c r="B330" s="18" t="str">
        <f>IF($A330="","",'Staff Directory'!$B330)</f>
        <v/>
      </c>
      <c r="C330" s="19" t="str">
        <f>IF($A330="","",'Staff Directory'!$C330)</f>
        <v/>
      </c>
      <c r="D330" s="19" t="str">
        <f>IF($A330="","",'Staff Directory'!$D330)</f>
        <v/>
      </c>
      <c r="E330" s="26" t="str">
        <f>IF($A330="","",COUNTIFS(tblIssues[Staff ID],$A330))</f>
        <v/>
      </c>
      <c r="F330" s="26" t="str">
        <f>IF($A330="","",SUMIFS(tblIssues[Qty Issued],tblIssues[Staff ID],$A330))</f>
        <v/>
      </c>
      <c r="G330" s="21" t="str">
        <f>IF($A330="","",SUMIFS(tblIssues[Line Cost],tblIssues[Staff ID],$A330))</f>
        <v/>
      </c>
      <c r="H330" s="24" t="str">
        <f>IF($A330="","",IF($E330=0,"",IFERROR(_xlfn.MAXIFS(tblIssues[Order Date],tblIssues[Staff ID],$A330),"")))</f>
        <v/>
      </c>
      <c r="I330" s="24" t="str">
        <f>IF($A330="","",IF($E330=0,"",IFERROR(_xlfn.MAXIFS(tblIssues[Next Scheduled],tblIssues[Staff ID],$A330),"")))</f>
        <v/>
      </c>
      <c r="J330" s="26" t="str">
        <f>IF($A330="","",COUNTIFS(tblIssues[Staff ID],$A330,tblIssues[Status],"Pending"))</f>
        <v/>
      </c>
    </row>
    <row r="331" spans="1:10" x14ac:dyDescent="0.35">
      <c r="A331" s="18" t="str">
        <f>IF('Staff Directory'!$A331="","",'Staff Directory'!$A331)</f>
        <v/>
      </c>
      <c r="B331" s="18" t="str">
        <f>IF($A331="","",'Staff Directory'!$B331)</f>
        <v/>
      </c>
      <c r="C331" s="19" t="str">
        <f>IF($A331="","",'Staff Directory'!$C331)</f>
        <v/>
      </c>
      <c r="D331" s="19" t="str">
        <f>IF($A331="","",'Staff Directory'!$D331)</f>
        <v/>
      </c>
      <c r="E331" s="26" t="str">
        <f>IF($A331="","",COUNTIFS(tblIssues[Staff ID],$A331))</f>
        <v/>
      </c>
      <c r="F331" s="26" t="str">
        <f>IF($A331="","",SUMIFS(tblIssues[Qty Issued],tblIssues[Staff ID],$A331))</f>
        <v/>
      </c>
      <c r="G331" s="21" t="str">
        <f>IF($A331="","",SUMIFS(tblIssues[Line Cost],tblIssues[Staff ID],$A331))</f>
        <v/>
      </c>
      <c r="H331" s="24" t="str">
        <f>IF($A331="","",IF($E331=0,"",IFERROR(_xlfn.MAXIFS(tblIssues[Order Date],tblIssues[Staff ID],$A331),"")))</f>
        <v/>
      </c>
      <c r="I331" s="24" t="str">
        <f>IF($A331="","",IF($E331=0,"",IFERROR(_xlfn.MAXIFS(tblIssues[Next Scheduled],tblIssues[Staff ID],$A331),"")))</f>
        <v/>
      </c>
      <c r="J331" s="26" t="str">
        <f>IF($A331="","",COUNTIFS(tblIssues[Staff ID],$A331,tblIssues[Status],"Pending"))</f>
        <v/>
      </c>
    </row>
    <row r="332" spans="1:10" x14ac:dyDescent="0.35">
      <c r="A332" s="18" t="str">
        <f>IF('Staff Directory'!$A332="","",'Staff Directory'!$A332)</f>
        <v/>
      </c>
      <c r="B332" s="18" t="str">
        <f>IF($A332="","",'Staff Directory'!$B332)</f>
        <v/>
      </c>
      <c r="C332" s="19" t="str">
        <f>IF($A332="","",'Staff Directory'!$C332)</f>
        <v/>
      </c>
      <c r="D332" s="19" t="str">
        <f>IF($A332="","",'Staff Directory'!$D332)</f>
        <v/>
      </c>
      <c r="E332" s="26" t="str">
        <f>IF($A332="","",COUNTIFS(tblIssues[Staff ID],$A332))</f>
        <v/>
      </c>
      <c r="F332" s="26" t="str">
        <f>IF($A332="","",SUMIFS(tblIssues[Qty Issued],tblIssues[Staff ID],$A332))</f>
        <v/>
      </c>
      <c r="G332" s="21" t="str">
        <f>IF($A332="","",SUMIFS(tblIssues[Line Cost],tblIssues[Staff ID],$A332))</f>
        <v/>
      </c>
      <c r="H332" s="24" t="str">
        <f>IF($A332="","",IF($E332=0,"",IFERROR(_xlfn.MAXIFS(tblIssues[Order Date],tblIssues[Staff ID],$A332),"")))</f>
        <v/>
      </c>
      <c r="I332" s="24" t="str">
        <f>IF($A332="","",IF($E332=0,"",IFERROR(_xlfn.MAXIFS(tblIssues[Next Scheduled],tblIssues[Staff ID],$A332),"")))</f>
        <v/>
      </c>
      <c r="J332" s="26" t="str">
        <f>IF($A332="","",COUNTIFS(tblIssues[Staff ID],$A332,tblIssues[Status],"Pending"))</f>
        <v/>
      </c>
    </row>
    <row r="333" spans="1:10" x14ac:dyDescent="0.35">
      <c r="A333" s="18" t="str">
        <f>IF('Staff Directory'!$A333="","",'Staff Directory'!$A333)</f>
        <v/>
      </c>
      <c r="B333" s="18" t="str">
        <f>IF($A333="","",'Staff Directory'!$B333)</f>
        <v/>
      </c>
      <c r="C333" s="19" t="str">
        <f>IF($A333="","",'Staff Directory'!$C333)</f>
        <v/>
      </c>
      <c r="D333" s="19" t="str">
        <f>IF($A333="","",'Staff Directory'!$D333)</f>
        <v/>
      </c>
      <c r="E333" s="26" t="str">
        <f>IF($A333="","",COUNTIFS(tblIssues[Staff ID],$A333))</f>
        <v/>
      </c>
      <c r="F333" s="26" t="str">
        <f>IF($A333="","",SUMIFS(tblIssues[Qty Issued],tblIssues[Staff ID],$A333))</f>
        <v/>
      </c>
      <c r="G333" s="21" t="str">
        <f>IF($A333="","",SUMIFS(tblIssues[Line Cost],tblIssues[Staff ID],$A333))</f>
        <v/>
      </c>
      <c r="H333" s="24" t="str">
        <f>IF($A333="","",IF($E333=0,"",IFERROR(_xlfn.MAXIFS(tblIssues[Order Date],tblIssues[Staff ID],$A333),"")))</f>
        <v/>
      </c>
      <c r="I333" s="24" t="str">
        <f>IF($A333="","",IF($E333=0,"",IFERROR(_xlfn.MAXIFS(tblIssues[Next Scheduled],tblIssues[Staff ID],$A333),"")))</f>
        <v/>
      </c>
      <c r="J333" s="26" t="str">
        <f>IF($A333="","",COUNTIFS(tblIssues[Staff ID],$A333,tblIssues[Status],"Pending"))</f>
        <v/>
      </c>
    </row>
    <row r="334" spans="1:10" x14ac:dyDescent="0.35">
      <c r="A334" s="18" t="str">
        <f>IF('Staff Directory'!$A334="","",'Staff Directory'!$A334)</f>
        <v/>
      </c>
      <c r="B334" s="18" t="str">
        <f>IF($A334="","",'Staff Directory'!$B334)</f>
        <v/>
      </c>
      <c r="C334" s="19" t="str">
        <f>IF($A334="","",'Staff Directory'!$C334)</f>
        <v/>
      </c>
      <c r="D334" s="19" t="str">
        <f>IF($A334="","",'Staff Directory'!$D334)</f>
        <v/>
      </c>
      <c r="E334" s="26" t="str">
        <f>IF($A334="","",COUNTIFS(tblIssues[Staff ID],$A334))</f>
        <v/>
      </c>
      <c r="F334" s="26" t="str">
        <f>IF($A334="","",SUMIFS(tblIssues[Qty Issued],tblIssues[Staff ID],$A334))</f>
        <v/>
      </c>
      <c r="G334" s="21" t="str">
        <f>IF($A334="","",SUMIFS(tblIssues[Line Cost],tblIssues[Staff ID],$A334))</f>
        <v/>
      </c>
      <c r="H334" s="24" t="str">
        <f>IF($A334="","",IF($E334=0,"",IFERROR(_xlfn.MAXIFS(tblIssues[Order Date],tblIssues[Staff ID],$A334),"")))</f>
        <v/>
      </c>
      <c r="I334" s="24" t="str">
        <f>IF($A334="","",IF($E334=0,"",IFERROR(_xlfn.MAXIFS(tblIssues[Next Scheduled],tblIssues[Staff ID],$A334),"")))</f>
        <v/>
      </c>
      <c r="J334" s="26" t="str">
        <f>IF($A334="","",COUNTIFS(tblIssues[Staff ID],$A334,tblIssues[Status],"Pending"))</f>
        <v/>
      </c>
    </row>
    <row r="335" spans="1:10" x14ac:dyDescent="0.35">
      <c r="A335" s="18" t="str">
        <f>IF('Staff Directory'!$A335="","",'Staff Directory'!$A335)</f>
        <v/>
      </c>
      <c r="B335" s="18" t="str">
        <f>IF($A335="","",'Staff Directory'!$B335)</f>
        <v/>
      </c>
      <c r="C335" s="19" t="str">
        <f>IF($A335="","",'Staff Directory'!$C335)</f>
        <v/>
      </c>
      <c r="D335" s="19" t="str">
        <f>IF($A335="","",'Staff Directory'!$D335)</f>
        <v/>
      </c>
      <c r="E335" s="26" t="str">
        <f>IF($A335="","",COUNTIFS(tblIssues[Staff ID],$A335))</f>
        <v/>
      </c>
      <c r="F335" s="26" t="str">
        <f>IF($A335="","",SUMIFS(tblIssues[Qty Issued],tblIssues[Staff ID],$A335))</f>
        <v/>
      </c>
      <c r="G335" s="21" t="str">
        <f>IF($A335="","",SUMIFS(tblIssues[Line Cost],tblIssues[Staff ID],$A335))</f>
        <v/>
      </c>
      <c r="H335" s="24" t="str">
        <f>IF($A335="","",IF($E335=0,"",IFERROR(_xlfn.MAXIFS(tblIssues[Order Date],tblIssues[Staff ID],$A335),"")))</f>
        <v/>
      </c>
      <c r="I335" s="24" t="str">
        <f>IF($A335="","",IF($E335=0,"",IFERROR(_xlfn.MAXIFS(tblIssues[Next Scheduled],tblIssues[Staff ID],$A335),"")))</f>
        <v/>
      </c>
      <c r="J335" s="26" t="str">
        <f>IF($A335="","",COUNTIFS(tblIssues[Staff ID],$A335,tblIssues[Status],"Pending"))</f>
        <v/>
      </c>
    </row>
    <row r="336" spans="1:10" x14ac:dyDescent="0.35">
      <c r="A336" s="18" t="str">
        <f>IF('Staff Directory'!$A336="","",'Staff Directory'!$A336)</f>
        <v/>
      </c>
      <c r="B336" s="18" t="str">
        <f>IF($A336="","",'Staff Directory'!$B336)</f>
        <v/>
      </c>
      <c r="C336" s="19" t="str">
        <f>IF($A336="","",'Staff Directory'!$C336)</f>
        <v/>
      </c>
      <c r="D336" s="19" t="str">
        <f>IF($A336="","",'Staff Directory'!$D336)</f>
        <v/>
      </c>
      <c r="E336" s="26" t="str">
        <f>IF($A336="","",COUNTIFS(tblIssues[Staff ID],$A336))</f>
        <v/>
      </c>
      <c r="F336" s="26" t="str">
        <f>IF($A336="","",SUMIFS(tblIssues[Qty Issued],tblIssues[Staff ID],$A336))</f>
        <v/>
      </c>
      <c r="G336" s="21" t="str">
        <f>IF($A336="","",SUMIFS(tblIssues[Line Cost],tblIssues[Staff ID],$A336))</f>
        <v/>
      </c>
      <c r="H336" s="24" t="str">
        <f>IF($A336="","",IF($E336=0,"",IFERROR(_xlfn.MAXIFS(tblIssues[Order Date],tblIssues[Staff ID],$A336),"")))</f>
        <v/>
      </c>
      <c r="I336" s="24" t="str">
        <f>IF($A336="","",IF($E336=0,"",IFERROR(_xlfn.MAXIFS(tblIssues[Next Scheduled],tblIssues[Staff ID],$A336),"")))</f>
        <v/>
      </c>
      <c r="J336" s="26" t="str">
        <f>IF($A336="","",COUNTIFS(tblIssues[Staff ID],$A336,tblIssues[Status],"Pending"))</f>
        <v/>
      </c>
    </row>
    <row r="337" spans="1:10" x14ac:dyDescent="0.35">
      <c r="A337" s="18" t="str">
        <f>IF('Staff Directory'!$A337="","",'Staff Directory'!$A337)</f>
        <v/>
      </c>
      <c r="B337" s="18" t="str">
        <f>IF($A337="","",'Staff Directory'!$B337)</f>
        <v/>
      </c>
      <c r="C337" s="19" t="str">
        <f>IF($A337="","",'Staff Directory'!$C337)</f>
        <v/>
      </c>
      <c r="D337" s="19" t="str">
        <f>IF($A337="","",'Staff Directory'!$D337)</f>
        <v/>
      </c>
      <c r="E337" s="26" t="str">
        <f>IF($A337="","",COUNTIFS(tblIssues[Staff ID],$A337))</f>
        <v/>
      </c>
      <c r="F337" s="26" t="str">
        <f>IF($A337="","",SUMIFS(tblIssues[Qty Issued],tblIssues[Staff ID],$A337))</f>
        <v/>
      </c>
      <c r="G337" s="21" t="str">
        <f>IF($A337="","",SUMIFS(tblIssues[Line Cost],tblIssues[Staff ID],$A337))</f>
        <v/>
      </c>
      <c r="H337" s="24" t="str">
        <f>IF($A337="","",IF($E337=0,"",IFERROR(_xlfn.MAXIFS(tblIssues[Order Date],tblIssues[Staff ID],$A337),"")))</f>
        <v/>
      </c>
      <c r="I337" s="24" t="str">
        <f>IF($A337="","",IF($E337=0,"",IFERROR(_xlfn.MAXIFS(tblIssues[Next Scheduled],tblIssues[Staff ID],$A337),"")))</f>
        <v/>
      </c>
      <c r="J337" s="26" t="str">
        <f>IF($A337="","",COUNTIFS(tblIssues[Staff ID],$A337,tblIssues[Status],"Pending"))</f>
        <v/>
      </c>
    </row>
    <row r="338" spans="1:10" x14ac:dyDescent="0.35">
      <c r="A338" s="18" t="str">
        <f>IF('Staff Directory'!$A338="","",'Staff Directory'!$A338)</f>
        <v/>
      </c>
      <c r="B338" s="18" t="str">
        <f>IF($A338="","",'Staff Directory'!$B338)</f>
        <v/>
      </c>
      <c r="C338" s="19" t="str">
        <f>IF($A338="","",'Staff Directory'!$C338)</f>
        <v/>
      </c>
      <c r="D338" s="19" t="str">
        <f>IF($A338="","",'Staff Directory'!$D338)</f>
        <v/>
      </c>
      <c r="E338" s="26" t="str">
        <f>IF($A338="","",COUNTIFS(tblIssues[Staff ID],$A338))</f>
        <v/>
      </c>
      <c r="F338" s="26" t="str">
        <f>IF($A338="","",SUMIFS(tblIssues[Qty Issued],tblIssues[Staff ID],$A338))</f>
        <v/>
      </c>
      <c r="G338" s="21" t="str">
        <f>IF($A338="","",SUMIFS(tblIssues[Line Cost],tblIssues[Staff ID],$A338))</f>
        <v/>
      </c>
      <c r="H338" s="24" t="str">
        <f>IF($A338="","",IF($E338=0,"",IFERROR(_xlfn.MAXIFS(tblIssues[Order Date],tblIssues[Staff ID],$A338),"")))</f>
        <v/>
      </c>
      <c r="I338" s="24" t="str">
        <f>IF($A338="","",IF($E338=0,"",IFERROR(_xlfn.MAXIFS(tblIssues[Next Scheduled],tblIssues[Staff ID],$A338),"")))</f>
        <v/>
      </c>
      <c r="J338" s="26" t="str">
        <f>IF($A338="","",COUNTIFS(tblIssues[Staff ID],$A338,tblIssues[Status],"Pending"))</f>
        <v/>
      </c>
    </row>
    <row r="339" spans="1:10" x14ac:dyDescent="0.35">
      <c r="A339" s="18" t="str">
        <f>IF('Staff Directory'!$A339="","",'Staff Directory'!$A339)</f>
        <v/>
      </c>
      <c r="B339" s="18" t="str">
        <f>IF($A339="","",'Staff Directory'!$B339)</f>
        <v/>
      </c>
      <c r="C339" s="19" t="str">
        <f>IF($A339="","",'Staff Directory'!$C339)</f>
        <v/>
      </c>
      <c r="D339" s="19" t="str">
        <f>IF($A339="","",'Staff Directory'!$D339)</f>
        <v/>
      </c>
      <c r="E339" s="26" t="str">
        <f>IF($A339="","",COUNTIFS(tblIssues[Staff ID],$A339))</f>
        <v/>
      </c>
      <c r="F339" s="26" t="str">
        <f>IF($A339="","",SUMIFS(tblIssues[Qty Issued],tblIssues[Staff ID],$A339))</f>
        <v/>
      </c>
      <c r="G339" s="21" t="str">
        <f>IF($A339="","",SUMIFS(tblIssues[Line Cost],tblIssues[Staff ID],$A339))</f>
        <v/>
      </c>
      <c r="H339" s="24" t="str">
        <f>IF($A339="","",IF($E339=0,"",IFERROR(_xlfn.MAXIFS(tblIssues[Order Date],tblIssues[Staff ID],$A339),"")))</f>
        <v/>
      </c>
      <c r="I339" s="24" t="str">
        <f>IF($A339="","",IF($E339=0,"",IFERROR(_xlfn.MAXIFS(tblIssues[Next Scheduled],tblIssues[Staff ID],$A339),"")))</f>
        <v/>
      </c>
      <c r="J339" s="26" t="str">
        <f>IF($A339="","",COUNTIFS(tblIssues[Staff ID],$A339,tblIssues[Status],"Pending"))</f>
        <v/>
      </c>
    </row>
    <row r="340" spans="1:10" x14ac:dyDescent="0.35">
      <c r="A340" s="18" t="str">
        <f>IF('Staff Directory'!$A340="","",'Staff Directory'!$A340)</f>
        <v/>
      </c>
      <c r="B340" s="18" t="str">
        <f>IF($A340="","",'Staff Directory'!$B340)</f>
        <v/>
      </c>
      <c r="C340" s="19" t="str">
        <f>IF($A340="","",'Staff Directory'!$C340)</f>
        <v/>
      </c>
      <c r="D340" s="19" t="str">
        <f>IF($A340="","",'Staff Directory'!$D340)</f>
        <v/>
      </c>
      <c r="E340" s="26" t="str">
        <f>IF($A340="","",COUNTIFS(tblIssues[Staff ID],$A340))</f>
        <v/>
      </c>
      <c r="F340" s="26" t="str">
        <f>IF($A340="","",SUMIFS(tblIssues[Qty Issued],tblIssues[Staff ID],$A340))</f>
        <v/>
      </c>
      <c r="G340" s="21" t="str">
        <f>IF($A340="","",SUMIFS(tblIssues[Line Cost],tblIssues[Staff ID],$A340))</f>
        <v/>
      </c>
      <c r="H340" s="24" t="str">
        <f>IF($A340="","",IF($E340=0,"",IFERROR(_xlfn.MAXIFS(tblIssues[Order Date],tblIssues[Staff ID],$A340),"")))</f>
        <v/>
      </c>
      <c r="I340" s="24" t="str">
        <f>IF($A340="","",IF($E340=0,"",IFERROR(_xlfn.MAXIFS(tblIssues[Next Scheduled],tblIssues[Staff ID],$A340),"")))</f>
        <v/>
      </c>
      <c r="J340" s="26" t="str">
        <f>IF($A340="","",COUNTIFS(tblIssues[Staff ID],$A340,tblIssues[Status],"Pending"))</f>
        <v/>
      </c>
    </row>
    <row r="341" spans="1:10" x14ac:dyDescent="0.35">
      <c r="A341" s="18" t="str">
        <f>IF('Staff Directory'!$A341="","",'Staff Directory'!$A341)</f>
        <v/>
      </c>
      <c r="B341" s="18" t="str">
        <f>IF($A341="","",'Staff Directory'!$B341)</f>
        <v/>
      </c>
      <c r="C341" s="19" t="str">
        <f>IF($A341="","",'Staff Directory'!$C341)</f>
        <v/>
      </c>
      <c r="D341" s="19" t="str">
        <f>IF($A341="","",'Staff Directory'!$D341)</f>
        <v/>
      </c>
      <c r="E341" s="26" t="str">
        <f>IF($A341="","",COUNTIFS(tblIssues[Staff ID],$A341))</f>
        <v/>
      </c>
      <c r="F341" s="26" t="str">
        <f>IF($A341="","",SUMIFS(tblIssues[Qty Issued],tblIssues[Staff ID],$A341))</f>
        <v/>
      </c>
      <c r="G341" s="21" t="str">
        <f>IF($A341="","",SUMIFS(tblIssues[Line Cost],tblIssues[Staff ID],$A341))</f>
        <v/>
      </c>
      <c r="H341" s="24" t="str">
        <f>IF($A341="","",IF($E341=0,"",IFERROR(_xlfn.MAXIFS(tblIssues[Order Date],tblIssues[Staff ID],$A341),"")))</f>
        <v/>
      </c>
      <c r="I341" s="24" t="str">
        <f>IF($A341="","",IF($E341=0,"",IFERROR(_xlfn.MAXIFS(tblIssues[Next Scheduled],tblIssues[Staff ID],$A341),"")))</f>
        <v/>
      </c>
      <c r="J341" s="26" t="str">
        <f>IF($A341="","",COUNTIFS(tblIssues[Staff ID],$A341,tblIssues[Status],"Pending"))</f>
        <v/>
      </c>
    </row>
    <row r="342" spans="1:10" x14ac:dyDescent="0.35">
      <c r="A342" s="18" t="str">
        <f>IF('Staff Directory'!$A342="","",'Staff Directory'!$A342)</f>
        <v/>
      </c>
      <c r="B342" s="18" t="str">
        <f>IF($A342="","",'Staff Directory'!$B342)</f>
        <v/>
      </c>
      <c r="C342" s="19" t="str">
        <f>IF($A342="","",'Staff Directory'!$C342)</f>
        <v/>
      </c>
      <c r="D342" s="19" t="str">
        <f>IF($A342="","",'Staff Directory'!$D342)</f>
        <v/>
      </c>
      <c r="E342" s="26" t="str">
        <f>IF($A342="","",COUNTIFS(tblIssues[Staff ID],$A342))</f>
        <v/>
      </c>
      <c r="F342" s="26" t="str">
        <f>IF($A342="","",SUMIFS(tblIssues[Qty Issued],tblIssues[Staff ID],$A342))</f>
        <v/>
      </c>
      <c r="G342" s="21" t="str">
        <f>IF($A342="","",SUMIFS(tblIssues[Line Cost],tblIssues[Staff ID],$A342))</f>
        <v/>
      </c>
      <c r="H342" s="24" t="str">
        <f>IF($A342="","",IF($E342=0,"",IFERROR(_xlfn.MAXIFS(tblIssues[Order Date],tblIssues[Staff ID],$A342),"")))</f>
        <v/>
      </c>
      <c r="I342" s="24" t="str">
        <f>IF($A342="","",IF($E342=0,"",IFERROR(_xlfn.MAXIFS(tblIssues[Next Scheduled],tblIssues[Staff ID],$A342),"")))</f>
        <v/>
      </c>
      <c r="J342" s="26" t="str">
        <f>IF($A342="","",COUNTIFS(tblIssues[Staff ID],$A342,tblIssues[Status],"Pending"))</f>
        <v/>
      </c>
    </row>
    <row r="343" spans="1:10" x14ac:dyDescent="0.35">
      <c r="A343" s="18" t="str">
        <f>IF('Staff Directory'!$A343="","",'Staff Directory'!$A343)</f>
        <v/>
      </c>
      <c r="B343" s="18" t="str">
        <f>IF($A343="","",'Staff Directory'!$B343)</f>
        <v/>
      </c>
      <c r="C343" s="19" t="str">
        <f>IF($A343="","",'Staff Directory'!$C343)</f>
        <v/>
      </c>
      <c r="D343" s="19" t="str">
        <f>IF($A343="","",'Staff Directory'!$D343)</f>
        <v/>
      </c>
      <c r="E343" s="26" t="str">
        <f>IF($A343="","",COUNTIFS(tblIssues[Staff ID],$A343))</f>
        <v/>
      </c>
      <c r="F343" s="26" t="str">
        <f>IF($A343="","",SUMIFS(tblIssues[Qty Issued],tblIssues[Staff ID],$A343))</f>
        <v/>
      </c>
      <c r="G343" s="21" t="str">
        <f>IF($A343="","",SUMIFS(tblIssues[Line Cost],tblIssues[Staff ID],$A343))</f>
        <v/>
      </c>
      <c r="H343" s="24" t="str">
        <f>IF($A343="","",IF($E343=0,"",IFERROR(_xlfn.MAXIFS(tblIssues[Order Date],tblIssues[Staff ID],$A343),"")))</f>
        <v/>
      </c>
      <c r="I343" s="24" t="str">
        <f>IF($A343="","",IF($E343=0,"",IFERROR(_xlfn.MAXIFS(tblIssues[Next Scheduled],tblIssues[Staff ID],$A343),"")))</f>
        <v/>
      </c>
      <c r="J343" s="26" t="str">
        <f>IF($A343="","",COUNTIFS(tblIssues[Staff ID],$A343,tblIssues[Status],"Pending"))</f>
        <v/>
      </c>
    </row>
    <row r="344" spans="1:10" x14ac:dyDescent="0.35">
      <c r="A344" s="18" t="str">
        <f>IF('Staff Directory'!$A344="","",'Staff Directory'!$A344)</f>
        <v/>
      </c>
      <c r="B344" s="18" t="str">
        <f>IF($A344="","",'Staff Directory'!$B344)</f>
        <v/>
      </c>
      <c r="C344" s="19" t="str">
        <f>IF($A344="","",'Staff Directory'!$C344)</f>
        <v/>
      </c>
      <c r="D344" s="19" t="str">
        <f>IF($A344="","",'Staff Directory'!$D344)</f>
        <v/>
      </c>
      <c r="E344" s="26" t="str">
        <f>IF($A344="","",COUNTIFS(tblIssues[Staff ID],$A344))</f>
        <v/>
      </c>
      <c r="F344" s="26" t="str">
        <f>IF($A344="","",SUMIFS(tblIssues[Qty Issued],tblIssues[Staff ID],$A344))</f>
        <v/>
      </c>
      <c r="G344" s="21" t="str">
        <f>IF($A344="","",SUMIFS(tblIssues[Line Cost],tblIssues[Staff ID],$A344))</f>
        <v/>
      </c>
      <c r="H344" s="24" t="str">
        <f>IF($A344="","",IF($E344=0,"",IFERROR(_xlfn.MAXIFS(tblIssues[Order Date],tblIssues[Staff ID],$A344),"")))</f>
        <v/>
      </c>
      <c r="I344" s="24" t="str">
        <f>IF($A344="","",IF($E344=0,"",IFERROR(_xlfn.MAXIFS(tblIssues[Next Scheduled],tblIssues[Staff ID],$A344),"")))</f>
        <v/>
      </c>
      <c r="J344" s="26" t="str">
        <f>IF($A344="","",COUNTIFS(tblIssues[Staff ID],$A344,tblIssues[Status],"Pending"))</f>
        <v/>
      </c>
    </row>
    <row r="345" spans="1:10" x14ac:dyDescent="0.35">
      <c r="A345" s="18" t="str">
        <f>IF('Staff Directory'!$A345="","",'Staff Directory'!$A345)</f>
        <v/>
      </c>
      <c r="B345" s="18" t="str">
        <f>IF($A345="","",'Staff Directory'!$B345)</f>
        <v/>
      </c>
      <c r="C345" s="19" t="str">
        <f>IF($A345="","",'Staff Directory'!$C345)</f>
        <v/>
      </c>
      <c r="D345" s="19" t="str">
        <f>IF($A345="","",'Staff Directory'!$D345)</f>
        <v/>
      </c>
      <c r="E345" s="26" t="str">
        <f>IF($A345="","",COUNTIFS(tblIssues[Staff ID],$A345))</f>
        <v/>
      </c>
      <c r="F345" s="26" t="str">
        <f>IF($A345="","",SUMIFS(tblIssues[Qty Issued],tblIssues[Staff ID],$A345))</f>
        <v/>
      </c>
      <c r="G345" s="21" t="str">
        <f>IF($A345="","",SUMIFS(tblIssues[Line Cost],tblIssues[Staff ID],$A345))</f>
        <v/>
      </c>
      <c r="H345" s="24" t="str">
        <f>IF($A345="","",IF($E345=0,"",IFERROR(_xlfn.MAXIFS(tblIssues[Order Date],tblIssues[Staff ID],$A345),"")))</f>
        <v/>
      </c>
      <c r="I345" s="24" t="str">
        <f>IF($A345="","",IF($E345=0,"",IFERROR(_xlfn.MAXIFS(tblIssues[Next Scheduled],tblIssues[Staff ID],$A345),"")))</f>
        <v/>
      </c>
      <c r="J345" s="26" t="str">
        <f>IF($A345="","",COUNTIFS(tblIssues[Staff ID],$A345,tblIssues[Status],"Pending"))</f>
        <v/>
      </c>
    </row>
    <row r="346" spans="1:10" x14ac:dyDescent="0.35">
      <c r="A346" s="18" t="str">
        <f>IF('Staff Directory'!$A346="","",'Staff Directory'!$A346)</f>
        <v/>
      </c>
      <c r="B346" s="18" t="str">
        <f>IF($A346="","",'Staff Directory'!$B346)</f>
        <v/>
      </c>
      <c r="C346" s="19" t="str">
        <f>IF($A346="","",'Staff Directory'!$C346)</f>
        <v/>
      </c>
      <c r="D346" s="19" t="str">
        <f>IF($A346="","",'Staff Directory'!$D346)</f>
        <v/>
      </c>
      <c r="E346" s="26" t="str">
        <f>IF($A346="","",COUNTIFS(tblIssues[Staff ID],$A346))</f>
        <v/>
      </c>
      <c r="F346" s="26" t="str">
        <f>IF($A346="","",SUMIFS(tblIssues[Qty Issued],tblIssues[Staff ID],$A346))</f>
        <v/>
      </c>
      <c r="G346" s="21" t="str">
        <f>IF($A346="","",SUMIFS(tblIssues[Line Cost],tblIssues[Staff ID],$A346))</f>
        <v/>
      </c>
      <c r="H346" s="24" t="str">
        <f>IF($A346="","",IF($E346=0,"",IFERROR(_xlfn.MAXIFS(tblIssues[Order Date],tblIssues[Staff ID],$A346),"")))</f>
        <v/>
      </c>
      <c r="I346" s="24" t="str">
        <f>IF($A346="","",IF($E346=0,"",IFERROR(_xlfn.MAXIFS(tblIssues[Next Scheduled],tblIssues[Staff ID],$A346),"")))</f>
        <v/>
      </c>
      <c r="J346" s="26" t="str">
        <f>IF($A346="","",COUNTIFS(tblIssues[Staff ID],$A346,tblIssues[Status],"Pending"))</f>
        <v/>
      </c>
    </row>
    <row r="347" spans="1:10" x14ac:dyDescent="0.35">
      <c r="A347" s="18" t="str">
        <f>IF('Staff Directory'!$A347="","",'Staff Directory'!$A347)</f>
        <v/>
      </c>
      <c r="B347" s="18" t="str">
        <f>IF($A347="","",'Staff Directory'!$B347)</f>
        <v/>
      </c>
      <c r="C347" s="19" t="str">
        <f>IF($A347="","",'Staff Directory'!$C347)</f>
        <v/>
      </c>
      <c r="D347" s="19" t="str">
        <f>IF($A347="","",'Staff Directory'!$D347)</f>
        <v/>
      </c>
      <c r="E347" s="26" t="str">
        <f>IF($A347="","",COUNTIFS(tblIssues[Staff ID],$A347))</f>
        <v/>
      </c>
      <c r="F347" s="26" t="str">
        <f>IF($A347="","",SUMIFS(tblIssues[Qty Issued],tblIssues[Staff ID],$A347))</f>
        <v/>
      </c>
      <c r="G347" s="21" t="str">
        <f>IF($A347="","",SUMIFS(tblIssues[Line Cost],tblIssues[Staff ID],$A347))</f>
        <v/>
      </c>
      <c r="H347" s="24" t="str">
        <f>IF($A347="","",IF($E347=0,"",IFERROR(_xlfn.MAXIFS(tblIssues[Order Date],tblIssues[Staff ID],$A347),"")))</f>
        <v/>
      </c>
      <c r="I347" s="24" t="str">
        <f>IF($A347="","",IF($E347=0,"",IFERROR(_xlfn.MAXIFS(tblIssues[Next Scheduled],tblIssues[Staff ID],$A347),"")))</f>
        <v/>
      </c>
      <c r="J347" s="26" t="str">
        <f>IF($A347="","",COUNTIFS(tblIssues[Staff ID],$A347,tblIssues[Status],"Pending"))</f>
        <v/>
      </c>
    </row>
    <row r="348" spans="1:10" x14ac:dyDescent="0.35">
      <c r="A348" s="18" t="str">
        <f>IF('Staff Directory'!$A348="","",'Staff Directory'!$A348)</f>
        <v/>
      </c>
      <c r="B348" s="18" t="str">
        <f>IF($A348="","",'Staff Directory'!$B348)</f>
        <v/>
      </c>
      <c r="C348" s="19" t="str">
        <f>IF($A348="","",'Staff Directory'!$C348)</f>
        <v/>
      </c>
      <c r="D348" s="19" t="str">
        <f>IF($A348="","",'Staff Directory'!$D348)</f>
        <v/>
      </c>
      <c r="E348" s="26" t="str">
        <f>IF($A348="","",COUNTIFS(tblIssues[Staff ID],$A348))</f>
        <v/>
      </c>
      <c r="F348" s="26" t="str">
        <f>IF($A348="","",SUMIFS(tblIssues[Qty Issued],tblIssues[Staff ID],$A348))</f>
        <v/>
      </c>
      <c r="G348" s="21" t="str">
        <f>IF($A348="","",SUMIFS(tblIssues[Line Cost],tblIssues[Staff ID],$A348))</f>
        <v/>
      </c>
      <c r="H348" s="24" t="str">
        <f>IF($A348="","",IF($E348=0,"",IFERROR(_xlfn.MAXIFS(tblIssues[Order Date],tblIssues[Staff ID],$A348),"")))</f>
        <v/>
      </c>
      <c r="I348" s="24" t="str">
        <f>IF($A348="","",IF($E348=0,"",IFERROR(_xlfn.MAXIFS(tblIssues[Next Scheduled],tblIssues[Staff ID],$A348),"")))</f>
        <v/>
      </c>
      <c r="J348" s="26" t="str">
        <f>IF($A348="","",COUNTIFS(tblIssues[Staff ID],$A348,tblIssues[Status],"Pending"))</f>
        <v/>
      </c>
    </row>
    <row r="349" spans="1:10" x14ac:dyDescent="0.35">
      <c r="A349" s="18" t="str">
        <f>IF('Staff Directory'!$A349="","",'Staff Directory'!$A349)</f>
        <v/>
      </c>
      <c r="B349" s="18" t="str">
        <f>IF($A349="","",'Staff Directory'!$B349)</f>
        <v/>
      </c>
      <c r="C349" s="19" t="str">
        <f>IF($A349="","",'Staff Directory'!$C349)</f>
        <v/>
      </c>
      <c r="D349" s="19" t="str">
        <f>IF($A349="","",'Staff Directory'!$D349)</f>
        <v/>
      </c>
      <c r="E349" s="26" t="str">
        <f>IF($A349="","",COUNTIFS(tblIssues[Staff ID],$A349))</f>
        <v/>
      </c>
      <c r="F349" s="26" t="str">
        <f>IF($A349="","",SUMIFS(tblIssues[Qty Issued],tblIssues[Staff ID],$A349))</f>
        <v/>
      </c>
      <c r="G349" s="21" t="str">
        <f>IF($A349="","",SUMIFS(tblIssues[Line Cost],tblIssues[Staff ID],$A349))</f>
        <v/>
      </c>
      <c r="H349" s="24" t="str">
        <f>IF($A349="","",IF($E349=0,"",IFERROR(_xlfn.MAXIFS(tblIssues[Order Date],tblIssues[Staff ID],$A349),"")))</f>
        <v/>
      </c>
      <c r="I349" s="24" t="str">
        <f>IF($A349="","",IF($E349=0,"",IFERROR(_xlfn.MAXIFS(tblIssues[Next Scheduled],tblIssues[Staff ID],$A349),"")))</f>
        <v/>
      </c>
      <c r="J349" s="26" t="str">
        <f>IF($A349="","",COUNTIFS(tblIssues[Staff ID],$A349,tblIssues[Status],"Pending"))</f>
        <v/>
      </c>
    </row>
    <row r="350" spans="1:10" x14ac:dyDescent="0.35">
      <c r="A350" s="18" t="str">
        <f>IF('Staff Directory'!$A350="","",'Staff Directory'!$A350)</f>
        <v/>
      </c>
      <c r="B350" s="18" t="str">
        <f>IF($A350="","",'Staff Directory'!$B350)</f>
        <v/>
      </c>
      <c r="C350" s="19" t="str">
        <f>IF($A350="","",'Staff Directory'!$C350)</f>
        <v/>
      </c>
      <c r="D350" s="19" t="str">
        <f>IF($A350="","",'Staff Directory'!$D350)</f>
        <v/>
      </c>
      <c r="E350" s="26" t="str">
        <f>IF($A350="","",COUNTIFS(tblIssues[Staff ID],$A350))</f>
        <v/>
      </c>
      <c r="F350" s="26" t="str">
        <f>IF($A350="","",SUMIFS(tblIssues[Qty Issued],tblIssues[Staff ID],$A350))</f>
        <v/>
      </c>
      <c r="G350" s="21" t="str">
        <f>IF($A350="","",SUMIFS(tblIssues[Line Cost],tblIssues[Staff ID],$A350))</f>
        <v/>
      </c>
      <c r="H350" s="24" t="str">
        <f>IF($A350="","",IF($E350=0,"",IFERROR(_xlfn.MAXIFS(tblIssues[Order Date],tblIssues[Staff ID],$A350),"")))</f>
        <v/>
      </c>
      <c r="I350" s="24" t="str">
        <f>IF($A350="","",IF($E350=0,"",IFERROR(_xlfn.MAXIFS(tblIssues[Next Scheduled],tblIssues[Staff ID],$A350),"")))</f>
        <v/>
      </c>
      <c r="J350" s="26" t="str">
        <f>IF($A350="","",COUNTIFS(tblIssues[Staff ID],$A350,tblIssues[Status],"Pending"))</f>
        <v/>
      </c>
    </row>
    <row r="351" spans="1:10" x14ac:dyDescent="0.35">
      <c r="A351" s="18" t="str">
        <f>IF('Staff Directory'!$A351="","",'Staff Directory'!$A351)</f>
        <v/>
      </c>
      <c r="B351" s="18" t="str">
        <f>IF($A351="","",'Staff Directory'!$B351)</f>
        <v/>
      </c>
      <c r="C351" s="19" t="str">
        <f>IF($A351="","",'Staff Directory'!$C351)</f>
        <v/>
      </c>
      <c r="D351" s="19" t="str">
        <f>IF($A351="","",'Staff Directory'!$D351)</f>
        <v/>
      </c>
      <c r="E351" s="26" t="str">
        <f>IF($A351="","",COUNTIFS(tblIssues[Staff ID],$A351))</f>
        <v/>
      </c>
      <c r="F351" s="26" t="str">
        <f>IF($A351="","",SUMIFS(tblIssues[Qty Issued],tblIssues[Staff ID],$A351))</f>
        <v/>
      </c>
      <c r="G351" s="21" t="str">
        <f>IF($A351="","",SUMIFS(tblIssues[Line Cost],tblIssues[Staff ID],$A351))</f>
        <v/>
      </c>
      <c r="H351" s="24" t="str">
        <f>IF($A351="","",IF($E351=0,"",IFERROR(_xlfn.MAXIFS(tblIssues[Order Date],tblIssues[Staff ID],$A351),"")))</f>
        <v/>
      </c>
      <c r="I351" s="24" t="str">
        <f>IF($A351="","",IF($E351=0,"",IFERROR(_xlfn.MAXIFS(tblIssues[Next Scheduled],tblIssues[Staff ID],$A351),"")))</f>
        <v/>
      </c>
      <c r="J351" s="26" t="str">
        <f>IF($A351="","",COUNTIFS(tblIssues[Staff ID],$A351,tblIssues[Status],"Pending"))</f>
        <v/>
      </c>
    </row>
    <row r="352" spans="1:10" x14ac:dyDescent="0.35">
      <c r="A352" s="18" t="str">
        <f>IF('Staff Directory'!$A352="","",'Staff Directory'!$A352)</f>
        <v/>
      </c>
      <c r="B352" s="18" t="str">
        <f>IF($A352="","",'Staff Directory'!$B352)</f>
        <v/>
      </c>
      <c r="C352" s="19" t="str">
        <f>IF($A352="","",'Staff Directory'!$C352)</f>
        <v/>
      </c>
      <c r="D352" s="19" t="str">
        <f>IF($A352="","",'Staff Directory'!$D352)</f>
        <v/>
      </c>
      <c r="E352" s="26" t="str">
        <f>IF($A352="","",COUNTIFS(tblIssues[Staff ID],$A352))</f>
        <v/>
      </c>
      <c r="F352" s="26" t="str">
        <f>IF($A352="","",SUMIFS(tblIssues[Qty Issued],tblIssues[Staff ID],$A352))</f>
        <v/>
      </c>
      <c r="G352" s="21" t="str">
        <f>IF($A352="","",SUMIFS(tblIssues[Line Cost],tblIssues[Staff ID],$A352))</f>
        <v/>
      </c>
      <c r="H352" s="24" t="str">
        <f>IF($A352="","",IF($E352=0,"",IFERROR(_xlfn.MAXIFS(tblIssues[Order Date],tblIssues[Staff ID],$A352),"")))</f>
        <v/>
      </c>
      <c r="I352" s="24" t="str">
        <f>IF($A352="","",IF($E352=0,"",IFERROR(_xlfn.MAXIFS(tblIssues[Next Scheduled],tblIssues[Staff ID],$A352),"")))</f>
        <v/>
      </c>
      <c r="J352" s="26" t="str">
        <f>IF($A352="","",COUNTIFS(tblIssues[Staff ID],$A352,tblIssues[Status],"Pending"))</f>
        <v/>
      </c>
    </row>
    <row r="353" spans="1:10" x14ac:dyDescent="0.35">
      <c r="A353" s="18" t="str">
        <f>IF('Staff Directory'!$A353="","",'Staff Directory'!$A353)</f>
        <v/>
      </c>
      <c r="B353" s="18" t="str">
        <f>IF($A353="","",'Staff Directory'!$B353)</f>
        <v/>
      </c>
      <c r="C353" s="19" t="str">
        <f>IF($A353="","",'Staff Directory'!$C353)</f>
        <v/>
      </c>
      <c r="D353" s="19" t="str">
        <f>IF($A353="","",'Staff Directory'!$D353)</f>
        <v/>
      </c>
      <c r="E353" s="26" t="str">
        <f>IF($A353="","",COUNTIFS(tblIssues[Staff ID],$A353))</f>
        <v/>
      </c>
      <c r="F353" s="26" t="str">
        <f>IF($A353="","",SUMIFS(tblIssues[Qty Issued],tblIssues[Staff ID],$A353))</f>
        <v/>
      </c>
      <c r="G353" s="21" t="str">
        <f>IF($A353="","",SUMIFS(tblIssues[Line Cost],tblIssues[Staff ID],$A353))</f>
        <v/>
      </c>
      <c r="H353" s="24" t="str">
        <f>IF($A353="","",IF($E353=0,"",IFERROR(_xlfn.MAXIFS(tblIssues[Order Date],tblIssues[Staff ID],$A353),"")))</f>
        <v/>
      </c>
      <c r="I353" s="24" t="str">
        <f>IF($A353="","",IF($E353=0,"",IFERROR(_xlfn.MAXIFS(tblIssues[Next Scheduled],tblIssues[Staff ID],$A353),"")))</f>
        <v/>
      </c>
      <c r="J353" s="26" t="str">
        <f>IF($A353="","",COUNTIFS(tblIssues[Staff ID],$A353,tblIssues[Status],"Pending"))</f>
        <v/>
      </c>
    </row>
    <row r="354" spans="1:10" x14ac:dyDescent="0.35">
      <c r="A354" s="18" t="str">
        <f>IF('Staff Directory'!$A354="","",'Staff Directory'!$A354)</f>
        <v/>
      </c>
      <c r="B354" s="18" t="str">
        <f>IF($A354="","",'Staff Directory'!$B354)</f>
        <v/>
      </c>
      <c r="C354" s="19" t="str">
        <f>IF($A354="","",'Staff Directory'!$C354)</f>
        <v/>
      </c>
      <c r="D354" s="19" t="str">
        <f>IF($A354="","",'Staff Directory'!$D354)</f>
        <v/>
      </c>
      <c r="E354" s="26" t="str">
        <f>IF($A354="","",COUNTIFS(tblIssues[Staff ID],$A354))</f>
        <v/>
      </c>
      <c r="F354" s="26" t="str">
        <f>IF($A354="","",SUMIFS(tblIssues[Qty Issued],tblIssues[Staff ID],$A354))</f>
        <v/>
      </c>
      <c r="G354" s="21" t="str">
        <f>IF($A354="","",SUMIFS(tblIssues[Line Cost],tblIssues[Staff ID],$A354))</f>
        <v/>
      </c>
      <c r="H354" s="24" t="str">
        <f>IF($A354="","",IF($E354=0,"",IFERROR(_xlfn.MAXIFS(tblIssues[Order Date],tblIssues[Staff ID],$A354),"")))</f>
        <v/>
      </c>
      <c r="I354" s="24" t="str">
        <f>IF($A354="","",IF($E354=0,"",IFERROR(_xlfn.MAXIFS(tblIssues[Next Scheduled],tblIssues[Staff ID],$A354),"")))</f>
        <v/>
      </c>
      <c r="J354" s="26" t="str">
        <f>IF($A354="","",COUNTIFS(tblIssues[Staff ID],$A354,tblIssues[Status],"Pending"))</f>
        <v/>
      </c>
    </row>
    <row r="355" spans="1:10" x14ac:dyDescent="0.35">
      <c r="A355" s="18" t="str">
        <f>IF('Staff Directory'!$A355="","",'Staff Directory'!$A355)</f>
        <v/>
      </c>
      <c r="B355" s="18" t="str">
        <f>IF($A355="","",'Staff Directory'!$B355)</f>
        <v/>
      </c>
      <c r="C355" s="19" t="str">
        <f>IF($A355="","",'Staff Directory'!$C355)</f>
        <v/>
      </c>
      <c r="D355" s="19" t="str">
        <f>IF($A355="","",'Staff Directory'!$D355)</f>
        <v/>
      </c>
      <c r="E355" s="26" t="str">
        <f>IF($A355="","",COUNTIFS(tblIssues[Staff ID],$A355))</f>
        <v/>
      </c>
      <c r="F355" s="26" t="str">
        <f>IF($A355="","",SUMIFS(tblIssues[Qty Issued],tblIssues[Staff ID],$A355))</f>
        <v/>
      </c>
      <c r="G355" s="21" t="str">
        <f>IF($A355="","",SUMIFS(tblIssues[Line Cost],tblIssues[Staff ID],$A355))</f>
        <v/>
      </c>
      <c r="H355" s="24" t="str">
        <f>IF($A355="","",IF($E355=0,"",IFERROR(_xlfn.MAXIFS(tblIssues[Order Date],tblIssues[Staff ID],$A355),"")))</f>
        <v/>
      </c>
      <c r="I355" s="24" t="str">
        <f>IF($A355="","",IF($E355=0,"",IFERROR(_xlfn.MAXIFS(tblIssues[Next Scheduled],tblIssues[Staff ID],$A355),"")))</f>
        <v/>
      </c>
      <c r="J355" s="26" t="str">
        <f>IF($A355="","",COUNTIFS(tblIssues[Staff ID],$A355,tblIssues[Status],"Pending"))</f>
        <v/>
      </c>
    </row>
    <row r="356" spans="1:10" x14ac:dyDescent="0.35">
      <c r="A356" s="18" t="str">
        <f>IF('Staff Directory'!$A356="","",'Staff Directory'!$A356)</f>
        <v/>
      </c>
      <c r="B356" s="18" t="str">
        <f>IF($A356="","",'Staff Directory'!$B356)</f>
        <v/>
      </c>
      <c r="C356" s="19" t="str">
        <f>IF($A356="","",'Staff Directory'!$C356)</f>
        <v/>
      </c>
      <c r="D356" s="19" t="str">
        <f>IF($A356="","",'Staff Directory'!$D356)</f>
        <v/>
      </c>
      <c r="E356" s="26" t="str">
        <f>IF($A356="","",COUNTIFS(tblIssues[Staff ID],$A356))</f>
        <v/>
      </c>
      <c r="F356" s="26" t="str">
        <f>IF($A356="","",SUMIFS(tblIssues[Qty Issued],tblIssues[Staff ID],$A356))</f>
        <v/>
      </c>
      <c r="G356" s="21" t="str">
        <f>IF($A356="","",SUMIFS(tblIssues[Line Cost],tblIssues[Staff ID],$A356))</f>
        <v/>
      </c>
      <c r="H356" s="24" t="str">
        <f>IF($A356="","",IF($E356=0,"",IFERROR(_xlfn.MAXIFS(tblIssues[Order Date],tblIssues[Staff ID],$A356),"")))</f>
        <v/>
      </c>
      <c r="I356" s="24" t="str">
        <f>IF($A356="","",IF($E356=0,"",IFERROR(_xlfn.MAXIFS(tblIssues[Next Scheduled],tblIssues[Staff ID],$A356),"")))</f>
        <v/>
      </c>
      <c r="J356" s="26" t="str">
        <f>IF($A356="","",COUNTIFS(tblIssues[Staff ID],$A356,tblIssues[Status],"Pending"))</f>
        <v/>
      </c>
    </row>
    <row r="357" spans="1:10" x14ac:dyDescent="0.35">
      <c r="A357" s="18" t="str">
        <f>IF('Staff Directory'!$A357="","",'Staff Directory'!$A357)</f>
        <v/>
      </c>
      <c r="B357" s="18" t="str">
        <f>IF($A357="","",'Staff Directory'!$B357)</f>
        <v/>
      </c>
      <c r="C357" s="19" t="str">
        <f>IF($A357="","",'Staff Directory'!$C357)</f>
        <v/>
      </c>
      <c r="D357" s="19" t="str">
        <f>IF($A357="","",'Staff Directory'!$D357)</f>
        <v/>
      </c>
      <c r="E357" s="26" t="str">
        <f>IF($A357="","",COUNTIFS(tblIssues[Staff ID],$A357))</f>
        <v/>
      </c>
      <c r="F357" s="26" t="str">
        <f>IF($A357="","",SUMIFS(tblIssues[Qty Issued],tblIssues[Staff ID],$A357))</f>
        <v/>
      </c>
      <c r="G357" s="21" t="str">
        <f>IF($A357="","",SUMIFS(tblIssues[Line Cost],tblIssues[Staff ID],$A357))</f>
        <v/>
      </c>
      <c r="H357" s="24" t="str">
        <f>IF($A357="","",IF($E357=0,"",IFERROR(_xlfn.MAXIFS(tblIssues[Order Date],tblIssues[Staff ID],$A357),"")))</f>
        <v/>
      </c>
      <c r="I357" s="24" t="str">
        <f>IF($A357="","",IF($E357=0,"",IFERROR(_xlfn.MAXIFS(tblIssues[Next Scheduled],tblIssues[Staff ID],$A357),"")))</f>
        <v/>
      </c>
      <c r="J357" s="26" t="str">
        <f>IF($A357="","",COUNTIFS(tblIssues[Staff ID],$A357,tblIssues[Status],"Pending"))</f>
        <v/>
      </c>
    </row>
    <row r="358" spans="1:10" x14ac:dyDescent="0.35">
      <c r="A358" s="18" t="str">
        <f>IF('Staff Directory'!$A358="","",'Staff Directory'!$A358)</f>
        <v/>
      </c>
      <c r="B358" s="18" t="str">
        <f>IF($A358="","",'Staff Directory'!$B358)</f>
        <v/>
      </c>
      <c r="C358" s="19" t="str">
        <f>IF($A358="","",'Staff Directory'!$C358)</f>
        <v/>
      </c>
      <c r="D358" s="19" t="str">
        <f>IF($A358="","",'Staff Directory'!$D358)</f>
        <v/>
      </c>
      <c r="E358" s="26" t="str">
        <f>IF($A358="","",COUNTIFS(tblIssues[Staff ID],$A358))</f>
        <v/>
      </c>
      <c r="F358" s="26" t="str">
        <f>IF($A358="","",SUMIFS(tblIssues[Qty Issued],tblIssues[Staff ID],$A358))</f>
        <v/>
      </c>
      <c r="G358" s="21" t="str">
        <f>IF($A358="","",SUMIFS(tblIssues[Line Cost],tblIssues[Staff ID],$A358))</f>
        <v/>
      </c>
      <c r="H358" s="24" t="str">
        <f>IF($A358="","",IF($E358=0,"",IFERROR(_xlfn.MAXIFS(tblIssues[Order Date],tblIssues[Staff ID],$A358),"")))</f>
        <v/>
      </c>
      <c r="I358" s="24" t="str">
        <f>IF($A358="","",IF($E358=0,"",IFERROR(_xlfn.MAXIFS(tblIssues[Next Scheduled],tblIssues[Staff ID],$A358),"")))</f>
        <v/>
      </c>
      <c r="J358" s="26" t="str">
        <f>IF($A358="","",COUNTIFS(tblIssues[Staff ID],$A358,tblIssues[Status],"Pending"))</f>
        <v/>
      </c>
    </row>
    <row r="359" spans="1:10" x14ac:dyDescent="0.35">
      <c r="A359" s="18" t="str">
        <f>IF('Staff Directory'!$A359="","",'Staff Directory'!$A359)</f>
        <v/>
      </c>
      <c r="B359" s="18" t="str">
        <f>IF($A359="","",'Staff Directory'!$B359)</f>
        <v/>
      </c>
      <c r="C359" s="19" t="str">
        <f>IF($A359="","",'Staff Directory'!$C359)</f>
        <v/>
      </c>
      <c r="D359" s="19" t="str">
        <f>IF($A359="","",'Staff Directory'!$D359)</f>
        <v/>
      </c>
      <c r="E359" s="26" t="str">
        <f>IF($A359="","",COUNTIFS(tblIssues[Staff ID],$A359))</f>
        <v/>
      </c>
      <c r="F359" s="26" t="str">
        <f>IF($A359="","",SUMIFS(tblIssues[Qty Issued],tblIssues[Staff ID],$A359))</f>
        <v/>
      </c>
      <c r="G359" s="21" t="str">
        <f>IF($A359="","",SUMIFS(tblIssues[Line Cost],tblIssues[Staff ID],$A359))</f>
        <v/>
      </c>
      <c r="H359" s="24" t="str">
        <f>IF($A359="","",IF($E359=0,"",IFERROR(_xlfn.MAXIFS(tblIssues[Order Date],tblIssues[Staff ID],$A359),"")))</f>
        <v/>
      </c>
      <c r="I359" s="24" t="str">
        <f>IF($A359="","",IF($E359=0,"",IFERROR(_xlfn.MAXIFS(tblIssues[Next Scheduled],tblIssues[Staff ID],$A359),"")))</f>
        <v/>
      </c>
      <c r="J359" s="26" t="str">
        <f>IF($A359="","",COUNTIFS(tblIssues[Staff ID],$A359,tblIssues[Status],"Pending"))</f>
        <v/>
      </c>
    </row>
    <row r="360" spans="1:10" x14ac:dyDescent="0.35">
      <c r="A360" s="18" t="str">
        <f>IF('Staff Directory'!$A360="","",'Staff Directory'!$A360)</f>
        <v/>
      </c>
      <c r="B360" s="18" t="str">
        <f>IF($A360="","",'Staff Directory'!$B360)</f>
        <v/>
      </c>
      <c r="C360" s="19" t="str">
        <f>IF($A360="","",'Staff Directory'!$C360)</f>
        <v/>
      </c>
      <c r="D360" s="19" t="str">
        <f>IF($A360="","",'Staff Directory'!$D360)</f>
        <v/>
      </c>
      <c r="E360" s="26" t="str">
        <f>IF($A360="","",COUNTIFS(tblIssues[Staff ID],$A360))</f>
        <v/>
      </c>
      <c r="F360" s="26" t="str">
        <f>IF($A360="","",SUMIFS(tblIssues[Qty Issued],tblIssues[Staff ID],$A360))</f>
        <v/>
      </c>
      <c r="G360" s="21" t="str">
        <f>IF($A360="","",SUMIFS(tblIssues[Line Cost],tblIssues[Staff ID],$A360))</f>
        <v/>
      </c>
      <c r="H360" s="24" t="str">
        <f>IF($A360="","",IF($E360=0,"",IFERROR(_xlfn.MAXIFS(tblIssues[Order Date],tblIssues[Staff ID],$A360),"")))</f>
        <v/>
      </c>
      <c r="I360" s="24" t="str">
        <f>IF($A360="","",IF($E360=0,"",IFERROR(_xlfn.MAXIFS(tblIssues[Next Scheduled],tblIssues[Staff ID],$A360),"")))</f>
        <v/>
      </c>
      <c r="J360" s="26" t="str">
        <f>IF($A360="","",COUNTIFS(tblIssues[Staff ID],$A360,tblIssues[Status],"Pending"))</f>
        <v/>
      </c>
    </row>
    <row r="361" spans="1:10" x14ac:dyDescent="0.35">
      <c r="A361" s="18" t="str">
        <f>IF('Staff Directory'!$A361="","",'Staff Directory'!$A361)</f>
        <v/>
      </c>
      <c r="B361" s="18" t="str">
        <f>IF($A361="","",'Staff Directory'!$B361)</f>
        <v/>
      </c>
      <c r="C361" s="19" t="str">
        <f>IF($A361="","",'Staff Directory'!$C361)</f>
        <v/>
      </c>
      <c r="D361" s="19" t="str">
        <f>IF($A361="","",'Staff Directory'!$D361)</f>
        <v/>
      </c>
      <c r="E361" s="26" t="str">
        <f>IF($A361="","",COUNTIFS(tblIssues[Staff ID],$A361))</f>
        <v/>
      </c>
      <c r="F361" s="26" t="str">
        <f>IF($A361="","",SUMIFS(tblIssues[Qty Issued],tblIssues[Staff ID],$A361))</f>
        <v/>
      </c>
      <c r="G361" s="21" t="str">
        <f>IF($A361="","",SUMIFS(tblIssues[Line Cost],tblIssues[Staff ID],$A361))</f>
        <v/>
      </c>
      <c r="H361" s="24" t="str">
        <f>IF($A361="","",IF($E361=0,"",IFERROR(_xlfn.MAXIFS(tblIssues[Order Date],tblIssues[Staff ID],$A361),"")))</f>
        <v/>
      </c>
      <c r="I361" s="24" t="str">
        <f>IF($A361="","",IF($E361=0,"",IFERROR(_xlfn.MAXIFS(tblIssues[Next Scheduled],tblIssues[Staff ID],$A361),"")))</f>
        <v/>
      </c>
      <c r="J361" s="26" t="str">
        <f>IF($A361="","",COUNTIFS(tblIssues[Staff ID],$A361,tblIssues[Status],"Pending"))</f>
        <v/>
      </c>
    </row>
    <row r="362" spans="1:10" x14ac:dyDescent="0.35">
      <c r="A362" s="18" t="str">
        <f>IF('Staff Directory'!$A362="","",'Staff Directory'!$A362)</f>
        <v/>
      </c>
      <c r="B362" s="18" t="str">
        <f>IF($A362="","",'Staff Directory'!$B362)</f>
        <v/>
      </c>
      <c r="C362" s="19" t="str">
        <f>IF($A362="","",'Staff Directory'!$C362)</f>
        <v/>
      </c>
      <c r="D362" s="19" t="str">
        <f>IF($A362="","",'Staff Directory'!$D362)</f>
        <v/>
      </c>
      <c r="E362" s="26" t="str">
        <f>IF($A362="","",COUNTIFS(tblIssues[Staff ID],$A362))</f>
        <v/>
      </c>
      <c r="F362" s="26" t="str">
        <f>IF($A362="","",SUMIFS(tblIssues[Qty Issued],tblIssues[Staff ID],$A362))</f>
        <v/>
      </c>
      <c r="G362" s="21" t="str">
        <f>IF($A362="","",SUMIFS(tblIssues[Line Cost],tblIssues[Staff ID],$A362))</f>
        <v/>
      </c>
      <c r="H362" s="24" t="str">
        <f>IF($A362="","",IF($E362=0,"",IFERROR(_xlfn.MAXIFS(tblIssues[Order Date],tblIssues[Staff ID],$A362),"")))</f>
        <v/>
      </c>
      <c r="I362" s="24" t="str">
        <f>IF($A362="","",IF($E362=0,"",IFERROR(_xlfn.MAXIFS(tblIssues[Next Scheduled],tblIssues[Staff ID],$A362),"")))</f>
        <v/>
      </c>
      <c r="J362" s="26" t="str">
        <f>IF($A362="","",COUNTIFS(tblIssues[Staff ID],$A362,tblIssues[Status],"Pending"))</f>
        <v/>
      </c>
    </row>
    <row r="363" spans="1:10" x14ac:dyDescent="0.35">
      <c r="A363" s="18" t="str">
        <f>IF('Staff Directory'!$A363="","",'Staff Directory'!$A363)</f>
        <v/>
      </c>
      <c r="B363" s="18" t="str">
        <f>IF($A363="","",'Staff Directory'!$B363)</f>
        <v/>
      </c>
      <c r="C363" s="19" t="str">
        <f>IF($A363="","",'Staff Directory'!$C363)</f>
        <v/>
      </c>
      <c r="D363" s="19" t="str">
        <f>IF($A363="","",'Staff Directory'!$D363)</f>
        <v/>
      </c>
      <c r="E363" s="26" t="str">
        <f>IF($A363="","",COUNTIFS(tblIssues[Staff ID],$A363))</f>
        <v/>
      </c>
      <c r="F363" s="26" t="str">
        <f>IF($A363="","",SUMIFS(tblIssues[Qty Issued],tblIssues[Staff ID],$A363))</f>
        <v/>
      </c>
      <c r="G363" s="21" t="str">
        <f>IF($A363="","",SUMIFS(tblIssues[Line Cost],tblIssues[Staff ID],$A363))</f>
        <v/>
      </c>
      <c r="H363" s="24" t="str">
        <f>IF($A363="","",IF($E363=0,"",IFERROR(_xlfn.MAXIFS(tblIssues[Order Date],tblIssues[Staff ID],$A363),"")))</f>
        <v/>
      </c>
      <c r="I363" s="24" t="str">
        <f>IF($A363="","",IF($E363=0,"",IFERROR(_xlfn.MAXIFS(tblIssues[Next Scheduled],tblIssues[Staff ID],$A363),"")))</f>
        <v/>
      </c>
      <c r="J363" s="26" t="str">
        <f>IF($A363="","",COUNTIFS(tblIssues[Staff ID],$A363,tblIssues[Status],"Pending"))</f>
        <v/>
      </c>
    </row>
    <row r="364" spans="1:10" x14ac:dyDescent="0.35">
      <c r="A364" s="18" t="str">
        <f>IF('Staff Directory'!$A364="","",'Staff Directory'!$A364)</f>
        <v/>
      </c>
      <c r="B364" s="18" t="str">
        <f>IF($A364="","",'Staff Directory'!$B364)</f>
        <v/>
      </c>
      <c r="C364" s="19" t="str">
        <f>IF($A364="","",'Staff Directory'!$C364)</f>
        <v/>
      </c>
      <c r="D364" s="19" t="str">
        <f>IF($A364="","",'Staff Directory'!$D364)</f>
        <v/>
      </c>
      <c r="E364" s="26" t="str">
        <f>IF($A364="","",COUNTIFS(tblIssues[Staff ID],$A364))</f>
        <v/>
      </c>
      <c r="F364" s="26" t="str">
        <f>IF($A364="","",SUMIFS(tblIssues[Qty Issued],tblIssues[Staff ID],$A364))</f>
        <v/>
      </c>
      <c r="G364" s="21" t="str">
        <f>IF($A364="","",SUMIFS(tblIssues[Line Cost],tblIssues[Staff ID],$A364))</f>
        <v/>
      </c>
      <c r="H364" s="24" t="str">
        <f>IF($A364="","",IF($E364=0,"",IFERROR(_xlfn.MAXIFS(tblIssues[Order Date],tblIssues[Staff ID],$A364),"")))</f>
        <v/>
      </c>
      <c r="I364" s="24" t="str">
        <f>IF($A364="","",IF($E364=0,"",IFERROR(_xlfn.MAXIFS(tblIssues[Next Scheduled],tblIssues[Staff ID],$A364),"")))</f>
        <v/>
      </c>
      <c r="J364" s="26" t="str">
        <f>IF($A364="","",COUNTIFS(tblIssues[Staff ID],$A364,tblIssues[Status],"Pending"))</f>
        <v/>
      </c>
    </row>
    <row r="365" spans="1:10" x14ac:dyDescent="0.35">
      <c r="A365" s="18" t="str">
        <f>IF('Staff Directory'!$A365="","",'Staff Directory'!$A365)</f>
        <v/>
      </c>
      <c r="B365" s="18" t="str">
        <f>IF($A365="","",'Staff Directory'!$B365)</f>
        <v/>
      </c>
      <c r="C365" s="19" t="str">
        <f>IF($A365="","",'Staff Directory'!$C365)</f>
        <v/>
      </c>
      <c r="D365" s="19" t="str">
        <f>IF($A365="","",'Staff Directory'!$D365)</f>
        <v/>
      </c>
      <c r="E365" s="26" t="str">
        <f>IF($A365="","",COUNTIFS(tblIssues[Staff ID],$A365))</f>
        <v/>
      </c>
      <c r="F365" s="26" t="str">
        <f>IF($A365="","",SUMIFS(tblIssues[Qty Issued],tblIssues[Staff ID],$A365))</f>
        <v/>
      </c>
      <c r="G365" s="21" t="str">
        <f>IF($A365="","",SUMIFS(tblIssues[Line Cost],tblIssues[Staff ID],$A365))</f>
        <v/>
      </c>
      <c r="H365" s="24" t="str">
        <f>IF($A365="","",IF($E365=0,"",IFERROR(_xlfn.MAXIFS(tblIssues[Order Date],tblIssues[Staff ID],$A365),"")))</f>
        <v/>
      </c>
      <c r="I365" s="24" t="str">
        <f>IF($A365="","",IF($E365=0,"",IFERROR(_xlfn.MAXIFS(tblIssues[Next Scheduled],tblIssues[Staff ID],$A365),"")))</f>
        <v/>
      </c>
      <c r="J365" s="26" t="str">
        <f>IF($A365="","",COUNTIFS(tblIssues[Staff ID],$A365,tblIssues[Status],"Pending"))</f>
        <v/>
      </c>
    </row>
    <row r="366" spans="1:10" x14ac:dyDescent="0.35">
      <c r="A366" s="18" t="str">
        <f>IF('Staff Directory'!$A366="","",'Staff Directory'!$A366)</f>
        <v/>
      </c>
      <c r="B366" s="18" t="str">
        <f>IF($A366="","",'Staff Directory'!$B366)</f>
        <v/>
      </c>
      <c r="C366" s="19" t="str">
        <f>IF($A366="","",'Staff Directory'!$C366)</f>
        <v/>
      </c>
      <c r="D366" s="19" t="str">
        <f>IF($A366="","",'Staff Directory'!$D366)</f>
        <v/>
      </c>
      <c r="E366" s="26" t="str">
        <f>IF($A366="","",COUNTIFS(tblIssues[Staff ID],$A366))</f>
        <v/>
      </c>
      <c r="F366" s="26" t="str">
        <f>IF($A366="","",SUMIFS(tblIssues[Qty Issued],tblIssues[Staff ID],$A366))</f>
        <v/>
      </c>
      <c r="G366" s="21" t="str">
        <f>IF($A366="","",SUMIFS(tblIssues[Line Cost],tblIssues[Staff ID],$A366))</f>
        <v/>
      </c>
      <c r="H366" s="24" t="str">
        <f>IF($A366="","",IF($E366=0,"",IFERROR(_xlfn.MAXIFS(tblIssues[Order Date],tblIssues[Staff ID],$A366),"")))</f>
        <v/>
      </c>
      <c r="I366" s="24" t="str">
        <f>IF($A366="","",IF($E366=0,"",IFERROR(_xlfn.MAXIFS(tblIssues[Next Scheduled],tblIssues[Staff ID],$A366),"")))</f>
        <v/>
      </c>
      <c r="J366" s="26" t="str">
        <f>IF($A366="","",COUNTIFS(tblIssues[Staff ID],$A366,tblIssues[Status],"Pending"))</f>
        <v/>
      </c>
    </row>
    <row r="367" spans="1:10" x14ac:dyDescent="0.35">
      <c r="A367" s="18" t="str">
        <f>IF('Staff Directory'!$A367="","",'Staff Directory'!$A367)</f>
        <v/>
      </c>
      <c r="B367" s="18" t="str">
        <f>IF($A367="","",'Staff Directory'!$B367)</f>
        <v/>
      </c>
      <c r="C367" s="19" t="str">
        <f>IF($A367="","",'Staff Directory'!$C367)</f>
        <v/>
      </c>
      <c r="D367" s="19" t="str">
        <f>IF($A367="","",'Staff Directory'!$D367)</f>
        <v/>
      </c>
      <c r="E367" s="26" t="str">
        <f>IF($A367="","",COUNTIFS(tblIssues[Staff ID],$A367))</f>
        <v/>
      </c>
      <c r="F367" s="26" t="str">
        <f>IF($A367="","",SUMIFS(tblIssues[Qty Issued],tblIssues[Staff ID],$A367))</f>
        <v/>
      </c>
      <c r="G367" s="21" t="str">
        <f>IF($A367="","",SUMIFS(tblIssues[Line Cost],tblIssues[Staff ID],$A367))</f>
        <v/>
      </c>
      <c r="H367" s="24" t="str">
        <f>IF($A367="","",IF($E367=0,"",IFERROR(_xlfn.MAXIFS(tblIssues[Order Date],tblIssues[Staff ID],$A367),"")))</f>
        <v/>
      </c>
      <c r="I367" s="24" t="str">
        <f>IF($A367="","",IF($E367=0,"",IFERROR(_xlfn.MAXIFS(tblIssues[Next Scheduled],tblIssues[Staff ID],$A367),"")))</f>
        <v/>
      </c>
      <c r="J367" s="26" t="str">
        <f>IF($A367="","",COUNTIFS(tblIssues[Staff ID],$A367,tblIssues[Status],"Pending"))</f>
        <v/>
      </c>
    </row>
    <row r="368" spans="1:10" x14ac:dyDescent="0.35">
      <c r="A368" s="18" t="str">
        <f>IF('Staff Directory'!$A368="","",'Staff Directory'!$A368)</f>
        <v/>
      </c>
      <c r="B368" s="18" t="str">
        <f>IF($A368="","",'Staff Directory'!$B368)</f>
        <v/>
      </c>
      <c r="C368" s="19" t="str">
        <f>IF($A368="","",'Staff Directory'!$C368)</f>
        <v/>
      </c>
      <c r="D368" s="19" t="str">
        <f>IF($A368="","",'Staff Directory'!$D368)</f>
        <v/>
      </c>
      <c r="E368" s="26" t="str">
        <f>IF($A368="","",COUNTIFS(tblIssues[Staff ID],$A368))</f>
        <v/>
      </c>
      <c r="F368" s="26" t="str">
        <f>IF($A368="","",SUMIFS(tblIssues[Qty Issued],tblIssues[Staff ID],$A368))</f>
        <v/>
      </c>
      <c r="G368" s="21" t="str">
        <f>IF($A368="","",SUMIFS(tblIssues[Line Cost],tblIssues[Staff ID],$A368))</f>
        <v/>
      </c>
      <c r="H368" s="24" t="str">
        <f>IF($A368="","",IF($E368=0,"",IFERROR(_xlfn.MAXIFS(tblIssues[Order Date],tblIssues[Staff ID],$A368),"")))</f>
        <v/>
      </c>
      <c r="I368" s="24" t="str">
        <f>IF($A368="","",IF($E368=0,"",IFERROR(_xlfn.MAXIFS(tblIssues[Next Scheduled],tblIssues[Staff ID],$A368),"")))</f>
        <v/>
      </c>
      <c r="J368" s="26" t="str">
        <f>IF($A368="","",COUNTIFS(tblIssues[Staff ID],$A368,tblIssues[Status],"Pending"))</f>
        <v/>
      </c>
    </row>
    <row r="369" spans="1:10" x14ac:dyDescent="0.35">
      <c r="A369" s="18" t="str">
        <f>IF('Staff Directory'!$A369="","",'Staff Directory'!$A369)</f>
        <v/>
      </c>
      <c r="B369" s="18" t="str">
        <f>IF($A369="","",'Staff Directory'!$B369)</f>
        <v/>
      </c>
      <c r="C369" s="19" t="str">
        <f>IF($A369="","",'Staff Directory'!$C369)</f>
        <v/>
      </c>
      <c r="D369" s="19" t="str">
        <f>IF($A369="","",'Staff Directory'!$D369)</f>
        <v/>
      </c>
      <c r="E369" s="26" t="str">
        <f>IF($A369="","",COUNTIFS(tblIssues[Staff ID],$A369))</f>
        <v/>
      </c>
      <c r="F369" s="26" t="str">
        <f>IF($A369="","",SUMIFS(tblIssues[Qty Issued],tblIssues[Staff ID],$A369))</f>
        <v/>
      </c>
      <c r="G369" s="21" t="str">
        <f>IF($A369="","",SUMIFS(tblIssues[Line Cost],tblIssues[Staff ID],$A369))</f>
        <v/>
      </c>
      <c r="H369" s="24" t="str">
        <f>IF($A369="","",IF($E369=0,"",IFERROR(_xlfn.MAXIFS(tblIssues[Order Date],tblIssues[Staff ID],$A369),"")))</f>
        <v/>
      </c>
      <c r="I369" s="24" t="str">
        <f>IF($A369="","",IF($E369=0,"",IFERROR(_xlfn.MAXIFS(tblIssues[Next Scheduled],tblIssues[Staff ID],$A369),"")))</f>
        <v/>
      </c>
      <c r="J369" s="26" t="str">
        <f>IF($A369="","",COUNTIFS(tblIssues[Staff ID],$A369,tblIssues[Status],"Pending"))</f>
        <v/>
      </c>
    </row>
    <row r="370" spans="1:10" x14ac:dyDescent="0.35">
      <c r="A370" s="18" t="str">
        <f>IF('Staff Directory'!$A370="","",'Staff Directory'!$A370)</f>
        <v/>
      </c>
      <c r="B370" s="18" t="str">
        <f>IF($A370="","",'Staff Directory'!$B370)</f>
        <v/>
      </c>
      <c r="C370" s="19" t="str">
        <f>IF($A370="","",'Staff Directory'!$C370)</f>
        <v/>
      </c>
      <c r="D370" s="19" t="str">
        <f>IF($A370="","",'Staff Directory'!$D370)</f>
        <v/>
      </c>
      <c r="E370" s="26" t="str">
        <f>IF($A370="","",COUNTIFS(tblIssues[Staff ID],$A370))</f>
        <v/>
      </c>
      <c r="F370" s="26" t="str">
        <f>IF($A370="","",SUMIFS(tblIssues[Qty Issued],tblIssues[Staff ID],$A370))</f>
        <v/>
      </c>
      <c r="G370" s="21" t="str">
        <f>IF($A370="","",SUMIFS(tblIssues[Line Cost],tblIssues[Staff ID],$A370))</f>
        <v/>
      </c>
      <c r="H370" s="24" t="str">
        <f>IF($A370="","",IF($E370=0,"",IFERROR(_xlfn.MAXIFS(tblIssues[Order Date],tblIssues[Staff ID],$A370),"")))</f>
        <v/>
      </c>
      <c r="I370" s="24" t="str">
        <f>IF($A370="","",IF($E370=0,"",IFERROR(_xlfn.MAXIFS(tblIssues[Next Scheduled],tblIssues[Staff ID],$A370),"")))</f>
        <v/>
      </c>
      <c r="J370" s="26" t="str">
        <f>IF($A370="","",COUNTIFS(tblIssues[Staff ID],$A370,tblIssues[Status],"Pending"))</f>
        <v/>
      </c>
    </row>
    <row r="371" spans="1:10" x14ac:dyDescent="0.35">
      <c r="A371" s="18" t="str">
        <f>IF('Staff Directory'!$A371="","",'Staff Directory'!$A371)</f>
        <v/>
      </c>
      <c r="B371" s="18" t="str">
        <f>IF($A371="","",'Staff Directory'!$B371)</f>
        <v/>
      </c>
      <c r="C371" s="19" t="str">
        <f>IF($A371="","",'Staff Directory'!$C371)</f>
        <v/>
      </c>
      <c r="D371" s="19" t="str">
        <f>IF($A371="","",'Staff Directory'!$D371)</f>
        <v/>
      </c>
      <c r="E371" s="26" t="str">
        <f>IF($A371="","",COUNTIFS(tblIssues[Staff ID],$A371))</f>
        <v/>
      </c>
      <c r="F371" s="26" t="str">
        <f>IF($A371="","",SUMIFS(tblIssues[Qty Issued],tblIssues[Staff ID],$A371))</f>
        <v/>
      </c>
      <c r="G371" s="21" t="str">
        <f>IF($A371="","",SUMIFS(tblIssues[Line Cost],tblIssues[Staff ID],$A371))</f>
        <v/>
      </c>
      <c r="H371" s="24" t="str">
        <f>IF($A371="","",IF($E371=0,"",IFERROR(_xlfn.MAXIFS(tblIssues[Order Date],tblIssues[Staff ID],$A371),"")))</f>
        <v/>
      </c>
      <c r="I371" s="24" t="str">
        <f>IF($A371="","",IF($E371=0,"",IFERROR(_xlfn.MAXIFS(tblIssues[Next Scheduled],tblIssues[Staff ID],$A371),"")))</f>
        <v/>
      </c>
      <c r="J371" s="26" t="str">
        <f>IF($A371="","",COUNTIFS(tblIssues[Staff ID],$A371,tblIssues[Status],"Pending"))</f>
        <v/>
      </c>
    </row>
    <row r="372" spans="1:10" x14ac:dyDescent="0.35">
      <c r="A372" s="18" t="str">
        <f>IF('Staff Directory'!$A372="","",'Staff Directory'!$A372)</f>
        <v/>
      </c>
      <c r="B372" s="18" t="str">
        <f>IF($A372="","",'Staff Directory'!$B372)</f>
        <v/>
      </c>
      <c r="C372" s="19" t="str">
        <f>IF($A372="","",'Staff Directory'!$C372)</f>
        <v/>
      </c>
      <c r="D372" s="19" t="str">
        <f>IF($A372="","",'Staff Directory'!$D372)</f>
        <v/>
      </c>
      <c r="E372" s="26" t="str">
        <f>IF($A372="","",COUNTIFS(tblIssues[Staff ID],$A372))</f>
        <v/>
      </c>
      <c r="F372" s="26" t="str">
        <f>IF($A372="","",SUMIFS(tblIssues[Qty Issued],tblIssues[Staff ID],$A372))</f>
        <v/>
      </c>
      <c r="G372" s="21" t="str">
        <f>IF($A372="","",SUMIFS(tblIssues[Line Cost],tblIssues[Staff ID],$A372))</f>
        <v/>
      </c>
      <c r="H372" s="24" t="str">
        <f>IF($A372="","",IF($E372=0,"",IFERROR(_xlfn.MAXIFS(tblIssues[Order Date],tblIssues[Staff ID],$A372),"")))</f>
        <v/>
      </c>
      <c r="I372" s="24" t="str">
        <f>IF($A372="","",IF($E372=0,"",IFERROR(_xlfn.MAXIFS(tblIssues[Next Scheduled],tblIssues[Staff ID],$A372),"")))</f>
        <v/>
      </c>
      <c r="J372" s="26" t="str">
        <f>IF($A372="","",COUNTIFS(tblIssues[Staff ID],$A372,tblIssues[Status],"Pending"))</f>
        <v/>
      </c>
    </row>
    <row r="373" spans="1:10" x14ac:dyDescent="0.35">
      <c r="A373" s="18" t="str">
        <f>IF('Staff Directory'!$A373="","",'Staff Directory'!$A373)</f>
        <v/>
      </c>
      <c r="B373" s="18" t="str">
        <f>IF($A373="","",'Staff Directory'!$B373)</f>
        <v/>
      </c>
      <c r="C373" s="19" t="str">
        <f>IF($A373="","",'Staff Directory'!$C373)</f>
        <v/>
      </c>
      <c r="D373" s="19" t="str">
        <f>IF($A373="","",'Staff Directory'!$D373)</f>
        <v/>
      </c>
      <c r="E373" s="26" t="str">
        <f>IF($A373="","",COUNTIFS(tblIssues[Staff ID],$A373))</f>
        <v/>
      </c>
      <c r="F373" s="26" t="str">
        <f>IF($A373="","",SUMIFS(tblIssues[Qty Issued],tblIssues[Staff ID],$A373))</f>
        <v/>
      </c>
      <c r="G373" s="21" t="str">
        <f>IF($A373="","",SUMIFS(tblIssues[Line Cost],tblIssues[Staff ID],$A373))</f>
        <v/>
      </c>
      <c r="H373" s="24" t="str">
        <f>IF($A373="","",IF($E373=0,"",IFERROR(_xlfn.MAXIFS(tblIssues[Order Date],tblIssues[Staff ID],$A373),"")))</f>
        <v/>
      </c>
      <c r="I373" s="24" t="str">
        <f>IF($A373="","",IF($E373=0,"",IFERROR(_xlfn.MAXIFS(tblIssues[Next Scheduled],tblIssues[Staff ID],$A373),"")))</f>
        <v/>
      </c>
      <c r="J373" s="26" t="str">
        <f>IF($A373="","",COUNTIFS(tblIssues[Staff ID],$A373,tblIssues[Status],"Pending"))</f>
        <v/>
      </c>
    </row>
    <row r="374" spans="1:10" x14ac:dyDescent="0.35">
      <c r="A374" s="18" t="str">
        <f>IF('Staff Directory'!$A374="","",'Staff Directory'!$A374)</f>
        <v/>
      </c>
      <c r="B374" s="18" t="str">
        <f>IF($A374="","",'Staff Directory'!$B374)</f>
        <v/>
      </c>
      <c r="C374" s="19" t="str">
        <f>IF($A374="","",'Staff Directory'!$C374)</f>
        <v/>
      </c>
      <c r="D374" s="19" t="str">
        <f>IF($A374="","",'Staff Directory'!$D374)</f>
        <v/>
      </c>
      <c r="E374" s="26" t="str">
        <f>IF($A374="","",COUNTIFS(tblIssues[Staff ID],$A374))</f>
        <v/>
      </c>
      <c r="F374" s="26" t="str">
        <f>IF($A374="","",SUMIFS(tblIssues[Qty Issued],tblIssues[Staff ID],$A374))</f>
        <v/>
      </c>
      <c r="G374" s="21" t="str">
        <f>IF($A374="","",SUMIFS(tblIssues[Line Cost],tblIssues[Staff ID],$A374))</f>
        <v/>
      </c>
      <c r="H374" s="24" t="str">
        <f>IF($A374="","",IF($E374=0,"",IFERROR(_xlfn.MAXIFS(tblIssues[Order Date],tblIssues[Staff ID],$A374),"")))</f>
        <v/>
      </c>
      <c r="I374" s="24" t="str">
        <f>IF($A374="","",IF($E374=0,"",IFERROR(_xlfn.MAXIFS(tblIssues[Next Scheduled],tblIssues[Staff ID],$A374),"")))</f>
        <v/>
      </c>
      <c r="J374" s="26" t="str">
        <f>IF($A374="","",COUNTIFS(tblIssues[Staff ID],$A374,tblIssues[Status],"Pending"))</f>
        <v/>
      </c>
    </row>
    <row r="375" spans="1:10" x14ac:dyDescent="0.35">
      <c r="A375" s="18" t="str">
        <f>IF('Staff Directory'!$A375="","",'Staff Directory'!$A375)</f>
        <v/>
      </c>
      <c r="B375" s="18" t="str">
        <f>IF($A375="","",'Staff Directory'!$B375)</f>
        <v/>
      </c>
      <c r="C375" s="19" t="str">
        <f>IF($A375="","",'Staff Directory'!$C375)</f>
        <v/>
      </c>
      <c r="D375" s="19" t="str">
        <f>IF($A375="","",'Staff Directory'!$D375)</f>
        <v/>
      </c>
      <c r="E375" s="26" t="str">
        <f>IF($A375="","",COUNTIFS(tblIssues[Staff ID],$A375))</f>
        <v/>
      </c>
      <c r="F375" s="26" t="str">
        <f>IF($A375="","",SUMIFS(tblIssues[Qty Issued],tblIssues[Staff ID],$A375))</f>
        <v/>
      </c>
      <c r="G375" s="21" t="str">
        <f>IF($A375="","",SUMIFS(tblIssues[Line Cost],tblIssues[Staff ID],$A375))</f>
        <v/>
      </c>
      <c r="H375" s="24" t="str">
        <f>IF($A375="","",IF($E375=0,"",IFERROR(_xlfn.MAXIFS(tblIssues[Order Date],tblIssues[Staff ID],$A375),"")))</f>
        <v/>
      </c>
      <c r="I375" s="24" t="str">
        <f>IF($A375="","",IF($E375=0,"",IFERROR(_xlfn.MAXIFS(tblIssues[Next Scheduled],tblIssues[Staff ID],$A375),"")))</f>
        <v/>
      </c>
      <c r="J375" s="26" t="str">
        <f>IF($A375="","",COUNTIFS(tblIssues[Staff ID],$A375,tblIssues[Status],"Pending"))</f>
        <v/>
      </c>
    </row>
    <row r="376" spans="1:10" x14ac:dyDescent="0.35">
      <c r="A376" s="18" t="str">
        <f>IF('Staff Directory'!$A376="","",'Staff Directory'!$A376)</f>
        <v/>
      </c>
      <c r="B376" s="18" t="str">
        <f>IF($A376="","",'Staff Directory'!$B376)</f>
        <v/>
      </c>
      <c r="C376" s="19" t="str">
        <f>IF($A376="","",'Staff Directory'!$C376)</f>
        <v/>
      </c>
      <c r="D376" s="19" t="str">
        <f>IF($A376="","",'Staff Directory'!$D376)</f>
        <v/>
      </c>
      <c r="E376" s="26" t="str">
        <f>IF($A376="","",COUNTIFS(tblIssues[Staff ID],$A376))</f>
        <v/>
      </c>
      <c r="F376" s="26" t="str">
        <f>IF($A376="","",SUMIFS(tblIssues[Qty Issued],tblIssues[Staff ID],$A376))</f>
        <v/>
      </c>
      <c r="G376" s="21" t="str">
        <f>IF($A376="","",SUMIFS(tblIssues[Line Cost],tblIssues[Staff ID],$A376))</f>
        <v/>
      </c>
      <c r="H376" s="24" t="str">
        <f>IF($A376="","",IF($E376=0,"",IFERROR(_xlfn.MAXIFS(tblIssues[Order Date],tblIssues[Staff ID],$A376),"")))</f>
        <v/>
      </c>
      <c r="I376" s="24" t="str">
        <f>IF($A376="","",IF($E376=0,"",IFERROR(_xlfn.MAXIFS(tblIssues[Next Scheduled],tblIssues[Staff ID],$A376),"")))</f>
        <v/>
      </c>
      <c r="J376" s="26" t="str">
        <f>IF($A376="","",COUNTIFS(tblIssues[Staff ID],$A376,tblIssues[Status],"Pending"))</f>
        <v/>
      </c>
    </row>
    <row r="377" spans="1:10" x14ac:dyDescent="0.35">
      <c r="A377" s="18" t="str">
        <f>IF('Staff Directory'!$A377="","",'Staff Directory'!$A377)</f>
        <v/>
      </c>
      <c r="B377" s="18" t="str">
        <f>IF($A377="","",'Staff Directory'!$B377)</f>
        <v/>
      </c>
      <c r="C377" s="19" t="str">
        <f>IF($A377="","",'Staff Directory'!$C377)</f>
        <v/>
      </c>
      <c r="D377" s="19" t="str">
        <f>IF($A377="","",'Staff Directory'!$D377)</f>
        <v/>
      </c>
      <c r="E377" s="26" t="str">
        <f>IF($A377="","",COUNTIFS(tblIssues[Staff ID],$A377))</f>
        <v/>
      </c>
      <c r="F377" s="26" t="str">
        <f>IF($A377="","",SUMIFS(tblIssues[Qty Issued],tblIssues[Staff ID],$A377))</f>
        <v/>
      </c>
      <c r="G377" s="21" t="str">
        <f>IF($A377="","",SUMIFS(tblIssues[Line Cost],tblIssues[Staff ID],$A377))</f>
        <v/>
      </c>
      <c r="H377" s="24" t="str">
        <f>IF($A377="","",IF($E377=0,"",IFERROR(_xlfn.MAXIFS(tblIssues[Order Date],tblIssues[Staff ID],$A377),"")))</f>
        <v/>
      </c>
      <c r="I377" s="24" t="str">
        <f>IF($A377="","",IF($E377=0,"",IFERROR(_xlfn.MAXIFS(tblIssues[Next Scheduled],tblIssues[Staff ID],$A377),"")))</f>
        <v/>
      </c>
      <c r="J377" s="26" t="str">
        <f>IF($A377="","",COUNTIFS(tblIssues[Staff ID],$A377,tblIssues[Status],"Pending"))</f>
        <v/>
      </c>
    </row>
    <row r="378" spans="1:10" x14ac:dyDescent="0.35">
      <c r="A378" s="18" t="str">
        <f>IF('Staff Directory'!$A378="","",'Staff Directory'!$A378)</f>
        <v/>
      </c>
      <c r="B378" s="18" t="str">
        <f>IF($A378="","",'Staff Directory'!$B378)</f>
        <v/>
      </c>
      <c r="C378" s="19" t="str">
        <f>IF($A378="","",'Staff Directory'!$C378)</f>
        <v/>
      </c>
      <c r="D378" s="19" t="str">
        <f>IF($A378="","",'Staff Directory'!$D378)</f>
        <v/>
      </c>
      <c r="E378" s="26" t="str">
        <f>IF($A378="","",COUNTIFS(tblIssues[Staff ID],$A378))</f>
        <v/>
      </c>
      <c r="F378" s="26" t="str">
        <f>IF($A378="","",SUMIFS(tblIssues[Qty Issued],tblIssues[Staff ID],$A378))</f>
        <v/>
      </c>
      <c r="G378" s="21" t="str">
        <f>IF($A378="","",SUMIFS(tblIssues[Line Cost],tblIssues[Staff ID],$A378))</f>
        <v/>
      </c>
      <c r="H378" s="24" t="str">
        <f>IF($A378="","",IF($E378=0,"",IFERROR(_xlfn.MAXIFS(tblIssues[Order Date],tblIssues[Staff ID],$A378),"")))</f>
        <v/>
      </c>
      <c r="I378" s="24" t="str">
        <f>IF($A378="","",IF($E378=0,"",IFERROR(_xlfn.MAXIFS(tblIssues[Next Scheduled],tblIssues[Staff ID],$A378),"")))</f>
        <v/>
      </c>
      <c r="J378" s="26" t="str">
        <f>IF($A378="","",COUNTIFS(tblIssues[Staff ID],$A378,tblIssues[Status],"Pending"))</f>
        <v/>
      </c>
    </row>
    <row r="379" spans="1:10" x14ac:dyDescent="0.35">
      <c r="A379" s="18" t="str">
        <f>IF('Staff Directory'!$A379="","",'Staff Directory'!$A379)</f>
        <v/>
      </c>
      <c r="B379" s="18" t="str">
        <f>IF($A379="","",'Staff Directory'!$B379)</f>
        <v/>
      </c>
      <c r="C379" s="19" t="str">
        <f>IF($A379="","",'Staff Directory'!$C379)</f>
        <v/>
      </c>
      <c r="D379" s="19" t="str">
        <f>IF($A379="","",'Staff Directory'!$D379)</f>
        <v/>
      </c>
      <c r="E379" s="26" t="str">
        <f>IF($A379="","",COUNTIFS(tblIssues[Staff ID],$A379))</f>
        <v/>
      </c>
      <c r="F379" s="26" t="str">
        <f>IF($A379="","",SUMIFS(tblIssues[Qty Issued],tblIssues[Staff ID],$A379))</f>
        <v/>
      </c>
      <c r="G379" s="21" t="str">
        <f>IF($A379="","",SUMIFS(tblIssues[Line Cost],tblIssues[Staff ID],$A379))</f>
        <v/>
      </c>
      <c r="H379" s="24" t="str">
        <f>IF($A379="","",IF($E379=0,"",IFERROR(_xlfn.MAXIFS(tblIssues[Order Date],tblIssues[Staff ID],$A379),"")))</f>
        <v/>
      </c>
      <c r="I379" s="24" t="str">
        <f>IF($A379="","",IF($E379=0,"",IFERROR(_xlfn.MAXIFS(tblIssues[Next Scheduled],tblIssues[Staff ID],$A379),"")))</f>
        <v/>
      </c>
      <c r="J379" s="26" t="str">
        <f>IF($A379="","",COUNTIFS(tblIssues[Staff ID],$A379,tblIssues[Status],"Pending"))</f>
        <v/>
      </c>
    </row>
    <row r="380" spans="1:10" x14ac:dyDescent="0.35">
      <c r="A380" s="18" t="str">
        <f>IF('Staff Directory'!$A380="","",'Staff Directory'!$A380)</f>
        <v/>
      </c>
      <c r="B380" s="18" t="str">
        <f>IF($A380="","",'Staff Directory'!$B380)</f>
        <v/>
      </c>
      <c r="C380" s="19" t="str">
        <f>IF($A380="","",'Staff Directory'!$C380)</f>
        <v/>
      </c>
      <c r="D380" s="19" t="str">
        <f>IF($A380="","",'Staff Directory'!$D380)</f>
        <v/>
      </c>
      <c r="E380" s="26" t="str">
        <f>IF($A380="","",COUNTIFS(tblIssues[Staff ID],$A380))</f>
        <v/>
      </c>
      <c r="F380" s="26" t="str">
        <f>IF($A380="","",SUMIFS(tblIssues[Qty Issued],tblIssues[Staff ID],$A380))</f>
        <v/>
      </c>
      <c r="G380" s="21" t="str">
        <f>IF($A380="","",SUMIFS(tblIssues[Line Cost],tblIssues[Staff ID],$A380))</f>
        <v/>
      </c>
      <c r="H380" s="24" t="str">
        <f>IF($A380="","",IF($E380=0,"",IFERROR(_xlfn.MAXIFS(tblIssues[Order Date],tblIssues[Staff ID],$A380),"")))</f>
        <v/>
      </c>
      <c r="I380" s="24" t="str">
        <f>IF($A380="","",IF($E380=0,"",IFERROR(_xlfn.MAXIFS(tblIssues[Next Scheduled],tblIssues[Staff ID],$A380),"")))</f>
        <v/>
      </c>
      <c r="J380" s="26" t="str">
        <f>IF($A380="","",COUNTIFS(tblIssues[Staff ID],$A380,tblIssues[Status],"Pending"))</f>
        <v/>
      </c>
    </row>
    <row r="381" spans="1:10" x14ac:dyDescent="0.35">
      <c r="A381" s="18" t="str">
        <f>IF('Staff Directory'!$A381="","",'Staff Directory'!$A381)</f>
        <v/>
      </c>
      <c r="B381" s="18" t="str">
        <f>IF($A381="","",'Staff Directory'!$B381)</f>
        <v/>
      </c>
      <c r="C381" s="19" t="str">
        <f>IF($A381="","",'Staff Directory'!$C381)</f>
        <v/>
      </c>
      <c r="D381" s="19" t="str">
        <f>IF($A381="","",'Staff Directory'!$D381)</f>
        <v/>
      </c>
      <c r="E381" s="26" t="str">
        <f>IF($A381="","",COUNTIFS(tblIssues[Staff ID],$A381))</f>
        <v/>
      </c>
      <c r="F381" s="26" t="str">
        <f>IF($A381="","",SUMIFS(tblIssues[Qty Issued],tblIssues[Staff ID],$A381))</f>
        <v/>
      </c>
      <c r="G381" s="21" t="str">
        <f>IF($A381="","",SUMIFS(tblIssues[Line Cost],tblIssues[Staff ID],$A381))</f>
        <v/>
      </c>
      <c r="H381" s="24" t="str">
        <f>IF($A381="","",IF($E381=0,"",IFERROR(_xlfn.MAXIFS(tblIssues[Order Date],tblIssues[Staff ID],$A381),"")))</f>
        <v/>
      </c>
      <c r="I381" s="24" t="str">
        <f>IF($A381="","",IF($E381=0,"",IFERROR(_xlfn.MAXIFS(tblIssues[Next Scheduled],tblIssues[Staff ID],$A381),"")))</f>
        <v/>
      </c>
      <c r="J381" s="26" t="str">
        <f>IF($A381="","",COUNTIFS(tblIssues[Staff ID],$A381,tblIssues[Status],"Pending"))</f>
        <v/>
      </c>
    </row>
    <row r="382" spans="1:10" x14ac:dyDescent="0.35">
      <c r="A382" s="18" t="str">
        <f>IF('Staff Directory'!$A382="","",'Staff Directory'!$A382)</f>
        <v/>
      </c>
      <c r="B382" s="18" t="str">
        <f>IF($A382="","",'Staff Directory'!$B382)</f>
        <v/>
      </c>
      <c r="C382" s="19" t="str">
        <f>IF($A382="","",'Staff Directory'!$C382)</f>
        <v/>
      </c>
      <c r="D382" s="19" t="str">
        <f>IF($A382="","",'Staff Directory'!$D382)</f>
        <v/>
      </c>
      <c r="E382" s="26" t="str">
        <f>IF($A382="","",COUNTIFS(tblIssues[Staff ID],$A382))</f>
        <v/>
      </c>
      <c r="F382" s="26" t="str">
        <f>IF($A382="","",SUMIFS(tblIssues[Qty Issued],tblIssues[Staff ID],$A382))</f>
        <v/>
      </c>
      <c r="G382" s="21" t="str">
        <f>IF($A382="","",SUMIFS(tblIssues[Line Cost],tblIssues[Staff ID],$A382))</f>
        <v/>
      </c>
      <c r="H382" s="24" t="str">
        <f>IF($A382="","",IF($E382=0,"",IFERROR(_xlfn.MAXIFS(tblIssues[Order Date],tblIssues[Staff ID],$A382),"")))</f>
        <v/>
      </c>
      <c r="I382" s="24" t="str">
        <f>IF($A382="","",IF($E382=0,"",IFERROR(_xlfn.MAXIFS(tblIssues[Next Scheduled],tblIssues[Staff ID],$A382),"")))</f>
        <v/>
      </c>
      <c r="J382" s="26" t="str">
        <f>IF($A382="","",COUNTIFS(tblIssues[Staff ID],$A382,tblIssues[Status],"Pending"))</f>
        <v/>
      </c>
    </row>
    <row r="383" spans="1:10" x14ac:dyDescent="0.35">
      <c r="A383" s="18" t="str">
        <f>IF('Staff Directory'!$A383="","",'Staff Directory'!$A383)</f>
        <v/>
      </c>
      <c r="B383" s="18" t="str">
        <f>IF($A383="","",'Staff Directory'!$B383)</f>
        <v/>
      </c>
      <c r="C383" s="19" t="str">
        <f>IF($A383="","",'Staff Directory'!$C383)</f>
        <v/>
      </c>
      <c r="D383" s="19" t="str">
        <f>IF($A383="","",'Staff Directory'!$D383)</f>
        <v/>
      </c>
      <c r="E383" s="26" t="str">
        <f>IF($A383="","",COUNTIFS(tblIssues[Staff ID],$A383))</f>
        <v/>
      </c>
      <c r="F383" s="26" t="str">
        <f>IF($A383="","",SUMIFS(tblIssues[Qty Issued],tblIssues[Staff ID],$A383))</f>
        <v/>
      </c>
      <c r="G383" s="21" t="str">
        <f>IF($A383="","",SUMIFS(tblIssues[Line Cost],tblIssues[Staff ID],$A383))</f>
        <v/>
      </c>
      <c r="H383" s="24" t="str">
        <f>IF($A383="","",IF($E383=0,"",IFERROR(_xlfn.MAXIFS(tblIssues[Order Date],tblIssues[Staff ID],$A383),"")))</f>
        <v/>
      </c>
      <c r="I383" s="24" t="str">
        <f>IF($A383="","",IF($E383=0,"",IFERROR(_xlfn.MAXIFS(tblIssues[Next Scheduled],tblIssues[Staff ID],$A383),"")))</f>
        <v/>
      </c>
      <c r="J383" s="26" t="str">
        <f>IF($A383="","",COUNTIFS(tblIssues[Staff ID],$A383,tblIssues[Status],"Pending"))</f>
        <v/>
      </c>
    </row>
    <row r="384" spans="1:10" x14ac:dyDescent="0.35">
      <c r="A384" s="18" t="str">
        <f>IF('Staff Directory'!$A384="","",'Staff Directory'!$A384)</f>
        <v/>
      </c>
      <c r="B384" s="18" t="str">
        <f>IF($A384="","",'Staff Directory'!$B384)</f>
        <v/>
      </c>
      <c r="C384" s="19" t="str">
        <f>IF($A384="","",'Staff Directory'!$C384)</f>
        <v/>
      </c>
      <c r="D384" s="19" t="str">
        <f>IF($A384="","",'Staff Directory'!$D384)</f>
        <v/>
      </c>
      <c r="E384" s="26" t="str">
        <f>IF($A384="","",COUNTIFS(tblIssues[Staff ID],$A384))</f>
        <v/>
      </c>
      <c r="F384" s="26" t="str">
        <f>IF($A384="","",SUMIFS(tblIssues[Qty Issued],tblIssues[Staff ID],$A384))</f>
        <v/>
      </c>
      <c r="G384" s="21" t="str">
        <f>IF($A384="","",SUMIFS(tblIssues[Line Cost],tblIssues[Staff ID],$A384))</f>
        <v/>
      </c>
      <c r="H384" s="24" t="str">
        <f>IF($A384="","",IF($E384=0,"",IFERROR(_xlfn.MAXIFS(tblIssues[Order Date],tblIssues[Staff ID],$A384),"")))</f>
        <v/>
      </c>
      <c r="I384" s="24" t="str">
        <f>IF($A384="","",IF($E384=0,"",IFERROR(_xlfn.MAXIFS(tblIssues[Next Scheduled],tblIssues[Staff ID],$A384),"")))</f>
        <v/>
      </c>
      <c r="J384" s="26" t="str">
        <f>IF($A384="","",COUNTIFS(tblIssues[Staff ID],$A384,tblIssues[Status],"Pending"))</f>
        <v/>
      </c>
    </row>
    <row r="385" spans="1:10" x14ac:dyDescent="0.35">
      <c r="A385" s="18" t="str">
        <f>IF('Staff Directory'!$A385="","",'Staff Directory'!$A385)</f>
        <v/>
      </c>
      <c r="B385" s="18" t="str">
        <f>IF($A385="","",'Staff Directory'!$B385)</f>
        <v/>
      </c>
      <c r="C385" s="19" t="str">
        <f>IF($A385="","",'Staff Directory'!$C385)</f>
        <v/>
      </c>
      <c r="D385" s="19" t="str">
        <f>IF($A385="","",'Staff Directory'!$D385)</f>
        <v/>
      </c>
      <c r="E385" s="26" t="str">
        <f>IF($A385="","",COUNTIFS(tblIssues[Staff ID],$A385))</f>
        <v/>
      </c>
      <c r="F385" s="26" t="str">
        <f>IF($A385="","",SUMIFS(tblIssues[Qty Issued],tblIssues[Staff ID],$A385))</f>
        <v/>
      </c>
      <c r="G385" s="21" t="str">
        <f>IF($A385="","",SUMIFS(tblIssues[Line Cost],tblIssues[Staff ID],$A385))</f>
        <v/>
      </c>
      <c r="H385" s="24" t="str">
        <f>IF($A385="","",IF($E385=0,"",IFERROR(_xlfn.MAXIFS(tblIssues[Order Date],tblIssues[Staff ID],$A385),"")))</f>
        <v/>
      </c>
      <c r="I385" s="24" t="str">
        <f>IF($A385="","",IF($E385=0,"",IFERROR(_xlfn.MAXIFS(tblIssues[Next Scheduled],tblIssues[Staff ID],$A385),"")))</f>
        <v/>
      </c>
      <c r="J385" s="26" t="str">
        <f>IF($A385="","",COUNTIFS(tblIssues[Staff ID],$A385,tblIssues[Status],"Pending"))</f>
        <v/>
      </c>
    </row>
    <row r="386" spans="1:10" x14ac:dyDescent="0.35">
      <c r="A386" s="18" t="str">
        <f>IF('Staff Directory'!$A386="","",'Staff Directory'!$A386)</f>
        <v/>
      </c>
      <c r="B386" s="18" t="str">
        <f>IF($A386="","",'Staff Directory'!$B386)</f>
        <v/>
      </c>
      <c r="C386" s="19" t="str">
        <f>IF($A386="","",'Staff Directory'!$C386)</f>
        <v/>
      </c>
      <c r="D386" s="19" t="str">
        <f>IF($A386="","",'Staff Directory'!$D386)</f>
        <v/>
      </c>
      <c r="E386" s="26" t="str">
        <f>IF($A386="","",COUNTIFS(tblIssues[Staff ID],$A386))</f>
        <v/>
      </c>
      <c r="F386" s="26" t="str">
        <f>IF($A386="","",SUMIFS(tblIssues[Qty Issued],tblIssues[Staff ID],$A386))</f>
        <v/>
      </c>
      <c r="G386" s="21" t="str">
        <f>IF($A386="","",SUMIFS(tblIssues[Line Cost],tblIssues[Staff ID],$A386))</f>
        <v/>
      </c>
      <c r="H386" s="24" t="str">
        <f>IF($A386="","",IF($E386=0,"",IFERROR(_xlfn.MAXIFS(tblIssues[Order Date],tblIssues[Staff ID],$A386),"")))</f>
        <v/>
      </c>
      <c r="I386" s="24" t="str">
        <f>IF($A386="","",IF($E386=0,"",IFERROR(_xlfn.MAXIFS(tblIssues[Next Scheduled],tblIssues[Staff ID],$A386),"")))</f>
        <v/>
      </c>
      <c r="J386" s="26" t="str">
        <f>IF($A386="","",COUNTIFS(tblIssues[Staff ID],$A386,tblIssues[Status],"Pending"))</f>
        <v/>
      </c>
    </row>
    <row r="387" spans="1:10" x14ac:dyDescent="0.35">
      <c r="A387" s="18" t="str">
        <f>IF('Staff Directory'!$A387="","",'Staff Directory'!$A387)</f>
        <v/>
      </c>
      <c r="B387" s="18" t="str">
        <f>IF($A387="","",'Staff Directory'!$B387)</f>
        <v/>
      </c>
      <c r="C387" s="19" t="str">
        <f>IF($A387="","",'Staff Directory'!$C387)</f>
        <v/>
      </c>
      <c r="D387" s="19" t="str">
        <f>IF($A387="","",'Staff Directory'!$D387)</f>
        <v/>
      </c>
      <c r="E387" s="26" t="str">
        <f>IF($A387="","",COUNTIFS(tblIssues[Staff ID],$A387))</f>
        <v/>
      </c>
      <c r="F387" s="26" t="str">
        <f>IF($A387="","",SUMIFS(tblIssues[Qty Issued],tblIssues[Staff ID],$A387))</f>
        <v/>
      </c>
      <c r="G387" s="21" t="str">
        <f>IF($A387="","",SUMIFS(tblIssues[Line Cost],tblIssues[Staff ID],$A387))</f>
        <v/>
      </c>
      <c r="H387" s="24" t="str">
        <f>IF($A387="","",IF($E387=0,"",IFERROR(_xlfn.MAXIFS(tblIssues[Order Date],tblIssues[Staff ID],$A387),"")))</f>
        <v/>
      </c>
      <c r="I387" s="24" t="str">
        <f>IF($A387="","",IF($E387=0,"",IFERROR(_xlfn.MAXIFS(tblIssues[Next Scheduled],tblIssues[Staff ID],$A387),"")))</f>
        <v/>
      </c>
      <c r="J387" s="26" t="str">
        <f>IF($A387="","",COUNTIFS(tblIssues[Staff ID],$A387,tblIssues[Status],"Pending"))</f>
        <v/>
      </c>
    </row>
    <row r="388" spans="1:10" x14ac:dyDescent="0.35">
      <c r="A388" s="18" t="str">
        <f>IF('Staff Directory'!$A388="","",'Staff Directory'!$A388)</f>
        <v/>
      </c>
      <c r="B388" s="18" t="str">
        <f>IF($A388="","",'Staff Directory'!$B388)</f>
        <v/>
      </c>
      <c r="C388" s="19" t="str">
        <f>IF($A388="","",'Staff Directory'!$C388)</f>
        <v/>
      </c>
      <c r="D388" s="19" t="str">
        <f>IF($A388="","",'Staff Directory'!$D388)</f>
        <v/>
      </c>
      <c r="E388" s="26" t="str">
        <f>IF($A388="","",COUNTIFS(tblIssues[Staff ID],$A388))</f>
        <v/>
      </c>
      <c r="F388" s="26" t="str">
        <f>IF($A388="","",SUMIFS(tblIssues[Qty Issued],tblIssues[Staff ID],$A388))</f>
        <v/>
      </c>
      <c r="G388" s="21" t="str">
        <f>IF($A388="","",SUMIFS(tblIssues[Line Cost],tblIssues[Staff ID],$A388))</f>
        <v/>
      </c>
      <c r="H388" s="24" t="str">
        <f>IF($A388="","",IF($E388=0,"",IFERROR(_xlfn.MAXIFS(tblIssues[Order Date],tblIssues[Staff ID],$A388),"")))</f>
        <v/>
      </c>
      <c r="I388" s="24" t="str">
        <f>IF($A388="","",IF($E388=0,"",IFERROR(_xlfn.MAXIFS(tblIssues[Next Scheduled],tblIssues[Staff ID],$A388),"")))</f>
        <v/>
      </c>
      <c r="J388" s="26" t="str">
        <f>IF($A388="","",COUNTIFS(tblIssues[Staff ID],$A388,tblIssues[Status],"Pending"))</f>
        <v/>
      </c>
    </row>
    <row r="389" spans="1:10" x14ac:dyDescent="0.35">
      <c r="A389" s="18" t="str">
        <f>IF('Staff Directory'!$A389="","",'Staff Directory'!$A389)</f>
        <v/>
      </c>
      <c r="B389" s="18" t="str">
        <f>IF($A389="","",'Staff Directory'!$B389)</f>
        <v/>
      </c>
      <c r="C389" s="19" t="str">
        <f>IF($A389="","",'Staff Directory'!$C389)</f>
        <v/>
      </c>
      <c r="D389" s="19" t="str">
        <f>IF($A389="","",'Staff Directory'!$D389)</f>
        <v/>
      </c>
      <c r="E389" s="26" t="str">
        <f>IF($A389="","",COUNTIFS(tblIssues[Staff ID],$A389))</f>
        <v/>
      </c>
      <c r="F389" s="26" t="str">
        <f>IF($A389="","",SUMIFS(tblIssues[Qty Issued],tblIssues[Staff ID],$A389))</f>
        <v/>
      </c>
      <c r="G389" s="21" t="str">
        <f>IF($A389="","",SUMIFS(tblIssues[Line Cost],tblIssues[Staff ID],$A389))</f>
        <v/>
      </c>
      <c r="H389" s="24" t="str">
        <f>IF($A389="","",IF($E389=0,"",IFERROR(_xlfn.MAXIFS(tblIssues[Order Date],tblIssues[Staff ID],$A389),"")))</f>
        <v/>
      </c>
      <c r="I389" s="24" t="str">
        <f>IF($A389="","",IF($E389=0,"",IFERROR(_xlfn.MAXIFS(tblIssues[Next Scheduled],tblIssues[Staff ID],$A389),"")))</f>
        <v/>
      </c>
      <c r="J389" s="26" t="str">
        <f>IF($A389="","",COUNTIFS(tblIssues[Staff ID],$A389,tblIssues[Status],"Pending"))</f>
        <v/>
      </c>
    </row>
    <row r="390" spans="1:10" x14ac:dyDescent="0.35">
      <c r="A390" s="18" t="str">
        <f>IF('Staff Directory'!$A390="","",'Staff Directory'!$A390)</f>
        <v/>
      </c>
      <c r="B390" s="18" t="str">
        <f>IF($A390="","",'Staff Directory'!$B390)</f>
        <v/>
      </c>
      <c r="C390" s="19" t="str">
        <f>IF($A390="","",'Staff Directory'!$C390)</f>
        <v/>
      </c>
      <c r="D390" s="19" t="str">
        <f>IF($A390="","",'Staff Directory'!$D390)</f>
        <v/>
      </c>
      <c r="E390" s="26" t="str">
        <f>IF($A390="","",COUNTIFS(tblIssues[Staff ID],$A390))</f>
        <v/>
      </c>
      <c r="F390" s="26" t="str">
        <f>IF($A390="","",SUMIFS(tblIssues[Qty Issued],tblIssues[Staff ID],$A390))</f>
        <v/>
      </c>
      <c r="G390" s="21" t="str">
        <f>IF($A390="","",SUMIFS(tblIssues[Line Cost],tblIssues[Staff ID],$A390))</f>
        <v/>
      </c>
      <c r="H390" s="24" t="str">
        <f>IF($A390="","",IF($E390=0,"",IFERROR(_xlfn.MAXIFS(tblIssues[Order Date],tblIssues[Staff ID],$A390),"")))</f>
        <v/>
      </c>
      <c r="I390" s="24" t="str">
        <f>IF($A390="","",IF($E390=0,"",IFERROR(_xlfn.MAXIFS(tblIssues[Next Scheduled],tblIssues[Staff ID],$A390),"")))</f>
        <v/>
      </c>
      <c r="J390" s="26" t="str">
        <f>IF($A390="","",COUNTIFS(tblIssues[Staff ID],$A390,tblIssues[Status],"Pending"))</f>
        <v/>
      </c>
    </row>
    <row r="391" spans="1:10" x14ac:dyDescent="0.35">
      <c r="A391" s="18" t="str">
        <f>IF('Staff Directory'!$A391="","",'Staff Directory'!$A391)</f>
        <v/>
      </c>
      <c r="B391" s="18" t="str">
        <f>IF($A391="","",'Staff Directory'!$B391)</f>
        <v/>
      </c>
      <c r="C391" s="19" t="str">
        <f>IF($A391="","",'Staff Directory'!$C391)</f>
        <v/>
      </c>
      <c r="D391" s="19" t="str">
        <f>IF($A391="","",'Staff Directory'!$D391)</f>
        <v/>
      </c>
      <c r="E391" s="26" t="str">
        <f>IF($A391="","",COUNTIFS(tblIssues[Staff ID],$A391))</f>
        <v/>
      </c>
      <c r="F391" s="26" t="str">
        <f>IF($A391="","",SUMIFS(tblIssues[Qty Issued],tblIssues[Staff ID],$A391))</f>
        <v/>
      </c>
      <c r="G391" s="21" t="str">
        <f>IF($A391="","",SUMIFS(tblIssues[Line Cost],tblIssues[Staff ID],$A391))</f>
        <v/>
      </c>
      <c r="H391" s="24" t="str">
        <f>IF($A391="","",IF($E391=0,"",IFERROR(_xlfn.MAXIFS(tblIssues[Order Date],tblIssues[Staff ID],$A391),"")))</f>
        <v/>
      </c>
      <c r="I391" s="24" t="str">
        <f>IF($A391="","",IF($E391=0,"",IFERROR(_xlfn.MAXIFS(tblIssues[Next Scheduled],tblIssues[Staff ID],$A391),"")))</f>
        <v/>
      </c>
      <c r="J391" s="26" t="str">
        <f>IF($A391="","",COUNTIFS(tblIssues[Staff ID],$A391,tblIssues[Status],"Pending"))</f>
        <v/>
      </c>
    </row>
    <row r="392" spans="1:10" x14ac:dyDescent="0.35">
      <c r="A392" s="18" t="str">
        <f>IF('Staff Directory'!$A392="","",'Staff Directory'!$A392)</f>
        <v/>
      </c>
      <c r="B392" s="18" t="str">
        <f>IF($A392="","",'Staff Directory'!$B392)</f>
        <v/>
      </c>
      <c r="C392" s="19" t="str">
        <f>IF($A392="","",'Staff Directory'!$C392)</f>
        <v/>
      </c>
      <c r="D392" s="19" t="str">
        <f>IF($A392="","",'Staff Directory'!$D392)</f>
        <v/>
      </c>
      <c r="E392" s="26" t="str">
        <f>IF($A392="","",COUNTIFS(tblIssues[Staff ID],$A392))</f>
        <v/>
      </c>
      <c r="F392" s="26" t="str">
        <f>IF($A392="","",SUMIFS(tblIssues[Qty Issued],tblIssues[Staff ID],$A392))</f>
        <v/>
      </c>
      <c r="G392" s="21" t="str">
        <f>IF($A392="","",SUMIFS(tblIssues[Line Cost],tblIssues[Staff ID],$A392))</f>
        <v/>
      </c>
      <c r="H392" s="24" t="str">
        <f>IF($A392="","",IF($E392=0,"",IFERROR(_xlfn.MAXIFS(tblIssues[Order Date],tblIssues[Staff ID],$A392),"")))</f>
        <v/>
      </c>
      <c r="I392" s="24" t="str">
        <f>IF($A392="","",IF($E392=0,"",IFERROR(_xlfn.MAXIFS(tblIssues[Next Scheduled],tblIssues[Staff ID],$A392),"")))</f>
        <v/>
      </c>
      <c r="J392" s="26" t="str">
        <f>IF($A392="","",COUNTIFS(tblIssues[Staff ID],$A392,tblIssues[Status],"Pending"))</f>
        <v/>
      </c>
    </row>
    <row r="393" spans="1:10" x14ac:dyDescent="0.35">
      <c r="A393" s="18" t="str">
        <f>IF('Staff Directory'!$A393="","",'Staff Directory'!$A393)</f>
        <v/>
      </c>
      <c r="B393" s="18" t="str">
        <f>IF($A393="","",'Staff Directory'!$B393)</f>
        <v/>
      </c>
      <c r="C393" s="19" t="str">
        <f>IF($A393="","",'Staff Directory'!$C393)</f>
        <v/>
      </c>
      <c r="D393" s="19" t="str">
        <f>IF($A393="","",'Staff Directory'!$D393)</f>
        <v/>
      </c>
      <c r="E393" s="26" t="str">
        <f>IF($A393="","",COUNTIFS(tblIssues[Staff ID],$A393))</f>
        <v/>
      </c>
      <c r="F393" s="26" t="str">
        <f>IF($A393="","",SUMIFS(tblIssues[Qty Issued],tblIssues[Staff ID],$A393))</f>
        <v/>
      </c>
      <c r="G393" s="21" t="str">
        <f>IF($A393="","",SUMIFS(tblIssues[Line Cost],tblIssues[Staff ID],$A393))</f>
        <v/>
      </c>
      <c r="H393" s="24" t="str">
        <f>IF($A393="","",IF($E393=0,"",IFERROR(_xlfn.MAXIFS(tblIssues[Order Date],tblIssues[Staff ID],$A393),"")))</f>
        <v/>
      </c>
      <c r="I393" s="24" t="str">
        <f>IF($A393="","",IF($E393=0,"",IFERROR(_xlfn.MAXIFS(tblIssues[Next Scheduled],tblIssues[Staff ID],$A393),"")))</f>
        <v/>
      </c>
      <c r="J393" s="26" t="str">
        <f>IF($A393="","",COUNTIFS(tblIssues[Staff ID],$A393,tblIssues[Status],"Pending"))</f>
        <v/>
      </c>
    </row>
    <row r="394" spans="1:10" x14ac:dyDescent="0.35">
      <c r="A394" s="18" t="str">
        <f>IF('Staff Directory'!$A394="","",'Staff Directory'!$A394)</f>
        <v/>
      </c>
      <c r="B394" s="18" t="str">
        <f>IF($A394="","",'Staff Directory'!$B394)</f>
        <v/>
      </c>
      <c r="C394" s="19" t="str">
        <f>IF($A394="","",'Staff Directory'!$C394)</f>
        <v/>
      </c>
      <c r="D394" s="19" t="str">
        <f>IF($A394="","",'Staff Directory'!$D394)</f>
        <v/>
      </c>
      <c r="E394" s="26" t="str">
        <f>IF($A394="","",COUNTIFS(tblIssues[Staff ID],$A394))</f>
        <v/>
      </c>
      <c r="F394" s="26" t="str">
        <f>IF($A394="","",SUMIFS(tblIssues[Qty Issued],tblIssues[Staff ID],$A394))</f>
        <v/>
      </c>
      <c r="G394" s="21" t="str">
        <f>IF($A394="","",SUMIFS(tblIssues[Line Cost],tblIssues[Staff ID],$A394))</f>
        <v/>
      </c>
      <c r="H394" s="24" t="str">
        <f>IF($A394="","",IF($E394=0,"",IFERROR(_xlfn.MAXIFS(tblIssues[Order Date],tblIssues[Staff ID],$A394),"")))</f>
        <v/>
      </c>
      <c r="I394" s="24" t="str">
        <f>IF($A394="","",IF($E394=0,"",IFERROR(_xlfn.MAXIFS(tblIssues[Next Scheduled],tblIssues[Staff ID],$A394),"")))</f>
        <v/>
      </c>
      <c r="J394" s="26" t="str">
        <f>IF($A394="","",COUNTIFS(tblIssues[Staff ID],$A394,tblIssues[Status],"Pending"))</f>
        <v/>
      </c>
    </row>
    <row r="395" spans="1:10" x14ac:dyDescent="0.35">
      <c r="A395" s="18" t="str">
        <f>IF('Staff Directory'!$A395="","",'Staff Directory'!$A395)</f>
        <v/>
      </c>
      <c r="B395" s="18" t="str">
        <f>IF($A395="","",'Staff Directory'!$B395)</f>
        <v/>
      </c>
      <c r="C395" s="19" t="str">
        <f>IF($A395="","",'Staff Directory'!$C395)</f>
        <v/>
      </c>
      <c r="D395" s="19" t="str">
        <f>IF($A395="","",'Staff Directory'!$D395)</f>
        <v/>
      </c>
      <c r="E395" s="26" t="str">
        <f>IF($A395="","",COUNTIFS(tblIssues[Staff ID],$A395))</f>
        <v/>
      </c>
      <c r="F395" s="26" t="str">
        <f>IF($A395="","",SUMIFS(tblIssues[Qty Issued],tblIssues[Staff ID],$A395))</f>
        <v/>
      </c>
      <c r="G395" s="21" t="str">
        <f>IF($A395="","",SUMIFS(tblIssues[Line Cost],tblIssues[Staff ID],$A395))</f>
        <v/>
      </c>
      <c r="H395" s="24" t="str">
        <f>IF($A395="","",IF($E395=0,"",IFERROR(_xlfn.MAXIFS(tblIssues[Order Date],tblIssues[Staff ID],$A395),"")))</f>
        <v/>
      </c>
      <c r="I395" s="24" t="str">
        <f>IF($A395="","",IF($E395=0,"",IFERROR(_xlfn.MAXIFS(tblIssues[Next Scheduled],tblIssues[Staff ID],$A395),"")))</f>
        <v/>
      </c>
      <c r="J395" s="26" t="str">
        <f>IF($A395="","",COUNTIFS(tblIssues[Staff ID],$A395,tblIssues[Status],"Pending"))</f>
        <v/>
      </c>
    </row>
    <row r="396" spans="1:10" x14ac:dyDescent="0.35">
      <c r="A396" s="18" t="str">
        <f>IF('Staff Directory'!$A396="","",'Staff Directory'!$A396)</f>
        <v/>
      </c>
      <c r="B396" s="18" t="str">
        <f>IF($A396="","",'Staff Directory'!$B396)</f>
        <v/>
      </c>
      <c r="C396" s="19" t="str">
        <f>IF($A396="","",'Staff Directory'!$C396)</f>
        <v/>
      </c>
      <c r="D396" s="19" t="str">
        <f>IF($A396="","",'Staff Directory'!$D396)</f>
        <v/>
      </c>
      <c r="E396" s="26" t="str">
        <f>IF($A396="","",COUNTIFS(tblIssues[Staff ID],$A396))</f>
        <v/>
      </c>
      <c r="F396" s="26" t="str">
        <f>IF($A396="","",SUMIFS(tblIssues[Qty Issued],tblIssues[Staff ID],$A396))</f>
        <v/>
      </c>
      <c r="G396" s="21" t="str">
        <f>IF($A396="","",SUMIFS(tblIssues[Line Cost],tblIssues[Staff ID],$A396))</f>
        <v/>
      </c>
      <c r="H396" s="24" t="str">
        <f>IF($A396="","",IF($E396=0,"",IFERROR(_xlfn.MAXIFS(tblIssues[Order Date],tblIssues[Staff ID],$A396),"")))</f>
        <v/>
      </c>
      <c r="I396" s="24" t="str">
        <f>IF($A396="","",IF($E396=0,"",IFERROR(_xlfn.MAXIFS(tblIssues[Next Scheduled],tblIssues[Staff ID],$A396),"")))</f>
        <v/>
      </c>
      <c r="J396" s="26" t="str">
        <f>IF($A396="","",COUNTIFS(tblIssues[Staff ID],$A396,tblIssues[Status],"Pending"))</f>
        <v/>
      </c>
    </row>
    <row r="397" spans="1:10" x14ac:dyDescent="0.35">
      <c r="A397" s="18" t="str">
        <f>IF('Staff Directory'!$A397="","",'Staff Directory'!$A397)</f>
        <v/>
      </c>
      <c r="B397" s="18" t="str">
        <f>IF($A397="","",'Staff Directory'!$B397)</f>
        <v/>
      </c>
      <c r="C397" s="19" t="str">
        <f>IF($A397="","",'Staff Directory'!$C397)</f>
        <v/>
      </c>
      <c r="D397" s="19" t="str">
        <f>IF($A397="","",'Staff Directory'!$D397)</f>
        <v/>
      </c>
      <c r="E397" s="26" t="str">
        <f>IF($A397="","",COUNTIFS(tblIssues[Staff ID],$A397))</f>
        <v/>
      </c>
      <c r="F397" s="26" t="str">
        <f>IF($A397="","",SUMIFS(tblIssues[Qty Issued],tblIssues[Staff ID],$A397))</f>
        <v/>
      </c>
      <c r="G397" s="21" t="str">
        <f>IF($A397="","",SUMIFS(tblIssues[Line Cost],tblIssues[Staff ID],$A397))</f>
        <v/>
      </c>
      <c r="H397" s="24" t="str">
        <f>IF($A397="","",IF($E397=0,"",IFERROR(_xlfn.MAXIFS(tblIssues[Order Date],tblIssues[Staff ID],$A397),"")))</f>
        <v/>
      </c>
      <c r="I397" s="24" t="str">
        <f>IF($A397="","",IF($E397=0,"",IFERROR(_xlfn.MAXIFS(tblIssues[Next Scheduled],tblIssues[Staff ID],$A397),"")))</f>
        <v/>
      </c>
      <c r="J397" s="26" t="str">
        <f>IF($A397="","",COUNTIFS(tblIssues[Staff ID],$A397,tblIssues[Status],"Pending"))</f>
        <v/>
      </c>
    </row>
    <row r="398" spans="1:10" x14ac:dyDescent="0.35">
      <c r="A398" s="18" t="str">
        <f>IF('Staff Directory'!$A398="","",'Staff Directory'!$A398)</f>
        <v/>
      </c>
      <c r="B398" s="18" t="str">
        <f>IF($A398="","",'Staff Directory'!$B398)</f>
        <v/>
      </c>
      <c r="C398" s="19" t="str">
        <f>IF($A398="","",'Staff Directory'!$C398)</f>
        <v/>
      </c>
      <c r="D398" s="19" t="str">
        <f>IF($A398="","",'Staff Directory'!$D398)</f>
        <v/>
      </c>
      <c r="E398" s="26" t="str">
        <f>IF($A398="","",COUNTIFS(tblIssues[Staff ID],$A398))</f>
        <v/>
      </c>
      <c r="F398" s="26" t="str">
        <f>IF($A398="","",SUMIFS(tblIssues[Qty Issued],tblIssues[Staff ID],$A398))</f>
        <v/>
      </c>
      <c r="G398" s="21" t="str">
        <f>IF($A398="","",SUMIFS(tblIssues[Line Cost],tblIssues[Staff ID],$A398))</f>
        <v/>
      </c>
      <c r="H398" s="24" t="str">
        <f>IF($A398="","",IF($E398=0,"",IFERROR(_xlfn.MAXIFS(tblIssues[Order Date],tblIssues[Staff ID],$A398),"")))</f>
        <v/>
      </c>
      <c r="I398" s="24" t="str">
        <f>IF($A398="","",IF($E398=0,"",IFERROR(_xlfn.MAXIFS(tblIssues[Next Scheduled],tblIssues[Staff ID],$A398),"")))</f>
        <v/>
      </c>
      <c r="J398" s="26" t="str">
        <f>IF($A398="","",COUNTIFS(tblIssues[Staff ID],$A398,tblIssues[Status],"Pending"))</f>
        <v/>
      </c>
    </row>
    <row r="399" spans="1:10" x14ac:dyDescent="0.35">
      <c r="A399" s="18" t="str">
        <f>IF('Staff Directory'!$A399="","",'Staff Directory'!$A399)</f>
        <v/>
      </c>
      <c r="B399" s="18" t="str">
        <f>IF($A399="","",'Staff Directory'!$B399)</f>
        <v/>
      </c>
      <c r="C399" s="19" t="str">
        <f>IF($A399="","",'Staff Directory'!$C399)</f>
        <v/>
      </c>
      <c r="D399" s="19" t="str">
        <f>IF($A399="","",'Staff Directory'!$D399)</f>
        <v/>
      </c>
      <c r="E399" s="26" t="str">
        <f>IF($A399="","",COUNTIFS(tblIssues[Staff ID],$A399))</f>
        <v/>
      </c>
      <c r="F399" s="26" t="str">
        <f>IF($A399="","",SUMIFS(tblIssues[Qty Issued],tblIssues[Staff ID],$A399))</f>
        <v/>
      </c>
      <c r="G399" s="21" t="str">
        <f>IF($A399="","",SUMIFS(tblIssues[Line Cost],tblIssues[Staff ID],$A399))</f>
        <v/>
      </c>
      <c r="H399" s="24" t="str">
        <f>IF($A399="","",IF($E399=0,"",IFERROR(_xlfn.MAXIFS(tblIssues[Order Date],tblIssues[Staff ID],$A399),"")))</f>
        <v/>
      </c>
      <c r="I399" s="24" t="str">
        <f>IF($A399="","",IF($E399=0,"",IFERROR(_xlfn.MAXIFS(tblIssues[Next Scheduled],tblIssues[Staff ID],$A399),"")))</f>
        <v/>
      </c>
      <c r="J399" s="26" t="str">
        <f>IF($A399="","",COUNTIFS(tblIssues[Staff ID],$A399,tblIssues[Status],"Pending"))</f>
        <v/>
      </c>
    </row>
    <row r="400" spans="1:10" x14ac:dyDescent="0.35">
      <c r="A400" s="18" t="str">
        <f>IF('Staff Directory'!$A400="","",'Staff Directory'!$A400)</f>
        <v/>
      </c>
      <c r="B400" s="18" t="str">
        <f>IF($A400="","",'Staff Directory'!$B400)</f>
        <v/>
      </c>
      <c r="C400" s="19" t="str">
        <f>IF($A400="","",'Staff Directory'!$C400)</f>
        <v/>
      </c>
      <c r="D400" s="19" t="str">
        <f>IF($A400="","",'Staff Directory'!$D400)</f>
        <v/>
      </c>
      <c r="E400" s="26" t="str">
        <f>IF($A400="","",COUNTIFS(tblIssues[Staff ID],$A400))</f>
        <v/>
      </c>
      <c r="F400" s="26" t="str">
        <f>IF($A400="","",SUMIFS(tblIssues[Qty Issued],tblIssues[Staff ID],$A400))</f>
        <v/>
      </c>
      <c r="G400" s="21" t="str">
        <f>IF($A400="","",SUMIFS(tblIssues[Line Cost],tblIssues[Staff ID],$A400))</f>
        <v/>
      </c>
      <c r="H400" s="24" t="str">
        <f>IF($A400="","",IF($E400=0,"",IFERROR(_xlfn.MAXIFS(tblIssues[Order Date],tblIssues[Staff ID],$A400),"")))</f>
        <v/>
      </c>
      <c r="I400" s="24" t="str">
        <f>IF($A400="","",IF($E400=0,"",IFERROR(_xlfn.MAXIFS(tblIssues[Next Scheduled],tblIssues[Staff ID],$A400),"")))</f>
        <v/>
      </c>
      <c r="J400" s="26" t="str">
        <f>IF($A400="","",COUNTIFS(tblIssues[Staff ID],$A400,tblIssues[Status],"Pending"))</f>
        <v/>
      </c>
    </row>
    <row r="401" spans="1:10" x14ac:dyDescent="0.35">
      <c r="A401" s="18" t="str">
        <f>IF('Staff Directory'!$A401="","",'Staff Directory'!$A401)</f>
        <v/>
      </c>
      <c r="B401" s="18" t="str">
        <f>IF($A401="","",'Staff Directory'!$B401)</f>
        <v/>
      </c>
      <c r="C401" s="19" t="str">
        <f>IF($A401="","",'Staff Directory'!$C401)</f>
        <v/>
      </c>
      <c r="D401" s="19" t="str">
        <f>IF($A401="","",'Staff Directory'!$D401)</f>
        <v/>
      </c>
      <c r="E401" s="26" t="str">
        <f>IF($A401="","",COUNTIFS(tblIssues[Staff ID],$A401))</f>
        <v/>
      </c>
      <c r="F401" s="26" t="str">
        <f>IF($A401="","",SUMIFS(tblIssues[Qty Issued],tblIssues[Staff ID],$A401))</f>
        <v/>
      </c>
      <c r="G401" s="21" t="str">
        <f>IF($A401="","",SUMIFS(tblIssues[Line Cost],tblIssues[Staff ID],$A401))</f>
        <v/>
      </c>
      <c r="H401" s="24" t="str">
        <f>IF($A401="","",IF($E401=0,"",IFERROR(_xlfn.MAXIFS(tblIssues[Order Date],tblIssues[Staff ID],$A401),"")))</f>
        <v/>
      </c>
      <c r="I401" s="24" t="str">
        <f>IF($A401="","",IF($E401=0,"",IFERROR(_xlfn.MAXIFS(tblIssues[Next Scheduled],tblIssues[Staff ID],$A401),"")))</f>
        <v/>
      </c>
      <c r="J401" s="26" t="str">
        <f>IF($A401="","",COUNTIFS(tblIssues[Staff ID],$A401,tblIssues[Status],"Pending"))</f>
        <v/>
      </c>
    </row>
    <row r="402" spans="1:10" x14ac:dyDescent="0.35">
      <c r="A402" s="18" t="str">
        <f>IF('Staff Directory'!$A402="","",'Staff Directory'!$A402)</f>
        <v/>
      </c>
      <c r="B402" s="18" t="str">
        <f>IF($A402="","",'Staff Directory'!$B402)</f>
        <v/>
      </c>
      <c r="C402" s="19" t="str">
        <f>IF($A402="","",'Staff Directory'!$C402)</f>
        <v/>
      </c>
      <c r="D402" s="19" t="str">
        <f>IF($A402="","",'Staff Directory'!$D402)</f>
        <v/>
      </c>
      <c r="E402" s="26" t="str">
        <f>IF($A402="","",COUNTIFS(tblIssues[Staff ID],$A402))</f>
        <v/>
      </c>
      <c r="F402" s="26" t="str">
        <f>IF($A402="","",SUMIFS(tblIssues[Qty Issued],tblIssues[Staff ID],$A402))</f>
        <v/>
      </c>
      <c r="G402" s="21" t="str">
        <f>IF($A402="","",SUMIFS(tblIssues[Line Cost],tblIssues[Staff ID],$A402))</f>
        <v/>
      </c>
      <c r="H402" s="24" t="str">
        <f>IF($A402="","",IF($E402=0,"",IFERROR(_xlfn.MAXIFS(tblIssues[Order Date],tblIssues[Staff ID],$A402),"")))</f>
        <v/>
      </c>
      <c r="I402" s="24" t="str">
        <f>IF($A402="","",IF($E402=0,"",IFERROR(_xlfn.MAXIFS(tblIssues[Next Scheduled],tblIssues[Staff ID],$A402),"")))</f>
        <v/>
      </c>
      <c r="J402" s="26" t="str">
        <f>IF($A402="","",COUNTIFS(tblIssues[Staff ID],$A402,tblIssues[Status],"Pending"))</f>
        <v/>
      </c>
    </row>
    <row r="403" spans="1:10" x14ac:dyDescent="0.35">
      <c r="A403" s="18" t="str">
        <f>IF('Staff Directory'!$A403="","",'Staff Directory'!$A403)</f>
        <v/>
      </c>
      <c r="B403" s="18" t="str">
        <f>IF($A403="","",'Staff Directory'!$B403)</f>
        <v/>
      </c>
      <c r="C403" s="19" t="str">
        <f>IF($A403="","",'Staff Directory'!$C403)</f>
        <v/>
      </c>
      <c r="D403" s="19" t="str">
        <f>IF($A403="","",'Staff Directory'!$D403)</f>
        <v/>
      </c>
      <c r="E403" s="26" t="str">
        <f>IF($A403="","",COUNTIFS(tblIssues[Staff ID],$A403))</f>
        <v/>
      </c>
      <c r="F403" s="26" t="str">
        <f>IF($A403="","",SUMIFS(tblIssues[Qty Issued],tblIssues[Staff ID],$A403))</f>
        <v/>
      </c>
      <c r="G403" s="21" t="str">
        <f>IF($A403="","",SUMIFS(tblIssues[Line Cost],tblIssues[Staff ID],$A403))</f>
        <v/>
      </c>
      <c r="H403" s="24" t="str">
        <f>IF($A403="","",IF($E403=0,"",IFERROR(_xlfn.MAXIFS(tblIssues[Order Date],tblIssues[Staff ID],$A403),"")))</f>
        <v/>
      </c>
      <c r="I403" s="24" t="str">
        <f>IF($A403="","",IF($E403=0,"",IFERROR(_xlfn.MAXIFS(tblIssues[Next Scheduled],tblIssues[Staff ID],$A403),"")))</f>
        <v/>
      </c>
      <c r="J403" s="26" t="str">
        <f>IF($A403="","",COUNTIFS(tblIssues[Staff ID],$A403,tblIssues[Status],"Pending"))</f>
        <v/>
      </c>
    </row>
    <row r="404" spans="1:10" x14ac:dyDescent="0.35">
      <c r="A404" s="18" t="str">
        <f>IF('Staff Directory'!$A404="","",'Staff Directory'!$A404)</f>
        <v/>
      </c>
      <c r="B404" s="18" t="str">
        <f>IF($A404="","",'Staff Directory'!$B404)</f>
        <v/>
      </c>
      <c r="C404" s="19" t="str">
        <f>IF($A404="","",'Staff Directory'!$C404)</f>
        <v/>
      </c>
      <c r="D404" s="19" t="str">
        <f>IF($A404="","",'Staff Directory'!$D404)</f>
        <v/>
      </c>
      <c r="E404" s="26" t="str">
        <f>IF($A404="","",COUNTIFS(tblIssues[Staff ID],$A404))</f>
        <v/>
      </c>
      <c r="F404" s="26" t="str">
        <f>IF($A404="","",SUMIFS(tblIssues[Qty Issued],tblIssues[Staff ID],$A404))</f>
        <v/>
      </c>
      <c r="G404" s="21" t="str">
        <f>IF($A404="","",SUMIFS(tblIssues[Line Cost],tblIssues[Staff ID],$A404))</f>
        <v/>
      </c>
      <c r="H404" s="24" t="str">
        <f>IF($A404="","",IF($E404=0,"",IFERROR(_xlfn.MAXIFS(tblIssues[Order Date],tblIssues[Staff ID],$A404),"")))</f>
        <v/>
      </c>
      <c r="I404" s="24" t="str">
        <f>IF($A404="","",IF($E404=0,"",IFERROR(_xlfn.MAXIFS(tblIssues[Next Scheduled],tblIssues[Staff ID],$A404),"")))</f>
        <v/>
      </c>
      <c r="J404" s="26" t="str">
        <f>IF($A404="","",COUNTIFS(tblIssues[Staff ID],$A404,tblIssues[Status],"Pending"))</f>
        <v/>
      </c>
    </row>
    <row r="405" spans="1:10" x14ac:dyDescent="0.35">
      <c r="A405" s="18" t="str">
        <f>IF('Staff Directory'!$A405="","",'Staff Directory'!$A405)</f>
        <v/>
      </c>
      <c r="B405" s="18" t="str">
        <f>IF($A405="","",'Staff Directory'!$B405)</f>
        <v/>
      </c>
      <c r="C405" s="19" t="str">
        <f>IF($A405="","",'Staff Directory'!$C405)</f>
        <v/>
      </c>
      <c r="D405" s="19" t="str">
        <f>IF($A405="","",'Staff Directory'!$D405)</f>
        <v/>
      </c>
      <c r="E405" s="26" t="str">
        <f>IF($A405="","",COUNTIFS(tblIssues[Staff ID],$A405))</f>
        <v/>
      </c>
      <c r="F405" s="26" t="str">
        <f>IF($A405="","",SUMIFS(tblIssues[Qty Issued],tblIssues[Staff ID],$A405))</f>
        <v/>
      </c>
      <c r="G405" s="21" t="str">
        <f>IF($A405="","",SUMIFS(tblIssues[Line Cost],tblIssues[Staff ID],$A405))</f>
        <v/>
      </c>
      <c r="H405" s="24" t="str">
        <f>IF($A405="","",IF($E405=0,"",IFERROR(_xlfn.MAXIFS(tblIssues[Order Date],tblIssues[Staff ID],$A405),"")))</f>
        <v/>
      </c>
      <c r="I405" s="24" t="str">
        <f>IF($A405="","",IF($E405=0,"",IFERROR(_xlfn.MAXIFS(tblIssues[Next Scheduled],tblIssues[Staff ID],$A405),"")))</f>
        <v/>
      </c>
      <c r="J405" s="26" t="str">
        <f>IF($A405="","",COUNTIFS(tblIssues[Staff ID],$A405,tblIssues[Status],"Pending"))</f>
        <v/>
      </c>
    </row>
    <row r="406" spans="1:10" x14ac:dyDescent="0.35">
      <c r="A406" s="18" t="str">
        <f>IF('Staff Directory'!$A406="","",'Staff Directory'!$A406)</f>
        <v/>
      </c>
      <c r="B406" s="18" t="str">
        <f>IF($A406="","",'Staff Directory'!$B406)</f>
        <v/>
      </c>
      <c r="C406" s="19" t="str">
        <f>IF($A406="","",'Staff Directory'!$C406)</f>
        <v/>
      </c>
      <c r="D406" s="19" t="str">
        <f>IF($A406="","",'Staff Directory'!$D406)</f>
        <v/>
      </c>
      <c r="E406" s="26" t="str">
        <f>IF($A406="","",COUNTIFS(tblIssues[Staff ID],$A406))</f>
        <v/>
      </c>
      <c r="F406" s="26" t="str">
        <f>IF($A406="","",SUMIFS(tblIssues[Qty Issued],tblIssues[Staff ID],$A406))</f>
        <v/>
      </c>
      <c r="G406" s="21" t="str">
        <f>IF($A406="","",SUMIFS(tblIssues[Line Cost],tblIssues[Staff ID],$A406))</f>
        <v/>
      </c>
      <c r="H406" s="24" t="str">
        <f>IF($A406="","",IF($E406=0,"",IFERROR(_xlfn.MAXIFS(tblIssues[Order Date],tblIssues[Staff ID],$A406),"")))</f>
        <v/>
      </c>
      <c r="I406" s="24" t="str">
        <f>IF($A406="","",IF($E406=0,"",IFERROR(_xlfn.MAXIFS(tblIssues[Next Scheduled],tblIssues[Staff ID],$A406),"")))</f>
        <v/>
      </c>
      <c r="J406" s="26" t="str">
        <f>IF($A406="","",COUNTIFS(tblIssues[Staff ID],$A406,tblIssues[Status],"Pending"))</f>
        <v/>
      </c>
    </row>
    <row r="407" spans="1:10" x14ac:dyDescent="0.35">
      <c r="A407" s="18" t="str">
        <f>IF('Staff Directory'!$A407="","",'Staff Directory'!$A407)</f>
        <v/>
      </c>
      <c r="B407" s="18" t="str">
        <f>IF($A407="","",'Staff Directory'!$B407)</f>
        <v/>
      </c>
      <c r="C407" s="19" t="str">
        <f>IF($A407="","",'Staff Directory'!$C407)</f>
        <v/>
      </c>
      <c r="D407" s="19" t="str">
        <f>IF($A407="","",'Staff Directory'!$D407)</f>
        <v/>
      </c>
      <c r="E407" s="26" t="str">
        <f>IF($A407="","",COUNTIFS(tblIssues[Staff ID],$A407))</f>
        <v/>
      </c>
      <c r="F407" s="26" t="str">
        <f>IF($A407="","",SUMIFS(tblIssues[Qty Issued],tblIssues[Staff ID],$A407))</f>
        <v/>
      </c>
      <c r="G407" s="21" t="str">
        <f>IF($A407="","",SUMIFS(tblIssues[Line Cost],tblIssues[Staff ID],$A407))</f>
        <v/>
      </c>
      <c r="H407" s="24" t="str">
        <f>IF($A407="","",IF($E407=0,"",IFERROR(_xlfn.MAXIFS(tblIssues[Order Date],tblIssues[Staff ID],$A407),"")))</f>
        <v/>
      </c>
      <c r="I407" s="24" t="str">
        <f>IF($A407="","",IF($E407=0,"",IFERROR(_xlfn.MAXIFS(tblIssues[Next Scheduled],tblIssues[Staff ID],$A407),"")))</f>
        <v/>
      </c>
      <c r="J407" s="26" t="str">
        <f>IF($A407="","",COUNTIFS(tblIssues[Staff ID],$A407,tblIssues[Status],"Pending"))</f>
        <v/>
      </c>
    </row>
    <row r="408" spans="1:10" x14ac:dyDescent="0.35">
      <c r="A408" s="18" t="str">
        <f>IF('Staff Directory'!$A408="","",'Staff Directory'!$A408)</f>
        <v/>
      </c>
      <c r="B408" s="18" t="str">
        <f>IF($A408="","",'Staff Directory'!$B408)</f>
        <v/>
      </c>
      <c r="C408" s="19" t="str">
        <f>IF($A408="","",'Staff Directory'!$C408)</f>
        <v/>
      </c>
      <c r="D408" s="19" t="str">
        <f>IF($A408="","",'Staff Directory'!$D408)</f>
        <v/>
      </c>
      <c r="E408" s="26" t="str">
        <f>IF($A408="","",COUNTIFS(tblIssues[Staff ID],$A408))</f>
        <v/>
      </c>
      <c r="F408" s="26" t="str">
        <f>IF($A408="","",SUMIFS(tblIssues[Qty Issued],tblIssues[Staff ID],$A408))</f>
        <v/>
      </c>
      <c r="G408" s="21" t="str">
        <f>IF($A408="","",SUMIFS(tblIssues[Line Cost],tblIssues[Staff ID],$A408))</f>
        <v/>
      </c>
      <c r="H408" s="24" t="str">
        <f>IF($A408="","",IF($E408=0,"",IFERROR(_xlfn.MAXIFS(tblIssues[Order Date],tblIssues[Staff ID],$A408),"")))</f>
        <v/>
      </c>
      <c r="I408" s="24" t="str">
        <f>IF($A408="","",IF($E408=0,"",IFERROR(_xlfn.MAXIFS(tblIssues[Next Scheduled],tblIssues[Staff ID],$A408),"")))</f>
        <v/>
      </c>
      <c r="J408" s="26" t="str">
        <f>IF($A408="","",COUNTIFS(tblIssues[Staff ID],$A408,tblIssues[Status],"Pending"))</f>
        <v/>
      </c>
    </row>
    <row r="409" spans="1:10" x14ac:dyDescent="0.35">
      <c r="A409" s="18" t="str">
        <f>IF('Staff Directory'!$A409="","",'Staff Directory'!$A409)</f>
        <v/>
      </c>
      <c r="B409" s="18" t="str">
        <f>IF($A409="","",'Staff Directory'!$B409)</f>
        <v/>
      </c>
      <c r="C409" s="19" t="str">
        <f>IF($A409="","",'Staff Directory'!$C409)</f>
        <v/>
      </c>
      <c r="D409" s="19" t="str">
        <f>IF($A409="","",'Staff Directory'!$D409)</f>
        <v/>
      </c>
      <c r="E409" s="26" t="str">
        <f>IF($A409="","",COUNTIFS(tblIssues[Staff ID],$A409))</f>
        <v/>
      </c>
      <c r="F409" s="26" t="str">
        <f>IF($A409="","",SUMIFS(tblIssues[Qty Issued],tblIssues[Staff ID],$A409))</f>
        <v/>
      </c>
      <c r="G409" s="21" t="str">
        <f>IF($A409="","",SUMIFS(tblIssues[Line Cost],tblIssues[Staff ID],$A409))</f>
        <v/>
      </c>
      <c r="H409" s="24" t="str">
        <f>IF($A409="","",IF($E409=0,"",IFERROR(_xlfn.MAXIFS(tblIssues[Order Date],tblIssues[Staff ID],$A409),"")))</f>
        <v/>
      </c>
      <c r="I409" s="24" t="str">
        <f>IF($A409="","",IF($E409=0,"",IFERROR(_xlfn.MAXIFS(tblIssues[Next Scheduled],tblIssues[Staff ID],$A409),"")))</f>
        <v/>
      </c>
      <c r="J409" s="26" t="str">
        <f>IF($A409="","",COUNTIFS(tblIssues[Staff ID],$A409,tblIssues[Status],"Pending"))</f>
        <v/>
      </c>
    </row>
    <row r="410" spans="1:10" x14ac:dyDescent="0.35">
      <c r="A410" s="18" t="str">
        <f>IF('Staff Directory'!$A410="","",'Staff Directory'!$A410)</f>
        <v/>
      </c>
      <c r="B410" s="18" t="str">
        <f>IF($A410="","",'Staff Directory'!$B410)</f>
        <v/>
      </c>
      <c r="C410" s="19" t="str">
        <f>IF($A410="","",'Staff Directory'!$C410)</f>
        <v/>
      </c>
      <c r="D410" s="19" t="str">
        <f>IF($A410="","",'Staff Directory'!$D410)</f>
        <v/>
      </c>
      <c r="E410" s="26" t="str">
        <f>IF($A410="","",COUNTIFS(tblIssues[Staff ID],$A410))</f>
        <v/>
      </c>
      <c r="F410" s="26" t="str">
        <f>IF($A410="","",SUMIFS(tblIssues[Qty Issued],tblIssues[Staff ID],$A410))</f>
        <v/>
      </c>
      <c r="G410" s="21" t="str">
        <f>IF($A410="","",SUMIFS(tblIssues[Line Cost],tblIssues[Staff ID],$A410))</f>
        <v/>
      </c>
      <c r="H410" s="24" t="str">
        <f>IF($A410="","",IF($E410=0,"",IFERROR(_xlfn.MAXIFS(tblIssues[Order Date],tblIssues[Staff ID],$A410),"")))</f>
        <v/>
      </c>
      <c r="I410" s="24" t="str">
        <f>IF($A410="","",IF($E410=0,"",IFERROR(_xlfn.MAXIFS(tblIssues[Next Scheduled],tblIssues[Staff ID],$A410),"")))</f>
        <v/>
      </c>
      <c r="J410" s="26" t="str">
        <f>IF($A410="","",COUNTIFS(tblIssues[Staff ID],$A410,tblIssues[Status],"Pending"))</f>
        <v/>
      </c>
    </row>
    <row r="411" spans="1:10" x14ac:dyDescent="0.35">
      <c r="A411" s="18" t="str">
        <f>IF('Staff Directory'!$A411="","",'Staff Directory'!$A411)</f>
        <v/>
      </c>
      <c r="B411" s="18" t="str">
        <f>IF($A411="","",'Staff Directory'!$B411)</f>
        <v/>
      </c>
      <c r="C411" s="19" t="str">
        <f>IF($A411="","",'Staff Directory'!$C411)</f>
        <v/>
      </c>
      <c r="D411" s="19" t="str">
        <f>IF($A411="","",'Staff Directory'!$D411)</f>
        <v/>
      </c>
      <c r="E411" s="26" t="str">
        <f>IF($A411="","",COUNTIFS(tblIssues[Staff ID],$A411))</f>
        <v/>
      </c>
      <c r="F411" s="26" t="str">
        <f>IF($A411="","",SUMIFS(tblIssues[Qty Issued],tblIssues[Staff ID],$A411))</f>
        <v/>
      </c>
      <c r="G411" s="21" t="str">
        <f>IF($A411="","",SUMIFS(tblIssues[Line Cost],tblIssues[Staff ID],$A411))</f>
        <v/>
      </c>
      <c r="H411" s="24" t="str">
        <f>IF($A411="","",IF($E411=0,"",IFERROR(_xlfn.MAXIFS(tblIssues[Order Date],tblIssues[Staff ID],$A411),"")))</f>
        <v/>
      </c>
      <c r="I411" s="24" t="str">
        <f>IF($A411="","",IF($E411=0,"",IFERROR(_xlfn.MAXIFS(tblIssues[Next Scheduled],tblIssues[Staff ID],$A411),"")))</f>
        <v/>
      </c>
      <c r="J411" s="26" t="str">
        <f>IF($A411="","",COUNTIFS(tblIssues[Staff ID],$A411,tblIssues[Status],"Pending"))</f>
        <v/>
      </c>
    </row>
    <row r="412" spans="1:10" x14ac:dyDescent="0.35">
      <c r="A412" s="18" t="str">
        <f>IF('Staff Directory'!$A412="","",'Staff Directory'!$A412)</f>
        <v/>
      </c>
      <c r="B412" s="18" t="str">
        <f>IF($A412="","",'Staff Directory'!$B412)</f>
        <v/>
      </c>
      <c r="C412" s="19" t="str">
        <f>IF($A412="","",'Staff Directory'!$C412)</f>
        <v/>
      </c>
      <c r="D412" s="19" t="str">
        <f>IF($A412="","",'Staff Directory'!$D412)</f>
        <v/>
      </c>
      <c r="E412" s="26" t="str">
        <f>IF($A412="","",COUNTIFS(tblIssues[Staff ID],$A412))</f>
        <v/>
      </c>
      <c r="F412" s="26" t="str">
        <f>IF($A412="","",SUMIFS(tblIssues[Qty Issued],tblIssues[Staff ID],$A412))</f>
        <v/>
      </c>
      <c r="G412" s="21" t="str">
        <f>IF($A412="","",SUMIFS(tblIssues[Line Cost],tblIssues[Staff ID],$A412))</f>
        <v/>
      </c>
      <c r="H412" s="24" t="str">
        <f>IF($A412="","",IF($E412=0,"",IFERROR(_xlfn.MAXIFS(tblIssues[Order Date],tblIssues[Staff ID],$A412),"")))</f>
        <v/>
      </c>
      <c r="I412" s="24" t="str">
        <f>IF($A412="","",IF($E412=0,"",IFERROR(_xlfn.MAXIFS(tblIssues[Next Scheduled],tblIssues[Staff ID],$A412),"")))</f>
        <v/>
      </c>
      <c r="J412" s="26" t="str">
        <f>IF($A412="","",COUNTIFS(tblIssues[Staff ID],$A412,tblIssues[Status],"Pending"))</f>
        <v/>
      </c>
    </row>
    <row r="413" spans="1:10" x14ac:dyDescent="0.35">
      <c r="A413" s="18" t="str">
        <f>IF('Staff Directory'!$A413="","",'Staff Directory'!$A413)</f>
        <v/>
      </c>
      <c r="B413" s="18" t="str">
        <f>IF($A413="","",'Staff Directory'!$B413)</f>
        <v/>
      </c>
      <c r="C413" s="19" t="str">
        <f>IF($A413="","",'Staff Directory'!$C413)</f>
        <v/>
      </c>
      <c r="D413" s="19" t="str">
        <f>IF($A413="","",'Staff Directory'!$D413)</f>
        <v/>
      </c>
      <c r="E413" s="26" t="str">
        <f>IF($A413="","",COUNTIFS(tblIssues[Staff ID],$A413))</f>
        <v/>
      </c>
      <c r="F413" s="26" t="str">
        <f>IF($A413="","",SUMIFS(tblIssues[Qty Issued],tblIssues[Staff ID],$A413))</f>
        <v/>
      </c>
      <c r="G413" s="21" t="str">
        <f>IF($A413="","",SUMIFS(tblIssues[Line Cost],tblIssues[Staff ID],$A413))</f>
        <v/>
      </c>
      <c r="H413" s="24" t="str">
        <f>IF($A413="","",IF($E413=0,"",IFERROR(_xlfn.MAXIFS(tblIssues[Order Date],tblIssues[Staff ID],$A413),"")))</f>
        <v/>
      </c>
      <c r="I413" s="24" t="str">
        <f>IF($A413="","",IF($E413=0,"",IFERROR(_xlfn.MAXIFS(tblIssues[Next Scheduled],tblIssues[Staff ID],$A413),"")))</f>
        <v/>
      </c>
      <c r="J413" s="26" t="str">
        <f>IF($A413="","",COUNTIFS(tblIssues[Staff ID],$A413,tblIssues[Status],"Pending"))</f>
        <v/>
      </c>
    </row>
    <row r="414" spans="1:10" x14ac:dyDescent="0.35">
      <c r="A414" s="18" t="str">
        <f>IF('Staff Directory'!$A414="","",'Staff Directory'!$A414)</f>
        <v/>
      </c>
      <c r="B414" s="18" t="str">
        <f>IF($A414="","",'Staff Directory'!$B414)</f>
        <v/>
      </c>
      <c r="C414" s="19" t="str">
        <f>IF($A414="","",'Staff Directory'!$C414)</f>
        <v/>
      </c>
      <c r="D414" s="19" t="str">
        <f>IF($A414="","",'Staff Directory'!$D414)</f>
        <v/>
      </c>
      <c r="E414" s="26" t="str">
        <f>IF($A414="","",COUNTIFS(tblIssues[Staff ID],$A414))</f>
        <v/>
      </c>
      <c r="F414" s="26" t="str">
        <f>IF($A414="","",SUMIFS(tblIssues[Qty Issued],tblIssues[Staff ID],$A414))</f>
        <v/>
      </c>
      <c r="G414" s="21" t="str">
        <f>IF($A414="","",SUMIFS(tblIssues[Line Cost],tblIssues[Staff ID],$A414))</f>
        <v/>
      </c>
      <c r="H414" s="24" t="str">
        <f>IF($A414="","",IF($E414=0,"",IFERROR(_xlfn.MAXIFS(tblIssues[Order Date],tblIssues[Staff ID],$A414),"")))</f>
        <v/>
      </c>
      <c r="I414" s="24" t="str">
        <f>IF($A414="","",IF($E414=0,"",IFERROR(_xlfn.MAXIFS(tblIssues[Next Scheduled],tblIssues[Staff ID],$A414),"")))</f>
        <v/>
      </c>
      <c r="J414" s="26" t="str">
        <f>IF($A414="","",COUNTIFS(tblIssues[Staff ID],$A414,tblIssues[Status],"Pending"))</f>
        <v/>
      </c>
    </row>
    <row r="415" spans="1:10" x14ac:dyDescent="0.35">
      <c r="A415" s="18" t="str">
        <f>IF('Staff Directory'!$A415="","",'Staff Directory'!$A415)</f>
        <v/>
      </c>
      <c r="B415" s="18" t="str">
        <f>IF($A415="","",'Staff Directory'!$B415)</f>
        <v/>
      </c>
      <c r="C415" s="19" t="str">
        <f>IF($A415="","",'Staff Directory'!$C415)</f>
        <v/>
      </c>
      <c r="D415" s="19" t="str">
        <f>IF($A415="","",'Staff Directory'!$D415)</f>
        <v/>
      </c>
      <c r="E415" s="26" t="str">
        <f>IF($A415="","",COUNTIFS(tblIssues[Staff ID],$A415))</f>
        <v/>
      </c>
      <c r="F415" s="26" t="str">
        <f>IF($A415="","",SUMIFS(tblIssues[Qty Issued],tblIssues[Staff ID],$A415))</f>
        <v/>
      </c>
      <c r="G415" s="21" t="str">
        <f>IF($A415="","",SUMIFS(tblIssues[Line Cost],tblIssues[Staff ID],$A415))</f>
        <v/>
      </c>
      <c r="H415" s="24" t="str">
        <f>IF($A415="","",IF($E415=0,"",IFERROR(_xlfn.MAXIFS(tblIssues[Order Date],tblIssues[Staff ID],$A415),"")))</f>
        <v/>
      </c>
      <c r="I415" s="24" t="str">
        <f>IF($A415="","",IF($E415=0,"",IFERROR(_xlfn.MAXIFS(tblIssues[Next Scheduled],tblIssues[Staff ID],$A415),"")))</f>
        <v/>
      </c>
      <c r="J415" s="26" t="str">
        <f>IF($A415="","",COUNTIFS(tblIssues[Staff ID],$A415,tblIssues[Status],"Pending"))</f>
        <v/>
      </c>
    </row>
    <row r="416" spans="1:10" x14ac:dyDescent="0.35">
      <c r="A416" s="18" t="str">
        <f>IF('Staff Directory'!$A416="","",'Staff Directory'!$A416)</f>
        <v/>
      </c>
      <c r="B416" s="18" t="str">
        <f>IF($A416="","",'Staff Directory'!$B416)</f>
        <v/>
      </c>
      <c r="C416" s="19" t="str">
        <f>IF($A416="","",'Staff Directory'!$C416)</f>
        <v/>
      </c>
      <c r="D416" s="19" t="str">
        <f>IF($A416="","",'Staff Directory'!$D416)</f>
        <v/>
      </c>
      <c r="E416" s="26" t="str">
        <f>IF($A416="","",COUNTIFS(tblIssues[Staff ID],$A416))</f>
        <v/>
      </c>
      <c r="F416" s="26" t="str">
        <f>IF($A416="","",SUMIFS(tblIssues[Qty Issued],tblIssues[Staff ID],$A416))</f>
        <v/>
      </c>
      <c r="G416" s="21" t="str">
        <f>IF($A416="","",SUMIFS(tblIssues[Line Cost],tblIssues[Staff ID],$A416))</f>
        <v/>
      </c>
      <c r="H416" s="24" t="str">
        <f>IF($A416="","",IF($E416=0,"",IFERROR(_xlfn.MAXIFS(tblIssues[Order Date],tblIssues[Staff ID],$A416),"")))</f>
        <v/>
      </c>
      <c r="I416" s="24" t="str">
        <f>IF($A416="","",IF($E416=0,"",IFERROR(_xlfn.MAXIFS(tblIssues[Next Scheduled],tblIssues[Staff ID],$A416),"")))</f>
        <v/>
      </c>
      <c r="J416" s="26" t="str">
        <f>IF($A416="","",COUNTIFS(tblIssues[Staff ID],$A416,tblIssues[Status],"Pending"))</f>
        <v/>
      </c>
    </row>
    <row r="417" spans="1:10" x14ac:dyDescent="0.35">
      <c r="A417" s="18" t="str">
        <f>IF('Staff Directory'!$A417="","",'Staff Directory'!$A417)</f>
        <v/>
      </c>
      <c r="B417" s="18" t="str">
        <f>IF($A417="","",'Staff Directory'!$B417)</f>
        <v/>
      </c>
      <c r="C417" s="19" t="str">
        <f>IF($A417="","",'Staff Directory'!$C417)</f>
        <v/>
      </c>
      <c r="D417" s="19" t="str">
        <f>IF($A417="","",'Staff Directory'!$D417)</f>
        <v/>
      </c>
      <c r="E417" s="26" t="str">
        <f>IF($A417="","",COUNTIFS(tblIssues[Staff ID],$A417))</f>
        <v/>
      </c>
      <c r="F417" s="26" t="str">
        <f>IF($A417="","",SUMIFS(tblIssues[Qty Issued],tblIssues[Staff ID],$A417))</f>
        <v/>
      </c>
      <c r="G417" s="21" t="str">
        <f>IF($A417="","",SUMIFS(tblIssues[Line Cost],tblIssues[Staff ID],$A417))</f>
        <v/>
      </c>
      <c r="H417" s="24" t="str">
        <f>IF($A417="","",IF($E417=0,"",IFERROR(_xlfn.MAXIFS(tblIssues[Order Date],tblIssues[Staff ID],$A417),"")))</f>
        <v/>
      </c>
      <c r="I417" s="24" t="str">
        <f>IF($A417="","",IF($E417=0,"",IFERROR(_xlfn.MAXIFS(tblIssues[Next Scheduled],tblIssues[Staff ID],$A417),"")))</f>
        <v/>
      </c>
      <c r="J417" s="26" t="str">
        <f>IF($A417="","",COUNTIFS(tblIssues[Staff ID],$A417,tblIssues[Status],"Pending"))</f>
        <v/>
      </c>
    </row>
    <row r="418" spans="1:10" x14ac:dyDescent="0.35">
      <c r="A418" s="18" t="str">
        <f>IF('Staff Directory'!$A418="","",'Staff Directory'!$A418)</f>
        <v/>
      </c>
      <c r="B418" s="18" t="str">
        <f>IF($A418="","",'Staff Directory'!$B418)</f>
        <v/>
      </c>
      <c r="C418" s="19" t="str">
        <f>IF($A418="","",'Staff Directory'!$C418)</f>
        <v/>
      </c>
      <c r="D418" s="19" t="str">
        <f>IF($A418="","",'Staff Directory'!$D418)</f>
        <v/>
      </c>
      <c r="E418" s="26" t="str">
        <f>IF($A418="","",COUNTIFS(tblIssues[Staff ID],$A418))</f>
        <v/>
      </c>
      <c r="F418" s="26" t="str">
        <f>IF($A418="","",SUMIFS(tblIssues[Qty Issued],tblIssues[Staff ID],$A418))</f>
        <v/>
      </c>
      <c r="G418" s="21" t="str">
        <f>IF($A418="","",SUMIFS(tblIssues[Line Cost],tblIssues[Staff ID],$A418))</f>
        <v/>
      </c>
      <c r="H418" s="24" t="str">
        <f>IF($A418="","",IF($E418=0,"",IFERROR(_xlfn.MAXIFS(tblIssues[Order Date],tblIssues[Staff ID],$A418),"")))</f>
        <v/>
      </c>
      <c r="I418" s="24" t="str">
        <f>IF($A418="","",IF($E418=0,"",IFERROR(_xlfn.MAXIFS(tblIssues[Next Scheduled],tblIssues[Staff ID],$A418),"")))</f>
        <v/>
      </c>
      <c r="J418" s="26" t="str">
        <f>IF($A418="","",COUNTIFS(tblIssues[Staff ID],$A418,tblIssues[Status],"Pending"))</f>
        <v/>
      </c>
    </row>
    <row r="419" spans="1:10" x14ac:dyDescent="0.35">
      <c r="A419" s="18" t="str">
        <f>IF('Staff Directory'!$A419="","",'Staff Directory'!$A419)</f>
        <v/>
      </c>
      <c r="B419" s="18" t="str">
        <f>IF($A419="","",'Staff Directory'!$B419)</f>
        <v/>
      </c>
      <c r="C419" s="19" t="str">
        <f>IF($A419="","",'Staff Directory'!$C419)</f>
        <v/>
      </c>
      <c r="D419" s="19" t="str">
        <f>IF($A419="","",'Staff Directory'!$D419)</f>
        <v/>
      </c>
      <c r="E419" s="26" t="str">
        <f>IF($A419="","",COUNTIFS(tblIssues[Staff ID],$A419))</f>
        <v/>
      </c>
      <c r="F419" s="26" t="str">
        <f>IF($A419="","",SUMIFS(tblIssues[Qty Issued],tblIssues[Staff ID],$A419))</f>
        <v/>
      </c>
      <c r="G419" s="21" t="str">
        <f>IF($A419="","",SUMIFS(tblIssues[Line Cost],tblIssues[Staff ID],$A419))</f>
        <v/>
      </c>
      <c r="H419" s="24" t="str">
        <f>IF($A419="","",IF($E419=0,"",IFERROR(_xlfn.MAXIFS(tblIssues[Order Date],tblIssues[Staff ID],$A419),"")))</f>
        <v/>
      </c>
      <c r="I419" s="24" t="str">
        <f>IF($A419="","",IF($E419=0,"",IFERROR(_xlfn.MAXIFS(tblIssues[Next Scheduled],tblIssues[Staff ID],$A419),"")))</f>
        <v/>
      </c>
      <c r="J419" s="26" t="str">
        <f>IF($A419="","",COUNTIFS(tblIssues[Staff ID],$A419,tblIssues[Status],"Pending"))</f>
        <v/>
      </c>
    </row>
    <row r="420" spans="1:10" x14ac:dyDescent="0.35">
      <c r="A420" s="18" t="str">
        <f>IF('Staff Directory'!$A420="","",'Staff Directory'!$A420)</f>
        <v/>
      </c>
      <c r="B420" s="18" t="str">
        <f>IF($A420="","",'Staff Directory'!$B420)</f>
        <v/>
      </c>
      <c r="C420" s="19" t="str">
        <f>IF($A420="","",'Staff Directory'!$C420)</f>
        <v/>
      </c>
      <c r="D420" s="19" t="str">
        <f>IF($A420="","",'Staff Directory'!$D420)</f>
        <v/>
      </c>
      <c r="E420" s="26" t="str">
        <f>IF($A420="","",COUNTIFS(tblIssues[Staff ID],$A420))</f>
        <v/>
      </c>
      <c r="F420" s="26" t="str">
        <f>IF($A420="","",SUMIFS(tblIssues[Qty Issued],tblIssues[Staff ID],$A420))</f>
        <v/>
      </c>
      <c r="G420" s="21" t="str">
        <f>IF($A420="","",SUMIFS(tblIssues[Line Cost],tblIssues[Staff ID],$A420))</f>
        <v/>
      </c>
      <c r="H420" s="24" t="str">
        <f>IF($A420="","",IF($E420=0,"",IFERROR(_xlfn.MAXIFS(tblIssues[Order Date],tblIssues[Staff ID],$A420),"")))</f>
        <v/>
      </c>
      <c r="I420" s="24" t="str">
        <f>IF($A420="","",IF($E420=0,"",IFERROR(_xlfn.MAXIFS(tblIssues[Next Scheduled],tblIssues[Staff ID],$A420),"")))</f>
        <v/>
      </c>
      <c r="J420" s="26" t="str">
        <f>IF($A420="","",COUNTIFS(tblIssues[Staff ID],$A420,tblIssues[Status],"Pending"))</f>
        <v/>
      </c>
    </row>
    <row r="421" spans="1:10" x14ac:dyDescent="0.35">
      <c r="A421" s="18" t="str">
        <f>IF('Staff Directory'!$A421="","",'Staff Directory'!$A421)</f>
        <v/>
      </c>
      <c r="B421" s="18" t="str">
        <f>IF($A421="","",'Staff Directory'!$B421)</f>
        <v/>
      </c>
      <c r="C421" s="19" t="str">
        <f>IF($A421="","",'Staff Directory'!$C421)</f>
        <v/>
      </c>
      <c r="D421" s="19" t="str">
        <f>IF($A421="","",'Staff Directory'!$D421)</f>
        <v/>
      </c>
      <c r="E421" s="26" t="str">
        <f>IF($A421="","",COUNTIFS(tblIssues[Staff ID],$A421))</f>
        <v/>
      </c>
      <c r="F421" s="26" t="str">
        <f>IF($A421="","",SUMIFS(tblIssues[Qty Issued],tblIssues[Staff ID],$A421))</f>
        <v/>
      </c>
      <c r="G421" s="21" t="str">
        <f>IF($A421="","",SUMIFS(tblIssues[Line Cost],tblIssues[Staff ID],$A421))</f>
        <v/>
      </c>
      <c r="H421" s="24" t="str">
        <f>IF($A421="","",IF($E421=0,"",IFERROR(_xlfn.MAXIFS(tblIssues[Order Date],tblIssues[Staff ID],$A421),"")))</f>
        <v/>
      </c>
      <c r="I421" s="24" t="str">
        <f>IF($A421="","",IF($E421=0,"",IFERROR(_xlfn.MAXIFS(tblIssues[Next Scheduled],tblIssues[Staff ID],$A421),"")))</f>
        <v/>
      </c>
      <c r="J421" s="26" t="str">
        <f>IF($A421="","",COUNTIFS(tblIssues[Staff ID],$A421,tblIssues[Status],"Pending"))</f>
        <v/>
      </c>
    </row>
    <row r="422" spans="1:10" x14ac:dyDescent="0.35">
      <c r="A422" s="18" t="str">
        <f>IF('Staff Directory'!$A422="","",'Staff Directory'!$A422)</f>
        <v/>
      </c>
      <c r="B422" s="18" t="str">
        <f>IF($A422="","",'Staff Directory'!$B422)</f>
        <v/>
      </c>
      <c r="C422" s="19" t="str">
        <f>IF($A422="","",'Staff Directory'!$C422)</f>
        <v/>
      </c>
      <c r="D422" s="19" t="str">
        <f>IF($A422="","",'Staff Directory'!$D422)</f>
        <v/>
      </c>
      <c r="E422" s="26" t="str">
        <f>IF($A422="","",COUNTIFS(tblIssues[Staff ID],$A422))</f>
        <v/>
      </c>
      <c r="F422" s="26" t="str">
        <f>IF($A422="","",SUMIFS(tblIssues[Qty Issued],tblIssues[Staff ID],$A422))</f>
        <v/>
      </c>
      <c r="G422" s="21" t="str">
        <f>IF($A422="","",SUMIFS(tblIssues[Line Cost],tblIssues[Staff ID],$A422))</f>
        <v/>
      </c>
      <c r="H422" s="24" t="str">
        <f>IF($A422="","",IF($E422=0,"",IFERROR(_xlfn.MAXIFS(tblIssues[Order Date],tblIssues[Staff ID],$A422),"")))</f>
        <v/>
      </c>
      <c r="I422" s="24" t="str">
        <f>IF($A422="","",IF($E422=0,"",IFERROR(_xlfn.MAXIFS(tblIssues[Next Scheduled],tblIssues[Staff ID],$A422),"")))</f>
        <v/>
      </c>
      <c r="J422" s="26" t="str">
        <f>IF($A422="","",COUNTIFS(tblIssues[Staff ID],$A422,tblIssues[Status],"Pending"))</f>
        <v/>
      </c>
    </row>
    <row r="423" spans="1:10" x14ac:dyDescent="0.35">
      <c r="A423" s="18" t="str">
        <f>IF('Staff Directory'!$A423="","",'Staff Directory'!$A423)</f>
        <v/>
      </c>
      <c r="B423" s="18" t="str">
        <f>IF($A423="","",'Staff Directory'!$B423)</f>
        <v/>
      </c>
      <c r="C423" s="19" t="str">
        <f>IF($A423="","",'Staff Directory'!$C423)</f>
        <v/>
      </c>
      <c r="D423" s="19" t="str">
        <f>IF($A423="","",'Staff Directory'!$D423)</f>
        <v/>
      </c>
      <c r="E423" s="26" t="str">
        <f>IF($A423="","",COUNTIFS(tblIssues[Staff ID],$A423))</f>
        <v/>
      </c>
      <c r="F423" s="26" t="str">
        <f>IF($A423="","",SUMIFS(tblIssues[Qty Issued],tblIssues[Staff ID],$A423))</f>
        <v/>
      </c>
      <c r="G423" s="21" t="str">
        <f>IF($A423="","",SUMIFS(tblIssues[Line Cost],tblIssues[Staff ID],$A423))</f>
        <v/>
      </c>
      <c r="H423" s="24" t="str">
        <f>IF($A423="","",IF($E423=0,"",IFERROR(_xlfn.MAXIFS(tblIssues[Order Date],tblIssues[Staff ID],$A423),"")))</f>
        <v/>
      </c>
      <c r="I423" s="24" t="str">
        <f>IF($A423="","",IF($E423=0,"",IFERROR(_xlfn.MAXIFS(tblIssues[Next Scheduled],tblIssues[Staff ID],$A423),"")))</f>
        <v/>
      </c>
      <c r="J423" s="26" t="str">
        <f>IF($A423="","",COUNTIFS(tblIssues[Staff ID],$A423,tblIssues[Status],"Pending"))</f>
        <v/>
      </c>
    </row>
    <row r="424" spans="1:10" x14ac:dyDescent="0.35">
      <c r="A424" s="18" t="str">
        <f>IF('Staff Directory'!$A424="","",'Staff Directory'!$A424)</f>
        <v/>
      </c>
      <c r="B424" s="18" t="str">
        <f>IF($A424="","",'Staff Directory'!$B424)</f>
        <v/>
      </c>
      <c r="C424" s="19" t="str">
        <f>IF($A424="","",'Staff Directory'!$C424)</f>
        <v/>
      </c>
      <c r="D424" s="19" t="str">
        <f>IF($A424="","",'Staff Directory'!$D424)</f>
        <v/>
      </c>
      <c r="E424" s="26" t="str">
        <f>IF($A424="","",COUNTIFS(tblIssues[Staff ID],$A424))</f>
        <v/>
      </c>
      <c r="F424" s="26" t="str">
        <f>IF($A424="","",SUMIFS(tblIssues[Qty Issued],tblIssues[Staff ID],$A424))</f>
        <v/>
      </c>
      <c r="G424" s="21" t="str">
        <f>IF($A424="","",SUMIFS(tblIssues[Line Cost],tblIssues[Staff ID],$A424))</f>
        <v/>
      </c>
      <c r="H424" s="24" t="str">
        <f>IF($A424="","",IF($E424=0,"",IFERROR(_xlfn.MAXIFS(tblIssues[Order Date],tblIssues[Staff ID],$A424),"")))</f>
        <v/>
      </c>
      <c r="I424" s="24" t="str">
        <f>IF($A424="","",IF($E424=0,"",IFERROR(_xlfn.MAXIFS(tblIssues[Next Scheduled],tblIssues[Staff ID],$A424),"")))</f>
        <v/>
      </c>
      <c r="J424" s="26" t="str">
        <f>IF($A424="","",COUNTIFS(tblIssues[Staff ID],$A424,tblIssues[Status],"Pending"))</f>
        <v/>
      </c>
    </row>
    <row r="425" spans="1:10" x14ac:dyDescent="0.35">
      <c r="A425" s="18" t="str">
        <f>IF('Staff Directory'!$A425="","",'Staff Directory'!$A425)</f>
        <v/>
      </c>
      <c r="B425" s="18" t="str">
        <f>IF($A425="","",'Staff Directory'!$B425)</f>
        <v/>
      </c>
      <c r="C425" s="19" t="str">
        <f>IF($A425="","",'Staff Directory'!$C425)</f>
        <v/>
      </c>
      <c r="D425" s="19" t="str">
        <f>IF($A425="","",'Staff Directory'!$D425)</f>
        <v/>
      </c>
      <c r="E425" s="26" t="str">
        <f>IF($A425="","",COUNTIFS(tblIssues[Staff ID],$A425))</f>
        <v/>
      </c>
      <c r="F425" s="26" t="str">
        <f>IF($A425="","",SUMIFS(tblIssues[Qty Issued],tblIssues[Staff ID],$A425))</f>
        <v/>
      </c>
      <c r="G425" s="21" t="str">
        <f>IF($A425="","",SUMIFS(tblIssues[Line Cost],tblIssues[Staff ID],$A425))</f>
        <v/>
      </c>
      <c r="H425" s="24" t="str">
        <f>IF($A425="","",IF($E425=0,"",IFERROR(_xlfn.MAXIFS(tblIssues[Order Date],tblIssues[Staff ID],$A425),"")))</f>
        <v/>
      </c>
      <c r="I425" s="24" t="str">
        <f>IF($A425="","",IF($E425=0,"",IFERROR(_xlfn.MAXIFS(tblIssues[Next Scheduled],tblIssues[Staff ID],$A425),"")))</f>
        <v/>
      </c>
      <c r="J425" s="26" t="str">
        <f>IF($A425="","",COUNTIFS(tblIssues[Staff ID],$A425,tblIssues[Status],"Pending"))</f>
        <v/>
      </c>
    </row>
    <row r="426" spans="1:10" x14ac:dyDescent="0.35">
      <c r="A426" s="18" t="str">
        <f>IF('Staff Directory'!$A426="","",'Staff Directory'!$A426)</f>
        <v/>
      </c>
      <c r="B426" s="18" t="str">
        <f>IF($A426="","",'Staff Directory'!$B426)</f>
        <v/>
      </c>
      <c r="C426" s="19" t="str">
        <f>IF($A426="","",'Staff Directory'!$C426)</f>
        <v/>
      </c>
      <c r="D426" s="19" t="str">
        <f>IF($A426="","",'Staff Directory'!$D426)</f>
        <v/>
      </c>
      <c r="E426" s="26" t="str">
        <f>IF($A426="","",COUNTIFS(tblIssues[Staff ID],$A426))</f>
        <v/>
      </c>
      <c r="F426" s="26" t="str">
        <f>IF($A426="","",SUMIFS(tblIssues[Qty Issued],tblIssues[Staff ID],$A426))</f>
        <v/>
      </c>
      <c r="G426" s="21" t="str">
        <f>IF($A426="","",SUMIFS(tblIssues[Line Cost],tblIssues[Staff ID],$A426))</f>
        <v/>
      </c>
      <c r="H426" s="24" t="str">
        <f>IF($A426="","",IF($E426=0,"",IFERROR(_xlfn.MAXIFS(tblIssues[Order Date],tblIssues[Staff ID],$A426),"")))</f>
        <v/>
      </c>
      <c r="I426" s="24" t="str">
        <f>IF($A426="","",IF($E426=0,"",IFERROR(_xlfn.MAXIFS(tblIssues[Next Scheduled],tblIssues[Staff ID],$A426),"")))</f>
        <v/>
      </c>
      <c r="J426" s="26" t="str">
        <f>IF($A426="","",COUNTIFS(tblIssues[Staff ID],$A426,tblIssues[Status],"Pending"))</f>
        <v/>
      </c>
    </row>
    <row r="427" spans="1:10" x14ac:dyDescent="0.35">
      <c r="A427" s="18" t="str">
        <f>IF('Staff Directory'!$A427="","",'Staff Directory'!$A427)</f>
        <v/>
      </c>
      <c r="B427" s="18" t="str">
        <f>IF($A427="","",'Staff Directory'!$B427)</f>
        <v/>
      </c>
      <c r="C427" s="19" t="str">
        <f>IF($A427="","",'Staff Directory'!$C427)</f>
        <v/>
      </c>
      <c r="D427" s="19" t="str">
        <f>IF($A427="","",'Staff Directory'!$D427)</f>
        <v/>
      </c>
      <c r="E427" s="26" t="str">
        <f>IF($A427="","",COUNTIFS(tblIssues[Staff ID],$A427))</f>
        <v/>
      </c>
      <c r="F427" s="26" t="str">
        <f>IF($A427="","",SUMIFS(tblIssues[Qty Issued],tblIssues[Staff ID],$A427))</f>
        <v/>
      </c>
      <c r="G427" s="21" t="str">
        <f>IF($A427="","",SUMIFS(tblIssues[Line Cost],tblIssues[Staff ID],$A427))</f>
        <v/>
      </c>
      <c r="H427" s="24" t="str">
        <f>IF($A427="","",IF($E427=0,"",IFERROR(_xlfn.MAXIFS(tblIssues[Order Date],tblIssues[Staff ID],$A427),"")))</f>
        <v/>
      </c>
      <c r="I427" s="24" t="str">
        <f>IF($A427="","",IF($E427=0,"",IFERROR(_xlfn.MAXIFS(tblIssues[Next Scheduled],tblIssues[Staff ID],$A427),"")))</f>
        <v/>
      </c>
      <c r="J427" s="26" t="str">
        <f>IF($A427="","",COUNTIFS(tblIssues[Staff ID],$A427,tblIssues[Status],"Pending"))</f>
        <v/>
      </c>
    </row>
    <row r="428" spans="1:10" x14ac:dyDescent="0.35">
      <c r="A428" s="18" t="str">
        <f>IF('Staff Directory'!$A428="","",'Staff Directory'!$A428)</f>
        <v/>
      </c>
      <c r="B428" s="18" t="str">
        <f>IF($A428="","",'Staff Directory'!$B428)</f>
        <v/>
      </c>
      <c r="C428" s="19" t="str">
        <f>IF($A428="","",'Staff Directory'!$C428)</f>
        <v/>
      </c>
      <c r="D428" s="19" t="str">
        <f>IF($A428="","",'Staff Directory'!$D428)</f>
        <v/>
      </c>
      <c r="E428" s="26" t="str">
        <f>IF($A428="","",COUNTIFS(tblIssues[Staff ID],$A428))</f>
        <v/>
      </c>
      <c r="F428" s="26" t="str">
        <f>IF($A428="","",SUMIFS(tblIssues[Qty Issued],tblIssues[Staff ID],$A428))</f>
        <v/>
      </c>
      <c r="G428" s="21" t="str">
        <f>IF($A428="","",SUMIFS(tblIssues[Line Cost],tblIssues[Staff ID],$A428))</f>
        <v/>
      </c>
      <c r="H428" s="24" t="str">
        <f>IF($A428="","",IF($E428=0,"",IFERROR(_xlfn.MAXIFS(tblIssues[Order Date],tblIssues[Staff ID],$A428),"")))</f>
        <v/>
      </c>
      <c r="I428" s="24" t="str">
        <f>IF($A428="","",IF($E428=0,"",IFERROR(_xlfn.MAXIFS(tblIssues[Next Scheduled],tblIssues[Staff ID],$A428),"")))</f>
        <v/>
      </c>
      <c r="J428" s="26" t="str">
        <f>IF($A428="","",COUNTIFS(tblIssues[Staff ID],$A428,tblIssues[Status],"Pending"))</f>
        <v/>
      </c>
    </row>
    <row r="429" spans="1:10" x14ac:dyDescent="0.35">
      <c r="A429" s="18" t="str">
        <f>IF('Staff Directory'!$A429="","",'Staff Directory'!$A429)</f>
        <v/>
      </c>
      <c r="B429" s="18" t="str">
        <f>IF($A429="","",'Staff Directory'!$B429)</f>
        <v/>
      </c>
      <c r="C429" s="19" t="str">
        <f>IF($A429="","",'Staff Directory'!$C429)</f>
        <v/>
      </c>
      <c r="D429" s="19" t="str">
        <f>IF($A429="","",'Staff Directory'!$D429)</f>
        <v/>
      </c>
      <c r="E429" s="26" t="str">
        <f>IF($A429="","",COUNTIFS(tblIssues[Staff ID],$A429))</f>
        <v/>
      </c>
      <c r="F429" s="26" t="str">
        <f>IF($A429="","",SUMIFS(tblIssues[Qty Issued],tblIssues[Staff ID],$A429))</f>
        <v/>
      </c>
      <c r="G429" s="21" t="str">
        <f>IF($A429="","",SUMIFS(tblIssues[Line Cost],tblIssues[Staff ID],$A429))</f>
        <v/>
      </c>
      <c r="H429" s="24" t="str">
        <f>IF($A429="","",IF($E429=0,"",IFERROR(_xlfn.MAXIFS(tblIssues[Order Date],tblIssues[Staff ID],$A429),"")))</f>
        <v/>
      </c>
      <c r="I429" s="24" t="str">
        <f>IF($A429="","",IF($E429=0,"",IFERROR(_xlfn.MAXIFS(tblIssues[Next Scheduled],tblIssues[Staff ID],$A429),"")))</f>
        <v/>
      </c>
      <c r="J429" s="26" t="str">
        <f>IF($A429="","",COUNTIFS(tblIssues[Staff ID],$A429,tblIssues[Status],"Pending"))</f>
        <v/>
      </c>
    </row>
    <row r="430" spans="1:10" x14ac:dyDescent="0.35">
      <c r="A430" s="18" t="str">
        <f>IF('Staff Directory'!$A430="","",'Staff Directory'!$A430)</f>
        <v/>
      </c>
      <c r="B430" s="18" t="str">
        <f>IF($A430="","",'Staff Directory'!$B430)</f>
        <v/>
      </c>
      <c r="C430" s="19" t="str">
        <f>IF($A430="","",'Staff Directory'!$C430)</f>
        <v/>
      </c>
      <c r="D430" s="19" t="str">
        <f>IF($A430="","",'Staff Directory'!$D430)</f>
        <v/>
      </c>
      <c r="E430" s="26" t="str">
        <f>IF($A430="","",COUNTIFS(tblIssues[Staff ID],$A430))</f>
        <v/>
      </c>
      <c r="F430" s="26" t="str">
        <f>IF($A430="","",SUMIFS(tblIssues[Qty Issued],tblIssues[Staff ID],$A430))</f>
        <v/>
      </c>
      <c r="G430" s="21" t="str">
        <f>IF($A430="","",SUMIFS(tblIssues[Line Cost],tblIssues[Staff ID],$A430))</f>
        <v/>
      </c>
      <c r="H430" s="24" t="str">
        <f>IF($A430="","",IF($E430=0,"",IFERROR(_xlfn.MAXIFS(tblIssues[Order Date],tblIssues[Staff ID],$A430),"")))</f>
        <v/>
      </c>
      <c r="I430" s="24" t="str">
        <f>IF($A430="","",IF($E430=0,"",IFERROR(_xlfn.MAXIFS(tblIssues[Next Scheduled],tblIssues[Staff ID],$A430),"")))</f>
        <v/>
      </c>
      <c r="J430" s="26" t="str">
        <f>IF($A430="","",COUNTIFS(tblIssues[Staff ID],$A430,tblIssues[Status],"Pending"))</f>
        <v/>
      </c>
    </row>
    <row r="431" spans="1:10" x14ac:dyDescent="0.35">
      <c r="A431" s="18" t="str">
        <f>IF('Staff Directory'!$A431="","",'Staff Directory'!$A431)</f>
        <v/>
      </c>
      <c r="B431" s="18" t="str">
        <f>IF($A431="","",'Staff Directory'!$B431)</f>
        <v/>
      </c>
      <c r="C431" s="19" t="str">
        <f>IF($A431="","",'Staff Directory'!$C431)</f>
        <v/>
      </c>
      <c r="D431" s="19" t="str">
        <f>IF($A431="","",'Staff Directory'!$D431)</f>
        <v/>
      </c>
      <c r="E431" s="26" t="str">
        <f>IF($A431="","",COUNTIFS(tblIssues[Staff ID],$A431))</f>
        <v/>
      </c>
      <c r="F431" s="26" t="str">
        <f>IF($A431="","",SUMIFS(tblIssues[Qty Issued],tblIssues[Staff ID],$A431))</f>
        <v/>
      </c>
      <c r="G431" s="21" t="str">
        <f>IF($A431="","",SUMIFS(tblIssues[Line Cost],tblIssues[Staff ID],$A431))</f>
        <v/>
      </c>
      <c r="H431" s="24" t="str">
        <f>IF($A431="","",IF($E431=0,"",IFERROR(_xlfn.MAXIFS(tblIssues[Order Date],tblIssues[Staff ID],$A431),"")))</f>
        <v/>
      </c>
      <c r="I431" s="24" t="str">
        <f>IF($A431="","",IF($E431=0,"",IFERROR(_xlfn.MAXIFS(tblIssues[Next Scheduled],tblIssues[Staff ID],$A431),"")))</f>
        <v/>
      </c>
      <c r="J431" s="26" t="str">
        <f>IF($A431="","",COUNTIFS(tblIssues[Staff ID],$A431,tblIssues[Status],"Pending"))</f>
        <v/>
      </c>
    </row>
    <row r="432" spans="1:10" x14ac:dyDescent="0.35">
      <c r="A432" s="18" t="str">
        <f>IF('Staff Directory'!$A432="","",'Staff Directory'!$A432)</f>
        <v/>
      </c>
      <c r="B432" s="18" t="str">
        <f>IF($A432="","",'Staff Directory'!$B432)</f>
        <v/>
      </c>
      <c r="C432" s="19" t="str">
        <f>IF($A432="","",'Staff Directory'!$C432)</f>
        <v/>
      </c>
      <c r="D432" s="19" t="str">
        <f>IF($A432="","",'Staff Directory'!$D432)</f>
        <v/>
      </c>
      <c r="E432" s="26" t="str">
        <f>IF($A432="","",COUNTIFS(tblIssues[Staff ID],$A432))</f>
        <v/>
      </c>
      <c r="F432" s="26" t="str">
        <f>IF($A432="","",SUMIFS(tblIssues[Qty Issued],tblIssues[Staff ID],$A432))</f>
        <v/>
      </c>
      <c r="G432" s="21" t="str">
        <f>IF($A432="","",SUMIFS(tblIssues[Line Cost],tblIssues[Staff ID],$A432))</f>
        <v/>
      </c>
      <c r="H432" s="24" t="str">
        <f>IF($A432="","",IF($E432=0,"",IFERROR(_xlfn.MAXIFS(tblIssues[Order Date],tblIssues[Staff ID],$A432),"")))</f>
        <v/>
      </c>
      <c r="I432" s="24" t="str">
        <f>IF($A432="","",IF($E432=0,"",IFERROR(_xlfn.MAXIFS(tblIssues[Next Scheduled],tblIssues[Staff ID],$A432),"")))</f>
        <v/>
      </c>
      <c r="J432" s="26" t="str">
        <f>IF($A432="","",COUNTIFS(tblIssues[Staff ID],$A432,tblIssues[Status],"Pending"))</f>
        <v/>
      </c>
    </row>
    <row r="433" spans="1:10" x14ac:dyDescent="0.35">
      <c r="A433" s="18" t="str">
        <f>IF('Staff Directory'!$A433="","",'Staff Directory'!$A433)</f>
        <v/>
      </c>
      <c r="B433" s="18" t="str">
        <f>IF($A433="","",'Staff Directory'!$B433)</f>
        <v/>
      </c>
      <c r="C433" s="19" t="str">
        <f>IF($A433="","",'Staff Directory'!$C433)</f>
        <v/>
      </c>
      <c r="D433" s="19" t="str">
        <f>IF($A433="","",'Staff Directory'!$D433)</f>
        <v/>
      </c>
      <c r="E433" s="26" t="str">
        <f>IF($A433="","",COUNTIFS(tblIssues[Staff ID],$A433))</f>
        <v/>
      </c>
      <c r="F433" s="26" t="str">
        <f>IF($A433="","",SUMIFS(tblIssues[Qty Issued],tblIssues[Staff ID],$A433))</f>
        <v/>
      </c>
      <c r="G433" s="21" t="str">
        <f>IF($A433="","",SUMIFS(tblIssues[Line Cost],tblIssues[Staff ID],$A433))</f>
        <v/>
      </c>
      <c r="H433" s="24" t="str">
        <f>IF($A433="","",IF($E433=0,"",IFERROR(_xlfn.MAXIFS(tblIssues[Order Date],tblIssues[Staff ID],$A433),"")))</f>
        <v/>
      </c>
      <c r="I433" s="24" t="str">
        <f>IF($A433="","",IF($E433=0,"",IFERROR(_xlfn.MAXIFS(tblIssues[Next Scheduled],tblIssues[Staff ID],$A433),"")))</f>
        <v/>
      </c>
      <c r="J433" s="26" t="str">
        <f>IF($A433="","",COUNTIFS(tblIssues[Staff ID],$A433,tblIssues[Status],"Pending"))</f>
        <v/>
      </c>
    </row>
    <row r="434" spans="1:10" x14ac:dyDescent="0.35">
      <c r="A434" s="18" t="str">
        <f>IF('Staff Directory'!$A434="","",'Staff Directory'!$A434)</f>
        <v/>
      </c>
      <c r="B434" s="18" t="str">
        <f>IF($A434="","",'Staff Directory'!$B434)</f>
        <v/>
      </c>
      <c r="C434" s="19" t="str">
        <f>IF($A434="","",'Staff Directory'!$C434)</f>
        <v/>
      </c>
      <c r="D434" s="19" t="str">
        <f>IF($A434="","",'Staff Directory'!$D434)</f>
        <v/>
      </c>
      <c r="E434" s="26" t="str">
        <f>IF($A434="","",COUNTIFS(tblIssues[Staff ID],$A434))</f>
        <v/>
      </c>
      <c r="F434" s="26" t="str">
        <f>IF($A434="","",SUMIFS(tblIssues[Qty Issued],tblIssues[Staff ID],$A434))</f>
        <v/>
      </c>
      <c r="G434" s="21" t="str">
        <f>IF($A434="","",SUMIFS(tblIssues[Line Cost],tblIssues[Staff ID],$A434))</f>
        <v/>
      </c>
      <c r="H434" s="24" t="str">
        <f>IF($A434="","",IF($E434=0,"",IFERROR(_xlfn.MAXIFS(tblIssues[Order Date],tblIssues[Staff ID],$A434),"")))</f>
        <v/>
      </c>
      <c r="I434" s="24" t="str">
        <f>IF($A434="","",IF($E434=0,"",IFERROR(_xlfn.MAXIFS(tblIssues[Next Scheduled],tblIssues[Staff ID],$A434),"")))</f>
        <v/>
      </c>
      <c r="J434" s="26" t="str">
        <f>IF($A434="","",COUNTIFS(tblIssues[Staff ID],$A434,tblIssues[Status],"Pending"))</f>
        <v/>
      </c>
    </row>
    <row r="435" spans="1:10" x14ac:dyDescent="0.35">
      <c r="A435" s="18" t="str">
        <f>IF('Staff Directory'!$A435="","",'Staff Directory'!$A435)</f>
        <v/>
      </c>
      <c r="B435" s="18" t="str">
        <f>IF($A435="","",'Staff Directory'!$B435)</f>
        <v/>
      </c>
      <c r="C435" s="19" t="str">
        <f>IF($A435="","",'Staff Directory'!$C435)</f>
        <v/>
      </c>
      <c r="D435" s="19" t="str">
        <f>IF($A435="","",'Staff Directory'!$D435)</f>
        <v/>
      </c>
      <c r="E435" s="26" t="str">
        <f>IF($A435="","",COUNTIFS(tblIssues[Staff ID],$A435))</f>
        <v/>
      </c>
      <c r="F435" s="26" t="str">
        <f>IF($A435="","",SUMIFS(tblIssues[Qty Issued],tblIssues[Staff ID],$A435))</f>
        <v/>
      </c>
      <c r="G435" s="21" t="str">
        <f>IF($A435="","",SUMIFS(tblIssues[Line Cost],tblIssues[Staff ID],$A435))</f>
        <v/>
      </c>
      <c r="H435" s="24" t="str">
        <f>IF($A435="","",IF($E435=0,"",IFERROR(_xlfn.MAXIFS(tblIssues[Order Date],tblIssues[Staff ID],$A435),"")))</f>
        <v/>
      </c>
      <c r="I435" s="24" t="str">
        <f>IF($A435="","",IF($E435=0,"",IFERROR(_xlfn.MAXIFS(tblIssues[Next Scheduled],tblIssues[Staff ID],$A435),"")))</f>
        <v/>
      </c>
      <c r="J435" s="26" t="str">
        <f>IF($A435="","",COUNTIFS(tblIssues[Staff ID],$A435,tblIssues[Status],"Pending"))</f>
        <v/>
      </c>
    </row>
    <row r="436" spans="1:10" x14ac:dyDescent="0.35">
      <c r="A436" s="18" t="str">
        <f>IF('Staff Directory'!$A436="","",'Staff Directory'!$A436)</f>
        <v/>
      </c>
      <c r="B436" s="18" t="str">
        <f>IF($A436="","",'Staff Directory'!$B436)</f>
        <v/>
      </c>
      <c r="C436" s="19" t="str">
        <f>IF($A436="","",'Staff Directory'!$C436)</f>
        <v/>
      </c>
      <c r="D436" s="19" t="str">
        <f>IF($A436="","",'Staff Directory'!$D436)</f>
        <v/>
      </c>
      <c r="E436" s="26" t="str">
        <f>IF($A436="","",COUNTIFS(tblIssues[Staff ID],$A436))</f>
        <v/>
      </c>
      <c r="F436" s="26" t="str">
        <f>IF($A436="","",SUMIFS(tblIssues[Qty Issued],tblIssues[Staff ID],$A436))</f>
        <v/>
      </c>
      <c r="G436" s="21" t="str">
        <f>IF($A436="","",SUMIFS(tblIssues[Line Cost],tblIssues[Staff ID],$A436))</f>
        <v/>
      </c>
      <c r="H436" s="24" t="str">
        <f>IF($A436="","",IF($E436=0,"",IFERROR(_xlfn.MAXIFS(tblIssues[Order Date],tblIssues[Staff ID],$A436),"")))</f>
        <v/>
      </c>
      <c r="I436" s="24" t="str">
        <f>IF($A436="","",IF($E436=0,"",IFERROR(_xlfn.MAXIFS(tblIssues[Next Scheduled],tblIssues[Staff ID],$A436),"")))</f>
        <v/>
      </c>
      <c r="J436" s="26" t="str">
        <f>IF($A436="","",COUNTIFS(tblIssues[Staff ID],$A436,tblIssues[Status],"Pending"))</f>
        <v/>
      </c>
    </row>
    <row r="437" spans="1:10" x14ac:dyDescent="0.35">
      <c r="A437" s="18" t="str">
        <f>IF('Staff Directory'!$A437="","",'Staff Directory'!$A437)</f>
        <v/>
      </c>
      <c r="B437" s="18" t="str">
        <f>IF($A437="","",'Staff Directory'!$B437)</f>
        <v/>
      </c>
      <c r="C437" s="19" t="str">
        <f>IF($A437="","",'Staff Directory'!$C437)</f>
        <v/>
      </c>
      <c r="D437" s="19" t="str">
        <f>IF($A437="","",'Staff Directory'!$D437)</f>
        <v/>
      </c>
      <c r="E437" s="26" t="str">
        <f>IF($A437="","",COUNTIFS(tblIssues[Staff ID],$A437))</f>
        <v/>
      </c>
      <c r="F437" s="26" t="str">
        <f>IF($A437="","",SUMIFS(tblIssues[Qty Issued],tblIssues[Staff ID],$A437))</f>
        <v/>
      </c>
      <c r="G437" s="21" t="str">
        <f>IF($A437="","",SUMIFS(tblIssues[Line Cost],tblIssues[Staff ID],$A437))</f>
        <v/>
      </c>
      <c r="H437" s="24" t="str">
        <f>IF($A437="","",IF($E437=0,"",IFERROR(_xlfn.MAXIFS(tblIssues[Order Date],tblIssues[Staff ID],$A437),"")))</f>
        <v/>
      </c>
      <c r="I437" s="24" t="str">
        <f>IF($A437="","",IF($E437=0,"",IFERROR(_xlfn.MAXIFS(tblIssues[Next Scheduled],tblIssues[Staff ID],$A437),"")))</f>
        <v/>
      </c>
      <c r="J437" s="26" t="str">
        <f>IF($A437="","",COUNTIFS(tblIssues[Staff ID],$A437,tblIssues[Status],"Pending"))</f>
        <v/>
      </c>
    </row>
    <row r="438" spans="1:10" x14ac:dyDescent="0.35">
      <c r="A438" s="18" t="str">
        <f>IF('Staff Directory'!$A438="","",'Staff Directory'!$A438)</f>
        <v/>
      </c>
      <c r="B438" s="18" t="str">
        <f>IF($A438="","",'Staff Directory'!$B438)</f>
        <v/>
      </c>
      <c r="C438" s="19" t="str">
        <f>IF($A438="","",'Staff Directory'!$C438)</f>
        <v/>
      </c>
      <c r="D438" s="19" t="str">
        <f>IF($A438="","",'Staff Directory'!$D438)</f>
        <v/>
      </c>
      <c r="E438" s="26" t="str">
        <f>IF($A438="","",COUNTIFS(tblIssues[Staff ID],$A438))</f>
        <v/>
      </c>
      <c r="F438" s="26" t="str">
        <f>IF($A438="","",SUMIFS(tblIssues[Qty Issued],tblIssues[Staff ID],$A438))</f>
        <v/>
      </c>
      <c r="G438" s="21" t="str">
        <f>IF($A438="","",SUMIFS(tblIssues[Line Cost],tblIssues[Staff ID],$A438))</f>
        <v/>
      </c>
      <c r="H438" s="24" t="str">
        <f>IF($A438="","",IF($E438=0,"",IFERROR(_xlfn.MAXIFS(tblIssues[Order Date],tblIssues[Staff ID],$A438),"")))</f>
        <v/>
      </c>
      <c r="I438" s="24" t="str">
        <f>IF($A438="","",IF($E438=0,"",IFERROR(_xlfn.MAXIFS(tblIssues[Next Scheduled],tblIssues[Staff ID],$A438),"")))</f>
        <v/>
      </c>
      <c r="J438" s="26" t="str">
        <f>IF($A438="","",COUNTIFS(tblIssues[Staff ID],$A438,tblIssues[Status],"Pending"))</f>
        <v/>
      </c>
    </row>
    <row r="439" spans="1:10" x14ac:dyDescent="0.35">
      <c r="A439" s="18" t="str">
        <f>IF('Staff Directory'!$A439="","",'Staff Directory'!$A439)</f>
        <v/>
      </c>
      <c r="B439" s="18" t="str">
        <f>IF($A439="","",'Staff Directory'!$B439)</f>
        <v/>
      </c>
      <c r="C439" s="19" t="str">
        <f>IF($A439="","",'Staff Directory'!$C439)</f>
        <v/>
      </c>
      <c r="D439" s="19" t="str">
        <f>IF($A439="","",'Staff Directory'!$D439)</f>
        <v/>
      </c>
      <c r="E439" s="26" t="str">
        <f>IF($A439="","",COUNTIFS(tblIssues[Staff ID],$A439))</f>
        <v/>
      </c>
      <c r="F439" s="26" t="str">
        <f>IF($A439="","",SUMIFS(tblIssues[Qty Issued],tblIssues[Staff ID],$A439))</f>
        <v/>
      </c>
      <c r="G439" s="21" t="str">
        <f>IF($A439="","",SUMIFS(tblIssues[Line Cost],tblIssues[Staff ID],$A439))</f>
        <v/>
      </c>
      <c r="H439" s="24" t="str">
        <f>IF($A439="","",IF($E439=0,"",IFERROR(_xlfn.MAXIFS(tblIssues[Order Date],tblIssues[Staff ID],$A439),"")))</f>
        <v/>
      </c>
      <c r="I439" s="24" t="str">
        <f>IF($A439="","",IF($E439=0,"",IFERROR(_xlfn.MAXIFS(tblIssues[Next Scheduled],tblIssues[Staff ID],$A439),"")))</f>
        <v/>
      </c>
      <c r="J439" s="26" t="str">
        <f>IF($A439="","",COUNTIFS(tblIssues[Staff ID],$A439,tblIssues[Status],"Pending"))</f>
        <v/>
      </c>
    </row>
    <row r="440" spans="1:10" x14ac:dyDescent="0.35">
      <c r="A440" s="18" t="str">
        <f>IF('Staff Directory'!$A440="","",'Staff Directory'!$A440)</f>
        <v/>
      </c>
      <c r="B440" s="18" t="str">
        <f>IF($A440="","",'Staff Directory'!$B440)</f>
        <v/>
      </c>
      <c r="C440" s="19" t="str">
        <f>IF($A440="","",'Staff Directory'!$C440)</f>
        <v/>
      </c>
      <c r="D440" s="19" t="str">
        <f>IF($A440="","",'Staff Directory'!$D440)</f>
        <v/>
      </c>
      <c r="E440" s="26" t="str">
        <f>IF($A440="","",COUNTIFS(tblIssues[Staff ID],$A440))</f>
        <v/>
      </c>
      <c r="F440" s="26" t="str">
        <f>IF($A440="","",SUMIFS(tblIssues[Qty Issued],tblIssues[Staff ID],$A440))</f>
        <v/>
      </c>
      <c r="G440" s="21" t="str">
        <f>IF($A440="","",SUMIFS(tblIssues[Line Cost],tblIssues[Staff ID],$A440))</f>
        <v/>
      </c>
      <c r="H440" s="24" t="str">
        <f>IF($A440="","",IF($E440=0,"",IFERROR(_xlfn.MAXIFS(tblIssues[Order Date],tblIssues[Staff ID],$A440),"")))</f>
        <v/>
      </c>
      <c r="I440" s="24" t="str">
        <f>IF($A440="","",IF($E440=0,"",IFERROR(_xlfn.MAXIFS(tblIssues[Next Scheduled],tblIssues[Staff ID],$A440),"")))</f>
        <v/>
      </c>
      <c r="J440" s="26" t="str">
        <f>IF($A440="","",COUNTIFS(tblIssues[Staff ID],$A440,tblIssues[Status],"Pending"))</f>
        <v/>
      </c>
    </row>
    <row r="441" spans="1:10" x14ac:dyDescent="0.35">
      <c r="A441" s="18" t="str">
        <f>IF('Staff Directory'!$A441="","",'Staff Directory'!$A441)</f>
        <v/>
      </c>
      <c r="B441" s="18" t="str">
        <f>IF($A441="","",'Staff Directory'!$B441)</f>
        <v/>
      </c>
      <c r="C441" s="19" t="str">
        <f>IF($A441="","",'Staff Directory'!$C441)</f>
        <v/>
      </c>
      <c r="D441" s="19" t="str">
        <f>IF($A441="","",'Staff Directory'!$D441)</f>
        <v/>
      </c>
      <c r="E441" s="26" t="str">
        <f>IF($A441="","",COUNTIFS(tblIssues[Staff ID],$A441))</f>
        <v/>
      </c>
      <c r="F441" s="26" t="str">
        <f>IF($A441="","",SUMIFS(tblIssues[Qty Issued],tblIssues[Staff ID],$A441))</f>
        <v/>
      </c>
      <c r="G441" s="21" t="str">
        <f>IF($A441="","",SUMIFS(tblIssues[Line Cost],tblIssues[Staff ID],$A441))</f>
        <v/>
      </c>
      <c r="H441" s="24" t="str">
        <f>IF($A441="","",IF($E441=0,"",IFERROR(_xlfn.MAXIFS(tblIssues[Order Date],tblIssues[Staff ID],$A441),"")))</f>
        <v/>
      </c>
      <c r="I441" s="24" t="str">
        <f>IF($A441="","",IF($E441=0,"",IFERROR(_xlfn.MAXIFS(tblIssues[Next Scheduled],tblIssues[Staff ID],$A441),"")))</f>
        <v/>
      </c>
      <c r="J441" s="26" t="str">
        <f>IF($A441="","",COUNTIFS(tblIssues[Staff ID],$A441,tblIssues[Status],"Pending"))</f>
        <v/>
      </c>
    </row>
    <row r="442" spans="1:10" x14ac:dyDescent="0.35">
      <c r="A442" s="18" t="str">
        <f>IF('Staff Directory'!$A442="","",'Staff Directory'!$A442)</f>
        <v/>
      </c>
      <c r="B442" s="18" t="str">
        <f>IF($A442="","",'Staff Directory'!$B442)</f>
        <v/>
      </c>
      <c r="C442" s="19" t="str">
        <f>IF($A442="","",'Staff Directory'!$C442)</f>
        <v/>
      </c>
      <c r="D442" s="19" t="str">
        <f>IF($A442="","",'Staff Directory'!$D442)</f>
        <v/>
      </c>
      <c r="E442" s="26" t="str">
        <f>IF($A442="","",COUNTIFS(tblIssues[Staff ID],$A442))</f>
        <v/>
      </c>
      <c r="F442" s="26" t="str">
        <f>IF($A442="","",SUMIFS(tblIssues[Qty Issued],tblIssues[Staff ID],$A442))</f>
        <v/>
      </c>
      <c r="G442" s="21" t="str">
        <f>IF($A442="","",SUMIFS(tblIssues[Line Cost],tblIssues[Staff ID],$A442))</f>
        <v/>
      </c>
      <c r="H442" s="24" t="str">
        <f>IF($A442="","",IF($E442=0,"",IFERROR(_xlfn.MAXIFS(tblIssues[Order Date],tblIssues[Staff ID],$A442),"")))</f>
        <v/>
      </c>
      <c r="I442" s="24" t="str">
        <f>IF($A442="","",IF($E442=0,"",IFERROR(_xlfn.MAXIFS(tblIssues[Next Scheduled],tblIssues[Staff ID],$A442),"")))</f>
        <v/>
      </c>
      <c r="J442" s="26" t="str">
        <f>IF($A442="","",COUNTIFS(tblIssues[Staff ID],$A442,tblIssues[Status],"Pending"))</f>
        <v/>
      </c>
    </row>
    <row r="443" spans="1:10" x14ac:dyDescent="0.35">
      <c r="A443" s="18" t="str">
        <f>IF('Staff Directory'!$A443="","",'Staff Directory'!$A443)</f>
        <v/>
      </c>
      <c r="B443" s="18" t="str">
        <f>IF($A443="","",'Staff Directory'!$B443)</f>
        <v/>
      </c>
      <c r="C443" s="19" t="str">
        <f>IF($A443="","",'Staff Directory'!$C443)</f>
        <v/>
      </c>
      <c r="D443" s="19" t="str">
        <f>IF($A443="","",'Staff Directory'!$D443)</f>
        <v/>
      </c>
      <c r="E443" s="26" t="str">
        <f>IF($A443="","",COUNTIFS(tblIssues[Staff ID],$A443))</f>
        <v/>
      </c>
      <c r="F443" s="26" t="str">
        <f>IF($A443="","",SUMIFS(tblIssues[Qty Issued],tblIssues[Staff ID],$A443))</f>
        <v/>
      </c>
      <c r="G443" s="21" t="str">
        <f>IF($A443="","",SUMIFS(tblIssues[Line Cost],tblIssues[Staff ID],$A443))</f>
        <v/>
      </c>
      <c r="H443" s="24" t="str">
        <f>IF($A443="","",IF($E443=0,"",IFERROR(_xlfn.MAXIFS(tblIssues[Order Date],tblIssues[Staff ID],$A443),"")))</f>
        <v/>
      </c>
      <c r="I443" s="24" t="str">
        <f>IF($A443="","",IF($E443=0,"",IFERROR(_xlfn.MAXIFS(tblIssues[Next Scheduled],tblIssues[Staff ID],$A443),"")))</f>
        <v/>
      </c>
      <c r="J443" s="26" t="str">
        <f>IF($A443="","",COUNTIFS(tblIssues[Staff ID],$A443,tblIssues[Status],"Pending"))</f>
        <v/>
      </c>
    </row>
    <row r="444" spans="1:10" x14ac:dyDescent="0.35">
      <c r="A444" s="18" t="str">
        <f>IF('Staff Directory'!$A444="","",'Staff Directory'!$A444)</f>
        <v/>
      </c>
      <c r="B444" s="18" t="str">
        <f>IF($A444="","",'Staff Directory'!$B444)</f>
        <v/>
      </c>
      <c r="C444" s="19" t="str">
        <f>IF($A444="","",'Staff Directory'!$C444)</f>
        <v/>
      </c>
      <c r="D444" s="19" t="str">
        <f>IF($A444="","",'Staff Directory'!$D444)</f>
        <v/>
      </c>
      <c r="E444" s="26" t="str">
        <f>IF($A444="","",COUNTIFS(tblIssues[Staff ID],$A444))</f>
        <v/>
      </c>
      <c r="F444" s="26" t="str">
        <f>IF($A444="","",SUMIFS(tblIssues[Qty Issued],tblIssues[Staff ID],$A444))</f>
        <v/>
      </c>
      <c r="G444" s="21" t="str">
        <f>IF($A444="","",SUMIFS(tblIssues[Line Cost],tblIssues[Staff ID],$A444))</f>
        <v/>
      </c>
      <c r="H444" s="24" t="str">
        <f>IF($A444="","",IF($E444=0,"",IFERROR(_xlfn.MAXIFS(tblIssues[Order Date],tblIssues[Staff ID],$A444),"")))</f>
        <v/>
      </c>
      <c r="I444" s="24" t="str">
        <f>IF($A444="","",IF($E444=0,"",IFERROR(_xlfn.MAXIFS(tblIssues[Next Scheduled],tblIssues[Staff ID],$A444),"")))</f>
        <v/>
      </c>
      <c r="J444" s="26" t="str">
        <f>IF($A444="","",COUNTIFS(tblIssues[Staff ID],$A444,tblIssues[Status],"Pending"))</f>
        <v/>
      </c>
    </row>
    <row r="445" spans="1:10" x14ac:dyDescent="0.35">
      <c r="A445" s="18" t="str">
        <f>IF('Staff Directory'!$A445="","",'Staff Directory'!$A445)</f>
        <v/>
      </c>
      <c r="B445" s="18" t="str">
        <f>IF($A445="","",'Staff Directory'!$B445)</f>
        <v/>
      </c>
      <c r="C445" s="19" t="str">
        <f>IF($A445="","",'Staff Directory'!$C445)</f>
        <v/>
      </c>
      <c r="D445" s="19" t="str">
        <f>IF($A445="","",'Staff Directory'!$D445)</f>
        <v/>
      </c>
      <c r="E445" s="26" t="str">
        <f>IF($A445="","",COUNTIFS(tblIssues[Staff ID],$A445))</f>
        <v/>
      </c>
      <c r="F445" s="26" t="str">
        <f>IF($A445="","",SUMIFS(tblIssues[Qty Issued],tblIssues[Staff ID],$A445))</f>
        <v/>
      </c>
      <c r="G445" s="21" t="str">
        <f>IF($A445="","",SUMIFS(tblIssues[Line Cost],tblIssues[Staff ID],$A445))</f>
        <v/>
      </c>
      <c r="H445" s="24" t="str">
        <f>IF($A445="","",IF($E445=0,"",IFERROR(_xlfn.MAXIFS(tblIssues[Order Date],tblIssues[Staff ID],$A445),"")))</f>
        <v/>
      </c>
      <c r="I445" s="24" t="str">
        <f>IF($A445="","",IF($E445=0,"",IFERROR(_xlfn.MAXIFS(tblIssues[Next Scheduled],tblIssues[Staff ID],$A445),"")))</f>
        <v/>
      </c>
      <c r="J445" s="26" t="str">
        <f>IF($A445="","",COUNTIFS(tblIssues[Staff ID],$A445,tblIssues[Status],"Pending"))</f>
        <v/>
      </c>
    </row>
    <row r="446" spans="1:10" x14ac:dyDescent="0.35">
      <c r="A446" s="18" t="str">
        <f>IF('Staff Directory'!$A446="","",'Staff Directory'!$A446)</f>
        <v/>
      </c>
      <c r="B446" s="18" t="str">
        <f>IF($A446="","",'Staff Directory'!$B446)</f>
        <v/>
      </c>
      <c r="C446" s="19" t="str">
        <f>IF($A446="","",'Staff Directory'!$C446)</f>
        <v/>
      </c>
      <c r="D446" s="19" t="str">
        <f>IF($A446="","",'Staff Directory'!$D446)</f>
        <v/>
      </c>
      <c r="E446" s="26" t="str">
        <f>IF($A446="","",COUNTIFS(tblIssues[Staff ID],$A446))</f>
        <v/>
      </c>
      <c r="F446" s="26" t="str">
        <f>IF($A446="","",SUMIFS(tblIssues[Qty Issued],tblIssues[Staff ID],$A446))</f>
        <v/>
      </c>
      <c r="G446" s="21" t="str">
        <f>IF($A446="","",SUMIFS(tblIssues[Line Cost],tblIssues[Staff ID],$A446))</f>
        <v/>
      </c>
      <c r="H446" s="24" t="str">
        <f>IF($A446="","",IF($E446=0,"",IFERROR(_xlfn.MAXIFS(tblIssues[Order Date],tblIssues[Staff ID],$A446),"")))</f>
        <v/>
      </c>
      <c r="I446" s="24" t="str">
        <f>IF($A446="","",IF($E446=0,"",IFERROR(_xlfn.MAXIFS(tblIssues[Next Scheduled],tblIssues[Staff ID],$A446),"")))</f>
        <v/>
      </c>
      <c r="J446" s="26" t="str">
        <f>IF($A446="","",COUNTIFS(tblIssues[Staff ID],$A446,tblIssues[Status],"Pending"))</f>
        <v/>
      </c>
    </row>
    <row r="447" spans="1:10" x14ac:dyDescent="0.35">
      <c r="A447" s="18" t="str">
        <f>IF('Staff Directory'!$A447="","",'Staff Directory'!$A447)</f>
        <v/>
      </c>
      <c r="B447" s="18" t="str">
        <f>IF($A447="","",'Staff Directory'!$B447)</f>
        <v/>
      </c>
      <c r="C447" s="19" t="str">
        <f>IF($A447="","",'Staff Directory'!$C447)</f>
        <v/>
      </c>
      <c r="D447" s="19" t="str">
        <f>IF($A447="","",'Staff Directory'!$D447)</f>
        <v/>
      </c>
      <c r="E447" s="26" t="str">
        <f>IF($A447="","",COUNTIFS(tblIssues[Staff ID],$A447))</f>
        <v/>
      </c>
      <c r="F447" s="26" t="str">
        <f>IF($A447="","",SUMIFS(tblIssues[Qty Issued],tblIssues[Staff ID],$A447))</f>
        <v/>
      </c>
      <c r="G447" s="21" t="str">
        <f>IF($A447="","",SUMIFS(tblIssues[Line Cost],tblIssues[Staff ID],$A447))</f>
        <v/>
      </c>
      <c r="H447" s="24" t="str">
        <f>IF($A447="","",IF($E447=0,"",IFERROR(_xlfn.MAXIFS(tblIssues[Order Date],tblIssues[Staff ID],$A447),"")))</f>
        <v/>
      </c>
      <c r="I447" s="24" t="str">
        <f>IF($A447="","",IF($E447=0,"",IFERROR(_xlfn.MAXIFS(tblIssues[Next Scheduled],tblIssues[Staff ID],$A447),"")))</f>
        <v/>
      </c>
      <c r="J447" s="26" t="str">
        <f>IF($A447="","",COUNTIFS(tblIssues[Staff ID],$A447,tblIssues[Status],"Pending"))</f>
        <v/>
      </c>
    </row>
    <row r="448" spans="1:10" x14ac:dyDescent="0.35">
      <c r="A448" s="18" t="str">
        <f>IF('Staff Directory'!$A448="","",'Staff Directory'!$A448)</f>
        <v/>
      </c>
      <c r="B448" s="18" t="str">
        <f>IF($A448="","",'Staff Directory'!$B448)</f>
        <v/>
      </c>
      <c r="C448" s="19" t="str">
        <f>IF($A448="","",'Staff Directory'!$C448)</f>
        <v/>
      </c>
      <c r="D448" s="19" t="str">
        <f>IF($A448="","",'Staff Directory'!$D448)</f>
        <v/>
      </c>
      <c r="E448" s="26" t="str">
        <f>IF($A448="","",COUNTIFS(tblIssues[Staff ID],$A448))</f>
        <v/>
      </c>
      <c r="F448" s="26" t="str">
        <f>IF($A448="","",SUMIFS(tblIssues[Qty Issued],tblIssues[Staff ID],$A448))</f>
        <v/>
      </c>
      <c r="G448" s="21" t="str">
        <f>IF($A448="","",SUMIFS(tblIssues[Line Cost],tblIssues[Staff ID],$A448))</f>
        <v/>
      </c>
      <c r="H448" s="24" t="str">
        <f>IF($A448="","",IF($E448=0,"",IFERROR(_xlfn.MAXIFS(tblIssues[Order Date],tblIssues[Staff ID],$A448),"")))</f>
        <v/>
      </c>
      <c r="I448" s="24" t="str">
        <f>IF($A448="","",IF($E448=0,"",IFERROR(_xlfn.MAXIFS(tblIssues[Next Scheduled],tblIssues[Staff ID],$A448),"")))</f>
        <v/>
      </c>
      <c r="J448" s="26" t="str">
        <f>IF($A448="","",COUNTIFS(tblIssues[Staff ID],$A448,tblIssues[Status],"Pending"))</f>
        <v/>
      </c>
    </row>
    <row r="449" spans="1:10" x14ac:dyDescent="0.35">
      <c r="A449" s="18" t="str">
        <f>IF('Staff Directory'!$A449="","",'Staff Directory'!$A449)</f>
        <v/>
      </c>
      <c r="B449" s="18" t="str">
        <f>IF($A449="","",'Staff Directory'!$B449)</f>
        <v/>
      </c>
      <c r="C449" s="19" t="str">
        <f>IF($A449="","",'Staff Directory'!$C449)</f>
        <v/>
      </c>
      <c r="D449" s="19" t="str">
        <f>IF($A449="","",'Staff Directory'!$D449)</f>
        <v/>
      </c>
      <c r="E449" s="26" t="str">
        <f>IF($A449="","",COUNTIFS(tblIssues[Staff ID],$A449))</f>
        <v/>
      </c>
      <c r="F449" s="26" t="str">
        <f>IF($A449="","",SUMIFS(tblIssues[Qty Issued],tblIssues[Staff ID],$A449))</f>
        <v/>
      </c>
      <c r="G449" s="21" t="str">
        <f>IF($A449="","",SUMIFS(tblIssues[Line Cost],tblIssues[Staff ID],$A449))</f>
        <v/>
      </c>
      <c r="H449" s="24" t="str">
        <f>IF($A449="","",IF($E449=0,"",IFERROR(_xlfn.MAXIFS(tblIssues[Order Date],tblIssues[Staff ID],$A449),"")))</f>
        <v/>
      </c>
      <c r="I449" s="24" t="str">
        <f>IF($A449="","",IF($E449=0,"",IFERROR(_xlfn.MAXIFS(tblIssues[Next Scheduled],tblIssues[Staff ID],$A449),"")))</f>
        <v/>
      </c>
      <c r="J449" s="26" t="str">
        <f>IF($A449="","",COUNTIFS(tblIssues[Staff ID],$A449,tblIssues[Status],"Pending"))</f>
        <v/>
      </c>
    </row>
    <row r="450" spans="1:10" x14ac:dyDescent="0.35">
      <c r="A450" s="18" t="str">
        <f>IF('Staff Directory'!$A450="","",'Staff Directory'!$A450)</f>
        <v/>
      </c>
      <c r="B450" s="18" t="str">
        <f>IF($A450="","",'Staff Directory'!$B450)</f>
        <v/>
      </c>
      <c r="C450" s="19" t="str">
        <f>IF($A450="","",'Staff Directory'!$C450)</f>
        <v/>
      </c>
      <c r="D450" s="19" t="str">
        <f>IF($A450="","",'Staff Directory'!$D450)</f>
        <v/>
      </c>
      <c r="E450" s="26" t="str">
        <f>IF($A450="","",COUNTIFS(tblIssues[Staff ID],$A450))</f>
        <v/>
      </c>
      <c r="F450" s="26" t="str">
        <f>IF($A450="","",SUMIFS(tblIssues[Qty Issued],tblIssues[Staff ID],$A450))</f>
        <v/>
      </c>
      <c r="G450" s="21" t="str">
        <f>IF($A450="","",SUMIFS(tblIssues[Line Cost],tblIssues[Staff ID],$A450))</f>
        <v/>
      </c>
      <c r="H450" s="24" t="str">
        <f>IF($A450="","",IF($E450=0,"",IFERROR(_xlfn.MAXIFS(tblIssues[Order Date],tblIssues[Staff ID],$A450),"")))</f>
        <v/>
      </c>
      <c r="I450" s="24" t="str">
        <f>IF($A450="","",IF($E450=0,"",IFERROR(_xlfn.MAXIFS(tblIssues[Next Scheduled],tblIssues[Staff ID],$A450),"")))</f>
        <v/>
      </c>
      <c r="J450" s="26" t="str">
        <f>IF($A450="","",COUNTIFS(tblIssues[Staff ID],$A450,tblIssues[Status],"Pending"))</f>
        <v/>
      </c>
    </row>
    <row r="451" spans="1:10" x14ac:dyDescent="0.35">
      <c r="A451" s="18" t="str">
        <f>IF('Staff Directory'!$A451="","",'Staff Directory'!$A451)</f>
        <v/>
      </c>
      <c r="B451" s="18" t="str">
        <f>IF($A451="","",'Staff Directory'!$B451)</f>
        <v/>
      </c>
      <c r="C451" s="19" t="str">
        <f>IF($A451="","",'Staff Directory'!$C451)</f>
        <v/>
      </c>
      <c r="D451" s="19" t="str">
        <f>IF($A451="","",'Staff Directory'!$D451)</f>
        <v/>
      </c>
      <c r="E451" s="26" t="str">
        <f>IF($A451="","",COUNTIFS(tblIssues[Staff ID],$A451))</f>
        <v/>
      </c>
      <c r="F451" s="26" t="str">
        <f>IF($A451="","",SUMIFS(tblIssues[Qty Issued],tblIssues[Staff ID],$A451))</f>
        <v/>
      </c>
      <c r="G451" s="21" t="str">
        <f>IF($A451="","",SUMIFS(tblIssues[Line Cost],tblIssues[Staff ID],$A451))</f>
        <v/>
      </c>
      <c r="H451" s="24" t="str">
        <f>IF($A451="","",IF($E451=0,"",IFERROR(_xlfn.MAXIFS(tblIssues[Order Date],tblIssues[Staff ID],$A451),"")))</f>
        <v/>
      </c>
      <c r="I451" s="24" t="str">
        <f>IF($A451="","",IF($E451=0,"",IFERROR(_xlfn.MAXIFS(tblIssues[Next Scheduled],tblIssues[Staff ID],$A451),"")))</f>
        <v/>
      </c>
      <c r="J451" s="26" t="str">
        <f>IF($A451="","",COUNTIFS(tblIssues[Staff ID],$A451,tblIssues[Status],"Pending"))</f>
        <v/>
      </c>
    </row>
    <row r="452" spans="1:10" x14ac:dyDescent="0.35">
      <c r="A452" s="18" t="str">
        <f>IF('Staff Directory'!$A452="","",'Staff Directory'!$A452)</f>
        <v/>
      </c>
      <c r="B452" s="18" t="str">
        <f>IF($A452="","",'Staff Directory'!$B452)</f>
        <v/>
      </c>
      <c r="C452" s="19" t="str">
        <f>IF($A452="","",'Staff Directory'!$C452)</f>
        <v/>
      </c>
      <c r="D452" s="19" t="str">
        <f>IF($A452="","",'Staff Directory'!$D452)</f>
        <v/>
      </c>
      <c r="E452" s="26" t="str">
        <f>IF($A452="","",COUNTIFS(tblIssues[Staff ID],$A452))</f>
        <v/>
      </c>
      <c r="F452" s="26" t="str">
        <f>IF($A452="","",SUMIFS(tblIssues[Qty Issued],tblIssues[Staff ID],$A452))</f>
        <v/>
      </c>
      <c r="G452" s="21" t="str">
        <f>IF($A452="","",SUMIFS(tblIssues[Line Cost],tblIssues[Staff ID],$A452))</f>
        <v/>
      </c>
      <c r="H452" s="24" t="str">
        <f>IF($A452="","",IF($E452=0,"",IFERROR(_xlfn.MAXIFS(tblIssues[Order Date],tblIssues[Staff ID],$A452),"")))</f>
        <v/>
      </c>
      <c r="I452" s="24" t="str">
        <f>IF($A452="","",IF($E452=0,"",IFERROR(_xlfn.MAXIFS(tblIssues[Next Scheduled],tblIssues[Staff ID],$A452),"")))</f>
        <v/>
      </c>
      <c r="J452" s="26" t="str">
        <f>IF($A452="","",COUNTIFS(tblIssues[Staff ID],$A452,tblIssues[Status],"Pending"))</f>
        <v/>
      </c>
    </row>
    <row r="453" spans="1:10" x14ac:dyDescent="0.35">
      <c r="A453" s="18" t="str">
        <f>IF('Staff Directory'!$A453="","",'Staff Directory'!$A453)</f>
        <v/>
      </c>
      <c r="B453" s="18" t="str">
        <f>IF($A453="","",'Staff Directory'!$B453)</f>
        <v/>
      </c>
      <c r="C453" s="19" t="str">
        <f>IF($A453="","",'Staff Directory'!$C453)</f>
        <v/>
      </c>
      <c r="D453" s="19" t="str">
        <f>IF($A453="","",'Staff Directory'!$D453)</f>
        <v/>
      </c>
      <c r="E453" s="26" t="str">
        <f>IF($A453="","",COUNTIFS(tblIssues[Staff ID],$A453))</f>
        <v/>
      </c>
      <c r="F453" s="26" t="str">
        <f>IF($A453="","",SUMIFS(tblIssues[Qty Issued],tblIssues[Staff ID],$A453))</f>
        <v/>
      </c>
      <c r="G453" s="21" t="str">
        <f>IF($A453="","",SUMIFS(tblIssues[Line Cost],tblIssues[Staff ID],$A453))</f>
        <v/>
      </c>
      <c r="H453" s="24" t="str">
        <f>IF($A453="","",IF($E453=0,"",IFERROR(_xlfn.MAXIFS(tblIssues[Order Date],tblIssues[Staff ID],$A453),"")))</f>
        <v/>
      </c>
      <c r="I453" s="24" t="str">
        <f>IF($A453="","",IF($E453=0,"",IFERROR(_xlfn.MAXIFS(tblIssues[Next Scheduled],tblIssues[Staff ID],$A453),"")))</f>
        <v/>
      </c>
      <c r="J453" s="26" t="str">
        <f>IF($A453="","",COUNTIFS(tblIssues[Staff ID],$A453,tblIssues[Status],"Pending"))</f>
        <v/>
      </c>
    </row>
    <row r="454" spans="1:10" x14ac:dyDescent="0.35">
      <c r="A454" s="18" t="str">
        <f>IF('Staff Directory'!$A454="","",'Staff Directory'!$A454)</f>
        <v/>
      </c>
      <c r="B454" s="18" t="str">
        <f>IF($A454="","",'Staff Directory'!$B454)</f>
        <v/>
      </c>
      <c r="C454" s="19" t="str">
        <f>IF($A454="","",'Staff Directory'!$C454)</f>
        <v/>
      </c>
      <c r="D454" s="19" t="str">
        <f>IF($A454="","",'Staff Directory'!$D454)</f>
        <v/>
      </c>
      <c r="E454" s="26" t="str">
        <f>IF($A454="","",COUNTIFS(tblIssues[Staff ID],$A454))</f>
        <v/>
      </c>
      <c r="F454" s="26" t="str">
        <f>IF($A454="","",SUMIFS(tblIssues[Qty Issued],tblIssues[Staff ID],$A454))</f>
        <v/>
      </c>
      <c r="G454" s="21" t="str">
        <f>IF($A454="","",SUMIFS(tblIssues[Line Cost],tblIssues[Staff ID],$A454))</f>
        <v/>
      </c>
      <c r="H454" s="24" t="str">
        <f>IF($A454="","",IF($E454=0,"",IFERROR(_xlfn.MAXIFS(tblIssues[Order Date],tblIssues[Staff ID],$A454),"")))</f>
        <v/>
      </c>
      <c r="I454" s="24" t="str">
        <f>IF($A454="","",IF($E454=0,"",IFERROR(_xlfn.MAXIFS(tblIssues[Next Scheduled],tblIssues[Staff ID],$A454),"")))</f>
        <v/>
      </c>
      <c r="J454" s="26" t="str">
        <f>IF($A454="","",COUNTIFS(tblIssues[Staff ID],$A454,tblIssues[Status],"Pending"))</f>
        <v/>
      </c>
    </row>
    <row r="455" spans="1:10" x14ac:dyDescent="0.35">
      <c r="A455" s="18" t="str">
        <f>IF('Staff Directory'!$A455="","",'Staff Directory'!$A455)</f>
        <v/>
      </c>
      <c r="B455" s="18" t="str">
        <f>IF($A455="","",'Staff Directory'!$B455)</f>
        <v/>
      </c>
      <c r="C455" s="19" t="str">
        <f>IF($A455="","",'Staff Directory'!$C455)</f>
        <v/>
      </c>
      <c r="D455" s="19" t="str">
        <f>IF($A455="","",'Staff Directory'!$D455)</f>
        <v/>
      </c>
      <c r="E455" s="26" t="str">
        <f>IF($A455="","",COUNTIFS(tblIssues[Staff ID],$A455))</f>
        <v/>
      </c>
      <c r="F455" s="26" t="str">
        <f>IF($A455="","",SUMIFS(tblIssues[Qty Issued],tblIssues[Staff ID],$A455))</f>
        <v/>
      </c>
      <c r="G455" s="21" t="str">
        <f>IF($A455="","",SUMIFS(tblIssues[Line Cost],tblIssues[Staff ID],$A455))</f>
        <v/>
      </c>
      <c r="H455" s="24" t="str">
        <f>IF($A455="","",IF($E455=0,"",IFERROR(_xlfn.MAXIFS(tblIssues[Order Date],tblIssues[Staff ID],$A455),"")))</f>
        <v/>
      </c>
      <c r="I455" s="24" t="str">
        <f>IF($A455="","",IF($E455=0,"",IFERROR(_xlfn.MAXIFS(tblIssues[Next Scheduled],tblIssues[Staff ID],$A455),"")))</f>
        <v/>
      </c>
      <c r="J455" s="26" t="str">
        <f>IF($A455="","",COUNTIFS(tblIssues[Staff ID],$A455,tblIssues[Status],"Pending"))</f>
        <v/>
      </c>
    </row>
    <row r="456" spans="1:10" x14ac:dyDescent="0.35">
      <c r="A456" s="18" t="str">
        <f>IF('Staff Directory'!$A456="","",'Staff Directory'!$A456)</f>
        <v/>
      </c>
      <c r="B456" s="18" t="str">
        <f>IF($A456="","",'Staff Directory'!$B456)</f>
        <v/>
      </c>
      <c r="C456" s="19" t="str">
        <f>IF($A456="","",'Staff Directory'!$C456)</f>
        <v/>
      </c>
      <c r="D456" s="19" t="str">
        <f>IF($A456="","",'Staff Directory'!$D456)</f>
        <v/>
      </c>
      <c r="E456" s="26" t="str">
        <f>IF($A456="","",COUNTIFS(tblIssues[Staff ID],$A456))</f>
        <v/>
      </c>
      <c r="F456" s="26" t="str">
        <f>IF($A456="","",SUMIFS(tblIssues[Qty Issued],tblIssues[Staff ID],$A456))</f>
        <v/>
      </c>
      <c r="G456" s="21" t="str">
        <f>IF($A456="","",SUMIFS(tblIssues[Line Cost],tblIssues[Staff ID],$A456))</f>
        <v/>
      </c>
      <c r="H456" s="24" t="str">
        <f>IF($A456="","",IF($E456=0,"",IFERROR(_xlfn.MAXIFS(tblIssues[Order Date],tblIssues[Staff ID],$A456),"")))</f>
        <v/>
      </c>
      <c r="I456" s="24" t="str">
        <f>IF($A456="","",IF($E456=0,"",IFERROR(_xlfn.MAXIFS(tblIssues[Next Scheduled],tblIssues[Staff ID],$A456),"")))</f>
        <v/>
      </c>
      <c r="J456" s="26" t="str">
        <f>IF($A456="","",COUNTIFS(tblIssues[Staff ID],$A456,tblIssues[Status],"Pending"))</f>
        <v/>
      </c>
    </row>
    <row r="457" spans="1:10" x14ac:dyDescent="0.35">
      <c r="A457" s="18" t="str">
        <f>IF('Staff Directory'!$A457="","",'Staff Directory'!$A457)</f>
        <v/>
      </c>
      <c r="B457" s="18" t="str">
        <f>IF($A457="","",'Staff Directory'!$B457)</f>
        <v/>
      </c>
      <c r="C457" s="19" t="str">
        <f>IF($A457="","",'Staff Directory'!$C457)</f>
        <v/>
      </c>
      <c r="D457" s="19" t="str">
        <f>IF($A457="","",'Staff Directory'!$D457)</f>
        <v/>
      </c>
      <c r="E457" s="26" t="str">
        <f>IF($A457="","",COUNTIFS(tblIssues[Staff ID],$A457))</f>
        <v/>
      </c>
      <c r="F457" s="26" t="str">
        <f>IF($A457="","",SUMIFS(tblIssues[Qty Issued],tblIssues[Staff ID],$A457))</f>
        <v/>
      </c>
      <c r="G457" s="21" t="str">
        <f>IF($A457="","",SUMIFS(tblIssues[Line Cost],tblIssues[Staff ID],$A457))</f>
        <v/>
      </c>
      <c r="H457" s="24" t="str">
        <f>IF($A457="","",IF($E457=0,"",IFERROR(_xlfn.MAXIFS(tblIssues[Order Date],tblIssues[Staff ID],$A457),"")))</f>
        <v/>
      </c>
      <c r="I457" s="24" t="str">
        <f>IF($A457="","",IF($E457=0,"",IFERROR(_xlfn.MAXIFS(tblIssues[Next Scheduled],tblIssues[Staff ID],$A457),"")))</f>
        <v/>
      </c>
      <c r="J457" s="26" t="str">
        <f>IF($A457="","",COUNTIFS(tblIssues[Staff ID],$A457,tblIssues[Status],"Pending"))</f>
        <v/>
      </c>
    </row>
    <row r="458" spans="1:10" x14ac:dyDescent="0.35">
      <c r="A458" s="18" t="str">
        <f>IF('Staff Directory'!$A458="","",'Staff Directory'!$A458)</f>
        <v/>
      </c>
      <c r="B458" s="18" t="str">
        <f>IF($A458="","",'Staff Directory'!$B458)</f>
        <v/>
      </c>
      <c r="C458" s="19" t="str">
        <f>IF($A458="","",'Staff Directory'!$C458)</f>
        <v/>
      </c>
      <c r="D458" s="19" t="str">
        <f>IF($A458="","",'Staff Directory'!$D458)</f>
        <v/>
      </c>
      <c r="E458" s="26" t="str">
        <f>IF($A458="","",COUNTIFS(tblIssues[Staff ID],$A458))</f>
        <v/>
      </c>
      <c r="F458" s="26" t="str">
        <f>IF($A458="","",SUMIFS(tblIssues[Qty Issued],tblIssues[Staff ID],$A458))</f>
        <v/>
      </c>
      <c r="G458" s="21" t="str">
        <f>IF($A458="","",SUMIFS(tblIssues[Line Cost],tblIssues[Staff ID],$A458))</f>
        <v/>
      </c>
      <c r="H458" s="24" t="str">
        <f>IF($A458="","",IF($E458=0,"",IFERROR(_xlfn.MAXIFS(tblIssues[Order Date],tblIssues[Staff ID],$A458),"")))</f>
        <v/>
      </c>
      <c r="I458" s="24" t="str">
        <f>IF($A458="","",IF($E458=0,"",IFERROR(_xlfn.MAXIFS(tblIssues[Next Scheduled],tblIssues[Staff ID],$A458),"")))</f>
        <v/>
      </c>
      <c r="J458" s="26" t="str">
        <f>IF($A458="","",COUNTIFS(tblIssues[Staff ID],$A458,tblIssues[Status],"Pending"))</f>
        <v/>
      </c>
    </row>
    <row r="459" spans="1:10" x14ac:dyDescent="0.35">
      <c r="A459" s="18" t="str">
        <f>IF('Staff Directory'!$A459="","",'Staff Directory'!$A459)</f>
        <v/>
      </c>
      <c r="B459" s="18" t="str">
        <f>IF($A459="","",'Staff Directory'!$B459)</f>
        <v/>
      </c>
      <c r="C459" s="19" t="str">
        <f>IF($A459="","",'Staff Directory'!$C459)</f>
        <v/>
      </c>
      <c r="D459" s="19" t="str">
        <f>IF($A459="","",'Staff Directory'!$D459)</f>
        <v/>
      </c>
      <c r="E459" s="26" t="str">
        <f>IF($A459="","",COUNTIFS(tblIssues[Staff ID],$A459))</f>
        <v/>
      </c>
      <c r="F459" s="26" t="str">
        <f>IF($A459="","",SUMIFS(tblIssues[Qty Issued],tblIssues[Staff ID],$A459))</f>
        <v/>
      </c>
      <c r="G459" s="21" t="str">
        <f>IF($A459="","",SUMIFS(tblIssues[Line Cost],tblIssues[Staff ID],$A459))</f>
        <v/>
      </c>
      <c r="H459" s="24" t="str">
        <f>IF($A459="","",IF($E459=0,"",IFERROR(_xlfn.MAXIFS(tblIssues[Order Date],tblIssues[Staff ID],$A459),"")))</f>
        <v/>
      </c>
      <c r="I459" s="24" t="str">
        <f>IF($A459="","",IF($E459=0,"",IFERROR(_xlfn.MAXIFS(tblIssues[Next Scheduled],tblIssues[Staff ID],$A459),"")))</f>
        <v/>
      </c>
      <c r="J459" s="26" t="str">
        <f>IF($A459="","",COUNTIFS(tblIssues[Staff ID],$A459,tblIssues[Status],"Pending"))</f>
        <v/>
      </c>
    </row>
    <row r="460" spans="1:10" x14ac:dyDescent="0.35">
      <c r="A460" s="18" t="str">
        <f>IF('Staff Directory'!$A460="","",'Staff Directory'!$A460)</f>
        <v/>
      </c>
      <c r="B460" s="18" t="str">
        <f>IF($A460="","",'Staff Directory'!$B460)</f>
        <v/>
      </c>
      <c r="C460" s="19" t="str">
        <f>IF($A460="","",'Staff Directory'!$C460)</f>
        <v/>
      </c>
      <c r="D460" s="19" t="str">
        <f>IF($A460="","",'Staff Directory'!$D460)</f>
        <v/>
      </c>
      <c r="E460" s="26" t="str">
        <f>IF($A460="","",COUNTIFS(tblIssues[Staff ID],$A460))</f>
        <v/>
      </c>
      <c r="F460" s="26" t="str">
        <f>IF($A460="","",SUMIFS(tblIssues[Qty Issued],tblIssues[Staff ID],$A460))</f>
        <v/>
      </c>
      <c r="G460" s="21" t="str">
        <f>IF($A460="","",SUMIFS(tblIssues[Line Cost],tblIssues[Staff ID],$A460))</f>
        <v/>
      </c>
      <c r="H460" s="24" t="str">
        <f>IF($A460="","",IF($E460=0,"",IFERROR(_xlfn.MAXIFS(tblIssues[Order Date],tblIssues[Staff ID],$A460),"")))</f>
        <v/>
      </c>
      <c r="I460" s="24" t="str">
        <f>IF($A460="","",IF($E460=0,"",IFERROR(_xlfn.MAXIFS(tblIssues[Next Scheduled],tblIssues[Staff ID],$A460),"")))</f>
        <v/>
      </c>
      <c r="J460" s="26" t="str">
        <f>IF($A460="","",COUNTIFS(tblIssues[Staff ID],$A460,tblIssues[Status],"Pending"))</f>
        <v/>
      </c>
    </row>
    <row r="461" spans="1:10" x14ac:dyDescent="0.35">
      <c r="A461" s="18" t="str">
        <f>IF('Staff Directory'!$A461="","",'Staff Directory'!$A461)</f>
        <v/>
      </c>
      <c r="B461" s="18" t="str">
        <f>IF($A461="","",'Staff Directory'!$B461)</f>
        <v/>
      </c>
      <c r="C461" s="19" t="str">
        <f>IF($A461="","",'Staff Directory'!$C461)</f>
        <v/>
      </c>
      <c r="D461" s="19" t="str">
        <f>IF($A461="","",'Staff Directory'!$D461)</f>
        <v/>
      </c>
      <c r="E461" s="26" t="str">
        <f>IF($A461="","",COUNTIFS(tblIssues[Staff ID],$A461))</f>
        <v/>
      </c>
      <c r="F461" s="26" t="str">
        <f>IF($A461="","",SUMIFS(tblIssues[Qty Issued],tblIssues[Staff ID],$A461))</f>
        <v/>
      </c>
      <c r="G461" s="21" t="str">
        <f>IF($A461="","",SUMIFS(tblIssues[Line Cost],tblIssues[Staff ID],$A461))</f>
        <v/>
      </c>
      <c r="H461" s="24" t="str">
        <f>IF($A461="","",IF($E461=0,"",IFERROR(_xlfn.MAXIFS(tblIssues[Order Date],tblIssues[Staff ID],$A461),"")))</f>
        <v/>
      </c>
      <c r="I461" s="24" t="str">
        <f>IF($A461="","",IF($E461=0,"",IFERROR(_xlfn.MAXIFS(tblIssues[Next Scheduled],tblIssues[Staff ID],$A461),"")))</f>
        <v/>
      </c>
      <c r="J461" s="26" t="str">
        <f>IF($A461="","",COUNTIFS(tblIssues[Staff ID],$A461,tblIssues[Status],"Pending"))</f>
        <v/>
      </c>
    </row>
    <row r="462" spans="1:10" x14ac:dyDescent="0.35">
      <c r="A462" s="18" t="str">
        <f>IF('Staff Directory'!$A462="","",'Staff Directory'!$A462)</f>
        <v/>
      </c>
      <c r="B462" s="18" t="str">
        <f>IF($A462="","",'Staff Directory'!$B462)</f>
        <v/>
      </c>
      <c r="C462" s="19" t="str">
        <f>IF($A462="","",'Staff Directory'!$C462)</f>
        <v/>
      </c>
      <c r="D462" s="19" t="str">
        <f>IF($A462="","",'Staff Directory'!$D462)</f>
        <v/>
      </c>
      <c r="E462" s="26" t="str">
        <f>IF($A462="","",COUNTIFS(tblIssues[Staff ID],$A462))</f>
        <v/>
      </c>
      <c r="F462" s="26" t="str">
        <f>IF($A462="","",SUMIFS(tblIssues[Qty Issued],tblIssues[Staff ID],$A462))</f>
        <v/>
      </c>
      <c r="G462" s="21" t="str">
        <f>IF($A462="","",SUMIFS(tblIssues[Line Cost],tblIssues[Staff ID],$A462))</f>
        <v/>
      </c>
      <c r="H462" s="24" t="str">
        <f>IF($A462="","",IF($E462=0,"",IFERROR(_xlfn.MAXIFS(tblIssues[Order Date],tblIssues[Staff ID],$A462),"")))</f>
        <v/>
      </c>
      <c r="I462" s="24" t="str">
        <f>IF($A462="","",IF($E462=0,"",IFERROR(_xlfn.MAXIFS(tblIssues[Next Scheduled],tblIssues[Staff ID],$A462),"")))</f>
        <v/>
      </c>
      <c r="J462" s="26" t="str">
        <f>IF($A462="","",COUNTIFS(tblIssues[Staff ID],$A462,tblIssues[Status],"Pending"))</f>
        <v/>
      </c>
    </row>
    <row r="463" spans="1:10" x14ac:dyDescent="0.35">
      <c r="A463" s="18" t="str">
        <f>IF('Staff Directory'!$A463="","",'Staff Directory'!$A463)</f>
        <v/>
      </c>
      <c r="B463" s="18" t="str">
        <f>IF($A463="","",'Staff Directory'!$B463)</f>
        <v/>
      </c>
      <c r="C463" s="19" t="str">
        <f>IF($A463="","",'Staff Directory'!$C463)</f>
        <v/>
      </c>
      <c r="D463" s="19" t="str">
        <f>IF($A463="","",'Staff Directory'!$D463)</f>
        <v/>
      </c>
      <c r="E463" s="26" t="str">
        <f>IF($A463="","",COUNTIFS(tblIssues[Staff ID],$A463))</f>
        <v/>
      </c>
      <c r="F463" s="26" t="str">
        <f>IF($A463="","",SUMIFS(tblIssues[Qty Issued],tblIssues[Staff ID],$A463))</f>
        <v/>
      </c>
      <c r="G463" s="21" t="str">
        <f>IF($A463="","",SUMIFS(tblIssues[Line Cost],tblIssues[Staff ID],$A463))</f>
        <v/>
      </c>
      <c r="H463" s="24" t="str">
        <f>IF($A463="","",IF($E463=0,"",IFERROR(_xlfn.MAXIFS(tblIssues[Order Date],tblIssues[Staff ID],$A463),"")))</f>
        <v/>
      </c>
      <c r="I463" s="24" t="str">
        <f>IF($A463="","",IF($E463=0,"",IFERROR(_xlfn.MAXIFS(tblIssues[Next Scheduled],tblIssues[Staff ID],$A463),"")))</f>
        <v/>
      </c>
      <c r="J463" s="26" t="str">
        <f>IF($A463="","",COUNTIFS(tblIssues[Staff ID],$A463,tblIssues[Status],"Pending"))</f>
        <v/>
      </c>
    </row>
    <row r="464" spans="1:10" x14ac:dyDescent="0.35">
      <c r="A464" s="18" t="str">
        <f>IF('Staff Directory'!$A464="","",'Staff Directory'!$A464)</f>
        <v/>
      </c>
      <c r="B464" s="18" t="str">
        <f>IF($A464="","",'Staff Directory'!$B464)</f>
        <v/>
      </c>
      <c r="C464" s="19" t="str">
        <f>IF($A464="","",'Staff Directory'!$C464)</f>
        <v/>
      </c>
      <c r="D464" s="19" t="str">
        <f>IF($A464="","",'Staff Directory'!$D464)</f>
        <v/>
      </c>
      <c r="E464" s="26" t="str">
        <f>IF($A464="","",COUNTIFS(tblIssues[Staff ID],$A464))</f>
        <v/>
      </c>
      <c r="F464" s="26" t="str">
        <f>IF($A464="","",SUMIFS(tblIssues[Qty Issued],tblIssues[Staff ID],$A464))</f>
        <v/>
      </c>
      <c r="G464" s="21" t="str">
        <f>IF($A464="","",SUMIFS(tblIssues[Line Cost],tblIssues[Staff ID],$A464))</f>
        <v/>
      </c>
      <c r="H464" s="24" t="str">
        <f>IF($A464="","",IF($E464=0,"",IFERROR(_xlfn.MAXIFS(tblIssues[Order Date],tblIssues[Staff ID],$A464),"")))</f>
        <v/>
      </c>
      <c r="I464" s="24" t="str">
        <f>IF($A464="","",IF($E464=0,"",IFERROR(_xlfn.MAXIFS(tblIssues[Next Scheduled],tblIssues[Staff ID],$A464),"")))</f>
        <v/>
      </c>
      <c r="J464" s="26" t="str">
        <f>IF($A464="","",COUNTIFS(tblIssues[Staff ID],$A464,tblIssues[Status],"Pending"))</f>
        <v/>
      </c>
    </row>
    <row r="465" spans="1:10" x14ac:dyDescent="0.35">
      <c r="A465" s="18" t="str">
        <f>IF('Staff Directory'!$A465="","",'Staff Directory'!$A465)</f>
        <v/>
      </c>
      <c r="B465" s="18" t="str">
        <f>IF($A465="","",'Staff Directory'!$B465)</f>
        <v/>
      </c>
      <c r="C465" s="19" t="str">
        <f>IF($A465="","",'Staff Directory'!$C465)</f>
        <v/>
      </c>
      <c r="D465" s="19" t="str">
        <f>IF($A465="","",'Staff Directory'!$D465)</f>
        <v/>
      </c>
      <c r="E465" s="26" t="str">
        <f>IF($A465="","",COUNTIFS(tblIssues[Staff ID],$A465))</f>
        <v/>
      </c>
      <c r="F465" s="26" t="str">
        <f>IF($A465="","",SUMIFS(tblIssues[Qty Issued],tblIssues[Staff ID],$A465))</f>
        <v/>
      </c>
      <c r="G465" s="21" t="str">
        <f>IF($A465="","",SUMIFS(tblIssues[Line Cost],tblIssues[Staff ID],$A465))</f>
        <v/>
      </c>
      <c r="H465" s="24" t="str">
        <f>IF($A465="","",IF($E465=0,"",IFERROR(_xlfn.MAXIFS(tblIssues[Order Date],tblIssues[Staff ID],$A465),"")))</f>
        <v/>
      </c>
      <c r="I465" s="24" t="str">
        <f>IF($A465="","",IF($E465=0,"",IFERROR(_xlfn.MAXIFS(tblIssues[Next Scheduled],tblIssues[Staff ID],$A465),"")))</f>
        <v/>
      </c>
      <c r="J465" s="26" t="str">
        <f>IF($A465="","",COUNTIFS(tblIssues[Staff ID],$A465,tblIssues[Status],"Pending"))</f>
        <v/>
      </c>
    </row>
    <row r="466" spans="1:10" x14ac:dyDescent="0.35">
      <c r="A466" s="18" t="str">
        <f>IF('Staff Directory'!$A466="","",'Staff Directory'!$A466)</f>
        <v/>
      </c>
      <c r="B466" s="18" t="str">
        <f>IF($A466="","",'Staff Directory'!$B466)</f>
        <v/>
      </c>
      <c r="C466" s="19" t="str">
        <f>IF($A466="","",'Staff Directory'!$C466)</f>
        <v/>
      </c>
      <c r="D466" s="19" t="str">
        <f>IF($A466="","",'Staff Directory'!$D466)</f>
        <v/>
      </c>
      <c r="E466" s="26" t="str">
        <f>IF($A466="","",COUNTIFS(tblIssues[Staff ID],$A466))</f>
        <v/>
      </c>
      <c r="F466" s="26" t="str">
        <f>IF($A466="","",SUMIFS(tblIssues[Qty Issued],tblIssues[Staff ID],$A466))</f>
        <v/>
      </c>
      <c r="G466" s="21" t="str">
        <f>IF($A466="","",SUMIFS(tblIssues[Line Cost],tblIssues[Staff ID],$A466))</f>
        <v/>
      </c>
      <c r="H466" s="24" t="str">
        <f>IF($A466="","",IF($E466=0,"",IFERROR(_xlfn.MAXIFS(tblIssues[Order Date],tblIssues[Staff ID],$A466),"")))</f>
        <v/>
      </c>
      <c r="I466" s="24" t="str">
        <f>IF($A466="","",IF($E466=0,"",IFERROR(_xlfn.MAXIFS(tblIssues[Next Scheduled],tblIssues[Staff ID],$A466),"")))</f>
        <v/>
      </c>
      <c r="J466" s="26" t="str">
        <f>IF($A466="","",COUNTIFS(tblIssues[Staff ID],$A466,tblIssues[Status],"Pending"))</f>
        <v/>
      </c>
    </row>
    <row r="467" spans="1:10" x14ac:dyDescent="0.35">
      <c r="A467" s="18" t="str">
        <f>IF('Staff Directory'!$A467="","",'Staff Directory'!$A467)</f>
        <v/>
      </c>
      <c r="B467" s="18" t="str">
        <f>IF($A467="","",'Staff Directory'!$B467)</f>
        <v/>
      </c>
      <c r="C467" s="19" t="str">
        <f>IF($A467="","",'Staff Directory'!$C467)</f>
        <v/>
      </c>
      <c r="D467" s="19" t="str">
        <f>IF($A467="","",'Staff Directory'!$D467)</f>
        <v/>
      </c>
      <c r="E467" s="26" t="str">
        <f>IF($A467="","",COUNTIFS(tblIssues[Staff ID],$A467))</f>
        <v/>
      </c>
      <c r="F467" s="26" t="str">
        <f>IF($A467="","",SUMIFS(tblIssues[Qty Issued],tblIssues[Staff ID],$A467))</f>
        <v/>
      </c>
      <c r="G467" s="21" t="str">
        <f>IF($A467="","",SUMIFS(tblIssues[Line Cost],tblIssues[Staff ID],$A467))</f>
        <v/>
      </c>
      <c r="H467" s="24" t="str">
        <f>IF($A467="","",IF($E467=0,"",IFERROR(_xlfn.MAXIFS(tblIssues[Order Date],tblIssues[Staff ID],$A467),"")))</f>
        <v/>
      </c>
      <c r="I467" s="24" t="str">
        <f>IF($A467="","",IF($E467=0,"",IFERROR(_xlfn.MAXIFS(tblIssues[Next Scheduled],tblIssues[Staff ID],$A467),"")))</f>
        <v/>
      </c>
      <c r="J467" s="26" t="str">
        <f>IF($A467="","",COUNTIFS(tblIssues[Staff ID],$A467,tblIssues[Status],"Pending"))</f>
        <v/>
      </c>
    </row>
    <row r="468" spans="1:10" x14ac:dyDescent="0.35">
      <c r="A468" s="18" t="str">
        <f>IF('Staff Directory'!$A468="","",'Staff Directory'!$A468)</f>
        <v/>
      </c>
      <c r="B468" s="18" t="str">
        <f>IF($A468="","",'Staff Directory'!$B468)</f>
        <v/>
      </c>
      <c r="C468" s="19" t="str">
        <f>IF($A468="","",'Staff Directory'!$C468)</f>
        <v/>
      </c>
      <c r="D468" s="19" t="str">
        <f>IF($A468="","",'Staff Directory'!$D468)</f>
        <v/>
      </c>
      <c r="E468" s="26" t="str">
        <f>IF($A468="","",COUNTIFS(tblIssues[Staff ID],$A468))</f>
        <v/>
      </c>
      <c r="F468" s="26" t="str">
        <f>IF($A468="","",SUMIFS(tblIssues[Qty Issued],tblIssues[Staff ID],$A468))</f>
        <v/>
      </c>
      <c r="G468" s="21" t="str">
        <f>IF($A468="","",SUMIFS(tblIssues[Line Cost],tblIssues[Staff ID],$A468))</f>
        <v/>
      </c>
      <c r="H468" s="24" t="str">
        <f>IF($A468="","",IF($E468=0,"",IFERROR(_xlfn.MAXIFS(tblIssues[Order Date],tblIssues[Staff ID],$A468),"")))</f>
        <v/>
      </c>
      <c r="I468" s="24" t="str">
        <f>IF($A468="","",IF($E468=0,"",IFERROR(_xlfn.MAXIFS(tblIssues[Next Scheduled],tblIssues[Staff ID],$A468),"")))</f>
        <v/>
      </c>
      <c r="J468" s="26" t="str">
        <f>IF($A468="","",COUNTIFS(tblIssues[Staff ID],$A468,tblIssues[Status],"Pending"))</f>
        <v/>
      </c>
    </row>
    <row r="469" spans="1:10" x14ac:dyDescent="0.35">
      <c r="A469" s="18" t="str">
        <f>IF('Staff Directory'!$A469="","",'Staff Directory'!$A469)</f>
        <v/>
      </c>
      <c r="B469" s="18" t="str">
        <f>IF($A469="","",'Staff Directory'!$B469)</f>
        <v/>
      </c>
      <c r="C469" s="19" t="str">
        <f>IF($A469="","",'Staff Directory'!$C469)</f>
        <v/>
      </c>
      <c r="D469" s="19" t="str">
        <f>IF($A469="","",'Staff Directory'!$D469)</f>
        <v/>
      </c>
      <c r="E469" s="26" t="str">
        <f>IF($A469="","",COUNTIFS(tblIssues[Staff ID],$A469))</f>
        <v/>
      </c>
      <c r="F469" s="26" t="str">
        <f>IF($A469="","",SUMIFS(tblIssues[Qty Issued],tblIssues[Staff ID],$A469))</f>
        <v/>
      </c>
      <c r="G469" s="21" t="str">
        <f>IF($A469="","",SUMIFS(tblIssues[Line Cost],tblIssues[Staff ID],$A469))</f>
        <v/>
      </c>
      <c r="H469" s="24" t="str">
        <f>IF($A469="","",IF($E469=0,"",IFERROR(_xlfn.MAXIFS(tblIssues[Order Date],tblIssues[Staff ID],$A469),"")))</f>
        <v/>
      </c>
      <c r="I469" s="24" t="str">
        <f>IF($A469="","",IF($E469=0,"",IFERROR(_xlfn.MAXIFS(tblIssues[Next Scheduled],tblIssues[Staff ID],$A469),"")))</f>
        <v/>
      </c>
      <c r="J469" s="26" t="str">
        <f>IF($A469="","",COUNTIFS(tblIssues[Staff ID],$A469,tblIssues[Status],"Pending"))</f>
        <v/>
      </c>
    </row>
    <row r="470" spans="1:10" x14ac:dyDescent="0.35">
      <c r="A470" s="18" t="str">
        <f>IF('Staff Directory'!$A470="","",'Staff Directory'!$A470)</f>
        <v/>
      </c>
      <c r="B470" s="18" t="str">
        <f>IF($A470="","",'Staff Directory'!$B470)</f>
        <v/>
      </c>
      <c r="C470" s="19" t="str">
        <f>IF($A470="","",'Staff Directory'!$C470)</f>
        <v/>
      </c>
      <c r="D470" s="19" t="str">
        <f>IF($A470="","",'Staff Directory'!$D470)</f>
        <v/>
      </c>
      <c r="E470" s="26" t="str">
        <f>IF($A470="","",COUNTIFS(tblIssues[Staff ID],$A470))</f>
        <v/>
      </c>
      <c r="F470" s="26" t="str">
        <f>IF($A470="","",SUMIFS(tblIssues[Qty Issued],tblIssues[Staff ID],$A470))</f>
        <v/>
      </c>
      <c r="G470" s="21" t="str">
        <f>IF($A470="","",SUMIFS(tblIssues[Line Cost],tblIssues[Staff ID],$A470))</f>
        <v/>
      </c>
      <c r="H470" s="24" t="str">
        <f>IF($A470="","",IF($E470=0,"",IFERROR(_xlfn.MAXIFS(tblIssues[Order Date],tblIssues[Staff ID],$A470),"")))</f>
        <v/>
      </c>
      <c r="I470" s="24" t="str">
        <f>IF($A470="","",IF($E470=0,"",IFERROR(_xlfn.MAXIFS(tblIssues[Next Scheduled],tblIssues[Staff ID],$A470),"")))</f>
        <v/>
      </c>
      <c r="J470" s="26" t="str">
        <f>IF($A470="","",COUNTIFS(tblIssues[Staff ID],$A470,tblIssues[Status],"Pending"))</f>
        <v/>
      </c>
    </row>
    <row r="471" spans="1:10" x14ac:dyDescent="0.35">
      <c r="A471" s="18" t="str">
        <f>IF('Staff Directory'!$A471="","",'Staff Directory'!$A471)</f>
        <v/>
      </c>
      <c r="B471" s="18" t="str">
        <f>IF($A471="","",'Staff Directory'!$B471)</f>
        <v/>
      </c>
      <c r="C471" s="19" t="str">
        <f>IF($A471="","",'Staff Directory'!$C471)</f>
        <v/>
      </c>
      <c r="D471" s="19" t="str">
        <f>IF($A471="","",'Staff Directory'!$D471)</f>
        <v/>
      </c>
      <c r="E471" s="26" t="str">
        <f>IF($A471="","",COUNTIFS(tblIssues[Staff ID],$A471))</f>
        <v/>
      </c>
      <c r="F471" s="26" t="str">
        <f>IF($A471="","",SUMIFS(tblIssues[Qty Issued],tblIssues[Staff ID],$A471))</f>
        <v/>
      </c>
      <c r="G471" s="21" t="str">
        <f>IF($A471="","",SUMIFS(tblIssues[Line Cost],tblIssues[Staff ID],$A471))</f>
        <v/>
      </c>
      <c r="H471" s="24" t="str">
        <f>IF($A471="","",IF($E471=0,"",IFERROR(_xlfn.MAXIFS(tblIssues[Order Date],tblIssues[Staff ID],$A471),"")))</f>
        <v/>
      </c>
      <c r="I471" s="24" t="str">
        <f>IF($A471="","",IF($E471=0,"",IFERROR(_xlfn.MAXIFS(tblIssues[Next Scheduled],tblIssues[Staff ID],$A471),"")))</f>
        <v/>
      </c>
      <c r="J471" s="26" t="str">
        <f>IF($A471="","",COUNTIFS(tblIssues[Staff ID],$A471,tblIssues[Status],"Pending"))</f>
        <v/>
      </c>
    </row>
    <row r="472" spans="1:10" x14ac:dyDescent="0.35">
      <c r="A472" s="18" t="str">
        <f>IF('Staff Directory'!$A472="","",'Staff Directory'!$A472)</f>
        <v/>
      </c>
      <c r="B472" s="18" t="str">
        <f>IF($A472="","",'Staff Directory'!$B472)</f>
        <v/>
      </c>
      <c r="C472" s="19" t="str">
        <f>IF($A472="","",'Staff Directory'!$C472)</f>
        <v/>
      </c>
      <c r="D472" s="19" t="str">
        <f>IF($A472="","",'Staff Directory'!$D472)</f>
        <v/>
      </c>
      <c r="E472" s="26" t="str">
        <f>IF($A472="","",COUNTIFS(tblIssues[Staff ID],$A472))</f>
        <v/>
      </c>
      <c r="F472" s="26" t="str">
        <f>IF($A472="","",SUMIFS(tblIssues[Qty Issued],tblIssues[Staff ID],$A472))</f>
        <v/>
      </c>
      <c r="G472" s="21" t="str">
        <f>IF($A472="","",SUMIFS(tblIssues[Line Cost],tblIssues[Staff ID],$A472))</f>
        <v/>
      </c>
      <c r="H472" s="24" t="str">
        <f>IF($A472="","",IF($E472=0,"",IFERROR(_xlfn.MAXIFS(tblIssues[Order Date],tblIssues[Staff ID],$A472),"")))</f>
        <v/>
      </c>
      <c r="I472" s="24" t="str">
        <f>IF($A472="","",IF($E472=0,"",IFERROR(_xlfn.MAXIFS(tblIssues[Next Scheduled],tblIssues[Staff ID],$A472),"")))</f>
        <v/>
      </c>
      <c r="J472" s="26" t="str">
        <f>IF($A472="","",COUNTIFS(tblIssues[Staff ID],$A472,tblIssues[Status],"Pending"))</f>
        <v/>
      </c>
    </row>
    <row r="473" spans="1:10" x14ac:dyDescent="0.35">
      <c r="A473" s="18" t="str">
        <f>IF('Staff Directory'!$A473="","",'Staff Directory'!$A473)</f>
        <v/>
      </c>
      <c r="B473" s="18" t="str">
        <f>IF($A473="","",'Staff Directory'!$B473)</f>
        <v/>
      </c>
      <c r="C473" s="19" t="str">
        <f>IF($A473="","",'Staff Directory'!$C473)</f>
        <v/>
      </c>
      <c r="D473" s="19" t="str">
        <f>IF($A473="","",'Staff Directory'!$D473)</f>
        <v/>
      </c>
      <c r="E473" s="26" t="str">
        <f>IF($A473="","",COUNTIFS(tblIssues[Staff ID],$A473))</f>
        <v/>
      </c>
      <c r="F473" s="26" t="str">
        <f>IF($A473="","",SUMIFS(tblIssues[Qty Issued],tblIssues[Staff ID],$A473))</f>
        <v/>
      </c>
      <c r="G473" s="21" t="str">
        <f>IF($A473="","",SUMIFS(tblIssues[Line Cost],tblIssues[Staff ID],$A473))</f>
        <v/>
      </c>
      <c r="H473" s="24" t="str">
        <f>IF($A473="","",IF($E473=0,"",IFERROR(_xlfn.MAXIFS(tblIssues[Order Date],tblIssues[Staff ID],$A473),"")))</f>
        <v/>
      </c>
      <c r="I473" s="24" t="str">
        <f>IF($A473="","",IF($E473=0,"",IFERROR(_xlfn.MAXIFS(tblIssues[Next Scheduled],tblIssues[Staff ID],$A473),"")))</f>
        <v/>
      </c>
      <c r="J473" s="26" t="str">
        <f>IF($A473="","",COUNTIFS(tblIssues[Staff ID],$A473,tblIssues[Status],"Pending"))</f>
        <v/>
      </c>
    </row>
    <row r="474" spans="1:10" x14ac:dyDescent="0.35">
      <c r="A474" s="18" t="str">
        <f>IF('Staff Directory'!$A474="","",'Staff Directory'!$A474)</f>
        <v/>
      </c>
      <c r="B474" s="18" t="str">
        <f>IF($A474="","",'Staff Directory'!$B474)</f>
        <v/>
      </c>
      <c r="C474" s="19" t="str">
        <f>IF($A474="","",'Staff Directory'!$C474)</f>
        <v/>
      </c>
      <c r="D474" s="19" t="str">
        <f>IF($A474="","",'Staff Directory'!$D474)</f>
        <v/>
      </c>
      <c r="E474" s="26" t="str">
        <f>IF($A474="","",COUNTIFS(tblIssues[Staff ID],$A474))</f>
        <v/>
      </c>
      <c r="F474" s="26" t="str">
        <f>IF($A474="","",SUMIFS(tblIssues[Qty Issued],tblIssues[Staff ID],$A474))</f>
        <v/>
      </c>
      <c r="G474" s="21" t="str">
        <f>IF($A474="","",SUMIFS(tblIssues[Line Cost],tblIssues[Staff ID],$A474))</f>
        <v/>
      </c>
      <c r="H474" s="24" t="str">
        <f>IF($A474="","",IF($E474=0,"",IFERROR(_xlfn.MAXIFS(tblIssues[Order Date],tblIssues[Staff ID],$A474),"")))</f>
        <v/>
      </c>
      <c r="I474" s="24" t="str">
        <f>IF($A474="","",IF($E474=0,"",IFERROR(_xlfn.MAXIFS(tblIssues[Next Scheduled],tblIssues[Staff ID],$A474),"")))</f>
        <v/>
      </c>
      <c r="J474" s="26" t="str">
        <f>IF($A474="","",COUNTIFS(tblIssues[Staff ID],$A474,tblIssues[Status],"Pending"))</f>
        <v/>
      </c>
    </row>
    <row r="475" spans="1:10" x14ac:dyDescent="0.35">
      <c r="A475" s="18" t="str">
        <f>IF('Staff Directory'!$A475="","",'Staff Directory'!$A475)</f>
        <v/>
      </c>
      <c r="B475" s="18" t="str">
        <f>IF($A475="","",'Staff Directory'!$B475)</f>
        <v/>
      </c>
      <c r="C475" s="19" t="str">
        <f>IF($A475="","",'Staff Directory'!$C475)</f>
        <v/>
      </c>
      <c r="D475" s="19" t="str">
        <f>IF($A475="","",'Staff Directory'!$D475)</f>
        <v/>
      </c>
      <c r="E475" s="26" t="str">
        <f>IF($A475="","",COUNTIFS(tblIssues[Staff ID],$A475))</f>
        <v/>
      </c>
      <c r="F475" s="26" t="str">
        <f>IF($A475="","",SUMIFS(tblIssues[Qty Issued],tblIssues[Staff ID],$A475))</f>
        <v/>
      </c>
      <c r="G475" s="21" t="str">
        <f>IF($A475="","",SUMIFS(tblIssues[Line Cost],tblIssues[Staff ID],$A475))</f>
        <v/>
      </c>
      <c r="H475" s="24" t="str">
        <f>IF($A475="","",IF($E475=0,"",IFERROR(_xlfn.MAXIFS(tblIssues[Order Date],tblIssues[Staff ID],$A475),"")))</f>
        <v/>
      </c>
      <c r="I475" s="24" t="str">
        <f>IF($A475="","",IF($E475=0,"",IFERROR(_xlfn.MAXIFS(tblIssues[Next Scheduled],tblIssues[Staff ID],$A475),"")))</f>
        <v/>
      </c>
      <c r="J475" s="26" t="str">
        <f>IF($A475="","",COUNTIFS(tblIssues[Staff ID],$A475,tblIssues[Status],"Pending"))</f>
        <v/>
      </c>
    </row>
    <row r="476" spans="1:10" x14ac:dyDescent="0.35">
      <c r="A476" s="18" t="str">
        <f>IF('Staff Directory'!$A476="","",'Staff Directory'!$A476)</f>
        <v/>
      </c>
      <c r="B476" s="18" t="str">
        <f>IF($A476="","",'Staff Directory'!$B476)</f>
        <v/>
      </c>
      <c r="C476" s="19" t="str">
        <f>IF($A476="","",'Staff Directory'!$C476)</f>
        <v/>
      </c>
      <c r="D476" s="19" t="str">
        <f>IF($A476="","",'Staff Directory'!$D476)</f>
        <v/>
      </c>
      <c r="E476" s="26" t="str">
        <f>IF($A476="","",COUNTIFS(tblIssues[Staff ID],$A476))</f>
        <v/>
      </c>
      <c r="F476" s="26" t="str">
        <f>IF($A476="","",SUMIFS(tblIssues[Qty Issued],tblIssues[Staff ID],$A476))</f>
        <v/>
      </c>
      <c r="G476" s="21" t="str">
        <f>IF($A476="","",SUMIFS(tblIssues[Line Cost],tblIssues[Staff ID],$A476))</f>
        <v/>
      </c>
      <c r="H476" s="24" t="str">
        <f>IF($A476="","",IF($E476=0,"",IFERROR(_xlfn.MAXIFS(tblIssues[Order Date],tblIssues[Staff ID],$A476),"")))</f>
        <v/>
      </c>
      <c r="I476" s="24" t="str">
        <f>IF($A476="","",IF($E476=0,"",IFERROR(_xlfn.MAXIFS(tblIssues[Next Scheduled],tblIssues[Staff ID],$A476),"")))</f>
        <v/>
      </c>
      <c r="J476" s="26" t="str">
        <f>IF($A476="","",COUNTIFS(tblIssues[Staff ID],$A476,tblIssues[Status],"Pending"))</f>
        <v/>
      </c>
    </row>
    <row r="477" spans="1:10" x14ac:dyDescent="0.35">
      <c r="A477" s="18" t="str">
        <f>IF('Staff Directory'!$A477="","",'Staff Directory'!$A477)</f>
        <v/>
      </c>
      <c r="B477" s="18" t="str">
        <f>IF($A477="","",'Staff Directory'!$B477)</f>
        <v/>
      </c>
      <c r="C477" s="19" t="str">
        <f>IF($A477="","",'Staff Directory'!$C477)</f>
        <v/>
      </c>
      <c r="D477" s="19" t="str">
        <f>IF($A477="","",'Staff Directory'!$D477)</f>
        <v/>
      </c>
      <c r="E477" s="26" t="str">
        <f>IF($A477="","",COUNTIFS(tblIssues[Staff ID],$A477))</f>
        <v/>
      </c>
      <c r="F477" s="26" t="str">
        <f>IF($A477="","",SUMIFS(tblIssues[Qty Issued],tblIssues[Staff ID],$A477))</f>
        <v/>
      </c>
      <c r="G477" s="21" t="str">
        <f>IF($A477="","",SUMIFS(tblIssues[Line Cost],tblIssues[Staff ID],$A477))</f>
        <v/>
      </c>
      <c r="H477" s="24" t="str">
        <f>IF($A477="","",IF($E477=0,"",IFERROR(_xlfn.MAXIFS(tblIssues[Order Date],tblIssues[Staff ID],$A477),"")))</f>
        <v/>
      </c>
      <c r="I477" s="24" t="str">
        <f>IF($A477="","",IF($E477=0,"",IFERROR(_xlfn.MAXIFS(tblIssues[Next Scheduled],tblIssues[Staff ID],$A477),"")))</f>
        <v/>
      </c>
      <c r="J477" s="26" t="str">
        <f>IF($A477="","",COUNTIFS(tblIssues[Staff ID],$A477,tblIssues[Status],"Pending"))</f>
        <v/>
      </c>
    </row>
    <row r="478" spans="1:10" x14ac:dyDescent="0.35">
      <c r="A478" s="18" t="str">
        <f>IF('Staff Directory'!$A478="","",'Staff Directory'!$A478)</f>
        <v/>
      </c>
      <c r="B478" s="18" t="str">
        <f>IF($A478="","",'Staff Directory'!$B478)</f>
        <v/>
      </c>
      <c r="C478" s="19" t="str">
        <f>IF($A478="","",'Staff Directory'!$C478)</f>
        <v/>
      </c>
      <c r="D478" s="19" t="str">
        <f>IF($A478="","",'Staff Directory'!$D478)</f>
        <v/>
      </c>
      <c r="E478" s="26" t="str">
        <f>IF($A478="","",COUNTIFS(tblIssues[Staff ID],$A478))</f>
        <v/>
      </c>
      <c r="F478" s="26" t="str">
        <f>IF($A478="","",SUMIFS(tblIssues[Qty Issued],tblIssues[Staff ID],$A478))</f>
        <v/>
      </c>
      <c r="G478" s="21" t="str">
        <f>IF($A478="","",SUMIFS(tblIssues[Line Cost],tblIssues[Staff ID],$A478))</f>
        <v/>
      </c>
      <c r="H478" s="24" t="str">
        <f>IF($A478="","",IF($E478=0,"",IFERROR(_xlfn.MAXIFS(tblIssues[Order Date],tblIssues[Staff ID],$A478),"")))</f>
        <v/>
      </c>
      <c r="I478" s="24" t="str">
        <f>IF($A478="","",IF($E478=0,"",IFERROR(_xlfn.MAXIFS(tblIssues[Next Scheduled],tblIssues[Staff ID],$A478),"")))</f>
        <v/>
      </c>
      <c r="J478" s="26" t="str">
        <f>IF($A478="","",COUNTIFS(tblIssues[Staff ID],$A478,tblIssues[Status],"Pending"))</f>
        <v/>
      </c>
    </row>
    <row r="479" spans="1:10" x14ac:dyDescent="0.35">
      <c r="A479" s="18" t="str">
        <f>IF('Staff Directory'!$A479="","",'Staff Directory'!$A479)</f>
        <v/>
      </c>
      <c r="B479" s="18" t="str">
        <f>IF($A479="","",'Staff Directory'!$B479)</f>
        <v/>
      </c>
      <c r="C479" s="19" t="str">
        <f>IF($A479="","",'Staff Directory'!$C479)</f>
        <v/>
      </c>
      <c r="D479" s="19" t="str">
        <f>IF($A479="","",'Staff Directory'!$D479)</f>
        <v/>
      </c>
      <c r="E479" s="26" t="str">
        <f>IF($A479="","",COUNTIFS(tblIssues[Staff ID],$A479))</f>
        <v/>
      </c>
      <c r="F479" s="26" t="str">
        <f>IF($A479="","",SUMIFS(tblIssues[Qty Issued],tblIssues[Staff ID],$A479))</f>
        <v/>
      </c>
      <c r="G479" s="21" t="str">
        <f>IF($A479="","",SUMIFS(tblIssues[Line Cost],tblIssues[Staff ID],$A479))</f>
        <v/>
      </c>
      <c r="H479" s="24" t="str">
        <f>IF($A479="","",IF($E479=0,"",IFERROR(_xlfn.MAXIFS(tblIssues[Order Date],tblIssues[Staff ID],$A479),"")))</f>
        <v/>
      </c>
      <c r="I479" s="24" t="str">
        <f>IF($A479="","",IF($E479=0,"",IFERROR(_xlfn.MAXIFS(tblIssues[Next Scheduled],tblIssues[Staff ID],$A479),"")))</f>
        <v/>
      </c>
      <c r="J479" s="26" t="str">
        <f>IF($A479="","",COUNTIFS(tblIssues[Staff ID],$A479,tblIssues[Status],"Pending"))</f>
        <v/>
      </c>
    </row>
    <row r="480" spans="1:10" x14ac:dyDescent="0.35">
      <c r="A480" s="18" t="str">
        <f>IF('Staff Directory'!$A480="","",'Staff Directory'!$A480)</f>
        <v/>
      </c>
      <c r="B480" s="18" t="str">
        <f>IF($A480="","",'Staff Directory'!$B480)</f>
        <v/>
      </c>
      <c r="C480" s="19" t="str">
        <f>IF($A480="","",'Staff Directory'!$C480)</f>
        <v/>
      </c>
      <c r="D480" s="19" t="str">
        <f>IF($A480="","",'Staff Directory'!$D480)</f>
        <v/>
      </c>
      <c r="E480" s="26" t="str">
        <f>IF($A480="","",COUNTIFS(tblIssues[Staff ID],$A480))</f>
        <v/>
      </c>
      <c r="F480" s="26" t="str">
        <f>IF($A480="","",SUMIFS(tblIssues[Qty Issued],tblIssues[Staff ID],$A480))</f>
        <v/>
      </c>
      <c r="G480" s="21" t="str">
        <f>IF($A480="","",SUMIFS(tblIssues[Line Cost],tblIssues[Staff ID],$A480))</f>
        <v/>
      </c>
      <c r="H480" s="24" t="str">
        <f>IF($A480="","",IF($E480=0,"",IFERROR(_xlfn.MAXIFS(tblIssues[Order Date],tblIssues[Staff ID],$A480),"")))</f>
        <v/>
      </c>
      <c r="I480" s="24" t="str">
        <f>IF($A480="","",IF($E480=0,"",IFERROR(_xlfn.MAXIFS(tblIssues[Next Scheduled],tblIssues[Staff ID],$A480),"")))</f>
        <v/>
      </c>
      <c r="J480" s="26" t="str">
        <f>IF($A480="","",COUNTIFS(tblIssues[Staff ID],$A480,tblIssues[Status],"Pending"))</f>
        <v/>
      </c>
    </row>
    <row r="481" spans="1:10" x14ac:dyDescent="0.35">
      <c r="A481" s="18" t="str">
        <f>IF('Staff Directory'!$A481="","",'Staff Directory'!$A481)</f>
        <v/>
      </c>
      <c r="B481" s="18" t="str">
        <f>IF($A481="","",'Staff Directory'!$B481)</f>
        <v/>
      </c>
      <c r="C481" s="19" t="str">
        <f>IF($A481="","",'Staff Directory'!$C481)</f>
        <v/>
      </c>
      <c r="D481" s="19" t="str">
        <f>IF($A481="","",'Staff Directory'!$D481)</f>
        <v/>
      </c>
      <c r="E481" s="26" t="str">
        <f>IF($A481="","",COUNTIFS(tblIssues[Staff ID],$A481))</f>
        <v/>
      </c>
      <c r="F481" s="26" t="str">
        <f>IF($A481="","",SUMIFS(tblIssues[Qty Issued],tblIssues[Staff ID],$A481))</f>
        <v/>
      </c>
      <c r="G481" s="21" t="str">
        <f>IF($A481="","",SUMIFS(tblIssues[Line Cost],tblIssues[Staff ID],$A481))</f>
        <v/>
      </c>
      <c r="H481" s="24" t="str">
        <f>IF($A481="","",IF($E481=0,"",IFERROR(_xlfn.MAXIFS(tblIssues[Order Date],tblIssues[Staff ID],$A481),"")))</f>
        <v/>
      </c>
      <c r="I481" s="24" t="str">
        <f>IF($A481="","",IF($E481=0,"",IFERROR(_xlfn.MAXIFS(tblIssues[Next Scheduled],tblIssues[Staff ID],$A481),"")))</f>
        <v/>
      </c>
      <c r="J481" s="26" t="str">
        <f>IF($A481="","",COUNTIFS(tblIssues[Staff ID],$A481,tblIssues[Status],"Pending"))</f>
        <v/>
      </c>
    </row>
    <row r="482" spans="1:10" x14ac:dyDescent="0.35">
      <c r="A482" s="18" t="str">
        <f>IF('Staff Directory'!$A482="","",'Staff Directory'!$A482)</f>
        <v/>
      </c>
      <c r="B482" s="18" t="str">
        <f>IF($A482="","",'Staff Directory'!$B482)</f>
        <v/>
      </c>
      <c r="C482" s="19" t="str">
        <f>IF($A482="","",'Staff Directory'!$C482)</f>
        <v/>
      </c>
      <c r="D482" s="19" t="str">
        <f>IF($A482="","",'Staff Directory'!$D482)</f>
        <v/>
      </c>
      <c r="E482" s="26" t="str">
        <f>IF($A482="","",COUNTIFS(tblIssues[Staff ID],$A482))</f>
        <v/>
      </c>
      <c r="F482" s="26" t="str">
        <f>IF($A482="","",SUMIFS(tblIssues[Qty Issued],tblIssues[Staff ID],$A482))</f>
        <v/>
      </c>
      <c r="G482" s="21" t="str">
        <f>IF($A482="","",SUMIFS(tblIssues[Line Cost],tblIssues[Staff ID],$A482))</f>
        <v/>
      </c>
      <c r="H482" s="24" t="str">
        <f>IF($A482="","",IF($E482=0,"",IFERROR(_xlfn.MAXIFS(tblIssues[Order Date],tblIssues[Staff ID],$A482),"")))</f>
        <v/>
      </c>
      <c r="I482" s="24" t="str">
        <f>IF($A482="","",IF($E482=0,"",IFERROR(_xlfn.MAXIFS(tblIssues[Next Scheduled],tblIssues[Staff ID],$A482),"")))</f>
        <v/>
      </c>
      <c r="J482" s="26" t="str">
        <f>IF($A482="","",COUNTIFS(tblIssues[Staff ID],$A482,tblIssues[Status],"Pending"))</f>
        <v/>
      </c>
    </row>
    <row r="483" spans="1:10" x14ac:dyDescent="0.35">
      <c r="A483" s="18" t="str">
        <f>IF('Staff Directory'!$A483="","",'Staff Directory'!$A483)</f>
        <v/>
      </c>
      <c r="B483" s="18" t="str">
        <f>IF($A483="","",'Staff Directory'!$B483)</f>
        <v/>
      </c>
      <c r="C483" s="19" t="str">
        <f>IF($A483="","",'Staff Directory'!$C483)</f>
        <v/>
      </c>
      <c r="D483" s="19" t="str">
        <f>IF($A483="","",'Staff Directory'!$D483)</f>
        <v/>
      </c>
      <c r="E483" s="26" t="str">
        <f>IF($A483="","",COUNTIFS(tblIssues[Staff ID],$A483))</f>
        <v/>
      </c>
      <c r="F483" s="26" t="str">
        <f>IF($A483="","",SUMIFS(tblIssues[Qty Issued],tblIssues[Staff ID],$A483))</f>
        <v/>
      </c>
      <c r="G483" s="21" t="str">
        <f>IF($A483="","",SUMIFS(tblIssues[Line Cost],tblIssues[Staff ID],$A483))</f>
        <v/>
      </c>
      <c r="H483" s="24" t="str">
        <f>IF($A483="","",IF($E483=0,"",IFERROR(_xlfn.MAXIFS(tblIssues[Order Date],tblIssues[Staff ID],$A483),"")))</f>
        <v/>
      </c>
      <c r="I483" s="24" t="str">
        <f>IF($A483="","",IF($E483=0,"",IFERROR(_xlfn.MAXIFS(tblIssues[Next Scheduled],tblIssues[Staff ID],$A483),"")))</f>
        <v/>
      </c>
      <c r="J483" s="26" t="str">
        <f>IF($A483="","",COUNTIFS(tblIssues[Staff ID],$A483,tblIssues[Status],"Pending"))</f>
        <v/>
      </c>
    </row>
    <row r="484" spans="1:10" x14ac:dyDescent="0.35">
      <c r="A484" s="18" t="str">
        <f>IF('Staff Directory'!$A484="","",'Staff Directory'!$A484)</f>
        <v/>
      </c>
      <c r="B484" s="18" t="str">
        <f>IF($A484="","",'Staff Directory'!$B484)</f>
        <v/>
      </c>
      <c r="C484" s="19" t="str">
        <f>IF($A484="","",'Staff Directory'!$C484)</f>
        <v/>
      </c>
      <c r="D484" s="19" t="str">
        <f>IF($A484="","",'Staff Directory'!$D484)</f>
        <v/>
      </c>
      <c r="E484" s="26" t="str">
        <f>IF($A484="","",COUNTIFS(tblIssues[Staff ID],$A484))</f>
        <v/>
      </c>
      <c r="F484" s="26" t="str">
        <f>IF($A484="","",SUMIFS(tblIssues[Qty Issued],tblIssues[Staff ID],$A484))</f>
        <v/>
      </c>
      <c r="G484" s="21" t="str">
        <f>IF($A484="","",SUMIFS(tblIssues[Line Cost],tblIssues[Staff ID],$A484))</f>
        <v/>
      </c>
      <c r="H484" s="24" t="str">
        <f>IF($A484="","",IF($E484=0,"",IFERROR(_xlfn.MAXIFS(tblIssues[Order Date],tblIssues[Staff ID],$A484),"")))</f>
        <v/>
      </c>
      <c r="I484" s="24" t="str">
        <f>IF($A484="","",IF($E484=0,"",IFERROR(_xlfn.MAXIFS(tblIssues[Next Scheduled],tblIssues[Staff ID],$A484),"")))</f>
        <v/>
      </c>
      <c r="J484" s="26" t="str">
        <f>IF($A484="","",COUNTIFS(tblIssues[Staff ID],$A484,tblIssues[Status],"Pending"))</f>
        <v/>
      </c>
    </row>
    <row r="485" spans="1:10" x14ac:dyDescent="0.35">
      <c r="A485" s="18" t="str">
        <f>IF('Staff Directory'!$A485="","",'Staff Directory'!$A485)</f>
        <v/>
      </c>
      <c r="B485" s="18" t="str">
        <f>IF($A485="","",'Staff Directory'!$B485)</f>
        <v/>
      </c>
      <c r="C485" s="19" t="str">
        <f>IF($A485="","",'Staff Directory'!$C485)</f>
        <v/>
      </c>
      <c r="D485" s="19" t="str">
        <f>IF($A485="","",'Staff Directory'!$D485)</f>
        <v/>
      </c>
      <c r="E485" s="26" t="str">
        <f>IF($A485="","",COUNTIFS(tblIssues[Staff ID],$A485))</f>
        <v/>
      </c>
      <c r="F485" s="26" t="str">
        <f>IF($A485="","",SUMIFS(tblIssues[Qty Issued],tblIssues[Staff ID],$A485))</f>
        <v/>
      </c>
      <c r="G485" s="21" t="str">
        <f>IF($A485="","",SUMIFS(tblIssues[Line Cost],tblIssues[Staff ID],$A485))</f>
        <v/>
      </c>
      <c r="H485" s="24" t="str">
        <f>IF($A485="","",IF($E485=0,"",IFERROR(_xlfn.MAXIFS(tblIssues[Order Date],tblIssues[Staff ID],$A485),"")))</f>
        <v/>
      </c>
      <c r="I485" s="24" t="str">
        <f>IF($A485="","",IF($E485=0,"",IFERROR(_xlfn.MAXIFS(tblIssues[Next Scheduled],tblIssues[Staff ID],$A485),"")))</f>
        <v/>
      </c>
      <c r="J485" s="26" t="str">
        <f>IF($A485="","",COUNTIFS(tblIssues[Staff ID],$A485,tblIssues[Status],"Pending"))</f>
        <v/>
      </c>
    </row>
    <row r="486" spans="1:10" x14ac:dyDescent="0.35">
      <c r="A486" s="18" t="str">
        <f>IF('Staff Directory'!$A486="","",'Staff Directory'!$A486)</f>
        <v/>
      </c>
      <c r="B486" s="18" t="str">
        <f>IF($A486="","",'Staff Directory'!$B486)</f>
        <v/>
      </c>
      <c r="C486" s="19" t="str">
        <f>IF($A486="","",'Staff Directory'!$C486)</f>
        <v/>
      </c>
      <c r="D486" s="19" t="str">
        <f>IF($A486="","",'Staff Directory'!$D486)</f>
        <v/>
      </c>
      <c r="E486" s="26" t="str">
        <f>IF($A486="","",COUNTIFS(tblIssues[Staff ID],$A486))</f>
        <v/>
      </c>
      <c r="F486" s="26" t="str">
        <f>IF($A486="","",SUMIFS(tblIssues[Qty Issued],tblIssues[Staff ID],$A486))</f>
        <v/>
      </c>
      <c r="G486" s="21" t="str">
        <f>IF($A486="","",SUMIFS(tblIssues[Line Cost],tblIssues[Staff ID],$A486))</f>
        <v/>
      </c>
      <c r="H486" s="24" t="str">
        <f>IF($A486="","",IF($E486=0,"",IFERROR(_xlfn.MAXIFS(tblIssues[Order Date],tblIssues[Staff ID],$A486),"")))</f>
        <v/>
      </c>
      <c r="I486" s="24" t="str">
        <f>IF($A486="","",IF($E486=0,"",IFERROR(_xlfn.MAXIFS(tblIssues[Next Scheduled],tblIssues[Staff ID],$A486),"")))</f>
        <v/>
      </c>
      <c r="J486" s="26" t="str">
        <f>IF($A486="","",COUNTIFS(tblIssues[Staff ID],$A486,tblIssues[Status],"Pending"))</f>
        <v/>
      </c>
    </row>
    <row r="487" spans="1:10" x14ac:dyDescent="0.35">
      <c r="A487" s="18" t="str">
        <f>IF('Staff Directory'!$A487="","",'Staff Directory'!$A487)</f>
        <v/>
      </c>
      <c r="B487" s="18" t="str">
        <f>IF($A487="","",'Staff Directory'!$B487)</f>
        <v/>
      </c>
      <c r="C487" s="19" t="str">
        <f>IF($A487="","",'Staff Directory'!$C487)</f>
        <v/>
      </c>
      <c r="D487" s="19" t="str">
        <f>IF($A487="","",'Staff Directory'!$D487)</f>
        <v/>
      </c>
      <c r="E487" s="26" t="str">
        <f>IF($A487="","",COUNTIFS(tblIssues[Staff ID],$A487))</f>
        <v/>
      </c>
      <c r="F487" s="26" t="str">
        <f>IF($A487="","",SUMIFS(tblIssues[Qty Issued],tblIssues[Staff ID],$A487))</f>
        <v/>
      </c>
      <c r="G487" s="21" t="str">
        <f>IF($A487="","",SUMIFS(tblIssues[Line Cost],tblIssues[Staff ID],$A487))</f>
        <v/>
      </c>
      <c r="H487" s="24" t="str">
        <f>IF($A487="","",IF($E487=0,"",IFERROR(_xlfn.MAXIFS(tblIssues[Order Date],tblIssues[Staff ID],$A487),"")))</f>
        <v/>
      </c>
      <c r="I487" s="24" t="str">
        <f>IF($A487="","",IF($E487=0,"",IFERROR(_xlfn.MAXIFS(tblIssues[Next Scheduled],tblIssues[Staff ID],$A487),"")))</f>
        <v/>
      </c>
      <c r="J487" s="26" t="str">
        <f>IF($A487="","",COUNTIFS(tblIssues[Staff ID],$A487,tblIssues[Status],"Pending"))</f>
        <v/>
      </c>
    </row>
    <row r="488" spans="1:10" x14ac:dyDescent="0.35">
      <c r="A488" s="18" t="str">
        <f>IF('Staff Directory'!$A488="","",'Staff Directory'!$A488)</f>
        <v/>
      </c>
      <c r="B488" s="18" t="str">
        <f>IF($A488="","",'Staff Directory'!$B488)</f>
        <v/>
      </c>
      <c r="C488" s="19" t="str">
        <f>IF($A488="","",'Staff Directory'!$C488)</f>
        <v/>
      </c>
      <c r="D488" s="19" t="str">
        <f>IF($A488="","",'Staff Directory'!$D488)</f>
        <v/>
      </c>
      <c r="E488" s="26" t="str">
        <f>IF($A488="","",COUNTIFS(tblIssues[Staff ID],$A488))</f>
        <v/>
      </c>
      <c r="F488" s="26" t="str">
        <f>IF($A488="","",SUMIFS(tblIssues[Qty Issued],tblIssues[Staff ID],$A488))</f>
        <v/>
      </c>
      <c r="G488" s="21" t="str">
        <f>IF($A488="","",SUMIFS(tblIssues[Line Cost],tblIssues[Staff ID],$A488))</f>
        <v/>
      </c>
      <c r="H488" s="24" t="str">
        <f>IF($A488="","",IF($E488=0,"",IFERROR(_xlfn.MAXIFS(tblIssues[Order Date],tblIssues[Staff ID],$A488),"")))</f>
        <v/>
      </c>
      <c r="I488" s="24" t="str">
        <f>IF($A488="","",IF($E488=0,"",IFERROR(_xlfn.MAXIFS(tblIssues[Next Scheduled],tblIssues[Staff ID],$A488),"")))</f>
        <v/>
      </c>
      <c r="J488" s="26" t="str">
        <f>IF($A488="","",COUNTIFS(tblIssues[Staff ID],$A488,tblIssues[Status],"Pending"))</f>
        <v/>
      </c>
    </row>
    <row r="489" spans="1:10" x14ac:dyDescent="0.35">
      <c r="A489" s="18" t="str">
        <f>IF('Staff Directory'!$A489="","",'Staff Directory'!$A489)</f>
        <v/>
      </c>
      <c r="B489" s="18" t="str">
        <f>IF($A489="","",'Staff Directory'!$B489)</f>
        <v/>
      </c>
      <c r="C489" s="19" t="str">
        <f>IF($A489="","",'Staff Directory'!$C489)</f>
        <v/>
      </c>
      <c r="D489" s="19" t="str">
        <f>IF($A489="","",'Staff Directory'!$D489)</f>
        <v/>
      </c>
      <c r="E489" s="26" t="str">
        <f>IF($A489="","",COUNTIFS(tblIssues[Staff ID],$A489))</f>
        <v/>
      </c>
      <c r="F489" s="26" t="str">
        <f>IF($A489="","",SUMIFS(tblIssues[Qty Issued],tblIssues[Staff ID],$A489))</f>
        <v/>
      </c>
      <c r="G489" s="21" t="str">
        <f>IF($A489="","",SUMIFS(tblIssues[Line Cost],tblIssues[Staff ID],$A489))</f>
        <v/>
      </c>
      <c r="H489" s="24" t="str">
        <f>IF($A489="","",IF($E489=0,"",IFERROR(_xlfn.MAXIFS(tblIssues[Order Date],tblIssues[Staff ID],$A489),"")))</f>
        <v/>
      </c>
      <c r="I489" s="24" t="str">
        <f>IF($A489="","",IF($E489=0,"",IFERROR(_xlfn.MAXIFS(tblIssues[Next Scheduled],tblIssues[Staff ID],$A489),"")))</f>
        <v/>
      </c>
      <c r="J489" s="26" t="str">
        <f>IF($A489="","",COUNTIFS(tblIssues[Staff ID],$A489,tblIssues[Status],"Pending"))</f>
        <v/>
      </c>
    </row>
    <row r="490" spans="1:10" x14ac:dyDescent="0.35">
      <c r="A490" s="18" t="str">
        <f>IF('Staff Directory'!$A490="","",'Staff Directory'!$A490)</f>
        <v/>
      </c>
      <c r="B490" s="18" t="str">
        <f>IF($A490="","",'Staff Directory'!$B490)</f>
        <v/>
      </c>
      <c r="C490" s="19" t="str">
        <f>IF($A490="","",'Staff Directory'!$C490)</f>
        <v/>
      </c>
      <c r="D490" s="19" t="str">
        <f>IF($A490="","",'Staff Directory'!$D490)</f>
        <v/>
      </c>
      <c r="E490" s="26" t="str">
        <f>IF($A490="","",COUNTIFS(tblIssues[Staff ID],$A490))</f>
        <v/>
      </c>
      <c r="F490" s="26" t="str">
        <f>IF($A490="","",SUMIFS(tblIssues[Qty Issued],tblIssues[Staff ID],$A490))</f>
        <v/>
      </c>
      <c r="G490" s="21" t="str">
        <f>IF($A490="","",SUMIFS(tblIssues[Line Cost],tblIssues[Staff ID],$A490))</f>
        <v/>
      </c>
      <c r="H490" s="24" t="str">
        <f>IF($A490="","",IF($E490=0,"",IFERROR(_xlfn.MAXIFS(tblIssues[Order Date],tblIssues[Staff ID],$A490),"")))</f>
        <v/>
      </c>
      <c r="I490" s="24" t="str">
        <f>IF($A490="","",IF($E490=0,"",IFERROR(_xlfn.MAXIFS(tblIssues[Next Scheduled],tblIssues[Staff ID],$A490),"")))</f>
        <v/>
      </c>
      <c r="J490" s="26" t="str">
        <f>IF($A490="","",COUNTIFS(tblIssues[Staff ID],$A490,tblIssues[Status],"Pending"))</f>
        <v/>
      </c>
    </row>
    <row r="491" spans="1:10" x14ac:dyDescent="0.35">
      <c r="A491" s="18" t="str">
        <f>IF('Staff Directory'!$A491="","",'Staff Directory'!$A491)</f>
        <v/>
      </c>
      <c r="B491" s="18" t="str">
        <f>IF($A491="","",'Staff Directory'!$B491)</f>
        <v/>
      </c>
      <c r="C491" s="19" t="str">
        <f>IF($A491="","",'Staff Directory'!$C491)</f>
        <v/>
      </c>
      <c r="D491" s="19" t="str">
        <f>IF($A491="","",'Staff Directory'!$D491)</f>
        <v/>
      </c>
      <c r="E491" s="26" t="str">
        <f>IF($A491="","",COUNTIFS(tblIssues[Staff ID],$A491))</f>
        <v/>
      </c>
      <c r="F491" s="26" t="str">
        <f>IF($A491="","",SUMIFS(tblIssues[Qty Issued],tblIssues[Staff ID],$A491))</f>
        <v/>
      </c>
      <c r="G491" s="21" t="str">
        <f>IF($A491="","",SUMIFS(tblIssues[Line Cost],tblIssues[Staff ID],$A491))</f>
        <v/>
      </c>
      <c r="H491" s="24" t="str">
        <f>IF($A491="","",IF($E491=0,"",IFERROR(_xlfn.MAXIFS(tblIssues[Order Date],tblIssues[Staff ID],$A491),"")))</f>
        <v/>
      </c>
      <c r="I491" s="24" t="str">
        <f>IF($A491="","",IF($E491=0,"",IFERROR(_xlfn.MAXIFS(tblIssues[Next Scheduled],tblIssues[Staff ID],$A491),"")))</f>
        <v/>
      </c>
      <c r="J491" s="26" t="str">
        <f>IF($A491="","",COUNTIFS(tblIssues[Staff ID],$A491,tblIssues[Status],"Pending"))</f>
        <v/>
      </c>
    </row>
    <row r="492" spans="1:10" x14ac:dyDescent="0.35">
      <c r="A492" s="18" t="str">
        <f>IF('Staff Directory'!$A492="","",'Staff Directory'!$A492)</f>
        <v/>
      </c>
      <c r="B492" s="18" t="str">
        <f>IF($A492="","",'Staff Directory'!$B492)</f>
        <v/>
      </c>
      <c r="C492" s="19" t="str">
        <f>IF($A492="","",'Staff Directory'!$C492)</f>
        <v/>
      </c>
      <c r="D492" s="19" t="str">
        <f>IF($A492="","",'Staff Directory'!$D492)</f>
        <v/>
      </c>
      <c r="E492" s="26" t="str">
        <f>IF($A492="","",COUNTIFS(tblIssues[Staff ID],$A492))</f>
        <v/>
      </c>
      <c r="F492" s="26" t="str">
        <f>IF($A492="","",SUMIFS(tblIssues[Qty Issued],tblIssues[Staff ID],$A492))</f>
        <v/>
      </c>
      <c r="G492" s="21" t="str">
        <f>IF($A492="","",SUMIFS(tblIssues[Line Cost],tblIssues[Staff ID],$A492))</f>
        <v/>
      </c>
      <c r="H492" s="24" t="str">
        <f>IF($A492="","",IF($E492=0,"",IFERROR(_xlfn.MAXIFS(tblIssues[Order Date],tblIssues[Staff ID],$A492),"")))</f>
        <v/>
      </c>
      <c r="I492" s="24" t="str">
        <f>IF($A492="","",IF($E492=0,"",IFERROR(_xlfn.MAXIFS(tblIssues[Next Scheduled],tblIssues[Staff ID],$A492),"")))</f>
        <v/>
      </c>
      <c r="J492" s="26" t="str">
        <f>IF($A492="","",COUNTIFS(tblIssues[Staff ID],$A492,tblIssues[Status],"Pending"))</f>
        <v/>
      </c>
    </row>
    <row r="493" spans="1:10" x14ac:dyDescent="0.35">
      <c r="A493" s="18" t="str">
        <f>IF('Staff Directory'!$A493="","",'Staff Directory'!$A493)</f>
        <v/>
      </c>
      <c r="B493" s="18" t="str">
        <f>IF($A493="","",'Staff Directory'!$B493)</f>
        <v/>
      </c>
      <c r="C493" s="19" t="str">
        <f>IF($A493="","",'Staff Directory'!$C493)</f>
        <v/>
      </c>
      <c r="D493" s="19" t="str">
        <f>IF($A493="","",'Staff Directory'!$D493)</f>
        <v/>
      </c>
      <c r="E493" s="26" t="str">
        <f>IF($A493="","",COUNTIFS(tblIssues[Staff ID],$A493))</f>
        <v/>
      </c>
      <c r="F493" s="26" t="str">
        <f>IF($A493="","",SUMIFS(tblIssues[Qty Issued],tblIssues[Staff ID],$A493))</f>
        <v/>
      </c>
      <c r="G493" s="21" t="str">
        <f>IF($A493="","",SUMIFS(tblIssues[Line Cost],tblIssues[Staff ID],$A493))</f>
        <v/>
      </c>
      <c r="H493" s="24" t="str">
        <f>IF($A493="","",IF($E493=0,"",IFERROR(_xlfn.MAXIFS(tblIssues[Order Date],tblIssues[Staff ID],$A493),"")))</f>
        <v/>
      </c>
      <c r="I493" s="24" t="str">
        <f>IF($A493="","",IF($E493=0,"",IFERROR(_xlfn.MAXIFS(tblIssues[Next Scheduled],tblIssues[Staff ID],$A493),"")))</f>
        <v/>
      </c>
      <c r="J493" s="26" t="str">
        <f>IF($A493="","",COUNTIFS(tblIssues[Staff ID],$A493,tblIssues[Status],"Pending"))</f>
        <v/>
      </c>
    </row>
    <row r="494" spans="1:10" x14ac:dyDescent="0.35">
      <c r="A494" s="18" t="str">
        <f>IF('Staff Directory'!$A494="","",'Staff Directory'!$A494)</f>
        <v/>
      </c>
      <c r="B494" s="18" t="str">
        <f>IF($A494="","",'Staff Directory'!$B494)</f>
        <v/>
      </c>
      <c r="C494" s="19" t="str">
        <f>IF($A494="","",'Staff Directory'!$C494)</f>
        <v/>
      </c>
      <c r="D494" s="19" t="str">
        <f>IF($A494="","",'Staff Directory'!$D494)</f>
        <v/>
      </c>
      <c r="E494" s="26" t="str">
        <f>IF($A494="","",COUNTIFS(tblIssues[Staff ID],$A494))</f>
        <v/>
      </c>
      <c r="F494" s="26" t="str">
        <f>IF($A494="","",SUMIFS(tblIssues[Qty Issued],tblIssues[Staff ID],$A494))</f>
        <v/>
      </c>
      <c r="G494" s="21" t="str">
        <f>IF($A494="","",SUMIFS(tblIssues[Line Cost],tblIssues[Staff ID],$A494))</f>
        <v/>
      </c>
      <c r="H494" s="24" t="str">
        <f>IF($A494="","",IF($E494=0,"",IFERROR(_xlfn.MAXIFS(tblIssues[Order Date],tblIssues[Staff ID],$A494),"")))</f>
        <v/>
      </c>
      <c r="I494" s="24" t="str">
        <f>IF($A494="","",IF($E494=0,"",IFERROR(_xlfn.MAXIFS(tblIssues[Next Scheduled],tblIssues[Staff ID],$A494),"")))</f>
        <v/>
      </c>
      <c r="J494" s="26" t="str">
        <f>IF($A494="","",COUNTIFS(tblIssues[Staff ID],$A494,tblIssues[Status],"Pending"))</f>
        <v/>
      </c>
    </row>
    <row r="495" spans="1:10" x14ac:dyDescent="0.35">
      <c r="A495" s="18" t="str">
        <f>IF('Staff Directory'!$A495="","",'Staff Directory'!$A495)</f>
        <v/>
      </c>
      <c r="B495" s="18" t="str">
        <f>IF($A495="","",'Staff Directory'!$B495)</f>
        <v/>
      </c>
      <c r="C495" s="19" t="str">
        <f>IF($A495="","",'Staff Directory'!$C495)</f>
        <v/>
      </c>
      <c r="D495" s="19" t="str">
        <f>IF($A495="","",'Staff Directory'!$D495)</f>
        <v/>
      </c>
      <c r="E495" s="26" t="str">
        <f>IF($A495="","",COUNTIFS(tblIssues[Staff ID],$A495))</f>
        <v/>
      </c>
      <c r="F495" s="26" t="str">
        <f>IF($A495="","",SUMIFS(tblIssues[Qty Issued],tblIssues[Staff ID],$A495))</f>
        <v/>
      </c>
      <c r="G495" s="21" t="str">
        <f>IF($A495="","",SUMIFS(tblIssues[Line Cost],tblIssues[Staff ID],$A495))</f>
        <v/>
      </c>
      <c r="H495" s="24" t="str">
        <f>IF($A495="","",IF($E495=0,"",IFERROR(_xlfn.MAXIFS(tblIssues[Order Date],tblIssues[Staff ID],$A495),"")))</f>
        <v/>
      </c>
      <c r="I495" s="24" t="str">
        <f>IF($A495="","",IF($E495=0,"",IFERROR(_xlfn.MAXIFS(tblIssues[Next Scheduled],tblIssues[Staff ID],$A495),"")))</f>
        <v/>
      </c>
      <c r="J495" s="26" t="str">
        <f>IF($A495="","",COUNTIFS(tblIssues[Staff ID],$A495,tblIssues[Status],"Pending"))</f>
        <v/>
      </c>
    </row>
    <row r="496" spans="1:10" x14ac:dyDescent="0.35">
      <c r="A496" s="18" t="str">
        <f>IF('Staff Directory'!$A496="","",'Staff Directory'!$A496)</f>
        <v/>
      </c>
      <c r="B496" s="18" t="str">
        <f>IF($A496="","",'Staff Directory'!$B496)</f>
        <v/>
      </c>
      <c r="C496" s="19" t="str">
        <f>IF($A496="","",'Staff Directory'!$C496)</f>
        <v/>
      </c>
      <c r="D496" s="19" t="str">
        <f>IF($A496="","",'Staff Directory'!$D496)</f>
        <v/>
      </c>
      <c r="E496" s="26" t="str">
        <f>IF($A496="","",COUNTIFS(tblIssues[Staff ID],$A496))</f>
        <v/>
      </c>
      <c r="F496" s="26" t="str">
        <f>IF($A496="","",SUMIFS(tblIssues[Qty Issued],tblIssues[Staff ID],$A496))</f>
        <v/>
      </c>
      <c r="G496" s="21" t="str">
        <f>IF($A496="","",SUMIFS(tblIssues[Line Cost],tblIssues[Staff ID],$A496))</f>
        <v/>
      </c>
      <c r="H496" s="24" t="str">
        <f>IF($A496="","",IF($E496=0,"",IFERROR(_xlfn.MAXIFS(tblIssues[Order Date],tblIssues[Staff ID],$A496),"")))</f>
        <v/>
      </c>
      <c r="I496" s="24" t="str">
        <f>IF($A496="","",IF($E496=0,"",IFERROR(_xlfn.MAXIFS(tblIssues[Next Scheduled],tblIssues[Staff ID],$A496),"")))</f>
        <v/>
      </c>
      <c r="J496" s="26" t="str">
        <f>IF($A496="","",COUNTIFS(tblIssues[Staff ID],$A496,tblIssues[Status],"Pending"))</f>
        <v/>
      </c>
    </row>
    <row r="497" spans="1:10" x14ac:dyDescent="0.35">
      <c r="A497" s="18" t="str">
        <f>IF('Staff Directory'!$A497="","",'Staff Directory'!$A497)</f>
        <v/>
      </c>
      <c r="B497" s="18" t="str">
        <f>IF($A497="","",'Staff Directory'!$B497)</f>
        <v/>
      </c>
      <c r="C497" s="19" t="str">
        <f>IF($A497="","",'Staff Directory'!$C497)</f>
        <v/>
      </c>
      <c r="D497" s="19" t="str">
        <f>IF($A497="","",'Staff Directory'!$D497)</f>
        <v/>
      </c>
      <c r="E497" s="26" t="str">
        <f>IF($A497="","",COUNTIFS(tblIssues[Staff ID],$A497))</f>
        <v/>
      </c>
      <c r="F497" s="26" t="str">
        <f>IF($A497="","",SUMIFS(tblIssues[Qty Issued],tblIssues[Staff ID],$A497))</f>
        <v/>
      </c>
      <c r="G497" s="21" t="str">
        <f>IF($A497="","",SUMIFS(tblIssues[Line Cost],tblIssues[Staff ID],$A497))</f>
        <v/>
      </c>
      <c r="H497" s="24" t="str">
        <f>IF($A497="","",IF($E497=0,"",IFERROR(_xlfn.MAXIFS(tblIssues[Order Date],tblIssues[Staff ID],$A497),"")))</f>
        <v/>
      </c>
      <c r="I497" s="24" t="str">
        <f>IF($A497="","",IF($E497=0,"",IFERROR(_xlfn.MAXIFS(tblIssues[Next Scheduled],tblIssues[Staff ID],$A497),"")))</f>
        <v/>
      </c>
      <c r="J497" s="26" t="str">
        <f>IF($A497="","",COUNTIFS(tblIssues[Staff ID],$A497,tblIssues[Status],"Pending"))</f>
        <v/>
      </c>
    </row>
    <row r="498" spans="1:10" x14ac:dyDescent="0.35">
      <c r="A498" s="18" t="str">
        <f>IF('Staff Directory'!$A498="","",'Staff Directory'!$A498)</f>
        <v/>
      </c>
      <c r="B498" s="18" t="str">
        <f>IF($A498="","",'Staff Directory'!$B498)</f>
        <v/>
      </c>
      <c r="C498" s="19" t="str">
        <f>IF($A498="","",'Staff Directory'!$C498)</f>
        <v/>
      </c>
      <c r="D498" s="19" t="str">
        <f>IF($A498="","",'Staff Directory'!$D498)</f>
        <v/>
      </c>
      <c r="E498" s="26" t="str">
        <f>IF($A498="","",COUNTIFS(tblIssues[Staff ID],$A498))</f>
        <v/>
      </c>
      <c r="F498" s="26" t="str">
        <f>IF($A498="","",SUMIFS(tblIssues[Qty Issued],tblIssues[Staff ID],$A498))</f>
        <v/>
      </c>
      <c r="G498" s="21" t="str">
        <f>IF($A498="","",SUMIFS(tblIssues[Line Cost],tblIssues[Staff ID],$A498))</f>
        <v/>
      </c>
      <c r="H498" s="24" t="str">
        <f>IF($A498="","",IF($E498=0,"",IFERROR(_xlfn.MAXIFS(tblIssues[Order Date],tblIssues[Staff ID],$A498),"")))</f>
        <v/>
      </c>
      <c r="I498" s="24" t="str">
        <f>IF($A498="","",IF($E498=0,"",IFERROR(_xlfn.MAXIFS(tblIssues[Next Scheduled],tblIssues[Staff ID],$A498),"")))</f>
        <v/>
      </c>
      <c r="J498" s="26" t="str">
        <f>IF($A498="","",COUNTIFS(tblIssues[Staff ID],$A498,tblIssues[Status],"Pending"))</f>
        <v/>
      </c>
    </row>
    <row r="499" spans="1:10" x14ac:dyDescent="0.35">
      <c r="A499" s="18" t="str">
        <f>IF('Staff Directory'!$A499="","",'Staff Directory'!$A499)</f>
        <v/>
      </c>
      <c r="B499" s="18" t="str">
        <f>IF($A499="","",'Staff Directory'!$B499)</f>
        <v/>
      </c>
      <c r="C499" s="19" t="str">
        <f>IF($A499="","",'Staff Directory'!$C499)</f>
        <v/>
      </c>
      <c r="D499" s="19" t="str">
        <f>IF($A499="","",'Staff Directory'!$D499)</f>
        <v/>
      </c>
      <c r="E499" s="26" t="str">
        <f>IF($A499="","",COUNTIFS(tblIssues[Staff ID],$A499))</f>
        <v/>
      </c>
      <c r="F499" s="26" t="str">
        <f>IF($A499="","",SUMIFS(tblIssues[Qty Issued],tblIssues[Staff ID],$A499))</f>
        <v/>
      </c>
      <c r="G499" s="21" t="str">
        <f>IF($A499="","",SUMIFS(tblIssues[Line Cost],tblIssues[Staff ID],$A499))</f>
        <v/>
      </c>
      <c r="H499" s="24" t="str">
        <f>IF($A499="","",IF($E499=0,"",IFERROR(_xlfn.MAXIFS(tblIssues[Order Date],tblIssues[Staff ID],$A499),"")))</f>
        <v/>
      </c>
      <c r="I499" s="24" t="str">
        <f>IF($A499="","",IF($E499=0,"",IFERROR(_xlfn.MAXIFS(tblIssues[Next Scheduled],tblIssues[Staff ID],$A499),"")))</f>
        <v/>
      </c>
      <c r="J499" s="26" t="str">
        <f>IF($A499="","",COUNTIFS(tblIssues[Staff ID],$A499,tblIssues[Status],"Pending"))</f>
        <v/>
      </c>
    </row>
    <row r="500" spans="1:10" x14ac:dyDescent="0.35">
      <c r="A500" s="18" t="str">
        <f>IF('Staff Directory'!$A500="","",'Staff Directory'!$A500)</f>
        <v/>
      </c>
      <c r="B500" s="18" t="str">
        <f>IF($A500="","",'Staff Directory'!$B500)</f>
        <v/>
      </c>
      <c r="C500" s="19" t="str">
        <f>IF($A500="","",'Staff Directory'!$C500)</f>
        <v/>
      </c>
      <c r="D500" s="19" t="str">
        <f>IF($A500="","",'Staff Directory'!$D500)</f>
        <v/>
      </c>
      <c r="E500" s="26" t="str">
        <f>IF($A500="","",COUNTIFS(tblIssues[Staff ID],$A500))</f>
        <v/>
      </c>
      <c r="F500" s="26" t="str">
        <f>IF($A500="","",SUMIFS(tblIssues[Qty Issued],tblIssues[Staff ID],$A500))</f>
        <v/>
      </c>
      <c r="G500" s="21" t="str">
        <f>IF($A500="","",SUMIFS(tblIssues[Line Cost],tblIssues[Staff ID],$A500))</f>
        <v/>
      </c>
      <c r="H500" s="24" t="str">
        <f>IF($A500="","",IF($E500=0,"",IFERROR(_xlfn.MAXIFS(tblIssues[Order Date],tblIssues[Staff ID],$A500),"")))</f>
        <v/>
      </c>
      <c r="I500" s="24" t="str">
        <f>IF($A500="","",IF($E500=0,"",IFERROR(_xlfn.MAXIFS(tblIssues[Next Scheduled],tblIssues[Staff ID],$A500),"")))</f>
        <v/>
      </c>
      <c r="J500" s="26" t="str">
        <f>IF($A500="","",COUNTIFS(tblIssues[Staff ID],$A500,tblIssues[Status],"Pending"))</f>
        <v/>
      </c>
    </row>
    <row r="501" spans="1:10" x14ac:dyDescent="0.35">
      <c r="A501" s="18" t="str">
        <f>IF('Staff Directory'!$A501="","",'Staff Directory'!$A501)</f>
        <v/>
      </c>
      <c r="B501" s="18" t="str">
        <f>IF($A501="","",'Staff Directory'!$B501)</f>
        <v/>
      </c>
      <c r="C501" s="19" t="str">
        <f>IF($A501="","",'Staff Directory'!$C501)</f>
        <v/>
      </c>
      <c r="D501" s="19" t="str">
        <f>IF($A501="","",'Staff Directory'!$D501)</f>
        <v/>
      </c>
      <c r="E501" s="26" t="str">
        <f>IF($A501="","",COUNTIFS(tblIssues[Staff ID],$A501))</f>
        <v/>
      </c>
      <c r="F501" s="26" t="str">
        <f>IF($A501="","",SUMIFS(tblIssues[Qty Issued],tblIssues[Staff ID],$A501))</f>
        <v/>
      </c>
      <c r="G501" s="21" t="str">
        <f>IF($A501="","",SUMIFS(tblIssues[Line Cost],tblIssues[Staff ID],$A501))</f>
        <v/>
      </c>
      <c r="H501" s="24" t="str">
        <f>IF($A501="","",IF($E501=0,"",IFERROR(_xlfn.MAXIFS(tblIssues[Order Date],tblIssues[Staff ID],$A501),"")))</f>
        <v/>
      </c>
      <c r="I501" s="24" t="str">
        <f>IF($A501="","",IF($E501=0,"",IFERROR(_xlfn.MAXIFS(tblIssues[Next Scheduled],tblIssues[Staff ID],$A501),"")))</f>
        <v/>
      </c>
      <c r="J501" s="26" t="str">
        <f>IF($A501="","",COUNTIFS(tblIssues[Staff ID],$A501,tblIssues[Status],"Pending"))</f>
        <v/>
      </c>
    </row>
    <row r="502" spans="1:10" x14ac:dyDescent="0.35">
      <c r="A502" s="18" t="str">
        <f>IF('Staff Directory'!$A502="","",'Staff Directory'!$A502)</f>
        <v/>
      </c>
      <c r="B502" s="18" t="str">
        <f>IF($A502="","",'Staff Directory'!$B502)</f>
        <v/>
      </c>
      <c r="C502" s="19" t="str">
        <f>IF($A502="","",'Staff Directory'!$C502)</f>
        <v/>
      </c>
      <c r="D502" s="19" t="str">
        <f>IF($A502="","",'Staff Directory'!$D502)</f>
        <v/>
      </c>
      <c r="E502" s="26" t="str">
        <f>IF($A502="","",COUNTIFS(tblIssues[Staff ID],$A502))</f>
        <v/>
      </c>
      <c r="F502" s="26" t="str">
        <f>IF($A502="","",SUMIFS(tblIssues[Qty Issued],tblIssues[Staff ID],$A502))</f>
        <v/>
      </c>
      <c r="G502" s="21" t="str">
        <f>IF($A502="","",SUMIFS(tblIssues[Line Cost],tblIssues[Staff ID],$A502))</f>
        <v/>
      </c>
      <c r="H502" s="24" t="str">
        <f>IF($A502="","",IF($E502=0,"",IFERROR(_xlfn.MAXIFS(tblIssues[Order Date],tblIssues[Staff ID],$A502),"")))</f>
        <v/>
      </c>
      <c r="I502" s="24" t="str">
        <f>IF($A502="","",IF($E502=0,"",IFERROR(_xlfn.MAXIFS(tblIssues[Next Scheduled],tblIssues[Staff ID],$A502),"")))</f>
        <v/>
      </c>
      <c r="J502" s="26" t="str">
        <f>IF($A502="","",COUNTIFS(tblIssues[Staff ID],$A502,tblIssues[Status],"Pending"))</f>
        <v/>
      </c>
    </row>
    <row r="503" spans="1:10" x14ac:dyDescent="0.35">
      <c r="A503" s="18" t="str">
        <f>IF('Staff Directory'!$A503="","",'Staff Directory'!$A503)</f>
        <v/>
      </c>
      <c r="B503" s="18" t="str">
        <f>IF($A503="","",'Staff Directory'!$B503)</f>
        <v/>
      </c>
      <c r="C503" s="19" t="str">
        <f>IF($A503="","",'Staff Directory'!$C503)</f>
        <v/>
      </c>
      <c r="D503" s="19" t="str">
        <f>IF($A503="","",'Staff Directory'!$D503)</f>
        <v/>
      </c>
      <c r="E503" s="26" t="str">
        <f>IF($A503="","",COUNTIFS(tblIssues[Staff ID],$A503))</f>
        <v/>
      </c>
      <c r="F503" s="26" t="str">
        <f>IF($A503="","",SUMIFS(tblIssues[Qty Issued],tblIssues[Staff ID],$A503))</f>
        <v/>
      </c>
      <c r="G503" s="21" t="str">
        <f>IF($A503="","",SUMIFS(tblIssues[Line Cost],tblIssues[Staff ID],$A503))</f>
        <v/>
      </c>
      <c r="H503" s="24" t="str">
        <f>IF($A503="","",IF($E503=0,"",IFERROR(_xlfn.MAXIFS(tblIssues[Order Date],tblIssues[Staff ID],$A503),"")))</f>
        <v/>
      </c>
      <c r="I503" s="24" t="str">
        <f>IF($A503="","",IF($E503=0,"",IFERROR(_xlfn.MAXIFS(tblIssues[Next Scheduled],tblIssues[Staff ID],$A503),"")))</f>
        <v/>
      </c>
      <c r="J503" s="26" t="str">
        <f>IF($A503="","",COUNTIFS(tblIssues[Staff ID],$A503,tblIssues[Status],"Pending"))</f>
        <v/>
      </c>
    </row>
    <row r="504" spans="1:10" x14ac:dyDescent="0.35">
      <c r="A504" s="18" t="str">
        <f>IF('Staff Directory'!$A504="","",'Staff Directory'!$A504)</f>
        <v/>
      </c>
      <c r="B504" s="18" t="str">
        <f>IF($A504="","",'Staff Directory'!$B504)</f>
        <v/>
      </c>
      <c r="C504" s="19" t="str">
        <f>IF($A504="","",'Staff Directory'!$C504)</f>
        <v/>
      </c>
      <c r="D504" s="19" t="str">
        <f>IF($A504="","",'Staff Directory'!$D504)</f>
        <v/>
      </c>
      <c r="E504" s="26" t="str">
        <f>IF($A504="","",COUNTIFS(tblIssues[Staff ID],$A504))</f>
        <v/>
      </c>
      <c r="F504" s="26" t="str">
        <f>IF($A504="","",SUMIFS(tblIssues[Qty Issued],tblIssues[Staff ID],$A504))</f>
        <v/>
      </c>
      <c r="G504" s="21" t="str">
        <f>IF($A504="","",SUMIFS(tblIssues[Line Cost],tblIssues[Staff ID],$A504))</f>
        <v/>
      </c>
      <c r="H504" s="24" t="str">
        <f>IF($A504="","",IF($E504=0,"",IFERROR(_xlfn.MAXIFS(tblIssues[Order Date],tblIssues[Staff ID],$A504),"")))</f>
        <v/>
      </c>
      <c r="I504" s="24" t="str">
        <f>IF($A504="","",IF($E504=0,"",IFERROR(_xlfn.MAXIFS(tblIssues[Next Scheduled],tblIssues[Staff ID],$A504),"")))</f>
        <v/>
      </c>
      <c r="J504" s="26" t="str">
        <f>IF($A504="","",COUNTIFS(tblIssues[Staff ID],$A504,tblIssues[Status],"Pending"))</f>
        <v/>
      </c>
    </row>
    <row r="505" spans="1:10" x14ac:dyDescent="0.35">
      <c r="A505" s="18" t="str">
        <f>IF('Staff Directory'!$A505="","",'Staff Directory'!$A505)</f>
        <v/>
      </c>
      <c r="B505" s="18" t="str">
        <f>IF($A505="","",'Staff Directory'!$B505)</f>
        <v/>
      </c>
      <c r="C505" s="19" t="str">
        <f>IF($A505="","",'Staff Directory'!$C505)</f>
        <v/>
      </c>
      <c r="D505" s="19" t="str">
        <f>IF($A505="","",'Staff Directory'!$D505)</f>
        <v/>
      </c>
      <c r="E505" s="26" t="str">
        <f>IF($A505="","",COUNTIFS(tblIssues[Staff ID],$A505))</f>
        <v/>
      </c>
      <c r="F505" s="26" t="str">
        <f>IF($A505="","",SUMIFS(tblIssues[Qty Issued],tblIssues[Staff ID],$A505))</f>
        <v/>
      </c>
      <c r="G505" s="21" t="str">
        <f>IF($A505="","",SUMIFS(tblIssues[Line Cost],tblIssues[Staff ID],$A505))</f>
        <v/>
      </c>
      <c r="H505" s="24" t="str">
        <f>IF($A505="","",IF($E505=0,"",IFERROR(_xlfn.MAXIFS(tblIssues[Order Date],tblIssues[Staff ID],$A505),"")))</f>
        <v/>
      </c>
      <c r="I505" s="24" t="str">
        <f>IF($A505="","",IF($E505=0,"",IFERROR(_xlfn.MAXIFS(tblIssues[Next Scheduled],tblIssues[Staff ID],$A505),"")))</f>
        <v/>
      </c>
      <c r="J505" s="26" t="str">
        <f>IF($A505="","",COUNTIFS(tblIssues[Staff ID],$A505,tblIssues[Status],"Pending"))</f>
        <v/>
      </c>
    </row>
    <row r="506" spans="1:10" x14ac:dyDescent="0.35">
      <c r="A506" s="18" t="str">
        <f>IF('Staff Directory'!$A506="","",'Staff Directory'!$A506)</f>
        <v/>
      </c>
      <c r="B506" s="18" t="str">
        <f>IF($A506="","",'Staff Directory'!$B506)</f>
        <v/>
      </c>
      <c r="C506" s="19" t="str">
        <f>IF($A506="","",'Staff Directory'!$C506)</f>
        <v/>
      </c>
      <c r="D506" s="19" t="str">
        <f>IF($A506="","",'Staff Directory'!$D506)</f>
        <v/>
      </c>
      <c r="E506" s="26" t="str">
        <f>IF($A506="","",COUNTIFS(tblIssues[Staff ID],$A506))</f>
        <v/>
      </c>
      <c r="F506" s="26" t="str">
        <f>IF($A506="","",SUMIFS(tblIssues[Qty Issued],tblIssues[Staff ID],$A506))</f>
        <v/>
      </c>
      <c r="G506" s="21" t="str">
        <f>IF($A506="","",SUMIFS(tblIssues[Line Cost],tblIssues[Staff ID],$A506))</f>
        <v/>
      </c>
      <c r="H506" s="24" t="str">
        <f>IF($A506="","",IF($E506=0,"",IFERROR(_xlfn.MAXIFS(tblIssues[Order Date],tblIssues[Staff ID],$A506),"")))</f>
        <v/>
      </c>
      <c r="I506" s="24" t="str">
        <f>IF($A506="","",IF($E506=0,"",IFERROR(_xlfn.MAXIFS(tblIssues[Next Scheduled],tblIssues[Staff ID],$A506),"")))</f>
        <v/>
      </c>
      <c r="J506" s="26" t="str">
        <f>IF($A506="","",COUNTIFS(tblIssues[Staff ID],$A506,tblIssues[Status],"Pending"))</f>
        <v/>
      </c>
    </row>
    <row r="507" spans="1:10" x14ac:dyDescent="0.35">
      <c r="A507" s="18" t="str">
        <f>IF('Staff Directory'!$A507="","",'Staff Directory'!$A507)</f>
        <v/>
      </c>
      <c r="B507" s="18" t="str">
        <f>IF($A507="","",'Staff Directory'!$B507)</f>
        <v/>
      </c>
      <c r="C507" s="19" t="str">
        <f>IF($A507="","",'Staff Directory'!$C507)</f>
        <v/>
      </c>
      <c r="D507" s="19" t="str">
        <f>IF($A507="","",'Staff Directory'!$D507)</f>
        <v/>
      </c>
      <c r="E507" s="26" t="str">
        <f>IF($A507="","",COUNTIFS(tblIssues[Staff ID],$A507))</f>
        <v/>
      </c>
      <c r="F507" s="26" t="str">
        <f>IF($A507="","",SUMIFS(tblIssues[Qty Issued],tblIssues[Staff ID],$A507))</f>
        <v/>
      </c>
      <c r="G507" s="21" t="str">
        <f>IF($A507="","",SUMIFS(tblIssues[Line Cost],tblIssues[Staff ID],$A507))</f>
        <v/>
      </c>
      <c r="H507" s="24" t="str">
        <f>IF($A507="","",IF($E507=0,"",IFERROR(_xlfn.MAXIFS(tblIssues[Order Date],tblIssues[Staff ID],$A507),"")))</f>
        <v/>
      </c>
      <c r="I507" s="24" t="str">
        <f>IF($A507="","",IF($E507=0,"",IFERROR(_xlfn.MAXIFS(tblIssues[Next Scheduled],tblIssues[Staff ID],$A507),"")))</f>
        <v/>
      </c>
      <c r="J507" s="26" t="str">
        <f>IF($A507="","",COUNTIFS(tblIssues[Staff ID],$A507,tblIssues[Status],"Pending"))</f>
        <v/>
      </c>
    </row>
    <row r="508" spans="1:10" x14ac:dyDescent="0.35">
      <c r="A508" s="18" t="str">
        <f>IF('Staff Directory'!$A508="","",'Staff Directory'!$A508)</f>
        <v/>
      </c>
      <c r="B508" s="18" t="str">
        <f>IF($A508="","",'Staff Directory'!$B508)</f>
        <v/>
      </c>
      <c r="C508" s="19" t="str">
        <f>IF($A508="","",'Staff Directory'!$C508)</f>
        <v/>
      </c>
      <c r="D508" s="19" t="str">
        <f>IF($A508="","",'Staff Directory'!$D508)</f>
        <v/>
      </c>
      <c r="E508" s="26" t="str">
        <f>IF($A508="","",COUNTIFS(tblIssues[Staff ID],$A508))</f>
        <v/>
      </c>
      <c r="F508" s="26" t="str">
        <f>IF($A508="","",SUMIFS(tblIssues[Qty Issued],tblIssues[Staff ID],$A508))</f>
        <v/>
      </c>
      <c r="G508" s="21" t="str">
        <f>IF($A508="","",SUMIFS(tblIssues[Line Cost],tblIssues[Staff ID],$A508))</f>
        <v/>
      </c>
      <c r="H508" s="24" t="str">
        <f>IF($A508="","",IF($E508=0,"",IFERROR(_xlfn.MAXIFS(tblIssues[Order Date],tblIssues[Staff ID],$A508),"")))</f>
        <v/>
      </c>
      <c r="I508" s="24" t="str">
        <f>IF($A508="","",IF($E508=0,"",IFERROR(_xlfn.MAXIFS(tblIssues[Next Scheduled],tblIssues[Staff ID],$A508),"")))</f>
        <v/>
      </c>
      <c r="J508" s="26" t="str">
        <f>IF($A508="","",COUNTIFS(tblIssues[Staff ID],$A508,tblIssues[Status],"Pending"))</f>
        <v/>
      </c>
    </row>
    <row r="509" spans="1:10" x14ac:dyDescent="0.35">
      <c r="A509" s="18" t="str">
        <f>IF('Staff Directory'!$A509="","",'Staff Directory'!$A509)</f>
        <v/>
      </c>
      <c r="B509" s="18" t="str">
        <f>IF($A509="","",'Staff Directory'!$B509)</f>
        <v/>
      </c>
      <c r="C509" s="19" t="str">
        <f>IF($A509="","",'Staff Directory'!$C509)</f>
        <v/>
      </c>
      <c r="D509" s="19" t="str">
        <f>IF($A509="","",'Staff Directory'!$D509)</f>
        <v/>
      </c>
      <c r="E509" s="26" t="str">
        <f>IF($A509="","",COUNTIFS(tblIssues[Staff ID],$A509))</f>
        <v/>
      </c>
      <c r="F509" s="26" t="str">
        <f>IF($A509="","",SUMIFS(tblIssues[Qty Issued],tblIssues[Staff ID],$A509))</f>
        <v/>
      </c>
      <c r="G509" s="21" t="str">
        <f>IF($A509="","",SUMIFS(tblIssues[Line Cost],tblIssues[Staff ID],$A509))</f>
        <v/>
      </c>
      <c r="H509" s="24" t="str">
        <f>IF($A509="","",IF($E509=0,"",IFERROR(_xlfn.MAXIFS(tblIssues[Order Date],tblIssues[Staff ID],$A509),"")))</f>
        <v/>
      </c>
      <c r="I509" s="24" t="str">
        <f>IF($A509="","",IF($E509=0,"",IFERROR(_xlfn.MAXIFS(tblIssues[Next Scheduled],tblIssues[Staff ID],$A509),"")))</f>
        <v/>
      </c>
      <c r="J509" s="26" t="str">
        <f>IF($A509="","",COUNTIFS(tblIssues[Staff ID],$A509,tblIssues[Status],"Pending"))</f>
        <v/>
      </c>
    </row>
    <row r="510" spans="1:10" x14ac:dyDescent="0.35">
      <c r="A510" s="18" t="str">
        <f>IF('Staff Directory'!$A510="","",'Staff Directory'!$A510)</f>
        <v/>
      </c>
      <c r="B510" s="18" t="str">
        <f>IF($A510="","",'Staff Directory'!$B510)</f>
        <v/>
      </c>
      <c r="C510" s="19" t="str">
        <f>IF($A510="","",'Staff Directory'!$C510)</f>
        <v/>
      </c>
      <c r="D510" s="19" t="str">
        <f>IF($A510="","",'Staff Directory'!$D510)</f>
        <v/>
      </c>
      <c r="E510" s="26" t="str">
        <f>IF($A510="","",COUNTIFS(tblIssues[Staff ID],$A510))</f>
        <v/>
      </c>
      <c r="F510" s="26" t="str">
        <f>IF($A510="","",SUMIFS(tblIssues[Qty Issued],tblIssues[Staff ID],$A510))</f>
        <v/>
      </c>
      <c r="G510" s="21" t="str">
        <f>IF($A510="","",SUMIFS(tblIssues[Line Cost],tblIssues[Staff ID],$A510))</f>
        <v/>
      </c>
      <c r="H510" s="24" t="str">
        <f>IF($A510="","",IF($E510=0,"",IFERROR(_xlfn.MAXIFS(tblIssues[Order Date],tblIssues[Staff ID],$A510),"")))</f>
        <v/>
      </c>
      <c r="I510" s="24" t="str">
        <f>IF($A510="","",IF($E510=0,"",IFERROR(_xlfn.MAXIFS(tblIssues[Next Scheduled],tblIssues[Staff ID],$A510),"")))</f>
        <v/>
      </c>
      <c r="J510" s="26" t="str">
        <f>IF($A510="","",COUNTIFS(tblIssues[Staff ID],$A510,tblIssues[Status],"Pending"))</f>
        <v/>
      </c>
    </row>
    <row r="511" spans="1:10" x14ac:dyDescent="0.35">
      <c r="A511" s="18" t="str">
        <f>IF('Staff Directory'!$A511="","",'Staff Directory'!$A511)</f>
        <v/>
      </c>
      <c r="B511" s="18" t="str">
        <f>IF($A511="","",'Staff Directory'!$B511)</f>
        <v/>
      </c>
      <c r="C511" s="19" t="str">
        <f>IF($A511="","",'Staff Directory'!$C511)</f>
        <v/>
      </c>
      <c r="D511" s="19" t="str">
        <f>IF($A511="","",'Staff Directory'!$D511)</f>
        <v/>
      </c>
      <c r="E511" s="26" t="str">
        <f>IF($A511="","",COUNTIFS(tblIssues[Staff ID],$A511))</f>
        <v/>
      </c>
      <c r="F511" s="26" t="str">
        <f>IF($A511="","",SUMIFS(tblIssues[Qty Issued],tblIssues[Staff ID],$A511))</f>
        <v/>
      </c>
      <c r="G511" s="21" t="str">
        <f>IF($A511="","",SUMIFS(tblIssues[Line Cost],tblIssues[Staff ID],$A511))</f>
        <v/>
      </c>
      <c r="H511" s="24" t="str">
        <f>IF($A511="","",IF($E511=0,"",IFERROR(_xlfn.MAXIFS(tblIssues[Order Date],tblIssues[Staff ID],$A511),"")))</f>
        <v/>
      </c>
      <c r="I511" s="24" t="str">
        <f>IF($A511="","",IF($E511=0,"",IFERROR(_xlfn.MAXIFS(tblIssues[Next Scheduled],tblIssues[Staff ID],$A511),"")))</f>
        <v/>
      </c>
      <c r="J511" s="26" t="str">
        <f>IF($A511="","",COUNTIFS(tblIssues[Staff ID],$A511,tblIssues[Status],"Pending"))</f>
        <v/>
      </c>
    </row>
    <row r="512" spans="1:10" x14ac:dyDescent="0.35">
      <c r="A512" s="18" t="str">
        <f>IF('Staff Directory'!$A512="","",'Staff Directory'!$A512)</f>
        <v/>
      </c>
      <c r="B512" s="18" t="str">
        <f>IF($A512="","",'Staff Directory'!$B512)</f>
        <v/>
      </c>
      <c r="C512" s="19" t="str">
        <f>IF($A512="","",'Staff Directory'!$C512)</f>
        <v/>
      </c>
      <c r="D512" s="19" t="str">
        <f>IF($A512="","",'Staff Directory'!$D512)</f>
        <v/>
      </c>
      <c r="E512" s="26" t="str">
        <f>IF($A512="","",COUNTIFS(tblIssues[Staff ID],$A512))</f>
        <v/>
      </c>
      <c r="F512" s="26" t="str">
        <f>IF($A512="","",SUMIFS(tblIssues[Qty Issued],tblIssues[Staff ID],$A512))</f>
        <v/>
      </c>
      <c r="G512" s="21" t="str">
        <f>IF($A512="","",SUMIFS(tblIssues[Line Cost],tblIssues[Staff ID],$A512))</f>
        <v/>
      </c>
      <c r="H512" s="24" t="str">
        <f>IF($A512="","",IF($E512=0,"",IFERROR(_xlfn.MAXIFS(tblIssues[Order Date],tblIssues[Staff ID],$A512),"")))</f>
        <v/>
      </c>
      <c r="I512" s="24" t="str">
        <f>IF($A512="","",IF($E512=0,"",IFERROR(_xlfn.MAXIFS(tblIssues[Next Scheduled],tblIssues[Staff ID],$A512),"")))</f>
        <v/>
      </c>
      <c r="J512" s="26" t="str">
        <f>IF($A512="","",COUNTIFS(tblIssues[Staff ID],$A512,tblIssues[Status],"Pending"))</f>
        <v/>
      </c>
    </row>
    <row r="513" spans="1:10" x14ac:dyDescent="0.35">
      <c r="A513" s="18" t="str">
        <f>IF('Staff Directory'!$A513="","",'Staff Directory'!$A513)</f>
        <v/>
      </c>
      <c r="B513" s="18" t="str">
        <f>IF($A513="","",'Staff Directory'!$B513)</f>
        <v/>
      </c>
      <c r="C513" s="19" t="str">
        <f>IF($A513="","",'Staff Directory'!$C513)</f>
        <v/>
      </c>
      <c r="D513" s="19" t="str">
        <f>IF($A513="","",'Staff Directory'!$D513)</f>
        <v/>
      </c>
      <c r="E513" s="26" t="str">
        <f>IF($A513="","",COUNTIFS(tblIssues[Staff ID],$A513))</f>
        <v/>
      </c>
      <c r="F513" s="26" t="str">
        <f>IF($A513="","",SUMIFS(tblIssues[Qty Issued],tblIssues[Staff ID],$A513))</f>
        <v/>
      </c>
      <c r="G513" s="21" t="str">
        <f>IF($A513="","",SUMIFS(tblIssues[Line Cost],tblIssues[Staff ID],$A513))</f>
        <v/>
      </c>
      <c r="H513" s="24" t="str">
        <f>IF($A513="","",IF($E513=0,"",IFERROR(_xlfn.MAXIFS(tblIssues[Order Date],tblIssues[Staff ID],$A513),"")))</f>
        <v/>
      </c>
      <c r="I513" s="24" t="str">
        <f>IF($A513="","",IF($E513=0,"",IFERROR(_xlfn.MAXIFS(tblIssues[Next Scheduled],tblIssues[Staff ID],$A513),"")))</f>
        <v/>
      </c>
      <c r="J513" s="26" t="str">
        <f>IF($A513="","",COUNTIFS(tblIssues[Staff ID],$A513,tblIssues[Status],"Pending"))</f>
        <v/>
      </c>
    </row>
    <row r="514" spans="1:10" x14ac:dyDescent="0.35">
      <c r="A514" s="18" t="str">
        <f>IF('Staff Directory'!$A514="","",'Staff Directory'!$A514)</f>
        <v/>
      </c>
      <c r="B514" s="18" t="str">
        <f>IF($A514="","",'Staff Directory'!$B514)</f>
        <v/>
      </c>
      <c r="C514" s="19" t="str">
        <f>IF($A514="","",'Staff Directory'!$C514)</f>
        <v/>
      </c>
      <c r="D514" s="19" t="str">
        <f>IF($A514="","",'Staff Directory'!$D514)</f>
        <v/>
      </c>
      <c r="E514" s="26" t="str">
        <f>IF($A514="","",COUNTIFS(tblIssues[Staff ID],$A514))</f>
        <v/>
      </c>
      <c r="F514" s="26" t="str">
        <f>IF($A514="","",SUMIFS(tblIssues[Qty Issued],tblIssues[Staff ID],$A514))</f>
        <v/>
      </c>
      <c r="G514" s="21" t="str">
        <f>IF($A514="","",SUMIFS(tblIssues[Line Cost],tblIssues[Staff ID],$A514))</f>
        <v/>
      </c>
      <c r="H514" s="24" t="str">
        <f>IF($A514="","",IF($E514=0,"",IFERROR(_xlfn.MAXIFS(tblIssues[Order Date],tblIssues[Staff ID],$A514),"")))</f>
        <v/>
      </c>
      <c r="I514" s="24" t="str">
        <f>IF($A514="","",IF($E514=0,"",IFERROR(_xlfn.MAXIFS(tblIssues[Next Scheduled],tblIssues[Staff ID],$A514),"")))</f>
        <v/>
      </c>
      <c r="J514" s="26" t="str">
        <f>IF($A514="","",COUNTIFS(tblIssues[Staff ID],$A514,tblIssues[Status],"Pending"))</f>
        <v/>
      </c>
    </row>
    <row r="515" spans="1:10" x14ac:dyDescent="0.35">
      <c r="A515" s="18" t="str">
        <f>IF('Staff Directory'!$A515="","",'Staff Directory'!$A515)</f>
        <v/>
      </c>
      <c r="B515" s="18" t="str">
        <f>IF($A515="","",'Staff Directory'!$B515)</f>
        <v/>
      </c>
      <c r="C515" s="19" t="str">
        <f>IF($A515="","",'Staff Directory'!$C515)</f>
        <v/>
      </c>
      <c r="D515" s="19" t="str">
        <f>IF($A515="","",'Staff Directory'!$D515)</f>
        <v/>
      </c>
      <c r="E515" s="26" t="str">
        <f>IF($A515="","",COUNTIFS(tblIssues[Staff ID],$A515))</f>
        <v/>
      </c>
      <c r="F515" s="26" t="str">
        <f>IF($A515="","",SUMIFS(tblIssues[Qty Issued],tblIssues[Staff ID],$A515))</f>
        <v/>
      </c>
      <c r="G515" s="21" t="str">
        <f>IF($A515="","",SUMIFS(tblIssues[Line Cost],tblIssues[Staff ID],$A515))</f>
        <v/>
      </c>
      <c r="H515" s="24" t="str">
        <f>IF($A515="","",IF($E515=0,"",IFERROR(_xlfn.MAXIFS(tblIssues[Order Date],tblIssues[Staff ID],$A515),"")))</f>
        <v/>
      </c>
      <c r="I515" s="24" t="str">
        <f>IF($A515="","",IF($E515=0,"",IFERROR(_xlfn.MAXIFS(tblIssues[Next Scheduled],tblIssues[Staff ID],$A515),"")))</f>
        <v/>
      </c>
      <c r="J515" s="26" t="str">
        <f>IF($A515="","",COUNTIFS(tblIssues[Staff ID],$A515,tblIssues[Status],"Pending"))</f>
        <v/>
      </c>
    </row>
    <row r="516" spans="1:10" x14ac:dyDescent="0.35">
      <c r="A516" s="18" t="str">
        <f>IF('Staff Directory'!$A516="","",'Staff Directory'!$A516)</f>
        <v/>
      </c>
      <c r="B516" s="18" t="str">
        <f>IF($A516="","",'Staff Directory'!$B516)</f>
        <v/>
      </c>
      <c r="C516" s="19" t="str">
        <f>IF($A516="","",'Staff Directory'!$C516)</f>
        <v/>
      </c>
      <c r="D516" s="19" t="str">
        <f>IF($A516="","",'Staff Directory'!$D516)</f>
        <v/>
      </c>
      <c r="E516" s="26" t="str">
        <f>IF($A516="","",COUNTIFS(tblIssues[Staff ID],$A516))</f>
        <v/>
      </c>
      <c r="F516" s="26" t="str">
        <f>IF($A516="","",SUMIFS(tblIssues[Qty Issued],tblIssues[Staff ID],$A516))</f>
        <v/>
      </c>
      <c r="G516" s="21" t="str">
        <f>IF($A516="","",SUMIFS(tblIssues[Line Cost],tblIssues[Staff ID],$A516))</f>
        <v/>
      </c>
      <c r="H516" s="24" t="str">
        <f>IF($A516="","",IF($E516=0,"",IFERROR(_xlfn.MAXIFS(tblIssues[Order Date],tblIssues[Staff ID],$A516),"")))</f>
        <v/>
      </c>
      <c r="I516" s="24" t="str">
        <f>IF($A516="","",IF($E516=0,"",IFERROR(_xlfn.MAXIFS(tblIssues[Next Scheduled],tblIssues[Staff ID],$A516),"")))</f>
        <v/>
      </c>
      <c r="J516" s="26" t="str">
        <f>IF($A516="","",COUNTIFS(tblIssues[Staff ID],$A516,tblIssues[Status],"Pending"))</f>
        <v/>
      </c>
    </row>
    <row r="517" spans="1:10" x14ac:dyDescent="0.35">
      <c r="A517" s="18" t="str">
        <f>IF('Staff Directory'!$A517="","",'Staff Directory'!$A517)</f>
        <v/>
      </c>
      <c r="B517" s="18" t="str">
        <f>IF($A517="","",'Staff Directory'!$B517)</f>
        <v/>
      </c>
      <c r="C517" s="19" t="str">
        <f>IF($A517="","",'Staff Directory'!$C517)</f>
        <v/>
      </c>
      <c r="D517" s="19" t="str">
        <f>IF($A517="","",'Staff Directory'!$D517)</f>
        <v/>
      </c>
      <c r="E517" s="26" t="str">
        <f>IF($A517="","",COUNTIFS(tblIssues[Staff ID],$A517))</f>
        <v/>
      </c>
      <c r="F517" s="26" t="str">
        <f>IF($A517="","",SUMIFS(tblIssues[Qty Issued],tblIssues[Staff ID],$A517))</f>
        <v/>
      </c>
      <c r="G517" s="21" t="str">
        <f>IF($A517="","",SUMIFS(tblIssues[Line Cost],tblIssues[Staff ID],$A517))</f>
        <v/>
      </c>
      <c r="H517" s="24" t="str">
        <f>IF($A517="","",IF($E517=0,"",IFERROR(_xlfn.MAXIFS(tblIssues[Order Date],tblIssues[Staff ID],$A517),"")))</f>
        <v/>
      </c>
      <c r="I517" s="24" t="str">
        <f>IF($A517="","",IF($E517=0,"",IFERROR(_xlfn.MAXIFS(tblIssues[Next Scheduled],tblIssues[Staff ID],$A517),"")))</f>
        <v/>
      </c>
      <c r="J517" s="26" t="str">
        <f>IF($A517="","",COUNTIFS(tblIssues[Staff ID],$A517,tblIssues[Status],"Pending"))</f>
        <v/>
      </c>
    </row>
    <row r="518" spans="1:10" x14ac:dyDescent="0.35">
      <c r="A518" s="18" t="str">
        <f>IF('Staff Directory'!$A518="","",'Staff Directory'!$A518)</f>
        <v/>
      </c>
      <c r="B518" s="18" t="str">
        <f>IF($A518="","",'Staff Directory'!$B518)</f>
        <v/>
      </c>
      <c r="C518" s="19" t="str">
        <f>IF($A518="","",'Staff Directory'!$C518)</f>
        <v/>
      </c>
      <c r="D518" s="19" t="str">
        <f>IF($A518="","",'Staff Directory'!$D518)</f>
        <v/>
      </c>
      <c r="E518" s="26" t="str">
        <f>IF($A518="","",COUNTIFS(tblIssues[Staff ID],$A518))</f>
        <v/>
      </c>
      <c r="F518" s="26" t="str">
        <f>IF($A518="","",SUMIFS(tblIssues[Qty Issued],tblIssues[Staff ID],$A518))</f>
        <v/>
      </c>
      <c r="G518" s="21" t="str">
        <f>IF($A518="","",SUMIFS(tblIssues[Line Cost],tblIssues[Staff ID],$A518))</f>
        <v/>
      </c>
      <c r="H518" s="24" t="str">
        <f>IF($A518="","",IF($E518=0,"",IFERROR(_xlfn.MAXIFS(tblIssues[Order Date],tblIssues[Staff ID],$A518),"")))</f>
        <v/>
      </c>
      <c r="I518" s="24" t="str">
        <f>IF($A518="","",IF($E518=0,"",IFERROR(_xlfn.MAXIFS(tblIssues[Next Scheduled],tblIssues[Staff ID],$A518),"")))</f>
        <v/>
      </c>
      <c r="J518" s="26" t="str">
        <f>IF($A518="","",COUNTIFS(tblIssues[Staff ID],$A518,tblIssues[Status],"Pending"))</f>
        <v/>
      </c>
    </row>
    <row r="519" spans="1:10" x14ac:dyDescent="0.35">
      <c r="A519" s="18" t="str">
        <f>IF('Staff Directory'!$A519="","",'Staff Directory'!$A519)</f>
        <v/>
      </c>
      <c r="B519" s="18" t="str">
        <f>IF($A519="","",'Staff Directory'!$B519)</f>
        <v/>
      </c>
      <c r="C519" s="19" t="str">
        <f>IF($A519="","",'Staff Directory'!$C519)</f>
        <v/>
      </c>
      <c r="D519" s="19" t="str">
        <f>IF($A519="","",'Staff Directory'!$D519)</f>
        <v/>
      </c>
      <c r="E519" s="26" t="str">
        <f>IF($A519="","",COUNTIFS(tblIssues[Staff ID],$A519))</f>
        <v/>
      </c>
      <c r="F519" s="26" t="str">
        <f>IF($A519="","",SUMIFS(tblIssues[Qty Issued],tblIssues[Staff ID],$A519))</f>
        <v/>
      </c>
      <c r="G519" s="21" t="str">
        <f>IF($A519="","",SUMIFS(tblIssues[Line Cost],tblIssues[Staff ID],$A519))</f>
        <v/>
      </c>
      <c r="H519" s="24" t="str">
        <f>IF($A519="","",IF($E519=0,"",IFERROR(_xlfn.MAXIFS(tblIssues[Order Date],tblIssues[Staff ID],$A519),"")))</f>
        <v/>
      </c>
      <c r="I519" s="24" t="str">
        <f>IF($A519="","",IF($E519=0,"",IFERROR(_xlfn.MAXIFS(tblIssues[Next Scheduled],tblIssues[Staff ID],$A519),"")))</f>
        <v/>
      </c>
      <c r="J519" s="26" t="str">
        <f>IF($A519="","",COUNTIFS(tblIssues[Staff ID],$A519,tblIssues[Status],"Pending"))</f>
        <v/>
      </c>
    </row>
    <row r="520" spans="1:10" x14ac:dyDescent="0.35">
      <c r="A520" s="18" t="str">
        <f>IF('Staff Directory'!$A520="","",'Staff Directory'!$A520)</f>
        <v/>
      </c>
      <c r="B520" s="18" t="str">
        <f>IF($A520="","",'Staff Directory'!$B520)</f>
        <v/>
      </c>
      <c r="C520" s="19" t="str">
        <f>IF($A520="","",'Staff Directory'!$C520)</f>
        <v/>
      </c>
      <c r="D520" s="19" t="str">
        <f>IF($A520="","",'Staff Directory'!$D520)</f>
        <v/>
      </c>
      <c r="E520" s="26" t="str">
        <f>IF($A520="","",COUNTIFS(tblIssues[Staff ID],$A520))</f>
        <v/>
      </c>
      <c r="F520" s="26" t="str">
        <f>IF($A520="","",SUMIFS(tblIssues[Qty Issued],tblIssues[Staff ID],$A520))</f>
        <v/>
      </c>
      <c r="G520" s="21" t="str">
        <f>IF($A520="","",SUMIFS(tblIssues[Line Cost],tblIssues[Staff ID],$A520))</f>
        <v/>
      </c>
      <c r="H520" s="24" t="str">
        <f>IF($A520="","",IF($E520=0,"",IFERROR(_xlfn.MAXIFS(tblIssues[Order Date],tblIssues[Staff ID],$A520),"")))</f>
        <v/>
      </c>
      <c r="I520" s="24" t="str">
        <f>IF($A520="","",IF($E520=0,"",IFERROR(_xlfn.MAXIFS(tblIssues[Next Scheduled],tblIssues[Staff ID],$A520),"")))</f>
        <v/>
      </c>
      <c r="J520" s="26" t="str">
        <f>IF($A520="","",COUNTIFS(tblIssues[Staff ID],$A520,tblIssues[Status],"Pending"))</f>
        <v/>
      </c>
    </row>
    <row r="521" spans="1:10" x14ac:dyDescent="0.35">
      <c r="A521" s="18" t="str">
        <f>IF('Staff Directory'!$A521="","",'Staff Directory'!$A521)</f>
        <v/>
      </c>
      <c r="B521" s="18" t="str">
        <f>IF($A521="","",'Staff Directory'!$B521)</f>
        <v/>
      </c>
      <c r="C521" s="19" t="str">
        <f>IF($A521="","",'Staff Directory'!$C521)</f>
        <v/>
      </c>
      <c r="D521" s="19" t="str">
        <f>IF($A521="","",'Staff Directory'!$D521)</f>
        <v/>
      </c>
      <c r="E521" s="26" t="str">
        <f>IF($A521="","",COUNTIFS(tblIssues[Staff ID],$A521))</f>
        <v/>
      </c>
      <c r="F521" s="26" t="str">
        <f>IF($A521="","",SUMIFS(tblIssues[Qty Issued],tblIssues[Staff ID],$A521))</f>
        <v/>
      </c>
      <c r="G521" s="21" t="str">
        <f>IF($A521="","",SUMIFS(tblIssues[Line Cost],tblIssues[Staff ID],$A521))</f>
        <v/>
      </c>
      <c r="H521" s="24" t="str">
        <f>IF($A521="","",IF($E521=0,"",IFERROR(_xlfn.MAXIFS(tblIssues[Order Date],tblIssues[Staff ID],$A521),"")))</f>
        <v/>
      </c>
      <c r="I521" s="24" t="str">
        <f>IF($A521="","",IF($E521=0,"",IFERROR(_xlfn.MAXIFS(tblIssues[Next Scheduled],tblIssues[Staff ID],$A521),"")))</f>
        <v/>
      </c>
      <c r="J521" s="26" t="str">
        <f>IF($A521="","",COUNTIFS(tblIssues[Staff ID],$A521,tblIssues[Status],"Pending"))</f>
        <v/>
      </c>
    </row>
    <row r="522" spans="1:10" x14ac:dyDescent="0.35">
      <c r="A522" s="18" t="str">
        <f>IF('Staff Directory'!$A522="","",'Staff Directory'!$A522)</f>
        <v/>
      </c>
      <c r="B522" s="18" t="str">
        <f>IF($A522="","",'Staff Directory'!$B522)</f>
        <v/>
      </c>
      <c r="C522" s="19" t="str">
        <f>IF($A522="","",'Staff Directory'!$C522)</f>
        <v/>
      </c>
      <c r="D522" s="19" t="str">
        <f>IF($A522="","",'Staff Directory'!$D522)</f>
        <v/>
      </c>
      <c r="E522" s="26" t="str">
        <f>IF($A522="","",COUNTIFS(tblIssues[Staff ID],$A522))</f>
        <v/>
      </c>
      <c r="F522" s="26" t="str">
        <f>IF($A522="","",SUMIFS(tblIssues[Qty Issued],tblIssues[Staff ID],$A522))</f>
        <v/>
      </c>
      <c r="G522" s="21" t="str">
        <f>IF($A522="","",SUMIFS(tblIssues[Line Cost],tblIssues[Staff ID],$A522))</f>
        <v/>
      </c>
      <c r="H522" s="24" t="str">
        <f>IF($A522="","",IF($E522=0,"",IFERROR(_xlfn.MAXIFS(tblIssues[Order Date],tblIssues[Staff ID],$A522),"")))</f>
        <v/>
      </c>
      <c r="I522" s="24" t="str">
        <f>IF($A522="","",IF($E522=0,"",IFERROR(_xlfn.MAXIFS(tblIssues[Next Scheduled],tblIssues[Staff ID],$A522),"")))</f>
        <v/>
      </c>
      <c r="J522" s="26" t="str">
        <f>IF($A522="","",COUNTIFS(tblIssues[Staff ID],$A522,tblIssues[Status],"Pending"))</f>
        <v/>
      </c>
    </row>
    <row r="523" spans="1:10" x14ac:dyDescent="0.35">
      <c r="A523" s="18" t="str">
        <f>IF('Staff Directory'!$A523="","",'Staff Directory'!$A523)</f>
        <v/>
      </c>
      <c r="B523" s="18" t="str">
        <f>IF($A523="","",'Staff Directory'!$B523)</f>
        <v/>
      </c>
      <c r="C523" s="19" t="str">
        <f>IF($A523="","",'Staff Directory'!$C523)</f>
        <v/>
      </c>
      <c r="D523" s="19" t="str">
        <f>IF($A523="","",'Staff Directory'!$D523)</f>
        <v/>
      </c>
      <c r="E523" s="26" t="str">
        <f>IF($A523="","",COUNTIFS(tblIssues[Staff ID],$A523))</f>
        <v/>
      </c>
      <c r="F523" s="26" t="str">
        <f>IF($A523="","",SUMIFS(tblIssues[Qty Issued],tblIssues[Staff ID],$A523))</f>
        <v/>
      </c>
      <c r="G523" s="21" t="str">
        <f>IF($A523="","",SUMIFS(tblIssues[Line Cost],tblIssues[Staff ID],$A523))</f>
        <v/>
      </c>
      <c r="H523" s="24" t="str">
        <f>IF($A523="","",IF($E523=0,"",IFERROR(_xlfn.MAXIFS(tblIssues[Order Date],tblIssues[Staff ID],$A523),"")))</f>
        <v/>
      </c>
      <c r="I523" s="24" t="str">
        <f>IF($A523="","",IF($E523=0,"",IFERROR(_xlfn.MAXIFS(tblIssues[Next Scheduled],tblIssues[Staff ID],$A523),"")))</f>
        <v/>
      </c>
      <c r="J523" s="26" t="str">
        <f>IF($A523="","",COUNTIFS(tblIssues[Staff ID],$A523,tblIssues[Status],"Pending"))</f>
        <v/>
      </c>
    </row>
    <row r="524" spans="1:10" x14ac:dyDescent="0.35">
      <c r="A524" s="18" t="str">
        <f>IF('Staff Directory'!$A524="","",'Staff Directory'!$A524)</f>
        <v/>
      </c>
      <c r="B524" s="18" t="str">
        <f>IF($A524="","",'Staff Directory'!$B524)</f>
        <v/>
      </c>
      <c r="C524" s="19" t="str">
        <f>IF($A524="","",'Staff Directory'!$C524)</f>
        <v/>
      </c>
      <c r="D524" s="19" t="str">
        <f>IF($A524="","",'Staff Directory'!$D524)</f>
        <v/>
      </c>
      <c r="E524" s="26" t="str">
        <f>IF($A524="","",COUNTIFS(tblIssues[Staff ID],$A524))</f>
        <v/>
      </c>
      <c r="F524" s="26" t="str">
        <f>IF($A524="","",SUMIFS(tblIssues[Qty Issued],tblIssues[Staff ID],$A524))</f>
        <v/>
      </c>
      <c r="G524" s="21" t="str">
        <f>IF($A524="","",SUMIFS(tblIssues[Line Cost],tblIssues[Staff ID],$A524))</f>
        <v/>
      </c>
      <c r="H524" s="24" t="str">
        <f>IF($A524="","",IF($E524=0,"",IFERROR(_xlfn.MAXIFS(tblIssues[Order Date],tblIssues[Staff ID],$A524),"")))</f>
        <v/>
      </c>
      <c r="I524" s="24" t="str">
        <f>IF($A524="","",IF($E524=0,"",IFERROR(_xlfn.MAXIFS(tblIssues[Next Scheduled],tblIssues[Staff ID],$A524),"")))</f>
        <v/>
      </c>
      <c r="J524" s="26" t="str">
        <f>IF($A524="","",COUNTIFS(tblIssues[Staff ID],$A524,tblIssues[Status],"Pending"))</f>
        <v/>
      </c>
    </row>
    <row r="525" spans="1:10" x14ac:dyDescent="0.35">
      <c r="A525" s="18" t="str">
        <f>IF('Staff Directory'!$A525="","",'Staff Directory'!$A525)</f>
        <v/>
      </c>
      <c r="B525" s="18" t="str">
        <f>IF($A525="","",'Staff Directory'!$B525)</f>
        <v/>
      </c>
      <c r="C525" s="19" t="str">
        <f>IF($A525="","",'Staff Directory'!$C525)</f>
        <v/>
      </c>
      <c r="D525" s="19" t="str">
        <f>IF($A525="","",'Staff Directory'!$D525)</f>
        <v/>
      </c>
      <c r="E525" s="26" t="str">
        <f>IF($A525="","",COUNTIFS(tblIssues[Staff ID],$A525))</f>
        <v/>
      </c>
      <c r="F525" s="26" t="str">
        <f>IF($A525="","",SUMIFS(tblIssues[Qty Issued],tblIssues[Staff ID],$A525))</f>
        <v/>
      </c>
      <c r="G525" s="21" t="str">
        <f>IF($A525="","",SUMIFS(tblIssues[Line Cost],tblIssues[Staff ID],$A525))</f>
        <v/>
      </c>
      <c r="H525" s="24" t="str">
        <f>IF($A525="","",IF($E525=0,"",IFERROR(_xlfn.MAXIFS(tblIssues[Order Date],tblIssues[Staff ID],$A525),"")))</f>
        <v/>
      </c>
      <c r="I525" s="24" t="str">
        <f>IF($A525="","",IF($E525=0,"",IFERROR(_xlfn.MAXIFS(tblIssues[Next Scheduled],tblIssues[Staff ID],$A525),"")))</f>
        <v/>
      </c>
      <c r="J525" s="26" t="str">
        <f>IF($A525="","",COUNTIFS(tblIssues[Staff ID],$A525,tblIssues[Status],"Pending"))</f>
        <v/>
      </c>
    </row>
    <row r="526" spans="1:10" x14ac:dyDescent="0.35">
      <c r="A526" s="18" t="str">
        <f>IF('Staff Directory'!$A526="","",'Staff Directory'!$A526)</f>
        <v/>
      </c>
      <c r="B526" s="18" t="str">
        <f>IF($A526="","",'Staff Directory'!$B526)</f>
        <v/>
      </c>
      <c r="C526" s="19" t="str">
        <f>IF($A526="","",'Staff Directory'!$C526)</f>
        <v/>
      </c>
      <c r="D526" s="19" t="str">
        <f>IF($A526="","",'Staff Directory'!$D526)</f>
        <v/>
      </c>
      <c r="E526" s="26" t="str">
        <f>IF($A526="","",COUNTIFS(tblIssues[Staff ID],$A526))</f>
        <v/>
      </c>
      <c r="F526" s="26" t="str">
        <f>IF($A526="","",SUMIFS(tblIssues[Qty Issued],tblIssues[Staff ID],$A526))</f>
        <v/>
      </c>
      <c r="G526" s="21" t="str">
        <f>IF($A526="","",SUMIFS(tblIssues[Line Cost],tblIssues[Staff ID],$A526))</f>
        <v/>
      </c>
      <c r="H526" s="24" t="str">
        <f>IF($A526="","",IF($E526=0,"",IFERROR(_xlfn.MAXIFS(tblIssues[Order Date],tblIssues[Staff ID],$A526),"")))</f>
        <v/>
      </c>
      <c r="I526" s="24" t="str">
        <f>IF($A526="","",IF($E526=0,"",IFERROR(_xlfn.MAXIFS(tblIssues[Next Scheduled],tblIssues[Staff ID],$A526),"")))</f>
        <v/>
      </c>
      <c r="J526" s="26" t="str">
        <f>IF($A526="","",COUNTIFS(tblIssues[Staff ID],$A526,tblIssues[Status],"Pending"))</f>
        <v/>
      </c>
    </row>
    <row r="527" spans="1:10" x14ac:dyDescent="0.35">
      <c r="A527" s="18" t="str">
        <f>IF('Staff Directory'!$A527="","",'Staff Directory'!$A527)</f>
        <v/>
      </c>
      <c r="B527" s="18" t="str">
        <f>IF($A527="","",'Staff Directory'!$B527)</f>
        <v/>
      </c>
      <c r="C527" s="19" t="str">
        <f>IF($A527="","",'Staff Directory'!$C527)</f>
        <v/>
      </c>
      <c r="D527" s="19" t="str">
        <f>IF($A527="","",'Staff Directory'!$D527)</f>
        <v/>
      </c>
      <c r="E527" s="26" t="str">
        <f>IF($A527="","",COUNTIFS(tblIssues[Staff ID],$A527))</f>
        <v/>
      </c>
      <c r="F527" s="26" t="str">
        <f>IF($A527="","",SUMIFS(tblIssues[Qty Issued],tblIssues[Staff ID],$A527))</f>
        <v/>
      </c>
      <c r="G527" s="21" t="str">
        <f>IF($A527="","",SUMIFS(tblIssues[Line Cost],tblIssues[Staff ID],$A527))</f>
        <v/>
      </c>
      <c r="H527" s="24" t="str">
        <f>IF($A527="","",IF($E527=0,"",IFERROR(_xlfn.MAXIFS(tblIssues[Order Date],tblIssues[Staff ID],$A527),"")))</f>
        <v/>
      </c>
      <c r="I527" s="24" t="str">
        <f>IF($A527="","",IF($E527=0,"",IFERROR(_xlfn.MAXIFS(tblIssues[Next Scheduled],tblIssues[Staff ID],$A527),"")))</f>
        <v/>
      </c>
      <c r="J527" s="26" t="str">
        <f>IF($A527="","",COUNTIFS(tblIssues[Staff ID],$A527,tblIssues[Status],"Pending"))</f>
        <v/>
      </c>
    </row>
    <row r="528" spans="1:10" x14ac:dyDescent="0.35">
      <c r="A528" s="18" t="str">
        <f>IF('Staff Directory'!$A528="","",'Staff Directory'!$A528)</f>
        <v/>
      </c>
      <c r="B528" s="18" t="str">
        <f>IF($A528="","",'Staff Directory'!$B528)</f>
        <v/>
      </c>
      <c r="C528" s="19" t="str">
        <f>IF($A528="","",'Staff Directory'!$C528)</f>
        <v/>
      </c>
      <c r="D528" s="19" t="str">
        <f>IF($A528="","",'Staff Directory'!$D528)</f>
        <v/>
      </c>
      <c r="E528" s="26" t="str">
        <f>IF($A528="","",COUNTIFS(tblIssues[Staff ID],$A528))</f>
        <v/>
      </c>
      <c r="F528" s="26" t="str">
        <f>IF($A528="","",SUMIFS(tblIssues[Qty Issued],tblIssues[Staff ID],$A528))</f>
        <v/>
      </c>
      <c r="G528" s="21" t="str">
        <f>IF($A528="","",SUMIFS(tblIssues[Line Cost],tblIssues[Staff ID],$A528))</f>
        <v/>
      </c>
      <c r="H528" s="24" t="str">
        <f>IF($A528="","",IF($E528=0,"",IFERROR(_xlfn.MAXIFS(tblIssues[Order Date],tblIssues[Staff ID],$A528),"")))</f>
        <v/>
      </c>
      <c r="I528" s="24" t="str">
        <f>IF($A528="","",IF($E528=0,"",IFERROR(_xlfn.MAXIFS(tblIssues[Next Scheduled],tblIssues[Staff ID],$A528),"")))</f>
        <v/>
      </c>
      <c r="J528" s="26" t="str">
        <f>IF($A528="","",COUNTIFS(tblIssues[Staff ID],$A528,tblIssues[Status],"Pending"))</f>
        <v/>
      </c>
    </row>
    <row r="529" spans="1:10" x14ac:dyDescent="0.35">
      <c r="A529" s="18" t="str">
        <f>IF('Staff Directory'!$A529="","",'Staff Directory'!$A529)</f>
        <v/>
      </c>
      <c r="B529" s="18" t="str">
        <f>IF($A529="","",'Staff Directory'!$B529)</f>
        <v/>
      </c>
      <c r="C529" s="19" t="str">
        <f>IF($A529="","",'Staff Directory'!$C529)</f>
        <v/>
      </c>
      <c r="D529" s="19" t="str">
        <f>IF($A529="","",'Staff Directory'!$D529)</f>
        <v/>
      </c>
      <c r="E529" s="26" t="str">
        <f>IF($A529="","",COUNTIFS(tblIssues[Staff ID],$A529))</f>
        <v/>
      </c>
      <c r="F529" s="26" t="str">
        <f>IF($A529="","",SUMIFS(tblIssues[Qty Issued],tblIssues[Staff ID],$A529))</f>
        <v/>
      </c>
      <c r="G529" s="21" t="str">
        <f>IF($A529="","",SUMIFS(tblIssues[Line Cost],tblIssues[Staff ID],$A529))</f>
        <v/>
      </c>
      <c r="H529" s="24" t="str">
        <f>IF($A529="","",IF($E529=0,"",IFERROR(_xlfn.MAXIFS(tblIssues[Order Date],tblIssues[Staff ID],$A529),"")))</f>
        <v/>
      </c>
      <c r="I529" s="24" t="str">
        <f>IF($A529="","",IF($E529=0,"",IFERROR(_xlfn.MAXIFS(tblIssues[Next Scheduled],tblIssues[Staff ID],$A529),"")))</f>
        <v/>
      </c>
      <c r="J529" s="26" t="str">
        <f>IF($A529="","",COUNTIFS(tblIssues[Staff ID],$A529,tblIssues[Status],"Pending"))</f>
        <v/>
      </c>
    </row>
    <row r="530" spans="1:10" x14ac:dyDescent="0.35">
      <c r="A530" s="18" t="str">
        <f>IF('Staff Directory'!$A530="","",'Staff Directory'!$A530)</f>
        <v/>
      </c>
      <c r="B530" s="18" t="str">
        <f>IF($A530="","",'Staff Directory'!$B530)</f>
        <v/>
      </c>
      <c r="C530" s="19" t="str">
        <f>IF($A530="","",'Staff Directory'!$C530)</f>
        <v/>
      </c>
      <c r="D530" s="19" t="str">
        <f>IF($A530="","",'Staff Directory'!$D530)</f>
        <v/>
      </c>
      <c r="E530" s="26" t="str">
        <f>IF($A530="","",COUNTIFS(tblIssues[Staff ID],$A530))</f>
        <v/>
      </c>
      <c r="F530" s="26" t="str">
        <f>IF($A530="","",SUMIFS(tblIssues[Qty Issued],tblIssues[Staff ID],$A530))</f>
        <v/>
      </c>
      <c r="G530" s="21" t="str">
        <f>IF($A530="","",SUMIFS(tblIssues[Line Cost],tblIssues[Staff ID],$A530))</f>
        <v/>
      </c>
      <c r="H530" s="24" t="str">
        <f>IF($A530="","",IF($E530=0,"",IFERROR(_xlfn.MAXIFS(tblIssues[Order Date],tblIssues[Staff ID],$A530),"")))</f>
        <v/>
      </c>
      <c r="I530" s="24" t="str">
        <f>IF($A530="","",IF($E530=0,"",IFERROR(_xlfn.MAXIFS(tblIssues[Next Scheduled],tblIssues[Staff ID],$A530),"")))</f>
        <v/>
      </c>
      <c r="J530" s="26" t="str">
        <f>IF($A530="","",COUNTIFS(tblIssues[Staff ID],$A530,tblIssues[Status],"Pending"))</f>
        <v/>
      </c>
    </row>
    <row r="531" spans="1:10" x14ac:dyDescent="0.35">
      <c r="A531" s="18" t="str">
        <f>IF('Staff Directory'!$A531="","",'Staff Directory'!$A531)</f>
        <v/>
      </c>
      <c r="B531" s="18" t="str">
        <f>IF($A531="","",'Staff Directory'!$B531)</f>
        <v/>
      </c>
      <c r="C531" s="19" t="str">
        <f>IF($A531="","",'Staff Directory'!$C531)</f>
        <v/>
      </c>
      <c r="D531" s="19" t="str">
        <f>IF($A531="","",'Staff Directory'!$D531)</f>
        <v/>
      </c>
      <c r="E531" s="26" t="str">
        <f>IF($A531="","",COUNTIFS(tblIssues[Staff ID],$A531))</f>
        <v/>
      </c>
      <c r="F531" s="26" t="str">
        <f>IF($A531="","",SUMIFS(tblIssues[Qty Issued],tblIssues[Staff ID],$A531))</f>
        <v/>
      </c>
      <c r="G531" s="21" t="str">
        <f>IF($A531="","",SUMIFS(tblIssues[Line Cost],tblIssues[Staff ID],$A531))</f>
        <v/>
      </c>
      <c r="H531" s="24" t="str">
        <f>IF($A531="","",IF($E531=0,"",IFERROR(_xlfn.MAXIFS(tblIssues[Order Date],tblIssues[Staff ID],$A531),"")))</f>
        <v/>
      </c>
      <c r="I531" s="24" t="str">
        <f>IF($A531="","",IF($E531=0,"",IFERROR(_xlfn.MAXIFS(tblIssues[Next Scheduled],tblIssues[Staff ID],$A531),"")))</f>
        <v/>
      </c>
      <c r="J531" s="26" t="str">
        <f>IF($A531="","",COUNTIFS(tblIssues[Staff ID],$A531,tblIssues[Status],"Pending"))</f>
        <v/>
      </c>
    </row>
    <row r="532" spans="1:10" x14ac:dyDescent="0.35">
      <c r="A532" s="18" t="str">
        <f>IF('Staff Directory'!$A532="","",'Staff Directory'!$A532)</f>
        <v/>
      </c>
      <c r="B532" s="18" t="str">
        <f>IF($A532="","",'Staff Directory'!$B532)</f>
        <v/>
      </c>
      <c r="C532" s="19" t="str">
        <f>IF($A532="","",'Staff Directory'!$C532)</f>
        <v/>
      </c>
      <c r="D532" s="19" t="str">
        <f>IF($A532="","",'Staff Directory'!$D532)</f>
        <v/>
      </c>
      <c r="E532" s="26" t="str">
        <f>IF($A532="","",COUNTIFS(tblIssues[Staff ID],$A532))</f>
        <v/>
      </c>
      <c r="F532" s="26" t="str">
        <f>IF($A532="","",SUMIFS(tblIssues[Qty Issued],tblIssues[Staff ID],$A532))</f>
        <v/>
      </c>
      <c r="G532" s="21" t="str">
        <f>IF($A532="","",SUMIFS(tblIssues[Line Cost],tblIssues[Staff ID],$A532))</f>
        <v/>
      </c>
      <c r="H532" s="24" t="str">
        <f>IF($A532="","",IF($E532=0,"",IFERROR(_xlfn.MAXIFS(tblIssues[Order Date],tblIssues[Staff ID],$A532),"")))</f>
        <v/>
      </c>
      <c r="I532" s="24" t="str">
        <f>IF($A532="","",IF($E532=0,"",IFERROR(_xlfn.MAXIFS(tblIssues[Next Scheduled],tblIssues[Staff ID],$A532),"")))</f>
        <v/>
      </c>
      <c r="J532" s="26" t="str">
        <f>IF($A532="","",COUNTIFS(tblIssues[Staff ID],$A532,tblIssues[Status],"Pending"))</f>
        <v/>
      </c>
    </row>
    <row r="533" spans="1:10" x14ac:dyDescent="0.35">
      <c r="A533" s="18" t="str">
        <f>IF('Staff Directory'!$A533="","",'Staff Directory'!$A533)</f>
        <v/>
      </c>
      <c r="B533" s="18" t="str">
        <f>IF($A533="","",'Staff Directory'!$B533)</f>
        <v/>
      </c>
      <c r="C533" s="19" t="str">
        <f>IF($A533="","",'Staff Directory'!$C533)</f>
        <v/>
      </c>
      <c r="D533" s="19" t="str">
        <f>IF($A533="","",'Staff Directory'!$D533)</f>
        <v/>
      </c>
      <c r="E533" s="26" t="str">
        <f>IF($A533="","",COUNTIFS(tblIssues[Staff ID],$A533))</f>
        <v/>
      </c>
      <c r="F533" s="26" t="str">
        <f>IF($A533="","",SUMIFS(tblIssues[Qty Issued],tblIssues[Staff ID],$A533))</f>
        <v/>
      </c>
      <c r="G533" s="21" t="str">
        <f>IF($A533="","",SUMIFS(tblIssues[Line Cost],tblIssues[Staff ID],$A533))</f>
        <v/>
      </c>
      <c r="H533" s="24" t="str">
        <f>IF($A533="","",IF($E533=0,"",IFERROR(_xlfn.MAXIFS(tblIssues[Order Date],tblIssues[Staff ID],$A533),"")))</f>
        <v/>
      </c>
      <c r="I533" s="24" t="str">
        <f>IF($A533="","",IF($E533=0,"",IFERROR(_xlfn.MAXIFS(tblIssues[Next Scheduled],tblIssues[Staff ID],$A533),"")))</f>
        <v/>
      </c>
      <c r="J533" s="26" t="str">
        <f>IF($A533="","",COUNTIFS(tblIssues[Staff ID],$A533,tblIssues[Status],"Pending"))</f>
        <v/>
      </c>
    </row>
    <row r="534" spans="1:10" x14ac:dyDescent="0.35">
      <c r="A534" s="18" t="str">
        <f>IF('Staff Directory'!$A534="","",'Staff Directory'!$A534)</f>
        <v/>
      </c>
      <c r="B534" s="18" t="str">
        <f>IF($A534="","",'Staff Directory'!$B534)</f>
        <v/>
      </c>
      <c r="C534" s="19" t="str">
        <f>IF($A534="","",'Staff Directory'!$C534)</f>
        <v/>
      </c>
      <c r="D534" s="19" t="str">
        <f>IF($A534="","",'Staff Directory'!$D534)</f>
        <v/>
      </c>
      <c r="E534" s="26" t="str">
        <f>IF($A534="","",COUNTIFS(tblIssues[Staff ID],$A534))</f>
        <v/>
      </c>
      <c r="F534" s="26" t="str">
        <f>IF($A534="","",SUMIFS(tblIssues[Qty Issued],tblIssues[Staff ID],$A534))</f>
        <v/>
      </c>
      <c r="G534" s="21" t="str">
        <f>IF($A534="","",SUMIFS(tblIssues[Line Cost],tblIssues[Staff ID],$A534))</f>
        <v/>
      </c>
      <c r="H534" s="24" t="str">
        <f>IF($A534="","",IF($E534=0,"",IFERROR(_xlfn.MAXIFS(tblIssues[Order Date],tblIssues[Staff ID],$A534),"")))</f>
        <v/>
      </c>
      <c r="I534" s="24" t="str">
        <f>IF($A534="","",IF($E534=0,"",IFERROR(_xlfn.MAXIFS(tblIssues[Next Scheduled],tblIssues[Staff ID],$A534),"")))</f>
        <v/>
      </c>
      <c r="J534" s="26" t="str">
        <f>IF($A534="","",COUNTIFS(tblIssues[Staff ID],$A534,tblIssues[Status],"Pending"))</f>
        <v/>
      </c>
    </row>
    <row r="535" spans="1:10" x14ac:dyDescent="0.35">
      <c r="A535" s="18" t="str">
        <f>IF('Staff Directory'!$A535="","",'Staff Directory'!$A535)</f>
        <v/>
      </c>
      <c r="B535" s="18" t="str">
        <f>IF($A535="","",'Staff Directory'!$B535)</f>
        <v/>
      </c>
      <c r="C535" s="19" t="str">
        <f>IF($A535="","",'Staff Directory'!$C535)</f>
        <v/>
      </c>
      <c r="D535" s="19" t="str">
        <f>IF($A535="","",'Staff Directory'!$D535)</f>
        <v/>
      </c>
      <c r="E535" s="26" t="str">
        <f>IF($A535="","",COUNTIFS(tblIssues[Staff ID],$A535))</f>
        <v/>
      </c>
      <c r="F535" s="26" t="str">
        <f>IF($A535="","",SUMIFS(tblIssues[Qty Issued],tblIssues[Staff ID],$A535))</f>
        <v/>
      </c>
      <c r="G535" s="21" t="str">
        <f>IF($A535="","",SUMIFS(tblIssues[Line Cost],tblIssues[Staff ID],$A535))</f>
        <v/>
      </c>
      <c r="H535" s="24" t="str">
        <f>IF($A535="","",IF($E535=0,"",IFERROR(_xlfn.MAXIFS(tblIssues[Order Date],tblIssues[Staff ID],$A535),"")))</f>
        <v/>
      </c>
      <c r="I535" s="24" t="str">
        <f>IF($A535="","",IF($E535=0,"",IFERROR(_xlfn.MAXIFS(tblIssues[Next Scheduled],tblIssues[Staff ID],$A535),"")))</f>
        <v/>
      </c>
      <c r="J535" s="26" t="str">
        <f>IF($A535="","",COUNTIFS(tblIssues[Staff ID],$A535,tblIssues[Status],"Pending"))</f>
        <v/>
      </c>
    </row>
    <row r="536" spans="1:10" x14ac:dyDescent="0.35">
      <c r="A536" s="18" t="str">
        <f>IF('Staff Directory'!$A536="","",'Staff Directory'!$A536)</f>
        <v/>
      </c>
      <c r="B536" s="18" t="str">
        <f>IF($A536="","",'Staff Directory'!$B536)</f>
        <v/>
      </c>
      <c r="C536" s="19" t="str">
        <f>IF($A536="","",'Staff Directory'!$C536)</f>
        <v/>
      </c>
      <c r="D536" s="19" t="str">
        <f>IF($A536="","",'Staff Directory'!$D536)</f>
        <v/>
      </c>
      <c r="E536" s="26" t="str">
        <f>IF($A536="","",COUNTIFS(tblIssues[Staff ID],$A536))</f>
        <v/>
      </c>
      <c r="F536" s="26" t="str">
        <f>IF($A536="","",SUMIFS(tblIssues[Qty Issued],tblIssues[Staff ID],$A536))</f>
        <v/>
      </c>
      <c r="G536" s="21" t="str">
        <f>IF($A536="","",SUMIFS(tblIssues[Line Cost],tblIssues[Staff ID],$A536))</f>
        <v/>
      </c>
      <c r="H536" s="24" t="str">
        <f>IF($A536="","",IF($E536=0,"",IFERROR(_xlfn.MAXIFS(tblIssues[Order Date],tblIssues[Staff ID],$A536),"")))</f>
        <v/>
      </c>
      <c r="I536" s="24" t="str">
        <f>IF($A536="","",IF($E536=0,"",IFERROR(_xlfn.MAXIFS(tblIssues[Next Scheduled],tblIssues[Staff ID],$A536),"")))</f>
        <v/>
      </c>
      <c r="J536" s="26" t="str">
        <f>IF($A536="","",COUNTIFS(tblIssues[Staff ID],$A536,tblIssues[Status],"Pending"))</f>
        <v/>
      </c>
    </row>
    <row r="537" spans="1:10" x14ac:dyDescent="0.35">
      <c r="A537" s="18" t="str">
        <f>IF('Staff Directory'!$A537="","",'Staff Directory'!$A537)</f>
        <v/>
      </c>
      <c r="B537" s="18" t="str">
        <f>IF($A537="","",'Staff Directory'!$B537)</f>
        <v/>
      </c>
      <c r="C537" s="19" t="str">
        <f>IF($A537="","",'Staff Directory'!$C537)</f>
        <v/>
      </c>
      <c r="D537" s="19" t="str">
        <f>IF($A537="","",'Staff Directory'!$D537)</f>
        <v/>
      </c>
      <c r="E537" s="26" t="str">
        <f>IF($A537="","",COUNTIFS(tblIssues[Staff ID],$A537))</f>
        <v/>
      </c>
      <c r="F537" s="26" t="str">
        <f>IF($A537="","",SUMIFS(tblIssues[Qty Issued],tblIssues[Staff ID],$A537))</f>
        <v/>
      </c>
      <c r="G537" s="21" t="str">
        <f>IF($A537="","",SUMIFS(tblIssues[Line Cost],tblIssues[Staff ID],$A537))</f>
        <v/>
      </c>
      <c r="H537" s="24" t="str">
        <f>IF($A537="","",IF($E537=0,"",IFERROR(_xlfn.MAXIFS(tblIssues[Order Date],tblIssues[Staff ID],$A537),"")))</f>
        <v/>
      </c>
      <c r="I537" s="24" t="str">
        <f>IF($A537="","",IF($E537=0,"",IFERROR(_xlfn.MAXIFS(tblIssues[Next Scheduled],tblIssues[Staff ID],$A537),"")))</f>
        <v/>
      </c>
      <c r="J537" s="26" t="str">
        <f>IF($A537="","",COUNTIFS(tblIssues[Staff ID],$A537,tblIssues[Status],"Pending"))</f>
        <v/>
      </c>
    </row>
    <row r="538" spans="1:10" x14ac:dyDescent="0.35">
      <c r="A538" s="18" t="str">
        <f>IF('Staff Directory'!$A538="","",'Staff Directory'!$A538)</f>
        <v/>
      </c>
      <c r="B538" s="18" t="str">
        <f>IF($A538="","",'Staff Directory'!$B538)</f>
        <v/>
      </c>
      <c r="C538" s="19" t="str">
        <f>IF($A538="","",'Staff Directory'!$C538)</f>
        <v/>
      </c>
      <c r="D538" s="19" t="str">
        <f>IF($A538="","",'Staff Directory'!$D538)</f>
        <v/>
      </c>
      <c r="E538" s="26" t="str">
        <f>IF($A538="","",COUNTIFS(tblIssues[Staff ID],$A538))</f>
        <v/>
      </c>
      <c r="F538" s="26" t="str">
        <f>IF($A538="","",SUMIFS(tblIssues[Qty Issued],tblIssues[Staff ID],$A538))</f>
        <v/>
      </c>
      <c r="G538" s="21" t="str">
        <f>IF($A538="","",SUMIFS(tblIssues[Line Cost],tblIssues[Staff ID],$A538))</f>
        <v/>
      </c>
      <c r="H538" s="24" t="str">
        <f>IF($A538="","",IF($E538=0,"",IFERROR(_xlfn.MAXIFS(tblIssues[Order Date],tblIssues[Staff ID],$A538),"")))</f>
        <v/>
      </c>
      <c r="I538" s="24" t="str">
        <f>IF($A538="","",IF($E538=0,"",IFERROR(_xlfn.MAXIFS(tblIssues[Next Scheduled],tblIssues[Staff ID],$A538),"")))</f>
        <v/>
      </c>
      <c r="J538" s="26" t="str">
        <f>IF($A538="","",COUNTIFS(tblIssues[Staff ID],$A538,tblIssues[Status],"Pending"))</f>
        <v/>
      </c>
    </row>
    <row r="539" spans="1:10" x14ac:dyDescent="0.35">
      <c r="A539" s="18" t="str">
        <f>IF('Staff Directory'!$A539="","",'Staff Directory'!$A539)</f>
        <v/>
      </c>
      <c r="B539" s="18" t="str">
        <f>IF($A539="","",'Staff Directory'!$B539)</f>
        <v/>
      </c>
      <c r="C539" s="19" t="str">
        <f>IF($A539="","",'Staff Directory'!$C539)</f>
        <v/>
      </c>
      <c r="D539" s="19" t="str">
        <f>IF($A539="","",'Staff Directory'!$D539)</f>
        <v/>
      </c>
      <c r="E539" s="26" t="str">
        <f>IF($A539="","",COUNTIFS(tblIssues[Staff ID],$A539))</f>
        <v/>
      </c>
      <c r="F539" s="26" t="str">
        <f>IF($A539="","",SUMIFS(tblIssues[Qty Issued],tblIssues[Staff ID],$A539))</f>
        <v/>
      </c>
      <c r="G539" s="21" t="str">
        <f>IF($A539="","",SUMIFS(tblIssues[Line Cost],tblIssues[Staff ID],$A539))</f>
        <v/>
      </c>
      <c r="H539" s="24" t="str">
        <f>IF($A539="","",IF($E539=0,"",IFERROR(_xlfn.MAXIFS(tblIssues[Order Date],tblIssues[Staff ID],$A539),"")))</f>
        <v/>
      </c>
      <c r="I539" s="24" t="str">
        <f>IF($A539="","",IF($E539=0,"",IFERROR(_xlfn.MAXIFS(tblIssues[Next Scheduled],tblIssues[Staff ID],$A539),"")))</f>
        <v/>
      </c>
      <c r="J539" s="26" t="str">
        <f>IF($A539="","",COUNTIFS(tblIssues[Staff ID],$A539,tblIssues[Status],"Pending"))</f>
        <v/>
      </c>
    </row>
    <row r="540" spans="1:10" x14ac:dyDescent="0.35">
      <c r="A540" s="18" t="str">
        <f>IF('Staff Directory'!$A540="","",'Staff Directory'!$A540)</f>
        <v/>
      </c>
      <c r="B540" s="18" t="str">
        <f>IF($A540="","",'Staff Directory'!$B540)</f>
        <v/>
      </c>
      <c r="C540" s="19" t="str">
        <f>IF($A540="","",'Staff Directory'!$C540)</f>
        <v/>
      </c>
      <c r="D540" s="19" t="str">
        <f>IF($A540="","",'Staff Directory'!$D540)</f>
        <v/>
      </c>
      <c r="E540" s="26" t="str">
        <f>IF($A540="","",COUNTIFS(tblIssues[Staff ID],$A540))</f>
        <v/>
      </c>
      <c r="F540" s="26" t="str">
        <f>IF($A540="","",SUMIFS(tblIssues[Qty Issued],tblIssues[Staff ID],$A540))</f>
        <v/>
      </c>
      <c r="G540" s="21" t="str">
        <f>IF($A540="","",SUMIFS(tblIssues[Line Cost],tblIssues[Staff ID],$A540))</f>
        <v/>
      </c>
      <c r="H540" s="24" t="str">
        <f>IF($A540="","",IF($E540=0,"",IFERROR(_xlfn.MAXIFS(tblIssues[Order Date],tblIssues[Staff ID],$A540),"")))</f>
        <v/>
      </c>
      <c r="I540" s="24" t="str">
        <f>IF($A540="","",IF($E540=0,"",IFERROR(_xlfn.MAXIFS(tblIssues[Next Scheduled],tblIssues[Staff ID],$A540),"")))</f>
        <v/>
      </c>
      <c r="J540" s="26" t="str">
        <f>IF($A540="","",COUNTIFS(tblIssues[Staff ID],$A540,tblIssues[Status],"Pending"))</f>
        <v/>
      </c>
    </row>
    <row r="541" spans="1:10" x14ac:dyDescent="0.35">
      <c r="A541" s="18" t="str">
        <f>IF('Staff Directory'!$A541="","",'Staff Directory'!$A541)</f>
        <v/>
      </c>
      <c r="B541" s="18" t="str">
        <f>IF($A541="","",'Staff Directory'!$B541)</f>
        <v/>
      </c>
      <c r="C541" s="19" t="str">
        <f>IF($A541="","",'Staff Directory'!$C541)</f>
        <v/>
      </c>
      <c r="D541" s="19" t="str">
        <f>IF($A541="","",'Staff Directory'!$D541)</f>
        <v/>
      </c>
      <c r="E541" s="26" t="str">
        <f>IF($A541="","",COUNTIFS(tblIssues[Staff ID],$A541))</f>
        <v/>
      </c>
      <c r="F541" s="26" t="str">
        <f>IF($A541="","",SUMIFS(tblIssues[Qty Issued],tblIssues[Staff ID],$A541))</f>
        <v/>
      </c>
      <c r="G541" s="21" t="str">
        <f>IF($A541="","",SUMIFS(tblIssues[Line Cost],tblIssues[Staff ID],$A541))</f>
        <v/>
      </c>
      <c r="H541" s="24" t="str">
        <f>IF($A541="","",IF($E541=0,"",IFERROR(_xlfn.MAXIFS(tblIssues[Order Date],tblIssues[Staff ID],$A541),"")))</f>
        <v/>
      </c>
      <c r="I541" s="24" t="str">
        <f>IF($A541="","",IF($E541=0,"",IFERROR(_xlfn.MAXIFS(tblIssues[Next Scheduled],tblIssues[Staff ID],$A541),"")))</f>
        <v/>
      </c>
      <c r="J541" s="26" t="str">
        <f>IF($A541="","",COUNTIFS(tblIssues[Staff ID],$A541,tblIssues[Status],"Pending"))</f>
        <v/>
      </c>
    </row>
    <row r="542" spans="1:10" x14ac:dyDescent="0.35">
      <c r="A542" s="18" t="str">
        <f>IF('Staff Directory'!$A542="","",'Staff Directory'!$A542)</f>
        <v/>
      </c>
      <c r="B542" s="18" t="str">
        <f>IF($A542="","",'Staff Directory'!$B542)</f>
        <v/>
      </c>
      <c r="C542" s="19" t="str">
        <f>IF($A542="","",'Staff Directory'!$C542)</f>
        <v/>
      </c>
      <c r="D542" s="19" t="str">
        <f>IF($A542="","",'Staff Directory'!$D542)</f>
        <v/>
      </c>
      <c r="E542" s="26" t="str">
        <f>IF($A542="","",COUNTIFS(tblIssues[Staff ID],$A542))</f>
        <v/>
      </c>
      <c r="F542" s="26" t="str">
        <f>IF($A542="","",SUMIFS(tblIssues[Qty Issued],tblIssues[Staff ID],$A542))</f>
        <v/>
      </c>
      <c r="G542" s="21" t="str">
        <f>IF($A542="","",SUMIFS(tblIssues[Line Cost],tblIssues[Staff ID],$A542))</f>
        <v/>
      </c>
      <c r="H542" s="24" t="str">
        <f>IF($A542="","",IF($E542=0,"",IFERROR(_xlfn.MAXIFS(tblIssues[Order Date],tblIssues[Staff ID],$A542),"")))</f>
        <v/>
      </c>
      <c r="I542" s="24" t="str">
        <f>IF($A542="","",IF($E542=0,"",IFERROR(_xlfn.MAXIFS(tblIssues[Next Scheduled],tblIssues[Staff ID],$A542),"")))</f>
        <v/>
      </c>
      <c r="J542" s="26" t="str">
        <f>IF($A542="","",COUNTIFS(tblIssues[Staff ID],$A542,tblIssues[Status],"Pending"))</f>
        <v/>
      </c>
    </row>
    <row r="543" spans="1:10" x14ac:dyDescent="0.35">
      <c r="A543" s="18" t="str">
        <f>IF('Staff Directory'!$A543="","",'Staff Directory'!$A543)</f>
        <v/>
      </c>
      <c r="B543" s="18" t="str">
        <f>IF($A543="","",'Staff Directory'!$B543)</f>
        <v/>
      </c>
      <c r="C543" s="19" t="str">
        <f>IF($A543="","",'Staff Directory'!$C543)</f>
        <v/>
      </c>
      <c r="D543" s="19" t="str">
        <f>IF($A543="","",'Staff Directory'!$D543)</f>
        <v/>
      </c>
      <c r="E543" s="26" t="str">
        <f>IF($A543="","",COUNTIFS(tblIssues[Staff ID],$A543))</f>
        <v/>
      </c>
      <c r="F543" s="26" t="str">
        <f>IF($A543="","",SUMIFS(tblIssues[Qty Issued],tblIssues[Staff ID],$A543))</f>
        <v/>
      </c>
      <c r="G543" s="21" t="str">
        <f>IF($A543="","",SUMIFS(tblIssues[Line Cost],tblIssues[Staff ID],$A543))</f>
        <v/>
      </c>
      <c r="H543" s="24" t="str">
        <f>IF($A543="","",IF($E543=0,"",IFERROR(_xlfn.MAXIFS(tblIssues[Order Date],tblIssues[Staff ID],$A543),"")))</f>
        <v/>
      </c>
      <c r="I543" s="24" t="str">
        <f>IF($A543="","",IF($E543=0,"",IFERROR(_xlfn.MAXIFS(tblIssues[Next Scheduled],tblIssues[Staff ID],$A543),"")))</f>
        <v/>
      </c>
      <c r="J543" s="26" t="str">
        <f>IF($A543="","",COUNTIFS(tblIssues[Staff ID],$A543,tblIssues[Status],"Pending"))</f>
        <v/>
      </c>
    </row>
    <row r="544" spans="1:10" x14ac:dyDescent="0.35">
      <c r="A544" s="18" t="str">
        <f>IF('Staff Directory'!$A544="","",'Staff Directory'!$A544)</f>
        <v/>
      </c>
      <c r="B544" s="18" t="str">
        <f>IF($A544="","",'Staff Directory'!$B544)</f>
        <v/>
      </c>
      <c r="C544" s="19" t="str">
        <f>IF($A544="","",'Staff Directory'!$C544)</f>
        <v/>
      </c>
      <c r="D544" s="19" t="str">
        <f>IF($A544="","",'Staff Directory'!$D544)</f>
        <v/>
      </c>
      <c r="E544" s="26" t="str">
        <f>IF($A544="","",COUNTIFS(tblIssues[Staff ID],$A544))</f>
        <v/>
      </c>
      <c r="F544" s="26" t="str">
        <f>IF($A544="","",SUMIFS(tblIssues[Qty Issued],tblIssues[Staff ID],$A544))</f>
        <v/>
      </c>
      <c r="G544" s="21" t="str">
        <f>IF($A544="","",SUMIFS(tblIssues[Line Cost],tblIssues[Staff ID],$A544))</f>
        <v/>
      </c>
      <c r="H544" s="24" t="str">
        <f>IF($A544="","",IF($E544=0,"",IFERROR(_xlfn.MAXIFS(tblIssues[Order Date],tblIssues[Staff ID],$A544),"")))</f>
        <v/>
      </c>
      <c r="I544" s="24" t="str">
        <f>IF($A544="","",IF($E544=0,"",IFERROR(_xlfn.MAXIFS(tblIssues[Next Scheduled],tblIssues[Staff ID],$A544),"")))</f>
        <v/>
      </c>
      <c r="J544" s="26" t="str">
        <f>IF($A544="","",COUNTIFS(tblIssues[Staff ID],$A544,tblIssues[Status],"Pending"))</f>
        <v/>
      </c>
    </row>
    <row r="545" spans="1:10" x14ac:dyDescent="0.35">
      <c r="A545" s="18" t="str">
        <f>IF('Staff Directory'!$A545="","",'Staff Directory'!$A545)</f>
        <v/>
      </c>
      <c r="B545" s="18" t="str">
        <f>IF($A545="","",'Staff Directory'!$B545)</f>
        <v/>
      </c>
      <c r="C545" s="19" t="str">
        <f>IF($A545="","",'Staff Directory'!$C545)</f>
        <v/>
      </c>
      <c r="D545" s="19" t="str">
        <f>IF($A545="","",'Staff Directory'!$D545)</f>
        <v/>
      </c>
      <c r="E545" s="26" t="str">
        <f>IF($A545="","",COUNTIFS(tblIssues[Staff ID],$A545))</f>
        <v/>
      </c>
      <c r="F545" s="26" t="str">
        <f>IF($A545="","",SUMIFS(tblIssues[Qty Issued],tblIssues[Staff ID],$A545))</f>
        <v/>
      </c>
      <c r="G545" s="21" t="str">
        <f>IF($A545="","",SUMIFS(tblIssues[Line Cost],tblIssues[Staff ID],$A545))</f>
        <v/>
      </c>
      <c r="H545" s="24" t="str">
        <f>IF($A545="","",IF($E545=0,"",IFERROR(_xlfn.MAXIFS(tblIssues[Order Date],tblIssues[Staff ID],$A545),"")))</f>
        <v/>
      </c>
      <c r="I545" s="24" t="str">
        <f>IF($A545="","",IF($E545=0,"",IFERROR(_xlfn.MAXIFS(tblIssues[Next Scheduled],tblIssues[Staff ID],$A545),"")))</f>
        <v/>
      </c>
      <c r="J545" s="26" t="str">
        <f>IF($A545="","",COUNTIFS(tblIssues[Staff ID],$A545,tblIssues[Status],"Pending"))</f>
        <v/>
      </c>
    </row>
    <row r="546" spans="1:10" x14ac:dyDescent="0.35">
      <c r="A546" s="18" t="str">
        <f>IF('Staff Directory'!$A546="","",'Staff Directory'!$A546)</f>
        <v/>
      </c>
      <c r="B546" s="18" t="str">
        <f>IF($A546="","",'Staff Directory'!$B546)</f>
        <v/>
      </c>
      <c r="C546" s="19" t="str">
        <f>IF($A546="","",'Staff Directory'!$C546)</f>
        <v/>
      </c>
      <c r="D546" s="19" t="str">
        <f>IF($A546="","",'Staff Directory'!$D546)</f>
        <v/>
      </c>
      <c r="E546" s="26" t="str">
        <f>IF($A546="","",COUNTIFS(tblIssues[Staff ID],$A546))</f>
        <v/>
      </c>
      <c r="F546" s="26" t="str">
        <f>IF($A546="","",SUMIFS(tblIssues[Qty Issued],tblIssues[Staff ID],$A546))</f>
        <v/>
      </c>
      <c r="G546" s="21" t="str">
        <f>IF($A546="","",SUMIFS(tblIssues[Line Cost],tblIssues[Staff ID],$A546))</f>
        <v/>
      </c>
      <c r="H546" s="24" t="str">
        <f>IF($A546="","",IF($E546=0,"",IFERROR(_xlfn.MAXIFS(tblIssues[Order Date],tblIssues[Staff ID],$A546),"")))</f>
        <v/>
      </c>
      <c r="I546" s="24" t="str">
        <f>IF($A546="","",IF($E546=0,"",IFERROR(_xlfn.MAXIFS(tblIssues[Next Scheduled],tblIssues[Staff ID],$A546),"")))</f>
        <v/>
      </c>
      <c r="J546" s="26" t="str">
        <f>IF($A546="","",COUNTIFS(tblIssues[Staff ID],$A546,tblIssues[Status],"Pending"))</f>
        <v/>
      </c>
    </row>
    <row r="547" spans="1:10" x14ac:dyDescent="0.35">
      <c r="A547" s="18" t="str">
        <f>IF('Staff Directory'!$A547="","",'Staff Directory'!$A547)</f>
        <v/>
      </c>
      <c r="B547" s="18" t="str">
        <f>IF($A547="","",'Staff Directory'!$B547)</f>
        <v/>
      </c>
      <c r="C547" s="19" t="str">
        <f>IF($A547="","",'Staff Directory'!$C547)</f>
        <v/>
      </c>
      <c r="D547" s="19" t="str">
        <f>IF($A547="","",'Staff Directory'!$D547)</f>
        <v/>
      </c>
      <c r="E547" s="26" t="str">
        <f>IF($A547="","",COUNTIFS(tblIssues[Staff ID],$A547))</f>
        <v/>
      </c>
      <c r="F547" s="26" t="str">
        <f>IF($A547="","",SUMIFS(tblIssues[Qty Issued],tblIssues[Staff ID],$A547))</f>
        <v/>
      </c>
      <c r="G547" s="21" t="str">
        <f>IF($A547="","",SUMIFS(tblIssues[Line Cost],tblIssues[Staff ID],$A547))</f>
        <v/>
      </c>
      <c r="H547" s="24" t="str">
        <f>IF($A547="","",IF($E547=0,"",IFERROR(_xlfn.MAXIFS(tblIssues[Order Date],tblIssues[Staff ID],$A547),"")))</f>
        <v/>
      </c>
      <c r="I547" s="24" t="str">
        <f>IF($A547="","",IF($E547=0,"",IFERROR(_xlfn.MAXIFS(tblIssues[Next Scheduled],tblIssues[Staff ID],$A547),"")))</f>
        <v/>
      </c>
      <c r="J547" s="26" t="str">
        <f>IF($A547="","",COUNTIFS(tblIssues[Staff ID],$A547,tblIssues[Status],"Pending"))</f>
        <v/>
      </c>
    </row>
    <row r="548" spans="1:10" x14ac:dyDescent="0.35">
      <c r="A548" s="18" t="str">
        <f>IF('Staff Directory'!$A548="","",'Staff Directory'!$A548)</f>
        <v/>
      </c>
      <c r="B548" s="18" t="str">
        <f>IF($A548="","",'Staff Directory'!$B548)</f>
        <v/>
      </c>
      <c r="C548" s="19" t="str">
        <f>IF($A548="","",'Staff Directory'!$C548)</f>
        <v/>
      </c>
      <c r="D548" s="19" t="str">
        <f>IF($A548="","",'Staff Directory'!$D548)</f>
        <v/>
      </c>
      <c r="E548" s="26" t="str">
        <f>IF($A548="","",COUNTIFS(tblIssues[Staff ID],$A548))</f>
        <v/>
      </c>
      <c r="F548" s="26" t="str">
        <f>IF($A548="","",SUMIFS(tblIssues[Qty Issued],tblIssues[Staff ID],$A548))</f>
        <v/>
      </c>
      <c r="G548" s="21" t="str">
        <f>IF($A548="","",SUMIFS(tblIssues[Line Cost],tblIssues[Staff ID],$A548))</f>
        <v/>
      </c>
      <c r="H548" s="24" t="str">
        <f>IF($A548="","",IF($E548=0,"",IFERROR(_xlfn.MAXIFS(tblIssues[Order Date],tblIssues[Staff ID],$A548),"")))</f>
        <v/>
      </c>
      <c r="I548" s="24" t="str">
        <f>IF($A548="","",IF($E548=0,"",IFERROR(_xlfn.MAXIFS(tblIssues[Next Scheduled],tblIssues[Staff ID],$A548),"")))</f>
        <v/>
      </c>
      <c r="J548" s="26" t="str">
        <f>IF($A548="","",COUNTIFS(tblIssues[Staff ID],$A548,tblIssues[Status],"Pending"))</f>
        <v/>
      </c>
    </row>
    <row r="549" spans="1:10" x14ac:dyDescent="0.35">
      <c r="A549" s="18" t="str">
        <f>IF('Staff Directory'!$A549="","",'Staff Directory'!$A549)</f>
        <v/>
      </c>
      <c r="B549" s="18" t="str">
        <f>IF($A549="","",'Staff Directory'!$B549)</f>
        <v/>
      </c>
      <c r="C549" s="19" t="str">
        <f>IF($A549="","",'Staff Directory'!$C549)</f>
        <v/>
      </c>
      <c r="D549" s="19" t="str">
        <f>IF($A549="","",'Staff Directory'!$D549)</f>
        <v/>
      </c>
      <c r="E549" s="26" t="str">
        <f>IF($A549="","",COUNTIFS(tblIssues[Staff ID],$A549))</f>
        <v/>
      </c>
      <c r="F549" s="26" t="str">
        <f>IF($A549="","",SUMIFS(tblIssues[Qty Issued],tblIssues[Staff ID],$A549))</f>
        <v/>
      </c>
      <c r="G549" s="21" t="str">
        <f>IF($A549="","",SUMIFS(tblIssues[Line Cost],tblIssues[Staff ID],$A549))</f>
        <v/>
      </c>
      <c r="H549" s="24" t="str">
        <f>IF($A549="","",IF($E549=0,"",IFERROR(_xlfn.MAXIFS(tblIssues[Order Date],tblIssues[Staff ID],$A549),"")))</f>
        <v/>
      </c>
      <c r="I549" s="24" t="str">
        <f>IF($A549="","",IF($E549=0,"",IFERROR(_xlfn.MAXIFS(tblIssues[Next Scheduled],tblIssues[Staff ID],$A549),"")))</f>
        <v/>
      </c>
      <c r="J549" s="26" t="str">
        <f>IF($A549="","",COUNTIFS(tblIssues[Staff ID],$A549,tblIssues[Status],"Pending"))</f>
        <v/>
      </c>
    </row>
    <row r="550" spans="1:10" x14ac:dyDescent="0.35">
      <c r="A550" s="18" t="str">
        <f>IF('Staff Directory'!$A550="","",'Staff Directory'!$A550)</f>
        <v/>
      </c>
      <c r="B550" s="18" t="str">
        <f>IF($A550="","",'Staff Directory'!$B550)</f>
        <v/>
      </c>
      <c r="C550" s="19" t="str">
        <f>IF($A550="","",'Staff Directory'!$C550)</f>
        <v/>
      </c>
      <c r="D550" s="19" t="str">
        <f>IF($A550="","",'Staff Directory'!$D550)</f>
        <v/>
      </c>
      <c r="E550" s="26" t="str">
        <f>IF($A550="","",COUNTIFS(tblIssues[Staff ID],$A550))</f>
        <v/>
      </c>
      <c r="F550" s="26" t="str">
        <f>IF($A550="","",SUMIFS(tblIssues[Qty Issued],tblIssues[Staff ID],$A550))</f>
        <v/>
      </c>
      <c r="G550" s="21" t="str">
        <f>IF($A550="","",SUMIFS(tblIssues[Line Cost],tblIssues[Staff ID],$A550))</f>
        <v/>
      </c>
      <c r="H550" s="24" t="str">
        <f>IF($A550="","",IF($E550=0,"",IFERROR(_xlfn.MAXIFS(tblIssues[Order Date],tblIssues[Staff ID],$A550),"")))</f>
        <v/>
      </c>
      <c r="I550" s="24" t="str">
        <f>IF($A550="","",IF($E550=0,"",IFERROR(_xlfn.MAXIFS(tblIssues[Next Scheduled],tblIssues[Staff ID],$A550),"")))</f>
        <v/>
      </c>
      <c r="J550" s="26" t="str">
        <f>IF($A550="","",COUNTIFS(tblIssues[Staff ID],$A550,tblIssues[Status],"Pending"))</f>
        <v/>
      </c>
    </row>
    <row r="551" spans="1:10" x14ac:dyDescent="0.35">
      <c r="A551" s="18" t="str">
        <f>IF('Staff Directory'!$A551="","",'Staff Directory'!$A551)</f>
        <v/>
      </c>
      <c r="B551" s="18" t="str">
        <f>IF($A551="","",'Staff Directory'!$B551)</f>
        <v/>
      </c>
      <c r="C551" s="19" t="str">
        <f>IF($A551="","",'Staff Directory'!$C551)</f>
        <v/>
      </c>
      <c r="D551" s="19" t="str">
        <f>IF($A551="","",'Staff Directory'!$D551)</f>
        <v/>
      </c>
      <c r="E551" s="26" t="str">
        <f>IF($A551="","",COUNTIFS(tblIssues[Staff ID],$A551))</f>
        <v/>
      </c>
      <c r="F551" s="26" t="str">
        <f>IF($A551="","",SUMIFS(tblIssues[Qty Issued],tblIssues[Staff ID],$A551))</f>
        <v/>
      </c>
      <c r="G551" s="21" t="str">
        <f>IF($A551="","",SUMIFS(tblIssues[Line Cost],tblIssues[Staff ID],$A551))</f>
        <v/>
      </c>
      <c r="H551" s="24" t="str">
        <f>IF($A551="","",IF($E551=0,"",IFERROR(_xlfn.MAXIFS(tblIssues[Order Date],tblIssues[Staff ID],$A551),"")))</f>
        <v/>
      </c>
      <c r="I551" s="24" t="str">
        <f>IF($A551="","",IF($E551=0,"",IFERROR(_xlfn.MAXIFS(tblIssues[Next Scheduled],tblIssues[Staff ID],$A551),"")))</f>
        <v/>
      </c>
      <c r="J551" s="26" t="str">
        <f>IF($A551="","",COUNTIFS(tblIssues[Staff ID],$A551,tblIssues[Status],"Pending"))</f>
        <v/>
      </c>
    </row>
    <row r="552" spans="1:10" x14ac:dyDescent="0.35">
      <c r="A552" s="18" t="str">
        <f>IF('Staff Directory'!$A552="","",'Staff Directory'!$A552)</f>
        <v/>
      </c>
      <c r="B552" s="18" t="str">
        <f>IF($A552="","",'Staff Directory'!$B552)</f>
        <v/>
      </c>
      <c r="C552" s="19" t="str">
        <f>IF($A552="","",'Staff Directory'!$C552)</f>
        <v/>
      </c>
      <c r="D552" s="19" t="str">
        <f>IF($A552="","",'Staff Directory'!$D552)</f>
        <v/>
      </c>
      <c r="E552" s="26" t="str">
        <f>IF($A552="","",COUNTIFS(tblIssues[Staff ID],$A552))</f>
        <v/>
      </c>
      <c r="F552" s="26" t="str">
        <f>IF($A552="","",SUMIFS(tblIssues[Qty Issued],tblIssues[Staff ID],$A552))</f>
        <v/>
      </c>
      <c r="G552" s="21" t="str">
        <f>IF($A552="","",SUMIFS(tblIssues[Line Cost],tblIssues[Staff ID],$A552))</f>
        <v/>
      </c>
      <c r="H552" s="24" t="str">
        <f>IF($A552="","",IF($E552=0,"",IFERROR(_xlfn.MAXIFS(tblIssues[Order Date],tblIssues[Staff ID],$A552),"")))</f>
        <v/>
      </c>
      <c r="I552" s="24" t="str">
        <f>IF($A552="","",IF($E552=0,"",IFERROR(_xlfn.MAXIFS(tblIssues[Next Scheduled],tblIssues[Staff ID],$A552),"")))</f>
        <v/>
      </c>
      <c r="J552" s="26" t="str">
        <f>IF($A552="","",COUNTIFS(tblIssues[Staff ID],$A552,tblIssues[Status],"Pending"))</f>
        <v/>
      </c>
    </row>
    <row r="553" spans="1:10" x14ac:dyDescent="0.35">
      <c r="A553" s="18" t="str">
        <f>IF('Staff Directory'!$A553="","",'Staff Directory'!$A553)</f>
        <v/>
      </c>
      <c r="B553" s="18" t="str">
        <f>IF($A553="","",'Staff Directory'!$B553)</f>
        <v/>
      </c>
      <c r="C553" s="19" t="str">
        <f>IF($A553="","",'Staff Directory'!$C553)</f>
        <v/>
      </c>
      <c r="D553" s="19" t="str">
        <f>IF($A553="","",'Staff Directory'!$D553)</f>
        <v/>
      </c>
      <c r="E553" s="26" t="str">
        <f>IF($A553="","",COUNTIFS(tblIssues[Staff ID],$A553))</f>
        <v/>
      </c>
      <c r="F553" s="26" t="str">
        <f>IF($A553="","",SUMIFS(tblIssues[Qty Issued],tblIssues[Staff ID],$A553))</f>
        <v/>
      </c>
      <c r="G553" s="21" t="str">
        <f>IF($A553="","",SUMIFS(tblIssues[Line Cost],tblIssues[Staff ID],$A553))</f>
        <v/>
      </c>
      <c r="H553" s="24" t="str">
        <f>IF($A553="","",IF($E553=0,"",IFERROR(_xlfn.MAXIFS(tblIssues[Order Date],tblIssues[Staff ID],$A553),"")))</f>
        <v/>
      </c>
      <c r="I553" s="24" t="str">
        <f>IF($A553="","",IF($E553=0,"",IFERROR(_xlfn.MAXIFS(tblIssues[Next Scheduled],tblIssues[Staff ID],$A553),"")))</f>
        <v/>
      </c>
      <c r="J553" s="26" t="str">
        <f>IF($A553="","",COUNTIFS(tblIssues[Staff ID],$A553,tblIssues[Status],"Pending"))</f>
        <v/>
      </c>
    </row>
    <row r="554" spans="1:10" x14ac:dyDescent="0.35">
      <c r="A554" s="18" t="str">
        <f>IF('Staff Directory'!$A554="","",'Staff Directory'!$A554)</f>
        <v/>
      </c>
      <c r="B554" s="18" t="str">
        <f>IF($A554="","",'Staff Directory'!$B554)</f>
        <v/>
      </c>
      <c r="C554" s="19" t="str">
        <f>IF($A554="","",'Staff Directory'!$C554)</f>
        <v/>
      </c>
      <c r="D554" s="19" t="str">
        <f>IF($A554="","",'Staff Directory'!$D554)</f>
        <v/>
      </c>
      <c r="E554" s="26" t="str">
        <f>IF($A554="","",COUNTIFS(tblIssues[Staff ID],$A554))</f>
        <v/>
      </c>
      <c r="F554" s="26" t="str">
        <f>IF($A554="","",SUMIFS(tblIssues[Qty Issued],tblIssues[Staff ID],$A554))</f>
        <v/>
      </c>
      <c r="G554" s="21" t="str">
        <f>IF($A554="","",SUMIFS(tblIssues[Line Cost],tblIssues[Staff ID],$A554))</f>
        <v/>
      </c>
      <c r="H554" s="24" t="str">
        <f>IF($A554="","",IF($E554=0,"",IFERROR(_xlfn.MAXIFS(tblIssues[Order Date],tblIssues[Staff ID],$A554),"")))</f>
        <v/>
      </c>
      <c r="I554" s="24" t="str">
        <f>IF($A554="","",IF($E554=0,"",IFERROR(_xlfn.MAXIFS(tblIssues[Next Scheduled],tblIssues[Staff ID],$A554),"")))</f>
        <v/>
      </c>
      <c r="J554" s="26" t="str">
        <f>IF($A554="","",COUNTIFS(tblIssues[Staff ID],$A554,tblIssues[Status],"Pending"))</f>
        <v/>
      </c>
    </row>
    <row r="555" spans="1:10" x14ac:dyDescent="0.35">
      <c r="A555" s="18" t="str">
        <f>IF('Staff Directory'!$A555="","",'Staff Directory'!$A555)</f>
        <v/>
      </c>
      <c r="B555" s="18" t="str">
        <f>IF($A555="","",'Staff Directory'!$B555)</f>
        <v/>
      </c>
      <c r="C555" s="19" t="str">
        <f>IF($A555="","",'Staff Directory'!$C555)</f>
        <v/>
      </c>
      <c r="D555" s="19" t="str">
        <f>IF($A555="","",'Staff Directory'!$D555)</f>
        <v/>
      </c>
      <c r="E555" s="26" t="str">
        <f>IF($A555="","",COUNTIFS(tblIssues[Staff ID],$A555))</f>
        <v/>
      </c>
      <c r="F555" s="26" t="str">
        <f>IF($A555="","",SUMIFS(tblIssues[Qty Issued],tblIssues[Staff ID],$A555))</f>
        <v/>
      </c>
      <c r="G555" s="21" t="str">
        <f>IF($A555="","",SUMIFS(tblIssues[Line Cost],tblIssues[Staff ID],$A555))</f>
        <v/>
      </c>
      <c r="H555" s="24" t="str">
        <f>IF($A555="","",IF($E555=0,"",IFERROR(_xlfn.MAXIFS(tblIssues[Order Date],tblIssues[Staff ID],$A555),"")))</f>
        <v/>
      </c>
      <c r="I555" s="24" t="str">
        <f>IF($A555="","",IF($E555=0,"",IFERROR(_xlfn.MAXIFS(tblIssues[Next Scheduled],tblIssues[Staff ID],$A555),"")))</f>
        <v/>
      </c>
      <c r="J555" s="26" t="str">
        <f>IF($A555="","",COUNTIFS(tblIssues[Staff ID],$A555,tblIssues[Status],"Pending"))</f>
        <v/>
      </c>
    </row>
    <row r="556" spans="1:10" x14ac:dyDescent="0.35">
      <c r="A556" s="18" t="str">
        <f>IF('Staff Directory'!$A556="","",'Staff Directory'!$A556)</f>
        <v/>
      </c>
      <c r="B556" s="18" t="str">
        <f>IF($A556="","",'Staff Directory'!$B556)</f>
        <v/>
      </c>
      <c r="C556" s="19" t="str">
        <f>IF($A556="","",'Staff Directory'!$C556)</f>
        <v/>
      </c>
      <c r="D556" s="19" t="str">
        <f>IF($A556="","",'Staff Directory'!$D556)</f>
        <v/>
      </c>
      <c r="E556" s="26" t="str">
        <f>IF($A556="","",COUNTIFS(tblIssues[Staff ID],$A556))</f>
        <v/>
      </c>
      <c r="F556" s="26" t="str">
        <f>IF($A556="","",SUMIFS(tblIssues[Qty Issued],tblIssues[Staff ID],$A556))</f>
        <v/>
      </c>
      <c r="G556" s="21" t="str">
        <f>IF($A556="","",SUMIFS(tblIssues[Line Cost],tblIssues[Staff ID],$A556))</f>
        <v/>
      </c>
      <c r="H556" s="24" t="str">
        <f>IF($A556="","",IF($E556=0,"",IFERROR(_xlfn.MAXIFS(tblIssues[Order Date],tblIssues[Staff ID],$A556),"")))</f>
        <v/>
      </c>
      <c r="I556" s="24" t="str">
        <f>IF($A556="","",IF($E556=0,"",IFERROR(_xlfn.MAXIFS(tblIssues[Next Scheduled],tblIssues[Staff ID],$A556),"")))</f>
        <v/>
      </c>
      <c r="J556" s="26" t="str">
        <f>IF($A556="","",COUNTIFS(tblIssues[Staff ID],$A556,tblIssues[Status],"Pending"))</f>
        <v/>
      </c>
    </row>
    <row r="557" spans="1:10" x14ac:dyDescent="0.35">
      <c r="A557" s="18" t="str">
        <f>IF('Staff Directory'!$A557="","",'Staff Directory'!$A557)</f>
        <v/>
      </c>
      <c r="B557" s="18" t="str">
        <f>IF($A557="","",'Staff Directory'!$B557)</f>
        <v/>
      </c>
      <c r="C557" s="19" t="str">
        <f>IF($A557="","",'Staff Directory'!$C557)</f>
        <v/>
      </c>
      <c r="D557" s="19" t="str">
        <f>IF($A557="","",'Staff Directory'!$D557)</f>
        <v/>
      </c>
      <c r="E557" s="26" t="str">
        <f>IF($A557="","",COUNTIFS(tblIssues[Staff ID],$A557))</f>
        <v/>
      </c>
      <c r="F557" s="26" t="str">
        <f>IF($A557="","",SUMIFS(tblIssues[Qty Issued],tblIssues[Staff ID],$A557))</f>
        <v/>
      </c>
      <c r="G557" s="21" t="str">
        <f>IF($A557="","",SUMIFS(tblIssues[Line Cost],tblIssues[Staff ID],$A557))</f>
        <v/>
      </c>
      <c r="H557" s="24" t="str">
        <f>IF($A557="","",IF($E557=0,"",IFERROR(_xlfn.MAXIFS(tblIssues[Order Date],tblIssues[Staff ID],$A557),"")))</f>
        <v/>
      </c>
      <c r="I557" s="24" t="str">
        <f>IF($A557="","",IF($E557=0,"",IFERROR(_xlfn.MAXIFS(tblIssues[Next Scheduled],tblIssues[Staff ID],$A557),"")))</f>
        <v/>
      </c>
      <c r="J557" s="26" t="str">
        <f>IF($A557="","",COUNTIFS(tblIssues[Staff ID],$A557,tblIssues[Status],"Pending"))</f>
        <v/>
      </c>
    </row>
    <row r="558" spans="1:10" x14ac:dyDescent="0.35">
      <c r="A558" s="18" t="str">
        <f>IF('Staff Directory'!$A558="","",'Staff Directory'!$A558)</f>
        <v/>
      </c>
      <c r="B558" s="18" t="str">
        <f>IF($A558="","",'Staff Directory'!$B558)</f>
        <v/>
      </c>
      <c r="C558" s="19" t="str">
        <f>IF($A558="","",'Staff Directory'!$C558)</f>
        <v/>
      </c>
      <c r="D558" s="19" t="str">
        <f>IF($A558="","",'Staff Directory'!$D558)</f>
        <v/>
      </c>
      <c r="E558" s="26" t="str">
        <f>IF($A558="","",COUNTIFS(tblIssues[Staff ID],$A558))</f>
        <v/>
      </c>
      <c r="F558" s="26" t="str">
        <f>IF($A558="","",SUMIFS(tblIssues[Qty Issued],tblIssues[Staff ID],$A558))</f>
        <v/>
      </c>
      <c r="G558" s="21" t="str">
        <f>IF($A558="","",SUMIFS(tblIssues[Line Cost],tblIssues[Staff ID],$A558))</f>
        <v/>
      </c>
      <c r="H558" s="24" t="str">
        <f>IF($A558="","",IF($E558=0,"",IFERROR(_xlfn.MAXIFS(tblIssues[Order Date],tblIssues[Staff ID],$A558),"")))</f>
        <v/>
      </c>
      <c r="I558" s="24" t="str">
        <f>IF($A558="","",IF($E558=0,"",IFERROR(_xlfn.MAXIFS(tblIssues[Next Scheduled],tblIssues[Staff ID],$A558),"")))</f>
        <v/>
      </c>
      <c r="J558" s="26" t="str">
        <f>IF($A558="","",COUNTIFS(tblIssues[Staff ID],$A558,tblIssues[Status],"Pending"))</f>
        <v/>
      </c>
    </row>
    <row r="559" spans="1:10" x14ac:dyDescent="0.35">
      <c r="A559" s="18" t="str">
        <f>IF('Staff Directory'!$A559="","",'Staff Directory'!$A559)</f>
        <v/>
      </c>
      <c r="B559" s="18" t="str">
        <f>IF($A559="","",'Staff Directory'!$B559)</f>
        <v/>
      </c>
      <c r="C559" s="19" t="str">
        <f>IF($A559="","",'Staff Directory'!$C559)</f>
        <v/>
      </c>
      <c r="D559" s="19" t="str">
        <f>IF($A559="","",'Staff Directory'!$D559)</f>
        <v/>
      </c>
      <c r="E559" s="26" t="str">
        <f>IF($A559="","",COUNTIFS(tblIssues[Staff ID],$A559))</f>
        <v/>
      </c>
      <c r="F559" s="26" t="str">
        <f>IF($A559="","",SUMIFS(tblIssues[Qty Issued],tblIssues[Staff ID],$A559))</f>
        <v/>
      </c>
      <c r="G559" s="21" t="str">
        <f>IF($A559="","",SUMIFS(tblIssues[Line Cost],tblIssues[Staff ID],$A559))</f>
        <v/>
      </c>
      <c r="H559" s="24" t="str">
        <f>IF($A559="","",IF($E559=0,"",IFERROR(_xlfn.MAXIFS(tblIssues[Order Date],tblIssues[Staff ID],$A559),"")))</f>
        <v/>
      </c>
      <c r="I559" s="24" t="str">
        <f>IF($A559="","",IF($E559=0,"",IFERROR(_xlfn.MAXIFS(tblIssues[Next Scheduled],tblIssues[Staff ID],$A559),"")))</f>
        <v/>
      </c>
      <c r="J559" s="26" t="str">
        <f>IF($A559="","",COUNTIFS(tblIssues[Staff ID],$A559,tblIssues[Status],"Pending"))</f>
        <v/>
      </c>
    </row>
    <row r="560" spans="1:10" x14ac:dyDescent="0.35">
      <c r="A560" s="18" t="str">
        <f>IF('Staff Directory'!$A560="","",'Staff Directory'!$A560)</f>
        <v/>
      </c>
      <c r="B560" s="18" t="str">
        <f>IF($A560="","",'Staff Directory'!$B560)</f>
        <v/>
      </c>
      <c r="C560" s="19" t="str">
        <f>IF($A560="","",'Staff Directory'!$C560)</f>
        <v/>
      </c>
      <c r="D560" s="19" t="str">
        <f>IF($A560="","",'Staff Directory'!$D560)</f>
        <v/>
      </c>
      <c r="E560" s="26" t="str">
        <f>IF($A560="","",COUNTIFS(tblIssues[Staff ID],$A560))</f>
        <v/>
      </c>
      <c r="F560" s="26" t="str">
        <f>IF($A560="","",SUMIFS(tblIssues[Qty Issued],tblIssues[Staff ID],$A560))</f>
        <v/>
      </c>
      <c r="G560" s="21" t="str">
        <f>IF($A560="","",SUMIFS(tblIssues[Line Cost],tblIssues[Staff ID],$A560))</f>
        <v/>
      </c>
      <c r="H560" s="24" t="str">
        <f>IF($A560="","",IF($E560=0,"",IFERROR(_xlfn.MAXIFS(tblIssues[Order Date],tblIssues[Staff ID],$A560),"")))</f>
        <v/>
      </c>
      <c r="I560" s="24" t="str">
        <f>IF($A560="","",IF($E560=0,"",IFERROR(_xlfn.MAXIFS(tblIssues[Next Scheduled],tblIssues[Staff ID],$A560),"")))</f>
        <v/>
      </c>
      <c r="J560" s="26" t="str">
        <f>IF($A560="","",COUNTIFS(tblIssues[Staff ID],$A560,tblIssues[Status],"Pending"))</f>
        <v/>
      </c>
    </row>
    <row r="561" spans="1:10" x14ac:dyDescent="0.35">
      <c r="A561" s="18" t="str">
        <f>IF('Staff Directory'!$A561="","",'Staff Directory'!$A561)</f>
        <v/>
      </c>
      <c r="B561" s="18" t="str">
        <f>IF($A561="","",'Staff Directory'!$B561)</f>
        <v/>
      </c>
      <c r="C561" s="19" t="str">
        <f>IF($A561="","",'Staff Directory'!$C561)</f>
        <v/>
      </c>
      <c r="D561" s="19" t="str">
        <f>IF($A561="","",'Staff Directory'!$D561)</f>
        <v/>
      </c>
      <c r="E561" s="26" t="str">
        <f>IF($A561="","",COUNTIFS(tblIssues[Staff ID],$A561))</f>
        <v/>
      </c>
      <c r="F561" s="26" t="str">
        <f>IF($A561="","",SUMIFS(tblIssues[Qty Issued],tblIssues[Staff ID],$A561))</f>
        <v/>
      </c>
      <c r="G561" s="21" t="str">
        <f>IF($A561="","",SUMIFS(tblIssues[Line Cost],tblIssues[Staff ID],$A561))</f>
        <v/>
      </c>
      <c r="H561" s="24" t="str">
        <f>IF($A561="","",IF($E561=0,"",IFERROR(_xlfn.MAXIFS(tblIssues[Order Date],tblIssues[Staff ID],$A561),"")))</f>
        <v/>
      </c>
      <c r="I561" s="24" t="str">
        <f>IF($A561="","",IF($E561=0,"",IFERROR(_xlfn.MAXIFS(tblIssues[Next Scheduled],tblIssues[Staff ID],$A561),"")))</f>
        <v/>
      </c>
      <c r="J561" s="26" t="str">
        <f>IF($A561="","",COUNTIFS(tblIssues[Staff ID],$A561,tblIssues[Status],"Pending"))</f>
        <v/>
      </c>
    </row>
    <row r="562" spans="1:10" x14ac:dyDescent="0.35">
      <c r="A562" s="18" t="str">
        <f>IF('Staff Directory'!$A562="","",'Staff Directory'!$A562)</f>
        <v/>
      </c>
      <c r="B562" s="18" t="str">
        <f>IF($A562="","",'Staff Directory'!$B562)</f>
        <v/>
      </c>
      <c r="C562" s="19" t="str">
        <f>IF($A562="","",'Staff Directory'!$C562)</f>
        <v/>
      </c>
      <c r="D562" s="19" t="str">
        <f>IF($A562="","",'Staff Directory'!$D562)</f>
        <v/>
      </c>
      <c r="E562" s="26" t="str">
        <f>IF($A562="","",COUNTIFS(tblIssues[Staff ID],$A562))</f>
        <v/>
      </c>
      <c r="F562" s="26" t="str">
        <f>IF($A562="","",SUMIFS(tblIssues[Qty Issued],tblIssues[Staff ID],$A562))</f>
        <v/>
      </c>
      <c r="G562" s="21" t="str">
        <f>IF($A562="","",SUMIFS(tblIssues[Line Cost],tblIssues[Staff ID],$A562))</f>
        <v/>
      </c>
      <c r="H562" s="24" t="str">
        <f>IF($A562="","",IF($E562=0,"",IFERROR(_xlfn.MAXIFS(tblIssues[Order Date],tblIssues[Staff ID],$A562),"")))</f>
        <v/>
      </c>
      <c r="I562" s="24" t="str">
        <f>IF($A562="","",IF($E562=0,"",IFERROR(_xlfn.MAXIFS(tblIssues[Next Scheduled],tblIssues[Staff ID],$A562),"")))</f>
        <v/>
      </c>
      <c r="J562" s="26" t="str">
        <f>IF($A562="","",COUNTIFS(tblIssues[Staff ID],$A562,tblIssues[Status],"Pending"))</f>
        <v/>
      </c>
    </row>
    <row r="563" spans="1:10" x14ac:dyDescent="0.35">
      <c r="A563" s="18" t="str">
        <f>IF('Staff Directory'!$A563="","",'Staff Directory'!$A563)</f>
        <v/>
      </c>
      <c r="B563" s="18" t="str">
        <f>IF($A563="","",'Staff Directory'!$B563)</f>
        <v/>
      </c>
      <c r="C563" s="19" t="str">
        <f>IF($A563="","",'Staff Directory'!$C563)</f>
        <v/>
      </c>
      <c r="D563" s="19" t="str">
        <f>IF($A563="","",'Staff Directory'!$D563)</f>
        <v/>
      </c>
      <c r="E563" s="26" t="str">
        <f>IF($A563="","",COUNTIFS(tblIssues[Staff ID],$A563))</f>
        <v/>
      </c>
      <c r="F563" s="26" t="str">
        <f>IF($A563="","",SUMIFS(tblIssues[Qty Issued],tblIssues[Staff ID],$A563))</f>
        <v/>
      </c>
      <c r="G563" s="21" t="str">
        <f>IF($A563="","",SUMIFS(tblIssues[Line Cost],tblIssues[Staff ID],$A563))</f>
        <v/>
      </c>
      <c r="H563" s="24" t="str">
        <f>IF($A563="","",IF($E563=0,"",IFERROR(_xlfn.MAXIFS(tblIssues[Order Date],tblIssues[Staff ID],$A563),"")))</f>
        <v/>
      </c>
      <c r="I563" s="24" t="str">
        <f>IF($A563="","",IF($E563=0,"",IFERROR(_xlfn.MAXIFS(tblIssues[Next Scheduled],tblIssues[Staff ID],$A563),"")))</f>
        <v/>
      </c>
      <c r="J563" s="26" t="str">
        <f>IF($A563="","",COUNTIFS(tblIssues[Staff ID],$A563,tblIssues[Status],"Pending"))</f>
        <v/>
      </c>
    </row>
    <row r="564" spans="1:10" x14ac:dyDescent="0.35">
      <c r="A564" s="18" t="str">
        <f>IF('Staff Directory'!$A564="","",'Staff Directory'!$A564)</f>
        <v/>
      </c>
      <c r="B564" s="18" t="str">
        <f>IF($A564="","",'Staff Directory'!$B564)</f>
        <v/>
      </c>
      <c r="C564" s="19" t="str">
        <f>IF($A564="","",'Staff Directory'!$C564)</f>
        <v/>
      </c>
      <c r="D564" s="19" t="str">
        <f>IF($A564="","",'Staff Directory'!$D564)</f>
        <v/>
      </c>
      <c r="E564" s="26" t="str">
        <f>IF($A564="","",COUNTIFS(tblIssues[Staff ID],$A564))</f>
        <v/>
      </c>
      <c r="F564" s="26" t="str">
        <f>IF($A564="","",SUMIFS(tblIssues[Qty Issued],tblIssues[Staff ID],$A564))</f>
        <v/>
      </c>
      <c r="G564" s="21" t="str">
        <f>IF($A564="","",SUMIFS(tblIssues[Line Cost],tblIssues[Staff ID],$A564))</f>
        <v/>
      </c>
      <c r="H564" s="24" t="str">
        <f>IF($A564="","",IF($E564=0,"",IFERROR(_xlfn.MAXIFS(tblIssues[Order Date],tblIssues[Staff ID],$A564),"")))</f>
        <v/>
      </c>
      <c r="I564" s="24" t="str">
        <f>IF($A564="","",IF($E564=0,"",IFERROR(_xlfn.MAXIFS(tblIssues[Next Scheduled],tblIssues[Staff ID],$A564),"")))</f>
        <v/>
      </c>
      <c r="J564" s="26" t="str">
        <f>IF($A564="","",COUNTIFS(tblIssues[Staff ID],$A564,tblIssues[Status],"Pending"))</f>
        <v/>
      </c>
    </row>
    <row r="565" spans="1:10" x14ac:dyDescent="0.35">
      <c r="A565" s="18" t="str">
        <f>IF('Staff Directory'!$A565="","",'Staff Directory'!$A565)</f>
        <v/>
      </c>
      <c r="B565" s="18" t="str">
        <f>IF($A565="","",'Staff Directory'!$B565)</f>
        <v/>
      </c>
      <c r="C565" s="19" t="str">
        <f>IF($A565="","",'Staff Directory'!$C565)</f>
        <v/>
      </c>
      <c r="D565" s="19" t="str">
        <f>IF($A565="","",'Staff Directory'!$D565)</f>
        <v/>
      </c>
      <c r="E565" s="26" t="str">
        <f>IF($A565="","",COUNTIFS(tblIssues[Staff ID],$A565))</f>
        <v/>
      </c>
      <c r="F565" s="26" t="str">
        <f>IF($A565="","",SUMIFS(tblIssues[Qty Issued],tblIssues[Staff ID],$A565))</f>
        <v/>
      </c>
      <c r="G565" s="21" t="str">
        <f>IF($A565="","",SUMIFS(tblIssues[Line Cost],tblIssues[Staff ID],$A565))</f>
        <v/>
      </c>
      <c r="H565" s="24" t="str">
        <f>IF($A565="","",IF($E565=0,"",IFERROR(_xlfn.MAXIFS(tblIssues[Order Date],tblIssues[Staff ID],$A565),"")))</f>
        <v/>
      </c>
      <c r="I565" s="24" t="str">
        <f>IF($A565="","",IF($E565=0,"",IFERROR(_xlfn.MAXIFS(tblIssues[Next Scheduled],tblIssues[Staff ID],$A565),"")))</f>
        <v/>
      </c>
      <c r="J565" s="26" t="str">
        <f>IF($A565="","",COUNTIFS(tblIssues[Staff ID],$A565,tblIssues[Status],"Pending"))</f>
        <v/>
      </c>
    </row>
    <row r="566" spans="1:10" x14ac:dyDescent="0.35">
      <c r="A566" s="18" t="str">
        <f>IF('Staff Directory'!$A566="","",'Staff Directory'!$A566)</f>
        <v/>
      </c>
      <c r="B566" s="18" t="str">
        <f>IF($A566="","",'Staff Directory'!$B566)</f>
        <v/>
      </c>
      <c r="C566" s="19" t="str">
        <f>IF($A566="","",'Staff Directory'!$C566)</f>
        <v/>
      </c>
      <c r="D566" s="19" t="str">
        <f>IF($A566="","",'Staff Directory'!$D566)</f>
        <v/>
      </c>
      <c r="E566" s="26" t="str">
        <f>IF($A566="","",COUNTIFS(tblIssues[Staff ID],$A566))</f>
        <v/>
      </c>
      <c r="F566" s="26" t="str">
        <f>IF($A566="","",SUMIFS(tblIssues[Qty Issued],tblIssues[Staff ID],$A566))</f>
        <v/>
      </c>
      <c r="G566" s="21" t="str">
        <f>IF($A566="","",SUMIFS(tblIssues[Line Cost],tblIssues[Staff ID],$A566))</f>
        <v/>
      </c>
      <c r="H566" s="24" t="str">
        <f>IF($A566="","",IF($E566=0,"",IFERROR(_xlfn.MAXIFS(tblIssues[Order Date],tblIssues[Staff ID],$A566),"")))</f>
        <v/>
      </c>
      <c r="I566" s="24" t="str">
        <f>IF($A566="","",IF($E566=0,"",IFERROR(_xlfn.MAXIFS(tblIssues[Next Scheduled],tblIssues[Staff ID],$A566),"")))</f>
        <v/>
      </c>
      <c r="J566" s="26" t="str">
        <f>IF($A566="","",COUNTIFS(tblIssues[Staff ID],$A566,tblIssues[Status],"Pending"))</f>
        <v/>
      </c>
    </row>
    <row r="567" spans="1:10" x14ac:dyDescent="0.35">
      <c r="A567" s="18" t="str">
        <f>IF('Staff Directory'!$A567="","",'Staff Directory'!$A567)</f>
        <v/>
      </c>
      <c r="B567" s="18" t="str">
        <f>IF($A567="","",'Staff Directory'!$B567)</f>
        <v/>
      </c>
      <c r="C567" s="19" t="str">
        <f>IF($A567="","",'Staff Directory'!$C567)</f>
        <v/>
      </c>
      <c r="D567" s="19" t="str">
        <f>IF($A567="","",'Staff Directory'!$D567)</f>
        <v/>
      </c>
      <c r="E567" s="26" t="str">
        <f>IF($A567="","",COUNTIFS(tblIssues[Staff ID],$A567))</f>
        <v/>
      </c>
      <c r="F567" s="26" t="str">
        <f>IF($A567="","",SUMIFS(tblIssues[Qty Issued],tblIssues[Staff ID],$A567))</f>
        <v/>
      </c>
      <c r="G567" s="21" t="str">
        <f>IF($A567="","",SUMIFS(tblIssues[Line Cost],tblIssues[Staff ID],$A567))</f>
        <v/>
      </c>
      <c r="H567" s="24" t="str">
        <f>IF($A567="","",IF($E567=0,"",IFERROR(_xlfn.MAXIFS(tblIssues[Order Date],tblIssues[Staff ID],$A567),"")))</f>
        <v/>
      </c>
      <c r="I567" s="24" t="str">
        <f>IF($A567="","",IF($E567=0,"",IFERROR(_xlfn.MAXIFS(tblIssues[Next Scheduled],tblIssues[Staff ID],$A567),"")))</f>
        <v/>
      </c>
      <c r="J567" s="26" t="str">
        <f>IF($A567="","",COUNTIFS(tblIssues[Staff ID],$A567,tblIssues[Status],"Pending"))</f>
        <v/>
      </c>
    </row>
    <row r="568" spans="1:10" x14ac:dyDescent="0.35">
      <c r="A568" s="18" t="str">
        <f>IF('Staff Directory'!$A568="","",'Staff Directory'!$A568)</f>
        <v/>
      </c>
      <c r="B568" s="18" t="str">
        <f>IF($A568="","",'Staff Directory'!$B568)</f>
        <v/>
      </c>
      <c r="C568" s="19" t="str">
        <f>IF($A568="","",'Staff Directory'!$C568)</f>
        <v/>
      </c>
      <c r="D568" s="19" t="str">
        <f>IF($A568="","",'Staff Directory'!$D568)</f>
        <v/>
      </c>
      <c r="E568" s="26" t="str">
        <f>IF($A568="","",COUNTIFS(tblIssues[Staff ID],$A568))</f>
        <v/>
      </c>
      <c r="F568" s="26" t="str">
        <f>IF($A568="","",SUMIFS(tblIssues[Qty Issued],tblIssues[Staff ID],$A568))</f>
        <v/>
      </c>
      <c r="G568" s="21" t="str">
        <f>IF($A568="","",SUMIFS(tblIssues[Line Cost],tblIssues[Staff ID],$A568))</f>
        <v/>
      </c>
      <c r="H568" s="24" t="str">
        <f>IF($A568="","",IF($E568=0,"",IFERROR(_xlfn.MAXIFS(tblIssues[Order Date],tblIssues[Staff ID],$A568),"")))</f>
        <v/>
      </c>
      <c r="I568" s="24" t="str">
        <f>IF($A568="","",IF($E568=0,"",IFERROR(_xlfn.MAXIFS(tblIssues[Next Scheduled],tblIssues[Staff ID],$A568),"")))</f>
        <v/>
      </c>
      <c r="J568" s="26" t="str">
        <f>IF($A568="","",COUNTIFS(tblIssues[Staff ID],$A568,tblIssues[Status],"Pending"))</f>
        <v/>
      </c>
    </row>
    <row r="569" spans="1:10" x14ac:dyDescent="0.35">
      <c r="A569" s="18" t="str">
        <f>IF('Staff Directory'!$A569="","",'Staff Directory'!$A569)</f>
        <v/>
      </c>
      <c r="B569" s="18" t="str">
        <f>IF($A569="","",'Staff Directory'!$B569)</f>
        <v/>
      </c>
      <c r="C569" s="19" t="str">
        <f>IF($A569="","",'Staff Directory'!$C569)</f>
        <v/>
      </c>
      <c r="D569" s="19" t="str">
        <f>IF($A569="","",'Staff Directory'!$D569)</f>
        <v/>
      </c>
      <c r="E569" s="26" t="str">
        <f>IF($A569="","",COUNTIFS(tblIssues[Staff ID],$A569))</f>
        <v/>
      </c>
      <c r="F569" s="26" t="str">
        <f>IF($A569="","",SUMIFS(tblIssues[Qty Issued],tblIssues[Staff ID],$A569))</f>
        <v/>
      </c>
      <c r="G569" s="21" t="str">
        <f>IF($A569="","",SUMIFS(tblIssues[Line Cost],tblIssues[Staff ID],$A569))</f>
        <v/>
      </c>
      <c r="H569" s="24" t="str">
        <f>IF($A569="","",IF($E569=0,"",IFERROR(_xlfn.MAXIFS(tblIssues[Order Date],tblIssues[Staff ID],$A569),"")))</f>
        <v/>
      </c>
      <c r="I569" s="24" t="str">
        <f>IF($A569="","",IF($E569=0,"",IFERROR(_xlfn.MAXIFS(tblIssues[Next Scheduled],tblIssues[Staff ID],$A569),"")))</f>
        <v/>
      </c>
      <c r="J569" s="26" t="str">
        <f>IF($A569="","",COUNTIFS(tblIssues[Staff ID],$A569,tblIssues[Status],"Pending"))</f>
        <v/>
      </c>
    </row>
    <row r="570" spans="1:10" x14ac:dyDescent="0.35">
      <c r="A570" s="18" t="str">
        <f>IF('Staff Directory'!$A570="","",'Staff Directory'!$A570)</f>
        <v/>
      </c>
      <c r="B570" s="18" t="str">
        <f>IF($A570="","",'Staff Directory'!$B570)</f>
        <v/>
      </c>
      <c r="C570" s="19" t="str">
        <f>IF($A570="","",'Staff Directory'!$C570)</f>
        <v/>
      </c>
      <c r="D570" s="19" t="str">
        <f>IF($A570="","",'Staff Directory'!$D570)</f>
        <v/>
      </c>
      <c r="E570" s="26" t="str">
        <f>IF($A570="","",COUNTIFS(tblIssues[Staff ID],$A570))</f>
        <v/>
      </c>
      <c r="F570" s="26" t="str">
        <f>IF($A570="","",SUMIFS(tblIssues[Qty Issued],tblIssues[Staff ID],$A570))</f>
        <v/>
      </c>
      <c r="G570" s="21" t="str">
        <f>IF($A570="","",SUMIFS(tblIssues[Line Cost],tblIssues[Staff ID],$A570))</f>
        <v/>
      </c>
      <c r="H570" s="24" t="str">
        <f>IF($A570="","",IF($E570=0,"",IFERROR(_xlfn.MAXIFS(tblIssues[Order Date],tblIssues[Staff ID],$A570),"")))</f>
        <v/>
      </c>
      <c r="I570" s="24" t="str">
        <f>IF($A570="","",IF($E570=0,"",IFERROR(_xlfn.MAXIFS(tblIssues[Next Scheduled],tblIssues[Staff ID],$A570),"")))</f>
        <v/>
      </c>
      <c r="J570" s="26" t="str">
        <f>IF($A570="","",COUNTIFS(tblIssues[Staff ID],$A570,tblIssues[Status],"Pending"))</f>
        <v/>
      </c>
    </row>
    <row r="571" spans="1:10" x14ac:dyDescent="0.35">
      <c r="A571" s="18" t="str">
        <f>IF('Staff Directory'!$A571="","",'Staff Directory'!$A571)</f>
        <v/>
      </c>
      <c r="B571" s="18" t="str">
        <f>IF($A571="","",'Staff Directory'!$B571)</f>
        <v/>
      </c>
      <c r="C571" s="19" t="str">
        <f>IF($A571="","",'Staff Directory'!$C571)</f>
        <v/>
      </c>
      <c r="D571" s="19" t="str">
        <f>IF($A571="","",'Staff Directory'!$D571)</f>
        <v/>
      </c>
      <c r="E571" s="26" t="str">
        <f>IF($A571="","",COUNTIFS(tblIssues[Staff ID],$A571))</f>
        <v/>
      </c>
      <c r="F571" s="26" t="str">
        <f>IF($A571="","",SUMIFS(tblIssues[Qty Issued],tblIssues[Staff ID],$A571))</f>
        <v/>
      </c>
      <c r="G571" s="21" t="str">
        <f>IF($A571="","",SUMIFS(tblIssues[Line Cost],tblIssues[Staff ID],$A571))</f>
        <v/>
      </c>
      <c r="H571" s="24" t="str">
        <f>IF($A571="","",IF($E571=0,"",IFERROR(_xlfn.MAXIFS(tblIssues[Order Date],tblIssues[Staff ID],$A571),"")))</f>
        <v/>
      </c>
      <c r="I571" s="24" t="str">
        <f>IF($A571="","",IF($E571=0,"",IFERROR(_xlfn.MAXIFS(tblIssues[Next Scheduled],tblIssues[Staff ID],$A571),"")))</f>
        <v/>
      </c>
      <c r="J571" s="26" t="str">
        <f>IF($A571="","",COUNTIFS(tblIssues[Staff ID],$A571,tblIssues[Status],"Pending"))</f>
        <v/>
      </c>
    </row>
    <row r="572" spans="1:10" x14ac:dyDescent="0.35">
      <c r="A572" s="18" t="str">
        <f>IF('Staff Directory'!$A572="","",'Staff Directory'!$A572)</f>
        <v/>
      </c>
      <c r="B572" s="18" t="str">
        <f>IF($A572="","",'Staff Directory'!$B572)</f>
        <v/>
      </c>
      <c r="C572" s="19" t="str">
        <f>IF($A572="","",'Staff Directory'!$C572)</f>
        <v/>
      </c>
      <c r="D572" s="19" t="str">
        <f>IF($A572="","",'Staff Directory'!$D572)</f>
        <v/>
      </c>
      <c r="E572" s="26" t="str">
        <f>IF($A572="","",COUNTIFS(tblIssues[Staff ID],$A572))</f>
        <v/>
      </c>
      <c r="F572" s="26" t="str">
        <f>IF($A572="","",SUMIFS(tblIssues[Qty Issued],tblIssues[Staff ID],$A572))</f>
        <v/>
      </c>
      <c r="G572" s="21" t="str">
        <f>IF($A572="","",SUMIFS(tblIssues[Line Cost],tblIssues[Staff ID],$A572))</f>
        <v/>
      </c>
      <c r="H572" s="24" t="str">
        <f>IF($A572="","",IF($E572=0,"",IFERROR(_xlfn.MAXIFS(tblIssues[Order Date],tblIssues[Staff ID],$A572),"")))</f>
        <v/>
      </c>
      <c r="I572" s="24" t="str">
        <f>IF($A572="","",IF($E572=0,"",IFERROR(_xlfn.MAXIFS(tblIssues[Next Scheduled],tblIssues[Staff ID],$A572),"")))</f>
        <v/>
      </c>
      <c r="J572" s="26" t="str">
        <f>IF($A572="","",COUNTIFS(tblIssues[Staff ID],$A572,tblIssues[Status],"Pending"))</f>
        <v/>
      </c>
    </row>
    <row r="573" spans="1:10" x14ac:dyDescent="0.35">
      <c r="A573" s="18" t="str">
        <f>IF('Staff Directory'!$A573="","",'Staff Directory'!$A573)</f>
        <v/>
      </c>
      <c r="B573" s="18" t="str">
        <f>IF($A573="","",'Staff Directory'!$B573)</f>
        <v/>
      </c>
      <c r="C573" s="19" t="str">
        <f>IF($A573="","",'Staff Directory'!$C573)</f>
        <v/>
      </c>
      <c r="D573" s="19" t="str">
        <f>IF($A573="","",'Staff Directory'!$D573)</f>
        <v/>
      </c>
      <c r="E573" s="26" t="str">
        <f>IF($A573="","",COUNTIFS(tblIssues[Staff ID],$A573))</f>
        <v/>
      </c>
      <c r="F573" s="26" t="str">
        <f>IF($A573="","",SUMIFS(tblIssues[Qty Issued],tblIssues[Staff ID],$A573))</f>
        <v/>
      </c>
      <c r="G573" s="21" t="str">
        <f>IF($A573="","",SUMIFS(tblIssues[Line Cost],tblIssues[Staff ID],$A573))</f>
        <v/>
      </c>
      <c r="H573" s="24" t="str">
        <f>IF($A573="","",IF($E573=0,"",IFERROR(_xlfn.MAXIFS(tblIssues[Order Date],tblIssues[Staff ID],$A573),"")))</f>
        <v/>
      </c>
      <c r="I573" s="24" t="str">
        <f>IF($A573="","",IF($E573=0,"",IFERROR(_xlfn.MAXIFS(tblIssues[Next Scheduled],tblIssues[Staff ID],$A573),"")))</f>
        <v/>
      </c>
      <c r="J573" s="26" t="str">
        <f>IF($A573="","",COUNTIFS(tblIssues[Staff ID],$A573,tblIssues[Status],"Pending"))</f>
        <v/>
      </c>
    </row>
    <row r="574" spans="1:10" x14ac:dyDescent="0.35">
      <c r="A574" s="18" t="str">
        <f>IF('Staff Directory'!$A574="","",'Staff Directory'!$A574)</f>
        <v/>
      </c>
      <c r="B574" s="18" t="str">
        <f>IF($A574="","",'Staff Directory'!$B574)</f>
        <v/>
      </c>
      <c r="C574" s="19" t="str">
        <f>IF($A574="","",'Staff Directory'!$C574)</f>
        <v/>
      </c>
      <c r="D574" s="19" t="str">
        <f>IF($A574="","",'Staff Directory'!$D574)</f>
        <v/>
      </c>
      <c r="E574" s="26" t="str">
        <f>IF($A574="","",COUNTIFS(tblIssues[Staff ID],$A574))</f>
        <v/>
      </c>
      <c r="F574" s="26" t="str">
        <f>IF($A574="","",SUMIFS(tblIssues[Qty Issued],tblIssues[Staff ID],$A574))</f>
        <v/>
      </c>
      <c r="G574" s="21" t="str">
        <f>IF($A574="","",SUMIFS(tblIssues[Line Cost],tblIssues[Staff ID],$A574))</f>
        <v/>
      </c>
      <c r="H574" s="24" t="str">
        <f>IF($A574="","",IF($E574=0,"",IFERROR(_xlfn.MAXIFS(tblIssues[Order Date],tblIssues[Staff ID],$A574),"")))</f>
        <v/>
      </c>
      <c r="I574" s="24" t="str">
        <f>IF($A574="","",IF($E574=0,"",IFERROR(_xlfn.MAXIFS(tblIssues[Next Scheduled],tblIssues[Staff ID],$A574),"")))</f>
        <v/>
      </c>
      <c r="J574" s="26" t="str">
        <f>IF($A574="","",COUNTIFS(tblIssues[Staff ID],$A574,tblIssues[Status],"Pending"))</f>
        <v/>
      </c>
    </row>
    <row r="575" spans="1:10" x14ac:dyDescent="0.35">
      <c r="A575" s="18" t="str">
        <f>IF('Staff Directory'!$A575="","",'Staff Directory'!$A575)</f>
        <v/>
      </c>
      <c r="B575" s="18" t="str">
        <f>IF($A575="","",'Staff Directory'!$B575)</f>
        <v/>
      </c>
      <c r="C575" s="19" t="str">
        <f>IF($A575="","",'Staff Directory'!$C575)</f>
        <v/>
      </c>
      <c r="D575" s="19" t="str">
        <f>IF($A575="","",'Staff Directory'!$D575)</f>
        <v/>
      </c>
      <c r="E575" s="26" t="str">
        <f>IF($A575="","",COUNTIFS(tblIssues[Staff ID],$A575))</f>
        <v/>
      </c>
      <c r="F575" s="26" t="str">
        <f>IF($A575="","",SUMIFS(tblIssues[Qty Issued],tblIssues[Staff ID],$A575))</f>
        <v/>
      </c>
      <c r="G575" s="21" t="str">
        <f>IF($A575="","",SUMIFS(tblIssues[Line Cost],tblIssues[Staff ID],$A575))</f>
        <v/>
      </c>
      <c r="H575" s="24" t="str">
        <f>IF($A575="","",IF($E575=0,"",IFERROR(_xlfn.MAXIFS(tblIssues[Order Date],tblIssues[Staff ID],$A575),"")))</f>
        <v/>
      </c>
      <c r="I575" s="24" t="str">
        <f>IF($A575="","",IF($E575=0,"",IFERROR(_xlfn.MAXIFS(tblIssues[Next Scheduled],tblIssues[Staff ID],$A575),"")))</f>
        <v/>
      </c>
      <c r="J575" s="26" t="str">
        <f>IF($A575="","",COUNTIFS(tblIssues[Staff ID],$A575,tblIssues[Status],"Pending"))</f>
        <v/>
      </c>
    </row>
    <row r="576" spans="1:10" x14ac:dyDescent="0.35">
      <c r="A576" s="18" t="str">
        <f>IF('Staff Directory'!$A576="","",'Staff Directory'!$A576)</f>
        <v/>
      </c>
      <c r="B576" s="18" t="str">
        <f>IF($A576="","",'Staff Directory'!$B576)</f>
        <v/>
      </c>
      <c r="C576" s="19" t="str">
        <f>IF($A576="","",'Staff Directory'!$C576)</f>
        <v/>
      </c>
      <c r="D576" s="19" t="str">
        <f>IF($A576="","",'Staff Directory'!$D576)</f>
        <v/>
      </c>
      <c r="E576" s="26" t="str">
        <f>IF($A576="","",COUNTIFS(tblIssues[Staff ID],$A576))</f>
        <v/>
      </c>
      <c r="F576" s="26" t="str">
        <f>IF($A576="","",SUMIFS(tblIssues[Qty Issued],tblIssues[Staff ID],$A576))</f>
        <v/>
      </c>
      <c r="G576" s="21" t="str">
        <f>IF($A576="","",SUMIFS(tblIssues[Line Cost],tblIssues[Staff ID],$A576))</f>
        <v/>
      </c>
      <c r="H576" s="24" t="str">
        <f>IF($A576="","",IF($E576=0,"",IFERROR(_xlfn.MAXIFS(tblIssues[Order Date],tblIssues[Staff ID],$A576),"")))</f>
        <v/>
      </c>
      <c r="I576" s="24" t="str">
        <f>IF($A576="","",IF($E576=0,"",IFERROR(_xlfn.MAXIFS(tblIssues[Next Scheduled],tblIssues[Staff ID],$A576),"")))</f>
        <v/>
      </c>
      <c r="J576" s="26" t="str">
        <f>IF($A576="","",COUNTIFS(tblIssues[Staff ID],$A576,tblIssues[Status],"Pending"))</f>
        <v/>
      </c>
    </row>
    <row r="577" spans="1:10" x14ac:dyDescent="0.35">
      <c r="A577" s="18" t="str">
        <f>IF('Staff Directory'!$A577="","",'Staff Directory'!$A577)</f>
        <v/>
      </c>
      <c r="B577" s="18" t="str">
        <f>IF($A577="","",'Staff Directory'!$B577)</f>
        <v/>
      </c>
      <c r="C577" s="19" t="str">
        <f>IF($A577="","",'Staff Directory'!$C577)</f>
        <v/>
      </c>
      <c r="D577" s="19" t="str">
        <f>IF($A577="","",'Staff Directory'!$D577)</f>
        <v/>
      </c>
      <c r="E577" s="26" t="str">
        <f>IF($A577="","",COUNTIFS(tblIssues[Staff ID],$A577))</f>
        <v/>
      </c>
      <c r="F577" s="26" t="str">
        <f>IF($A577="","",SUMIFS(tblIssues[Qty Issued],tblIssues[Staff ID],$A577))</f>
        <v/>
      </c>
      <c r="G577" s="21" t="str">
        <f>IF($A577="","",SUMIFS(tblIssues[Line Cost],tblIssues[Staff ID],$A577))</f>
        <v/>
      </c>
      <c r="H577" s="24" t="str">
        <f>IF($A577="","",IF($E577=0,"",IFERROR(_xlfn.MAXIFS(tblIssues[Order Date],tblIssues[Staff ID],$A577),"")))</f>
        <v/>
      </c>
      <c r="I577" s="24" t="str">
        <f>IF($A577="","",IF($E577=0,"",IFERROR(_xlfn.MAXIFS(tblIssues[Next Scheduled],tblIssues[Staff ID],$A577),"")))</f>
        <v/>
      </c>
      <c r="J577" s="26" t="str">
        <f>IF($A577="","",COUNTIFS(tblIssues[Staff ID],$A577,tblIssues[Status],"Pending"))</f>
        <v/>
      </c>
    </row>
    <row r="578" spans="1:10" x14ac:dyDescent="0.35">
      <c r="A578" s="18" t="str">
        <f>IF('Staff Directory'!$A578="","",'Staff Directory'!$A578)</f>
        <v/>
      </c>
      <c r="B578" s="18" t="str">
        <f>IF($A578="","",'Staff Directory'!$B578)</f>
        <v/>
      </c>
      <c r="C578" s="19" t="str">
        <f>IF($A578="","",'Staff Directory'!$C578)</f>
        <v/>
      </c>
      <c r="D578" s="19" t="str">
        <f>IF($A578="","",'Staff Directory'!$D578)</f>
        <v/>
      </c>
      <c r="E578" s="26" t="str">
        <f>IF($A578="","",COUNTIFS(tblIssues[Staff ID],$A578))</f>
        <v/>
      </c>
      <c r="F578" s="26" t="str">
        <f>IF($A578="","",SUMIFS(tblIssues[Qty Issued],tblIssues[Staff ID],$A578))</f>
        <v/>
      </c>
      <c r="G578" s="21" t="str">
        <f>IF($A578="","",SUMIFS(tblIssues[Line Cost],tblIssues[Staff ID],$A578))</f>
        <v/>
      </c>
      <c r="H578" s="24" t="str">
        <f>IF($A578="","",IF($E578=0,"",IFERROR(_xlfn.MAXIFS(tblIssues[Order Date],tblIssues[Staff ID],$A578),"")))</f>
        <v/>
      </c>
      <c r="I578" s="24" t="str">
        <f>IF($A578="","",IF($E578=0,"",IFERROR(_xlfn.MAXIFS(tblIssues[Next Scheduled],tblIssues[Staff ID],$A578),"")))</f>
        <v/>
      </c>
      <c r="J578" s="26" t="str">
        <f>IF($A578="","",COUNTIFS(tblIssues[Staff ID],$A578,tblIssues[Status],"Pending"))</f>
        <v/>
      </c>
    </row>
    <row r="579" spans="1:10" x14ac:dyDescent="0.35">
      <c r="A579" s="18" t="str">
        <f>IF('Staff Directory'!$A579="","",'Staff Directory'!$A579)</f>
        <v/>
      </c>
      <c r="B579" s="18" t="str">
        <f>IF($A579="","",'Staff Directory'!$B579)</f>
        <v/>
      </c>
      <c r="C579" s="19" t="str">
        <f>IF($A579="","",'Staff Directory'!$C579)</f>
        <v/>
      </c>
      <c r="D579" s="19" t="str">
        <f>IF($A579="","",'Staff Directory'!$D579)</f>
        <v/>
      </c>
      <c r="E579" s="26" t="str">
        <f>IF($A579="","",COUNTIFS(tblIssues[Staff ID],$A579))</f>
        <v/>
      </c>
      <c r="F579" s="26" t="str">
        <f>IF($A579="","",SUMIFS(tblIssues[Qty Issued],tblIssues[Staff ID],$A579))</f>
        <v/>
      </c>
      <c r="G579" s="21" t="str">
        <f>IF($A579="","",SUMIFS(tblIssues[Line Cost],tblIssues[Staff ID],$A579))</f>
        <v/>
      </c>
      <c r="H579" s="24" t="str">
        <f>IF($A579="","",IF($E579=0,"",IFERROR(_xlfn.MAXIFS(tblIssues[Order Date],tblIssues[Staff ID],$A579),"")))</f>
        <v/>
      </c>
      <c r="I579" s="24" t="str">
        <f>IF($A579="","",IF($E579=0,"",IFERROR(_xlfn.MAXIFS(tblIssues[Next Scheduled],tblIssues[Staff ID],$A579),"")))</f>
        <v/>
      </c>
      <c r="J579" s="26" t="str">
        <f>IF($A579="","",COUNTIFS(tblIssues[Staff ID],$A579,tblIssues[Status],"Pending"))</f>
        <v/>
      </c>
    </row>
    <row r="580" spans="1:10" x14ac:dyDescent="0.35">
      <c r="A580" s="18" t="str">
        <f>IF('Staff Directory'!$A580="","",'Staff Directory'!$A580)</f>
        <v/>
      </c>
      <c r="B580" s="18" t="str">
        <f>IF($A580="","",'Staff Directory'!$B580)</f>
        <v/>
      </c>
      <c r="C580" s="19" t="str">
        <f>IF($A580="","",'Staff Directory'!$C580)</f>
        <v/>
      </c>
      <c r="D580" s="19" t="str">
        <f>IF($A580="","",'Staff Directory'!$D580)</f>
        <v/>
      </c>
      <c r="E580" s="26" t="str">
        <f>IF($A580="","",COUNTIFS(tblIssues[Staff ID],$A580))</f>
        <v/>
      </c>
      <c r="F580" s="26" t="str">
        <f>IF($A580="","",SUMIFS(tblIssues[Qty Issued],tblIssues[Staff ID],$A580))</f>
        <v/>
      </c>
      <c r="G580" s="21" t="str">
        <f>IF($A580="","",SUMIFS(tblIssues[Line Cost],tblIssues[Staff ID],$A580))</f>
        <v/>
      </c>
      <c r="H580" s="24" t="str">
        <f>IF($A580="","",IF($E580=0,"",IFERROR(_xlfn.MAXIFS(tblIssues[Order Date],tblIssues[Staff ID],$A580),"")))</f>
        <v/>
      </c>
      <c r="I580" s="24" t="str">
        <f>IF($A580="","",IF($E580=0,"",IFERROR(_xlfn.MAXIFS(tblIssues[Next Scheduled],tblIssues[Staff ID],$A580),"")))</f>
        <v/>
      </c>
      <c r="J580" s="26" t="str">
        <f>IF($A580="","",COUNTIFS(tblIssues[Staff ID],$A580,tblIssues[Status],"Pending"))</f>
        <v/>
      </c>
    </row>
    <row r="581" spans="1:10" x14ac:dyDescent="0.35">
      <c r="A581" s="18" t="str">
        <f>IF('Staff Directory'!$A581="","",'Staff Directory'!$A581)</f>
        <v/>
      </c>
      <c r="B581" s="18" t="str">
        <f>IF($A581="","",'Staff Directory'!$B581)</f>
        <v/>
      </c>
      <c r="C581" s="19" t="str">
        <f>IF($A581="","",'Staff Directory'!$C581)</f>
        <v/>
      </c>
      <c r="D581" s="19" t="str">
        <f>IF($A581="","",'Staff Directory'!$D581)</f>
        <v/>
      </c>
      <c r="E581" s="26" t="str">
        <f>IF($A581="","",COUNTIFS(tblIssues[Staff ID],$A581))</f>
        <v/>
      </c>
      <c r="F581" s="26" t="str">
        <f>IF($A581="","",SUMIFS(tblIssues[Qty Issued],tblIssues[Staff ID],$A581))</f>
        <v/>
      </c>
      <c r="G581" s="21" t="str">
        <f>IF($A581="","",SUMIFS(tblIssues[Line Cost],tblIssues[Staff ID],$A581))</f>
        <v/>
      </c>
      <c r="H581" s="24" t="str">
        <f>IF($A581="","",IF($E581=0,"",IFERROR(_xlfn.MAXIFS(tblIssues[Order Date],tblIssues[Staff ID],$A581),"")))</f>
        <v/>
      </c>
      <c r="I581" s="24" t="str">
        <f>IF($A581="","",IF($E581=0,"",IFERROR(_xlfn.MAXIFS(tblIssues[Next Scheduled],tblIssues[Staff ID],$A581),"")))</f>
        <v/>
      </c>
      <c r="J581" s="26" t="str">
        <f>IF($A581="","",COUNTIFS(tblIssues[Staff ID],$A581,tblIssues[Status],"Pending"))</f>
        <v/>
      </c>
    </row>
    <row r="582" spans="1:10" x14ac:dyDescent="0.35">
      <c r="A582" s="18" t="str">
        <f>IF('Staff Directory'!$A582="","",'Staff Directory'!$A582)</f>
        <v/>
      </c>
      <c r="B582" s="18" t="str">
        <f>IF($A582="","",'Staff Directory'!$B582)</f>
        <v/>
      </c>
      <c r="C582" s="19" t="str">
        <f>IF($A582="","",'Staff Directory'!$C582)</f>
        <v/>
      </c>
      <c r="D582" s="19" t="str">
        <f>IF($A582="","",'Staff Directory'!$D582)</f>
        <v/>
      </c>
      <c r="E582" s="26" t="str">
        <f>IF($A582="","",COUNTIFS(tblIssues[Staff ID],$A582))</f>
        <v/>
      </c>
      <c r="F582" s="26" t="str">
        <f>IF($A582="","",SUMIFS(tblIssues[Qty Issued],tblIssues[Staff ID],$A582))</f>
        <v/>
      </c>
      <c r="G582" s="21" t="str">
        <f>IF($A582="","",SUMIFS(tblIssues[Line Cost],tblIssues[Staff ID],$A582))</f>
        <v/>
      </c>
      <c r="H582" s="24" t="str">
        <f>IF($A582="","",IF($E582=0,"",IFERROR(_xlfn.MAXIFS(tblIssues[Order Date],tblIssues[Staff ID],$A582),"")))</f>
        <v/>
      </c>
      <c r="I582" s="24" t="str">
        <f>IF($A582="","",IF($E582=0,"",IFERROR(_xlfn.MAXIFS(tblIssues[Next Scheduled],tblIssues[Staff ID],$A582),"")))</f>
        <v/>
      </c>
      <c r="J582" s="26" t="str">
        <f>IF($A582="","",COUNTIFS(tblIssues[Staff ID],$A582,tblIssues[Status],"Pending"))</f>
        <v/>
      </c>
    </row>
    <row r="583" spans="1:10" x14ac:dyDescent="0.35">
      <c r="A583" s="18" t="str">
        <f>IF('Staff Directory'!$A583="","",'Staff Directory'!$A583)</f>
        <v/>
      </c>
      <c r="B583" s="18" t="str">
        <f>IF($A583="","",'Staff Directory'!$B583)</f>
        <v/>
      </c>
      <c r="C583" s="19" t="str">
        <f>IF($A583="","",'Staff Directory'!$C583)</f>
        <v/>
      </c>
      <c r="D583" s="19" t="str">
        <f>IF($A583="","",'Staff Directory'!$D583)</f>
        <v/>
      </c>
      <c r="E583" s="26" t="str">
        <f>IF($A583="","",COUNTIFS(tblIssues[Staff ID],$A583))</f>
        <v/>
      </c>
      <c r="F583" s="26" t="str">
        <f>IF($A583="","",SUMIFS(tblIssues[Qty Issued],tblIssues[Staff ID],$A583))</f>
        <v/>
      </c>
      <c r="G583" s="21" t="str">
        <f>IF($A583="","",SUMIFS(tblIssues[Line Cost],tblIssues[Staff ID],$A583))</f>
        <v/>
      </c>
      <c r="H583" s="24" t="str">
        <f>IF($A583="","",IF($E583=0,"",IFERROR(_xlfn.MAXIFS(tblIssues[Order Date],tblIssues[Staff ID],$A583),"")))</f>
        <v/>
      </c>
      <c r="I583" s="24" t="str">
        <f>IF($A583="","",IF($E583=0,"",IFERROR(_xlfn.MAXIFS(tblIssues[Next Scheduled],tblIssues[Staff ID],$A583),"")))</f>
        <v/>
      </c>
      <c r="J583" s="26" t="str">
        <f>IF($A583="","",COUNTIFS(tblIssues[Staff ID],$A583,tblIssues[Status],"Pending"))</f>
        <v/>
      </c>
    </row>
    <row r="584" spans="1:10" x14ac:dyDescent="0.35">
      <c r="A584" s="18" t="str">
        <f>IF('Staff Directory'!$A584="","",'Staff Directory'!$A584)</f>
        <v/>
      </c>
      <c r="B584" s="18" t="str">
        <f>IF($A584="","",'Staff Directory'!$B584)</f>
        <v/>
      </c>
      <c r="C584" s="19" t="str">
        <f>IF($A584="","",'Staff Directory'!$C584)</f>
        <v/>
      </c>
      <c r="D584" s="19" t="str">
        <f>IF($A584="","",'Staff Directory'!$D584)</f>
        <v/>
      </c>
      <c r="E584" s="26" t="str">
        <f>IF($A584="","",COUNTIFS(tblIssues[Staff ID],$A584))</f>
        <v/>
      </c>
      <c r="F584" s="26" t="str">
        <f>IF($A584="","",SUMIFS(tblIssues[Qty Issued],tblIssues[Staff ID],$A584))</f>
        <v/>
      </c>
      <c r="G584" s="21" t="str">
        <f>IF($A584="","",SUMIFS(tblIssues[Line Cost],tblIssues[Staff ID],$A584))</f>
        <v/>
      </c>
      <c r="H584" s="24" t="str">
        <f>IF($A584="","",IF($E584=0,"",IFERROR(_xlfn.MAXIFS(tblIssues[Order Date],tblIssues[Staff ID],$A584),"")))</f>
        <v/>
      </c>
      <c r="I584" s="24" t="str">
        <f>IF($A584="","",IF($E584=0,"",IFERROR(_xlfn.MAXIFS(tblIssues[Next Scheduled],tblIssues[Staff ID],$A584),"")))</f>
        <v/>
      </c>
      <c r="J584" s="26" t="str">
        <f>IF($A584="","",COUNTIFS(tblIssues[Staff ID],$A584,tblIssues[Status],"Pending"))</f>
        <v/>
      </c>
    </row>
    <row r="585" spans="1:10" x14ac:dyDescent="0.35">
      <c r="A585" s="18" t="str">
        <f>IF('Staff Directory'!$A585="","",'Staff Directory'!$A585)</f>
        <v/>
      </c>
      <c r="B585" s="18" t="str">
        <f>IF($A585="","",'Staff Directory'!$B585)</f>
        <v/>
      </c>
      <c r="C585" s="19" t="str">
        <f>IF($A585="","",'Staff Directory'!$C585)</f>
        <v/>
      </c>
      <c r="D585" s="19" t="str">
        <f>IF($A585="","",'Staff Directory'!$D585)</f>
        <v/>
      </c>
      <c r="E585" s="26" t="str">
        <f>IF($A585="","",COUNTIFS(tblIssues[Staff ID],$A585))</f>
        <v/>
      </c>
      <c r="F585" s="26" t="str">
        <f>IF($A585="","",SUMIFS(tblIssues[Qty Issued],tblIssues[Staff ID],$A585))</f>
        <v/>
      </c>
      <c r="G585" s="21" t="str">
        <f>IF($A585="","",SUMIFS(tblIssues[Line Cost],tblIssues[Staff ID],$A585))</f>
        <v/>
      </c>
      <c r="H585" s="24" t="str">
        <f>IF($A585="","",IF($E585=0,"",IFERROR(_xlfn.MAXIFS(tblIssues[Order Date],tblIssues[Staff ID],$A585),"")))</f>
        <v/>
      </c>
      <c r="I585" s="24" t="str">
        <f>IF($A585="","",IF($E585=0,"",IFERROR(_xlfn.MAXIFS(tblIssues[Next Scheduled],tblIssues[Staff ID],$A585),"")))</f>
        <v/>
      </c>
      <c r="J585" s="26" t="str">
        <f>IF($A585="","",COUNTIFS(tblIssues[Staff ID],$A585,tblIssues[Status],"Pending"))</f>
        <v/>
      </c>
    </row>
    <row r="586" spans="1:10" x14ac:dyDescent="0.35">
      <c r="A586" s="18" t="str">
        <f>IF('Staff Directory'!$A586="","",'Staff Directory'!$A586)</f>
        <v/>
      </c>
      <c r="B586" s="18" t="str">
        <f>IF($A586="","",'Staff Directory'!$B586)</f>
        <v/>
      </c>
      <c r="C586" s="19" t="str">
        <f>IF($A586="","",'Staff Directory'!$C586)</f>
        <v/>
      </c>
      <c r="D586" s="19" t="str">
        <f>IF($A586="","",'Staff Directory'!$D586)</f>
        <v/>
      </c>
      <c r="E586" s="26" t="str">
        <f>IF($A586="","",COUNTIFS(tblIssues[Staff ID],$A586))</f>
        <v/>
      </c>
      <c r="F586" s="26" t="str">
        <f>IF($A586="","",SUMIFS(tblIssues[Qty Issued],tblIssues[Staff ID],$A586))</f>
        <v/>
      </c>
      <c r="G586" s="21" t="str">
        <f>IF($A586="","",SUMIFS(tblIssues[Line Cost],tblIssues[Staff ID],$A586))</f>
        <v/>
      </c>
      <c r="H586" s="24" t="str">
        <f>IF($A586="","",IF($E586=0,"",IFERROR(_xlfn.MAXIFS(tblIssues[Order Date],tblIssues[Staff ID],$A586),"")))</f>
        <v/>
      </c>
      <c r="I586" s="24" t="str">
        <f>IF($A586="","",IF($E586=0,"",IFERROR(_xlfn.MAXIFS(tblIssues[Next Scheduled],tblIssues[Staff ID],$A586),"")))</f>
        <v/>
      </c>
      <c r="J586" s="26" t="str">
        <f>IF($A586="","",COUNTIFS(tblIssues[Staff ID],$A586,tblIssues[Status],"Pending"))</f>
        <v/>
      </c>
    </row>
    <row r="587" spans="1:10" x14ac:dyDescent="0.35">
      <c r="A587" s="18" t="str">
        <f>IF('Staff Directory'!$A587="","",'Staff Directory'!$A587)</f>
        <v/>
      </c>
      <c r="B587" s="18" t="str">
        <f>IF($A587="","",'Staff Directory'!$B587)</f>
        <v/>
      </c>
      <c r="C587" s="19" t="str">
        <f>IF($A587="","",'Staff Directory'!$C587)</f>
        <v/>
      </c>
      <c r="D587" s="19" t="str">
        <f>IF($A587="","",'Staff Directory'!$D587)</f>
        <v/>
      </c>
      <c r="E587" s="26" t="str">
        <f>IF($A587="","",COUNTIFS(tblIssues[Staff ID],$A587))</f>
        <v/>
      </c>
      <c r="F587" s="26" t="str">
        <f>IF($A587="","",SUMIFS(tblIssues[Qty Issued],tblIssues[Staff ID],$A587))</f>
        <v/>
      </c>
      <c r="G587" s="21" t="str">
        <f>IF($A587="","",SUMIFS(tblIssues[Line Cost],tblIssues[Staff ID],$A587))</f>
        <v/>
      </c>
      <c r="H587" s="24" t="str">
        <f>IF($A587="","",IF($E587=0,"",IFERROR(_xlfn.MAXIFS(tblIssues[Order Date],tblIssues[Staff ID],$A587),"")))</f>
        <v/>
      </c>
      <c r="I587" s="24" t="str">
        <f>IF($A587="","",IF($E587=0,"",IFERROR(_xlfn.MAXIFS(tblIssues[Next Scheduled],tblIssues[Staff ID],$A587),"")))</f>
        <v/>
      </c>
      <c r="J587" s="26" t="str">
        <f>IF($A587="","",COUNTIFS(tblIssues[Staff ID],$A587,tblIssues[Status],"Pending"))</f>
        <v/>
      </c>
    </row>
    <row r="588" spans="1:10" x14ac:dyDescent="0.35">
      <c r="A588" s="18" t="str">
        <f>IF('Staff Directory'!$A588="","",'Staff Directory'!$A588)</f>
        <v/>
      </c>
      <c r="B588" s="18" t="str">
        <f>IF($A588="","",'Staff Directory'!$B588)</f>
        <v/>
      </c>
      <c r="C588" s="19" t="str">
        <f>IF($A588="","",'Staff Directory'!$C588)</f>
        <v/>
      </c>
      <c r="D588" s="19" t="str">
        <f>IF($A588="","",'Staff Directory'!$D588)</f>
        <v/>
      </c>
      <c r="E588" s="26" t="str">
        <f>IF($A588="","",COUNTIFS(tblIssues[Staff ID],$A588))</f>
        <v/>
      </c>
      <c r="F588" s="26" t="str">
        <f>IF($A588="","",SUMIFS(tblIssues[Qty Issued],tblIssues[Staff ID],$A588))</f>
        <v/>
      </c>
      <c r="G588" s="21" t="str">
        <f>IF($A588="","",SUMIFS(tblIssues[Line Cost],tblIssues[Staff ID],$A588))</f>
        <v/>
      </c>
      <c r="H588" s="24" t="str">
        <f>IF($A588="","",IF($E588=0,"",IFERROR(_xlfn.MAXIFS(tblIssues[Order Date],tblIssues[Staff ID],$A588),"")))</f>
        <v/>
      </c>
      <c r="I588" s="24" t="str">
        <f>IF($A588="","",IF($E588=0,"",IFERROR(_xlfn.MAXIFS(tblIssues[Next Scheduled],tblIssues[Staff ID],$A588),"")))</f>
        <v/>
      </c>
      <c r="J588" s="26" t="str">
        <f>IF($A588="","",COUNTIFS(tblIssues[Staff ID],$A588,tblIssues[Status],"Pending"))</f>
        <v/>
      </c>
    </row>
    <row r="589" spans="1:10" x14ac:dyDescent="0.35">
      <c r="A589" s="18" t="str">
        <f>IF('Staff Directory'!$A589="","",'Staff Directory'!$A589)</f>
        <v/>
      </c>
      <c r="B589" s="18" t="str">
        <f>IF($A589="","",'Staff Directory'!$B589)</f>
        <v/>
      </c>
      <c r="C589" s="19" t="str">
        <f>IF($A589="","",'Staff Directory'!$C589)</f>
        <v/>
      </c>
      <c r="D589" s="19" t="str">
        <f>IF($A589="","",'Staff Directory'!$D589)</f>
        <v/>
      </c>
      <c r="E589" s="26" t="str">
        <f>IF($A589="","",COUNTIFS(tblIssues[Staff ID],$A589))</f>
        <v/>
      </c>
      <c r="F589" s="26" t="str">
        <f>IF($A589="","",SUMIFS(tblIssues[Qty Issued],tblIssues[Staff ID],$A589))</f>
        <v/>
      </c>
      <c r="G589" s="21" t="str">
        <f>IF($A589="","",SUMIFS(tblIssues[Line Cost],tblIssues[Staff ID],$A589))</f>
        <v/>
      </c>
      <c r="H589" s="24" t="str">
        <f>IF($A589="","",IF($E589=0,"",IFERROR(_xlfn.MAXIFS(tblIssues[Order Date],tblIssues[Staff ID],$A589),"")))</f>
        <v/>
      </c>
      <c r="I589" s="24" t="str">
        <f>IF($A589="","",IF($E589=0,"",IFERROR(_xlfn.MAXIFS(tblIssues[Next Scheduled],tblIssues[Staff ID],$A589),"")))</f>
        <v/>
      </c>
      <c r="J589" s="26" t="str">
        <f>IF($A589="","",COUNTIFS(tblIssues[Staff ID],$A589,tblIssues[Status],"Pending"))</f>
        <v/>
      </c>
    </row>
    <row r="590" spans="1:10" x14ac:dyDescent="0.35">
      <c r="A590" s="18" t="str">
        <f>IF('Staff Directory'!$A590="","",'Staff Directory'!$A590)</f>
        <v/>
      </c>
      <c r="B590" s="18" t="str">
        <f>IF($A590="","",'Staff Directory'!$B590)</f>
        <v/>
      </c>
      <c r="C590" s="19" t="str">
        <f>IF($A590="","",'Staff Directory'!$C590)</f>
        <v/>
      </c>
      <c r="D590" s="19" t="str">
        <f>IF($A590="","",'Staff Directory'!$D590)</f>
        <v/>
      </c>
      <c r="E590" s="26" t="str">
        <f>IF($A590="","",COUNTIFS(tblIssues[Staff ID],$A590))</f>
        <v/>
      </c>
      <c r="F590" s="26" t="str">
        <f>IF($A590="","",SUMIFS(tblIssues[Qty Issued],tblIssues[Staff ID],$A590))</f>
        <v/>
      </c>
      <c r="G590" s="21" t="str">
        <f>IF($A590="","",SUMIFS(tblIssues[Line Cost],tblIssues[Staff ID],$A590))</f>
        <v/>
      </c>
      <c r="H590" s="24" t="str">
        <f>IF($A590="","",IF($E590=0,"",IFERROR(_xlfn.MAXIFS(tblIssues[Order Date],tblIssues[Staff ID],$A590),"")))</f>
        <v/>
      </c>
      <c r="I590" s="24" t="str">
        <f>IF($A590="","",IF($E590=0,"",IFERROR(_xlfn.MAXIFS(tblIssues[Next Scheduled],tblIssues[Staff ID],$A590),"")))</f>
        <v/>
      </c>
      <c r="J590" s="26" t="str">
        <f>IF($A590="","",COUNTIFS(tblIssues[Staff ID],$A590,tblIssues[Status],"Pending"))</f>
        <v/>
      </c>
    </row>
    <row r="591" spans="1:10" x14ac:dyDescent="0.35">
      <c r="A591" s="18" t="str">
        <f>IF('Staff Directory'!$A591="","",'Staff Directory'!$A591)</f>
        <v/>
      </c>
      <c r="B591" s="18" t="str">
        <f>IF($A591="","",'Staff Directory'!$B591)</f>
        <v/>
      </c>
      <c r="C591" s="19" t="str">
        <f>IF($A591="","",'Staff Directory'!$C591)</f>
        <v/>
      </c>
      <c r="D591" s="19" t="str">
        <f>IF($A591="","",'Staff Directory'!$D591)</f>
        <v/>
      </c>
      <c r="E591" s="26" t="str">
        <f>IF($A591="","",COUNTIFS(tblIssues[Staff ID],$A591))</f>
        <v/>
      </c>
      <c r="F591" s="26" t="str">
        <f>IF($A591="","",SUMIFS(tblIssues[Qty Issued],tblIssues[Staff ID],$A591))</f>
        <v/>
      </c>
      <c r="G591" s="21" t="str">
        <f>IF($A591="","",SUMIFS(tblIssues[Line Cost],tblIssues[Staff ID],$A591))</f>
        <v/>
      </c>
      <c r="H591" s="24" t="str">
        <f>IF($A591="","",IF($E591=0,"",IFERROR(_xlfn.MAXIFS(tblIssues[Order Date],tblIssues[Staff ID],$A591),"")))</f>
        <v/>
      </c>
      <c r="I591" s="24" t="str">
        <f>IF($A591="","",IF($E591=0,"",IFERROR(_xlfn.MAXIFS(tblIssues[Next Scheduled],tblIssues[Staff ID],$A591),"")))</f>
        <v/>
      </c>
      <c r="J591" s="26" t="str">
        <f>IF($A591="","",COUNTIFS(tblIssues[Staff ID],$A591,tblIssues[Status],"Pending"))</f>
        <v/>
      </c>
    </row>
    <row r="592" spans="1:10" x14ac:dyDescent="0.35">
      <c r="A592" s="18" t="str">
        <f>IF('Staff Directory'!$A592="","",'Staff Directory'!$A592)</f>
        <v/>
      </c>
      <c r="B592" s="18" t="str">
        <f>IF($A592="","",'Staff Directory'!$B592)</f>
        <v/>
      </c>
      <c r="C592" s="19" t="str">
        <f>IF($A592="","",'Staff Directory'!$C592)</f>
        <v/>
      </c>
      <c r="D592" s="19" t="str">
        <f>IF($A592="","",'Staff Directory'!$D592)</f>
        <v/>
      </c>
      <c r="E592" s="26" t="str">
        <f>IF($A592="","",COUNTIFS(tblIssues[Staff ID],$A592))</f>
        <v/>
      </c>
      <c r="F592" s="26" t="str">
        <f>IF($A592="","",SUMIFS(tblIssues[Qty Issued],tblIssues[Staff ID],$A592))</f>
        <v/>
      </c>
      <c r="G592" s="21" t="str">
        <f>IF($A592="","",SUMIFS(tblIssues[Line Cost],tblIssues[Staff ID],$A592))</f>
        <v/>
      </c>
      <c r="H592" s="24" t="str">
        <f>IF($A592="","",IF($E592=0,"",IFERROR(_xlfn.MAXIFS(tblIssues[Order Date],tblIssues[Staff ID],$A592),"")))</f>
        <v/>
      </c>
      <c r="I592" s="24" t="str">
        <f>IF($A592="","",IF($E592=0,"",IFERROR(_xlfn.MAXIFS(tblIssues[Next Scheduled],tblIssues[Staff ID],$A592),"")))</f>
        <v/>
      </c>
      <c r="J592" s="26" t="str">
        <f>IF($A592="","",COUNTIFS(tblIssues[Staff ID],$A592,tblIssues[Status],"Pending"))</f>
        <v/>
      </c>
    </row>
    <row r="593" spans="1:10" x14ac:dyDescent="0.35">
      <c r="A593" s="18" t="str">
        <f>IF('Staff Directory'!$A593="","",'Staff Directory'!$A593)</f>
        <v/>
      </c>
      <c r="B593" s="18" t="str">
        <f>IF($A593="","",'Staff Directory'!$B593)</f>
        <v/>
      </c>
      <c r="C593" s="19" t="str">
        <f>IF($A593="","",'Staff Directory'!$C593)</f>
        <v/>
      </c>
      <c r="D593" s="19" t="str">
        <f>IF($A593="","",'Staff Directory'!$D593)</f>
        <v/>
      </c>
      <c r="E593" s="26" t="str">
        <f>IF($A593="","",COUNTIFS(tblIssues[Staff ID],$A593))</f>
        <v/>
      </c>
      <c r="F593" s="26" t="str">
        <f>IF($A593="","",SUMIFS(tblIssues[Qty Issued],tblIssues[Staff ID],$A593))</f>
        <v/>
      </c>
      <c r="G593" s="21" t="str">
        <f>IF($A593="","",SUMIFS(tblIssues[Line Cost],tblIssues[Staff ID],$A593))</f>
        <v/>
      </c>
      <c r="H593" s="24" t="str">
        <f>IF($A593="","",IF($E593=0,"",IFERROR(_xlfn.MAXIFS(tblIssues[Order Date],tblIssues[Staff ID],$A593),"")))</f>
        <v/>
      </c>
      <c r="I593" s="24" t="str">
        <f>IF($A593="","",IF($E593=0,"",IFERROR(_xlfn.MAXIFS(tblIssues[Next Scheduled],tblIssues[Staff ID],$A593),"")))</f>
        <v/>
      </c>
      <c r="J593" s="26" t="str">
        <f>IF($A593="","",COUNTIFS(tblIssues[Staff ID],$A593,tblIssues[Status],"Pending"))</f>
        <v/>
      </c>
    </row>
    <row r="594" spans="1:10" x14ac:dyDescent="0.35">
      <c r="A594" s="18" t="str">
        <f>IF('Staff Directory'!$A594="","",'Staff Directory'!$A594)</f>
        <v/>
      </c>
      <c r="B594" s="18" t="str">
        <f>IF($A594="","",'Staff Directory'!$B594)</f>
        <v/>
      </c>
      <c r="C594" s="19" t="str">
        <f>IF($A594="","",'Staff Directory'!$C594)</f>
        <v/>
      </c>
      <c r="D594" s="19" t="str">
        <f>IF($A594="","",'Staff Directory'!$D594)</f>
        <v/>
      </c>
      <c r="E594" s="26" t="str">
        <f>IF($A594="","",COUNTIFS(tblIssues[Staff ID],$A594))</f>
        <v/>
      </c>
      <c r="F594" s="26" t="str">
        <f>IF($A594="","",SUMIFS(tblIssues[Qty Issued],tblIssues[Staff ID],$A594))</f>
        <v/>
      </c>
      <c r="G594" s="21" t="str">
        <f>IF($A594="","",SUMIFS(tblIssues[Line Cost],tblIssues[Staff ID],$A594))</f>
        <v/>
      </c>
      <c r="H594" s="24" t="str">
        <f>IF($A594="","",IF($E594=0,"",IFERROR(_xlfn.MAXIFS(tblIssues[Order Date],tblIssues[Staff ID],$A594),"")))</f>
        <v/>
      </c>
      <c r="I594" s="24" t="str">
        <f>IF($A594="","",IF($E594=0,"",IFERROR(_xlfn.MAXIFS(tblIssues[Next Scheduled],tblIssues[Staff ID],$A594),"")))</f>
        <v/>
      </c>
      <c r="J594" s="26" t="str">
        <f>IF($A594="","",COUNTIFS(tblIssues[Staff ID],$A594,tblIssues[Status],"Pending"))</f>
        <v/>
      </c>
    </row>
    <row r="595" spans="1:10" x14ac:dyDescent="0.35">
      <c r="A595" s="18" t="str">
        <f>IF('Staff Directory'!$A595="","",'Staff Directory'!$A595)</f>
        <v/>
      </c>
      <c r="B595" s="18" t="str">
        <f>IF($A595="","",'Staff Directory'!$B595)</f>
        <v/>
      </c>
      <c r="C595" s="19" t="str">
        <f>IF($A595="","",'Staff Directory'!$C595)</f>
        <v/>
      </c>
      <c r="D595" s="19" t="str">
        <f>IF($A595="","",'Staff Directory'!$D595)</f>
        <v/>
      </c>
      <c r="E595" s="26" t="str">
        <f>IF($A595="","",COUNTIFS(tblIssues[Staff ID],$A595))</f>
        <v/>
      </c>
      <c r="F595" s="26" t="str">
        <f>IF($A595="","",SUMIFS(tblIssues[Qty Issued],tblIssues[Staff ID],$A595))</f>
        <v/>
      </c>
      <c r="G595" s="21" t="str">
        <f>IF($A595="","",SUMIFS(tblIssues[Line Cost],tblIssues[Staff ID],$A595))</f>
        <v/>
      </c>
      <c r="H595" s="24" t="str">
        <f>IF($A595="","",IF($E595=0,"",IFERROR(_xlfn.MAXIFS(tblIssues[Order Date],tblIssues[Staff ID],$A595),"")))</f>
        <v/>
      </c>
      <c r="I595" s="24" t="str">
        <f>IF($A595="","",IF($E595=0,"",IFERROR(_xlfn.MAXIFS(tblIssues[Next Scheduled],tblIssues[Staff ID],$A595),"")))</f>
        <v/>
      </c>
      <c r="J595" s="26" t="str">
        <f>IF($A595="","",COUNTIFS(tblIssues[Staff ID],$A595,tblIssues[Status],"Pending"))</f>
        <v/>
      </c>
    </row>
    <row r="596" spans="1:10" x14ac:dyDescent="0.35">
      <c r="A596" s="18" t="str">
        <f>IF('Staff Directory'!$A596="","",'Staff Directory'!$A596)</f>
        <v/>
      </c>
      <c r="B596" s="18" t="str">
        <f>IF($A596="","",'Staff Directory'!$B596)</f>
        <v/>
      </c>
      <c r="C596" s="19" t="str">
        <f>IF($A596="","",'Staff Directory'!$C596)</f>
        <v/>
      </c>
      <c r="D596" s="19" t="str">
        <f>IF($A596="","",'Staff Directory'!$D596)</f>
        <v/>
      </c>
      <c r="E596" s="26" t="str">
        <f>IF($A596="","",COUNTIFS(tblIssues[Staff ID],$A596))</f>
        <v/>
      </c>
      <c r="F596" s="26" t="str">
        <f>IF($A596="","",SUMIFS(tblIssues[Qty Issued],tblIssues[Staff ID],$A596))</f>
        <v/>
      </c>
      <c r="G596" s="21" t="str">
        <f>IF($A596="","",SUMIFS(tblIssues[Line Cost],tblIssues[Staff ID],$A596))</f>
        <v/>
      </c>
      <c r="H596" s="24" t="str">
        <f>IF($A596="","",IF($E596=0,"",IFERROR(_xlfn.MAXIFS(tblIssues[Order Date],tblIssues[Staff ID],$A596),"")))</f>
        <v/>
      </c>
      <c r="I596" s="24" t="str">
        <f>IF($A596="","",IF($E596=0,"",IFERROR(_xlfn.MAXIFS(tblIssues[Next Scheduled],tblIssues[Staff ID],$A596),"")))</f>
        <v/>
      </c>
      <c r="J596" s="26" t="str">
        <f>IF($A596="","",COUNTIFS(tblIssues[Staff ID],$A596,tblIssues[Status],"Pending"))</f>
        <v/>
      </c>
    </row>
    <row r="597" spans="1:10" x14ac:dyDescent="0.35">
      <c r="A597" s="18" t="str">
        <f>IF('Staff Directory'!$A597="","",'Staff Directory'!$A597)</f>
        <v/>
      </c>
      <c r="B597" s="18" t="str">
        <f>IF($A597="","",'Staff Directory'!$B597)</f>
        <v/>
      </c>
      <c r="C597" s="19" t="str">
        <f>IF($A597="","",'Staff Directory'!$C597)</f>
        <v/>
      </c>
      <c r="D597" s="19" t="str">
        <f>IF($A597="","",'Staff Directory'!$D597)</f>
        <v/>
      </c>
      <c r="E597" s="26" t="str">
        <f>IF($A597="","",COUNTIFS(tblIssues[Staff ID],$A597))</f>
        <v/>
      </c>
      <c r="F597" s="26" t="str">
        <f>IF($A597="","",SUMIFS(tblIssues[Qty Issued],tblIssues[Staff ID],$A597))</f>
        <v/>
      </c>
      <c r="G597" s="21" t="str">
        <f>IF($A597="","",SUMIFS(tblIssues[Line Cost],tblIssues[Staff ID],$A597))</f>
        <v/>
      </c>
      <c r="H597" s="24" t="str">
        <f>IF($A597="","",IF($E597=0,"",IFERROR(_xlfn.MAXIFS(tblIssues[Order Date],tblIssues[Staff ID],$A597),"")))</f>
        <v/>
      </c>
      <c r="I597" s="24" t="str">
        <f>IF($A597="","",IF($E597=0,"",IFERROR(_xlfn.MAXIFS(tblIssues[Next Scheduled],tblIssues[Staff ID],$A597),"")))</f>
        <v/>
      </c>
      <c r="J597" s="26" t="str">
        <f>IF($A597="","",COUNTIFS(tblIssues[Staff ID],$A597,tblIssues[Status],"Pending"))</f>
        <v/>
      </c>
    </row>
    <row r="598" spans="1:10" x14ac:dyDescent="0.35">
      <c r="A598" s="18" t="str">
        <f>IF('Staff Directory'!$A598="","",'Staff Directory'!$A598)</f>
        <v/>
      </c>
      <c r="B598" s="18" t="str">
        <f>IF($A598="","",'Staff Directory'!$B598)</f>
        <v/>
      </c>
      <c r="C598" s="19" t="str">
        <f>IF($A598="","",'Staff Directory'!$C598)</f>
        <v/>
      </c>
      <c r="D598" s="19" t="str">
        <f>IF($A598="","",'Staff Directory'!$D598)</f>
        <v/>
      </c>
      <c r="E598" s="26" t="str">
        <f>IF($A598="","",COUNTIFS(tblIssues[Staff ID],$A598))</f>
        <v/>
      </c>
      <c r="F598" s="26" t="str">
        <f>IF($A598="","",SUMIFS(tblIssues[Qty Issued],tblIssues[Staff ID],$A598))</f>
        <v/>
      </c>
      <c r="G598" s="21" t="str">
        <f>IF($A598="","",SUMIFS(tblIssues[Line Cost],tblIssues[Staff ID],$A598))</f>
        <v/>
      </c>
      <c r="H598" s="24" t="str">
        <f>IF($A598="","",IF($E598=0,"",IFERROR(_xlfn.MAXIFS(tblIssues[Order Date],tblIssues[Staff ID],$A598),"")))</f>
        <v/>
      </c>
      <c r="I598" s="24" t="str">
        <f>IF($A598="","",IF($E598=0,"",IFERROR(_xlfn.MAXIFS(tblIssues[Next Scheduled],tblIssues[Staff ID],$A598),"")))</f>
        <v/>
      </c>
      <c r="J598" s="26" t="str">
        <f>IF($A598="","",COUNTIFS(tblIssues[Staff ID],$A598,tblIssues[Status],"Pending"))</f>
        <v/>
      </c>
    </row>
    <row r="599" spans="1:10" x14ac:dyDescent="0.35">
      <c r="A599" s="18" t="str">
        <f>IF('Staff Directory'!$A599="","",'Staff Directory'!$A599)</f>
        <v/>
      </c>
      <c r="B599" s="18" t="str">
        <f>IF($A599="","",'Staff Directory'!$B599)</f>
        <v/>
      </c>
      <c r="C599" s="19" t="str">
        <f>IF($A599="","",'Staff Directory'!$C599)</f>
        <v/>
      </c>
      <c r="D599" s="19" t="str">
        <f>IF($A599="","",'Staff Directory'!$D599)</f>
        <v/>
      </c>
      <c r="E599" s="26" t="str">
        <f>IF($A599="","",COUNTIFS(tblIssues[Staff ID],$A599))</f>
        <v/>
      </c>
      <c r="F599" s="26" t="str">
        <f>IF($A599="","",SUMIFS(tblIssues[Qty Issued],tblIssues[Staff ID],$A599))</f>
        <v/>
      </c>
      <c r="G599" s="21" t="str">
        <f>IF($A599="","",SUMIFS(tblIssues[Line Cost],tblIssues[Staff ID],$A599))</f>
        <v/>
      </c>
      <c r="H599" s="24" t="str">
        <f>IF($A599="","",IF($E599=0,"",IFERROR(_xlfn.MAXIFS(tblIssues[Order Date],tblIssues[Staff ID],$A599),"")))</f>
        <v/>
      </c>
      <c r="I599" s="24" t="str">
        <f>IF($A599="","",IF($E599=0,"",IFERROR(_xlfn.MAXIFS(tblIssues[Next Scheduled],tblIssues[Staff ID],$A599),"")))</f>
        <v/>
      </c>
      <c r="J599" s="26" t="str">
        <f>IF($A599="","",COUNTIFS(tblIssues[Staff ID],$A599,tblIssues[Status],"Pending"))</f>
        <v/>
      </c>
    </row>
    <row r="600" spans="1:10" x14ac:dyDescent="0.35">
      <c r="A600" s="18" t="str">
        <f>IF('Staff Directory'!$A600="","",'Staff Directory'!$A600)</f>
        <v/>
      </c>
      <c r="B600" s="18" t="str">
        <f>IF($A600="","",'Staff Directory'!$B600)</f>
        <v/>
      </c>
      <c r="C600" s="19" t="str">
        <f>IF($A600="","",'Staff Directory'!$C600)</f>
        <v/>
      </c>
      <c r="D600" s="19" t="str">
        <f>IF($A600="","",'Staff Directory'!$D600)</f>
        <v/>
      </c>
      <c r="E600" s="26" t="str">
        <f>IF($A600="","",COUNTIFS(tblIssues[Staff ID],$A600))</f>
        <v/>
      </c>
      <c r="F600" s="26" t="str">
        <f>IF($A600="","",SUMIFS(tblIssues[Qty Issued],tblIssues[Staff ID],$A600))</f>
        <v/>
      </c>
      <c r="G600" s="21" t="str">
        <f>IF($A600="","",SUMIFS(tblIssues[Line Cost],tblIssues[Staff ID],$A600))</f>
        <v/>
      </c>
      <c r="H600" s="24" t="str">
        <f>IF($A600="","",IF($E600=0,"",IFERROR(_xlfn.MAXIFS(tblIssues[Order Date],tblIssues[Staff ID],$A600),"")))</f>
        <v/>
      </c>
      <c r="I600" s="24" t="str">
        <f>IF($A600="","",IF($E600=0,"",IFERROR(_xlfn.MAXIFS(tblIssues[Next Scheduled],tblIssues[Staff ID],$A600),"")))</f>
        <v/>
      </c>
      <c r="J600" s="26" t="str">
        <f>IF($A600="","",COUNTIFS(tblIssues[Staff ID],$A600,tblIssues[Status],"Pending"))</f>
        <v/>
      </c>
    </row>
  </sheetData>
  <autoFilter ref="A4:J600" xr:uid="{00000000-0009-0000-0000-00000C000000}"/>
  <mergeCells count="2">
    <mergeCell ref="A1:J1"/>
    <mergeCell ref="A2:J2"/>
  </mergeCells>
  <conditionalFormatting sqref="J5:J600">
    <cfRule type="cellIs" dxfId="0" priority="2" operator="greaterThan">
      <formula>0</formula>
    </cfRule>
  </conditionalFormatting>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B3A5C"/>
  </sheetPr>
  <dimension ref="A1:I24"/>
  <sheetViews>
    <sheetView showGridLines="0" zoomScaleNormal="100" workbookViewId="0">
      <pane ySplit="4" topLeftCell="A5" activePane="bottomLeft" state="frozen"/>
      <selection pane="bottomLeft" sqref="A1:I1"/>
    </sheetView>
  </sheetViews>
  <sheetFormatPr defaultColWidth="8.54296875" defaultRowHeight="14.5" x14ac:dyDescent="0.35"/>
  <cols>
    <col min="1" max="1" width="18" customWidth="1"/>
    <col min="2" max="3" width="13" customWidth="1"/>
    <col min="4" max="4" width="14" customWidth="1"/>
    <col min="5" max="5" width="15" customWidth="1"/>
    <col min="6" max="6" width="13" customWidth="1"/>
    <col min="7" max="7" width="14" customWidth="1"/>
    <col min="8" max="8" width="13" customWidth="1"/>
    <col min="9" max="9" width="15" customWidth="1"/>
  </cols>
  <sheetData>
    <row r="1" spans="1:9" ht="24" customHeight="1" x14ac:dyDescent="0.35">
      <c r="A1" s="117" t="s">
        <v>548</v>
      </c>
      <c r="B1" s="117"/>
      <c r="C1" s="117"/>
      <c r="D1" s="117"/>
      <c r="E1" s="117"/>
      <c r="F1" s="117"/>
      <c r="G1" s="117"/>
      <c r="H1" s="117"/>
      <c r="I1" s="117"/>
    </row>
    <row r="2" spans="1:9" ht="13.5" customHeight="1" x14ac:dyDescent="0.35">
      <c r="A2" s="118" t="s">
        <v>549</v>
      </c>
      <c r="B2" s="118"/>
      <c r="C2" s="118"/>
      <c r="D2" s="118"/>
      <c r="E2" s="118"/>
      <c r="F2" s="118"/>
      <c r="G2" s="118"/>
      <c r="H2" s="118"/>
      <c r="I2" s="118"/>
    </row>
    <row r="4" spans="1:9" ht="25.5" customHeight="1" x14ac:dyDescent="0.35">
      <c r="A4" s="3" t="s">
        <v>550</v>
      </c>
      <c r="B4" s="3" t="s">
        <v>551</v>
      </c>
      <c r="C4" s="3" t="s">
        <v>552</v>
      </c>
      <c r="D4" s="3" t="s">
        <v>553</v>
      </c>
      <c r="E4" s="3" t="s">
        <v>370</v>
      </c>
      <c r="F4" s="3" t="s">
        <v>554</v>
      </c>
      <c r="G4" s="3" t="s">
        <v>555</v>
      </c>
      <c r="H4" s="3" t="s">
        <v>556</v>
      </c>
      <c r="I4" s="3" t="s">
        <v>557</v>
      </c>
    </row>
    <row r="5" spans="1:9" x14ac:dyDescent="0.35">
      <c r="A5" s="18" t="str">
        <f>TEXT(EDATE(Settings!$C$8,0),"mmm yyyy")</f>
        <v>Apr 2026</v>
      </c>
      <c r="B5" s="24">
        <f>EDATE(Settings!$C$8,0)</f>
        <v>46113</v>
      </c>
      <c r="C5" s="24">
        <f t="shared" ref="C5:C16" si="0">EOMONTH($B5,0)</f>
        <v>46142</v>
      </c>
      <c r="D5" s="26">
        <f>SUMIFS(tblReceipts[Qty Received],tblReceipts[Date Received],"&gt;="&amp;$B5,tblReceipts[Date Received],"&lt;="&amp;$C5)</f>
        <v>398873</v>
      </c>
      <c r="E5" s="21">
        <f>SUMIFS(tblReceipts[Received Value],tblReceipts[Date Received],"&gt;="&amp;$B5,tblReceipts[Date Received],"&lt;="&amp;$C5)</f>
        <v>154158.26800000001</v>
      </c>
      <c r="F5" s="26">
        <f>SUMIFS(tblIssues[Qty Issued],tblIssues[Order Date],"&gt;="&amp;$B5,tblIssues[Order Date],"&lt;="&amp;$C5)</f>
        <v>60974</v>
      </c>
      <c r="G5" s="21">
        <f>SUMIFS(tblIssues[Line Cost],tblIssues[Order Date],"&gt;="&amp;$B5,tblIssues[Order Date],"&lt;="&amp;$C5)</f>
        <v>5271.9337000000087</v>
      </c>
      <c r="H5" s="26">
        <f t="shared" ref="H5:H16" si="1">$D5-$F5</f>
        <v>337899</v>
      </c>
      <c r="I5" s="21">
        <f t="shared" ref="I5:I16" si="2">$E5-$G5</f>
        <v>148886.33429999999</v>
      </c>
    </row>
    <row r="6" spans="1:9" x14ac:dyDescent="0.35">
      <c r="A6" s="18" t="str">
        <f>TEXT(EDATE(Settings!$C$8,1),"mmm yyyy")</f>
        <v>May 2026</v>
      </c>
      <c r="B6" s="24">
        <f>EDATE(Settings!$C$8,1)</f>
        <v>46143</v>
      </c>
      <c r="C6" s="24">
        <f t="shared" si="0"/>
        <v>46173</v>
      </c>
      <c r="D6" s="26">
        <f>SUMIFS(tblReceipts[Qty Received],tblReceipts[Date Received],"&gt;="&amp;$B6,tblReceipts[Date Received],"&lt;="&amp;$C6)</f>
        <v>45945</v>
      </c>
      <c r="E6" s="21">
        <f>SUMIFS(tblReceipts[Received Value],tblReceipts[Date Received],"&gt;="&amp;$B6,tblReceipts[Date Received],"&lt;="&amp;$C6)</f>
        <v>3181.2619999999997</v>
      </c>
      <c r="F6" s="26">
        <f>SUMIFS(tblIssues[Qty Issued],tblIssues[Order Date],"&gt;="&amp;$B6,tblIssues[Order Date],"&lt;="&amp;$C6)</f>
        <v>64853</v>
      </c>
      <c r="G6" s="21">
        <f>SUMIFS(tblIssues[Line Cost],tblIssues[Order Date],"&gt;="&amp;$B6,tblIssues[Order Date],"&lt;="&amp;$C6)</f>
        <v>6031.196900000009</v>
      </c>
      <c r="H6" s="26">
        <f t="shared" si="1"/>
        <v>-18908</v>
      </c>
      <c r="I6" s="21">
        <f t="shared" si="2"/>
        <v>-2849.9349000000093</v>
      </c>
    </row>
    <row r="7" spans="1:9" x14ac:dyDescent="0.35">
      <c r="A7" s="18" t="str">
        <f>TEXT(EDATE(Settings!$C$8,2),"mmm yyyy")</f>
        <v>Jun 2026</v>
      </c>
      <c r="B7" s="24">
        <f>EDATE(Settings!$C$8,2)</f>
        <v>46174</v>
      </c>
      <c r="C7" s="24">
        <f t="shared" si="0"/>
        <v>46203</v>
      </c>
      <c r="D7" s="26">
        <f>SUMIFS(tblReceipts[Qty Received],tblReceipts[Date Received],"&gt;="&amp;$B7,tblReceipts[Date Received],"&lt;="&amp;$C7)</f>
        <v>75192</v>
      </c>
      <c r="E7" s="21">
        <f>SUMIFS(tblReceipts[Received Value],tblReceipts[Date Received],"&gt;="&amp;$B7,tblReceipts[Date Received],"&lt;="&amp;$C7)</f>
        <v>4611.0072</v>
      </c>
      <c r="F7" s="26">
        <f>SUMIFS(tblIssues[Qty Issued],tblIssues[Order Date],"&gt;="&amp;$B7,tblIssues[Order Date],"&lt;="&amp;$C7)</f>
        <v>75939</v>
      </c>
      <c r="G7" s="21">
        <f>SUMIFS(tblIssues[Line Cost],tblIssues[Order Date],"&gt;="&amp;$B7,tblIssues[Order Date],"&lt;="&amp;$C7)</f>
        <v>12143.928099999952</v>
      </c>
      <c r="H7" s="26">
        <f t="shared" si="1"/>
        <v>-747</v>
      </c>
      <c r="I7" s="21">
        <f t="shared" si="2"/>
        <v>-7532.9208999999519</v>
      </c>
    </row>
    <row r="8" spans="1:9" x14ac:dyDescent="0.35">
      <c r="A8" s="18" t="str">
        <f>TEXT(EDATE(Settings!$C$8,3),"mmm yyyy")</f>
        <v>Jul 2026</v>
      </c>
      <c r="B8" s="24">
        <f>EDATE(Settings!$C$8,3)</f>
        <v>46204</v>
      </c>
      <c r="C8" s="24">
        <f t="shared" si="0"/>
        <v>46234</v>
      </c>
      <c r="D8" s="26">
        <f>SUMIFS(tblReceipts[Qty Received],tblReceipts[Date Received],"&gt;="&amp;$B8,tblReceipts[Date Received],"&lt;="&amp;$C8)</f>
        <v>63544</v>
      </c>
      <c r="E8" s="21">
        <f>SUMIFS(tblReceipts[Received Value],tblReceipts[Date Received],"&gt;="&amp;$B8,tblReceipts[Date Received],"&lt;="&amp;$C8)</f>
        <v>4390.0072</v>
      </c>
      <c r="F8" s="26">
        <f>SUMIFS(tblIssues[Qty Issued],tblIssues[Order Date],"&gt;="&amp;$B8,tblIssues[Order Date],"&lt;="&amp;$C8)</f>
        <v>73058</v>
      </c>
      <c r="G8" s="21">
        <f>SUMIFS(tblIssues[Line Cost],tblIssues[Order Date],"&gt;="&amp;$B8,tblIssues[Order Date],"&lt;="&amp;$C8)</f>
        <v>11059.65759999996</v>
      </c>
      <c r="H8" s="26">
        <f t="shared" si="1"/>
        <v>-9514</v>
      </c>
      <c r="I8" s="21">
        <f t="shared" si="2"/>
        <v>-6669.6503999999604</v>
      </c>
    </row>
    <row r="9" spans="1:9" x14ac:dyDescent="0.35">
      <c r="A9" s="18" t="str">
        <f>TEXT(EDATE(Settings!$C$8,4),"mmm yyyy")</f>
        <v>Aug 2026</v>
      </c>
      <c r="B9" s="24">
        <f>EDATE(Settings!$C$8,4)</f>
        <v>46235</v>
      </c>
      <c r="C9" s="24">
        <f t="shared" si="0"/>
        <v>46265</v>
      </c>
      <c r="D9" s="26">
        <f>SUMIFS(tblReceipts[Qty Received],tblReceipts[Date Received],"&gt;="&amp;$B9,tblReceipts[Date Received],"&lt;="&amp;$C9)</f>
        <v>0</v>
      </c>
      <c r="E9" s="21">
        <f>SUMIFS(tblReceipts[Received Value],tblReceipts[Date Received],"&gt;="&amp;$B9,tblReceipts[Date Received],"&lt;="&amp;$C9)</f>
        <v>0</v>
      </c>
      <c r="F9" s="26">
        <f>SUMIFS(tblIssues[Qty Issued],tblIssues[Order Date],"&gt;="&amp;$B9,tblIssues[Order Date],"&lt;="&amp;$C9)</f>
        <v>1186</v>
      </c>
      <c r="G9" s="21">
        <f>SUMIFS(tblIssues[Line Cost],tblIssues[Order Date],"&gt;="&amp;$B9,tblIssues[Order Date],"&lt;="&amp;$C9)</f>
        <v>94.480200000000011</v>
      </c>
      <c r="H9" s="26">
        <f t="shared" si="1"/>
        <v>-1186</v>
      </c>
      <c r="I9" s="21">
        <f t="shared" si="2"/>
        <v>-94.480200000000011</v>
      </c>
    </row>
    <row r="10" spans="1:9" x14ac:dyDescent="0.35">
      <c r="A10" s="18" t="str">
        <f>TEXT(EDATE(Settings!$C$8,5),"mmm yyyy")</f>
        <v>Sep 2026</v>
      </c>
      <c r="B10" s="24">
        <f>EDATE(Settings!$C$8,5)</f>
        <v>46266</v>
      </c>
      <c r="C10" s="24">
        <f t="shared" si="0"/>
        <v>46295</v>
      </c>
      <c r="D10" s="26">
        <f>SUMIFS(tblReceipts[Qty Received],tblReceipts[Date Received],"&gt;="&amp;$B10,tblReceipts[Date Received],"&lt;="&amp;$C10)</f>
        <v>0</v>
      </c>
      <c r="E10" s="21">
        <f>SUMIFS(tblReceipts[Received Value],tblReceipts[Date Received],"&gt;="&amp;$B10,tblReceipts[Date Received],"&lt;="&amp;$C10)</f>
        <v>0</v>
      </c>
      <c r="F10" s="26">
        <f>SUMIFS(tblIssues[Qty Issued],tblIssues[Order Date],"&gt;="&amp;$B10,tblIssues[Order Date],"&lt;="&amp;$C10)</f>
        <v>0</v>
      </c>
      <c r="G10" s="21">
        <f>SUMIFS(tblIssues[Line Cost],tblIssues[Order Date],"&gt;="&amp;$B10,tblIssues[Order Date],"&lt;="&amp;$C10)</f>
        <v>0</v>
      </c>
      <c r="H10" s="26">
        <f t="shared" si="1"/>
        <v>0</v>
      </c>
      <c r="I10" s="21">
        <f t="shared" si="2"/>
        <v>0</v>
      </c>
    </row>
    <row r="11" spans="1:9" x14ac:dyDescent="0.35">
      <c r="A11" s="18" t="str">
        <f>TEXT(EDATE(Settings!$C$8,6),"mmm yyyy")</f>
        <v>Oct 2026</v>
      </c>
      <c r="B11" s="24">
        <f>EDATE(Settings!$C$8,6)</f>
        <v>46296</v>
      </c>
      <c r="C11" s="24">
        <f t="shared" si="0"/>
        <v>46326</v>
      </c>
      <c r="D11" s="26">
        <f>SUMIFS(tblReceipts[Qty Received],tblReceipts[Date Received],"&gt;="&amp;$B11,tblReceipts[Date Received],"&lt;="&amp;$C11)</f>
        <v>0</v>
      </c>
      <c r="E11" s="21">
        <f>SUMIFS(tblReceipts[Received Value],tblReceipts[Date Received],"&gt;="&amp;$B11,tblReceipts[Date Received],"&lt;="&amp;$C11)</f>
        <v>0</v>
      </c>
      <c r="F11" s="26">
        <f>SUMIFS(tblIssues[Qty Issued],tblIssues[Order Date],"&gt;="&amp;$B11,tblIssues[Order Date],"&lt;="&amp;$C11)</f>
        <v>0</v>
      </c>
      <c r="G11" s="21">
        <f>SUMIFS(tblIssues[Line Cost],tblIssues[Order Date],"&gt;="&amp;$B11,tblIssues[Order Date],"&lt;="&amp;$C11)</f>
        <v>0</v>
      </c>
      <c r="H11" s="26">
        <f t="shared" si="1"/>
        <v>0</v>
      </c>
      <c r="I11" s="21">
        <f t="shared" si="2"/>
        <v>0</v>
      </c>
    </row>
    <row r="12" spans="1:9" x14ac:dyDescent="0.35">
      <c r="A12" s="18" t="str">
        <f>TEXT(EDATE(Settings!$C$8,7),"mmm yyyy")</f>
        <v>Nov 2026</v>
      </c>
      <c r="B12" s="24">
        <f>EDATE(Settings!$C$8,7)</f>
        <v>46327</v>
      </c>
      <c r="C12" s="24">
        <f t="shared" si="0"/>
        <v>46356</v>
      </c>
      <c r="D12" s="26">
        <f>SUMIFS(tblReceipts[Qty Received],tblReceipts[Date Received],"&gt;="&amp;$B12,tblReceipts[Date Received],"&lt;="&amp;$C12)</f>
        <v>0</v>
      </c>
      <c r="E12" s="21">
        <f>SUMIFS(tblReceipts[Received Value],tblReceipts[Date Received],"&gt;="&amp;$B12,tblReceipts[Date Received],"&lt;="&amp;$C12)</f>
        <v>0</v>
      </c>
      <c r="F12" s="26">
        <f>SUMIFS(tblIssues[Qty Issued],tblIssues[Order Date],"&gt;="&amp;$B12,tblIssues[Order Date],"&lt;="&amp;$C12)</f>
        <v>0</v>
      </c>
      <c r="G12" s="21">
        <f>SUMIFS(tblIssues[Line Cost],tblIssues[Order Date],"&gt;="&amp;$B12,tblIssues[Order Date],"&lt;="&amp;$C12)</f>
        <v>0</v>
      </c>
      <c r="H12" s="26">
        <f t="shared" si="1"/>
        <v>0</v>
      </c>
      <c r="I12" s="21">
        <f t="shared" si="2"/>
        <v>0</v>
      </c>
    </row>
    <row r="13" spans="1:9" x14ac:dyDescent="0.35">
      <c r="A13" s="18" t="str">
        <f>TEXT(EDATE(Settings!$C$8,8),"mmm yyyy")</f>
        <v>Dec 2026</v>
      </c>
      <c r="B13" s="24">
        <f>EDATE(Settings!$C$8,8)</f>
        <v>46357</v>
      </c>
      <c r="C13" s="24">
        <f t="shared" si="0"/>
        <v>46387</v>
      </c>
      <c r="D13" s="26">
        <f>SUMIFS(tblReceipts[Qty Received],tblReceipts[Date Received],"&gt;="&amp;$B13,tblReceipts[Date Received],"&lt;="&amp;$C13)</f>
        <v>0</v>
      </c>
      <c r="E13" s="21">
        <f>SUMIFS(tblReceipts[Received Value],tblReceipts[Date Received],"&gt;="&amp;$B13,tblReceipts[Date Received],"&lt;="&amp;$C13)</f>
        <v>0</v>
      </c>
      <c r="F13" s="26">
        <f>SUMIFS(tblIssues[Qty Issued],tblIssues[Order Date],"&gt;="&amp;$B13,tblIssues[Order Date],"&lt;="&amp;$C13)</f>
        <v>0</v>
      </c>
      <c r="G13" s="21">
        <f>SUMIFS(tblIssues[Line Cost],tblIssues[Order Date],"&gt;="&amp;$B13,tblIssues[Order Date],"&lt;="&amp;$C13)</f>
        <v>0</v>
      </c>
      <c r="H13" s="26">
        <f t="shared" si="1"/>
        <v>0</v>
      </c>
      <c r="I13" s="21">
        <f t="shared" si="2"/>
        <v>0</v>
      </c>
    </row>
    <row r="14" spans="1:9" x14ac:dyDescent="0.35">
      <c r="A14" s="18" t="str">
        <f>TEXT(EDATE(Settings!$C$8,9),"mmm yyyy")</f>
        <v>Jan 2027</v>
      </c>
      <c r="B14" s="24">
        <f>EDATE(Settings!$C$8,9)</f>
        <v>46388</v>
      </c>
      <c r="C14" s="24">
        <f t="shared" si="0"/>
        <v>46418</v>
      </c>
      <c r="D14" s="26">
        <f>SUMIFS(tblReceipts[Qty Received],tblReceipts[Date Received],"&gt;="&amp;$B14,tblReceipts[Date Received],"&lt;="&amp;$C14)</f>
        <v>0</v>
      </c>
      <c r="E14" s="21">
        <f>SUMIFS(tblReceipts[Received Value],tblReceipts[Date Received],"&gt;="&amp;$B14,tblReceipts[Date Received],"&lt;="&amp;$C14)</f>
        <v>0</v>
      </c>
      <c r="F14" s="26">
        <f>SUMIFS(tblIssues[Qty Issued],tblIssues[Order Date],"&gt;="&amp;$B14,tblIssues[Order Date],"&lt;="&amp;$C14)</f>
        <v>0</v>
      </c>
      <c r="G14" s="21">
        <f>SUMIFS(tblIssues[Line Cost],tblIssues[Order Date],"&gt;="&amp;$B14,tblIssues[Order Date],"&lt;="&amp;$C14)</f>
        <v>0</v>
      </c>
      <c r="H14" s="26">
        <f t="shared" si="1"/>
        <v>0</v>
      </c>
      <c r="I14" s="21">
        <f t="shared" si="2"/>
        <v>0</v>
      </c>
    </row>
    <row r="15" spans="1:9" x14ac:dyDescent="0.35">
      <c r="A15" s="18" t="str">
        <f>TEXT(EDATE(Settings!$C$8,10),"mmm yyyy")</f>
        <v>Feb 2027</v>
      </c>
      <c r="B15" s="24">
        <f>EDATE(Settings!$C$8,10)</f>
        <v>46419</v>
      </c>
      <c r="C15" s="24">
        <f t="shared" si="0"/>
        <v>46446</v>
      </c>
      <c r="D15" s="26">
        <f>SUMIFS(tblReceipts[Qty Received],tblReceipts[Date Received],"&gt;="&amp;$B15,tblReceipts[Date Received],"&lt;="&amp;$C15)</f>
        <v>0</v>
      </c>
      <c r="E15" s="21">
        <f>SUMIFS(tblReceipts[Received Value],tblReceipts[Date Received],"&gt;="&amp;$B15,tblReceipts[Date Received],"&lt;="&amp;$C15)</f>
        <v>0</v>
      </c>
      <c r="F15" s="26">
        <f>SUMIFS(tblIssues[Qty Issued],tblIssues[Order Date],"&gt;="&amp;$B15,tblIssues[Order Date],"&lt;="&amp;$C15)</f>
        <v>0</v>
      </c>
      <c r="G15" s="21">
        <f>SUMIFS(tblIssues[Line Cost],tblIssues[Order Date],"&gt;="&amp;$B15,tblIssues[Order Date],"&lt;="&amp;$C15)</f>
        <v>0</v>
      </c>
      <c r="H15" s="26">
        <f t="shared" si="1"/>
        <v>0</v>
      </c>
      <c r="I15" s="21">
        <f t="shared" si="2"/>
        <v>0</v>
      </c>
    </row>
    <row r="16" spans="1:9" x14ac:dyDescent="0.35">
      <c r="A16" s="18" t="str">
        <f>TEXT(EDATE(Settings!$C$8,11),"mmm yyyy")</f>
        <v>Mar 2027</v>
      </c>
      <c r="B16" s="24">
        <f>EDATE(Settings!$C$8,11)</f>
        <v>46447</v>
      </c>
      <c r="C16" s="24">
        <f t="shared" si="0"/>
        <v>46477</v>
      </c>
      <c r="D16" s="26">
        <f>SUMIFS(tblReceipts[Qty Received],tblReceipts[Date Received],"&gt;="&amp;$B16,tblReceipts[Date Received],"&lt;="&amp;$C16)</f>
        <v>0</v>
      </c>
      <c r="E16" s="21">
        <f>SUMIFS(tblReceipts[Received Value],tblReceipts[Date Received],"&gt;="&amp;$B16,tblReceipts[Date Received],"&lt;="&amp;$C16)</f>
        <v>0</v>
      </c>
      <c r="F16" s="26">
        <f>SUMIFS(tblIssues[Qty Issued],tblIssues[Order Date],"&gt;="&amp;$B16,tblIssues[Order Date],"&lt;="&amp;$C16)</f>
        <v>0</v>
      </c>
      <c r="G16" s="21">
        <f>SUMIFS(tblIssues[Line Cost],tblIssues[Order Date],"&gt;="&amp;$B16,tblIssues[Order Date],"&lt;="&amp;$C16)</f>
        <v>0</v>
      </c>
      <c r="H16" s="26">
        <f t="shared" si="1"/>
        <v>0</v>
      </c>
      <c r="I16" s="21">
        <f t="shared" si="2"/>
        <v>0</v>
      </c>
    </row>
    <row r="18" spans="1:9" x14ac:dyDescent="0.35">
      <c r="A18" s="34" t="s">
        <v>558</v>
      </c>
      <c r="B18" s="35"/>
      <c r="C18" s="35"/>
      <c r="D18" s="35"/>
      <c r="E18" s="35"/>
      <c r="F18" s="35"/>
      <c r="G18" s="35"/>
      <c r="H18" s="35"/>
      <c r="I18" s="35"/>
    </row>
    <row r="19" spans="1:9" x14ac:dyDescent="0.35">
      <c r="A19" s="36" t="str">
        <f>"Q"&amp;1&amp;" FY"&amp;TEXT(Settings!$C$8,"yy")&amp;"-"&amp;TEXT(EDATE(Settings!$C$8,11),"yy")</f>
        <v>Q1 FY26-27</v>
      </c>
      <c r="B19" s="24">
        <f>$B5</f>
        <v>46113</v>
      </c>
      <c r="C19" s="24">
        <f>$C7</f>
        <v>46203</v>
      </c>
      <c r="D19" s="27">
        <f>SUM($D5:$D7)</f>
        <v>520010</v>
      </c>
      <c r="E19" s="32">
        <f>SUM($E5:$E7)</f>
        <v>161950.53719999999</v>
      </c>
      <c r="F19" s="27">
        <f>SUM($F5:$F7)</f>
        <v>201766</v>
      </c>
      <c r="G19" s="32">
        <f>SUM($G5:$G7)</f>
        <v>23447.058699999972</v>
      </c>
      <c r="H19" s="27">
        <f>SUM($H5:$H7)</f>
        <v>318244</v>
      </c>
      <c r="I19" s="32">
        <f>SUM($I5:$I7)</f>
        <v>138503.47850000003</v>
      </c>
    </row>
    <row r="20" spans="1:9" x14ac:dyDescent="0.35">
      <c r="A20" s="36" t="str">
        <f>"Q"&amp;2&amp;" FY"&amp;TEXT(Settings!$C$8,"yy")&amp;"-"&amp;TEXT(EDATE(Settings!$C$8,11),"yy")</f>
        <v>Q2 FY26-27</v>
      </c>
      <c r="B20" s="24">
        <f>$B8</f>
        <v>46204</v>
      </c>
      <c r="C20" s="24">
        <f>$C10</f>
        <v>46295</v>
      </c>
      <c r="D20" s="27">
        <f>SUM($D8:$D10)</f>
        <v>63544</v>
      </c>
      <c r="E20" s="32">
        <f>SUM($E8:$E10)</f>
        <v>4390.0072</v>
      </c>
      <c r="F20" s="27">
        <f>SUM($F8:$F10)</f>
        <v>74244</v>
      </c>
      <c r="G20" s="32">
        <f>SUM($G8:$G10)</f>
        <v>11154.13779999996</v>
      </c>
      <c r="H20" s="27">
        <f>SUM($H8:$H10)</f>
        <v>-10700</v>
      </c>
      <c r="I20" s="32">
        <f>SUM($I8:$I10)</f>
        <v>-6764.1305999999604</v>
      </c>
    </row>
    <row r="21" spans="1:9" x14ac:dyDescent="0.35">
      <c r="A21" s="36" t="str">
        <f>"Q"&amp;3&amp;" FY"&amp;TEXT(Settings!$C$8,"yy")&amp;"-"&amp;TEXT(EDATE(Settings!$C$8,11),"yy")</f>
        <v>Q3 FY26-27</v>
      </c>
      <c r="B21" s="24">
        <f>$B11</f>
        <v>46296</v>
      </c>
      <c r="C21" s="24">
        <f>$C13</f>
        <v>46387</v>
      </c>
      <c r="D21" s="27">
        <f>SUM($D11:$D13)</f>
        <v>0</v>
      </c>
      <c r="E21" s="32">
        <f>SUM($E11:$E13)</f>
        <v>0</v>
      </c>
      <c r="F21" s="27">
        <f>SUM($F11:$F13)</f>
        <v>0</v>
      </c>
      <c r="G21" s="32">
        <f>SUM($G11:$G13)</f>
        <v>0</v>
      </c>
      <c r="H21" s="27">
        <f>SUM($H11:$H13)</f>
        <v>0</v>
      </c>
      <c r="I21" s="32">
        <f>SUM($I11:$I13)</f>
        <v>0</v>
      </c>
    </row>
    <row r="22" spans="1:9" x14ac:dyDescent="0.35">
      <c r="A22" s="36" t="str">
        <f>"Q"&amp;4&amp;" FY"&amp;TEXT(Settings!$C$8,"yy")&amp;"-"&amp;TEXT(EDATE(Settings!$C$8,11),"yy")</f>
        <v>Q4 FY26-27</v>
      </c>
      <c r="B22" s="24">
        <f>$B14</f>
        <v>46388</v>
      </c>
      <c r="C22" s="24">
        <f>$C16</f>
        <v>46477</v>
      </c>
      <c r="D22" s="27">
        <f>SUM($D14:$D16)</f>
        <v>0</v>
      </c>
      <c r="E22" s="32">
        <f>SUM($E14:$E16)</f>
        <v>0</v>
      </c>
      <c r="F22" s="27">
        <f>SUM($F14:$F16)</f>
        <v>0</v>
      </c>
      <c r="G22" s="32">
        <f>SUM($G14:$G16)</f>
        <v>0</v>
      </c>
      <c r="H22" s="27">
        <f>SUM($H14:$H16)</f>
        <v>0</v>
      </c>
      <c r="I22" s="32">
        <f>SUM($I14:$I16)</f>
        <v>0</v>
      </c>
    </row>
    <row r="24" spans="1:9" x14ac:dyDescent="0.35">
      <c r="A24" s="37" t="str">
        <f>"FISCAL YEAR "&amp;TEXT(Settings!$C$8,"yyyy")&amp;"-"&amp;TEXT(EDATE(Settings!$C$8,11),"yy")&amp;" TOTAL"</f>
        <v>FISCAL YEAR 2026-27 TOTAL</v>
      </c>
      <c r="B24" s="24">
        <f>$B5</f>
        <v>46113</v>
      </c>
      <c r="C24" s="24">
        <f>$C16</f>
        <v>46477</v>
      </c>
      <c r="D24" s="38">
        <f>SUM($D5:$D16)</f>
        <v>583554</v>
      </c>
      <c r="E24" s="39">
        <f>SUM($E5:$E16)</f>
        <v>166340.54439999998</v>
      </c>
      <c r="F24" s="38">
        <f>SUM($F5:$F16)</f>
        <v>276010</v>
      </c>
      <c r="G24" s="39">
        <f>SUM($G5:$G16)</f>
        <v>34601.196499999933</v>
      </c>
      <c r="H24" s="38">
        <f>SUM($H5:$H16)</f>
        <v>307544</v>
      </c>
      <c r="I24" s="39">
        <f>SUM($I5:$I16)</f>
        <v>131739.34790000008</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B3A5C"/>
  </sheetPr>
  <dimension ref="A1:I32"/>
  <sheetViews>
    <sheetView showGridLines="0" zoomScaleNormal="100" workbookViewId="0">
      <pane ySplit="20" topLeftCell="A21" activePane="bottomLeft" state="frozen"/>
      <selection pane="bottomLeft"/>
    </sheetView>
  </sheetViews>
  <sheetFormatPr defaultColWidth="8.54296875" defaultRowHeight="14.5" x14ac:dyDescent="0.35"/>
  <cols>
    <col min="1" max="1" width="3" customWidth="1"/>
    <col min="2" max="2" width="34" customWidth="1"/>
    <col min="3" max="3" width="16" customWidth="1"/>
    <col min="4" max="4" width="4" customWidth="1"/>
    <col min="5" max="5" width="34" customWidth="1"/>
    <col min="6" max="6" width="16" customWidth="1"/>
    <col min="7" max="7" width="4" customWidth="1"/>
    <col min="8" max="8" width="40" customWidth="1"/>
    <col min="9" max="9" width="16" customWidth="1"/>
  </cols>
  <sheetData>
    <row r="1" spans="1:9" ht="24" customHeight="1" x14ac:dyDescent="0.35">
      <c r="A1" s="117" t="s">
        <v>559</v>
      </c>
      <c r="B1" s="117"/>
      <c r="C1" s="117"/>
      <c r="D1" s="117"/>
      <c r="E1" s="117"/>
      <c r="F1" s="117"/>
      <c r="G1" s="117"/>
      <c r="H1" s="117"/>
      <c r="I1" s="117"/>
    </row>
    <row r="2" spans="1:9" ht="13.5" customHeight="1" x14ac:dyDescent="0.35">
      <c r="A2" s="118" t="s">
        <v>560</v>
      </c>
      <c r="B2" s="118"/>
      <c r="C2" s="118"/>
      <c r="D2" s="118"/>
      <c r="E2" s="118"/>
      <c r="F2" s="118"/>
      <c r="G2" s="118"/>
      <c r="H2" s="118"/>
      <c r="I2" s="118"/>
    </row>
    <row r="4" spans="1:9" ht="18.75" customHeight="1" x14ac:dyDescent="0.35">
      <c r="B4" s="122" t="s">
        <v>561</v>
      </c>
      <c r="C4" s="122"/>
      <c r="E4" s="122" t="s">
        <v>562</v>
      </c>
      <c r="F4" s="122"/>
      <c r="H4" s="122" t="s">
        <v>563</v>
      </c>
      <c r="I4" s="122"/>
    </row>
    <row r="5" spans="1:9" x14ac:dyDescent="0.35">
      <c r="B5" s="40" t="s">
        <v>564</v>
      </c>
      <c r="C5" s="41">
        <f>COUNTA('Item Balance'!$A$5:$A$600)-COUNTBLANK('Item Balance'!$A$5:$A$600)</f>
        <v>127</v>
      </c>
      <c r="E5" s="40" t="s">
        <v>565</v>
      </c>
      <c r="F5" s="41">
        <f>COUNTIF('Item Balance'!$P$5:$P$600,"OUT OF STOCK")</f>
        <v>72</v>
      </c>
      <c r="H5" s="40" t="s">
        <v>566</v>
      </c>
      <c r="I5" s="41">
        <f>COUNTA(tblReceipts[Item Name])</f>
        <v>188</v>
      </c>
    </row>
    <row r="6" spans="1:9" x14ac:dyDescent="0.35">
      <c r="B6" s="40" t="s">
        <v>567</v>
      </c>
      <c r="C6" s="41">
        <f>COUNTIF('Item Balance'!$I$5:$I$600,"&gt;0")</f>
        <v>33</v>
      </c>
      <c r="E6" s="40" t="s">
        <v>568</v>
      </c>
      <c r="F6" s="41">
        <f>COUNTIF('Item Balance'!$P$5:$P$600,"LOW")</f>
        <v>6</v>
      </c>
      <c r="H6" s="40" t="s">
        <v>569</v>
      </c>
      <c r="I6" s="41">
        <f>COUNTA(tblIssues[Item Name])</f>
        <v>1931</v>
      </c>
    </row>
    <row r="7" spans="1:9" x14ac:dyDescent="0.35">
      <c r="B7" s="40" t="s">
        <v>570</v>
      </c>
      <c r="C7" s="41">
        <f>SUM('Item Balance'!$I$5:$I$600)</f>
        <v>307544</v>
      </c>
      <c r="E7" s="40" t="s">
        <v>571</v>
      </c>
      <c r="F7" s="41">
        <f>COUNTIF('Item Balance'!$P$5:$P$600,"WATCH")</f>
        <v>0</v>
      </c>
      <c r="H7" s="40" t="s">
        <v>572</v>
      </c>
      <c r="I7" s="41">
        <f>'Monthly Summary'!$D$24</f>
        <v>583554</v>
      </c>
    </row>
    <row r="8" spans="1:9" x14ac:dyDescent="0.35">
      <c r="B8" s="40" t="s">
        <v>573</v>
      </c>
      <c r="C8" s="42">
        <f>SUM('Item Balance'!$J$5:$J$600)</f>
        <v>131739.34790000002</v>
      </c>
      <c r="E8" s="40" t="s">
        <v>574</v>
      </c>
      <c r="F8" s="41">
        <f ca="1">COUNTIFS(tblLotBalance[Status],"EXPIRED",tblLotBalance[Lot Balance],"&gt;0")</f>
        <v>9</v>
      </c>
      <c r="H8" s="40" t="s">
        <v>575</v>
      </c>
      <c r="I8" s="41">
        <f>'Monthly Summary'!$F$24</f>
        <v>276010</v>
      </c>
    </row>
    <row r="9" spans="1:9" x14ac:dyDescent="0.35">
      <c r="B9" s="40" t="s">
        <v>576</v>
      </c>
      <c r="C9" s="41">
        <f>COUNTA(tblLotBalance[Item Name])-COUNTBLANK(tblLotBalance[Item Name])</f>
        <v>185</v>
      </c>
      <c r="E9" s="40" t="s">
        <v>577</v>
      </c>
      <c r="F9" s="41">
        <f ca="1">COUNTIFS(tblLotBalance[Status],"CRITICAL",tblLotBalance[Lot Balance],"&gt;0")</f>
        <v>2</v>
      </c>
      <c r="H9" s="40" t="s">
        <v>578</v>
      </c>
      <c r="I9" s="42">
        <f>'Monthly Summary'!$E$24</f>
        <v>166340.54439999998</v>
      </c>
    </row>
    <row r="10" spans="1:9" x14ac:dyDescent="0.35">
      <c r="B10" s="40" t="s">
        <v>579</v>
      </c>
      <c r="C10" s="41">
        <f>COUNTIF(tblLotBalance[Lot Balance],"&gt;0")</f>
        <v>47</v>
      </c>
      <c r="E10" s="40" t="s">
        <v>580</v>
      </c>
      <c r="F10" s="41">
        <f>COUNTIF('Item Balance'!$P$5:$P$600,"Set threshold")</f>
        <v>0</v>
      </c>
      <c r="H10" s="40" t="s">
        <v>581</v>
      </c>
      <c r="I10" s="42">
        <f>'Monthly Summary'!$G$24</f>
        <v>34601.196499999933</v>
      </c>
    </row>
    <row r="12" spans="1:9" ht="18.75" customHeight="1" x14ac:dyDescent="0.35">
      <c r="B12" s="122" t="s">
        <v>582</v>
      </c>
      <c r="C12" s="122"/>
      <c r="E12" s="122" t="s">
        <v>583</v>
      </c>
      <c r="F12" s="122"/>
    </row>
    <row r="13" spans="1:9" x14ac:dyDescent="0.35">
      <c r="B13" s="40" t="s">
        <v>584</v>
      </c>
      <c r="C13" s="42">
        <f ca="1">SUMIFS(tblLotBalance[Balance Value],tblLotBalance[Status],"EXPIRED")+SUMIFS(tblLotBalance[Balance Value],tblLotBalance[Status],"CRITICAL")+SUMIFS(tblLotBalance[Balance Value],tblLotBalance[Status],"Expiring")</f>
        <v>121005</v>
      </c>
      <c r="E13" s="40" t="s">
        <v>585</v>
      </c>
      <c r="F13" s="41">
        <f>COUNTIF('Item Balance'!$I$5:$I$600,"&lt;0")</f>
        <v>22</v>
      </c>
    </row>
    <row r="14" spans="1:9" x14ac:dyDescent="0.35">
      <c r="B14" s="40" t="s">
        <v>586</v>
      </c>
      <c r="C14" s="41">
        <f>COUNTIF(tblIssues[Status],"Pending")</f>
        <v>19</v>
      </c>
      <c r="E14" s="40" t="s">
        <v>587</v>
      </c>
      <c r="F14" s="41" cm="1">
        <f t="array" ref="F14">SUMPRODUCT((tblReceipts[Item Name]&lt;&gt;"")*(COUNTIF(Items!$A$5:$A$597,tblReceipts[Item Name])=0))</f>
        <v>0</v>
      </c>
    </row>
    <row r="15" spans="1:9" x14ac:dyDescent="0.35">
      <c r="B15" s="40" t="s">
        <v>588</v>
      </c>
      <c r="C15" s="41">
        <f>COUNTIF('Lot Balance'!$N$5:$N$1000,"&lt;&gt;0")-COUNTBLANK('Lot Balance'!$N$5:$N$1000)</f>
        <v>22</v>
      </c>
      <c r="E15" s="40" t="s">
        <v>589</v>
      </c>
      <c r="F15" s="41" cm="1">
        <f t="array" ref="F15">SUMPRODUCT((tblIssues[Item Name]&lt;&gt;"")*(COUNTIF(Items!$A$5:$A$597,tblIssues[Item Name])=0))</f>
        <v>0</v>
      </c>
    </row>
    <row r="16" spans="1:9" x14ac:dyDescent="0.35">
      <c r="B16" s="40" t="s">
        <v>590</v>
      </c>
      <c r="C16" s="41">
        <f>COUNTIF('Staff Summary'!$E$5:$E$600,"&gt;0")</f>
        <v>192</v>
      </c>
      <c r="E16" s="40" t="s">
        <v>591</v>
      </c>
      <c r="F16" s="41" cm="1">
        <f t="array" ref="F16">SUMPRODUCT((tblIssues[Lot Number]&lt;&gt;"")*(COUNTIF(tblReceipts[Lot Number],tblIssues[Lot Number])=0))</f>
        <v>6</v>
      </c>
    </row>
    <row r="17" spans="1:8" x14ac:dyDescent="0.35">
      <c r="B17" s="40" t="s">
        <v>635</v>
      </c>
      <c r="C17" s="41">
        <f>COUNT(tblIssues[Alert Row])</f>
        <v>65</v>
      </c>
      <c r="E17" s="40" t="s">
        <v>592</v>
      </c>
      <c r="F17" s="41" cm="1">
        <f t="array" ref="F17">SUMPRODUCT((tblIssues[Staff ID]&lt;&gt;"")*(COUNTIF('Staff Directory'!$A$5:$A$594,tblIssues[Staff ID])=0))</f>
        <v>0</v>
      </c>
    </row>
    <row r="18" spans="1:8" x14ac:dyDescent="0.35">
      <c r="B18" s="40" t="s">
        <v>643</v>
      </c>
      <c r="C18" s="41">
        <f>COUNTIF(tblIssues[Quota Status],"APPROVED BY TL")</f>
        <v>2</v>
      </c>
      <c r="E18" s="40" t="s">
        <v>593</v>
      </c>
      <c r="F18" s="41" cm="1">
        <f t="array" ref="F18">SUMPRODUCT((Items!$A$5:$A$597&lt;&gt;"")*(--NOT(ISNUMBER(Items!$F$5:$F$597))))</f>
        <v>82</v>
      </c>
    </row>
    <row r="20" spans="1:8" ht="19.5" customHeight="1" x14ac:dyDescent="0.35">
      <c r="A20" s="3"/>
      <c r="B20" s="3" t="s">
        <v>594</v>
      </c>
      <c r="C20" s="3" t="s">
        <v>517</v>
      </c>
      <c r="D20" s="3"/>
      <c r="E20" s="3" t="s">
        <v>595</v>
      </c>
      <c r="F20" s="3"/>
      <c r="G20" s="3" t="s">
        <v>522</v>
      </c>
      <c r="H20" s="3"/>
    </row>
    <row r="21" spans="1:8" x14ac:dyDescent="0.35">
      <c r="B21" s="18" t="str">
        <f>IFERROR(INDEX('Item Balance'!$A$5:$A$600,MATCH(LARGE('Item Balance'!$J$5:$J$600,1),'Item Balance'!$J$5:$J$600,0)),"")</f>
        <v>1870+ N95 Mask</v>
      </c>
      <c r="C21" s="21">
        <f>IFERROR(LARGE('Item Balance'!$J$5:$J$600,1),"")</f>
        <v>38724.5</v>
      </c>
      <c r="E21" s="23">
        <f>IF($B21="","",IFERROR(INDEX('Item Balance'!$I$5:$I$600,MATCH($B21,'Item Balance'!$A$5:$A$600,0)),""))</f>
        <v>18890</v>
      </c>
      <c r="G21" s="19" t="str">
        <f>IF($B21="","",IFERROR(INDEX('Item Balance'!$P$5:$P$600,MATCH($B21,'Item Balance'!$A$5:$A$600,0)),""))</f>
        <v>OK</v>
      </c>
    </row>
    <row r="22" spans="1:8" x14ac:dyDescent="0.35">
      <c r="B22" s="18" t="str">
        <f>IFERROR(INDEX('Item Balance'!$A$5:$A$600,MATCH(LARGE('Item Balance'!$J$5:$J$600,2),'Item Balance'!$J$5:$J$600,0)),"")</f>
        <v>8210 N95 Mask</v>
      </c>
      <c r="C22" s="21">
        <f>IFERROR(LARGE('Item Balance'!$J$5:$J$600,2),"")</f>
        <v>25317</v>
      </c>
      <c r="E22" s="23">
        <f>IF($B22="","",IFERROR(INDEX('Item Balance'!$I$5:$I$600,MATCH($B22,'Item Balance'!$A$5:$A$600,0)),""))</f>
        <v>17460</v>
      </c>
      <c r="G22" s="19" t="str">
        <f>IF($B22="","",IFERROR(INDEX('Item Balance'!$P$5:$P$600,MATCH($B22,'Item Balance'!$A$5:$A$600,0)),""))</f>
        <v>OK</v>
      </c>
    </row>
    <row r="23" spans="1:8" x14ac:dyDescent="0.35">
      <c r="B23" s="18" t="str">
        <f>IFERROR(INDEX('Item Balance'!$A$5:$A$600,MATCH(LARGE('Item Balance'!$J$5:$J$600,3),'Item Balance'!$J$5:$J$600,0)),"")</f>
        <v>1860 N95 Mask</v>
      </c>
      <c r="C23" s="21">
        <f>IFERROR(LARGE('Item Balance'!$J$5:$J$600,3),"")</f>
        <v>22221.999999999996</v>
      </c>
      <c r="E23" s="23">
        <f>IF($B23="","",IFERROR(INDEX('Item Balance'!$I$5:$I$600,MATCH($B23,'Item Balance'!$A$5:$A$600,0)),""))</f>
        <v>10840</v>
      </c>
      <c r="G23" s="19" t="str">
        <f>IF($B23="","",IFERROR(INDEX('Item Balance'!$P$5:$P$600,MATCH($B23,'Item Balance'!$A$5:$A$600,0)),""))</f>
        <v>OK</v>
      </c>
    </row>
    <row r="24" spans="1:8" x14ac:dyDescent="0.35">
      <c r="B24" s="18" t="str">
        <f>IFERROR(INDEX('Item Balance'!$A$5:$A$600,MATCH(LARGE('Item Balance'!$J$5:$J$600,4),'Item Balance'!$J$5:$J$600,0)),"")</f>
        <v>1860S N95 Mask</v>
      </c>
      <c r="C24" s="21">
        <f>IFERROR(LARGE('Item Balance'!$J$5:$J$600,4),"")</f>
        <v>20120.75</v>
      </c>
      <c r="E24" s="23">
        <f>IF($B24="","",IFERROR(INDEX('Item Balance'!$I$5:$I$600,MATCH($B24,'Item Balance'!$A$5:$A$600,0)),""))</f>
        <v>9815</v>
      </c>
      <c r="G24" s="19" t="str">
        <f>IF($B24="","",IFERROR(INDEX('Item Balance'!$P$5:$P$600,MATCH($B24,'Item Balance'!$A$5:$A$600,0)),""))</f>
        <v>OK</v>
      </c>
    </row>
    <row r="25" spans="1:8" x14ac:dyDescent="0.35">
      <c r="B25" s="18" t="str">
        <f>IFERROR(INDEX('Item Balance'!$A$5:$A$600,MATCH(LARGE('Item Balance'!$J$5:$J$600,5),'Item Balance'!$J$5:$J$600,0)),"")</f>
        <v>Disinfectant Wipes</v>
      </c>
      <c r="C25" s="21">
        <f>IFERROR(LARGE('Item Balance'!$J$5:$J$600,5),"")</f>
        <v>16632</v>
      </c>
      <c r="E25" s="23">
        <f>IF($B25="","",IFERROR(INDEX('Item Balance'!$I$5:$I$600,MATCH($B25,'Item Balance'!$A$5:$A$600,0)),""))</f>
        <v>166320</v>
      </c>
      <c r="G25" s="19" t="str">
        <f>IF($B25="","",IFERROR(INDEX('Item Balance'!$P$5:$P$600,MATCH($B25,'Item Balance'!$A$5:$A$600,0)),""))</f>
        <v>OK</v>
      </c>
    </row>
    <row r="26" spans="1:8" x14ac:dyDescent="0.35">
      <c r="B26" s="18" t="str">
        <f>IFERROR(INDEX('Item Balance'!$A$5:$A$600,MATCH(LARGE('Item Balance'!$J$5:$J$600,6),'Item Balance'!$J$5:$J$600,0)),"")</f>
        <v>8110S N95 Mask</v>
      </c>
      <c r="C26" s="21">
        <f>IFERROR(LARGE('Item Balance'!$J$5:$J$600,6),"")</f>
        <v>5531.75</v>
      </c>
      <c r="E26" s="23">
        <f>IF($B26="","",IFERROR(INDEX('Item Balance'!$I$5:$I$600,MATCH($B26,'Item Balance'!$A$5:$A$600,0)),""))</f>
        <v>3815</v>
      </c>
      <c r="G26" s="19" t="str">
        <f>IF($B26="","",IFERROR(INDEX('Item Balance'!$P$5:$P$600,MATCH($B26,'Item Balance'!$A$5:$A$600,0)),""))</f>
        <v>OK</v>
      </c>
    </row>
    <row r="27" spans="1:8" x14ac:dyDescent="0.35">
      <c r="B27" s="18" t="str">
        <f>IFERROR(INDEX('Item Balance'!$A$5:$A$600,MATCH(LARGE('Item Balance'!$J$5:$J$600,7),'Item Balance'!$J$5:$J$600,0)),"")</f>
        <v>Level 1/2 - Yellow Gown</v>
      </c>
      <c r="C27" s="21">
        <f>IFERROR(LARGE('Item Balance'!$J$5:$J$600,7),"")</f>
        <v>3255</v>
      </c>
      <c r="E27" s="23">
        <f>IF($B27="","",IFERROR(INDEX('Item Balance'!$I$5:$I$600,MATCH($B27,'Item Balance'!$A$5:$A$600,0)),""))</f>
        <v>1085</v>
      </c>
      <c r="G27" s="19" t="str">
        <f>IF($B27="","",IFERROR(INDEX('Item Balance'!$P$5:$P$600,MATCH($B27,'Item Balance'!$A$5:$A$600,0)),""))</f>
        <v>OK</v>
      </c>
    </row>
    <row r="28" spans="1:8" x14ac:dyDescent="0.35">
      <c r="B28" s="18" t="str">
        <f>IFERROR(INDEX('Item Balance'!$A$5:$A$600,MATCH(LARGE('Item Balance'!$J$5:$J$600,8),'Item Balance'!$J$5:$J$600,0)),"")</f>
        <v>Alcohol Swab</v>
      </c>
      <c r="C28" s="21">
        <f>IFERROR(LARGE('Item Balance'!$J$5:$J$600,8),"")</f>
        <v>3250</v>
      </c>
      <c r="E28" s="23">
        <f>IF($B28="","",IFERROR(INDEX('Item Balance'!$I$5:$I$600,MATCH($B28,'Item Balance'!$A$5:$A$600,0)),""))</f>
        <v>1000</v>
      </c>
      <c r="G28" s="19" t="str">
        <f>IF($B28="","",IFERROR(INDEX('Item Balance'!$P$5:$P$600,MATCH($B28,'Item Balance'!$A$5:$A$600,0)),""))</f>
        <v>OK</v>
      </c>
    </row>
    <row r="29" spans="1:8" x14ac:dyDescent="0.35">
      <c r="B29" s="18" t="str">
        <f>IFERROR(INDEX('Item Balance'!$A$5:$A$600,MATCH(LARGE('Item Balance'!$J$5:$J$600,9),'Item Balance'!$J$5:$J$600,0)),"")</f>
        <v>ICE Cleats -Small</v>
      </c>
      <c r="C29" s="21">
        <f>IFERROR(LARGE('Item Balance'!$J$5:$J$600,9),"")</f>
        <v>2189.6999999999998</v>
      </c>
      <c r="E29" s="23">
        <f>IF($B29="","",IFERROR(INDEX('Item Balance'!$I$5:$I$600,MATCH($B29,'Item Balance'!$A$5:$A$600,0)),""))</f>
        <v>15</v>
      </c>
      <c r="G29" s="19" t="str">
        <f>IF($B29="","",IFERROR(INDEX('Item Balance'!$P$5:$P$600,MATCH($B29,'Item Balance'!$A$5:$A$600,0)),""))</f>
        <v>OK</v>
      </c>
    </row>
    <row r="30" spans="1:8" x14ac:dyDescent="0.35">
      <c r="B30" s="18" t="str">
        <f>IFERROR(INDEX('Item Balance'!$A$5:$A$600,MATCH(LARGE('Item Balance'!$J$5:$J$600,10),'Item Balance'!$J$5:$J$600,0)),"")</f>
        <v>Gloves - Medium</v>
      </c>
      <c r="C30" s="21">
        <f>IFERROR(LARGE('Item Balance'!$J$5:$J$600,10),"")</f>
        <v>1551</v>
      </c>
      <c r="E30" s="23">
        <f>IF($B30="","",IFERROR(INDEX('Item Balance'!$I$5:$I$600,MATCH($B30,'Item Balance'!$A$5:$A$600,0)),""))</f>
        <v>28200</v>
      </c>
      <c r="G30" s="19" t="str">
        <f>IF($B30="","",IFERROR(INDEX('Item Balance'!$P$5:$P$600,MATCH($B30,'Item Balance'!$A$5:$A$600,0)),""))</f>
        <v>OK</v>
      </c>
    </row>
    <row r="32" spans="1:8" x14ac:dyDescent="0.35">
      <c r="B32" s="43" t="s">
        <v>596</v>
      </c>
    </row>
  </sheetData>
  <mergeCells count="7">
    <mergeCell ref="B12:C12"/>
    <mergeCell ref="E12:F12"/>
    <mergeCell ref="A1:I1"/>
    <mergeCell ref="A2:I2"/>
    <mergeCell ref="B4:C4"/>
    <mergeCell ref="E4:F4"/>
    <mergeCell ref="H4:I4"/>
  </mergeCells>
  <pageMargins left="0.75" right="0.75" top="1" bottom="1"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8A33D"/>
  </sheetPr>
  <dimension ref="A1:L400"/>
  <sheetViews>
    <sheetView showGridLines="0" zoomScaleNormal="100" workbookViewId="0">
      <pane ySplit="4" topLeftCell="A5" activePane="bottomLeft" state="frozen"/>
      <selection pane="bottomLeft"/>
    </sheetView>
  </sheetViews>
  <sheetFormatPr defaultColWidth="8.54296875" defaultRowHeight="14.5" x14ac:dyDescent="0.35"/>
  <cols>
    <col min="1" max="1" width="13" customWidth="1"/>
    <col min="2" max="2" width="44" customWidth="1"/>
    <col min="3" max="3" width="15" customWidth="1"/>
    <col min="4" max="4" width="11" customWidth="1"/>
    <col min="5" max="6" width="12" customWidth="1"/>
    <col min="7" max="8" width="13" customWidth="1"/>
    <col min="9" max="10" width="11" customWidth="1"/>
    <col min="11" max="11" width="20" customWidth="1"/>
    <col min="12" max="12" width="30" customWidth="1"/>
  </cols>
  <sheetData>
    <row r="1" spans="1:12" ht="24" customHeight="1" x14ac:dyDescent="0.35">
      <c r="A1" s="117" t="s">
        <v>597</v>
      </c>
      <c r="B1" s="117"/>
      <c r="C1" s="117"/>
      <c r="D1" s="117"/>
      <c r="E1" s="117"/>
      <c r="F1" s="117"/>
      <c r="G1" s="117"/>
      <c r="H1" s="117"/>
      <c r="I1" s="117"/>
      <c r="J1" s="117"/>
      <c r="K1" s="117"/>
      <c r="L1" s="117"/>
    </row>
    <row r="2" spans="1:12" ht="13.5" customHeight="1" x14ac:dyDescent="0.35">
      <c r="A2" s="118" t="s">
        <v>598</v>
      </c>
      <c r="B2" s="118"/>
      <c r="C2" s="118"/>
      <c r="D2" s="118"/>
      <c r="E2" s="118"/>
      <c r="F2" s="118"/>
      <c r="G2" s="118"/>
      <c r="H2" s="118"/>
      <c r="I2" s="118"/>
      <c r="J2" s="118"/>
      <c r="K2" s="118"/>
      <c r="L2" s="118"/>
    </row>
    <row r="4" spans="1:12" ht="25.5" customHeight="1" x14ac:dyDescent="0.35">
      <c r="A4" s="3" t="s">
        <v>365</v>
      </c>
      <c r="B4" s="3" t="s">
        <v>88</v>
      </c>
      <c r="C4" s="3" t="s">
        <v>89</v>
      </c>
      <c r="D4" s="3" t="s">
        <v>90</v>
      </c>
      <c r="E4" s="3" t="s">
        <v>599</v>
      </c>
      <c r="F4" s="3" t="s">
        <v>91</v>
      </c>
      <c r="G4" s="3" t="s">
        <v>544</v>
      </c>
      <c r="H4" s="3" t="s">
        <v>369</v>
      </c>
      <c r="I4" s="3" t="s">
        <v>495</v>
      </c>
      <c r="J4" s="3" t="s">
        <v>600</v>
      </c>
      <c r="K4" s="3" t="s">
        <v>601</v>
      </c>
      <c r="L4" s="3" t="s">
        <v>602</v>
      </c>
    </row>
    <row r="5" spans="1:12" x14ac:dyDescent="0.35">
      <c r="A5" s="8">
        <v>45971</v>
      </c>
      <c r="B5" s="9" t="s">
        <v>284</v>
      </c>
      <c r="C5" s="18" t="s">
        <v>285</v>
      </c>
      <c r="D5" s="19">
        <v>65</v>
      </c>
      <c r="E5" s="12">
        <v>1</v>
      </c>
      <c r="F5" s="20">
        <v>698</v>
      </c>
      <c r="G5" s="21">
        <v>698</v>
      </c>
      <c r="H5" s="8">
        <v>45979</v>
      </c>
      <c r="I5" s="14"/>
      <c r="J5" s="26">
        <v>1</v>
      </c>
      <c r="K5" s="9" t="s">
        <v>1194</v>
      </c>
      <c r="L5" s="9"/>
    </row>
    <row r="6" spans="1:12" x14ac:dyDescent="0.35">
      <c r="A6" s="8">
        <v>45990</v>
      </c>
      <c r="B6" s="9" t="s">
        <v>1195</v>
      </c>
      <c r="C6" s="18" t="s">
        <v>198</v>
      </c>
      <c r="D6" s="19">
        <v>25</v>
      </c>
      <c r="E6" s="12">
        <v>100</v>
      </c>
      <c r="F6" s="20">
        <v>0.63</v>
      </c>
      <c r="G6" s="21">
        <v>63</v>
      </c>
      <c r="H6" s="8">
        <v>45999</v>
      </c>
      <c r="I6" s="14"/>
      <c r="J6" s="26">
        <v>100</v>
      </c>
      <c r="K6" s="9" t="s">
        <v>1186</v>
      </c>
      <c r="L6" s="9"/>
    </row>
    <row r="7" spans="1:12" x14ac:dyDescent="0.35">
      <c r="A7" s="8">
        <v>45990</v>
      </c>
      <c r="B7" s="9" t="s">
        <v>1196</v>
      </c>
      <c r="C7" s="18" t="s">
        <v>198</v>
      </c>
      <c r="D7" s="19">
        <v>25</v>
      </c>
      <c r="E7" s="12">
        <v>75</v>
      </c>
      <c r="F7" s="20">
        <v>0.78</v>
      </c>
      <c r="G7" s="21">
        <v>58.5</v>
      </c>
      <c r="H7" s="8">
        <v>45999</v>
      </c>
      <c r="I7" s="14"/>
      <c r="J7" s="26">
        <v>75</v>
      </c>
      <c r="K7" s="9" t="s">
        <v>1186</v>
      </c>
      <c r="L7" s="9"/>
    </row>
    <row r="8" spans="1:12" x14ac:dyDescent="0.35">
      <c r="A8" s="8">
        <v>45990</v>
      </c>
      <c r="B8" s="9" t="s">
        <v>286</v>
      </c>
      <c r="C8" s="18" t="s">
        <v>287</v>
      </c>
      <c r="D8" s="19" t="s">
        <v>288</v>
      </c>
      <c r="E8" s="12">
        <v>1</v>
      </c>
      <c r="F8" s="20">
        <v>30.39</v>
      </c>
      <c r="G8" s="21">
        <v>30.39</v>
      </c>
      <c r="H8" s="8">
        <v>45999</v>
      </c>
      <c r="I8" s="14"/>
      <c r="J8" s="26">
        <v>1</v>
      </c>
      <c r="K8" s="9" t="s">
        <v>1186</v>
      </c>
      <c r="L8" s="9"/>
    </row>
    <row r="9" spans="1:12" x14ac:dyDescent="0.35">
      <c r="A9" s="8">
        <v>46007</v>
      </c>
      <c r="B9" s="9" t="s">
        <v>1198</v>
      </c>
      <c r="C9" s="18" t="s">
        <v>771</v>
      </c>
      <c r="D9" s="19"/>
      <c r="E9" s="12">
        <v>2</v>
      </c>
      <c r="F9" s="20"/>
      <c r="G9" s="21"/>
      <c r="H9" s="8">
        <v>46015</v>
      </c>
      <c r="I9" s="14"/>
      <c r="J9" s="26">
        <v>2</v>
      </c>
      <c r="K9" s="9" t="s">
        <v>1184</v>
      </c>
      <c r="L9" s="9"/>
    </row>
    <row r="10" spans="1:12" x14ac:dyDescent="0.35">
      <c r="A10" s="8">
        <v>46007</v>
      </c>
      <c r="B10" s="9" t="s">
        <v>1197</v>
      </c>
      <c r="C10" s="18" t="s">
        <v>203</v>
      </c>
      <c r="D10" s="19" t="s">
        <v>215</v>
      </c>
      <c r="E10" s="12">
        <v>1</v>
      </c>
      <c r="F10" s="20">
        <v>32.99</v>
      </c>
      <c r="G10" s="21">
        <v>32.99</v>
      </c>
      <c r="H10" s="8">
        <v>46015</v>
      </c>
      <c r="I10" s="14"/>
      <c r="J10" s="26">
        <v>1</v>
      </c>
      <c r="K10" s="9" t="s">
        <v>1184</v>
      </c>
      <c r="L10" s="9"/>
    </row>
    <row r="11" spans="1:12" x14ac:dyDescent="0.35">
      <c r="A11" s="8">
        <v>46007</v>
      </c>
      <c r="B11" s="9" t="s">
        <v>217</v>
      </c>
      <c r="C11" s="18" t="s">
        <v>203</v>
      </c>
      <c r="D11" s="19" t="s">
        <v>215</v>
      </c>
      <c r="E11" s="12">
        <v>1</v>
      </c>
      <c r="F11" s="20">
        <v>21.99</v>
      </c>
      <c r="G11" s="21">
        <v>21.99</v>
      </c>
      <c r="H11" s="8">
        <v>46015</v>
      </c>
      <c r="I11" s="14"/>
      <c r="J11" s="26">
        <v>1</v>
      </c>
      <c r="K11" s="9" t="s">
        <v>1184</v>
      </c>
      <c r="L11" s="9"/>
    </row>
    <row r="12" spans="1:12" x14ac:dyDescent="0.35">
      <c r="A12" s="8">
        <v>46007</v>
      </c>
      <c r="B12" s="9" t="s">
        <v>218</v>
      </c>
      <c r="C12" s="18" t="s">
        <v>203</v>
      </c>
      <c r="D12" s="19" t="s">
        <v>215</v>
      </c>
      <c r="E12" s="12">
        <v>2</v>
      </c>
      <c r="F12" s="20">
        <v>7.49</v>
      </c>
      <c r="G12" s="21">
        <v>14.98</v>
      </c>
      <c r="H12" s="8">
        <v>46015</v>
      </c>
      <c r="I12" s="14"/>
      <c r="J12" s="26">
        <v>2</v>
      </c>
      <c r="K12" s="9" t="s">
        <v>1184</v>
      </c>
      <c r="L12" s="9"/>
    </row>
    <row r="13" spans="1:12" x14ac:dyDescent="0.35">
      <c r="A13" s="8">
        <v>45996</v>
      </c>
      <c r="B13" s="9" t="s">
        <v>202</v>
      </c>
      <c r="C13" s="18" t="s">
        <v>203</v>
      </c>
      <c r="D13" s="19" t="s">
        <v>204</v>
      </c>
      <c r="E13" s="12">
        <v>10</v>
      </c>
      <c r="F13" s="20">
        <v>7.3579999999999997</v>
      </c>
      <c r="G13" s="21">
        <v>73.58</v>
      </c>
      <c r="H13" s="8">
        <v>46006</v>
      </c>
      <c r="I13" s="14"/>
      <c r="J13" s="26">
        <v>10</v>
      </c>
      <c r="K13" s="9" t="s">
        <v>1184</v>
      </c>
      <c r="L13" s="9"/>
    </row>
    <row r="14" spans="1:12" x14ac:dyDescent="0.35">
      <c r="A14" s="8">
        <v>45996</v>
      </c>
      <c r="B14" s="9" t="s">
        <v>206</v>
      </c>
      <c r="C14" s="18" t="s">
        <v>203</v>
      </c>
      <c r="D14" s="19" t="s">
        <v>207</v>
      </c>
      <c r="E14" s="12">
        <v>6</v>
      </c>
      <c r="F14" s="20">
        <v>44.7</v>
      </c>
      <c r="G14" s="21">
        <v>268.2</v>
      </c>
      <c r="H14" s="8">
        <v>46006</v>
      </c>
      <c r="I14" s="14"/>
      <c r="J14" s="26">
        <v>6</v>
      </c>
      <c r="K14" s="9" t="s">
        <v>1184</v>
      </c>
      <c r="L14" s="9"/>
    </row>
    <row r="15" spans="1:12" x14ac:dyDescent="0.35">
      <c r="A15" s="8">
        <v>45992</v>
      </c>
      <c r="B15" s="9" t="s">
        <v>1198</v>
      </c>
      <c r="C15" s="18" t="s">
        <v>771</v>
      </c>
      <c r="D15" s="19"/>
      <c r="E15" s="12">
        <v>2</v>
      </c>
      <c r="F15" s="20"/>
      <c r="G15" s="21"/>
      <c r="H15" s="8">
        <v>46000</v>
      </c>
      <c r="I15" s="14"/>
      <c r="J15" s="26">
        <v>2</v>
      </c>
      <c r="K15" s="9" t="s">
        <v>1184</v>
      </c>
      <c r="L15" s="9"/>
    </row>
    <row r="16" spans="1:12" x14ac:dyDescent="0.35">
      <c r="A16" s="8">
        <v>45992</v>
      </c>
      <c r="B16" s="9" t="s">
        <v>202</v>
      </c>
      <c r="C16" s="18" t="s">
        <v>203</v>
      </c>
      <c r="D16" s="19" t="s">
        <v>204</v>
      </c>
      <c r="E16" s="12">
        <v>20</v>
      </c>
      <c r="F16" s="20">
        <v>7.3579999999999997</v>
      </c>
      <c r="G16" s="21">
        <v>147.16</v>
      </c>
      <c r="H16" s="8">
        <v>46000</v>
      </c>
      <c r="I16" s="14"/>
      <c r="J16" s="26">
        <v>20</v>
      </c>
      <c r="K16" s="9" t="s">
        <v>1184</v>
      </c>
      <c r="L16" s="9"/>
    </row>
    <row r="17" spans="1:12" x14ac:dyDescent="0.35">
      <c r="A17" s="8">
        <v>45947</v>
      </c>
      <c r="B17" s="9" t="s">
        <v>290</v>
      </c>
      <c r="C17" s="18" t="s">
        <v>203</v>
      </c>
      <c r="D17" s="19" t="s">
        <v>291</v>
      </c>
      <c r="E17" s="12">
        <v>1</v>
      </c>
      <c r="F17" s="20">
        <v>18.239999999999998</v>
      </c>
      <c r="G17" s="21">
        <v>18.239999999999998</v>
      </c>
      <c r="H17" s="8">
        <v>45957</v>
      </c>
      <c r="I17" s="14"/>
      <c r="J17" s="26">
        <v>1</v>
      </c>
      <c r="K17" s="9" t="s">
        <v>1184</v>
      </c>
      <c r="L17" s="9"/>
    </row>
    <row r="18" spans="1:12" x14ac:dyDescent="0.35">
      <c r="A18" s="8">
        <v>45947</v>
      </c>
      <c r="B18" s="9" t="s">
        <v>218</v>
      </c>
      <c r="C18" s="18" t="s">
        <v>203</v>
      </c>
      <c r="D18" s="19" t="s">
        <v>215</v>
      </c>
      <c r="E18" s="12">
        <v>2</v>
      </c>
      <c r="F18" s="20">
        <v>7.49</v>
      </c>
      <c r="G18" s="21">
        <v>14.98</v>
      </c>
      <c r="H18" s="8">
        <v>45957</v>
      </c>
      <c r="I18" s="14"/>
      <c r="J18" s="26">
        <v>2</v>
      </c>
      <c r="K18" s="9" t="s">
        <v>1184</v>
      </c>
      <c r="L18" s="9"/>
    </row>
    <row r="19" spans="1:12" x14ac:dyDescent="0.35">
      <c r="A19" s="8">
        <v>46024</v>
      </c>
      <c r="B19" s="9" t="s">
        <v>202</v>
      </c>
      <c r="C19" s="18" t="s">
        <v>203</v>
      </c>
      <c r="D19" s="19" t="s">
        <v>204</v>
      </c>
      <c r="E19" s="12">
        <v>20</v>
      </c>
      <c r="F19" s="20">
        <v>7.3579999999999997</v>
      </c>
      <c r="G19" s="21">
        <v>147.16</v>
      </c>
      <c r="H19" s="8">
        <v>46034</v>
      </c>
      <c r="I19" s="14"/>
      <c r="J19" s="26">
        <v>20</v>
      </c>
      <c r="K19" s="9" t="s">
        <v>1184</v>
      </c>
      <c r="L19" s="9"/>
    </row>
    <row r="20" spans="1:12" x14ac:dyDescent="0.35">
      <c r="A20" s="8">
        <v>46024</v>
      </c>
      <c r="B20" s="9" t="s">
        <v>258</v>
      </c>
      <c r="C20" s="18" t="s">
        <v>49</v>
      </c>
      <c r="D20" s="19" t="s">
        <v>259</v>
      </c>
      <c r="E20" s="12">
        <v>1</v>
      </c>
      <c r="F20" s="20">
        <v>12.79</v>
      </c>
      <c r="G20" s="21">
        <v>12.79</v>
      </c>
      <c r="H20" s="8">
        <v>46034</v>
      </c>
      <c r="I20" s="14"/>
      <c r="J20" s="26">
        <v>1</v>
      </c>
      <c r="K20" s="9" t="s">
        <v>1184</v>
      </c>
      <c r="L20" s="9"/>
    </row>
    <row r="21" spans="1:12" x14ac:dyDescent="0.35">
      <c r="A21" s="8">
        <v>46024</v>
      </c>
      <c r="B21" s="9" t="s">
        <v>229</v>
      </c>
      <c r="C21" s="18" t="s">
        <v>203</v>
      </c>
      <c r="D21" s="19" t="s">
        <v>230</v>
      </c>
      <c r="E21" s="12">
        <v>4</v>
      </c>
      <c r="F21" s="20">
        <v>3.47</v>
      </c>
      <c r="G21" s="21">
        <v>13.88</v>
      </c>
      <c r="H21" s="8">
        <v>46034</v>
      </c>
      <c r="I21" s="14"/>
      <c r="J21" s="26">
        <v>4</v>
      </c>
      <c r="K21" s="9" t="s">
        <v>1184</v>
      </c>
      <c r="L21" s="9"/>
    </row>
    <row r="22" spans="1:12" x14ac:dyDescent="0.35">
      <c r="A22" s="8">
        <v>46024</v>
      </c>
      <c r="B22" s="9" t="s">
        <v>293</v>
      </c>
      <c r="C22" s="18" t="s">
        <v>203</v>
      </c>
      <c r="D22" s="19" t="s">
        <v>294</v>
      </c>
      <c r="E22" s="12">
        <v>2</v>
      </c>
      <c r="F22" s="20">
        <v>7.69</v>
      </c>
      <c r="G22" s="21">
        <v>15.38</v>
      </c>
      <c r="H22" s="8">
        <v>46034</v>
      </c>
      <c r="I22" s="14"/>
      <c r="J22" s="26">
        <v>2</v>
      </c>
      <c r="K22" s="9" t="s">
        <v>1184</v>
      </c>
      <c r="L22" s="9"/>
    </row>
    <row r="23" spans="1:12" x14ac:dyDescent="0.35">
      <c r="A23" s="8">
        <v>46024</v>
      </c>
      <c r="B23" s="9" t="s">
        <v>1196</v>
      </c>
      <c r="C23" s="18" t="s">
        <v>198</v>
      </c>
      <c r="D23" s="19">
        <v>25</v>
      </c>
      <c r="E23" s="12">
        <v>3</v>
      </c>
      <c r="F23" s="20">
        <v>0.78</v>
      </c>
      <c r="G23" s="21">
        <v>2.34</v>
      </c>
      <c r="H23" s="8">
        <v>46034</v>
      </c>
      <c r="I23" s="14"/>
      <c r="J23" s="26">
        <v>3</v>
      </c>
      <c r="K23" s="9" t="s">
        <v>1186</v>
      </c>
      <c r="L23" s="9"/>
    </row>
    <row r="24" spans="1:12" x14ac:dyDescent="0.35">
      <c r="A24" s="8">
        <v>46024</v>
      </c>
      <c r="B24" s="9" t="s">
        <v>1195</v>
      </c>
      <c r="C24" s="18" t="s">
        <v>198</v>
      </c>
      <c r="D24" s="19">
        <v>25</v>
      </c>
      <c r="E24" s="12">
        <v>2</v>
      </c>
      <c r="F24" s="20">
        <v>0.63</v>
      </c>
      <c r="G24" s="21">
        <v>1.26</v>
      </c>
      <c r="H24" s="8">
        <v>46034</v>
      </c>
      <c r="I24" s="14"/>
      <c r="J24" s="26">
        <v>2</v>
      </c>
      <c r="K24" s="9" t="s">
        <v>1186</v>
      </c>
      <c r="L24" s="9"/>
    </row>
    <row r="25" spans="1:12" x14ac:dyDescent="0.35">
      <c r="A25" s="8">
        <v>46024</v>
      </c>
      <c r="B25" s="9" t="s">
        <v>212</v>
      </c>
      <c r="C25" s="18" t="s">
        <v>203</v>
      </c>
      <c r="D25" s="19" t="s">
        <v>213</v>
      </c>
      <c r="E25" s="12">
        <v>1</v>
      </c>
      <c r="F25" s="20">
        <v>9.98</v>
      </c>
      <c r="G25" s="21">
        <v>9.98</v>
      </c>
      <c r="H25" s="8">
        <v>46034</v>
      </c>
      <c r="I25" s="14"/>
      <c r="J25" s="26">
        <v>1</v>
      </c>
      <c r="K25" s="9" t="s">
        <v>1184</v>
      </c>
      <c r="L25" s="9"/>
    </row>
    <row r="26" spans="1:12" x14ac:dyDescent="0.35">
      <c r="A26" s="8">
        <v>46059</v>
      </c>
      <c r="B26" s="9" t="s">
        <v>1200</v>
      </c>
      <c r="C26" s="18" t="s">
        <v>771</v>
      </c>
      <c r="D26" s="19"/>
      <c r="E26" s="12">
        <v>6</v>
      </c>
      <c r="F26" s="20"/>
      <c r="G26" s="21"/>
      <c r="H26" s="8">
        <v>46069</v>
      </c>
      <c r="I26" s="14"/>
      <c r="J26" s="26">
        <v>6</v>
      </c>
      <c r="K26" s="9" t="s">
        <v>1184</v>
      </c>
      <c r="L26" s="9"/>
    </row>
    <row r="27" spans="1:12" x14ac:dyDescent="0.35">
      <c r="A27" s="22"/>
      <c r="B27" s="9"/>
      <c r="C27" s="18"/>
      <c r="D27" s="19"/>
      <c r="E27" s="14"/>
      <c r="F27" s="20"/>
      <c r="G27" s="21"/>
      <c r="H27" s="22"/>
      <c r="I27" s="14"/>
      <c r="J27" s="26"/>
      <c r="K27" s="9"/>
      <c r="L27" s="9"/>
    </row>
    <row r="28" spans="1:12" x14ac:dyDescent="0.35">
      <c r="A28" s="22"/>
      <c r="B28" s="9"/>
      <c r="C28" s="18"/>
      <c r="D28" s="19"/>
      <c r="E28" s="14"/>
      <c r="F28" s="20"/>
      <c r="G28" s="21"/>
      <c r="H28" s="22"/>
      <c r="I28" s="14"/>
      <c r="J28" s="26"/>
      <c r="K28" s="9"/>
      <c r="L28" s="9"/>
    </row>
    <row r="29" spans="1:12" x14ac:dyDescent="0.35">
      <c r="A29" s="22"/>
      <c r="B29" s="9"/>
      <c r="C29" s="18"/>
      <c r="D29" s="19"/>
      <c r="E29" s="14"/>
      <c r="F29" s="20"/>
      <c r="G29" s="21"/>
      <c r="H29" s="22"/>
      <c r="I29" s="14"/>
      <c r="J29" s="26"/>
      <c r="K29" s="9"/>
      <c r="L29" s="9"/>
    </row>
    <row r="30" spans="1:12" x14ac:dyDescent="0.35">
      <c r="A30" s="22"/>
      <c r="B30" s="9"/>
      <c r="C30" s="18"/>
      <c r="D30" s="19"/>
      <c r="E30" s="14"/>
      <c r="F30" s="20"/>
      <c r="G30" s="21"/>
      <c r="H30" s="22"/>
      <c r="I30" s="14"/>
      <c r="J30" s="26"/>
      <c r="K30" s="9"/>
      <c r="L30" s="9"/>
    </row>
    <row r="31" spans="1:12" x14ac:dyDescent="0.35">
      <c r="A31" s="22"/>
      <c r="B31" s="9"/>
      <c r="C31" s="18"/>
      <c r="D31" s="19"/>
      <c r="E31" s="14"/>
      <c r="F31" s="20"/>
      <c r="G31" s="21"/>
      <c r="H31" s="22"/>
      <c r="I31" s="14"/>
      <c r="J31" s="26"/>
      <c r="K31" s="9"/>
      <c r="L31" s="9"/>
    </row>
    <row r="32" spans="1:12" x14ac:dyDescent="0.35">
      <c r="A32" s="22"/>
      <c r="B32" s="9"/>
      <c r="C32" s="18"/>
      <c r="D32" s="19"/>
      <c r="E32" s="14"/>
      <c r="F32" s="20"/>
      <c r="G32" s="21"/>
      <c r="H32" s="22"/>
      <c r="I32" s="14"/>
      <c r="J32" s="26"/>
      <c r="K32" s="9"/>
      <c r="L32" s="9"/>
    </row>
    <row r="33" spans="1:12" x14ac:dyDescent="0.35">
      <c r="A33" s="22"/>
      <c r="B33" s="9"/>
      <c r="C33" s="18"/>
      <c r="D33" s="19"/>
      <c r="E33" s="14"/>
      <c r="F33" s="20"/>
      <c r="G33" s="21"/>
      <c r="H33" s="22"/>
      <c r="I33" s="14"/>
      <c r="J33" s="26"/>
      <c r="K33" s="9"/>
      <c r="L33" s="9"/>
    </row>
    <row r="34" spans="1:12" x14ac:dyDescent="0.35">
      <c r="A34" s="22"/>
      <c r="B34" s="9"/>
      <c r="C34" s="18"/>
      <c r="D34" s="19"/>
      <c r="E34" s="14"/>
      <c r="F34" s="20"/>
      <c r="G34" s="21"/>
      <c r="H34" s="22"/>
      <c r="I34" s="14"/>
      <c r="J34" s="26"/>
      <c r="K34" s="9"/>
      <c r="L34" s="9"/>
    </row>
    <row r="35" spans="1:12" x14ac:dyDescent="0.35">
      <c r="A35" s="22"/>
      <c r="B35" s="9"/>
      <c r="C35" s="18"/>
      <c r="D35" s="19"/>
      <c r="E35" s="14"/>
      <c r="F35" s="20"/>
      <c r="G35" s="21"/>
      <c r="H35" s="22"/>
      <c r="I35" s="14"/>
      <c r="J35" s="26"/>
      <c r="K35" s="9"/>
      <c r="L35" s="9"/>
    </row>
    <row r="36" spans="1:12" x14ac:dyDescent="0.35">
      <c r="A36" s="22"/>
      <c r="B36" s="9"/>
      <c r="C36" s="18"/>
      <c r="D36" s="19"/>
      <c r="E36" s="14"/>
      <c r="F36" s="20"/>
      <c r="G36" s="21"/>
      <c r="H36" s="22"/>
      <c r="I36" s="14"/>
      <c r="J36" s="26"/>
      <c r="K36" s="9"/>
      <c r="L36" s="9"/>
    </row>
    <row r="37" spans="1:12" x14ac:dyDescent="0.35">
      <c r="A37" s="22"/>
      <c r="B37" s="9"/>
      <c r="C37" s="18"/>
      <c r="D37" s="19"/>
      <c r="E37" s="14"/>
      <c r="F37" s="20"/>
      <c r="G37" s="21"/>
      <c r="H37" s="22"/>
      <c r="I37" s="14"/>
      <c r="J37" s="26"/>
      <c r="K37" s="9"/>
      <c r="L37" s="9"/>
    </row>
    <row r="38" spans="1:12" x14ac:dyDescent="0.35">
      <c r="A38" s="22"/>
      <c r="B38" s="9"/>
      <c r="C38" s="18"/>
      <c r="D38" s="19"/>
      <c r="E38" s="14"/>
      <c r="F38" s="20"/>
      <c r="G38" s="21"/>
      <c r="H38" s="22"/>
      <c r="I38" s="14"/>
      <c r="J38" s="26"/>
      <c r="K38" s="9"/>
      <c r="L38" s="9"/>
    </row>
    <row r="39" spans="1:12" x14ac:dyDescent="0.35">
      <c r="A39" s="22"/>
      <c r="B39" s="9"/>
      <c r="C39" s="18"/>
      <c r="D39" s="19"/>
      <c r="E39" s="14"/>
      <c r="F39" s="20"/>
      <c r="G39" s="21"/>
      <c r="H39" s="22"/>
      <c r="I39" s="14"/>
      <c r="J39" s="26"/>
      <c r="K39" s="9"/>
      <c r="L39" s="9"/>
    </row>
    <row r="40" spans="1:12" x14ac:dyDescent="0.35">
      <c r="A40" s="22"/>
      <c r="B40" s="9"/>
      <c r="C40" s="18"/>
      <c r="D40" s="19"/>
      <c r="E40" s="14"/>
      <c r="F40" s="20"/>
      <c r="G40" s="21"/>
      <c r="H40" s="22"/>
      <c r="I40" s="14"/>
      <c r="J40" s="26"/>
      <c r="K40" s="9"/>
      <c r="L40" s="9"/>
    </row>
    <row r="41" spans="1:12" x14ac:dyDescent="0.35">
      <c r="A41" s="22"/>
      <c r="B41" s="9"/>
      <c r="C41" s="18"/>
      <c r="D41" s="19"/>
      <c r="E41" s="14"/>
      <c r="F41" s="20"/>
      <c r="G41" s="21"/>
      <c r="H41" s="22"/>
      <c r="I41" s="14"/>
      <c r="J41" s="26"/>
      <c r="K41" s="9"/>
      <c r="L41" s="9"/>
    </row>
    <row r="42" spans="1:12" x14ac:dyDescent="0.35">
      <c r="A42" s="22"/>
      <c r="B42" s="9"/>
      <c r="C42" s="18"/>
      <c r="D42" s="19"/>
      <c r="E42" s="14"/>
      <c r="F42" s="20"/>
      <c r="G42" s="21"/>
      <c r="H42" s="22"/>
      <c r="I42" s="14"/>
      <c r="J42" s="26"/>
      <c r="K42" s="9"/>
      <c r="L42" s="9"/>
    </row>
    <row r="43" spans="1:12" x14ac:dyDescent="0.35">
      <c r="A43" s="22"/>
      <c r="B43" s="9"/>
      <c r="C43" s="18"/>
      <c r="D43" s="19"/>
      <c r="E43" s="14"/>
      <c r="F43" s="20"/>
      <c r="G43" s="21"/>
      <c r="H43" s="22"/>
      <c r="I43" s="14"/>
      <c r="J43" s="26"/>
      <c r="K43" s="9"/>
      <c r="L43" s="9"/>
    </row>
    <row r="44" spans="1:12" x14ac:dyDescent="0.35">
      <c r="A44" s="22"/>
      <c r="B44" s="9"/>
      <c r="C44" s="18"/>
      <c r="D44" s="19"/>
      <c r="E44" s="14"/>
      <c r="F44" s="20"/>
      <c r="G44" s="21"/>
      <c r="H44" s="22"/>
      <c r="I44" s="14"/>
      <c r="J44" s="26"/>
      <c r="K44" s="9"/>
      <c r="L44" s="9"/>
    </row>
    <row r="45" spans="1:12" x14ac:dyDescent="0.35">
      <c r="A45" s="22"/>
      <c r="B45" s="9"/>
      <c r="C45" s="18"/>
      <c r="D45" s="19"/>
      <c r="E45" s="14"/>
      <c r="F45" s="20"/>
      <c r="G45" s="21"/>
      <c r="H45" s="22"/>
      <c r="I45" s="14"/>
      <c r="J45" s="26"/>
      <c r="K45" s="9"/>
      <c r="L45" s="9"/>
    </row>
    <row r="46" spans="1:12" x14ac:dyDescent="0.35">
      <c r="A46" s="22"/>
      <c r="B46" s="9"/>
      <c r="C46" s="18"/>
      <c r="D46" s="19"/>
      <c r="E46" s="14"/>
      <c r="F46" s="20"/>
      <c r="G46" s="21"/>
      <c r="H46" s="22"/>
      <c r="I46" s="14"/>
      <c r="J46" s="26"/>
      <c r="K46" s="9"/>
      <c r="L46" s="9"/>
    </row>
    <row r="47" spans="1:12" x14ac:dyDescent="0.35">
      <c r="A47" s="22"/>
      <c r="B47" s="9"/>
      <c r="C47" s="18"/>
      <c r="D47" s="19"/>
      <c r="E47" s="14"/>
      <c r="F47" s="20"/>
      <c r="G47" s="21"/>
      <c r="H47" s="22"/>
      <c r="I47" s="14"/>
      <c r="J47" s="26"/>
      <c r="K47" s="9"/>
      <c r="L47" s="9"/>
    </row>
    <row r="48" spans="1:12" x14ac:dyDescent="0.35">
      <c r="A48" s="22"/>
      <c r="B48" s="9"/>
      <c r="C48" s="18"/>
      <c r="D48" s="19"/>
      <c r="E48" s="14"/>
      <c r="F48" s="20"/>
      <c r="G48" s="21"/>
      <c r="H48" s="22"/>
      <c r="I48" s="14"/>
      <c r="J48" s="26"/>
      <c r="K48" s="9"/>
      <c r="L48" s="9"/>
    </row>
    <row r="49" spans="1:12" x14ac:dyDescent="0.35">
      <c r="A49" s="22"/>
      <c r="B49" s="9"/>
      <c r="C49" s="18"/>
      <c r="D49" s="19"/>
      <c r="E49" s="14"/>
      <c r="F49" s="20"/>
      <c r="G49" s="21"/>
      <c r="H49" s="22"/>
      <c r="I49" s="14"/>
      <c r="J49" s="26"/>
      <c r="K49" s="9"/>
      <c r="L49" s="9"/>
    </row>
    <row r="50" spans="1:12" x14ac:dyDescent="0.35">
      <c r="A50" s="22"/>
      <c r="B50" s="9"/>
      <c r="C50" s="18"/>
      <c r="D50" s="19"/>
      <c r="E50" s="14"/>
      <c r="F50" s="20"/>
      <c r="G50" s="21"/>
      <c r="H50" s="22"/>
      <c r="I50" s="14"/>
      <c r="J50" s="26"/>
      <c r="K50" s="9"/>
      <c r="L50" s="9"/>
    </row>
    <row r="51" spans="1:12" x14ac:dyDescent="0.35">
      <c r="A51" s="22"/>
      <c r="B51" s="9"/>
      <c r="C51" s="18"/>
      <c r="D51" s="19"/>
      <c r="E51" s="14"/>
      <c r="F51" s="20"/>
      <c r="G51" s="21"/>
      <c r="H51" s="22"/>
      <c r="I51" s="14"/>
      <c r="J51" s="26"/>
      <c r="K51" s="9"/>
      <c r="L51" s="9"/>
    </row>
    <row r="52" spans="1:12" x14ac:dyDescent="0.35">
      <c r="A52" s="22"/>
      <c r="B52" s="9"/>
      <c r="C52" s="18"/>
      <c r="D52" s="19"/>
      <c r="E52" s="14"/>
      <c r="F52" s="20"/>
      <c r="G52" s="21"/>
      <c r="H52" s="22"/>
      <c r="I52" s="14"/>
      <c r="J52" s="26"/>
      <c r="K52" s="9"/>
      <c r="L52" s="9"/>
    </row>
    <row r="53" spans="1:12" x14ac:dyDescent="0.35">
      <c r="A53" s="22"/>
      <c r="B53" s="9"/>
      <c r="C53" s="18"/>
      <c r="D53" s="19"/>
      <c r="E53" s="14"/>
      <c r="F53" s="20"/>
      <c r="G53" s="21"/>
      <c r="H53" s="22"/>
      <c r="I53" s="14"/>
      <c r="J53" s="26"/>
      <c r="K53" s="9"/>
      <c r="L53" s="9"/>
    </row>
    <row r="54" spans="1:12" x14ac:dyDescent="0.35">
      <c r="A54" s="22"/>
      <c r="B54" s="9"/>
      <c r="C54" s="18"/>
      <c r="D54" s="19"/>
      <c r="E54" s="14"/>
      <c r="F54" s="20"/>
      <c r="G54" s="21"/>
      <c r="H54" s="22"/>
      <c r="I54" s="14"/>
      <c r="J54" s="26"/>
      <c r="K54" s="9"/>
      <c r="L54" s="9"/>
    </row>
    <row r="55" spans="1:12" x14ac:dyDescent="0.35">
      <c r="A55" s="22"/>
      <c r="B55" s="9"/>
      <c r="C55" s="18"/>
      <c r="D55" s="19"/>
      <c r="E55" s="14"/>
      <c r="F55" s="20"/>
      <c r="G55" s="21"/>
      <c r="H55" s="22"/>
      <c r="I55" s="14"/>
      <c r="J55" s="26"/>
      <c r="K55" s="9"/>
      <c r="L55" s="9"/>
    </row>
    <row r="56" spans="1:12" x14ac:dyDescent="0.35">
      <c r="A56" s="22"/>
      <c r="B56" s="9"/>
      <c r="C56" s="18"/>
      <c r="D56" s="19"/>
      <c r="E56" s="14"/>
      <c r="F56" s="20"/>
      <c r="G56" s="21"/>
      <c r="H56" s="22"/>
      <c r="I56" s="14"/>
      <c r="J56" s="26"/>
      <c r="K56" s="9"/>
      <c r="L56" s="9"/>
    </row>
    <row r="57" spans="1:12" x14ac:dyDescent="0.35">
      <c r="A57" s="22"/>
      <c r="B57" s="9"/>
      <c r="C57" s="18"/>
      <c r="D57" s="19"/>
      <c r="E57" s="14"/>
      <c r="F57" s="20"/>
      <c r="G57" s="21"/>
      <c r="H57" s="22"/>
      <c r="I57" s="14"/>
      <c r="J57" s="26"/>
      <c r="K57" s="9"/>
      <c r="L57" s="9"/>
    </row>
    <row r="58" spans="1:12" x14ac:dyDescent="0.35">
      <c r="A58" s="22"/>
      <c r="B58" s="9"/>
      <c r="C58" s="18"/>
      <c r="D58" s="19"/>
      <c r="E58" s="14"/>
      <c r="F58" s="20"/>
      <c r="G58" s="21"/>
      <c r="H58" s="22"/>
      <c r="I58" s="14"/>
      <c r="J58" s="26"/>
      <c r="K58" s="9"/>
      <c r="L58" s="9"/>
    </row>
    <row r="59" spans="1:12" x14ac:dyDescent="0.35">
      <c r="A59" s="22"/>
      <c r="B59" s="9"/>
      <c r="C59" s="18"/>
      <c r="D59" s="19"/>
      <c r="E59" s="14"/>
      <c r="F59" s="20"/>
      <c r="G59" s="21"/>
      <c r="H59" s="22"/>
      <c r="I59" s="14"/>
      <c r="J59" s="26"/>
      <c r="K59" s="9"/>
      <c r="L59" s="9"/>
    </row>
    <row r="60" spans="1:12" x14ac:dyDescent="0.35">
      <c r="A60" s="22"/>
      <c r="B60" s="9"/>
      <c r="C60" s="18"/>
      <c r="D60" s="19"/>
      <c r="E60" s="14"/>
      <c r="F60" s="20"/>
      <c r="G60" s="21"/>
      <c r="H60" s="22"/>
      <c r="I60" s="14"/>
      <c r="J60" s="26"/>
      <c r="K60" s="9"/>
      <c r="L60" s="9"/>
    </row>
    <row r="61" spans="1:12" x14ac:dyDescent="0.35">
      <c r="A61" s="22"/>
      <c r="B61" s="9"/>
      <c r="C61" s="18"/>
      <c r="D61" s="19"/>
      <c r="E61" s="14"/>
      <c r="F61" s="20"/>
      <c r="G61" s="21"/>
      <c r="H61" s="22"/>
      <c r="I61" s="14"/>
      <c r="J61" s="26"/>
      <c r="K61" s="9"/>
      <c r="L61" s="9"/>
    </row>
    <row r="62" spans="1:12" x14ac:dyDescent="0.35">
      <c r="A62" s="22"/>
      <c r="B62" s="9"/>
      <c r="C62" s="18"/>
      <c r="D62" s="19"/>
      <c r="E62" s="14"/>
      <c r="F62" s="20"/>
      <c r="G62" s="21"/>
      <c r="H62" s="22"/>
      <c r="I62" s="14"/>
      <c r="J62" s="26"/>
      <c r="K62" s="9"/>
      <c r="L62" s="9"/>
    </row>
    <row r="63" spans="1:12" x14ac:dyDescent="0.35">
      <c r="A63" s="22"/>
      <c r="B63" s="9"/>
      <c r="C63" s="18"/>
      <c r="D63" s="19"/>
      <c r="E63" s="14"/>
      <c r="F63" s="20"/>
      <c r="G63" s="21"/>
      <c r="H63" s="22"/>
      <c r="I63" s="14"/>
      <c r="J63" s="26"/>
      <c r="K63" s="9"/>
      <c r="L63" s="9"/>
    </row>
    <row r="64" spans="1:12" x14ac:dyDescent="0.35">
      <c r="A64" s="22"/>
      <c r="B64" s="9"/>
      <c r="C64" s="18"/>
      <c r="D64" s="19"/>
      <c r="E64" s="14"/>
      <c r="F64" s="20"/>
      <c r="G64" s="21"/>
      <c r="H64" s="22"/>
      <c r="I64" s="14"/>
      <c r="J64" s="26"/>
      <c r="K64" s="9"/>
      <c r="L64" s="9"/>
    </row>
    <row r="65" spans="1:12" x14ac:dyDescent="0.35">
      <c r="A65" s="22"/>
      <c r="B65" s="9"/>
      <c r="C65" s="18"/>
      <c r="D65" s="19"/>
      <c r="E65" s="14"/>
      <c r="F65" s="20"/>
      <c r="G65" s="21"/>
      <c r="H65" s="22"/>
      <c r="I65" s="14"/>
      <c r="J65" s="26"/>
      <c r="K65" s="9"/>
      <c r="L65" s="9"/>
    </row>
    <row r="66" spans="1:12" x14ac:dyDescent="0.35">
      <c r="A66" s="22"/>
      <c r="B66" s="9"/>
      <c r="C66" s="18"/>
      <c r="D66" s="19"/>
      <c r="E66" s="14"/>
      <c r="F66" s="20"/>
      <c r="G66" s="21"/>
      <c r="H66" s="22"/>
      <c r="I66" s="14"/>
      <c r="J66" s="26"/>
      <c r="K66" s="9"/>
      <c r="L66" s="9"/>
    </row>
    <row r="67" spans="1:12" x14ac:dyDescent="0.35">
      <c r="A67" s="22"/>
      <c r="B67" s="9"/>
      <c r="C67" s="18"/>
      <c r="D67" s="19"/>
      <c r="E67" s="14"/>
      <c r="F67" s="20"/>
      <c r="G67" s="21"/>
      <c r="H67" s="22"/>
      <c r="I67" s="14"/>
      <c r="J67" s="26"/>
      <c r="K67" s="9"/>
      <c r="L67" s="9"/>
    </row>
    <row r="68" spans="1:12" x14ac:dyDescent="0.35">
      <c r="A68" s="22"/>
      <c r="B68" s="9"/>
      <c r="C68" s="18"/>
      <c r="D68" s="19"/>
      <c r="E68" s="14"/>
      <c r="F68" s="20"/>
      <c r="G68" s="21"/>
      <c r="H68" s="22"/>
      <c r="I68" s="14"/>
      <c r="J68" s="26"/>
      <c r="K68" s="9"/>
      <c r="L68" s="9"/>
    </row>
    <row r="69" spans="1:12" x14ac:dyDescent="0.35">
      <c r="A69" s="22"/>
      <c r="B69" s="9"/>
      <c r="C69" s="18"/>
      <c r="D69" s="19"/>
      <c r="E69" s="14"/>
      <c r="F69" s="20"/>
      <c r="G69" s="21"/>
      <c r="H69" s="22"/>
      <c r="I69" s="14"/>
      <c r="J69" s="26"/>
      <c r="K69" s="9"/>
      <c r="L69" s="9"/>
    </row>
    <row r="70" spans="1:12" x14ac:dyDescent="0.35">
      <c r="A70" s="22"/>
      <c r="B70" s="9"/>
      <c r="C70" s="18"/>
      <c r="D70" s="19"/>
      <c r="E70" s="14"/>
      <c r="F70" s="20"/>
      <c r="G70" s="21"/>
      <c r="H70" s="22"/>
      <c r="I70" s="14"/>
      <c r="J70" s="26"/>
      <c r="K70" s="9"/>
      <c r="L70" s="9"/>
    </row>
    <row r="71" spans="1:12" x14ac:dyDescent="0.35">
      <c r="A71" s="22"/>
      <c r="B71" s="9"/>
      <c r="C71" s="18"/>
      <c r="D71" s="19"/>
      <c r="E71" s="14"/>
      <c r="F71" s="20"/>
      <c r="G71" s="21"/>
      <c r="H71" s="22"/>
      <c r="I71" s="14"/>
      <c r="J71" s="26"/>
      <c r="K71" s="9"/>
      <c r="L71" s="9"/>
    </row>
    <row r="72" spans="1:12" x14ac:dyDescent="0.35">
      <c r="A72" s="22"/>
      <c r="B72" s="9"/>
      <c r="C72" s="18"/>
      <c r="D72" s="19"/>
      <c r="E72" s="14"/>
      <c r="F72" s="20"/>
      <c r="G72" s="21"/>
      <c r="H72" s="22"/>
      <c r="I72" s="14"/>
      <c r="J72" s="26"/>
      <c r="K72" s="9"/>
      <c r="L72" s="9"/>
    </row>
    <row r="73" spans="1:12" x14ac:dyDescent="0.35">
      <c r="A73" s="22"/>
      <c r="B73" s="9"/>
      <c r="C73" s="18"/>
      <c r="D73" s="19"/>
      <c r="E73" s="14"/>
      <c r="F73" s="20"/>
      <c r="G73" s="21"/>
      <c r="H73" s="22"/>
      <c r="I73" s="14"/>
      <c r="J73" s="26"/>
      <c r="K73" s="9"/>
      <c r="L73" s="9"/>
    </row>
    <row r="74" spans="1:12" x14ac:dyDescent="0.35">
      <c r="A74" s="22"/>
      <c r="B74" s="9"/>
      <c r="C74" s="18"/>
      <c r="D74" s="19"/>
      <c r="E74" s="14"/>
      <c r="F74" s="20"/>
      <c r="G74" s="21"/>
      <c r="H74" s="22"/>
      <c r="I74" s="14"/>
      <c r="J74" s="26"/>
      <c r="K74" s="9"/>
      <c r="L74" s="9"/>
    </row>
    <row r="75" spans="1:12" x14ac:dyDescent="0.35">
      <c r="A75" s="22"/>
      <c r="B75" s="9"/>
      <c r="C75" s="18"/>
      <c r="D75" s="19"/>
      <c r="E75" s="14"/>
      <c r="F75" s="20"/>
      <c r="G75" s="21"/>
      <c r="H75" s="22"/>
      <c r="I75" s="14"/>
      <c r="J75" s="26"/>
      <c r="K75" s="9"/>
      <c r="L75" s="9"/>
    </row>
    <row r="76" spans="1:12" x14ac:dyDescent="0.35">
      <c r="A76" s="22"/>
      <c r="B76" s="9"/>
      <c r="C76" s="18"/>
      <c r="D76" s="19"/>
      <c r="E76" s="14"/>
      <c r="F76" s="20"/>
      <c r="G76" s="21"/>
      <c r="H76" s="22"/>
      <c r="I76" s="14"/>
      <c r="J76" s="26"/>
      <c r="K76" s="9"/>
      <c r="L76" s="9"/>
    </row>
    <row r="77" spans="1:12" x14ac:dyDescent="0.35">
      <c r="A77" s="22"/>
      <c r="B77" s="9"/>
      <c r="C77" s="18"/>
      <c r="D77" s="19"/>
      <c r="E77" s="14"/>
      <c r="F77" s="20"/>
      <c r="G77" s="21"/>
      <c r="H77" s="22"/>
      <c r="I77" s="14"/>
      <c r="J77" s="26"/>
      <c r="K77" s="9"/>
      <c r="L77" s="9"/>
    </row>
    <row r="78" spans="1:12" x14ac:dyDescent="0.35">
      <c r="A78" s="22"/>
      <c r="B78" s="9"/>
      <c r="C78" s="18"/>
      <c r="D78" s="19"/>
      <c r="E78" s="14"/>
      <c r="F78" s="20"/>
      <c r="G78" s="21"/>
      <c r="H78" s="22"/>
      <c r="I78" s="14"/>
      <c r="J78" s="26"/>
      <c r="K78" s="9"/>
      <c r="L78" s="9"/>
    </row>
    <row r="79" spans="1:12" x14ac:dyDescent="0.35">
      <c r="A79" s="22"/>
      <c r="B79" s="9"/>
      <c r="C79" s="18"/>
      <c r="D79" s="19"/>
      <c r="E79" s="14"/>
      <c r="F79" s="20"/>
      <c r="G79" s="21"/>
      <c r="H79" s="22"/>
      <c r="I79" s="14"/>
      <c r="J79" s="26"/>
      <c r="K79" s="9"/>
      <c r="L79" s="9"/>
    </row>
    <row r="80" spans="1:12" x14ac:dyDescent="0.35">
      <c r="A80" s="22"/>
      <c r="B80" s="9"/>
      <c r="C80" s="18"/>
      <c r="D80" s="19"/>
      <c r="E80" s="14"/>
      <c r="F80" s="20"/>
      <c r="G80" s="21"/>
      <c r="H80" s="22"/>
      <c r="I80" s="14"/>
      <c r="J80" s="26"/>
      <c r="K80" s="9"/>
      <c r="L80" s="9"/>
    </row>
    <row r="81" spans="1:12" x14ac:dyDescent="0.35">
      <c r="A81" s="22"/>
      <c r="B81" s="9"/>
      <c r="C81" s="18"/>
      <c r="D81" s="19"/>
      <c r="E81" s="14"/>
      <c r="F81" s="20"/>
      <c r="G81" s="21"/>
      <c r="H81" s="22"/>
      <c r="I81" s="14"/>
      <c r="J81" s="26"/>
      <c r="K81" s="9"/>
      <c r="L81" s="9"/>
    </row>
    <row r="82" spans="1:12" x14ac:dyDescent="0.35">
      <c r="A82" s="22"/>
      <c r="B82" s="9"/>
      <c r="C82" s="18"/>
      <c r="D82" s="19"/>
      <c r="E82" s="14"/>
      <c r="F82" s="20"/>
      <c r="G82" s="21"/>
      <c r="H82" s="22"/>
      <c r="I82" s="14"/>
      <c r="J82" s="26"/>
      <c r="K82" s="9"/>
      <c r="L82" s="9"/>
    </row>
    <row r="83" spans="1:12" x14ac:dyDescent="0.35">
      <c r="A83" s="22"/>
      <c r="B83" s="9"/>
      <c r="C83" s="18"/>
      <c r="D83" s="19"/>
      <c r="E83" s="14"/>
      <c r="F83" s="20"/>
      <c r="G83" s="21"/>
      <c r="H83" s="22"/>
      <c r="I83" s="14"/>
      <c r="J83" s="26"/>
      <c r="K83" s="9"/>
      <c r="L83" s="9"/>
    </row>
    <row r="84" spans="1:12" x14ac:dyDescent="0.35">
      <c r="A84" s="22"/>
      <c r="B84" s="9"/>
      <c r="C84" s="18"/>
      <c r="D84" s="19"/>
      <c r="E84" s="14"/>
      <c r="F84" s="20"/>
      <c r="G84" s="21"/>
      <c r="H84" s="22"/>
      <c r="I84" s="14"/>
      <c r="J84" s="26"/>
      <c r="K84" s="9"/>
      <c r="L84" s="9"/>
    </row>
    <row r="85" spans="1:12" x14ac:dyDescent="0.35">
      <c r="A85" s="22"/>
      <c r="B85" s="9"/>
      <c r="C85" s="18"/>
      <c r="D85" s="19"/>
      <c r="E85" s="14"/>
      <c r="F85" s="20"/>
      <c r="G85" s="21"/>
      <c r="H85" s="22"/>
      <c r="I85" s="14"/>
      <c r="J85" s="26"/>
      <c r="K85" s="9"/>
      <c r="L85" s="9"/>
    </row>
    <row r="86" spans="1:12" x14ac:dyDescent="0.35">
      <c r="A86" s="22"/>
      <c r="B86" s="9"/>
      <c r="C86" s="18"/>
      <c r="D86" s="19"/>
      <c r="E86" s="14"/>
      <c r="F86" s="20"/>
      <c r="G86" s="21"/>
      <c r="H86" s="22"/>
      <c r="I86" s="14"/>
      <c r="J86" s="26"/>
      <c r="K86" s="9"/>
      <c r="L86" s="9"/>
    </row>
    <row r="87" spans="1:12" x14ac:dyDescent="0.35">
      <c r="A87" s="22"/>
      <c r="B87" s="9"/>
      <c r="C87" s="18"/>
      <c r="D87" s="19"/>
      <c r="E87" s="14"/>
      <c r="F87" s="20"/>
      <c r="G87" s="21"/>
      <c r="H87" s="22"/>
      <c r="I87" s="14"/>
      <c r="J87" s="26"/>
      <c r="K87" s="9"/>
      <c r="L87" s="9"/>
    </row>
    <row r="88" spans="1:12" x14ac:dyDescent="0.35">
      <c r="A88" s="22"/>
      <c r="B88" s="9"/>
      <c r="C88" s="18"/>
      <c r="D88" s="19"/>
      <c r="E88" s="14"/>
      <c r="F88" s="20"/>
      <c r="G88" s="21"/>
      <c r="H88" s="22"/>
      <c r="I88" s="14"/>
      <c r="J88" s="26"/>
      <c r="K88" s="9"/>
      <c r="L88" s="9"/>
    </row>
    <row r="89" spans="1:12" x14ac:dyDescent="0.35">
      <c r="A89" s="22"/>
      <c r="B89" s="9"/>
      <c r="C89" s="18"/>
      <c r="D89" s="19"/>
      <c r="E89" s="14"/>
      <c r="F89" s="20"/>
      <c r="G89" s="21"/>
      <c r="H89" s="22"/>
      <c r="I89" s="14"/>
      <c r="J89" s="26"/>
      <c r="K89" s="9"/>
      <c r="L89" s="9"/>
    </row>
    <row r="90" spans="1:12" x14ac:dyDescent="0.35">
      <c r="A90" s="22"/>
      <c r="B90" s="9"/>
      <c r="C90" s="18"/>
      <c r="D90" s="19"/>
      <c r="E90" s="14"/>
      <c r="F90" s="20"/>
      <c r="G90" s="21"/>
      <c r="H90" s="22"/>
      <c r="I90" s="14"/>
      <c r="J90" s="26"/>
      <c r="K90" s="9"/>
      <c r="L90" s="9"/>
    </row>
    <row r="91" spans="1:12" x14ac:dyDescent="0.35">
      <c r="A91" s="22"/>
      <c r="B91" s="9"/>
      <c r="C91" s="18"/>
      <c r="D91" s="19"/>
      <c r="E91" s="14"/>
      <c r="F91" s="20"/>
      <c r="G91" s="21"/>
      <c r="H91" s="22"/>
      <c r="I91" s="14"/>
      <c r="J91" s="26"/>
      <c r="K91" s="9"/>
      <c r="L91" s="9"/>
    </row>
    <row r="92" spans="1:12" x14ac:dyDescent="0.35">
      <c r="A92" s="22"/>
      <c r="B92" s="9"/>
      <c r="C92" s="18"/>
      <c r="D92" s="19"/>
      <c r="E92" s="14"/>
      <c r="F92" s="20"/>
      <c r="G92" s="21"/>
      <c r="H92" s="22"/>
      <c r="I92" s="14"/>
      <c r="J92" s="26"/>
      <c r="K92" s="9"/>
      <c r="L92" s="9"/>
    </row>
    <row r="93" spans="1:12" x14ac:dyDescent="0.35">
      <c r="A93" s="22"/>
      <c r="B93" s="9"/>
      <c r="C93" s="18"/>
      <c r="D93" s="19"/>
      <c r="E93" s="14"/>
      <c r="F93" s="20"/>
      <c r="G93" s="21"/>
      <c r="H93" s="22"/>
      <c r="I93" s="14"/>
      <c r="J93" s="26"/>
      <c r="K93" s="9"/>
      <c r="L93" s="9"/>
    </row>
    <row r="94" spans="1:12" x14ac:dyDescent="0.35">
      <c r="A94" s="22"/>
      <c r="B94" s="9"/>
      <c r="C94" s="18"/>
      <c r="D94" s="19"/>
      <c r="E94" s="14"/>
      <c r="F94" s="20"/>
      <c r="G94" s="21"/>
      <c r="H94" s="22"/>
      <c r="I94" s="14"/>
      <c r="J94" s="26"/>
      <c r="K94" s="9"/>
      <c r="L94" s="9"/>
    </row>
    <row r="95" spans="1:12" x14ac:dyDescent="0.35">
      <c r="A95" s="22"/>
      <c r="B95" s="9"/>
      <c r="C95" s="18"/>
      <c r="D95" s="19"/>
      <c r="E95" s="14"/>
      <c r="F95" s="20"/>
      <c r="G95" s="21"/>
      <c r="H95" s="22"/>
      <c r="I95" s="14"/>
      <c r="J95" s="26"/>
      <c r="K95" s="9"/>
      <c r="L95" s="9"/>
    </row>
    <row r="96" spans="1:12" x14ac:dyDescent="0.35">
      <c r="A96" s="22"/>
      <c r="B96" s="9"/>
      <c r="C96" s="18"/>
      <c r="D96" s="19"/>
      <c r="E96" s="14"/>
      <c r="F96" s="20"/>
      <c r="G96" s="21"/>
      <c r="H96" s="22"/>
      <c r="I96" s="14"/>
      <c r="J96" s="26"/>
      <c r="K96" s="9"/>
      <c r="L96" s="9"/>
    </row>
    <row r="97" spans="1:12" x14ac:dyDescent="0.35">
      <c r="A97" s="22"/>
      <c r="B97" s="9"/>
      <c r="C97" s="18"/>
      <c r="D97" s="19"/>
      <c r="E97" s="14"/>
      <c r="F97" s="20"/>
      <c r="G97" s="21"/>
      <c r="H97" s="22"/>
      <c r="I97" s="14"/>
      <c r="J97" s="26"/>
      <c r="K97" s="9"/>
      <c r="L97" s="9"/>
    </row>
    <row r="98" spans="1:12" x14ac:dyDescent="0.35">
      <c r="A98" s="22"/>
      <c r="B98" s="9"/>
      <c r="C98" s="18"/>
      <c r="D98" s="19"/>
      <c r="E98" s="14"/>
      <c r="F98" s="20"/>
      <c r="G98" s="21"/>
      <c r="H98" s="22"/>
      <c r="I98" s="14"/>
      <c r="J98" s="26"/>
      <c r="K98" s="9"/>
      <c r="L98" s="9"/>
    </row>
    <row r="99" spans="1:12" x14ac:dyDescent="0.35">
      <c r="A99" s="22"/>
      <c r="B99" s="9"/>
      <c r="C99" s="18"/>
      <c r="D99" s="19"/>
      <c r="E99" s="14"/>
      <c r="F99" s="20"/>
      <c r="G99" s="21"/>
      <c r="H99" s="22"/>
      <c r="I99" s="14"/>
      <c r="J99" s="26"/>
      <c r="K99" s="9"/>
      <c r="L99" s="9"/>
    </row>
    <row r="100" spans="1:12" x14ac:dyDescent="0.35">
      <c r="A100" s="22"/>
      <c r="B100" s="9"/>
      <c r="C100" s="18"/>
      <c r="D100" s="19"/>
      <c r="E100" s="14"/>
      <c r="F100" s="20"/>
      <c r="G100" s="21"/>
      <c r="H100" s="22"/>
      <c r="I100" s="14"/>
      <c r="J100" s="26"/>
      <c r="K100" s="9"/>
      <c r="L100" s="9"/>
    </row>
    <row r="101" spans="1:12" x14ac:dyDescent="0.35">
      <c r="A101" s="22"/>
      <c r="B101" s="9"/>
      <c r="C101" s="18"/>
      <c r="D101" s="19"/>
      <c r="E101" s="14"/>
      <c r="F101" s="20"/>
      <c r="G101" s="21"/>
      <c r="H101" s="22"/>
      <c r="I101" s="14"/>
      <c r="J101" s="26"/>
      <c r="K101" s="9"/>
      <c r="L101" s="9"/>
    </row>
    <row r="102" spans="1:12" x14ac:dyDescent="0.35">
      <c r="A102" s="22"/>
      <c r="B102" s="9"/>
      <c r="C102" s="18"/>
      <c r="D102" s="19"/>
      <c r="E102" s="14"/>
      <c r="F102" s="20"/>
      <c r="G102" s="21"/>
      <c r="H102" s="22"/>
      <c r="I102" s="14"/>
      <c r="J102" s="26"/>
      <c r="K102" s="9"/>
      <c r="L102" s="9"/>
    </row>
    <row r="103" spans="1:12" x14ac:dyDescent="0.35">
      <c r="A103" s="22"/>
      <c r="B103" s="9"/>
      <c r="C103" s="18"/>
      <c r="D103" s="19"/>
      <c r="E103" s="14"/>
      <c r="F103" s="20"/>
      <c r="G103" s="21"/>
      <c r="H103" s="22"/>
      <c r="I103" s="14"/>
      <c r="J103" s="26"/>
      <c r="K103" s="9"/>
      <c r="L103" s="9"/>
    </row>
    <row r="104" spans="1:12" x14ac:dyDescent="0.35">
      <c r="A104" s="22"/>
      <c r="B104" s="9"/>
      <c r="C104" s="18"/>
      <c r="D104" s="19"/>
      <c r="E104" s="14"/>
      <c r="F104" s="20"/>
      <c r="G104" s="21"/>
      <c r="H104" s="22"/>
      <c r="I104" s="14"/>
      <c r="J104" s="26"/>
      <c r="K104" s="9"/>
      <c r="L104" s="9"/>
    </row>
    <row r="105" spans="1:12" x14ac:dyDescent="0.35">
      <c r="A105" s="22"/>
      <c r="B105" s="9"/>
      <c r="C105" s="18"/>
      <c r="D105" s="19"/>
      <c r="E105" s="14"/>
      <c r="F105" s="20"/>
      <c r="G105" s="21"/>
      <c r="H105" s="22"/>
      <c r="I105" s="14"/>
      <c r="J105" s="26"/>
      <c r="K105" s="9"/>
      <c r="L105" s="9"/>
    </row>
    <row r="106" spans="1:12" x14ac:dyDescent="0.35">
      <c r="A106" s="22"/>
      <c r="B106" s="9"/>
      <c r="C106" s="18"/>
      <c r="D106" s="19"/>
      <c r="E106" s="14"/>
      <c r="F106" s="20"/>
      <c r="G106" s="21"/>
      <c r="H106" s="22"/>
      <c r="I106" s="14"/>
      <c r="J106" s="26"/>
      <c r="K106" s="9"/>
      <c r="L106" s="9"/>
    </row>
    <row r="107" spans="1:12" x14ac:dyDescent="0.35">
      <c r="A107" s="22"/>
      <c r="B107" s="9"/>
      <c r="C107" s="18"/>
      <c r="D107" s="19"/>
      <c r="E107" s="14"/>
      <c r="F107" s="20"/>
      <c r="G107" s="21"/>
      <c r="H107" s="22"/>
      <c r="I107" s="14"/>
      <c r="J107" s="26"/>
      <c r="K107" s="9"/>
      <c r="L107" s="9"/>
    </row>
    <row r="108" spans="1:12" x14ac:dyDescent="0.35">
      <c r="A108" s="22"/>
      <c r="B108" s="9"/>
      <c r="C108" s="18"/>
      <c r="D108" s="19"/>
      <c r="E108" s="14"/>
      <c r="F108" s="20"/>
      <c r="G108" s="21"/>
      <c r="H108" s="22"/>
      <c r="I108" s="14"/>
      <c r="J108" s="26"/>
      <c r="K108" s="9"/>
      <c r="L108" s="9"/>
    </row>
    <row r="109" spans="1:12" x14ac:dyDescent="0.35">
      <c r="A109" s="22"/>
      <c r="B109" s="9"/>
      <c r="C109" s="18"/>
      <c r="D109" s="19"/>
      <c r="E109" s="14"/>
      <c r="F109" s="20"/>
      <c r="G109" s="21"/>
      <c r="H109" s="22"/>
      <c r="I109" s="14"/>
      <c r="J109" s="26"/>
      <c r="K109" s="9"/>
      <c r="L109" s="9"/>
    </row>
    <row r="110" spans="1:12" x14ac:dyDescent="0.35">
      <c r="A110" s="22"/>
      <c r="B110" s="9"/>
      <c r="C110" s="18"/>
      <c r="D110" s="19"/>
      <c r="E110" s="14"/>
      <c r="F110" s="20"/>
      <c r="G110" s="21"/>
      <c r="H110" s="22"/>
      <c r="I110" s="14"/>
      <c r="J110" s="26"/>
      <c r="K110" s="9"/>
      <c r="L110" s="9"/>
    </row>
    <row r="111" spans="1:12" x14ac:dyDescent="0.35">
      <c r="A111" s="22"/>
      <c r="B111" s="9"/>
      <c r="C111" s="18"/>
      <c r="D111" s="19"/>
      <c r="E111" s="14"/>
      <c r="F111" s="20"/>
      <c r="G111" s="21"/>
      <c r="H111" s="22"/>
      <c r="I111" s="14"/>
      <c r="J111" s="26"/>
      <c r="K111" s="9"/>
      <c r="L111" s="9"/>
    </row>
    <row r="112" spans="1:12" x14ac:dyDescent="0.35">
      <c r="A112" s="22"/>
      <c r="B112" s="9"/>
      <c r="C112" s="18"/>
      <c r="D112" s="19"/>
      <c r="E112" s="14"/>
      <c r="F112" s="20"/>
      <c r="G112" s="21"/>
      <c r="H112" s="22"/>
      <c r="I112" s="14"/>
      <c r="J112" s="26"/>
      <c r="K112" s="9"/>
      <c r="L112" s="9"/>
    </row>
    <row r="113" spans="1:12" x14ac:dyDescent="0.35">
      <c r="A113" s="22"/>
      <c r="B113" s="9"/>
      <c r="C113" s="18"/>
      <c r="D113" s="19"/>
      <c r="E113" s="14"/>
      <c r="F113" s="20"/>
      <c r="G113" s="21"/>
      <c r="H113" s="22"/>
      <c r="I113" s="14"/>
      <c r="J113" s="26"/>
      <c r="K113" s="9"/>
      <c r="L113" s="9"/>
    </row>
    <row r="114" spans="1:12" x14ac:dyDescent="0.35">
      <c r="A114" s="22"/>
      <c r="B114" s="9"/>
      <c r="C114" s="18"/>
      <c r="D114" s="19"/>
      <c r="E114" s="14"/>
      <c r="F114" s="20"/>
      <c r="G114" s="21"/>
      <c r="H114" s="22"/>
      <c r="I114" s="14"/>
      <c r="J114" s="26"/>
      <c r="K114" s="9"/>
      <c r="L114" s="9"/>
    </row>
    <row r="115" spans="1:12" x14ac:dyDescent="0.35">
      <c r="A115" s="22"/>
      <c r="B115" s="9"/>
      <c r="C115" s="18"/>
      <c r="D115" s="19"/>
      <c r="E115" s="14"/>
      <c r="F115" s="20"/>
      <c r="G115" s="21"/>
      <c r="H115" s="22"/>
      <c r="I115" s="14"/>
      <c r="J115" s="26"/>
      <c r="K115" s="9"/>
      <c r="L115" s="9"/>
    </row>
    <row r="116" spans="1:12" x14ac:dyDescent="0.35">
      <c r="A116" s="22"/>
      <c r="B116" s="9"/>
      <c r="C116" s="18"/>
      <c r="D116" s="19"/>
      <c r="E116" s="14"/>
      <c r="F116" s="20"/>
      <c r="G116" s="21"/>
      <c r="H116" s="22"/>
      <c r="I116" s="14"/>
      <c r="J116" s="26"/>
      <c r="K116" s="9"/>
      <c r="L116" s="9"/>
    </row>
    <row r="117" spans="1:12" x14ac:dyDescent="0.35">
      <c r="A117" s="22"/>
      <c r="B117" s="9"/>
      <c r="C117" s="18"/>
      <c r="D117" s="19"/>
      <c r="E117" s="14"/>
      <c r="F117" s="20"/>
      <c r="G117" s="21"/>
      <c r="H117" s="22"/>
      <c r="I117" s="14"/>
      <c r="J117" s="26"/>
      <c r="K117" s="9"/>
      <c r="L117" s="9"/>
    </row>
    <row r="118" spans="1:12" x14ac:dyDescent="0.35">
      <c r="A118" s="22"/>
      <c r="B118" s="9"/>
      <c r="C118" s="18"/>
      <c r="D118" s="19"/>
      <c r="E118" s="14"/>
      <c r="F118" s="20"/>
      <c r="G118" s="21"/>
      <c r="H118" s="22"/>
      <c r="I118" s="14"/>
      <c r="J118" s="26"/>
      <c r="K118" s="9"/>
      <c r="L118" s="9"/>
    </row>
    <row r="119" spans="1:12" x14ac:dyDescent="0.35">
      <c r="A119" s="22"/>
      <c r="B119" s="9"/>
      <c r="C119" s="18"/>
      <c r="D119" s="19"/>
      <c r="E119" s="14"/>
      <c r="F119" s="20"/>
      <c r="G119" s="21"/>
      <c r="H119" s="22"/>
      <c r="I119" s="14"/>
      <c r="J119" s="26"/>
      <c r="K119" s="9"/>
      <c r="L119" s="9"/>
    </row>
    <row r="120" spans="1:12" x14ac:dyDescent="0.35">
      <c r="A120" s="22"/>
      <c r="B120" s="9"/>
      <c r="C120" s="18"/>
      <c r="D120" s="19"/>
      <c r="E120" s="14"/>
      <c r="F120" s="20"/>
      <c r="G120" s="21"/>
      <c r="H120" s="22"/>
      <c r="I120" s="14"/>
      <c r="J120" s="26"/>
      <c r="K120" s="9"/>
      <c r="L120" s="9"/>
    </row>
    <row r="121" spans="1:12" x14ac:dyDescent="0.35">
      <c r="A121" s="22"/>
      <c r="B121" s="9"/>
      <c r="C121" s="18"/>
      <c r="D121" s="19"/>
      <c r="E121" s="14"/>
      <c r="F121" s="20"/>
      <c r="G121" s="21"/>
      <c r="H121" s="22"/>
      <c r="I121" s="14"/>
      <c r="J121" s="26"/>
      <c r="K121" s="9"/>
      <c r="L121" s="9"/>
    </row>
    <row r="122" spans="1:12" x14ac:dyDescent="0.35">
      <c r="A122" s="22"/>
      <c r="B122" s="9"/>
      <c r="C122" s="18"/>
      <c r="D122" s="19"/>
      <c r="E122" s="14"/>
      <c r="F122" s="20"/>
      <c r="G122" s="21"/>
      <c r="H122" s="22"/>
      <c r="I122" s="14"/>
      <c r="J122" s="26"/>
      <c r="K122" s="9"/>
      <c r="L122" s="9"/>
    </row>
    <row r="123" spans="1:12" x14ac:dyDescent="0.35">
      <c r="A123" s="22"/>
      <c r="B123" s="9"/>
      <c r="C123" s="18"/>
      <c r="D123" s="19"/>
      <c r="E123" s="14"/>
      <c r="F123" s="20"/>
      <c r="G123" s="21"/>
      <c r="H123" s="22"/>
      <c r="I123" s="14"/>
      <c r="J123" s="26"/>
      <c r="K123" s="9"/>
      <c r="L123" s="9"/>
    </row>
    <row r="124" spans="1:12" x14ac:dyDescent="0.35">
      <c r="A124" s="22"/>
      <c r="B124" s="9"/>
      <c r="C124" s="18"/>
      <c r="D124" s="19"/>
      <c r="E124" s="14"/>
      <c r="F124" s="20"/>
      <c r="G124" s="21"/>
      <c r="H124" s="22"/>
      <c r="I124" s="14"/>
      <c r="J124" s="26"/>
      <c r="K124" s="9"/>
      <c r="L124" s="9"/>
    </row>
    <row r="125" spans="1:12" x14ac:dyDescent="0.35">
      <c r="A125" s="22"/>
      <c r="B125" s="9"/>
      <c r="C125" s="18"/>
      <c r="D125" s="19"/>
      <c r="E125" s="14"/>
      <c r="F125" s="20"/>
      <c r="G125" s="21"/>
      <c r="H125" s="22"/>
      <c r="I125" s="14"/>
      <c r="J125" s="26"/>
      <c r="K125" s="9"/>
      <c r="L125" s="9"/>
    </row>
    <row r="126" spans="1:12" x14ac:dyDescent="0.35">
      <c r="A126" s="22"/>
      <c r="B126" s="9"/>
      <c r="C126" s="18"/>
      <c r="D126" s="19"/>
      <c r="E126" s="14"/>
      <c r="F126" s="20"/>
      <c r="G126" s="21"/>
      <c r="H126" s="22"/>
      <c r="I126" s="14"/>
      <c r="J126" s="26"/>
      <c r="K126" s="9"/>
      <c r="L126" s="9"/>
    </row>
    <row r="127" spans="1:12" x14ac:dyDescent="0.35">
      <c r="A127" s="22"/>
      <c r="B127" s="9"/>
      <c r="C127" s="18"/>
      <c r="D127" s="19"/>
      <c r="E127" s="14"/>
      <c r="F127" s="20"/>
      <c r="G127" s="21"/>
      <c r="H127" s="22"/>
      <c r="I127" s="14"/>
      <c r="J127" s="26"/>
      <c r="K127" s="9"/>
      <c r="L127" s="9"/>
    </row>
    <row r="128" spans="1:12" x14ac:dyDescent="0.35">
      <c r="A128" s="22"/>
      <c r="B128" s="9"/>
      <c r="C128" s="18"/>
      <c r="D128" s="19"/>
      <c r="E128" s="14"/>
      <c r="F128" s="20"/>
      <c r="G128" s="21"/>
      <c r="H128" s="22"/>
      <c r="I128" s="14"/>
      <c r="J128" s="26"/>
      <c r="K128" s="9"/>
      <c r="L128" s="9"/>
    </row>
    <row r="129" spans="1:12" x14ac:dyDescent="0.35">
      <c r="A129" s="22"/>
      <c r="B129" s="9"/>
      <c r="C129" s="18"/>
      <c r="D129" s="19"/>
      <c r="E129" s="14"/>
      <c r="F129" s="20"/>
      <c r="G129" s="21"/>
      <c r="H129" s="22"/>
      <c r="I129" s="14"/>
      <c r="J129" s="26"/>
      <c r="K129" s="9"/>
      <c r="L129" s="9"/>
    </row>
    <row r="130" spans="1:12" x14ac:dyDescent="0.35">
      <c r="A130" s="22"/>
      <c r="B130" s="9"/>
      <c r="C130" s="18"/>
      <c r="D130" s="19"/>
      <c r="E130" s="14"/>
      <c r="F130" s="20"/>
      <c r="G130" s="21"/>
      <c r="H130" s="22"/>
      <c r="I130" s="14"/>
      <c r="J130" s="26"/>
      <c r="K130" s="9"/>
      <c r="L130" s="9"/>
    </row>
    <row r="131" spans="1:12" x14ac:dyDescent="0.35">
      <c r="A131" s="22"/>
      <c r="B131" s="9"/>
      <c r="C131" s="18"/>
      <c r="D131" s="19"/>
      <c r="E131" s="14"/>
      <c r="F131" s="20"/>
      <c r="G131" s="21"/>
      <c r="H131" s="22"/>
      <c r="I131" s="14"/>
      <c r="J131" s="26"/>
      <c r="K131" s="9"/>
      <c r="L131" s="9"/>
    </row>
    <row r="132" spans="1:12" x14ac:dyDescent="0.35">
      <c r="A132" s="22"/>
      <c r="B132" s="9"/>
      <c r="C132" s="18"/>
      <c r="D132" s="19"/>
      <c r="E132" s="14"/>
      <c r="F132" s="20"/>
      <c r="G132" s="21"/>
      <c r="H132" s="22"/>
      <c r="I132" s="14"/>
      <c r="J132" s="26"/>
      <c r="K132" s="9"/>
      <c r="L132" s="9"/>
    </row>
    <row r="133" spans="1:12" x14ac:dyDescent="0.35">
      <c r="A133" s="22"/>
      <c r="B133" s="9"/>
      <c r="C133" s="18"/>
      <c r="D133" s="19"/>
      <c r="E133" s="14"/>
      <c r="F133" s="20"/>
      <c r="G133" s="21"/>
      <c r="H133" s="22"/>
      <c r="I133" s="14"/>
      <c r="J133" s="26"/>
      <c r="K133" s="9"/>
      <c r="L133" s="9"/>
    </row>
    <row r="134" spans="1:12" x14ac:dyDescent="0.35">
      <c r="A134" s="22"/>
      <c r="B134" s="9"/>
      <c r="C134" s="18"/>
      <c r="D134" s="19"/>
      <c r="E134" s="14"/>
      <c r="F134" s="20"/>
      <c r="G134" s="21"/>
      <c r="H134" s="22"/>
      <c r="I134" s="14"/>
      <c r="J134" s="26"/>
      <c r="K134" s="9"/>
      <c r="L134" s="9"/>
    </row>
    <row r="135" spans="1:12" x14ac:dyDescent="0.35">
      <c r="A135" s="22"/>
      <c r="B135" s="9"/>
      <c r="C135" s="18"/>
      <c r="D135" s="19"/>
      <c r="E135" s="14"/>
      <c r="F135" s="20"/>
      <c r="G135" s="21"/>
      <c r="H135" s="22"/>
      <c r="I135" s="14"/>
      <c r="J135" s="26"/>
      <c r="K135" s="9"/>
      <c r="L135" s="9"/>
    </row>
    <row r="136" spans="1:12" x14ac:dyDescent="0.35">
      <c r="A136" s="22"/>
      <c r="B136" s="9"/>
      <c r="C136" s="18"/>
      <c r="D136" s="19"/>
      <c r="E136" s="14"/>
      <c r="F136" s="20"/>
      <c r="G136" s="21"/>
      <c r="H136" s="22"/>
      <c r="I136" s="14"/>
      <c r="J136" s="26"/>
      <c r="K136" s="9"/>
      <c r="L136" s="9"/>
    </row>
    <row r="137" spans="1:12" x14ac:dyDescent="0.35">
      <c r="A137" s="22"/>
      <c r="B137" s="9"/>
      <c r="C137" s="18"/>
      <c r="D137" s="19"/>
      <c r="E137" s="14"/>
      <c r="F137" s="20"/>
      <c r="G137" s="21"/>
      <c r="H137" s="22"/>
      <c r="I137" s="14"/>
      <c r="J137" s="26"/>
      <c r="K137" s="9"/>
      <c r="L137" s="9"/>
    </row>
    <row r="138" spans="1:12" x14ac:dyDescent="0.35">
      <c r="A138" s="22"/>
      <c r="B138" s="9"/>
      <c r="C138" s="18"/>
      <c r="D138" s="19"/>
      <c r="E138" s="14"/>
      <c r="F138" s="20"/>
      <c r="G138" s="21"/>
      <c r="H138" s="22"/>
      <c r="I138" s="14"/>
      <c r="J138" s="26"/>
      <c r="K138" s="9"/>
      <c r="L138" s="9"/>
    </row>
    <row r="139" spans="1:12" x14ac:dyDescent="0.35">
      <c r="A139" s="22"/>
      <c r="B139" s="9"/>
      <c r="C139" s="18"/>
      <c r="D139" s="19"/>
      <c r="E139" s="14"/>
      <c r="F139" s="20"/>
      <c r="G139" s="21"/>
      <c r="H139" s="22"/>
      <c r="I139" s="14"/>
      <c r="J139" s="26"/>
      <c r="K139" s="9"/>
      <c r="L139" s="9"/>
    </row>
    <row r="140" spans="1:12" x14ac:dyDescent="0.35">
      <c r="A140" s="22"/>
      <c r="B140" s="9"/>
      <c r="C140" s="18"/>
      <c r="D140" s="19"/>
      <c r="E140" s="14"/>
      <c r="F140" s="20"/>
      <c r="G140" s="21"/>
      <c r="H140" s="22"/>
      <c r="I140" s="14"/>
      <c r="J140" s="26"/>
      <c r="K140" s="9"/>
      <c r="L140" s="9"/>
    </row>
    <row r="141" spans="1:12" x14ac:dyDescent="0.35">
      <c r="A141" s="22"/>
      <c r="B141" s="9"/>
      <c r="C141" s="18"/>
      <c r="D141" s="19"/>
      <c r="E141" s="14"/>
      <c r="F141" s="20"/>
      <c r="G141" s="21"/>
      <c r="H141" s="22"/>
      <c r="I141" s="14"/>
      <c r="J141" s="26"/>
      <c r="K141" s="9"/>
      <c r="L141" s="9"/>
    </row>
    <row r="142" spans="1:12" x14ac:dyDescent="0.35">
      <c r="A142" s="22"/>
      <c r="B142" s="9"/>
      <c r="C142" s="18"/>
      <c r="D142" s="19"/>
      <c r="E142" s="14"/>
      <c r="F142" s="20"/>
      <c r="G142" s="21"/>
      <c r="H142" s="22"/>
      <c r="I142" s="14"/>
      <c r="J142" s="26"/>
      <c r="K142" s="9"/>
      <c r="L142" s="9"/>
    </row>
    <row r="143" spans="1:12" x14ac:dyDescent="0.35">
      <c r="A143" s="22"/>
      <c r="B143" s="9"/>
      <c r="C143" s="18"/>
      <c r="D143" s="19"/>
      <c r="E143" s="14"/>
      <c r="F143" s="20"/>
      <c r="G143" s="21"/>
      <c r="H143" s="22"/>
      <c r="I143" s="14"/>
      <c r="J143" s="26"/>
      <c r="K143" s="9"/>
      <c r="L143" s="9"/>
    </row>
    <row r="144" spans="1:12" x14ac:dyDescent="0.35">
      <c r="A144" s="22"/>
      <c r="B144" s="9"/>
      <c r="C144" s="18"/>
      <c r="D144" s="19"/>
      <c r="E144" s="14"/>
      <c r="F144" s="20"/>
      <c r="G144" s="21"/>
      <c r="H144" s="22"/>
      <c r="I144" s="14"/>
      <c r="J144" s="26"/>
      <c r="K144" s="9"/>
      <c r="L144" s="9"/>
    </row>
    <row r="145" spans="1:12" x14ac:dyDescent="0.35">
      <c r="A145" s="22"/>
      <c r="B145" s="9"/>
      <c r="C145" s="18"/>
      <c r="D145" s="19"/>
      <c r="E145" s="14"/>
      <c r="F145" s="20"/>
      <c r="G145" s="21"/>
      <c r="H145" s="22"/>
      <c r="I145" s="14"/>
      <c r="J145" s="26"/>
      <c r="K145" s="9"/>
      <c r="L145" s="9"/>
    </row>
    <row r="146" spans="1:12" x14ac:dyDescent="0.35">
      <c r="A146" s="22"/>
      <c r="B146" s="9"/>
      <c r="C146" s="18"/>
      <c r="D146" s="19"/>
      <c r="E146" s="14"/>
      <c r="F146" s="20"/>
      <c r="G146" s="21"/>
      <c r="H146" s="22"/>
      <c r="I146" s="14"/>
      <c r="J146" s="26"/>
      <c r="K146" s="9"/>
      <c r="L146" s="9"/>
    </row>
    <row r="147" spans="1:12" x14ac:dyDescent="0.35">
      <c r="A147" s="22"/>
      <c r="B147" s="9"/>
      <c r="C147" s="18"/>
      <c r="D147" s="19"/>
      <c r="E147" s="14"/>
      <c r="F147" s="20"/>
      <c r="G147" s="21"/>
      <c r="H147" s="22"/>
      <c r="I147" s="14"/>
      <c r="J147" s="26"/>
      <c r="K147" s="9"/>
      <c r="L147" s="9"/>
    </row>
    <row r="148" spans="1:12" x14ac:dyDescent="0.35">
      <c r="A148" s="22"/>
      <c r="B148" s="9"/>
      <c r="C148" s="18"/>
      <c r="D148" s="19"/>
      <c r="E148" s="14"/>
      <c r="F148" s="20"/>
      <c r="G148" s="21"/>
      <c r="H148" s="22"/>
      <c r="I148" s="14"/>
      <c r="J148" s="26"/>
      <c r="K148" s="9"/>
      <c r="L148" s="9"/>
    </row>
    <row r="149" spans="1:12" x14ac:dyDescent="0.35">
      <c r="A149" s="22"/>
      <c r="B149" s="9"/>
      <c r="C149" s="18"/>
      <c r="D149" s="19"/>
      <c r="E149" s="14"/>
      <c r="F149" s="20"/>
      <c r="G149" s="21"/>
      <c r="H149" s="22"/>
      <c r="I149" s="14"/>
      <c r="J149" s="26"/>
      <c r="K149" s="9"/>
      <c r="L149" s="9"/>
    </row>
    <row r="150" spans="1:12" x14ac:dyDescent="0.35">
      <c r="A150" s="22"/>
      <c r="B150" s="9"/>
      <c r="C150" s="18"/>
      <c r="D150" s="19"/>
      <c r="E150" s="14"/>
      <c r="F150" s="20"/>
      <c r="G150" s="21"/>
      <c r="H150" s="22"/>
      <c r="I150" s="14"/>
      <c r="J150" s="26"/>
      <c r="K150" s="9"/>
      <c r="L150" s="9"/>
    </row>
    <row r="151" spans="1:12" x14ac:dyDescent="0.35">
      <c r="A151" s="22"/>
      <c r="B151" s="9"/>
      <c r="C151" s="18"/>
      <c r="D151" s="19"/>
      <c r="E151" s="14"/>
      <c r="F151" s="20"/>
      <c r="G151" s="21"/>
      <c r="H151" s="22"/>
      <c r="I151" s="14"/>
      <c r="J151" s="26"/>
      <c r="K151" s="9"/>
      <c r="L151" s="9"/>
    </row>
    <row r="152" spans="1:12" x14ac:dyDescent="0.35">
      <c r="A152" s="22"/>
      <c r="B152" s="9"/>
      <c r="C152" s="18"/>
      <c r="D152" s="19"/>
      <c r="E152" s="14"/>
      <c r="F152" s="20"/>
      <c r="G152" s="21"/>
      <c r="H152" s="22"/>
      <c r="I152" s="14"/>
      <c r="J152" s="26"/>
      <c r="K152" s="9"/>
      <c r="L152" s="9"/>
    </row>
    <row r="153" spans="1:12" x14ac:dyDescent="0.35">
      <c r="A153" s="22"/>
      <c r="B153" s="9"/>
      <c r="C153" s="18"/>
      <c r="D153" s="19"/>
      <c r="E153" s="14"/>
      <c r="F153" s="20"/>
      <c r="G153" s="21"/>
      <c r="H153" s="22"/>
      <c r="I153" s="14"/>
      <c r="J153" s="26"/>
      <c r="K153" s="9"/>
      <c r="L153" s="9"/>
    </row>
    <row r="154" spans="1:12" x14ac:dyDescent="0.35">
      <c r="A154" s="22"/>
      <c r="B154" s="9"/>
      <c r="C154" s="18"/>
      <c r="D154" s="19"/>
      <c r="E154" s="14"/>
      <c r="F154" s="20"/>
      <c r="G154" s="21"/>
      <c r="H154" s="22"/>
      <c r="I154" s="14"/>
      <c r="J154" s="26"/>
      <c r="K154" s="9"/>
      <c r="L154" s="9"/>
    </row>
    <row r="155" spans="1:12" x14ac:dyDescent="0.35">
      <c r="A155" s="22"/>
      <c r="B155" s="9"/>
      <c r="C155" s="18"/>
      <c r="D155" s="19"/>
      <c r="E155" s="14"/>
      <c r="F155" s="20"/>
      <c r="G155" s="21"/>
      <c r="H155" s="22"/>
      <c r="I155" s="14"/>
      <c r="J155" s="26"/>
      <c r="K155" s="9"/>
      <c r="L155" s="9"/>
    </row>
    <row r="156" spans="1:12" x14ac:dyDescent="0.35">
      <c r="A156" s="22"/>
      <c r="B156" s="9"/>
      <c r="C156" s="18"/>
      <c r="D156" s="19"/>
      <c r="E156" s="14"/>
      <c r="F156" s="20"/>
      <c r="G156" s="21"/>
      <c r="H156" s="22"/>
      <c r="I156" s="14"/>
      <c r="J156" s="26"/>
      <c r="K156" s="9"/>
      <c r="L156" s="9"/>
    </row>
    <row r="157" spans="1:12" x14ac:dyDescent="0.35">
      <c r="A157" s="22"/>
      <c r="B157" s="9"/>
      <c r="C157" s="18"/>
      <c r="D157" s="19"/>
      <c r="E157" s="14"/>
      <c r="F157" s="20"/>
      <c r="G157" s="21"/>
      <c r="H157" s="22"/>
      <c r="I157" s="14"/>
      <c r="J157" s="26"/>
      <c r="K157" s="9"/>
      <c r="L157" s="9"/>
    </row>
    <row r="158" spans="1:12" x14ac:dyDescent="0.35">
      <c r="A158" s="22"/>
      <c r="B158" s="9"/>
      <c r="C158" s="18"/>
      <c r="D158" s="19"/>
      <c r="E158" s="14"/>
      <c r="F158" s="20"/>
      <c r="G158" s="21"/>
      <c r="H158" s="22"/>
      <c r="I158" s="14"/>
      <c r="J158" s="26"/>
      <c r="K158" s="9"/>
      <c r="L158" s="9"/>
    </row>
    <row r="159" spans="1:12" x14ac:dyDescent="0.35">
      <c r="A159" s="22"/>
      <c r="B159" s="9"/>
      <c r="C159" s="18"/>
      <c r="D159" s="19"/>
      <c r="E159" s="14"/>
      <c r="F159" s="20"/>
      <c r="G159" s="21"/>
      <c r="H159" s="22"/>
      <c r="I159" s="14"/>
      <c r="J159" s="26"/>
      <c r="K159" s="9"/>
      <c r="L159" s="9"/>
    </row>
    <row r="160" spans="1:12" x14ac:dyDescent="0.35">
      <c r="A160" s="22"/>
      <c r="B160" s="9"/>
      <c r="C160" s="18"/>
      <c r="D160" s="19"/>
      <c r="E160" s="14"/>
      <c r="F160" s="20"/>
      <c r="G160" s="21"/>
      <c r="H160" s="22"/>
      <c r="I160" s="14"/>
      <c r="J160" s="26"/>
      <c r="K160" s="9"/>
      <c r="L160" s="9"/>
    </row>
    <row r="161" spans="1:12" x14ac:dyDescent="0.35">
      <c r="A161" s="22"/>
      <c r="B161" s="9"/>
      <c r="C161" s="18"/>
      <c r="D161" s="19"/>
      <c r="E161" s="14"/>
      <c r="F161" s="20"/>
      <c r="G161" s="21"/>
      <c r="H161" s="22"/>
      <c r="I161" s="14"/>
      <c r="J161" s="26"/>
      <c r="K161" s="9"/>
      <c r="L161" s="9"/>
    </row>
    <row r="162" spans="1:12" x14ac:dyDescent="0.35">
      <c r="A162" s="22"/>
      <c r="B162" s="9"/>
      <c r="C162" s="18"/>
      <c r="D162" s="19"/>
      <c r="E162" s="14"/>
      <c r="F162" s="20"/>
      <c r="G162" s="21"/>
      <c r="H162" s="22"/>
      <c r="I162" s="14"/>
      <c r="J162" s="26"/>
      <c r="K162" s="9"/>
      <c r="L162" s="9"/>
    </row>
    <row r="163" spans="1:12" x14ac:dyDescent="0.35">
      <c r="A163" s="22"/>
      <c r="B163" s="9"/>
      <c r="C163" s="18"/>
      <c r="D163" s="19"/>
      <c r="E163" s="14"/>
      <c r="F163" s="20"/>
      <c r="G163" s="21"/>
      <c r="H163" s="22"/>
      <c r="I163" s="14"/>
      <c r="J163" s="26"/>
      <c r="K163" s="9"/>
      <c r="L163" s="9"/>
    </row>
    <row r="164" spans="1:12" x14ac:dyDescent="0.35">
      <c r="A164" s="22"/>
      <c r="B164" s="9"/>
      <c r="C164" s="18"/>
      <c r="D164" s="19"/>
      <c r="E164" s="14"/>
      <c r="F164" s="20"/>
      <c r="G164" s="21"/>
      <c r="H164" s="22"/>
      <c r="I164" s="14"/>
      <c r="J164" s="26"/>
      <c r="K164" s="9"/>
      <c r="L164" s="9"/>
    </row>
    <row r="165" spans="1:12" x14ac:dyDescent="0.35">
      <c r="A165" s="22"/>
      <c r="B165" s="9"/>
      <c r="C165" s="18"/>
      <c r="D165" s="19"/>
      <c r="E165" s="14"/>
      <c r="F165" s="20"/>
      <c r="G165" s="21"/>
      <c r="H165" s="22"/>
      <c r="I165" s="14"/>
      <c r="J165" s="26"/>
      <c r="K165" s="9"/>
      <c r="L165" s="9"/>
    </row>
    <row r="166" spans="1:12" x14ac:dyDescent="0.35">
      <c r="A166" s="22"/>
      <c r="B166" s="9"/>
      <c r="C166" s="18"/>
      <c r="D166" s="19"/>
      <c r="E166" s="14"/>
      <c r="F166" s="20"/>
      <c r="G166" s="21"/>
      <c r="H166" s="22"/>
      <c r="I166" s="14"/>
      <c r="J166" s="26"/>
      <c r="K166" s="9"/>
      <c r="L166" s="9"/>
    </row>
    <row r="167" spans="1:12" x14ac:dyDescent="0.35">
      <c r="A167" s="22"/>
      <c r="B167" s="9"/>
      <c r="C167" s="18"/>
      <c r="D167" s="19"/>
      <c r="E167" s="14"/>
      <c r="F167" s="20"/>
      <c r="G167" s="21"/>
      <c r="H167" s="22"/>
      <c r="I167" s="14"/>
      <c r="J167" s="26"/>
      <c r="K167" s="9"/>
      <c r="L167" s="9"/>
    </row>
    <row r="168" spans="1:12" x14ac:dyDescent="0.35">
      <c r="A168" s="22"/>
      <c r="B168" s="9"/>
      <c r="C168" s="18"/>
      <c r="D168" s="19"/>
      <c r="E168" s="14"/>
      <c r="F168" s="20"/>
      <c r="G168" s="21"/>
      <c r="H168" s="22"/>
      <c r="I168" s="14"/>
      <c r="J168" s="26"/>
      <c r="K168" s="9"/>
      <c r="L168" s="9"/>
    </row>
    <row r="169" spans="1:12" x14ac:dyDescent="0.35">
      <c r="A169" s="22"/>
      <c r="B169" s="9"/>
      <c r="C169" s="18"/>
      <c r="D169" s="19"/>
      <c r="E169" s="14"/>
      <c r="F169" s="20"/>
      <c r="G169" s="21"/>
      <c r="H169" s="22"/>
      <c r="I169" s="14"/>
      <c r="J169" s="26"/>
      <c r="K169" s="9"/>
      <c r="L169" s="9"/>
    </row>
    <row r="170" spans="1:12" x14ac:dyDescent="0.35">
      <c r="A170" s="22"/>
      <c r="B170" s="9"/>
      <c r="C170" s="18"/>
      <c r="D170" s="19"/>
      <c r="E170" s="14"/>
      <c r="F170" s="20"/>
      <c r="G170" s="21"/>
      <c r="H170" s="22"/>
      <c r="I170" s="14"/>
      <c r="J170" s="26"/>
      <c r="K170" s="9"/>
      <c r="L170" s="9"/>
    </row>
    <row r="171" spans="1:12" x14ac:dyDescent="0.35">
      <c r="A171" s="22"/>
      <c r="B171" s="9"/>
      <c r="C171" s="18"/>
      <c r="D171" s="19"/>
      <c r="E171" s="14"/>
      <c r="F171" s="20"/>
      <c r="G171" s="21"/>
      <c r="H171" s="22"/>
      <c r="I171" s="14"/>
      <c r="J171" s="26"/>
      <c r="K171" s="9"/>
      <c r="L171" s="9"/>
    </row>
    <row r="172" spans="1:12" x14ac:dyDescent="0.35">
      <c r="A172" s="22"/>
      <c r="B172" s="9"/>
      <c r="C172" s="18"/>
      <c r="D172" s="19"/>
      <c r="E172" s="14"/>
      <c r="F172" s="20"/>
      <c r="G172" s="21"/>
      <c r="H172" s="22"/>
      <c r="I172" s="14"/>
      <c r="J172" s="26"/>
      <c r="K172" s="9"/>
      <c r="L172" s="9"/>
    </row>
    <row r="173" spans="1:12" x14ac:dyDescent="0.35">
      <c r="A173" s="22"/>
      <c r="B173" s="9"/>
      <c r="C173" s="18"/>
      <c r="D173" s="19"/>
      <c r="E173" s="14"/>
      <c r="F173" s="20"/>
      <c r="G173" s="21"/>
      <c r="H173" s="22"/>
      <c r="I173" s="14"/>
      <c r="J173" s="26"/>
      <c r="K173" s="9"/>
      <c r="L173" s="9"/>
    </row>
    <row r="174" spans="1:12" x14ac:dyDescent="0.35">
      <c r="A174" s="22"/>
      <c r="B174" s="9"/>
      <c r="C174" s="18"/>
      <c r="D174" s="19"/>
      <c r="E174" s="14"/>
      <c r="F174" s="20"/>
      <c r="G174" s="21"/>
      <c r="H174" s="22"/>
      <c r="I174" s="14"/>
      <c r="J174" s="26"/>
      <c r="K174" s="9"/>
      <c r="L174" s="9"/>
    </row>
    <row r="175" spans="1:12" x14ac:dyDescent="0.35">
      <c r="A175" s="22"/>
      <c r="B175" s="9"/>
      <c r="C175" s="18"/>
      <c r="D175" s="19"/>
      <c r="E175" s="14"/>
      <c r="F175" s="20"/>
      <c r="G175" s="21"/>
      <c r="H175" s="22"/>
      <c r="I175" s="14"/>
      <c r="J175" s="26"/>
      <c r="K175" s="9"/>
      <c r="L175" s="9"/>
    </row>
    <row r="176" spans="1:12" x14ac:dyDescent="0.35">
      <c r="A176" s="22"/>
      <c r="B176" s="9"/>
      <c r="C176" s="18"/>
      <c r="D176" s="19"/>
      <c r="E176" s="14"/>
      <c r="F176" s="20"/>
      <c r="G176" s="21"/>
      <c r="H176" s="22"/>
      <c r="I176" s="14"/>
      <c r="J176" s="26"/>
      <c r="K176" s="9"/>
      <c r="L176" s="9"/>
    </row>
    <row r="177" spans="1:12" x14ac:dyDescent="0.35">
      <c r="A177" s="22"/>
      <c r="B177" s="9"/>
      <c r="C177" s="18"/>
      <c r="D177" s="19"/>
      <c r="E177" s="14"/>
      <c r="F177" s="20"/>
      <c r="G177" s="21"/>
      <c r="H177" s="22"/>
      <c r="I177" s="14"/>
      <c r="J177" s="26"/>
      <c r="K177" s="9"/>
      <c r="L177" s="9"/>
    </row>
    <row r="178" spans="1:12" x14ac:dyDescent="0.35">
      <c r="A178" s="22"/>
      <c r="B178" s="9"/>
      <c r="C178" s="18"/>
      <c r="D178" s="19"/>
      <c r="E178" s="14"/>
      <c r="F178" s="20"/>
      <c r="G178" s="21"/>
      <c r="H178" s="22"/>
      <c r="I178" s="14"/>
      <c r="J178" s="26"/>
      <c r="K178" s="9"/>
      <c r="L178" s="9"/>
    </row>
    <row r="179" spans="1:12" x14ac:dyDescent="0.35">
      <c r="A179" s="22"/>
      <c r="B179" s="9"/>
      <c r="C179" s="18"/>
      <c r="D179" s="19"/>
      <c r="E179" s="14"/>
      <c r="F179" s="20"/>
      <c r="G179" s="21"/>
      <c r="H179" s="22"/>
      <c r="I179" s="14"/>
      <c r="J179" s="26"/>
      <c r="K179" s="9"/>
      <c r="L179" s="9"/>
    </row>
    <row r="180" spans="1:12" x14ac:dyDescent="0.35">
      <c r="A180" s="22"/>
      <c r="B180" s="9"/>
      <c r="C180" s="18"/>
      <c r="D180" s="19"/>
      <c r="E180" s="14"/>
      <c r="F180" s="20"/>
      <c r="G180" s="21"/>
      <c r="H180" s="22"/>
      <c r="I180" s="14"/>
      <c r="J180" s="26"/>
      <c r="K180" s="9"/>
      <c r="L180" s="9"/>
    </row>
    <row r="181" spans="1:12" x14ac:dyDescent="0.35">
      <c r="A181" s="22"/>
      <c r="B181" s="9"/>
      <c r="C181" s="18"/>
      <c r="D181" s="19"/>
      <c r="E181" s="14"/>
      <c r="F181" s="20"/>
      <c r="G181" s="21"/>
      <c r="H181" s="22"/>
      <c r="I181" s="14"/>
      <c r="J181" s="26"/>
      <c r="K181" s="9"/>
      <c r="L181" s="9"/>
    </row>
    <row r="182" spans="1:12" x14ac:dyDescent="0.35">
      <c r="A182" s="22"/>
      <c r="B182" s="9"/>
      <c r="C182" s="18"/>
      <c r="D182" s="19"/>
      <c r="E182" s="14"/>
      <c r="F182" s="20"/>
      <c r="G182" s="21"/>
      <c r="H182" s="22"/>
      <c r="I182" s="14"/>
      <c r="J182" s="26"/>
      <c r="K182" s="9"/>
      <c r="L182" s="9"/>
    </row>
    <row r="183" spans="1:12" x14ac:dyDescent="0.35">
      <c r="A183" s="22"/>
      <c r="B183" s="9"/>
      <c r="C183" s="18"/>
      <c r="D183" s="19"/>
      <c r="E183" s="14"/>
      <c r="F183" s="20"/>
      <c r="G183" s="21"/>
      <c r="H183" s="22"/>
      <c r="I183" s="14"/>
      <c r="J183" s="26"/>
      <c r="K183" s="9"/>
      <c r="L183" s="9"/>
    </row>
    <row r="184" spans="1:12" x14ac:dyDescent="0.35">
      <c r="A184" s="22"/>
      <c r="B184" s="9"/>
      <c r="C184" s="18"/>
      <c r="D184" s="19"/>
      <c r="E184" s="14"/>
      <c r="F184" s="20"/>
      <c r="G184" s="21"/>
      <c r="H184" s="22"/>
      <c r="I184" s="14"/>
      <c r="J184" s="26"/>
      <c r="K184" s="9"/>
      <c r="L184" s="9"/>
    </row>
    <row r="185" spans="1:12" x14ac:dyDescent="0.35">
      <c r="A185" s="22"/>
      <c r="B185" s="9"/>
      <c r="C185" s="18"/>
      <c r="D185" s="19"/>
      <c r="E185" s="14"/>
      <c r="F185" s="20"/>
      <c r="G185" s="21"/>
      <c r="H185" s="22"/>
      <c r="I185" s="14"/>
      <c r="J185" s="26"/>
      <c r="K185" s="9"/>
      <c r="L185" s="9"/>
    </row>
    <row r="186" spans="1:12" x14ac:dyDescent="0.35">
      <c r="A186" s="22"/>
      <c r="B186" s="9"/>
      <c r="C186" s="18"/>
      <c r="D186" s="19"/>
      <c r="E186" s="14"/>
      <c r="F186" s="20"/>
      <c r="G186" s="21"/>
      <c r="H186" s="22"/>
      <c r="I186" s="14"/>
      <c r="J186" s="26"/>
      <c r="K186" s="9"/>
      <c r="L186" s="9"/>
    </row>
    <row r="187" spans="1:12" x14ac:dyDescent="0.35">
      <c r="A187" s="22"/>
      <c r="B187" s="9"/>
      <c r="C187" s="18"/>
      <c r="D187" s="19"/>
      <c r="E187" s="14"/>
      <c r="F187" s="20"/>
      <c r="G187" s="21"/>
      <c r="H187" s="22"/>
      <c r="I187" s="14"/>
      <c r="J187" s="26"/>
      <c r="K187" s="9"/>
      <c r="L187" s="9"/>
    </row>
    <row r="188" spans="1:12" x14ac:dyDescent="0.35">
      <c r="A188" s="22"/>
      <c r="B188" s="9"/>
      <c r="C188" s="18"/>
      <c r="D188" s="19"/>
      <c r="E188" s="14"/>
      <c r="F188" s="20"/>
      <c r="G188" s="21"/>
      <c r="H188" s="22"/>
      <c r="I188" s="14"/>
      <c r="J188" s="26"/>
      <c r="K188" s="9"/>
      <c r="L188" s="9"/>
    </row>
    <row r="189" spans="1:12" x14ac:dyDescent="0.35">
      <c r="A189" s="22"/>
      <c r="B189" s="9"/>
      <c r="C189" s="18"/>
      <c r="D189" s="19"/>
      <c r="E189" s="14"/>
      <c r="F189" s="20"/>
      <c r="G189" s="21"/>
      <c r="H189" s="22"/>
      <c r="I189" s="14"/>
      <c r="J189" s="26"/>
      <c r="K189" s="9"/>
      <c r="L189" s="9"/>
    </row>
    <row r="190" spans="1:12" x14ac:dyDescent="0.35">
      <c r="A190" s="22"/>
      <c r="B190" s="9"/>
      <c r="C190" s="18"/>
      <c r="D190" s="19"/>
      <c r="E190" s="14"/>
      <c r="F190" s="20"/>
      <c r="G190" s="21"/>
      <c r="H190" s="22"/>
      <c r="I190" s="14"/>
      <c r="J190" s="26"/>
      <c r="K190" s="9"/>
      <c r="L190" s="9"/>
    </row>
    <row r="191" spans="1:12" x14ac:dyDescent="0.35">
      <c r="A191" s="22"/>
      <c r="B191" s="9"/>
      <c r="C191" s="18"/>
      <c r="D191" s="19"/>
      <c r="E191" s="14"/>
      <c r="F191" s="20"/>
      <c r="G191" s="21"/>
      <c r="H191" s="22"/>
      <c r="I191" s="14"/>
      <c r="J191" s="26"/>
      <c r="K191" s="9"/>
      <c r="L191" s="9"/>
    </row>
    <row r="192" spans="1:12" x14ac:dyDescent="0.35">
      <c r="A192" s="22"/>
      <c r="B192" s="9"/>
      <c r="C192" s="18"/>
      <c r="D192" s="19"/>
      <c r="E192" s="14"/>
      <c r="F192" s="20"/>
      <c r="G192" s="21"/>
      <c r="H192" s="22"/>
      <c r="I192" s="14"/>
      <c r="J192" s="26"/>
      <c r="K192" s="9"/>
      <c r="L192" s="9"/>
    </row>
    <row r="193" spans="1:12" x14ac:dyDescent="0.35">
      <c r="A193" s="22"/>
      <c r="B193" s="9"/>
      <c r="C193" s="18"/>
      <c r="D193" s="19"/>
      <c r="E193" s="14"/>
      <c r="F193" s="20"/>
      <c r="G193" s="21"/>
      <c r="H193" s="22"/>
      <c r="I193" s="14"/>
      <c r="J193" s="26"/>
      <c r="K193" s="9"/>
      <c r="L193" s="9"/>
    </row>
    <row r="194" spans="1:12" x14ac:dyDescent="0.35">
      <c r="A194" s="22"/>
      <c r="B194" s="9"/>
      <c r="C194" s="18"/>
      <c r="D194" s="19"/>
      <c r="E194" s="14"/>
      <c r="F194" s="20"/>
      <c r="G194" s="21"/>
      <c r="H194" s="22"/>
      <c r="I194" s="14"/>
      <c r="J194" s="26"/>
      <c r="K194" s="9"/>
      <c r="L194" s="9"/>
    </row>
    <row r="195" spans="1:12" x14ac:dyDescent="0.35">
      <c r="A195" s="22"/>
      <c r="B195" s="9"/>
      <c r="C195" s="18"/>
      <c r="D195" s="19"/>
      <c r="E195" s="14"/>
      <c r="F195" s="20"/>
      <c r="G195" s="21"/>
      <c r="H195" s="22"/>
      <c r="I195" s="14"/>
      <c r="J195" s="26"/>
      <c r="K195" s="9"/>
      <c r="L195" s="9"/>
    </row>
    <row r="196" spans="1:12" x14ac:dyDescent="0.35">
      <c r="A196" s="22"/>
      <c r="B196" s="9"/>
      <c r="C196" s="18"/>
      <c r="D196" s="19"/>
      <c r="E196" s="14"/>
      <c r="F196" s="20"/>
      <c r="G196" s="21"/>
      <c r="H196" s="22"/>
      <c r="I196" s="14"/>
      <c r="J196" s="26"/>
      <c r="K196" s="9"/>
      <c r="L196" s="9"/>
    </row>
    <row r="197" spans="1:12" x14ac:dyDescent="0.35">
      <c r="A197" s="22"/>
      <c r="B197" s="9"/>
      <c r="C197" s="18"/>
      <c r="D197" s="19"/>
      <c r="E197" s="14"/>
      <c r="F197" s="20"/>
      <c r="G197" s="21"/>
      <c r="H197" s="22"/>
      <c r="I197" s="14"/>
      <c r="J197" s="26"/>
      <c r="K197" s="9"/>
      <c r="L197" s="9"/>
    </row>
    <row r="198" spans="1:12" x14ac:dyDescent="0.35">
      <c r="A198" s="22"/>
      <c r="B198" s="9"/>
      <c r="C198" s="18"/>
      <c r="D198" s="19"/>
      <c r="E198" s="14"/>
      <c r="F198" s="20"/>
      <c r="G198" s="21"/>
      <c r="H198" s="22"/>
      <c r="I198" s="14"/>
      <c r="J198" s="26"/>
      <c r="K198" s="9"/>
      <c r="L198" s="9"/>
    </row>
    <row r="199" spans="1:12" x14ac:dyDescent="0.35">
      <c r="A199" s="22"/>
      <c r="B199" s="9"/>
      <c r="C199" s="18"/>
      <c r="D199" s="19"/>
      <c r="E199" s="14"/>
      <c r="F199" s="20"/>
      <c r="G199" s="21"/>
      <c r="H199" s="22"/>
      <c r="I199" s="14"/>
      <c r="J199" s="26"/>
      <c r="K199" s="9"/>
      <c r="L199" s="9"/>
    </row>
    <row r="200" spans="1:12" x14ac:dyDescent="0.35">
      <c r="A200" s="22"/>
      <c r="B200" s="9"/>
      <c r="C200" s="18"/>
      <c r="D200" s="19"/>
      <c r="E200" s="14"/>
      <c r="F200" s="20"/>
      <c r="G200" s="21"/>
      <c r="H200" s="22"/>
      <c r="I200" s="14"/>
      <c r="J200" s="26"/>
      <c r="K200" s="9"/>
      <c r="L200" s="9"/>
    </row>
    <row r="201" spans="1:12" x14ac:dyDescent="0.35">
      <c r="A201" s="22"/>
      <c r="B201" s="9"/>
      <c r="C201" s="18"/>
      <c r="D201" s="19"/>
      <c r="E201" s="14"/>
      <c r="F201" s="20"/>
      <c r="G201" s="21"/>
      <c r="H201" s="22"/>
      <c r="I201" s="14"/>
      <c r="J201" s="26"/>
      <c r="K201" s="9"/>
      <c r="L201" s="9"/>
    </row>
    <row r="202" spans="1:12" x14ac:dyDescent="0.35">
      <c r="A202" s="22"/>
      <c r="B202" s="9"/>
      <c r="C202" s="18"/>
      <c r="D202" s="19"/>
      <c r="E202" s="14"/>
      <c r="F202" s="20"/>
      <c r="G202" s="21"/>
      <c r="H202" s="22"/>
      <c r="I202" s="14"/>
      <c r="J202" s="26"/>
      <c r="K202" s="9"/>
      <c r="L202" s="9"/>
    </row>
    <row r="203" spans="1:12" x14ac:dyDescent="0.35">
      <c r="A203" s="22"/>
      <c r="B203" s="9"/>
      <c r="C203" s="18"/>
      <c r="D203" s="19"/>
      <c r="E203" s="14"/>
      <c r="F203" s="20"/>
      <c r="G203" s="21"/>
      <c r="H203" s="22"/>
      <c r="I203" s="14"/>
      <c r="J203" s="26"/>
      <c r="K203" s="9"/>
      <c r="L203" s="9"/>
    </row>
    <row r="204" spans="1:12" x14ac:dyDescent="0.35">
      <c r="A204" s="22"/>
      <c r="B204" s="9"/>
      <c r="C204" s="18"/>
      <c r="D204" s="19"/>
      <c r="E204" s="14"/>
      <c r="F204" s="20"/>
      <c r="G204" s="21"/>
      <c r="H204" s="22"/>
      <c r="I204" s="14"/>
      <c r="J204" s="26"/>
      <c r="K204" s="9"/>
      <c r="L204" s="9"/>
    </row>
    <row r="205" spans="1:12" x14ac:dyDescent="0.35">
      <c r="A205" s="22"/>
      <c r="B205" s="9"/>
      <c r="C205" s="18"/>
      <c r="D205" s="19"/>
      <c r="E205" s="14"/>
      <c r="F205" s="20"/>
      <c r="G205" s="21"/>
      <c r="H205" s="22"/>
      <c r="I205" s="14"/>
      <c r="J205" s="26"/>
      <c r="K205" s="9"/>
      <c r="L205" s="9"/>
    </row>
    <row r="206" spans="1:12" x14ac:dyDescent="0.35">
      <c r="A206" s="22"/>
      <c r="B206" s="9"/>
      <c r="C206" s="18"/>
      <c r="D206" s="19"/>
      <c r="E206" s="14"/>
      <c r="F206" s="20"/>
      <c r="G206" s="21"/>
      <c r="H206" s="22"/>
      <c r="I206" s="14"/>
      <c r="J206" s="26"/>
      <c r="K206" s="9"/>
      <c r="L206" s="9"/>
    </row>
    <row r="207" spans="1:12" x14ac:dyDescent="0.35">
      <c r="A207" s="22"/>
      <c r="B207" s="9"/>
      <c r="C207" s="18"/>
      <c r="D207" s="19"/>
      <c r="E207" s="14"/>
      <c r="F207" s="20"/>
      <c r="G207" s="21"/>
      <c r="H207" s="22"/>
      <c r="I207" s="14"/>
      <c r="J207" s="26"/>
      <c r="K207" s="9"/>
      <c r="L207" s="9"/>
    </row>
    <row r="208" spans="1:12" x14ac:dyDescent="0.35">
      <c r="A208" s="22"/>
      <c r="B208" s="9"/>
      <c r="C208" s="18"/>
      <c r="D208" s="19"/>
      <c r="E208" s="14"/>
      <c r="F208" s="20"/>
      <c r="G208" s="21"/>
      <c r="H208" s="22"/>
      <c r="I208" s="14"/>
      <c r="J208" s="26"/>
      <c r="K208" s="9"/>
      <c r="L208" s="9"/>
    </row>
    <row r="209" spans="1:12" x14ac:dyDescent="0.35">
      <c r="A209" s="22"/>
      <c r="B209" s="9"/>
      <c r="C209" s="18"/>
      <c r="D209" s="19"/>
      <c r="E209" s="14"/>
      <c r="F209" s="20"/>
      <c r="G209" s="21"/>
      <c r="H209" s="22"/>
      <c r="I209" s="14"/>
      <c r="J209" s="26"/>
      <c r="K209" s="9"/>
      <c r="L209" s="9"/>
    </row>
    <row r="210" spans="1:12" x14ac:dyDescent="0.35">
      <c r="A210" s="22"/>
      <c r="B210" s="9"/>
      <c r="C210" s="18"/>
      <c r="D210" s="19"/>
      <c r="E210" s="14"/>
      <c r="F210" s="20"/>
      <c r="G210" s="21"/>
      <c r="H210" s="22"/>
      <c r="I210" s="14"/>
      <c r="J210" s="26"/>
      <c r="K210" s="9"/>
      <c r="L210" s="9"/>
    </row>
    <row r="211" spans="1:12" x14ac:dyDescent="0.35">
      <c r="A211" s="22"/>
      <c r="B211" s="9"/>
      <c r="C211" s="18"/>
      <c r="D211" s="19"/>
      <c r="E211" s="14"/>
      <c r="F211" s="20"/>
      <c r="G211" s="21"/>
      <c r="H211" s="22"/>
      <c r="I211" s="14"/>
      <c r="J211" s="26"/>
      <c r="K211" s="9"/>
      <c r="L211" s="9"/>
    </row>
    <row r="212" spans="1:12" x14ac:dyDescent="0.35">
      <c r="A212" s="22"/>
      <c r="B212" s="9"/>
      <c r="C212" s="18"/>
      <c r="D212" s="19"/>
      <c r="E212" s="14"/>
      <c r="F212" s="20"/>
      <c r="G212" s="21"/>
      <c r="H212" s="22"/>
      <c r="I212" s="14"/>
      <c r="J212" s="26"/>
      <c r="K212" s="9"/>
      <c r="L212" s="9"/>
    </row>
    <row r="213" spans="1:12" x14ac:dyDescent="0.35">
      <c r="A213" s="22"/>
      <c r="B213" s="9"/>
      <c r="C213" s="18"/>
      <c r="D213" s="19"/>
      <c r="E213" s="14"/>
      <c r="F213" s="20"/>
      <c r="G213" s="21"/>
      <c r="H213" s="22"/>
      <c r="I213" s="14"/>
      <c r="J213" s="26"/>
      <c r="K213" s="9"/>
      <c r="L213" s="9"/>
    </row>
    <row r="214" spans="1:12" x14ac:dyDescent="0.35">
      <c r="A214" s="22"/>
      <c r="B214" s="9"/>
      <c r="C214" s="18"/>
      <c r="D214" s="19"/>
      <c r="E214" s="14"/>
      <c r="F214" s="20"/>
      <c r="G214" s="21"/>
      <c r="H214" s="22"/>
      <c r="I214" s="14"/>
      <c r="J214" s="26"/>
      <c r="K214" s="9"/>
      <c r="L214" s="9"/>
    </row>
    <row r="215" spans="1:12" x14ac:dyDescent="0.35">
      <c r="A215" s="22"/>
      <c r="B215" s="9"/>
      <c r="C215" s="18"/>
      <c r="D215" s="19"/>
      <c r="E215" s="14"/>
      <c r="F215" s="20"/>
      <c r="G215" s="21"/>
      <c r="H215" s="22"/>
      <c r="I215" s="14"/>
      <c r="J215" s="26"/>
      <c r="K215" s="9"/>
      <c r="L215" s="9"/>
    </row>
    <row r="216" spans="1:12" x14ac:dyDescent="0.35">
      <c r="A216" s="22"/>
      <c r="B216" s="9"/>
      <c r="C216" s="18"/>
      <c r="D216" s="19"/>
      <c r="E216" s="14"/>
      <c r="F216" s="20"/>
      <c r="G216" s="21"/>
      <c r="H216" s="22"/>
      <c r="I216" s="14"/>
      <c r="J216" s="26"/>
      <c r="K216" s="9"/>
      <c r="L216" s="9"/>
    </row>
    <row r="217" spans="1:12" x14ac:dyDescent="0.35">
      <c r="A217" s="22"/>
      <c r="B217" s="9"/>
      <c r="C217" s="18"/>
      <c r="D217" s="19"/>
      <c r="E217" s="14"/>
      <c r="F217" s="20"/>
      <c r="G217" s="21"/>
      <c r="H217" s="22"/>
      <c r="I217" s="14"/>
      <c r="J217" s="26"/>
      <c r="K217" s="9"/>
      <c r="L217" s="9"/>
    </row>
    <row r="218" spans="1:12" x14ac:dyDescent="0.35">
      <c r="A218" s="22"/>
      <c r="B218" s="9"/>
      <c r="C218" s="18"/>
      <c r="D218" s="19"/>
      <c r="E218" s="14"/>
      <c r="F218" s="20"/>
      <c r="G218" s="21"/>
      <c r="H218" s="22"/>
      <c r="I218" s="14"/>
      <c r="J218" s="26"/>
      <c r="K218" s="9"/>
      <c r="L218" s="9"/>
    </row>
    <row r="219" spans="1:12" x14ac:dyDescent="0.35">
      <c r="A219" s="22"/>
      <c r="B219" s="9"/>
      <c r="C219" s="18"/>
      <c r="D219" s="19"/>
      <c r="E219" s="14"/>
      <c r="F219" s="20"/>
      <c r="G219" s="21"/>
      <c r="H219" s="22"/>
      <c r="I219" s="14"/>
      <c r="J219" s="26"/>
      <c r="K219" s="9"/>
      <c r="L219" s="9"/>
    </row>
    <row r="220" spans="1:12" x14ac:dyDescent="0.35">
      <c r="A220" s="22"/>
      <c r="B220" s="9"/>
      <c r="C220" s="18"/>
      <c r="D220" s="19"/>
      <c r="E220" s="14"/>
      <c r="F220" s="20"/>
      <c r="G220" s="21"/>
      <c r="H220" s="22"/>
      <c r="I220" s="14"/>
      <c r="J220" s="26"/>
      <c r="K220" s="9"/>
      <c r="L220" s="9"/>
    </row>
    <row r="221" spans="1:12" x14ac:dyDescent="0.35">
      <c r="A221" s="22"/>
      <c r="B221" s="9"/>
      <c r="C221" s="18"/>
      <c r="D221" s="19"/>
      <c r="E221" s="14"/>
      <c r="F221" s="20"/>
      <c r="G221" s="21"/>
      <c r="H221" s="22"/>
      <c r="I221" s="14"/>
      <c r="J221" s="26"/>
      <c r="K221" s="9"/>
      <c r="L221" s="9"/>
    </row>
    <row r="222" spans="1:12" x14ac:dyDescent="0.35">
      <c r="A222" s="22"/>
      <c r="B222" s="9"/>
      <c r="C222" s="18"/>
      <c r="D222" s="19"/>
      <c r="E222" s="14"/>
      <c r="F222" s="20"/>
      <c r="G222" s="21"/>
      <c r="H222" s="22"/>
      <c r="I222" s="14"/>
      <c r="J222" s="26"/>
      <c r="K222" s="9"/>
      <c r="L222" s="9"/>
    </row>
    <row r="223" spans="1:12" x14ac:dyDescent="0.35">
      <c r="A223" s="22"/>
      <c r="B223" s="9"/>
      <c r="C223" s="18"/>
      <c r="D223" s="19"/>
      <c r="E223" s="14"/>
      <c r="F223" s="20"/>
      <c r="G223" s="21"/>
      <c r="H223" s="22"/>
      <c r="I223" s="14"/>
      <c r="J223" s="26"/>
      <c r="K223" s="9"/>
      <c r="L223" s="9"/>
    </row>
    <row r="224" spans="1:12" x14ac:dyDescent="0.35">
      <c r="A224" s="22"/>
      <c r="B224" s="9"/>
      <c r="C224" s="18"/>
      <c r="D224" s="19"/>
      <c r="E224" s="14"/>
      <c r="F224" s="20"/>
      <c r="G224" s="21"/>
      <c r="H224" s="22"/>
      <c r="I224" s="14"/>
      <c r="J224" s="26"/>
      <c r="K224" s="9"/>
      <c r="L224" s="9"/>
    </row>
    <row r="225" spans="1:12" x14ac:dyDescent="0.35">
      <c r="A225" s="22"/>
      <c r="B225" s="9"/>
      <c r="C225" s="18"/>
      <c r="D225" s="19"/>
      <c r="E225" s="14"/>
      <c r="F225" s="20"/>
      <c r="G225" s="21"/>
      <c r="H225" s="22"/>
      <c r="I225" s="14"/>
      <c r="J225" s="26"/>
      <c r="K225" s="9"/>
      <c r="L225" s="9"/>
    </row>
    <row r="226" spans="1:12" x14ac:dyDescent="0.35">
      <c r="A226" s="22"/>
      <c r="B226" s="9"/>
      <c r="C226" s="18"/>
      <c r="D226" s="19"/>
      <c r="E226" s="14"/>
      <c r="F226" s="20"/>
      <c r="G226" s="21"/>
      <c r="H226" s="22"/>
      <c r="I226" s="14"/>
      <c r="J226" s="26"/>
      <c r="K226" s="9"/>
      <c r="L226" s="9"/>
    </row>
    <row r="227" spans="1:12" x14ac:dyDescent="0.35">
      <c r="A227" s="22"/>
      <c r="B227" s="9"/>
      <c r="C227" s="18"/>
      <c r="D227" s="19"/>
      <c r="E227" s="14"/>
      <c r="F227" s="20"/>
      <c r="G227" s="21"/>
      <c r="H227" s="22"/>
      <c r="I227" s="14"/>
      <c r="J227" s="26"/>
      <c r="K227" s="9"/>
      <c r="L227" s="9"/>
    </row>
    <row r="228" spans="1:12" x14ac:dyDescent="0.35">
      <c r="A228" s="22"/>
      <c r="B228" s="9"/>
      <c r="C228" s="18"/>
      <c r="D228" s="19"/>
      <c r="E228" s="14"/>
      <c r="F228" s="20"/>
      <c r="G228" s="21"/>
      <c r="H228" s="22"/>
      <c r="I228" s="14"/>
      <c r="J228" s="26"/>
      <c r="K228" s="9"/>
      <c r="L228" s="9"/>
    </row>
    <row r="229" spans="1:12" x14ac:dyDescent="0.35">
      <c r="A229" s="22"/>
      <c r="B229" s="9"/>
      <c r="C229" s="18"/>
      <c r="D229" s="19"/>
      <c r="E229" s="14"/>
      <c r="F229" s="20"/>
      <c r="G229" s="21"/>
      <c r="H229" s="22"/>
      <c r="I229" s="14"/>
      <c r="J229" s="26"/>
      <c r="K229" s="9"/>
      <c r="L229" s="9"/>
    </row>
    <row r="230" spans="1:12" x14ac:dyDescent="0.35">
      <c r="A230" s="22"/>
      <c r="B230" s="9"/>
      <c r="C230" s="18"/>
      <c r="D230" s="19"/>
      <c r="E230" s="14"/>
      <c r="F230" s="20"/>
      <c r="G230" s="21"/>
      <c r="H230" s="22"/>
      <c r="I230" s="14"/>
      <c r="J230" s="26"/>
      <c r="K230" s="9"/>
      <c r="L230" s="9"/>
    </row>
    <row r="231" spans="1:12" x14ac:dyDescent="0.35">
      <c r="A231" s="22"/>
      <c r="B231" s="9"/>
      <c r="C231" s="18"/>
      <c r="D231" s="19"/>
      <c r="E231" s="14"/>
      <c r="F231" s="20"/>
      <c r="G231" s="21"/>
      <c r="H231" s="22"/>
      <c r="I231" s="14"/>
      <c r="J231" s="26"/>
      <c r="K231" s="9"/>
      <c r="L231" s="9"/>
    </row>
    <row r="232" spans="1:12" x14ac:dyDescent="0.35">
      <c r="A232" s="22"/>
      <c r="B232" s="9"/>
      <c r="C232" s="18"/>
      <c r="D232" s="19"/>
      <c r="E232" s="14"/>
      <c r="F232" s="20"/>
      <c r="G232" s="21"/>
      <c r="H232" s="22"/>
      <c r="I232" s="14"/>
      <c r="J232" s="26"/>
      <c r="K232" s="9"/>
      <c r="L232" s="9"/>
    </row>
    <row r="233" spans="1:12" x14ac:dyDescent="0.35">
      <c r="A233" s="22"/>
      <c r="B233" s="9"/>
      <c r="C233" s="18"/>
      <c r="D233" s="19"/>
      <c r="E233" s="14"/>
      <c r="F233" s="20"/>
      <c r="G233" s="21"/>
      <c r="H233" s="22"/>
      <c r="I233" s="14"/>
      <c r="J233" s="26"/>
      <c r="K233" s="9"/>
      <c r="L233" s="9"/>
    </row>
    <row r="234" spans="1:12" x14ac:dyDescent="0.35">
      <c r="A234" s="22"/>
      <c r="B234" s="9"/>
      <c r="C234" s="18"/>
      <c r="D234" s="19"/>
      <c r="E234" s="14"/>
      <c r="F234" s="20"/>
      <c r="G234" s="21"/>
      <c r="H234" s="22"/>
      <c r="I234" s="14"/>
      <c r="J234" s="26"/>
      <c r="K234" s="9"/>
      <c r="L234" s="9"/>
    </row>
    <row r="235" spans="1:12" x14ac:dyDescent="0.35">
      <c r="A235" s="22"/>
      <c r="B235" s="9"/>
      <c r="C235" s="18"/>
      <c r="D235" s="19"/>
      <c r="E235" s="14"/>
      <c r="F235" s="20"/>
      <c r="G235" s="21"/>
      <c r="H235" s="22"/>
      <c r="I235" s="14"/>
      <c r="J235" s="26"/>
      <c r="K235" s="9"/>
      <c r="L235" s="9"/>
    </row>
    <row r="236" spans="1:12" x14ac:dyDescent="0.35">
      <c r="A236" s="22"/>
      <c r="B236" s="9"/>
      <c r="C236" s="18"/>
      <c r="D236" s="19"/>
      <c r="E236" s="14"/>
      <c r="F236" s="20"/>
      <c r="G236" s="21"/>
      <c r="H236" s="22"/>
      <c r="I236" s="14"/>
      <c r="J236" s="26"/>
      <c r="K236" s="9"/>
      <c r="L236" s="9"/>
    </row>
    <row r="237" spans="1:12" x14ac:dyDescent="0.35">
      <c r="A237" s="22"/>
      <c r="B237" s="9"/>
      <c r="C237" s="18"/>
      <c r="D237" s="19"/>
      <c r="E237" s="14"/>
      <c r="F237" s="20"/>
      <c r="G237" s="21"/>
      <c r="H237" s="22"/>
      <c r="I237" s="14"/>
      <c r="J237" s="26"/>
      <c r="K237" s="9"/>
      <c r="L237" s="9"/>
    </row>
    <row r="238" spans="1:12" x14ac:dyDescent="0.35">
      <c r="A238" s="22"/>
      <c r="B238" s="9"/>
      <c r="C238" s="18"/>
      <c r="D238" s="19"/>
      <c r="E238" s="14"/>
      <c r="F238" s="20"/>
      <c r="G238" s="21"/>
      <c r="H238" s="22"/>
      <c r="I238" s="14"/>
      <c r="J238" s="26"/>
      <c r="K238" s="9"/>
      <c r="L238" s="9"/>
    </row>
    <row r="239" spans="1:12" x14ac:dyDescent="0.35">
      <c r="A239" s="22"/>
      <c r="B239" s="9"/>
      <c r="C239" s="18"/>
      <c r="D239" s="19"/>
      <c r="E239" s="14"/>
      <c r="F239" s="20"/>
      <c r="G239" s="21"/>
      <c r="H239" s="22"/>
      <c r="I239" s="14"/>
      <c r="J239" s="26"/>
      <c r="K239" s="9"/>
      <c r="L239" s="9"/>
    </row>
    <row r="240" spans="1:12" x14ac:dyDescent="0.35">
      <c r="A240" s="22"/>
      <c r="B240" s="9"/>
      <c r="C240" s="18"/>
      <c r="D240" s="19"/>
      <c r="E240" s="14"/>
      <c r="F240" s="20"/>
      <c r="G240" s="21"/>
      <c r="H240" s="22"/>
      <c r="I240" s="14"/>
      <c r="J240" s="26"/>
      <c r="K240" s="9"/>
      <c r="L240" s="9"/>
    </row>
    <row r="241" spans="1:12" x14ac:dyDescent="0.35">
      <c r="A241" s="22"/>
      <c r="B241" s="9"/>
      <c r="C241" s="18"/>
      <c r="D241" s="19"/>
      <c r="E241" s="14"/>
      <c r="F241" s="20"/>
      <c r="G241" s="21"/>
      <c r="H241" s="22"/>
      <c r="I241" s="14"/>
      <c r="J241" s="26"/>
      <c r="K241" s="9"/>
      <c r="L241" s="9"/>
    </row>
    <row r="242" spans="1:12" x14ac:dyDescent="0.35">
      <c r="A242" s="22"/>
      <c r="B242" s="9"/>
      <c r="C242" s="18"/>
      <c r="D242" s="19"/>
      <c r="E242" s="14"/>
      <c r="F242" s="20"/>
      <c r="G242" s="21"/>
      <c r="H242" s="22"/>
      <c r="I242" s="14"/>
      <c r="J242" s="26"/>
      <c r="K242" s="9"/>
      <c r="L242" s="9"/>
    </row>
    <row r="243" spans="1:12" x14ac:dyDescent="0.35">
      <c r="A243" s="22"/>
      <c r="B243" s="9"/>
      <c r="C243" s="18"/>
      <c r="D243" s="19"/>
      <c r="E243" s="14"/>
      <c r="F243" s="20"/>
      <c r="G243" s="21"/>
      <c r="H243" s="22"/>
      <c r="I243" s="14"/>
      <c r="J243" s="26"/>
      <c r="K243" s="9"/>
      <c r="L243" s="9"/>
    </row>
    <row r="244" spans="1:12" x14ac:dyDescent="0.35">
      <c r="A244" s="22"/>
      <c r="B244" s="9"/>
      <c r="C244" s="18"/>
      <c r="D244" s="19"/>
      <c r="E244" s="14"/>
      <c r="F244" s="20"/>
      <c r="G244" s="21"/>
      <c r="H244" s="22"/>
      <c r="I244" s="14"/>
      <c r="J244" s="26"/>
      <c r="K244" s="9"/>
      <c r="L244" s="9"/>
    </row>
    <row r="245" spans="1:12" x14ac:dyDescent="0.35">
      <c r="A245" s="22"/>
      <c r="B245" s="9"/>
      <c r="C245" s="18"/>
      <c r="D245" s="19"/>
      <c r="E245" s="14"/>
      <c r="F245" s="20"/>
      <c r="G245" s="21"/>
      <c r="H245" s="22"/>
      <c r="I245" s="14"/>
      <c r="J245" s="26"/>
      <c r="K245" s="9"/>
      <c r="L245" s="9"/>
    </row>
    <row r="246" spans="1:12" x14ac:dyDescent="0.35">
      <c r="A246" s="22"/>
      <c r="B246" s="9"/>
      <c r="C246" s="18"/>
      <c r="D246" s="19"/>
      <c r="E246" s="14"/>
      <c r="F246" s="20"/>
      <c r="G246" s="21"/>
      <c r="H246" s="22"/>
      <c r="I246" s="14"/>
      <c r="J246" s="26"/>
      <c r="K246" s="9"/>
      <c r="L246" s="9"/>
    </row>
    <row r="247" spans="1:12" x14ac:dyDescent="0.35">
      <c r="A247" s="22"/>
      <c r="B247" s="9"/>
      <c r="C247" s="18"/>
      <c r="D247" s="19"/>
      <c r="E247" s="14"/>
      <c r="F247" s="20"/>
      <c r="G247" s="21"/>
      <c r="H247" s="22"/>
      <c r="I247" s="14"/>
      <c r="J247" s="26"/>
      <c r="K247" s="9"/>
      <c r="L247" s="9"/>
    </row>
    <row r="248" spans="1:12" x14ac:dyDescent="0.35">
      <c r="A248" s="22"/>
      <c r="B248" s="9"/>
      <c r="C248" s="18"/>
      <c r="D248" s="19"/>
      <c r="E248" s="14"/>
      <c r="F248" s="20"/>
      <c r="G248" s="21"/>
      <c r="H248" s="22"/>
      <c r="I248" s="14"/>
      <c r="J248" s="26"/>
      <c r="K248" s="9"/>
      <c r="L248" s="9"/>
    </row>
    <row r="249" spans="1:12" x14ac:dyDescent="0.35">
      <c r="A249" s="22"/>
      <c r="B249" s="9"/>
      <c r="C249" s="18"/>
      <c r="D249" s="19"/>
      <c r="E249" s="14"/>
      <c r="F249" s="20"/>
      <c r="G249" s="21"/>
      <c r="H249" s="22"/>
      <c r="I249" s="14"/>
      <c r="J249" s="26"/>
      <c r="K249" s="9"/>
      <c r="L249" s="9"/>
    </row>
    <row r="250" spans="1:12" x14ac:dyDescent="0.35">
      <c r="A250" s="22"/>
      <c r="B250" s="9"/>
      <c r="C250" s="18"/>
      <c r="D250" s="19"/>
      <c r="E250" s="14"/>
      <c r="F250" s="20"/>
      <c r="G250" s="21"/>
      <c r="H250" s="22"/>
      <c r="I250" s="14"/>
      <c r="J250" s="26"/>
      <c r="K250" s="9"/>
      <c r="L250" s="9"/>
    </row>
    <row r="251" spans="1:12" x14ac:dyDescent="0.35">
      <c r="A251" s="22"/>
      <c r="B251" s="9"/>
      <c r="C251" s="18"/>
      <c r="D251" s="19"/>
      <c r="E251" s="14"/>
      <c r="F251" s="20"/>
      <c r="G251" s="21"/>
      <c r="H251" s="22"/>
      <c r="I251" s="14"/>
      <c r="J251" s="26"/>
      <c r="K251" s="9"/>
      <c r="L251" s="9"/>
    </row>
    <row r="252" spans="1:12" x14ac:dyDescent="0.35">
      <c r="A252" s="22"/>
      <c r="B252" s="9"/>
      <c r="C252" s="18"/>
      <c r="D252" s="19"/>
      <c r="E252" s="14"/>
      <c r="F252" s="20"/>
      <c r="G252" s="21"/>
      <c r="H252" s="22"/>
      <c r="I252" s="14"/>
      <c r="J252" s="26"/>
      <c r="K252" s="9"/>
      <c r="L252" s="9"/>
    </row>
    <row r="253" spans="1:12" x14ac:dyDescent="0.35">
      <c r="A253" s="22"/>
      <c r="B253" s="9"/>
      <c r="C253" s="18"/>
      <c r="D253" s="19"/>
      <c r="E253" s="14"/>
      <c r="F253" s="20"/>
      <c r="G253" s="21"/>
      <c r="H253" s="22"/>
      <c r="I253" s="14"/>
      <c r="J253" s="26"/>
      <c r="K253" s="9"/>
      <c r="L253" s="9"/>
    </row>
    <row r="254" spans="1:12" x14ac:dyDescent="0.35">
      <c r="A254" s="22"/>
      <c r="B254" s="9"/>
      <c r="C254" s="18"/>
      <c r="D254" s="19"/>
      <c r="E254" s="14"/>
      <c r="F254" s="20"/>
      <c r="G254" s="21"/>
      <c r="H254" s="22"/>
      <c r="I254" s="14"/>
      <c r="J254" s="26"/>
      <c r="K254" s="9"/>
      <c r="L254" s="9"/>
    </row>
    <row r="255" spans="1:12" x14ac:dyDescent="0.35">
      <c r="A255" s="22"/>
      <c r="B255" s="9"/>
      <c r="C255" s="18"/>
      <c r="D255" s="19"/>
      <c r="E255" s="14"/>
      <c r="F255" s="20"/>
      <c r="G255" s="21"/>
      <c r="H255" s="22"/>
      <c r="I255" s="14"/>
      <c r="J255" s="26"/>
      <c r="K255" s="9"/>
      <c r="L255" s="9"/>
    </row>
    <row r="256" spans="1:12" x14ac:dyDescent="0.35">
      <c r="A256" s="22"/>
      <c r="B256" s="9"/>
      <c r="C256" s="18"/>
      <c r="D256" s="19"/>
      <c r="E256" s="14"/>
      <c r="F256" s="20"/>
      <c r="G256" s="21"/>
      <c r="H256" s="22"/>
      <c r="I256" s="14"/>
      <c r="J256" s="26"/>
      <c r="K256" s="9"/>
      <c r="L256" s="9"/>
    </row>
    <row r="257" spans="1:12" x14ac:dyDescent="0.35">
      <c r="A257" s="22"/>
      <c r="B257" s="9"/>
      <c r="C257" s="18"/>
      <c r="D257" s="19"/>
      <c r="E257" s="14"/>
      <c r="F257" s="20"/>
      <c r="G257" s="21"/>
      <c r="H257" s="22"/>
      <c r="I257" s="14"/>
      <c r="J257" s="26"/>
      <c r="K257" s="9"/>
      <c r="L257" s="9"/>
    </row>
    <row r="258" spans="1:12" x14ac:dyDescent="0.35">
      <c r="A258" s="22"/>
      <c r="B258" s="9"/>
      <c r="C258" s="18"/>
      <c r="D258" s="19"/>
      <c r="E258" s="14"/>
      <c r="F258" s="20"/>
      <c r="G258" s="21"/>
      <c r="H258" s="22"/>
      <c r="I258" s="14"/>
      <c r="J258" s="26"/>
      <c r="K258" s="9"/>
      <c r="L258" s="9"/>
    </row>
    <row r="259" spans="1:12" x14ac:dyDescent="0.35">
      <c r="A259" s="22"/>
      <c r="B259" s="9"/>
      <c r="C259" s="18"/>
      <c r="D259" s="19"/>
      <c r="E259" s="14"/>
      <c r="F259" s="20"/>
      <c r="G259" s="21"/>
      <c r="H259" s="22"/>
      <c r="I259" s="14"/>
      <c r="J259" s="26"/>
      <c r="K259" s="9"/>
      <c r="L259" s="9"/>
    </row>
    <row r="260" spans="1:12" x14ac:dyDescent="0.35">
      <c r="A260" s="22"/>
      <c r="B260" s="9"/>
      <c r="C260" s="18"/>
      <c r="D260" s="19"/>
      <c r="E260" s="14"/>
      <c r="F260" s="20"/>
      <c r="G260" s="21"/>
      <c r="H260" s="22"/>
      <c r="I260" s="14"/>
      <c r="J260" s="26"/>
      <c r="K260" s="9"/>
      <c r="L260" s="9"/>
    </row>
    <row r="261" spans="1:12" x14ac:dyDescent="0.35">
      <c r="A261" s="22"/>
      <c r="B261" s="9"/>
      <c r="C261" s="18"/>
      <c r="D261" s="19"/>
      <c r="E261" s="14"/>
      <c r="F261" s="20"/>
      <c r="G261" s="21"/>
      <c r="H261" s="22"/>
      <c r="I261" s="14"/>
      <c r="J261" s="26"/>
      <c r="K261" s="9"/>
      <c r="L261" s="9"/>
    </row>
    <row r="262" spans="1:12" x14ac:dyDescent="0.35">
      <c r="A262" s="22"/>
      <c r="B262" s="9"/>
      <c r="C262" s="18"/>
      <c r="D262" s="19"/>
      <c r="E262" s="14"/>
      <c r="F262" s="20"/>
      <c r="G262" s="21"/>
      <c r="H262" s="22"/>
      <c r="I262" s="14"/>
      <c r="J262" s="26"/>
      <c r="K262" s="9"/>
      <c r="L262" s="9"/>
    </row>
    <row r="263" spans="1:12" x14ac:dyDescent="0.35">
      <c r="A263" s="22"/>
      <c r="B263" s="9"/>
      <c r="C263" s="18"/>
      <c r="D263" s="19"/>
      <c r="E263" s="14"/>
      <c r="F263" s="20"/>
      <c r="G263" s="21"/>
      <c r="H263" s="22"/>
      <c r="I263" s="14"/>
      <c r="J263" s="26"/>
      <c r="K263" s="9"/>
      <c r="L263" s="9"/>
    </row>
    <row r="264" spans="1:12" x14ac:dyDescent="0.35">
      <c r="A264" s="22"/>
      <c r="B264" s="9"/>
      <c r="C264" s="18"/>
      <c r="D264" s="19"/>
      <c r="E264" s="14"/>
      <c r="F264" s="20"/>
      <c r="G264" s="21"/>
      <c r="H264" s="22"/>
      <c r="I264" s="14"/>
      <c r="J264" s="26"/>
      <c r="K264" s="9"/>
      <c r="L264" s="9"/>
    </row>
    <row r="265" spans="1:12" x14ac:dyDescent="0.35">
      <c r="A265" s="22"/>
      <c r="B265" s="9"/>
      <c r="C265" s="18"/>
      <c r="D265" s="19"/>
      <c r="E265" s="14"/>
      <c r="F265" s="20"/>
      <c r="G265" s="21"/>
      <c r="H265" s="22"/>
      <c r="I265" s="14"/>
      <c r="J265" s="26"/>
      <c r="K265" s="9"/>
      <c r="L265" s="9"/>
    </row>
    <row r="266" spans="1:12" x14ac:dyDescent="0.35">
      <c r="A266" s="22"/>
      <c r="B266" s="9"/>
      <c r="C266" s="18"/>
      <c r="D266" s="19"/>
      <c r="E266" s="14"/>
      <c r="F266" s="20"/>
      <c r="G266" s="21"/>
      <c r="H266" s="22"/>
      <c r="I266" s="14"/>
      <c r="J266" s="26"/>
      <c r="K266" s="9"/>
      <c r="L266" s="9"/>
    </row>
    <row r="267" spans="1:12" x14ac:dyDescent="0.35">
      <c r="A267" s="22"/>
      <c r="B267" s="9"/>
      <c r="C267" s="18"/>
      <c r="D267" s="19"/>
      <c r="E267" s="14"/>
      <c r="F267" s="20"/>
      <c r="G267" s="21"/>
      <c r="H267" s="22"/>
      <c r="I267" s="14"/>
      <c r="J267" s="26"/>
      <c r="K267" s="9"/>
      <c r="L267" s="9"/>
    </row>
    <row r="268" spans="1:12" x14ac:dyDescent="0.35">
      <c r="A268" s="22"/>
      <c r="B268" s="9"/>
      <c r="C268" s="18"/>
      <c r="D268" s="19"/>
      <c r="E268" s="14"/>
      <c r="F268" s="20"/>
      <c r="G268" s="21"/>
      <c r="H268" s="22"/>
      <c r="I268" s="14"/>
      <c r="J268" s="26"/>
      <c r="K268" s="9"/>
      <c r="L268" s="9"/>
    </row>
    <row r="269" spans="1:12" x14ac:dyDescent="0.35">
      <c r="A269" s="22"/>
      <c r="B269" s="9"/>
      <c r="C269" s="18"/>
      <c r="D269" s="19"/>
      <c r="E269" s="14"/>
      <c r="F269" s="20"/>
      <c r="G269" s="21"/>
      <c r="H269" s="22"/>
      <c r="I269" s="14"/>
      <c r="J269" s="26"/>
      <c r="K269" s="9"/>
      <c r="L269" s="9"/>
    </row>
    <row r="270" spans="1:12" x14ac:dyDescent="0.35">
      <c r="A270" s="22"/>
      <c r="B270" s="9"/>
      <c r="C270" s="18"/>
      <c r="D270" s="19"/>
      <c r="E270" s="14"/>
      <c r="F270" s="20"/>
      <c r="G270" s="21"/>
      <c r="H270" s="22"/>
      <c r="I270" s="14"/>
      <c r="J270" s="26"/>
      <c r="K270" s="9"/>
      <c r="L270" s="9"/>
    </row>
    <row r="271" spans="1:12" x14ac:dyDescent="0.35">
      <c r="A271" s="22"/>
      <c r="B271" s="9"/>
      <c r="C271" s="18"/>
      <c r="D271" s="19"/>
      <c r="E271" s="14"/>
      <c r="F271" s="20"/>
      <c r="G271" s="21"/>
      <c r="H271" s="22"/>
      <c r="I271" s="14"/>
      <c r="J271" s="26"/>
      <c r="K271" s="9"/>
      <c r="L271" s="9"/>
    </row>
    <row r="272" spans="1:12" x14ac:dyDescent="0.35">
      <c r="A272" s="22"/>
      <c r="B272" s="9"/>
      <c r="C272" s="18"/>
      <c r="D272" s="19"/>
      <c r="E272" s="14"/>
      <c r="F272" s="20"/>
      <c r="G272" s="21"/>
      <c r="H272" s="22"/>
      <c r="I272" s="14"/>
      <c r="J272" s="26"/>
      <c r="K272" s="9"/>
      <c r="L272" s="9"/>
    </row>
    <row r="273" spans="1:12" x14ac:dyDescent="0.35">
      <c r="A273" s="22"/>
      <c r="B273" s="9"/>
      <c r="C273" s="18"/>
      <c r="D273" s="19"/>
      <c r="E273" s="14"/>
      <c r="F273" s="20"/>
      <c r="G273" s="21"/>
      <c r="H273" s="22"/>
      <c r="I273" s="14"/>
      <c r="J273" s="26"/>
      <c r="K273" s="9"/>
      <c r="L273" s="9"/>
    </row>
    <row r="274" spans="1:12" x14ac:dyDescent="0.35">
      <c r="A274" s="22"/>
      <c r="B274" s="9"/>
      <c r="C274" s="18"/>
      <c r="D274" s="19"/>
      <c r="E274" s="14"/>
      <c r="F274" s="20"/>
      <c r="G274" s="21"/>
      <c r="H274" s="22"/>
      <c r="I274" s="14"/>
      <c r="J274" s="26"/>
      <c r="K274" s="9"/>
      <c r="L274" s="9"/>
    </row>
    <row r="275" spans="1:12" x14ac:dyDescent="0.35">
      <c r="A275" s="22"/>
      <c r="B275" s="9"/>
      <c r="C275" s="18"/>
      <c r="D275" s="19"/>
      <c r="E275" s="14"/>
      <c r="F275" s="20"/>
      <c r="G275" s="21"/>
      <c r="H275" s="22"/>
      <c r="I275" s="14"/>
      <c r="J275" s="26"/>
      <c r="K275" s="9"/>
      <c r="L275" s="9"/>
    </row>
    <row r="276" spans="1:12" x14ac:dyDescent="0.35">
      <c r="A276" s="22"/>
      <c r="B276" s="9"/>
      <c r="C276" s="18"/>
      <c r="D276" s="19"/>
      <c r="E276" s="14"/>
      <c r="F276" s="20"/>
      <c r="G276" s="21"/>
      <c r="H276" s="22"/>
      <c r="I276" s="14"/>
      <c r="J276" s="26"/>
      <c r="K276" s="9"/>
      <c r="L276" s="9"/>
    </row>
    <row r="277" spans="1:12" x14ac:dyDescent="0.35">
      <c r="A277" s="22"/>
      <c r="B277" s="9"/>
      <c r="C277" s="18"/>
      <c r="D277" s="19"/>
      <c r="E277" s="14"/>
      <c r="F277" s="20"/>
      <c r="G277" s="21"/>
      <c r="H277" s="22"/>
      <c r="I277" s="14"/>
      <c r="J277" s="26"/>
      <c r="K277" s="9"/>
      <c r="L277" s="9"/>
    </row>
    <row r="278" spans="1:12" x14ac:dyDescent="0.35">
      <c r="A278" s="22"/>
      <c r="B278" s="9"/>
      <c r="C278" s="18"/>
      <c r="D278" s="19"/>
      <c r="E278" s="14"/>
      <c r="F278" s="20"/>
      <c r="G278" s="21"/>
      <c r="H278" s="22"/>
      <c r="I278" s="14"/>
      <c r="J278" s="26"/>
      <c r="K278" s="9"/>
      <c r="L278" s="9"/>
    </row>
    <row r="279" spans="1:12" x14ac:dyDescent="0.35">
      <c r="A279" s="22"/>
      <c r="B279" s="9"/>
      <c r="C279" s="18"/>
      <c r="D279" s="19"/>
      <c r="E279" s="14"/>
      <c r="F279" s="20"/>
      <c r="G279" s="21"/>
      <c r="H279" s="22"/>
      <c r="I279" s="14"/>
      <c r="J279" s="26"/>
      <c r="K279" s="9"/>
      <c r="L279" s="9"/>
    </row>
    <row r="280" spans="1:12" x14ac:dyDescent="0.35">
      <c r="A280" s="22"/>
      <c r="B280" s="9"/>
      <c r="C280" s="18"/>
      <c r="D280" s="19"/>
      <c r="E280" s="14"/>
      <c r="F280" s="20"/>
      <c r="G280" s="21"/>
      <c r="H280" s="22"/>
      <c r="I280" s="14"/>
      <c r="J280" s="26"/>
      <c r="K280" s="9"/>
      <c r="L280" s="9"/>
    </row>
    <row r="281" spans="1:12" x14ac:dyDescent="0.35">
      <c r="A281" s="22"/>
      <c r="B281" s="9"/>
      <c r="C281" s="18"/>
      <c r="D281" s="19"/>
      <c r="E281" s="14"/>
      <c r="F281" s="20"/>
      <c r="G281" s="21"/>
      <c r="H281" s="22"/>
      <c r="I281" s="14"/>
      <c r="J281" s="26"/>
      <c r="K281" s="9"/>
      <c r="L281" s="9"/>
    </row>
    <row r="282" spans="1:12" x14ac:dyDescent="0.35">
      <c r="A282" s="22"/>
      <c r="B282" s="9"/>
      <c r="C282" s="18"/>
      <c r="D282" s="19"/>
      <c r="E282" s="14"/>
      <c r="F282" s="20"/>
      <c r="G282" s="21"/>
      <c r="H282" s="22"/>
      <c r="I282" s="14"/>
      <c r="J282" s="26"/>
      <c r="K282" s="9"/>
      <c r="L282" s="9"/>
    </row>
    <row r="283" spans="1:12" x14ac:dyDescent="0.35">
      <c r="A283" s="22"/>
      <c r="B283" s="9"/>
      <c r="C283" s="18"/>
      <c r="D283" s="19"/>
      <c r="E283" s="14"/>
      <c r="F283" s="20"/>
      <c r="G283" s="21"/>
      <c r="H283" s="22"/>
      <c r="I283" s="14"/>
      <c r="J283" s="26"/>
      <c r="K283" s="9"/>
      <c r="L283" s="9"/>
    </row>
    <row r="284" spans="1:12" x14ac:dyDescent="0.35">
      <c r="A284" s="22"/>
      <c r="B284" s="9"/>
      <c r="C284" s="18"/>
      <c r="D284" s="19"/>
      <c r="E284" s="14"/>
      <c r="F284" s="20"/>
      <c r="G284" s="21"/>
      <c r="H284" s="22"/>
      <c r="I284" s="14"/>
      <c r="J284" s="26"/>
      <c r="K284" s="9"/>
      <c r="L284" s="9"/>
    </row>
    <row r="285" spans="1:12" x14ac:dyDescent="0.35">
      <c r="A285" s="22"/>
      <c r="B285" s="9"/>
      <c r="C285" s="18"/>
      <c r="D285" s="19"/>
      <c r="E285" s="14"/>
      <c r="F285" s="20"/>
      <c r="G285" s="21"/>
      <c r="H285" s="22"/>
      <c r="I285" s="14"/>
      <c r="J285" s="26"/>
      <c r="K285" s="9"/>
      <c r="L285" s="9"/>
    </row>
    <row r="286" spans="1:12" x14ac:dyDescent="0.35">
      <c r="A286" s="22"/>
      <c r="B286" s="9"/>
      <c r="C286" s="18"/>
      <c r="D286" s="19"/>
      <c r="E286" s="14"/>
      <c r="F286" s="20"/>
      <c r="G286" s="21"/>
      <c r="H286" s="22"/>
      <c r="I286" s="14"/>
      <c r="J286" s="26"/>
      <c r="K286" s="9"/>
      <c r="L286" s="9"/>
    </row>
    <row r="287" spans="1:12" x14ac:dyDescent="0.35">
      <c r="A287" s="22"/>
      <c r="B287" s="9"/>
      <c r="C287" s="18"/>
      <c r="D287" s="19"/>
      <c r="E287" s="14"/>
      <c r="F287" s="20"/>
      <c r="G287" s="21"/>
      <c r="H287" s="22"/>
      <c r="I287" s="14"/>
      <c r="J287" s="26"/>
      <c r="K287" s="9"/>
      <c r="L287" s="9"/>
    </row>
    <row r="288" spans="1:12" x14ac:dyDescent="0.35">
      <c r="A288" s="22"/>
      <c r="B288" s="9"/>
      <c r="C288" s="18"/>
      <c r="D288" s="19"/>
      <c r="E288" s="14"/>
      <c r="F288" s="20"/>
      <c r="G288" s="21"/>
      <c r="H288" s="22"/>
      <c r="I288" s="14"/>
      <c r="J288" s="26"/>
      <c r="K288" s="9"/>
      <c r="L288" s="9"/>
    </row>
    <row r="289" spans="1:12" x14ac:dyDescent="0.35">
      <c r="A289" s="22"/>
      <c r="B289" s="9"/>
      <c r="C289" s="18"/>
      <c r="D289" s="19"/>
      <c r="E289" s="14"/>
      <c r="F289" s="20"/>
      <c r="G289" s="21"/>
      <c r="H289" s="22"/>
      <c r="I289" s="14"/>
      <c r="J289" s="26"/>
      <c r="K289" s="9"/>
      <c r="L289" s="9"/>
    </row>
    <row r="290" spans="1:12" x14ac:dyDescent="0.35">
      <c r="A290" s="22"/>
      <c r="B290" s="9"/>
      <c r="C290" s="18"/>
      <c r="D290" s="19"/>
      <c r="E290" s="14"/>
      <c r="F290" s="20"/>
      <c r="G290" s="21"/>
      <c r="H290" s="22"/>
      <c r="I290" s="14"/>
      <c r="J290" s="26"/>
      <c r="K290" s="9"/>
      <c r="L290" s="9"/>
    </row>
    <row r="291" spans="1:12" x14ac:dyDescent="0.35">
      <c r="A291" s="22"/>
      <c r="B291" s="9"/>
      <c r="C291" s="18"/>
      <c r="D291" s="19"/>
      <c r="E291" s="14"/>
      <c r="F291" s="20"/>
      <c r="G291" s="21"/>
      <c r="H291" s="22"/>
      <c r="I291" s="14"/>
      <c r="J291" s="26"/>
      <c r="K291" s="9"/>
      <c r="L291" s="9"/>
    </row>
    <row r="292" spans="1:12" x14ac:dyDescent="0.35">
      <c r="A292" s="22"/>
      <c r="B292" s="9"/>
      <c r="C292" s="18"/>
      <c r="D292" s="19"/>
      <c r="E292" s="14"/>
      <c r="F292" s="20"/>
      <c r="G292" s="21"/>
      <c r="H292" s="22"/>
      <c r="I292" s="14"/>
      <c r="J292" s="26"/>
      <c r="K292" s="9"/>
      <c r="L292" s="9"/>
    </row>
    <row r="293" spans="1:12" x14ac:dyDescent="0.35">
      <c r="A293" s="22"/>
      <c r="B293" s="9"/>
      <c r="C293" s="18"/>
      <c r="D293" s="19"/>
      <c r="E293" s="14"/>
      <c r="F293" s="20"/>
      <c r="G293" s="21"/>
      <c r="H293" s="22"/>
      <c r="I293" s="14"/>
      <c r="J293" s="26"/>
      <c r="K293" s="9"/>
      <c r="L293" s="9"/>
    </row>
    <row r="294" spans="1:12" x14ac:dyDescent="0.35">
      <c r="A294" s="22"/>
      <c r="B294" s="9"/>
      <c r="C294" s="18"/>
      <c r="D294" s="19"/>
      <c r="E294" s="14"/>
      <c r="F294" s="20"/>
      <c r="G294" s="21"/>
      <c r="H294" s="22"/>
      <c r="I294" s="14"/>
      <c r="J294" s="26"/>
      <c r="K294" s="9"/>
      <c r="L294" s="9"/>
    </row>
    <row r="295" spans="1:12" x14ac:dyDescent="0.35">
      <c r="A295" s="22"/>
      <c r="B295" s="9"/>
      <c r="C295" s="18"/>
      <c r="D295" s="19"/>
      <c r="E295" s="14"/>
      <c r="F295" s="20"/>
      <c r="G295" s="21"/>
      <c r="H295" s="22"/>
      <c r="I295" s="14"/>
      <c r="J295" s="26"/>
      <c r="K295" s="9"/>
      <c r="L295" s="9"/>
    </row>
    <row r="296" spans="1:12" x14ac:dyDescent="0.35">
      <c r="A296" s="22"/>
      <c r="B296" s="9"/>
      <c r="C296" s="18"/>
      <c r="D296" s="19"/>
      <c r="E296" s="14"/>
      <c r="F296" s="20"/>
      <c r="G296" s="21"/>
      <c r="H296" s="22"/>
      <c r="I296" s="14"/>
      <c r="J296" s="26"/>
      <c r="K296" s="9"/>
      <c r="L296" s="9"/>
    </row>
    <row r="297" spans="1:12" x14ac:dyDescent="0.35">
      <c r="A297" s="22"/>
      <c r="B297" s="9"/>
      <c r="C297" s="18"/>
      <c r="D297" s="19"/>
      <c r="E297" s="14"/>
      <c r="F297" s="20"/>
      <c r="G297" s="21"/>
      <c r="H297" s="22"/>
      <c r="I297" s="14"/>
      <c r="J297" s="26"/>
      <c r="K297" s="9"/>
      <c r="L297" s="9"/>
    </row>
    <row r="298" spans="1:12" x14ac:dyDescent="0.35">
      <c r="A298" s="22"/>
      <c r="B298" s="9"/>
      <c r="C298" s="18"/>
      <c r="D298" s="19"/>
      <c r="E298" s="14"/>
      <c r="F298" s="20"/>
      <c r="G298" s="21"/>
      <c r="H298" s="22"/>
      <c r="I298" s="14"/>
      <c r="J298" s="26"/>
      <c r="K298" s="9"/>
      <c r="L298" s="9"/>
    </row>
    <row r="299" spans="1:12" x14ac:dyDescent="0.35">
      <c r="A299" s="22"/>
      <c r="B299" s="9"/>
      <c r="C299" s="18"/>
      <c r="D299" s="19"/>
      <c r="E299" s="14"/>
      <c r="F299" s="20"/>
      <c r="G299" s="21"/>
      <c r="H299" s="22"/>
      <c r="I299" s="14"/>
      <c r="J299" s="26"/>
      <c r="K299" s="9"/>
      <c r="L299" s="9"/>
    </row>
    <row r="300" spans="1:12" x14ac:dyDescent="0.35">
      <c r="A300" s="22"/>
      <c r="B300" s="9"/>
      <c r="C300" s="18"/>
      <c r="D300" s="19"/>
      <c r="E300" s="14"/>
      <c r="F300" s="20"/>
      <c r="G300" s="21"/>
      <c r="H300" s="22"/>
      <c r="I300" s="14"/>
      <c r="J300" s="26"/>
      <c r="K300" s="9"/>
      <c r="L300" s="9"/>
    </row>
    <row r="301" spans="1:12" x14ac:dyDescent="0.35">
      <c r="A301" s="22"/>
      <c r="B301" s="9"/>
      <c r="C301" s="18"/>
      <c r="D301" s="19"/>
      <c r="E301" s="14"/>
      <c r="F301" s="20"/>
      <c r="G301" s="21"/>
      <c r="H301" s="22"/>
      <c r="I301" s="14"/>
      <c r="J301" s="26"/>
      <c r="K301" s="9"/>
      <c r="L301" s="9"/>
    </row>
    <row r="302" spans="1:12" x14ac:dyDescent="0.35">
      <c r="A302" s="22"/>
      <c r="B302" s="9"/>
      <c r="C302" s="18"/>
      <c r="D302" s="19"/>
      <c r="E302" s="14"/>
      <c r="F302" s="20"/>
      <c r="G302" s="21"/>
      <c r="H302" s="22"/>
      <c r="I302" s="14"/>
      <c r="J302" s="26"/>
      <c r="K302" s="9"/>
      <c r="L302" s="9"/>
    </row>
    <row r="303" spans="1:12" x14ac:dyDescent="0.35">
      <c r="A303" s="22"/>
      <c r="B303" s="9"/>
      <c r="C303" s="18"/>
      <c r="D303" s="19"/>
      <c r="E303" s="14"/>
      <c r="F303" s="20"/>
      <c r="G303" s="21"/>
      <c r="H303" s="22"/>
      <c r="I303" s="14"/>
      <c r="J303" s="26"/>
      <c r="K303" s="9"/>
      <c r="L303" s="9"/>
    </row>
    <row r="304" spans="1:12" x14ac:dyDescent="0.35">
      <c r="A304" s="22"/>
      <c r="B304" s="9"/>
      <c r="C304" s="18"/>
      <c r="D304" s="19"/>
      <c r="E304" s="14"/>
      <c r="F304" s="20"/>
      <c r="G304" s="21"/>
      <c r="H304" s="22"/>
      <c r="I304" s="14"/>
      <c r="J304" s="26"/>
      <c r="K304" s="9"/>
      <c r="L304" s="9"/>
    </row>
    <row r="305" spans="1:12" x14ac:dyDescent="0.35">
      <c r="A305" s="22"/>
      <c r="B305" s="9"/>
      <c r="C305" s="18"/>
      <c r="D305" s="19"/>
      <c r="E305" s="14"/>
      <c r="F305" s="20"/>
      <c r="G305" s="21"/>
      <c r="H305" s="22"/>
      <c r="I305" s="14"/>
      <c r="J305" s="26"/>
      <c r="K305" s="9"/>
      <c r="L305" s="9"/>
    </row>
    <row r="306" spans="1:12" x14ac:dyDescent="0.35">
      <c r="A306" s="22"/>
      <c r="B306" s="9"/>
      <c r="C306" s="18"/>
      <c r="D306" s="19"/>
      <c r="E306" s="14"/>
      <c r="F306" s="20"/>
      <c r="G306" s="21"/>
      <c r="H306" s="22"/>
      <c r="I306" s="14"/>
      <c r="J306" s="26"/>
      <c r="K306" s="9"/>
      <c r="L306" s="9"/>
    </row>
    <row r="307" spans="1:12" x14ac:dyDescent="0.35">
      <c r="A307" s="22"/>
      <c r="B307" s="9"/>
      <c r="C307" s="18"/>
      <c r="D307" s="19"/>
      <c r="E307" s="14"/>
      <c r="F307" s="20"/>
      <c r="G307" s="21"/>
      <c r="H307" s="22"/>
      <c r="I307" s="14"/>
      <c r="J307" s="26"/>
      <c r="K307" s="9"/>
      <c r="L307" s="9"/>
    </row>
    <row r="308" spans="1:12" x14ac:dyDescent="0.35">
      <c r="A308" s="22"/>
      <c r="B308" s="9"/>
      <c r="C308" s="18"/>
      <c r="D308" s="19"/>
      <c r="E308" s="14"/>
      <c r="F308" s="20"/>
      <c r="G308" s="21"/>
      <c r="H308" s="22"/>
      <c r="I308" s="14"/>
      <c r="J308" s="26"/>
      <c r="K308" s="9"/>
      <c r="L308" s="9"/>
    </row>
    <row r="309" spans="1:12" x14ac:dyDescent="0.35">
      <c r="A309" s="22"/>
      <c r="B309" s="9"/>
      <c r="C309" s="18"/>
      <c r="D309" s="19"/>
      <c r="E309" s="14"/>
      <c r="F309" s="20"/>
      <c r="G309" s="21"/>
      <c r="H309" s="22"/>
      <c r="I309" s="14"/>
      <c r="J309" s="26"/>
      <c r="K309" s="9"/>
      <c r="L309" s="9"/>
    </row>
    <row r="310" spans="1:12" x14ac:dyDescent="0.35">
      <c r="A310" s="22"/>
      <c r="B310" s="9"/>
      <c r="C310" s="18"/>
      <c r="D310" s="19"/>
      <c r="E310" s="14"/>
      <c r="F310" s="20"/>
      <c r="G310" s="21"/>
      <c r="H310" s="22"/>
      <c r="I310" s="14"/>
      <c r="J310" s="26"/>
      <c r="K310" s="9"/>
      <c r="L310" s="9"/>
    </row>
    <row r="311" spans="1:12" x14ac:dyDescent="0.35">
      <c r="A311" s="22"/>
      <c r="B311" s="9"/>
      <c r="C311" s="18"/>
      <c r="D311" s="19"/>
      <c r="E311" s="14"/>
      <c r="F311" s="20"/>
      <c r="G311" s="21"/>
      <c r="H311" s="22"/>
      <c r="I311" s="14"/>
      <c r="J311" s="26"/>
      <c r="K311" s="9"/>
      <c r="L311" s="9"/>
    </row>
    <row r="312" spans="1:12" x14ac:dyDescent="0.35">
      <c r="A312" s="22"/>
      <c r="B312" s="9"/>
      <c r="C312" s="18"/>
      <c r="D312" s="19"/>
      <c r="E312" s="14"/>
      <c r="F312" s="20"/>
      <c r="G312" s="21"/>
      <c r="H312" s="22"/>
      <c r="I312" s="14"/>
      <c r="J312" s="26"/>
      <c r="K312" s="9"/>
      <c r="L312" s="9"/>
    </row>
    <row r="313" spans="1:12" x14ac:dyDescent="0.35">
      <c r="A313" s="22"/>
      <c r="B313" s="9"/>
      <c r="C313" s="18"/>
      <c r="D313" s="19"/>
      <c r="E313" s="14"/>
      <c r="F313" s="20"/>
      <c r="G313" s="21"/>
      <c r="H313" s="22"/>
      <c r="I313" s="14"/>
      <c r="J313" s="26"/>
      <c r="K313" s="9"/>
      <c r="L313" s="9"/>
    </row>
    <row r="314" spans="1:12" x14ac:dyDescent="0.35">
      <c r="A314" s="22"/>
      <c r="B314" s="9"/>
      <c r="C314" s="18"/>
      <c r="D314" s="19"/>
      <c r="E314" s="14"/>
      <c r="F314" s="20"/>
      <c r="G314" s="21"/>
      <c r="H314" s="22"/>
      <c r="I314" s="14"/>
      <c r="J314" s="26"/>
      <c r="K314" s="9"/>
      <c r="L314" s="9"/>
    </row>
    <row r="315" spans="1:12" x14ac:dyDescent="0.35">
      <c r="A315" s="22"/>
      <c r="B315" s="9"/>
      <c r="C315" s="18"/>
      <c r="D315" s="19"/>
      <c r="E315" s="14"/>
      <c r="F315" s="20"/>
      <c r="G315" s="21"/>
      <c r="H315" s="22"/>
      <c r="I315" s="14"/>
      <c r="J315" s="26"/>
      <c r="K315" s="9"/>
      <c r="L315" s="9"/>
    </row>
    <row r="316" spans="1:12" x14ac:dyDescent="0.35">
      <c r="A316" s="22"/>
      <c r="B316" s="9"/>
      <c r="C316" s="18"/>
      <c r="D316" s="19"/>
      <c r="E316" s="14"/>
      <c r="F316" s="20"/>
      <c r="G316" s="21"/>
      <c r="H316" s="22"/>
      <c r="I316" s="14"/>
      <c r="J316" s="26"/>
      <c r="K316" s="9"/>
      <c r="L316" s="9"/>
    </row>
    <row r="317" spans="1:12" x14ac:dyDescent="0.35">
      <c r="A317" s="22"/>
      <c r="B317" s="9"/>
      <c r="C317" s="18"/>
      <c r="D317" s="19"/>
      <c r="E317" s="14"/>
      <c r="F317" s="20"/>
      <c r="G317" s="21"/>
      <c r="H317" s="22"/>
      <c r="I317" s="14"/>
      <c r="J317" s="26"/>
      <c r="K317" s="9"/>
      <c r="L317" s="9"/>
    </row>
    <row r="318" spans="1:12" x14ac:dyDescent="0.35">
      <c r="A318" s="22"/>
      <c r="B318" s="9"/>
      <c r="C318" s="18"/>
      <c r="D318" s="19"/>
      <c r="E318" s="14"/>
      <c r="F318" s="20"/>
      <c r="G318" s="21"/>
      <c r="H318" s="22"/>
      <c r="I318" s="14"/>
      <c r="J318" s="26"/>
      <c r="K318" s="9"/>
      <c r="L318" s="9"/>
    </row>
    <row r="319" spans="1:12" x14ac:dyDescent="0.35">
      <c r="A319" s="22"/>
      <c r="B319" s="9"/>
      <c r="C319" s="18"/>
      <c r="D319" s="19"/>
      <c r="E319" s="14"/>
      <c r="F319" s="20"/>
      <c r="G319" s="21"/>
      <c r="H319" s="22"/>
      <c r="I319" s="14"/>
      <c r="J319" s="26"/>
      <c r="K319" s="9"/>
      <c r="L319" s="9"/>
    </row>
    <row r="320" spans="1:12" x14ac:dyDescent="0.35">
      <c r="A320" s="22"/>
      <c r="B320" s="9"/>
      <c r="C320" s="18"/>
      <c r="D320" s="19"/>
      <c r="E320" s="14"/>
      <c r="F320" s="20"/>
      <c r="G320" s="21"/>
      <c r="H320" s="22"/>
      <c r="I320" s="14"/>
      <c r="J320" s="26"/>
      <c r="K320" s="9"/>
      <c r="L320" s="9"/>
    </row>
    <row r="321" spans="1:12" x14ac:dyDescent="0.35">
      <c r="A321" s="22"/>
      <c r="B321" s="9"/>
      <c r="C321" s="18"/>
      <c r="D321" s="19"/>
      <c r="E321" s="14"/>
      <c r="F321" s="20"/>
      <c r="G321" s="21"/>
      <c r="H321" s="22"/>
      <c r="I321" s="14"/>
      <c r="J321" s="26"/>
      <c r="K321" s="9"/>
      <c r="L321" s="9"/>
    </row>
    <row r="322" spans="1:12" x14ac:dyDescent="0.35">
      <c r="A322" s="22"/>
      <c r="B322" s="9"/>
      <c r="C322" s="18"/>
      <c r="D322" s="19"/>
      <c r="E322" s="14"/>
      <c r="F322" s="20"/>
      <c r="G322" s="21"/>
      <c r="H322" s="22"/>
      <c r="I322" s="14"/>
      <c r="J322" s="26"/>
      <c r="K322" s="9"/>
      <c r="L322" s="9"/>
    </row>
    <row r="323" spans="1:12" x14ac:dyDescent="0.35">
      <c r="A323" s="22"/>
      <c r="B323" s="9"/>
      <c r="C323" s="18"/>
      <c r="D323" s="19"/>
      <c r="E323" s="14"/>
      <c r="F323" s="20"/>
      <c r="G323" s="21"/>
      <c r="H323" s="22"/>
      <c r="I323" s="14"/>
      <c r="J323" s="26"/>
      <c r="K323" s="9"/>
      <c r="L323" s="9"/>
    </row>
    <row r="324" spans="1:12" x14ac:dyDescent="0.35">
      <c r="A324" s="22"/>
      <c r="B324" s="9"/>
      <c r="C324" s="18"/>
      <c r="D324" s="19"/>
      <c r="E324" s="14"/>
      <c r="F324" s="20"/>
      <c r="G324" s="21"/>
      <c r="H324" s="22"/>
      <c r="I324" s="14"/>
      <c r="J324" s="26"/>
      <c r="K324" s="9"/>
      <c r="L324" s="9"/>
    </row>
    <row r="325" spans="1:12" x14ac:dyDescent="0.35">
      <c r="A325" s="22"/>
      <c r="B325" s="9"/>
      <c r="C325" s="18"/>
      <c r="D325" s="19"/>
      <c r="E325" s="14"/>
      <c r="F325" s="20"/>
      <c r="G325" s="21"/>
      <c r="H325" s="22"/>
      <c r="I325" s="14"/>
      <c r="J325" s="26"/>
      <c r="K325" s="9"/>
      <c r="L325" s="9"/>
    </row>
    <row r="326" spans="1:12" x14ac:dyDescent="0.35">
      <c r="A326" s="22"/>
      <c r="B326" s="9"/>
      <c r="C326" s="18"/>
      <c r="D326" s="19"/>
      <c r="E326" s="14"/>
      <c r="F326" s="20"/>
      <c r="G326" s="21"/>
      <c r="H326" s="22"/>
      <c r="I326" s="14"/>
      <c r="J326" s="26"/>
      <c r="K326" s="9"/>
      <c r="L326" s="9"/>
    </row>
    <row r="327" spans="1:12" x14ac:dyDescent="0.35">
      <c r="A327" s="22"/>
      <c r="B327" s="9"/>
      <c r="C327" s="18"/>
      <c r="D327" s="19"/>
      <c r="E327" s="14"/>
      <c r="F327" s="20"/>
      <c r="G327" s="21"/>
      <c r="H327" s="22"/>
      <c r="I327" s="14"/>
      <c r="J327" s="26"/>
      <c r="K327" s="9"/>
      <c r="L327" s="9"/>
    </row>
    <row r="328" spans="1:12" x14ac:dyDescent="0.35">
      <c r="A328" s="22"/>
      <c r="B328" s="9"/>
      <c r="C328" s="18"/>
      <c r="D328" s="19"/>
      <c r="E328" s="14"/>
      <c r="F328" s="20"/>
      <c r="G328" s="21"/>
      <c r="H328" s="22"/>
      <c r="I328" s="14"/>
      <c r="J328" s="26"/>
      <c r="K328" s="9"/>
      <c r="L328" s="9"/>
    </row>
    <row r="329" spans="1:12" x14ac:dyDescent="0.35">
      <c r="A329" s="22"/>
      <c r="B329" s="9"/>
      <c r="C329" s="18"/>
      <c r="D329" s="19"/>
      <c r="E329" s="14"/>
      <c r="F329" s="20"/>
      <c r="G329" s="21"/>
      <c r="H329" s="22"/>
      <c r="I329" s="14"/>
      <c r="J329" s="26"/>
      <c r="K329" s="9"/>
      <c r="L329" s="9"/>
    </row>
    <row r="330" spans="1:12" x14ac:dyDescent="0.35">
      <c r="A330" s="22"/>
      <c r="B330" s="9"/>
      <c r="C330" s="18"/>
      <c r="D330" s="19"/>
      <c r="E330" s="14"/>
      <c r="F330" s="20"/>
      <c r="G330" s="21"/>
      <c r="H330" s="22"/>
      <c r="I330" s="14"/>
      <c r="J330" s="26"/>
      <c r="K330" s="9"/>
      <c r="L330" s="9"/>
    </row>
    <row r="331" spans="1:12" x14ac:dyDescent="0.35">
      <c r="A331" s="22"/>
      <c r="B331" s="9"/>
      <c r="C331" s="18"/>
      <c r="D331" s="19"/>
      <c r="E331" s="14"/>
      <c r="F331" s="20"/>
      <c r="G331" s="21"/>
      <c r="H331" s="22"/>
      <c r="I331" s="14"/>
      <c r="J331" s="26"/>
      <c r="K331" s="9"/>
      <c r="L331" s="9"/>
    </row>
    <row r="332" spans="1:12" x14ac:dyDescent="0.35">
      <c r="A332" s="22"/>
      <c r="B332" s="9"/>
      <c r="C332" s="18"/>
      <c r="D332" s="19"/>
      <c r="E332" s="14"/>
      <c r="F332" s="20"/>
      <c r="G332" s="21"/>
      <c r="H332" s="22"/>
      <c r="I332" s="14"/>
      <c r="J332" s="26"/>
      <c r="K332" s="9"/>
      <c r="L332" s="9"/>
    </row>
    <row r="333" spans="1:12" x14ac:dyDescent="0.35">
      <c r="A333" s="22"/>
      <c r="B333" s="9"/>
      <c r="C333" s="18"/>
      <c r="D333" s="19"/>
      <c r="E333" s="14"/>
      <c r="F333" s="20"/>
      <c r="G333" s="21"/>
      <c r="H333" s="22"/>
      <c r="I333" s="14"/>
      <c r="J333" s="26"/>
      <c r="K333" s="9"/>
      <c r="L333" s="9"/>
    </row>
    <row r="334" spans="1:12" x14ac:dyDescent="0.35">
      <c r="A334" s="22"/>
      <c r="B334" s="9"/>
      <c r="C334" s="18"/>
      <c r="D334" s="19"/>
      <c r="E334" s="14"/>
      <c r="F334" s="20"/>
      <c r="G334" s="21"/>
      <c r="H334" s="22"/>
      <c r="I334" s="14"/>
      <c r="J334" s="26"/>
      <c r="K334" s="9"/>
      <c r="L334" s="9"/>
    </row>
    <row r="335" spans="1:12" x14ac:dyDescent="0.35">
      <c r="A335" s="22"/>
      <c r="B335" s="9"/>
      <c r="C335" s="18"/>
      <c r="D335" s="19"/>
      <c r="E335" s="14"/>
      <c r="F335" s="20"/>
      <c r="G335" s="21"/>
      <c r="H335" s="22"/>
      <c r="I335" s="14"/>
      <c r="J335" s="26"/>
      <c r="K335" s="9"/>
      <c r="L335" s="9"/>
    </row>
    <row r="336" spans="1:12" x14ac:dyDescent="0.35">
      <c r="A336" s="22"/>
      <c r="B336" s="9"/>
      <c r="C336" s="18"/>
      <c r="D336" s="19"/>
      <c r="E336" s="14"/>
      <c r="F336" s="20"/>
      <c r="G336" s="21"/>
      <c r="H336" s="22"/>
      <c r="I336" s="14"/>
      <c r="J336" s="26"/>
      <c r="K336" s="9"/>
      <c r="L336" s="9"/>
    </row>
    <row r="337" spans="1:12" x14ac:dyDescent="0.35">
      <c r="A337" s="22"/>
      <c r="B337" s="9"/>
      <c r="C337" s="18"/>
      <c r="D337" s="19"/>
      <c r="E337" s="14"/>
      <c r="F337" s="20"/>
      <c r="G337" s="21"/>
      <c r="H337" s="22"/>
      <c r="I337" s="14"/>
      <c r="J337" s="26"/>
      <c r="K337" s="9"/>
      <c r="L337" s="9"/>
    </row>
    <row r="338" spans="1:12" x14ac:dyDescent="0.35">
      <c r="A338" s="22"/>
      <c r="B338" s="9"/>
      <c r="C338" s="18"/>
      <c r="D338" s="19"/>
      <c r="E338" s="14"/>
      <c r="F338" s="20"/>
      <c r="G338" s="21"/>
      <c r="H338" s="22"/>
      <c r="I338" s="14"/>
      <c r="J338" s="26"/>
      <c r="K338" s="9"/>
      <c r="L338" s="9"/>
    </row>
    <row r="339" spans="1:12" x14ac:dyDescent="0.35">
      <c r="A339" s="22"/>
      <c r="B339" s="9"/>
      <c r="C339" s="18"/>
      <c r="D339" s="19"/>
      <c r="E339" s="14"/>
      <c r="F339" s="20"/>
      <c r="G339" s="21"/>
      <c r="H339" s="22"/>
      <c r="I339" s="14"/>
      <c r="J339" s="26"/>
      <c r="K339" s="9"/>
      <c r="L339" s="9"/>
    </row>
    <row r="340" spans="1:12" x14ac:dyDescent="0.35">
      <c r="A340" s="22"/>
      <c r="B340" s="9"/>
      <c r="C340" s="18"/>
      <c r="D340" s="19"/>
      <c r="E340" s="14"/>
      <c r="F340" s="20"/>
      <c r="G340" s="21"/>
      <c r="H340" s="22"/>
      <c r="I340" s="14"/>
      <c r="J340" s="26"/>
      <c r="K340" s="9"/>
      <c r="L340" s="9"/>
    </row>
    <row r="341" spans="1:12" x14ac:dyDescent="0.35">
      <c r="A341" s="22"/>
      <c r="B341" s="9"/>
      <c r="C341" s="18"/>
      <c r="D341" s="19"/>
      <c r="E341" s="14"/>
      <c r="F341" s="20"/>
      <c r="G341" s="21"/>
      <c r="H341" s="22"/>
      <c r="I341" s="14"/>
      <c r="J341" s="26"/>
      <c r="K341" s="9"/>
      <c r="L341" s="9"/>
    </row>
    <row r="342" spans="1:12" x14ac:dyDescent="0.35">
      <c r="A342" s="22"/>
      <c r="B342" s="9"/>
      <c r="C342" s="18"/>
      <c r="D342" s="19"/>
      <c r="E342" s="14"/>
      <c r="F342" s="20"/>
      <c r="G342" s="21"/>
      <c r="H342" s="22"/>
      <c r="I342" s="14"/>
      <c r="J342" s="26"/>
      <c r="K342" s="9"/>
      <c r="L342" s="9"/>
    </row>
    <row r="343" spans="1:12" x14ac:dyDescent="0.35">
      <c r="A343" s="22"/>
      <c r="B343" s="9"/>
      <c r="C343" s="18"/>
      <c r="D343" s="19"/>
      <c r="E343" s="14"/>
      <c r="F343" s="20"/>
      <c r="G343" s="21"/>
      <c r="H343" s="22"/>
      <c r="I343" s="14"/>
      <c r="J343" s="26"/>
      <c r="K343" s="9"/>
      <c r="L343" s="9"/>
    </row>
    <row r="344" spans="1:12" x14ac:dyDescent="0.35">
      <c r="A344" s="22"/>
      <c r="B344" s="9"/>
      <c r="C344" s="18"/>
      <c r="D344" s="19"/>
      <c r="E344" s="14"/>
      <c r="F344" s="20"/>
      <c r="G344" s="21"/>
      <c r="H344" s="22"/>
      <c r="I344" s="14"/>
      <c r="J344" s="26"/>
      <c r="K344" s="9"/>
      <c r="L344" s="9"/>
    </row>
    <row r="345" spans="1:12" x14ac:dyDescent="0.35">
      <c r="A345" s="22"/>
      <c r="B345" s="9"/>
      <c r="C345" s="18"/>
      <c r="D345" s="19"/>
      <c r="E345" s="14"/>
      <c r="F345" s="20"/>
      <c r="G345" s="21"/>
      <c r="H345" s="22"/>
      <c r="I345" s="14"/>
      <c r="J345" s="26"/>
      <c r="K345" s="9"/>
      <c r="L345" s="9"/>
    </row>
    <row r="346" spans="1:12" x14ac:dyDescent="0.35">
      <c r="A346" s="22"/>
      <c r="B346" s="9"/>
      <c r="C346" s="18"/>
      <c r="D346" s="19"/>
      <c r="E346" s="14"/>
      <c r="F346" s="20"/>
      <c r="G346" s="21"/>
      <c r="H346" s="22"/>
      <c r="I346" s="14"/>
      <c r="J346" s="26"/>
      <c r="K346" s="9"/>
      <c r="L346" s="9"/>
    </row>
    <row r="347" spans="1:12" x14ac:dyDescent="0.35">
      <c r="A347" s="22"/>
      <c r="B347" s="9"/>
      <c r="C347" s="18"/>
      <c r="D347" s="19"/>
      <c r="E347" s="14"/>
      <c r="F347" s="20"/>
      <c r="G347" s="21"/>
      <c r="H347" s="22"/>
      <c r="I347" s="14"/>
      <c r="J347" s="26"/>
      <c r="K347" s="9"/>
      <c r="L347" s="9"/>
    </row>
    <row r="348" spans="1:12" x14ac:dyDescent="0.35">
      <c r="A348" s="22"/>
      <c r="B348" s="9"/>
      <c r="C348" s="18"/>
      <c r="D348" s="19"/>
      <c r="E348" s="14"/>
      <c r="F348" s="20"/>
      <c r="G348" s="21"/>
      <c r="H348" s="22"/>
      <c r="I348" s="14"/>
      <c r="J348" s="26"/>
      <c r="K348" s="9"/>
      <c r="L348" s="9"/>
    </row>
    <row r="349" spans="1:12" x14ac:dyDescent="0.35">
      <c r="A349" s="22"/>
      <c r="B349" s="9"/>
      <c r="C349" s="18"/>
      <c r="D349" s="19"/>
      <c r="E349" s="14"/>
      <c r="F349" s="20"/>
      <c r="G349" s="21"/>
      <c r="H349" s="22"/>
      <c r="I349" s="14"/>
      <c r="J349" s="26"/>
      <c r="K349" s="9"/>
      <c r="L349" s="9"/>
    </row>
    <row r="350" spans="1:12" x14ac:dyDescent="0.35">
      <c r="A350" s="22"/>
      <c r="B350" s="9"/>
      <c r="C350" s="18"/>
      <c r="D350" s="19"/>
      <c r="E350" s="14"/>
      <c r="F350" s="20"/>
      <c r="G350" s="21"/>
      <c r="H350" s="22"/>
      <c r="I350" s="14"/>
      <c r="J350" s="26"/>
      <c r="K350" s="9"/>
      <c r="L350" s="9"/>
    </row>
    <row r="351" spans="1:12" x14ac:dyDescent="0.35">
      <c r="A351" s="22"/>
      <c r="B351" s="9"/>
      <c r="C351" s="18"/>
      <c r="D351" s="19"/>
      <c r="E351" s="14"/>
      <c r="F351" s="20"/>
      <c r="G351" s="21"/>
      <c r="H351" s="22"/>
      <c r="I351" s="14"/>
      <c r="J351" s="26"/>
      <c r="K351" s="9"/>
      <c r="L351" s="9"/>
    </row>
    <row r="352" spans="1:12" x14ac:dyDescent="0.35">
      <c r="A352" s="22"/>
      <c r="B352" s="9"/>
      <c r="C352" s="18"/>
      <c r="D352" s="19"/>
      <c r="E352" s="14"/>
      <c r="F352" s="20"/>
      <c r="G352" s="21"/>
      <c r="H352" s="22"/>
      <c r="I352" s="14"/>
      <c r="J352" s="26"/>
      <c r="K352" s="9"/>
      <c r="L352" s="9"/>
    </row>
    <row r="353" spans="1:12" x14ac:dyDescent="0.35">
      <c r="A353" s="22"/>
      <c r="B353" s="9"/>
      <c r="C353" s="18"/>
      <c r="D353" s="19"/>
      <c r="E353" s="14"/>
      <c r="F353" s="20"/>
      <c r="G353" s="21"/>
      <c r="H353" s="22"/>
      <c r="I353" s="14"/>
      <c r="J353" s="26"/>
      <c r="K353" s="9"/>
      <c r="L353" s="9"/>
    </row>
    <row r="354" spans="1:12" x14ac:dyDescent="0.35">
      <c r="A354" s="22"/>
      <c r="B354" s="9"/>
      <c r="C354" s="18"/>
      <c r="D354" s="19"/>
      <c r="E354" s="14"/>
      <c r="F354" s="20"/>
      <c r="G354" s="21"/>
      <c r="H354" s="22"/>
      <c r="I354" s="14"/>
      <c r="J354" s="26"/>
      <c r="K354" s="9"/>
      <c r="L354" s="9"/>
    </row>
    <row r="355" spans="1:12" x14ac:dyDescent="0.35">
      <c r="A355" s="22"/>
      <c r="B355" s="9"/>
      <c r="C355" s="18"/>
      <c r="D355" s="19"/>
      <c r="E355" s="14"/>
      <c r="F355" s="20"/>
      <c r="G355" s="21"/>
      <c r="H355" s="22"/>
      <c r="I355" s="14"/>
      <c r="J355" s="26"/>
      <c r="K355" s="9"/>
      <c r="L355" s="9"/>
    </row>
    <row r="356" spans="1:12" x14ac:dyDescent="0.35">
      <c r="A356" s="22"/>
      <c r="B356" s="9"/>
      <c r="C356" s="18"/>
      <c r="D356" s="19"/>
      <c r="E356" s="14"/>
      <c r="F356" s="20"/>
      <c r="G356" s="21"/>
      <c r="H356" s="22"/>
      <c r="I356" s="14"/>
      <c r="J356" s="26"/>
      <c r="K356" s="9"/>
      <c r="L356" s="9"/>
    </row>
    <row r="357" spans="1:12" x14ac:dyDescent="0.35">
      <c r="A357" s="22"/>
      <c r="B357" s="9"/>
      <c r="C357" s="18"/>
      <c r="D357" s="19"/>
      <c r="E357" s="14"/>
      <c r="F357" s="20"/>
      <c r="G357" s="21"/>
      <c r="H357" s="22"/>
      <c r="I357" s="14"/>
      <c r="J357" s="26"/>
      <c r="K357" s="9"/>
      <c r="L357" s="9"/>
    </row>
    <row r="358" spans="1:12" x14ac:dyDescent="0.35">
      <c r="A358" s="22"/>
      <c r="B358" s="9"/>
      <c r="C358" s="18"/>
      <c r="D358" s="19"/>
      <c r="E358" s="14"/>
      <c r="F358" s="20"/>
      <c r="G358" s="21"/>
      <c r="H358" s="22"/>
      <c r="I358" s="14"/>
      <c r="J358" s="26"/>
      <c r="K358" s="9"/>
      <c r="L358" s="9"/>
    </row>
    <row r="359" spans="1:12" x14ac:dyDescent="0.35">
      <c r="A359" s="22"/>
      <c r="B359" s="9"/>
      <c r="C359" s="18"/>
      <c r="D359" s="19"/>
      <c r="E359" s="14"/>
      <c r="F359" s="20"/>
      <c r="G359" s="21"/>
      <c r="H359" s="22"/>
      <c r="I359" s="14"/>
      <c r="J359" s="26"/>
      <c r="K359" s="9"/>
      <c r="L359" s="9"/>
    </row>
    <row r="360" spans="1:12" x14ac:dyDescent="0.35">
      <c r="A360" s="22"/>
      <c r="B360" s="9"/>
      <c r="C360" s="18"/>
      <c r="D360" s="19"/>
      <c r="E360" s="14"/>
      <c r="F360" s="20"/>
      <c r="G360" s="21"/>
      <c r="H360" s="22"/>
      <c r="I360" s="14"/>
      <c r="J360" s="26"/>
      <c r="K360" s="9"/>
      <c r="L360" s="9"/>
    </row>
    <row r="361" spans="1:12" x14ac:dyDescent="0.35">
      <c r="A361" s="22"/>
      <c r="B361" s="9"/>
      <c r="C361" s="18"/>
      <c r="D361" s="19"/>
      <c r="E361" s="14"/>
      <c r="F361" s="20"/>
      <c r="G361" s="21"/>
      <c r="H361" s="22"/>
      <c r="I361" s="14"/>
      <c r="J361" s="26"/>
      <c r="K361" s="9"/>
      <c r="L361" s="9"/>
    </row>
    <row r="362" spans="1:12" x14ac:dyDescent="0.35">
      <c r="A362" s="22"/>
      <c r="B362" s="9"/>
      <c r="C362" s="18"/>
      <c r="D362" s="19"/>
      <c r="E362" s="14"/>
      <c r="F362" s="20"/>
      <c r="G362" s="21"/>
      <c r="H362" s="22"/>
      <c r="I362" s="14"/>
      <c r="J362" s="26"/>
      <c r="K362" s="9"/>
      <c r="L362" s="9"/>
    </row>
    <row r="363" spans="1:12" x14ac:dyDescent="0.35">
      <c r="A363" s="22"/>
      <c r="B363" s="9"/>
      <c r="C363" s="18"/>
      <c r="D363" s="19"/>
      <c r="E363" s="14"/>
      <c r="F363" s="20"/>
      <c r="G363" s="21"/>
      <c r="H363" s="22"/>
      <c r="I363" s="14"/>
      <c r="J363" s="26"/>
      <c r="K363" s="9"/>
      <c r="L363" s="9"/>
    </row>
    <row r="364" spans="1:12" x14ac:dyDescent="0.35">
      <c r="A364" s="22"/>
      <c r="B364" s="9"/>
      <c r="C364" s="18"/>
      <c r="D364" s="19"/>
      <c r="E364" s="14"/>
      <c r="F364" s="20"/>
      <c r="G364" s="21"/>
      <c r="H364" s="22"/>
      <c r="I364" s="14"/>
      <c r="J364" s="26"/>
      <c r="K364" s="9"/>
      <c r="L364" s="9"/>
    </row>
    <row r="365" spans="1:12" x14ac:dyDescent="0.35">
      <c r="A365" s="22"/>
      <c r="B365" s="9"/>
      <c r="C365" s="18"/>
      <c r="D365" s="19"/>
      <c r="E365" s="14"/>
      <c r="F365" s="20"/>
      <c r="G365" s="21"/>
      <c r="H365" s="22"/>
      <c r="I365" s="14"/>
      <c r="J365" s="26"/>
      <c r="K365" s="9"/>
      <c r="L365" s="9"/>
    </row>
    <row r="366" spans="1:12" x14ac:dyDescent="0.35">
      <c r="A366" s="22"/>
      <c r="B366" s="9"/>
      <c r="C366" s="18"/>
      <c r="D366" s="19"/>
      <c r="E366" s="14"/>
      <c r="F366" s="20"/>
      <c r="G366" s="21"/>
      <c r="H366" s="22"/>
      <c r="I366" s="14"/>
      <c r="J366" s="26"/>
      <c r="K366" s="9"/>
      <c r="L366" s="9"/>
    </row>
    <row r="367" spans="1:12" x14ac:dyDescent="0.35">
      <c r="A367" s="22"/>
      <c r="B367" s="9"/>
      <c r="C367" s="18"/>
      <c r="D367" s="19"/>
      <c r="E367" s="14"/>
      <c r="F367" s="20"/>
      <c r="G367" s="21"/>
      <c r="H367" s="22"/>
      <c r="I367" s="14"/>
      <c r="J367" s="26"/>
      <c r="K367" s="9"/>
      <c r="L367" s="9"/>
    </row>
    <row r="368" spans="1:12" x14ac:dyDescent="0.35">
      <c r="A368" s="22"/>
      <c r="B368" s="9"/>
      <c r="C368" s="18"/>
      <c r="D368" s="19"/>
      <c r="E368" s="14"/>
      <c r="F368" s="20"/>
      <c r="G368" s="21"/>
      <c r="H368" s="22"/>
      <c r="I368" s="14"/>
      <c r="J368" s="26"/>
      <c r="K368" s="9"/>
      <c r="L368" s="9"/>
    </row>
    <row r="369" spans="1:12" x14ac:dyDescent="0.35">
      <c r="A369" s="22"/>
      <c r="B369" s="9"/>
      <c r="C369" s="18"/>
      <c r="D369" s="19"/>
      <c r="E369" s="14"/>
      <c r="F369" s="20"/>
      <c r="G369" s="21"/>
      <c r="H369" s="22"/>
      <c r="I369" s="14"/>
      <c r="J369" s="26"/>
      <c r="K369" s="9"/>
      <c r="L369" s="9"/>
    </row>
    <row r="370" spans="1:12" x14ac:dyDescent="0.35">
      <c r="A370" s="22"/>
      <c r="B370" s="9"/>
      <c r="C370" s="18"/>
      <c r="D370" s="19"/>
      <c r="E370" s="14"/>
      <c r="F370" s="20"/>
      <c r="G370" s="21"/>
      <c r="H370" s="22"/>
      <c r="I370" s="14"/>
      <c r="J370" s="26"/>
      <c r="K370" s="9"/>
      <c r="L370" s="9"/>
    </row>
    <row r="371" spans="1:12" x14ac:dyDescent="0.35">
      <c r="A371" s="22"/>
      <c r="B371" s="9"/>
      <c r="C371" s="18"/>
      <c r="D371" s="19"/>
      <c r="E371" s="14"/>
      <c r="F371" s="20"/>
      <c r="G371" s="21"/>
      <c r="H371" s="22"/>
      <c r="I371" s="14"/>
      <c r="J371" s="26"/>
      <c r="K371" s="9"/>
      <c r="L371" s="9"/>
    </row>
    <row r="372" spans="1:12" x14ac:dyDescent="0.35">
      <c r="A372" s="22"/>
      <c r="B372" s="9"/>
      <c r="C372" s="18"/>
      <c r="D372" s="19"/>
      <c r="E372" s="14"/>
      <c r="F372" s="20"/>
      <c r="G372" s="21"/>
      <c r="H372" s="22"/>
      <c r="I372" s="14"/>
      <c r="J372" s="26"/>
      <c r="K372" s="9"/>
      <c r="L372" s="9"/>
    </row>
    <row r="373" spans="1:12" x14ac:dyDescent="0.35">
      <c r="A373" s="22"/>
      <c r="B373" s="9"/>
      <c r="C373" s="18"/>
      <c r="D373" s="19"/>
      <c r="E373" s="14"/>
      <c r="F373" s="20"/>
      <c r="G373" s="21"/>
      <c r="H373" s="22"/>
      <c r="I373" s="14"/>
      <c r="J373" s="26"/>
      <c r="K373" s="9"/>
      <c r="L373" s="9"/>
    </row>
    <row r="374" spans="1:12" x14ac:dyDescent="0.35">
      <c r="A374" s="22"/>
      <c r="B374" s="9"/>
      <c r="C374" s="18"/>
      <c r="D374" s="19"/>
      <c r="E374" s="14"/>
      <c r="F374" s="20"/>
      <c r="G374" s="21"/>
      <c r="H374" s="22"/>
      <c r="I374" s="14"/>
      <c r="J374" s="26"/>
      <c r="K374" s="9"/>
      <c r="L374" s="9"/>
    </row>
    <row r="375" spans="1:12" x14ac:dyDescent="0.35">
      <c r="A375" s="22"/>
      <c r="B375" s="9"/>
      <c r="C375" s="18"/>
      <c r="D375" s="19"/>
      <c r="E375" s="14"/>
      <c r="F375" s="20"/>
      <c r="G375" s="21"/>
      <c r="H375" s="22"/>
      <c r="I375" s="14"/>
      <c r="J375" s="26"/>
      <c r="K375" s="9"/>
      <c r="L375" s="9"/>
    </row>
    <row r="376" spans="1:12" x14ac:dyDescent="0.35">
      <c r="A376" s="22"/>
      <c r="B376" s="9"/>
      <c r="C376" s="18"/>
      <c r="D376" s="19"/>
      <c r="E376" s="14"/>
      <c r="F376" s="20"/>
      <c r="G376" s="21"/>
      <c r="H376" s="22"/>
      <c r="I376" s="14"/>
      <c r="J376" s="26"/>
      <c r="K376" s="9"/>
      <c r="L376" s="9"/>
    </row>
    <row r="377" spans="1:12" x14ac:dyDescent="0.35">
      <c r="A377" s="22"/>
      <c r="B377" s="9"/>
      <c r="C377" s="18"/>
      <c r="D377" s="19"/>
      <c r="E377" s="14"/>
      <c r="F377" s="20"/>
      <c r="G377" s="21"/>
      <c r="H377" s="22"/>
      <c r="I377" s="14"/>
      <c r="J377" s="26"/>
      <c r="K377" s="9"/>
      <c r="L377" s="9"/>
    </row>
    <row r="378" spans="1:12" x14ac:dyDescent="0.35">
      <c r="A378" s="22"/>
      <c r="B378" s="9"/>
      <c r="C378" s="18"/>
      <c r="D378" s="19"/>
      <c r="E378" s="14"/>
      <c r="F378" s="20"/>
      <c r="G378" s="21"/>
      <c r="H378" s="22"/>
      <c r="I378" s="14"/>
      <c r="J378" s="26"/>
      <c r="K378" s="9"/>
      <c r="L378" s="9"/>
    </row>
    <row r="379" spans="1:12" x14ac:dyDescent="0.35">
      <c r="A379" s="22"/>
      <c r="B379" s="9"/>
      <c r="C379" s="18"/>
      <c r="D379" s="19"/>
      <c r="E379" s="14"/>
      <c r="F379" s="20"/>
      <c r="G379" s="21"/>
      <c r="H379" s="22"/>
      <c r="I379" s="14"/>
      <c r="J379" s="26"/>
      <c r="K379" s="9"/>
      <c r="L379" s="9"/>
    </row>
    <row r="380" spans="1:12" x14ac:dyDescent="0.35">
      <c r="A380" s="22"/>
      <c r="B380" s="9"/>
      <c r="C380" s="18"/>
      <c r="D380" s="19"/>
      <c r="E380" s="14"/>
      <c r="F380" s="20"/>
      <c r="G380" s="21"/>
      <c r="H380" s="22"/>
      <c r="I380" s="14"/>
      <c r="J380" s="26"/>
      <c r="K380" s="9"/>
      <c r="L380" s="9"/>
    </row>
    <row r="381" spans="1:12" x14ac:dyDescent="0.35">
      <c r="A381" s="22"/>
      <c r="B381" s="9"/>
      <c r="C381" s="18"/>
      <c r="D381" s="19"/>
      <c r="E381" s="14"/>
      <c r="F381" s="20"/>
      <c r="G381" s="21"/>
      <c r="H381" s="22"/>
      <c r="I381" s="14"/>
      <c r="J381" s="26"/>
      <c r="K381" s="9"/>
      <c r="L381" s="9"/>
    </row>
    <row r="382" spans="1:12" x14ac:dyDescent="0.35">
      <c r="A382" s="22"/>
      <c r="B382" s="9"/>
      <c r="C382" s="18"/>
      <c r="D382" s="19"/>
      <c r="E382" s="14"/>
      <c r="F382" s="20"/>
      <c r="G382" s="21"/>
      <c r="H382" s="22"/>
      <c r="I382" s="14"/>
      <c r="J382" s="26"/>
      <c r="K382" s="9"/>
      <c r="L382" s="9"/>
    </row>
    <row r="383" spans="1:12" x14ac:dyDescent="0.35">
      <c r="A383" s="22"/>
      <c r="B383" s="9"/>
      <c r="C383" s="18"/>
      <c r="D383" s="19"/>
      <c r="E383" s="14"/>
      <c r="F383" s="20"/>
      <c r="G383" s="21"/>
      <c r="H383" s="22"/>
      <c r="I383" s="14"/>
      <c r="J383" s="26"/>
      <c r="K383" s="9"/>
      <c r="L383" s="9"/>
    </row>
    <row r="384" spans="1:12" x14ac:dyDescent="0.35">
      <c r="A384" s="22"/>
      <c r="B384" s="9"/>
      <c r="C384" s="18"/>
      <c r="D384" s="19"/>
      <c r="E384" s="14"/>
      <c r="F384" s="20"/>
      <c r="G384" s="21"/>
      <c r="H384" s="22"/>
      <c r="I384" s="14"/>
      <c r="J384" s="26"/>
      <c r="K384" s="9"/>
      <c r="L384" s="9"/>
    </row>
    <row r="385" spans="1:12" x14ac:dyDescent="0.35">
      <c r="A385" s="22"/>
      <c r="B385" s="9"/>
      <c r="C385" s="18"/>
      <c r="D385" s="19"/>
      <c r="E385" s="14"/>
      <c r="F385" s="20"/>
      <c r="G385" s="21"/>
      <c r="H385" s="22"/>
      <c r="I385" s="14"/>
      <c r="J385" s="26"/>
      <c r="K385" s="9"/>
      <c r="L385" s="9"/>
    </row>
    <row r="386" spans="1:12" x14ac:dyDescent="0.35">
      <c r="A386" s="22"/>
      <c r="B386" s="9"/>
      <c r="C386" s="18"/>
      <c r="D386" s="19"/>
      <c r="E386" s="14"/>
      <c r="F386" s="20"/>
      <c r="G386" s="21"/>
      <c r="H386" s="22"/>
      <c r="I386" s="14"/>
      <c r="J386" s="26"/>
      <c r="K386" s="9"/>
      <c r="L386" s="9"/>
    </row>
    <row r="387" spans="1:12" x14ac:dyDescent="0.35">
      <c r="A387" s="22"/>
      <c r="B387" s="9"/>
      <c r="C387" s="18"/>
      <c r="D387" s="19"/>
      <c r="E387" s="14"/>
      <c r="F387" s="20"/>
      <c r="G387" s="21"/>
      <c r="H387" s="22"/>
      <c r="I387" s="14"/>
      <c r="J387" s="26"/>
      <c r="K387" s="9"/>
      <c r="L387" s="9"/>
    </row>
    <row r="388" spans="1:12" x14ac:dyDescent="0.35">
      <c r="A388" s="22"/>
      <c r="B388" s="9"/>
      <c r="C388" s="18"/>
      <c r="D388" s="19"/>
      <c r="E388" s="14"/>
      <c r="F388" s="20"/>
      <c r="G388" s="21"/>
      <c r="H388" s="22"/>
      <c r="I388" s="14"/>
      <c r="J388" s="26"/>
      <c r="K388" s="9"/>
      <c r="L388" s="9"/>
    </row>
    <row r="389" spans="1:12" x14ac:dyDescent="0.35">
      <c r="A389" s="22"/>
      <c r="B389" s="9"/>
      <c r="C389" s="18"/>
      <c r="D389" s="19"/>
      <c r="E389" s="14"/>
      <c r="F389" s="20"/>
      <c r="G389" s="21"/>
      <c r="H389" s="22"/>
      <c r="I389" s="14"/>
      <c r="J389" s="26"/>
      <c r="K389" s="9"/>
      <c r="L389" s="9"/>
    </row>
    <row r="390" spans="1:12" x14ac:dyDescent="0.35">
      <c r="A390" s="22"/>
      <c r="B390" s="9"/>
      <c r="C390" s="18"/>
      <c r="D390" s="19"/>
      <c r="E390" s="14"/>
      <c r="F390" s="20"/>
      <c r="G390" s="21"/>
      <c r="H390" s="22"/>
      <c r="I390" s="14"/>
      <c r="J390" s="26"/>
      <c r="K390" s="9"/>
      <c r="L390" s="9"/>
    </row>
    <row r="391" spans="1:12" x14ac:dyDescent="0.35">
      <c r="A391" s="22"/>
      <c r="B391" s="9"/>
      <c r="C391" s="18"/>
      <c r="D391" s="19"/>
      <c r="E391" s="14"/>
      <c r="F391" s="20"/>
      <c r="G391" s="21"/>
      <c r="H391" s="22"/>
      <c r="I391" s="14"/>
      <c r="J391" s="26"/>
      <c r="K391" s="9"/>
      <c r="L391" s="9"/>
    </row>
    <row r="392" spans="1:12" x14ac:dyDescent="0.35">
      <c r="A392" s="22"/>
      <c r="B392" s="9"/>
      <c r="C392" s="18"/>
      <c r="D392" s="19"/>
      <c r="E392" s="14"/>
      <c r="F392" s="20"/>
      <c r="G392" s="21"/>
      <c r="H392" s="22"/>
      <c r="I392" s="14"/>
      <c r="J392" s="26"/>
      <c r="K392" s="9"/>
      <c r="L392" s="9"/>
    </row>
    <row r="393" spans="1:12" x14ac:dyDescent="0.35">
      <c r="A393" s="22"/>
      <c r="B393" s="9"/>
      <c r="C393" s="18"/>
      <c r="D393" s="19"/>
      <c r="E393" s="14"/>
      <c r="F393" s="20"/>
      <c r="G393" s="21"/>
      <c r="H393" s="22"/>
      <c r="I393" s="14"/>
      <c r="J393" s="26"/>
      <c r="K393" s="9"/>
      <c r="L393" s="9"/>
    </row>
    <row r="394" spans="1:12" x14ac:dyDescent="0.35">
      <c r="A394" s="22"/>
      <c r="B394" s="9"/>
      <c r="C394" s="18"/>
      <c r="D394" s="19"/>
      <c r="E394" s="14"/>
      <c r="F394" s="20"/>
      <c r="G394" s="21"/>
      <c r="H394" s="22"/>
      <c r="I394" s="14"/>
      <c r="J394" s="26"/>
      <c r="K394" s="9"/>
      <c r="L394" s="9"/>
    </row>
    <row r="395" spans="1:12" x14ac:dyDescent="0.35">
      <c r="A395" s="22"/>
      <c r="B395" s="9"/>
      <c r="C395" s="18"/>
      <c r="D395" s="19"/>
      <c r="E395" s="14"/>
      <c r="F395" s="20"/>
      <c r="G395" s="21"/>
      <c r="H395" s="22"/>
      <c r="I395" s="14"/>
      <c r="J395" s="26"/>
      <c r="K395" s="9"/>
      <c r="L395" s="9"/>
    </row>
    <row r="396" spans="1:12" x14ac:dyDescent="0.35">
      <c r="A396" s="22"/>
      <c r="B396" s="9"/>
      <c r="C396" s="18"/>
      <c r="D396" s="19"/>
      <c r="E396" s="14"/>
      <c r="F396" s="20"/>
      <c r="G396" s="21"/>
      <c r="H396" s="22"/>
      <c r="I396" s="14"/>
      <c r="J396" s="26"/>
      <c r="K396" s="9"/>
      <c r="L396" s="9"/>
    </row>
    <row r="397" spans="1:12" x14ac:dyDescent="0.35">
      <c r="A397" s="22"/>
      <c r="B397" s="9"/>
      <c r="C397" s="18"/>
      <c r="D397" s="19"/>
      <c r="E397" s="14"/>
      <c r="F397" s="20"/>
      <c r="G397" s="21"/>
      <c r="H397" s="22"/>
      <c r="I397" s="14"/>
      <c r="J397" s="26"/>
      <c r="K397" s="9"/>
      <c r="L397" s="9"/>
    </row>
    <row r="398" spans="1:12" x14ac:dyDescent="0.35">
      <c r="A398" s="22"/>
      <c r="B398" s="9"/>
      <c r="C398" s="18"/>
      <c r="D398" s="19"/>
      <c r="E398" s="14"/>
      <c r="F398" s="20"/>
      <c r="G398" s="21"/>
      <c r="H398" s="22"/>
      <c r="I398" s="14"/>
      <c r="J398" s="26"/>
      <c r="K398" s="9"/>
      <c r="L398" s="9"/>
    </row>
    <row r="399" spans="1:12" x14ac:dyDescent="0.35">
      <c r="A399" s="22"/>
      <c r="B399" s="9"/>
      <c r="C399" s="18"/>
      <c r="D399" s="19"/>
      <c r="E399" s="14"/>
      <c r="F399" s="20"/>
      <c r="G399" s="21"/>
      <c r="H399" s="22"/>
      <c r="I399" s="14"/>
      <c r="J399" s="26"/>
      <c r="K399" s="9"/>
      <c r="L399" s="9"/>
    </row>
    <row r="400" spans="1:12" x14ac:dyDescent="0.35">
      <c r="A400" s="22"/>
      <c r="B400" s="9"/>
      <c r="C400" s="18"/>
      <c r="D400" s="19"/>
      <c r="E400" s="14"/>
      <c r="F400" s="20"/>
      <c r="G400" s="21"/>
      <c r="H400" s="22"/>
      <c r="I400" s="14"/>
      <c r="J400" s="26"/>
      <c r="K400" s="9"/>
      <c r="L400" s="9"/>
    </row>
  </sheetData>
  <autoFilter ref="A4:L400" xr:uid="{00000000-0009-0000-0000-00000F000000}"/>
  <mergeCells count="2">
    <mergeCell ref="A1:L1"/>
    <mergeCell ref="A2:L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8A33D"/>
  </sheetPr>
  <dimension ref="A1:J202"/>
  <sheetViews>
    <sheetView showGridLines="0" zoomScaleNormal="100" workbookViewId="0">
      <pane ySplit="4" topLeftCell="A5" activePane="bottomLeft" state="frozen"/>
      <selection pane="bottomLeft" sqref="A1:J1"/>
    </sheetView>
  </sheetViews>
  <sheetFormatPr defaultColWidth="8.54296875" defaultRowHeight="14.5" x14ac:dyDescent="0.35"/>
  <cols>
    <col min="1" max="1" width="13" customWidth="1"/>
    <col min="2" max="2" width="22" customWidth="1"/>
    <col min="3" max="3" width="26" customWidth="1"/>
    <col min="4" max="4" width="36" customWidth="1"/>
    <col min="5" max="5" width="13" customWidth="1"/>
    <col min="6" max="7" width="14" customWidth="1"/>
    <col min="8" max="8" width="26" customWidth="1"/>
    <col min="9" max="9" width="16" customWidth="1"/>
    <col min="10" max="10" width="28" customWidth="1"/>
  </cols>
  <sheetData>
    <row r="1" spans="1:10" ht="24" customHeight="1" x14ac:dyDescent="0.35">
      <c r="A1" s="117" t="s">
        <v>603</v>
      </c>
      <c r="B1" s="117"/>
      <c r="C1" s="117"/>
      <c r="D1" s="117"/>
      <c r="E1" s="117"/>
      <c r="F1" s="117"/>
      <c r="G1" s="117"/>
      <c r="H1" s="117"/>
      <c r="I1" s="117"/>
      <c r="J1" s="117"/>
    </row>
    <row r="2" spans="1:10" ht="13.5" customHeight="1" x14ac:dyDescent="0.35">
      <c r="A2" s="118" t="s">
        <v>604</v>
      </c>
      <c r="B2" s="118"/>
      <c r="C2" s="118"/>
      <c r="D2" s="118"/>
      <c r="E2" s="118"/>
      <c r="F2" s="118"/>
      <c r="G2" s="118"/>
      <c r="H2" s="118"/>
      <c r="I2" s="118"/>
      <c r="J2" s="118"/>
    </row>
    <row r="4" spans="1:10" ht="25.5" customHeight="1" x14ac:dyDescent="0.35">
      <c r="A4" s="3" t="s">
        <v>365</v>
      </c>
      <c r="B4" s="3" t="s">
        <v>317</v>
      </c>
      <c r="C4" s="3" t="s">
        <v>316</v>
      </c>
      <c r="D4" s="3" t="s">
        <v>605</v>
      </c>
      <c r="E4" s="3" t="s">
        <v>606</v>
      </c>
      <c r="F4" s="3" t="s">
        <v>607</v>
      </c>
      <c r="G4" s="3" t="s">
        <v>498</v>
      </c>
      <c r="H4" s="3" t="s">
        <v>608</v>
      </c>
      <c r="I4" s="3" t="s">
        <v>609</v>
      </c>
      <c r="J4" s="3" t="s">
        <v>602</v>
      </c>
    </row>
    <row r="5" spans="1:10" x14ac:dyDescent="0.35">
      <c r="A5" s="8">
        <v>45945</v>
      </c>
      <c r="B5" s="9" t="s">
        <v>336</v>
      </c>
      <c r="C5" s="18" t="str">
        <f>IF($B5="","",IFERROR(INDEX(Vendors!$A$5:$A$100,MATCH($B5,Vendors!$C$5:$C$100,0)),""))</f>
        <v>Alpha Facilities Services</v>
      </c>
      <c r="D5" s="9" t="s">
        <v>337</v>
      </c>
      <c r="E5" s="44">
        <v>3950</v>
      </c>
      <c r="F5" s="8">
        <v>45980</v>
      </c>
      <c r="G5" s="24">
        <f>IF($F5="","",WORKDAY($F5,Settings!$C$10,HolidayDates))</f>
        <v>46022</v>
      </c>
      <c r="H5" s="18" t="str">
        <f>IF($B5="","",IFERROR(INDEX(Vendors!$E$5:$E$100,MATCH($B5,Vendors!$C$5:$C$100,0))&amp;"",""))</f>
        <v/>
      </c>
      <c r="I5" s="18" t="str">
        <f>IF($B5="","",IFERROR(INDEX(Vendors!$F$5:$F$100,MATCH($B5,Vendors!$C$5:$C$100,0))&amp;"",""))</f>
        <v/>
      </c>
      <c r="J5" s="9"/>
    </row>
    <row r="6" spans="1:10" x14ac:dyDescent="0.35">
      <c r="A6" s="8">
        <v>45915</v>
      </c>
      <c r="B6" s="9" t="s">
        <v>338</v>
      </c>
      <c r="C6" s="18" t="str">
        <f>IF($B6="","",IFERROR(INDEX(Vendors!$A$5:$A$100,MATCH($B6,Vendors!$C$5:$C$100,0)),""))</f>
        <v>Beta Locksmith Services</v>
      </c>
      <c r="D6" s="9" t="s">
        <v>339</v>
      </c>
      <c r="E6" s="44">
        <v>2700</v>
      </c>
      <c r="F6" s="8">
        <v>45922</v>
      </c>
      <c r="G6" s="24">
        <f>IF($F6="","",WORKDAY($F6,Settings!$C$10,HolidayDates))</f>
        <v>45964</v>
      </c>
      <c r="H6" s="18" t="str">
        <f>IF($B6="","",IFERROR(INDEX(Vendors!$E$5:$E$100,MATCH($B6,Vendors!$C$5:$C$100,0))&amp;"",""))</f>
        <v/>
      </c>
      <c r="I6" s="18" t="str">
        <f>IF($B6="","",IFERROR(INDEX(Vendors!$F$5:$F$100,MATCH($B6,Vendors!$C$5:$C$100,0))&amp;"",""))</f>
        <v/>
      </c>
      <c r="J6" s="9"/>
    </row>
    <row r="7" spans="1:10" x14ac:dyDescent="0.35">
      <c r="A7" s="8">
        <v>45958</v>
      </c>
      <c r="B7" s="9" t="s">
        <v>342</v>
      </c>
      <c r="C7" s="18" t="str">
        <f>IF($B7="","",IFERROR(INDEX(Vendors!$A$5:$A$100,MATCH($B7,Vendors!$C$5:$C$100,0)),""))</f>
        <v>Delta Print Services</v>
      </c>
      <c r="D7" s="9" t="s">
        <v>343</v>
      </c>
      <c r="E7" s="44">
        <v>0</v>
      </c>
      <c r="F7" s="8"/>
      <c r="G7" s="24" t="str">
        <f>IF($F7="","",WORKDAY($F7,Settings!$C$10,HolidayDates))</f>
        <v/>
      </c>
      <c r="H7" s="18" t="str">
        <f>IF($B7="","",IFERROR(INDEX(Vendors!$E$5:$E$100,MATCH($B7,Vendors!$C$5:$C$100,0))&amp;"",""))</f>
        <v/>
      </c>
      <c r="I7" s="18" t="str">
        <f>IF($B7="","",IFERROR(INDEX(Vendors!$F$5:$F$100,MATCH($B7,Vendors!$C$5:$C$100,0))&amp;"",""))</f>
        <v/>
      </c>
      <c r="J7" s="9"/>
    </row>
    <row r="8" spans="1:10" x14ac:dyDescent="0.35">
      <c r="A8" s="8">
        <v>45959</v>
      </c>
      <c r="B8" s="9" t="s">
        <v>344</v>
      </c>
      <c r="C8" s="18" t="str">
        <f>IF($B8="","",IFERROR(INDEX(Vendors!$A$5:$A$100,MATCH($B8,Vendors!$C$5:$C$100,0)),""))</f>
        <v>Secure Records Storage</v>
      </c>
      <c r="D8" s="9" t="s">
        <v>345</v>
      </c>
      <c r="E8" s="45">
        <v>0</v>
      </c>
      <c r="F8" s="8">
        <v>45992</v>
      </c>
      <c r="G8" s="24">
        <f>IF($F8="","",WORKDAY($F8,Settings!$C$10,HolidayDates))</f>
        <v>46034</v>
      </c>
      <c r="H8" s="18" t="str">
        <f>IF($B8="","",IFERROR(INDEX(Vendors!$E$5:$E$100,MATCH($B8,Vendors!$C$5:$C$100,0))&amp;"",""))</f>
        <v/>
      </c>
      <c r="I8" s="18" t="str">
        <f>IF($B8="","",IFERROR(INDEX(Vendors!$F$5:$F$100,MATCH($B8,Vendors!$C$5:$C$100,0))&amp;"",""))</f>
        <v/>
      </c>
      <c r="J8" s="9"/>
    </row>
    <row r="9" spans="1:10" x14ac:dyDescent="0.35">
      <c r="A9" s="8">
        <v>45971</v>
      </c>
      <c r="B9" s="9" t="s">
        <v>336</v>
      </c>
      <c r="C9" s="18" t="str">
        <f>IF($B9="","",IFERROR(INDEX(Vendors!$A$5:$A$100,MATCH($B9,Vendors!$C$5:$C$100,0)),""))</f>
        <v>Alpha Facilities Services</v>
      </c>
      <c r="D9" s="9" t="s">
        <v>337</v>
      </c>
      <c r="E9" s="44">
        <v>170</v>
      </c>
      <c r="F9" s="8">
        <v>45971</v>
      </c>
      <c r="G9" s="24">
        <f>IF($F9="","",WORKDAY($F9,Settings!$C$10,HolidayDates))</f>
        <v>46009</v>
      </c>
      <c r="H9" s="18" t="str">
        <f>IF($B9="","",IFERROR(INDEX(Vendors!$E$5:$E$100,MATCH($B9,Vendors!$C$5:$C$100,0))&amp;"",""))</f>
        <v/>
      </c>
      <c r="I9" s="18" t="str">
        <f>IF($B9="","",IFERROR(INDEX(Vendors!$F$5:$F$100,MATCH($B9,Vendors!$C$5:$C$100,0))&amp;"",""))</f>
        <v/>
      </c>
      <c r="J9" s="9"/>
    </row>
    <row r="10" spans="1:10" x14ac:dyDescent="0.35">
      <c r="A10" s="22"/>
      <c r="B10" s="9"/>
      <c r="C10" s="18" t="str">
        <f>IF($B10="","",IFERROR(INDEX(Vendors!$A$5:$A$100,MATCH($B10,Vendors!$C$5:$C$100,0)),""))</f>
        <v/>
      </c>
      <c r="D10" s="9"/>
      <c r="E10" s="45"/>
      <c r="F10" s="22"/>
      <c r="G10" s="24" t="str">
        <f>IF($F10="","",WORKDAY($F10,Settings!$C$10,HolidayDates))</f>
        <v/>
      </c>
      <c r="H10" s="18" t="str">
        <f>IF($B10="","",IFERROR(INDEX(Vendors!$E$5:$E$100,MATCH($B10,Vendors!$C$5:$C$100,0))&amp;"",""))</f>
        <v/>
      </c>
      <c r="I10" s="18" t="str">
        <f>IF($B10="","",IFERROR(INDEX(Vendors!$F$5:$F$100,MATCH($B10,Vendors!$C$5:$C$100,0))&amp;"",""))</f>
        <v/>
      </c>
      <c r="J10" s="9"/>
    </row>
    <row r="11" spans="1:10" x14ac:dyDescent="0.35">
      <c r="A11" s="22"/>
      <c r="B11" s="9"/>
      <c r="C11" s="18" t="str">
        <f>IF($B11="","",IFERROR(INDEX(Vendors!$A$5:$A$100,MATCH($B11,Vendors!$C$5:$C$100,0)),""))</f>
        <v/>
      </c>
      <c r="D11" s="9"/>
      <c r="E11" s="45"/>
      <c r="F11" s="22"/>
      <c r="G11" s="24" t="str">
        <f>IF($F11="","",WORKDAY($F11,Settings!$C$10,HolidayDates))</f>
        <v/>
      </c>
      <c r="H11" s="18" t="str">
        <f>IF($B11="","",IFERROR(INDEX(Vendors!$E$5:$E$100,MATCH($B11,Vendors!$C$5:$C$100,0))&amp;"",""))</f>
        <v/>
      </c>
      <c r="I11" s="18" t="str">
        <f>IF($B11="","",IFERROR(INDEX(Vendors!$F$5:$F$100,MATCH($B11,Vendors!$C$5:$C$100,0))&amp;"",""))</f>
        <v/>
      </c>
      <c r="J11" s="9"/>
    </row>
    <row r="12" spans="1:10" x14ac:dyDescent="0.35">
      <c r="A12" s="22"/>
      <c r="B12" s="9"/>
      <c r="C12" s="18" t="str">
        <f>IF($B12="","",IFERROR(INDEX(Vendors!$A$5:$A$100,MATCH($B12,Vendors!$C$5:$C$100,0)),""))</f>
        <v/>
      </c>
      <c r="D12" s="9"/>
      <c r="E12" s="45"/>
      <c r="F12" s="22"/>
      <c r="G12" s="24" t="str">
        <f>IF($F12="","",WORKDAY($F12,Settings!$C$10,HolidayDates))</f>
        <v/>
      </c>
      <c r="H12" s="18" t="str">
        <f>IF($B12="","",IFERROR(INDEX(Vendors!$E$5:$E$100,MATCH($B12,Vendors!$C$5:$C$100,0))&amp;"",""))</f>
        <v/>
      </c>
      <c r="I12" s="18" t="str">
        <f>IF($B12="","",IFERROR(INDEX(Vendors!$F$5:$F$100,MATCH($B12,Vendors!$C$5:$C$100,0))&amp;"",""))</f>
        <v/>
      </c>
      <c r="J12" s="9"/>
    </row>
    <row r="13" spans="1:10" x14ac:dyDescent="0.35">
      <c r="A13" s="22"/>
      <c r="B13" s="9"/>
      <c r="C13" s="18" t="str">
        <f>IF($B13="","",IFERROR(INDEX(Vendors!$A$5:$A$100,MATCH($B13,Vendors!$C$5:$C$100,0)),""))</f>
        <v/>
      </c>
      <c r="D13" s="9"/>
      <c r="E13" s="45"/>
      <c r="F13" s="22"/>
      <c r="G13" s="24" t="str">
        <f>IF($F13="","",WORKDAY($F13,Settings!$C$10,HolidayDates))</f>
        <v/>
      </c>
      <c r="H13" s="18" t="str">
        <f>IF($B13="","",IFERROR(INDEX(Vendors!$E$5:$E$100,MATCH($B13,Vendors!$C$5:$C$100,0))&amp;"",""))</f>
        <v/>
      </c>
      <c r="I13" s="18" t="str">
        <f>IF($B13="","",IFERROR(INDEX(Vendors!$F$5:$F$100,MATCH($B13,Vendors!$C$5:$C$100,0))&amp;"",""))</f>
        <v/>
      </c>
      <c r="J13" s="9"/>
    </row>
    <row r="14" spans="1:10" x14ac:dyDescent="0.35">
      <c r="A14" s="22"/>
      <c r="B14" s="9"/>
      <c r="C14" s="18" t="str">
        <f>IF($B14="","",IFERROR(INDEX(Vendors!$A$5:$A$100,MATCH($B14,Vendors!$C$5:$C$100,0)),""))</f>
        <v/>
      </c>
      <c r="D14" s="9"/>
      <c r="E14" s="45"/>
      <c r="F14" s="22"/>
      <c r="G14" s="24" t="str">
        <f>IF($F14="","",WORKDAY($F14,Settings!$C$10,HolidayDates))</f>
        <v/>
      </c>
      <c r="H14" s="18" t="str">
        <f>IF($B14="","",IFERROR(INDEX(Vendors!$E$5:$E$100,MATCH($B14,Vendors!$C$5:$C$100,0))&amp;"",""))</f>
        <v/>
      </c>
      <c r="I14" s="18" t="str">
        <f>IF($B14="","",IFERROR(INDEX(Vendors!$F$5:$F$100,MATCH($B14,Vendors!$C$5:$C$100,0))&amp;"",""))</f>
        <v/>
      </c>
      <c r="J14" s="9"/>
    </row>
    <row r="15" spans="1:10" x14ac:dyDescent="0.35">
      <c r="A15" s="22"/>
      <c r="B15" s="9"/>
      <c r="C15" s="18" t="str">
        <f>IF($B15="","",IFERROR(INDEX(Vendors!$A$5:$A$100,MATCH($B15,Vendors!$C$5:$C$100,0)),""))</f>
        <v/>
      </c>
      <c r="D15" s="9"/>
      <c r="E15" s="45"/>
      <c r="F15" s="22"/>
      <c r="G15" s="24" t="str">
        <f>IF($F15="","",WORKDAY($F15,Settings!$C$10,HolidayDates))</f>
        <v/>
      </c>
      <c r="H15" s="18" t="str">
        <f>IF($B15="","",IFERROR(INDEX(Vendors!$E$5:$E$100,MATCH($B15,Vendors!$C$5:$C$100,0))&amp;"",""))</f>
        <v/>
      </c>
      <c r="I15" s="18" t="str">
        <f>IF($B15="","",IFERROR(INDEX(Vendors!$F$5:$F$100,MATCH($B15,Vendors!$C$5:$C$100,0))&amp;"",""))</f>
        <v/>
      </c>
      <c r="J15" s="9"/>
    </row>
    <row r="16" spans="1:10" x14ac:dyDescent="0.35">
      <c r="A16" s="22"/>
      <c r="B16" s="9"/>
      <c r="C16" s="18" t="str">
        <f>IF($B16="","",IFERROR(INDEX(Vendors!$A$5:$A$100,MATCH($B16,Vendors!$C$5:$C$100,0)),""))</f>
        <v/>
      </c>
      <c r="D16" s="9"/>
      <c r="E16" s="45"/>
      <c r="F16" s="22"/>
      <c r="G16" s="24" t="str">
        <f>IF($F16="","",WORKDAY($F16,Settings!$C$10,HolidayDates))</f>
        <v/>
      </c>
      <c r="H16" s="18" t="str">
        <f>IF($B16="","",IFERROR(INDEX(Vendors!$E$5:$E$100,MATCH($B16,Vendors!$C$5:$C$100,0))&amp;"",""))</f>
        <v/>
      </c>
      <c r="I16" s="18" t="str">
        <f>IF($B16="","",IFERROR(INDEX(Vendors!$F$5:$F$100,MATCH($B16,Vendors!$C$5:$C$100,0))&amp;"",""))</f>
        <v/>
      </c>
      <c r="J16" s="9"/>
    </row>
    <row r="17" spans="1:10" x14ac:dyDescent="0.35">
      <c r="A17" s="22"/>
      <c r="B17" s="9"/>
      <c r="C17" s="18" t="str">
        <f>IF($B17="","",IFERROR(INDEX(Vendors!$A$5:$A$100,MATCH($B17,Vendors!$C$5:$C$100,0)),""))</f>
        <v/>
      </c>
      <c r="D17" s="9"/>
      <c r="E17" s="45"/>
      <c r="F17" s="22"/>
      <c r="G17" s="24" t="str">
        <f>IF($F17="","",WORKDAY($F17,Settings!$C$10,HolidayDates))</f>
        <v/>
      </c>
      <c r="H17" s="18" t="str">
        <f>IF($B17="","",IFERROR(INDEX(Vendors!$E$5:$E$100,MATCH($B17,Vendors!$C$5:$C$100,0))&amp;"",""))</f>
        <v/>
      </c>
      <c r="I17" s="18" t="str">
        <f>IF($B17="","",IFERROR(INDEX(Vendors!$F$5:$F$100,MATCH($B17,Vendors!$C$5:$C$100,0))&amp;"",""))</f>
        <v/>
      </c>
      <c r="J17" s="9"/>
    </row>
    <row r="18" spans="1:10" x14ac:dyDescent="0.35">
      <c r="A18" s="22"/>
      <c r="B18" s="9"/>
      <c r="C18" s="18" t="str">
        <f>IF($B18="","",IFERROR(INDEX(Vendors!$A$5:$A$100,MATCH($B18,Vendors!$C$5:$C$100,0)),""))</f>
        <v/>
      </c>
      <c r="D18" s="9"/>
      <c r="E18" s="45"/>
      <c r="F18" s="22"/>
      <c r="G18" s="24" t="str">
        <f>IF($F18="","",WORKDAY($F18,Settings!$C$10,HolidayDates))</f>
        <v/>
      </c>
      <c r="H18" s="18" t="str">
        <f>IF($B18="","",IFERROR(INDEX(Vendors!$E$5:$E$100,MATCH($B18,Vendors!$C$5:$C$100,0))&amp;"",""))</f>
        <v/>
      </c>
      <c r="I18" s="18" t="str">
        <f>IF($B18="","",IFERROR(INDEX(Vendors!$F$5:$F$100,MATCH($B18,Vendors!$C$5:$C$100,0))&amp;"",""))</f>
        <v/>
      </c>
      <c r="J18" s="9"/>
    </row>
    <row r="19" spans="1:10" x14ac:dyDescent="0.35">
      <c r="A19" s="22"/>
      <c r="B19" s="9"/>
      <c r="C19" s="18" t="str">
        <f>IF($B19="","",IFERROR(INDEX(Vendors!$A$5:$A$100,MATCH($B19,Vendors!$C$5:$C$100,0)),""))</f>
        <v/>
      </c>
      <c r="D19" s="9"/>
      <c r="E19" s="45"/>
      <c r="F19" s="22"/>
      <c r="G19" s="24" t="str">
        <f>IF($F19="","",WORKDAY($F19,Settings!$C$10,HolidayDates))</f>
        <v/>
      </c>
      <c r="H19" s="18" t="str">
        <f>IF($B19="","",IFERROR(INDEX(Vendors!$E$5:$E$100,MATCH($B19,Vendors!$C$5:$C$100,0))&amp;"",""))</f>
        <v/>
      </c>
      <c r="I19" s="18" t="str">
        <f>IF($B19="","",IFERROR(INDEX(Vendors!$F$5:$F$100,MATCH($B19,Vendors!$C$5:$C$100,0))&amp;"",""))</f>
        <v/>
      </c>
      <c r="J19" s="9"/>
    </row>
    <row r="20" spans="1:10" x14ac:dyDescent="0.35">
      <c r="A20" s="22"/>
      <c r="B20" s="9"/>
      <c r="C20" s="18" t="str">
        <f>IF($B20="","",IFERROR(INDEX(Vendors!$A$5:$A$100,MATCH($B20,Vendors!$C$5:$C$100,0)),""))</f>
        <v/>
      </c>
      <c r="D20" s="9"/>
      <c r="E20" s="45"/>
      <c r="F20" s="22"/>
      <c r="G20" s="24" t="str">
        <f>IF($F20="","",WORKDAY($F20,Settings!$C$10,HolidayDates))</f>
        <v/>
      </c>
      <c r="H20" s="18" t="str">
        <f>IF($B20="","",IFERROR(INDEX(Vendors!$E$5:$E$100,MATCH($B20,Vendors!$C$5:$C$100,0))&amp;"",""))</f>
        <v/>
      </c>
      <c r="I20" s="18" t="str">
        <f>IF($B20="","",IFERROR(INDEX(Vendors!$F$5:$F$100,MATCH($B20,Vendors!$C$5:$C$100,0))&amp;"",""))</f>
        <v/>
      </c>
      <c r="J20" s="9"/>
    </row>
    <row r="21" spans="1:10" x14ac:dyDescent="0.35">
      <c r="A21" s="22"/>
      <c r="B21" s="9"/>
      <c r="C21" s="18" t="str">
        <f>IF($B21="","",IFERROR(INDEX(Vendors!$A$5:$A$100,MATCH($B21,Vendors!$C$5:$C$100,0)),""))</f>
        <v/>
      </c>
      <c r="D21" s="9"/>
      <c r="E21" s="45"/>
      <c r="F21" s="22"/>
      <c r="G21" s="24" t="str">
        <f>IF($F21="","",WORKDAY($F21,Settings!$C$10,HolidayDates))</f>
        <v/>
      </c>
      <c r="H21" s="18" t="str">
        <f>IF($B21="","",IFERROR(INDEX(Vendors!$E$5:$E$100,MATCH($B21,Vendors!$C$5:$C$100,0))&amp;"",""))</f>
        <v/>
      </c>
      <c r="I21" s="18" t="str">
        <f>IF($B21="","",IFERROR(INDEX(Vendors!$F$5:$F$100,MATCH($B21,Vendors!$C$5:$C$100,0))&amp;"",""))</f>
        <v/>
      </c>
      <c r="J21" s="9"/>
    </row>
    <row r="22" spans="1:10" x14ac:dyDescent="0.35">
      <c r="A22" s="22"/>
      <c r="B22" s="9"/>
      <c r="C22" s="18" t="str">
        <f>IF($B22="","",IFERROR(INDEX(Vendors!$A$5:$A$100,MATCH($B22,Vendors!$C$5:$C$100,0)),""))</f>
        <v/>
      </c>
      <c r="D22" s="9"/>
      <c r="E22" s="45"/>
      <c r="F22" s="22"/>
      <c r="G22" s="24" t="str">
        <f>IF($F22="","",WORKDAY($F22,Settings!$C$10,HolidayDates))</f>
        <v/>
      </c>
      <c r="H22" s="18" t="str">
        <f>IF($B22="","",IFERROR(INDEX(Vendors!$E$5:$E$100,MATCH($B22,Vendors!$C$5:$C$100,0))&amp;"",""))</f>
        <v/>
      </c>
      <c r="I22" s="18" t="str">
        <f>IF($B22="","",IFERROR(INDEX(Vendors!$F$5:$F$100,MATCH($B22,Vendors!$C$5:$C$100,0))&amp;"",""))</f>
        <v/>
      </c>
      <c r="J22" s="9"/>
    </row>
    <row r="23" spans="1:10" x14ac:dyDescent="0.35">
      <c r="A23" s="22"/>
      <c r="B23" s="9"/>
      <c r="C23" s="18" t="str">
        <f>IF($B23="","",IFERROR(INDEX(Vendors!$A$5:$A$100,MATCH($B23,Vendors!$C$5:$C$100,0)),""))</f>
        <v/>
      </c>
      <c r="D23" s="9"/>
      <c r="E23" s="45"/>
      <c r="F23" s="22"/>
      <c r="G23" s="24" t="str">
        <f>IF($F23="","",WORKDAY($F23,Settings!$C$10,HolidayDates))</f>
        <v/>
      </c>
      <c r="H23" s="18" t="str">
        <f>IF($B23="","",IFERROR(INDEX(Vendors!$E$5:$E$100,MATCH($B23,Vendors!$C$5:$C$100,0))&amp;"",""))</f>
        <v/>
      </c>
      <c r="I23" s="18" t="str">
        <f>IF($B23="","",IFERROR(INDEX(Vendors!$F$5:$F$100,MATCH($B23,Vendors!$C$5:$C$100,0))&amp;"",""))</f>
        <v/>
      </c>
      <c r="J23" s="9"/>
    </row>
    <row r="24" spans="1:10" x14ac:dyDescent="0.35">
      <c r="A24" s="22"/>
      <c r="B24" s="9"/>
      <c r="C24" s="18" t="str">
        <f>IF($B24="","",IFERROR(INDEX(Vendors!$A$5:$A$100,MATCH($B24,Vendors!$C$5:$C$100,0)),""))</f>
        <v/>
      </c>
      <c r="D24" s="9"/>
      <c r="E24" s="45"/>
      <c r="F24" s="22"/>
      <c r="G24" s="24" t="str">
        <f>IF($F24="","",WORKDAY($F24,Settings!$C$10,HolidayDates))</f>
        <v/>
      </c>
      <c r="H24" s="18" t="str">
        <f>IF($B24="","",IFERROR(INDEX(Vendors!$E$5:$E$100,MATCH($B24,Vendors!$C$5:$C$100,0))&amp;"",""))</f>
        <v/>
      </c>
      <c r="I24" s="18" t="str">
        <f>IF($B24="","",IFERROR(INDEX(Vendors!$F$5:$F$100,MATCH($B24,Vendors!$C$5:$C$100,0))&amp;"",""))</f>
        <v/>
      </c>
      <c r="J24" s="9"/>
    </row>
    <row r="25" spans="1:10" x14ac:dyDescent="0.35">
      <c r="A25" s="22"/>
      <c r="B25" s="9"/>
      <c r="C25" s="18" t="str">
        <f>IF($B25="","",IFERROR(INDEX(Vendors!$A$5:$A$100,MATCH($B25,Vendors!$C$5:$C$100,0)),""))</f>
        <v/>
      </c>
      <c r="D25" s="9"/>
      <c r="E25" s="45"/>
      <c r="F25" s="22"/>
      <c r="G25" s="24" t="str">
        <f>IF($F25="","",WORKDAY($F25,Settings!$C$10,HolidayDates))</f>
        <v/>
      </c>
      <c r="H25" s="18" t="str">
        <f>IF($B25="","",IFERROR(INDEX(Vendors!$E$5:$E$100,MATCH($B25,Vendors!$C$5:$C$100,0))&amp;"",""))</f>
        <v/>
      </c>
      <c r="I25" s="18" t="str">
        <f>IF($B25="","",IFERROR(INDEX(Vendors!$F$5:$F$100,MATCH($B25,Vendors!$C$5:$C$100,0))&amp;"",""))</f>
        <v/>
      </c>
      <c r="J25" s="9"/>
    </row>
    <row r="26" spans="1:10" x14ac:dyDescent="0.35">
      <c r="A26" s="22"/>
      <c r="B26" s="9"/>
      <c r="C26" s="18" t="str">
        <f>IF($B26="","",IFERROR(INDEX(Vendors!$A$5:$A$100,MATCH($B26,Vendors!$C$5:$C$100,0)),""))</f>
        <v/>
      </c>
      <c r="D26" s="9"/>
      <c r="E26" s="45"/>
      <c r="F26" s="22"/>
      <c r="G26" s="24" t="str">
        <f>IF($F26="","",WORKDAY($F26,Settings!$C$10,HolidayDates))</f>
        <v/>
      </c>
      <c r="H26" s="18" t="str">
        <f>IF($B26="","",IFERROR(INDEX(Vendors!$E$5:$E$100,MATCH($B26,Vendors!$C$5:$C$100,0))&amp;"",""))</f>
        <v/>
      </c>
      <c r="I26" s="18" t="str">
        <f>IF($B26="","",IFERROR(INDEX(Vendors!$F$5:$F$100,MATCH($B26,Vendors!$C$5:$C$100,0))&amp;"",""))</f>
        <v/>
      </c>
      <c r="J26" s="9"/>
    </row>
    <row r="27" spans="1:10" x14ac:dyDescent="0.35">
      <c r="A27" s="22"/>
      <c r="B27" s="9"/>
      <c r="C27" s="18" t="str">
        <f>IF($B27="","",IFERROR(INDEX(Vendors!$A$5:$A$100,MATCH($B27,Vendors!$C$5:$C$100,0)),""))</f>
        <v/>
      </c>
      <c r="D27" s="9"/>
      <c r="E27" s="45"/>
      <c r="F27" s="22"/>
      <c r="G27" s="24" t="str">
        <f>IF($F27="","",WORKDAY($F27,Settings!$C$10,HolidayDates))</f>
        <v/>
      </c>
      <c r="H27" s="18" t="str">
        <f>IF($B27="","",IFERROR(INDEX(Vendors!$E$5:$E$100,MATCH($B27,Vendors!$C$5:$C$100,0))&amp;"",""))</f>
        <v/>
      </c>
      <c r="I27" s="18" t="str">
        <f>IF($B27="","",IFERROR(INDEX(Vendors!$F$5:$F$100,MATCH($B27,Vendors!$C$5:$C$100,0))&amp;"",""))</f>
        <v/>
      </c>
      <c r="J27" s="9"/>
    </row>
    <row r="28" spans="1:10" x14ac:dyDescent="0.35">
      <c r="A28" s="22"/>
      <c r="B28" s="9"/>
      <c r="C28" s="18" t="str">
        <f>IF($B28="","",IFERROR(INDEX(Vendors!$A$5:$A$100,MATCH($B28,Vendors!$C$5:$C$100,0)),""))</f>
        <v/>
      </c>
      <c r="D28" s="9"/>
      <c r="E28" s="45"/>
      <c r="F28" s="22"/>
      <c r="G28" s="24" t="str">
        <f>IF($F28="","",WORKDAY($F28,Settings!$C$10,HolidayDates))</f>
        <v/>
      </c>
      <c r="H28" s="18" t="str">
        <f>IF($B28="","",IFERROR(INDEX(Vendors!$E$5:$E$100,MATCH($B28,Vendors!$C$5:$C$100,0))&amp;"",""))</f>
        <v/>
      </c>
      <c r="I28" s="18" t="str">
        <f>IF($B28="","",IFERROR(INDEX(Vendors!$F$5:$F$100,MATCH($B28,Vendors!$C$5:$C$100,0))&amp;"",""))</f>
        <v/>
      </c>
      <c r="J28" s="9"/>
    </row>
    <row r="29" spans="1:10" x14ac:dyDescent="0.35">
      <c r="A29" s="22"/>
      <c r="B29" s="9"/>
      <c r="C29" s="18" t="str">
        <f>IF($B29="","",IFERROR(INDEX(Vendors!$A$5:$A$100,MATCH($B29,Vendors!$C$5:$C$100,0)),""))</f>
        <v/>
      </c>
      <c r="D29" s="9"/>
      <c r="E29" s="45"/>
      <c r="F29" s="22"/>
      <c r="G29" s="24" t="str">
        <f>IF($F29="","",WORKDAY($F29,Settings!$C$10,HolidayDates))</f>
        <v/>
      </c>
      <c r="H29" s="18" t="str">
        <f>IF($B29="","",IFERROR(INDEX(Vendors!$E$5:$E$100,MATCH($B29,Vendors!$C$5:$C$100,0))&amp;"",""))</f>
        <v/>
      </c>
      <c r="I29" s="18" t="str">
        <f>IF($B29="","",IFERROR(INDEX(Vendors!$F$5:$F$100,MATCH($B29,Vendors!$C$5:$C$100,0))&amp;"",""))</f>
        <v/>
      </c>
      <c r="J29" s="9"/>
    </row>
    <row r="30" spans="1:10" x14ac:dyDescent="0.35">
      <c r="A30" s="22"/>
      <c r="B30" s="9"/>
      <c r="C30" s="18" t="str">
        <f>IF($B30="","",IFERROR(INDEX(Vendors!$A$5:$A$100,MATCH($B30,Vendors!$C$5:$C$100,0)),""))</f>
        <v/>
      </c>
      <c r="D30" s="9"/>
      <c r="E30" s="45"/>
      <c r="F30" s="22"/>
      <c r="G30" s="24" t="str">
        <f>IF($F30="","",WORKDAY($F30,Settings!$C$10,HolidayDates))</f>
        <v/>
      </c>
      <c r="H30" s="18" t="str">
        <f>IF($B30="","",IFERROR(INDEX(Vendors!$E$5:$E$100,MATCH($B30,Vendors!$C$5:$C$100,0))&amp;"",""))</f>
        <v/>
      </c>
      <c r="I30" s="18" t="str">
        <f>IF($B30="","",IFERROR(INDEX(Vendors!$F$5:$F$100,MATCH($B30,Vendors!$C$5:$C$100,0))&amp;"",""))</f>
        <v/>
      </c>
      <c r="J30" s="9"/>
    </row>
    <row r="31" spans="1:10" x14ac:dyDescent="0.35">
      <c r="A31" s="22"/>
      <c r="B31" s="9"/>
      <c r="C31" s="18" t="str">
        <f>IF($B31="","",IFERROR(INDEX(Vendors!$A$5:$A$100,MATCH($B31,Vendors!$C$5:$C$100,0)),""))</f>
        <v/>
      </c>
      <c r="D31" s="9"/>
      <c r="E31" s="45"/>
      <c r="F31" s="22"/>
      <c r="G31" s="24" t="str">
        <f>IF($F31="","",WORKDAY($F31,Settings!$C$10,HolidayDates))</f>
        <v/>
      </c>
      <c r="H31" s="18" t="str">
        <f>IF($B31="","",IFERROR(INDEX(Vendors!$E$5:$E$100,MATCH($B31,Vendors!$C$5:$C$100,0))&amp;"",""))</f>
        <v/>
      </c>
      <c r="I31" s="18" t="str">
        <f>IF($B31="","",IFERROR(INDEX(Vendors!$F$5:$F$100,MATCH($B31,Vendors!$C$5:$C$100,0))&amp;"",""))</f>
        <v/>
      </c>
      <c r="J31" s="9"/>
    </row>
    <row r="32" spans="1:10" x14ac:dyDescent="0.35">
      <c r="A32" s="22"/>
      <c r="B32" s="9"/>
      <c r="C32" s="18" t="str">
        <f>IF($B32="","",IFERROR(INDEX(Vendors!$A$5:$A$100,MATCH($B32,Vendors!$C$5:$C$100,0)),""))</f>
        <v/>
      </c>
      <c r="D32" s="9"/>
      <c r="E32" s="45"/>
      <c r="F32" s="22"/>
      <c r="G32" s="24" t="str">
        <f>IF($F32="","",WORKDAY($F32,Settings!$C$10,HolidayDates))</f>
        <v/>
      </c>
      <c r="H32" s="18" t="str">
        <f>IF($B32="","",IFERROR(INDEX(Vendors!$E$5:$E$100,MATCH($B32,Vendors!$C$5:$C$100,0))&amp;"",""))</f>
        <v/>
      </c>
      <c r="I32" s="18" t="str">
        <f>IF($B32="","",IFERROR(INDEX(Vendors!$F$5:$F$100,MATCH($B32,Vendors!$C$5:$C$100,0))&amp;"",""))</f>
        <v/>
      </c>
      <c r="J32" s="9"/>
    </row>
    <row r="33" spans="1:10" x14ac:dyDescent="0.35">
      <c r="A33" s="22"/>
      <c r="B33" s="9"/>
      <c r="C33" s="18" t="str">
        <f>IF($B33="","",IFERROR(INDEX(Vendors!$A$5:$A$100,MATCH($B33,Vendors!$C$5:$C$100,0)),""))</f>
        <v/>
      </c>
      <c r="D33" s="9"/>
      <c r="E33" s="45"/>
      <c r="F33" s="22"/>
      <c r="G33" s="24" t="str">
        <f>IF($F33="","",WORKDAY($F33,Settings!$C$10,HolidayDates))</f>
        <v/>
      </c>
      <c r="H33" s="18" t="str">
        <f>IF($B33="","",IFERROR(INDEX(Vendors!$E$5:$E$100,MATCH($B33,Vendors!$C$5:$C$100,0))&amp;"",""))</f>
        <v/>
      </c>
      <c r="I33" s="18" t="str">
        <f>IF($B33="","",IFERROR(INDEX(Vendors!$F$5:$F$100,MATCH($B33,Vendors!$C$5:$C$100,0))&amp;"",""))</f>
        <v/>
      </c>
      <c r="J33" s="9"/>
    </row>
    <row r="34" spans="1:10" x14ac:dyDescent="0.35">
      <c r="A34" s="22"/>
      <c r="B34" s="9"/>
      <c r="C34" s="18" t="str">
        <f>IF($B34="","",IFERROR(INDEX(Vendors!$A$5:$A$100,MATCH($B34,Vendors!$C$5:$C$100,0)),""))</f>
        <v/>
      </c>
      <c r="D34" s="9"/>
      <c r="E34" s="45"/>
      <c r="F34" s="22"/>
      <c r="G34" s="24" t="str">
        <f>IF($F34="","",WORKDAY($F34,Settings!$C$10,HolidayDates))</f>
        <v/>
      </c>
      <c r="H34" s="18" t="str">
        <f>IF($B34="","",IFERROR(INDEX(Vendors!$E$5:$E$100,MATCH($B34,Vendors!$C$5:$C$100,0))&amp;"",""))</f>
        <v/>
      </c>
      <c r="I34" s="18" t="str">
        <f>IF($B34="","",IFERROR(INDEX(Vendors!$F$5:$F$100,MATCH($B34,Vendors!$C$5:$C$100,0))&amp;"",""))</f>
        <v/>
      </c>
      <c r="J34" s="9"/>
    </row>
    <row r="35" spans="1:10" x14ac:dyDescent="0.35">
      <c r="A35" s="22"/>
      <c r="B35" s="9"/>
      <c r="C35" s="18" t="str">
        <f>IF($B35="","",IFERROR(INDEX(Vendors!$A$5:$A$100,MATCH($B35,Vendors!$C$5:$C$100,0)),""))</f>
        <v/>
      </c>
      <c r="D35" s="9"/>
      <c r="E35" s="45"/>
      <c r="F35" s="22"/>
      <c r="G35" s="24" t="str">
        <f>IF($F35="","",WORKDAY($F35,Settings!$C$10,HolidayDates))</f>
        <v/>
      </c>
      <c r="H35" s="18" t="str">
        <f>IF($B35="","",IFERROR(INDEX(Vendors!$E$5:$E$100,MATCH($B35,Vendors!$C$5:$C$100,0))&amp;"",""))</f>
        <v/>
      </c>
      <c r="I35" s="18" t="str">
        <f>IF($B35="","",IFERROR(INDEX(Vendors!$F$5:$F$100,MATCH($B35,Vendors!$C$5:$C$100,0))&amp;"",""))</f>
        <v/>
      </c>
      <c r="J35" s="9"/>
    </row>
    <row r="36" spans="1:10" x14ac:dyDescent="0.35">
      <c r="A36" s="22"/>
      <c r="B36" s="9"/>
      <c r="C36" s="18" t="str">
        <f>IF($B36="","",IFERROR(INDEX(Vendors!$A$5:$A$100,MATCH($B36,Vendors!$C$5:$C$100,0)),""))</f>
        <v/>
      </c>
      <c r="D36" s="9"/>
      <c r="E36" s="45"/>
      <c r="F36" s="22"/>
      <c r="G36" s="24" t="str">
        <f>IF($F36="","",WORKDAY($F36,Settings!$C$10,HolidayDates))</f>
        <v/>
      </c>
      <c r="H36" s="18" t="str">
        <f>IF($B36="","",IFERROR(INDEX(Vendors!$E$5:$E$100,MATCH($B36,Vendors!$C$5:$C$100,0))&amp;"",""))</f>
        <v/>
      </c>
      <c r="I36" s="18" t="str">
        <f>IF($B36="","",IFERROR(INDEX(Vendors!$F$5:$F$100,MATCH($B36,Vendors!$C$5:$C$100,0))&amp;"",""))</f>
        <v/>
      </c>
      <c r="J36" s="9"/>
    </row>
    <row r="37" spans="1:10" x14ac:dyDescent="0.35">
      <c r="A37" s="22"/>
      <c r="B37" s="9"/>
      <c r="C37" s="18" t="str">
        <f>IF($B37="","",IFERROR(INDEX(Vendors!$A$5:$A$100,MATCH($B37,Vendors!$C$5:$C$100,0)),""))</f>
        <v/>
      </c>
      <c r="D37" s="9"/>
      <c r="E37" s="45"/>
      <c r="F37" s="22"/>
      <c r="G37" s="24" t="str">
        <f>IF($F37="","",WORKDAY($F37,Settings!$C$10,HolidayDates))</f>
        <v/>
      </c>
      <c r="H37" s="18" t="str">
        <f>IF($B37="","",IFERROR(INDEX(Vendors!$E$5:$E$100,MATCH($B37,Vendors!$C$5:$C$100,0))&amp;"",""))</f>
        <v/>
      </c>
      <c r="I37" s="18" t="str">
        <f>IF($B37="","",IFERROR(INDEX(Vendors!$F$5:$F$100,MATCH($B37,Vendors!$C$5:$C$100,0))&amp;"",""))</f>
        <v/>
      </c>
      <c r="J37" s="9"/>
    </row>
    <row r="38" spans="1:10" x14ac:dyDescent="0.35">
      <c r="A38" s="22"/>
      <c r="B38" s="9"/>
      <c r="C38" s="18" t="str">
        <f>IF($B38="","",IFERROR(INDEX(Vendors!$A$5:$A$100,MATCH($B38,Vendors!$C$5:$C$100,0)),""))</f>
        <v/>
      </c>
      <c r="D38" s="9"/>
      <c r="E38" s="45"/>
      <c r="F38" s="22"/>
      <c r="G38" s="24" t="str">
        <f>IF($F38="","",WORKDAY($F38,Settings!$C$10,HolidayDates))</f>
        <v/>
      </c>
      <c r="H38" s="18" t="str">
        <f>IF($B38="","",IFERROR(INDEX(Vendors!$E$5:$E$100,MATCH($B38,Vendors!$C$5:$C$100,0))&amp;"",""))</f>
        <v/>
      </c>
      <c r="I38" s="18" t="str">
        <f>IF($B38="","",IFERROR(INDEX(Vendors!$F$5:$F$100,MATCH($B38,Vendors!$C$5:$C$100,0))&amp;"",""))</f>
        <v/>
      </c>
      <c r="J38" s="9"/>
    </row>
    <row r="39" spans="1:10" x14ac:dyDescent="0.35">
      <c r="A39" s="22"/>
      <c r="B39" s="9"/>
      <c r="C39" s="18" t="str">
        <f>IF($B39="","",IFERROR(INDEX(Vendors!$A$5:$A$100,MATCH($B39,Vendors!$C$5:$C$100,0)),""))</f>
        <v/>
      </c>
      <c r="D39" s="9"/>
      <c r="E39" s="45"/>
      <c r="F39" s="22"/>
      <c r="G39" s="24" t="str">
        <f>IF($F39="","",WORKDAY($F39,Settings!$C$10,HolidayDates))</f>
        <v/>
      </c>
      <c r="H39" s="18" t="str">
        <f>IF($B39="","",IFERROR(INDEX(Vendors!$E$5:$E$100,MATCH($B39,Vendors!$C$5:$C$100,0))&amp;"",""))</f>
        <v/>
      </c>
      <c r="I39" s="18" t="str">
        <f>IF($B39="","",IFERROR(INDEX(Vendors!$F$5:$F$100,MATCH($B39,Vendors!$C$5:$C$100,0))&amp;"",""))</f>
        <v/>
      </c>
      <c r="J39" s="9"/>
    </row>
    <row r="40" spans="1:10" x14ac:dyDescent="0.35">
      <c r="A40" s="22"/>
      <c r="B40" s="9"/>
      <c r="C40" s="18" t="str">
        <f>IF($B40="","",IFERROR(INDEX(Vendors!$A$5:$A$100,MATCH($B40,Vendors!$C$5:$C$100,0)),""))</f>
        <v/>
      </c>
      <c r="D40" s="9"/>
      <c r="E40" s="45"/>
      <c r="F40" s="22"/>
      <c r="G40" s="24" t="str">
        <f>IF($F40="","",WORKDAY($F40,Settings!$C$10,HolidayDates))</f>
        <v/>
      </c>
      <c r="H40" s="18" t="str">
        <f>IF($B40="","",IFERROR(INDEX(Vendors!$E$5:$E$100,MATCH($B40,Vendors!$C$5:$C$100,0))&amp;"",""))</f>
        <v/>
      </c>
      <c r="I40" s="18" t="str">
        <f>IF($B40="","",IFERROR(INDEX(Vendors!$F$5:$F$100,MATCH($B40,Vendors!$C$5:$C$100,0))&amp;"",""))</f>
        <v/>
      </c>
      <c r="J40" s="9"/>
    </row>
    <row r="41" spans="1:10" x14ac:dyDescent="0.35">
      <c r="A41" s="22"/>
      <c r="B41" s="9"/>
      <c r="C41" s="18" t="str">
        <f>IF($B41="","",IFERROR(INDEX(Vendors!$A$5:$A$100,MATCH($B41,Vendors!$C$5:$C$100,0)),""))</f>
        <v/>
      </c>
      <c r="D41" s="9"/>
      <c r="E41" s="45"/>
      <c r="F41" s="22"/>
      <c r="G41" s="24" t="str">
        <f>IF($F41="","",WORKDAY($F41,Settings!$C$10,HolidayDates))</f>
        <v/>
      </c>
      <c r="H41" s="18" t="str">
        <f>IF($B41="","",IFERROR(INDEX(Vendors!$E$5:$E$100,MATCH($B41,Vendors!$C$5:$C$100,0))&amp;"",""))</f>
        <v/>
      </c>
      <c r="I41" s="18" t="str">
        <f>IF($B41="","",IFERROR(INDEX(Vendors!$F$5:$F$100,MATCH($B41,Vendors!$C$5:$C$100,0))&amp;"",""))</f>
        <v/>
      </c>
      <c r="J41" s="9"/>
    </row>
    <row r="42" spans="1:10" x14ac:dyDescent="0.35">
      <c r="A42" s="22"/>
      <c r="B42" s="9"/>
      <c r="C42" s="18" t="str">
        <f>IF($B42="","",IFERROR(INDEX(Vendors!$A$5:$A$100,MATCH($B42,Vendors!$C$5:$C$100,0)),""))</f>
        <v/>
      </c>
      <c r="D42" s="9"/>
      <c r="E42" s="45"/>
      <c r="F42" s="22"/>
      <c r="G42" s="24" t="str">
        <f>IF($F42="","",WORKDAY($F42,Settings!$C$10,HolidayDates))</f>
        <v/>
      </c>
      <c r="H42" s="18" t="str">
        <f>IF($B42="","",IFERROR(INDEX(Vendors!$E$5:$E$100,MATCH($B42,Vendors!$C$5:$C$100,0))&amp;"",""))</f>
        <v/>
      </c>
      <c r="I42" s="18" t="str">
        <f>IF($B42="","",IFERROR(INDEX(Vendors!$F$5:$F$100,MATCH($B42,Vendors!$C$5:$C$100,0))&amp;"",""))</f>
        <v/>
      </c>
      <c r="J42" s="9"/>
    </row>
    <row r="43" spans="1:10" x14ac:dyDescent="0.35">
      <c r="A43" s="22"/>
      <c r="B43" s="9"/>
      <c r="C43" s="18" t="str">
        <f>IF($B43="","",IFERROR(INDEX(Vendors!$A$5:$A$100,MATCH($B43,Vendors!$C$5:$C$100,0)),""))</f>
        <v/>
      </c>
      <c r="D43" s="9"/>
      <c r="E43" s="45"/>
      <c r="F43" s="22"/>
      <c r="G43" s="24" t="str">
        <f>IF($F43="","",WORKDAY($F43,Settings!$C$10,HolidayDates))</f>
        <v/>
      </c>
      <c r="H43" s="18" t="str">
        <f>IF($B43="","",IFERROR(INDEX(Vendors!$E$5:$E$100,MATCH($B43,Vendors!$C$5:$C$100,0))&amp;"",""))</f>
        <v/>
      </c>
      <c r="I43" s="18" t="str">
        <f>IF($B43="","",IFERROR(INDEX(Vendors!$F$5:$F$100,MATCH($B43,Vendors!$C$5:$C$100,0))&amp;"",""))</f>
        <v/>
      </c>
      <c r="J43" s="9"/>
    </row>
    <row r="44" spans="1:10" x14ac:dyDescent="0.35">
      <c r="A44" s="22"/>
      <c r="B44" s="9"/>
      <c r="C44" s="18" t="str">
        <f>IF($B44="","",IFERROR(INDEX(Vendors!$A$5:$A$100,MATCH($B44,Vendors!$C$5:$C$100,0)),""))</f>
        <v/>
      </c>
      <c r="D44" s="9"/>
      <c r="E44" s="45"/>
      <c r="F44" s="22"/>
      <c r="G44" s="24" t="str">
        <f>IF($F44="","",WORKDAY($F44,Settings!$C$10,HolidayDates))</f>
        <v/>
      </c>
      <c r="H44" s="18" t="str">
        <f>IF($B44="","",IFERROR(INDEX(Vendors!$E$5:$E$100,MATCH($B44,Vendors!$C$5:$C$100,0))&amp;"",""))</f>
        <v/>
      </c>
      <c r="I44" s="18" t="str">
        <f>IF($B44="","",IFERROR(INDEX(Vendors!$F$5:$F$100,MATCH($B44,Vendors!$C$5:$C$100,0))&amp;"",""))</f>
        <v/>
      </c>
      <c r="J44" s="9"/>
    </row>
    <row r="45" spans="1:10" x14ac:dyDescent="0.35">
      <c r="A45" s="22"/>
      <c r="B45" s="9"/>
      <c r="C45" s="18" t="str">
        <f>IF($B45="","",IFERROR(INDEX(Vendors!$A$5:$A$100,MATCH($B45,Vendors!$C$5:$C$100,0)),""))</f>
        <v/>
      </c>
      <c r="D45" s="9"/>
      <c r="E45" s="45"/>
      <c r="F45" s="22"/>
      <c r="G45" s="24" t="str">
        <f>IF($F45="","",WORKDAY($F45,Settings!$C$10,HolidayDates))</f>
        <v/>
      </c>
      <c r="H45" s="18" t="str">
        <f>IF($B45="","",IFERROR(INDEX(Vendors!$E$5:$E$100,MATCH($B45,Vendors!$C$5:$C$100,0))&amp;"",""))</f>
        <v/>
      </c>
      <c r="I45" s="18" t="str">
        <f>IF($B45="","",IFERROR(INDEX(Vendors!$F$5:$F$100,MATCH($B45,Vendors!$C$5:$C$100,0))&amp;"",""))</f>
        <v/>
      </c>
      <c r="J45" s="9"/>
    </row>
    <row r="46" spans="1:10" x14ac:dyDescent="0.35">
      <c r="A46" s="22"/>
      <c r="B46" s="9"/>
      <c r="C46" s="18" t="str">
        <f>IF($B46="","",IFERROR(INDEX(Vendors!$A$5:$A$100,MATCH($B46,Vendors!$C$5:$C$100,0)),""))</f>
        <v/>
      </c>
      <c r="D46" s="9"/>
      <c r="E46" s="45"/>
      <c r="F46" s="22"/>
      <c r="G46" s="24" t="str">
        <f>IF($F46="","",WORKDAY($F46,Settings!$C$10,HolidayDates))</f>
        <v/>
      </c>
      <c r="H46" s="18" t="str">
        <f>IF($B46="","",IFERROR(INDEX(Vendors!$E$5:$E$100,MATCH($B46,Vendors!$C$5:$C$100,0))&amp;"",""))</f>
        <v/>
      </c>
      <c r="I46" s="18" t="str">
        <f>IF($B46="","",IFERROR(INDEX(Vendors!$F$5:$F$100,MATCH($B46,Vendors!$C$5:$C$100,0))&amp;"",""))</f>
        <v/>
      </c>
      <c r="J46" s="9"/>
    </row>
    <row r="47" spans="1:10" x14ac:dyDescent="0.35">
      <c r="A47" s="22"/>
      <c r="B47" s="9"/>
      <c r="C47" s="18" t="str">
        <f>IF($B47="","",IFERROR(INDEX(Vendors!$A$5:$A$100,MATCH($B47,Vendors!$C$5:$C$100,0)),""))</f>
        <v/>
      </c>
      <c r="D47" s="9"/>
      <c r="E47" s="45"/>
      <c r="F47" s="22"/>
      <c r="G47" s="24" t="str">
        <f>IF($F47="","",WORKDAY($F47,Settings!$C$10,HolidayDates))</f>
        <v/>
      </c>
      <c r="H47" s="18" t="str">
        <f>IF($B47="","",IFERROR(INDEX(Vendors!$E$5:$E$100,MATCH($B47,Vendors!$C$5:$C$100,0))&amp;"",""))</f>
        <v/>
      </c>
      <c r="I47" s="18" t="str">
        <f>IF($B47="","",IFERROR(INDEX(Vendors!$F$5:$F$100,MATCH($B47,Vendors!$C$5:$C$100,0))&amp;"",""))</f>
        <v/>
      </c>
      <c r="J47" s="9"/>
    </row>
    <row r="48" spans="1:10" x14ac:dyDescent="0.35">
      <c r="A48" s="22"/>
      <c r="B48" s="9"/>
      <c r="C48" s="18" t="str">
        <f>IF($B48="","",IFERROR(INDEX(Vendors!$A$5:$A$100,MATCH($B48,Vendors!$C$5:$C$100,0)),""))</f>
        <v/>
      </c>
      <c r="D48" s="9"/>
      <c r="E48" s="45"/>
      <c r="F48" s="22"/>
      <c r="G48" s="24" t="str">
        <f>IF($F48="","",WORKDAY($F48,Settings!$C$10,HolidayDates))</f>
        <v/>
      </c>
      <c r="H48" s="18" t="str">
        <f>IF($B48="","",IFERROR(INDEX(Vendors!$E$5:$E$100,MATCH($B48,Vendors!$C$5:$C$100,0))&amp;"",""))</f>
        <v/>
      </c>
      <c r="I48" s="18" t="str">
        <f>IF($B48="","",IFERROR(INDEX(Vendors!$F$5:$F$100,MATCH($B48,Vendors!$C$5:$C$100,0))&amp;"",""))</f>
        <v/>
      </c>
      <c r="J48" s="9"/>
    </row>
    <row r="49" spans="1:10" x14ac:dyDescent="0.35">
      <c r="A49" s="22"/>
      <c r="B49" s="9"/>
      <c r="C49" s="18" t="str">
        <f>IF($B49="","",IFERROR(INDEX(Vendors!$A$5:$A$100,MATCH($B49,Vendors!$C$5:$C$100,0)),""))</f>
        <v/>
      </c>
      <c r="D49" s="9"/>
      <c r="E49" s="45"/>
      <c r="F49" s="22"/>
      <c r="G49" s="24" t="str">
        <f>IF($F49="","",WORKDAY($F49,Settings!$C$10,HolidayDates))</f>
        <v/>
      </c>
      <c r="H49" s="18" t="str">
        <f>IF($B49="","",IFERROR(INDEX(Vendors!$E$5:$E$100,MATCH($B49,Vendors!$C$5:$C$100,0))&amp;"",""))</f>
        <v/>
      </c>
      <c r="I49" s="18" t="str">
        <f>IF($B49="","",IFERROR(INDEX(Vendors!$F$5:$F$100,MATCH($B49,Vendors!$C$5:$C$100,0))&amp;"",""))</f>
        <v/>
      </c>
      <c r="J49" s="9"/>
    </row>
    <row r="50" spans="1:10" x14ac:dyDescent="0.35">
      <c r="A50" s="22"/>
      <c r="B50" s="9"/>
      <c r="C50" s="18" t="str">
        <f>IF($B50="","",IFERROR(INDEX(Vendors!$A$5:$A$100,MATCH($B50,Vendors!$C$5:$C$100,0)),""))</f>
        <v/>
      </c>
      <c r="D50" s="9"/>
      <c r="E50" s="45"/>
      <c r="F50" s="22"/>
      <c r="G50" s="24" t="str">
        <f>IF($F50="","",WORKDAY($F50,Settings!$C$10,HolidayDates))</f>
        <v/>
      </c>
      <c r="H50" s="18" t="str">
        <f>IF($B50="","",IFERROR(INDEX(Vendors!$E$5:$E$100,MATCH($B50,Vendors!$C$5:$C$100,0))&amp;"",""))</f>
        <v/>
      </c>
      <c r="I50" s="18" t="str">
        <f>IF($B50="","",IFERROR(INDEX(Vendors!$F$5:$F$100,MATCH($B50,Vendors!$C$5:$C$100,0))&amp;"",""))</f>
        <v/>
      </c>
      <c r="J50" s="9"/>
    </row>
    <row r="51" spans="1:10" x14ac:dyDescent="0.35">
      <c r="A51" s="22"/>
      <c r="B51" s="9"/>
      <c r="C51" s="18" t="str">
        <f>IF($B51="","",IFERROR(INDEX(Vendors!$A$5:$A$100,MATCH($B51,Vendors!$C$5:$C$100,0)),""))</f>
        <v/>
      </c>
      <c r="D51" s="9"/>
      <c r="E51" s="45"/>
      <c r="F51" s="22"/>
      <c r="G51" s="24" t="str">
        <f>IF($F51="","",WORKDAY($F51,Settings!$C$10,HolidayDates))</f>
        <v/>
      </c>
      <c r="H51" s="18" t="str">
        <f>IF($B51="","",IFERROR(INDEX(Vendors!$E$5:$E$100,MATCH($B51,Vendors!$C$5:$C$100,0))&amp;"",""))</f>
        <v/>
      </c>
      <c r="I51" s="18" t="str">
        <f>IF($B51="","",IFERROR(INDEX(Vendors!$F$5:$F$100,MATCH($B51,Vendors!$C$5:$C$100,0))&amp;"",""))</f>
        <v/>
      </c>
      <c r="J51" s="9"/>
    </row>
    <row r="52" spans="1:10" x14ac:dyDescent="0.35">
      <c r="A52" s="22"/>
      <c r="B52" s="9"/>
      <c r="C52" s="18" t="str">
        <f>IF($B52="","",IFERROR(INDEX(Vendors!$A$5:$A$100,MATCH($B52,Vendors!$C$5:$C$100,0)),""))</f>
        <v/>
      </c>
      <c r="D52" s="9"/>
      <c r="E52" s="45"/>
      <c r="F52" s="22"/>
      <c r="G52" s="24" t="str">
        <f>IF($F52="","",WORKDAY($F52,Settings!$C$10,HolidayDates))</f>
        <v/>
      </c>
      <c r="H52" s="18" t="str">
        <f>IF($B52="","",IFERROR(INDEX(Vendors!$E$5:$E$100,MATCH($B52,Vendors!$C$5:$C$100,0))&amp;"",""))</f>
        <v/>
      </c>
      <c r="I52" s="18" t="str">
        <f>IF($B52="","",IFERROR(INDEX(Vendors!$F$5:$F$100,MATCH($B52,Vendors!$C$5:$C$100,0))&amp;"",""))</f>
        <v/>
      </c>
      <c r="J52" s="9"/>
    </row>
    <row r="53" spans="1:10" x14ac:dyDescent="0.35">
      <c r="A53" s="22"/>
      <c r="B53" s="9"/>
      <c r="C53" s="18" t="str">
        <f>IF($B53="","",IFERROR(INDEX(Vendors!$A$5:$A$100,MATCH($B53,Vendors!$C$5:$C$100,0)),""))</f>
        <v/>
      </c>
      <c r="D53" s="9"/>
      <c r="E53" s="45"/>
      <c r="F53" s="22"/>
      <c r="G53" s="24" t="str">
        <f>IF($F53="","",WORKDAY($F53,Settings!$C$10,HolidayDates))</f>
        <v/>
      </c>
      <c r="H53" s="18" t="str">
        <f>IF($B53="","",IFERROR(INDEX(Vendors!$E$5:$E$100,MATCH($B53,Vendors!$C$5:$C$100,0))&amp;"",""))</f>
        <v/>
      </c>
      <c r="I53" s="18" t="str">
        <f>IF($B53="","",IFERROR(INDEX(Vendors!$F$5:$F$100,MATCH($B53,Vendors!$C$5:$C$100,0))&amp;"",""))</f>
        <v/>
      </c>
      <c r="J53" s="9"/>
    </row>
    <row r="54" spans="1:10" x14ac:dyDescent="0.35">
      <c r="A54" s="22"/>
      <c r="B54" s="9"/>
      <c r="C54" s="18" t="str">
        <f>IF($B54="","",IFERROR(INDEX(Vendors!$A$5:$A$100,MATCH($B54,Vendors!$C$5:$C$100,0)),""))</f>
        <v/>
      </c>
      <c r="D54" s="9"/>
      <c r="E54" s="45"/>
      <c r="F54" s="22"/>
      <c r="G54" s="24" t="str">
        <f>IF($F54="","",WORKDAY($F54,Settings!$C$10,HolidayDates))</f>
        <v/>
      </c>
      <c r="H54" s="18" t="str">
        <f>IF($B54="","",IFERROR(INDEX(Vendors!$E$5:$E$100,MATCH($B54,Vendors!$C$5:$C$100,0))&amp;"",""))</f>
        <v/>
      </c>
      <c r="I54" s="18" t="str">
        <f>IF($B54="","",IFERROR(INDEX(Vendors!$F$5:$F$100,MATCH($B54,Vendors!$C$5:$C$100,0))&amp;"",""))</f>
        <v/>
      </c>
      <c r="J54" s="9"/>
    </row>
    <row r="55" spans="1:10" x14ac:dyDescent="0.35">
      <c r="A55" s="22"/>
      <c r="B55" s="9"/>
      <c r="C55" s="18" t="str">
        <f>IF($B55="","",IFERROR(INDEX(Vendors!$A$5:$A$100,MATCH($B55,Vendors!$C$5:$C$100,0)),""))</f>
        <v/>
      </c>
      <c r="D55" s="9"/>
      <c r="E55" s="45"/>
      <c r="F55" s="22"/>
      <c r="G55" s="24" t="str">
        <f>IF($F55="","",WORKDAY($F55,Settings!$C$10,HolidayDates))</f>
        <v/>
      </c>
      <c r="H55" s="18" t="str">
        <f>IF($B55="","",IFERROR(INDEX(Vendors!$E$5:$E$100,MATCH($B55,Vendors!$C$5:$C$100,0))&amp;"",""))</f>
        <v/>
      </c>
      <c r="I55" s="18" t="str">
        <f>IF($B55="","",IFERROR(INDEX(Vendors!$F$5:$F$100,MATCH($B55,Vendors!$C$5:$C$100,0))&amp;"",""))</f>
        <v/>
      </c>
      <c r="J55" s="9"/>
    </row>
    <row r="56" spans="1:10" x14ac:dyDescent="0.35">
      <c r="A56" s="22"/>
      <c r="B56" s="9"/>
      <c r="C56" s="18" t="str">
        <f>IF($B56="","",IFERROR(INDEX(Vendors!$A$5:$A$100,MATCH($B56,Vendors!$C$5:$C$100,0)),""))</f>
        <v/>
      </c>
      <c r="D56" s="9"/>
      <c r="E56" s="45"/>
      <c r="F56" s="22"/>
      <c r="G56" s="24" t="str">
        <f>IF($F56="","",WORKDAY($F56,Settings!$C$10,HolidayDates))</f>
        <v/>
      </c>
      <c r="H56" s="18" t="str">
        <f>IF($B56="","",IFERROR(INDEX(Vendors!$E$5:$E$100,MATCH($B56,Vendors!$C$5:$C$100,0))&amp;"",""))</f>
        <v/>
      </c>
      <c r="I56" s="18" t="str">
        <f>IF($B56="","",IFERROR(INDEX(Vendors!$F$5:$F$100,MATCH($B56,Vendors!$C$5:$C$100,0))&amp;"",""))</f>
        <v/>
      </c>
      <c r="J56" s="9"/>
    </row>
    <row r="57" spans="1:10" x14ac:dyDescent="0.35">
      <c r="A57" s="22"/>
      <c r="B57" s="9"/>
      <c r="C57" s="18" t="str">
        <f>IF($B57="","",IFERROR(INDEX(Vendors!$A$5:$A$100,MATCH($B57,Vendors!$C$5:$C$100,0)),""))</f>
        <v/>
      </c>
      <c r="D57" s="9"/>
      <c r="E57" s="45"/>
      <c r="F57" s="22"/>
      <c r="G57" s="24" t="str">
        <f>IF($F57="","",WORKDAY($F57,Settings!$C$10,HolidayDates))</f>
        <v/>
      </c>
      <c r="H57" s="18" t="str">
        <f>IF($B57="","",IFERROR(INDEX(Vendors!$E$5:$E$100,MATCH($B57,Vendors!$C$5:$C$100,0))&amp;"",""))</f>
        <v/>
      </c>
      <c r="I57" s="18" t="str">
        <f>IF($B57="","",IFERROR(INDEX(Vendors!$F$5:$F$100,MATCH($B57,Vendors!$C$5:$C$100,0))&amp;"",""))</f>
        <v/>
      </c>
      <c r="J57" s="9"/>
    </row>
    <row r="58" spans="1:10" x14ac:dyDescent="0.35">
      <c r="A58" s="22"/>
      <c r="B58" s="9"/>
      <c r="C58" s="18" t="str">
        <f>IF($B58="","",IFERROR(INDEX(Vendors!$A$5:$A$100,MATCH($B58,Vendors!$C$5:$C$100,0)),""))</f>
        <v/>
      </c>
      <c r="D58" s="9"/>
      <c r="E58" s="45"/>
      <c r="F58" s="22"/>
      <c r="G58" s="24" t="str">
        <f>IF($F58="","",WORKDAY($F58,Settings!$C$10,HolidayDates))</f>
        <v/>
      </c>
      <c r="H58" s="18" t="str">
        <f>IF($B58="","",IFERROR(INDEX(Vendors!$E$5:$E$100,MATCH($B58,Vendors!$C$5:$C$100,0))&amp;"",""))</f>
        <v/>
      </c>
      <c r="I58" s="18" t="str">
        <f>IF($B58="","",IFERROR(INDEX(Vendors!$F$5:$F$100,MATCH($B58,Vendors!$C$5:$C$100,0))&amp;"",""))</f>
        <v/>
      </c>
      <c r="J58" s="9"/>
    </row>
    <row r="59" spans="1:10" x14ac:dyDescent="0.35">
      <c r="A59" s="22"/>
      <c r="B59" s="9"/>
      <c r="C59" s="18" t="str">
        <f>IF($B59="","",IFERROR(INDEX(Vendors!$A$5:$A$100,MATCH($B59,Vendors!$C$5:$C$100,0)),""))</f>
        <v/>
      </c>
      <c r="D59" s="9"/>
      <c r="E59" s="45"/>
      <c r="F59" s="22"/>
      <c r="G59" s="24" t="str">
        <f>IF($F59="","",WORKDAY($F59,Settings!$C$10,HolidayDates))</f>
        <v/>
      </c>
      <c r="H59" s="18" t="str">
        <f>IF($B59="","",IFERROR(INDEX(Vendors!$E$5:$E$100,MATCH($B59,Vendors!$C$5:$C$100,0))&amp;"",""))</f>
        <v/>
      </c>
      <c r="I59" s="18" t="str">
        <f>IF($B59="","",IFERROR(INDEX(Vendors!$F$5:$F$100,MATCH($B59,Vendors!$C$5:$C$100,0))&amp;"",""))</f>
        <v/>
      </c>
      <c r="J59" s="9"/>
    </row>
    <row r="60" spans="1:10" x14ac:dyDescent="0.35">
      <c r="A60" s="22"/>
      <c r="B60" s="9"/>
      <c r="C60" s="18" t="str">
        <f>IF($B60="","",IFERROR(INDEX(Vendors!$A$5:$A$100,MATCH($B60,Vendors!$C$5:$C$100,0)),""))</f>
        <v/>
      </c>
      <c r="D60" s="9"/>
      <c r="E60" s="45"/>
      <c r="F60" s="22"/>
      <c r="G60" s="24" t="str">
        <f>IF($F60="","",WORKDAY($F60,Settings!$C$10,HolidayDates))</f>
        <v/>
      </c>
      <c r="H60" s="18" t="str">
        <f>IF($B60="","",IFERROR(INDEX(Vendors!$E$5:$E$100,MATCH($B60,Vendors!$C$5:$C$100,0))&amp;"",""))</f>
        <v/>
      </c>
      <c r="I60" s="18" t="str">
        <f>IF($B60="","",IFERROR(INDEX(Vendors!$F$5:$F$100,MATCH($B60,Vendors!$C$5:$C$100,0))&amp;"",""))</f>
        <v/>
      </c>
      <c r="J60" s="9"/>
    </row>
    <row r="61" spans="1:10" x14ac:dyDescent="0.35">
      <c r="A61" s="22"/>
      <c r="B61" s="9"/>
      <c r="C61" s="18" t="str">
        <f>IF($B61="","",IFERROR(INDEX(Vendors!$A$5:$A$100,MATCH($B61,Vendors!$C$5:$C$100,0)),""))</f>
        <v/>
      </c>
      <c r="D61" s="9"/>
      <c r="E61" s="45"/>
      <c r="F61" s="22"/>
      <c r="G61" s="24" t="str">
        <f>IF($F61="","",WORKDAY($F61,Settings!$C$10,HolidayDates))</f>
        <v/>
      </c>
      <c r="H61" s="18" t="str">
        <f>IF($B61="","",IFERROR(INDEX(Vendors!$E$5:$E$100,MATCH($B61,Vendors!$C$5:$C$100,0))&amp;"",""))</f>
        <v/>
      </c>
      <c r="I61" s="18" t="str">
        <f>IF($B61="","",IFERROR(INDEX(Vendors!$F$5:$F$100,MATCH($B61,Vendors!$C$5:$C$100,0))&amp;"",""))</f>
        <v/>
      </c>
      <c r="J61" s="9"/>
    </row>
    <row r="62" spans="1:10" x14ac:dyDescent="0.35">
      <c r="A62" s="22"/>
      <c r="B62" s="9"/>
      <c r="C62" s="18" t="str">
        <f>IF($B62="","",IFERROR(INDEX(Vendors!$A$5:$A$100,MATCH($B62,Vendors!$C$5:$C$100,0)),""))</f>
        <v/>
      </c>
      <c r="D62" s="9"/>
      <c r="E62" s="45"/>
      <c r="F62" s="22"/>
      <c r="G62" s="24" t="str">
        <f>IF($F62="","",WORKDAY($F62,Settings!$C$10,HolidayDates))</f>
        <v/>
      </c>
      <c r="H62" s="18" t="str">
        <f>IF($B62="","",IFERROR(INDEX(Vendors!$E$5:$E$100,MATCH($B62,Vendors!$C$5:$C$100,0))&amp;"",""))</f>
        <v/>
      </c>
      <c r="I62" s="18" t="str">
        <f>IF($B62="","",IFERROR(INDEX(Vendors!$F$5:$F$100,MATCH($B62,Vendors!$C$5:$C$100,0))&amp;"",""))</f>
        <v/>
      </c>
      <c r="J62" s="9"/>
    </row>
    <row r="63" spans="1:10" x14ac:dyDescent="0.35">
      <c r="A63" s="22"/>
      <c r="B63" s="9"/>
      <c r="C63" s="18" t="str">
        <f>IF($B63="","",IFERROR(INDEX(Vendors!$A$5:$A$100,MATCH($B63,Vendors!$C$5:$C$100,0)),""))</f>
        <v/>
      </c>
      <c r="D63" s="9"/>
      <c r="E63" s="45"/>
      <c r="F63" s="22"/>
      <c r="G63" s="24" t="str">
        <f>IF($F63="","",WORKDAY($F63,Settings!$C$10,HolidayDates))</f>
        <v/>
      </c>
      <c r="H63" s="18" t="str">
        <f>IF($B63="","",IFERROR(INDEX(Vendors!$E$5:$E$100,MATCH($B63,Vendors!$C$5:$C$100,0))&amp;"",""))</f>
        <v/>
      </c>
      <c r="I63" s="18" t="str">
        <f>IF($B63="","",IFERROR(INDEX(Vendors!$F$5:$F$100,MATCH($B63,Vendors!$C$5:$C$100,0))&amp;"",""))</f>
        <v/>
      </c>
      <c r="J63" s="9"/>
    </row>
    <row r="64" spans="1:10" x14ac:dyDescent="0.35">
      <c r="A64" s="22"/>
      <c r="B64" s="9"/>
      <c r="C64" s="18" t="str">
        <f>IF($B64="","",IFERROR(INDEX(Vendors!$A$5:$A$100,MATCH($B64,Vendors!$C$5:$C$100,0)),""))</f>
        <v/>
      </c>
      <c r="D64" s="9"/>
      <c r="E64" s="45"/>
      <c r="F64" s="22"/>
      <c r="G64" s="24" t="str">
        <f>IF($F64="","",WORKDAY($F64,Settings!$C$10,HolidayDates))</f>
        <v/>
      </c>
      <c r="H64" s="18" t="str">
        <f>IF($B64="","",IFERROR(INDEX(Vendors!$E$5:$E$100,MATCH($B64,Vendors!$C$5:$C$100,0))&amp;"",""))</f>
        <v/>
      </c>
      <c r="I64" s="18" t="str">
        <f>IF($B64="","",IFERROR(INDEX(Vendors!$F$5:$F$100,MATCH($B64,Vendors!$C$5:$C$100,0))&amp;"",""))</f>
        <v/>
      </c>
      <c r="J64" s="9"/>
    </row>
    <row r="65" spans="1:10" x14ac:dyDescent="0.35">
      <c r="A65" s="22"/>
      <c r="B65" s="9"/>
      <c r="C65" s="18" t="str">
        <f>IF($B65="","",IFERROR(INDEX(Vendors!$A$5:$A$100,MATCH($B65,Vendors!$C$5:$C$100,0)),""))</f>
        <v/>
      </c>
      <c r="D65" s="9"/>
      <c r="E65" s="45"/>
      <c r="F65" s="22"/>
      <c r="G65" s="24" t="str">
        <f>IF($F65="","",WORKDAY($F65,Settings!$C$10,HolidayDates))</f>
        <v/>
      </c>
      <c r="H65" s="18" t="str">
        <f>IF($B65="","",IFERROR(INDEX(Vendors!$E$5:$E$100,MATCH($B65,Vendors!$C$5:$C$100,0))&amp;"",""))</f>
        <v/>
      </c>
      <c r="I65" s="18" t="str">
        <f>IF($B65="","",IFERROR(INDEX(Vendors!$F$5:$F$100,MATCH($B65,Vendors!$C$5:$C$100,0))&amp;"",""))</f>
        <v/>
      </c>
      <c r="J65" s="9"/>
    </row>
    <row r="66" spans="1:10" x14ac:dyDescent="0.35">
      <c r="A66" s="22"/>
      <c r="B66" s="9"/>
      <c r="C66" s="18" t="str">
        <f>IF($B66="","",IFERROR(INDEX(Vendors!$A$5:$A$100,MATCH($B66,Vendors!$C$5:$C$100,0)),""))</f>
        <v/>
      </c>
      <c r="D66" s="9"/>
      <c r="E66" s="45"/>
      <c r="F66" s="22"/>
      <c r="G66" s="24" t="str">
        <f>IF($F66="","",WORKDAY($F66,Settings!$C$10,HolidayDates))</f>
        <v/>
      </c>
      <c r="H66" s="18" t="str">
        <f>IF($B66="","",IFERROR(INDEX(Vendors!$E$5:$E$100,MATCH($B66,Vendors!$C$5:$C$100,0))&amp;"",""))</f>
        <v/>
      </c>
      <c r="I66" s="18" t="str">
        <f>IF($B66="","",IFERROR(INDEX(Vendors!$F$5:$F$100,MATCH($B66,Vendors!$C$5:$C$100,0))&amp;"",""))</f>
        <v/>
      </c>
      <c r="J66" s="9"/>
    </row>
    <row r="67" spans="1:10" x14ac:dyDescent="0.35">
      <c r="A67" s="22"/>
      <c r="B67" s="9"/>
      <c r="C67" s="18" t="str">
        <f>IF($B67="","",IFERROR(INDEX(Vendors!$A$5:$A$100,MATCH($B67,Vendors!$C$5:$C$100,0)),""))</f>
        <v/>
      </c>
      <c r="D67" s="9"/>
      <c r="E67" s="45"/>
      <c r="F67" s="22"/>
      <c r="G67" s="24" t="str">
        <f>IF($F67="","",WORKDAY($F67,Settings!$C$10,HolidayDates))</f>
        <v/>
      </c>
      <c r="H67" s="18" t="str">
        <f>IF($B67="","",IFERROR(INDEX(Vendors!$E$5:$E$100,MATCH($B67,Vendors!$C$5:$C$100,0))&amp;"",""))</f>
        <v/>
      </c>
      <c r="I67" s="18" t="str">
        <f>IF($B67="","",IFERROR(INDEX(Vendors!$F$5:$F$100,MATCH($B67,Vendors!$C$5:$C$100,0))&amp;"",""))</f>
        <v/>
      </c>
      <c r="J67" s="9"/>
    </row>
    <row r="68" spans="1:10" x14ac:dyDescent="0.35">
      <c r="A68" s="22"/>
      <c r="B68" s="9"/>
      <c r="C68" s="18" t="str">
        <f>IF($B68="","",IFERROR(INDEX(Vendors!$A$5:$A$100,MATCH($B68,Vendors!$C$5:$C$100,0)),""))</f>
        <v/>
      </c>
      <c r="D68" s="9"/>
      <c r="E68" s="45"/>
      <c r="F68" s="22"/>
      <c r="G68" s="24" t="str">
        <f>IF($F68="","",WORKDAY($F68,Settings!$C$10,HolidayDates))</f>
        <v/>
      </c>
      <c r="H68" s="18" t="str">
        <f>IF($B68="","",IFERROR(INDEX(Vendors!$E$5:$E$100,MATCH($B68,Vendors!$C$5:$C$100,0))&amp;"",""))</f>
        <v/>
      </c>
      <c r="I68" s="18" t="str">
        <f>IF($B68="","",IFERROR(INDEX(Vendors!$F$5:$F$100,MATCH($B68,Vendors!$C$5:$C$100,0))&amp;"",""))</f>
        <v/>
      </c>
      <c r="J68" s="9"/>
    </row>
    <row r="69" spans="1:10" x14ac:dyDescent="0.35">
      <c r="A69" s="22"/>
      <c r="B69" s="9"/>
      <c r="C69" s="18" t="str">
        <f>IF($B69="","",IFERROR(INDEX(Vendors!$A$5:$A$100,MATCH($B69,Vendors!$C$5:$C$100,0)),""))</f>
        <v/>
      </c>
      <c r="D69" s="9"/>
      <c r="E69" s="45"/>
      <c r="F69" s="22"/>
      <c r="G69" s="24" t="str">
        <f>IF($F69="","",WORKDAY($F69,Settings!$C$10,HolidayDates))</f>
        <v/>
      </c>
      <c r="H69" s="18" t="str">
        <f>IF($B69="","",IFERROR(INDEX(Vendors!$E$5:$E$100,MATCH($B69,Vendors!$C$5:$C$100,0))&amp;"",""))</f>
        <v/>
      </c>
      <c r="I69" s="18" t="str">
        <f>IF($B69="","",IFERROR(INDEX(Vendors!$F$5:$F$100,MATCH($B69,Vendors!$C$5:$C$100,0))&amp;"",""))</f>
        <v/>
      </c>
      <c r="J69" s="9"/>
    </row>
    <row r="70" spans="1:10" x14ac:dyDescent="0.35">
      <c r="A70" s="22"/>
      <c r="B70" s="9"/>
      <c r="C70" s="18" t="str">
        <f>IF($B70="","",IFERROR(INDEX(Vendors!$A$5:$A$100,MATCH($B70,Vendors!$C$5:$C$100,0)),""))</f>
        <v/>
      </c>
      <c r="D70" s="9"/>
      <c r="E70" s="45"/>
      <c r="F70" s="22"/>
      <c r="G70" s="24" t="str">
        <f>IF($F70="","",WORKDAY($F70,Settings!$C$10,HolidayDates))</f>
        <v/>
      </c>
      <c r="H70" s="18" t="str">
        <f>IF($B70="","",IFERROR(INDEX(Vendors!$E$5:$E$100,MATCH($B70,Vendors!$C$5:$C$100,0))&amp;"",""))</f>
        <v/>
      </c>
      <c r="I70" s="18" t="str">
        <f>IF($B70="","",IFERROR(INDEX(Vendors!$F$5:$F$100,MATCH($B70,Vendors!$C$5:$C$100,0))&amp;"",""))</f>
        <v/>
      </c>
      <c r="J70" s="9"/>
    </row>
    <row r="71" spans="1:10" x14ac:dyDescent="0.35">
      <c r="A71" s="22"/>
      <c r="B71" s="9"/>
      <c r="C71" s="18" t="str">
        <f>IF($B71="","",IFERROR(INDEX(Vendors!$A$5:$A$100,MATCH($B71,Vendors!$C$5:$C$100,0)),""))</f>
        <v/>
      </c>
      <c r="D71" s="9"/>
      <c r="E71" s="45"/>
      <c r="F71" s="22"/>
      <c r="G71" s="24" t="str">
        <f>IF($F71="","",WORKDAY($F71,Settings!$C$10,HolidayDates))</f>
        <v/>
      </c>
      <c r="H71" s="18" t="str">
        <f>IF($B71="","",IFERROR(INDEX(Vendors!$E$5:$E$100,MATCH($B71,Vendors!$C$5:$C$100,0))&amp;"",""))</f>
        <v/>
      </c>
      <c r="I71" s="18" t="str">
        <f>IF($B71="","",IFERROR(INDEX(Vendors!$F$5:$F$100,MATCH($B71,Vendors!$C$5:$C$100,0))&amp;"",""))</f>
        <v/>
      </c>
      <c r="J71" s="9"/>
    </row>
    <row r="72" spans="1:10" x14ac:dyDescent="0.35">
      <c r="A72" s="22"/>
      <c r="B72" s="9"/>
      <c r="C72" s="18" t="str">
        <f>IF($B72="","",IFERROR(INDEX(Vendors!$A$5:$A$100,MATCH($B72,Vendors!$C$5:$C$100,0)),""))</f>
        <v/>
      </c>
      <c r="D72" s="9"/>
      <c r="E72" s="45"/>
      <c r="F72" s="22"/>
      <c r="G72" s="24" t="str">
        <f>IF($F72="","",WORKDAY($F72,Settings!$C$10,HolidayDates))</f>
        <v/>
      </c>
      <c r="H72" s="18" t="str">
        <f>IF($B72="","",IFERROR(INDEX(Vendors!$E$5:$E$100,MATCH($B72,Vendors!$C$5:$C$100,0))&amp;"",""))</f>
        <v/>
      </c>
      <c r="I72" s="18" t="str">
        <f>IF($B72="","",IFERROR(INDEX(Vendors!$F$5:$F$100,MATCH($B72,Vendors!$C$5:$C$100,0))&amp;"",""))</f>
        <v/>
      </c>
      <c r="J72" s="9"/>
    </row>
    <row r="73" spans="1:10" x14ac:dyDescent="0.35">
      <c r="A73" s="22"/>
      <c r="B73" s="9"/>
      <c r="C73" s="18" t="str">
        <f>IF($B73="","",IFERROR(INDEX(Vendors!$A$5:$A$100,MATCH($B73,Vendors!$C$5:$C$100,0)),""))</f>
        <v/>
      </c>
      <c r="D73" s="9"/>
      <c r="E73" s="45"/>
      <c r="F73" s="22"/>
      <c r="G73" s="24" t="str">
        <f>IF($F73="","",WORKDAY($F73,Settings!$C$10,HolidayDates))</f>
        <v/>
      </c>
      <c r="H73" s="18" t="str">
        <f>IF($B73="","",IFERROR(INDEX(Vendors!$E$5:$E$100,MATCH($B73,Vendors!$C$5:$C$100,0))&amp;"",""))</f>
        <v/>
      </c>
      <c r="I73" s="18" t="str">
        <f>IF($B73="","",IFERROR(INDEX(Vendors!$F$5:$F$100,MATCH($B73,Vendors!$C$5:$C$100,0))&amp;"",""))</f>
        <v/>
      </c>
      <c r="J73" s="9"/>
    </row>
    <row r="74" spans="1:10" x14ac:dyDescent="0.35">
      <c r="A74" s="22"/>
      <c r="B74" s="9"/>
      <c r="C74" s="18" t="str">
        <f>IF($B74="","",IFERROR(INDEX(Vendors!$A$5:$A$100,MATCH($B74,Vendors!$C$5:$C$100,0)),""))</f>
        <v/>
      </c>
      <c r="D74" s="9"/>
      <c r="E74" s="45"/>
      <c r="F74" s="22"/>
      <c r="G74" s="24" t="str">
        <f>IF($F74="","",WORKDAY($F74,Settings!$C$10,HolidayDates))</f>
        <v/>
      </c>
      <c r="H74" s="18" t="str">
        <f>IF($B74="","",IFERROR(INDEX(Vendors!$E$5:$E$100,MATCH($B74,Vendors!$C$5:$C$100,0))&amp;"",""))</f>
        <v/>
      </c>
      <c r="I74" s="18" t="str">
        <f>IF($B74="","",IFERROR(INDEX(Vendors!$F$5:$F$100,MATCH($B74,Vendors!$C$5:$C$100,0))&amp;"",""))</f>
        <v/>
      </c>
      <c r="J74" s="9"/>
    </row>
    <row r="75" spans="1:10" x14ac:dyDescent="0.35">
      <c r="A75" s="22"/>
      <c r="B75" s="9"/>
      <c r="C75" s="18" t="str">
        <f>IF($B75="","",IFERROR(INDEX(Vendors!$A$5:$A$100,MATCH($B75,Vendors!$C$5:$C$100,0)),""))</f>
        <v/>
      </c>
      <c r="D75" s="9"/>
      <c r="E75" s="45"/>
      <c r="F75" s="22"/>
      <c r="G75" s="24" t="str">
        <f>IF($F75="","",WORKDAY($F75,Settings!$C$10,HolidayDates))</f>
        <v/>
      </c>
      <c r="H75" s="18" t="str">
        <f>IF($B75="","",IFERROR(INDEX(Vendors!$E$5:$E$100,MATCH($B75,Vendors!$C$5:$C$100,0))&amp;"",""))</f>
        <v/>
      </c>
      <c r="I75" s="18" t="str">
        <f>IF($B75="","",IFERROR(INDEX(Vendors!$F$5:$F$100,MATCH($B75,Vendors!$C$5:$C$100,0))&amp;"",""))</f>
        <v/>
      </c>
      <c r="J75" s="9"/>
    </row>
    <row r="76" spans="1:10" x14ac:dyDescent="0.35">
      <c r="A76" s="22"/>
      <c r="B76" s="9"/>
      <c r="C76" s="18" t="str">
        <f>IF($B76="","",IFERROR(INDEX(Vendors!$A$5:$A$100,MATCH($B76,Vendors!$C$5:$C$100,0)),""))</f>
        <v/>
      </c>
      <c r="D76" s="9"/>
      <c r="E76" s="45"/>
      <c r="F76" s="22"/>
      <c r="G76" s="24" t="str">
        <f>IF($F76="","",WORKDAY($F76,Settings!$C$10,HolidayDates))</f>
        <v/>
      </c>
      <c r="H76" s="18" t="str">
        <f>IF($B76="","",IFERROR(INDEX(Vendors!$E$5:$E$100,MATCH($B76,Vendors!$C$5:$C$100,0))&amp;"",""))</f>
        <v/>
      </c>
      <c r="I76" s="18" t="str">
        <f>IF($B76="","",IFERROR(INDEX(Vendors!$F$5:$F$100,MATCH($B76,Vendors!$C$5:$C$100,0))&amp;"",""))</f>
        <v/>
      </c>
      <c r="J76" s="9"/>
    </row>
    <row r="77" spans="1:10" x14ac:dyDescent="0.35">
      <c r="A77" s="22"/>
      <c r="B77" s="9"/>
      <c r="C77" s="18" t="str">
        <f>IF($B77="","",IFERROR(INDEX(Vendors!$A$5:$A$100,MATCH($B77,Vendors!$C$5:$C$100,0)),""))</f>
        <v/>
      </c>
      <c r="D77" s="9"/>
      <c r="E77" s="45"/>
      <c r="F77" s="22"/>
      <c r="G77" s="24" t="str">
        <f>IF($F77="","",WORKDAY($F77,Settings!$C$10,HolidayDates))</f>
        <v/>
      </c>
      <c r="H77" s="18" t="str">
        <f>IF($B77="","",IFERROR(INDEX(Vendors!$E$5:$E$100,MATCH($B77,Vendors!$C$5:$C$100,0))&amp;"",""))</f>
        <v/>
      </c>
      <c r="I77" s="18" t="str">
        <f>IF($B77="","",IFERROR(INDEX(Vendors!$F$5:$F$100,MATCH($B77,Vendors!$C$5:$C$100,0))&amp;"",""))</f>
        <v/>
      </c>
      <c r="J77" s="9"/>
    </row>
    <row r="78" spans="1:10" x14ac:dyDescent="0.35">
      <c r="A78" s="22"/>
      <c r="B78" s="9"/>
      <c r="C78" s="18" t="str">
        <f>IF($B78="","",IFERROR(INDEX(Vendors!$A$5:$A$100,MATCH($B78,Vendors!$C$5:$C$100,0)),""))</f>
        <v/>
      </c>
      <c r="D78" s="9"/>
      <c r="E78" s="45"/>
      <c r="F78" s="22"/>
      <c r="G78" s="24" t="str">
        <f>IF($F78="","",WORKDAY($F78,Settings!$C$10,HolidayDates))</f>
        <v/>
      </c>
      <c r="H78" s="18" t="str">
        <f>IF($B78="","",IFERROR(INDEX(Vendors!$E$5:$E$100,MATCH($B78,Vendors!$C$5:$C$100,0))&amp;"",""))</f>
        <v/>
      </c>
      <c r="I78" s="18" t="str">
        <f>IF($B78="","",IFERROR(INDEX(Vendors!$F$5:$F$100,MATCH($B78,Vendors!$C$5:$C$100,0))&amp;"",""))</f>
        <v/>
      </c>
      <c r="J78" s="9"/>
    </row>
    <row r="79" spans="1:10" x14ac:dyDescent="0.35">
      <c r="A79" s="22"/>
      <c r="B79" s="9"/>
      <c r="C79" s="18" t="str">
        <f>IF($B79="","",IFERROR(INDEX(Vendors!$A$5:$A$100,MATCH($B79,Vendors!$C$5:$C$100,0)),""))</f>
        <v/>
      </c>
      <c r="D79" s="9"/>
      <c r="E79" s="45"/>
      <c r="F79" s="22"/>
      <c r="G79" s="24" t="str">
        <f>IF($F79="","",WORKDAY($F79,Settings!$C$10,HolidayDates))</f>
        <v/>
      </c>
      <c r="H79" s="18" t="str">
        <f>IF($B79="","",IFERROR(INDEX(Vendors!$E$5:$E$100,MATCH($B79,Vendors!$C$5:$C$100,0))&amp;"",""))</f>
        <v/>
      </c>
      <c r="I79" s="18" t="str">
        <f>IF($B79="","",IFERROR(INDEX(Vendors!$F$5:$F$100,MATCH($B79,Vendors!$C$5:$C$100,0))&amp;"",""))</f>
        <v/>
      </c>
      <c r="J79" s="9"/>
    </row>
    <row r="80" spans="1:10" x14ac:dyDescent="0.35">
      <c r="A80" s="22"/>
      <c r="B80" s="9"/>
      <c r="C80" s="18" t="str">
        <f>IF($B80="","",IFERROR(INDEX(Vendors!$A$5:$A$100,MATCH($B80,Vendors!$C$5:$C$100,0)),""))</f>
        <v/>
      </c>
      <c r="D80" s="9"/>
      <c r="E80" s="45"/>
      <c r="F80" s="22"/>
      <c r="G80" s="24" t="str">
        <f>IF($F80="","",WORKDAY($F80,Settings!$C$10,HolidayDates))</f>
        <v/>
      </c>
      <c r="H80" s="18" t="str">
        <f>IF($B80="","",IFERROR(INDEX(Vendors!$E$5:$E$100,MATCH($B80,Vendors!$C$5:$C$100,0))&amp;"",""))</f>
        <v/>
      </c>
      <c r="I80" s="18" t="str">
        <f>IF($B80="","",IFERROR(INDEX(Vendors!$F$5:$F$100,MATCH($B80,Vendors!$C$5:$C$100,0))&amp;"",""))</f>
        <v/>
      </c>
      <c r="J80" s="9"/>
    </row>
    <row r="81" spans="1:10" x14ac:dyDescent="0.35">
      <c r="A81" s="22"/>
      <c r="B81" s="9"/>
      <c r="C81" s="18" t="str">
        <f>IF($B81="","",IFERROR(INDEX(Vendors!$A$5:$A$100,MATCH($B81,Vendors!$C$5:$C$100,0)),""))</f>
        <v/>
      </c>
      <c r="D81" s="9"/>
      <c r="E81" s="45"/>
      <c r="F81" s="22"/>
      <c r="G81" s="24" t="str">
        <f>IF($F81="","",WORKDAY($F81,Settings!$C$10,HolidayDates))</f>
        <v/>
      </c>
      <c r="H81" s="18" t="str">
        <f>IF($B81="","",IFERROR(INDEX(Vendors!$E$5:$E$100,MATCH($B81,Vendors!$C$5:$C$100,0))&amp;"",""))</f>
        <v/>
      </c>
      <c r="I81" s="18" t="str">
        <f>IF($B81="","",IFERROR(INDEX(Vendors!$F$5:$F$100,MATCH($B81,Vendors!$C$5:$C$100,0))&amp;"",""))</f>
        <v/>
      </c>
      <c r="J81" s="9"/>
    </row>
    <row r="82" spans="1:10" x14ac:dyDescent="0.35">
      <c r="A82" s="22"/>
      <c r="B82" s="9"/>
      <c r="C82" s="18" t="str">
        <f>IF($B82="","",IFERROR(INDEX(Vendors!$A$5:$A$100,MATCH($B82,Vendors!$C$5:$C$100,0)),""))</f>
        <v/>
      </c>
      <c r="D82" s="9"/>
      <c r="E82" s="45"/>
      <c r="F82" s="22"/>
      <c r="G82" s="24" t="str">
        <f>IF($F82="","",WORKDAY($F82,Settings!$C$10,HolidayDates))</f>
        <v/>
      </c>
      <c r="H82" s="18" t="str">
        <f>IF($B82="","",IFERROR(INDEX(Vendors!$E$5:$E$100,MATCH($B82,Vendors!$C$5:$C$100,0))&amp;"",""))</f>
        <v/>
      </c>
      <c r="I82" s="18" t="str">
        <f>IF($B82="","",IFERROR(INDEX(Vendors!$F$5:$F$100,MATCH($B82,Vendors!$C$5:$C$100,0))&amp;"",""))</f>
        <v/>
      </c>
      <c r="J82" s="9"/>
    </row>
    <row r="83" spans="1:10" x14ac:dyDescent="0.35">
      <c r="A83" s="22"/>
      <c r="B83" s="9"/>
      <c r="C83" s="18" t="str">
        <f>IF($B83="","",IFERROR(INDEX(Vendors!$A$5:$A$100,MATCH($B83,Vendors!$C$5:$C$100,0)),""))</f>
        <v/>
      </c>
      <c r="D83" s="9"/>
      <c r="E83" s="45"/>
      <c r="F83" s="22"/>
      <c r="G83" s="24" t="str">
        <f>IF($F83="","",WORKDAY($F83,Settings!$C$10,HolidayDates))</f>
        <v/>
      </c>
      <c r="H83" s="18" t="str">
        <f>IF($B83="","",IFERROR(INDEX(Vendors!$E$5:$E$100,MATCH($B83,Vendors!$C$5:$C$100,0))&amp;"",""))</f>
        <v/>
      </c>
      <c r="I83" s="18" t="str">
        <f>IF($B83="","",IFERROR(INDEX(Vendors!$F$5:$F$100,MATCH($B83,Vendors!$C$5:$C$100,0))&amp;"",""))</f>
        <v/>
      </c>
      <c r="J83" s="9"/>
    </row>
    <row r="84" spans="1:10" x14ac:dyDescent="0.35">
      <c r="A84" s="22"/>
      <c r="B84" s="9"/>
      <c r="C84" s="18" t="str">
        <f>IF($B84="","",IFERROR(INDEX(Vendors!$A$5:$A$100,MATCH($B84,Vendors!$C$5:$C$100,0)),""))</f>
        <v/>
      </c>
      <c r="D84" s="9"/>
      <c r="E84" s="45"/>
      <c r="F84" s="22"/>
      <c r="G84" s="24" t="str">
        <f>IF($F84="","",WORKDAY($F84,Settings!$C$10,HolidayDates))</f>
        <v/>
      </c>
      <c r="H84" s="18" t="str">
        <f>IF($B84="","",IFERROR(INDEX(Vendors!$E$5:$E$100,MATCH($B84,Vendors!$C$5:$C$100,0))&amp;"",""))</f>
        <v/>
      </c>
      <c r="I84" s="18" t="str">
        <f>IF($B84="","",IFERROR(INDEX(Vendors!$F$5:$F$100,MATCH($B84,Vendors!$C$5:$C$100,0))&amp;"",""))</f>
        <v/>
      </c>
      <c r="J84" s="9"/>
    </row>
    <row r="85" spans="1:10" x14ac:dyDescent="0.35">
      <c r="A85" s="22"/>
      <c r="B85" s="9"/>
      <c r="C85" s="18" t="str">
        <f>IF($B85="","",IFERROR(INDEX(Vendors!$A$5:$A$100,MATCH($B85,Vendors!$C$5:$C$100,0)),""))</f>
        <v/>
      </c>
      <c r="D85" s="9"/>
      <c r="E85" s="45"/>
      <c r="F85" s="22"/>
      <c r="G85" s="24" t="str">
        <f>IF($F85="","",WORKDAY($F85,Settings!$C$10,HolidayDates))</f>
        <v/>
      </c>
      <c r="H85" s="18" t="str">
        <f>IF($B85="","",IFERROR(INDEX(Vendors!$E$5:$E$100,MATCH($B85,Vendors!$C$5:$C$100,0))&amp;"",""))</f>
        <v/>
      </c>
      <c r="I85" s="18" t="str">
        <f>IF($B85="","",IFERROR(INDEX(Vendors!$F$5:$F$100,MATCH($B85,Vendors!$C$5:$C$100,0))&amp;"",""))</f>
        <v/>
      </c>
      <c r="J85" s="9"/>
    </row>
    <row r="86" spans="1:10" x14ac:dyDescent="0.35">
      <c r="A86" s="22"/>
      <c r="B86" s="9"/>
      <c r="C86" s="18" t="str">
        <f>IF($B86="","",IFERROR(INDEX(Vendors!$A$5:$A$100,MATCH($B86,Vendors!$C$5:$C$100,0)),""))</f>
        <v/>
      </c>
      <c r="D86" s="9"/>
      <c r="E86" s="45"/>
      <c r="F86" s="22"/>
      <c r="G86" s="24" t="str">
        <f>IF($F86="","",WORKDAY($F86,Settings!$C$10,HolidayDates))</f>
        <v/>
      </c>
      <c r="H86" s="18" t="str">
        <f>IF($B86="","",IFERROR(INDEX(Vendors!$E$5:$E$100,MATCH($B86,Vendors!$C$5:$C$100,0))&amp;"",""))</f>
        <v/>
      </c>
      <c r="I86" s="18" t="str">
        <f>IF($B86="","",IFERROR(INDEX(Vendors!$F$5:$F$100,MATCH($B86,Vendors!$C$5:$C$100,0))&amp;"",""))</f>
        <v/>
      </c>
      <c r="J86" s="9"/>
    </row>
    <row r="87" spans="1:10" x14ac:dyDescent="0.35">
      <c r="A87" s="22"/>
      <c r="B87" s="9"/>
      <c r="C87" s="18" t="str">
        <f>IF($B87="","",IFERROR(INDEX(Vendors!$A$5:$A$100,MATCH($B87,Vendors!$C$5:$C$100,0)),""))</f>
        <v/>
      </c>
      <c r="D87" s="9"/>
      <c r="E87" s="45"/>
      <c r="F87" s="22"/>
      <c r="G87" s="24" t="str">
        <f>IF($F87="","",WORKDAY($F87,Settings!$C$10,HolidayDates))</f>
        <v/>
      </c>
      <c r="H87" s="18" t="str">
        <f>IF($B87="","",IFERROR(INDEX(Vendors!$E$5:$E$100,MATCH($B87,Vendors!$C$5:$C$100,0))&amp;"",""))</f>
        <v/>
      </c>
      <c r="I87" s="18" t="str">
        <f>IF($B87="","",IFERROR(INDEX(Vendors!$F$5:$F$100,MATCH($B87,Vendors!$C$5:$C$100,0))&amp;"",""))</f>
        <v/>
      </c>
      <c r="J87" s="9"/>
    </row>
    <row r="88" spans="1:10" x14ac:dyDescent="0.35">
      <c r="A88" s="22"/>
      <c r="B88" s="9"/>
      <c r="C88" s="18" t="str">
        <f>IF($B88="","",IFERROR(INDEX(Vendors!$A$5:$A$100,MATCH($B88,Vendors!$C$5:$C$100,0)),""))</f>
        <v/>
      </c>
      <c r="D88" s="9"/>
      <c r="E88" s="45"/>
      <c r="F88" s="22"/>
      <c r="G88" s="24" t="str">
        <f>IF($F88="","",WORKDAY($F88,Settings!$C$10,HolidayDates))</f>
        <v/>
      </c>
      <c r="H88" s="18" t="str">
        <f>IF($B88="","",IFERROR(INDEX(Vendors!$E$5:$E$100,MATCH($B88,Vendors!$C$5:$C$100,0))&amp;"",""))</f>
        <v/>
      </c>
      <c r="I88" s="18" t="str">
        <f>IF($B88="","",IFERROR(INDEX(Vendors!$F$5:$F$100,MATCH($B88,Vendors!$C$5:$C$100,0))&amp;"",""))</f>
        <v/>
      </c>
      <c r="J88" s="9"/>
    </row>
    <row r="89" spans="1:10" x14ac:dyDescent="0.35">
      <c r="A89" s="22"/>
      <c r="B89" s="9"/>
      <c r="C89" s="18" t="str">
        <f>IF($B89="","",IFERROR(INDEX(Vendors!$A$5:$A$100,MATCH($B89,Vendors!$C$5:$C$100,0)),""))</f>
        <v/>
      </c>
      <c r="D89" s="9"/>
      <c r="E89" s="45"/>
      <c r="F89" s="22"/>
      <c r="G89" s="24" t="str">
        <f>IF($F89="","",WORKDAY($F89,Settings!$C$10,HolidayDates))</f>
        <v/>
      </c>
      <c r="H89" s="18" t="str">
        <f>IF($B89="","",IFERROR(INDEX(Vendors!$E$5:$E$100,MATCH($B89,Vendors!$C$5:$C$100,0))&amp;"",""))</f>
        <v/>
      </c>
      <c r="I89" s="18" t="str">
        <f>IF($B89="","",IFERROR(INDEX(Vendors!$F$5:$F$100,MATCH($B89,Vendors!$C$5:$C$100,0))&amp;"",""))</f>
        <v/>
      </c>
      <c r="J89" s="9"/>
    </row>
    <row r="90" spans="1:10" x14ac:dyDescent="0.35">
      <c r="A90" s="22"/>
      <c r="B90" s="9"/>
      <c r="C90" s="18" t="str">
        <f>IF($B90="","",IFERROR(INDEX(Vendors!$A$5:$A$100,MATCH($B90,Vendors!$C$5:$C$100,0)),""))</f>
        <v/>
      </c>
      <c r="D90" s="9"/>
      <c r="E90" s="45"/>
      <c r="F90" s="22"/>
      <c r="G90" s="24" t="str">
        <f>IF($F90="","",WORKDAY($F90,Settings!$C$10,HolidayDates))</f>
        <v/>
      </c>
      <c r="H90" s="18" t="str">
        <f>IF($B90="","",IFERROR(INDEX(Vendors!$E$5:$E$100,MATCH($B90,Vendors!$C$5:$C$100,0))&amp;"",""))</f>
        <v/>
      </c>
      <c r="I90" s="18" t="str">
        <f>IF($B90="","",IFERROR(INDEX(Vendors!$F$5:$F$100,MATCH($B90,Vendors!$C$5:$C$100,0))&amp;"",""))</f>
        <v/>
      </c>
      <c r="J90" s="9"/>
    </row>
    <row r="91" spans="1:10" x14ac:dyDescent="0.35">
      <c r="A91" s="22"/>
      <c r="B91" s="9"/>
      <c r="C91" s="18" t="str">
        <f>IF($B91="","",IFERROR(INDEX(Vendors!$A$5:$A$100,MATCH($B91,Vendors!$C$5:$C$100,0)),""))</f>
        <v/>
      </c>
      <c r="D91" s="9"/>
      <c r="E91" s="45"/>
      <c r="F91" s="22"/>
      <c r="G91" s="24" t="str">
        <f>IF($F91="","",WORKDAY($F91,Settings!$C$10,HolidayDates))</f>
        <v/>
      </c>
      <c r="H91" s="18" t="str">
        <f>IF($B91="","",IFERROR(INDEX(Vendors!$E$5:$E$100,MATCH($B91,Vendors!$C$5:$C$100,0))&amp;"",""))</f>
        <v/>
      </c>
      <c r="I91" s="18" t="str">
        <f>IF($B91="","",IFERROR(INDEX(Vendors!$F$5:$F$100,MATCH($B91,Vendors!$C$5:$C$100,0))&amp;"",""))</f>
        <v/>
      </c>
      <c r="J91" s="9"/>
    </row>
    <row r="92" spans="1:10" x14ac:dyDescent="0.35">
      <c r="A92" s="22"/>
      <c r="B92" s="9"/>
      <c r="C92" s="18" t="str">
        <f>IF($B92="","",IFERROR(INDEX(Vendors!$A$5:$A$100,MATCH($B92,Vendors!$C$5:$C$100,0)),""))</f>
        <v/>
      </c>
      <c r="D92" s="9"/>
      <c r="E92" s="45"/>
      <c r="F92" s="22"/>
      <c r="G92" s="24" t="str">
        <f>IF($F92="","",WORKDAY($F92,Settings!$C$10,HolidayDates))</f>
        <v/>
      </c>
      <c r="H92" s="18" t="str">
        <f>IF($B92="","",IFERROR(INDEX(Vendors!$E$5:$E$100,MATCH($B92,Vendors!$C$5:$C$100,0))&amp;"",""))</f>
        <v/>
      </c>
      <c r="I92" s="18" t="str">
        <f>IF($B92="","",IFERROR(INDEX(Vendors!$F$5:$F$100,MATCH($B92,Vendors!$C$5:$C$100,0))&amp;"",""))</f>
        <v/>
      </c>
      <c r="J92" s="9"/>
    </row>
    <row r="93" spans="1:10" x14ac:dyDescent="0.35">
      <c r="A93" s="22"/>
      <c r="B93" s="9"/>
      <c r="C93" s="18" t="str">
        <f>IF($B93="","",IFERROR(INDEX(Vendors!$A$5:$A$100,MATCH($B93,Vendors!$C$5:$C$100,0)),""))</f>
        <v/>
      </c>
      <c r="D93" s="9"/>
      <c r="E93" s="45"/>
      <c r="F93" s="22"/>
      <c r="G93" s="24" t="str">
        <f>IF($F93="","",WORKDAY($F93,Settings!$C$10,HolidayDates))</f>
        <v/>
      </c>
      <c r="H93" s="18" t="str">
        <f>IF($B93="","",IFERROR(INDEX(Vendors!$E$5:$E$100,MATCH($B93,Vendors!$C$5:$C$100,0))&amp;"",""))</f>
        <v/>
      </c>
      <c r="I93" s="18" t="str">
        <f>IF($B93="","",IFERROR(INDEX(Vendors!$F$5:$F$100,MATCH($B93,Vendors!$C$5:$C$100,0))&amp;"",""))</f>
        <v/>
      </c>
      <c r="J93" s="9"/>
    </row>
    <row r="94" spans="1:10" x14ac:dyDescent="0.35">
      <c r="A94" s="22"/>
      <c r="B94" s="9"/>
      <c r="C94" s="18" t="str">
        <f>IF($B94="","",IFERROR(INDEX(Vendors!$A$5:$A$100,MATCH($B94,Vendors!$C$5:$C$100,0)),""))</f>
        <v/>
      </c>
      <c r="D94" s="9"/>
      <c r="E94" s="45"/>
      <c r="F94" s="22"/>
      <c r="G94" s="24" t="str">
        <f>IF($F94="","",WORKDAY($F94,Settings!$C$10,HolidayDates))</f>
        <v/>
      </c>
      <c r="H94" s="18" t="str">
        <f>IF($B94="","",IFERROR(INDEX(Vendors!$E$5:$E$100,MATCH($B94,Vendors!$C$5:$C$100,0))&amp;"",""))</f>
        <v/>
      </c>
      <c r="I94" s="18" t="str">
        <f>IF($B94="","",IFERROR(INDEX(Vendors!$F$5:$F$100,MATCH($B94,Vendors!$C$5:$C$100,0))&amp;"",""))</f>
        <v/>
      </c>
      <c r="J94" s="9"/>
    </row>
    <row r="95" spans="1:10" x14ac:dyDescent="0.35">
      <c r="A95" s="22"/>
      <c r="B95" s="9"/>
      <c r="C95" s="18" t="str">
        <f>IF($B95="","",IFERROR(INDEX(Vendors!$A$5:$A$100,MATCH($B95,Vendors!$C$5:$C$100,0)),""))</f>
        <v/>
      </c>
      <c r="D95" s="9"/>
      <c r="E95" s="45"/>
      <c r="F95" s="22"/>
      <c r="G95" s="24" t="str">
        <f>IF($F95="","",WORKDAY($F95,Settings!$C$10,HolidayDates))</f>
        <v/>
      </c>
      <c r="H95" s="18" t="str">
        <f>IF($B95="","",IFERROR(INDEX(Vendors!$E$5:$E$100,MATCH($B95,Vendors!$C$5:$C$100,0))&amp;"",""))</f>
        <v/>
      </c>
      <c r="I95" s="18" t="str">
        <f>IF($B95="","",IFERROR(INDEX(Vendors!$F$5:$F$100,MATCH($B95,Vendors!$C$5:$C$100,0))&amp;"",""))</f>
        <v/>
      </c>
      <c r="J95" s="9"/>
    </row>
    <row r="96" spans="1:10" x14ac:dyDescent="0.35">
      <c r="A96" s="22"/>
      <c r="B96" s="9"/>
      <c r="C96" s="18" t="str">
        <f>IF($B96="","",IFERROR(INDEX(Vendors!$A$5:$A$100,MATCH($B96,Vendors!$C$5:$C$100,0)),""))</f>
        <v/>
      </c>
      <c r="D96" s="9"/>
      <c r="E96" s="45"/>
      <c r="F96" s="22"/>
      <c r="G96" s="24" t="str">
        <f>IF($F96="","",WORKDAY($F96,Settings!$C$10,HolidayDates))</f>
        <v/>
      </c>
      <c r="H96" s="18" t="str">
        <f>IF($B96="","",IFERROR(INDEX(Vendors!$E$5:$E$100,MATCH($B96,Vendors!$C$5:$C$100,0))&amp;"",""))</f>
        <v/>
      </c>
      <c r="I96" s="18" t="str">
        <f>IF($B96="","",IFERROR(INDEX(Vendors!$F$5:$F$100,MATCH($B96,Vendors!$C$5:$C$100,0))&amp;"",""))</f>
        <v/>
      </c>
      <c r="J96" s="9"/>
    </row>
    <row r="97" spans="1:10" x14ac:dyDescent="0.35">
      <c r="A97" s="22"/>
      <c r="B97" s="9"/>
      <c r="C97" s="18" t="str">
        <f>IF($B97="","",IFERROR(INDEX(Vendors!$A$5:$A$100,MATCH($B97,Vendors!$C$5:$C$100,0)),""))</f>
        <v/>
      </c>
      <c r="D97" s="9"/>
      <c r="E97" s="45"/>
      <c r="F97" s="22"/>
      <c r="G97" s="24" t="str">
        <f>IF($F97="","",WORKDAY($F97,Settings!$C$10,HolidayDates))</f>
        <v/>
      </c>
      <c r="H97" s="18" t="str">
        <f>IF($B97="","",IFERROR(INDEX(Vendors!$E$5:$E$100,MATCH($B97,Vendors!$C$5:$C$100,0))&amp;"",""))</f>
        <v/>
      </c>
      <c r="I97" s="18" t="str">
        <f>IF($B97="","",IFERROR(INDEX(Vendors!$F$5:$F$100,MATCH($B97,Vendors!$C$5:$C$100,0))&amp;"",""))</f>
        <v/>
      </c>
      <c r="J97" s="9"/>
    </row>
    <row r="98" spans="1:10" x14ac:dyDescent="0.35">
      <c r="A98" s="22"/>
      <c r="B98" s="9"/>
      <c r="C98" s="18" t="str">
        <f>IF($B98="","",IFERROR(INDEX(Vendors!$A$5:$A$100,MATCH($B98,Vendors!$C$5:$C$100,0)),""))</f>
        <v/>
      </c>
      <c r="D98" s="9"/>
      <c r="E98" s="45"/>
      <c r="F98" s="22"/>
      <c r="G98" s="24" t="str">
        <f>IF($F98="","",WORKDAY($F98,Settings!$C$10,HolidayDates))</f>
        <v/>
      </c>
      <c r="H98" s="18" t="str">
        <f>IF($B98="","",IFERROR(INDEX(Vendors!$E$5:$E$100,MATCH($B98,Vendors!$C$5:$C$100,0))&amp;"",""))</f>
        <v/>
      </c>
      <c r="I98" s="18" t="str">
        <f>IF($B98="","",IFERROR(INDEX(Vendors!$F$5:$F$100,MATCH($B98,Vendors!$C$5:$C$100,0))&amp;"",""))</f>
        <v/>
      </c>
      <c r="J98" s="9"/>
    </row>
    <row r="99" spans="1:10" x14ac:dyDescent="0.35">
      <c r="A99" s="22"/>
      <c r="B99" s="9"/>
      <c r="C99" s="18" t="str">
        <f>IF($B99="","",IFERROR(INDEX(Vendors!$A$5:$A$100,MATCH($B99,Vendors!$C$5:$C$100,0)),""))</f>
        <v/>
      </c>
      <c r="D99" s="9"/>
      <c r="E99" s="45"/>
      <c r="F99" s="22"/>
      <c r="G99" s="24" t="str">
        <f>IF($F99="","",WORKDAY($F99,Settings!$C$10,HolidayDates))</f>
        <v/>
      </c>
      <c r="H99" s="18" t="str">
        <f>IF($B99="","",IFERROR(INDEX(Vendors!$E$5:$E$100,MATCH($B99,Vendors!$C$5:$C$100,0))&amp;"",""))</f>
        <v/>
      </c>
      <c r="I99" s="18" t="str">
        <f>IF($B99="","",IFERROR(INDEX(Vendors!$F$5:$F$100,MATCH($B99,Vendors!$C$5:$C$100,0))&amp;"",""))</f>
        <v/>
      </c>
      <c r="J99" s="9"/>
    </row>
    <row r="100" spans="1:10" x14ac:dyDescent="0.35">
      <c r="A100" s="22"/>
      <c r="B100" s="9"/>
      <c r="C100" s="18" t="str">
        <f>IF($B100="","",IFERROR(INDEX(Vendors!$A$5:$A$100,MATCH($B100,Vendors!$C$5:$C$100,0)),""))</f>
        <v/>
      </c>
      <c r="D100" s="9"/>
      <c r="E100" s="45"/>
      <c r="F100" s="22"/>
      <c r="G100" s="24" t="str">
        <f>IF($F100="","",WORKDAY($F100,Settings!$C$10,HolidayDates))</f>
        <v/>
      </c>
      <c r="H100" s="18" t="str">
        <f>IF($B100="","",IFERROR(INDEX(Vendors!$E$5:$E$100,MATCH($B100,Vendors!$C$5:$C$100,0))&amp;"",""))</f>
        <v/>
      </c>
      <c r="I100" s="18" t="str">
        <f>IF($B100="","",IFERROR(INDEX(Vendors!$F$5:$F$100,MATCH($B100,Vendors!$C$5:$C$100,0))&amp;"",""))</f>
        <v/>
      </c>
      <c r="J100" s="9"/>
    </row>
    <row r="101" spans="1:10" x14ac:dyDescent="0.35">
      <c r="A101" s="22"/>
      <c r="B101" s="9"/>
      <c r="C101" s="18" t="str">
        <f>IF($B101="","",IFERROR(INDEX(Vendors!$A$5:$A$100,MATCH($B101,Vendors!$C$5:$C$100,0)),""))</f>
        <v/>
      </c>
      <c r="D101" s="9"/>
      <c r="E101" s="45"/>
      <c r="F101" s="22"/>
      <c r="G101" s="24" t="str">
        <f>IF($F101="","",WORKDAY($F101,Settings!$C$10,HolidayDates))</f>
        <v/>
      </c>
      <c r="H101" s="18" t="str">
        <f>IF($B101="","",IFERROR(INDEX(Vendors!$E$5:$E$100,MATCH($B101,Vendors!$C$5:$C$100,0))&amp;"",""))</f>
        <v/>
      </c>
      <c r="I101" s="18" t="str">
        <f>IF($B101="","",IFERROR(INDEX(Vendors!$F$5:$F$100,MATCH($B101,Vendors!$C$5:$C$100,0))&amp;"",""))</f>
        <v/>
      </c>
      <c r="J101" s="9"/>
    </row>
    <row r="102" spans="1:10" x14ac:dyDescent="0.35">
      <c r="A102" s="22"/>
      <c r="B102" s="9"/>
      <c r="C102" s="18" t="str">
        <f>IF($B102="","",IFERROR(INDEX(Vendors!$A$5:$A$100,MATCH($B102,Vendors!$C$5:$C$100,0)),""))</f>
        <v/>
      </c>
      <c r="D102" s="9"/>
      <c r="E102" s="45"/>
      <c r="F102" s="22"/>
      <c r="G102" s="24" t="str">
        <f>IF($F102="","",WORKDAY($F102,Settings!$C$10,HolidayDates))</f>
        <v/>
      </c>
      <c r="H102" s="18" t="str">
        <f>IF($B102="","",IFERROR(INDEX(Vendors!$E$5:$E$100,MATCH($B102,Vendors!$C$5:$C$100,0))&amp;"",""))</f>
        <v/>
      </c>
      <c r="I102" s="18" t="str">
        <f>IF($B102="","",IFERROR(INDEX(Vendors!$F$5:$F$100,MATCH($B102,Vendors!$C$5:$C$100,0))&amp;"",""))</f>
        <v/>
      </c>
      <c r="J102" s="9"/>
    </row>
    <row r="103" spans="1:10" x14ac:dyDescent="0.35">
      <c r="A103" s="22"/>
      <c r="B103" s="9"/>
      <c r="C103" s="18" t="str">
        <f>IF($B103="","",IFERROR(INDEX(Vendors!$A$5:$A$100,MATCH($B103,Vendors!$C$5:$C$100,0)),""))</f>
        <v/>
      </c>
      <c r="D103" s="9"/>
      <c r="E103" s="45"/>
      <c r="F103" s="22"/>
      <c r="G103" s="24" t="str">
        <f>IF($F103="","",WORKDAY($F103,Settings!$C$10,HolidayDates))</f>
        <v/>
      </c>
      <c r="H103" s="18" t="str">
        <f>IF($B103="","",IFERROR(INDEX(Vendors!$E$5:$E$100,MATCH($B103,Vendors!$C$5:$C$100,0))&amp;"",""))</f>
        <v/>
      </c>
      <c r="I103" s="18" t="str">
        <f>IF($B103="","",IFERROR(INDEX(Vendors!$F$5:$F$100,MATCH($B103,Vendors!$C$5:$C$100,0))&amp;"",""))</f>
        <v/>
      </c>
      <c r="J103" s="9"/>
    </row>
    <row r="104" spans="1:10" x14ac:dyDescent="0.35">
      <c r="A104" s="22"/>
      <c r="B104" s="9"/>
      <c r="C104" s="18" t="str">
        <f>IF($B104="","",IFERROR(INDEX(Vendors!$A$5:$A$100,MATCH($B104,Vendors!$C$5:$C$100,0)),""))</f>
        <v/>
      </c>
      <c r="D104" s="9"/>
      <c r="E104" s="45"/>
      <c r="F104" s="22"/>
      <c r="G104" s="24" t="str">
        <f>IF($F104="","",WORKDAY($F104,Settings!$C$10,HolidayDates))</f>
        <v/>
      </c>
      <c r="H104" s="18" t="str">
        <f>IF($B104="","",IFERROR(INDEX(Vendors!$E$5:$E$100,MATCH($B104,Vendors!$C$5:$C$100,0))&amp;"",""))</f>
        <v/>
      </c>
      <c r="I104" s="18" t="str">
        <f>IF($B104="","",IFERROR(INDEX(Vendors!$F$5:$F$100,MATCH($B104,Vendors!$C$5:$C$100,0))&amp;"",""))</f>
        <v/>
      </c>
      <c r="J104" s="9"/>
    </row>
    <row r="105" spans="1:10" x14ac:dyDescent="0.35">
      <c r="A105" s="22"/>
      <c r="B105" s="9"/>
      <c r="C105" s="18" t="str">
        <f>IF($B105="","",IFERROR(INDEX(Vendors!$A$5:$A$100,MATCH($B105,Vendors!$C$5:$C$100,0)),""))</f>
        <v/>
      </c>
      <c r="D105" s="9"/>
      <c r="E105" s="45"/>
      <c r="F105" s="22"/>
      <c r="G105" s="24" t="str">
        <f>IF($F105="","",WORKDAY($F105,Settings!$C$10,HolidayDates))</f>
        <v/>
      </c>
      <c r="H105" s="18" t="str">
        <f>IF($B105="","",IFERROR(INDEX(Vendors!$E$5:$E$100,MATCH($B105,Vendors!$C$5:$C$100,0))&amp;"",""))</f>
        <v/>
      </c>
      <c r="I105" s="18" t="str">
        <f>IF($B105="","",IFERROR(INDEX(Vendors!$F$5:$F$100,MATCH($B105,Vendors!$C$5:$C$100,0))&amp;"",""))</f>
        <v/>
      </c>
      <c r="J105" s="9"/>
    </row>
    <row r="106" spans="1:10" x14ac:dyDescent="0.35">
      <c r="A106" s="22"/>
      <c r="B106" s="9"/>
      <c r="C106" s="18" t="str">
        <f>IF($B106="","",IFERROR(INDEX(Vendors!$A$5:$A$100,MATCH($B106,Vendors!$C$5:$C$100,0)),""))</f>
        <v/>
      </c>
      <c r="D106" s="9"/>
      <c r="E106" s="45"/>
      <c r="F106" s="22"/>
      <c r="G106" s="24" t="str">
        <f>IF($F106="","",WORKDAY($F106,Settings!$C$10,HolidayDates))</f>
        <v/>
      </c>
      <c r="H106" s="18" t="str">
        <f>IF($B106="","",IFERROR(INDEX(Vendors!$E$5:$E$100,MATCH($B106,Vendors!$C$5:$C$100,0))&amp;"",""))</f>
        <v/>
      </c>
      <c r="I106" s="18" t="str">
        <f>IF($B106="","",IFERROR(INDEX(Vendors!$F$5:$F$100,MATCH($B106,Vendors!$C$5:$C$100,0))&amp;"",""))</f>
        <v/>
      </c>
      <c r="J106" s="9"/>
    </row>
    <row r="107" spans="1:10" x14ac:dyDescent="0.35">
      <c r="A107" s="22"/>
      <c r="B107" s="9"/>
      <c r="C107" s="18" t="str">
        <f>IF($B107="","",IFERROR(INDEX(Vendors!$A$5:$A$100,MATCH($B107,Vendors!$C$5:$C$100,0)),""))</f>
        <v/>
      </c>
      <c r="D107" s="9"/>
      <c r="E107" s="45"/>
      <c r="F107" s="22"/>
      <c r="G107" s="24" t="str">
        <f>IF($F107="","",WORKDAY($F107,Settings!$C$10,HolidayDates))</f>
        <v/>
      </c>
      <c r="H107" s="18" t="str">
        <f>IF($B107="","",IFERROR(INDEX(Vendors!$E$5:$E$100,MATCH($B107,Vendors!$C$5:$C$100,0))&amp;"",""))</f>
        <v/>
      </c>
      <c r="I107" s="18" t="str">
        <f>IF($B107="","",IFERROR(INDEX(Vendors!$F$5:$F$100,MATCH($B107,Vendors!$C$5:$C$100,0))&amp;"",""))</f>
        <v/>
      </c>
      <c r="J107" s="9"/>
    </row>
    <row r="108" spans="1:10" x14ac:dyDescent="0.35">
      <c r="A108" s="22"/>
      <c r="B108" s="9"/>
      <c r="C108" s="18" t="str">
        <f>IF($B108="","",IFERROR(INDEX(Vendors!$A$5:$A$100,MATCH($B108,Vendors!$C$5:$C$100,0)),""))</f>
        <v/>
      </c>
      <c r="D108" s="9"/>
      <c r="E108" s="45"/>
      <c r="F108" s="22"/>
      <c r="G108" s="24" t="str">
        <f>IF($F108="","",WORKDAY($F108,Settings!$C$10,HolidayDates))</f>
        <v/>
      </c>
      <c r="H108" s="18" t="str">
        <f>IF($B108="","",IFERROR(INDEX(Vendors!$E$5:$E$100,MATCH($B108,Vendors!$C$5:$C$100,0))&amp;"",""))</f>
        <v/>
      </c>
      <c r="I108" s="18" t="str">
        <f>IF($B108="","",IFERROR(INDEX(Vendors!$F$5:$F$100,MATCH($B108,Vendors!$C$5:$C$100,0))&amp;"",""))</f>
        <v/>
      </c>
      <c r="J108" s="9"/>
    </row>
    <row r="109" spans="1:10" x14ac:dyDescent="0.35">
      <c r="A109" s="22"/>
      <c r="B109" s="9"/>
      <c r="C109" s="18" t="str">
        <f>IF($B109="","",IFERROR(INDEX(Vendors!$A$5:$A$100,MATCH($B109,Vendors!$C$5:$C$100,0)),""))</f>
        <v/>
      </c>
      <c r="D109" s="9"/>
      <c r="E109" s="45"/>
      <c r="F109" s="22"/>
      <c r="G109" s="24" t="str">
        <f>IF($F109="","",WORKDAY($F109,Settings!$C$10,HolidayDates))</f>
        <v/>
      </c>
      <c r="H109" s="18" t="str">
        <f>IF($B109="","",IFERROR(INDEX(Vendors!$E$5:$E$100,MATCH($B109,Vendors!$C$5:$C$100,0))&amp;"",""))</f>
        <v/>
      </c>
      <c r="I109" s="18" t="str">
        <f>IF($B109="","",IFERROR(INDEX(Vendors!$F$5:$F$100,MATCH($B109,Vendors!$C$5:$C$100,0))&amp;"",""))</f>
        <v/>
      </c>
      <c r="J109" s="9"/>
    </row>
    <row r="110" spans="1:10" x14ac:dyDescent="0.35">
      <c r="A110" s="22"/>
      <c r="B110" s="9"/>
      <c r="C110" s="18" t="str">
        <f>IF($B110="","",IFERROR(INDEX(Vendors!$A$5:$A$100,MATCH($B110,Vendors!$C$5:$C$100,0)),""))</f>
        <v/>
      </c>
      <c r="D110" s="9"/>
      <c r="E110" s="45"/>
      <c r="F110" s="22"/>
      <c r="G110" s="24" t="str">
        <f>IF($F110="","",WORKDAY($F110,Settings!$C$10,HolidayDates))</f>
        <v/>
      </c>
      <c r="H110" s="18" t="str">
        <f>IF($B110="","",IFERROR(INDEX(Vendors!$E$5:$E$100,MATCH($B110,Vendors!$C$5:$C$100,0))&amp;"",""))</f>
        <v/>
      </c>
      <c r="I110" s="18" t="str">
        <f>IF($B110="","",IFERROR(INDEX(Vendors!$F$5:$F$100,MATCH($B110,Vendors!$C$5:$C$100,0))&amp;"",""))</f>
        <v/>
      </c>
      <c r="J110" s="9"/>
    </row>
    <row r="111" spans="1:10" x14ac:dyDescent="0.35">
      <c r="A111" s="22"/>
      <c r="B111" s="9"/>
      <c r="C111" s="18" t="str">
        <f>IF($B111="","",IFERROR(INDEX(Vendors!$A$5:$A$100,MATCH($B111,Vendors!$C$5:$C$100,0)),""))</f>
        <v/>
      </c>
      <c r="D111" s="9"/>
      <c r="E111" s="45"/>
      <c r="F111" s="22"/>
      <c r="G111" s="24" t="str">
        <f>IF($F111="","",WORKDAY($F111,Settings!$C$10,HolidayDates))</f>
        <v/>
      </c>
      <c r="H111" s="18" t="str">
        <f>IF($B111="","",IFERROR(INDEX(Vendors!$E$5:$E$100,MATCH($B111,Vendors!$C$5:$C$100,0))&amp;"",""))</f>
        <v/>
      </c>
      <c r="I111" s="18" t="str">
        <f>IF($B111="","",IFERROR(INDEX(Vendors!$F$5:$F$100,MATCH($B111,Vendors!$C$5:$C$100,0))&amp;"",""))</f>
        <v/>
      </c>
      <c r="J111" s="9"/>
    </row>
    <row r="112" spans="1:10" x14ac:dyDescent="0.35">
      <c r="A112" s="22"/>
      <c r="B112" s="9"/>
      <c r="C112" s="18" t="str">
        <f>IF($B112="","",IFERROR(INDEX(Vendors!$A$5:$A$100,MATCH($B112,Vendors!$C$5:$C$100,0)),""))</f>
        <v/>
      </c>
      <c r="D112" s="9"/>
      <c r="E112" s="45"/>
      <c r="F112" s="22"/>
      <c r="G112" s="24" t="str">
        <f>IF($F112="","",WORKDAY($F112,Settings!$C$10,HolidayDates))</f>
        <v/>
      </c>
      <c r="H112" s="18" t="str">
        <f>IF($B112="","",IFERROR(INDEX(Vendors!$E$5:$E$100,MATCH($B112,Vendors!$C$5:$C$100,0))&amp;"",""))</f>
        <v/>
      </c>
      <c r="I112" s="18" t="str">
        <f>IF($B112="","",IFERROR(INDEX(Vendors!$F$5:$F$100,MATCH($B112,Vendors!$C$5:$C$100,0))&amp;"",""))</f>
        <v/>
      </c>
      <c r="J112" s="9"/>
    </row>
    <row r="113" spans="1:10" x14ac:dyDescent="0.35">
      <c r="A113" s="22"/>
      <c r="B113" s="9"/>
      <c r="C113" s="18" t="str">
        <f>IF($B113="","",IFERROR(INDEX(Vendors!$A$5:$A$100,MATCH($B113,Vendors!$C$5:$C$100,0)),""))</f>
        <v/>
      </c>
      <c r="D113" s="9"/>
      <c r="E113" s="45"/>
      <c r="F113" s="22"/>
      <c r="G113" s="24" t="str">
        <f>IF($F113="","",WORKDAY($F113,Settings!$C$10,HolidayDates))</f>
        <v/>
      </c>
      <c r="H113" s="18" t="str">
        <f>IF($B113="","",IFERROR(INDEX(Vendors!$E$5:$E$100,MATCH($B113,Vendors!$C$5:$C$100,0))&amp;"",""))</f>
        <v/>
      </c>
      <c r="I113" s="18" t="str">
        <f>IF($B113="","",IFERROR(INDEX(Vendors!$F$5:$F$100,MATCH($B113,Vendors!$C$5:$C$100,0))&amp;"",""))</f>
        <v/>
      </c>
      <c r="J113" s="9"/>
    </row>
    <row r="114" spans="1:10" x14ac:dyDescent="0.35">
      <c r="A114" s="22"/>
      <c r="B114" s="9"/>
      <c r="C114" s="18" t="str">
        <f>IF($B114="","",IFERROR(INDEX(Vendors!$A$5:$A$100,MATCH($B114,Vendors!$C$5:$C$100,0)),""))</f>
        <v/>
      </c>
      <c r="D114" s="9"/>
      <c r="E114" s="45"/>
      <c r="F114" s="22"/>
      <c r="G114" s="24" t="str">
        <f>IF($F114="","",WORKDAY($F114,Settings!$C$10,HolidayDates))</f>
        <v/>
      </c>
      <c r="H114" s="18" t="str">
        <f>IF($B114="","",IFERROR(INDEX(Vendors!$E$5:$E$100,MATCH($B114,Vendors!$C$5:$C$100,0))&amp;"",""))</f>
        <v/>
      </c>
      <c r="I114" s="18" t="str">
        <f>IF($B114="","",IFERROR(INDEX(Vendors!$F$5:$F$100,MATCH($B114,Vendors!$C$5:$C$100,0))&amp;"",""))</f>
        <v/>
      </c>
      <c r="J114" s="9"/>
    </row>
    <row r="115" spans="1:10" x14ac:dyDescent="0.35">
      <c r="A115" s="22"/>
      <c r="B115" s="9"/>
      <c r="C115" s="18" t="str">
        <f>IF($B115="","",IFERROR(INDEX(Vendors!$A$5:$A$100,MATCH($B115,Vendors!$C$5:$C$100,0)),""))</f>
        <v/>
      </c>
      <c r="D115" s="9"/>
      <c r="E115" s="45"/>
      <c r="F115" s="22"/>
      <c r="G115" s="24" t="str">
        <f>IF($F115="","",WORKDAY($F115,Settings!$C$10,HolidayDates))</f>
        <v/>
      </c>
      <c r="H115" s="18" t="str">
        <f>IF($B115="","",IFERROR(INDEX(Vendors!$E$5:$E$100,MATCH($B115,Vendors!$C$5:$C$100,0))&amp;"",""))</f>
        <v/>
      </c>
      <c r="I115" s="18" t="str">
        <f>IF($B115="","",IFERROR(INDEX(Vendors!$F$5:$F$100,MATCH($B115,Vendors!$C$5:$C$100,0))&amp;"",""))</f>
        <v/>
      </c>
      <c r="J115" s="9"/>
    </row>
    <row r="116" spans="1:10" x14ac:dyDescent="0.35">
      <c r="A116" s="22"/>
      <c r="B116" s="9"/>
      <c r="C116" s="18" t="str">
        <f>IF($B116="","",IFERROR(INDEX(Vendors!$A$5:$A$100,MATCH($B116,Vendors!$C$5:$C$100,0)),""))</f>
        <v/>
      </c>
      <c r="D116" s="9"/>
      <c r="E116" s="45"/>
      <c r="F116" s="22"/>
      <c r="G116" s="24" t="str">
        <f>IF($F116="","",WORKDAY($F116,Settings!$C$10,HolidayDates))</f>
        <v/>
      </c>
      <c r="H116" s="18" t="str">
        <f>IF($B116="","",IFERROR(INDEX(Vendors!$E$5:$E$100,MATCH($B116,Vendors!$C$5:$C$100,0))&amp;"",""))</f>
        <v/>
      </c>
      <c r="I116" s="18" t="str">
        <f>IF($B116="","",IFERROR(INDEX(Vendors!$F$5:$F$100,MATCH($B116,Vendors!$C$5:$C$100,0))&amp;"",""))</f>
        <v/>
      </c>
      <c r="J116" s="9"/>
    </row>
    <row r="117" spans="1:10" x14ac:dyDescent="0.35">
      <c r="A117" s="22"/>
      <c r="B117" s="9"/>
      <c r="C117" s="18" t="str">
        <f>IF($B117="","",IFERROR(INDEX(Vendors!$A$5:$A$100,MATCH($B117,Vendors!$C$5:$C$100,0)),""))</f>
        <v/>
      </c>
      <c r="D117" s="9"/>
      <c r="E117" s="45"/>
      <c r="F117" s="22"/>
      <c r="G117" s="24" t="str">
        <f>IF($F117="","",WORKDAY($F117,Settings!$C$10,HolidayDates))</f>
        <v/>
      </c>
      <c r="H117" s="18" t="str">
        <f>IF($B117="","",IFERROR(INDEX(Vendors!$E$5:$E$100,MATCH($B117,Vendors!$C$5:$C$100,0))&amp;"",""))</f>
        <v/>
      </c>
      <c r="I117" s="18" t="str">
        <f>IF($B117="","",IFERROR(INDEX(Vendors!$F$5:$F$100,MATCH($B117,Vendors!$C$5:$C$100,0))&amp;"",""))</f>
        <v/>
      </c>
      <c r="J117" s="9"/>
    </row>
    <row r="118" spans="1:10" x14ac:dyDescent="0.35">
      <c r="A118" s="22"/>
      <c r="B118" s="9"/>
      <c r="C118" s="18" t="str">
        <f>IF($B118="","",IFERROR(INDEX(Vendors!$A$5:$A$100,MATCH($B118,Vendors!$C$5:$C$100,0)),""))</f>
        <v/>
      </c>
      <c r="D118" s="9"/>
      <c r="E118" s="45"/>
      <c r="F118" s="22"/>
      <c r="G118" s="24" t="str">
        <f>IF($F118="","",WORKDAY($F118,Settings!$C$10,HolidayDates))</f>
        <v/>
      </c>
      <c r="H118" s="18" t="str">
        <f>IF($B118="","",IFERROR(INDEX(Vendors!$E$5:$E$100,MATCH($B118,Vendors!$C$5:$C$100,0))&amp;"",""))</f>
        <v/>
      </c>
      <c r="I118" s="18" t="str">
        <f>IF($B118="","",IFERROR(INDEX(Vendors!$F$5:$F$100,MATCH($B118,Vendors!$C$5:$C$100,0))&amp;"",""))</f>
        <v/>
      </c>
      <c r="J118" s="9"/>
    </row>
    <row r="119" spans="1:10" x14ac:dyDescent="0.35">
      <c r="A119" s="22"/>
      <c r="B119" s="9"/>
      <c r="C119" s="18" t="str">
        <f>IF($B119="","",IFERROR(INDEX(Vendors!$A$5:$A$100,MATCH($B119,Vendors!$C$5:$C$100,0)),""))</f>
        <v/>
      </c>
      <c r="D119" s="9"/>
      <c r="E119" s="45"/>
      <c r="F119" s="22"/>
      <c r="G119" s="24" t="str">
        <f>IF($F119="","",WORKDAY($F119,Settings!$C$10,HolidayDates))</f>
        <v/>
      </c>
      <c r="H119" s="18" t="str">
        <f>IF($B119="","",IFERROR(INDEX(Vendors!$E$5:$E$100,MATCH($B119,Vendors!$C$5:$C$100,0))&amp;"",""))</f>
        <v/>
      </c>
      <c r="I119" s="18" t="str">
        <f>IF($B119="","",IFERROR(INDEX(Vendors!$F$5:$F$100,MATCH($B119,Vendors!$C$5:$C$100,0))&amp;"",""))</f>
        <v/>
      </c>
      <c r="J119" s="9"/>
    </row>
    <row r="120" spans="1:10" x14ac:dyDescent="0.35">
      <c r="A120" s="22"/>
      <c r="B120" s="9"/>
      <c r="C120" s="18" t="str">
        <f>IF($B120="","",IFERROR(INDEX(Vendors!$A$5:$A$100,MATCH($B120,Vendors!$C$5:$C$100,0)),""))</f>
        <v/>
      </c>
      <c r="D120" s="9"/>
      <c r="E120" s="45"/>
      <c r="F120" s="22"/>
      <c r="G120" s="24" t="str">
        <f>IF($F120="","",WORKDAY($F120,Settings!$C$10,HolidayDates))</f>
        <v/>
      </c>
      <c r="H120" s="18" t="str">
        <f>IF($B120="","",IFERROR(INDEX(Vendors!$E$5:$E$100,MATCH($B120,Vendors!$C$5:$C$100,0))&amp;"",""))</f>
        <v/>
      </c>
      <c r="I120" s="18" t="str">
        <f>IF($B120="","",IFERROR(INDEX(Vendors!$F$5:$F$100,MATCH($B120,Vendors!$C$5:$C$100,0))&amp;"",""))</f>
        <v/>
      </c>
      <c r="J120" s="9"/>
    </row>
    <row r="121" spans="1:10" x14ac:dyDescent="0.35">
      <c r="A121" s="22"/>
      <c r="B121" s="9"/>
      <c r="C121" s="18" t="str">
        <f>IF($B121="","",IFERROR(INDEX(Vendors!$A$5:$A$100,MATCH($B121,Vendors!$C$5:$C$100,0)),""))</f>
        <v/>
      </c>
      <c r="D121" s="9"/>
      <c r="E121" s="45"/>
      <c r="F121" s="22"/>
      <c r="G121" s="24" t="str">
        <f>IF($F121="","",WORKDAY($F121,Settings!$C$10,HolidayDates))</f>
        <v/>
      </c>
      <c r="H121" s="18" t="str">
        <f>IF($B121="","",IFERROR(INDEX(Vendors!$E$5:$E$100,MATCH($B121,Vendors!$C$5:$C$100,0))&amp;"",""))</f>
        <v/>
      </c>
      <c r="I121" s="18" t="str">
        <f>IF($B121="","",IFERROR(INDEX(Vendors!$F$5:$F$100,MATCH($B121,Vendors!$C$5:$C$100,0))&amp;"",""))</f>
        <v/>
      </c>
      <c r="J121" s="9"/>
    </row>
    <row r="122" spans="1:10" x14ac:dyDescent="0.35">
      <c r="A122" s="22"/>
      <c r="B122" s="9"/>
      <c r="C122" s="18" t="str">
        <f>IF($B122="","",IFERROR(INDEX(Vendors!$A$5:$A$100,MATCH($B122,Vendors!$C$5:$C$100,0)),""))</f>
        <v/>
      </c>
      <c r="D122" s="9"/>
      <c r="E122" s="45"/>
      <c r="F122" s="22"/>
      <c r="G122" s="24" t="str">
        <f>IF($F122="","",WORKDAY($F122,Settings!$C$10,HolidayDates))</f>
        <v/>
      </c>
      <c r="H122" s="18" t="str">
        <f>IF($B122="","",IFERROR(INDEX(Vendors!$E$5:$E$100,MATCH($B122,Vendors!$C$5:$C$100,0))&amp;"",""))</f>
        <v/>
      </c>
      <c r="I122" s="18" t="str">
        <f>IF($B122="","",IFERROR(INDEX(Vendors!$F$5:$F$100,MATCH($B122,Vendors!$C$5:$C$100,0))&amp;"",""))</f>
        <v/>
      </c>
      <c r="J122" s="9"/>
    </row>
    <row r="123" spans="1:10" x14ac:dyDescent="0.35">
      <c r="A123" s="22"/>
      <c r="B123" s="9"/>
      <c r="C123" s="18" t="str">
        <f>IF($B123="","",IFERROR(INDEX(Vendors!$A$5:$A$100,MATCH($B123,Vendors!$C$5:$C$100,0)),""))</f>
        <v/>
      </c>
      <c r="D123" s="9"/>
      <c r="E123" s="45"/>
      <c r="F123" s="22"/>
      <c r="G123" s="24" t="str">
        <f>IF($F123="","",WORKDAY($F123,Settings!$C$10,HolidayDates))</f>
        <v/>
      </c>
      <c r="H123" s="18" t="str">
        <f>IF($B123="","",IFERROR(INDEX(Vendors!$E$5:$E$100,MATCH($B123,Vendors!$C$5:$C$100,0))&amp;"",""))</f>
        <v/>
      </c>
      <c r="I123" s="18" t="str">
        <f>IF($B123="","",IFERROR(INDEX(Vendors!$F$5:$F$100,MATCH($B123,Vendors!$C$5:$C$100,0))&amp;"",""))</f>
        <v/>
      </c>
      <c r="J123" s="9"/>
    </row>
    <row r="124" spans="1:10" x14ac:dyDescent="0.35">
      <c r="A124" s="22"/>
      <c r="B124" s="9"/>
      <c r="C124" s="18" t="str">
        <f>IF($B124="","",IFERROR(INDEX(Vendors!$A$5:$A$100,MATCH($B124,Vendors!$C$5:$C$100,0)),""))</f>
        <v/>
      </c>
      <c r="D124" s="9"/>
      <c r="E124" s="45"/>
      <c r="F124" s="22"/>
      <c r="G124" s="24" t="str">
        <f>IF($F124="","",WORKDAY($F124,Settings!$C$10,HolidayDates))</f>
        <v/>
      </c>
      <c r="H124" s="18" t="str">
        <f>IF($B124="","",IFERROR(INDEX(Vendors!$E$5:$E$100,MATCH($B124,Vendors!$C$5:$C$100,0))&amp;"",""))</f>
        <v/>
      </c>
      <c r="I124" s="18" t="str">
        <f>IF($B124="","",IFERROR(INDEX(Vendors!$F$5:$F$100,MATCH($B124,Vendors!$C$5:$C$100,0))&amp;"",""))</f>
        <v/>
      </c>
      <c r="J124" s="9"/>
    </row>
    <row r="125" spans="1:10" x14ac:dyDescent="0.35">
      <c r="A125" s="22"/>
      <c r="B125" s="9"/>
      <c r="C125" s="18" t="str">
        <f>IF($B125="","",IFERROR(INDEX(Vendors!$A$5:$A$100,MATCH($B125,Vendors!$C$5:$C$100,0)),""))</f>
        <v/>
      </c>
      <c r="D125" s="9"/>
      <c r="E125" s="45"/>
      <c r="F125" s="22"/>
      <c r="G125" s="24" t="str">
        <f>IF($F125="","",WORKDAY($F125,Settings!$C$10,HolidayDates))</f>
        <v/>
      </c>
      <c r="H125" s="18" t="str">
        <f>IF($B125="","",IFERROR(INDEX(Vendors!$E$5:$E$100,MATCH($B125,Vendors!$C$5:$C$100,0))&amp;"",""))</f>
        <v/>
      </c>
      <c r="I125" s="18" t="str">
        <f>IF($B125="","",IFERROR(INDEX(Vendors!$F$5:$F$100,MATCH($B125,Vendors!$C$5:$C$100,0))&amp;"",""))</f>
        <v/>
      </c>
      <c r="J125" s="9"/>
    </row>
    <row r="126" spans="1:10" x14ac:dyDescent="0.35">
      <c r="A126" s="22"/>
      <c r="B126" s="9"/>
      <c r="C126" s="18" t="str">
        <f>IF($B126="","",IFERROR(INDEX(Vendors!$A$5:$A$100,MATCH($B126,Vendors!$C$5:$C$100,0)),""))</f>
        <v/>
      </c>
      <c r="D126" s="9"/>
      <c r="E126" s="45"/>
      <c r="F126" s="22"/>
      <c r="G126" s="24" t="str">
        <f>IF($F126="","",WORKDAY($F126,Settings!$C$10,HolidayDates))</f>
        <v/>
      </c>
      <c r="H126" s="18" t="str">
        <f>IF($B126="","",IFERROR(INDEX(Vendors!$E$5:$E$100,MATCH($B126,Vendors!$C$5:$C$100,0))&amp;"",""))</f>
        <v/>
      </c>
      <c r="I126" s="18" t="str">
        <f>IF($B126="","",IFERROR(INDEX(Vendors!$F$5:$F$100,MATCH($B126,Vendors!$C$5:$C$100,0))&amp;"",""))</f>
        <v/>
      </c>
      <c r="J126" s="9"/>
    </row>
    <row r="127" spans="1:10" x14ac:dyDescent="0.35">
      <c r="A127" s="22"/>
      <c r="B127" s="9"/>
      <c r="C127" s="18" t="str">
        <f>IF($B127="","",IFERROR(INDEX(Vendors!$A$5:$A$100,MATCH($B127,Vendors!$C$5:$C$100,0)),""))</f>
        <v/>
      </c>
      <c r="D127" s="9"/>
      <c r="E127" s="45"/>
      <c r="F127" s="22"/>
      <c r="G127" s="24" t="str">
        <f>IF($F127="","",WORKDAY($F127,Settings!$C$10,HolidayDates))</f>
        <v/>
      </c>
      <c r="H127" s="18" t="str">
        <f>IF($B127="","",IFERROR(INDEX(Vendors!$E$5:$E$100,MATCH($B127,Vendors!$C$5:$C$100,0))&amp;"",""))</f>
        <v/>
      </c>
      <c r="I127" s="18" t="str">
        <f>IF($B127="","",IFERROR(INDEX(Vendors!$F$5:$F$100,MATCH($B127,Vendors!$C$5:$C$100,0))&amp;"",""))</f>
        <v/>
      </c>
      <c r="J127" s="9"/>
    </row>
    <row r="128" spans="1:10" x14ac:dyDescent="0.35">
      <c r="A128" s="22"/>
      <c r="B128" s="9"/>
      <c r="C128" s="18" t="str">
        <f>IF($B128="","",IFERROR(INDEX(Vendors!$A$5:$A$100,MATCH($B128,Vendors!$C$5:$C$100,0)),""))</f>
        <v/>
      </c>
      <c r="D128" s="9"/>
      <c r="E128" s="45"/>
      <c r="F128" s="22"/>
      <c r="G128" s="24" t="str">
        <f>IF($F128="","",WORKDAY($F128,Settings!$C$10,HolidayDates))</f>
        <v/>
      </c>
      <c r="H128" s="18" t="str">
        <f>IF($B128="","",IFERROR(INDEX(Vendors!$E$5:$E$100,MATCH($B128,Vendors!$C$5:$C$100,0))&amp;"",""))</f>
        <v/>
      </c>
      <c r="I128" s="18" t="str">
        <f>IF($B128="","",IFERROR(INDEX(Vendors!$F$5:$F$100,MATCH($B128,Vendors!$C$5:$C$100,0))&amp;"",""))</f>
        <v/>
      </c>
      <c r="J128" s="9"/>
    </row>
    <row r="129" spans="1:10" x14ac:dyDescent="0.35">
      <c r="A129" s="22"/>
      <c r="B129" s="9"/>
      <c r="C129" s="18" t="str">
        <f>IF($B129="","",IFERROR(INDEX(Vendors!$A$5:$A$100,MATCH($B129,Vendors!$C$5:$C$100,0)),""))</f>
        <v/>
      </c>
      <c r="D129" s="9"/>
      <c r="E129" s="45"/>
      <c r="F129" s="22"/>
      <c r="G129" s="24" t="str">
        <f>IF($F129="","",WORKDAY($F129,Settings!$C$10,HolidayDates))</f>
        <v/>
      </c>
      <c r="H129" s="18" t="str">
        <f>IF($B129="","",IFERROR(INDEX(Vendors!$E$5:$E$100,MATCH($B129,Vendors!$C$5:$C$100,0))&amp;"",""))</f>
        <v/>
      </c>
      <c r="I129" s="18" t="str">
        <f>IF($B129="","",IFERROR(INDEX(Vendors!$F$5:$F$100,MATCH($B129,Vendors!$C$5:$C$100,0))&amp;"",""))</f>
        <v/>
      </c>
      <c r="J129" s="9"/>
    </row>
    <row r="130" spans="1:10" x14ac:dyDescent="0.35">
      <c r="A130" s="22"/>
      <c r="B130" s="9"/>
      <c r="C130" s="18" t="str">
        <f>IF($B130="","",IFERROR(INDEX(Vendors!$A$5:$A$100,MATCH($B130,Vendors!$C$5:$C$100,0)),""))</f>
        <v/>
      </c>
      <c r="D130" s="9"/>
      <c r="E130" s="45"/>
      <c r="F130" s="22"/>
      <c r="G130" s="24" t="str">
        <f>IF($F130="","",WORKDAY($F130,Settings!$C$10,HolidayDates))</f>
        <v/>
      </c>
      <c r="H130" s="18" t="str">
        <f>IF($B130="","",IFERROR(INDEX(Vendors!$E$5:$E$100,MATCH($B130,Vendors!$C$5:$C$100,0))&amp;"",""))</f>
        <v/>
      </c>
      <c r="I130" s="18" t="str">
        <f>IF($B130="","",IFERROR(INDEX(Vendors!$F$5:$F$100,MATCH($B130,Vendors!$C$5:$C$100,0))&amp;"",""))</f>
        <v/>
      </c>
      <c r="J130" s="9"/>
    </row>
    <row r="131" spans="1:10" x14ac:dyDescent="0.35">
      <c r="A131" s="22"/>
      <c r="B131" s="9"/>
      <c r="C131" s="18" t="str">
        <f>IF($B131="","",IFERROR(INDEX(Vendors!$A$5:$A$100,MATCH($B131,Vendors!$C$5:$C$100,0)),""))</f>
        <v/>
      </c>
      <c r="D131" s="9"/>
      <c r="E131" s="45"/>
      <c r="F131" s="22"/>
      <c r="G131" s="24" t="str">
        <f>IF($F131="","",WORKDAY($F131,Settings!$C$10,HolidayDates))</f>
        <v/>
      </c>
      <c r="H131" s="18" t="str">
        <f>IF($B131="","",IFERROR(INDEX(Vendors!$E$5:$E$100,MATCH($B131,Vendors!$C$5:$C$100,0))&amp;"",""))</f>
        <v/>
      </c>
      <c r="I131" s="18" t="str">
        <f>IF($B131="","",IFERROR(INDEX(Vendors!$F$5:$F$100,MATCH($B131,Vendors!$C$5:$C$100,0))&amp;"",""))</f>
        <v/>
      </c>
      <c r="J131" s="9"/>
    </row>
    <row r="132" spans="1:10" x14ac:dyDescent="0.35">
      <c r="A132" s="22"/>
      <c r="B132" s="9"/>
      <c r="C132" s="18" t="str">
        <f>IF($B132="","",IFERROR(INDEX(Vendors!$A$5:$A$100,MATCH($B132,Vendors!$C$5:$C$100,0)),""))</f>
        <v/>
      </c>
      <c r="D132" s="9"/>
      <c r="E132" s="45"/>
      <c r="F132" s="22"/>
      <c r="G132" s="24" t="str">
        <f>IF($F132="","",WORKDAY($F132,Settings!$C$10,HolidayDates))</f>
        <v/>
      </c>
      <c r="H132" s="18" t="str">
        <f>IF($B132="","",IFERROR(INDEX(Vendors!$E$5:$E$100,MATCH($B132,Vendors!$C$5:$C$100,0))&amp;"",""))</f>
        <v/>
      </c>
      <c r="I132" s="18" t="str">
        <f>IF($B132="","",IFERROR(INDEX(Vendors!$F$5:$F$100,MATCH($B132,Vendors!$C$5:$C$100,0))&amp;"",""))</f>
        <v/>
      </c>
      <c r="J132" s="9"/>
    </row>
    <row r="133" spans="1:10" x14ac:dyDescent="0.35">
      <c r="A133" s="22"/>
      <c r="B133" s="9"/>
      <c r="C133" s="18" t="str">
        <f>IF($B133="","",IFERROR(INDEX(Vendors!$A$5:$A$100,MATCH($B133,Vendors!$C$5:$C$100,0)),""))</f>
        <v/>
      </c>
      <c r="D133" s="9"/>
      <c r="E133" s="45"/>
      <c r="F133" s="22"/>
      <c r="G133" s="24" t="str">
        <f>IF($F133="","",WORKDAY($F133,Settings!$C$10,HolidayDates))</f>
        <v/>
      </c>
      <c r="H133" s="18" t="str">
        <f>IF($B133="","",IFERROR(INDEX(Vendors!$E$5:$E$100,MATCH($B133,Vendors!$C$5:$C$100,0))&amp;"",""))</f>
        <v/>
      </c>
      <c r="I133" s="18" t="str">
        <f>IF($B133="","",IFERROR(INDEX(Vendors!$F$5:$F$100,MATCH($B133,Vendors!$C$5:$C$100,0))&amp;"",""))</f>
        <v/>
      </c>
      <c r="J133" s="9"/>
    </row>
    <row r="134" spans="1:10" x14ac:dyDescent="0.35">
      <c r="A134" s="22"/>
      <c r="B134" s="9"/>
      <c r="C134" s="18" t="str">
        <f>IF($B134="","",IFERROR(INDEX(Vendors!$A$5:$A$100,MATCH($B134,Vendors!$C$5:$C$100,0)),""))</f>
        <v/>
      </c>
      <c r="D134" s="9"/>
      <c r="E134" s="45"/>
      <c r="F134" s="22"/>
      <c r="G134" s="24" t="str">
        <f>IF($F134="","",WORKDAY($F134,Settings!$C$10,HolidayDates))</f>
        <v/>
      </c>
      <c r="H134" s="18" t="str">
        <f>IF($B134="","",IFERROR(INDEX(Vendors!$E$5:$E$100,MATCH($B134,Vendors!$C$5:$C$100,0))&amp;"",""))</f>
        <v/>
      </c>
      <c r="I134" s="18" t="str">
        <f>IF($B134="","",IFERROR(INDEX(Vendors!$F$5:$F$100,MATCH($B134,Vendors!$C$5:$C$100,0))&amp;"",""))</f>
        <v/>
      </c>
      <c r="J134" s="9"/>
    </row>
    <row r="135" spans="1:10" x14ac:dyDescent="0.35">
      <c r="A135" s="22"/>
      <c r="B135" s="9"/>
      <c r="C135" s="18" t="str">
        <f>IF($B135="","",IFERROR(INDEX(Vendors!$A$5:$A$100,MATCH($B135,Vendors!$C$5:$C$100,0)),""))</f>
        <v/>
      </c>
      <c r="D135" s="9"/>
      <c r="E135" s="45"/>
      <c r="F135" s="22"/>
      <c r="G135" s="24" t="str">
        <f>IF($F135="","",WORKDAY($F135,Settings!$C$10,HolidayDates))</f>
        <v/>
      </c>
      <c r="H135" s="18" t="str">
        <f>IF($B135="","",IFERROR(INDEX(Vendors!$E$5:$E$100,MATCH($B135,Vendors!$C$5:$C$100,0))&amp;"",""))</f>
        <v/>
      </c>
      <c r="I135" s="18" t="str">
        <f>IF($B135="","",IFERROR(INDEX(Vendors!$F$5:$F$100,MATCH($B135,Vendors!$C$5:$C$100,0))&amp;"",""))</f>
        <v/>
      </c>
      <c r="J135" s="9"/>
    </row>
    <row r="136" spans="1:10" x14ac:dyDescent="0.35">
      <c r="A136" s="22"/>
      <c r="B136" s="9"/>
      <c r="C136" s="18" t="str">
        <f>IF($B136="","",IFERROR(INDEX(Vendors!$A$5:$A$100,MATCH($B136,Vendors!$C$5:$C$100,0)),""))</f>
        <v/>
      </c>
      <c r="D136" s="9"/>
      <c r="E136" s="45"/>
      <c r="F136" s="22"/>
      <c r="G136" s="24" t="str">
        <f>IF($F136="","",WORKDAY($F136,Settings!$C$10,HolidayDates))</f>
        <v/>
      </c>
      <c r="H136" s="18" t="str">
        <f>IF($B136="","",IFERROR(INDEX(Vendors!$E$5:$E$100,MATCH($B136,Vendors!$C$5:$C$100,0))&amp;"",""))</f>
        <v/>
      </c>
      <c r="I136" s="18" t="str">
        <f>IF($B136="","",IFERROR(INDEX(Vendors!$F$5:$F$100,MATCH($B136,Vendors!$C$5:$C$100,0))&amp;"",""))</f>
        <v/>
      </c>
      <c r="J136" s="9"/>
    </row>
    <row r="137" spans="1:10" x14ac:dyDescent="0.35">
      <c r="A137" s="22"/>
      <c r="B137" s="9"/>
      <c r="C137" s="18" t="str">
        <f>IF($B137="","",IFERROR(INDEX(Vendors!$A$5:$A$100,MATCH($B137,Vendors!$C$5:$C$100,0)),""))</f>
        <v/>
      </c>
      <c r="D137" s="9"/>
      <c r="E137" s="45"/>
      <c r="F137" s="22"/>
      <c r="G137" s="24" t="str">
        <f>IF($F137="","",WORKDAY($F137,Settings!$C$10,HolidayDates))</f>
        <v/>
      </c>
      <c r="H137" s="18" t="str">
        <f>IF($B137="","",IFERROR(INDEX(Vendors!$E$5:$E$100,MATCH($B137,Vendors!$C$5:$C$100,0))&amp;"",""))</f>
        <v/>
      </c>
      <c r="I137" s="18" t="str">
        <f>IF($B137="","",IFERROR(INDEX(Vendors!$F$5:$F$100,MATCH($B137,Vendors!$C$5:$C$100,0))&amp;"",""))</f>
        <v/>
      </c>
      <c r="J137" s="9"/>
    </row>
    <row r="138" spans="1:10" x14ac:dyDescent="0.35">
      <c r="A138" s="22"/>
      <c r="B138" s="9"/>
      <c r="C138" s="18" t="str">
        <f>IF($B138="","",IFERROR(INDEX(Vendors!$A$5:$A$100,MATCH($B138,Vendors!$C$5:$C$100,0)),""))</f>
        <v/>
      </c>
      <c r="D138" s="9"/>
      <c r="E138" s="45"/>
      <c r="F138" s="22"/>
      <c r="G138" s="24" t="str">
        <f>IF($F138="","",WORKDAY($F138,Settings!$C$10,HolidayDates))</f>
        <v/>
      </c>
      <c r="H138" s="18" t="str">
        <f>IF($B138="","",IFERROR(INDEX(Vendors!$E$5:$E$100,MATCH($B138,Vendors!$C$5:$C$100,0))&amp;"",""))</f>
        <v/>
      </c>
      <c r="I138" s="18" t="str">
        <f>IF($B138="","",IFERROR(INDEX(Vendors!$F$5:$F$100,MATCH($B138,Vendors!$C$5:$C$100,0))&amp;"",""))</f>
        <v/>
      </c>
      <c r="J138" s="9"/>
    </row>
    <row r="139" spans="1:10" x14ac:dyDescent="0.35">
      <c r="A139" s="22"/>
      <c r="B139" s="9"/>
      <c r="C139" s="18" t="str">
        <f>IF($B139="","",IFERROR(INDEX(Vendors!$A$5:$A$100,MATCH($B139,Vendors!$C$5:$C$100,0)),""))</f>
        <v/>
      </c>
      <c r="D139" s="9"/>
      <c r="E139" s="45"/>
      <c r="F139" s="22"/>
      <c r="G139" s="24" t="str">
        <f>IF($F139="","",WORKDAY($F139,Settings!$C$10,HolidayDates))</f>
        <v/>
      </c>
      <c r="H139" s="18" t="str">
        <f>IF($B139="","",IFERROR(INDEX(Vendors!$E$5:$E$100,MATCH($B139,Vendors!$C$5:$C$100,0))&amp;"",""))</f>
        <v/>
      </c>
      <c r="I139" s="18" t="str">
        <f>IF($B139="","",IFERROR(INDEX(Vendors!$F$5:$F$100,MATCH($B139,Vendors!$C$5:$C$100,0))&amp;"",""))</f>
        <v/>
      </c>
      <c r="J139" s="9"/>
    </row>
    <row r="140" spans="1:10" x14ac:dyDescent="0.35">
      <c r="A140" s="22"/>
      <c r="B140" s="9"/>
      <c r="C140" s="18" t="str">
        <f>IF($B140="","",IFERROR(INDEX(Vendors!$A$5:$A$100,MATCH($B140,Vendors!$C$5:$C$100,0)),""))</f>
        <v/>
      </c>
      <c r="D140" s="9"/>
      <c r="E140" s="45"/>
      <c r="F140" s="22"/>
      <c r="G140" s="24" t="str">
        <f>IF($F140="","",WORKDAY($F140,Settings!$C$10,HolidayDates))</f>
        <v/>
      </c>
      <c r="H140" s="18" t="str">
        <f>IF($B140="","",IFERROR(INDEX(Vendors!$E$5:$E$100,MATCH($B140,Vendors!$C$5:$C$100,0))&amp;"",""))</f>
        <v/>
      </c>
      <c r="I140" s="18" t="str">
        <f>IF($B140="","",IFERROR(INDEX(Vendors!$F$5:$F$100,MATCH($B140,Vendors!$C$5:$C$100,0))&amp;"",""))</f>
        <v/>
      </c>
      <c r="J140" s="9"/>
    </row>
    <row r="141" spans="1:10" x14ac:dyDescent="0.35">
      <c r="A141" s="22"/>
      <c r="B141" s="9"/>
      <c r="C141" s="18" t="str">
        <f>IF($B141="","",IFERROR(INDEX(Vendors!$A$5:$A$100,MATCH($B141,Vendors!$C$5:$C$100,0)),""))</f>
        <v/>
      </c>
      <c r="D141" s="9"/>
      <c r="E141" s="45"/>
      <c r="F141" s="22"/>
      <c r="G141" s="24" t="str">
        <f>IF($F141="","",WORKDAY($F141,Settings!$C$10,HolidayDates))</f>
        <v/>
      </c>
      <c r="H141" s="18" t="str">
        <f>IF($B141="","",IFERROR(INDEX(Vendors!$E$5:$E$100,MATCH($B141,Vendors!$C$5:$C$100,0))&amp;"",""))</f>
        <v/>
      </c>
      <c r="I141" s="18" t="str">
        <f>IF($B141="","",IFERROR(INDEX(Vendors!$F$5:$F$100,MATCH($B141,Vendors!$C$5:$C$100,0))&amp;"",""))</f>
        <v/>
      </c>
      <c r="J141" s="9"/>
    </row>
    <row r="142" spans="1:10" x14ac:dyDescent="0.35">
      <c r="A142" s="22"/>
      <c r="B142" s="9"/>
      <c r="C142" s="18" t="str">
        <f>IF($B142="","",IFERROR(INDEX(Vendors!$A$5:$A$100,MATCH($B142,Vendors!$C$5:$C$100,0)),""))</f>
        <v/>
      </c>
      <c r="D142" s="9"/>
      <c r="E142" s="45"/>
      <c r="F142" s="22"/>
      <c r="G142" s="24" t="str">
        <f>IF($F142="","",WORKDAY($F142,Settings!$C$10,HolidayDates))</f>
        <v/>
      </c>
      <c r="H142" s="18" t="str">
        <f>IF($B142="","",IFERROR(INDEX(Vendors!$E$5:$E$100,MATCH($B142,Vendors!$C$5:$C$100,0))&amp;"",""))</f>
        <v/>
      </c>
      <c r="I142" s="18" t="str">
        <f>IF($B142="","",IFERROR(INDEX(Vendors!$F$5:$F$100,MATCH($B142,Vendors!$C$5:$C$100,0))&amp;"",""))</f>
        <v/>
      </c>
      <c r="J142" s="9"/>
    </row>
    <row r="143" spans="1:10" x14ac:dyDescent="0.35">
      <c r="A143" s="22"/>
      <c r="B143" s="9"/>
      <c r="C143" s="18" t="str">
        <f>IF($B143="","",IFERROR(INDEX(Vendors!$A$5:$A$100,MATCH($B143,Vendors!$C$5:$C$100,0)),""))</f>
        <v/>
      </c>
      <c r="D143" s="9"/>
      <c r="E143" s="45"/>
      <c r="F143" s="22"/>
      <c r="G143" s="24" t="str">
        <f>IF($F143="","",WORKDAY($F143,Settings!$C$10,HolidayDates))</f>
        <v/>
      </c>
      <c r="H143" s="18" t="str">
        <f>IF($B143="","",IFERROR(INDEX(Vendors!$E$5:$E$100,MATCH($B143,Vendors!$C$5:$C$100,0))&amp;"",""))</f>
        <v/>
      </c>
      <c r="I143" s="18" t="str">
        <f>IF($B143="","",IFERROR(INDEX(Vendors!$F$5:$F$100,MATCH($B143,Vendors!$C$5:$C$100,0))&amp;"",""))</f>
        <v/>
      </c>
      <c r="J143" s="9"/>
    </row>
    <row r="144" spans="1:10" x14ac:dyDescent="0.35">
      <c r="A144" s="22"/>
      <c r="B144" s="9"/>
      <c r="C144" s="18" t="str">
        <f>IF($B144="","",IFERROR(INDEX(Vendors!$A$5:$A$100,MATCH($B144,Vendors!$C$5:$C$100,0)),""))</f>
        <v/>
      </c>
      <c r="D144" s="9"/>
      <c r="E144" s="45"/>
      <c r="F144" s="22"/>
      <c r="G144" s="24" t="str">
        <f>IF($F144="","",WORKDAY($F144,Settings!$C$10,HolidayDates))</f>
        <v/>
      </c>
      <c r="H144" s="18" t="str">
        <f>IF($B144="","",IFERROR(INDEX(Vendors!$E$5:$E$100,MATCH($B144,Vendors!$C$5:$C$100,0))&amp;"",""))</f>
        <v/>
      </c>
      <c r="I144" s="18" t="str">
        <f>IF($B144="","",IFERROR(INDEX(Vendors!$F$5:$F$100,MATCH($B144,Vendors!$C$5:$C$100,0))&amp;"",""))</f>
        <v/>
      </c>
      <c r="J144" s="9"/>
    </row>
    <row r="145" spans="1:10" x14ac:dyDescent="0.35">
      <c r="A145" s="22"/>
      <c r="B145" s="9"/>
      <c r="C145" s="18" t="str">
        <f>IF($B145="","",IFERROR(INDEX(Vendors!$A$5:$A$100,MATCH($B145,Vendors!$C$5:$C$100,0)),""))</f>
        <v/>
      </c>
      <c r="D145" s="9"/>
      <c r="E145" s="45"/>
      <c r="F145" s="22"/>
      <c r="G145" s="24" t="str">
        <f>IF($F145="","",WORKDAY($F145,Settings!$C$10,HolidayDates))</f>
        <v/>
      </c>
      <c r="H145" s="18" t="str">
        <f>IF($B145="","",IFERROR(INDEX(Vendors!$E$5:$E$100,MATCH($B145,Vendors!$C$5:$C$100,0))&amp;"",""))</f>
        <v/>
      </c>
      <c r="I145" s="18" t="str">
        <f>IF($B145="","",IFERROR(INDEX(Vendors!$F$5:$F$100,MATCH($B145,Vendors!$C$5:$C$100,0))&amp;"",""))</f>
        <v/>
      </c>
      <c r="J145" s="9"/>
    </row>
    <row r="146" spans="1:10" x14ac:dyDescent="0.35">
      <c r="A146" s="22"/>
      <c r="B146" s="9"/>
      <c r="C146" s="18" t="str">
        <f>IF($B146="","",IFERROR(INDEX(Vendors!$A$5:$A$100,MATCH($B146,Vendors!$C$5:$C$100,0)),""))</f>
        <v/>
      </c>
      <c r="D146" s="9"/>
      <c r="E146" s="45"/>
      <c r="F146" s="22"/>
      <c r="G146" s="24" t="str">
        <f>IF($F146="","",WORKDAY($F146,Settings!$C$10,HolidayDates))</f>
        <v/>
      </c>
      <c r="H146" s="18" t="str">
        <f>IF($B146="","",IFERROR(INDEX(Vendors!$E$5:$E$100,MATCH($B146,Vendors!$C$5:$C$100,0))&amp;"",""))</f>
        <v/>
      </c>
      <c r="I146" s="18" t="str">
        <f>IF($B146="","",IFERROR(INDEX(Vendors!$F$5:$F$100,MATCH($B146,Vendors!$C$5:$C$100,0))&amp;"",""))</f>
        <v/>
      </c>
      <c r="J146" s="9"/>
    </row>
    <row r="147" spans="1:10" x14ac:dyDescent="0.35">
      <c r="A147" s="22"/>
      <c r="B147" s="9"/>
      <c r="C147" s="18" t="str">
        <f>IF($B147="","",IFERROR(INDEX(Vendors!$A$5:$A$100,MATCH($B147,Vendors!$C$5:$C$100,0)),""))</f>
        <v/>
      </c>
      <c r="D147" s="9"/>
      <c r="E147" s="45"/>
      <c r="F147" s="22"/>
      <c r="G147" s="24" t="str">
        <f>IF($F147="","",WORKDAY($F147,Settings!$C$10,HolidayDates))</f>
        <v/>
      </c>
      <c r="H147" s="18" t="str">
        <f>IF($B147="","",IFERROR(INDEX(Vendors!$E$5:$E$100,MATCH($B147,Vendors!$C$5:$C$100,0))&amp;"",""))</f>
        <v/>
      </c>
      <c r="I147" s="18" t="str">
        <f>IF($B147="","",IFERROR(INDEX(Vendors!$F$5:$F$100,MATCH($B147,Vendors!$C$5:$C$100,0))&amp;"",""))</f>
        <v/>
      </c>
      <c r="J147" s="9"/>
    </row>
    <row r="148" spans="1:10" x14ac:dyDescent="0.35">
      <c r="A148" s="22"/>
      <c r="B148" s="9"/>
      <c r="C148" s="18" t="str">
        <f>IF($B148="","",IFERROR(INDEX(Vendors!$A$5:$A$100,MATCH($B148,Vendors!$C$5:$C$100,0)),""))</f>
        <v/>
      </c>
      <c r="D148" s="9"/>
      <c r="E148" s="45"/>
      <c r="F148" s="22"/>
      <c r="G148" s="24" t="str">
        <f>IF($F148="","",WORKDAY($F148,Settings!$C$10,HolidayDates))</f>
        <v/>
      </c>
      <c r="H148" s="18" t="str">
        <f>IF($B148="","",IFERROR(INDEX(Vendors!$E$5:$E$100,MATCH($B148,Vendors!$C$5:$C$100,0))&amp;"",""))</f>
        <v/>
      </c>
      <c r="I148" s="18" t="str">
        <f>IF($B148="","",IFERROR(INDEX(Vendors!$F$5:$F$100,MATCH($B148,Vendors!$C$5:$C$100,0))&amp;"",""))</f>
        <v/>
      </c>
      <c r="J148" s="9"/>
    </row>
    <row r="149" spans="1:10" x14ac:dyDescent="0.35">
      <c r="A149" s="22"/>
      <c r="B149" s="9"/>
      <c r="C149" s="18" t="str">
        <f>IF($B149="","",IFERROR(INDEX(Vendors!$A$5:$A$100,MATCH($B149,Vendors!$C$5:$C$100,0)),""))</f>
        <v/>
      </c>
      <c r="D149" s="9"/>
      <c r="E149" s="45"/>
      <c r="F149" s="22"/>
      <c r="G149" s="24" t="str">
        <f>IF($F149="","",WORKDAY($F149,Settings!$C$10,HolidayDates))</f>
        <v/>
      </c>
      <c r="H149" s="18" t="str">
        <f>IF($B149="","",IFERROR(INDEX(Vendors!$E$5:$E$100,MATCH($B149,Vendors!$C$5:$C$100,0))&amp;"",""))</f>
        <v/>
      </c>
      <c r="I149" s="18" t="str">
        <f>IF($B149="","",IFERROR(INDEX(Vendors!$F$5:$F$100,MATCH($B149,Vendors!$C$5:$C$100,0))&amp;"",""))</f>
        <v/>
      </c>
      <c r="J149" s="9"/>
    </row>
    <row r="150" spans="1:10" x14ac:dyDescent="0.35">
      <c r="A150" s="22"/>
      <c r="B150" s="9"/>
      <c r="C150" s="18" t="str">
        <f>IF($B150="","",IFERROR(INDEX(Vendors!$A$5:$A$100,MATCH($B150,Vendors!$C$5:$C$100,0)),""))</f>
        <v/>
      </c>
      <c r="D150" s="9"/>
      <c r="E150" s="45"/>
      <c r="F150" s="22"/>
      <c r="G150" s="24" t="str">
        <f>IF($F150="","",WORKDAY($F150,Settings!$C$10,HolidayDates))</f>
        <v/>
      </c>
      <c r="H150" s="18" t="str">
        <f>IF($B150="","",IFERROR(INDEX(Vendors!$E$5:$E$100,MATCH($B150,Vendors!$C$5:$C$100,0))&amp;"",""))</f>
        <v/>
      </c>
      <c r="I150" s="18" t="str">
        <f>IF($B150="","",IFERROR(INDEX(Vendors!$F$5:$F$100,MATCH($B150,Vendors!$C$5:$C$100,0))&amp;"",""))</f>
        <v/>
      </c>
      <c r="J150" s="9"/>
    </row>
    <row r="151" spans="1:10" x14ac:dyDescent="0.35">
      <c r="A151" s="22"/>
      <c r="B151" s="9"/>
      <c r="C151" s="18" t="str">
        <f>IF($B151="","",IFERROR(INDEX(Vendors!$A$5:$A$100,MATCH($B151,Vendors!$C$5:$C$100,0)),""))</f>
        <v/>
      </c>
      <c r="D151" s="9"/>
      <c r="E151" s="45"/>
      <c r="F151" s="22"/>
      <c r="G151" s="24" t="str">
        <f>IF($F151="","",WORKDAY($F151,Settings!$C$10,HolidayDates))</f>
        <v/>
      </c>
      <c r="H151" s="18" t="str">
        <f>IF($B151="","",IFERROR(INDEX(Vendors!$E$5:$E$100,MATCH($B151,Vendors!$C$5:$C$100,0))&amp;"",""))</f>
        <v/>
      </c>
      <c r="I151" s="18" t="str">
        <f>IF($B151="","",IFERROR(INDEX(Vendors!$F$5:$F$100,MATCH($B151,Vendors!$C$5:$C$100,0))&amp;"",""))</f>
        <v/>
      </c>
      <c r="J151" s="9"/>
    </row>
    <row r="152" spans="1:10" x14ac:dyDescent="0.35">
      <c r="A152" s="22"/>
      <c r="B152" s="9"/>
      <c r="C152" s="18" t="str">
        <f>IF($B152="","",IFERROR(INDEX(Vendors!$A$5:$A$100,MATCH($B152,Vendors!$C$5:$C$100,0)),""))</f>
        <v/>
      </c>
      <c r="D152" s="9"/>
      <c r="E152" s="45"/>
      <c r="F152" s="22"/>
      <c r="G152" s="24" t="str">
        <f>IF($F152="","",WORKDAY($F152,Settings!$C$10,HolidayDates))</f>
        <v/>
      </c>
      <c r="H152" s="18" t="str">
        <f>IF($B152="","",IFERROR(INDEX(Vendors!$E$5:$E$100,MATCH($B152,Vendors!$C$5:$C$100,0))&amp;"",""))</f>
        <v/>
      </c>
      <c r="I152" s="18" t="str">
        <f>IF($B152="","",IFERROR(INDEX(Vendors!$F$5:$F$100,MATCH($B152,Vendors!$C$5:$C$100,0))&amp;"",""))</f>
        <v/>
      </c>
      <c r="J152" s="9"/>
    </row>
    <row r="153" spans="1:10" x14ac:dyDescent="0.35">
      <c r="A153" s="22"/>
      <c r="B153" s="9"/>
      <c r="C153" s="18" t="str">
        <f>IF($B153="","",IFERROR(INDEX(Vendors!$A$5:$A$100,MATCH($B153,Vendors!$C$5:$C$100,0)),""))</f>
        <v/>
      </c>
      <c r="D153" s="9"/>
      <c r="E153" s="45"/>
      <c r="F153" s="22"/>
      <c r="G153" s="24" t="str">
        <f>IF($F153="","",WORKDAY($F153,Settings!$C$10,HolidayDates))</f>
        <v/>
      </c>
      <c r="H153" s="18" t="str">
        <f>IF($B153="","",IFERROR(INDEX(Vendors!$E$5:$E$100,MATCH($B153,Vendors!$C$5:$C$100,0))&amp;"",""))</f>
        <v/>
      </c>
      <c r="I153" s="18" t="str">
        <f>IF($B153="","",IFERROR(INDEX(Vendors!$F$5:$F$100,MATCH($B153,Vendors!$C$5:$C$100,0))&amp;"",""))</f>
        <v/>
      </c>
      <c r="J153" s="9"/>
    </row>
    <row r="154" spans="1:10" x14ac:dyDescent="0.35">
      <c r="A154" s="22"/>
      <c r="B154" s="9"/>
      <c r="C154" s="18" t="str">
        <f>IF($B154="","",IFERROR(INDEX(Vendors!$A$5:$A$100,MATCH($B154,Vendors!$C$5:$C$100,0)),""))</f>
        <v/>
      </c>
      <c r="D154" s="9"/>
      <c r="E154" s="45"/>
      <c r="F154" s="22"/>
      <c r="G154" s="24" t="str">
        <f>IF($F154="","",WORKDAY($F154,Settings!$C$10,HolidayDates))</f>
        <v/>
      </c>
      <c r="H154" s="18" t="str">
        <f>IF($B154="","",IFERROR(INDEX(Vendors!$E$5:$E$100,MATCH($B154,Vendors!$C$5:$C$100,0))&amp;"",""))</f>
        <v/>
      </c>
      <c r="I154" s="18" t="str">
        <f>IF($B154="","",IFERROR(INDEX(Vendors!$F$5:$F$100,MATCH($B154,Vendors!$C$5:$C$100,0))&amp;"",""))</f>
        <v/>
      </c>
      <c r="J154" s="9"/>
    </row>
    <row r="155" spans="1:10" x14ac:dyDescent="0.35">
      <c r="A155" s="22"/>
      <c r="B155" s="9"/>
      <c r="C155" s="18" t="str">
        <f>IF($B155="","",IFERROR(INDEX(Vendors!$A$5:$A$100,MATCH($B155,Vendors!$C$5:$C$100,0)),""))</f>
        <v/>
      </c>
      <c r="D155" s="9"/>
      <c r="E155" s="45"/>
      <c r="F155" s="22"/>
      <c r="G155" s="24" t="str">
        <f>IF($F155="","",WORKDAY($F155,Settings!$C$10,HolidayDates))</f>
        <v/>
      </c>
      <c r="H155" s="18" t="str">
        <f>IF($B155="","",IFERROR(INDEX(Vendors!$E$5:$E$100,MATCH($B155,Vendors!$C$5:$C$100,0))&amp;"",""))</f>
        <v/>
      </c>
      <c r="I155" s="18" t="str">
        <f>IF($B155="","",IFERROR(INDEX(Vendors!$F$5:$F$100,MATCH($B155,Vendors!$C$5:$C$100,0))&amp;"",""))</f>
        <v/>
      </c>
      <c r="J155" s="9"/>
    </row>
    <row r="156" spans="1:10" x14ac:dyDescent="0.35">
      <c r="A156" s="22"/>
      <c r="B156" s="9"/>
      <c r="C156" s="18" t="str">
        <f>IF($B156="","",IFERROR(INDEX(Vendors!$A$5:$A$100,MATCH($B156,Vendors!$C$5:$C$100,0)),""))</f>
        <v/>
      </c>
      <c r="D156" s="9"/>
      <c r="E156" s="45"/>
      <c r="F156" s="22"/>
      <c r="G156" s="24" t="str">
        <f>IF($F156="","",WORKDAY($F156,Settings!$C$10,HolidayDates))</f>
        <v/>
      </c>
      <c r="H156" s="18" t="str">
        <f>IF($B156="","",IFERROR(INDEX(Vendors!$E$5:$E$100,MATCH($B156,Vendors!$C$5:$C$100,0))&amp;"",""))</f>
        <v/>
      </c>
      <c r="I156" s="18" t="str">
        <f>IF($B156="","",IFERROR(INDEX(Vendors!$F$5:$F$100,MATCH($B156,Vendors!$C$5:$C$100,0))&amp;"",""))</f>
        <v/>
      </c>
      <c r="J156" s="9"/>
    </row>
    <row r="157" spans="1:10" x14ac:dyDescent="0.35">
      <c r="A157" s="22"/>
      <c r="B157" s="9"/>
      <c r="C157" s="18" t="str">
        <f>IF($B157="","",IFERROR(INDEX(Vendors!$A$5:$A$100,MATCH($B157,Vendors!$C$5:$C$100,0)),""))</f>
        <v/>
      </c>
      <c r="D157" s="9"/>
      <c r="E157" s="45"/>
      <c r="F157" s="22"/>
      <c r="G157" s="24" t="str">
        <f>IF($F157="","",WORKDAY($F157,Settings!$C$10,HolidayDates))</f>
        <v/>
      </c>
      <c r="H157" s="18" t="str">
        <f>IF($B157="","",IFERROR(INDEX(Vendors!$E$5:$E$100,MATCH($B157,Vendors!$C$5:$C$100,0))&amp;"",""))</f>
        <v/>
      </c>
      <c r="I157" s="18" t="str">
        <f>IF($B157="","",IFERROR(INDEX(Vendors!$F$5:$F$100,MATCH($B157,Vendors!$C$5:$C$100,0))&amp;"",""))</f>
        <v/>
      </c>
      <c r="J157" s="9"/>
    </row>
    <row r="158" spans="1:10" x14ac:dyDescent="0.35">
      <c r="A158" s="22"/>
      <c r="B158" s="9"/>
      <c r="C158" s="18" t="str">
        <f>IF($B158="","",IFERROR(INDEX(Vendors!$A$5:$A$100,MATCH($B158,Vendors!$C$5:$C$100,0)),""))</f>
        <v/>
      </c>
      <c r="D158" s="9"/>
      <c r="E158" s="45"/>
      <c r="F158" s="22"/>
      <c r="G158" s="24" t="str">
        <f>IF($F158="","",WORKDAY($F158,Settings!$C$10,HolidayDates))</f>
        <v/>
      </c>
      <c r="H158" s="18" t="str">
        <f>IF($B158="","",IFERROR(INDEX(Vendors!$E$5:$E$100,MATCH($B158,Vendors!$C$5:$C$100,0))&amp;"",""))</f>
        <v/>
      </c>
      <c r="I158" s="18" t="str">
        <f>IF($B158="","",IFERROR(INDEX(Vendors!$F$5:$F$100,MATCH($B158,Vendors!$C$5:$C$100,0))&amp;"",""))</f>
        <v/>
      </c>
      <c r="J158" s="9"/>
    </row>
    <row r="159" spans="1:10" x14ac:dyDescent="0.35">
      <c r="A159" s="22"/>
      <c r="B159" s="9"/>
      <c r="C159" s="18" t="str">
        <f>IF($B159="","",IFERROR(INDEX(Vendors!$A$5:$A$100,MATCH($B159,Vendors!$C$5:$C$100,0)),""))</f>
        <v/>
      </c>
      <c r="D159" s="9"/>
      <c r="E159" s="45"/>
      <c r="F159" s="22"/>
      <c r="G159" s="24" t="str">
        <f>IF($F159="","",WORKDAY($F159,Settings!$C$10,HolidayDates))</f>
        <v/>
      </c>
      <c r="H159" s="18" t="str">
        <f>IF($B159="","",IFERROR(INDEX(Vendors!$E$5:$E$100,MATCH($B159,Vendors!$C$5:$C$100,0))&amp;"",""))</f>
        <v/>
      </c>
      <c r="I159" s="18" t="str">
        <f>IF($B159="","",IFERROR(INDEX(Vendors!$F$5:$F$100,MATCH($B159,Vendors!$C$5:$C$100,0))&amp;"",""))</f>
        <v/>
      </c>
      <c r="J159" s="9"/>
    </row>
    <row r="160" spans="1:10" x14ac:dyDescent="0.35">
      <c r="A160" s="22"/>
      <c r="B160" s="9"/>
      <c r="C160" s="18" t="str">
        <f>IF($B160="","",IFERROR(INDEX(Vendors!$A$5:$A$100,MATCH($B160,Vendors!$C$5:$C$100,0)),""))</f>
        <v/>
      </c>
      <c r="D160" s="9"/>
      <c r="E160" s="45"/>
      <c r="F160" s="22"/>
      <c r="G160" s="24" t="str">
        <f>IF($F160="","",WORKDAY($F160,Settings!$C$10,HolidayDates))</f>
        <v/>
      </c>
      <c r="H160" s="18" t="str">
        <f>IF($B160="","",IFERROR(INDEX(Vendors!$E$5:$E$100,MATCH($B160,Vendors!$C$5:$C$100,0))&amp;"",""))</f>
        <v/>
      </c>
      <c r="I160" s="18" t="str">
        <f>IF($B160="","",IFERROR(INDEX(Vendors!$F$5:$F$100,MATCH($B160,Vendors!$C$5:$C$100,0))&amp;"",""))</f>
        <v/>
      </c>
      <c r="J160" s="9"/>
    </row>
    <row r="161" spans="1:10" x14ac:dyDescent="0.35">
      <c r="A161" s="22"/>
      <c r="B161" s="9"/>
      <c r="C161" s="18" t="str">
        <f>IF($B161="","",IFERROR(INDEX(Vendors!$A$5:$A$100,MATCH($B161,Vendors!$C$5:$C$100,0)),""))</f>
        <v/>
      </c>
      <c r="D161" s="9"/>
      <c r="E161" s="45"/>
      <c r="F161" s="22"/>
      <c r="G161" s="24" t="str">
        <f>IF($F161="","",WORKDAY($F161,Settings!$C$10,HolidayDates))</f>
        <v/>
      </c>
      <c r="H161" s="18" t="str">
        <f>IF($B161="","",IFERROR(INDEX(Vendors!$E$5:$E$100,MATCH($B161,Vendors!$C$5:$C$100,0))&amp;"",""))</f>
        <v/>
      </c>
      <c r="I161" s="18" t="str">
        <f>IF($B161="","",IFERROR(INDEX(Vendors!$F$5:$F$100,MATCH($B161,Vendors!$C$5:$C$100,0))&amp;"",""))</f>
        <v/>
      </c>
      <c r="J161" s="9"/>
    </row>
    <row r="162" spans="1:10" x14ac:dyDescent="0.35">
      <c r="A162" s="22"/>
      <c r="B162" s="9"/>
      <c r="C162" s="18" t="str">
        <f>IF($B162="","",IFERROR(INDEX(Vendors!$A$5:$A$100,MATCH($B162,Vendors!$C$5:$C$100,0)),""))</f>
        <v/>
      </c>
      <c r="D162" s="9"/>
      <c r="E162" s="45"/>
      <c r="F162" s="22"/>
      <c r="G162" s="24" t="str">
        <f>IF($F162="","",WORKDAY($F162,Settings!$C$10,HolidayDates))</f>
        <v/>
      </c>
      <c r="H162" s="18" t="str">
        <f>IF($B162="","",IFERROR(INDEX(Vendors!$E$5:$E$100,MATCH($B162,Vendors!$C$5:$C$100,0))&amp;"",""))</f>
        <v/>
      </c>
      <c r="I162" s="18" t="str">
        <f>IF($B162="","",IFERROR(INDEX(Vendors!$F$5:$F$100,MATCH($B162,Vendors!$C$5:$C$100,0))&amp;"",""))</f>
        <v/>
      </c>
      <c r="J162" s="9"/>
    </row>
    <row r="163" spans="1:10" x14ac:dyDescent="0.35">
      <c r="A163" s="22"/>
      <c r="B163" s="9"/>
      <c r="C163" s="18" t="str">
        <f>IF($B163="","",IFERROR(INDEX(Vendors!$A$5:$A$100,MATCH($B163,Vendors!$C$5:$C$100,0)),""))</f>
        <v/>
      </c>
      <c r="D163" s="9"/>
      <c r="E163" s="45"/>
      <c r="F163" s="22"/>
      <c r="G163" s="24" t="str">
        <f>IF($F163="","",WORKDAY($F163,Settings!$C$10,HolidayDates))</f>
        <v/>
      </c>
      <c r="H163" s="18" t="str">
        <f>IF($B163="","",IFERROR(INDEX(Vendors!$E$5:$E$100,MATCH($B163,Vendors!$C$5:$C$100,0))&amp;"",""))</f>
        <v/>
      </c>
      <c r="I163" s="18" t="str">
        <f>IF($B163="","",IFERROR(INDEX(Vendors!$F$5:$F$100,MATCH($B163,Vendors!$C$5:$C$100,0))&amp;"",""))</f>
        <v/>
      </c>
      <c r="J163" s="9"/>
    </row>
    <row r="164" spans="1:10" x14ac:dyDescent="0.35">
      <c r="A164" s="22"/>
      <c r="B164" s="9"/>
      <c r="C164" s="18" t="str">
        <f>IF($B164="","",IFERROR(INDEX(Vendors!$A$5:$A$100,MATCH($B164,Vendors!$C$5:$C$100,0)),""))</f>
        <v/>
      </c>
      <c r="D164" s="9"/>
      <c r="E164" s="45"/>
      <c r="F164" s="22"/>
      <c r="G164" s="24" t="str">
        <f>IF($F164="","",WORKDAY($F164,Settings!$C$10,HolidayDates))</f>
        <v/>
      </c>
      <c r="H164" s="18" t="str">
        <f>IF($B164="","",IFERROR(INDEX(Vendors!$E$5:$E$100,MATCH($B164,Vendors!$C$5:$C$100,0))&amp;"",""))</f>
        <v/>
      </c>
      <c r="I164" s="18" t="str">
        <f>IF($B164="","",IFERROR(INDEX(Vendors!$F$5:$F$100,MATCH($B164,Vendors!$C$5:$C$100,0))&amp;"",""))</f>
        <v/>
      </c>
      <c r="J164" s="9"/>
    </row>
    <row r="165" spans="1:10" x14ac:dyDescent="0.35">
      <c r="A165" s="22"/>
      <c r="B165" s="9"/>
      <c r="C165" s="18" t="str">
        <f>IF($B165="","",IFERROR(INDEX(Vendors!$A$5:$A$100,MATCH($B165,Vendors!$C$5:$C$100,0)),""))</f>
        <v/>
      </c>
      <c r="D165" s="9"/>
      <c r="E165" s="45"/>
      <c r="F165" s="22"/>
      <c r="G165" s="24" t="str">
        <f>IF($F165="","",WORKDAY($F165,Settings!$C$10,HolidayDates))</f>
        <v/>
      </c>
      <c r="H165" s="18" t="str">
        <f>IF($B165="","",IFERROR(INDEX(Vendors!$E$5:$E$100,MATCH($B165,Vendors!$C$5:$C$100,0))&amp;"",""))</f>
        <v/>
      </c>
      <c r="I165" s="18" t="str">
        <f>IF($B165="","",IFERROR(INDEX(Vendors!$F$5:$F$100,MATCH($B165,Vendors!$C$5:$C$100,0))&amp;"",""))</f>
        <v/>
      </c>
      <c r="J165" s="9"/>
    </row>
    <row r="166" spans="1:10" x14ac:dyDescent="0.35">
      <c r="A166" s="22"/>
      <c r="B166" s="9"/>
      <c r="C166" s="18" t="str">
        <f>IF($B166="","",IFERROR(INDEX(Vendors!$A$5:$A$100,MATCH($B166,Vendors!$C$5:$C$100,0)),""))</f>
        <v/>
      </c>
      <c r="D166" s="9"/>
      <c r="E166" s="45"/>
      <c r="F166" s="22"/>
      <c r="G166" s="24" t="str">
        <f>IF($F166="","",WORKDAY($F166,Settings!$C$10,HolidayDates))</f>
        <v/>
      </c>
      <c r="H166" s="18" t="str">
        <f>IF($B166="","",IFERROR(INDEX(Vendors!$E$5:$E$100,MATCH($B166,Vendors!$C$5:$C$100,0))&amp;"",""))</f>
        <v/>
      </c>
      <c r="I166" s="18" t="str">
        <f>IF($B166="","",IFERROR(INDEX(Vendors!$F$5:$F$100,MATCH($B166,Vendors!$C$5:$C$100,0))&amp;"",""))</f>
        <v/>
      </c>
      <c r="J166" s="9"/>
    </row>
    <row r="167" spans="1:10" x14ac:dyDescent="0.35">
      <c r="A167" s="22"/>
      <c r="B167" s="9"/>
      <c r="C167" s="18" t="str">
        <f>IF($B167="","",IFERROR(INDEX(Vendors!$A$5:$A$100,MATCH($B167,Vendors!$C$5:$C$100,0)),""))</f>
        <v/>
      </c>
      <c r="D167" s="9"/>
      <c r="E167" s="45"/>
      <c r="F167" s="22"/>
      <c r="G167" s="24" t="str">
        <f>IF($F167="","",WORKDAY($F167,Settings!$C$10,HolidayDates))</f>
        <v/>
      </c>
      <c r="H167" s="18" t="str">
        <f>IF($B167="","",IFERROR(INDEX(Vendors!$E$5:$E$100,MATCH($B167,Vendors!$C$5:$C$100,0))&amp;"",""))</f>
        <v/>
      </c>
      <c r="I167" s="18" t="str">
        <f>IF($B167="","",IFERROR(INDEX(Vendors!$F$5:$F$100,MATCH($B167,Vendors!$C$5:$C$100,0))&amp;"",""))</f>
        <v/>
      </c>
      <c r="J167" s="9"/>
    </row>
    <row r="168" spans="1:10" x14ac:dyDescent="0.35">
      <c r="A168" s="22"/>
      <c r="B168" s="9"/>
      <c r="C168" s="18" t="str">
        <f>IF($B168="","",IFERROR(INDEX(Vendors!$A$5:$A$100,MATCH($B168,Vendors!$C$5:$C$100,0)),""))</f>
        <v/>
      </c>
      <c r="D168" s="9"/>
      <c r="E168" s="45"/>
      <c r="F168" s="22"/>
      <c r="G168" s="24" t="str">
        <f>IF($F168="","",WORKDAY($F168,Settings!$C$10,HolidayDates))</f>
        <v/>
      </c>
      <c r="H168" s="18" t="str">
        <f>IF($B168="","",IFERROR(INDEX(Vendors!$E$5:$E$100,MATCH($B168,Vendors!$C$5:$C$100,0))&amp;"",""))</f>
        <v/>
      </c>
      <c r="I168" s="18" t="str">
        <f>IF($B168="","",IFERROR(INDEX(Vendors!$F$5:$F$100,MATCH($B168,Vendors!$C$5:$C$100,0))&amp;"",""))</f>
        <v/>
      </c>
      <c r="J168" s="9"/>
    </row>
    <row r="169" spans="1:10" x14ac:dyDescent="0.35">
      <c r="A169" s="22"/>
      <c r="B169" s="9"/>
      <c r="C169" s="18" t="str">
        <f>IF($B169="","",IFERROR(INDEX(Vendors!$A$5:$A$100,MATCH($B169,Vendors!$C$5:$C$100,0)),""))</f>
        <v/>
      </c>
      <c r="D169" s="9"/>
      <c r="E169" s="45"/>
      <c r="F169" s="22"/>
      <c r="G169" s="24" t="str">
        <f>IF($F169="","",WORKDAY($F169,Settings!$C$10,HolidayDates))</f>
        <v/>
      </c>
      <c r="H169" s="18" t="str">
        <f>IF($B169="","",IFERROR(INDEX(Vendors!$E$5:$E$100,MATCH($B169,Vendors!$C$5:$C$100,0))&amp;"",""))</f>
        <v/>
      </c>
      <c r="I169" s="18" t="str">
        <f>IF($B169="","",IFERROR(INDEX(Vendors!$F$5:$F$100,MATCH($B169,Vendors!$C$5:$C$100,0))&amp;"",""))</f>
        <v/>
      </c>
      <c r="J169" s="9"/>
    </row>
    <row r="170" spans="1:10" x14ac:dyDescent="0.35">
      <c r="A170" s="22"/>
      <c r="B170" s="9"/>
      <c r="C170" s="18" t="str">
        <f>IF($B170="","",IFERROR(INDEX(Vendors!$A$5:$A$100,MATCH($B170,Vendors!$C$5:$C$100,0)),""))</f>
        <v/>
      </c>
      <c r="D170" s="9"/>
      <c r="E170" s="45"/>
      <c r="F170" s="22"/>
      <c r="G170" s="24" t="str">
        <f>IF($F170="","",WORKDAY($F170,Settings!$C$10,HolidayDates))</f>
        <v/>
      </c>
      <c r="H170" s="18" t="str">
        <f>IF($B170="","",IFERROR(INDEX(Vendors!$E$5:$E$100,MATCH($B170,Vendors!$C$5:$C$100,0))&amp;"",""))</f>
        <v/>
      </c>
      <c r="I170" s="18" t="str">
        <f>IF($B170="","",IFERROR(INDEX(Vendors!$F$5:$F$100,MATCH($B170,Vendors!$C$5:$C$100,0))&amp;"",""))</f>
        <v/>
      </c>
      <c r="J170" s="9"/>
    </row>
    <row r="171" spans="1:10" x14ac:dyDescent="0.35">
      <c r="A171" s="22"/>
      <c r="B171" s="9"/>
      <c r="C171" s="18" t="str">
        <f>IF($B171="","",IFERROR(INDEX(Vendors!$A$5:$A$100,MATCH($B171,Vendors!$C$5:$C$100,0)),""))</f>
        <v/>
      </c>
      <c r="D171" s="9"/>
      <c r="E171" s="45"/>
      <c r="F171" s="22"/>
      <c r="G171" s="24" t="str">
        <f>IF($F171="","",WORKDAY($F171,Settings!$C$10,HolidayDates))</f>
        <v/>
      </c>
      <c r="H171" s="18" t="str">
        <f>IF($B171="","",IFERROR(INDEX(Vendors!$E$5:$E$100,MATCH($B171,Vendors!$C$5:$C$100,0))&amp;"",""))</f>
        <v/>
      </c>
      <c r="I171" s="18" t="str">
        <f>IF($B171="","",IFERROR(INDEX(Vendors!$F$5:$F$100,MATCH($B171,Vendors!$C$5:$C$100,0))&amp;"",""))</f>
        <v/>
      </c>
      <c r="J171" s="9"/>
    </row>
    <row r="172" spans="1:10" x14ac:dyDescent="0.35">
      <c r="A172" s="22"/>
      <c r="B172" s="9"/>
      <c r="C172" s="18" t="str">
        <f>IF($B172="","",IFERROR(INDEX(Vendors!$A$5:$A$100,MATCH($B172,Vendors!$C$5:$C$100,0)),""))</f>
        <v/>
      </c>
      <c r="D172" s="9"/>
      <c r="E172" s="45"/>
      <c r="F172" s="22"/>
      <c r="G172" s="24" t="str">
        <f>IF($F172="","",WORKDAY($F172,Settings!$C$10,HolidayDates))</f>
        <v/>
      </c>
      <c r="H172" s="18" t="str">
        <f>IF($B172="","",IFERROR(INDEX(Vendors!$E$5:$E$100,MATCH($B172,Vendors!$C$5:$C$100,0))&amp;"",""))</f>
        <v/>
      </c>
      <c r="I172" s="18" t="str">
        <f>IF($B172="","",IFERROR(INDEX(Vendors!$F$5:$F$100,MATCH($B172,Vendors!$C$5:$C$100,0))&amp;"",""))</f>
        <v/>
      </c>
      <c r="J172" s="9"/>
    </row>
    <row r="173" spans="1:10" x14ac:dyDescent="0.35">
      <c r="A173" s="22"/>
      <c r="B173" s="9"/>
      <c r="C173" s="18" t="str">
        <f>IF($B173="","",IFERROR(INDEX(Vendors!$A$5:$A$100,MATCH($B173,Vendors!$C$5:$C$100,0)),""))</f>
        <v/>
      </c>
      <c r="D173" s="9"/>
      <c r="E173" s="45"/>
      <c r="F173" s="22"/>
      <c r="G173" s="24" t="str">
        <f>IF($F173="","",WORKDAY($F173,Settings!$C$10,HolidayDates))</f>
        <v/>
      </c>
      <c r="H173" s="18" t="str">
        <f>IF($B173="","",IFERROR(INDEX(Vendors!$E$5:$E$100,MATCH($B173,Vendors!$C$5:$C$100,0))&amp;"",""))</f>
        <v/>
      </c>
      <c r="I173" s="18" t="str">
        <f>IF($B173="","",IFERROR(INDEX(Vendors!$F$5:$F$100,MATCH($B173,Vendors!$C$5:$C$100,0))&amp;"",""))</f>
        <v/>
      </c>
      <c r="J173" s="9"/>
    </row>
    <row r="174" spans="1:10" x14ac:dyDescent="0.35">
      <c r="A174" s="22"/>
      <c r="B174" s="9"/>
      <c r="C174" s="18" t="str">
        <f>IF($B174="","",IFERROR(INDEX(Vendors!$A$5:$A$100,MATCH($B174,Vendors!$C$5:$C$100,0)),""))</f>
        <v/>
      </c>
      <c r="D174" s="9"/>
      <c r="E174" s="45"/>
      <c r="F174" s="22"/>
      <c r="G174" s="24" t="str">
        <f>IF($F174="","",WORKDAY($F174,Settings!$C$10,HolidayDates))</f>
        <v/>
      </c>
      <c r="H174" s="18" t="str">
        <f>IF($B174="","",IFERROR(INDEX(Vendors!$E$5:$E$100,MATCH($B174,Vendors!$C$5:$C$100,0))&amp;"",""))</f>
        <v/>
      </c>
      <c r="I174" s="18" t="str">
        <f>IF($B174="","",IFERROR(INDEX(Vendors!$F$5:$F$100,MATCH($B174,Vendors!$C$5:$C$100,0))&amp;"",""))</f>
        <v/>
      </c>
      <c r="J174" s="9"/>
    </row>
    <row r="175" spans="1:10" x14ac:dyDescent="0.35">
      <c r="A175" s="22"/>
      <c r="B175" s="9"/>
      <c r="C175" s="18" t="str">
        <f>IF($B175="","",IFERROR(INDEX(Vendors!$A$5:$A$100,MATCH($B175,Vendors!$C$5:$C$100,0)),""))</f>
        <v/>
      </c>
      <c r="D175" s="9"/>
      <c r="E175" s="45"/>
      <c r="F175" s="22"/>
      <c r="G175" s="24" t="str">
        <f>IF($F175="","",WORKDAY($F175,Settings!$C$10,HolidayDates))</f>
        <v/>
      </c>
      <c r="H175" s="18" t="str">
        <f>IF($B175="","",IFERROR(INDEX(Vendors!$E$5:$E$100,MATCH($B175,Vendors!$C$5:$C$100,0))&amp;"",""))</f>
        <v/>
      </c>
      <c r="I175" s="18" t="str">
        <f>IF($B175="","",IFERROR(INDEX(Vendors!$F$5:$F$100,MATCH($B175,Vendors!$C$5:$C$100,0))&amp;"",""))</f>
        <v/>
      </c>
      <c r="J175" s="9"/>
    </row>
    <row r="176" spans="1:10" x14ac:dyDescent="0.35">
      <c r="A176" s="22"/>
      <c r="B176" s="9"/>
      <c r="C176" s="18" t="str">
        <f>IF($B176="","",IFERROR(INDEX(Vendors!$A$5:$A$100,MATCH($B176,Vendors!$C$5:$C$100,0)),""))</f>
        <v/>
      </c>
      <c r="D176" s="9"/>
      <c r="E176" s="45"/>
      <c r="F176" s="22"/>
      <c r="G176" s="24" t="str">
        <f>IF($F176="","",WORKDAY($F176,Settings!$C$10,HolidayDates))</f>
        <v/>
      </c>
      <c r="H176" s="18" t="str">
        <f>IF($B176="","",IFERROR(INDEX(Vendors!$E$5:$E$100,MATCH($B176,Vendors!$C$5:$C$100,0))&amp;"",""))</f>
        <v/>
      </c>
      <c r="I176" s="18" t="str">
        <f>IF($B176="","",IFERROR(INDEX(Vendors!$F$5:$F$100,MATCH($B176,Vendors!$C$5:$C$100,0))&amp;"",""))</f>
        <v/>
      </c>
      <c r="J176" s="9"/>
    </row>
    <row r="177" spans="1:10" x14ac:dyDescent="0.35">
      <c r="A177" s="22"/>
      <c r="B177" s="9"/>
      <c r="C177" s="18" t="str">
        <f>IF($B177="","",IFERROR(INDEX(Vendors!$A$5:$A$100,MATCH($B177,Vendors!$C$5:$C$100,0)),""))</f>
        <v/>
      </c>
      <c r="D177" s="9"/>
      <c r="E177" s="45"/>
      <c r="F177" s="22"/>
      <c r="G177" s="24" t="str">
        <f>IF($F177="","",WORKDAY($F177,Settings!$C$10,HolidayDates))</f>
        <v/>
      </c>
      <c r="H177" s="18" t="str">
        <f>IF($B177="","",IFERROR(INDEX(Vendors!$E$5:$E$100,MATCH($B177,Vendors!$C$5:$C$100,0))&amp;"",""))</f>
        <v/>
      </c>
      <c r="I177" s="18" t="str">
        <f>IF($B177="","",IFERROR(INDEX(Vendors!$F$5:$F$100,MATCH($B177,Vendors!$C$5:$C$100,0))&amp;"",""))</f>
        <v/>
      </c>
      <c r="J177" s="9"/>
    </row>
    <row r="178" spans="1:10" x14ac:dyDescent="0.35">
      <c r="A178" s="22"/>
      <c r="B178" s="9"/>
      <c r="C178" s="18" t="str">
        <f>IF($B178="","",IFERROR(INDEX(Vendors!$A$5:$A$100,MATCH($B178,Vendors!$C$5:$C$100,0)),""))</f>
        <v/>
      </c>
      <c r="D178" s="9"/>
      <c r="E178" s="45"/>
      <c r="F178" s="22"/>
      <c r="G178" s="24" t="str">
        <f>IF($F178="","",WORKDAY($F178,Settings!$C$10,HolidayDates))</f>
        <v/>
      </c>
      <c r="H178" s="18" t="str">
        <f>IF($B178="","",IFERROR(INDEX(Vendors!$E$5:$E$100,MATCH($B178,Vendors!$C$5:$C$100,0))&amp;"",""))</f>
        <v/>
      </c>
      <c r="I178" s="18" t="str">
        <f>IF($B178="","",IFERROR(INDEX(Vendors!$F$5:$F$100,MATCH($B178,Vendors!$C$5:$C$100,0))&amp;"",""))</f>
        <v/>
      </c>
      <c r="J178" s="9"/>
    </row>
    <row r="179" spans="1:10" x14ac:dyDescent="0.35">
      <c r="A179" s="22"/>
      <c r="B179" s="9"/>
      <c r="C179" s="18" t="str">
        <f>IF($B179="","",IFERROR(INDEX(Vendors!$A$5:$A$100,MATCH($B179,Vendors!$C$5:$C$100,0)),""))</f>
        <v/>
      </c>
      <c r="D179" s="9"/>
      <c r="E179" s="45"/>
      <c r="F179" s="22"/>
      <c r="G179" s="24" t="str">
        <f>IF($F179="","",WORKDAY($F179,Settings!$C$10,HolidayDates))</f>
        <v/>
      </c>
      <c r="H179" s="18" t="str">
        <f>IF($B179="","",IFERROR(INDEX(Vendors!$E$5:$E$100,MATCH($B179,Vendors!$C$5:$C$100,0))&amp;"",""))</f>
        <v/>
      </c>
      <c r="I179" s="18" t="str">
        <f>IF($B179="","",IFERROR(INDEX(Vendors!$F$5:$F$100,MATCH($B179,Vendors!$C$5:$C$100,0))&amp;"",""))</f>
        <v/>
      </c>
      <c r="J179" s="9"/>
    </row>
    <row r="180" spans="1:10" x14ac:dyDescent="0.35">
      <c r="A180" s="22"/>
      <c r="B180" s="9"/>
      <c r="C180" s="18" t="str">
        <f>IF($B180="","",IFERROR(INDEX(Vendors!$A$5:$A$100,MATCH($B180,Vendors!$C$5:$C$100,0)),""))</f>
        <v/>
      </c>
      <c r="D180" s="9"/>
      <c r="E180" s="45"/>
      <c r="F180" s="22"/>
      <c r="G180" s="24" t="str">
        <f>IF($F180="","",WORKDAY($F180,Settings!$C$10,HolidayDates))</f>
        <v/>
      </c>
      <c r="H180" s="18" t="str">
        <f>IF($B180="","",IFERROR(INDEX(Vendors!$E$5:$E$100,MATCH($B180,Vendors!$C$5:$C$100,0))&amp;"",""))</f>
        <v/>
      </c>
      <c r="I180" s="18" t="str">
        <f>IF($B180="","",IFERROR(INDEX(Vendors!$F$5:$F$100,MATCH($B180,Vendors!$C$5:$C$100,0))&amp;"",""))</f>
        <v/>
      </c>
      <c r="J180" s="9"/>
    </row>
    <row r="181" spans="1:10" x14ac:dyDescent="0.35">
      <c r="A181" s="22"/>
      <c r="B181" s="9"/>
      <c r="C181" s="18" t="str">
        <f>IF($B181="","",IFERROR(INDEX(Vendors!$A$5:$A$100,MATCH($B181,Vendors!$C$5:$C$100,0)),""))</f>
        <v/>
      </c>
      <c r="D181" s="9"/>
      <c r="E181" s="45"/>
      <c r="F181" s="22"/>
      <c r="G181" s="24" t="str">
        <f>IF($F181="","",WORKDAY($F181,Settings!$C$10,HolidayDates))</f>
        <v/>
      </c>
      <c r="H181" s="18" t="str">
        <f>IF($B181="","",IFERROR(INDEX(Vendors!$E$5:$E$100,MATCH($B181,Vendors!$C$5:$C$100,0))&amp;"",""))</f>
        <v/>
      </c>
      <c r="I181" s="18" t="str">
        <f>IF($B181="","",IFERROR(INDEX(Vendors!$F$5:$F$100,MATCH($B181,Vendors!$C$5:$C$100,0))&amp;"",""))</f>
        <v/>
      </c>
      <c r="J181" s="9"/>
    </row>
    <row r="182" spans="1:10" x14ac:dyDescent="0.35">
      <c r="A182" s="22"/>
      <c r="B182" s="9"/>
      <c r="C182" s="18" t="str">
        <f>IF($B182="","",IFERROR(INDEX(Vendors!$A$5:$A$100,MATCH($B182,Vendors!$C$5:$C$100,0)),""))</f>
        <v/>
      </c>
      <c r="D182" s="9"/>
      <c r="E182" s="45"/>
      <c r="F182" s="22"/>
      <c r="G182" s="24" t="str">
        <f>IF($F182="","",WORKDAY($F182,Settings!$C$10,HolidayDates))</f>
        <v/>
      </c>
      <c r="H182" s="18" t="str">
        <f>IF($B182="","",IFERROR(INDEX(Vendors!$E$5:$E$100,MATCH($B182,Vendors!$C$5:$C$100,0))&amp;"",""))</f>
        <v/>
      </c>
      <c r="I182" s="18" t="str">
        <f>IF($B182="","",IFERROR(INDEX(Vendors!$F$5:$F$100,MATCH($B182,Vendors!$C$5:$C$100,0))&amp;"",""))</f>
        <v/>
      </c>
      <c r="J182" s="9"/>
    </row>
    <row r="183" spans="1:10" x14ac:dyDescent="0.35">
      <c r="A183" s="22"/>
      <c r="B183" s="9"/>
      <c r="C183" s="18" t="str">
        <f>IF($B183="","",IFERROR(INDEX(Vendors!$A$5:$A$100,MATCH($B183,Vendors!$C$5:$C$100,0)),""))</f>
        <v/>
      </c>
      <c r="D183" s="9"/>
      <c r="E183" s="45"/>
      <c r="F183" s="22"/>
      <c r="G183" s="24" t="str">
        <f>IF($F183="","",WORKDAY($F183,Settings!$C$10,HolidayDates))</f>
        <v/>
      </c>
      <c r="H183" s="18" t="str">
        <f>IF($B183="","",IFERROR(INDEX(Vendors!$E$5:$E$100,MATCH($B183,Vendors!$C$5:$C$100,0))&amp;"",""))</f>
        <v/>
      </c>
      <c r="I183" s="18" t="str">
        <f>IF($B183="","",IFERROR(INDEX(Vendors!$F$5:$F$100,MATCH($B183,Vendors!$C$5:$C$100,0))&amp;"",""))</f>
        <v/>
      </c>
      <c r="J183" s="9"/>
    </row>
    <row r="184" spans="1:10" x14ac:dyDescent="0.35">
      <c r="A184" s="22"/>
      <c r="B184" s="9"/>
      <c r="C184" s="18" t="str">
        <f>IF($B184="","",IFERROR(INDEX(Vendors!$A$5:$A$100,MATCH($B184,Vendors!$C$5:$C$100,0)),""))</f>
        <v/>
      </c>
      <c r="D184" s="9"/>
      <c r="E184" s="45"/>
      <c r="F184" s="22"/>
      <c r="G184" s="24" t="str">
        <f>IF($F184="","",WORKDAY($F184,Settings!$C$10,HolidayDates))</f>
        <v/>
      </c>
      <c r="H184" s="18" t="str">
        <f>IF($B184="","",IFERROR(INDEX(Vendors!$E$5:$E$100,MATCH($B184,Vendors!$C$5:$C$100,0))&amp;"",""))</f>
        <v/>
      </c>
      <c r="I184" s="18" t="str">
        <f>IF($B184="","",IFERROR(INDEX(Vendors!$F$5:$F$100,MATCH($B184,Vendors!$C$5:$C$100,0))&amp;"",""))</f>
        <v/>
      </c>
      <c r="J184" s="9"/>
    </row>
    <row r="185" spans="1:10" x14ac:dyDescent="0.35">
      <c r="A185" s="22"/>
      <c r="B185" s="9"/>
      <c r="C185" s="18" t="str">
        <f>IF($B185="","",IFERROR(INDEX(Vendors!$A$5:$A$100,MATCH($B185,Vendors!$C$5:$C$100,0)),""))</f>
        <v/>
      </c>
      <c r="D185" s="9"/>
      <c r="E185" s="45"/>
      <c r="F185" s="22"/>
      <c r="G185" s="24" t="str">
        <f>IF($F185="","",WORKDAY($F185,Settings!$C$10,HolidayDates))</f>
        <v/>
      </c>
      <c r="H185" s="18" t="str">
        <f>IF($B185="","",IFERROR(INDEX(Vendors!$E$5:$E$100,MATCH($B185,Vendors!$C$5:$C$100,0))&amp;"",""))</f>
        <v/>
      </c>
      <c r="I185" s="18" t="str">
        <f>IF($B185="","",IFERROR(INDEX(Vendors!$F$5:$F$100,MATCH($B185,Vendors!$C$5:$C$100,0))&amp;"",""))</f>
        <v/>
      </c>
      <c r="J185" s="9"/>
    </row>
    <row r="186" spans="1:10" x14ac:dyDescent="0.35">
      <c r="A186" s="22"/>
      <c r="B186" s="9"/>
      <c r="C186" s="18" t="str">
        <f>IF($B186="","",IFERROR(INDEX(Vendors!$A$5:$A$100,MATCH($B186,Vendors!$C$5:$C$100,0)),""))</f>
        <v/>
      </c>
      <c r="D186" s="9"/>
      <c r="E186" s="45"/>
      <c r="F186" s="22"/>
      <c r="G186" s="24" t="str">
        <f>IF($F186="","",WORKDAY($F186,Settings!$C$10,HolidayDates))</f>
        <v/>
      </c>
      <c r="H186" s="18" t="str">
        <f>IF($B186="","",IFERROR(INDEX(Vendors!$E$5:$E$100,MATCH($B186,Vendors!$C$5:$C$100,0))&amp;"",""))</f>
        <v/>
      </c>
      <c r="I186" s="18" t="str">
        <f>IF($B186="","",IFERROR(INDEX(Vendors!$F$5:$F$100,MATCH($B186,Vendors!$C$5:$C$100,0))&amp;"",""))</f>
        <v/>
      </c>
      <c r="J186" s="9"/>
    </row>
    <row r="187" spans="1:10" x14ac:dyDescent="0.35">
      <c r="A187" s="22"/>
      <c r="B187" s="9"/>
      <c r="C187" s="18" t="str">
        <f>IF($B187="","",IFERROR(INDEX(Vendors!$A$5:$A$100,MATCH($B187,Vendors!$C$5:$C$100,0)),""))</f>
        <v/>
      </c>
      <c r="D187" s="9"/>
      <c r="E187" s="45"/>
      <c r="F187" s="22"/>
      <c r="G187" s="24" t="str">
        <f>IF($F187="","",WORKDAY($F187,Settings!$C$10,HolidayDates))</f>
        <v/>
      </c>
      <c r="H187" s="18" t="str">
        <f>IF($B187="","",IFERROR(INDEX(Vendors!$E$5:$E$100,MATCH($B187,Vendors!$C$5:$C$100,0))&amp;"",""))</f>
        <v/>
      </c>
      <c r="I187" s="18" t="str">
        <f>IF($B187="","",IFERROR(INDEX(Vendors!$F$5:$F$100,MATCH($B187,Vendors!$C$5:$C$100,0))&amp;"",""))</f>
        <v/>
      </c>
      <c r="J187" s="9"/>
    </row>
    <row r="188" spans="1:10" x14ac:dyDescent="0.35">
      <c r="A188" s="22"/>
      <c r="B188" s="9"/>
      <c r="C188" s="18" t="str">
        <f>IF($B188="","",IFERROR(INDEX(Vendors!$A$5:$A$100,MATCH($B188,Vendors!$C$5:$C$100,0)),""))</f>
        <v/>
      </c>
      <c r="D188" s="9"/>
      <c r="E188" s="45"/>
      <c r="F188" s="22"/>
      <c r="G188" s="24" t="str">
        <f>IF($F188="","",WORKDAY($F188,Settings!$C$10,HolidayDates))</f>
        <v/>
      </c>
      <c r="H188" s="18" t="str">
        <f>IF($B188="","",IFERROR(INDEX(Vendors!$E$5:$E$100,MATCH($B188,Vendors!$C$5:$C$100,0))&amp;"",""))</f>
        <v/>
      </c>
      <c r="I188" s="18" t="str">
        <f>IF($B188="","",IFERROR(INDEX(Vendors!$F$5:$F$100,MATCH($B188,Vendors!$C$5:$C$100,0))&amp;"",""))</f>
        <v/>
      </c>
      <c r="J188" s="9"/>
    </row>
    <row r="189" spans="1:10" x14ac:dyDescent="0.35">
      <c r="A189" s="22"/>
      <c r="B189" s="9"/>
      <c r="C189" s="18" t="str">
        <f>IF($B189="","",IFERROR(INDEX(Vendors!$A$5:$A$100,MATCH($B189,Vendors!$C$5:$C$100,0)),""))</f>
        <v/>
      </c>
      <c r="D189" s="9"/>
      <c r="E189" s="45"/>
      <c r="F189" s="22"/>
      <c r="G189" s="24" t="str">
        <f>IF($F189="","",WORKDAY($F189,Settings!$C$10,HolidayDates))</f>
        <v/>
      </c>
      <c r="H189" s="18" t="str">
        <f>IF($B189="","",IFERROR(INDEX(Vendors!$E$5:$E$100,MATCH($B189,Vendors!$C$5:$C$100,0))&amp;"",""))</f>
        <v/>
      </c>
      <c r="I189" s="18" t="str">
        <f>IF($B189="","",IFERROR(INDEX(Vendors!$F$5:$F$100,MATCH($B189,Vendors!$C$5:$C$100,0))&amp;"",""))</f>
        <v/>
      </c>
      <c r="J189" s="9"/>
    </row>
    <row r="190" spans="1:10" x14ac:dyDescent="0.35">
      <c r="A190" s="22"/>
      <c r="B190" s="9"/>
      <c r="C190" s="18" t="str">
        <f>IF($B190="","",IFERROR(INDEX(Vendors!$A$5:$A$100,MATCH($B190,Vendors!$C$5:$C$100,0)),""))</f>
        <v/>
      </c>
      <c r="D190" s="9"/>
      <c r="E190" s="45"/>
      <c r="F190" s="22"/>
      <c r="G190" s="24" t="str">
        <f>IF($F190="","",WORKDAY($F190,Settings!$C$10,HolidayDates))</f>
        <v/>
      </c>
      <c r="H190" s="18" t="str">
        <f>IF($B190="","",IFERROR(INDEX(Vendors!$E$5:$E$100,MATCH($B190,Vendors!$C$5:$C$100,0))&amp;"",""))</f>
        <v/>
      </c>
      <c r="I190" s="18" t="str">
        <f>IF($B190="","",IFERROR(INDEX(Vendors!$F$5:$F$100,MATCH($B190,Vendors!$C$5:$C$100,0))&amp;"",""))</f>
        <v/>
      </c>
      <c r="J190" s="9"/>
    </row>
    <row r="191" spans="1:10" x14ac:dyDescent="0.35">
      <c r="A191" s="22"/>
      <c r="B191" s="9"/>
      <c r="C191" s="18" t="str">
        <f>IF($B191="","",IFERROR(INDEX(Vendors!$A$5:$A$100,MATCH($B191,Vendors!$C$5:$C$100,0)),""))</f>
        <v/>
      </c>
      <c r="D191" s="9"/>
      <c r="E191" s="45"/>
      <c r="F191" s="22"/>
      <c r="G191" s="24" t="str">
        <f>IF($F191="","",WORKDAY($F191,Settings!$C$10,HolidayDates))</f>
        <v/>
      </c>
      <c r="H191" s="18" t="str">
        <f>IF($B191="","",IFERROR(INDEX(Vendors!$E$5:$E$100,MATCH($B191,Vendors!$C$5:$C$100,0))&amp;"",""))</f>
        <v/>
      </c>
      <c r="I191" s="18" t="str">
        <f>IF($B191="","",IFERROR(INDEX(Vendors!$F$5:$F$100,MATCH($B191,Vendors!$C$5:$C$100,0))&amp;"",""))</f>
        <v/>
      </c>
      <c r="J191" s="9"/>
    </row>
    <row r="192" spans="1:10" x14ac:dyDescent="0.35">
      <c r="A192" s="22"/>
      <c r="B192" s="9"/>
      <c r="C192" s="18" t="str">
        <f>IF($B192="","",IFERROR(INDEX(Vendors!$A$5:$A$100,MATCH($B192,Vendors!$C$5:$C$100,0)),""))</f>
        <v/>
      </c>
      <c r="D192" s="9"/>
      <c r="E192" s="45"/>
      <c r="F192" s="22"/>
      <c r="G192" s="24" t="str">
        <f>IF($F192="","",WORKDAY($F192,Settings!$C$10,HolidayDates))</f>
        <v/>
      </c>
      <c r="H192" s="18" t="str">
        <f>IF($B192="","",IFERROR(INDEX(Vendors!$E$5:$E$100,MATCH($B192,Vendors!$C$5:$C$100,0))&amp;"",""))</f>
        <v/>
      </c>
      <c r="I192" s="18" t="str">
        <f>IF($B192="","",IFERROR(INDEX(Vendors!$F$5:$F$100,MATCH($B192,Vendors!$C$5:$C$100,0))&amp;"",""))</f>
        <v/>
      </c>
      <c r="J192" s="9"/>
    </row>
    <row r="193" spans="1:10" x14ac:dyDescent="0.35">
      <c r="A193" s="22"/>
      <c r="B193" s="9"/>
      <c r="C193" s="18" t="str">
        <f>IF($B193="","",IFERROR(INDEX(Vendors!$A$5:$A$100,MATCH($B193,Vendors!$C$5:$C$100,0)),""))</f>
        <v/>
      </c>
      <c r="D193" s="9"/>
      <c r="E193" s="45"/>
      <c r="F193" s="22"/>
      <c r="G193" s="24" t="str">
        <f>IF($F193="","",WORKDAY($F193,Settings!$C$10,HolidayDates))</f>
        <v/>
      </c>
      <c r="H193" s="18" t="str">
        <f>IF($B193="","",IFERROR(INDEX(Vendors!$E$5:$E$100,MATCH($B193,Vendors!$C$5:$C$100,0))&amp;"",""))</f>
        <v/>
      </c>
      <c r="I193" s="18" t="str">
        <f>IF($B193="","",IFERROR(INDEX(Vendors!$F$5:$F$100,MATCH($B193,Vendors!$C$5:$C$100,0))&amp;"",""))</f>
        <v/>
      </c>
      <c r="J193" s="9"/>
    </row>
    <row r="194" spans="1:10" x14ac:dyDescent="0.35">
      <c r="A194" s="22"/>
      <c r="B194" s="9"/>
      <c r="C194" s="18" t="str">
        <f>IF($B194="","",IFERROR(INDEX(Vendors!$A$5:$A$100,MATCH($B194,Vendors!$C$5:$C$100,0)),""))</f>
        <v/>
      </c>
      <c r="D194" s="9"/>
      <c r="E194" s="45"/>
      <c r="F194" s="22"/>
      <c r="G194" s="24" t="str">
        <f>IF($F194="","",WORKDAY($F194,Settings!$C$10,HolidayDates))</f>
        <v/>
      </c>
      <c r="H194" s="18" t="str">
        <f>IF($B194="","",IFERROR(INDEX(Vendors!$E$5:$E$100,MATCH($B194,Vendors!$C$5:$C$100,0))&amp;"",""))</f>
        <v/>
      </c>
      <c r="I194" s="18" t="str">
        <f>IF($B194="","",IFERROR(INDEX(Vendors!$F$5:$F$100,MATCH($B194,Vendors!$C$5:$C$100,0))&amp;"",""))</f>
        <v/>
      </c>
      <c r="J194" s="9"/>
    </row>
    <row r="195" spans="1:10" x14ac:dyDescent="0.35">
      <c r="A195" s="22"/>
      <c r="B195" s="9"/>
      <c r="C195" s="18" t="str">
        <f>IF($B195="","",IFERROR(INDEX(Vendors!$A$5:$A$100,MATCH($B195,Vendors!$C$5:$C$100,0)),""))</f>
        <v/>
      </c>
      <c r="D195" s="9"/>
      <c r="E195" s="45"/>
      <c r="F195" s="22"/>
      <c r="G195" s="24" t="str">
        <f>IF($F195="","",WORKDAY($F195,Settings!$C$10,HolidayDates))</f>
        <v/>
      </c>
      <c r="H195" s="18" t="str">
        <f>IF($B195="","",IFERROR(INDEX(Vendors!$E$5:$E$100,MATCH($B195,Vendors!$C$5:$C$100,0))&amp;"",""))</f>
        <v/>
      </c>
      <c r="I195" s="18" t="str">
        <f>IF($B195="","",IFERROR(INDEX(Vendors!$F$5:$F$100,MATCH($B195,Vendors!$C$5:$C$100,0))&amp;"",""))</f>
        <v/>
      </c>
      <c r="J195" s="9"/>
    </row>
    <row r="196" spans="1:10" x14ac:dyDescent="0.35">
      <c r="A196" s="22"/>
      <c r="B196" s="9"/>
      <c r="C196" s="18" t="str">
        <f>IF($B196="","",IFERROR(INDEX(Vendors!$A$5:$A$100,MATCH($B196,Vendors!$C$5:$C$100,0)),""))</f>
        <v/>
      </c>
      <c r="D196" s="9"/>
      <c r="E196" s="45"/>
      <c r="F196" s="22"/>
      <c r="G196" s="24" t="str">
        <f>IF($F196="","",WORKDAY($F196,Settings!$C$10,HolidayDates))</f>
        <v/>
      </c>
      <c r="H196" s="18" t="str">
        <f>IF($B196="","",IFERROR(INDEX(Vendors!$E$5:$E$100,MATCH($B196,Vendors!$C$5:$C$100,0))&amp;"",""))</f>
        <v/>
      </c>
      <c r="I196" s="18" t="str">
        <f>IF($B196="","",IFERROR(INDEX(Vendors!$F$5:$F$100,MATCH($B196,Vendors!$C$5:$C$100,0))&amp;"",""))</f>
        <v/>
      </c>
      <c r="J196" s="9"/>
    </row>
    <row r="197" spans="1:10" x14ac:dyDescent="0.35">
      <c r="A197" s="22"/>
      <c r="B197" s="9"/>
      <c r="C197" s="18" t="str">
        <f>IF($B197="","",IFERROR(INDEX(Vendors!$A$5:$A$100,MATCH($B197,Vendors!$C$5:$C$100,0)),""))</f>
        <v/>
      </c>
      <c r="D197" s="9"/>
      <c r="E197" s="45"/>
      <c r="F197" s="22"/>
      <c r="G197" s="24" t="str">
        <f>IF($F197="","",WORKDAY($F197,Settings!$C$10,HolidayDates))</f>
        <v/>
      </c>
      <c r="H197" s="18" t="str">
        <f>IF($B197="","",IFERROR(INDEX(Vendors!$E$5:$E$100,MATCH($B197,Vendors!$C$5:$C$100,0))&amp;"",""))</f>
        <v/>
      </c>
      <c r="I197" s="18" t="str">
        <f>IF($B197="","",IFERROR(INDEX(Vendors!$F$5:$F$100,MATCH($B197,Vendors!$C$5:$C$100,0))&amp;"",""))</f>
        <v/>
      </c>
      <c r="J197" s="9"/>
    </row>
    <row r="198" spans="1:10" x14ac:dyDescent="0.35">
      <c r="A198" s="22"/>
      <c r="B198" s="9"/>
      <c r="C198" s="18" t="str">
        <f>IF($B198="","",IFERROR(INDEX(Vendors!$A$5:$A$100,MATCH($B198,Vendors!$C$5:$C$100,0)),""))</f>
        <v/>
      </c>
      <c r="D198" s="9"/>
      <c r="E198" s="45"/>
      <c r="F198" s="22"/>
      <c r="G198" s="24" t="str">
        <f>IF($F198="","",WORKDAY($F198,Settings!$C$10,HolidayDates))</f>
        <v/>
      </c>
      <c r="H198" s="18" t="str">
        <f>IF($B198="","",IFERROR(INDEX(Vendors!$E$5:$E$100,MATCH($B198,Vendors!$C$5:$C$100,0))&amp;"",""))</f>
        <v/>
      </c>
      <c r="I198" s="18" t="str">
        <f>IF($B198="","",IFERROR(INDEX(Vendors!$F$5:$F$100,MATCH($B198,Vendors!$C$5:$C$100,0))&amp;"",""))</f>
        <v/>
      </c>
      <c r="J198" s="9"/>
    </row>
    <row r="199" spans="1:10" x14ac:dyDescent="0.35">
      <c r="A199" s="22"/>
      <c r="B199" s="9"/>
      <c r="C199" s="18" t="str">
        <f>IF($B199="","",IFERROR(INDEX(Vendors!$A$5:$A$100,MATCH($B199,Vendors!$C$5:$C$100,0)),""))</f>
        <v/>
      </c>
      <c r="D199" s="9"/>
      <c r="E199" s="45"/>
      <c r="F199" s="22"/>
      <c r="G199" s="24" t="str">
        <f>IF($F199="","",WORKDAY($F199,Settings!$C$10,HolidayDates))</f>
        <v/>
      </c>
      <c r="H199" s="18" t="str">
        <f>IF($B199="","",IFERROR(INDEX(Vendors!$E$5:$E$100,MATCH($B199,Vendors!$C$5:$C$100,0))&amp;"",""))</f>
        <v/>
      </c>
      <c r="I199" s="18" t="str">
        <f>IF($B199="","",IFERROR(INDEX(Vendors!$F$5:$F$100,MATCH($B199,Vendors!$C$5:$C$100,0))&amp;"",""))</f>
        <v/>
      </c>
      <c r="J199" s="9"/>
    </row>
    <row r="200" spans="1:10" x14ac:dyDescent="0.35">
      <c r="A200" s="22"/>
      <c r="B200" s="9"/>
      <c r="C200" s="18" t="str">
        <f>IF($B200="","",IFERROR(INDEX(Vendors!$A$5:$A$100,MATCH($B200,Vendors!$C$5:$C$100,0)),""))</f>
        <v/>
      </c>
      <c r="D200" s="9"/>
      <c r="E200" s="45"/>
      <c r="F200" s="22"/>
      <c r="G200" s="24" t="str">
        <f>IF($F200="","",WORKDAY($F200,Settings!$C$10,HolidayDates))</f>
        <v/>
      </c>
      <c r="H200" s="18" t="str">
        <f>IF($B200="","",IFERROR(INDEX(Vendors!$E$5:$E$100,MATCH($B200,Vendors!$C$5:$C$100,0))&amp;"",""))</f>
        <v/>
      </c>
      <c r="I200" s="18" t="str">
        <f>IF($B200="","",IFERROR(INDEX(Vendors!$F$5:$F$100,MATCH($B200,Vendors!$C$5:$C$100,0))&amp;"",""))</f>
        <v/>
      </c>
      <c r="J200" s="9"/>
    </row>
    <row r="202" spans="1:10" x14ac:dyDescent="0.35">
      <c r="D202" s="30" t="s">
        <v>610</v>
      </c>
      <c r="E202" s="32">
        <f>SUM($E$5:$E$200)</f>
        <v>6820</v>
      </c>
    </row>
  </sheetData>
  <autoFilter ref="A4:J200" xr:uid="{00000000-0009-0000-0000-000010000000}"/>
  <mergeCells count="2">
    <mergeCell ref="A1:J1"/>
    <mergeCell ref="A2:J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README</vt:lpstr>
      <vt:lpstr>Change Log</vt:lpstr>
      <vt:lpstr>Settings</vt:lpstr>
      <vt:lpstr>Items</vt:lpstr>
      <vt:lpstr>Staff Directory</vt:lpstr>
      <vt:lpstr>Vendors</vt:lpstr>
      <vt:lpstr>Holidays</vt:lpstr>
      <vt:lpstr>Receipts</vt:lpstr>
      <vt:lpstr>Issues</vt:lpstr>
      <vt:lpstr>Lot Balance</vt:lpstr>
      <vt:lpstr>Item Balance</vt:lpstr>
      <vt:lpstr>Alerts - Low Stock</vt:lpstr>
      <vt:lpstr>Alerts - Expiry</vt:lpstr>
      <vt:lpstr>Alerts - Over Quota</vt:lpstr>
      <vt:lpstr>Staff Summary</vt:lpstr>
      <vt:lpstr>Monthly Summary</vt:lpstr>
      <vt:lpstr>Dashboard</vt:lpstr>
      <vt:lpstr>Office Supplies</vt:lpstr>
      <vt:lpstr>Professional Services</vt:lpstr>
      <vt:lpstr>HolidayDates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2026-08-04T21:44:02Z</dcterms:created>
  <dcterms:modified xsi:type="dcterms:W3CDTF">2026-08-05T00:08:19Z</dcterms:modified>
  <dc:language/>
</cp:coreProperties>
</file>